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MERGENCY1-PC\Shared\"/>
    </mc:Choice>
  </mc:AlternateContent>
  <bookViews>
    <workbookView xWindow="0" yWindow="0" windowWidth="24000" windowHeight="9735" tabRatio="772" firstSheet="2" activeTab="2"/>
  </bookViews>
  <sheets>
    <sheet name="Medline Mar 2014" sheetId="1" r:id="rId1"/>
    <sheet name="Embase Mar 2014" sheetId="2" r:id="rId2"/>
    <sheet name="Active titles" sheetId="15" r:id="rId3"/>
    <sheet name="Pending titles" sheetId="16" r:id="rId4"/>
    <sheet name="Definitions" sheetId="17" r:id="rId5"/>
  </sheets>
  <definedNames>
    <definedName name="_xlnm._FilterDatabase" localSheetId="1" hidden="1">'Embase Mar 2014'!$A$1:$AE$5949</definedName>
    <definedName name="_xlnm._FilterDatabase" localSheetId="0" hidden="1">'Medline Mar 2014'!$A$1:$S$1</definedName>
    <definedName name="ABB">'Active titles'!#REF!</definedName>
    <definedName name="List3">'Active titles'!#REF!</definedName>
    <definedName name="Lista">#REF!</definedName>
    <definedName name="listb">'Embase Mar 2014'!#REF!</definedName>
    <definedName name="ListE1">#REF!</definedName>
    <definedName name="ListE2">#REF!</definedName>
    <definedName name="ListE3">#REF!</definedName>
    <definedName name="ListE4">#REF!</definedName>
    <definedName name="ListM">'Active titles'!#REF!</definedName>
    <definedName name="ListM1">#REF!</definedName>
    <definedName name="ListM2">#REF!</definedName>
    <definedName name="ListQQ">'Embase Mar 2014'!#REF!</definedName>
    <definedName name="MEDL1">'Active titles'!#REF!</definedName>
  </definedNames>
  <calcPr calcId="152511"/>
</workbook>
</file>

<file path=xl/calcChain.xml><?xml version="1.0" encoding="utf-8"?>
<calcChain xmlns="http://schemas.openxmlformats.org/spreadsheetml/2006/main">
  <c r="D8515" i="15" l="1"/>
  <c r="C8515" i="15"/>
  <c r="D8508" i="15"/>
  <c r="C8508" i="15"/>
  <c r="D8498" i="15"/>
  <c r="C8498" i="15"/>
  <c r="D8485" i="15"/>
  <c r="C8485" i="15"/>
  <c r="D8471" i="15"/>
  <c r="C8471" i="15"/>
  <c r="D8470" i="15"/>
  <c r="C8470" i="15"/>
  <c r="D8469" i="15"/>
  <c r="C8469" i="15"/>
  <c r="D8467" i="15"/>
  <c r="C8467" i="15"/>
  <c r="D8466" i="15"/>
  <c r="C8466" i="15"/>
  <c r="D8465" i="15"/>
  <c r="C8465" i="15"/>
  <c r="D8464" i="15"/>
  <c r="C8464" i="15"/>
  <c r="D8461" i="15"/>
  <c r="C8461" i="15"/>
  <c r="D8460" i="15"/>
  <c r="C8460" i="15"/>
  <c r="D8458" i="15"/>
  <c r="C8458" i="15"/>
  <c r="D8457" i="15"/>
  <c r="C8457" i="15"/>
  <c r="D8455" i="15"/>
  <c r="C8455" i="15"/>
  <c r="D8453" i="15"/>
  <c r="C8453" i="15"/>
  <c r="D8452" i="15"/>
  <c r="C8452" i="15"/>
  <c r="D8450" i="15"/>
  <c r="C8450" i="15"/>
  <c r="D8449" i="15"/>
  <c r="C8449" i="15"/>
  <c r="D8448" i="15"/>
  <c r="C8448" i="15"/>
  <c r="D8447" i="15"/>
  <c r="C8447" i="15"/>
  <c r="D8443" i="15"/>
  <c r="C8443" i="15"/>
  <c r="D8442" i="15"/>
  <c r="C8442" i="15"/>
  <c r="D8440" i="15"/>
  <c r="C8440" i="15"/>
  <c r="D8438" i="15"/>
  <c r="C8438" i="15"/>
  <c r="D8436" i="15"/>
  <c r="C8436" i="15"/>
  <c r="D8434" i="15"/>
  <c r="C8434" i="15"/>
  <c r="D8433" i="15"/>
  <c r="C8433" i="15"/>
  <c r="D8431" i="15"/>
  <c r="C8431" i="15"/>
  <c r="D8430" i="15"/>
  <c r="C8430" i="15"/>
  <c r="D8429" i="15"/>
  <c r="C8429" i="15"/>
  <c r="D8428" i="15"/>
  <c r="C8428" i="15"/>
  <c r="D8427" i="15"/>
  <c r="C8427" i="15"/>
  <c r="D8424" i="15"/>
  <c r="C8424" i="15"/>
  <c r="D8422" i="15"/>
  <c r="C8422" i="15"/>
  <c r="D8421" i="15"/>
  <c r="C8421" i="15"/>
  <c r="D8420" i="15"/>
  <c r="C8420" i="15"/>
  <c r="D8419" i="15"/>
  <c r="C8419" i="15"/>
  <c r="D8417" i="15"/>
  <c r="C8417" i="15"/>
  <c r="D8415" i="15"/>
  <c r="C8415" i="15"/>
  <c r="D8414" i="15"/>
  <c r="C8414" i="15"/>
  <c r="D8412" i="15"/>
  <c r="C8412" i="15"/>
  <c r="D8411" i="15"/>
  <c r="C8411" i="15"/>
  <c r="D8410" i="15"/>
  <c r="C8410" i="15"/>
  <c r="D8409" i="15"/>
  <c r="C8409" i="15"/>
  <c r="D8408" i="15"/>
  <c r="C8408" i="15"/>
  <c r="D8407" i="15"/>
  <c r="C8407" i="15"/>
  <c r="D8406" i="15"/>
  <c r="C8406" i="15"/>
  <c r="D8405" i="15"/>
  <c r="C8405" i="15"/>
  <c r="D8404" i="15"/>
  <c r="C8404" i="15"/>
  <c r="D8403" i="15"/>
  <c r="C8403" i="15"/>
  <c r="D8401" i="15"/>
  <c r="C8401" i="15"/>
  <c r="D8400" i="15"/>
  <c r="C8400" i="15"/>
  <c r="D8398" i="15"/>
  <c r="C8398" i="15"/>
  <c r="D8397" i="15"/>
  <c r="C8397" i="15"/>
  <c r="D8394" i="15"/>
  <c r="C8394" i="15"/>
  <c r="D8393" i="15"/>
  <c r="C8393" i="15"/>
  <c r="D8392" i="15"/>
  <c r="C8392" i="15"/>
  <c r="D8390" i="15"/>
  <c r="C8390" i="15"/>
  <c r="D8389" i="15"/>
  <c r="C8389" i="15"/>
  <c r="D8387" i="15"/>
  <c r="C8387" i="15"/>
  <c r="D8386" i="15"/>
  <c r="C8386" i="15"/>
  <c r="D8385" i="15"/>
  <c r="C8385" i="15"/>
  <c r="D8384" i="15"/>
  <c r="C8384" i="15"/>
  <c r="D8383" i="15"/>
  <c r="C8383" i="15"/>
  <c r="D8381" i="15"/>
  <c r="C8381" i="15"/>
  <c r="D8380" i="15"/>
  <c r="C8380" i="15"/>
  <c r="D8379" i="15"/>
  <c r="C8379" i="15"/>
  <c r="D8378" i="15"/>
  <c r="C8378" i="15"/>
  <c r="D8375" i="15"/>
  <c r="C8375" i="15"/>
  <c r="D8372" i="15"/>
  <c r="C8372" i="15"/>
  <c r="D8371" i="15"/>
  <c r="C8371" i="15"/>
  <c r="D8370" i="15"/>
  <c r="C8370" i="15"/>
  <c r="D8367" i="15"/>
  <c r="C8367" i="15"/>
  <c r="D8366" i="15"/>
  <c r="C8366" i="15"/>
  <c r="D8365" i="15"/>
  <c r="C8365" i="15"/>
  <c r="D8364" i="15"/>
  <c r="C8364" i="15"/>
  <c r="D8363" i="15"/>
  <c r="C8363" i="15"/>
  <c r="D8362" i="15"/>
  <c r="C8362" i="15"/>
  <c r="D8361" i="15"/>
  <c r="C8361" i="15"/>
  <c r="D8360" i="15"/>
  <c r="C8360" i="15"/>
  <c r="D8359" i="15"/>
  <c r="C8359" i="15"/>
  <c r="D8356" i="15"/>
  <c r="C8356" i="15"/>
  <c r="D8354" i="15"/>
  <c r="C8354" i="15"/>
  <c r="D8352" i="15"/>
  <c r="C8352" i="15"/>
  <c r="D8339" i="15"/>
  <c r="C8339" i="15"/>
  <c r="D8338" i="15"/>
  <c r="C8338" i="15"/>
  <c r="D8337" i="15"/>
  <c r="C8337" i="15"/>
  <c r="D8336" i="15"/>
  <c r="C8336" i="15"/>
  <c r="D8335" i="15"/>
  <c r="C8335" i="15"/>
  <c r="D8334" i="15"/>
  <c r="C8334" i="15"/>
  <c r="D8333" i="15"/>
  <c r="C8333" i="15"/>
  <c r="D8332" i="15"/>
  <c r="C8332" i="15"/>
  <c r="D8331" i="15"/>
  <c r="C8331" i="15"/>
  <c r="D8330" i="15"/>
  <c r="C8330" i="15"/>
  <c r="D8329" i="15"/>
  <c r="C8329" i="15"/>
  <c r="D8328" i="15"/>
  <c r="C8328" i="15"/>
  <c r="D8327" i="15"/>
  <c r="C8327" i="15"/>
  <c r="D8326" i="15"/>
  <c r="C8326" i="15"/>
  <c r="D8325" i="15"/>
  <c r="C8325" i="15"/>
  <c r="D8324" i="15"/>
  <c r="C8324" i="15"/>
  <c r="D8323" i="15"/>
  <c r="C8323" i="15"/>
  <c r="D8322" i="15"/>
  <c r="C8322" i="15"/>
  <c r="D8321" i="15"/>
  <c r="C8321" i="15"/>
  <c r="D8318" i="15"/>
  <c r="C8318" i="15"/>
  <c r="D8316" i="15"/>
  <c r="C8316" i="15"/>
  <c r="D8313" i="15"/>
  <c r="C8313" i="15"/>
  <c r="D8311" i="15"/>
  <c r="C8311" i="15"/>
  <c r="D8309" i="15"/>
  <c r="C8309" i="15"/>
  <c r="D8308" i="15"/>
  <c r="C8308" i="15"/>
  <c r="D8307" i="15"/>
  <c r="C8307" i="15"/>
  <c r="D8304" i="15"/>
  <c r="C8304" i="15"/>
  <c r="D8289" i="15"/>
  <c r="C8289" i="15"/>
  <c r="D8288" i="15"/>
  <c r="C8288" i="15"/>
  <c r="D8287" i="15"/>
  <c r="C8287" i="15"/>
  <c r="D8286" i="15"/>
  <c r="C8286" i="15"/>
  <c r="D8285" i="15"/>
  <c r="C8285" i="15"/>
  <c r="D8284" i="15"/>
  <c r="C8284" i="15"/>
  <c r="D8283" i="15"/>
  <c r="C8283" i="15"/>
  <c r="D8282" i="15"/>
  <c r="C8282" i="15"/>
  <c r="D8281" i="15"/>
  <c r="C8281" i="15"/>
  <c r="D8280" i="15"/>
  <c r="C8280" i="15"/>
  <c r="D8279" i="15"/>
  <c r="C8279" i="15"/>
  <c r="D8278" i="15"/>
  <c r="C8278" i="15"/>
  <c r="D8277" i="15"/>
  <c r="C8277" i="15"/>
  <c r="D8276" i="15"/>
  <c r="C8276" i="15"/>
  <c r="D8275" i="15"/>
  <c r="C8275" i="15"/>
  <c r="D8274" i="15"/>
  <c r="C8274" i="15"/>
  <c r="D8273" i="15"/>
  <c r="C8273" i="15"/>
  <c r="D8272" i="15"/>
  <c r="C8272" i="15"/>
  <c r="D8271" i="15"/>
  <c r="C8271" i="15"/>
  <c r="D8269" i="15"/>
  <c r="C8269" i="15"/>
  <c r="D8268" i="15"/>
  <c r="C8268" i="15"/>
  <c r="D8266" i="15"/>
  <c r="C8266" i="15"/>
  <c r="D8265" i="15"/>
  <c r="C8265" i="15"/>
  <c r="D8264" i="15"/>
  <c r="C8264" i="15"/>
  <c r="D8262" i="15"/>
  <c r="C8262" i="15"/>
  <c r="D8261" i="15"/>
  <c r="C8261" i="15"/>
  <c r="D8259" i="15"/>
  <c r="C8259" i="15"/>
  <c r="D8258" i="15"/>
  <c r="C8258" i="15"/>
  <c r="D8257" i="15"/>
  <c r="C8257" i="15"/>
  <c r="D8255" i="15"/>
  <c r="C8255" i="15"/>
  <c r="D8254" i="15"/>
  <c r="C8254" i="15"/>
  <c r="D8253" i="15"/>
  <c r="C8253" i="15"/>
  <c r="D8249" i="15"/>
  <c r="C8249" i="15"/>
  <c r="D8247" i="15"/>
  <c r="C8247" i="15"/>
  <c r="D8245" i="15"/>
  <c r="C8245" i="15"/>
  <c r="D8244" i="15"/>
  <c r="C8244" i="15"/>
  <c r="D8242" i="15"/>
  <c r="C8242" i="15"/>
  <c r="D8241" i="15"/>
  <c r="C8241" i="15"/>
  <c r="D8240" i="15"/>
  <c r="C8240" i="15"/>
  <c r="D8239" i="15"/>
  <c r="C8239" i="15"/>
  <c r="D8238" i="15"/>
  <c r="C8238" i="15"/>
  <c r="D8235" i="15"/>
  <c r="C8235" i="15"/>
  <c r="D8233" i="15"/>
  <c r="C8233" i="15"/>
  <c r="D8232" i="15"/>
  <c r="C8232" i="15"/>
  <c r="D8231" i="15"/>
  <c r="C8231" i="15"/>
  <c r="D8227" i="15"/>
  <c r="C8227" i="15"/>
  <c r="D8225" i="15"/>
  <c r="C8225" i="15"/>
  <c r="D8223" i="15"/>
  <c r="C8223" i="15"/>
  <c r="D8222" i="15"/>
  <c r="C8222" i="15"/>
  <c r="D8220" i="15"/>
  <c r="C8220" i="15"/>
  <c r="D8219" i="15"/>
  <c r="C8219" i="15"/>
  <c r="D8218" i="15"/>
  <c r="C8218" i="15"/>
  <c r="D8217" i="15"/>
  <c r="C8217" i="15"/>
  <c r="D8216" i="15"/>
  <c r="C8216" i="15"/>
  <c r="D8215" i="15"/>
  <c r="C8215" i="15"/>
  <c r="D8214" i="15"/>
  <c r="C8214" i="15"/>
  <c r="D8212" i="15"/>
  <c r="C8212" i="15"/>
  <c r="D8211" i="15"/>
  <c r="C8211" i="15"/>
  <c r="D8210" i="15"/>
  <c r="C8210" i="15"/>
  <c r="D8209" i="15"/>
  <c r="C8209" i="15"/>
  <c r="D8208" i="15"/>
  <c r="C8208" i="15"/>
  <c r="D8207" i="15"/>
  <c r="C8207" i="15"/>
  <c r="D8206" i="15"/>
  <c r="C8206" i="15"/>
  <c r="D8205" i="15"/>
  <c r="C8205" i="15"/>
  <c r="D8204" i="15"/>
  <c r="C8204" i="15"/>
  <c r="D8203" i="15"/>
  <c r="C8203" i="15"/>
  <c r="D8202" i="15"/>
  <c r="C8202" i="15"/>
  <c r="D8201" i="15"/>
  <c r="C8201" i="15"/>
  <c r="D8200" i="15"/>
  <c r="C8200" i="15"/>
  <c r="D8198" i="15"/>
  <c r="C8198" i="15"/>
  <c r="D8197" i="15"/>
  <c r="C8197" i="15"/>
  <c r="D8196" i="15"/>
  <c r="C8196" i="15"/>
  <c r="D8195" i="15"/>
  <c r="C8195" i="15"/>
  <c r="D8194" i="15"/>
  <c r="C8194" i="15"/>
  <c r="D8193" i="15"/>
  <c r="C8193" i="15"/>
  <c r="D8192" i="15"/>
  <c r="C8192" i="15"/>
  <c r="D8191" i="15"/>
  <c r="C8191" i="15"/>
  <c r="D8190" i="15"/>
  <c r="C8190" i="15"/>
  <c r="D8189" i="15"/>
  <c r="C8189" i="15"/>
  <c r="D8188" i="15"/>
  <c r="C8188" i="15"/>
  <c r="D8187" i="15"/>
  <c r="C8187" i="15"/>
  <c r="D8186" i="15"/>
  <c r="C8186" i="15"/>
  <c r="D8185" i="15"/>
  <c r="C8185" i="15"/>
  <c r="D8184" i="15"/>
  <c r="C8184" i="15"/>
  <c r="D8183" i="15"/>
  <c r="C8183" i="15"/>
  <c r="D8182" i="15"/>
  <c r="C8182" i="15"/>
  <c r="D8181" i="15"/>
  <c r="C8181" i="15"/>
  <c r="D8179" i="15"/>
  <c r="C8179" i="15"/>
  <c r="D8178" i="15"/>
  <c r="C8178" i="15"/>
  <c r="D8177" i="15"/>
  <c r="C8177" i="15"/>
  <c r="D8173" i="15"/>
  <c r="C8173" i="15"/>
  <c r="D8172" i="15"/>
  <c r="C8172" i="15"/>
  <c r="D8171" i="15"/>
  <c r="C8171" i="15"/>
  <c r="D8169" i="15"/>
  <c r="C8169" i="15"/>
  <c r="D8166" i="15"/>
  <c r="C8166" i="15"/>
  <c r="D8165" i="15"/>
  <c r="C8165" i="15"/>
  <c r="D8164" i="15"/>
  <c r="C8164" i="15"/>
  <c r="D8162" i="15"/>
  <c r="C8162" i="15"/>
  <c r="D8161" i="15"/>
  <c r="C8161" i="15"/>
  <c r="D8160" i="15"/>
  <c r="C8160" i="15"/>
  <c r="D8159" i="15"/>
  <c r="C8159" i="15"/>
  <c r="D8158" i="15"/>
  <c r="C8158" i="15"/>
  <c r="D8157" i="15"/>
  <c r="C8157" i="15"/>
  <c r="D8156" i="15"/>
  <c r="C8156" i="15"/>
  <c r="D8155" i="15"/>
  <c r="C8155" i="15"/>
  <c r="D8154" i="15"/>
  <c r="C8154" i="15"/>
  <c r="D8152" i="15"/>
  <c r="C8152" i="15"/>
  <c r="D8151" i="15"/>
  <c r="C8151" i="15"/>
  <c r="D8149" i="15"/>
  <c r="C8149" i="15"/>
  <c r="D8148" i="15"/>
  <c r="C8148" i="15"/>
  <c r="D8147" i="15"/>
  <c r="C8147" i="15"/>
  <c r="D8146" i="15"/>
  <c r="C8146" i="15"/>
  <c r="D8145" i="15"/>
  <c r="C8145" i="15"/>
  <c r="D8144" i="15"/>
  <c r="C8144" i="15"/>
  <c r="D8143" i="15"/>
  <c r="C8143" i="15"/>
  <c r="D8142" i="15"/>
  <c r="C8142" i="15"/>
  <c r="D8139" i="15"/>
  <c r="C8139" i="15"/>
  <c r="D8137" i="15"/>
  <c r="C8137" i="15"/>
  <c r="D8136" i="15"/>
  <c r="C8136" i="15"/>
  <c r="D8135" i="15"/>
  <c r="C8135" i="15"/>
  <c r="D8134" i="15"/>
  <c r="C8134" i="15"/>
  <c r="D8133" i="15"/>
  <c r="C8133" i="15"/>
  <c r="D8132" i="15"/>
  <c r="C8132" i="15"/>
  <c r="D8131" i="15"/>
  <c r="C8131" i="15"/>
  <c r="D8130" i="15"/>
  <c r="C8130" i="15"/>
  <c r="D8129" i="15"/>
  <c r="C8129" i="15"/>
  <c r="D8128" i="15"/>
  <c r="C8128" i="15"/>
  <c r="D8127" i="15"/>
  <c r="C8127" i="15"/>
  <c r="D8126" i="15"/>
  <c r="C8126" i="15"/>
  <c r="D8125" i="15"/>
  <c r="C8125" i="15"/>
  <c r="D8124" i="15"/>
  <c r="C8124" i="15"/>
  <c r="D8123" i="15"/>
  <c r="C8123" i="15"/>
  <c r="D8122" i="15"/>
  <c r="C8122" i="15"/>
  <c r="D8121" i="15"/>
  <c r="C8121" i="15"/>
  <c r="D8120" i="15"/>
  <c r="C8120" i="15"/>
  <c r="D8119" i="15"/>
  <c r="C8119" i="15"/>
  <c r="D8118" i="15"/>
  <c r="C8118" i="15"/>
  <c r="D8117" i="15"/>
  <c r="C8117" i="15"/>
  <c r="D8116" i="15"/>
  <c r="C8116" i="15"/>
  <c r="D8115" i="15"/>
  <c r="C8115" i="15"/>
  <c r="D8114" i="15"/>
  <c r="C8114" i="15"/>
  <c r="D8113" i="15"/>
  <c r="C8113" i="15"/>
  <c r="D8112" i="15"/>
  <c r="C8112" i="15"/>
  <c r="D8111" i="15"/>
  <c r="C8111" i="15"/>
  <c r="D8110" i="15"/>
  <c r="C8110" i="15"/>
  <c r="D8108" i="15"/>
  <c r="C8108" i="15"/>
  <c r="D8107" i="15"/>
  <c r="C8107" i="15"/>
  <c r="D8106" i="15"/>
  <c r="C8106" i="15"/>
  <c r="D8105" i="15"/>
  <c r="C8105" i="15"/>
  <c r="D8104" i="15"/>
  <c r="C8104" i="15"/>
  <c r="D8103" i="15"/>
  <c r="C8103" i="15"/>
  <c r="D8102" i="15"/>
  <c r="C8102" i="15"/>
  <c r="D8101" i="15"/>
  <c r="C8101" i="15"/>
  <c r="D8100" i="15"/>
  <c r="C8100" i="15"/>
  <c r="D8098" i="15"/>
  <c r="C8098" i="15"/>
  <c r="D8096" i="15"/>
  <c r="C8096" i="15"/>
  <c r="D8094" i="15"/>
  <c r="C8094" i="15"/>
  <c r="D8092" i="15"/>
  <c r="C8092" i="15"/>
  <c r="D8091" i="15"/>
  <c r="C8091" i="15"/>
  <c r="D8090" i="15"/>
  <c r="C8090" i="15"/>
  <c r="D8089" i="15"/>
  <c r="C8089" i="15"/>
  <c r="D8088" i="15"/>
  <c r="C8088" i="15"/>
  <c r="D8087" i="15"/>
  <c r="C8087" i="15"/>
  <c r="D8086" i="15"/>
  <c r="C8086" i="15"/>
  <c r="D8085" i="15"/>
  <c r="C8085" i="15"/>
  <c r="D8084" i="15"/>
  <c r="C8084" i="15"/>
  <c r="D8083" i="15"/>
  <c r="C8083" i="15"/>
  <c r="D8082" i="15"/>
  <c r="C8082" i="15"/>
  <c r="D8081" i="15"/>
  <c r="C8081" i="15"/>
  <c r="D8080" i="15"/>
  <c r="C8080" i="15"/>
  <c r="D8079" i="15"/>
  <c r="C8079" i="15"/>
  <c r="D8078" i="15"/>
  <c r="C8078" i="15"/>
  <c r="D8077" i="15"/>
  <c r="C8077" i="15"/>
  <c r="D8076" i="15"/>
  <c r="C8076" i="15"/>
  <c r="D8075" i="15"/>
  <c r="C8075" i="15"/>
  <c r="D8074" i="15"/>
  <c r="C8074" i="15"/>
  <c r="D8070" i="15"/>
  <c r="C8070" i="15"/>
  <c r="D8069" i="15"/>
  <c r="C8069" i="15"/>
  <c r="D8068" i="15"/>
  <c r="C8068" i="15"/>
  <c r="D8067" i="15"/>
  <c r="C8067" i="15"/>
  <c r="D8066" i="15"/>
  <c r="C8066" i="15"/>
  <c r="D8062" i="15"/>
  <c r="C8062" i="15"/>
  <c r="D8061" i="15"/>
  <c r="C8061" i="15"/>
  <c r="D8060" i="15"/>
  <c r="C8060" i="15"/>
  <c r="D8059" i="15"/>
  <c r="C8059" i="15"/>
  <c r="D8058" i="15"/>
  <c r="C8058" i="15"/>
  <c r="D8056" i="15"/>
  <c r="C8056" i="15"/>
  <c r="D8054" i="15"/>
  <c r="C8054" i="15"/>
  <c r="D8053" i="15"/>
  <c r="C8053" i="15"/>
  <c r="D8052" i="15"/>
  <c r="C8052" i="15"/>
  <c r="D8051" i="15"/>
  <c r="C8051" i="15"/>
  <c r="D8050" i="15"/>
  <c r="C8050" i="15"/>
  <c r="D8049" i="15"/>
  <c r="C8049" i="15"/>
  <c r="D8048" i="15"/>
  <c r="C8048" i="15"/>
  <c r="D8047" i="15"/>
  <c r="C8047" i="15"/>
  <c r="D8044" i="15"/>
  <c r="C8044" i="15"/>
  <c r="D8043" i="15"/>
  <c r="C8043" i="15"/>
  <c r="D8041" i="15"/>
  <c r="C8041" i="15"/>
  <c r="D8036" i="15"/>
  <c r="C8036" i="15"/>
  <c r="D8035" i="15"/>
  <c r="C8035" i="15"/>
  <c r="D8034" i="15"/>
  <c r="C8034" i="15"/>
  <c r="D8033" i="15"/>
  <c r="C8033" i="15"/>
  <c r="D8032" i="15"/>
  <c r="C8032" i="15"/>
  <c r="D8031" i="15"/>
  <c r="C8031" i="15"/>
  <c r="D8030" i="15"/>
  <c r="C8030" i="15"/>
  <c r="D8029" i="15"/>
  <c r="C8029" i="15"/>
  <c r="D8028" i="15"/>
  <c r="C8028" i="15"/>
  <c r="D8027" i="15"/>
  <c r="C8027" i="15"/>
  <c r="D8026" i="15"/>
  <c r="C8026" i="15"/>
  <c r="D8025" i="15"/>
  <c r="C8025" i="15"/>
  <c r="D8024" i="15"/>
  <c r="C8024" i="15"/>
  <c r="D8023" i="15"/>
  <c r="C8023" i="15"/>
  <c r="D8022" i="15"/>
  <c r="C8022" i="15"/>
  <c r="D8019" i="15"/>
  <c r="C8019" i="15"/>
  <c r="D8018" i="15"/>
  <c r="C8018" i="15"/>
  <c r="D8017" i="15"/>
  <c r="C8017" i="15"/>
  <c r="D8016" i="15"/>
  <c r="C8016" i="15"/>
  <c r="D8015" i="15"/>
  <c r="C8015" i="15"/>
  <c r="D8014" i="15"/>
  <c r="C8014" i="15"/>
  <c r="D8013" i="15"/>
  <c r="C8013" i="15"/>
  <c r="D8012" i="15"/>
  <c r="C8012" i="15"/>
  <c r="D8011" i="15"/>
  <c r="C8011" i="15"/>
  <c r="D8010" i="15"/>
  <c r="C8010" i="15"/>
  <c r="D8009" i="15"/>
  <c r="C8009" i="15"/>
  <c r="D8008" i="15"/>
  <c r="C8008" i="15"/>
  <c r="D8007" i="15"/>
  <c r="C8007" i="15"/>
  <c r="D8006" i="15"/>
  <c r="C8006" i="15"/>
  <c r="D8005" i="15"/>
  <c r="C8005" i="15"/>
  <c r="D8004" i="15"/>
  <c r="C8004" i="15"/>
  <c r="D8003" i="15"/>
  <c r="C8003" i="15"/>
  <c r="D8002" i="15"/>
  <c r="C8002" i="15"/>
  <c r="D8001" i="15"/>
  <c r="C8001" i="15"/>
  <c r="D8000" i="15"/>
  <c r="C8000" i="15"/>
  <c r="D7999" i="15"/>
  <c r="C7999" i="15"/>
  <c r="D7998" i="15"/>
  <c r="C7998" i="15"/>
  <c r="D7997" i="15"/>
  <c r="C7997" i="15"/>
  <c r="D7996" i="15"/>
  <c r="C7996" i="15"/>
  <c r="D7995" i="15"/>
  <c r="C7995" i="15"/>
  <c r="D7994" i="15"/>
  <c r="C7994" i="15"/>
  <c r="D7945" i="15"/>
  <c r="C7945" i="15"/>
  <c r="D7944" i="15"/>
  <c r="C7944" i="15"/>
  <c r="D7943" i="15"/>
  <c r="C7943" i="15"/>
  <c r="D7942" i="15"/>
  <c r="C7942" i="15"/>
  <c r="D7941" i="15"/>
  <c r="C7941" i="15"/>
  <c r="D7940" i="15"/>
  <c r="C7940" i="15"/>
  <c r="D7939" i="15"/>
  <c r="C7939" i="15"/>
  <c r="D7938" i="15"/>
  <c r="C7938" i="15"/>
  <c r="D7937" i="15"/>
  <c r="C7937" i="15"/>
  <c r="D7936" i="15"/>
  <c r="C7936" i="15"/>
  <c r="D7781" i="15"/>
  <c r="C7781" i="15"/>
  <c r="D7780" i="15"/>
  <c r="C7780" i="15"/>
  <c r="D7777" i="15"/>
  <c r="C7777" i="15"/>
  <c r="D7775" i="15"/>
  <c r="C7775" i="15"/>
  <c r="D7774" i="15"/>
  <c r="C7774" i="15"/>
  <c r="D7773" i="15"/>
  <c r="C7773" i="15"/>
  <c r="D7772" i="15"/>
  <c r="C7772" i="15"/>
  <c r="D7767" i="15"/>
  <c r="C7767" i="15"/>
  <c r="D7766" i="15"/>
  <c r="C7766" i="15"/>
  <c r="D7765" i="15"/>
  <c r="C7765" i="15"/>
  <c r="D7763" i="15"/>
  <c r="C7763" i="15"/>
  <c r="D7762" i="15"/>
  <c r="C7762" i="15"/>
  <c r="D7760" i="15"/>
  <c r="C7760" i="15"/>
  <c r="D7759" i="15"/>
  <c r="C7759" i="15"/>
  <c r="D7758" i="15"/>
  <c r="C7758" i="15"/>
  <c r="D7757" i="15"/>
  <c r="C7757" i="15"/>
  <c r="D7756" i="15"/>
  <c r="C7756" i="15"/>
  <c r="D7755" i="15"/>
  <c r="C7755" i="15"/>
  <c r="D7753" i="15"/>
  <c r="C7753" i="15"/>
  <c r="D7752" i="15"/>
  <c r="C7752" i="15"/>
  <c r="D7751" i="15"/>
  <c r="C7751" i="15"/>
  <c r="D7749" i="15"/>
  <c r="C7749" i="15"/>
  <c r="D7747" i="15"/>
  <c r="C7747" i="15"/>
  <c r="D7746" i="15"/>
  <c r="C7746" i="15"/>
  <c r="D7744" i="15"/>
  <c r="C7744" i="15"/>
  <c r="D7743" i="15"/>
  <c r="C7743" i="15"/>
  <c r="D7741" i="15"/>
  <c r="C7741" i="15"/>
  <c r="D7740" i="15"/>
  <c r="C7740" i="15"/>
  <c r="D7739" i="15"/>
  <c r="C7739" i="15"/>
  <c r="D7738" i="15"/>
  <c r="C7738" i="15"/>
  <c r="D7737" i="15"/>
  <c r="C7737" i="15"/>
  <c r="D7734" i="15"/>
  <c r="C7734" i="15"/>
  <c r="D7733" i="15"/>
  <c r="C7733" i="15"/>
  <c r="D7732" i="15"/>
  <c r="C7732" i="15"/>
  <c r="D7731" i="15"/>
  <c r="C7731" i="15"/>
  <c r="D7730" i="15"/>
  <c r="C7730" i="15"/>
  <c r="D7729" i="15"/>
  <c r="C7729" i="15"/>
  <c r="D7728" i="15"/>
  <c r="C7728" i="15"/>
  <c r="D7724" i="15"/>
  <c r="C7724" i="15"/>
  <c r="D7722" i="15"/>
  <c r="C7722" i="15"/>
  <c r="D7721" i="15"/>
  <c r="C7721" i="15"/>
  <c r="D7720" i="15"/>
  <c r="C7720" i="15"/>
  <c r="D7719" i="15"/>
  <c r="C7719" i="15"/>
  <c r="D7718" i="15"/>
  <c r="C7718" i="15"/>
  <c r="D7717" i="15"/>
  <c r="C7717" i="15"/>
  <c r="D7716" i="15"/>
  <c r="C7716" i="15"/>
  <c r="D7715" i="15"/>
  <c r="C7715" i="15"/>
  <c r="D7714" i="15"/>
  <c r="C7714" i="15"/>
  <c r="D7713" i="15"/>
  <c r="C7713" i="15"/>
  <c r="D7712" i="15"/>
  <c r="C7712" i="15"/>
  <c r="D7711" i="15"/>
  <c r="C7711" i="15"/>
  <c r="D7710" i="15"/>
  <c r="C7710" i="15"/>
  <c r="D7709" i="15"/>
  <c r="C7709" i="15"/>
  <c r="D7708" i="15"/>
  <c r="C7708" i="15"/>
  <c r="D7707" i="15"/>
  <c r="C7707" i="15"/>
  <c r="D7706" i="15"/>
  <c r="C7706" i="15"/>
  <c r="D7701" i="15"/>
  <c r="C7701" i="15"/>
  <c r="D7700" i="15"/>
  <c r="C7700" i="15"/>
  <c r="D7698" i="15"/>
  <c r="C7698" i="15"/>
  <c r="D7689" i="15"/>
  <c r="C7689" i="15"/>
  <c r="D7688" i="15"/>
  <c r="C7688" i="15"/>
  <c r="D7687" i="15"/>
  <c r="C7687" i="15"/>
  <c r="D7686" i="15"/>
  <c r="C7686" i="15"/>
  <c r="D7685" i="15"/>
  <c r="C7685" i="15"/>
  <c r="D7684" i="15"/>
  <c r="C7684" i="15"/>
  <c r="D7683" i="15"/>
  <c r="C7683" i="15"/>
  <c r="D7680" i="15"/>
  <c r="C7680" i="15"/>
  <c r="D7679" i="15"/>
  <c r="C7679" i="15"/>
  <c r="D7678" i="15"/>
  <c r="C7678" i="15"/>
  <c r="D7677" i="15"/>
  <c r="C7677" i="15"/>
  <c r="D7676" i="15"/>
  <c r="C7676" i="15"/>
  <c r="D7675" i="15"/>
  <c r="C7675" i="15"/>
  <c r="D7674" i="15"/>
  <c r="C7674" i="15"/>
  <c r="D7673" i="15"/>
  <c r="C7673" i="15"/>
  <c r="D7672" i="15"/>
  <c r="C7672" i="15"/>
  <c r="D7670" i="15"/>
  <c r="C7670" i="15"/>
  <c r="D7669" i="15"/>
  <c r="C7669" i="15"/>
  <c r="D7668" i="15"/>
  <c r="C7668" i="15"/>
  <c r="D7667" i="15"/>
  <c r="C7667" i="15"/>
  <c r="D7666" i="15"/>
  <c r="C7666" i="15"/>
  <c r="D7665" i="15"/>
  <c r="C7665" i="15"/>
  <c r="D7664" i="15"/>
  <c r="C7664" i="15"/>
  <c r="D7663" i="15"/>
  <c r="C7663" i="15"/>
  <c r="D7662" i="15"/>
  <c r="C7662" i="15"/>
  <c r="D7658" i="15"/>
  <c r="C7658" i="15"/>
  <c r="D7657" i="15"/>
  <c r="C7657" i="15"/>
  <c r="D7655" i="15"/>
  <c r="C7655" i="15"/>
  <c r="D7654" i="15"/>
  <c r="C7654" i="15"/>
  <c r="D7653" i="15"/>
  <c r="C7653" i="15"/>
  <c r="D7651" i="15"/>
  <c r="C7651" i="15"/>
  <c r="D7650" i="15"/>
  <c r="C7650" i="15"/>
  <c r="D7647" i="15"/>
  <c r="C7647" i="15"/>
  <c r="D7646" i="15"/>
  <c r="C7646" i="15"/>
  <c r="D7645" i="15"/>
  <c r="C7645" i="15"/>
  <c r="D7644" i="15"/>
  <c r="C7644" i="15"/>
  <c r="D7643" i="15"/>
  <c r="C7643" i="15"/>
  <c r="D7642" i="15"/>
  <c r="C7642" i="15"/>
  <c r="D7639" i="15"/>
  <c r="C7639" i="15"/>
  <c r="D7638" i="15"/>
  <c r="C7638" i="15"/>
  <c r="D7637" i="15"/>
  <c r="C7637" i="15"/>
  <c r="D7636" i="15"/>
  <c r="C7636" i="15"/>
  <c r="D7635" i="15"/>
  <c r="C7635" i="15"/>
  <c r="D7634" i="15"/>
  <c r="C7634" i="15"/>
  <c r="D7633" i="15"/>
  <c r="C7633" i="15"/>
  <c r="D7630" i="15"/>
  <c r="C7630" i="15"/>
  <c r="D7629" i="15"/>
  <c r="C7629" i="15"/>
  <c r="D7627" i="15"/>
  <c r="C7627" i="15"/>
  <c r="D7626" i="15"/>
  <c r="C7626" i="15"/>
  <c r="D7625" i="15"/>
  <c r="C7625" i="15"/>
  <c r="D7624" i="15"/>
  <c r="C7624" i="15"/>
  <c r="D7623" i="15"/>
  <c r="C7623" i="15"/>
  <c r="D7621" i="15"/>
  <c r="C7621" i="15"/>
  <c r="D7612" i="15"/>
  <c r="C7612" i="15"/>
  <c r="D7604" i="15"/>
  <c r="C7604" i="15"/>
  <c r="D7600" i="15"/>
  <c r="C7600" i="15"/>
  <c r="D7598" i="15"/>
  <c r="C7598" i="15"/>
  <c r="D7597" i="15"/>
  <c r="C7597" i="15"/>
  <c r="D7596" i="15"/>
  <c r="C7596" i="15"/>
  <c r="D7595" i="15"/>
  <c r="C7595" i="15"/>
  <c r="D7594" i="15"/>
  <c r="C7594" i="15"/>
  <c r="D7593" i="15"/>
  <c r="C7593" i="15"/>
  <c r="D7592" i="15"/>
  <c r="C7592" i="15"/>
  <c r="D7591" i="15"/>
  <c r="C7591" i="15"/>
  <c r="D7588" i="15"/>
  <c r="C7588" i="15"/>
  <c r="D7587" i="15"/>
  <c r="C7587" i="15"/>
  <c r="D7586" i="15"/>
  <c r="C7586" i="15"/>
  <c r="D7585" i="15"/>
  <c r="C7585" i="15"/>
  <c r="D7584" i="15"/>
  <c r="C7584" i="15"/>
  <c r="D7583" i="15"/>
  <c r="C7583" i="15"/>
  <c r="D7581" i="15"/>
  <c r="C7581" i="15"/>
  <c r="D7580" i="15"/>
  <c r="C7580" i="15"/>
  <c r="D7578" i="15"/>
  <c r="C7578" i="15"/>
  <c r="D7577" i="15"/>
  <c r="C7577" i="15"/>
  <c r="D7574" i="15"/>
  <c r="C7574" i="15"/>
  <c r="D7573" i="15"/>
  <c r="C7573" i="15"/>
  <c r="D7566" i="15"/>
  <c r="C7566" i="15"/>
  <c r="D7565" i="15"/>
  <c r="C7565" i="15"/>
  <c r="D7564" i="15"/>
  <c r="C7564" i="15"/>
  <c r="D7563" i="15"/>
  <c r="C7563" i="15"/>
  <c r="D7562" i="15"/>
  <c r="C7562" i="15"/>
  <c r="D7561" i="15"/>
  <c r="C7561" i="15"/>
  <c r="D7560" i="15"/>
  <c r="C7560" i="15"/>
  <c r="D7558" i="15"/>
  <c r="C7558" i="15"/>
  <c r="D7556" i="15"/>
  <c r="C7556" i="15"/>
  <c r="D7553" i="15"/>
  <c r="C7553" i="15"/>
  <c r="D7552" i="15"/>
  <c r="C7552" i="15"/>
  <c r="D7549" i="15"/>
  <c r="C7549" i="15"/>
  <c r="D7548" i="15"/>
  <c r="C7548" i="15"/>
  <c r="D7547" i="15"/>
  <c r="C7547" i="15"/>
  <c r="D7546" i="15"/>
  <c r="C7546" i="15"/>
  <c r="D7545" i="15"/>
  <c r="C7545" i="15"/>
  <c r="D7544" i="15"/>
  <c r="C7544" i="15"/>
  <c r="D7542" i="15"/>
  <c r="C7542" i="15"/>
  <c r="D7541" i="15"/>
  <c r="C7541" i="15"/>
  <c r="D7540" i="15"/>
  <c r="C7540" i="15"/>
  <c r="D7539" i="15"/>
  <c r="C7539" i="15"/>
  <c r="D7538" i="15"/>
  <c r="C7538" i="15"/>
  <c r="D7537" i="15"/>
  <c r="C7537" i="15"/>
  <c r="D7536" i="15"/>
  <c r="C7536" i="15"/>
  <c r="D7535" i="15"/>
  <c r="C7535" i="15"/>
  <c r="D7533" i="15"/>
  <c r="C7533" i="15"/>
  <c r="D7532" i="15"/>
  <c r="C7532" i="15"/>
  <c r="D7531" i="15"/>
  <c r="C7531" i="15"/>
  <c r="D7530" i="15"/>
  <c r="C7530" i="15"/>
  <c r="D7529" i="15"/>
  <c r="C7529" i="15"/>
  <c r="D7528" i="15"/>
  <c r="C7528" i="15"/>
  <c r="D7527" i="15"/>
  <c r="C7527" i="15"/>
  <c r="D7526" i="15"/>
  <c r="C7526" i="15"/>
  <c r="D7525" i="15"/>
  <c r="C7525" i="15"/>
  <c r="D7524" i="15"/>
  <c r="C7524" i="15"/>
  <c r="D7523" i="15"/>
  <c r="C7523" i="15"/>
  <c r="D7522" i="15"/>
  <c r="C7522" i="15"/>
  <c r="D7520" i="15"/>
  <c r="C7520" i="15"/>
  <c r="D7519" i="15"/>
  <c r="C7519" i="15"/>
  <c r="D7518" i="15"/>
  <c r="C7518" i="15"/>
  <c r="D7517" i="15"/>
  <c r="C7517" i="15"/>
  <c r="D7516" i="15"/>
  <c r="C7516" i="15"/>
  <c r="D7515" i="15"/>
  <c r="C7515" i="15"/>
  <c r="D7514" i="15"/>
  <c r="C7514" i="15"/>
  <c r="D7513" i="15"/>
  <c r="C7513" i="15"/>
  <c r="D7512" i="15"/>
  <c r="C7512" i="15"/>
  <c r="D7511" i="15"/>
  <c r="C7511" i="15"/>
  <c r="D7509" i="15"/>
  <c r="C7509" i="15"/>
  <c r="D7508" i="15"/>
  <c r="C7508" i="15"/>
  <c r="D7503" i="15"/>
  <c r="C7503" i="15"/>
  <c r="D7502" i="15"/>
  <c r="C7502" i="15"/>
  <c r="D7501" i="15"/>
  <c r="C7501" i="15"/>
  <c r="D7500" i="15"/>
  <c r="C7500" i="15"/>
  <c r="D7498" i="15"/>
  <c r="C7498" i="15"/>
  <c r="D7496" i="15"/>
  <c r="C7496" i="15"/>
  <c r="D7495" i="15"/>
  <c r="C7495" i="15"/>
  <c r="D7493" i="15"/>
  <c r="C7493" i="15"/>
  <c r="D7492" i="15"/>
  <c r="C7492" i="15"/>
  <c r="D7490" i="15"/>
  <c r="C7490" i="15"/>
  <c r="D7487" i="15"/>
  <c r="C7487" i="15"/>
  <c r="D7486" i="15"/>
  <c r="C7486" i="15"/>
  <c r="D7484" i="15"/>
  <c r="C7484" i="15"/>
  <c r="D7483" i="15"/>
  <c r="C7483" i="15"/>
  <c r="D7481" i="15"/>
  <c r="C7481" i="15"/>
  <c r="D7479" i="15"/>
  <c r="C7479" i="15"/>
  <c r="D7478" i="15"/>
  <c r="C7478" i="15"/>
  <c r="D7477" i="15"/>
  <c r="C7477" i="15"/>
  <c r="D7476" i="15"/>
  <c r="C7476" i="15"/>
  <c r="D7475" i="15"/>
  <c r="C7475" i="15"/>
  <c r="D7474" i="15"/>
  <c r="C7474" i="15"/>
  <c r="D7473" i="15"/>
  <c r="C7473" i="15"/>
  <c r="D7472" i="15"/>
  <c r="C7472" i="15"/>
  <c r="D7471" i="15"/>
  <c r="C7471" i="15"/>
  <c r="D7470" i="15"/>
  <c r="C7470" i="15"/>
  <c r="D7467" i="15"/>
  <c r="C7467" i="15"/>
  <c r="D7462" i="15"/>
  <c r="C7462" i="15"/>
  <c r="D7459" i="15"/>
  <c r="C7459" i="15"/>
  <c r="D7458" i="15"/>
  <c r="C7458" i="15"/>
  <c r="D7457" i="15"/>
  <c r="C7457" i="15"/>
  <c r="D7456" i="15"/>
  <c r="C7456" i="15"/>
  <c r="D7455" i="15"/>
  <c r="C7455" i="15"/>
  <c r="D7454" i="15"/>
  <c r="C7454" i="15"/>
  <c r="D7453" i="15"/>
  <c r="C7453" i="15"/>
  <c r="D7451" i="15"/>
  <c r="C7451" i="15"/>
  <c r="D7450" i="15"/>
  <c r="C7450" i="15"/>
  <c r="D7449" i="15"/>
  <c r="C7449" i="15"/>
  <c r="D7448" i="15"/>
  <c r="C7448" i="15"/>
  <c r="D7447" i="15"/>
  <c r="C7447" i="15"/>
  <c r="D7445" i="15"/>
  <c r="C7445" i="15"/>
  <c r="D7444" i="15"/>
  <c r="C7444" i="15"/>
  <c r="D7443" i="15"/>
  <c r="C7443" i="15"/>
  <c r="D7442" i="15"/>
  <c r="C7442" i="15"/>
  <c r="D7441" i="15"/>
  <c r="C7441" i="15"/>
  <c r="D7439" i="15"/>
  <c r="C7439" i="15"/>
  <c r="D7438" i="15"/>
  <c r="C7438" i="15"/>
  <c r="D7434" i="15"/>
  <c r="C7434" i="15"/>
  <c r="D7433" i="15"/>
  <c r="C7433" i="15"/>
  <c r="D7432" i="15"/>
  <c r="C7432" i="15"/>
  <c r="D7431" i="15"/>
  <c r="C7431" i="15"/>
  <c r="D7428" i="15"/>
  <c r="C7428" i="15"/>
  <c r="D7426" i="15"/>
  <c r="C7426" i="15"/>
  <c r="D7425" i="15"/>
  <c r="C7425" i="15"/>
  <c r="D7424" i="15"/>
  <c r="C7424" i="15"/>
  <c r="D7423" i="15"/>
  <c r="C7423" i="15"/>
  <c r="D7420" i="15"/>
  <c r="C7420" i="15"/>
  <c r="D7419" i="15"/>
  <c r="C7419" i="15"/>
  <c r="D7418" i="15"/>
  <c r="C7418" i="15"/>
  <c r="D7417" i="15"/>
  <c r="C7417" i="15"/>
  <c r="D7416" i="15"/>
  <c r="C7416" i="15"/>
  <c r="D7415" i="15"/>
  <c r="C7415" i="15"/>
  <c r="D7414" i="15"/>
  <c r="C7414" i="15"/>
  <c r="D7411" i="15"/>
  <c r="C7411" i="15"/>
  <c r="D7410" i="15"/>
  <c r="C7410" i="15"/>
  <c r="D7409" i="15"/>
  <c r="C7409" i="15"/>
  <c r="D7403" i="15"/>
  <c r="C7403" i="15"/>
  <c r="D7401" i="15"/>
  <c r="C7401" i="15"/>
  <c r="D7399" i="15"/>
  <c r="C7399" i="15"/>
  <c r="D7398" i="15"/>
  <c r="C7398" i="15"/>
  <c r="D7397" i="15"/>
  <c r="C7397" i="15"/>
  <c r="D7395" i="15"/>
  <c r="C7395" i="15"/>
  <c r="D7394" i="15"/>
  <c r="C7394" i="15"/>
  <c r="D7393" i="15"/>
  <c r="C7393" i="15"/>
  <c r="D7392" i="15"/>
  <c r="C7392" i="15"/>
  <c r="D7391" i="15"/>
  <c r="C7391" i="15"/>
  <c r="D7390" i="15"/>
  <c r="C7390" i="15"/>
  <c r="D7389" i="15"/>
  <c r="C7389" i="15"/>
  <c r="D7385" i="15"/>
  <c r="C7385" i="15"/>
  <c r="D7381" i="15"/>
  <c r="C7381" i="15"/>
  <c r="D7380" i="15"/>
  <c r="C7380" i="15"/>
  <c r="D7379" i="15"/>
  <c r="C7379" i="15"/>
  <c r="D7378" i="15"/>
  <c r="C7378" i="15"/>
  <c r="D7377" i="15"/>
  <c r="C7377" i="15"/>
  <c r="D7375" i="15"/>
  <c r="C7375" i="15"/>
  <c r="D7374" i="15"/>
  <c r="C7374" i="15"/>
  <c r="D7373" i="15"/>
  <c r="C7373" i="15"/>
  <c r="D7372" i="15"/>
  <c r="C7372" i="15"/>
  <c r="D7371" i="15"/>
  <c r="C7371" i="15"/>
  <c r="D7370" i="15"/>
  <c r="C7370" i="15"/>
  <c r="D7369" i="15"/>
  <c r="C7369" i="15"/>
  <c r="D7368" i="15"/>
  <c r="C7368" i="15"/>
  <c r="D7367" i="15"/>
  <c r="C7367" i="15"/>
  <c r="D7366" i="15"/>
  <c r="C7366" i="15"/>
  <c r="D7364" i="15"/>
  <c r="C7364" i="15"/>
  <c r="D7363" i="15"/>
  <c r="C7363" i="15"/>
  <c r="D7362" i="15"/>
  <c r="C7362" i="15"/>
  <c r="D7359" i="15"/>
  <c r="C7359" i="15"/>
  <c r="D7358" i="15"/>
  <c r="C7358" i="15"/>
  <c r="D7357" i="15"/>
  <c r="C7357" i="15"/>
  <c r="D7355" i="15"/>
  <c r="C7355" i="15"/>
  <c r="D7352" i="15"/>
  <c r="C7352" i="15"/>
  <c r="D7351" i="15"/>
  <c r="C7351" i="15"/>
  <c r="D7350" i="15"/>
  <c r="C7350" i="15"/>
  <c r="D7349" i="15"/>
  <c r="C7349" i="15"/>
  <c r="D7348" i="15"/>
  <c r="C7348" i="15"/>
  <c r="D7347" i="15"/>
  <c r="C7347" i="15"/>
  <c r="D7346" i="15"/>
  <c r="C7346" i="15"/>
  <c r="D7344" i="15"/>
  <c r="C7344" i="15"/>
  <c r="D7343" i="15"/>
  <c r="C7343" i="15"/>
  <c r="D7342" i="15"/>
  <c r="C7342" i="15"/>
  <c r="D7340" i="15"/>
  <c r="C7340" i="15"/>
  <c r="D7339" i="15"/>
  <c r="C7339" i="15"/>
  <c r="D7338" i="15"/>
  <c r="C7338" i="15"/>
  <c r="D7337" i="15"/>
  <c r="C7337" i="15"/>
  <c r="D7336" i="15"/>
  <c r="C7336" i="15"/>
  <c r="D7335" i="15"/>
  <c r="C7335" i="15"/>
  <c r="D7334" i="15"/>
  <c r="C7334" i="15"/>
  <c r="D7333" i="15"/>
  <c r="C7333" i="15"/>
  <c r="D7330" i="15"/>
  <c r="C7330" i="15"/>
  <c r="D7327" i="15"/>
  <c r="C7327" i="15"/>
  <c r="D7325" i="15"/>
  <c r="C7325" i="15"/>
  <c r="D7324" i="15"/>
  <c r="C7324" i="15"/>
  <c r="D7323" i="15"/>
  <c r="C7323" i="15"/>
  <c r="D7322" i="15"/>
  <c r="C7322" i="15"/>
  <c r="D7318" i="15"/>
  <c r="C7318" i="15"/>
  <c r="D7317" i="15"/>
  <c r="C7317" i="15"/>
  <c r="D7316" i="15"/>
  <c r="C7316" i="15"/>
  <c r="D7315" i="15"/>
  <c r="C7315" i="15"/>
  <c r="D7314" i="15"/>
  <c r="C7314" i="15"/>
  <c r="D7313" i="15"/>
  <c r="C7313" i="15"/>
  <c r="D7312" i="15"/>
  <c r="C7312" i="15"/>
  <c r="D7311" i="15"/>
  <c r="C7311" i="15"/>
  <c r="D7310" i="15"/>
  <c r="C7310" i="15"/>
  <c r="D7308" i="15"/>
  <c r="C7308" i="15"/>
  <c r="D7307" i="15"/>
  <c r="C7307" i="15"/>
  <c r="D7306" i="15"/>
  <c r="C7306" i="15"/>
  <c r="D7304" i="15"/>
  <c r="C7304" i="15"/>
  <c r="D7303" i="15"/>
  <c r="C7303" i="15"/>
  <c r="D7301" i="15"/>
  <c r="C7301" i="15"/>
  <c r="D7300" i="15"/>
  <c r="C7300" i="15"/>
  <c r="D7299" i="15"/>
  <c r="C7299" i="15"/>
  <c r="D7296" i="15"/>
  <c r="C7296" i="15"/>
  <c r="D7295" i="15"/>
  <c r="C7295" i="15"/>
  <c r="D7294" i="15"/>
  <c r="C7294" i="15"/>
  <c r="D7293" i="15"/>
  <c r="C7293" i="15"/>
  <c r="D7292" i="15"/>
  <c r="C7292" i="15"/>
  <c r="D7291" i="15"/>
  <c r="C7291" i="15"/>
  <c r="D7290" i="15"/>
  <c r="C7290" i="15"/>
  <c r="D7289" i="15"/>
  <c r="C7289" i="15"/>
  <c r="D7288" i="15"/>
  <c r="C7288" i="15"/>
  <c r="D7286" i="15"/>
  <c r="C7286" i="15"/>
  <c r="D7283" i="15"/>
  <c r="C7283" i="15"/>
  <c r="D7280" i="15"/>
  <c r="C7280" i="15"/>
  <c r="D7277" i="15"/>
  <c r="C7277" i="15"/>
  <c r="D7275" i="15"/>
  <c r="C7275" i="15"/>
  <c r="D7274" i="15"/>
  <c r="C7274" i="15"/>
  <c r="D7272" i="15"/>
  <c r="C7272" i="15"/>
  <c r="D7271" i="15"/>
  <c r="C7271" i="15"/>
  <c r="D7270" i="15"/>
  <c r="C7270" i="15"/>
  <c r="D7269" i="15"/>
  <c r="C7269" i="15"/>
  <c r="D7268" i="15"/>
  <c r="C7268" i="15"/>
  <c r="D7267" i="15"/>
  <c r="C7267" i="15"/>
  <c r="D7266" i="15"/>
  <c r="C7266" i="15"/>
  <c r="D7265" i="15"/>
  <c r="C7265" i="15"/>
  <c r="D7264" i="15"/>
  <c r="C7264" i="15"/>
  <c r="D7263" i="15"/>
  <c r="C7263" i="15"/>
  <c r="D7262" i="15"/>
  <c r="C7262" i="15"/>
  <c r="D7260" i="15"/>
  <c r="C7260" i="15"/>
  <c r="D7258" i="15"/>
  <c r="C7258" i="15"/>
  <c r="D7257" i="15"/>
  <c r="C7257" i="15"/>
  <c r="D7256" i="15"/>
  <c r="C7256" i="15"/>
  <c r="D7254" i="15"/>
  <c r="C7254" i="15"/>
  <c r="D7253" i="15"/>
  <c r="C7253" i="15"/>
  <c r="D7252" i="15"/>
  <c r="C7252" i="15"/>
  <c r="D7247" i="15"/>
  <c r="C7247" i="15"/>
  <c r="D7246" i="15"/>
  <c r="C7246" i="15"/>
  <c r="D7245" i="15"/>
  <c r="C7245" i="15"/>
  <c r="D7244" i="15"/>
  <c r="C7244" i="15"/>
  <c r="D7243" i="15"/>
  <c r="C7243" i="15"/>
  <c r="D7242" i="15"/>
  <c r="C7242" i="15"/>
  <c r="D7241" i="15"/>
  <c r="C7241" i="15"/>
  <c r="D7240" i="15"/>
  <c r="C7240" i="15"/>
  <c r="D7239" i="15"/>
  <c r="C7239" i="15"/>
  <c r="D7237" i="15"/>
  <c r="C7237" i="15"/>
  <c r="D7235" i="15"/>
  <c r="C7235" i="15"/>
  <c r="D7234" i="15"/>
  <c r="C7234" i="15"/>
  <c r="D7232" i="15"/>
  <c r="C7232" i="15"/>
  <c r="D7231" i="15"/>
  <c r="C7231" i="15"/>
  <c r="D7230" i="15"/>
  <c r="C7230" i="15"/>
  <c r="D7229" i="15"/>
  <c r="C7229" i="15"/>
  <c r="D7228" i="15"/>
  <c r="C7228" i="15"/>
  <c r="D7227" i="15"/>
  <c r="C7227" i="15"/>
  <c r="D7224" i="15"/>
  <c r="C7224" i="15"/>
  <c r="D7223" i="15"/>
  <c r="C7223" i="15"/>
  <c r="D7222" i="15"/>
  <c r="C7222" i="15"/>
  <c r="D7220" i="15"/>
  <c r="C7220" i="15"/>
  <c r="D7219" i="15"/>
  <c r="C7219" i="15"/>
  <c r="D7218" i="15"/>
  <c r="C7218" i="15"/>
  <c r="D7216" i="15"/>
  <c r="C7216" i="15"/>
  <c r="D7215" i="15"/>
  <c r="C7215" i="15"/>
  <c r="D7214" i="15"/>
  <c r="C7214" i="15"/>
  <c r="D7213" i="15"/>
  <c r="C7213" i="15"/>
  <c r="D7212" i="15"/>
  <c r="C7212" i="15"/>
  <c r="D7211" i="15"/>
  <c r="C7211" i="15"/>
  <c r="D7210" i="15"/>
  <c r="C7210" i="15"/>
  <c r="D7209" i="15"/>
  <c r="C7209" i="15"/>
  <c r="D7207" i="15"/>
  <c r="C7207" i="15"/>
  <c r="D7206" i="15"/>
  <c r="C7206" i="15"/>
  <c r="D7205" i="15"/>
  <c r="C7205" i="15"/>
  <c r="D7204" i="15"/>
  <c r="C7204" i="15"/>
  <c r="D7203" i="15"/>
  <c r="C7203" i="15"/>
  <c r="D7202" i="15"/>
  <c r="C7202" i="15"/>
  <c r="D7201" i="15"/>
  <c r="C7201" i="15"/>
  <c r="D7200" i="15"/>
  <c r="C7200" i="15"/>
  <c r="D7199" i="15"/>
  <c r="C7199" i="15"/>
  <c r="D7198" i="15"/>
  <c r="C7198" i="15"/>
  <c r="D7197" i="15"/>
  <c r="C7197" i="15"/>
  <c r="D7196" i="15"/>
  <c r="C7196" i="15"/>
  <c r="D7192" i="15"/>
  <c r="C7192" i="15"/>
  <c r="D7191" i="15"/>
  <c r="C7191" i="15"/>
  <c r="D7190" i="15"/>
  <c r="C7190" i="15"/>
  <c r="D7189" i="15"/>
  <c r="C7189" i="15"/>
  <c r="D7188" i="15"/>
  <c r="C7188" i="15"/>
  <c r="D7187" i="15"/>
  <c r="C7187" i="15"/>
  <c r="D7186" i="15"/>
  <c r="C7186" i="15"/>
  <c r="D7185" i="15"/>
  <c r="C7185" i="15"/>
  <c r="D7184" i="15"/>
  <c r="C7184" i="15"/>
  <c r="D7183" i="15"/>
  <c r="C7183" i="15"/>
  <c r="D7182" i="15"/>
  <c r="C7182" i="15"/>
  <c r="D7181" i="15"/>
  <c r="C7181" i="15"/>
  <c r="D7180" i="15"/>
  <c r="C7180" i="15"/>
  <c r="D7178" i="15"/>
  <c r="C7178" i="15"/>
  <c r="D7175" i="15"/>
  <c r="C7175" i="15"/>
  <c r="D7174" i="15"/>
  <c r="C7174" i="15"/>
  <c r="D7172" i="15"/>
  <c r="C7172" i="15"/>
  <c r="D7170" i="15"/>
  <c r="C7170" i="15"/>
  <c r="D7169" i="15"/>
  <c r="C7169" i="15"/>
  <c r="D7168" i="15"/>
  <c r="C7168" i="15"/>
  <c r="D7167" i="15"/>
  <c r="C7167" i="15"/>
  <c r="D7166" i="15"/>
  <c r="C7166" i="15"/>
  <c r="D7165" i="15"/>
  <c r="C7165" i="15"/>
  <c r="D7163" i="15"/>
  <c r="C7163" i="15"/>
  <c r="D7162" i="15"/>
  <c r="C7162" i="15"/>
  <c r="D7161" i="15"/>
  <c r="C7161" i="15"/>
  <c r="D7160" i="15"/>
  <c r="C7160" i="15"/>
  <c r="D7159" i="15"/>
  <c r="C7159" i="15"/>
  <c r="D7158" i="15"/>
  <c r="C7158" i="15"/>
  <c r="D7157" i="15"/>
  <c r="C7157" i="15"/>
  <c r="D7156" i="15"/>
  <c r="C7156" i="15"/>
  <c r="D7155" i="15"/>
  <c r="C7155" i="15"/>
  <c r="D7154" i="15"/>
  <c r="C7154" i="15"/>
  <c r="D7153" i="15"/>
  <c r="C7153" i="15"/>
  <c r="D7152" i="15"/>
  <c r="C7152" i="15"/>
  <c r="D7151" i="15"/>
  <c r="C7151" i="15"/>
  <c r="D7149" i="15"/>
  <c r="C7149" i="15"/>
  <c r="D7147" i="15"/>
  <c r="C7147" i="15"/>
  <c r="D7146" i="15"/>
  <c r="C7146" i="15"/>
  <c r="D7144" i="15"/>
  <c r="C7144" i="15"/>
  <c r="D7143" i="15"/>
  <c r="C7143" i="15"/>
  <c r="D7140" i="15"/>
  <c r="C7140" i="15"/>
  <c r="D7139" i="15"/>
  <c r="C7139" i="15"/>
  <c r="D7137" i="15"/>
  <c r="C7137" i="15"/>
  <c r="D7136" i="15"/>
  <c r="C7136" i="15"/>
  <c r="D7135" i="15"/>
  <c r="C7135" i="15"/>
  <c r="D7134" i="15"/>
  <c r="C7134" i="15"/>
  <c r="D7132" i="15"/>
  <c r="C7132" i="15"/>
  <c r="D7131" i="15"/>
  <c r="C7131" i="15"/>
  <c r="D7130" i="15"/>
  <c r="C7130" i="15"/>
  <c r="D7129" i="15"/>
  <c r="C7129" i="15"/>
  <c r="D7128" i="15"/>
  <c r="C7128" i="15"/>
  <c r="D7127" i="15"/>
  <c r="C7127" i="15"/>
  <c r="D7126" i="15"/>
  <c r="C7126" i="15"/>
  <c r="D7125" i="15"/>
  <c r="C7125" i="15"/>
  <c r="D7123" i="15"/>
  <c r="C7123" i="15"/>
  <c r="D7122" i="15"/>
  <c r="C7122" i="15"/>
  <c r="D7121" i="15"/>
  <c r="C7121" i="15"/>
  <c r="D7120" i="15"/>
  <c r="C7120" i="15"/>
  <c r="D7118" i="15"/>
  <c r="C7118" i="15"/>
  <c r="D7117" i="15"/>
  <c r="C7117" i="15"/>
  <c r="D7116" i="15"/>
  <c r="C7116" i="15"/>
  <c r="D7115" i="15"/>
  <c r="C7115" i="15"/>
  <c r="D7113" i="15"/>
  <c r="C7113" i="15"/>
  <c r="D7112" i="15"/>
  <c r="C7112" i="15"/>
  <c r="D7111" i="15"/>
  <c r="C7111" i="15"/>
  <c r="D7109" i="15"/>
  <c r="C7109" i="15"/>
  <c r="D7108" i="15"/>
  <c r="C7108" i="15"/>
  <c r="D7107" i="15"/>
  <c r="C7107" i="15"/>
  <c r="D7106" i="15"/>
  <c r="C7106" i="15"/>
  <c r="D7105" i="15"/>
  <c r="C7105" i="15"/>
  <c r="D7104" i="15"/>
  <c r="C7104" i="15"/>
  <c r="D7103" i="15"/>
  <c r="C7103" i="15"/>
  <c r="D7102" i="15"/>
  <c r="C7102" i="15"/>
  <c r="D7099" i="15"/>
  <c r="C7099" i="15"/>
  <c r="D7098" i="15"/>
  <c r="C7098" i="15"/>
  <c r="D7097" i="15"/>
  <c r="C7097" i="15"/>
  <c r="D7096" i="15"/>
  <c r="C7096" i="15"/>
  <c r="D7095" i="15"/>
  <c r="C7095" i="15"/>
  <c r="D7094" i="15"/>
  <c r="C7094" i="15"/>
  <c r="D7093" i="15"/>
  <c r="C7093" i="15"/>
  <c r="D7092" i="15"/>
  <c r="C7092" i="15"/>
  <c r="D7090" i="15"/>
  <c r="C7090" i="15"/>
  <c r="D7089" i="15"/>
  <c r="C7089" i="15"/>
  <c r="D7088" i="15"/>
  <c r="C7088" i="15"/>
  <c r="D7086" i="15"/>
  <c r="C7086" i="15"/>
  <c r="D7085" i="15"/>
  <c r="C7085" i="15"/>
  <c r="D7084" i="15"/>
  <c r="C7084" i="15"/>
  <c r="D7082" i="15"/>
  <c r="C7082" i="15"/>
  <c r="D7081" i="15"/>
  <c r="C7081" i="15"/>
  <c r="D7080" i="15"/>
  <c r="C7080" i="15"/>
  <c r="D7077" i="15"/>
  <c r="C7077" i="15"/>
  <c r="D7075" i="15"/>
  <c r="C7075" i="15"/>
  <c r="D7074" i="15"/>
  <c r="C7074" i="15"/>
  <c r="D7073" i="15"/>
  <c r="C7073" i="15"/>
  <c r="D7069" i="15"/>
  <c r="C7069" i="15"/>
  <c r="D7067" i="15"/>
  <c r="C7067" i="15"/>
  <c r="D7062" i="15"/>
  <c r="C7062" i="15"/>
  <c r="D7061" i="15"/>
  <c r="C7061" i="15"/>
  <c r="D7060" i="15"/>
  <c r="C7060" i="15"/>
  <c r="D7059" i="15"/>
  <c r="C7059" i="15"/>
  <c r="D7058" i="15"/>
  <c r="C7058" i="15"/>
  <c r="D7057" i="15"/>
  <c r="C7057" i="15"/>
  <c r="D7056" i="15"/>
  <c r="C7056" i="15"/>
  <c r="D7054" i="15"/>
  <c r="C7054" i="15"/>
  <c r="D7052" i="15"/>
  <c r="C7052" i="15"/>
  <c r="D7050" i="15"/>
  <c r="C7050" i="15"/>
  <c r="D7047" i="15"/>
  <c r="C7047" i="15"/>
  <c r="D7046" i="15"/>
  <c r="C7046" i="15"/>
  <c r="D7045" i="15"/>
  <c r="C7045" i="15"/>
  <c r="D7044" i="15"/>
  <c r="C7044" i="15"/>
  <c r="D7043" i="15"/>
  <c r="C7043" i="15"/>
  <c r="D7042" i="15"/>
  <c r="C7042" i="15"/>
  <c r="D7041" i="15"/>
  <c r="C7041" i="15"/>
  <c r="D7039" i="15"/>
  <c r="C7039" i="15"/>
  <c r="D7038" i="15"/>
  <c r="C7038" i="15"/>
  <c r="D7037" i="15"/>
  <c r="C7037" i="15"/>
  <c r="D7036" i="15"/>
  <c r="C7036" i="15"/>
  <c r="D7035" i="15"/>
  <c r="C7035" i="15"/>
  <c r="D7034" i="15"/>
  <c r="C7034" i="15"/>
  <c r="D7032" i="15"/>
  <c r="C7032" i="15"/>
  <c r="D7031" i="15"/>
  <c r="C7031" i="15"/>
  <c r="D7030" i="15"/>
  <c r="C7030" i="15"/>
  <c r="D7029" i="15"/>
  <c r="C7029" i="15"/>
  <c r="D7028" i="15"/>
  <c r="C7028" i="15"/>
  <c r="D7027" i="15"/>
  <c r="C7027" i="15"/>
  <c r="D7025" i="15"/>
  <c r="C7025" i="15"/>
  <c r="D7024" i="15"/>
  <c r="C7024" i="15"/>
  <c r="D7022" i="15"/>
  <c r="C7022" i="15"/>
  <c r="D7019" i="15"/>
  <c r="C7019" i="15"/>
  <c r="D7017" i="15"/>
  <c r="C7017" i="15"/>
  <c r="D7016" i="15"/>
  <c r="C7016" i="15"/>
  <c r="D7006" i="15"/>
  <c r="C7006" i="15"/>
  <c r="D7005" i="15"/>
  <c r="C7005" i="15"/>
  <c r="D7004" i="15"/>
  <c r="C7004" i="15"/>
  <c r="D7001" i="15"/>
  <c r="C7001" i="15"/>
  <c r="D7000" i="15"/>
  <c r="C7000" i="15"/>
  <c r="D6999" i="15"/>
  <c r="C6999" i="15"/>
  <c r="D6998" i="15"/>
  <c r="C6998" i="15"/>
  <c r="D6997" i="15"/>
  <c r="C6997" i="15"/>
  <c r="D6996" i="15"/>
  <c r="C6996" i="15"/>
  <c r="D6995" i="15"/>
  <c r="C6995" i="15"/>
  <c r="D6994" i="15"/>
  <c r="C6994" i="15"/>
  <c r="D6993" i="15"/>
  <c r="C6993" i="15"/>
  <c r="D6992" i="15"/>
  <c r="C6992" i="15"/>
  <c r="D6991" i="15"/>
  <c r="C6991" i="15"/>
  <c r="D6989" i="15"/>
  <c r="C6989" i="15"/>
  <c r="D6988" i="15"/>
  <c r="C6988" i="15"/>
  <c r="D6986" i="15"/>
  <c r="C6986" i="15"/>
  <c r="D6985" i="15"/>
  <c r="C6985" i="15"/>
  <c r="D6984" i="15"/>
  <c r="C6984" i="15"/>
  <c r="D6983" i="15"/>
  <c r="C6983" i="15"/>
  <c r="D6982" i="15"/>
  <c r="C6982" i="15"/>
  <c r="D6980" i="15"/>
  <c r="C6980" i="15"/>
  <c r="D6979" i="15"/>
  <c r="C6979" i="15"/>
  <c r="D6978" i="15"/>
  <c r="C6978" i="15"/>
  <c r="D6977" i="15"/>
  <c r="C6977" i="15"/>
  <c r="D6976" i="15"/>
  <c r="C6976" i="15"/>
  <c r="D6974" i="15"/>
  <c r="C6974" i="15"/>
  <c r="D6973" i="15"/>
  <c r="C6973" i="15"/>
  <c r="D6972" i="15"/>
  <c r="C6972" i="15"/>
  <c r="D6970" i="15"/>
  <c r="C6970" i="15"/>
  <c r="D6969" i="15"/>
  <c r="C6969" i="15"/>
  <c r="D6967" i="15"/>
  <c r="C6967" i="15"/>
  <c r="D6963" i="15"/>
  <c r="C6963" i="15"/>
  <c r="D6962" i="15"/>
  <c r="C6962" i="15"/>
  <c r="D6961" i="15"/>
  <c r="C6961" i="15"/>
  <c r="D6960" i="15"/>
  <c r="C6960" i="15"/>
  <c r="D6959" i="15"/>
  <c r="C6959" i="15"/>
  <c r="D6958" i="15"/>
  <c r="C6958" i="15"/>
  <c r="D6957" i="15"/>
  <c r="C6957" i="15"/>
  <c r="D6956" i="15"/>
  <c r="C6956" i="15"/>
  <c r="D6955" i="15"/>
  <c r="C6955" i="15"/>
  <c r="D6954" i="15"/>
  <c r="C6954" i="15"/>
  <c r="D6952" i="15"/>
  <c r="C6952" i="15"/>
  <c r="D6951" i="15"/>
  <c r="C6951" i="15"/>
  <c r="D6950" i="15"/>
  <c r="C6950" i="15"/>
  <c r="D6949" i="15"/>
  <c r="C6949" i="15"/>
  <c r="D6948" i="15"/>
  <c r="C6948" i="15"/>
  <c r="D6947" i="15"/>
  <c r="C6947" i="15"/>
  <c r="D6946" i="15"/>
  <c r="C6946" i="15"/>
  <c r="D6945" i="15"/>
  <c r="C6945" i="15"/>
  <c r="D6944" i="15"/>
  <c r="C6944" i="15"/>
  <c r="D6943" i="15"/>
  <c r="C6943" i="15"/>
  <c r="D6939" i="15"/>
  <c r="C6939" i="15"/>
  <c r="D6938" i="15"/>
  <c r="C6938" i="15"/>
  <c r="D6937" i="15"/>
  <c r="C6937" i="15"/>
  <c r="D6936" i="15"/>
  <c r="C6936" i="15"/>
  <c r="D6935" i="15"/>
  <c r="C6935" i="15"/>
  <c r="D6933" i="15"/>
  <c r="C6933" i="15"/>
  <c r="D6932" i="15"/>
  <c r="C6932" i="15"/>
  <c r="D6931" i="15"/>
  <c r="C6931" i="15"/>
  <c r="D6929" i="15"/>
  <c r="C6929" i="15"/>
  <c r="D6928" i="15"/>
  <c r="C6928" i="15"/>
  <c r="D6926" i="15"/>
  <c r="C6926" i="15"/>
  <c r="D6925" i="15"/>
  <c r="C6925" i="15"/>
  <c r="D6924" i="15"/>
  <c r="C6924" i="15"/>
  <c r="D6923" i="15"/>
  <c r="C6923" i="15"/>
  <c r="D6921" i="15"/>
  <c r="C6921" i="15"/>
  <c r="D6920" i="15"/>
  <c r="C6920" i="15"/>
  <c r="D6918" i="15"/>
  <c r="C6918" i="15"/>
  <c r="D6917" i="15"/>
  <c r="C6917" i="15"/>
  <c r="D6915" i="15"/>
  <c r="C6915" i="15"/>
  <c r="D6910" i="15"/>
  <c r="C6910" i="15"/>
  <c r="D6909" i="15"/>
  <c r="C6909" i="15"/>
  <c r="D6908" i="15"/>
  <c r="C6908" i="15"/>
  <c r="D6905" i="15"/>
  <c r="C6905" i="15"/>
  <c r="D6903" i="15"/>
  <c r="C6903" i="15"/>
  <c r="D6902" i="15"/>
  <c r="C6902" i="15"/>
  <c r="D6899" i="15"/>
  <c r="C6899" i="15"/>
  <c r="D6897" i="15"/>
  <c r="C6897" i="15"/>
  <c r="D6896" i="15"/>
  <c r="C6896" i="15"/>
  <c r="D6894" i="15"/>
  <c r="C6894" i="15"/>
  <c r="D6891" i="15"/>
  <c r="C6891" i="15"/>
  <c r="D6890" i="15"/>
  <c r="C6890" i="15"/>
  <c r="D6889" i="15"/>
  <c r="C6889" i="15"/>
  <c r="D6888" i="15"/>
  <c r="C6888" i="15"/>
  <c r="D6887" i="15"/>
  <c r="C6887" i="15"/>
  <c r="D6883" i="15"/>
  <c r="C6883" i="15"/>
  <c r="D6882" i="15"/>
  <c r="C6882" i="15"/>
  <c r="D6881" i="15"/>
  <c r="C6881" i="15"/>
  <c r="D6878" i="15"/>
  <c r="C6878" i="15"/>
  <c r="D6877" i="15"/>
  <c r="C6877" i="15"/>
  <c r="D6876" i="15"/>
  <c r="C6876" i="15"/>
  <c r="D6874" i="15"/>
  <c r="C6874" i="15"/>
  <c r="D6871" i="15"/>
  <c r="C6871" i="15"/>
  <c r="D6869" i="15"/>
  <c r="C6869" i="15"/>
  <c r="D6868" i="15"/>
  <c r="C6868" i="15"/>
  <c r="D6867" i="15"/>
  <c r="C6867" i="15"/>
  <c r="D6866" i="15"/>
  <c r="C6866" i="15"/>
  <c r="D6865" i="15"/>
  <c r="C6865" i="15"/>
  <c r="D6863" i="15"/>
  <c r="C6863" i="15"/>
  <c r="D6861" i="15"/>
  <c r="C6861" i="15"/>
  <c r="D6860" i="15"/>
  <c r="C6860" i="15"/>
  <c r="D6859" i="15"/>
  <c r="C6859" i="15"/>
  <c r="D6858" i="15"/>
  <c r="C6858" i="15"/>
  <c r="D6857" i="15"/>
  <c r="C6857" i="15"/>
  <c r="D6854" i="15"/>
  <c r="C6854" i="15"/>
  <c r="D6853" i="15"/>
  <c r="C6853" i="15"/>
  <c r="D6852" i="15"/>
  <c r="C6852" i="15"/>
  <c r="D6851" i="15"/>
  <c r="C6851" i="15"/>
  <c r="D6850" i="15"/>
  <c r="C6850" i="15"/>
  <c r="D6848" i="15"/>
  <c r="C6848" i="15"/>
  <c r="D6838" i="15"/>
  <c r="C6838" i="15"/>
  <c r="D6837" i="15"/>
  <c r="C6837" i="15"/>
  <c r="D6836" i="15"/>
  <c r="C6836" i="15"/>
  <c r="D6835" i="15"/>
  <c r="C6835" i="15"/>
  <c r="D6829" i="15"/>
  <c r="C6829" i="15"/>
  <c r="D6827" i="15"/>
  <c r="C6827" i="15"/>
  <c r="D6826" i="15"/>
  <c r="C6826" i="15"/>
  <c r="D6825" i="15"/>
  <c r="C6825" i="15"/>
  <c r="D6820" i="15"/>
  <c r="C6820" i="15"/>
  <c r="D6819" i="15"/>
  <c r="C6819" i="15"/>
  <c r="D6817" i="15"/>
  <c r="C6817" i="15"/>
  <c r="D6816" i="15"/>
  <c r="C6816" i="15"/>
  <c r="D6815" i="15"/>
  <c r="C6815" i="15"/>
  <c r="D6814" i="15"/>
  <c r="C6814" i="15"/>
  <c r="D6813" i="15"/>
  <c r="C6813" i="15"/>
  <c r="D6812" i="15"/>
  <c r="C6812" i="15"/>
  <c r="D6811" i="15"/>
  <c r="C6811" i="15"/>
  <c r="D6810" i="15"/>
  <c r="C6810" i="15"/>
  <c r="D6809" i="15"/>
  <c r="C6809" i="15"/>
  <c r="D6808" i="15"/>
  <c r="C6808" i="15"/>
  <c r="D6807" i="15"/>
  <c r="C6807" i="15"/>
  <c r="D6806" i="15"/>
  <c r="C6806" i="15"/>
  <c r="D6803" i="15"/>
  <c r="C6803" i="15"/>
  <c r="D6802" i="15"/>
  <c r="C6802" i="15"/>
  <c r="D6801" i="15"/>
  <c r="C6801" i="15"/>
  <c r="D6787" i="15"/>
  <c r="C6787" i="15"/>
  <c r="D6786" i="15"/>
  <c r="C6786" i="15"/>
  <c r="D6785" i="15"/>
  <c r="C6785" i="15"/>
  <c r="D6784" i="15"/>
  <c r="C6784" i="15"/>
  <c r="D6783" i="15"/>
  <c r="C6783" i="15"/>
  <c r="D6782" i="15"/>
  <c r="C6782" i="15"/>
  <c r="D6781" i="15"/>
  <c r="C6781" i="15"/>
  <c r="D6779" i="15"/>
  <c r="C6779" i="15"/>
  <c r="D6778" i="15"/>
  <c r="C6778" i="15"/>
  <c r="D6777" i="15"/>
  <c r="C6777" i="15"/>
  <c r="D6776" i="15"/>
  <c r="C6776" i="15"/>
  <c r="D6774" i="15"/>
  <c r="C6774" i="15"/>
  <c r="D6770" i="15"/>
  <c r="C6770" i="15"/>
  <c r="D6769" i="15"/>
  <c r="C6769" i="15"/>
  <c r="D6768" i="15"/>
  <c r="C6768" i="15"/>
  <c r="D6766" i="15"/>
  <c r="C6766" i="15"/>
  <c r="D6763" i="15"/>
  <c r="C6763" i="15"/>
  <c r="D6756" i="15"/>
  <c r="C6756" i="15"/>
  <c r="D6755" i="15"/>
  <c r="C6755" i="15"/>
  <c r="D6751" i="15"/>
  <c r="C6751" i="15"/>
  <c r="D6747" i="15"/>
  <c r="C6747" i="15"/>
  <c r="D6745" i="15"/>
  <c r="C6745" i="15"/>
  <c r="D6743" i="15"/>
  <c r="C6743" i="15"/>
  <c r="D6742" i="15"/>
  <c r="C6742" i="15"/>
  <c r="D6738" i="15"/>
  <c r="C6738" i="15"/>
  <c r="D6737" i="15"/>
  <c r="C6737" i="15"/>
  <c r="D6736" i="15"/>
  <c r="C6736" i="15"/>
  <c r="D6732" i="15"/>
  <c r="C6732" i="15"/>
  <c r="D6730" i="15"/>
  <c r="C6730" i="15"/>
  <c r="D6729" i="15"/>
  <c r="C6729" i="15"/>
  <c r="D6728" i="15"/>
  <c r="C6728" i="15"/>
  <c r="D6727" i="15"/>
  <c r="C6727" i="15"/>
  <c r="D6726" i="15"/>
  <c r="C6726" i="15"/>
  <c r="D6725" i="15"/>
  <c r="C6725" i="15"/>
  <c r="D6724" i="15"/>
  <c r="C6724" i="15"/>
  <c r="D6723" i="15"/>
  <c r="C6723" i="15"/>
  <c r="D6722" i="15"/>
  <c r="C6722" i="15"/>
  <c r="D6719" i="15"/>
  <c r="C6719" i="15"/>
  <c r="D6718" i="15"/>
  <c r="C6718" i="15"/>
  <c r="D6717" i="15"/>
  <c r="C6717" i="15"/>
  <c r="D6716" i="15"/>
  <c r="C6716" i="15"/>
  <c r="D6715" i="15"/>
  <c r="C6715" i="15"/>
  <c r="D6714" i="15"/>
  <c r="C6714" i="15"/>
  <c r="D6713" i="15"/>
  <c r="C6713" i="15"/>
  <c r="D6712" i="15"/>
  <c r="C6712" i="15"/>
  <c r="D6711" i="15"/>
  <c r="C6711" i="15"/>
  <c r="D6710" i="15"/>
  <c r="C6710" i="15"/>
  <c r="D6709" i="15"/>
  <c r="C6709" i="15"/>
  <c r="D6708" i="15"/>
  <c r="C6708" i="15"/>
  <c r="D6707" i="15"/>
  <c r="C6707" i="15"/>
  <c r="D6706" i="15"/>
  <c r="C6706" i="15"/>
  <c r="D6705" i="15"/>
  <c r="C6705" i="15"/>
  <c r="D6704" i="15"/>
  <c r="C6704" i="15"/>
  <c r="D6703" i="15"/>
  <c r="C6703" i="15"/>
  <c r="D6702" i="15"/>
  <c r="C6702" i="15"/>
  <c r="D6701" i="15"/>
  <c r="C6701" i="15"/>
  <c r="D6700" i="15"/>
  <c r="C6700" i="15"/>
  <c r="D6699" i="15"/>
  <c r="C6699" i="15"/>
  <c r="D6698" i="15"/>
  <c r="C6698" i="15"/>
  <c r="D6697" i="15"/>
  <c r="C6697" i="15"/>
  <c r="D6696" i="15"/>
  <c r="C6696" i="15"/>
  <c r="D6695" i="15"/>
  <c r="C6695" i="15"/>
  <c r="D6694" i="15"/>
  <c r="C6694" i="15"/>
  <c r="D6693" i="15"/>
  <c r="C6693" i="15"/>
  <c r="D6692" i="15"/>
  <c r="C6692" i="15"/>
  <c r="D6691" i="15"/>
  <c r="C6691" i="15"/>
  <c r="D6690" i="15"/>
  <c r="C6690" i="15"/>
  <c r="D6689" i="15"/>
  <c r="C6689" i="15"/>
  <c r="D6688" i="15"/>
  <c r="C6688" i="15"/>
  <c r="D6687" i="15"/>
  <c r="C6687" i="15"/>
  <c r="D6686" i="15"/>
  <c r="C6686" i="15"/>
  <c r="D6685" i="15"/>
  <c r="C6685" i="15"/>
  <c r="D6684" i="15"/>
  <c r="C6684" i="15"/>
  <c r="D6683" i="15"/>
  <c r="C6683" i="15"/>
  <c r="D6682" i="15"/>
  <c r="C6682" i="15"/>
  <c r="D6681" i="15"/>
  <c r="C6681" i="15"/>
  <c r="D6680" i="15"/>
  <c r="C6680" i="15"/>
  <c r="D6679" i="15"/>
  <c r="C6679" i="15"/>
  <c r="D6678" i="15"/>
  <c r="C6678" i="15"/>
  <c r="D6677" i="15"/>
  <c r="C6677" i="15"/>
  <c r="D6676" i="15"/>
  <c r="C6676" i="15"/>
  <c r="D6675" i="15"/>
  <c r="C6675" i="15"/>
  <c r="D6674" i="15"/>
  <c r="C6674" i="15"/>
  <c r="D6673" i="15"/>
  <c r="C6673" i="15"/>
  <c r="D6672" i="15"/>
  <c r="C6672" i="15"/>
  <c r="D6671" i="15"/>
  <c r="C6671" i="15"/>
  <c r="D6669" i="15"/>
  <c r="C6669" i="15"/>
  <c r="D6668" i="15"/>
  <c r="C6668" i="15"/>
  <c r="D6667" i="15"/>
  <c r="C6667" i="15"/>
  <c r="D6666" i="15"/>
  <c r="C6666" i="15"/>
  <c r="D6665" i="15"/>
  <c r="C6665" i="15"/>
  <c r="D6664" i="15"/>
  <c r="C6664" i="15"/>
  <c r="D6663" i="15"/>
  <c r="C6663" i="15"/>
  <c r="D6662" i="15"/>
  <c r="C6662" i="15"/>
  <c r="D6661" i="15"/>
  <c r="C6661" i="15"/>
  <c r="D6660" i="15"/>
  <c r="C6660" i="15"/>
  <c r="D6659" i="15"/>
  <c r="C6659" i="15"/>
  <c r="D6656" i="15"/>
  <c r="C6656" i="15"/>
  <c r="D6652" i="15"/>
  <c r="C6652" i="15"/>
  <c r="D6651" i="15"/>
  <c r="C6651" i="15"/>
  <c r="D6650" i="15"/>
  <c r="C6650" i="15"/>
  <c r="D6648" i="15"/>
  <c r="C6648" i="15"/>
  <c r="D6647" i="15"/>
  <c r="C6647" i="15"/>
  <c r="D6642" i="15"/>
  <c r="C6642" i="15"/>
  <c r="D6641" i="15"/>
  <c r="C6641" i="15"/>
  <c r="D6636" i="15"/>
  <c r="C6636" i="15"/>
  <c r="D6635" i="15"/>
  <c r="C6635" i="15"/>
  <c r="D6633" i="15"/>
  <c r="C6633" i="15"/>
  <c r="D6632" i="15"/>
  <c r="C6632" i="15"/>
  <c r="D6631" i="15"/>
  <c r="C6631" i="15"/>
  <c r="D6630" i="15"/>
  <c r="C6630" i="15"/>
  <c r="D6627" i="15"/>
  <c r="C6627" i="15"/>
  <c r="D6625" i="15"/>
  <c r="C6625" i="15"/>
  <c r="D6624" i="15"/>
  <c r="C6624" i="15"/>
  <c r="D6623" i="15"/>
  <c r="C6623" i="15"/>
  <c r="D6622" i="15"/>
  <c r="C6622" i="15"/>
  <c r="D6621" i="15"/>
  <c r="C6621" i="15"/>
  <c r="D6620" i="15"/>
  <c r="C6620" i="15"/>
  <c r="D6619" i="15"/>
  <c r="C6619" i="15"/>
  <c r="D6618" i="15"/>
  <c r="C6618" i="15"/>
  <c r="D6617" i="15"/>
  <c r="C6617" i="15"/>
  <c r="D6616" i="15"/>
  <c r="C6616" i="15"/>
  <c r="D6615" i="15"/>
  <c r="C6615" i="15"/>
  <c r="D6614" i="15"/>
  <c r="C6614" i="15"/>
  <c r="D6613" i="15"/>
  <c r="C6613" i="15"/>
  <c r="D6612" i="15"/>
  <c r="C6612" i="15"/>
  <c r="D6610" i="15"/>
  <c r="C6610" i="15"/>
  <c r="D6609" i="15"/>
  <c r="C6609" i="15"/>
  <c r="D6607" i="15"/>
  <c r="C6607" i="15"/>
  <c r="D6606" i="15"/>
  <c r="C6606" i="15"/>
  <c r="D6605" i="15"/>
  <c r="C6605" i="15"/>
  <c r="D6604" i="15"/>
  <c r="C6604" i="15"/>
  <c r="D6603" i="15"/>
  <c r="C6603" i="15"/>
  <c r="D6601" i="15"/>
  <c r="C6601" i="15"/>
  <c r="D6600" i="15"/>
  <c r="C6600" i="15"/>
  <c r="D6598" i="15"/>
  <c r="C6598" i="15"/>
  <c r="D6597" i="15"/>
  <c r="C6597" i="15"/>
  <c r="D6596" i="15"/>
  <c r="C6596" i="15"/>
  <c r="D6595" i="15"/>
  <c r="C6595" i="15"/>
  <c r="D6593" i="15"/>
  <c r="C6593" i="15"/>
  <c r="D6592" i="15"/>
  <c r="C6592" i="15"/>
  <c r="D6591" i="15"/>
  <c r="C6591" i="15"/>
  <c r="D6590" i="15"/>
  <c r="C6590" i="15"/>
  <c r="D6589" i="15"/>
  <c r="C6589" i="15"/>
  <c r="D6588" i="15"/>
  <c r="C6588" i="15"/>
  <c r="D6587" i="15"/>
  <c r="C6587" i="15"/>
  <c r="D6586" i="15"/>
  <c r="C6586" i="15"/>
  <c r="D6585" i="15"/>
  <c r="C6585" i="15"/>
  <c r="D6584" i="15"/>
  <c r="C6584" i="15"/>
  <c r="D6583" i="15"/>
  <c r="C6583" i="15"/>
  <c r="D6582" i="15"/>
  <c r="C6582" i="15"/>
  <c r="D6581" i="15"/>
  <c r="C6581" i="15"/>
  <c r="D6579" i="15"/>
  <c r="C6579" i="15"/>
  <c r="D6578" i="15"/>
  <c r="C6578" i="15"/>
  <c r="D6577" i="15"/>
  <c r="C6577" i="15"/>
  <c r="D6576" i="15"/>
  <c r="C6576" i="15"/>
  <c r="D6575" i="15"/>
  <c r="C6575" i="15"/>
  <c r="D6574" i="15"/>
  <c r="C6574" i="15"/>
  <c r="D6573" i="15"/>
  <c r="C6573" i="15"/>
  <c r="D6572" i="15"/>
  <c r="C6572" i="15"/>
  <c r="D6571" i="15"/>
  <c r="C6571" i="15"/>
  <c r="D6569" i="15"/>
  <c r="C6569" i="15"/>
  <c r="D6567" i="15"/>
  <c r="C6567" i="15"/>
  <c r="D6566" i="15"/>
  <c r="C6566" i="15"/>
  <c r="D6565" i="15"/>
  <c r="C6565" i="15"/>
  <c r="D6564" i="15"/>
  <c r="C6564" i="15"/>
  <c r="D6563" i="15"/>
  <c r="C6563" i="15"/>
  <c r="D6562" i="15"/>
  <c r="C6562" i="15"/>
  <c r="D6561" i="15"/>
  <c r="C6561" i="15"/>
  <c r="D6560" i="15"/>
  <c r="C6560" i="15"/>
  <c r="D6559" i="15"/>
  <c r="C6559" i="15"/>
  <c r="D6558" i="15"/>
  <c r="C6558" i="15"/>
  <c r="D6556" i="15"/>
  <c r="C6556" i="15"/>
  <c r="D6555" i="15"/>
  <c r="C6555" i="15"/>
  <c r="D6554" i="15"/>
  <c r="C6554" i="15"/>
  <c r="D6553" i="15"/>
  <c r="C6553" i="15"/>
  <c r="D6552" i="15"/>
  <c r="C6552" i="15"/>
  <c r="D6548" i="15"/>
  <c r="C6548" i="15"/>
  <c r="D6547" i="15"/>
  <c r="C6547" i="15"/>
  <c r="D6546" i="15"/>
  <c r="C6546" i="15"/>
  <c r="D6545" i="15"/>
  <c r="C6545" i="15"/>
  <c r="D6544" i="15"/>
  <c r="C6544" i="15"/>
  <c r="D6541" i="15"/>
  <c r="C6541" i="15"/>
  <c r="D6540" i="15"/>
  <c r="C6540" i="15"/>
  <c r="D6539" i="15"/>
  <c r="C6539" i="15"/>
  <c r="D6538" i="15"/>
  <c r="C6538" i="15"/>
  <c r="D6537" i="15"/>
  <c r="C6537" i="15"/>
  <c r="D6536" i="15"/>
  <c r="C6536" i="15"/>
  <c r="D6534" i="15"/>
  <c r="C6534" i="15"/>
  <c r="D6533" i="15"/>
  <c r="C6533" i="15"/>
  <c r="D6532" i="15"/>
  <c r="C6532" i="15"/>
  <c r="D6531" i="15"/>
  <c r="C6531" i="15"/>
  <c r="D6529" i="15"/>
  <c r="C6529" i="15"/>
  <c r="D6528" i="15"/>
  <c r="C6528" i="15"/>
  <c r="D6527" i="15"/>
  <c r="C6527" i="15"/>
  <c r="D6526" i="15"/>
  <c r="C6526" i="15"/>
  <c r="D6525" i="15"/>
  <c r="C6525" i="15"/>
  <c r="D6524" i="15"/>
  <c r="C6524" i="15"/>
  <c r="D6523" i="15"/>
  <c r="C6523" i="15"/>
  <c r="D6522" i="15"/>
  <c r="C6522" i="15"/>
  <c r="D6521" i="15"/>
  <c r="C6521" i="15"/>
  <c r="D6520" i="15"/>
  <c r="C6520" i="15"/>
  <c r="D6519" i="15"/>
  <c r="C6519" i="15"/>
  <c r="D6518" i="15"/>
  <c r="C6518" i="15"/>
  <c r="D6517" i="15"/>
  <c r="C6517" i="15"/>
  <c r="D6514" i="15"/>
  <c r="C6514" i="15"/>
  <c r="D6513" i="15"/>
  <c r="C6513" i="15"/>
  <c r="D6512" i="15"/>
  <c r="C6512" i="15"/>
  <c r="D6511" i="15"/>
  <c r="C6511" i="15"/>
  <c r="D6510" i="15"/>
  <c r="C6510" i="15"/>
  <c r="D6509" i="15"/>
  <c r="C6509" i="15"/>
  <c r="D6508" i="15"/>
  <c r="C6508" i="15"/>
  <c r="D6507" i="15"/>
  <c r="C6507" i="15"/>
  <c r="D6505" i="15"/>
  <c r="C6505" i="15"/>
  <c r="D6504" i="15"/>
  <c r="C6504" i="15"/>
  <c r="D6503" i="15"/>
  <c r="C6503" i="15"/>
  <c r="D6502" i="15"/>
  <c r="C6502" i="15"/>
  <c r="D6500" i="15"/>
  <c r="C6500" i="15"/>
  <c r="D6499" i="15"/>
  <c r="C6499" i="15"/>
  <c r="D6498" i="15"/>
  <c r="C6498" i="15"/>
  <c r="D6497" i="15"/>
  <c r="C6497" i="15"/>
  <c r="D6496" i="15"/>
  <c r="C6496" i="15"/>
  <c r="D6495" i="15"/>
  <c r="C6495" i="15"/>
  <c r="D6494" i="15"/>
  <c r="C6494" i="15"/>
  <c r="D6490" i="15"/>
  <c r="C6490" i="15"/>
  <c r="D6488" i="15"/>
  <c r="C6488" i="15"/>
  <c r="D6487" i="15"/>
  <c r="C6487" i="15"/>
  <c r="D6485" i="15"/>
  <c r="C6485" i="15"/>
  <c r="D6484" i="15"/>
  <c r="C6484" i="15"/>
  <c r="D6483" i="15"/>
  <c r="C6483" i="15"/>
  <c r="D6481" i="15"/>
  <c r="C6481" i="15"/>
  <c r="D6478" i="15"/>
  <c r="C6478" i="15"/>
  <c r="D6477" i="15"/>
  <c r="C6477" i="15"/>
  <c r="D6474" i="15"/>
  <c r="C6474" i="15"/>
  <c r="D6472" i="15"/>
  <c r="C6472" i="15"/>
  <c r="D6470" i="15"/>
  <c r="C6470" i="15"/>
  <c r="D6468" i="15"/>
  <c r="C6468" i="15"/>
  <c r="D6466" i="15"/>
  <c r="C6466" i="15"/>
  <c r="D6465" i="15"/>
  <c r="C6465" i="15"/>
  <c r="D6463" i="15"/>
  <c r="C6463" i="15"/>
  <c r="D6462" i="15"/>
  <c r="C6462" i="15"/>
  <c r="D6460" i="15"/>
  <c r="C6460" i="15"/>
  <c r="D6458" i="15"/>
  <c r="C6458" i="15"/>
  <c r="D6452" i="15"/>
  <c r="C6452" i="15"/>
  <c r="D6451" i="15"/>
  <c r="C6451" i="15"/>
  <c r="D6450" i="15"/>
  <c r="C6450" i="15"/>
  <c r="D6449" i="15"/>
  <c r="C6449" i="15"/>
  <c r="D6448" i="15"/>
  <c r="C6448" i="15"/>
  <c r="D6447" i="15"/>
  <c r="C6447" i="15"/>
  <c r="D6446" i="15"/>
  <c r="C6446" i="15"/>
  <c r="D6445" i="15"/>
  <c r="C6445" i="15"/>
  <c r="D6444" i="15"/>
  <c r="C6444" i="15"/>
  <c r="D6443" i="15"/>
  <c r="C6443" i="15"/>
  <c r="D6441" i="15"/>
  <c r="C6441" i="15"/>
  <c r="D6440" i="15"/>
  <c r="C6440" i="15"/>
  <c r="D6439" i="15"/>
  <c r="C6439" i="15"/>
  <c r="D6438" i="15"/>
  <c r="C6438" i="15"/>
  <c r="D6437" i="15"/>
  <c r="C6437" i="15"/>
  <c r="D6434" i="15"/>
  <c r="C6434" i="15"/>
  <c r="D6433" i="15"/>
  <c r="C6433" i="15"/>
  <c r="D6432" i="15"/>
  <c r="C6432" i="15"/>
  <c r="D6431" i="15"/>
  <c r="C6431" i="15"/>
  <c r="D6430" i="15"/>
  <c r="C6430" i="15"/>
  <c r="D6429" i="15"/>
  <c r="C6429" i="15"/>
  <c r="D6428" i="15"/>
  <c r="C6428" i="15"/>
  <c r="D6427" i="15"/>
  <c r="C6427" i="15"/>
  <c r="D6426" i="15"/>
  <c r="C6426" i="15"/>
  <c r="D6425" i="15"/>
  <c r="C6425" i="15"/>
  <c r="D6424" i="15"/>
  <c r="C6424" i="15"/>
  <c r="D6423" i="15"/>
  <c r="C6423" i="15"/>
  <c r="D6422" i="15"/>
  <c r="C6422" i="15"/>
  <c r="D6421" i="15"/>
  <c r="C6421" i="15"/>
  <c r="D6420" i="15"/>
  <c r="C6420" i="15"/>
  <c r="D6419" i="15"/>
  <c r="C6419" i="15"/>
  <c r="D6418" i="15"/>
  <c r="C6418" i="15"/>
  <c r="D6417" i="15"/>
  <c r="C6417" i="15"/>
  <c r="D6416" i="15"/>
  <c r="C6416" i="15"/>
  <c r="D6415" i="15"/>
  <c r="C6415" i="15"/>
  <c r="D6414" i="15"/>
  <c r="C6414" i="15"/>
  <c r="D6413" i="15"/>
  <c r="C6413" i="15"/>
  <c r="D6412" i="15"/>
  <c r="C6412" i="15"/>
  <c r="D6411" i="15"/>
  <c r="C6411" i="15"/>
  <c r="D6410" i="15"/>
  <c r="C6410" i="15"/>
  <c r="D6409" i="15"/>
  <c r="C6409" i="15"/>
  <c r="D6408" i="15"/>
  <c r="C6408" i="15"/>
  <c r="D6407" i="15"/>
  <c r="C6407" i="15"/>
  <c r="D6406" i="15"/>
  <c r="C6406" i="15"/>
  <c r="D6405" i="15"/>
  <c r="C6405" i="15"/>
  <c r="D6404" i="15"/>
  <c r="C6404" i="15"/>
  <c r="D6403" i="15"/>
  <c r="C6403" i="15"/>
  <c r="D6402" i="15"/>
  <c r="C6402" i="15"/>
  <c r="D6401" i="15"/>
  <c r="C6401" i="15"/>
  <c r="D6400" i="15"/>
  <c r="C6400" i="15"/>
  <c r="D6398" i="15"/>
  <c r="C6398" i="15"/>
  <c r="D6397" i="15"/>
  <c r="C6397" i="15"/>
  <c r="D6396" i="15"/>
  <c r="C6396" i="15"/>
  <c r="D6395" i="15"/>
  <c r="C6395" i="15"/>
  <c r="D6394" i="15"/>
  <c r="C6394" i="15"/>
  <c r="D6393" i="15"/>
  <c r="C6393" i="15"/>
  <c r="D6392" i="15"/>
  <c r="C6392" i="15"/>
  <c r="D6391" i="15"/>
  <c r="C6391" i="15"/>
  <c r="D6390" i="15"/>
  <c r="C6390" i="15"/>
  <c r="D6389" i="15"/>
  <c r="C6389" i="15"/>
  <c r="D6388" i="15"/>
  <c r="C6388" i="15"/>
  <c r="D6387" i="15"/>
  <c r="C6387" i="15"/>
  <c r="D6386" i="15"/>
  <c r="C6386" i="15"/>
  <c r="D6385" i="15"/>
  <c r="C6385" i="15"/>
  <c r="D6384" i="15"/>
  <c r="C6384" i="15"/>
  <c r="D6383" i="15"/>
  <c r="C6383" i="15"/>
  <c r="D6382" i="15"/>
  <c r="C6382" i="15"/>
  <c r="D6381" i="15"/>
  <c r="C6381" i="15"/>
  <c r="D6380" i="15"/>
  <c r="C6380" i="15"/>
  <c r="D6379" i="15"/>
  <c r="C6379" i="15"/>
  <c r="D6378" i="15"/>
  <c r="C6378" i="15"/>
  <c r="D6377" i="15"/>
  <c r="C6377" i="15"/>
  <c r="D6376" i="15"/>
  <c r="C6376" i="15"/>
  <c r="D6375" i="15"/>
  <c r="C6375" i="15"/>
  <c r="D6374" i="15"/>
  <c r="C6374" i="15"/>
  <c r="D6373" i="15"/>
  <c r="C6373" i="15"/>
  <c r="D6372" i="15"/>
  <c r="C6372" i="15"/>
  <c r="D6371" i="15"/>
  <c r="C6371" i="15"/>
  <c r="D6370" i="15"/>
  <c r="C6370" i="15"/>
  <c r="D6369" i="15"/>
  <c r="C6369" i="15"/>
  <c r="D6368" i="15"/>
  <c r="C6368" i="15"/>
  <c r="D6367" i="15"/>
  <c r="C6367" i="15"/>
  <c r="D6366" i="15"/>
  <c r="C6366" i="15"/>
  <c r="D6365" i="15"/>
  <c r="C6365" i="15"/>
  <c r="D6364" i="15"/>
  <c r="C6364" i="15"/>
  <c r="D6363" i="15"/>
  <c r="C6363" i="15"/>
  <c r="D6362" i="15"/>
  <c r="C6362" i="15"/>
  <c r="D6361" i="15"/>
  <c r="C6361" i="15"/>
  <c r="D6360" i="15"/>
  <c r="C6360" i="15"/>
  <c r="D6359" i="15"/>
  <c r="C6359" i="15"/>
  <c r="D6358" i="15"/>
  <c r="C6358" i="15"/>
  <c r="D6357" i="15"/>
  <c r="C6357" i="15"/>
  <c r="D6356" i="15"/>
  <c r="C6356" i="15"/>
  <c r="D6354" i="15"/>
  <c r="C6354" i="15"/>
  <c r="D6353" i="15"/>
  <c r="C6353" i="15"/>
  <c r="D6352" i="15"/>
  <c r="C6352" i="15"/>
  <c r="D6351" i="15"/>
  <c r="C6351" i="15"/>
  <c r="D6350" i="15"/>
  <c r="C6350" i="15"/>
  <c r="D6349" i="15"/>
  <c r="C6349" i="15"/>
  <c r="D6348" i="15"/>
  <c r="C6348" i="15"/>
  <c r="D6347" i="15"/>
  <c r="C6347" i="15"/>
  <c r="D6346" i="15"/>
  <c r="C6346" i="15"/>
  <c r="D6345" i="15"/>
  <c r="C6345" i="15"/>
  <c r="D6344" i="15"/>
  <c r="C6344" i="15"/>
  <c r="D6343" i="15"/>
  <c r="C6343" i="15"/>
  <c r="D6342" i="15"/>
  <c r="C6342" i="15"/>
  <c r="D6341" i="15"/>
  <c r="C6341" i="15"/>
  <c r="D6340" i="15"/>
  <c r="C6340" i="15"/>
  <c r="D6338" i="15"/>
  <c r="C6338" i="15"/>
  <c r="D6335" i="15"/>
  <c r="C6335" i="15"/>
  <c r="D6334" i="15"/>
  <c r="C6334" i="15"/>
  <c r="D6333" i="15"/>
  <c r="C6333" i="15"/>
  <c r="D6332" i="15"/>
  <c r="C6332" i="15"/>
  <c r="D6331" i="15"/>
  <c r="C6331" i="15"/>
  <c r="D6330" i="15"/>
  <c r="C6330" i="15"/>
  <c r="D6329" i="15"/>
  <c r="C6329" i="15"/>
  <c r="D6328" i="15"/>
  <c r="C6328" i="15"/>
  <c r="D6327" i="15"/>
  <c r="C6327" i="15"/>
  <c r="D6326" i="15"/>
  <c r="C6326" i="15"/>
  <c r="D6325" i="15"/>
  <c r="C6325" i="15"/>
  <c r="D6324" i="15"/>
  <c r="C6324" i="15"/>
  <c r="D6322" i="15"/>
  <c r="C6322" i="15"/>
  <c r="D6321" i="15"/>
  <c r="C6321" i="15"/>
  <c r="D6320" i="15"/>
  <c r="C6320" i="15"/>
  <c r="D6319" i="15"/>
  <c r="C6319" i="15"/>
  <c r="D6318" i="15"/>
  <c r="C6318" i="15"/>
  <c r="D6317" i="15"/>
  <c r="C6317" i="15"/>
  <c r="D6316" i="15"/>
  <c r="C6316" i="15"/>
  <c r="D6315" i="15"/>
  <c r="C6315" i="15"/>
  <c r="D6314" i="15"/>
  <c r="C6314" i="15"/>
  <c r="D6312" i="15"/>
  <c r="C6312" i="15"/>
  <c r="D6305" i="15"/>
  <c r="C6305" i="15"/>
  <c r="D6304" i="15"/>
  <c r="C6304" i="15"/>
  <c r="D6303" i="15"/>
  <c r="C6303" i="15"/>
  <c r="D6301" i="15"/>
  <c r="C6301" i="15"/>
  <c r="D6298" i="15"/>
  <c r="C6298" i="15"/>
  <c r="D6296" i="15"/>
  <c r="C6296" i="15"/>
  <c r="D6295" i="15"/>
  <c r="C6295" i="15"/>
  <c r="D6294" i="15"/>
  <c r="C6294" i="15"/>
  <c r="D6293" i="15"/>
  <c r="C6293" i="15"/>
  <c r="D6292" i="15"/>
  <c r="C6292" i="15"/>
  <c r="D6291" i="15"/>
  <c r="C6291" i="15"/>
  <c r="D6290" i="15"/>
  <c r="C6290" i="15"/>
  <c r="D6289" i="15"/>
  <c r="C6289" i="15"/>
  <c r="D6288" i="15"/>
  <c r="C6288" i="15"/>
  <c r="D6287" i="15"/>
  <c r="C6287" i="15"/>
  <c r="D6286" i="15"/>
  <c r="C6286" i="15"/>
  <c r="D6285" i="15"/>
  <c r="C6285" i="15"/>
  <c r="D6284" i="15"/>
  <c r="C6284" i="15"/>
  <c r="D6283" i="15"/>
  <c r="C6283" i="15"/>
  <c r="D6282" i="15"/>
  <c r="C6282" i="15"/>
  <c r="D6281" i="15"/>
  <c r="C6281" i="15"/>
  <c r="D6280" i="15"/>
  <c r="C6280" i="15"/>
  <c r="D6279" i="15"/>
  <c r="C6279" i="15"/>
  <c r="D6278" i="15"/>
  <c r="C6278" i="15"/>
  <c r="D6277" i="15"/>
  <c r="C6277" i="15"/>
  <c r="D6276" i="15"/>
  <c r="C6276" i="15"/>
  <c r="D6275" i="15"/>
  <c r="C6275" i="15"/>
  <c r="D6274" i="15"/>
  <c r="C6274" i="15"/>
  <c r="D6272" i="15"/>
  <c r="C6272" i="15"/>
  <c r="D6271" i="15"/>
  <c r="C6271" i="15"/>
  <c r="D6270" i="15"/>
  <c r="C6270" i="15"/>
  <c r="D6269" i="15"/>
  <c r="C6269" i="15"/>
  <c r="D6246" i="15"/>
  <c r="C6246" i="15"/>
  <c r="D6236" i="15"/>
  <c r="C6236" i="15"/>
  <c r="D6235" i="15"/>
  <c r="C6235" i="15"/>
  <c r="D6234" i="15"/>
  <c r="C6234" i="15"/>
  <c r="D6232" i="15"/>
  <c r="C6232" i="15"/>
  <c r="D6231" i="15"/>
  <c r="C6231" i="15"/>
  <c r="D6229" i="15"/>
  <c r="C6229" i="15"/>
  <c r="D6228" i="15"/>
  <c r="C6228" i="15"/>
  <c r="D6227" i="15"/>
  <c r="C6227" i="15"/>
  <c r="D6226" i="15"/>
  <c r="C6226" i="15"/>
  <c r="D6223" i="15"/>
  <c r="C6223" i="15"/>
  <c r="D6222" i="15"/>
  <c r="C6222" i="15"/>
  <c r="D6220" i="15"/>
  <c r="C6220" i="15"/>
  <c r="D6219" i="15"/>
  <c r="C6219" i="15"/>
  <c r="D6217" i="15"/>
  <c r="C6217" i="15"/>
  <c r="D6214" i="15"/>
  <c r="C6214" i="15"/>
  <c r="D6213" i="15"/>
  <c r="C6213" i="15"/>
  <c r="D6212" i="15"/>
  <c r="C6212" i="15"/>
  <c r="D6211" i="15"/>
  <c r="C6211" i="15"/>
  <c r="D6210" i="15"/>
  <c r="C6210" i="15"/>
  <c r="D6208" i="15"/>
  <c r="C6208" i="15"/>
  <c r="D6206" i="15"/>
  <c r="C6206" i="15"/>
  <c r="D6205" i="15"/>
  <c r="C6205" i="15"/>
  <c r="D6204" i="15"/>
  <c r="C6204" i="15"/>
  <c r="D6203" i="15"/>
  <c r="C6203" i="15"/>
  <c r="D6202" i="15"/>
  <c r="C6202" i="15"/>
  <c r="D6201" i="15"/>
  <c r="C6201" i="15"/>
  <c r="D6182" i="15"/>
  <c r="C6182" i="15"/>
  <c r="D6179" i="15"/>
  <c r="C6179" i="15"/>
  <c r="D6178" i="15"/>
  <c r="C6178" i="15"/>
  <c r="D6177" i="15"/>
  <c r="C6177" i="15"/>
  <c r="D6176" i="15"/>
  <c r="C6176" i="15"/>
  <c r="D6174" i="15"/>
  <c r="C6174" i="15"/>
  <c r="D6173" i="15"/>
  <c r="C6173" i="15"/>
  <c r="D6172" i="15"/>
  <c r="C6172" i="15"/>
  <c r="D6170" i="15"/>
  <c r="C6170" i="15"/>
  <c r="D6169" i="15"/>
  <c r="C6169" i="15"/>
  <c r="D6168" i="15"/>
  <c r="C6168" i="15"/>
  <c r="D6166" i="15"/>
  <c r="C6166" i="15"/>
  <c r="D6165" i="15"/>
  <c r="C6165" i="15"/>
  <c r="D6164" i="15"/>
  <c r="C6164" i="15"/>
  <c r="D6161" i="15"/>
  <c r="C6161" i="15"/>
  <c r="D6160" i="15"/>
  <c r="C6160" i="15"/>
  <c r="D6159" i="15"/>
  <c r="C6159" i="15"/>
  <c r="D6158" i="15"/>
  <c r="C6158" i="15"/>
  <c r="D6157" i="15"/>
  <c r="C6157" i="15"/>
  <c r="D6156" i="15"/>
  <c r="C6156" i="15"/>
  <c r="D6155" i="15"/>
  <c r="C6155" i="15"/>
  <c r="D6154" i="15"/>
  <c r="C6154" i="15"/>
  <c r="D6153" i="15"/>
  <c r="C6153" i="15"/>
  <c r="D6152" i="15"/>
  <c r="C6152" i="15"/>
  <c r="D6150" i="15"/>
  <c r="C6150" i="15"/>
  <c r="D6149" i="15"/>
  <c r="C6149" i="15"/>
  <c r="D6148" i="15"/>
  <c r="C6148" i="15"/>
  <c r="D6147" i="15"/>
  <c r="C6147" i="15"/>
  <c r="D6146" i="15"/>
  <c r="C6146" i="15"/>
  <c r="D6145" i="15"/>
  <c r="C6145" i="15"/>
  <c r="D6144" i="15"/>
  <c r="C6144" i="15"/>
  <c r="D6143" i="15"/>
  <c r="C6143" i="15"/>
  <c r="D6142" i="15"/>
  <c r="C6142" i="15"/>
  <c r="D6141" i="15"/>
  <c r="C6141" i="15"/>
  <c r="D6140" i="15"/>
  <c r="C6140" i="15"/>
  <c r="D6139" i="15"/>
  <c r="C6139" i="15"/>
  <c r="D6138" i="15"/>
  <c r="C6138" i="15"/>
  <c r="D6137" i="15"/>
  <c r="C6137" i="15"/>
  <c r="D6136" i="15"/>
  <c r="C6136" i="15"/>
  <c r="D6135" i="15"/>
  <c r="C6135" i="15"/>
  <c r="D6134" i="15"/>
  <c r="C6134" i="15"/>
  <c r="D6133" i="15"/>
  <c r="C6133" i="15"/>
  <c r="D6132" i="15"/>
  <c r="C6132" i="15"/>
  <c r="D6131" i="15"/>
  <c r="C6131" i="15"/>
  <c r="D6130" i="15"/>
  <c r="C6130" i="15"/>
  <c r="D6129" i="15"/>
  <c r="C6129" i="15"/>
  <c r="D6128" i="15"/>
  <c r="C6128" i="15"/>
  <c r="D6125" i="15"/>
  <c r="C6125" i="15"/>
  <c r="D6123" i="15"/>
  <c r="C6123" i="15"/>
  <c r="D6122" i="15"/>
  <c r="C6122" i="15"/>
  <c r="D6121" i="15"/>
  <c r="C6121" i="15"/>
  <c r="D6120" i="15"/>
  <c r="C6120" i="15"/>
  <c r="D6119" i="15"/>
  <c r="C6119" i="15"/>
  <c r="D6118" i="15"/>
  <c r="C6118" i="15"/>
  <c r="D6117" i="15"/>
  <c r="C6117" i="15"/>
  <c r="D6116" i="15"/>
  <c r="C6116" i="15"/>
  <c r="D6115" i="15"/>
  <c r="C6115" i="15"/>
  <c r="D6114" i="15"/>
  <c r="C6114" i="15"/>
  <c r="D6113" i="15"/>
  <c r="C6113" i="15"/>
  <c r="D6112" i="15"/>
  <c r="C6112" i="15"/>
  <c r="D6111" i="15"/>
  <c r="C6111" i="15"/>
  <c r="D6110" i="15"/>
  <c r="C6110" i="15"/>
  <c r="D6109" i="15"/>
  <c r="C6109" i="15"/>
  <c r="D6108" i="15"/>
  <c r="C6108" i="15"/>
  <c r="D6107" i="15"/>
  <c r="C6107" i="15"/>
  <c r="D6106" i="15"/>
  <c r="C6106" i="15"/>
  <c r="D6105" i="15"/>
  <c r="C6105" i="15"/>
  <c r="D6104" i="15"/>
  <c r="C6104" i="15"/>
  <c r="D6103" i="15"/>
  <c r="C6103" i="15"/>
  <c r="D6102" i="15"/>
  <c r="C6102" i="15"/>
  <c r="D6101" i="15"/>
  <c r="C6101" i="15"/>
  <c r="D6100" i="15"/>
  <c r="C6100" i="15"/>
  <c r="D6099" i="15"/>
  <c r="C6099" i="15"/>
  <c r="D6098" i="15"/>
  <c r="C6098" i="15"/>
  <c r="D6097" i="15"/>
  <c r="C6097" i="15"/>
  <c r="D6096" i="15"/>
  <c r="C6096" i="15"/>
  <c r="D6095" i="15"/>
  <c r="C6095" i="15"/>
  <c r="D6094" i="15"/>
  <c r="C6094" i="15"/>
  <c r="D6093" i="15"/>
  <c r="C6093" i="15"/>
  <c r="D6092" i="15"/>
  <c r="C6092" i="15"/>
  <c r="D6091" i="15"/>
  <c r="C6091" i="15"/>
  <c r="D6090" i="15"/>
  <c r="C6090" i="15"/>
  <c r="D6089" i="15"/>
  <c r="C6089" i="15"/>
  <c r="D6088" i="15"/>
  <c r="C6088" i="15"/>
  <c r="D6087" i="15"/>
  <c r="C6087" i="15"/>
  <c r="D6086" i="15"/>
  <c r="C6086" i="15"/>
  <c r="D6085" i="15"/>
  <c r="C6085" i="15"/>
  <c r="D6084" i="15"/>
  <c r="C6084" i="15"/>
  <c r="D6083" i="15"/>
  <c r="C6083" i="15"/>
  <c r="D6082" i="15"/>
  <c r="C6082" i="15"/>
  <c r="D6081" i="15"/>
  <c r="C6081" i="15"/>
  <c r="D6080" i="15"/>
  <c r="C6080" i="15"/>
  <c r="D6079" i="15"/>
  <c r="C6079" i="15"/>
  <c r="D6078" i="15"/>
  <c r="C6078" i="15"/>
  <c r="D6077" i="15"/>
  <c r="C6077" i="15"/>
  <c r="D6076" i="15"/>
  <c r="C6076" i="15"/>
  <c r="D6075" i="15"/>
  <c r="C6075" i="15"/>
  <c r="D6074" i="15"/>
  <c r="C6074" i="15"/>
  <c r="D6072" i="15"/>
  <c r="C6072" i="15"/>
  <c r="D6071" i="15"/>
  <c r="C6071" i="15"/>
  <c r="D6070" i="15"/>
  <c r="C6070" i="15"/>
  <c r="D6069" i="15"/>
  <c r="C6069" i="15"/>
  <c r="D6068" i="15"/>
  <c r="C6068" i="15"/>
  <c r="D6067" i="15"/>
  <c r="C6067" i="15"/>
  <c r="D6066" i="15"/>
  <c r="C6066" i="15"/>
  <c r="D6065" i="15"/>
  <c r="C6065" i="15"/>
  <c r="D6064" i="15"/>
  <c r="C6064" i="15"/>
  <c r="D6063" i="15"/>
  <c r="C6063" i="15"/>
  <c r="D6062" i="15"/>
  <c r="C6062" i="15"/>
  <c r="D6061" i="15"/>
  <c r="C6061" i="15"/>
  <c r="D6060" i="15"/>
  <c r="C6060" i="15"/>
  <c r="D6059" i="15"/>
  <c r="C6059" i="15"/>
  <c r="D6058" i="15"/>
  <c r="C6058" i="15"/>
  <c r="D6057" i="15"/>
  <c r="C6057" i="15"/>
  <c r="D6056" i="15"/>
  <c r="C6056" i="15"/>
  <c r="D6055" i="15"/>
  <c r="C6055" i="15"/>
  <c r="D6054" i="15"/>
  <c r="C6054" i="15"/>
  <c r="D6053" i="15"/>
  <c r="C6053" i="15"/>
  <c r="D6052" i="15"/>
  <c r="C6052" i="15"/>
  <c r="D6051" i="15"/>
  <c r="C6051" i="15"/>
  <c r="D6050" i="15"/>
  <c r="C6050" i="15"/>
  <c r="D6049" i="15"/>
  <c r="C6049" i="15"/>
  <c r="D6048" i="15"/>
  <c r="C6048" i="15"/>
  <c r="D6047" i="15"/>
  <c r="C6047" i="15"/>
  <c r="D6046" i="15"/>
  <c r="C6046" i="15"/>
  <c r="D6045" i="15"/>
  <c r="C6045" i="15"/>
  <c r="D6044" i="15"/>
  <c r="C6044" i="15"/>
  <c r="D6043" i="15"/>
  <c r="C6043" i="15"/>
  <c r="D6042" i="15"/>
  <c r="C6042" i="15"/>
  <c r="D6041" i="15"/>
  <c r="C6041" i="15"/>
  <c r="D6038" i="15"/>
  <c r="C6038" i="15"/>
  <c r="D6036" i="15"/>
  <c r="C6036" i="15"/>
  <c r="D6035" i="15"/>
  <c r="C6035" i="15"/>
  <c r="D6034" i="15"/>
  <c r="C6034" i="15"/>
  <c r="D6032" i="15"/>
  <c r="C6032" i="15"/>
  <c r="D6031" i="15"/>
  <c r="C6031" i="15"/>
  <c r="D6030" i="15"/>
  <c r="C6030" i="15"/>
  <c r="D6029" i="15"/>
  <c r="C6029" i="15"/>
  <c r="D6028" i="15"/>
  <c r="C6028" i="15"/>
  <c r="D6027" i="15"/>
  <c r="C6027" i="15"/>
  <c r="D6026" i="15"/>
  <c r="C6026" i="15"/>
  <c r="D6025" i="15"/>
  <c r="C6025" i="15"/>
  <c r="D6022" i="15"/>
  <c r="C6022" i="15"/>
  <c r="D6021" i="15"/>
  <c r="C6021" i="15"/>
  <c r="D6020" i="15"/>
  <c r="C6020" i="15"/>
  <c r="D6019" i="15"/>
  <c r="C6019" i="15"/>
  <c r="D6016" i="15"/>
  <c r="C6016" i="15"/>
  <c r="D6014" i="15"/>
  <c r="C6014" i="15"/>
  <c r="D6013" i="15"/>
  <c r="C6013" i="15"/>
  <c r="D6012" i="15"/>
  <c r="C6012" i="15"/>
  <c r="D6008" i="15"/>
  <c r="C6008" i="15"/>
  <c r="D6007" i="15"/>
  <c r="C6007" i="15"/>
  <c r="D6006" i="15"/>
  <c r="C6006" i="15"/>
  <c r="D6002" i="15"/>
  <c r="C6002" i="15"/>
  <c r="D6000" i="15"/>
  <c r="C6000" i="15"/>
  <c r="D5999" i="15"/>
  <c r="C5999" i="15"/>
  <c r="D5998" i="15"/>
  <c r="C5998" i="15"/>
  <c r="D5997" i="15"/>
  <c r="C5997" i="15"/>
  <c r="D5996" i="15"/>
  <c r="C5996" i="15"/>
  <c r="D5995" i="15"/>
  <c r="C5995" i="15"/>
  <c r="D5994" i="15"/>
  <c r="C5994" i="15"/>
  <c r="D5993" i="15"/>
  <c r="C5993" i="15"/>
  <c r="D5992" i="15"/>
  <c r="C5992" i="15"/>
  <c r="D5991" i="15"/>
  <c r="C5991" i="15"/>
  <c r="D5990" i="15"/>
  <c r="C5990" i="15"/>
  <c r="D5989" i="15"/>
  <c r="C5989" i="15"/>
  <c r="D5988" i="15"/>
  <c r="C5988" i="15"/>
  <c r="D5987" i="15"/>
  <c r="C5987" i="15"/>
  <c r="D5986" i="15"/>
  <c r="C5986" i="15"/>
  <c r="D5985" i="15"/>
  <c r="C5985" i="15"/>
  <c r="D5984" i="15"/>
  <c r="C5984" i="15"/>
  <c r="D5983" i="15"/>
  <c r="C5983" i="15"/>
  <c r="D5982" i="15"/>
  <c r="C5982" i="15"/>
  <c r="D5981" i="15"/>
  <c r="C5981" i="15"/>
  <c r="D5980" i="15"/>
  <c r="C5980" i="15"/>
  <c r="D5979" i="15"/>
  <c r="C5979" i="15"/>
  <c r="D5977" i="15"/>
  <c r="C5977" i="15"/>
  <c r="D5976" i="15"/>
  <c r="C5976" i="15"/>
  <c r="D5975" i="15"/>
  <c r="C5975" i="15"/>
  <c r="D5973" i="15"/>
  <c r="C5973" i="15"/>
  <c r="D5972" i="15"/>
  <c r="C5972" i="15"/>
  <c r="D5971" i="15"/>
  <c r="C5971" i="15"/>
  <c r="D5970" i="15"/>
  <c r="C5970" i="15"/>
  <c r="D5969" i="15"/>
  <c r="C5969" i="15"/>
  <c r="D5968" i="15"/>
  <c r="C5968" i="15"/>
  <c r="D5967" i="15"/>
  <c r="C5967" i="15"/>
  <c r="D5965" i="15"/>
  <c r="C5965" i="15"/>
  <c r="D5964" i="15"/>
  <c r="C5964" i="15"/>
  <c r="D5960" i="15"/>
  <c r="C5960" i="15"/>
  <c r="D5959" i="15"/>
  <c r="C5959" i="15"/>
  <c r="D5958" i="15"/>
  <c r="C5958" i="15"/>
  <c r="D5953" i="15"/>
  <c r="C5953" i="15"/>
  <c r="D5952" i="15"/>
  <c r="C5952" i="15"/>
  <c r="D5949" i="15"/>
  <c r="C5949" i="15"/>
  <c r="D5948" i="15"/>
  <c r="C5948" i="15"/>
  <c r="D5947" i="15"/>
  <c r="C5947" i="15"/>
  <c r="D5946" i="15"/>
  <c r="C5946" i="15"/>
  <c r="D5945" i="15"/>
  <c r="C5945" i="15"/>
  <c r="D5944" i="15"/>
  <c r="C5944" i="15"/>
  <c r="D5942" i="15"/>
  <c r="C5942" i="15"/>
  <c r="D5939" i="15"/>
  <c r="C5939" i="15"/>
  <c r="D5937" i="15"/>
  <c r="C5937" i="15"/>
  <c r="D5936" i="15"/>
  <c r="C5936" i="15"/>
  <c r="D5932" i="15"/>
  <c r="C5932" i="15"/>
  <c r="D5931" i="15"/>
  <c r="C5931" i="15"/>
  <c r="D5930" i="15"/>
  <c r="C5930" i="15"/>
  <c r="D5929" i="15"/>
  <c r="C5929" i="15"/>
  <c r="D5926" i="15"/>
  <c r="C5926" i="15"/>
  <c r="D5924" i="15"/>
  <c r="C5924" i="15"/>
  <c r="D5923" i="15"/>
  <c r="C5923" i="15"/>
  <c r="D5922" i="15"/>
  <c r="C5922" i="15"/>
  <c r="D5920" i="15"/>
  <c r="C5920" i="15"/>
  <c r="D5919" i="15"/>
  <c r="C5919" i="15"/>
  <c r="D5917" i="15"/>
  <c r="C5917" i="15"/>
  <c r="D5916" i="15"/>
  <c r="C5916" i="15"/>
  <c r="D5915" i="15"/>
  <c r="C5915" i="15"/>
  <c r="D5914" i="15"/>
  <c r="C5914" i="15"/>
  <c r="D5908" i="15"/>
  <c r="C5908" i="15"/>
  <c r="D5907" i="15"/>
  <c r="C5907" i="15"/>
  <c r="D5905" i="15"/>
  <c r="C5905" i="15"/>
  <c r="D5904" i="15"/>
  <c r="C5904" i="15"/>
  <c r="D5901" i="15"/>
  <c r="C5901" i="15"/>
  <c r="D5899" i="15"/>
  <c r="C5899" i="15"/>
  <c r="D5898" i="15"/>
  <c r="C5898" i="15"/>
  <c r="D5897" i="15"/>
  <c r="C5897" i="15"/>
  <c r="D5896" i="15"/>
  <c r="C5896" i="15"/>
  <c r="D5895" i="15"/>
  <c r="C5895" i="15"/>
  <c r="D5894" i="15"/>
  <c r="C5894" i="15"/>
  <c r="D5893" i="15"/>
  <c r="C5893" i="15"/>
  <c r="D5888" i="15"/>
  <c r="C5888" i="15"/>
  <c r="D5887" i="15"/>
  <c r="C5887" i="15"/>
  <c r="D5886" i="15"/>
  <c r="C5886" i="15"/>
  <c r="D5885" i="15"/>
  <c r="C5885" i="15"/>
  <c r="D5884" i="15"/>
  <c r="C5884" i="15"/>
  <c r="D5882" i="15"/>
  <c r="C5882" i="15"/>
  <c r="D5881" i="15"/>
  <c r="C5881" i="15"/>
  <c r="D5880" i="15"/>
  <c r="C5880" i="15"/>
  <c r="D5879" i="15"/>
  <c r="C5879" i="15"/>
  <c r="D5878" i="15"/>
  <c r="C5878" i="15"/>
  <c r="D5877" i="15"/>
  <c r="C5877" i="15"/>
  <c r="D5876" i="15"/>
  <c r="C5876" i="15"/>
  <c r="D5875" i="15"/>
  <c r="C5875" i="15"/>
  <c r="D5874" i="15"/>
  <c r="C5874" i="15"/>
  <c r="D5873" i="15"/>
  <c r="C5873" i="15"/>
  <c r="D5871" i="15"/>
  <c r="C5871" i="15"/>
  <c r="D5870" i="15"/>
  <c r="C5870" i="15"/>
  <c r="D5869" i="15"/>
  <c r="C5869" i="15"/>
  <c r="D5868" i="15"/>
  <c r="C5868" i="15"/>
  <c r="D5867" i="15"/>
  <c r="C5867" i="15"/>
  <c r="D5866" i="15"/>
  <c r="C5866" i="15"/>
  <c r="D5863" i="15"/>
  <c r="C5863" i="15"/>
  <c r="D5862" i="15"/>
  <c r="C5862" i="15"/>
  <c r="D5861" i="15"/>
  <c r="C5861" i="15"/>
  <c r="D5860" i="15"/>
  <c r="C5860" i="15"/>
  <c r="D5859" i="15"/>
  <c r="C5859" i="15"/>
  <c r="D5858" i="15"/>
  <c r="C5858" i="15"/>
  <c r="D5857" i="15"/>
  <c r="C5857" i="15"/>
  <c r="D5856" i="15"/>
  <c r="C5856" i="15"/>
  <c r="D5855" i="15"/>
  <c r="C5855" i="15"/>
  <c r="D5854" i="15"/>
  <c r="C5854" i="15"/>
  <c r="D5852" i="15"/>
  <c r="C5852" i="15"/>
  <c r="D5851" i="15"/>
  <c r="C5851" i="15"/>
  <c r="D5850" i="15"/>
  <c r="C5850" i="15"/>
  <c r="D5849" i="15"/>
  <c r="C5849" i="15"/>
  <c r="D5848" i="15"/>
  <c r="C5848" i="15"/>
  <c r="D5847" i="15"/>
  <c r="C5847" i="15"/>
  <c r="D5846" i="15"/>
  <c r="C5846" i="15"/>
  <c r="D5845" i="15"/>
  <c r="C5845" i="15"/>
  <c r="D5844" i="15"/>
  <c r="C5844" i="15"/>
  <c r="D5843" i="15"/>
  <c r="C5843" i="15"/>
  <c r="D5842" i="15"/>
  <c r="C5842" i="15"/>
  <c r="D5841" i="15"/>
  <c r="C5841" i="15"/>
  <c r="D5840" i="15"/>
  <c r="C5840" i="15"/>
  <c r="D5839" i="15"/>
  <c r="C5839" i="15"/>
  <c r="D5838" i="15"/>
  <c r="C5838" i="15"/>
  <c r="D5836" i="15"/>
  <c r="C5836" i="15"/>
  <c r="D5835" i="15"/>
  <c r="C5835" i="15"/>
  <c r="D5834" i="15"/>
  <c r="C5834" i="15"/>
  <c r="D5833" i="15"/>
  <c r="C5833" i="15"/>
  <c r="D5831" i="15"/>
  <c r="C5831" i="15"/>
  <c r="D5830" i="15"/>
  <c r="C5830" i="15"/>
  <c r="D5827" i="15"/>
  <c r="C5827" i="15"/>
  <c r="D5825" i="15"/>
  <c r="C5825" i="15"/>
  <c r="D5824" i="15"/>
  <c r="C5824" i="15"/>
  <c r="D5820" i="15"/>
  <c r="C5820" i="15"/>
  <c r="D5819" i="15"/>
  <c r="C5819" i="15"/>
  <c r="D5818" i="15"/>
  <c r="C5818" i="15"/>
  <c r="D5817" i="15"/>
  <c r="C5817" i="15"/>
  <c r="D5816" i="15"/>
  <c r="C5816" i="15"/>
  <c r="D5815" i="15"/>
  <c r="C5815" i="15"/>
  <c r="D5814" i="15"/>
  <c r="C5814" i="15"/>
  <c r="D5813" i="15"/>
  <c r="C5813" i="15"/>
  <c r="D5812" i="15"/>
  <c r="C5812" i="15"/>
  <c r="D5811" i="15"/>
  <c r="C5811" i="15"/>
  <c r="D5810" i="15"/>
  <c r="C5810" i="15"/>
  <c r="D5808" i="15"/>
  <c r="C5808" i="15"/>
  <c r="D5807" i="15"/>
  <c r="C5807" i="15"/>
  <c r="D5806" i="15"/>
  <c r="C5806" i="15"/>
  <c r="D5805" i="15"/>
  <c r="C5805" i="15"/>
  <c r="D5803" i="15"/>
  <c r="C5803" i="15"/>
  <c r="D5802" i="15"/>
  <c r="C5802" i="15"/>
  <c r="D5798" i="15"/>
  <c r="C5798" i="15"/>
  <c r="D5794" i="15"/>
  <c r="C5794" i="15"/>
  <c r="D5793" i="15"/>
  <c r="C5793" i="15"/>
  <c r="D5792" i="15"/>
  <c r="C5792" i="15"/>
  <c r="D5790" i="15"/>
  <c r="C5790" i="15"/>
  <c r="D5789" i="15"/>
  <c r="C5789" i="15"/>
  <c r="D5788" i="15"/>
  <c r="C5788" i="15"/>
  <c r="D5787" i="15"/>
  <c r="C5787" i="15"/>
  <c r="D5783" i="15"/>
  <c r="C5783" i="15"/>
  <c r="D5782" i="15"/>
  <c r="C5782" i="15"/>
  <c r="D5780" i="15"/>
  <c r="C5780" i="15"/>
  <c r="D5779" i="15"/>
  <c r="C5779" i="15"/>
  <c r="D5778" i="15"/>
  <c r="C5778" i="15"/>
  <c r="D5777" i="15"/>
  <c r="C5777" i="15"/>
  <c r="D5776" i="15"/>
  <c r="C5776" i="15"/>
  <c r="D5775" i="15"/>
  <c r="C5775" i="15"/>
  <c r="D5774" i="15"/>
  <c r="C5774" i="15"/>
  <c r="D5772" i="15"/>
  <c r="C5772" i="15"/>
  <c r="D5771" i="15"/>
  <c r="C5771" i="15"/>
  <c r="D5769" i="15"/>
  <c r="C5769" i="15"/>
  <c r="D5768" i="15"/>
  <c r="C5768" i="15"/>
  <c r="D5767" i="15"/>
  <c r="C5767" i="15"/>
  <c r="D5766" i="15"/>
  <c r="C5766" i="15"/>
  <c r="D5764" i="15"/>
  <c r="C5764" i="15"/>
  <c r="D5760" i="15"/>
  <c r="C5760" i="15"/>
  <c r="D5757" i="15"/>
  <c r="C5757" i="15"/>
  <c r="D5756" i="15"/>
  <c r="C5756" i="15"/>
  <c r="D5755" i="15"/>
  <c r="C5755" i="15"/>
  <c r="D5754" i="15"/>
  <c r="C5754" i="15"/>
  <c r="D5752" i="15"/>
  <c r="C5752" i="15"/>
  <c r="D5751" i="15"/>
  <c r="C5751" i="15"/>
  <c r="D5749" i="15"/>
  <c r="C5749" i="15"/>
  <c r="D5747" i="15"/>
  <c r="C5747" i="15"/>
  <c r="D5746" i="15"/>
  <c r="C5746" i="15"/>
  <c r="D5745" i="15"/>
  <c r="C5745" i="15"/>
  <c r="D5744" i="15"/>
  <c r="C5744" i="15"/>
  <c r="D5743" i="15"/>
  <c r="C5743" i="15"/>
  <c r="D5742" i="15"/>
  <c r="C5742" i="15"/>
  <c r="D5741" i="15"/>
  <c r="C5741" i="15"/>
  <c r="D5740" i="15"/>
  <c r="C5740" i="15"/>
  <c r="D5739" i="15"/>
  <c r="C5739" i="15"/>
  <c r="D5738" i="15"/>
  <c r="C5738" i="15"/>
  <c r="D5737" i="15"/>
  <c r="C5737" i="15"/>
  <c r="D5735" i="15"/>
  <c r="C5735" i="15"/>
  <c r="D5734" i="15"/>
  <c r="C5734" i="15"/>
  <c r="D5733" i="15"/>
  <c r="C5733" i="15"/>
  <c r="D5732" i="15"/>
  <c r="C5732" i="15"/>
  <c r="D5728" i="15"/>
  <c r="C5728" i="15"/>
  <c r="D5727" i="15"/>
  <c r="C5727" i="15"/>
  <c r="D5726" i="15"/>
  <c r="C5726" i="15"/>
  <c r="D5724" i="15"/>
  <c r="C5724" i="15"/>
  <c r="D5720" i="15"/>
  <c r="C5720" i="15"/>
  <c r="D5719" i="15"/>
  <c r="C5719" i="15"/>
  <c r="D5718" i="15"/>
  <c r="C5718" i="15"/>
  <c r="D5717" i="15"/>
  <c r="C5717" i="15"/>
  <c r="D5716" i="15"/>
  <c r="C5716" i="15"/>
  <c r="D5715" i="15"/>
  <c r="C5715" i="15"/>
  <c r="D5709" i="15"/>
  <c r="C5709" i="15"/>
  <c r="D5708" i="15"/>
  <c r="C5708" i="15"/>
  <c r="D5707" i="15"/>
  <c r="C5707" i="15"/>
  <c r="D5705" i="15"/>
  <c r="C5705" i="15"/>
  <c r="D5704" i="15"/>
  <c r="C5704" i="15"/>
  <c r="D5702" i="15"/>
  <c r="C5702" i="15"/>
  <c r="D5701" i="15"/>
  <c r="C5701" i="15"/>
  <c r="D5697" i="15"/>
  <c r="C5697" i="15"/>
  <c r="D5693" i="15"/>
  <c r="C5693" i="15"/>
  <c r="D5692" i="15"/>
  <c r="C5692" i="15"/>
  <c r="D5691" i="15"/>
  <c r="C5691" i="15"/>
  <c r="D5690" i="15"/>
  <c r="C5690" i="15"/>
  <c r="D5689" i="15"/>
  <c r="C5689" i="15"/>
  <c r="D5688" i="15"/>
  <c r="C5688" i="15"/>
  <c r="D5687" i="15"/>
  <c r="C5687" i="15"/>
  <c r="D5686" i="15"/>
  <c r="C5686" i="15"/>
  <c r="D5685" i="15"/>
  <c r="C5685" i="15"/>
  <c r="D5684" i="15"/>
  <c r="C5684" i="15"/>
  <c r="D5682" i="15"/>
  <c r="C5682" i="15"/>
  <c r="D5681" i="15"/>
  <c r="C5681" i="15"/>
  <c r="D5679" i="15"/>
  <c r="C5679" i="15"/>
  <c r="D5678" i="15"/>
  <c r="C5678" i="15"/>
  <c r="D5677" i="15"/>
  <c r="C5677" i="15"/>
  <c r="D5676" i="15"/>
  <c r="C5676" i="15"/>
  <c r="D5674" i="15"/>
  <c r="C5674" i="15"/>
  <c r="D5673" i="15"/>
  <c r="C5673" i="15"/>
  <c r="D5672" i="15"/>
  <c r="C5672" i="15"/>
  <c r="D5671" i="15"/>
  <c r="C5671" i="15"/>
  <c r="D5670" i="15"/>
  <c r="C5670" i="15"/>
  <c r="D5669" i="15"/>
  <c r="C5669" i="15"/>
  <c r="D5666" i="15"/>
  <c r="C5666" i="15"/>
  <c r="D5664" i="15"/>
  <c r="C5664" i="15"/>
  <c r="D5663" i="15"/>
  <c r="C5663" i="15"/>
  <c r="D5662" i="15"/>
  <c r="C5662" i="15"/>
  <c r="D5661" i="15"/>
  <c r="C5661" i="15"/>
  <c r="D5660" i="15"/>
  <c r="C5660" i="15"/>
  <c r="D5659" i="15"/>
  <c r="C5659" i="15"/>
  <c r="D5657" i="15"/>
  <c r="C5657" i="15"/>
  <c r="D5656" i="15"/>
  <c r="C5656" i="15"/>
  <c r="D5655" i="15"/>
  <c r="C5655" i="15"/>
  <c r="D5654" i="15"/>
  <c r="C5654" i="15"/>
  <c r="D5653" i="15"/>
  <c r="C5653" i="15"/>
  <c r="D5651" i="15"/>
  <c r="C5651" i="15"/>
  <c r="D5650" i="15"/>
  <c r="C5650" i="15"/>
  <c r="D5649" i="15"/>
  <c r="C5649" i="15"/>
  <c r="D5648" i="15"/>
  <c r="C5648" i="15"/>
  <c r="D5647" i="15"/>
  <c r="C5647" i="15"/>
  <c r="D5646" i="15"/>
  <c r="C5646" i="15"/>
  <c r="D5645" i="15"/>
  <c r="C5645" i="15"/>
  <c r="D5644" i="15"/>
  <c r="C5644" i="15"/>
  <c r="D5642" i="15"/>
  <c r="C5642" i="15"/>
  <c r="D5641" i="15"/>
  <c r="C5641" i="15"/>
  <c r="D5638" i="15"/>
  <c r="C5638" i="15"/>
  <c r="D5637" i="15"/>
  <c r="C5637" i="15"/>
  <c r="D5636" i="15"/>
  <c r="C5636" i="15"/>
  <c r="D5635" i="15"/>
  <c r="C5635" i="15"/>
  <c r="D5634" i="15"/>
  <c r="C5634" i="15"/>
  <c r="D5630" i="15"/>
  <c r="C5630" i="15"/>
  <c r="D5629" i="15"/>
  <c r="C5629" i="15"/>
  <c r="D5627" i="15"/>
  <c r="C5627" i="15"/>
  <c r="D5626" i="15"/>
  <c r="C5626" i="15"/>
  <c r="D5625" i="15"/>
  <c r="C5625" i="15"/>
  <c r="D5624" i="15"/>
  <c r="C5624" i="15"/>
  <c r="D5618" i="15"/>
  <c r="C5618" i="15"/>
  <c r="D5617" i="15"/>
  <c r="C5617" i="15"/>
  <c r="D5616" i="15"/>
  <c r="C5616" i="15"/>
  <c r="D5614" i="15"/>
  <c r="C5614" i="15"/>
  <c r="D5612" i="15"/>
  <c r="C5612" i="15"/>
  <c r="D5611" i="15"/>
  <c r="C5611" i="15"/>
  <c r="D5610" i="15"/>
  <c r="C5610" i="15"/>
  <c r="D5609" i="15"/>
  <c r="C5609" i="15"/>
  <c r="D5608" i="15"/>
  <c r="C5608" i="15"/>
  <c r="D5607" i="15"/>
  <c r="C5607" i="15"/>
  <c r="D5606" i="15"/>
  <c r="C5606" i="15"/>
  <c r="D5604" i="15"/>
  <c r="C5604" i="15"/>
  <c r="D5601" i="15"/>
  <c r="C5601" i="15"/>
  <c r="D5600" i="15"/>
  <c r="C5600" i="15"/>
  <c r="D5599" i="15"/>
  <c r="C5599" i="15"/>
  <c r="D5597" i="15"/>
  <c r="C5597" i="15"/>
  <c r="D5596" i="15"/>
  <c r="C5596" i="15"/>
  <c r="D5595" i="15"/>
  <c r="C5595" i="15"/>
  <c r="D5592" i="15"/>
  <c r="C5592" i="15"/>
  <c r="D5591" i="15"/>
  <c r="C5591" i="15"/>
  <c r="D5585" i="15"/>
  <c r="C5585" i="15"/>
  <c r="D5584" i="15"/>
  <c r="C5584" i="15"/>
  <c r="D5582" i="15"/>
  <c r="C5582" i="15"/>
  <c r="D5580" i="15"/>
  <c r="C5580" i="15"/>
  <c r="D5579" i="15"/>
  <c r="C5579" i="15"/>
  <c r="D5576" i="15"/>
  <c r="C5576" i="15"/>
  <c r="D5575" i="15"/>
  <c r="C5575" i="15"/>
  <c r="D5573" i="15"/>
  <c r="C5573" i="15"/>
  <c r="D5572" i="15"/>
  <c r="C5572" i="15"/>
  <c r="D5571" i="15"/>
  <c r="C5571" i="15"/>
  <c r="D5570" i="15"/>
  <c r="C5570" i="15"/>
  <c r="D5568" i="15"/>
  <c r="C5568" i="15"/>
  <c r="D5566" i="15"/>
  <c r="C5566" i="15"/>
  <c r="D5565" i="15"/>
  <c r="C5565" i="15"/>
  <c r="D5563" i="15"/>
  <c r="C5563" i="15"/>
  <c r="D5562" i="15"/>
  <c r="C5562" i="15"/>
  <c r="D5559" i="15"/>
  <c r="C5559" i="15"/>
  <c r="D5558" i="15"/>
  <c r="C5558" i="15"/>
  <c r="D5557" i="15"/>
  <c r="C5557" i="15"/>
  <c r="D5554" i="15"/>
  <c r="C5554" i="15"/>
  <c r="D5553" i="15"/>
  <c r="C5553" i="15"/>
  <c r="D5552" i="15"/>
  <c r="C5552" i="15"/>
  <c r="D5551" i="15"/>
  <c r="C5551" i="15"/>
  <c r="D5550" i="15"/>
  <c r="C5550" i="15"/>
  <c r="D5549" i="15"/>
  <c r="C5549" i="15"/>
  <c r="D5548" i="15"/>
  <c r="C5548" i="15"/>
  <c r="D5546" i="15"/>
  <c r="C5546" i="15"/>
  <c r="D5545" i="15"/>
  <c r="C5545" i="15"/>
  <c r="D5544" i="15"/>
  <c r="C5544" i="15"/>
  <c r="D5543" i="15"/>
  <c r="C5543" i="15"/>
  <c r="D5542" i="15"/>
  <c r="C5542" i="15"/>
  <c r="D5541" i="15"/>
  <c r="C5541" i="15"/>
  <c r="D5540" i="15"/>
  <c r="C5540" i="15"/>
  <c r="D5539" i="15"/>
  <c r="C5539" i="15"/>
  <c r="D5538" i="15"/>
  <c r="C5538" i="15"/>
  <c r="D5536" i="15"/>
  <c r="C5536" i="15"/>
  <c r="D5535" i="15"/>
  <c r="C5535" i="15"/>
  <c r="D5534" i="15"/>
  <c r="C5534" i="15"/>
  <c r="D5531" i="15"/>
  <c r="C5531" i="15"/>
  <c r="D5530" i="15"/>
  <c r="C5530" i="15"/>
  <c r="D5529" i="15"/>
  <c r="C5529" i="15"/>
  <c r="D5528" i="15"/>
  <c r="C5528" i="15"/>
  <c r="D5526" i="15"/>
  <c r="C5526" i="15"/>
  <c r="D5525" i="15"/>
  <c r="C5525" i="15"/>
  <c r="D5524" i="15"/>
  <c r="C5524" i="15"/>
  <c r="D5521" i="15"/>
  <c r="C5521" i="15"/>
  <c r="D5518" i="15"/>
  <c r="C5518" i="15"/>
  <c r="D5517" i="15"/>
  <c r="C5517" i="15"/>
  <c r="D5516" i="15"/>
  <c r="C5516" i="15"/>
  <c r="D5515" i="15"/>
  <c r="C5515" i="15"/>
  <c r="D5514" i="15"/>
  <c r="C5514" i="15"/>
  <c r="D5513" i="15"/>
  <c r="C5513" i="15"/>
  <c r="D5512" i="15"/>
  <c r="C5512" i="15"/>
  <c r="D5511" i="15"/>
  <c r="C5511" i="15"/>
  <c r="D5510" i="15"/>
  <c r="C5510" i="15"/>
  <c r="D5509" i="15"/>
  <c r="C5509" i="15"/>
  <c r="D5508" i="15"/>
  <c r="C5508" i="15"/>
  <c r="D5506" i="15"/>
  <c r="C5506" i="15"/>
  <c r="D5504" i="15"/>
  <c r="C5504" i="15"/>
  <c r="D5503" i="15"/>
  <c r="C5503" i="15"/>
  <c r="D5502" i="15"/>
  <c r="C5502" i="15"/>
  <c r="D5494" i="15"/>
  <c r="C5494" i="15"/>
  <c r="D5492" i="15"/>
  <c r="C5492" i="15"/>
  <c r="D5491" i="15"/>
  <c r="C5491" i="15"/>
  <c r="D5490" i="15"/>
  <c r="C5490" i="15"/>
  <c r="D5489" i="15"/>
  <c r="C5489" i="15"/>
  <c r="D5488" i="15"/>
  <c r="C5488" i="15"/>
  <c r="D5486" i="15"/>
  <c r="C5486" i="15"/>
  <c r="D5483" i="15"/>
  <c r="C5483" i="15"/>
  <c r="D5480" i="15"/>
  <c r="C5480" i="15"/>
  <c r="D5479" i="15"/>
  <c r="C5479" i="15"/>
  <c r="D5478" i="15"/>
  <c r="C5478" i="15"/>
  <c r="D5477" i="15"/>
  <c r="C5477" i="15"/>
  <c r="D5476" i="15"/>
  <c r="C5476" i="15"/>
  <c r="D5475" i="15"/>
  <c r="C5475" i="15"/>
  <c r="D5467" i="15"/>
  <c r="C5467" i="15"/>
  <c r="D5466" i="15"/>
  <c r="C5466" i="15"/>
  <c r="D5462" i="15"/>
  <c r="C5462" i="15"/>
  <c r="D5461" i="15"/>
  <c r="C5461" i="15"/>
  <c r="D5460" i="15"/>
  <c r="C5460" i="15"/>
  <c r="D5458" i="15"/>
  <c r="C5458" i="15"/>
  <c r="D5457" i="15"/>
  <c r="C5457" i="15"/>
  <c r="D5456" i="15"/>
  <c r="C5456" i="15"/>
  <c r="D5455" i="15"/>
  <c r="C5455" i="15"/>
  <c r="D5454" i="15"/>
  <c r="C5454" i="15"/>
  <c r="D5453" i="15"/>
  <c r="C5453" i="15"/>
  <c r="D5452" i="15"/>
  <c r="C5452" i="15"/>
  <c r="D5450" i="15"/>
  <c r="C5450" i="15"/>
  <c r="D5449" i="15"/>
  <c r="C5449" i="15"/>
  <c r="D5448" i="15"/>
  <c r="C5448" i="15"/>
  <c r="D5447" i="15"/>
  <c r="C5447" i="15"/>
  <c r="D5446" i="15"/>
  <c r="C5446" i="15"/>
  <c r="D5445" i="15"/>
  <c r="C5445" i="15"/>
  <c r="D5444" i="15"/>
  <c r="C5444" i="15"/>
  <c r="D5442" i="15"/>
  <c r="C5442" i="15"/>
  <c r="D5439" i="15"/>
  <c r="C5439" i="15"/>
  <c r="D5437" i="15"/>
  <c r="C5437" i="15"/>
  <c r="D5436" i="15"/>
  <c r="C5436" i="15"/>
  <c r="D5435" i="15"/>
  <c r="C5435" i="15"/>
  <c r="D5434" i="15"/>
  <c r="C5434" i="15"/>
  <c r="D5433" i="15"/>
  <c r="C5433" i="15"/>
  <c r="D5431" i="15"/>
  <c r="C5431" i="15"/>
  <c r="D5430" i="15"/>
  <c r="C5430" i="15"/>
  <c r="D5429" i="15"/>
  <c r="C5429" i="15"/>
  <c r="D5428" i="15"/>
  <c r="C5428" i="15"/>
  <c r="D5427" i="15"/>
  <c r="C5427" i="15"/>
  <c r="D5426" i="15"/>
  <c r="C5426" i="15"/>
  <c r="D5422" i="15"/>
  <c r="C5422" i="15"/>
  <c r="D5421" i="15"/>
  <c r="C5421" i="15"/>
  <c r="D5419" i="15"/>
  <c r="C5419" i="15"/>
  <c r="D5418" i="15"/>
  <c r="C5418" i="15"/>
  <c r="D5417" i="15"/>
  <c r="C5417" i="15"/>
  <c r="D5416" i="15"/>
  <c r="C5416" i="15"/>
  <c r="D5410" i="15"/>
  <c r="C5410" i="15"/>
  <c r="D5409" i="15"/>
  <c r="C5409" i="15"/>
  <c r="D5408" i="15"/>
  <c r="C5408" i="15"/>
  <c r="D5407" i="15"/>
  <c r="C5407" i="15"/>
  <c r="D5405" i="15"/>
  <c r="C5405" i="15"/>
  <c r="D5404" i="15"/>
  <c r="C5404" i="15"/>
  <c r="D5403" i="15"/>
  <c r="C5403" i="15"/>
  <c r="D5402" i="15"/>
  <c r="C5402" i="15"/>
  <c r="D5397" i="15"/>
  <c r="C5397" i="15"/>
  <c r="D5396" i="15"/>
  <c r="C5396" i="15"/>
  <c r="D5395" i="15"/>
  <c r="C5395" i="15"/>
  <c r="D5393" i="15"/>
  <c r="C5393" i="15"/>
  <c r="D5392" i="15"/>
  <c r="C5392" i="15"/>
  <c r="D5391" i="15"/>
  <c r="C5391" i="15"/>
  <c r="D5390" i="15"/>
  <c r="C5390" i="15"/>
  <c r="D5388" i="15"/>
  <c r="C5388" i="15"/>
  <c r="D5386" i="15"/>
  <c r="C5386" i="15"/>
  <c r="D5385" i="15"/>
  <c r="C5385" i="15"/>
  <c r="D5383" i="15"/>
  <c r="C5383" i="15"/>
  <c r="D5381" i="15"/>
  <c r="C5381" i="15"/>
  <c r="D5380" i="15"/>
  <c r="C5380" i="15"/>
  <c r="D5379" i="15"/>
  <c r="C5379" i="15"/>
  <c r="D5376" i="15"/>
  <c r="C5376" i="15"/>
  <c r="D5373" i="15"/>
  <c r="C5373" i="15"/>
  <c r="D5372" i="15"/>
  <c r="C5372" i="15"/>
  <c r="D5371" i="15"/>
  <c r="C5371" i="15"/>
  <c r="D5366" i="15"/>
  <c r="C5366" i="15"/>
  <c r="D5365" i="15"/>
  <c r="C5365" i="15"/>
  <c r="D5364" i="15"/>
  <c r="C5364" i="15"/>
  <c r="D5363" i="15"/>
  <c r="C5363" i="15"/>
  <c r="D5361" i="15"/>
  <c r="C5361" i="15"/>
  <c r="D5355" i="15"/>
  <c r="C5355" i="15"/>
  <c r="D5353" i="15"/>
  <c r="C5353" i="15"/>
  <c r="D5351" i="15"/>
  <c r="C5351" i="15"/>
  <c r="D5350" i="15"/>
  <c r="C5350" i="15"/>
  <c r="D5349" i="15"/>
  <c r="C5349" i="15"/>
  <c r="D5348" i="15"/>
  <c r="C5348" i="15"/>
  <c r="D5346" i="15"/>
  <c r="C5346" i="15"/>
  <c r="D5345" i="15"/>
  <c r="C5345" i="15"/>
  <c r="D5344" i="15"/>
  <c r="C5344" i="15"/>
  <c r="D5340" i="15"/>
  <c r="C5340" i="15"/>
  <c r="D5339" i="15"/>
  <c r="C5339" i="15"/>
  <c r="D5338" i="15"/>
  <c r="C5338" i="15"/>
  <c r="D5337" i="15"/>
  <c r="C5337" i="15"/>
  <c r="D5334" i="15"/>
  <c r="C5334" i="15"/>
  <c r="D5333" i="15"/>
  <c r="C5333" i="15"/>
  <c r="D5332" i="15"/>
  <c r="C5332" i="15"/>
  <c r="D5330" i="15"/>
  <c r="C5330" i="15"/>
  <c r="D5329" i="15"/>
  <c r="C5329" i="15"/>
  <c r="D5328" i="15"/>
  <c r="C5328" i="15"/>
  <c r="D5327" i="15"/>
  <c r="C5327" i="15"/>
  <c r="D5326" i="15"/>
  <c r="C5326" i="15"/>
  <c r="D5325" i="15"/>
  <c r="C5325" i="15"/>
  <c r="D5324" i="15"/>
  <c r="C5324" i="15"/>
  <c r="D5323" i="15"/>
  <c r="C5323" i="15"/>
  <c r="D5322" i="15"/>
  <c r="C5322" i="15"/>
  <c r="D5321" i="15"/>
  <c r="C5321" i="15"/>
  <c r="D5320" i="15"/>
  <c r="C5320" i="15"/>
  <c r="D5319" i="15"/>
  <c r="C5319" i="15"/>
  <c r="D5318" i="15"/>
  <c r="C5318" i="15"/>
  <c r="D5317" i="15"/>
  <c r="C5317" i="15"/>
  <c r="D5316" i="15"/>
  <c r="C5316" i="15"/>
  <c r="D5315" i="15"/>
  <c r="C5315" i="15"/>
  <c r="D5314" i="15"/>
  <c r="C5314" i="15"/>
  <c r="D5313" i="15"/>
  <c r="C5313" i="15"/>
  <c r="D5312" i="15"/>
  <c r="C5312" i="15"/>
  <c r="D5311" i="15"/>
  <c r="C5311" i="15"/>
  <c r="D5310" i="15"/>
  <c r="C5310" i="15"/>
  <c r="D5309" i="15"/>
  <c r="C5309" i="15"/>
  <c r="D5308" i="15"/>
  <c r="C5308" i="15"/>
  <c r="D5307" i="15"/>
  <c r="C5307" i="15"/>
  <c r="D5305" i="15"/>
  <c r="C5305" i="15"/>
  <c r="D5304" i="15"/>
  <c r="C5304" i="15"/>
  <c r="D5302" i="15"/>
  <c r="C5302" i="15"/>
  <c r="D5301" i="15"/>
  <c r="C5301" i="15"/>
  <c r="D5300" i="15"/>
  <c r="C5300" i="15"/>
  <c r="D5299" i="15"/>
  <c r="C5299" i="15"/>
  <c r="D5298" i="15"/>
  <c r="C5298" i="15"/>
  <c r="D5296" i="15"/>
  <c r="C5296" i="15"/>
  <c r="D5294" i="15"/>
  <c r="C5294" i="15"/>
  <c r="D5293" i="15"/>
  <c r="C5293" i="15"/>
  <c r="D5292" i="15"/>
  <c r="C5292" i="15"/>
  <c r="D5291" i="15"/>
  <c r="C5291" i="15"/>
  <c r="D5290" i="15"/>
  <c r="C5290" i="15"/>
  <c r="D5287" i="15"/>
  <c r="C5287" i="15"/>
  <c r="D5286" i="15"/>
  <c r="C5286" i="15"/>
  <c r="D5285" i="15"/>
  <c r="C5285" i="15"/>
  <c r="D5284" i="15"/>
  <c r="C5284" i="15"/>
  <c r="D5283" i="15"/>
  <c r="C5283" i="15"/>
  <c r="D5280" i="15"/>
  <c r="C5280" i="15"/>
  <c r="D5278" i="15"/>
  <c r="C5278" i="15"/>
  <c r="D5276" i="15"/>
  <c r="C5276" i="15"/>
  <c r="D5275" i="15"/>
  <c r="C5275" i="15"/>
  <c r="D5274" i="15"/>
  <c r="C5274" i="15"/>
  <c r="D5273" i="15"/>
  <c r="C5273" i="15"/>
  <c r="D5270" i="15"/>
  <c r="C5270" i="15"/>
  <c r="D5269" i="15"/>
  <c r="C5269" i="15"/>
  <c r="D5267" i="15"/>
  <c r="C5267" i="15"/>
  <c r="D5265" i="15"/>
  <c r="C5265" i="15"/>
  <c r="D5264" i="15"/>
  <c r="C5264" i="15"/>
  <c r="D5262" i="15"/>
  <c r="C5262" i="15"/>
  <c r="D5255" i="15"/>
  <c r="C5255" i="15"/>
  <c r="D5253" i="15"/>
  <c r="C5253" i="15"/>
  <c r="D5251" i="15"/>
  <c r="C5251" i="15"/>
  <c r="D5250" i="15"/>
  <c r="C5250" i="15"/>
  <c r="D5249" i="15"/>
  <c r="C5249" i="15"/>
  <c r="D5248" i="15"/>
  <c r="C5248" i="15"/>
  <c r="D5247" i="15"/>
  <c r="C5247" i="15"/>
  <c r="D5246" i="15"/>
  <c r="C5246" i="15"/>
  <c r="D5245" i="15"/>
  <c r="C5245" i="15"/>
  <c r="D5243" i="15"/>
  <c r="C5243" i="15"/>
  <c r="D5241" i="15"/>
  <c r="C5241" i="15"/>
  <c r="D5239" i="15"/>
  <c r="C5239" i="15"/>
  <c r="D5238" i="15"/>
  <c r="C5238" i="15"/>
  <c r="D5237" i="15"/>
  <c r="C5237" i="15"/>
  <c r="D5236" i="15"/>
  <c r="C5236" i="15"/>
  <c r="D5235" i="15"/>
  <c r="C5235" i="15"/>
  <c r="D5231" i="15"/>
  <c r="C5231" i="15"/>
  <c r="D5229" i="15"/>
  <c r="C5229" i="15"/>
  <c r="D5228" i="15"/>
  <c r="C5228" i="15"/>
  <c r="D5227" i="15"/>
  <c r="C5227" i="15"/>
  <c r="D5226" i="15"/>
  <c r="C5226" i="15"/>
  <c r="D5224" i="15"/>
  <c r="C5224" i="15"/>
  <c r="D5223" i="15"/>
  <c r="C5223" i="15"/>
  <c r="D5222" i="15"/>
  <c r="C5222" i="15"/>
  <c r="D5221" i="15"/>
  <c r="C5221" i="15"/>
  <c r="D5220" i="15"/>
  <c r="C5220" i="15"/>
  <c r="D5219" i="15"/>
  <c r="C5219" i="15"/>
  <c r="D5218" i="15"/>
  <c r="C5218" i="15"/>
  <c r="D5216" i="15"/>
  <c r="C5216" i="15"/>
  <c r="D5214" i="15"/>
  <c r="C5214" i="15"/>
  <c r="D5213" i="15"/>
  <c r="C5213" i="15"/>
  <c r="D5212" i="15"/>
  <c r="C5212" i="15"/>
  <c r="D5208" i="15"/>
  <c r="C5208" i="15"/>
  <c r="D5207" i="15"/>
  <c r="C5207" i="15"/>
  <c r="D5205" i="15"/>
  <c r="C5205" i="15"/>
  <c r="D5204" i="15"/>
  <c r="C5204" i="15"/>
  <c r="D5203" i="15"/>
  <c r="C5203" i="15"/>
  <c r="D5201" i="15"/>
  <c r="C5201" i="15"/>
  <c r="D5200" i="15"/>
  <c r="C5200" i="15"/>
  <c r="D5199" i="15"/>
  <c r="C5199" i="15"/>
  <c r="D5198" i="15"/>
  <c r="C5198" i="15"/>
  <c r="D5197" i="15"/>
  <c r="C5197" i="15"/>
  <c r="D5194" i="15"/>
  <c r="C5194" i="15"/>
  <c r="D5193" i="15"/>
  <c r="C5193" i="15"/>
  <c r="D5192" i="15"/>
  <c r="C5192" i="15"/>
  <c r="D5190" i="15"/>
  <c r="C5190" i="15"/>
  <c r="D5189" i="15"/>
  <c r="C5189" i="15"/>
  <c r="D5188" i="15"/>
  <c r="C5188" i="15"/>
  <c r="D5185" i="15"/>
  <c r="C5185" i="15"/>
  <c r="D5183" i="15"/>
  <c r="C5183" i="15"/>
  <c r="D5182" i="15"/>
  <c r="C5182" i="15"/>
  <c r="D5180" i="15"/>
  <c r="C5180" i="15"/>
  <c r="D5178" i="15"/>
  <c r="C5178" i="15"/>
  <c r="D5174" i="15"/>
  <c r="C5174" i="15"/>
  <c r="D5173" i="15"/>
  <c r="C5173" i="15"/>
  <c r="D5172" i="15"/>
  <c r="C5172" i="15"/>
  <c r="D5171" i="15"/>
  <c r="C5171" i="15"/>
  <c r="D5170" i="15"/>
  <c r="C5170" i="15"/>
  <c r="D5169" i="15"/>
  <c r="C5169" i="15"/>
  <c r="D5168" i="15"/>
  <c r="C5168" i="15"/>
  <c r="D5165" i="15"/>
  <c r="C5165" i="15"/>
  <c r="D5164" i="15"/>
  <c r="C5164" i="15"/>
  <c r="D5162" i="15"/>
  <c r="C5162" i="15"/>
  <c r="D5160" i="15"/>
  <c r="C5160" i="15"/>
  <c r="D5159" i="15"/>
  <c r="C5159" i="15"/>
  <c r="D5158" i="15"/>
  <c r="C5158" i="15"/>
  <c r="D5157" i="15"/>
  <c r="C5157" i="15"/>
  <c r="D5156" i="15"/>
  <c r="C5156" i="15"/>
  <c r="D5154" i="15"/>
  <c r="C5154" i="15"/>
  <c r="D5153" i="15"/>
  <c r="C5153" i="15"/>
  <c r="D5152" i="15"/>
  <c r="C5152" i="15"/>
  <c r="D5151" i="15"/>
  <c r="C5151" i="15"/>
  <c r="D5150" i="15"/>
  <c r="C5150" i="15"/>
  <c r="D5149" i="15"/>
  <c r="C5149" i="15"/>
  <c r="D5145" i="15"/>
  <c r="C5145" i="15"/>
  <c r="D5141" i="15"/>
  <c r="C5141" i="15"/>
  <c r="D5140" i="15"/>
  <c r="C5140" i="15"/>
  <c r="D5139" i="15"/>
  <c r="C5139" i="15"/>
  <c r="D5138" i="15"/>
  <c r="C5138" i="15"/>
  <c r="D5137" i="15"/>
  <c r="C5137" i="15"/>
  <c r="D5136" i="15"/>
  <c r="C5136" i="15"/>
  <c r="D5135" i="15"/>
  <c r="C5135" i="15"/>
  <c r="D5133" i="15"/>
  <c r="C5133" i="15"/>
  <c r="D5132" i="15"/>
  <c r="C5132" i="15"/>
  <c r="D5130" i="15"/>
  <c r="C5130" i="15"/>
  <c r="D5129" i="15"/>
  <c r="C5129" i="15"/>
  <c r="D5128" i="15"/>
  <c r="C5128" i="15"/>
  <c r="D5125" i="15"/>
  <c r="C5125" i="15"/>
  <c r="D5122" i="15"/>
  <c r="C5122" i="15"/>
  <c r="D5121" i="15"/>
  <c r="C5121" i="15"/>
  <c r="D5120" i="15"/>
  <c r="C5120" i="15"/>
  <c r="D5119" i="15"/>
  <c r="C5119" i="15"/>
  <c r="D5118" i="15"/>
  <c r="C5118" i="15"/>
  <c r="D5116" i="15"/>
  <c r="C5116" i="15"/>
  <c r="D5115" i="15"/>
  <c r="C5115" i="15"/>
  <c r="D5114" i="15"/>
  <c r="C5114" i="15"/>
  <c r="D5113" i="15"/>
  <c r="C5113" i="15"/>
  <c r="D5111" i="15"/>
  <c r="C5111" i="15"/>
  <c r="D5110" i="15"/>
  <c r="C5110" i="15"/>
  <c r="D5109" i="15"/>
  <c r="C5109" i="15"/>
  <c r="D5108" i="15"/>
  <c r="C5108" i="15"/>
  <c r="D5107" i="15"/>
  <c r="C5107" i="15"/>
  <c r="D5105" i="15"/>
  <c r="C5105" i="15"/>
  <c r="D5104" i="15"/>
  <c r="C5104" i="15"/>
  <c r="D5098" i="15"/>
  <c r="C5098" i="15"/>
  <c r="D5097" i="15"/>
  <c r="C5097" i="15"/>
  <c r="D5095" i="15"/>
  <c r="C5095" i="15"/>
  <c r="D5093" i="15"/>
  <c r="C5093" i="15"/>
  <c r="D5092" i="15"/>
  <c r="C5092" i="15"/>
  <c r="D5091" i="15"/>
  <c r="C5091" i="15"/>
  <c r="D5090" i="15"/>
  <c r="C5090" i="15"/>
  <c r="D5088" i="15"/>
  <c r="C5088" i="15"/>
  <c r="D5086" i="15"/>
  <c r="C5086" i="15"/>
  <c r="D5083" i="15"/>
  <c r="C5083" i="15"/>
  <c r="D5082" i="15"/>
  <c r="C5082" i="15"/>
  <c r="D5081" i="15"/>
  <c r="C5081" i="15"/>
  <c r="D5080" i="15"/>
  <c r="C5080" i="15"/>
  <c r="D5078" i="15"/>
  <c r="C5078" i="15"/>
  <c r="D5077" i="15"/>
  <c r="C5077" i="15"/>
  <c r="D5076" i="15"/>
  <c r="C5076" i="15"/>
  <c r="D5075" i="15"/>
  <c r="C5075" i="15"/>
  <c r="D5072" i="15"/>
  <c r="C5072" i="15"/>
  <c r="D5070" i="15"/>
  <c r="C5070" i="15"/>
  <c r="D5069" i="15"/>
  <c r="C5069" i="15"/>
  <c r="D5068" i="15"/>
  <c r="C5068" i="15"/>
  <c r="D5067" i="15"/>
  <c r="C5067" i="15"/>
  <c r="D5066" i="15"/>
  <c r="C5066" i="15"/>
  <c r="D5065" i="15"/>
  <c r="C5065" i="15"/>
  <c r="D5064" i="15"/>
  <c r="C5064" i="15"/>
  <c r="D5063" i="15"/>
  <c r="C5063" i="15"/>
  <c r="D5062" i="15"/>
  <c r="C5062" i="15"/>
  <c r="D5061" i="15"/>
  <c r="C5061" i="15"/>
  <c r="D5060" i="15"/>
  <c r="C5060" i="15"/>
  <c r="D5059" i="15"/>
  <c r="C5059" i="15"/>
  <c r="D5058" i="15"/>
  <c r="C5058" i="15"/>
  <c r="D5057" i="15"/>
  <c r="C5057" i="15"/>
  <c r="D5056" i="15"/>
  <c r="C5056" i="15"/>
  <c r="D5055" i="15"/>
  <c r="C5055" i="15"/>
  <c r="D5054" i="15"/>
  <c r="C5054" i="15"/>
  <c r="D5053" i="15"/>
  <c r="C5053" i="15"/>
  <c r="D5052" i="15"/>
  <c r="C5052" i="15"/>
  <c r="D5051" i="15"/>
  <c r="C5051" i="15"/>
  <c r="D5050" i="15"/>
  <c r="C5050" i="15"/>
  <c r="D5049" i="15"/>
  <c r="C5049" i="15"/>
  <c r="D5048" i="15"/>
  <c r="C5048" i="15"/>
  <c r="D5047" i="15"/>
  <c r="C5047" i="15"/>
  <c r="D5046" i="15"/>
  <c r="C5046" i="15"/>
  <c r="D5045" i="15"/>
  <c r="C5045" i="15"/>
  <c r="D5044" i="15"/>
  <c r="C5044" i="15"/>
  <c r="D5036" i="15"/>
  <c r="C5036" i="15"/>
  <c r="D5035" i="15"/>
  <c r="C5035" i="15"/>
  <c r="D5033" i="15"/>
  <c r="C5033" i="15"/>
  <c r="D5032" i="15"/>
  <c r="C5032" i="15"/>
  <c r="D5031" i="15"/>
  <c r="C5031" i="15"/>
  <c r="D5030" i="15"/>
  <c r="C5030" i="15"/>
  <c r="D5029" i="15"/>
  <c r="C5029" i="15"/>
  <c r="D5028" i="15"/>
  <c r="C5028" i="15"/>
  <c r="D5026" i="15"/>
  <c r="C5026" i="15"/>
  <c r="D5025" i="15"/>
  <c r="C5025" i="15"/>
  <c r="D5024" i="15"/>
  <c r="C5024" i="15"/>
  <c r="D5021" i="15"/>
  <c r="C5021" i="15"/>
  <c r="D5020" i="15"/>
  <c r="C5020" i="15"/>
  <c r="D5019" i="15"/>
  <c r="C5019" i="15"/>
  <c r="D5018" i="15"/>
  <c r="C5018" i="15"/>
  <c r="D5017" i="15"/>
  <c r="C5017" i="15"/>
  <c r="D5016" i="15"/>
  <c r="C5016" i="15"/>
  <c r="D5014" i="15"/>
  <c r="C5014" i="15"/>
  <c r="D5013" i="15"/>
  <c r="C5013" i="15"/>
  <c r="D5012" i="15"/>
  <c r="C5012" i="15"/>
  <c r="D5011" i="15"/>
  <c r="C5011" i="15"/>
  <c r="D5010" i="15"/>
  <c r="C5010" i="15"/>
  <c r="D5009" i="15"/>
  <c r="C5009" i="15"/>
  <c r="D5008" i="15"/>
  <c r="C5008" i="15"/>
  <c r="D5006" i="15"/>
  <c r="C5006" i="15"/>
  <c r="D5005" i="15"/>
  <c r="C5005" i="15"/>
  <c r="D5004" i="15"/>
  <c r="C5004" i="15"/>
  <c r="D5003" i="15"/>
  <c r="C5003" i="15"/>
  <c r="D5002" i="15"/>
  <c r="C5002" i="15"/>
  <c r="D5001" i="15"/>
  <c r="C5001" i="15"/>
  <c r="D5000" i="15"/>
  <c r="C5000" i="15"/>
  <c r="D4999" i="15"/>
  <c r="C4999" i="15"/>
  <c r="D4997" i="15"/>
  <c r="C4997" i="15"/>
  <c r="D4996" i="15"/>
  <c r="C4996" i="15"/>
  <c r="D4995" i="15"/>
  <c r="C4995" i="15"/>
  <c r="D4994" i="15"/>
  <c r="C4994" i="15"/>
  <c r="D4993" i="15"/>
  <c r="C4993" i="15"/>
  <c r="D4992" i="15"/>
  <c r="C4992" i="15"/>
  <c r="D4991" i="15"/>
  <c r="C4991" i="15"/>
  <c r="D4990" i="15"/>
  <c r="C4990" i="15"/>
  <c r="D4989" i="15"/>
  <c r="C4989" i="15"/>
  <c r="D4988" i="15"/>
  <c r="C4988" i="15"/>
  <c r="D4987" i="15"/>
  <c r="C4987" i="15"/>
  <c r="D4986" i="15"/>
  <c r="C4986" i="15"/>
  <c r="D4985" i="15"/>
  <c r="C4985" i="15"/>
  <c r="D4984" i="15"/>
  <c r="C4984" i="15"/>
  <c r="D4983" i="15"/>
  <c r="C4983" i="15"/>
  <c r="D4982" i="15"/>
  <c r="C4982" i="15"/>
  <c r="D4981" i="15"/>
  <c r="C4981" i="15"/>
  <c r="D4978" i="15"/>
  <c r="C4978" i="15"/>
  <c r="D4977" i="15"/>
  <c r="C4977" i="15"/>
  <c r="D4976" i="15"/>
  <c r="C4976" i="15"/>
  <c r="D4973" i="15"/>
  <c r="C4973" i="15"/>
  <c r="D4970" i="15"/>
  <c r="C4970" i="15"/>
  <c r="D4969" i="15"/>
  <c r="C4969" i="15"/>
  <c r="D4968" i="15"/>
  <c r="C4968" i="15"/>
  <c r="D4965" i="15"/>
  <c r="C4965" i="15"/>
  <c r="D4964" i="15"/>
  <c r="C4964" i="15"/>
  <c r="D4963" i="15"/>
  <c r="C4963" i="15"/>
  <c r="D4962" i="15"/>
  <c r="C4962" i="15"/>
  <c r="D4961" i="15"/>
  <c r="C4961" i="15"/>
  <c r="D4960" i="15"/>
  <c r="C4960" i="15"/>
  <c r="D4958" i="15"/>
  <c r="C4958" i="15"/>
  <c r="D4957" i="15"/>
  <c r="C4957" i="15"/>
  <c r="D4955" i="15"/>
  <c r="C4955" i="15"/>
  <c r="D4954" i="15"/>
  <c r="C4954" i="15"/>
  <c r="D4952" i="15"/>
  <c r="C4952" i="15"/>
  <c r="D4950" i="15"/>
  <c r="C4950" i="15"/>
  <c r="D4949" i="15"/>
  <c r="C4949" i="15"/>
  <c r="D4947" i="15"/>
  <c r="C4947" i="15"/>
  <c r="D4945" i="15"/>
  <c r="C4945" i="15"/>
  <c r="D4944" i="15"/>
  <c r="C4944" i="15"/>
  <c r="D4943" i="15"/>
  <c r="C4943" i="15"/>
  <c r="D4942" i="15"/>
  <c r="C4942" i="15"/>
  <c r="D4941" i="15"/>
  <c r="C4941" i="15"/>
  <c r="D4940" i="15"/>
  <c r="C4940" i="15"/>
  <c r="D4937" i="15"/>
  <c r="C4937" i="15"/>
  <c r="D4936" i="15"/>
  <c r="C4936" i="15"/>
  <c r="D4931" i="15"/>
  <c r="C4931" i="15"/>
  <c r="D4930" i="15"/>
  <c r="C4930" i="15"/>
  <c r="D4929" i="15"/>
  <c r="C4929" i="15"/>
  <c r="D4928" i="15"/>
  <c r="C4928" i="15"/>
  <c r="D4927" i="15"/>
  <c r="C4927" i="15"/>
  <c r="D4926" i="15"/>
  <c r="C4926" i="15"/>
  <c r="D4925" i="15"/>
  <c r="C4925" i="15"/>
  <c r="D4924" i="15"/>
  <c r="C4924" i="15"/>
  <c r="D4923" i="15"/>
  <c r="C4923" i="15"/>
  <c r="D4922" i="15"/>
  <c r="C4922" i="15"/>
  <c r="D4921" i="15"/>
  <c r="C4921" i="15"/>
  <c r="D4920" i="15"/>
  <c r="C4920" i="15"/>
  <c r="D4919" i="15"/>
  <c r="C4919" i="15"/>
  <c r="D4918" i="15"/>
  <c r="C4918" i="15"/>
  <c r="D4917" i="15"/>
  <c r="C4917" i="15"/>
  <c r="D4916" i="15"/>
  <c r="C4916" i="15"/>
  <c r="D4915" i="15"/>
  <c r="C4915" i="15"/>
  <c r="D4914" i="15"/>
  <c r="C4914" i="15"/>
  <c r="D4913" i="15"/>
  <c r="C4913" i="15"/>
  <c r="D4912" i="15"/>
  <c r="C4912" i="15"/>
  <c r="D4910" i="15"/>
  <c r="C4910" i="15"/>
  <c r="D4909" i="15"/>
  <c r="C4909" i="15"/>
  <c r="D4908" i="15"/>
  <c r="C4908" i="15"/>
  <c r="D4907" i="15"/>
  <c r="C4907" i="15"/>
  <c r="D4906" i="15"/>
  <c r="C4906" i="15"/>
  <c r="D4905" i="15"/>
  <c r="C4905" i="15"/>
  <c r="D4904" i="15"/>
  <c r="C4904" i="15"/>
  <c r="D4903" i="15"/>
  <c r="C4903" i="15"/>
  <c r="D4902" i="15"/>
  <c r="C4902" i="15"/>
  <c r="D4901" i="15"/>
  <c r="C4901" i="15"/>
  <c r="D4900" i="15"/>
  <c r="C4900" i="15"/>
  <c r="D4898" i="15"/>
  <c r="C4898" i="15"/>
  <c r="D4897" i="15"/>
  <c r="C4897" i="15"/>
  <c r="D4896" i="15"/>
  <c r="C4896" i="15"/>
  <c r="D4895" i="15"/>
  <c r="C4895" i="15"/>
  <c r="D4894" i="15"/>
  <c r="C4894" i="15"/>
  <c r="D4893" i="15"/>
  <c r="C4893" i="15"/>
  <c r="D4892" i="15"/>
  <c r="C4892" i="15"/>
  <c r="D4891" i="15"/>
  <c r="C4891" i="15"/>
  <c r="D4890" i="15"/>
  <c r="C4890" i="15"/>
  <c r="D4889" i="15"/>
  <c r="C4889" i="15"/>
  <c r="D4888" i="15"/>
  <c r="C4888" i="15"/>
  <c r="D4887" i="15"/>
  <c r="C4887" i="15"/>
  <c r="D4886" i="15"/>
  <c r="C4886" i="15"/>
  <c r="D4885" i="15"/>
  <c r="C4885" i="15"/>
  <c r="D4884" i="15"/>
  <c r="C4884" i="15"/>
  <c r="D4883" i="15"/>
  <c r="C4883" i="15"/>
  <c r="D4882" i="15"/>
  <c r="C4882" i="15"/>
  <c r="D4881" i="15"/>
  <c r="C4881" i="15"/>
  <c r="D4880" i="15"/>
  <c r="C4880" i="15"/>
  <c r="D4879" i="15"/>
  <c r="C4879" i="15"/>
  <c r="D4877" i="15"/>
  <c r="C4877" i="15"/>
  <c r="D4876" i="15"/>
  <c r="C4876" i="15"/>
  <c r="D4875" i="15"/>
  <c r="C4875" i="15"/>
  <c r="D4874" i="15"/>
  <c r="C4874" i="15"/>
  <c r="D4873" i="15"/>
  <c r="C4873" i="15"/>
  <c r="D4872" i="15"/>
  <c r="C4872" i="15"/>
  <c r="D4870" i="15"/>
  <c r="C4870" i="15"/>
  <c r="D4869" i="15"/>
  <c r="C4869" i="15"/>
  <c r="D4867" i="15"/>
  <c r="C4867" i="15"/>
  <c r="D4866" i="15"/>
  <c r="C4866" i="15"/>
  <c r="D4865" i="15"/>
  <c r="C4865" i="15"/>
  <c r="D4863" i="15"/>
  <c r="C4863" i="15"/>
  <c r="D4862" i="15"/>
  <c r="C4862" i="15"/>
  <c r="D4861" i="15"/>
  <c r="C4861" i="15"/>
  <c r="D4859" i="15"/>
  <c r="C4859" i="15"/>
  <c r="D4856" i="15"/>
  <c r="C4856" i="15"/>
  <c r="D4854" i="15"/>
  <c r="C4854" i="15"/>
  <c r="D4853" i="15"/>
  <c r="C4853" i="15"/>
  <c r="D4852" i="15"/>
  <c r="C4852" i="15"/>
  <c r="D4851" i="15"/>
  <c r="C4851" i="15"/>
  <c r="D4850" i="15"/>
  <c r="C4850" i="15"/>
  <c r="D4849" i="15"/>
  <c r="C4849" i="15"/>
  <c r="D4848" i="15"/>
  <c r="C4848" i="15"/>
  <c r="D4846" i="15"/>
  <c r="C4846" i="15"/>
  <c r="D4845" i="15"/>
  <c r="C4845" i="15"/>
  <c r="D4844" i="15"/>
  <c r="C4844" i="15"/>
  <c r="D4843" i="15"/>
  <c r="C4843" i="15"/>
  <c r="D4842" i="15"/>
  <c r="C4842" i="15"/>
  <c r="D4841" i="15"/>
  <c r="C4841" i="15"/>
  <c r="D4840" i="15"/>
  <c r="C4840" i="15"/>
  <c r="D4839" i="15"/>
  <c r="C4839" i="15"/>
  <c r="D4838" i="15"/>
  <c r="C4838" i="15"/>
  <c r="D4837" i="15"/>
  <c r="C4837" i="15"/>
  <c r="D4836" i="15"/>
  <c r="C4836" i="15"/>
  <c r="D4835" i="15"/>
  <c r="C4835" i="15"/>
  <c r="D4834" i="15"/>
  <c r="C4834" i="15"/>
  <c r="D4833" i="15"/>
  <c r="C4833" i="15"/>
  <c r="D4831" i="15"/>
  <c r="C4831" i="15"/>
  <c r="D4830" i="15"/>
  <c r="C4830" i="15"/>
  <c r="D4829" i="15"/>
  <c r="C4829" i="15"/>
  <c r="D4828" i="15"/>
  <c r="C4828" i="15"/>
  <c r="D4827" i="15"/>
  <c r="C4827" i="15"/>
  <c r="D4826" i="15"/>
  <c r="C4826" i="15"/>
  <c r="D4824" i="15"/>
  <c r="C4824" i="15"/>
  <c r="D4823" i="15"/>
  <c r="C4823" i="15"/>
  <c r="D4822" i="15"/>
  <c r="C4822" i="15"/>
  <c r="D4821" i="15"/>
  <c r="C4821" i="15"/>
  <c r="D4820" i="15"/>
  <c r="C4820" i="15"/>
  <c r="D4819" i="15"/>
  <c r="C4819" i="15"/>
  <c r="D4818" i="15"/>
  <c r="C4818" i="15"/>
  <c r="D4817" i="15"/>
  <c r="C4817" i="15"/>
  <c r="D4816" i="15"/>
  <c r="C4816" i="15"/>
  <c r="D4815" i="15"/>
  <c r="C4815" i="15"/>
  <c r="D4814" i="15"/>
  <c r="C4814" i="15"/>
  <c r="D4813" i="15"/>
  <c r="C4813" i="15"/>
  <c r="D4812" i="15"/>
  <c r="C4812" i="15"/>
  <c r="D4810" i="15"/>
  <c r="C4810" i="15"/>
  <c r="D4809" i="15"/>
  <c r="C4809" i="15"/>
  <c r="D4808" i="15"/>
  <c r="C4808" i="15"/>
  <c r="D4807" i="15"/>
  <c r="C4807" i="15"/>
  <c r="D4806" i="15"/>
  <c r="C4806" i="15"/>
  <c r="D4805" i="15"/>
  <c r="C4805" i="15"/>
  <c r="D4804" i="15"/>
  <c r="C4804" i="15"/>
  <c r="D4803" i="15"/>
  <c r="C4803" i="15"/>
  <c r="D4801" i="15"/>
  <c r="C4801" i="15"/>
  <c r="D4800" i="15"/>
  <c r="C4800" i="15"/>
  <c r="D4799" i="15"/>
  <c r="C4799" i="15"/>
  <c r="D4798" i="15"/>
  <c r="C4798" i="15"/>
  <c r="D4797" i="15"/>
  <c r="C4797" i="15"/>
  <c r="D4796" i="15"/>
  <c r="C4796" i="15"/>
  <c r="D4793" i="15"/>
  <c r="C4793" i="15"/>
  <c r="D4792" i="15"/>
  <c r="C4792" i="15"/>
  <c r="D4791" i="15"/>
  <c r="C4791" i="15"/>
  <c r="D4790" i="15"/>
  <c r="C4790" i="15"/>
  <c r="D4789" i="15"/>
  <c r="C4789" i="15"/>
  <c r="D4788" i="15"/>
  <c r="C4788" i="15"/>
  <c r="D4786" i="15"/>
  <c r="C4786" i="15"/>
  <c r="D4785" i="15"/>
  <c r="C4785" i="15"/>
  <c r="D4783" i="15"/>
  <c r="C4783" i="15"/>
  <c r="D4782" i="15"/>
  <c r="C4782" i="15"/>
  <c r="D4781" i="15"/>
  <c r="C4781" i="15"/>
  <c r="D4780" i="15"/>
  <c r="C4780" i="15"/>
  <c r="D4778" i="15"/>
  <c r="C4778" i="15"/>
  <c r="D4777" i="15"/>
  <c r="C4777" i="15"/>
  <c r="D4776" i="15"/>
  <c r="C4776" i="15"/>
  <c r="D4774" i="15"/>
  <c r="C4774" i="15"/>
  <c r="D4773" i="15"/>
  <c r="C4773" i="15"/>
  <c r="D4772" i="15"/>
  <c r="C4772" i="15"/>
  <c r="D4771" i="15"/>
  <c r="C4771" i="15"/>
  <c r="D4769" i="15"/>
  <c r="C4769" i="15"/>
  <c r="D4768" i="15"/>
  <c r="C4768" i="15"/>
  <c r="D4767" i="15"/>
  <c r="C4767" i="15"/>
  <c r="D4765" i="15"/>
  <c r="C4765" i="15"/>
  <c r="D4764" i="15"/>
  <c r="C4764" i="15"/>
  <c r="D4763" i="15"/>
  <c r="C4763" i="15"/>
  <c r="D4762" i="15"/>
  <c r="C4762" i="15"/>
  <c r="D4761" i="15"/>
  <c r="C4761" i="15"/>
  <c r="D4760" i="15"/>
  <c r="C4760" i="15"/>
  <c r="D4759" i="15"/>
  <c r="C4759" i="15"/>
  <c r="D4758" i="15"/>
  <c r="C4758" i="15"/>
  <c r="D4757" i="15"/>
  <c r="C4757" i="15"/>
  <c r="D4756" i="15"/>
  <c r="C4756" i="15"/>
  <c r="D4755" i="15"/>
  <c r="C4755" i="15"/>
  <c r="D4750" i="15"/>
  <c r="C4750" i="15"/>
  <c r="D4749" i="15"/>
  <c r="C4749" i="15"/>
  <c r="D4748" i="15"/>
  <c r="C4748" i="15"/>
  <c r="D4747" i="15"/>
  <c r="C4747" i="15"/>
  <c r="D4746" i="15"/>
  <c r="C4746" i="15"/>
  <c r="D4745" i="15"/>
  <c r="C4745" i="15"/>
  <c r="D4742" i="15"/>
  <c r="C4742" i="15"/>
  <c r="D4741" i="15"/>
  <c r="C4741" i="15"/>
  <c r="D4740" i="15"/>
  <c r="C4740" i="15"/>
  <c r="D4739" i="15"/>
  <c r="C4739" i="15"/>
  <c r="D4738" i="15"/>
  <c r="C4738" i="15"/>
  <c r="D4737" i="15"/>
  <c r="C4737" i="15"/>
  <c r="D4736" i="15"/>
  <c r="C4736" i="15"/>
  <c r="D4735" i="15"/>
  <c r="C4735" i="15"/>
  <c r="D4734" i="15"/>
  <c r="C4734" i="15"/>
  <c r="D4733" i="15"/>
  <c r="C4733" i="15"/>
  <c r="D4732" i="15"/>
  <c r="C4732" i="15"/>
  <c r="D4730" i="15"/>
  <c r="C4730" i="15"/>
  <c r="D4728" i="15"/>
  <c r="C4728" i="15"/>
  <c r="D4727" i="15"/>
  <c r="C4727" i="15"/>
  <c r="D4726" i="15"/>
  <c r="C4726" i="15"/>
  <c r="D4725" i="15"/>
  <c r="C4725" i="15"/>
  <c r="D4724" i="15"/>
  <c r="C4724" i="15"/>
  <c r="D4723" i="15"/>
  <c r="C4723" i="15"/>
  <c r="D4722" i="15"/>
  <c r="C4722" i="15"/>
  <c r="D4719" i="15"/>
  <c r="C4719" i="15"/>
  <c r="D4718" i="15"/>
  <c r="C4718" i="15"/>
  <c r="D4717" i="15"/>
  <c r="C4717" i="15"/>
  <c r="D4715" i="15"/>
  <c r="C4715" i="15"/>
  <c r="D4714" i="15"/>
  <c r="C4714" i="15"/>
  <c r="D4713" i="15"/>
  <c r="C4713" i="15"/>
  <c r="D4712" i="15"/>
  <c r="C4712" i="15"/>
  <c r="D4711" i="15"/>
  <c r="C4711" i="15"/>
  <c r="D4710" i="15"/>
  <c r="C4710" i="15"/>
  <c r="D4709" i="15"/>
  <c r="C4709" i="15"/>
  <c r="D4706" i="15"/>
  <c r="C4706" i="15"/>
  <c r="D4705" i="15"/>
  <c r="C4705" i="15"/>
  <c r="D4700" i="15"/>
  <c r="C4700" i="15"/>
  <c r="D4699" i="15"/>
  <c r="C4699" i="15"/>
  <c r="D4698" i="15"/>
  <c r="C4698" i="15"/>
  <c r="D4696" i="15"/>
  <c r="C4696" i="15"/>
  <c r="D4695" i="15"/>
  <c r="C4695" i="15"/>
  <c r="D4694" i="15"/>
  <c r="C4694" i="15"/>
  <c r="D4693" i="15"/>
  <c r="C4693" i="15"/>
  <c r="D4692" i="15"/>
  <c r="C4692" i="15"/>
  <c r="D4691" i="15"/>
  <c r="C4691" i="15"/>
  <c r="D4690" i="15"/>
  <c r="C4690" i="15"/>
  <c r="D4689" i="15"/>
  <c r="C4689" i="15"/>
  <c r="D4688" i="15"/>
  <c r="C4688" i="15"/>
  <c r="D4687" i="15"/>
  <c r="C4687" i="15"/>
  <c r="D4686" i="15"/>
  <c r="C4686" i="15"/>
  <c r="D4685" i="15"/>
  <c r="C4685" i="15"/>
  <c r="D4684" i="15"/>
  <c r="C4684" i="15"/>
  <c r="D4683" i="15"/>
  <c r="C4683" i="15"/>
  <c r="D4682" i="15"/>
  <c r="C4682" i="15"/>
  <c r="D4681" i="15"/>
  <c r="C4681" i="15"/>
  <c r="D4680" i="15"/>
  <c r="C4680" i="15"/>
  <c r="D4679" i="15"/>
  <c r="C4679" i="15"/>
  <c r="D4677" i="15"/>
  <c r="C4677" i="15"/>
  <c r="D4676" i="15"/>
  <c r="C4676" i="15"/>
  <c r="D4675" i="15"/>
  <c r="C4675" i="15"/>
  <c r="D4674" i="15"/>
  <c r="C4674" i="15"/>
  <c r="D4673" i="15"/>
  <c r="C4673" i="15"/>
  <c r="D4670" i="15"/>
  <c r="C4670" i="15"/>
  <c r="D4669" i="15"/>
  <c r="C4669" i="15"/>
  <c r="D4665" i="15"/>
  <c r="C4665" i="15"/>
  <c r="D4663" i="15"/>
  <c r="C4663" i="15"/>
  <c r="D4659" i="15"/>
  <c r="C4659" i="15"/>
  <c r="D4658" i="15"/>
  <c r="C4658" i="15"/>
  <c r="D4657" i="15"/>
  <c r="C4657" i="15"/>
  <c r="D4656" i="15"/>
  <c r="C4656" i="15"/>
  <c r="D4655" i="15"/>
  <c r="C4655" i="15"/>
  <c r="D4654" i="15"/>
  <c r="C4654" i="15"/>
  <c r="D4653" i="15"/>
  <c r="C4653" i="15"/>
  <c r="D4652" i="15"/>
  <c r="C4652" i="15"/>
  <c r="D4651" i="15"/>
  <c r="C4651" i="15"/>
  <c r="D4650" i="15"/>
  <c r="C4650" i="15"/>
  <c r="D4649" i="15"/>
  <c r="C4649" i="15"/>
  <c r="D4648" i="15"/>
  <c r="C4648" i="15"/>
  <c r="D4647" i="15"/>
  <c r="C4647" i="15"/>
  <c r="D4644" i="15"/>
  <c r="C4644" i="15"/>
  <c r="D4643" i="15"/>
  <c r="C4643" i="15"/>
  <c r="D4641" i="15"/>
  <c r="C4641" i="15"/>
  <c r="D4640" i="15"/>
  <c r="C4640" i="15"/>
  <c r="D4636" i="15"/>
  <c r="C4636" i="15"/>
  <c r="D4633" i="15"/>
  <c r="C4633" i="15"/>
  <c r="D4631" i="15"/>
  <c r="C4631" i="15"/>
  <c r="D4628" i="15"/>
  <c r="C4628" i="15"/>
  <c r="D4627" i="15"/>
  <c r="C4627" i="15"/>
  <c r="D4626" i="15"/>
  <c r="C4626" i="15"/>
  <c r="D4625" i="15"/>
  <c r="C4625" i="15"/>
  <c r="D4624" i="15"/>
  <c r="C4624" i="15"/>
  <c r="D4623" i="15"/>
  <c r="C4623" i="15"/>
  <c r="D4622" i="15"/>
  <c r="C4622" i="15"/>
  <c r="D4621" i="15"/>
  <c r="C4621" i="15"/>
  <c r="D4619" i="15"/>
  <c r="C4619" i="15"/>
  <c r="D4618" i="15"/>
  <c r="C4618" i="15"/>
  <c r="D4617" i="15"/>
  <c r="C4617" i="15"/>
  <c r="D4616" i="15"/>
  <c r="C4616" i="15"/>
  <c r="D4615" i="15"/>
  <c r="C4615" i="15"/>
  <c r="D4614" i="15"/>
  <c r="C4614" i="15"/>
  <c r="D4613" i="15"/>
  <c r="C4613" i="15"/>
  <c r="D4610" i="15"/>
  <c r="C4610" i="15"/>
  <c r="D4608" i="15"/>
  <c r="C4608" i="15"/>
  <c r="D4607" i="15"/>
  <c r="C4607" i="15"/>
  <c r="D4606" i="15"/>
  <c r="C4606" i="15"/>
  <c r="D4605" i="15"/>
  <c r="C4605" i="15"/>
  <c r="D4602" i="15"/>
  <c r="C4602" i="15"/>
  <c r="D4601" i="15"/>
  <c r="C4601" i="15"/>
  <c r="D4600" i="15"/>
  <c r="C4600" i="15"/>
  <c r="D4599" i="15"/>
  <c r="C4599" i="15"/>
  <c r="D4598" i="15"/>
  <c r="C4598" i="15"/>
  <c r="D4596" i="15"/>
  <c r="C4596" i="15"/>
  <c r="D4595" i="15"/>
  <c r="C4595" i="15"/>
  <c r="D4594" i="15"/>
  <c r="C4594" i="15"/>
  <c r="D4593" i="15"/>
  <c r="C4593" i="15"/>
  <c r="D4592" i="15"/>
  <c r="C4592" i="15"/>
  <c r="D4591" i="15"/>
  <c r="C4591" i="15"/>
  <c r="D4590" i="15"/>
  <c r="C4590" i="15"/>
  <c r="D4588" i="15"/>
  <c r="C4588" i="15"/>
  <c r="D4586" i="15"/>
  <c r="C4586" i="15"/>
  <c r="D4585" i="15"/>
  <c r="C4585" i="15"/>
  <c r="D4584" i="15"/>
  <c r="C4584" i="15"/>
  <c r="D4583" i="15"/>
  <c r="C4583" i="15"/>
  <c r="D4581" i="15"/>
  <c r="C4581" i="15"/>
  <c r="D4580" i="15"/>
  <c r="C4580" i="15"/>
  <c r="D4579" i="15"/>
  <c r="C4579" i="15"/>
  <c r="D4578" i="15"/>
  <c r="C4578" i="15"/>
  <c r="D4577" i="15"/>
  <c r="C4577" i="15"/>
  <c r="D4574" i="15"/>
  <c r="C4574" i="15"/>
  <c r="D4572" i="15"/>
  <c r="C4572" i="15"/>
  <c r="D4568" i="15"/>
  <c r="C4568" i="15"/>
  <c r="D4566" i="15"/>
  <c r="C4566" i="15"/>
  <c r="D4565" i="15"/>
  <c r="C4565" i="15"/>
  <c r="D4563" i="15"/>
  <c r="C4563" i="15"/>
  <c r="D4562" i="15"/>
  <c r="C4562" i="15"/>
  <c r="D4561" i="15"/>
  <c r="C4561" i="15"/>
  <c r="D4560" i="15"/>
  <c r="C4560" i="15"/>
  <c r="D4556" i="15"/>
  <c r="C4556" i="15"/>
  <c r="D4555" i="15"/>
  <c r="C4555" i="15"/>
  <c r="D4549" i="15"/>
  <c r="C4549" i="15"/>
  <c r="D4548" i="15"/>
  <c r="C4548" i="15"/>
  <c r="D4547" i="15"/>
  <c r="C4547" i="15"/>
  <c r="D4546" i="15"/>
  <c r="C4546" i="15"/>
  <c r="D4543" i="15"/>
  <c r="C4543" i="15"/>
  <c r="D4542" i="15"/>
  <c r="C4542" i="15"/>
  <c r="D4541" i="15"/>
  <c r="C4541" i="15"/>
  <c r="D4540" i="15"/>
  <c r="C4540" i="15"/>
  <c r="D4539" i="15"/>
  <c r="C4539" i="15"/>
  <c r="D4538" i="15"/>
  <c r="C4538" i="15"/>
  <c r="D4535" i="15"/>
  <c r="C4535" i="15"/>
  <c r="D4533" i="15"/>
  <c r="C4533" i="15"/>
  <c r="D4532" i="15"/>
  <c r="C4532" i="15"/>
  <c r="D4531" i="15"/>
  <c r="C4531" i="15"/>
  <c r="D4529" i="15"/>
  <c r="C4529" i="15"/>
  <c r="D4527" i="15"/>
  <c r="C4527" i="15"/>
  <c r="D4526" i="15"/>
  <c r="C4526" i="15"/>
  <c r="D4525" i="15"/>
  <c r="C4525" i="15"/>
  <c r="D4522" i="15"/>
  <c r="C4522" i="15"/>
  <c r="D4519" i="15"/>
  <c r="C4519" i="15"/>
  <c r="D4518" i="15"/>
  <c r="C4518" i="15"/>
  <c r="D4516" i="15"/>
  <c r="C4516" i="15"/>
  <c r="D4515" i="15"/>
  <c r="C4515" i="15"/>
  <c r="D4514" i="15"/>
  <c r="C4514" i="15"/>
  <c r="D4513" i="15"/>
  <c r="C4513" i="15"/>
  <c r="D4510" i="15"/>
  <c r="C4510" i="15"/>
  <c r="D4509" i="15"/>
  <c r="C4509" i="15"/>
  <c r="D4508" i="15"/>
  <c r="C4508" i="15"/>
  <c r="D4507" i="15"/>
  <c r="C4507" i="15"/>
  <c r="D4505" i="15"/>
  <c r="C4505" i="15"/>
  <c r="D4504" i="15"/>
  <c r="C4504" i="15"/>
  <c r="D4503" i="15"/>
  <c r="C4503" i="15"/>
  <c r="D4501" i="15"/>
  <c r="C4501" i="15"/>
  <c r="D4499" i="15"/>
  <c r="C4499" i="15"/>
  <c r="D4498" i="15"/>
  <c r="C4498" i="15"/>
  <c r="D4496" i="15"/>
  <c r="C4496" i="15"/>
  <c r="D4495" i="15"/>
  <c r="C4495" i="15"/>
  <c r="D4494" i="15"/>
  <c r="C4494" i="15"/>
  <c r="D4492" i="15"/>
  <c r="C4492" i="15"/>
  <c r="D4491" i="15"/>
  <c r="C4491" i="15"/>
  <c r="D4489" i="15"/>
  <c r="C4489" i="15"/>
  <c r="D4488" i="15"/>
  <c r="C4488" i="15"/>
  <c r="D4487" i="15"/>
  <c r="C4487" i="15"/>
  <c r="D4486" i="15"/>
  <c r="C4486" i="15"/>
  <c r="D4485" i="15"/>
  <c r="C4485" i="15"/>
  <c r="D4484" i="15"/>
  <c r="C4484" i="15"/>
  <c r="D4483" i="15"/>
  <c r="C4483" i="15"/>
  <c r="D4481" i="15"/>
  <c r="C4481" i="15"/>
  <c r="D4480" i="15"/>
  <c r="C4480" i="15"/>
  <c r="D4478" i="15"/>
  <c r="C4478" i="15"/>
  <c r="D4477" i="15"/>
  <c r="C4477" i="15"/>
  <c r="D4476" i="15"/>
  <c r="C4476" i="15"/>
  <c r="D4475" i="15"/>
  <c r="C4475" i="15"/>
  <c r="D4474" i="15"/>
  <c r="C4474" i="15"/>
  <c r="D4473" i="15"/>
  <c r="C4473" i="15"/>
  <c r="D4472" i="15"/>
  <c r="C4472" i="15"/>
  <c r="D4469" i="15"/>
  <c r="C4469" i="15"/>
  <c r="D4468" i="15"/>
  <c r="C4468" i="15"/>
  <c r="D4467" i="15"/>
  <c r="C4467" i="15"/>
  <c r="D4466" i="15"/>
  <c r="C4466" i="15"/>
  <c r="D4458" i="15"/>
  <c r="C4458" i="15"/>
  <c r="D4456" i="15"/>
  <c r="C4456" i="15"/>
  <c r="D4455" i="15"/>
  <c r="C4455" i="15"/>
  <c r="D4453" i="15"/>
  <c r="C4453" i="15"/>
  <c r="D4452" i="15"/>
  <c r="C4452" i="15"/>
  <c r="D4449" i="15"/>
  <c r="C4449" i="15"/>
  <c r="D4448" i="15"/>
  <c r="C4448" i="15"/>
  <c r="D4447" i="15"/>
  <c r="C4447" i="15"/>
  <c r="D4446" i="15"/>
  <c r="C4446" i="15"/>
  <c r="D4445" i="15"/>
  <c r="C4445" i="15"/>
  <c r="D4442" i="15"/>
  <c r="C4442" i="15"/>
  <c r="D4441" i="15"/>
  <c r="C4441" i="15"/>
  <c r="D4439" i="15"/>
  <c r="C4439" i="15"/>
  <c r="D4437" i="15"/>
  <c r="C4437" i="15"/>
  <c r="D4436" i="15"/>
  <c r="C4436" i="15"/>
  <c r="D4435" i="15"/>
  <c r="C4435" i="15"/>
  <c r="D4434" i="15"/>
  <c r="C4434" i="15"/>
  <c r="D4433" i="15"/>
  <c r="C4433" i="15"/>
  <c r="D4432" i="15"/>
  <c r="C4432" i="15"/>
  <c r="D4431" i="15"/>
  <c r="C4431" i="15"/>
  <c r="D4430" i="15"/>
  <c r="C4430" i="15"/>
  <c r="D4427" i="15"/>
  <c r="C4427" i="15"/>
  <c r="D4423" i="15"/>
  <c r="C4423" i="15"/>
  <c r="D4422" i="15"/>
  <c r="C4422" i="15"/>
  <c r="D4421" i="15"/>
  <c r="C4421" i="15"/>
  <c r="D4418" i="15"/>
  <c r="C4418" i="15"/>
  <c r="D4417" i="15"/>
  <c r="C4417" i="15"/>
  <c r="D4416" i="15"/>
  <c r="C4416" i="15"/>
  <c r="D4415" i="15"/>
  <c r="C4415" i="15"/>
  <c r="D4414" i="15"/>
  <c r="C4414" i="15"/>
  <c r="D4413" i="15"/>
  <c r="C4413" i="15"/>
  <c r="D4412" i="15"/>
  <c r="C4412" i="15"/>
  <c r="D4411" i="15"/>
  <c r="C4411" i="15"/>
  <c r="D4410" i="15"/>
  <c r="C4410" i="15"/>
  <c r="D4409" i="15"/>
  <c r="C4409" i="15"/>
  <c r="D4408" i="15"/>
  <c r="C4408" i="15"/>
  <c r="D4406" i="15"/>
  <c r="C4406" i="15"/>
  <c r="D4405" i="15"/>
  <c r="C4405" i="15"/>
  <c r="D4404" i="15"/>
  <c r="C4404" i="15"/>
  <c r="D4403" i="15"/>
  <c r="C4403" i="15"/>
  <c r="D4402" i="15"/>
  <c r="C4402" i="15"/>
  <c r="D4400" i="15"/>
  <c r="C4400" i="15"/>
  <c r="D4399" i="15"/>
  <c r="C4399" i="15"/>
  <c r="D4398" i="15"/>
  <c r="C4398" i="15"/>
  <c r="D4397" i="15"/>
  <c r="C4397" i="15"/>
  <c r="D4395" i="15"/>
  <c r="C4395" i="15"/>
  <c r="D4394" i="15"/>
  <c r="C4394" i="15"/>
  <c r="D4393" i="15"/>
  <c r="C4393" i="15"/>
  <c r="D4391" i="15"/>
  <c r="C4391" i="15"/>
  <c r="D4389" i="15"/>
  <c r="C4389" i="15"/>
  <c r="D4388" i="15"/>
  <c r="C4388" i="15"/>
  <c r="D4387" i="15"/>
  <c r="C4387" i="15"/>
  <c r="D4386" i="15"/>
  <c r="C4386" i="15"/>
  <c r="D4385" i="15"/>
  <c r="C4385" i="15"/>
  <c r="D4384" i="15"/>
  <c r="C4384" i="15"/>
  <c r="D4383" i="15"/>
  <c r="C4383" i="15"/>
  <c r="D4382" i="15"/>
  <c r="C4382" i="15"/>
  <c r="D4381" i="15"/>
  <c r="C4381" i="15"/>
  <c r="D4380" i="15"/>
  <c r="C4380" i="15"/>
  <c r="D4379" i="15"/>
  <c r="C4379" i="15"/>
  <c r="D4378" i="15"/>
  <c r="C4378" i="15"/>
  <c r="D4377" i="15"/>
  <c r="C4377" i="15"/>
  <c r="D4376" i="15"/>
  <c r="C4376" i="15"/>
  <c r="D4375" i="15"/>
  <c r="C4375" i="15"/>
  <c r="D4374" i="15"/>
  <c r="C4374" i="15"/>
  <c r="D4373" i="15"/>
  <c r="C4373" i="15"/>
  <c r="D4372" i="15"/>
  <c r="C4372" i="15"/>
  <c r="D4371" i="15"/>
  <c r="C4371" i="15"/>
  <c r="D4370" i="15"/>
  <c r="C4370" i="15"/>
  <c r="D4369" i="15"/>
  <c r="C4369" i="15"/>
  <c r="D4367" i="15"/>
  <c r="C4367" i="15"/>
  <c r="D4366" i="15"/>
  <c r="C4366" i="15"/>
  <c r="D4365" i="15"/>
  <c r="C4365" i="15"/>
  <c r="D4364" i="15"/>
  <c r="C4364" i="15"/>
  <c r="D4363" i="15"/>
  <c r="C4363" i="15"/>
  <c r="D4361" i="15"/>
  <c r="C4361" i="15"/>
  <c r="D4359" i="15"/>
  <c r="C4359" i="15"/>
  <c r="D4358" i="15"/>
  <c r="C4358" i="15"/>
  <c r="D4357" i="15"/>
  <c r="C4357" i="15"/>
  <c r="D4356" i="15"/>
  <c r="C4356" i="15"/>
  <c r="D4354" i="15"/>
  <c r="C4354" i="15"/>
  <c r="D4353" i="15"/>
  <c r="C4353" i="15"/>
  <c r="D4352" i="15"/>
  <c r="C4352" i="15"/>
  <c r="D4349" i="15"/>
  <c r="C4349" i="15"/>
  <c r="D4348" i="15"/>
  <c r="C4348" i="15"/>
  <c r="D4347" i="15"/>
  <c r="C4347" i="15"/>
  <c r="D4345" i="15"/>
  <c r="C4345" i="15"/>
  <c r="D4343" i="15"/>
  <c r="C4343" i="15"/>
  <c r="D4340" i="15"/>
  <c r="C4340" i="15"/>
  <c r="D4339" i="15"/>
  <c r="C4339" i="15"/>
  <c r="D4337" i="15"/>
  <c r="C4337" i="15"/>
  <c r="D4336" i="15"/>
  <c r="C4336" i="15"/>
  <c r="D4335" i="15"/>
  <c r="C4335" i="15"/>
  <c r="D4334" i="15"/>
  <c r="C4334" i="15"/>
  <c r="D4331" i="15"/>
  <c r="C4331" i="15"/>
  <c r="D4330" i="15"/>
  <c r="C4330" i="15"/>
  <c r="D4329" i="15"/>
  <c r="C4329" i="15"/>
  <c r="D4328" i="15"/>
  <c r="C4328" i="15"/>
  <c r="D4327" i="15"/>
  <c r="C4327" i="15"/>
  <c r="D4326" i="15"/>
  <c r="C4326" i="15"/>
  <c r="D4325" i="15"/>
  <c r="C4325" i="15"/>
  <c r="D4324" i="15"/>
  <c r="C4324" i="15"/>
  <c r="D4323" i="15"/>
  <c r="C4323" i="15"/>
  <c r="D4322" i="15"/>
  <c r="C4322" i="15"/>
  <c r="D4321" i="15"/>
  <c r="C4321" i="15"/>
  <c r="D4320" i="15"/>
  <c r="C4320" i="15"/>
  <c r="D4319" i="15"/>
  <c r="C4319" i="15"/>
  <c r="D4318" i="15"/>
  <c r="C4318" i="15"/>
  <c r="D4317" i="15"/>
  <c r="C4317" i="15"/>
  <c r="D4316" i="15"/>
  <c r="C4316" i="15"/>
  <c r="D4315" i="15"/>
  <c r="C4315" i="15"/>
  <c r="D4314" i="15"/>
  <c r="C4314" i="15"/>
  <c r="D4313" i="15"/>
  <c r="C4313" i="15"/>
  <c r="D4312" i="15"/>
  <c r="C4312" i="15"/>
  <c r="D4311" i="15"/>
  <c r="C4311" i="15"/>
  <c r="D4310" i="15"/>
  <c r="C4310" i="15"/>
  <c r="D4309" i="15"/>
  <c r="C4309" i="15"/>
  <c r="D4308" i="15"/>
  <c r="C4308" i="15"/>
  <c r="D4307" i="15"/>
  <c r="C4307" i="15"/>
  <c r="D4305" i="15"/>
  <c r="C4305" i="15"/>
  <c r="D4304" i="15"/>
  <c r="C4304" i="15"/>
  <c r="D4303" i="15"/>
  <c r="C4303" i="15"/>
  <c r="D4302" i="15"/>
  <c r="C4302" i="15"/>
  <c r="D4301" i="15"/>
  <c r="C4301" i="15"/>
  <c r="D4300" i="15"/>
  <c r="C4300" i="15"/>
  <c r="D4299" i="15"/>
  <c r="C4299" i="15"/>
  <c r="D4297" i="15"/>
  <c r="C4297" i="15"/>
  <c r="D4296" i="15"/>
  <c r="C4296" i="15"/>
  <c r="D4295" i="15"/>
  <c r="C4295" i="15"/>
  <c r="D4294" i="15"/>
  <c r="C4294" i="15"/>
  <c r="D4293" i="15"/>
  <c r="C4293" i="15"/>
  <c r="D4292" i="15"/>
  <c r="C4292" i="15"/>
  <c r="D4290" i="15"/>
  <c r="C4290" i="15"/>
  <c r="D4289" i="15"/>
  <c r="C4289" i="15"/>
  <c r="D4288" i="15"/>
  <c r="C4288" i="15"/>
  <c r="D4286" i="15"/>
  <c r="C4286" i="15"/>
  <c r="D4285" i="15"/>
  <c r="C4285" i="15"/>
  <c r="D4284" i="15"/>
  <c r="C4284" i="15"/>
  <c r="D4283" i="15"/>
  <c r="C4283" i="15"/>
  <c r="D4282" i="15"/>
  <c r="C4282" i="15"/>
  <c r="D4281" i="15"/>
  <c r="C4281" i="15"/>
  <c r="D4280" i="15"/>
  <c r="C4280" i="15"/>
  <c r="D4279" i="15"/>
  <c r="C4279" i="15"/>
  <c r="D4278" i="15"/>
  <c r="C4278" i="15"/>
  <c r="D4277" i="15"/>
  <c r="C4277" i="15"/>
  <c r="D4276" i="15"/>
  <c r="C4276" i="15"/>
  <c r="D4275" i="15"/>
  <c r="C4275" i="15"/>
  <c r="D4274" i="15"/>
  <c r="C4274" i="15"/>
  <c r="D4272" i="15"/>
  <c r="C4272" i="15"/>
  <c r="D4271" i="15"/>
  <c r="C4271" i="15"/>
  <c r="D4269" i="15"/>
  <c r="C4269" i="15"/>
  <c r="D4268" i="15"/>
  <c r="C4268" i="15"/>
  <c r="D4267" i="15"/>
  <c r="C4267" i="15"/>
  <c r="D4266" i="15"/>
  <c r="C4266" i="15"/>
  <c r="D4265" i="15"/>
  <c r="C4265" i="15"/>
  <c r="D4264" i="15"/>
  <c r="C4264" i="15"/>
  <c r="D4263" i="15"/>
  <c r="C4263" i="15"/>
  <c r="D4262" i="15"/>
  <c r="C4262" i="15"/>
  <c r="D4260" i="15"/>
  <c r="C4260" i="15"/>
  <c r="D4259" i="15"/>
  <c r="C4259" i="15"/>
  <c r="D4258" i="15"/>
  <c r="C4258" i="15"/>
  <c r="D4257" i="15"/>
  <c r="C4257" i="15"/>
  <c r="D4256" i="15"/>
  <c r="C4256" i="15"/>
  <c r="D4255" i="15"/>
  <c r="C4255" i="15"/>
  <c r="D4254" i="15"/>
  <c r="C4254" i="15"/>
  <c r="D4253" i="15"/>
  <c r="C4253" i="15"/>
  <c r="D4252" i="15"/>
  <c r="C4252" i="15"/>
  <c r="D4251" i="15"/>
  <c r="C4251" i="15"/>
  <c r="D4250" i="15"/>
  <c r="C4250" i="15"/>
  <c r="D4249" i="15"/>
  <c r="C4249" i="15"/>
  <c r="D4248" i="15"/>
  <c r="C4248" i="15"/>
  <c r="D4246" i="15"/>
  <c r="C4246" i="15"/>
  <c r="D4245" i="15"/>
  <c r="C4245" i="15"/>
  <c r="D4244" i="15"/>
  <c r="C4244" i="15"/>
  <c r="D4243" i="15"/>
  <c r="C4243" i="15"/>
  <c r="D4241" i="15"/>
  <c r="C4241" i="15"/>
  <c r="D4238" i="15"/>
  <c r="C4238" i="15"/>
  <c r="D4237" i="15"/>
  <c r="C4237" i="15"/>
  <c r="D4236" i="15"/>
  <c r="C4236" i="15"/>
  <c r="D4235" i="15"/>
  <c r="C4235" i="15"/>
  <c r="D4233" i="15"/>
  <c r="C4233" i="15"/>
  <c r="D4232" i="15"/>
  <c r="C4232" i="15"/>
  <c r="D4230" i="15"/>
  <c r="C4230" i="15"/>
  <c r="D4229" i="15"/>
  <c r="C4229" i="15"/>
  <c r="D4228" i="15"/>
  <c r="C4228" i="15"/>
  <c r="D4227" i="15"/>
  <c r="C4227" i="15"/>
  <c r="D4226" i="15"/>
  <c r="C4226" i="15"/>
  <c r="D4225" i="15"/>
  <c r="C4225" i="15"/>
  <c r="D4224" i="15"/>
  <c r="C4224" i="15"/>
  <c r="D4223" i="15"/>
  <c r="C4223" i="15"/>
  <c r="D4220" i="15"/>
  <c r="C4220" i="15"/>
  <c r="D4219" i="15"/>
  <c r="C4219" i="15"/>
  <c r="D4217" i="15"/>
  <c r="C4217" i="15"/>
  <c r="D4216" i="15"/>
  <c r="C4216" i="15"/>
  <c r="D4214" i="15"/>
  <c r="C4214" i="15"/>
  <c r="D4213" i="15"/>
  <c r="C4213" i="15"/>
  <c r="D4212" i="15"/>
  <c r="C4212" i="15"/>
  <c r="D4211" i="15"/>
  <c r="C4211" i="15"/>
  <c r="D4210" i="15"/>
  <c r="C4210" i="15"/>
  <c r="D4209" i="15"/>
  <c r="C4209" i="15"/>
  <c r="D4208" i="15"/>
  <c r="C4208" i="15"/>
  <c r="D4207" i="15"/>
  <c r="C4207" i="15"/>
  <c r="D4206" i="15"/>
  <c r="C4206" i="15"/>
  <c r="D4205" i="15"/>
  <c r="C4205" i="15"/>
  <c r="D4203" i="15"/>
  <c r="C4203" i="15"/>
  <c r="D4202" i="15"/>
  <c r="C4202" i="15"/>
  <c r="D4200" i="15"/>
  <c r="C4200" i="15"/>
  <c r="D4198" i="15"/>
  <c r="C4198" i="15"/>
  <c r="D4196" i="15"/>
  <c r="C4196" i="15"/>
  <c r="D4194" i="15"/>
  <c r="C4194" i="15"/>
  <c r="D4193" i="15"/>
  <c r="C4193" i="15"/>
  <c r="D4192" i="15"/>
  <c r="C4192" i="15"/>
  <c r="D4190" i="15"/>
  <c r="C4190" i="15"/>
  <c r="D4189" i="15"/>
  <c r="C4189" i="15"/>
  <c r="D4188" i="15"/>
  <c r="C4188" i="15"/>
  <c r="D4186" i="15"/>
  <c r="C4186" i="15"/>
  <c r="D4184" i="15"/>
  <c r="C4184" i="15"/>
  <c r="D4183" i="15"/>
  <c r="C4183" i="15"/>
  <c r="D4182" i="15"/>
  <c r="C4182" i="15"/>
  <c r="D4177" i="15"/>
  <c r="C4177" i="15"/>
  <c r="D4176" i="15"/>
  <c r="C4176" i="15"/>
  <c r="D4175" i="15"/>
  <c r="C4175" i="15"/>
  <c r="D4174" i="15"/>
  <c r="C4174" i="15"/>
  <c r="D4173" i="15"/>
  <c r="C4173" i="15"/>
  <c r="D4172" i="15"/>
  <c r="C4172" i="15"/>
  <c r="D4171" i="15"/>
  <c r="C4171" i="15"/>
  <c r="D4169" i="15"/>
  <c r="C4169" i="15"/>
  <c r="D4168" i="15"/>
  <c r="C4168" i="15"/>
  <c r="D4166" i="15"/>
  <c r="C4166" i="15"/>
  <c r="D4165" i="15"/>
  <c r="C4165" i="15"/>
  <c r="D4164" i="15"/>
  <c r="C4164" i="15"/>
  <c r="D4158" i="15"/>
  <c r="C4158" i="15"/>
  <c r="D4154" i="15"/>
  <c r="C4154" i="15"/>
  <c r="D4153" i="15"/>
  <c r="C4153" i="15"/>
  <c r="D4152" i="15"/>
  <c r="C4152" i="15"/>
  <c r="D4151" i="15"/>
  <c r="C4151" i="15"/>
  <c r="D4150" i="15"/>
  <c r="C4150" i="15"/>
  <c r="D4149" i="15"/>
  <c r="C4149" i="15"/>
  <c r="D4147" i="15"/>
  <c r="C4147" i="15"/>
  <c r="D4146" i="15"/>
  <c r="C4146" i="15"/>
  <c r="D4145" i="15"/>
  <c r="C4145" i="15"/>
  <c r="D4144" i="15"/>
  <c r="C4144" i="15"/>
  <c r="D4142" i="15"/>
  <c r="C4142" i="15"/>
  <c r="D4141" i="15"/>
  <c r="C4141" i="15"/>
  <c r="D4140" i="15"/>
  <c r="C4140" i="15"/>
  <c r="D4139" i="15"/>
  <c r="C4139" i="15"/>
  <c r="D4138" i="15"/>
  <c r="C4138" i="15"/>
  <c r="D4137" i="15"/>
  <c r="C4137" i="15"/>
  <c r="D4135" i="15"/>
  <c r="C4135" i="15"/>
  <c r="D4134" i="15"/>
  <c r="C4134" i="15"/>
  <c r="D4133" i="15"/>
  <c r="C4133" i="15"/>
  <c r="D4131" i="15"/>
  <c r="C4131" i="15"/>
  <c r="D4130" i="15"/>
  <c r="C4130" i="15"/>
  <c r="D4129" i="15"/>
  <c r="C4129" i="15"/>
  <c r="D4128" i="15"/>
  <c r="C4128" i="15"/>
  <c r="D4127" i="15"/>
  <c r="C4127" i="15"/>
  <c r="D4126" i="15"/>
  <c r="C4126" i="15"/>
  <c r="D4125" i="15"/>
  <c r="C4125" i="15"/>
  <c r="D4124" i="15"/>
  <c r="C4124" i="15"/>
  <c r="D4123" i="15"/>
  <c r="C4123" i="15"/>
  <c r="D4121" i="15"/>
  <c r="C4121" i="15"/>
  <c r="D4118" i="15"/>
  <c r="C4118" i="15"/>
  <c r="D4116" i="15"/>
  <c r="C4116" i="15"/>
  <c r="D4115" i="15"/>
  <c r="C4115" i="15"/>
  <c r="D4114" i="15"/>
  <c r="C4114" i="15"/>
  <c r="D4113" i="15"/>
  <c r="C4113" i="15"/>
  <c r="D4112" i="15"/>
  <c r="C4112" i="15"/>
  <c r="D4111" i="15"/>
  <c r="C4111" i="15"/>
  <c r="D4110" i="15"/>
  <c r="C4110" i="15"/>
  <c r="D4109" i="15"/>
  <c r="C4109" i="15"/>
  <c r="D4108" i="15"/>
  <c r="C4108" i="15"/>
  <c r="D4107" i="15"/>
  <c r="C4107" i="15"/>
  <c r="D4106" i="15"/>
  <c r="C4106" i="15"/>
  <c r="D4105" i="15"/>
  <c r="C4105" i="15"/>
  <c r="D4100" i="15"/>
  <c r="C4100" i="15"/>
  <c r="D4099" i="15"/>
  <c r="C4099" i="15"/>
  <c r="D4098" i="15"/>
  <c r="C4098" i="15"/>
  <c r="D4097" i="15"/>
  <c r="C4097" i="15"/>
  <c r="D4094" i="15"/>
  <c r="C4094" i="15"/>
  <c r="D4093" i="15"/>
  <c r="C4093" i="15"/>
  <c r="D4089" i="15"/>
  <c r="C4089" i="15"/>
  <c r="D4088" i="15"/>
  <c r="C4088" i="15"/>
  <c r="D4087" i="15"/>
  <c r="C4087" i="15"/>
  <c r="D4086" i="15"/>
  <c r="C4086" i="15"/>
  <c r="D4085" i="15"/>
  <c r="C4085" i="15"/>
  <c r="D4084" i="15"/>
  <c r="C4084" i="15"/>
  <c r="D4083" i="15"/>
  <c r="C4083" i="15"/>
  <c r="D4082" i="15"/>
  <c r="C4082" i="15"/>
  <c r="D4081" i="15"/>
  <c r="C4081" i="15"/>
  <c r="D4080" i="15"/>
  <c r="C4080" i="15"/>
  <c r="D4078" i="15"/>
  <c r="C4078" i="15"/>
  <c r="D4077" i="15"/>
  <c r="C4077" i="15"/>
  <c r="D4076" i="15"/>
  <c r="C4076" i="15"/>
  <c r="D4075" i="15"/>
  <c r="C4075" i="15"/>
  <c r="D4074" i="15"/>
  <c r="C4074" i="15"/>
  <c r="D4073" i="15"/>
  <c r="C4073" i="15"/>
  <c r="D4072" i="15"/>
  <c r="C4072" i="15"/>
  <c r="D4071" i="15"/>
  <c r="C4071" i="15"/>
  <c r="D4070" i="15"/>
  <c r="C4070" i="15"/>
  <c r="D4069" i="15"/>
  <c r="C4069" i="15"/>
  <c r="D4067" i="15"/>
  <c r="C4067" i="15"/>
  <c r="D4066" i="15"/>
  <c r="C4066" i="15"/>
  <c r="D4065" i="15"/>
  <c r="C4065" i="15"/>
  <c r="D4064" i="15"/>
  <c r="C4064" i="15"/>
  <c r="D4063" i="15"/>
  <c r="C4063" i="15"/>
  <c r="D4062" i="15"/>
  <c r="C4062" i="15"/>
  <c r="D4061" i="15"/>
  <c r="C4061" i="15"/>
  <c r="D4060" i="15"/>
  <c r="C4060" i="15"/>
  <c r="D4059" i="15"/>
  <c r="C4059" i="15"/>
  <c r="D4058" i="15"/>
  <c r="C4058" i="15"/>
  <c r="D4057" i="15"/>
  <c r="C4057" i="15"/>
  <c r="D4056" i="15"/>
  <c r="C4056" i="15"/>
  <c r="D4055" i="15"/>
  <c r="C4055" i="15"/>
  <c r="D4054" i="15"/>
  <c r="C4054" i="15"/>
  <c r="D4053" i="15"/>
  <c r="C4053" i="15"/>
  <c r="D4052" i="15"/>
  <c r="C4052" i="15"/>
  <c r="D4051" i="15"/>
  <c r="C4051" i="15"/>
  <c r="D4050" i="15"/>
  <c r="C4050" i="15"/>
  <c r="D4049" i="15"/>
  <c r="C4049" i="15"/>
  <c r="D4048" i="15"/>
  <c r="C4048" i="15"/>
  <c r="D4047" i="15"/>
  <c r="C4047" i="15"/>
  <c r="D4046" i="15"/>
  <c r="C4046" i="15"/>
  <c r="D4044" i="15"/>
  <c r="C4044" i="15"/>
  <c r="D4043" i="15"/>
  <c r="C4043" i="15"/>
  <c r="D4042" i="15"/>
  <c r="C4042" i="15"/>
  <c r="D4041" i="15"/>
  <c r="C4041" i="15"/>
  <c r="D4040" i="15"/>
  <c r="C4040" i="15"/>
  <c r="D4039" i="15"/>
  <c r="C4039" i="15"/>
  <c r="D4038" i="15"/>
  <c r="C4038" i="15"/>
  <c r="D4037" i="15"/>
  <c r="C4037" i="15"/>
  <c r="D4036" i="15"/>
  <c r="C4036" i="15"/>
  <c r="D4034" i="15"/>
  <c r="C4034" i="15"/>
  <c r="D4033" i="15"/>
  <c r="C4033" i="15"/>
  <c r="D4032" i="15"/>
  <c r="C4032" i="15"/>
  <c r="D4030" i="15"/>
  <c r="C4030" i="15"/>
  <c r="D4029" i="15"/>
  <c r="C4029" i="15"/>
  <c r="D4028" i="15"/>
  <c r="C4028" i="15"/>
  <c r="D4026" i="15"/>
  <c r="C4026" i="15"/>
  <c r="D4024" i="15"/>
  <c r="C4024" i="15"/>
  <c r="D4023" i="15"/>
  <c r="C4023" i="15"/>
  <c r="D4022" i="15"/>
  <c r="C4022" i="15"/>
  <c r="D4021" i="15"/>
  <c r="C4021" i="15"/>
  <c r="D4020" i="15"/>
  <c r="C4020" i="15"/>
  <c r="D4018" i="15"/>
  <c r="C4018" i="15"/>
  <c r="D4009" i="15"/>
  <c r="C4009" i="15"/>
  <c r="D4008" i="15"/>
  <c r="C4008" i="15"/>
  <c r="D4007" i="15"/>
  <c r="C4007" i="15"/>
  <c r="D4006" i="15"/>
  <c r="C4006" i="15"/>
  <c r="D4005" i="15"/>
  <c r="C4005" i="15"/>
  <c r="D4004" i="15"/>
  <c r="C4004" i="15"/>
  <c r="D4003" i="15"/>
  <c r="C4003" i="15"/>
  <c r="D4002" i="15"/>
  <c r="C4002" i="15"/>
  <c r="D4001" i="15"/>
  <c r="C4001" i="15"/>
  <c r="D4000" i="15"/>
  <c r="C4000" i="15"/>
  <c r="D3999" i="15"/>
  <c r="C3999" i="15"/>
  <c r="D3998" i="15"/>
  <c r="C3998" i="15"/>
  <c r="D3997" i="15"/>
  <c r="C3997" i="15"/>
  <c r="D3995" i="15"/>
  <c r="C3995" i="15"/>
  <c r="D3994" i="15"/>
  <c r="C3994" i="15"/>
  <c r="D3991" i="15"/>
  <c r="C3991" i="15"/>
  <c r="D3990" i="15"/>
  <c r="C3990" i="15"/>
  <c r="D3989" i="15"/>
  <c r="C3989" i="15"/>
  <c r="D3988" i="15"/>
  <c r="C3988" i="15"/>
  <c r="D3987" i="15"/>
  <c r="C3987" i="15"/>
  <c r="D3985" i="15"/>
  <c r="C3985" i="15"/>
  <c r="D3984" i="15"/>
  <c r="C3984" i="15"/>
  <c r="D3983" i="15"/>
  <c r="C3983" i="15"/>
  <c r="D3982" i="15"/>
  <c r="C3982" i="15"/>
  <c r="D3981" i="15"/>
  <c r="C3981" i="15"/>
  <c r="D3980" i="15"/>
  <c r="C3980" i="15"/>
  <c r="D3979" i="15"/>
  <c r="C3979" i="15"/>
  <c r="D3978" i="15"/>
  <c r="C3978" i="15"/>
  <c r="D3977" i="15"/>
  <c r="C3977" i="15"/>
  <c r="D3976" i="15"/>
  <c r="C3976" i="15"/>
  <c r="D3975" i="15"/>
  <c r="C3975" i="15"/>
  <c r="D3974" i="15"/>
  <c r="C3974" i="15"/>
  <c r="D3973" i="15"/>
  <c r="C3973" i="15"/>
  <c r="D3972" i="15"/>
  <c r="C3972" i="15"/>
  <c r="D3971" i="15"/>
  <c r="C3971" i="15"/>
  <c r="D3970" i="15"/>
  <c r="C3970" i="15"/>
  <c r="D3969" i="15"/>
  <c r="C3969" i="15"/>
  <c r="D3968" i="15"/>
  <c r="C3968" i="15"/>
  <c r="D3967" i="15"/>
  <c r="C3967" i="15"/>
  <c r="D3966" i="15"/>
  <c r="C3966" i="15"/>
  <c r="D3965" i="15"/>
  <c r="C3965" i="15"/>
  <c r="D3964" i="15"/>
  <c r="C3964" i="15"/>
  <c r="D3963" i="15"/>
  <c r="C3963" i="15"/>
  <c r="D3962" i="15"/>
  <c r="C3962" i="15"/>
  <c r="D3961" i="15"/>
  <c r="C3961" i="15"/>
  <c r="D3960" i="15"/>
  <c r="C3960" i="15"/>
  <c r="D3959" i="15"/>
  <c r="C3959" i="15"/>
  <c r="D3958" i="15"/>
  <c r="C3958" i="15"/>
  <c r="D3957" i="15"/>
  <c r="C3957" i="15"/>
  <c r="D3956" i="15"/>
  <c r="C3956" i="15"/>
  <c r="D3955" i="15"/>
  <c r="C3955" i="15"/>
  <c r="D3953" i="15"/>
  <c r="C3953" i="15"/>
  <c r="D3952" i="15"/>
  <c r="C3952" i="15"/>
  <c r="D3951" i="15"/>
  <c r="C3951" i="15"/>
  <c r="D3950" i="15"/>
  <c r="C3950" i="15"/>
  <c r="D3948" i="15"/>
  <c r="C3948" i="15"/>
  <c r="D3946" i="15"/>
  <c r="C3946" i="15"/>
  <c r="D3945" i="15"/>
  <c r="C3945" i="15"/>
  <c r="D3944" i="15"/>
  <c r="C3944" i="15"/>
  <c r="D3943" i="15"/>
  <c r="C3943" i="15"/>
  <c r="D3942" i="15"/>
  <c r="C3942" i="15"/>
  <c r="D3941" i="15"/>
  <c r="C3941" i="15"/>
  <c r="D3940" i="15"/>
  <c r="C3940" i="15"/>
  <c r="D3939" i="15"/>
  <c r="C3939" i="15"/>
  <c r="D3938" i="15"/>
  <c r="C3938" i="15"/>
  <c r="D3937" i="15"/>
  <c r="C3937" i="15"/>
  <c r="D3936" i="15"/>
  <c r="C3936" i="15"/>
  <c r="D3935" i="15"/>
  <c r="C3935" i="15"/>
  <c r="D3934" i="15"/>
  <c r="C3934" i="15"/>
  <c r="D3933" i="15"/>
  <c r="C3933" i="15"/>
  <c r="D3932" i="15"/>
  <c r="C3932" i="15"/>
  <c r="D3931" i="15"/>
  <c r="C3931" i="15"/>
  <c r="D3930" i="15"/>
  <c r="C3930" i="15"/>
  <c r="D3929" i="15"/>
  <c r="C3929" i="15"/>
  <c r="D3928" i="15"/>
  <c r="C3928" i="15"/>
  <c r="D3927" i="15"/>
  <c r="C3927" i="15"/>
  <c r="D3926" i="15"/>
  <c r="C3926" i="15"/>
  <c r="D3925" i="15"/>
  <c r="C3925" i="15"/>
  <c r="D3924" i="15"/>
  <c r="C3924" i="15"/>
  <c r="D3923" i="15"/>
  <c r="C3923" i="15"/>
  <c r="D3922" i="15"/>
  <c r="C3922" i="15"/>
  <c r="D3921" i="15"/>
  <c r="C3921" i="15"/>
  <c r="D3920" i="15"/>
  <c r="C3920" i="15"/>
  <c r="D3919" i="15"/>
  <c r="C3919" i="15"/>
  <c r="D3918" i="15"/>
  <c r="C3918" i="15"/>
  <c r="D3917" i="15"/>
  <c r="C3917" i="15"/>
  <c r="D3916" i="15"/>
  <c r="C3916" i="15"/>
  <c r="D3915" i="15"/>
  <c r="C3915" i="15"/>
  <c r="D3914" i="15"/>
  <c r="C3914" i="15"/>
  <c r="D3913" i="15"/>
  <c r="C3913" i="15"/>
  <c r="D3912" i="15"/>
  <c r="C3912" i="15"/>
  <c r="D3911" i="15"/>
  <c r="C3911" i="15"/>
  <c r="D3910" i="15"/>
  <c r="C3910" i="15"/>
  <c r="D3909" i="15"/>
  <c r="C3909" i="15"/>
  <c r="D3908" i="15"/>
  <c r="C3908" i="15"/>
  <c r="D3906" i="15"/>
  <c r="C3906" i="15"/>
  <c r="D3905" i="15"/>
  <c r="C3905" i="15"/>
  <c r="D3904" i="15"/>
  <c r="C3904" i="15"/>
  <c r="D3903" i="15"/>
  <c r="C3903" i="15"/>
  <c r="D3902" i="15"/>
  <c r="C3902" i="15"/>
  <c r="D3901" i="15"/>
  <c r="C3901" i="15"/>
  <c r="D3899" i="15"/>
  <c r="C3899" i="15"/>
  <c r="D3897" i="15"/>
  <c r="C3897" i="15"/>
  <c r="D3896" i="15"/>
  <c r="C3896" i="15"/>
  <c r="D3894" i="15"/>
  <c r="C3894" i="15"/>
  <c r="D3893" i="15"/>
  <c r="C3893" i="15"/>
  <c r="D3891" i="15"/>
  <c r="C3891" i="15"/>
  <c r="D3890" i="15"/>
  <c r="C3890" i="15"/>
  <c r="D3889" i="15"/>
  <c r="C3889" i="15"/>
  <c r="D3887" i="15"/>
  <c r="C3887" i="15"/>
  <c r="D3886" i="15"/>
  <c r="C3886" i="15"/>
  <c r="D3884" i="15"/>
  <c r="C3884" i="15"/>
  <c r="D3882" i="15"/>
  <c r="C3882" i="15"/>
  <c r="D3881" i="15"/>
  <c r="C3881" i="15"/>
  <c r="D3880" i="15"/>
  <c r="C3880" i="15"/>
  <c r="D3879" i="15"/>
  <c r="C3879" i="15"/>
  <c r="D3878" i="15"/>
  <c r="C3878" i="15"/>
  <c r="D3877" i="15"/>
  <c r="C3877" i="15"/>
  <c r="D3876" i="15"/>
  <c r="C3876" i="15"/>
  <c r="D3875" i="15"/>
  <c r="C3875" i="15"/>
  <c r="D3874" i="15"/>
  <c r="C3874" i="15"/>
  <c r="D3873" i="15"/>
  <c r="C3873" i="15"/>
  <c r="D3872" i="15"/>
  <c r="C3872" i="15"/>
  <c r="D3871" i="15"/>
  <c r="C3871" i="15"/>
  <c r="D3870" i="15"/>
  <c r="C3870" i="15"/>
  <c r="D3869" i="15"/>
  <c r="C3869" i="15"/>
  <c r="D3868" i="15"/>
  <c r="C3868" i="15"/>
  <c r="D3866" i="15"/>
  <c r="C3866" i="15"/>
  <c r="D3865" i="15"/>
  <c r="C3865" i="15"/>
  <c r="D3864" i="15"/>
  <c r="C3864" i="15"/>
  <c r="D3863" i="15"/>
  <c r="C3863" i="15"/>
  <c r="D3861" i="15"/>
  <c r="C3861" i="15"/>
  <c r="D3859" i="15"/>
  <c r="C3859" i="15"/>
  <c r="D3858" i="15"/>
  <c r="C3858" i="15"/>
  <c r="D3856" i="15"/>
  <c r="C3856" i="15"/>
  <c r="D3855" i="15"/>
  <c r="C3855" i="15"/>
  <c r="D3854" i="15"/>
  <c r="C3854" i="15"/>
  <c r="D3853" i="15"/>
  <c r="C3853" i="15"/>
  <c r="D3852" i="15"/>
  <c r="C3852" i="15"/>
  <c r="D3850" i="15"/>
  <c r="C3850" i="15"/>
  <c r="D3849" i="15"/>
  <c r="C3849" i="15"/>
  <c r="D3848" i="15"/>
  <c r="C3848" i="15"/>
  <c r="D3845" i="15"/>
  <c r="C3845" i="15"/>
  <c r="D3843" i="15"/>
  <c r="C3843" i="15"/>
  <c r="D3842" i="15"/>
  <c r="C3842" i="15"/>
  <c r="D3841" i="15"/>
  <c r="C3841" i="15"/>
  <c r="D3840" i="15"/>
  <c r="C3840" i="15"/>
  <c r="D3838" i="15"/>
  <c r="C3838" i="15"/>
  <c r="D3836" i="15"/>
  <c r="C3836" i="15"/>
  <c r="D3835" i="15"/>
  <c r="C3835" i="15"/>
  <c r="D3834" i="15"/>
  <c r="C3834" i="15"/>
  <c r="D3833" i="15"/>
  <c r="C3833" i="15"/>
  <c r="D3832" i="15"/>
  <c r="C3832" i="15"/>
  <c r="D3831" i="15"/>
  <c r="C3831" i="15"/>
  <c r="D3830" i="15"/>
  <c r="C3830" i="15"/>
  <c r="D3829" i="15"/>
  <c r="C3829" i="15"/>
  <c r="D3828" i="15"/>
  <c r="C3828" i="15"/>
  <c r="D3827" i="15"/>
  <c r="C3827" i="15"/>
  <c r="D3826" i="15"/>
  <c r="C3826" i="15"/>
  <c r="D3825" i="15"/>
  <c r="C3825" i="15"/>
  <c r="D3824" i="15"/>
  <c r="C3824" i="15"/>
  <c r="D3823" i="15"/>
  <c r="C3823" i="15"/>
  <c r="D3822" i="15"/>
  <c r="C3822" i="15"/>
  <c r="D3821" i="15"/>
  <c r="C3821" i="15"/>
  <c r="D3820" i="15"/>
  <c r="C3820" i="15"/>
  <c r="D3819" i="15"/>
  <c r="C3819" i="15"/>
  <c r="D3817" i="15"/>
  <c r="C3817" i="15"/>
  <c r="D3816" i="15"/>
  <c r="C3816" i="15"/>
  <c r="D3815" i="15"/>
  <c r="C3815" i="15"/>
  <c r="D3814" i="15"/>
  <c r="C3814" i="15"/>
  <c r="D3813" i="15"/>
  <c r="C3813" i="15"/>
  <c r="D3812" i="15"/>
  <c r="C3812" i="15"/>
  <c r="D3811" i="15"/>
  <c r="C3811" i="15"/>
  <c r="D3810" i="15"/>
  <c r="C3810" i="15"/>
  <c r="D3809" i="15"/>
  <c r="C3809" i="15"/>
  <c r="D3808" i="15"/>
  <c r="C3808" i="15"/>
  <c r="D3807" i="15"/>
  <c r="C3807" i="15"/>
  <c r="D3804" i="15"/>
  <c r="C3804" i="15"/>
  <c r="D3803" i="15"/>
  <c r="C3803" i="15"/>
  <c r="D3802" i="15"/>
  <c r="C3802" i="15"/>
  <c r="D3800" i="15"/>
  <c r="C3800" i="15"/>
  <c r="D3798" i="15"/>
  <c r="C3798" i="15"/>
  <c r="D3797" i="15"/>
  <c r="C3797" i="15"/>
  <c r="D3792" i="15"/>
  <c r="C3792" i="15"/>
  <c r="D3790" i="15"/>
  <c r="C3790" i="15"/>
  <c r="D3789" i="15"/>
  <c r="C3789" i="15"/>
  <c r="D3787" i="15"/>
  <c r="C3787" i="15"/>
  <c r="D3783" i="15"/>
  <c r="C3783" i="15"/>
  <c r="D3782" i="15"/>
  <c r="C3782" i="15"/>
  <c r="D3780" i="15"/>
  <c r="C3780" i="15"/>
  <c r="D3779" i="15"/>
  <c r="C3779" i="15"/>
  <c r="D3778" i="15"/>
  <c r="C3778" i="15"/>
  <c r="D3777" i="15"/>
  <c r="C3777" i="15"/>
  <c r="D3776" i="15"/>
  <c r="C3776" i="15"/>
  <c r="D3775" i="15"/>
  <c r="C3775" i="15"/>
  <c r="D3774" i="15"/>
  <c r="C3774" i="15"/>
  <c r="D3773" i="15"/>
  <c r="C3773" i="15"/>
  <c r="D3771" i="15"/>
  <c r="C3771" i="15"/>
  <c r="D3769" i="15"/>
  <c r="C3769" i="15"/>
  <c r="D3768" i="15"/>
  <c r="C3768" i="15"/>
  <c r="D3767" i="15"/>
  <c r="C3767" i="15"/>
  <c r="D3766" i="15"/>
  <c r="C3766" i="15"/>
  <c r="D3765" i="15"/>
  <c r="C3765" i="15"/>
  <c r="D3764" i="15"/>
  <c r="C3764" i="15"/>
  <c r="D3763" i="15"/>
  <c r="C3763" i="15"/>
  <c r="D3762" i="15"/>
  <c r="C3762" i="15"/>
  <c r="D3761" i="15"/>
  <c r="C3761" i="15"/>
  <c r="D3760" i="15"/>
  <c r="C3760" i="15"/>
  <c r="D3759" i="15"/>
  <c r="C3759" i="15"/>
  <c r="D3757" i="15"/>
  <c r="C3757" i="15"/>
  <c r="D3756" i="15"/>
  <c r="C3756" i="15"/>
  <c r="D3755" i="15"/>
  <c r="C3755" i="15"/>
  <c r="D3754" i="15"/>
  <c r="C3754" i="15"/>
  <c r="D3752" i="15"/>
  <c r="C3752" i="15"/>
  <c r="D3750" i="15"/>
  <c r="C3750" i="15"/>
  <c r="D3749" i="15"/>
  <c r="C3749" i="15"/>
  <c r="D3748" i="15"/>
  <c r="C3748" i="15"/>
  <c r="D3746" i="15"/>
  <c r="C3746" i="15"/>
  <c r="D3745" i="15"/>
  <c r="C3745" i="15"/>
  <c r="D3744" i="15"/>
  <c r="C3744" i="15"/>
  <c r="D3743" i="15"/>
  <c r="C3743" i="15"/>
  <c r="D3742" i="15"/>
  <c r="C3742" i="15"/>
  <c r="D3741" i="15"/>
  <c r="C3741" i="15"/>
  <c r="D3740" i="15"/>
  <c r="C3740" i="15"/>
  <c r="D3739" i="15"/>
  <c r="C3739" i="15"/>
  <c r="D3738" i="15"/>
  <c r="C3738" i="15"/>
  <c r="D3736" i="15"/>
  <c r="C3736" i="15"/>
  <c r="D3735" i="15"/>
  <c r="C3735" i="15"/>
  <c r="D3734" i="15"/>
  <c r="C3734" i="15"/>
  <c r="D3733" i="15"/>
  <c r="C3733" i="15"/>
  <c r="D3732" i="15"/>
  <c r="C3732" i="15"/>
  <c r="D3731" i="15"/>
  <c r="C3731" i="15"/>
  <c r="D3729" i="15"/>
  <c r="C3729" i="15"/>
  <c r="D3728" i="15"/>
  <c r="C3728" i="15"/>
  <c r="D3724" i="15"/>
  <c r="C3724" i="15"/>
  <c r="D3723" i="15"/>
  <c r="C3723" i="15"/>
  <c r="D3722" i="15"/>
  <c r="C3722" i="15"/>
  <c r="D3720" i="15"/>
  <c r="C3720" i="15"/>
  <c r="D3719" i="15"/>
  <c r="C3719" i="15"/>
  <c r="D3718" i="15"/>
  <c r="C3718" i="15"/>
  <c r="D3717" i="15"/>
  <c r="C3717" i="15"/>
  <c r="D3716" i="15"/>
  <c r="C3716" i="15"/>
  <c r="D3715" i="15"/>
  <c r="C3715" i="15"/>
  <c r="D3713" i="15"/>
  <c r="C3713" i="15"/>
  <c r="D3712" i="15"/>
  <c r="C3712" i="15"/>
  <c r="D3711" i="15"/>
  <c r="C3711" i="15"/>
  <c r="D3709" i="15"/>
  <c r="C3709" i="15"/>
  <c r="D3708" i="15"/>
  <c r="C3708" i="15"/>
  <c r="D3707" i="15"/>
  <c r="C3707" i="15"/>
  <c r="D3706" i="15"/>
  <c r="C3706" i="15"/>
  <c r="D3705" i="15"/>
  <c r="C3705" i="15"/>
  <c r="D3704" i="15"/>
  <c r="C3704" i="15"/>
  <c r="D3703" i="15"/>
  <c r="C3703" i="15"/>
  <c r="D3702" i="15"/>
  <c r="C3702" i="15"/>
  <c r="D3701" i="15"/>
  <c r="C3701" i="15"/>
  <c r="D3699" i="15"/>
  <c r="C3699" i="15"/>
  <c r="D3698" i="15"/>
  <c r="C3698" i="15"/>
  <c r="D3697" i="15"/>
  <c r="C3697" i="15"/>
  <c r="D3696" i="15"/>
  <c r="C3696" i="15"/>
  <c r="D3695" i="15"/>
  <c r="C3695" i="15"/>
  <c r="D3694" i="15"/>
  <c r="C3694" i="15"/>
  <c r="D3693" i="15"/>
  <c r="C3693" i="15"/>
  <c r="D3692" i="15"/>
  <c r="C3692" i="15"/>
  <c r="D3691" i="15"/>
  <c r="C3691" i="15"/>
  <c r="D3690" i="15"/>
  <c r="C3690" i="15"/>
  <c r="D3687" i="15"/>
  <c r="C3687" i="15"/>
  <c r="D3686" i="15"/>
  <c r="C3686" i="15"/>
  <c r="D3685" i="15"/>
  <c r="C3685" i="15"/>
  <c r="D3684" i="15"/>
  <c r="C3684" i="15"/>
  <c r="D3682" i="15"/>
  <c r="C3682" i="15"/>
  <c r="D3681" i="15"/>
  <c r="C3681" i="15"/>
  <c r="D3680" i="15"/>
  <c r="C3680" i="15"/>
  <c r="D3679" i="15"/>
  <c r="C3679" i="15"/>
  <c r="D3678" i="15"/>
  <c r="C3678" i="15"/>
  <c r="D3677" i="15"/>
  <c r="C3677" i="15"/>
  <c r="D3676" i="15"/>
  <c r="C3676" i="15"/>
  <c r="D3675" i="15"/>
  <c r="C3675" i="15"/>
  <c r="D3674" i="15"/>
  <c r="C3674" i="15"/>
  <c r="D3672" i="15"/>
  <c r="C3672" i="15"/>
  <c r="D3671" i="15"/>
  <c r="C3671" i="15"/>
  <c r="D3669" i="15"/>
  <c r="C3669" i="15"/>
  <c r="D3668" i="15"/>
  <c r="C3668" i="15"/>
  <c r="D3667" i="15"/>
  <c r="C3667" i="15"/>
  <c r="D3666" i="15"/>
  <c r="C3666" i="15"/>
  <c r="D3665" i="15"/>
  <c r="C3665" i="15"/>
  <c r="D3664" i="15"/>
  <c r="C3664" i="15"/>
  <c r="D3663" i="15"/>
  <c r="C3663" i="15"/>
  <c r="D3662" i="15"/>
  <c r="C3662" i="15"/>
  <c r="D3661" i="15"/>
  <c r="C3661" i="15"/>
  <c r="D3660" i="15"/>
  <c r="C3660" i="15"/>
  <c r="D3659" i="15"/>
  <c r="C3659" i="15"/>
  <c r="D3658" i="15"/>
  <c r="C3658" i="15"/>
  <c r="D3657" i="15"/>
  <c r="C3657" i="15"/>
  <c r="D3655" i="15"/>
  <c r="C3655" i="15"/>
  <c r="D3654" i="15"/>
  <c r="C3654" i="15"/>
  <c r="D3653" i="15"/>
  <c r="C3653" i="15"/>
  <c r="D3652" i="15"/>
  <c r="C3652" i="15"/>
  <c r="D3651" i="15"/>
  <c r="C3651" i="15"/>
  <c r="D3649" i="15"/>
  <c r="C3649" i="15"/>
  <c r="D3648" i="15"/>
  <c r="C3648" i="15"/>
  <c r="D3646" i="15"/>
  <c r="C3646" i="15"/>
  <c r="D3645" i="15"/>
  <c r="C3645" i="15"/>
  <c r="D3644" i="15"/>
  <c r="C3644" i="15"/>
  <c r="D3642" i="15"/>
  <c r="C3642" i="15"/>
  <c r="D3641" i="15"/>
  <c r="C3641" i="15"/>
  <c r="D3639" i="15"/>
  <c r="C3639" i="15"/>
  <c r="D3638" i="15"/>
  <c r="C3638" i="15"/>
  <c r="D3637" i="15"/>
  <c r="C3637" i="15"/>
  <c r="D3636" i="15"/>
  <c r="C3636" i="15"/>
  <c r="D3635" i="15"/>
  <c r="C3635" i="15"/>
  <c r="D3634" i="15"/>
  <c r="C3634" i="15"/>
  <c r="D3632" i="15"/>
  <c r="C3632" i="15"/>
  <c r="D3631" i="15"/>
  <c r="C3631" i="15"/>
  <c r="D3630" i="15"/>
  <c r="C3630" i="15"/>
  <c r="D3629" i="15"/>
  <c r="C3629" i="15"/>
  <c r="D3628" i="15"/>
  <c r="C3628" i="15"/>
  <c r="D3627" i="15"/>
  <c r="C3627" i="15"/>
  <c r="D3626" i="15"/>
  <c r="C3626" i="15"/>
  <c r="D3625" i="15"/>
  <c r="C3625" i="15"/>
  <c r="D3624" i="15"/>
  <c r="C3624" i="15"/>
  <c r="D3622" i="15"/>
  <c r="C3622" i="15"/>
  <c r="D3621" i="15"/>
  <c r="C3621" i="15"/>
  <c r="D3620" i="15"/>
  <c r="C3620" i="15"/>
  <c r="D3619" i="15"/>
  <c r="C3619" i="15"/>
  <c r="D3618" i="15"/>
  <c r="C3618" i="15"/>
  <c r="D3617" i="15"/>
  <c r="C3617" i="15"/>
  <c r="D3616" i="15"/>
  <c r="C3616" i="15"/>
  <c r="D3615" i="15"/>
  <c r="C3615" i="15"/>
  <c r="D3611" i="15"/>
  <c r="C3611" i="15"/>
  <c r="D3610" i="15"/>
  <c r="C3610" i="15"/>
  <c r="D3609" i="15"/>
  <c r="C3609" i="15"/>
  <c r="D3607" i="15"/>
  <c r="C3607" i="15"/>
  <c r="D3605" i="15"/>
  <c r="C3605" i="15"/>
  <c r="D3604" i="15"/>
  <c r="C3604" i="15"/>
  <c r="D3603" i="15"/>
  <c r="C3603" i="15"/>
  <c r="D3602" i="15"/>
  <c r="C3602" i="15"/>
  <c r="D3601" i="15"/>
  <c r="C3601" i="15"/>
  <c r="D3600" i="15"/>
  <c r="C3600" i="15"/>
  <c r="D3599" i="15"/>
  <c r="C3599" i="15"/>
  <c r="D3597" i="15"/>
  <c r="C3597" i="15"/>
  <c r="D3596" i="15"/>
  <c r="C3596" i="15"/>
  <c r="D3593" i="15"/>
  <c r="C3593" i="15"/>
  <c r="D3592" i="15"/>
  <c r="C3592" i="15"/>
  <c r="D3591" i="15"/>
  <c r="C3591" i="15"/>
  <c r="D3590" i="15"/>
  <c r="C3590" i="15"/>
  <c r="D3589" i="15"/>
  <c r="C3589" i="15"/>
  <c r="D3587" i="15"/>
  <c r="C3587" i="15"/>
  <c r="D3583" i="15"/>
  <c r="C3583" i="15"/>
  <c r="D3582" i="15"/>
  <c r="C3582" i="15"/>
  <c r="D3581" i="15"/>
  <c r="C3581" i="15"/>
  <c r="D3580" i="15"/>
  <c r="C3580" i="15"/>
  <c r="D3577" i="15"/>
  <c r="C3577" i="15"/>
  <c r="D3569" i="15"/>
  <c r="C3569" i="15"/>
  <c r="D3568" i="15"/>
  <c r="C3568" i="15"/>
  <c r="D3567" i="15"/>
  <c r="C3567" i="15"/>
  <c r="D3566" i="15"/>
  <c r="C3566" i="15"/>
  <c r="D3565" i="15"/>
  <c r="C3565" i="15"/>
  <c r="D3564" i="15"/>
  <c r="C3564" i="15"/>
  <c r="D3562" i="15"/>
  <c r="C3562" i="15"/>
  <c r="D3561" i="15"/>
  <c r="C3561" i="15"/>
  <c r="D3560" i="15"/>
  <c r="C3560" i="15"/>
  <c r="D3556" i="15"/>
  <c r="C3556" i="15"/>
  <c r="D3555" i="15"/>
  <c r="C3555" i="15"/>
  <c r="D3554" i="15"/>
  <c r="C3554" i="15"/>
  <c r="D3553" i="15"/>
  <c r="C3553" i="15"/>
  <c r="D3552" i="15"/>
  <c r="C3552" i="15"/>
  <c r="D3551" i="15"/>
  <c r="C3551" i="15"/>
  <c r="D3550" i="15"/>
  <c r="C3550" i="15"/>
  <c r="D3549" i="15"/>
  <c r="C3549" i="15"/>
  <c r="D3548" i="15"/>
  <c r="C3548" i="15"/>
  <c r="D3547" i="15"/>
  <c r="C3547" i="15"/>
  <c r="D3546" i="15"/>
  <c r="C3546" i="15"/>
  <c r="D3545" i="15"/>
  <c r="C3545" i="15"/>
  <c r="D3544" i="15"/>
  <c r="C3544" i="15"/>
  <c r="D3543" i="15"/>
  <c r="C3543" i="15"/>
  <c r="D3542" i="15"/>
  <c r="C3542" i="15"/>
  <c r="D3541" i="15"/>
  <c r="C3541" i="15"/>
  <c r="D3540" i="15"/>
  <c r="C3540" i="15"/>
  <c r="D3539" i="15"/>
  <c r="C3539" i="15"/>
  <c r="D3538" i="15"/>
  <c r="C3538" i="15"/>
  <c r="D3537" i="15"/>
  <c r="C3537" i="15"/>
  <c r="D3536" i="15"/>
  <c r="C3536" i="15"/>
  <c r="D3535" i="15"/>
  <c r="C3535" i="15"/>
  <c r="D3534" i="15"/>
  <c r="C3534" i="15"/>
  <c r="D3533" i="15"/>
  <c r="C3533" i="15"/>
  <c r="D3532" i="15"/>
  <c r="C3532" i="15"/>
  <c r="D3531" i="15"/>
  <c r="C3531" i="15"/>
  <c r="D3530" i="15"/>
  <c r="C3530" i="15"/>
  <c r="D3529" i="15"/>
  <c r="C3529" i="15"/>
  <c r="D3528" i="15"/>
  <c r="C3528" i="15"/>
  <c r="D3527" i="15"/>
  <c r="C3527" i="15"/>
  <c r="D3526" i="15"/>
  <c r="C3526" i="15"/>
  <c r="D3524" i="15"/>
  <c r="C3524" i="15"/>
  <c r="D3522" i="15"/>
  <c r="C3522" i="15"/>
  <c r="D3521" i="15"/>
  <c r="C3521" i="15"/>
  <c r="D3520" i="15"/>
  <c r="C3520" i="15"/>
  <c r="D3519" i="15"/>
  <c r="C3519" i="15"/>
  <c r="D3518" i="15"/>
  <c r="C3518" i="15"/>
  <c r="D3517" i="15"/>
  <c r="C3517" i="15"/>
  <c r="D3516" i="15"/>
  <c r="C3516" i="15"/>
  <c r="D3515" i="15"/>
  <c r="C3515" i="15"/>
  <c r="D3514" i="15"/>
  <c r="C3514" i="15"/>
  <c r="D3513" i="15"/>
  <c r="C3513" i="15"/>
  <c r="D3512" i="15"/>
  <c r="C3512" i="15"/>
  <c r="D3511" i="15"/>
  <c r="C3511" i="15"/>
  <c r="D3509" i="15"/>
  <c r="C3509" i="15"/>
  <c r="D3508" i="15"/>
  <c r="C3508" i="15"/>
  <c r="D3507" i="15"/>
  <c r="C3507" i="15"/>
  <c r="D3506" i="15"/>
  <c r="C3506" i="15"/>
  <c r="D3505" i="15"/>
  <c r="C3505" i="15"/>
  <c r="D3504" i="15"/>
  <c r="C3504" i="15"/>
  <c r="D3503" i="15"/>
  <c r="C3503" i="15"/>
  <c r="D3502" i="15"/>
  <c r="C3502" i="15"/>
  <c r="D3500" i="15"/>
  <c r="C3500" i="15"/>
  <c r="D3499" i="15"/>
  <c r="C3499" i="15"/>
  <c r="D3498" i="15"/>
  <c r="C3498" i="15"/>
  <c r="D3497" i="15"/>
  <c r="C3497" i="15"/>
  <c r="D3496" i="15"/>
  <c r="C3496" i="15"/>
  <c r="D3495" i="15"/>
  <c r="C3495" i="15"/>
  <c r="D3494" i="15"/>
  <c r="C3494" i="15"/>
  <c r="D3493" i="15"/>
  <c r="C3493" i="15"/>
  <c r="D3491" i="15"/>
  <c r="C3491" i="15"/>
  <c r="D3490" i="15"/>
  <c r="C3490" i="15"/>
  <c r="D3489" i="15"/>
  <c r="C3489" i="15"/>
  <c r="D3488" i="15"/>
  <c r="C3488" i="15"/>
  <c r="D3487" i="15"/>
  <c r="C3487" i="15"/>
  <c r="D3486" i="15"/>
  <c r="C3486" i="15"/>
  <c r="D3484" i="15"/>
  <c r="C3484" i="15"/>
  <c r="D3483" i="15"/>
  <c r="C3483" i="15"/>
  <c r="D3481" i="15"/>
  <c r="C3481" i="15"/>
  <c r="D3480" i="15"/>
  <c r="C3480" i="15"/>
  <c r="D3479" i="15"/>
  <c r="C3479" i="15"/>
  <c r="D3478" i="15"/>
  <c r="C3478" i="15"/>
  <c r="D3476" i="15"/>
  <c r="C3476" i="15"/>
  <c r="D3475" i="15"/>
  <c r="C3475" i="15"/>
  <c r="D3474" i="15"/>
  <c r="C3474" i="15"/>
  <c r="D3473" i="15"/>
  <c r="C3473" i="15"/>
  <c r="D3471" i="15"/>
  <c r="C3471" i="15"/>
  <c r="D3466" i="15"/>
  <c r="C3466" i="15"/>
  <c r="D3465" i="15"/>
  <c r="C3465" i="15"/>
  <c r="D3464" i="15"/>
  <c r="C3464" i="15"/>
  <c r="D3463" i="15"/>
  <c r="C3463" i="15"/>
  <c r="D3462" i="15"/>
  <c r="C3462" i="15"/>
  <c r="D3461" i="15"/>
  <c r="C3461" i="15"/>
  <c r="D3460" i="15"/>
  <c r="C3460" i="15"/>
  <c r="D3459" i="15"/>
  <c r="C3459" i="15"/>
  <c r="D3458" i="15"/>
  <c r="C3458" i="15"/>
  <c r="D3457" i="15"/>
  <c r="C3457" i="15"/>
  <c r="D3456" i="15"/>
  <c r="C3456" i="15"/>
  <c r="D3455" i="15"/>
  <c r="C3455" i="15"/>
  <c r="D3454" i="15"/>
  <c r="C3454" i="15"/>
  <c r="D3453" i="15"/>
  <c r="C3453" i="15"/>
  <c r="D3452" i="15"/>
  <c r="C3452" i="15"/>
  <c r="D3451" i="15"/>
  <c r="C3451" i="15"/>
  <c r="D3450" i="15"/>
  <c r="C3450" i="15"/>
  <c r="D3449" i="15"/>
  <c r="C3449" i="15"/>
  <c r="D3448" i="15"/>
  <c r="C3448" i="15"/>
  <c r="D3447" i="15"/>
  <c r="C3447" i="15"/>
  <c r="D3446" i="15"/>
  <c r="C3446" i="15"/>
  <c r="D3445" i="15"/>
  <c r="C3445" i="15"/>
  <c r="D3442" i="15"/>
  <c r="C3442" i="15"/>
  <c r="D3441" i="15"/>
  <c r="C3441" i="15"/>
  <c r="D3440" i="15"/>
  <c r="C3440" i="15"/>
  <c r="D3439" i="15"/>
  <c r="C3439" i="15"/>
  <c r="D3438" i="15"/>
  <c r="C3438" i="15"/>
  <c r="D3426" i="15"/>
  <c r="C3426" i="15"/>
  <c r="D3422" i="15"/>
  <c r="C3422" i="15"/>
  <c r="D3420" i="15"/>
  <c r="C3420" i="15"/>
  <c r="D3418" i="15"/>
  <c r="C3418" i="15"/>
  <c r="D3414" i="15"/>
  <c r="C3414" i="15"/>
  <c r="D3413" i="15"/>
  <c r="C3413" i="15"/>
  <c r="D3412" i="15"/>
  <c r="C3412" i="15"/>
  <c r="D3411" i="15"/>
  <c r="C3411" i="15"/>
  <c r="D3409" i="15"/>
  <c r="C3409" i="15"/>
  <c r="D3407" i="15"/>
  <c r="C3407" i="15"/>
  <c r="D3405" i="15"/>
  <c r="C3405" i="15"/>
  <c r="D3404" i="15"/>
  <c r="C3404" i="15"/>
  <c r="D3403" i="15"/>
  <c r="C3403" i="15"/>
  <c r="D3402" i="15"/>
  <c r="C3402" i="15"/>
  <c r="D3401" i="15"/>
  <c r="C3401" i="15"/>
  <c r="D3399" i="15"/>
  <c r="C3399" i="15"/>
  <c r="D3398" i="15"/>
  <c r="C3398" i="15"/>
  <c r="D3397" i="15"/>
  <c r="C3397" i="15"/>
  <c r="D3396" i="15"/>
  <c r="C3396" i="15"/>
  <c r="D3395" i="15"/>
  <c r="C3395" i="15"/>
  <c r="D3393" i="15"/>
  <c r="C3393" i="15"/>
  <c r="D3392" i="15"/>
  <c r="C3392" i="15"/>
  <c r="D3391" i="15"/>
  <c r="C3391" i="15"/>
  <c r="D3390" i="15"/>
  <c r="C3390" i="15"/>
  <c r="D3389" i="15"/>
  <c r="C3389" i="15"/>
  <c r="D3388" i="15"/>
  <c r="C3388" i="15"/>
  <c r="D3387" i="15"/>
  <c r="C3387" i="15"/>
  <c r="D3386" i="15"/>
  <c r="C3386" i="15"/>
  <c r="D3385" i="15"/>
  <c r="C3385" i="15"/>
  <c r="D3384" i="15"/>
  <c r="C3384" i="15"/>
  <c r="D3383" i="15"/>
  <c r="C3383" i="15"/>
  <c r="D3382" i="15"/>
  <c r="C3382" i="15"/>
  <c r="D3381" i="15"/>
  <c r="C3381" i="15"/>
  <c r="D3379" i="15"/>
  <c r="C3379" i="15"/>
  <c r="D3378" i="15"/>
  <c r="C3378" i="15"/>
  <c r="D3377" i="15"/>
  <c r="C3377" i="15"/>
  <c r="D3375" i="15"/>
  <c r="C3375" i="15"/>
  <c r="D3374" i="15"/>
  <c r="C3374" i="15"/>
  <c r="D3373" i="15"/>
  <c r="C3373" i="15"/>
  <c r="D3372" i="15"/>
  <c r="C3372" i="15"/>
  <c r="D3368" i="15"/>
  <c r="C3368" i="15"/>
  <c r="D3366" i="15"/>
  <c r="C3366" i="15"/>
  <c r="D3365" i="15"/>
  <c r="C3365" i="15"/>
  <c r="D3364" i="15"/>
  <c r="C3364" i="15"/>
  <c r="D3363" i="15"/>
  <c r="C3363" i="15"/>
  <c r="D3362" i="15"/>
  <c r="C3362" i="15"/>
  <c r="D3361" i="15"/>
  <c r="C3361" i="15"/>
  <c r="D3360" i="15"/>
  <c r="C3360" i="15"/>
  <c r="D3356" i="15"/>
  <c r="C3356" i="15"/>
  <c r="D3354" i="15"/>
  <c r="C3354" i="15"/>
  <c r="D3353" i="15"/>
  <c r="C3353" i="15"/>
  <c r="D3351" i="15"/>
  <c r="C3351" i="15"/>
  <c r="D3350" i="15"/>
  <c r="C3350" i="15"/>
  <c r="D3349" i="15"/>
  <c r="C3349" i="15"/>
  <c r="D3348" i="15"/>
  <c r="C3348" i="15"/>
  <c r="D3347" i="15"/>
  <c r="C3347" i="15"/>
  <c r="D3346" i="15"/>
  <c r="C3346" i="15"/>
  <c r="D3345" i="15"/>
  <c r="C3345" i="15"/>
  <c r="D3344" i="15"/>
  <c r="C3344" i="15"/>
  <c r="D3343" i="15"/>
  <c r="C3343" i="15"/>
  <c r="D3342" i="15"/>
  <c r="C3342" i="15"/>
  <c r="D3341" i="15"/>
  <c r="C3341" i="15"/>
  <c r="D3340" i="15"/>
  <c r="C3340" i="15"/>
  <c r="D3339" i="15"/>
  <c r="C3339" i="15"/>
  <c r="D3338" i="15"/>
  <c r="C3338" i="15"/>
  <c r="D3337" i="15"/>
  <c r="C3337" i="15"/>
  <c r="D3336" i="15"/>
  <c r="C3336" i="15"/>
  <c r="D3334" i="15"/>
  <c r="C3334" i="15"/>
  <c r="D3328" i="15"/>
  <c r="C3328" i="15"/>
  <c r="D3327" i="15"/>
  <c r="C3327" i="15"/>
  <c r="D3324" i="15"/>
  <c r="C3324" i="15"/>
  <c r="D3323" i="15"/>
  <c r="C3323" i="15"/>
  <c r="D3316" i="15"/>
  <c r="C3316" i="15"/>
  <c r="D3313" i="15"/>
  <c r="C3313" i="15"/>
  <c r="D3311" i="15"/>
  <c r="C3311" i="15"/>
  <c r="D3310" i="15"/>
  <c r="C3310" i="15"/>
  <c r="D3309" i="15"/>
  <c r="C3309" i="15"/>
  <c r="D3308" i="15"/>
  <c r="C3308" i="15"/>
  <c r="D3307" i="15"/>
  <c r="C3307" i="15"/>
  <c r="D3304" i="15"/>
  <c r="C3304" i="15"/>
  <c r="D3303" i="15"/>
  <c r="C3303" i="15"/>
  <c r="D3302" i="15"/>
  <c r="C3302" i="15"/>
  <c r="D3301" i="15"/>
  <c r="C3301" i="15"/>
  <c r="D3300" i="15"/>
  <c r="C3300" i="15"/>
  <c r="D3299" i="15"/>
  <c r="C3299" i="15"/>
  <c r="D3298" i="15"/>
  <c r="C3298" i="15"/>
  <c r="D3297" i="15"/>
  <c r="C3297" i="15"/>
  <c r="D3295" i="15"/>
  <c r="C3295" i="15"/>
  <c r="D3294" i="15"/>
  <c r="C3294" i="15"/>
  <c r="D3292" i="15"/>
  <c r="C3292" i="15"/>
  <c r="D3291" i="15"/>
  <c r="C3291" i="15"/>
  <c r="D3290" i="15"/>
  <c r="C3290" i="15"/>
  <c r="D3289" i="15"/>
  <c r="C3289" i="15"/>
  <c r="D3288" i="15"/>
  <c r="C3288" i="15"/>
  <c r="D3287" i="15"/>
  <c r="C3287" i="15"/>
  <c r="D3286" i="15"/>
  <c r="C3286" i="15"/>
  <c r="D3285" i="15"/>
  <c r="C3285" i="15"/>
  <c r="D3284" i="15"/>
  <c r="C3284" i="15"/>
  <c r="D3283" i="15"/>
  <c r="C3283" i="15"/>
  <c r="D3282" i="15"/>
  <c r="C3282" i="15"/>
  <c r="D3281" i="15"/>
  <c r="C3281" i="15"/>
  <c r="D3280" i="15"/>
  <c r="C3280" i="15"/>
  <c r="D3279" i="15"/>
  <c r="C3279" i="15"/>
  <c r="D3278" i="15"/>
  <c r="C3278" i="15"/>
  <c r="D3277" i="15"/>
  <c r="C3277" i="15"/>
  <c r="D3274" i="15"/>
  <c r="C3274" i="15"/>
  <c r="D3273" i="15"/>
  <c r="C3273" i="15"/>
  <c r="D3272" i="15"/>
  <c r="C3272" i="15"/>
  <c r="D3271" i="15"/>
  <c r="C3271" i="15"/>
  <c r="D3270" i="15"/>
  <c r="C3270" i="15"/>
  <c r="D3269" i="15"/>
  <c r="C3269" i="15"/>
  <c r="D3268" i="15"/>
  <c r="C3268" i="15"/>
  <c r="D3267" i="15"/>
  <c r="C3267" i="15"/>
  <c r="D3265" i="15"/>
  <c r="C3265" i="15"/>
  <c r="D3264" i="15"/>
  <c r="C3264" i="15"/>
  <c r="D3263" i="15"/>
  <c r="C3263" i="15"/>
  <c r="D3262" i="15"/>
  <c r="C3262" i="15"/>
  <c r="D3261" i="15"/>
  <c r="C3261" i="15"/>
  <c r="D3260" i="15"/>
  <c r="C3260" i="15"/>
  <c r="D3259" i="15"/>
  <c r="C3259" i="15"/>
  <c r="D3258" i="15"/>
  <c r="C3258" i="15"/>
  <c r="D3257" i="15"/>
  <c r="C3257" i="15"/>
  <c r="D3256" i="15"/>
  <c r="C3256" i="15"/>
  <c r="D3254" i="15"/>
  <c r="C3254" i="15"/>
  <c r="D3253" i="15"/>
  <c r="C3253" i="15"/>
  <c r="D3252" i="15"/>
  <c r="C3252" i="15"/>
  <c r="D3250" i="15"/>
  <c r="C3250" i="15"/>
  <c r="D3248" i="15"/>
  <c r="C3248" i="15"/>
  <c r="D3246" i="15"/>
  <c r="C3246" i="15"/>
  <c r="D3244" i="15"/>
  <c r="C3244" i="15"/>
  <c r="D3241" i="15"/>
  <c r="C3241" i="15"/>
  <c r="D3240" i="15"/>
  <c r="C3240" i="15"/>
  <c r="D3239" i="15"/>
  <c r="C3239" i="15"/>
  <c r="D3236" i="15"/>
  <c r="C3236" i="15"/>
  <c r="D3235" i="15"/>
  <c r="C3235" i="15"/>
  <c r="D3234" i="15"/>
  <c r="C3234" i="15"/>
  <c r="D3233" i="15"/>
  <c r="C3233" i="15"/>
  <c r="D3230" i="15"/>
  <c r="C3230" i="15"/>
  <c r="D3224" i="15"/>
  <c r="C3224" i="15"/>
  <c r="D3222" i="15"/>
  <c r="C3222" i="15"/>
  <c r="D3214" i="15"/>
  <c r="C3214" i="15"/>
  <c r="D3207" i="15"/>
  <c r="C3207" i="15"/>
  <c r="D3205" i="15"/>
  <c r="C3205" i="15"/>
  <c r="D3204" i="15"/>
  <c r="C3204" i="15"/>
  <c r="D3203" i="15"/>
  <c r="C3203" i="15"/>
  <c r="D3195" i="15"/>
  <c r="C3195" i="15"/>
  <c r="D3194" i="15"/>
  <c r="C3194" i="15"/>
  <c r="D3193" i="15"/>
  <c r="C3193" i="15"/>
  <c r="D3190" i="15"/>
  <c r="C3190" i="15"/>
  <c r="D3186" i="15"/>
  <c r="C3186" i="15"/>
  <c r="D3184" i="15"/>
  <c r="C3184" i="15"/>
  <c r="D3183" i="15"/>
  <c r="C3183" i="15"/>
  <c r="D3179" i="15"/>
  <c r="C3179" i="15"/>
  <c r="D3178" i="15"/>
  <c r="C3178" i="15"/>
  <c r="D3177" i="15"/>
  <c r="C3177" i="15"/>
  <c r="D3174" i="15"/>
  <c r="C3174" i="15"/>
  <c r="D3167" i="15"/>
  <c r="C3167" i="15"/>
  <c r="D3164" i="15"/>
  <c r="C3164" i="15"/>
  <c r="D3162" i="15"/>
  <c r="C3162" i="15"/>
  <c r="D3160" i="15"/>
  <c r="C3160" i="15"/>
  <c r="D3159" i="15"/>
  <c r="C3159" i="15"/>
  <c r="D3158" i="15"/>
  <c r="C3158" i="15"/>
  <c r="D3157" i="15"/>
  <c r="C3157" i="15"/>
  <c r="D3156" i="15"/>
  <c r="C3156" i="15"/>
  <c r="D3155" i="15"/>
  <c r="C3155" i="15"/>
  <c r="D3154" i="15"/>
  <c r="C3154" i="15"/>
  <c r="D3153" i="15"/>
  <c r="C3153" i="15"/>
  <c r="D3152" i="15"/>
  <c r="C3152" i="15"/>
  <c r="D3151" i="15"/>
  <c r="C3151" i="15"/>
  <c r="D3150" i="15"/>
  <c r="C3150" i="15"/>
  <c r="D3149" i="15"/>
  <c r="C3149" i="15"/>
  <c r="D3148" i="15"/>
  <c r="C3148" i="15"/>
  <c r="D3147" i="15"/>
  <c r="C3147" i="15"/>
  <c r="D3146" i="15"/>
  <c r="C3146" i="15"/>
  <c r="D3145" i="15"/>
  <c r="C3145" i="15"/>
  <c r="D3144" i="15"/>
  <c r="C3144" i="15"/>
  <c r="D3143" i="15"/>
  <c r="C3143" i="15"/>
  <c r="D3142" i="15"/>
  <c r="C3142" i="15"/>
  <c r="D3141" i="15"/>
  <c r="C3141" i="15"/>
  <c r="D3140" i="15"/>
  <c r="C3140" i="15"/>
  <c r="D3139" i="15"/>
  <c r="C3139" i="15"/>
  <c r="D3138" i="15"/>
  <c r="C3138" i="15"/>
  <c r="D3136" i="15"/>
  <c r="C3136" i="15"/>
  <c r="D3135" i="15"/>
  <c r="C3135" i="15"/>
  <c r="D3133" i="15"/>
  <c r="C3133" i="15"/>
  <c r="D3132" i="15"/>
  <c r="C3132" i="15"/>
  <c r="D3130" i="15"/>
  <c r="C3130" i="15"/>
  <c r="D3128" i="15"/>
  <c r="C3128" i="15"/>
  <c r="D3127" i="15"/>
  <c r="C3127" i="15"/>
  <c r="D3126" i="15"/>
  <c r="C3126" i="15"/>
  <c r="D3125" i="15"/>
  <c r="C3125" i="15"/>
  <c r="D3124" i="15"/>
  <c r="C3124" i="15"/>
  <c r="D3122" i="15"/>
  <c r="C3122" i="15"/>
  <c r="D3117" i="15"/>
  <c r="C3117" i="15"/>
  <c r="D3116" i="15"/>
  <c r="C3116" i="15"/>
  <c r="D3115" i="15"/>
  <c r="C3115" i="15"/>
  <c r="D3114" i="15"/>
  <c r="C3114" i="15"/>
  <c r="D3112" i="15"/>
  <c r="C3112" i="15"/>
  <c r="D3110" i="15"/>
  <c r="C3110" i="15"/>
  <c r="D3108" i="15"/>
  <c r="C3108" i="15"/>
  <c r="D3107" i="15"/>
  <c r="C3107" i="15"/>
  <c r="D3106" i="15"/>
  <c r="C3106" i="15"/>
  <c r="D3105" i="15"/>
  <c r="C3105" i="15"/>
  <c r="D3104" i="15"/>
  <c r="C3104" i="15"/>
  <c r="D3103" i="15"/>
  <c r="C3103" i="15"/>
  <c r="D3102" i="15"/>
  <c r="C3102" i="15"/>
  <c r="D3101" i="15"/>
  <c r="C3101" i="15"/>
  <c r="D3099" i="15"/>
  <c r="C3099" i="15"/>
  <c r="D3098" i="15"/>
  <c r="C3098" i="15"/>
  <c r="D3097" i="15"/>
  <c r="C3097" i="15"/>
  <c r="D3096" i="15"/>
  <c r="C3096" i="15"/>
  <c r="D3094" i="15"/>
  <c r="C3094" i="15"/>
  <c r="D3092" i="15"/>
  <c r="C3092" i="15"/>
  <c r="D3090" i="15"/>
  <c r="C3090" i="15"/>
  <c r="D3088" i="15"/>
  <c r="C3088" i="15"/>
  <c r="D3086" i="15"/>
  <c r="C3086" i="15"/>
  <c r="D3085" i="15"/>
  <c r="C3085" i="15"/>
  <c r="D3083" i="15"/>
  <c r="C3083" i="15"/>
  <c r="D3081" i="15"/>
  <c r="C3081" i="15"/>
  <c r="D3079" i="15"/>
  <c r="C3079" i="15"/>
  <c r="D3078" i="15"/>
  <c r="C3078" i="15"/>
  <c r="D3076" i="15"/>
  <c r="C3076" i="15"/>
  <c r="D3075" i="15"/>
  <c r="C3075" i="15"/>
  <c r="D3071" i="15"/>
  <c r="C3071" i="15"/>
  <c r="D3070" i="15"/>
  <c r="C3070" i="15"/>
  <c r="D3069" i="15"/>
  <c r="C3069" i="15"/>
  <c r="D3068" i="15"/>
  <c r="C3068" i="15"/>
  <c r="D3067" i="15"/>
  <c r="C3067" i="15"/>
  <c r="D3066" i="15"/>
  <c r="C3066" i="15"/>
  <c r="D3065" i="15"/>
  <c r="C3065" i="15"/>
  <c r="D3064" i="15"/>
  <c r="C3064" i="15"/>
  <c r="D3063" i="15"/>
  <c r="C3063" i="15"/>
  <c r="D3062" i="15"/>
  <c r="C3062" i="15"/>
  <c r="D3056" i="15"/>
  <c r="C3056" i="15"/>
  <c r="D3055" i="15"/>
  <c r="C3055" i="15"/>
  <c r="D3054" i="15"/>
  <c r="C3054" i="15"/>
  <c r="D3053" i="15"/>
  <c r="C3053" i="15"/>
  <c r="D3052" i="15"/>
  <c r="C3052" i="15"/>
  <c r="D3051" i="15"/>
  <c r="C3051" i="15"/>
  <c r="D3050" i="15"/>
  <c r="C3050" i="15"/>
  <c r="D3048" i="15"/>
  <c r="C3048" i="15"/>
  <c r="D3047" i="15"/>
  <c r="C3047" i="15"/>
  <c r="D3046" i="15"/>
  <c r="C3046" i="15"/>
  <c r="D3045" i="15"/>
  <c r="C3045" i="15"/>
  <c r="D3043" i="15"/>
  <c r="C3043" i="15"/>
  <c r="D3042" i="15"/>
  <c r="C3042" i="15"/>
  <c r="D3041" i="15"/>
  <c r="C3041" i="15"/>
  <c r="D3040" i="15"/>
  <c r="C3040" i="15"/>
  <c r="D3039" i="15"/>
  <c r="C3039" i="15"/>
  <c r="D3038" i="15"/>
  <c r="C3038" i="15"/>
  <c r="D3037" i="15"/>
  <c r="C3037" i="15"/>
  <c r="D3036" i="15"/>
  <c r="C3036" i="15"/>
  <c r="D3035" i="15"/>
  <c r="C3035" i="15"/>
  <c r="D3034" i="15"/>
  <c r="C3034" i="15"/>
  <c r="D3033" i="15"/>
  <c r="C3033" i="15"/>
  <c r="D3032" i="15"/>
  <c r="C3032" i="15"/>
  <c r="D3031" i="15"/>
  <c r="C3031" i="15"/>
  <c r="D3030" i="15"/>
  <c r="C3030" i="15"/>
  <c r="D3029" i="15"/>
  <c r="C3029" i="15"/>
  <c r="D3028" i="15"/>
  <c r="C3028" i="15"/>
  <c r="D3027" i="15"/>
  <c r="C3027" i="15"/>
  <c r="D3026" i="15"/>
  <c r="C3026" i="15"/>
  <c r="D3025" i="15"/>
  <c r="C3025" i="15"/>
  <c r="D3023" i="15"/>
  <c r="C3023" i="15"/>
  <c r="D3022" i="15"/>
  <c r="C3022" i="15"/>
  <c r="D3021" i="15"/>
  <c r="C3021" i="15"/>
  <c r="D3020" i="15"/>
  <c r="C3020" i="15"/>
  <c r="D3019" i="15"/>
  <c r="C3019" i="15"/>
  <c r="D3018" i="15"/>
  <c r="C3018" i="15"/>
  <c r="D3017" i="15"/>
  <c r="C3017" i="15"/>
  <c r="D3016" i="15"/>
  <c r="C3016" i="15"/>
  <c r="D3015" i="15"/>
  <c r="C3015" i="15"/>
  <c r="D3014" i="15"/>
  <c r="C3014" i="15"/>
  <c r="D3013" i="15"/>
  <c r="C3013" i="15"/>
  <c r="D3012" i="15"/>
  <c r="C3012" i="15"/>
  <c r="D3011" i="15"/>
  <c r="C3011" i="15"/>
  <c r="D3010" i="15"/>
  <c r="C3010" i="15"/>
  <c r="D3009" i="15"/>
  <c r="C3009" i="15"/>
  <c r="D3008" i="15"/>
  <c r="C3008" i="15"/>
  <c r="D3007" i="15"/>
  <c r="C3007" i="15"/>
  <c r="D3006" i="15"/>
  <c r="C3006" i="15"/>
  <c r="D3005" i="15"/>
  <c r="C3005" i="15"/>
  <c r="D3004" i="15"/>
  <c r="C3004" i="15"/>
  <c r="D3003" i="15"/>
  <c r="C3003" i="15"/>
  <c r="D3002" i="15"/>
  <c r="C3002" i="15"/>
  <c r="D3000" i="15"/>
  <c r="C3000" i="15"/>
  <c r="D2999" i="15"/>
  <c r="C2999" i="15"/>
  <c r="D2998" i="15"/>
  <c r="C2998" i="15"/>
  <c r="D2997" i="15"/>
  <c r="C2997" i="15"/>
  <c r="D2996" i="15"/>
  <c r="C2996" i="15"/>
  <c r="D2995" i="15"/>
  <c r="C2995" i="15"/>
  <c r="D2994" i="15"/>
  <c r="C2994" i="15"/>
  <c r="D2993" i="15"/>
  <c r="C2993" i="15"/>
  <c r="D2992" i="15"/>
  <c r="C2992" i="15"/>
  <c r="D2991" i="15"/>
  <c r="C2991" i="15"/>
  <c r="D2990" i="15"/>
  <c r="C2990" i="15"/>
  <c r="D2989" i="15"/>
  <c r="C2989" i="15"/>
  <c r="D2988" i="15"/>
  <c r="C2988" i="15"/>
  <c r="D2987" i="15"/>
  <c r="C2987" i="15"/>
  <c r="D2985" i="15"/>
  <c r="C2985" i="15"/>
  <c r="D2984" i="15"/>
  <c r="C2984" i="15"/>
  <c r="D2983" i="15"/>
  <c r="C2983" i="15"/>
  <c r="D2982" i="15"/>
  <c r="C2982" i="15"/>
  <c r="D2981" i="15"/>
  <c r="C2981" i="15"/>
  <c r="D2980" i="15"/>
  <c r="C2980" i="15"/>
  <c r="D2979" i="15"/>
  <c r="C2979" i="15"/>
  <c r="D2978" i="15"/>
  <c r="C2978" i="15"/>
  <c r="D2977" i="15"/>
  <c r="C2977" i="15"/>
  <c r="D2976" i="15"/>
  <c r="C2976" i="15"/>
  <c r="D2975" i="15"/>
  <c r="C2975" i="15"/>
  <c r="D2974" i="15"/>
  <c r="C2974" i="15"/>
  <c r="D2973" i="15"/>
  <c r="C2973" i="15"/>
  <c r="D2971" i="15"/>
  <c r="C2971" i="15"/>
  <c r="D2970" i="15"/>
  <c r="C2970" i="15"/>
  <c r="D2969" i="15"/>
  <c r="C2969" i="15"/>
  <c r="D2966" i="15"/>
  <c r="C2966" i="15"/>
  <c r="D2965" i="15"/>
  <c r="C2965" i="15"/>
  <c r="D2963" i="15"/>
  <c r="C2963" i="15"/>
  <c r="D2961" i="15"/>
  <c r="C2961" i="15"/>
  <c r="D2959" i="15"/>
  <c r="C2959" i="15"/>
  <c r="D2958" i="15"/>
  <c r="C2958" i="15"/>
  <c r="D2957" i="15"/>
  <c r="C2957" i="15"/>
  <c r="D2956" i="15"/>
  <c r="C2956" i="15"/>
  <c r="D2955" i="15"/>
  <c r="C2955" i="15"/>
  <c r="D2954" i="15"/>
  <c r="C2954" i="15"/>
  <c r="D2953" i="15"/>
  <c r="C2953" i="15"/>
  <c r="D2952" i="15"/>
  <c r="C2952" i="15"/>
  <c r="D2951" i="15"/>
  <c r="C2951" i="15"/>
  <c r="D2950" i="15"/>
  <c r="C2950" i="15"/>
  <c r="D2949" i="15"/>
  <c r="C2949" i="15"/>
  <c r="D2948" i="15"/>
  <c r="C2948" i="15"/>
  <c r="D2947" i="15"/>
  <c r="C2947" i="15"/>
  <c r="D2946" i="15"/>
  <c r="C2946" i="15"/>
  <c r="D2945" i="15"/>
  <c r="C2945" i="15"/>
  <c r="D2944" i="15"/>
  <c r="C2944" i="15"/>
  <c r="D2943" i="15"/>
  <c r="C2943" i="15"/>
  <c r="D2942" i="15"/>
  <c r="C2942" i="15"/>
  <c r="D2941" i="15"/>
  <c r="C2941" i="15"/>
  <c r="D2940" i="15"/>
  <c r="C2940" i="15"/>
  <c r="D2939" i="15"/>
  <c r="C2939" i="15"/>
  <c r="D2938" i="15"/>
  <c r="C2938" i="15"/>
  <c r="D2937" i="15"/>
  <c r="C2937" i="15"/>
  <c r="D2936" i="15"/>
  <c r="C2936" i="15"/>
  <c r="D2935" i="15"/>
  <c r="C2935" i="15"/>
  <c r="D2934" i="15"/>
  <c r="C2934" i="15"/>
  <c r="D2933" i="15"/>
  <c r="C2933" i="15"/>
  <c r="D2932" i="15"/>
  <c r="C2932" i="15"/>
  <c r="D2931" i="15"/>
  <c r="C2931" i="15"/>
  <c r="D2930" i="15"/>
  <c r="C2930" i="15"/>
  <c r="D2929" i="15"/>
  <c r="C2929" i="15"/>
  <c r="D2927" i="15"/>
  <c r="C2927" i="15"/>
  <c r="D2926" i="15"/>
  <c r="C2926" i="15"/>
  <c r="D2925" i="15"/>
  <c r="C2925" i="15"/>
  <c r="D2924" i="15"/>
  <c r="C2924" i="15"/>
  <c r="D2923" i="15"/>
  <c r="C2923" i="15"/>
  <c r="D2922" i="15"/>
  <c r="C2922" i="15"/>
  <c r="D2921" i="15"/>
  <c r="C2921" i="15"/>
  <c r="D2920" i="15"/>
  <c r="C2920" i="15"/>
  <c r="D2918" i="15"/>
  <c r="C2918" i="15"/>
  <c r="D2917" i="15"/>
  <c r="C2917" i="15"/>
  <c r="D2914" i="15"/>
  <c r="C2914" i="15"/>
  <c r="D2911" i="15"/>
  <c r="C2911" i="15"/>
  <c r="D2910" i="15"/>
  <c r="C2910" i="15"/>
  <c r="D2909" i="15"/>
  <c r="C2909" i="15"/>
  <c r="D2908" i="15"/>
  <c r="C2908" i="15"/>
  <c r="D2906" i="15"/>
  <c r="C2906" i="15"/>
  <c r="D2905" i="15"/>
  <c r="C2905" i="15"/>
  <c r="D2904" i="15"/>
  <c r="C2904" i="15"/>
  <c r="D2903" i="15"/>
  <c r="C2903" i="15"/>
  <c r="D2901" i="15"/>
  <c r="C2901" i="15"/>
  <c r="D2900" i="15"/>
  <c r="C2900" i="15"/>
  <c r="D2897" i="15"/>
  <c r="C2897" i="15"/>
  <c r="D2896" i="15"/>
  <c r="C2896" i="15"/>
  <c r="D2893" i="15"/>
  <c r="C2893" i="15"/>
  <c r="D2892" i="15"/>
  <c r="C2892" i="15"/>
  <c r="D2890" i="15"/>
  <c r="C2890" i="15"/>
  <c r="D2889" i="15"/>
  <c r="C2889" i="15"/>
  <c r="D2888" i="15"/>
  <c r="C2888" i="15"/>
  <c r="D2887" i="15"/>
  <c r="C2887" i="15"/>
  <c r="D2882" i="15"/>
  <c r="C2882" i="15"/>
  <c r="D2880" i="15"/>
  <c r="C2880" i="15"/>
  <c r="D2875" i="15"/>
  <c r="C2875" i="15"/>
  <c r="D2874" i="15"/>
  <c r="C2874" i="15"/>
  <c r="D2871" i="15"/>
  <c r="C2871" i="15"/>
  <c r="D2870" i="15"/>
  <c r="C2870" i="15"/>
  <c r="D2869" i="15"/>
  <c r="C2869" i="15"/>
  <c r="D2868" i="15"/>
  <c r="C2868" i="15"/>
  <c r="D2866" i="15"/>
  <c r="C2866" i="15"/>
  <c r="D2864" i="15"/>
  <c r="C2864" i="15"/>
  <c r="D2863" i="15"/>
  <c r="C2863" i="15"/>
  <c r="D2862" i="15"/>
  <c r="C2862" i="15"/>
  <c r="D2861" i="15"/>
  <c r="C2861" i="15"/>
  <c r="D2860" i="15"/>
  <c r="C2860" i="15"/>
  <c r="D2857" i="15"/>
  <c r="C2857" i="15"/>
  <c r="D2853" i="15"/>
  <c r="C2853" i="15"/>
  <c r="D2852" i="15"/>
  <c r="C2852" i="15"/>
  <c r="D2851" i="15"/>
  <c r="C2851" i="15"/>
  <c r="D2850" i="15"/>
  <c r="C2850" i="15"/>
  <c r="D2849" i="15"/>
  <c r="C2849" i="15"/>
  <c r="D2848" i="15"/>
  <c r="C2848" i="15"/>
  <c r="D2847" i="15"/>
  <c r="C2847" i="15"/>
  <c r="D2846" i="15"/>
  <c r="C2846" i="15"/>
  <c r="D2845" i="15"/>
  <c r="C2845" i="15"/>
  <c r="D2843" i="15"/>
  <c r="C2843" i="15"/>
  <c r="D2841" i="15"/>
  <c r="C2841" i="15"/>
  <c r="D2840" i="15"/>
  <c r="C2840" i="15"/>
  <c r="D2839" i="15"/>
  <c r="C2839" i="15"/>
  <c r="D2838" i="15"/>
  <c r="C2838" i="15"/>
  <c r="D2837" i="15"/>
  <c r="C2837" i="15"/>
  <c r="D2836" i="15"/>
  <c r="C2836" i="15"/>
  <c r="D2835" i="15"/>
  <c r="C2835" i="15"/>
  <c r="D2834" i="15"/>
  <c r="C2834" i="15"/>
  <c r="D2833" i="15"/>
  <c r="C2833" i="15"/>
  <c r="D2832" i="15"/>
  <c r="C2832" i="15"/>
  <c r="D2831" i="15"/>
  <c r="C2831" i="15"/>
  <c r="D2830" i="15"/>
  <c r="C2830" i="15"/>
  <c r="D2829" i="15"/>
  <c r="C2829" i="15"/>
  <c r="D2828" i="15"/>
  <c r="C2828" i="15"/>
  <c r="D2823" i="15"/>
  <c r="C2823" i="15"/>
  <c r="D2822" i="15"/>
  <c r="C2822" i="15"/>
  <c r="D2818" i="15"/>
  <c r="C2818" i="15"/>
  <c r="D2817" i="15"/>
  <c r="C2817" i="15"/>
  <c r="D2816" i="15"/>
  <c r="C2816" i="15"/>
  <c r="D2814" i="15"/>
  <c r="C2814" i="15"/>
  <c r="D2812" i="15"/>
  <c r="C2812" i="15"/>
  <c r="D2811" i="15"/>
  <c r="C2811" i="15"/>
  <c r="D2809" i="15"/>
  <c r="C2809" i="15"/>
  <c r="D2808" i="15"/>
  <c r="C2808" i="15"/>
  <c r="D2807" i="15"/>
  <c r="C2807" i="15"/>
  <c r="D2805" i="15"/>
  <c r="C2805" i="15"/>
  <c r="D2803" i="15"/>
  <c r="C2803" i="15"/>
  <c r="D2802" i="15"/>
  <c r="C2802" i="15"/>
  <c r="D2801" i="15"/>
  <c r="C2801" i="15"/>
  <c r="D2800" i="15"/>
  <c r="C2800" i="15"/>
  <c r="D2799" i="15"/>
  <c r="C2799" i="15"/>
  <c r="D2798" i="15"/>
  <c r="C2798" i="15"/>
  <c r="D2797" i="15"/>
  <c r="C2797" i="15"/>
  <c r="D2796" i="15"/>
  <c r="C2796" i="15"/>
  <c r="D2795" i="15"/>
  <c r="C2795" i="15"/>
  <c r="D2794" i="15"/>
  <c r="C2794" i="15"/>
  <c r="D2793" i="15"/>
  <c r="C2793" i="15"/>
  <c r="D2792" i="15"/>
  <c r="C2792" i="15"/>
  <c r="D2791" i="15"/>
  <c r="C2791" i="15"/>
  <c r="D2790" i="15"/>
  <c r="C2790" i="15"/>
  <c r="D2789" i="15"/>
  <c r="C2789" i="15"/>
  <c r="D2788" i="15"/>
  <c r="C2788" i="15"/>
  <c r="D2787" i="15"/>
  <c r="C2787" i="15"/>
  <c r="D2786" i="15"/>
  <c r="C2786" i="15"/>
  <c r="D2785" i="15"/>
  <c r="C2785" i="15"/>
  <c r="D2784" i="15"/>
  <c r="C2784" i="15"/>
  <c r="D2783" i="15"/>
  <c r="C2783" i="15"/>
  <c r="D2782" i="15"/>
  <c r="C2782" i="15"/>
  <c r="D2781" i="15"/>
  <c r="C2781" i="15"/>
  <c r="D2780" i="15"/>
  <c r="C2780" i="15"/>
  <c r="D2778" i="15"/>
  <c r="C2778" i="15"/>
  <c r="D2777" i="15"/>
  <c r="C2777" i="15"/>
  <c r="D2776" i="15"/>
  <c r="C2776" i="15"/>
  <c r="D2775" i="15"/>
  <c r="C2775" i="15"/>
  <c r="D2774" i="15"/>
  <c r="C2774" i="15"/>
  <c r="D2773" i="15"/>
  <c r="C2773" i="15"/>
  <c r="D2772" i="15"/>
  <c r="C2772" i="15"/>
  <c r="D2770" i="15"/>
  <c r="C2770" i="15"/>
  <c r="D2769" i="15"/>
  <c r="C2769" i="15"/>
  <c r="D2768" i="15"/>
  <c r="C2768" i="15"/>
  <c r="D2767" i="15"/>
  <c r="C2767" i="15"/>
  <c r="D2766" i="15"/>
  <c r="C2766" i="15"/>
  <c r="D2765" i="15"/>
  <c r="C2765" i="15"/>
  <c r="D2764" i="15"/>
  <c r="C2764" i="15"/>
  <c r="D2763" i="15"/>
  <c r="C2763" i="15"/>
  <c r="D2762" i="15"/>
  <c r="C2762" i="15"/>
  <c r="D2761" i="15"/>
  <c r="C2761" i="15"/>
  <c r="D2760" i="15"/>
  <c r="C2760" i="15"/>
  <c r="D2759" i="15"/>
  <c r="C2759" i="15"/>
  <c r="D2758" i="15"/>
  <c r="C2758" i="15"/>
  <c r="D2757" i="15"/>
  <c r="C2757" i="15"/>
  <c r="D2756" i="15"/>
  <c r="C2756" i="15"/>
  <c r="D2755" i="15"/>
  <c r="C2755" i="15"/>
  <c r="D2754" i="15"/>
  <c r="C2754" i="15"/>
  <c r="D2753" i="15"/>
  <c r="C2753" i="15"/>
  <c r="D2752" i="15"/>
  <c r="C2752" i="15"/>
  <c r="D2751" i="15"/>
  <c r="C2751" i="15"/>
  <c r="D2750" i="15"/>
  <c r="C2750" i="15"/>
  <c r="D2749" i="15"/>
  <c r="C2749" i="15"/>
  <c r="D2748" i="15"/>
  <c r="C2748" i="15"/>
  <c r="D2745" i="15"/>
  <c r="C2745" i="15"/>
  <c r="D2743" i="15"/>
  <c r="C2743" i="15"/>
  <c r="D2742" i="15"/>
  <c r="C2742" i="15"/>
  <c r="D2739" i="15"/>
  <c r="C2739" i="15"/>
  <c r="D2736" i="15"/>
  <c r="C2736" i="15"/>
  <c r="D2735" i="15"/>
  <c r="C2735" i="15"/>
  <c r="D2733" i="15"/>
  <c r="C2733" i="15"/>
  <c r="D2730" i="15"/>
  <c r="C2730" i="15"/>
  <c r="D2728" i="15"/>
  <c r="C2728" i="15"/>
  <c r="D2727" i="15"/>
  <c r="C2727" i="15"/>
  <c r="D2726" i="15"/>
  <c r="C2726" i="15"/>
  <c r="D2721" i="15"/>
  <c r="C2721" i="15"/>
  <c r="D2720" i="15"/>
  <c r="C2720" i="15"/>
  <c r="D2719" i="15"/>
  <c r="C2719" i="15"/>
  <c r="D2718" i="15"/>
  <c r="C2718" i="15"/>
  <c r="D2717" i="15"/>
  <c r="C2717" i="15"/>
  <c r="D2716" i="15"/>
  <c r="C2716" i="15"/>
  <c r="D2715" i="15"/>
  <c r="C2715" i="15"/>
  <c r="D2714" i="15"/>
  <c r="C2714" i="15"/>
  <c r="D2713" i="15"/>
  <c r="C2713" i="15"/>
  <c r="D2712" i="15"/>
  <c r="C2712" i="15"/>
  <c r="D2711" i="15"/>
  <c r="C2711" i="15"/>
  <c r="D2710" i="15"/>
  <c r="C2710" i="15"/>
  <c r="D2709" i="15"/>
  <c r="C2709" i="15"/>
  <c r="D2708" i="15"/>
  <c r="C2708" i="15"/>
  <c r="D2707" i="15"/>
  <c r="C2707" i="15"/>
  <c r="D2706" i="15"/>
  <c r="C2706" i="15"/>
  <c r="D2705" i="15"/>
  <c r="C2705" i="15"/>
  <c r="D2704" i="15"/>
  <c r="C2704" i="15"/>
  <c r="D2703" i="15"/>
  <c r="C2703" i="15"/>
  <c r="D2702" i="15"/>
  <c r="C2702" i="15"/>
  <c r="D2701" i="15"/>
  <c r="C2701" i="15"/>
  <c r="D2700" i="15"/>
  <c r="C2700" i="15"/>
  <c r="D2699" i="15"/>
  <c r="C2699" i="15"/>
  <c r="D2698" i="15"/>
  <c r="C2698" i="15"/>
  <c r="D2697" i="15"/>
  <c r="C2697" i="15"/>
  <c r="D2696" i="15"/>
  <c r="C2696" i="15"/>
  <c r="D2695" i="15"/>
  <c r="C2695" i="15"/>
  <c r="D2693" i="15"/>
  <c r="C2693" i="15"/>
  <c r="D2692" i="15"/>
  <c r="C2692" i="15"/>
  <c r="D2691" i="15"/>
  <c r="C2691" i="15"/>
  <c r="D2689" i="15"/>
  <c r="C2689" i="15"/>
  <c r="D2687" i="15"/>
  <c r="C2687" i="15"/>
  <c r="D2686" i="15"/>
  <c r="C2686" i="15"/>
  <c r="D2685" i="15"/>
  <c r="C2685" i="15"/>
  <c r="D2683" i="15"/>
  <c r="C2683" i="15"/>
  <c r="D2682" i="15"/>
  <c r="C2682" i="15"/>
  <c r="D2681" i="15"/>
  <c r="C2681" i="15"/>
  <c r="D2680" i="15"/>
  <c r="C2680" i="15"/>
  <c r="D2679" i="15"/>
  <c r="C2679" i="15"/>
  <c r="D2678" i="15"/>
  <c r="C2678" i="15"/>
  <c r="D2677" i="15"/>
  <c r="C2677" i="15"/>
  <c r="D2676" i="15"/>
  <c r="C2676" i="15"/>
  <c r="D2675" i="15"/>
  <c r="C2675" i="15"/>
  <c r="D2674" i="15"/>
  <c r="C2674" i="15"/>
  <c r="D2673" i="15"/>
  <c r="C2673" i="15"/>
  <c r="D2671" i="15"/>
  <c r="C2671" i="15"/>
  <c r="D2669" i="15"/>
  <c r="C2669" i="15"/>
  <c r="D2666" i="15"/>
  <c r="C2666" i="15"/>
  <c r="D2665" i="15"/>
  <c r="C2665" i="15"/>
  <c r="D2663" i="15"/>
  <c r="C2663" i="15"/>
  <c r="D2662" i="15"/>
  <c r="C2662" i="15"/>
  <c r="D2661" i="15"/>
  <c r="C2661" i="15"/>
  <c r="D2660" i="15"/>
  <c r="C2660" i="15"/>
  <c r="D2659" i="15"/>
  <c r="C2659" i="15"/>
  <c r="D2658" i="15"/>
  <c r="C2658" i="15"/>
  <c r="D2657" i="15"/>
  <c r="C2657" i="15"/>
  <c r="D2656" i="15"/>
  <c r="C2656" i="15"/>
  <c r="D2655" i="15"/>
  <c r="C2655" i="15"/>
  <c r="D2654" i="15"/>
  <c r="C2654" i="15"/>
  <c r="D2653" i="15"/>
  <c r="C2653" i="15"/>
  <c r="D2652" i="15"/>
  <c r="C2652" i="15"/>
  <c r="D2650" i="15"/>
  <c r="C2650" i="15"/>
  <c r="D2649" i="15"/>
  <c r="C2649" i="15"/>
  <c r="D2648" i="15"/>
  <c r="C2648" i="15"/>
  <c r="D2647" i="15"/>
  <c r="C2647" i="15"/>
  <c r="D2646" i="15"/>
  <c r="C2646" i="15"/>
  <c r="D2645" i="15"/>
  <c r="C2645" i="15"/>
  <c r="D2644" i="15"/>
  <c r="C2644" i="15"/>
  <c r="D2642" i="15"/>
  <c r="C2642" i="15"/>
  <c r="D2641" i="15"/>
  <c r="C2641" i="15"/>
  <c r="D2639" i="15"/>
  <c r="C2639" i="15"/>
  <c r="D2638" i="15"/>
  <c r="C2638" i="15"/>
  <c r="D2637" i="15"/>
  <c r="C2637" i="15"/>
  <c r="D2636" i="15"/>
  <c r="C2636" i="15"/>
  <c r="D2635" i="15"/>
  <c r="C2635" i="15"/>
  <c r="D2634" i="15"/>
  <c r="C2634" i="15"/>
  <c r="D2633" i="15"/>
  <c r="C2633" i="15"/>
  <c r="D2632" i="15"/>
  <c r="C2632" i="15"/>
  <c r="D2631" i="15"/>
  <c r="C2631" i="15"/>
  <c r="D2630" i="15"/>
  <c r="C2630" i="15"/>
  <c r="D2629" i="15"/>
  <c r="C2629" i="15"/>
  <c r="D2627" i="15"/>
  <c r="C2627" i="15"/>
  <c r="D2626" i="15"/>
  <c r="C2626" i="15"/>
  <c r="D2625" i="15"/>
  <c r="C2625" i="15"/>
  <c r="D2624" i="15"/>
  <c r="C2624" i="15"/>
  <c r="D2623" i="15"/>
  <c r="C2623" i="15"/>
  <c r="D2622" i="15"/>
  <c r="C2622" i="15"/>
  <c r="D2621" i="15"/>
  <c r="C2621" i="15"/>
  <c r="D2620" i="15"/>
  <c r="C2620" i="15"/>
  <c r="D2619" i="15"/>
  <c r="C2619" i="15"/>
  <c r="D2618" i="15"/>
  <c r="C2618" i="15"/>
  <c r="D2617" i="15"/>
  <c r="C2617" i="15"/>
  <c r="D2616" i="15"/>
  <c r="C2616" i="15"/>
  <c r="D2615" i="15"/>
  <c r="C2615" i="15"/>
  <c r="D2614" i="15"/>
  <c r="C2614" i="15"/>
  <c r="D2612" i="15"/>
  <c r="C2612" i="15"/>
  <c r="D2610" i="15"/>
  <c r="C2610" i="15"/>
  <c r="D2609" i="15"/>
  <c r="C2609" i="15"/>
  <c r="D2608" i="15"/>
  <c r="C2608" i="15"/>
  <c r="D2607" i="15"/>
  <c r="C2607" i="15"/>
  <c r="D2606" i="15"/>
  <c r="C2606" i="15"/>
  <c r="D2605" i="15"/>
  <c r="C2605" i="15"/>
  <c r="D2604" i="15"/>
  <c r="C2604" i="15"/>
  <c r="D2603" i="15"/>
  <c r="C2603" i="15"/>
  <c r="D2602" i="15"/>
  <c r="C2602" i="15"/>
  <c r="D2601" i="15"/>
  <c r="C2601" i="15"/>
  <c r="D2600" i="15"/>
  <c r="C2600" i="15"/>
  <c r="D2599" i="15"/>
  <c r="C2599" i="15"/>
  <c r="D2598" i="15"/>
  <c r="C2598" i="15"/>
  <c r="D2597" i="15"/>
  <c r="C2597" i="15"/>
  <c r="D2596" i="15"/>
  <c r="C2596" i="15"/>
  <c r="D2595" i="15"/>
  <c r="C2595" i="15"/>
  <c r="D2594" i="15"/>
  <c r="C2594" i="15"/>
  <c r="D2593" i="15"/>
  <c r="C2593" i="15"/>
  <c r="D2592" i="15"/>
  <c r="C2592" i="15"/>
  <c r="D2590" i="15"/>
  <c r="C2590" i="15"/>
  <c r="D2589" i="15"/>
  <c r="C2589" i="15"/>
  <c r="D2588" i="15"/>
  <c r="C2588" i="15"/>
  <c r="D2587" i="15"/>
  <c r="C2587" i="15"/>
  <c r="D2586" i="15"/>
  <c r="C2586" i="15"/>
  <c r="D2585" i="15"/>
  <c r="C2585" i="15"/>
  <c r="D2584" i="15"/>
  <c r="C2584" i="15"/>
  <c r="D2583" i="15"/>
  <c r="C2583" i="15"/>
  <c r="D2582" i="15"/>
  <c r="C2582" i="15"/>
  <c r="D2580" i="15"/>
  <c r="C2580" i="15"/>
  <c r="D2578" i="15"/>
  <c r="C2578" i="15"/>
  <c r="D2575" i="15"/>
  <c r="C2575" i="15"/>
  <c r="D2574" i="15"/>
  <c r="C2574" i="15"/>
  <c r="D2572" i="15"/>
  <c r="C2572" i="15"/>
  <c r="D2571" i="15"/>
  <c r="C2571" i="15"/>
  <c r="D2570" i="15"/>
  <c r="C2570" i="15"/>
  <c r="D2569" i="15"/>
  <c r="C2569" i="15"/>
  <c r="D2567" i="15"/>
  <c r="C2567" i="15"/>
  <c r="D2564" i="15"/>
  <c r="C2564" i="15"/>
  <c r="D2563" i="15"/>
  <c r="C2563" i="15"/>
  <c r="D2562" i="15"/>
  <c r="C2562" i="15"/>
  <c r="D2561" i="15"/>
  <c r="C2561" i="15"/>
  <c r="D2560" i="15"/>
  <c r="C2560" i="15"/>
  <c r="D2559" i="15"/>
  <c r="C2559" i="15"/>
  <c r="D2558" i="15"/>
  <c r="C2558" i="15"/>
  <c r="D2557" i="15"/>
  <c r="C2557" i="15"/>
  <c r="D2556" i="15"/>
  <c r="C2556" i="15"/>
  <c r="D2555" i="15"/>
  <c r="C2555" i="15"/>
  <c r="D2554" i="15"/>
  <c r="C2554" i="15"/>
  <c r="D2553" i="15"/>
  <c r="C2553" i="15"/>
  <c r="D2552" i="15"/>
  <c r="C2552" i="15"/>
  <c r="D2551" i="15"/>
  <c r="C2551" i="15"/>
  <c r="D2550" i="15"/>
  <c r="C2550" i="15"/>
  <c r="D2549" i="15"/>
  <c r="C2549" i="15"/>
  <c r="D2548" i="15"/>
  <c r="C2548" i="15"/>
  <c r="D2547" i="15"/>
  <c r="C2547" i="15"/>
  <c r="D2546" i="15"/>
  <c r="C2546" i="15"/>
  <c r="D2545" i="15"/>
  <c r="C2545" i="15"/>
  <c r="D2544" i="15"/>
  <c r="C2544" i="15"/>
  <c r="D2543" i="15"/>
  <c r="C2543" i="15"/>
  <c r="D2542" i="15"/>
  <c r="C2542" i="15"/>
  <c r="D2540" i="15"/>
  <c r="C2540" i="15"/>
  <c r="D2539" i="15"/>
  <c r="C2539" i="15"/>
  <c r="D2538" i="15"/>
  <c r="C2538" i="15"/>
  <c r="D2536" i="15"/>
  <c r="C2536" i="15"/>
  <c r="D2535" i="15"/>
  <c r="C2535" i="15"/>
  <c r="D2534" i="15"/>
  <c r="C2534" i="15"/>
  <c r="D2533" i="15"/>
  <c r="C2533" i="15"/>
  <c r="D2532" i="15"/>
  <c r="C2532" i="15"/>
  <c r="D2531" i="15"/>
  <c r="C2531" i="15"/>
  <c r="D2530" i="15"/>
  <c r="C2530" i="15"/>
  <c r="D2529" i="15"/>
  <c r="C2529" i="15"/>
  <c r="D2528" i="15"/>
  <c r="C2528" i="15"/>
  <c r="D2527" i="15"/>
  <c r="C2527" i="15"/>
  <c r="D2525" i="15"/>
  <c r="C2525" i="15"/>
  <c r="D2524" i="15"/>
  <c r="C2524" i="15"/>
  <c r="D2523" i="15"/>
  <c r="C2523" i="15"/>
  <c r="D2522" i="15"/>
  <c r="C2522" i="15"/>
  <c r="D2519" i="15"/>
  <c r="C2519" i="15"/>
  <c r="D2518" i="15"/>
  <c r="C2518" i="15"/>
  <c r="D2517" i="15"/>
  <c r="C2517" i="15"/>
  <c r="D2516" i="15"/>
  <c r="C2516" i="15"/>
  <c r="D2513" i="15"/>
  <c r="C2513" i="15"/>
  <c r="D2512" i="15"/>
  <c r="C2512" i="15"/>
  <c r="D2511" i="15"/>
  <c r="C2511" i="15"/>
  <c r="D2510" i="15"/>
  <c r="C2510" i="15"/>
  <c r="D2507" i="15"/>
  <c r="C2507" i="15"/>
  <c r="D2506" i="15"/>
  <c r="C2506" i="15"/>
  <c r="D2505" i="15"/>
  <c r="C2505" i="15"/>
  <c r="D2504" i="15"/>
  <c r="C2504" i="15"/>
  <c r="D2503" i="15"/>
  <c r="C2503" i="15"/>
  <c r="D2502" i="15"/>
  <c r="C2502" i="15"/>
  <c r="D2501" i="15"/>
  <c r="C2501" i="15"/>
  <c r="D2500" i="15"/>
  <c r="C2500" i="15"/>
  <c r="D2499" i="15"/>
  <c r="C2499" i="15"/>
  <c r="D2498" i="15"/>
  <c r="C2498" i="15"/>
  <c r="D2497" i="15"/>
  <c r="C2497" i="15"/>
  <c r="D2496" i="15"/>
  <c r="C2496" i="15"/>
  <c r="D2495" i="15"/>
  <c r="C2495" i="15"/>
  <c r="D2494" i="15"/>
  <c r="C2494" i="15"/>
  <c r="D2493" i="15"/>
  <c r="C2493" i="15"/>
  <c r="D2492" i="15"/>
  <c r="C2492" i="15"/>
  <c r="D2491" i="15"/>
  <c r="C2491" i="15"/>
  <c r="D2490" i="15"/>
  <c r="C2490" i="15"/>
  <c r="D2489" i="15"/>
  <c r="C2489" i="15"/>
  <c r="D2488" i="15"/>
  <c r="C2488" i="15"/>
  <c r="D2487" i="15"/>
  <c r="C2487" i="15"/>
  <c r="D2486" i="15"/>
  <c r="C2486" i="15"/>
  <c r="D2485" i="15"/>
  <c r="C2485" i="15"/>
  <c r="D2484" i="15"/>
  <c r="C2484" i="15"/>
  <c r="D2483" i="15"/>
  <c r="C2483" i="15"/>
  <c r="D2482" i="15"/>
  <c r="C2482" i="15"/>
  <c r="D2481" i="15"/>
  <c r="C2481" i="15"/>
  <c r="D2480" i="15"/>
  <c r="C2480" i="15"/>
  <c r="D2478" i="15"/>
  <c r="C2478" i="15"/>
  <c r="D2476" i="15"/>
  <c r="C2476" i="15"/>
  <c r="D2475" i="15"/>
  <c r="C2475" i="15"/>
  <c r="D2474" i="15"/>
  <c r="C2474" i="15"/>
  <c r="D2473" i="15"/>
  <c r="C2473" i="15"/>
  <c r="D2472" i="15"/>
  <c r="C2472" i="15"/>
  <c r="D2471" i="15"/>
  <c r="C2471" i="15"/>
  <c r="D2470" i="15"/>
  <c r="C2470" i="15"/>
  <c r="D2469" i="15"/>
  <c r="C2469" i="15"/>
  <c r="D2466" i="15"/>
  <c r="C2466" i="15"/>
  <c r="D2465" i="15"/>
  <c r="C2465" i="15"/>
  <c r="D2464" i="15"/>
  <c r="C2464" i="15"/>
  <c r="D2463" i="15"/>
  <c r="C2463" i="15"/>
  <c r="D2462" i="15"/>
  <c r="C2462" i="15"/>
  <c r="D2461" i="15"/>
  <c r="C2461" i="15"/>
  <c r="D2460" i="15"/>
  <c r="C2460" i="15"/>
  <c r="D2459" i="15"/>
  <c r="C2459" i="15"/>
  <c r="D2458" i="15"/>
  <c r="C2458" i="15"/>
  <c r="D2457" i="15"/>
  <c r="C2457" i="15"/>
  <c r="D2456" i="15"/>
  <c r="C2456" i="15"/>
  <c r="D2454" i="15"/>
  <c r="C2454" i="15"/>
  <c r="D2453" i="15"/>
  <c r="C2453" i="15"/>
  <c r="D2450" i="15"/>
  <c r="C2450" i="15"/>
  <c r="D2448" i="15"/>
  <c r="C2448" i="15"/>
  <c r="D2447" i="15"/>
  <c r="C2447" i="15"/>
  <c r="D2446" i="15"/>
  <c r="C2446" i="15"/>
  <c r="D2445" i="15"/>
  <c r="C2445" i="15"/>
  <c r="D2444" i="15"/>
  <c r="C2444" i="15"/>
  <c r="D2443" i="15"/>
  <c r="C2443" i="15"/>
  <c r="D2442" i="15"/>
  <c r="C2442" i="15"/>
  <c r="D2441" i="15"/>
  <c r="C2441" i="15"/>
  <c r="D2440" i="15"/>
  <c r="C2440" i="15"/>
  <c r="D2439" i="15"/>
  <c r="C2439" i="15"/>
  <c r="D2435" i="15"/>
  <c r="C2435" i="15"/>
  <c r="D2434" i="15"/>
  <c r="C2434" i="15"/>
  <c r="D2433" i="15"/>
  <c r="C2433" i="15"/>
  <c r="D2427" i="15"/>
  <c r="C2427" i="15"/>
  <c r="D2426" i="15"/>
  <c r="C2426" i="15"/>
  <c r="D2424" i="15"/>
  <c r="C2424" i="15"/>
  <c r="D2423" i="15"/>
  <c r="C2423" i="15"/>
  <c r="D2422" i="15"/>
  <c r="C2422" i="15"/>
  <c r="D2421" i="15"/>
  <c r="C2421" i="15"/>
  <c r="D2420" i="15"/>
  <c r="C2420" i="15"/>
  <c r="D2419" i="15"/>
  <c r="C2419" i="15"/>
  <c r="D2418" i="15"/>
  <c r="C2418" i="15"/>
  <c r="D2417" i="15"/>
  <c r="C2417" i="15"/>
  <c r="D2413" i="15"/>
  <c r="C2413" i="15"/>
  <c r="D2412" i="15"/>
  <c r="C2412" i="15"/>
  <c r="D2411" i="15"/>
  <c r="C2411" i="15"/>
  <c r="D2409" i="15"/>
  <c r="C2409" i="15"/>
  <c r="D2408" i="15"/>
  <c r="C2408" i="15"/>
  <c r="D2405" i="15"/>
  <c r="C2405" i="15"/>
  <c r="D2404" i="15"/>
  <c r="C2404" i="15"/>
  <c r="D2400" i="15"/>
  <c r="C2400" i="15"/>
  <c r="D2399" i="15"/>
  <c r="C2399" i="15"/>
  <c r="D2398" i="15"/>
  <c r="C2398" i="15"/>
  <c r="D2397" i="15"/>
  <c r="C2397" i="15"/>
  <c r="D2396" i="15"/>
  <c r="C2396" i="15"/>
  <c r="D2395" i="15"/>
  <c r="C2395" i="15"/>
  <c r="D2394" i="15"/>
  <c r="C2394" i="15"/>
  <c r="D2393" i="15"/>
  <c r="C2393" i="15"/>
  <c r="D2392" i="15"/>
  <c r="C2392" i="15"/>
  <c r="D2391" i="15"/>
  <c r="C2391" i="15"/>
  <c r="D2390" i="15"/>
  <c r="C2390" i="15"/>
  <c r="D2389" i="15"/>
  <c r="C2389" i="15"/>
  <c r="D2388" i="15"/>
  <c r="C2388" i="15"/>
  <c r="D2387" i="15"/>
  <c r="C2387" i="15"/>
  <c r="D2386" i="15"/>
  <c r="C2386" i="15"/>
  <c r="D2385" i="15"/>
  <c r="C2385" i="15"/>
  <c r="D2384" i="15"/>
  <c r="C2384" i="15"/>
  <c r="D2383" i="15"/>
  <c r="C2383" i="15"/>
  <c r="D2382" i="15"/>
  <c r="C2382" i="15"/>
  <c r="D2381" i="15"/>
  <c r="C2381" i="15"/>
  <c r="D2380" i="15"/>
  <c r="C2380" i="15"/>
  <c r="D2379" i="15"/>
  <c r="C2379" i="15"/>
  <c r="D2378" i="15"/>
  <c r="C2378" i="15"/>
  <c r="D2377" i="15"/>
  <c r="C2377" i="15"/>
  <c r="D2376" i="15"/>
  <c r="C2376" i="15"/>
  <c r="D2375" i="15"/>
  <c r="C2375" i="15"/>
  <c r="D2374" i="15"/>
  <c r="C2374" i="15"/>
  <c r="D2373" i="15"/>
  <c r="C2373" i="15"/>
  <c r="D2372" i="15"/>
  <c r="C2372" i="15"/>
  <c r="D2371" i="15"/>
  <c r="C2371" i="15"/>
  <c r="D2370" i="15"/>
  <c r="C2370" i="15"/>
  <c r="D2369" i="15"/>
  <c r="C2369" i="15"/>
  <c r="D2368" i="15"/>
  <c r="C2368" i="15"/>
  <c r="D2367" i="15"/>
  <c r="C2367" i="15"/>
  <c r="D2366" i="15"/>
  <c r="C2366" i="15"/>
  <c r="D2365" i="15"/>
  <c r="C2365" i="15"/>
  <c r="D2364" i="15"/>
  <c r="C2364" i="15"/>
  <c r="D2363" i="15"/>
  <c r="C2363" i="15"/>
  <c r="D2361" i="15"/>
  <c r="C2361" i="15"/>
  <c r="D2360" i="15"/>
  <c r="C2360" i="15"/>
  <c r="D2359" i="15"/>
  <c r="C2359" i="15"/>
  <c r="D2358" i="15"/>
  <c r="C2358" i="15"/>
  <c r="D2356" i="15"/>
  <c r="C2356" i="15"/>
  <c r="D2354" i="15"/>
  <c r="C2354" i="15"/>
  <c r="D2353" i="15"/>
  <c r="C2353" i="15"/>
  <c r="D2350" i="15"/>
  <c r="C2350" i="15"/>
  <c r="D2349" i="15"/>
  <c r="C2349" i="15"/>
  <c r="D2348" i="15"/>
  <c r="C2348" i="15"/>
  <c r="D2347" i="15"/>
  <c r="C2347" i="15"/>
  <c r="D2346" i="15"/>
  <c r="C2346" i="15"/>
  <c r="D2345" i="15"/>
  <c r="C2345" i="15"/>
  <c r="D2344" i="15"/>
  <c r="C2344" i="15"/>
  <c r="D2343" i="15"/>
  <c r="C2343" i="15"/>
  <c r="D2342" i="15"/>
  <c r="C2342" i="15"/>
  <c r="D2341" i="15"/>
  <c r="C2341" i="15"/>
  <c r="D2340" i="15"/>
  <c r="C2340" i="15"/>
  <c r="D2338" i="15"/>
  <c r="C2338" i="15"/>
  <c r="D2337" i="15"/>
  <c r="C2337" i="15"/>
  <c r="D2336" i="15"/>
  <c r="C2336" i="15"/>
  <c r="D2331" i="15"/>
  <c r="C2331" i="15"/>
  <c r="D2326" i="15"/>
  <c r="C2326" i="15"/>
  <c r="D2325" i="15"/>
  <c r="C2325" i="15"/>
  <c r="D2324" i="15"/>
  <c r="C2324" i="15"/>
  <c r="D2323" i="15"/>
  <c r="C2323" i="15"/>
  <c r="D2322" i="15"/>
  <c r="C2322" i="15"/>
  <c r="D2321" i="15"/>
  <c r="C2321" i="15"/>
  <c r="D2320" i="15"/>
  <c r="C2320" i="15"/>
  <c r="D2317" i="15"/>
  <c r="C2317" i="15"/>
  <c r="D2316" i="15"/>
  <c r="C2316" i="15"/>
  <c r="D2315" i="15"/>
  <c r="C2315" i="15"/>
  <c r="D2314" i="15"/>
  <c r="C2314" i="15"/>
  <c r="D2313" i="15"/>
  <c r="C2313" i="15"/>
  <c r="D2311" i="15"/>
  <c r="C2311" i="15"/>
  <c r="D2310" i="15"/>
  <c r="C2310" i="15"/>
  <c r="D2309" i="15"/>
  <c r="C2309" i="15"/>
  <c r="D2308" i="15"/>
  <c r="C2308" i="15"/>
  <c r="D2307" i="15"/>
  <c r="C2307" i="15"/>
  <c r="D2306" i="15"/>
  <c r="C2306" i="15"/>
  <c r="D2304" i="15"/>
  <c r="C2304" i="15"/>
  <c r="D2303" i="15"/>
  <c r="C2303" i="15"/>
  <c r="D2302" i="15"/>
  <c r="C2302" i="15"/>
  <c r="D2301" i="15"/>
  <c r="C2301" i="15"/>
  <c r="D2300" i="15"/>
  <c r="C2300" i="15"/>
  <c r="D2299" i="15"/>
  <c r="C2299" i="15"/>
  <c r="D2298" i="15"/>
  <c r="C2298" i="15"/>
  <c r="D2297" i="15"/>
  <c r="C2297" i="15"/>
  <c r="D2296" i="15"/>
  <c r="C2296" i="15"/>
  <c r="D2295" i="15"/>
  <c r="C2295" i="15"/>
  <c r="D2294" i="15"/>
  <c r="C2294" i="15"/>
  <c r="D2293" i="15"/>
  <c r="C2293" i="15"/>
  <c r="D2292" i="15"/>
  <c r="C2292" i="15"/>
  <c r="D2291" i="15"/>
  <c r="C2291" i="15"/>
  <c r="D2290" i="15"/>
  <c r="C2290" i="15"/>
  <c r="D2289" i="15"/>
  <c r="C2289" i="15"/>
  <c r="D2288" i="15"/>
  <c r="C2288" i="15"/>
  <c r="D2287" i="15"/>
  <c r="C2287" i="15"/>
  <c r="D2286" i="15"/>
  <c r="C2286" i="15"/>
  <c r="D2284" i="15"/>
  <c r="C2284" i="15"/>
  <c r="D2283" i="15"/>
  <c r="C2283" i="15"/>
  <c r="D2282" i="15"/>
  <c r="C2282" i="15"/>
  <c r="D2281" i="15"/>
  <c r="C2281" i="15"/>
  <c r="D2279" i="15"/>
  <c r="C2279" i="15"/>
  <c r="D2278" i="15"/>
  <c r="C2278" i="15"/>
  <c r="D2277" i="15"/>
  <c r="C2277" i="15"/>
  <c r="D2276" i="15"/>
  <c r="C2276" i="15"/>
  <c r="D2275" i="15"/>
  <c r="C2275" i="15"/>
  <c r="D2274" i="15"/>
  <c r="C2274" i="15"/>
  <c r="D2273" i="15"/>
  <c r="C2273" i="15"/>
  <c r="D2272" i="15"/>
  <c r="C2272" i="15"/>
  <c r="D2269" i="15"/>
  <c r="C2269" i="15"/>
  <c r="D2264" i="15"/>
  <c r="C2264" i="15"/>
  <c r="D2263" i="15"/>
  <c r="C2263" i="15"/>
  <c r="D2261" i="15"/>
  <c r="C2261" i="15"/>
  <c r="D2260" i="15"/>
  <c r="C2260" i="15"/>
  <c r="D2259" i="15"/>
  <c r="C2259" i="15"/>
  <c r="D2258" i="15"/>
  <c r="C2258" i="15"/>
  <c r="D2257" i="15"/>
  <c r="C2257" i="15"/>
  <c r="D2256" i="15"/>
  <c r="C2256" i="15"/>
  <c r="D2255" i="15"/>
  <c r="C2255" i="15"/>
  <c r="D2254" i="15"/>
  <c r="C2254" i="15"/>
  <c r="D2253" i="15"/>
  <c r="C2253" i="15"/>
  <c r="D2252" i="15"/>
  <c r="C2252" i="15"/>
  <c r="D2250" i="15"/>
  <c r="C2250" i="15"/>
  <c r="D2248" i="15"/>
  <c r="C2248" i="15"/>
  <c r="D2247" i="15"/>
  <c r="C2247" i="15"/>
  <c r="D2246" i="15"/>
  <c r="C2246" i="15"/>
  <c r="D2245" i="15"/>
  <c r="C2245" i="15"/>
  <c r="D2244" i="15"/>
  <c r="C2244" i="15"/>
  <c r="D2243" i="15"/>
  <c r="C2243" i="15"/>
  <c r="D2242" i="15"/>
  <c r="C2242" i="15"/>
  <c r="D2241" i="15"/>
  <c r="C2241" i="15"/>
  <c r="D2240" i="15"/>
  <c r="C2240" i="15"/>
  <c r="D2239" i="15"/>
  <c r="C2239" i="15"/>
  <c r="D2238" i="15"/>
  <c r="C2238" i="15"/>
  <c r="D2237" i="15"/>
  <c r="C2237" i="15"/>
  <c r="D2236" i="15"/>
  <c r="C2236" i="15"/>
  <c r="D2235" i="15"/>
  <c r="C2235" i="15"/>
  <c r="D2234" i="15"/>
  <c r="C2234" i="15"/>
  <c r="D2233" i="15"/>
  <c r="C2233" i="15"/>
  <c r="D2232" i="15"/>
  <c r="C2232" i="15"/>
  <c r="D2231" i="15"/>
  <c r="C2231" i="15"/>
  <c r="D2230" i="15"/>
  <c r="C2230" i="15"/>
  <c r="D2229" i="15"/>
  <c r="C2229" i="15"/>
  <c r="D2226" i="15"/>
  <c r="C2226" i="15"/>
  <c r="D2225" i="15"/>
  <c r="C2225" i="15"/>
  <c r="D2220" i="15"/>
  <c r="C2220" i="15"/>
  <c r="D2210" i="15"/>
  <c r="C2210" i="15"/>
  <c r="D2208" i="15"/>
  <c r="C2208" i="15"/>
  <c r="D2207" i="15"/>
  <c r="C2207" i="15"/>
  <c r="D2205" i="15"/>
  <c r="C2205" i="15"/>
  <c r="D2204" i="15"/>
  <c r="C2204" i="15"/>
  <c r="D2199" i="15"/>
  <c r="C2199" i="15"/>
  <c r="D2197" i="15"/>
  <c r="C2197" i="15"/>
  <c r="D2195" i="15"/>
  <c r="C2195" i="15"/>
  <c r="D2194" i="15"/>
  <c r="C2194" i="15"/>
  <c r="D2193" i="15"/>
  <c r="C2193" i="15"/>
  <c r="D2192" i="15"/>
  <c r="C2192" i="15"/>
  <c r="D2190" i="15"/>
  <c r="C2190" i="15"/>
  <c r="D2189" i="15"/>
  <c r="C2189" i="15"/>
  <c r="D2188" i="15"/>
  <c r="C2188" i="15"/>
  <c r="D2187" i="15"/>
  <c r="C2187" i="15"/>
  <c r="D2186" i="15"/>
  <c r="C2186" i="15"/>
  <c r="D2183" i="15"/>
  <c r="C2183" i="15"/>
  <c r="D2182" i="15"/>
  <c r="C2182" i="15"/>
  <c r="D2181" i="15"/>
  <c r="C2181" i="15"/>
  <c r="D2180" i="15"/>
  <c r="C2180" i="15"/>
  <c r="D2179" i="15"/>
  <c r="C2179" i="15"/>
  <c r="D2178" i="15"/>
  <c r="C2178" i="15"/>
  <c r="D2177" i="15"/>
  <c r="C2177" i="15"/>
  <c r="D2176" i="15"/>
  <c r="C2176" i="15"/>
  <c r="D2175" i="15"/>
  <c r="C2175" i="15"/>
  <c r="D2174" i="15"/>
  <c r="C2174" i="15"/>
  <c r="D2173" i="15"/>
  <c r="C2173" i="15"/>
  <c r="D2172" i="15"/>
  <c r="C2172" i="15"/>
  <c r="D2171" i="15"/>
  <c r="C2171" i="15"/>
  <c r="D2170" i="15"/>
  <c r="C2170" i="15"/>
  <c r="D2169" i="15"/>
  <c r="C2169" i="15"/>
  <c r="D2168" i="15"/>
  <c r="C2168" i="15"/>
  <c r="D2167" i="15"/>
  <c r="C2167" i="15"/>
  <c r="D2165" i="15"/>
  <c r="C2165" i="15"/>
  <c r="D2163" i="15"/>
  <c r="C2163" i="15"/>
  <c r="D2162" i="15"/>
  <c r="C2162" i="15"/>
  <c r="D2161" i="15"/>
  <c r="C2161" i="15"/>
  <c r="D2160" i="15"/>
  <c r="C2160" i="15"/>
  <c r="D2159" i="15"/>
  <c r="C2159" i="15"/>
  <c r="D2158" i="15"/>
  <c r="C2158" i="15"/>
  <c r="D2157" i="15"/>
  <c r="C2157" i="15"/>
  <c r="D2156" i="15"/>
  <c r="C2156" i="15"/>
  <c r="D2155" i="15"/>
  <c r="C2155" i="15"/>
  <c r="D2154" i="15"/>
  <c r="C2154" i="15"/>
  <c r="D2153" i="15"/>
  <c r="C2153" i="15"/>
  <c r="D2152" i="15"/>
  <c r="C2152" i="15"/>
  <c r="D2151" i="15"/>
  <c r="C2151" i="15"/>
  <c r="D2150" i="15"/>
  <c r="C2150" i="15"/>
  <c r="D2149" i="15"/>
  <c r="C2149" i="15"/>
  <c r="D2148" i="15"/>
  <c r="C2148" i="15"/>
  <c r="D2147" i="15"/>
  <c r="C2147" i="15"/>
  <c r="D2146" i="15"/>
  <c r="C2146" i="15"/>
  <c r="D2145" i="15"/>
  <c r="C2145" i="15"/>
  <c r="D2144" i="15"/>
  <c r="C2144" i="15"/>
  <c r="D2143" i="15"/>
  <c r="C2143" i="15"/>
  <c r="D2142" i="15"/>
  <c r="C2142" i="15"/>
  <c r="D2141" i="15"/>
  <c r="C2141" i="15"/>
  <c r="D2140" i="15"/>
  <c r="C2140" i="15"/>
  <c r="D2139" i="15"/>
  <c r="C2139" i="15"/>
  <c r="D2138" i="15"/>
  <c r="C2138" i="15"/>
  <c r="D2137" i="15"/>
  <c r="C2137" i="15"/>
  <c r="D2136" i="15"/>
  <c r="C2136" i="15"/>
  <c r="D2135" i="15"/>
  <c r="C2135" i="15"/>
  <c r="D2134" i="15"/>
  <c r="C2134" i="15"/>
  <c r="D2132" i="15"/>
  <c r="C2132" i="15"/>
  <c r="D2131" i="15"/>
  <c r="C2131" i="15"/>
  <c r="D2130" i="15"/>
  <c r="C2130" i="15"/>
  <c r="D2129" i="15"/>
  <c r="C2129" i="15"/>
  <c r="D2128" i="15"/>
  <c r="C2128" i="15"/>
  <c r="D2127" i="15"/>
  <c r="C2127" i="15"/>
  <c r="D2126" i="15"/>
  <c r="C2126" i="15"/>
  <c r="D2125" i="15"/>
  <c r="C2125" i="15"/>
  <c r="D2124" i="15"/>
  <c r="C2124" i="15"/>
  <c r="D2123" i="15"/>
  <c r="C2123" i="15"/>
  <c r="D2122" i="15"/>
  <c r="C2122" i="15"/>
  <c r="D2121" i="15"/>
  <c r="C2121" i="15"/>
  <c r="D2120" i="15"/>
  <c r="C2120" i="15"/>
  <c r="D2119" i="15"/>
  <c r="C2119" i="15"/>
  <c r="D2118" i="15"/>
  <c r="C2118" i="15"/>
  <c r="D2117" i="15"/>
  <c r="C2117" i="15"/>
  <c r="D2116" i="15"/>
  <c r="C2116" i="15"/>
  <c r="D2115" i="15"/>
  <c r="C2115" i="15"/>
  <c r="D2114" i="15"/>
  <c r="C2114" i="15"/>
  <c r="D2113" i="15"/>
  <c r="C2113" i="15"/>
  <c r="D2112" i="15"/>
  <c r="C2112" i="15"/>
  <c r="D2111" i="15"/>
  <c r="C2111" i="15"/>
  <c r="D2109" i="15"/>
  <c r="C2109" i="15"/>
  <c r="D2108" i="15"/>
  <c r="C2108" i="15"/>
  <c r="D2107" i="15"/>
  <c r="C2107" i="15"/>
  <c r="D2106" i="15"/>
  <c r="C2106" i="15"/>
  <c r="D2104" i="15"/>
  <c r="C2104" i="15"/>
  <c r="D2103" i="15"/>
  <c r="C2103" i="15"/>
  <c r="D2102" i="15"/>
  <c r="C2102" i="15"/>
  <c r="D2101" i="15"/>
  <c r="C2101" i="15"/>
  <c r="D2100" i="15"/>
  <c r="C2100" i="15"/>
  <c r="D2099" i="15"/>
  <c r="C2099" i="15"/>
  <c r="D2098" i="15"/>
  <c r="C2098" i="15"/>
  <c r="D2097" i="15"/>
  <c r="C2097" i="15"/>
  <c r="D2096" i="15"/>
  <c r="C2096" i="15"/>
  <c r="D2095" i="15"/>
  <c r="C2095" i="15"/>
  <c r="D2094" i="15"/>
  <c r="C2094" i="15"/>
  <c r="D2093" i="15"/>
  <c r="C2093" i="15"/>
  <c r="D2092" i="15"/>
  <c r="C2092" i="15"/>
  <c r="D2091" i="15"/>
  <c r="C2091" i="15"/>
  <c r="D2090" i="15"/>
  <c r="C2090" i="15"/>
  <c r="D2089" i="15"/>
  <c r="C2089" i="15"/>
  <c r="D2088" i="15"/>
  <c r="C2088" i="15"/>
  <c r="D2087" i="15"/>
  <c r="C2087" i="15"/>
  <c r="D2086" i="15"/>
  <c r="C2086" i="15"/>
  <c r="D2085" i="15"/>
  <c r="C2085" i="15"/>
  <c r="D2084" i="15"/>
  <c r="C2084" i="15"/>
  <c r="D2083" i="15"/>
  <c r="C2083" i="15"/>
  <c r="D2082" i="15"/>
  <c r="C2082" i="15"/>
  <c r="D2081" i="15"/>
  <c r="C2081" i="15"/>
  <c r="D2080" i="15"/>
  <c r="C2080" i="15"/>
  <c r="D2079" i="15"/>
  <c r="C2079" i="15"/>
  <c r="D2078" i="15"/>
  <c r="C2078" i="15"/>
  <c r="D2077" i="15"/>
  <c r="C2077" i="15"/>
  <c r="D2076" i="15"/>
  <c r="C2076" i="15"/>
  <c r="D2075" i="15"/>
  <c r="C2075" i="15"/>
  <c r="D2074" i="15"/>
  <c r="C2074" i="15"/>
  <c r="D2073" i="15"/>
  <c r="C2073" i="15"/>
  <c r="D2072" i="15"/>
  <c r="C2072" i="15"/>
  <c r="D2071" i="15"/>
  <c r="C2071" i="15"/>
  <c r="D2070" i="15"/>
  <c r="C2070" i="15"/>
  <c r="D2069" i="15"/>
  <c r="C2069" i="15"/>
  <c r="D2068" i="15"/>
  <c r="C2068" i="15"/>
  <c r="D2067" i="15"/>
  <c r="C2067" i="15"/>
  <c r="D2066" i="15"/>
  <c r="C2066" i="15"/>
  <c r="D2065" i="15"/>
  <c r="C2065" i="15"/>
  <c r="D2064" i="15"/>
  <c r="C2064" i="15"/>
  <c r="D2063" i="15"/>
  <c r="C2063" i="15"/>
  <c r="D2062" i="15"/>
  <c r="C2062" i="15"/>
  <c r="D2061" i="15"/>
  <c r="C2061" i="15"/>
  <c r="D2060" i="15"/>
  <c r="C2060" i="15"/>
  <c r="D2059" i="15"/>
  <c r="C2059" i="15"/>
  <c r="D2058" i="15"/>
  <c r="C2058" i="15"/>
  <c r="D2057" i="15"/>
  <c r="C2057" i="15"/>
  <c r="D2056" i="15"/>
  <c r="C2056" i="15"/>
  <c r="D2055" i="15"/>
  <c r="C2055" i="15"/>
  <c r="D2054" i="15"/>
  <c r="C2054" i="15"/>
  <c r="D2053" i="15"/>
  <c r="C2053" i="15"/>
  <c r="D2052" i="15"/>
  <c r="C2052" i="15"/>
  <c r="D2051" i="15"/>
  <c r="C2051" i="15"/>
  <c r="D2050" i="15"/>
  <c r="C2050" i="15"/>
  <c r="D2049" i="15"/>
  <c r="C2049" i="15"/>
  <c r="D2048" i="15"/>
  <c r="C2048" i="15"/>
  <c r="D2047" i="15"/>
  <c r="C2047" i="15"/>
  <c r="D2046" i="15"/>
  <c r="C2046" i="15"/>
  <c r="D2045" i="15"/>
  <c r="C2045" i="15"/>
  <c r="D2044" i="15"/>
  <c r="C2044" i="15"/>
  <c r="D2043" i="15"/>
  <c r="C2043" i="15"/>
  <c r="D2042" i="15"/>
  <c r="C2042" i="15"/>
  <c r="D2041" i="15"/>
  <c r="C2041" i="15"/>
  <c r="D2040" i="15"/>
  <c r="C2040" i="15"/>
  <c r="D2039" i="15"/>
  <c r="C2039" i="15"/>
  <c r="D2038" i="15"/>
  <c r="C2038" i="15"/>
  <c r="D2037" i="15"/>
  <c r="C2037" i="15"/>
  <c r="D2036" i="15"/>
  <c r="C2036" i="15"/>
  <c r="D2035" i="15"/>
  <c r="C2035" i="15"/>
  <c r="D2034" i="15"/>
  <c r="C2034" i="15"/>
  <c r="D2033" i="15"/>
  <c r="C2033" i="15"/>
  <c r="D2032" i="15"/>
  <c r="C2032" i="15"/>
  <c r="D2031" i="15"/>
  <c r="C2031" i="15"/>
  <c r="D2030" i="15"/>
  <c r="C2030" i="15"/>
  <c r="D2029" i="15"/>
  <c r="C2029" i="15"/>
  <c r="D2028" i="15"/>
  <c r="C2028" i="15"/>
  <c r="D2027" i="15"/>
  <c r="C2027" i="15"/>
  <c r="D2026" i="15"/>
  <c r="C2026" i="15"/>
  <c r="D2025" i="15"/>
  <c r="C2025" i="15"/>
  <c r="D2024" i="15"/>
  <c r="C2024" i="15"/>
  <c r="D2023" i="15"/>
  <c r="C2023" i="15"/>
  <c r="D2022" i="15"/>
  <c r="C2022" i="15"/>
  <c r="D2021" i="15"/>
  <c r="C2021" i="15"/>
  <c r="D2020" i="15"/>
  <c r="C2020" i="15"/>
  <c r="D2019" i="15"/>
  <c r="C2019" i="15"/>
  <c r="D2018" i="15"/>
  <c r="C2018" i="15"/>
  <c r="D2017" i="15"/>
  <c r="C2017" i="15"/>
  <c r="D2016" i="15"/>
  <c r="C2016" i="15"/>
  <c r="D2015" i="15"/>
  <c r="C2015" i="15"/>
  <c r="D2014" i="15"/>
  <c r="C2014" i="15"/>
  <c r="D2013" i="15"/>
  <c r="C2013" i="15"/>
  <c r="D2012" i="15"/>
  <c r="C2012" i="15"/>
  <c r="D2011" i="15"/>
  <c r="C2011" i="15"/>
  <c r="D2010" i="15"/>
  <c r="C2010" i="15"/>
  <c r="D2009" i="15"/>
  <c r="C2009" i="15"/>
  <c r="D2007" i="15"/>
  <c r="C2007" i="15"/>
  <c r="D2006" i="15"/>
  <c r="C2006" i="15"/>
  <c r="D2005" i="15"/>
  <c r="C2005" i="15"/>
  <c r="D2003" i="15"/>
  <c r="C2003" i="15"/>
  <c r="D2002" i="15"/>
  <c r="C2002" i="15"/>
  <c r="D2001" i="15"/>
  <c r="C2001" i="15"/>
  <c r="D2000" i="15"/>
  <c r="C2000" i="15"/>
  <c r="D1999" i="15"/>
  <c r="C1999" i="15"/>
  <c r="D1995" i="15"/>
  <c r="C1995" i="15"/>
  <c r="D1994" i="15"/>
  <c r="C1994" i="15"/>
  <c r="D1992" i="15"/>
  <c r="C1992" i="15"/>
  <c r="D1990" i="15"/>
  <c r="C1990" i="15"/>
  <c r="D1989" i="15"/>
  <c r="C1989" i="15"/>
  <c r="D1988" i="15"/>
  <c r="C1988" i="15"/>
  <c r="D1987" i="15"/>
  <c r="C1987" i="15"/>
  <c r="D1986" i="15"/>
  <c r="C1986" i="15"/>
  <c r="D1985" i="15"/>
  <c r="C1985" i="15"/>
  <c r="D1984" i="15"/>
  <c r="C1984" i="15"/>
  <c r="D1983" i="15"/>
  <c r="C1983" i="15"/>
  <c r="D1982" i="15"/>
  <c r="C1982" i="15"/>
  <c r="D1981" i="15"/>
  <c r="C1981" i="15"/>
  <c r="D1979" i="15"/>
  <c r="C1979" i="15"/>
  <c r="D1978" i="15"/>
  <c r="C1978" i="15"/>
  <c r="D1977" i="15"/>
  <c r="C1977" i="15"/>
  <c r="D1976" i="15"/>
  <c r="C1976" i="15"/>
  <c r="D1975" i="15"/>
  <c r="C1975" i="15"/>
  <c r="D1974" i="15"/>
  <c r="C1974" i="15"/>
  <c r="D1972" i="15"/>
  <c r="C1972" i="15"/>
  <c r="D1971" i="15"/>
  <c r="C1971" i="15"/>
  <c r="D1970" i="15"/>
  <c r="C1970" i="15"/>
  <c r="D1967" i="15"/>
  <c r="C1967" i="15"/>
  <c r="D1966" i="15"/>
  <c r="C1966" i="15"/>
  <c r="D1965" i="15"/>
  <c r="C1965" i="15"/>
  <c r="D1963" i="15"/>
  <c r="C1963" i="15"/>
  <c r="D1961" i="15"/>
  <c r="C1961" i="15"/>
  <c r="D1959" i="15"/>
  <c r="C1959" i="15"/>
  <c r="D1957" i="15"/>
  <c r="C1957" i="15"/>
  <c r="D1956" i="15"/>
  <c r="C1956" i="15"/>
  <c r="D1955" i="15"/>
  <c r="C1955" i="15"/>
  <c r="D1954" i="15"/>
  <c r="C1954" i="15"/>
  <c r="D1953" i="15"/>
  <c r="C1953" i="15"/>
  <c r="D1952" i="15"/>
  <c r="C1952" i="15"/>
  <c r="D1949" i="15"/>
  <c r="C1949" i="15"/>
  <c r="D1948" i="15"/>
  <c r="C1948" i="15"/>
  <c r="D1947" i="15"/>
  <c r="C1947" i="15"/>
  <c r="D1946" i="15"/>
  <c r="C1946" i="15"/>
  <c r="D1945" i="15"/>
  <c r="C1945" i="15"/>
  <c r="D1942" i="15"/>
  <c r="C1942" i="15"/>
  <c r="D1941" i="15"/>
  <c r="C1941" i="15"/>
  <c r="D1940" i="15"/>
  <c r="C1940" i="15"/>
  <c r="D1939" i="15"/>
  <c r="C1939" i="15"/>
  <c r="D1938" i="15"/>
  <c r="C1938" i="15"/>
  <c r="D1937" i="15"/>
  <c r="C1937" i="15"/>
  <c r="D1935" i="15"/>
  <c r="C1935" i="15"/>
  <c r="D1934" i="15"/>
  <c r="C1934" i="15"/>
  <c r="D1933" i="15"/>
  <c r="C1933" i="15"/>
  <c r="D1932" i="15"/>
  <c r="C1932" i="15"/>
  <c r="D1930" i="15"/>
  <c r="C1930" i="15"/>
  <c r="D1929" i="15"/>
  <c r="C1929" i="15"/>
  <c r="D1927" i="15"/>
  <c r="C1927" i="15"/>
  <c r="D1926" i="15"/>
  <c r="C1926" i="15"/>
  <c r="D1923" i="15"/>
  <c r="C1923" i="15"/>
  <c r="D1922" i="15"/>
  <c r="C1922" i="15"/>
  <c r="D1921" i="15"/>
  <c r="C1921" i="15"/>
  <c r="D1918" i="15"/>
  <c r="C1918" i="15"/>
  <c r="D1917" i="15"/>
  <c r="C1917" i="15"/>
  <c r="D1916" i="15"/>
  <c r="C1916" i="15"/>
  <c r="D1915" i="15"/>
  <c r="C1915" i="15"/>
  <c r="D1914" i="15"/>
  <c r="C1914" i="15"/>
  <c r="D1909" i="15"/>
  <c r="C1909" i="15"/>
  <c r="D1908" i="15"/>
  <c r="C1908" i="15"/>
  <c r="D1907" i="15"/>
  <c r="C1907" i="15"/>
  <c r="D1906" i="15"/>
  <c r="C1906" i="15"/>
  <c r="D1905" i="15"/>
  <c r="C1905" i="15"/>
  <c r="D1903" i="15"/>
  <c r="C1903" i="15"/>
  <c r="D1900" i="15"/>
  <c r="C1900" i="15"/>
  <c r="D1899" i="15"/>
  <c r="C1899" i="15"/>
  <c r="D1898" i="15"/>
  <c r="C1898" i="15"/>
  <c r="D1897" i="15"/>
  <c r="C1897" i="15"/>
  <c r="D1896" i="15"/>
  <c r="C1896" i="15"/>
  <c r="D1895" i="15"/>
  <c r="C1895" i="15"/>
  <c r="D1893" i="15"/>
  <c r="C1893" i="15"/>
  <c r="D1888" i="15"/>
  <c r="C1888" i="15"/>
  <c r="D1884" i="15"/>
  <c r="C1884" i="15"/>
  <c r="D1883" i="15"/>
  <c r="C1883" i="15"/>
  <c r="D1882" i="15"/>
  <c r="C1882" i="15"/>
  <c r="D1881" i="15"/>
  <c r="C1881" i="15"/>
  <c r="D1880" i="15"/>
  <c r="C1880" i="15"/>
  <c r="D1878" i="15"/>
  <c r="C1878" i="15"/>
  <c r="D1877" i="15"/>
  <c r="C1877" i="15"/>
  <c r="D1876" i="15"/>
  <c r="C1876" i="15"/>
  <c r="D1875" i="15"/>
  <c r="C1875" i="15"/>
  <c r="D1874" i="15"/>
  <c r="C1874" i="15"/>
  <c r="D1871" i="15"/>
  <c r="C1871" i="15"/>
  <c r="D1870" i="15"/>
  <c r="C1870" i="15"/>
  <c r="D1869" i="15"/>
  <c r="C1869" i="15"/>
  <c r="D1866" i="15"/>
  <c r="C1866" i="15"/>
  <c r="D1865" i="15"/>
  <c r="C1865" i="15"/>
  <c r="D1862" i="15"/>
  <c r="C1862" i="15"/>
  <c r="D1861" i="15"/>
  <c r="C1861" i="15"/>
  <c r="D1859" i="15"/>
  <c r="C1859" i="15"/>
  <c r="D1858" i="15"/>
  <c r="C1858" i="15"/>
  <c r="D1856" i="15"/>
  <c r="C1856" i="15"/>
  <c r="D1855" i="15"/>
  <c r="C1855" i="15"/>
  <c r="D1854" i="15"/>
  <c r="C1854" i="15"/>
  <c r="D1853" i="15"/>
  <c r="C1853" i="15"/>
  <c r="D1852" i="15"/>
  <c r="C1852" i="15"/>
  <c r="D1850" i="15"/>
  <c r="C1850" i="15"/>
  <c r="D1849" i="15"/>
  <c r="C1849" i="15"/>
  <c r="D1847" i="15"/>
  <c r="C1847" i="15"/>
  <c r="D1846" i="15"/>
  <c r="C1846" i="15"/>
  <c r="D1845" i="15"/>
  <c r="C1845" i="15"/>
  <c r="D1844" i="15"/>
  <c r="C1844" i="15"/>
  <c r="D1843" i="15"/>
  <c r="C1843" i="15"/>
  <c r="D1842" i="15"/>
  <c r="C1842" i="15"/>
  <c r="D1841" i="15"/>
  <c r="C1841" i="15"/>
  <c r="D1840" i="15"/>
  <c r="C1840" i="15"/>
  <c r="D1839" i="15"/>
  <c r="C1839" i="15"/>
  <c r="D1838" i="15"/>
  <c r="C1838" i="15"/>
  <c r="D1836" i="15"/>
  <c r="C1836" i="15"/>
  <c r="D1835" i="15"/>
  <c r="C1835" i="15"/>
  <c r="D1834" i="15"/>
  <c r="C1834" i="15"/>
  <c r="D1833" i="15"/>
  <c r="C1833" i="15"/>
  <c r="D1832" i="15"/>
  <c r="C1832" i="15"/>
  <c r="D1831" i="15"/>
  <c r="C1831" i="15"/>
  <c r="D1830" i="15"/>
  <c r="C1830" i="15"/>
  <c r="D1829" i="15"/>
  <c r="C1829" i="15"/>
  <c r="D1828" i="15"/>
  <c r="C1828" i="15"/>
  <c r="D1827" i="15"/>
  <c r="C1827" i="15"/>
  <c r="D1826" i="15"/>
  <c r="C1826" i="15"/>
  <c r="D1824" i="15"/>
  <c r="C1824" i="15"/>
  <c r="D1823" i="15"/>
  <c r="C1823" i="15"/>
  <c r="D1822" i="15"/>
  <c r="C1822" i="15"/>
  <c r="D1821" i="15"/>
  <c r="C1821" i="15"/>
  <c r="D1819" i="15"/>
  <c r="C1819" i="15"/>
  <c r="D1818" i="15"/>
  <c r="C1818" i="15"/>
  <c r="D1817" i="15"/>
  <c r="C1817" i="15"/>
  <c r="D1816" i="15"/>
  <c r="C1816" i="15"/>
  <c r="D1815" i="15"/>
  <c r="C1815" i="15"/>
  <c r="D1814" i="15"/>
  <c r="C1814" i="15"/>
  <c r="D1813" i="15"/>
  <c r="C1813" i="15"/>
  <c r="D1812" i="15"/>
  <c r="C1812" i="15"/>
  <c r="D1811" i="15"/>
  <c r="C1811" i="15"/>
  <c r="D1810" i="15"/>
  <c r="C1810" i="15"/>
  <c r="D1809" i="15"/>
  <c r="C1809" i="15"/>
  <c r="D1808" i="15"/>
  <c r="C1808" i="15"/>
  <c r="D1807" i="15"/>
  <c r="C1807" i="15"/>
  <c r="D1806" i="15"/>
  <c r="C1806" i="15"/>
  <c r="D1804" i="15"/>
  <c r="C1804" i="15"/>
  <c r="D1803" i="15"/>
  <c r="C1803" i="15"/>
  <c r="D1802" i="15"/>
  <c r="C1802" i="15"/>
  <c r="D1801" i="15"/>
  <c r="C1801" i="15"/>
  <c r="D1800" i="15"/>
  <c r="C1800" i="15"/>
  <c r="D1798" i="15"/>
  <c r="C1798" i="15"/>
  <c r="D1796" i="15"/>
  <c r="C1796" i="15"/>
  <c r="D1795" i="15"/>
  <c r="C1795" i="15"/>
  <c r="D1794" i="15"/>
  <c r="C1794" i="15"/>
  <c r="D1793" i="15"/>
  <c r="C1793" i="15"/>
  <c r="D1792" i="15"/>
  <c r="C1792" i="15"/>
  <c r="D1791" i="15"/>
  <c r="C1791" i="15"/>
  <c r="D1790" i="15"/>
  <c r="C1790" i="15"/>
  <c r="D1789" i="15"/>
  <c r="C1789" i="15"/>
  <c r="D1788" i="15"/>
  <c r="C1788" i="15"/>
  <c r="D1787" i="15"/>
  <c r="C1787" i="15"/>
  <c r="D1786" i="15"/>
  <c r="C1786" i="15"/>
  <c r="D1785" i="15"/>
  <c r="C1785" i="15"/>
  <c r="D1784" i="15"/>
  <c r="C1784" i="15"/>
  <c r="D1783" i="15"/>
  <c r="C1783" i="15"/>
  <c r="D1782" i="15"/>
  <c r="C1782" i="15"/>
  <c r="D1779" i="15"/>
  <c r="C1779" i="15"/>
  <c r="D1778" i="15"/>
  <c r="C1778" i="15"/>
  <c r="D1777" i="15"/>
  <c r="C1777" i="15"/>
  <c r="D1776" i="15"/>
  <c r="C1776" i="15"/>
  <c r="D1775" i="15"/>
  <c r="C1775" i="15"/>
  <c r="D1774" i="15"/>
  <c r="C1774" i="15"/>
  <c r="D1771" i="15"/>
  <c r="C1771" i="15"/>
  <c r="D1770" i="15"/>
  <c r="C1770" i="15"/>
  <c r="D1769" i="15"/>
  <c r="C1769" i="15"/>
  <c r="D1768" i="15"/>
  <c r="C1768" i="15"/>
  <c r="D1767" i="15"/>
  <c r="C1767" i="15"/>
  <c r="D1766" i="15"/>
  <c r="C1766" i="15"/>
  <c r="D1765" i="15"/>
  <c r="C1765" i="15"/>
  <c r="D1764" i="15"/>
  <c r="C1764" i="15"/>
  <c r="D1763" i="15"/>
  <c r="C1763" i="15"/>
  <c r="D1762" i="15"/>
  <c r="C1762" i="15"/>
  <c r="D1761" i="15"/>
  <c r="C1761" i="15"/>
  <c r="D1760" i="15"/>
  <c r="C1760" i="15"/>
  <c r="D1759" i="15"/>
  <c r="C1759" i="15"/>
  <c r="D1758" i="15"/>
  <c r="C1758" i="15"/>
  <c r="D1757" i="15"/>
  <c r="C1757" i="15"/>
  <c r="D1756" i="15"/>
  <c r="C1756" i="15"/>
  <c r="D1755" i="15"/>
  <c r="C1755" i="15"/>
  <c r="D1754" i="15"/>
  <c r="C1754" i="15"/>
  <c r="D1753" i="15"/>
  <c r="C1753" i="15"/>
  <c r="D1752" i="15"/>
  <c r="C1752" i="15"/>
  <c r="D1751" i="15"/>
  <c r="C1751" i="15"/>
  <c r="D1750" i="15"/>
  <c r="C1750" i="15"/>
  <c r="D1749" i="15"/>
  <c r="C1749" i="15"/>
  <c r="D1748" i="15"/>
  <c r="C1748" i="15"/>
  <c r="D1747" i="15"/>
  <c r="C1747" i="15"/>
  <c r="D1746" i="15"/>
  <c r="C1746" i="15"/>
  <c r="D1745" i="15"/>
  <c r="C1745" i="15"/>
  <c r="D1744" i="15"/>
  <c r="C1744" i="15"/>
  <c r="D1743" i="15"/>
  <c r="C1743" i="15"/>
  <c r="D1742" i="15"/>
  <c r="C1742" i="15"/>
  <c r="D1741" i="15"/>
  <c r="C1741" i="15"/>
  <c r="D1740" i="15"/>
  <c r="C1740" i="15"/>
  <c r="D1738" i="15"/>
  <c r="C1738" i="15"/>
  <c r="D1736" i="15"/>
  <c r="C1736" i="15"/>
  <c r="D1735" i="15"/>
  <c r="C1735" i="15"/>
  <c r="D1734" i="15"/>
  <c r="C1734" i="15"/>
  <c r="D1733" i="15"/>
  <c r="C1733" i="15"/>
  <c r="D1732" i="15"/>
  <c r="C1732" i="15"/>
  <c r="D1731" i="15"/>
  <c r="C1731" i="15"/>
  <c r="D1729" i="15"/>
  <c r="C1729" i="15"/>
  <c r="D1728" i="15"/>
  <c r="C1728" i="15"/>
  <c r="D1727" i="15"/>
  <c r="C1727" i="15"/>
  <c r="D1726" i="15"/>
  <c r="C1726" i="15"/>
  <c r="D1724" i="15"/>
  <c r="C1724" i="15"/>
  <c r="D1723" i="15"/>
  <c r="C1723" i="15"/>
  <c r="D1722" i="15"/>
  <c r="C1722" i="15"/>
  <c r="D1721" i="15"/>
  <c r="C1721" i="15"/>
  <c r="D1720" i="15"/>
  <c r="C1720" i="15"/>
  <c r="D1719" i="15"/>
  <c r="C1719" i="15"/>
  <c r="D1718" i="15"/>
  <c r="C1718" i="15"/>
  <c r="D1717" i="15"/>
  <c r="C1717" i="15"/>
  <c r="D1716" i="15"/>
  <c r="C1716" i="15"/>
  <c r="D1714" i="15"/>
  <c r="C1714" i="15"/>
  <c r="D1713" i="15"/>
  <c r="C1713" i="15"/>
  <c r="D1712" i="15"/>
  <c r="C1712" i="15"/>
  <c r="D1711" i="15"/>
  <c r="C1711" i="15"/>
  <c r="D1710" i="15"/>
  <c r="C1710" i="15"/>
  <c r="D1709" i="15"/>
  <c r="C1709" i="15"/>
  <c r="D1708" i="15"/>
  <c r="C1708" i="15"/>
  <c r="D1707" i="15"/>
  <c r="C1707" i="15"/>
  <c r="D1706" i="15"/>
  <c r="C1706" i="15"/>
  <c r="D1703" i="15"/>
  <c r="C1703" i="15"/>
  <c r="D1702" i="15"/>
  <c r="C1702" i="15"/>
  <c r="D1701" i="15"/>
  <c r="C1701" i="15"/>
  <c r="D1700" i="15"/>
  <c r="C1700" i="15"/>
  <c r="D1699" i="15"/>
  <c r="C1699" i="15"/>
  <c r="D1698" i="15"/>
  <c r="C1698" i="15"/>
  <c r="D1697" i="15"/>
  <c r="C1697" i="15"/>
  <c r="D1696" i="15"/>
  <c r="C1696" i="15"/>
  <c r="D1695" i="15"/>
  <c r="C1695" i="15"/>
  <c r="D1693" i="15"/>
  <c r="C1693" i="15"/>
  <c r="D1692" i="15"/>
  <c r="C1692" i="15"/>
  <c r="D1691" i="15"/>
  <c r="C1691" i="15"/>
  <c r="D1690" i="15"/>
  <c r="C1690" i="15"/>
  <c r="D1689" i="15"/>
  <c r="C1689" i="15"/>
  <c r="D1688" i="15"/>
  <c r="C1688" i="15"/>
  <c r="D1687" i="15"/>
  <c r="C1687" i="15"/>
  <c r="D1686" i="15"/>
  <c r="C1686" i="15"/>
  <c r="D1685" i="15"/>
  <c r="C1685" i="15"/>
  <c r="D1684" i="15"/>
  <c r="C1684" i="15"/>
  <c r="D1683" i="15"/>
  <c r="C1683" i="15"/>
  <c r="D1682" i="15"/>
  <c r="C1682" i="15"/>
  <c r="D1681" i="15"/>
  <c r="C1681" i="15"/>
  <c r="D1680" i="15"/>
  <c r="C1680" i="15"/>
  <c r="D1679" i="15"/>
  <c r="C1679" i="15"/>
  <c r="D1678" i="15"/>
  <c r="C1678" i="15"/>
  <c r="D1676" i="15"/>
  <c r="C1676" i="15"/>
  <c r="D1675" i="15"/>
  <c r="C1675" i="15"/>
  <c r="D1674" i="15"/>
  <c r="C1674" i="15"/>
  <c r="D1673" i="15"/>
  <c r="C1673" i="15"/>
  <c r="D1672" i="15"/>
  <c r="C1672" i="15"/>
  <c r="D1671" i="15"/>
  <c r="C1671" i="15"/>
  <c r="D1670" i="15"/>
  <c r="C1670" i="15"/>
  <c r="D1669" i="15"/>
  <c r="C1669" i="15"/>
  <c r="D1668" i="15"/>
  <c r="C1668" i="15"/>
  <c r="D1667" i="15"/>
  <c r="C1667" i="15"/>
  <c r="D1666" i="15"/>
  <c r="C1666" i="15"/>
  <c r="D1665" i="15"/>
  <c r="C1665" i="15"/>
  <c r="D1664" i="15"/>
  <c r="C1664" i="15"/>
  <c r="D1663" i="15"/>
  <c r="C1663" i="15"/>
  <c r="D1662" i="15"/>
  <c r="C1662" i="15"/>
  <c r="D1661" i="15"/>
  <c r="C1661" i="15"/>
  <c r="D1659" i="15"/>
  <c r="C1659" i="15"/>
  <c r="D1657" i="15"/>
  <c r="C1657" i="15"/>
  <c r="D1656" i="15"/>
  <c r="C1656" i="15"/>
  <c r="D1655" i="15"/>
  <c r="C1655" i="15"/>
  <c r="D1654" i="15"/>
  <c r="C1654" i="15"/>
  <c r="D1653" i="15"/>
  <c r="C1653" i="15"/>
  <c r="D1651" i="15"/>
  <c r="C1651" i="15"/>
  <c r="D1650" i="15"/>
  <c r="C1650" i="15"/>
  <c r="D1646" i="15"/>
  <c r="C1646" i="15"/>
  <c r="D1645" i="15"/>
  <c r="C1645" i="15"/>
  <c r="D1644" i="15"/>
  <c r="C1644" i="15"/>
  <c r="D1643" i="15"/>
  <c r="C1643" i="15"/>
  <c r="D1642" i="15"/>
  <c r="C1642" i="15"/>
  <c r="D1641" i="15"/>
  <c r="C1641" i="15"/>
  <c r="D1640" i="15"/>
  <c r="C1640" i="15"/>
  <c r="D1639" i="15"/>
  <c r="C1639" i="15"/>
  <c r="D1638" i="15"/>
  <c r="C1638" i="15"/>
  <c r="D1637" i="15"/>
  <c r="C1637" i="15"/>
  <c r="D1636" i="15"/>
  <c r="C1636" i="15"/>
  <c r="D1635" i="15"/>
  <c r="C1635" i="15"/>
  <c r="D1631" i="15"/>
  <c r="C1631" i="15"/>
  <c r="D1630" i="15"/>
  <c r="C1630" i="15"/>
  <c r="D1629" i="15"/>
  <c r="C1629" i="15"/>
  <c r="D1628" i="15"/>
  <c r="C1628" i="15"/>
  <c r="D1627" i="15"/>
  <c r="C1627" i="15"/>
  <c r="D1626" i="15"/>
  <c r="C1626" i="15"/>
  <c r="D1625" i="15"/>
  <c r="C1625" i="15"/>
  <c r="D1624" i="15"/>
  <c r="C1624" i="15"/>
  <c r="D1622" i="15"/>
  <c r="C1622" i="15"/>
  <c r="D1621" i="15"/>
  <c r="C1621" i="15"/>
  <c r="D1620" i="15"/>
  <c r="C1620" i="15"/>
  <c r="D1619" i="15"/>
  <c r="C1619" i="15"/>
  <c r="D1618" i="15"/>
  <c r="C1618" i="15"/>
  <c r="D1617" i="15"/>
  <c r="C1617" i="15"/>
  <c r="D1616" i="15"/>
  <c r="C1616" i="15"/>
  <c r="D1615" i="15"/>
  <c r="C1615" i="15"/>
  <c r="D1614" i="15"/>
  <c r="C1614" i="15"/>
  <c r="D1613" i="15"/>
  <c r="C1613" i="15"/>
  <c r="D1612" i="15"/>
  <c r="C1612" i="15"/>
  <c r="D1611" i="15"/>
  <c r="C1611" i="15"/>
  <c r="D1610" i="15"/>
  <c r="C1610" i="15"/>
  <c r="D1609" i="15"/>
  <c r="C1609" i="15"/>
  <c r="D1608" i="15"/>
  <c r="C1608" i="15"/>
  <c r="D1607" i="15"/>
  <c r="C1607" i="15"/>
  <c r="D1606" i="15"/>
  <c r="C1606" i="15"/>
  <c r="D1605" i="15"/>
  <c r="C1605" i="15"/>
  <c r="D1604" i="15"/>
  <c r="C1604" i="15"/>
  <c r="D1603" i="15"/>
  <c r="C1603" i="15"/>
  <c r="D1602" i="15"/>
  <c r="C1602" i="15"/>
  <c r="D1601" i="15"/>
  <c r="C1601" i="15"/>
  <c r="D1600" i="15"/>
  <c r="C1600" i="15"/>
  <c r="D1599" i="15"/>
  <c r="C1599" i="15"/>
  <c r="D1598" i="15"/>
  <c r="C1598" i="15"/>
  <c r="D1597" i="15"/>
  <c r="C1597" i="15"/>
  <c r="D1596" i="15"/>
  <c r="C1596" i="15"/>
  <c r="D1595" i="15"/>
  <c r="C1595" i="15"/>
  <c r="D1594" i="15"/>
  <c r="C1594" i="15"/>
  <c r="D1593" i="15"/>
  <c r="C1593" i="15"/>
  <c r="D1592" i="15"/>
  <c r="C1592" i="15"/>
  <c r="D1591" i="15"/>
  <c r="C1591" i="15"/>
  <c r="D1590" i="15"/>
  <c r="C1590" i="15"/>
  <c r="D1589" i="15"/>
  <c r="C1589" i="15"/>
  <c r="D1588" i="15"/>
  <c r="C1588" i="15"/>
  <c r="D1587" i="15"/>
  <c r="C1587" i="15"/>
  <c r="D1586" i="15"/>
  <c r="C1586" i="15"/>
  <c r="D1585" i="15"/>
  <c r="C1585" i="15"/>
  <c r="D1584" i="15"/>
  <c r="C1584" i="15"/>
  <c r="D1583" i="15"/>
  <c r="C1583" i="15"/>
  <c r="D1582" i="15"/>
  <c r="C1582" i="15"/>
  <c r="D1581" i="15"/>
  <c r="C1581" i="15"/>
  <c r="D1580" i="15"/>
  <c r="C1580" i="15"/>
  <c r="D1579" i="15"/>
  <c r="C1579" i="15"/>
  <c r="D1578" i="15"/>
  <c r="C1578" i="15"/>
  <c r="D1577" i="15"/>
  <c r="C1577" i="15"/>
  <c r="D1576" i="15"/>
  <c r="C1576" i="15"/>
  <c r="D1575" i="15"/>
  <c r="C1575" i="15"/>
  <c r="D1574" i="15"/>
  <c r="C1574" i="15"/>
  <c r="D1572" i="15"/>
  <c r="C1572" i="15"/>
  <c r="D1571" i="15"/>
  <c r="C1571" i="15"/>
  <c r="D1570" i="15"/>
  <c r="C1570" i="15"/>
  <c r="D1565" i="15"/>
  <c r="C1565" i="15"/>
  <c r="D1562" i="15"/>
  <c r="C1562" i="15"/>
  <c r="D1561" i="15"/>
  <c r="C1561" i="15"/>
  <c r="D1560" i="15"/>
  <c r="C1560" i="15"/>
  <c r="D1559" i="15"/>
  <c r="C1559" i="15"/>
  <c r="D1558" i="15"/>
  <c r="C1558" i="15"/>
  <c r="D1557" i="15"/>
  <c r="C1557" i="15"/>
  <c r="D1556" i="15"/>
  <c r="C1556" i="15"/>
  <c r="D1553" i="15"/>
  <c r="C1553" i="15"/>
  <c r="D1552" i="15"/>
  <c r="C1552" i="15"/>
  <c r="D1551" i="15"/>
  <c r="C1551" i="15"/>
  <c r="D1550" i="15"/>
  <c r="C1550" i="15"/>
  <c r="D1549" i="15"/>
  <c r="C1549" i="15"/>
  <c r="D1548" i="15"/>
  <c r="C1548" i="15"/>
  <c r="D1546" i="15"/>
  <c r="C1546" i="15"/>
  <c r="D1545" i="15"/>
  <c r="C1545" i="15"/>
  <c r="D1544" i="15"/>
  <c r="C1544" i="15"/>
  <c r="D1542" i="15"/>
  <c r="C1542" i="15"/>
  <c r="D1540" i="15"/>
  <c r="C1540" i="15"/>
  <c r="D1538" i="15"/>
  <c r="C1538" i="15"/>
  <c r="D1536" i="15"/>
  <c r="C1536" i="15"/>
  <c r="D1535" i="15"/>
  <c r="C1535" i="15"/>
  <c r="D1534" i="15"/>
  <c r="C1534" i="15"/>
  <c r="D1533" i="15"/>
  <c r="C1533" i="15"/>
  <c r="D1532" i="15"/>
  <c r="C1532" i="15"/>
  <c r="D1530" i="15"/>
  <c r="C1530" i="15"/>
  <c r="D1527" i="15"/>
  <c r="C1527" i="15"/>
  <c r="D1526" i="15"/>
  <c r="C1526" i="15"/>
  <c r="D1524" i="15"/>
  <c r="C1524" i="15"/>
  <c r="D1522" i="15"/>
  <c r="C1522" i="15"/>
  <c r="D1521" i="15"/>
  <c r="C1521" i="15"/>
  <c r="D1520" i="15"/>
  <c r="C1520" i="15"/>
  <c r="D1519" i="15"/>
  <c r="C1519" i="15"/>
  <c r="D1518" i="15"/>
  <c r="C1518" i="15"/>
  <c r="D1517" i="15"/>
  <c r="C1517" i="15"/>
  <c r="D1516" i="15"/>
  <c r="C1516" i="15"/>
  <c r="D1515" i="15"/>
  <c r="C1515" i="15"/>
  <c r="D1514" i="15"/>
  <c r="C1514" i="15"/>
  <c r="D1513" i="15"/>
  <c r="C1513" i="15"/>
  <c r="D1511" i="15"/>
  <c r="C1511" i="15"/>
  <c r="D1510" i="15"/>
  <c r="C1510" i="15"/>
  <c r="D1509" i="15"/>
  <c r="C1509" i="15"/>
  <c r="D1508" i="15"/>
  <c r="C1508" i="15"/>
  <c r="D1507" i="15"/>
  <c r="C1507" i="15"/>
  <c r="D1506" i="15"/>
  <c r="C1506" i="15"/>
  <c r="D1505" i="15"/>
  <c r="C1505" i="15"/>
  <c r="D1504" i="15"/>
  <c r="C1504" i="15"/>
  <c r="D1503" i="15"/>
  <c r="C1503" i="15"/>
  <c r="D1502" i="15"/>
  <c r="C1502" i="15"/>
  <c r="D1501" i="15"/>
  <c r="C1501" i="15"/>
  <c r="D1500" i="15"/>
  <c r="C1500" i="15"/>
  <c r="D1499" i="15"/>
  <c r="C1499" i="15"/>
  <c r="D1498" i="15"/>
  <c r="C1498" i="15"/>
  <c r="D1497" i="15"/>
  <c r="C1497" i="15"/>
  <c r="D1496" i="15"/>
  <c r="C1496" i="15"/>
  <c r="D1495" i="15"/>
  <c r="C1495" i="15"/>
  <c r="D1494" i="15"/>
  <c r="C1494" i="15"/>
  <c r="D1493" i="15"/>
  <c r="C1493" i="15"/>
  <c r="D1492" i="15"/>
  <c r="C1492" i="15"/>
  <c r="D1491" i="15"/>
  <c r="C1491" i="15"/>
  <c r="D1490" i="15"/>
  <c r="C1490" i="15"/>
  <c r="D1489" i="15"/>
  <c r="C1489" i="15"/>
  <c r="D1487" i="15"/>
  <c r="C1487" i="15"/>
  <c r="D1486" i="15"/>
  <c r="C1486" i="15"/>
  <c r="D1485" i="15"/>
  <c r="C1485" i="15"/>
  <c r="D1484" i="15"/>
  <c r="C1484" i="15"/>
  <c r="D1483" i="15"/>
  <c r="C1483" i="15"/>
  <c r="D1482" i="15"/>
  <c r="C1482" i="15"/>
  <c r="D1481" i="15"/>
  <c r="C1481" i="15"/>
  <c r="D1480" i="15"/>
  <c r="C1480" i="15"/>
  <c r="D1479" i="15"/>
  <c r="C1479" i="15"/>
  <c r="D1478" i="15"/>
  <c r="C1478" i="15"/>
  <c r="D1477" i="15"/>
  <c r="C1477" i="15"/>
  <c r="D1476" i="15"/>
  <c r="C1476" i="15"/>
  <c r="D1475" i="15"/>
  <c r="C1475" i="15"/>
  <c r="D1474" i="15"/>
  <c r="C1474" i="15"/>
  <c r="D1473" i="15"/>
  <c r="C1473" i="15"/>
  <c r="D1472" i="15"/>
  <c r="C1472" i="15"/>
  <c r="D1471" i="15"/>
  <c r="C1471" i="15"/>
  <c r="D1470" i="15"/>
  <c r="C1470" i="15"/>
  <c r="D1468" i="15"/>
  <c r="C1468" i="15"/>
  <c r="D1466" i="15"/>
  <c r="C1466" i="15"/>
  <c r="D1465" i="15"/>
  <c r="C1465" i="15"/>
  <c r="D1462" i="15"/>
  <c r="C1462" i="15"/>
  <c r="D1461" i="15"/>
  <c r="C1461" i="15"/>
  <c r="D1459" i="15"/>
  <c r="C1459" i="15"/>
  <c r="D1458" i="15"/>
  <c r="C1458" i="15"/>
  <c r="D1457" i="15"/>
  <c r="C1457" i="15"/>
  <c r="D1456" i="15"/>
  <c r="C1456" i="15"/>
  <c r="D1455" i="15"/>
  <c r="C1455" i="15"/>
  <c r="D1454" i="15"/>
  <c r="C1454" i="15"/>
  <c r="D1453" i="15"/>
  <c r="C1453" i="15"/>
  <c r="D1452" i="15"/>
  <c r="C1452" i="15"/>
  <c r="D1451" i="15"/>
  <c r="C1451" i="15"/>
  <c r="D1450" i="15"/>
  <c r="C1450" i="15"/>
  <c r="D1449" i="15"/>
  <c r="C1449" i="15"/>
  <c r="D1448" i="15"/>
  <c r="C1448" i="15"/>
  <c r="D1447" i="15"/>
  <c r="C1447" i="15"/>
  <c r="D1446" i="15"/>
  <c r="C1446" i="15"/>
  <c r="D1445" i="15"/>
  <c r="C1445" i="15"/>
  <c r="D1441" i="15"/>
  <c r="C1441" i="15"/>
  <c r="D1440" i="15"/>
  <c r="C1440" i="15"/>
  <c r="D1439" i="15"/>
  <c r="C1439" i="15"/>
  <c r="D1438" i="15"/>
  <c r="C1438" i="15"/>
  <c r="D1437" i="15"/>
  <c r="C1437" i="15"/>
  <c r="D1436" i="15"/>
  <c r="C1436" i="15"/>
  <c r="D1435" i="15"/>
  <c r="C1435" i="15"/>
  <c r="D1434" i="15"/>
  <c r="C1434" i="15"/>
  <c r="D1433" i="15"/>
  <c r="C1433" i="15"/>
  <c r="D1432" i="15"/>
  <c r="C1432" i="15"/>
  <c r="D1431" i="15"/>
  <c r="C1431" i="15"/>
  <c r="D1430" i="15"/>
  <c r="C1430" i="15"/>
  <c r="D1429" i="15"/>
  <c r="C1429" i="15"/>
  <c r="D1428" i="15"/>
  <c r="C1428" i="15"/>
  <c r="D1427" i="15"/>
  <c r="C1427" i="15"/>
  <c r="D1426" i="15"/>
  <c r="C1426" i="15"/>
  <c r="D1425" i="15"/>
  <c r="C1425" i="15"/>
  <c r="D1424" i="15"/>
  <c r="C1424" i="15"/>
  <c r="D1423" i="15"/>
  <c r="C1423" i="15"/>
  <c r="D1422" i="15"/>
  <c r="C1422" i="15"/>
  <c r="D1421" i="15"/>
  <c r="C1421" i="15"/>
  <c r="D1420" i="15"/>
  <c r="C1420" i="15"/>
  <c r="D1419" i="15"/>
  <c r="C1419" i="15"/>
  <c r="D1418" i="15"/>
  <c r="C1418" i="15"/>
  <c r="D1417" i="15"/>
  <c r="C1417" i="15"/>
  <c r="D1416" i="15"/>
  <c r="C1416" i="15"/>
  <c r="D1415" i="15"/>
  <c r="C1415" i="15"/>
  <c r="D1414" i="15"/>
  <c r="C1414" i="15"/>
  <c r="D1413" i="15"/>
  <c r="C1413" i="15"/>
  <c r="D1412" i="15"/>
  <c r="C1412" i="15"/>
  <c r="D1411" i="15"/>
  <c r="C1411" i="15"/>
  <c r="D1410" i="15"/>
  <c r="C1410" i="15"/>
  <c r="D1409" i="15"/>
  <c r="C1409" i="15"/>
  <c r="D1408" i="15"/>
  <c r="C1408" i="15"/>
  <c r="D1405" i="15"/>
  <c r="C1405" i="15"/>
  <c r="D1404" i="15"/>
  <c r="C1404" i="15"/>
  <c r="D1403" i="15"/>
  <c r="C1403" i="15"/>
  <c r="D1402" i="15"/>
  <c r="C1402" i="15"/>
  <c r="D1401" i="15"/>
  <c r="C1401" i="15"/>
  <c r="D1400" i="15"/>
  <c r="C1400" i="15"/>
  <c r="D1399" i="15"/>
  <c r="C1399" i="15"/>
  <c r="D1398" i="15"/>
  <c r="D1397" i="15"/>
  <c r="C1397" i="15"/>
  <c r="D1396" i="15"/>
  <c r="C1396" i="15"/>
  <c r="D1395" i="15"/>
  <c r="C1395" i="15"/>
  <c r="D1394" i="15"/>
  <c r="C1394" i="15"/>
  <c r="D1393" i="15"/>
  <c r="C1393" i="15"/>
  <c r="D1392" i="15"/>
  <c r="C1392" i="15"/>
  <c r="D1391" i="15"/>
  <c r="C1391" i="15"/>
  <c r="D1390" i="15"/>
  <c r="C1390" i="15"/>
  <c r="D1389" i="15"/>
  <c r="C1389" i="15"/>
  <c r="D1388" i="15"/>
  <c r="C1388" i="15"/>
  <c r="D1387" i="15"/>
  <c r="C1387" i="15"/>
  <c r="D1386" i="15"/>
  <c r="C1386" i="15"/>
  <c r="D1385" i="15"/>
  <c r="C1385" i="15"/>
  <c r="D1384" i="15"/>
  <c r="C1384" i="15"/>
  <c r="D1383" i="15"/>
  <c r="C1383" i="15"/>
  <c r="D1382" i="15"/>
  <c r="C1382" i="15"/>
  <c r="D1381" i="15"/>
  <c r="C1381" i="15"/>
  <c r="D1380" i="15"/>
  <c r="C1380" i="15"/>
  <c r="D1379" i="15"/>
  <c r="C1379" i="15"/>
  <c r="D1378" i="15"/>
  <c r="C1378" i="15"/>
  <c r="D1377" i="15"/>
  <c r="C1377" i="15"/>
  <c r="D1376" i="15"/>
  <c r="C1376" i="15"/>
  <c r="D1375" i="15"/>
  <c r="C1375" i="15"/>
  <c r="D1374" i="15"/>
  <c r="C1374" i="15"/>
  <c r="D1373" i="15"/>
  <c r="C1373" i="15"/>
  <c r="D1372" i="15"/>
  <c r="C1372" i="15"/>
  <c r="D1371" i="15"/>
  <c r="C1371" i="15"/>
  <c r="D1370" i="15"/>
  <c r="C1370" i="15"/>
  <c r="D1369" i="15"/>
  <c r="C1369" i="15"/>
  <c r="D1368" i="15"/>
  <c r="C1368" i="15"/>
  <c r="D1367" i="15"/>
  <c r="C1367" i="15"/>
  <c r="D1366" i="15"/>
  <c r="C1366" i="15"/>
  <c r="D1365" i="15"/>
  <c r="C1365" i="15"/>
  <c r="D1364" i="15"/>
  <c r="C1364" i="15"/>
  <c r="D1363" i="15"/>
  <c r="C1363" i="15"/>
  <c r="D1362" i="15"/>
  <c r="C1362" i="15"/>
  <c r="D1361" i="15"/>
  <c r="C1361" i="15"/>
  <c r="D1360" i="15"/>
  <c r="C1360" i="15"/>
  <c r="D1359" i="15"/>
  <c r="C1359" i="15"/>
  <c r="D1358" i="15"/>
  <c r="C1358" i="15"/>
  <c r="D1356" i="15"/>
  <c r="C1356" i="15"/>
  <c r="D1355" i="15"/>
  <c r="C1355" i="15"/>
  <c r="D1352" i="15"/>
  <c r="C1352" i="15"/>
  <c r="D1349" i="15"/>
  <c r="C1349" i="15"/>
  <c r="D1347" i="15"/>
  <c r="C1347" i="15"/>
  <c r="D1346" i="15"/>
  <c r="C1346" i="15"/>
  <c r="D1345" i="15"/>
  <c r="C1345" i="15"/>
  <c r="D1342" i="15"/>
  <c r="C1342" i="15"/>
  <c r="D1341" i="15"/>
  <c r="C1341" i="15"/>
  <c r="D1340" i="15"/>
  <c r="C1340" i="15"/>
  <c r="D1339" i="15"/>
  <c r="C1339" i="15"/>
  <c r="D1338" i="15"/>
  <c r="C1338" i="15"/>
  <c r="D1337" i="15"/>
  <c r="C1337" i="15"/>
  <c r="D1336" i="15"/>
  <c r="C1336" i="15"/>
  <c r="D1334" i="15"/>
  <c r="C1334" i="15"/>
  <c r="D1332" i="15"/>
  <c r="C1332" i="15"/>
  <c r="D1330" i="15"/>
  <c r="C1330" i="15"/>
  <c r="D1329" i="15"/>
  <c r="C1329" i="15"/>
  <c r="D1328" i="15"/>
  <c r="C1328" i="15"/>
  <c r="D1326" i="15"/>
  <c r="C1326" i="15"/>
  <c r="D1324" i="15"/>
  <c r="C1324" i="15"/>
  <c r="D1323" i="15"/>
  <c r="C1323" i="15"/>
  <c r="D1322" i="15"/>
  <c r="C1322" i="15"/>
  <c r="D1320" i="15"/>
  <c r="C1320" i="15"/>
  <c r="D1319" i="15"/>
  <c r="C1319" i="15"/>
  <c r="D1318" i="15"/>
  <c r="C1318" i="15"/>
  <c r="D1316" i="15"/>
  <c r="C1316" i="15"/>
  <c r="D1314" i="15"/>
  <c r="C1314" i="15"/>
  <c r="D1313" i="15"/>
  <c r="C1313" i="15"/>
  <c r="D1312" i="15"/>
  <c r="C1312" i="15"/>
  <c r="D1311" i="15"/>
  <c r="C1311" i="15"/>
  <c r="D1308" i="15"/>
  <c r="C1308" i="15"/>
  <c r="D1306" i="15"/>
  <c r="C1306" i="15"/>
  <c r="D1305" i="15"/>
  <c r="C1305" i="15"/>
  <c r="D1302" i="15"/>
  <c r="C1302" i="15"/>
  <c r="D1298" i="15"/>
  <c r="C1298" i="15"/>
  <c r="D1291" i="15"/>
  <c r="C1291" i="15"/>
  <c r="D1289" i="15"/>
  <c r="C1289" i="15"/>
  <c r="D1288" i="15"/>
  <c r="C1288" i="15"/>
  <c r="D1286" i="15"/>
  <c r="C1286" i="15"/>
  <c r="D1285" i="15"/>
  <c r="C1285" i="15"/>
  <c r="D1284" i="15"/>
  <c r="C1284" i="15"/>
  <c r="D1283" i="15"/>
  <c r="C1283" i="15"/>
  <c r="D1282" i="15"/>
  <c r="C1282" i="15"/>
  <c r="D1281" i="15"/>
  <c r="C1281" i="15"/>
  <c r="D1279" i="15"/>
  <c r="C1279" i="15"/>
  <c r="D1278" i="15"/>
  <c r="C1278" i="15"/>
  <c r="D1275" i="15"/>
  <c r="C1275" i="15"/>
  <c r="D1274" i="15"/>
  <c r="C1274" i="15"/>
  <c r="D1273" i="15"/>
  <c r="C1273" i="15"/>
  <c r="D1272" i="15"/>
  <c r="C1272" i="15"/>
  <c r="D1270" i="15"/>
  <c r="C1270" i="15"/>
  <c r="D1269" i="15"/>
  <c r="C1269" i="15"/>
  <c r="D1268" i="15"/>
  <c r="C1268" i="15"/>
  <c r="D1267" i="15"/>
  <c r="C1267" i="15"/>
  <c r="D1266" i="15"/>
  <c r="C1266" i="15"/>
  <c r="D1263" i="15"/>
  <c r="C1263" i="15"/>
  <c r="D1261" i="15"/>
  <c r="C1261" i="15"/>
  <c r="D1259" i="15"/>
  <c r="C1259" i="15"/>
  <c r="D1258" i="15"/>
  <c r="C1258" i="15"/>
  <c r="D1257" i="15"/>
  <c r="C1257" i="15"/>
  <c r="D1256" i="15"/>
  <c r="C1256" i="15"/>
  <c r="D1255" i="15"/>
  <c r="C1255" i="15"/>
  <c r="D1254" i="15"/>
  <c r="C1254" i="15"/>
  <c r="D1253" i="15"/>
  <c r="C1253" i="15"/>
  <c r="D1252" i="15"/>
  <c r="C1252" i="15"/>
  <c r="D1251" i="15"/>
  <c r="C1251" i="15"/>
  <c r="D1250" i="15"/>
  <c r="C1250" i="15"/>
  <c r="D1249" i="15"/>
  <c r="C1249" i="15"/>
  <c r="D1248" i="15"/>
  <c r="C1248" i="15"/>
  <c r="D1247" i="15"/>
  <c r="C1247" i="15"/>
  <c r="D1244" i="15"/>
  <c r="C1244" i="15"/>
  <c r="D1243" i="15"/>
  <c r="C1243" i="15"/>
  <c r="D1242" i="15"/>
  <c r="C1242" i="15"/>
  <c r="D1240" i="15"/>
  <c r="C1240" i="15"/>
  <c r="D1239" i="15"/>
  <c r="C1239" i="15"/>
  <c r="D1235" i="15"/>
  <c r="C1235" i="15"/>
  <c r="D1233" i="15"/>
  <c r="C1233" i="15"/>
  <c r="D1232" i="15"/>
  <c r="C1232" i="15"/>
  <c r="D1231" i="15"/>
  <c r="C1231" i="15"/>
  <c r="D1230" i="15"/>
  <c r="C1230" i="15"/>
  <c r="D1229" i="15"/>
  <c r="C1229" i="15"/>
  <c r="D1228" i="15"/>
  <c r="C1228" i="15"/>
  <c r="D1227" i="15"/>
  <c r="C1227" i="15"/>
  <c r="D1226" i="15"/>
  <c r="C1226" i="15"/>
  <c r="D1225" i="15"/>
  <c r="C1225" i="15"/>
  <c r="D1224" i="15"/>
  <c r="C1224" i="15"/>
  <c r="D1223" i="15"/>
  <c r="C1223" i="15"/>
  <c r="D1222" i="15"/>
  <c r="C1222" i="15"/>
  <c r="D1221" i="15"/>
  <c r="C1221" i="15"/>
  <c r="D1220" i="15"/>
  <c r="C1220" i="15"/>
  <c r="D1219" i="15"/>
  <c r="C1219" i="15"/>
  <c r="D1218" i="15"/>
  <c r="C1218" i="15"/>
  <c r="D1217" i="15"/>
  <c r="C1217" i="15"/>
  <c r="D1216" i="15"/>
  <c r="C1216" i="15"/>
  <c r="D1215" i="15"/>
  <c r="C1215" i="15"/>
  <c r="D1214" i="15"/>
  <c r="C1214" i="15"/>
  <c r="D1213" i="15"/>
  <c r="C1213" i="15"/>
  <c r="D1211" i="15"/>
  <c r="C1211" i="15"/>
  <c r="D1210" i="15"/>
  <c r="C1210" i="15"/>
  <c r="D1209" i="15"/>
  <c r="C1209" i="15"/>
  <c r="D1208" i="15"/>
  <c r="C1208" i="15"/>
  <c r="D1207" i="15"/>
  <c r="C1207" i="15"/>
  <c r="D1206" i="15"/>
  <c r="C1206" i="15"/>
  <c r="D1205" i="15"/>
  <c r="C1205" i="15"/>
  <c r="D1204" i="15"/>
  <c r="C1204" i="15"/>
  <c r="D1203" i="15"/>
  <c r="C1203" i="15"/>
  <c r="D1201" i="15"/>
  <c r="C1201" i="15"/>
  <c r="D1200" i="15"/>
  <c r="C1200" i="15"/>
  <c r="D1197" i="15"/>
  <c r="C1197" i="15"/>
  <c r="D1196" i="15"/>
  <c r="C1196" i="15"/>
  <c r="D1195" i="15"/>
  <c r="C1195" i="15"/>
  <c r="D1194" i="15"/>
  <c r="C1194" i="15"/>
  <c r="D1193" i="15"/>
  <c r="C1193" i="15"/>
  <c r="D1191" i="15"/>
  <c r="C1191" i="15"/>
  <c r="D1188" i="15"/>
  <c r="C1188" i="15"/>
  <c r="D1186" i="15"/>
  <c r="C1186" i="15"/>
  <c r="D1184" i="15"/>
  <c r="C1184" i="15"/>
  <c r="D1183" i="15"/>
  <c r="C1183" i="15"/>
  <c r="D1182" i="15"/>
  <c r="C1182" i="15"/>
  <c r="D1179" i="15"/>
  <c r="C1179" i="15"/>
  <c r="D1178" i="15"/>
  <c r="C1178" i="15"/>
  <c r="D1177" i="15"/>
  <c r="C1177" i="15"/>
  <c r="D1174" i="15"/>
  <c r="C1174" i="15"/>
  <c r="D1173" i="15"/>
  <c r="C1173" i="15"/>
  <c r="D1172" i="15"/>
  <c r="C1172" i="15"/>
  <c r="D1171" i="15"/>
  <c r="C1171" i="15"/>
  <c r="D1170" i="15"/>
  <c r="C1170" i="15"/>
  <c r="D1169" i="15"/>
  <c r="C1169" i="15"/>
  <c r="D1168" i="15"/>
  <c r="C1168" i="15"/>
  <c r="D1167" i="15"/>
  <c r="C1167" i="15"/>
  <c r="D1165" i="15"/>
  <c r="C1165" i="15"/>
  <c r="D1162" i="15"/>
  <c r="C1162" i="15"/>
  <c r="D1161" i="15"/>
  <c r="C1161" i="15"/>
  <c r="D1158" i="15"/>
  <c r="C1158" i="15"/>
  <c r="D1157" i="15"/>
  <c r="C1157" i="15"/>
  <c r="D1156" i="15"/>
  <c r="C1156" i="15"/>
  <c r="D1153" i="15"/>
  <c r="C1153" i="15"/>
  <c r="D1152" i="15"/>
  <c r="C1152" i="15"/>
  <c r="D1151" i="15"/>
  <c r="C1151" i="15"/>
  <c r="D1148" i="15"/>
  <c r="C1148" i="15"/>
  <c r="D1147" i="15"/>
  <c r="C1147" i="15"/>
  <c r="D1145" i="15"/>
  <c r="C1145" i="15"/>
  <c r="D1143" i="15"/>
  <c r="C1143" i="15"/>
  <c r="D1142" i="15"/>
  <c r="C1142" i="15"/>
  <c r="D1141" i="15"/>
  <c r="C1141" i="15"/>
  <c r="D1140" i="15"/>
  <c r="C1140" i="15"/>
  <c r="D1139" i="15"/>
  <c r="C1139" i="15"/>
  <c r="D1138" i="15"/>
  <c r="C1138" i="15"/>
  <c r="D1137" i="15"/>
  <c r="C1137" i="15"/>
  <c r="D1136" i="15"/>
  <c r="C1136" i="15"/>
  <c r="D1135" i="15"/>
  <c r="C1135" i="15"/>
  <c r="D1132" i="15"/>
  <c r="C1132" i="15"/>
  <c r="D1131" i="15"/>
  <c r="C1131" i="15"/>
  <c r="D1129" i="15"/>
  <c r="C1129" i="15"/>
  <c r="D1128" i="15"/>
  <c r="C1128" i="15"/>
  <c r="D1127" i="15"/>
  <c r="C1127" i="15"/>
  <c r="D1126" i="15"/>
  <c r="C1126" i="15"/>
  <c r="D1125" i="15"/>
  <c r="C1125" i="15"/>
  <c r="D1124" i="15"/>
  <c r="C1124" i="15"/>
  <c r="D1123" i="15"/>
  <c r="C1123" i="15"/>
  <c r="D1122" i="15"/>
  <c r="C1122" i="15"/>
  <c r="D1121" i="15"/>
  <c r="C1121" i="15"/>
  <c r="D1120" i="15"/>
  <c r="C1120" i="15"/>
  <c r="D1119" i="15"/>
  <c r="C1119" i="15"/>
  <c r="D1118" i="15"/>
  <c r="C1118" i="15"/>
  <c r="D1117" i="15"/>
  <c r="C1117" i="15"/>
  <c r="D1116" i="15"/>
  <c r="C1116" i="15"/>
  <c r="D1115" i="15"/>
  <c r="C1115" i="15"/>
  <c r="D1114" i="15"/>
  <c r="C1114" i="15"/>
  <c r="D1113" i="15"/>
  <c r="C1113" i="15"/>
  <c r="D1112" i="15"/>
  <c r="C1112" i="15"/>
  <c r="D1111" i="15"/>
  <c r="C1111" i="15"/>
  <c r="D1109" i="15"/>
  <c r="C1109" i="15"/>
  <c r="D1108" i="15"/>
  <c r="C1108" i="15"/>
  <c r="D1107" i="15"/>
  <c r="C1107" i="15"/>
  <c r="D1106" i="15"/>
  <c r="C1106" i="15"/>
  <c r="D1105" i="15"/>
  <c r="C1105" i="15"/>
  <c r="D1104" i="15"/>
  <c r="C1104" i="15"/>
  <c r="D1101" i="15"/>
  <c r="C1101" i="15"/>
  <c r="D1100" i="15"/>
  <c r="C1100" i="15"/>
  <c r="D1099" i="15"/>
  <c r="C1099" i="15"/>
  <c r="D1098" i="15"/>
  <c r="C1098" i="15"/>
  <c r="D1097" i="15"/>
  <c r="C1097" i="15"/>
  <c r="D1096" i="15"/>
  <c r="C1096" i="15"/>
  <c r="D1094" i="15"/>
  <c r="C1094" i="15"/>
  <c r="D1092" i="15"/>
  <c r="C1092" i="15"/>
  <c r="D1090" i="15"/>
  <c r="C1090" i="15"/>
  <c r="D1089" i="15"/>
  <c r="C1089" i="15"/>
  <c r="D1087" i="15"/>
  <c r="C1087" i="15"/>
  <c r="D1084" i="15"/>
  <c r="C1084" i="15"/>
  <c r="D1083" i="15"/>
  <c r="C1083" i="15"/>
  <c r="D1082" i="15"/>
  <c r="C1082" i="15"/>
  <c r="D1081" i="15"/>
  <c r="C1081" i="15"/>
  <c r="D1080" i="15"/>
  <c r="C1080" i="15"/>
  <c r="D1079" i="15"/>
  <c r="C1079" i="15"/>
  <c r="D1078" i="15"/>
  <c r="C1078" i="15"/>
  <c r="D1077" i="15"/>
  <c r="C1077" i="15"/>
  <c r="D1076" i="15"/>
  <c r="C1076" i="15"/>
  <c r="D1075" i="15"/>
  <c r="C1075" i="15"/>
  <c r="D1074" i="15"/>
  <c r="C1074" i="15"/>
  <c r="D1072" i="15"/>
  <c r="C1072" i="15"/>
  <c r="D1071" i="15"/>
  <c r="C1071" i="15"/>
  <c r="D1070" i="15"/>
  <c r="C1070" i="15"/>
  <c r="D1068" i="15"/>
  <c r="C1068" i="15"/>
  <c r="D1067" i="15"/>
  <c r="C1067" i="15"/>
  <c r="D1066" i="15"/>
  <c r="C1066" i="15"/>
  <c r="D1065" i="15"/>
  <c r="C1065" i="15"/>
  <c r="D1064" i="15"/>
  <c r="C1064" i="15"/>
  <c r="D1063" i="15"/>
  <c r="C1063" i="15"/>
  <c r="D1062" i="15"/>
  <c r="C1062" i="15"/>
  <c r="D1060" i="15"/>
  <c r="C1060" i="15"/>
  <c r="D1056" i="15"/>
  <c r="C1056" i="15"/>
  <c r="D1055" i="15"/>
  <c r="C1055" i="15"/>
  <c r="D1053" i="15"/>
  <c r="C1053" i="15"/>
  <c r="D1052" i="15"/>
  <c r="C1052" i="15"/>
  <c r="D1051" i="15"/>
  <c r="C1051" i="15"/>
  <c r="D1050" i="15"/>
  <c r="C1050" i="15"/>
  <c r="D1049" i="15"/>
  <c r="C1049" i="15"/>
  <c r="D1048" i="15"/>
  <c r="C1048" i="15"/>
  <c r="D1047" i="15"/>
  <c r="C1047" i="15"/>
  <c r="D1046" i="15"/>
  <c r="C1046" i="15"/>
  <c r="D1045" i="15"/>
  <c r="C1045" i="15"/>
  <c r="D1044" i="15"/>
  <c r="C1044" i="15"/>
  <c r="D1043" i="15"/>
  <c r="C1043" i="15"/>
  <c r="D1041" i="15"/>
  <c r="C1041" i="15"/>
  <c r="D1040" i="15"/>
  <c r="C1040" i="15"/>
  <c r="D1039" i="15"/>
  <c r="C1039" i="15"/>
  <c r="D1038" i="15"/>
  <c r="C1038" i="15"/>
  <c r="D1037" i="15"/>
  <c r="C1037" i="15"/>
  <c r="D1036" i="15"/>
  <c r="C1036" i="15"/>
  <c r="D1035" i="15"/>
  <c r="C1035" i="15"/>
  <c r="D1034" i="15"/>
  <c r="C1034" i="15"/>
  <c r="D1033" i="15"/>
  <c r="C1033" i="15"/>
  <c r="D1032" i="15"/>
  <c r="C1032" i="15"/>
  <c r="D1031" i="15"/>
  <c r="C1031" i="15"/>
  <c r="D1030" i="15"/>
  <c r="C1030" i="15"/>
  <c r="D1029" i="15"/>
  <c r="C1029" i="15"/>
  <c r="D1028" i="15"/>
  <c r="C1028" i="15"/>
  <c r="D1025" i="15"/>
  <c r="C1025" i="15"/>
  <c r="D1024" i="15"/>
  <c r="C1024" i="15"/>
  <c r="D1023" i="15"/>
  <c r="C1023" i="15"/>
  <c r="D1022" i="15"/>
  <c r="C1022" i="15"/>
  <c r="D1021" i="15"/>
  <c r="C1021" i="15"/>
  <c r="D1020" i="15"/>
  <c r="C1020" i="15"/>
  <c r="D1019" i="15"/>
  <c r="C1019" i="15"/>
  <c r="D1018" i="15"/>
  <c r="C1018" i="15"/>
  <c r="D1017" i="15"/>
  <c r="C1017" i="15"/>
  <c r="D1016" i="15"/>
  <c r="C1016" i="15"/>
  <c r="D1015" i="15"/>
  <c r="C1015" i="15"/>
  <c r="D1014" i="15"/>
  <c r="C1014" i="15"/>
  <c r="D1013" i="15"/>
  <c r="C1013" i="15"/>
  <c r="D1012" i="15"/>
  <c r="C1012" i="15"/>
  <c r="D1011" i="15"/>
  <c r="C1011" i="15"/>
  <c r="D1006" i="15"/>
  <c r="C1006" i="15"/>
  <c r="D1005" i="15"/>
  <c r="C1005" i="15"/>
  <c r="D1004" i="15"/>
  <c r="C1004" i="15"/>
  <c r="D1003" i="15"/>
  <c r="C1003" i="15"/>
  <c r="D1002" i="15"/>
  <c r="C1002" i="15"/>
  <c r="D998" i="15"/>
  <c r="C998" i="15"/>
  <c r="D997" i="15"/>
  <c r="C997" i="15"/>
  <c r="D996" i="15"/>
  <c r="C996" i="15"/>
  <c r="D994" i="15"/>
  <c r="C994" i="15"/>
  <c r="D993" i="15"/>
  <c r="C993" i="15"/>
  <c r="D990" i="15"/>
  <c r="C990" i="15"/>
  <c r="D988" i="15"/>
  <c r="C988" i="15"/>
  <c r="D987" i="15"/>
  <c r="C987" i="15"/>
  <c r="D984" i="15"/>
  <c r="C984" i="15"/>
  <c r="D981" i="15"/>
  <c r="C981" i="15"/>
  <c r="D978" i="15"/>
  <c r="C978" i="15"/>
  <c r="D977" i="15"/>
  <c r="C977" i="15"/>
  <c r="D974" i="15"/>
  <c r="C974" i="15"/>
  <c r="D973" i="15"/>
  <c r="C973" i="15"/>
  <c r="D972" i="15"/>
  <c r="C972" i="15"/>
  <c r="D971" i="15"/>
  <c r="C971" i="15"/>
  <c r="D970" i="15"/>
  <c r="C970" i="15"/>
  <c r="D969" i="15"/>
  <c r="C969" i="15"/>
  <c r="D968" i="15"/>
  <c r="C968" i="15"/>
  <c r="D967" i="15"/>
  <c r="C967" i="15"/>
  <c r="D966" i="15"/>
  <c r="C966" i="15"/>
  <c r="D965" i="15"/>
  <c r="C965" i="15"/>
  <c r="D964" i="15"/>
  <c r="C964" i="15"/>
  <c r="D963" i="15"/>
  <c r="C963" i="15"/>
  <c r="D962" i="15"/>
  <c r="C962" i="15"/>
  <c r="D961" i="15"/>
  <c r="C961" i="15"/>
  <c r="D960" i="15"/>
  <c r="C960" i="15"/>
  <c r="D959" i="15"/>
  <c r="C959" i="15"/>
  <c r="D956" i="15"/>
  <c r="C956" i="15"/>
  <c r="D955" i="15"/>
  <c r="C955" i="15"/>
  <c r="D954" i="15"/>
  <c r="C954" i="15"/>
  <c r="D953" i="15"/>
  <c r="C953" i="15"/>
  <c r="D952" i="15"/>
  <c r="C952" i="15"/>
  <c r="D950" i="15"/>
  <c r="C950" i="15"/>
  <c r="D949" i="15"/>
  <c r="C949" i="15"/>
  <c r="D948" i="15"/>
  <c r="C948" i="15"/>
  <c r="D947" i="15"/>
  <c r="C947" i="15"/>
  <c r="D946" i="15"/>
  <c r="C946" i="15"/>
  <c r="D945" i="15"/>
  <c r="C945" i="15"/>
  <c r="D944" i="15"/>
  <c r="C944" i="15"/>
  <c r="D943" i="15"/>
  <c r="C943" i="15"/>
  <c r="D942" i="15"/>
  <c r="C942" i="15"/>
  <c r="D941" i="15"/>
  <c r="C941" i="15"/>
  <c r="D940" i="15"/>
  <c r="C940" i="15"/>
  <c r="D939" i="15"/>
  <c r="C939" i="15"/>
  <c r="D938" i="15"/>
  <c r="C938" i="15"/>
  <c r="D937" i="15"/>
  <c r="C937" i="15"/>
  <c r="D935" i="15"/>
  <c r="C935" i="15"/>
  <c r="D934" i="15"/>
  <c r="C934" i="15"/>
  <c r="D933" i="15"/>
  <c r="C933" i="15"/>
  <c r="D932" i="15"/>
  <c r="C932" i="15"/>
  <c r="D931" i="15"/>
  <c r="C931" i="15"/>
  <c r="D930" i="15"/>
  <c r="C930" i="15"/>
  <c r="D929" i="15"/>
  <c r="C929" i="15"/>
  <c r="D926" i="15"/>
  <c r="C926" i="15"/>
  <c r="D924" i="15"/>
  <c r="C924" i="15"/>
  <c r="D922" i="15"/>
  <c r="C922" i="15"/>
  <c r="D921" i="15"/>
  <c r="C921" i="15"/>
  <c r="D920" i="15"/>
  <c r="C920" i="15"/>
  <c r="D919" i="15"/>
  <c r="C919" i="15"/>
  <c r="D917" i="15"/>
  <c r="C917" i="15"/>
  <c r="D916" i="15"/>
  <c r="C916" i="15"/>
  <c r="D913" i="15"/>
  <c r="C913" i="15"/>
  <c r="D912" i="15"/>
  <c r="C912" i="15"/>
  <c r="D910" i="15"/>
  <c r="C910" i="15"/>
  <c r="D909" i="15"/>
  <c r="C909" i="15"/>
  <c r="D908" i="15"/>
  <c r="C908" i="15"/>
  <c r="D905" i="15"/>
  <c r="C905" i="15"/>
  <c r="D903" i="15"/>
  <c r="C903" i="15"/>
  <c r="D902" i="15"/>
  <c r="C902" i="15"/>
  <c r="D901" i="15"/>
  <c r="C901" i="15"/>
  <c r="D900" i="15"/>
  <c r="C900" i="15"/>
  <c r="D899" i="15"/>
  <c r="C899" i="15"/>
  <c r="D898" i="15"/>
  <c r="C898" i="15"/>
  <c r="D897" i="15"/>
  <c r="C897" i="15"/>
  <c r="D896" i="15"/>
  <c r="C896" i="15"/>
  <c r="D895" i="15"/>
  <c r="C895" i="15"/>
  <c r="D894" i="15"/>
  <c r="C894" i="15"/>
  <c r="D893" i="15"/>
  <c r="C893" i="15"/>
  <c r="D892" i="15"/>
  <c r="C892" i="15"/>
  <c r="D891" i="15"/>
  <c r="C891" i="15"/>
  <c r="D890" i="15"/>
  <c r="C890" i="15"/>
  <c r="D889" i="15"/>
  <c r="C889" i="15"/>
  <c r="D888" i="15"/>
  <c r="C888" i="15"/>
  <c r="D886" i="15"/>
  <c r="C886" i="15"/>
  <c r="D885" i="15"/>
  <c r="C885" i="15"/>
  <c r="D884" i="15"/>
  <c r="C884" i="15"/>
  <c r="D883" i="15"/>
  <c r="C883" i="15"/>
  <c r="D882" i="15"/>
  <c r="C882" i="15"/>
  <c r="D881" i="15"/>
  <c r="C881" i="15"/>
  <c r="D877" i="15"/>
  <c r="C877" i="15"/>
  <c r="D875" i="15"/>
  <c r="C875" i="15"/>
  <c r="D874" i="15"/>
  <c r="C874" i="15"/>
  <c r="D873" i="15"/>
  <c r="C873" i="15"/>
  <c r="D872" i="15"/>
  <c r="C872" i="15"/>
  <c r="D871" i="15"/>
  <c r="C871" i="15"/>
  <c r="D870" i="15"/>
  <c r="C870" i="15"/>
  <c r="D869" i="15"/>
  <c r="C869" i="15"/>
  <c r="D868" i="15"/>
  <c r="C868" i="15"/>
  <c r="D867" i="15"/>
  <c r="C867" i="15"/>
  <c r="D866" i="15"/>
  <c r="C866" i="15"/>
  <c r="D865" i="15"/>
  <c r="C865" i="15"/>
  <c r="D864" i="15"/>
  <c r="C864" i="15"/>
  <c r="D862" i="15"/>
  <c r="C862" i="15"/>
  <c r="D858" i="15"/>
  <c r="C858" i="15"/>
  <c r="D857" i="15"/>
  <c r="C857" i="15"/>
  <c r="D856" i="15"/>
  <c r="C856" i="15"/>
  <c r="D855" i="15"/>
  <c r="C855" i="15"/>
  <c r="D848" i="15"/>
  <c r="C848" i="15"/>
  <c r="D847" i="15"/>
  <c r="C847" i="15"/>
  <c r="D846" i="15"/>
  <c r="C846" i="15"/>
  <c r="D845" i="15"/>
  <c r="C845" i="15"/>
  <c r="D844" i="15"/>
  <c r="C844" i="15"/>
  <c r="D842" i="15"/>
  <c r="C842" i="15"/>
  <c r="D841" i="15"/>
  <c r="C841" i="15"/>
  <c r="D839" i="15"/>
  <c r="C839" i="15"/>
  <c r="D838" i="15"/>
  <c r="C838" i="15"/>
  <c r="D836" i="15"/>
  <c r="C836" i="15"/>
  <c r="D835" i="15"/>
  <c r="C835" i="15"/>
  <c r="D831" i="15"/>
  <c r="C831" i="15"/>
  <c r="D829" i="15"/>
  <c r="C829" i="15"/>
  <c r="D828" i="15"/>
  <c r="C828" i="15"/>
  <c r="D827" i="15"/>
  <c r="C827" i="15"/>
  <c r="D826" i="15"/>
  <c r="C826" i="15"/>
  <c r="D825" i="15"/>
  <c r="C825" i="15"/>
  <c r="D824" i="15"/>
  <c r="C824" i="15"/>
  <c r="D819" i="15"/>
  <c r="C819" i="15"/>
  <c r="D818" i="15"/>
  <c r="C818" i="15"/>
  <c r="D817" i="15"/>
  <c r="C817" i="15"/>
  <c r="D816" i="15"/>
  <c r="C816" i="15"/>
  <c r="D815" i="15"/>
  <c r="C815" i="15"/>
  <c r="D814" i="15"/>
  <c r="C814" i="15"/>
  <c r="D812" i="15"/>
  <c r="C812" i="15"/>
  <c r="D811" i="15"/>
  <c r="C811" i="15"/>
  <c r="D810" i="15"/>
  <c r="C810" i="15"/>
  <c r="D809" i="15"/>
  <c r="C809" i="15"/>
  <c r="D807" i="15"/>
  <c r="C807" i="15"/>
  <c r="D806" i="15"/>
  <c r="C806" i="15"/>
  <c r="D805" i="15"/>
  <c r="C805" i="15"/>
  <c r="D803" i="15"/>
  <c r="C803" i="15"/>
  <c r="D802" i="15"/>
  <c r="C802" i="15"/>
  <c r="D801" i="15"/>
  <c r="C801" i="15"/>
  <c r="D800" i="15"/>
  <c r="C800" i="15"/>
  <c r="D799" i="15"/>
  <c r="C799" i="15"/>
  <c r="D798" i="15"/>
  <c r="C798" i="15"/>
  <c r="D797" i="15"/>
  <c r="C797" i="15"/>
  <c r="D796" i="15"/>
  <c r="C796" i="15"/>
  <c r="D794" i="15"/>
  <c r="C794" i="15"/>
  <c r="D793" i="15"/>
  <c r="C793" i="15"/>
  <c r="D792" i="15"/>
  <c r="C792" i="15"/>
  <c r="D791" i="15"/>
  <c r="C791" i="15"/>
  <c r="D790" i="15"/>
  <c r="C790" i="15"/>
  <c r="D788" i="15"/>
  <c r="C788" i="15"/>
  <c r="D787" i="15"/>
  <c r="C787" i="15"/>
  <c r="D786" i="15"/>
  <c r="C786" i="15"/>
  <c r="D785" i="15"/>
  <c r="C785" i="15"/>
  <c r="D784" i="15"/>
  <c r="C784" i="15"/>
  <c r="D783" i="15"/>
  <c r="C783" i="15"/>
  <c r="D782" i="15"/>
  <c r="C782" i="15"/>
  <c r="D780" i="15"/>
  <c r="C780" i="15"/>
  <c r="D779" i="15"/>
  <c r="C779" i="15"/>
  <c r="D778" i="15"/>
  <c r="C778" i="15"/>
  <c r="D777" i="15"/>
  <c r="C777" i="15"/>
  <c r="D776" i="15"/>
  <c r="C776" i="15"/>
  <c r="D775" i="15"/>
  <c r="C775" i="15"/>
  <c r="D774" i="15"/>
  <c r="C774" i="15"/>
  <c r="D773" i="15"/>
  <c r="C773" i="15"/>
  <c r="D772" i="15"/>
  <c r="C772" i="15"/>
  <c r="D771" i="15"/>
  <c r="C771" i="15"/>
  <c r="D770" i="15"/>
  <c r="C770" i="15"/>
  <c r="D769" i="15"/>
  <c r="C769" i="15"/>
  <c r="D768" i="15"/>
  <c r="C768" i="15"/>
  <c r="D767" i="15"/>
  <c r="C767" i="15"/>
  <c r="D766" i="15"/>
  <c r="C766" i="15"/>
  <c r="D765" i="15"/>
  <c r="C765" i="15"/>
  <c r="D764" i="15"/>
  <c r="C764" i="15"/>
  <c r="D763" i="15"/>
  <c r="C763" i="15"/>
  <c r="D759" i="15"/>
  <c r="C759" i="15"/>
  <c r="D757" i="15"/>
  <c r="C757" i="15"/>
  <c r="D756" i="15"/>
  <c r="C756" i="15"/>
  <c r="D754" i="15"/>
  <c r="C754" i="15"/>
  <c r="D752" i="15"/>
  <c r="C752" i="15"/>
  <c r="D751" i="15"/>
  <c r="C751" i="15"/>
  <c r="D748" i="15"/>
  <c r="C748" i="15"/>
  <c r="D746" i="15"/>
  <c r="C746" i="15"/>
  <c r="D745" i="15"/>
  <c r="C745" i="15"/>
  <c r="D743" i="15"/>
  <c r="C743" i="15"/>
  <c r="D742" i="15"/>
  <c r="C742" i="15"/>
  <c r="D741" i="15"/>
  <c r="C741" i="15"/>
  <c r="D740" i="15"/>
  <c r="C740" i="15"/>
  <c r="D739" i="15"/>
  <c r="C739" i="15"/>
  <c r="D737" i="15"/>
  <c r="C737" i="15"/>
  <c r="D736" i="15"/>
  <c r="C736" i="15"/>
  <c r="D735" i="15"/>
  <c r="C735" i="15"/>
  <c r="D732" i="15"/>
  <c r="C732" i="15"/>
  <c r="D730" i="15"/>
  <c r="C730" i="15"/>
  <c r="D728" i="15"/>
  <c r="C728" i="15"/>
  <c r="D727" i="15"/>
  <c r="C727" i="15"/>
  <c r="D726" i="15"/>
  <c r="C726" i="15"/>
  <c r="D724" i="15"/>
  <c r="C724" i="15"/>
  <c r="D723" i="15"/>
  <c r="C723" i="15"/>
  <c r="D721" i="15"/>
  <c r="C721" i="15"/>
  <c r="D720" i="15"/>
  <c r="C720" i="15"/>
  <c r="D719" i="15"/>
  <c r="C719" i="15"/>
  <c r="D718" i="15"/>
  <c r="C718" i="15"/>
  <c r="D717" i="15"/>
  <c r="C717" i="15"/>
  <c r="D714" i="15"/>
  <c r="C714" i="15"/>
  <c r="D713" i="15"/>
  <c r="C713" i="15"/>
  <c r="D712" i="15"/>
  <c r="C712" i="15"/>
  <c r="D711" i="15"/>
  <c r="C711" i="15"/>
  <c r="D710" i="15"/>
  <c r="C710" i="15"/>
  <c r="D709" i="15"/>
  <c r="C709" i="15"/>
  <c r="D708" i="15"/>
  <c r="C708" i="15"/>
  <c r="D707" i="15"/>
  <c r="C707" i="15"/>
  <c r="D706" i="15"/>
  <c r="C706" i="15"/>
  <c r="D705" i="15"/>
  <c r="C705" i="15"/>
  <c r="D703" i="15"/>
  <c r="C703" i="15"/>
  <c r="D702" i="15"/>
  <c r="C702" i="15"/>
  <c r="D701" i="15"/>
  <c r="C701" i="15"/>
  <c r="D700" i="15"/>
  <c r="C700" i="15"/>
  <c r="D699" i="15"/>
  <c r="C699" i="15"/>
  <c r="D695" i="15"/>
  <c r="C695" i="15"/>
  <c r="D694" i="15"/>
  <c r="C694" i="15"/>
  <c r="D691" i="15"/>
  <c r="C691" i="15"/>
  <c r="D689" i="15"/>
  <c r="C689" i="15"/>
  <c r="D686" i="15"/>
  <c r="C686" i="15"/>
  <c r="D684" i="15"/>
  <c r="C684" i="15"/>
  <c r="D683" i="15"/>
  <c r="C683" i="15"/>
  <c r="D682" i="15"/>
  <c r="C682" i="15"/>
  <c r="D680" i="15"/>
  <c r="C680" i="15"/>
  <c r="D679" i="15"/>
  <c r="C679" i="15"/>
  <c r="D671" i="15"/>
  <c r="C671" i="15"/>
  <c r="D670" i="15"/>
  <c r="C670" i="15"/>
  <c r="D669" i="15"/>
  <c r="C669" i="15"/>
  <c r="D668" i="15"/>
  <c r="C668" i="15"/>
  <c r="D667" i="15"/>
  <c r="C667" i="15"/>
  <c r="D666" i="15"/>
  <c r="C666" i="15"/>
  <c r="D664" i="15"/>
  <c r="C664" i="15"/>
  <c r="D663" i="15"/>
  <c r="C663" i="15"/>
  <c r="D662" i="15"/>
  <c r="C662" i="15"/>
  <c r="D661" i="15"/>
  <c r="C661" i="15"/>
  <c r="D659" i="15"/>
  <c r="C659" i="15"/>
  <c r="D658" i="15"/>
  <c r="C658" i="15"/>
  <c r="D657" i="15"/>
  <c r="C657" i="15"/>
  <c r="D656" i="15"/>
  <c r="C656" i="15"/>
  <c r="D655" i="15"/>
  <c r="C655" i="15"/>
  <c r="D651" i="15"/>
  <c r="C651" i="15"/>
  <c r="D650" i="15"/>
  <c r="C650" i="15"/>
  <c r="D649" i="15"/>
  <c r="C649" i="15"/>
  <c r="D648" i="15"/>
  <c r="C648" i="15"/>
  <c r="D647" i="15"/>
  <c r="C647" i="15"/>
  <c r="D646" i="15"/>
  <c r="C646" i="15"/>
  <c r="D645" i="15"/>
  <c r="C645" i="15"/>
  <c r="D644" i="15"/>
  <c r="C644" i="15"/>
  <c r="D643" i="15"/>
  <c r="C643" i="15"/>
  <c r="D642" i="15"/>
  <c r="C642" i="15"/>
  <c r="D641" i="15"/>
  <c r="C641" i="15"/>
  <c r="D640" i="15"/>
  <c r="C640" i="15"/>
  <c r="D639" i="15"/>
  <c r="C639" i="15"/>
  <c r="D638" i="15"/>
  <c r="C638" i="15"/>
  <c r="D636" i="15"/>
  <c r="C636" i="15"/>
  <c r="D635" i="15"/>
  <c r="C635" i="15"/>
  <c r="D631" i="15"/>
  <c r="C631" i="15"/>
  <c r="D630" i="15"/>
  <c r="C630" i="15"/>
  <c r="D626" i="15"/>
  <c r="C626" i="15"/>
  <c r="D624" i="15"/>
  <c r="C624" i="15"/>
  <c r="D623" i="15"/>
  <c r="C623" i="15"/>
  <c r="D622" i="15"/>
  <c r="C622" i="15"/>
  <c r="D620" i="15"/>
  <c r="C620" i="15"/>
  <c r="D619" i="15"/>
  <c r="C619" i="15"/>
  <c r="D618" i="15"/>
  <c r="C618" i="15"/>
  <c r="D616" i="15"/>
  <c r="C616" i="15"/>
  <c r="D615" i="15"/>
  <c r="C615" i="15"/>
  <c r="D614" i="15"/>
  <c r="C614" i="15"/>
  <c r="D613" i="15"/>
  <c r="C613" i="15"/>
  <c r="D610" i="15"/>
  <c r="C610" i="15"/>
  <c r="D609" i="15"/>
  <c r="C609" i="15"/>
  <c r="D607" i="15"/>
  <c r="C607" i="15"/>
  <c r="D606" i="15"/>
  <c r="C606" i="15"/>
  <c r="D605" i="15"/>
  <c r="C605" i="15"/>
  <c r="D604" i="15"/>
  <c r="C604" i="15"/>
  <c r="D603" i="15"/>
  <c r="C603" i="15"/>
  <c r="D600" i="15"/>
  <c r="C600" i="15"/>
  <c r="D599" i="15"/>
  <c r="C599" i="15"/>
  <c r="D598" i="15"/>
  <c r="C598" i="15"/>
  <c r="D597" i="15"/>
  <c r="C597" i="15"/>
  <c r="D596" i="15"/>
  <c r="C596" i="15"/>
  <c r="D595" i="15"/>
  <c r="C595" i="15"/>
  <c r="D594" i="15"/>
  <c r="C594" i="15"/>
  <c r="D591" i="15"/>
  <c r="C591" i="15"/>
  <c r="D590" i="15"/>
  <c r="C590" i="15"/>
  <c r="D589" i="15"/>
  <c r="C589" i="15"/>
  <c r="D588" i="15"/>
  <c r="C588" i="15"/>
  <c r="D587" i="15"/>
  <c r="C587" i="15"/>
  <c r="D586" i="15"/>
  <c r="C586" i="15"/>
  <c r="D585" i="15"/>
  <c r="C585" i="15"/>
  <c r="D583" i="15"/>
  <c r="C583" i="15"/>
  <c r="D582" i="15"/>
  <c r="C582" i="15"/>
  <c r="D580" i="15"/>
  <c r="C580" i="15"/>
  <c r="D579" i="15"/>
  <c r="C579" i="15"/>
  <c r="D578" i="15"/>
  <c r="C578" i="15"/>
  <c r="D577" i="15"/>
  <c r="C577" i="15"/>
  <c r="D575" i="15"/>
  <c r="C575" i="15"/>
  <c r="D574" i="15"/>
  <c r="C574" i="15"/>
  <c r="D573" i="15"/>
  <c r="C573" i="15"/>
  <c r="D572" i="15"/>
  <c r="C572" i="15"/>
  <c r="D571" i="15"/>
  <c r="C571" i="15"/>
  <c r="D570" i="15"/>
  <c r="C570" i="15"/>
  <c r="D569" i="15"/>
  <c r="C569" i="15"/>
  <c r="D568" i="15"/>
  <c r="C568" i="15"/>
  <c r="D567" i="15"/>
  <c r="C567" i="15"/>
  <c r="D566" i="15"/>
  <c r="C566" i="15"/>
  <c r="D565" i="15"/>
  <c r="C565" i="15"/>
  <c r="D563" i="15"/>
  <c r="C563" i="15"/>
  <c r="D562" i="15"/>
  <c r="C562" i="15"/>
  <c r="D561" i="15"/>
  <c r="C561" i="15"/>
  <c r="D560" i="15"/>
  <c r="C560" i="15"/>
  <c r="D558" i="15"/>
  <c r="C558" i="15"/>
  <c r="D557" i="15"/>
  <c r="C557" i="15"/>
  <c r="D555" i="15"/>
  <c r="C555" i="15"/>
  <c r="D554" i="15"/>
  <c r="C554" i="15"/>
  <c r="D553" i="15"/>
  <c r="C553" i="15"/>
  <c r="D551" i="15"/>
  <c r="C551" i="15"/>
  <c r="D550" i="15"/>
  <c r="C550" i="15"/>
  <c r="D548" i="15"/>
  <c r="C548" i="15"/>
  <c r="D547" i="15"/>
  <c r="C547" i="15"/>
  <c r="D546" i="15"/>
  <c r="C546" i="15"/>
  <c r="D545" i="15"/>
  <c r="C545" i="15"/>
  <c r="D544" i="15"/>
  <c r="C544" i="15"/>
  <c r="D543" i="15"/>
  <c r="C543" i="15"/>
  <c r="D542" i="15"/>
  <c r="C542" i="15"/>
  <c r="D541" i="15"/>
  <c r="C541" i="15"/>
  <c r="D540" i="15"/>
  <c r="C540" i="15"/>
  <c r="D538" i="15"/>
  <c r="C538" i="15"/>
  <c r="D536" i="15"/>
  <c r="C536" i="15"/>
  <c r="D535" i="15"/>
  <c r="C535" i="15"/>
  <c r="D534" i="15"/>
  <c r="C534" i="15"/>
  <c r="D533" i="15"/>
  <c r="C533" i="15"/>
  <c r="D531" i="15"/>
  <c r="C531" i="15"/>
  <c r="D526" i="15"/>
  <c r="C526" i="15"/>
  <c r="D525" i="15"/>
  <c r="C525" i="15"/>
  <c r="D524" i="15"/>
  <c r="C524" i="15"/>
  <c r="D523" i="15"/>
  <c r="C523" i="15"/>
  <c r="D522" i="15"/>
  <c r="C522" i="15"/>
  <c r="D521" i="15"/>
  <c r="C521" i="15"/>
  <c r="D520" i="15"/>
  <c r="C520" i="15"/>
  <c r="D519" i="15"/>
  <c r="C519" i="15"/>
  <c r="D517" i="15"/>
  <c r="C517" i="15"/>
  <c r="D514" i="15"/>
  <c r="C514" i="15"/>
  <c r="D513" i="15"/>
  <c r="C513" i="15"/>
  <c r="D512" i="15"/>
  <c r="C512" i="15"/>
  <c r="D504" i="15"/>
  <c r="C504" i="15"/>
  <c r="D503" i="15"/>
  <c r="C503" i="15"/>
  <c r="D501" i="15"/>
  <c r="C501" i="15"/>
  <c r="D500" i="15"/>
  <c r="C500" i="15"/>
  <c r="D499" i="15"/>
  <c r="C499" i="15"/>
  <c r="D497" i="15"/>
  <c r="C497" i="15"/>
  <c r="D496" i="15"/>
  <c r="C496" i="15"/>
  <c r="D495" i="15"/>
  <c r="C495" i="15"/>
  <c r="D494" i="15"/>
  <c r="C494" i="15"/>
  <c r="D493" i="15"/>
  <c r="C493" i="15"/>
  <c r="D492" i="15"/>
  <c r="C492" i="15"/>
  <c r="D490" i="15"/>
  <c r="C490" i="15"/>
  <c r="D489" i="15"/>
  <c r="C489" i="15"/>
  <c r="D487" i="15"/>
  <c r="C487" i="15"/>
  <c r="D486" i="15"/>
  <c r="C486" i="15"/>
  <c r="D485" i="15"/>
  <c r="C485" i="15"/>
  <c r="D484" i="15"/>
  <c r="C484" i="15"/>
  <c r="D482" i="15"/>
  <c r="C482" i="15"/>
  <c r="D481" i="15"/>
  <c r="C481" i="15"/>
  <c r="D478" i="15"/>
  <c r="C478" i="15"/>
  <c r="D477" i="15"/>
  <c r="C477" i="15"/>
  <c r="D476" i="15"/>
  <c r="C476" i="15"/>
  <c r="D473" i="15"/>
  <c r="C473" i="15"/>
  <c r="D472" i="15"/>
  <c r="C472" i="15"/>
  <c r="D470" i="15"/>
  <c r="C470" i="15"/>
  <c r="D468" i="15"/>
  <c r="C468" i="15"/>
  <c r="D467" i="15"/>
  <c r="C467" i="15"/>
  <c r="D466" i="15"/>
  <c r="C466" i="15"/>
  <c r="D464" i="15"/>
  <c r="C464" i="15"/>
  <c r="D463" i="15"/>
  <c r="C463" i="15"/>
  <c r="D461" i="15"/>
  <c r="C461" i="15"/>
  <c r="D460" i="15"/>
  <c r="C460" i="15"/>
  <c r="D459" i="15"/>
  <c r="C459" i="15"/>
  <c r="D458" i="15"/>
  <c r="C458" i="15"/>
  <c r="D457" i="15"/>
  <c r="C457" i="15"/>
  <c r="D456" i="15"/>
  <c r="C456" i="15"/>
  <c r="D455" i="15"/>
  <c r="C455" i="15"/>
  <c r="D454" i="15"/>
  <c r="C454" i="15"/>
  <c r="D453" i="15"/>
  <c r="C453" i="15"/>
  <c r="D452" i="15"/>
  <c r="C452" i="15"/>
  <c r="D451" i="15"/>
  <c r="C451" i="15"/>
  <c r="D450" i="15"/>
  <c r="C450" i="15"/>
  <c r="D449" i="15"/>
  <c r="C449" i="15"/>
  <c r="D448" i="15"/>
  <c r="C448" i="15"/>
  <c r="D447" i="15"/>
  <c r="C447" i="15"/>
  <c r="D445" i="15"/>
  <c r="C445" i="15"/>
  <c r="D443" i="15"/>
  <c r="C443" i="15"/>
  <c r="D441" i="15"/>
  <c r="C441" i="15"/>
  <c r="D440" i="15"/>
  <c r="C440" i="15"/>
  <c r="D439" i="15"/>
  <c r="C439" i="15"/>
  <c r="D438" i="15"/>
  <c r="C438" i="15"/>
  <c r="D437" i="15"/>
  <c r="C437" i="15"/>
  <c r="D436" i="15"/>
  <c r="C436" i="15"/>
  <c r="D435" i="15"/>
  <c r="C435" i="15"/>
  <c r="D434" i="15"/>
  <c r="C434" i="15"/>
  <c r="D433" i="15"/>
  <c r="C433" i="15"/>
  <c r="D431" i="15"/>
  <c r="C431" i="15"/>
  <c r="D430" i="15"/>
  <c r="C430" i="15"/>
  <c r="D429" i="15"/>
  <c r="C429" i="15"/>
  <c r="D428" i="15"/>
  <c r="C428" i="15"/>
  <c r="D427" i="15"/>
  <c r="C427" i="15"/>
  <c r="D423" i="15"/>
  <c r="C423" i="15"/>
  <c r="D422" i="15"/>
  <c r="C422" i="15"/>
  <c r="D420" i="15"/>
  <c r="C420" i="15"/>
  <c r="D419" i="15"/>
  <c r="C419" i="15"/>
  <c r="D418" i="15"/>
  <c r="C418" i="15"/>
  <c r="D417" i="15"/>
  <c r="C417" i="15"/>
  <c r="D416" i="15"/>
  <c r="C416" i="15"/>
  <c r="D415" i="15"/>
  <c r="C415" i="15"/>
  <c r="D414" i="15"/>
  <c r="C414" i="15"/>
  <c r="D413" i="15"/>
  <c r="C413" i="15"/>
  <c r="D411" i="15"/>
  <c r="C411" i="15"/>
  <c r="D410" i="15"/>
  <c r="C410" i="15"/>
  <c r="D409" i="15"/>
  <c r="C409" i="15"/>
  <c r="D407" i="15"/>
  <c r="C407" i="15"/>
  <c r="D406" i="15"/>
  <c r="C406" i="15"/>
  <c r="D405" i="15"/>
  <c r="C405" i="15"/>
  <c r="D404" i="15"/>
  <c r="C404" i="15"/>
  <c r="D401" i="15"/>
  <c r="C401" i="15"/>
  <c r="D400" i="15"/>
  <c r="C400" i="15"/>
  <c r="D399" i="15"/>
  <c r="C399" i="15"/>
  <c r="D398" i="15"/>
  <c r="C398" i="15"/>
  <c r="D397" i="15"/>
  <c r="C397" i="15"/>
  <c r="D396" i="15"/>
  <c r="C396" i="15"/>
  <c r="D394" i="15"/>
  <c r="C394" i="15"/>
  <c r="D392" i="15"/>
  <c r="C392" i="15"/>
  <c r="D391" i="15"/>
  <c r="C391" i="15"/>
  <c r="D390" i="15"/>
  <c r="C390" i="15"/>
  <c r="D389" i="15"/>
  <c r="C389" i="15"/>
  <c r="D387" i="15"/>
  <c r="C387" i="15"/>
  <c r="D386" i="15"/>
  <c r="C386" i="15"/>
  <c r="D385" i="15"/>
  <c r="C385" i="15"/>
  <c r="D383" i="15"/>
  <c r="C383" i="15"/>
  <c r="D382" i="15"/>
  <c r="C382" i="15"/>
  <c r="D381" i="15"/>
  <c r="C381" i="15"/>
  <c r="D379" i="15"/>
  <c r="C379" i="15"/>
  <c r="D378" i="15"/>
  <c r="C378" i="15"/>
  <c r="D375" i="15"/>
  <c r="C375" i="15"/>
  <c r="D374" i="15"/>
  <c r="C374" i="15"/>
  <c r="D373" i="15"/>
  <c r="C373" i="15"/>
  <c r="D372" i="15"/>
  <c r="C372" i="15"/>
  <c r="D371" i="15"/>
  <c r="C371" i="15"/>
  <c r="D370" i="15"/>
  <c r="C370" i="15"/>
  <c r="D369" i="15"/>
  <c r="C369" i="15"/>
  <c r="D367" i="15"/>
  <c r="C367" i="15"/>
  <c r="D363" i="15"/>
  <c r="C363" i="15"/>
  <c r="D362" i="15"/>
  <c r="C362" i="15"/>
  <c r="D361" i="15"/>
  <c r="C361" i="15"/>
  <c r="D360" i="15"/>
  <c r="C360" i="15"/>
  <c r="D359" i="15"/>
  <c r="C359" i="15"/>
  <c r="D358" i="15"/>
  <c r="C358" i="15"/>
  <c r="D357" i="15"/>
  <c r="C357" i="15"/>
  <c r="D356" i="15"/>
  <c r="C356" i="15"/>
  <c r="D355" i="15"/>
  <c r="C355" i="15"/>
  <c r="D354" i="15"/>
  <c r="C354" i="15"/>
  <c r="D353" i="15"/>
  <c r="C353" i="15"/>
  <c r="D351" i="15"/>
  <c r="C351" i="15"/>
  <c r="D350" i="15"/>
  <c r="C350" i="15"/>
  <c r="D349" i="15"/>
  <c r="C349" i="15"/>
  <c r="D347" i="15"/>
  <c r="C347" i="15"/>
  <c r="D345" i="15"/>
  <c r="C345" i="15"/>
  <c r="D344" i="15"/>
  <c r="C344" i="15"/>
  <c r="D343" i="15"/>
  <c r="C343" i="15"/>
  <c r="D342" i="15"/>
  <c r="C342" i="15"/>
  <c r="D340" i="15"/>
  <c r="C340" i="15"/>
  <c r="D337" i="15"/>
  <c r="C337" i="15"/>
  <c r="D336" i="15"/>
  <c r="C336" i="15"/>
  <c r="D335" i="15"/>
  <c r="C335" i="15"/>
  <c r="D334" i="15"/>
  <c r="C334" i="15"/>
  <c r="D333" i="15"/>
  <c r="C333" i="15"/>
  <c r="D332" i="15"/>
  <c r="C332" i="15"/>
  <c r="D330" i="15"/>
  <c r="C330" i="15"/>
  <c r="D329" i="15"/>
  <c r="C329" i="15"/>
  <c r="D328" i="15"/>
  <c r="C328" i="15"/>
  <c r="D327" i="15"/>
  <c r="C327" i="15"/>
  <c r="D326" i="15"/>
  <c r="C326" i="15"/>
  <c r="D325" i="15"/>
  <c r="C325" i="15"/>
  <c r="D324" i="15"/>
  <c r="C324" i="15"/>
  <c r="D323" i="15"/>
  <c r="C323" i="15"/>
  <c r="D322" i="15"/>
  <c r="C322" i="15"/>
  <c r="D321" i="15"/>
  <c r="C321" i="15"/>
  <c r="D320" i="15"/>
  <c r="C320" i="15"/>
  <c r="D319" i="15"/>
  <c r="C319" i="15"/>
  <c r="D318" i="15"/>
  <c r="C318" i="15"/>
  <c r="D317" i="15"/>
  <c r="C317" i="15"/>
  <c r="D316" i="15"/>
  <c r="C316" i="15"/>
  <c r="D315" i="15"/>
  <c r="C315" i="15"/>
  <c r="D314" i="15"/>
  <c r="C314" i="15"/>
  <c r="D313" i="15"/>
  <c r="C313" i="15"/>
  <c r="D312" i="15"/>
  <c r="C312" i="15"/>
  <c r="D310" i="15"/>
  <c r="C310" i="15"/>
  <c r="D309" i="15"/>
  <c r="C309" i="15"/>
  <c r="D303" i="15"/>
  <c r="C303" i="15"/>
  <c r="D302" i="15"/>
  <c r="C302" i="15"/>
  <c r="D301" i="15"/>
  <c r="C301" i="15"/>
  <c r="D300" i="15"/>
  <c r="C300" i="15"/>
  <c r="D299" i="15"/>
  <c r="C299" i="15"/>
  <c r="D298" i="15"/>
  <c r="C298" i="15"/>
  <c r="D297" i="15"/>
  <c r="C297" i="15"/>
  <c r="D296" i="15"/>
  <c r="C296" i="15"/>
  <c r="D295" i="15"/>
  <c r="C295" i="15"/>
  <c r="D294" i="15"/>
  <c r="C294" i="15"/>
  <c r="D292" i="15"/>
  <c r="C292" i="15"/>
  <c r="D291" i="15"/>
  <c r="C291" i="15"/>
  <c r="D290" i="15"/>
  <c r="C290" i="15"/>
  <c r="D289" i="15"/>
  <c r="C289" i="15"/>
  <c r="D288" i="15"/>
  <c r="C288" i="15"/>
  <c r="D287" i="15"/>
  <c r="C287" i="15"/>
  <c r="D285" i="15"/>
  <c r="C285" i="15"/>
  <c r="D284" i="15"/>
  <c r="C284" i="15"/>
  <c r="D283" i="15"/>
  <c r="C283" i="15"/>
  <c r="D281" i="15"/>
  <c r="C281" i="15"/>
  <c r="D279" i="15"/>
  <c r="C279" i="15"/>
  <c r="D278" i="15"/>
  <c r="C278" i="15"/>
  <c r="D277" i="15"/>
  <c r="C277" i="15"/>
  <c r="D276" i="15"/>
  <c r="C276" i="15"/>
  <c r="D275" i="15"/>
  <c r="C275" i="15"/>
  <c r="D271" i="15"/>
  <c r="C271" i="15"/>
  <c r="D270" i="15"/>
  <c r="C270" i="15"/>
  <c r="D269" i="15"/>
  <c r="C269" i="15"/>
  <c r="D268" i="15"/>
  <c r="C268" i="15"/>
  <c r="D267" i="15"/>
  <c r="C267" i="15"/>
  <c r="D266" i="15"/>
  <c r="C266" i="15"/>
  <c r="D265" i="15"/>
  <c r="C265" i="15"/>
  <c r="D264" i="15"/>
  <c r="C264" i="15"/>
  <c r="D262" i="15"/>
  <c r="C262" i="15"/>
  <c r="D260" i="15"/>
  <c r="C260" i="15"/>
  <c r="D258" i="15"/>
  <c r="C258" i="15"/>
  <c r="D257" i="15"/>
  <c r="C257" i="15"/>
  <c r="D256" i="15"/>
  <c r="C256" i="15"/>
  <c r="D255" i="15"/>
  <c r="C255" i="15"/>
  <c r="D254" i="15"/>
  <c r="C254" i="15"/>
  <c r="D253" i="15"/>
  <c r="C253" i="15"/>
  <c r="D252" i="15"/>
  <c r="C252" i="15"/>
  <c r="D251" i="15"/>
  <c r="C251" i="15"/>
  <c r="D250" i="15"/>
  <c r="C250" i="15"/>
  <c r="D248" i="15"/>
  <c r="C248" i="15"/>
  <c r="D247" i="15"/>
  <c r="C247" i="15"/>
  <c r="D246" i="15"/>
  <c r="C246" i="15"/>
  <c r="D245" i="15"/>
  <c r="C245" i="15"/>
  <c r="D243" i="15"/>
  <c r="C243" i="15"/>
  <c r="D238" i="15"/>
  <c r="C238" i="15"/>
  <c r="D237" i="15"/>
  <c r="C237" i="15"/>
  <c r="D236" i="15"/>
  <c r="C236" i="15"/>
  <c r="D234" i="15"/>
  <c r="C234" i="15"/>
  <c r="D233" i="15"/>
  <c r="C233" i="15"/>
  <c r="D230" i="15"/>
  <c r="C230" i="15"/>
  <c r="D226" i="15"/>
  <c r="C226" i="15"/>
  <c r="D225" i="15"/>
  <c r="C225" i="15"/>
  <c r="D222" i="15"/>
  <c r="C222" i="15"/>
  <c r="D220" i="15"/>
  <c r="C220" i="15"/>
  <c r="D219" i="15"/>
  <c r="C219" i="15"/>
  <c r="D216" i="15"/>
  <c r="C216" i="15"/>
  <c r="D215" i="15"/>
  <c r="C215" i="15"/>
  <c r="D214" i="15"/>
  <c r="C214" i="15"/>
  <c r="D212" i="15"/>
  <c r="C212" i="15"/>
  <c r="D209" i="15"/>
  <c r="C209" i="15"/>
  <c r="D206" i="15"/>
  <c r="C206" i="15"/>
  <c r="D204" i="15"/>
  <c r="C204" i="15"/>
  <c r="D203" i="15"/>
  <c r="C203" i="15"/>
  <c r="D201" i="15"/>
  <c r="C201" i="15"/>
  <c r="D198" i="15"/>
  <c r="C198" i="15"/>
  <c r="D197" i="15"/>
  <c r="C197" i="15"/>
  <c r="D194" i="15"/>
  <c r="C194" i="15"/>
  <c r="D193" i="15"/>
  <c r="C193" i="15"/>
  <c r="D192" i="15"/>
  <c r="C192" i="15"/>
  <c r="D191" i="15"/>
  <c r="C191" i="15"/>
  <c r="D188" i="15"/>
  <c r="C188" i="15"/>
  <c r="D187" i="15"/>
  <c r="C187" i="15"/>
  <c r="D185" i="15"/>
  <c r="C185" i="15"/>
  <c r="D184" i="15"/>
  <c r="C184" i="15"/>
  <c r="D182" i="15"/>
  <c r="C182" i="15"/>
  <c r="D181" i="15"/>
  <c r="C181" i="15"/>
  <c r="D179" i="15"/>
  <c r="C179" i="15"/>
  <c r="D177" i="15"/>
  <c r="C177" i="15"/>
  <c r="D173" i="15"/>
  <c r="C173" i="15"/>
  <c r="D171" i="15"/>
  <c r="C171" i="15"/>
  <c r="D169" i="15"/>
  <c r="C169" i="15"/>
  <c r="D168" i="15"/>
  <c r="C168" i="15"/>
  <c r="D167" i="15"/>
  <c r="C167" i="15"/>
  <c r="D166" i="15"/>
  <c r="C166" i="15"/>
  <c r="D164" i="15"/>
  <c r="C164" i="15"/>
  <c r="D161" i="15"/>
  <c r="C161" i="15"/>
  <c r="D160" i="15"/>
  <c r="C160" i="15"/>
  <c r="D159" i="15"/>
  <c r="C159" i="15"/>
  <c r="D157" i="15"/>
  <c r="C157" i="15"/>
  <c r="D155" i="15"/>
  <c r="C155" i="15"/>
  <c r="D154" i="15"/>
  <c r="C154" i="15"/>
  <c r="D153" i="15"/>
  <c r="C153" i="15"/>
  <c r="D152" i="15"/>
  <c r="C152" i="15"/>
  <c r="D151" i="15"/>
  <c r="C151" i="15"/>
  <c r="D148" i="15"/>
  <c r="C148" i="15"/>
  <c r="D147" i="15"/>
  <c r="C147" i="15"/>
  <c r="D146" i="15"/>
  <c r="C146" i="15"/>
  <c r="D143" i="15"/>
  <c r="C143" i="15"/>
  <c r="D141" i="15"/>
  <c r="C141" i="15"/>
  <c r="D140" i="15"/>
  <c r="C140" i="15"/>
  <c r="D138" i="15"/>
  <c r="C138" i="15"/>
  <c r="D137" i="15"/>
  <c r="C137" i="15"/>
  <c r="D135" i="15"/>
  <c r="C135" i="15"/>
  <c r="D134" i="15"/>
  <c r="C134" i="15"/>
  <c r="D132" i="15"/>
  <c r="C132" i="15"/>
  <c r="D131" i="15"/>
  <c r="C131" i="15"/>
  <c r="D130" i="15"/>
  <c r="C130" i="15"/>
  <c r="D129" i="15"/>
  <c r="C129" i="15"/>
  <c r="D128" i="15"/>
  <c r="C128" i="15"/>
  <c r="D127" i="15"/>
  <c r="C127" i="15"/>
  <c r="D126" i="15"/>
  <c r="C126" i="15"/>
  <c r="D125" i="15"/>
  <c r="C125" i="15"/>
  <c r="D124" i="15"/>
  <c r="C124" i="15"/>
  <c r="D123" i="15"/>
  <c r="C123" i="15"/>
  <c r="D122" i="15"/>
  <c r="C122" i="15"/>
  <c r="D120" i="15"/>
  <c r="C120" i="15"/>
  <c r="D119" i="15"/>
  <c r="C119" i="15"/>
  <c r="D117" i="15"/>
  <c r="C117" i="15"/>
  <c r="D113" i="15"/>
  <c r="C113" i="15"/>
  <c r="D112" i="15"/>
  <c r="C112" i="15"/>
  <c r="D111" i="15"/>
  <c r="C111" i="15"/>
  <c r="D107" i="15"/>
  <c r="C107" i="15"/>
  <c r="D106" i="15"/>
  <c r="C106" i="15"/>
  <c r="D105" i="15"/>
  <c r="C105" i="15"/>
  <c r="D103" i="15"/>
  <c r="C103" i="15"/>
  <c r="D102" i="15"/>
  <c r="C102" i="15"/>
  <c r="D101" i="15"/>
  <c r="C101" i="15"/>
  <c r="D100" i="15"/>
  <c r="C100" i="15"/>
  <c r="D99" i="15"/>
  <c r="C99" i="15"/>
  <c r="D98" i="15"/>
  <c r="C98" i="15"/>
  <c r="D96" i="15"/>
  <c r="C96" i="15"/>
  <c r="D95" i="15"/>
  <c r="C95" i="15"/>
  <c r="D94" i="15"/>
  <c r="C94" i="15"/>
  <c r="D92" i="15"/>
  <c r="C92" i="15"/>
  <c r="D91" i="15"/>
  <c r="C91" i="15"/>
  <c r="D89" i="15"/>
  <c r="C89" i="15"/>
  <c r="D88" i="15"/>
  <c r="C88" i="15"/>
  <c r="D87" i="15"/>
  <c r="C87" i="15"/>
  <c r="D86" i="15"/>
  <c r="C86" i="15"/>
  <c r="D84" i="15"/>
  <c r="C84" i="15"/>
  <c r="D83" i="15"/>
  <c r="C83" i="15"/>
  <c r="D80" i="15"/>
  <c r="C80" i="15"/>
  <c r="D78" i="15"/>
  <c r="C78" i="15"/>
  <c r="D77" i="15"/>
  <c r="C77" i="15"/>
  <c r="D76" i="15"/>
  <c r="C76" i="15"/>
  <c r="D75" i="15"/>
  <c r="C75" i="15"/>
  <c r="D74" i="15"/>
  <c r="C74" i="15"/>
  <c r="D73" i="15"/>
  <c r="C73" i="15"/>
  <c r="D72" i="15"/>
  <c r="C72" i="15"/>
  <c r="D71" i="15"/>
  <c r="C71" i="15"/>
  <c r="D70" i="15"/>
  <c r="C70" i="15"/>
  <c r="D69" i="15"/>
  <c r="C69" i="15"/>
  <c r="D68" i="15"/>
  <c r="C68" i="15"/>
  <c r="D67" i="15"/>
  <c r="C67" i="15"/>
  <c r="D66" i="15"/>
  <c r="C66" i="15"/>
  <c r="D65" i="15"/>
  <c r="C65" i="15"/>
  <c r="D64" i="15"/>
  <c r="C64" i="15"/>
  <c r="D63" i="15"/>
  <c r="C63" i="15"/>
  <c r="D57" i="15"/>
  <c r="C57" i="15"/>
  <c r="D56" i="15"/>
  <c r="C56" i="15"/>
  <c r="D55" i="15"/>
  <c r="C55" i="15"/>
  <c r="D53" i="15"/>
  <c r="C53" i="15"/>
  <c r="D52" i="15"/>
  <c r="C52" i="15"/>
  <c r="D48" i="15"/>
  <c r="C48" i="15"/>
  <c r="D46" i="15"/>
  <c r="C46" i="15"/>
  <c r="D45" i="15"/>
  <c r="C45" i="15"/>
  <c r="D43" i="15"/>
  <c r="C43" i="15"/>
  <c r="D42" i="15"/>
  <c r="C42" i="15"/>
  <c r="D41" i="15"/>
  <c r="C41" i="15"/>
  <c r="D40" i="15"/>
  <c r="C40" i="15"/>
  <c r="D37" i="15"/>
  <c r="C37" i="15"/>
  <c r="D36" i="15"/>
  <c r="C36" i="15"/>
  <c r="D35" i="15"/>
  <c r="C35" i="15"/>
  <c r="D34" i="15"/>
  <c r="C34" i="15"/>
  <c r="D33" i="15"/>
  <c r="C33" i="15"/>
  <c r="D32" i="15"/>
  <c r="C32" i="15"/>
  <c r="D31" i="15"/>
  <c r="C31" i="15"/>
  <c r="D30" i="15"/>
  <c r="C30" i="15"/>
  <c r="D28" i="15"/>
  <c r="C28" i="15"/>
  <c r="D26" i="15"/>
  <c r="C26" i="15"/>
  <c r="D25" i="15"/>
  <c r="C25" i="15"/>
  <c r="D20" i="15"/>
  <c r="C20" i="15"/>
  <c r="D18" i="15"/>
  <c r="C18" i="15"/>
  <c r="D16" i="15"/>
  <c r="C16" i="15"/>
  <c r="D15" i="15"/>
  <c r="C15" i="15"/>
  <c r="D14" i="15"/>
  <c r="C14" i="15"/>
  <c r="D13" i="15"/>
  <c r="C13" i="15"/>
  <c r="D12" i="15"/>
  <c r="C12" i="15"/>
  <c r="D11" i="15"/>
  <c r="C11" i="15"/>
  <c r="D10" i="15"/>
  <c r="C10" i="15"/>
  <c r="D8" i="15"/>
  <c r="C8" i="15"/>
  <c r="D7" i="15"/>
  <c r="C7" i="15"/>
  <c r="D5155" i="15"/>
  <c r="C5155" i="15"/>
  <c r="D5211" i="15"/>
  <c r="C5211" i="15"/>
  <c r="D3276" i="15"/>
  <c r="C3276" i="15"/>
  <c r="D3275" i="15"/>
  <c r="C3275" i="15"/>
  <c r="D3060" i="15"/>
  <c r="C3060" i="15"/>
  <c r="D2305" i="15"/>
  <c r="C2305" i="15"/>
  <c r="D834" i="15"/>
  <c r="C834" i="15"/>
  <c r="D465" i="15"/>
  <c r="C465" i="15"/>
  <c r="D175" i="15"/>
  <c r="C175" i="15"/>
  <c r="D54" i="15"/>
  <c r="C54" i="15"/>
  <c r="D23" i="16" l="1"/>
  <c r="C23" i="16"/>
  <c r="D22" i="16"/>
  <c r="C22" i="16"/>
  <c r="D21" i="16"/>
  <c r="C21" i="16"/>
  <c r="D20" i="16"/>
  <c r="C20" i="16"/>
  <c r="D19" i="16"/>
  <c r="C19" i="16"/>
  <c r="D18" i="16"/>
  <c r="C18" i="16"/>
  <c r="D17" i="16"/>
  <c r="C17" i="16"/>
  <c r="D16" i="16"/>
  <c r="C16" i="16"/>
  <c r="D15" i="16"/>
  <c r="C15" i="16"/>
  <c r="D14" i="16"/>
  <c r="D13" i="16"/>
  <c r="C13" i="16"/>
  <c r="D12" i="16"/>
  <c r="C12" i="16"/>
  <c r="D11" i="16"/>
  <c r="C11" i="16"/>
  <c r="D10" i="16"/>
  <c r="C10" i="16"/>
  <c r="D9" i="16"/>
  <c r="C9" i="16"/>
  <c r="D8" i="16"/>
  <c r="C8" i="16"/>
  <c r="D7" i="16"/>
  <c r="C7" i="16"/>
  <c r="D6" i="16"/>
  <c r="C6" i="16"/>
  <c r="D5" i="16"/>
  <c r="C5" i="16"/>
  <c r="D4" i="16"/>
  <c r="C4" i="16"/>
  <c r="D3" i="16"/>
  <c r="C3" i="16"/>
  <c r="D2" i="16"/>
  <c r="C2" i="16"/>
</calcChain>
</file>

<file path=xl/comments1.xml><?xml version="1.0" encoding="utf-8"?>
<comments xmlns="http://schemas.openxmlformats.org/spreadsheetml/2006/main">
  <authors>
    <author>Reed Elsevier</author>
  </authors>
  <commentList>
    <comment ref="A1" authorId="0" shapeId="0">
      <text>
        <r>
          <rPr>
            <b/>
            <sz val="8"/>
            <color indexed="81"/>
            <rFont val="Tahoma"/>
            <family val="2"/>
          </rPr>
          <t>Reed Elsevier:</t>
        </r>
        <r>
          <rPr>
            <sz val="8"/>
            <color indexed="81"/>
            <rFont val="Tahoma"/>
            <family val="2"/>
          </rPr>
          <t xml:space="preserve">
LJI Jan 2014 = 5651
Updated list 17/3/2014 = 5669
Id's in red = removed, not currently indexed
Id's in blue = newly added.</t>
        </r>
      </text>
    </comment>
  </commentList>
</comments>
</file>

<file path=xl/sharedStrings.xml><?xml version="1.0" encoding="utf-8"?>
<sst xmlns="http://schemas.openxmlformats.org/spreadsheetml/2006/main" count="315964" uniqueCount="56729">
  <si>
    <t>Active</t>
  </si>
  <si>
    <t>ISSN</t>
  </si>
  <si>
    <t>EISSN</t>
  </si>
  <si>
    <t>ASJC1</t>
  </si>
  <si>
    <t>ASJC2</t>
  </si>
  <si>
    <t>ASJC3</t>
  </si>
  <si>
    <t>ASJC4</t>
  </si>
  <si>
    <t>ASJC5</t>
  </si>
  <si>
    <t>ASJC6</t>
  </si>
  <si>
    <t>ASJC7</t>
  </si>
  <si>
    <t>ASJC8</t>
  </si>
  <si>
    <t>Acta Anaesthesiologica Belgica</t>
  </si>
  <si>
    <t>00015164</t>
  </si>
  <si>
    <t>ARSMB-KVBMG</t>
  </si>
  <si>
    <t>ASSMB Acta Medica Belgica</t>
  </si>
  <si>
    <t>BEL</t>
  </si>
  <si>
    <t>J</t>
  </si>
  <si>
    <t>PAPER</t>
  </si>
  <si>
    <t>ENGL</t>
  </si>
  <si>
    <t>GENERAL</t>
  </si>
  <si>
    <t>ISSUE</t>
  </si>
  <si>
    <t>EMBASE</t>
  </si>
  <si>
    <t>SCOPUS</t>
  </si>
  <si>
    <t>NURSNG</t>
  </si>
  <si>
    <t xml:space="preserve"> </t>
  </si>
  <si>
    <t>Anesthesia and Analgesia</t>
  </si>
  <si>
    <t>00032999</t>
  </si>
  <si>
    <t>15267598</t>
  </si>
  <si>
    <t>Lippincott Williams and Wilkins</t>
  </si>
  <si>
    <t>E-flow Lippincott Williams and Wilkins</t>
  </si>
  <si>
    <t>USA</t>
  </si>
  <si>
    <t>EFLOW</t>
  </si>
  <si>
    <t>American Journal of Reproductive Immunology</t>
  </si>
  <si>
    <t>10467408</t>
  </si>
  <si>
    <t>16000897</t>
  </si>
  <si>
    <t>Blackwell Publishing Ltd</t>
  </si>
  <si>
    <t>E-flow Wiley Blackwell</t>
  </si>
  <si>
    <t>GBR</t>
  </si>
  <si>
    <t>American Journal of Neuroradiology</t>
  </si>
  <si>
    <t>01956108</t>
  </si>
  <si>
    <t>1936959X</t>
  </si>
  <si>
    <t>American Society of Neuroradiology</t>
  </si>
  <si>
    <t>INTERNET</t>
  </si>
  <si>
    <t>Annals of the Academy of Medicine Singapore</t>
  </si>
  <si>
    <t>03044602</t>
  </si>
  <si>
    <t>Academy of Medicine Singapore</t>
  </si>
  <si>
    <t>SGP</t>
  </si>
  <si>
    <t>Acta Anaesthesiologica Scandinavica</t>
  </si>
  <si>
    <t>00015172</t>
  </si>
  <si>
    <t>13996576</t>
  </si>
  <si>
    <t>Blackwell Munksgaard</t>
  </si>
  <si>
    <t>DNK</t>
  </si>
  <si>
    <t>Age and Ageing</t>
  </si>
  <si>
    <t>00020729</t>
  </si>
  <si>
    <t>14682834</t>
  </si>
  <si>
    <t>Oxford University Press</t>
  </si>
  <si>
    <t>E-flow Oxford University Press</t>
  </si>
  <si>
    <t>Archives of Biochemistry and Biophysics</t>
  </si>
  <si>
    <t>00039861</t>
  </si>
  <si>
    <t>10960384</t>
  </si>
  <si>
    <t>Academic Press Inc.</t>
  </si>
  <si>
    <t>E-Flow Elsevier</t>
  </si>
  <si>
    <t>EMGOLD</t>
  </si>
  <si>
    <t>ARTICLE</t>
  </si>
  <si>
    <t>BSTEIN</t>
  </si>
  <si>
    <t>Arquivos Brasileiros de Cardiologia</t>
  </si>
  <si>
    <t>0066782X</t>
  </si>
  <si>
    <t>16784170</t>
  </si>
  <si>
    <t>SciELO-Scientific Electronic Library Online</t>
  </si>
  <si>
    <t>BRA</t>
  </si>
  <si>
    <t>PORT</t>
  </si>
  <si>
    <t>Anais Brasileiros de Dermatologia</t>
  </si>
  <si>
    <t>03650596</t>
  </si>
  <si>
    <t>18064841</t>
  </si>
  <si>
    <t>Sociedade Brasileira de Dermatologia</t>
  </si>
  <si>
    <t>PORT/ENGL</t>
  </si>
  <si>
    <t>Acta Biologica Hungarica</t>
  </si>
  <si>
    <t>02365383</t>
  </si>
  <si>
    <t>1588256X</t>
  </si>
  <si>
    <t>Akademiai Kiado Rt.</t>
  </si>
  <si>
    <t>E-flow MetaPress</t>
  </si>
  <si>
    <t>HUN</t>
  </si>
  <si>
    <t>Annales de Cardiologie et d'Angeiologie</t>
  </si>
  <si>
    <t>00033928</t>
  </si>
  <si>
    <t>17683181</t>
  </si>
  <si>
    <t>Elsevier Masson SAS</t>
  </si>
  <si>
    <t>FRA</t>
  </si>
  <si>
    <t>FREN</t>
  </si>
  <si>
    <t>Analytica Chimica Acta</t>
  </si>
  <si>
    <t>00032670</t>
  </si>
  <si>
    <t>18734324</t>
  </si>
  <si>
    <t>Elsevier</t>
  </si>
  <si>
    <t>NLD</t>
  </si>
  <si>
    <t>ENGL/GERM/FREN</t>
  </si>
  <si>
    <t>Annals of Clinical Biochemistry</t>
  </si>
  <si>
    <t>00045632</t>
  </si>
  <si>
    <t>17581001</t>
  </si>
  <si>
    <t>SAGE Publications Ltd</t>
  </si>
  <si>
    <t>E-Flow Sage Publications</t>
  </si>
  <si>
    <t>Acta Cardiologica</t>
  </si>
  <si>
    <t>00015385</t>
  </si>
  <si>
    <t>03737934</t>
  </si>
  <si>
    <t>Acta Clinica Belgica</t>
  </si>
  <si>
    <t>00015512</t>
  </si>
  <si>
    <t>E-Flow PDF Acta Clinica Belgica</t>
  </si>
  <si>
    <t>ENGL/FREN</t>
  </si>
  <si>
    <t>Advances in Cardiology</t>
  </si>
  <si>
    <t>00652326</t>
  </si>
  <si>
    <t>16622839</t>
  </si>
  <si>
    <t>S. Karger AG</t>
  </si>
  <si>
    <t>E-Flow Karger</t>
  </si>
  <si>
    <t>CHE</t>
  </si>
  <si>
    <t>K</t>
  </si>
  <si>
    <t>Acta Ginecologica</t>
  </si>
  <si>
    <t>00015776</t>
  </si>
  <si>
    <t>Editores Medicos S.A. (EDIMSA)</t>
  </si>
  <si>
    <t>ESP</t>
  </si>
  <si>
    <t>SPAN</t>
  </si>
  <si>
    <t>SPAN/ENGL</t>
  </si>
  <si>
    <t>Acta Haematologica</t>
  </si>
  <si>
    <t>00015792</t>
  </si>
  <si>
    <t>14219662</t>
  </si>
  <si>
    <t>Annals of Clinical and Laboratory Science</t>
  </si>
  <si>
    <t>00917370</t>
  </si>
  <si>
    <t>15508080</t>
  </si>
  <si>
    <t>Association of Clinical Scientists</t>
  </si>
  <si>
    <t>Acta Neurochirurgica</t>
  </si>
  <si>
    <t>00016268</t>
  </si>
  <si>
    <t>09420940</t>
  </si>
  <si>
    <t>Springer Wien</t>
  </si>
  <si>
    <t>E-Flow Springer</t>
  </si>
  <si>
    <t>AUT</t>
  </si>
  <si>
    <t>Acta Chirurgiae Orthopaedicae et Traumatologiae Cechoslovaca</t>
  </si>
  <si>
    <t>00015415</t>
  </si>
  <si>
    <t>Galen s.r.o.</t>
  </si>
  <si>
    <t>CZE</t>
  </si>
  <si>
    <t>CZCH/SLVK/ENGL/GERM</t>
  </si>
  <si>
    <t>ENGL/CZCH/SLVK/GERM</t>
  </si>
  <si>
    <t>Alcoholism: Clinical and Experimental Research</t>
  </si>
  <si>
    <t>01456008</t>
  </si>
  <si>
    <t>15300277</t>
  </si>
  <si>
    <t>Acta Tropica</t>
  </si>
  <si>
    <t>0001706X</t>
  </si>
  <si>
    <t>18736254</t>
  </si>
  <si>
    <t>Acta Cientifica Venezolana</t>
  </si>
  <si>
    <t>00015504</t>
  </si>
  <si>
    <t>Edificio FundaVAC - AsoVAC</t>
  </si>
  <si>
    <t>VEN</t>
  </si>
  <si>
    <t>Acta Cytologica</t>
  </si>
  <si>
    <t>00015547</t>
  </si>
  <si>
    <t>Advances in Applied Microbiology</t>
  </si>
  <si>
    <t>00652164</t>
  </si>
  <si>
    <t>Addictive Behaviors</t>
  </si>
  <si>
    <t>03064603</t>
  </si>
  <si>
    <t>18736327</t>
  </si>
  <si>
    <t>Elsevier Ltd</t>
  </si>
  <si>
    <t>Archives of Disease in Childhood</t>
  </si>
  <si>
    <t>00039888</t>
  </si>
  <si>
    <t>14682044</t>
  </si>
  <si>
    <t>BMJ Publishing Group</t>
  </si>
  <si>
    <t>Web-Portal BMJ Publishing Group</t>
  </si>
  <si>
    <t>Advances in Immunology</t>
  </si>
  <si>
    <t>00652776</t>
  </si>
  <si>
    <t>15578445</t>
  </si>
  <si>
    <t>Archives of Dermatological Research</t>
  </si>
  <si>
    <t>03403696</t>
  </si>
  <si>
    <t>1432069X</t>
  </si>
  <si>
    <t>Springer Verlag</t>
  </si>
  <si>
    <t>DEU</t>
  </si>
  <si>
    <t>Adverse Drug Reaction Bulletin</t>
  </si>
  <si>
    <t>00446394</t>
  </si>
  <si>
    <t>21597774</t>
  </si>
  <si>
    <t>Actas Dermo-Sifiliograficas</t>
  </si>
  <si>
    <t>00017310</t>
  </si>
  <si>
    <t>15782190</t>
  </si>
  <si>
    <t>Elsevier Doyma</t>
  </si>
  <si>
    <t>Advances in Therapy</t>
  </si>
  <si>
    <t>0741238X</t>
  </si>
  <si>
    <t>18658652</t>
  </si>
  <si>
    <t>Springer Healthcare Communications</t>
  </si>
  <si>
    <t>Acta Dermato-Venereologica</t>
  </si>
  <si>
    <t>00015555</t>
  </si>
  <si>
    <t>16512057</t>
  </si>
  <si>
    <t>Medical Journals/Acta D-V</t>
  </si>
  <si>
    <t>SWE</t>
  </si>
  <si>
    <t>Annales de Dermatologie et de Venereologie</t>
  </si>
  <si>
    <t>01519638</t>
  </si>
  <si>
    <t>Archives of Environmental Contamination and Toxicology</t>
  </si>
  <si>
    <t>00904341</t>
  </si>
  <si>
    <t>14320703</t>
  </si>
  <si>
    <t>Springer New York</t>
  </si>
  <si>
    <t>Annals of Emergency Medicine</t>
  </si>
  <si>
    <t>01960644</t>
  </si>
  <si>
    <t>10976760</t>
  </si>
  <si>
    <t>Mosby Inc.</t>
  </si>
  <si>
    <t>Acta Endoscopica</t>
  </si>
  <si>
    <t>0240642X</t>
  </si>
  <si>
    <t>19585454</t>
  </si>
  <si>
    <t>Springer Paris</t>
  </si>
  <si>
    <t>FREN/ENGL</t>
  </si>
  <si>
    <t>Applied Ergonomics</t>
  </si>
  <si>
    <t>00036870</t>
  </si>
  <si>
    <t>18729126</t>
  </si>
  <si>
    <t>Annales Francaises d'Anesthesie et de Reanimation</t>
  </si>
  <si>
    <t>07507658</t>
  </si>
  <si>
    <t>17696623</t>
  </si>
  <si>
    <t>American Family Physician</t>
  </si>
  <si>
    <t>0002838X</t>
  </si>
  <si>
    <t>15320650</t>
  </si>
  <si>
    <t>American Academy of Family Physicians</t>
  </si>
  <si>
    <t>Acta Gastro-Enterologica Belgica</t>
  </si>
  <si>
    <t>00015644</t>
  </si>
  <si>
    <t>Universa Press</t>
  </si>
  <si>
    <t>E-flow PDF Universa Press</t>
  </si>
  <si>
    <t>Age</t>
  </si>
  <si>
    <t>01619152</t>
  </si>
  <si>
    <t>15744647</t>
  </si>
  <si>
    <t>Springer Netherlands</t>
  </si>
  <si>
    <t>Archives of Gerontology and Geriatrics</t>
  </si>
  <si>
    <t>01674943</t>
  </si>
  <si>
    <t>18726976</t>
  </si>
  <si>
    <t>Elsevier Ireland Ltd</t>
  </si>
  <si>
    <t>IRL</t>
  </si>
  <si>
    <t>Allergologia et Immunopathologia</t>
  </si>
  <si>
    <t>03010546</t>
  </si>
  <si>
    <t>15781267</t>
  </si>
  <si>
    <t>ENGL/SPAN</t>
  </si>
  <si>
    <t>Angeiologie</t>
  </si>
  <si>
    <t>00033049</t>
  </si>
  <si>
    <t>Editions ESKA</t>
  </si>
  <si>
    <t>Acta Gastroenterologica Latinoamericana</t>
  </si>
  <si>
    <t>03009033</t>
  </si>
  <si>
    <t>Sociedad Argentina de Gastroenterologia</t>
  </si>
  <si>
    <t>ARG</t>
  </si>
  <si>
    <t>Archivos Argentinos de Pediatria</t>
  </si>
  <si>
    <t>03250075</t>
  </si>
  <si>
    <t>16683501</t>
  </si>
  <si>
    <t>Sociedad Argentina de Pediatria</t>
  </si>
  <si>
    <t>Acta Histochemica</t>
  </si>
  <si>
    <t>00651281</t>
  </si>
  <si>
    <t>16180372</t>
  </si>
  <si>
    <t>Urban und Fischer Verlag Jena</t>
  </si>
  <si>
    <t>ENGL/GERM</t>
  </si>
  <si>
    <t>American Heart Journal</t>
  </si>
  <si>
    <t>00028703</t>
  </si>
  <si>
    <t>10976744</t>
  </si>
  <si>
    <t>Acta Haematologica Polonica</t>
  </si>
  <si>
    <t>00015814</t>
  </si>
  <si>
    <t>Elsevier Urban and Partner sp. z o.o.</t>
  </si>
  <si>
    <t>POL</t>
  </si>
  <si>
    <t>POLS</t>
  </si>
  <si>
    <t>Arhiv za Higijenu Rada i Toksikologiju</t>
  </si>
  <si>
    <t>00041254</t>
  </si>
  <si>
    <t>Institute for Medical Research and Occupational Health</t>
  </si>
  <si>
    <t>E-flow Walter de Gruyter</t>
  </si>
  <si>
    <t>CROA</t>
  </si>
  <si>
    <t>Annals of Internal Medicine</t>
  </si>
  <si>
    <t>00034819</t>
  </si>
  <si>
    <t>15393704</t>
  </si>
  <si>
    <t>American College of Physicians</t>
  </si>
  <si>
    <t>Anaesthesia and Intensive Care</t>
  </si>
  <si>
    <t>0310057X</t>
  </si>
  <si>
    <t>14480271</t>
  </si>
  <si>
    <t>Australian Society of Anaesthetists</t>
  </si>
  <si>
    <t>AUS</t>
  </si>
  <si>
    <t>Archivum Immunologiae et Therapiae Experimentalis</t>
  </si>
  <si>
    <t>0004069X</t>
  </si>
  <si>
    <t>16614917</t>
  </si>
  <si>
    <t>Birkhauser Verlag Basel</t>
  </si>
  <si>
    <t>American Journal of Cardiology</t>
  </si>
  <si>
    <t>00029149</t>
  </si>
  <si>
    <t>18791913</t>
  </si>
  <si>
    <t>Elsevier Inc.</t>
  </si>
  <si>
    <t>American Journal of Chinese Medicine</t>
  </si>
  <si>
    <t>0192415X</t>
  </si>
  <si>
    <t>World Scientific Publishing Co. Pte Ltd</t>
  </si>
  <si>
    <t>E-flow World Scientific</t>
  </si>
  <si>
    <t>American Journal of Clinical Nutrition</t>
  </si>
  <si>
    <t>00029165</t>
  </si>
  <si>
    <t>19383207</t>
  </si>
  <si>
    <t>American Society for Nutrition</t>
  </si>
  <si>
    <t>American Journal of Clinical Oncology: Cancer Clinical Trials</t>
  </si>
  <si>
    <t>02773732</t>
  </si>
  <si>
    <t>1537453X</t>
  </si>
  <si>
    <t>American Journal of Clinical Pathology</t>
  </si>
  <si>
    <t>00029173</t>
  </si>
  <si>
    <t>19437722</t>
  </si>
  <si>
    <t>American Society of Clinical Pathologists</t>
  </si>
  <si>
    <t>American Journal of Drug and Alcohol Abuse</t>
  </si>
  <si>
    <t>00952990</t>
  </si>
  <si>
    <t>10979891</t>
  </si>
  <si>
    <t>Informa Healthcare</t>
  </si>
  <si>
    <t>E-flow Informa Healthcare</t>
  </si>
  <si>
    <t>Australasian Journal of Dermatology</t>
  </si>
  <si>
    <t>00048380</t>
  </si>
  <si>
    <t>14400960</t>
  </si>
  <si>
    <t>Blackwell Publishing</t>
  </si>
  <si>
    <t>American Journal of Dermatopathology</t>
  </si>
  <si>
    <t>01931091</t>
  </si>
  <si>
    <t>15330311</t>
  </si>
  <si>
    <t>American Journal of Emergency Medicine</t>
  </si>
  <si>
    <t>07356757</t>
  </si>
  <si>
    <t>15328171</t>
  </si>
  <si>
    <t>W.B. Saunders</t>
  </si>
  <si>
    <t>American Journal of Epidemiology</t>
  </si>
  <si>
    <t>00029262</t>
  </si>
  <si>
    <t>14766256</t>
  </si>
  <si>
    <t>Australian Journal of Forensic Sciences</t>
  </si>
  <si>
    <t>00450618</t>
  </si>
  <si>
    <t>1834562X</t>
  </si>
  <si>
    <t>Taylor and Francis Ltd.</t>
  </si>
  <si>
    <t>E-flow Taylor and Francis</t>
  </si>
  <si>
    <t>American Journal of Gastroenterology</t>
  </si>
  <si>
    <t>00029270</t>
  </si>
  <si>
    <t>15720241</t>
  </si>
  <si>
    <t>Nature Publishing Group</t>
  </si>
  <si>
    <t>E-flow Nature Publishing Group</t>
  </si>
  <si>
    <t>American Journal of Hematology</t>
  </si>
  <si>
    <t>03618609</t>
  </si>
  <si>
    <t>10968652</t>
  </si>
  <si>
    <t>Wiley-Liss Inc.</t>
  </si>
  <si>
    <t>American Journal of Human Genetics</t>
  </si>
  <si>
    <t>00029297</t>
  </si>
  <si>
    <t>15376605</t>
  </si>
  <si>
    <t>Cell Press</t>
  </si>
  <si>
    <t>American Journal of Infection Control</t>
  </si>
  <si>
    <t>01966553</t>
  </si>
  <si>
    <t>15273296</t>
  </si>
  <si>
    <t>American Journal of Kidney Diseases</t>
  </si>
  <si>
    <t>02726386</t>
  </si>
  <si>
    <t>15236838</t>
  </si>
  <si>
    <t>American Journal of Medicine</t>
  </si>
  <si>
    <t>00029343</t>
  </si>
  <si>
    <t>15557162</t>
  </si>
  <si>
    <t>American Journal of Medical Genetics, Part A</t>
  </si>
  <si>
    <t>15524825</t>
  </si>
  <si>
    <t>15524833</t>
  </si>
  <si>
    <t>American Journal of the Medical Sciences</t>
  </si>
  <si>
    <t>00029629</t>
  </si>
  <si>
    <t>15382990</t>
  </si>
  <si>
    <t>American Journal of Nephrology</t>
  </si>
  <si>
    <t>02508095</t>
  </si>
  <si>
    <t>14219670</t>
  </si>
  <si>
    <t>African Journal of Neurological Sciences</t>
  </si>
  <si>
    <t>10158618</t>
  </si>
  <si>
    <t>19922647</t>
  </si>
  <si>
    <t>Pan African Association of Neurological Sciences</t>
  </si>
  <si>
    <t>American Journal of Obstetrics and Gynecology</t>
  </si>
  <si>
    <t>00029378</t>
  </si>
  <si>
    <t>10976868</t>
  </si>
  <si>
    <t>American Journal of Ophthalmology</t>
  </si>
  <si>
    <t>00029394</t>
  </si>
  <si>
    <t>18791891</t>
  </si>
  <si>
    <t>American Journal of Orthopsychiatry</t>
  </si>
  <si>
    <t>00029432</t>
  </si>
  <si>
    <t>19390025</t>
  </si>
  <si>
    <t>American Psychological Association Inc.</t>
  </si>
  <si>
    <t>E-flow American Psychological Association</t>
  </si>
  <si>
    <t>American Journal of Otolaryngology - Head and Neck Medicine and Surgery</t>
  </si>
  <si>
    <t>01960709</t>
  </si>
  <si>
    <t>1532818X</t>
  </si>
  <si>
    <t>American Journal of Pathology</t>
  </si>
  <si>
    <t>00029440</t>
  </si>
  <si>
    <t>15252191</t>
  </si>
  <si>
    <t>American Journal of Physiology - Cell Physiology</t>
  </si>
  <si>
    <t>03636143</t>
  </si>
  <si>
    <t>15221563</t>
  </si>
  <si>
    <t>American Physiological Society</t>
  </si>
  <si>
    <t>American Journal of Perinatology</t>
  </si>
  <si>
    <t>07351631</t>
  </si>
  <si>
    <t>10988785</t>
  </si>
  <si>
    <t>Thieme Medical Publishers, Inc.</t>
  </si>
  <si>
    <t>E-flow Georg Thieme</t>
  </si>
  <si>
    <t>American Journal of Physiology - Endocrinology and Metabolism</t>
  </si>
  <si>
    <t>01931849</t>
  </si>
  <si>
    <t>15221555</t>
  </si>
  <si>
    <t>American Journal of Preventive Medicine</t>
  </si>
  <si>
    <t>07493797</t>
  </si>
  <si>
    <t>18732607</t>
  </si>
  <si>
    <t>American Journal of Physical Anthropology</t>
  </si>
  <si>
    <t>00029483</t>
  </si>
  <si>
    <t>10968644</t>
  </si>
  <si>
    <t>American Journal of Physiology - Heart and Circulatory Physiology</t>
  </si>
  <si>
    <t>03636135</t>
  </si>
  <si>
    <t>15221539</t>
  </si>
  <si>
    <t>Australian Journal of Pharmacy</t>
  </si>
  <si>
    <t>03118002</t>
  </si>
  <si>
    <t>Australian Pharmaceutical Publishing Company Ltd</t>
  </si>
  <si>
    <t>American Journal of Physiology - Regulatory Integrative and Comparative Physiology</t>
  </si>
  <si>
    <t>03636119</t>
  </si>
  <si>
    <t>15221490</t>
  </si>
  <si>
    <t>American Journal of Psychiatry</t>
  </si>
  <si>
    <t>0002953X</t>
  </si>
  <si>
    <t>15357228</t>
  </si>
  <si>
    <t>American Psychiatric Association</t>
  </si>
  <si>
    <t>American Journal of Roentgenology</t>
  </si>
  <si>
    <t>0361803X</t>
  </si>
  <si>
    <t>15463141</t>
  </si>
  <si>
    <t>American Roentgen Ray Society</t>
  </si>
  <si>
    <t>American Journal of Surgery</t>
  </si>
  <si>
    <t>00029610</t>
  </si>
  <si>
    <t>18791883</t>
  </si>
  <si>
    <t>American Journal of Tropical Medicine and Hygiene</t>
  </si>
  <si>
    <t>00029637</t>
  </si>
  <si>
    <t>American Society of Tropical Medicine and Hygiene</t>
  </si>
  <si>
    <t>American Journal of Veterinary Research</t>
  </si>
  <si>
    <t>00029645</t>
  </si>
  <si>
    <t>19435681</t>
  </si>
  <si>
    <t>American Veterinary Medical Association</t>
  </si>
  <si>
    <t>Aktuelle Dermatologie</t>
  </si>
  <si>
    <t>03402541</t>
  </si>
  <si>
    <t>1438938X</t>
  </si>
  <si>
    <t>Georg Thieme Verlag</t>
  </si>
  <si>
    <t>GERM</t>
  </si>
  <si>
    <t>Aktuelle Neurologie</t>
  </si>
  <si>
    <t>03024350</t>
  </si>
  <si>
    <t>14389428</t>
  </si>
  <si>
    <t>Aktuelle Rheumatologie</t>
  </si>
  <si>
    <t>0341051X</t>
  </si>
  <si>
    <t>14389940</t>
  </si>
  <si>
    <t>Alcohol and Alcoholism</t>
  </si>
  <si>
    <t>07350414</t>
  </si>
  <si>
    <t>14643502</t>
  </si>
  <si>
    <t>Alcoholism</t>
  </si>
  <si>
    <t>0002502X</t>
  </si>
  <si>
    <t>13306170</t>
  </si>
  <si>
    <t>Center for Study and Control of Alcoholism and Addictions</t>
  </si>
  <si>
    <t>E-flow PDF Center for Study and Control of Alcoholism and Addictions</t>
  </si>
  <si>
    <t>HRV</t>
  </si>
  <si>
    <t>Alcohol</t>
  </si>
  <si>
    <t>07418329</t>
  </si>
  <si>
    <t>18736823</t>
  </si>
  <si>
    <t>Antonie van Leeuwenhoek, International Journal of General and Molecular Microbiology</t>
  </si>
  <si>
    <t>00036072</t>
  </si>
  <si>
    <t>15729699</t>
  </si>
  <si>
    <t>Allergologie</t>
  </si>
  <si>
    <t>03445062</t>
  </si>
  <si>
    <t>Dustri-Verlag Dr. Karl Feistle</t>
  </si>
  <si>
    <t>Antimicrobial Agents and Chemotherapy</t>
  </si>
  <si>
    <t>00664804</t>
  </si>
  <si>
    <t>10986596</t>
  </si>
  <si>
    <t>American Society for Microbiology</t>
  </si>
  <si>
    <t>Acta Microbiologica Hellenica</t>
  </si>
  <si>
    <t>04389573</t>
  </si>
  <si>
    <t>Greek Society of Microbiology Ascent Ltd</t>
  </si>
  <si>
    <t>GRC</t>
  </si>
  <si>
    <t>GREK</t>
  </si>
  <si>
    <t>Applied Microbiology and Biotechnology</t>
  </si>
  <si>
    <t>01757598</t>
  </si>
  <si>
    <t>14320614</t>
  </si>
  <si>
    <t>Acta Medica Bulgarica</t>
  </si>
  <si>
    <t>03241750</t>
  </si>
  <si>
    <t>Medical Information Center</t>
  </si>
  <si>
    <t>BGR</t>
  </si>
  <si>
    <t>Archives of Microbiology</t>
  </si>
  <si>
    <t>03028933</t>
  </si>
  <si>
    <t>1432072X</t>
  </si>
  <si>
    <t>Acta Medica Nagasakiensia</t>
  </si>
  <si>
    <t>00016055</t>
  </si>
  <si>
    <t>Nagasaki University School of Medicine</t>
  </si>
  <si>
    <t>Web Portal J-Stage</t>
  </si>
  <si>
    <t>JPN</t>
  </si>
  <si>
    <t>Acta Medica Portuguesa</t>
  </si>
  <si>
    <t>0870399X</t>
  </si>
  <si>
    <t>16460758</t>
  </si>
  <si>
    <t>CELOM</t>
  </si>
  <si>
    <t>PRT</t>
  </si>
  <si>
    <t>Annales Medico-Psychologiques</t>
  </si>
  <si>
    <t>00034487</t>
  </si>
  <si>
    <t>17696631</t>
  </si>
  <si>
    <t>American Surgeon</t>
  </si>
  <si>
    <t>00031348</t>
  </si>
  <si>
    <t>Southeastern Surgical Congress</t>
  </si>
  <si>
    <t>Anaesthesia</t>
  </si>
  <si>
    <t>00032409</t>
  </si>
  <si>
    <t>13652044</t>
  </si>
  <si>
    <t>Anaesthesist</t>
  </si>
  <si>
    <t>00032417</t>
  </si>
  <si>
    <t>1432055X</t>
  </si>
  <si>
    <t>Analytical Biochemistry</t>
  </si>
  <si>
    <t>00032697</t>
  </si>
  <si>
    <t>10960309</t>
  </si>
  <si>
    <t>Andrologia</t>
  </si>
  <si>
    <t>03034569</t>
  </si>
  <si>
    <t>14390272</t>
  </si>
  <si>
    <t>Annales d'Endocrinologie</t>
  </si>
  <si>
    <t>00034266</t>
  </si>
  <si>
    <t>Anesthesiology</t>
  </si>
  <si>
    <t>00033022</t>
  </si>
  <si>
    <t>15281175</t>
  </si>
  <si>
    <t>Angiology</t>
  </si>
  <si>
    <t>00033197</t>
  </si>
  <si>
    <t>19401574</t>
  </si>
  <si>
    <t>SAGE Publications Inc.</t>
  </si>
  <si>
    <t>Angiologia</t>
  </si>
  <si>
    <t>00033170</t>
  </si>
  <si>
    <t>16952987</t>
  </si>
  <si>
    <t>Viguera Editores S.L.</t>
  </si>
  <si>
    <t>Annals of Human Genetics</t>
  </si>
  <si>
    <t>00034800</t>
  </si>
  <si>
    <t>14691809</t>
  </si>
  <si>
    <t>Annals of the ICRP</t>
  </si>
  <si>
    <t>01466453</t>
  </si>
  <si>
    <t>1872969X</t>
  </si>
  <si>
    <t>Anasthesiologie und Intensivmedizin</t>
  </si>
  <si>
    <t>01705334</t>
  </si>
  <si>
    <t>14390256</t>
  </si>
  <si>
    <t>DIOmed Verlags GmbH</t>
  </si>
  <si>
    <t>Auris Nasus Larynx</t>
  </si>
  <si>
    <t>03858146</t>
  </si>
  <si>
    <t>18791476</t>
  </si>
  <si>
    <t>Annales Nestle</t>
  </si>
  <si>
    <t>05178606</t>
  </si>
  <si>
    <t>16614011</t>
  </si>
  <si>
    <t>Annals of Neurology</t>
  </si>
  <si>
    <t>03645134</t>
  </si>
  <si>
    <t>15318249</t>
  </si>
  <si>
    <t>John Wiley and Sons Inc.</t>
  </si>
  <si>
    <t>Annales de Pathologie</t>
  </si>
  <si>
    <t>02426498</t>
  </si>
  <si>
    <t>Arquivos de Neuro-Psiquiatria</t>
  </si>
  <si>
    <t>0004282X</t>
  </si>
  <si>
    <t>16784227</t>
  </si>
  <si>
    <t>Associacao Arquivos de Neuro-Psiquiatria</t>
  </si>
  <si>
    <t>ENGL/SPAN/PORT</t>
  </si>
  <si>
    <t>Acta Neuropathologica</t>
  </si>
  <si>
    <t>00016322</t>
  </si>
  <si>
    <t>14320533</t>
  </si>
  <si>
    <t>Acta Neurologica Scandinavica</t>
  </si>
  <si>
    <t>00016314</t>
  </si>
  <si>
    <t>16000404</t>
  </si>
  <si>
    <t>Annals of Surgery</t>
  </si>
  <si>
    <t>00034932</t>
  </si>
  <si>
    <t>15281140</t>
  </si>
  <si>
    <t>Anticancer Research</t>
  </si>
  <si>
    <t>02507005</t>
  </si>
  <si>
    <t>International Institute of Anticancer Research</t>
  </si>
  <si>
    <t>Acta Neurologica Belgica</t>
  </si>
  <si>
    <t>03009009</t>
  </si>
  <si>
    <t>22402993</t>
  </si>
  <si>
    <t>Springer Milan</t>
  </si>
  <si>
    <t>FREN/DUTC/ENGL</t>
  </si>
  <si>
    <t>Annals of Nutrition and Metabolism</t>
  </si>
  <si>
    <t>02506807</t>
  </si>
  <si>
    <t>14219697</t>
  </si>
  <si>
    <t>Annals of the New York Academy of Sciences</t>
  </si>
  <si>
    <t>00778923</t>
  </si>
  <si>
    <t>17496632</t>
  </si>
  <si>
    <t>Blackwell Publishing Inc.</t>
  </si>
  <si>
    <t>Australian and New Zealand Journal of Psychiatry</t>
  </si>
  <si>
    <t>00048674</t>
  </si>
  <si>
    <t>14401614</t>
  </si>
  <si>
    <t>Acta Obstetricia et Gynecologica Scandinavica</t>
  </si>
  <si>
    <t>00016349</t>
  </si>
  <si>
    <t>16000412</t>
  </si>
  <si>
    <t>Wiley-Blackwell Publishing Ltd</t>
  </si>
  <si>
    <t>Acta Oto-Laryngologica</t>
  </si>
  <si>
    <t>00016489</t>
  </si>
  <si>
    <t>16512251</t>
  </si>
  <si>
    <t>Annals of Otology, Rhinology and Laryngology</t>
  </si>
  <si>
    <t>00034894</t>
  </si>
  <si>
    <t>Annals Publishing Company</t>
  </si>
  <si>
    <t>Acta Otorrinolaringologica Espanola</t>
  </si>
  <si>
    <t>00016519</t>
  </si>
  <si>
    <t>19883013</t>
  </si>
  <si>
    <t>Arts in Psychotherapy</t>
  </si>
  <si>
    <t>01974556</t>
  </si>
  <si>
    <t>18735878</t>
  </si>
  <si>
    <t>Acta Pediatrica Espanola</t>
  </si>
  <si>
    <t>00016640</t>
  </si>
  <si>
    <t>Ediciones Mayo S.A.</t>
  </si>
  <si>
    <t>Annales Pharmaceutiques Francaises</t>
  </si>
  <si>
    <t>00034509</t>
  </si>
  <si>
    <t>American Journal of Physiology - Gastrointestinal and Liver Physiology</t>
  </si>
  <si>
    <t>01931857</t>
  </si>
  <si>
    <t>15221547</t>
  </si>
  <si>
    <t>Acta Physiologica Hungarica</t>
  </si>
  <si>
    <t>0231424X</t>
  </si>
  <si>
    <t>15882683</t>
  </si>
  <si>
    <t>Acta Pharmaceutica Hungarica</t>
  </si>
  <si>
    <t>00016659</t>
  </si>
  <si>
    <t>Magyar Gyogyszereszeti Tarsasag</t>
  </si>
  <si>
    <t>ENGL/HUNG</t>
  </si>
  <si>
    <t>Ars Pharmaceutica</t>
  </si>
  <si>
    <t>00042927</t>
  </si>
  <si>
    <t>Editorial Universida de Granada</t>
  </si>
  <si>
    <t>Asian Pacific Journal of Allergy and Immunology</t>
  </si>
  <si>
    <t>0125877X</t>
  </si>
  <si>
    <t>22288694</t>
  </si>
  <si>
    <t>Allergy and Immunology Society of Thailand</t>
  </si>
  <si>
    <t>Allergy and Immunol. Soc. Thailand</t>
  </si>
  <si>
    <t>THA</t>
  </si>
  <si>
    <t>Archives of Physical Medicine and Rehabilitation</t>
  </si>
  <si>
    <t>00039993</t>
  </si>
  <si>
    <t>1532821X</t>
  </si>
  <si>
    <t>Acta Poloniae Pharmaceutica - Drug Research</t>
  </si>
  <si>
    <t>00016837</t>
  </si>
  <si>
    <t>Polish Pharmaceutical Society</t>
  </si>
  <si>
    <t>Appetite</t>
  </si>
  <si>
    <t>01956663</t>
  </si>
  <si>
    <t>10958304</t>
  </si>
  <si>
    <t>Academic Press</t>
  </si>
  <si>
    <t>Acta Psychiatrica Scandinavica</t>
  </si>
  <si>
    <t>0001690X</t>
  </si>
  <si>
    <t>16000447</t>
  </si>
  <si>
    <t>Analytical and Quantitative Cytology and Histology</t>
  </si>
  <si>
    <t>08846812</t>
  </si>
  <si>
    <t>Science Printers and Publishers Inc.</t>
  </si>
  <si>
    <t>Science Printers and Publishers Inc</t>
  </si>
  <si>
    <t>Aquatic Toxicology</t>
  </si>
  <si>
    <t>0166445X</t>
  </si>
  <si>
    <t>18791514</t>
  </si>
  <si>
    <t>Anales de la Real Academia Nacional de Farmacia</t>
  </si>
  <si>
    <t>1697428X</t>
  </si>
  <si>
    <t>Real Academia de Farmacia</t>
  </si>
  <si>
    <t>Annual Review of Biochemistry</t>
  </si>
  <si>
    <t>00664154</t>
  </si>
  <si>
    <t>15454509</t>
  </si>
  <si>
    <t>Annual Reviews Inc.</t>
  </si>
  <si>
    <t>E-flow Annual Reviews Inc.</t>
  </si>
  <si>
    <t>Archivos de Bronconeumologia</t>
  </si>
  <si>
    <t>03002896</t>
  </si>
  <si>
    <t>15792129</t>
  </si>
  <si>
    <t>Annals of the Rheumatic Diseases</t>
  </si>
  <si>
    <t>00034967</t>
  </si>
  <si>
    <t>14682060</t>
  </si>
  <si>
    <t>Applied Radiology</t>
  </si>
  <si>
    <t>01609963</t>
  </si>
  <si>
    <t>18792898</t>
  </si>
  <si>
    <t>Anderson Publishing Ltd</t>
  </si>
  <si>
    <t>E-flow PDF Anderson Publishing Ltd</t>
  </si>
  <si>
    <t>Japanese Journal of Allergology</t>
  </si>
  <si>
    <t>00214884</t>
  </si>
  <si>
    <t>13477935</t>
  </si>
  <si>
    <t>Japanese Society of Allergology</t>
  </si>
  <si>
    <t>JAPA/ENGL</t>
  </si>
  <si>
    <t>Applied Radiation and Isotopes</t>
  </si>
  <si>
    <t>09698043</t>
  </si>
  <si>
    <t>18729800</t>
  </si>
  <si>
    <t>Annual Review of Neuroscience</t>
  </si>
  <si>
    <t>0147006X</t>
  </si>
  <si>
    <t>15454126</t>
  </si>
  <si>
    <t>Artificial Organs</t>
  </si>
  <si>
    <t>0160564X</t>
  </si>
  <si>
    <t>15251594</t>
  </si>
  <si>
    <t>Annual Review of Physiology</t>
  </si>
  <si>
    <t>00664278</t>
  </si>
  <si>
    <t>15451585</t>
  </si>
  <si>
    <t>Archiv der Pharmazie</t>
  </si>
  <si>
    <t>03656233</t>
  </si>
  <si>
    <t>15214184</t>
  </si>
  <si>
    <t>Wiley-VCH Verlag</t>
  </si>
  <si>
    <t>Annual Review of Pharmacology and Toxicology</t>
  </si>
  <si>
    <t>03621642</t>
  </si>
  <si>
    <t>15454304</t>
  </si>
  <si>
    <t>Arquivos de Gastroenterologia</t>
  </si>
  <si>
    <t>00042803</t>
  </si>
  <si>
    <t>16784219</t>
  </si>
  <si>
    <t>IBEPEGE - Inst. Bras. Estudos Pesquisas Gastroent.</t>
  </si>
  <si>
    <t>Instituto Brasileiro de Est. Pesq. Gastroenterol</t>
  </si>
  <si>
    <t>Antiviral Research</t>
  </si>
  <si>
    <t>01663542</t>
  </si>
  <si>
    <t>18729096</t>
  </si>
  <si>
    <t>Archives of Toxicology</t>
  </si>
  <si>
    <t>03405761</t>
  </si>
  <si>
    <t>14320738</t>
  </si>
  <si>
    <t>Aerosol Science and Technology</t>
  </si>
  <si>
    <t>02786826</t>
  </si>
  <si>
    <t>15217388</t>
  </si>
  <si>
    <t>Taylor and Francis Inc.</t>
  </si>
  <si>
    <t>Annals of Thoracic Surgery</t>
  </si>
  <si>
    <t>00034975</t>
  </si>
  <si>
    <t>15526259</t>
  </si>
  <si>
    <t>Elsevier USA</t>
  </si>
  <si>
    <t>Atherosclerosis</t>
  </si>
  <si>
    <t>00219150</t>
  </si>
  <si>
    <t>18791484</t>
  </si>
  <si>
    <t>Atemwegs- und Lungenkrankheiten</t>
  </si>
  <si>
    <t>03413055</t>
  </si>
  <si>
    <t>GERM/ENGL</t>
  </si>
  <si>
    <t>Acta Biomedica</t>
  </si>
  <si>
    <t>03924203</t>
  </si>
  <si>
    <t>L'Ateneo Parmense</t>
  </si>
  <si>
    <t>E-flow PDF Mattioli 1885 S.p.A.</t>
  </si>
  <si>
    <t>ITA</t>
  </si>
  <si>
    <t>ITAL/ENGL</t>
  </si>
  <si>
    <t>Alcoholism Treatment Quarterly</t>
  </si>
  <si>
    <t>07347324</t>
  </si>
  <si>
    <t>15444538</t>
  </si>
  <si>
    <t>Routledge</t>
  </si>
  <si>
    <t>Acta Virologica</t>
  </si>
  <si>
    <t>0001723X</t>
  </si>
  <si>
    <t>AEP - Academic Electronic Press Ltd.</t>
  </si>
  <si>
    <t>SVK</t>
  </si>
  <si>
    <t>Australian and New Zealand Journal of Obstetrics and Gynaecology</t>
  </si>
  <si>
    <t>00048666</t>
  </si>
  <si>
    <t>1479828X</t>
  </si>
  <si>
    <t>Biotechnology and Applied Biochemistry</t>
  </si>
  <si>
    <t>08854513</t>
  </si>
  <si>
    <t>14708744</t>
  </si>
  <si>
    <t>Biochimica et Biophysica Acta - Molecular Cell Research</t>
  </si>
  <si>
    <t>01674889</t>
  </si>
  <si>
    <t>18792596</t>
  </si>
  <si>
    <t>Biochimica et Biophysica Acta - Reviews on Cancer</t>
  </si>
  <si>
    <t>0304419X</t>
  </si>
  <si>
    <t>18792561</t>
  </si>
  <si>
    <t>Biochimica et Biophysica Acta - Bioenergetics</t>
  </si>
  <si>
    <t>00052728</t>
  </si>
  <si>
    <t>18792650</t>
  </si>
  <si>
    <t>Biochimica et Biophysica Acta - Biomembranes</t>
  </si>
  <si>
    <t>00052736</t>
  </si>
  <si>
    <t>18792642</t>
  </si>
  <si>
    <t>Biochimica et Biophysica Acta - General Subjects</t>
  </si>
  <si>
    <t>03044165</t>
  </si>
  <si>
    <t>18728006</t>
  </si>
  <si>
    <t>Biochemical and Biophysical Research Communications</t>
  </si>
  <si>
    <t>0006291X</t>
  </si>
  <si>
    <t>10902104</t>
  </si>
  <si>
    <t>Behavioural Brain Research</t>
  </si>
  <si>
    <t>01664328</t>
  </si>
  <si>
    <t>18727549</t>
  </si>
  <si>
    <t>Behavioral and Brain Sciences</t>
  </si>
  <si>
    <t>0140525X</t>
  </si>
  <si>
    <t>14691825</t>
  </si>
  <si>
    <t>Cambridge University Press</t>
  </si>
  <si>
    <t>E-flow Cambridge University Press</t>
  </si>
  <si>
    <t>Biochemistry and Cell Biology</t>
  </si>
  <si>
    <t>08298211</t>
  </si>
  <si>
    <t>12086002</t>
  </si>
  <si>
    <t>National Research Council of Canada</t>
  </si>
  <si>
    <t>E-flow National Research Council of Canada</t>
  </si>
  <si>
    <t>CAN</t>
  </si>
  <si>
    <t>Biology of the Cell</t>
  </si>
  <si>
    <t>02484900</t>
  </si>
  <si>
    <t>1768322X</t>
  </si>
  <si>
    <t>Biochemical Pharmacology</t>
  </si>
  <si>
    <t>00062952</t>
  </si>
  <si>
    <t>18732968</t>
  </si>
  <si>
    <t>British Journal of Clinical Pharmacology</t>
  </si>
  <si>
    <t>03065251</t>
  </si>
  <si>
    <t>13652125</t>
  </si>
  <si>
    <t>Biochemical Society Transactions</t>
  </si>
  <si>
    <t>03005127</t>
  </si>
  <si>
    <t>14708752</t>
  </si>
  <si>
    <t>Portland Press Ltd</t>
  </si>
  <si>
    <t>Breast Cancer Research and Treatment</t>
  </si>
  <si>
    <t>01676806</t>
  </si>
  <si>
    <t>15737217</t>
  </si>
  <si>
    <t>Biopharmaceutics and Drug Disposition</t>
  </si>
  <si>
    <t>01422782</t>
  </si>
  <si>
    <t>1099081X</t>
  </si>
  <si>
    <t>John Wiley and Sons Ltd</t>
  </si>
  <si>
    <t>Brain and Development</t>
  </si>
  <si>
    <t>03877604</t>
  </si>
  <si>
    <t>18727131</t>
  </si>
  <si>
    <t>Behaviour Change</t>
  </si>
  <si>
    <t>08134839</t>
  </si>
  <si>
    <t>20497768</t>
  </si>
  <si>
    <t>Behavioral Neuroscience</t>
  </si>
  <si>
    <t>07357044</t>
  </si>
  <si>
    <t>19390084</t>
  </si>
  <si>
    <t>Bulletin of Experimental Biology and Medicine</t>
  </si>
  <si>
    <t>00074888</t>
  </si>
  <si>
    <t>15738221</t>
  </si>
  <si>
    <t>Behavior Genetics</t>
  </si>
  <si>
    <t>00018244</t>
  </si>
  <si>
    <t>15733297</t>
  </si>
  <si>
    <t>Behavior Therapy</t>
  </si>
  <si>
    <t>00057894</t>
  </si>
  <si>
    <t>18781888</t>
  </si>
  <si>
    <t>Biotechnology and Bioengineering</t>
  </si>
  <si>
    <t>00063592</t>
  </si>
  <si>
    <t>10970290</t>
  </si>
  <si>
    <t>Biochemistry</t>
  </si>
  <si>
    <t>00062960</t>
  </si>
  <si>
    <t>15204995</t>
  </si>
  <si>
    <t>American Chemical Society</t>
  </si>
  <si>
    <t>E-flow ACS (American Chemical Society)</t>
  </si>
  <si>
    <t>Biophysical Chemistry</t>
  </si>
  <si>
    <t>03014622</t>
  </si>
  <si>
    <t>18734200</t>
  </si>
  <si>
    <t>Biochimie</t>
  </si>
  <si>
    <t>03009084</t>
  </si>
  <si>
    <t>61831638</t>
  </si>
  <si>
    <t>Biochemical Genetics</t>
  </si>
  <si>
    <t>00062928</t>
  </si>
  <si>
    <t>15734927</t>
  </si>
  <si>
    <t>Biochemical Journal</t>
  </si>
  <si>
    <t>02646021</t>
  </si>
  <si>
    <t>14708728</t>
  </si>
  <si>
    <t>Biomaterials</t>
  </si>
  <si>
    <t>01429612</t>
  </si>
  <si>
    <t>18785905</t>
  </si>
  <si>
    <t>Biomedical Engineering</t>
  </si>
  <si>
    <t>00063398</t>
  </si>
  <si>
    <t>15738256</t>
  </si>
  <si>
    <t>Biological Psychiatry</t>
  </si>
  <si>
    <t>00063223</t>
  </si>
  <si>
    <t>18732402</t>
  </si>
  <si>
    <t>Biomedicine and Pharmacotherapy</t>
  </si>
  <si>
    <t>07533322</t>
  </si>
  <si>
    <t>19506007</t>
  </si>
  <si>
    <t>Biopolymers</t>
  </si>
  <si>
    <t>00063525</t>
  </si>
  <si>
    <t>10970282</t>
  </si>
  <si>
    <t>Biology of Reproduction</t>
  </si>
  <si>
    <t>00063363</t>
  </si>
  <si>
    <t>15297268</t>
  </si>
  <si>
    <t>Society for the Study of Reproduction</t>
  </si>
  <si>
    <t>E-flow BioOne</t>
  </si>
  <si>
    <t>British Journal of Anaesthesia</t>
  </si>
  <si>
    <t>00070912</t>
  </si>
  <si>
    <t>14716771</t>
  </si>
  <si>
    <t>British Journal of Cancer</t>
  </si>
  <si>
    <t>00070920</t>
  </si>
  <si>
    <t>15321827</t>
  </si>
  <si>
    <t>British Journal of Dermatology</t>
  </si>
  <si>
    <t>00070963</t>
  </si>
  <si>
    <t>13652133</t>
  </si>
  <si>
    <t>British Journal of Haematology</t>
  </si>
  <si>
    <t>00071048</t>
  </si>
  <si>
    <t>13652141</t>
  </si>
  <si>
    <t>British Journal of Nutrition</t>
  </si>
  <si>
    <t>00071145</t>
  </si>
  <si>
    <t>14752662</t>
  </si>
  <si>
    <t>British Journal of Ophthalmology</t>
  </si>
  <si>
    <t>00071161</t>
  </si>
  <si>
    <t>14682079</t>
  </si>
  <si>
    <t>British Journal of Oral and Maxillofacial Surgery</t>
  </si>
  <si>
    <t>02664356</t>
  </si>
  <si>
    <t>15321940</t>
  </si>
  <si>
    <t>Churchill Livingstone</t>
  </si>
  <si>
    <t>British Journal of Pharmacology</t>
  </si>
  <si>
    <t>00071188</t>
  </si>
  <si>
    <t>14765381</t>
  </si>
  <si>
    <t>British Journal of Psychotherapy</t>
  </si>
  <si>
    <t>02659883</t>
  </si>
  <si>
    <t>17520118</t>
  </si>
  <si>
    <t>British Journal of Psychiatry</t>
  </si>
  <si>
    <t>00071250</t>
  </si>
  <si>
    <t>14721465</t>
  </si>
  <si>
    <t>Royal College of Psychiatrists</t>
  </si>
  <si>
    <t>British Journal of Radiology</t>
  </si>
  <si>
    <t>00071285</t>
  </si>
  <si>
    <t>British Institute of Radiology</t>
  </si>
  <si>
    <t>Blutalkohol</t>
  </si>
  <si>
    <t>00065250</t>
  </si>
  <si>
    <t>Bund gegen Alkohol im StraBenverkehr</t>
  </si>
  <si>
    <t>Bund gegen Alkohol im StraBenverkeh</t>
  </si>
  <si>
    <t>Bollettino - Lega Italiana contro l'Epilessia</t>
  </si>
  <si>
    <t>0394560X</t>
  </si>
  <si>
    <t>Lega Italiana contro l'Epilessia</t>
  </si>
  <si>
    <t>ITAL</t>
  </si>
  <si>
    <t>Paediatrics and International Child Health</t>
  </si>
  <si>
    <t>20469047</t>
  </si>
  <si>
    <t>20469055</t>
  </si>
  <si>
    <t>Maney Publishing</t>
  </si>
  <si>
    <t>Web Portal Maney</t>
  </si>
  <si>
    <t>Blood</t>
  </si>
  <si>
    <t>00064971</t>
  </si>
  <si>
    <t>15280020</t>
  </si>
  <si>
    <t>American Society of Hematology</t>
  </si>
  <si>
    <t>Blood Purification</t>
  </si>
  <si>
    <t>02535068</t>
  </si>
  <si>
    <t>14219735</t>
  </si>
  <si>
    <t>Biological Psychology</t>
  </si>
  <si>
    <t>03010511</t>
  </si>
  <si>
    <t>18736246</t>
  </si>
  <si>
    <t>British Medical Bulletin</t>
  </si>
  <si>
    <t>00071420</t>
  </si>
  <si>
    <t>14718391</t>
  </si>
  <si>
    <t>Bulletin of the Menninger Clinic</t>
  </si>
  <si>
    <t>00259284</t>
  </si>
  <si>
    <t>19432828</t>
  </si>
  <si>
    <t>Guilford Publications</t>
  </si>
  <si>
    <t>Boletin Medico del Hospital Infantil de Mexico</t>
  </si>
  <si>
    <t>16651146</t>
  </si>
  <si>
    <t>Hospital Infantil de Mexico Federico Gomez</t>
  </si>
  <si>
    <t>MEX</t>
  </si>
  <si>
    <t>BMJ (Online)</t>
  </si>
  <si>
    <t>17561833</t>
  </si>
  <si>
    <t>FORMULAONE</t>
  </si>
  <si>
    <t>Bangladesh Medical Research Council Bulletin</t>
  </si>
  <si>
    <t>03779238</t>
  </si>
  <si>
    <t>Bangladesh Medical Research Council</t>
  </si>
  <si>
    <t>BGD</t>
  </si>
  <si>
    <t>Biomedical Sciences Instrumentation</t>
  </si>
  <si>
    <t>00678856</t>
  </si>
  <si>
    <t>ISA - Instrumentation, Systems, and Automation Society</t>
  </si>
  <si>
    <t>E-flow PDF ISA - Instrumentation, Systems, and Automation Society</t>
  </si>
  <si>
    <t>Bioorganic Chemistry</t>
  </si>
  <si>
    <t>00452068</t>
  </si>
  <si>
    <t>10902120</t>
  </si>
  <si>
    <t>Bone</t>
  </si>
  <si>
    <t>87563282</t>
  </si>
  <si>
    <t>Bulletin, Postgraduate Institute of Medical Education and Research, Chandigarh</t>
  </si>
  <si>
    <t>03022404</t>
  </si>
  <si>
    <t>Postgraduate Institute of Medical Education and Research</t>
  </si>
  <si>
    <t>Postgrad. Inst. Med. Educ. and Res.</t>
  </si>
  <si>
    <t>IND</t>
  </si>
  <si>
    <t>Behavioural Processes</t>
  </si>
  <si>
    <t>03766357</t>
  </si>
  <si>
    <t>18728308</t>
  </si>
  <si>
    <t>Brain</t>
  </si>
  <si>
    <t>00068950</t>
  </si>
  <si>
    <t>14602156</t>
  </si>
  <si>
    <t>Brain Research Bulletin</t>
  </si>
  <si>
    <t>03619230</t>
  </si>
  <si>
    <t>18732747</t>
  </si>
  <si>
    <t>Basic Research in Cardiology</t>
  </si>
  <si>
    <t>03008428</t>
  </si>
  <si>
    <t>14351803</t>
  </si>
  <si>
    <t>D. Steinkopff-Verlag</t>
  </si>
  <si>
    <t>Biomedical Research (Japan)</t>
  </si>
  <si>
    <t>03886107</t>
  </si>
  <si>
    <t>1880313X</t>
  </si>
  <si>
    <t>Biomedical Research Foundation</t>
  </si>
  <si>
    <t>Biorheology</t>
  </si>
  <si>
    <t>0006355X</t>
  </si>
  <si>
    <t>18785034</t>
  </si>
  <si>
    <t>IOS Press</t>
  </si>
  <si>
    <t>E-flow IOS Press</t>
  </si>
  <si>
    <t>Brain and Language</t>
  </si>
  <si>
    <t>0093934X</t>
  </si>
  <si>
    <t>10902155</t>
  </si>
  <si>
    <t>Bioscience Reports</t>
  </si>
  <si>
    <t>01448463</t>
  </si>
  <si>
    <t>15734935</t>
  </si>
  <si>
    <t>Brain Research</t>
  </si>
  <si>
    <t>00068993</t>
  </si>
  <si>
    <t>18726240</t>
  </si>
  <si>
    <t>Behaviour Research and Therapy</t>
  </si>
  <si>
    <t>00057967</t>
  </si>
  <si>
    <t>1873622X</t>
  </si>
  <si>
    <t>BioSystems</t>
  </si>
  <si>
    <t>03032647</t>
  </si>
  <si>
    <t>18728324</t>
  </si>
  <si>
    <t>Biological Trace Element Research</t>
  </si>
  <si>
    <t>01634984</t>
  </si>
  <si>
    <t>15590720</t>
  </si>
  <si>
    <t>Humana Press</t>
  </si>
  <si>
    <t>BioTechniques</t>
  </si>
  <si>
    <t>07366205</t>
  </si>
  <si>
    <t>19409818</t>
  </si>
  <si>
    <t>Eaton Publishing Company</t>
  </si>
  <si>
    <t>Bulletin du Cancer</t>
  </si>
  <si>
    <t>00074551</t>
  </si>
  <si>
    <t>17696917</t>
  </si>
  <si>
    <t>John Libbey Eurotext</t>
  </si>
  <si>
    <t>Burns</t>
  </si>
  <si>
    <t>03054179</t>
  </si>
  <si>
    <t>18791409</t>
  </si>
  <si>
    <t>Bulletin of the World Health Organization</t>
  </si>
  <si>
    <t>00429686</t>
  </si>
  <si>
    <t>15640604</t>
  </si>
  <si>
    <t>World Health Organization</t>
  </si>
  <si>
    <t>Cardiology Clinics</t>
  </si>
  <si>
    <t>07338651</t>
  </si>
  <si>
    <t>15582264</t>
  </si>
  <si>
    <t>Cardiology (Switzerland)</t>
  </si>
  <si>
    <t>00086312</t>
  </si>
  <si>
    <t>14219751</t>
  </si>
  <si>
    <t>Canadian Journal of Ophthalmology</t>
  </si>
  <si>
    <t>00084182</t>
  </si>
  <si>
    <t>Cancer Letters</t>
  </si>
  <si>
    <t>03043835</t>
  </si>
  <si>
    <t>18727980</t>
  </si>
  <si>
    <t>CA Cancer Journal for Clinicians</t>
  </si>
  <si>
    <t>00079235</t>
  </si>
  <si>
    <t>15424863</t>
  </si>
  <si>
    <t>Wiley-Blackwell</t>
  </si>
  <si>
    <t>Cancer</t>
  </si>
  <si>
    <t>0008543X</t>
  </si>
  <si>
    <t>10970142</t>
  </si>
  <si>
    <t>CardioVascular and Interventional Radiology</t>
  </si>
  <si>
    <t>01741551</t>
  </si>
  <si>
    <t>1432086X</t>
  </si>
  <si>
    <t>Combustion and Flame</t>
  </si>
  <si>
    <t>00102180</t>
  </si>
  <si>
    <t>15562921</t>
  </si>
  <si>
    <t>Cell Biochemistry and Function</t>
  </si>
  <si>
    <t>02636484</t>
  </si>
  <si>
    <t>10990844</t>
  </si>
  <si>
    <t>Chemico-Biological Interactions</t>
  </si>
  <si>
    <t>00092797</t>
  </si>
  <si>
    <t>18727786</t>
  </si>
  <si>
    <t>Computers in Biology and Medicine</t>
  </si>
  <si>
    <t>00104825</t>
  </si>
  <si>
    <t>18790534</t>
  </si>
  <si>
    <t>Comparative Biochemistry and Physiology - B Biochemistry and Molecular Biology</t>
  </si>
  <si>
    <t>10964959</t>
  </si>
  <si>
    <t>18791107</t>
  </si>
  <si>
    <t>Cell Biology and Toxicology</t>
  </si>
  <si>
    <t>07422091</t>
  </si>
  <si>
    <t>15736822</t>
  </si>
  <si>
    <t>Clinica Chimica Acta</t>
  </si>
  <si>
    <t>00098981</t>
  </si>
  <si>
    <t>18733492</t>
  </si>
  <si>
    <t>Critical Care Clinics</t>
  </si>
  <si>
    <t>07490704</t>
  </si>
  <si>
    <t>15578232</t>
  </si>
  <si>
    <t>Clinics in Chest Medicine</t>
  </si>
  <si>
    <t>02725231</t>
  </si>
  <si>
    <t>15578216</t>
  </si>
  <si>
    <t>Chinese Journal of Oncology</t>
  </si>
  <si>
    <t>02533766</t>
  </si>
  <si>
    <t>Chinese Academy of Medical Sciences</t>
  </si>
  <si>
    <t>CHN</t>
  </si>
  <si>
    <t>CHIN</t>
  </si>
  <si>
    <t>ENGL/CHIN</t>
  </si>
  <si>
    <t>Critical Care Medicine</t>
  </si>
  <si>
    <t>00903493</t>
  </si>
  <si>
    <t>15300293</t>
  </si>
  <si>
    <t>Cancer Chemotherapy and Pharmacology</t>
  </si>
  <si>
    <t>03445704</t>
  </si>
  <si>
    <t>14320843</t>
  </si>
  <si>
    <t>Contraception</t>
  </si>
  <si>
    <t>00107824</t>
  </si>
  <si>
    <t>18790518</t>
  </si>
  <si>
    <t>Critical Reviews in Oncology/Hematology</t>
  </si>
  <si>
    <t>10408428</t>
  </si>
  <si>
    <t>18790461</t>
  </si>
  <si>
    <t>Cell Calcium</t>
  </si>
  <si>
    <t>01434160</t>
  </si>
  <si>
    <t>15321991</t>
  </si>
  <si>
    <t>Clinical and Experimental Dermatology</t>
  </si>
  <si>
    <t>03076938</t>
  </si>
  <si>
    <t>13652230</t>
  </si>
  <si>
    <t>Cell</t>
  </si>
  <si>
    <t>00928674</t>
  </si>
  <si>
    <t>10974172</t>
  </si>
  <si>
    <t>Clinical and Experimental Obstetrics and Gynecology</t>
  </si>
  <si>
    <t>03906663</t>
  </si>
  <si>
    <t>S.O.G. CANADA Inc.</t>
  </si>
  <si>
    <t>Cephalalgia</t>
  </si>
  <si>
    <t>03331024</t>
  </si>
  <si>
    <t>14682982</t>
  </si>
  <si>
    <t>Clinical and Experimental Rheumatology</t>
  </si>
  <si>
    <t>0392856X</t>
  </si>
  <si>
    <t>1593098X</t>
  </si>
  <si>
    <t>Clinical and Experimental Rheumatology S.A.S.</t>
  </si>
  <si>
    <t>Clinical and Experimental Immunology</t>
  </si>
  <si>
    <t>00099104</t>
  </si>
  <si>
    <t>13652249</t>
  </si>
  <si>
    <t>Clinical and Experimental Metastasis</t>
  </si>
  <si>
    <t>02620898</t>
  </si>
  <si>
    <t>15737276</t>
  </si>
  <si>
    <t>Clinical and Experimental Pharmacology and Physiology</t>
  </si>
  <si>
    <t>03051870</t>
  </si>
  <si>
    <t>14401681</t>
  </si>
  <si>
    <t>Current Eye Research</t>
  </si>
  <si>
    <t>02713683</t>
  </si>
  <si>
    <t>14602202</t>
  </si>
  <si>
    <t>Clinics in Geriatric Medicine</t>
  </si>
  <si>
    <t>07490690</t>
  </si>
  <si>
    <t>18798853</t>
  </si>
  <si>
    <t>Contributions to Gynecology and Obstetrics</t>
  </si>
  <si>
    <t>03044246</t>
  </si>
  <si>
    <t>16622901</t>
  </si>
  <si>
    <t>Chest</t>
  </si>
  <si>
    <t>00123692</t>
  </si>
  <si>
    <t>19313543</t>
  </si>
  <si>
    <t>American College of Chest Physicians</t>
  </si>
  <si>
    <t>Chinese Journal of Cardiology</t>
  </si>
  <si>
    <t>02533758</t>
  </si>
  <si>
    <t>Chinese Medical Association</t>
  </si>
  <si>
    <t>Lu Ping</t>
  </si>
  <si>
    <t>Chromosoma</t>
  </si>
  <si>
    <t>00095915</t>
  </si>
  <si>
    <t>14320886</t>
  </si>
  <si>
    <t>Springer Science and Business Media Deutschland GmbH</t>
  </si>
  <si>
    <t>Chemical Senses</t>
  </si>
  <si>
    <t>0379864X</t>
  </si>
  <si>
    <t>14643553</t>
  </si>
  <si>
    <t>Chemotherapy</t>
  </si>
  <si>
    <t>00093157</t>
  </si>
  <si>
    <t>14219794</t>
  </si>
  <si>
    <t>Clinica e Investigacion en Ginecologia y Obstetricia</t>
  </si>
  <si>
    <t>0210573X</t>
  </si>
  <si>
    <t>15789349</t>
  </si>
  <si>
    <t>Cancer Immunology, Immunotherapy</t>
  </si>
  <si>
    <t>03407004</t>
  </si>
  <si>
    <t>14320851</t>
  </si>
  <si>
    <t>Comparative Immunology, Microbiology and Infectious Diseases</t>
  </si>
  <si>
    <t>01479571</t>
  </si>
  <si>
    <t>18781667</t>
  </si>
  <si>
    <t>Cancer Investigation</t>
  </si>
  <si>
    <t>07357907</t>
  </si>
  <si>
    <t>Circulation</t>
  </si>
  <si>
    <t>00097322</t>
  </si>
  <si>
    <t>15244539</t>
  </si>
  <si>
    <t>Circulation Research</t>
  </si>
  <si>
    <t>00097330</t>
  </si>
  <si>
    <t>15244571</t>
  </si>
  <si>
    <t>Chiba Medical Journal</t>
  </si>
  <si>
    <t>03035476</t>
  </si>
  <si>
    <t>Chiba Medical Society</t>
  </si>
  <si>
    <t>ENGL/JAPA</t>
  </si>
  <si>
    <t>Canadian Journal of Cardiology</t>
  </si>
  <si>
    <t>0828282X</t>
  </si>
  <si>
    <t>Pulsus Group Inc.</t>
  </si>
  <si>
    <t>Canadian Journal of Hospital Pharmacy</t>
  </si>
  <si>
    <t>00084123</t>
  </si>
  <si>
    <t>19202903</t>
  </si>
  <si>
    <t>Canadian Society of Hospital Pharmacists</t>
  </si>
  <si>
    <t>Canadian Journal of Microbiology</t>
  </si>
  <si>
    <t>00084166</t>
  </si>
  <si>
    <t>14803275</t>
  </si>
  <si>
    <t>Canadian Journal of Neurological Sciences</t>
  </si>
  <si>
    <t>03171671</t>
  </si>
  <si>
    <t>Clinical Journal of Pain</t>
  </si>
  <si>
    <t>07498047</t>
  </si>
  <si>
    <t>15365409</t>
  </si>
  <si>
    <t>Chinese Journal of Physiology</t>
  </si>
  <si>
    <t>03044920</t>
  </si>
  <si>
    <t>Chinese Physiological Society</t>
  </si>
  <si>
    <t>TWN</t>
  </si>
  <si>
    <t>Canadian Journal of Physiology and Pharmacology</t>
  </si>
  <si>
    <t>00084212</t>
  </si>
  <si>
    <t>12057541</t>
  </si>
  <si>
    <t>Canadian Journal of Psychiatry</t>
  </si>
  <si>
    <t>07067437</t>
  </si>
  <si>
    <t>14970015</t>
  </si>
  <si>
    <t>Canadian Psychiatric Association</t>
  </si>
  <si>
    <t>Canadian Journal of Veterinary Research</t>
  </si>
  <si>
    <t>08309000</t>
  </si>
  <si>
    <t>Canadian Veterinary Journal Inc</t>
  </si>
  <si>
    <t>Ceska a Slovenska Neurologie a Neurochirurgie</t>
  </si>
  <si>
    <t>12107859</t>
  </si>
  <si>
    <t>18024041</t>
  </si>
  <si>
    <t>Czech Medical Association J.E. Purkyne</t>
  </si>
  <si>
    <t>CZCH</t>
  </si>
  <si>
    <t>ENGL/CZCH</t>
  </si>
  <si>
    <t>Clinical Biochemistry</t>
  </si>
  <si>
    <t>00099120</t>
  </si>
  <si>
    <t>18732933</t>
  </si>
  <si>
    <t>Clinical Biomechanics</t>
  </si>
  <si>
    <t>02680033</t>
  </si>
  <si>
    <t>18791271</t>
  </si>
  <si>
    <t>Clinical Cardiology</t>
  </si>
  <si>
    <t>01609289</t>
  </si>
  <si>
    <t>19328737</t>
  </si>
  <si>
    <t>Clinical Chemistry</t>
  </si>
  <si>
    <t>00099147</t>
  </si>
  <si>
    <t>15308561</t>
  </si>
  <si>
    <t>American Association for Clinical Chemistry Inc.</t>
  </si>
  <si>
    <t>Clinical Endocrinology</t>
  </si>
  <si>
    <t>03000664</t>
  </si>
  <si>
    <t>13652265</t>
  </si>
  <si>
    <t>Clinical Genetics</t>
  </si>
  <si>
    <t>00099163</t>
  </si>
  <si>
    <t>13990004</t>
  </si>
  <si>
    <t>Cellular Immunology</t>
  </si>
  <si>
    <t>00088749</t>
  </si>
  <si>
    <t>10902163</t>
  </si>
  <si>
    <t>Clinics in Laboratory Medicine</t>
  </si>
  <si>
    <t>02722712</t>
  </si>
  <si>
    <t>15579832</t>
  </si>
  <si>
    <t>Clinical Neuropharmacology</t>
  </si>
  <si>
    <t>03625664</t>
  </si>
  <si>
    <t>1537162X</t>
  </si>
  <si>
    <t>Clinical Nephrology</t>
  </si>
  <si>
    <t>03010430</t>
  </si>
  <si>
    <t>Clinical Neuropathology</t>
  </si>
  <si>
    <t>07225091</t>
  </si>
  <si>
    <t>Clinical Nutrition</t>
  </si>
  <si>
    <t>02615614</t>
  </si>
  <si>
    <t>15321983</t>
  </si>
  <si>
    <t>Clinics in Perinatology</t>
  </si>
  <si>
    <t>00955108</t>
  </si>
  <si>
    <t>15579840</t>
  </si>
  <si>
    <t>Clinical Pharmacology and Therapeutics</t>
  </si>
  <si>
    <t>00099236</t>
  </si>
  <si>
    <t>15326535</t>
  </si>
  <si>
    <t>Clinical Radiology</t>
  </si>
  <si>
    <t>00099260</t>
  </si>
  <si>
    <t>1365229X</t>
  </si>
  <si>
    <t>W.B. Saunders Ltd</t>
  </si>
  <si>
    <t>Clinical Rheumatology</t>
  </si>
  <si>
    <t>07703198</t>
  </si>
  <si>
    <t>14349949</t>
  </si>
  <si>
    <t>Springer London</t>
  </si>
  <si>
    <t>Clinica Terapeutica</t>
  </si>
  <si>
    <t>00099074</t>
  </si>
  <si>
    <t>19726007</t>
  </si>
  <si>
    <t>Societa Editrice Universo</t>
  </si>
  <si>
    <t>Clinical Therapeutics</t>
  </si>
  <si>
    <t>01492918</t>
  </si>
  <si>
    <t>1879114X</t>
  </si>
  <si>
    <t>Excerpta Medica Inc.</t>
  </si>
  <si>
    <t>CMAJ</t>
  </si>
  <si>
    <t>08203946</t>
  </si>
  <si>
    <t>14882329</t>
  </si>
  <si>
    <t>Canadian Medical Association</t>
  </si>
  <si>
    <t>Canadian Association of Radiologists</t>
  </si>
  <si>
    <t>Cellular and Molecular Biology</t>
  </si>
  <si>
    <t>01455680</t>
  </si>
  <si>
    <t>1165158X</t>
  </si>
  <si>
    <t>Cellular and Molecular Biology Association</t>
  </si>
  <si>
    <t>Chinese Medical Journal</t>
  </si>
  <si>
    <t>03666999</t>
  </si>
  <si>
    <t>Cellular and Molecular Neurobiology</t>
  </si>
  <si>
    <t>02724340</t>
  </si>
  <si>
    <t>15736830</t>
  </si>
  <si>
    <t>Computer Methods and Programs in Biomedicine</t>
  </si>
  <si>
    <t>01692607</t>
  </si>
  <si>
    <t>18727565</t>
  </si>
  <si>
    <t>Current Medical Research and Opinion</t>
  </si>
  <si>
    <t>03007995</t>
  </si>
  <si>
    <t>14734877</t>
  </si>
  <si>
    <t>Chemosphere</t>
  </si>
  <si>
    <t>00456535</t>
  </si>
  <si>
    <t>18791298</t>
  </si>
  <si>
    <t>Cahiers de Nutrition et de Dietetique</t>
  </si>
  <si>
    <t>00079960</t>
  </si>
  <si>
    <t>Clinical Nuclear Medicine</t>
  </si>
  <si>
    <t>03639762</t>
  </si>
  <si>
    <t>15360229</t>
  </si>
  <si>
    <t>Clinical Neurology and Neurosurgery</t>
  </si>
  <si>
    <t>03038467</t>
  </si>
  <si>
    <t>18726968</t>
  </si>
  <si>
    <t>Cancer Research</t>
  </si>
  <si>
    <t>00085472</t>
  </si>
  <si>
    <t>15387445</t>
  </si>
  <si>
    <t>American Association for Cancer Research Inc.</t>
  </si>
  <si>
    <t>Child's Nervous System</t>
  </si>
  <si>
    <t>02567040</t>
  </si>
  <si>
    <t>14330350</t>
  </si>
  <si>
    <t>Contact Dermatitis</t>
  </si>
  <si>
    <t>01051873</t>
  </si>
  <si>
    <t>16000536</t>
  </si>
  <si>
    <t>Clinical Obstetrics and Gynecology</t>
  </si>
  <si>
    <t>00099201</t>
  </si>
  <si>
    <t>15325520</t>
  </si>
  <si>
    <t>Comprehensive Psychiatry</t>
  </si>
  <si>
    <t>0010440X</t>
  </si>
  <si>
    <t>15328384</t>
  </si>
  <si>
    <t>Cornea</t>
  </si>
  <si>
    <t>02773740</t>
  </si>
  <si>
    <t>15364798</t>
  </si>
  <si>
    <t>Clinical Orthopaedics and Related Research</t>
  </si>
  <si>
    <t>0009921X</t>
  </si>
  <si>
    <t>15281132</t>
  </si>
  <si>
    <t>Comprehensive Therapy</t>
  </si>
  <si>
    <t>00988243</t>
  </si>
  <si>
    <t>15591190</t>
  </si>
  <si>
    <t>Cor et Vasa</t>
  </si>
  <si>
    <t>00108650</t>
  </si>
  <si>
    <t>18037712</t>
  </si>
  <si>
    <t>Elsevier Science B.V.</t>
  </si>
  <si>
    <t>Chemical and Pharmaceutical Bulletin</t>
  </si>
  <si>
    <t>00092363</t>
  </si>
  <si>
    <t>13475223</t>
  </si>
  <si>
    <t>Pharmaceutical Society of Japan</t>
  </si>
  <si>
    <t>Clinical Pediatrics</t>
  </si>
  <si>
    <t>00099228</t>
  </si>
  <si>
    <t>19382707</t>
  </si>
  <si>
    <t>Clinical Pharmacokinetics</t>
  </si>
  <si>
    <t>03125963</t>
  </si>
  <si>
    <t>11791926</t>
  </si>
  <si>
    <t>Springer International Publishing AG</t>
  </si>
  <si>
    <t>Chemistry and Physics of Lipids</t>
  </si>
  <si>
    <t>00093084</t>
  </si>
  <si>
    <t>18732941</t>
  </si>
  <si>
    <t>Clinical Psychology Review</t>
  </si>
  <si>
    <t>02727358</t>
  </si>
  <si>
    <t>18737811</t>
  </si>
  <si>
    <t>Current Problems in Surgery</t>
  </si>
  <si>
    <t>00113840</t>
  </si>
  <si>
    <t>15356337</t>
  </si>
  <si>
    <t>Clinics in Plastic Surgery</t>
  </si>
  <si>
    <t>00941298</t>
  </si>
  <si>
    <t>15580504</t>
  </si>
  <si>
    <t>Clinics in Podiatric Medicine and Surgery</t>
  </si>
  <si>
    <t>08918422</t>
  </si>
  <si>
    <t>15582302</t>
  </si>
  <si>
    <t>Critical Reviews in Biomedical Engineering</t>
  </si>
  <si>
    <t>0278940X</t>
  </si>
  <si>
    <t>Begell House Inc.</t>
  </si>
  <si>
    <t>Web Portal Begell House</t>
  </si>
  <si>
    <t>Carcinogenesis</t>
  </si>
  <si>
    <t>01433334</t>
  </si>
  <si>
    <t>14602180</t>
  </si>
  <si>
    <t>Critical Reviews in Therapeutic Drug Carrier Systems</t>
  </si>
  <si>
    <t>07434863</t>
  </si>
  <si>
    <t>2162660X</t>
  </si>
  <si>
    <t>Cortex</t>
  </si>
  <si>
    <t>00109452</t>
  </si>
  <si>
    <t>19738102</t>
  </si>
  <si>
    <t>Masson SpA</t>
  </si>
  <si>
    <t>Critical Reviews in Toxicology</t>
  </si>
  <si>
    <t>10408444</t>
  </si>
  <si>
    <t>15476898</t>
  </si>
  <si>
    <t>Critical Reviews in Microbiology</t>
  </si>
  <si>
    <t>1040841X</t>
  </si>
  <si>
    <t>15497828</t>
  </si>
  <si>
    <t>Cryobiology</t>
  </si>
  <si>
    <t>00112240</t>
  </si>
  <si>
    <t>10902392</t>
  </si>
  <si>
    <t>Clinical Science</t>
  </si>
  <si>
    <t>01435221</t>
  </si>
  <si>
    <t>Cell Structure and Function</t>
  </si>
  <si>
    <t>03867196</t>
  </si>
  <si>
    <t>13473700</t>
  </si>
  <si>
    <t>Japan Society for Cell Biology</t>
  </si>
  <si>
    <t>Cold Spring Harbor Symposia on Quantitative Biology</t>
  </si>
  <si>
    <t>00917451</t>
  </si>
  <si>
    <t>Cold Spring Harbor Laboratory Press</t>
  </si>
  <si>
    <t>Current Therapeutic Research - Clinical and Experimental</t>
  </si>
  <si>
    <t>0011393X</t>
  </si>
  <si>
    <t>18790313</t>
  </si>
  <si>
    <t>Cognitive Therapy and Research</t>
  </si>
  <si>
    <t>01475916</t>
  </si>
  <si>
    <t>15732819</t>
  </si>
  <si>
    <t>Calcified Tissue International</t>
  </si>
  <si>
    <t>0171967X</t>
  </si>
  <si>
    <t>14320827</t>
  </si>
  <si>
    <t>Cancer Treatment Reviews</t>
  </si>
  <si>
    <t>03057372</t>
  </si>
  <si>
    <t>15321967</t>
  </si>
  <si>
    <t>Cell and Tissue Research</t>
  </si>
  <si>
    <t>0302766X</t>
  </si>
  <si>
    <t>14320878</t>
  </si>
  <si>
    <t>Current Genetics</t>
  </si>
  <si>
    <t>01728083</t>
  </si>
  <si>
    <t>14320983</t>
  </si>
  <si>
    <t>Current Microbiology</t>
  </si>
  <si>
    <t>03438651</t>
  </si>
  <si>
    <t>14320991</t>
  </si>
  <si>
    <t>Cardiovascular Research</t>
  </si>
  <si>
    <t>00086363</t>
  </si>
  <si>
    <t>17553245</t>
  </si>
  <si>
    <t>Connective Tissue Research</t>
  </si>
  <si>
    <t>03008207</t>
  </si>
  <si>
    <t>16078438</t>
  </si>
  <si>
    <t>Acta Pharmacologica Sinica</t>
  </si>
  <si>
    <t>16714083</t>
  </si>
  <si>
    <t>17457254</t>
  </si>
  <si>
    <t>Drug and Alcohol Dependence</t>
  </si>
  <si>
    <t>03768716</t>
  </si>
  <si>
    <t>18790046</t>
  </si>
  <si>
    <t>Deutsche Apotheker Zeitung</t>
  </si>
  <si>
    <t>00119857</t>
  </si>
  <si>
    <t>Deutscher Apotheker Verlag</t>
  </si>
  <si>
    <t>Diabetologia Croatica</t>
  </si>
  <si>
    <t>03510042</t>
  </si>
  <si>
    <t>Vuk Vrhovac Institute</t>
  </si>
  <si>
    <t>Diabetologia</t>
  </si>
  <si>
    <t>0012186X</t>
  </si>
  <si>
    <t>14320428</t>
  </si>
  <si>
    <t>Developmental and Comparative Immunology</t>
  </si>
  <si>
    <t>0145305X</t>
  </si>
  <si>
    <t>Drug and Chemical Toxicology</t>
  </si>
  <si>
    <t>01480545</t>
  </si>
  <si>
    <t>15256014</t>
  </si>
  <si>
    <t>Drug Development and Industrial Pharmacy</t>
  </si>
  <si>
    <t>03639045</t>
  </si>
  <si>
    <t>15205762</t>
  </si>
  <si>
    <t>Drug Development Research</t>
  </si>
  <si>
    <t>02724391</t>
  </si>
  <si>
    <t>10982299</t>
  </si>
  <si>
    <t>Digestive Diseases and Sciences</t>
  </si>
  <si>
    <t>01632116</t>
  </si>
  <si>
    <t>15732568</t>
  </si>
  <si>
    <t>Developmental Biology</t>
  </si>
  <si>
    <t>00121606</t>
  </si>
  <si>
    <t>1095564X</t>
  </si>
  <si>
    <t>Developmental Neuroscience</t>
  </si>
  <si>
    <t>03785866</t>
  </si>
  <si>
    <t>14219859</t>
  </si>
  <si>
    <t>Dermatologia Revista Mexicana</t>
  </si>
  <si>
    <t>01854038</t>
  </si>
  <si>
    <t>Comunicaciones Cientificas Mexicanas S.A. de C.V.</t>
  </si>
  <si>
    <t>Nieto Editores</t>
  </si>
  <si>
    <t>Differentiation</t>
  </si>
  <si>
    <t>03014681</t>
  </si>
  <si>
    <t>14320436</t>
  </si>
  <si>
    <t>Development Growth and Differentiation</t>
  </si>
  <si>
    <t>00121592</t>
  </si>
  <si>
    <t>1440169X</t>
  </si>
  <si>
    <t>Turkderm Deri Hastaliklari ve Frengi Arsivi</t>
  </si>
  <si>
    <t>1019214X</t>
  </si>
  <si>
    <t>Istanbul Assoc. of Dermatology and Venerology</t>
  </si>
  <si>
    <t>Istanbul Universitesi</t>
  </si>
  <si>
    <t>TUR</t>
  </si>
  <si>
    <t>TURK</t>
  </si>
  <si>
    <t>Diabetes</t>
  </si>
  <si>
    <t>00121797</t>
  </si>
  <si>
    <t>1939327X</t>
  </si>
  <si>
    <t>American Diabetes Association Inc.</t>
  </si>
  <si>
    <t>Diabetes Care</t>
  </si>
  <si>
    <t>01495992</t>
  </si>
  <si>
    <t>19355548</t>
  </si>
  <si>
    <t>Diseases of the Colon and Rectum</t>
  </si>
  <si>
    <t>00123706</t>
  </si>
  <si>
    <t>15300358</t>
  </si>
  <si>
    <t>Digestion</t>
  </si>
  <si>
    <t>00122823</t>
  </si>
  <si>
    <t>14219867</t>
  </si>
  <si>
    <t>Diabetic Medicine</t>
  </si>
  <si>
    <t>07423071</t>
  </si>
  <si>
    <t>14645491</t>
  </si>
  <si>
    <t>Disease-a-Month</t>
  </si>
  <si>
    <t>00115029</t>
  </si>
  <si>
    <t>15578194</t>
  </si>
  <si>
    <t>Dokkyo Journal of Medical Sciences</t>
  </si>
  <si>
    <t>03855023</t>
  </si>
  <si>
    <t>09115900</t>
  </si>
  <si>
    <t>Dokkyo University School of Medicine</t>
  </si>
  <si>
    <t>Disease Markers</t>
  </si>
  <si>
    <t>02780240</t>
  </si>
  <si>
    <t>18758630</t>
  </si>
  <si>
    <t>Hindawi Publishing Corporation</t>
  </si>
  <si>
    <t>E-Flow Hindawi Publishing</t>
  </si>
  <si>
    <t>Developmental Medicine and Child Neurology</t>
  </si>
  <si>
    <t>00121622</t>
  </si>
  <si>
    <t>14698749</t>
  </si>
  <si>
    <t>Drug Metabolism and Disposition</t>
  </si>
  <si>
    <t>00909556</t>
  </si>
  <si>
    <t>1521009X</t>
  </si>
  <si>
    <t>American Society for Pharmacology and Experimental Therapy</t>
  </si>
  <si>
    <t>American Society for Pharmacology and Exp. Therapy</t>
  </si>
  <si>
    <t>Diagnostic Microbiology and Infectious Disease</t>
  </si>
  <si>
    <t>07328893</t>
  </si>
  <si>
    <t>18790070</t>
  </si>
  <si>
    <t>Drug Metabolism Reviews</t>
  </si>
  <si>
    <t>03602532</t>
  </si>
  <si>
    <t>10979883</t>
  </si>
  <si>
    <t>Deutsche Medizinische Wochenschrift</t>
  </si>
  <si>
    <t>00120472</t>
  </si>
  <si>
    <t>14394413</t>
  </si>
  <si>
    <t>Documenta Ophthalmologica</t>
  </si>
  <si>
    <t>00124486</t>
  </si>
  <si>
    <t>15732622</t>
  </si>
  <si>
    <t>Diabetes Research and Clinical Practice</t>
  </si>
  <si>
    <t>01688227</t>
  </si>
  <si>
    <t>18728227</t>
  </si>
  <si>
    <t>Drugs of the Future</t>
  </si>
  <si>
    <t>03778282</t>
  </si>
  <si>
    <t>Prous Science</t>
  </si>
  <si>
    <t>Dermatologic Clinics</t>
  </si>
  <si>
    <t>07338635</t>
  </si>
  <si>
    <t>15580520</t>
  </si>
  <si>
    <t>Drug and Therapeutics Bulletin</t>
  </si>
  <si>
    <t>00126543</t>
  </si>
  <si>
    <t>17555248</t>
  </si>
  <si>
    <t>Drugs</t>
  </si>
  <si>
    <t>00126667</t>
  </si>
  <si>
    <t>11791950</t>
  </si>
  <si>
    <t>Deutsche Zeitschrift fur Akupunktur</t>
  </si>
  <si>
    <t>04156412</t>
  </si>
  <si>
    <t>GERM/FREN/ENGL</t>
  </si>
  <si>
    <t>European Biophysics Journal</t>
  </si>
  <si>
    <t>01757571</t>
  </si>
  <si>
    <t>Echocardiography</t>
  </si>
  <si>
    <t>07422822</t>
  </si>
  <si>
    <t>15408175</t>
  </si>
  <si>
    <t>Experimental Cell Research</t>
  </si>
  <si>
    <t>00144827</t>
  </si>
  <si>
    <t>10902422</t>
  </si>
  <si>
    <t>Endokrynologia Polska</t>
  </si>
  <si>
    <t>0423104X</t>
  </si>
  <si>
    <t>Via Medica</t>
  </si>
  <si>
    <t>POLS/ENGL</t>
  </si>
  <si>
    <t>Ecotoxicology and Environmental Safety</t>
  </si>
  <si>
    <t>01476513</t>
  </si>
  <si>
    <t>10902414</t>
  </si>
  <si>
    <t>Early Human Development</t>
  </si>
  <si>
    <t>03783782</t>
  </si>
  <si>
    <t>18726232</t>
  </si>
  <si>
    <t>European Heart Journal</t>
  </si>
  <si>
    <t>0195668X</t>
  </si>
  <si>
    <t>15229645</t>
  </si>
  <si>
    <t>European Journal of Anaesthesiology</t>
  </si>
  <si>
    <t>02650215</t>
  </si>
  <si>
    <t>13652346</t>
  </si>
  <si>
    <t>European Journal of Cell Biology</t>
  </si>
  <si>
    <t>01719335</t>
  </si>
  <si>
    <t>16181298</t>
  </si>
  <si>
    <t>Urban und Fischer Verlag GmbH und Co. KG</t>
  </si>
  <si>
    <t>European Journal of Clinical Investigation</t>
  </si>
  <si>
    <t>00142972</t>
  </si>
  <si>
    <t>13652362</t>
  </si>
  <si>
    <t>European Journal of Clinical Pharmacology</t>
  </si>
  <si>
    <t>00316970</t>
  </si>
  <si>
    <t>14321041</t>
  </si>
  <si>
    <t>European Journal of Drug Metabolism and Pharmacokinetics</t>
  </si>
  <si>
    <t>03787966</t>
  </si>
  <si>
    <t>21070180</t>
  </si>
  <si>
    <t>European Journal of Epidemiology</t>
  </si>
  <si>
    <t>03932990</t>
  </si>
  <si>
    <t>15737284</t>
  </si>
  <si>
    <t>European Journal of Gynaecological Oncology</t>
  </si>
  <si>
    <t>03922936</t>
  </si>
  <si>
    <t>European Journal of Immunology</t>
  </si>
  <si>
    <t>00142980</t>
  </si>
  <si>
    <t>15214141</t>
  </si>
  <si>
    <t>European Journal of Medicinal Chemistry</t>
  </si>
  <si>
    <t>02235234</t>
  </si>
  <si>
    <t>17683254</t>
  </si>
  <si>
    <t>European Journal of Pediatrics</t>
  </si>
  <si>
    <t>03406199</t>
  </si>
  <si>
    <t>14321076</t>
  </si>
  <si>
    <t>European Journal of Pharmacology</t>
  </si>
  <si>
    <t>00142999</t>
  </si>
  <si>
    <t>18790712</t>
  </si>
  <si>
    <t>European Journal of Radiology</t>
  </si>
  <si>
    <t>0720048X</t>
  </si>
  <si>
    <t>18727727</t>
  </si>
  <si>
    <t>European Journal of Surgical Oncology</t>
  </si>
  <si>
    <t>07487983</t>
  </si>
  <si>
    <t>15322157</t>
  </si>
  <si>
    <t>Electrophoresis</t>
  </si>
  <si>
    <t>01730835</t>
  </si>
  <si>
    <t>15222683</t>
  </si>
  <si>
    <t>Environmental Monitoring and Assessment</t>
  </si>
  <si>
    <t>01676369</t>
  </si>
  <si>
    <t>15732959</t>
  </si>
  <si>
    <t>Emergency Medicine Clinics of North America</t>
  </si>
  <si>
    <t>07338627</t>
  </si>
  <si>
    <t>Emirates Medical Journal</t>
  </si>
  <si>
    <t>02506882</t>
  </si>
  <si>
    <t>Emirates Medical Association</t>
  </si>
  <si>
    <t>ARE</t>
  </si>
  <si>
    <t>Environmental Management</t>
  </si>
  <si>
    <t>0364152X</t>
  </si>
  <si>
    <t>14321009</t>
  </si>
  <si>
    <t>Enzyme and Microbial Technology</t>
  </si>
  <si>
    <t>01410229</t>
  </si>
  <si>
    <t>18790909</t>
  </si>
  <si>
    <t>Encephale</t>
  </si>
  <si>
    <t>00137006</t>
  </si>
  <si>
    <t>Endoscopy</t>
  </si>
  <si>
    <t>0013726X</t>
  </si>
  <si>
    <t>14388812</t>
  </si>
  <si>
    <t>Endocrinology</t>
  </si>
  <si>
    <t>00137227</t>
  </si>
  <si>
    <t>19457170</t>
  </si>
  <si>
    <t>Endocrine Society</t>
  </si>
  <si>
    <t>Endocrine Research</t>
  </si>
  <si>
    <t>07435800</t>
  </si>
  <si>
    <t>Ear, Nose and Throat Journal</t>
  </si>
  <si>
    <t>01455613</t>
  </si>
  <si>
    <t>Medquest Communications LLC</t>
  </si>
  <si>
    <t>Environment International</t>
  </si>
  <si>
    <t>01604120</t>
  </si>
  <si>
    <t>18736750</t>
  </si>
  <si>
    <t>Environmental Research</t>
  </si>
  <si>
    <t>00139351</t>
  </si>
  <si>
    <t>10960953</t>
  </si>
  <si>
    <t>European Journal of Obstetrics Gynecology and Reproductive Biology</t>
  </si>
  <si>
    <t>03012115</t>
  </si>
  <si>
    <t>18727654</t>
  </si>
  <si>
    <t>Epilepsia</t>
  </si>
  <si>
    <t>00139580</t>
  </si>
  <si>
    <t>15281167</t>
  </si>
  <si>
    <t>Epidemiologic Reviews</t>
  </si>
  <si>
    <t>0193936X</t>
  </si>
  <si>
    <t>14786729</t>
  </si>
  <si>
    <t>Endocrine Reviews</t>
  </si>
  <si>
    <t>0163769X</t>
  </si>
  <si>
    <t>Environmental Science and Technology</t>
  </si>
  <si>
    <t>0013936X</t>
  </si>
  <si>
    <t>15205851</t>
  </si>
  <si>
    <t>Environmental Toxicology and Chemistry</t>
  </si>
  <si>
    <t>07307268</t>
  </si>
  <si>
    <t>15528618</t>
  </si>
  <si>
    <t>SETAC Press</t>
  </si>
  <si>
    <t>European Neurology</t>
  </si>
  <si>
    <t>00143022</t>
  </si>
  <si>
    <t>14219913</t>
  </si>
  <si>
    <t>European Surgical Research</t>
  </si>
  <si>
    <t>0014312X</t>
  </si>
  <si>
    <t>14219921</t>
  </si>
  <si>
    <t>European Urology</t>
  </si>
  <si>
    <t>03022838</t>
  </si>
  <si>
    <t>18737560</t>
  </si>
  <si>
    <t>Environmental Health Perspectives</t>
  </si>
  <si>
    <t>00916765</t>
  </si>
  <si>
    <t>15529924</t>
  </si>
  <si>
    <t>Public Health Services, US Dept of Health and Human Services</t>
  </si>
  <si>
    <t>EHP Office NIEHS</t>
  </si>
  <si>
    <t>Evolution Psychiatrique</t>
  </si>
  <si>
    <t>00143855</t>
  </si>
  <si>
    <t>17696674</t>
  </si>
  <si>
    <t>Experimental Brain Research</t>
  </si>
  <si>
    <t>00144819</t>
  </si>
  <si>
    <t>14321106</t>
  </si>
  <si>
    <t>Experimental Eye Research</t>
  </si>
  <si>
    <t>00144835</t>
  </si>
  <si>
    <t>10960007</t>
  </si>
  <si>
    <t>Experimental Gerontology</t>
  </si>
  <si>
    <t>05315565</t>
  </si>
  <si>
    <t>18736815</t>
  </si>
  <si>
    <t>Experimental Hematology</t>
  </si>
  <si>
    <t>0301472X</t>
  </si>
  <si>
    <t>18732399</t>
  </si>
  <si>
    <t>Experimental Lung Research</t>
  </si>
  <si>
    <t>01902148</t>
  </si>
  <si>
    <t>15210499</t>
  </si>
  <si>
    <t>Experimental and Molecular Pathology</t>
  </si>
  <si>
    <t>00144800</t>
  </si>
  <si>
    <t>10960945</t>
  </si>
  <si>
    <t>Experimental Neurology</t>
  </si>
  <si>
    <t>00144886</t>
  </si>
  <si>
    <t>10902430</t>
  </si>
  <si>
    <t>Experimental Parasitology</t>
  </si>
  <si>
    <t>00144894</t>
  </si>
  <si>
    <t>10902449</t>
  </si>
  <si>
    <t>Farmaceuticky Obzor</t>
  </si>
  <si>
    <t>00148172</t>
  </si>
  <si>
    <t>Slovenska zdravotnicka univerzita</t>
  </si>
  <si>
    <t>CZCH/SLVK</t>
  </si>
  <si>
    <t>Family Practice</t>
  </si>
  <si>
    <t>02632136</t>
  </si>
  <si>
    <t>14602229</t>
  </si>
  <si>
    <t>Progress in Drug Research</t>
  </si>
  <si>
    <t>0071786X</t>
  </si>
  <si>
    <t>Food and Chemical Toxicology</t>
  </si>
  <si>
    <t>02786915</t>
  </si>
  <si>
    <t>18736351</t>
  </si>
  <si>
    <t>FEBS Letters</t>
  </si>
  <si>
    <t>00145793</t>
  </si>
  <si>
    <t>18733468</t>
  </si>
  <si>
    <t>Feuillets de Radiologie</t>
  </si>
  <si>
    <t>01819801</t>
  </si>
  <si>
    <t>17730376</t>
  </si>
  <si>
    <t>Fertility and Sterility</t>
  </si>
  <si>
    <t>00150282</t>
  </si>
  <si>
    <t>15565653</t>
  </si>
  <si>
    <t>Flavour and Fragrance Journal</t>
  </si>
  <si>
    <t>08825734</t>
  </si>
  <si>
    <t>10991026</t>
  </si>
  <si>
    <t>Folia Histochemica et Cytobiologica</t>
  </si>
  <si>
    <t>02398508</t>
  </si>
  <si>
    <t>18975631</t>
  </si>
  <si>
    <t>FEMS Microbiology Letters</t>
  </si>
  <si>
    <t>03781097</t>
  </si>
  <si>
    <t>15746968</t>
  </si>
  <si>
    <t>FEMS Microbiology Reviews</t>
  </si>
  <si>
    <t>01686445</t>
  </si>
  <si>
    <t>15746976</t>
  </si>
  <si>
    <t>Farmaceutisch Tijdschrift voor Belgie</t>
  </si>
  <si>
    <t>07712367</t>
  </si>
  <si>
    <t>APB Algemene Pharmaceutische Bond</t>
  </si>
  <si>
    <t>DUTC/ENGL</t>
  </si>
  <si>
    <t>DUTC</t>
  </si>
  <si>
    <t>Fortschritte der Neurologie Psychiatrie</t>
  </si>
  <si>
    <t>07204299</t>
  </si>
  <si>
    <t>14393522</t>
  </si>
  <si>
    <t>Folia Biologica (Czech Republic)</t>
  </si>
  <si>
    <t>00155500</t>
  </si>
  <si>
    <t>17349168</t>
  </si>
  <si>
    <t>Charles University</t>
  </si>
  <si>
    <t>Food Chemistry</t>
  </si>
  <si>
    <t>03088146</t>
  </si>
  <si>
    <t>18737072</t>
  </si>
  <si>
    <t>Farmacia</t>
  </si>
  <si>
    <t>00148237</t>
  </si>
  <si>
    <t>Romanian Society for Pharmaceutical Sciences</t>
  </si>
  <si>
    <t>ROU</t>
  </si>
  <si>
    <t>RUMA</t>
  </si>
  <si>
    <t>ENGL/RUMA</t>
  </si>
  <si>
    <t>Forensic Science International</t>
  </si>
  <si>
    <t>03790738</t>
  </si>
  <si>
    <t>18726283</t>
  </si>
  <si>
    <t>Fitoterapia</t>
  </si>
  <si>
    <t>0367326X</t>
  </si>
  <si>
    <t>18736971</t>
  </si>
  <si>
    <t>Graefe's Archive for Clinical and Experimental Ophthalmology</t>
  </si>
  <si>
    <t>0721832X</t>
  </si>
  <si>
    <t>1435702X</t>
  </si>
  <si>
    <t>Gastrointestinal Endoscopy</t>
  </si>
  <si>
    <t>00165107</t>
  </si>
  <si>
    <t>10976779</t>
  </si>
  <si>
    <t>Gastroenterology</t>
  </si>
  <si>
    <t>00165085</t>
  </si>
  <si>
    <t>15280012</t>
  </si>
  <si>
    <t>General and Comparative Endocrinology</t>
  </si>
  <si>
    <t>00166480</t>
  </si>
  <si>
    <t>10956840</t>
  </si>
  <si>
    <t>Gaceta Medica de Bilbao</t>
  </si>
  <si>
    <t>03044858</t>
  </si>
  <si>
    <t>Ediciones Doyma, S.L.</t>
  </si>
  <si>
    <t>Geburtshilfe und Frauenheilkunde</t>
  </si>
  <si>
    <t>00165751</t>
  </si>
  <si>
    <t>14388804</t>
  </si>
  <si>
    <t>Gene</t>
  </si>
  <si>
    <t>03781119</t>
  </si>
  <si>
    <t>18790038</t>
  </si>
  <si>
    <t>Genetics</t>
  </si>
  <si>
    <t>00166731</t>
  </si>
  <si>
    <t>19432631</t>
  </si>
  <si>
    <t>FASEB Subscriptions</t>
  </si>
  <si>
    <t>Genetic Epidemiology</t>
  </si>
  <si>
    <t>07410395</t>
  </si>
  <si>
    <t>10982272</t>
  </si>
  <si>
    <t>Gerontology</t>
  </si>
  <si>
    <t>0304324X</t>
  </si>
  <si>
    <t>14230003</t>
  </si>
  <si>
    <t>Gastroenterologia y Hepatologia</t>
  </si>
  <si>
    <t>02105705</t>
  </si>
  <si>
    <t>15789519</t>
  </si>
  <si>
    <t>General Hospital Psychiatry</t>
  </si>
  <si>
    <t>01638343</t>
  </si>
  <si>
    <t>18737714</t>
  </si>
  <si>
    <t>Giornale Italiano di Dermatologia e Venereologia</t>
  </si>
  <si>
    <t>00264741</t>
  </si>
  <si>
    <t>Edizioni Minerva Medica</t>
  </si>
  <si>
    <t>Giornale di Gerontologia</t>
  </si>
  <si>
    <t>00170305</t>
  </si>
  <si>
    <t>Pacini Editore S.p.A.</t>
  </si>
  <si>
    <t>E-flow PDF Pacini Editore S.p.A.</t>
  </si>
  <si>
    <t>Giornale Italiano di Ostetricia e Ginecologia</t>
  </si>
  <si>
    <t>03919013</t>
  </si>
  <si>
    <t>19711433</t>
  </si>
  <si>
    <t>CIC Edizioni Internazionali s.r.l.</t>
  </si>
  <si>
    <t>Glycoconjugate Journal</t>
  </si>
  <si>
    <t>02820080</t>
  </si>
  <si>
    <t>15734986</t>
  </si>
  <si>
    <t>Gazzetta Medica Italiana Archivio per le Scienze Mediche</t>
  </si>
  <si>
    <t>03933660</t>
  </si>
  <si>
    <t>Geneesmiddelenbulletin</t>
  </si>
  <si>
    <t>03044629</t>
  </si>
  <si>
    <t>Stichting Geneesmiddelenbulletin</t>
  </si>
  <si>
    <t>Gynecologic and Obstetric Investigation</t>
  </si>
  <si>
    <t>03787346</t>
  </si>
  <si>
    <t>1423002X</t>
  </si>
  <si>
    <t>Ginecologia y Obstetricia de Mexico</t>
  </si>
  <si>
    <t>03009041</t>
  </si>
  <si>
    <t>Asociacion Mexicana de Ginecologia y Obstetricia</t>
  </si>
  <si>
    <t>Japanese Journal of Cancer and Chemotherapy</t>
  </si>
  <si>
    <t>03850684</t>
  </si>
  <si>
    <t>Japanese Journal of Cancer and Chemotherapy Publishers Inc.</t>
  </si>
  <si>
    <t>EBSCO Information Services</t>
  </si>
  <si>
    <t>JAPA</t>
  </si>
  <si>
    <t>Gut</t>
  </si>
  <si>
    <t>00175749</t>
  </si>
  <si>
    <t>14683288</t>
  </si>
  <si>
    <t>Gynakologe</t>
  </si>
  <si>
    <t>00175994</t>
  </si>
  <si>
    <t>14330393</t>
  </si>
  <si>
    <t>Gynecologic Oncology</t>
  </si>
  <si>
    <t>00908258</t>
  </si>
  <si>
    <t>10956859</t>
  </si>
  <si>
    <t>Gynakologische Praxis</t>
  </si>
  <si>
    <t>03418677</t>
  </si>
  <si>
    <t>Hans Marseille Verlag GmbH</t>
  </si>
  <si>
    <t>Hand Clinics</t>
  </si>
  <si>
    <t>07490712</t>
  </si>
  <si>
    <t>15581969</t>
  </si>
  <si>
    <t>Haematologica</t>
  </si>
  <si>
    <t>03906078</t>
  </si>
  <si>
    <t>15928721</t>
  </si>
  <si>
    <t>Ferrata Storti Foundation</t>
  </si>
  <si>
    <t>ENGL/ITAL</t>
  </si>
  <si>
    <t>Hamostaseologie</t>
  </si>
  <si>
    <t>07209355</t>
  </si>
  <si>
    <t>Schattauer GmbH</t>
  </si>
  <si>
    <t>Hematological Oncology</t>
  </si>
  <si>
    <t>02780232</t>
  </si>
  <si>
    <t>10991069</t>
  </si>
  <si>
    <t>Hautarzt</t>
  </si>
  <si>
    <t>00178470</t>
  </si>
  <si>
    <t>14321173</t>
  </si>
  <si>
    <t>Helvetica Chimica Acta</t>
  </si>
  <si>
    <t>0018019X</t>
  </si>
  <si>
    <t>15222675</t>
  </si>
  <si>
    <t>Verlag Helvetica Chimica Acta AG</t>
  </si>
  <si>
    <t>Headache</t>
  </si>
  <si>
    <t>00178748</t>
  </si>
  <si>
    <t>15264610</t>
  </si>
  <si>
    <t>Health Affairs</t>
  </si>
  <si>
    <t>02782715</t>
  </si>
  <si>
    <t>15445208</t>
  </si>
  <si>
    <t>Project HOPE</t>
  </si>
  <si>
    <t>Health Education Journal</t>
  </si>
  <si>
    <t>00178969</t>
  </si>
  <si>
    <t>17488176</t>
  </si>
  <si>
    <t>Hepato-Gastroenterology</t>
  </si>
  <si>
    <t>01726390</t>
  </si>
  <si>
    <t>H.G.E. Update Medical Publishing Ltd.</t>
  </si>
  <si>
    <t>International Gastro-Surgical Club (IGSC)</t>
  </si>
  <si>
    <t>Heart and Lung: Journal of Acute and Critical Care</t>
  </si>
  <si>
    <t>01479563</t>
  </si>
  <si>
    <t>15273288</t>
  </si>
  <si>
    <t>Hemoglobin</t>
  </si>
  <si>
    <t>03630269</t>
  </si>
  <si>
    <t>1532432X</t>
  </si>
  <si>
    <t>Health Policy</t>
  </si>
  <si>
    <t>01688510</t>
  </si>
  <si>
    <t>18726054</t>
  </si>
  <si>
    <t>Hereditas</t>
  </si>
  <si>
    <t>00180661</t>
  </si>
  <si>
    <t>16015223</t>
  </si>
  <si>
    <t>Hearing Research</t>
  </si>
  <si>
    <t>03785955</t>
  </si>
  <si>
    <t>18785891</t>
  </si>
  <si>
    <t>Herz</t>
  </si>
  <si>
    <t>03409937</t>
  </si>
  <si>
    <t>16156692</t>
  </si>
  <si>
    <t>Urban und Vogel</t>
  </si>
  <si>
    <t>Health Services Research</t>
  </si>
  <si>
    <t>00179124</t>
  </si>
  <si>
    <t>14756773</t>
  </si>
  <si>
    <t>Heart and Vessels</t>
  </si>
  <si>
    <t>09108327</t>
  </si>
  <si>
    <t>16152573</t>
  </si>
  <si>
    <t>Springer Japan</t>
  </si>
  <si>
    <t>Japanese Journal of Lung Cancer</t>
  </si>
  <si>
    <t>03869628</t>
  </si>
  <si>
    <t>Japan Lung Cancer Society</t>
  </si>
  <si>
    <t>Hiroshima Journal of Medical Sciences</t>
  </si>
  <si>
    <t>00182052</t>
  </si>
  <si>
    <t>Hiroshima University School of Medicine</t>
  </si>
  <si>
    <t>Histopathology</t>
  </si>
  <si>
    <t>03090167</t>
  </si>
  <si>
    <t>13652559</t>
  </si>
  <si>
    <t>Hellenic Journal of Cardiology</t>
  </si>
  <si>
    <t>11099666</t>
  </si>
  <si>
    <t>Hellenic Cardiological Society</t>
  </si>
  <si>
    <t>Hormone and Metabolic Research</t>
  </si>
  <si>
    <t>00185043</t>
  </si>
  <si>
    <t>14394286</t>
  </si>
  <si>
    <t>Human Movement Science</t>
  </si>
  <si>
    <t>01679457</t>
  </si>
  <si>
    <t>18727646</t>
  </si>
  <si>
    <t>Hormones and Behavior</t>
  </si>
  <si>
    <t>0018506X</t>
  </si>
  <si>
    <t>10956867</t>
  </si>
  <si>
    <t>Hospital Pharmacy</t>
  </si>
  <si>
    <t>00185787</t>
  </si>
  <si>
    <t>19451253</t>
  </si>
  <si>
    <t>Facts and Comparisons</t>
  </si>
  <si>
    <t>Human Pathology</t>
  </si>
  <si>
    <t>00468177</t>
  </si>
  <si>
    <t>15328392</t>
  </si>
  <si>
    <t>Hypertension</t>
  </si>
  <si>
    <t>0194911X</t>
  </si>
  <si>
    <t>15244563</t>
  </si>
  <si>
    <t>Hepatology</t>
  </si>
  <si>
    <t>02709139</t>
  </si>
  <si>
    <t>15273350</t>
  </si>
  <si>
    <t>Human Development</t>
  </si>
  <si>
    <t>0018716X</t>
  </si>
  <si>
    <t>14230054</t>
  </si>
  <si>
    <t>Human Genetics</t>
  </si>
  <si>
    <t>03406717</t>
  </si>
  <si>
    <t>14321203</t>
  </si>
  <si>
    <t>Human Heredity</t>
  </si>
  <si>
    <t>00015652</t>
  </si>
  <si>
    <t>14230062</t>
  </si>
  <si>
    <t>Human Immunology</t>
  </si>
  <si>
    <t>01988859</t>
  </si>
  <si>
    <t>18791166</t>
  </si>
  <si>
    <t>Human Reproduction</t>
  </si>
  <si>
    <t>02681161</t>
  </si>
  <si>
    <t>14602350</t>
  </si>
  <si>
    <t>International Anesthesiology Clinics</t>
  </si>
  <si>
    <t>00205907</t>
  </si>
  <si>
    <t>15371913</t>
  </si>
  <si>
    <t>Infant Behavior and Development</t>
  </si>
  <si>
    <t>01636383</t>
  </si>
  <si>
    <t>Investigacion Clinica (Venezuela)</t>
  </si>
  <si>
    <t>05355133</t>
  </si>
  <si>
    <t>Instituto de Investigaciones Clinicas</t>
  </si>
  <si>
    <t>Intensive Care Medicine</t>
  </si>
  <si>
    <t>03424642</t>
  </si>
  <si>
    <t>14321238</t>
  </si>
  <si>
    <t>Ideggyogyaszati Szemle</t>
  </si>
  <si>
    <t>00191442</t>
  </si>
  <si>
    <t>Ifjusagi Lap-es Konyvkiado Vallalat</t>
  </si>
  <si>
    <t>HUNG</t>
  </si>
  <si>
    <t>HUNG/ENGL</t>
  </si>
  <si>
    <t>IEEE Transactions on Biomedical Engineering</t>
  </si>
  <si>
    <t>00189294</t>
  </si>
  <si>
    <t>15582531</t>
  </si>
  <si>
    <t>IEEE Computer Society</t>
  </si>
  <si>
    <t>E-flow IEEE</t>
  </si>
  <si>
    <t>Infection</t>
  </si>
  <si>
    <t>03008126</t>
  </si>
  <si>
    <t>14390973</t>
  </si>
  <si>
    <t>Indian Heart Journal</t>
  </si>
  <si>
    <t>00194832</t>
  </si>
  <si>
    <t>International Journal of Adolescent Medicine and Health</t>
  </si>
  <si>
    <t>03340139</t>
  </si>
  <si>
    <t>21910278</t>
  </si>
  <si>
    <t>Walter de Gruyter GmbH</t>
  </si>
  <si>
    <t>International Journal of Artificial Organs</t>
  </si>
  <si>
    <t>03913988</t>
  </si>
  <si>
    <t>Wichtig Editore s.r.l.</t>
  </si>
  <si>
    <t>International Journal of Biological Macromolecules</t>
  </si>
  <si>
    <t>01418130</t>
  </si>
  <si>
    <t>18790003</t>
  </si>
  <si>
    <t>Indian Journal of Cancer</t>
  </si>
  <si>
    <t>0019509X</t>
  </si>
  <si>
    <t>19984774</t>
  </si>
  <si>
    <t>Medknow Publications and Media Pvt. Ltd</t>
  </si>
  <si>
    <t>E-Flow Medknow Publications</t>
  </si>
  <si>
    <t>International Journal of Cardiology</t>
  </si>
  <si>
    <t>01675273</t>
  </si>
  <si>
    <t>18741754</t>
  </si>
  <si>
    <t>International Journal of Cosmetic Science</t>
  </si>
  <si>
    <t>01425463</t>
  </si>
  <si>
    <t>14682494</t>
  </si>
  <si>
    <t>International Journal of Cancer</t>
  </si>
  <si>
    <t>00207136</t>
  </si>
  <si>
    <t>10970215</t>
  </si>
  <si>
    <t>International Journal of Dermatology</t>
  </si>
  <si>
    <t>00119059</t>
  </si>
  <si>
    <t>13654632</t>
  </si>
  <si>
    <t>Indian Journal of Dermatology, Venereology and Leprology</t>
  </si>
  <si>
    <t>03786323</t>
  </si>
  <si>
    <t>09733922</t>
  </si>
  <si>
    <t>International Journal of Developmental Neuroscience</t>
  </si>
  <si>
    <t>07365748</t>
  </si>
  <si>
    <t>1873474X</t>
  </si>
  <si>
    <t>International Journal of Clinical and Experimental Hypnosis</t>
  </si>
  <si>
    <t>00207144</t>
  </si>
  <si>
    <t>17445183</t>
  </si>
  <si>
    <t>International Journal of Epidemiology</t>
  </si>
  <si>
    <t>03005771</t>
  </si>
  <si>
    <t>14643685</t>
  </si>
  <si>
    <t>International Journal of Food Microbiology</t>
  </si>
  <si>
    <t>01681605</t>
  </si>
  <si>
    <t>18793460</t>
  </si>
  <si>
    <t>International Journal of Gynecology and Obstetrics</t>
  </si>
  <si>
    <t>00207292</t>
  </si>
  <si>
    <t>18793479</t>
  </si>
  <si>
    <t>International Journal of Gynecological Pathology</t>
  </si>
  <si>
    <t>02771691</t>
  </si>
  <si>
    <t>15387151</t>
  </si>
  <si>
    <t>International Journal of Hyperthermia</t>
  </si>
  <si>
    <t>02656736</t>
  </si>
  <si>
    <t>14645157</t>
  </si>
  <si>
    <t>Indian Journal of Leprosy</t>
  </si>
  <si>
    <t>02549395</t>
  </si>
  <si>
    <t>Hind Kusht Nivaran Sangh (Indian Leprosy Association)</t>
  </si>
  <si>
    <t>Hind Kusht Nivaran Sangh</t>
  </si>
  <si>
    <t>International Journal of Law and Psychiatry</t>
  </si>
  <si>
    <t>01602527</t>
  </si>
  <si>
    <t>18736386</t>
  </si>
  <si>
    <t>International Journal of Psychiatry in Medicine</t>
  </si>
  <si>
    <t>00912174</t>
  </si>
  <si>
    <t>15413527</t>
  </si>
  <si>
    <t>Baywood Publishing Co. Inc.</t>
  </si>
  <si>
    <t>Italian Journal of Medicine</t>
  </si>
  <si>
    <t>18779344</t>
  </si>
  <si>
    <t>18779352</t>
  </si>
  <si>
    <t>Page Press Publications</t>
  </si>
  <si>
    <t>Irish Journal of Medical Science</t>
  </si>
  <si>
    <t>00211265</t>
  </si>
  <si>
    <t>18634362</t>
  </si>
  <si>
    <t>Iranian Journal of Medical Sciences</t>
  </si>
  <si>
    <t>02530716</t>
  </si>
  <si>
    <t>17353688</t>
  </si>
  <si>
    <t>Shiraz University of Medical Sciences</t>
  </si>
  <si>
    <t>IRN</t>
  </si>
  <si>
    <t>International Journal of Neuroscience</t>
  </si>
  <si>
    <t>00207454</t>
  </si>
  <si>
    <t>15635279</t>
  </si>
  <si>
    <t>International Journal of Obesity</t>
  </si>
  <si>
    <t>03070565</t>
  </si>
  <si>
    <t>14765497</t>
  </si>
  <si>
    <t>Indian Journal of Gastroenterology</t>
  </si>
  <si>
    <t>02548860</t>
  </si>
  <si>
    <t>09750711</t>
  </si>
  <si>
    <t>Indian Society of Gastroenterology</t>
  </si>
  <si>
    <t>International Journal of Oral and Maxillofacial Surgery</t>
  </si>
  <si>
    <t>09015027</t>
  </si>
  <si>
    <t>13990020</t>
  </si>
  <si>
    <t>Indian Journal of Pathology and Microbiology</t>
  </si>
  <si>
    <t>03774929</t>
  </si>
  <si>
    <t>09745130</t>
  </si>
  <si>
    <t>Indian Journal of Pediatrics</t>
  </si>
  <si>
    <t>00195456</t>
  </si>
  <si>
    <t>09737693</t>
  </si>
  <si>
    <t>Springer India</t>
  </si>
  <si>
    <t>International Journal of Pharmaceutics</t>
  </si>
  <si>
    <t>03785173</t>
  </si>
  <si>
    <t>18733476</t>
  </si>
  <si>
    <t>Indian Journal of Physiology and Pharmacology</t>
  </si>
  <si>
    <t>00195499</t>
  </si>
  <si>
    <t>Association of Physiologists and Pharmacologists of India</t>
  </si>
  <si>
    <t>All India Institute of Medical Sciences</t>
  </si>
  <si>
    <t>International Journal of Psychophysiology</t>
  </si>
  <si>
    <t>01678760</t>
  </si>
  <si>
    <t>18727697</t>
  </si>
  <si>
    <t>International Journal for Parasitology</t>
  </si>
  <si>
    <t>00207519</t>
  </si>
  <si>
    <t>18790135</t>
  </si>
  <si>
    <t>International Journal of Radiation Biology</t>
  </si>
  <si>
    <t>09553002</t>
  </si>
  <si>
    <t>13623095</t>
  </si>
  <si>
    <t>Indian Journal of Radiology and Imaging</t>
  </si>
  <si>
    <t>09713026</t>
  </si>
  <si>
    <t>19983808</t>
  </si>
  <si>
    <t>Indian Journal of Psychiatry</t>
  </si>
  <si>
    <t>00195545</t>
  </si>
  <si>
    <t>19983794</t>
  </si>
  <si>
    <t>Indian Journal of Pharmaceutical Sciences</t>
  </si>
  <si>
    <t>0250474X</t>
  </si>
  <si>
    <t>19983743</t>
  </si>
  <si>
    <t>Indian Journal of Tuberculosis</t>
  </si>
  <si>
    <t>00195707</t>
  </si>
  <si>
    <t>Tuberculosis Association of India</t>
  </si>
  <si>
    <t>International Journal for Vitamin and Nutrition Research</t>
  </si>
  <si>
    <t>03009831</t>
  </si>
  <si>
    <t>16642821</t>
  </si>
  <si>
    <t>Verlag Hans Huber AG</t>
  </si>
  <si>
    <t>Molecular Immunology</t>
  </si>
  <si>
    <t>01615890</t>
  </si>
  <si>
    <t>18729142</t>
  </si>
  <si>
    <t>Irish Medical Journal</t>
  </si>
  <si>
    <t>03323102</t>
  </si>
  <si>
    <t>Irish Medical Association</t>
  </si>
  <si>
    <t>Immunological Investigations</t>
  </si>
  <si>
    <t>08820139</t>
  </si>
  <si>
    <t>15324311</t>
  </si>
  <si>
    <t>Immunology Letters</t>
  </si>
  <si>
    <t>01652478</t>
  </si>
  <si>
    <t>18790542</t>
  </si>
  <si>
    <t>Immunology</t>
  </si>
  <si>
    <t>00192805</t>
  </si>
  <si>
    <t>13652567</t>
  </si>
  <si>
    <t>Immunogenetics</t>
  </si>
  <si>
    <t>00937711</t>
  </si>
  <si>
    <t>14321211</t>
  </si>
  <si>
    <t>Immunological Reviews</t>
  </si>
  <si>
    <t>01052896</t>
  </si>
  <si>
    <t>1600065X</t>
  </si>
  <si>
    <t>Immunologic Research</t>
  </si>
  <si>
    <t>0257277X</t>
  </si>
  <si>
    <t>15590755</t>
  </si>
  <si>
    <t>International Angiology</t>
  </si>
  <si>
    <t>03929590</t>
  </si>
  <si>
    <t>International Journal of Eating Disorders</t>
  </si>
  <si>
    <t>02763478</t>
  </si>
  <si>
    <t>1098108X</t>
  </si>
  <si>
    <t>Infection and Immunity</t>
  </si>
  <si>
    <t>00199567</t>
  </si>
  <si>
    <t>10985522</t>
  </si>
  <si>
    <t>Inflammation</t>
  </si>
  <si>
    <t>03603997</t>
  </si>
  <si>
    <t>15732576</t>
  </si>
  <si>
    <t>Indian Journal of Medical Sciences</t>
  </si>
  <si>
    <t>00195359</t>
  </si>
  <si>
    <t>19983654</t>
  </si>
  <si>
    <t>Indian Journal of Pharmacology</t>
  </si>
  <si>
    <t>02537613</t>
  </si>
  <si>
    <t>19983751</t>
  </si>
  <si>
    <t>Injury</t>
  </si>
  <si>
    <t>00201383</t>
  </si>
  <si>
    <t>18790267</t>
  </si>
  <si>
    <t>Investigational New Drugs</t>
  </si>
  <si>
    <t>01676997</t>
  </si>
  <si>
    <t>15730646</t>
  </si>
  <si>
    <t>International Ophthalmology</t>
  </si>
  <si>
    <t>01655701</t>
  </si>
  <si>
    <t>15732630</t>
  </si>
  <si>
    <t>Indian Pediatrics</t>
  </si>
  <si>
    <t>00196061</t>
  </si>
  <si>
    <t>09747559</t>
  </si>
  <si>
    <t>Internistische Praxis</t>
  </si>
  <si>
    <t>00209570</t>
  </si>
  <si>
    <t>Internist</t>
  </si>
  <si>
    <t>00209554</t>
  </si>
  <si>
    <t>14321289</t>
  </si>
  <si>
    <t>Investigative Radiology</t>
  </si>
  <si>
    <t>00209996</t>
  </si>
  <si>
    <t>15360210</t>
  </si>
  <si>
    <t>International Journal of Radiation Oncology Biology Physics</t>
  </si>
  <si>
    <t>03603016</t>
  </si>
  <si>
    <t>1879355X</t>
  </si>
  <si>
    <t>International Ophthalmology Clinics</t>
  </si>
  <si>
    <t>00208167</t>
  </si>
  <si>
    <t>15369617</t>
  </si>
  <si>
    <t>International Orthopaedics</t>
  </si>
  <si>
    <t>03412695</t>
  </si>
  <si>
    <t>14325195</t>
  </si>
  <si>
    <t>Investigative Ophthalmology and Visual Science</t>
  </si>
  <si>
    <t>01460404</t>
  </si>
  <si>
    <t>15525783</t>
  </si>
  <si>
    <t>Association for Research in Vision and Ophthalmology Inc.</t>
  </si>
  <si>
    <t>International Journal of Pediatric Otorhinolaryngology</t>
  </si>
  <si>
    <t>01655876</t>
  </si>
  <si>
    <t>18728464</t>
  </si>
  <si>
    <t>International Review of Neurobiology</t>
  </si>
  <si>
    <t>00747742</t>
  </si>
  <si>
    <t>Indian Journal of Sexually Transmitted Diseases</t>
  </si>
  <si>
    <t>02537184</t>
  </si>
  <si>
    <t>19983816</t>
  </si>
  <si>
    <t>International Urology and Nephrology</t>
  </si>
  <si>
    <t>03011623</t>
  </si>
  <si>
    <t>15732584</t>
  </si>
  <si>
    <t>Intervirology</t>
  </si>
  <si>
    <t>03005526</t>
  </si>
  <si>
    <t>14230100</t>
  </si>
  <si>
    <t>Journal of the American Academy of Dermatology</t>
  </si>
  <si>
    <t>01909622</t>
  </si>
  <si>
    <t>10976787</t>
  </si>
  <si>
    <t>Journal of the American College of Cardiology</t>
  </si>
  <si>
    <t>07351097</t>
  </si>
  <si>
    <t>15583597</t>
  </si>
  <si>
    <t>Journal of Antimicrobial Chemotherapy</t>
  </si>
  <si>
    <t>03057453</t>
  </si>
  <si>
    <t>14602091</t>
  </si>
  <si>
    <t>Journal of Allergy and Clinical Immunology</t>
  </si>
  <si>
    <t>00916749</t>
  </si>
  <si>
    <t>10976825</t>
  </si>
  <si>
    <t>Journal of Applied Cosmetology</t>
  </si>
  <si>
    <t>03928543</t>
  </si>
  <si>
    <t>International Ediemme</t>
  </si>
  <si>
    <t>Journal of the American Chemical Society</t>
  </si>
  <si>
    <t>00027863</t>
  </si>
  <si>
    <t>15205126</t>
  </si>
  <si>
    <t>Journal of Autism and Developmental Disorders</t>
  </si>
  <si>
    <t>01623257</t>
  </si>
  <si>
    <t>15733432</t>
  </si>
  <si>
    <t>Journal of Affective Disorders</t>
  </si>
  <si>
    <t>01650327</t>
  </si>
  <si>
    <t>15732517</t>
  </si>
  <si>
    <t>Journal of the American Geriatrics Society</t>
  </si>
  <si>
    <t>00028614</t>
  </si>
  <si>
    <t>15325415</t>
  </si>
  <si>
    <t>JAMA - Journal of the American Medical Association</t>
  </si>
  <si>
    <t>00987484</t>
  </si>
  <si>
    <t>15383598</t>
  </si>
  <si>
    <t>American Medical Association</t>
  </si>
  <si>
    <t>Journal of Antibiotics</t>
  </si>
  <si>
    <t>00218820</t>
  </si>
  <si>
    <t>18811469</t>
  </si>
  <si>
    <t>Journal of Abnormal Psychology</t>
  </si>
  <si>
    <t>0021843X</t>
  </si>
  <si>
    <t>19391846</t>
  </si>
  <si>
    <t>Journal of Atmospheric Chemistry</t>
  </si>
  <si>
    <t>01677764</t>
  </si>
  <si>
    <t>15730662</t>
  </si>
  <si>
    <t>Journal of Analytical Toxicology</t>
  </si>
  <si>
    <t>01464760</t>
  </si>
  <si>
    <t>19452403</t>
  </si>
  <si>
    <t>Society of Forensic Toxicologists</t>
  </si>
  <si>
    <t>Journal of the South African Veterinary Association</t>
  </si>
  <si>
    <t>00382809</t>
  </si>
  <si>
    <t>10199128</t>
  </si>
  <si>
    <t>South African Veterinary Association</t>
  </si>
  <si>
    <t>Sabinet</t>
  </si>
  <si>
    <t>ZAF</t>
  </si>
  <si>
    <t>Journal of Bioenergetics and Biomembranes</t>
  </si>
  <si>
    <t>0145479X</t>
  </si>
  <si>
    <t>15736881</t>
  </si>
  <si>
    <t>Journal of Biological Chemistry</t>
  </si>
  <si>
    <t>00219258</t>
  </si>
  <si>
    <t>1083351X</t>
  </si>
  <si>
    <t>American Society for Biochemistry and Molecular Biology Inc.</t>
  </si>
  <si>
    <t>American Society for Biochem. and Molec. Biol. Inc.</t>
  </si>
  <si>
    <t>Journal of Biomechanical Engineering</t>
  </si>
  <si>
    <t>01480731</t>
  </si>
  <si>
    <t>15288951</t>
  </si>
  <si>
    <t>American Society of Mechanical Engineers (ASME)</t>
  </si>
  <si>
    <t>E-flow ASME</t>
  </si>
  <si>
    <t>Journal of Biotechnology</t>
  </si>
  <si>
    <t>01681656</t>
  </si>
  <si>
    <t>18734863</t>
  </si>
  <si>
    <t>Journal of Bone and Joint Surgery - Series A</t>
  </si>
  <si>
    <t>00219355</t>
  </si>
  <si>
    <t>15351386</t>
  </si>
  <si>
    <t>Journal of Bone and Joint Surgery Inc.</t>
  </si>
  <si>
    <t>Journal of Bone and Joint Surgery, Inc.</t>
  </si>
  <si>
    <t>Journal of Biomechanics</t>
  </si>
  <si>
    <t>00219290</t>
  </si>
  <si>
    <t>18732380</t>
  </si>
  <si>
    <t>Journal of Biological Physics</t>
  </si>
  <si>
    <t>00920606</t>
  </si>
  <si>
    <t>15730689</t>
  </si>
  <si>
    <t>Jornal Brasileiro de Psiquiatria</t>
  </si>
  <si>
    <t>00472085</t>
  </si>
  <si>
    <t>19820208</t>
  </si>
  <si>
    <t>Editora Cientifica Nacional Ltda</t>
  </si>
  <si>
    <t>Journal of Biomolecular Structure and Dynamics</t>
  </si>
  <si>
    <t>07391102</t>
  </si>
  <si>
    <t>15380254</t>
  </si>
  <si>
    <t>Journal of Behavior Therapy and Experimental Psychiatry</t>
  </si>
  <si>
    <t>00057916</t>
  </si>
  <si>
    <t>18737943</t>
  </si>
  <si>
    <t>Journal of Clinical Apheresis</t>
  </si>
  <si>
    <t>07332459</t>
  </si>
  <si>
    <t>10981101</t>
  </si>
  <si>
    <t>Canadian Association of Radiologists Journal</t>
  </si>
  <si>
    <t>08465371</t>
  </si>
  <si>
    <t>14882361</t>
  </si>
  <si>
    <t>Journal of Computer Assisted Tomography</t>
  </si>
  <si>
    <t>03638715</t>
  </si>
  <si>
    <t>15323145</t>
  </si>
  <si>
    <t>Journal of Cerebral Blood Flow and Metabolism</t>
  </si>
  <si>
    <t>0271678X</t>
  </si>
  <si>
    <t>15597016</t>
  </si>
  <si>
    <t>Journal of Communication Disorders</t>
  </si>
  <si>
    <t>00219924</t>
  </si>
  <si>
    <t>18737994</t>
  </si>
  <si>
    <t>Journal of Cellular Biochemistry</t>
  </si>
  <si>
    <t>07302312</t>
  </si>
  <si>
    <t>10974644</t>
  </si>
  <si>
    <t>Journal of Clinical Endocrinology and Metabolism</t>
  </si>
  <si>
    <t>0021972X</t>
  </si>
  <si>
    <t>19457197</t>
  </si>
  <si>
    <t>Journal of Clinical Engineering</t>
  </si>
  <si>
    <t>03638855</t>
  </si>
  <si>
    <t>15503275</t>
  </si>
  <si>
    <t>Journal of the Canadian Society of Forensic Science</t>
  </si>
  <si>
    <t>00085030</t>
  </si>
  <si>
    <t>Canadian Society of Forensic Science</t>
  </si>
  <si>
    <t>Journal of Clinical Gastroenterology</t>
  </si>
  <si>
    <t>01920790</t>
  </si>
  <si>
    <t>15392031</t>
  </si>
  <si>
    <t>Journal of Clinical Immunology</t>
  </si>
  <si>
    <t>02719142</t>
  </si>
  <si>
    <t>15732592</t>
  </si>
  <si>
    <t>Journal of Clinical Investigation</t>
  </si>
  <si>
    <t>00219738</t>
  </si>
  <si>
    <t>15588238</t>
  </si>
  <si>
    <t>American Society for Clinical Investigation</t>
  </si>
  <si>
    <t>Journal of Cell Biology</t>
  </si>
  <si>
    <t>00219525</t>
  </si>
  <si>
    <t>15408140</t>
  </si>
  <si>
    <t>Rockefeller University Press</t>
  </si>
  <si>
    <t>Journal of Cellular Physiology</t>
  </si>
  <si>
    <t>00219541</t>
  </si>
  <si>
    <t>10974652</t>
  </si>
  <si>
    <t>Journal of Consulting and Clinical Psychology</t>
  </si>
  <si>
    <t>0022006X</t>
  </si>
  <si>
    <t>19392117</t>
  </si>
  <si>
    <t>Journal of Clinical Psychiatry</t>
  </si>
  <si>
    <t>01606689</t>
  </si>
  <si>
    <t>Physicians Postgraduate Press Inc.</t>
  </si>
  <si>
    <t>Journal of Clinical Microbiology</t>
  </si>
  <si>
    <t>00951137</t>
  </si>
  <si>
    <t>1098660X</t>
  </si>
  <si>
    <t>Journal of Comparative Neurology</t>
  </si>
  <si>
    <t>00219967</t>
  </si>
  <si>
    <t>10969861</t>
  </si>
  <si>
    <t>Journal of Clinical Neurophysiology</t>
  </si>
  <si>
    <t>07360258</t>
  </si>
  <si>
    <t>15371603</t>
  </si>
  <si>
    <t>Journal of Clinical Oncology</t>
  </si>
  <si>
    <t>0732183X</t>
  </si>
  <si>
    <t>15277755</t>
  </si>
  <si>
    <t>American Society of Clinical Oncology</t>
  </si>
  <si>
    <t>Journal of Clinical Pathology</t>
  </si>
  <si>
    <t>00219746</t>
  </si>
  <si>
    <t>14724146</t>
  </si>
  <si>
    <t>Journal of Clinical Pharmacology</t>
  </si>
  <si>
    <t>00912700</t>
  </si>
  <si>
    <t>15524604</t>
  </si>
  <si>
    <t>Journal of Cardiovascular Pharmacology</t>
  </si>
  <si>
    <t>01602446</t>
  </si>
  <si>
    <t>15334023</t>
  </si>
  <si>
    <t>Journal of Contemporary Psychotherapy</t>
  </si>
  <si>
    <t>00220116</t>
  </si>
  <si>
    <t>15733564</t>
  </si>
  <si>
    <t>Journal of Clinical Psychopharmacology</t>
  </si>
  <si>
    <t>02710749</t>
  </si>
  <si>
    <t>1533712X</t>
  </si>
  <si>
    <t>Journal of Controlled Release</t>
  </si>
  <si>
    <t>01683659</t>
  </si>
  <si>
    <t>18734995</t>
  </si>
  <si>
    <t>Journal of Cancer Research and Clinical Oncology</t>
  </si>
  <si>
    <t>01715216</t>
  </si>
  <si>
    <t>14321335</t>
  </si>
  <si>
    <t>Journal of Cataract and Refractive Surgery</t>
  </si>
  <si>
    <t>08863350</t>
  </si>
  <si>
    <t>18734502</t>
  </si>
  <si>
    <t>Journal of Chemical Technology and Biotechnology</t>
  </si>
  <si>
    <t>02682575</t>
  </si>
  <si>
    <t>10974660</t>
  </si>
  <si>
    <t>Journal of Comparative Pathology</t>
  </si>
  <si>
    <t>00219975</t>
  </si>
  <si>
    <t>15323129</t>
  </si>
  <si>
    <t>Journal of Cardiovascular Surgery</t>
  </si>
  <si>
    <t>00219509</t>
  </si>
  <si>
    <t>Journal of the Diabetic Association of India</t>
  </si>
  <si>
    <t>09704035</t>
  </si>
  <si>
    <t>Diabetic Association of India</t>
  </si>
  <si>
    <t>Journal of Drug Education</t>
  </si>
  <si>
    <t>00472379</t>
  </si>
  <si>
    <t>15414159</t>
  </si>
  <si>
    <t>Journal of Diagnostic Medical Sonography</t>
  </si>
  <si>
    <t>87564793</t>
  </si>
  <si>
    <t>15525430</t>
  </si>
  <si>
    <t>Journal of Dermatology</t>
  </si>
  <si>
    <t>03852407</t>
  </si>
  <si>
    <t>13468138</t>
  </si>
  <si>
    <t>ENGL/FREN/GERM</t>
  </si>
  <si>
    <t>Journal of Electrocardiology</t>
  </si>
  <si>
    <t>00220736</t>
  </si>
  <si>
    <t>15328430</t>
  </si>
  <si>
    <t>Churchill Livingstone Inc.</t>
  </si>
  <si>
    <t>Journal of Experimental and Clinical Cancer Research</t>
  </si>
  <si>
    <t>17569966</t>
  </si>
  <si>
    <t>BioMed Central Ltd.</t>
  </si>
  <si>
    <t>E-flow BioMed Central</t>
  </si>
  <si>
    <t>Journal of Endocrinological Investigation</t>
  </si>
  <si>
    <t>03914097</t>
  </si>
  <si>
    <t>17208386</t>
  </si>
  <si>
    <t>Editrice Kurtis s.r.l.</t>
  </si>
  <si>
    <t>Journal of Experimental Medicine</t>
  </si>
  <si>
    <t>00221007</t>
  </si>
  <si>
    <t>15409538</t>
  </si>
  <si>
    <t>Journal of Emergency Medicine</t>
  </si>
  <si>
    <t>07364679</t>
  </si>
  <si>
    <t>Journal of Environmental Pathology, Toxicology and Oncology</t>
  </si>
  <si>
    <t>07318898</t>
  </si>
  <si>
    <t>Journal of Environmental Radioactivity</t>
  </si>
  <si>
    <t>0265931X</t>
  </si>
  <si>
    <t>18791700</t>
  </si>
  <si>
    <t>Journal of Environmental Management</t>
  </si>
  <si>
    <t>03014797</t>
  </si>
  <si>
    <t>10958630</t>
  </si>
  <si>
    <t>Journal of Environmental Quality</t>
  </si>
  <si>
    <t>00472425</t>
  </si>
  <si>
    <t>15372537</t>
  </si>
  <si>
    <t>ASA/CSSA/SSSA</t>
  </si>
  <si>
    <t>Crop Science Society of America</t>
  </si>
  <si>
    <t>Journal of Extra-Corporeal Technology</t>
  </si>
  <si>
    <t>00221058</t>
  </si>
  <si>
    <t>American Society of Extra-Corporeal Technology</t>
  </si>
  <si>
    <t>American Society Extra-Corp. Technol. Inc.</t>
  </si>
  <si>
    <t>Journal of Family Practice</t>
  </si>
  <si>
    <t>00943509</t>
  </si>
  <si>
    <t>15337294</t>
  </si>
  <si>
    <t>Dowden Health Media,Inc</t>
  </si>
  <si>
    <t>Journal of General and Applied Microbiology</t>
  </si>
  <si>
    <t>00221260</t>
  </si>
  <si>
    <t>13498037</t>
  </si>
  <si>
    <t>Microbiology Research Foundation</t>
  </si>
  <si>
    <t>Journal de Gynecologie Obstetrique et Biologie de la Reproduction</t>
  </si>
  <si>
    <t>03682315</t>
  </si>
  <si>
    <t>17730430</t>
  </si>
  <si>
    <t>Journal of General Virology</t>
  </si>
  <si>
    <t>00221317</t>
  </si>
  <si>
    <t>14652099</t>
  </si>
  <si>
    <t>Society for General Microbiology</t>
  </si>
  <si>
    <t>Journal of Histochemistry and Cytochemistry</t>
  </si>
  <si>
    <t>00221554</t>
  </si>
  <si>
    <t>Histochemical Society Inc.</t>
  </si>
  <si>
    <t>Journal of Health Economics</t>
  </si>
  <si>
    <t>01676296</t>
  </si>
  <si>
    <t>18791646</t>
  </si>
  <si>
    <t>Journal of Hospital Infection</t>
  </si>
  <si>
    <t>01956701</t>
  </si>
  <si>
    <t>15322939</t>
  </si>
  <si>
    <t>Journal of Hazardous Materials</t>
  </si>
  <si>
    <t>03043894</t>
  </si>
  <si>
    <t>18733336</t>
  </si>
  <si>
    <t>Journal of Hand Surgery</t>
  </si>
  <si>
    <t>03635023</t>
  </si>
  <si>
    <t>15316564</t>
  </si>
  <si>
    <t>Journal of Heterocyclic Chemistry</t>
  </si>
  <si>
    <t>0022152X</t>
  </si>
  <si>
    <t>19435193</t>
  </si>
  <si>
    <t>HeteroCorporation</t>
  </si>
  <si>
    <t>Journal of Inorganic Biochemistry</t>
  </si>
  <si>
    <t>01620134</t>
  </si>
  <si>
    <t>18733344</t>
  </si>
  <si>
    <t>Journal of Intensive Care Medicine</t>
  </si>
  <si>
    <t>08850666</t>
  </si>
  <si>
    <t>15251489</t>
  </si>
  <si>
    <t>Journal of the Indian Chemical Society</t>
  </si>
  <si>
    <t>00194522</t>
  </si>
  <si>
    <t>Indian Chemical Society</t>
  </si>
  <si>
    <t>Journal of Investigative Dermatology</t>
  </si>
  <si>
    <t>0022202X</t>
  </si>
  <si>
    <t>15231747</t>
  </si>
  <si>
    <t>Journal of Infectious Diseases</t>
  </si>
  <si>
    <t>00221899</t>
  </si>
  <si>
    <t>Journal of the Indian Medical Association</t>
  </si>
  <si>
    <t>00195847</t>
  </si>
  <si>
    <t>Indian Medical Association</t>
  </si>
  <si>
    <t>Journal of Inherited Metabolic Disease</t>
  </si>
  <si>
    <t>01418955</t>
  </si>
  <si>
    <t>15732665</t>
  </si>
  <si>
    <t>Journal of Immunological Methods</t>
  </si>
  <si>
    <t>00221759</t>
  </si>
  <si>
    <t>18727905</t>
  </si>
  <si>
    <t>Journal of International Medical Research</t>
  </si>
  <si>
    <t>03000605</t>
  </si>
  <si>
    <t>14732300</t>
  </si>
  <si>
    <t>Journal of Infection</t>
  </si>
  <si>
    <t>01634453</t>
  </si>
  <si>
    <t>15322742</t>
  </si>
  <si>
    <t>Oto-Rhino-Laryngology Tokyo</t>
  </si>
  <si>
    <t>03869687</t>
  </si>
  <si>
    <t>Society of Oto-Rhino-Laryngology Tokyo</t>
  </si>
  <si>
    <t>Japanese Journal of Antibiotics</t>
  </si>
  <si>
    <t>03682781</t>
  </si>
  <si>
    <t>Japan Antibiotics Research Association</t>
  </si>
  <si>
    <t>Japan Antibiotics Research Assoc.</t>
  </si>
  <si>
    <t>Journal of Applied Toxicology</t>
  </si>
  <si>
    <t>0260437X</t>
  </si>
  <si>
    <t>10991263</t>
  </si>
  <si>
    <t>Japanese Journal of Clinical Oncology</t>
  </si>
  <si>
    <t>03682811</t>
  </si>
  <si>
    <t>14653621</t>
  </si>
  <si>
    <t>Japanese Journal of Clinical Radiology</t>
  </si>
  <si>
    <t>00099252</t>
  </si>
  <si>
    <t>Kanehara Shuppan Co. Ltd</t>
  </si>
  <si>
    <t>Japanese Journal of Ophthalmology</t>
  </si>
  <si>
    <t>00215155</t>
  </si>
  <si>
    <t>16132246</t>
  </si>
  <si>
    <t>Journal of Leukocyte Biology</t>
  </si>
  <si>
    <t>07415400</t>
  </si>
  <si>
    <t>19383673</t>
  </si>
  <si>
    <t>Federation of American Societies for Experimental Biology</t>
  </si>
  <si>
    <t>Society for Leukocyte Biology</t>
  </si>
  <si>
    <t>Journal of Labelled Compounds and Radiopharmaceuticals</t>
  </si>
  <si>
    <t>03624803</t>
  </si>
  <si>
    <t>10991344</t>
  </si>
  <si>
    <t>Journal of Neurogenetics</t>
  </si>
  <si>
    <t>01677063</t>
  </si>
  <si>
    <t>15635260</t>
  </si>
  <si>
    <t>Journal of Laryngology and Otology</t>
  </si>
  <si>
    <t>00222151</t>
  </si>
  <si>
    <t>17485460</t>
  </si>
  <si>
    <t>Journal of Lipid Research</t>
  </si>
  <si>
    <t>00222275</t>
  </si>
  <si>
    <t>15397262</t>
  </si>
  <si>
    <t>Journal of Membrane Biology</t>
  </si>
  <si>
    <t>00222631</t>
  </si>
  <si>
    <t>14321424</t>
  </si>
  <si>
    <t>Journal of Molecular and Cellular Cardiology</t>
  </si>
  <si>
    <t>00222828</t>
  </si>
  <si>
    <t>10958584</t>
  </si>
  <si>
    <t>Journal of Medicinal Chemistry</t>
  </si>
  <si>
    <t>00222623</t>
  </si>
  <si>
    <t>15204804</t>
  </si>
  <si>
    <t>Journal of Medical Genetics</t>
  </si>
  <si>
    <t>00222593</t>
  </si>
  <si>
    <t>14686244</t>
  </si>
  <si>
    <t>Journal of Membrane Science</t>
  </si>
  <si>
    <t>03767388</t>
  </si>
  <si>
    <t>18733123</t>
  </si>
  <si>
    <t>Journal of Microscopy</t>
  </si>
  <si>
    <t>00222720</t>
  </si>
  <si>
    <t>13652818</t>
  </si>
  <si>
    <t>Journal of Microbiological Methods</t>
  </si>
  <si>
    <t>01677012</t>
  </si>
  <si>
    <t>18728359</t>
  </si>
  <si>
    <t>Journal de Medecine Legale Droit Medical</t>
  </si>
  <si>
    <t>02496208</t>
  </si>
  <si>
    <t>Editions Alexandre Lacassagne</t>
  </si>
  <si>
    <t>Journal of Medical Microbiology</t>
  </si>
  <si>
    <t>00222615</t>
  </si>
  <si>
    <t>Journal of Molecular Biology</t>
  </si>
  <si>
    <t>00222836</t>
  </si>
  <si>
    <t>10898638</t>
  </si>
  <si>
    <t>Journal of Medical Primatology</t>
  </si>
  <si>
    <t>00472565</t>
  </si>
  <si>
    <t>16000684</t>
  </si>
  <si>
    <t>Journal of Medical Systems</t>
  </si>
  <si>
    <t>01485598</t>
  </si>
  <si>
    <t>1573689X</t>
  </si>
  <si>
    <t>Journal of Medical Engineering and Technology</t>
  </si>
  <si>
    <t>03091902</t>
  </si>
  <si>
    <t>1464522X</t>
  </si>
  <si>
    <t>Journal of the Medical Association of Thailand</t>
  </si>
  <si>
    <t>01252208</t>
  </si>
  <si>
    <t>Medical Association of Thailand</t>
  </si>
  <si>
    <t>Journal des Maladies Vasculaires</t>
  </si>
  <si>
    <t>03980499</t>
  </si>
  <si>
    <t>Journal of Medical Virology</t>
  </si>
  <si>
    <t>01466615</t>
  </si>
  <si>
    <t>10969071</t>
  </si>
  <si>
    <t>Journal of the National Cancer Institute</t>
  </si>
  <si>
    <t>00278874</t>
  </si>
  <si>
    <t>14602105</t>
  </si>
  <si>
    <t>Journal of Cell Science</t>
  </si>
  <si>
    <t>00219533</t>
  </si>
  <si>
    <t>14779137</t>
  </si>
  <si>
    <t>Company of Biologists Ltd</t>
  </si>
  <si>
    <t>Journal of Neuropathology and Experimental Neurology</t>
  </si>
  <si>
    <t>00223069</t>
  </si>
  <si>
    <t>15546578</t>
  </si>
  <si>
    <t>Journal of Neuroradiology</t>
  </si>
  <si>
    <t>01509861</t>
  </si>
  <si>
    <t>17730406</t>
  </si>
  <si>
    <t>Journal of the National Medical Association</t>
  </si>
  <si>
    <t>00279684</t>
  </si>
  <si>
    <t>National Medical Association</t>
  </si>
  <si>
    <t>Journal of Nervous and Mental Disease</t>
  </si>
  <si>
    <t>00223018</t>
  </si>
  <si>
    <t>1539736X</t>
  </si>
  <si>
    <t>Journal of Nuclear Medicine</t>
  </si>
  <si>
    <t>01615505</t>
  </si>
  <si>
    <t>Society of Nuclear Medicine Inc.</t>
  </si>
  <si>
    <t>Society of Nuclear Medicine, Inc.</t>
  </si>
  <si>
    <t>Journal of Neuroscience Methods</t>
  </si>
  <si>
    <t>01650270</t>
  </si>
  <si>
    <t>1872678X</t>
  </si>
  <si>
    <t>Journal of Nuclear Medicine Technology</t>
  </si>
  <si>
    <t>00914916</t>
  </si>
  <si>
    <t>Journal of Neurology, Neurosurgery and Psychiatry</t>
  </si>
  <si>
    <t>00223050</t>
  </si>
  <si>
    <t>1468330X</t>
  </si>
  <si>
    <t>Journal of Neuro-Oncology</t>
  </si>
  <si>
    <t>0167594X</t>
  </si>
  <si>
    <t>15737373</t>
  </si>
  <si>
    <t>Journal of Natural Products</t>
  </si>
  <si>
    <t>01633864</t>
  </si>
  <si>
    <t>15206025</t>
  </si>
  <si>
    <t>Journal of Neuroscience Research</t>
  </si>
  <si>
    <t>03604012</t>
  </si>
  <si>
    <t>10974547</t>
  </si>
  <si>
    <t>Journal of Neuroimmunology</t>
  </si>
  <si>
    <t>01655728</t>
  </si>
  <si>
    <t>18728421</t>
  </si>
  <si>
    <t>Journal of Neuroscience</t>
  </si>
  <si>
    <t>02706474</t>
  </si>
  <si>
    <t>15292401</t>
  </si>
  <si>
    <t>Society for Neuroscience</t>
  </si>
  <si>
    <t>Journal of Neurology</t>
  </si>
  <si>
    <t>03405354</t>
  </si>
  <si>
    <t>14321459</t>
  </si>
  <si>
    <t>Journal of the Neurological Sciences</t>
  </si>
  <si>
    <t>0022510X</t>
  </si>
  <si>
    <t>18785883</t>
  </si>
  <si>
    <t>Journal of Neurosurgical Sciences</t>
  </si>
  <si>
    <t>03905616</t>
  </si>
  <si>
    <t>18271855</t>
  </si>
  <si>
    <t>Journal of Nutritional Science and Vitaminology</t>
  </si>
  <si>
    <t>03014800</t>
  </si>
  <si>
    <t>18817742</t>
  </si>
  <si>
    <t>Center for Academic Publications Japan</t>
  </si>
  <si>
    <t>Journal of Adolescence</t>
  </si>
  <si>
    <t>01401971</t>
  </si>
  <si>
    <t>10959254</t>
  </si>
  <si>
    <t>Journal of Anatomy</t>
  </si>
  <si>
    <t>00218782</t>
  </si>
  <si>
    <t>14697580</t>
  </si>
  <si>
    <t>Journal of Arthroplasty</t>
  </si>
  <si>
    <t>08835403</t>
  </si>
  <si>
    <t>15328406</t>
  </si>
  <si>
    <t>Journal of Bacteriology</t>
  </si>
  <si>
    <t>00219193</t>
  </si>
  <si>
    <t>10985530</t>
  </si>
  <si>
    <t>Journal of Biochemistry</t>
  </si>
  <si>
    <t>0021924X</t>
  </si>
  <si>
    <t>17562651</t>
  </si>
  <si>
    <t>Journal of Biosciences</t>
  </si>
  <si>
    <t>02505991</t>
  </si>
  <si>
    <t>09737138</t>
  </si>
  <si>
    <t>Journal of Organic Chemistry</t>
  </si>
  <si>
    <t>00223263</t>
  </si>
  <si>
    <t>15206904</t>
  </si>
  <si>
    <t>Journal of Child Neurology</t>
  </si>
  <si>
    <t>08830738</t>
  </si>
  <si>
    <t>17088283</t>
  </si>
  <si>
    <t>Journal of Endocrinology</t>
  </si>
  <si>
    <t>00220795</t>
  </si>
  <si>
    <t>14796805</t>
  </si>
  <si>
    <t>BioScientifica Ltd.</t>
  </si>
  <si>
    <t>BioScientifica Ltd</t>
  </si>
  <si>
    <t>Journal of Ethnopharmacology</t>
  </si>
  <si>
    <t>03788741</t>
  </si>
  <si>
    <t>18727573</t>
  </si>
  <si>
    <t>Journal of Obstetrics and Gynaecology</t>
  </si>
  <si>
    <t>01443615</t>
  </si>
  <si>
    <t>13646893</t>
  </si>
  <si>
    <t>Journal of Heredity</t>
  </si>
  <si>
    <t>00221503</t>
  </si>
  <si>
    <t>14657333</t>
  </si>
  <si>
    <t>Journal of Hepatology</t>
  </si>
  <si>
    <t>01688278</t>
  </si>
  <si>
    <t>Journal of Histotechnology</t>
  </si>
  <si>
    <t>01478885</t>
  </si>
  <si>
    <t>20460236</t>
  </si>
  <si>
    <t>National Society for Histotechnology</t>
  </si>
  <si>
    <t>Journal of Helminthology</t>
  </si>
  <si>
    <t>0022149X</t>
  </si>
  <si>
    <t>14752697</t>
  </si>
  <si>
    <t>Journal of Hypertension</t>
  </si>
  <si>
    <t>02636352</t>
  </si>
  <si>
    <t>14735598</t>
  </si>
  <si>
    <t>Journal of Immunology</t>
  </si>
  <si>
    <t>00221767</t>
  </si>
  <si>
    <t>15506606</t>
  </si>
  <si>
    <t>American Association of Immunologists</t>
  </si>
  <si>
    <t>Journal of Microencapsulation</t>
  </si>
  <si>
    <t>02652048</t>
  </si>
  <si>
    <t>14645246</t>
  </si>
  <si>
    <t>Jordan Medical Journal</t>
  </si>
  <si>
    <t>04469283</t>
  </si>
  <si>
    <t>University of Jordan</t>
  </si>
  <si>
    <t>JOR</t>
  </si>
  <si>
    <t>Journal of Oral and Maxillofacial Surgery</t>
  </si>
  <si>
    <t>02782391</t>
  </si>
  <si>
    <t>15315053</t>
  </si>
  <si>
    <t>Journal of Neurophysiology</t>
  </si>
  <si>
    <t>00223077</t>
  </si>
  <si>
    <t>15221598</t>
  </si>
  <si>
    <t>Journal of Neurochemistry</t>
  </si>
  <si>
    <t>00223042</t>
  </si>
  <si>
    <t>14714159</t>
  </si>
  <si>
    <t>Journal of Neurosurgery</t>
  </si>
  <si>
    <t>00223085</t>
  </si>
  <si>
    <t>19330693</t>
  </si>
  <si>
    <t>American Association of Neurological Surgeons</t>
  </si>
  <si>
    <t>JNS Publishing Group</t>
  </si>
  <si>
    <t>Journal of Nutrition</t>
  </si>
  <si>
    <t>00223166</t>
  </si>
  <si>
    <t>15416100</t>
  </si>
  <si>
    <t>Journal of the American College of Nutrition</t>
  </si>
  <si>
    <t>07315724</t>
  </si>
  <si>
    <t>15411087</t>
  </si>
  <si>
    <t>Journal of Parasitology</t>
  </si>
  <si>
    <t>00223395</t>
  </si>
  <si>
    <t>19372345</t>
  </si>
  <si>
    <t>American Society of Parasitologists</t>
  </si>
  <si>
    <t>Journal of Pediatrics</t>
  </si>
  <si>
    <t>00223476</t>
  </si>
  <si>
    <t>10976833</t>
  </si>
  <si>
    <t>Jornal de Pediatria</t>
  </si>
  <si>
    <t>00217557</t>
  </si>
  <si>
    <t>Elsevier Editora Ltda</t>
  </si>
  <si>
    <t>Journal of Orthopaedic Research</t>
  </si>
  <si>
    <t>07360266</t>
  </si>
  <si>
    <t>1554527X</t>
  </si>
  <si>
    <t>Journal of Asthma</t>
  </si>
  <si>
    <t>02770903</t>
  </si>
  <si>
    <t>15324303</t>
  </si>
  <si>
    <t>Journal of Urology</t>
  </si>
  <si>
    <t>00225347</t>
  </si>
  <si>
    <t>15273792</t>
  </si>
  <si>
    <t>Journal of Virology</t>
  </si>
  <si>
    <t>0022538X</t>
  </si>
  <si>
    <t>10985514</t>
  </si>
  <si>
    <t>Journal of Pharmaceutical and Biomedical Analysis</t>
  </si>
  <si>
    <t>07317085</t>
  </si>
  <si>
    <t>1873264X</t>
  </si>
  <si>
    <t>Journal of Psychopathology and Behavioral Assessment</t>
  </si>
  <si>
    <t>08822689</t>
  </si>
  <si>
    <t>15733505</t>
  </si>
  <si>
    <t>Journal de Pharmacie de Belgique</t>
  </si>
  <si>
    <t>00472166</t>
  </si>
  <si>
    <t>Association Pharmaceutique Belge - Societe Royale</t>
  </si>
  <si>
    <t>Journal de Pharmacie Clinique</t>
  </si>
  <si>
    <t>02911981</t>
  </si>
  <si>
    <t>Journal of Psychosomatic Research</t>
  </si>
  <si>
    <t>00223999</t>
  </si>
  <si>
    <t>18791360</t>
  </si>
  <si>
    <t>Journal of Psychoactive Drugs</t>
  </si>
  <si>
    <t>02791072</t>
  </si>
  <si>
    <t>21599777</t>
  </si>
  <si>
    <t>Journal of Pediatric Surgery</t>
  </si>
  <si>
    <t>00223468</t>
  </si>
  <si>
    <t>15315037</t>
  </si>
  <si>
    <t>Journal of Perinatal Medicine</t>
  </si>
  <si>
    <t>03005577</t>
  </si>
  <si>
    <t>16193997</t>
  </si>
  <si>
    <t>Journal of Parenteral and Enteral Nutrition</t>
  </si>
  <si>
    <t>01486071</t>
  </si>
  <si>
    <t>Journal of Pharmacology and Experimental Therapeutics</t>
  </si>
  <si>
    <t>00223565</t>
  </si>
  <si>
    <t>15210103</t>
  </si>
  <si>
    <t>Journal of Pediatric Gastroenterology and Nutrition</t>
  </si>
  <si>
    <t>02772116</t>
  </si>
  <si>
    <t>15364801</t>
  </si>
  <si>
    <t>Journal of Physiology</t>
  </si>
  <si>
    <t>00223751</t>
  </si>
  <si>
    <t>14697793</t>
  </si>
  <si>
    <t>Journal of the Pakistan Medical Association</t>
  </si>
  <si>
    <t>00309982</t>
  </si>
  <si>
    <t>Pakistan Medical Association</t>
  </si>
  <si>
    <t>PAK</t>
  </si>
  <si>
    <t>Journal of Pharmaceutical Sciences</t>
  </si>
  <si>
    <t>00223549</t>
  </si>
  <si>
    <t>15206017</t>
  </si>
  <si>
    <t>Journal of Psychosomatic Obstetrics and Gynecology</t>
  </si>
  <si>
    <t>0167482X</t>
  </si>
  <si>
    <t>17438942</t>
  </si>
  <si>
    <t>Journal of Psychosocial Oncology</t>
  </si>
  <si>
    <t>07347332</t>
  </si>
  <si>
    <t>15407586</t>
  </si>
  <si>
    <t>Journal of Pediatric Orthopaedics</t>
  </si>
  <si>
    <t>02716798</t>
  </si>
  <si>
    <t>15392570</t>
  </si>
  <si>
    <t>Journal of Pediatric Ophthalmology and Strabismus</t>
  </si>
  <si>
    <t>01913913</t>
  </si>
  <si>
    <t>19382405</t>
  </si>
  <si>
    <t>Slack Incorporated</t>
  </si>
  <si>
    <t>Journal of Pharmacy and Pharmacology</t>
  </si>
  <si>
    <t>00223573</t>
  </si>
  <si>
    <t>20427158</t>
  </si>
  <si>
    <t>Royal Pharmaceutical Society</t>
  </si>
  <si>
    <t>Journal of Pineal Research</t>
  </si>
  <si>
    <t>07423098</t>
  </si>
  <si>
    <t>1600079X</t>
  </si>
  <si>
    <t>Journal of Psychiatry and Law</t>
  </si>
  <si>
    <t>00931853</t>
  </si>
  <si>
    <t>Federal Legal Publications Inc.</t>
  </si>
  <si>
    <t>Journal of Pain and Symptom Management</t>
  </si>
  <si>
    <t>08853924</t>
  </si>
  <si>
    <t>18736513</t>
  </si>
  <si>
    <t>Journal of Pathology</t>
  </si>
  <si>
    <t>00223417</t>
  </si>
  <si>
    <t>10969896</t>
  </si>
  <si>
    <t>Journal of Psychiatric Research</t>
  </si>
  <si>
    <t>00223956</t>
  </si>
  <si>
    <t>18791379</t>
  </si>
  <si>
    <t>Journal of Rheumatology</t>
  </si>
  <si>
    <t>0315162X</t>
  </si>
  <si>
    <t>14992752</t>
  </si>
  <si>
    <t>Journal of Reproductive Immunology</t>
  </si>
  <si>
    <t>01650378</t>
  </si>
  <si>
    <t>18727603</t>
  </si>
  <si>
    <t>Journal of Reconstructive Microsurgery</t>
  </si>
  <si>
    <t>0743684X</t>
  </si>
  <si>
    <t>10988947</t>
  </si>
  <si>
    <t>Journal of Radioanalytical and Nuclear Chemistry</t>
  </si>
  <si>
    <t>02365731</t>
  </si>
  <si>
    <t>15882780</t>
  </si>
  <si>
    <t>Journal of Reproductive Medicine</t>
  </si>
  <si>
    <t>00247758</t>
  </si>
  <si>
    <t>Journal of Reproductive Medicine, Inc.</t>
  </si>
  <si>
    <t>Journal of Rehabilitation Research and Development</t>
  </si>
  <si>
    <t>07487711</t>
  </si>
  <si>
    <t>19381352</t>
  </si>
  <si>
    <t>Rehabilitation Research and Development Service</t>
  </si>
  <si>
    <t>Journal of the Royal Society of Medicine</t>
  </si>
  <si>
    <t>01410768</t>
  </si>
  <si>
    <t>Journal of Substance Abuse Treatment</t>
  </si>
  <si>
    <t>07405472</t>
  </si>
  <si>
    <t>18736483</t>
  </si>
  <si>
    <t>Journal of Surgical Research</t>
  </si>
  <si>
    <t>00224804</t>
  </si>
  <si>
    <t>10958673</t>
  </si>
  <si>
    <t>Journal of Surgical Oncology</t>
  </si>
  <si>
    <t>00224790</t>
  </si>
  <si>
    <t>10969098</t>
  </si>
  <si>
    <t>Journal of Theoretical Biology</t>
  </si>
  <si>
    <t>00225193</t>
  </si>
  <si>
    <t>10958541</t>
  </si>
  <si>
    <t>Journal of Thermal Biology</t>
  </si>
  <si>
    <t>03064565</t>
  </si>
  <si>
    <t>18790992</t>
  </si>
  <si>
    <t>Journal of Thoracic and Cardiovascular Surgery</t>
  </si>
  <si>
    <t>00225223</t>
  </si>
  <si>
    <t>1097685X</t>
  </si>
  <si>
    <t>Journal of Tropical Pediatrics</t>
  </si>
  <si>
    <t>01426338</t>
  </si>
  <si>
    <t>14653664</t>
  </si>
  <si>
    <t>Journal of Toxicological Sciences</t>
  </si>
  <si>
    <t>18803989</t>
  </si>
  <si>
    <t>03881350</t>
  </si>
  <si>
    <t>Japanese Society of Toxicology</t>
  </si>
  <si>
    <t>Journal of Virological Methods</t>
  </si>
  <si>
    <t>01660934</t>
  </si>
  <si>
    <t>18790984</t>
  </si>
  <si>
    <t>Journal of Vascular Surgery</t>
  </si>
  <si>
    <t>07415214</t>
  </si>
  <si>
    <t>10976809</t>
  </si>
  <si>
    <t>Chinese Journal of Antibiotics</t>
  </si>
  <si>
    <t>10018689</t>
  </si>
  <si>
    <t>Editorial Office of Chinese Journal of Antibiotics</t>
  </si>
  <si>
    <t>E-flow PDF Editorial Office of Chinese Journal of Antibiotics</t>
  </si>
  <si>
    <t>Kardiologia Polska</t>
  </si>
  <si>
    <t>00229032</t>
  </si>
  <si>
    <t>Kidney International</t>
  </si>
  <si>
    <t>00852538</t>
  </si>
  <si>
    <t>15231755</t>
  </si>
  <si>
    <t>Tuberculosis and Respiratory Diseases</t>
  </si>
  <si>
    <t>17383536</t>
  </si>
  <si>
    <t>Korean National Tuberculosis Association</t>
  </si>
  <si>
    <t>KOR</t>
  </si>
  <si>
    <t>ENGL/KORA</t>
  </si>
  <si>
    <t>Kaohsiung Journal of Medical Sciences</t>
  </si>
  <si>
    <t>1607551X</t>
  </si>
  <si>
    <t>Elsevier (Singapore) Pte Ltd</t>
  </si>
  <si>
    <t>Krankenhaushygiene und Infektionsverhutung</t>
  </si>
  <si>
    <t>07203373</t>
  </si>
  <si>
    <t>18764495</t>
  </si>
  <si>
    <t>Kobe Journal of Medical Sciences</t>
  </si>
  <si>
    <t>00232513</t>
  </si>
  <si>
    <t>18830498</t>
  </si>
  <si>
    <t>Kobe University School of Medicine</t>
  </si>
  <si>
    <t>Keio Journal of Medicine</t>
  </si>
  <si>
    <t>00229717</t>
  </si>
  <si>
    <t>18801293</t>
  </si>
  <si>
    <t>Keio University School of Medicine</t>
  </si>
  <si>
    <t>Keio University</t>
  </si>
  <si>
    <t>Klinische Padiatrie</t>
  </si>
  <si>
    <t>03008630</t>
  </si>
  <si>
    <t>14393824</t>
  </si>
  <si>
    <t>Klinische Monatsblatter fur Augenheilkunde</t>
  </si>
  <si>
    <t>00232165</t>
  </si>
  <si>
    <t>14393999</t>
  </si>
  <si>
    <t>GERM/FREN</t>
  </si>
  <si>
    <t>Acta Hepatologica Japonica</t>
  </si>
  <si>
    <t>04514203</t>
  </si>
  <si>
    <t>18813593</t>
  </si>
  <si>
    <t>Japan Society of Hepatology</t>
  </si>
  <si>
    <t>Respiration and Circulation</t>
  </si>
  <si>
    <t>04523458</t>
  </si>
  <si>
    <t>Igaku-Shoin Ltd</t>
  </si>
  <si>
    <t>Kurume Medical Journal</t>
  </si>
  <si>
    <t>00235679</t>
  </si>
  <si>
    <t>18812090</t>
  </si>
  <si>
    <t>Kurume University School of Medicine</t>
  </si>
  <si>
    <t>Korean Journal of Parasitology</t>
  </si>
  <si>
    <t>00234001</t>
  </si>
  <si>
    <t>17380006</t>
  </si>
  <si>
    <t>LaboratoriumsMedizin</t>
  </si>
  <si>
    <t>03423026</t>
  </si>
  <si>
    <t>14390477</t>
  </si>
  <si>
    <t>Laboratory Investigation</t>
  </si>
  <si>
    <t>00236837</t>
  </si>
  <si>
    <t>15300307</t>
  </si>
  <si>
    <t>Letters in Applied Microbiology</t>
  </si>
  <si>
    <t>02668254</t>
  </si>
  <si>
    <t>1472765X</t>
  </si>
  <si>
    <t>The Lancet</t>
  </si>
  <si>
    <t>01406736</t>
  </si>
  <si>
    <t>1474547X</t>
  </si>
  <si>
    <t>Lancet Publishing Group</t>
  </si>
  <si>
    <t>Laryngoscope</t>
  </si>
  <si>
    <t>0023852X</t>
  </si>
  <si>
    <t>15314995</t>
  </si>
  <si>
    <t>Laboratory Animals</t>
  </si>
  <si>
    <t>00236772</t>
  </si>
  <si>
    <t>Laboratory Medicine</t>
  </si>
  <si>
    <t>00075027</t>
  </si>
  <si>
    <t>19437730</t>
  </si>
  <si>
    <t>Libri Oncologici</t>
  </si>
  <si>
    <t>03008142</t>
  </si>
  <si>
    <t>University Hospital for Tumors</t>
  </si>
  <si>
    <t>E-flow PDF University Hospital for Tumors</t>
  </si>
  <si>
    <t>ENGL/CROA</t>
  </si>
  <si>
    <t>Leukemia Research</t>
  </si>
  <si>
    <t>01452126</t>
  </si>
  <si>
    <t>18735835</t>
  </si>
  <si>
    <t>Life Sciences</t>
  </si>
  <si>
    <t>00243205</t>
  </si>
  <si>
    <t>18790631</t>
  </si>
  <si>
    <t>Allergy: European Journal of Allergy and Clinical Immunology</t>
  </si>
  <si>
    <t>01054538</t>
  </si>
  <si>
    <t>13989995</t>
  </si>
  <si>
    <t>Louvain Medical</t>
  </si>
  <si>
    <t>00246956</t>
  </si>
  <si>
    <t>Louvain Medical asbl</t>
  </si>
  <si>
    <t>E-Flow PDF Louvain Medical asbl</t>
  </si>
  <si>
    <t>Lipids</t>
  </si>
  <si>
    <t>00244201</t>
  </si>
  <si>
    <t>15589307</t>
  </si>
  <si>
    <t>Lasers in Surgery and Medicine</t>
  </si>
  <si>
    <t>01968092</t>
  </si>
  <si>
    <t>10969101</t>
  </si>
  <si>
    <t>Lung</t>
  </si>
  <si>
    <t>03412040</t>
  </si>
  <si>
    <t>14321750</t>
  </si>
  <si>
    <t>Lymphology</t>
  </si>
  <si>
    <t>00247766</t>
  </si>
  <si>
    <t>International Society of Lymphology</t>
  </si>
  <si>
    <t>Arizona Health Sciences Center</t>
  </si>
  <si>
    <t>Mathematical Biosciences</t>
  </si>
  <si>
    <t>00255564</t>
  </si>
  <si>
    <t>18793134</t>
  </si>
  <si>
    <t>Mayo Clinic Proceedings</t>
  </si>
  <si>
    <t>00256196</t>
  </si>
  <si>
    <t>Mechanisms of Ageing and Development</t>
  </si>
  <si>
    <t>00476374</t>
  </si>
  <si>
    <t>18726216</t>
  </si>
  <si>
    <t>Molecular Aspects of Medicine</t>
  </si>
  <si>
    <t>00982997</t>
  </si>
  <si>
    <t>18729452</t>
  </si>
  <si>
    <t>Japanese Journal of Anesthesiology</t>
  </si>
  <si>
    <t>00214892</t>
  </si>
  <si>
    <t>Kokuseido Publishing Co. Ltd</t>
  </si>
  <si>
    <t>Maturitas</t>
  </si>
  <si>
    <t>03785122</t>
  </si>
  <si>
    <t>18734111</t>
  </si>
  <si>
    <t>Medical and Biological Engineering and Computing</t>
  </si>
  <si>
    <t>01400118</t>
  </si>
  <si>
    <t>Molecular Biology and Evolution</t>
  </si>
  <si>
    <t>07374038</t>
  </si>
  <si>
    <t>15371719</t>
  </si>
  <si>
    <t>Molecular and Biochemical Parasitology</t>
  </si>
  <si>
    <t>01666851</t>
  </si>
  <si>
    <t>18729428</t>
  </si>
  <si>
    <t>Molecular and Cellular Biochemistry</t>
  </si>
  <si>
    <t>03008177</t>
  </si>
  <si>
    <t>15734919</t>
  </si>
  <si>
    <t>Microcirculation</t>
  </si>
  <si>
    <t>10739688</t>
  </si>
  <si>
    <t>15498719</t>
  </si>
  <si>
    <t>Molecular and Cellular Biology</t>
  </si>
  <si>
    <t>02707306</t>
  </si>
  <si>
    <t>10985549</t>
  </si>
  <si>
    <t>Molecular and Cellular Endocrinology</t>
  </si>
  <si>
    <t>03037207</t>
  </si>
  <si>
    <t>18728057</t>
  </si>
  <si>
    <t>Medicina Cutanea Ibero-Latino-Americana</t>
  </si>
  <si>
    <t>02105187</t>
  </si>
  <si>
    <t>Catedra Universitario, Facultad de Medicina</t>
  </si>
  <si>
    <t>Catedra de Dermatologia.Facultad de Medicina</t>
  </si>
  <si>
    <t>SPAN/PORT</t>
  </si>
  <si>
    <t>Medicina Clinica</t>
  </si>
  <si>
    <t>00257753</t>
  </si>
  <si>
    <t>15788989</t>
  </si>
  <si>
    <t>Medical Clinics of North America</t>
  </si>
  <si>
    <t>00257125</t>
  </si>
  <si>
    <t>15579859</t>
  </si>
  <si>
    <t>Drugs of Today</t>
  </si>
  <si>
    <t>16993993</t>
  </si>
  <si>
    <t>16994019</t>
  </si>
  <si>
    <t>Medical Care</t>
  </si>
  <si>
    <t>00257079</t>
  </si>
  <si>
    <t>15371948</t>
  </si>
  <si>
    <t>Medizintechnik (Cologne)</t>
  </si>
  <si>
    <t>03449416</t>
  </si>
  <si>
    <t>TUV-Verlag GmbH</t>
  </si>
  <si>
    <t>Medicina (Argentina)</t>
  </si>
  <si>
    <t>00257680</t>
  </si>
  <si>
    <t>16699106</t>
  </si>
  <si>
    <t>Instituto de Investigaciones Medicas</t>
  </si>
  <si>
    <t>E-flow PDF Instituto de Investigaciones Medicas</t>
  </si>
  <si>
    <t>Medicine (United States)</t>
  </si>
  <si>
    <t>00257974</t>
  </si>
  <si>
    <t>15365964</t>
  </si>
  <si>
    <t>Medical Hypotheses</t>
  </si>
  <si>
    <t>03069877</t>
  </si>
  <si>
    <t>15322777</t>
  </si>
  <si>
    <t>Medical Letter on Drugs and Therapeutics</t>
  </si>
  <si>
    <t>0025732X</t>
  </si>
  <si>
    <t>Medical Letter Inc.</t>
  </si>
  <si>
    <t>MedicaMundi</t>
  </si>
  <si>
    <t>00257664</t>
  </si>
  <si>
    <t>Philips Medical Systems Nederland</t>
  </si>
  <si>
    <t>Methods in Enzymology</t>
  </si>
  <si>
    <t>00766879</t>
  </si>
  <si>
    <t>15577988</t>
  </si>
  <si>
    <t>Marine Environmental Research</t>
  </si>
  <si>
    <t>01411136</t>
  </si>
  <si>
    <t>18790291</t>
  </si>
  <si>
    <t>Metabolism: Clinical and Experimental</t>
  </si>
  <si>
    <t>00260495</t>
  </si>
  <si>
    <t>15328600</t>
  </si>
  <si>
    <t>Medizinische Welt</t>
  </si>
  <si>
    <t>00258512</t>
  </si>
  <si>
    <t>Magyar Onkologia</t>
  </si>
  <si>
    <t>00250244</t>
  </si>
  <si>
    <t>20600399</t>
  </si>
  <si>
    <t>Magyar Onkologusok Tarsasaga</t>
  </si>
  <si>
    <t>E-flow PDF Magyar Onkologusok Tarsasaga</t>
  </si>
  <si>
    <t>Minerva Anestesiologica</t>
  </si>
  <si>
    <t>03759393</t>
  </si>
  <si>
    <t>Minerva Cardioangiologica</t>
  </si>
  <si>
    <t>00264725</t>
  </si>
  <si>
    <t>NIDA Research Monograph Series</t>
  </si>
  <si>
    <t>10469516</t>
  </si>
  <si>
    <t>National Institute on Drug Abuse</t>
  </si>
  <si>
    <t>Minerva Ginecologica</t>
  </si>
  <si>
    <t>00264784</t>
  </si>
  <si>
    <t>Microbiology and Immunology</t>
  </si>
  <si>
    <t>03855600</t>
  </si>
  <si>
    <t>13480421</t>
  </si>
  <si>
    <t>Minerva Medica</t>
  </si>
  <si>
    <t>00264806</t>
  </si>
  <si>
    <t>Microbial Pathogenesis</t>
  </si>
  <si>
    <t>08824010</t>
  </si>
  <si>
    <t>10961208</t>
  </si>
  <si>
    <t>Minerva Pediatrica</t>
  </si>
  <si>
    <t>00264946</t>
  </si>
  <si>
    <t>Minerva Pneumologica</t>
  </si>
  <si>
    <t>00264954</t>
  </si>
  <si>
    <t>Minerva Stomatologica</t>
  </si>
  <si>
    <t>09264970</t>
  </si>
  <si>
    <t>1827174X</t>
  </si>
  <si>
    <t>Microvascular Research</t>
  </si>
  <si>
    <t>00262862</t>
  </si>
  <si>
    <t>10959319</t>
  </si>
  <si>
    <t>Medical Journal Armed Forces India</t>
  </si>
  <si>
    <t>03771237</t>
  </si>
  <si>
    <t>Medical Journal of Australia</t>
  </si>
  <si>
    <t>0025729X</t>
  </si>
  <si>
    <t>13265377</t>
  </si>
  <si>
    <t>Australasian Medical Publishing Co. Ltd</t>
  </si>
  <si>
    <t>Medical Journal of Malaysia</t>
  </si>
  <si>
    <t>03005283</t>
  </si>
  <si>
    <t>Malaysian Medical Association</t>
  </si>
  <si>
    <t>MYS</t>
  </si>
  <si>
    <t>Medecine et Maladies Infectieuses</t>
  </si>
  <si>
    <t>0399077X</t>
  </si>
  <si>
    <t>17696690</t>
  </si>
  <si>
    <t>Medical Microbiology and Immunology</t>
  </si>
  <si>
    <t>03008584</t>
  </si>
  <si>
    <t>14321831</t>
  </si>
  <si>
    <t>Medizinische Monatsschrift fur Pharmazeuten</t>
  </si>
  <si>
    <t>03429601</t>
  </si>
  <si>
    <t>Wissenschaftliche Verlagsgesellschaft mbH</t>
  </si>
  <si>
    <t>Monatsschrift fur Kinderheilkunde</t>
  </si>
  <si>
    <t>00269298</t>
  </si>
  <si>
    <t>14330474</t>
  </si>
  <si>
    <t>Molecular Pharmacology</t>
  </si>
  <si>
    <t>0026895X</t>
  </si>
  <si>
    <t>15210111</t>
  </si>
  <si>
    <t>Medical Physics</t>
  </si>
  <si>
    <t>00942405</t>
  </si>
  <si>
    <t>AAPM - American Association of Physicists in Medicine</t>
  </si>
  <si>
    <t>E-flow AIP (American Institute of Physics)</t>
  </si>
  <si>
    <t>Marine Pollution Bulletin</t>
  </si>
  <si>
    <t>0025326X</t>
  </si>
  <si>
    <t>18793363</t>
  </si>
  <si>
    <t>Minerva Psichiatrica</t>
  </si>
  <si>
    <t>03911772</t>
  </si>
  <si>
    <t>18271731</t>
  </si>
  <si>
    <t>Magnetic Resonance Imaging</t>
  </si>
  <si>
    <t>0730725X</t>
  </si>
  <si>
    <t>18735894</t>
  </si>
  <si>
    <t>Magnetic Resonance in Medicine</t>
  </si>
  <si>
    <t>07403194</t>
  </si>
  <si>
    <t>15222594</t>
  </si>
  <si>
    <t>Medicinal Research Reviews</t>
  </si>
  <si>
    <t>01986325</t>
  </si>
  <si>
    <t>10981128</t>
  </si>
  <si>
    <t>Microsurgery</t>
  </si>
  <si>
    <t>07381085</t>
  </si>
  <si>
    <t>10982752</t>
  </si>
  <si>
    <t>Muscle and Nerve</t>
  </si>
  <si>
    <t>0148639X</t>
  </si>
  <si>
    <t>10974598</t>
  </si>
  <si>
    <t>Wiley Blackwell</t>
  </si>
  <si>
    <t>Minerva Urologica e Nefrologica</t>
  </si>
  <si>
    <t>03932249</t>
  </si>
  <si>
    <t>Mutagenesis</t>
  </si>
  <si>
    <t>02678357</t>
  </si>
  <si>
    <t>14643804</t>
  </si>
  <si>
    <t>Journal of Nara Medical Association</t>
  </si>
  <si>
    <t>13450069</t>
  </si>
  <si>
    <t>Nara Medical Association</t>
  </si>
  <si>
    <t>Nara Medical Univ.</t>
  </si>
  <si>
    <t>Neuropathology and Applied Neurobiology</t>
  </si>
  <si>
    <t>03051846</t>
  </si>
  <si>
    <t>13652990</t>
  </si>
  <si>
    <t>Nucleic Acids Research</t>
  </si>
  <si>
    <t>03051048</t>
  </si>
  <si>
    <t>13624962</t>
  </si>
  <si>
    <t>Nature</t>
  </si>
  <si>
    <t>00280836</t>
  </si>
  <si>
    <t>14764687</t>
  </si>
  <si>
    <t>Neuroscience and Behavioral Physiology</t>
  </si>
  <si>
    <t>00970549</t>
  </si>
  <si>
    <t>1573899X</t>
  </si>
  <si>
    <t>Neuroscience and Biobehavioral Reviews</t>
  </si>
  <si>
    <t>01497634</t>
  </si>
  <si>
    <t>18737528</t>
  </si>
  <si>
    <t>Neuropsychiatrie de l'Enfance et de l'Adolescence</t>
  </si>
  <si>
    <t>02229617</t>
  </si>
  <si>
    <t>17696615</t>
  </si>
  <si>
    <t>Neurobiology of Aging</t>
  </si>
  <si>
    <t>01974580</t>
  </si>
  <si>
    <t>15581497</t>
  </si>
  <si>
    <t>Neurologic Clinics</t>
  </si>
  <si>
    <t>07338619</t>
  </si>
  <si>
    <t>15579875</t>
  </si>
  <si>
    <t>Neuroepidemiology</t>
  </si>
  <si>
    <t>02515350</t>
  </si>
  <si>
    <t>14230208</t>
  </si>
  <si>
    <t>New England Journal of Medicine</t>
  </si>
  <si>
    <t>00284793</t>
  </si>
  <si>
    <t>15334406</t>
  </si>
  <si>
    <t>Massachussetts Medical Society</t>
  </si>
  <si>
    <t>Neuroscience Letters</t>
  </si>
  <si>
    <t>03043940</t>
  </si>
  <si>
    <t>18727972</t>
  </si>
  <si>
    <t>Neoplasma</t>
  </si>
  <si>
    <t>00282685</t>
  </si>
  <si>
    <t>13384317</t>
  </si>
  <si>
    <t>SAP - Slovak Academic Press, spol. s.r.o.</t>
  </si>
  <si>
    <t>Neuropharmacology</t>
  </si>
  <si>
    <t>00283908</t>
  </si>
  <si>
    <t>18737064</t>
  </si>
  <si>
    <t>Neuroscience Research</t>
  </si>
  <si>
    <t>01680102</t>
  </si>
  <si>
    <t>18728111</t>
  </si>
  <si>
    <t>Neurochemical Research</t>
  </si>
  <si>
    <t>03643190</t>
  </si>
  <si>
    <t>15736903</t>
  </si>
  <si>
    <t>Nervenarzt</t>
  </si>
  <si>
    <t>00282804</t>
  </si>
  <si>
    <t>14330407</t>
  </si>
  <si>
    <t>Nervenheilkunde</t>
  </si>
  <si>
    <t>07221541</t>
  </si>
  <si>
    <t>Nederlands Tijdschrift voor Geneeskunde</t>
  </si>
  <si>
    <t>00282162</t>
  </si>
  <si>
    <t>Bohn Stafleu van Loghum</t>
  </si>
  <si>
    <t>Neurochemistry International</t>
  </si>
  <si>
    <t>01970186</t>
  </si>
  <si>
    <t>18729754</t>
  </si>
  <si>
    <t>Neurocirugia</t>
  </si>
  <si>
    <t>11301473</t>
  </si>
  <si>
    <t>Sociedad Espanola de Neurocirugia</t>
  </si>
  <si>
    <t>Neurology</t>
  </si>
  <si>
    <t>00283878</t>
  </si>
  <si>
    <t>1526632X</t>
  </si>
  <si>
    <t>Neurourology and Urodynamics</t>
  </si>
  <si>
    <t>07332467</t>
  </si>
  <si>
    <t>15206777</t>
  </si>
  <si>
    <t>Nieren- und Hochdruckkrankheiten</t>
  </si>
  <si>
    <t>03005224</t>
  </si>
  <si>
    <t>Japanese Journal of Nephrology</t>
  </si>
  <si>
    <t>03852385</t>
  </si>
  <si>
    <t>Japanese Society of Nephrology</t>
  </si>
  <si>
    <t>Neuroendocrinology Letters</t>
  </si>
  <si>
    <t>0172780X</t>
  </si>
  <si>
    <t>Maghira and Maas Publications</t>
  </si>
  <si>
    <t>Nuclear Medicine and Biology</t>
  </si>
  <si>
    <t>09698051</t>
  </si>
  <si>
    <t>18729614</t>
  </si>
  <si>
    <t>Neurologia Medico-Chirurgica</t>
  </si>
  <si>
    <t>04708105</t>
  </si>
  <si>
    <t>13498029</t>
  </si>
  <si>
    <t>Japan Neurosurgical Society</t>
  </si>
  <si>
    <t>Nuclear Medicine Communications</t>
  </si>
  <si>
    <t>01433636</t>
  </si>
  <si>
    <t>14735628</t>
  </si>
  <si>
    <t>Gastroenterological Endoscopy</t>
  </si>
  <si>
    <t>03871207</t>
  </si>
  <si>
    <t>Japan Gastroenterological Endoscopy Society</t>
  </si>
  <si>
    <t>Nishinihon Journal of Dermatology</t>
  </si>
  <si>
    <t>03869784</t>
  </si>
  <si>
    <t>Kyushu University</t>
  </si>
  <si>
    <t>Kyushu University School of Medicine</t>
  </si>
  <si>
    <t>Neurologia i Neurochirurgia Polska</t>
  </si>
  <si>
    <t>00283843</t>
  </si>
  <si>
    <t>18974260</t>
  </si>
  <si>
    <t>Termedia Publishing House Ltd.</t>
  </si>
  <si>
    <t>Neurological Surgery</t>
  </si>
  <si>
    <t>03012603</t>
  </si>
  <si>
    <t>18821251</t>
  </si>
  <si>
    <t>Noropsikiyatri Arsivi</t>
  </si>
  <si>
    <t>13000667</t>
  </si>
  <si>
    <t>Turkish Neuropsychiatric Society</t>
  </si>
  <si>
    <t>Turk Noropsik. Dernegi (Turkish Neuropsych. Soc.)</t>
  </si>
  <si>
    <t>TURK/ENGL</t>
  </si>
  <si>
    <t>Brain and Nerve</t>
  </si>
  <si>
    <t>18816096</t>
  </si>
  <si>
    <t>Nowotwory</t>
  </si>
  <si>
    <t>0029540X</t>
  </si>
  <si>
    <t>Neuropsychobiology</t>
  </si>
  <si>
    <t>0302282X</t>
  </si>
  <si>
    <t>14230224</t>
  </si>
  <si>
    <t>Neurophysiology</t>
  </si>
  <si>
    <t>00902977</t>
  </si>
  <si>
    <t>15739007</t>
  </si>
  <si>
    <t>Neuroradiology</t>
  </si>
  <si>
    <t>00283940</t>
  </si>
  <si>
    <t>14321920</t>
  </si>
  <si>
    <t>Neurological Research</t>
  </si>
  <si>
    <t>01616412</t>
  </si>
  <si>
    <t>17431328</t>
  </si>
  <si>
    <t>Japanese Journal of Leprosy</t>
  </si>
  <si>
    <t>13423681</t>
  </si>
  <si>
    <t>1884314X</t>
  </si>
  <si>
    <t>Japanese Leprosy Association</t>
  </si>
  <si>
    <t>Neuropediatrics</t>
  </si>
  <si>
    <t>0174304X</t>
  </si>
  <si>
    <t>14391899</t>
  </si>
  <si>
    <t>Hippokrates Verlag GmbH</t>
  </si>
  <si>
    <t>Neuro-Ophthalmology</t>
  </si>
  <si>
    <t>01658107</t>
  </si>
  <si>
    <t>1744506X</t>
  </si>
  <si>
    <t>Neuropeptides</t>
  </si>
  <si>
    <t>01434179</t>
  </si>
  <si>
    <t>15322785</t>
  </si>
  <si>
    <t>Neuroscience</t>
  </si>
  <si>
    <t>03064522</t>
  </si>
  <si>
    <t>18737544</t>
  </si>
  <si>
    <t>Neurosurgery</t>
  </si>
  <si>
    <t>0148396X</t>
  </si>
  <si>
    <t>NeuroToxicology</t>
  </si>
  <si>
    <t>0161813X</t>
  </si>
  <si>
    <t>18729711</t>
  </si>
  <si>
    <t>Naunyn-Schmiedeberg's Archives of Pharmacology</t>
  </si>
  <si>
    <t>00281298</t>
  </si>
  <si>
    <t>14321912</t>
  </si>
  <si>
    <t>Neurosurgical Review</t>
  </si>
  <si>
    <t>03445607</t>
  </si>
  <si>
    <t>14372320</t>
  </si>
  <si>
    <t>No To Hattatsu</t>
  </si>
  <si>
    <t>00290831</t>
  </si>
  <si>
    <t>Japanese Society of Child Neurology</t>
  </si>
  <si>
    <t>Shindan to Chiryo Co. Ltd</t>
  </si>
  <si>
    <t>Nutrition Research</t>
  </si>
  <si>
    <t>02715317</t>
  </si>
  <si>
    <t>18790739</t>
  </si>
  <si>
    <t>Notarzt</t>
  </si>
  <si>
    <t>01772309</t>
  </si>
  <si>
    <t>14388693</t>
  </si>
  <si>
    <t>Nutrition and Cancer</t>
  </si>
  <si>
    <t>01635581</t>
  </si>
  <si>
    <t>15327914</t>
  </si>
  <si>
    <t>NuklearMedizin</t>
  </si>
  <si>
    <t>00295566</t>
  </si>
  <si>
    <t>Neuroendocrinology</t>
  </si>
  <si>
    <t>00283835</t>
  </si>
  <si>
    <t>14230194</t>
  </si>
  <si>
    <t>Neuropsychologia</t>
  </si>
  <si>
    <t>00283932</t>
  </si>
  <si>
    <t>18733514</t>
  </si>
  <si>
    <t>Nutrition Reviews</t>
  </si>
  <si>
    <t>00296643</t>
  </si>
  <si>
    <t>17534887</t>
  </si>
  <si>
    <t>Neurochirurgie</t>
  </si>
  <si>
    <t>00283770</t>
  </si>
  <si>
    <t>17730619</t>
  </si>
  <si>
    <t>Neurology India</t>
  </si>
  <si>
    <t>00283886</t>
  </si>
  <si>
    <t>19984022</t>
  </si>
  <si>
    <t>Folia Pharmacologica Japonica</t>
  </si>
  <si>
    <t>00155691</t>
  </si>
  <si>
    <t>13478397</t>
  </si>
  <si>
    <t>Japanese Pharmacological Society</t>
  </si>
  <si>
    <t>International Journal of Developmental Disabilities</t>
  </si>
  <si>
    <t>20473869</t>
  </si>
  <si>
    <t>20473877</t>
  </si>
  <si>
    <t>New Zealand Medical Journal</t>
  </si>
  <si>
    <t>00288446</t>
  </si>
  <si>
    <t>11758716</t>
  </si>
  <si>
    <t>New Zealand Medical Association</t>
  </si>
  <si>
    <t>NZL</t>
  </si>
  <si>
    <t>Obstetrica si Ginecologie</t>
  </si>
  <si>
    <t>12205532</t>
  </si>
  <si>
    <t>Romanian Society of Obstetrics and Gynecology</t>
  </si>
  <si>
    <t>E-flow PDF Romanian Society of Obstetrics and Gynecology</t>
  </si>
  <si>
    <t>RUMA/ENGL</t>
  </si>
  <si>
    <t>Obstetrics and Gynecology</t>
  </si>
  <si>
    <t>00297844</t>
  </si>
  <si>
    <t>1873233X</t>
  </si>
  <si>
    <t>Orthopedic Clinics of North America</t>
  </si>
  <si>
    <t>00305898</t>
  </si>
  <si>
    <t>15581373</t>
  </si>
  <si>
    <t>Otolaryngologic Clinics of North America</t>
  </si>
  <si>
    <t>00306665</t>
  </si>
  <si>
    <t>15578259</t>
  </si>
  <si>
    <t>Obstetrical and Gynecological Survey</t>
  </si>
  <si>
    <t>00297828</t>
  </si>
  <si>
    <t>15339866</t>
  </si>
  <si>
    <t>Oncology (Switzerland)</t>
  </si>
  <si>
    <t>00302414</t>
  </si>
  <si>
    <t>14230232</t>
  </si>
  <si>
    <t>Onkologie(Czech Republic)</t>
  </si>
  <si>
    <t>0378584X</t>
  </si>
  <si>
    <t>14230240</t>
  </si>
  <si>
    <t>Ophthalmologica</t>
  </si>
  <si>
    <t>00303755</t>
  </si>
  <si>
    <t>14230267</t>
  </si>
  <si>
    <t>Ophthalmology</t>
  </si>
  <si>
    <t>01616420</t>
  </si>
  <si>
    <t>15494713</t>
  </si>
  <si>
    <t>Ophthalmic Research</t>
  </si>
  <si>
    <t>00303747</t>
  </si>
  <si>
    <t>14230259</t>
  </si>
  <si>
    <t>Ophthalmic Plastic and Reconstructive Surgery</t>
  </si>
  <si>
    <t>07409303</t>
  </si>
  <si>
    <t>15372677</t>
  </si>
  <si>
    <t>Orbit</t>
  </si>
  <si>
    <t>01676830</t>
  </si>
  <si>
    <t>17445108</t>
  </si>
  <si>
    <t>Orvosi Hetilap</t>
  </si>
  <si>
    <t>00306002</t>
  </si>
  <si>
    <t>17886120</t>
  </si>
  <si>
    <t>ORL</t>
  </si>
  <si>
    <t>03011569</t>
  </si>
  <si>
    <t>14230275</t>
  </si>
  <si>
    <t>Oral Radiology</t>
  </si>
  <si>
    <t>09116028</t>
  </si>
  <si>
    <t>16139674</t>
  </si>
  <si>
    <t>Orthopedics</t>
  </si>
  <si>
    <t>01477447</t>
  </si>
  <si>
    <t>Journal of the Osaka City Medical Center</t>
  </si>
  <si>
    <t>03864103</t>
  </si>
  <si>
    <t>Osaka City Medical Center</t>
  </si>
  <si>
    <t>Osaka City University</t>
  </si>
  <si>
    <t>Occupational Therapy in Health Care</t>
  </si>
  <si>
    <t>07380577</t>
  </si>
  <si>
    <t>15413098</t>
  </si>
  <si>
    <t>Otolaryngology - Head and Neck Surgery (United States)</t>
  </si>
  <si>
    <t>01945998</t>
  </si>
  <si>
    <t>10976817</t>
  </si>
  <si>
    <t>Otolaryngologia Polska</t>
  </si>
  <si>
    <t>00306657</t>
  </si>
  <si>
    <t>ENGL/POLS</t>
  </si>
  <si>
    <t>Acta Phlebologica</t>
  </si>
  <si>
    <t>1593232X</t>
  </si>
  <si>
    <t>18271766</t>
  </si>
  <si>
    <t>Pharmacometrics</t>
  </si>
  <si>
    <t>03008533</t>
  </si>
  <si>
    <t>Japanese Society of Pharmacometrics</t>
  </si>
  <si>
    <t>Padiatrische Praxis</t>
  </si>
  <si>
    <t>00309346</t>
  </si>
  <si>
    <t>Parasite Immunology</t>
  </si>
  <si>
    <t>01419838</t>
  </si>
  <si>
    <t>13653024</t>
  </si>
  <si>
    <t>Pain</t>
  </si>
  <si>
    <t>03043959</t>
  </si>
  <si>
    <t>18726623</t>
  </si>
  <si>
    <t>Polskie Archiwum Medycyny Wewnetrznej</t>
  </si>
  <si>
    <t>00323772</t>
  </si>
  <si>
    <t>18979483</t>
  </si>
  <si>
    <t>Medycyna Praktyczna</t>
  </si>
  <si>
    <t>Parasitology</t>
  </si>
  <si>
    <t>00311820</t>
  </si>
  <si>
    <t>14698161</t>
  </si>
  <si>
    <t>Pharmacological Reviews</t>
  </si>
  <si>
    <t>00316997</t>
  </si>
  <si>
    <t>15210081</t>
  </si>
  <si>
    <t>Pathology Research and Practice</t>
  </si>
  <si>
    <t>03440338</t>
  </si>
  <si>
    <t>16180631</t>
  </si>
  <si>
    <t>Pharmacology Biochemistry and Behavior</t>
  </si>
  <si>
    <t>00913057</t>
  </si>
  <si>
    <t>18735177</t>
  </si>
  <si>
    <t>Public Health Reviews</t>
  </si>
  <si>
    <t>03010422</t>
  </si>
  <si>
    <t>21076952</t>
  </si>
  <si>
    <t>EHESP Presses</t>
  </si>
  <si>
    <t>Progress in Brain Research</t>
  </si>
  <si>
    <t>00796123</t>
  </si>
  <si>
    <t>18757855</t>
  </si>
  <si>
    <t>Psychiatric Clinics of North America</t>
  </si>
  <si>
    <t>0193953X</t>
  </si>
  <si>
    <t>15583147</t>
  </si>
  <si>
    <t>Pediatric Clinics of North America</t>
  </si>
  <si>
    <t>00313955</t>
  </si>
  <si>
    <t>15578240</t>
  </si>
  <si>
    <t>Progress in Cardiovascular Diseases</t>
  </si>
  <si>
    <t>00330620</t>
  </si>
  <si>
    <t>18731740</t>
  </si>
  <si>
    <t>Pediatric Annals</t>
  </si>
  <si>
    <t>00904481</t>
  </si>
  <si>
    <t>Periodicum Biologorum</t>
  </si>
  <si>
    <t>00315362</t>
  </si>
  <si>
    <t>Croatian Society of Natural Sciences</t>
  </si>
  <si>
    <t>Hrvatsko Prirodoslovno Drustvo</t>
  </si>
  <si>
    <t>Pediatric Radiology</t>
  </si>
  <si>
    <t>03010449</t>
  </si>
  <si>
    <t>14321998</t>
  </si>
  <si>
    <t>Pediatric Cardiology</t>
  </si>
  <si>
    <t>01720643</t>
  </si>
  <si>
    <t>14321971</t>
  </si>
  <si>
    <t>Pediatric Emergency Care</t>
  </si>
  <si>
    <t>07495161</t>
  </si>
  <si>
    <t>15351815</t>
  </si>
  <si>
    <t>Patient Education and Counseling</t>
  </si>
  <si>
    <t>07383991</t>
  </si>
  <si>
    <t>18735134</t>
  </si>
  <si>
    <t>Pediatrics</t>
  </si>
  <si>
    <t>00314005</t>
  </si>
  <si>
    <t>10984275</t>
  </si>
  <si>
    <t>American Academy of Pediatrics</t>
  </si>
  <si>
    <t>Pediatric Dermatology</t>
  </si>
  <si>
    <t>07368046</t>
  </si>
  <si>
    <t>15251470</t>
  </si>
  <si>
    <t>Pediatria Polska</t>
  </si>
  <si>
    <t>00313939</t>
  </si>
  <si>
    <t>Peptides</t>
  </si>
  <si>
    <t>01969781</t>
  </si>
  <si>
    <t>18735169</t>
  </si>
  <si>
    <t>Pediatric Research</t>
  </si>
  <si>
    <t>00313998</t>
  </si>
  <si>
    <t>15300447</t>
  </si>
  <si>
    <t>Pflugers Archiv European Journal of Physiology</t>
  </si>
  <si>
    <t>00316768</t>
  </si>
  <si>
    <t>14322013</t>
  </si>
  <si>
    <t>Postgraduate Medical Journal</t>
  </si>
  <si>
    <t>00325473</t>
  </si>
  <si>
    <t>14690756</t>
  </si>
  <si>
    <t>Progress in Neurobiology</t>
  </si>
  <si>
    <t>03010082</t>
  </si>
  <si>
    <t>18735118</t>
  </si>
  <si>
    <t>Pharmazie</t>
  </si>
  <si>
    <t>00317144</t>
  </si>
  <si>
    <t>Govi-Verlag Pharmazeutischer Verlag GmbH</t>
  </si>
  <si>
    <t>Physiology and Behavior</t>
  </si>
  <si>
    <t>00319384</t>
  </si>
  <si>
    <t>1873507X</t>
  </si>
  <si>
    <t>Progress in Histochemistry and Cytochemistry</t>
  </si>
  <si>
    <t>00796336</t>
  </si>
  <si>
    <t>18732186</t>
  </si>
  <si>
    <t>Pharmazeutische Industrie</t>
  </si>
  <si>
    <t>0031711X</t>
  </si>
  <si>
    <t>Editio Cantor Verlag GmbH</t>
  </si>
  <si>
    <t>Pharmacology</t>
  </si>
  <si>
    <t>00317012</t>
  </si>
  <si>
    <t>14230313</t>
  </si>
  <si>
    <t>Pharmacotherapy</t>
  </si>
  <si>
    <t>02770008</t>
  </si>
  <si>
    <t>Pharmacotherapy Publications Inc.</t>
  </si>
  <si>
    <t>Physiological Reviews</t>
  </si>
  <si>
    <t>00319333</t>
  </si>
  <si>
    <t>15221210</t>
  </si>
  <si>
    <t>Pharmaceutical Research</t>
  </si>
  <si>
    <t>07248741</t>
  </si>
  <si>
    <t>1573904X</t>
  </si>
  <si>
    <t>Pharmacopsychiatry</t>
  </si>
  <si>
    <t>01763679</t>
  </si>
  <si>
    <t>14390795</t>
  </si>
  <si>
    <t>Public Health Reports</t>
  </si>
  <si>
    <t>00333549</t>
  </si>
  <si>
    <t>14682877</t>
  </si>
  <si>
    <t>Association of Schools of Public Health</t>
  </si>
  <si>
    <t>Physiotherapy (United Kingdom)</t>
  </si>
  <si>
    <t>00319406</t>
  </si>
  <si>
    <t>18731465</t>
  </si>
  <si>
    <t>Physician and Sportsmedicine</t>
  </si>
  <si>
    <t>00913847</t>
  </si>
  <si>
    <t>JTE Multimedia</t>
  </si>
  <si>
    <t>Pharmacology and Therapeutics</t>
  </si>
  <si>
    <t>01637258</t>
  </si>
  <si>
    <t>1879016X</t>
  </si>
  <si>
    <t>Pharmaceutisch Weekblad</t>
  </si>
  <si>
    <t>00316911</t>
  </si>
  <si>
    <t>Kon. Ned. Mij. ter Bevordering der Pharmacie (KNMP)</t>
  </si>
  <si>
    <t>Kon. Ned. Mij. ter Bevordering der Pharmacie</t>
  </si>
  <si>
    <t>Problems of Infectious and Parasitic Diseases</t>
  </si>
  <si>
    <t>02049155</t>
  </si>
  <si>
    <t>Izdatelstvo Medicina i Fizkultura</t>
  </si>
  <si>
    <t>E-flow PDF Medical Academy</t>
  </si>
  <si>
    <t>BULG/ENGL</t>
  </si>
  <si>
    <t>Placenta</t>
  </si>
  <si>
    <t>01434004</t>
  </si>
  <si>
    <t>15323102</t>
  </si>
  <si>
    <t>Progress in Lipid Research</t>
  </si>
  <si>
    <t>01637827</t>
  </si>
  <si>
    <t>18732194</t>
  </si>
  <si>
    <t>Planta Medica</t>
  </si>
  <si>
    <t>00320943</t>
  </si>
  <si>
    <t>14390221</t>
  </si>
  <si>
    <t>Plasmid</t>
  </si>
  <si>
    <t>0147619X</t>
  </si>
  <si>
    <t>10959890</t>
  </si>
  <si>
    <t>Postepy Mikrobiologii</t>
  </si>
  <si>
    <t>00794252</t>
  </si>
  <si>
    <t>Polish Society of Microbiologists</t>
  </si>
  <si>
    <t>Proceedings of the National Academy of Sciences of the United States of America</t>
  </si>
  <si>
    <t>00278424</t>
  </si>
  <si>
    <t>10916490</t>
  </si>
  <si>
    <t>National Academy of Sciences</t>
  </si>
  <si>
    <t>Progress in Neuro-Psychopharmacology and Biological Psychiatry</t>
  </si>
  <si>
    <t>02785846</t>
  </si>
  <si>
    <t>18784216</t>
  </si>
  <si>
    <t>Progresos de Obstetricia y Ginecologia</t>
  </si>
  <si>
    <t>03045013</t>
  </si>
  <si>
    <t>15781453</t>
  </si>
  <si>
    <t>Prosthetics and Orthotics International</t>
  </si>
  <si>
    <t>03093646</t>
  </si>
  <si>
    <t>17461553</t>
  </si>
  <si>
    <t>Postgraduate Medicine</t>
  </si>
  <si>
    <t>00325481</t>
  </si>
  <si>
    <t>19419260</t>
  </si>
  <si>
    <t>PACE - Pacing and Clinical Electrophysiology</t>
  </si>
  <si>
    <t>01478389</t>
  </si>
  <si>
    <t>15408159</t>
  </si>
  <si>
    <t>Primary Care - Clinics in Office Practice</t>
  </si>
  <si>
    <t>00954543</t>
  </si>
  <si>
    <t>1558299X</t>
  </si>
  <si>
    <t>Przeglad Dermatologiczny</t>
  </si>
  <si>
    <t>00332526</t>
  </si>
  <si>
    <t>Prenatal Diagnosis</t>
  </si>
  <si>
    <t>01973851</t>
  </si>
  <si>
    <t>10970223</t>
  </si>
  <si>
    <t>Presse Medicale</t>
  </si>
  <si>
    <t>07554982</t>
  </si>
  <si>
    <t>Prostate</t>
  </si>
  <si>
    <t>02704137</t>
  </si>
  <si>
    <t>10970045</t>
  </si>
  <si>
    <t>Psychopharmacology</t>
  </si>
  <si>
    <t>00333158</t>
  </si>
  <si>
    <t>14322072</t>
  </si>
  <si>
    <t>Psychosomatic Medicine</t>
  </si>
  <si>
    <t>00333174</t>
  </si>
  <si>
    <t>15347796</t>
  </si>
  <si>
    <t>PPmP Psychotherapie Psychosomatik Medizinische Psychologie</t>
  </si>
  <si>
    <t>09372032</t>
  </si>
  <si>
    <t>14391058</t>
  </si>
  <si>
    <t>Psychiatria Polska</t>
  </si>
  <si>
    <t>00332674</t>
  </si>
  <si>
    <t>Polish Psychiatric Association</t>
  </si>
  <si>
    <t>Redakcja Psychiatria Polska</t>
  </si>
  <si>
    <t>Psychotherapy and Psychosomatics</t>
  </si>
  <si>
    <t>00333190</t>
  </si>
  <si>
    <t>14230348</t>
  </si>
  <si>
    <t>Psychoanalytic Psychology</t>
  </si>
  <si>
    <t>07369735</t>
  </si>
  <si>
    <t>19391331</t>
  </si>
  <si>
    <t>Psychiatrische Praxis</t>
  </si>
  <si>
    <t>03034259</t>
  </si>
  <si>
    <t>14390876</t>
  </si>
  <si>
    <t>Psychiatric Quarterly</t>
  </si>
  <si>
    <t>00332720</t>
  </si>
  <si>
    <t>15736709</t>
  </si>
  <si>
    <t>Psychiatry Research</t>
  </si>
  <si>
    <t>01651781</t>
  </si>
  <si>
    <t>18727123</t>
  </si>
  <si>
    <t>Pediatric Surgery International</t>
  </si>
  <si>
    <t>01790358</t>
  </si>
  <si>
    <t>14379813</t>
  </si>
  <si>
    <t>Psychopharmacology Bulletin</t>
  </si>
  <si>
    <t>00485764</t>
  </si>
  <si>
    <t>MedWorks Media LLC</t>
  </si>
  <si>
    <t>Psychiatry (New York)</t>
  </si>
  <si>
    <t>00332747</t>
  </si>
  <si>
    <t>1943281X</t>
  </si>
  <si>
    <t>Psychosomatics</t>
  </si>
  <si>
    <t>00333182</t>
  </si>
  <si>
    <t>15457206</t>
  </si>
  <si>
    <t>Psychoneuroendocrinology</t>
  </si>
  <si>
    <t>03064530</t>
  </si>
  <si>
    <t>18733360</t>
  </si>
  <si>
    <t>Psychotherapy</t>
  </si>
  <si>
    <t>00333204</t>
  </si>
  <si>
    <t>19391536</t>
  </si>
  <si>
    <t>Pathologie Biologie</t>
  </si>
  <si>
    <t>03698114</t>
  </si>
  <si>
    <t>17683114</t>
  </si>
  <si>
    <t>Public Health</t>
  </si>
  <si>
    <t>00333506</t>
  </si>
  <si>
    <t>14765616</t>
  </si>
  <si>
    <t>Preventive Medicine</t>
  </si>
  <si>
    <t>00917435</t>
  </si>
  <si>
    <t>10960260</t>
  </si>
  <si>
    <t>Proceedings of the Western Pharmacology Society</t>
  </si>
  <si>
    <t>00838969</t>
  </si>
  <si>
    <t>Western Pharmacology Society</t>
  </si>
  <si>
    <t>Pharmazeutische Zeitung</t>
  </si>
  <si>
    <t>00317136</t>
  </si>
  <si>
    <t>Revista Argentina de Cardiologia</t>
  </si>
  <si>
    <t>00347000</t>
  </si>
  <si>
    <t>18503748</t>
  </si>
  <si>
    <t>Sociedad Argentina de Cardiologia</t>
  </si>
  <si>
    <t>Revista Argentina de Dermatologia</t>
  </si>
  <si>
    <t>03252787</t>
  </si>
  <si>
    <t>Asociation Argentina de Dermatologia</t>
  </si>
  <si>
    <t>Asociacion Argentina de Dermatologia</t>
  </si>
  <si>
    <t>Radiology</t>
  </si>
  <si>
    <t>00338419</t>
  </si>
  <si>
    <t>15271315</t>
  </si>
  <si>
    <t>Radiological Society of North America Inc.</t>
  </si>
  <si>
    <t>Revista Argentina de Microbiologia</t>
  </si>
  <si>
    <t>03257541</t>
  </si>
  <si>
    <t>Asociacion Argentina de Microbiologia</t>
  </si>
  <si>
    <t>Radiotherapy and Oncology</t>
  </si>
  <si>
    <t>01678140</t>
  </si>
  <si>
    <t>18790887</t>
  </si>
  <si>
    <t>Radiation Research</t>
  </si>
  <si>
    <t>00337587</t>
  </si>
  <si>
    <t>19385404</t>
  </si>
  <si>
    <t>Radiation Research Society</t>
  </si>
  <si>
    <t>Revista Brasileira de Anestesiologia</t>
  </si>
  <si>
    <t>00347094</t>
  </si>
  <si>
    <t>1806907X</t>
  </si>
  <si>
    <t>Revista Brasileira de Medicina</t>
  </si>
  <si>
    <t>00347264</t>
  </si>
  <si>
    <t>Moreira Junior Editora Ltda.</t>
  </si>
  <si>
    <t>Moreira Junior Editora Ltda</t>
  </si>
  <si>
    <t>Brazilian Journal of Medical and Biological Research</t>
  </si>
  <si>
    <t>0100879X</t>
  </si>
  <si>
    <t>16784510</t>
  </si>
  <si>
    <t>Associacao Brasileira de Divulgacao Cientifica</t>
  </si>
  <si>
    <t>Faculdade de Medicina de Ribeirao Preto - USP</t>
  </si>
  <si>
    <t>Radiologia</t>
  </si>
  <si>
    <t>00338338</t>
  </si>
  <si>
    <t>15781771</t>
  </si>
  <si>
    <t>Revista Espanola de Cardiologia</t>
  </si>
  <si>
    <t>03008932</t>
  </si>
  <si>
    <t>15792242</t>
  </si>
  <si>
    <t>Revista Clinica Espanola</t>
  </si>
  <si>
    <t>00142565</t>
  </si>
  <si>
    <t>15781860</t>
  </si>
  <si>
    <t>Radiologic Clinics of North America</t>
  </si>
  <si>
    <t>00338389</t>
  </si>
  <si>
    <t>15578275</t>
  </si>
  <si>
    <t>Revista Chilena de Pediatria</t>
  </si>
  <si>
    <t>03704106</t>
  </si>
  <si>
    <t>07176228</t>
  </si>
  <si>
    <t>Sociedad Chilena de Pediatria</t>
  </si>
  <si>
    <t>CHL</t>
  </si>
  <si>
    <t>Revista Colombiana de Psiquiatria</t>
  </si>
  <si>
    <t>00347450</t>
  </si>
  <si>
    <t>Revista Cubana de Farmacia</t>
  </si>
  <si>
    <t>00347515</t>
  </si>
  <si>
    <t>15612988</t>
  </si>
  <si>
    <t>Editorial Ciencias Medicas</t>
  </si>
  <si>
    <t>Centro Nacional Informacion Ciencias Medicas</t>
  </si>
  <si>
    <t>CUB</t>
  </si>
  <si>
    <t>Respiratory Care</t>
  </si>
  <si>
    <t>00201324</t>
  </si>
  <si>
    <t>19433654</t>
  </si>
  <si>
    <t>American Association for Respiratory Care</t>
  </si>
  <si>
    <t>Revista Espanola de Geriatria y Gerontologia</t>
  </si>
  <si>
    <t>0211139X</t>
  </si>
  <si>
    <t>15781747</t>
  </si>
  <si>
    <t>Revue Neurologique</t>
  </si>
  <si>
    <t>00353787</t>
  </si>
  <si>
    <t>Rentgenologiya i Radiologiya</t>
  </si>
  <si>
    <t>0486400X</t>
  </si>
  <si>
    <t>Medical Academy</t>
  </si>
  <si>
    <t>BULG</t>
  </si>
  <si>
    <t>ENGL/BULG</t>
  </si>
  <si>
    <t>Revista Espanola de Pediatria</t>
  </si>
  <si>
    <t>0034947X</t>
  </si>
  <si>
    <t>Ediciones Ergon SA</t>
  </si>
  <si>
    <t>Regulatory Peptides</t>
  </si>
  <si>
    <t>01670115</t>
  </si>
  <si>
    <t>18731686</t>
  </si>
  <si>
    <t>Revue du Praticien</t>
  </si>
  <si>
    <t>00352640</t>
  </si>
  <si>
    <t>Huveaux France</t>
  </si>
  <si>
    <t>European Review for Medical and Pharmacological Sciences</t>
  </si>
  <si>
    <t>11283602</t>
  </si>
  <si>
    <t>Verduci Editore</t>
  </si>
  <si>
    <t>E-flow PDF Verduci Editore</t>
  </si>
  <si>
    <t>Respiration</t>
  </si>
  <si>
    <t>00257931</t>
  </si>
  <si>
    <t>14230356</t>
  </si>
  <si>
    <t>Revue d'Epidemiologie et de Sante Publique</t>
  </si>
  <si>
    <t>03987620</t>
  </si>
  <si>
    <t>17730627</t>
  </si>
  <si>
    <t>Retina</t>
  </si>
  <si>
    <t>0275004X</t>
  </si>
  <si>
    <t>15392864</t>
  </si>
  <si>
    <t>Reumatismo</t>
  </si>
  <si>
    <t>00487449</t>
  </si>
  <si>
    <t>Rehabilitation Psychology</t>
  </si>
  <si>
    <t>00905550</t>
  </si>
  <si>
    <t>19391544</t>
  </si>
  <si>
    <t>Rheumatology International</t>
  </si>
  <si>
    <t>01728172</t>
  </si>
  <si>
    <t>1437160X</t>
  </si>
  <si>
    <t>Japanese Journal of Clinical Chemistry</t>
  </si>
  <si>
    <t>03705633</t>
  </si>
  <si>
    <t>Airi Publishing Co., Ltd</t>
  </si>
  <si>
    <t>Clinical Neurology</t>
  </si>
  <si>
    <t>0009918X</t>
  </si>
  <si>
    <t>Societas Neurologica Japonica</t>
  </si>
  <si>
    <t>Revue de Laryngologie Otologie Rhinologie</t>
  </si>
  <si>
    <t>00351334</t>
  </si>
  <si>
    <t>Revista Mexicana de Angiologia</t>
  </si>
  <si>
    <t>00377740</t>
  </si>
  <si>
    <t>Sociedad Mexicana de Angiologia y Cirugia Vascular</t>
  </si>
  <si>
    <t>Imbiomed</t>
  </si>
  <si>
    <t>Revista Mexicana de Anestesiologia</t>
  </si>
  <si>
    <t>01851012</t>
  </si>
  <si>
    <t>Colegio Mexicano de Anestesiologia A.C.</t>
  </si>
  <si>
    <t>Colegio Mexicano de Anestesiologia, A.C.</t>
  </si>
  <si>
    <t>Revue Medicale de Bruxelles</t>
  </si>
  <si>
    <t>00353639</t>
  </si>
  <si>
    <t>Bureau d'Information Medicale (A.M.U.B.) asbl</t>
  </si>
  <si>
    <t>Revista da Associacao Medica Brasileira</t>
  </si>
  <si>
    <t>01044230</t>
  </si>
  <si>
    <t>ENGL/PORT</t>
  </si>
  <si>
    <t>Revue de Medecine Interne</t>
  </si>
  <si>
    <t>02488663</t>
  </si>
  <si>
    <t>17683122</t>
  </si>
  <si>
    <t>Revue Medicale de Liege</t>
  </si>
  <si>
    <t>0370629X</t>
  </si>
  <si>
    <t>Revue des Maladies Respiratoires</t>
  </si>
  <si>
    <t>07618425</t>
  </si>
  <si>
    <t>17762588</t>
  </si>
  <si>
    <t>E-Flow Masson</t>
  </si>
  <si>
    <t>Reumatologia</t>
  </si>
  <si>
    <t>00346233</t>
  </si>
  <si>
    <t>Revista do Instituto de Medicina Tropical de Sao Paulo</t>
  </si>
  <si>
    <t>00364665</t>
  </si>
  <si>
    <t>16789946</t>
  </si>
  <si>
    <t>Instituto de Medicina Tropical de Sao Paulo</t>
  </si>
  <si>
    <t>Institute Med. Trop. Sao Paulo</t>
  </si>
  <si>
    <t>Revista Mexicana de Pediatria</t>
  </si>
  <si>
    <t>00350052</t>
  </si>
  <si>
    <t>Sociedad Mexicana de Pediatria</t>
  </si>
  <si>
    <t>Rassegna di Patologia dell'Apparato Respiratorio</t>
  </si>
  <si>
    <t>00339563</t>
  </si>
  <si>
    <t>EdiAipo Scientifica s.c.a.r.l</t>
  </si>
  <si>
    <t>E-flow PDF EdiAipo Scientificas.c.a.r.l</t>
  </si>
  <si>
    <t>Revista Portuguesa de Cardiologia</t>
  </si>
  <si>
    <t>08702551</t>
  </si>
  <si>
    <t>Sociedade Portuguesa de Cardiologia</t>
  </si>
  <si>
    <t>Radiation Physics and Chemistry</t>
  </si>
  <si>
    <t>0969806X</t>
  </si>
  <si>
    <t>18790895</t>
  </si>
  <si>
    <t>Revue de Pneumologie Clinique</t>
  </si>
  <si>
    <t>07618417</t>
  </si>
  <si>
    <t>17762561</t>
  </si>
  <si>
    <t>Recenti Progressi in Medicina</t>
  </si>
  <si>
    <t>00341193</t>
  </si>
  <si>
    <t>20381840</t>
  </si>
  <si>
    <t>Il Pensiero Scientifico Editore s.r.l.</t>
  </si>
  <si>
    <t>Rivista di Psichiatria</t>
  </si>
  <si>
    <t>00356484</t>
  </si>
  <si>
    <t>20382502</t>
  </si>
  <si>
    <t>Recent Results in Cancer Research</t>
  </si>
  <si>
    <t>00800015</t>
  </si>
  <si>
    <t>Revista da Sociedade Brasileira de Medicina Tropical</t>
  </si>
  <si>
    <t>00378682</t>
  </si>
  <si>
    <t>Sociedade Brasileira de Medicina Tropical</t>
  </si>
  <si>
    <t>Nucleo de Medicina Tropical e Nutricao</t>
  </si>
  <si>
    <t>Resuscitation</t>
  </si>
  <si>
    <t>03009572</t>
  </si>
  <si>
    <t>18731570</t>
  </si>
  <si>
    <t>Regulatory Toxicology and Pharmacology</t>
  </si>
  <si>
    <t>02732300</t>
  </si>
  <si>
    <t>10960295</t>
  </si>
  <si>
    <t>Revista de Neurologia</t>
  </si>
  <si>
    <t>02100010</t>
  </si>
  <si>
    <t>Research in Veterinary Science</t>
  </si>
  <si>
    <t>00345288</t>
  </si>
  <si>
    <t>15322661</t>
  </si>
  <si>
    <t>Seminars in Arthritis and Rheumatism</t>
  </si>
  <si>
    <t>00490172</t>
  </si>
  <si>
    <t>1532866X</t>
  </si>
  <si>
    <t>Systematic and Applied Microbiology</t>
  </si>
  <si>
    <t>07232020</t>
  </si>
  <si>
    <t>16180984</t>
  </si>
  <si>
    <t>South African Medical Journal</t>
  </si>
  <si>
    <t>02569574</t>
  </si>
  <si>
    <t>South African Medical Association</t>
  </si>
  <si>
    <t>ENGL/AFRK</t>
  </si>
  <si>
    <t>Saudi Medical Journal</t>
  </si>
  <si>
    <t>03795284</t>
  </si>
  <si>
    <t>16583175</t>
  </si>
  <si>
    <t>Saudi Arabian Armed Forces Hospital</t>
  </si>
  <si>
    <t>SAU</t>
  </si>
  <si>
    <t>Schweizer Archiv fur Neurologie und Psychiatrie</t>
  </si>
  <si>
    <t>02587661</t>
  </si>
  <si>
    <t>EMH Swiss Medical Publishers Ltd.</t>
  </si>
  <si>
    <t>Science</t>
  </si>
  <si>
    <t>00368075</t>
  </si>
  <si>
    <t>10959203</t>
  </si>
  <si>
    <t>American Association for the Advancement of Science</t>
  </si>
  <si>
    <t>Web Portal AAAS - American Association for the Advancement of Science</t>
  </si>
  <si>
    <t>Surgical Clinics of North America</t>
  </si>
  <si>
    <t>00396109</t>
  </si>
  <si>
    <t>15583171</t>
  </si>
  <si>
    <t>Scanning</t>
  </si>
  <si>
    <t>01610457</t>
  </si>
  <si>
    <t>19328745</t>
  </si>
  <si>
    <t>Scientia Pharmaceutica</t>
  </si>
  <si>
    <t>00368709</t>
  </si>
  <si>
    <t>22180532</t>
  </si>
  <si>
    <t>Osterreichische Apotheker-Verlagsgesellschaft m.b.H.</t>
  </si>
  <si>
    <t>Science and Sports</t>
  </si>
  <si>
    <t>07651597</t>
  </si>
  <si>
    <t>17784131</t>
  </si>
  <si>
    <t>Schizophrenia Bulletin</t>
  </si>
  <si>
    <t>05867614</t>
  </si>
  <si>
    <t>17451701</t>
  </si>
  <si>
    <t>Sexuality and Disability</t>
  </si>
  <si>
    <t>01461044</t>
  </si>
  <si>
    <t>15736717</t>
  </si>
  <si>
    <t>Seminars in Diagnostic Pathology</t>
  </si>
  <si>
    <t>07402570</t>
  </si>
  <si>
    <t>19301111</t>
  </si>
  <si>
    <t>Seminars in Hematology</t>
  </si>
  <si>
    <t>00371963</t>
  </si>
  <si>
    <t>15328686</t>
  </si>
  <si>
    <t>Congenital Anomalies</t>
  </si>
  <si>
    <t>09143505</t>
  </si>
  <si>
    <t>17414520</t>
  </si>
  <si>
    <t>Seminars in Hearing</t>
  </si>
  <si>
    <t>07340451</t>
  </si>
  <si>
    <t>10988955</t>
  </si>
  <si>
    <t>Seminars in Neurology</t>
  </si>
  <si>
    <t>02718235</t>
  </si>
  <si>
    <t>10989021</t>
  </si>
  <si>
    <t>Seminars in Perinatology</t>
  </si>
  <si>
    <t>01460005</t>
  </si>
  <si>
    <t>1558075X</t>
  </si>
  <si>
    <t>Seminars in Roentgenology</t>
  </si>
  <si>
    <t>0037198X</t>
  </si>
  <si>
    <t>15584658</t>
  </si>
  <si>
    <t>Neuro-Ophthalmology Japan</t>
  </si>
  <si>
    <t>02897024</t>
  </si>
  <si>
    <t>Neuro-Ophthalmology Society of Japan</t>
  </si>
  <si>
    <t>Neuro-Ophthalmol. Soc. Japan</t>
  </si>
  <si>
    <t>Japanese Journal of Medical Mycology</t>
  </si>
  <si>
    <t>09164804</t>
  </si>
  <si>
    <t>Japanese Society for Medical Mycology</t>
  </si>
  <si>
    <t>Singapore Medical Journal</t>
  </si>
  <si>
    <t>00375675</t>
  </si>
  <si>
    <t>Singapore Medical Association</t>
  </si>
  <si>
    <t>Seminars in Interventional Radiology</t>
  </si>
  <si>
    <t>07399529</t>
  </si>
  <si>
    <t>10988963</t>
  </si>
  <si>
    <t>Sapporo Medical journal</t>
  </si>
  <si>
    <t>0036472X</t>
  </si>
  <si>
    <t>Sapporo Medical University</t>
  </si>
  <si>
    <t>Stroke</t>
  </si>
  <si>
    <t>00392499</t>
  </si>
  <si>
    <t>15244628</t>
  </si>
  <si>
    <t>Scandinavian Journal of Clinical and Laboratory Investigation</t>
  </si>
  <si>
    <t>00365513</t>
  </si>
  <si>
    <t>15027686</t>
  </si>
  <si>
    <t>Scandinavian Journal of Gastroenterology</t>
  </si>
  <si>
    <t>00365521</t>
  </si>
  <si>
    <t>15027708</t>
  </si>
  <si>
    <t>Scandinavian Journal of Infectious Diseases</t>
  </si>
  <si>
    <t>00365548</t>
  </si>
  <si>
    <t>16511980</t>
  </si>
  <si>
    <t>Scandinavian Journal of Immunology</t>
  </si>
  <si>
    <t>03009475</t>
  </si>
  <si>
    <t>13653083</t>
  </si>
  <si>
    <t>Scandinavian Journal of Rheumatology</t>
  </si>
  <si>
    <t>03009742</t>
  </si>
  <si>
    <t>15027732</t>
  </si>
  <si>
    <t>Skin Cancer</t>
  </si>
  <si>
    <t>08712549</t>
  </si>
  <si>
    <t>Revismedica - Revistas Medicas e Congressos Lda.</t>
  </si>
  <si>
    <t>Revismedica - Revistas Medicas e Congressos, Lda.</t>
  </si>
  <si>
    <t>Annual Report of Shionogi Research Laboratory</t>
  </si>
  <si>
    <t>05598680</t>
  </si>
  <si>
    <t>Shionogi Co. Ltd</t>
  </si>
  <si>
    <t>Skeletal Radiology</t>
  </si>
  <si>
    <t>03642348</t>
  </si>
  <si>
    <t>14322161</t>
  </si>
  <si>
    <t>Seminars in Liver Disease</t>
  </si>
  <si>
    <t>02728087</t>
  </si>
  <si>
    <t>10988971</t>
  </si>
  <si>
    <t>Sleep</t>
  </si>
  <si>
    <t>01618105</t>
  </si>
  <si>
    <t>15509109</t>
  </si>
  <si>
    <t>Associated Professional Sleep Societies,LLC</t>
  </si>
  <si>
    <t>Scottish Medical Journal</t>
  </si>
  <si>
    <t>00369330</t>
  </si>
  <si>
    <t>Statistics in Medicine</t>
  </si>
  <si>
    <t>02776715</t>
  </si>
  <si>
    <t>10970258</t>
  </si>
  <si>
    <t>Southern Medical Journal</t>
  </si>
  <si>
    <t>00384348</t>
  </si>
  <si>
    <t>15418243</t>
  </si>
  <si>
    <t>Seminars in Nuclear Medicine</t>
  </si>
  <si>
    <t>00012998</t>
  </si>
  <si>
    <t>15584623</t>
  </si>
  <si>
    <t>Seminars in Oncology</t>
  </si>
  <si>
    <t>00937754</t>
  </si>
  <si>
    <t>Spine</t>
  </si>
  <si>
    <t>03622436</t>
  </si>
  <si>
    <t>15281159</t>
  </si>
  <si>
    <t>Surgical and Radiologic Anatomy</t>
  </si>
  <si>
    <t>09301038</t>
  </si>
  <si>
    <t>12798517</t>
  </si>
  <si>
    <t>Social Science and Medicine</t>
  </si>
  <si>
    <t>02779536</t>
  </si>
  <si>
    <t>18735347</t>
  </si>
  <si>
    <t>Steroids</t>
  </si>
  <si>
    <t>0039128X</t>
  </si>
  <si>
    <t>18785867</t>
  </si>
  <si>
    <t>Science of the Total Environment</t>
  </si>
  <si>
    <t>00489697</t>
  </si>
  <si>
    <t>18791026</t>
  </si>
  <si>
    <t>Seminars in Thrombosis and Hemostasis</t>
  </si>
  <si>
    <t>00946176</t>
  </si>
  <si>
    <t>10989064</t>
  </si>
  <si>
    <t>Ophthalmic Surgery Lasers and Imaging Retina</t>
  </si>
  <si>
    <t>23258160</t>
  </si>
  <si>
    <t>23258179</t>
  </si>
  <si>
    <t>Sexually Transmitted Diseases</t>
  </si>
  <si>
    <t>01485717</t>
  </si>
  <si>
    <t>15374521</t>
  </si>
  <si>
    <t>Seminars in Ultrasound, CT and MRI</t>
  </si>
  <si>
    <t>08872171</t>
  </si>
  <si>
    <t>15585034</t>
  </si>
  <si>
    <t>Survey of Ophthalmology</t>
  </si>
  <si>
    <t>00396257</t>
  </si>
  <si>
    <t>18793304</t>
  </si>
  <si>
    <t>Surgery (United States)</t>
  </si>
  <si>
    <t>00396060</t>
  </si>
  <si>
    <t>15327361</t>
  </si>
  <si>
    <t>Scandinavian Journal of Work, Environment and Health</t>
  </si>
  <si>
    <t>03553140</t>
  </si>
  <si>
    <t>1795990X</t>
  </si>
  <si>
    <t>Nordic Association of Occupational Safety and Health</t>
  </si>
  <si>
    <t>FIN</t>
  </si>
  <si>
    <t>Synthesis (Germany)</t>
  </si>
  <si>
    <t>00397881</t>
  </si>
  <si>
    <t>1437210X</t>
  </si>
  <si>
    <t>Oral Therapeutics and Pharmacology</t>
  </si>
  <si>
    <t>02881012</t>
  </si>
  <si>
    <t>Japanese Society of Oral Therapeutics and Pharmacology</t>
  </si>
  <si>
    <t>Transactions of the American Ophthalmological Society</t>
  </si>
  <si>
    <t>15456110</t>
  </si>
  <si>
    <t>American Ophthalmological Society</t>
  </si>
  <si>
    <t>Trends in Biochemical Sciences</t>
  </si>
  <si>
    <t>09680004</t>
  </si>
  <si>
    <t>Therapeutic Drug Monitoring</t>
  </si>
  <si>
    <t>01634356</t>
  </si>
  <si>
    <t>15363694</t>
  </si>
  <si>
    <t>Tumor Diagnostik und Therapie</t>
  </si>
  <si>
    <t>0722219X</t>
  </si>
  <si>
    <t>14391279</t>
  </si>
  <si>
    <t>Tetrahedron Letters</t>
  </si>
  <si>
    <t>00404039</t>
  </si>
  <si>
    <t>18733581</t>
  </si>
  <si>
    <t>Journal of the Japan Epilepsy Society</t>
  </si>
  <si>
    <t>09120890</t>
  </si>
  <si>
    <t>13475509</t>
  </si>
  <si>
    <t>Japan Epilepsy Society</t>
  </si>
  <si>
    <t>Tetrahedron</t>
  </si>
  <si>
    <t>00404020</t>
  </si>
  <si>
    <t>14645416</t>
  </si>
  <si>
    <t>Tijdschrift voor Geneeskunde</t>
  </si>
  <si>
    <t>0371683X</t>
  </si>
  <si>
    <t>Thrombosis Research</t>
  </si>
  <si>
    <t>00493848</t>
  </si>
  <si>
    <t>18792472</t>
  </si>
  <si>
    <t>Therapie</t>
  </si>
  <si>
    <t>00405957</t>
  </si>
  <si>
    <t>19585578</t>
  </si>
  <si>
    <t>EDP Sciences</t>
  </si>
  <si>
    <t>E-Flow EDP Sciences</t>
  </si>
  <si>
    <t>Thrombosis and Haemostasis</t>
  </si>
  <si>
    <t>03406245</t>
  </si>
  <si>
    <t>Texas Heart Institute Journal</t>
  </si>
  <si>
    <t>07302347</t>
  </si>
  <si>
    <t>15266702</t>
  </si>
  <si>
    <t>Texas Heart Institute</t>
  </si>
  <si>
    <t>Thorax</t>
  </si>
  <si>
    <t>00406376</t>
  </si>
  <si>
    <t>14683296</t>
  </si>
  <si>
    <t>Therapeutic Research</t>
  </si>
  <si>
    <t>02898020</t>
  </si>
  <si>
    <t>Life Science Publishing Co. Ltd</t>
  </si>
  <si>
    <t>Therapeutische Umschau</t>
  </si>
  <si>
    <t>00405930</t>
  </si>
  <si>
    <t>Tissue and Cell</t>
  </si>
  <si>
    <t>00408166</t>
  </si>
  <si>
    <t>15323072</t>
  </si>
  <si>
    <t>Toxicology and Industrial Health</t>
  </si>
  <si>
    <t>07482337</t>
  </si>
  <si>
    <t>14770393</t>
  </si>
  <si>
    <t>Tijdschrift voor Kindergeneeskunde</t>
  </si>
  <si>
    <t>03767442</t>
  </si>
  <si>
    <t>18756840</t>
  </si>
  <si>
    <t>Tohoku Journal of Experimental Medicine</t>
  </si>
  <si>
    <t>00408727</t>
  </si>
  <si>
    <t>13493329</t>
  </si>
  <si>
    <t>Tohoku University Medical Press</t>
  </si>
  <si>
    <t>Tokai Journal of Experimental and Clinical Medicine</t>
  </si>
  <si>
    <t>03850005</t>
  </si>
  <si>
    <t>21852243</t>
  </si>
  <si>
    <t>Tokai Medical Association</t>
  </si>
  <si>
    <t>Tokyo Jikeikai Medical Journal</t>
  </si>
  <si>
    <t>03759172</t>
  </si>
  <si>
    <t>Jikei University School of Medicine</t>
  </si>
  <si>
    <t>Turkish Journal of Pediatrics</t>
  </si>
  <si>
    <t>00414301</t>
  </si>
  <si>
    <t>Trends in Neurosciences</t>
  </si>
  <si>
    <t>01662236</t>
  </si>
  <si>
    <t>1878108X</t>
  </si>
  <si>
    <t>Toxicology Letters</t>
  </si>
  <si>
    <t>03784274</t>
  </si>
  <si>
    <t>18793169</t>
  </si>
  <si>
    <t>Toxicologic Pathology</t>
  </si>
  <si>
    <t>01926233</t>
  </si>
  <si>
    <t>15331601</t>
  </si>
  <si>
    <t>Toxicon</t>
  </si>
  <si>
    <t>00410101</t>
  </si>
  <si>
    <t>18793150</t>
  </si>
  <si>
    <t>Tropical Doctor</t>
  </si>
  <si>
    <t>00494755</t>
  </si>
  <si>
    <t>17581133</t>
  </si>
  <si>
    <t>Trends in Pharmacological Sciences</t>
  </si>
  <si>
    <t>01656147</t>
  </si>
  <si>
    <t>18733735</t>
  </si>
  <si>
    <t>Tijdschrift voor Psychiatrie</t>
  </si>
  <si>
    <t>03037339</t>
  </si>
  <si>
    <t>Uitgeverij Boom</t>
  </si>
  <si>
    <t>Transfusion</t>
  </si>
  <si>
    <t>00411132</t>
  </si>
  <si>
    <t>15372995</t>
  </si>
  <si>
    <t>Trends in Biotechnology</t>
  </si>
  <si>
    <t>01677799</t>
  </si>
  <si>
    <t>18793096</t>
  </si>
  <si>
    <t>Transplantation</t>
  </si>
  <si>
    <t>00411337</t>
  </si>
  <si>
    <t>Transplantation Proceedings</t>
  </si>
  <si>
    <t>00411345</t>
  </si>
  <si>
    <t>18732623</t>
  </si>
  <si>
    <t>Transactions of the Royal Society of Tropical Medicine and Hygiene</t>
  </si>
  <si>
    <t>00359203</t>
  </si>
  <si>
    <t>18783503</t>
  </si>
  <si>
    <t>Tissue Antigens</t>
  </si>
  <si>
    <t>00012815</t>
  </si>
  <si>
    <t>13990039</t>
  </si>
  <si>
    <t>Tunisie Medicale</t>
  </si>
  <si>
    <t>00414131</t>
  </si>
  <si>
    <t>Maison du Medicine</t>
  </si>
  <si>
    <t>Maison du Medecine</t>
  </si>
  <si>
    <t>TUN</t>
  </si>
  <si>
    <t>Tumori</t>
  </si>
  <si>
    <t>03008916</t>
  </si>
  <si>
    <t>20382529</t>
  </si>
  <si>
    <t>Tumor Research</t>
  </si>
  <si>
    <t>00414093</t>
  </si>
  <si>
    <t>Cancer Research Institute</t>
  </si>
  <si>
    <t>Thoracic and Cardiovascular Surgeon</t>
  </si>
  <si>
    <t>01716425</t>
  </si>
  <si>
    <t>14391902</t>
  </si>
  <si>
    <t>Toxicology and Applied Pharmacology</t>
  </si>
  <si>
    <t>0041008X</t>
  </si>
  <si>
    <t>10960333</t>
  </si>
  <si>
    <t>Toxicology</t>
  </si>
  <si>
    <t>0300483X</t>
  </si>
  <si>
    <t>18793185</t>
  </si>
  <si>
    <t>Urologic Clinics of North America</t>
  </si>
  <si>
    <t>00940143</t>
  </si>
  <si>
    <t>1558318X</t>
  </si>
  <si>
    <t>Ultramicroscopy</t>
  </si>
  <si>
    <t>03043991</t>
  </si>
  <si>
    <t>18792723</t>
  </si>
  <si>
    <t>Ulster Medical Journal</t>
  </si>
  <si>
    <t>00416193</t>
  </si>
  <si>
    <t>Ulster Medical Society</t>
  </si>
  <si>
    <t>Queen's University Medical Library</t>
  </si>
  <si>
    <t>Urologe - Ausgabe A</t>
  </si>
  <si>
    <t>03402592</t>
  </si>
  <si>
    <t>14330563</t>
  </si>
  <si>
    <t>Urology</t>
  </si>
  <si>
    <t>00904295</t>
  </si>
  <si>
    <t>15279995</t>
  </si>
  <si>
    <t>Urologia Internationalis</t>
  </si>
  <si>
    <t>00421138</t>
  </si>
  <si>
    <t>14230399</t>
  </si>
  <si>
    <t>Ultrasound in Medicine and Biology</t>
  </si>
  <si>
    <t>03015629</t>
  </si>
  <si>
    <t>1879291X</t>
  </si>
  <si>
    <t>Vaccine</t>
  </si>
  <si>
    <t>0264410X</t>
  </si>
  <si>
    <t>18732518</t>
  </si>
  <si>
    <t>Vasa - Journal of Vascular Diseases</t>
  </si>
  <si>
    <t>03011526</t>
  </si>
  <si>
    <t>Veterinary Clinics of North America - Small Animal Practice</t>
  </si>
  <si>
    <t>01955616</t>
  </si>
  <si>
    <t>18781306</t>
  </si>
  <si>
    <t>Veterinary Immunology and Immunopathology</t>
  </si>
  <si>
    <t>01652427</t>
  </si>
  <si>
    <t>18732534</t>
  </si>
  <si>
    <t>Virus Research</t>
  </si>
  <si>
    <t>01681702</t>
  </si>
  <si>
    <t>18727492</t>
  </si>
  <si>
    <t>Virology</t>
  </si>
  <si>
    <t>00426822</t>
  </si>
  <si>
    <t>10960341</t>
  </si>
  <si>
    <t>Vision Research</t>
  </si>
  <si>
    <t>00426989</t>
  </si>
  <si>
    <t>18785646</t>
  </si>
  <si>
    <t>Veterinary Microbiology</t>
  </si>
  <si>
    <t>03781135</t>
  </si>
  <si>
    <t>18732542</t>
  </si>
  <si>
    <t>Vnitrni Lekarstvi</t>
  </si>
  <si>
    <t>0042773X</t>
  </si>
  <si>
    <t>18017592</t>
  </si>
  <si>
    <t>Voprosy Onkologii</t>
  </si>
  <si>
    <t>05073758</t>
  </si>
  <si>
    <t>Izdatel'stvo Meditsina</t>
  </si>
  <si>
    <t>Ruslania</t>
  </si>
  <si>
    <t>RUS</t>
  </si>
  <si>
    <t>RUSS</t>
  </si>
  <si>
    <t>ENGL/RUSS</t>
  </si>
  <si>
    <t>Vox Sanguinis</t>
  </si>
  <si>
    <t>00429007</t>
  </si>
  <si>
    <t>14230410</t>
  </si>
  <si>
    <t>Veterinary Parasitology</t>
  </si>
  <si>
    <t>03044017</t>
  </si>
  <si>
    <t>18732550</t>
  </si>
  <si>
    <t>Veterinary Research Communications</t>
  </si>
  <si>
    <t>01657380</t>
  </si>
  <si>
    <t>15737446</t>
  </si>
  <si>
    <t>Vojnosanitetski Pregled</t>
  </si>
  <si>
    <t>00428450</t>
  </si>
  <si>
    <t>Institut za Vojnomedicinske Naucne Informacije/Documentaciju</t>
  </si>
  <si>
    <t>Institute for Milit. Med. Sci. Inform. and Documen.</t>
  </si>
  <si>
    <t>SRB</t>
  </si>
  <si>
    <t>SERB/ENGL</t>
  </si>
  <si>
    <t>ENGL/SERB</t>
  </si>
  <si>
    <t>Water, Air, and Soil Pollution</t>
  </si>
  <si>
    <t>00496979</t>
  </si>
  <si>
    <t>15732932</t>
  </si>
  <si>
    <t>Water Research</t>
  </si>
  <si>
    <t>00431354</t>
  </si>
  <si>
    <t>18792448</t>
  </si>
  <si>
    <t>World Health Organization - Technical Report Series</t>
  </si>
  <si>
    <t>05123054</t>
  </si>
  <si>
    <t>West Indian Medical Journal</t>
  </si>
  <si>
    <t>00433144</t>
  </si>
  <si>
    <t>University of the West Indies</t>
  </si>
  <si>
    <t>JAM</t>
  </si>
  <si>
    <t>Wiener Klinische Wochenschrift</t>
  </si>
  <si>
    <t>00435325</t>
  </si>
  <si>
    <t>16137671</t>
  </si>
  <si>
    <t>Waste Management and Research</t>
  </si>
  <si>
    <t>0734242X</t>
  </si>
  <si>
    <t>10963669</t>
  </si>
  <si>
    <t>Wisconsin Medical Journal</t>
  </si>
  <si>
    <t>10981861</t>
  </si>
  <si>
    <t>State Medical Society of Wisconsin</t>
  </si>
  <si>
    <t>Wiener Medizinische Wochenschrift</t>
  </si>
  <si>
    <t>00435341</t>
  </si>
  <si>
    <t>1563258X</t>
  </si>
  <si>
    <t>Water Science and Technology</t>
  </si>
  <si>
    <t>02731223</t>
  </si>
  <si>
    <t>IWA Publishing</t>
  </si>
  <si>
    <t>Xenobiotica</t>
  </si>
  <si>
    <t>00498254</t>
  </si>
  <si>
    <t>13665928</t>
  </si>
  <si>
    <t>Japanese Pharmacology and Therapeutics</t>
  </si>
  <si>
    <t>03863603</t>
  </si>
  <si>
    <t>Yale Journal of Biology and Medicine</t>
  </si>
  <si>
    <t>00440086</t>
  </si>
  <si>
    <t>Yale Journal of Biology and Medicine Inc.</t>
  </si>
  <si>
    <t>Yakugaku Zasshi</t>
  </si>
  <si>
    <t>00316903</t>
  </si>
  <si>
    <t>13475231</t>
  </si>
  <si>
    <t>Yonago Acta Medica</t>
  </si>
  <si>
    <t>05135710</t>
  </si>
  <si>
    <t>13468049</t>
  </si>
  <si>
    <t>Tottori University Faculty of Medicine</t>
  </si>
  <si>
    <t>Yonsei Medical Journal</t>
  </si>
  <si>
    <t>05135796</t>
  </si>
  <si>
    <t>Yonsei University College of Medicine</t>
  </si>
  <si>
    <t>Zeitschrift fur Allgemeinmedizin</t>
  </si>
  <si>
    <t>09376801</t>
  </si>
  <si>
    <t>14399229</t>
  </si>
  <si>
    <t>Deutscher Arzte-Verlag GmbH</t>
  </si>
  <si>
    <t>Zeitschrift fur Gastroenterologie</t>
  </si>
  <si>
    <t>00442771</t>
  </si>
  <si>
    <t>14397803</t>
  </si>
  <si>
    <t>Immunobiology</t>
  </si>
  <si>
    <t>01712985</t>
  </si>
  <si>
    <t>18783279</t>
  </si>
  <si>
    <t>Zeitschrift fur Phytotherapie</t>
  </si>
  <si>
    <t>0722348X</t>
  </si>
  <si>
    <t>14389584</t>
  </si>
  <si>
    <t>Zeitschrift fur Rheumatologie</t>
  </si>
  <si>
    <t>03401855</t>
  </si>
  <si>
    <t>14351250</t>
  </si>
  <si>
    <t>Chinese Journal of Biomedical Engineering</t>
  </si>
  <si>
    <t>02588021</t>
  </si>
  <si>
    <t>Chinese Soc. Biomedical Engineering</t>
  </si>
  <si>
    <t>Chinese Journal of Clinical Oncology</t>
  </si>
  <si>
    <t>10008179</t>
  </si>
  <si>
    <t>China Anti-Cancer Association</t>
  </si>
  <si>
    <t>Biosensors</t>
  </si>
  <si>
    <t>20796374</t>
  </si>
  <si>
    <t>MDPI AG</t>
  </si>
  <si>
    <t>Biomedical Chromatography</t>
  </si>
  <si>
    <t>02693879</t>
  </si>
  <si>
    <t>10990801</t>
  </si>
  <si>
    <t>Toxicology in Vitro</t>
  </si>
  <si>
    <t>08872333</t>
  </si>
  <si>
    <t>18793177</t>
  </si>
  <si>
    <t>Current Problems in Cardiology</t>
  </si>
  <si>
    <t>01462806</t>
  </si>
  <si>
    <t>15356280</t>
  </si>
  <si>
    <t>Current Problems in Diagnostic Radiology</t>
  </si>
  <si>
    <t>03630188</t>
  </si>
  <si>
    <t>15356302</t>
  </si>
  <si>
    <t>Metabolic Brain Disease</t>
  </si>
  <si>
    <t>08857490</t>
  </si>
  <si>
    <t>15737365</t>
  </si>
  <si>
    <t>Clinics in Sports Medicine</t>
  </si>
  <si>
    <t>02785919</t>
  </si>
  <si>
    <t>1556228X</t>
  </si>
  <si>
    <t>Journal of Pharmacy Technology</t>
  </si>
  <si>
    <t>87551225</t>
  </si>
  <si>
    <t>15494810</t>
  </si>
  <si>
    <t>EMBO Journal</t>
  </si>
  <si>
    <t>02614189</t>
  </si>
  <si>
    <t>14602075</t>
  </si>
  <si>
    <t>International Journal of Technology Assessment in Health Care</t>
  </si>
  <si>
    <t>02664623</t>
  </si>
  <si>
    <t>14716348</t>
  </si>
  <si>
    <t>Molecular Endocrinology</t>
  </si>
  <si>
    <t>08888809</t>
  </si>
  <si>
    <t>Leukemia</t>
  </si>
  <si>
    <t>08876924</t>
  </si>
  <si>
    <t>14765551</t>
  </si>
  <si>
    <t>Lasers in Medical Science</t>
  </si>
  <si>
    <t>02688921</t>
  </si>
  <si>
    <t>1435604X</t>
  </si>
  <si>
    <t>Free Radical Biology and Medicine</t>
  </si>
  <si>
    <t>08915849</t>
  </si>
  <si>
    <t>18734596</t>
  </si>
  <si>
    <t>Indian Journal of Clinical Biochemistry</t>
  </si>
  <si>
    <t>09701915</t>
  </si>
  <si>
    <t>09740422</t>
  </si>
  <si>
    <t>Pancreas</t>
  </si>
  <si>
    <t>08853177</t>
  </si>
  <si>
    <t>15364828</t>
  </si>
  <si>
    <t>Indian Journal of Medical Microbiology</t>
  </si>
  <si>
    <t>02550857</t>
  </si>
  <si>
    <t>19983646</t>
  </si>
  <si>
    <t>Pediatric Neurology</t>
  </si>
  <si>
    <t>08878994</t>
  </si>
  <si>
    <t>18735150</t>
  </si>
  <si>
    <t>Pediatric Hematology and Oncology</t>
  </si>
  <si>
    <t>08880018</t>
  </si>
  <si>
    <t>15210669</t>
  </si>
  <si>
    <t>Strahlentherapie und Onkologie</t>
  </si>
  <si>
    <t>01797158</t>
  </si>
  <si>
    <t>1439099X</t>
  </si>
  <si>
    <t>Milbank Quarterly</t>
  </si>
  <si>
    <t>0887378X</t>
  </si>
  <si>
    <t>14680009</t>
  </si>
  <si>
    <t>Journal of Anxiety Disorders</t>
  </si>
  <si>
    <t>08876185</t>
  </si>
  <si>
    <t>18737897</t>
  </si>
  <si>
    <t>Child Abuse and Neglect</t>
  </si>
  <si>
    <t>01452134</t>
  </si>
  <si>
    <t>18737757</t>
  </si>
  <si>
    <t>Synapse</t>
  </si>
  <si>
    <t>08874476</t>
  </si>
  <si>
    <t>10982396</t>
  </si>
  <si>
    <t>Pediatric Nephrology</t>
  </si>
  <si>
    <t>0931041X</t>
  </si>
  <si>
    <t>1432198X</t>
  </si>
  <si>
    <t>Transfusion Medicine Reviews</t>
  </si>
  <si>
    <t>08877963</t>
  </si>
  <si>
    <t>15329496</t>
  </si>
  <si>
    <t>Perfusion (United Kingdom)</t>
  </si>
  <si>
    <t>02676591</t>
  </si>
  <si>
    <t>1477111X</t>
  </si>
  <si>
    <t>Journal of Thoracic Imaging</t>
  </si>
  <si>
    <t>08835993</t>
  </si>
  <si>
    <t>15360237</t>
  </si>
  <si>
    <t>Journal of Human Hypertension</t>
  </si>
  <si>
    <t>09509240</t>
  </si>
  <si>
    <t>14765527</t>
  </si>
  <si>
    <t>Oncogene</t>
  </si>
  <si>
    <t>09509232</t>
  </si>
  <si>
    <t>14765594</t>
  </si>
  <si>
    <t>Aphasiology</t>
  </si>
  <si>
    <t>02687038</t>
  </si>
  <si>
    <t>14645041</t>
  </si>
  <si>
    <t>Topics in Geriatric Rehabilitation</t>
  </si>
  <si>
    <t>08827524</t>
  </si>
  <si>
    <t>Cardiovascular Drugs and Therapy</t>
  </si>
  <si>
    <t>09203206</t>
  </si>
  <si>
    <t>15737241</t>
  </si>
  <si>
    <t>AIDS</t>
  </si>
  <si>
    <t>02699370</t>
  </si>
  <si>
    <t>14735571</t>
  </si>
  <si>
    <t>International Journal of Colorectal Disease</t>
  </si>
  <si>
    <t>01791958</t>
  </si>
  <si>
    <t>14321262</t>
  </si>
  <si>
    <t>Journal of Critical Care</t>
  </si>
  <si>
    <t>08839441</t>
  </si>
  <si>
    <t>15578615</t>
  </si>
  <si>
    <t>Functional Neurology</t>
  </si>
  <si>
    <t>03935264</t>
  </si>
  <si>
    <t>19713274</t>
  </si>
  <si>
    <t>Journal of General Internal Medicine</t>
  </si>
  <si>
    <t>08848734</t>
  </si>
  <si>
    <t>15251497</t>
  </si>
  <si>
    <t>Techniques in Orthopaedics</t>
  </si>
  <si>
    <t>08859698</t>
  </si>
  <si>
    <t>Lung Cancer</t>
  </si>
  <si>
    <t>01695002</t>
  </si>
  <si>
    <t>18728332</t>
  </si>
  <si>
    <t>Bone Marrow Transplantation</t>
  </si>
  <si>
    <t>02683369</t>
  </si>
  <si>
    <t>14765365</t>
  </si>
  <si>
    <t>Journal of Cardiac Surgery</t>
  </si>
  <si>
    <t>08860440</t>
  </si>
  <si>
    <t>15408191</t>
  </si>
  <si>
    <t>Medical Journal of Minami Osaka Hospital</t>
  </si>
  <si>
    <t>05401259</t>
  </si>
  <si>
    <t>Minami Osaka Hospital</t>
  </si>
  <si>
    <t>Genes and Development</t>
  </si>
  <si>
    <t>08909369</t>
  </si>
  <si>
    <t>15495477</t>
  </si>
  <si>
    <t>Fundamental and Clinical Pharmacology</t>
  </si>
  <si>
    <t>07673981</t>
  </si>
  <si>
    <t>14728206</t>
  </si>
  <si>
    <t>European Journal of Plastic Surgery</t>
  </si>
  <si>
    <t>0930343X</t>
  </si>
  <si>
    <t>14350130</t>
  </si>
  <si>
    <t>Trends in Genetics</t>
  </si>
  <si>
    <t>01689525</t>
  </si>
  <si>
    <t>Journal of Cognitive Psychotherapy</t>
  </si>
  <si>
    <t>08898391</t>
  </si>
  <si>
    <t>Springer Publishing Company</t>
  </si>
  <si>
    <t>E-flow Springer Publishing Company</t>
  </si>
  <si>
    <t>Japanese Journal of Clinical Pharmacology and Therapeutics</t>
  </si>
  <si>
    <t>03881601</t>
  </si>
  <si>
    <t>18828272</t>
  </si>
  <si>
    <t>Japanese Society of Clinical Pharmacology and Therapeutics</t>
  </si>
  <si>
    <t>Japanese Soc. of Clin. Pharm. and Therap.</t>
  </si>
  <si>
    <t>European Journal of Psychiatry</t>
  </si>
  <si>
    <t>02136163</t>
  </si>
  <si>
    <t>University of Zaragoza</t>
  </si>
  <si>
    <t>Medicina Intensiva</t>
  </si>
  <si>
    <t>02105691</t>
  </si>
  <si>
    <t>15786749</t>
  </si>
  <si>
    <t>Epilepsy Research</t>
  </si>
  <si>
    <t>09201211</t>
  </si>
  <si>
    <t>18726844</t>
  </si>
  <si>
    <t>Journal of Head Trauma Rehabilitation</t>
  </si>
  <si>
    <t>08859701</t>
  </si>
  <si>
    <t>1550509X</t>
  </si>
  <si>
    <t>Reviews in the Neurosciences</t>
  </si>
  <si>
    <t>03341763</t>
  </si>
  <si>
    <t>Parasitology Research</t>
  </si>
  <si>
    <t>09320113</t>
  </si>
  <si>
    <t>14321955</t>
  </si>
  <si>
    <t>Renal Failure</t>
  </si>
  <si>
    <t>0886022X</t>
  </si>
  <si>
    <t>15256049</t>
  </si>
  <si>
    <t>Canadian Journal of Anesthesia</t>
  </si>
  <si>
    <t>0832610X</t>
  </si>
  <si>
    <t>14968975</t>
  </si>
  <si>
    <t>Journal of the American Academy of Child and Adolescent Psychiatry</t>
  </si>
  <si>
    <t>08908567</t>
  </si>
  <si>
    <t>15275418</t>
  </si>
  <si>
    <t>Development (Cambridge)</t>
  </si>
  <si>
    <t>09501991</t>
  </si>
  <si>
    <t>14779129</t>
  </si>
  <si>
    <t>Environmental Pollution</t>
  </si>
  <si>
    <t>02697491</t>
  </si>
  <si>
    <t>18736424</t>
  </si>
  <si>
    <t>Chemometrics and Intelligent Laboratory Systems</t>
  </si>
  <si>
    <t>01697439</t>
  </si>
  <si>
    <t>18733239</t>
  </si>
  <si>
    <t>Canadian Family Physician</t>
  </si>
  <si>
    <t>0008350X</t>
  </si>
  <si>
    <t>College of Family Physicians of Canada</t>
  </si>
  <si>
    <t>Viral Immunology</t>
  </si>
  <si>
    <t>08828245</t>
  </si>
  <si>
    <t>15578976</t>
  </si>
  <si>
    <t>Mary Ann Liebert Inc.</t>
  </si>
  <si>
    <t>E-flow Mary Ann Liebert</t>
  </si>
  <si>
    <t>AIDS Research and Human Retroviruses</t>
  </si>
  <si>
    <t>08892229</t>
  </si>
  <si>
    <t>19318405</t>
  </si>
  <si>
    <t>Nephrology Dialysis Transplantation</t>
  </si>
  <si>
    <t>09310509</t>
  </si>
  <si>
    <t>14602385</t>
  </si>
  <si>
    <t>Molecular Microbiology</t>
  </si>
  <si>
    <t>0950382X</t>
  </si>
  <si>
    <t>13652958</t>
  </si>
  <si>
    <t>Immunologiya</t>
  </si>
  <si>
    <t>02064952</t>
  </si>
  <si>
    <t>Meditsina Publishers</t>
  </si>
  <si>
    <t>Equilibrium Research</t>
  </si>
  <si>
    <t>03855716</t>
  </si>
  <si>
    <t>Japan Society for Equilibrium Research</t>
  </si>
  <si>
    <t>Huisarts en Wetenschap</t>
  </si>
  <si>
    <t>00187070</t>
  </si>
  <si>
    <t>18765912</t>
  </si>
  <si>
    <t>ENGL/DUTC</t>
  </si>
  <si>
    <t>Pediatric Infectious Disease Journal</t>
  </si>
  <si>
    <t>08913668</t>
  </si>
  <si>
    <t>15320987</t>
  </si>
  <si>
    <t>Journal of Clinical Pharmacy and Therapeutics</t>
  </si>
  <si>
    <t>02694727</t>
  </si>
  <si>
    <t>13652710</t>
  </si>
  <si>
    <t>International Immunology</t>
  </si>
  <si>
    <t>09538178</t>
  </si>
  <si>
    <t>14602377</t>
  </si>
  <si>
    <t>In Vivo</t>
  </si>
  <si>
    <t>0258851X</t>
  </si>
  <si>
    <t>17917549</t>
  </si>
  <si>
    <t>European Journal of Physiotherapy</t>
  </si>
  <si>
    <t>21679169</t>
  </si>
  <si>
    <t>21679177</t>
  </si>
  <si>
    <t>Journal of Fluency Disorders</t>
  </si>
  <si>
    <t>0094730X</t>
  </si>
  <si>
    <t>1873801X</t>
  </si>
  <si>
    <t>Artificial Cells, Nanomedicine and Biotechnology</t>
  </si>
  <si>
    <t>21691401</t>
  </si>
  <si>
    <t>2169141X</t>
  </si>
  <si>
    <t>Current Opinion in Cardiology</t>
  </si>
  <si>
    <t>02684705</t>
  </si>
  <si>
    <t>15317080</t>
  </si>
  <si>
    <t>International Reviews of Immunology</t>
  </si>
  <si>
    <t>08830185</t>
  </si>
  <si>
    <t>15635244</t>
  </si>
  <si>
    <t>Enfermedades Infecciosas y Microbiologia Clinica</t>
  </si>
  <si>
    <t>0213005X</t>
  </si>
  <si>
    <t>15781852</t>
  </si>
  <si>
    <t>Dysphagia</t>
  </si>
  <si>
    <t>0179051X</t>
  </si>
  <si>
    <t>14320460</t>
  </si>
  <si>
    <t>Critical Care Nursing Quarterly</t>
  </si>
  <si>
    <t>08879303</t>
  </si>
  <si>
    <t>15505111</t>
  </si>
  <si>
    <t>European Journal of Haematology</t>
  </si>
  <si>
    <t>09024441</t>
  </si>
  <si>
    <t>16000609</t>
  </si>
  <si>
    <t>Eye (Basingstoke)</t>
  </si>
  <si>
    <t>0950222X</t>
  </si>
  <si>
    <t>14765454</t>
  </si>
  <si>
    <t>Journal of Cranio-Maxillofacial Surgery</t>
  </si>
  <si>
    <t>10105182</t>
  </si>
  <si>
    <t>18784119</t>
  </si>
  <si>
    <t>Epidemiology and Infection</t>
  </si>
  <si>
    <t>09502688</t>
  </si>
  <si>
    <t>14694409</t>
  </si>
  <si>
    <t>Advanced Drug Delivery Reviews</t>
  </si>
  <si>
    <t>0169409X</t>
  </si>
  <si>
    <t>18728294</t>
  </si>
  <si>
    <t>Immunopharmacology and Immunotoxicology</t>
  </si>
  <si>
    <t>08923973</t>
  </si>
  <si>
    <t>15322513</t>
  </si>
  <si>
    <t>Immunology and Cell Biology</t>
  </si>
  <si>
    <t>08189641</t>
  </si>
  <si>
    <t>14401711</t>
  </si>
  <si>
    <t>Acta Cardiologica Sinica</t>
  </si>
  <si>
    <t>10116842</t>
  </si>
  <si>
    <t>Republic of China Society of Cardiology</t>
  </si>
  <si>
    <t>CHIN/ENGL</t>
  </si>
  <si>
    <t>Tumor Biology</t>
  </si>
  <si>
    <t>10104283</t>
  </si>
  <si>
    <t>14230380</t>
  </si>
  <si>
    <t>NCRP Report</t>
  </si>
  <si>
    <t>0083209X</t>
  </si>
  <si>
    <t>National Council Radiation Protection and Measurements</t>
  </si>
  <si>
    <t>National Counc. on Rad. Prot. and Measurements</t>
  </si>
  <si>
    <t>Acta Radiologica</t>
  </si>
  <si>
    <t>02841851</t>
  </si>
  <si>
    <t>16000455</t>
  </si>
  <si>
    <t>Acta Oncologica</t>
  </si>
  <si>
    <t>0284186X</t>
  </si>
  <si>
    <t>1651226X</t>
  </si>
  <si>
    <t>Journal of Medical Colleges of PLA</t>
  </si>
  <si>
    <t>10001948</t>
  </si>
  <si>
    <t>18764797</t>
  </si>
  <si>
    <t>Environmental and Molecular Mutagenesis</t>
  </si>
  <si>
    <t>08936692</t>
  </si>
  <si>
    <t>10982280</t>
  </si>
  <si>
    <t>Journal of Orthomolecular Medicine</t>
  </si>
  <si>
    <t>03170209</t>
  </si>
  <si>
    <t>International Society for Orthomolecular Medicine</t>
  </si>
  <si>
    <t>Autoimmunity</t>
  </si>
  <si>
    <t>08916934</t>
  </si>
  <si>
    <t>1607842X</t>
  </si>
  <si>
    <t>Neurotoxicology and Teratology</t>
  </si>
  <si>
    <t>08920362</t>
  </si>
  <si>
    <t>18729738</t>
  </si>
  <si>
    <t>Current Opinion in Gastroenterology</t>
  </si>
  <si>
    <t>02671379</t>
  </si>
  <si>
    <t>15317056</t>
  </si>
  <si>
    <t>Research in Developmental Disabilities</t>
  </si>
  <si>
    <t>08914222</t>
  </si>
  <si>
    <t>18733379</t>
  </si>
  <si>
    <t>Nouvelles Dermatologiques</t>
  </si>
  <si>
    <t>07525370</t>
  </si>
  <si>
    <t>Les Nouvelles Dermatologiques</t>
  </si>
  <si>
    <t>E-flow PDF Les Nouvelles Dermatologiques</t>
  </si>
  <si>
    <t>Nutrition</t>
  </si>
  <si>
    <t>08999007</t>
  </si>
  <si>
    <t>18731244</t>
  </si>
  <si>
    <t>Paediatric and Perinatal Epidemiology</t>
  </si>
  <si>
    <t>02695022</t>
  </si>
  <si>
    <t>13653016</t>
  </si>
  <si>
    <t>Breast Disease</t>
  </si>
  <si>
    <t>08886008</t>
  </si>
  <si>
    <t>15581551</t>
  </si>
  <si>
    <t>Journal of Bone and Mineral Research</t>
  </si>
  <si>
    <t>08840431</t>
  </si>
  <si>
    <t>15234681</t>
  </si>
  <si>
    <t>Deutsche Zeitschrift fur Onkologie</t>
  </si>
  <si>
    <t>16175891</t>
  </si>
  <si>
    <t>14390930</t>
  </si>
  <si>
    <t>MVS Medizinverlage Stuttgart</t>
  </si>
  <si>
    <t>Critical Reviews in Neurobiology</t>
  </si>
  <si>
    <t>08920915</t>
  </si>
  <si>
    <t>FASEB Journal</t>
  </si>
  <si>
    <t>15306860</t>
  </si>
  <si>
    <t>FASEB</t>
  </si>
  <si>
    <t>Journal of Bioactive and Compatible Polymers</t>
  </si>
  <si>
    <t>08839115</t>
  </si>
  <si>
    <t>15308030</t>
  </si>
  <si>
    <t>International Pediatrics</t>
  </si>
  <si>
    <t>08856265</t>
  </si>
  <si>
    <t>Miami Children's Hospital Medical Journal Inc.</t>
  </si>
  <si>
    <t>International Journal of Geriatric Psychiatry</t>
  </si>
  <si>
    <t>08856230</t>
  </si>
  <si>
    <t>10991166</t>
  </si>
  <si>
    <t>Archives of Gynecology and Obstetrics</t>
  </si>
  <si>
    <t>09320067</t>
  </si>
  <si>
    <t>14320711</t>
  </si>
  <si>
    <t>Neurophysiologie Clinique</t>
  </si>
  <si>
    <t>09877053</t>
  </si>
  <si>
    <t>17697131</t>
  </si>
  <si>
    <t>Blood Reviews</t>
  </si>
  <si>
    <t>0268960X</t>
  </si>
  <si>
    <t>15321681</t>
  </si>
  <si>
    <t>Revista de Investigacion Clinica</t>
  </si>
  <si>
    <t>00348376</t>
  </si>
  <si>
    <t>Instituto Nacional de la Nutricion Salvador Zubiran</t>
  </si>
  <si>
    <t>European Respiratory Journal</t>
  </si>
  <si>
    <t>09031936</t>
  </si>
  <si>
    <t>13993003</t>
  </si>
  <si>
    <t>European Respiratory Society</t>
  </si>
  <si>
    <t>APMIS</t>
  </si>
  <si>
    <t>09034641</t>
  </si>
  <si>
    <t>16000463</t>
  </si>
  <si>
    <t>Journal of Voice</t>
  </si>
  <si>
    <t>08921997</t>
  </si>
  <si>
    <t>18734588</t>
  </si>
  <si>
    <t>Journal of Nippon Medical School</t>
  </si>
  <si>
    <t>13454676</t>
  </si>
  <si>
    <t>13473409</t>
  </si>
  <si>
    <t>Medical Association of Nippon Medical School</t>
  </si>
  <si>
    <t>British Journal of Neurosurgery</t>
  </si>
  <si>
    <t>02688697</t>
  </si>
  <si>
    <t>1360046X</t>
  </si>
  <si>
    <t>Journal of Clinical Epidemiology</t>
  </si>
  <si>
    <t>08954356</t>
  </si>
  <si>
    <t>18785921</t>
  </si>
  <si>
    <t>Annals of Nuclear Medicine</t>
  </si>
  <si>
    <t>09147187</t>
  </si>
  <si>
    <t>18646433</t>
  </si>
  <si>
    <t>Brain Injury</t>
  </si>
  <si>
    <t>02699052</t>
  </si>
  <si>
    <t>1362301X</t>
  </si>
  <si>
    <t>Chinese Journal of Pharmacology and Toxicology</t>
  </si>
  <si>
    <t>10003002</t>
  </si>
  <si>
    <t>Endocrinology and Metabolism Clinics of North America</t>
  </si>
  <si>
    <t>08898529</t>
  </si>
  <si>
    <t>15584410</t>
  </si>
  <si>
    <t>Gastroenterology Clinics of North America</t>
  </si>
  <si>
    <t>08898553</t>
  </si>
  <si>
    <t>15581942</t>
  </si>
  <si>
    <t>Hematology/Oncology Clinics of North America</t>
  </si>
  <si>
    <t>08898588</t>
  </si>
  <si>
    <t>15581977</t>
  </si>
  <si>
    <t>Immunology and Allergy Clinics of North America</t>
  </si>
  <si>
    <t>08898561</t>
  </si>
  <si>
    <t>15578607</t>
  </si>
  <si>
    <t>Obstetrics and Gynecology Clinics of North America</t>
  </si>
  <si>
    <t>08898545</t>
  </si>
  <si>
    <t>15580474</t>
  </si>
  <si>
    <t>Rheumatic Disease Clinics of North America</t>
  </si>
  <si>
    <t>0889857X</t>
  </si>
  <si>
    <t>15583163</t>
  </si>
  <si>
    <t>Revista Espanola de Quimioterapia</t>
  </si>
  <si>
    <t>02143429</t>
  </si>
  <si>
    <t>Sociedad Espanola de Quiminoterapia</t>
  </si>
  <si>
    <t>E-flow PDF Sociedad Espanola de Quiminoterapia</t>
  </si>
  <si>
    <t>Acta Medica Iranica</t>
  </si>
  <si>
    <t>00446025</t>
  </si>
  <si>
    <t>17359694</t>
  </si>
  <si>
    <t>Medical Sciences University of Teheran</t>
  </si>
  <si>
    <t>Tehran University of Medical Sciences</t>
  </si>
  <si>
    <t>Clinical Kinesiology</t>
  </si>
  <si>
    <t>08969620</t>
  </si>
  <si>
    <t>Turnkey Publishing Inc.</t>
  </si>
  <si>
    <t>Alzheimer Disease and Associated Disorders</t>
  </si>
  <si>
    <t>08930341</t>
  </si>
  <si>
    <t>Clinical Microbiology Reviews</t>
  </si>
  <si>
    <t>08938512</t>
  </si>
  <si>
    <t>10986618</t>
  </si>
  <si>
    <t>Phytotherapy Research</t>
  </si>
  <si>
    <t>0951418X</t>
  </si>
  <si>
    <t>10991573</t>
  </si>
  <si>
    <t>Canadian Journal of Gastroenterology</t>
  </si>
  <si>
    <t>08357900</t>
  </si>
  <si>
    <t>Human Psychopharmacology</t>
  </si>
  <si>
    <t>08856222</t>
  </si>
  <si>
    <t>10991077</t>
  </si>
  <si>
    <t>Yeast</t>
  </si>
  <si>
    <t>0749503X</t>
  </si>
  <si>
    <t>10970061</t>
  </si>
  <si>
    <t>Impegno Ospedaliero, Sezione Scientifica</t>
  </si>
  <si>
    <t>03930394</t>
  </si>
  <si>
    <t>A.N.M.I.R.S.</t>
  </si>
  <si>
    <t>Psihoterapija</t>
  </si>
  <si>
    <t>03503186</t>
  </si>
  <si>
    <t>Klinika za Psiholosku Medicinu</t>
  </si>
  <si>
    <t>Giornale Italiano di Farmacia Clinica</t>
  </si>
  <si>
    <t>11203749</t>
  </si>
  <si>
    <t>Journal of Cardiology</t>
  </si>
  <si>
    <t>09145087</t>
  </si>
  <si>
    <t>18764738</t>
  </si>
  <si>
    <t>Japanese College of Cardiology (Nippon-Sinzobyo-Gakkai)</t>
  </si>
  <si>
    <t>Physica Medica</t>
  </si>
  <si>
    <t>11201797</t>
  </si>
  <si>
    <t>1724191X</t>
  </si>
  <si>
    <t>Associazione Italiana di Fisica Medica</t>
  </si>
  <si>
    <t>Epilepsies</t>
  </si>
  <si>
    <t>11496576</t>
  </si>
  <si>
    <t>19506937</t>
  </si>
  <si>
    <t>European Journal of Clinical Nutrition</t>
  </si>
  <si>
    <t>09543007</t>
  </si>
  <si>
    <t>14765640</t>
  </si>
  <si>
    <t>Resources, Conservation and Recycling</t>
  </si>
  <si>
    <t>09213449</t>
  </si>
  <si>
    <t>18790658</t>
  </si>
  <si>
    <t>Computerized Medical Imaging and Graphics</t>
  </si>
  <si>
    <t>08956111</t>
  </si>
  <si>
    <t>18790771</t>
  </si>
  <si>
    <t>Chemical Research in Toxicology</t>
  </si>
  <si>
    <t>0893228X</t>
  </si>
  <si>
    <t>15205010</t>
  </si>
  <si>
    <t>BioFactors</t>
  </si>
  <si>
    <t>09516433</t>
  </si>
  <si>
    <t>18728081</t>
  </si>
  <si>
    <t>Schizophrenia Research</t>
  </si>
  <si>
    <t>09209964</t>
  </si>
  <si>
    <t>15732509</t>
  </si>
  <si>
    <t>Journal of Psychopharmacology</t>
  </si>
  <si>
    <t>02698811</t>
  </si>
  <si>
    <t>14617285</t>
  </si>
  <si>
    <t>Journal of Psychophysiology</t>
  </si>
  <si>
    <t>02698803</t>
  </si>
  <si>
    <t>21512124</t>
  </si>
  <si>
    <t>Hogrefe Publishing</t>
  </si>
  <si>
    <t>Journal of Reproductive and Infant Psychology</t>
  </si>
  <si>
    <t>02646838</t>
  </si>
  <si>
    <t>1469672X</t>
  </si>
  <si>
    <t>American Journal of Hypertension</t>
  </si>
  <si>
    <t>08957061</t>
  </si>
  <si>
    <t>19417225</t>
  </si>
  <si>
    <t>Journal of Gastroenterology and Hepatology (Australia)</t>
  </si>
  <si>
    <t>08159319</t>
  </si>
  <si>
    <t>14401746</t>
  </si>
  <si>
    <t>Annals of Medicine</t>
  </si>
  <si>
    <t>07853890</t>
  </si>
  <si>
    <t>13652060</t>
  </si>
  <si>
    <t>Yaoxue Xuebao</t>
  </si>
  <si>
    <t>05134870</t>
  </si>
  <si>
    <t>Zhonghua Yixuehui Zazhishe</t>
  </si>
  <si>
    <t>Journal of Chemical Neuroanatomy</t>
  </si>
  <si>
    <t>08910618</t>
  </si>
  <si>
    <t>18736300</t>
  </si>
  <si>
    <t>Behavioral Medicine</t>
  </si>
  <si>
    <t>08964289</t>
  </si>
  <si>
    <t>19404026</t>
  </si>
  <si>
    <t>Journal of Manipulative and Physiological Therapeutics</t>
  </si>
  <si>
    <t>01614754</t>
  </si>
  <si>
    <t>15326586</t>
  </si>
  <si>
    <t>Journal of Biological Regulators and Homeostatic Agents</t>
  </si>
  <si>
    <t>0393974X</t>
  </si>
  <si>
    <t>Biolife s.a.s.</t>
  </si>
  <si>
    <t>Biolife s.a.s</t>
  </si>
  <si>
    <t>Mycoses</t>
  </si>
  <si>
    <t>09337407</t>
  </si>
  <si>
    <t>14390507</t>
  </si>
  <si>
    <t>European Journal of Clinical Microbiology and Infectious Diseases</t>
  </si>
  <si>
    <t>09349723</t>
  </si>
  <si>
    <t>14354373</t>
  </si>
  <si>
    <t>Journal of Contaminant Hydrology</t>
  </si>
  <si>
    <t>01697722</t>
  </si>
  <si>
    <t>18736009</t>
  </si>
  <si>
    <t>International Journal of Biological Markers</t>
  </si>
  <si>
    <t>03936155</t>
  </si>
  <si>
    <t>17246008</t>
  </si>
  <si>
    <t>Inmunologia</t>
  </si>
  <si>
    <t>02139626</t>
  </si>
  <si>
    <t>Elsevier Masson s.r.l.</t>
  </si>
  <si>
    <t>National Medical Journal of India</t>
  </si>
  <si>
    <t>0970258X</t>
  </si>
  <si>
    <t>E-flow PDF All India Institute of Medical Sciences.</t>
  </si>
  <si>
    <t>Diseases of the Esophagus</t>
  </si>
  <si>
    <t>11208694</t>
  </si>
  <si>
    <t>14422050</t>
  </si>
  <si>
    <t>Health Services Management Research</t>
  </si>
  <si>
    <t>09514848</t>
  </si>
  <si>
    <t>GLIA</t>
  </si>
  <si>
    <t>08941491</t>
  </si>
  <si>
    <t>10981136</t>
  </si>
  <si>
    <t>Prostaglandins Leukotrienes and Essential Fatty Acids</t>
  </si>
  <si>
    <t>09523278</t>
  </si>
  <si>
    <t>15322823</t>
  </si>
  <si>
    <t>Current Opinion in Infectious Diseases</t>
  </si>
  <si>
    <t>09517375</t>
  </si>
  <si>
    <t>14736527</t>
  </si>
  <si>
    <t>Epitheorese Klinikes Farmakologias kai Farmakokinetikes</t>
  </si>
  <si>
    <t>10116575</t>
  </si>
  <si>
    <t>PHARMAKON-Press</t>
  </si>
  <si>
    <t>E-flow PDF PHARMAKON-Press</t>
  </si>
  <si>
    <t>Current Opinion in Psychiatry</t>
  </si>
  <si>
    <t>09517367</t>
  </si>
  <si>
    <t>14736578</t>
  </si>
  <si>
    <t>Movement Disorders</t>
  </si>
  <si>
    <t>08853185</t>
  </si>
  <si>
    <t>15318257</t>
  </si>
  <si>
    <t>Cancer Nursing</t>
  </si>
  <si>
    <t>0162220X</t>
  </si>
  <si>
    <t>15389804</t>
  </si>
  <si>
    <t>Peritoneal Dialysis International</t>
  </si>
  <si>
    <t>08968608</t>
  </si>
  <si>
    <t>17184304</t>
  </si>
  <si>
    <t>Multimed Inc.</t>
  </si>
  <si>
    <t>Clinical Anatomy</t>
  </si>
  <si>
    <t>08973806</t>
  </si>
  <si>
    <t>10982353</t>
  </si>
  <si>
    <t>Irish Journal of Psychological Medicine</t>
  </si>
  <si>
    <t>07909667</t>
  </si>
  <si>
    <t>College of Psychiatry of Ireland</t>
  </si>
  <si>
    <t>Journal of Molecular Endocrinology</t>
  </si>
  <si>
    <t>09525041</t>
  </si>
  <si>
    <t>14796813</t>
  </si>
  <si>
    <t>Diagnostic Cytopathology</t>
  </si>
  <si>
    <t>87551039</t>
  </si>
  <si>
    <t>10970339</t>
  </si>
  <si>
    <t>Phlebology</t>
  </si>
  <si>
    <t>02683555</t>
  </si>
  <si>
    <t>14333031</t>
  </si>
  <si>
    <t>Ultrasound Quarterly</t>
  </si>
  <si>
    <t>08948771</t>
  </si>
  <si>
    <t>15360253</t>
  </si>
  <si>
    <t>Journal of Neurosurgical Anesthesiology</t>
  </si>
  <si>
    <t>08984921</t>
  </si>
  <si>
    <t>15371921</t>
  </si>
  <si>
    <t>Pneumologie</t>
  </si>
  <si>
    <t>09348387</t>
  </si>
  <si>
    <t>14388790</t>
  </si>
  <si>
    <t>Stereotactic and Functional Neurosurgery</t>
  </si>
  <si>
    <t>10116125</t>
  </si>
  <si>
    <t>14230372</t>
  </si>
  <si>
    <t>Iatreia</t>
  </si>
  <si>
    <t>01210793</t>
  </si>
  <si>
    <t>Universidad de Antioquia</t>
  </si>
  <si>
    <t>COL</t>
  </si>
  <si>
    <t>Amyotrophic Lateral Sclerosis and Frontotemporal Degeneration</t>
  </si>
  <si>
    <t>21678421</t>
  </si>
  <si>
    <t>21679223</t>
  </si>
  <si>
    <t>Journal of Investigative Surgery</t>
  </si>
  <si>
    <t>08941939</t>
  </si>
  <si>
    <t>15210553</t>
  </si>
  <si>
    <t>Molecular Carcinogenesis</t>
  </si>
  <si>
    <t>08991987</t>
  </si>
  <si>
    <t>10982744</t>
  </si>
  <si>
    <t>Arquivos de Medicina</t>
  </si>
  <si>
    <t>08713413</t>
  </si>
  <si>
    <t>ArquiMed</t>
  </si>
  <si>
    <t>E-flow PDF Arquivos de Medicina</t>
  </si>
  <si>
    <t>Journal of Neurotrauma</t>
  </si>
  <si>
    <t>08977151</t>
  </si>
  <si>
    <t>15579042</t>
  </si>
  <si>
    <t>Annual Review of Medicine</t>
  </si>
  <si>
    <t>00664219</t>
  </si>
  <si>
    <t>1545326X</t>
  </si>
  <si>
    <t>Annual Review of Public Health</t>
  </si>
  <si>
    <t>01637525</t>
  </si>
  <si>
    <t>15452093</t>
  </si>
  <si>
    <t>Critical Reviews in Clinical Laboratory Sciences</t>
  </si>
  <si>
    <t>10408363</t>
  </si>
  <si>
    <t>1549781X</t>
  </si>
  <si>
    <t>IEEE Transactions on Medical Imaging</t>
  </si>
  <si>
    <t>02780062</t>
  </si>
  <si>
    <t>Institute of Electrical and Electronics Engineers Inc.</t>
  </si>
  <si>
    <t>Current Opinion in Immunology</t>
  </si>
  <si>
    <t>09527915</t>
  </si>
  <si>
    <t>18790372</t>
  </si>
  <si>
    <t>Neuropsychopharmacology</t>
  </si>
  <si>
    <t>0893133X</t>
  </si>
  <si>
    <t>1740634X</t>
  </si>
  <si>
    <t>American Journal of Physiology - Lung Cellular and Molecular Physiology</t>
  </si>
  <si>
    <t>10400605</t>
  </si>
  <si>
    <t>15221504</t>
  </si>
  <si>
    <t>Pediatric Pulmonology</t>
  </si>
  <si>
    <t>87556863</t>
  </si>
  <si>
    <t>10990496</t>
  </si>
  <si>
    <t>Seminars in Nephrology</t>
  </si>
  <si>
    <t>02709295</t>
  </si>
  <si>
    <t>15584488</t>
  </si>
  <si>
    <t>Medical Principles and Practice</t>
  </si>
  <si>
    <t>10117571</t>
  </si>
  <si>
    <t>14230151</t>
  </si>
  <si>
    <t>Seminars in Ophthalmology</t>
  </si>
  <si>
    <t>08820538</t>
  </si>
  <si>
    <t>17445205</t>
  </si>
  <si>
    <t>European Journal of Internal Medicine</t>
  </si>
  <si>
    <t>09536205</t>
  </si>
  <si>
    <t>18790828</t>
  </si>
  <si>
    <t>Clinical and Experimental Allergy</t>
  </si>
  <si>
    <t>09547894</t>
  </si>
  <si>
    <t>13652222</t>
  </si>
  <si>
    <t>Journal of Clinical Laboratory Analysis</t>
  </si>
  <si>
    <t>08878013</t>
  </si>
  <si>
    <t>10982825</t>
  </si>
  <si>
    <t>Journal of Internal Medicine</t>
  </si>
  <si>
    <t>09546820</t>
  </si>
  <si>
    <t>13652796</t>
  </si>
  <si>
    <t>Acta Anaesthesiologica Scandinavica, Supplement</t>
  </si>
  <si>
    <t>05152720</t>
  </si>
  <si>
    <t>16005430</t>
  </si>
  <si>
    <t>Biomedical Instrumentation and Technology</t>
  </si>
  <si>
    <t>08998205</t>
  </si>
  <si>
    <t>19435967</t>
  </si>
  <si>
    <t>Association for the Advancement of Medical Instrumentation</t>
  </si>
  <si>
    <t>Allen Press Inc.</t>
  </si>
  <si>
    <t>Revista Alergia Mexico</t>
  </si>
  <si>
    <t>00025151</t>
  </si>
  <si>
    <t>Annual Review of Immunology</t>
  </si>
  <si>
    <t>07320582</t>
  </si>
  <si>
    <t>15453278</t>
  </si>
  <si>
    <t>Critical Reviews in Immunology</t>
  </si>
  <si>
    <t>10408401</t>
  </si>
  <si>
    <t>Current Topics in Microbiology and Immunology</t>
  </si>
  <si>
    <t>0070217X</t>
  </si>
  <si>
    <t>Journal of Dermatological Treatment</t>
  </si>
  <si>
    <t>09546634</t>
  </si>
  <si>
    <t>14711753</t>
  </si>
  <si>
    <t>Acta Neuropsychiatrica</t>
  </si>
  <si>
    <t>09242708</t>
  </si>
  <si>
    <t>16015215</t>
  </si>
  <si>
    <t>Neuropsychology</t>
  </si>
  <si>
    <t>08944105</t>
  </si>
  <si>
    <t>19311559</t>
  </si>
  <si>
    <t>Current Opinion in Cell Biology</t>
  </si>
  <si>
    <t>09550674</t>
  </si>
  <si>
    <t>18790410</t>
  </si>
  <si>
    <t>ONCOLOGY (United States)</t>
  </si>
  <si>
    <t>08909091</t>
  </si>
  <si>
    <t>UBM Medica Healthcare Publications</t>
  </si>
  <si>
    <t>Argomenti di Gastroenterologia Clinica</t>
  </si>
  <si>
    <t>11208651</t>
  </si>
  <si>
    <t>Review of Clinical Pharmacology and Pharmacokinetics, International Edition</t>
  </si>
  <si>
    <t>10116583</t>
  </si>
  <si>
    <t>Arzneimitteltherapie</t>
  </si>
  <si>
    <t>07236913</t>
  </si>
  <si>
    <t>Wissenschaftliche Verlagsgesellschaft Stuttgart</t>
  </si>
  <si>
    <t>Drug Topics</t>
  </si>
  <si>
    <t>00126616</t>
  </si>
  <si>
    <t>19378157</t>
  </si>
  <si>
    <t>Advanstar Communications Inc.</t>
  </si>
  <si>
    <t>Pharmaceutical Journal</t>
  </si>
  <si>
    <t>00316873</t>
  </si>
  <si>
    <t>Pharmaceutical Press</t>
  </si>
  <si>
    <t>Royal Pharmaceutical Society of Great Britain</t>
  </si>
  <si>
    <t>Reviews of Physiology, Biochemistry and Pharmacology</t>
  </si>
  <si>
    <t>03034240</t>
  </si>
  <si>
    <t>16175786</t>
  </si>
  <si>
    <t>International Journal of Developmental Biology</t>
  </si>
  <si>
    <t>02146282</t>
  </si>
  <si>
    <t>University of the Basque Country Press</t>
  </si>
  <si>
    <t>University of the Basque Country</t>
  </si>
  <si>
    <t>Annual Review of Nutrition</t>
  </si>
  <si>
    <t>01999885</t>
  </si>
  <si>
    <t>15454312</t>
  </si>
  <si>
    <t>Annual Review of Microbiology</t>
  </si>
  <si>
    <t>00664227</t>
  </si>
  <si>
    <t>15453251</t>
  </si>
  <si>
    <t>Annual Review of Genetics</t>
  </si>
  <si>
    <t>00664197</t>
  </si>
  <si>
    <t>15452948</t>
  </si>
  <si>
    <t>Journal of Veterinary Pharmacology and Therapeutics</t>
  </si>
  <si>
    <t>01407783</t>
  </si>
  <si>
    <t>13652885</t>
  </si>
  <si>
    <t>Acta Dermato-Venereologica, Supplement</t>
  </si>
  <si>
    <t>03658341</t>
  </si>
  <si>
    <t>Society for the Publication of Acta Dermato-Venereologica</t>
  </si>
  <si>
    <t>Cellular Signalling</t>
  </si>
  <si>
    <t>08986568</t>
  </si>
  <si>
    <t>18733913</t>
  </si>
  <si>
    <t>Brain Topography</t>
  </si>
  <si>
    <t>08960267</t>
  </si>
  <si>
    <t>15736792</t>
  </si>
  <si>
    <t>Chirality</t>
  </si>
  <si>
    <t>08990042</t>
  </si>
  <si>
    <t>1520636X</t>
  </si>
  <si>
    <t>Cancer and Metastasis Reviews</t>
  </si>
  <si>
    <t>01677659</t>
  </si>
  <si>
    <t>15737233</t>
  </si>
  <si>
    <t>Molecular Reproduction and Development</t>
  </si>
  <si>
    <t>1040452X</t>
  </si>
  <si>
    <t>10982795</t>
  </si>
  <si>
    <t>Giornale Italiano di Endoscopia Digestiva</t>
  </si>
  <si>
    <t>03940225</t>
  </si>
  <si>
    <t>Area Qualita Srl</t>
  </si>
  <si>
    <t>AREA QUALITA Srl</t>
  </si>
  <si>
    <t>Journal of Chemotherapy</t>
  </si>
  <si>
    <t>1120009X</t>
  </si>
  <si>
    <t>19739478</t>
  </si>
  <si>
    <t>Clinical Imaging</t>
  </si>
  <si>
    <t>08997071</t>
  </si>
  <si>
    <t>18734499</t>
  </si>
  <si>
    <t>Arthritis Care and Research</t>
  </si>
  <si>
    <t>2151464X</t>
  </si>
  <si>
    <t>21514658</t>
  </si>
  <si>
    <t>Laryngo- Rhino- Otologie</t>
  </si>
  <si>
    <t>09358943</t>
  </si>
  <si>
    <t>14388685</t>
  </si>
  <si>
    <t>Annals of Saudi Medicine</t>
  </si>
  <si>
    <t>02564947</t>
  </si>
  <si>
    <t>09754466</t>
  </si>
  <si>
    <t>King Faisal Specialist Hospital and Research Centre</t>
  </si>
  <si>
    <t>European Journal of Neuroscience</t>
  </si>
  <si>
    <t>0953816X</t>
  </si>
  <si>
    <t>14609568</t>
  </si>
  <si>
    <t>Clinics in Dermatology</t>
  </si>
  <si>
    <t>0738081X</t>
  </si>
  <si>
    <t>18791131</t>
  </si>
  <si>
    <t>Chirurgia (Turin)</t>
  </si>
  <si>
    <t>03949508</t>
  </si>
  <si>
    <t>Journal of Liposome Research</t>
  </si>
  <si>
    <t>08982104</t>
  </si>
  <si>
    <t>15322394</t>
  </si>
  <si>
    <t>Nutrition Research Reviews</t>
  </si>
  <si>
    <t>09544224</t>
  </si>
  <si>
    <t>14752700</t>
  </si>
  <si>
    <t>Journal of Geriatric Psychiatry and Neurology</t>
  </si>
  <si>
    <t>08919887</t>
  </si>
  <si>
    <t>15525708</t>
  </si>
  <si>
    <t>Immuno-Analyse et Biologie Specialisee</t>
  </si>
  <si>
    <t>09232532</t>
  </si>
  <si>
    <t>18781365</t>
  </si>
  <si>
    <t>Applied Cardiopulmonary Pathophysiology</t>
  </si>
  <si>
    <t>09205268</t>
  </si>
  <si>
    <t>Pabst Science Publishers</t>
  </si>
  <si>
    <t>Clinical Transplantation</t>
  </si>
  <si>
    <t>09020063</t>
  </si>
  <si>
    <t>13990012</t>
  </si>
  <si>
    <t>Gynecological Endocrinology</t>
  </si>
  <si>
    <t>09513590</t>
  </si>
  <si>
    <t>14730766</t>
  </si>
  <si>
    <t>Journal of Neuroendocrinology</t>
  </si>
  <si>
    <t>09538194</t>
  </si>
  <si>
    <t>13652826</t>
  </si>
  <si>
    <t>Annals of Clinical Psychiatry</t>
  </si>
  <si>
    <t>10401237</t>
  </si>
  <si>
    <t>15473325</t>
  </si>
  <si>
    <t>Quadrant Healthcom Inc.</t>
  </si>
  <si>
    <t>Sang Thrombose Vaisseaux</t>
  </si>
  <si>
    <t>09997385</t>
  </si>
  <si>
    <t>19506104</t>
  </si>
  <si>
    <t>Topics in Magnetic Resonance Imaging</t>
  </si>
  <si>
    <t>08993459</t>
  </si>
  <si>
    <t>15361004</t>
  </si>
  <si>
    <t>Medicina (Brazil)</t>
  </si>
  <si>
    <t>00766046</t>
  </si>
  <si>
    <t>21767262</t>
  </si>
  <si>
    <t>Faculdade de Medicina de Ribeirao Preto - U.S.P.</t>
  </si>
  <si>
    <t>Journal of Neuropsychiatry and Clinical Neurosciences</t>
  </si>
  <si>
    <t>08950172</t>
  </si>
  <si>
    <t>15457222</t>
  </si>
  <si>
    <t>Respiratory Medicine</t>
  </si>
  <si>
    <t>09546111</t>
  </si>
  <si>
    <t>15323064</t>
  </si>
  <si>
    <t>Growth Factors</t>
  </si>
  <si>
    <t>08977194</t>
  </si>
  <si>
    <t>10292292</t>
  </si>
  <si>
    <t>Chinese Journal of Radiology (Taiwan)</t>
  </si>
  <si>
    <t>10188940</t>
  </si>
  <si>
    <t>Radiological Society of the Republic of China</t>
  </si>
  <si>
    <t>Radiological Society of the Republic of china</t>
  </si>
  <si>
    <t>Thoracic and Cardiovascular Surgeon, Supplement</t>
  </si>
  <si>
    <t>09464778</t>
  </si>
  <si>
    <t>Pharmacological Research</t>
  </si>
  <si>
    <t>10436618</t>
  </si>
  <si>
    <t>10961186</t>
  </si>
  <si>
    <t>Research in Microbiology</t>
  </si>
  <si>
    <t>09232508</t>
  </si>
  <si>
    <t>17697123</t>
  </si>
  <si>
    <t>Journal of the Air and Waste Management Association</t>
  </si>
  <si>
    <t>10473289</t>
  </si>
  <si>
    <t>International Journal of Immunopathology and Pharmacology</t>
  </si>
  <si>
    <t>03946320</t>
  </si>
  <si>
    <t>Healthcare Management Forum</t>
  </si>
  <si>
    <t>08404704</t>
  </si>
  <si>
    <t>Transplant International</t>
  </si>
  <si>
    <t>09340874</t>
  </si>
  <si>
    <t>14322277</t>
  </si>
  <si>
    <t>Neurologia</t>
  </si>
  <si>
    <t>02134853</t>
  </si>
  <si>
    <t>15781968</t>
  </si>
  <si>
    <t>Spanish Society of Neurology</t>
  </si>
  <si>
    <t>Waste Management</t>
  </si>
  <si>
    <t>0956053X</t>
  </si>
  <si>
    <t>18792456</t>
  </si>
  <si>
    <t>Korean Journal of Pharmacognosy</t>
  </si>
  <si>
    <t>02533073</t>
  </si>
  <si>
    <t>Korean Society of Pharmacognosy</t>
  </si>
  <si>
    <t>KORA/ENGL</t>
  </si>
  <si>
    <t>Pharmaca</t>
  </si>
  <si>
    <t>00316857</t>
  </si>
  <si>
    <t>Udruzenje Organizacija Zdravstva Hrvatske</t>
  </si>
  <si>
    <t>Krankenhauspharmazie</t>
  </si>
  <si>
    <t>01737597</t>
  </si>
  <si>
    <t>Particulate Science and Technology</t>
  </si>
  <si>
    <t>02726351</t>
  </si>
  <si>
    <t>15480046</t>
  </si>
  <si>
    <t>Farmaceutski Glasnik</t>
  </si>
  <si>
    <t>00148202</t>
  </si>
  <si>
    <t>Hrvatsko Farmaceutsko Drustvo</t>
  </si>
  <si>
    <t>Croatian Pharmaceutical Society</t>
  </si>
  <si>
    <t>Farmacevtski Vestnik</t>
  </si>
  <si>
    <t>00148229</t>
  </si>
  <si>
    <t>Slovenian Pharmaceutical Society</t>
  </si>
  <si>
    <t>Univerza Edvarda Kardelja v Ljubljani</t>
  </si>
  <si>
    <t>SVN</t>
  </si>
  <si>
    <t>SLVN</t>
  </si>
  <si>
    <t>Indian Drugs</t>
  </si>
  <si>
    <t>0019462X</t>
  </si>
  <si>
    <t>Indian Drug Manufacturers' Association</t>
  </si>
  <si>
    <t>U.S. Pharmacist</t>
  </si>
  <si>
    <t>01484818</t>
  </si>
  <si>
    <t>Jobson Publishing Corporation</t>
  </si>
  <si>
    <t>D</t>
  </si>
  <si>
    <t>Journal of China Pharmaceutical University</t>
  </si>
  <si>
    <t>10005048</t>
  </si>
  <si>
    <t>China Pharmaceutical University</t>
  </si>
  <si>
    <t>Drug Metabolism and Drug Interactions</t>
  </si>
  <si>
    <t>07925077</t>
  </si>
  <si>
    <t>Scandinavian Journal of Urology</t>
  </si>
  <si>
    <t>21681805</t>
  </si>
  <si>
    <t>21681813</t>
  </si>
  <si>
    <t>Journal of Oral Pathology and Medicine</t>
  </si>
  <si>
    <t>09042512</t>
  </si>
  <si>
    <t>16000714</t>
  </si>
  <si>
    <t>Journal of Gynecologic Surgery</t>
  </si>
  <si>
    <t>10424067</t>
  </si>
  <si>
    <t>15577724</t>
  </si>
  <si>
    <t>Head and Neck</t>
  </si>
  <si>
    <t>10433074</t>
  </si>
  <si>
    <t>10970347</t>
  </si>
  <si>
    <t>Verdauungskrankheiten</t>
  </si>
  <si>
    <t>0174738X</t>
  </si>
  <si>
    <t>Archives of Orthopaedic and Trauma Surgery</t>
  </si>
  <si>
    <t>09368051</t>
  </si>
  <si>
    <t>14343916</t>
  </si>
  <si>
    <t>Alimentary Pharmacology and Therapeutics</t>
  </si>
  <si>
    <t>02692813</t>
  </si>
  <si>
    <t>13652036</t>
  </si>
  <si>
    <t>Leukemia and Lymphoma</t>
  </si>
  <si>
    <t>10428194</t>
  </si>
  <si>
    <t>10292403</t>
  </si>
  <si>
    <t>Atencion Primaria</t>
  </si>
  <si>
    <t>02126567</t>
  </si>
  <si>
    <t>15781275</t>
  </si>
  <si>
    <t>Current Opinion in Rheumatology</t>
  </si>
  <si>
    <t>10408711</t>
  </si>
  <si>
    <t>15316963</t>
  </si>
  <si>
    <t>Infectious Disease Clinics of North America</t>
  </si>
  <si>
    <t>08915520</t>
  </si>
  <si>
    <t>15579824</t>
  </si>
  <si>
    <t>Seminars in Spine Surgery</t>
  </si>
  <si>
    <t>10407383</t>
  </si>
  <si>
    <t>15584496</t>
  </si>
  <si>
    <t>Seminars in Vascular Surgery</t>
  </si>
  <si>
    <t>08957967</t>
  </si>
  <si>
    <t>15584518</t>
  </si>
  <si>
    <t>Advances in Cancer Research</t>
  </si>
  <si>
    <t>0065230X</t>
  </si>
  <si>
    <t>Advances in Carbohydrate Chemistry and Biochemistry</t>
  </si>
  <si>
    <t>00652318</t>
  </si>
  <si>
    <t>Advances in Experimental Medicine and Biology</t>
  </si>
  <si>
    <t>00652598</t>
  </si>
  <si>
    <t>Advances in Microbial Physiology</t>
  </si>
  <si>
    <t>00652911</t>
  </si>
  <si>
    <t>Advances in Parasitology</t>
  </si>
  <si>
    <t>0065308X</t>
  </si>
  <si>
    <t>Restorative Neurology and Neuroscience</t>
  </si>
  <si>
    <t>09226028</t>
  </si>
  <si>
    <t>18783627</t>
  </si>
  <si>
    <t>Journal of Applied Gerontology</t>
  </si>
  <si>
    <t>07334648</t>
  </si>
  <si>
    <t>15524523</t>
  </si>
  <si>
    <t>Journal of Nutritional Biochemistry</t>
  </si>
  <si>
    <t>09552863</t>
  </si>
  <si>
    <t>18734847</t>
  </si>
  <si>
    <t>Pteridines</t>
  </si>
  <si>
    <t>21954720</t>
  </si>
  <si>
    <t>09334807</t>
  </si>
  <si>
    <t>Critical Reviews in Biochemistry and Molecular Biology</t>
  </si>
  <si>
    <t>10409238</t>
  </si>
  <si>
    <t>15497798</t>
  </si>
  <si>
    <t>Drug Safety</t>
  </si>
  <si>
    <t>01145916</t>
  </si>
  <si>
    <t>11791942</t>
  </si>
  <si>
    <t>Trends in Endocrinology and Metabolism</t>
  </si>
  <si>
    <t>10432760</t>
  </si>
  <si>
    <t>18793061</t>
  </si>
  <si>
    <t>Pathobiology</t>
  </si>
  <si>
    <t>10152008</t>
  </si>
  <si>
    <t>14230291</t>
  </si>
  <si>
    <t>Fetal Diagnosis and Therapy</t>
  </si>
  <si>
    <t>10153837</t>
  </si>
  <si>
    <t>14219964</t>
  </si>
  <si>
    <t>Neuron</t>
  </si>
  <si>
    <t>08966273</t>
  </si>
  <si>
    <t>10974199</t>
  </si>
  <si>
    <t>European Journal of Gastroenterology and Hepatology</t>
  </si>
  <si>
    <t>0954691X</t>
  </si>
  <si>
    <t>14735687</t>
  </si>
  <si>
    <t>International Journal of STD and AIDS</t>
  </si>
  <si>
    <t>09564624</t>
  </si>
  <si>
    <t>Cytopathology</t>
  </si>
  <si>
    <t>09565507</t>
  </si>
  <si>
    <t>13652303</t>
  </si>
  <si>
    <t>Brain, Behavior, and Immunity</t>
  </si>
  <si>
    <t>08891591</t>
  </si>
  <si>
    <t>10902139</t>
  </si>
  <si>
    <t>AIDS Care - Psychological and Socio-Medical Aspects of AIDS/HIV</t>
  </si>
  <si>
    <t>09540121</t>
  </si>
  <si>
    <t>13600451</t>
  </si>
  <si>
    <t>Genes Chromosomes and Cancer</t>
  </si>
  <si>
    <t>10452257</t>
  </si>
  <si>
    <t>10982264</t>
  </si>
  <si>
    <t>Antiviral Chemistry and Chemotherapy</t>
  </si>
  <si>
    <t>09563202</t>
  </si>
  <si>
    <t>International Medical Press Ltd</t>
  </si>
  <si>
    <t>Annals of Vascular Surgery</t>
  </si>
  <si>
    <t>08905096</t>
  </si>
  <si>
    <t>16155947</t>
  </si>
  <si>
    <t>Biomedical Research (India)</t>
  </si>
  <si>
    <t>0970938X</t>
  </si>
  <si>
    <t>Scientific Publishers of India</t>
  </si>
  <si>
    <t>Journal of the Bahrain Medical Society</t>
  </si>
  <si>
    <t>10156321</t>
  </si>
  <si>
    <t>Bahrain Medical Society</t>
  </si>
  <si>
    <t>BHR</t>
  </si>
  <si>
    <t>Tetrahedron Asymmetry</t>
  </si>
  <si>
    <t>09574166</t>
  </si>
  <si>
    <t>1362511X</t>
  </si>
  <si>
    <t>Genomics</t>
  </si>
  <si>
    <t>08887543</t>
  </si>
  <si>
    <t>10898646</t>
  </si>
  <si>
    <t>Reproduction, Fertility and Development</t>
  </si>
  <si>
    <t>10313613</t>
  </si>
  <si>
    <t>14485990</t>
  </si>
  <si>
    <t>CSIRO</t>
  </si>
  <si>
    <t>E-flow CSIRO</t>
  </si>
  <si>
    <t>European Journal of Anaesthesiology, Supplement</t>
  </si>
  <si>
    <t>09521941</t>
  </si>
  <si>
    <t>Journal of the Royal Society of Medicine, Supplement</t>
  </si>
  <si>
    <t>02675331</t>
  </si>
  <si>
    <t>Platelets</t>
  </si>
  <si>
    <t>09537104</t>
  </si>
  <si>
    <t>13691635</t>
  </si>
  <si>
    <t>Reviews in Medical Microbiology</t>
  </si>
  <si>
    <t>0954139X</t>
  </si>
  <si>
    <t>14735601</t>
  </si>
  <si>
    <t>Epidemiology</t>
  </si>
  <si>
    <t>10443983</t>
  </si>
  <si>
    <t>15315487</t>
  </si>
  <si>
    <t>Veterinary Quarterly</t>
  </si>
  <si>
    <t>01652176</t>
  </si>
  <si>
    <t>18755941</t>
  </si>
  <si>
    <t>Practical Gastroenterology</t>
  </si>
  <si>
    <t>02774208</t>
  </si>
  <si>
    <t>Shugar Publishing Inc.</t>
  </si>
  <si>
    <t>Psychiatria Danubina</t>
  </si>
  <si>
    <t>03535053</t>
  </si>
  <si>
    <t>Medicinska Naklada Zagreb</t>
  </si>
  <si>
    <t>Archives of Pharmacal Research</t>
  </si>
  <si>
    <t>02536269</t>
  </si>
  <si>
    <t>19763786</t>
  </si>
  <si>
    <t>Pharmaceutical Society of Korea</t>
  </si>
  <si>
    <t>Revista Espanola de Enfermedades Digestivas</t>
  </si>
  <si>
    <t>11300108</t>
  </si>
  <si>
    <t>ARAN Ediciones S.A.</t>
  </si>
  <si>
    <t>Biosensors and Bioelectronics</t>
  </si>
  <si>
    <t>09565663</t>
  </si>
  <si>
    <t>18734235</t>
  </si>
  <si>
    <t>Genetic Counseling</t>
  </si>
  <si>
    <t>10158146</t>
  </si>
  <si>
    <t>Editions Medecine et Hygiene</t>
  </si>
  <si>
    <t>Psychotherapies</t>
  </si>
  <si>
    <t>0251737X</t>
  </si>
  <si>
    <t>Douleur et Analgesie</t>
  </si>
  <si>
    <t>1011288X</t>
  </si>
  <si>
    <t>19516398</t>
  </si>
  <si>
    <t>Annals of Oncology</t>
  </si>
  <si>
    <t>09237534</t>
  </si>
  <si>
    <t>15698041</t>
  </si>
  <si>
    <t>Human and Experimental Toxicology</t>
  </si>
  <si>
    <t>09603271</t>
  </si>
  <si>
    <t>14770903</t>
  </si>
  <si>
    <t>Teikyo Medical Journal</t>
  </si>
  <si>
    <t>03875547</t>
  </si>
  <si>
    <t>Teikyo University School of Medicine</t>
  </si>
  <si>
    <t>Journal of Cardiovascular Electrophysiology</t>
  </si>
  <si>
    <t>10453873</t>
  </si>
  <si>
    <t>15408167</t>
  </si>
  <si>
    <t>Digestive Endoscopy</t>
  </si>
  <si>
    <t>09155635</t>
  </si>
  <si>
    <t>14431661</t>
  </si>
  <si>
    <t>Current Opinion in Pediatrics</t>
  </si>
  <si>
    <t>10408703</t>
  </si>
  <si>
    <t>1531698X</t>
  </si>
  <si>
    <t>Critical Reviews in Eukaryotic Gene Expression</t>
  </si>
  <si>
    <t>10454403</t>
  </si>
  <si>
    <t>Virus Genes</t>
  </si>
  <si>
    <t>09208569</t>
  </si>
  <si>
    <t>1572994X</t>
  </si>
  <si>
    <t>European Archives of Oto-Rhino-Laryngology</t>
  </si>
  <si>
    <t>09374477</t>
  </si>
  <si>
    <t>14344726</t>
  </si>
  <si>
    <t>General Physiology and Biophysics</t>
  </si>
  <si>
    <t>02315882</t>
  </si>
  <si>
    <t>13384325</t>
  </si>
  <si>
    <t>Slovak Academy of Sciences</t>
  </si>
  <si>
    <t>E-flow PDF Slovak Academy of Sciences</t>
  </si>
  <si>
    <t>Bahrain Medical Bulletin</t>
  </si>
  <si>
    <t>10128298</t>
  </si>
  <si>
    <t>Experimental Physiology</t>
  </si>
  <si>
    <t>09580670</t>
  </si>
  <si>
    <t>1469445X</t>
  </si>
  <si>
    <t>Coronary Artery Disease</t>
  </si>
  <si>
    <t>09546928</t>
  </si>
  <si>
    <t>14735830</t>
  </si>
  <si>
    <t>Current Opinion in Lipidology</t>
  </si>
  <si>
    <t>09579672</t>
  </si>
  <si>
    <t>14736535</t>
  </si>
  <si>
    <t>Netherlands Journal of Medicine</t>
  </si>
  <si>
    <t>03002977</t>
  </si>
  <si>
    <t>Van Zuiden Communications BV</t>
  </si>
  <si>
    <t>AIDS Education and Prevention</t>
  </si>
  <si>
    <t>08999546</t>
  </si>
  <si>
    <t>Journal of Autoimmunity</t>
  </si>
  <si>
    <t>08968411</t>
  </si>
  <si>
    <t>10959157</t>
  </si>
  <si>
    <t>IARC Monographs on the Evaluation of Carcinogenic Risks to Humans</t>
  </si>
  <si>
    <t>10171606</t>
  </si>
  <si>
    <t>International Agency for Research on Cancer</t>
  </si>
  <si>
    <t>Journal of Family Psychotherapy</t>
  </si>
  <si>
    <t>08975353</t>
  </si>
  <si>
    <t>15404080</t>
  </si>
  <si>
    <t>Immunohematology</t>
  </si>
  <si>
    <t>0894203X</t>
  </si>
  <si>
    <t>American Red Cross</t>
  </si>
  <si>
    <t>Journal of Dermatological Science</t>
  </si>
  <si>
    <t>09231811</t>
  </si>
  <si>
    <t>1873569X</t>
  </si>
  <si>
    <t>Journal of Paediatrics and Child Health</t>
  </si>
  <si>
    <t>10344810</t>
  </si>
  <si>
    <t>14401754</t>
  </si>
  <si>
    <t>Current Opinion in Biotechnology</t>
  </si>
  <si>
    <t>09581669</t>
  </si>
  <si>
    <t>18790429</t>
  </si>
  <si>
    <t>Current Opinion in Structural Biology</t>
  </si>
  <si>
    <t>0959440X</t>
  </si>
  <si>
    <t>1879033X</t>
  </si>
  <si>
    <t>Current Opinion in Neurobiology</t>
  </si>
  <si>
    <t>09594388</t>
  </si>
  <si>
    <t>18736882</t>
  </si>
  <si>
    <t>Current Opinion in Genetics and Development</t>
  </si>
  <si>
    <t>0959437X</t>
  </si>
  <si>
    <t>18790380</t>
  </si>
  <si>
    <t>DNA and Cell Biology</t>
  </si>
  <si>
    <t>10445498</t>
  </si>
  <si>
    <t>15577430</t>
  </si>
  <si>
    <t>Biotecnologia Aplicada</t>
  </si>
  <si>
    <t>08644551</t>
  </si>
  <si>
    <t>10272852</t>
  </si>
  <si>
    <t>Elfos Scientiae</t>
  </si>
  <si>
    <t>Journal of Cognitive Neuroscience</t>
  </si>
  <si>
    <t>0898929X</t>
  </si>
  <si>
    <t>15308898</t>
  </si>
  <si>
    <t>MIT Press Journals</t>
  </si>
  <si>
    <t>E-flow MIT Press</t>
  </si>
  <si>
    <t>Chinese Journal of Forensic Medicine</t>
  </si>
  <si>
    <t>10015728</t>
  </si>
  <si>
    <t>Chinese Forensic Medicine Association</t>
  </si>
  <si>
    <t>E-Flow PDF Chinese Forensic Medicine Association</t>
  </si>
  <si>
    <t>Revista de Toxicologia</t>
  </si>
  <si>
    <t>02127113</t>
  </si>
  <si>
    <t>16970748</t>
  </si>
  <si>
    <t>Asociacion Espanola de Toxicologia</t>
  </si>
  <si>
    <t>CSIC</t>
  </si>
  <si>
    <t>Isokinetics and Exercise Science</t>
  </si>
  <si>
    <t>09593020</t>
  </si>
  <si>
    <t>18785913</t>
  </si>
  <si>
    <t>Ricerca e Pratica</t>
  </si>
  <si>
    <t>1120379X</t>
  </si>
  <si>
    <t>20382480</t>
  </si>
  <si>
    <t>Bangladesh Renal Journal</t>
  </si>
  <si>
    <t>10150889</t>
  </si>
  <si>
    <t>Bangladesh Renal Association</t>
  </si>
  <si>
    <t>Bangabandhu Sheikh Mujib Medical University</t>
  </si>
  <si>
    <t>Journal of Structural Biology</t>
  </si>
  <si>
    <t>10478477</t>
  </si>
  <si>
    <t>10958657</t>
  </si>
  <si>
    <t>Seminars in Immunology</t>
  </si>
  <si>
    <t>10445323</t>
  </si>
  <si>
    <t>10963618</t>
  </si>
  <si>
    <t>Current Opinion in Obstetrics and Gynecology</t>
  </si>
  <si>
    <t>1040872X</t>
  </si>
  <si>
    <t>1473656X</t>
  </si>
  <si>
    <t>Transfusion Medicine</t>
  </si>
  <si>
    <t>09587578</t>
  </si>
  <si>
    <t>13653148</t>
  </si>
  <si>
    <t>Pediatric Allergy and Immunology</t>
  </si>
  <si>
    <t>09056157</t>
  </si>
  <si>
    <t>13993038</t>
  </si>
  <si>
    <t>Cellular Physiology and Biochemistry</t>
  </si>
  <si>
    <t>10158987</t>
  </si>
  <si>
    <t>14219778</t>
  </si>
  <si>
    <t>Cerebrovascular Diseases</t>
  </si>
  <si>
    <t>10159770</t>
  </si>
  <si>
    <t>14219786</t>
  </si>
  <si>
    <t>Journal of Long-Term Effects of Medical Implants</t>
  </si>
  <si>
    <t>10506934</t>
  </si>
  <si>
    <t>Environmental Technology (United Kingdom)</t>
  </si>
  <si>
    <t>09593330</t>
  </si>
  <si>
    <t>1479487X</t>
  </si>
  <si>
    <t>Frontiers in Neuroendocrinology</t>
  </si>
  <si>
    <t>00913022</t>
  </si>
  <si>
    <t>10956808</t>
  </si>
  <si>
    <t>Blood Coagulation and Fibrinolysis</t>
  </si>
  <si>
    <t>09575235</t>
  </si>
  <si>
    <t>14735733</t>
  </si>
  <si>
    <t>Clinical Oncology</t>
  </si>
  <si>
    <t>09366555</t>
  </si>
  <si>
    <t>14332981</t>
  </si>
  <si>
    <t>Digestive Diseases</t>
  </si>
  <si>
    <t>02572753</t>
  </si>
  <si>
    <t>14219875</t>
  </si>
  <si>
    <t>Journal of Clinical Anesthesia</t>
  </si>
  <si>
    <t>09528180</t>
  </si>
  <si>
    <t>18734529</t>
  </si>
  <si>
    <t>Cytokine</t>
  </si>
  <si>
    <t>10434666</t>
  </si>
  <si>
    <t>10960023</t>
  </si>
  <si>
    <t>Journal of Electromyography and Kinesiology</t>
  </si>
  <si>
    <t>10506411</t>
  </si>
  <si>
    <t>18735711</t>
  </si>
  <si>
    <t>Journal of Nephrology</t>
  </si>
  <si>
    <t>11218428</t>
  </si>
  <si>
    <t>17246059</t>
  </si>
  <si>
    <t>Photodermatology Photoimmunology and Photomedicine</t>
  </si>
  <si>
    <t>09054383</t>
  </si>
  <si>
    <t>16000781</t>
  </si>
  <si>
    <t>Current Opinion in Ophthalmology</t>
  </si>
  <si>
    <t>10408738</t>
  </si>
  <si>
    <t>15317021</t>
  </si>
  <si>
    <t>Current Opinion in Oncology</t>
  </si>
  <si>
    <t>10408746</t>
  </si>
  <si>
    <t>1531703X</t>
  </si>
  <si>
    <t>Journal of Basic and Clinical Physiology and Pharmacology</t>
  </si>
  <si>
    <t>07926855</t>
  </si>
  <si>
    <t>21910286</t>
  </si>
  <si>
    <t>Journal of the American Society of Nephrology</t>
  </si>
  <si>
    <t>10466673</t>
  </si>
  <si>
    <t>15333450</t>
  </si>
  <si>
    <t>American Society of Nephrology</t>
  </si>
  <si>
    <t>Anti-Cancer Drugs</t>
  </si>
  <si>
    <t>09594973</t>
  </si>
  <si>
    <t>14735741</t>
  </si>
  <si>
    <t>Revista Ecuatoriana de Neurologia</t>
  </si>
  <si>
    <t>10198113</t>
  </si>
  <si>
    <t>Fundacion para la difusion neurologica en Ecuador - FUNDINE</t>
  </si>
  <si>
    <t>Sociedad Ecuatoriana de Neurologia</t>
  </si>
  <si>
    <t>ECU</t>
  </si>
  <si>
    <t>International Journal of Experimental Pathology</t>
  </si>
  <si>
    <t>09599673</t>
  </si>
  <si>
    <t>13652613</t>
  </si>
  <si>
    <t>Biochimica et Biophysica Acta - Molecular Basis of Disease</t>
  </si>
  <si>
    <t>09254439</t>
  </si>
  <si>
    <t>1879260X</t>
  </si>
  <si>
    <t>Psychiatry Research - Neuroimaging</t>
  </si>
  <si>
    <t>09254927</t>
  </si>
  <si>
    <t>18727506</t>
  </si>
  <si>
    <t>International Journal of Risk and Safety in Medicine</t>
  </si>
  <si>
    <t>09246479</t>
  </si>
  <si>
    <t>18786847</t>
  </si>
  <si>
    <t>JBR-BTR</t>
  </si>
  <si>
    <t>17802393</t>
  </si>
  <si>
    <t>British Journal of General Practice</t>
  </si>
  <si>
    <t>09601643</t>
  </si>
  <si>
    <t>Royal College of General Practitioners</t>
  </si>
  <si>
    <t>Neurosurgery Quarterly</t>
  </si>
  <si>
    <t>10506438</t>
  </si>
  <si>
    <t>15344916</t>
  </si>
  <si>
    <t>Clinical Journal of Sport Medicine</t>
  </si>
  <si>
    <t>1050642X</t>
  </si>
  <si>
    <t>15363724</t>
  </si>
  <si>
    <t>Aging Clinical and Experimental Research</t>
  </si>
  <si>
    <t>15940667</t>
  </si>
  <si>
    <t>17208319</t>
  </si>
  <si>
    <t>Nutrition Clinique et Metabolisme</t>
  </si>
  <si>
    <t>09850562</t>
  </si>
  <si>
    <t>17683092</t>
  </si>
  <si>
    <t>Farmacia Hospitalaria</t>
  </si>
  <si>
    <t>11306343</t>
  </si>
  <si>
    <t>21718695</t>
  </si>
  <si>
    <t>Sociedad Espanola de Farmacia Hospitalaria</t>
  </si>
  <si>
    <t>Journal of Biomaterials Science, Polymer Edition</t>
  </si>
  <si>
    <t>09205063</t>
  </si>
  <si>
    <t>15685624</t>
  </si>
  <si>
    <t>P and T</t>
  </si>
  <si>
    <t>10521372</t>
  </si>
  <si>
    <t>Medi Media USA Inc</t>
  </si>
  <si>
    <t>Medi Media USA Inc.</t>
  </si>
  <si>
    <t>Journal of Steroid Biochemistry and Molecular Biology</t>
  </si>
  <si>
    <t>09600760</t>
  </si>
  <si>
    <t>18791220</t>
  </si>
  <si>
    <t>Journal of Anaesthesiology Clinical Pharmacology</t>
  </si>
  <si>
    <t>09709185</t>
  </si>
  <si>
    <t>22312730</t>
  </si>
  <si>
    <t>Journal International Medical Sciences Academy</t>
  </si>
  <si>
    <t>0971071X</t>
  </si>
  <si>
    <t>International Medical Sciences Academy</t>
  </si>
  <si>
    <t>Phytochemical Analysis</t>
  </si>
  <si>
    <t>09580344</t>
  </si>
  <si>
    <t>10991565</t>
  </si>
  <si>
    <t>NMR in Biomedicine</t>
  </si>
  <si>
    <t>09523480</t>
  </si>
  <si>
    <t>10991492</t>
  </si>
  <si>
    <t>Drugs and Aging</t>
  </si>
  <si>
    <t>1170229X</t>
  </si>
  <si>
    <t>11791969</t>
  </si>
  <si>
    <t>Inflammopharmacology</t>
  </si>
  <si>
    <t>09254692</t>
  </si>
  <si>
    <t>15685608</t>
  </si>
  <si>
    <t>International Review of Psychiatry</t>
  </si>
  <si>
    <t>09540261</t>
  </si>
  <si>
    <t>13691627</t>
  </si>
  <si>
    <t>Annals of Epidemiology</t>
  </si>
  <si>
    <t>10472797</t>
  </si>
  <si>
    <t>18732585</t>
  </si>
  <si>
    <t>Pediatric Neurosurgery</t>
  </si>
  <si>
    <t>10162291</t>
  </si>
  <si>
    <t>14230305</t>
  </si>
  <si>
    <t>Turk Kardiyoloji Dernegi Arsivi</t>
  </si>
  <si>
    <t>10165169</t>
  </si>
  <si>
    <t>Turkish Anaesthesiology and Intensive Care Society</t>
  </si>
  <si>
    <t>Journal of Heart and Lung Transplantation</t>
  </si>
  <si>
    <t>10532498</t>
  </si>
  <si>
    <t>15573117</t>
  </si>
  <si>
    <t>NeuroReport</t>
  </si>
  <si>
    <t>09594965</t>
  </si>
  <si>
    <t>1473558X</t>
  </si>
  <si>
    <t>Cancer Causes and Control</t>
  </si>
  <si>
    <t>09575243</t>
  </si>
  <si>
    <t>15737225</t>
  </si>
  <si>
    <t>Biologicals</t>
  </si>
  <si>
    <t>10451056</t>
  </si>
  <si>
    <t>10958320</t>
  </si>
  <si>
    <t>International Journal of Gynecological Cancer</t>
  </si>
  <si>
    <t>1048891X</t>
  </si>
  <si>
    <t>15251438</t>
  </si>
  <si>
    <t>Cell Proliferation</t>
  </si>
  <si>
    <t>09607722</t>
  </si>
  <si>
    <t>13652184</t>
  </si>
  <si>
    <t>Carbohydrate Research</t>
  </si>
  <si>
    <t>00086215</t>
  </si>
  <si>
    <t>1873426X</t>
  </si>
  <si>
    <t>TrAC - Trends in Analytical Chemistry</t>
  </si>
  <si>
    <t>01659936</t>
  </si>
  <si>
    <t>18793142</t>
  </si>
  <si>
    <t>Glycobiology</t>
  </si>
  <si>
    <t>09596658</t>
  </si>
  <si>
    <t>14602423</t>
  </si>
  <si>
    <t>Synthetic Communications</t>
  </si>
  <si>
    <t>00397911</t>
  </si>
  <si>
    <t>15322432</t>
  </si>
  <si>
    <t>Chromatographia</t>
  </si>
  <si>
    <t>00095893</t>
  </si>
  <si>
    <t>16121112</t>
  </si>
  <si>
    <t>Friedr. Vieweg und Sohn Verlags GmbH</t>
  </si>
  <si>
    <t>Clinical Autonomic Research</t>
  </si>
  <si>
    <t>09599851</t>
  </si>
  <si>
    <t>16191560</t>
  </si>
  <si>
    <t>Melanoma Research</t>
  </si>
  <si>
    <t>09608931</t>
  </si>
  <si>
    <t>14735636</t>
  </si>
  <si>
    <t>Obesity Surgery</t>
  </si>
  <si>
    <t>09608923</t>
  </si>
  <si>
    <t>17080428</t>
  </si>
  <si>
    <t>Journal of Neuroimaging</t>
  </si>
  <si>
    <t>10512284</t>
  </si>
  <si>
    <t>15526569</t>
  </si>
  <si>
    <t>Chinese Medical Sciences Journal</t>
  </si>
  <si>
    <t>10019294</t>
  </si>
  <si>
    <t>European Archives of Psychiatry and Clinical Neuroscience</t>
  </si>
  <si>
    <t>09401334</t>
  </si>
  <si>
    <t>14338491</t>
  </si>
  <si>
    <t>Mechanisms of Development</t>
  </si>
  <si>
    <t>09254773</t>
  </si>
  <si>
    <t>18726356</t>
  </si>
  <si>
    <t>Minerva Biotecnologica</t>
  </si>
  <si>
    <t>11204826</t>
  </si>
  <si>
    <t>Trends in Cardiovascular Medicine</t>
  </si>
  <si>
    <t>10501738</t>
  </si>
  <si>
    <t>18732615</t>
  </si>
  <si>
    <t>Operative Techniques in Otolaryngology - Head and Neck Surgery</t>
  </si>
  <si>
    <t>10431810</t>
  </si>
  <si>
    <t>15579395</t>
  </si>
  <si>
    <t>Diagnostic Molecular Pathology</t>
  </si>
  <si>
    <t>10529551</t>
  </si>
  <si>
    <t>15334066</t>
  </si>
  <si>
    <t>Seminars in Thoracic and Cardiovascular Surgery</t>
  </si>
  <si>
    <t>10430679</t>
  </si>
  <si>
    <t>15329488</t>
  </si>
  <si>
    <t>Seminars in Colon and Rectal Surgery</t>
  </si>
  <si>
    <t>10431489</t>
  </si>
  <si>
    <t>15584585</t>
  </si>
  <si>
    <t>Seminars in Cancer Biology</t>
  </si>
  <si>
    <t>1044579X</t>
  </si>
  <si>
    <t>10963650</t>
  </si>
  <si>
    <t>Seminars in Arthroplasty</t>
  </si>
  <si>
    <t>10454527</t>
  </si>
  <si>
    <t>15584437</t>
  </si>
  <si>
    <t>Neuromuscular Disorders</t>
  </si>
  <si>
    <t>09608966</t>
  </si>
  <si>
    <t>18732364</t>
  </si>
  <si>
    <t>European Journal of Pediatric Surgery</t>
  </si>
  <si>
    <t>09397248</t>
  </si>
  <si>
    <t>1439359X</t>
  </si>
  <si>
    <t>Mutation Research - Fundamental and Molecular Mechanisms of Mutagenesis</t>
  </si>
  <si>
    <t>00275107</t>
  </si>
  <si>
    <t>09218262</t>
  </si>
  <si>
    <t>Journal of Adolescent Health</t>
  </si>
  <si>
    <t>1054139X</t>
  </si>
  <si>
    <t>18791972</t>
  </si>
  <si>
    <t>Journal of Immunotherapy</t>
  </si>
  <si>
    <t>15249557</t>
  </si>
  <si>
    <t>15374513</t>
  </si>
  <si>
    <t>Hormone and Metabolic Research, Supplement</t>
  </si>
  <si>
    <t>01705903</t>
  </si>
  <si>
    <t>Journal of Psychiatry and Neuroscience</t>
  </si>
  <si>
    <t>11804882</t>
  </si>
  <si>
    <t>14882434</t>
  </si>
  <si>
    <t>Safety Science</t>
  </si>
  <si>
    <t>09257535</t>
  </si>
  <si>
    <t>18791042</t>
  </si>
  <si>
    <t>Jinekoloji ve Obstetrik Dergisi</t>
  </si>
  <si>
    <t>10165126</t>
  </si>
  <si>
    <t>Logos Yayincilik Tic. A.S. (Logos Medical Publishing)</t>
  </si>
  <si>
    <t>Inhalation Toxicology</t>
  </si>
  <si>
    <t>08958378</t>
  </si>
  <si>
    <t>10917691</t>
  </si>
  <si>
    <t>Journal of Investigational Allergology and Clinical Immunology</t>
  </si>
  <si>
    <t>10189068</t>
  </si>
  <si>
    <t>16980808</t>
  </si>
  <si>
    <t>ESMON Publicidad S.A.</t>
  </si>
  <si>
    <t>ESMON Publicidada S.A</t>
  </si>
  <si>
    <t>International Journal of Hematology</t>
  </si>
  <si>
    <t>09255710</t>
  </si>
  <si>
    <t>18653774</t>
  </si>
  <si>
    <t>European Journal of Lymphology and Related Problems</t>
  </si>
  <si>
    <t>07785569</t>
  </si>
  <si>
    <t>Service de Kinesitherapie</t>
  </si>
  <si>
    <t>University Hospital St-Pierre</t>
  </si>
  <si>
    <t>Journal of Addictive Diseases</t>
  </si>
  <si>
    <t>10550887</t>
  </si>
  <si>
    <t>15450848</t>
  </si>
  <si>
    <t>Annals of Hematology</t>
  </si>
  <si>
    <t>09395555</t>
  </si>
  <si>
    <t>14320584</t>
  </si>
  <si>
    <t>Phlebologie</t>
  </si>
  <si>
    <t>0939978X</t>
  </si>
  <si>
    <t>Bioresource Technology</t>
  </si>
  <si>
    <t>09608524</t>
  </si>
  <si>
    <t>18732976</t>
  </si>
  <si>
    <t>Artificial Intelligence in Medicine</t>
  </si>
  <si>
    <t>09333657</t>
  </si>
  <si>
    <t>18732860</t>
  </si>
  <si>
    <t>Neurocomputing</t>
  </si>
  <si>
    <t>09252312</t>
  </si>
  <si>
    <t>18728286</t>
  </si>
  <si>
    <t>Anasthesiologie Intensivmedizin Notfallmedizin Schmerztherapie</t>
  </si>
  <si>
    <t>09392661</t>
  </si>
  <si>
    <t>14391074</t>
  </si>
  <si>
    <t>European Journal of Pharmaceutics and Biopharmaceutics</t>
  </si>
  <si>
    <t>09396411</t>
  </si>
  <si>
    <t>18733441</t>
  </si>
  <si>
    <t>Sucht</t>
  </si>
  <si>
    <t>09395911</t>
  </si>
  <si>
    <t>Journal of Cardiothoracic and Vascular Anesthesia</t>
  </si>
  <si>
    <t>10530770</t>
  </si>
  <si>
    <t>15328422</t>
  </si>
  <si>
    <t>Intensiv- und Notfallbehandlung</t>
  </si>
  <si>
    <t>09475362</t>
  </si>
  <si>
    <t>S.T.P. Pharma Pratiques</t>
  </si>
  <si>
    <t>11571497</t>
  </si>
  <si>
    <t>Editions de Sante</t>
  </si>
  <si>
    <t>Osteoporosis International</t>
  </si>
  <si>
    <t>0937941X</t>
  </si>
  <si>
    <t>14332965</t>
  </si>
  <si>
    <t>European Psychiatry</t>
  </si>
  <si>
    <t>09249338</t>
  </si>
  <si>
    <t>17783585</t>
  </si>
  <si>
    <t>Journal of Photochemistry and Photobiology B: Biology</t>
  </si>
  <si>
    <t>10111344</t>
  </si>
  <si>
    <t>18732682</t>
  </si>
  <si>
    <t>Bioorganic and Medicinal Chemistry Letters</t>
  </si>
  <si>
    <t>0960894X</t>
  </si>
  <si>
    <t>14643405</t>
  </si>
  <si>
    <t>Cleft Palate-Craniofacial Journal</t>
  </si>
  <si>
    <t>10556656</t>
  </si>
  <si>
    <t>15451569</t>
  </si>
  <si>
    <t>American Cleft Palate Craniofacial Association</t>
  </si>
  <si>
    <t>Trends in Cell Biology</t>
  </si>
  <si>
    <t>09628924</t>
  </si>
  <si>
    <t>18793088</t>
  </si>
  <si>
    <t>International Psychogeriatrics</t>
  </si>
  <si>
    <t>10416102</t>
  </si>
  <si>
    <t>1741203X</t>
  </si>
  <si>
    <t>Chinese Journal of Microbiology and Immunology (China)</t>
  </si>
  <si>
    <t>02545101</t>
  </si>
  <si>
    <t>Society of Microbiology and Immunology</t>
  </si>
  <si>
    <t>Thyroid</t>
  </si>
  <si>
    <t>10507256</t>
  </si>
  <si>
    <t>15579077</t>
  </si>
  <si>
    <t>Endoscopic Forum for Digestive Disease</t>
  </si>
  <si>
    <t>09120505</t>
  </si>
  <si>
    <t>Cancer and Chemotherapy Publ. Inc.</t>
  </si>
  <si>
    <t>Niigata Cancer Center Hospital</t>
  </si>
  <si>
    <t>Cocuk Sagligi ve Hastaliklari Dergisi</t>
  </si>
  <si>
    <t>00100161</t>
  </si>
  <si>
    <t>Cocuk Sagligi ve Hastaliklan Dergisi</t>
  </si>
  <si>
    <t>HIP International</t>
  </si>
  <si>
    <t>11207000</t>
  </si>
  <si>
    <t>European Respiratory Review</t>
  </si>
  <si>
    <t>09059180</t>
  </si>
  <si>
    <t>16000617</t>
  </si>
  <si>
    <t>Gaceta Medica de Mexico</t>
  </si>
  <si>
    <t>00163813</t>
  </si>
  <si>
    <t>Academia Nacional de Medicina</t>
  </si>
  <si>
    <t>Cancer Forum</t>
  </si>
  <si>
    <t>0311306X</t>
  </si>
  <si>
    <t>Cancer Council Australia</t>
  </si>
  <si>
    <t>Acta Clinica Croatica</t>
  </si>
  <si>
    <t>03539466</t>
  </si>
  <si>
    <t>13339451</t>
  </si>
  <si>
    <t>Klinicka Bolnica Sestre Milosrdnice</t>
  </si>
  <si>
    <t>Web Portal Hrcak</t>
  </si>
  <si>
    <t>Revisiones en Cancer</t>
  </si>
  <si>
    <t>02138573</t>
  </si>
  <si>
    <t>Pravention und Rehabilitation</t>
  </si>
  <si>
    <t>0937552X</t>
  </si>
  <si>
    <t>Molecular and Cellular Neuroscience</t>
  </si>
  <si>
    <t>10447431</t>
  </si>
  <si>
    <t>10959327</t>
  </si>
  <si>
    <t>Endocrine Regulations</t>
  </si>
  <si>
    <t>12100668</t>
  </si>
  <si>
    <t>13360329</t>
  </si>
  <si>
    <t>Institute of Experimental Endocrinology</t>
  </si>
  <si>
    <t>Bangladesh Journal of Obstetrics and Gynecology</t>
  </si>
  <si>
    <t>10184287</t>
  </si>
  <si>
    <t>Obstetrical and Gynaecological Society of Bangladesh</t>
  </si>
  <si>
    <t>Bangladesh Journal of Obstetrics and Gynaecology</t>
  </si>
  <si>
    <t>Human Molecular Genetics</t>
  </si>
  <si>
    <t>09646906</t>
  </si>
  <si>
    <t>14602083</t>
  </si>
  <si>
    <t>Journal of Vascular Research</t>
  </si>
  <si>
    <t>10181172</t>
  </si>
  <si>
    <t>14230135</t>
  </si>
  <si>
    <t>Critical Reviews in Oncogenesis</t>
  </si>
  <si>
    <t>08939675</t>
  </si>
  <si>
    <t>21626448</t>
  </si>
  <si>
    <t>Chinese Pharmacological Bulletin</t>
  </si>
  <si>
    <t>10011978</t>
  </si>
  <si>
    <t>Institute of Clinical Pharmacology</t>
  </si>
  <si>
    <t>Anhui Medical University</t>
  </si>
  <si>
    <t>Acta Paediatrica, International Journal of Paediatrics</t>
  </si>
  <si>
    <t>08035253</t>
  </si>
  <si>
    <t>16512227</t>
  </si>
  <si>
    <t>Journal of Neural Transmission, Supplementa</t>
  </si>
  <si>
    <t>03036995</t>
  </si>
  <si>
    <t>Chinese Pharmaceutical Journal</t>
  </si>
  <si>
    <t>10012494</t>
  </si>
  <si>
    <t>Chinese Pharmaceutical Association</t>
  </si>
  <si>
    <t>Acta Diabetologica</t>
  </si>
  <si>
    <t>09405429</t>
  </si>
  <si>
    <t>14325233</t>
  </si>
  <si>
    <t>Cancer Epidemiology Biomarkers and Prevention</t>
  </si>
  <si>
    <t>10559965</t>
  </si>
  <si>
    <t>International Journal of Antimicrobial Agents</t>
  </si>
  <si>
    <t>09248579</t>
  </si>
  <si>
    <t>18727913</t>
  </si>
  <si>
    <t>Developmental Dynamics</t>
  </si>
  <si>
    <t>10588388</t>
  </si>
  <si>
    <t>10970177</t>
  </si>
  <si>
    <t>Journal of Intellectual Disability Research</t>
  </si>
  <si>
    <t>09642633</t>
  </si>
  <si>
    <t>13652788</t>
  </si>
  <si>
    <t>Clinical Dysmorphology</t>
  </si>
  <si>
    <t>09628827</t>
  </si>
  <si>
    <t>14735717</t>
  </si>
  <si>
    <t>Palliative Medicine</t>
  </si>
  <si>
    <t>02692163</t>
  </si>
  <si>
    <t>1477030X</t>
  </si>
  <si>
    <t>Fetal and Maternal Medicine Review</t>
  </si>
  <si>
    <t>09655395</t>
  </si>
  <si>
    <t>14695065</t>
  </si>
  <si>
    <t>Reviews in Clinical Gerontology</t>
  </si>
  <si>
    <t>09592598</t>
  </si>
  <si>
    <t>14699036</t>
  </si>
  <si>
    <t>Acta Medica Croatica</t>
  </si>
  <si>
    <t>13300164</t>
  </si>
  <si>
    <t>Academy of Medical Sciences of Croatica</t>
  </si>
  <si>
    <t>E-flow PDF Academy of Medical Sciences of Croatica</t>
  </si>
  <si>
    <t>European Journal of Ophthalmology</t>
  </si>
  <si>
    <t>11206721</t>
  </si>
  <si>
    <t>European Cytokine Network</t>
  </si>
  <si>
    <t>11485493</t>
  </si>
  <si>
    <t>European Journal of Dermatology</t>
  </si>
  <si>
    <t>11671122</t>
  </si>
  <si>
    <t>19524013</t>
  </si>
  <si>
    <t>Amino Acids</t>
  </si>
  <si>
    <t>09394451</t>
  </si>
  <si>
    <t>14382199</t>
  </si>
  <si>
    <t>Human Gene Therapy</t>
  </si>
  <si>
    <t>10430342</t>
  </si>
  <si>
    <t>15577422</t>
  </si>
  <si>
    <t>Women's Health Issues</t>
  </si>
  <si>
    <t>10493867</t>
  </si>
  <si>
    <t>18784321</t>
  </si>
  <si>
    <t>Current Opinion in Urology</t>
  </si>
  <si>
    <t>09630643</t>
  </si>
  <si>
    <t>14736586</t>
  </si>
  <si>
    <t>Korean Journal of Internal Medicine</t>
  </si>
  <si>
    <t>12263303</t>
  </si>
  <si>
    <t>20056648</t>
  </si>
  <si>
    <t>Korean Association of Internal Medicine</t>
  </si>
  <si>
    <t>Experimental and Toxicologic Pathology</t>
  </si>
  <si>
    <t>09402993</t>
  </si>
  <si>
    <t>16181433</t>
  </si>
  <si>
    <t>Neurologia Croatica</t>
  </si>
  <si>
    <t>03538842</t>
  </si>
  <si>
    <t>University Hospital School of Medicine Zagreb</t>
  </si>
  <si>
    <t>Klinicki Bolnicki Centar Rebro</t>
  </si>
  <si>
    <t>Gazi Medical Journal</t>
  </si>
  <si>
    <t>21472092</t>
  </si>
  <si>
    <t>Gazi Universitesi</t>
  </si>
  <si>
    <t>Gazi Universitesi Tip Fakultesi Dekanligi</t>
  </si>
  <si>
    <t>PharmacoEconomics</t>
  </si>
  <si>
    <t>11707690</t>
  </si>
  <si>
    <t>11792027</t>
  </si>
  <si>
    <t>Lupus</t>
  </si>
  <si>
    <t>09612033</t>
  </si>
  <si>
    <t>14770962</t>
  </si>
  <si>
    <t>Journal of Glaucoma</t>
  </si>
  <si>
    <t>10570829</t>
  </si>
  <si>
    <t>1536481X</t>
  </si>
  <si>
    <t>International Journal of Drug Policy</t>
  </si>
  <si>
    <t>09553959</t>
  </si>
  <si>
    <t>18734758</t>
  </si>
  <si>
    <t>Psychiatric Genetics</t>
  </si>
  <si>
    <t>09558829</t>
  </si>
  <si>
    <t>14735873</t>
  </si>
  <si>
    <t>Behavioural Pharmacology</t>
  </si>
  <si>
    <t>09558810</t>
  </si>
  <si>
    <t>14735849</t>
  </si>
  <si>
    <t>International Clinical Psychopharmacology</t>
  </si>
  <si>
    <t>02681315</t>
  </si>
  <si>
    <t>14735857</t>
  </si>
  <si>
    <t>Behavioural Neurology</t>
  </si>
  <si>
    <t>09534180</t>
  </si>
  <si>
    <t>18758584</t>
  </si>
  <si>
    <t>International Journal of Environmental Health Research</t>
  </si>
  <si>
    <t>09603123</t>
  </si>
  <si>
    <t>13691619</t>
  </si>
  <si>
    <t>Journal of Materials Science: Materials in Medicine</t>
  </si>
  <si>
    <t>09574530</t>
  </si>
  <si>
    <t>15734838</t>
  </si>
  <si>
    <t>Journal of Physiology and Pharmacology</t>
  </si>
  <si>
    <t>08675910</t>
  </si>
  <si>
    <t>18991505</t>
  </si>
  <si>
    <t>Polish Physiological Society</t>
  </si>
  <si>
    <t>Clinical Infectious Diseases</t>
  </si>
  <si>
    <t>10584838</t>
  </si>
  <si>
    <t>15376591</t>
  </si>
  <si>
    <t>Australian Journal of Medical Science</t>
  </si>
  <si>
    <t>10381643</t>
  </si>
  <si>
    <t>Australian Institute of Medical Scientists</t>
  </si>
  <si>
    <t>E-flow PDF Australian Institute of Medical Scientists</t>
  </si>
  <si>
    <t>Cell Transplantation</t>
  </si>
  <si>
    <t>09636897</t>
  </si>
  <si>
    <t>Cognizant Communication Corporation</t>
  </si>
  <si>
    <t>Protein Science</t>
  </si>
  <si>
    <t>09618368</t>
  </si>
  <si>
    <t>1469896X</t>
  </si>
  <si>
    <t>protein society</t>
  </si>
  <si>
    <t>Journal of Musculoskeletal Pain</t>
  </si>
  <si>
    <t>10582452</t>
  </si>
  <si>
    <t>15407012</t>
  </si>
  <si>
    <t>Croatian Medical Journal</t>
  </si>
  <si>
    <t>03539504</t>
  </si>
  <si>
    <t>13328166</t>
  </si>
  <si>
    <t>Journal of JASTRO</t>
  </si>
  <si>
    <t>10409564</t>
  </si>
  <si>
    <t>18819885</t>
  </si>
  <si>
    <t>Editorial Board of JASTRO</t>
  </si>
  <si>
    <t>Neuroimaging Clinics of North America</t>
  </si>
  <si>
    <t>10525149</t>
  </si>
  <si>
    <t>15579867</t>
  </si>
  <si>
    <t>International Journal of Obstetric Anesthesia</t>
  </si>
  <si>
    <t>0959289X</t>
  </si>
  <si>
    <t>15323374</t>
  </si>
  <si>
    <t>Hippocampus</t>
  </si>
  <si>
    <t>10509631</t>
  </si>
  <si>
    <t>10981063</t>
  </si>
  <si>
    <t>Dermatology</t>
  </si>
  <si>
    <t>10188665</t>
  </si>
  <si>
    <t>14219832</t>
  </si>
  <si>
    <t>Pharmacoepidemiology and Drug Safety</t>
  </si>
  <si>
    <t>10538569</t>
  </si>
  <si>
    <t>10991557</t>
  </si>
  <si>
    <t>Reviews in Medical Virology</t>
  </si>
  <si>
    <t>10529276</t>
  </si>
  <si>
    <t>10991654</t>
  </si>
  <si>
    <t>Psycho-Oncology</t>
  </si>
  <si>
    <t>10579249</t>
  </si>
  <si>
    <t>10991611</t>
  </si>
  <si>
    <t>Journal of Sleep Research</t>
  </si>
  <si>
    <t>09621105</t>
  </si>
  <si>
    <t>13652869</t>
  </si>
  <si>
    <t>Current Opinion in Anaesthesiology</t>
  </si>
  <si>
    <t>09527907</t>
  </si>
  <si>
    <t>14736500</t>
  </si>
  <si>
    <t>Surgical Oncology</t>
  </si>
  <si>
    <t>09607404</t>
  </si>
  <si>
    <t>18793320</t>
  </si>
  <si>
    <t>Seminars in Radiation Oncology</t>
  </si>
  <si>
    <t>10534296</t>
  </si>
  <si>
    <t>15329461</t>
  </si>
  <si>
    <t>Oncology Research</t>
  </si>
  <si>
    <t>09650407</t>
  </si>
  <si>
    <t>15553906</t>
  </si>
  <si>
    <t>Annals of Pharmacotherapy</t>
  </si>
  <si>
    <t>10600280</t>
  </si>
  <si>
    <t>15426270</t>
  </si>
  <si>
    <t>Criminal Behaviour and Mental Health</t>
  </si>
  <si>
    <t>09579664</t>
  </si>
  <si>
    <t>14712857</t>
  </si>
  <si>
    <t>Clinical Research and Regulatory Affairs</t>
  </si>
  <si>
    <t>10601333</t>
  </si>
  <si>
    <t>15322521</t>
  </si>
  <si>
    <t>Gynaecologia et Perinatologia</t>
  </si>
  <si>
    <t>13300091</t>
  </si>
  <si>
    <t>Naprijed</t>
  </si>
  <si>
    <t>Water Environment Research</t>
  </si>
  <si>
    <t>10614303</t>
  </si>
  <si>
    <t>15547531</t>
  </si>
  <si>
    <t>Water Environment Federation</t>
  </si>
  <si>
    <t>Portland Customer Services</t>
  </si>
  <si>
    <t>Cerebral Cortex</t>
  </si>
  <si>
    <t>10473211</t>
  </si>
  <si>
    <t>14602199</t>
  </si>
  <si>
    <t>European Neuropsychopharmacology</t>
  </si>
  <si>
    <t>0924977X</t>
  </si>
  <si>
    <t>18737862</t>
  </si>
  <si>
    <t>BioEssays</t>
  </si>
  <si>
    <t>02659247</t>
  </si>
  <si>
    <t>15211878</t>
  </si>
  <si>
    <t>British Journal of Cardiology</t>
  </si>
  <si>
    <t>09696113</t>
  </si>
  <si>
    <t>MediNews (Cardiology) Ltd</t>
  </si>
  <si>
    <t>Journal of Pharmacological and Toxicological Methods</t>
  </si>
  <si>
    <t>10568719</t>
  </si>
  <si>
    <t>1873488X</t>
  </si>
  <si>
    <t>Archives of Gastroenterohepatology</t>
  </si>
  <si>
    <t>03542440</t>
  </si>
  <si>
    <t>Serbian Medical Association</t>
  </si>
  <si>
    <t>Journal of Assisted Reproduction and Genetics</t>
  </si>
  <si>
    <t>10580468</t>
  </si>
  <si>
    <t>15737330</t>
  </si>
  <si>
    <t>Nordic Journal of Psychiatry</t>
  </si>
  <si>
    <t>08039488</t>
  </si>
  <si>
    <t>15024725</t>
  </si>
  <si>
    <t>Mediators of Inflammation</t>
  </si>
  <si>
    <t>09629351</t>
  </si>
  <si>
    <t>14661861</t>
  </si>
  <si>
    <t>Actualizaciones en Anestesiologia y Reanimacion</t>
  </si>
  <si>
    <t>11320095</t>
  </si>
  <si>
    <t>Foot</t>
  </si>
  <si>
    <t>09582592</t>
  </si>
  <si>
    <t>15322963</t>
  </si>
  <si>
    <t>Breast</t>
  </si>
  <si>
    <t>09609776</t>
  </si>
  <si>
    <t>15323080</t>
  </si>
  <si>
    <t>Annals of Anatomy</t>
  </si>
  <si>
    <t>09409602</t>
  </si>
  <si>
    <t>16180402</t>
  </si>
  <si>
    <t>Surgery Today</t>
  </si>
  <si>
    <t>09411291</t>
  </si>
  <si>
    <t>14362813</t>
  </si>
  <si>
    <t>Imaging</t>
  </si>
  <si>
    <t>09656812</t>
  </si>
  <si>
    <t>17488818</t>
  </si>
  <si>
    <t>International Archives of Allergy and Immunology</t>
  </si>
  <si>
    <t>10182438</t>
  </si>
  <si>
    <t>14230097</t>
  </si>
  <si>
    <t>Brain Pathology</t>
  </si>
  <si>
    <t>10156305</t>
  </si>
  <si>
    <t>17503639</t>
  </si>
  <si>
    <t>Klinicka Imunologia a Alergologia</t>
  </si>
  <si>
    <t>13350013</t>
  </si>
  <si>
    <t>Oddelenie Klinickej Imunologie FN</t>
  </si>
  <si>
    <t>CZCH/ENGL</t>
  </si>
  <si>
    <t>Molecular Biology of the Cell</t>
  </si>
  <si>
    <t>10591524</t>
  </si>
  <si>
    <t>19394586</t>
  </si>
  <si>
    <t>American Society for Cell Biology</t>
  </si>
  <si>
    <t>Journal of Anesthesia</t>
  </si>
  <si>
    <t>09138668</t>
  </si>
  <si>
    <t>14388359</t>
  </si>
  <si>
    <t>Journal of Japanese Dental Society of Anesthesiology</t>
  </si>
  <si>
    <t>03865835</t>
  </si>
  <si>
    <t>Japanese Dental Society of Anesthesiology</t>
  </si>
  <si>
    <t>Osaka University Faculty of Dentistry</t>
  </si>
  <si>
    <t>ASAIO Journal</t>
  </si>
  <si>
    <t>10582916</t>
  </si>
  <si>
    <t>1538943X</t>
  </si>
  <si>
    <t>Acta Pharmaceutica</t>
  </si>
  <si>
    <t>13300075</t>
  </si>
  <si>
    <t>18469558</t>
  </si>
  <si>
    <t>Nature Genetics</t>
  </si>
  <si>
    <t>10614036</t>
  </si>
  <si>
    <t>15461718</t>
  </si>
  <si>
    <t>Cardiology in Review</t>
  </si>
  <si>
    <t>10615377</t>
  </si>
  <si>
    <t>15384683</t>
  </si>
  <si>
    <t>Blood Pressure</t>
  </si>
  <si>
    <t>08037051</t>
  </si>
  <si>
    <t>16511999</t>
  </si>
  <si>
    <t>Journal of Endourology</t>
  </si>
  <si>
    <t>08927790</t>
  </si>
  <si>
    <t>1557900X</t>
  </si>
  <si>
    <t>Proceedings of the Controlled Release Society</t>
  </si>
  <si>
    <t>10220178</t>
  </si>
  <si>
    <t>Controlled Release Society</t>
  </si>
  <si>
    <t>Gastrointestinal Endoscopy Clinics of North America</t>
  </si>
  <si>
    <t>10525157</t>
  </si>
  <si>
    <t>15581950</t>
  </si>
  <si>
    <t>Klinicka Onkologie</t>
  </si>
  <si>
    <t>0862495X</t>
  </si>
  <si>
    <t>18025307</t>
  </si>
  <si>
    <t>European Journal of Cancer Prevention</t>
  </si>
  <si>
    <t>09598278</t>
  </si>
  <si>
    <t>14735709</t>
  </si>
  <si>
    <t>Biochemia Medica</t>
  </si>
  <si>
    <t>13300962</t>
  </si>
  <si>
    <t>Biochemia Medica, Editorial Office</t>
  </si>
  <si>
    <t>Journal of Environmental Science and Health - Part C Environmental Carcinogenesis and Ecotoxicology Reviews</t>
  </si>
  <si>
    <t>10590501</t>
  </si>
  <si>
    <t>15324095</t>
  </si>
  <si>
    <t>Human Mutation</t>
  </si>
  <si>
    <t>10597794</t>
  </si>
  <si>
    <t>10981004</t>
  </si>
  <si>
    <t>Internal Medicine</t>
  </si>
  <si>
    <t>09182918</t>
  </si>
  <si>
    <t>13497235</t>
  </si>
  <si>
    <t>Japanese Society of Internal Medicine</t>
  </si>
  <si>
    <t>Minerva Gastroenterologica e Dietologica</t>
  </si>
  <si>
    <t>1121421X</t>
  </si>
  <si>
    <t>18271642</t>
  </si>
  <si>
    <t>European Spine Journal</t>
  </si>
  <si>
    <t>09406719</t>
  </si>
  <si>
    <t>14320932</t>
  </si>
  <si>
    <t>International Journal of Oncology</t>
  </si>
  <si>
    <t>10196439</t>
  </si>
  <si>
    <t>17912423</t>
  </si>
  <si>
    <t>Spandidos Publications</t>
  </si>
  <si>
    <t>Molecular and Cellular Probes</t>
  </si>
  <si>
    <t>08908508</t>
  </si>
  <si>
    <t>10961194</t>
  </si>
  <si>
    <t>Confinia Cephalalgica</t>
  </si>
  <si>
    <t>11220279</t>
  </si>
  <si>
    <t>Fondazione CIRNA</t>
  </si>
  <si>
    <t>Redazione Editoriale</t>
  </si>
  <si>
    <t>Experimental Dermatology</t>
  </si>
  <si>
    <t>09066705</t>
  </si>
  <si>
    <t>16000625</t>
  </si>
  <si>
    <t>Scandinavian Journal of Immunology, Supplement</t>
  </si>
  <si>
    <t>03016323</t>
  </si>
  <si>
    <t>Blackwell Publishing Ltd.</t>
  </si>
  <si>
    <t>Seizure</t>
  </si>
  <si>
    <t>10591311</t>
  </si>
  <si>
    <t>15322688</t>
  </si>
  <si>
    <t>BioMetals</t>
  </si>
  <si>
    <t>09660844</t>
  </si>
  <si>
    <t>15728773</t>
  </si>
  <si>
    <t>Journal of the European Academy of Dermatology and Venereology</t>
  </si>
  <si>
    <t>09269959</t>
  </si>
  <si>
    <t>14683083</t>
  </si>
  <si>
    <t>European Journal of Pharmaceutical Sciences</t>
  </si>
  <si>
    <t>09280987</t>
  </si>
  <si>
    <t>18790720</t>
  </si>
  <si>
    <t>Journal of Colloid and Interface Science</t>
  </si>
  <si>
    <t>00219797</t>
  </si>
  <si>
    <t>10957103</t>
  </si>
  <si>
    <t>Radiology and Oncology</t>
  </si>
  <si>
    <t>13182099</t>
  </si>
  <si>
    <t>15813207</t>
  </si>
  <si>
    <t>Slovenian Medical Society / Croatian Medical Association</t>
  </si>
  <si>
    <t>Journal of Preventive Medicine and Hygiene</t>
  </si>
  <si>
    <t>11212233</t>
  </si>
  <si>
    <t>Italian Journal of Gynaecology and Obstetrics</t>
  </si>
  <si>
    <t>11218339</t>
  </si>
  <si>
    <t>S.I.G.O. Publishing Co</t>
  </si>
  <si>
    <t>Societa Italiana di Ginecologia e Ostetricia</t>
  </si>
  <si>
    <t>Trends in Microbiology</t>
  </si>
  <si>
    <t>0966842X</t>
  </si>
  <si>
    <t>18784380</t>
  </si>
  <si>
    <t>Clinical and Experimental Dermatology, Supplement</t>
  </si>
  <si>
    <t>09663487</t>
  </si>
  <si>
    <t>Zdravniski Vestnik</t>
  </si>
  <si>
    <t>13180347</t>
  </si>
  <si>
    <t>15810224</t>
  </si>
  <si>
    <t>Slovene Medical Society</t>
  </si>
  <si>
    <t>ENGL/SLVN</t>
  </si>
  <si>
    <t>European Journal of Human Genetics</t>
  </si>
  <si>
    <t>10184813</t>
  </si>
  <si>
    <t>14765438</t>
  </si>
  <si>
    <t>European Journal of Pediatric Dermatology</t>
  </si>
  <si>
    <t>11227672</t>
  </si>
  <si>
    <t>22395709</t>
  </si>
  <si>
    <t>Dermatologia Peditrica</t>
  </si>
  <si>
    <t>Journal of Diabetes and its Complications</t>
  </si>
  <si>
    <t>10568727</t>
  </si>
  <si>
    <t>1873460X</t>
  </si>
  <si>
    <t>Archives of Medical Research</t>
  </si>
  <si>
    <t>01884409</t>
  </si>
  <si>
    <t>18735487</t>
  </si>
  <si>
    <t>Hypertension in Pregnancy</t>
  </si>
  <si>
    <t>10641955</t>
  </si>
  <si>
    <t>15256065</t>
  </si>
  <si>
    <t>Paediatria Croatica</t>
  </si>
  <si>
    <t>13301403</t>
  </si>
  <si>
    <t>1846405X</t>
  </si>
  <si>
    <t>Children's Hospital Zagreb</t>
  </si>
  <si>
    <t>Allergo Journal</t>
  </si>
  <si>
    <t>09418849</t>
  </si>
  <si>
    <t>Urban und Vogel GmbH</t>
  </si>
  <si>
    <t>NeuroImage</t>
  </si>
  <si>
    <t>10538119</t>
  </si>
  <si>
    <t>10959572</t>
  </si>
  <si>
    <t>Japanese Journal of Neurosurgery</t>
  </si>
  <si>
    <t>0917950X</t>
  </si>
  <si>
    <t>Japanese Congress of Neurological Surgeons</t>
  </si>
  <si>
    <t>Stem Cells</t>
  </si>
  <si>
    <t>10665099</t>
  </si>
  <si>
    <t>15494918</t>
  </si>
  <si>
    <t>British Journal of Biomedical Science</t>
  </si>
  <si>
    <t>09674845</t>
  </si>
  <si>
    <t>Step Publishing Ltd.</t>
  </si>
  <si>
    <t>Cell Biology International</t>
  </si>
  <si>
    <t>10656995</t>
  </si>
  <si>
    <t>10958355</t>
  </si>
  <si>
    <t>Zeitschrift fur Medizinische Physik</t>
  </si>
  <si>
    <t>09393889</t>
  </si>
  <si>
    <t>18764436</t>
  </si>
  <si>
    <t>Seminars in Pediatric Surgery</t>
  </si>
  <si>
    <t>10558586</t>
  </si>
  <si>
    <t>15329453</t>
  </si>
  <si>
    <t>Chromosome Research</t>
  </si>
  <si>
    <t>09673849</t>
  </si>
  <si>
    <t>15736849</t>
  </si>
  <si>
    <t>Ecotoxicology</t>
  </si>
  <si>
    <t>09639292</t>
  </si>
  <si>
    <t>15733017</t>
  </si>
  <si>
    <t>Infectious Diseases in Clinical Practice</t>
  </si>
  <si>
    <t>10569103</t>
  </si>
  <si>
    <t>15369943</t>
  </si>
  <si>
    <t>Cardiovascular Pathology</t>
  </si>
  <si>
    <t>10548807</t>
  </si>
  <si>
    <t>18791336</t>
  </si>
  <si>
    <t>Journal of Rheumatology and Medical Rehabilitation</t>
  </si>
  <si>
    <t>13000691</t>
  </si>
  <si>
    <t>Hacettepe Universitesi Tip Fakultesi</t>
  </si>
  <si>
    <t>Journal of Heart Valve Disease</t>
  </si>
  <si>
    <t>09668519</t>
  </si>
  <si>
    <t>ICR Publishers Ltd</t>
  </si>
  <si>
    <t>ICR Publishers Ltd.</t>
  </si>
  <si>
    <t>Critical Reviews in Physical and Rehabilitation Medicine</t>
  </si>
  <si>
    <t>08962960</t>
  </si>
  <si>
    <t>21626553</t>
  </si>
  <si>
    <t>Abdominal Imaging</t>
  </si>
  <si>
    <t>09428925</t>
  </si>
  <si>
    <t>14320509</t>
  </si>
  <si>
    <t>Journal of Physiology Paris</t>
  </si>
  <si>
    <t>09284257</t>
  </si>
  <si>
    <t>17697115</t>
  </si>
  <si>
    <t>Journal of Foot and Ankle Surgery</t>
  </si>
  <si>
    <t>10672516</t>
  </si>
  <si>
    <t>15422224</t>
  </si>
  <si>
    <t>Clinical and Experimental Hypertension</t>
  </si>
  <si>
    <t>10641963</t>
  </si>
  <si>
    <t>15256006</t>
  </si>
  <si>
    <t>Biological and Pharmaceutical Bulletin</t>
  </si>
  <si>
    <t>09186158</t>
  </si>
  <si>
    <t>13475215</t>
  </si>
  <si>
    <t>International Forum of Psychoanalysis</t>
  </si>
  <si>
    <t>0803706X</t>
  </si>
  <si>
    <t>16512324</t>
  </si>
  <si>
    <t>Journal de Mycologie Medicale</t>
  </si>
  <si>
    <t>11565233</t>
  </si>
  <si>
    <t>17730449</t>
  </si>
  <si>
    <t>Rheumatologia</t>
  </si>
  <si>
    <t>12101931</t>
  </si>
  <si>
    <t>SLVK/ENGL</t>
  </si>
  <si>
    <t>Medecine Nucleaire</t>
  </si>
  <si>
    <t>09281258</t>
  </si>
  <si>
    <t>18786820</t>
  </si>
  <si>
    <t>Osteoarthritis and Cartilage</t>
  </si>
  <si>
    <t>10634584</t>
  </si>
  <si>
    <t>15229653</t>
  </si>
  <si>
    <t>Medizinische Genetik</t>
  </si>
  <si>
    <t>09365931</t>
  </si>
  <si>
    <t>18635490</t>
  </si>
  <si>
    <t>Complementary Therapies in Medicine</t>
  </si>
  <si>
    <t>09652299</t>
  </si>
  <si>
    <t>18736963</t>
  </si>
  <si>
    <t>Food and Drug Law Journal</t>
  </si>
  <si>
    <t>1064590X</t>
  </si>
  <si>
    <t>Food and Drug Law Institute</t>
  </si>
  <si>
    <t>Transplant Immunology</t>
  </si>
  <si>
    <t>09663274</t>
  </si>
  <si>
    <t>18785492</t>
  </si>
  <si>
    <t>Acta Dermatovenerologica Croatica</t>
  </si>
  <si>
    <t>1330027X</t>
  </si>
  <si>
    <t>Croatian Dermatovenerological Society</t>
  </si>
  <si>
    <t>Journal of Food and Drug Analysis</t>
  </si>
  <si>
    <t>10219498</t>
  </si>
  <si>
    <t>Elsevier Taiwan LLC</t>
  </si>
  <si>
    <t>Journal of Drug Targeting</t>
  </si>
  <si>
    <t>1061186X</t>
  </si>
  <si>
    <t>10292330</t>
  </si>
  <si>
    <t>American Journal on Addictions</t>
  </si>
  <si>
    <t>10550496</t>
  </si>
  <si>
    <t>15210391</t>
  </si>
  <si>
    <t>American Journal of Geriatric Psychiatry</t>
  </si>
  <si>
    <t>10647481</t>
  </si>
  <si>
    <t>15457214</t>
  </si>
  <si>
    <t>Experimental and Clinical Psychopharmacology</t>
  </si>
  <si>
    <t>10641297</t>
  </si>
  <si>
    <t>19362293</t>
  </si>
  <si>
    <t>Gene Therapy</t>
  </si>
  <si>
    <t>09697128</t>
  </si>
  <si>
    <t>14765462</t>
  </si>
  <si>
    <t>Endocrine Journal</t>
  </si>
  <si>
    <t>09188959</t>
  </si>
  <si>
    <t>13484540</t>
  </si>
  <si>
    <t>Japan Endocrine Society</t>
  </si>
  <si>
    <t>Psychiatrische Praxis, Supplement</t>
  </si>
  <si>
    <t>09343008</t>
  </si>
  <si>
    <t>16118340</t>
  </si>
  <si>
    <t>Acta Dermatovenerologica Alpina, Pannonica et Adriatica</t>
  </si>
  <si>
    <t>13184458</t>
  </si>
  <si>
    <t>Slovenian Medical Society</t>
  </si>
  <si>
    <t>Acta Dermatovenerologica Alpina, Panonica et Adriatica</t>
  </si>
  <si>
    <t>Harvard Review of Psychiatry</t>
  </si>
  <si>
    <t>10673229</t>
  </si>
  <si>
    <t>14657309</t>
  </si>
  <si>
    <t>Journal of Nuclear Cardiology</t>
  </si>
  <si>
    <t>10713581</t>
  </si>
  <si>
    <t>15326551</t>
  </si>
  <si>
    <t>Zentralsterilisation - Central Service</t>
  </si>
  <si>
    <t>09426086</t>
  </si>
  <si>
    <t>mhp-Verlag GmbH</t>
  </si>
  <si>
    <t>Journal of Medical Ultrasound</t>
  </si>
  <si>
    <t>09296441</t>
  </si>
  <si>
    <t>Journal of Child and Adolescent Psychopharmacology</t>
  </si>
  <si>
    <t>10445463</t>
  </si>
  <si>
    <t>15578992</t>
  </si>
  <si>
    <t>Journal of Biopharmaceutical Statistics</t>
  </si>
  <si>
    <t>10543406</t>
  </si>
  <si>
    <t>15205711</t>
  </si>
  <si>
    <t>Neurology Psychiatry and Brain Research</t>
  </si>
  <si>
    <t>09419500</t>
  </si>
  <si>
    <t>Elsevier GmbH</t>
  </si>
  <si>
    <t>Reproduction Humaine et Hormones</t>
  </si>
  <si>
    <t>09943919</t>
  </si>
  <si>
    <t>Medico e Bambino</t>
  </si>
  <si>
    <t>15913090</t>
  </si>
  <si>
    <t>Infectious Diseases in Obstetrics and Gynecology</t>
  </si>
  <si>
    <t>10647449</t>
  </si>
  <si>
    <t>10980997</t>
  </si>
  <si>
    <t>American Journal of Respiratory and Critical Care Medicine</t>
  </si>
  <si>
    <t>1073449X</t>
  </si>
  <si>
    <t>15354970</t>
  </si>
  <si>
    <t>American Thoracic Society</t>
  </si>
  <si>
    <t>Erciyes Tip Dergisi</t>
  </si>
  <si>
    <t>1300199X</t>
  </si>
  <si>
    <t>AVES Ibrahim Kara</t>
  </si>
  <si>
    <t>European Child and Adolescent Psychiatry</t>
  </si>
  <si>
    <t>10188827</t>
  </si>
  <si>
    <t>1435165X</t>
  </si>
  <si>
    <t>Journal of Biomedical Science</t>
  </si>
  <si>
    <t>10217770</t>
  </si>
  <si>
    <t>14230127</t>
  </si>
  <si>
    <t>NeuroImmunoModulation</t>
  </si>
  <si>
    <t>10217401</t>
  </si>
  <si>
    <t>14230216</t>
  </si>
  <si>
    <t>Archives de Pediatrie</t>
  </si>
  <si>
    <t>0929693X</t>
  </si>
  <si>
    <t>1769664X</t>
  </si>
  <si>
    <t>Progress in Retinal and Eye Research</t>
  </si>
  <si>
    <t>13509462</t>
  </si>
  <si>
    <t>18731635</t>
  </si>
  <si>
    <t>Journal of Neuro-Ophthalmology</t>
  </si>
  <si>
    <t>10708022</t>
  </si>
  <si>
    <t>15365166</t>
  </si>
  <si>
    <t>Microbiology (United Kingdom)</t>
  </si>
  <si>
    <t>13500872</t>
  </si>
  <si>
    <t>14652080</t>
  </si>
  <si>
    <t>European Journal of Endocrinology</t>
  </si>
  <si>
    <t>08044643</t>
  </si>
  <si>
    <t>1479683X</t>
  </si>
  <si>
    <t>Medical Engineering and Physics</t>
  </si>
  <si>
    <t>13504533</t>
  </si>
  <si>
    <t>18734030</t>
  </si>
  <si>
    <t>Ocular Immunology and Inflammation</t>
  </si>
  <si>
    <t>09273948</t>
  </si>
  <si>
    <t>17445078</t>
  </si>
  <si>
    <t>Journal of Korean Society for Clinical Pharmacology and Therapeutics</t>
  </si>
  <si>
    <t>12255467</t>
  </si>
  <si>
    <t>Korean Society Clinical Pharmacology and Therapeutics</t>
  </si>
  <si>
    <t>E-flow PDF Korean Society Clinical Pharmacology and Therapeutics</t>
  </si>
  <si>
    <t>KORA</t>
  </si>
  <si>
    <t>Occupational and Environmental Medicine</t>
  </si>
  <si>
    <t>13510711</t>
  </si>
  <si>
    <t>14707926</t>
  </si>
  <si>
    <t>Critical Reviews in Environmental Science and Technology</t>
  </si>
  <si>
    <t>10643389</t>
  </si>
  <si>
    <t>15476537</t>
  </si>
  <si>
    <t>European Eating Disorders Review</t>
  </si>
  <si>
    <t>10724133</t>
  </si>
  <si>
    <t>10990968</t>
  </si>
  <si>
    <t>Current Opinion in Neurology</t>
  </si>
  <si>
    <t>13507540</t>
  </si>
  <si>
    <t>14736551</t>
  </si>
  <si>
    <t>Virchows Archiv</t>
  </si>
  <si>
    <t>09456317</t>
  </si>
  <si>
    <t>14322307</t>
  </si>
  <si>
    <t>Biocell</t>
  </si>
  <si>
    <t>03279545</t>
  </si>
  <si>
    <t>16675746</t>
  </si>
  <si>
    <t>Universidad Nacional de Cuyo</t>
  </si>
  <si>
    <t>Reproductive Health Matters</t>
  </si>
  <si>
    <t>09688080</t>
  </si>
  <si>
    <t>14609576</t>
  </si>
  <si>
    <t>Seminars in Respiratory and Critical Care Medicine</t>
  </si>
  <si>
    <t>10693424</t>
  </si>
  <si>
    <t>10989048</t>
  </si>
  <si>
    <t>Ophthalmic Genetics</t>
  </si>
  <si>
    <t>13816810</t>
  </si>
  <si>
    <t>17445094</t>
  </si>
  <si>
    <t>Pathology International</t>
  </si>
  <si>
    <t>13205463</t>
  </si>
  <si>
    <t>14401827</t>
  </si>
  <si>
    <t>Free Radical Research</t>
  </si>
  <si>
    <t>10715762</t>
  </si>
  <si>
    <t>10292470</t>
  </si>
  <si>
    <t>Drugs and Therapy Perspectives</t>
  </si>
  <si>
    <t>11720360</t>
  </si>
  <si>
    <t>11791977</t>
  </si>
  <si>
    <t>Oncology Reports</t>
  </si>
  <si>
    <t>1021335X</t>
  </si>
  <si>
    <t>17912431</t>
  </si>
  <si>
    <t>Endocrine-Related Cancer</t>
  </si>
  <si>
    <t>13510088</t>
  </si>
  <si>
    <t>14796821</t>
  </si>
  <si>
    <t>Foot and Ankle International</t>
  </si>
  <si>
    <t>10711007</t>
  </si>
  <si>
    <t>19447876</t>
  </si>
  <si>
    <t>Journal of the American College of Surgeons</t>
  </si>
  <si>
    <t>10727515</t>
  </si>
  <si>
    <t>18791190</t>
  </si>
  <si>
    <t>International Journal of Industrial Ergonomics</t>
  </si>
  <si>
    <t>01698141</t>
  </si>
  <si>
    <t>18728219</t>
  </si>
  <si>
    <t>Osteologie</t>
  </si>
  <si>
    <t>10191291</t>
  </si>
  <si>
    <t>Statistical Methods in Medical Research</t>
  </si>
  <si>
    <t>09622802</t>
  </si>
  <si>
    <t>14770334</t>
  </si>
  <si>
    <t>International Journal of Clinical Pharmacology and Therapeutics</t>
  </si>
  <si>
    <t>09461965</t>
  </si>
  <si>
    <t>Current Opinion in Otolaryngology and Head and Neck Surgery</t>
  </si>
  <si>
    <t>10689508</t>
  </si>
  <si>
    <t>15316998</t>
  </si>
  <si>
    <t>Turkish Journal of Medical Sciences</t>
  </si>
  <si>
    <t>13000144</t>
  </si>
  <si>
    <t>Turkiye Klinikleri Journal of Medical Sciences</t>
  </si>
  <si>
    <t>Bioorganic and Medicinal Chemistry</t>
  </si>
  <si>
    <t>09680896</t>
  </si>
  <si>
    <t>14643391</t>
  </si>
  <si>
    <t>Journal of Applied Biomechanics</t>
  </si>
  <si>
    <t>10658483</t>
  </si>
  <si>
    <t>15432688</t>
  </si>
  <si>
    <t>Human Kinetics Publishers Inc.</t>
  </si>
  <si>
    <t>Medical Law International</t>
  </si>
  <si>
    <t>09685332</t>
  </si>
  <si>
    <t>20479441</t>
  </si>
  <si>
    <t>Biotherapy (Japan)</t>
  </si>
  <si>
    <t>09142223</t>
  </si>
  <si>
    <t>Japanese Society for Cancer Chemotherapy</t>
  </si>
  <si>
    <t>Ceska Revmatologie</t>
  </si>
  <si>
    <t>12107905</t>
  </si>
  <si>
    <t>E-flow PDF Czech Medical Association J.E. Purkyne</t>
  </si>
  <si>
    <t>Expert Opinion on Investigational Drugs</t>
  </si>
  <si>
    <t>13543784</t>
  </si>
  <si>
    <t>17447658</t>
  </si>
  <si>
    <t>Journal of Chromatography A</t>
  </si>
  <si>
    <t>00219673</t>
  </si>
  <si>
    <t>18733778</t>
  </si>
  <si>
    <t>Journal of Gastroenterology</t>
  </si>
  <si>
    <t>09441174</t>
  </si>
  <si>
    <t>14355922</t>
  </si>
  <si>
    <t>Neurogastroenterology and Motility</t>
  </si>
  <si>
    <t>13501925</t>
  </si>
  <si>
    <t>13652982</t>
  </si>
  <si>
    <t>American Journal of Therapeutics</t>
  </si>
  <si>
    <t>10752765</t>
  </si>
  <si>
    <t>15363686</t>
  </si>
  <si>
    <t>Hematologie</t>
  </si>
  <si>
    <t>12647527</t>
  </si>
  <si>
    <t>19506368</t>
  </si>
  <si>
    <t>Matrix Biology</t>
  </si>
  <si>
    <t>0945053X</t>
  </si>
  <si>
    <t>15691802</t>
  </si>
  <si>
    <t>Ceska a Slovenska Farmacie</t>
  </si>
  <si>
    <t>12107816</t>
  </si>
  <si>
    <t>Atmospheric Environment</t>
  </si>
  <si>
    <t>13522310</t>
  </si>
  <si>
    <t>18732844</t>
  </si>
  <si>
    <t>Expert Opinion on Therapeutic Patents</t>
  </si>
  <si>
    <t>13543776</t>
  </si>
  <si>
    <t>17447674</t>
  </si>
  <si>
    <t>Ceska Radiologie</t>
  </si>
  <si>
    <t>12107883</t>
  </si>
  <si>
    <t>Neurosurgery Clinics of North America</t>
  </si>
  <si>
    <t>10423680</t>
  </si>
  <si>
    <t>15581349</t>
  </si>
  <si>
    <t>Physical Medicine and Rehabilitation Clinics of North America</t>
  </si>
  <si>
    <t>10479651</t>
  </si>
  <si>
    <t>15581381</t>
  </si>
  <si>
    <t>Child and Adolescent Psychiatric Clinics of North America</t>
  </si>
  <si>
    <t>10564993</t>
  </si>
  <si>
    <t>15580490</t>
  </si>
  <si>
    <t>Cancer Control</t>
  </si>
  <si>
    <t>10732748</t>
  </si>
  <si>
    <t>15262359</t>
  </si>
  <si>
    <t>H. Lee Moffitt Cancer Center and Research Institute</t>
  </si>
  <si>
    <t>PDA Journal of Pharmaceutical Science and Technology</t>
  </si>
  <si>
    <t>10797440</t>
  </si>
  <si>
    <t>19482124</t>
  </si>
  <si>
    <t>Parenteral Drug Association Inc.</t>
  </si>
  <si>
    <t>Parenteral Drug Association, Inc.</t>
  </si>
  <si>
    <t>Pathophysiology</t>
  </si>
  <si>
    <t>09284680</t>
  </si>
  <si>
    <t>1873149X</t>
  </si>
  <si>
    <t>Drug Delivery</t>
  </si>
  <si>
    <t>10717544</t>
  </si>
  <si>
    <t>15210464</t>
  </si>
  <si>
    <t>Psychology of Addictive Behaviors</t>
  </si>
  <si>
    <t>0893164X</t>
  </si>
  <si>
    <t>19391501</t>
  </si>
  <si>
    <t>Educational Publishing Foundation</t>
  </si>
  <si>
    <t>Psychological Assessment</t>
  </si>
  <si>
    <t>10403590</t>
  </si>
  <si>
    <t>1939134X</t>
  </si>
  <si>
    <t>Psychology and Aging</t>
  </si>
  <si>
    <t>08827974</t>
  </si>
  <si>
    <t>19391498</t>
  </si>
  <si>
    <t>Molecular Membrane Biology</t>
  </si>
  <si>
    <t>09687688</t>
  </si>
  <si>
    <t>14645203</t>
  </si>
  <si>
    <t>Endocrine</t>
  </si>
  <si>
    <t>1355008X</t>
  </si>
  <si>
    <t>15590100</t>
  </si>
  <si>
    <t>Australian Prescriber</t>
  </si>
  <si>
    <t>03128008</t>
  </si>
  <si>
    <t>National Prescribing Service</t>
  </si>
  <si>
    <t>Indian Journal of Medical Research</t>
  </si>
  <si>
    <t>09715916</t>
  </si>
  <si>
    <t>Indian Council of Medical Research</t>
  </si>
  <si>
    <t>Neural Networks</t>
  </si>
  <si>
    <t>08936080</t>
  </si>
  <si>
    <t>18792782</t>
  </si>
  <si>
    <t>Current Opinion in Nephrology and Hypertension</t>
  </si>
  <si>
    <t>10624821</t>
  </si>
  <si>
    <t>14736543</t>
  </si>
  <si>
    <t>Immunity</t>
  </si>
  <si>
    <t>10747613</t>
  </si>
  <si>
    <t>10974180</t>
  </si>
  <si>
    <t>Progress in Pediatric Cardiology</t>
  </si>
  <si>
    <t>10589813</t>
  </si>
  <si>
    <t>CNS Drugs</t>
  </si>
  <si>
    <t>11727047</t>
  </si>
  <si>
    <t>11791934</t>
  </si>
  <si>
    <t>Clinical Pulmonary Medicine</t>
  </si>
  <si>
    <t>10680640</t>
  </si>
  <si>
    <t>15365956</t>
  </si>
  <si>
    <t>Neurobiology of Disease</t>
  </si>
  <si>
    <t>09699961</t>
  </si>
  <si>
    <t>1095953X</t>
  </si>
  <si>
    <t>Journal of Mental Health</t>
  </si>
  <si>
    <t>09638237</t>
  </si>
  <si>
    <t>13600567</t>
  </si>
  <si>
    <t>Schmerz</t>
  </si>
  <si>
    <t>0932433X</t>
  </si>
  <si>
    <t>14322129</t>
  </si>
  <si>
    <t>Modern Pathology</t>
  </si>
  <si>
    <t>08933952</t>
  </si>
  <si>
    <t>15300285</t>
  </si>
  <si>
    <t>Human Brain Mapping</t>
  </si>
  <si>
    <t>10659471</t>
  </si>
  <si>
    <t>10970193</t>
  </si>
  <si>
    <t>Taiwan Pharmaceutical Journal</t>
  </si>
  <si>
    <t>10161015</t>
  </si>
  <si>
    <t>Pharmaceutical Society of Republic of China</t>
  </si>
  <si>
    <t>Current Medicinal Chemistry</t>
  </si>
  <si>
    <t>09298673</t>
  </si>
  <si>
    <t>1875533X</t>
  </si>
  <si>
    <t>Bentham Science Publishers B.V.</t>
  </si>
  <si>
    <t>E-flow Bentham Science Publishers Ltd</t>
  </si>
  <si>
    <t>Protein and Peptide Letters</t>
  </si>
  <si>
    <t>09298665</t>
  </si>
  <si>
    <t>Diagnostic and Therapeutic Endoscopy</t>
  </si>
  <si>
    <t>10703608</t>
  </si>
  <si>
    <t>10290516</t>
  </si>
  <si>
    <t>Clinical Pediatric Endocrinology</t>
  </si>
  <si>
    <t>09185739</t>
  </si>
  <si>
    <t>13477358</t>
  </si>
  <si>
    <t>Jeff Corporation Co. Ltd</t>
  </si>
  <si>
    <t>Medical Oncology</t>
  </si>
  <si>
    <t>13570560</t>
  </si>
  <si>
    <t>1559131X</t>
  </si>
  <si>
    <t>Neurobiology of Learning and Memory</t>
  </si>
  <si>
    <t>10747427</t>
  </si>
  <si>
    <t>10959564</t>
  </si>
  <si>
    <t>Romanian Journal of Legal Medicine</t>
  </si>
  <si>
    <t>12218618</t>
  </si>
  <si>
    <t>18448585</t>
  </si>
  <si>
    <t>Romanian Legal Medicine Society</t>
  </si>
  <si>
    <t>RUMA/ENGL/FREN</t>
  </si>
  <si>
    <t>Journal of the College of Physicians and Surgeons Pakistan</t>
  </si>
  <si>
    <t>1022386X</t>
  </si>
  <si>
    <t>College of Physicians and Surgeons Pakistan</t>
  </si>
  <si>
    <t>Virologica Sinica</t>
  </si>
  <si>
    <t>16740769</t>
  </si>
  <si>
    <t>1995820X</t>
  </si>
  <si>
    <t>Science Press</t>
  </si>
  <si>
    <t>ANAE - Approche Neuropsychologique des Apprentissages chez l'Enfant</t>
  </si>
  <si>
    <t>0999792X</t>
  </si>
  <si>
    <t>A.N.A.E</t>
  </si>
  <si>
    <t>A.N.A.E.</t>
  </si>
  <si>
    <t>Trace Elements and Electrolytes</t>
  </si>
  <si>
    <t>09462104</t>
  </si>
  <si>
    <t>Research Communications in Molecular Pathology and Pharmacology</t>
  </si>
  <si>
    <t>10780297</t>
  </si>
  <si>
    <t>PJD Publications Ltd</t>
  </si>
  <si>
    <t>Neuropsychiatrie</t>
  </si>
  <si>
    <t>09486259</t>
  </si>
  <si>
    <t>21941327</t>
  </si>
  <si>
    <t>Journal of Forensic Identification</t>
  </si>
  <si>
    <t>0895173X</t>
  </si>
  <si>
    <t>International Association for Identification</t>
  </si>
  <si>
    <t>Journal of Planar Chromatography - Modern TLC</t>
  </si>
  <si>
    <t>09334173</t>
  </si>
  <si>
    <t>17890993</t>
  </si>
  <si>
    <t>Research Institute for Medicinal Plants</t>
  </si>
  <si>
    <t>International Journal of Urology</t>
  </si>
  <si>
    <t>09198172</t>
  </si>
  <si>
    <t>14422042</t>
  </si>
  <si>
    <t>Blood Cells, Molecules, and Diseases</t>
  </si>
  <si>
    <t>10799796</t>
  </si>
  <si>
    <t>10960961</t>
  </si>
  <si>
    <t>European Journal of Anatomy</t>
  </si>
  <si>
    <t>11364890</t>
  </si>
  <si>
    <t>Sociedad Anatomica Espanola</t>
  </si>
  <si>
    <t>Journal of Interventional Cardiology</t>
  </si>
  <si>
    <t>08964327</t>
  </si>
  <si>
    <t>15408183</t>
  </si>
  <si>
    <t>Marmara Medical Journal</t>
  </si>
  <si>
    <t>10191941</t>
  </si>
  <si>
    <t>13099469</t>
  </si>
  <si>
    <t>Marmara University</t>
  </si>
  <si>
    <t>International Journal of Angiology</t>
  </si>
  <si>
    <t>10611711</t>
  </si>
  <si>
    <t>16155939</t>
  </si>
  <si>
    <t>Structure</t>
  </si>
  <si>
    <t>09692126</t>
  </si>
  <si>
    <t>18784186</t>
  </si>
  <si>
    <t>Emergency Radiology</t>
  </si>
  <si>
    <t>10703004</t>
  </si>
  <si>
    <t>14381435</t>
  </si>
  <si>
    <t>Journal of Mass Spectrometry</t>
  </si>
  <si>
    <t>10765174</t>
  </si>
  <si>
    <t>10969888</t>
  </si>
  <si>
    <t>International Journal of Surgical Pathology</t>
  </si>
  <si>
    <t>10668969</t>
  </si>
  <si>
    <t>19402465</t>
  </si>
  <si>
    <t>Journal of Mind and Behavior</t>
  </si>
  <si>
    <t>02710137</t>
  </si>
  <si>
    <t>Institute of Mind and Behavior Inc.</t>
  </si>
  <si>
    <t>E-Flow PDF Institute of Mind and Behavior, Inc</t>
  </si>
  <si>
    <t>Anesthesia and Resuscitation</t>
  </si>
  <si>
    <t>03851664</t>
  </si>
  <si>
    <t>American Journal of Medical Genetics, Part B: Neuropsychiatric Genetics</t>
  </si>
  <si>
    <t>15524841</t>
  </si>
  <si>
    <t>1552485X</t>
  </si>
  <si>
    <t>Dermatologic Surgery</t>
  </si>
  <si>
    <t>10760512</t>
  </si>
  <si>
    <t>15244725</t>
  </si>
  <si>
    <t>Journal of Molecular Medicine</t>
  </si>
  <si>
    <t>09462716</t>
  </si>
  <si>
    <t>14321440</t>
  </si>
  <si>
    <t>Nature Medicine</t>
  </si>
  <si>
    <t>10788956</t>
  </si>
  <si>
    <t>1546170X</t>
  </si>
  <si>
    <t>European Journal of Vascular and Endovascular Surgery</t>
  </si>
  <si>
    <t>10785884</t>
  </si>
  <si>
    <t>15322165</t>
  </si>
  <si>
    <t>Journal of Clinical Ligand Assay</t>
  </si>
  <si>
    <t>10811672</t>
  </si>
  <si>
    <t>Clinical Ligand Assay Society Inc.</t>
  </si>
  <si>
    <t>Clinical Ligand Assay Society, Inc.</t>
  </si>
  <si>
    <t>Jinekoloji ve Obstetri Bulteni</t>
  </si>
  <si>
    <t>13000438</t>
  </si>
  <si>
    <t>Hekimler Yayin Birligi</t>
  </si>
  <si>
    <t>Biomedical Reviews</t>
  </si>
  <si>
    <t>1310392X</t>
  </si>
  <si>
    <t>13141929</t>
  </si>
  <si>
    <t>Bulgarian-American Center</t>
  </si>
  <si>
    <t>Clinical Drug Investigation</t>
  </si>
  <si>
    <t>11732563</t>
  </si>
  <si>
    <t>11791918</t>
  </si>
  <si>
    <t>Cognitive and Behavioral Practice</t>
  </si>
  <si>
    <t>10777229</t>
  </si>
  <si>
    <t>1878187X</t>
  </si>
  <si>
    <t>Inflammatory Bowel Diseases</t>
  </si>
  <si>
    <t>10780998</t>
  </si>
  <si>
    <t>15364844</t>
  </si>
  <si>
    <t>Journal of Molecular Catalysis B: Enzymatic</t>
  </si>
  <si>
    <t>13811177</t>
  </si>
  <si>
    <t>18733158</t>
  </si>
  <si>
    <t>Health and Place</t>
  </si>
  <si>
    <t>13538292</t>
  </si>
  <si>
    <t>18732054</t>
  </si>
  <si>
    <t>Parkinsonism and Related Disorders</t>
  </si>
  <si>
    <t>13538020</t>
  </si>
  <si>
    <t>18735126</t>
  </si>
  <si>
    <t>Inflammation Research</t>
  </si>
  <si>
    <t>10233830</t>
  </si>
  <si>
    <t>1420908X</t>
  </si>
  <si>
    <t>European Journal of Neurology</t>
  </si>
  <si>
    <t>13515101</t>
  </si>
  <si>
    <t>14681331</t>
  </si>
  <si>
    <t>Revista del Instituto Nacional de Enfermedades Respiratorias</t>
  </si>
  <si>
    <t>01877585</t>
  </si>
  <si>
    <t>Instituto Nacional de Enfermedades Respiratorias</t>
  </si>
  <si>
    <t>Archives des Maladies du Coeur et des Vaisseaux - Pratique</t>
  </si>
  <si>
    <t>1261694X</t>
  </si>
  <si>
    <t>American Journal of Health-System Pharmacy</t>
  </si>
  <si>
    <t>10792082</t>
  </si>
  <si>
    <t>15352900</t>
  </si>
  <si>
    <t>American Society of Health-Systems Pharmacy</t>
  </si>
  <si>
    <t>Psychiatric Services</t>
  </si>
  <si>
    <t>10752730</t>
  </si>
  <si>
    <t>15579700</t>
  </si>
  <si>
    <t>Arteriosclerosis, Thrombosis, and Vascular Biology</t>
  </si>
  <si>
    <t>10795642</t>
  </si>
  <si>
    <t>15244636</t>
  </si>
  <si>
    <t>Journal of Pediatric Hematology/Oncology</t>
  </si>
  <si>
    <t>10774114</t>
  </si>
  <si>
    <t>15363678</t>
  </si>
  <si>
    <t>Technology and Disability</t>
  </si>
  <si>
    <t>10554181</t>
  </si>
  <si>
    <t>1878643X</t>
  </si>
  <si>
    <t>NeuroRehabilitation</t>
  </si>
  <si>
    <t>10538135</t>
  </si>
  <si>
    <t>18786448</t>
  </si>
  <si>
    <t>Journal of Vocational Rehabilitation</t>
  </si>
  <si>
    <t>10522263</t>
  </si>
  <si>
    <t>18786316</t>
  </si>
  <si>
    <t>Gait and Posture</t>
  </si>
  <si>
    <t>09666362</t>
  </si>
  <si>
    <t>18792219</t>
  </si>
  <si>
    <t>Journal of Occupational and Environmental Medicine</t>
  </si>
  <si>
    <t>10762752</t>
  </si>
  <si>
    <t>15365948</t>
  </si>
  <si>
    <t>European Addiction Research</t>
  </si>
  <si>
    <t>10226877</t>
  </si>
  <si>
    <t>14219891</t>
  </si>
  <si>
    <t>International Review of Allergology and Clinical Immunology</t>
  </si>
  <si>
    <t>12329142</t>
  </si>
  <si>
    <t>Medpress</t>
  </si>
  <si>
    <t>Chemistry and Biology</t>
  </si>
  <si>
    <t>10745521</t>
  </si>
  <si>
    <t>Academic Emergency Medicine</t>
  </si>
  <si>
    <t>10696563</t>
  </si>
  <si>
    <t>15532712</t>
  </si>
  <si>
    <t>Journal of Hand Therapy</t>
  </si>
  <si>
    <t>08941130</t>
  </si>
  <si>
    <t>1545004X</t>
  </si>
  <si>
    <t>Hanley and Belfus Inc.</t>
  </si>
  <si>
    <t>Medical Problems of Performing Artists</t>
  </si>
  <si>
    <t>08851158</t>
  </si>
  <si>
    <t>19382766</t>
  </si>
  <si>
    <t>Science and Medicine Inc.</t>
  </si>
  <si>
    <t>Chinese Journal of Medical Genetics</t>
  </si>
  <si>
    <t>10039406</t>
  </si>
  <si>
    <t>West China University of Medical Sciences</t>
  </si>
  <si>
    <t>Sichuan University</t>
  </si>
  <si>
    <t>Canadian Respiratory Journal</t>
  </si>
  <si>
    <t>11982241</t>
  </si>
  <si>
    <t>Neuropathology</t>
  </si>
  <si>
    <t>09196544</t>
  </si>
  <si>
    <t>14401789</t>
  </si>
  <si>
    <t>Psychiatry and Clinical Neurosciences</t>
  </si>
  <si>
    <t>13231316</t>
  </si>
  <si>
    <t>14401819</t>
  </si>
  <si>
    <t>Histochemistry and Cell Biology</t>
  </si>
  <si>
    <t>09486143</t>
  </si>
  <si>
    <t>1432119X</t>
  </si>
  <si>
    <t>DOLOR</t>
  </si>
  <si>
    <t>02140659</t>
  </si>
  <si>
    <t>Publicaciones Permanyer</t>
  </si>
  <si>
    <t>Clinical Cancer Research</t>
  </si>
  <si>
    <t>10780432</t>
  </si>
  <si>
    <t>15573265</t>
  </si>
  <si>
    <t>Journal of Thrombosis and Thrombolysis</t>
  </si>
  <si>
    <t>09295305</t>
  </si>
  <si>
    <t>1573742X</t>
  </si>
  <si>
    <t>Journal of Computational Neuroscience</t>
  </si>
  <si>
    <t>09295313</t>
  </si>
  <si>
    <t>15736873</t>
  </si>
  <si>
    <t>Research and Clinical Forums</t>
  </si>
  <si>
    <t>01433083</t>
  </si>
  <si>
    <t>Wells Medical Ltd</t>
  </si>
  <si>
    <t>International Journal of Biochemistry and Cell Biology</t>
  </si>
  <si>
    <t>13572725</t>
  </si>
  <si>
    <t>18785875</t>
  </si>
  <si>
    <t>Journal of Interferon and Cytokine Research</t>
  </si>
  <si>
    <t>10799907</t>
  </si>
  <si>
    <t>15577465</t>
  </si>
  <si>
    <t>Experimental and Clinical Endocrinology and Diabetes</t>
  </si>
  <si>
    <t>09477349</t>
  </si>
  <si>
    <t>14393646</t>
  </si>
  <si>
    <t>Japanese Journal of Chemotherapy</t>
  </si>
  <si>
    <t>13407007</t>
  </si>
  <si>
    <t>Japan Society of Chemotherapy</t>
  </si>
  <si>
    <t>Journal of Refractive Surgery</t>
  </si>
  <si>
    <t>1081597X</t>
  </si>
  <si>
    <t>19382391</t>
  </si>
  <si>
    <t>Annals of Allergy, Asthma and Immunology</t>
  </si>
  <si>
    <t>10811206</t>
  </si>
  <si>
    <t>15344436</t>
  </si>
  <si>
    <t>American College of Allergy, Asthma and Immunology</t>
  </si>
  <si>
    <t>Onkologe</t>
  </si>
  <si>
    <t>09478965</t>
  </si>
  <si>
    <t>14330415</t>
  </si>
  <si>
    <t>Human Reproduction Update</t>
  </si>
  <si>
    <t>13554786</t>
  </si>
  <si>
    <t>14602369</t>
  </si>
  <si>
    <t>International Medical Journal</t>
  </si>
  <si>
    <t>13412051</t>
  </si>
  <si>
    <t>Japan International Cultural Exchange Foundation</t>
  </si>
  <si>
    <t>E-flow PDF Japan Inter. Cultural Exchange Found.</t>
  </si>
  <si>
    <t>Skin Research and Technology</t>
  </si>
  <si>
    <t>0909752X</t>
  </si>
  <si>
    <t>16000846</t>
  </si>
  <si>
    <t>American Journal of Forensic Psychology</t>
  </si>
  <si>
    <t>07331290</t>
  </si>
  <si>
    <t>American College of Forensic Psychology</t>
  </si>
  <si>
    <t>Acta Criminologiae et Medicinae Legalis Japonica</t>
  </si>
  <si>
    <t>03020029</t>
  </si>
  <si>
    <t>Japanese Association of Criminology</t>
  </si>
  <si>
    <t>Rechtsmedizin</t>
  </si>
  <si>
    <t>09379819</t>
  </si>
  <si>
    <t>14345196</t>
  </si>
  <si>
    <t>International Urogynecology Journal and Pelvic Floor Dysfunction</t>
  </si>
  <si>
    <t>09373462</t>
  </si>
  <si>
    <t>14333023</t>
  </si>
  <si>
    <t>Knee</t>
  </si>
  <si>
    <t>09680160</t>
  </si>
  <si>
    <t>18735800</t>
  </si>
  <si>
    <t>Klinicka Biochemie a Metabolismus</t>
  </si>
  <si>
    <t>12107921</t>
  </si>
  <si>
    <t>CZCH/SLVK/ENGL</t>
  </si>
  <si>
    <t>Journal of Clinical Rheumatology</t>
  </si>
  <si>
    <t>10761608</t>
  </si>
  <si>
    <t>15367355</t>
  </si>
  <si>
    <t>Multiple Sclerosis</t>
  </si>
  <si>
    <t>13524585</t>
  </si>
  <si>
    <t>14770970</t>
  </si>
  <si>
    <t>Journal of NeuroVirology</t>
  </si>
  <si>
    <t>13550284</t>
  </si>
  <si>
    <t>15382443</t>
  </si>
  <si>
    <t>Journal of Back and Musculoskeletal Rehabilitation</t>
  </si>
  <si>
    <t>10538127</t>
  </si>
  <si>
    <t>18786324</t>
  </si>
  <si>
    <t>Journal of Trace Elements in Medicine and Biology</t>
  </si>
  <si>
    <t>0946672X</t>
  </si>
  <si>
    <t>18783252</t>
  </si>
  <si>
    <t>Journal of Ocular Pharmacology and Therapeutics</t>
  </si>
  <si>
    <t>10807683</t>
  </si>
  <si>
    <t>15577732</t>
  </si>
  <si>
    <t>Archivio Italiano di Urologia e Andrologia</t>
  </si>
  <si>
    <t>11243562</t>
  </si>
  <si>
    <t>22824197</t>
  </si>
  <si>
    <t>Edizioni Scripta Manent s.n.c.</t>
  </si>
  <si>
    <t>E-flow PDF Edizioni Scripta Manent</t>
  </si>
  <si>
    <t>Seminars in Pediatric Neurology</t>
  </si>
  <si>
    <t>10719091</t>
  </si>
  <si>
    <t>15580776</t>
  </si>
  <si>
    <t>Radiography</t>
  </si>
  <si>
    <t>10788174</t>
  </si>
  <si>
    <t>15322831</t>
  </si>
  <si>
    <t>Molecular Medicine</t>
  </si>
  <si>
    <t>10761551</t>
  </si>
  <si>
    <t>Feinstein Institute for Medical Research</t>
  </si>
  <si>
    <t>Microbial Drug Resistance</t>
  </si>
  <si>
    <t>10766294</t>
  </si>
  <si>
    <t>19318448</t>
  </si>
  <si>
    <t>Journal of Alternative and Complementary Medicine</t>
  </si>
  <si>
    <t>10755535</t>
  </si>
  <si>
    <t>15577708</t>
  </si>
  <si>
    <t>RNA</t>
  </si>
  <si>
    <t>13558382</t>
  </si>
  <si>
    <t>14699001</t>
  </si>
  <si>
    <t>Journal of Health Care Finance</t>
  </si>
  <si>
    <t>10786767</t>
  </si>
  <si>
    <t>Aspen Publishers Inc.</t>
  </si>
  <si>
    <t>Pharmacy Times</t>
  </si>
  <si>
    <t>00030627</t>
  </si>
  <si>
    <t>Intellisphere LLC</t>
  </si>
  <si>
    <t>INTELLISPHERE LLC</t>
  </si>
  <si>
    <t>Health Economics (United Kingdom)</t>
  </si>
  <si>
    <t>10579230</t>
  </si>
  <si>
    <t>10991050</t>
  </si>
  <si>
    <t>Prescrire International</t>
  </si>
  <si>
    <t>11677422</t>
  </si>
  <si>
    <t>Association Mieux Prescrire</t>
  </si>
  <si>
    <t>QJM</t>
  </si>
  <si>
    <t>14602725</t>
  </si>
  <si>
    <t>14602393</t>
  </si>
  <si>
    <t>Supportive Care in Cancer</t>
  </si>
  <si>
    <t>09414355</t>
  </si>
  <si>
    <t>14337339</t>
  </si>
  <si>
    <t>Biomedical Engineering - Applications, Basis and Communications</t>
  </si>
  <si>
    <t>10162372</t>
  </si>
  <si>
    <t>Journal of Child Psychotherapy</t>
  </si>
  <si>
    <t>0075417X</t>
  </si>
  <si>
    <t>14699370</t>
  </si>
  <si>
    <t>European Journal of Special Needs Education</t>
  </si>
  <si>
    <t>08856257</t>
  </si>
  <si>
    <t>1469591X</t>
  </si>
  <si>
    <t>Gefasschirurgie</t>
  </si>
  <si>
    <t>09487034</t>
  </si>
  <si>
    <t>14343932</t>
  </si>
  <si>
    <t>Formulary</t>
  </si>
  <si>
    <t>1082801X</t>
  </si>
  <si>
    <t>19381166</t>
  </si>
  <si>
    <t>E-flow PDF Advanstar Communications</t>
  </si>
  <si>
    <t>Current Pharmaceutical Design</t>
  </si>
  <si>
    <t>13816128</t>
  </si>
  <si>
    <t>18734286</t>
  </si>
  <si>
    <t>Anaerobe</t>
  </si>
  <si>
    <t>10759964</t>
  </si>
  <si>
    <t>10958274</t>
  </si>
  <si>
    <t>Journal of Pediatric Endocrinology and Metabolism</t>
  </si>
  <si>
    <t>0334018X</t>
  </si>
  <si>
    <t>21910251</t>
  </si>
  <si>
    <t>Colloids and Surfaces A: Physicochemical and Engineering Aspects</t>
  </si>
  <si>
    <t>09277757</t>
  </si>
  <si>
    <t>18734359</t>
  </si>
  <si>
    <t>Colloids and Surfaces B: Biointerfaces</t>
  </si>
  <si>
    <t>09277765</t>
  </si>
  <si>
    <t>18734367</t>
  </si>
  <si>
    <t>Colloid and Polymer Science</t>
  </si>
  <si>
    <t>0303402X</t>
  </si>
  <si>
    <t>14351536</t>
  </si>
  <si>
    <t>Drug Delivery System</t>
  </si>
  <si>
    <t>09135006</t>
  </si>
  <si>
    <t>18812732</t>
  </si>
  <si>
    <t>Japan Society of Drug Delivery System</t>
  </si>
  <si>
    <t>Journal of Aerosol Science</t>
  </si>
  <si>
    <t>00218502</t>
  </si>
  <si>
    <t>18791964</t>
  </si>
  <si>
    <t>Manufacturing Chemist</t>
  </si>
  <si>
    <t>02624230</t>
  </si>
  <si>
    <t>HPCi Media LTD</t>
  </si>
  <si>
    <t>HPCi Media Ltd.</t>
  </si>
  <si>
    <t>Pharmaceutical Engineering</t>
  </si>
  <si>
    <t>02738139</t>
  </si>
  <si>
    <t>Int. Society for Pharmaceutical Engineering, Inc.</t>
  </si>
  <si>
    <t>International Society for Pharmaceutical Engineering</t>
  </si>
  <si>
    <t>Powder Technology</t>
  </si>
  <si>
    <t>00325910</t>
  </si>
  <si>
    <t>1873328X</t>
  </si>
  <si>
    <t>Psychopharmakotherapie</t>
  </si>
  <si>
    <t>09446877</t>
  </si>
  <si>
    <t>Journal of Vascular and Interventional Radiology</t>
  </si>
  <si>
    <t>10510443</t>
  </si>
  <si>
    <t>15357732</t>
  </si>
  <si>
    <t>Pharmacopeial Forum</t>
  </si>
  <si>
    <t>03634655</t>
  </si>
  <si>
    <t>15421945</t>
  </si>
  <si>
    <t>United States Pharmacopeial Convention Inc.</t>
  </si>
  <si>
    <t>Pharmaceutical Technology</t>
  </si>
  <si>
    <t>15432521</t>
  </si>
  <si>
    <t>21507376</t>
  </si>
  <si>
    <t>Gastroenterologia Polska</t>
  </si>
  <si>
    <t>12329886</t>
  </si>
  <si>
    <t>Cornetis</t>
  </si>
  <si>
    <t>Turkish Journal of Gastroenterology</t>
  </si>
  <si>
    <t>13004948</t>
  </si>
  <si>
    <t>Turkish Society of Gastroenterology</t>
  </si>
  <si>
    <t>Learning and Memory</t>
  </si>
  <si>
    <t>10720502</t>
  </si>
  <si>
    <t>15495485</t>
  </si>
  <si>
    <t>Strabismus</t>
  </si>
  <si>
    <t>09273972</t>
  </si>
  <si>
    <t>17445132</t>
  </si>
  <si>
    <t>Ophthalmic Epidemiology</t>
  </si>
  <si>
    <t>09286586</t>
  </si>
  <si>
    <t>17445086</t>
  </si>
  <si>
    <t>Haemophilia</t>
  </si>
  <si>
    <t>13518216</t>
  </si>
  <si>
    <t>13652516</t>
  </si>
  <si>
    <t>International Journal of Pharmacy Practice</t>
  </si>
  <si>
    <t>09617671</t>
  </si>
  <si>
    <t>20427174</t>
  </si>
  <si>
    <t>Metal-Based Drugs</t>
  </si>
  <si>
    <t>07930291</t>
  </si>
  <si>
    <t>Brain and Cognition</t>
  </si>
  <si>
    <t>02782626</t>
  </si>
  <si>
    <t>10902147</t>
  </si>
  <si>
    <t>Exercise Immunology Review</t>
  </si>
  <si>
    <t>10775552</t>
  </si>
  <si>
    <t>Association for the Advancement of Sports Medicine</t>
  </si>
  <si>
    <t>E-flow PDF Association for the Advancement of Sports Medicine</t>
  </si>
  <si>
    <t>Current Opinion in Hematology</t>
  </si>
  <si>
    <t>10656251</t>
  </si>
  <si>
    <t>15317048</t>
  </si>
  <si>
    <t>Neurocase</t>
  </si>
  <si>
    <t>13554794</t>
  </si>
  <si>
    <t>14653656</t>
  </si>
  <si>
    <t>Allergy and Asthma Proceedings</t>
  </si>
  <si>
    <t>10885412</t>
  </si>
  <si>
    <t>15396304</t>
  </si>
  <si>
    <t>OceanSide Publications Inc.</t>
  </si>
  <si>
    <t>Topics in Stroke Rehabilitation</t>
  </si>
  <si>
    <t>10749357</t>
  </si>
  <si>
    <t>19455119</t>
  </si>
  <si>
    <t>Thomas Land Publishers Inc.</t>
  </si>
  <si>
    <t>Surgical Oncology Clinics of North America</t>
  </si>
  <si>
    <t>10553207</t>
  </si>
  <si>
    <t>15585042</t>
  </si>
  <si>
    <t>Magnetic Resonance Imaging Clinics of North America</t>
  </si>
  <si>
    <t>10649689</t>
  </si>
  <si>
    <t>15579786</t>
  </si>
  <si>
    <t>Journal of Pharmacy Practice</t>
  </si>
  <si>
    <t>08971900</t>
  </si>
  <si>
    <t>15311937</t>
  </si>
  <si>
    <t>Cell Death and Differentiation</t>
  </si>
  <si>
    <t>13509047</t>
  </si>
  <si>
    <t>14765403</t>
  </si>
  <si>
    <t>Canadian Journal of Human Sexuality</t>
  </si>
  <si>
    <t>11884517</t>
  </si>
  <si>
    <t>22917063</t>
  </si>
  <si>
    <t>University of Toronto Press Inc.</t>
  </si>
  <si>
    <t>WHO Drug Information</t>
  </si>
  <si>
    <t>10109609</t>
  </si>
  <si>
    <t>Journal of the American Society for Mass Spectrometry</t>
  </si>
  <si>
    <t>10440305</t>
  </si>
  <si>
    <t>18791123</t>
  </si>
  <si>
    <t>Klinikarzt</t>
  </si>
  <si>
    <t>03412350</t>
  </si>
  <si>
    <t>14393859</t>
  </si>
  <si>
    <t>Karl Demeter Verlag GmbH</t>
  </si>
  <si>
    <t>Archives of Hellenic Medicine</t>
  </si>
  <si>
    <t>11053992</t>
  </si>
  <si>
    <t>BETA Medical Publishers Ltd</t>
  </si>
  <si>
    <t>Athens Medical Society</t>
  </si>
  <si>
    <t>GREK/ENGL</t>
  </si>
  <si>
    <t>Genome Research</t>
  </si>
  <si>
    <t>10889051</t>
  </si>
  <si>
    <t>15495469</t>
  </si>
  <si>
    <t>Hepato-Gastro</t>
  </si>
  <si>
    <t>12537020</t>
  </si>
  <si>
    <t>19524048</t>
  </si>
  <si>
    <t>Heart</t>
  </si>
  <si>
    <t>13556037</t>
  </si>
  <si>
    <t>1468201X</t>
  </si>
  <si>
    <t>Tropical Medicine and International Health</t>
  </si>
  <si>
    <t>13602276</t>
  </si>
  <si>
    <t>13653156</t>
  </si>
  <si>
    <t>ENGL/SPAN/FREN</t>
  </si>
  <si>
    <t>FREN/SPAN/ENGL</t>
  </si>
  <si>
    <t>Journal of Magnetic Resonance Imaging</t>
  </si>
  <si>
    <t>10531807</t>
  </si>
  <si>
    <t>15222586</t>
  </si>
  <si>
    <t>Tzu Chi Medical Journal</t>
  </si>
  <si>
    <t>10163190</t>
  </si>
  <si>
    <t>Neurodiagnostic Journal</t>
  </si>
  <si>
    <t>21646821</t>
  </si>
  <si>
    <t>American Society of Electroneurodiagnostic Tech. Inc.</t>
  </si>
  <si>
    <t>E-flow PDF American Society of Electroneurodiagnostic Tech.</t>
  </si>
  <si>
    <t>Hong Kong Medical Journal</t>
  </si>
  <si>
    <t>10242708</t>
  </si>
  <si>
    <t>Hong Kong Academy of Medicine Press</t>
  </si>
  <si>
    <t>HKG</t>
  </si>
  <si>
    <t>GED - Gastrenterologia Endoscopia Digestiva</t>
  </si>
  <si>
    <t>01017772</t>
  </si>
  <si>
    <t>Redprint Editora Ltda</t>
  </si>
  <si>
    <t>Sociedade Brasileira de Endoscopia Digestiva</t>
  </si>
  <si>
    <t>Saudi Pharmaceutical Journal</t>
  </si>
  <si>
    <t>13190164</t>
  </si>
  <si>
    <t>Medecine et Droit</t>
  </si>
  <si>
    <t>12467391</t>
  </si>
  <si>
    <t>17775612</t>
  </si>
  <si>
    <t>Journal de Pediatrie et de Puericulture</t>
  </si>
  <si>
    <t>09877983</t>
  </si>
  <si>
    <t>17775981</t>
  </si>
  <si>
    <t>Sarcoidosis Vasculitis and Diffuse Lung Diseases</t>
  </si>
  <si>
    <t>11240490</t>
  </si>
  <si>
    <t>Mattioli 1885 S.p.A.</t>
  </si>
  <si>
    <t>Chemical Communications</t>
  </si>
  <si>
    <t>13597345</t>
  </si>
  <si>
    <t>1364548X</t>
  </si>
  <si>
    <t>Royal Society of Chemistry</t>
  </si>
  <si>
    <t>E-flow Royal Society of Chemistry</t>
  </si>
  <si>
    <t>Environmental Toxicology and Pharmacology</t>
  </si>
  <si>
    <t>13826689</t>
  </si>
  <si>
    <t>18727077</t>
  </si>
  <si>
    <t>Annual Review of Cell and Developmental Biology</t>
  </si>
  <si>
    <t>10810706</t>
  </si>
  <si>
    <t>15308995</t>
  </si>
  <si>
    <t>Gefahrstoffe Reinhaltung der Luft</t>
  </si>
  <si>
    <t>09498036</t>
  </si>
  <si>
    <t>Springer-VDI Verlag GmbH and Co. KG</t>
  </si>
  <si>
    <t>Springer-VDI Verlag GmbH und Co. KG</t>
  </si>
  <si>
    <t>Experimental and Molecular Medicine</t>
  </si>
  <si>
    <t>12263613</t>
  </si>
  <si>
    <t>20926413</t>
  </si>
  <si>
    <t>Bioconjugate Chemistry</t>
  </si>
  <si>
    <t>10431802</t>
  </si>
  <si>
    <t>15204812</t>
  </si>
  <si>
    <t>Journal of Liquid Chromatography and Related Technologies</t>
  </si>
  <si>
    <t>10826076</t>
  </si>
  <si>
    <t>1520572X</t>
  </si>
  <si>
    <t>Australasian Biotechnology</t>
  </si>
  <si>
    <t>10367128</t>
  </si>
  <si>
    <t>AusBIOTECH LTD</t>
  </si>
  <si>
    <t>Visual Neuroscience</t>
  </si>
  <si>
    <t>09525238</t>
  </si>
  <si>
    <t>14698714</t>
  </si>
  <si>
    <t>Cytotechnology</t>
  </si>
  <si>
    <t>09209069</t>
  </si>
  <si>
    <t>15730778</t>
  </si>
  <si>
    <t>Molecular Biology Reports</t>
  </si>
  <si>
    <t>03014851</t>
  </si>
  <si>
    <t>15734978</t>
  </si>
  <si>
    <t>Reproductive Toxicology</t>
  </si>
  <si>
    <t>08906238</t>
  </si>
  <si>
    <t>18731708</t>
  </si>
  <si>
    <t>Nature Biotechnology</t>
  </si>
  <si>
    <t>10870156</t>
  </si>
  <si>
    <t>15461696</t>
  </si>
  <si>
    <t>Mammalian Genome</t>
  </si>
  <si>
    <t>09388990</t>
  </si>
  <si>
    <t>14321777</t>
  </si>
  <si>
    <t>Biological Rhythm Research</t>
  </si>
  <si>
    <t>09291016</t>
  </si>
  <si>
    <t>17444179</t>
  </si>
  <si>
    <t>Journal of Clinical Biochemistry and Nutrition</t>
  </si>
  <si>
    <t>09120009</t>
  </si>
  <si>
    <t>The Society for Free Radical Research Japan</t>
  </si>
  <si>
    <t>Spinal Cord</t>
  </si>
  <si>
    <t>13624393</t>
  </si>
  <si>
    <t>14765624</t>
  </si>
  <si>
    <t>Pediatria Catalana</t>
  </si>
  <si>
    <t>11358831</t>
  </si>
  <si>
    <t>Fundacio Catalana de Pediatria</t>
  </si>
  <si>
    <t>CATA</t>
  </si>
  <si>
    <t>CATA/ENGL</t>
  </si>
  <si>
    <t>Techniques in Coloproctology</t>
  </si>
  <si>
    <t>11236337</t>
  </si>
  <si>
    <t>1128045X</t>
  </si>
  <si>
    <t>AIDS Patient Care and STDs</t>
  </si>
  <si>
    <t>10872914</t>
  </si>
  <si>
    <t>15577449</t>
  </si>
  <si>
    <t>Focus on Parkinson's Disease</t>
  </si>
  <si>
    <t>09242015</t>
  </si>
  <si>
    <t>Excerpta Medica</t>
  </si>
  <si>
    <t>Medical Science Monitor</t>
  </si>
  <si>
    <t>12341010</t>
  </si>
  <si>
    <t>16433750</t>
  </si>
  <si>
    <t>International Scientific Literature Inc.</t>
  </si>
  <si>
    <t>Medical Science International Ltd</t>
  </si>
  <si>
    <t>Zeitschrift fur Kinder- und Jugendpsychiatrie und Psychotherapie</t>
  </si>
  <si>
    <t>14224917</t>
  </si>
  <si>
    <t>Paediatric Anaesthesia</t>
  </si>
  <si>
    <t>11555645</t>
  </si>
  <si>
    <t>14609592</t>
  </si>
  <si>
    <t>Transfusion Clinique et Biologique</t>
  </si>
  <si>
    <t>12467820</t>
  </si>
  <si>
    <t>19538022</t>
  </si>
  <si>
    <t>Foot and Ankle Surgery</t>
  </si>
  <si>
    <t>12687731</t>
  </si>
  <si>
    <t>14609584</t>
  </si>
  <si>
    <t>Vascular Medicine (United Kingdom)</t>
  </si>
  <si>
    <t>1358863X</t>
  </si>
  <si>
    <t>14770377</t>
  </si>
  <si>
    <t>Nutritional Sciences Journal</t>
  </si>
  <si>
    <t>10116958</t>
  </si>
  <si>
    <t>Nutrition Society in Taipei</t>
  </si>
  <si>
    <t>Journal of Obstetrics and Gynaecology Research</t>
  </si>
  <si>
    <t>13418076</t>
  </si>
  <si>
    <t>14470756</t>
  </si>
  <si>
    <t>Blackwell Publishing Asia</t>
  </si>
  <si>
    <t>Cytokine and Growth Factor Reviews</t>
  </si>
  <si>
    <t>13596101</t>
  </si>
  <si>
    <t>18790305</t>
  </si>
  <si>
    <t>Cancer Biotherapy and Radiopharmaceuticals</t>
  </si>
  <si>
    <t>10849785</t>
  </si>
  <si>
    <t>15578852</t>
  </si>
  <si>
    <t>Manual Therapy</t>
  </si>
  <si>
    <t>1356689X</t>
  </si>
  <si>
    <t>15322769</t>
  </si>
  <si>
    <t>Addiction Biology</t>
  </si>
  <si>
    <t>13556215</t>
  </si>
  <si>
    <t>13691600</t>
  </si>
  <si>
    <t>Journal of Bone and Mineral Metabolism</t>
  </si>
  <si>
    <t>09148779</t>
  </si>
  <si>
    <t>14355604</t>
  </si>
  <si>
    <t>Interventional Neuroradiology</t>
  </si>
  <si>
    <t>15910199</t>
  </si>
  <si>
    <t>Centauro SRL</t>
  </si>
  <si>
    <t>Drug Discovery Today</t>
  </si>
  <si>
    <t>13596446</t>
  </si>
  <si>
    <t>18785832</t>
  </si>
  <si>
    <t>Annals of Noninvasive Electrocardiology</t>
  </si>
  <si>
    <t>1082720X</t>
  </si>
  <si>
    <t>1542474X</t>
  </si>
  <si>
    <t>Fungal Genetics and Biology</t>
  </si>
  <si>
    <t>10871845</t>
  </si>
  <si>
    <t>10960937</t>
  </si>
  <si>
    <t>Infezioni in Medicina</t>
  </si>
  <si>
    <t>11249390</t>
  </si>
  <si>
    <t>EDIMES Edizioni Medico Scientifiche</t>
  </si>
  <si>
    <t>Hong Kong Practitioner</t>
  </si>
  <si>
    <t>10273948</t>
  </si>
  <si>
    <t>Hong Kong College of Family Physicians</t>
  </si>
  <si>
    <t>Journal of Neural Transmission</t>
  </si>
  <si>
    <t>03009564</t>
  </si>
  <si>
    <t>14351463</t>
  </si>
  <si>
    <t>Clinical and Applied Thrombosis/Hemostasis</t>
  </si>
  <si>
    <t>10760296</t>
  </si>
  <si>
    <t>19382723</t>
  </si>
  <si>
    <t>Helicobacter</t>
  </si>
  <si>
    <t>10834389</t>
  </si>
  <si>
    <t>15235378</t>
  </si>
  <si>
    <t>Breast Journal</t>
  </si>
  <si>
    <t>1075122X</t>
  </si>
  <si>
    <t>15244741</t>
  </si>
  <si>
    <t>Journal of Herbs, Spices and Medicinal Plants</t>
  </si>
  <si>
    <t>10496475</t>
  </si>
  <si>
    <t>15403580</t>
  </si>
  <si>
    <t>Aggression and Violent Behavior</t>
  </si>
  <si>
    <t>13591789</t>
  </si>
  <si>
    <t>18736335</t>
  </si>
  <si>
    <t>Apoptosis</t>
  </si>
  <si>
    <t>13608185</t>
  </si>
  <si>
    <t>1573675X</t>
  </si>
  <si>
    <t>Blood Pressure Monitoring</t>
  </si>
  <si>
    <t>13595237</t>
  </si>
  <si>
    <t>14735725</t>
  </si>
  <si>
    <t>Journal of Experimental Therapeutics and Oncology</t>
  </si>
  <si>
    <t>13594117</t>
  </si>
  <si>
    <t>Old City Publishing</t>
  </si>
  <si>
    <t>Antiviral Therapy</t>
  </si>
  <si>
    <t>13596535</t>
  </si>
  <si>
    <t>20402058</t>
  </si>
  <si>
    <t>Oral Diseases</t>
  </si>
  <si>
    <t>1354523X</t>
  </si>
  <si>
    <t>16010825</t>
  </si>
  <si>
    <t>Journal of Facial and Somato Prosthetics</t>
  </si>
  <si>
    <t>10821821</t>
  </si>
  <si>
    <t>ABI Professional Publications</t>
  </si>
  <si>
    <t>University of California</t>
  </si>
  <si>
    <t>Kidney and Blood Pressure Research</t>
  </si>
  <si>
    <t>14204096</t>
  </si>
  <si>
    <t>14230143</t>
  </si>
  <si>
    <t>JK Practitioner</t>
  </si>
  <si>
    <t>09718834</t>
  </si>
  <si>
    <t>Consultant</t>
  </si>
  <si>
    <t>00107069</t>
  </si>
  <si>
    <t>Cliggott Publishing Co.</t>
  </si>
  <si>
    <t>Psiquiatria Biologica</t>
  </si>
  <si>
    <t>11345934</t>
  </si>
  <si>
    <t>15788962</t>
  </si>
  <si>
    <t>SPAN/PORT/ENGL</t>
  </si>
  <si>
    <t>Natural Product Sciences</t>
  </si>
  <si>
    <t>12263907</t>
  </si>
  <si>
    <t>Medicina Clinica e Termale</t>
  </si>
  <si>
    <t>11239395</t>
  </si>
  <si>
    <t>Edizione Selecta Medica</t>
  </si>
  <si>
    <t>Universita degli Studi di Milano</t>
  </si>
  <si>
    <t>Legal and Criminological Psychology</t>
  </si>
  <si>
    <t>13553259</t>
  </si>
  <si>
    <t>20448333</t>
  </si>
  <si>
    <t>John Wiley and Sons Ltd.</t>
  </si>
  <si>
    <t>Hematology</t>
  </si>
  <si>
    <t>10245332</t>
  </si>
  <si>
    <t>16078454</t>
  </si>
  <si>
    <t>Journal of Health Services Research and Policy</t>
  </si>
  <si>
    <t>13558196</t>
  </si>
  <si>
    <t>Revista Brasileira de Reumatologia</t>
  </si>
  <si>
    <t>04825004</t>
  </si>
  <si>
    <t>International Journal for Quality in Health Care</t>
  </si>
  <si>
    <t>13534505</t>
  </si>
  <si>
    <t>14643677</t>
  </si>
  <si>
    <t>Ambulatory Surgery</t>
  </si>
  <si>
    <t>09666532</t>
  </si>
  <si>
    <t>International Association for Ambulatory Surgery</t>
  </si>
  <si>
    <t>Aerobiologia</t>
  </si>
  <si>
    <t>03935965</t>
  </si>
  <si>
    <t>15733025</t>
  </si>
  <si>
    <t>Clinical Microbiology Newsletter</t>
  </si>
  <si>
    <t>01964399</t>
  </si>
  <si>
    <t>18734391</t>
  </si>
  <si>
    <t>Medical Dosimetry</t>
  </si>
  <si>
    <t>09583947</t>
  </si>
  <si>
    <t>18734022</t>
  </si>
  <si>
    <t>Central-European Journal of Immunology</t>
  </si>
  <si>
    <t>14263912</t>
  </si>
  <si>
    <t>16444124</t>
  </si>
  <si>
    <t>Diabetes and Metabolism</t>
  </si>
  <si>
    <t>12623636</t>
  </si>
  <si>
    <t>18781780</t>
  </si>
  <si>
    <t>Seminars in Cutaneous Medicine and Surgery</t>
  </si>
  <si>
    <t>10855629</t>
  </si>
  <si>
    <t>15580768</t>
  </si>
  <si>
    <t>Frontline Medical Communications</t>
  </si>
  <si>
    <t>Fluoride</t>
  </si>
  <si>
    <t>00154725</t>
  </si>
  <si>
    <t>22534083</t>
  </si>
  <si>
    <t>International Society for Fluoride Research</t>
  </si>
  <si>
    <t>E-flow PDF International Society for Fluoride Research</t>
  </si>
  <si>
    <t>Development Genes and Evolution</t>
  </si>
  <si>
    <t>0949944X</t>
  </si>
  <si>
    <t>1432041X</t>
  </si>
  <si>
    <t>Minimally Invasive Therapy and Allied Technologies</t>
  </si>
  <si>
    <t>13645706</t>
  </si>
  <si>
    <t>13652931</t>
  </si>
  <si>
    <t>Redox Report</t>
  </si>
  <si>
    <t>13510002</t>
  </si>
  <si>
    <t>17432928</t>
  </si>
  <si>
    <t>Journal of Cardiac Failure</t>
  </si>
  <si>
    <t>10719164</t>
  </si>
  <si>
    <t>15328414</t>
  </si>
  <si>
    <t>Archive of Oncology</t>
  </si>
  <si>
    <t>03547310</t>
  </si>
  <si>
    <t>14509520</t>
  </si>
  <si>
    <t>Institute of Oncology Sremska Kamenica</t>
  </si>
  <si>
    <t>Cell Stress and Chaperones</t>
  </si>
  <si>
    <t>13558145</t>
  </si>
  <si>
    <t>14661268</t>
  </si>
  <si>
    <t>Journal of Manual and Manipulative Therapy</t>
  </si>
  <si>
    <t>10669817</t>
  </si>
  <si>
    <t>20426186</t>
  </si>
  <si>
    <t>Medico-Legal Update</t>
  </si>
  <si>
    <t>0971720X</t>
  </si>
  <si>
    <t>09741283</t>
  </si>
  <si>
    <t>E-flow PDF Medico-Legal Update</t>
  </si>
  <si>
    <t>Vasomed</t>
  </si>
  <si>
    <t>09421181</t>
  </si>
  <si>
    <t>Viavital Verlag</t>
  </si>
  <si>
    <t>Neurologie und Rehabilitation</t>
  </si>
  <si>
    <t>09472177</t>
  </si>
  <si>
    <t>Hippocampus Verlag</t>
  </si>
  <si>
    <t>International MS Journal</t>
  </si>
  <si>
    <t>13528963</t>
  </si>
  <si>
    <t>14693410</t>
  </si>
  <si>
    <t>Cambridge Medical Publications</t>
  </si>
  <si>
    <t>Journal of Biological Inorganic Chemistry</t>
  </si>
  <si>
    <t>09498257</t>
  </si>
  <si>
    <t>14321327</t>
  </si>
  <si>
    <t>Journal of Pediatric Orthopaedics Part B</t>
  </si>
  <si>
    <t>1060152X</t>
  </si>
  <si>
    <t>14735865</t>
  </si>
  <si>
    <t>Genes and Genetic Systems</t>
  </si>
  <si>
    <t>13417568</t>
  </si>
  <si>
    <t>18805779</t>
  </si>
  <si>
    <t>Genetics Society of Japan</t>
  </si>
  <si>
    <t>Respirology</t>
  </si>
  <si>
    <t>13237799</t>
  </si>
  <si>
    <t>14401843</t>
  </si>
  <si>
    <t>Neurologist</t>
  </si>
  <si>
    <t>10747931</t>
  </si>
  <si>
    <t>Biological Chemistry</t>
  </si>
  <si>
    <t>14316730</t>
  </si>
  <si>
    <t>14374315</t>
  </si>
  <si>
    <t>Ultrasound International</t>
  </si>
  <si>
    <t>09716874</t>
  </si>
  <si>
    <t>Environmental Health and Preventive Medicine</t>
  </si>
  <si>
    <t>1342078X</t>
  </si>
  <si>
    <t>13474715</t>
  </si>
  <si>
    <t>Molecular Psychiatry</t>
  </si>
  <si>
    <t>13594184</t>
  </si>
  <si>
    <t>14765578</t>
  </si>
  <si>
    <t>Journal of Orthopaedic Science</t>
  </si>
  <si>
    <t>09492658</t>
  </si>
  <si>
    <t>14362023</t>
  </si>
  <si>
    <t>Pediatria Integral</t>
  </si>
  <si>
    <t>11354542</t>
  </si>
  <si>
    <t>Enfermedades Infecciosas y Microbiologia</t>
  </si>
  <si>
    <t>14050994</t>
  </si>
  <si>
    <t>Diemex S.A. de C.V.</t>
  </si>
  <si>
    <t>Revista Mexicana de Ciencias Farmaceuticas</t>
  </si>
  <si>
    <t>10273956</t>
  </si>
  <si>
    <t>Asociacion Farmaceutica Mexicana A.C.</t>
  </si>
  <si>
    <t>Oncologist</t>
  </si>
  <si>
    <t>10837159</t>
  </si>
  <si>
    <t>1549490X</t>
  </si>
  <si>
    <t>AlphaMed Press</t>
  </si>
  <si>
    <t>Journal of Investigative Dermatology Symposium Proceedings</t>
  </si>
  <si>
    <t>10870024</t>
  </si>
  <si>
    <t>15291774</t>
  </si>
  <si>
    <t>Ankara Universitesi Eczacilik Fakultesi Dergisi</t>
  </si>
  <si>
    <t>10153918</t>
  </si>
  <si>
    <t>University of Ankara</t>
  </si>
  <si>
    <t>Neuroscientist</t>
  </si>
  <si>
    <t>10738584</t>
  </si>
  <si>
    <t>10894098</t>
  </si>
  <si>
    <t>Journal of Cardiovascular Pharmacology and Therapeutics</t>
  </si>
  <si>
    <t>10742484</t>
  </si>
  <si>
    <t>19404034</t>
  </si>
  <si>
    <t>Journal of Molecular Neuroscience</t>
  </si>
  <si>
    <t>08958696</t>
  </si>
  <si>
    <t>15591166</t>
  </si>
  <si>
    <t>Clinical Reviews in Allergy and Immunology</t>
  </si>
  <si>
    <t>10800549</t>
  </si>
  <si>
    <t>15590267</t>
  </si>
  <si>
    <t>Molecular Neurobiology</t>
  </si>
  <si>
    <t>08937648</t>
  </si>
  <si>
    <t>15591182</t>
  </si>
  <si>
    <t>Clinical Microbiology and Infection</t>
  </si>
  <si>
    <t>1198743X</t>
  </si>
  <si>
    <t>14690691</t>
  </si>
  <si>
    <t>Journal of the American Society of Echocardiography</t>
  </si>
  <si>
    <t>08947317</t>
  </si>
  <si>
    <t>10976795</t>
  </si>
  <si>
    <t>East Asian Archives of Psychiatry</t>
  </si>
  <si>
    <t>20789947</t>
  </si>
  <si>
    <t>Scientific Communications International Ltd</t>
  </si>
  <si>
    <t>International Journal of Impotence Research</t>
  </si>
  <si>
    <t>09559930</t>
  </si>
  <si>
    <t>14765489</t>
  </si>
  <si>
    <t>European Respiratory Monograph</t>
  </si>
  <si>
    <t>1025448X</t>
  </si>
  <si>
    <t>20756674</t>
  </si>
  <si>
    <t>Pharma-Kritik</t>
  </si>
  <si>
    <t>10105409</t>
  </si>
  <si>
    <t>Infomed-Verlags-AG</t>
  </si>
  <si>
    <t>McGill Journal of Medicine</t>
  </si>
  <si>
    <t>1201026X</t>
  </si>
  <si>
    <t>McGill University, School fof Nursing</t>
  </si>
  <si>
    <t>McGill University</t>
  </si>
  <si>
    <t>International Journal of Infectious Diseases</t>
  </si>
  <si>
    <t>12019712</t>
  </si>
  <si>
    <t>18783511</t>
  </si>
  <si>
    <t>Journal of Travel Medicine</t>
  </si>
  <si>
    <t>11951982</t>
  </si>
  <si>
    <t>17088305</t>
  </si>
  <si>
    <t>Dementia and Geriatric Cognitive Disorders</t>
  </si>
  <si>
    <t>14208008</t>
  </si>
  <si>
    <t>14219824</t>
  </si>
  <si>
    <t>Nitric Oxide - Biology and Chemistry</t>
  </si>
  <si>
    <t>10898603</t>
  </si>
  <si>
    <t>10898611</t>
  </si>
  <si>
    <t>Evidence-Based Medicine</t>
  </si>
  <si>
    <t>13565524</t>
  </si>
  <si>
    <t>14736810</t>
  </si>
  <si>
    <t>Nephrology</t>
  </si>
  <si>
    <t>13205358</t>
  </si>
  <si>
    <t>14401797</t>
  </si>
  <si>
    <t>European Journal of Cardio-thoracic Surgery</t>
  </si>
  <si>
    <t>10107940</t>
  </si>
  <si>
    <t>1873734X</t>
  </si>
  <si>
    <t>European Association for Cardio-Thoracic Surgery</t>
  </si>
  <si>
    <t>Journal of Pediatric and Adolescent Gynecology</t>
  </si>
  <si>
    <t>10833188</t>
  </si>
  <si>
    <t>18734332</t>
  </si>
  <si>
    <t>Experimental Oncology</t>
  </si>
  <si>
    <t>18129269</t>
  </si>
  <si>
    <t>Morion LLC</t>
  </si>
  <si>
    <t>UKR</t>
  </si>
  <si>
    <t>Journal of Applied Microbiology</t>
  </si>
  <si>
    <t>13645072</t>
  </si>
  <si>
    <t>13652672</t>
  </si>
  <si>
    <t>Mutation Research - Reviews in Mutation Research</t>
  </si>
  <si>
    <t>13835742</t>
  </si>
  <si>
    <t>13882139</t>
  </si>
  <si>
    <t>Mutation Research - Genetic Toxicology and Environmental Mutagenesis</t>
  </si>
  <si>
    <t>13835718</t>
  </si>
  <si>
    <t>18793592</t>
  </si>
  <si>
    <t>BioDrugs</t>
  </si>
  <si>
    <t>11738804</t>
  </si>
  <si>
    <t>1179190X</t>
  </si>
  <si>
    <t>Journal of the Formosan Medical Association</t>
  </si>
  <si>
    <t>09296646</t>
  </si>
  <si>
    <t>Journal of Physiology and Biochemistry</t>
  </si>
  <si>
    <t>11387548</t>
  </si>
  <si>
    <t>18778755</t>
  </si>
  <si>
    <t>International Journal of Toxicology</t>
  </si>
  <si>
    <t>10915818</t>
  </si>
  <si>
    <t>1092874X</t>
  </si>
  <si>
    <t>Turkish Journal of Cancer</t>
  </si>
  <si>
    <t>10193103</t>
  </si>
  <si>
    <t>Turkish Association for Cancer Research and Control</t>
  </si>
  <si>
    <t>Haceteppe University Institute of Oncology</t>
  </si>
  <si>
    <t>Journal Medical Libanais</t>
  </si>
  <si>
    <t>00239852</t>
  </si>
  <si>
    <t>Lebanese Order of Physicians</t>
  </si>
  <si>
    <t>LBN</t>
  </si>
  <si>
    <t>Depression and Anxiety</t>
  </si>
  <si>
    <t>10914269</t>
  </si>
  <si>
    <t>15206394</t>
  </si>
  <si>
    <t>Przeglad Pediatryczny</t>
  </si>
  <si>
    <t>0137723X</t>
  </si>
  <si>
    <t>20835752</t>
  </si>
  <si>
    <t>Critical Care</t>
  </si>
  <si>
    <t>13648535</t>
  </si>
  <si>
    <t>1466609X</t>
  </si>
  <si>
    <t>Parasitology International</t>
  </si>
  <si>
    <t>13835769</t>
  </si>
  <si>
    <t>18730329</t>
  </si>
  <si>
    <t>Coloproctology</t>
  </si>
  <si>
    <t>01742442</t>
  </si>
  <si>
    <t>16156730</t>
  </si>
  <si>
    <t>Chinesische Medizin</t>
  </si>
  <si>
    <t>09302786</t>
  </si>
  <si>
    <t>Cancer Gene Therapy</t>
  </si>
  <si>
    <t>09291903</t>
  </si>
  <si>
    <t>14765500</t>
  </si>
  <si>
    <t>Anthropology and Medicine</t>
  </si>
  <si>
    <t>13648470</t>
  </si>
  <si>
    <t>14692910</t>
  </si>
  <si>
    <t>Sarcoma</t>
  </si>
  <si>
    <t>1357714X</t>
  </si>
  <si>
    <t>13691643</t>
  </si>
  <si>
    <t>Infection Control and Hospital Epidemiology</t>
  </si>
  <si>
    <t>0899823X</t>
  </si>
  <si>
    <t>University of Chicago Press</t>
  </si>
  <si>
    <t>Web Portal University of Chicago Press</t>
  </si>
  <si>
    <t>Journal of Investigative Medicine</t>
  </si>
  <si>
    <t>10815589</t>
  </si>
  <si>
    <t>17088267</t>
  </si>
  <si>
    <t>Journal of Cutaneous Medicine and Surgery</t>
  </si>
  <si>
    <t>12034754</t>
  </si>
  <si>
    <t>Decker Publishing</t>
  </si>
  <si>
    <t>Journal of the American Academy of Audiology</t>
  </si>
  <si>
    <t>10500545</t>
  </si>
  <si>
    <t>American Academy of Audiology</t>
  </si>
  <si>
    <t>Air Medical Journal</t>
  </si>
  <si>
    <t>1067991X</t>
  </si>
  <si>
    <t>15326497</t>
  </si>
  <si>
    <t>Journal of Perinatology</t>
  </si>
  <si>
    <t>07438346</t>
  </si>
  <si>
    <t>14765543</t>
  </si>
  <si>
    <t>Wound Repair and Regeneration</t>
  </si>
  <si>
    <t>10671927</t>
  </si>
  <si>
    <t>1524475X</t>
  </si>
  <si>
    <t>Journal of Psychiatric Practice</t>
  </si>
  <si>
    <t>15274160</t>
  </si>
  <si>
    <t>Biomarkers</t>
  </si>
  <si>
    <t>1354750X</t>
  </si>
  <si>
    <t>13665804</t>
  </si>
  <si>
    <t>Current Opinion in Colloid and Interface Science</t>
  </si>
  <si>
    <t>13590294</t>
  </si>
  <si>
    <t>18790399</t>
  </si>
  <si>
    <t>AIDS Reader</t>
  </si>
  <si>
    <t>10530894</t>
  </si>
  <si>
    <t>CMP Healthcare Media LLC</t>
  </si>
  <si>
    <t>Emerging Infectious Diseases</t>
  </si>
  <si>
    <t>10806040</t>
  </si>
  <si>
    <t>10806059</t>
  </si>
  <si>
    <t>Centers for Disease Control and Prevention (CDC)</t>
  </si>
  <si>
    <t>Amyloid</t>
  </si>
  <si>
    <t>13506129</t>
  </si>
  <si>
    <t>17442818</t>
  </si>
  <si>
    <t>Journal of Lower Genital Tract Disease</t>
  </si>
  <si>
    <t>10892591</t>
  </si>
  <si>
    <t>15260976</t>
  </si>
  <si>
    <t>Genes to Cells</t>
  </si>
  <si>
    <t>13569597</t>
  </si>
  <si>
    <t>13652443</t>
  </si>
  <si>
    <t>Journal of Viral Hepatitis</t>
  </si>
  <si>
    <t>13520504</t>
  </si>
  <si>
    <t>13652893</t>
  </si>
  <si>
    <t>Molecular Diversity</t>
  </si>
  <si>
    <t>13811991</t>
  </si>
  <si>
    <t>1573501X</t>
  </si>
  <si>
    <t>Journal of Computer-Aided Molecular Design</t>
  </si>
  <si>
    <t>0920654X</t>
  </si>
  <si>
    <t>15734951</t>
  </si>
  <si>
    <t>Sleep Medicine Reviews</t>
  </si>
  <si>
    <t>10870792</t>
  </si>
  <si>
    <t>15322955</t>
  </si>
  <si>
    <t>European Journal of Paediatric Neurology</t>
  </si>
  <si>
    <t>10903798</t>
  </si>
  <si>
    <t>15322130</t>
  </si>
  <si>
    <t>Health Technology Assessment</t>
  </si>
  <si>
    <t>13665278</t>
  </si>
  <si>
    <t>20464924</t>
  </si>
  <si>
    <t>NIHR Journals Library</t>
  </si>
  <si>
    <t>Phlebolymphology</t>
  </si>
  <si>
    <t>12860107</t>
  </si>
  <si>
    <t>Les Laboratoires Seriver</t>
  </si>
  <si>
    <t>Journal of B.U.ON.</t>
  </si>
  <si>
    <t>11070625</t>
  </si>
  <si>
    <t>Zerbinis Publications</t>
  </si>
  <si>
    <t>Journal of the American Medical Informatics Association</t>
  </si>
  <si>
    <t>10675027</t>
  </si>
  <si>
    <t>1527974X</t>
  </si>
  <si>
    <t>Veterinary Journal</t>
  </si>
  <si>
    <t>10900233</t>
  </si>
  <si>
    <t>15322971</t>
  </si>
  <si>
    <t>Bailliere Tindall Ltd</t>
  </si>
  <si>
    <t>American Journal of Physiology - Renal Physiology</t>
  </si>
  <si>
    <t>03636127</t>
  </si>
  <si>
    <t>15221466</t>
  </si>
  <si>
    <t>Microbiology and Molecular Biology Reviews</t>
  </si>
  <si>
    <t>10922172</t>
  </si>
  <si>
    <t>10985557</t>
  </si>
  <si>
    <t>International Journal of Sports Medicine, Supplement</t>
  </si>
  <si>
    <t>0943917X</t>
  </si>
  <si>
    <t>Revista Iberoamericana de Micologia</t>
  </si>
  <si>
    <t>11301406</t>
  </si>
  <si>
    <t>21739188</t>
  </si>
  <si>
    <t>Asociacion Espanola de Micologia</t>
  </si>
  <si>
    <t>Scandinavian Cardiovascular Journal</t>
  </si>
  <si>
    <t>14017431</t>
  </si>
  <si>
    <t>16512006</t>
  </si>
  <si>
    <t>Environmental Engineering Science</t>
  </si>
  <si>
    <t>10928758</t>
  </si>
  <si>
    <t>15579018</t>
  </si>
  <si>
    <t>Journal of Peptide Science</t>
  </si>
  <si>
    <t>10752617</t>
  </si>
  <si>
    <t>10991387</t>
  </si>
  <si>
    <t>Journal of Mental Health Policy and Economics</t>
  </si>
  <si>
    <t>10914358</t>
  </si>
  <si>
    <t>1099176X</t>
  </si>
  <si>
    <t>ICMPE</t>
  </si>
  <si>
    <t>Hepatology Research</t>
  </si>
  <si>
    <t>13866346</t>
  </si>
  <si>
    <t>1872034X</t>
  </si>
  <si>
    <t>International Journal of Medical Informatics</t>
  </si>
  <si>
    <t>13865056</t>
  </si>
  <si>
    <t>18728243</t>
  </si>
  <si>
    <t>Cellular and Molecular Life Sciences</t>
  </si>
  <si>
    <t>1420682X</t>
  </si>
  <si>
    <t>14209071</t>
  </si>
  <si>
    <t>Clinical Laboratory</t>
  </si>
  <si>
    <t>14336510</t>
  </si>
  <si>
    <t>Verlag Klinisches Labor GmbH</t>
  </si>
  <si>
    <t>Cancer/Radiotherapie</t>
  </si>
  <si>
    <t>12783218</t>
  </si>
  <si>
    <t>17696658</t>
  </si>
  <si>
    <t>Chinese Journal of Neurology</t>
  </si>
  <si>
    <t>10067876</t>
  </si>
  <si>
    <t>Journal of Industrial Microbiology and Biotechnology</t>
  </si>
  <si>
    <t>13675435</t>
  </si>
  <si>
    <t>14765535</t>
  </si>
  <si>
    <t>American Journal of Managed Care</t>
  </si>
  <si>
    <t>10880224</t>
  </si>
  <si>
    <t>Ascend Media</t>
  </si>
  <si>
    <t>Heart Failure Reviews</t>
  </si>
  <si>
    <t>13824147</t>
  </si>
  <si>
    <t>15737322</t>
  </si>
  <si>
    <t>Pharmaceutical Development and Technology</t>
  </si>
  <si>
    <t>10837450</t>
  </si>
  <si>
    <t>10979867</t>
  </si>
  <si>
    <t>Australasian Psychiatry</t>
  </si>
  <si>
    <t>10398562</t>
  </si>
  <si>
    <t>14401665</t>
  </si>
  <si>
    <t>Gene Expression</t>
  </si>
  <si>
    <t>10522166</t>
  </si>
  <si>
    <t>Clinical Hemorheology and Microcirculation</t>
  </si>
  <si>
    <t>13860291</t>
  </si>
  <si>
    <t>18758622</t>
  </si>
  <si>
    <t>Acta Neurologica Taiwanica</t>
  </si>
  <si>
    <t>1028768X</t>
  </si>
  <si>
    <t>Neurological Society R.O.C (Taiwan)</t>
  </si>
  <si>
    <t>National Science Council</t>
  </si>
  <si>
    <t>Human Antibodies</t>
  </si>
  <si>
    <t>10932607</t>
  </si>
  <si>
    <t>1875869X</t>
  </si>
  <si>
    <t>Trends in Cognitive Sciences</t>
  </si>
  <si>
    <t>13646613</t>
  </si>
  <si>
    <t>1879307X</t>
  </si>
  <si>
    <t>Alternative Medicine Review</t>
  </si>
  <si>
    <t>10895159</t>
  </si>
  <si>
    <t>Thorne Research Inc.</t>
  </si>
  <si>
    <t>Revista de la Sociedad Espanola del Dolor</t>
  </si>
  <si>
    <t>11348046</t>
  </si>
  <si>
    <t>Dermatologic Therapy</t>
  </si>
  <si>
    <t>13960296</t>
  </si>
  <si>
    <t>15298019</t>
  </si>
  <si>
    <t>Stress</t>
  </si>
  <si>
    <t>10253890</t>
  </si>
  <si>
    <t>16078888</t>
  </si>
  <si>
    <t>Asian Cardiovascular and Thoracic Annals</t>
  </si>
  <si>
    <t>02184923</t>
  </si>
  <si>
    <t>18165370</t>
  </si>
  <si>
    <t>Virologie</t>
  </si>
  <si>
    <t>12678694</t>
  </si>
  <si>
    <t>19506961</t>
  </si>
  <si>
    <t>Journal of Bodywork and Movement Therapies</t>
  </si>
  <si>
    <t>13608592</t>
  </si>
  <si>
    <t>15329283</t>
  </si>
  <si>
    <t>Topics in Spinal Cord Injury Rehabilitation</t>
  </si>
  <si>
    <t>10820744</t>
  </si>
  <si>
    <t>19455763</t>
  </si>
  <si>
    <t>Current Opinion in Chemical Biology</t>
  </si>
  <si>
    <t>13675931</t>
  </si>
  <si>
    <t>18790402</t>
  </si>
  <si>
    <t>Journal of the Peripheral Nervous System</t>
  </si>
  <si>
    <t>10859489</t>
  </si>
  <si>
    <t>15298027</t>
  </si>
  <si>
    <t>Fabad Journal of Pharmaceutical Sciences</t>
  </si>
  <si>
    <t>13004182</t>
  </si>
  <si>
    <t>Ankara University</t>
  </si>
  <si>
    <t>Hacettepe University</t>
  </si>
  <si>
    <t>Health Psychology</t>
  </si>
  <si>
    <t>02786133</t>
  </si>
  <si>
    <t>19307810</t>
  </si>
  <si>
    <t>International Journal of Psychiatry in Clinical Practice</t>
  </si>
  <si>
    <t>13651501</t>
  </si>
  <si>
    <t>14711788</t>
  </si>
  <si>
    <t>International Journal of Clinical Oncology</t>
  </si>
  <si>
    <t>13419625</t>
  </si>
  <si>
    <t>14377772</t>
  </si>
  <si>
    <t>European Journal of Pain (United Kingdom)</t>
  </si>
  <si>
    <t>10903801</t>
  </si>
  <si>
    <t>15322149</t>
  </si>
  <si>
    <t>CME Journal of Gynecologic Oncology</t>
  </si>
  <si>
    <t>12199087</t>
  </si>
  <si>
    <t>Primed-X Press</t>
  </si>
  <si>
    <t>Medicinal Chemistry Research</t>
  </si>
  <si>
    <t>10542523</t>
  </si>
  <si>
    <t>15548120</t>
  </si>
  <si>
    <t>Birkhauser Boston</t>
  </si>
  <si>
    <t>Reviews in Clinical and Experimental Hematology</t>
  </si>
  <si>
    <t>11270020</t>
  </si>
  <si>
    <t>1825151X</t>
  </si>
  <si>
    <t>Forum Service Editore</t>
  </si>
  <si>
    <t>Bio-Medical Materials and Engineering</t>
  </si>
  <si>
    <t>09592989</t>
  </si>
  <si>
    <t>Angiogenesis</t>
  </si>
  <si>
    <t>09696970</t>
  </si>
  <si>
    <t>15737209</t>
  </si>
  <si>
    <t>Techniques in Regional Anesthesia and Pain Management</t>
  </si>
  <si>
    <t>1084208X</t>
  </si>
  <si>
    <t>15584534</t>
  </si>
  <si>
    <t>Seminars in Cardiothoracic and Vascular Anesthesia</t>
  </si>
  <si>
    <t>10892532</t>
  </si>
  <si>
    <t>19405596</t>
  </si>
  <si>
    <t>Medical Care Research and Review</t>
  </si>
  <si>
    <t>10775587</t>
  </si>
  <si>
    <t>15526801</t>
  </si>
  <si>
    <t>Journal of Evaluation in Clinical Practice</t>
  </si>
  <si>
    <t>13561294</t>
  </si>
  <si>
    <t>13652753</t>
  </si>
  <si>
    <t>Herzschrittmachertherapie und Elektrophysiologie</t>
  </si>
  <si>
    <t>09387412</t>
  </si>
  <si>
    <t>14351544</t>
  </si>
  <si>
    <t>Turkish Journal of Immunology</t>
  </si>
  <si>
    <t>1301109X</t>
  </si>
  <si>
    <t>Turkish Society of Immunology</t>
  </si>
  <si>
    <t>Journal of Forensic Medicine and Toxicology</t>
  </si>
  <si>
    <t>09711929</t>
  </si>
  <si>
    <t>Medicolegal Society</t>
  </si>
  <si>
    <t>E-flow PDF Medicolegal Society</t>
  </si>
  <si>
    <t>Current Pediatric Research</t>
  </si>
  <si>
    <t>09719032</t>
  </si>
  <si>
    <t>Molecular Human Reproduction</t>
  </si>
  <si>
    <t>13609947</t>
  </si>
  <si>
    <t>14602407</t>
  </si>
  <si>
    <t>Korean Journal of Physiology and Pharmacology</t>
  </si>
  <si>
    <t>12264512</t>
  </si>
  <si>
    <t>20933827</t>
  </si>
  <si>
    <t>Korean Physiological Soc. and Korean Soc. of Pharmacology</t>
  </si>
  <si>
    <t>National Center for Biotechnology Information</t>
  </si>
  <si>
    <t>Journal of Biomaterials Applications</t>
  </si>
  <si>
    <t>08853282</t>
  </si>
  <si>
    <t>15308022</t>
  </si>
  <si>
    <t>Prostate Cancer and Prostatic Diseases</t>
  </si>
  <si>
    <t>13657852</t>
  </si>
  <si>
    <t>14765608</t>
  </si>
  <si>
    <t>Somnologie</t>
  </si>
  <si>
    <t>14329123</t>
  </si>
  <si>
    <t>1439054X</t>
  </si>
  <si>
    <t>Seminars in Cell and Developmental Biology</t>
  </si>
  <si>
    <t>10849521</t>
  </si>
  <si>
    <t>10963634</t>
  </si>
  <si>
    <t>Archives of Disease in Childhood: Fetal and Neonatal Edition</t>
  </si>
  <si>
    <t>13592998</t>
  </si>
  <si>
    <t>14682052</t>
  </si>
  <si>
    <t>Xenotransplantation</t>
  </si>
  <si>
    <t>0908665X</t>
  </si>
  <si>
    <t>13993089</t>
  </si>
  <si>
    <t>Annals of Surgical Oncology</t>
  </si>
  <si>
    <t>10689265</t>
  </si>
  <si>
    <t>15344681</t>
  </si>
  <si>
    <t>Menopause</t>
  </si>
  <si>
    <t>10723714</t>
  </si>
  <si>
    <t>15300374</t>
  </si>
  <si>
    <t>International Journal of Clinical Practice</t>
  </si>
  <si>
    <t>13685031</t>
  </si>
  <si>
    <t>17421241</t>
  </si>
  <si>
    <t>Journal of Microbiology and Biotechnology</t>
  </si>
  <si>
    <t>10177825</t>
  </si>
  <si>
    <t>17388872</t>
  </si>
  <si>
    <t>Korean Society for Microbiolog and Biotechnology</t>
  </si>
  <si>
    <t>Korean Society for Microbiology and Biotechnology</t>
  </si>
  <si>
    <t>Critical Reviews in Biotechnology</t>
  </si>
  <si>
    <t>07388551</t>
  </si>
  <si>
    <t>15497801</t>
  </si>
  <si>
    <t>Journal of Brain Science</t>
  </si>
  <si>
    <t>13415301</t>
  </si>
  <si>
    <t>Japan Brain Science Society</t>
  </si>
  <si>
    <t>Biocatalysis and Biotransformation</t>
  </si>
  <si>
    <t>10242422</t>
  </si>
  <si>
    <t>10292446</t>
  </si>
  <si>
    <t>Endocrine Pathology</t>
  </si>
  <si>
    <t>10463976</t>
  </si>
  <si>
    <t>15590097</t>
  </si>
  <si>
    <t>Transplantation Reviews</t>
  </si>
  <si>
    <t>0955470X</t>
  </si>
  <si>
    <t>15579816</t>
  </si>
  <si>
    <t>Clinics in Liver Disease</t>
  </si>
  <si>
    <t>10893261</t>
  </si>
  <si>
    <t>15578224</t>
  </si>
  <si>
    <t>Archivos de Neurociencias</t>
  </si>
  <si>
    <t>10285938</t>
  </si>
  <si>
    <t>Instituto Nacional de Neurologia y Neurocirurgia</t>
  </si>
  <si>
    <t>Pathology and Oncology Research</t>
  </si>
  <si>
    <t>12194956</t>
  </si>
  <si>
    <t>15322807</t>
  </si>
  <si>
    <t>Middle East Fertility Society Journal</t>
  </si>
  <si>
    <t>11105690</t>
  </si>
  <si>
    <t>20903251</t>
  </si>
  <si>
    <t>Middle East Fertility Society</t>
  </si>
  <si>
    <t>EGY</t>
  </si>
  <si>
    <t>International Journal of Tuberculosis and Lung Disease</t>
  </si>
  <si>
    <t>10273719</t>
  </si>
  <si>
    <t>International Union against Tubercul. and Lung Dis.</t>
  </si>
  <si>
    <t>Pharmaceutical Technology Europe</t>
  </si>
  <si>
    <t>01646826</t>
  </si>
  <si>
    <t>Academic Radiology</t>
  </si>
  <si>
    <t>10766332</t>
  </si>
  <si>
    <t>18784046</t>
  </si>
  <si>
    <t>International Journal of Life Cycle Assessment</t>
  </si>
  <si>
    <t>09483349</t>
  </si>
  <si>
    <t>16147502</t>
  </si>
  <si>
    <t>Cellular and Molecular Biology Letters</t>
  </si>
  <si>
    <t>14258153</t>
  </si>
  <si>
    <t>16891392</t>
  </si>
  <si>
    <t>Biotechnology and Genetic Engineering Reviews</t>
  </si>
  <si>
    <t>02648725</t>
  </si>
  <si>
    <t>DNA Research</t>
  </si>
  <si>
    <t>13402838</t>
  </si>
  <si>
    <t>17561663</t>
  </si>
  <si>
    <t>Journal of Molecular Graphics and Modelling</t>
  </si>
  <si>
    <t>10933263</t>
  </si>
  <si>
    <t>18734243</t>
  </si>
  <si>
    <t>Annals of Agricultural and Environmental Medicine</t>
  </si>
  <si>
    <t>12321966</t>
  </si>
  <si>
    <t>18982263</t>
  </si>
  <si>
    <t>Institute of Agricultural Medicine</t>
  </si>
  <si>
    <t>Brain Tumor Pathology</t>
  </si>
  <si>
    <t>14337398</t>
  </si>
  <si>
    <t>1861387X</t>
  </si>
  <si>
    <t>Neurogenetics</t>
  </si>
  <si>
    <t>13646745</t>
  </si>
  <si>
    <t>13646753</t>
  </si>
  <si>
    <t>Hernia</t>
  </si>
  <si>
    <t>12654906</t>
  </si>
  <si>
    <t>12489204</t>
  </si>
  <si>
    <t>Anales del Sistema Sanitario de Navarra</t>
  </si>
  <si>
    <t>11376627</t>
  </si>
  <si>
    <t>Gobierno de Navarra</t>
  </si>
  <si>
    <t>Acta Angiologica</t>
  </si>
  <si>
    <t>1234950X</t>
  </si>
  <si>
    <t>16443276</t>
  </si>
  <si>
    <t>Klinische Neurophysiologie</t>
  </si>
  <si>
    <t>14340275</t>
  </si>
  <si>
    <t>14394081</t>
  </si>
  <si>
    <t>Pulmonary Pharmacology and Therapeutics</t>
  </si>
  <si>
    <t>10945539</t>
  </si>
  <si>
    <t>15229629</t>
  </si>
  <si>
    <t>Indian Journal of Otology</t>
  </si>
  <si>
    <t>09717749</t>
  </si>
  <si>
    <t>Revista Brasileira de Neurologia e Psiquiatria</t>
  </si>
  <si>
    <t>14140365</t>
  </si>
  <si>
    <t>Current Oncology</t>
  </si>
  <si>
    <t>11980052</t>
  </si>
  <si>
    <t>17187729</t>
  </si>
  <si>
    <t>Transcultural Psychiatry</t>
  </si>
  <si>
    <t>13634615</t>
  </si>
  <si>
    <t>14617471</t>
  </si>
  <si>
    <t>Giornale Italiano di Medicina Tropicale</t>
  </si>
  <si>
    <t>03943445</t>
  </si>
  <si>
    <t>Societa Italiana di Medicina Tropicale</t>
  </si>
  <si>
    <t>Allergology International</t>
  </si>
  <si>
    <t>13238930</t>
  </si>
  <si>
    <t>14401592</t>
  </si>
  <si>
    <t>Endokrinologya</t>
  </si>
  <si>
    <t>13108131</t>
  </si>
  <si>
    <t>Revmatologiia (Bulgaria)</t>
  </si>
  <si>
    <t>13100505</t>
  </si>
  <si>
    <t>Journal of Medical Ultrasonics</t>
  </si>
  <si>
    <t>13464523</t>
  </si>
  <si>
    <t>16132254</t>
  </si>
  <si>
    <t>Journal of Clinical Research</t>
  </si>
  <si>
    <t>13695207</t>
  </si>
  <si>
    <t>PJB Publications</t>
  </si>
  <si>
    <t>European Journal of Cancer</t>
  </si>
  <si>
    <t>09598049</t>
  </si>
  <si>
    <t>18790852</t>
  </si>
  <si>
    <t>Oral Oncology</t>
  </si>
  <si>
    <t>13688375</t>
  </si>
  <si>
    <t>18790593</t>
  </si>
  <si>
    <t>Journal of Healthcare Management</t>
  </si>
  <si>
    <t>10969012</t>
  </si>
  <si>
    <t>19447396</t>
  </si>
  <si>
    <t>Foundation of the American College of Healthcare Executives</t>
  </si>
  <si>
    <t>Journal of Medical Economics</t>
  </si>
  <si>
    <t>13696998</t>
  </si>
  <si>
    <t>1941837X</t>
  </si>
  <si>
    <t>Clinical Chemistry and Laboratory Medicine</t>
  </si>
  <si>
    <t>14346621</t>
  </si>
  <si>
    <t>14374331</t>
  </si>
  <si>
    <t>Journal of ECT</t>
  </si>
  <si>
    <t>10950680</t>
  </si>
  <si>
    <t>15334112</t>
  </si>
  <si>
    <t>Medical Mycology</t>
  </si>
  <si>
    <t>13693786</t>
  </si>
  <si>
    <t>14602709</t>
  </si>
  <si>
    <t>Toxicological Sciences</t>
  </si>
  <si>
    <t>10966080</t>
  </si>
  <si>
    <t>10960929</t>
  </si>
  <si>
    <t>European Journal of Contraception and Reproductive Health Care</t>
  </si>
  <si>
    <t>13625187</t>
  </si>
  <si>
    <t>14730782</t>
  </si>
  <si>
    <t>Comparative Biochemistry and Physiology - A Molecular and Integrative Physiology</t>
  </si>
  <si>
    <t>10956433</t>
  </si>
  <si>
    <t>15314332</t>
  </si>
  <si>
    <t>Aktuelle Rheumatologie, Supplement</t>
  </si>
  <si>
    <t>14337940</t>
  </si>
  <si>
    <t>Sexually Transmitted Infections</t>
  </si>
  <si>
    <t>13684973</t>
  </si>
  <si>
    <t>14723263</t>
  </si>
  <si>
    <t>Medicina Interna de Mexico</t>
  </si>
  <si>
    <t>01864866</t>
  </si>
  <si>
    <t>Ceska a Slovenska Psychiatrie</t>
  </si>
  <si>
    <t>12120383</t>
  </si>
  <si>
    <t>CZCH/ENGL/SLVK</t>
  </si>
  <si>
    <t>Psychopharmakotherapie, Supplement</t>
  </si>
  <si>
    <t>09465146</t>
  </si>
  <si>
    <t>Journal of Clinical Monitoring and Computing</t>
  </si>
  <si>
    <t>13871307</t>
  </si>
  <si>
    <t>15732614</t>
  </si>
  <si>
    <t>Cardiology Review</t>
  </si>
  <si>
    <t>10926607</t>
  </si>
  <si>
    <t>Journal of Environmental Science and Health - Part A Toxic/Hazardous Substances and Environmental Engineering</t>
  </si>
  <si>
    <t>10934529</t>
  </si>
  <si>
    <t>15324117</t>
  </si>
  <si>
    <t>Regional Anesthesia and Pain Medicine</t>
  </si>
  <si>
    <t>10987339</t>
  </si>
  <si>
    <t>15328651</t>
  </si>
  <si>
    <t>Pharmaceutical Biology</t>
  </si>
  <si>
    <t>13880209</t>
  </si>
  <si>
    <t>17445116</t>
  </si>
  <si>
    <t>Genetics and Molecular Biology</t>
  </si>
  <si>
    <t>14154757</t>
  </si>
  <si>
    <t>16784685</t>
  </si>
  <si>
    <t>Brazilian Journal of Genetics</t>
  </si>
  <si>
    <t>Langenbeck's Archives of Surgery</t>
  </si>
  <si>
    <t>14352443</t>
  </si>
  <si>
    <t>14352451</t>
  </si>
  <si>
    <t>Molecular Genetics and Metabolism</t>
  </si>
  <si>
    <t>10967192</t>
  </si>
  <si>
    <t>10967206</t>
  </si>
  <si>
    <t>Journal of Human Genetics</t>
  </si>
  <si>
    <t>14345161</t>
  </si>
  <si>
    <t>1435232X</t>
  </si>
  <si>
    <t>Journal of Science and Medicine in Sport</t>
  </si>
  <si>
    <t>14402440</t>
  </si>
  <si>
    <t>18781861</t>
  </si>
  <si>
    <t>Nature Neuroscience</t>
  </si>
  <si>
    <t>10976256</t>
  </si>
  <si>
    <t>15461726</t>
  </si>
  <si>
    <t>Neural Plasticity</t>
  </si>
  <si>
    <t>07928483</t>
  </si>
  <si>
    <t>16875443</t>
  </si>
  <si>
    <t>Kardiotechnik</t>
  </si>
  <si>
    <t>09412670</t>
  </si>
  <si>
    <t>Deutsche Gesellschaft fur Kardiotechnik e.V.</t>
  </si>
  <si>
    <t>E-flow PDF Deutsche Gesellschaft fur Kardiotechnik e.V.</t>
  </si>
  <si>
    <t>Journal of Biomolecular NMR</t>
  </si>
  <si>
    <t>09252738</t>
  </si>
  <si>
    <t>15735001</t>
  </si>
  <si>
    <t>Current Opinion in Microbiology</t>
  </si>
  <si>
    <t>13695274</t>
  </si>
  <si>
    <t>18790364</t>
  </si>
  <si>
    <t>Combinatorial Chemistry and High Throughput Screening</t>
  </si>
  <si>
    <t>13862073</t>
  </si>
  <si>
    <t>18755402</t>
  </si>
  <si>
    <t>International Journal of Molecular Medicine</t>
  </si>
  <si>
    <t>11073756</t>
  </si>
  <si>
    <t>1791244X</t>
  </si>
  <si>
    <t>Molecular Cell</t>
  </si>
  <si>
    <t>10972765</t>
  </si>
  <si>
    <t>10974164</t>
  </si>
  <si>
    <t>Research Communications in Biochemistry and Cell and Molecular Biology</t>
  </si>
  <si>
    <t>1087111X</t>
  </si>
  <si>
    <t>Preventive Cardiology</t>
  </si>
  <si>
    <t>1520037X</t>
  </si>
  <si>
    <t>17517141</t>
  </si>
  <si>
    <t>Clinical and Experimental Nephrology</t>
  </si>
  <si>
    <t>13421751</t>
  </si>
  <si>
    <t>14377799</t>
  </si>
  <si>
    <t>Journal of Infection and Chemotherapy</t>
  </si>
  <si>
    <t>1341321X</t>
  </si>
  <si>
    <t>14377780</t>
  </si>
  <si>
    <t>Drug Resistance Updates</t>
  </si>
  <si>
    <t>13687646</t>
  </si>
  <si>
    <t>15322084</t>
  </si>
  <si>
    <t>International Tinnitus Journal</t>
  </si>
  <si>
    <t>09465448</t>
  </si>
  <si>
    <t>Associacao Medica de Brasilia</t>
  </si>
  <si>
    <t>E-Flow PDF Associacao Medica de Brasilia</t>
  </si>
  <si>
    <t>Journal of Medical Speech-Language Pathology</t>
  </si>
  <si>
    <t>10651438</t>
  </si>
  <si>
    <t>Delmar Learning</t>
  </si>
  <si>
    <t>Aging Male</t>
  </si>
  <si>
    <t>13685538</t>
  </si>
  <si>
    <t>14730790</t>
  </si>
  <si>
    <t>Climacteric</t>
  </si>
  <si>
    <t>13697137</t>
  </si>
  <si>
    <t>14730804</t>
  </si>
  <si>
    <t>Pediatric and Developmental Pathology</t>
  </si>
  <si>
    <t>10935266</t>
  </si>
  <si>
    <t>16155742</t>
  </si>
  <si>
    <t>Society for Pediatric Pathology</t>
  </si>
  <si>
    <t>Clinical Geriatrics</t>
  </si>
  <si>
    <t>10951598</t>
  </si>
  <si>
    <t>HMP Communications LLP</t>
  </si>
  <si>
    <t>E-flow HMP Communications</t>
  </si>
  <si>
    <t>Annals of Long-Term Care</t>
  </si>
  <si>
    <t>15247929</t>
  </si>
  <si>
    <t>19435010</t>
  </si>
  <si>
    <t>CNS Spectrums</t>
  </si>
  <si>
    <t>10928529</t>
  </si>
  <si>
    <t>Pediatric Transplantation</t>
  </si>
  <si>
    <t>13973142</t>
  </si>
  <si>
    <t>13993046</t>
  </si>
  <si>
    <t>Prostaglandins and Other Lipid Mediators</t>
  </si>
  <si>
    <t>10988823</t>
  </si>
  <si>
    <t>Cuadernos de Medicina Reproductiva</t>
  </si>
  <si>
    <t>11350970</t>
  </si>
  <si>
    <t>Ferring Laboratorios</t>
  </si>
  <si>
    <t>Gesundheitsokonomie und Qualitatsmanagement</t>
  </si>
  <si>
    <t>14322625</t>
  </si>
  <si>
    <t>14394049</t>
  </si>
  <si>
    <t>Journal fur Kardiologie</t>
  </si>
  <si>
    <t>10240098</t>
  </si>
  <si>
    <t>1680936X</t>
  </si>
  <si>
    <t>Krause und Pachernegg GmbH</t>
  </si>
  <si>
    <t>Journal fur Hypertonie</t>
  </si>
  <si>
    <t>10282327</t>
  </si>
  <si>
    <t>16809378</t>
  </si>
  <si>
    <t>Journal fur Mineralstoffwechsel</t>
  </si>
  <si>
    <t>10237763</t>
  </si>
  <si>
    <t>16809408</t>
  </si>
  <si>
    <t>Journal fur Urologie und Urogynakologie</t>
  </si>
  <si>
    <t>10236090</t>
  </si>
  <si>
    <t>16809424</t>
  </si>
  <si>
    <t>SD Revista Medica Internacional sobre el Sindrome de Down</t>
  </si>
  <si>
    <t>11382074</t>
  </si>
  <si>
    <t>Ultrasonics Sonochemistry</t>
  </si>
  <si>
    <t>13504177</t>
  </si>
  <si>
    <t>18732828</t>
  </si>
  <si>
    <t>Children's Health Care</t>
  </si>
  <si>
    <t>02739615</t>
  </si>
  <si>
    <t>15326888</t>
  </si>
  <si>
    <t>Measurement in Physical Education and Exercise Science</t>
  </si>
  <si>
    <t>1091367X</t>
  </si>
  <si>
    <t>15327841</t>
  </si>
  <si>
    <t>Autism</t>
  </si>
  <si>
    <t>13623613</t>
  </si>
  <si>
    <t>14617005</t>
  </si>
  <si>
    <t>Revista Argentina de Endocrinologia y Metabolismo</t>
  </si>
  <si>
    <t>03264610</t>
  </si>
  <si>
    <t>Sociedad Argentina de Endocrinologia y Metabolismo</t>
  </si>
  <si>
    <t>MeReC Bulletin</t>
  </si>
  <si>
    <t>14655659</t>
  </si>
  <si>
    <t>National Prescribing Centre</t>
  </si>
  <si>
    <t>Mikologia Lekarska</t>
  </si>
  <si>
    <t>1232986X</t>
  </si>
  <si>
    <t>Cognition</t>
  </si>
  <si>
    <t>00100277</t>
  </si>
  <si>
    <t>18737838</t>
  </si>
  <si>
    <t>Paediatric and Perinatal Drug Therapy</t>
  </si>
  <si>
    <t>14630095</t>
  </si>
  <si>
    <t>17444349</t>
  </si>
  <si>
    <t>Librapharm</t>
  </si>
  <si>
    <t>Neuromodulation</t>
  </si>
  <si>
    <t>10947159</t>
  </si>
  <si>
    <t>15251403</t>
  </si>
  <si>
    <t>Proceedings of the Nutrition Society</t>
  </si>
  <si>
    <t>00296651</t>
  </si>
  <si>
    <t>14752719</t>
  </si>
  <si>
    <t>Verhaltenstherapie</t>
  </si>
  <si>
    <t>10166262</t>
  </si>
  <si>
    <t>14230402</t>
  </si>
  <si>
    <t>Indoor and Built Environment</t>
  </si>
  <si>
    <t>1420326X</t>
  </si>
  <si>
    <t>14230070</t>
  </si>
  <si>
    <t>Journal of Aggression, Maltreatment and Trauma</t>
  </si>
  <si>
    <t>10926771</t>
  </si>
  <si>
    <t>1545083X</t>
  </si>
  <si>
    <t>Biomedicine (India)</t>
  </si>
  <si>
    <t>09702067</t>
  </si>
  <si>
    <t>Indian Association of Biomedical Scientists</t>
  </si>
  <si>
    <t>University of Madras</t>
  </si>
  <si>
    <t>ATLA Alternatives to Laboratory Animals</t>
  </si>
  <si>
    <t>02611929</t>
  </si>
  <si>
    <t>FRAME</t>
  </si>
  <si>
    <t>Z Zagadnien Nauk Sadowych</t>
  </si>
  <si>
    <t>12307483</t>
  </si>
  <si>
    <t>Instytut Ekspertyz Sadowych</t>
  </si>
  <si>
    <t>Lymphologie in Forschung und Praxis</t>
  </si>
  <si>
    <t>14335255</t>
  </si>
  <si>
    <t>Biochemical Engineering Journal</t>
  </si>
  <si>
    <t>1369703X</t>
  </si>
  <si>
    <t>1873295X</t>
  </si>
  <si>
    <t>Journal of Clinical Virology</t>
  </si>
  <si>
    <t>13866532</t>
  </si>
  <si>
    <t>18735967</t>
  </si>
  <si>
    <t>Growth Hormone and IGF Research</t>
  </si>
  <si>
    <t>10966374</t>
  </si>
  <si>
    <t>15322238</t>
  </si>
  <si>
    <t>Biocontrol Science</t>
  </si>
  <si>
    <t>13424815</t>
  </si>
  <si>
    <t>18840205</t>
  </si>
  <si>
    <t>Society for Antibacterial and Antifungal Agents Japan</t>
  </si>
  <si>
    <t>Journal of Toxicology and Environmental Health - Part B: Critical Reviews</t>
  </si>
  <si>
    <t>10937404</t>
  </si>
  <si>
    <t>15216950</t>
  </si>
  <si>
    <t>Journal of Tokyo Medical University</t>
  </si>
  <si>
    <t>00408905</t>
  </si>
  <si>
    <t>Medical Society of Tokyo Medical College</t>
  </si>
  <si>
    <t>Medical Society of Tokyo</t>
  </si>
  <si>
    <t>Journal of Occupational Health Psychology</t>
  </si>
  <si>
    <t>10768998</t>
  </si>
  <si>
    <t>19391307</t>
  </si>
  <si>
    <t>Journal of Medical Teachers Federation</t>
  </si>
  <si>
    <t>15609006</t>
  </si>
  <si>
    <t>New Journal of Chemistry</t>
  </si>
  <si>
    <t>11440546</t>
  </si>
  <si>
    <t>13699261</t>
  </si>
  <si>
    <t>Journal of Biomolecular Screening</t>
  </si>
  <si>
    <t>10870571</t>
  </si>
  <si>
    <t>1552454X</t>
  </si>
  <si>
    <t>Journal of Medicinal Food</t>
  </si>
  <si>
    <t>1096620X</t>
  </si>
  <si>
    <t>15577600</t>
  </si>
  <si>
    <t>Journal of Palliative Medicine</t>
  </si>
  <si>
    <t>10966218</t>
  </si>
  <si>
    <t>15577740</t>
  </si>
  <si>
    <t>Journal of Pakistan Association of Dermatologists</t>
  </si>
  <si>
    <t>15609014</t>
  </si>
  <si>
    <t>Pakistan Association of Dermatologists</t>
  </si>
  <si>
    <t>New Zealand Journal of Medical Laboratory Science</t>
  </si>
  <si>
    <t>11710195</t>
  </si>
  <si>
    <t>New Zealand Institute of Medical Laboratory Science Inc.</t>
  </si>
  <si>
    <t>E-flow PDF New Zealand Institute of Medical Laboratory Science Inc.</t>
  </si>
  <si>
    <t>Synlett</t>
  </si>
  <si>
    <t>09365214</t>
  </si>
  <si>
    <t>14372096</t>
  </si>
  <si>
    <t>Acta Myologica</t>
  </si>
  <si>
    <t>11282460</t>
  </si>
  <si>
    <t>Indian Journal of Occupational and Environmental Medicine</t>
  </si>
  <si>
    <t>09732284</t>
  </si>
  <si>
    <t>19983670</t>
  </si>
  <si>
    <t>Pediatrics in Review</t>
  </si>
  <si>
    <t>01919601</t>
  </si>
  <si>
    <t>15263347</t>
  </si>
  <si>
    <t>Psychiatrie</t>
  </si>
  <si>
    <t>12117579</t>
  </si>
  <si>
    <t>12126845</t>
  </si>
  <si>
    <t>TIGIS Spol. s.r.o.</t>
  </si>
  <si>
    <t>Chinese Journal of Cancer Research</t>
  </si>
  <si>
    <t>10009604</t>
  </si>
  <si>
    <t>19930631</t>
  </si>
  <si>
    <t>Chinese Anti-Cancer Association</t>
  </si>
  <si>
    <t>New Medicine</t>
  </si>
  <si>
    <t>14270994</t>
  </si>
  <si>
    <t>Borgis Publishing House</t>
  </si>
  <si>
    <t>Seminars in Musculoskeletal Radiology</t>
  </si>
  <si>
    <t>10897860</t>
  </si>
  <si>
    <t>1098898X</t>
  </si>
  <si>
    <t>Journal of Artificial Organs</t>
  </si>
  <si>
    <t>14347229</t>
  </si>
  <si>
    <t>16190904</t>
  </si>
  <si>
    <t>Hong Kong Physiotherapy Journal</t>
  </si>
  <si>
    <t>10137025</t>
  </si>
  <si>
    <t>Socijalna Psihijatrija</t>
  </si>
  <si>
    <t>03037908</t>
  </si>
  <si>
    <t>Croatian Academy for Medical Sciences</t>
  </si>
  <si>
    <t>Human Fertility</t>
  </si>
  <si>
    <t>14647273</t>
  </si>
  <si>
    <t>17428149</t>
  </si>
  <si>
    <t>World Journal of Gastroenterology</t>
  </si>
  <si>
    <t>10079327</t>
  </si>
  <si>
    <t>22192840</t>
  </si>
  <si>
    <t>WJG Press</t>
  </si>
  <si>
    <t>Journal of Asian Natural Products Research</t>
  </si>
  <si>
    <t>10286020</t>
  </si>
  <si>
    <t>14772213</t>
  </si>
  <si>
    <t>Journal of Cardiovascular Magnetic Resonance</t>
  </si>
  <si>
    <t>10976647</t>
  </si>
  <si>
    <t>1532429X</t>
  </si>
  <si>
    <t>Journal of Clinical Outcomes Management</t>
  </si>
  <si>
    <t>10796533</t>
  </si>
  <si>
    <t>Turner White Communications Inc.</t>
  </si>
  <si>
    <t>Pharmaceutical Chemistry Journal</t>
  </si>
  <si>
    <t>0091150X</t>
  </si>
  <si>
    <t>15739031</t>
  </si>
  <si>
    <t>Journal of Clinical and Basic Cardiology</t>
  </si>
  <si>
    <t>15612775</t>
  </si>
  <si>
    <t>16809386</t>
  </si>
  <si>
    <t>Biochimica et Biophysica Acta - Molecular and Cell Biology of Lipids</t>
  </si>
  <si>
    <t>13881981</t>
  </si>
  <si>
    <t>18792618</t>
  </si>
  <si>
    <t>Annals of Biomedical Engineering</t>
  </si>
  <si>
    <t>00906964</t>
  </si>
  <si>
    <t>15739686</t>
  </si>
  <si>
    <t>International Journal of Environment and Pollution</t>
  </si>
  <si>
    <t>09574352</t>
  </si>
  <si>
    <t>17415101</t>
  </si>
  <si>
    <t>Inderscience Enterprises Ltd.</t>
  </si>
  <si>
    <t>E-flow Inderscience</t>
  </si>
  <si>
    <t>Diabetes Technology and Therapeutics</t>
  </si>
  <si>
    <t>15209156</t>
  </si>
  <si>
    <t>15578593</t>
  </si>
  <si>
    <t>Colorectal Disease</t>
  </si>
  <si>
    <t>14628910</t>
  </si>
  <si>
    <t>14631318</t>
  </si>
  <si>
    <t>Journal of Clinical Neuroscience</t>
  </si>
  <si>
    <t>09675868</t>
  </si>
  <si>
    <t>15322653</t>
  </si>
  <si>
    <t>Transplant Infectious Disease</t>
  </si>
  <si>
    <t>13982273</t>
  </si>
  <si>
    <t>13993062</t>
  </si>
  <si>
    <t>Journal of Interventional Cardiac Electrophysiology</t>
  </si>
  <si>
    <t>1383875X</t>
  </si>
  <si>
    <t>15728595</t>
  </si>
  <si>
    <t>Genetics in Medicine</t>
  </si>
  <si>
    <t>10983600</t>
  </si>
  <si>
    <t>15300366</t>
  </si>
  <si>
    <t>Clinical Neurophysiology</t>
  </si>
  <si>
    <t>13882457</t>
  </si>
  <si>
    <t>18728952</t>
  </si>
  <si>
    <t>BJU International</t>
  </si>
  <si>
    <t>14644096</t>
  </si>
  <si>
    <t>1464410X</t>
  </si>
  <si>
    <t>BJU International, Supplement</t>
  </si>
  <si>
    <t>14655101</t>
  </si>
  <si>
    <t>Metabolic Engineering</t>
  </si>
  <si>
    <t>10967176</t>
  </si>
  <si>
    <t>10967184</t>
  </si>
  <si>
    <t>Thermology International</t>
  </si>
  <si>
    <t>1560604X</t>
  </si>
  <si>
    <t>Ludwig Boltzmann Forsch. fur Physikalishe Diagnostik</t>
  </si>
  <si>
    <t>Cognitive Neuropsychiatry</t>
  </si>
  <si>
    <t>13546805</t>
  </si>
  <si>
    <t>14640619</t>
  </si>
  <si>
    <t>Canadian Journal of Respiratory Therapy</t>
  </si>
  <si>
    <t>12059838</t>
  </si>
  <si>
    <t>Canadian Society of Respiratory Therapists</t>
  </si>
  <si>
    <t>Thyroidology Clinical and Experimental</t>
  </si>
  <si>
    <t>11217596</t>
  </si>
  <si>
    <t>Internal Medicine Clinical and Laboratory</t>
  </si>
  <si>
    <t>15909271</t>
  </si>
  <si>
    <t>International Journal of Neuropsychopharmacology</t>
  </si>
  <si>
    <t>14611457</t>
  </si>
  <si>
    <t>14695111</t>
  </si>
  <si>
    <t>Environmental Toxicology</t>
  </si>
  <si>
    <t>15204081</t>
  </si>
  <si>
    <t>15227278</t>
  </si>
  <si>
    <t>Oncologie</t>
  </si>
  <si>
    <t>12923818</t>
  </si>
  <si>
    <t>17652839</t>
  </si>
  <si>
    <t>Journal of Bioscience and Bioengineering</t>
  </si>
  <si>
    <t>13891723</t>
  </si>
  <si>
    <t>13474421</t>
  </si>
  <si>
    <t>Clinical Immunology</t>
  </si>
  <si>
    <t>15216616</t>
  </si>
  <si>
    <t>15217035</t>
  </si>
  <si>
    <t>Acta Clinica Croatica, Supplement</t>
  </si>
  <si>
    <t>03539474</t>
  </si>
  <si>
    <t>Drugs in R and D</t>
  </si>
  <si>
    <t>11745886</t>
  </si>
  <si>
    <t>11796901</t>
  </si>
  <si>
    <t>Journal of Gene Medicine</t>
  </si>
  <si>
    <t>1099498X</t>
  </si>
  <si>
    <t>15212254</t>
  </si>
  <si>
    <t>International Journal of Medical Toxicology and Legal Medicine</t>
  </si>
  <si>
    <t>09720448</t>
  </si>
  <si>
    <t>European Journal of Heart Failure</t>
  </si>
  <si>
    <t>13889842</t>
  </si>
  <si>
    <t>18790844</t>
  </si>
  <si>
    <t>Journal of Mammary Gland Biology and Neoplasia</t>
  </si>
  <si>
    <t>10833021</t>
  </si>
  <si>
    <t>15737039</t>
  </si>
  <si>
    <t>AIDS Reviews</t>
  </si>
  <si>
    <t>11396121</t>
  </si>
  <si>
    <t>Cells Tissues Organs</t>
  </si>
  <si>
    <t>14226405</t>
  </si>
  <si>
    <t>14226421</t>
  </si>
  <si>
    <t>Atencion Farmaceutica</t>
  </si>
  <si>
    <t>11397357</t>
  </si>
  <si>
    <t>Rasgo Editorial S.A.</t>
  </si>
  <si>
    <t>Revista Brasileira de Plantas Medicinais</t>
  </si>
  <si>
    <t>15160572</t>
  </si>
  <si>
    <t>1983084X</t>
  </si>
  <si>
    <t>Instituto de Biociencias</t>
  </si>
  <si>
    <t>Journal of Alzheimer's Disease</t>
  </si>
  <si>
    <t>13872877</t>
  </si>
  <si>
    <t>18758908</t>
  </si>
  <si>
    <t>Journal of Microbiology, Immunology and Infection</t>
  </si>
  <si>
    <t>16841182</t>
  </si>
  <si>
    <t>19959133</t>
  </si>
  <si>
    <t>International Journal of Health Promotion and Education</t>
  </si>
  <si>
    <t>14635240</t>
  </si>
  <si>
    <t>21649545</t>
  </si>
  <si>
    <t>Institute of Health Promotion and Education</t>
  </si>
  <si>
    <t>Cultural Diversity and Ethnic Minority Psychology</t>
  </si>
  <si>
    <t>10999809</t>
  </si>
  <si>
    <t>19390106</t>
  </si>
  <si>
    <t>Pediatrics International</t>
  </si>
  <si>
    <t>13288067</t>
  </si>
  <si>
    <t>1442200X</t>
  </si>
  <si>
    <t>Diabetes/Metabolism Research and Reviews</t>
  </si>
  <si>
    <t>15207552</t>
  </si>
  <si>
    <t>15207560</t>
  </si>
  <si>
    <t>European Journal of Nutrition</t>
  </si>
  <si>
    <t>14366207</t>
  </si>
  <si>
    <t>14366215</t>
  </si>
  <si>
    <t>Value in Health</t>
  </si>
  <si>
    <t>10983015</t>
  </si>
  <si>
    <t>15244733</t>
  </si>
  <si>
    <t>Sexuologie</t>
  </si>
  <si>
    <t>09447105</t>
  </si>
  <si>
    <t>Phytomedicine</t>
  </si>
  <si>
    <t>09447113</t>
  </si>
  <si>
    <t>1618095X</t>
  </si>
  <si>
    <t>Catheterization and Cardiovascular Interventions</t>
  </si>
  <si>
    <t>15221946</t>
  </si>
  <si>
    <t>1522726X</t>
  </si>
  <si>
    <t>Epileptic Disorders</t>
  </si>
  <si>
    <t>12949361</t>
  </si>
  <si>
    <t>19506945</t>
  </si>
  <si>
    <t>Nature Cell Biology</t>
  </si>
  <si>
    <t>14657392</t>
  </si>
  <si>
    <t>14764679</t>
  </si>
  <si>
    <t>Diabetes, Obesity and Metabolism</t>
  </si>
  <si>
    <t>14628902</t>
  </si>
  <si>
    <t>14631326</t>
  </si>
  <si>
    <t>Neoplasia (United States)</t>
  </si>
  <si>
    <t>15228002</t>
  </si>
  <si>
    <t>14765586</t>
  </si>
  <si>
    <t>Neoplasia Press, Inc.</t>
  </si>
  <si>
    <t>Techniques in Vascular and Interventional Radiology</t>
  </si>
  <si>
    <t>10892516</t>
  </si>
  <si>
    <t>15579808</t>
  </si>
  <si>
    <t>Journal of Stroke and Cerebrovascular Diseases</t>
  </si>
  <si>
    <t>10523057</t>
  </si>
  <si>
    <t>15328511</t>
  </si>
  <si>
    <t>Journal of Invasive Cardiology</t>
  </si>
  <si>
    <t>10423931</t>
  </si>
  <si>
    <t>15572501</t>
  </si>
  <si>
    <t>HMP Communications</t>
  </si>
  <si>
    <t>Primary Psychiatry</t>
  </si>
  <si>
    <t>10826319</t>
  </si>
  <si>
    <t>MBL Communications</t>
  </si>
  <si>
    <t>Journal of Clinical Densitometry</t>
  </si>
  <si>
    <t>10946950</t>
  </si>
  <si>
    <t>15590747</t>
  </si>
  <si>
    <t>New Genetics and Society</t>
  </si>
  <si>
    <t>14636778</t>
  </si>
  <si>
    <t>14699915</t>
  </si>
  <si>
    <t>Journal of Substance Use</t>
  </si>
  <si>
    <t>14659891</t>
  </si>
  <si>
    <t>14759942</t>
  </si>
  <si>
    <t>Archives of Women's Mental Health</t>
  </si>
  <si>
    <t>14341816</t>
  </si>
  <si>
    <t>14351102</t>
  </si>
  <si>
    <t>European Journal of General Practice</t>
  </si>
  <si>
    <t>13814788</t>
  </si>
  <si>
    <t>17511402</t>
  </si>
  <si>
    <t>Sao Paulo Medical Journal</t>
  </si>
  <si>
    <t>15163180</t>
  </si>
  <si>
    <t>Associacao Paulista de Medicina</t>
  </si>
  <si>
    <t>European Heart Journal, Supplement</t>
  </si>
  <si>
    <t>1520765X</t>
  </si>
  <si>
    <t>15542815</t>
  </si>
  <si>
    <t>Legal Medicine</t>
  </si>
  <si>
    <t>13446223</t>
  </si>
  <si>
    <t>18734162</t>
  </si>
  <si>
    <t>Microbes and Infection</t>
  </si>
  <si>
    <t>12864579</t>
  </si>
  <si>
    <t>1769714X</t>
  </si>
  <si>
    <t>Cytotherapy</t>
  </si>
  <si>
    <t>14653249</t>
  </si>
  <si>
    <t>14772566</t>
  </si>
  <si>
    <t>European Journal of Orthopaedic Surgery and Traumatology</t>
  </si>
  <si>
    <t>16338065</t>
  </si>
  <si>
    <t>14321068</t>
  </si>
  <si>
    <t>Revista Brasileira de Toxicologia</t>
  </si>
  <si>
    <t>14152983</t>
  </si>
  <si>
    <t>Sociedade Brasileira de Toxicologia</t>
  </si>
  <si>
    <t>Gastric Cancer</t>
  </si>
  <si>
    <t>14363291</t>
  </si>
  <si>
    <t>14363305</t>
  </si>
  <si>
    <t>Aktuelle Ernahrungsmedizin</t>
  </si>
  <si>
    <t>03410501</t>
  </si>
  <si>
    <t>14389916</t>
  </si>
  <si>
    <t>Journal of Musculoskeletal Research</t>
  </si>
  <si>
    <t>02189577</t>
  </si>
  <si>
    <t>Medicina Paliativa</t>
  </si>
  <si>
    <t>1134248X</t>
  </si>
  <si>
    <t>Sociedad Espanola de Cuidados Paliativos</t>
  </si>
  <si>
    <t>Current Problems in Cancer</t>
  </si>
  <si>
    <t>01470272</t>
  </si>
  <si>
    <t>15356345</t>
  </si>
  <si>
    <t>Antioxidants and Redox Signaling</t>
  </si>
  <si>
    <t>15230864</t>
  </si>
  <si>
    <t>15577716</t>
  </si>
  <si>
    <t>Revista de Psiquiatria Clinica</t>
  </si>
  <si>
    <t>01016083</t>
  </si>
  <si>
    <t>1806938X</t>
  </si>
  <si>
    <t>Lemos Editorial e Graficos Ltda</t>
  </si>
  <si>
    <t>Universidade de Sao Paulo</t>
  </si>
  <si>
    <t>Journal of Phytomedicine and Therapeutics</t>
  </si>
  <si>
    <t>11181028</t>
  </si>
  <si>
    <t>Nat. Inst. for Pharmaceutical Research and Development</t>
  </si>
  <si>
    <t>E-flow PDF Nat. Inst. for Pharmaceutical Research and Development</t>
  </si>
  <si>
    <t>NGA</t>
  </si>
  <si>
    <t>Annals of Diagnostic Pathology</t>
  </si>
  <si>
    <t>10929134</t>
  </si>
  <si>
    <t>15328198</t>
  </si>
  <si>
    <t>Current Opinion in Pulmonary Medicine</t>
  </si>
  <si>
    <t>10705287</t>
  </si>
  <si>
    <t>15316971</t>
  </si>
  <si>
    <t>Current Opinion in Clinical Nutrition and Metabolic Care</t>
  </si>
  <si>
    <t>13631950</t>
  </si>
  <si>
    <t>14736519</t>
  </si>
  <si>
    <t>Current Opinion in Critical Care</t>
  </si>
  <si>
    <t>10705295</t>
  </si>
  <si>
    <t>15317072</t>
  </si>
  <si>
    <t>Formosan Journal of Surgery</t>
  </si>
  <si>
    <t>1682606X</t>
  </si>
  <si>
    <t>Japanese Journal of Infectious Diseases</t>
  </si>
  <si>
    <t>13446304</t>
  </si>
  <si>
    <t>18842836</t>
  </si>
  <si>
    <t>National Institute of Health</t>
  </si>
  <si>
    <t>Revista Brasileira de Psiquiatria</t>
  </si>
  <si>
    <t>15164446</t>
  </si>
  <si>
    <t>Associacao Brasileira de Psiquiatria</t>
  </si>
  <si>
    <t>Associacao Brasileira de Psiquiatria Biologica</t>
  </si>
  <si>
    <t>Visual Cognition</t>
  </si>
  <si>
    <t>13506285</t>
  </si>
  <si>
    <t>14640716</t>
  </si>
  <si>
    <t>European Journal of Cognitive Psychology</t>
  </si>
  <si>
    <t>09541446</t>
  </si>
  <si>
    <t>14640635</t>
  </si>
  <si>
    <t>Cognition and Emotion</t>
  </si>
  <si>
    <t>02699931</t>
  </si>
  <si>
    <t>14640600</t>
  </si>
  <si>
    <t>Language and Cognitive Processes</t>
  </si>
  <si>
    <t>01690965</t>
  </si>
  <si>
    <t>14640732</t>
  </si>
  <si>
    <t>Journal of Health Science</t>
  </si>
  <si>
    <t>13449702</t>
  </si>
  <si>
    <t>13475207</t>
  </si>
  <si>
    <t>Neurorehabilitation and Neural Repair</t>
  </si>
  <si>
    <t>15459683</t>
  </si>
  <si>
    <t>15526844</t>
  </si>
  <si>
    <t>Journal of Molecular Microbiology and Biotechnology</t>
  </si>
  <si>
    <t>14641801</t>
  </si>
  <si>
    <t>16602412</t>
  </si>
  <si>
    <t>Pain Research and Management</t>
  </si>
  <si>
    <t>12036765</t>
  </si>
  <si>
    <t>Experimental and Clinical Cardiology</t>
  </si>
  <si>
    <t>12056626</t>
  </si>
  <si>
    <t>Cardiology Academic Press</t>
  </si>
  <si>
    <t>Paediatrics and Child Health (Canada)</t>
  </si>
  <si>
    <t>12057088</t>
  </si>
  <si>
    <t>European Radiology</t>
  </si>
  <si>
    <t>09387994</t>
  </si>
  <si>
    <t>14321084</t>
  </si>
  <si>
    <t>RoFo Fortschritte auf dem Gebiet der Rontgenstrahlen und der Bildgebenden Verfahren</t>
  </si>
  <si>
    <t>14389029</t>
  </si>
  <si>
    <t>14389010</t>
  </si>
  <si>
    <t>MMW-Fortschritte der Medizin</t>
  </si>
  <si>
    <t>14383276</t>
  </si>
  <si>
    <t>International Journal of Biotechnology</t>
  </si>
  <si>
    <t>09636048</t>
  </si>
  <si>
    <t>17415020</t>
  </si>
  <si>
    <t>Folia Neuropathologica</t>
  </si>
  <si>
    <t>16414640</t>
  </si>
  <si>
    <t>Alergia Astma Immunologia</t>
  </si>
  <si>
    <t>14273101</t>
  </si>
  <si>
    <t>University School of Medicine of Lodz</t>
  </si>
  <si>
    <t>E-flow PDF University School of Medicine of Lodz</t>
  </si>
  <si>
    <t>Jornal Brasileiro de Reproducao Assistida</t>
  </si>
  <si>
    <t>15175693</t>
  </si>
  <si>
    <t>15180557</t>
  </si>
  <si>
    <t>Sociedade Brasileira de Reproducao Assistida</t>
  </si>
  <si>
    <t>Actualites Pharmaceutiques</t>
  </si>
  <si>
    <t>05153700</t>
  </si>
  <si>
    <t>HPB</t>
  </si>
  <si>
    <t>1365182X</t>
  </si>
  <si>
    <t>14772574</t>
  </si>
  <si>
    <t>Cellular Microbiology</t>
  </si>
  <si>
    <t>14625814</t>
  </si>
  <si>
    <t>14625822</t>
  </si>
  <si>
    <t>Balkan Journal of Medical Genetics</t>
  </si>
  <si>
    <t>13110160</t>
  </si>
  <si>
    <t>American Journal of Respiratory Cell and Molecular Biology</t>
  </si>
  <si>
    <t>10441549</t>
  </si>
  <si>
    <t>15354989</t>
  </si>
  <si>
    <t>Rheumatology (United Kingdom)</t>
  </si>
  <si>
    <t>14620324</t>
  </si>
  <si>
    <t>14620332</t>
  </si>
  <si>
    <t>IUBMB Life</t>
  </si>
  <si>
    <t>15216543</t>
  </si>
  <si>
    <t>15216551</t>
  </si>
  <si>
    <t>CPD Bulletin Clinical Biochemistry</t>
  </si>
  <si>
    <t>13678930</t>
  </si>
  <si>
    <t>Rila Publications Ltd</t>
  </si>
  <si>
    <t>Indian Journal of Hematology and Blood Transfusion</t>
  </si>
  <si>
    <t>09714502</t>
  </si>
  <si>
    <t>09740449</t>
  </si>
  <si>
    <t>Medical Forum Monthly</t>
  </si>
  <si>
    <t>1029385X</t>
  </si>
  <si>
    <t>Journal of Nutrition, Health and Aging</t>
  </si>
  <si>
    <t>12797707</t>
  </si>
  <si>
    <t>17604788</t>
  </si>
  <si>
    <t>Ultraschall in der Medizin, Supplement</t>
  </si>
  <si>
    <t>14314894</t>
  </si>
  <si>
    <t>Endocrinologia y Nutricion</t>
  </si>
  <si>
    <t>15750922</t>
  </si>
  <si>
    <t>15792021</t>
  </si>
  <si>
    <t>Journal of Medical Investigation</t>
  </si>
  <si>
    <t>13431420</t>
  </si>
  <si>
    <t>13496867</t>
  </si>
  <si>
    <t>University of Tokushima</t>
  </si>
  <si>
    <t>Zeitschrift fur Psychosomatische Medizin und Psychotherapie</t>
  </si>
  <si>
    <t>14383608</t>
  </si>
  <si>
    <t>Vandenhoeck and Ruprecht GmbH and Co. KG</t>
  </si>
  <si>
    <t>Vandenhoeck und Ruprecht GmbH und Co. KG</t>
  </si>
  <si>
    <t>Australasian Physical and Engineering Sciences in Medicine</t>
  </si>
  <si>
    <t>01589938</t>
  </si>
  <si>
    <t>American Journal of Medical Genetics, Part C: Seminars in Medical Genetics</t>
  </si>
  <si>
    <t>15524868</t>
  </si>
  <si>
    <t>15524876</t>
  </si>
  <si>
    <t>Respiratory Research</t>
  </si>
  <si>
    <t>14659921</t>
  </si>
  <si>
    <t>1465993X</t>
  </si>
  <si>
    <t>International Journal of Systematic and Evolutionary Microbiology</t>
  </si>
  <si>
    <t>14665026</t>
  </si>
  <si>
    <t>Liver Transplantation</t>
  </si>
  <si>
    <t>15276465</t>
  </si>
  <si>
    <t>15276473</t>
  </si>
  <si>
    <t>Methods</t>
  </si>
  <si>
    <t>10462023</t>
  </si>
  <si>
    <t>10959130</t>
  </si>
  <si>
    <t>Genesis</t>
  </si>
  <si>
    <t>1526954X</t>
  </si>
  <si>
    <t>1526968X</t>
  </si>
  <si>
    <t>Comparative Medicine</t>
  </si>
  <si>
    <t>15320820</t>
  </si>
  <si>
    <t>American Association for Laboratory Animal Science</t>
  </si>
  <si>
    <t>American Association Lab. Anim. Sci.</t>
  </si>
  <si>
    <t>Digestive and Liver Disease</t>
  </si>
  <si>
    <t>15908658</t>
  </si>
  <si>
    <t>18783562</t>
  </si>
  <si>
    <t>Joint Bone Spine</t>
  </si>
  <si>
    <t>1297319X</t>
  </si>
  <si>
    <t>17787254</t>
  </si>
  <si>
    <t>Nucleosides, Nucleotides and Nucleic Acids</t>
  </si>
  <si>
    <t>15257770</t>
  </si>
  <si>
    <t>15322335</t>
  </si>
  <si>
    <t>Neurophysiologie-Labor</t>
  </si>
  <si>
    <t>14394847</t>
  </si>
  <si>
    <t>18764487</t>
  </si>
  <si>
    <t>Archivos de Psiquiatria</t>
  </si>
  <si>
    <t>15760367</t>
  </si>
  <si>
    <t>Editorial Triacastela</t>
  </si>
  <si>
    <t>Editorial Triacastelas</t>
  </si>
  <si>
    <t>Dermatologie in Beruf und Umwelt</t>
  </si>
  <si>
    <t>1438776X</t>
  </si>
  <si>
    <t>International Journal of Medical Microbiology</t>
  </si>
  <si>
    <t>14384221</t>
  </si>
  <si>
    <t>16180607</t>
  </si>
  <si>
    <t>Chirurgie de la Main</t>
  </si>
  <si>
    <t>12973203</t>
  </si>
  <si>
    <t>17696666</t>
  </si>
  <si>
    <t>Gynecologie Obstetrique Fertilite</t>
  </si>
  <si>
    <t>12979589</t>
  </si>
  <si>
    <t>17696682</t>
  </si>
  <si>
    <t>Journal of Acquired Immune Deficiency Syndromes</t>
  </si>
  <si>
    <t>15254135</t>
  </si>
  <si>
    <t>10779450</t>
  </si>
  <si>
    <t>World Chinese Journal of Digestology</t>
  </si>
  <si>
    <t>10093079</t>
  </si>
  <si>
    <t>WJC Press</t>
  </si>
  <si>
    <t>World Chinese Journal of Digestion</t>
  </si>
  <si>
    <t>Hypertension Research</t>
  </si>
  <si>
    <t>09169636</t>
  </si>
  <si>
    <t>13484214</t>
  </si>
  <si>
    <t>Journal of Endovascular Therapy</t>
  </si>
  <si>
    <t>15266028</t>
  </si>
  <si>
    <t>15451550</t>
  </si>
  <si>
    <t>Allen Press Publishing Services</t>
  </si>
  <si>
    <t>Annual Review of Biomedical Sciences</t>
  </si>
  <si>
    <t>18068774</t>
  </si>
  <si>
    <t>Universidade Estadual Paulista - UNESP</t>
  </si>
  <si>
    <t>Breast Cancer Research</t>
  </si>
  <si>
    <t>14655411</t>
  </si>
  <si>
    <t>1465542X</t>
  </si>
  <si>
    <t>Genes and Immunity</t>
  </si>
  <si>
    <t>14664879</t>
  </si>
  <si>
    <t>14765470</t>
  </si>
  <si>
    <t>Expert Opinion on Pharmacotherapy</t>
  </si>
  <si>
    <t>14656566</t>
  </si>
  <si>
    <t>17447666</t>
  </si>
  <si>
    <t>Pharmacogenomics</t>
  </si>
  <si>
    <t>14622416</t>
  </si>
  <si>
    <t>17448042</t>
  </si>
  <si>
    <t>Future Medicine Ltd.</t>
  </si>
  <si>
    <t>E-flow Future Science Group</t>
  </si>
  <si>
    <t>Pituitary</t>
  </si>
  <si>
    <t>1386341X</t>
  </si>
  <si>
    <t>15737403</t>
  </si>
  <si>
    <t>Biomedical Microdevices</t>
  </si>
  <si>
    <t>13872176</t>
  </si>
  <si>
    <t>15728781</t>
  </si>
  <si>
    <t>Neurotoxicity Research</t>
  </si>
  <si>
    <t>10298428</t>
  </si>
  <si>
    <t>14763524</t>
  </si>
  <si>
    <t>Current Issues in Molecular Biology</t>
  </si>
  <si>
    <t>14673037</t>
  </si>
  <si>
    <t>Caister Academic Press</t>
  </si>
  <si>
    <t>Medicine Today</t>
  </si>
  <si>
    <t>1443430X</t>
  </si>
  <si>
    <t>22030794</t>
  </si>
  <si>
    <t>Medicine Today Pty Ltd</t>
  </si>
  <si>
    <t>Bipolar Disorders</t>
  </si>
  <si>
    <t>13985647</t>
  </si>
  <si>
    <t>13995618</t>
  </si>
  <si>
    <t>Endocrine Practice</t>
  </si>
  <si>
    <t>1530891X</t>
  </si>
  <si>
    <t>19342403</t>
  </si>
  <si>
    <t>Journal of the American Medical Directors Association</t>
  </si>
  <si>
    <t>15258610</t>
  </si>
  <si>
    <t>15389375</t>
  </si>
  <si>
    <t>Journal of Oncology Pharmacy Practice</t>
  </si>
  <si>
    <t>10781552</t>
  </si>
  <si>
    <t>1477092X</t>
  </si>
  <si>
    <t>Traffic</t>
  </si>
  <si>
    <t>13989219</t>
  </si>
  <si>
    <t>16000854</t>
  </si>
  <si>
    <t>Cardiology in the Young</t>
  </si>
  <si>
    <t>10479511</t>
  </si>
  <si>
    <t>14671107</t>
  </si>
  <si>
    <t>Journal of Radiotherapy in Practice</t>
  </si>
  <si>
    <t>14603969</t>
  </si>
  <si>
    <t>14671131</t>
  </si>
  <si>
    <t>Cognitive Systems Research</t>
  </si>
  <si>
    <t>13890417</t>
  </si>
  <si>
    <t>Surgical Infections</t>
  </si>
  <si>
    <t>10962964</t>
  </si>
  <si>
    <t>15578674</t>
  </si>
  <si>
    <t>Annual Review of Biomedical Engineering</t>
  </si>
  <si>
    <t>15239829</t>
  </si>
  <si>
    <t>15454274</t>
  </si>
  <si>
    <t>Perinatology</t>
  </si>
  <si>
    <t>09722408</t>
  </si>
  <si>
    <t>Prism Books Pvt Ltd</t>
  </si>
  <si>
    <t>Heart Surgery Forum</t>
  </si>
  <si>
    <t>10983511</t>
  </si>
  <si>
    <t>15226662</t>
  </si>
  <si>
    <t>Carden Jennings Publishing Co. Ltd</t>
  </si>
  <si>
    <t>Pain Physician</t>
  </si>
  <si>
    <t>15333159</t>
  </si>
  <si>
    <t>American Society of Interventional Pain Physicians</t>
  </si>
  <si>
    <t>Epilepsy and Behavior</t>
  </si>
  <si>
    <t>15255050</t>
  </si>
  <si>
    <t>15255069</t>
  </si>
  <si>
    <t>Molecular Therapy</t>
  </si>
  <si>
    <t>15250016</t>
  </si>
  <si>
    <t>15250024</t>
  </si>
  <si>
    <t>Consciousness and Cognition</t>
  </si>
  <si>
    <t>10538100</t>
  </si>
  <si>
    <t>10902376</t>
  </si>
  <si>
    <t>High Altitude Medicine and Biology</t>
  </si>
  <si>
    <t>15270297</t>
  </si>
  <si>
    <t>15578682</t>
  </si>
  <si>
    <t>Archives of Psychiatry and Psychotherapy</t>
  </si>
  <si>
    <t>15092046</t>
  </si>
  <si>
    <t>Journal of Chinese Medicine</t>
  </si>
  <si>
    <t>01438042</t>
  </si>
  <si>
    <t>Journal of Traditional Chinese Medicine</t>
  </si>
  <si>
    <t>02552922</t>
  </si>
  <si>
    <t>European Journal of Oriental Medicine</t>
  </si>
  <si>
    <t>13516647</t>
  </si>
  <si>
    <t>British Acupuncture Council</t>
  </si>
  <si>
    <t>Nutritional Neuroscience</t>
  </si>
  <si>
    <t>1028415X</t>
  </si>
  <si>
    <t>14768305</t>
  </si>
  <si>
    <t>Journal of Clinical Hypertension</t>
  </si>
  <si>
    <t>15246175</t>
  </si>
  <si>
    <t>17517176</t>
  </si>
  <si>
    <t>Onkologia Polska</t>
  </si>
  <si>
    <t>15056732</t>
  </si>
  <si>
    <t>Asian Journal of Andrology</t>
  </si>
  <si>
    <t>1008682X</t>
  </si>
  <si>
    <t>17457262</t>
  </si>
  <si>
    <t>Pain Medicine (United States)</t>
  </si>
  <si>
    <t>15262375</t>
  </si>
  <si>
    <t>15264637</t>
  </si>
  <si>
    <t>Laboratory Hematology</t>
  </si>
  <si>
    <t>10802924</t>
  </si>
  <si>
    <t>Biology of Blood and Marrow Transplantation</t>
  </si>
  <si>
    <t>10838791</t>
  </si>
  <si>
    <t>15236536</t>
  </si>
  <si>
    <t>Biogerontology</t>
  </si>
  <si>
    <t>13895729</t>
  </si>
  <si>
    <t>15736768</t>
  </si>
  <si>
    <t>Journal of Clinical Psychology in Medical Settings</t>
  </si>
  <si>
    <t>10689583</t>
  </si>
  <si>
    <t>15733572</t>
  </si>
  <si>
    <t>Asia Pacific Journal of Environmental Law</t>
  </si>
  <si>
    <t>13852140</t>
  </si>
  <si>
    <t>Australian Centre for Environmental Law (Sydney)</t>
  </si>
  <si>
    <t>Journal of Biochemical and Molecular Toxicology</t>
  </si>
  <si>
    <t>10956670</t>
  </si>
  <si>
    <t>10990461</t>
  </si>
  <si>
    <t>Surgical Laparoscopy, Endoscopy and Percutaneous Techniques</t>
  </si>
  <si>
    <t>15304515</t>
  </si>
  <si>
    <t>15344908</t>
  </si>
  <si>
    <t>Medical Image Analysis</t>
  </si>
  <si>
    <t>13618415</t>
  </si>
  <si>
    <t>13618423</t>
  </si>
  <si>
    <t>Bolest</t>
  </si>
  <si>
    <t>12120634</t>
  </si>
  <si>
    <t>Functional and Integrative Genomics</t>
  </si>
  <si>
    <t>1438793X</t>
  </si>
  <si>
    <t>14387948</t>
  </si>
  <si>
    <t>Contact Lens and Anterior Eye</t>
  </si>
  <si>
    <t>13670484</t>
  </si>
  <si>
    <t>14765411</t>
  </si>
  <si>
    <t>Diabetologie Metabolismus Endokrinologie Vyziva</t>
  </si>
  <si>
    <t>12119326</t>
  </si>
  <si>
    <t>12126853</t>
  </si>
  <si>
    <t>Health, Risk and Society</t>
  </si>
  <si>
    <t>13698575</t>
  </si>
  <si>
    <t>14698331</t>
  </si>
  <si>
    <t>Sleep Medicine</t>
  </si>
  <si>
    <t>13899457</t>
  </si>
  <si>
    <t>18785506</t>
  </si>
  <si>
    <t>Health Services and Outcomes Research Methodology</t>
  </si>
  <si>
    <t>13873741</t>
  </si>
  <si>
    <t>15729400</t>
  </si>
  <si>
    <t>Journal of Applied Animal Welfare Science</t>
  </si>
  <si>
    <t>10888705</t>
  </si>
  <si>
    <t>15327604</t>
  </si>
  <si>
    <t>Infancy</t>
  </si>
  <si>
    <t>15250008</t>
  </si>
  <si>
    <t>15327078</t>
  </si>
  <si>
    <t>Journal of Cognition and Development</t>
  </si>
  <si>
    <t>15248372</t>
  </si>
  <si>
    <t>15327647</t>
  </si>
  <si>
    <t>Neurological Sciences</t>
  </si>
  <si>
    <t>15901874</t>
  </si>
  <si>
    <t>15903478</t>
  </si>
  <si>
    <t>Dyslexia</t>
  </si>
  <si>
    <t>10769242</t>
  </si>
  <si>
    <t>10990909</t>
  </si>
  <si>
    <t>Clinical and Experimental Ophthalmology</t>
  </si>
  <si>
    <t>14426404</t>
  </si>
  <si>
    <t>14429071</t>
  </si>
  <si>
    <t>Cancer Journal (United States)</t>
  </si>
  <si>
    <t>15289117</t>
  </si>
  <si>
    <t>1540336X</t>
  </si>
  <si>
    <t>Pakistan Journal of Medical Sciences</t>
  </si>
  <si>
    <t>1682024X</t>
  </si>
  <si>
    <t>Professional Medical Publications</t>
  </si>
  <si>
    <t>Journal of Clinical Neuromuscular Disease</t>
  </si>
  <si>
    <t>15220443</t>
  </si>
  <si>
    <t>15371611</t>
  </si>
  <si>
    <t>Current Opinion in Organ Transplantation</t>
  </si>
  <si>
    <t>10872418</t>
  </si>
  <si>
    <t>15317013</t>
  </si>
  <si>
    <t>Sports Medicine and Arthroscopy Review</t>
  </si>
  <si>
    <t>10628592</t>
  </si>
  <si>
    <t>15381951</t>
  </si>
  <si>
    <t>Journal of Orthopaedic Trauma</t>
  </si>
  <si>
    <t>08905339</t>
  </si>
  <si>
    <t>15312291</t>
  </si>
  <si>
    <t>Nicotine and Tobacco Research</t>
  </si>
  <si>
    <t>14622203</t>
  </si>
  <si>
    <t>1469994X</t>
  </si>
  <si>
    <t>Israel Medical Association Journal</t>
  </si>
  <si>
    <t>15651088</t>
  </si>
  <si>
    <t>Israel Medical Association</t>
  </si>
  <si>
    <t>ISR</t>
  </si>
  <si>
    <t>The Lancet Oncology</t>
  </si>
  <si>
    <t>14702045</t>
  </si>
  <si>
    <t>14745488</t>
  </si>
  <si>
    <t>Journal of Molecular Diagnostics</t>
  </si>
  <si>
    <t>15251578</t>
  </si>
  <si>
    <t>Eating Disorders</t>
  </si>
  <si>
    <t>10640266</t>
  </si>
  <si>
    <t>1532530X</t>
  </si>
  <si>
    <t>Journal of Pain</t>
  </si>
  <si>
    <t>15265900</t>
  </si>
  <si>
    <t>15288447</t>
  </si>
  <si>
    <t>Applied Immunohistochemistry and Molecular Morphology</t>
  </si>
  <si>
    <t>15412016</t>
  </si>
  <si>
    <t>15334058</t>
  </si>
  <si>
    <t>HIV Medicine</t>
  </si>
  <si>
    <t>14642662</t>
  </si>
  <si>
    <t>14681293</t>
  </si>
  <si>
    <t>Pharmaceutical Care Espana</t>
  </si>
  <si>
    <t>11396202</t>
  </si>
  <si>
    <t>Fundacion Pharmaceutical Care Espana</t>
  </si>
  <si>
    <t>Infant Mental Health Journal</t>
  </si>
  <si>
    <t>01639641</t>
  </si>
  <si>
    <t>10970355</t>
  </si>
  <si>
    <t>Applied Cognitive Psychology</t>
  </si>
  <si>
    <t>08884080</t>
  </si>
  <si>
    <t>10990720</t>
  </si>
  <si>
    <t>International Journal of Medicinal Mushrooms</t>
  </si>
  <si>
    <t>15219437</t>
  </si>
  <si>
    <t>19404344</t>
  </si>
  <si>
    <t>Journal of Vascular Access</t>
  </si>
  <si>
    <t>11297298</t>
  </si>
  <si>
    <t>Progress in Palliative Care</t>
  </si>
  <si>
    <t>09699260</t>
  </si>
  <si>
    <t>1743291X</t>
  </si>
  <si>
    <t>Paediatric Respiratory Reviews</t>
  </si>
  <si>
    <t>15260542</t>
  </si>
  <si>
    <t>15260550</t>
  </si>
  <si>
    <t>Biomacromolecules</t>
  </si>
  <si>
    <t>15257797</t>
  </si>
  <si>
    <t>15264602</t>
  </si>
  <si>
    <t>HIV Clinical Trials</t>
  </si>
  <si>
    <t>15284336</t>
  </si>
  <si>
    <t>19455771</t>
  </si>
  <si>
    <t>International Journal of Diabetes and Metabolism</t>
  </si>
  <si>
    <t>16067754</t>
  </si>
  <si>
    <t>Eastern Mediterranean Health Journal</t>
  </si>
  <si>
    <t>10203397</t>
  </si>
  <si>
    <t>ENGL/FREN/ARAB</t>
  </si>
  <si>
    <t>Physical Therapy in Sport</t>
  </si>
  <si>
    <t>1466853X</t>
  </si>
  <si>
    <t>18731600</t>
  </si>
  <si>
    <t>Journal of Trauma and Dissociation</t>
  </si>
  <si>
    <t>15299732</t>
  </si>
  <si>
    <t>15299740</t>
  </si>
  <si>
    <t>Journal of Forensic Psychology Practice</t>
  </si>
  <si>
    <t>15228932</t>
  </si>
  <si>
    <t>15229092</t>
  </si>
  <si>
    <t>Osteopathische Medizin</t>
  </si>
  <si>
    <t>16159071</t>
  </si>
  <si>
    <t>Pediatria Wspolczesna</t>
  </si>
  <si>
    <t>15075532</t>
  </si>
  <si>
    <t>Polski Przeglad Kardiologiczny</t>
  </si>
  <si>
    <t>15075540</t>
  </si>
  <si>
    <t>American Journal of Clinical Dermatology</t>
  </si>
  <si>
    <t>11750561</t>
  </si>
  <si>
    <t>11791888</t>
  </si>
  <si>
    <t>Advances in Psychiatric Treatment</t>
  </si>
  <si>
    <t>13555146</t>
  </si>
  <si>
    <t>14721481</t>
  </si>
  <si>
    <t>EMBO Reports</t>
  </si>
  <si>
    <t>1469221X</t>
  </si>
  <si>
    <t>14693178</t>
  </si>
  <si>
    <t>Europace</t>
  </si>
  <si>
    <t>10995129</t>
  </si>
  <si>
    <t>15322092</t>
  </si>
  <si>
    <t>Current Pharmaceutical Biotechnology</t>
  </si>
  <si>
    <t>13892010</t>
  </si>
  <si>
    <t>18734316</t>
  </si>
  <si>
    <t>Current Drug Metabolism</t>
  </si>
  <si>
    <t>13892002</t>
  </si>
  <si>
    <t>18755453</t>
  </si>
  <si>
    <t>Current Drug Targets</t>
  </si>
  <si>
    <t>13894501</t>
  </si>
  <si>
    <t>18735592</t>
  </si>
  <si>
    <t>Current Genomics</t>
  </si>
  <si>
    <t>13892029</t>
  </si>
  <si>
    <t>18755488</t>
  </si>
  <si>
    <t>Current Protein and Peptide Science</t>
  </si>
  <si>
    <t>13892037</t>
  </si>
  <si>
    <t>18755550</t>
  </si>
  <si>
    <t>Southern African Journal of HIV Medicine</t>
  </si>
  <si>
    <t>16089693</t>
  </si>
  <si>
    <t>20786751</t>
  </si>
  <si>
    <t>Pediatric Diabetes</t>
  </si>
  <si>
    <t>1399543X</t>
  </si>
  <si>
    <t>13995448</t>
  </si>
  <si>
    <t>Dengue Bulletin</t>
  </si>
  <si>
    <t>1020895X</t>
  </si>
  <si>
    <t>Klinicka Mikrobiologie a Infekcni Lekarstvi</t>
  </si>
  <si>
    <t>1211264X</t>
  </si>
  <si>
    <t>Trios spol. s.r.o.</t>
  </si>
  <si>
    <t>Suchtmedizin in Forschung und Praxis</t>
  </si>
  <si>
    <t>14375567</t>
  </si>
  <si>
    <t>Ecomed Publishers</t>
  </si>
  <si>
    <t>Revista Portuguesa de Pneumologia</t>
  </si>
  <si>
    <t>08732159</t>
  </si>
  <si>
    <t>Chinese Journal of Gastroenterology</t>
  </si>
  <si>
    <t>10087125</t>
  </si>
  <si>
    <t>Shanghai Institute of Digestive Diseases</t>
  </si>
  <si>
    <t>Trauma (United Kingdom)</t>
  </si>
  <si>
    <t>14604086</t>
  </si>
  <si>
    <t>Ochsner Journal</t>
  </si>
  <si>
    <t>15245012</t>
  </si>
  <si>
    <t>Ochsner Clinic</t>
  </si>
  <si>
    <t>Nature Immunology</t>
  </si>
  <si>
    <t>15292908</t>
  </si>
  <si>
    <t>15292916</t>
  </si>
  <si>
    <t>International Journal of Behavioral Development</t>
  </si>
  <si>
    <t>01650254</t>
  </si>
  <si>
    <t>14640651</t>
  </si>
  <si>
    <t>Molecules and Cells</t>
  </si>
  <si>
    <t>10168478</t>
  </si>
  <si>
    <t>02191032</t>
  </si>
  <si>
    <t>Korean Society for Molecular and Cellular Biology</t>
  </si>
  <si>
    <t>Modern Rheumatology</t>
  </si>
  <si>
    <t>14397595</t>
  </si>
  <si>
    <t>14397609</t>
  </si>
  <si>
    <t>Enfermedades Emergentes</t>
  </si>
  <si>
    <t>15754723</t>
  </si>
  <si>
    <t>Nexus Medica Editores,SL</t>
  </si>
  <si>
    <t>Revista Espanola de Nutricion Comunitaria</t>
  </si>
  <si>
    <t>11353074</t>
  </si>
  <si>
    <t>Sociedad Espanola de Nutricion Comunitaria</t>
  </si>
  <si>
    <t>Autonomic Neuroscience: Basic and Clinical</t>
  </si>
  <si>
    <t>15660702</t>
  </si>
  <si>
    <t>18727484</t>
  </si>
  <si>
    <t>Genome Biology</t>
  </si>
  <si>
    <t>1474760X</t>
  </si>
  <si>
    <t>Asian Journal of Microbiology, Biotechnology and Environmental Sciences</t>
  </si>
  <si>
    <t>09723005</t>
  </si>
  <si>
    <t>Global Science Publications</t>
  </si>
  <si>
    <t>Enviro Media</t>
  </si>
  <si>
    <t>Qatar Medical Journal</t>
  </si>
  <si>
    <t>02538253</t>
  </si>
  <si>
    <t>22270426</t>
  </si>
  <si>
    <t>Hamad Medical Corporation</t>
  </si>
  <si>
    <t>QAT</t>
  </si>
  <si>
    <t>Acta Biologica Szegediensis</t>
  </si>
  <si>
    <t>1588385X</t>
  </si>
  <si>
    <t>15884082</t>
  </si>
  <si>
    <t>University of Szeged</t>
  </si>
  <si>
    <t>Journal of Headache and Pain</t>
  </si>
  <si>
    <t>11292369</t>
  </si>
  <si>
    <t>11292377</t>
  </si>
  <si>
    <t>Douleurs</t>
  </si>
  <si>
    <t>16245687</t>
  </si>
  <si>
    <t>South African Journal of Obstetrics and Gynaecology</t>
  </si>
  <si>
    <t>00382329</t>
  </si>
  <si>
    <t>Journal of Endocrinology, Metabolism and Diabetes of South Africa</t>
  </si>
  <si>
    <t>16089677</t>
  </si>
  <si>
    <t>Southern African Journal of Critical Care</t>
  </si>
  <si>
    <t>15628264</t>
  </si>
  <si>
    <t>South African Journal of Clinical Nutrition</t>
  </si>
  <si>
    <t>16070658</t>
  </si>
  <si>
    <t>Medpharm Publications</t>
  </si>
  <si>
    <t>JK Science</t>
  </si>
  <si>
    <t>09721177</t>
  </si>
  <si>
    <t>Journal of Internal Medicine of Taiwan</t>
  </si>
  <si>
    <t>10167390</t>
  </si>
  <si>
    <t>Society of Internal Medicine of Taiwan</t>
  </si>
  <si>
    <t>Academic Journal of Second Military Medical University</t>
  </si>
  <si>
    <t>0258879X</t>
  </si>
  <si>
    <t>Second Military Medical University Press</t>
  </si>
  <si>
    <t>Epidemiologie, Mikrobiologie, Imunologie</t>
  </si>
  <si>
    <t>12107913</t>
  </si>
  <si>
    <t>E-flow PDF  Czech Medical Association J.E. Purkyne</t>
  </si>
  <si>
    <t>Clinical and Transfusion Haematology</t>
  </si>
  <si>
    <t>08617880</t>
  </si>
  <si>
    <t>Pharmacia</t>
  </si>
  <si>
    <t>04280296</t>
  </si>
  <si>
    <t>Medical University Faculty of Pharmacia</t>
  </si>
  <si>
    <t>Medical University Faculty of Pharmacy</t>
  </si>
  <si>
    <t>General Medicine</t>
  </si>
  <si>
    <t>13111817</t>
  </si>
  <si>
    <t>Anaesthesiology and Intensive Care</t>
  </si>
  <si>
    <t>13104284</t>
  </si>
  <si>
    <t>South African Journal of Psychiatry</t>
  </si>
  <si>
    <t>16089685</t>
  </si>
  <si>
    <t>Clinical Breast Cancer</t>
  </si>
  <si>
    <t>15268209</t>
  </si>
  <si>
    <t>19380666</t>
  </si>
  <si>
    <t>Clinical Lung Cancer</t>
  </si>
  <si>
    <t>15257304</t>
  </si>
  <si>
    <t>19380690</t>
  </si>
  <si>
    <t>Bioelectrochemistry</t>
  </si>
  <si>
    <t>15675394</t>
  </si>
  <si>
    <t>1878562X</t>
  </si>
  <si>
    <t>Arthropod Structure and Development</t>
  </si>
  <si>
    <t>14678039</t>
  </si>
  <si>
    <t>18735495</t>
  </si>
  <si>
    <t>Heart Lung and Circulation</t>
  </si>
  <si>
    <t>14439506</t>
  </si>
  <si>
    <t>14442892</t>
  </si>
  <si>
    <t>Journal of Postgraduate Medicine</t>
  </si>
  <si>
    <t>00223859</t>
  </si>
  <si>
    <t>09722823</t>
  </si>
  <si>
    <t>Reproduction</t>
  </si>
  <si>
    <t>14701626</t>
  </si>
  <si>
    <t>17417899</t>
  </si>
  <si>
    <t>Primary Care Respiratory Journal</t>
  </si>
  <si>
    <t>14714418</t>
  </si>
  <si>
    <t>14751534</t>
  </si>
  <si>
    <t>Primary Care Respiratory Society UK</t>
  </si>
  <si>
    <t>Bioprocess and Biosystems Engineering</t>
  </si>
  <si>
    <t>16157591</t>
  </si>
  <si>
    <t>16157605</t>
  </si>
  <si>
    <t>Annual Review of Genomics and Human Genetics</t>
  </si>
  <si>
    <t>15278204</t>
  </si>
  <si>
    <t>1545293X</t>
  </si>
  <si>
    <t>FEMS Yeast Research</t>
  </si>
  <si>
    <t>15671356</t>
  </si>
  <si>
    <t>15671364</t>
  </si>
  <si>
    <t>Acta Neurochirurgica, Supplementum</t>
  </si>
  <si>
    <t>00651419</t>
  </si>
  <si>
    <t>Emergency Medicine Journal</t>
  </si>
  <si>
    <t>14720205</t>
  </si>
  <si>
    <t>14720213</t>
  </si>
  <si>
    <t>Clinical Medicine, Journal of the Royal College of Physicians of London</t>
  </si>
  <si>
    <t>14702118</t>
  </si>
  <si>
    <t>14734893</t>
  </si>
  <si>
    <t>Royal College of Physicians</t>
  </si>
  <si>
    <t>Swiss Medical Weekly</t>
  </si>
  <si>
    <t>14247860</t>
  </si>
  <si>
    <t>14243997</t>
  </si>
  <si>
    <t>FREN/GERM</t>
  </si>
  <si>
    <t>Trends in Molecular Medicine</t>
  </si>
  <si>
    <t>14714914</t>
  </si>
  <si>
    <t>1471499X</t>
  </si>
  <si>
    <t>Journal of Separation Science</t>
  </si>
  <si>
    <t>16159306</t>
  </si>
  <si>
    <t>16159314</t>
  </si>
  <si>
    <t>Seminars in Reproductive Medicine</t>
  </si>
  <si>
    <t>15268004</t>
  </si>
  <si>
    <t>15264564</t>
  </si>
  <si>
    <t>Brazilian Journal of Infectious Diseases</t>
  </si>
  <si>
    <t>14138670</t>
  </si>
  <si>
    <t>16784391</t>
  </si>
  <si>
    <t>Anadolu Kardiyoloji Dergisi</t>
  </si>
  <si>
    <t>13080032</t>
  </si>
  <si>
    <t>Pharmacy Education</t>
  </si>
  <si>
    <t>15602214</t>
  </si>
  <si>
    <t>14772701</t>
  </si>
  <si>
    <t>International Pharmaceutical Federation</t>
  </si>
  <si>
    <t>Journal of Natural Remedies</t>
  </si>
  <si>
    <t>09725547</t>
  </si>
  <si>
    <t>Natural Remedies Private Limited</t>
  </si>
  <si>
    <t>E-flow PDF Natural Remedies Private Limited</t>
  </si>
  <si>
    <t>Medical Education, Supplement</t>
  </si>
  <si>
    <t>13523929</t>
  </si>
  <si>
    <t>International Immunopharmacology</t>
  </si>
  <si>
    <t>15675769</t>
  </si>
  <si>
    <t>18781705</t>
  </si>
  <si>
    <t>Stress and Health</t>
  </si>
  <si>
    <t>15323005</t>
  </si>
  <si>
    <t>15322998</t>
  </si>
  <si>
    <t>Comparative Biochemistry and Physiology - C Toxicology and Pharmacology</t>
  </si>
  <si>
    <t>15320456</t>
  </si>
  <si>
    <t>18781659</t>
  </si>
  <si>
    <t>Giornale Italiano di Diabetologia e Metabolismo</t>
  </si>
  <si>
    <t>15936104</t>
  </si>
  <si>
    <t>UTET Periodici Scientifici srl</t>
  </si>
  <si>
    <t>Internal Medicine Journal</t>
  </si>
  <si>
    <t>14440903</t>
  </si>
  <si>
    <t>14455994</t>
  </si>
  <si>
    <t>JARO - Journal of the Association for Research in Otolaryngology</t>
  </si>
  <si>
    <t>15253961</t>
  </si>
  <si>
    <t>14387573</t>
  </si>
  <si>
    <t>Trends in Immunology</t>
  </si>
  <si>
    <t>14714906</t>
  </si>
  <si>
    <t>14714981</t>
  </si>
  <si>
    <t>Trends in Parasitology</t>
  </si>
  <si>
    <t>14714922</t>
  </si>
  <si>
    <t>14715007</t>
  </si>
  <si>
    <t>Journal of Pharmacokinetics and Pharmacodynamics</t>
  </si>
  <si>
    <t>1567567X</t>
  </si>
  <si>
    <t>15738744</t>
  </si>
  <si>
    <t>Water Science and Technology: Water Supply</t>
  </si>
  <si>
    <t>16069749</t>
  </si>
  <si>
    <t>Clinical and Experimental Medicine</t>
  </si>
  <si>
    <t>15918890</t>
  </si>
  <si>
    <t>15919528</t>
  </si>
  <si>
    <t>Journal of Ethnicity in Substance Abuse</t>
  </si>
  <si>
    <t>15332640</t>
  </si>
  <si>
    <t>15332659</t>
  </si>
  <si>
    <t>American Journal of Alzheimer's Disease and other Dementias</t>
  </si>
  <si>
    <t>15333175</t>
  </si>
  <si>
    <t>19382731</t>
  </si>
  <si>
    <t>Molecular Genetics and Genomics</t>
  </si>
  <si>
    <t>16174615</t>
  </si>
  <si>
    <t>16174623</t>
  </si>
  <si>
    <t>Journal of Biomedical Informatics</t>
  </si>
  <si>
    <t>15320464</t>
  </si>
  <si>
    <t>Tuberculosis</t>
  </si>
  <si>
    <t>14729792</t>
  </si>
  <si>
    <t>1873281X</t>
  </si>
  <si>
    <t>Archivos de Cardiologia de Mexico</t>
  </si>
  <si>
    <t>14059940</t>
  </si>
  <si>
    <t>Instituto Nacional de Cardiologia Ignazio Chavez</t>
  </si>
  <si>
    <t>Experimental Biology and Medicine</t>
  </si>
  <si>
    <t>15353702</t>
  </si>
  <si>
    <t>15353699</t>
  </si>
  <si>
    <t>American Journal of Cardiovascular Drugs</t>
  </si>
  <si>
    <t>11753277</t>
  </si>
  <si>
    <t>1179187X</t>
  </si>
  <si>
    <t>Current Opinion in Allergy and Clinical Immunology</t>
  </si>
  <si>
    <t>15284050</t>
  </si>
  <si>
    <t>14736322</t>
  </si>
  <si>
    <t>Journal of Musculoskeletal Neuronal Interactions</t>
  </si>
  <si>
    <t>11087161</t>
  </si>
  <si>
    <t>International Society of Musculoskeletal and Neuronal Interactions</t>
  </si>
  <si>
    <t>Nature Reviews Molecular Cell Biology</t>
  </si>
  <si>
    <t>14710072</t>
  </si>
  <si>
    <t>14710080</t>
  </si>
  <si>
    <t>Nature Reviews Genetics</t>
  </si>
  <si>
    <t>14710056</t>
  </si>
  <si>
    <t>14710064</t>
  </si>
  <si>
    <t>Gene Therapy and Regulation</t>
  </si>
  <si>
    <t>13889532</t>
  </si>
  <si>
    <t>15685586</t>
  </si>
  <si>
    <t>Critical Public Health</t>
  </si>
  <si>
    <t>09581596</t>
  </si>
  <si>
    <t>14693682</t>
  </si>
  <si>
    <t>Sleep and Breathing</t>
  </si>
  <si>
    <t>15209512</t>
  </si>
  <si>
    <t>15221709</t>
  </si>
  <si>
    <t>Journal of Orthopaedics and Traumatology</t>
  </si>
  <si>
    <t>15909921</t>
  </si>
  <si>
    <t>15909999</t>
  </si>
  <si>
    <t>Nuclear Medicine Review</t>
  </si>
  <si>
    <t>15069680</t>
  </si>
  <si>
    <t>Nadcisnienie Tetnicze</t>
  </si>
  <si>
    <t>14285851</t>
  </si>
  <si>
    <t>16443101</t>
  </si>
  <si>
    <t>Critical Care and Shock</t>
  </si>
  <si>
    <t>14107767</t>
  </si>
  <si>
    <t>Indonesian Society of Critical Care Medicine</t>
  </si>
  <si>
    <t>E-flow PDF Indonesian Society of Critical Care Medicine</t>
  </si>
  <si>
    <t>IDN</t>
  </si>
  <si>
    <t>Hong Kong Journal of Nephrology</t>
  </si>
  <si>
    <t>15615413</t>
  </si>
  <si>
    <t>18764371</t>
  </si>
  <si>
    <t>Obesity Reviews</t>
  </si>
  <si>
    <t>14677881</t>
  </si>
  <si>
    <t>1467789X</t>
  </si>
  <si>
    <t>Pharmacogenomics Journal</t>
  </si>
  <si>
    <t>1470269X</t>
  </si>
  <si>
    <t>14731150</t>
  </si>
  <si>
    <t>Neurosciences</t>
  </si>
  <si>
    <t>13196138</t>
  </si>
  <si>
    <t>Journal of Immunoassay and Immunochemistry</t>
  </si>
  <si>
    <t>15321819</t>
  </si>
  <si>
    <t>15324230</t>
  </si>
  <si>
    <t>Journal of Family Planning and Reproductive Health Care</t>
  </si>
  <si>
    <t>14711893</t>
  </si>
  <si>
    <t>Royal College of Obstetricians and Gynaecologists</t>
  </si>
  <si>
    <t>CME Journal Geriatric Medicine</t>
  </si>
  <si>
    <t>14751453</t>
  </si>
  <si>
    <t>American Journal of Transplantation</t>
  </si>
  <si>
    <t>16006135</t>
  </si>
  <si>
    <t>16006143</t>
  </si>
  <si>
    <t>Current Molecular Medicine</t>
  </si>
  <si>
    <t>15665240</t>
  </si>
  <si>
    <t>18755666</t>
  </si>
  <si>
    <t>Mitochondrion</t>
  </si>
  <si>
    <t>15677249</t>
  </si>
  <si>
    <t>18728278</t>
  </si>
  <si>
    <t>Alergie</t>
  </si>
  <si>
    <t>12123536</t>
  </si>
  <si>
    <t>Animal Welfare</t>
  </si>
  <si>
    <t>09627286</t>
  </si>
  <si>
    <t>Universities Federation for Animal Welfare</t>
  </si>
  <si>
    <t>Scandinavian Journal of Laboratory Animal Science</t>
  </si>
  <si>
    <t>09013393</t>
  </si>
  <si>
    <t>Swedish Research Council</t>
  </si>
  <si>
    <t>Eating Behaviors</t>
  </si>
  <si>
    <t>14710153</t>
  </si>
  <si>
    <t>18737358</t>
  </si>
  <si>
    <t>Aesthetic Surgery Journal</t>
  </si>
  <si>
    <t>1090820X</t>
  </si>
  <si>
    <t>1527330X</t>
  </si>
  <si>
    <t>Clinical Pediatric Emergency Medicine</t>
  </si>
  <si>
    <t>15228401</t>
  </si>
  <si>
    <t>15582310</t>
  </si>
  <si>
    <t>Facial Plastic Surgery Clinics of North America</t>
  </si>
  <si>
    <t>10647406</t>
  </si>
  <si>
    <t>15581926</t>
  </si>
  <si>
    <t>Operative Techniques in Orthopaedics</t>
  </si>
  <si>
    <t>10486666</t>
  </si>
  <si>
    <t>15583848</t>
  </si>
  <si>
    <t>Operative Techniques in Sports Medicine</t>
  </si>
  <si>
    <t>10601872</t>
  </si>
  <si>
    <t>15579794</t>
  </si>
  <si>
    <t>Operative Techniques in Thoracic and Cardiovascular Surgery</t>
  </si>
  <si>
    <t>15222942</t>
  </si>
  <si>
    <t>15328627</t>
  </si>
  <si>
    <t>Seminars in Thoracic and Cardiovascular Surgery: Pediatric Cardiac Surgery Annual</t>
  </si>
  <si>
    <t>10929126</t>
  </si>
  <si>
    <t>18764665</t>
  </si>
  <si>
    <t>Techniques in Gastrointestinal Endoscopy</t>
  </si>
  <si>
    <t>10962883</t>
  </si>
  <si>
    <t>15585050</t>
  </si>
  <si>
    <t>Expert Opinion on Therapeutic Targets</t>
  </si>
  <si>
    <t>14728222</t>
  </si>
  <si>
    <t>17447631</t>
  </si>
  <si>
    <t>Expert Opinion on Biological Therapy</t>
  </si>
  <si>
    <t>14712598</t>
  </si>
  <si>
    <t>Expert Review of Anticancer Therapy</t>
  </si>
  <si>
    <t>14737140</t>
  </si>
  <si>
    <t>17448328</t>
  </si>
  <si>
    <t>Expert Reviews Ltd.</t>
  </si>
  <si>
    <t>Expert Review of Molecular Diagnostics</t>
  </si>
  <si>
    <t>14737159</t>
  </si>
  <si>
    <t>17448352</t>
  </si>
  <si>
    <t>Current Cancer Drug Targets</t>
  </si>
  <si>
    <t>15680096</t>
  </si>
  <si>
    <t>18735576</t>
  </si>
  <si>
    <t>PharmacoEconomics - Italian Research Articles</t>
  </si>
  <si>
    <t>15909158</t>
  </si>
  <si>
    <t>20356137</t>
  </si>
  <si>
    <t>European Journal of Oncology</t>
  </si>
  <si>
    <t>11286598</t>
  </si>
  <si>
    <t>Progress in Nutrition</t>
  </si>
  <si>
    <t>11298723</t>
  </si>
  <si>
    <t>Schweizerische Zeitschrift fur GanzheitsMedizin</t>
  </si>
  <si>
    <t>10150684</t>
  </si>
  <si>
    <t>16637607</t>
  </si>
  <si>
    <t>Emotional and Behavioural Difficulties</t>
  </si>
  <si>
    <t>13632752</t>
  </si>
  <si>
    <t>17412692</t>
  </si>
  <si>
    <t>Macromolecular Bioscience</t>
  </si>
  <si>
    <t>16165187</t>
  </si>
  <si>
    <t>16165195</t>
  </si>
  <si>
    <t>ChemBioChem</t>
  </si>
  <si>
    <t>14394227</t>
  </si>
  <si>
    <t>14397633</t>
  </si>
  <si>
    <t>Molecular Imaging and Biology</t>
  </si>
  <si>
    <t>15361632</t>
  </si>
  <si>
    <t>18602002</t>
  </si>
  <si>
    <t>Current Opinion in Pharmacology</t>
  </si>
  <si>
    <t>14714892</t>
  </si>
  <si>
    <t>14714973</t>
  </si>
  <si>
    <t>Developmental Cell</t>
  </si>
  <si>
    <t>15345807</t>
  </si>
  <si>
    <t>18781551</t>
  </si>
  <si>
    <t>Environmental Science and Policy</t>
  </si>
  <si>
    <t>14629011</t>
  </si>
  <si>
    <t>18736416</t>
  </si>
  <si>
    <t>Neuro-Oncology</t>
  </si>
  <si>
    <t>15228517</t>
  </si>
  <si>
    <t>15235866</t>
  </si>
  <si>
    <t>The Lancet Infectious Diseases</t>
  </si>
  <si>
    <t>14733099</t>
  </si>
  <si>
    <t>14744457</t>
  </si>
  <si>
    <t>Pancreatology</t>
  </si>
  <si>
    <t>14243903</t>
  </si>
  <si>
    <t>14243911</t>
  </si>
  <si>
    <t>Clinical Application of Immunology</t>
  </si>
  <si>
    <t>13120832</t>
  </si>
  <si>
    <t>Publishing House of University School of Medicine</t>
  </si>
  <si>
    <t>Journal of Bacteriology and Virology</t>
  </si>
  <si>
    <t>15982467</t>
  </si>
  <si>
    <t>Chonnam National University Medical School</t>
  </si>
  <si>
    <t>Infection, Genetics and Evolution</t>
  </si>
  <si>
    <t>15671348</t>
  </si>
  <si>
    <t>15677257</t>
  </si>
  <si>
    <t>Klinik Psikofarmakoloji Bulteni</t>
  </si>
  <si>
    <t>10177833</t>
  </si>
  <si>
    <t>13029657</t>
  </si>
  <si>
    <t>Cukurova Univ Tip Fakultesi Psikiyatri Anabilim Dali</t>
  </si>
  <si>
    <t>Psychoterapia</t>
  </si>
  <si>
    <t>02394170</t>
  </si>
  <si>
    <t>Geriatric and Medical Intelligence</t>
  </si>
  <si>
    <t>11218460</t>
  </si>
  <si>
    <t>Revista Iberoamericana de Fertilidad y Reproduccion Humana</t>
  </si>
  <si>
    <t>11320249</t>
  </si>
  <si>
    <t>Sociedad Espanola de Fertilidad</t>
  </si>
  <si>
    <t>Proteomics</t>
  </si>
  <si>
    <t>16159853</t>
  </si>
  <si>
    <t>16159861</t>
  </si>
  <si>
    <t>Familial Cancer</t>
  </si>
  <si>
    <t>13899600</t>
  </si>
  <si>
    <t>15737292</t>
  </si>
  <si>
    <t>Clinical Colorectal Cancer</t>
  </si>
  <si>
    <t>15330028</t>
  </si>
  <si>
    <t>19380674</t>
  </si>
  <si>
    <t>Ethnicity and Disease</t>
  </si>
  <si>
    <t>1049510X</t>
  </si>
  <si>
    <t>ISHIB</t>
  </si>
  <si>
    <t>JRAAS - Journal of the Renin-Angiotensin-Aldosterone System</t>
  </si>
  <si>
    <t>14703203</t>
  </si>
  <si>
    <t>17528976</t>
  </si>
  <si>
    <t>Azerbaijan Medical Journal</t>
  </si>
  <si>
    <t>00052523</t>
  </si>
  <si>
    <t>WHO Office in Azerbaijan</t>
  </si>
  <si>
    <t>E-flow PDF WHO Office in Azerbaijan</t>
  </si>
  <si>
    <t>AZE</t>
  </si>
  <si>
    <t>RUSS/AZRB</t>
  </si>
  <si>
    <t>ENGL/RUSS/AZRB</t>
  </si>
  <si>
    <t>Anestezi Dergisi</t>
  </si>
  <si>
    <t>13000578</t>
  </si>
  <si>
    <t>Archives of Iranian Medicine</t>
  </si>
  <si>
    <t>10292977</t>
  </si>
  <si>
    <t>17353947</t>
  </si>
  <si>
    <t>Academy of Medical Sciences of I.R. Iran</t>
  </si>
  <si>
    <t>Journal of Cystic Fibrosis</t>
  </si>
  <si>
    <t>15691993</t>
  </si>
  <si>
    <t>18735010</t>
  </si>
  <si>
    <t>Journal of Midwifery and Women's Health</t>
  </si>
  <si>
    <t>15269523</t>
  </si>
  <si>
    <t>15422011</t>
  </si>
  <si>
    <t>Wiley-Blackwell Publishing, Inc.</t>
  </si>
  <si>
    <t>Journal of Neurolinguistics</t>
  </si>
  <si>
    <t>09116044</t>
  </si>
  <si>
    <t>18738052</t>
  </si>
  <si>
    <t>Spine Journal</t>
  </si>
  <si>
    <t>15299430</t>
  </si>
  <si>
    <t>18781632</t>
  </si>
  <si>
    <t>Integrative Cancer Therapies</t>
  </si>
  <si>
    <t>15347354</t>
  </si>
  <si>
    <t>1552695X</t>
  </si>
  <si>
    <t>International Journal of Cardiovascular Imaging</t>
  </si>
  <si>
    <t>15695794</t>
  </si>
  <si>
    <t>15730743</t>
  </si>
  <si>
    <t>Transfusion and Apheresis Science</t>
  </si>
  <si>
    <t>14730502</t>
  </si>
  <si>
    <t>18781683</t>
  </si>
  <si>
    <t>Journal of Structural and Functional Genomics</t>
  </si>
  <si>
    <t>1345711X</t>
  </si>
  <si>
    <t>15700267</t>
  </si>
  <si>
    <t>Reviews in Endocrine and Metabolic Disorders</t>
  </si>
  <si>
    <t>13899155</t>
  </si>
  <si>
    <t>15732606</t>
  </si>
  <si>
    <t>Expert Review of Neurotherapeutics</t>
  </si>
  <si>
    <t>14737175</t>
  </si>
  <si>
    <t>17448360</t>
  </si>
  <si>
    <t>Expert Review of Pharmacoeconomics and Outcomes Research</t>
  </si>
  <si>
    <t>14737167</t>
  </si>
  <si>
    <t>17448379</t>
  </si>
  <si>
    <t>Reviews in Cardiovascular Medicine</t>
  </si>
  <si>
    <t>15306550</t>
  </si>
  <si>
    <t>MedReviews LLC</t>
  </si>
  <si>
    <t>BAG - Journal of Basic and Applied Genetics</t>
  </si>
  <si>
    <t>16660390</t>
  </si>
  <si>
    <t>Sociedad Argentina de Genetica</t>
  </si>
  <si>
    <t>European Pharmaceutical Contractor</t>
  </si>
  <si>
    <t>1364369X</t>
  </si>
  <si>
    <t>Samedan Ltd</t>
  </si>
  <si>
    <t>American Pharmaceutical Review</t>
  </si>
  <si>
    <t>10998012</t>
  </si>
  <si>
    <t>Russell Publishing LLC</t>
  </si>
  <si>
    <t>Journal fur Neurologie, Neurochirurgie und Psychiatrie</t>
  </si>
  <si>
    <t>16081587</t>
  </si>
  <si>
    <t>16809440</t>
  </si>
  <si>
    <t>Osteologicky Bulletin</t>
  </si>
  <si>
    <t>12113778</t>
  </si>
  <si>
    <t>Eastern Journal of Medicine</t>
  </si>
  <si>
    <t>13010883</t>
  </si>
  <si>
    <t>Yuzuncu Yil University</t>
  </si>
  <si>
    <t>DARU, Journal of Pharmaceutical Sciences</t>
  </si>
  <si>
    <t>15608115</t>
  </si>
  <si>
    <t>20082231</t>
  </si>
  <si>
    <t>Seminarios de la Fundacion Espanola de Reumatologia</t>
  </si>
  <si>
    <t>15773566</t>
  </si>
  <si>
    <t>19883099</t>
  </si>
  <si>
    <t>Fizyoterapi Rehabilitasyon</t>
  </si>
  <si>
    <t>13008757</t>
  </si>
  <si>
    <t>Turkish Physical Therapy Association</t>
  </si>
  <si>
    <t>Iranian Biomedical Journal</t>
  </si>
  <si>
    <t>1028852X</t>
  </si>
  <si>
    <t>Pasteur Institute of Iran</t>
  </si>
  <si>
    <t>Gene Expression Patterns</t>
  </si>
  <si>
    <t>1567133X</t>
  </si>
  <si>
    <t>18727298</t>
  </si>
  <si>
    <t>Infektoloski Glasnik</t>
  </si>
  <si>
    <t>13312820</t>
  </si>
  <si>
    <t>University Hospital of Infectious Diseases</t>
  </si>
  <si>
    <t>CROA/ENGL</t>
  </si>
  <si>
    <t>Korean Journal of Medical Mycology</t>
  </si>
  <si>
    <t>12264709</t>
  </si>
  <si>
    <t>Korean Society for Medical Mycology</t>
  </si>
  <si>
    <t>Chinese Journal of Lung Cancer</t>
  </si>
  <si>
    <t>10093419</t>
  </si>
  <si>
    <t>19996187</t>
  </si>
  <si>
    <t>IJCI - International Journal of Clinical Investigation</t>
  </si>
  <si>
    <t>15907120</t>
  </si>
  <si>
    <t>Editrice DOCTOR'S</t>
  </si>
  <si>
    <t>Australian Journal of Primary Health</t>
  </si>
  <si>
    <t>14487527</t>
  </si>
  <si>
    <t>18367399</t>
  </si>
  <si>
    <t>Expert Opinion on Emerging Drugs</t>
  </si>
  <si>
    <t>14728214</t>
  </si>
  <si>
    <t>Journal of Medical and Biological Engineering</t>
  </si>
  <si>
    <t>16090985</t>
  </si>
  <si>
    <t>Biomedical Engineering Society</t>
  </si>
  <si>
    <t>Journal of Chromatography B: Analytical Technologies in the Biomedical and Life Sciences</t>
  </si>
  <si>
    <t>15700232</t>
  </si>
  <si>
    <t>1873376X</t>
  </si>
  <si>
    <t>Journal of Cosmetic and Laser Therapy</t>
  </si>
  <si>
    <t>14764172</t>
  </si>
  <si>
    <t>14764180</t>
  </si>
  <si>
    <t>Biological Procedures Online</t>
  </si>
  <si>
    <t>14809222</t>
  </si>
  <si>
    <t>Journal of Molecular Modeling</t>
  </si>
  <si>
    <t>16102940</t>
  </si>
  <si>
    <t>09485023</t>
  </si>
  <si>
    <t>Journal of Pharmacy and Pharmaceutical Sciences</t>
  </si>
  <si>
    <t>14821826</t>
  </si>
  <si>
    <t>Canadian Society for Pharmaceutical Sciences</t>
  </si>
  <si>
    <t>German Journal of Psychiatry</t>
  </si>
  <si>
    <t>14331055</t>
  </si>
  <si>
    <t>University of Goettingen</t>
  </si>
  <si>
    <t>Journal of the Pancreas</t>
  </si>
  <si>
    <t>15908577</t>
  </si>
  <si>
    <t>E.S. Burioni Ricerche Bibliografiche</t>
  </si>
  <si>
    <t>Molecular Vision</t>
  </si>
  <si>
    <t>10900535</t>
  </si>
  <si>
    <t>Lab on a Chip - Miniaturisation for Chemistry and Biology</t>
  </si>
  <si>
    <t>14730197</t>
  </si>
  <si>
    <t>14730189</t>
  </si>
  <si>
    <t>DNA Repair</t>
  </si>
  <si>
    <t>15687864</t>
  </si>
  <si>
    <t>15687856</t>
  </si>
  <si>
    <t>Circulation Journal</t>
  </si>
  <si>
    <t>13469843</t>
  </si>
  <si>
    <t>13474820</t>
  </si>
  <si>
    <t>Japanese Circulation Society</t>
  </si>
  <si>
    <t>Clinical Physiology and Functional Imaging</t>
  </si>
  <si>
    <t>14750961</t>
  </si>
  <si>
    <t>1475097X</t>
  </si>
  <si>
    <t>Reanimation</t>
  </si>
  <si>
    <t>16240693</t>
  </si>
  <si>
    <t>19516959</t>
  </si>
  <si>
    <t>European Surgery - Acta Chirurgica Austriaca</t>
  </si>
  <si>
    <t>16828631</t>
  </si>
  <si>
    <t>16824016</t>
  </si>
  <si>
    <t>Respiratory Physiology and Neurobiology</t>
  </si>
  <si>
    <t>15699048</t>
  </si>
  <si>
    <t>18781519</t>
  </si>
  <si>
    <t>Journal of Enzyme Inhibition and Medicinal Chemistry</t>
  </si>
  <si>
    <t>14756366</t>
  </si>
  <si>
    <t>14756374</t>
  </si>
  <si>
    <t>Emotion</t>
  </si>
  <si>
    <t>15283542</t>
  </si>
  <si>
    <t>19311516</t>
  </si>
  <si>
    <t>Hepatobiliary and Pancreatic Diseases International</t>
  </si>
  <si>
    <t>14993872</t>
  </si>
  <si>
    <t>HBPD INT Press</t>
  </si>
  <si>
    <t>E-flow PDF HBPD INT Press</t>
  </si>
  <si>
    <t>Chinese Journal of Traumatology - English Edition</t>
  </si>
  <si>
    <t>10081275</t>
  </si>
  <si>
    <t>Aktuality v Nefrologii</t>
  </si>
  <si>
    <t>1210955X</t>
  </si>
  <si>
    <t>Nature Reviews Drug Discovery</t>
  </si>
  <si>
    <t>14741776</t>
  </si>
  <si>
    <t>14741784</t>
  </si>
  <si>
    <t>Nature Reviews Cancer</t>
  </si>
  <si>
    <t>1474175X</t>
  </si>
  <si>
    <t>14741768</t>
  </si>
  <si>
    <t>Nature Reviews Immunology</t>
  </si>
  <si>
    <t>14741733</t>
  </si>
  <si>
    <t>14741741</t>
  </si>
  <si>
    <t>Nature Reviews Neuroscience</t>
  </si>
  <si>
    <t>1471003X</t>
  </si>
  <si>
    <t>14710048</t>
  </si>
  <si>
    <t>NeuroMolecular Medicine</t>
  </si>
  <si>
    <t>15351084</t>
  </si>
  <si>
    <t>15591174</t>
  </si>
  <si>
    <t>Cardiovascular Toxicology</t>
  </si>
  <si>
    <t>15307905</t>
  </si>
  <si>
    <t>15590259</t>
  </si>
  <si>
    <t>Clinical Reviews in Bone and Mineral Metabolism</t>
  </si>
  <si>
    <t>15348644</t>
  </si>
  <si>
    <t>15590119</t>
  </si>
  <si>
    <t>Cancer Cell</t>
  </si>
  <si>
    <t>15356108</t>
  </si>
  <si>
    <t>18783686</t>
  </si>
  <si>
    <t>Cerebellum</t>
  </si>
  <si>
    <t>14734222</t>
  </si>
  <si>
    <t>14734230</t>
  </si>
  <si>
    <t>Genes, Brain and Behavior</t>
  </si>
  <si>
    <t>16011848</t>
  </si>
  <si>
    <t>1601183X</t>
  </si>
  <si>
    <t>Technology in Cancer Research and Treatment</t>
  </si>
  <si>
    <t>15330346</t>
  </si>
  <si>
    <t>Adenine Press</t>
  </si>
  <si>
    <t>British Journal of Diabetes and Vascular Disease</t>
  </si>
  <si>
    <t>14746514</t>
  </si>
  <si>
    <t>17534305</t>
  </si>
  <si>
    <t>Reproductive BioMedicine Online</t>
  </si>
  <si>
    <t>14726483</t>
  </si>
  <si>
    <t>14726491</t>
  </si>
  <si>
    <t>Indian Journal of Biotechnology</t>
  </si>
  <si>
    <t>09725849</t>
  </si>
  <si>
    <t>09750967</t>
  </si>
  <si>
    <t>National Institute of Science Communication and Information Resources (NISCAIR)</t>
  </si>
  <si>
    <t>Expert Review of Vaccines</t>
  </si>
  <si>
    <t>14760584</t>
  </si>
  <si>
    <t>17448395</t>
  </si>
  <si>
    <t>Mediterranean Journal of Pacing and Electrophysiology</t>
  </si>
  <si>
    <t>11284293</t>
  </si>
  <si>
    <t>Edizioni Luigi Pozzi S.r.l.</t>
  </si>
  <si>
    <t>Nutrition in Clinical Practice</t>
  </si>
  <si>
    <t>08845336</t>
  </si>
  <si>
    <t>19412452</t>
  </si>
  <si>
    <t>International Journal of Healthcare Technology and Management</t>
  </si>
  <si>
    <t>13682156</t>
  </si>
  <si>
    <t>17415144</t>
  </si>
  <si>
    <t>International Journal of Emergency Management</t>
  </si>
  <si>
    <t>14714825</t>
  </si>
  <si>
    <t>17415071</t>
  </si>
  <si>
    <t>Comptes Rendus - Biologies</t>
  </si>
  <si>
    <t>16310691</t>
  </si>
  <si>
    <t>17683238</t>
  </si>
  <si>
    <t>Journal of Maternal-Fetal and Neonatal Medicine</t>
  </si>
  <si>
    <t>14767058</t>
  </si>
  <si>
    <t>14764954</t>
  </si>
  <si>
    <t>BJOG: An International Journal of Obstetrics and Gynaecology</t>
  </si>
  <si>
    <t>14700328</t>
  </si>
  <si>
    <t>14710528</t>
  </si>
  <si>
    <t>Cell Communication and Adhesion</t>
  </si>
  <si>
    <t>15419061</t>
  </si>
  <si>
    <t>15435180</t>
  </si>
  <si>
    <t>Journal of Spinal Cord Medicine</t>
  </si>
  <si>
    <t>10790268</t>
  </si>
  <si>
    <t>20457723</t>
  </si>
  <si>
    <t>Brachytherapy</t>
  </si>
  <si>
    <t>15384721</t>
  </si>
  <si>
    <t>18731449</t>
  </si>
  <si>
    <t>Canadian Journal of Diabetes</t>
  </si>
  <si>
    <t>14992671</t>
  </si>
  <si>
    <t>Archives of the Balkan Medical Union</t>
  </si>
  <si>
    <t>15849244</t>
  </si>
  <si>
    <t>Celsius Publishing House</t>
  </si>
  <si>
    <t>Balkan Medical Union</t>
  </si>
  <si>
    <t>Journal of Proteome Research</t>
  </si>
  <si>
    <t>15353893</t>
  </si>
  <si>
    <t>15353907</t>
  </si>
  <si>
    <t>Acta Medica Mediterranea</t>
  </si>
  <si>
    <t>03936384</t>
  </si>
  <si>
    <t>A. CARBONE Editore</t>
  </si>
  <si>
    <t>ITAL/FREN/ENGL</t>
  </si>
  <si>
    <t>Shock</t>
  </si>
  <si>
    <t>10732322</t>
  </si>
  <si>
    <t>15400514</t>
  </si>
  <si>
    <t>West African Journal of Medicine</t>
  </si>
  <si>
    <t>0189160X</t>
  </si>
  <si>
    <t>Environnement, Risques et Sante</t>
  </si>
  <si>
    <t>16350421</t>
  </si>
  <si>
    <t>ESHRE Monographs</t>
  </si>
  <si>
    <t>1477741X</t>
  </si>
  <si>
    <t>14778378</t>
  </si>
  <si>
    <t>Phytochemistry Reviews</t>
  </si>
  <si>
    <t>15687767</t>
  </si>
  <si>
    <t>1572980X</t>
  </si>
  <si>
    <t>International Journal of Medicine</t>
  </si>
  <si>
    <t>14683814</t>
  </si>
  <si>
    <t>International Medical Publishing Group</t>
  </si>
  <si>
    <t>Dialogues in Cardiovascular Medicine</t>
  </si>
  <si>
    <t>12729949</t>
  </si>
  <si>
    <t>Dialogues in Clinical Neuroscience</t>
  </si>
  <si>
    <t>12948322</t>
  </si>
  <si>
    <t>Journal of Biology</t>
  </si>
  <si>
    <t>14754924</t>
  </si>
  <si>
    <t>Physiological Genomics</t>
  </si>
  <si>
    <t>10948341</t>
  </si>
  <si>
    <t>15312267</t>
  </si>
  <si>
    <t>Journal of Applied Research</t>
  </si>
  <si>
    <t>1537064X</t>
  </si>
  <si>
    <t>Addictive Disorders and their Treatment</t>
  </si>
  <si>
    <t>15315754</t>
  </si>
  <si>
    <t>Psychoanalytic Psychotherapy</t>
  </si>
  <si>
    <t>02668734</t>
  </si>
  <si>
    <t>14749734</t>
  </si>
  <si>
    <t>Haut</t>
  </si>
  <si>
    <t>09382216</t>
  </si>
  <si>
    <t>Viavital Verlag GmbH</t>
  </si>
  <si>
    <t>Turkiye Fiziksel Tip ve Rehabilitasyon Dergisi</t>
  </si>
  <si>
    <t>13020234</t>
  </si>
  <si>
    <t>Turkish Society of Physical Medicine and Rehabilitation</t>
  </si>
  <si>
    <t>ENGL/TURK</t>
  </si>
  <si>
    <t>Journal of Ecophysiology and Occupational Health</t>
  </si>
  <si>
    <t>09724397</t>
  </si>
  <si>
    <t>09740805</t>
  </si>
  <si>
    <t>Indian Journals.com</t>
  </si>
  <si>
    <t>Autoimmunity Reviews</t>
  </si>
  <si>
    <t>15689972</t>
  </si>
  <si>
    <t>18730183</t>
  </si>
  <si>
    <t>Ageing Research Reviews</t>
  </si>
  <si>
    <t>15681637</t>
  </si>
  <si>
    <t>18729649</t>
  </si>
  <si>
    <t>Journal of Shoulder and Elbow Surgery</t>
  </si>
  <si>
    <t>10582746</t>
  </si>
  <si>
    <t>15326500</t>
  </si>
  <si>
    <t>European Journal of Cardiovascular Nursing</t>
  </si>
  <si>
    <t>14745151</t>
  </si>
  <si>
    <t>18731953</t>
  </si>
  <si>
    <t>Salus</t>
  </si>
  <si>
    <t>13167138</t>
  </si>
  <si>
    <t>Revista Salus</t>
  </si>
  <si>
    <t>Consultant Pharmacist</t>
  </si>
  <si>
    <t>08885109</t>
  </si>
  <si>
    <t>American Society of Consultant Pharmacists</t>
  </si>
  <si>
    <t>Vascular and Endovascular Surgery</t>
  </si>
  <si>
    <t>15385744</t>
  </si>
  <si>
    <t>19389116</t>
  </si>
  <si>
    <t>Current Problems in Pediatric and Adolescent Health Care</t>
  </si>
  <si>
    <t>15385442</t>
  </si>
  <si>
    <t>15383199</t>
  </si>
  <si>
    <t>OMICS A Journal of Integrative Biology</t>
  </si>
  <si>
    <t>15362310</t>
  </si>
  <si>
    <t>15578100</t>
  </si>
  <si>
    <t>Journal of Spinal Disorders and Techniques</t>
  </si>
  <si>
    <t>15360652</t>
  </si>
  <si>
    <t>15392465</t>
  </si>
  <si>
    <t>Altex</t>
  </si>
  <si>
    <t>1868596X</t>
  </si>
  <si>
    <t>18688551</t>
  </si>
  <si>
    <t>Experimental Animals</t>
  </si>
  <si>
    <t>13411357</t>
  </si>
  <si>
    <t>International Press Editing Centre Incorporation</t>
  </si>
  <si>
    <t>OTJR Occupation, Participation and Health</t>
  </si>
  <si>
    <t>15394492</t>
  </si>
  <si>
    <t>Homeopathy</t>
  </si>
  <si>
    <t>14754916</t>
  </si>
  <si>
    <t>14764245</t>
  </si>
  <si>
    <t>Toxicology Mechanisms and Methods</t>
  </si>
  <si>
    <t>15376516</t>
  </si>
  <si>
    <t>15376524</t>
  </si>
  <si>
    <t>Journal of Pharmacy Practice and Research</t>
  </si>
  <si>
    <t>1445937X</t>
  </si>
  <si>
    <t>Society of Hospital Pharmacists of Australia</t>
  </si>
  <si>
    <t>E-flow PDF Society of Hospital Pharmacists of Australia</t>
  </si>
  <si>
    <t>Journal of Forensic Psychiatry and Psychology</t>
  </si>
  <si>
    <t>14789949</t>
  </si>
  <si>
    <t>14789957</t>
  </si>
  <si>
    <t>Journal of Pain and Palliative Care Pharmacotherapy</t>
  </si>
  <si>
    <t>15360288</t>
  </si>
  <si>
    <t>15360539</t>
  </si>
  <si>
    <t>International Journal of Sport Nutrition and Exercise Metabolism</t>
  </si>
  <si>
    <t>1526484X</t>
  </si>
  <si>
    <t>15432742</t>
  </si>
  <si>
    <t>Skin Research</t>
  </si>
  <si>
    <t>13471813</t>
  </si>
  <si>
    <t>Osaka University Medical School</t>
  </si>
  <si>
    <t>Ginecologia y Obstetricia Clinica</t>
  </si>
  <si>
    <t>16953827</t>
  </si>
  <si>
    <t>Japanese Journal of Neuropsychopharmacology</t>
  </si>
  <si>
    <t>13402544</t>
  </si>
  <si>
    <t>Japanese Society of Neuropsychopharmacology</t>
  </si>
  <si>
    <t>Italian Journal of Pediatrics</t>
  </si>
  <si>
    <t>17208424</t>
  </si>
  <si>
    <t>18247288</t>
  </si>
  <si>
    <t>European Urology, Supplements</t>
  </si>
  <si>
    <t>15699056</t>
  </si>
  <si>
    <t>18781500</t>
  </si>
  <si>
    <t>Hallym International Journal of Aging</t>
  </si>
  <si>
    <t>15356523</t>
  </si>
  <si>
    <t>15414485</t>
  </si>
  <si>
    <t>Research and Practice in Alzheimer's Disease</t>
  </si>
  <si>
    <t>12848360</t>
  </si>
  <si>
    <t>Serdi Publishing Company</t>
  </si>
  <si>
    <t>Saludarte</t>
  </si>
  <si>
    <t>16574400</t>
  </si>
  <si>
    <t>Colsubsidio</t>
  </si>
  <si>
    <t>North and West London Journal of General Practice</t>
  </si>
  <si>
    <t>20425503</t>
  </si>
  <si>
    <t>20425511</t>
  </si>
  <si>
    <t>Interactive Cardiovascular and Thoracic Surgery</t>
  </si>
  <si>
    <t>15699293</t>
  </si>
  <si>
    <t>15699285</t>
  </si>
  <si>
    <t>Techniques in Shoulder and Elbow Surgery</t>
  </si>
  <si>
    <t>15239896</t>
  </si>
  <si>
    <t>1539591X</t>
  </si>
  <si>
    <t>JMS - Journal of Medical Society</t>
  </si>
  <si>
    <t>09724958</t>
  </si>
  <si>
    <t>Regional Institute of Medical Sciences</t>
  </si>
  <si>
    <t>Reports of Practical Oncology and Radiotherapy</t>
  </si>
  <si>
    <t>15071367</t>
  </si>
  <si>
    <t>Critical Pathways in Cardiology</t>
  </si>
  <si>
    <t>1535282X</t>
  </si>
  <si>
    <t>15352811</t>
  </si>
  <si>
    <t>The Lancet Neurology</t>
  </si>
  <si>
    <t>14744422</t>
  </si>
  <si>
    <t>14744465</t>
  </si>
  <si>
    <t>Journal of AAPOS</t>
  </si>
  <si>
    <t>10918531</t>
  </si>
  <si>
    <t>15283933</t>
  </si>
  <si>
    <t>Anatomical Science International</t>
  </si>
  <si>
    <t>14476959</t>
  </si>
  <si>
    <t>1447073X</t>
  </si>
  <si>
    <t>Gogus-Kalp-Damar Anestezi ve Yogun Bakim Dernegi Dergisi</t>
  </si>
  <si>
    <t>13055550</t>
  </si>
  <si>
    <t>Egyptian Journal of Anaesthesia</t>
  </si>
  <si>
    <t>11101849</t>
  </si>
  <si>
    <t>16871804</t>
  </si>
  <si>
    <t>Central Society of Egyptian Anaesthesiologists</t>
  </si>
  <si>
    <t>AWIC Bulletin</t>
  </si>
  <si>
    <t>15227553</t>
  </si>
  <si>
    <t>Animal Welfare Information Center</t>
  </si>
  <si>
    <t>Journal of Infusion Nursing</t>
  </si>
  <si>
    <t>15331458</t>
  </si>
  <si>
    <t>15390667</t>
  </si>
  <si>
    <t>Journal de Traumatologie du Sport</t>
  </si>
  <si>
    <t>0762915X</t>
  </si>
  <si>
    <t>17730465</t>
  </si>
  <si>
    <t>Journal of Receptors and Signal Transduction</t>
  </si>
  <si>
    <t>10799893</t>
  </si>
  <si>
    <t>15324281</t>
  </si>
  <si>
    <t>Autonomic and Autacoid Pharmacology</t>
  </si>
  <si>
    <t>14748665</t>
  </si>
  <si>
    <t>14748673</t>
  </si>
  <si>
    <t>JDDG - Journal of the German Society of Dermatology</t>
  </si>
  <si>
    <t>16100379</t>
  </si>
  <si>
    <t>16100387</t>
  </si>
  <si>
    <t>Arthroscopy - Journal of Arthroscopic and Related Surgery</t>
  </si>
  <si>
    <t>07498063</t>
  </si>
  <si>
    <t>15263231</t>
  </si>
  <si>
    <t>European Journal of Health Economics</t>
  </si>
  <si>
    <t>16187598</t>
  </si>
  <si>
    <t>16187601</t>
  </si>
  <si>
    <t>FREN/ENGL/GERM</t>
  </si>
  <si>
    <t>European Journal of Nuclear Medicine and Molecular Imaging</t>
  </si>
  <si>
    <t>16197070</t>
  </si>
  <si>
    <t>16197089</t>
  </si>
  <si>
    <t>Engineering in Life Sciences</t>
  </si>
  <si>
    <t>16180240</t>
  </si>
  <si>
    <t>16182863</t>
  </si>
  <si>
    <t>Molecular Cancer Research</t>
  </si>
  <si>
    <t>15417786</t>
  </si>
  <si>
    <t>15573125</t>
  </si>
  <si>
    <t>BioPharm International</t>
  </si>
  <si>
    <t>1542166X</t>
  </si>
  <si>
    <t>19391862</t>
  </si>
  <si>
    <t>Journal of Women's Health</t>
  </si>
  <si>
    <t>15409996</t>
  </si>
  <si>
    <t>1931843X</t>
  </si>
  <si>
    <t>Vascular Pharmacology</t>
  </si>
  <si>
    <t>15371891</t>
  </si>
  <si>
    <t>18793649</t>
  </si>
  <si>
    <t>Journal of Psychopathology</t>
  </si>
  <si>
    <t>15921107</t>
  </si>
  <si>
    <t>Monaldi Archives for Chest Disease - Cardiac Series</t>
  </si>
  <si>
    <t>11220643</t>
  </si>
  <si>
    <t>Fondazione Salvatore Maugeri</t>
  </si>
  <si>
    <t>Anales de Pediatria</t>
  </si>
  <si>
    <t>16954033</t>
  </si>
  <si>
    <t>16959531</t>
  </si>
  <si>
    <t>Transfuze a Hematologie Dnes</t>
  </si>
  <si>
    <t>12135763</t>
  </si>
  <si>
    <t>Cancer Science</t>
  </si>
  <si>
    <t>13479032</t>
  </si>
  <si>
    <t>13497006</t>
  </si>
  <si>
    <t>Journal of Xi'an Jiaotong University (Medical Sciences)</t>
  </si>
  <si>
    <t>16718259</t>
  </si>
  <si>
    <t>Xi'an Medical University</t>
  </si>
  <si>
    <t>European Annals of Allergy and Clinical Immunology</t>
  </si>
  <si>
    <t>17641489</t>
  </si>
  <si>
    <t>Natural Product Research</t>
  </si>
  <si>
    <t>14786419</t>
  </si>
  <si>
    <t>14786427</t>
  </si>
  <si>
    <t>Journal of Pharmacological Sciences</t>
  </si>
  <si>
    <t>13478613</t>
  </si>
  <si>
    <t>13478648</t>
  </si>
  <si>
    <t>Russian Journal of Genetics</t>
  </si>
  <si>
    <t>10227954</t>
  </si>
  <si>
    <t>16083369</t>
  </si>
  <si>
    <t>Maik Nauka-Interperiodica Publishing</t>
  </si>
  <si>
    <t>Journal of Nanoparticle Research</t>
  </si>
  <si>
    <t>13880764</t>
  </si>
  <si>
    <t>1572896X</t>
  </si>
  <si>
    <t>Zhurnal Nevrologii i Psihiatrii imeni S.S. Korsakova</t>
  </si>
  <si>
    <t>19977298</t>
  </si>
  <si>
    <t>Media Sphera</t>
  </si>
  <si>
    <t>Media Sphera Publishing Group</t>
  </si>
  <si>
    <t>RUSS/ENGL</t>
  </si>
  <si>
    <t>Arthritis Research and Therapy</t>
  </si>
  <si>
    <t>14786354</t>
  </si>
  <si>
    <t>14786362</t>
  </si>
  <si>
    <t>Korean Journal of Radiology</t>
  </si>
  <si>
    <t>12296929</t>
  </si>
  <si>
    <t>Korean Radiological Society</t>
  </si>
  <si>
    <t>BMC Cell Biology</t>
  </si>
  <si>
    <t>14712121</t>
  </si>
  <si>
    <t>BMC Infectious Diseases</t>
  </si>
  <si>
    <t>14712334</t>
  </si>
  <si>
    <t>Ophthalmic Surgery Lasers and Imaging</t>
  </si>
  <si>
    <t>15428877</t>
  </si>
  <si>
    <t>Nutrition, Metabolism and Cardiovascular Diseases</t>
  </si>
  <si>
    <t>09394753</t>
  </si>
  <si>
    <t>Zhongguo Zhongyao Zazhi</t>
  </si>
  <si>
    <t>10015302</t>
  </si>
  <si>
    <t>Zhongguo Zhongyi Yanjiuyuan</t>
  </si>
  <si>
    <t>Acta Microbiologica et Immunologica Hungarica</t>
  </si>
  <si>
    <t>12178950</t>
  </si>
  <si>
    <t>15882640</t>
  </si>
  <si>
    <t>Eksperimental'naya i Klinicheskaya Farmakologiya</t>
  </si>
  <si>
    <t>08692092</t>
  </si>
  <si>
    <t>Journal of Applied Genetics</t>
  </si>
  <si>
    <t>12341983</t>
  </si>
  <si>
    <t>Magnesium Research</t>
  </si>
  <si>
    <t>09531424</t>
  </si>
  <si>
    <t>19524021</t>
  </si>
  <si>
    <t>Chemical Immunology and Allergy</t>
  </si>
  <si>
    <t>16602242</t>
  </si>
  <si>
    <t>16622898</t>
  </si>
  <si>
    <t>BMC Palliative Care</t>
  </si>
  <si>
    <t>1472684X</t>
  </si>
  <si>
    <t>BMC Biochemistry</t>
  </si>
  <si>
    <t>14712091</t>
  </si>
  <si>
    <t>BMC Chemical Biology</t>
  </si>
  <si>
    <t>14726769</t>
  </si>
  <si>
    <t>BMC Ear, Nose and Throat Disorders</t>
  </si>
  <si>
    <t>14726815</t>
  </si>
  <si>
    <t>BMC International Health and Human Rights</t>
  </si>
  <si>
    <t>1472698X</t>
  </si>
  <si>
    <t>BMC Structural Biology</t>
  </si>
  <si>
    <t>14726807</t>
  </si>
  <si>
    <t>BMC Urology</t>
  </si>
  <si>
    <t>14712490</t>
  </si>
  <si>
    <t>BMC Microbiology</t>
  </si>
  <si>
    <t>14712180</t>
  </si>
  <si>
    <t>BMC Musculoskeletal Disorders</t>
  </si>
  <si>
    <t>14712474</t>
  </si>
  <si>
    <t>BMC Nephrology</t>
  </si>
  <si>
    <t>14712369</t>
  </si>
  <si>
    <t>Environmental Health: A Global Access Science Source</t>
  </si>
  <si>
    <t>1476069X</t>
  </si>
  <si>
    <t>International Journal for Equity in Health</t>
  </si>
  <si>
    <t>14759276</t>
  </si>
  <si>
    <t>Journal of Negative Results in BioMedicine</t>
  </si>
  <si>
    <t>14775751</t>
  </si>
  <si>
    <t>Lipids in Health and Disease</t>
  </si>
  <si>
    <t>1476511X</t>
  </si>
  <si>
    <t>Malaria Journal</t>
  </si>
  <si>
    <t>14752875</t>
  </si>
  <si>
    <t>Nutrition Journal</t>
  </si>
  <si>
    <t>14752891</t>
  </si>
  <si>
    <t>Cardiovascular Ultrasound</t>
  </si>
  <si>
    <t>14767120</t>
  </si>
  <si>
    <t>BMC Complementary and Alternative Medicine</t>
  </si>
  <si>
    <t>14726882</t>
  </si>
  <si>
    <t>BMC Dermatology</t>
  </si>
  <si>
    <t>14715945</t>
  </si>
  <si>
    <t>BMC Emergency Medicine</t>
  </si>
  <si>
    <t>1471227X</t>
  </si>
  <si>
    <t>BMC Endocrine Disorders</t>
  </si>
  <si>
    <t>14726823</t>
  </si>
  <si>
    <t>BMC Gastroenterology</t>
  </si>
  <si>
    <t>1471230X</t>
  </si>
  <si>
    <t>BMC Genetics</t>
  </si>
  <si>
    <t>14712156</t>
  </si>
  <si>
    <t>BMC Genomics</t>
  </si>
  <si>
    <t>14712164</t>
  </si>
  <si>
    <t>BMC Immunology</t>
  </si>
  <si>
    <t>14712172</t>
  </si>
  <si>
    <t>BMC Medical Genetics</t>
  </si>
  <si>
    <t>14712350</t>
  </si>
  <si>
    <t>BMC Molecular Biology</t>
  </si>
  <si>
    <t>14712199</t>
  </si>
  <si>
    <t>BMC Neurology</t>
  </si>
  <si>
    <t>14712377</t>
  </si>
  <si>
    <t>BMC Neuroscience</t>
  </si>
  <si>
    <t>14712202</t>
  </si>
  <si>
    <t>BMC Pediatrics</t>
  </si>
  <si>
    <t>14712431</t>
  </si>
  <si>
    <t>BMC Pregnancy and Childbirth</t>
  </si>
  <si>
    <t>14712393</t>
  </si>
  <si>
    <t>BMC Psychiatry</t>
  </si>
  <si>
    <t>1471244X</t>
  </si>
  <si>
    <t>BMC Pulmonary Medicine</t>
  </si>
  <si>
    <t>14712466</t>
  </si>
  <si>
    <t>BMC Women's Health</t>
  </si>
  <si>
    <t>14726874</t>
  </si>
  <si>
    <t>Cancer Cell International</t>
  </si>
  <si>
    <t>14752867</t>
  </si>
  <si>
    <t>Cardiovascular Diabetology</t>
  </si>
  <si>
    <t>14752840</t>
  </si>
  <si>
    <t>BMC Anesthesiology</t>
  </si>
  <si>
    <t>14712253</t>
  </si>
  <si>
    <t>BMC Biotechnology</t>
  </si>
  <si>
    <t>14726750</t>
  </si>
  <si>
    <t>BMC Blood Disorders</t>
  </si>
  <si>
    <t>14712326</t>
  </si>
  <si>
    <t>BMC Cancer</t>
  </si>
  <si>
    <t>14712407</t>
  </si>
  <si>
    <t>Current Neurology and Neuroscience Reports</t>
  </si>
  <si>
    <t>15284042</t>
  </si>
  <si>
    <t>15346293</t>
  </si>
  <si>
    <t>Current Medicine Group LLC</t>
  </si>
  <si>
    <t>Current Allergy and Asthma Reports</t>
  </si>
  <si>
    <t>15297322</t>
  </si>
  <si>
    <t>15346315</t>
  </si>
  <si>
    <t>Current Atherosclerosis Reports</t>
  </si>
  <si>
    <t>15233804</t>
  </si>
  <si>
    <t>15346242</t>
  </si>
  <si>
    <t>Current Cardiology Reports</t>
  </si>
  <si>
    <t>15233782</t>
  </si>
  <si>
    <t>15343170</t>
  </si>
  <si>
    <t>Current Diabetes Reports</t>
  </si>
  <si>
    <t>15344827</t>
  </si>
  <si>
    <t>15390829</t>
  </si>
  <si>
    <t>Current Gastroenterology Reports</t>
  </si>
  <si>
    <t>15228037</t>
  </si>
  <si>
    <t>1534312X</t>
  </si>
  <si>
    <t>Current Hypertension Reports</t>
  </si>
  <si>
    <t>15226417</t>
  </si>
  <si>
    <t>15343111</t>
  </si>
  <si>
    <t>Current Infectious Disease Reports</t>
  </si>
  <si>
    <t>15233847</t>
  </si>
  <si>
    <t>15343146</t>
  </si>
  <si>
    <t>Current Oncology Reports</t>
  </si>
  <si>
    <t>15233790</t>
  </si>
  <si>
    <t>15346269</t>
  </si>
  <si>
    <t>Current Pain and Headache Reports</t>
  </si>
  <si>
    <t>15313433</t>
  </si>
  <si>
    <t>15343081</t>
  </si>
  <si>
    <t>Current Psychiatry Reports</t>
  </si>
  <si>
    <t>15233812</t>
  </si>
  <si>
    <t>15351645</t>
  </si>
  <si>
    <t>Journal of Carcinogenesis</t>
  </si>
  <si>
    <t>09746773</t>
  </si>
  <si>
    <t>14773163</t>
  </si>
  <si>
    <t>Journal of Nanobiotechnology</t>
  </si>
  <si>
    <t>14773155</t>
  </si>
  <si>
    <t>Microbial Cell Factories</t>
  </si>
  <si>
    <t>14752859</t>
  </si>
  <si>
    <t>Molecular Cancer</t>
  </si>
  <si>
    <t>14764598</t>
  </si>
  <si>
    <t>Proteome Science</t>
  </si>
  <si>
    <t>14775956</t>
  </si>
  <si>
    <t>Indian Pacing and Electrophysiology Journal</t>
  </si>
  <si>
    <t>09726292</t>
  </si>
  <si>
    <t>Indian Pacing and Electrophysiology Group</t>
  </si>
  <si>
    <t>Indian Pacing and Electrophysiology</t>
  </si>
  <si>
    <t>Annals of Clinical Microbiology and Antimicrobials</t>
  </si>
  <si>
    <t>14760711</t>
  </si>
  <si>
    <t>BioMedical Engineering OnLine</t>
  </si>
  <si>
    <t>1475925X</t>
  </si>
  <si>
    <t>BMC Clinical Pathology</t>
  </si>
  <si>
    <t>14726890</t>
  </si>
  <si>
    <t>Expert Reviews in Molecular Medicine</t>
  </si>
  <si>
    <t>14623994</t>
  </si>
  <si>
    <t>Medscape General Medicine</t>
  </si>
  <si>
    <t>15310132</t>
  </si>
  <si>
    <t>Medscape Health Network</t>
  </si>
  <si>
    <t>World Wide Wounds</t>
  </si>
  <si>
    <t>13692607</t>
  </si>
  <si>
    <t>Surgical Materials Testing Laboratory</t>
  </si>
  <si>
    <t>Current HIV Research</t>
  </si>
  <si>
    <t>1570162X</t>
  </si>
  <si>
    <t>18734251</t>
  </si>
  <si>
    <t>Current Vascular Pharmacology</t>
  </si>
  <si>
    <t>15701611</t>
  </si>
  <si>
    <t>18756212</t>
  </si>
  <si>
    <t>Current Neuropharmacology</t>
  </si>
  <si>
    <t>1570159X</t>
  </si>
  <si>
    <t>18756190</t>
  </si>
  <si>
    <t>Current Topics in Medicinal Chemistry</t>
  </si>
  <si>
    <t>15680266</t>
  </si>
  <si>
    <t>18734294</t>
  </si>
  <si>
    <t>Mini-Reviews in Medicinal Chemistry</t>
  </si>
  <si>
    <t>13895575</t>
  </si>
  <si>
    <t>18755607</t>
  </si>
  <si>
    <t>Current Gene Therapy</t>
  </si>
  <si>
    <t>15665232</t>
  </si>
  <si>
    <t>18755631</t>
  </si>
  <si>
    <t>Journal of Biomedical Materials Research - Part A</t>
  </si>
  <si>
    <t>15493296</t>
  </si>
  <si>
    <t>15524965</t>
  </si>
  <si>
    <t>Journal of Biomedical Materials Research - Part B Applied Biomaterials</t>
  </si>
  <si>
    <t>15524973</t>
  </si>
  <si>
    <t>15524981</t>
  </si>
  <si>
    <t>Journal of the Chinese Medical Association</t>
  </si>
  <si>
    <t>17264901</t>
  </si>
  <si>
    <t>17287731</t>
  </si>
  <si>
    <t>Cognitive and Behavioral Neurology</t>
  </si>
  <si>
    <t>15433633</t>
  </si>
  <si>
    <t>15370887</t>
  </si>
  <si>
    <t>Liver International</t>
  </si>
  <si>
    <t>14783223</t>
  </si>
  <si>
    <t>14783231</t>
  </si>
  <si>
    <t>Nederlands Tijdschrift voor Klinische Chemie en Laboratoriumgeneeskunde</t>
  </si>
  <si>
    <t>15708306</t>
  </si>
  <si>
    <t>Nederlandse Vereniging voor Klinische Chemie</t>
  </si>
  <si>
    <t>Anesteziologie a Intenzivni Medicina</t>
  </si>
  <si>
    <t>12142158</t>
  </si>
  <si>
    <t>Clinical Gastroenterology and Hepatology</t>
  </si>
  <si>
    <t>15423565</t>
  </si>
  <si>
    <t>Publications of Takeda Research Laboratories</t>
  </si>
  <si>
    <t>13467271</t>
  </si>
  <si>
    <t>Takeda Pharmaceutical Co. Ltd.</t>
  </si>
  <si>
    <t>Birth Defects Research Part A - Clinical and Molecular Teratology</t>
  </si>
  <si>
    <t>15420752</t>
  </si>
  <si>
    <t>15420760</t>
  </si>
  <si>
    <t>Birth Defects Research Part B - Developmental and Reproductive Toxicology</t>
  </si>
  <si>
    <t>15429733</t>
  </si>
  <si>
    <t>15429741</t>
  </si>
  <si>
    <t>Birth Defects Research Part C - Embryo Today: Reviews</t>
  </si>
  <si>
    <t>1542975X</t>
  </si>
  <si>
    <t>15429768</t>
  </si>
  <si>
    <t>Korean Journal of Microbiology and Biotechnology</t>
  </si>
  <si>
    <t>1598642X</t>
  </si>
  <si>
    <t>Turk Serebrovaskuler Hastaliklar Dergisi</t>
  </si>
  <si>
    <t>13011375</t>
  </si>
  <si>
    <t>Turkish Society of Cerebrovascular Diseases</t>
  </si>
  <si>
    <t>Assay and Drug Development Technologies</t>
  </si>
  <si>
    <t>1540658X</t>
  </si>
  <si>
    <t>15578127</t>
  </si>
  <si>
    <t>Cytometry Part B - Clinical Cytometry</t>
  </si>
  <si>
    <t>15524949</t>
  </si>
  <si>
    <t>15524957</t>
  </si>
  <si>
    <t>Lymphatic Research and Biology</t>
  </si>
  <si>
    <t>15396851</t>
  </si>
  <si>
    <t>15578585</t>
  </si>
  <si>
    <t>Reproductive Medicine and Biology</t>
  </si>
  <si>
    <t>14455781</t>
  </si>
  <si>
    <t>14470578</t>
  </si>
  <si>
    <t>African Journal of AIDS Research</t>
  </si>
  <si>
    <t>16085906</t>
  </si>
  <si>
    <t>17279445</t>
  </si>
  <si>
    <t>Biotechnology Annual Review</t>
  </si>
  <si>
    <t>13872656</t>
  </si>
  <si>
    <t>18755208</t>
  </si>
  <si>
    <t>Focus on Alternative and Complementary Therapies</t>
  </si>
  <si>
    <t>14653753</t>
  </si>
  <si>
    <t>20427166</t>
  </si>
  <si>
    <t>Polish Journal of Radiology</t>
  </si>
  <si>
    <t>01377183</t>
  </si>
  <si>
    <t>Medical Science International</t>
  </si>
  <si>
    <t>Operative Orthopadie und Traumatologie</t>
  </si>
  <si>
    <t>09346694</t>
  </si>
  <si>
    <t>14390981</t>
  </si>
  <si>
    <t>Phytomedica</t>
  </si>
  <si>
    <t>09723293</t>
  </si>
  <si>
    <t>Society of Phytomedica</t>
  </si>
  <si>
    <t>European Journal of Inflammation</t>
  </si>
  <si>
    <t>1721727X</t>
  </si>
  <si>
    <t>Molecular and Cellular Proteomics</t>
  </si>
  <si>
    <t>15359476</t>
  </si>
  <si>
    <t>15359484</t>
  </si>
  <si>
    <t>Journal of Commercial Biotechnology</t>
  </si>
  <si>
    <t>14628732</t>
  </si>
  <si>
    <t>1478565X</t>
  </si>
  <si>
    <t>ThinkBiotech LLC</t>
  </si>
  <si>
    <t>Transfusion Medicine and Hemotherapy</t>
  </si>
  <si>
    <t>16603796</t>
  </si>
  <si>
    <t>16603818</t>
  </si>
  <si>
    <t>Current Topics in Nutraceutical Research</t>
  </si>
  <si>
    <t>15407535</t>
  </si>
  <si>
    <t>New Century Health Publishers</t>
  </si>
  <si>
    <t>Molecular Cancer Therapeutics</t>
  </si>
  <si>
    <t>15357163</t>
  </si>
  <si>
    <t>15388514</t>
  </si>
  <si>
    <t>NeuroSignals</t>
  </si>
  <si>
    <t>1424862X</t>
  </si>
  <si>
    <t>14248638</t>
  </si>
  <si>
    <t>Journal of Thrombosis and Haemostasis</t>
  </si>
  <si>
    <t>15387933</t>
  </si>
  <si>
    <t>15387836</t>
  </si>
  <si>
    <t>Heroin Addiction and Related Clinical Problems</t>
  </si>
  <si>
    <t>15921638</t>
  </si>
  <si>
    <t>Eye and Contact Lens</t>
  </si>
  <si>
    <t>15422321</t>
  </si>
  <si>
    <t>1542233X</t>
  </si>
  <si>
    <t>Cytogenetic and Genome Research</t>
  </si>
  <si>
    <t>14248581</t>
  </si>
  <si>
    <t>1424859X</t>
  </si>
  <si>
    <t>Jornal Vascular Brasileiro</t>
  </si>
  <si>
    <t>16775449</t>
  </si>
  <si>
    <t>16777301</t>
  </si>
  <si>
    <t>Sociedade Brasileira de Angiologia e Cirurgia Vascular</t>
  </si>
  <si>
    <t>Journal of Neonatology</t>
  </si>
  <si>
    <t>09732179</t>
  </si>
  <si>
    <t>09732187</t>
  </si>
  <si>
    <t>Vector-Borne and Zoonotic Diseases</t>
  </si>
  <si>
    <t>15303667</t>
  </si>
  <si>
    <t>15577759</t>
  </si>
  <si>
    <t>Metabolic Syndrome and Related Disorders</t>
  </si>
  <si>
    <t>15404196</t>
  </si>
  <si>
    <t>15578518</t>
  </si>
  <si>
    <t>Expert Review of Anti-Infective Therapy</t>
  </si>
  <si>
    <t>14787210</t>
  </si>
  <si>
    <t>17448336</t>
  </si>
  <si>
    <t>Expert Review of Cardiovascular Therapy</t>
  </si>
  <si>
    <t>14779072</t>
  </si>
  <si>
    <t>17448344</t>
  </si>
  <si>
    <t>Geriatrics and Gerontology International</t>
  </si>
  <si>
    <t>14441586</t>
  </si>
  <si>
    <t>14470594</t>
  </si>
  <si>
    <t>EBR - European Biopharmaceutical Review</t>
  </si>
  <si>
    <t>13690663</t>
  </si>
  <si>
    <t>Biomechanics and Modeling in Mechanobiology</t>
  </si>
  <si>
    <t>16177959</t>
  </si>
  <si>
    <t>16177940</t>
  </si>
  <si>
    <t>Journal of Water and Health</t>
  </si>
  <si>
    <t>14778920</t>
  </si>
  <si>
    <t>International Journal of Low Radiation</t>
  </si>
  <si>
    <t>14776545</t>
  </si>
  <si>
    <t>17419190</t>
  </si>
  <si>
    <t>Hemodialysis International</t>
  </si>
  <si>
    <t>14927535</t>
  </si>
  <si>
    <t>15424758</t>
  </si>
  <si>
    <t>Aging Cell</t>
  </si>
  <si>
    <t>14749718</t>
  </si>
  <si>
    <t>14749726</t>
  </si>
  <si>
    <t>Sleep and Biological Rhythms</t>
  </si>
  <si>
    <t>14469235</t>
  </si>
  <si>
    <t>14798425</t>
  </si>
  <si>
    <t>Psychogeriatrics</t>
  </si>
  <si>
    <t>13463500</t>
  </si>
  <si>
    <t>14798301</t>
  </si>
  <si>
    <t>Journal of Integrative Neuroscience</t>
  </si>
  <si>
    <t>02196352</t>
  </si>
  <si>
    <t>1757448X</t>
  </si>
  <si>
    <t>Hong Kong Journal of Occupational Therapy</t>
  </si>
  <si>
    <t>15691861</t>
  </si>
  <si>
    <t>18764398</t>
  </si>
  <si>
    <t>Journal of the Turkish German Gynecology Association</t>
  </si>
  <si>
    <t>13090399</t>
  </si>
  <si>
    <t>13090380</t>
  </si>
  <si>
    <t>Hellenic Journal of Nuclear Medicine</t>
  </si>
  <si>
    <t>17905427</t>
  </si>
  <si>
    <t>P.Ziti and Co</t>
  </si>
  <si>
    <t>ENGL/GREK</t>
  </si>
  <si>
    <t>Neuroanatomy</t>
  </si>
  <si>
    <t>13031783</t>
  </si>
  <si>
    <t>13031775</t>
  </si>
  <si>
    <t>Hacettepe University Faculty of Medicine</t>
  </si>
  <si>
    <t>Eating and Weight Disorders</t>
  </si>
  <si>
    <t>11244909</t>
  </si>
  <si>
    <t>15901262</t>
  </si>
  <si>
    <t>Current Treatment Options in Oncology</t>
  </si>
  <si>
    <t>15272729</t>
  </si>
  <si>
    <t>15346277</t>
  </si>
  <si>
    <t>Current Treatment Options in Neurology</t>
  </si>
  <si>
    <t>10928480</t>
  </si>
  <si>
    <t>15343138</t>
  </si>
  <si>
    <t>Current Science Inc.</t>
  </si>
  <si>
    <t>Current Treatment Options in Cardiovascular Medicine</t>
  </si>
  <si>
    <t>10928464</t>
  </si>
  <si>
    <t>15343189</t>
  </si>
  <si>
    <t>Journal of Supportive Oncology</t>
  </si>
  <si>
    <t>15446794</t>
  </si>
  <si>
    <t>1879596X</t>
  </si>
  <si>
    <t>Elsevier Oncology</t>
  </si>
  <si>
    <t>Annals of Cancer Research and Therapy</t>
  </si>
  <si>
    <t>13446835</t>
  </si>
  <si>
    <t>Canadian Journal of Emergency Medicine</t>
  </si>
  <si>
    <t>14818035</t>
  </si>
  <si>
    <t>Ulusal Travma ve Acil Cerrahi Dergisi</t>
  </si>
  <si>
    <t>1306696X</t>
  </si>
  <si>
    <t>Turkish Association of Trauma and Emergency Surgery</t>
  </si>
  <si>
    <t>Chinese Journal of Natural Medicines</t>
  </si>
  <si>
    <t>18755364</t>
  </si>
  <si>
    <t>Chinese Journal of Natural Medicines Editorial Board</t>
  </si>
  <si>
    <t>Dermatologica Sinica</t>
  </si>
  <si>
    <t>10278117</t>
  </si>
  <si>
    <t>2223330X</t>
  </si>
  <si>
    <t>Chinese Journal of Cancer Prevention and Treatment</t>
  </si>
  <si>
    <t>16735269</t>
  </si>
  <si>
    <t>Chinese Journal of Cancer Prevention and Treatment, Editorial board</t>
  </si>
  <si>
    <t>Chinese Critical Care Medicine</t>
  </si>
  <si>
    <t>10030603</t>
  </si>
  <si>
    <t>Heilongjiang Institute of Science and Technology Information</t>
  </si>
  <si>
    <t>China Int. Book Trading Corp.</t>
  </si>
  <si>
    <t>Malaysian Journal of Medical Sciences</t>
  </si>
  <si>
    <t>1394195X</t>
  </si>
  <si>
    <t>21804303</t>
  </si>
  <si>
    <t>Phytotherapie Europeenne</t>
  </si>
  <si>
    <t>16286847</t>
  </si>
  <si>
    <t>Meditions Carline</t>
  </si>
  <si>
    <t>Travel Medicine and Infectious Disease</t>
  </si>
  <si>
    <t>14778939</t>
  </si>
  <si>
    <t>18730442</t>
  </si>
  <si>
    <t>Economics and Human Biology</t>
  </si>
  <si>
    <t>1570677X</t>
  </si>
  <si>
    <t>18736130</t>
  </si>
  <si>
    <t>Pharmaceutical Statistics</t>
  </si>
  <si>
    <t>15391604</t>
  </si>
  <si>
    <t>15391612</t>
  </si>
  <si>
    <t>Primary Care Companion to the Journal of Clinical Psychiatry</t>
  </si>
  <si>
    <t>15235998</t>
  </si>
  <si>
    <t>1555211X</t>
  </si>
  <si>
    <t>Hong Kong Journal of Emergency Medicine</t>
  </si>
  <si>
    <t>10249079</t>
  </si>
  <si>
    <t>Medcom Limited</t>
  </si>
  <si>
    <t>Hong Kong Journal of Paediatrics</t>
  </si>
  <si>
    <t>10139923</t>
  </si>
  <si>
    <t>Expert Opinion on Drug Safety</t>
  </si>
  <si>
    <t>14740338</t>
  </si>
  <si>
    <t>1744764X</t>
  </si>
  <si>
    <t>Applied Health Economics and Health Policy</t>
  </si>
  <si>
    <t>11755652</t>
  </si>
  <si>
    <t>11791896</t>
  </si>
  <si>
    <t>International Journal of Radiation Research</t>
  </si>
  <si>
    <t>17284554</t>
  </si>
  <si>
    <t>17284562</t>
  </si>
  <si>
    <t>Novim Medical Radiation Institute</t>
  </si>
  <si>
    <t>Acta Neuropsychologica</t>
  </si>
  <si>
    <t>17307503</t>
  </si>
  <si>
    <t>Agencja Wydawnicza Medsportpress</t>
  </si>
  <si>
    <t>Journal of Medical Sciences (Taiwan)</t>
  </si>
  <si>
    <t>10114564</t>
  </si>
  <si>
    <t>National Defense Medical Center</t>
  </si>
  <si>
    <t>Indian Journal of Critical Care Medicine</t>
  </si>
  <si>
    <t>09725229</t>
  </si>
  <si>
    <t>1998359X</t>
  </si>
  <si>
    <t>Indian Journal of Human Genetics</t>
  </si>
  <si>
    <t>09716866</t>
  </si>
  <si>
    <t>1998362X</t>
  </si>
  <si>
    <t>Clinical Governance</t>
  </si>
  <si>
    <t>14777274</t>
  </si>
  <si>
    <t>17586038</t>
  </si>
  <si>
    <t>Emerald Group Publishing Ltd.</t>
  </si>
  <si>
    <t>E-flow Emerald</t>
  </si>
  <si>
    <t>Natural Computing</t>
  </si>
  <si>
    <t>15677818</t>
  </si>
  <si>
    <t>15729796</t>
  </si>
  <si>
    <t>Pain Practice</t>
  </si>
  <si>
    <t>15307085</t>
  </si>
  <si>
    <t>15332500</t>
  </si>
  <si>
    <t>Pharmaceutical Care and Research</t>
  </si>
  <si>
    <t>16712838</t>
  </si>
  <si>
    <t>Publishing House of Pharmaceutical Care and Research</t>
  </si>
  <si>
    <t>Biochimica et Biophysica Acta - Proteins and Proteomics</t>
  </si>
  <si>
    <t>15709639</t>
  </si>
  <si>
    <t>18781454</t>
  </si>
  <si>
    <t>Medicine (Spain)</t>
  </si>
  <si>
    <t>03045412</t>
  </si>
  <si>
    <t>15788822</t>
  </si>
  <si>
    <t>Revista de Patologia Respiratoria</t>
  </si>
  <si>
    <t>15769895</t>
  </si>
  <si>
    <t>2173920X</t>
  </si>
  <si>
    <t>Sociedad Madrinela de Neumologia y Cirugia Toracica</t>
  </si>
  <si>
    <t>Atherosclerosis Supplements</t>
  </si>
  <si>
    <t>15675688</t>
  </si>
  <si>
    <t>18785050</t>
  </si>
  <si>
    <t>Pediatric Blood and Cancer</t>
  </si>
  <si>
    <t>15455009</t>
  </si>
  <si>
    <t>15455017</t>
  </si>
  <si>
    <t>Anil Aggrawal's Internet Journal of Forensic Medicine and Toxicology</t>
  </si>
  <si>
    <t>09728066</t>
  </si>
  <si>
    <t>09728074</t>
  </si>
  <si>
    <t>Minerva Endocrinologica</t>
  </si>
  <si>
    <t>03911977</t>
  </si>
  <si>
    <t>18271634</t>
  </si>
  <si>
    <t>Nature Reviews Microbiology</t>
  </si>
  <si>
    <t>17401526</t>
  </si>
  <si>
    <t>17401534</t>
  </si>
  <si>
    <t>American Journal of Geriatric Pharmacotherapy</t>
  </si>
  <si>
    <t>15435946</t>
  </si>
  <si>
    <t>18767761</t>
  </si>
  <si>
    <t>International Journal of Surgery</t>
  </si>
  <si>
    <t>17439191</t>
  </si>
  <si>
    <t>17439159</t>
  </si>
  <si>
    <t>BMC Cardiovascular Disorders</t>
  </si>
  <si>
    <t>14712261</t>
  </si>
  <si>
    <t>Electronic Journal of Biotechnology</t>
  </si>
  <si>
    <t>07173458</t>
  </si>
  <si>
    <t>Perfusion (Germany)</t>
  </si>
  <si>
    <t>09350020</t>
  </si>
  <si>
    <t>14324334</t>
  </si>
  <si>
    <t>Verlag Perfusion GmbH</t>
  </si>
  <si>
    <t>E-flow PDF Verlag Perfusion GmbH</t>
  </si>
  <si>
    <t>Skin Pharmacology and Physiology</t>
  </si>
  <si>
    <t>16605527</t>
  </si>
  <si>
    <t>16605535</t>
  </si>
  <si>
    <t>Breast Diseases</t>
  </si>
  <si>
    <t>1043321X</t>
  </si>
  <si>
    <t>18781918</t>
  </si>
  <si>
    <t>Public Health Forum</t>
  </si>
  <si>
    <t>09445587</t>
  </si>
  <si>
    <t>18764851</t>
  </si>
  <si>
    <t>Sport-Orthopadie - Sport-Traumatologie</t>
  </si>
  <si>
    <t>0949328X</t>
  </si>
  <si>
    <t>18764339</t>
  </si>
  <si>
    <t>Heart Rhythm</t>
  </si>
  <si>
    <t>15475271</t>
  </si>
  <si>
    <t>15563871</t>
  </si>
  <si>
    <t>Infection, Supplement</t>
  </si>
  <si>
    <t>01732129</t>
  </si>
  <si>
    <t>Gynaecologia et Perinatologia, Supplement</t>
  </si>
  <si>
    <t>13310151</t>
  </si>
  <si>
    <t>Nature Structural and Molecular Biology</t>
  </si>
  <si>
    <t>15459993</t>
  </si>
  <si>
    <t>15459985</t>
  </si>
  <si>
    <t>Best Practice and Research: Clinical Gastroenterology</t>
  </si>
  <si>
    <t>15216918</t>
  </si>
  <si>
    <t>15321916</t>
  </si>
  <si>
    <t>Best Practice and Research: Clinical Endocrinology and Metabolism</t>
  </si>
  <si>
    <t>1521690X</t>
  </si>
  <si>
    <t>15321908</t>
  </si>
  <si>
    <t>Best Practice and Research: Clinical Haematology</t>
  </si>
  <si>
    <t>15216926</t>
  </si>
  <si>
    <t>15321924</t>
  </si>
  <si>
    <t>Best Practice and Research: Clinical Anaesthesiology</t>
  </si>
  <si>
    <t>15216896</t>
  </si>
  <si>
    <t>1532169X</t>
  </si>
  <si>
    <t>Best Practice and Research: Clinical Rheumatology</t>
  </si>
  <si>
    <t>15216942</t>
  </si>
  <si>
    <t>15321770</t>
  </si>
  <si>
    <t>Nederlands Tijdschrift voor Dermatologie en Venereologie</t>
  </si>
  <si>
    <t>09258604</t>
  </si>
  <si>
    <t>DCHG Partners in Mediscne Communicatie</t>
  </si>
  <si>
    <t>E-flow PDF DCHG Partners in Mediscne Communicatie</t>
  </si>
  <si>
    <t>Best Practice and Research: Clinical Obstetrics and Gynaecology</t>
  </si>
  <si>
    <t>15216934</t>
  </si>
  <si>
    <t>15321932</t>
  </si>
  <si>
    <t>Dermatology Online Journal</t>
  </si>
  <si>
    <t>10872108</t>
  </si>
  <si>
    <t>International Journal of Molecular Sciences</t>
  </si>
  <si>
    <t>16616596</t>
  </si>
  <si>
    <t>14220067</t>
  </si>
  <si>
    <t>Cancer Immunity</t>
  </si>
  <si>
    <t>14249634</t>
  </si>
  <si>
    <t>Protein Engineering, Design and Selection</t>
  </si>
  <si>
    <t>17410126</t>
  </si>
  <si>
    <t>17410134</t>
  </si>
  <si>
    <t>European Cells and Materials</t>
  </si>
  <si>
    <t>14732262</t>
  </si>
  <si>
    <t>AO Research Institute</t>
  </si>
  <si>
    <t>Urologic Oncology: Seminars and Original Investigations</t>
  </si>
  <si>
    <t>10781439</t>
  </si>
  <si>
    <t>18732496</t>
  </si>
  <si>
    <t>Genetics and Molecular Research</t>
  </si>
  <si>
    <t>16765680</t>
  </si>
  <si>
    <t>Fundacao de Pesquisas Cientificas de Ribeirao Preto</t>
  </si>
  <si>
    <t>European Journal of Cancer, Supplement</t>
  </si>
  <si>
    <t>13596349</t>
  </si>
  <si>
    <t>18781217</t>
  </si>
  <si>
    <t>Advances in Chronic Kidney Disease</t>
  </si>
  <si>
    <t>15485595</t>
  </si>
  <si>
    <t>15485609</t>
  </si>
  <si>
    <t>Nephron - Clinical Practice</t>
  </si>
  <si>
    <t>16602110</t>
  </si>
  <si>
    <t>Nephron - Physiology</t>
  </si>
  <si>
    <t>16602137</t>
  </si>
  <si>
    <t>Nephron - Experimental Nephrology</t>
  </si>
  <si>
    <t>16602129</t>
  </si>
  <si>
    <t>Clinical EEG and Neuroscience</t>
  </si>
  <si>
    <t>15500594</t>
  </si>
  <si>
    <t>21695202</t>
  </si>
  <si>
    <t>Basic and Clinical Pharmacology and Toxicology</t>
  </si>
  <si>
    <t>17427835</t>
  </si>
  <si>
    <t>17427843</t>
  </si>
  <si>
    <t>Journal of Drug Delivery Science and Technology</t>
  </si>
  <si>
    <t>17732247</t>
  </si>
  <si>
    <t>Gesundheitswesen, Supplement</t>
  </si>
  <si>
    <t>09497013</t>
  </si>
  <si>
    <t>16155602</t>
  </si>
  <si>
    <t>Herz, Supplement</t>
  </si>
  <si>
    <t>09461299</t>
  </si>
  <si>
    <t>AANA Journal</t>
  </si>
  <si>
    <t>00946354</t>
  </si>
  <si>
    <t>AANA Publishing Inc.</t>
  </si>
  <si>
    <t>Neurodegenerative Diseases</t>
  </si>
  <si>
    <t>16602854</t>
  </si>
  <si>
    <t>16602862</t>
  </si>
  <si>
    <t>PLoS Biology</t>
  </si>
  <si>
    <t>15449173</t>
  </si>
  <si>
    <t>15457885</t>
  </si>
  <si>
    <t>Public Library of Science</t>
  </si>
  <si>
    <t>Web Portal Public Library of Science</t>
  </si>
  <si>
    <t>EMA - Emergency Medicine Australasia</t>
  </si>
  <si>
    <t>17426731</t>
  </si>
  <si>
    <t>17426723</t>
  </si>
  <si>
    <t>Journal of Vector Borne Diseases</t>
  </si>
  <si>
    <t>09729062</t>
  </si>
  <si>
    <t>Malaria Research Center</t>
  </si>
  <si>
    <t>Malaria Research Centre (ICMR)</t>
  </si>
  <si>
    <t>Stem Cells and Development</t>
  </si>
  <si>
    <t>15473287</t>
  </si>
  <si>
    <t>15578534</t>
  </si>
  <si>
    <t>Monaldi Archives for Chest Disease - Pulmonary Series</t>
  </si>
  <si>
    <t>PI-ME Tipografia Editrice S.r.l.</t>
  </si>
  <si>
    <t>Clinica del Lavoro Foundation</t>
  </si>
  <si>
    <t>Protein Journal</t>
  </si>
  <si>
    <t>15723887</t>
  </si>
  <si>
    <t>15734943</t>
  </si>
  <si>
    <t>Journal of Molecular Histology</t>
  </si>
  <si>
    <t>15672379</t>
  </si>
  <si>
    <t>15672387</t>
  </si>
  <si>
    <t>JAVA - Journal of the Association for Vascular Access</t>
  </si>
  <si>
    <t>15528855</t>
  </si>
  <si>
    <t>15571289</t>
  </si>
  <si>
    <t>Pediatric Drugs</t>
  </si>
  <si>
    <t>11745878</t>
  </si>
  <si>
    <t>11792019</t>
  </si>
  <si>
    <t>Italian Journal of Vascular and Endovascular Surgery</t>
  </si>
  <si>
    <t>18244777</t>
  </si>
  <si>
    <t>Journal of Neural Engineering</t>
  </si>
  <si>
    <t>17412560</t>
  </si>
  <si>
    <t>17412552</t>
  </si>
  <si>
    <t>Institute of Physics Publishing</t>
  </si>
  <si>
    <t>Web Portal IOP</t>
  </si>
  <si>
    <t>Therapeutic Apheresis and Dialysis</t>
  </si>
  <si>
    <t>17449979</t>
  </si>
  <si>
    <t>17449987</t>
  </si>
  <si>
    <t>Dermatitis</t>
  </si>
  <si>
    <t>17103568</t>
  </si>
  <si>
    <t>21625220</t>
  </si>
  <si>
    <t>Journal of Public Health (Germany)</t>
  </si>
  <si>
    <t>09431853</t>
  </si>
  <si>
    <t>16132238</t>
  </si>
  <si>
    <t>Polish Journal of Microbiology</t>
  </si>
  <si>
    <t>17331331</t>
  </si>
  <si>
    <t>Vascular</t>
  </si>
  <si>
    <t>17085381</t>
  </si>
  <si>
    <t>1708539X</t>
  </si>
  <si>
    <t>Archives of Disease in Childhood: Education and Practice Edition</t>
  </si>
  <si>
    <t>17430585</t>
  </si>
  <si>
    <t>17430593</t>
  </si>
  <si>
    <t>AAPS PharmSciTech</t>
  </si>
  <si>
    <t>15309932</t>
  </si>
  <si>
    <t>Journal of Toxicologic Pathology</t>
  </si>
  <si>
    <t>09149198</t>
  </si>
  <si>
    <t>Japanese Society of Toxicologic Pathology</t>
  </si>
  <si>
    <t>Journal of Minimal Access Surgery</t>
  </si>
  <si>
    <t>09729941</t>
  </si>
  <si>
    <t>19983921</t>
  </si>
  <si>
    <t>BMC Medicine</t>
  </si>
  <si>
    <t>17417015</t>
  </si>
  <si>
    <t>Clinical and Molecular Allergy</t>
  </si>
  <si>
    <t>14767961</t>
  </si>
  <si>
    <t>Cost Effectiveness and Resource Allocation</t>
  </si>
  <si>
    <t>14787547</t>
  </si>
  <si>
    <t>Genetic Vaccines and Therapy</t>
  </si>
  <si>
    <t>14790556</t>
  </si>
  <si>
    <t>Harm Reduction Journal</t>
  </si>
  <si>
    <t>14777517</t>
  </si>
  <si>
    <t>Health and Quality of Life Outcomes</t>
  </si>
  <si>
    <t>14777525</t>
  </si>
  <si>
    <t>Health Research Policy and Systems</t>
  </si>
  <si>
    <t>14784505</t>
  </si>
  <si>
    <t>International Journal of Behavioral Nutrition and Physical Activity</t>
  </si>
  <si>
    <t>14795868</t>
  </si>
  <si>
    <t>Journal of Circadian Rhythms</t>
  </si>
  <si>
    <t>17403391</t>
  </si>
  <si>
    <t>Journal of Neuroinflammation</t>
  </si>
  <si>
    <t>17422094</t>
  </si>
  <si>
    <t>Journal of Translational Medicine</t>
  </si>
  <si>
    <t>14795876</t>
  </si>
  <si>
    <t>Population Health Metrics</t>
  </si>
  <si>
    <t>14787954</t>
  </si>
  <si>
    <t>Reproductive Biology and Endocrinology</t>
  </si>
  <si>
    <t>14777827</t>
  </si>
  <si>
    <t>Retrovirology</t>
  </si>
  <si>
    <t>17424690</t>
  </si>
  <si>
    <t>Thrombosis Journal</t>
  </si>
  <si>
    <t>14779560</t>
  </si>
  <si>
    <t>World Journal of Surgical Oncology</t>
  </si>
  <si>
    <t>14777819</t>
  </si>
  <si>
    <t>Statistical Applications in Genetics and Molecular Biology</t>
  </si>
  <si>
    <t>15446115</t>
  </si>
  <si>
    <t>Indian Journal of Medical Research, Supplement</t>
  </si>
  <si>
    <t>03679012</t>
  </si>
  <si>
    <t>Acta Anaesthesiologica Taiwanica</t>
  </si>
  <si>
    <t>18754597</t>
  </si>
  <si>
    <t>1875452X</t>
  </si>
  <si>
    <t>Thoracic Surgery Clinics</t>
  </si>
  <si>
    <t>15474127</t>
  </si>
  <si>
    <t>Quarterly Journal of Nuclear Medicine and Molecular Imaging</t>
  </si>
  <si>
    <t>18244785</t>
  </si>
  <si>
    <t>Journal fur Reproduktionsmedizin und Endokrinologie</t>
  </si>
  <si>
    <t>18102107</t>
  </si>
  <si>
    <t>18109292</t>
  </si>
  <si>
    <t>European Radiology, Supplement</t>
  </si>
  <si>
    <t>16133749</t>
  </si>
  <si>
    <t>16133757</t>
  </si>
  <si>
    <t>Rejuvenation Research</t>
  </si>
  <si>
    <t>15491684</t>
  </si>
  <si>
    <t>15578577</t>
  </si>
  <si>
    <t>Molecular Pharmaceutics</t>
  </si>
  <si>
    <t>15438384</t>
  </si>
  <si>
    <t>15438392</t>
  </si>
  <si>
    <t>Trends in Medicine</t>
  </si>
  <si>
    <t>15942848</t>
  </si>
  <si>
    <t>Pharma Project Group Edizioni Scientifiche (PPG)</t>
  </si>
  <si>
    <t>Clinical Psychopharmacology and Neuroscience</t>
  </si>
  <si>
    <t>17381088</t>
  </si>
  <si>
    <t>20934327</t>
  </si>
  <si>
    <t>Korean College of Neuropsychopharmacology</t>
  </si>
  <si>
    <t>Genomics, Proteomics and Bioinformatics</t>
  </si>
  <si>
    <t>16720229</t>
  </si>
  <si>
    <t>22103244</t>
  </si>
  <si>
    <t>Beijing Genomics Institute</t>
  </si>
  <si>
    <t>Cancer Genomics and Proteomics</t>
  </si>
  <si>
    <t>11096535</t>
  </si>
  <si>
    <t>17906245</t>
  </si>
  <si>
    <t>Clinical Proteomics</t>
  </si>
  <si>
    <t>15426416</t>
  </si>
  <si>
    <t>15590275</t>
  </si>
  <si>
    <t>Hereditary Cancer in Clinical Practice</t>
  </si>
  <si>
    <t>17312302</t>
  </si>
  <si>
    <t>18974287</t>
  </si>
  <si>
    <t>JNCCN Journal of the National Comprehensive Cancer Network</t>
  </si>
  <si>
    <t>15401405</t>
  </si>
  <si>
    <t>15401413</t>
  </si>
  <si>
    <t>Harborside Press</t>
  </si>
  <si>
    <t>Cancer Biology and Therapy</t>
  </si>
  <si>
    <t>15384047</t>
  </si>
  <si>
    <t>15558576</t>
  </si>
  <si>
    <t>Landes Bioscience</t>
  </si>
  <si>
    <t>Clinical Cases in Mineral and Bone Metabolism</t>
  </si>
  <si>
    <t>17248914</t>
  </si>
  <si>
    <t>19713266</t>
  </si>
  <si>
    <t>Clinical Case Studies</t>
  </si>
  <si>
    <t>15346501</t>
  </si>
  <si>
    <t>15523802</t>
  </si>
  <si>
    <t>Netherlands Heart Journal</t>
  </si>
  <si>
    <t>15685888</t>
  </si>
  <si>
    <t>18766250</t>
  </si>
  <si>
    <t>Foodborne Pathogens and Disease</t>
  </si>
  <si>
    <t>15353141</t>
  </si>
  <si>
    <t>15567125</t>
  </si>
  <si>
    <t>International Journal of Lower Extremity Wounds</t>
  </si>
  <si>
    <t>15347346</t>
  </si>
  <si>
    <t>15526941</t>
  </si>
  <si>
    <t>European Journal of General Medicine</t>
  </si>
  <si>
    <t>13043889</t>
  </si>
  <si>
    <t>TIP ARASTIRMALARI DERNEGI</t>
  </si>
  <si>
    <t>Chinese Journal of Integrative Medicine</t>
  </si>
  <si>
    <t>16720415</t>
  </si>
  <si>
    <t>19930402</t>
  </si>
  <si>
    <t>Chinese Journal of Integrated Traditional and Western Medicine Press</t>
  </si>
  <si>
    <t>Chinese Journal of Evidence-Based Medicine</t>
  </si>
  <si>
    <t>16722531</t>
  </si>
  <si>
    <t>West China University of Medical Science</t>
  </si>
  <si>
    <t>International Journal of Osteopathic Medicine</t>
  </si>
  <si>
    <t>17460689</t>
  </si>
  <si>
    <t>18780164</t>
  </si>
  <si>
    <t>Journal of Pediatric Neurology</t>
  </si>
  <si>
    <t>13042580</t>
  </si>
  <si>
    <t>13050613</t>
  </si>
  <si>
    <t>Pediatric Endocrinology Reviews</t>
  </si>
  <si>
    <t>15654753</t>
  </si>
  <si>
    <t>YS Medical Media Ltd.</t>
  </si>
  <si>
    <t>Journal of Child and Adolescent Mental Health</t>
  </si>
  <si>
    <t>17280583</t>
  </si>
  <si>
    <t>17280591</t>
  </si>
  <si>
    <t>Cell Cycle</t>
  </si>
  <si>
    <t>15384101</t>
  </si>
  <si>
    <t>15514005</t>
  </si>
  <si>
    <t>Organogenesis</t>
  </si>
  <si>
    <t>15476278</t>
  </si>
  <si>
    <t>15558592</t>
  </si>
  <si>
    <t>RNA Biology</t>
  </si>
  <si>
    <t>15476286</t>
  </si>
  <si>
    <t>15558584</t>
  </si>
  <si>
    <t>Advances in Anatomic Pathology</t>
  </si>
  <si>
    <t>10724109</t>
  </si>
  <si>
    <t>15334031</t>
  </si>
  <si>
    <t>International Wound Journal</t>
  </si>
  <si>
    <t>17424801</t>
  </si>
  <si>
    <t>1742481X</t>
  </si>
  <si>
    <t>Journal of Psychotherapy Integration</t>
  </si>
  <si>
    <t>10530479</t>
  </si>
  <si>
    <t>15733696</t>
  </si>
  <si>
    <t>Journal of Medicinal Plants</t>
  </si>
  <si>
    <t>16840240</t>
  </si>
  <si>
    <t>Institute of Medicinal Plants</t>
  </si>
  <si>
    <t>PERS</t>
  </si>
  <si>
    <t>PERS/ENGL</t>
  </si>
  <si>
    <t>Journal of Immunotoxicology</t>
  </si>
  <si>
    <t>1547691X</t>
  </si>
  <si>
    <t>COPD: Journal of Chronic Obstructive Pulmonary Disease</t>
  </si>
  <si>
    <t>15412555</t>
  </si>
  <si>
    <t>15412563</t>
  </si>
  <si>
    <t>Evidence-based Complementary and Alternative Medicine</t>
  </si>
  <si>
    <t>1741427X</t>
  </si>
  <si>
    <t>17414288</t>
  </si>
  <si>
    <t>Current Drug Discovery Technologies</t>
  </si>
  <si>
    <t>15701638</t>
  </si>
  <si>
    <t>18756220</t>
  </si>
  <si>
    <t>Current Proteomics</t>
  </si>
  <si>
    <t>15701646</t>
  </si>
  <si>
    <t>Current Drug Delivery</t>
  </si>
  <si>
    <t>15672018</t>
  </si>
  <si>
    <t>18755704</t>
  </si>
  <si>
    <t>Letters in Drug Design and Discovery</t>
  </si>
  <si>
    <t>15701808</t>
  </si>
  <si>
    <t>1875628X</t>
  </si>
  <si>
    <t>Current Neurovascular Research</t>
  </si>
  <si>
    <t>15672026</t>
  </si>
  <si>
    <t>18755739</t>
  </si>
  <si>
    <t>Current Alzheimer Research</t>
  </si>
  <si>
    <t>15672050</t>
  </si>
  <si>
    <t>18755828</t>
  </si>
  <si>
    <t>Neuron Glia Biology</t>
  </si>
  <si>
    <t>1740925X</t>
  </si>
  <si>
    <t>17410533</t>
  </si>
  <si>
    <t>Neurocritical Care</t>
  </si>
  <si>
    <t>15416933</t>
  </si>
  <si>
    <t>15560961</t>
  </si>
  <si>
    <t>Clinical Diabetes</t>
  </si>
  <si>
    <t>08918929</t>
  </si>
  <si>
    <t>Diabetes Spectrum</t>
  </si>
  <si>
    <t>10409165</t>
  </si>
  <si>
    <t>19447353</t>
  </si>
  <si>
    <t>Expert Review of Proteomics</t>
  </si>
  <si>
    <t>14789450</t>
  </si>
  <si>
    <t>17448387</t>
  </si>
  <si>
    <t>Photodiagnosis and Photodynamic Therapy</t>
  </si>
  <si>
    <t>15721000</t>
  </si>
  <si>
    <t>18731597</t>
  </si>
  <si>
    <t>Postepy Dermatologii i Alergologii</t>
  </si>
  <si>
    <t>1642395X</t>
  </si>
  <si>
    <t>JACR Journal of the American College of Radiology</t>
  </si>
  <si>
    <t>15461440</t>
  </si>
  <si>
    <t>1558349X</t>
  </si>
  <si>
    <t>Przeglad Menopauzalny</t>
  </si>
  <si>
    <t>16438876</t>
  </si>
  <si>
    <t>22990038</t>
  </si>
  <si>
    <t>Wspolczesna Onkologia</t>
  </si>
  <si>
    <t>14282526</t>
  </si>
  <si>
    <t>13000292</t>
  </si>
  <si>
    <t>Dermatologia Kliniczna</t>
  </si>
  <si>
    <t>17307201</t>
  </si>
  <si>
    <t>Ocular Surface</t>
  </si>
  <si>
    <t>15420124</t>
  </si>
  <si>
    <t>Zeitschrift fur Gefassmedizin</t>
  </si>
  <si>
    <t>18129501</t>
  </si>
  <si>
    <t>1812951X</t>
  </si>
  <si>
    <t>Drug Discovery World</t>
  </si>
  <si>
    <t>14694344</t>
  </si>
  <si>
    <t>RJ Communications and Media Ltd.</t>
  </si>
  <si>
    <t>HIV and AIDS Review</t>
  </si>
  <si>
    <t>17301270</t>
  </si>
  <si>
    <t>Pediatric Critical Care Medicine</t>
  </si>
  <si>
    <t>15297535</t>
  </si>
  <si>
    <t>19473893</t>
  </si>
  <si>
    <t>Journal of Research in Medical Sciences</t>
  </si>
  <si>
    <t>17351995</t>
  </si>
  <si>
    <t>17357136</t>
  </si>
  <si>
    <t>Isfahan University of Medical Sciences(IUMS)</t>
  </si>
  <si>
    <t>Journal fur Gastroenterologische und Hepatologische Erkrankungen</t>
  </si>
  <si>
    <t>17286263</t>
  </si>
  <si>
    <t>17286271</t>
  </si>
  <si>
    <t>Journal of Sexual Medicine</t>
  </si>
  <si>
    <t>17436095</t>
  </si>
  <si>
    <t>17436109</t>
  </si>
  <si>
    <t>European Journal of Medical Research</t>
  </si>
  <si>
    <t>09492321</t>
  </si>
  <si>
    <t>2047783X</t>
  </si>
  <si>
    <t>Seksuologia Polska</t>
  </si>
  <si>
    <t>17316677</t>
  </si>
  <si>
    <t>17319544</t>
  </si>
  <si>
    <t>Journal of Postgraduate Medical Institute</t>
  </si>
  <si>
    <t>10135472</t>
  </si>
  <si>
    <t>18119387</t>
  </si>
  <si>
    <t>Postgraduate Medical Institute</t>
  </si>
  <si>
    <t>Fizjoterapia</t>
  </si>
  <si>
    <t>12308323</t>
  </si>
  <si>
    <t>Academy of Physical Education</t>
  </si>
  <si>
    <t>Scandinavian Psychoanalytic Review</t>
  </si>
  <si>
    <t>01062301</t>
  </si>
  <si>
    <t>16000803</t>
  </si>
  <si>
    <t>Taylor and Francis</t>
  </si>
  <si>
    <t>Toxicology International</t>
  </si>
  <si>
    <t>09716580</t>
  </si>
  <si>
    <t>09765131</t>
  </si>
  <si>
    <t>Mid-Taiwan Journal of Medicine</t>
  </si>
  <si>
    <t>10293507</t>
  </si>
  <si>
    <t>Japan Medical Association Journal</t>
  </si>
  <si>
    <t>13468650</t>
  </si>
  <si>
    <t>Japan Medical Association</t>
  </si>
  <si>
    <t>Revista Espanola de Obesidad</t>
  </si>
  <si>
    <t>16966112</t>
  </si>
  <si>
    <t>Spanish Publishers Associate</t>
  </si>
  <si>
    <t>Chinese Journal of Endemiology</t>
  </si>
  <si>
    <t>10004955</t>
  </si>
  <si>
    <t>Journal of Jilin University Medicine Edition</t>
  </si>
  <si>
    <t>1671587X</t>
  </si>
  <si>
    <t>Jilin University Press</t>
  </si>
  <si>
    <t>Norsk Epidemiologi</t>
  </si>
  <si>
    <t>08032491</t>
  </si>
  <si>
    <t>Norwegian Epidemiological Society</t>
  </si>
  <si>
    <t>NOR</t>
  </si>
  <si>
    <t>NORW/ENGL</t>
  </si>
  <si>
    <t>Journal, Indian Academy of Clinical Medicine</t>
  </si>
  <si>
    <t>09723560</t>
  </si>
  <si>
    <t>Indian Academy of Clinical Medicine</t>
  </si>
  <si>
    <t>Revista de Nefrologia, Dialisis y Trasplante</t>
  </si>
  <si>
    <t>03263428</t>
  </si>
  <si>
    <t>Asociacion Regional de Dialisi y Transplantes Renales</t>
  </si>
  <si>
    <t>E-flow PDF Asociacion Regional de Dialisis y Transplantes Renales</t>
  </si>
  <si>
    <t>Oncology Report</t>
  </si>
  <si>
    <t>15485323</t>
  </si>
  <si>
    <t>Diagnostic and Interventional Radiology</t>
  </si>
  <si>
    <t>13053825</t>
  </si>
  <si>
    <t>13053612</t>
  </si>
  <si>
    <t>Taiwanese Journal of Obstetrics and Gynecology</t>
  </si>
  <si>
    <t>10284559</t>
  </si>
  <si>
    <t>18756263</t>
  </si>
  <si>
    <t>Journal of the Nepal Medical Association</t>
  </si>
  <si>
    <t>00282715</t>
  </si>
  <si>
    <t>Nepal Medical Association</t>
  </si>
  <si>
    <t>NPL</t>
  </si>
  <si>
    <t>Chinese Journal of Contemporary Pediatrics</t>
  </si>
  <si>
    <t>10088830</t>
  </si>
  <si>
    <t>Xiangya Hospital of CSU</t>
  </si>
  <si>
    <t>Matronas Profesion</t>
  </si>
  <si>
    <t>15780740</t>
  </si>
  <si>
    <t>Farmaceutico Hospitales</t>
  </si>
  <si>
    <t>02144697</t>
  </si>
  <si>
    <t>Neuroforum</t>
  </si>
  <si>
    <t>09470875</t>
  </si>
  <si>
    <t>Maternal and Child Nutrition</t>
  </si>
  <si>
    <t>17408695</t>
  </si>
  <si>
    <t>17408709</t>
  </si>
  <si>
    <t>Expert Opinion on Drug Delivery</t>
  </si>
  <si>
    <t>17425247</t>
  </si>
  <si>
    <t>17447593</t>
  </si>
  <si>
    <t>Journal of Radiology Nursing</t>
  </si>
  <si>
    <t>15460843</t>
  </si>
  <si>
    <t>15559912</t>
  </si>
  <si>
    <t>Gynakologische Endokrinologie</t>
  </si>
  <si>
    <t>16102894</t>
  </si>
  <si>
    <t>16102908</t>
  </si>
  <si>
    <t>Nature Methods</t>
  </si>
  <si>
    <t>15487091</t>
  </si>
  <si>
    <t>15487105</t>
  </si>
  <si>
    <t>PLoS Medicine</t>
  </si>
  <si>
    <t>15491277</t>
  </si>
  <si>
    <t>15491676</t>
  </si>
  <si>
    <t>South African Family Practice</t>
  </si>
  <si>
    <t>1726426X</t>
  </si>
  <si>
    <t>Chronic Respiratory Disease</t>
  </si>
  <si>
    <t>14799723</t>
  </si>
  <si>
    <t>14799731</t>
  </si>
  <si>
    <t>Expert Review of Medical Devices</t>
  </si>
  <si>
    <t>17434440</t>
  </si>
  <si>
    <t>17452422</t>
  </si>
  <si>
    <t>Clinical Trials</t>
  </si>
  <si>
    <t>17407745</t>
  </si>
  <si>
    <t>17407753</t>
  </si>
  <si>
    <t>Drug Discovery Today: Disease Mechanisms</t>
  </si>
  <si>
    <t>17406765</t>
  </si>
  <si>
    <t>Drug Discovery Today: Disease Models</t>
  </si>
  <si>
    <t>17406757</t>
  </si>
  <si>
    <t>Drug Discovery Today: Technologies</t>
  </si>
  <si>
    <t>17406749</t>
  </si>
  <si>
    <t>Drug Discovery Today: Therapeutic Strategies</t>
  </si>
  <si>
    <t>17406773</t>
  </si>
  <si>
    <t>Sinapse</t>
  </si>
  <si>
    <t>1645281X</t>
  </si>
  <si>
    <t>Sociedade Portuguesa de Neurologia</t>
  </si>
  <si>
    <t>High Blood Pressure and Cardiovascular Prevention</t>
  </si>
  <si>
    <t>11209879</t>
  </si>
  <si>
    <t>11791985</t>
  </si>
  <si>
    <t>Esophagus</t>
  </si>
  <si>
    <t>16129059</t>
  </si>
  <si>
    <t>16129067</t>
  </si>
  <si>
    <t>Cognitive Processing</t>
  </si>
  <si>
    <t>16124782</t>
  </si>
  <si>
    <t>16124790</t>
  </si>
  <si>
    <t>Gynecological Surgery</t>
  </si>
  <si>
    <t>16132076</t>
  </si>
  <si>
    <t>16132084</t>
  </si>
  <si>
    <t>Phytotherapie</t>
  </si>
  <si>
    <t>16248597</t>
  </si>
  <si>
    <t>17652847</t>
  </si>
  <si>
    <t>Community Oncology</t>
  </si>
  <si>
    <t>15485315</t>
  </si>
  <si>
    <t>Gender Medicine</t>
  </si>
  <si>
    <t>15508579</t>
  </si>
  <si>
    <t>18787398</t>
  </si>
  <si>
    <t>Journal of Generic Medicines</t>
  </si>
  <si>
    <t>17411343</t>
  </si>
  <si>
    <t>17417090</t>
  </si>
  <si>
    <t>Human Genomics</t>
  </si>
  <si>
    <t>14739542</t>
  </si>
  <si>
    <t>14797364</t>
  </si>
  <si>
    <t>Diabetes and Vascular Disease Research</t>
  </si>
  <si>
    <t>14791641</t>
  </si>
  <si>
    <t>17528984</t>
  </si>
  <si>
    <t>International Journal of Medical Sciences</t>
  </si>
  <si>
    <t>14491907</t>
  </si>
  <si>
    <t>Ivyspring International Publisher</t>
  </si>
  <si>
    <t>Postepy Rehabilitacji</t>
  </si>
  <si>
    <t>08606161</t>
  </si>
  <si>
    <t>Przeglad Geofizyczny</t>
  </si>
  <si>
    <t>Journal of Dual Diagnosis</t>
  </si>
  <si>
    <t>15504263</t>
  </si>
  <si>
    <t>15504271</t>
  </si>
  <si>
    <t>World Journal of Biological Psychiatry</t>
  </si>
  <si>
    <t>15622975</t>
  </si>
  <si>
    <t>18141412</t>
  </si>
  <si>
    <t>Marine Drugs</t>
  </si>
  <si>
    <t>16603397</t>
  </si>
  <si>
    <t>Pharmaceuticals</t>
  </si>
  <si>
    <t>14248247</t>
  </si>
  <si>
    <t>International Journal of Environmental Research and Public Health</t>
  </si>
  <si>
    <t>16617827</t>
  </si>
  <si>
    <t>16604601</t>
  </si>
  <si>
    <t>Zeitschrift fur Epileptologie</t>
  </si>
  <si>
    <t>16176782</t>
  </si>
  <si>
    <t>16100646</t>
  </si>
  <si>
    <t>Fuss und Sprunggelenk</t>
  </si>
  <si>
    <t>16199987</t>
  </si>
  <si>
    <t>16199995</t>
  </si>
  <si>
    <t>Annals of African Medicine</t>
  </si>
  <si>
    <t>15963519</t>
  </si>
  <si>
    <t>09755764</t>
  </si>
  <si>
    <t>African Health Sciences</t>
  </si>
  <si>
    <t>16806905</t>
  </si>
  <si>
    <t>Makerere University, Medical School</t>
  </si>
  <si>
    <t>UGA</t>
  </si>
  <si>
    <t>Rivista Italiana di Medicina dell'Adolescenza</t>
  </si>
  <si>
    <t>20350678</t>
  </si>
  <si>
    <t>Gerokomos</t>
  </si>
  <si>
    <t>1134928X</t>
  </si>
  <si>
    <t>Chemistry and Biodiversity</t>
  </si>
  <si>
    <t>16121872</t>
  </si>
  <si>
    <t>16121880</t>
  </si>
  <si>
    <t>Clinical Advances in Hematology and Oncology</t>
  </si>
  <si>
    <t>15430790</t>
  </si>
  <si>
    <t>Millennium Medical Publishing, Inc.</t>
  </si>
  <si>
    <t>Biosciences Biotechnology Research Asia</t>
  </si>
  <si>
    <t>09731245</t>
  </si>
  <si>
    <t>Oriental Scientific Publishing Company</t>
  </si>
  <si>
    <t>Oriental Scientific Publishing Copmpany</t>
  </si>
  <si>
    <t>Journal of Applied Biomedicine</t>
  </si>
  <si>
    <t>1214021X</t>
  </si>
  <si>
    <t>12140287</t>
  </si>
  <si>
    <t>University of South Bohemia</t>
  </si>
  <si>
    <t>RAS - Radioloski Arhiv Srbije</t>
  </si>
  <si>
    <t>03541452</t>
  </si>
  <si>
    <t>Serbian Medical association-society of diagnostic radiology</t>
  </si>
  <si>
    <t>SERB</t>
  </si>
  <si>
    <t>Motor Control</t>
  </si>
  <si>
    <t>10871640</t>
  </si>
  <si>
    <t>15432696</t>
  </si>
  <si>
    <t>Korean Journal of Urology</t>
  </si>
  <si>
    <t>20056737</t>
  </si>
  <si>
    <t>20056745</t>
  </si>
  <si>
    <t>Korean Urological Association</t>
  </si>
  <si>
    <t>National Medical Journal of China</t>
  </si>
  <si>
    <t>03762491</t>
  </si>
  <si>
    <t>Biotechnology and Bioprocess Engineering</t>
  </si>
  <si>
    <t>12268372</t>
  </si>
  <si>
    <t>19763816</t>
  </si>
  <si>
    <t>Korean Society for Biotechnology and Bioengineering</t>
  </si>
  <si>
    <t>Journal of Inflammation (United Kingdom)</t>
  </si>
  <si>
    <t>14769255</t>
  </si>
  <si>
    <t>Journal of NeuroEngineering and Rehabilitation</t>
  </si>
  <si>
    <t>17430003</t>
  </si>
  <si>
    <t>Nutrition and Metabolism</t>
  </si>
  <si>
    <t>17437075</t>
  </si>
  <si>
    <t>Reproductive Health</t>
  </si>
  <si>
    <t>17424755</t>
  </si>
  <si>
    <t>Virology Journal</t>
  </si>
  <si>
    <t>1743422X</t>
  </si>
  <si>
    <t>CytoJournal</t>
  </si>
  <si>
    <t>09745963</t>
  </si>
  <si>
    <t>17426413</t>
  </si>
  <si>
    <t>Emerging Themes in Epidemiology</t>
  </si>
  <si>
    <t>17427622</t>
  </si>
  <si>
    <t>Epidemiologic Perspectives and Innovations</t>
  </si>
  <si>
    <t>17425573</t>
  </si>
  <si>
    <t>Journal of Experimental and Clinical Assisted Reproduction</t>
  </si>
  <si>
    <t>17431050</t>
  </si>
  <si>
    <t>Sims Institute Press Ltd</t>
  </si>
  <si>
    <t>Purinergic Signalling</t>
  </si>
  <si>
    <t>15739538</t>
  </si>
  <si>
    <t>15739546</t>
  </si>
  <si>
    <t>Metabolomics</t>
  </si>
  <si>
    <t>15733882</t>
  </si>
  <si>
    <t>15733890</t>
  </si>
  <si>
    <t>Chinese-German Journal of Clinical Oncology</t>
  </si>
  <si>
    <t>16101979</t>
  </si>
  <si>
    <t>16139089</t>
  </si>
  <si>
    <t>Notfall und Rettungsmedizin</t>
  </si>
  <si>
    <t>14346222</t>
  </si>
  <si>
    <t>14360578</t>
  </si>
  <si>
    <t>Pneumologe</t>
  </si>
  <si>
    <t>16135636</t>
  </si>
  <si>
    <t>16136055</t>
  </si>
  <si>
    <t>Seminars in Fetal and Neonatal Medicine</t>
  </si>
  <si>
    <t>1744165X</t>
  </si>
  <si>
    <t>18780946</t>
  </si>
  <si>
    <t>FEBS Journal</t>
  </si>
  <si>
    <t>1742464X</t>
  </si>
  <si>
    <t>17424658</t>
  </si>
  <si>
    <t>Clinical Nutrition, Supplement</t>
  </si>
  <si>
    <t>17441161</t>
  </si>
  <si>
    <t>18783368</t>
  </si>
  <si>
    <t>Lijecnicki Vjesnik, Supplement</t>
  </si>
  <si>
    <t>13304917</t>
  </si>
  <si>
    <t>Urednistvu Lijecnickog Vjesnika</t>
  </si>
  <si>
    <t>Lijecnicki Vjesnik</t>
  </si>
  <si>
    <t>International Journal of Immunogenetics</t>
  </si>
  <si>
    <t>17443121</t>
  </si>
  <si>
    <t>1744313X</t>
  </si>
  <si>
    <t>Fetal and Pediatric Pathology</t>
  </si>
  <si>
    <t>15513815</t>
  </si>
  <si>
    <t>15513823</t>
  </si>
  <si>
    <t>Journal for Vascular Ultrasound</t>
  </si>
  <si>
    <t>15443167</t>
  </si>
  <si>
    <t>Society of Vascular Ultrasound</t>
  </si>
  <si>
    <t>Annals of General Psychiatry</t>
  </si>
  <si>
    <t>1744859X</t>
  </si>
  <si>
    <t>Surgical Innovation</t>
  </si>
  <si>
    <t>15533506</t>
  </si>
  <si>
    <t>15533514</t>
  </si>
  <si>
    <t>Medicina Oral, Patologia Oral y Cirugia Bucal</t>
  </si>
  <si>
    <t>16984447</t>
  </si>
  <si>
    <t>16986946</t>
  </si>
  <si>
    <t>Twin Research and Human Genetics</t>
  </si>
  <si>
    <t>18324274</t>
  </si>
  <si>
    <t>Journal of Intellectual Disabilities</t>
  </si>
  <si>
    <t>17446295</t>
  </si>
  <si>
    <t>17446309</t>
  </si>
  <si>
    <t>Clinical Otolaryngology</t>
  </si>
  <si>
    <t>17494478</t>
  </si>
  <si>
    <t>17494486</t>
  </si>
  <si>
    <t>Pharmacogenetics and Genomics</t>
  </si>
  <si>
    <t>17446872</t>
  </si>
  <si>
    <t>17446880</t>
  </si>
  <si>
    <t>Pharmacological Reports</t>
  </si>
  <si>
    <t>17341140</t>
  </si>
  <si>
    <t>Polish Academy of Sciences</t>
  </si>
  <si>
    <t>Cardiovascular Revascularization Medicine</t>
  </si>
  <si>
    <t>15538389</t>
  </si>
  <si>
    <t>18780938</t>
  </si>
  <si>
    <t>European Journal of Medical Genetics</t>
  </si>
  <si>
    <t>17697212</t>
  </si>
  <si>
    <t>18780849</t>
  </si>
  <si>
    <t>Contemporary Clinical Trials</t>
  </si>
  <si>
    <t>15517144</t>
  </si>
  <si>
    <t>15592030</t>
  </si>
  <si>
    <t>Nanobiotechnology</t>
  </si>
  <si>
    <t>15511286</t>
  </si>
  <si>
    <t>15511294</t>
  </si>
  <si>
    <t>Journal of Cancer Research and Therapeutics</t>
  </si>
  <si>
    <t>09731482</t>
  </si>
  <si>
    <t>19984138</t>
  </si>
  <si>
    <t>Acta Orthopaedica</t>
  </si>
  <si>
    <t>17453674</t>
  </si>
  <si>
    <t>17453682</t>
  </si>
  <si>
    <t>Clinical Toxicology</t>
  </si>
  <si>
    <t>15563650</t>
  </si>
  <si>
    <t>15569519</t>
  </si>
  <si>
    <t>Toxin Reviews</t>
  </si>
  <si>
    <t>15569543</t>
  </si>
  <si>
    <t>15569551</t>
  </si>
  <si>
    <t>Cutaneous and Ocular Toxicology</t>
  </si>
  <si>
    <t>15569527</t>
  </si>
  <si>
    <t>15569535</t>
  </si>
  <si>
    <t>Journal of Minimally Invasive Gynecology</t>
  </si>
  <si>
    <t>15534650</t>
  </si>
  <si>
    <t>15534669</t>
  </si>
  <si>
    <t>Evidence-Based Ophthalmology</t>
  </si>
  <si>
    <t>15559203</t>
  </si>
  <si>
    <t>15559211</t>
  </si>
  <si>
    <t>Hong Kong Journal of Dermatology and Venereology</t>
  </si>
  <si>
    <t>18147453</t>
  </si>
  <si>
    <t>Surgical Practice</t>
  </si>
  <si>
    <t>17441625</t>
  </si>
  <si>
    <t>17441633</t>
  </si>
  <si>
    <t>Applied Biochemistry and Biotechnology</t>
  </si>
  <si>
    <t>02732289</t>
  </si>
  <si>
    <t>15590291</t>
  </si>
  <si>
    <t>Molecular Biotechnology</t>
  </si>
  <si>
    <t>10736085</t>
  </si>
  <si>
    <t>15590305</t>
  </si>
  <si>
    <t>Child and Adolescent Mental Health</t>
  </si>
  <si>
    <t>1475357X</t>
  </si>
  <si>
    <t>14753588</t>
  </si>
  <si>
    <t>International Journal of Peptide Research and Therapeutics</t>
  </si>
  <si>
    <t>15733149</t>
  </si>
  <si>
    <t>15733904</t>
  </si>
  <si>
    <t>Annali Italiani di Dermatologia Allergologica Clinica e Sperimentale</t>
  </si>
  <si>
    <t>15926826</t>
  </si>
  <si>
    <t>Monte Meru S.r.l.</t>
  </si>
  <si>
    <t>Monte Meru S.r.l</t>
  </si>
  <si>
    <t>Aktuelle Neurologie, Supplement</t>
  </si>
  <si>
    <t>14372754</t>
  </si>
  <si>
    <t>16117697</t>
  </si>
  <si>
    <t>Pharma Fokus Herz-Kreislauf</t>
  </si>
  <si>
    <t>18604730</t>
  </si>
  <si>
    <t>Zeitschrift fur Geburtshilfe und Neonatologie, Supplement</t>
  </si>
  <si>
    <t>16155300</t>
  </si>
  <si>
    <t>16155319</t>
  </si>
  <si>
    <t>Advances in Developmental Biology (Netherlands)</t>
  </si>
  <si>
    <t>15743349</t>
  </si>
  <si>
    <t>18755275</t>
  </si>
  <si>
    <t>Canadian Journal of Infectious Diseases and Medical Microbiology</t>
  </si>
  <si>
    <t>17129532</t>
  </si>
  <si>
    <t>Nephrologie et Therapeutique</t>
  </si>
  <si>
    <t>17697255</t>
  </si>
  <si>
    <t>18729177</t>
  </si>
  <si>
    <t>Advances in Pharmacology</t>
  </si>
  <si>
    <t>10543589</t>
  </si>
  <si>
    <t>15578925</t>
  </si>
  <si>
    <t>Annual Reports in Medicinal Chemistry</t>
  </si>
  <si>
    <t>00657743</t>
  </si>
  <si>
    <t>Developments in Biologicals</t>
  </si>
  <si>
    <t>14246074</t>
  </si>
  <si>
    <t>16622960</t>
  </si>
  <si>
    <t>Frontiers of Gastrointestinal Research</t>
  </si>
  <si>
    <t>03020665</t>
  </si>
  <si>
    <t>16623754</t>
  </si>
  <si>
    <t>Frontiers of Hormone Research</t>
  </si>
  <si>
    <t>03013073</t>
  </si>
  <si>
    <t>16623762</t>
  </si>
  <si>
    <t>Frontiers of Radiation Therapy and Oncology</t>
  </si>
  <si>
    <t>00719676</t>
  </si>
  <si>
    <t>16623789</t>
  </si>
  <si>
    <t>Profiles of Drug Substances, Excipients and Related Methodology</t>
  </si>
  <si>
    <t>18715125</t>
  </si>
  <si>
    <t>Progress in Medicinal Chemistry</t>
  </si>
  <si>
    <t>00796468</t>
  </si>
  <si>
    <t>18757863</t>
  </si>
  <si>
    <t>Acta Scientiarum - Biological Sciences</t>
  </si>
  <si>
    <t>16799283</t>
  </si>
  <si>
    <t>1807863X</t>
  </si>
  <si>
    <t>Eduem - Editora da Universidade Estadual de Maringa</t>
  </si>
  <si>
    <t>Acta Scientiarum - Health Sciences</t>
  </si>
  <si>
    <t>16799291</t>
  </si>
  <si>
    <t>18078648</t>
  </si>
  <si>
    <t>Acute Medicine</t>
  </si>
  <si>
    <t>17474884</t>
  </si>
  <si>
    <t>17474892</t>
  </si>
  <si>
    <t>European Journal of Heart Failure, Supplement</t>
  </si>
  <si>
    <t>15674215</t>
  </si>
  <si>
    <t>18781314</t>
  </si>
  <si>
    <t>Ethical Human Psychology and Psychiatry</t>
  </si>
  <si>
    <t>1523150X</t>
  </si>
  <si>
    <t>19389000</t>
  </si>
  <si>
    <t>Current Problems in Dermatology (Switzerland)</t>
  </si>
  <si>
    <t>14215721</t>
  </si>
  <si>
    <t>16622944</t>
  </si>
  <si>
    <t>New Zealand Public Health Surveillance Report</t>
  </si>
  <si>
    <t>11762888</t>
  </si>
  <si>
    <t>Institute of Environmental Science and Research Ltd</t>
  </si>
  <si>
    <t>Institute of Environ. Science and Research Ltd.</t>
  </si>
  <si>
    <t>Canadian Pharmacists Journal</t>
  </si>
  <si>
    <t>17151635</t>
  </si>
  <si>
    <t>1913701X</t>
  </si>
  <si>
    <t>Breast Care</t>
  </si>
  <si>
    <t>16613791</t>
  </si>
  <si>
    <t>16613805</t>
  </si>
  <si>
    <t>Nano Today</t>
  </si>
  <si>
    <t>17480132</t>
  </si>
  <si>
    <t>1878044X</t>
  </si>
  <si>
    <t>Current Nanoscience</t>
  </si>
  <si>
    <t>15734137</t>
  </si>
  <si>
    <t>18756786</t>
  </si>
  <si>
    <t>Nanomedicine: Nanotechnology, Biology, and Medicine</t>
  </si>
  <si>
    <t>15499634</t>
  </si>
  <si>
    <t>15499642</t>
  </si>
  <si>
    <t>Anti-Cancer Agents in Medicinal Chemistry</t>
  </si>
  <si>
    <t>18715206</t>
  </si>
  <si>
    <t>18755992</t>
  </si>
  <si>
    <t>Cardiovascular and Hematological Agents in Medicinal Chemistry</t>
  </si>
  <si>
    <t>18715257</t>
  </si>
  <si>
    <t>18756182</t>
  </si>
  <si>
    <t>Endocrine, Metabolic and Immune Disorders - Drug Targets</t>
  </si>
  <si>
    <t>18715303</t>
  </si>
  <si>
    <t>22123873</t>
  </si>
  <si>
    <t>Cardiovascular and Hematological Disorders - Drug Targets</t>
  </si>
  <si>
    <t>1871529X</t>
  </si>
  <si>
    <t>Inflammation and Allergy - Drug Targets</t>
  </si>
  <si>
    <t>18715281</t>
  </si>
  <si>
    <t>CNS and Neurological Disorders - Drug Targets</t>
  </si>
  <si>
    <t>18715273</t>
  </si>
  <si>
    <t>19963181</t>
  </si>
  <si>
    <t>Journal of Cardiovascular Medicine</t>
  </si>
  <si>
    <t>15582027</t>
  </si>
  <si>
    <t>15582035</t>
  </si>
  <si>
    <t>Giornale Italiano di Cardiologia</t>
  </si>
  <si>
    <t>18276806</t>
  </si>
  <si>
    <t>19726481</t>
  </si>
  <si>
    <t>Clinical Research in Cardiology</t>
  </si>
  <si>
    <t>18610684</t>
  </si>
  <si>
    <t>18610692</t>
  </si>
  <si>
    <t>Immunology, Endocrine and Metabolic Agents in Medicinal Chemistry</t>
  </si>
  <si>
    <t>18715222</t>
  </si>
  <si>
    <t>18756115</t>
  </si>
  <si>
    <t>Anti-Inflammatory and Anti-Allergy Agents in Medicinal Chemistry</t>
  </si>
  <si>
    <t>18715230</t>
  </si>
  <si>
    <t>1875614X</t>
  </si>
  <si>
    <t>Infectious Disorders - Drug Targets</t>
  </si>
  <si>
    <t>18715265</t>
  </si>
  <si>
    <t>18755852</t>
  </si>
  <si>
    <t>Central Nervous System Agents in Medicinal Chemistry</t>
  </si>
  <si>
    <t>18715249</t>
  </si>
  <si>
    <t>18756166</t>
  </si>
  <si>
    <t>Molecular Diagnosis and Therapy</t>
  </si>
  <si>
    <t>11771062</t>
  </si>
  <si>
    <t>11792000</t>
  </si>
  <si>
    <t>Revista Cubana de Hematologia, Inmunologia y Hemoterapia</t>
  </si>
  <si>
    <t>08640289</t>
  </si>
  <si>
    <t>15612996</t>
  </si>
  <si>
    <t>Kinesitherapie</t>
  </si>
  <si>
    <t>17790123</t>
  </si>
  <si>
    <t>Journal of Venomous Animals and Toxins Including Tropical Diseases</t>
  </si>
  <si>
    <t>16789180</t>
  </si>
  <si>
    <t>16789199</t>
  </si>
  <si>
    <t>Archivos de Medicina</t>
  </si>
  <si>
    <t>16989465</t>
  </si>
  <si>
    <t>Asociacion Espanola de Medicos Internos Residentes</t>
  </si>
  <si>
    <t>African Journal of Traditional, Complementary and Alternative Medicines</t>
  </si>
  <si>
    <t>01896016</t>
  </si>
  <si>
    <t>African Ethnomedicines Network</t>
  </si>
  <si>
    <t>Dansk Geologisk Forening</t>
  </si>
  <si>
    <t>Journal of Clinical Sleep Medicine</t>
  </si>
  <si>
    <t>15509389</t>
  </si>
  <si>
    <t>15509397</t>
  </si>
  <si>
    <t>American Academy of Sleep Medicine</t>
  </si>
  <si>
    <t>Journal of the American Pharmacists Association</t>
  </si>
  <si>
    <t>15443191</t>
  </si>
  <si>
    <t>15443450</t>
  </si>
  <si>
    <t>American Pharmacists Association</t>
  </si>
  <si>
    <t>Anadolu Psikiyatri Dergisi</t>
  </si>
  <si>
    <t>13026631</t>
  </si>
  <si>
    <t>Cukurova University, Faculty of Medicine</t>
  </si>
  <si>
    <t>Annual Review of Clinical Psychology</t>
  </si>
  <si>
    <t>15485943</t>
  </si>
  <si>
    <t>15485951</t>
  </si>
  <si>
    <t>Annual Review of Pathology: Mechanisms of Disease</t>
  </si>
  <si>
    <t>15534006</t>
  </si>
  <si>
    <t>15534014</t>
  </si>
  <si>
    <t>Expert Opinion on Drug Metabolism and Toxicology</t>
  </si>
  <si>
    <t>17425255</t>
  </si>
  <si>
    <t>17447607</t>
  </si>
  <si>
    <t>Pakistan Journal of Nutrition</t>
  </si>
  <si>
    <t>16805194</t>
  </si>
  <si>
    <t>Asian Network for Scientific Information</t>
  </si>
  <si>
    <t>International Journal of Cancer Research</t>
  </si>
  <si>
    <t>18119727</t>
  </si>
  <si>
    <t>18119735</t>
  </si>
  <si>
    <t>International Journal of Pharmacology</t>
  </si>
  <si>
    <t>18117775</t>
  </si>
  <si>
    <t>18125700</t>
  </si>
  <si>
    <t>Journal of Biological Sciences</t>
  </si>
  <si>
    <t>17273048</t>
  </si>
  <si>
    <t>18125719</t>
  </si>
  <si>
    <t>International Journal of Virology</t>
  </si>
  <si>
    <t>18164900</t>
  </si>
  <si>
    <t>Experimental and Clinical Transplantation</t>
  </si>
  <si>
    <t>13040855</t>
  </si>
  <si>
    <t>Baskent University</t>
  </si>
  <si>
    <t>Current Cancer Therapy Reviews</t>
  </si>
  <si>
    <t>15733947</t>
  </si>
  <si>
    <t>18756301</t>
  </si>
  <si>
    <t>Current Cardiology Reviews</t>
  </si>
  <si>
    <t>1573403X</t>
  </si>
  <si>
    <t>18756557</t>
  </si>
  <si>
    <t>Current Computer-Aided Drug Design</t>
  </si>
  <si>
    <t>15734099</t>
  </si>
  <si>
    <t>18756697</t>
  </si>
  <si>
    <t>Current Diabetes Reviews</t>
  </si>
  <si>
    <t>15733998</t>
  </si>
  <si>
    <t>18756417</t>
  </si>
  <si>
    <t>Current Enzyme Inhibition</t>
  </si>
  <si>
    <t>15734080</t>
  </si>
  <si>
    <t>18756662</t>
  </si>
  <si>
    <t>Current Hypertension Reviews</t>
  </si>
  <si>
    <t>15734021</t>
  </si>
  <si>
    <t>18756506</t>
  </si>
  <si>
    <t>Current Medical Imaging Reviews</t>
  </si>
  <si>
    <t>15734056</t>
  </si>
  <si>
    <t>Current Immunology Reviews</t>
  </si>
  <si>
    <t>15733955</t>
  </si>
  <si>
    <t>1875631X</t>
  </si>
  <si>
    <t>Current Nutrition and Food Science</t>
  </si>
  <si>
    <t>15734013</t>
  </si>
  <si>
    <t>22123881</t>
  </si>
  <si>
    <t>Current Pediatric Reviews</t>
  </si>
  <si>
    <t>15733963</t>
  </si>
  <si>
    <t>18756336</t>
  </si>
  <si>
    <t>Current Pharmaceutical Analysis</t>
  </si>
  <si>
    <t>15734129</t>
  </si>
  <si>
    <t>1875676X</t>
  </si>
  <si>
    <t>Current Psychiatry Reviews</t>
  </si>
  <si>
    <t>15734005</t>
  </si>
  <si>
    <t>18756441</t>
  </si>
  <si>
    <t>Current Respiratory Medicine Reviews</t>
  </si>
  <si>
    <t>1573398X</t>
  </si>
  <si>
    <t>18756387</t>
  </si>
  <si>
    <t>Current Rheumatology Reviews</t>
  </si>
  <si>
    <t>15733971</t>
  </si>
  <si>
    <t>18756360</t>
  </si>
  <si>
    <t>Current Women's Health Reviews</t>
  </si>
  <si>
    <t>15734048</t>
  </si>
  <si>
    <t>18756581</t>
  </si>
  <si>
    <t>Medicinal Chemistry</t>
  </si>
  <si>
    <t>15734064</t>
  </si>
  <si>
    <t>18756638</t>
  </si>
  <si>
    <t>Frontiers in Drug Design and Discovery</t>
  </si>
  <si>
    <t>15740889</t>
  </si>
  <si>
    <t>Frontiers in Medicinal Chemistry</t>
  </si>
  <si>
    <t>Journal of Complementary and Integrative Medicine</t>
  </si>
  <si>
    <t>15533840</t>
  </si>
  <si>
    <t>International Journal of Biostatistics</t>
  </si>
  <si>
    <t>15574679</t>
  </si>
  <si>
    <t>AIDS Research and Therapy</t>
  </si>
  <si>
    <t>17426405</t>
  </si>
  <si>
    <t>Behavioral and Brain Functions</t>
  </si>
  <si>
    <t>17449081</t>
  </si>
  <si>
    <t>Clinical Practice and Epidemiology in Mental Health</t>
  </si>
  <si>
    <t>17450179</t>
  </si>
  <si>
    <t>Globalization and Health</t>
  </si>
  <si>
    <t>17448603</t>
  </si>
  <si>
    <t>Immunity and Ageing</t>
  </si>
  <si>
    <t>17424933</t>
  </si>
  <si>
    <t>Molecular Pain</t>
  </si>
  <si>
    <t>17448069</t>
  </si>
  <si>
    <t>Cell Communication and Signaling</t>
  </si>
  <si>
    <t>1478811X</t>
  </si>
  <si>
    <t>Particle and Fibre Toxicology</t>
  </si>
  <si>
    <t>17438977</t>
  </si>
  <si>
    <t>International Journal of Stroke</t>
  </si>
  <si>
    <t>17474930</t>
  </si>
  <si>
    <t>17474949</t>
  </si>
  <si>
    <t>Congenital Heart Disease</t>
  </si>
  <si>
    <t>1747079X</t>
  </si>
  <si>
    <t>17470803</t>
  </si>
  <si>
    <t>Asia-Pacific Journal of Clinical Oncology</t>
  </si>
  <si>
    <t>17437555</t>
  </si>
  <si>
    <t>17437563</t>
  </si>
  <si>
    <t>Journal of Cosmetic Dermatology</t>
  </si>
  <si>
    <t>14732130</t>
  </si>
  <si>
    <t>14732165</t>
  </si>
  <si>
    <t>Breast Cancer Online</t>
  </si>
  <si>
    <t>14709031</t>
  </si>
  <si>
    <t>Journal of the Canadian Academy of Child and Adolescent Psychiatry</t>
  </si>
  <si>
    <t>17198429</t>
  </si>
  <si>
    <t>Canadian Academy of Child and Adolescent Psychiatry</t>
  </si>
  <si>
    <t>Cell Metabolism</t>
  </si>
  <si>
    <t>15504131</t>
  </si>
  <si>
    <t>19327420</t>
  </si>
  <si>
    <t>Acta Academiae Medicinae Sinicae</t>
  </si>
  <si>
    <t>1000503X</t>
  </si>
  <si>
    <t>China International Book Trading Corp</t>
  </si>
  <si>
    <t>Chinese Journal of Cerebrovascular Diseases</t>
  </si>
  <si>
    <t>16725921</t>
  </si>
  <si>
    <t>Society of China University Journals in Natural Sciences</t>
  </si>
  <si>
    <t>Acta Anatomica Sinica</t>
  </si>
  <si>
    <t>05291356</t>
  </si>
  <si>
    <t>Revista Medica de Rosario</t>
  </si>
  <si>
    <t>03275019</t>
  </si>
  <si>
    <t>18512135</t>
  </si>
  <si>
    <t>Circulo Medico de Rosario</t>
  </si>
  <si>
    <t>Core Evidence</t>
  </si>
  <si>
    <t>15551741</t>
  </si>
  <si>
    <t>Dove Medical Press Ltd</t>
  </si>
  <si>
    <t>Dove Medical Press Ltd.</t>
  </si>
  <si>
    <t>Colombia Medica</t>
  </si>
  <si>
    <t>01208322</t>
  </si>
  <si>
    <t>16579534</t>
  </si>
  <si>
    <t>Facultad de Salud de la Universidad del Valle</t>
  </si>
  <si>
    <t>Drugs in Context</t>
  </si>
  <si>
    <t>17451981</t>
  </si>
  <si>
    <t>17404398</t>
  </si>
  <si>
    <t>Just Medical Media Ltd.</t>
  </si>
  <si>
    <t>Sexual Health</t>
  </si>
  <si>
    <t>14485028</t>
  </si>
  <si>
    <t>14498987</t>
  </si>
  <si>
    <t>Current Heart Failure Reports</t>
  </si>
  <si>
    <t>15469530</t>
  </si>
  <si>
    <t>15469549</t>
  </si>
  <si>
    <t>Current Hepatitis Reports</t>
  </si>
  <si>
    <t>15403416</t>
  </si>
  <si>
    <t>15410706</t>
  </si>
  <si>
    <t>Current HIV/AIDS Reports</t>
  </si>
  <si>
    <t>15483568</t>
  </si>
  <si>
    <t>15483576</t>
  </si>
  <si>
    <t>Current Osteoporosis Reports</t>
  </si>
  <si>
    <t>15441873</t>
  </si>
  <si>
    <t>15442241</t>
  </si>
  <si>
    <t>Current Prostate Reports</t>
  </si>
  <si>
    <t>15441865</t>
  </si>
  <si>
    <t>1544225X</t>
  </si>
  <si>
    <t>Current Rheumatology Reports</t>
  </si>
  <si>
    <t>15233774</t>
  </si>
  <si>
    <t>15346307</t>
  </si>
  <si>
    <t>Current Sports Medicine Reports</t>
  </si>
  <si>
    <t>1537890X</t>
  </si>
  <si>
    <t>15378918</t>
  </si>
  <si>
    <t>Current Urology Reports</t>
  </si>
  <si>
    <t>15272737</t>
  </si>
  <si>
    <t>15346285</t>
  </si>
  <si>
    <t>Neuropsychiatric Disease and Treatment</t>
  </si>
  <si>
    <t>11766328</t>
  </si>
  <si>
    <t>11782021</t>
  </si>
  <si>
    <t>Therapeutics and Clinical Risk Management</t>
  </si>
  <si>
    <t>11766336</t>
  </si>
  <si>
    <t>1178203X</t>
  </si>
  <si>
    <t>Vascular Health and Risk Management</t>
  </si>
  <si>
    <t>11766344</t>
  </si>
  <si>
    <t>11782048</t>
  </si>
  <si>
    <t>Clinical and Translational Oncology</t>
  </si>
  <si>
    <t>1699048X</t>
  </si>
  <si>
    <t>16993055</t>
  </si>
  <si>
    <t>Reumatologia Clinica</t>
  </si>
  <si>
    <t>1699258X</t>
  </si>
  <si>
    <t>18851398</t>
  </si>
  <si>
    <t>Chinese Journal of Interventional Imaging and Therapy</t>
  </si>
  <si>
    <t>16728475</t>
  </si>
  <si>
    <t>Editorial Office - Chinese Journal of Interventional</t>
  </si>
  <si>
    <t>Chinese Journal of Medical Imaging Technology</t>
  </si>
  <si>
    <t>10033289</t>
  </si>
  <si>
    <t>Editorial Board of Chinese Journal of Medical Imaging Technology</t>
  </si>
  <si>
    <t>Journal of Chinese Integrative Medicine</t>
  </si>
  <si>
    <t>16721977</t>
  </si>
  <si>
    <t>Journal of integrative medicine editorial office, Science Press</t>
  </si>
  <si>
    <t>Journal of integrative medicine editorial office,Science Press</t>
  </si>
  <si>
    <t>Chinese Journal of Infection and Chemotherapy</t>
  </si>
  <si>
    <t>10097708</t>
  </si>
  <si>
    <t>Editorial Department of Chinese Journal of Infection</t>
  </si>
  <si>
    <t>Editorial Board of Chinese Journal of Infection</t>
  </si>
  <si>
    <t>Chinese Traditional and Herbal Drugs</t>
  </si>
  <si>
    <t>02532670</t>
  </si>
  <si>
    <t>Editorial Office of Chinese Traditional and</t>
  </si>
  <si>
    <t>Chinese Journal of Clinical Nutrition</t>
  </si>
  <si>
    <t>1674635X</t>
  </si>
  <si>
    <t>Editorial Office of Chinese Journal of</t>
  </si>
  <si>
    <t>Journal of Plastic Dermatology</t>
  </si>
  <si>
    <t>20350686</t>
  </si>
  <si>
    <t>Journal of Veterinary Cardiology</t>
  </si>
  <si>
    <t>17602734</t>
  </si>
  <si>
    <t>18750834</t>
  </si>
  <si>
    <t>Biomedical Signal Processing and Control</t>
  </si>
  <si>
    <t>17468094</t>
  </si>
  <si>
    <t>17468108</t>
  </si>
  <si>
    <t>Surgery for Obesity and Related Diseases</t>
  </si>
  <si>
    <t>15507289</t>
  </si>
  <si>
    <t>18787533</t>
  </si>
  <si>
    <t>Explore: The Journal of Science and Healing</t>
  </si>
  <si>
    <t>15508307</t>
  </si>
  <si>
    <t>18787541</t>
  </si>
  <si>
    <t>Alzheimer's and Dementia</t>
  </si>
  <si>
    <t>15525260</t>
  </si>
  <si>
    <t>15525279</t>
  </si>
  <si>
    <t>Comparative Biochemistry and Physiology - Part D: Genomics and Proteomics</t>
  </si>
  <si>
    <t>1744117X</t>
  </si>
  <si>
    <t>18780407</t>
  </si>
  <si>
    <t>Journal of Pediatric Urology</t>
  </si>
  <si>
    <t>14775131</t>
  </si>
  <si>
    <t>18734898</t>
  </si>
  <si>
    <t>Acta Biomaterialia</t>
  </si>
  <si>
    <t>17427061</t>
  </si>
  <si>
    <t>18787568</t>
  </si>
  <si>
    <t>Journal of Pharmacy of Istanbul University</t>
  </si>
  <si>
    <t>03677524</t>
  </si>
  <si>
    <t>University of Istanbul</t>
  </si>
  <si>
    <t>Psychogeriatria Polska</t>
  </si>
  <si>
    <t>17322642</t>
  </si>
  <si>
    <t>E-flow PDF Psychogeriatria Polska</t>
  </si>
  <si>
    <t>Expert Review of Clinical Immunology</t>
  </si>
  <si>
    <t>1744666X</t>
  </si>
  <si>
    <t>17448409</t>
  </si>
  <si>
    <t>Future Oncology</t>
  </si>
  <si>
    <t>14796694</t>
  </si>
  <si>
    <t>17448301</t>
  </si>
  <si>
    <t>Personalized Medicine</t>
  </si>
  <si>
    <t>17410541</t>
  </si>
  <si>
    <t>1744828X</t>
  </si>
  <si>
    <t>Future Cardiology</t>
  </si>
  <si>
    <t>14796678</t>
  </si>
  <si>
    <t>17448298</t>
  </si>
  <si>
    <t>Aging Health</t>
  </si>
  <si>
    <t>1745509X</t>
  </si>
  <si>
    <t>17455103</t>
  </si>
  <si>
    <t>Women's Health</t>
  </si>
  <si>
    <t>17455057</t>
  </si>
  <si>
    <t>17455065</t>
  </si>
  <si>
    <t>Gastroenterology and Hepatology</t>
  </si>
  <si>
    <t>15547914</t>
  </si>
  <si>
    <t>Gastro-Hep Communications, Inc.</t>
  </si>
  <si>
    <t>Turk Geriatri Dergisi</t>
  </si>
  <si>
    <t>13042947</t>
  </si>
  <si>
    <t>13079948</t>
  </si>
  <si>
    <t>Geriatrics Society</t>
  </si>
  <si>
    <t>Clinical Neuropsychiatry</t>
  </si>
  <si>
    <t>17244935</t>
  </si>
  <si>
    <t>Giovanni Fioriti Editore</t>
  </si>
  <si>
    <t>Urologia</t>
  </si>
  <si>
    <t>Pharmacy Practice</t>
  </si>
  <si>
    <t>18863655</t>
  </si>
  <si>
    <t>Grupo de Investigacion en Atencion Farmaceutica</t>
  </si>
  <si>
    <t>Vascular Disease Management</t>
  </si>
  <si>
    <t>15538036</t>
  </si>
  <si>
    <t>21524343</t>
  </si>
  <si>
    <t>Journal of Indian Association for Child and Adolescent Mental Health</t>
  </si>
  <si>
    <t>09731342</t>
  </si>
  <si>
    <t>Indian Association for Child and Adolescent Mental Health</t>
  </si>
  <si>
    <t>Journal of Geriatric Cardiology</t>
  </si>
  <si>
    <t>16715411</t>
  </si>
  <si>
    <t>Iranian Journal of Allergy, Asthma and Immunology</t>
  </si>
  <si>
    <t>17351502</t>
  </si>
  <si>
    <t>17355249</t>
  </si>
  <si>
    <t>Journal of the Liaquat University of Medical and Health Sciences</t>
  </si>
  <si>
    <t>17290341</t>
  </si>
  <si>
    <t>Liaquat University of Medical and Health Sciences</t>
  </si>
  <si>
    <t>International Journal of Medical Robotics and Computer Assisted Surgery</t>
  </si>
  <si>
    <t>14785951</t>
  </si>
  <si>
    <t>1478596X</t>
  </si>
  <si>
    <t>Kathmandu University Medical Journal</t>
  </si>
  <si>
    <t>18122027</t>
  </si>
  <si>
    <t>48122078</t>
  </si>
  <si>
    <t>Kathmandu University</t>
  </si>
  <si>
    <t>Korean Circulation Journal</t>
  </si>
  <si>
    <t>17385520</t>
  </si>
  <si>
    <t>17385555</t>
  </si>
  <si>
    <t>Korean Society of Circulation</t>
  </si>
  <si>
    <t>Electrolyte and Blood Pressure</t>
  </si>
  <si>
    <t>17385997</t>
  </si>
  <si>
    <t>20929935</t>
  </si>
  <si>
    <t>Korean Society of Electrolyte and Blood Pressure Research</t>
  </si>
  <si>
    <t>Heart and Metabolism</t>
  </si>
  <si>
    <t>15660338</t>
  </si>
  <si>
    <t>Springer-Verlag France</t>
  </si>
  <si>
    <t>Autophagy</t>
  </si>
  <si>
    <t>15548627</t>
  </si>
  <si>
    <t>15548635</t>
  </si>
  <si>
    <t>Cancer Informatics</t>
  </si>
  <si>
    <t>11769351</t>
  </si>
  <si>
    <t>Libertas Academica Ltd.</t>
  </si>
  <si>
    <t>Pathology Case Reviews</t>
  </si>
  <si>
    <t>10829784</t>
  </si>
  <si>
    <t>15334015</t>
  </si>
  <si>
    <t>Techniques in Foot and Ankle Surgery</t>
  </si>
  <si>
    <t>15360644</t>
  </si>
  <si>
    <t>15381943</t>
  </si>
  <si>
    <t>Techniques in Knee Surgery</t>
  </si>
  <si>
    <t>15360636</t>
  </si>
  <si>
    <t>15381935</t>
  </si>
  <si>
    <t>European Journal of Emergency Medicine</t>
  </si>
  <si>
    <t>09699546</t>
  </si>
  <si>
    <t>14735695</t>
  </si>
  <si>
    <t>Topics in Clinical Nutrition</t>
  </si>
  <si>
    <t>08835691</t>
  </si>
  <si>
    <t>15505146</t>
  </si>
  <si>
    <t>CONTINUUM Lifelong Learning in Neurology</t>
  </si>
  <si>
    <t>10802371</t>
  </si>
  <si>
    <t>15386899</t>
  </si>
  <si>
    <t>Hippokratia</t>
  </si>
  <si>
    <t>11084189</t>
  </si>
  <si>
    <t>17908019</t>
  </si>
  <si>
    <t>Lithografia Antoniadis I - Psarras Th G.P.</t>
  </si>
  <si>
    <t>Hippokratio General Hospital of Thessaloniki</t>
  </si>
  <si>
    <t>Chronic Illness</t>
  </si>
  <si>
    <t>17423953</t>
  </si>
  <si>
    <t>17459206</t>
  </si>
  <si>
    <t>Clinical Medicine and Research</t>
  </si>
  <si>
    <t>15394182</t>
  </si>
  <si>
    <t>15546179</t>
  </si>
  <si>
    <t>Marshfield Clinic</t>
  </si>
  <si>
    <t>Morphologie</t>
  </si>
  <si>
    <t>12860115</t>
  </si>
  <si>
    <t>Medicinski Glasnik</t>
  </si>
  <si>
    <t>18400132</t>
  </si>
  <si>
    <t>18402445</t>
  </si>
  <si>
    <t>Medical Association of Zenica-Doboj Canton</t>
  </si>
  <si>
    <t>BIH</t>
  </si>
  <si>
    <t>BOSN</t>
  </si>
  <si>
    <t>BOSN/ENGL</t>
  </si>
  <si>
    <t>Aktualnosci Neurologiczne</t>
  </si>
  <si>
    <t>16419227</t>
  </si>
  <si>
    <t>Medical Communications</t>
  </si>
  <si>
    <t>E-flow PDF Medical Communications</t>
  </si>
  <si>
    <t>Pediatria i Medycyna Rodzinna</t>
  </si>
  <si>
    <t>17341531</t>
  </si>
  <si>
    <t>Psychiatria i Psychologia Kliniczna</t>
  </si>
  <si>
    <t>16446313</t>
  </si>
  <si>
    <t>Journal of Pediatric Neurosciences</t>
  </si>
  <si>
    <t>18171745</t>
  </si>
  <si>
    <t>19983948</t>
  </si>
  <si>
    <t>International Journal of Men's Health</t>
  </si>
  <si>
    <t>15326306</t>
  </si>
  <si>
    <t>19330278</t>
  </si>
  <si>
    <t>Men's Studies Press</t>
  </si>
  <si>
    <t>Annals of Hepatology</t>
  </si>
  <si>
    <t>16652681</t>
  </si>
  <si>
    <t>Fundacion Clinica Medica Sur</t>
  </si>
  <si>
    <t>ASGE Clinical Update</t>
  </si>
  <si>
    <t>10707212</t>
  </si>
  <si>
    <t>1878755X</t>
  </si>
  <si>
    <t>Molecular Systems Biology</t>
  </si>
  <si>
    <t>17444292</t>
  </si>
  <si>
    <t>Nature Chemical Biology</t>
  </si>
  <si>
    <t>15524450</t>
  </si>
  <si>
    <t>15524469</t>
  </si>
  <si>
    <t>Nobel Medicus</t>
  </si>
  <si>
    <t>13052381</t>
  </si>
  <si>
    <t>Nobelmedicus</t>
  </si>
  <si>
    <t>Pan Arab Journal of Neurosurgery</t>
  </si>
  <si>
    <t>13196995</t>
  </si>
  <si>
    <t>Pan Arab Neurosurgical Society</t>
  </si>
  <si>
    <t>E-Flow PDF Pan Arab Neurosurgical Society</t>
  </si>
  <si>
    <t>PLoS Computational Biology</t>
  </si>
  <si>
    <t>1553734X</t>
  </si>
  <si>
    <t>15537358</t>
  </si>
  <si>
    <t>PLoS Genetics</t>
  </si>
  <si>
    <t>15537390</t>
  </si>
  <si>
    <t>15537404</t>
  </si>
  <si>
    <t>PLoS Pathogens</t>
  </si>
  <si>
    <t>15537366</t>
  </si>
  <si>
    <t>15537374</t>
  </si>
  <si>
    <t>Yeni Symposium</t>
  </si>
  <si>
    <t>13008773</t>
  </si>
  <si>
    <t>13044591</t>
  </si>
  <si>
    <t>Iranian Journal of Pharmacology and Therapeutics</t>
  </si>
  <si>
    <t>17352657</t>
  </si>
  <si>
    <t>Current Topics in Pharmacology</t>
  </si>
  <si>
    <t>09724559</t>
  </si>
  <si>
    <t>Research Trends</t>
  </si>
  <si>
    <t>E-flow PDF Research Trends</t>
  </si>
  <si>
    <t>Current Topics in Peptide and Protein Research</t>
  </si>
  <si>
    <t>09724524</t>
  </si>
  <si>
    <t>Current Topics in Toxicology</t>
  </si>
  <si>
    <t>09728228</t>
  </si>
  <si>
    <t>Current Trends in Immunology</t>
  </si>
  <si>
    <t>09724567</t>
  </si>
  <si>
    <t>American Journal of Psychiatric Rehabilitation</t>
  </si>
  <si>
    <t>15487768</t>
  </si>
  <si>
    <t>15487776</t>
  </si>
  <si>
    <t>Journal of the Royal Society Interface</t>
  </si>
  <si>
    <t>17425689</t>
  </si>
  <si>
    <t>17425662</t>
  </si>
  <si>
    <t>Royal Society of London</t>
  </si>
  <si>
    <t>Web Portal Royal Society of London (RSL)</t>
  </si>
  <si>
    <t>Koomesh</t>
  </si>
  <si>
    <t>16087046</t>
  </si>
  <si>
    <t>Semnan University of Medical Sciences</t>
  </si>
  <si>
    <t>Chinese Journal of Andrology</t>
  </si>
  <si>
    <t>10080848</t>
  </si>
  <si>
    <t>Shanghai Jiaotong University School of Medicine</t>
  </si>
  <si>
    <t>E-flow PDF Shanghai Jiaotong University School of Medicine</t>
  </si>
  <si>
    <t>Iranian Journal of Immunology</t>
  </si>
  <si>
    <t>1735365X</t>
  </si>
  <si>
    <t>1735367X</t>
  </si>
  <si>
    <t>E-flow PDF Shiraz Institute for Cancer Research</t>
  </si>
  <si>
    <t>Salud(i)Ciencia</t>
  </si>
  <si>
    <t>16678982</t>
  </si>
  <si>
    <t>Sociedad Iberoamericana de Informacion Cientifica</t>
  </si>
  <si>
    <t>Acta Cirurgica Brasileira</t>
  </si>
  <si>
    <t>01028650</t>
  </si>
  <si>
    <t>16782674</t>
  </si>
  <si>
    <t>Sociedade Brasileira para o Desenvolvimento de Pesquisa em Cirurgia</t>
  </si>
  <si>
    <t>Nanotoxicology</t>
  </si>
  <si>
    <t>17435390</t>
  </si>
  <si>
    <t>17435404</t>
  </si>
  <si>
    <t>Iranian Journal of Nuclear Medicine</t>
  </si>
  <si>
    <t>16812824</t>
  </si>
  <si>
    <t>20082509</t>
  </si>
  <si>
    <t>Archives of Medical Science</t>
  </si>
  <si>
    <t>17341922</t>
  </si>
  <si>
    <t>18969151</t>
  </si>
  <si>
    <t>Ginekologia Praktyczna</t>
  </si>
  <si>
    <t>12316407</t>
  </si>
  <si>
    <t>The Scientific World Journal</t>
  </si>
  <si>
    <t>1537744X</t>
  </si>
  <si>
    <t>Chinese Journal of Contemporary Neurology and Neurosurgery</t>
  </si>
  <si>
    <t>16726731</t>
  </si>
  <si>
    <t>Tianjin Huanhu Hospital</t>
  </si>
  <si>
    <t>Turk Pediatri Arsivi</t>
  </si>
  <si>
    <t>13060015</t>
  </si>
  <si>
    <t>13086278</t>
  </si>
  <si>
    <t>Galenos</t>
  </si>
  <si>
    <t>Turkish Journal of Pharmaceutical Sciences</t>
  </si>
  <si>
    <t>1304530X</t>
  </si>
  <si>
    <t>Turkish Pharmacists  Association</t>
  </si>
  <si>
    <t>Tuberkuloz ve Toraks</t>
  </si>
  <si>
    <t>04941373</t>
  </si>
  <si>
    <t>Heart Failure Clinics</t>
  </si>
  <si>
    <t>15517136</t>
  </si>
  <si>
    <t>Journal of Food, Agriculture and Environment</t>
  </si>
  <si>
    <t>14590255</t>
  </si>
  <si>
    <t>14590263</t>
  </si>
  <si>
    <t>World Food Ltd. and WFL Publishers</t>
  </si>
  <si>
    <t>Wounds UK</t>
  </si>
  <si>
    <t>17466814</t>
  </si>
  <si>
    <t>Family Medicine and Primary Care Review</t>
  </si>
  <si>
    <t>17343402</t>
  </si>
  <si>
    <t>Polish Society of Family Medicine</t>
  </si>
  <si>
    <t>Journal of Medical Sciences (Faisalabad)</t>
  </si>
  <si>
    <t>16824474</t>
  </si>
  <si>
    <t>18125727</t>
  </si>
  <si>
    <t>Chinese Journal of Radiology (China)</t>
  </si>
  <si>
    <t>10051201</t>
  </si>
  <si>
    <t>Biomedical Materials (Bristol)</t>
  </si>
  <si>
    <t>17486041</t>
  </si>
  <si>
    <t>1748605X</t>
  </si>
  <si>
    <t>Journal of Interventional Radiology (China)</t>
  </si>
  <si>
    <t>1008794X</t>
  </si>
  <si>
    <t>Publishing House of the Journal of Interventional</t>
  </si>
  <si>
    <t>Journal of Clinical Dermatology</t>
  </si>
  <si>
    <t>10004963</t>
  </si>
  <si>
    <t>Editorial Board of Journal of Clinical</t>
  </si>
  <si>
    <t>Psychiatry Investigation</t>
  </si>
  <si>
    <t>17383684</t>
  </si>
  <si>
    <t>19763026</t>
  </si>
  <si>
    <t>Korean Neuropsychiatric Association</t>
  </si>
  <si>
    <t>Techniques in Ophthalmology</t>
  </si>
  <si>
    <t>15421929</t>
  </si>
  <si>
    <t>15421937</t>
  </si>
  <si>
    <t>Clinical and Vaccine Immunology</t>
  </si>
  <si>
    <t>15566811</t>
  </si>
  <si>
    <t>1556679X</t>
  </si>
  <si>
    <t>International Heart Journal</t>
  </si>
  <si>
    <t>13492365</t>
  </si>
  <si>
    <t>13493299</t>
  </si>
  <si>
    <t>International Heart Journal Association</t>
  </si>
  <si>
    <t>AAPS Journal</t>
  </si>
  <si>
    <t>15507416</t>
  </si>
  <si>
    <t>Clinical Genitourinary Cancer</t>
  </si>
  <si>
    <t>15587673</t>
  </si>
  <si>
    <t>19380682</t>
  </si>
  <si>
    <t>ChemMedChem</t>
  </si>
  <si>
    <t>18607179</t>
  </si>
  <si>
    <t>18607187</t>
  </si>
  <si>
    <t>Journal of Plastic, Reconstructive and Aesthetic Surgery</t>
  </si>
  <si>
    <t>17486815</t>
  </si>
  <si>
    <t>18780539</t>
  </si>
  <si>
    <t>Eurasip Journal on Bioinformatics and Systems Biology</t>
  </si>
  <si>
    <t>16874145</t>
  </si>
  <si>
    <t>16874153</t>
  </si>
  <si>
    <t>International Journal of Biomedical Imaging</t>
  </si>
  <si>
    <t>16874188</t>
  </si>
  <si>
    <t>16874196</t>
  </si>
  <si>
    <t>PPAR Research</t>
  </si>
  <si>
    <t>16874757</t>
  </si>
  <si>
    <t>16874765</t>
  </si>
  <si>
    <t>Neurologia Suplementos</t>
  </si>
  <si>
    <t>16955374</t>
  </si>
  <si>
    <t>STM Editores S.A</t>
  </si>
  <si>
    <t>ARS XXI Communication</t>
  </si>
  <si>
    <t>Acta Physiologica</t>
  </si>
  <si>
    <t>17481708</t>
  </si>
  <si>
    <t>17481716</t>
  </si>
  <si>
    <t>Chemical Biology and Drug Design</t>
  </si>
  <si>
    <t>17470277</t>
  </si>
  <si>
    <t>17470285</t>
  </si>
  <si>
    <t>Central European Journal of Medicine</t>
  </si>
  <si>
    <t>18951058</t>
  </si>
  <si>
    <t>16443640</t>
  </si>
  <si>
    <t>Diabetologe</t>
  </si>
  <si>
    <t>18609716</t>
  </si>
  <si>
    <t>18609724</t>
  </si>
  <si>
    <t>Gastroenterologe</t>
  </si>
  <si>
    <t>18619681</t>
  </si>
  <si>
    <t>1861969X</t>
  </si>
  <si>
    <t>Journal of Neuroimmune Pharmacology</t>
  </si>
  <si>
    <t>15571890</t>
  </si>
  <si>
    <t>15571904</t>
  </si>
  <si>
    <t>Nephrologe</t>
  </si>
  <si>
    <t>1862040X</t>
  </si>
  <si>
    <t>18620418</t>
  </si>
  <si>
    <t>Targeted Oncology</t>
  </si>
  <si>
    <t>17762596</t>
  </si>
  <si>
    <t>1776260X</t>
  </si>
  <si>
    <t>Diving and Hyperbaric Medicine</t>
  </si>
  <si>
    <t>18333516</t>
  </si>
  <si>
    <t>South Pacific Underwater Medicine Society</t>
  </si>
  <si>
    <t>E-flow PDF South Pacific Underwater Medicine Society</t>
  </si>
  <si>
    <t>B-ENT</t>
  </si>
  <si>
    <t>1781782X</t>
  </si>
  <si>
    <t>Koninklijke Belgische Vereniging voor ORL Gelaat en Halschirugie</t>
  </si>
  <si>
    <t>Koninklijke Belgische Vereniging voor ORL Gelaat-en Halschirurgie</t>
  </si>
  <si>
    <t>ENGL/DUTC/FREN</t>
  </si>
  <si>
    <t>Journal of Gastrointestinal and Liver Diseases</t>
  </si>
  <si>
    <t>18418724</t>
  </si>
  <si>
    <t>Romanian Society of Gastroenterology</t>
  </si>
  <si>
    <t>Romanian Journal of Gastroenterology</t>
  </si>
  <si>
    <t>UHOD - Uluslararasi Hematoloji-Onkoloji Dergisi</t>
  </si>
  <si>
    <t>1306133X</t>
  </si>
  <si>
    <t>UHOD - Uluslararasi Hematoloji Onkoloji Dergisi</t>
  </si>
  <si>
    <t>Acute Cardiac Care</t>
  </si>
  <si>
    <t>17482941</t>
  </si>
  <si>
    <t>1748295X</t>
  </si>
  <si>
    <t>Zeitschrift fur Psychiatrie, Psychologie und Psychotherapie</t>
  </si>
  <si>
    <t>16614747</t>
  </si>
  <si>
    <t>Scandinavian Journal of Work, Environment and Health, Supplement</t>
  </si>
  <si>
    <t>03566528</t>
  </si>
  <si>
    <t>Finnish Institute of Occupational Health</t>
  </si>
  <si>
    <t>Scandinavian J. of Work, Environment and Health</t>
  </si>
  <si>
    <t>Trials</t>
  </si>
  <si>
    <t>17456215</t>
  </si>
  <si>
    <t>Journal of the American Board of Family Medicine</t>
  </si>
  <si>
    <t>15572625</t>
  </si>
  <si>
    <t>15587118</t>
  </si>
  <si>
    <t>American Board of Family Medicine</t>
  </si>
  <si>
    <t>Journal of Burn Care and Research</t>
  </si>
  <si>
    <t>1559047X</t>
  </si>
  <si>
    <t>15590488</t>
  </si>
  <si>
    <t>International Journal of Pediatric Otorhinolaryngology Extra</t>
  </si>
  <si>
    <t>18714048</t>
  </si>
  <si>
    <t>RoFo Fortschritte auf dem Gebiet der Rontgenstrahlen und der Bildgebenden Verfahren, Supplement</t>
  </si>
  <si>
    <t>14335972</t>
  </si>
  <si>
    <t>Rivista Italiana di Neurobiologia</t>
  </si>
  <si>
    <t>00356336</t>
  </si>
  <si>
    <t>Editrice Pisani s.a.s.</t>
  </si>
  <si>
    <t>Journal of the American Association for Laboratory Animal Science</t>
  </si>
  <si>
    <t>15596109</t>
  </si>
  <si>
    <t>Neuroradiology Journal</t>
  </si>
  <si>
    <t>19714009</t>
  </si>
  <si>
    <t>Computational and Mathematical Methods in Medicine</t>
  </si>
  <si>
    <t>1748670X</t>
  </si>
  <si>
    <t>17486718</t>
  </si>
  <si>
    <t>Journal of Toxicology and Environmental Health - Part A: Current Issues</t>
  </si>
  <si>
    <t>15287394</t>
  </si>
  <si>
    <t>10872620</t>
  </si>
  <si>
    <t>Turkish Journal of Hematology</t>
  </si>
  <si>
    <t>13007777</t>
  </si>
  <si>
    <t>13085263</t>
  </si>
  <si>
    <t>Turkish Society of Hematology</t>
  </si>
  <si>
    <t>Revista de Ciencias Farmaceuticas Basica e Aplicada</t>
  </si>
  <si>
    <t>18084532</t>
  </si>
  <si>
    <t>Universidade Estadual Paulista (UNESP)</t>
  </si>
  <si>
    <t>Universidade Estadual Paulista</t>
  </si>
  <si>
    <t>Journal of Laparoendoscopic and Advanced Surgical Techniques</t>
  </si>
  <si>
    <t>10926429</t>
  </si>
  <si>
    <t>15579034</t>
  </si>
  <si>
    <t>Annals of Indian Academy of Neurology</t>
  </si>
  <si>
    <t>09722327</t>
  </si>
  <si>
    <t>19983549</t>
  </si>
  <si>
    <t>Annals of Thoracic Medicine</t>
  </si>
  <si>
    <t>18171737</t>
  </si>
  <si>
    <t>19983557</t>
  </si>
  <si>
    <t>Indian Journal of Dermatology</t>
  </si>
  <si>
    <t>00195154</t>
  </si>
  <si>
    <t>19983611</t>
  </si>
  <si>
    <t>Indian Journal of Urology</t>
  </si>
  <si>
    <t>09701591</t>
  </si>
  <si>
    <t>19983824</t>
  </si>
  <si>
    <t>Journal of Medical Physics</t>
  </si>
  <si>
    <t>09716203</t>
  </si>
  <si>
    <t>19983913</t>
  </si>
  <si>
    <t>Pharma Times</t>
  </si>
  <si>
    <t>00316849</t>
  </si>
  <si>
    <t>Indian Pharmaceutical Association</t>
  </si>
  <si>
    <t>Sexologies</t>
  </si>
  <si>
    <t>11581360</t>
  </si>
  <si>
    <t>18781829</t>
  </si>
  <si>
    <t>Women and Birth</t>
  </si>
  <si>
    <t>18715192</t>
  </si>
  <si>
    <t>18781799</t>
  </si>
  <si>
    <t>Translational Research</t>
  </si>
  <si>
    <t>19315244</t>
  </si>
  <si>
    <t>18781810</t>
  </si>
  <si>
    <t>Obesity</t>
  </si>
  <si>
    <t>19307381</t>
  </si>
  <si>
    <t>1930739X</t>
  </si>
  <si>
    <t>Current Hematologic Malignancy Reports</t>
  </si>
  <si>
    <t>15588211</t>
  </si>
  <si>
    <t>1558822X</t>
  </si>
  <si>
    <t>Water and Environment Journal</t>
  </si>
  <si>
    <t>17476585</t>
  </si>
  <si>
    <t>17476593</t>
  </si>
  <si>
    <t>Journal of the Society for Integrative Oncology</t>
  </si>
  <si>
    <t>1715894X</t>
  </si>
  <si>
    <t>Allergy, Asthma and Clinical Immunology</t>
  </si>
  <si>
    <t>17101484</t>
  </si>
  <si>
    <t>17101492</t>
  </si>
  <si>
    <t>Rivista Italiana della Medicina di Laboratorio</t>
  </si>
  <si>
    <t>1825859X</t>
  </si>
  <si>
    <t>20396821</t>
  </si>
  <si>
    <t>Medical Molecular Morphology</t>
  </si>
  <si>
    <t>18601480</t>
  </si>
  <si>
    <t>18601499</t>
  </si>
  <si>
    <t>Neurology, Neurophysiology and Neuroscience</t>
  </si>
  <si>
    <t>15268748</t>
  </si>
  <si>
    <t>19331266</t>
  </si>
  <si>
    <t>American Academy of Clinical Neurophysiology</t>
  </si>
  <si>
    <t>Forensic Toxicology</t>
  </si>
  <si>
    <t>18608965</t>
  </si>
  <si>
    <t>18608973</t>
  </si>
  <si>
    <t>Revue Medicale Suisse</t>
  </si>
  <si>
    <t>16609379</t>
  </si>
  <si>
    <t>Archives of Environmental and Occupational Health</t>
  </si>
  <si>
    <t>00039896</t>
  </si>
  <si>
    <t>Neonatology</t>
  </si>
  <si>
    <t>16617800</t>
  </si>
  <si>
    <t>16617819</t>
  </si>
  <si>
    <t>Annals of Gastroenterology</t>
  </si>
  <si>
    <t>11087471</t>
  </si>
  <si>
    <t>17927463</t>
  </si>
  <si>
    <t>Hellenic Society of Gastroenterology</t>
  </si>
  <si>
    <t>Diabetes, Stoffwechsel und Herz</t>
  </si>
  <si>
    <t>18617603</t>
  </si>
  <si>
    <t>Verlag Kirchheim and Co. GmbH</t>
  </si>
  <si>
    <t>Neurotherapeutics</t>
  </si>
  <si>
    <t>19337213</t>
  </si>
  <si>
    <t>18787479</t>
  </si>
  <si>
    <t>Paediatrics and Child Health (United Kingdom)</t>
  </si>
  <si>
    <t>17517222</t>
  </si>
  <si>
    <t>1878206X</t>
  </si>
  <si>
    <t>Research in Autism Spectrum Disorders</t>
  </si>
  <si>
    <t>17509467</t>
  </si>
  <si>
    <t>18780237</t>
  </si>
  <si>
    <t>Medicine (United Kingdom)</t>
  </si>
  <si>
    <t>13573039</t>
  </si>
  <si>
    <t>13654357</t>
  </si>
  <si>
    <t>Surgery (United Kingdom)</t>
  </si>
  <si>
    <t>02639319</t>
  </si>
  <si>
    <t>18781764</t>
  </si>
  <si>
    <t>Journal of Surgical Education</t>
  </si>
  <si>
    <t>19317204</t>
  </si>
  <si>
    <t>18787452</t>
  </si>
  <si>
    <t>Journal of Forensic and Legal Medicine</t>
  </si>
  <si>
    <t>1752928X</t>
  </si>
  <si>
    <t>18787487</t>
  </si>
  <si>
    <t>Obstetrics, Gynaecology and Reproductive Medicine</t>
  </si>
  <si>
    <t>17517214</t>
  </si>
  <si>
    <t>18793622</t>
  </si>
  <si>
    <t>Anaesthesia and Intensive Care Medicine</t>
  </si>
  <si>
    <t>14720299</t>
  </si>
  <si>
    <t>18787584</t>
  </si>
  <si>
    <t>Journal of Clinical Lipidology</t>
  </si>
  <si>
    <t>19332874</t>
  </si>
  <si>
    <t>18764789</t>
  </si>
  <si>
    <t>Anesthesiology Clinics</t>
  </si>
  <si>
    <t>19322275</t>
  </si>
  <si>
    <t>22103538</t>
  </si>
  <si>
    <t>Reproductive Sciences</t>
  </si>
  <si>
    <t>19337191</t>
  </si>
  <si>
    <t>19337205</t>
  </si>
  <si>
    <t>Acta Pharmaceutica Sciencia</t>
  </si>
  <si>
    <t>13072080</t>
  </si>
  <si>
    <t>Journal of Managed Care Pharmacy</t>
  </si>
  <si>
    <t>10834087</t>
  </si>
  <si>
    <t>Academy of Managed Care Pharmacy (AMCP)</t>
  </si>
  <si>
    <t>Journal of Neurosurgery: Spine</t>
  </si>
  <si>
    <t>15475654</t>
  </si>
  <si>
    <t>15475646</t>
  </si>
  <si>
    <t>Chinese Medicine (United Kingdom)</t>
  </si>
  <si>
    <t>17498546</t>
  </si>
  <si>
    <t>Cough</t>
  </si>
  <si>
    <t>17459974</t>
  </si>
  <si>
    <t>Immunome Research</t>
  </si>
  <si>
    <t>17457580</t>
  </si>
  <si>
    <t>OMICS Publishing Group</t>
  </si>
  <si>
    <t>Infectious Agents and Cancer</t>
  </si>
  <si>
    <t>17509378</t>
  </si>
  <si>
    <t>Journal of Brachial Plexus and Peripheral Nerve Injury</t>
  </si>
  <si>
    <t>17497221</t>
  </si>
  <si>
    <t>Journal of Molecular Signaling</t>
  </si>
  <si>
    <t>17502187</t>
  </si>
  <si>
    <t>Molecular Neurodegeneration</t>
  </si>
  <si>
    <t>17501326</t>
  </si>
  <si>
    <t>Neural Development</t>
  </si>
  <si>
    <t>17498104</t>
  </si>
  <si>
    <t>Orphanet Journal of Rare Diseases</t>
  </si>
  <si>
    <t>17501172</t>
  </si>
  <si>
    <t>Radiation Oncology</t>
  </si>
  <si>
    <t>1748717X</t>
  </si>
  <si>
    <t>Scoliosis</t>
  </si>
  <si>
    <t>17487161</t>
  </si>
  <si>
    <t>Primary Care Diabetes</t>
  </si>
  <si>
    <t>17519918</t>
  </si>
  <si>
    <t>18780210</t>
  </si>
  <si>
    <t>Gene Therapy and Molecular Biology</t>
  </si>
  <si>
    <t>15299120</t>
  </si>
  <si>
    <t>Journal of Hunger and Environmental Nutrition</t>
  </si>
  <si>
    <t>19320248</t>
  </si>
  <si>
    <t>19320256</t>
  </si>
  <si>
    <t>Methods in Molecular Biology</t>
  </si>
  <si>
    <t>10643745</t>
  </si>
  <si>
    <t>Micro and Nano Letters</t>
  </si>
  <si>
    <t>17500443</t>
  </si>
  <si>
    <t>Institution of Engineering and Technology</t>
  </si>
  <si>
    <t>E-flow IET</t>
  </si>
  <si>
    <t>Journal of Atherosclerosis and Thrombosis</t>
  </si>
  <si>
    <t>13403478</t>
  </si>
  <si>
    <t>18803873</t>
  </si>
  <si>
    <t>Japan Atherosclerosis Society</t>
  </si>
  <si>
    <t>Journal of Thoracic Oncology</t>
  </si>
  <si>
    <t>15560864</t>
  </si>
  <si>
    <t>15561380</t>
  </si>
  <si>
    <t>International Association for the Study of Lung Cancer</t>
  </si>
  <si>
    <t>Dental Cadmos</t>
  </si>
  <si>
    <t>00118524</t>
  </si>
  <si>
    <t>Neuroscience Bulletin</t>
  </si>
  <si>
    <t>16737067</t>
  </si>
  <si>
    <t>19958218</t>
  </si>
  <si>
    <t>American Journal of Biochemistry and Biotechnology</t>
  </si>
  <si>
    <t>15533468</t>
  </si>
  <si>
    <t>Science Publications</t>
  </si>
  <si>
    <t>American Journal of Immunology</t>
  </si>
  <si>
    <t>1553619X</t>
  </si>
  <si>
    <t>American Journal of Infectious Diseases</t>
  </si>
  <si>
    <t>15536203</t>
  </si>
  <si>
    <t>American Journal of Pharmacology and Toxicology</t>
  </si>
  <si>
    <t>15574962</t>
  </si>
  <si>
    <t>15574970</t>
  </si>
  <si>
    <t>Brazilian Journal of Pharmacognosy</t>
  </si>
  <si>
    <t>0102695X</t>
  </si>
  <si>
    <t>Sociedade Brasileira de Farmacognosia</t>
  </si>
  <si>
    <t>Brain Imaging and Behavior</t>
  </si>
  <si>
    <t>19317557</t>
  </si>
  <si>
    <t>19317565</t>
  </si>
  <si>
    <t>Cognitive Neurodynamics</t>
  </si>
  <si>
    <t>18714080</t>
  </si>
  <si>
    <t>18714099</t>
  </si>
  <si>
    <t>Best Practice Onkologie</t>
  </si>
  <si>
    <t>09464565</t>
  </si>
  <si>
    <t>18628559</t>
  </si>
  <si>
    <t>Archives of Osteoporosis</t>
  </si>
  <si>
    <t>18623522</t>
  </si>
  <si>
    <t>18623514</t>
  </si>
  <si>
    <t>Body, Movement and Dance in Psychotherapy</t>
  </si>
  <si>
    <t>17432979</t>
  </si>
  <si>
    <t>17432987</t>
  </si>
  <si>
    <t>Applied Bionics and Biomechanics</t>
  </si>
  <si>
    <t>11762322</t>
  </si>
  <si>
    <t>17542103</t>
  </si>
  <si>
    <t>Saudi Journal of Gastroenterology</t>
  </si>
  <si>
    <t>13193767</t>
  </si>
  <si>
    <t>19984049</t>
  </si>
  <si>
    <t>Nature Nanotechnology</t>
  </si>
  <si>
    <t>17483387</t>
  </si>
  <si>
    <t>17483395</t>
  </si>
  <si>
    <t>Journal of Occupational Medicine and Toxicology</t>
  </si>
  <si>
    <t>17456673</t>
  </si>
  <si>
    <t>Journal of Genetics and Genomics</t>
  </si>
  <si>
    <t>16738527</t>
  </si>
  <si>
    <t>18735533</t>
  </si>
  <si>
    <t>Institute of Genetics and Developmental Biology</t>
  </si>
  <si>
    <t>Zoonoses and Public Health</t>
  </si>
  <si>
    <t>18631959</t>
  </si>
  <si>
    <t>18632378</t>
  </si>
  <si>
    <t>International Journal on Disability and Human Development</t>
  </si>
  <si>
    <t>21911231</t>
  </si>
  <si>
    <t>21910367</t>
  </si>
  <si>
    <t>Developmental Neurorehabilitation</t>
  </si>
  <si>
    <t>17518423</t>
  </si>
  <si>
    <t>17518431</t>
  </si>
  <si>
    <t>Anatomical Record</t>
  </si>
  <si>
    <t>19328486</t>
  </si>
  <si>
    <t>19328494</t>
  </si>
  <si>
    <t>General Thoracic and Cardiovascular Surgery</t>
  </si>
  <si>
    <t>18636705</t>
  </si>
  <si>
    <t>18636713</t>
  </si>
  <si>
    <t>ACS Chemical Biology</t>
  </si>
  <si>
    <t>15548929</t>
  </si>
  <si>
    <t>15548937</t>
  </si>
  <si>
    <t>Archivos Venezolanos de Farmacologia y Terapeutica</t>
  </si>
  <si>
    <t>07980264</t>
  </si>
  <si>
    <t>Sociedad Latinoamericana de Hipertension</t>
  </si>
  <si>
    <t>E-flow PDF Sociedad Latinoamericana de Hipertension</t>
  </si>
  <si>
    <t>Biophysical Reviews and Letters</t>
  </si>
  <si>
    <t>17930480</t>
  </si>
  <si>
    <t>Biotechnology Journal</t>
  </si>
  <si>
    <t>18606768</t>
  </si>
  <si>
    <t>18607314</t>
  </si>
  <si>
    <t>Breastfeeding Medicine</t>
  </si>
  <si>
    <t>15568253</t>
  </si>
  <si>
    <t>15568342</t>
  </si>
  <si>
    <t>Cancer and Chemotherapy Reviews</t>
  </si>
  <si>
    <t>1885740X</t>
  </si>
  <si>
    <t>Cancer Biomarkers</t>
  </si>
  <si>
    <t>15740153</t>
  </si>
  <si>
    <t>18758592</t>
  </si>
  <si>
    <t>Cancer Imaging</t>
  </si>
  <si>
    <t>14707330</t>
  </si>
  <si>
    <t>e-MED Ltd</t>
  </si>
  <si>
    <t>Chinese Journal of Biologicals</t>
  </si>
  <si>
    <t>10045503</t>
  </si>
  <si>
    <t>Changchun Institute of Biological Products</t>
  </si>
  <si>
    <t>Chinese Journal of Burns</t>
  </si>
  <si>
    <t>10092587</t>
  </si>
  <si>
    <t>Chinese Journal of Burns Editorial Board</t>
  </si>
  <si>
    <t>Clinica e Investigacion en Arteriosclerosis</t>
  </si>
  <si>
    <t>02149168</t>
  </si>
  <si>
    <t>15781879</t>
  </si>
  <si>
    <t>Clinical and Experimental Medical Letters</t>
  </si>
  <si>
    <t>18952089</t>
  </si>
  <si>
    <t>Contrast Media and Molecular Imaging</t>
  </si>
  <si>
    <t>15554309</t>
  </si>
  <si>
    <t>15554317</t>
  </si>
  <si>
    <t>Current Bioactive Compounds</t>
  </si>
  <si>
    <t>15734072</t>
  </si>
  <si>
    <t>18756646</t>
  </si>
  <si>
    <t>Current Bioinformatics</t>
  </si>
  <si>
    <t>15748936</t>
  </si>
  <si>
    <t>Current Clinical Pharmacology</t>
  </si>
  <si>
    <t>15748847</t>
  </si>
  <si>
    <t>Current Drug Safety</t>
  </si>
  <si>
    <t>15748863</t>
  </si>
  <si>
    <t>Current Drug Therapy</t>
  </si>
  <si>
    <t>15748855</t>
  </si>
  <si>
    <t>10657630</t>
  </si>
  <si>
    <t>Current Opinion in HIV and AIDS</t>
  </si>
  <si>
    <t>1746630X</t>
  </si>
  <si>
    <t>17466318</t>
  </si>
  <si>
    <t>Current Signal Transduction Therapy</t>
  </si>
  <si>
    <t>15743624</t>
  </si>
  <si>
    <t>Current Stem Cell Research and Therapy</t>
  </si>
  <si>
    <t>1574888X</t>
  </si>
  <si>
    <t>Dhaka University Journal of Pharmaceutical Sciences</t>
  </si>
  <si>
    <t>18161820</t>
  </si>
  <si>
    <t>18161839</t>
  </si>
  <si>
    <t>University of Dhaka</t>
  </si>
  <si>
    <t>Diabetologie und Stoffwechsel</t>
  </si>
  <si>
    <t>18619002</t>
  </si>
  <si>
    <t>18619010</t>
  </si>
  <si>
    <t>Epigenetics</t>
  </si>
  <si>
    <t>15592294</t>
  </si>
  <si>
    <t>15592308</t>
  </si>
  <si>
    <t>Experimental and Clinical Hepatology</t>
  </si>
  <si>
    <t>17343038</t>
  </si>
  <si>
    <t>Expert Opinion on Drug Discovery</t>
  </si>
  <si>
    <t>17460441</t>
  </si>
  <si>
    <t>1746045X</t>
  </si>
  <si>
    <t>Expert Review of Dermatology</t>
  </si>
  <si>
    <t>17469872</t>
  </si>
  <si>
    <t>17469880</t>
  </si>
  <si>
    <t>Expert Review of Endocrinology and Metabolism</t>
  </si>
  <si>
    <t>17446651</t>
  </si>
  <si>
    <t>17448417</t>
  </si>
  <si>
    <t>Facts, News and Views</t>
  </si>
  <si>
    <t>15910083</t>
  </si>
  <si>
    <t>Future Microbiology</t>
  </si>
  <si>
    <t>17460913</t>
  </si>
  <si>
    <t>17460921</t>
  </si>
  <si>
    <t>Future Neurology</t>
  </si>
  <si>
    <t>14796708</t>
  </si>
  <si>
    <t>17486971</t>
  </si>
  <si>
    <t>Future Virology</t>
  </si>
  <si>
    <t>17460794</t>
  </si>
  <si>
    <t>17460808</t>
  </si>
  <si>
    <t>Genes and Nutrition</t>
  </si>
  <si>
    <t>15558932</t>
  </si>
  <si>
    <t>18653499</t>
  </si>
  <si>
    <t>Genome Dynamics</t>
  </si>
  <si>
    <t>16609263</t>
  </si>
  <si>
    <t>16623797</t>
  </si>
  <si>
    <t>Global Public Health</t>
  </si>
  <si>
    <t>17441692</t>
  </si>
  <si>
    <t>17441706</t>
  </si>
  <si>
    <t>Health Economics, Policy and Law</t>
  </si>
  <si>
    <t>17441331</t>
  </si>
  <si>
    <t>1744134X</t>
  </si>
  <si>
    <t>Human Cell</t>
  </si>
  <si>
    <t>09147470</t>
  </si>
  <si>
    <t>17490774</t>
  </si>
  <si>
    <t>Innovations in Pharmaceutical Technology</t>
  </si>
  <si>
    <t>14717204</t>
  </si>
  <si>
    <t>Innovations: Technology and Techniques in Cardiothoracic and Vascular Surgery</t>
  </si>
  <si>
    <t>15569845</t>
  </si>
  <si>
    <t>15590879</t>
  </si>
  <si>
    <t>International Journal of Cancer Research and Prevention</t>
  </si>
  <si>
    <t>15541134</t>
  </si>
  <si>
    <t>Nova Science Publishers, Inc.</t>
  </si>
  <si>
    <t>E-flow PDF Nova Science Publishers Inc</t>
  </si>
  <si>
    <t>International Journal of Computer Assisted Radiology and Surgery</t>
  </si>
  <si>
    <t>18616410</t>
  </si>
  <si>
    <t>18616429</t>
  </si>
  <si>
    <t>International Journal of COPD</t>
  </si>
  <si>
    <t>11769106</t>
  </si>
  <si>
    <t>11782005</t>
  </si>
  <si>
    <t>International Journal of Nanomedicine</t>
  </si>
  <si>
    <t>11769114</t>
  </si>
  <si>
    <t>11782013</t>
  </si>
  <si>
    <t>Iranian Journal of Pharmaceutical Research</t>
  </si>
  <si>
    <t>17350328</t>
  </si>
  <si>
    <t>17266890</t>
  </si>
  <si>
    <t>Journal fur Pharmakologie und Therapie</t>
  </si>
  <si>
    <t>Journal of Biomedical Nanotechnology</t>
  </si>
  <si>
    <t>15507033</t>
  </si>
  <si>
    <t>15507041</t>
  </si>
  <si>
    <t>American Scientific Publishers</t>
  </si>
  <si>
    <t>Journal of Cell and Molecular Biology</t>
  </si>
  <si>
    <t>13033546</t>
  </si>
  <si>
    <t>Journal of Dalian Medical University</t>
  </si>
  <si>
    <t>16717295</t>
  </si>
  <si>
    <t>Dalian Medical University</t>
  </si>
  <si>
    <t>Journal of Experimental Nanoscience</t>
  </si>
  <si>
    <t>17458080</t>
  </si>
  <si>
    <t>17458099</t>
  </si>
  <si>
    <t>Journal of Hospital Medicine</t>
  </si>
  <si>
    <t>15535592</t>
  </si>
  <si>
    <t>15535606</t>
  </si>
  <si>
    <t>Journal of Korean Neurosurgical Society</t>
  </si>
  <si>
    <t>20053711</t>
  </si>
  <si>
    <t>15987876</t>
  </si>
  <si>
    <t>Korean Neurosurgical Society</t>
  </si>
  <si>
    <t>Journal of Neurological Sciences</t>
  </si>
  <si>
    <t>13001817</t>
  </si>
  <si>
    <t>13021664</t>
  </si>
  <si>
    <t>Ege University Press</t>
  </si>
  <si>
    <t>Journal of Nutrigenetics and Nutrigenomics</t>
  </si>
  <si>
    <t>16616499</t>
  </si>
  <si>
    <t>16616758</t>
  </si>
  <si>
    <t>Journal of Oncology Practice</t>
  </si>
  <si>
    <t>15547477</t>
  </si>
  <si>
    <t>1935469X</t>
  </si>
  <si>
    <t>Journal of Opioid Management</t>
  </si>
  <si>
    <t>15517489</t>
  </si>
  <si>
    <t>Weston Medical Publishing</t>
  </si>
  <si>
    <t>Journal of Pediatric Infectious Diseases</t>
  </si>
  <si>
    <t>13057707</t>
  </si>
  <si>
    <t>13057693</t>
  </si>
  <si>
    <t>Journal of Pharmaceutical Innovation</t>
  </si>
  <si>
    <t>18725120</t>
  </si>
  <si>
    <t>19398042</t>
  </si>
  <si>
    <t>Journal of Stem Cells</t>
  </si>
  <si>
    <t>15568539</t>
  </si>
  <si>
    <t>Journal of Tehran University Heart Center</t>
  </si>
  <si>
    <t>17358620</t>
  </si>
  <si>
    <t>20082371</t>
  </si>
  <si>
    <t>Tehran Heart Center</t>
  </si>
  <si>
    <t>Nanomedicine</t>
  </si>
  <si>
    <t>17435889</t>
  </si>
  <si>
    <t>17486963</t>
  </si>
  <si>
    <t>Nature Protocols</t>
  </si>
  <si>
    <t>17542189</t>
  </si>
  <si>
    <t>17502799</t>
  </si>
  <si>
    <t>Neural Regeneration Research</t>
  </si>
  <si>
    <t>16735374</t>
  </si>
  <si>
    <t>18767958</t>
  </si>
  <si>
    <t>Editorial Board of Neural Regeneration Research</t>
  </si>
  <si>
    <t>NeuroQuantology</t>
  </si>
  <si>
    <t>13035150</t>
  </si>
  <si>
    <t>Pakistan Paediatric Journal</t>
  </si>
  <si>
    <t>03044904</t>
  </si>
  <si>
    <t>Pakistan Pediatric Journal</t>
  </si>
  <si>
    <t>E-flow PDF Pakistan Pediatric Journal</t>
  </si>
  <si>
    <t>Perspectives in Vascular Surgery and Endovascular Therapy</t>
  </si>
  <si>
    <t>15310035</t>
  </si>
  <si>
    <t>15310027</t>
  </si>
  <si>
    <t>PET Clinics</t>
  </si>
  <si>
    <t>15568598</t>
  </si>
  <si>
    <t>18799809</t>
  </si>
  <si>
    <t>Chinese Journal of Pharmaceutical Biotechnology</t>
  </si>
  <si>
    <t>10058915</t>
  </si>
  <si>
    <t>Pharmacoeconomics - Spanish Research Articles</t>
  </si>
  <si>
    <t>1695405X</t>
  </si>
  <si>
    <t>19895453</t>
  </si>
  <si>
    <t>Pharmacognosy Magazine</t>
  </si>
  <si>
    <t>09731296</t>
  </si>
  <si>
    <t>09764062</t>
  </si>
  <si>
    <t>Pharmacologyonline</t>
  </si>
  <si>
    <t>18278620</t>
  </si>
  <si>
    <t>SILAE (Italo-Latin American Society of Ethnomedicine)</t>
  </si>
  <si>
    <t>PLoS Neglected Tropical Diseases</t>
  </si>
  <si>
    <t>19352727</t>
  </si>
  <si>
    <t>19352735</t>
  </si>
  <si>
    <t>Postepy Psychiatrii i Neurologii</t>
  </si>
  <si>
    <t>12302813</t>
  </si>
  <si>
    <t>Instytut Psychiatrii i Neurologii</t>
  </si>
  <si>
    <t>Postepy w Kardiologii Interwencyjnej</t>
  </si>
  <si>
    <t>17349338</t>
  </si>
  <si>
    <t>18974295</t>
  </si>
  <si>
    <t>Progress in Neurotherapeutics and Neuropsychopharmacology</t>
  </si>
  <si>
    <t>17482321</t>
  </si>
  <si>
    <t>1748233X</t>
  </si>
  <si>
    <t>Przeglad Gastroenterologiczny</t>
  </si>
  <si>
    <t>18955770</t>
  </si>
  <si>
    <t>18974317</t>
  </si>
  <si>
    <t>Recent Patents on Anti-Cancer Drug Discovery</t>
  </si>
  <si>
    <t>15748928</t>
  </si>
  <si>
    <t>Recent Patents on Anti-Infective Drug Discovery</t>
  </si>
  <si>
    <t>1574891X</t>
  </si>
  <si>
    <t>Recent Patents on Cardiovascular Drug Discovery</t>
  </si>
  <si>
    <t>15748901</t>
  </si>
  <si>
    <t>Recent Patents on CNS Drug Discovery</t>
  </si>
  <si>
    <t>15748898</t>
  </si>
  <si>
    <t>Regenerative Medicine</t>
  </si>
  <si>
    <t>17460751</t>
  </si>
  <si>
    <t>1746076X</t>
  </si>
  <si>
    <t>Review of Diabetic Studies</t>
  </si>
  <si>
    <t>16136071</t>
  </si>
  <si>
    <t>16130575</t>
  </si>
  <si>
    <t>Society for Biomedical Diabetes Research</t>
  </si>
  <si>
    <t>Reviews on Recent Clinical Trials</t>
  </si>
  <si>
    <t>15748871</t>
  </si>
  <si>
    <t>18761038</t>
  </si>
  <si>
    <t>Revista Latinoamericana de Hipertension</t>
  </si>
  <si>
    <t>18564550</t>
  </si>
  <si>
    <t>Sleep Medicine Clinics</t>
  </si>
  <si>
    <t>1556407X</t>
  </si>
  <si>
    <t>15564088</t>
  </si>
  <si>
    <t>South African Gastroenterology Review</t>
  </si>
  <si>
    <t>18121659</t>
  </si>
  <si>
    <t>In House Publications</t>
  </si>
  <si>
    <t>Tanaffos</t>
  </si>
  <si>
    <t>17350344</t>
  </si>
  <si>
    <t>Shaheed Beheshti University of Medical Sciences and Health Services</t>
  </si>
  <si>
    <t>Trastornos Adictivos</t>
  </si>
  <si>
    <t>15750973</t>
  </si>
  <si>
    <t>15782638</t>
  </si>
  <si>
    <t>Tumor</t>
  </si>
  <si>
    <t>10007431</t>
  </si>
  <si>
    <t>Shanghai Jiao Tong University</t>
  </si>
  <si>
    <t>Turk Onkoloji Dergisi</t>
  </si>
  <si>
    <t>13007467</t>
  </si>
  <si>
    <t>Istanbul Tip Fakultesi</t>
  </si>
  <si>
    <t>Ultrasound Clinics</t>
  </si>
  <si>
    <t>1556858X</t>
  </si>
  <si>
    <t>Vacunas</t>
  </si>
  <si>
    <t>15769887</t>
  </si>
  <si>
    <t>15788857</t>
  </si>
  <si>
    <t>Wideochirurgia I Inne Techniki Maloinwazyjne</t>
  </si>
  <si>
    <t>18954588</t>
  </si>
  <si>
    <t>World Heart Journal</t>
  </si>
  <si>
    <t>15564002</t>
  </si>
  <si>
    <t>World Journal of Pediatrics</t>
  </si>
  <si>
    <t>17088569</t>
  </si>
  <si>
    <t>18670687</t>
  </si>
  <si>
    <t>Institute of Pediatrics of Zhejiang University</t>
  </si>
  <si>
    <t>World Psychiatry</t>
  </si>
  <si>
    <t>17238617</t>
  </si>
  <si>
    <t>20515545</t>
  </si>
  <si>
    <t>Current Opinion in Endocrinology, Diabetes and Obesity</t>
  </si>
  <si>
    <t>1752296X</t>
  </si>
  <si>
    <t>17522978</t>
  </si>
  <si>
    <t>Journal of Cardiopulmonary Rehabilitation and Prevention</t>
  </si>
  <si>
    <t>19327501</t>
  </si>
  <si>
    <t>1932751X</t>
  </si>
  <si>
    <t>Clinical Neuroradiology</t>
  </si>
  <si>
    <t>18691439</t>
  </si>
  <si>
    <t>18691447</t>
  </si>
  <si>
    <t>Advances in Health Economics and Health Services Research</t>
  </si>
  <si>
    <t>07312199</t>
  </si>
  <si>
    <t>Menopause International</t>
  </si>
  <si>
    <t>17540453</t>
  </si>
  <si>
    <t>17540461</t>
  </si>
  <si>
    <t>Cell Host and Microbe</t>
  </si>
  <si>
    <t>19313128</t>
  </si>
  <si>
    <t>19346069</t>
  </si>
  <si>
    <t>Cell Stem Cell</t>
  </si>
  <si>
    <t>19345909</t>
  </si>
  <si>
    <t>18759777</t>
  </si>
  <si>
    <t>Obesity Research and Clinical Practice</t>
  </si>
  <si>
    <t>1871403X</t>
  </si>
  <si>
    <t>18780318</t>
  </si>
  <si>
    <t>Journal of the American Society of Hypertension</t>
  </si>
  <si>
    <t>19331711</t>
  </si>
  <si>
    <t>18787436</t>
  </si>
  <si>
    <t>Forensic Science International: Genetics</t>
  </si>
  <si>
    <t>18724973</t>
  </si>
  <si>
    <t>18780326</t>
  </si>
  <si>
    <t>Diabetes and Metabolic Syndrome: Clinical Research and Reviews</t>
  </si>
  <si>
    <t>18714021</t>
  </si>
  <si>
    <t>18780334</t>
  </si>
  <si>
    <t>Wiadomosci Psychiatryczne</t>
  </si>
  <si>
    <t>15057429</t>
  </si>
  <si>
    <t>Brain Structure and Function</t>
  </si>
  <si>
    <t>18632653</t>
  </si>
  <si>
    <t>18632661</t>
  </si>
  <si>
    <t>Journal of Natural Medicines</t>
  </si>
  <si>
    <t>13403443</t>
  </si>
  <si>
    <t>18610293</t>
  </si>
  <si>
    <t>International Journal of Laboratory Hematology</t>
  </si>
  <si>
    <t>17515521</t>
  </si>
  <si>
    <t>1751553X</t>
  </si>
  <si>
    <t>Paediatria Croatica, Supplement</t>
  </si>
  <si>
    <t>1330724X</t>
  </si>
  <si>
    <t>E-Flow PDF Children's Hospital Zagreb</t>
  </si>
  <si>
    <t>Journal of Medical Biochemistry</t>
  </si>
  <si>
    <t>14528258</t>
  </si>
  <si>
    <t>14528266</t>
  </si>
  <si>
    <t>Society of Medical Biochemists of Serbia and Montenegro</t>
  </si>
  <si>
    <t>Anales de Patologia Vascular</t>
  </si>
  <si>
    <t>18875890</t>
  </si>
  <si>
    <t>20138431</t>
  </si>
  <si>
    <t>Otorhinolaryngologist</t>
  </si>
  <si>
    <t>17529360</t>
  </si>
  <si>
    <t>Molecular Oncology</t>
  </si>
  <si>
    <t>15747891</t>
  </si>
  <si>
    <t>18780261</t>
  </si>
  <si>
    <t>Developmental Neurobiology</t>
  </si>
  <si>
    <t>19328451</t>
  </si>
  <si>
    <t>10974695</t>
  </si>
  <si>
    <t>Journal of Epilepsy and Clinical Neurophysiology</t>
  </si>
  <si>
    <t>16762649</t>
  </si>
  <si>
    <t>Liga Brasileira de Epilepsia</t>
  </si>
  <si>
    <t>Medecine des Maladies Metaboliques</t>
  </si>
  <si>
    <t>19572557</t>
  </si>
  <si>
    <t>Latin American Journal of Pharmacy</t>
  </si>
  <si>
    <t>03262383</t>
  </si>
  <si>
    <t>Colegio de Farmaceuticos de la Provincia de Buenos Aires</t>
  </si>
  <si>
    <t>Colegio de Farm. de la Provincia de Buenos Aires</t>
  </si>
  <si>
    <t>ENGL/PORT/SPAN</t>
  </si>
  <si>
    <t>Artery Research</t>
  </si>
  <si>
    <t>18729312</t>
  </si>
  <si>
    <t>18764401</t>
  </si>
  <si>
    <t>Journal of Ultrasound</t>
  </si>
  <si>
    <t>19713495</t>
  </si>
  <si>
    <t>18767931</t>
  </si>
  <si>
    <t>Springer Science+Business Media LLC.</t>
  </si>
  <si>
    <t>Journal of the Mechanical Behavior of Biomedical Materials</t>
  </si>
  <si>
    <t>17516161</t>
  </si>
  <si>
    <t>18780180</t>
  </si>
  <si>
    <t>Science and Justice</t>
  </si>
  <si>
    <t>13550306</t>
  </si>
  <si>
    <t>18764452</t>
  </si>
  <si>
    <t>Forensic Science Society</t>
  </si>
  <si>
    <t>Seminars in Immunopathology</t>
  </si>
  <si>
    <t>18632297</t>
  </si>
  <si>
    <t>18632300</t>
  </si>
  <si>
    <t>Apunts Medicina de l'Esport</t>
  </si>
  <si>
    <t>18866581</t>
  </si>
  <si>
    <t>Dialisis y Trasplante</t>
  </si>
  <si>
    <t>18862845</t>
  </si>
  <si>
    <t>18867278</t>
  </si>
  <si>
    <t>Piel</t>
  </si>
  <si>
    <t>02139251</t>
  </si>
  <si>
    <t>15788830</t>
  </si>
  <si>
    <t>Rehabilitacion Psicosocial</t>
  </si>
  <si>
    <t>16969936</t>
  </si>
  <si>
    <t>Federacion Espanola de Asoc. de Rehabilitacion Psicosocial</t>
  </si>
  <si>
    <t>Enfermedades Infecciosas y Microbiologia Clinica Monografias</t>
  </si>
  <si>
    <t>16963539</t>
  </si>
  <si>
    <t>E-flow PDF Ediciones Doyma, S.L.</t>
  </si>
  <si>
    <t>Medicina Clinica Monografias</t>
  </si>
  <si>
    <t>15771512</t>
  </si>
  <si>
    <t>Reumatologia Clinica Suplementos</t>
  </si>
  <si>
    <t>18863604</t>
  </si>
  <si>
    <t>FMC Formacion Medica Continuada en Atencion Primaria</t>
  </si>
  <si>
    <t>11342072</t>
  </si>
  <si>
    <t>15789675</t>
  </si>
  <si>
    <t>Internet Journal of Medical Update</t>
  </si>
  <si>
    <t>16940423</t>
  </si>
  <si>
    <t>AKS Publication</t>
  </si>
  <si>
    <t>MUS</t>
  </si>
  <si>
    <t>Acta Medica Saliniana</t>
  </si>
  <si>
    <t>0350364X</t>
  </si>
  <si>
    <t>18403956</t>
  </si>
  <si>
    <t>University Clinical Center Tuzla</t>
  </si>
  <si>
    <t>Acta Stomatologica Croatica</t>
  </si>
  <si>
    <t>00017019</t>
  </si>
  <si>
    <t>18460410</t>
  </si>
  <si>
    <t>University of Zagreb</t>
  </si>
  <si>
    <t>Journal of Orthopaedics</t>
  </si>
  <si>
    <t>0972978X</t>
  </si>
  <si>
    <t>Reed Elsevier India Pvt. Ltd.</t>
  </si>
  <si>
    <t>Multidisciplinary Respiratory Medicine</t>
  </si>
  <si>
    <t>1828695X</t>
  </si>
  <si>
    <t>Journal of Reproduction and Infertility</t>
  </si>
  <si>
    <t>22285482</t>
  </si>
  <si>
    <t>2251676X</t>
  </si>
  <si>
    <t>Avicenna Research Institute</t>
  </si>
  <si>
    <t>Iranian Journal of Biotechnology</t>
  </si>
  <si>
    <t>17283043</t>
  </si>
  <si>
    <t>Turboglen Publishing Co.</t>
  </si>
  <si>
    <t>Acta Informatica Medica</t>
  </si>
  <si>
    <t>03538109</t>
  </si>
  <si>
    <t>19865988</t>
  </si>
  <si>
    <t>Avicena Publishing</t>
  </si>
  <si>
    <t>Netherlands Journal of Critical Care</t>
  </si>
  <si>
    <t>15693511</t>
  </si>
  <si>
    <t>Netherlands Society of Intensive Care</t>
  </si>
  <si>
    <t>NVIC - Netherlands Society of Intensive Care</t>
  </si>
  <si>
    <t>Malta Medical Journal</t>
  </si>
  <si>
    <t>18133339</t>
  </si>
  <si>
    <t>University of Malta</t>
  </si>
  <si>
    <t>MLT</t>
  </si>
  <si>
    <t>Biomedical Imaging and Intervention Journal</t>
  </si>
  <si>
    <t>18235530</t>
  </si>
  <si>
    <t>University of Malaya</t>
  </si>
  <si>
    <t>WSEAS Transactions on Biology and Biomedicine</t>
  </si>
  <si>
    <t>11099518</t>
  </si>
  <si>
    <t>World Scientific and Engineering Academy and Society</t>
  </si>
  <si>
    <t>Journal of Echocardiography</t>
  </si>
  <si>
    <t>13490222</t>
  </si>
  <si>
    <t>1880344X</t>
  </si>
  <si>
    <t>Kranion</t>
  </si>
  <si>
    <t>15778843</t>
  </si>
  <si>
    <t>Psicooncologia</t>
  </si>
  <si>
    <t>16967240</t>
  </si>
  <si>
    <t>19888287</t>
  </si>
  <si>
    <t>Universidad Complutense de Madrid</t>
  </si>
  <si>
    <t>Asociacion de Psicooncologia de Madrid</t>
  </si>
  <si>
    <t>Healthcare Policy</t>
  </si>
  <si>
    <t>17156572</t>
  </si>
  <si>
    <t>17156580</t>
  </si>
  <si>
    <t>Longwoods Publishing Corp.</t>
  </si>
  <si>
    <t>Longwoods Publishing Corporation</t>
  </si>
  <si>
    <t>Hacettepe University Journal of the Faculty of Pharmacy</t>
  </si>
  <si>
    <t>13000608</t>
  </si>
  <si>
    <t>Hacettepe University, Faculty of Pharmacy</t>
  </si>
  <si>
    <t>Journal of Cancer Molecules</t>
  </si>
  <si>
    <t>18160735</t>
  </si>
  <si>
    <t>18174256</t>
  </si>
  <si>
    <t>MedUnion Press</t>
  </si>
  <si>
    <t>Journal of Clinical Neurology (China)</t>
  </si>
  <si>
    <t>10041648</t>
  </si>
  <si>
    <t>Editorial Department of Journal of Clinical Neurology</t>
  </si>
  <si>
    <t>E-flow PDF Editorial Department of Journal of Clinical Neurology</t>
  </si>
  <si>
    <t>Journal of Leukemia and Lymphoma</t>
  </si>
  <si>
    <t>10099921</t>
  </si>
  <si>
    <t>Editorial Board of Journal of Leukemia and Lymphoma</t>
  </si>
  <si>
    <t>E-flow PDF Editorial Board of Journal of Leukemia and Lymphoma</t>
  </si>
  <si>
    <t>Cancer Research and Clinic</t>
  </si>
  <si>
    <t>10069801</t>
  </si>
  <si>
    <t>Editorial Board of Cancer Research and Clinic</t>
  </si>
  <si>
    <t>African Journal of Biomedical Research</t>
  </si>
  <si>
    <t>11195096</t>
  </si>
  <si>
    <t>Ibadan Biomedical Communications Group</t>
  </si>
  <si>
    <t>Biomarker Insights</t>
  </si>
  <si>
    <t>11772719</t>
  </si>
  <si>
    <t>Clinical Interventions in Aging</t>
  </si>
  <si>
    <t>11769092</t>
  </si>
  <si>
    <t>11781998</t>
  </si>
  <si>
    <t>Evolutionary Bioinformatics</t>
  </si>
  <si>
    <t>11769343</t>
  </si>
  <si>
    <t>Obstetrics and Gynaecology Forum</t>
  </si>
  <si>
    <t>10291962</t>
  </si>
  <si>
    <t>Cold Spring Harbor Protocols</t>
  </si>
  <si>
    <t>19403402</t>
  </si>
  <si>
    <t>15596095</t>
  </si>
  <si>
    <t>International Journal of Probiotics and Prebiotics</t>
  </si>
  <si>
    <t>15551431</t>
  </si>
  <si>
    <t>Iranian Journal of Pediatrics</t>
  </si>
  <si>
    <t>20082142</t>
  </si>
  <si>
    <t>20082150</t>
  </si>
  <si>
    <t>Tehran University of Medical Sciences (TUMS)</t>
  </si>
  <si>
    <t>Tehran University of Medical Sciences (TUMS)aniek</t>
  </si>
  <si>
    <t>ENGL/PERS</t>
  </si>
  <si>
    <t>Psychiatria</t>
  </si>
  <si>
    <t>17329841</t>
  </si>
  <si>
    <t>Revista Brasileira de Cardiologia Invasiva</t>
  </si>
  <si>
    <t>01041843</t>
  </si>
  <si>
    <t>Sociedade Brasileira de Cardiologia</t>
  </si>
  <si>
    <t>Sociedade Brasiliera de Cardiologia</t>
  </si>
  <si>
    <t>Psycho-Oncologie</t>
  </si>
  <si>
    <t>17783798</t>
  </si>
  <si>
    <t>1778381X</t>
  </si>
  <si>
    <t>Cardiology Journal</t>
  </si>
  <si>
    <t>18975593</t>
  </si>
  <si>
    <t>1898018X</t>
  </si>
  <si>
    <t>African Journal of Psychiatry (South Africa)</t>
  </si>
  <si>
    <t>19948220</t>
  </si>
  <si>
    <t>Bulletin of the NYU Hospital for Joint Diseases</t>
  </si>
  <si>
    <t>19369719</t>
  </si>
  <si>
    <t>19369727</t>
  </si>
  <si>
    <t>J. Michael Ryan Publishing Inc.</t>
  </si>
  <si>
    <t>Journal of Cardiovascular Computed Tomography</t>
  </si>
  <si>
    <t>19345925</t>
  </si>
  <si>
    <t>1876861X</t>
  </si>
  <si>
    <t>Medycyna Paliatywna w Praktyce</t>
  </si>
  <si>
    <t>18980678</t>
  </si>
  <si>
    <t>16894898</t>
  </si>
  <si>
    <t>Blood Transfusion</t>
  </si>
  <si>
    <t>17232007</t>
  </si>
  <si>
    <t>SIMTI Servizi Sri</t>
  </si>
  <si>
    <t>Journal of Crohn's and Colitis</t>
  </si>
  <si>
    <t>18739946</t>
  </si>
  <si>
    <t>18764479</t>
  </si>
  <si>
    <t>Journal of Crohn's and Colitis Supplements</t>
  </si>
  <si>
    <t>18739954</t>
  </si>
  <si>
    <t>18764460</t>
  </si>
  <si>
    <t>Stem Cell Research</t>
  </si>
  <si>
    <t>18735061</t>
  </si>
  <si>
    <t>18767753</t>
  </si>
  <si>
    <t>European Journal of Pain Supplements</t>
  </si>
  <si>
    <t>17543207</t>
  </si>
  <si>
    <t>18780075</t>
  </si>
  <si>
    <t>Revista Espanola de Cardiologia Suplementos</t>
  </si>
  <si>
    <t>11313587</t>
  </si>
  <si>
    <t>15792250</t>
  </si>
  <si>
    <t>Journal of Digestive Diseases</t>
  </si>
  <si>
    <t>17512972</t>
  </si>
  <si>
    <t>17512980</t>
  </si>
  <si>
    <t>Modern Trends in Pharmacopsychiatry</t>
  </si>
  <si>
    <t>16622685</t>
  </si>
  <si>
    <t>16624505</t>
  </si>
  <si>
    <t>Clinical Journal of the American Society of Nephrology</t>
  </si>
  <si>
    <t>15559041</t>
  </si>
  <si>
    <t>1555905X</t>
  </si>
  <si>
    <t>Proteomics - Clinical Applications</t>
  </si>
  <si>
    <t>18628346</t>
  </si>
  <si>
    <t>18628354</t>
  </si>
  <si>
    <t>International Journal of Ozone Therapy</t>
  </si>
  <si>
    <t>19723539</t>
  </si>
  <si>
    <t>Medical Acupuncture</t>
  </si>
  <si>
    <t>19336586</t>
  </si>
  <si>
    <t>19336594</t>
  </si>
  <si>
    <t>Animal Technology and Welfare</t>
  </si>
  <si>
    <t>17420385</t>
  </si>
  <si>
    <t>Institute of Animal Technology</t>
  </si>
  <si>
    <t>Rawal Medical Journal</t>
  </si>
  <si>
    <t>03035212</t>
  </si>
  <si>
    <t>Kuwait Medical Journal</t>
  </si>
  <si>
    <t>00235776</t>
  </si>
  <si>
    <t>Kuwait Medical Association</t>
  </si>
  <si>
    <t>KWT</t>
  </si>
  <si>
    <t>Current Chemical Biology</t>
  </si>
  <si>
    <t>22127968</t>
  </si>
  <si>
    <t>18723136</t>
  </si>
  <si>
    <t>Drug Metabolism Letters</t>
  </si>
  <si>
    <t>18723128</t>
  </si>
  <si>
    <t>Recent Patents on Biotechnology</t>
  </si>
  <si>
    <t>18722083</t>
  </si>
  <si>
    <t>Recent Patents on DNA and Gene Sequences</t>
  </si>
  <si>
    <t>18722156</t>
  </si>
  <si>
    <t>Recent Patents on Drug Delivery and Formulation</t>
  </si>
  <si>
    <t>18722113</t>
  </si>
  <si>
    <t>Recent Patents on Endocrine, Metabolic and Immune Drug Discovery</t>
  </si>
  <si>
    <t>18722148</t>
  </si>
  <si>
    <t>Recent Patents on Inflammation and Allergy Drug Discovery</t>
  </si>
  <si>
    <t>1872213X</t>
  </si>
  <si>
    <t>Biomarkers in Medicine</t>
  </si>
  <si>
    <t>17520363</t>
  </si>
  <si>
    <t>17520371</t>
  </si>
  <si>
    <t>PLoS ONE</t>
  </si>
  <si>
    <t>19326203</t>
  </si>
  <si>
    <t>Journal of Tissue Viability</t>
  </si>
  <si>
    <t>0965206X</t>
  </si>
  <si>
    <t>18764746</t>
  </si>
  <si>
    <t>Tissue Viability Society</t>
  </si>
  <si>
    <t>Biochemistry (Moscow) Supplement Series A: Membrane and Cell Biology</t>
  </si>
  <si>
    <t>19907478</t>
  </si>
  <si>
    <t>19907494</t>
  </si>
  <si>
    <t>Biochemistry (Moscow) Supplement Series B: Biomedical Chemistry</t>
  </si>
  <si>
    <t>19907508</t>
  </si>
  <si>
    <t>19907516</t>
  </si>
  <si>
    <t>Hepatology International</t>
  </si>
  <si>
    <t>19360533</t>
  </si>
  <si>
    <t>19360541</t>
  </si>
  <si>
    <t>Journal of Cell Communication and Signaling</t>
  </si>
  <si>
    <t>18739601</t>
  </si>
  <si>
    <t>1873961X</t>
  </si>
  <si>
    <t>Journal of Zhejiang University: Science B</t>
  </si>
  <si>
    <t>16731581</t>
  </si>
  <si>
    <t>18621783</t>
  </si>
  <si>
    <t>Zhejiang University Press</t>
  </si>
  <si>
    <t>Current Urology</t>
  </si>
  <si>
    <t>16617649</t>
  </si>
  <si>
    <t>16617657</t>
  </si>
  <si>
    <t>Journal of Breath Research</t>
  </si>
  <si>
    <t>17527155</t>
  </si>
  <si>
    <t>17527163</t>
  </si>
  <si>
    <t>Evidence-Based Communication Assessment and Intervention</t>
  </si>
  <si>
    <t>17489539</t>
  </si>
  <si>
    <t>17489547</t>
  </si>
  <si>
    <t>Mucosal Immunology</t>
  </si>
  <si>
    <t>19330219</t>
  </si>
  <si>
    <t>19353456</t>
  </si>
  <si>
    <t>Journal of the National Cancer Institute - Monographs</t>
  </si>
  <si>
    <t>10526773</t>
  </si>
  <si>
    <t>17456614</t>
  </si>
  <si>
    <t>IEEE Reviews in Biomedical Engineering</t>
  </si>
  <si>
    <t>19373333</t>
  </si>
  <si>
    <t>American Heart Hospital Journal</t>
  </si>
  <si>
    <t>15419215</t>
  </si>
  <si>
    <t>17517168</t>
  </si>
  <si>
    <t>Touch Briefings</t>
  </si>
  <si>
    <t>Clinical and Translational Science</t>
  </si>
  <si>
    <t>17528054</t>
  </si>
  <si>
    <t>17528062</t>
  </si>
  <si>
    <t>Early Intervention in Psychiatry</t>
  </si>
  <si>
    <t>17517885</t>
  </si>
  <si>
    <t>17517893</t>
  </si>
  <si>
    <t>Influenza and other Respiratory Viruses</t>
  </si>
  <si>
    <t>17502640</t>
  </si>
  <si>
    <t>17502659</t>
  </si>
  <si>
    <t>Journal of Addiction Medicine</t>
  </si>
  <si>
    <t>19320620</t>
  </si>
  <si>
    <t>19353227</t>
  </si>
  <si>
    <t>Internet Journal of Hematology</t>
  </si>
  <si>
    <t>15402649</t>
  </si>
  <si>
    <t>Internet Scientific Publications, LLC</t>
  </si>
  <si>
    <t>Internet Scientific Publications, LlC</t>
  </si>
  <si>
    <t>Revista Colombiana de Cardiologia</t>
  </si>
  <si>
    <t>01205633</t>
  </si>
  <si>
    <t>Sociedad Colombiana de Cardiologia y Cirugia Cardiovascular</t>
  </si>
  <si>
    <t>Revista Venezolana de Oncologia</t>
  </si>
  <si>
    <t>07980582</t>
  </si>
  <si>
    <t>Sociedad Venezolana de Oncologia</t>
  </si>
  <si>
    <t>Therapeutic Advances in Cardiovascular Disease</t>
  </si>
  <si>
    <t>17539447</t>
  </si>
  <si>
    <t>17539455</t>
  </si>
  <si>
    <t>Therapeutic Advances in Respiratory Disease</t>
  </si>
  <si>
    <t>17534658</t>
  </si>
  <si>
    <t>17534666</t>
  </si>
  <si>
    <t>Advances in Pharmacological Sciences</t>
  </si>
  <si>
    <t>16876334</t>
  </si>
  <si>
    <t>16876342</t>
  </si>
  <si>
    <t>Anesthesiology Research and Practice</t>
  </si>
  <si>
    <t>16876962</t>
  </si>
  <si>
    <t>16876970</t>
  </si>
  <si>
    <t>Drug Target Insights</t>
  </si>
  <si>
    <t>11773928</t>
  </si>
  <si>
    <t>Gene Regulation and Systems Biology</t>
  </si>
  <si>
    <t>11776250</t>
  </si>
  <si>
    <t>Integrative Medicine Insights</t>
  </si>
  <si>
    <t>11773936</t>
  </si>
  <si>
    <t>Perspectives in Medicinal Chemistry</t>
  </si>
  <si>
    <t>1177391X</t>
  </si>
  <si>
    <t>Translational Oncogenomics</t>
  </si>
  <si>
    <t>11772727</t>
  </si>
  <si>
    <t>Child and Adolescent Psychiatry and Mental Health</t>
  </si>
  <si>
    <t>17532000</t>
  </si>
  <si>
    <t>International Journal of Mental Health Systems</t>
  </si>
  <si>
    <t>17524458</t>
  </si>
  <si>
    <t>Journal of Biological Engineering</t>
  </si>
  <si>
    <t>17541611</t>
  </si>
  <si>
    <t>Journal of Medical Case Reports</t>
  </si>
  <si>
    <t>17521947</t>
  </si>
  <si>
    <t>Nonlinear Biomedical Physics</t>
  </si>
  <si>
    <t>17534631</t>
  </si>
  <si>
    <t>Pediatric Rheumatology</t>
  </si>
  <si>
    <t>15460096</t>
  </si>
  <si>
    <t>Trends in Medical Research</t>
  </si>
  <si>
    <t>18193587</t>
  </si>
  <si>
    <t>21516065</t>
  </si>
  <si>
    <t>Academic Journals Inc.</t>
  </si>
  <si>
    <t>Journal of Pharmacology and Toxicology</t>
  </si>
  <si>
    <t>1816496X</t>
  </si>
  <si>
    <t>2152100X</t>
  </si>
  <si>
    <t>European Journal of Mental Health</t>
  </si>
  <si>
    <t>17884934</t>
  </si>
  <si>
    <t>17887119</t>
  </si>
  <si>
    <t>Semmelweis University Inistitute of Mental Health</t>
  </si>
  <si>
    <t>Journal of the Royal College of Physicians of Edinburgh</t>
  </si>
  <si>
    <t>14782715</t>
  </si>
  <si>
    <t>Royal College of Physicians of Edinburgh</t>
  </si>
  <si>
    <t>Tehran University Medical Journal</t>
  </si>
  <si>
    <t>16831764</t>
  </si>
  <si>
    <t>Iranian Journal of Parasitology</t>
  </si>
  <si>
    <t>17357020</t>
  </si>
  <si>
    <t>Iranian Journal of Radiology</t>
  </si>
  <si>
    <t>17351065</t>
  </si>
  <si>
    <t>20082711</t>
  </si>
  <si>
    <t>Research Journal of Medical Sciences</t>
  </si>
  <si>
    <t>18159346</t>
  </si>
  <si>
    <t>19936095</t>
  </si>
  <si>
    <t>Medwell Journals</t>
  </si>
  <si>
    <t>Research Journal of Pharmacology</t>
  </si>
  <si>
    <t>18159362</t>
  </si>
  <si>
    <t>Revista Neurociencias</t>
  </si>
  <si>
    <t>01043579</t>
  </si>
  <si>
    <t>19844905</t>
  </si>
  <si>
    <t>Universidade Federal de Sao Paulo</t>
  </si>
  <si>
    <t>Terapia Psicologica</t>
  </si>
  <si>
    <t>07166184</t>
  </si>
  <si>
    <t>07184808</t>
  </si>
  <si>
    <t>Sociedad Chilena de Psicologia Clinica</t>
  </si>
  <si>
    <t>Anatolian Journal of Clinical Investigation</t>
  </si>
  <si>
    <t>13068814</t>
  </si>
  <si>
    <t>13071173</t>
  </si>
  <si>
    <t>Gastric and Breast Cancer</t>
  </si>
  <si>
    <t>11097655</t>
  </si>
  <si>
    <t>11097647</t>
  </si>
  <si>
    <t>Ioannina University School of Medicine</t>
  </si>
  <si>
    <t>Journal of Clinical and Diagnostic Research</t>
  </si>
  <si>
    <t>2249782X</t>
  </si>
  <si>
    <t>0973709X</t>
  </si>
  <si>
    <t>Records of Natural Products</t>
  </si>
  <si>
    <t>13076167</t>
  </si>
  <si>
    <t>ACG Publications</t>
  </si>
  <si>
    <t>Hepatitis Monthly</t>
  </si>
  <si>
    <t>1735143X</t>
  </si>
  <si>
    <t>17453408</t>
  </si>
  <si>
    <t>Baqiytallah Research Center</t>
  </si>
  <si>
    <t>Dolor, Clinica y Terapia</t>
  </si>
  <si>
    <t>16653238</t>
  </si>
  <si>
    <t>Centro Nacional de Capacitacion en Terapia del Dolor</t>
  </si>
  <si>
    <t>Neurologia, Neurocirugia y Psiquiatria</t>
  </si>
  <si>
    <t>00283851</t>
  </si>
  <si>
    <t>Sociedad Mexicana de Neurologia y Psiquiatria</t>
  </si>
  <si>
    <t>Revista Mexicana de Enfermeria Cardiologica</t>
  </si>
  <si>
    <t>14050315</t>
  </si>
  <si>
    <t>Sociedad Mexicana de Cardiologia</t>
  </si>
  <si>
    <t>Revista Mexicana de Neurociencia</t>
  </si>
  <si>
    <t>16655044</t>
  </si>
  <si>
    <t>Academia Mexicana de Neurologia</t>
  </si>
  <si>
    <t>Journal of Nepal Paediatric Society</t>
  </si>
  <si>
    <t>19907974</t>
  </si>
  <si>
    <t>19907982</t>
  </si>
  <si>
    <t>Nepal Paediatric Society (NEPAS)</t>
  </si>
  <si>
    <t>International Journal of Biomedical Science</t>
  </si>
  <si>
    <t>15509702</t>
  </si>
  <si>
    <t>15552810</t>
  </si>
  <si>
    <t>Master Publishing Group</t>
  </si>
  <si>
    <t>Pharmakeftiki</t>
  </si>
  <si>
    <t>11054999</t>
  </si>
  <si>
    <t>22413081</t>
  </si>
  <si>
    <t>L.S. Papathanasopoulou Ltd.</t>
  </si>
  <si>
    <t>Neurology Asia</t>
  </si>
  <si>
    <t>18236138</t>
  </si>
  <si>
    <t>ASEAN Neurological Association</t>
  </si>
  <si>
    <t>Revista Mexicana de Cardiologia</t>
  </si>
  <si>
    <t>01882198</t>
  </si>
  <si>
    <t>Asociacion Nacional de Cardiologos de Mexico</t>
  </si>
  <si>
    <t>Plasticidad y Restauracion Neurologica</t>
  </si>
  <si>
    <t>16653254</t>
  </si>
  <si>
    <t>Asociacion Internacional Pro de la Plasticidad Cerebral A.C.</t>
  </si>
  <si>
    <t>Asociacion Internacional Pro de la Plasticidad Cerebral A.C</t>
  </si>
  <si>
    <t>Genetics Research</t>
  </si>
  <si>
    <t>00166723</t>
  </si>
  <si>
    <t>14695073</t>
  </si>
  <si>
    <t>International Journal of Biomedical Engineering and Technology</t>
  </si>
  <si>
    <t>17526418</t>
  </si>
  <si>
    <t>17526426</t>
  </si>
  <si>
    <t>Progress in Neurology and Psychiatry</t>
  </si>
  <si>
    <t>13677543</t>
  </si>
  <si>
    <t>1931227X</t>
  </si>
  <si>
    <t>Journal of Tissue Engineering and Regenerative Medicine</t>
  </si>
  <si>
    <t>19326254</t>
  </si>
  <si>
    <t>19327005</t>
  </si>
  <si>
    <t>Current Protocols in Bioinformatics</t>
  </si>
  <si>
    <t>19343396</t>
  </si>
  <si>
    <t>1934340X</t>
  </si>
  <si>
    <t>Current Protocols in Cell Biology</t>
  </si>
  <si>
    <t>19342500</t>
  </si>
  <si>
    <t>19342616</t>
  </si>
  <si>
    <t>Current Protocols in Cytometry</t>
  </si>
  <si>
    <t>19349297</t>
  </si>
  <si>
    <t>19349300</t>
  </si>
  <si>
    <t>Current Protocols in Human Genetics</t>
  </si>
  <si>
    <t>19348266</t>
  </si>
  <si>
    <t>19348258</t>
  </si>
  <si>
    <t>Current Protocols in Immunology</t>
  </si>
  <si>
    <t>19343671</t>
  </si>
  <si>
    <t>1934368X</t>
  </si>
  <si>
    <t>Current Protocols in Microbiology</t>
  </si>
  <si>
    <t>19348525</t>
  </si>
  <si>
    <t>19348533</t>
  </si>
  <si>
    <t>Current Protocols in Molecular Biology</t>
  </si>
  <si>
    <t>19343639</t>
  </si>
  <si>
    <t>19343647</t>
  </si>
  <si>
    <t>Current Protocols in Nucleic Acid Chemistry</t>
  </si>
  <si>
    <t>19349270</t>
  </si>
  <si>
    <t>19349289</t>
  </si>
  <si>
    <t>Current Protocols in Protein Science</t>
  </si>
  <si>
    <t>19343655</t>
  </si>
  <si>
    <t>19343663</t>
  </si>
  <si>
    <t>Current Protocols in Stem Cell Biology</t>
  </si>
  <si>
    <t>19417322</t>
  </si>
  <si>
    <t>19388969</t>
  </si>
  <si>
    <t>Current Protocols in Toxicology</t>
  </si>
  <si>
    <t>19349254</t>
  </si>
  <si>
    <t>19349262</t>
  </si>
  <si>
    <t>Current Protocols in Neuroscience</t>
  </si>
  <si>
    <t>19348584</t>
  </si>
  <si>
    <t>19348576</t>
  </si>
  <si>
    <t>Current Protocols in Pharmacology</t>
  </si>
  <si>
    <t>19348282</t>
  </si>
  <si>
    <t>19348290</t>
  </si>
  <si>
    <t>Journal of Medical Devices, Transactions of the ASME</t>
  </si>
  <si>
    <t>19326181</t>
  </si>
  <si>
    <t>1932619X</t>
  </si>
  <si>
    <t>Ultrasound</t>
  </si>
  <si>
    <t>1742271X</t>
  </si>
  <si>
    <t>17431344</t>
  </si>
  <si>
    <t>Chinese Journal of Cancer Biotherapy</t>
  </si>
  <si>
    <t>1007385X</t>
  </si>
  <si>
    <t>Editorial office of Chinese Journal of Cancer Biotherapy</t>
  </si>
  <si>
    <t>Przeglad Kardiodiabetologinczny</t>
  </si>
  <si>
    <t>18969666</t>
  </si>
  <si>
    <t>Expert Review of Clinical Pharmacology</t>
  </si>
  <si>
    <t>17512433</t>
  </si>
  <si>
    <t>17512441</t>
  </si>
  <si>
    <t>Expert Review of Gastroenterology and Hepatology</t>
  </si>
  <si>
    <t>17474124</t>
  </si>
  <si>
    <t>17474132</t>
  </si>
  <si>
    <t>Expert Review of Obstetrics and Gynecology</t>
  </si>
  <si>
    <t>17474108</t>
  </si>
  <si>
    <t>17474116</t>
  </si>
  <si>
    <t>Expert Review of Ophthalmology</t>
  </si>
  <si>
    <t>17469899</t>
  </si>
  <si>
    <t>17469902</t>
  </si>
  <si>
    <t>Expert Review of Respiratory Medicine</t>
  </si>
  <si>
    <t>17476348</t>
  </si>
  <si>
    <t>17476356</t>
  </si>
  <si>
    <t>International Journal of Fertility and Sterility</t>
  </si>
  <si>
    <t>2008076X</t>
  </si>
  <si>
    <t>20080778</t>
  </si>
  <si>
    <t>Royan Institute (ACECR)</t>
  </si>
  <si>
    <t>Chinese Journal of New Drugs</t>
  </si>
  <si>
    <t>10033734</t>
  </si>
  <si>
    <t>Chinese Journal of New Drugs Co. Ltd.</t>
  </si>
  <si>
    <t>SAJCH South African Journal of Child Health</t>
  </si>
  <si>
    <t>19943032</t>
  </si>
  <si>
    <t>Health and Medical Publishing Group</t>
  </si>
  <si>
    <t>SAMA Health and Medical Publishing Group</t>
  </si>
  <si>
    <t>17530059</t>
  </si>
  <si>
    <t>17530067</t>
  </si>
  <si>
    <t>Neuroscience Imaging</t>
  </si>
  <si>
    <t>15564010</t>
  </si>
  <si>
    <t>Journal of Pure and Applied Microbiology</t>
  </si>
  <si>
    <t>09737510</t>
  </si>
  <si>
    <t>Southern African Journal of Anaesthesia and Analgesia</t>
  </si>
  <si>
    <t>22201181</t>
  </si>
  <si>
    <t>Iranian Journal of Reproductive Medicine</t>
  </si>
  <si>
    <t>16806433</t>
  </si>
  <si>
    <t>20082177</t>
  </si>
  <si>
    <t>Research and Clinical Center for Infertitlity</t>
  </si>
  <si>
    <t>Ginekologia i Poloznictwo</t>
  </si>
  <si>
    <t>18963315</t>
  </si>
  <si>
    <t>Medical Project Poland</t>
  </si>
  <si>
    <t>Mycotoxin Research</t>
  </si>
  <si>
    <t>01787888</t>
  </si>
  <si>
    <t>18671632</t>
  </si>
  <si>
    <t>Clinical Schizophrenia and Related Psychoses</t>
  </si>
  <si>
    <t>19351232</t>
  </si>
  <si>
    <t>Walsh Medical Media, LLC</t>
  </si>
  <si>
    <t>Gaceta Mexicana de Oncologia</t>
  </si>
  <si>
    <t>16659201</t>
  </si>
  <si>
    <t>Masson-Doyma Mexico, S.A.</t>
  </si>
  <si>
    <t>Rehabilitation Oncology</t>
  </si>
  <si>
    <t>American Physical Therapy Association</t>
  </si>
  <si>
    <t>American Physical Therapy Association zon</t>
  </si>
  <si>
    <t>Molecular and Cellular Toxicology</t>
  </si>
  <si>
    <t>1738642X</t>
  </si>
  <si>
    <t>20928467</t>
  </si>
  <si>
    <t>Iranian Red Crescent Medical Journal</t>
  </si>
  <si>
    <t>15614395</t>
  </si>
  <si>
    <t>Iranian Red Crescent Society</t>
  </si>
  <si>
    <t>Journal of Diabetes Science and Technology</t>
  </si>
  <si>
    <t>19322968</t>
  </si>
  <si>
    <t>Diabetes Technology Society</t>
  </si>
  <si>
    <t>Pakistan Journal of Biotechnology</t>
  </si>
  <si>
    <t>18121837</t>
  </si>
  <si>
    <t>Institute of Biotechnology and Genetic Engineering</t>
  </si>
  <si>
    <t>Indian Journal of Forensic Medicine and Toxicology</t>
  </si>
  <si>
    <t>09739122</t>
  </si>
  <si>
    <t>09739130</t>
  </si>
  <si>
    <t>Neuropsychopharmacologia Hungarica</t>
  </si>
  <si>
    <t>14198711</t>
  </si>
  <si>
    <t>Hungarian Association of Psychopharmacology</t>
  </si>
  <si>
    <t>Cardiology (Pakistan)</t>
  </si>
  <si>
    <t>18118194</t>
  </si>
  <si>
    <t>19936117</t>
  </si>
  <si>
    <t>Advances in Antiviral Drug Design</t>
  </si>
  <si>
    <t>10758593</t>
  </si>
  <si>
    <t>Cardiovascular Journal of Africa</t>
  </si>
  <si>
    <t>19951892</t>
  </si>
  <si>
    <t>Clinics Cardive Publishing (PTY)Ltd</t>
  </si>
  <si>
    <t>Johns Hopkins Advanced Studies in Nursing</t>
  </si>
  <si>
    <t>15580172</t>
  </si>
  <si>
    <t>15580180</t>
  </si>
  <si>
    <t>Galen Publishing LLC</t>
  </si>
  <si>
    <t>E-flow PDF Galen Publishing LLC</t>
  </si>
  <si>
    <t>Journal of Men's Health</t>
  </si>
  <si>
    <t>18756867</t>
  </si>
  <si>
    <t>18756859</t>
  </si>
  <si>
    <t>Indian Journal of Rheumatology</t>
  </si>
  <si>
    <t>09733698</t>
  </si>
  <si>
    <t>Asian Nursing Research</t>
  </si>
  <si>
    <t>19761317</t>
  </si>
  <si>
    <t>20937482</t>
  </si>
  <si>
    <t>Korean Society of Nursing Science</t>
  </si>
  <si>
    <t>International Journal of Gerontology</t>
  </si>
  <si>
    <t>18739598</t>
  </si>
  <si>
    <t>1873958X</t>
  </si>
  <si>
    <t>Brain Stimulation</t>
  </si>
  <si>
    <t>1935861X</t>
  </si>
  <si>
    <t>18764754</t>
  </si>
  <si>
    <t>Alter</t>
  </si>
  <si>
    <t>18750672</t>
  </si>
  <si>
    <t>18750680</t>
  </si>
  <si>
    <t>Journal of Medical Imaging and Radiation Oncology</t>
  </si>
  <si>
    <t>17549477</t>
  </si>
  <si>
    <t>17549485</t>
  </si>
  <si>
    <t>Biochimica et Biophysica Acta - Gene Regulatory Mechanisms</t>
  </si>
  <si>
    <t>18749399</t>
  </si>
  <si>
    <t>18764320</t>
  </si>
  <si>
    <t>Journal of Neurosurgery: Pediatrics</t>
  </si>
  <si>
    <t>19330707</t>
  </si>
  <si>
    <t>19330715</t>
  </si>
  <si>
    <t>Archives of Cardiovascular Diseases</t>
  </si>
  <si>
    <t>18752136</t>
  </si>
  <si>
    <t>18752128</t>
  </si>
  <si>
    <t>Pigment Cell and Melanoma Research</t>
  </si>
  <si>
    <t>17551471</t>
  </si>
  <si>
    <t>1755148X</t>
  </si>
  <si>
    <t>Pharmaceutical Medicine</t>
  </si>
  <si>
    <t>11782595</t>
  </si>
  <si>
    <t>11791993</t>
  </si>
  <si>
    <t>Mental Health in Family Medicine</t>
  </si>
  <si>
    <t>1756834X</t>
  </si>
  <si>
    <t>Radcliffe Publishing Ltd</t>
  </si>
  <si>
    <t>Disability and Health Journal</t>
  </si>
  <si>
    <t>19366574</t>
  </si>
  <si>
    <t>JACC: Cardiovascular Imaging</t>
  </si>
  <si>
    <t>1936878X</t>
  </si>
  <si>
    <t>18767591</t>
  </si>
  <si>
    <t>JACC: Cardiovascular Interventions</t>
  </si>
  <si>
    <t>19368798</t>
  </si>
  <si>
    <t>18767605</t>
  </si>
  <si>
    <t>Phytochemistry Letters</t>
  </si>
  <si>
    <t>18743900</t>
  </si>
  <si>
    <t>18767486</t>
  </si>
  <si>
    <t>Diagnostic Histopathology</t>
  </si>
  <si>
    <t>17562317</t>
  </si>
  <si>
    <t>18767621</t>
  </si>
  <si>
    <t>Tissue Engineering - Part A</t>
  </si>
  <si>
    <t>19373341</t>
  </si>
  <si>
    <t>1937335X</t>
  </si>
  <si>
    <t>Tissue Engineering - Part B: Reviews</t>
  </si>
  <si>
    <t>19373368</t>
  </si>
  <si>
    <t>19373376</t>
  </si>
  <si>
    <t>Tissue Engineering - Part C: Methods</t>
  </si>
  <si>
    <t>19373384</t>
  </si>
  <si>
    <t>19373392</t>
  </si>
  <si>
    <t>New Biotechnology</t>
  </si>
  <si>
    <t>18716784</t>
  </si>
  <si>
    <t>18764347</t>
  </si>
  <si>
    <t>Journal of Proteomics</t>
  </si>
  <si>
    <t>18743919</t>
  </si>
  <si>
    <t>18767737</t>
  </si>
  <si>
    <t>Contributions to Oncology / Beitrage zur Onkologie</t>
  </si>
  <si>
    <t>02503220</t>
  </si>
  <si>
    <t>16622928</t>
  </si>
  <si>
    <t>Current Directions in Autoimmunity</t>
  </si>
  <si>
    <t>14222132</t>
  </si>
  <si>
    <t>16622936</t>
  </si>
  <si>
    <t>Endocrine Development</t>
  </si>
  <si>
    <t>14217082</t>
  </si>
  <si>
    <t>16622979</t>
  </si>
  <si>
    <t>Frontiers in Diabetes</t>
  </si>
  <si>
    <t>02515342</t>
  </si>
  <si>
    <t>16622995</t>
  </si>
  <si>
    <t>Journal fur Gynakologische Endokrinologie</t>
  </si>
  <si>
    <t>19976690</t>
  </si>
  <si>
    <t>19961553</t>
  </si>
  <si>
    <t>Proteomics - Practical Proteomics</t>
  </si>
  <si>
    <t>18627595</t>
  </si>
  <si>
    <t>18627609</t>
  </si>
  <si>
    <t>Research Communications in Biological Psychology, Psychiatry and Neurosciences</t>
  </si>
  <si>
    <t>10870695</t>
  </si>
  <si>
    <t>Developmental Disabilities Research Reviews</t>
  </si>
  <si>
    <t>10804013</t>
  </si>
  <si>
    <t>19405529</t>
  </si>
  <si>
    <t>CNS Neuroscience and Therapeutics</t>
  </si>
  <si>
    <t>17555930</t>
  </si>
  <si>
    <t>17555949</t>
  </si>
  <si>
    <t>Cardiovascular Therapeutics</t>
  </si>
  <si>
    <t>17555914</t>
  </si>
  <si>
    <t>17555922</t>
  </si>
  <si>
    <t>Future Prescriber</t>
  </si>
  <si>
    <t>14689871</t>
  </si>
  <si>
    <t>19312261</t>
  </si>
  <si>
    <t>Prescriber</t>
  </si>
  <si>
    <t>09596682</t>
  </si>
  <si>
    <t>19312253</t>
  </si>
  <si>
    <t>International Journal of Telemedicine and Applications</t>
  </si>
  <si>
    <t>16876415</t>
  </si>
  <si>
    <t>16876423</t>
  </si>
  <si>
    <t>EXCLI Journal</t>
  </si>
  <si>
    <t>16112156</t>
  </si>
  <si>
    <t>Leibniz Research Centre for Working Environment and Human Factors</t>
  </si>
  <si>
    <t>Romanian Journal of Neurology/ Revista Romana de Neurologie</t>
  </si>
  <si>
    <t>18430783</t>
  </si>
  <si>
    <t>Editura Medicala AMALTEA</t>
  </si>
  <si>
    <t>Journal of Isfahan Medical School</t>
  </si>
  <si>
    <t>10277595</t>
  </si>
  <si>
    <t>1735854X</t>
  </si>
  <si>
    <t>Acta Ophthalmologica</t>
  </si>
  <si>
    <t>1755375X</t>
  </si>
  <si>
    <t>17553768</t>
  </si>
  <si>
    <t>Revue Francophone d'Orthoptie</t>
  </si>
  <si>
    <t>18762204</t>
  </si>
  <si>
    <t>18762212</t>
  </si>
  <si>
    <t>Forensic Science International: Genetics Supplement Series</t>
  </si>
  <si>
    <t>18751768</t>
  </si>
  <si>
    <t>1875175X</t>
  </si>
  <si>
    <t>Journal of Medical Imaging and Radiation Sciences</t>
  </si>
  <si>
    <t>19398654</t>
  </si>
  <si>
    <t>18767982</t>
  </si>
  <si>
    <t>Mental Health and Physical Activity</t>
  </si>
  <si>
    <t>17552966</t>
  </si>
  <si>
    <t>18780199</t>
  </si>
  <si>
    <t>Gut and Liver</t>
  </si>
  <si>
    <t>19762283</t>
  </si>
  <si>
    <t>Joe Bok Chung</t>
  </si>
  <si>
    <t>Journal of Mazandaran University of Medical Sciences</t>
  </si>
  <si>
    <t>17359279</t>
  </si>
  <si>
    <t>17359260</t>
  </si>
  <si>
    <t>Mazandaran university of Medical Sciences</t>
  </si>
  <si>
    <t>Signa Vitae</t>
  </si>
  <si>
    <t>13345605</t>
  </si>
  <si>
    <t>1845206X</t>
  </si>
  <si>
    <t>Pharmamed Mado Ltd.</t>
  </si>
  <si>
    <t>Western Journal of Emergency Medicine</t>
  </si>
  <si>
    <t>1936900X</t>
  </si>
  <si>
    <t>19369018</t>
  </si>
  <si>
    <t>University of California Irvine</t>
  </si>
  <si>
    <t>SA Pharmaceutical Journal</t>
  </si>
  <si>
    <t>10151362</t>
  </si>
  <si>
    <t>Trauma (Spain)</t>
  </si>
  <si>
    <t>18886116</t>
  </si>
  <si>
    <t>Fundacion Mapfre Medicina</t>
  </si>
  <si>
    <t>Haematologica Meeting Reports</t>
  </si>
  <si>
    <t>19707339</t>
  </si>
  <si>
    <t>Libyan Journal of Medicine</t>
  </si>
  <si>
    <t>19932820</t>
  </si>
  <si>
    <t>18196357</t>
  </si>
  <si>
    <t>Co-Action Publishing</t>
  </si>
  <si>
    <t>Trauma Monthly</t>
  </si>
  <si>
    <t>22517464</t>
  </si>
  <si>
    <t>22517472</t>
  </si>
  <si>
    <t>Baqiatallah University of Medical Sciences</t>
  </si>
  <si>
    <t>Malaysian Orthopaedic Journal</t>
  </si>
  <si>
    <t>19852533</t>
  </si>
  <si>
    <t>Malaysian Orthopaedic Association</t>
  </si>
  <si>
    <t>International Journal of Integrative Biology</t>
  </si>
  <si>
    <t>09738363</t>
  </si>
  <si>
    <t>Omicsvista Group</t>
  </si>
  <si>
    <t>Iranian Journal of Endocrinology and Metabolism</t>
  </si>
  <si>
    <t>16834844</t>
  </si>
  <si>
    <t>16835476</t>
  </si>
  <si>
    <t>Endocrine Research Center</t>
  </si>
  <si>
    <t>Genes and Genomics</t>
  </si>
  <si>
    <t>19769571</t>
  </si>
  <si>
    <t>20929293</t>
  </si>
  <si>
    <t>Journal of Otolaryngology - Head and Neck Surgery</t>
  </si>
  <si>
    <t>19160216</t>
  </si>
  <si>
    <t>International Review of Cell and Molecular Biology</t>
  </si>
  <si>
    <t>19376448</t>
  </si>
  <si>
    <t>Mitochondrial DNA</t>
  </si>
  <si>
    <t>19401736</t>
  </si>
  <si>
    <t>19401744</t>
  </si>
  <si>
    <t>International Journal of Rheumatic Diseases</t>
  </si>
  <si>
    <t>17561841</t>
  </si>
  <si>
    <t>1756185X</t>
  </si>
  <si>
    <t>Current Orthopaedic Practice</t>
  </si>
  <si>
    <t>19407041</t>
  </si>
  <si>
    <t>19417551</t>
  </si>
  <si>
    <t>Population Health Management</t>
  </si>
  <si>
    <t>19427891</t>
  </si>
  <si>
    <t>19427905</t>
  </si>
  <si>
    <t>BMC Medical Physics</t>
  </si>
  <si>
    <t>17566649</t>
  </si>
  <si>
    <t>Journal of Aerosol Medicine and Pulmonary Drug Delivery</t>
  </si>
  <si>
    <t>19412711</t>
  </si>
  <si>
    <t>19412703</t>
  </si>
  <si>
    <t>Food Additives and Contaminants - Part A Chemistry, Analysis, Control, Exposure and Risk Assessment</t>
  </si>
  <si>
    <t>19440049</t>
  </si>
  <si>
    <t>14645122</t>
  </si>
  <si>
    <t>Pediatrics and Neonatology</t>
  </si>
  <si>
    <t>18759572</t>
  </si>
  <si>
    <t>Journal of Emergency Medicine, Trauma and Acute Care</t>
  </si>
  <si>
    <t>19997086</t>
  </si>
  <si>
    <t>JEMTAC Journal of Emergency Medicine, Trauma and Acute Care</t>
  </si>
  <si>
    <t>Systems Biology in Reproductive Medicine</t>
  </si>
  <si>
    <t>19396368</t>
  </si>
  <si>
    <t>19396376</t>
  </si>
  <si>
    <t>Pharmaceutische Weekblad Wetenschappelijk Platform</t>
  </si>
  <si>
    <t>18738982</t>
  </si>
  <si>
    <t>Contracepcion y Menopausia</t>
  </si>
  <si>
    <t>11394773</t>
  </si>
  <si>
    <t>Drug Farma S.L.</t>
  </si>
  <si>
    <t>IRBM</t>
  </si>
  <si>
    <t>19590318</t>
  </si>
  <si>
    <t>18760988</t>
  </si>
  <si>
    <t>Drug Metabolism and Pharmacokinetics</t>
  </si>
  <si>
    <t>13474367</t>
  </si>
  <si>
    <t>18800920</t>
  </si>
  <si>
    <t>Japanese Society for the Study of Xenobiotics</t>
  </si>
  <si>
    <t>Pakistan Journal of Pharmaceutical Sciences</t>
  </si>
  <si>
    <t>1011601X</t>
  </si>
  <si>
    <t>Asian Journal of Psychiatry</t>
  </si>
  <si>
    <t>18762018</t>
  </si>
  <si>
    <t>18762026</t>
  </si>
  <si>
    <t>IRBM News</t>
  </si>
  <si>
    <t>19597568</t>
  </si>
  <si>
    <t>JAMS Journal of Acupuncture and Meridian Studies</t>
  </si>
  <si>
    <t>20052901</t>
  </si>
  <si>
    <t>20938152</t>
  </si>
  <si>
    <t>Korean Pharmacopuncture Institute</t>
  </si>
  <si>
    <t>London Journal of Primary Care</t>
  </si>
  <si>
    <t>17571472</t>
  </si>
  <si>
    <t>17571480</t>
  </si>
  <si>
    <t>Serbian Journal of Experimental and Clinical Research</t>
  </si>
  <si>
    <t>18208665</t>
  </si>
  <si>
    <t>University of Kragujevac, Faculty of Science</t>
  </si>
  <si>
    <t>University of Kragujevac, Medical Faculty</t>
  </si>
  <si>
    <t>Orthopaedics and Trauma</t>
  </si>
  <si>
    <t>18771327</t>
  </si>
  <si>
    <t>18771335</t>
  </si>
  <si>
    <t>International Journal of Clinical Leadership</t>
  </si>
  <si>
    <t>1757207X</t>
  </si>
  <si>
    <t>17572088</t>
  </si>
  <si>
    <t>Annual Review of Biophysics</t>
  </si>
  <si>
    <t>1936122X</t>
  </si>
  <si>
    <t>19361238</t>
  </si>
  <si>
    <t>Annals of Physical and Rehabilitation Medicine</t>
  </si>
  <si>
    <t>18770657</t>
  </si>
  <si>
    <t>18770665</t>
  </si>
  <si>
    <t>Computer Methods in Biomechanics and Biomedical Engineering</t>
  </si>
  <si>
    <t>10255842</t>
  </si>
  <si>
    <t>14768259</t>
  </si>
  <si>
    <t>Radiological Physics and Technology</t>
  </si>
  <si>
    <t>18650333</t>
  </si>
  <si>
    <t>18650341</t>
  </si>
  <si>
    <t>International Journal of Emergency Medicine</t>
  </si>
  <si>
    <t>18651372</t>
  </si>
  <si>
    <t>18651380</t>
  </si>
  <si>
    <t>Healthcare Infection</t>
  </si>
  <si>
    <t>18355617</t>
  </si>
  <si>
    <t>18355625</t>
  </si>
  <si>
    <t>Obesity Facts</t>
  </si>
  <si>
    <t>16624025</t>
  </si>
  <si>
    <t>16624033</t>
  </si>
  <si>
    <t>Journal of Cyber Therapy and Rehabilitation</t>
  </si>
  <si>
    <t>17849934</t>
  </si>
  <si>
    <t>Virtual Reality Medical Institute</t>
  </si>
  <si>
    <t>Annals of Cardiac Anaesthesia</t>
  </si>
  <si>
    <t>09719784</t>
  </si>
  <si>
    <t>09745181</t>
  </si>
  <si>
    <t>Dental and Medical Problems</t>
  </si>
  <si>
    <t>1644387X</t>
  </si>
  <si>
    <t>Wroclaw Medical University</t>
  </si>
  <si>
    <t>Annual Review of CyberTherapy and Telemedicine</t>
  </si>
  <si>
    <t>15548716</t>
  </si>
  <si>
    <t>E-flow PDF Virtual Reality Medical Institute</t>
  </si>
  <si>
    <t>Current Aging Science</t>
  </si>
  <si>
    <t>18746098</t>
  </si>
  <si>
    <t>18746128</t>
  </si>
  <si>
    <t>Current Drug Abuse Reviews</t>
  </si>
  <si>
    <t>18744737</t>
  </si>
  <si>
    <t>18744745</t>
  </si>
  <si>
    <t>Autism Research</t>
  </si>
  <si>
    <t>19393792</t>
  </si>
  <si>
    <t>19393806</t>
  </si>
  <si>
    <t>Journal of Shanghai Jiaotong University (Medical Science)</t>
  </si>
  <si>
    <t>16748115</t>
  </si>
  <si>
    <t>Editorial Department of Journal of Shanghai Second Medical University</t>
  </si>
  <si>
    <t>Iranian Journal of Child Neurology</t>
  </si>
  <si>
    <t>17354668</t>
  </si>
  <si>
    <t>20080700</t>
  </si>
  <si>
    <t>Iranian Child Neurology Society</t>
  </si>
  <si>
    <t>Advances in Medical Sciences</t>
  </si>
  <si>
    <t>18961126</t>
  </si>
  <si>
    <t>18984002</t>
  </si>
  <si>
    <t>Medical University of Bialystok</t>
  </si>
  <si>
    <t>Research Journal of Environmental Toxicology</t>
  </si>
  <si>
    <t>18193420</t>
  </si>
  <si>
    <t>Research Journal of Medicinal Plant</t>
  </si>
  <si>
    <t>18193455</t>
  </si>
  <si>
    <t>21517924</t>
  </si>
  <si>
    <t>Methods in Pharmacology and Toxicology</t>
  </si>
  <si>
    <t>15572153</t>
  </si>
  <si>
    <t>19406053</t>
  </si>
  <si>
    <t>Breast Cancer</t>
  </si>
  <si>
    <t>13406868</t>
  </si>
  <si>
    <t>18804233</t>
  </si>
  <si>
    <t>Journal Africain d'Hepato-Gastroenterologie</t>
  </si>
  <si>
    <t>19543204</t>
  </si>
  <si>
    <t>19543212</t>
  </si>
  <si>
    <t>Cancer Microenvironment</t>
  </si>
  <si>
    <t>18752292</t>
  </si>
  <si>
    <t>18752284</t>
  </si>
  <si>
    <t>Chemosensory Perception</t>
  </si>
  <si>
    <t>19365802</t>
  </si>
  <si>
    <t>19365810</t>
  </si>
  <si>
    <t>Current Reviews in Musculoskeletal Medicine</t>
  </si>
  <si>
    <t>1935973X</t>
  </si>
  <si>
    <t>19359748</t>
  </si>
  <si>
    <t>Journal of Cardiovascular Translational Research</t>
  </si>
  <si>
    <t>19375387</t>
  </si>
  <si>
    <t>19375395</t>
  </si>
  <si>
    <t>Journal of Chemical Biology</t>
  </si>
  <si>
    <t>18646158</t>
  </si>
  <si>
    <t>18646166</t>
  </si>
  <si>
    <t>Neuroethics</t>
  </si>
  <si>
    <t>18745490</t>
  </si>
  <si>
    <t>18745504</t>
  </si>
  <si>
    <t>Oncology Reviews</t>
  </si>
  <si>
    <t>19705557</t>
  </si>
  <si>
    <t>19705565</t>
  </si>
  <si>
    <t>Current Radiopharmaceuticals</t>
  </si>
  <si>
    <t>18744710</t>
  </si>
  <si>
    <t>18744729</t>
  </si>
  <si>
    <t>Current Molecular Pharmacology</t>
  </si>
  <si>
    <t>18744672</t>
  </si>
  <si>
    <t>18744702</t>
  </si>
  <si>
    <t>BMC Medical Genomics</t>
  </si>
  <si>
    <t>17558794</t>
  </si>
  <si>
    <t>Revista de Fitoterapia</t>
  </si>
  <si>
    <t>15760952</t>
  </si>
  <si>
    <t>19885806</t>
  </si>
  <si>
    <t>CITA Publicaciones y Documentacion</t>
  </si>
  <si>
    <t>Ediciones ROL</t>
  </si>
  <si>
    <t>MEDICC Review</t>
  </si>
  <si>
    <t>15557960</t>
  </si>
  <si>
    <t>15273172</t>
  </si>
  <si>
    <t>MEDICC Medical Education Cooperation with Cuba</t>
  </si>
  <si>
    <t>Biologics: Targets and Therapy</t>
  </si>
  <si>
    <t>11775475</t>
  </si>
  <si>
    <t>11775491</t>
  </si>
  <si>
    <t>Research in Pharmaceutical Sciences</t>
  </si>
  <si>
    <t>17355362</t>
  </si>
  <si>
    <t>17359414</t>
  </si>
  <si>
    <t>International Journal of Hematology-Oncology and Stem Cell Research</t>
  </si>
  <si>
    <t>17351243</t>
  </si>
  <si>
    <t>20082207</t>
  </si>
  <si>
    <t>Clinical Respiratory Journal</t>
  </si>
  <si>
    <t>17526981</t>
  </si>
  <si>
    <t>1752699X</t>
  </si>
  <si>
    <t>Molecular Cytogenetics</t>
  </si>
  <si>
    <t>17558166</t>
  </si>
  <si>
    <t>Turkish Journal of Biochemistry</t>
  </si>
  <si>
    <t>02504685</t>
  </si>
  <si>
    <t>1303829X</t>
  </si>
  <si>
    <t>Turkish Biochemistry Society</t>
  </si>
  <si>
    <t>EuroIntervention</t>
  </si>
  <si>
    <t>1774024X</t>
  </si>
  <si>
    <t>19696213</t>
  </si>
  <si>
    <t>EuroPCR</t>
  </si>
  <si>
    <t>Iranian Journal of Clinical Infectious Diseases</t>
  </si>
  <si>
    <t>17355109</t>
  </si>
  <si>
    <t>20081081</t>
  </si>
  <si>
    <t>Shaheed Beheshti University of Medical Sciences Health Services</t>
  </si>
  <si>
    <t>Gastroenterology Research and Practice</t>
  </si>
  <si>
    <t>16876121</t>
  </si>
  <si>
    <t>1687630X</t>
  </si>
  <si>
    <t>Cellular and Molecular Bioengineering</t>
  </si>
  <si>
    <t>18655025</t>
  </si>
  <si>
    <t>18655033</t>
  </si>
  <si>
    <t>Research Journal of Parasitology</t>
  </si>
  <si>
    <t>18164943</t>
  </si>
  <si>
    <t>Vitae</t>
  </si>
  <si>
    <t>01214004</t>
  </si>
  <si>
    <t>21452660</t>
  </si>
  <si>
    <t>Actualizaciones en Osteologia</t>
  </si>
  <si>
    <t>16698975</t>
  </si>
  <si>
    <t>16698983</t>
  </si>
  <si>
    <t>Asociacion Argentina de Osteologia y Metabolismo Mineral</t>
  </si>
  <si>
    <t>Journal of Gastrointestinal Cancer</t>
  </si>
  <si>
    <t>19416628</t>
  </si>
  <si>
    <t>19416636</t>
  </si>
  <si>
    <t>Proteins: Structure, Function and Bioinformatics</t>
  </si>
  <si>
    <t>08873585</t>
  </si>
  <si>
    <t>10970134</t>
  </si>
  <si>
    <t>Innate Immunity</t>
  </si>
  <si>
    <t>17534259</t>
  </si>
  <si>
    <t>17534267</t>
  </si>
  <si>
    <t>Genome Mapping and Genomics in Animals</t>
  </si>
  <si>
    <t>Communication Disorders Quarterly</t>
  </si>
  <si>
    <t>15257401</t>
  </si>
  <si>
    <t>15384837</t>
  </si>
  <si>
    <t>Circulation: Heart Failure</t>
  </si>
  <si>
    <t>19413289</t>
  </si>
  <si>
    <t>19413297</t>
  </si>
  <si>
    <t>BioData Mining</t>
  </si>
  <si>
    <t>17560381</t>
  </si>
  <si>
    <t>Bioinformatics and Biology Insights</t>
  </si>
  <si>
    <t>11779322</t>
  </si>
  <si>
    <t>Cocuk Enfeksiyon Dergisi</t>
  </si>
  <si>
    <t>13071068</t>
  </si>
  <si>
    <t>13085271</t>
  </si>
  <si>
    <t>Guncel Pediatri</t>
  </si>
  <si>
    <t>13049054</t>
  </si>
  <si>
    <t>13086308</t>
  </si>
  <si>
    <t>Galenos Yayincilik,</t>
  </si>
  <si>
    <t>International Journal of Clinical and Experimental Medicine</t>
  </si>
  <si>
    <t>19405901</t>
  </si>
  <si>
    <t>E-Century Publishing Corporation</t>
  </si>
  <si>
    <t>Cancer Therapy</t>
  </si>
  <si>
    <t>Acta Facultatis Medicae Naissensis</t>
  </si>
  <si>
    <t>03516083</t>
  </si>
  <si>
    <t>22172521</t>
  </si>
  <si>
    <t>University of Nis</t>
  </si>
  <si>
    <t>Academic Pediatrics</t>
  </si>
  <si>
    <t>18762859</t>
  </si>
  <si>
    <t>18762867</t>
  </si>
  <si>
    <t>International Journal of Workplace Health Management</t>
  </si>
  <si>
    <t>17538351</t>
  </si>
  <si>
    <t>1753836X</t>
  </si>
  <si>
    <t>Frontiers of Neurology and Neuroscience</t>
  </si>
  <si>
    <t>16604431</t>
  </si>
  <si>
    <t>16622804</t>
  </si>
  <si>
    <t>Circulation: Arrhythmia and Electrophysiology</t>
  </si>
  <si>
    <t>19413149</t>
  </si>
  <si>
    <t>19413084</t>
  </si>
  <si>
    <t>Clinical Journal of Gastroenterology</t>
  </si>
  <si>
    <t>18657257</t>
  </si>
  <si>
    <t>18657265</t>
  </si>
  <si>
    <t>Methods in Biotechnology</t>
  </si>
  <si>
    <t>19406061</t>
  </si>
  <si>
    <t>1940607X</t>
  </si>
  <si>
    <t>Methods in Molecular Medicine</t>
  </si>
  <si>
    <t>15431894</t>
  </si>
  <si>
    <t>19406037</t>
  </si>
  <si>
    <t>Focus on Autism and Other Developmental Disabilities</t>
  </si>
  <si>
    <t>10883576</t>
  </si>
  <si>
    <t>15384829</t>
  </si>
  <si>
    <t>Cancer Prevention Research</t>
  </si>
  <si>
    <t>19406207</t>
  </si>
  <si>
    <t>19406215</t>
  </si>
  <si>
    <t>Clinical Leukemia</t>
  </si>
  <si>
    <t>19316925</t>
  </si>
  <si>
    <t>19380704</t>
  </si>
  <si>
    <t>Cancer Information Group, LP</t>
  </si>
  <si>
    <t>Journal of Cancer Epidemiology</t>
  </si>
  <si>
    <t>16878558</t>
  </si>
  <si>
    <t>16878566</t>
  </si>
  <si>
    <t>Cases Journal</t>
  </si>
  <si>
    <t>17571626</t>
  </si>
  <si>
    <t>Journal of Hematology and Oncology</t>
  </si>
  <si>
    <t>17568722</t>
  </si>
  <si>
    <t>Molecular Brain</t>
  </si>
  <si>
    <t>17566606</t>
  </si>
  <si>
    <t>Annals of Tropical Medicine and Public Health</t>
  </si>
  <si>
    <t>17556783</t>
  </si>
  <si>
    <t>09746005</t>
  </si>
  <si>
    <t>Annals of Pediatric Cardiology</t>
  </si>
  <si>
    <t>09742069</t>
  </si>
  <si>
    <t>09745149</t>
  </si>
  <si>
    <t>Research Journal of Toxins</t>
  </si>
  <si>
    <t>18193560</t>
  </si>
  <si>
    <t>21517258</t>
  </si>
  <si>
    <t>Asian Journal of Epidemiology</t>
  </si>
  <si>
    <t>19921462</t>
  </si>
  <si>
    <t>2077205X</t>
  </si>
  <si>
    <t>International Journal of Osteoporosis and Metabolic Disorders</t>
  </si>
  <si>
    <t>19945442</t>
  </si>
  <si>
    <t>20772157</t>
  </si>
  <si>
    <t>Channels</t>
  </si>
  <si>
    <t>19336950</t>
  </si>
  <si>
    <t>19336969</t>
  </si>
  <si>
    <t>Chinese Journal of Cancer</t>
  </si>
  <si>
    <t>1000467X</t>
  </si>
  <si>
    <t>1944446X</t>
  </si>
  <si>
    <t>Virology: Research and Treatment</t>
  </si>
  <si>
    <t>1178122X</t>
  </si>
  <si>
    <t>Substance Abuse: Research and Treatment</t>
  </si>
  <si>
    <t>11782218</t>
  </si>
  <si>
    <t>Journal of Medical Toxicology</t>
  </si>
  <si>
    <t>15569039</t>
  </si>
  <si>
    <t>19376995</t>
  </si>
  <si>
    <t>Journal of Pain Management</t>
  </si>
  <si>
    <t>19395914</t>
  </si>
  <si>
    <t>Neuromethods</t>
  </si>
  <si>
    <t>08932336</t>
  </si>
  <si>
    <t>19406045</t>
  </si>
  <si>
    <t>Journal of Ocular Biology, Diseases, and Informatics</t>
  </si>
  <si>
    <t>19368437</t>
  </si>
  <si>
    <t>19368445</t>
  </si>
  <si>
    <t>Therapeutic Advances in Gastroenterology</t>
  </si>
  <si>
    <t>1756283X</t>
  </si>
  <si>
    <t>17562848</t>
  </si>
  <si>
    <t>Therapeutic Advances in Neurological Disorders</t>
  </si>
  <si>
    <t>17562856</t>
  </si>
  <si>
    <t>17562864</t>
  </si>
  <si>
    <t>Patient</t>
  </si>
  <si>
    <t>11781653</t>
  </si>
  <si>
    <t>11781661</t>
  </si>
  <si>
    <t>Annual Review of Gerontology and Geriatrics</t>
  </si>
  <si>
    <t>01988794</t>
  </si>
  <si>
    <t>19444036</t>
  </si>
  <si>
    <t>Handbook of Experimental Pharmacology</t>
  </si>
  <si>
    <t>01712004</t>
  </si>
  <si>
    <t>18650325</t>
  </si>
  <si>
    <t>Protein Reviews</t>
  </si>
  <si>
    <t>18713025</t>
  </si>
  <si>
    <t>Mental Health and Substance Use: Dual Diagnosis</t>
  </si>
  <si>
    <t>17523281</t>
  </si>
  <si>
    <t>17523273</t>
  </si>
  <si>
    <t>Journal of Oncology</t>
  </si>
  <si>
    <t>16878450</t>
  </si>
  <si>
    <t>16878469</t>
  </si>
  <si>
    <t>International Archives of Medicine</t>
  </si>
  <si>
    <t>17557682</t>
  </si>
  <si>
    <t>Parasites and Vectors</t>
  </si>
  <si>
    <t>17563305</t>
  </si>
  <si>
    <t>Pharmaceutical Manufacturing and Packing Sourcer</t>
  </si>
  <si>
    <t>14631245</t>
  </si>
  <si>
    <t>European Pharmaceutical Review</t>
  </si>
  <si>
    <t>13608606</t>
  </si>
  <si>
    <t>Russell Publishing</t>
  </si>
  <si>
    <t>Johns Hopkins Advanced Studies in Ophthalmology</t>
  </si>
  <si>
    <t>15580199</t>
  </si>
  <si>
    <t>15580202</t>
  </si>
  <si>
    <t>Johns Hopkins Advanced Studies in Medicine</t>
  </si>
  <si>
    <t>15303004</t>
  </si>
  <si>
    <t>15580334</t>
  </si>
  <si>
    <t>Asian Journal of Pharmaceutics</t>
  </si>
  <si>
    <t>09738398</t>
  </si>
  <si>
    <t>1998409X</t>
  </si>
  <si>
    <t>International Journal of Green Pharmacy</t>
  </si>
  <si>
    <t>09738258</t>
  </si>
  <si>
    <t>19984103</t>
  </si>
  <si>
    <t>Hepatitis B Annual</t>
  </si>
  <si>
    <t>09729747</t>
  </si>
  <si>
    <t>19983573</t>
  </si>
  <si>
    <t>Indian Journal of Nuclear Medicine</t>
  </si>
  <si>
    <t>09723919</t>
  </si>
  <si>
    <t>09740244</t>
  </si>
  <si>
    <t>Indian Journal of Nephrology</t>
  </si>
  <si>
    <t>09714065</t>
  </si>
  <si>
    <t>19983662</t>
  </si>
  <si>
    <t>Journal of Human Reproductive Sciences</t>
  </si>
  <si>
    <t>09741208</t>
  </si>
  <si>
    <t>19984766</t>
  </si>
  <si>
    <t>Lung India</t>
  </si>
  <si>
    <t>09702113</t>
  </si>
  <si>
    <t>0974598X</t>
  </si>
  <si>
    <t>Journal of Gynecological Endoscopy and Surgery</t>
  </si>
  <si>
    <t>09741216</t>
  </si>
  <si>
    <t>09747818</t>
  </si>
  <si>
    <t>Journal of Emergencies, Trauma and Shock</t>
  </si>
  <si>
    <t>09742700</t>
  </si>
  <si>
    <t>0974519X</t>
  </si>
  <si>
    <t>Cancer Treatment and Research</t>
  </si>
  <si>
    <t>09273042</t>
  </si>
  <si>
    <t>Primary Care Cardiovascular Journal</t>
  </si>
  <si>
    <t>17565138</t>
  </si>
  <si>
    <t>17565146</t>
  </si>
  <si>
    <t>Sherborne Gibbs Limited</t>
  </si>
  <si>
    <t>Research Journal of Obstetrics and Gynecology</t>
  </si>
  <si>
    <t>19947925</t>
  </si>
  <si>
    <t>2077222X</t>
  </si>
  <si>
    <t>Trends in Bioinformatics</t>
  </si>
  <si>
    <t>19947941</t>
  </si>
  <si>
    <t>20772254</t>
  </si>
  <si>
    <t>Prion</t>
  </si>
  <si>
    <t>19336896</t>
  </si>
  <si>
    <t>1933690X</t>
  </si>
  <si>
    <t>Biomedical and Pharmacology Journal</t>
  </si>
  <si>
    <t>09746242</t>
  </si>
  <si>
    <t>Current Research in Tuberculosis</t>
  </si>
  <si>
    <t>18193366</t>
  </si>
  <si>
    <t>21523363</t>
  </si>
  <si>
    <t>Research Journal of Allergy</t>
  </si>
  <si>
    <t>18193390</t>
  </si>
  <si>
    <t>2152095X</t>
  </si>
  <si>
    <t>Research Journal of Cardiology</t>
  </si>
  <si>
    <t>18193404</t>
  </si>
  <si>
    <t>21518297</t>
  </si>
  <si>
    <t>Polish Journal of Medical Physics and Engineering</t>
  </si>
  <si>
    <t>14254689</t>
  </si>
  <si>
    <t>18980309</t>
  </si>
  <si>
    <t>Polish Society of Medical Physics</t>
  </si>
  <si>
    <t>Medicina Sportiva</t>
  </si>
  <si>
    <t>17342260</t>
  </si>
  <si>
    <t>Turk Jinekoloji ve Obstetrik Dernegi Dergisi</t>
  </si>
  <si>
    <t>1307699X</t>
  </si>
  <si>
    <t>Turkish Society of Obstetrics and Gynecology</t>
  </si>
  <si>
    <t>Current Trends in Biotechnology and Pharmacy</t>
  </si>
  <si>
    <t>09738916</t>
  </si>
  <si>
    <t>22307303</t>
  </si>
  <si>
    <t>Association of Biotechnology and Pharmacy</t>
  </si>
  <si>
    <t>E-Flow PDF Association of Biotechnology and Pharmacy</t>
  </si>
  <si>
    <t>Sp2</t>
  </si>
  <si>
    <t>1476184X</t>
  </si>
  <si>
    <t>Avakado Ltd</t>
  </si>
  <si>
    <t>Bangladesh Journal of Pharmacology</t>
  </si>
  <si>
    <t>1991007X</t>
  </si>
  <si>
    <t>19910088</t>
  </si>
  <si>
    <t>Bangladesh Pharmacological Society</t>
  </si>
  <si>
    <t>Journal of Atrial Fibrillation</t>
  </si>
  <si>
    <t>19416911</t>
  </si>
  <si>
    <t>CardioFront LLC</t>
  </si>
  <si>
    <t>Psychotropes (Belgium)</t>
  </si>
  <si>
    <t>12452092</t>
  </si>
  <si>
    <t>17821487</t>
  </si>
  <si>
    <t>Boeck Universite</t>
  </si>
  <si>
    <t>E-Flow Cairn</t>
  </si>
  <si>
    <t>Drug Development and Delivery</t>
  </si>
  <si>
    <t>15372898</t>
  </si>
  <si>
    <t>1944818X</t>
  </si>
  <si>
    <t>Drug Delivery Technology</t>
  </si>
  <si>
    <t>Medical Physiology Online</t>
  </si>
  <si>
    <t>19854811</t>
  </si>
  <si>
    <t>E.S.Prakash</t>
  </si>
  <si>
    <t>Egyptian Journal of Neurology, Psychiatry and Neurosurgery</t>
  </si>
  <si>
    <t>11101083</t>
  </si>
  <si>
    <t>16878329</t>
  </si>
  <si>
    <t>Egyptian Society of Neurology, Psychiatry, and Neurosurgery</t>
  </si>
  <si>
    <t>Contract Pharma</t>
  </si>
  <si>
    <t>Rodman Publishing Corporation</t>
  </si>
  <si>
    <t>Rodman Publications Inc.</t>
  </si>
  <si>
    <t>Journal of Infection and Public Health</t>
  </si>
  <si>
    <t>18760341</t>
  </si>
  <si>
    <t>1876035X</t>
  </si>
  <si>
    <t>European Journal of Integrative Medicine</t>
  </si>
  <si>
    <t>18763820</t>
  </si>
  <si>
    <t>18763839</t>
  </si>
  <si>
    <t>PM and R</t>
  </si>
  <si>
    <t>19341482</t>
  </si>
  <si>
    <t>Epidemics</t>
  </si>
  <si>
    <t>17554365</t>
  </si>
  <si>
    <t>18780067</t>
  </si>
  <si>
    <t>Revista del Laboratorio Clinico</t>
  </si>
  <si>
    <t>18884008</t>
  </si>
  <si>
    <t>19890389</t>
  </si>
  <si>
    <t>Anales de Pediatria Continuada</t>
  </si>
  <si>
    <t>16962818</t>
  </si>
  <si>
    <t>16964608</t>
  </si>
  <si>
    <t>Revista de Psiquiatria y Salud Mental</t>
  </si>
  <si>
    <t>18889891</t>
  </si>
  <si>
    <t>19894600</t>
  </si>
  <si>
    <t>Revista Internacional de Acupuntura</t>
  </si>
  <si>
    <t>18878369</t>
  </si>
  <si>
    <t>19886705</t>
  </si>
  <si>
    <t>Activitas Nervosa Superior</t>
  </si>
  <si>
    <t>18029698</t>
  </si>
  <si>
    <t>Neuroscientia o.s.</t>
  </si>
  <si>
    <t>Clinical Neurosurgery</t>
  </si>
  <si>
    <t>00694827</t>
  </si>
  <si>
    <t>Hipertension y Riesgo Vascular</t>
  </si>
  <si>
    <t>18891837</t>
  </si>
  <si>
    <t>19894805</t>
  </si>
  <si>
    <t>Avian Biology Research</t>
  </si>
  <si>
    <t>17581559</t>
  </si>
  <si>
    <t>Science Reviews 2000 Ltd</t>
  </si>
  <si>
    <t>Open Biomedical Engineering Journal</t>
  </si>
  <si>
    <t>18741207</t>
  </si>
  <si>
    <t>Open Biotechnology Journal</t>
  </si>
  <si>
    <t>18740707</t>
  </si>
  <si>
    <t>Current Pharmacogenomics and Personalized Medicine</t>
  </si>
  <si>
    <t>18756921</t>
  </si>
  <si>
    <t>18756913</t>
  </si>
  <si>
    <t>Surgical Endoscopy and Other Interventional Techniques</t>
  </si>
  <si>
    <t>09302794</t>
  </si>
  <si>
    <t>14322218</t>
  </si>
  <si>
    <t>Japanese Journal of Radiology</t>
  </si>
  <si>
    <t>18671071</t>
  </si>
  <si>
    <t>1867108X</t>
  </si>
  <si>
    <t>Pharmaceutical Processing</t>
  </si>
  <si>
    <t>10499156</t>
  </si>
  <si>
    <t>Advantage Business Media</t>
  </si>
  <si>
    <t>Neuropsychiatria i Neuropsychologia</t>
  </si>
  <si>
    <t>18966764</t>
  </si>
  <si>
    <t>Cell Adhesion and Migration</t>
  </si>
  <si>
    <t>19336918</t>
  </si>
  <si>
    <t>19336926</t>
  </si>
  <si>
    <t>BioProcess International</t>
  </si>
  <si>
    <t>15426319</t>
  </si>
  <si>
    <t>World Mycotoxin Journal</t>
  </si>
  <si>
    <t>18750710</t>
  </si>
  <si>
    <t>18750796</t>
  </si>
  <si>
    <t>Wageningen Academic Publishers</t>
  </si>
  <si>
    <t>Turk Dermatoloji Dergisi</t>
  </si>
  <si>
    <t>13077635</t>
  </si>
  <si>
    <t>13085255</t>
  </si>
  <si>
    <t>Turkish Journal of Endocrinology and Metabolism</t>
  </si>
  <si>
    <t>13012193</t>
  </si>
  <si>
    <t>13089846</t>
  </si>
  <si>
    <t>Hot Topics in Cardiology</t>
  </si>
  <si>
    <t>19739621</t>
  </si>
  <si>
    <t>20360924</t>
  </si>
  <si>
    <t>FBCommunication srl</t>
  </si>
  <si>
    <t>Hot Topics in Oncology</t>
  </si>
  <si>
    <t>19739656</t>
  </si>
  <si>
    <t>20360894</t>
  </si>
  <si>
    <t>Hot Topics in Respiratory Medicine</t>
  </si>
  <si>
    <t>19739664</t>
  </si>
  <si>
    <t>20360886</t>
  </si>
  <si>
    <t>Hot Topics in Viral Hepatitis</t>
  </si>
  <si>
    <t>19739648</t>
  </si>
  <si>
    <t>20360932</t>
  </si>
  <si>
    <t>Hot Topics in Hypertension</t>
  </si>
  <si>
    <t>1973963X</t>
  </si>
  <si>
    <t>20360908</t>
  </si>
  <si>
    <t>Kompendium Orthopadie, Unfallchirurgie und Rheumatologie</t>
  </si>
  <si>
    <t>16169689</t>
  </si>
  <si>
    <t>Molecular Genetics, Microbiology and Virology</t>
  </si>
  <si>
    <t>08914168</t>
  </si>
  <si>
    <t>1934841X</t>
  </si>
  <si>
    <t>Allerton Press Incorporation</t>
  </si>
  <si>
    <t>Asian Biomedicine</t>
  </si>
  <si>
    <t>19057415</t>
  </si>
  <si>
    <t>1875855X</t>
  </si>
  <si>
    <t>Iranian Journal of Kidney Diseases</t>
  </si>
  <si>
    <t>17358582</t>
  </si>
  <si>
    <t>17358604</t>
  </si>
  <si>
    <t>Iranian Society of Nephrology</t>
  </si>
  <si>
    <t>Revue Francaise d'Allergologie</t>
  </si>
  <si>
    <t>18770320</t>
  </si>
  <si>
    <t>18770312</t>
  </si>
  <si>
    <t>Cancer Epidemiology</t>
  </si>
  <si>
    <t>18777821</t>
  </si>
  <si>
    <t>1877783X</t>
  </si>
  <si>
    <t>Orthopaedics and Traumatology: Surgery and Research</t>
  </si>
  <si>
    <t>18770568</t>
  </si>
  <si>
    <t>Medecine du Sommeil</t>
  </si>
  <si>
    <t>17694493</t>
  </si>
  <si>
    <t>Surgical Pathology Clinics</t>
  </si>
  <si>
    <t>18759181</t>
  </si>
  <si>
    <t>18759157</t>
  </si>
  <si>
    <t>Digestive and Liver Disease Supplements</t>
  </si>
  <si>
    <t>15945804</t>
  </si>
  <si>
    <t>Microbial Biotechnology</t>
  </si>
  <si>
    <t>17517907</t>
  </si>
  <si>
    <t>17517915</t>
  </si>
  <si>
    <t>Journal of Innate Immunity</t>
  </si>
  <si>
    <t>1662811X</t>
  </si>
  <si>
    <t>16628128</t>
  </si>
  <si>
    <t>Memo - Magazine of European Medical Oncology</t>
  </si>
  <si>
    <t>18655041</t>
  </si>
  <si>
    <t>18655076</t>
  </si>
  <si>
    <t>Topics in Medicinal Chemistry</t>
  </si>
  <si>
    <t>18622461</t>
  </si>
  <si>
    <t>1862247X</t>
  </si>
  <si>
    <t>Public Health Ethics</t>
  </si>
  <si>
    <t>17549973</t>
  </si>
  <si>
    <t>17549981</t>
  </si>
  <si>
    <t>Circulation: Cardiovascular Imaging</t>
  </si>
  <si>
    <t>19419651</t>
  </si>
  <si>
    <t>19420080</t>
  </si>
  <si>
    <t>Circulation: Cardiovascular Interventions</t>
  </si>
  <si>
    <t>19417640</t>
  </si>
  <si>
    <t>19417632</t>
  </si>
  <si>
    <t>Current Chemical Genomics</t>
  </si>
  <si>
    <t>18753973</t>
  </si>
  <si>
    <t>Journal of Epithelial Biology and Pharmacology</t>
  </si>
  <si>
    <t>18750443</t>
  </si>
  <si>
    <t>Open Pharmacology Journal</t>
  </si>
  <si>
    <t>18741436</t>
  </si>
  <si>
    <t>Open Bioactive Compounds Journal</t>
  </si>
  <si>
    <t>18748473</t>
  </si>
  <si>
    <t>Open Cancer Journal</t>
  </si>
  <si>
    <t>18740790</t>
  </si>
  <si>
    <t>Open Cardiovascular Medicine Journal</t>
  </si>
  <si>
    <t>18741924</t>
  </si>
  <si>
    <t>Open Drug Delivery Journal</t>
  </si>
  <si>
    <t>18741266</t>
  </si>
  <si>
    <t>Open Clinical Cancer Journal</t>
  </si>
  <si>
    <t>18741894</t>
  </si>
  <si>
    <t>Open Clinical Chemistry Journal</t>
  </si>
  <si>
    <t>18742416</t>
  </si>
  <si>
    <t>Open Genomics Journal</t>
  </si>
  <si>
    <t>1875693X</t>
  </si>
  <si>
    <t>Open Medicinal Chemistry Journal</t>
  </si>
  <si>
    <t>18741045</t>
  </si>
  <si>
    <t>Open Immunology Journal</t>
  </si>
  <si>
    <t>18742262</t>
  </si>
  <si>
    <t>Open Infectious Diseases Journal</t>
  </si>
  <si>
    <t>18742793</t>
  </si>
  <si>
    <t>Open Hematology Journal</t>
  </si>
  <si>
    <t>18742769</t>
  </si>
  <si>
    <t>Open Proteomics Journal</t>
  </si>
  <si>
    <t>18750397</t>
  </si>
  <si>
    <t>DMM Disease Models and Mechanisms</t>
  </si>
  <si>
    <t>17548403</t>
  </si>
  <si>
    <t>17548411</t>
  </si>
  <si>
    <t>Mediterranean Journal of Nutrition and Metabolism</t>
  </si>
  <si>
    <t>1973798X</t>
  </si>
  <si>
    <t>19737998</t>
  </si>
  <si>
    <t>Botulinum Journal</t>
  </si>
  <si>
    <t>17547326</t>
  </si>
  <si>
    <t>17547318</t>
  </si>
  <si>
    <t>International Journal of Computational Biology and Drug Design</t>
  </si>
  <si>
    <t>17560756</t>
  </si>
  <si>
    <t>17560764</t>
  </si>
  <si>
    <t>International Journal of Medical Engineering and Informatics</t>
  </si>
  <si>
    <t>17550653</t>
  </si>
  <si>
    <t>17550661</t>
  </si>
  <si>
    <t>Tobacco Induced Diseases</t>
  </si>
  <si>
    <t>16179625</t>
  </si>
  <si>
    <t>Oxidative Medicine and Cellular Longevity</t>
  </si>
  <si>
    <t>19420900</t>
  </si>
  <si>
    <t>19420994</t>
  </si>
  <si>
    <t>Breast Cancer: Basic and Clinical Research</t>
  </si>
  <si>
    <t>11782234</t>
  </si>
  <si>
    <t>Epilepsy and Seizure</t>
  </si>
  <si>
    <t>18825567</t>
  </si>
  <si>
    <t>Iranian Journal of Psychiatry and Behavioral Sciences</t>
  </si>
  <si>
    <t>17358639</t>
  </si>
  <si>
    <t>17359287</t>
  </si>
  <si>
    <t>Biopolymers and Cell</t>
  </si>
  <si>
    <t>02337657</t>
  </si>
  <si>
    <t>19936842</t>
  </si>
  <si>
    <t>National Academy of Sciences of Ukraine</t>
  </si>
  <si>
    <t>UKRA</t>
  </si>
  <si>
    <t>UKRA/ENGL</t>
  </si>
  <si>
    <t>Journal of the University of Malaya Medical Centre</t>
  </si>
  <si>
    <t>18237339</t>
  </si>
  <si>
    <t>2289392X</t>
  </si>
  <si>
    <t>Journal of University Malaya Medical Centre</t>
  </si>
  <si>
    <t>E-flow PDF Journal of the University of Malaya Medical Centre</t>
  </si>
  <si>
    <t>Turk Toraks Dergisi</t>
  </si>
  <si>
    <t>13027808</t>
  </si>
  <si>
    <t>13085387</t>
  </si>
  <si>
    <t>Journal of Taibah University Medical Sciences</t>
  </si>
  <si>
    <t>16583612</t>
  </si>
  <si>
    <t>Cell Membranes and Free Radical Research</t>
  </si>
  <si>
    <t>1308416X</t>
  </si>
  <si>
    <t>13084178</t>
  </si>
  <si>
    <t>Society of Cell Membranes and Free Oxygen Radicals</t>
  </si>
  <si>
    <t>Klinicka Farmakologie a Farmacie</t>
  </si>
  <si>
    <t>12127973</t>
  </si>
  <si>
    <t>18035353</t>
  </si>
  <si>
    <t>SOLEN S.R.O.</t>
  </si>
  <si>
    <t>Solen S.R.O.</t>
  </si>
  <si>
    <t>Jurnalul Roman de Anestezie Terapie Intensiva/Romanian Journal of Anaesthesia and Intensive Care</t>
  </si>
  <si>
    <t>1582652X</t>
  </si>
  <si>
    <t>Editura Clasium</t>
  </si>
  <si>
    <t>E-flow PDF Editura Clasium</t>
  </si>
  <si>
    <t>Acute Coronary Syndromes</t>
  </si>
  <si>
    <t>13695312</t>
  </si>
  <si>
    <t>20403860</t>
  </si>
  <si>
    <t>Remedica Medical Education and Publishing</t>
  </si>
  <si>
    <t>Inflammatory Bowel Disease Monitor</t>
  </si>
  <si>
    <t>14667401</t>
  </si>
  <si>
    <t>International Journal of Advances in Rheumatology</t>
  </si>
  <si>
    <t>1478856X</t>
  </si>
  <si>
    <t>Journal of Invasive Fungal Infections</t>
  </si>
  <si>
    <t>17533783</t>
  </si>
  <si>
    <t>Journal of Viral Entry</t>
  </si>
  <si>
    <t>17480329</t>
  </si>
  <si>
    <t>20403925</t>
  </si>
  <si>
    <t>Iranian Journal of Cancer Prevention</t>
  </si>
  <si>
    <t>20082401</t>
  </si>
  <si>
    <t>Cancer Research Center</t>
  </si>
  <si>
    <t>American Health and Drug Benefits</t>
  </si>
  <si>
    <t>19422962</t>
  </si>
  <si>
    <t>19422970</t>
  </si>
  <si>
    <t>Engage Healthcare Communications, Inc.</t>
  </si>
  <si>
    <t>ecancermedicalscience</t>
  </si>
  <si>
    <t>17546605</t>
  </si>
  <si>
    <t>Cancer Intelligence</t>
  </si>
  <si>
    <t>European Journal of Nanomedicine</t>
  </si>
  <si>
    <t>16625986</t>
  </si>
  <si>
    <t>1662596X</t>
  </si>
  <si>
    <t>ONdrugDelivery</t>
  </si>
  <si>
    <t>2049145X</t>
  </si>
  <si>
    <t>20491468</t>
  </si>
  <si>
    <t>Frederick Furness Publishing</t>
  </si>
  <si>
    <t>International Journal of Health Research</t>
  </si>
  <si>
    <t>15969819</t>
  </si>
  <si>
    <t>Poracom Academic Publishers</t>
  </si>
  <si>
    <t>Journal of Infection in Developing Countries</t>
  </si>
  <si>
    <t>20366590</t>
  </si>
  <si>
    <t>19722680</t>
  </si>
  <si>
    <t>Translational Oncology</t>
  </si>
  <si>
    <t>19365233</t>
  </si>
  <si>
    <t>Translational Oncology Editorial Office</t>
  </si>
  <si>
    <t>Journal of Practical Oncology</t>
  </si>
  <si>
    <t>10011692</t>
  </si>
  <si>
    <t>Journal of Practical Oncology, Editorial Board</t>
  </si>
  <si>
    <t>European Life Science Journal</t>
  </si>
  <si>
    <t>20001444</t>
  </si>
  <si>
    <t>International Business Media AB</t>
  </si>
  <si>
    <t>E-flow PDF International Business Media AB</t>
  </si>
  <si>
    <t>Next Generation Pharmaceutical</t>
  </si>
  <si>
    <t>GDS Publishing Inc.</t>
  </si>
  <si>
    <t>Journal of Global Drug Policy and Practice</t>
  </si>
  <si>
    <t>19344708</t>
  </si>
  <si>
    <t>Institute on Global Drug Policy</t>
  </si>
  <si>
    <t>Gastrointestinal Cancer Research</t>
  </si>
  <si>
    <t>19347820</t>
  </si>
  <si>
    <t>19347987</t>
  </si>
  <si>
    <t>International Society of Gastrointestinal Oncology</t>
  </si>
  <si>
    <t>Physiology and Pharmacology</t>
  </si>
  <si>
    <t>17350581</t>
  </si>
  <si>
    <t>Iranian Society of Physiology and Pharmacology</t>
  </si>
  <si>
    <t>Japanese Journal of Clinical Immunology</t>
  </si>
  <si>
    <t>09114300</t>
  </si>
  <si>
    <t>13497413</t>
  </si>
  <si>
    <t>Japan Society for Clinical Immunology</t>
  </si>
  <si>
    <t>Journal of Research in Health Sciences</t>
  </si>
  <si>
    <t>16822765</t>
  </si>
  <si>
    <t>School of Public Health</t>
  </si>
  <si>
    <t>Pneumon</t>
  </si>
  <si>
    <t>1105848X</t>
  </si>
  <si>
    <t>Technogramma</t>
  </si>
  <si>
    <t>Hellenic Thoracic Society</t>
  </si>
  <si>
    <t>Macedonian Journal of Medical Sciences</t>
  </si>
  <si>
    <t>18575749</t>
  </si>
  <si>
    <t>18575773</t>
  </si>
  <si>
    <t>Institute of Immunobiology and Human Genetics</t>
  </si>
  <si>
    <t>MKD</t>
  </si>
  <si>
    <t>Malaysian Journal of Pathology</t>
  </si>
  <si>
    <t>01268635</t>
  </si>
  <si>
    <t>Malaysian Society of Pathologists</t>
  </si>
  <si>
    <t>Pharmacognosy Reviews</t>
  </si>
  <si>
    <t>09737847</t>
  </si>
  <si>
    <t>09762787</t>
  </si>
  <si>
    <t>Journal of Gynecologic Oncology</t>
  </si>
  <si>
    <t>20050380</t>
  </si>
  <si>
    <t>20050399</t>
  </si>
  <si>
    <t>Korean Society of Gynecologic Oncology and Colposcopy</t>
  </si>
  <si>
    <t>Pakistan Journal of Medical and Health Sciences</t>
  </si>
  <si>
    <t>19967195</t>
  </si>
  <si>
    <t>Lahore Medical And Dental College</t>
  </si>
  <si>
    <t>Azerbaijan Pharmaceutical and Pharmacotherapy Journal</t>
  </si>
  <si>
    <t>19941951</t>
  </si>
  <si>
    <t>Azerbaijan Medical University</t>
  </si>
  <si>
    <t>AZRB</t>
  </si>
  <si>
    <t>AZRB/ENGL/RUSS</t>
  </si>
  <si>
    <t>Anaesthesia, Pain and Intensive Care</t>
  </si>
  <si>
    <t>16078322</t>
  </si>
  <si>
    <t>Faculty of Anaesthesia, Pain and Intensive Care, AFMS</t>
  </si>
  <si>
    <t>Turk Jinekolojik Onkoloji Dergisi</t>
  </si>
  <si>
    <t>13018841</t>
  </si>
  <si>
    <t>Gunes Kitap Kirtasiye</t>
  </si>
  <si>
    <t>E-flow PDF Gunes Kitap Kirtasiye</t>
  </si>
  <si>
    <t>Korean Journal of Pediatric Infectious Diseases</t>
  </si>
  <si>
    <t>12263923</t>
  </si>
  <si>
    <t>Korean Society of Pediatric Infectious Diseases</t>
  </si>
  <si>
    <t>E-Flow PDF Korean Society of Pediatric Infectious Diseases</t>
  </si>
  <si>
    <t>Journal of Preventive Medicine and Public Health</t>
  </si>
  <si>
    <t>19758375</t>
  </si>
  <si>
    <t>Korean Society for Preventive Medicine</t>
  </si>
  <si>
    <t>Pharmaceutical Sciences</t>
  </si>
  <si>
    <t>1735403X</t>
  </si>
  <si>
    <t>Tabriz University of Medical Sciences</t>
  </si>
  <si>
    <t>Tabriz University of Medical Sciences and Health Services</t>
  </si>
  <si>
    <t>Journal of Medical Sciences (Peshawar)</t>
  </si>
  <si>
    <t>19973438</t>
  </si>
  <si>
    <t>19973446</t>
  </si>
  <si>
    <t>Khyber Medical College</t>
  </si>
  <si>
    <t>Turkish Journal of Rheumatology</t>
  </si>
  <si>
    <t>13090291</t>
  </si>
  <si>
    <t>13090283</t>
  </si>
  <si>
    <t>Turkish League Against Rheumatism (TLAR)</t>
  </si>
  <si>
    <t>Perspectives in Public Health</t>
  </si>
  <si>
    <t>17579139</t>
  </si>
  <si>
    <t>17579147</t>
  </si>
  <si>
    <t>Revista Peruana de Medicina de Experimental y Salud Publica</t>
  </si>
  <si>
    <t>17264634</t>
  </si>
  <si>
    <t>17264642</t>
  </si>
  <si>
    <t>Instituto Nacional de Salud</t>
  </si>
  <si>
    <t>PER</t>
  </si>
  <si>
    <t>Nature Reviews Gastroenterology and Hepatology</t>
  </si>
  <si>
    <t>17595045</t>
  </si>
  <si>
    <t>17595053</t>
  </si>
  <si>
    <t>Genetic Testing and Molecular Biomarkers</t>
  </si>
  <si>
    <t>19450265</t>
  </si>
  <si>
    <t>19450257</t>
  </si>
  <si>
    <t>American Journal of Rhinology and Allergy</t>
  </si>
  <si>
    <t>19458924</t>
  </si>
  <si>
    <t>19458932</t>
  </si>
  <si>
    <t>Public Health Genomics</t>
  </si>
  <si>
    <t>16624246</t>
  </si>
  <si>
    <t>16628063</t>
  </si>
  <si>
    <t>Open Drug Metabolism Journal</t>
  </si>
  <si>
    <t>18740731</t>
  </si>
  <si>
    <t>Infection and Drug Resistance</t>
  </si>
  <si>
    <t>11786973</t>
  </si>
  <si>
    <t>Open Biomarkers Journal</t>
  </si>
  <si>
    <t>18753183</t>
  </si>
  <si>
    <t>Clinical Lipidology</t>
  </si>
  <si>
    <t>17584299</t>
  </si>
  <si>
    <t>17584302</t>
  </si>
  <si>
    <t>Genome Medicine</t>
  </si>
  <si>
    <t>1756994X</t>
  </si>
  <si>
    <t>mAbs</t>
  </si>
  <si>
    <t>19420862</t>
  </si>
  <si>
    <t>19420870</t>
  </si>
  <si>
    <t>Drug Testing and Analysis</t>
  </si>
  <si>
    <t>19427603</t>
  </si>
  <si>
    <t>19427611</t>
  </si>
  <si>
    <t>Nature Reviews Urology</t>
  </si>
  <si>
    <t>17594812</t>
  </si>
  <si>
    <t>17594820</t>
  </si>
  <si>
    <t>Nature Reviews Cardiology</t>
  </si>
  <si>
    <t>17595002</t>
  </si>
  <si>
    <t>17595010</t>
  </si>
  <si>
    <t>Nature Reviews Endocrinology</t>
  </si>
  <si>
    <t>17595029</t>
  </si>
  <si>
    <t>17595037</t>
  </si>
  <si>
    <t>Nature Reviews Nephrology</t>
  </si>
  <si>
    <t>17595061</t>
  </si>
  <si>
    <t>1759507X</t>
  </si>
  <si>
    <t>Nature Reviews Neurology</t>
  </si>
  <si>
    <t>17594758</t>
  </si>
  <si>
    <t>17594766</t>
  </si>
  <si>
    <t>Nature Reviews Clinical Oncology</t>
  </si>
  <si>
    <t>17594774</t>
  </si>
  <si>
    <t>17594782</t>
  </si>
  <si>
    <t>Nature Reviews Rheumatology</t>
  </si>
  <si>
    <t>17594790</t>
  </si>
  <si>
    <t>17594804</t>
  </si>
  <si>
    <t>Open Neuropsychopharmacology Journal</t>
  </si>
  <si>
    <t>18765238</t>
  </si>
  <si>
    <t>Open Toxicology Journal</t>
  </si>
  <si>
    <t>18743404</t>
  </si>
  <si>
    <t>Open AIDS Journal</t>
  </si>
  <si>
    <t>18746136</t>
  </si>
  <si>
    <t>Open Vaccine Journal</t>
  </si>
  <si>
    <t>18750354</t>
  </si>
  <si>
    <t>Thai Journal of Pharmaceutical Sciences</t>
  </si>
  <si>
    <t>01254685</t>
  </si>
  <si>
    <t>19054637</t>
  </si>
  <si>
    <t>Faculty of Pharmaceutical Sciences, Chulalongkorn University</t>
  </si>
  <si>
    <t>Drug Design, Development and Therapy</t>
  </si>
  <si>
    <t>11778881</t>
  </si>
  <si>
    <t>Application of Clinical Genetics</t>
  </si>
  <si>
    <t>1178704X</t>
  </si>
  <si>
    <t>OncoTargets and Therapy</t>
  </si>
  <si>
    <t>11786930</t>
  </si>
  <si>
    <t>American Journal of Translational Research</t>
  </si>
  <si>
    <t>19438141</t>
  </si>
  <si>
    <t>Journal of Clinical Pharmacology and Pharmacoepidemiology</t>
  </si>
  <si>
    <t>1916694X</t>
  </si>
  <si>
    <t>PremiumReasons</t>
  </si>
  <si>
    <t>Ethiopian Pharmaceutical Journal</t>
  </si>
  <si>
    <t>10295933</t>
  </si>
  <si>
    <t>Immunotherapy</t>
  </si>
  <si>
    <t>1750743X</t>
  </si>
  <si>
    <t>17507448</t>
  </si>
  <si>
    <t>Human Genomics and Proteomics</t>
  </si>
  <si>
    <t>17574242</t>
  </si>
  <si>
    <t>Hematology/ Oncology and Stem Cell Therapy</t>
  </si>
  <si>
    <t>16583876</t>
  </si>
  <si>
    <t>Circulation: Cardiovascular Genetics</t>
  </si>
  <si>
    <t>1942325X</t>
  </si>
  <si>
    <t>19423268</t>
  </si>
  <si>
    <t>Circulation: Cardiovascular Quality and Outcomes</t>
  </si>
  <si>
    <t>19417713</t>
  </si>
  <si>
    <t>19417705</t>
  </si>
  <si>
    <t>European Journal of Oncology Pharmacy</t>
  </si>
  <si>
    <t>17833914</t>
  </si>
  <si>
    <t>Pharma Publishing and Media Europe</t>
  </si>
  <si>
    <t>Pharmaceutical Reviews</t>
  </si>
  <si>
    <t>19185561</t>
  </si>
  <si>
    <t>Pharmainfo.net</t>
  </si>
  <si>
    <t>International Journal of PharmTech Research</t>
  </si>
  <si>
    <t>09744304</t>
  </si>
  <si>
    <t>Sphinx Knowledge House</t>
  </si>
  <si>
    <t>New Armenian Medical Journal</t>
  </si>
  <si>
    <t>18200254</t>
  </si>
  <si>
    <t>Yerevan State Medical University</t>
  </si>
  <si>
    <t>ARM</t>
  </si>
  <si>
    <t>Arab Journal of Gastroenterology</t>
  </si>
  <si>
    <t>16871979</t>
  </si>
  <si>
    <t>20902387</t>
  </si>
  <si>
    <t>International Journal of Diabetes Mellitus</t>
  </si>
  <si>
    <t>18775934</t>
  </si>
  <si>
    <t>18775942</t>
  </si>
  <si>
    <t>Journal of Japanese Society of Gastroenterology</t>
  </si>
  <si>
    <t>04466586</t>
  </si>
  <si>
    <t>Japanese Society of Gastroenterology</t>
  </si>
  <si>
    <t>International Journal of Nano and Biomaterials</t>
  </si>
  <si>
    <t>17528933</t>
  </si>
  <si>
    <t>17528941</t>
  </si>
  <si>
    <t>Natural Product Communications</t>
  </si>
  <si>
    <t>1934578X</t>
  </si>
  <si>
    <t>15559475</t>
  </si>
  <si>
    <t>Natural Product Incorporation</t>
  </si>
  <si>
    <t>Natural Products Incorporation</t>
  </si>
  <si>
    <t>Boletin Latinoamericano y del Caribe de Plantas Medicinales y Aromaticas</t>
  </si>
  <si>
    <t>07177917</t>
  </si>
  <si>
    <t>Universidad de Santiago de Chile</t>
  </si>
  <si>
    <t>Cellular and Molecular Immunology</t>
  </si>
  <si>
    <t>16727681</t>
  </si>
  <si>
    <t>Chinese Society of Immunology</t>
  </si>
  <si>
    <t>Tropical Journal of Pharmaceutical Research</t>
  </si>
  <si>
    <t>15965996</t>
  </si>
  <si>
    <t>15969827</t>
  </si>
  <si>
    <t>Pharmacotherapy Group</t>
  </si>
  <si>
    <t>Advances in Cell Biology</t>
  </si>
  <si>
    <t>0324833X</t>
  </si>
  <si>
    <t>20802218</t>
  </si>
  <si>
    <t>Polskie Towarzystwo Anatomiczn</t>
  </si>
  <si>
    <t>Biochip Journal</t>
  </si>
  <si>
    <t>19760280</t>
  </si>
  <si>
    <t>SpringerOpen</t>
  </si>
  <si>
    <t>Dissolution Technologies</t>
  </si>
  <si>
    <t>1521298X</t>
  </si>
  <si>
    <t>Dissolution Technologies Inc</t>
  </si>
  <si>
    <t>International Journal of Human Genetics</t>
  </si>
  <si>
    <t>09723757</t>
  </si>
  <si>
    <t>Kamla-Raj Enterprises</t>
  </si>
  <si>
    <t>Annals of Transplantation</t>
  </si>
  <si>
    <t>14259524</t>
  </si>
  <si>
    <t>Indian Journal of Pharmaceutical Education and Research</t>
  </si>
  <si>
    <t>00195464</t>
  </si>
  <si>
    <t>Association of Pharmaceutical Teachers of India</t>
  </si>
  <si>
    <t>Molecular Medicine Reports</t>
  </si>
  <si>
    <t>17912997</t>
  </si>
  <si>
    <t>17913004</t>
  </si>
  <si>
    <t>Biocybernetics and Biomedical Engineering</t>
  </si>
  <si>
    <t>02085216</t>
  </si>
  <si>
    <t>PWN-Polish Scientific Publishers</t>
  </si>
  <si>
    <t>Biomolecules and Therapeutics</t>
  </si>
  <si>
    <t>19769148</t>
  </si>
  <si>
    <t>20054483</t>
  </si>
  <si>
    <t>Korean Society of Applied Pharmacology</t>
  </si>
  <si>
    <t>Brain Impairment</t>
  </si>
  <si>
    <t>14439646</t>
  </si>
  <si>
    <t>18395252</t>
  </si>
  <si>
    <t>Bulletin of Pharmaceutical Sciences</t>
  </si>
  <si>
    <t>11100052</t>
  </si>
  <si>
    <t>Assiut University</t>
  </si>
  <si>
    <t>Current Allergy and Clinical Immunology</t>
  </si>
  <si>
    <t>16093607</t>
  </si>
  <si>
    <t>Allergy Society of South Africa</t>
  </si>
  <si>
    <t>Dose-Response</t>
  </si>
  <si>
    <t>15593258</t>
  </si>
  <si>
    <t>University of Massachusetts</t>
  </si>
  <si>
    <t>HUGO Journal</t>
  </si>
  <si>
    <t>18776558</t>
  </si>
  <si>
    <t>18776566</t>
  </si>
  <si>
    <t>Journal of Breast Cancer</t>
  </si>
  <si>
    <t>17386756</t>
  </si>
  <si>
    <t>Korean Breast Cancer Society</t>
  </si>
  <si>
    <t>Journal of Drugs in Dermatology</t>
  </si>
  <si>
    <t>15459616</t>
  </si>
  <si>
    <t>Tissue Engineering and Regenerative Medicine</t>
  </si>
  <si>
    <t>17382696</t>
  </si>
  <si>
    <t>22125469</t>
  </si>
  <si>
    <t>Hormones</t>
  </si>
  <si>
    <t>11093099</t>
  </si>
  <si>
    <t>Hellenic Endocrine Society</t>
  </si>
  <si>
    <t>Indian Journal of Virology</t>
  </si>
  <si>
    <t>09702822</t>
  </si>
  <si>
    <t>09740120</t>
  </si>
  <si>
    <t>Medecine et Longevite</t>
  </si>
  <si>
    <t>18757170</t>
  </si>
  <si>
    <t>18757162</t>
  </si>
  <si>
    <t>Osteopathic Family Physician</t>
  </si>
  <si>
    <t>1877573X</t>
  </si>
  <si>
    <t>Scandinavian Journal of Pain</t>
  </si>
  <si>
    <t>18778860</t>
  </si>
  <si>
    <t>18778879</t>
  </si>
  <si>
    <t>Spatial and Spatio-temporal Epidemiology</t>
  </si>
  <si>
    <t>18775845</t>
  </si>
  <si>
    <t>18775853</t>
  </si>
  <si>
    <t>Saudi Dental Journal</t>
  </si>
  <si>
    <t>10139052</t>
  </si>
  <si>
    <t>World Neurosurgery</t>
  </si>
  <si>
    <t>18788750</t>
  </si>
  <si>
    <t>18788769</t>
  </si>
  <si>
    <t>Journal of the Saudi Heart Association</t>
  </si>
  <si>
    <t>10167315</t>
  </si>
  <si>
    <t>Saudi Journal of Ophthalmology</t>
  </si>
  <si>
    <t>13194534</t>
  </si>
  <si>
    <t>Currents in Pharmacy Teaching and Learning</t>
  </si>
  <si>
    <t>18771297</t>
  </si>
  <si>
    <t>Forensic Science International Supplement Series</t>
  </si>
  <si>
    <t>18751741</t>
  </si>
  <si>
    <t>18751733</t>
  </si>
  <si>
    <t>Viszeralmedizin: Gastrointestinal Medicine and Surgery</t>
  </si>
  <si>
    <t>16626664</t>
  </si>
  <si>
    <t>16626672</t>
  </si>
  <si>
    <t>International Journal of Clinical Rheumatology</t>
  </si>
  <si>
    <t>17584272</t>
  </si>
  <si>
    <t>17584280</t>
  </si>
  <si>
    <t>Procedia in Vaccinology</t>
  </si>
  <si>
    <t>1877282X</t>
  </si>
  <si>
    <t>International Health</t>
  </si>
  <si>
    <t>18763413</t>
  </si>
  <si>
    <t>18763405</t>
  </si>
  <si>
    <t>Journal of Reproduction and Contraception</t>
  </si>
  <si>
    <t>10017844</t>
  </si>
  <si>
    <t>18767966</t>
  </si>
  <si>
    <t>Cardiac Electrophysiology Clinics</t>
  </si>
  <si>
    <t>18779182</t>
  </si>
  <si>
    <t>18779190</t>
  </si>
  <si>
    <t>Revue des Maladies Respiratoires Actualites</t>
  </si>
  <si>
    <t>18771203</t>
  </si>
  <si>
    <t>1877122X</t>
  </si>
  <si>
    <t>Journal of Cardiology Cases</t>
  </si>
  <si>
    <t>18785409</t>
  </si>
  <si>
    <t>Obesity and Metabolism (Italy)</t>
  </si>
  <si>
    <t>18253865</t>
  </si>
  <si>
    <t>18267572</t>
  </si>
  <si>
    <t>Journal of the Korean Medical Association</t>
  </si>
  <si>
    <t>19758456</t>
  </si>
  <si>
    <t>Korean Medical Association</t>
  </si>
  <si>
    <t>Journal of Radiology Case Reports</t>
  </si>
  <si>
    <t>19430922</t>
  </si>
  <si>
    <t>EduRad</t>
  </si>
  <si>
    <t>Journal of Proteomics and Bioinformatics</t>
  </si>
  <si>
    <t>0974276X</t>
  </si>
  <si>
    <t>Transactions of Japanese Society for Medical and Biological Engineering</t>
  </si>
  <si>
    <t>18814379</t>
  </si>
  <si>
    <t>1347443X</t>
  </si>
  <si>
    <t>Japan Soc. of Med. Electronics and Biol. Engineering</t>
  </si>
  <si>
    <t>The Physiological Society of Japan</t>
  </si>
  <si>
    <t>Cytoskeleton</t>
  </si>
  <si>
    <t>19493584</t>
  </si>
  <si>
    <t>19493592</t>
  </si>
  <si>
    <t>Molecular Oral Microbiology</t>
  </si>
  <si>
    <t>20411006</t>
  </si>
  <si>
    <t>20411014</t>
  </si>
  <si>
    <t>Molecular Informatics</t>
  </si>
  <si>
    <t>18681743</t>
  </si>
  <si>
    <t>18681751</t>
  </si>
  <si>
    <t>Expert Review of Hematology</t>
  </si>
  <si>
    <t>17474086</t>
  </si>
  <si>
    <t>17474094</t>
  </si>
  <si>
    <t>Journal of Ovarian Research</t>
  </si>
  <si>
    <t>17572215</t>
  </si>
  <si>
    <t>Science Signaling</t>
  </si>
  <si>
    <t>19450877</t>
  </si>
  <si>
    <t>19379145</t>
  </si>
  <si>
    <t>Retina-Vitreus</t>
  </si>
  <si>
    <t>13001256</t>
  </si>
  <si>
    <t>Gazi Eye Foundation</t>
  </si>
  <si>
    <t>E-flow PDF Gazi Eye Foundation</t>
  </si>
  <si>
    <t>EMBO Molecular Medicine</t>
  </si>
  <si>
    <t>17574676</t>
  </si>
  <si>
    <t>17574684</t>
  </si>
  <si>
    <t>Journal of Evidence-Based Medicine</t>
  </si>
  <si>
    <t>17565383</t>
  </si>
  <si>
    <t>17565391</t>
  </si>
  <si>
    <t>Journal of the International AIDS Society</t>
  </si>
  <si>
    <t>17582652</t>
  </si>
  <si>
    <t>International AIDS Society</t>
  </si>
  <si>
    <t>Advances in Hematology</t>
  </si>
  <si>
    <t>16879104</t>
  </si>
  <si>
    <t>16879112</t>
  </si>
  <si>
    <t>Psychopharm Review</t>
  </si>
  <si>
    <t>19369255</t>
  </si>
  <si>
    <t>Arhiv za Farmaciju</t>
  </si>
  <si>
    <t>00041963</t>
  </si>
  <si>
    <t>Farmaceutsko Drustvo Srbije</t>
  </si>
  <si>
    <t>E-flow PDF Farmaceutsko Drustvo Srbije</t>
  </si>
  <si>
    <t>Current Breast Cancer Reports</t>
  </si>
  <si>
    <t>19434588</t>
  </si>
  <si>
    <t>19434596</t>
  </si>
  <si>
    <t>Current Colorectal Cancer Reports</t>
  </si>
  <si>
    <t>15563790</t>
  </si>
  <si>
    <t>15563804</t>
  </si>
  <si>
    <t>Current Fungal Infection Reports</t>
  </si>
  <si>
    <t>19363761</t>
  </si>
  <si>
    <t>1936377X</t>
  </si>
  <si>
    <t>Jamahiriya Medical Journal</t>
  </si>
  <si>
    <t>Libyan Board of Medical Specialities</t>
  </si>
  <si>
    <t>LBY</t>
  </si>
  <si>
    <t>Revista Portuguesa de Imunoalergologia</t>
  </si>
  <si>
    <t>08719721</t>
  </si>
  <si>
    <t>Sociedade Portuguesa de Alergologia e Imunologia Clinica</t>
  </si>
  <si>
    <t>Open Respiratory Medicine Journal</t>
  </si>
  <si>
    <t>18743064</t>
  </si>
  <si>
    <t>Open Rheumatology Journal</t>
  </si>
  <si>
    <t>18743129</t>
  </si>
  <si>
    <t>Journal of Clinical and Aesthetic Dermatology</t>
  </si>
  <si>
    <t>19412789</t>
  </si>
  <si>
    <t>Matrix Medical Communications</t>
  </si>
  <si>
    <t>Clinical, Cosmetic and Investigational Dermatology</t>
  </si>
  <si>
    <t>11787015</t>
  </si>
  <si>
    <t>Journal of Pain Research</t>
  </si>
  <si>
    <t>11787090</t>
  </si>
  <si>
    <t>Jordan Journal of Pharmaceutical Sciences</t>
  </si>
  <si>
    <t>19957157</t>
  </si>
  <si>
    <t>Asian Journal of Pharmaceutical and Clinical Research</t>
  </si>
  <si>
    <t>09742441</t>
  </si>
  <si>
    <t>Diabetes, Metabolic Syndrome and Obesity: Targets and Therapy</t>
  </si>
  <si>
    <t>11787007</t>
  </si>
  <si>
    <t>ASN Neuro</t>
  </si>
  <si>
    <t>17590914</t>
  </si>
  <si>
    <t>Journal of Biomolecular Techniques</t>
  </si>
  <si>
    <t>15240215</t>
  </si>
  <si>
    <t>19434731</t>
  </si>
  <si>
    <t>Association of Biomolecular Resource Facilities</t>
  </si>
  <si>
    <t>Cellular Therapy and Transplantation</t>
  </si>
  <si>
    <t>1867416X</t>
  </si>
  <si>
    <t>18668836</t>
  </si>
  <si>
    <t>Universitatsklinikum Hamburg - Eppendorf</t>
  </si>
  <si>
    <t>University Medical Center Hamburg-Eppendorf</t>
  </si>
  <si>
    <t>Future Medicinal Chemistry</t>
  </si>
  <si>
    <t>17568919</t>
  </si>
  <si>
    <t>17568927</t>
  </si>
  <si>
    <t>Future Science</t>
  </si>
  <si>
    <t>Asian Journal of Pharmaceutical Sciences</t>
  </si>
  <si>
    <t>18180876</t>
  </si>
  <si>
    <t>Shenyang Pharmaceutical University</t>
  </si>
  <si>
    <t>Psychopharmacology and Biological Narcology</t>
  </si>
  <si>
    <t>16068181</t>
  </si>
  <si>
    <t>20705670</t>
  </si>
  <si>
    <t>JSC</t>
  </si>
  <si>
    <t>International Journal of Physiology, Pathophysiology and Pharmacology</t>
  </si>
  <si>
    <t>19448171</t>
  </si>
  <si>
    <t>Internet Journal of Pharmacology</t>
  </si>
  <si>
    <t>15312976</t>
  </si>
  <si>
    <t>Internet Journal of Toxicology</t>
  </si>
  <si>
    <t>15593916</t>
  </si>
  <si>
    <t>Internet Journal of Infectious Diseases</t>
  </si>
  <si>
    <t>15288366</t>
  </si>
  <si>
    <t>Internet Journal of Cardiology</t>
  </si>
  <si>
    <t>1528834X</t>
  </si>
  <si>
    <t>Internet Journal of Dermatology</t>
  </si>
  <si>
    <t>15313018</t>
  </si>
  <si>
    <t>Internet Journal of Neurology</t>
  </si>
  <si>
    <t>1531295X</t>
  </si>
  <si>
    <t>Internet Journal of Oncology</t>
  </si>
  <si>
    <t>15288331</t>
  </si>
  <si>
    <t>International Journal of Pharmacy and Pharmaceutical Sciences</t>
  </si>
  <si>
    <t>09751491</t>
  </si>
  <si>
    <t>International Journal of Pharmacy and Pharmaceutical Science</t>
  </si>
  <si>
    <t>Molecular and Cellular Pharmacology</t>
  </si>
  <si>
    <t>19381247</t>
  </si>
  <si>
    <t>LumiText Publishing</t>
  </si>
  <si>
    <t>Journal Africain du Cancer</t>
  </si>
  <si>
    <t>19650817</t>
  </si>
  <si>
    <t>19650825</t>
  </si>
  <si>
    <t>Therapeutic Advances in Medical Oncology</t>
  </si>
  <si>
    <t>17588340</t>
  </si>
  <si>
    <t>17588359</t>
  </si>
  <si>
    <t>Therapeutic Advances in Urology</t>
  </si>
  <si>
    <t>17562872</t>
  </si>
  <si>
    <t>17562880</t>
  </si>
  <si>
    <t>Plasma Medicine</t>
  </si>
  <si>
    <t>19475764</t>
  </si>
  <si>
    <t>19475772</t>
  </si>
  <si>
    <t>Metallomics</t>
  </si>
  <si>
    <t>17565901</t>
  </si>
  <si>
    <t>1756591X</t>
  </si>
  <si>
    <t>Journal of Neonatal-Perinatal Medicine</t>
  </si>
  <si>
    <t>19345798</t>
  </si>
  <si>
    <t>18784429</t>
  </si>
  <si>
    <t>Journal of Pediatric Rehabilitation Medicine</t>
  </si>
  <si>
    <t>18745393</t>
  </si>
  <si>
    <t>18758894</t>
  </si>
  <si>
    <t>Pharmaceuticals Policy and Law</t>
  </si>
  <si>
    <t>13892827</t>
  </si>
  <si>
    <t>2210495X</t>
  </si>
  <si>
    <t>World Allergy Organization Journal</t>
  </si>
  <si>
    <t>19394551</t>
  </si>
  <si>
    <t>Journal of Toxicology</t>
  </si>
  <si>
    <t>16878191</t>
  </si>
  <si>
    <t>16878205</t>
  </si>
  <si>
    <t>Interdisciplinary Perspectives on Infectious Diseases</t>
  </si>
  <si>
    <t>1687708X</t>
  </si>
  <si>
    <t>16877098</t>
  </si>
  <si>
    <t>Journal of Tropical Medicine</t>
  </si>
  <si>
    <t>16879686</t>
  </si>
  <si>
    <t>16879694</t>
  </si>
  <si>
    <t>Epigenetics and Chromatin</t>
  </si>
  <si>
    <t>17568935</t>
  </si>
  <si>
    <t>Head and Neck Oncology</t>
  </si>
  <si>
    <t>17583284</t>
  </si>
  <si>
    <t>OA Publishing London</t>
  </si>
  <si>
    <t>Alzheimer's Research and Therapy</t>
  </si>
  <si>
    <t>17589193</t>
  </si>
  <si>
    <t>Diabetology and Metabolic Syndrome</t>
  </si>
  <si>
    <t>17585996</t>
  </si>
  <si>
    <t>Indian Journal of Medical and Paediatric Oncology</t>
  </si>
  <si>
    <t>09715851</t>
  </si>
  <si>
    <t>09752129</t>
  </si>
  <si>
    <t>Journal of Obstetrics and Gynecology of India</t>
  </si>
  <si>
    <t>09719202</t>
  </si>
  <si>
    <t>09756434</t>
  </si>
  <si>
    <t>Federation of Obstetric and Gynecologycal Societies of India</t>
  </si>
  <si>
    <t>Open Gene Therapy Journal</t>
  </si>
  <si>
    <t>18750370</t>
  </si>
  <si>
    <t>Open Enzyme Inhibition Journal</t>
  </si>
  <si>
    <t>18749402</t>
  </si>
  <si>
    <t>Open Dermatology Journal</t>
  </si>
  <si>
    <t>18743722</t>
  </si>
  <si>
    <t>Open Neurology Journal</t>
  </si>
  <si>
    <t>1874205X</t>
  </si>
  <si>
    <t>Open Pain Journal</t>
  </si>
  <si>
    <t>18763863</t>
  </si>
  <si>
    <t>Open Allergy Journal</t>
  </si>
  <si>
    <t>18748384</t>
  </si>
  <si>
    <t>Open Anesthesiology Journal</t>
  </si>
  <si>
    <t>18743218</t>
  </si>
  <si>
    <t>Open Diabetes Journal</t>
  </si>
  <si>
    <t>18765246</t>
  </si>
  <si>
    <t>Open Tropical Medicine Journal</t>
  </si>
  <si>
    <t>18743153</t>
  </si>
  <si>
    <t>Journal of Endometriosis</t>
  </si>
  <si>
    <t>20359969</t>
  </si>
  <si>
    <t>2036282X</t>
  </si>
  <si>
    <t>Heart Asia</t>
  </si>
  <si>
    <t>17591104</t>
  </si>
  <si>
    <t>Journal of Interventional Oncology</t>
  </si>
  <si>
    <t>19160518</t>
  </si>
  <si>
    <t>Journal of Contemporary Brachytherapy</t>
  </si>
  <si>
    <t>1689832X</t>
  </si>
  <si>
    <t>Journal of Medicine and Biomedical Research</t>
  </si>
  <si>
    <t>15966941</t>
  </si>
  <si>
    <t>Bioline International</t>
  </si>
  <si>
    <t>Tanzania Journal of Health Research</t>
  </si>
  <si>
    <t>18216404</t>
  </si>
  <si>
    <t>National Institute for Medical Research</t>
  </si>
  <si>
    <t>TZA</t>
  </si>
  <si>
    <t>Research Journal of Immunology</t>
  </si>
  <si>
    <t>19947909</t>
  </si>
  <si>
    <t>20772211</t>
  </si>
  <si>
    <t>Therapeutica</t>
  </si>
  <si>
    <t>Dermato-Endocrinology</t>
  </si>
  <si>
    <t>19381972</t>
  </si>
  <si>
    <t>19381980</t>
  </si>
  <si>
    <t>Islets</t>
  </si>
  <si>
    <t>19382014</t>
  </si>
  <si>
    <t>19382022</t>
  </si>
  <si>
    <t>Medical Devices: Evidence and Research</t>
  </si>
  <si>
    <t>11791470</t>
  </si>
  <si>
    <t>International Medical Case Reports Journal</t>
  </si>
  <si>
    <t>1179142X</t>
  </si>
  <si>
    <t>Clinical and Experimental Gastroenterology</t>
  </si>
  <si>
    <t>11787023</t>
  </si>
  <si>
    <t>Journal of Inflammation Research</t>
  </si>
  <si>
    <t>11787031</t>
  </si>
  <si>
    <t>Nanotechnology, Science and Applications</t>
  </si>
  <si>
    <t>11778903</t>
  </si>
  <si>
    <t>Clinical Epidemiology</t>
  </si>
  <si>
    <t>11791349</t>
  </si>
  <si>
    <t>Pharmacogenomics and Personalized Medicine</t>
  </si>
  <si>
    <t>11787066</t>
  </si>
  <si>
    <t>Cancer Management and Research</t>
  </si>
  <si>
    <t>11791322</t>
  </si>
  <si>
    <t>Open Access Rheumatology: Research and Reviews</t>
  </si>
  <si>
    <t>1179156X</t>
  </si>
  <si>
    <t>Clinical Ophthalmology</t>
  </si>
  <si>
    <t>11775467</t>
  </si>
  <si>
    <t>11775483</t>
  </si>
  <si>
    <t>ClinicoEconomics and Outcomes Research</t>
  </si>
  <si>
    <t>11786981</t>
  </si>
  <si>
    <t>Drug, Healthcare and Patient Safety</t>
  </si>
  <si>
    <t>11791365</t>
  </si>
  <si>
    <t>Integrated Blood Pressure Control</t>
  </si>
  <si>
    <t>11787104</t>
  </si>
  <si>
    <t>International Journal of General Medicine</t>
  </si>
  <si>
    <t>11787074</t>
  </si>
  <si>
    <t>International Journal of Interferon, Cytokine and Mediator Research</t>
  </si>
  <si>
    <t>1179139X</t>
  </si>
  <si>
    <t>International Journal of Nephrology and Renovascular Disease</t>
  </si>
  <si>
    <t>11787058</t>
  </si>
  <si>
    <t>International Journal of Women's Health</t>
  </si>
  <si>
    <t>11791411</t>
  </si>
  <si>
    <t>Clinical Pharmacology: Advances and Applications</t>
  </si>
  <si>
    <t>11791438</t>
  </si>
  <si>
    <t>Virus Adaptation and Treatment</t>
  </si>
  <si>
    <t>11791624</t>
  </si>
  <si>
    <t>Local and Regional Anesthesia</t>
  </si>
  <si>
    <t>11787112</t>
  </si>
  <si>
    <t>Onkologia i Radioterapia</t>
  </si>
  <si>
    <t>18968961</t>
  </si>
  <si>
    <t>International Journal of Tropical Medicine</t>
  </si>
  <si>
    <t>18163319</t>
  </si>
  <si>
    <t>1818779X</t>
  </si>
  <si>
    <t>JCRPE Journal of Clinical Research in Pediatric Endocrinology</t>
  </si>
  <si>
    <t>13085727</t>
  </si>
  <si>
    <t>13085735</t>
  </si>
  <si>
    <t>Nigerian Journal of Parasitology</t>
  </si>
  <si>
    <t>11174145</t>
  </si>
  <si>
    <t>Nigerian Society of Parasitology</t>
  </si>
  <si>
    <t>E-flow PDF Nigerian Society of Parasitology</t>
  </si>
  <si>
    <t>Internet Journal of Genomics and Proteomics</t>
  </si>
  <si>
    <t>15402630</t>
  </si>
  <si>
    <t>Internet Journal of Microbiology</t>
  </si>
  <si>
    <t>19378289</t>
  </si>
  <si>
    <t>Internet Journal of Asthma, Allergy and Immunology</t>
  </si>
  <si>
    <t>15320642</t>
  </si>
  <si>
    <t>Internet Journal of Cardiovascular Research</t>
  </si>
  <si>
    <t>15402592</t>
  </si>
  <si>
    <t>Internet Journal of Epidemiology</t>
  </si>
  <si>
    <t>15402614</t>
  </si>
  <si>
    <t>Internet Journal of Gynecology and Obstetrics</t>
  </si>
  <si>
    <t>15288439</t>
  </si>
  <si>
    <t>Internet Journal of Pediatrics and Neonatology</t>
  </si>
  <si>
    <t>15288374</t>
  </si>
  <si>
    <t>Internet Journal of Pulmonary Medicine</t>
  </si>
  <si>
    <t>15312984</t>
  </si>
  <si>
    <t>Internet Journal of Internal Medicine</t>
  </si>
  <si>
    <t>15288382</t>
  </si>
  <si>
    <t>Internet Journal of Third World Medicine</t>
  </si>
  <si>
    <t>15394646</t>
  </si>
  <si>
    <t>Internet Journal of Tropical Medicine</t>
  </si>
  <si>
    <t>15402681</t>
  </si>
  <si>
    <t>Wiley Interdisciplinary Reviews: Nanomedicine and Nanobiotechnology</t>
  </si>
  <si>
    <t>19395116</t>
  </si>
  <si>
    <t>19390041</t>
  </si>
  <si>
    <t>Current Protocols in Essential Laboratory Techniques</t>
  </si>
  <si>
    <t>Journal of Diabetes</t>
  </si>
  <si>
    <t>17530393</t>
  </si>
  <si>
    <t>17530407</t>
  </si>
  <si>
    <t>Wiley-Blackwell Publishing</t>
  </si>
  <si>
    <t>Asia-Pacific Psychiatry</t>
  </si>
  <si>
    <t>17585864</t>
  </si>
  <si>
    <t>17585872</t>
  </si>
  <si>
    <t>Pharmacognosy Research</t>
  </si>
  <si>
    <t>09748490</t>
  </si>
  <si>
    <t>Pharmacognosy Journal</t>
  </si>
  <si>
    <t>09753575</t>
  </si>
  <si>
    <t>International Journal of ChemTech Research</t>
  </si>
  <si>
    <t>09744290</t>
  </si>
  <si>
    <t>Indian Journal of Anaesthesia</t>
  </si>
  <si>
    <t>00195049</t>
  </si>
  <si>
    <t>Indian Society of Anaesthetists</t>
  </si>
  <si>
    <t>Timisoara Medical Journal</t>
  </si>
  <si>
    <t>15835251</t>
  </si>
  <si>
    <t>1583526X</t>
  </si>
  <si>
    <t>Victor Babes University of Medicine and Pharmacy</t>
  </si>
  <si>
    <t>Jundishapur Journal of Microbiology</t>
  </si>
  <si>
    <t>20083645</t>
  </si>
  <si>
    <t>20084161</t>
  </si>
  <si>
    <t>Ahvaz Jundishapur University of Medical Sciences</t>
  </si>
  <si>
    <t>Journal of Biomedical and Pharmaceutical Engineering</t>
  </si>
  <si>
    <t>17934532</t>
  </si>
  <si>
    <t>Biomedical and Pharmaceutical Engineering Cluster</t>
  </si>
  <si>
    <t>Egyptian Journal of Medical Human Genetics</t>
  </si>
  <si>
    <t>11108630</t>
  </si>
  <si>
    <t>20902441</t>
  </si>
  <si>
    <t>Egyptian Society of Human Genetics</t>
  </si>
  <si>
    <t>Diabetic Hypoglycemia</t>
  </si>
  <si>
    <t>17572428</t>
  </si>
  <si>
    <t>ESP Bioscience</t>
  </si>
  <si>
    <t>European Journal of Parenteral and Pharmaceutical Sciences</t>
  </si>
  <si>
    <t>09644679</t>
  </si>
  <si>
    <t>Euromed Communications</t>
  </si>
  <si>
    <t>E-flow PDF Euromed Communications</t>
  </si>
  <si>
    <t>Frontiers in Computational Neuroscience</t>
  </si>
  <si>
    <t>16625188</t>
  </si>
  <si>
    <t>Frontiers Research Foundation</t>
  </si>
  <si>
    <t>Frontiers in Neuroengineering</t>
  </si>
  <si>
    <t>16626443</t>
  </si>
  <si>
    <t>Frontiers in Behavioral Neuroscience</t>
  </si>
  <si>
    <t>16625153</t>
  </si>
  <si>
    <t>Frontiers in Cellular Neuroscience</t>
  </si>
  <si>
    <t>16625102</t>
  </si>
  <si>
    <t>Frontiers in Human Neuroscience</t>
  </si>
  <si>
    <t>16625161</t>
  </si>
  <si>
    <t>Frontiers in Integrative Neuroscience</t>
  </si>
  <si>
    <t>16625145</t>
  </si>
  <si>
    <t>Frontiers in Molecular Neuroscience</t>
  </si>
  <si>
    <t>16625099</t>
  </si>
  <si>
    <t>Frontiers in Neural Circuits</t>
  </si>
  <si>
    <t>16625110</t>
  </si>
  <si>
    <t>Frontiers in Neuroanatomy</t>
  </si>
  <si>
    <t>16625129</t>
  </si>
  <si>
    <t>Frontiers in Neuroinformatics</t>
  </si>
  <si>
    <t>16625196</t>
  </si>
  <si>
    <t>Frontiers in Systems Neuroscience</t>
  </si>
  <si>
    <t>16625137</t>
  </si>
  <si>
    <t>Farmaceutyczny Przeglad Naukowy</t>
  </si>
  <si>
    <t>14255073</t>
  </si>
  <si>
    <t>Grupa Dr. A. R. Kwiecinskiego</t>
  </si>
  <si>
    <t>Tropical Medicine and Health</t>
  </si>
  <si>
    <t>13488945</t>
  </si>
  <si>
    <t>13494147</t>
  </si>
  <si>
    <t>Japanese Society of Tropical Medicine</t>
  </si>
  <si>
    <t>Turkiye Klinikleri Pediatri</t>
  </si>
  <si>
    <t>13000381</t>
  </si>
  <si>
    <t>21468990</t>
  </si>
  <si>
    <t>Turkiye Klinikleri</t>
  </si>
  <si>
    <t>Turkiye Klinikleri Jinekoloji Obstetrik</t>
  </si>
  <si>
    <t>13000306</t>
  </si>
  <si>
    <t>Turkiye Klinikleri Dermatoloji</t>
  </si>
  <si>
    <t>13000330</t>
  </si>
  <si>
    <t>21469016</t>
  </si>
  <si>
    <t>Turkiye Klinikleri Cardiovascular Sciences</t>
  </si>
  <si>
    <t>13067656</t>
  </si>
  <si>
    <t>Korean Journal of Anesthesiology</t>
  </si>
  <si>
    <t>20056419</t>
  </si>
  <si>
    <t>20057563</t>
  </si>
  <si>
    <t>Korean Society of Anesthesiologists</t>
  </si>
  <si>
    <t>Scientific Journal of Kurdistan University of Medical Sciences</t>
  </si>
  <si>
    <t>1560652X</t>
  </si>
  <si>
    <t>Kurdistan University of Medical Sciences</t>
  </si>
  <si>
    <t>American Journal of Pharmacy Benefits</t>
  </si>
  <si>
    <t>19454481</t>
  </si>
  <si>
    <t>21642494</t>
  </si>
  <si>
    <t>Managed Care and Healthcare Communications</t>
  </si>
  <si>
    <t>Vakcinologie</t>
  </si>
  <si>
    <t>18023150</t>
  </si>
  <si>
    <t>Medakta s.r.o.</t>
  </si>
  <si>
    <t>E-flow PDF Medakta s.r.o.</t>
  </si>
  <si>
    <t>Kardiologicka Revue</t>
  </si>
  <si>
    <t>12124540</t>
  </si>
  <si>
    <t>18018653</t>
  </si>
  <si>
    <t>Ambit Media a.s.</t>
  </si>
  <si>
    <t>Journal of Pharmaceutical Sciences and Research</t>
  </si>
  <si>
    <t>09751459</t>
  </si>
  <si>
    <t>Pharmainfo Publications</t>
  </si>
  <si>
    <t>African Journal of Infectious Diseases</t>
  </si>
  <si>
    <t>20060165</t>
  </si>
  <si>
    <t>Obafemi Awolowo University</t>
  </si>
  <si>
    <t>Heart International</t>
  </si>
  <si>
    <t>18261868</t>
  </si>
  <si>
    <t>20362579</t>
  </si>
  <si>
    <t>Neurology International</t>
  </si>
  <si>
    <t>20358385</t>
  </si>
  <si>
    <t>20358377</t>
  </si>
  <si>
    <t>Rare Tumors</t>
  </si>
  <si>
    <t>20363605</t>
  </si>
  <si>
    <t>20363613</t>
  </si>
  <si>
    <t>Rheumatology Reports</t>
  </si>
  <si>
    <t>20367511</t>
  </si>
  <si>
    <t>2036752X</t>
  </si>
  <si>
    <t>Pan African Medical Journal</t>
  </si>
  <si>
    <t>19378688</t>
  </si>
  <si>
    <t>African Field Epidemiology Network</t>
  </si>
  <si>
    <t>African Field Epidemiology</t>
  </si>
  <si>
    <t>Hot Topics in Neurology and Psychiatry</t>
  </si>
  <si>
    <t>19747640</t>
  </si>
  <si>
    <t>20360916</t>
  </si>
  <si>
    <t>Austrian Journal of Clinical Endocrinology and Metabolism</t>
  </si>
  <si>
    <t>19987773</t>
  </si>
  <si>
    <t>19987781</t>
  </si>
  <si>
    <t>Journal of Zanjan University of Medical Sciences and Health Services</t>
  </si>
  <si>
    <t>16069366</t>
  </si>
  <si>
    <t>Zanjan University of Medical Sciences and Health Services</t>
  </si>
  <si>
    <t>Iranian Journal of Obstetrics, Gynecology and Infertility</t>
  </si>
  <si>
    <t>16802993</t>
  </si>
  <si>
    <t>20082363</t>
  </si>
  <si>
    <t>Mashhad University of Medical Sciences</t>
  </si>
  <si>
    <t>Journal of Chemical and Pharmaceutical Sciences</t>
  </si>
  <si>
    <t>09742115</t>
  </si>
  <si>
    <t>SPB Pharma Society</t>
  </si>
  <si>
    <t>Journal of Medicine (Bangladesh)</t>
  </si>
  <si>
    <t>19979797</t>
  </si>
  <si>
    <t>20755384</t>
  </si>
  <si>
    <t>Bangladesh Society of Medicine</t>
  </si>
  <si>
    <t>Integrative Biology (United Kingdom)</t>
  </si>
  <si>
    <t>17579694</t>
  </si>
  <si>
    <t>17579708</t>
  </si>
  <si>
    <t>Clinical Medicine Insights: Endocrinology and Diabetes</t>
  </si>
  <si>
    <t>11795514</t>
  </si>
  <si>
    <t>Clinical Medicine Insights: Gastroenterology</t>
  </si>
  <si>
    <t>11795522</t>
  </si>
  <si>
    <t>Advances in Molecular Toxicology</t>
  </si>
  <si>
    <t>18720854</t>
  </si>
  <si>
    <t>Clinical Medicine Insights: Geriatrics</t>
  </si>
  <si>
    <t>11795530</t>
  </si>
  <si>
    <t>Clinical Medicine Insights: Oncology</t>
  </si>
  <si>
    <t>11795549</t>
  </si>
  <si>
    <t>ACS Chemical Neuroscience</t>
  </si>
  <si>
    <t>19487193</t>
  </si>
  <si>
    <t>DoctorConsult - The Journal. Wissen fur Klinik und Praxis</t>
  </si>
  <si>
    <t>18794122</t>
  </si>
  <si>
    <t>Clinical Medicine Insights: Arthritis and Musculoskeletal Disorders</t>
  </si>
  <si>
    <t>11795441</t>
  </si>
  <si>
    <t>Journal of Experimental and Clinical Medicine(Taiwan)</t>
  </si>
  <si>
    <t>18783317</t>
  </si>
  <si>
    <t>18783325</t>
  </si>
  <si>
    <t>Clinical Medicine Insights: Blood Disorders</t>
  </si>
  <si>
    <t>1179545X</t>
  </si>
  <si>
    <t>Journal of Neuroscience, Psychology, and Economics</t>
  </si>
  <si>
    <t>1937321X</t>
  </si>
  <si>
    <t>2151318X</t>
  </si>
  <si>
    <t>Clinical Medicine Insights: Case Reports</t>
  </si>
  <si>
    <t>11795476</t>
  </si>
  <si>
    <t>Revista Espanola de Patologia</t>
  </si>
  <si>
    <t>16998855</t>
  </si>
  <si>
    <t>1988561X</t>
  </si>
  <si>
    <t>Revue du Rhumatisme Monographies</t>
  </si>
  <si>
    <t>18786227</t>
  </si>
  <si>
    <t>22120920</t>
  </si>
  <si>
    <t>Clinical Medicine Insights: Circulatory, Respiratory and Pulmonary Medicine</t>
  </si>
  <si>
    <t>11795484</t>
  </si>
  <si>
    <t>Sexual and Reproductive Healthcare</t>
  </si>
  <si>
    <t>18775756</t>
  </si>
  <si>
    <t>18775764</t>
  </si>
  <si>
    <t>Ticks and Tick-borne Diseases</t>
  </si>
  <si>
    <t>1877959X</t>
  </si>
  <si>
    <t>18779603</t>
  </si>
  <si>
    <t>Clinical Medicine Insights: Therapeutics</t>
  </si>
  <si>
    <t>1179559X</t>
  </si>
  <si>
    <t>Archives of Cardiovascular Diseases Supplements</t>
  </si>
  <si>
    <t>18786480</t>
  </si>
  <si>
    <t>18786502</t>
  </si>
  <si>
    <t>Asian Pacific Journal of Tropical Medicine</t>
  </si>
  <si>
    <t>19957645</t>
  </si>
  <si>
    <t>Clinical Medicine Insights: Cardiology</t>
  </si>
  <si>
    <t>11795468</t>
  </si>
  <si>
    <t>Eurosurveillance</t>
  </si>
  <si>
    <t>1025496X</t>
  </si>
  <si>
    <t>15607917</t>
  </si>
  <si>
    <t>European Centre for Disease Prevention and Control (ECDC)</t>
  </si>
  <si>
    <t>Journal of Biomedical Research</t>
  </si>
  <si>
    <t>16748301</t>
  </si>
  <si>
    <t>Psychiatrist</t>
  </si>
  <si>
    <t>17583209</t>
  </si>
  <si>
    <t>17583217</t>
  </si>
  <si>
    <t>Hormone Research in Paediatrics</t>
  </si>
  <si>
    <t>16632818</t>
  </si>
  <si>
    <t>16632826</t>
  </si>
  <si>
    <t>Clinical Medicine Insights: Pathology</t>
  </si>
  <si>
    <t>11795557</t>
  </si>
  <si>
    <t>Bioanalytical Reviews</t>
  </si>
  <si>
    <t>18672086</t>
  </si>
  <si>
    <t>18672094</t>
  </si>
  <si>
    <t>Cahiers de l'Annee Gerontologique</t>
  </si>
  <si>
    <t>17605342</t>
  </si>
  <si>
    <t>17605350</t>
  </si>
  <si>
    <t>Epigenomics</t>
  </si>
  <si>
    <t>17501911</t>
  </si>
  <si>
    <t>1750192X</t>
  </si>
  <si>
    <t>Experimental and Translational Stroke Medicine</t>
  </si>
  <si>
    <t>20407378</t>
  </si>
  <si>
    <t>Food and Environmental Virology</t>
  </si>
  <si>
    <t>18670334</t>
  </si>
  <si>
    <t>18670342</t>
  </si>
  <si>
    <t>Imaging in Medicine</t>
  </si>
  <si>
    <t>17555191</t>
  </si>
  <si>
    <t>17555205</t>
  </si>
  <si>
    <t>Interventional Cardiology (London)</t>
  </si>
  <si>
    <t>17555302</t>
  </si>
  <si>
    <t>17555310</t>
  </si>
  <si>
    <t>Journal of Environmental and Public Health</t>
  </si>
  <si>
    <t>16879805</t>
  </si>
  <si>
    <t>16879813</t>
  </si>
  <si>
    <t>Journal of Parasitic Diseases</t>
  </si>
  <si>
    <t>09717196</t>
  </si>
  <si>
    <t>09750703</t>
  </si>
  <si>
    <t>Journal of Young Pharmacists</t>
  </si>
  <si>
    <t>09751483</t>
  </si>
  <si>
    <t>09751505</t>
  </si>
  <si>
    <t>Kardiologe</t>
  </si>
  <si>
    <t>18649718</t>
  </si>
  <si>
    <t>18649726</t>
  </si>
  <si>
    <t>Probiotics and Antimicrobial Proteins</t>
  </si>
  <si>
    <t>18671306</t>
  </si>
  <si>
    <t>18671314</t>
  </si>
  <si>
    <t>Science Translational Medicine</t>
  </si>
  <si>
    <t>19466234</t>
  </si>
  <si>
    <t>19466242</t>
  </si>
  <si>
    <t>Statistics in Biosciences</t>
  </si>
  <si>
    <t>18671764</t>
  </si>
  <si>
    <t>18671772</t>
  </si>
  <si>
    <t>Allergy, Asthma and Immunology Research</t>
  </si>
  <si>
    <t>20927355</t>
  </si>
  <si>
    <t>20927363</t>
  </si>
  <si>
    <t>Korean Academy of Asthma, Allergy and Clinical Immunology</t>
  </si>
  <si>
    <t>Duzce Medical Journal</t>
  </si>
  <si>
    <t>1307671X</t>
  </si>
  <si>
    <t>Duzce University Medical School</t>
  </si>
  <si>
    <t>Emerging Health Threats Journal</t>
  </si>
  <si>
    <t>17528550</t>
  </si>
  <si>
    <t>International Journal of Intelligent Computing in Medical Sciences and Image Processing</t>
  </si>
  <si>
    <t>1931308X</t>
  </si>
  <si>
    <t>23260068</t>
  </si>
  <si>
    <t>International Journal of Endocrinology and Metabolism</t>
  </si>
  <si>
    <t>1726913X</t>
  </si>
  <si>
    <t>17269148</t>
  </si>
  <si>
    <t>Research Institute for Endocrine Sciences</t>
  </si>
  <si>
    <t>Journal of International Pharmaceutical Research</t>
  </si>
  <si>
    <t>16740440</t>
  </si>
  <si>
    <t>Editorial office of Journal of International Pharmaceutical Research</t>
  </si>
  <si>
    <t>Editorial office of Foreign Medical Sciences</t>
  </si>
  <si>
    <t>Iranian Journal of Basic Medical Sciences</t>
  </si>
  <si>
    <t>20083866</t>
  </si>
  <si>
    <t>20083874</t>
  </si>
  <si>
    <t>Iranian Journal of Microbiology</t>
  </si>
  <si>
    <t>20083289</t>
  </si>
  <si>
    <t>20084447</t>
  </si>
  <si>
    <t>Tehran University of Medical Science</t>
  </si>
  <si>
    <t>Journal of Babol University of Medical Sciences</t>
  </si>
  <si>
    <t>15614107</t>
  </si>
  <si>
    <t>Babol University of Medical Sciences</t>
  </si>
  <si>
    <t>Journal of Experimental Stroke and Translational Medicine</t>
  </si>
  <si>
    <t>1939067X</t>
  </si>
  <si>
    <t>Society for Experimental Stroke</t>
  </si>
  <si>
    <t>Journal of Kerman University of Medical Sciences</t>
  </si>
  <si>
    <t>10239510</t>
  </si>
  <si>
    <t>20082843</t>
  </si>
  <si>
    <t>Kerman University of Medical Sciences</t>
  </si>
  <si>
    <t>Journal of Receptor, Ligand and Channel Research</t>
  </si>
  <si>
    <t>1178699X</t>
  </si>
  <si>
    <t>Journal of the Intensive Care Society</t>
  </si>
  <si>
    <t>17511437</t>
  </si>
  <si>
    <t>Stansted News Ltd</t>
  </si>
  <si>
    <t>Klimik Dergisi</t>
  </si>
  <si>
    <t>1301143X</t>
  </si>
  <si>
    <t>13091484</t>
  </si>
  <si>
    <t>Ontario Health Technology Assessment Series</t>
  </si>
  <si>
    <t>19157398</t>
  </si>
  <si>
    <t>Medical Advisory Secretariat</t>
  </si>
  <si>
    <t>Open Access Emergency Medicine</t>
  </si>
  <si>
    <t>11791500</t>
  </si>
  <si>
    <t>Phillippine Journal of Internal Medicine</t>
  </si>
  <si>
    <t>01199641</t>
  </si>
  <si>
    <t>Philippine College of Physicians</t>
  </si>
  <si>
    <t>PHL</t>
  </si>
  <si>
    <t>Regulatory Rapporteur</t>
  </si>
  <si>
    <t>17428955</t>
  </si>
  <si>
    <t>TOPRA</t>
  </si>
  <si>
    <t>Reports in Medical Imaging</t>
  </si>
  <si>
    <t>11791586</t>
  </si>
  <si>
    <t>Revista Paulista de Pediatria</t>
  </si>
  <si>
    <t>01030582</t>
  </si>
  <si>
    <t>Sao Paulo Pediatric Society</t>
  </si>
  <si>
    <t>Risk Management and Healthcare Policy</t>
  </si>
  <si>
    <t>11791594</t>
  </si>
  <si>
    <t>Southern Med Review</t>
  </si>
  <si>
    <t>11742704</t>
  </si>
  <si>
    <t>Zaheer Babar</t>
  </si>
  <si>
    <t>Sri Lankan Journal of Anaesthesiology</t>
  </si>
  <si>
    <t>13918834</t>
  </si>
  <si>
    <t>22791965</t>
  </si>
  <si>
    <t>College of Anaesthesiologists of Sri Lanka</t>
  </si>
  <si>
    <t>LKA</t>
  </si>
  <si>
    <t>Stem Cells and Cloning: Advances and Applications</t>
  </si>
  <si>
    <t>11786957</t>
  </si>
  <si>
    <t>Turk Noroloji Dergisi</t>
  </si>
  <si>
    <t>1301062X</t>
  </si>
  <si>
    <t>Turkish Neurological Society</t>
  </si>
  <si>
    <t>Australasian Medical Journal</t>
  </si>
  <si>
    <t>18361935</t>
  </si>
  <si>
    <t>Australasian Medical Journal Pty Ltd</t>
  </si>
  <si>
    <t>Biochimica Clinica</t>
  </si>
  <si>
    <t>03930564</t>
  </si>
  <si>
    <t>Biomedia Srl</t>
  </si>
  <si>
    <t>PharmacoVigilance Review</t>
  </si>
  <si>
    <t>17526752</t>
  </si>
  <si>
    <t>Shiraz E Medical Journal</t>
  </si>
  <si>
    <t>17351391</t>
  </si>
  <si>
    <t>Intervencni a Akutni Kardiologie</t>
  </si>
  <si>
    <t>1213807X</t>
  </si>
  <si>
    <t>18035302</t>
  </si>
  <si>
    <t>Medicinski Casopis</t>
  </si>
  <si>
    <t>03501221</t>
  </si>
  <si>
    <t>Serbian Medical Society</t>
  </si>
  <si>
    <t>E-flow PDF Serbian Medical Society</t>
  </si>
  <si>
    <t>Turk Patoloji Dergisi/Turkish Journal of Pathology</t>
  </si>
  <si>
    <t>10185615</t>
  </si>
  <si>
    <t>13095730</t>
  </si>
  <si>
    <t>Bulus Design and Printing</t>
  </si>
  <si>
    <t>Avicenna Journal of Medical Biotechnology</t>
  </si>
  <si>
    <t>20082835</t>
  </si>
  <si>
    <t>20084625</t>
  </si>
  <si>
    <t>European Annals of Otorhinolaryngology, Head and Neck Diseases</t>
  </si>
  <si>
    <t>18797296</t>
  </si>
  <si>
    <t>1879730X</t>
  </si>
  <si>
    <t>European Geriatric Medicine</t>
  </si>
  <si>
    <t>18787649</t>
  </si>
  <si>
    <t>18787657</t>
  </si>
  <si>
    <t>Health Outcomes Research in Medicine</t>
  </si>
  <si>
    <t>18771319</t>
  </si>
  <si>
    <t>International Journal of Surgery Case Reports</t>
  </si>
  <si>
    <t>22102612</t>
  </si>
  <si>
    <t>Journal of Chiropractic Humanities</t>
  </si>
  <si>
    <t>15563499</t>
  </si>
  <si>
    <t>Journal of Geriatric Oncology</t>
  </si>
  <si>
    <t>18794068</t>
  </si>
  <si>
    <t>18794076</t>
  </si>
  <si>
    <t>Revue d'Homeopathie</t>
  </si>
  <si>
    <t>18789730</t>
  </si>
  <si>
    <t>18789749</t>
  </si>
  <si>
    <t>Revue de Medecine Legale</t>
  </si>
  <si>
    <t>18786529</t>
  </si>
  <si>
    <t>18786537</t>
  </si>
  <si>
    <t>Pratique Neurologique - FMC</t>
  </si>
  <si>
    <t>18787762</t>
  </si>
  <si>
    <t>18787770</t>
  </si>
  <si>
    <t>Progress in Orthodontics</t>
  </si>
  <si>
    <t>17237785</t>
  </si>
  <si>
    <t>21961042</t>
  </si>
  <si>
    <t>Urological Science</t>
  </si>
  <si>
    <t>18795226</t>
  </si>
  <si>
    <t>Oncology Letters</t>
  </si>
  <si>
    <t>17921074</t>
  </si>
  <si>
    <t>17921082</t>
  </si>
  <si>
    <t>Experimental and Therapeutic Medicine</t>
  </si>
  <si>
    <t>17920981</t>
  </si>
  <si>
    <t>17921015</t>
  </si>
  <si>
    <t>Hormones and Cancer</t>
  </si>
  <si>
    <t>18688497</t>
  </si>
  <si>
    <t>18688500</t>
  </si>
  <si>
    <t>Translational Stroke Research</t>
  </si>
  <si>
    <t>18684483</t>
  </si>
  <si>
    <t>1868601X</t>
  </si>
  <si>
    <t>Case Reports in Oncology</t>
  </si>
  <si>
    <t>16626575</t>
  </si>
  <si>
    <t>Case Reports in Gastroenterology</t>
  </si>
  <si>
    <t>16620631</t>
  </si>
  <si>
    <t>Case Reports in Dermatology</t>
  </si>
  <si>
    <t>16626567</t>
  </si>
  <si>
    <t>Case Reports in Neurology</t>
  </si>
  <si>
    <t>1662680X</t>
  </si>
  <si>
    <t>Molecular Syndromology</t>
  </si>
  <si>
    <t>16618769</t>
  </si>
  <si>
    <t>16618777</t>
  </si>
  <si>
    <t>Nucleus (United States)</t>
  </si>
  <si>
    <t>19491034</t>
  </si>
  <si>
    <t>19491042</t>
  </si>
  <si>
    <t>Virulence</t>
  </si>
  <si>
    <t>21505594</t>
  </si>
  <si>
    <t>21505608</t>
  </si>
  <si>
    <t>Bioengineered</t>
  </si>
  <si>
    <t>19491018</t>
  </si>
  <si>
    <t>19491026</t>
  </si>
  <si>
    <t>Gut Microbes</t>
  </si>
  <si>
    <t>19490976</t>
  </si>
  <si>
    <t>19490984</t>
  </si>
  <si>
    <t>Cell Death and Disease</t>
  </si>
  <si>
    <t>20414889</t>
  </si>
  <si>
    <t>International Journal of Cell Biology</t>
  </si>
  <si>
    <t>16878876</t>
  </si>
  <si>
    <t>16878884</t>
  </si>
  <si>
    <t>Cardiovascular Psychiatry and Neurology</t>
  </si>
  <si>
    <t>20900163</t>
  </si>
  <si>
    <t>20900171</t>
  </si>
  <si>
    <t>International Journal of Alzheimer's Disease</t>
  </si>
  <si>
    <t>20900252</t>
  </si>
  <si>
    <t>Parkinson's Disease</t>
  </si>
  <si>
    <t>20420080</t>
  </si>
  <si>
    <t>Stroke Research and Treatment</t>
  </si>
  <si>
    <t>20420056</t>
  </si>
  <si>
    <t>Breast Cancer: Targets and Therapy</t>
  </si>
  <si>
    <t>11791314</t>
  </si>
  <si>
    <t>Open Access Journal of Clinical Trials</t>
  </si>
  <si>
    <t>11791519</t>
  </si>
  <si>
    <t>Mobile DNA</t>
  </si>
  <si>
    <t>17598753</t>
  </si>
  <si>
    <t>Automated Experimentation</t>
  </si>
  <si>
    <t>17594499</t>
  </si>
  <si>
    <t>Molecular Autism</t>
  </si>
  <si>
    <t>20402392</t>
  </si>
  <si>
    <t>Brain Research Journal</t>
  </si>
  <si>
    <t>19352875</t>
  </si>
  <si>
    <t>Journal of Pharmacognosy and Phytotherapy</t>
  </si>
  <si>
    <t>21412502</t>
  </si>
  <si>
    <t>Clinical and Experimental Neuroimmunology</t>
  </si>
  <si>
    <t>17591961</t>
  </si>
  <si>
    <t>Wiley-Blackwell Publishing Asia</t>
  </si>
  <si>
    <t>International Journal of Molecular Epidemiology and Genetics</t>
  </si>
  <si>
    <t>19481756</t>
  </si>
  <si>
    <t>Interdisciplinary Toxicology</t>
  </si>
  <si>
    <t>13376853</t>
  </si>
  <si>
    <t>13379569</t>
  </si>
  <si>
    <t>Slovak Toxicology Society</t>
  </si>
  <si>
    <t>Journal of Cancer Science and Therapy</t>
  </si>
  <si>
    <t>19485956</t>
  </si>
  <si>
    <t>Journal of Antivirals and Antiretrovirals</t>
  </si>
  <si>
    <t>19485964</t>
  </si>
  <si>
    <t>ACS Medicinal Chemistry Letters</t>
  </si>
  <si>
    <t>19485875</t>
  </si>
  <si>
    <t>Open Cancer Immunology Journal</t>
  </si>
  <si>
    <t>18764010</t>
  </si>
  <si>
    <t>Open Translational Medicine Journal</t>
  </si>
  <si>
    <t>18763995</t>
  </si>
  <si>
    <t>International Journal of Research in Pharmaceutical Sciences</t>
  </si>
  <si>
    <t>09757538</t>
  </si>
  <si>
    <t>J. K. Welfare and Pharmascope Foundation</t>
  </si>
  <si>
    <t>Iranian Journal of Pharmaceutical Sciences</t>
  </si>
  <si>
    <t>17352444</t>
  </si>
  <si>
    <t>Iranian Association of Pharmaceutical Scientists</t>
  </si>
  <si>
    <t>Modern Pharmaceutical Research</t>
  </si>
  <si>
    <t>19409257</t>
  </si>
  <si>
    <t>Taney Academy of Sciences Inc.</t>
  </si>
  <si>
    <t>Psychology and Neuroscience</t>
  </si>
  <si>
    <t>19843054</t>
  </si>
  <si>
    <t>19833288</t>
  </si>
  <si>
    <t>Pontificia Universidade Catolica do Rio de Janeiro Universidade de Sao Paulo and Univ. de Brasilia</t>
  </si>
  <si>
    <t>Pontificia Universidade Catolica do Rio de Janeiro, Universidade de Sao Paulo and Univ. de Brasilia</t>
  </si>
  <si>
    <t>International Journal of Drug Development and Research</t>
  </si>
  <si>
    <t>09759344</t>
  </si>
  <si>
    <t>Iranian Journal of Epidemiology</t>
  </si>
  <si>
    <t>17357489</t>
  </si>
  <si>
    <t>Iranian Epidemiological Association</t>
  </si>
  <si>
    <t>European journal of Clinical and Medical Oncology</t>
  </si>
  <si>
    <t>17598958</t>
  </si>
  <si>
    <t>17598966</t>
  </si>
  <si>
    <t>Biopharma Medical Multimedia</t>
  </si>
  <si>
    <t>Journal of Dermatological Case Reports</t>
  </si>
  <si>
    <t>18987249</t>
  </si>
  <si>
    <t>Specjalisci Dermatolodzy</t>
  </si>
  <si>
    <t>Obstetric Medicine</t>
  </si>
  <si>
    <t>1753495X</t>
  </si>
  <si>
    <t>17534968</t>
  </si>
  <si>
    <t>Journal of Neurodevelopmental Disorders</t>
  </si>
  <si>
    <t>18661947</t>
  </si>
  <si>
    <t>18661956</t>
  </si>
  <si>
    <t>HIV/AIDS - Research and Palliative Care</t>
  </si>
  <si>
    <t>11791373</t>
  </si>
  <si>
    <t>Journal of Multidisciplinary Healthcare</t>
  </si>
  <si>
    <t>11782390</t>
  </si>
  <si>
    <t>Patient Preference and Adherence</t>
  </si>
  <si>
    <t>1177889X</t>
  </si>
  <si>
    <t>Thyroid Research</t>
  </si>
  <si>
    <t>17566614</t>
  </si>
  <si>
    <t>British Journal of Medical Practitioners</t>
  </si>
  <si>
    <t>17578515</t>
  </si>
  <si>
    <t>JMN Medical Education Ltd</t>
  </si>
  <si>
    <t>Clinics in Orthopedic Surgery</t>
  </si>
  <si>
    <t>2005291X</t>
  </si>
  <si>
    <t>20054408</t>
  </si>
  <si>
    <t>Korean Orthopaedic Association</t>
  </si>
  <si>
    <t>Meme Sagligi Dergisi / Journal of Breast Health</t>
  </si>
  <si>
    <t>13060945</t>
  </si>
  <si>
    <t>Federation of Breast Diseases Society</t>
  </si>
  <si>
    <t>Cellular Reprogramming</t>
  </si>
  <si>
    <t>21524971</t>
  </si>
  <si>
    <t>21524998</t>
  </si>
  <si>
    <t>Biopreservation and Biobanking</t>
  </si>
  <si>
    <t>19475535</t>
  </si>
  <si>
    <t>19475543</t>
  </si>
  <si>
    <t>Pediatric, Allergy, Immunology, and Pulmonology</t>
  </si>
  <si>
    <t>2151321X</t>
  </si>
  <si>
    <t>21513228</t>
  </si>
  <si>
    <t>Lung Cancer: Targets and Therapy</t>
  </si>
  <si>
    <t>American Journal of Case Reports</t>
  </si>
  <si>
    <t>19415923</t>
  </si>
  <si>
    <t>Advances in Protein Chemistry and Structural Biology</t>
  </si>
  <si>
    <t>18761623</t>
  </si>
  <si>
    <t>Progress in Molecular Biology and Translational Science</t>
  </si>
  <si>
    <t>18771173</t>
  </si>
  <si>
    <t>Pharmaceutical Outsourcing</t>
  </si>
  <si>
    <t>19453337</t>
  </si>
  <si>
    <t>Brazilian Journal of Pharmaceutical Sciences</t>
  </si>
  <si>
    <t>19848250</t>
  </si>
  <si>
    <t>21759790</t>
  </si>
  <si>
    <t>Faculdade de Ciencias Farmaceuticas (Biblioteca)</t>
  </si>
  <si>
    <t>Faculdade de Ciencias Farmaceuticas</t>
  </si>
  <si>
    <t>Journal of Nanotechnology in Engineering and Medicine</t>
  </si>
  <si>
    <t>19492944</t>
  </si>
  <si>
    <t>19492952</t>
  </si>
  <si>
    <t>Developmental Cognitive Neuroscience</t>
  </si>
  <si>
    <t>18789293</t>
  </si>
  <si>
    <t>18789307</t>
  </si>
  <si>
    <t>GeroPsych: The Journal of Gerontopsychology and Geriatric Psychiatry</t>
  </si>
  <si>
    <t>16629647</t>
  </si>
  <si>
    <t>1662971X</t>
  </si>
  <si>
    <t>Imagen Diagnostica</t>
  </si>
  <si>
    <t>21713669</t>
  </si>
  <si>
    <t>21719705</t>
  </si>
  <si>
    <t>Neurologia Argentina</t>
  </si>
  <si>
    <t>18530028</t>
  </si>
  <si>
    <t>Cell Health and Cytoskeleton</t>
  </si>
  <si>
    <t>11791330</t>
  </si>
  <si>
    <t>Breathe</t>
  </si>
  <si>
    <t>18106838</t>
  </si>
  <si>
    <t>20734735</t>
  </si>
  <si>
    <t>Sports Medicine, Arthroscopy, Rehabilitation, Therapy and Technology</t>
  </si>
  <si>
    <t>17582555</t>
  </si>
  <si>
    <t>Fibrogenesis and Tissue Repair</t>
  </si>
  <si>
    <t>17551536</t>
  </si>
  <si>
    <t>Patient Safety in Surgery</t>
  </si>
  <si>
    <t>17549493</t>
  </si>
  <si>
    <t>Nature Communications</t>
  </si>
  <si>
    <t>20411723</t>
  </si>
  <si>
    <t>Journal of Clinical Gerontology and Geriatrics</t>
  </si>
  <si>
    <t>22108335</t>
  </si>
  <si>
    <t>Pregnancy Hypertension</t>
  </si>
  <si>
    <t>22107789</t>
  </si>
  <si>
    <t>Egyptian Journal of Radiology and Nuclear Medicine</t>
  </si>
  <si>
    <t>0378603X</t>
  </si>
  <si>
    <t>20904762</t>
  </si>
  <si>
    <t>Innovations in Clinical Neuroscience</t>
  </si>
  <si>
    <t>21588333</t>
  </si>
  <si>
    <t>21588341</t>
  </si>
  <si>
    <t>Chiropractic and Manual Therapies</t>
  </si>
  <si>
    <t>2045709X</t>
  </si>
  <si>
    <t>Fluids and Barriers of the CNS</t>
  </si>
  <si>
    <t>20458118</t>
  </si>
  <si>
    <t>Vascular Cell</t>
  </si>
  <si>
    <t>2045824X</t>
  </si>
  <si>
    <t>Cognitive Neuroscience</t>
  </si>
  <si>
    <t>17588928</t>
  </si>
  <si>
    <t>17588936</t>
  </si>
  <si>
    <t>Psychology Press Ltd</t>
  </si>
  <si>
    <t>Korean Journal of Pediatrics</t>
  </si>
  <si>
    <t>17831061</t>
  </si>
  <si>
    <t>20927258</t>
  </si>
  <si>
    <t>Korean Pediatric Society</t>
  </si>
  <si>
    <t>Bioanalysis</t>
  </si>
  <si>
    <t>17576180</t>
  </si>
  <si>
    <t>17576199</t>
  </si>
  <si>
    <t>Future Science Ltd</t>
  </si>
  <si>
    <t>Journal of Molecular Cell Biology</t>
  </si>
  <si>
    <t>16742788</t>
  </si>
  <si>
    <t>17594685</t>
  </si>
  <si>
    <t>Retinal Cases and Brief Reports</t>
  </si>
  <si>
    <t>19351089</t>
  </si>
  <si>
    <t>19371578</t>
  </si>
  <si>
    <t>Open Drug Safety Journal</t>
  </si>
  <si>
    <t>18768180</t>
  </si>
  <si>
    <t>Open Pharmacoeconomics and Health Economics Journal</t>
  </si>
  <si>
    <t>18768245</t>
  </si>
  <si>
    <t>Open Drug Discovery Journal</t>
  </si>
  <si>
    <t>18773818</t>
  </si>
  <si>
    <t>Open Clinical Trials Journal</t>
  </si>
  <si>
    <t>18768210</t>
  </si>
  <si>
    <t>Open Health Services and Policy Journal</t>
  </si>
  <si>
    <t>18749240</t>
  </si>
  <si>
    <t>Open Hypertension Journal</t>
  </si>
  <si>
    <t>18765262</t>
  </si>
  <si>
    <t>Open Neuroendocrinology Journal</t>
  </si>
  <si>
    <t>18765289</t>
  </si>
  <si>
    <t>Open Cardiovascular Imaging Journal</t>
  </si>
  <si>
    <t>18765386</t>
  </si>
  <si>
    <t>Open Medical Imaging Journal</t>
  </si>
  <si>
    <t>18743471</t>
  </si>
  <si>
    <t>Open Surgical Oncology Journal</t>
  </si>
  <si>
    <t>18765041</t>
  </si>
  <si>
    <t>Open Colorectal Cancer Journal</t>
  </si>
  <si>
    <t>18768202</t>
  </si>
  <si>
    <t>Open Prostate Cancer Journal</t>
  </si>
  <si>
    <t>18768229</t>
  </si>
  <si>
    <t>Open Autoimmunity Journal</t>
  </si>
  <si>
    <t>18768946</t>
  </si>
  <si>
    <t>Open Stem Cell Journal</t>
  </si>
  <si>
    <t>18768938</t>
  </si>
  <si>
    <t>Open Magnetic Resonance Journal</t>
  </si>
  <si>
    <t>18747698</t>
  </si>
  <si>
    <t>Open Complementary Medicine Journal</t>
  </si>
  <si>
    <t>1876391X</t>
  </si>
  <si>
    <t>Open Natural Products Journal</t>
  </si>
  <si>
    <t>18748481</t>
  </si>
  <si>
    <t>Open Heart Failure Journal</t>
  </si>
  <si>
    <t>18765351</t>
  </si>
  <si>
    <t>Open Microbiology Journal</t>
  </si>
  <si>
    <t>18742858</t>
  </si>
  <si>
    <t>Open Andrology Journal</t>
  </si>
  <si>
    <t>1876827X</t>
  </si>
  <si>
    <t>Open Nuclear Medicine Journal</t>
  </si>
  <si>
    <t>1876388X</t>
  </si>
  <si>
    <t>Open Urology and Nephrology Journal</t>
  </si>
  <si>
    <t>1874303X</t>
  </si>
  <si>
    <t>Open Medical Devices Journal</t>
  </si>
  <si>
    <t>18751814</t>
  </si>
  <si>
    <t>Open Critical Care Medicine Journal</t>
  </si>
  <si>
    <t>18748287</t>
  </si>
  <si>
    <t>Open Ophthalmology Journal</t>
  </si>
  <si>
    <t>18743641</t>
  </si>
  <si>
    <t>Open Public Health Journal</t>
  </si>
  <si>
    <t>18749445</t>
  </si>
  <si>
    <t>Open Obesity Journal</t>
  </si>
  <si>
    <t>18768237</t>
  </si>
  <si>
    <t>Open Structural Biology Journal</t>
  </si>
  <si>
    <t>18741991</t>
  </si>
  <si>
    <t>Open Bone Journal</t>
  </si>
  <si>
    <t>18765254</t>
  </si>
  <si>
    <t>Open Tissue Engineering and Regenerative Medicine Journal</t>
  </si>
  <si>
    <t>18750435</t>
  </si>
  <si>
    <t>Open Neurosurgery Journal</t>
  </si>
  <si>
    <t>18765297</t>
  </si>
  <si>
    <t>Open Breast Cancer Journal</t>
  </si>
  <si>
    <t>18768172</t>
  </si>
  <si>
    <t>Open Lung Cancer Journal</t>
  </si>
  <si>
    <t>18768199</t>
  </si>
  <si>
    <t>Open Nutraceuticals Journal</t>
  </si>
  <si>
    <t>18763960</t>
  </si>
  <si>
    <t>Open Arthritis Journal</t>
  </si>
  <si>
    <t>18765394</t>
  </si>
  <si>
    <t>Open Longevity Science</t>
  </si>
  <si>
    <t>1876326X</t>
  </si>
  <si>
    <t>Open Bioinformatics Journal</t>
  </si>
  <si>
    <t>18750362</t>
  </si>
  <si>
    <t>Open Parasitology Journal</t>
  </si>
  <si>
    <t>18744214</t>
  </si>
  <si>
    <t>Open Nanomedicine Journal</t>
  </si>
  <si>
    <t>18759335</t>
  </si>
  <si>
    <t>Open Transplantation Journal</t>
  </si>
  <si>
    <t>18744184</t>
  </si>
  <si>
    <t>Open Toxinology Journal</t>
  </si>
  <si>
    <t>18754147</t>
  </si>
  <si>
    <t>Recent Patents on Medical Imaging</t>
  </si>
  <si>
    <t>18776132</t>
  </si>
  <si>
    <t>Open Pacing, Electrophysiology and Therapy Journal</t>
  </si>
  <si>
    <t>Open Chemical and Biomedical Methods Journal</t>
  </si>
  <si>
    <t>1876536X</t>
  </si>
  <si>
    <t>Genetic Engineering and Biotechnology Journal</t>
  </si>
  <si>
    <t>21503516</t>
  </si>
  <si>
    <t>AstonJournals</t>
  </si>
  <si>
    <t>BMJ Case Reports</t>
  </si>
  <si>
    <t>1757790X</t>
  </si>
  <si>
    <t>Surgical Neurology International</t>
  </si>
  <si>
    <t>21527806</t>
  </si>
  <si>
    <t>International Journal of Drug Delivery</t>
  </si>
  <si>
    <t>09750215</t>
  </si>
  <si>
    <t>Advanced Research Journals</t>
  </si>
  <si>
    <t>E-flow PDF Advanced Research Journals</t>
  </si>
  <si>
    <t>International Journal of Infertility and Fetal Medicine</t>
  </si>
  <si>
    <t>22293817</t>
  </si>
  <si>
    <t>22293833</t>
  </si>
  <si>
    <t>Jaypee Brothers Medical Publishers (P) Ltd</t>
  </si>
  <si>
    <t>E-flow PDF Jaypee Brothers Medical Publishers (P) Ltd</t>
  </si>
  <si>
    <t>Open Access Journal of Medicinal and Aromatic Plants</t>
  </si>
  <si>
    <t>09747877</t>
  </si>
  <si>
    <t>Medicinal and Aromatic Plants Association of India</t>
  </si>
  <si>
    <t>Journal Phlebology and Lymphology</t>
  </si>
  <si>
    <t>19838905</t>
  </si>
  <si>
    <t>Sailorweb Produtora de Internet</t>
  </si>
  <si>
    <t>Advances in Neuroimmune Biology</t>
  </si>
  <si>
    <t>1878948X</t>
  </si>
  <si>
    <t>18789498</t>
  </si>
  <si>
    <t>Case Reports in Ophthalmology</t>
  </si>
  <si>
    <t>16632699</t>
  </si>
  <si>
    <t>Journal of Advanced Pharmaceutical Technology and Research</t>
  </si>
  <si>
    <t>01105558</t>
  </si>
  <si>
    <t>09762094</t>
  </si>
  <si>
    <t>Journal of Neurosciences in Rural Practice</t>
  </si>
  <si>
    <t>09763147</t>
  </si>
  <si>
    <t>09763155</t>
  </si>
  <si>
    <t>Journal of Prenatal Diagnosis and Therapy</t>
  </si>
  <si>
    <t>09761756</t>
  </si>
  <si>
    <t>09764054</t>
  </si>
  <si>
    <t>Journal of Surgical Technique and Case Report</t>
  </si>
  <si>
    <t>20068808</t>
  </si>
  <si>
    <t>09762825</t>
  </si>
  <si>
    <t>International Journal of Phytomedicine</t>
  </si>
  <si>
    <t>09750185</t>
  </si>
  <si>
    <t>Journal of Medical and Surgical Intensive Care Medicine</t>
  </si>
  <si>
    <t>13091689</t>
  </si>
  <si>
    <t>13096222</t>
  </si>
  <si>
    <t>09754415</t>
  </si>
  <si>
    <t>International Journal of Drug Delivery Technology</t>
  </si>
  <si>
    <t>International Journal of Pharmacognosy and Phytochemical Research</t>
  </si>
  <si>
    <t>09754873</t>
  </si>
  <si>
    <t>International Journal of Pharmaceutical Quality Assurance</t>
  </si>
  <si>
    <t>09759506</t>
  </si>
  <si>
    <t>Indian Journal of Public Health Research and Development</t>
  </si>
  <si>
    <t>09760245</t>
  </si>
  <si>
    <t>World Journal of Endocrine Surgery</t>
  </si>
  <si>
    <t>09755039</t>
  </si>
  <si>
    <t>09757902</t>
  </si>
  <si>
    <t>Journal of EndoCardiology</t>
  </si>
  <si>
    <t>19395884</t>
  </si>
  <si>
    <t>Journal of Malaria Research</t>
  </si>
  <si>
    <t>19395906</t>
  </si>
  <si>
    <t>Proteomics Research Journal</t>
  </si>
  <si>
    <t>19352824</t>
  </si>
  <si>
    <t>Dermatology Reports</t>
  </si>
  <si>
    <t>20367392</t>
  </si>
  <si>
    <t>20367406</t>
  </si>
  <si>
    <t>Journal of Coagulation Disorders</t>
  </si>
  <si>
    <t>20417969</t>
  </si>
  <si>
    <t>San Lucas Medical Ltd</t>
  </si>
  <si>
    <t>Current Neurobiology</t>
  </si>
  <si>
    <t>09759042</t>
  </si>
  <si>
    <t>09761705</t>
  </si>
  <si>
    <t>Pharma Research</t>
  </si>
  <si>
    <t>09758216</t>
  </si>
  <si>
    <t>Sudarshan Publication</t>
  </si>
  <si>
    <t>Journal of Surgical Radiology</t>
  </si>
  <si>
    <t>2156213X</t>
  </si>
  <si>
    <t>21564566</t>
  </si>
  <si>
    <t>Surgisphere Corporation</t>
  </si>
  <si>
    <t>E-flow PDF Surgisphere Corporation</t>
  </si>
  <si>
    <t>US Cardiology</t>
  </si>
  <si>
    <t>17583896</t>
  </si>
  <si>
    <t>1758390X</t>
  </si>
  <si>
    <t>European Musculoskeletal Review</t>
  </si>
  <si>
    <t>17545072</t>
  </si>
  <si>
    <t>17545080</t>
  </si>
  <si>
    <t>European Psychiatric Review</t>
  </si>
  <si>
    <t>17581354</t>
  </si>
  <si>
    <t>17581362</t>
  </si>
  <si>
    <t>European Gastroenterology and Hepatology Review</t>
  </si>
  <si>
    <t>17583799</t>
  </si>
  <si>
    <t>European Endocrinology</t>
  </si>
  <si>
    <t>17583772</t>
  </si>
  <si>
    <t>17583780</t>
  </si>
  <si>
    <t>Journal of Lymphoedema</t>
  </si>
  <si>
    <t>17507235</t>
  </si>
  <si>
    <t>World Medical and Health Policy</t>
  </si>
  <si>
    <t>19484682</t>
  </si>
  <si>
    <t>21532028</t>
  </si>
  <si>
    <t>Saudi Journal of Anaesthesia</t>
  </si>
  <si>
    <t>1658354X</t>
  </si>
  <si>
    <t>09753125</t>
  </si>
  <si>
    <t>Urology Annals</t>
  </si>
  <si>
    <t>09747796</t>
  </si>
  <si>
    <t>09747834</t>
  </si>
  <si>
    <t>Journal of Clinical and Analytical Medicine</t>
  </si>
  <si>
    <t>13090720</t>
  </si>
  <si>
    <t>13092014</t>
  </si>
  <si>
    <t>Chinese Journal of Schistosomiasis Control</t>
  </si>
  <si>
    <t>10056661</t>
  </si>
  <si>
    <t>Editorial Office of Chinese Journal of Schistosomiasis Control</t>
  </si>
  <si>
    <t>International Journal of Pharmaceutical and Clinical Research</t>
  </si>
  <si>
    <t>09751556</t>
  </si>
  <si>
    <t>Journal of Excipients and Food Chemicals</t>
  </si>
  <si>
    <t>21502668</t>
  </si>
  <si>
    <t>International Pharmaceutical Excipients Council (IPEC)</t>
  </si>
  <si>
    <t>Journal of Current Glaucoma Practice</t>
  </si>
  <si>
    <t>09740333</t>
  </si>
  <si>
    <t>09751947</t>
  </si>
  <si>
    <t>Otorhinolaryngology Clinics</t>
  </si>
  <si>
    <t>0975444X</t>
  </si>
  <si>
    <t>09756957</t>
  </si>
  <si>
    <t>Clinical Rhinology</t>
  </si>
  <si>
    <t>09744630</t>
  </si>
  <si>
    <t>09756965</t>
  </si>
  <si>
    <t>Journal of SAFOG</t>
  </si>
  <si>
    <t>09748938</t>
  </si>
  <si>
    <t>09751920</t>
  </si>
  <si>
    <t>World Journal of Laparoscopic Surgery</t>
  </si>
  <si>
    <t>09745092</t>
  </si>
  <si>
    <t>09751955</t>
  </si>
  <si>
    <t>Journal of NeuroInterventional Surgery</t>
  </si>
  <si>
    <t>17598478</t>
  </si>
  <si>
    <t>17598486</t>
  </si>
  <si>
    <t>Asian Journal of Pharmacodynamics and Pharmacokinetics</t>
  </si>
  <si>
    <t>16082281</t>
  </si>
  <si>
    <t>Hong Kong Medical Publisher</t>
  </si>
  <si>
    <t>Ovarian Diseases</t>
  </si>
  <si>
    <t>1873894X</t>
  </si>
  <si>
    <t>18759106</t>
  </si>
  <si>
    <t>Journal of Parkinson's Disease</t>
  </si>
  <si>
    <t>18777171</t>
  </si>
  <si>
    <t>1877718X</t>
  </si>
  <si>
    <t>Journal of Pediatric Biochemistry</t>
  </si>
  <si>
    <t>18795390</t>
  </si>
  <si>
    <t>18795404</t>
  </si>
  <si>
    <t>Medicinal Plants</t>
  </si>
  <si>
    <t>09754261</t>
  </si>
  <si>
    <t>09756892</t>
  </si>
  <si>
    <t>IndianJournals.com</t>
  </si>
  <si>
    <t>Journal of Pharmacy and Bioallied Sciences</t>
  </si>
  <si>
    <t>09757406</t>
  </si>
  <si>
    <t>Middle East African Journal of Ophthalmology</t>
  </si>
  <si>
    <t>09749233</t>
  </si>
  <si>
    <t>09751599</t>
  </si>
  <si>
    <t>PVRI Review</t>
  </si>
  <si>
    <t>09746013</t>
  </si>
  <si>
    <t>09751602</t>
  </si>
  <si>
    <t>American Journal of Drug Discovery and Development</t>
  </si>
  <si>
    <t>2150427X</t>
  </si>
  <si>
    <t>21504296</t>
  </si>
  <si>
    <t>American Journal of Biochemistry and Molecular Biology</t>
  </si>
  <si>
    <t>21504210</t>
  </si>
  <si>
    <t>21504253</t>
  </si>
  <si>
    <t>International Journal of Advances in Pharmaceutical Sciences</t>
  </si>
  <si>
    <t>09761055</t>
  </si>
  <si>
    <t>mBio</t>
  </si>
  <si>
    <t>21612129</t>
  </si>
  <si>
    <t>21507511</t>
  </si>
  <si>
    <t>Nephro-Urology Monthly</t>
  </si>
  <si>
    <t>20084684</t>
  </si>
  <si>
    <t>20084692</t>
  </si>
  <si>
    <t>Kowsar Medical Institute</t>
  </si>
  <si>
    <t>Haseki Tip Bulteni</t>
  </si>
  <si>
    <t>13020072</t>
  </si>
  <si>
    <t>21472688</t>
  </si>
  <si>
    <t>Bangladesh Journal of Medical Science</t>
  </si>
  <si>
    <t>22234721</t>
  </si>
  <si>
    <t>20760299</t>
  </si>
  <si>
    <t>Ibn Sina Trust</t>
  </si>
  <si>
    <t>International Journal of Pharmacy and Technology</t>
  </si>
  <si>
    <t>0975766X</t>
  </si>
  <si>
    <t>International Journal of Toxicological and Pharmacological Research</t>
  </si>
  <si>
    <t>09755160</t>
  </si>
  <si>
    <t>Annals of Neurosciences</t>
  </si>
  <si>
    <t>09727531</t>
  </si>
  <si>
    <t>09763260</t>
  </si>
  <si>
    <t>Indian Academy of Neurosciences</t>
  </si>
  <si>
    <t>International Journal of Applied Pharmaceutics</t>
  </si>
  <si>
    <t>09757058</t>
  </si>
  <si>
    <t>International Journal of Preventive Medicine</t>
  </si>
  <si>
    <t>20087802</t>
  </si>
  <si>
    <t>20088213</t>
  </si>
  <si>
    <t>Isfahan University of Medical Sciences</t>
  </si>
  <si>
    <t>Donald School Journal of Ultrasound in Obstetrics and Gynecology</t>
  </si>
  <si>
    <t>0973614X</t>
  </si>
  <si>
    <t>09751912</t>
  </si>
  <si>
    <t>Journal of Physical Therapy</t>
  </si>
  <si>
    <t>20790015</t>
  </si>
  <si>
    <t>20799209</t>
  </si>
  <si>
    <t>Medical Channel</t>
  </si>
  <si>
    <t>16815491</t>
  </si>
  <si>
    <t>20779135</t>
  </si>
  <si>
    <t>Medical Channel Publishing Network</t>
  </si>
  <si>
    <t>E-flow PDF Medical Channel Publishing Network</t>
  </si>
  <si>
    <t>International Journal of Occupational and Environmental Medicine</t>
  </si>
  <si>
    <t>20086520</t>
  </si>
  <si>
    <t>20086814</t>
  </si>
  <si>
    <t>NIOC Health Organization</t>
  </si>
  <si>
    <t>Alzheimer's Disease Research Journal</t>
  </si>
  <si>
    <t>19352514</t>
  </si>
  <si>
    <t>Psychiatry Research Journal</t>
  </si>
  <si>
    <t>19395949</t>
  </si>
  <si>
    <t>Stem Cell Research Journal</t>
  </si>
  <si>
    <t>19352840</t>
  </si>
  <si>
    <t>Scientia Medica</t>
  </si>
  <si>
    <t>18065562</t>
  </si>
  <si>
    <t>19806108</t>
  </si>
  <si>
    <t>Editora Universitaria da PUCRS</t>
  </si>
  <si>
    <t>PORT/SPAN/ENGL</t>
  </si>
  <si>
    <t>Pravara Medical Review</t>
  </si>
  <si>
    <t>09750533</t>
  </si>
  <si>
    <t>09760164</t>
  </si>
  <si>
    <t>Pravara Institute of Medical Sciences</t>
  </si>
  <si>
    <t>Research Journal of Pharmaceutical, Biological and Chemical Sciences</t>
  </si>
  <si>
    <t>09758585</t>
  </si>
  <si>
    <t>Medical Ultrasonography</t>
  </si>
  <si>
    <t>18444172</t>
  </si>
  <si>
    <t>20668643</t>
  </si>
  <si>
    <t>Societatea Romana de Ultrasonografie in Medicina si Biologie</t>
  </si>
  <si>
    <t>Hematologia</t>
  </si>
  <si>
    <t>20813287</t>
  </si>
  <si>
    <t>20810768</t>
  </si>
  <si>
    <t>Beneficial Microbes</t>
  </si>
  <si>
    <t>18762883</t>
  </si>
  <si>
    <t>18762891</t>
  </si>
  <si>
    <t>Dusunen Adam</t>
  </si>
  <si>
    <t>13095749</t>
  </si>
  <si>
    <t>Yerkure Tanitim ve Yayincilik Hizmetleri A.S.</t>
  </si>
  <si>
    <t>Medical Journal of Bakirkoy</t>
  </si>
  <si>
    <t>13059327</t>
  </si>
  <si>
    <t>European Neurological Journal</t>
  </si>
  <si>
    <t>20418000</t>
  </si>
  <si>
    <t>Annals of Respiratory Medicine</t>
  </si>
  <si>
    <t>20424701</t>
  </si>
  <si>
    <t>Diabetes Aktuell</t>
  </si>
  <si>
    <t>18616089</t>
  </si>
  <si>
    <t>18641733</t>
  </si>
  <si>
    <t>Journal of Asthma and Allergy Educators</t>
  </si>
  <si>
    <t>21501297</t>
  </si>
  <si>
    <t>21501300</t>
  </si>
  <si>
    <t>Turk Oftalmoloiji Dergisi</t>
  </si>
  <si>
    <t>13000659</t>
  </si>
  <si>
    <t>Turkish Ophthalmology Society</t>
  </si>
  <si>
    <t>TAF Preventive Medicine Bulletin</t>
  </si>
  <si>
    <t>1303734X</t>
  </si>
  <si>
    <t>Gulhane Military Medical Academy</t>
  </si>
  <si>
    <t>IIOAB Journal</t>
  </si>
  <si>
    <t>09763104</t>
  </si>
  <si>
    <t>Institute of Integrative Omics and Applied Biotechnology</t>
  </si>
  <si>
    <t>International Journal of Pharmaceutical Sciences Review and Research</t>
  </si>
  <si>
    <t>0976044X</t>
  </si>
  <si>
    <t>Global Research Online</t>
  </si>
  <si>
    <t>Der Pharmacia Lettre</t>
  </si>
  <si>
    <t>09755071</t>
  </si>
  <si>
    <t>Scholars Research Library</t>
  </si>
  <si>
    <t>Pediatrie pro Praxi</t>
  </si>
  <si>
    <t>12130494</t>
  </si>
  <si>
    <t>18035264</t>
  </si>
  <si>
    <t>European Cardiology</t>
  </si>
  <si>
    <t>17583756</t>
  </si>
  <si>
    <t>17583764</t>
  </si>
  <si>
    <t>North American Journal of Medical Sciences</t>
  </si>
  <si>
    <t>22501541</t>
  </si>
  <si>
    <t>19472714</t>
  </si>
  <si>
    <t>Current Psychiatry</t>
  </si>
  <si>
    <t>15378276</t>
  </si>
  <si>
    <t>Interni Medicina pro Praxi</t>
  </si>
  <si>
    <t>12127299</t>
  </si>
  <si>
    <t>18035256</t>
  </si>
  <si>
    <t>Stem Cell Research and Therapy</t>
  </si>
  <si>
    <t>17576512</t>
  </si>
  <si>
    <t>Journal of Parasitology Research</t>
  </si>
  <si>
    <t>20900023</t>
  </si>
  <si>
    <t>20900031</t>
  </si>
  <si>
    <t>Cholesterol</t>
  </si>
  <si>
    <t>20901283</t>
  </si>
  <si>
    <t>20901291</t>
  </si>
  <si>
    <t>International Journal of Endocrinology</t>
  </si>
  <si>
    <t>16878337</t>
  </si>
  <si>
    <t>16878345</t>
  </si>
  <si>
    <t>International Journal of Rheumatology</t>
  </si>
  <si>
    <t>16879260</t>
  </si>
  <si>
    <t>16879279</t>
  </si>
  <si>
    <t>Open Biochemistry Journal</t>
  </si>
  <si>
    <t>1874091X</t>
  </si>
  <si>
    <t>Diabetic Foot and Ankle</t>
  </si>
  <si>
    <t>2000625X</t>
  </si>
  <si>
    <t>Thomas Zgonis</t>
  </si>
  <si>
    <t>International Journal of Biochemistry and Molecular Biology</t>
  </si>
  <si>
    <t>21524114</t>
  </si>
  <si>
    <t>Genome Integrity</t>
  </si>
  <si>
    <t>20419414</t>
  </si>
  <si>
    <t>Investigative Genetics</t>
  </si>
  <si>
    <t>20412223</t>
  </si>
  <si>
    <t>Silence</t>
  </si>
  <si>
    <t>1758907X</t>
  </si>
  <si>
    <t>Cardiology Research and Practice</t>
  </si>
  <si>
    <t>20900597</t>
  </si>
  <si>
    <t>Stem Cells International</t>
  </si>
  <si>
    <t>16879678</t>
  </si>
  <si>
    <t>Transplant Research and Risk Management</t>
  </si>
  <si>
    <t>11791616</t>
  </si>
  <si>
    <t>Milestones in Drug Therapy</t>
  </si>
  <si>
    <t>22966056</t>
  </si>
  <si>
    <t>Springer Basel</t>
  </si>
  <si>
    <t>Birkhauser Advances in Infectious Diseases</t>
  </si>
  <si>
    <t>Current Clinical Neurology</t>
  </si>
  <si>
    <t>15590585</t>
  </si>
  <si>
    <t>Infectious Disease Reports</t>
  </si>
  <si>
    <t>20367449</t>
  </si>
  <si>
    <t>Gastroenterology Insights</t>
  </si>
  <si>
    <t>20367422</t>
  </si>
  <si>
    <t>Pediatric Reports</t>
  </si>
  <si>
    <t>20367503</t>
  </si>
  <si>
    <t>Journal of Nucleic Acids Investigation</t>
  </si>
  <si>
    <t>20356005</t>
  </si>
  <si>
    <t>Journal of Neurodegeneration and Regeneration</t>
  </si>
  <si>
    <t>19321481</t>
  </si>
  <si>
    <t>Research Journal of Pharmacy and Technology</t>
  </si>
  <si>
    <t>0974360X</t>
  </si>
  <si>
    <t>09743618</t>
  </si>
  <si>
    <t>E-flow PDF Research Journal of Pharmacy and Technology</t>
  </si>
  <si>
    <t>MedChemComm</t>
  </si>
  <si>
    <t>20402503</t>
  </si>
  <si>
    <t>20402511</t>
  </si>
  <si>
    <t>Genes and Cancer</t>
  </si>
  <si>
    <t>19476019</t>
  </si>
  <si>
    <t>19476027</t>
  </si>
  <si>
    <t>Viruses</t>
  </si>
  <si>
    <t>19994915</t>
  </si>
  <si>
    <t>Nutrients</t>
  </si>
  <si>
    <t>20726643</t>
  </si>
  <si>
    <t>Toxins</t>
  </si>
  <si>
    <t>20726651</t>
  </si>
  <si>
    <t>Protein and Cell</t>
  </si>
  <si>
    <t>1674800X</t>
  </si>
  <si>
    <t>16748018</t>
  </si>
  <si>
    <t>Higher Education Press</t>
  </si>
  <si>
    <t>Journal of Bioanalysis and Biomedicine</t>
  </si>
  <si>
    <t>1948593X</t>
  </si>
  <si>
    <t>Journal of Microbial and Biochemical Technology</t>
  </si>
  <si>
    <t>19485948</t>
  </si>
  <si>
    <t>Journal of Global Pharma Technology</t>
  </si>
  <si>
    <t>09758542</t>
  </si>
  <si>
    <t>Systematic Reviews in Pharmacy</t>
  </si>
  <si>
    <t>09758453</t>
  </si>
  <si>
    <t>09762779</t>
  </si>
  <si>
    <t>Journal of Craniovertebral Junction and Spine</t>
  </si>
  <si>
    <t>09748237</t>
  </si>
  <si>
    <t>09769285</t>
  </si>
  <si>
    <t>PharmacoEconomics - German Research Articles</t>
  </si>
  <si>
    <t>16123727</t>
  </si>
  <si>
    <t>1868677X</t>
  </si>
  <si>
    <t>Journal of Stem Cells and Regenerative Medicine</t>
  </si>
  <si>
    <t>09737154</t>
  </si>
  <si>
    <t>Autoimmunity Highlights</t>
  </si>
  <si>
    <t>20380305</t>
  </si>
  <si>
    <t>20383274</t>
  </si>
  <si>
    <t>ADHD Attention Deficit and Hyperactivity Disorders</t>
  </si>
  <si>
    <t>18666116</t>
  </si>
  <si>
    <t>18666647</t>
  </si>
  <si>
    <t>LUTS: Lower Urinary Tract Symptoms</t>
  </si>
  <si>
    <t>17575664</t>
  </si>
  <si>
    <t>17575672</t>
  </si>
  <si>
    <t>Therapeutic Delivery</t>
  </si>
  <si>
    <t>20415990</t>
  </si>
  <si>
    <t>20416008</t>
  </si>
  <si>
    <t>Journal of Chemical and Pharmaceutical Research</t>
  </si>
  <si>
    <t>09757384</t>
  </si>
  <si>
    <t>Small GTPases</t>
  </si>
  <si>
    <t>21541248</t>
  </si>
  <si>
    <t>21541256</t>
  </si>
  <si>
    <t>International Journal of Pharmaceutical Sciences</t>
  </si>
  <si>
    <t>09754725</t>
  </si>
  <si>
    <t>R R College of Pharmacy</t>
  </si>
  <si>
    <t>International Journal of Current Pharmaceutical Review and Research</t>
  </si>
  <si>
    <t>0976822X</t>
  </si>
  <si>
    <t>Publishers</t>
  </si>
  <si>
    <t>Forum on Immunopathological Diseases and Therapeutics</t>
  </si>
  <si>
    <t>21518017</t>
  </si>
  <si>
    <t>21518025</t>
  </si>
  <si>
    <t>International Journal of Ayurveda Research</t>
  </si>
  <si>
    <t>09747788</t>
  </si>
  <si>
    <t>0974925X</t>
  </si>
  <si>
    <t>Journal of Ayurveda and Integrative Medicine</t>
  </si>
  <si>
    <t>09759476</t>
  </si>
  <si>
    <t>09762809</t>
  </si>
  <si>
    <t>Journal of Cardiovascular Disease Research</t>
  </si>
  <si>
    <t>09753583</t>
  </si>
  <si>
    <t>09762833</t>
  </si>
  <si>
    <t>Journal of Global Infectious Diseases</t>
  </si>
  <si>
    <t>0974777X</t>
  </si>
  <si>
    <t>09748245</t>
  </si>
  <si>
    <t>Journal of Community Genetics</t>
  </si>
  <si>
    <t>1868310X</t>
  </si>
  <si>
    <t>18686001</t>
  </si>
  <si>
    <t>Clinical Epigenetics</t>
  </si>
  <si>
    <t>18687075</t>
  </si>
  <si>
    <t>18687083</t>
  </si>
  <si>
    <t>Translational Neuroscience</t>
  </si>
  <si>
    <t>20813856</t>
  </si>
  <si>
    <t>20816936</t>
  </si>
  <si>
    <t>Versita</t>
  </si>
  <si>
    <t>Therapeutic Advances in Musculoskeletal Disease</t>
  </si>
  <si>
    <t>1759720X</t>
  </si>
  <si>
    <t>17597218</t>
  </si>
  <si>
    <t>International Journal of Pharmaceutical Research</t>
  </si>
  <si>
    <t>09752366</t>
  </si>
  <si>
    <t>Association of Indian Pharmacist</t>
  </si>
  <si>
    <t>E-Flow PDF International Journal of Pharmaceutical Research</t>
  </si>
  <si>
    <t>Artificial DNA: PNA and XNA</t>
  </si>
  <si>
    <t>1949095X</t>
  </si>
  <si>
    <t>19490968</t>
  </si>
  <si>
    <t>Pharmaceutics</t>
  </si>
  <si>
    <t>19994923</t>
  </si>
  <si>
    <t>Genes</t>
  </si>
  <si>
    <t>20734425</t>
  </si>
  <si>
    <t>Cancers</t>
  </si>
  <si>
    <t>20726694</t>
  </si>
  <si>
    <t>Critical Ultrasound Journal</t>
  </si>
  <si>
    <t>20363176</t>
  </si>
  <si>
    <t>20367902</t>
  </si>
  <si>
    <t>EPMA Journal</t>
  </si>
  <si>
    <t>18785077</t>
  </si>
  <si>
    <t>18785085</t>
  </si>
  <si>
    <t>Diabetes Therapy</t>
  </si>
  <si>
    <t>18696953</t>
  </si>
  <si>
    <t>18696961</t>
  </si>
  <si>
    <t>Nuclear Medicine and Molecular Imaging</t>
  </si>
  <si>
    <t>18693474</t>
  </si>
  <si>
    <t>18693482</t>
  </si>
  <si>
    <t>Journal of Pharmaceutical Health Services Research</t>
  </si>
  <si>
    <t>17598885</t>
  </si>
  <si>
    <t>17598893</t>
  </si>
  <si>
    <t>Cardiovascular Engineering and Technology</t>
  </si>
  <si>
    <t>1869408X</t>
  </si>
  <si>
    <t>18694098</t>
  </si>
  <si>
    <t>International Journal of Pharma and Bio Sciences</t>
  </si>
  <si>
    <t>09756299</t>
  </si>
  <si>
    <t>Der Pharma Chemica</t>
  </si>
  <si>
    <t>0975413X</t>
  </si>
  <si>
    <t>Gastroenterology and Hepatology from Bed to Bench</t>
  </si>
  <si>
    <t>20082258</t>
  </si>
  <si>
    <t>20084234</t>
  </si>
  <si>
    <t>Research Institute for Gastroenterology and Liver Diseases</t>
  </si>
  <si>
    <t>Mediterranean Journal of Hematology and Infectious Diseases</t>
  </si>
  <si>
    <t>20353006</t>
  </si>
  <si>
    <t>Universita Cattolica del Sacro Cuore</t>
  </si>
  <si>
    <t>Therapeutic Advances in Endocrinology and Metabolism</t>
  </si>
  <si>
    <t>20420188</t>
  </si>
  <si>
    <t>20420196</t>
  </si>
  <si>
    <t>Therapeutic Advances in Chronic Disease</t>
  </si>
  <si>
    <t>20406223</t>
  </si>
  <si>
    <t>20406231</t>
  </si>
  <si>
    <t>Russian Journal of Biopharmaceuticals</t>
  </si>
  <si>
    <t>20738099</t>
  </si>
  <si>
    <t>Folium Ltd</t>
  </si>
  <si>
    <t>Chimerism</t>
  </si>
  <si>
    <t>19381956</t>
  </si>
  <si>
    <t>19381964</t>
  </si>
  <si>
    <t>Transcription</t>
  </si>
  <si>
    <t>21541264</t>
  </si>
  <si>
    <t>21541272</t>
  </si>
  <si>
    <t>Stem Cell</t>
  </si>
  <si>
    <t>19454570</t>
  </si>
  <si>
    <t>19454732</t>
  </si>
  <si>
    <t>Marsland Press</t>
  </si>
  <si>
    <t>Marsland Presss</t>
  </si>
  <si>
    <t>Journal of Bioequivalence and Bioavailability</t>
  </si>
  <si>
    <t>09750851</t>
  </si>
  <si>
    <t>Cancer Nanotechnology</t>
  </si>
  <si>
    <t>18686958</t>
  </si>
  <si>
    <t>18686966</t>
  </si>
  <si>
    <t>Journal of Diabetes Investigation</t>
  </si>
  <si>
    <t>20401116</t>
  </si>
  <si>
    <t>20401124</t>
  </si>
  <si>
    <t>17561477</t>
  </si>
  <si>
    <t>17561485</t>
  </si>
  <si>
    <t>Laser Therapy</t>
  </si>
  <si>
    <t>08985901</t>
  </si>
  <si>
    <t>18847269</t>
  </si>
  <si>
    <t>Japan Medical Laser Laboratory</t>
  </si>
  <si>
    <t>Onkologie  (Switzerland)</t>
  </si>
  <si>
    <t>18024475</t>
  </si>
  <si>
    <t>18035345</t>
  </si>
  <si>
    <t>Trends in Anaesthesia and Critical Care</t>
  </si>
  <si>
    <t>22108440</t>
  </si>
  <si>
    <t>Clinical Lymphoma, Myeloma and Leukemia</t>
  </si>
  <si>
    <t>21522650</t>
  </si>
  <si>
    <t>21522669</t>
  </si>
  <si>
    <t>Genomic Medicine, Biomarkers, and Health Sciences</t>
  </si>
  <si>
    <t>22114254</t>
  </si>
  <si>
    <t>Briefings in Functional Genomics</t>
  </si>
  <si>
    <t>20412649</t>
  </si>
  <si>
    <t>20412657</t>
  </si>
  <si>
    <t>Basal Ganglia</t>
  </si>
  <si>
    <t>22105336</t>
  </si>
  <si>
    <t>Egyptian Rheumatologist</t>
  </si>
  <si>
    <t>11101164</t>
  </si>
  <si>
    <t>20902433</t>
  </si>
  <si>
    <t>Egyptian Society for Joint Diseases and Arthritis</t>
  </si>
  <si>
    <t>Formosan Journal of Musculoskeletal Disorders</t>
  </si>
  <si>
    <t>22107940</t>
  </si>
  <si>
    <t>Practical Radiation Oncology</t>
  </si>
  <si>
    <t>18798500</t>
  </si>
  <si>
    <t>Journal of Clinical Orthopaedics and Trauma</t>
  </si>
  <si>
    <t>09765662</t>
  </si>
  <si>
    <t>Journal of Orthopaedics, Trauma and Rehabilitation</t>
  </si>
  <si>
    <t>22104917</t>
  </si>
  <si>
    <t>22104925</t>
  </si>
  <si>
    <t>Journal of the Saudi Society of Dermatology and Dermatologic Surgery</t>
  </si>
  <si>
    <t>2210836X</t>
  </si>
  <si>
    <t>Osong Public Health and Research Perspectives</t>
  </si>
  <si>
    <t>22109099</t>
  </si>
  <si>
    <t>Analytical Cellular Pathology</t>
  </si>
  <si>
    <t>22107177</t>
  </si>
  <si>
    <t>22107185</t>
  </si>
  <si>
    <t>Journal of Laboratory Automation</t>
  </si>
  <si>
    <t>22110682</t>
  </si>
  <si>
    <t>22110690</t>
  </si>
  <si>
    <t>Cardiovascular Forum</t>
  </si>
  <si>
    <t>18971199</t>
  </si>
  <si>
    <t>Revista Espanola de Nutricion Humana y Dietetica</t>
  </si>
  <si>
    <t>21731292</t>
  </si>
  <si>
    <t>Gamma Gazette</t>
  </si>
  <si>
    <t>22009876</t>
  </si>
  <si>
    <t>Australian and New Zealand Soc. of Nuclear Medicine Inc.</t>
  </si>
  <si>
    <t>International Journal of Biomaterials</t>
  </si>
  <si>
    <t>16878787</t>
  </si>
  <si>
    <t>16878795</t>
  </si>
  <si>
    <t>Journal of Bronchology and Interventional Pulmonology</t>
  </si>
  <si>
    <t>19446586</t>
  </si>
  <si>
    <t>19488270</t>
  </si>
  <si>
    <t>Epidemiology and Psychiatric Sciences</t>
  </si>
  <si>
    <t>20457960</t>
  </si>
  <si>
    <t>20457979</t>
  </si>
  <si>
    <t>Health and Technology</t>
  </si>
  <si>
    <t>21907188</t>
  </si>
  <si>
    <t>21907196</t>
  </si>
  <si>
    <t>BMJ Quality and Safety</t>
  </si>
  <si>
    <t>20445415</t>
  </si>
  <si>
    <t>Clinics and Research in Hepatology and Gastroenterology</t>
  </si>
  <si>
    <t>22107401</t>
  </si>
  <si>
    <t>2210741X</t>
  </si>
  <si>
    <t>Cancer Genetics</t>
  </si>
  <si>
    <t>22107762</t>
  </si>
  <si>
    <t>22107770</t>
  </si>
  <si>
    <t>Translational Psychiatry</t>
  </si>
  <si>
    <t>21583188</t>
  </si>
  <si>
    <t>International Journal of Clinical Pharmacy</t>
  </si>
  <si>
    <t>22107703</t>
  </si>
  <si>
    <t>Journal des Anti-Infectieux</t>
  </si>
  <si>
    <t>22106545</t>
  </si>
  <si>
    <t>BMJ Open</t>
  </si>
  <si>
    <t>20446055</t>
  </si>
  <si>
    <t>Wiley Interdisciplinary Reviews: Systems Biology and Medicine</t>
  </si>
  <si>
    <t>19395094</t>
  </si>
  <si>
    <t>1939005X</t>
  </si>
  <si>
    <t>Eurasian Journal of Analytical Chemistry</t>
  </si>
  <si>
    <t>13063057</t>
  </si>
  <si>
    <t>Moment Publication</t>
  </si>
  <si>
    <t>Journal of Hepato-Biliary-Pancreatic Sciences</t>
  </si>
  <si>
    <t>18686974</t>
  </si>
  <si>
    <t>18686982</t>
  </si>
  <si>
    <t>Journal of Cognitive Psychology</t>
  </si>
  <si>
    <t>20445911</t>
  </si>
  <si>
    <t>2044592X</t>
  </si>
  <si>
    <t>Clinical Pharmacist</t>
  </si>
  <si>
    <t>17589061</t>
  </si>
  <si>
    <t>Food and Nutrition Research</t>
  </si>
  <si>
    <t>16546628</t>
  </si>
  <si>
    <t>DANS/FINN/ICEL/NORW/SWED</t>
  </si>
  <si>
    <t>Cardiology Letters</t>
  </si>
  <si>
    <t>13383655</t>
  </si>
  <si>
    <t>13383760</t>
  </si>
  <si>
    <t>SYMEKARD s.r.o.</t>
  </si>
  <si>
    <t>Journal of Pharmaceutical Analysis</t>
  </si>
  <si>
    <t>20951779</t>
  </si>
  <si>
    <t>Xi'an Jiaotong University</t>
  </si>
  <si>
    <t>Journal of Population Therapeutics and Clinical Pharmacology</t>
  </si>
  <si>
    <t>17106222</t>
  </si>
  <si>
    <t>Canadian Society of Clinical Pharmacology</t>
  </si>
  <si>
    <t>Binocular Vision and Strabology Quarterly</t>
  </si>
  <si>
    <t>21605351</t>
  </si>
  <si>
    <t>21605904</t>
  </si>
  <si>
    <t>Binoculus Publishing</t>
  </si>
  <si>
    <t>E-flow PDF Binoculus Publishing</t>
  </si>
  <si>
    <t>Results in Immunology</t>
  </si>
  <si>
    <t>22112839</t>
  </si>
  <si>
    <t>Results in Pharma Sciences</t>
  </si>
  <si>
    <t>22112863</t>
  </si>
  <si>
    <t>Balkan Medical Journal</t>
  </si>
  <si>
    <t>21463123</t>
  </si>
  <si>
    <t>21463131</t>
  </si>
  <si>
    <t>Turk Osteoporoz Dergisi</t>
  </si>
  <si>
    <t>21463816</t>
  </si>
  <si>
    <t>African Journal of Emergency Medicine</t>
  </si>
  <si>
    <t>2211419X</t>
  </si>
  <si>
    <t>African Federation for Emergency Medicine</t>
  </si>
  <si>
    <t>Arab Journal of Urology</t>
  </si>
  <si>
    <t>2090598X</t>
  </si>
  <si>
    <t>20905998</t>
  </si>
  <si>
    <t>Arab Association of Urology</t>
  </si>
  <si>
    <t>Biomedicine and Aging Pathology</t>
  </si>
  <si>
    <t>22105220</t>
  </si>
  <si>
    <t>Current Opinion in Virology</t>
  </si>
  <si>
    <t>18796257</t>
  </si>
  <si>
    <t>Diagnostico Prenatal</t>
  </si>
  <si>
    <t>21734127</t>
  </si>
  <si>
    <t>Journal of Cardiovascular Echography</t>
  </si>
  <si>
    <t>22114122</t>
  </si>
  <si>
    <t>Journal of Herbal Medicine</t>
  </si>
  <si>
    <t>22108033</t>
  </si>
  <si>
    <t>Revista Cientifica de la Sociedad Espanola de Enfermeria Neurologica</t>
  </si>
  <si>
    <t>20135246</t>
  </si>
  <si>
    <t>Avances en Diabetologia</t>
  </si>
  <si>
    <t>11343230</t>
  </si>
  <si>
    <t>Farmaceuticos de Atencion Primaria</t>
  </si>
  <si>
    <t>21723761</t>
  </si>
  <si>
    <t>Praxis</t>
  </si>
  <si>
    <t>16618157</t>
  </si>
  <si>
    <t>16618165</t>
  </si>
  <si>
    <t>Nucleic Acid Therapeutics</t>
  </si>
  <si>
    <t>21593337</t>
  </si>
  <si>
    <t>Current Gynecologic Oncology</t>
  </si>
  <si>
    <t>20811632</t>
  </si>
  <si>
    <t>Hematology Reports</t>
  </si>
  <si>
    <t>20388322</t>
  </si>
  <si>
    <t>20388330</t>
  </si>
  <si>
    <t>Genes and Environment</t>
  </si>
  <si>
    <t>18807046</t>
  </si>
  <si>
    <t>18807062</t>
  </si>
  <si>
    <t>The Japanese Environmental Mutagen Society</t>
  </si>
  <si>
    <t>International Journal of Applied Research in Natural Products</t>
  </si>
  <si>
    <t>19406223</t>
  </si>
  <si>
    <t>Healthy Synergies Publications</t>
  </si>
  <si>
    <t>Iranian Journal of Psychiatry</t>
  </si>
  <si>
    <t>17354587</t>
  </si>
  <si>
    <t>20082215</t>
  </si>
  <si>
    <t>Hong Kong Journal of Radiology</t>
  </si>
  <si>
    <t>22236619</t>
  </si>
  <si>
    <t>Annales de Toxicologie Analytique</t>
  </si>
  <si>
    <t>0768598X</t>
  </si>
  <si>
    <t>19619480</t>
  </si>
  <si>
    <t>Journal of Cell Death</t>
  </si>
  <si>
    <t>11790660</t>
  </si>
  <si>
    <t>Standards in Genomic Sciences</t>
  </si>
  <si>
    <t>19443277</t>
  </si>
  <si>
    <t>Michigan State University</t>
  </si>
  <si>
    <t>Nano Biomedicine and Engineering</t>
  </si>
  <si>
    <t>21505578</t>
  </si>
  <si>
    <t>Open Access House of Science and Technology</t>
  </si>
  <si>
    <t>Journal of RNAi and Gene Silencing</t>
  </si>
  <si>
    <t>17470854</t>
  </si>
  <si>
    <t>Library Publishing Media</t>
  </si>
  <si>
    <t>Therapeutics, Pharmacology and Clinical Toxicology</t>
  </si>
  <si>
    <t>15830012</t>
  </si>
  <si>
    <t>20660170</t>
  </si>
  <si>
    <t>SC Editura Rp SRL</t>
  </si>
  <si>
    <t>Journal of Neurogastroenterology and Motility</t>
  </si>
  <si>
    <t>20930879</t>
  </si>
  <si>
    <t>20930887</t>
  </si>
  <si>
    <t>Cell Journal</t>
  </si>
  <si>
    <t>22285806</t>
  </si>
  <si>
    <t>22285814</t>
  </si>
  <si>
    <t>Multiple Sclerosis and Related Disorders</t>
  </si>
  <si>
    <t>22110348</t>
  </si>
  <si>
    <t>Research in Psychotherapy: Psychopathology, Process and Outcome</t>
  </si>
  <si>
    <t>22398031</t>
  </si>
  <si>
    <t>Edizioni Carlo Amore-Firefa and Liuzzo Group</t>
  </si>
  <si>
    <t>Edizioni Carlo Amore-Firera and Liuzzo Group</t>
  </si>
  <si>
    <t>Acta Pharmaceutica Sinica B</t>
  </si>
  <si>
    <t>22113835</t>
  </si>
  <si>
    <t>Alexandria Journal of Medicine</t>
  </si>
  <si>
    <t>20905068</t>
  </si>
  <si>
    <t>Alexandria University, Faculty of Medicine</t>
  </si>
  <si>
    <t>Giornale Italiano di Endodonzia</t>
  </si>
  <si>
    <t>11214171</t>
  </si>
  <si>
    <t>Journal of Clinical and Experimental Hepatology</t>
  </si>
  <si>
    <t>09736883</t>
  </si>
  <si>
    <t>Asian Pacific Journal of Tropical Biomedicine</t>
  </si>
  <si>
    <t>22211691</t>
  </si>
  <si>
    <t>Biomedicine and Preventive Nutrition</t>
  </si>
  <si>
    <t>22105239</t>
  </si>
  <si>
    <t>Gynecologic Oncology Case Reports</t>
  </si>
  <si>
    <t>2211338X</t>
  </si>
  <si>
    <t>Journal of Epidemiology and Global Health</t>
  </si>
  <si>
    <t>22106006</t>
  </si>
  <si>
    <t>Perspectives in Vaccinology</t>
  </si>
  <si>
    <t>22107622</t>
  </si>
  <si>
    <t>Revista Portuguesa de Saude Publica</t>
  </si>
  <si>
    <t>08709025</t>
  </si>
  <si>
    <t>European Journal of Hospital Pharmacy: Science and Practice</t>
  </si>
  <si>
    <t>20479956</t>
  </si>
  <si>
    <t>20479964</t>
  </si>
  <si>
    <t>Global Heart</t>
  </si>
  <si>
    <t>22118160</t>
  </si>
  <si>
    <t>Pharmacien Hospitalier et Clinicien</t>
  </si>
  <si>
    <t>22111042</t>
  </si>
  <si>
    <t>Journal of Diabetes and Metabolic Disorders</t>
  </si>
  <si>
    <t>22516581</t>
  </si>
  <si>
    <t>Asian Journal of Pharmaceutical Research and Health Care</t>
  </si>
  <si>
    <t>22501444</t>
  </si>
  <si>
    <t>22501460</t>
  </si>
  <si>
    <t>Journal of Pharmaceutical Research and Health Care</t>
  </si>
  <si>
    <t>Gastroenterologie a Hepatologie</t>
  </si>
  <si>
    <t>18047874</t>
  </si>
  <si>
    <t>1804803X</t>
  </si>
  <si>
    <t>Focus on Cancer Medicine</t>
  </si>
  <si>
    <t>17561205</t>
  </si>
  <si>
    <t>17561213</t>
  </si>
  <si>
    <t>Clinical Practice</t>
  </si>
  <si>
    <t>20449038</t>
  </si>
  <si>
    <t>20449046</t>
  </si>
  <si>
    <t>RSC Drug Discovery Series</t>
  </si>
  <si>
    <t>20413203</t>
  </si>
  <si>
    <t>20413211</t>
  </si>
  <si>
    <t>Reproductive Biology Insights</t>
  </si>
  <si>
    <t>11786426</t>
  </si>
  <si>
    <t>Proteomics Insights</t>
  </si>
  <si>
    <t>11786418</t>
  </si>
  <si>
    <t>Lipid Insights</t>
  </si>
  <si>
    <t>11786353</t>
  </si>
  <si>
    <t>Genomics Insights</t>
  </si>
  <si>
    <t>11786310</t>
  </si>
  <si>
    <t>PLoS Currents</t>
  </si>
  <si>
    <t>21573999</t>
  </si>
  <si>
    <t>European Infectious Disease</t>
  </si>
  <si>
    <t>17551137</t>
  </si>
  <si>
    <t>17551145</t>
  </si>
  <si>
    <t>Activitas Nervosa Superior Rediviva</t>
  </si>
  <si>
    <t>1337933X</t>
  </si>
  <si>
    <t>Advances in Clinical and Experimental Medicine</t>
  </si>
  <si>
    <t>18995276</t>
  </si>
  <si>
    <t>Wroclaw University of Medicine</t>
  </si>
  <si>
    <t>Trends in Psychiatry and Psychotherapy</t>
  </si>
  <si>
    <t>22376089</t>
  </si>
  <si>
    <t>Sociedade de Psiquiatria do Rio Grande do Sul</t>
  </si>
  <si>
    <t>AMB Express</t>
  </si>
  <si>
    <t>21910855</t>
  </si>
  <si>
    <t>International Neurourology Journal</t>
  </si>
  <si>
    <t>20934777</t>
  </si>
  <si>
    <t>20936931</t>
  </si>
  <si>
    <t>Korean Continence Society</t>
  </si>
  <si>
    <t>ARYA Atherosclerosis</t>
  </si>
  <si>
    <t>17353955</t>
  </si>
  <si>
    <t>22516638</t>
  </si>
  <si>
    <t>Frontiers in Aging Neuroscience</t>
  </si>
  <si>
    <t>16634365</t>
  </si>
  <si>
    <t>Frontiers Media SA</t>
  </si>
  <si>
    <t>Frontiers in Neuroenergetics</t>
  </si>
  <si>
    <t>16626427</t>
  </si>
  <si>
    <t>Frontiers in Neurorobotics</t>
  </si>
  <si>
    <t>16625218</t>
  </si>
  <si>
    <t>Frontiers in Neuroscience</t>
  </si>
  <si>
    <t>16624548</t>
  </si>
  <si>
    <t>1662453X</t>
  </si>
  <si>
    <t>Frontiers in Synaptic Neuroscience</t>
  </si>
  <si>
    <t>16633563</t>
  </si>
  <si>
    <t>Journal of Analytical Methods in Chemistry</t>
  </si>
  <si>
    <t>20908865</t>
  </si>
  <si>
    <t>20908873</t>
  </si>
  <si>
    <t>Recent Patents on Biomarkers</t>
  </si>
  <si>
    <t>22103090</t>
  </si>
  <si>
    <t>22103104</t>
  </si>
  <si>
    <t>Recent Patents on Regenerative Medicine</t>
  </si>
  <si>
    <t>22102965</t>
  </si>
  <si>
    <t>22102973</t>
  </si>
  <si>
    <t>Frontiers in Anti-Cancer Drug Discovery</t>
  </si>
  <si>
    <t>18796656</t>
  </si>
  <si>
    <t>Frontiers in Anti-infective Drug Discovery</t>
  </si>
  <si>
    <t>1879663X</t>
  </si>
  <si>
    <t>Frontiers in Cardiovascular Drug Discovery</t>
  </si>
  <si>
    <t>18796648</t>
  </si>
  <si>
    <t>Frontiers in CNS Drug Discovery</t>
  </si>
  <si>
    <t>18796613</t>
  </si>
  <si>
    <t>New Developments in Medicinal Chemistry</t>
  </si>
  <si>
    <t>22109277</t>
  </si>
  <si>
    <t>Open Antimicrobial Agents Journal</t>
  </si>
  <si>
    <t>18765181</t>
  </si>
  <si>
    <t>Open Spine Journal</t>
  </si>
  <si>
    <t>18765327</t>
  </si>
  <si>
    <t>Open Women's Health Journal</t>
  </si>
  <si>
    <t>18742912</t>
  </si>
  <si>
    <t>Pharmaceutical Crops</t>
  </si>
  <si>
    <t>22102906</t>
  </si>
  <si>
    <t>Frontline Gastroenterology</t>
  </si>
  <si>
    <t>20414137</t>
  </si>
  <si>
    <t>20414145</t>
  </si>
  <si>
    <t>Diabetes Management</t>
  </si>
  <si>
    <t>17581907</t>
  </si>
  <si>
    <t>17581915</t>
  </si>
  <si>
    <t>Neurodegenerative Disease Management</t>
  </si>
  <si>
    <t>17582024</t>
  </si>
  <si>
    <t>17582032</t>
  </si>
  <si>
    <t>Pain Management</t>
  </si>
  <si>
    <t>17581869</t>
  </si>
  <si>
    <t>17581877</t>
  </si>
  <si>
    <t>Neuropsychiatry</t>
  </si>
  <si>
    <t>17582008</t>
  </si>
  <si>
    <t>17582016</t>
  </si>
  <si>
    <t>Clinical Investigation</t>
  </si>
  <si>
    <t>20416792</t>
  </si>
  <si>
    <t>20416806</t>
  </si>
  <si>
    <t>Journal of Drug Delivery</t>
  </si>
  <si>
    <t>20903014</t>
  </si>
  <si>
    <t>20903022</t>
  </si>
  <si>
    <t>International Journal of Breast Cancer</t>
  </si>
  <si>
    <t>20903189</t>
  </si>
  <si>
    <t>Chemotherapy Research and Practice</t>
  </si>
  <si>
    <t>20902107</t>
  </si>
  <si>
    <t>20902115</t>
  </si>
  <si>
    <t>Hepatitis Research and Treatment</t>
  </si>
  <si>
    <t>20901364</t>
  </si>
  <si>
    <t>20901372</t>
  </si>
  <si>
    <t>Schizophrenia Research and Treatment</t>
  </si>
  <si>
    <t>20902085</t>
  </si>
  <si>
    <t>20902093</t>
  </si>
  <si>
    <t>Thrombosis</t>
  </si>
  <si>
    <t>20901488</t>
  </si>
  <si>
    <t>20901496</t>
  </si>
  <si>
    <t>Epilepsy Research and Treatment</t>
  </si>
  <si>
    <t>20901348</t>
  </si>
  <si>
    <t>20901356</t>
  </si>
  <si>
    <t>Influenza Research and Treatment</t>
  </si>
  <si>
    <t>20901380</t>
  </si>
  <si>
    <t>20901399</t>
  </si>
  <si>
    <t>Case Reports in Medicine</t>
  </si>
  <si>
    <t>16879627</t>
  </si>
  <si>
    <t>16879635</t>
  </si>
  <si>
    <t>Journal of Skin Cancer</t>
  </si>
  <si>
    <t>20902905</t>
  </si>
  <si>
    <t>20902913</t>
  </si>
  <si>
    <t>ISRN Obstetrics and Gynecology</t>
  </si>
  <si>
    <t>20904436</t>
  </si>
  <si>
    <t>20904444</t>
  </si>
  <si>
    <t>International Scholarly Research Network</t>
  </si>
  <si>
    <t>Journal of Allergy</t>
  </si>
  <si>
    <t>16879783</t>
  </si>
  <si>
    <t>16879791</t>
  </si>
  <si>
    <t>Autoimmune Diseases</t>
  </si>
  <si>
    <t>20900430</t>
  </si>
  <si>
    <t>Arthritis</t>
  </si>
  <si>
    <t>20901984</t>
  </si>
  <si>
    <t>20901992</t>
  </si>
  <si>
    <t>Bone Marrow Research</t>
  </si>
  <si>
    <t>20902999</t>
  </si>
  <si>
    <t>20903006</t>
  </si>
  <si>
    <t>International Journal of Proteomics</t>
  </si>
  <si>
    <t>20902166</t>
  </si>
  <si>
    <t>20902174</t>
  </si>
  <si>
    <t>ISRN Hematology</t>
  </si>
  <si>
    <t>2090441X</t>
  </si>
  <si>
    <t>20904428</t>
  </si>
  <si>
    <t>Multiple Sclerosis International</t>
  </si>
  <si>
    <t>20902654</t>
  </si>
  <si>
    <t>20902662</t>
  </si>
  <si>
    <t>Radiology Research and Practice</t>
  </si>
  <si>
    <t>20901941</t>
  </si>
  <si>
    <t>2090195X</t>
  </si>
  <si>
    <t>International Journal of Hepatology</t>
  </si>
  <si>
    <t>20903456</t>
  </si>
  <si>
    <t>International Journal of Medicinal Chemistry</t>
  </si>
  <si>
    <t>20902069</t>
  </si>
  <si>
    <t>20902077</t>
  </si>
  <si>
    <t>Ulcers</t>
  </si>
  <si>
    <t>20901526</t>
  </si>
  <si>
    <t>20901534</t>
  </si>
  <si>
    <t>Pulmonary Medicine</t>
  </si>
  <si>
    <t>20901836</t>
  </si>
  <si>
    <t>20901844</t>
  </si>
  <si>
    <t>ISRN Gastroenterology</t>
  </si>
  <si>
    <t>20904398</t>
  </si>
  <si>
    <t>20904401</t>
  </si>
  <si>
    <t>Journal of Lipids</t>
  </si>
  <si>
    <t>20903030</t>
  </si>
  <si>
    <t>20903049</t>
  </si>
  <si>
    <t>Prostate Cancer</t>
  </si>
  <si>
    <t>20903111</t>
  </si>
  <si>
    <t>2090312X</t>
  </si>
  <si>
    <t>Emergency Medicine International</t>
  </si>
  <si>
    <t>20902840</t>
  </si>
  <si>
    <t>20902859</t>
  </si>
  <si>
    <t>International Journal of Peptides</t>
  </si>
  <si>
    <t>16879767</t>
  </si>
  <si>
    <t>16879775</t>
  </si>
  <si>
    <t>Journal of Adolescent and Young Adult Oncology</t>
  </si>
  <si>
    <t>21565333</t>
  </si>
  <si>
    <t>2156535X</t>
  </si>
  <si>
    <t>Therapeutic Hypothermia and Temperature Management</t>
  </si>
  <si>
    <t>21537658</t>
  </si>
  <si>
    <t>21537933</t>
  </si>
  <si>
    <t>Brain Connectivity</t>
  </si>
  <si>
    <t>21580014</t>
  </si>
  <si>
    <t>21580022</t>
  </si>
  <si>
    <t>Journal of Caffeine Research</t>
  </si>
  <si>
    <t>21565783</t>
  </si>
  <si>
    <t>21565368</t>
  </si>
  <si>
    <t>Therapeutic Advances in Drug Safety</t>
  </si>
  <si>
    <t>20420986</t>
  </si>
  <si>
    <t>20420994</t>
  </si>
  <si>
    <t>Therapeutic Advances in Psychopharmacology</t>
  </si>
  <si>
    <t>20451253</t>
  </si>
  <si>
    <t>20451261</t>
  </si>
  <si>
    <t>Therapeutic Advances in Hematology</t>
  </si>
  <si>
    <t>20406207</t>
  </si>
  <si>
    <t>20406215</t>
  </si>
  <si>
    <t>BMC Proceedings</t>
  </si>
  <si>
    <t>17536561</t>
  </si>
  <si>
    <t>Current Cancer Research</t>
  </si>
  <si>
    <t>09400745</t>
  </si>
  <si>
    <t>Russian Journal of Genetics: Applied Research</t>
  </si>
  <si>
    <t>20790597</t>
  </si>
  <si>
    <t>20790600</t>
  </si>
  <si>
    <t>Annales Francaises de Medecine d'Urgence</t>
  </si>
  <si>
    <t>21086524</t>
  </si>
  <si>
    <t>21086591</t>
  </si>
  <si>
    <t>Indian Journal of Surgical Oncology</t>
  </si>
  <si>
    <t>09757651</t>
  </si>
  <si>
    <t>09766952</t>
  </si>
  <si>
    <t>Diabetology International</t>
  </si>
  <si>
    <t>21901678</t>
  </si>
  <si>
    <t>21901686</t>
  </si>
  <si>
    <t>Cardiovascular Intervention and Therapeutics</t>
  </si>
  <si>
    <t>18684300</t>
  </si>
  <si>
    <t>18684297</t>
  </si>
  <si>
    <t>Oriental Pharmacy and Experimental Medicine</t>
  </si>
  <si>
    <t>15982386</t>
  </si>
  <si>
    <t>22111069</t>
  </si>
  <si>
    <t>Cancer Metastasis - Biology and Treatment</t>
  </si>
  <si>
    <t>15682102</t>
  </si>
  <si>
    <t>Translational Behavioral Medicine</t>
  </si>
  <si>
    <t>18696716</t>
  </si>
  <si>
    <t>16139860</t>
  </si>
  <si>
    <t>Dermatology and Therapy</t>
  </si>
  <si>
    <t>21909172</t>
  </si>
  <si>
    <t>Drug Delivery and Translational Research</t>
  </si>
  <si>
    <t>2190393X</t>
  </si>
  <si>
    <t>21903948</t>
  </si>
  <si>
    <t>Journal of Ophthalmic Inflammation and Infection</t>
  </si>
  <si>
    <t>18695760</t>
  </si>
  <si>
    <t>Annals of Intensive Care</t>
  </si>
  <si>
    <t>21105820</t>
  </si>
  <si>
    <t>Epigenetics and Human Health</t>
  </si>
  <si>
    <t>21912262</t>
  </si>
  <si>
    <t>21912270</t>
  </si>
  <si>
    <t>Research and Perspectives in Endocrine Interactions</t>
  </si>
  <si>
    <t>18612253</t>
  </si>
  <si>
    <t>Research and Perspectives in Neurosciences</t>
  </si>
  <si>
    <t>09456082</t>
  </si>
  <si>
    <t>Journal of Cachexia, Sarcopenia and Muscle</t>
  </si>
  <si>
    <t>21905991</t>
  </si>
  <si>
    <t>21906009</t>
  </si>
  <si>
    <t>Journal of Mathematical Neuroscience</t>
  </si>
  <si>
    <t>21908567</t>
  </si>
  <si>
    <t>Wiley Interdisciplinary Reviews: RNA</t>
  </si>
  <si>
    <t>17577004</t>
  </si>
  <si>
    <t>17577012</t>
  </si>
  <si>
    <t>International Forum of Allergy and Rhinology</t>
  </si>
  <si>
    <t>20426976</t>
  </si>
  <si>
    <t>20426984</t>
  </si>
  <si>
    <t>Japanese Journal of Head and Neck Cancer</t>
  </si>
  <si>
    <t>13495747</t>
  </si>
  <si>
    <t>18818382</t>
  </si>
  <si>
    <t>Japan Society for Head and Neck Cancer</t>
  </si>
  <si>
    <t>Akademik Acil Tip Olgu Sunumlari Dergisi</t>
  </si>
  <si>
    <t>1309534X</t>
  </si>
  <si>
    <t>21462925</t>
  </si>
  <si>
    <t>Jundishapur Journal of Natural Pharmaceutical Products</t>
  </si>
  <si>
    <t>17357780</t>
  </si>
  <si>
    <t>22287876</t>
  </si>
  <si>
    <t>Epilepsy Currents</t>
  </si>
  <si>
    <t>15357597</t>
  </si>
  <si>
    <t>15357511</t>
  </si>
  <si>
    <t>American Epilepsy Society</t>
  </si>
  <si>
    <t>Archives of Pharmacy Practice</t>
  </si>
  <si>
    <t>2045080X</t>
  </si>
  <si>
    <t>Archives of Global Professionals</t>
  </si>
  <si>
    <t>Journal of Applied Pharmacy</t>
  </si>
  <si>
    <t>19204159</t>
  </si>
  <si>
    <t>Intellectual Consortium of Drug Discovery and Technology Development Inc.</t>
  </si>
  <si>
    <t>Caspian Journal of Internal Medicine</t>
  </si>
  <si>
    <t>20086164</t>
  </si>
  <si>
    <t>20086172</t>
  </si>
  <si>
    <t>World Journal of Diabetes</t>
  </si>
  <si>
    <t>19489358</t>
  </si>
  <si>
    <t>Baishideng Publishing Group Co</t>
  </si>
  <si>
    <t>World Journal of Cardiology</t>
  </si>
  <si>
    <t>19498462</t>
  </si>
  <si>
    <t>Neurobehavioral HIV Medicine</t>
  </si>
  <si>
    <t>11791497</t>
  </si>
  <si>
    <t>American Journal of Cancer Research</t>
  </si>
  <si>
    <t>21566976</t>
  </si>
  <si>
    <t>Cardiology Research</t>
  </si>
  <si>
    <t>19232829</t>
  </si>
  <si>
    <t>19232837</t>
  </si>
  <si>
    <t>Elmer Press</t>
  </si>
  <si>
    <t>GMP Review</t>
  </si>
  <si>
    <t>14764547</t>
  </si>
  <si>
    <t>Industrial Pharmacy</t>
  </si>
  <si>
    <t>17414911</t>
  </si>
  <si>
    <t>Translational Biomedicine</t>
  </si>
  <si>
    <t>21720479</t>
  </si>
  <si>
    <t>Internet Medical Publishing</t>
  </si>
  <si>
    <t>International Research Journal of Pharmacy</t>
  </si>
  <si>
    <t>22308407</t>
  </si>
  <si>
    <t>Theranostics</t>
  </si>
  <si>
    <t>18387640</t>
  </si>
  <si>
    <t>Journal of Cancer</t>
  </si>
  <si>
    <t>18379664</t>
  </si>
  <si>
    <t>Pharmacophore</t>
  </si>
  <si>
    <t>22295402</t>
  </si>
  <si>
    <t>Jadoun Science Publishing Group</t>
  </si>
  <si>
    <t>Journal of Advances in Drug Research</t>
  </si>
  <si>
    <t>2230861X</t>
  </si>
  <si>
    <t>22307761</t>
  </si>
  <si>
    <t>Turkiye Acil Tip Dergisi</t>
  </si>
  <si>
    <t>13047361</t>
  </si>
  <si>
    <t>Emergency Medicine Association of Turkey</t>
  </si>
  <si>
    <t>Indian Journal of Novel Drug Delivery</t>
  </si>
  <si>
    <t>09755500</t>
  </si>
  <si>
    <t>Karnataka Education and Scientific Society</t>
  </si>
  <si>
    <t>Korean Journal of Pain</t>
  </si>
  <si>
    <t>20059159</t>
  </si>
  <si>
    <t>20930569</t>
  </si>
  <si>
    <t>Korean Pain Society</t>
  </si>
  <si>
    <t>Infection and Chemotherapy</t>
  </si>
  <si>
    <t>20932340</t>
  </si>
  <si>
    <t>20926448</t>
  </si>
  <si>
    <t>Korean Society for Chemotherapy</t>
  </si>
  <si>
    <t>Journal of Interventional Gastroenterology</t>
  </si>
  <si>
    <t>21541280</t>
  </si>
  <si>
    <t>21541299</t>
  </si>
  <si>
    <t>Mobile Genetic Elements</t>
  </si>
  <si>
    <t>21592543</t>
  </si>
  <si>
    <t>2159256X</t>
  </si>
  <si>
    <t>BioArchitecture</t>
  </si>
  <si>
    <t>19490992</t>
  </si>
  <si>
    <t>1949100X</t>
  </si>
  <si>
    <t>Spermatogenesis</t>
  </si>
  <si>
    <t>21565554</t>
  </si>
  <si>
    <t>21565562</t>
  </si>
  <si>
    <t>Cellular Logistics</t>
  </si>
  <si>
    <t>21592780</t>
  </si>
  <si>
    <t>21592799</t>
  </si>
  <si>
    <t>Bacteriophage</t>
  </si>
  <si>
    <t>21597073</t>
  </si>
  <si>
    <t>21597081</t>
  </si>
  <si>
    <t>Open Journal of Hematology</t>
  </si>
  <si>
    <t>2075907X</t>
  </si>
  <si>
    <t>Ross Science Publishers</t>
  </si>
  <si>
    <t>Stamford Journal of Pharmaceutical Sciences</t>
  </si>
  <si>
    <t>19997108</t>
  </si>
  <si>
    <t>Stamford University</t>
  </si>
  <si>
    <t>Basic and Clinical Neuroscience</t>
  </si>
  <si>
    <t>2008126X</t>
  </si>
  <si>
    <t>Iran University of Medical Sciences</t>
  </si>
  <si>
    <t>Thoracic Cancer</t>
  </si>
  <si>
    <t>17597706</t>
  </si>
  <si>
    <t>17597714</t>
  </si>
  <si>
    <t>Cartilage</t>
  </si>
  <si>
    <t>19476035</t>
  </si>
  <si>
    <t>19476043</t>
  </si>
  <si>
    <t>Journal of Experimental Neuroscience</t>
  </si>
  <si>
    <t>11790695</t>
  </si>
  <si>
    <t>Cancer Research and Treatment</t>
  </si>
  <si>
    <t>15982998</t>
  </si>
  <si>
    <t>20059256</t>
  </si>
  <si>
    <t>Korean Cancer Association</t>
  </si>
  <si>
    <t>Iranian Heart Journal</t>
  </si>
  <si>
    <t>17357306</t>
  </si>
  <si>
    <t>Iranian Heart Association</t>
  </si>
  <si>
    <t>Iranian Journal of Dermatology</t>
  </si>
  <si>
    <t>0021082X</t>
  </si>
  <si>
    <t>Iranian Society of Dermatology</t>
  </si>
  <si>
    <t>Oman Medical Journal</t>
  </si>
  <si>
    <t>1999768X</t>
  </si>
  <si>
    <t>20705204</t>
  </si>
  <si>
    <t>Oman Medical Specialty Board</t>
  </si>
  <si>
    <t>OMN</t>
  </si>
  <si>
    <t>Romanian Journal of Diabetes, Nutrition and Metabolic Diseases</t>
  </si>
  <si>
    <t>15838609</t>
  </si>
  <si>
    <t>ILEX Publishing House</t>
  </si>
  <si>
    <t>Adolescent Psychiatry (Netherlands)</t>
  </si>
  <si>
    <t>22106766</t>
  </si>
  <si>
    <t>22106774</t>
  </si>
  <si>
    <t>Hospital Medicine Clinics</t>
  </si>
  <si>
    <t>22115943</t>
  </si>
  <si>
    <t>Interventional Cardiology Clinics</t>
  </si>
  <si>
    <t>22117458</t>
  </si>
  <si>
    <t>Asian Pacific Journal of Tropical Disease</t>
  </si>
  <si>
    <t>22221808</t>
  </si>
  <si>
    <t>International Journal for Parasitology: Drugs and Drug Resistance</t>
  </si>
  <si>
    <t>22113207</t>
  </si>
  <si>
    <t>Journal of Acute Medicine</t>
  </si>
  <si>
    <t>22115587</t>
  </si>
  <si>
    <t>Revista Portuguesa de Estomatologia, Medicina Dentaria e Cirurgia Maxilofacial</t>
  </si>
  <si>
    <t>16462890</t>
  </si>
  <si>
    <t>16476700</t>
  </si>
  <si>
    <t>FEBS Open Bio</t>
  </si>
  <si>
    <t>22115463</t>
  </si>
  <si>
    <t>Journal of the Egyptian National Cancer Institute</t>
  </si>
  <si>
    <t>11100362</t>
  </si>
  <si>
    <t>16879996</t>
  </si>
  <si>
    <t>National Cancer Institute, Cairo University</t>
  </si>
  <si>
    <t>Egyptian Heart Journal</t>
  </si>
  <si>
    <t>11102608</t>
  </si>
  <si>
    <t>Egyptian Society of Cardiology</t>
  </si>
  <si>
    <t>Bulletin of Faculty of Pharmacy, Cairo University</t>
  </si>
  <si>
    <t>11100931</t>
  </si>
  <si>
    <t>Faculty of Pharmacy, Cairo University</t>
  </si>
  <si>
    <t>Clinical Queries: Nephrology</t>
  </si>
  <si>
    <t>22119477</t>
  </si>
  <si>
    <t>Indian Journal of Transplantation</t>
  </si>
  <si>
    <t>22120017</t>
  </si>
  <si>
    <t>International Journal of Mycobacteriology</t>
  </si>
  <si>
    <t>22125531</t>
  </si>
  <si>
    <t>Kidney Research and Clinical Practice</t>
  </si>
  <si>
    <t>22119132</t>
  </si>
  <si>
    <t>BioNanoScience</t>
  </si>
  <si>
    <t>21911630</t>
  </si>
  <si>
    <t>21911649</t>
  </si>
  <si>
    <t>International Archives of Otorhinolaryngology</t>
  </si>
  <si>
    <t>18099777</t>
  </si>
  <si>
    <t>18094864</t>
  </si>
  <si>
    <t>Iranian Journal of Otorhinolaryngology</t>
  </si>
  <si>
    <t>22517251</t>
  </si>
  <si>
    <t>2251726X</t>
  </si>
  <si>
    <t>Anti-Infective Agents</t>
  </si>
  <si>
    <t>22113525</t>
  </si>
  <si>
    <t>22113533</t>
  </si>
  <si>
    <t>Journal of Obsessive-Compulsive and Related Disorders</t>
  </si>
  <si>
    <t>22113649</t>
  </si>
  <si>
    <t>BioMedicine (Netherlands)</t>
  </si>
  <si>
    <t>22118020</t>
  </si>
  <si>
    <t>Cell Reports</t>
  </si>
  <si>
    <t>22111247</t>
  </si>
  <si>
    <t>Arthroscopy Techniques</t>
  </si>
  <si>
    <t>22126287</t>
  </si>
  <si>
    <t>Health Policy and Technology</t>
  </si>
  <si>
    <t>22118837</t>
  </si>
  <si>
    <t>Biomedical Engineering Letters</t>
  </si>
  <si>
    <t>20939868</t>
  </si>
  <si>
    <t>2093985X</t>
  </si>
  <si>
    <t>Human Vaccines and Immunotherapeutics</t>
  </si>
  <si>
    <t>21645515</t>
  </si>
  <si>
    <t>2164554X</t>
  </si>
  <si>
    <t>Practical Diabetes</t>
  </si>
  <si>
    <t>20472900</t>
  </si>
  <si>
    <t>Medicare and Medicaid Research Review</t>
  </si>
  <si>
    <t>21590354</t>
  </si>
  <si>
    <t>Health Care Financing Administration</t>
  </si>
  <si>
    <t>US Department of Health and Human Services</t>
  </si>
  <si>
    <t>Pathogens and Global Health</t>
  </si>
  <si>
    <t>20477724</t>
  </si>
  <si>
    <t>20477732</t>
  </si>
  <si>
    <t>Zhonghua Shiyan Yanke Zazhi/Chinese Journal of Experimental Ophthalmology</t>
  </si>
  <si>
    <t>20950160</t>
  </si>
  <si>
    <t>Henan Institute of Ophthalmology</t>
  </si>
  <si>
    <t>International Eye Science</t>
  </si>
  <si>
    <t>16725123</t>
  </si>
  <si>
    <t>International Journal of Ophthalmology (c/o Editorial Office)</t>
  </si>
  <si>
    <t>Journal of Trauma and Acute Care Surgery</t>
  </si>
  <si>
    <t>21630755</t>
  </si>
  <si>
    <t>21630763</t>
  </si>
  <si>
    <t>Open Inflammation Journal</t>
  </si>
  <si>
    <t>18750419</t>
  </si>
  <si>
    <t>Recent Patents on Nanomedicine</t>
  </si>
  <si>
    <t>18779123</t>
  </si>
  <si>
    <t>18779131</t>
  </si>
  <si>
    <t>Journal of Comparative Effectiveness Research</t>
  </si>
  <si>
    <t>20426305</t>
  </si>
  <si>
    <t>20426313</t>
  </si>
  <si>
    <t>Enzyme Research</t>
  </si>
  <si>
    <t>20900406</t>
  </si>
  <si>
    <t>20900414</t>
  </si>
  <si>
    <t>Epidemiology Research International</t>
  </si>
  <si>
    <t>20902972</t>
  </si>
  <si>
    <t>20902980</t>
  </si>
  <si>
    <t>Genetics Research International</t>
  </si>
  <si>
    <t>20903154</t>
  </si>
  <si>
    <t>20903162</t>
  </si>
  <si>
    <t>International Journal of Hypertension</t>
  </si>
  <si>
    <t>20900384</t>
  </si>
  <si>
    <t>20900392</t>
  </si>
  <si>
    <t>International Journal of Inflammation</t>
  </si>
  <si>
    <t>20908040</t>
  </si>
  <si>
    <t>20420099</t>
  </si>
  <si>
    <t>Journal of Aging Research</t>
  </si>
  <si>
    <t>20902204</t>
  </si>
  <si>
    <t>20902212</t>
  </si>
  <si>
    <t>Journal of Amino Acids</t>
  </si>
  <si>
    <t>20900104</t>
  </si>
  <si>
    <t>20900112</t>
  </si>
  <si>
    <t>Journal of Nucleic Acids</t>
  </si>
  <si>
    <t>20900201</t>
  </si>
  <si>
    <t>2090021X</t>
  </si>
  <si>
    <t>Journal of Osteoporosis</t>
  </si>
  <si>
    <t>20908059</t>
  </si>
  <si>
    <t>20420064</t>
  </si>
  <si>
    <t>Journal of Pathogens</t>
  </si>
  <si>
    <t>20903057</t>
  </si>
  <si>
    <t>20903065</t>
  </si>
  <si>
    <t>Journal of Thyroid Research</t>
  </si>
  <si>
    <t>20908067</t>
  </si>
  <si>
    <t>20420072</t>
  </si>
  <si>
    <t>Leukemia Research and Treatment</t>
  </si>
  <si>
    <t>20903219</t>
  </si>
  <si>
    <t>20903227</t>
  </si>
  <si>
    <t>Lung Cancer International</t>
  </si>
  <si>
    <t>20903197</t>
  </si>
  <si>
    <t>20903200</t>
  </si>
  <si>
    <t>Lymphoma</t>
  </si>
  <si>
    <t>2090309X</t>
  </si>
  <si>
    <t>20903103</t>
  </si>
  <si>
    <t>Malaria Research and Treatment</t>
  </si>
  <si>
    <t>20908075</t>
  </si>
  <si>
    <t>20444362</t>
  </si>
  <si>
    <t>Springer Protocols Handbooks</t>
  </si>
  <si>
    <t>19492448</t>
  </si>
  <si>
    <t>19492456</t>
  </si>
  <si>
    <t>Advances in Alzheimer's Disease</t>
  </si>
  <si>
    <t>22105727</t>
  </si>
  <si>
    <t>22105735</t>
  </si>
  <si>
    <t>Biomedical and Health Research</t>
  </si>
  <si>
    <t>09296743</t>
  </si>
  <si>
    <t>18798098</t>
  </si>
  <si>
    <t>Journal of the Dermatology Nurses' Association</t>
  </si>
  <si>
    <t>1945760X</t>
  </si>
  <si>
    <t>Nursing Critical Care</t>
  </si>
  <si>
    <t>1558447X</t>
  </si>
  <si>
    <t>Journal of Pharmacology and Pharmacotherapeutics</t>
  </si>
  <si>
    <t>0976500X</t>
  </si>
  <si>
    <t>Clinical and Translational Gastroenterology</t>
  </si>
  <si>
    <t>2155384X</t>
  </si>
  <si>
    <t>Hand Therapy</t>
  </si>
  <si>
    <t>17589983</t>
  </si>
  <si>
    <t>17589991</t>
  </si>
  <si>
    <t>Translational Research in Biomedicine</t>
  </si>
  <si>
    <t>1662405X</t>
  </si>
  <si>
    <t>16624068</t>
  </si>
  <si>
    <t>ICU Director</t>
  </si>
  <si>
    <t>19444516</t>
  </si>
  <si>
    <t>19444524</t>
  </si>
  <si>
    <t>World Journal for Pediatric and Congenital Hearth Surgery</t>
  </si>
  <si>
    <t>21501351</t>
  </si>
  <si>
    <t>2150136X</t>
  </si>
  <si>
    <t>3 Biotech</t>
  </si>
  <si>
    <t>2190572X</t>
  </si>
  <si>
    <t>21905738</t>
  </si>
  <si>
    <t>AAPS Advances in the Pharmaceutical Sciences Series</t>
  </si>
  <si>
    <t>22107371</t>
  </si>
  <si>
    <t>2210738X</t>
  </si>
  <si>
    <t>Advances in Delivery Science and Technology</t>
  </si>
  <si>
    <t>21926204</t>
  </si>
  <si>
    <t>Current Topics in Behavioral Neurosciences</t>
  </si>
  <si>
    <t>18663370</t>
  </si>
  <si>
    <t>18663389</t>
  </si>
  <si>
    <t>EJNMMI Research</t>
  </si>
  <si>
    <t>2191219X</t>
  </si>
  <si>
    <t>Organic and Medicinal Chemistry Letters</t>
  </si>
  <si>
    <t>21912858</t>
  </si>
  <si>
    <t>Outlines in Pharmaceutical Sciences</t>
  </si>
  <si>
    <t>21913188</t>
  </si>
  <si>
    <t>21913196</t>
  </si>
  <si>
    <t>Clinical and Translational Allergy</t>
  </si>
  <si>
    <t>20457022</t>
  </si>
  <si>
    <t>Clinical Sarcoma Research</t>
  </si>
  <si>
    <t>20453329</t>
  </si>
  <si>
    <t>Health Economics Review</t>
  </si>
  <si>
    <t>21911991</t>
  </si>
  <si>
    <t>Herpesviridae</t>
  </si>
  <si>
    <t>20424280</t>
  </si>
  <si>
    <t>Medical Gas Research</t>
  </si>
  <si>
    <t>20459912</t>
  </si>
  <si>
    <t>Neural Systems and Circuits</t>
  </si>
  <si>
    <t>20421001</t>
  </si>
  <si>
    <t>Brain and Behavior</t>
  </si>
  <si>
    <t>21623279</t>
  </si>
  <si>
    <t>Clinical Obesity</t>
  </si>
  <si>
    <t>17588111</t>
  </si>
  <si>
    <t>Clinical Neuropsychopharmacology and Therapeutics</t>
  </si>
  <si>
    <t>18848826</t>
  </si>
  <si>
    <t>Japanese Society of Clinical Neuropsychopharmacology</t>
  </si>
  <si>
    <t>Diagnostics</t>
  </si>
  <si>
    <t>20754418</t>
  </si>
  <si>
    <t>Journal of Functional Biomaterials</t>
  </si>
  <si>
    <t>20794983</t>
  </si>
  <si>
    <t>European Oncology and Haematology</t>
  </si>
  <si>
    <t>20455275</t>
  </si>
  <si>
    <t>20455283</t>
  </si>
  <si>
    <t>Journal of the Hong Kong College of Cardiology</t>
  </si>
  <si>
    <t>10277811</t>
  </si>
  <si>
    <t>International Journal of Current Pharmaceutical Research</t>
  </si>
  <si>
    <t>09757066</t>
  </si>
  <si>
    <t>Academic Sciences</t>
  </si>
  <si>
    <t>Asia Pacific Allergy</t>
  </si>
  <si>
    <t>22338276</t>
  </si>
  <si>
    <t>22338268</t>
  </si>
  <si>
    <t>Asia Pacific Association of Allergy, Asthma and Clinical Immunology</t>
  </si>
  <si>
    <t>Drug Invention Today</t>
  </si>
  <si>
    <t>09757619</t>
  </si>
  <si>
    <t>CJAM Canadian Journal of Addiction Medicine</t>
  </si>
  <si>
    <t>19231210</t>
  </si>
  <si>
    <t>Canadian Society of Addiction Medicine</t>
  </si>
  <si>
    <t>HSR Proceedings in Intensive Care and Cardiovascular Anesthesia</t>
  </si>
  <si>
    <t>20370504</t>
  </si>
  <si>
    <t>20370512</t>
  </si>
  <si>
    <t>Edizioni Medico Scientifiche</t>
  </si>
  <si>
    <t>World Journal of Oncology</t>
  </si>
  <si>
    <t>19204531</t>
  </si>
  <si>
    <t>1920454X</t>
  </si>
  <si>
    <t>European Journal of Cardiovascular Medicine</t>
  </si>
  <si>
    <t>20424884</t>
  </si>
  <si>
    <t>20424892</t>
  </si>
  <si>
    <t>Healthcare Bulletin</t>
  </si>
  <si>
    <t>Forum of Clinical Oncology</t>
  </si>
  <si>
    <t>1792345X</t>
  </si>
  <si>
    <t>1792362X</t>
  </si>
  <si>
    <t>Hellenic Society of Medical Oncology</t>
  </si>
  <si>
    <t>Hygeia</t>
  </si>
  <si>
    <t>22293590</t>
  </si>
  <si>
    <t>09756221</t>
  </si>
  <si>
    <t>Hygeia Club</t>
  </si>
  <si>
    <t>Indo Global Journal of Pharmaceutical Sciences</t>
  </si>
  <si>
    <t>22491023</t>
  </si>
  <si>
    <t>i-Global Publications</t>
  </si>
  <si>
    <t>International Journal of Advances in Pharmaceutical Research</t>
  </si>
  <si>
    <t>22497226</t>
  </si>
  <si>
    <t>22307583</t>
  </si>
  <si>
    <t>KMR Pharma Welfare Association</t>
  </si>
  <si>
    <t>International Journal of Research in Ayurveda and Pharmacy</t>
  </si>
  <si>
    <t>22774343</t>
  </si>
  <si>
    <t>22293566</t>
  </si>
  <si>
    <t>International Nano Letters</t>
  </si>
  <si>
    <t>20089295</t>
  </si>
  <si>
    <t>22285326</t>
  </si>
  <si>
    <t>Islamic Azad University</t>
  </si>
  <si>
    <t>Nepal Journal of Epidemiology</t>
  </si>
  <si>
    <t>20910800</t>
  </si>
  <si>
    <t>International Nepal Epidemiological Association</t>
  </si>
  <si>
    <t>Journal of Managed Care Medicine</t>
  </si>
  <si>
    <t>10941525</t>
  </si>
  <si>
    <t>National Association of Managed Care Physicians, Inc.</t>
  </si>
  <si>
    <t>Journal of Gastrointestinal Oncology</t>
  </si>
  <si>
    <t>20786891</t>
  </si>
  <si>
    <t>2219679X</t>
  </si>
  <si>
    <t>Pioneer Bioscience Publishing Company</t>
  </si>
  <si>
    <t>Open Journal of Cardiology</t>
  </si>
  <si>
    <t>20759010</t>
  </si>
  <si>
    <t>Open Journal of Pharmacology</t>
  </si>
  <si>
    <t>2075910X</t>
  </si>
  <si>
    <t>World Journal of Emergency Medicine</t>
  </si>
  <si>
    <t>19208642</t>
  </si>
  <si>
    <t>Second Affiliated Hospital, Zhejiang University School of Medicine</t>
  </si>
  <si>
    <t>Rational Pharmacotherapy in Cardiology</t>
  </si>
  <si>
    <t>18196446</t>
  </si>
  <si>
    <t>22253653</t>
  </si>
  <si>
    <t>Stolichnaya Izdatelskaya Kompaniya</t>
  </si>
  <si>
    <t>Journal of Cardiovascular and Thoracic Research</t>
  </si>
  <si>
    <t>20085117</t>
  </si>
  <si>
    <t>20086830</t>
  </si>
  <si>
    <t>Journal of Thoracic Disease</t>
  </si>
  <si>
    <t>20721439</t>
  </si>
  <si>
    <t>20776624</t>
  </si>
  <si>
    <t>International Journal of Organ Transplantation Medicine</t>
  </si>
  <si>
    <t>20086490</t>
  </si>
  <si>
    <t>20086482</t>
  </si>
  <si>
    <t>Avicenna Organ Transplant Institute</t>
  </si>
  <si>
    <t>RSC Biomolecular Sciences</t>
  </si>
  <si>
    <t>17577152</t>
  </si>
  <si>
    <t>17577160</t>
  </si>
  <si>
    <t>Clinical Kidney Journal</t>
  </si>
  <si>
    <t>20488505</t>
  </si>
  <si>
    <t>20488513</t>
  </si>
  <si>
    <t>Pediatric Obesity</t>
  </si>
  <si>
    <t>20476302</t>
  </si>
  <si>
    <t>20476310</t>
  </si>
  <si>
    <t>Respiratory Medicine Case Reports</t>
  </si>
  <si>
    <t>22130071</t>
  </si>
  <si>
    <t>Respiratory Investigation</t>
  </si>
  <si>
    <t>22125345</t>
  </si>
  <si>
    <t>European Heart Journal Cardiovascular Imaging</t>
  </si>
  <si>
    <t>20472404</t>
  </si>
  <si>
    <t>Revista Espanola de Medicina Nuclear e Imagen Molecular</t>
  </si>
  <si>
    <t>2253654X</t>
  </si>
  <si>
    <t>22538070</t>
  </si>
  <si>
    <t>International Journal of Spine Surgery</t>
  </si>
  <si>
    <t>22114599</t>
  </si>
  <si>
    <t>Blood Cancer Journal</t>
  </si>
  <si>
    <t>20445385</t>
  </si>
  <si>
    <t>Biomedical Optics Express</t>
  </si>
  <si>
    <t>21567085</t>
  </si>
  <si>
    <t>Optical Society of America</t>
  </si>
  <si>
    <t>Cancer Discovery</t>
  </si>
  <si>
    <t>21598274</t>
  </si>
  <si>
    <t>21598290</t>
  </si>
  <si>
    <t>Statistics in Biopharmaceutical Research</t>
  </si>
  <si>
    <t>19466315</t>
  </si>
  <si>
    <t>Oncotarget</t>
  </si>
  <si>
    <t>19492553</t>
  </si>
  <si>
    <t>Impact Journals LLC</t>
  </si>
  <si>
    <t>Journal of Pharmaceutical Negative Results</t>
  </si>
  <si>
    <t>09769234</t>
  </si>
  <si>
    <t>22297723</t>
  </si>
  <si>
    <t>Journal of Healthcare Engineering</t>
  </si>
  <si>
    <t>20402295</t>
  </si>
  <si>
    <t>20402309</t>
  </si>
  <si>
    <t>Multi-Science Publishing Co. Ltd</t>
  </si>
  <si>
    <t>International Journal of Perioperative Ultrasound and Applied Technologies</t>
  </si>
  <si>
    <t>22777466</t>
  </si>
  <si>
    <t>European Research in Telemedicine</t>
  </si>
  <si>
    <t>2212764X</t>
  </si>
  <si>
    <t>Journal of Bone Oncology</t>
  </si>
  <si>
    <t>22121374</t>
  </si>
  <si>
    <t>Medical Mycology Case Reports</t>
  </si>
  <si>
    <t>22117539</t>
  </si>
  <si>
    <t>Perspectives in Medicine</t>
  </si>
  <si>
    <t>2211968X</t>
  </si>
  <si>
    <t>Polish Annals of Medicine</t>
  </si>
  <si>
    <t>12308013</t>
  </si>
  <si>
    <t>Trials in Vaccinology</t>
  </si>
  <si>
    <t>18794378</t>
  </si>
  <si>
    <t>Pathobiology of Aging and Age-related Diseases</t>
  </si>
  <si>
    <t>20010001</t>
  </si>
  <si>
    <t>Revista de Osteoporosis y Metabolismo Mineral</t>
  </si>
  <si>
    <t>1889836X</t>
  </si>
  <si>
    <t>21732345</t>
  </si>
  <si>
    <t>Sociedad Espanola de Investigacion Osea y del Metabolismo Mineral</t>
  </si>
  <si>
    <t>Sociedad Espanola de Investigacion Osea y del Metabolismo Mineral (S E I O M M)</t>
  </si>
  <si>
    <t>Danish Medical Journal</t>
  </si>
  <si>
    <t>22451919</t>
  </si>
  <si>
    <t>Danish Medical Association</t>
  </si>
  <si>
    <t>European Journal of Preventive Cardiology</t>
  </si>
  <si>
    <t>20474873</t>
  </si>
  <si>
    <t>Evidence-Based Child Health</t>
  </si>
  <si>
    <t>15576272</t>
  </si>
  <si>
    <t>Dermatology Research and Practice</t>
  </si>
  <si>
    <t>16876113</t>
  </si>
  <si>
    <t>International Journal of Vascular Medicine</t>
  </si>
  <si>
    <t>20902824</t>
  </si>
  <si>
    <t>20902832</t>
  </si>
  <si>
    <t>Journal of Obesity</t>
  </si>
  <si>
    <t>20900708</t>
  </si>
  <si>
    <t>20900716</t>
  </si>
  <si>
    <t>Neurology Research International</t>
  </si>
  <si>
    <t>20901852</t>
  </si>
  <si>
    <t>20901860</t>
  </si>
  <si>
    <t>Interventional Medicine and Applied Science</t>
  </si>
  <si>
    <t>20611617</t>
  </si>
  <si>
    <t>20615094</t>
  </si>
  <si>
    <t>Archives of Plastic Surgery</t>
  </si>
  <si>
    <t>22346163</t>
  </si>
  <si>
    <t>22346171</t>
  </si>
  <si>
    <t>Korean Society of Plastic and Reconstructive Surgeons</t>
  </si>
  <si>
    <t>Diabetes and Metabolism Journal</t>
  </si>
  <si>
    <t>22336079</t>
  </si>
  <si>
    <t>22336087</t>
  </si>
  <si>
    <t>Korean Diabetes Association</t>
  </si>
  <si>
    <t>Journal of Oral Microbiology</t>
  </si>
  <si>
    <t>20002297</t>
  </si>
  <si>
    <t>Mental Illness</t>
  </si>
  <si>
    <t>20367457</t>
  </si>
  <si>
    <t>20367465</t>
  </si>
  <si>
    <t>VacciMonitor</t>
  </si>
  <si>
    <t>1025028X</t>
  </si>
  <si>
    <t>10250298</t>
  </si>
  <si>
    <t>Finlay Ediciones</t>
  </si>
  <si>
    <t>Journal of Cardiovascular Ultrasound</t>
  </si>
  <si>
    <t>19754612</t>
  </si>
  <si>
    <t>20059655</t>
  </si>
  <si>
    <t>Korean Society of Echocardiography</t>
  </si>
  <si>
    <t>Medical Journal of Chinese People's Liberation Army</t>
  </si>
  <si>
    <t>05777402</t>
  </si>
  <si>
    <t>People's Military Medical Press</t>
  </si>
  <si>
    <t>e-SPEN Journal</t>
  </si>
  <si>
    <t>22128263</t>
  </si>
  <si>
    <t>Diabetes Mellitus</t>
  </si>
  <si>
    <t>20720351</t>
  </si>
  <si>
    <t>20720378</t>
  </si>
  <si>
    <t>Endocrinology Research Centre</t>
  </si>
  <si>
    <t>Journal of Gastric Cancer</t>
  </si>
  <si>
    <t>2093582X</t>
  </si>
  <si>
    <t>20935641</t>
  </si>
  <si>
    <t>Korean Gastric Cancer Association</t>
  </si>
  <si>
    <t>Radiation Oncology Journal</t>
  </si>
  <si>
    <t>22341900</t>
  </si>
  <si>
    <t>22343164</t>
  </si>
  <si>
    <t>Korean Society for Therapeutic Radiology and Oncology</t>
  </si>
  <si>
    <t>Diagnostic and Interventional Imaging</t>
  </si>
  <si>
    <t>22115706</t>
  </si>
  <si>
    <t>22115714</t>
  </si>
  <si>
    <t>Chinese Journal of Tissue Engineering Research</t>
  </si>
  <si>
    <t>16738225</t>
  </si>
  <si>
    <t>Journal of Clinical Rehabilitative Tissue Engineering Research</t>
  </si>
  <si>
    <t>E-flow PDF Journal of Clinical Rehabilitative Tissue Engineering Research</t>
  </si>
  <si>
    <t>Frontiers in Neurology</t>
  </si>
  <si>
    <t>16642295</t>
  </si>
  <si>
    <t>Frontiers in Pharmacology</t>
  </si>
  <si>
    <t>16639812</t>
  </si>
  <si>
    <t>Frontiers in Physiology</t>
  </si>
  <si>
    <t>1664042X</t>
  </si>
  <si>
    <t>Frontiers in Psychiatry</t>
  </si>
  <si>
    <t>16640640</t>
  </si>
  <si>
    <t>Revista de la Federacion Argentina de Cardiologia</t>
  </si>
  <si>
    <t>0326646X</t>
  </si>
  <si>
    <t>Federacion Argentina de Cardiologia</t>
  </si>
  <si>
    <t>Applied and Translational Genomics</t>
  </si>
  <si>
    <t>22120661</t>
  </si>
  <si>
    <t>Molecular Metabolism</t>
  </si>
  <si>
    <t>22128778</t>
  </si>
  <si>
    <t>Reviews in Vascular Medicine</t>
  </si>
  <si>
    <t>22120211</t>
  </si>
  <si>
    <t>Value in Health Regional Issues</t>
  </si>
  <si>
    <t>22121099</t>
  </si>
  <si>
    <t>African Journal of Urology</t>
  </si>
  <si>
    <t>11105704</t>
  </si>
  <si>
    <t>Pan African Urological Surgeons Association(PAUSA)</t>
  </si>
  <si>
    <t>GHA</t>
  </si>
  <si>
    <t>Journal of Sport and Health Science</t>
  </si>
  <si>
    <t>20952546</t>
  </si>
  <si>
    <t>World Journal of Acupuncture - Moxibustion</t>
  </si>
  <si>
    <t>10035257</t>
  </si>
  <si>
    <t>Personalized Medicine Universe</t>
  </si>
  <si>
    <t>21864950</t>
  </si>
  <si>
    <t>Environmental Sciences: Processes and Impacts</t>
  </si>
  <si>
    <t>20507887</t>
  </si>
  <si>
    <t>20507895</t>
  </si>
  <si>
    <t>ACS Synthetic Biology</t>
  </si>
  <si>
    <t>21615063</t>
  </si>
  <si>
    <t>Current Angiogenesis</t>
  </si>
  <si>
    <t>22115528</t>
  </si>
  <si>
    <t>22115536</t>
  </si>
  <si>
    <t>Current Biotechnology</t>
  </si>
  <si>
    <t>22115501</t>
  </si>
  <si>
    <t>2211551X</t>
  </si>
  <si>
    <t>Current Psychopharmacology</t>
  </si>
  <si>
    <t>22115560</t>
  </si>
  <si>
    <t>22115579</t>
  </si>
  <si>
    <t>Drug Delivery Letters</t>
  </si>
  <si>
    <t>22103031</t>
  </si>
  <si>
    <t>2210304X</t>
  </si>
  <si>
    <t>Natural Products Journal</t>
  </si>
  <si>
    <t>22103155</t>
  </si>
  <si>
    <t>22103163</t>
  </si>
  <si>
    <t>Breast Cancer Management</t>
  </si>
  <si>
    <t>17581923</t>
  </si>
  <si>
    <t>17581931</t>
  </si>
  <si>
    <t>Colorectal Cancer</t>
  </si>
  <si>
    <t>1758194X</t>
  </si>
  <si>
    <t>17581958</t>
  </si>
  <si>
    <t>Lung Cancer Management</t>
  </si>
  <si>
    <t>17581966</t>
  </si>
  <si>
    <t>Pharmaceutical Patent Analyst</t>
  </si>
  <si>
    <t>20468954</t>
  </si>
  <si>
    <t>20468962</t>
  </si>
  <si>
    <t>Clinical Liver Disease</t>
  </si>
  <si>
    <t>20462484</t>
  </si>
  <si>
    <t>Neurology: Clinical Practice</t>
  </si>
  <si>
    <t>21630402</t>
  </si>
  <si>
    <t>21630933</t>
  </si>
  <si>
    <t>BioResearch Open Access</t>
  </si>
  <si>
    <t>21647860</t>
  </si>
  <si>
    <t>Clinical Cancer Investigation Journal</t>
  </si>
  <si>
    <t>22780513</t>
  </si>
  <si>
    <t>Molecular Therapy - Nucleic Acids</t>
  </si>
  <si>
    <t>21622531</t>
  </si>
  <si>
    <t>Oncogenesis</t>
  </si>
  <si>
    <t>21579024</t>
  </si>
  <si>
    <t>Toxicology Research</t>
  </si>
  <si>
    <t>2045452X</t>
  </si>
  <si>
    <t>20454538</t>
  </si>
  <si>
    <t>Clinical Pharmacology in Drug Development</t>
  </si>
  <si>
    <t>2160763X</t>
  </si>
  <si>
    <t>21607648</t>
  </si>
  <si>
    <t>European Heart Journal: Acute Cardiovascular Care</t>
  </si>
  <si>
    <t>20488726</t>
  </si>
  <si>
    <t>20488734</t>
  </si>
  <si>
    <t>Biologics in Therapy</t>
  </si>
  <si>
    <t>21909164</t>
  </si>
  <si>
    <t>Combination Products in Therapy</t>
  </si>
  <si>
    <t>21909180</t>
  </si>
  <si>
    <t>CEN Case Reports</t>
  </si>
  <si>
    <t>21924449</t>
  </si>
  <si>
    <t>International Cancer Conference Journal</t>
  </si>
  <si>
    <t>21923183</t>
  </si>
  <si>
    <t>Journal of Pharmaceutical Investigation</t>
  </si>
  <si>
    <t>20935552</t>
  </si>
  <si>
    <t>20936214</t>
  </si>
  <si>
    <t>Journal of Radiation Oncology</t>
  </si>
  <si>
    <t>19487894</t>
  </si>
  <si>
    <t>19487908</t>
  </si>
  <si>
    <t>Clinical and Translational Medicine</t>
  </si>
  <si>
    <t>20011326</t>
  </si>
  <si>
    <t>Translational Neurodegeneration</t>
  </si>
  <si>
    <t>20479158</t>
  </si>
  <si>
    <t>Antimicrobial Resistance and Infection Control</t>
  </si>
  <si>
    <t>20472994</t>
  </si>
  <si>
    <t>Experimental Hematology and Oncology</t>
  </si>
  <si>
    <t>21623619</t>
  </si>
  <si>
    <t>Current Dermatology Reports</t>
  </si>
  <si>
    <t>21624933</t>
  </si>
  <si>
    <t>Current Obesity Reports</t>
  </si>
  <si>
    <t>21624968</t>
  </si>
  <si>
    <t>Current Obstetrics and Gynecology Reports</t>
  </si>
  <si>
    <t>21613303</t>
  </si>
  <si>
    <t>Current Respiratory Care Reports</t>
  </si>
  <si>
    <t>2161332X</t>
  </si>
  <si>
    <t>Current Translational Geriatrics and Gerontology Reports</t>
  </si>
  <si>
    <t>21624941</t>
  </si>
  <si>
    <t>Advanced Healthcare Materials</t>
  </si>
  <si>
    <t>21922640</t>
  </si>
  <si>
    <t>21922659</t>
  </si>
  <si>
    <t>Adipocyte</t>
  </si>
  <si>
    <t>21623945</t>
  </si>
  <si>
    <t>2162397X</t>
  </si>
  <si>
    <t>OncoImmunology</t>
  </si>
  <si>
    <t>21624011</t>
  </si>
  <si>
    <t>2162402X</t>
  </si>
  <si>
    <t>Global Advances In Health and Medicine</t>
  </si>
  <si>
    <t>2164957X</t>
  </si>
  <si>
    <t>21649561</t>
  </si>
  <si>
    <t>GAHM LLC</t>
  </si>
  <si>
    <t>Nitte University Journal of Health Science</t>
  </si>
  <si>
    <t>22497110</t>
  </si>
  <si>
    <t>Nitte University</t>
  </si>
  <si>
    <t>E-Flow PDF Nitte University</t>
  </si>
  <si>
    <t>NeuroImage: Clinical</t>
  </si>
  <si>
    <t>22131582</t>
  </si>
  <si>
    <t>F1000Research</t>
  </si>
  <si>
    <t>20461402</t>
  </si>
  <si>
    <t>Faculty of 1000 Ltd</t>
  </si>
  <si>
    <t>International Cardiovascular Research Journal</t>
  </si>
  <si>
    <t>22519130</t>
  </si>
  <si>
    <t>22519149</t>
  </si>
  <si>
    <t>Iranian Cardiovascular Research Journal</t>
  </si>
  <si>
    <t>Journal of Medical Hypotheses and Ideas</t>
  </si>
  <si>
    <t>22517294</t>
  </si>
  <si>
    <t>Clinical Ovarian and other Gynecologic Cancer</t>
  </si>
  <si>
    <t>22129553</t>
  </si>
  <si>
    <t>Journal Europeen des Urgences et de Reanimation</t>
  </si>
  <si>
    <t>22114238</t>
  </si>
  <si>
    <t>Cellular Oncology</t>
  </si>
  <si>
    <t>22113428</t>
  </si>
  <si>
    <t>22113436</t>
  </si>
  <si>
    <t>The Lancet Respiratory Medicine</t>
  </si>
  <si>
    <t>22132600</t>
  </si>
  <si>
    <t>Cancer Cytopathology</t>
  </si>
  <si>
    <t>19346638</t>
  </si>
  <si>
    <t>Toxicology and Environmental Health Sciences</t>
  </si>
  <si>
    <t>20059752</t>
  </si>
  <si>
    <t>22337784</t>
  </si>
  <si>
    <t>Frontiers in Microbiology</t>
  </si>
  <si>
    <t>1664302X</t>
  </si>
  <si>
    <t>Biophysical Reviews</t>
  </si>
  <si>
    <t>18672450</t>
  </si>
  <si>
    <t>18672469</t>
  </si>
  <si>
    <t>Clinical Research in Cardiology Supplements</t>
  </si>
  <si>
    <t>18610706</t>
  </si>
  <si>
    <t>18610714</t>
  </si>
  <si>
    <t>Current Bladder Dysfunction Reports</t>
  </si>
  <si>
    <t>19317212</t>
  </si>
  <si>
    <t>19317220</t>
  </si>
  <si>
    <t>Current Cardiovascular Imaging Reports</t>
  </si>
  <si>
    <t>19419066</t>
  </si>
  <si>
    <t>19419074</t>
  </si>
  <si>
    <t>Current Cardiovascular Risk Reports</t>
  </si>
  <si>
    <t>19329520</t>
  </si>
  <si>
    <t>19329563</t>
  </si>
  <si>
    <t>European Orthopaedics and Traumatology</t>
  </si>
  <si>
    <t>18674569</t>
  </si>
  <si>
    <t>18674577</t>
  </si>
  <si>
    <t>Journal of Applied Biomaterials and Functional Materials</t>
  </si>
  <si>
    <t>22808000</t>
  </si>
  <si>
    <t>BioMed Research International</t>
  </si>
  <si>
    <t>23146133</t>
  </si>
  <si>
    <t>23146141</t>
  </si>
  <si>
    <t>Journal of Clinical Urology</t>
  </si>
  <si>
    <t>20514158</t>
  </si>
  <si>
    <t>20514166</t>
  </si>
  <si>
    <t>Epilepsy and Behavior Case Reports</t>
  </si>
  <si>
    <t>22133232</t>
  </si>
  <si>
    <t>Epileptology</t>
  </si>
  <si>
    <t>22128220</t>
  </si>
  <si>
    <t>Journal of the American Society of Cytopathology</t>
  </si>
  <si>
    <t>22132945</t>
  </si>
  <si>
    <t>Leukemia Research Reports</t>
  </si>
  <si>
    <t>22130489</t>
  </si>
  <si>
    <t>Trends in Neuroscience and Education</t>
  </si>
  <si>
    <t>22119493</t>
  </si>
  <si>
    <t>Gynecology and Minimally Invasive Therapy</t>
  </si>
  <si>
    <t>22133070</t>
  </si>
  <si>
    <t>Cancer Biology and Medicine</t>
  </si>
  <si>
    <t>20953941</t>
  </si>
  <si>
    <t>Chinese Anticancer Association</t>
  </si>
  <si>
    <t>Sovremennye Tehnologii v Medicine</t>
  </si>
  <si>
    <t>20764243</t>
  </si>
  <si>
    <t>Nizhny Novgorod State Medical Academy</t>
  </si>
  <si>
    <t>Bariatric Surgical Patient Care</t>
  </si>
  <si>
    <t>2168023X</t>
  </si>
  <si>
    <t>21680248</t>
  </si>
  <si>
    <t>Monoclonal Antibodies in Immunodiagnosis and Immunotherapy</t>
  </si>
  <si>
    <t>21679436</t>
  </si>
  <si>
    <t>JAMA Dermatology</t>
  </si>
  <si>
    <t>21686068</t>
  </si>
  <si>
    <t>JAMA Internal Medicine</t>
  </si>
  <si>
    <t>21686106</t>
  </si>
  <si>
    <t>JAMA Neurology</t>
  </si>
  <si>
    <t>21686149</t>
  </si>
  <si>
    <t>JAMA Ophthalmology</t>
  </si>
  <si>
    <t>21686165</t>
  </si>
  <si>
    <t>JAMA Otolaryngology - Head and Neck Surgery</t>
  </si>
  <si>
    <t>21686181</t>
  </si>
  <si>
    <t>JAMA Pediatrics</t>
  </si>
  <si>
    <t>21686203</t>
  </si>
  <si>
    <t>JAMA Psychiatry</t>
  </si>
  <si>
    <t>2168622X</t>
  </si>
  <si>
    <t>JAMA Surgery</t>
  </si>
  <si>
    <t>21686254</t>
  </si>
  <si>
    <t>Journal of Arthropod-Borne Diseases</t>
  </si>
  <si>
    <t>23221984</t>
  </si>
  <si>
    <t>23222271</t>
  </si>
  <si>
    <t>Biomaterials Science</t>
  </si>
  <si>
    <t>20474830</t>
  </si>
  <si>
    <t>20474849</t>
  </si>
  <si>
    <t>Emerging Microbes and Infections</t>
  </si>
  <si>
    <t>22221751</t>
  </si>
  <si>
    <t>Frontiers in Endocrinology</t>
  </si>
  <si>
    <t>16642392</t>
  </si>
  <si>
    <t>Frontiers in Immunology</t>
  </si>
  <si>
    <t>16643224</t>
  </si>
  <si>
    <t>Ethics in Biology, Engineering and Medicine</t>
  </si>
  <si>
    <t>2151805X</t>
  </si>
  <si>
    <t>21518068</t>
  </si>
  <si>
    <t>International Journal of Physiology and Pathophysiology</t>
  </si>
  <si>
    <t>2155014X</t>
  </si>
  <si>
    <t>21550158</t>
  </si>
  <si>
    <t>Neuropathological Diseases</t>
  </si>
  <si>
    <t>21602468</t>
  </si>
  <si>
    <t>21602476</t>
  </si>
  <si>
    <t>MicroRNA</t>
  </si>
  <si>
    <t>22115366</t>
  </si>
  <si>
    <t>22115374</t>
  </si>
  <si>
    <t>Current Molecular Imaging</t>
  </si>
  <si>
    <t>22115552</t>
  </si>
  <si>
    <t>22115544</t>
  </si>
  <si>
    <t>Current Tissue Engineering</t>
  </si>
  <si>
    <t>22115420</t>
  </si>
  <si>
    <t>22115439</t>
  </si>
  <si>
    <t>Biology of Mood and Anxiety Disorders</t>
  </si>
  <si>
    <t>20455380</t>
  </si>
  <si>
    <t>International Journal of Pediatric Endocrinology</t>
  </si>
  <si>
    <t>16879848</t>
  </si>
  <si>
    <t>16879856</t>
  </si>
  <si>
    <t>Microbial Informatics and Experimentation</t>
  </si>
  <si>
    <t>20425783</t>
  </si>
  <si>
    <t>Israel Journal of Health Policy Research</t>
  </si>
  <si>
    <t>20454015</t>
  </si>
  <si>
    <t>Cell Regeneration</t>
  </si>
  <si>
    <t>20459769</t>
  </si>
  <si>
    <t>GigaScience</t>
  </si>
  <si>
    <t>2047217X</t>
  </si>
  <si>
    <t>Cilia</t>
  </si>
  <si>
    <t>20462530</t>
  </si>
  <si>
    <t>Network Modeling and Analysis in Health Informatics and Bioinformatics</t>
  </si>
  <si>
    <t>21926670</t>
  </si>
  <si>
    <t>CNS Oncology</t>
  </si>
  <si>
    <t>20450907</t>
  </si>
  <si>
    <t>20450915</t>
  </si>
  <si>
    <t>Journal of Pediatric Epilepsy</t>
  </si>
  <si>
    <t>2146457X</t>
  </si>
  <si>
    <t>21464588</t>
  </si>
  <si>
    <t>Journal of Pediatric Intensive Care</t>
  </si>
  <si>
    <t>21464618</t>
  </si>
  <si>
    <t>21464626</t>
  </si>
  <si>
    <t>Journal of Huntington's Disease</t>
  </si>
  <si>
    <t>18796397</t>
  </si>
  <si>
    <t>18796400</t>
  </si>
  <si>
    <t>Journal of Pediatric Genetics</t>
  </si>
  <si>
    <t>21464596</t>
  </si>
  <si>
    <t>2146460X</t>
  </si>
  <si>
    <t>Journal of Pediatric Neuroradiology</t>
  </si>
  <si>
    <t>13096680</t>
  </si>
  <si>
    <t>13096745</t>
  </si>
  <si>
    <t>Biomedical Spectroscopy and Imaging</t>
  </si>
  <si>
    <t>22128794</t>
  </si>
  <si>
    <t>22128808</t>
  </si>
  <si>
    <t>Human Gene Therapy Methods</t>
  </si>
  <si>
    <t>19466536</t>
  </si>
  <si>
    <t>19466544</t>
  </si>
  <si>
    <t>Advances in Wound Care</t>
  </si>
  <si>
    <t>21621918</t>
  </si>
  <si>
    <t>21621934</t>
  </si>
  <si>
    <t>Pharmaceutical Methods</t>
  </si>
  <si>
    <t>22294708</t>
  </si>
  <si>
    <t>22294716</t>
  </si>
  <si>
    <t>International Journal of Pharmaceutical Investigation</t>
  </si>
  <si>
    <t>2230973X</t>
  </si>
  <si>
    <t>22309713</t>
  </si>
  <si>
    <t>CPT: Pharmacometrics and Systems Pharmacology</t>
  </si>
  <si>
    <t>21638306</t>
  </si>
  <si>
    <t>Nutrition and Diabetes</t>
  </si>
  <si>
    <t>20444052</t>
  </si>
  <si>
    <t>BoneKEy Reports</t>
  </si>
  <si>
    <t>20476396</t>
  </si>
  <si>
    <t>Geriatric Orthopaedic Surgery and Rehabilitation</t>
  </si>
  <si>
    <t>21514585</t>
  </si>
  <si>
    <t>21514593</t>
  </si>
  <si>
    <t>Cancer Medicine</t>
  </si>
  <si>
    <t>20457634</t>
  </si>
  <si>
    <t>Journal of the American Heart Association</t>
  </si>
  <si>
    <t>20479980</t>
  </si>
  <si>
    <t>American Heart Association Inc.</t>
  </si>
  <si>
    <t>MicrobiologyOpen</t>
  </si>
  <si>
    <t>20458827</t>
  </si>
  <si>
    <t>Wiley Interdisciplinary Reviews: Membrane Transport and Signaling</t>
  </si>
  <si>
    <t>2190460X</t>
  </si>
  <si>
    <t>21904618</t>
  </si>
  <si>
    <t>IIE Transactions on Healthcare Systems Engineering</t>
  </si>
  <si>
    <t>19488300</t>
  </si>
  <si>
    <t>19488319</t>
  </si>
  <si>
    <t>Journal of Traditional Medicines</t>
  </si>
  <si>
    <t>18801447</t>
  </si>
  <si>
    <t>18813747</t>
  </si>
  <si>
    <t>Medical and Pharmaceutical Society for WAKAN-YAKU</t>
  </si>
  <si>
    <t>Journal of Experimental Pharmacology</t>
  </si>
  <si>
    <t>11791454</t>
  </si>
  <si>
    <t>Blood and Lymphatic Cancer: Targets and Therapy</t>
  </si>
  <si>
    <t>11799889</t>
  </si>
  <si>
    <t>Hepatic Medicine: Evidence and Research</t>
  </si>
  <si>
    <t>11791535</t>
  </si>
  <si>
    <t>Adolescent Health, Medicine and Therapeutics</t>
  </si>
  <si>
    <t>1179318X</t>
  </si>
  <si>
    <t>Translational Endocrinology and Metabolism</t>
  </si>
  <si>
    <t>19489536</t>
  </si>
  <si>
    <t>19489544</t>
  </si>
  <si>
    <t>Stem Cells Translational Medicine</t>
  </si>
  <si>
    <t>21576564</t>
  </si>
  <si>
    <t>21576580</t>
  </si>
  <si>
    <t>Journal of Personalized Medicine</t>
  </si>
  <si>
    <t>20754426</t>
  </si>
  <si>
    <t>Metabolites</t>
  </si>
  <si>
    <t>22181989</t>
  </si>
  <si>
    <t>Cells</t>
  </si>
  <si>
    <t>20734409</t>
  </si>
  <si>
    <t>Brain Sciences</t>
  </si>
  <si>
    <t>20763425</t>
  </si>
  <si>
    <t>Biomolecules</t>
  </si>
  <si>
    <t>2218273X</t>
  </si>
  <si>
    <t>Hospital Pediatrics</t>
  </si>
  <si>
    <t>21541663</t>
  </si>
  <si>
    <t>21541671</t>
  </si>
  <si>
    <t>Asimmetria - Journal of Asymmetry</t>
  </si>
  <si>
    <t>19996489</t>
  </si>
  <si>
    <t>Ano Asymmetry</t>
  </si>
  <si>
    <t>E-flow PDF Ano Asymmetry</t>
  </si>
  <si>
    <t>Aktualni Gynekologie a Porodnictvi</t>
  </si>
  <si>
    <t>18039588</t>
  </si>
  <si>
    <t>Aprofema s.r.o.</t>
  </si>
  <si>
    <t>National Journal of Physiology, Pharmacy and Pharmacology</t>
  </si>
  <si>
    <t>23204672</t>
  </si>
  <si>
    <t>22313206</t>
  </si>
  <si>
    <t>Association of Physiologists, Pharmacists and Pharmacologists</t>
  </si>
  <si>
    <t>Asim, Allerji, Immunoloji</t>
  </si>
  <si>
    <t>13089234</t>
  </si>
  <si>
    <t>Bilimsel Tip Yayinevi</t>
  </si>
  <si>
    <t>Tremor and Other Hyperkinetic Movements</t>
  </si>
  <si>
    <t>21608288</t>
  </si>
  <si>
    <t>Center for Digital Research and Scholarship</t>
  </si>
  <si>
    <t>Diabetes Internacional</t>
  </si>
  <si>
    <t>1856965X</t>
  </si>
  <si>
    <t>Escuela de Medicina Vargas</t>
  </si>
  <si>
    <t>E-flow PDF Escuela de Medicina Vargas</t>
  </si>
  <si>
    <t>Sindrome Cardiometabolico</t>
  </si>
  <si>
    <t>22447261</t>
  </si>
  <si>
    <t>EWHA Medical Journal</t>
  </si>
  <si>
    <t>22343180</t>
  </si>
  <si>
    <t>22342591</t>
  </si>
  <si>
    <t>EWHA Womans University School of Medicine</t>
  </si>
  <si>
    <t>Drug Discoveries and Therapeutics</t>
  </si>
  <si>
    <t>18817831</t>
  </si>
  <si>
    <t>1881784X</t>
  </si>
  <si>
    <t>International Advancement Center for Medicine and Health Research</t>
  </si>
  <si>
    <t>International Advancement Center for Medicine and Health Research Co., Ltd.</t>
  </si>
  <si>
    <t>Intractable and Rare Diseases Research</t>
  </si>
  <si>
    <t>21863644</t>
  </si>
  <si>
    <t>2186361X</t>
  </si>
  <si>
    <t>International Journal of Life Sciences Biotechnology and Pharma Research</t>
  </si>
  <si>
    <t>22503137</t>
  </si>
  <si>
    <t>International Journal of Pharmaceutical and Phytopharmacological Research</t>
  </si>
  <si>
    <t>22501029</t>
  </si>
  <si>
    <t>22496084</t>
  </si>
  <si>
    <t>International Journal of Pharmaceutical Frontier Research</t>
  </si>
  <si>
    <t>22491112</t>
  </si>
  <si>
    <t>Journal of Global Trends in Pharmaceutical Sciences</t>
  </si>
  <si>
    <t>22307346</t>
  </si>
  <si>
    <t>Annamacharya College of Pharmacy</t>
  </si>
  <si>
    <t>Revista de Salud Ambiental</t>
  </si>
  <si>
    <t>15779572</t>
  </si>
  <si>
    <t>16972791</t>
  </si>
  <si>
    <t>Sociedad Espanola de Sanidad Ambiental</t>
  </si>
  <si>
    <t>International Journal of Pharmaceutical Sciences and Research</t>
  </si>
  <si>
    <t>23205148</t>
  </si>
  <si>
    <t>09758232</t>
  </si>
  <si>
    <t>Society of Pharmaceutical Sciences and Research</t>
  </si>
  <si>
    <t>Advanced Pharmaceutical Bulletin</t>
  </si>
  <si>
    <t>22285881</t>
  </si>
  <si>
    <t>22517308</t>
  </si>
  <si>
    <t>Journal of EuroMed Pharmacy</t>
  </si>
  <si>
    <t>10233857</t>
  </si>
  <si>
    <t>F1000Prime Reports</t>
  </si>
  <si>
    <t>20517599</t>
  </si>
  <si>
    <t>Hearing, Balance and Communication</t>
  </si>
  <si>
    <t>21695717</t>
  </si>
  <si>
    <t>21695725</t>
  </si>
  <si>
    <t>Pathogens and Disease</t>
  </si>
  <si>
    <t>2049632X</t>
  </si>
  <si>
    <t>Current Issues in Pharmacy and Medical Sciences</t>
  </si>
  <si>
    <t>2084980X</t>
  </si>
  <si>
    <t>Medical University of Lublin</t>
  </si>
  <si>
    <t>Annals of the American Thoracic Society</t>
  </si>
  <si>
    <t>23256621</t>
  </si>
  <si>
    <t>The Lancet Diabetes and Endocrinology</t>
  </si>
  <si>
    <t>22138587</t>
  </si>
  <si>
    <t>Open Pathology Journal</t>
  </si>
  <si>
    <t>18743757</t>
  </si>
  <si>
    <t>ISRN Dermatology</t>
  </si>
  <si>
    <t>20904592</t>
  </si>
  <si>
    <t>20904606</t>
  </si>
  <si>
    <t>ISRN Endocrinology</t>
  </si>
  <si>
    <t>20904630</t>
  </si>
  <si>
    <t>20904649</t>
  </si>
  <si>
    <t>ISRN Urology</t>
  </si>
  <si>
    <t>20905807</t>
  </si>
  <si>
    <t>20905815</t>
  </si>
  <si>
    <t>ISRN Dentistry</t>
  </si>
  <si>
    <t>20904371</t>
  </si>
  <si>
    <t>2090438X</t>
  </si>
  <si>
    <t>ISRN Neurology</t>
  </si>
  <si>
    <t>20905505</t>
  </si>
  <si>
    <t>20905513</t>
  </si>
  <si>
    <t>ISRN Pediatrics</t>
  </si>
  <si>
    <t>2090469X</t>
  </si>
  <si>
    <t>20904703</t>
  </si>
  <si>
    <t>ISRN Cardiology</t>
  </si>
  <si>
    <t>20905580</t>
  </si>
  <si>
    <t>20905599</t>
  </si>
  <si>
    <t>ISRN Oncology</t>
  </si>
  <si>
    <t>2090567X</t>
  </si>
  <si>
    <t>Journal of Signal Transduction</t>
  </si>
  <si>
    <t>20901739</t>
  </si>
  <si>
    <t>20901747</t>
  </si>
  <si>
    <t>Rehabilitation Research and Practice</t>
  </si>
  <si>
    <t>20902867</t>
  </si>
  <si>
    <t>20902875</t>
  </si>
  <si>
    <t>Cardiovascular Endocrinology</t>
  </si>
  <si>
    <t>2162688X</t>
  </si>
  <si>
    <t>Evolution, Medicine and Public Health</t>
  </si>
  <si>
    <t>20506201</t>
  </si>
  <si>
    <t>Journal of Nutritional Science</t>
  </si>
  <si>
    <t>20486790</t>
  </si>
  <si>
    <t>Current Nutrition Reports</t>
  </si>
  <si>
    <t>21613311</t>
  </si>
  <si>
    <t>Public Health Action</t>
  </si>
  <si>
    <t>22208372</t>
  </si>
  <si>
    <t>International Union Against Tuberculosis and Lung Disease (The Union)</t>
  </si>
  <si>
    <t>International Union Against Tuberculosis and Lung Disease</t>
  </si>
  <si>
    <t>European Association of NeuroOncology Magazine</t>
  </si>
  <si>
    <t>22243453</t>
  </si>
  <si>
    <t>Interdisziplinare Onkologie</t>
  </si>
  <si>
    <t>22265546</t>
  </si>
  <si>
    <t>Tumorboard</t>
  </si>
  <si>
    <t>22204083</t>
  </si>
  <si>
    <t>BioMatter</t>
  </si>
  <si>
    <t>21592527</t>
  </si>
  <si>
    <t>21592535</t>
  </si>
  <si>
    <t>JAK-STAT</t>
  </si>
  <si>
    <t>21623988</t>
  </si>
  <si>
    <t>21623996</t>
  </si>
  <si>
    <t>African Journal of Laboratory Medicine</t>
  </si>
  <si>
    <t>22252002</t>
  </si>
  <si>
    <t>22252010</t>
  </si>
  <si>
    <t>AOSIS OpenJournals Publishing AOSIS (Pty) Ltd</t>
  </si>
  <si>
    <t>Journal of Extracellular Vesicles</t>
  </si>
  <si>
    <t>20013078</t>
  </si>
  <si>
    <t>Infection Ecology and Epidemiology</t>
  </si>
  <si>
    <t>20008686</t>
  </si>
  <si>
    <t>Chest Disease Reports</t>
  </si>
  <si>
    <t>20394764</t>
  </si>
  <si>
    <t>20394772</t>
  </si>
  <si>
    <t>Clinics and Practice</t>
  </si>
  <si>
    <t>20397275</t>
  </si>
  <si>
    <t>20397283</t>
  </si>
  <si>
    <t>Endocrinology Studies</t>
  </si>
  <si>
    <t>20389515</t>
  </si>
  <si>
    <t>20389523</t>
  </si>
  <si>
    <t>Nephrology Reviews</t>
  </si>
  <si>
    <t>20358261</t>
  </si>
  <si>
    <t>2035813X</t>
  </si>
  <si>
    <t>Ageing Research</t>
  </si>
  <si>
    <t>20367384</t>
  </si>
  <si>
    <t>20367376</t>
  </si>
  <si>
    <t>Alternative Medicine Studies</t>
  </si>
  <si>
    <t>20389477</t>
  </si>
  <si>
    <t>20389485</t>
  </si>
  <si>
    <t>Audiology Research</t>
  </si>
  <si>
    <t>20394330</t>
  </si>
  <si>
    <t>20394349</t>
  </si>
  <si>
    <t>Eye Reports</t>
  </si>
  <si>
    <t>20394748</t>
  </si>
  <si>
    <t>20394756</t>
  </si>
  <si>
    <t>Journal of Public Health in Africa</t>
  </si>
  <si>
    <t>20389922</t>
  </si>
  <si>
    <t>20389930</t>
  </si>
  <si>
    <t>Journal of Public Health Research</t>
  </si>
  <si>
    <t>22799028</t>
  </si>
  <si>
    <t>22799036</t>
  </si>
  <si>
    <t>Microbiology Research</t>
  </si>
  <si>
    <t>20367473</t>
  </si>
  <si>
    <t>20367481</t>
  </si>
  <si>
    <t>Orthopedic Reviews</t>
  </si>
  <si>
    <t>20358237</t>
  </si>
  <si>
    <t>20358164</t>
  </si>
  <si>
    <t>Stem Cell Studies</t>
  </si>
  <si>
    <t>20389558</t>
  </si>
  <si>
    <t>20389566</t>
  </si>
  <si>
    <t>Surgical Techniques Development</t>
  </si>
  <si>
    <t>20389574</t>
  </si>
  <si>
    <t>20389582</t>
  </si>
  <si>
    <t>Urogynaecologia</t>
  </si>
  <si>
    <t>11213086</t>
  </si>
  <si>
    <t>20388314</t>
  </si>
  <si>
    <t>Drugs and Therapy Studies</t>
  </si>
  <si>
    <t>20389493</t>
  </si>
  <si>
    <t>20389507</t>
  </si>
  <si>
    <t>Journal of Xenobiotics</t>
  </si>
  <si>
    <t>20394705</t>
  </si>
  <si>
    <t>Cardiogenetics</t>
  </si>
  <si>
    <t>20358253</t>
  </si>
  <si>
    <t>20358148</t>
  </si>
  <si>
    <t>Thalassemia Reports</t>
  </si>
  <si>
    <t>20394365</t>
  </si>
  <si>
    <t>Journal of Paediatric Respirology and Critical Care</t>
  </si>
  <si>
    <t>18144527</t>
  </si>
  <si>
    <t>Revista Colombiana de Reumatologia</t>
  </si>
  <si>
    <t>01218123</t>
  </si>
  <si>
    <t>20279000</t>
  </si>
  <si>
    <t>Asociacion Colombiana de Reumatologia</t>
  </si>
  <si>
    <t>Konuralp Tip Dergisi</t>
  </si>
  <si>
    <t>13093878</t>
  </si>
  <si>
    <t>Anti-Tumor Pharmacy</t>
  </si>
  <si>
    <t>20951264</t>
  </si>
  <si>
    <t>Editorial Department of Anti-tumor Pharmacy</t>
  </si>
  <si>
    <t>Kardiovaskulare Medizin</t>
  </si>
  <si>
    <t>14235528</t>
  </si>
  <si>
    <t>1662629X</t>
  </si>
  <si>
    <t>Journal of Experimental and Integrative Medicine</t>
  </si>
  <si>
    <t>13094572</t>
  </si>
  <si>
    <t>21463298</t>
  </si>
  <si>
    <t>Gesdav</t>
  </si>
  <si>
    <t>Journal of IMAB - Annual Proceeding (Scientific Papers)</t>
  </si>
  <si>
    <t>1312773X</t>
  </si>
  <si>
    <t>Medical University - Varna</t>
  </si>
  <si>
    <t>International Journal of Pharmaceutical Research and Allied Sciences</t>
  </si>
  <si>
    <t>22773657</t>
  </si>
  <si>
    <t>Respiratory Case Reports</t>
  </si>
  <si>
    <t>21472475</t>
  </si>
  <si>
    <t>LookUs Scientific</t>
  </si>
  <si>
    <t>Journal of the Malta College of Pharmacy Practice</t>
  </si>
  <si>
    <t>18119514</t>
  </si>
  <si>
    <t>Malta College of Pharmacy Practice</t>
  </si>
  <si>
    <t>Medical Journal of Mashhad University of Medical Sciences</t>
  </si>
  <si>
    <t>17354013</t>
  </si>
  <si>
    <t>20082673</t>
  </si>
  <si>
    <t>Iranian Journal of Neonatology</t>
  </si>
  <si>
    <t>22517510</t>
  </si>
  <si>
    <t>23222158</t>
  </si>
  <si>
    <t>Avicenna Journal of Phytomedicine</t>
  </si>
  <si>
    <t>22287930</t>
  </si>
  <si>
    <t>22287949</t>
  </si>
  <si>
    <t>Southern African Journal of Epidemiology and Infection</t>
  </si>
  <si>
    <t>10158782</t>
  </si>
  <si>
    <t>22201084</t>
  </si>
  <si>
    <t>Journal of Experimental and Clinical Medicine (Turkey)</t>
  </si>
  <si>
    <t>13094483</t>
  </si>
  <si>
    <t>Ondokuz Mayis Universitesi</t>
  </si>
  <si>
    <t>International Journal of Medicinal and Aromatic Plants</t>
  </si>
  <si>
    <t>22494340</t>
  </si>
  <si>
    <t>Open Access Science Research Publisher</t>
  </si>
  <si>
    <t>Pharmanest</t>
  </si>
  <si>
    <t>09763090</t>
  </si>
  <si>
    <t>22310541</t>
  </si>
  <si>
    <t>Pharmaceutical Education and Research Society</t>
  </si>
  <si>
    <t>Pharmacie Globale</t>
  </si>
  <si>
    <t>09768157</t>
  </si>
  <si>
    <t>International Journal of Pharma Medicine and Biological Sciences</t>
  </si>
  <si>
    <t>22785221</t>
  </si>
  <si>
    <t>International Journal of Pharma Medicine and Biological Science</t>
  </si>
  <si>
    <t>Journal of Solid Tumors</t>
  </si>
  <si>
    <t>19254067</t>
  </si>
  <si>
    <t>19254075</t>
  </si>
  <si>
    <t>Sciedu Press</t>
  </si>
  <si>
    <t>Middle East Journal of Cancer</t>
  </si>
  <si>
    <t>20086709</t>
  </si>
  <si>
    <t>20086687</t>
  </si>
  <si>
    <t>Endoscopic Ultrasound</t>
  </si>
  <si>
    <t>22267190</t>
  </si>
  <si>
    <t>Spring Media</t>
  </si>
  <si>
    <t>BioImpacts</t>
  </si>
  <si>
    <t>22285652</t>
  </si>
  <si>
    <t>22285660</t>
  </si>
  <si>
    <t>Journal of the American College of Clinical Wound Specialists</t>
  </si>
  <si>
    <t>22135103</t>
  </si>
  <si>
    <t>Frontiers in Genetics</t>
  </si>
  <si>
    <t>16648021</t>
  </si>
  <si>
    <t>Journal of Medical Imaging and Health Informatics</t>
  </si>
  <si>
    <t>21567018</t>
  </si>
  <si>
    <t>21567026</t>
  </si>
  <si>
    <t>Acupuncture and Related Therapies</t>
  </si>
  <si>
    <t>22117660</t>
  </si>
  <si>
    <t>Chinese Herbal Medicines</t>
  </si>
  <si>
    <t>16746384</t>
  </si>
  <si>
    <t>Clinical Epidemiology and Global Health</t>
  </si>
  <si>
    <t>22133984</t>
  </si>
  <si>
    <t>Clinical Plasma Medicine</t>
  </si>
  <si>
    <t>22128166</t>
  </si>
  <si>
    <t>Egyptian Journal of Chest Diseases and Tuberculosis</t>
  </si>
  <si>
    <t>04227638</t>
  </si>
  <si>
    <t>Egyptian Society Of Chest Diseases And Tuberculosis</t>
  </si>
  <si>
    <t>Gastrointestinal Intervention</t>
  </si>
  <si>
    <t>22131795</t>
  </si>
  <si>
    <t>Geriatric Mental Health Care</t>
  </si>
  <si>
    <t>22129693</t>
  </si>
  <si>
    <t>Integrative Medicine Research</t>
  </si>
  <si>
    <t>22134220</t>
  </si>
  <si>
    <t>Korea Institute of Oriental Medicine</t>
  </si>
  <si>
    <t>JACC: Heart Failure</t>
  </si>
  <si>
    <t>22131779</t>
  </si>
  <si>
    <t>Journal of Forensic Radiology and Imaging</t>
  </si>
  <si>
    <t>22124780</t>
  </si>
  <si>
    <t>Journal of Pharmacy Research</t>
  </si>
  <si>
    <t>00974694</t>
  </si>
  <si>
    <t>Journal of Vascular Surgery: Venous and Lymphatic Disorders</t>
  </si>
  <si>
    <t>2213333X</t>
  </si>
  <si>
    <t>22133348</t>
  </si>
  <si>
    <t>PharmaNutrition</t>
  </si>
  <si>
    <t>22134344</t>
  </si>
  <si>
    <t>Redox Biology</t>
  </si>
  <si>
    <t>22132317</t>
  </si>
  <si>
    <t>Egyptian Journal of Critical Care Medicine</t>
  </si>
  <si>
    <t>20907303</t>
  </si>
  <si>
    <t>Egyptian College Of Critical Care Physicians</t>
  </si>
  <si>
    <t>Journal of Allergy and Clinical Immunology: In Practice</t>
  </si>
  <si>
    <t>22132198</t>
  </si>
  <si>
    <t>American Academy of Allergy, Asthma and Immunology</t>
  </si>
  <si>
    <t>Systematic Reviews</t>
  </si>
  <si>
    <t>20464053</t>
  </si>
  <si>
    <t>Journal of Nanomedicine and Nanotechnology</t>
  </si>
  <si>
    <t>21577439</t>
  </si>
  <si>
    <t>Journal of Diabetes Research</t>
  </si>
  <si>
    <t>23146745</t>
  </si>
  <si>
    <t>23146753</t>
  </si>
  <si>
    <t>Annals of Coloproctology</t>
  </si>
  <si>
    <t>22879714</t>
  </si>
  <si>
    <t>22879722</t>
  </si>
  <si>
    <t>Korean Society of Coloproctology</t>
  </si>
  <si>
    <t>International Journal of Genomics</t>
  </si>
  <si>
    <t>2314436X</t>
  </si>
  <si>
    <t>23144378</t>
  </si>
  <si>
    <t>International Journal of Green Nanotechnology</t>
  </si>
  <si>
    <t>19430892</t>
  </si>
  <si>
    <t>Andrology</t>
  </si>
  <si>
    <t>20472919</t>
  </si>
  <si>
    <t>20472927</t>
  </si>
  <si>
    <t>Drug Research</t>
  </si>
  <si>
    <t>21949379</t>
  </si>
  <si>
    <t>Photonics and Lasers in Medicine</t>
  </si>
  <si>
    <t>21930643</t>
  </si>
  <si>
    <t>PeerJ</t>
  </si>
  <si>
    <t>21678359</t>
  </si>
  <si>
    <t>PeerJ Inc.</t>
  </si>
  <si>
    <t>Journal of Spectroscopy</t>
  </si>
  <si>
    <t>23144920</t>
  </si>
  <si>
    <t>23144939</t>
  </si>
  <si>
    <t>Blood Research</t>
  </si>
  <si>
    <t>2287979X</t>
  </si>
  <si>
    <t>22880011</t>
  </si>
  <si>
    <t>Korean Society of Hematology</t>
  </si>
  <si>
    <t>Bone and Joint Journal</t>
  </si>
  <si>
    <t>20494408</t>
  </si>
  <si>
    <t>Therapeutic Innovation and  Regulatory Science</t>
  </si>
  <si>
    <t>21684790</t>
  </si>
  <si>
    <t>21649200</t>
  </si>
  <si>
    <t>Journal of the International Association of Providers of AIDS Care</t>
  </si>
  <si>
    <t>23259574</t>
  </si>
  <si>
    <t>23259582</t>
  </si>
  <si>
    <t>BMC Pharmacology and Toxicology</t>
  </si>
  <si>
    <t>20506511</t>
  </si>
  <si>
    <t>Central European Neurosurgery</t>
  </si>
  <si>
    <t>18684904</t>
  </si>
  <si>
    <t>18684912</t>
  </si>
  <si>
    <t>Journal of Neurological Surgery, Part A: Central European Neurosurgery</t>
  </si>
  <si>
    <t>21936315</t>
  </si>
  <si>
    <t>21936323</t>
  </si>
  <si>
    <t>Journal of Neurological Surgery, Part B: Skull Base</t>
  </si>
  <si>
    <t>2193634X</t>
  </si>
  <si>
    <t>21936331</t>
  </si>
  <si>
    <t>Acta Vulnologica</t>
  </si>
  <si>
    <t>17212596</t>
  </si>
  <si>
    <t>18271774</t>
  </si>
  <si>
    <t>eLife</t>
  </si>
  <si>
    <t>2050084X</t>
  </si>
  <si>
    <t>eLife Sciences Publications Ltd</t>
  </si>
  <si>
    <t>Cold Spring Harbor Perspectives in Medicine</t>
  </si>
  <si>
    <t>21571422</t>
  </si>
  <si>
    <t>Topics in Antiviral Medicine</t>
  </si>
  <si>
    <t>21615861</t>
  </si>
  <si>
    <t>21615853</t>
  </si>
  <si>
    <t>International Antiviral Society</t>
  </si>
  <si>
    <t>Marmara Pharmaceutical Journal</t>
  </si>
  <si>
    <t>13090801</t>
  </si>
  <si>
    <t>Medizinische Klinik - Intensivmedizin und Notfallmedizin</t>
  </si>
  <si>
    <t>21936218</t>
  </si>
  <si>
    <t>21936226</t>
  </si>
  <si>
    <t>Springer-Verlag</t>
  </si>
  <si>
    <t>Safety and Health at Work</t>
  </si>
  <si>
    <t>20937911</t>
  </si>
  <si>
    <t>20937997</t>
  </si>
  <si>
    <t>Elsevier Korea</t>
  </si>
  <si>
    <t>Sleep Science</t>
  </si>
  <si>
    <t>19840659</t>
  </si>
  <si>
    <t>19840063</t>
  </si>
  <si>
    <t>FLASS</t>
  </si>
  <si>
    <t>Journal of Forensic Practice</t>
  </si>
  <si>
    <t>20508794</t>
  </si>
  <si>
    <t>Bioactive Carbohydrates and Dietary Fibre</t>
  </si>
  <si>
    <t>22126198</t>
  </si>
  <si>
    <t>Cirugia Cardiovascular</t>
  </si>
  <si>
    <t>11340096</t>
  </si>
  <si>
    <t>Sociedad Espanola de Cirugia Toracica Cardiovascular</t>
  </si>
  <si>
    <t>EuPA Open Proteomics</t>
  </si>
  <si>
    <t>22129685</t>
  </si>
  <si>
    <t>Infectio</t>
  </si>
  <si>
    <t>1239392</t>
  </si>
  <si>
    <t>International Journal of Veterinary Science and Medicine</t>
  </si>
  <si>
    <t>23144599</t>
  </si>
  <si>
    <t>Faculty of Veterinary Medicine, Cairo University</t>
  </si>
  <si>
    <t>JCC Open</t>
  </si>
  <si>
    <t>22120149</t>
  </si>
  <si>
    <t>Journal of Acute Disease</t>
  </si>
  <si>
    <t>22216189</t>
  </si>
  <si>
    <t>Journal of Global Antimicrobial Resistance</t>
  </si>
  <si>
    <t>22137165</t>
  </si>
  <si>
    <t>22137173</t>
  </si>
  <si>
    <t>Journal of Pediatric Surgery Case Reports</t>
  </si>
  <si>
    <t>22135766</t>
  </si>
  <si>
    <t>Pediatric Dental Journal</t>
  </si>
  <si>
    <t>09172394</t>
  </si>
  <si>
    <t>Revista Hispanoamericana de Hernia</t>
  </si>
  <si>
    <t>22552677</t>
  </si>
  <si>
    <t>Revista Portuguesa de Endocrinologia, Diabetes e Metabolismo</t>
  </si>
  <si>
    <t>16463439</t>
  </si>
  <si>
    <t>Spine Deformity</t>
  </si>
  <si>
    <t>2212134X</t>
  </si>
  <si>
    <t>Translational Proteomics</t>
  </si>
  <si>
    <t>22129634</t>
  </si>
  <si>
    <t>Wound Medicine</t>
  </si>
  <si>
    <t>22139095</t>
  </si>
  <si>
    <t>Zeszyty Naukowe Wielkopolskiego Centrum Onkologii Letters in Oncology Science</t>
  </si>
  <si>
    <t>17340489</t>
  </si>
  <si>
    <t>International Journal of Chemical and Analytical Science</t>
  </si>
  <si>
    <t>09761209</t>
  </si>
  <si>
    <t>Stem Cell Reports</t>
  </si>
  <si>
    <t>22136711</t>
  </si>
  <si>
    <t>Global Cardiology Science and Practice</t>
  </si>
  <si>
    <t>23057823</t>
  </si>
  <si>
    <t>Bloomsbury Qatar Foundation Journals</t>
  </si>
  <si>
    <t>Review of Allergy and Clinical Immunology</t>
  </si>
  <si>
    <t>22825126</t>
  </si>
  <si>
    <t>Italian Society of Allergy and Clinical Immunology</t>
  </si>
  <si>
    <t>Biomedical Journal</t>
  </si>
  <si>
    <t>23194170</t>
  </si>
  <si>
    <t>Chang Gung Medical Journal</t>
  </si>
  <si>
    <t>Wiley Interdisciplinary Reviews: Developmental Biology</t>
  </si>
  <si>
    <t>17597684</t>
  </si>
  <si>
    <t>17597692</t>
  </si>
  <si>
    <t>JBI Database of Systematic Reviews and Implementation Reports</t>
  </si>
  <si>
    <t>22024433</t>
  </si>
  <si>
    <t>Joanna Briggs Institute</t>
  </si>
  <si>
    <t>Frontiers in Bioscience - Scholar</t>
  </si>
  <si>
    <t>19450516</t>
  </si>
  <si>
    <t>19450524</t>
  </si>
  <si>
    <t>Frontiers in Bioscience</t>
  </si>
  <si>
    <t>Frontiers in Bioscience - Elite</t>
  </si>
  <si>
    <t>19450494</t>
  </si>
  <si>
    <t>19450508</t>
  </si>
  <si>
    <t>Kidney International Supplements</t>
  </si>
  <si>
    <t>21571724</t>
  </si>
  <si>
    <t>21571716</t>
  </si>
  <si>
    <t>CardioRenal Medicine</t>
  </si>
  <si>
    <t>16643828</t>
  </si>
  <si>
    <t>16645502</t>
  </si>
  <si>
    <t>Journal of Biomaterials and Tissue Engineering</t>
  </si>
  <si>
    <t>21579083</t>
  </si>
  <si>
    <t>21579091</t>
  </si>
  <si>
    <t>G3: Genes, Genomes, Genetics</t>
  </si>
  <si>
    <t>21601836</t>
  </si>
  <si>
    <t>Discovery Medicine</t>
  </si>
  <si>
    <t>15396509</t>
  </si>
  <si>
    <t>19447930</t>
  </si>
  <si>
    <t>Biomarkers and Genomic Medicine</t>
  </si>
  <si>
    <t>22140247</t>
  </si>
  <si>
    <t>Australasian Journal of Paramedicine</t>
  </si>
  <si>
    <t>22027270</t>
  </si>
  <si>
    <t>Paramedics Australasia</t>
  </si>
  <si>
    <t>Anaesthesiology Intensive Therapy</t>
  </si>
  <si>
    <t>16425758</t>
  </si>
  <si>
    <t>17312531</t>
  </si>
  <si>
    <t>Diabetologia Kliniczna</t>
  </si>
  <si>
    <t>20844441</t>
  </si>
  <si>
    <t>22992529</t>
  </si>
  <si>
    <t>Advances in Integrative Medicine</t>
  </si>
  <si>
    <t>22129626</t>
  </si>
  <si>
    <t>Elsevier Australia</t>
  </si>
  <si>
    <t>Cancer Treatment Communications</t>
  </si>
  <si>
    <t>22130896</t>
  </si>
  <si>
    <t>Egyptian Pediatric Association Gazette</t>
  </si>
  <si>
    <t>11106638</t>
  </si>
  <si>
    <t>20909942</t>
  </si>
  <si>
    <t>Egyptian Pediatric Association</t>
  </si>
  <si>
    <t>Healthcare</t>
  </si>
  <si>
    <t>22130764</t>
  </si>
  <si>
    <t>22130772</t>
  </si>
  <si>
    <t>Journal of Cancer Policy</t>
  </si>
  <si>
    <t>22135383</t>
  </si>
  <si>
    <t>Journal of Patient Safety and Infection Control</t>
  </si>
  <si>
    <t>2214207X</t>
  </si>
  <si>
    <t>The Lancet Global Health</t>
  </si>
  <si>
    <t>2214109X</t>
  </si>
  <si>
    <t>Revue d'Oncologie Hematologie Pediatrique</t>
  </si>
  <si>
    <t>22134670</t>
  </si>
  <si>
    <t>22134689</t>
  </si>
  <si>
    <t>Video Journal and Encyclopedia of GI Endoscopy</t>
  </si>
  <si>
    <t>22120971</t>
  </si>
  <si>
    <t>Pharmaceutical Nanotechnology</t>
  </si>
  <si>
    <t>22117385</t>
  </si>
  <si>
    <t>22117393</t>
  </si>
  <si>
    <t>Biomarker Research</t>
  </si>
  <si>
    <t>20507771</t>
  </si>
  <si>
    <t>Transplantation Research</t>
  </si>
  <si>
    <t>20471440</t>
  </si>
  <si>
    <t>Journal of Molecular Psychiatry</t>
  </si>
  <si>
    <t>20499256</t>
  </si>
  <si>
    <t>Health Information Science and Systems</t>
  </si>
  <si>
    <t>20472501</t>
  </si>
  <si>
    <t>International Journal of Hematologic Oncology</t>
  </si>
  <si>
    <t>20451393</t>
  </si>
  <si>
    <t>20451407</t>
  </si>
  <si>
    <t>Case Reports in Immunology</t>
  </si>
  <si>
    <t>20906609</t>
  </si>
  <si>
    <t>20906617</t>
  </si>
  <si>
    <t>Case Reports in Cardiology</t>
  </si>
  <si>
    <t>20906404</t>
  </si>
  <si>
    <t>20906412</t>
  </si>
  <si>
    <t>Case Reports in Oncological Medicine</t>
  </si>
  <si>
    <t>20906706</t>
  </si>
  <si>
    <t>20906714</t>
  </si>
  <si>
    <t>Case Reports in Endocrinology</t>
  </si>
  <si>
    <t>20906501</t>
  </si>
  <si>
    <t>2090651X</t>
  </si>
  <si>
    <t>International Journal of Molecular Imaging</t>
  </si>
  <si>
    <t>20901712</t>
  </si>
  <si>
    <t>20901720</t>
  </si>
  <si>
    <t>International Journal of Biomedical Nanoscience and Nanotechnology</t>
  </si>
  <si>
    <t>17560799</t>
  </si>
  <si>
    <t>17560802</t>
  </si>
  <si>
    <t>Inderscience Publishers</t>
  </si>
  <si>
    <t>Antibiotics</t>
  </si>
  <si>
    <t>Antibodies</t>
  </si>
  <si>
    <t>Journal of Clinical Neonatology</t>
  </si>
  <si>
    <t>22494847</t>
  </si>
  <si>
    <t>South Asian Journal of Cancer</t>
  </si>
  <si>
    <t>2278330X</t>
  </si>
  <si>
    <t>22784306</t>
  </si>
  <si>
    <t>Journal of Clinical Imaging Science</t>
  </si>
  <si>
    <t>21565597</t>
  </si>
  <si>
    <t>Journal of Digestive Endoscopy</t>
  </si>
  <si>
    <t>09765042</t>
  </si>
  <si>
    <t>09765050</t>
  </si>
  <si>
    <t>Journal of Research in Pharmacy Practice</t>
  </si>
  <si>
    <t>23199644</t>
  </si>
  <si>
    <t>2279042X</t>
  </si>
  <si>
    <t>Journal of Basic and Clinical Pharmacy</t>
  </si>
  <si>
    <t>09760105</t>
  </si>
  <si>
    <t>09760113</t>
  </si>
  <si>
    <t>Journal of the Pediatric Infectious Diseases Society</t>
  </si>
  <si>
    <t>20487193</t>
  </si>
  <si>
    <t>20487207</t>
  </si>
  <si>
    <t>Fatigue: Biomedicine, Health and Behavior</t>
  </si>
  <si>
    <t>21641846</t>
  </si>
  <si>
    <t>21641862</t>
  </si>
  <si>
    <t>Cardiology and Therapy</t>
  </si>
  <si>
    <t>21938261</t>
  </si>
  <si>
    <t>21936544</t>
  </si>
  <si>
    <t>Clinical and Translational Imaging</t>
  </si>
  <si>
    <t>22815872</t>
  </si>
  <si>
    <t>22817565</t>
  </si>
  <si>
    <t>Springer Series in Biomaterials Science and Engineering</t>
  </si>
  <si>
    <t>21950644</t>
  </si>
  <si>
    <t>21950652</t>
  </si>
  <si>
    <t>In Silico Pharmacology</t>
  </si>
  <si>
    <t>21939616</t>
  </si>
  <si>
    <t>Translational Respiratory Medicine</t>
  </si>
  <si>
    <t>22130802</t>
  </si>
  <si>
    <t>Computer Methods in Biomechanics and Biomedical Engineering: Imaging and Visualization</t>
  </si>
  <si>
    <t>21681163</t>
  </si>
  <si>
    <t>21681171</t>
  </si>
  <si>
    <t>Neurology and Clinical Neuroscience</t>
  </si>
  <si>
    <t>20494173</t>
  </si>
  <si>
    <t>Nano LIFE</t>
  </si>
  <si>
    <t>17939844</t>
  </si>
  <si>
    <t>17939852</t>
  </si>
  <si>
    <t>Journal of Blood Medicine</t>
  </si>
  <si>
    <t>11792736</t>
  </si>
  <si>
    <t>Esperienze Dermatologiche</t>
  </si>
  <si>
    <t>11289155</t>
  </si>
  <si>
    <t>Frontiers in Cellular and Infection Microbiology</t>
  </si>
  <si>
    <t>22352988</t>
  </si>
  <si>
    <t>Frontiers in Oncology</t>
  </si>
  <si>
    <t>2234943X</t>
  </si>
  <si>
    <t>Journal of Genomics</t>
  </si>
  <si>
    <t>18399940</t>
  </si>
  <si>
    <t>Molecular and Clinical Oncology</t>
  </si>
  <si>
    <t>20499450</t>
  </si>
  <si>
    <t>20499469</t>
  </si>
  <si>
    <t>Biomedical Reports</t>
  </si>
  <si>
    <t>20499434</t>
  </si>
  <si>
    <t>20499442</t>
  </si>
  <si>
    <t>Iranian Journal of Neurology</t>
  </si>
  <si>
    <t>2008384X</t>
  </si>
  <si>
    <t>22520058</t>
  </si>
  <si>
    <t>Proceedings of Singapore Healthcare</t>
  </si>
  <si>
    <t>SGH-PGMI Press</t>
  </si>
  <si>
    <t>Gineco.eu</t>
  </si>
  <si>
    <t>23442379</t>
  </si>
  <si>
    <t>Versa Puls media Network</t>
  </si>
  <si>
    <t>E-Flow PDF Versa Puls media Network</t>
  </si>
  <si>
    <t>Journal of Pioneering Medical Sciences</t>
  </si>
  <si>
    <t>23097981</t>
  </si>
  <si>
    <t>Dow University of Health Sciences</t>
  </si>
  <si>
    <t>GERMS</t>
  </si>
  <si>
    <t>22482997</t>
  </si>
  <si>
    <t>European Academy of HIV/AIDS and Infectious Diseases</t>
  </si>
  <si>
    <t>Journal of Tissue Engineering</t>
  </si>
  <si>
    <t>20417314</t>
  </si>
  <si>
    <t>Current Metabolomics</t>
  </si>
  <si>
    <t>2213235X</t>
  </si>
  <si>
    <t>22132368</t>
  </si>
  <si>
    <t>Cancer and Metabolism</t>
  </si>
  <si>
    <t>20493002</t>
  </si>
  <si>
    <t>Extreme Physiology and Medicine</t>
  </si>
  <si>
    <t>20467648</t>
  </si>
  <si>
    <t>Journal of Eating Disorders</t>
  </si>
  <si>
    <t>20502974</t>
  </si>
  <si>
    <t>Microbiome</t>
  </si>
  <si>
    <t>20492618</t>
  </si>
  <si>
    <t>Perioperative Medicine</t>
  </si>
  <si>
    <t>20470525</t>
  </si>
  <si>
    <t>Infectious Diseases of Poverty</t>
  </si>
  <si>
    <t>20499957</t>
  </si>
  <si>
    <t>Longevity and Healthspan</t>
  </si>
  <si>
    <t>20462395</t>
  </si>
  <si>
    <t>Advances in Predictive, Preventive and Personalised Medicine</t>
  </si>
  <si>
    <t>22113495</t>
  </si>
  <si>
    <t>22113509</t>
  </si>
  <si>
    <t>Hormone Molecular Biology and Clinical Investigation</t>
  </si>
  <si>
    <t>18681883</t>
  </si>
  <si>
    <t>18681891</t>
  </si>
  <si>
    <t>Journal of Medical Radiation Sciences</t>
  </si>
  <si>
    <t>20513909</t>
  </si>
  <si>
    <t>Translational Vision Science and Technology</t>
  </si>
  <si>
    <t>21642591</t>
  </si>
  <si>
    <t>Open Access Bioinformatics</t>
  </si>
  <si>
    <t>11792701</t>
  </si>
  <si>
    <t>Rare Diseases</t>
  </si>
  <si>
    <t>2167549X</t>
  </si>
  <si>
    <t>21675511</t>
  </si>
  <si>
    <t>Tissue Barriers</t>
  </si>
  <si>
    <t>21688362</t>
  </si>
  <si>
    <t>21688370</t>
  </si>
  <si>
    <t>Translation</t>
  </si>
  <si>
    <t>2169074X</t>
  </si>
  <si>
    <t>21690731</t>
  </si>
  <si>
    <t>Journal of Family and Reproductive Health</t>
  </si>
  <si>
    <t>17358949</t>
  </si>
  <si>
    <t>17359392</t>
  </si>
  <si>
    <t>Cell Biology International Reports ABC</t>
  </si>
  <si>
    <t>20415346</t>
  </si>
  <si>
    <t>Journal of Wrist Surgery</t>
  </si>
  <si>
    <t>21633916</t>
  </si>
  <si>
    <t>21633924</t>
  </si>
  <si>
    <t>JBI Library of Systematic Reviews</t>
  </si>
  <si>
    <t>18382142</t>
  </si>
  <si>
    <t>Deutsches Arzteblatt International</t>
  </si>
  <si>
    <t>18660452</t>
  </si>
  <si>
    <t>Annals of Medicine and Surgery</t>
  </si>
  <si>
    <t>20490801</t>
  </si>
  <si>
    <t>Genomics Data</t>
  </si>
  <si>
    <t>22135960</t>
  </si>
  <si>
    <t>IDCases</t>
  </si>
  <si>
    <t>22142509</t>
  </si>
  <si>
    <t>IJC Heart and Vessels</t>
  </si>
  <si>
    <t>22147632</t>
  </si>
  <si>
    <t>IJC Metabolic and Endocrine</t>
  </si>
  <si>
    <t>22147624</t>
  </si>
  <si>
    <t>Urology Case Reports</t>
  </si>
  <si>
    <t>22144420</t>
  </si>
  <si>
    <t>Meta Gene</t>
  </si>
  <si>
    <t>22145400</t>
  </si>
  <si>
    <t>BBA Clinical</t>
  </si>
  <si>
    <t>22146474</t>
  </si>
  <si>
    <t>Revista Colombiana de Cancerologia</t>
  </si>
  <si>
    <t>01239015</t>
  </si>
  <si>
    <t>Revista Colombiana de Ortopedia y Traumatologia</t>
  </si>
  <si>
    <t>01208845</t>
  </si>
  <si>
    <t>Journal of Orthopaedic Translation</t>
  </si>
  <si>
    <t>2214031X</t>
  </si>
  <si>
    <t>Journal of Radiation Research and Applied Sciences</t>
  </si>
  <si>
    <t>16878507</t>
  </si>
  <si>
    <t>Arthritis and Rheumatology</t>
  </si>
  <si>
    <t>23265191</t>
  </si>
  <si>
    <t>23265205</t>
  </si>
  <si>
    <t>Expert Opinion on Orphan Drugs</t>
  </si>
  <si>
    <t>21678707</t>
  </si>
  <si>
    <t>Urolithiasis</t>
  </si>
  <si>
    <t>21947228</t>
  </si>
  <si>
    <t>21947236</t>
  </si>
  <si>
    <t>African Journal of Clinical and Experimental Microbiology</t>
  </si>
  <si>
    <t>1595689X</t>
  </si>
  <si>
    <t>Advanced Science, Engineering and Medicine</t>
  </si>
  <si>
    <t>21646627</t>
  </si>
  <si>
    <t>21646635</t>
  </si>
  <si>
    <t>Journal of Nanopharmaceutics and Drug Delivery</t>
  </si>
  <si>
    <t>21679312</t>
  </si>
  <si>
    <t>21679320</t>
  </si>
  <si>
    <t>Journal of Neuroscience and Neuroengineering</t>
  </si>
  <si>
    <t>21682011</t>
  </si>
  <si>
    <t>2168202X</t>
  </si>
  <si>
    <t>World Journal of Cancer Research</t>
  </si>
  <si>
    <t>21656304</t>
  </si>
  <si>
    <t>21656312</t>
  </si>
  <si>
    <t>Visualization, Image Processing and Computation in Biomedicine</t>
  </si>
  <si>
    <t>21623465</t>
  </si>
  <si>
    <t>21623511</t>
  </si>
  <si>
    <t>Advances in Genome Science</t>
  </si>
  <si>
    <t>22136606</t>
  </si>
  <si>
    <t>Neuroscience and Biomedical Engineering</t>
  </si>
  <si>
    <t>22133852</t>
  </si>
  <si>
    <t>22133860</t>
  </si>
  <si>
    <t>European Journal of Neurodegenerative Diseases</t>
  </si>
  <si>
    <t>22795855</t>
  </si>
  <si>
    <t>Annals of Occupational and Environmental Medicine</t>
  </si>
  <si>
    <t>20524374</t>
  </si>
  <si>
    <t>Journal of Intensive Care</t>
  </si>
  <si>
    <t>20520492</t>
  </si>
  <si>
    <t>Journal of Therapeutic Ultrasound</t>
  </si>
  <si>
    <t>20505736</t>
  </si>
  <si>
    <t>Regenerative Medicine Research</t>
  </si>
  <si>
    <t>2050490X</t>
  </si>
  <si>
    <t>Journal for ImmunoTherapy of Cancer</t>
  </si>
  <si>
    <t>20511426</t>
  </si>
  <si>
    <t>Endocrine Connections</t>
  </si>
  <si>
    <t>20493614</t>
  </si>
  <si>
    <t>Endocrinology, Diabetes and Metabolism Case Reports</t>
  </si>
  <si>
    <t>20520573</t>
  </si>
  <si>
    <t>International Journal of Medical Toxicology and Forensic Medicine</t>
  </si>
  <si>
    <t>22518770</t>
  </si>
  <si>
    <t>22518762</t>
  </si>
  <si>
    <t>Shahid Beheshti University of Medical Sciences</t>
  </si>
  <si>
    <t>Psoriasis: Targets and Therapy</t>
  </si>
  <si>
    <t>2230326X</t>
  </si>
  <si>
    <t>American journal of Blood Research</t>
  </si>
  <si>
    <t>21601992</t>
  </si>
  <si>
    <t>American Journal of Cardiovascular Disease</t>
  </si>
  <si>
    <t>2160200X</t>
  </si>
  <si>
    <t>American Journal of Clinical and Experimental Immunology</t>
  </si>
  <si>
    <t>21647712</t>
  </si>
  <si>
    <t>American Journal of Neurodegenerative Diseases</t>
  </si>
  <si>
    <t>2165591X</t>
  </si>
  <si>
    <t>American Journal of Nuclear Medicine and Molecular Imaging</t>
  </si>
  <si>
    <t>21608407</t>
  </si>
  <si>
    <t>American Journal of Stem Cells</t>
  </si>
  <si>
    <t>21604150</t>
  </si>
  <si>
    <t>International Journal of Burns and Trauma</t>
  </si>
  <si>
    <t>21602026</t>
  </si>
  <si>
    <t>African Journal of Diabetes Medicine</t>
  </si>
  <si>
    <t>20428545</t>
  </si>
  <si>
    <t>20534787</t>
  </si>
  <si>
    <t>FSG Communications Ltd</t>
  </si>
  <si>
    <t>African Journal of Respiratory Medicine</t>
  </si>
  <si>
    <t>17475597</t>
  </si>
  <si>
    <t>20532512</t>
  </si>
  <si>
    <t>Journal of Medical Engineering</t>
  </si>
  <si>
    <t>23145129</t>
  </si>
  <si>
    <t>23145137</t>
  </si>
  <si>
    <t>Journal of Neurodegenerative Diseases</t>
  </si>
  <si>
    <t>2090858X</t>
  </si>
  <si>
    <t>20908601</t>
  </si>
  <si>
    <t>Sleep Disorders</t>
  </si>
  <si>
    <t>20903545</t>
  </si>
  <si>
    <t>20903553</t>
  </si>
  <si>
    <t>Cancer Drug Discovery and Development</t>
  </si>
  <si>
    <t>21969906</t>
  </si>
  <si>
    <t>21969914</t>
  </si>
  <si>
    <t>Endocrine Disruptors</t>
  </si>
  <si>
    <t>23273747</t>
  </si>
  <si>
    <t>IntraVital</t>
  </si>
  <si>
    <t>21659079</t>
  </si>
  <si>
    <t>21659087</t>
  </si>
  <si>
    <t>Intrinsically Disordered Proteins</t>
  </si>
  <si>
    <t>21690707</t>
  </si>
  <si>
    <t>Systems Biomedicine</t>
  </si>
  <si>
    <t>21628130</t>
  </si>
  <si>
    <t>21628149</t>
  </si>
  <si>
    <t>Journal of Acute Care Physical Therapy</t>
  </si>
  <si>
    <t>21588686</t>
  </si>
  <si>
    <t>21590524</t>
  </si>
  <si>
    <t>A and A Case Reports</t>
  </si>
  <si>
    <t>23257237</t>
  </si>
  <si>
    <t>Human Gene Therapy Clinical Development</t>
  </si>
  <si>
    <t>23248637</t>
  </si>
  <si>
    <t>23248645</t>
  </si>
  <si>
    <t>Journal of Clinical Medicine</t>
  </si>
  <si>
    <t>20770383</t>
  </si>
  <si>
    <t>Pathogens</t>
  </si>
  <si>
    <t>20760817</t>
  </si>
  <si>
    <t>Vaccines</t>
  </si>
  <si>
    <t>2076393X</t>
  </si>
  <si>
    <t>Biuletyn Wydzialu Farmaceutycznego Warszawskiego Uniwersytetu Medycznego</t>
  </si>
  <si>
    <t>20801602</t>
  </si>
  <si>
    <t>Medical University of Warsaw</t>
  </si>
  <si>
    <t>Milli Nevrologiya Jurnali</t>
  </si>
  <si>
    <t>22270892</t>
  </si>
  <si>
    <t>National Journal of Neurology</t>
  </si>
  <si>
    <t>AZRB/RUSS</t>
  </si>
  <si>
    <t>AZRB/RUSS/ENGL</t>
  </si>
  <si>
    <t>Journal of OncoPathology</t>
  </si>
  <si>
    <t>20525931</t>
  </si>
  <si>
    <t>20532091</t>
  </si>
  <si>
    <t>Optimal Clinical Ltd</t>
  </si>
  <si>
    <t>Avicenna</t>
  </si>
  <si>
    <t>22202749</t>
  </si>
  <si>
    <t>Journal of Local and Global Health Perspectives</t>
  </si>
  <si>
    <t>22259228</t>
  </si>
  <si>
    <t>Journal of Local and Global Health Science</t>
  </si>
  <si>
    <t>23060441</t>
  </si>
  <si>
    <t>Cardiometry</t>
  </si>
  <si>
    <t>23047232</t>
  </si>
  <si>
    <t>Novyi Russkii Universitet</t>
  </si>
  <si>
    <t>European Thyroid Journal</t>
  </si>
  <si>
    <t>22350640</t>
  </si>
  <si>
    <t>22350802</t>
  </si>
  <si>
    <t>Interventional Neurology</t>
  </si>
  <si>
    <t>16649737</t>
  </si>
  <si>
    <t>16645545</t>
  </si>
  <si>
    <t>Liver Cancer</t>
  </si>
  <si>
    <t>22351795</t>
  </si>
  <si>
    <t>16645553</t>
  </si>
  <si>
    <t>Medical Epigenetics</t>
  </si>
  <si>
    <t>16645561</t>
  </si>
  <si>
    <t>Pulse</t>
  </si>
  <si>
    <t>22358676</t>
  </si>
  <si>
    <t>22358668</t>
  </si>
  <si>
    <t>Acta Radiologica Short Reports</t>
  </si>
  <si>
    <t>20479816</t>
  </si>
  <si>
    <t>JRSM Cardiovascular Disease</t>
  </si>
  <si>
    <t>20480040</t>
  </si>
  <si>
    <t>JRSM Short Reports</t>
  </si>
  <si>
    <t>20425333</t>
  </si>
  <si>
    <t>Orthopaedic Journal of Sports Medicine</t>
  </si>
  <si>
    <t>23259671</t>
  </si>
  <si>
    <t>Therapeutic Advances in Infectious Disease</t>
  </si>
  <si>
    <t>20499361</t>
  </si>
  <si>
    <t>2049937X</t>
  </si>
  <si>
    <t>International Journal of Bipolar Disorders</t>
  </si>
  <si>
    <t>21947511</t>
  </si>
  <si>
    <t>Progress in Biomaterials</t>
  </si>
  <si>
    <t>21940517</t>
  </si>
  <si>
    <t>Infectious Diseases and Therapy</t>
  </si>
  <si>
    <t>21938229</t>
  </si>
  <si>
    <t>21936382</t>
  </si>
  <si>
    <t>Springer Healthcare</t>
  </si>
  <si>
    <t>Neurology and Therapy</t>
  </si>
  <si>
    <t>21938253</t>
  </si>
  <si>
    <t>21936536</t>
  </si>
  <si>
    <t>Ophthalmology and Therapy</t>
  </si>
  <si>
    <t>21938245</t>
  </si>
  <si>
    <t>21936528</t>
  </si>
  <si>
    <t>Pain and Therapy</t>
  </si>
  <si>
    <t>21938237</t>
  </si>
  <si>
    <t>2193651X</t>
  </si>
  <si>
    <t>Annals of African Surgery</t>
  </si>
  <si>
    <t>19999674</t>
  </si>
  <si>
    <t>Department of Human Anatomy</t>
  </si>
  <si>
    <t>KEN</t>
  </si>
  <si>
    <t>AJP Reports</t>
  </si>
  <si>
    <t>21576998</t>
  </si>
  <si>
    <t>21577005</t>
  </si>
  <si>
    <t>Craniomaxillofacial Trauma and Reconstruction</t>
  </si>
  <si>
    <t>19433875</t>
  </si>
  <si>
    <t>19433883</t>
  </si>
  <si>
    <t>Endoscopy International Open</t>
  </si>
  <si>
    <t>21969736</t>
  </si>
  <si>
    <t>European Journal of Pediatric Surgery Reports</t>
  </si>
  <si>
    <t>21947619</t>
  </si>
  <si>
    <t>21947627</t>
  </si>
  <si>
    <t>Global Spine Journal</t>
  </si>
  <si>
    <t>21925682</t>
  </si>
  <si>
    <t>21925690</t>
  </si>
  <si>
    <t>Journal of Neurological Surgery Reports</t>
  </si>
  <si>
    <t>21936358</t>
  </si>
  <si>
    <t>21936366</t>
  </si>
  <si>
    <t>Metabolism and Nutrition in Oncology</t>
  </si>
  <si>
    <t>2194735X</t>
  </si>
  <si>
    <t>Thoracic and Cardiovascular Surgeon Reports</t>
  </si>
  <si>
    <t>21947635</t>
  </si>
  <si>
    <t>Journal of Medical and Biomedical Sciences</t>
  </si>
  <si>
    <t>20266294</t>
  </si>
  <si>
    <t>University for Development Studies</t>
  </si>
  <si>
    <t>Journal of Pharmaceutical and Allied Sciences</t>
  </si>
  <si>
    <t>15968499</t>
  </si>
  <si>
    <t>Department of Pharmaceutics</t>
  </si>
  <si>
    <t>Sexual Medicine</t>
  </si>
  <si>
    <t>20501161</t>
  </si>
  <si>
    <t>Sexual Medicine Reviews</t>
  </si>
  <si>
    <t>20500521</t>
  </si>
  <si>
    <t>Journal of Gastroenterology and Hepatology (Hong Kong)</t>
  </si>
  <si>
    <t>22243992</t>
  </si>
  <si>
    <t>22246509</t>
  </si>
  <si>
    <t>ACT Publishing Group Liminted</t>
  </si>
  <si>
    <t>Journal of Immunology Research</t>
  </si>
  <si>
    <t xml:space="preserve">Springer New York </t>
  </si>
  <si>
    <t xml:space="preserve">E-flow Georg Thieme </t>
  </si>
  <si>
    <t>Sourceid</t>
  </si>
  <si>
    <t>Status</t>
  </si>
  <si>
    <t>Publisher</t>
  </si>
  <si>
    <t>Content provider</t>
  </si>
  <si>
    <t>Country</t>
  </si>
  <si>
    <t>Sourcetype</t>
  </si>
  <si>
    <t>Volumes/year</t>
  </si>
  <si>
    <t>Issues/volume</t>
  </si>
  <si>
    <t>Mediumtype</t>
  </si>
  <si>
    <t>Language article</t>
  </si>
  <si>
    <t>Language article title</t>
  </si>
  <si>
    <t>Abstract code</t>
  </si>
  <si>
    <t>Category code</t>
  </si>
  <si>
    <t>Priority (category Q)</t>
  </si>
  <si>
    <t>Processing</t>
  </si>
  <si>
    <t>Article/issue based</t>
  </si>
  <si>
    <t>Embase coverage</t>
  </si>
  <si>
    <t>Scopus coverage</t>
  </si>
  <si>
    <t>EMCare coverage</t>
  </si>
  <si>
    <t>Reaxys coverage</t>
  </si>
  <si>
    <t xml:space="preserve">Springer Netherlands </t>
  </si>
  <si>
    <t>Institute of Electrical and Electronics Engineers</t>
  </si>
  <si>
    <t xml:space="preserve">E-flow Inderscience </t>
  </si>
  <si>
    <t>Genetics Society of America</t>
  </si>
  <si>
    <t>Solariz, Inc.</t>
  </si>
  <si>
    <t>Q</t>
  </si>
  <si>
    <t>Check: ISSN = EISSN?</t>
  </si>
  <si>
    <t>Interdisciplinary Neurosurgery: Advanced Techniques and Case Management</t>
  </si>
  <si>
    <t>22147519</t>
  </si>
  <si>
    <t>1</t>
  </si>
  <si>
    <t>4</t>
  </si>
  <si>
    <t>3</t>
  </si>
  <si>
    <t>Journal of Clinical and Translational Endocrinology</t>
  </si>
  <si>
    <t>22146237</t>
  </si>
  <si>
    <t>Life Sciences in Space Research</t>
  </si>
  <si>
    <t>22145524</t>
  </si>
  <si>
    <t>MethodsX</t>
  </si>
  <si>
    <t>22150161</t>
  </si>
  <si>
    <t>Molecular Genetics and Metabolism Reports</t>
  </si>
  <si>
    <t>22144269</t>
  </si>
  <si>
    <t>Angiologia e Cirurgia Vascular</t>
  </si>
  <si>
    <t>1646706X</t>
  </si>
  <si>
    <t>21830096</t>
  </si>
  <si>
    <t>Asia-Pacific Journal of Sports Medicine, Arthroscopy, Rehabilitation and Technology</t>
  </si>
  <si>
    <t>22146873</t>
  </si>
  <si>
    <t>Journal of Integrative Medicine</t>
  </si>
  <si>
    <t>20954964</t>
  </si>
  <si>
    <t>6</t>
  </si>
  <si>
    <t>44807</t>
  </si>
  <si>
    <t>Journal of Ginseng Research</t>
  </si>
  <si>
    <t>7</t>
  </si>
  <si>
    <t>2</t>
  </si>
  <si>
    <t>12268453</t>
  </si>
  <si>
    <t>Add CAT Q.</t>
  </si>
  <si>
    <t>Check ISSN/EISSN.</t>
  </si>
  <si>
    <t>Amend title (also items processed): Journal with capital.</t>
  </si>
  <si>
    <t>Amend title (also items processed): Comparative Biochemistry and Physiology - Part A: Molecular and Integrative Physiology. See homepage and Part D, id 29702.</t>
  </si>
  <si>
    <t>Amend title (also items processed): Comparative Biochemistry and Physiology - Part B: Biochemistry and Molecular Biology. See homepage and Part D, id 29702.</t>
  </si>
  <si>
    <t>Amend title (also items processed): Comparative Biochemistry and Physiology - Part C: Toxicology and Pharmacology. See homepage and Part D, id 29702.</t>
  </si>
  <si>
    <t>Amend title (also items processed): International Journal of Drug Delivery (Jaipur)</t>
  </si>
  <si>
    <t>Amend title (also items processed): International Journal of Drug Delivery (Black Well) - check city</t>
  </si>
  <si>
    <t>Amend title (also items processed): space after title proper.</t>
  </si>
  <si>
    <t>Check publisher and countrycode and amend accordingly.</t>
  </si>
  <si>
    <t>Amend country code.</t>
  </si>
  <si>
    <t>Please use pubid 11124, headoffice with country code CHE. Deactivate GBR pubid.</t>
  </si>
  <si>
    <t>Please change publisher to Frontiers Research Foundation, CHE, id 20827 and deactivate Frontiers Media SA. Also change supplierid.</t>
  </si>
  <si>
    <t>Check publisher and countrycode and amend accordingly. Has EISSN.</t>
  </si>
  <si>
    <t>Add CAT Q. Has EISSN.</t>
  </si>
  <si>
    <t>Check publisher and countrycode and amend accordingly. ISSN=EISSN.</t>
  </si>
  <si>
    <t>Check publisher and countrycode and amend accordingly. 2212-6287 = EISSN.</t>
  </si>
  <si>
    <t>ISSN = EISSN.</t>
  </si>
  <si>
    <t>Has EISSN.</t>
  </si>
  <si>
    <t>Check publisher and countrycode and amend accordingly. ISSN = EISSN. ISSN = 2193-0635.</t>
  </si>
  <si>
    <t>Check publisher and countrycode and amend accordingly. ISSN = EISSN.</t>
  </si>
  <si>
    <t>Has EISSN (1555-175X).</t>
  </si>
  <si>
    <t>Amend ISSN (missing digit) = 2079-6382 + ISSN = EISSN.</t>
  </si>
  <si>
    <t>Amend ISSN (missing digit) = 2073-4468 + ISSN = EISSN.</t>
  </si>
  <si>
    <t>ISSN = EISSN. ISSN = 2212-9626.</t>
  </si>
  <si>
    <t>2746</t>
  </si>
  <si>
    <t>2742</t>
  </si>
  <si>
    <t>2732</t>
  </si>
  <si>
    <t>3612</t>
  </si>
  <si>
    <t>2728</t>
  </si>
  <si>
    <t>1310</t>
  </si>
  <si>
    <t>2712</t>
  </si>
  <si>
    <t>2707</t>
  </si>
  <si>
    <t>3103</t>
  </si>
  <si>
    <t>3108</t>
  </si>
  <si>
    <t>2307</t>
  </si>
  <si>
    <t>2303</t>
  </si>
  <si>
    <t>1308</t>
  </si>
  <si>
    <t>3607</t>
  </si>
  <si>
    <t>1311</t>
  </si>
  <si>
    <t>1312</t>
  </si>
  <si>
    <t>Wrong ISSN (remove). EISSN = 0974-6943.</t>
  </si>
  <si>
    <t>Amend publisher: Wiley-Blackwell.</t>
  </si>
  <si>
    <t>Amend publisher: LWW.</t>
  </si>
  <si>
    <t>Amend publisher: Wiley-Blackwell. Has EISSN.</t>
  </si>
  <si>
    <t>Amend publisher: Springer. Has EISSN.</t>
  </si>
  <si>
    <t>Amend publisher: Medknow.</t>
  </si>
  <si>
    <t>Has EISSN. (EISSN 1948-3430)</t>
  </si>
  <si>
    <t>Has ISSN/EISSN. (ISSN 1543-9135, EISSN 1543-9143)</t>
  </si>
  <si>
    <t>Wrong ISSN (remove). ISSN = 1933-8244, EISSN = 2154-4700 [003-9896 = from old title].</t>
  </si>
  <si>
    <t>Amend EISSN. EISSN = 2197-8395, 00016268 = ISSN Acta Neurochirurgica.</t>
  </si>
  <si>
    <t>Double EISSN filled in, remove ISSN.</t>
  </si>
  <si>
    <t xml:space="preserve">Amend title (also items processed): wrong country in title, should be Czech Republic. </t>
  </si>
  <si>
    <t>Has print ISSN.</t>
  </si>
  <si>
    <t>Wrong ISSN.</t>
  </si>
  <si>
    <t>Wrong ISSN. Has ISSN and EISSN.</t>
  </si>
  <si>
    <t>Wrong ISSN + EISSN.</t>
  </si>
  <si>
    <t>ZEITSCHRIFT FUR ORTHOPADIE UND UNFALLCHIRURGIE</t>
  </si>
  <si>
    <t>NLM ID</t>
  </si>
  <si>
    <t>SerialName</t>
  </si>
  <si>
    <t>SortSerialName</t>
  </si>
  <si>
    <t>MedlineTA</t>
  </si>
  <si>
    <t>TitleContinuationYN</t>
  </si>
  <si>
    <t>ContinuationNotes</t>
  </si>
  <si>
    <t>MinorTitleChangeYN</t>
  </si>
  <si>
    <t>ISSN_Electronic</t>
  </si>
  <si>
    <t>ISSN_Print</t>
  </si>
  <si>
    <t>ISSNLinking</t>
  </si>
  <si>
    <t>Frequency</t>
  </si>
  <si>
    <t>Language_Primary</t>
  </si>
  <si>
    <t>BroadJournalHeading</t>
  </si>
  <si>
    <t>CurrentlyIndexedYN</t>
  </si>
  <si>
    <t>PublicationFirstYear [PublicationInfo]</t>
  </si>
  <si>
    <t>PublicationFirstYear [NLMCatalogRecord]</t>
  </si>
  <si>
    <t>PublicationEndYear</t>
  </si>
  <si>
    <t>9015384</t>
  </si>
  <si>
    <t>20 century British history</t>
  </si>
  <si>
    <t>20 CENTURY BRITISH HISTORY</t>
  </si>
  <si>
    <t>20 Century Br Hist</t>
  </si>
  <si>
    <t>N</t>
  </si>
  <si>
    <t/>
  </si>
  <si>
    <t>14774674</t>
  </si>
  <si>
    <t>09552359</t>
  </si>
  <si>
    <t>England</t>
  </si>
  <si>
    <t>4 no. a year, 1999-</t>
  </si>
  <si>
    <t>eng</t>
  </si>
  <si>
    <t>History of Medicine</t>
  </si>
  <si>
    <t>Y</t>
  </si>
  <si>
    <t>1990</t>
  </si>
  <si>
    <t>9999</t>
  </si>
  <si>
    <t>101269322</t>
  </si>
  <si>
    <t>AACN advanced critical care</t>
  </si>
  <si>
    <t>AACN ADVANCED CRITICAL CARE</t>
  </si>
  <si>
    <t>AACN Adv Crit Care</t>
  </si>
  <si>
    <t>Continues: AACN clinical issues.</t>
  </si>
  <si>
    <t>15597776</t>
  </si>
  <si>
    <t>15597768</t>
  </si>
  <si>
    <t>Lippincott Williams &amp; Wilkins</t>
  </si>
  <si>
    <t>United States</t>
  </si>
  <si>
    <t>Quarterly</t>
  </si>
  <si>
    <t>Critical Care#Nursing</t>
  </si>
  <si>
    <t>2006</t>
  </si>
  <si>
    <t>0431420</t>
  </si>
  <si>
    <t>AANA journal</t>
  </si>
  <si>
    <t>AANA JOURNAL</t>
  </si>
  <si>
    <t>AANA J</t>
  </si>
  <si>
    <t>Continues Journal of the American Association of Nurse Anesthetists.</t>
  </si>
  <si>
    <t>American Association of Nurse Anesthetists</t>
  </si>
  <si>
    <t>Bimonthly</t>
  </si>
  <si>
    <t>Anesthesiology#Nursing</t>
  </si>
  <si>
    <t>1974</t>
  </si>
  <si>
    <t>101223209</t>
  </si>
  <si>
    <t>The AAPS journal</t>
  </si>
  <si>
    <t>AAPS JOURNAL</t>
  </si>
  <si>
    <t>AAPS J</t>
  </si>
  <si>
    <t>Continues: AAPS PharmSci.</t>
  </si>
  <si>
    <t>American Association of Pharmaceutical Scientists</t>
  </si>
  <si>
    <t>Four no. a year</t>
  </si>
  <si>
    <t>Drug Therapy#Pharmacology</t>
  </si>
  <si>
    <t>2004</t>
  </si>
  <si>
    <t>100960111</t>
  </si>
  <si>
    <t>AAPS PHARMSCITECH</t>
  </si>
  <si>
    <t>Springer</t>
  </si>
  <si>
    <t>2000</t>
  </si>
  <si>
    <t>9303672</t>
  </si>
  <si>
    <t>Abdominal imaging</t>
  </si>
  <si>
    <t>ABDOMINAL IMAGING</t>
  </si>
  <si>
    <t>Abdom Imaging</t>
  </si>
  <si>
    <t>Merger of: Gastrointestinal radiology; and: Urologic radiology.</t>
  </si>
  <si>
    <t>Springer International</t>
  </si>
  <si>
    <t>Diagnostic Imaging#Gastroenterology</t>
  </si>
  <si>
    <t>1993</t>
  </si>
  <si>
    <t>9112807</t>
  </si>
  <si>
    <t>The ABNF journal : official journal of the Association of Black Nursing Faculty in Higher Education, Inc</t>
  </si>
  <si>
    <t>ABNF JOURNAL : OFFICIAL JOURNAL OF THE ASSOCIATION OF BLACK NURSING FACULTY IN HIGHER EDUCATION, INC</t>
  </si>
  <si>
    <t>ABNF J</t>
  </si>
  <si>
    <t>10467041</t>
  </si>
  <si>
    <t>Tucker Publications, Inc.</t>
  </si>
  <si>
    <t>Bimonthly, 1994-</t>
  </si>
  <si>
    <t>Nursing</t>
  </si>
  <si>
    <t>9418450</t>
  </si>
  <si>
    <t>Academic emergency medicine : official journal of the Society for Academic Emergency Medicine</t>
  </si>
  <si>
    <t>ACADEMIC EMERGENCY MEDICINE : OFFICIAL JOURNAL OF THE SOCIETY FOR ACADEMIC EMERGENCY MEDICINE</t>
  </si>
  <si>
    <t>Acad Emerg Med</t>
  </si>
  <si>
    <t>Wiley</t>
  </si>
  <si>
    <t>Monthly, 1995-</t>
  </si>
  <si>
    <t>Emergency Medicine</t>
  </si>
  <si>
    <t>1994</t>
  </si>
  <si>
    <t>8904605</t>
  </si>
  <si>
    <t>Academic medicine : journal of the Association of American Medical Colleges</t>
  </si>
  <si>
    <t>ACADEMIC MEDICINE : JOURNAL OF THE ASSOCIATION OF AMERICAN MEDICAL COLLEGES</t>
  </si>
  <si>
    <t>Acad Med</t>
  </si>
  <si>
    <t>Continues: Journal of medical education.</t>
  </si>
  <si>
    <t>1938808X</t>
  </si>
  <si>
    <t>10402446</t>
  </si>
  <si>
    <t>Published for the Association of American Medical Colleges by Lippincott Williams &amp; Wilkins</t>
  </si>
  <si>
    <t>Monthly</t>
  </si>
  <si>
    <t>Education</t>
  </si>
  <si>
    <t>1989</t>
  </si>
  <si>
    <t>101499145</t>
  </si>
  <si>
    <t>Academic pediatrics</t>
  </si>
  <si>
    <t>ACADEMIC PEDIATRICS</t>
  </si>
  <si>
    <t>Acad Pediatr</t>
  </si>
  <si>
    <t>Continues: Ambulatory pediatrics.</t>
  </si>
  <si>
    <t>2009</t>
  </si>
  <si>
    <t>8917200</t>
  </si>
  <si>
    <t>Academic psychiatry : the journal of the American Association of Directors of Psychiatric Residency Training and the Association for Academic Psychiatry</t>
  </si>
  <si>
    <t>ACADEMIC PSYCHIATRY : THE JOURNAL OF THE AMERICAN ASSOCIATION OF DIRECTORS OF PSYCHIATRIC RESIDENCY TRAINING AND THE ASSOCIATION FOR ACADEMIC PSYCHIATRY</t>
  </si>
  <si>
    <t>Acad Psychiatry</t>
  </si>
  <si>
    <t>Continues: Journal of psychiatric education.</t>
  </si>
  <si>
    <t>15457230</t>
  </si>
  <si>
    <t>10429670</t>
  </si>
  <si>
    <t>American Psychiatric Press</t>
  </si>
  <si>
    <t>Psychiatry</t>
  </si>
  <si>
    <t>9440159</t>
  </si>
  <si>
    <t>Academic radiology</t>
  </si>
  <si>
    <t>ACADEMIC RADIOLOGY</t>
  </si>
  <si>
    <t>Acad Radiol</t>
  </si>
  <si>
    <t>Association Of University Radiologists</t>
  </si>
  <si>
    <t>7703609</t>
  </si>
  <si>
    <t>Academy of Management journal. Academy of Management</t>
  </si>
  <si>
    <t>ACADEMY OF MANAGEMENT JOURNAL. ACADEMY OF MANAGEMENT</t>
  </si>
  <si>
    <t>Acad Manage J</t>
  </si>
  <si>
    <t>Continues: Journal of the Academy of Management. Superseded in part by: Academy of Management review.</t>
  </si>
  <si>
    <t>00014273</t>
  </si>
  <si>
    <t>Mississippi State University</t>
  </si>
  <si>
    <t>Bimonthly, &lt;Feb. 1993-&gt;</t>
  </si>
  <si>
    <t>Health Services</t>
  </si>
  <si>
    <t>1963</t>
  </si>
  <si>
    <t>101203872</t>
  </si>
  <si>
    <t>Access management journal</t>
  </si>
  <si>
    <t>ACCESS MANAGEMENT JOURNAL</t>
  </si>
  <si>
    <t>Access Manag J</t>
  </si>
  <si>
    <t>Continues: NAHAM access management journal.</t>
  </si>
  <si>
    <t>15519023</t>
  </si>
  <si>
    <t>National Association of Healthcare Access Management</t>
  </si>
  <si>
    <t>Health Services#Hospitals</t>
  </si>
  <si>
    <t>2003</t>
  </si>
  <si>
    <t>1254476</t>
  </si>
  <si>
    <t>Accident; analysis and prevention</t>
  </si>
  <si>
    <t>ACCIDENT; ANALYSIS AND PREVENTION</t>
  </si>
  <si>
    <t>Accid Anal Prev</t>
  </si>
  <si>
    <t>18792057</t>
  </si>
  <si>
    <t>00014575</t>
  </si>
  <si>
    <t>Pergamon Press</t>
  </si>
  <si>
    <t>Traumatology</t>
  </si>
  <si>
    <t>1969</t>
  </si>
  <si>
    <t>9100813</t>
  </si>
  <si>
    <t>Accountability in research</t>
  </si>
  <si>
    <t>ACCOUNTABILITY IN RESEARCH</t>
  </si>
  <si>
    <t>Account Res</t>
  </si>
  <si>
    <t>15455815</t>
  </si>
  <si>
    <t>08989621</t>
  </si>
  <si>
    <t>Ethics</t>
  </si>
  <si>
    <t>0157313</t>
  </si>
  <si>
    <t>Accounts of chemical research</t>
  </si>
  <si>
    <t>ACCOUNTS OF CHEMICAL RESEARCH</t>
  </si>
  <si>
    <t>Acc Chem Res</t>
  </si>
  <si>
    <t>15204898</t>
  </si>
  <si>
    <t>00014842</t>
  </si>
  <si>
    <t>American Chemical Society.</t>
  </si>
  <si>
    <t>Chemistry</t>
  </si>
  <si>
    <t>1968</t>
  </si>
  <si>
    <t>101504991</t>
  </si>
  <si>
    <t>ACS applied materials &amp; interfaces</t>
  </si>
  <si>
    <t>ACS APPLIED MATERIALS &amp; INTERFACES</t>
  </si>
  <si>
    <t>ACS Appl Mater Interfaces</t>
  </si>
  <si>
    <t>19448252</t>
  </si>
  <si>
    <t>19448244</t>
  </si>
  <si>
    <t>Biomedical Engineering#Biotechnology</t>
  </si>
  <si>
    <t>101282906</t>
  </si>
  <si>
    <t>ACS chemical biology</t>
  </si>
  <si>
    <t>ACS CHEMICAL BIOLOGY</t>
  </si>
  <si>
    <t>ACS Chem Biol</t>
  </si>
  <si>
    <t>Biochemistry#Biology</t>
  </si>
  <si>
    <t>101525337</t>
  </si>
  <si>
    <t>ACS chemical neuroscience</t>
  </si>
  <si>
    <t>ACS CHEMICAL NEUROSCIENCE</t>
  </si>
  <si>
    <t>ACS Chem Neurosci</t>
  </si>
  <si>
    <t>2010</t>
  </si>
  <si>
    <t>101540531</t>
  </si>
  <si>
    <t>ACS combinatorial science</t>
  </si>
  <si>
    <t>ACS COMBINATORIAL SCIENCE</t>
  </si>
  <si>
    <t>ACS Comb Sci</t>
  </si>
  <si>
    <t>Continues: Journal of combinatorial chemistry.</t>
  </si>
  <si>
    <t>21568944</t>
  </si>
  <si>
    <t>21568952</t>
  </si>
  <si>
    <t>Monthly, 2012-</t>
  </si>
  <si>
    <t>2011</t>
  </si>
  <si>
    <t>101313589</t>
  </si>
  <si>
    <t>ACS nano</t>
  </si>
  <si>
    <t>ACS NANO</t>
  </si>
  <si>
    <t>ACS Nano</t>
  </si>
  <si>
    <t>1936086X</t>
  </si>
  <si>
    <t>19360851</t>
  </si>
  <si>
    <t>Nanotechnology</t>
  </si>
  <si>
    <t>2007</t>
  </si>
  <si>
    <t>101575075</t>
  </si>
  <si>
    <t>ACS synthetic biology</t>
  </si>
  <si>
    <t>ACS SYNTHETIC BIOLOGY</t>
  </si>
  <si>
    <t>ACS Synth Biol</t>
  </si>
  <si>
    <t>Biotechnology#Molecular Biology</t>
  </si>
  <si>
    <t>2012</t>
  </si>
  <si>
    <t>0421022</t>
  </si>
  <si>
    <t>Acta anaesthesiologica Belgica</t>
  </si>
  <si>
    <t>ACTA ANAESTHESIOLOGICA BELGICA</t>
  </si>
  <si>
    <t>Acta Anaesthesiol Belg</t>
  </si>
  <si>
    <t>Acta Medica Belgica</t>
  </si>
  <si>
    <t>Belgium</t>
  </si>
  <si>
    <t>dut</t>
  </si>
  <si>
    <t>1950</t>
  </si>
  <si>
    <t>0370270</t>
  </si>
  <si>
    <t>Acta anaesthesiologica Scandinavica</t>
  </si>
  <si>
    <t>ACTA ANAESTHESIOLOGICA SCANDINAVICA</t>
  </si>
  <si>
    <t>Acta Anaesthesiol Scand</t>
  </si>
  <si>
    <t>Ten no. a year, 1996-</t>
  </si>
  <si>
    <t>1957</t>
  </si>
  <si>
    <t>0370271</t>
  </si>
  <si>
    <t>Acta anaesthesiologica Scandinavica. Supplementum</t>
  </si>
  <si>
    <t>ACTA ANAESTHESIOLOGICA SCANDINAVICA. SUPPLEMENTUM</t>
  </si>
  <si>
    <t>Acta Anaesthesiol Scand Suppl</t>
  </si>
  <si>
    <t>Irregular</t>
  </si>
  <si>
    <t>1959</t>
  </si>
  <si>
    <t>101214918</t>
  </si>
  <si>
    <t>Acta anaesthesiologica Taiwanica : official journal of the Taiwan Society of Anesthesiologists</t>
  </si>
  <si>
    <t>ACTA ANAESTHESIOLOGICA TAIWANICA : OFFICIAL JOURNAL OF THE TAIWAN SOCIETY OF ANESTHESIOLOGISTS</t>
  </si>
  <si>
    <t>Acta Anaesthesiol Taiwan</t>
  </si>
  <si>
    <t>Continues: Acta anaesthesiologica Sinica.</t>
  </si>
  <si>
    <t>Zhonghua Minguo ma zui yi xue hui</t>
  </si>
  <si>
    <t>China (Republic : 1949- )</t>
  </si>
  <si>
    <t>101206716</t>
  </si>
  <si>
    <t>Acta biochimica et biophysica Sinica</t>
  </si>
  <si>
    <t>ACTA BIOCHIMICA ET BIOPHYSICA SINICA</t>
  </si>
  <si>
    <t>Acta Biochim Biophys Sin (Shanghai)</t>
  </si>
  <si>
    <t>Continues: Sheng wu hua xue yu sheng wu wu li xue bao.</t>
  </si>
  <si>
    <t>17457270</t>
  </si>
  <si>
    <t>16729145</t>
  </si>
  <si>
    <t>China</t>
  </si>
  <si>
    <t>Biochemistry#Biophysics</t>
  </si>
  <si>
    <t>14520300R</t>
  </si>
  <si>
    <t>Acta biochimica Polonica</t>
  </si>
  <si>
    <t>ACTA BIOCHIMICA POLONICA</t>
  </si>
  <si>
    <t>Acta Biochim Pol</t>
  </si>
  <si>
    <t>1734154X</t>
  </si>
  <si>
    <t>0001527X</t>
  </si>
  <si>
    <t>Panstwowe Wydawnictwo Naukowe</t>
  </si>
  <si>
    <t>Poland</t>
  </si>
  <si>
    <t>mul</t>
  </si>
  <si>
    <t>1954</t>
  </si>
  <si>
    <t>8404358</t>
  </si>
  <si>
    <t>Acta biologica Hungarica</t>
  </si>
  <si>
    <t>ACTA BIOLOGICA HUNGARICA</t>
  </si>
  <si>
    <t>Acta Biol Hung</t>
  </si>
  <si>
    <t>Continues: Acta biologica.</t>
  </si>
  <si>
    <t>Akademiai Kiado</t>
  </si>
  <si>
    <t>Hungary</t>
  </si>
  <si>
    <t>Biology</t>
  </si>
  <si>
    <t>1983</t>
  </si>
  <si>
    <t>101233144</t>
  </si>
  <si>
    <t>Acta biomaterialia</t>
  </si>
  <si>
    <t>ACTA BIOMATERIALIA</t>
  </si>
  <si>
    <t>Acta Biomater</t>
  </si>
  <si>
    <t>Monthly, 2010-</t>
  </si>
  <si>
    <t>2005</t>
  </si>
  <si>
    <t>101295064</t>
  </si>
  <si>
    <t>Acta bio-medica : Atenei Parmensis</t>
  </si>
  <si>
    <t>ACTA BIO-MEDICA : ATENEI PARMENSIS</t>
  </si>
  <si>
    <t>Acta Biomed</t>
  </si>
  <si>
    <t>Continues: Acta bio-medica de L'Ateneo parmense.</t>
  </si>
  <si>
    <t>Mattioli 1885</t>
  </si>
  <si>
    <t>Italy</t>
  </si>
  <si>
    <t>Three no. a year</t>
  </si>
  <si>
    <t>Medicine</t>
  </si>
  <si>
    <t>2002</t>
  </si>
  <si>
    <t>0421520</t>
  </si>
  <si>
    <t>Acta biotheoretica</t>
  </si>
  <si>
    <t>ACTA BIOTHEORETICA</t>
  </si>
  <si>
    <t>Acta Biotheor</t>
  </si>
  <si>
    <t>15728358</t>
  </si>
  <si>
    <t>00015342</t>
  </si>
  <si>
    <t>Netherlands</t>
  </si>
  <si>
    <t>1935</t>
  </si>
  <si>
    <t>0370570</t>
  </si>
  <si>
    <t>Acta cardiologica</t>
  </si>
  <si>
    <t>ACTA CARDIOLOGICA</t>
  </si>
  <si>
    <t>Acta Cardiol</t>
  </si>
  <si>
    <t>1784973X</t>
  </si>
  <si>
    <t>Peeters</t>
  </si>
  <si>
    <t>Cardiology</t>
  </si>
  <si>
    <t>1946</t>
  </si>
  <si>
    <t>101247110</t>
  </si>
  <si>
    <t>Acta chimica Slovenica</t>
  </si>
  <si>
    <t>ACTA CHIMICA SLOVENICA</t>
  </si>
  <si>
    <t>Acta Chim Slov</t>
  </si>
  <si>
    <t>Continues: Vestnik Slovenskega kemijskega društva.</t>
  </si>
  <si>
    <t>15803155</t>
  </si>
  <si>
    <t>13180207</t>
  </si>
  <si>
    <t>Slovenian Chemical Society</t>
  </si>
  <si>
    <t>Slovenia</t>
  </si>
  <si>
    <t>0407123</t>
  </si>
  <si>
    <t>Acta chirurgiae orthopaedicae et traumatologiae Cechoslovaca</t>
  </si>
  <si>
    <t>ACTA CHIRURGIAE ORTHOPAEDICAE ET TRAUMATOLOGIAE CECHOSLOVACA</t>
  </si>
  <si>
    <t>Acta Chir Orthop Traumatol Cech</t>
  </si>
  <si>
    <t>Continues Sborník pro chirurgii pohybového ústrojí.</t>
  </si>
  <si>
    <t>Czech Republic</t>
  </si>
  <si>
    <t>cze</t>
  </si>
  <si>
    <t>Orthopedics#Traumatology</t>
  </si>
  <si>
    <t>0370301</t>
  </si>
  <si>
    <t>Acta chirurgiae plasticae</t>
  </si>
  <si>
    <t>ACTA CHIRURGIAE PLASTICAE</t>
  </si>
  <si>
    <t>Acta Chir Plast</t>
  </si>
  <si>
    <t>18054404</t>
  </si>
  <si>
    <t>00015423</t>
  </si>
  <si>
    <t>Galen Prague</t>
  </si>
  <si>
    <t>General Surgery</t>
  </si>
  <si>
    <t>0370571</t>
  </si>
  <si>
    <t>Acta chirurgica Belgica</t>
  </si>
  <si>
    <t>ACTA CHIRURGICA BELGICA</t>
  </si>
  <si>
    <t>Acta Chir Belg</t>
  </si>
  <si>
    <t>Continues: Journal de chirurgie et annales de la Société belge de chirurgie.</t>
  </si>
  <si>
    <t>00015458</t>
  </si>
  <si>
    <t>fre</t>
  </si>
  <si>
    <t>0372631</t>
  </si>
  <si>
    <t>Acta chirurgica Iugoslavica</t>
  </si>
  <si>
    <t>ACTA CHIRURGICA IUGOSLAVICA</t>
  </si>
  <si>
    <t>Acta Chir Iugosl</t>
  </si>
  <si>
    <t>Supersedes: Acta chirurgica.</t>
  </si>
  <si>
    <t>0354950X</t>
  </si>
  <si>
    <t>Udruzenje Hirurga Jugoslavije</t>
  </si>
  <si>
    <t>Serbia</t>
  </si>
  <si>
    <t>Two no. a year</t>
  </si>
  <si>
    <t>hrv</t>
  </si>
  <si>
    <t>9103983</t>
  </si>
  <si>
    <t>Acta cirúrgica brasileira / Sociedade Brasileira para Desenvolvimento Pesquisa em Cirurgia</t>
  </si>
  <si>
    <t>ACTA CIRURGICA BRASILEIRA / SOCIEDADE BRASILEIRA PARA DESENVOLVIMENTO PESQUISA EM CIRURGIA</t>
  </si>
  <si>
    <t>Acta Cir Bras</t>
  </si>
  <si>
    <t>Sociedade Brasileira Para O Desenvolvimento Da Pesquisa Em Cirurgia Curso De Pos-Graduacao Em Tecnica Operatoria E Cirurgia Experimental Escola Paulista De Medicina</t>
  </si>
  <si>
    <t>Brazil</t>
  </si>
  <si>
    <t>1986</t>
  </si>
  <si>
    <t>0370306</t>
  </si>
  <si>
    <t>Acta clinica Belgica</t>
  </si>
  <si>
    <t>ACTA CLINICA BELGICA</t>
  </si>
  <si>
    <t>Acta Clin Belg</t>
  </si>
  <si>
    <t>Supersedes Bulletin de la Société clinique des hôpitaux de Bruxelles.</t>
  </si>
  <si>
    <t>Six no. a year</t>
  </si>
  <si>
    <t>0043523</t>
  </si>
  <si>
    <t>Acta clinica Belgica. Supplementum</t>
  </si>
  <si>
    <t>ACTA CLINICA BELGICA. SUPPLEMENTUM</t>
  </si>
  <si>
    <t>Acta Clin Belg Suppl</t>
  </si>
  <si>
    <t>05677386</t>
  </si>
  <si>
    <t>A Van Tilburg</t>
  </si>
  <si>
    <t>1965</t>
  </si>
  <si>
    <t>9425483</t>
  </si>
  <si>
    <t>Acta clinica Croatica</t>
  </si>
  <si>
    <t>ACTA CLINICA CROATICA</t>
  </si>
  <si>
    <t>Acta Clin Croat</t>
  </si>
  <si>
    <t>Continues: Anali Kliničke bolnice "Dr M. Stojanovic".</t>
  </si>
  <si>
    <t>Klinicka Bolnica "Sestre Milosrdnice" (Sestre Milosrdnice University Hospital and Institute for Clinical Medical Research)</t>
  </si>
  <si>
    <t>Croatia</t>
  </si>
  <si>
    <t>1991</t>
  </si>
  <si>
    <t>101609037</t>
  </si>
  <si>
    <t>Acta crystallographica Section B, Structural science, crystal engineering and materials</t>
  </si>
  <si>
    <t>ACTA CRYSTALLOGRAPHICA SECTION B, STRUCTURAL SCIENCE, CRYSTAL ENGINEERING AND MATERIALS</t>
  </si>
  <si>
    <t>Acta Crystallogr B Struct Sci Cryst Eng Mater</t>
  </si>
  <si>
    <t>Continues: Acta crystallographica. Section B, Structural science.</t>
  </si>
  <si>
    <t>20525206</t>
  </si>
  <si>
    <t>20525192</t>
  </si>
  <si>
    <t>Chemistry Techniques, Analytical</t>
  </si>
  <si>
    <t>2013</t>
  </si>
  <si>
    <t>101620182</t>
  </si>
  <si>
    <t>Acta crystallographica. Section A, Foundations and advances</t>
  </si>
  <si>
    <t>ACTA CRYSTALLOGRAPHICA. SECTION A, FOUNDATIONS AND ADVANCES</t>
  </si>
  <si>
    <t>Acta Crystallogr A Found Adv</t>
  </si>
  <si>
    <t>Continues: Acta crystallographica. Section A, Foundations of crystallography.</t>
  </si>
  <si>
    <t>20532733</t>
  </si>
  <si>
    <t>2014</t>
  </si>
  <si>
    <t>101620313</t>
  </si>
  <si>
    <t>Acta crystallographica. Section C, Structural chemistry</t>
  </si>
  <si>
    <t>ACTA CRYSTALLOGRAPHICA. SECTION C, STRUCTURAL CHEMISTRY</t>
  </si>
  <si>
    <t>Acta Crystallogr C Struct Chem</t>
  </si>
  <si>
    <t>Continues: Acta crystallographica. Section C, Crystal structure communications.</t>
  </si>
  <si>
    <t>20532296</t>
  </si>
  <si>
    <t>9305878</t>
  </si>
  <si>
    <t>Acta crystallographica. Section D, Biological crystallography</t>
  </si>
  <si>
    <t>ACTA CRYSTALLOGRAPHICA. SECTION D, BIOLOGICAL CRYSTALLOGRAPHY</t>
  </si>
  <si>
    <t>Acta Crystallogr D Biol Crystallogr</t>
  </si>
  <si>
    <t>13990047</t>
  </si>
  <si>
    <t>09074449</t>
  </si>
  <si>
    <t>Monthly, 1999-</t>
  </si>
  <si>
    <t>101620319</t>
  </si>
  <si>
    <t>Acta crystallographica. Section F, Structural biology communications</t>
  </si>
  <si>
    <t>ACTA CRYSTALLOGRAPHICA. SECTION F, STRUCTURAL BIOLOGY COMMUNICATIONS</t>
  </si>
  <si>
    <t>Acta Crystallogr F Struct Biol Commun</t>
  </si>
  <si>
    <t>Continues: Acta crystallographica. Section F, Structural biology and crystallization communications.</t>
  </si>
  <si>
    <t>2053230X</t>
  </si>
  <si>
    <t>0370307</t>
  </si>
  <si>
    <t>Acta cytologica</t>
  </si>
  <si>
    <t>ACTA CYTOLOGICA</t>
  </si>
  <si>
    <t>Acta Cytol</t>
  </si>
  <si>
    <t>Absorbed: Transaction [of the] annual meeting of the Inter-society Cytology Council. Inter-society Cytology Council.</t>
  </si>
  <si>
    <t>19382650</t>
  </si>
  <si>
    <t>Karger</t>
  </si>
  <si>
    <t>Switzerland</t>
  </si>
  <si>
    <t>Bimonthly, 1961-</t>
  </si>
  <si>
    <t>Cell Biology</t>
  </si>
  <si>
    <t>0370310</t>
  </si>
  <si>
    <t>Acta dermato-venereologica</t>
  </si>
  <si>
    <t>ACTA DERMATO-VENEREOLOGICA</t>
  </si>
  <si>
    <t>Acta Derm Venereol</t>
  </si>
  <si>
    <t>Sweden</t>
  </si>
  <si>
    <t>Dermatology#Sexually Transmitted Diseases</t>
  </si>
  <si>
    <t>1920</t>
  </si>
  <si>
    <t>0370311</t>
  </si>
  <si>
    <t>Acta dermato-venereologica. Supplementum</t>
  </si>
  <si>
    <t>ACTA DERMATO-VENEREOLOGICA. SUPPLEMENTUM</t>
  </si>
  <si>
    <t>Acta Derm Venereol Suppl (Stockh)</t>
  </si>
  <si>
    <t>Scandinavian University Press</t>
  </si>
  <si>
    <t>Norway</t>
  </si>
  <si>
    <t>1929</t>
  </si>
  <si>
    <t>9422563</t>
  </si>
  <si>
    <t>Acta dermatovenerologica Alpina, Panonica, et Adriatica</t>
  </si>
  <si>
    <t>ACTA DERMATOVENEROLOGICA ALPINA, PANONICA, ET ADRIATICA</t>
  </si>
  <si>
    <t>Acta Dermatovenerol Alp Panonica Adriat</t>
  </si>
  <si>
    <t>Continues in part: Acta dermatovenerologica Iugoslavica.</t>
  </si>
  <si>
    <t>15812979</t>
  </si>
  <si>
    <t>Združenje Slovenskih Dermatovenerologov</t>
  </si>
  <si>
    <t>1992</t>
  </si>
  <si>
    <t>9433781</t>
  </si>
  <si>
    <t>Acta dermatovenerologica Croatica : ADC</t>
  </si>
  <si>
    <t>ACTA DERMATOVENEROLOGICA CROATICA : ADC</t>
  </si>
  <si>
    <t>Acta Dermatovenerol Croat</t>
  </si>
  <si>
    <t>18476538</t>
  </si>
  <si>
    <t>9200299</t>
  </si>
  <si>
    <t>Acta diabetologica</t>
  </si>
  <si>
    <t>ACTA DIABETOLOGICA</t>
  </si>
  <si>
    <t>Acta Diabetol</t>
  </si>
  <si>
    <t>Continues: Acta diabetologica latina.</t>
  </si>
  <si>
    <t>Germany</t>
  </si>
  <si>
    <t>0414075</t>
  </si>
  <si>
    <t>Acta gastro-enterologica Belgica</t>
  </si>
  <si>
    <t>ACTA GASTRO-ENTEROLOGICA BELGICA</t>
  </si>
  <si>
    <t>Acta Gastroenterol Belg</t>
  </si>
  <si>
    <t>Continues: Journal belge de gastro-entérologie.</t>
  </si>
  <si>
    <t>0261505</t>
  </si>
  <si>
    <t>Acta gastroenterologica Latinoamericana</t>
  </si>
  <si>
    <t>ACTA GASTROENTEROLOGICA LATINOAMERICANA</t>
  </si>
  <si>
    <t>Acta Gastroenterol Latinoam</t>
  </si>
  <si>
    <t>Asociacion Interamericana De Gastroenterologia</t>
  </si>
  <si>
    <t>Argentina</t>
  </si>
  <si>
    <t>Five no. a year</t>
  </si>
  <si>
    <t>spa</t>
  </si>
  <si>
    <t>0141053</t>
  </si>
  <si>
    <t>Acta haematologica</t>
  </si>
  <si>
    <t>ACTA HAEMATOLOGICA</t>
  </si>
  <si>
    <t>Acta Haematol</t>
  </si>
  <si>
    <t>Karger.</t>
  </si>
  <si>
    <t>Eight no. a year</t>
  </si>
  <si>
    <t>1948</t>
  </si>
  <si>
    <t>0370320</t>
  </si>
  <si>
    <t>Acta histochemica</t>
  </si>
  <si>
    <t>ACTA HISTOCHEMICA</t>
  </si>
  <si>
    <t>Acta Histochem</t>
  </si>
  <si>
    <t>Gustav Fischer Verlag</t>
  </si>
  <si>
    <t>Six no. a year, 2004-</t>
  </si>
  <si>
    <t>ger</t>
  </si>
  <si>
    <t>Histocytochemistry</t>
  </si>
  <si>
    <t>0060677</t>
  </si>
  <si>
    <t>Acta historica Leopoldina</t>
  </si>
  <si>
    <t>ACTA HISTORICA LEOPOLDINA</t>
  </si>
  <si>
    <t>Acta Hist Leopoldina</t>
  </si>
  <si>
    <t>00015857</t>
  </si>
  <si>
    <t>Johann Ambrosius Barth</t>
  </si>
  <si>
    <t>196u</t>
  </si>
  <si>
    <t>9705947</t>
  </si>
  <si>
    <t>Acta medica (Hradec Králové) / Universitas Carolina, Facultas Medica Hradec Králové</t>
  </si>
  <si>
    <t>ACTA MEDICA (HRADEC KRALOVE) / UNIVERSITAS CAROLINA, FACULTAS MEDICA HRADEC KRALOVE</t>
  </si>
  <si>
    <t>Acta Medica (Hradec Kralove)</t>
  </si>
  <si>
    <t>Continues: Sborník vědeckých prací Lékařské fakulty Karlovy University v Hradci Králové.</t>
  </si>
  <si>
    <t>12114286</t>
  </si>
  <si>
    <t>Facultas Medica Hradec Kralove, Universitas Carolina</t>
  </si>
  <si>
    <t>1996</t>
  </si>
  <si>
    <t>101587903</t>
  </si>
  <si>
    <t>Acta medica academica</t>
  </si>
  <si>
    <t>ACTA MEDICA ACADEMICA</t>
  </si>
  <si>
    <t>Acta Med Acad</t>
  </si>
  <si>
    <t>Continues: Radovi (Centar za medicinska istraživanja (Akademija nauka i umjetnosti Bosne i Hercegovine)).</t>
  </si>
  <si>
    <t>18402879</t>
  </si>
  <si>
    <t>18401848</t>
  </si>
  <si>
    <t>Akademija nauka i umjetnosti Bosne i Hercegovine</t>
  </si>
  <si>
    <t>Bosnia and Hercegovina</t>
  </si>
  <si>
    <t>Semiannual</t>
  </si>
  <si>
    <t>9208249</t>
  </si>
  <si>
    <t>Acta medica Croatica : c̆asopis Hravatske akademije medicinskih znanosti</t>
  </si>
  <si>
    <t>ACTA MEDICA CROATICA : CASOPIS HRAVATSKE AKADEMIJE MEDICINSKIH ZNANOSTI</t>
  </si>
  <si>
    <t>Acta Med Croatica</t>
  </si>
  <si>
    <t>Continues: Acta medica iugoslavica.</t>
  </si>
  <si>
    <t>18488897</t>
  </si>
  <si>
    <t>Croatian Academy Of Medical Sciences</t>
  </si>
  <si>
    <t>7901042</t>
  </si>
  <si>
    <t>Acta medica Indonesiana</t>
  </si>
  <si>
    <t>ACTA MEDICA INDONESIANA</t>
  </si>
  <si>
    <t>Acta Med Indones</t>
  </si>
  <si>
    <t>01259326</t>
  </si>
  <si>
    <t>Indonesian Society of Internal Medicine</t>
  </si>
  <si>
    <t>Indonesia</t>
  </si>
  <si>
    <t>Quarterly, &lt;2003-&gt;</t>
  </si>
  <si>
    <t>14540050R</t>
  </si>
  <si>
    <t>Acta medica Iranica</t>
  </si>
  <si>
    <t>ACTA MEDICA IRANICA</t>
  </si>
  <si>
    <t>Acta Med Iran</t>
  </si>
  <si>
    <t>Faculty of Medicine, Tehran University of Medical Sciences</t>
  </si>
  <si>
    <t>Iran</t>
  </si>
  <si>
    <t>Monthly, 2011-</t>
  </si>
  <si>
    <t>1956</t>
  </si>
  <si>
    <t>0417611</t>
  </si>
  <si>
    <t>Acta medica Okayama</t>
  </si>
  <si>
    <t>ACTA MEDICA OKAYAMA</t>
  </si>
  <si>
    <t>Acta Med Okayama</t>
  </si>
  <si>
    <t>Continues: Acta medicinae Okayama.</t>
  </si>
  <si>
    <t>0386300X</t>
  </si>
  <si>
    <t>Okayama University Medical School</t>
  </si>
  <si>
    <t>Japan</t>
  </si>
  <si>
    <t>1973</t>
  </si>
  <si>
    <t>7906803</t>
  </si>
  <si>
    <t>Acta médica portuguesa</t>
  </si>
  <si>
    <t>ACTA MEDICA PORTUGUESA</t>
  </si>
  <si>
    <t>Acta Med Port</t>
  </si>
  <si>
    <t>Centro Editor Livreiro da Ordem dos Médicos</t>
  </si>
  <si>
    <t>Portugal</t>
  </si>
  <si>
    <t>Bimonthly, 2000-</t>
  </si>
  <si>
    <t>1979</t>
  </si>
  <si>
    <t>101241032</t>
  </si>
  <si>
    <t>Acta medico-historica adriatica : AMHA</t>
  </si>
  <si>
    <t>ACTA MEDICO-HISTORICA ADRIATICA : AMHA</t>
  </si>
  <si>
    <t>Acta Med Hist Adriat</t>
  </si>
  <si>
    <t>13346253</t>
  </si>
  <si>
    <t>13344366</t>
  </si>
  <si>
    <t>Hrvatsko znanstveno društvo za povijest zdravstvene kulture</t>
  </si>
  <si>
    <t>9434021</t>
  </si>
  <si>
    <t>Acta microbiologica et immunologica Hungarica</t>
  </si>
  <si>
    <t>ACTA MICROBIOLOGICA ET IMMUNOLOGICA HUNGARICA</t>
  </si>
  <si>
    <t>Acta Microbiol Immunol Hung</t>
  </si>
  <si>
    <t>Continues: Acta microbiologica Hungarica.</t>
  </si>
  <si>
    <t>Allergy and Immunology#Microbiology</t>
  </si>
  <si>
    <t>9811169</t>
  </si>
  <si>
    <t>Acta myologica : myopathies and cardiomyopathies : official journal of the Mediterranean Society of Myology / edited by the Gaetano Conte Academy for the study of striated muscle diseases</t>
  </si>
  <si>
    <t>ACTA MYOLOGICA : MYOPATHIES AND CARDIOMYOPATHIES : OFFICIAL JOURNAL OF THE MEDITERRANEAN SOCIETY OF MYOLOGY / EDITED BY THE GAETANO CONTE ACADEMY FOR THE STUDY OF STRIATED MUSCLE DISEASES</t>
  </si>
  <si>
    <t>Acta Myol</t>
  </si>
  <si>
    <t>Continues: Acta cardiomiologica.</t>
  </si>
  <si>
    <t>Gaetano Conte Academy</t>
  </si>
  <si>
    <t>Cardiology#Physiology</t>
  </si>
  <si>
    <t>1997</t>
  </si>
  <si>
    <t>1246675</t>
  </si>
  <si>
    <t>Acta neurobiologiae experimentalis</t>
  </si>
  <si>
    <t>ACTA NEUROBIOLOGIAE EXPERIMENTALIS</t>
  </si>
  <si>
    <t>Acta Neurobiol Exp (Wars)</t>
  </si>
  <si>
    <t>Continues: Acta biologiae experimentalis.</t>
  </si>
  <si>
    <t>16890035</t>
  </si>
  <si>
    <t>00651400</t>
  </si>
  <si>
    <t>Nencki Institute of Experimental Biology</t>
  </si>
  <si>
    <t>Biology#Neurology</t>
  </si>
  <si>
    <t>1970</t>
  </si>
  <si>
    <t>0151000</t>
  </si>
  <si>
    <t>Acta neurochirurgica</t>
  </si>
  <si>
    <t>ACTA NEUROCHIRURGICA</t>
  </si>
  <si>
    <t>Acta Neurochir (Wien)</t>
  </si>
  <si>
    <t>Springer.</t>
  </si>
  <si>
    <t>Austria</t>
  </si>
  <si>
    <t>Twelve no. a year</t>
  </si>
  <si>
    <t>100962752</t>
  </si>
  <si>
    <t>Acta neurochirurgica. Supplement</t>
  </si>
  <si>
    <t>ACTA NEUROCHIRURGICA. SUPPLEMENT</t>
  </si>
  <si>
    <t>Acta Neurochir Suppl</t>
  </si>
  <si>
    <t>Continues: Acta neurochirurgica. Supplementum.</t>
  </si>
  <si>
    <t>0247035</t>
  </si>
  <si>
    <t>Acta neurologica Belgica</t>
  </si>
  <si>
    <t>ACTA NEUROLOGICA BELGICA</t>
  </si>
  <si>
    <t>Acta Neurol Belg</t>
  </si>
  <si>
    <t>Continues in part: Acta neurologica et psychiatrica Belgica.</t>
  </si>
  <si>
    <t>0370336</t>
  </si>
  <si>
    <t>Acta neurologica Scandinavica</t>
  </si>
  <si>
    <t>ACTA NEUROLOGICA SCANDINAVICA</t>
  </si>
  <si>
    <t>Acta Neurol Scand</t>
  </si>
  <si>
    <t>Continues in part Acta psychiatrica et neurologica Scandinavica.</t>
  </si>
  <si>
    <t>Denmark</t>
  </si>
  <si>
    <t>1961</t>
  </si>
  <si>
    <t>0370337</t>
  </si>
  <si>
    <t>Acta neurologica Scandinavica. Supplementum</t>
  </si>
  <si>
    <t>ACTA NEUROLOGICA SCANDINAVICA. SUPPLEMENTUM</t>
  </si>
  <si>
    <t>Acta Neurol Scand Suppl</t>
  </si>
  <si>
    <t>Supersedes in part Acta psychiatrica et neurologica Scandinavica, Supplementum.</t>
  </si>
  <si>
    <t>16005449</t>
  </si>
  <si>
    <t>00651427</t>
  </si>
  <si>
    <t>1962</t>
  </si>
  <si>
    <t>9815355</t>
  </si>
  <si>
    <t>Acta neurologica Taiwanica</t>
  </si>
  <si>
    <t>ACTA NEUROLOGICA TAIWANICA</t>
  </si>
  <si>
    <t>Acta Neurol Taiwan</t>
  </si>
  <si>
    <t>Continues: Acta neurologica Sinica.</t>
  </si>
  <si>
    <t>Color Design</t>
  </si>
  <si>
    <t>0412041</t>
  </si>
  <si>
    <t>Acta neuropathologica</t>
  </si>
  <si>
    <t>ACTA NEUROPATHOLOGICA</t>
  </si>
  <si>
    <t>Acta Neuropathol</t>
  </si>
  <si>
    <t>0370343</t>
  </si>
  <si>
    <t>Acta obstetricia et gynecologica Scandinavica</t>
  </si>
  <si>
    <t>ACTA OBSTETRICIA ET GYNECOLOGICA SCANDINAVICA</t>
  </si>
  <si>
    <t>Acta Obstet Gynecol Scand</t>
  </si>
  <si>
    <t>Continues: Acta gynecologica Scandinavica.</t>
  </si>
  <si>
    <t>Twelve no. a year, 2000-</t>
  </si>
  <si>
    <t>Gynecology#Obstetrics</t>
  </si>
  <si>
    <t>1926</t>
  </si>
  <si>
    <t>8610218</t>
  </si>
  <si>
    <t>Acta odontológica latinoamericana : AOL</t>
  </si>
  <si>
    <t>ACTA ODONTOLOGICA LATINOAMERICANA : AOL</t>
  </si>
  <si>
    <t>Acta Odontol Latinoam</t>
  </si>
  <si>
    <t>18524834</t>
  </si>
  <si>
    <t>03264815</t>
  </si>
  <si>
    <t>Acta Odontologica Latinoamericana</t>
  </si>
  <si>
    <t>Dentistry</t>
  </si>
  <si>
    <t>1984</t>
  </si>
  <si>
    <t>0370344</t>
  </si>
  <si>
    <t>Acta odontologica Scandinavica</t>
  </si>
  <si>
    <t>ACTA ODONTOLOGICA SCANDINAVICA</t>
  </si>
  <si>
    <t>Acta Odontol Scand</t>
  </si>
  <si>
    <t>15023850</t>
  </si>
  <si>
    <t>00016357</t>
  </si>
  <si>
    <t>1939</t>
  </si>
  <si>
    <t>101194794</t>
  </si>
  <si>
    <t>Acta of bioengineering and biomechanics / Wrocław University of Technology</t>
  </si>
  <si>
    <t>ACTA OF BIOENGINEERING AND BIOMECHANICS / WROCLAW UNIVERSITY OF TECHNOLOGY</t>
  </si>
  <si>
    <t>Acta Bioeng Biomech</t>
  </si>
  <si>
    <t>1509409X</t>
  </si>
  <si>
    <t>Oficyna Wydawnicza Politechniki Wrocławskiej</t>
  </si>
  <si>
    <t>Biomedical Engineering#Physiology</t>
  </si>
  <si>
    <t>1999</t>
  </si>
  <si>
    <t>8709065</t>
  </si>
  <si>
    <t>Acta oncologica (Stockholm, Sweden)</t>
  </si>
  <si>
    <t>ACTA ONCOLOGICA (STOCKHOLM, SWEDEN)</t>
  </si>
  <si>
    <t>Acta Oncol</t>
  </si>
  <si>
    <t>Continues: Acta radiologica. Oncology. Continued in part by: Reviews in oncology.</t>
  </si>
  <si>
    <t>Eight no. a year, 1990-</t>
  </si>
  <si>
    <t>Neoplasms</t>
  </si>
  <si>
    <t>1987</t>
  </si>
  <si>
    <t>101468102</t>
  </si>
  <si>
    <t>Acta ophthalmologica</t>
  </si>
  <si>
    <t>ACTA OPHTHALMOLOGICA</t>
  </si>
  <si>
    <t>Acta Ophthalmol</t>
  </si>
  <si>
    <t>Continues: Acta ophthalmologica Scandinavica.</t>
  </si>
  <si>
    <t>2008</t>
  </si>
  <si>
    <t>101485969</t>
  </si>
  <si>
    <t>Acta ophthalmologica. Supplement</t>
  </si>
  <si>
    <t>ACTA OPHTHALMOLOGICA. SUPPLEMENT</t>
  </si>
  <si>
    <t>Acta Ophthalmol Suppl (Oxf )</t>
  </si>
  <si>
    <t>Continues: Acta ophthalmologica Scandinavica. Supplement.</t>
  </si>
  <si>
    <t>17553776</t>
  </si>
  <si>
    <t>Wiley-Blackwell Pub.</t>
  </si>
  <si>
    <t>101231512</t>
  </si>
  <si>
    <t>Acta orthopaedica</t>
  </si>
  <si>
    <t>ACTA ORTHOPAEDICA</t>
  </si>
  <si>
    <t>Acta Orthop</t>
  </si>
  <si>
    <t>Continues: Acta orthopaedica Scandinavica.</t>
  </si>
  <si>
    <t>2985165R</t>
  </si>
  <si>
    <t>Acta orthopaedica Belgica</t>
  </si>
  <si>
    <t>ACTA ORTHOPAEDICA BELGICA</t>
  </si>
  <si>
    <t>Acta Orthop Belg</t>
  </si>
  <si>
    <t>Continues: Bulletin of the Société belge d'orthopédie et de chirurgie de l'appareil moteur.</t>
  </si>
  <si>
    <t>00016462</t>
  </si>
  <si>
    <t>Five no. a year, 2000-</t>
  </si>
  <si>
    <t>9424806</t>
  </si>
  <si>
    <t>Acta orthopaedica et traumatologica turcica</t>
  </si>
  <si>
    <t>ACTA ORTHOPAEDICA ET TRAUMATOLOGICA TURCICA</t>
  </si>
  <si>
    <t>Acta Orthop Traumatol Turc</t>
  </si>
  <si>
    <t>1017995X</t>
  </si>
  <si>
    <t>Deomed Medical Pub.</t>
  </si>
  <si>
    <t>Turkey</t>
  </si>
  <si>
    <t>101244827</t>
  </si>
  <si>
    <t>Acta orthopaedica. Supplementum</t>
  </si>
  <si>
    <t>ACTA ORTHOPAEDICA. SUPPLEMENTUM</t>
  </si>
  <si>
    <t>Acta Orthop Suppl</t>
  </si>
  <si>
    <t>Continues: Acta orthopaedica Scandinavica. Supplementum.</t>
  </si>
  <si>
    <t>17453704</t>
  </si>
  <si>
    <t>17453690</t>
  </si>
  <si>
    <t>Taylor &amp; Francis</t>
  </si>
  <si>
    <t>101190312</t>
  </si>
  <si>
    <t>Acta ortopédica mexicana</t>
  </si>
  <si>
    <t>ACTA ORTOPEDICA MEXICANA</t>
  </si>
  <si>
    <t>Acta Ortop Mex</t>
  </si>
  <si>
    <t>Continues: Revista mexicana de ortopedia y traumatología (1995).</t>
  </si>
  <si>
    <t>Sociedad Mexicana de Ortopedia</t>
  </si>
  <si>
    <t>Mexico</t>
  </si>
  <si>
    <t>0370354</t>
  </si>
  <si>
    <t>Acta oto-laryngologica</t>
  </si>
  <si>
    <t>ACTA OTO-LARYNGOLOGICA</t>
  </si>
  <si>
    <t>Acta Otolaryngol</t>
  </si>
  <si>
    <t>Supersedes: Nordisk tidskrift för oto-rhino-laryngologi.</t>
  </si>
  <si>
    <t>Monthly, 2005-</t>
  </si>
  <si>
    <t>Otolaryngology</t>
  </si>
  <si>
    <t>1918</t>
  </si>
  <si>
    <t>0370355</t>
  </si>
  <si>
    <t>Acta oto-laryngologica. Supplementum</t>
  </si>
  <si>
    <t>ACTA OTO-LARYNGOLOGICA. SUPPLEMENTUM</t>
  </si>
  <si>
    <t>Acta Otolaryngol Suppl</t>
  </si>
  <si>
    <t>03655237</t>
  </si>
  <si>
    <t>8213019</t>
  </si>
  <si>
    <t>Acta otorhinolaryngologica Italica : organo ufficiale della Società italiana di otorinolaringologia e chirurgia cervico-facciale</t>
  </si>
  <si>
    <t>ACTA OTORHINOLARYNGOLOGICA ITALICA : ORGANO UFFICIALE DELLA SOCIETA ITALIANA DI OTORINOLARINGOLOGIA E CHIRURGIA CERVICO-FACCIALE</t>
  </si>
  <si>
    <t>Acta Otorhinolaryngol Ital</t>
  </si>
  <si>
    <t>Continues: Annali di laringologia, otologia, rinologia, e faringologia.</t>
  </si>
  <si>
    <t>1827675X</t>
  </si>
  <si>
    <t>0392100X</t>
  </si>
  <si>
    <t>Pacini editore</t>
  </si>
  <si>
    <t>1981</t>
  </si>
  <si>
    <t>14540260R</t>
  </si>
  <si>
    <t>Acta otorrinolaringológica española</t>
  </si>
  <si>
    <t>ACTA OTORRINOLARINGOLOGICA ESPANOLA</t>
  </si>
  <si>
    <t>Acta Otorrinolaringol Esp</t>
  </si>
  <si>
    <t>Elsevier España</t>
  </si>
  <si>
    <t>Spain</t>
  </si>
  <si>
    <t>1949</t>
  </si>
  <si>
    <t>9205968</t>
  </si>
  <si>
    <t>Acta paediatrica (Oslo, Norway : 1992)</t>
  </si>
  <si>
    <t>ACTA PAEDIATRICA (OSLO, NORWAY : 1992)</t>
  </si>
  <si>
    <t>Acta Paediatr</t>
  </si>
  <si>
    <t>Continues: Acta paediatrica Scandinavica.</t>
  </si>
  <si>
    <t>9315043</t>
  </si>
  <si>
    <t>Acta paediatrica (Oslo, Norway : 1992). Supplement</t>
  </si>
  <si>
    <t>ACTA PAEDIATRICA (OSLO, NORWAY : 1992). SUPPLEMENT</t>
  </si>
  <si>
    <t>Acta Paediatr Suppl</t>
  </si>
  <si>
    <t>Continues: Acta pædiatrica Scandinavica. Supplement.</t>
  </si>
  <si>
    <t>08035326</t>
  </si>
  <si>
    <t>9301947</t>
  </si>
  <si>
    <t>Acta parasitologica / Witold Stefański Institute of Parasitology, Warszawa, Poland</t>
  </si>
  <si>
    <t>ACTA PARASITOLOGICA / WITOLD STEFANSKI INSTITUTE OF PARASITOLOGY, WARSZAWA, POLAND</t>
  </si>
  <si>
    <t>Acta Parasitol</t>
  </si>
  <si>
    <t>18961851</t>
  </si>
  <si>
    <t>12302821</t>
  </si>
  <si>
    <t>Witold Stefanski Institute Of Parasitology</t>
  </si>
  <si>
    <t>9303678</t>
  </si>
  <si>
    <t>Acta pharmaceutica (Zagreb, Croatia)</t>
  </si>
  <si>
    <t>ACTA PHARMACEUTICA (ZAGREB, CROATIA)</t>
  </si>
  <si>
    <t>Acta Pharm</t>
  </si>
  <si>
    <t>Continues: Acta pharmaceutica Jugoslavica.</t>
  </si>
  <si>
    <t>0414322</t>
  </si>
  <si>
    <t>Acta pharmaceutica Hungarica</t>
  </si>
  <si>
    <t>ACTA PHARMACEUTICA HUNGARICA</t>
  </si>
  <si>
    <t>Acta Pharm Hung</t>
  </si>
  <si>
    <t>Continues Gyógyszerésztudományi értesítö, issued 1925-48.</t>
  </si>
  <si>
    <t>hun</t>
  </si>
  <si>
    <t>1953</t>
  </si>
  <si>
    <t>100956087</t>
  </si>
  <si>
    <t>Acta pharmacologica Sinica</t>
  </si>
  <si>
    <t>ACTA PHARMACOLOGICA SINICA</t>
  </si>
  <si>
    <t>Acta Pharmacol Sin</t>
  </si>
  <si>
    <t>Continues: Zhongguo yao li xue bao.</t>
  </si>
  <si>
    <t>101262545</t>
  </si>
  <si>
    <t>Acta physiologica (Oxford, England)</t>
  </si>
  <si>
    <t>ACTA PHYSIOLOGICA (OXFORD, ENGLAND)</t>
  </si>
  <si>
    <t>Acta Physiol (Oxf)</t>
  </si>
  <si>
    <t>Continues: Acta physiologica Scandinavica.</t>
  </si>
  <si>
    <t>Physiology</t>
  </si>
  <si>
    <t>8309201</t>
  </si>
  <si>
    <t>Acta physiologica Hungarica</t>
  </si>
  <si>
    <t>ACTA PHYSIOLOGICA HUNGARICA</t>
  </si>
  <si>
    <t>Acta Physiol Hung</t>
  </si>
  <si>
    <t>Continues: Acta physiologica Academiae Scientiarum Hungaricae.</t>
  </si>
  <si>
    <t>2985167R</t>
  </si>
  <si>
    <t>Acta poloniae pharmaceutica</t>
  </si>
  <si>
    <t>ACTA POLONIAE PHARMACEUTICA</t>
  </si>
  <si>
    <t>Acta Pol Pharm</t>
  </si>
  <si>
    <t>Polski Towarzystwo Farmaceutyczne</t>
  </si>
  <si>
    <t>pol</t>
  </si>
  <si>
    <t>1937</t>
  </si>
  <si>
    <t>0370364</t>
  </si>
  <si>
    <t>Acta psychiatrica Scandinavica</t>
  </si>
  <si>
    <t>ACTA PSYCHIATRICA SCANDINAVICA</t>
  </si>
  <si>
    <t>Acta Psychiatr Scand</t>
  </si>
  <si>
    <t>Monthly, &lt;Jan. 1982-&gt;</t>
  </si>
  <si>
    <t>0370365</t>
  </si>
  <si>
    <t>Acta psychiatrica Scandinavica. Supplementum</t>
  </si>
  <si>
    <t>ACTA PSYCHIATRICA SCANDINAVICA. SUPPLEMENTUM</t>
  </si>
  <si>
    <t>Acta Psychiatr Scand Suppl</t>
  </si>
  <si>
    <t>Continues in part Acta psychiatrica et neurologica Scandinavica, Supplementum.</t>
  </si>
  <si>
    <t>16005473</t>
  </si>
  <si>
    <t>00651591</t>
  </si>
  <si>
    <t>0370366</t>
  </si>
  <si>
    <t>Acta psychologica</t>
  </si>
  <si>
    <t>ACTA PSYCHOLOGICA</t>
  </si>
  <si>
    <t>Acta Psychol (Amst)</t>
  </si>
  <si>
    <t>18736297</t>
  </si>
  <si>
    <t>00016918</t>
  </si>
  <si>
    <t>North Holland Publishing</t>
  </si>
  <si>
    <t>Nine no. a year</t>
  </si>
  <si>
    <t>Psychology</t>
  </si>
  <si>
    <t>8706123</t>
  </si>
  <si>
    <t>Acta radiologica (Stockholm, Sweden : 1987)</t>
  </si>
  <si>
    <t>ACTA RADIOLOGICA (STOCKHOLM, SWEDEN : 1987)</t>
  </si>
  <si>
    <t>Acta Radiol</t>
  </si>
  <si>
    <t>Continues: Acta radiologica. Diagnosis.</t>
  </si>
  <si>
    <t>Sage</t>
  </si>
  <si>
    <t>Ten no. a year, 2006-</t>
  </si>
  <si>
    <t>101470699</t>
  </si>
  <si>
    <t>Acta radiologica. Supplement</t>
  </si>
  <si>
    <t>ACTA RADIOLOGICA. SUPPLEMENT</t>
  </si>
  <si>
    <t>Acta Radiol Suppl (Stockholm)</t>
  </si>
  <si>
    <t>Continues: Acta radiologica. Supplementum.</t>
  </si>
  <si>
    <t>0431702</t>
  </si>
  <si>
    <t>Acta reumatológica portuguesa</t>
  </si>
  <si>
    <t>ACTA REUMATOLOGICA PORTUGUESA</t>
  </si>
  <si>
    <t>Acta Reumatol Port</t>
  </si>
  <si>
    <t>0303464X</t>
  </si>
  <si>
    <t>Sociedade Portuguesa de Reumatologia.</t>
  </si>
  <si>
    <t>Six no. a year, 2009-</t>
  </si>
  <si>
    <t>Rheumatology</t>
  </si>
  <si>
    <t>101295615</t>
  </si>
  <si>
    <t>Acta scientiarum polonorum. Technologia alimentaria</t>
  </si>
  <si>
    <t>ACTA SCIENTIARUM POLONORUM. TECHNOLOGIA ALIMENTARIA</t>
  </si>
  <si>
    <t>Acta Sci Pol Technol Aliment</t>
  </si>
  <si>
    <t>18989594</t>
  </si>
  <si>
    <t>16440730</t>
  </si>
  <si>
    <t>Wydawnictwo Uniwersytetu Przyrodniczego w Poznaniu</t>
  </si>
  <si>
    <t>Four issues a year, 2007-</t>
  </si>
  <si>
    <t>Nutritional Sciences</t>
  </si>
  <si>
    <t>0370374</t>
  </si>
  <si>
    <t>Acta tropica</t>
  </si>
  <si>
    <t>ACTA TROPICA</t>
  </si>
  <si>
    <t>Acta Trop</t>
  </si>
  <si>
    <t>Tropical Medicine</t>
  </si>
  <si>
    <t>1944</t>
  </si>
  <si>
    <t>0177667</t>
  </si>
  <si>
    <t>Acta Universitatis Carolinae. Medica. Monographia</t>
  </si>
  <si>
    <t>ACTA UNIVERSITATIS CAROLINAE. MEDICA. MONOGRAPHIA</t>
  </si>
  <si>
    <t>Acta Univ Carol Med Monogr</t>
  </si>
  <si>
    <t>05678250</t>
  </si>
  <si>
    <t>Medical Faculty Charles University</t>
  </si>
  <si>
    <t>1960</t>
  </si>
  <si>
    <t>8406376</t>
  </si>
  <si>
    <t>Acta veterinaria Hungarica</t>
  </si>
  <si>
    <t>ACTA VETERINARIA HUNGARICA</t>
  </si>
  <si>
    <t>Acta Vet Hung</t>
  </si>
  <si>
    <t>Continues: Acta veterinaria Academiae Scientiarum Hungaricae.</t>
  </si>
  <si>
    <t>02366290</t>
  </si>
  <si>
    <t>Veterinary Medicine</t>
  </si>
  <si>
    <t>0370400</t>
  </si>
  <si>
    <t>Acta veterinaria Scandinavica</t>
  </si>
  <si>
    <t>ACTA VETERINARIA SCANDINAVICA</t>
  </si>
  <si>
    <t>Acta Vet Scand</t>
  </si>
  <si>
    <t>17510147</t>
  </si>
  <si>
    <t>0044605X</t>
  </si>
  <si>
    <t>BioMed Central</t>
  </si>
  <si>
    <t>0370401</t>
  </si>
  <si>
    <t>Acta virologica</t>
  </si>
  <si>
    <t>ACTA VIROLOGICA</t>
  </si>
  <si>
    <t>Acta Virol</t>
  </si>
  <si>
    <t>13362305</t>
  </si>
  <si>
    <t>AEPress, Ltd</t>
  </si>
  <si>
    <t>Slovakia</t>
  </si>
  <si>
    <t>Quarterly, 2002-</t>
  </si>
  <si>
    <t>0373062</t>
  </si>
  <si>
    <t>Actas dermo-sifiliográficas</t>
  </si>
  <si>
    <t>ACTAS DERMO-SIFILIOGRAFICAS</t>
  </si>
  <si>
    <t>Actas Dermosifiliogr</t>
  </si>
  <si>
    <t>Ten no. a year, 2002-</t>
  </si>
  <si>
    <t>1909</t>
  </si>
  <si>
    <t>100886502</t>
  </si>
  <si>
    <t>Actas españolas de psiquiatría</t>
  </si>
  <si>
    <t>ACTAS ESPANOLAS DE PSIQUIATRIA</t>
  </si>
  <si>
    <t>Actas Esp Psiquiatr</t>
  </si>
  <si>
    <t>Continues: Actas luso-españolas de neurología, psiquiatría y ciencias afines.</t>
  </si>
  <si>
    <t>15782735</t>
  </si>
  <si>
    <t>11399287</t>
  </si>
  <si>
    <t>STM Editores</t>
  </si>
  <si>
    <t>7704993</t>
  </si>
  <si>
    <t>Actas urologicas españolas</t>
  </si>
  <si>
    <t>ACTAS UROLOGICAS ESPANOLAS</t>
  </si>
  <si>
    <t>Actas Urol Esp</t>
  </si>
  <si>
    <t>16997980</t>
  </si>
  <si>
    <t>02104806</t>
  </si>
  <si>
    <t>Ten no. a year, 1992-</t>
  </si>
  <si>
    <t>1977</t>
  </si>
  <si>
    <t>7610364</t>
  </si>
  <si>
    <t>Acupuncture &amp; electro-therapeutics research</t>
  </si>
  <si>
    <t>ACUPUNCTURE &amp; ELECTRO-THERAPEUTICS RESEARCH</t>
  </si>
  <si>
    <t>Acupunct Electrother Res</t>
  </si>
  <si>
    <t>03601293</t>
  </si>
  <si>
    <t>Cognizant Communication Corp</t>
  </si>
  <si>
    <t>Complementary Therapies</t>
  </si>
  <si>
    <t>1975</t>
  </si>
  <si>
    <t>9304117</t>
  </si>
  <si>
    <t>Acupuncture in medicine : journal of the British Medical Acupuncture Society</t>
  </si>
  <si>
    <t>ACUPUNCTURE IN MEDICINE : JOURNAL OF THE BRITISH MEDICAL ACUPUNCTURE SOCIETY</t>
  </si>
  <si>
    <t>Acupunct Med</t>
  </si>
  <si>
    <t>Absorbed: Svensk tidskrift for medicinsk akupunktur. 2004</t>
  </si>
  <si>
    <t>17599873</t>
  </si>
  <si>
    <t>09645284</t>
  </si>
  <si>
    <t>BMJ Pub. Group</t>
  </si>
  <si>
    <t>101276603</t>
  </si>
  <si>
    <t>Acute cardiac care</t>
  </si>
  <si>
    <t>ACUTE CARDIAC CARE</t>
  </si>
  <si>
    <t>Acute Card Care</t>
  </si>
  <si>
    <t>Continues: International journal of cardiovascular interventions.</t>
  </si>
  <si>
    <t>101553725</t>
  </si>
  <si>
    <t>Acute medicine</t>
  </si>
  <si>
    <t>ACUTE MEDICINE</t>
  </si>
  <si>
    <t>Acute Med</t>
  </si>
  <si>
    <t>Continues: CPD journal. Acute medicine.</t>
  </si>
  <si>
    <t>Rila</t>
  </si>
  <si>
    <t>Three issues yearly</t>
  </si>
  <si>
    <t>8701671</t>
  </si>
  <si>
    <t>Adapted physical activity quarterly : APAQ</t>
  </si>
  <si>
    <t>ADAPTED PHYSICAL ACTIVITY QUARTERLY : APAQ</t>
  </si>
  <si>
    <t>Adapt Phys Activ Q</t>
  </si>
  <si>
    <t>15432777</t>
  </si>
  <si>
    <t>07365829</t>
  </si>
  <si>
    <t>Human Kinetics Publishers</t>
  </si>
  <si>
    <t>Physiology#Sports Medicine</t>
  </si>
  <si>
    <t>9304118</t>
  </si>
  <si>
    <t>Addiction (Abingdon, England)</t>
  </si>
  <si>
    <t>ADDICTION (ABINGDON, ENGLAND)</t>
  </si>
  <si>
    <t>Addiction</t>
  </si>
  <si>
    <t>Continues: British journal of addiction.</t>
  </si>
  <si>
    <t>13600443</t>
  </si>
  <si>
    <t>09652140</t>
  </si>
  <si>
    <t>Substance-Related Disorders</t>
  </si>
  <si>
    <t>9604935</t>
  </si>
  <si>
    <t>Addiction biology</t>
  </si>
  <si>
    <t>ADDICTION BIOLOGY</t>
  </si>
  <si>
    <t>Addict Biol</t>
  </si>
  <si>
    <t>101316917</t>
  </si>
  <si>
    <t>Addiction science &amp; clinical practice</t>
  </si>
  <si>
    <t>ADDICTION SCIENCE &amp; CLINICAL PRACTICE</t>
  </si>
  <si>
    <t>Addict Sci Clin Pract</t>
  </si>
  <si>
    <t>Continues: Science &amp; practice perspectives.</t>
  </si>
  <si>
    <t>19400640</t>
  </si>
  <si>
    <t>19400632</t>
  </si>
  <si>
    <t>Irregular, 2012-</t>
  </si>
  <si>
    <t>7603486</t>
  </si>
  <si>
    <t>Addictive behaviors</t>
  </si>
  <si>
    <t>ADDICTIVE BEHAVIORS</t>
  </si>
  <si>
    <t>Addict Behav</t>
  </si>
  <si>
    <t>Elsevier Science</t>
  </si>
  <si>
    <t>Nine no. a year, 2003-</t>
  </si>
  <si>
    <t>Behavioral Sciences#Substance-Related Disorders</t>
  </si>
  <si>
    <t>9605506</t>
  </si>
  <si>
    <t>Adicciones</t>
  </si>
  <si>
    <t>ADICCIONES</t>
  </si>
  <si>
    <t>02144840</t>
  </si>
  <si>
    <t>Socidrogalcohol</t>
  </si>
  <si>
    <t>8914574</t>
  </si>
  <si>
    <t>Administration and policy in mental health</t>
  </si>
  <si>
    <t>ADMINISTRATION AND POLICY IN MENTAL HEALTH</t>
  </si>
  <si>
    <t>Adm Policy Ment Health</t>
  </si>
  <si>
    <t>Absorbed: Mental health services research. 2006- Continues: Administration in mental health.</t>
  </si>
  <si>
    <t>15733289</t>
  </si>
  <si>
    <t>0894587X</t>
  </si>
  <si>
    <t>Bimonthly, 1992-</t>
  </si>
  <si>
    <t>Health Services#Psychology</t>
  </si>
  <si>
    <t>1988</t>
  </si>
  <si>
    <t>101314248</t>
  </si>
  <si>
    <t>Adolescent medicine: state of the art reviews</t>
  </si>
  <si>
    <t>ADOLESCENT MEDICINE: STATE OF THE ART REVIEWS</t>
  </si>
  <si>
    <t>Adolesc Med State Art Rev</t>
  </si>
  <si>
    <t>Continues: Adolescent medicine clinics.</t>
  </si>
  <si>
    <t>19344287</t>
  </si>
  <si>
    <t>Three times a year</t>
  </si>
  <si>
    <t>101549550</t>
  </si>
  <si>
    <t>Advance for NPs &amp; PAs</t>
  </si>
  <si>
    <t>ADVANCE FOR NPS &amp; PAS</t>
  </si>
  <si>
    <t>Adv NPs PAs</t>
  </si>
  <si>
    <t>Formed by the union of: Advance for nurse practitioners, and: Advance for physician assistants.</t>
  </si>
  <si>
    <t>23256702</t>
  </si>
  <si>
    <t>23256699</t>
  </si>
  <si>
    <t>Merion Publications, Inc.</t>
  </si>
  <si>
    <t>8710523</t>
  </si>
  <si>
    <t>Advanced drug delivery reviews</t>
  </si>
  <si>
    <t>ADVANCED DRUG DELIVERY REVIEWS</t>
  </si>
  <si>
    <t>Adv Drug Deliv Rev</t>
  </si>
  <si>
    <t>Elsevier Science Publishers, B.V.</t>
  </si>
  <si>
    <t>Twelve no. a year, 2001-</t>
  </si>
  <si>
    <t>101285075</t>
  </si>
  <si>
    <t>Advanced emergency nursing journal</t>
  </si>
  <si>
    <t>ADVANCED EMERGENCY NURSING JOURNAL</t>
  </si>
  <si>
    <t>Adv Emerg Nurs J</t>
  </si>
  <si>
    <t>Continues: Topics in emergency medicine.</t>
  </si>
  <si>
    <t>19314493</t>
  </si>
  <si>
    <t>19314485</t>
  </si>
  <si>
    <t>Emergency Medicine#Nursing</t>
  </si>
  <si>
    <t>101581613</t>
  </si>
  <si>
    <t>Advanced healthcare materials</t>
  </si>
  <si>
    <t>ADVANCED HEALTHCARE MATERIALS</t>
  </si>
  <si>
    <t>Adv Healthc Mater</t>
  </si>
  <si>
    <t>Wiley-VCH</t>
  </si>
  <si>
    <t>Biomedical Engineering#Technology</t>
  </si>
  <si>
    <t>9885358</t>
  </si>
  <si>
    <t>Advanced materials (Deerfield Beach, Fla.)</t>
  </si>
  <si>
    <t>ADVANCED MATERIALS (DEERFIELD BEACH, FLA.)</t>
  </si>
  <si>
    <t>Adv Mater</t>
  </si>
  <si>
    <t>15214095</t>
  </si>
  <si>
    <t>09359648</t>
  </si>
  <si>
    <t>Semimonthly, 2000-</t>
  </si>
  <si>
    <t>Biophysics#Chemistry</t>
  </si>
  <si>
    <t>7501064</t>
  </si>
  <si>
    <t>Advances and technical standards in neurosurgery</t>
  </si>
  <si>
    <t>ADVANCES AND TECHNICAL STANDARDS IN NEUROSURGERY</t>
  </si>
  <si>
    <t>Adv Tech Stand Neurosurg</t>
  </si>
  <si>
    <t>00954829</t>
  </si>
  <si>
    <t>Springer-Verlag.</t>
  </si>
  <si>
    <t>Irregular, 1997-</t>
  </si>
  <si>
    <t>9435676</t>
  </si>
  <si>
    <t>Advances in anatomic pathology</t>
  </si>
  <si>
    <t>ADVANCES IN ANATOMIC PATHOLOGY</t>
  </si>
  <si>
    <t>Adv Anat Pathol</t>
  </si>
  <si>
    <t>Anatomy#Pathology</t>
  </si>
  <si>
    <t>0407712</t>
  </si>
  <si>
    <t>Advances in anatomy, embryology, and cell biology</t>
  </si>
  <si>
    <t>ADVANCES IN ANATOMY, EMBRYOLOGY, AND CELL BIOLOGY</t>
  </si>
  <si>
    <t>Adv Anat Embryol Cell Biol</t>
  </si>
  <si>
    <t>Continues Ergebnisse der Anatomie und Entwicklungsgeschichte.</t>
  </si>
  <si>
    <t>03015556</t>
  </si>
  <si>
    <t>Anatomy#Cell Biology#Embryology</t>
  </si>
  <si>
    <t>0370413</t>
  </si>
  <si>
    <t>Advances in applied microbiology</t>
  </si>
  <si>
    <t>ADVANCES IN APPLIED MICROBIOLOGY</t>
  </si>
  <si>
    <t>Adv Appl Microbiol</t>
  </si>
  <si>
    <t>Annual</t>
  </si>
  <si>
    <t>Microbiology</t>
  </si>
  <si>
    <t>8307733</t>
  </si>
  <si>
    <t>Advances in biochemical engineering/biotechnology</t>
  </si>
  <si>
    <t>ADVANCES IN BIOCHEMICAL ENGINEERING/BIOTECHNOLOGY</t>
  </si>
  <si>
    <t>Adv Biochem Eng Biotechnol</t>
  </si>
  <si>
    <t>Continues: Advances in biochemical engineering.</t>
  </si>
  <si>
    <t>16168542</t>
  </si>
  <si>
    <t>07246145</t>
  </si>
  <si>
    <t>Biochemistry#Biotechnology</t>
  </si>
  <si>
    <t>101572336</t>
  </si>
  <si>
    <t>Advances in biological regulation</t>
  </si>
  <si>
    <t>ADVANCES IN BIOLOGICAL REGULATION</t>
  </si>
  <si>
    <t>Adv Biol Regul</t>
  </si>
  <si>
    <t>Continues: Advances in enzyme regulation.</t>
  </si>
  <si>
    <t>22124934</t>
  </si>
  <si>
    <t>22124926</t>
  </si>
  <si>
    <t>Biochemistry#Molecular Biology</t>
  </si>
  <si>
    <t>0370416</t>
  </si>
  <si>
    <t>Advances in cancer research</t>
  </si>
  <si>
    <t>ADVANCES IN CANCER RESEARCH</t>
  </si>
  <si>
    <t>Adv Cancer Res</t>
  </si>
  <si>
    <t>0240537</t>
  </si>
  <si>
    <t>Advances in carbohydrate chemistry and biochemistry</t>
  </si>
  <si>
    <t>ADVANCES IN CARBOHYDRATE CHEMISTRY AND BIOCHEMISTRY</t>
  </si>
  <si>
    <t>Adv Carbohydr Chem Biochem</t>
  </si>
  <si>
    <t>Continues Advances in carbohydrate chemistry.</t>
  </si>
  <si>
    <t>Biochemistry#Chemistry#Metabolism</t>
  </si>
  <si>
    <t>0370417</t>
  </si>
  <si>
    <t>Advances in child development and behavior</t>
  </si>
  <si>
    <t>ADVANCES IN CHILD DEVELOPMENT AND BEHAVIOR</t>
  </si>
  <si>
    <t>Adv Child Dev Behav</t>
  </si>
  <si>
    <t>00652407</t>
  </si>
  <si>
    <t>Behavioral Sciences#Pediatrics</t>
  </si>
  <si>
    <t>0121020</t>
  </si>
  <si>
    <t>Advances in chromatography</t>
  </si>
  <si>
    <t>ADVANCES IN CHROMATOGRAPHY</t>
  </si>
  <si>
    <t>Adv Chromatogr</t>
  </si>
  <si>
    <t>00652415</t>
  </si>
  <si>
    <t>Marcel Dekker</t>
  </si>
  <si>
    <t>101209214</t>
  </si>
  <si>
    <t>Advances in chronic kidney disease</t>
  </si>
  <si>
    <t>ADVANCES IN CHRONIC KIDNEY DISEASE</t>
  </si>
  <si>
    <t>Adv Chronic Kidney Dis</t>
  </si>
  <si>
    <t>Continues: Advances in renal replacement therapy.</t>
  </si>
  <si>
    <t>Bimonthly, 2009-</t>
  </si>
  <si>
    <t>101138582</t>
  </si>
  <si>
    <t>Advances in clinical and experimental medicine : official organ Wroclaw Medical University</t>
  </si>
  <si>
    <t>ADVANCES IN CLINICAL AND EXPERIMENTAL MEDICINE : OFFICIAL ORGAN WROCLAW MEDICAL UNIVERSITY</t>
  </si>
  <si>
    <t>Adv Clin Exp Med</t>
  </si>
  <si>
    <t>Continues: Postepy medycyny klinicznej i doswiadczalnej.</t>
  </si>
  <si>
    <t>The University</t>
  </si>
  <si>
    <t>Bimonthly, 2003-</t>
  </si>
  <si>
    <t>1998</t>
  </si>
  <si>
    <t>2985173R</t>
  </si>
  <si>
    <t>Advances in clinical chemistry</t>
  </si>
  <si>
    <t>ADVANCES IN CLINICAL CHEMISTRY</t>
  </si>
  <si>
    <t>Adv Clin Chem</t>
  </si>
  <si>
    <t>00652423</t>
  </si>
  <si>
    <t>Chemistry, Clinical</t>
  </si>
  <si>
    <t>1958</t>
  </si>
  <si>
    <t>8706645</t>
  </si>
  <si>
    <t>Advances in colloid and interface science</t>
  </si>
  <si>
    <t>ADVANCES IN COLLOID AND INTERFACE SCIENCE</t>
  </si>
  <si>
    <t>Adv Colloid Interface Sci</t>
  </si>
  <si>
    <t>18733727</t>
  </si>
  <si>
    <t>00018686</t>
  </si>
  <si>
    <t>Sixteen no. a year</t>
  </si>
  <si>
    <t>1967</t>
  </si>
  <si>
    <t>8802131</t>
  </si>
  <si>
    <t>Advances in dental research</t>
  </si>
  <si>
    <t>ADVANCES IN DENTAL RESEARCH</t>
  </si>
  <si>
    <t>Adv Dent Res</t>
  </si>
  <si>
    <t>15440737</t>
  </si>
  <si>
    <t>08959374</t>
  </si>
  <si>
    <t>International Association for Dental Research</t>
  </si>
  <si>
    <t>0337243</t>
  </si>
  <si>
    <t>Advances in enzymology and related areas of molecular biology</t>
  </si>
  <si>
    <t>ADVANCES IN ENZYMOLOGY AND RELATED AREAS OF MOLECULAR BIOLOGY</t>
  </si>
  <si>
    <t>Adv Enzymol Relat Areas Mol Biol</t>
  </si>
  <si>
    <t>Continues Advances in enzymology and related subjects of biochemistry.</t>
  </si>
  <si>
    <t>0065258X</t>
  </si>
  <si>
    <t>Wiley Interscience</t>
  </si>
  <si>
    <t>0121103</t>
  </si>
  <si>
    <t>Advances in experimental medicine and biology</t>
  </si>
  <si>
    <t>ADVANCES IN EXPERIMENTAL MEDICINE AND BIOLOGY</t>
  </si>
  <si>
    <t>Adv Exp Med Biol</t>
  </si>
  <si>
    <t>Kluwer Academic/Plenum Publishers</t>
  </si>
  <si>
    <t>Biology#Medicine</t>
  </si>
  <si>
    <t>9001271</t>
  </si>
  <si>
    <t>Advances in food and nutrition research</t>
  </si>
  <si>
    <t>ADVANCES IN FOOD AND NUTRITION RESEARCH</t>
  </si>
  <si>
    <t>Adv Food Nutr Res</t>
  </si>
  <si>
    <t>Continues: Advances in food research.</t>
  </si>
  <si>
    <t>10434526</t>
  </si>
  <si>
    <t>0370421</t>
  </si>
  <si>
    <t>Advances in genetics</t>
  </si>
  <si>
    <t>ADVANCES IN GENETICS</t>
  </si>
  <si>
    <t>Adv Genet</t>
  </si>
  <si>
    <t>Absorbed: Molecular genetic medicine, in 1995.</t>
  </si>
  <si>
    <t>00652660</t>
  </si>
  <si>
    <t>Genetics, Medical</t>
  </si>
  <si>
    <t>1947</t>
  </si>
  <si>
    <t>100971443</t>
  </si>
  <si>
    <t>Advances in gerontology = Uspekhi gerontologii / Rossiĭskai͡a akademii͡a nauk, Gerontologicheskoe obshchestvo</t>
  </si>
  <si>
    <t>ADVANCES IN GERONTOLOGY = USPEKHI GERONTOLOGII / ROSSIISKAIA AKADEMIIA NAUK, GERONTOLOGICHESKOE OBSHCHESTVO</t>
  </si>
  <si>
    <t>Adv Gerontol</t>
  </si>
  <si>
    <t>15619125</t>
  </si>
  <si>
    <t>Ėskulap</t>
  </si>
  <si>
    <t>Russia (Federation)</t>
  </si>
  <si>
    <t>Geriatrics</t>
  </si>
  <si>
    <t>19uu</t>
  </si>
  <si>
    <t>101090746</t>
  </si>
  <si>
    <t>Advances in health care management</t>
  </si>
  <si>
    <t>ADVANCES IN HEALTH CARE MANAGEMENT</t>
  </si>
  <si>
    <t>Adv Health Care Manag</t>
  </si>
  <si>
    <t>14748231</t>
  </si>
  <si>
    <t>Emerald</t>
  </si>
  <si>
    <t>8206631</t>
  </si>
  <si>
    <t>Advances in health economics and health services research</t>
  </si>
  <si>
    <t>ADVANCES IN HEALTH ECONOMICS AND HEALTH SERVICES RESEARCH</t>
  </si>
  <si>
    <t>Adv Health Econ Health Serv Res</t>
  </si>
  <si>
    <t>Continues: Research in health economics.</t>
  </si>
  <si>
    <t>Elsevier JAI</t>
  </si>
  <si>
    <t>?</t>
  </si>
  <si>
    <t>9612021</t>
  </si>
  <si>
    <t>Advances in health sciences education : theory and practice</t>
  </si>
  <si>
    <t>ADVANCES IN HEALTH SCIENCES EDUCATION : THEORY AND PRACTICE</t>
  </si>
  <si>
    <t>Adv Health Sci Educ Theory Pract</t>
  </si>
  <si>
    <t>15731677</t>
  </si>
  <si>
    <t>13824996</t>
  </si>
  <si>
    <t>Kluwer Academic Publishers</t>
  </si>
  <si>
    <t>Education#Public Health</t>
  </si>
  <si>
    <t>0370425</t>
  </si>
  <si>
    <t>Advances in immunology</t>
  </si>
  <si>
    <t>ADVANCES IN IMMUNOLOGY</t>
  </si>
  <si>
    <t>Adv Immunol</t>
  </si>
  <si>
    <t>Allergy and Immunology</t>
  </si>
  <si>
    <t>100960029</t>
  </si>
  <si>
    <t>Advances in life course research</t>
  </si>
  <si>
    <t>ADVANCES IN LIFE COURSE RESEARCH</t>
  </si>
  <si>
    <t>Adv Life Course Res</t>
  </si>
  <si>
    <t>Continues: Current perspectives on aging and the life cycle.</t>
  </si>
  <si>
    <t>18796974</t>
  </si>
  <si>
    <t>15694909</t>
  </si>
  <si>
    <t>Quarterly, 2009-</t>
  </si>
  <si>
    <t>Behavioral Sciences#Social Sciences</t>
  </si>
  <si>
    <t>0370431</t>
  </si>
  <si>
    <t>Advances in marine biology</t>
  </si>
  <si>
    <t>ADVANCES IN MARINE BIOLOGY</t>
  </si>
  <si>
    <t>Adv Mar Biol</t>
  </si>
  <si>
    <t>00652881</t>
  </si>
  <si>
    <t>101276222</t>
  </si>
  <si>
    <t>Advances in medical sciences</t>
  </si>
  <si>
    <t>ADVANCES IN MEDICAL SCIENCES</t>
  </si>
  <si>
    <t>Adv Med Sci</t>
  </si>
  <si>
    <t>Continues: Roczniki Akademii Medycznej w Białymstoku (1995).</t>
  </si>
  <si>
    <t>Two times a year, 2008-</t>
  </si>
  <si>
    <t>0117147</t>
  </si>
  <si>
    <t>Advances in microbial physiology</t>
  </si>
  <si>
    <t>ADVANCES IN MICROBIAL PHYSIOLOGY</t>
  </si>
  <si>
    <t>Adv Microb Physiol</t>
  </si>
  <si>
    <t>9813115</t>
  </si>
  <si>
    <t>Advances in mind-body medicine</t>
  </si>
  <si>
    <t>ADVANCES IN MIND-BODY MEDICINE</t>
  </si>
  <si>
    <t>Adv Mind Body Med</t>
  </si>
  <si>
    <t>Continues: Advances (New York, N.Y.).</t>
  </si>
  <si>
    <t>15321843</t>
  </si>
  <si>
    <t>14703556</t>
  </si>
  <si>
    <t>Fetzer Institute</t>
  </si>
  <si>
    <t>101125644</t>
  </si>
  <si>
    <t>Advances in neonatal care : official journal of the National Association of Neonatal Nurses</t>
  </si>
  <si>
    <t>ADVANCES IN NEONATAL CARE : OFFICIAL JOURNAL OF THE NATIONAL ASSOCIATION OF NEONATAL NURSES</t>
  </si>
  <si>
    <t>Adv Neonatal Care</t>
  </si>
  <si>
    <t>15360911</t>
  </si>
  <si>
    <t>15360903</t>
  </si>
  <si>
    <t>W.B. Saunders Co.</t>
  </si>
  <si>
    <t>2001</t>
  </si>
  <si>
    <t>101540874</t>
  </si>
  <si>
    <t>Advances in nutrition (Bethesda, Md.)</t>
  </si>
  <si>
    <t>ADVANCES IN NUTRITION (BETHESDA, MD.)</t>
  </si>
  <si>
    <t>Adv Nutr</t>
  </si>
  <si>
    <t>21565376</t>
  </si>
  <si>
    <t>21618313</t>
  </si>
  <si>
    <t>7802764</t>
  </si>
  <si>
    <t>Advances in nutritional research</t>
  </si>
  <si>
    <t>ADVANCES IN NUTRITIONAL RESEARCH</t>
  </si>
  <si>
    <t>Adv Nutr Res</t>
  </si>
  <si>
    <t>01499483</t>
  </si>
  <si>
    <t>Plenum</t>
  </si>
  <si>
    <t>0242534</t>
  </si>
  <si>
    <t>Advances in oto-rhino-laryngology</t>
  </si>
  <si>
    <t>ADVANCES IN OTO-RHINO-LARYNGOLOGY</t>
  </si>
  <si>
    <t>Adv Otorhinolaryngol</t>
  </si>
  <si>
    <t>16622847</t>
  </si>
  <si>
    <t>00653071</t>
  </si>
  <si>
    <t>0370435</t>
  </si>
  <si>
    <t>Advances in parasitology</t>
  </si>
  <si>
    <t>ADVANCES IN PARASITOLOGY</t>
  </si>
  <si>
    <t>Adv Parasitol</t>
  </si>
  <si>
    <t>0370436</t>
  </si>
  <si>
    <t>Advances in pediatrics</t>
  </si>
  <si>
    <t>ADVANCES IN PEDIATRICS</t>
  </si>
  <si>
    <t>Adv Pediatr</t>
  </si>
  <si>
    <t>18781926</t>
  </si>
  <si>
    <t>00653101</t>
  </si>
  <si>
    <t>Mosby</t>
  </si>
  <si>
    <t>1942</t>
  </si>
  <si>
    <t>9104803</t>
  </si>
  <si>
    <t>Advances in peritoneal dialysis. Conference on Peritoneal Dialysis</t>
  </si>
  <si>
    <t>ADVANCES IN PERITONEAL DIALYSIS. CONFERENCE ON PERITONEAL DIALYSIS</t>
  </si>
  <si>
    <t>Adv Perit Dial</t>
  </si>
  <si>
    <t>11978554</t>
  </si>
  <si>
    <t>Peritoneal Dialysis Bulletin, Inc.</t>
  </si>
  <si>
    <t>Canada</t>
  </si>
  <si>
    <t>1985</t>
  </si>
  <si>
    <t>9015397</t>
  </si>
  <si>
    <t>Advances in pharmacology (San Diego, Calif.)</t>
  </si>
  <si>
    <t>ADVANCES IN PHARMACOLOGY (SAN DIEGO, CALIF.)</t>
  </si>
  <si>
    <t>Adv Pharmacol</t>
  </si>
  <si>
    <t>Continues: Advances in pharmacology and chemotherapy.</t>
  </si>
  <si>
    <t>100913944</t>
  </si>
  <si>
    <t>Advances in physiology education</t>
  </si>
  <si>
    <t>ADVANCES IN PHYSIOLOGY EDUCATION</t>
  </si>
  <si>
    <t>Adv Physiol Educ</t>
  </si>
  <si>
    <t>15221229</t>
  </si>
  <si>
    <t>10434046</t>
  </si>
  <si>
    <t>Annual, &lt;2005-&gt;</t>
  </si>
  <si>
    <t>Education#Physiology</t>
  </si>
  <si>
    <t>101497281</t>
  </si>
  <si>
    <t>Advances in protein chemistry and structural biology</t>
  </si>
  <si>
    <t>ADVANCES IN PROTEIN CHEMISTRY AND STRUCTURAL BIOLOGY</t>
  </si>
  <si>
    <t>Adv Protein Chem Struct Biol</t>
  </si>
  <si>
    <t>Continues: Advances in protein chemistry.</t>
  </si>
  <si>
    <t>18761631</t>
  </si>
  <si>
    <t>0101303</t>
  </si>
  <si>
    <t>Advances in psychosomatic medicine</t>
  </si>
  <si>
    <t>ADVANCES IN PSYCHOSOMATIC MEDICINE</t>
  </si>
  <si>
    <t>Adv Psychosom Med</t>
  </si>
  <si>
    <t>Continues Fortschritte der psychosomatischen Medizin.</t>
  </si>
  <si>
    <t>16622855</t>
  </si>
  <si>
    <t>00653268</t>
  </si>
  <si>
    <t>100911021</t>
  </si>
  <si>
    <t>Advances in skin &amp; wound care</t>
  </si>
  <si>
    <t>ADVANCES IN SKIN &amp; WOUND CARE</t>
  </si>
  <si>
    <t>Adv Skin Wound Care</t>
  </si>
  <si>
    <t>Continues: Advances in wound care.</t>
  </si>
  <si>
    <t>15388654</t>
  </si>
  <si>
    <t>15277941</t>
  </si>
  <si>
    <t>Nine no. a year, 2004-</t>
  </si>
  <si>
    <t>9316462</t>
  </si>
  <si>
    <t>Advances in space biology and medicine</t>
  </si>
  <si>
    <t>ADVANCES IN SPACE BIOLOGY AND MEDICINE</t>
  </si>
  <si>
    <t>Adv Space Biol Med</t>
  </si>
  <si>
    <t>15692574</t>
  </si>
  <si>
    <t>Aerospace Medicine#Biology</t>
  </si>
  <si>
    <t>0045335</t>
  </si>
  <si>
    <t>Advances in surgery</t>
  </si>
  <si>
    <t>ADVANCES IN SURGERY</t>
  </si>
  <si>
    <t>Adv Surg</t>
  </si>
  <si>
    <t>00653411</t>
  </si>
  <si>
    <t>Mosby Year Book</t>
  </si>
  <si>
    <t>8611864</t>
  </si>
  <si>
    <t>Advances in therapy</t>
  </si>
  <si>
    <t>ADVANCES IN THERAPY</t>
  </si>
  <si>
    <t>Adv Ther</t>
  </si>
  <si>
    <t>Health Communications Inc.</t>
  </si>
  <si>
    <t>Monthly, 2008-</t>
  </si>
  <si>
    <t>Therapeutics</t>
  </si>
  <si>
    <t>0370441</t>
  </si>
  <si>
    <t>Advances in virus research</t>
  </si>
  <si>
    <t>ADVANCES IN VIRUS RESEARCH</t>
  </si>
  <si>
    <t>Adv Virus Res</t>
  </si>
  <si>
    <t>15578399</t>
  </si>
  <si>
    <t>00653527</t>
  </si>
  <si>
    <t>7701756</t>
  </si>
  <si>
    <t>Aesthetic plastic surgery</t>
  </si>
  <si>
    <t>AESTHETIC PLASTIC SURGERY</t>
  </si>
  <si>
    <t>Aesthetic Plast Surg</t>
  </si>
  <si>
    <t>14325241</t>
  </si>
  <si>
    <t>0364216X</t>
  </si>
  <si>
    <t>1976</t>
  </si>
  <si>
    <t>9707469</t>
  </si>
  <si>
    <t>Aesthetic surgery journal / the American Society for Aesthetic Plastic surgery</t>
  </si>
  <si>
    <t>AESTHETIC SURGERY JOURNAL / THE AMERICAN SOCIETY FOR AESTHETIC PLASTIC SURGERY</t>
  </si>
  <si>
    <t>Aesthet Surg J</t>
  </si>
  <si>
    <t>Continues: Aesthetic surgery quarterly.</t>
  </si>
  <si>
    <t>Eight no. a year, 2011-</t>
  </si>
  <si>
    <t>101149451</t>
  </si>
  <si>
    <t>African health sciences</t>
  </si>
  <si>
    <t>AFRICAN HEALTH SCIENCES</t>
  </si>
  <si>
    <t>Afr Health Sci</t>
  </si>
  <si>
    <t>17290503</t>
  </si>
  <si>
    <t>Faculty of Medicine, Makerere University</t>
  </si>
  <si>
    <t>Uganda</t>
  </si>
  <si>
    <t>Four no. a year, 2005-</t>
  </si>
  <si>
    <t>Health Services#Medicine</t>
  </si>
  <si>
    <t>7801013</t>
  </si>
  <si>
    <t>African journal of medicine and medical sciences</t>
  </si>
  <si>
    <t>AFRICAN JOURNAL OF MEDICINE AND MEDICAL SCIENCES</t>
  </si>
  <si>
    <t>Afr J Med Med Sci</t>
  </si>
  <si>
    <t>Continues: African journal of medical sciences.</t>
  </si>
  <si>
    <t>03093913</t>
  </si>
  <si>
    <t>College of Medicine, University of Ibadan and the University College Hospital.</t>
  </si>
  <si>
    <t>Nigeria</t>
  </si>
  <si>
    <t>Medicine#Tropical Medicine</t>
  </si>
  <si>
    <t>101255062</t>
  </si>
  <si>
    <t>African journal of paediatric surgery : AJPS</t>
  </si>
  <si>
    <t>AFRICAN JOURNAL OF PAEDIATRIC SURGERY : AJPS</t>
  </si>
  <si>
    <t>Afr J Paediatr Surg</t>
  </si>
  <si>
    <t>09745998</t>
  </si>
  <si>
    <t>01896725</t>
  </si>
  <si>
    <t>Medknow Publications</t>
  </si>
  <si>
    <t>Quarterly, 2013-</t>
  </si>
  <si>
    <t>General Surgery#Pediatrics</t>
  </si>
  <si>
    <t>9712263</t>
  </si>
  <si>
    <t>African journal of reproductive health</t>
  </si>
  <si>
    <t>AFRICAN JOURNAL OF REPRODUCTIVE HEALTH</t>
  </si>
  <si>
    <t>Afr J Reprod Health</t>
  </si>
  <si>
    <t>11184841</t>
  </si>
  <si>
    <t>Women's Health and Action Research Centre</t>
  </si>
  <si>
    <t>Four no. a year, 2009-</t>
  </si>
  <si>
    <t>Reproductive Medicine</t>
  </si>
  <si>
    <t>101232990</t>
  </si>
  <si>
    <t>African journal of traditional, complementary, and alternative medicines : AJTCAM / African Networks on Ethnomedicines</t>
  </si>
  <si>
    <t>AFRICAN JOURNAL OF TRADITIONAL, COMPLEMENTARY, AND ALTERNATIVE MEDICINES : AJTCAM / AFRICAN NETWORKS ON ETHNOMEDICINES</t>
  </si>
  <si>
    <t>Afr J Tradit Complement Altern Med</t>
  </si>
  <si>
    <t>African Networks on Ethnomedicines</t>
  </si>
  <si>
    <t>101250497</t>
  </si>
  <si>
    <t>Age (Dordrecht, Netherlands)</t>
  </si>
  <si>
    <t>AGE (DORDRECHT, NETHERLANDS)</t>
  </si>
  <si>
    <t>Age (Dordr)</t>
  </si>
  <si>
    <t>Continues: Journal of the American Aging Association.</t>
  </si>
  <si>
    <t>0375655</t>
  </si>
  <si>
    <t>Age and ageing</t>
  </si>
  <si>
    <t>AGE AND AGEING</t>
  </si>
  <si>
    <t>Age Ageing</t>
  </si>
  <si>
    <t>1972</t>
  </si>
  <si>
    <t>101128963</t>
  </si>
  <si>
    <t>Ageing research reviews</t>
  </si>
  <si>
    <t>AGEING RESEARCH REVIEWS</t>
  </si>
  <si>
    <t>Ageing Res Rev</t>
  </si>
  <si>
    <t>Continues in part: Mechanisms of ageing and development.</t>
  </si>
  <si>
    <t>7502265</t>
  </si>
  <si>
    <t>Aggressive behavior</t>
  </si>
  <si>
    <t>AGGRESSIVE BEHAVIOR</t>
  </si>
  <si>
    <t>Aggress Behav</t>
  </si>
  <si>
    <t>10982337</t>
  </si>
  <si>
    <t>0096140X</t>
  </si>
  <si>
    <t>Wiley-Liss</t>
  </si>
  <si>
    <t>Behavioral Sciences</t>
  </si>
  <si>
    <t>101508617</t>
  </si>
  <si>
    <t>Aging</t>
  </si>
  <si>
    <t>AGING</t>
  </si>
  <si>
    <t>Aging (Albany NY)</t>
  </si>
  <si>
    <t>19454589</t>
  </si>
  <si>
    <t>Impact Journals, LLC</t>
  </si>
  <si>
    <t>9705773</t>
  </si>
  <si>
    <t>Aging &amp; mental health</t>
  </si>
  <si>
    <t>AGING &amp; MENTAL HEALTH</t>
  </si>
  <si>
    <t>Aging Ment Health</t>
  </si>
  <si>
    <t>13646915</t>
  </si>
  <si>
    <t>13607863</t>
  </si>
  <si>
    <t>Eight no. a year, 2010-</t>
  </si>
  <si>
    <t>Geriatrics#Psychology</t>
  </si>
  <si>
    <t>101130839</t>
  </si>
  <si>
    <t>Aging cell</t>
  </si>
  <si>
    <t>AGING CELL</t>
  </si>
  <si>
    <t>101132995</t>
  </si>
  <si>
    <t>Aging clinical and experimental research</t>
  </si>
  <si>
    <t>AGING CLINICAL AND EXPERIMENTAL RESEARCH</t>
  </si>
  <si>
    <t>Aging Clin Exp Res</t>
  </si>
  <si>
    <t>Continues: Aging (Milan, Italy).</t>
  </si>
  <si>
    <t>9808210</t>
  </si>
  <si>
    <t>The aging male : the official journal of the International Society for the Study of the Aging Male</t>
  </si>
  <si>
    <t>AGING MALE : THE OFFICIAL JOURNAL OF THE INTERNATIONAL SOCIETY FOR THE STUDY OF THE AGING MALE</t>
  </si>
  <si>
    <t>9426197</t>
  </si>
  <si>
    <t>Aǧrı : Ağrı (Algoloji) Derneği'nin Yayın organıdır = The journal of the Turkish Society of Algology</t>
  </si>
  <si>
    <t>AGRI : AGRI (ALGOLOJI) DERNEGI'NIN YAYIN ORGANIDIR = THE JOURNAL OF THE TURKISH SOCIETY OF ALGOLOGY</t>
  </si>
  <si>
    <t>Agri</t>
  </si>
  <si>
    <t>13000012</t>
  </si>
  <si>
    <t>Türk Algoloji (Aǧrı) Derneği</t>
  </si>
  <si>
    <t>Neurology#Psychophysiology</t>
  </si>
  <si>
    <t>2985175R</t>
  </si>
  <si>
    <t>ha-Ahot be-Yisrael</t>
  </si>
  <si>
    <t>AHOT BE-YISRAEL</t>
  </si>
  <si>
    <t>Ahot Beyisrael</t>
  </si>
  <si>
    <t>00481165</t>
  </si>
  <si>
    <t>National Association of Nurses in Israel</t>
  </si>
  <si>
    <t>Israel</t>
  </si>
  <si>
    <t>heb</t>
  </si>
  <si>
    <t>8708548</t>
  </si>
  <si>
    <t>AIDS &amp; public policy journal</t>
  </si>
  <si>
    <t>AIDS &amp; PUBLIC POLICY JOURNAL</t>
  </si>
  <si>
    <t>AIDS Public Policy J</t>
  </si>
  <si>
    <t>08873852</t>
  </si>
  <si>
    <t>University Pub. Group</t>
  </si>
  <si>
    <t>Acquired Immunodeficiency Syndrome#Public Health</t>
  </si>
  <si>
    <t>8710219</t>
  </si>
  <si>
    <t>AIDS (London, England)</t>
  </si>
  <si>
    <t>AIDS (LONDON, ENGLAND)</t>
  </si>
  <si>
    <t>Eighteen no. a year, 1998-</t>
  </si>
  <si>
    <t>Acquired Immunodeficiency Syndrome</t>
  </si>
  <si>
    <t>8608900</t>
  </si>
  <si>
    <t>AIDS alert</t>
  </si>
  <si>
    <t>AIDS ALERT</t>
  </si>
  <si>
    <t>AIDS Alert</t>
  </si>
  <si>
    <t>Continues: Common sense about AIDS.</t>
  </si>
  <si>
    <t>08870292</t>
  </si>
  <si>
    <t>American Health Consultants</t>
  </si>
  <si>
    <t>9712133</t>
  </si>
  <si>
    <t>AIDS and behavior</t>
  </si>
  <si>
    <t>AIDS AND BEHAVIOR</t>
  </si>
  <si>
    <t>AIDS Behav</t>
  </si>
  <si>
    <t>15733254</t>
  </si>
  <si>
    <t>10907165</t>
  </si>
  <si>
    <t>Springer Science + Business Media</t>
  </si>
  <si>
    <t>9 no. a year, 2013-</t>
  </si>
  <si>
    <t>Acquired Immunodeficiency Syndrome#Behavioral Sciences</t>
  </si>
  <si>
    <t>8915313</t>
  </si>
  <si>
    <t>AIDS care</t>
  </si>
  <si>
    <t>AIDS CARE</t>
  </si>
  <si>
    <t>AIDS Care</t>
  </si>
  <si>
    <t>Ten no. a year</t>
  </si>
  <si>
    <t>9002873</t>
  </si>
  <si>
    <t>AIDS education and prevention : official publication of the International Society for AIDS Education</t>
  </si>
  <si>
    <t>AIDS EDUCATION AND PREVENTION : OFFICIAL PUBLICATION OF THE INTERNATIONAL SOCIETY FOR AIDS EDUCATION</t>
  </si>
  <si>
    <t>AIDS Educ Prev</t>
  </si>
  <si>
    <t>19432755</t>
  </si>
  <si>
    <t>Acquired Immunodeficiency Syndrome#Education</t>
  </si>
  <si>
    <t>9607225</t>
  </si>
  <si>
    <t>AIDS patient care and STDs</t>
  </si>
  <si>
    <t>AIDS PATIENT CARE AND STDS</t>
  </si>
  <si>
    <t>AIDS Patient Care STDS</t>
  </si>
  <si>
    <t>Absorbed: Pediatric AIDS and HIV infection. June 1997 Continues: AIDS patient care.</t>
  </si>
  <si>
    <t>Mary Ann Liebert, Inc.</t>
  </si>
  <si>
    <t>Monthly, Dec. 1998-</t>
  </si>
  <si>
    <t>Acquired Immunodeficiency Syndrome#Sexually Transmitted Diseases</t>
  </si>
  <si>
    <t>8703425</t>
  </si>
  <si>
    <t>AIDS policy &amp; law</t>
  </si>
  <si>
    <t>AIDS POLICY &amp; LAW</t>
  </si>
  <si>
    <t>AIDS Policy Law</t>
  </si>
  <si>
    <t>08871493</t>
  </si>
  <si>
    <t>Buraff Publications</t>
  </si>
  <si>
    <t>Biweekly</t>
  </si>
  <si>
    <t>Acquired Immunodeficiency Syndrome#Jurisprudence#Public Health</t>
  </si>
  <si>
    <t>9206753</t>
  </si>
  <si>
    <t>The AIDS reader</t>
  </si>
  <si>
    <t>AIDS READER</t>
  </si>
  <si>
    <t>AIDS Read</t>
  </si>
  <si>
    <t>CMP Healthcare Media, Cliggott Publishing Group</t>
  </si>
  <si>
    <t>Monthly, 2000-</t>
  </si>
  <si>
    <t>8709376</t>
  </si>
  <si>
    <t>AIDS research and human retroviruses</t>
  </si>
  <si>
    <t>AIDS RESEARCH AND HUMAN RETROVIRUSES</t>
  </si>
  <si>
    <t>AIDS Res Hum Retroviruses</t>
  </si>
  <si>
    <t>Continues: AIDS research.</t>
  </si>
  <si>
    <t>Mary Ann Liebert</t>
  </si>
  <si>
    <t>Eighteen no. a year</t>
  </si>
  <si>
    <t>101134876</t>
  </si>
  <si>
    <t>AIDS reviews</t>
  </si>
  <si>
    <t>AIDS REVIEWS</t>
  </si>
  <si>
    <t>AIDS Rev</t>
  </si>
  <si>
    <t>16986997</t>
  </si>
  <si>
    <t>Permanyer Publications</t>
  </si>
  <si>
    <t>9312325</t>
  </si>
  <si>
    <t>Air medical journal</t>
  </si>
  <si>
    <t>AIR MEDICAL JOURNAL</t>
  </si>
  <si>
    <t>Air Med J</t>
  </si>
  <si>
    <t>Continues: AirMed. 2001 Continues: Journal of air medical transport.</t>
  </si>
  <si>
    <t>Bimonthly, &lt;2004-&gt;</t>
  </si>
  <si>
    <t>Aerospace Medicine#Emergency Medicine</t>
  </si>
  <si>
    <t>8003708</t>
  </si>
  <si>
    <t>AJNR. American journal of neuroradiology</t>
  </si>
  <si>
    <t>AJNR. AMERICAN JOURNAL OF NEURORADIOLOGY</t>
  </si>
  <si>
    <t>AJNR Am J Neuroradiol</t>
  </si>
  <si>
    <t>Neurology#Radiology</t>
  </si>
  <si>
    <t>1980</t>
  </si>
  <si>
    <t>7708173</t>
  </si>
  <si>
    <t>AJR. American journal of roentgenology</t>
  </si>
  <si>
    <t>AJR. AMERICAN JOURNAL OF ROENTGENOLOGY</t>
  </si>
  <si>
    <t>AJR Am J Roentgenol</t>
  </si>
  <si>
    <t>Continues: American journal of roentgenology, radium therapy and nuclear medicine.</t>
  </si>
  <si>
    <t>0234014</t>
  </si>
  <si>
    <t>AJS; American journal of sociology</t>
  </si>
  <si>
    <t>AJS; AMERICAN JOURNAL OF SOCIOLOGY</t>
  </si>
  <si>
    <t>AJS</t>
  </si>
  <si>
    <t>Continues the American journal of sociology.</t>
  </si>
  <si>
    <t>15375390</t>
  </si>
  <si>
    <t>00029602</t>
  </si>
  <si>
    <t>History of Medicine#Social Sciences</t>
  </si>
  <si>
    <t>1964</t>
  </si>
  <si>
    <t>0421406</t>
  </si>
  <si>
    <t>Aktuelle Urologie</t>
  </si>
  <si>
    <t>AKTUELLE UROLOGIE</t>
  </si>
  <si>
    <t>Aktuelle Urol</t>
  </si>
  <si>
    <t>Continues Actuelle Urologie.</t>
  </si>
  <si>
    <t>14388820</t>
  </si>
  <si>
    <t>00017868</t>
  </si>
  <si>
    <t>Thieme</t>
  </si>
  <si>
    <t>0370455</t>
  </si>
  <si>
    <t>Akusherstvo i ginekologii͡a</t>
  </si>
  <si>
    <t>AKUSHERSTVO I GINEKOLOGIIA</t>
  </si>
  <si>
    <t>Akush Ginekol (Sofiia)</t>
  </si>
  <si>
    <t>03240959</t>
  </si>
  <si>
    <t>Meditsina I Fizkultura</t>
  </si>
  <si>
    <t>Bulgaria</t>
  </si>
  <si>
    <t>bul</t>
  </si>
  <si>
    <t>14720150R</t>
  </si>
  <si>
    <t>The Alabama nurse</t>
  </si>
  <si>
    <t>ALABAMA NURSE</t>
  </si>
  <si>
    <t>Ala Nurse</t>
  </si>
  <si>
    <t>Supersedes Alabama State Nurses' Association. Bulletin.</t>
  </si>
  <si>
    <t>00024317</t>
  </si>
  <si>
    <t>Alabama State Nurses Association</t>
  </si>
  <si>
    <t>0370457</t>
  </si>
  <si>
    <t>Alaska medicine</t>
  </si>
  <si>
    <t>ALASKA MEDICINE</t>
  </si>
  <si>
    <t>Alaska Med</t>
  </si>
  <si>
    <t>00024538</t>
  </si>
  <si>
    <t>Alaska State Medical Association</t>
  </si>
  <si>
    <t>Annual, 2008-</t>
  </si>
  <si>
    <t>9892402</t>
  </si>
  <si>
    <t>Albany law review</t>
  </si>
  <si>
    <t>ALBANY LAW REVIEW</t>
  </si>
  <si>
    <t>Albany Law Rev</t>
  </si>
  <si>
    <t>Beginning with 1996, absorbed: State constitutional commentaries and notes, as an annual special issue with title: State constitutional commentary.</t>
  </si>
  <si>
    <t>00024678</t>
  </si>
  <si>
    <t>Albany Law School</t>
  </si>
  <si>
    <t>5 no. a year, 1996-</t>
  </si>
  <si>
    <t>Jurisprudence</t>
  </si>
  <si>
    <t>100883278</t>
  </si>
  <si>
    <t>Alberta RN / Alberta Association of Registered Nurses</t>
  </si>
  <si>
    <t>ALBERTA RN / ALBERTA ASSOCIATION OF REGISTERED NURSES</t>
  </si>
  <si>
    <t>Alta RN</t>
  </si>
  <si>
    <t>Continues: AARN newsletter.</t>
  </si>
  <si>
    <t>14819988</t>
  </si>
  <si>
    <t>The Association</t>
  </si>
  <si>
    <t>Six no. a year, 2010-</t>
  </si>
  <si>
    <t>8502311</t>
  </si>
  <si>
    <t>Alcohol (Fayetteville, N.Y.)</t>
  </si>
  <si>
    <t>ALCOHOL (FAYETTEVILLE, N.Y.)</t>
  </si>
  <si>
    <t>Absorbed: Alcohol and drug research.</t>
  </si>
  <si>
    <t>Nine no. a year, 1999-</t>
  </si>
  <si>
    <t>8310684</t>
  </si>
  <si>
    <t>Alcohol and alcoholism (Oxford, Oxfordshire)</t>
  </si>
  <si>
    <t>ALCOHOL AND ALCOHOLISM (OXFORD, OXFORDSHIRE)</t>
  </si>
  <si>
    <t>Alcohol Alcohol</t>
  </si>
  <si>
    <t>Continues: British journal on alcohol and alcoholism.</t>
  </si>
  <si>
    <t>8804836</t>
  </si>
  <si>
    <t>Alcohol and alcoholism (Oxford, Oxfordshire). Supplement</t>
  </si>
  <si>
    <t>ALCOHOL AND ALCOHOLISM (OXFORD, OXFORDSHIRE). SUPPLEMENT</t>
  </si>
  <si>
    <t>Alcohol Alcohol Suppl</t>
  </si>
  <si>
    <t>13586173</t>
  </si>
  <si>
    <t>101594475</t>
  </si>
  <si>
    <t>Alcohol research : current reviews</t>
  </si>
  <si>
    <t>ALCOHOL RESEARCH : CURRENT REVIEWS</t>
  </si>
  <si>
    <t>Alcohol Res</t>
  </si>
  <si>
    <t>Continues: Alcohol research &amp; health.</t>
  </si>
  <si>
    <t>21694796</t>
  </si>
  <si>
    <t>21683492</t>
  </si>
  <si>
    <t>7707242</t>
  </si>
  <si>
    <t>Alcoholism, clinical and experimental research</t>
  </si>
  <si>
    <t>ALCOHOLISM, CLINICAL AND EXPERIMENTAL RESEARCH</t>
  </si>
  <si>
    <t>Alcohol Clin Exp Res</t>
  </si>
  <si>
    <t>8707234</t>
  </si>
  <si>
    <t>Alimentary pharmacology &amp; therapeutics</t>
  </si>
  <si>
    <t>ALIMENTARY PHARMACOLOGY &amp; THERAPEUTICS</t>
  </si>
  <si>
    <t>Aliment Pharmacol Ther</t>
  </si>
  <si>
    <t>Monthly, 1998-</t>
  </si>
  <si>
    <t>Drug Therapy#Gastroenterology#Pharmacology</t>
  </si>
  <si>
    <t>9812842</t>
  </si>
  <si>
    <t>The Alkaloids. Chemistry and biology</t>
  </si>
  <si>
    <t>ALKALOIDS. CHEMISTRY AND BIOLOGY</t>
  </si>
  <si>
    <t>Alkaloids Chem Biol</t>
  </si>
  <si>
    <t>Continues: Alkaloids. Chemistry and pharmacology.</t>
  </si>
  <si>
    <t>10994831</t>
  </si>
  <si>
    <t>Biology#Chemistry</t>
  </si>
  <si>
    <t>0370073</t>
  </si>
  <si>
    <t>Allergologia et immunopathologia</t>
  </si>
  <si>
    <t>ALLERGOLOGIA ET IMMUNOPATHOLOGIA</t>
  </si>
  <si>
    <t>Allergol Immunopathol (Madr)</t>
  </si>
  <si>
    <t>9616296</t>
  </si>
  <si>
    <t>Allergology international : official journal of the Japanese Society of Allergology</t>
  </si>
  <si>
    <t>ALLERGOLOGY INTERNATIONAL : OFFICIAL JOURNAL OF THE JAPANESE SOCIETY OF ALLERGOLOGY</t>
  </si>
  <si>
    <t>Allergol Int</t>
  </si>
  <si>
    <t>7804028</t>
  </si>
  <si>
    <t>Allergy</t>
  </si>
  <si>
    <t>ALLERGY</t>
  </si>
  <si>
    <t>Continues: Acta allergologica.</t>
  </si>
  <si>
    <t>1978</t>
  </si>
  <si>
    <t>9603640</t>
  </si>
  <si>
    <t>Allergy and asthma proceedings : the official journal of regional and state allergy societies</t>
  </si>
  <si>
    <t>ALLERGY AND ASTHMA PROCEEDINGS : THE OFFICIAL JOURNAL OF REGIONAL AND STATE ALLERGY SOCIETIES</t>
  </si>
  <si>
    <t>Allergy Asthma Proc</t>
  </si>
  <si>
    <t>Continues: Allergy proceedings.</t>
  </si>
  <si>
    <t>OceanSide Publications</t>
  </si>
  <si>
    <t>Allergy and Immunology#Pulmonary Medicine</t>
  </si>
  <si>
    <t>14730480R</t>
  </si>
  <si>
    <t>The Alpha omegan</t>
  </si>
  <si>
    <t>ALPHA OMEGAN</t>
  </si>
  <si>
    <t>Alpha Omegan</t>
  </si>
  <si>
    <t>00026417</t>
  </si>
  <si>
    <t>Alpha Omega Fraternity.</t>
  </si>
  <si>
    <t>1916</t>
  </si>
  <si>
    <t>9705340</t>
  </si>
  <si>
    <t>Alternative medicine review : a journal of clinical therapeutic</t>
  </si>
  <si>
    <t>ALTERNATIVE MEDICINE REVIEW : A JOURNAL OF CLINICAL THERAPEUTIC</t>
  </si>
  <si>
    <t>Altern Med Rev</t>
  </si>
  <si>
    <t>Quarterly, 2003-</t>
  </si>
  <si>
    <t>9502013</t>
  </si>
  <si>
    <t>Alternative therapies in health and medicine</t>
  </si>
  <si>
    <t>ALTERNATIVE THERAPIES IN HEALTH AND MEDICINE</t>
  </si>
  <si>
    <t>Altern Ther Health Med</t>
  </si>
  <si>
    <t>10786791</t>
  </si>
  <si>
    <t>InnoVision Communications</t>
  </si>
  <si>
    <t>1995</t>
  </si>
  <si>
    <t>8110074</t>
  </si>
  <si>
    <t>Alternatives to laboratory animals : ATLA</t>
  </si>
  <si>
    <t>ALTERNATIVES TO LABORATORY ANIMALS : ATLA</t>
  </si>
  <si>
    <t>Altern Lab Anim</t>
  </si>
  <si>
    <t>Continues: ATLA abstracts, alternatives to laboratory animals.</t>
  </si>
  <si>
    <t>Fund for the Replacement of Animals in Medical Experiments</t>
  </si>
  <si>
    <t>Bimonthly, &lt;Mar. 2007-&gt;</t>
  </si>
  <si>
    <t>Laboratory Animal Science</t>
  </si>
  <si>
    <t>100953980</t>
  </si>
  <si>
    <t>ALTEX</t>
  </si>
  <si>
    <t>Continues: Alternativen zu Tierexperimenten.</t>
  </si>
  <si>
    <t>Spektrum Akademischer Verlag</t>
  </si>
  <si>
    <t>8704771</t>
  </si>
  <si>
    <t>Alzheimer disease and associated disorders</t>
  </si>
  <si>
    <t>ALZHEIMER DISEASE AND ASSOCIATED DISORDERS</t>
  </si>
  <si>
    <t>Alzheimer Dis Assoc Disord</t>
  </si>
  <si>
    <t>15464156</t>
  </si>
  <si>
    <t>Neurology#Psychiatry</t>
  </si>
  <si>
    <t>101231978</t>
  </si>
  <si>
    <t>Alzheimer's &amp; dementia : the journal of the Alzheimer's Association</t>
  </si>
  <si>
    <t>ALZHEIMER'S &amp; DEMENTIA : THE JOURNAL OF THE ALZHEIMER'S ASSOCIATION</t>
  </si>
  <si>
    <t>Alzheimers Dement</t>
  </si>
  <si>
    <t>Elsevier, Inc.</t>
  </si>
  <si>
    <t>0364220</t>
  </si>
  <si>
    <t>Ambio</t>
  </si>
  <si>
    <t>AMBIO</t>
  </si>
  <si>
    <t>16547209</t>
  </si>
  <si>
    <t>00447447</t>
  </si>
  <si>
    <t>Royal Swedish Academy of Sciences</t>
  </si>
  <si>
    <t>Environmental Health#Toxicology</t>
  </si>
  <si>
    <t>14730560R</t>
  </si>
  <si>
    <t>Ambix</t>
  </si>
  <si>
    <t>AMBIX</t>
  </si>
  <si>
    <t>00026980</t>
  </si>
  <si>
    <t>Maney Pub.</t>
  </si>
  <si>
    <t>Four no. a year, 2013-</t>
  </si>
  <si>
    <t>Chemistry#History of Medicine</t>
  </si>
  <si>
    <t>0414670</t>
  </si>
  <si>
    <t>American annals of the deaf</t>
  </si>
  <si>
    <t>AMERICAN ANNALS OF THE DEAF</t>
  </si>
  <si>
    <t>Am Ann Deaf</t>
  </si>
  <si>
    <t>Continues American annals of the deaf and dumb.</t>
  </si>
  <si>
    <t>0002726X</t>
  </si>
  <si>
    <t>Conference Of Educational Administration Serving The Deaf And: Convention Of American Instructors Of The Deaf</t>
  </si>
  <si>
    <t>Audiology</t>
  </si>
  <si>
    <t>1886</t>
  </si>
  <si>
    <t>14810500R</t>
  </si>
  <si>
    <t>The American economic review</t>
  </si>
  <si>
    <t>AMERICAN ECONOMIC REVIEW</t>
  </si>
  <si>
    <t>Am Econ Rev</t>
  </si>
  <si>
    <t>00028282</t>
  </si>
  <si>
    <t>American Economic Association</t>
  </si>
  <si>
    <t>Five no. a year, with a sixth issue quadrennially, 1981-</t>
  </si>
  <si>
    <t>1911</t>
  </si>
  <si>
    <t>1272646</t>
  </si>
  <si>
    <t>American family physician</t>
  </si>
  <si>
    <t>AMERICAN FAMILY PHYSICIAN</t>
  </si>
  <si>
    <t>Am Fam Physician</t>
  </si>
  <si>
    <t>Continues: American family physician/GP.</t>
  </si>
  <si>
    <t>American Academy of General Practice.</t>
  </si>
  <si>
    <t>Semimonthly, &lt;2003- &gt;</t>
  </si>
  <si>
    <t>Primary Health Care</t>
  </si>
  <si>
    <t>101156064</t>
  </si>
  <si>
    <t>The American heart hospital journal</t>
  </si>
  <si>
    <t>AMERICAN HEART HOSPITAL JOURNAL</t>
  </si>
  <si>
    <t>Am Heart Hosp J</t>
  </si>
  <si>
    <t>Business Briefings Limited</t>
  </si>
  <si>
    <t>Semiannual, 2009-</t>
  </si>
  <si>
    <t>Cardiology#Hospitals</t>
  </si>
  <si>
    <t>0370465</t>
  </si>
  <si>
    <t>American heart journal</t>
  </si>
  <si>
    <t>AMERICAN HEART JOURNAL</t>
  </si>
  <si>
    <t>Am Heart J</t>
  </si>
  <si>
    <t>1925</t>
  </si>
  <si>
    <t>100970957</t>
  </si>
  <si>
    <t>American Indian and Alaska native mental health research (Online)</t>
  </si>
  <si>
    <t>AMERICAN INDIAN AND ALASKA NATIVE MENTAL HEALTH RESEARCH (ONLINE)</t>
  </si>
  <si>
    <t>Am Indian Alsk Native Ment Health Res</t>
  </si>
  <si>
    <t>15337731</t>
  </si>
  <si>
    <t>National Center for American Indian and Alaska Native Mental Health Research</t>
  </si>
  <si>
    <t>101082834</t>
  </si>
  <si>
    <t>American journal of Alzheimer's disease and other dementias</t>
  </si>
  <si>
    <t>AMERICAN JOURNAL OF ALZHEIMER'S DISEASE AND OTHER DEMENTIAS</t>
  </si>
  <si>
    <t>Am J Alzheimers Dis Other Demen</t>
  </si>
  <si>
    <t>Continues: American journal of Alzheimer's disease.</t>
  </si>
  <si>
    <t>Sage Publications</t>
  </si>
  <si>
    <t>Eight times a year, 2010-</t>
  </si>
  <si>
    <t>9114917</t>
  </si>
  <si>
    <t>American journal of audiology</t>
  </si>
  <si>
    <t>AMERICAN JOURNAL OF AUDIOLOGY</t>
  </si>
  <si>
    <t>Am J Audiol</t>
  </si>
  <si>
    <t>15589137</t>
  </si>
  <si>
    <t>10590889</t>
  </si>
  <si>
    <t>American Speech-Language-Hearing Association</t>
  </si>
  <si>
    <t>Semiannual, 1998-</t>
  </si>
  <si>
    <t>100898738</t>
  </si>
  <si>
    <t>The American journal of bioethics : AJOB</t>
  </si>
  <si>
    <t>AMERICAN JOURNAL OF BIOETHICS : AJOB</t>
  </si>
  <si>
    <t>Am J Bioeth</t>
  </si>
  <si>
    <t>15360075</t>
  </si>
  <si>
    <t>15265161</t>
  </si>
  <si>
    <t>0370467</t>
  </si>
  <si>
    <t>American journal of botany</t>
  </si>
  <si>
    <t>AMERICAN JOURNAL OF BOTANY</t>
  </si>
  <si>
    <t>Am J Bot</t>
  </si>
  <si>
    <t>15372197</t>
  </si>
  <si>
    <t>00029122</t>
  </si>
  <si>
    <t>Botanical Society Of America</t>
  </si>
  <si>
    <t>Botany</t>
  </si>
  <si>
    <t>1914</t>
  </si>
  <si>
    <t>0207277</t>
  </si>
  <si>
    <t>The American journal of cardiology</t>
  </si>
  <si>
    <t>AMERICAN JOURNAL OF CARDIOLOGY</t>
  </si>
  <si>
    <t>Am J Cardiol</t>
  </si>
  <si>
    <t>Supersedes: Transactions of the American College of Cardiology. Absorbed: Bulletin of the American College of Cardiology. Vols. for 1981- indexed in: Combined cumulative index to cardiology.</t>
  </si>
  <si>
    <t>Twenty-four times a year, &lt;June 15, 2004-&gt;</t>
  </si>
  <si>
    <t>100967755</t>
  </si>
  <si>
    <t>American journal of cardiovascular drugs : drugs, devices, and other interventions</t>
  </si>
  <si>
    <t>AMERICAN JOURNAL OF CARDIOVASCULAR DRUGS : DRUGS, DEVICES, AND OTHER INTERVENTIONS</t>
  </si>
  <si>
    <t>Am J Cardiovasc Drugs</t>
  </si>
  <si>
    <t>Adis, Springer International</t>
  </si>
  <si>
    <t>New Zealand</t>
  </si>
  <si>
    <t>Cardiology#Drug Therapy#Vascular Diseases</t>
  </si>
  <si>
    <t>7901431</t>
  </si>
  <si>
    <t>The American journal of Chinese medicine</t>
  </si>
  <si>
    <t>AMERICAN JOURNAL OF CHINESE MEDICINE</t>
  </si>
  <si>
    <t>Am J Chin Med</t>
  </si>
  <si>
    <t>Continues Comparative medicine East and West.</t>
  </si>
  <si>
    <t>World Scientific Pub.</t>
  </si>
  <si>
    <t>Singapore</t>
  </si>
  <si>
    <t>Six no. a year, &lt;2003-&gt;</t>
  </si>
  <si>
    <t>100895290</t>
  </si>
  <si>
    <t>American journal of clinical dermatology</t>
  </si>
  <si>
    <t>AMERICAN JOURNAL OF CLINICAL DERMATOLOGY</t>
  </si>
  <si>
    <t>Am J Clin Dermatol</t>
  </si>
  <si>
    <t>0100626</t>
  </si>
  <si>
    <t>The American journal of clinical hypnosis</t>
  </si>
  <si>
    <t>AMERICAN JOURNAL OF CLINICAL HYPNOSIS</t>
  </si>
  <si>
    <t>Am J Clin Hypn</t>
  </si>
  <si>
    <t>00029157</t>
  </si>
  <si>
    <t>American Society Of Clinical Hypnosis</t>
  </si>
  <si>
    <t>Psychology#Therapeutics</t>
  </si>
  <si>
    <t>0376027</t>
  </si>
  <si>
    <t>The American journal of clinical nutrition</t>
  </si>
  <si>
    <t>AMERICAN JOURNAL OF CLINICAL NUTRITION</t>
  </si>
  <si>
    <t>Am J Clin Nutr</t>
  </si>
  <si>
    <t>Continues: Journal of clinical nutrition.</t>
  </si>
  <si>
    <t>American Society of Clinical Nutrition</t>
  </si>
  <si>
    <t>8207754</t>
  </si>
  <si>
    <t>American journal of clinical oncology</t>
  </si>
  <si>
    <t>AMERICAN JOURNAL OF CLINICAL ONCOLOGY</t>
  </si>
  <si>
    <t>Am J Clin Oncol</t>
  </si>
  <si>
    <t>Continues: Cancer clinical trials.</t>
  </si>
  <si>
    <t>1982</t>
  </si>
  <si>
    <t>0370470</t>
  </si>
  <si>
    <t>American journal of clinical pathology</t>
  </si>
  <si>
    <t>AMERICAN JOURNAL OF CLINICAL PATHOLOGY</t>
  </si>
  <si>
    <t>Am J Clin Pathol</t>
  </si>
  <si>
    <t>Monthly, 1940-</t>
  </si>
  <si>
    <t>Pathology</t>
  </si>
  <si>
    <t>1931</t>
  </si>
  <si>
    <t>0364535</t>
  </si>
  <si>
    <t>American journal of community psychology</t>
  </si>
  <si>
    <t>AMERICAN JOURNAL OF COMMUNITY PSYCHOLOGY</t>
  </si>
  <si>
    <t>Am J Community Psychol</t>
  </si>
  <si>
    <t>15732770</t>
  </si>
  <si>
    <t>00910562</t>
  </si>
  <si>
    <t>9211547</t>
  </si>
  <si>
    <t>American journal of critical care : an official publication, American Association of Critical-Care Nurses</t>
  </si>
  <si>
    <t>AMERICAN JOURNAL OF CRITICAL CARE : AN OFFICIAL PUBLICATION, AMERICAN ASSOCIATION OF CRITICAL-CARE NURSES</t>
  </si>
  <si>
    <t>Am J Crit Care</t>
  </si>
  <si>
    <t>1937710X</t>
  </si>
  <si>
    <t>10623264</t>
  </si>
  <si>
    <t>American Association Of Critical-Care Nurses (AACN)</t>
  </si>
  <si>
    <t>8806701</t>
  </si>
  <si>
    <t>American journal of dentistry</t>
  </si>
  <si>
    <t>AMERICAN JOURNAL OF DENTISTRY</t>
  </si>
  <si>
    <t>Am J Dent</t>
  </si>
  <si>
    <t>08948275</t>
  </si>
  <si>
    <t>Mosher &amp; Linder, Inc.</t>
  </si>
  <si>
    <t>7911005</t>
  </si>
  <si>
    <t>The American Journal of dermatopathology</t>
  </si>
  <si>
    <t>AMERICAN JOURNAL OF DERMATOPATHOLOGY</t>
  </si>
  <si>
    <t>Am J Dermatopathol</t>
  </si>
  <si>
    <t>Eight no. a year, 2009-</t>
  </si>
  <si>
    <t>Dermatology#Pathology</t>
  </si>
  <si>
    <t>101291100</t>
  </si>
  <si>
    <t>American journal of disaster medicine</t>
  </si>
  <si>
    <t>AMERICAN JOURNAL OF DISASTER MEDICINE</t>
  </si>
  <si>
    <t>Am J Disaster Med</t>
  </si>
  <si>
    <t>1932149X</t>
  </si>
  <si>
    <t>Prime National Pub. Corp.</t>
  </si>
  <si>
    <t>Disaster Medicine</t>
  </si>
  <si>
    <t>7502510</t>
  </si>
  <si>
    <t>The American journal of drug and alcohol abuse</t>
  </si>
  <si>
    <t>AMERICAN JOURNAL OF DRUG AND ALCOHOL ABUSE</t>
  </si>
  <si>
    <t>Am J Drug Alcohol Abuse</t>
  </si>
  <si>
    <t>Six no. a year, 2007-</t>
  </si>
  <si>
    <t>8309942</t>
  </si>
  <si>
    <t>The American journal of emergency medicine</t>
  </si>
  <si>
    <t>AMERICAN JOURNAL OF EMERGENCY MEDICINE</t>
  </si>
  <si>
    <t>Am J Emerg Med</t>
  </si>
  <si>
    <t>W B Saunders</t>
  </si>
  <si>
    <t>Nine no. a year, 2007-</t>
  </si>
  <si>
    <t>7910653</t>
  </si>
  <si>
    <t>American journal of epidemiology</t>
  </si>
  <si>
    <t>AMERICAN JOURNAL OF EPIDEMIOLOGY</t>
  </si>
  <si>
    <t>Am J Epidemiol</t>
  </si>
  <si>
    <t>Continues American journal of hygiene.</t>
  </si>
  <si>
    <t>Semimonthly</t>
  </si>
  <si>
    <t>8108948</t>
  </si>
  <si>
    <t>The American journal of forensic medicine and pathology</t>
  </si>
  <si>
    <t>AMERICAN JOURNAL OF FORENSIC MEDICINE AND PATHOLOGY</t>
  </si>
  <si>
    <t>Am J Forensic Med Pathol</t>
  </si>
  <si>
    <t>1533404X</t>
  </si>
  <si>
    <t>01957910</t>
  </si>
  <si>
    <t>Jurisprudence#Pathology</t>
  </si>
  <si>
    <t>0421030</t>
  </si>
  <si>
    <t>The American journal of gastroenterology</t>
  </si>
  <si>
    <t>AMERICAN JOURNAL OF GASTROENTEROLOGY</t>
  </si>
  <si>
    <t>Am J Gastroenterol</t>
  </si>
  <si>
    <t>Continues: Review of gastroenterology.</t>
  </si>
  <si>
    <t>Nature Pub. Group</t>
  </si>
  <si>
    <t>101190325</t>
  </si>
  <si>
    <t>The American journal of geriatric pharmacotherapy</t>
  </si>
  <si>
    <t>AMERICAN JOURNAL OF GERIATRIC PHARMACOTHERAPY</t>
  </si>
  <si>
    <t>Am J Geriatr Pharmacother</t>
  </si>
  <si>
    <t>Drug Therapy#Geriatrics</t>
  </si>
  <si>
    <t>9309609</t>
  </si>
  <si>
    <t>The American journal of geriatric psychiatry : official journal of the American Association for Geriatric Psychiatry</t>
  </si>
  <si>
    <t>AMERICAN JOURNAL OF GERIATRIC PSYCHIATRY : OFFICIAL JOURNAL OF THE AMERICAN ASSOCIATION FOR GERIATRIC PSYCHIATRY</t>
  </si>
  <si>
    <t>Am J Geriatr Psychiatry</t>
  </si>
  <si>
    <t>Geriatrics#Psychiatry</t>
  </si>
  <si>
    <t>9602338</t>
  </si>
  <si>
    <t>American journal of health behavior</t>
  </si>
  <si>
    <t>AMERICAN JOURNAL OF HEALTH BEHAVIOR</t>
  </si>
  <si>
    <t>Am J Health Behav</t>
  </si>
  <si>
    <t>Continues: Health values.</t>
  </si>
  <si>
    <t>19457359</t>
  </si>
  <si>
    <t>10873244</t>
  </si>
  <si>
    <t>PNG Publications</t>
  </si>
  <si>
    <t>8701680</t>
  </si>
  <si>
    <t>American journal of health promotion : AJHP</t>
  </si>
  <si>
    <t>AMERICAN JOURNAL OF HEALTH PROMOTION : AJHP</t>
  </si>
  <si>
    <t>Am J Health Promot</t>
  </si>
  <si>
    <t>Absorbed: Art of health promotion. Sept./Oct. 2002</t>
  </si>
  <si>
    <t>08901171</t>
  </si>
  <si>
    <t>American Journal of Health Promotion and Allen Press</t>
  </si>
  <si>
    <t>Bimonthly, Sept./Oct. 1989-</t>
  </si>
  <si>
    <t>9503023</t>
  </si>
  <si>
    <t>American journal of health-system pharmacy : AJHP : official journal of the American Society of Health-System Pharmacists</t>
  </si>
  <si>
    <t>AMERICAN JOURNAL OF HEALTH-SYSTEM PHARMACY : AJHP : OFFICIAL JOURNAL OF THE AMERICAN SOCIETY OF HEALTH-SYSTEM PHARMACISTS</t>
  </si>
  <si>
    <t>Am J Health Syst Pharm</t>
  </si>
  <si>
    <t>Continues: American journal of hospital pharmacy.</t>
  </si>
  <si>
    <t>American Society Of Health-System Pharmacists</t>
  </si>
  <si>
    <t>Hospitals#Pharmacy</t>
  </si>
  <si>
    <t>7610369</t>
  </si>
  <si>
    <t>American journal of hematology</t>
  </si>
  <si>
    <t>AMERICAN JOURNAL OF HEMATOLOGY</t>
  </si>
  <si>
    <t>Am J Hematol</t>
  </si>
  <si>
    <t>9008229</t>
  </si>
  <si>
    <t>The American journal of hospice &amp; palliative care</t>
  </si>
  <si>
    <t>AMERICAN JOURNAL OF HOSPICE &amp; PALLIATIVE CARE</t>
  </si>
  <si>
    <t>Am J Hosp Palliat Care</t>
  </si>
  <si>
    <t>Absorbed: Journal of terminal oncology. 2004 Continues: American journal of hospice care.</t>
  </si>
  <si>
    <t>19382715</t>
  </si>
  <si>
    <t>10499091</t>
  </si>
  <si>
    <t>8915029</t>
  </si>
  <si>
    <t>American journal of human biology : the official journal of the Human Biology Council</t>
  </si>
  <si>
    <t>AMERICAN JOURNAL OF HUMAN BIOLOGY : THE OFFICIAL JOURNAL OF THE HUMAN BIOLOGY COUNCIL</t>
  </si>
  <si>
    <t>Am J Hum Biol</t>
  </si>
  <si>
    <t>15206300</t>
  </si>
  <si>
    <t>10420533</t>
  </si>
  <si>
    <t>0370475</t>
  </si>
  <si>
    <t>American journal of human genetics</t>
  </si>
  <si>
    <t>AMERICAN JOURNAL OF HUMAN GENETICS</t>
  </si>
  <si>
    <t>Am J Hum Genet</t>
  </si>
  <si>
    <t>Monthly, 1986-</t>
  </si>
  <si>
    <t>8803676</t>
  </si>
  <si>
    <t>American journal of hypertension</t>
  </si>
  <si>
    <t>AMERICAN JOURNAL OF HYPERTENSION</t>
  </si>
  <si>
    <t>Am J Hypertens</t>
  </si>
  <si>
    <t>Continues: Journal of clinical hypertension.</t>
  </si>
  <si>
    <t>Monthly, 1989-</t>
  </si>
  <si>
    <t>Vascular Diseases</t>
  </si>
  <si>
    <t>8101110</t>
  </si>
  <si>
    <t>American journal of industrial medicine</t>
  </si>
  <si>
    <t>AMERICAN JOURNAL OF INDUSTRIAL MEDICINE</t>
  </si>
  <si>
    <t>Am J Ind Med</t>
  </si>
  <si>
    <t>10970274</t>
  </si>
  <si>
    <t>02713586</t>
  </si>
  <si>
    <t>Occupational Medicine</t>
  </si>
  <si>
    <t>8004854</t>
  </si>
  <si>
    <t>American journal of infection control</t>
  </si>
  <si>
    <t>AMERICAN JOURNAL OF INFECTION CONTROL</t>
  </si>
  <si>
    <t>Am J Infect Control</t>
  </si>
  <si>
    <t>Ten no. a year, 2005-</t>
  </si>
  <si>
    <t>Communicable Diseases</t>
  </si>
  <si>
    <t>8110075</t>
  </si>
  <si>
    <t>American journal of kidney diseases : the official journal of the National Kidney Foundation</t>
  </si>
  <si>
    <t>AMERICAN JOURNAL OF KIDNEY DISEASES : THE OFFICIAL JOURNAL OF THE NATIONAL KIDNEY FOUNDATION</t>
  </si>
  <si>
    <t>Am J Kidney Dis</t>
  </si>
  <si>
    <t>Monthly, 1985-</t>
  </si>
  <si>
    <t>7509572</t>
  </si>
  <si>
    <t>American journal of law &amp; medicine</t>
  </si>
  <si>
    <t>AMERICAN JOURNAL OF LAW &amp; MEDICINE</t>
  </si>
  <si>
    <t>Am J Law Med</t>
  </si>
  <si>
    <t>00988588</t>
  </si>
  <si>
    <t>American Society of Law &amp; Medicine.</t>
  </si>
  <si>
    <t>Jurisprudence#Medicine</t>
  </si>
  <si>
    <t>9613960</t>
  </si>
  <si>
    <t>The American journal of managed care</t>
  </si>
  <si>
    <t>AMERICAN JOURNAL OF MANAGED CARE</t>
  </si>
  <si>
    <t>Am J Manag Care</t>
  </si>
  <si>
    <t>19362692</t>
  </si>
  <si>
    <t>Intellisphere, LLC</t>
  </si>
  <si>
    <t>101235741</t>
  </si>
  <si>
    <t>American journal of medical genetics. Part A</t>
  </si>
  <si>
    <t>AMERICAN JOURNAL OF MEDICAL GENETICS. PART A</t>
  </si>
  <si>
    <t>Am J Med Genet A</t>
  </si>
  <si>
    <t>Continues in part: American journal of medical genetics.</t>
  </si>
  <si>
    <t>28 no. per year</t>
  </si>
  <si>
    <t>101235742</t>
  </si>
  <si>
    <t>American journal of medical genetics. Part B, Neuropsychiatric genetics : the official publication of the International Society of Psychiatric Genetics</t>
  </si>
  <si>
    <t>AMERICAN JOURNAL OF MEDICAL GENETICS. PART B, NEUROPSYCHIATRIC GENETICS : THE OFFICIAL PUBLICATION OF THE INTERNATIONAL SOCIETY OF PSYCHIATRIC GENETICS</t>
  </si>
  <si>
    <t>Am J Med Genet B Neuropsychiatr Genet</t>
  </si>
  <si>
    <t>Eight times a year</t>
  </si>
  <si>
    <t>Genetics, Medical#Neurology#Psychiatry</t>
  </si>
  <si>
    <t>101235745</t>
  </si>
  <si>
    <t>American journal of medical genetics. Part C, Seminars in medical genetics</t>
  </si>
  <si>
    <t>AMERICAN JOURNAL OF MEDICAL GENETICS. PART C, SEMINARS IN MEDICAL GENETICS</t>
  </si>
  <si>
    <t>Am J Med Genet C Semin Med Genet</t>
  </si>
  <si>
    <t>9300756</t>
  </si>
  <si>
    <t>American journal of medical quality : the official journal of the American College of Medical Quality</t>
  </si>
  <si>
    <t>AMERICAN JOURNAL OF MEDICAL QUALITY : THE OFFICIAL JOURNAL OF THE AMERICAN COLLEGE OF MEDICAL QUALITY</t>
  </si>
  <si>
    <t>Am J Med Qual</t>
  </si>
  <si>
    <t>Continues: Quality assurance and utilization review.</t>
  </si>
  <si>
    <t>1555824X</t>
  </si>
  <si>
    <t>10628606</t>
  </si>
  <si>
    <t>Bimonthly, 1999-</t>
  </si>
  <si>
    <t>0267200</t>
  </si>
  <si>
    <t>The American journal of medicine</t>
  </si>
  <si>
    <t>AMERICAN JOURNAL OF MEDICINE</t>
  </si>
  <si>
    <t>Am J Med</t>
  </si>
  <si>
    <t>Semimonthly, 2004-</t>
  </si>
  <si>
    <t>101287723</t>
  </si>
  <si>
    <t>American journal of men's health</t>
  </si>
  <si>
    <t>AMERICAN JOURNAL OF MEN'S HEALTH</t>
  </si>
  <si>
    <t>Am J Mens Health</t>
  </si>
  <si>
    <t>15579891</t>
  </si>
  <si>
    <t>15579883</t>
  </si>
  <si>
    <t>Sage Publications, Inc.</t>
  </si>
  <si>
    <t>Bimonthly, 2011-</t>
  </si>
  <si>
    <t>Health Services#Public Health</t>
  </si>
  <si>
    <t>8109361</t>
  </si>
  <si>
    <t>American journal of nephrology</t>
  </si>
  <si>
    <t>AMERICAN JOURNAL OF NEPHROLOGY</t>
  </si>
  <si>
    <t>Am J Nephrol</t>
  </si>
  <si>
    <t>Twelve, 2009-</t>
  </si>
  <si>
    <t>0372646</t>
  </si>
  <si>
    <t>The American journal of nursing</t>
  </si>
  <si>
    <t>AMERICAN JOURNAL OF NURSING</t>
  </si>
  <si>
    <t>Am J Nurs</t>
  </si>
  <si>
    <t>15387488</t>
  </si>
  <si>
    <t>0002936X</t>
  </si>
  <si>
    <t>1900</t>
  </si>
  <si>
    <t>0370476</t>
  </si>
  <si>
    <t>American journal of obstetrics and gynecology</t>
  </si>
  <si>
    <t>AMERICAN JOURNAL OF OBSTETRICS AND GYNECOLOGY</t>
  </si>
  <si>
    <t>Am J Obstet Gynecol</t>
  </si>
  <si>
    <t>Continues: American journal of obstetrics and diseases of women and children.</t>
  </si>
  <si>
    <t>7705978</t>
  </si>
  <si>
    <t>The American journal of occupational therapy : official publication of the American Occupational Therapy Association</t>
  </si>
  <si>
    <t>AMERICAN JOURNAL OF OCCUPATIONAL THERAPY : OFFICIAL PUBLICATION OF THE AMERICAN OCCUPATIONAL THERAPY ASSOCIATION</t>
  </si>
  <si>
    <t>Am J Occup Ther</t>
  </si>
  <si>
    <t>19437676</t>
  </si>
  <si>
    <t>02729490</t>
  </si>
  <si>
    <t>Published For The American Occupational Therapy Association By AJOT Pub. Co</t>
  </si>
  <si>
    <t>Physical and Rehabilitation Medicine</t>
  </si>
  <si>
    <t>0370500</t>
  </si>
  <si>
    <t>American journal of ophthalmology</t>
  </si>
  <si>
    <t>AMERICAN JOURNAL OF OPHTHALMOLOGY</t>
  </si>
  <si>
    <t>Am J Ophthalmol</t>
  </si>
  <si>
    <t>Absorbed the following journals in 1918: Annals of ophthalmology, the Ophthalmic record, Ophthalmology, the Ophthalmic yearbook, Ophthalmic literature, and Anales de oftamología.</t>
  </si>
  <si>
    <t>1884</t>
  </si>
  <si>
    <t>8610224</t>
  </si>
  <si>
    <t>American journal of orthodontics and dentofacial orthopedics : official publication of the American Association of Orthodontists, its constituent societies, and the American Board of Orthodontics</t>
  </si>
  <si>
    <t>AMERICAN JOURNAL OF ORTHODONTICS AND DENTOFACIAL ORTHOPEDICS : OFFICIAL PUBLICATION OF THE AMERICAN ASSOCIATION OF ORTHODONTISTS, ITS CONSTITUENT SOCIETIES, AND THE AMERICAN BOARD OF ORTHODONTICS</t>
  </si>
  <si>
    <t>Am J Orthod Dentofacial Orthop</t>
  </si>
  <si>
    <t>Continues: American journal of orthodontics.</t>
  </si>
  <si>
    <t>10976752</t>
  </si>
  <si>
    <t>08895406</t>
  </si>
  <si>
    <t>Dentistry#Orthodontics</t>
  </si>
  <si>
    <t>9502918</t>
  </si>
  <si>
    <t>American journal of orthopedics (Belle Mead, N.J.)</t>
  </si>
  <si>
    <t>AMERICAN JOURNAL OF ORTHOPEDICS (BELLE MEAD, N.J.)</t>
  </si>
  <si>
    <t>Am J Orthop (Belle Mead NJ)</t>
  </si>
  <si>
    <t>Continues: Orthopaedic review.</t>
  </si>
  <si>
    <t>19343418</t>
  </si>
  <si>
    <t>10784519</t>
  </si>
  <si>
    <t>Quadrant Healthcom</t>
  </si>
  <si>
    <t>0400640</t>
  </si>
  <si>
    <t>The American journal of orthopsychiatry</t>
  </si>
  <si>
    <t>AMERICAN JOURNAL OF ORTHOPSYCHIATRY</t>
  </si>
  <si>
    <t>Am J Orthopsychiatry</t>
  </si>
  <si>
    <t>American Psychological Association</t>
  </si>
  <si>
    <t>Bimonthly, 2014-</t>
  </si>
  <si>
    <t>Psychiatry#Psychology</t>
  </si>
  <si>
    <t>1930</t>
  </si>
  <si>
    <t>8000029</t>
  </si>
  <si>
    <t>American journal of otolaryngology</t>
  </si>
  <si>
    <t>AMERICAN JOURNAL OF OTOLARYNGOLOGY</t>
  </si>
  <si>
    <t>Am J Otolaryngol</t>
  </si>
  <si>
    <t>Saunders.</t>
  </si>
  <si>
    <t>0370502</t>
  </si>
  <si>
    <t>The American journal of pathology</t>
  </si>
  <si>
    <t>AMERICAN JOURNAL OF PATHOLOGY</t>
  </si>
  <si>
    <t>Am J Pathol</t>
  </si>
  <si>
    <t>Supersedes: Journal of medical research.</t>
  </si>
  <si>
    <t>Monthly, &lt;June 1976-&gt;</t>
  </si>
  <si>
    <t>8405212</t>
  </si>
  <si>
    <t>American journal of perinatology</t>
  </si>
  <si>
    <t>AMERICAN JOURNAL OF PERINATOLOGY</t>
  </si>
  <si>
    <t>Am J Perinatol</t>
  </si>
  <si>
    <t>Thieme Medical Publishers</t>
  </si>
  <si>
    <t>0372650</t>
  </si>
  <si>
    <t>American journal of pharmaceutical education</t>
  </si>
  <si>
    <t>AMERICAN JOURNAL OF PHARMACEUTICAL EDUCATION</t>
  </si>
  <si>
    <t>Am J Pharm Educ</t>
  </si>
  <si>
    <t>Supersedes the Proceedings of the annual meeting of the American Association of Colleges of Pharmacy.</t>
  </si>
  <si>
    <t>15536467</t>
  </si>
  <si>
    <t>00029459</t>
  </si>
  <si>
    <t>American Association of Colleges of Pharmacy</t>
  </si>
  <si>
    <t>Education#Pharmacy</t>
  </si>
  <si>
    <t>0400654</t>
  </si>
  <si>
    <t>American journal of physical anthropology</t>
  </si>
  <si>
    <t>AMERICAN JOURNAL OF PHYSICAL ANTHROPOLOGY</t>
  </si>
  <si>
    <t>Am J Phys Anthropol</t>
  </si>
  <si>
    <t>Anthropology</t>
  </si>
  <si>
    <t>8803677</t>
  </si>
  <si>
    <t>American journal of physical medicine &amp; rehabilitation / Association of Academic Physiatrists</t>
  </si>
  <si>
    <t>AMERICAN JOURNAL OF PHYSICAL MEDICINE &amp; REHABILITATION / ASSOCIATION OF ACADEMIC PHYSIATRISTS</t>
  </si>
  <si>
    <t>Am J Phys Med Rehabil</t>
  </si>
  <si>
    <t>Continues: American journal of physical medicine.</t>
  </si>
  <si>
    <t>15377385</t>
  </si>
  <si>
    <t>08949115</t>
  </si>
  <si>
    <t>Monthly, &lt;July 2001- &gt;</t>
  </si>
  <si>
    <t>100901225</t>
  </si>
  <si>
    <t>American journal of physiology. Cell physiology</t>
  </si>
  <si>
    <t>AMERICAN JOURNAL OF PHYSIOLOGY. CELL PHYSIOLOGY</t>
  </si>
  <si>
    <t>Am J Physiol Cell Physiol</t>
  </si>
  <si>
    <t>Twice monthly, 2012-</t>
  </si>
  <si>
    <t>Cell Biology#Physiology</t>
  </si>
  <si>
    <t>100901226</t>
  </si>
  <si>
    <t>American journal of physiology. Endocrinology and metabolism</t>
  </si>
  <si>
    <t>AMERICAN JOURNAL OF PHYSIOLOGY. ENDOCRINOLOGY AND METABOLISM</t>
  </si>
  <si>
    <t>Am J Physiol Endocrinol Metab</t>
  </si>
  <si>
    <t>Also issued as a section of the consolidated version of The American journal of physiology. Continues in part: American journal of physiology. Endocrinology, metabolism and gastrointestinal physiology</t>
  </si>
  <si>
    <t>Twice monthly, Feb. 2012-</t>
  </si>
  <si>
    <t>Endocrinology#Metabolism#Physiology</t>
  </si>
  <si>
    <t>100901227</t>
  </si>
  <si>
    <t>American journal of physiology. Gastrointestinal and liver physiology</t>
  </si>
  <si>
    <t>AMERICAN JOURNAL OF PHYSIOLOGY. GASTROINTESTINAL AND LIVER PHYSIOLOGY</t>
  </si>
  <si>
    <t>Am J Physiol Gastrointest Liver Physiol</t>
  </si>
  <si>
    <t>Continues in part: American journal of physiology. Endocrinology, metabolism and gastrointestinal physiology.</t>
  </si>
  <si>
    <t>Gastroenterology#Physiology</t>
  </si>
  <si>
    <t>100901228</t>
  </si>
  <si>
    <t>American journal of physiology. Heart and circulatory physiology</t>
  </si>
  <si>
    <t>AMERICAN JOURNAL OF PHYSIOLOGY. HEART AND CIRCULATORY PHYSIOLOGY</t>
  </si>
  <si>
    <t>Am J Physiol Heart Circ Physiol</t>
  </si>
  <si>
    <t>100901229</t>
  </si>
  <si>
    <t>American journal of physiology. Lung cellular and molecular physiology</t>
  </si>
  <si>
    <t>AMERICAN JOURNAL OF PHYSIOLOGY. LUNG CELLULAR AND MOLECULAR PHYSIOLOGY</t>
  </si>
  <si>
    <t>Am J Physiol Lung Cell Mol Physiol</t>
  </si>
  <si>
    <t>Cell Biology#Molecular Biology#Physiology#Pulmonary Medicine</t>
  </si>
  <si>
    <t>100901230</t>
  </si>
  <si>
    <t>American journal of physiology. Regulatory, integrative and comparative physiology</t>
  </si>
  <si>
    <t>AMERICAN JOURNAL OF PHYSIOLOGY. REGULATORY, INTEGRATIVE AND COMPARATIVE PHYSIOLOGY</t>
  </si>
  <si>
    <t>Am J Physiol Regul Integr Comp Physiol</t>
  </si>
  <si>
    <t>100901990</t>
  </si>
  <si>
    <t>American journal of physiology. Renal physiology</t>
  </si>
  <si>
    <t>AMERICAN JOURNAL OF PHYSIOLOGY. RENAL PHYSIOLOGY</t>
  </si>
  <si>
    <t>Am J Physiol Renal Physiol</t>
  </si>
  <si>
    <t>Continues: American journal of physiology. Renal, fluid and electrolyte physiology.</t>
  </si>
  <si>
    <t>1931857X</t>
  </si>
  <si>
    <t>Twice monthly, Jan. 2012-</t>
  </si>
  <si>
    <t>Nephrology#Physiology</t>
  </si>
  <si>
    <t>8704773</t>
  </si>
  <si>
    <t>American journal of preventive medicine</t>
  </si>
  <si>
    <t>AMERICAN JOURNAL OF PREVENTIVE MEDICINE</t>
  </si>
  <si>
    <t>Am J Prev Med</t>
  </si>
  <si>
    <t>8108949</t>
  </si>
  <si>
    <t>American journal of primatology</t>
  </si>
  <si>
    <t>AMERICAN JOURNAL OF PRIMATOLOGY</t>
  </si>
  <si>
    <t>Am J Primatol</t>
  </si>
  <si>
    <t>10982345</t>
  </si>
  <si>
    <t>02752565</t>
  </si>
  <si>
    <t>Zoology</t>
  </si>
  <si>
    <t>0370512</t>
  </si>
  <si>
    <t>The American journal of psychiatry</t>
  </si>
  <si>
    <t>AMERICAN JOURNAL OF PSYCHIATRY</t>
  </si>
  <si>
    <t>Am J Psychiatry</t>
  </si>
  <si>
    <t>Continues: American journal of insanity.</t>
  </si>
  <si>
    <t>Monthly, July 1947-</t>
  </si>
  <si>
    <t>1921</t>
  </si>
  <si>
    <t>0372630</t>
  </si>
  <si>
    <t>American journal of psychoanalysis</t>
  </si>
  <si>
    <t>AMERICAN JOURNAL OF PSYCHOANALYSIS</t>
  </si>
  <si>
    <t>Am J Psychoanal</t>
  </si>
  <si>
    <t>15736741</t>
  </si>
  <si>
    <t>00029548</t>
  </si>
  <si>
    <t>Palgrave Macmillan</t>
  </si>
  <si>
    <t>1941</t>
  </si>
  <si>
    <t>0370513</t>
  </si>
  <si>
    <t>The American journal of psychology</t>
  </si>
  <si>
    <t>AMERICAN JOURNAL OF PSYCHOLOGY</t>
  </si>
  <si>
    <t>Am J Psychol</t>
  </si>
  <si>
    <t>19398298</t>
  </si>
  <si>
    <t>00029556</t>
  </si>
  <si>
    <t>University of Illinois Press</t>
  </si>
  <si>
    <t>1887</t>
  </si>
  <si>
    <t>0110672</t>
  </si>
  <si>
    <t>American journal of psychotherapy</t>
  </si>
  <si>
    <t>AMERICAN JOURNAL OF PSYCHOTHERAPY</t>
  </si>
  <si>
    <t>Am J Psychother</t>
  </si>
  <si>
    <t>Absorbed: Journal of psychotherapy practice and research. 2002</t>
  </si>
  <si>
    <t>00029564</t>
  </si>
  <si>
    <t>Association for the Advancement of Psychotherapy</t>
  </si>
  <si>
    <t>Psychiatry#Therapeutics</t>
  </si>
  <si>
    <t>1254074</t>
  </si>
  <si>
    <t>American journal of public health</t>
  </si>
  <si>
    <t>AMERICAN JOURNAL OF PUBLIC HEALTH</t>
  </si>
  <si>
    <t>Am J Public Health</t>
  </si>
  <si>
    <t>Continues in part: American journal of public health and the nation's health.</t>
  </si>
  <si>
    <t>15410048</t>
  </si>
  <si>
    <t>00900036</t>
  </si>
  <si>
    <t>American Public Health Association</t>
  </si>
  <si>
    <t>1971</t>
  </si>
  <si>
    <t>8912860</t>
  </si>
  <si>
    <t>American journal of reproductive immunology (New York, N.Y. : 1989)</t>
  </si>
  <si>
    <t>AMERICAN JOURNAL OF REPRODUCTIVE IMMUNOLOGY (NEW YORK, N.Y. : 1989)</t>
  </si>
  <si>
    <t>Am J Reprod Immunol</t>
  </si>
  <si>
    <t>Absorbed: Early pregnancy (Online). 2004 Continues: American journal of reproductive immunology and microbiology.</t>
  </si>
  <si>
    <t>Allergy and Immunology#Reproductive Medicine</t>
  </si>
  <si>
    <t>9421642</t>
  </si>
  <si>
    <t>American journal of respiratory and critical care medicine</t>
  </si>
  <si>
    <t>AMERICAN JOURNAL OF RESPIRATORY AND CRITICAL CARE MEDICINE</t>
  </si>
  <si>
    <t>Am J Respir Crit Care Med</t>
  </si>
  <si>
    <t>Continues: American review of respiratory disease.</t>
  </si>
  <si>
    <t>Semimonthly, 2002-</t>
  </si>
  <si>
    <t>Critical Care#Pulmonary Medicine</t>
  </si>
  <si>
    <t>8917225</t>
  </si>
  <si>
    <t>American journal of respiratory cell and molecular biology</t>
  </si>
  <si>
    <t>AMERICAN JOURNAL OF RESPIRATORY CELL AND MOLECULAR BIOLOGY</t>
  </si>
  <si>
    <t>Am J Respir Cell Mol Biol</t>
  </si>
  <si>
    <t>Cell Biology#Molecular Biology</t>
  </si>
  <si>
    <t>101490775</t>
  </si>
  <si>
    <t>American journal of rhinology &amp; allergy</t>
  </si>
  <si>
    <t>AMERICAN JOURNAL OF RHINOLOGY &amp; ALLERGY</t>
  </si>
  <si>
    <t>Am J Rhinol Allergy</t>
  </si>
  <si>
    <t>Continues: American journal of rhinology.</t>
  </si>
  <si>
    <t>Allergy and Immunology#Otolaryngology</t>
  </si>
  <si>
    <t>9114726</t>
  </si>
  <si>
    <t>American journal of speech-language pathology / American Speech-Language-Hearing Association</t>
  </si>
  <si>
    <t>AMERICAN JOURNAL OF SPEECH-LANGUAGE PATHOLOGY / AMERICAN SPEECH-LANGUAGE-HEARING ASSOCIATION</t>
  </si>
  <si>
    <t>Am J Speech Lang Pathol</t>
  </si>
  <si>
    <t>15589110</t>
  </si>
  <si>
    <t>10580360</t>
  </si>
  <si>
    <t>Speech-Language Pathology</t>
  </si>
  <si>
    <t>7609541</t>
  </si>
  <si>
    <t>The American journal of sports medicine</t>
  </si>
  <si>
    <t>AMERICAN JOURNAL OF SPORTS MEDICINE</t>
  </si>
  <si>
    <t>Am J Sports Med</t>
  </si>
  <si>
    <t>Continues The Journal of sports medicine.</t>
  </si>
  <si>
    <t>15523365</t>
  </si>
  <si>
    <t>03635465</t>
  </si>
  <si>
    <t>Eight no. a year, 2004-</t>
  </si>
  <si>
    <t>Sports Medicine</t>
  </si>
  <si>
    <t>0370473</t>
  </si>
  <si>
    <t>American journal of surgery</t>
  </si>
  <si>
    <t>AMERICAN JOURNAL OF SURGERY</t>
  </si>
  <si>
    <t>Am J Surg</t>
  </si>
  <si>
    <t>Continues: American surgery and gynecology.</t>
  </si>
  <si>
    <t>1905</t>
  </si>
  <si>
    <t>7707904</t>
  </si>
  <si>
    <t>The American journal of surgical pathology</t>
  </si>
  <si>
    <t>AMERICAN JOURNAL OF SURGICAL PATHOLOGY</t>
  </si>
  <si>
    <t>Am J Surg Pathol</t>
  </si>
  <si>
    <t>15320979</t>
  </si>
  <si>
    <t>01475185</t>
  </si>
  <si>
    <t>Raven Press</t>
  </si>
  <si>
    <t>Monthly (with special supplement in Mar.), &lt;1985-&gt;</t>
  </si>
  <si>
    <t>General Surgery#Pathology</t>
  </si>
  <si>
    <t>0370506</t>
  </si>
  <si>
    <t>The American journal of the medical sciences</t>
  </si>
  <si>
    <t>AMERICAN JOURNAL OF THE MEDICAL SCIENCES</t>
  </si>
  <si>
    <t>Am J Med Sci</t>
  </si>
  <si>
    <t>Continues: Philadelphia journal of the medical and physical sciences. Absorbed: Philadelphia monthly journal of medicine and surgery, Mar. 1828, and: American medical recorder (1928), July 1829.</t>
  </si>
  <si>
    <t>1827</t>
  </si>
  <si>
    <t>9441347</t>
  </si>
  <si>
    <t>American journal of therapeutics</t>
  </si>
  <si>
    <t>AMERICAN JOURNAL OF THERAPEUTICS</t>
  </si>
  <si>
    <t>Am J Ther</t>
  </si>
  <si>
    <t>Bimonthly, 1998-</t>
  </si>
  <si>
    <t>100968638</t>
  </si>
  <si>
    <t>American journal of transplantation : official journal of the American Society of Transplantation and the American Society of Transplant Surgeons</t>
  </si>
  <si>
    <t>AMERICAN JOURNAL OF TRANSPLANTATION : OFFICIAL JOURNAL OF THE AMERICAN SOCIETY OF TRANSPLANTATION AND THE AMERICAN SOCIETY OF TRANSPLANT SURGEONS</t>
  </si>
  <si>
    <t>Am J Transplant</t>
  </si>
  <si>
    <t>published by Wiley-Blackwell on behalf of the American Society of Transplant Surgeons and the American Society of Transplantation</t>
  </si>
  <si>
    <t>Monthly, 2002-</t>
  </si>
  <si>
    <t>0370507</t>
  </si>
  <si>
    <t>The American journal of tropical medicine and hygiene</t>
  </si>
  <si>
    <t>AMERICAN JOURNAL OF TROPICAL MEDICINE AND HYGIENE</t>
  </si>
  <si>
    <t>Am J Trop Med Hyg</t>
  </si>
  <si>
    <t>Formed by the union of the American journal of tropical medicine and the Journal of the National Malaria Society.</t>
  </si>
  <si>
    <t>14761645</t>
  </si>
  <si>
    <t>1952</t>
  </si>
  <si>
    <t>0375011</t>
  </si>
  <si>
    <t>American journal of veterinary research</t>
  </si>
  <si>
    <t>AMERICAN JOURNAL OF VETERINARY RESEARCH</t>
  </si>
  <si>
    <t>Am J Vet Res</t>
  </si>
  <si>
    <t>1940</t>
  </si>
  <si>
    <t>9208821</t>
  </si>
  <si>
    <t>The American journal on addictions / American Academy of Psychiatrists in Alcoholism and Addictions</t>
  </si>
  <si>
    <t>AMERICAN JOURNAL ON ADDICTIONS / AMERICAN ACADEMY OF PSYCHIATRISTS IN ALCOHOLISM AND ADDICTIONS</t>
  </si>
  <si>
    <t>Am J Addict</t>
  </si>
  <si>
    <t>Bimonthly, 2006-</t>
  </si>
  <si>
    <t>101492916</t>
  </si>
  <si>
    <t>American journal on intellectual and developmental disabilities</t>
  </si>
  <si>
    <t>AMERICAN JOURNAL ON INTELLECTUAL AND DEVELOPMENTAL DISABILITIES</t>
  </si>
  <si>
    <t>Am J Intellect Dev Disabil</t>
  </si>
  <si>
    <t>Continues: American journal of mental retardation.</t>
  </si>
  <si>
    <t>19447558</t>
  </si>
  <si>
    <t>19447515</t>
  </si>
  <si>
    <t>American Association on Intellectual and Developmental Disabilities</t>
  </si>
  <si>
    <t>2984688R</t>
  </si>
  <si>
    <t>The American naturalist</t>
  </si>
  <si>
    <t>AMERICAN NATURALIST</t>
  </si>
  <si>
    <t>Am Nat</t>
  </si>
  <si>
    <t>15375323</t>
  </si>
  <si>
    <t>00030147</t>
  </si>
  <si>
    <t>Monthly, 1979-</t>
  </si>
  <si>
    <t>Biology#Science</t>
  </si>
  <si>
    <t>1867</t>
  </si>
  <si>
    <t>7506499</t>
  </si>
  <si>
    <t>The American nurse</t>
  </si>
  <si>
    <t>AMERICAN NURSE</t>
  </si>
  <si>
    <t>Am Nurse</t>
  </si>
  <si>
    <t>Continues: ANA in action.</t>
  </si>
  <si>
    <t>00981486</t>
  </si>
  <si>
    <t>American Nurses' Assn.</t>
  </si>
  <si>
    <t>0370520</t>
  </si>
  <si>
    <t>The American orthoptic journal</t>
  </si>
  <si>
    <t>AMERICAN ORTHOPTIC JOURNAL</t>
  </si>
  <si>
    <t>Am Orthopt J</t>
  </si>
  <si>
    <t>15534448</t>
  </si>
  <si>
    <t>0065955X</t>
  </si>
  <si>
    <t>University Of Wisconsin Press For The American Orthopic Council</t>
  </si>
  <si>
    <t>Ophthalmology#Therapeutics</t>
  </si>
  <si>
    <t>1951</t>
  </si>
  <si>
    <t>0370521</t>
  </si>
  <si>
    <t>The American psychologist</t>
  </si>
  <si>
    <t>AMERICAN PSYCHOLOGIST</t>
  </si>
  <si>
    <t>Am Psychol</t>
  </si>
  <si>
    <t>1935990X</t>
  </si>
  <si>
    <t>0003066X</t>
  </si>
  <si>
    <t>101233985</t>
  </si>
  <si>
    <t>American Society of Clinical Oncology educational book / ASCO. American Society of Clinical Oncology. Meeting</t>
  </si>
  <si>
    <t>AMERICAN SOCIETY OF CLINICAL ONCOLOGY EDUCATIONAL BOOK / ASCO. AMERICAN SOCIETY OF CLINICAL ONCOLOGY. MEETING</t>
  </si>
  <si>
    <t>Am Soc Clin Oncol Educ Book</t>
  </si>
  <si>
    <t>15488756</t>
  </si>
  <si>
    <t>15488748</t>
  </si>
  <si>
    <t>0370522</t>
  </si>
  <si>
    <t>The American surgeon</t>
  </si>
  <si>
    <t>AMERICAN SURGEON</t>
  </si>
  <si>
    <t>Am Surg</t>
  </si>
  <si>
    <t>Continues: Southern surgeon.</t>
  </si>
  <si>
    <t>15559823</t>
  </si>
  <si>
    <t>9891709</t>
  </si>
  <si>
    <t>The American University law review</t>
  </si>
  <si>
    <t>AMERICAN UNIVERSITY LAW REVIEW</t>
  </si>
  <si>
    <t>Am Univ Law Rev</t>
  </si>
  <si>
    <t>Continues: American University intramural law review.</t>
  </si>
  <si>
    <t>00031453</t>
  </si>
  <si>
    <t>Washington College of Law, American University]</t>
  </si>
  <si>
    <t>Quarterly, Mar. 1969-</t>
  </si>
  <si>
    <t>101209213</t>
  </si>
  <si>
    <t>AMIA ... Annual Symposium proceedings / AMIA Symposium. AMIA Symposium</t>
  </si>
  <si>
    <t>AMIA ... ANNUAL SYMPOSIUM PROCEEDINGS / AMIA SYMPOSIUM. AMIA SYMPOSIUM</t>
  </si>
  <si>
    <t>AMIA Annu Symp Proc</t>
  </si>
  <si>
    <t>Continues: Proceedings. AMIA Symposium.</t>
  </si>
  <si>
    <t>1942597X</t>
  </si>
  <si>
    <t>15594076</t>
  </si>
  <si>
    <t>American Medical Informatics Association</t>
  </si>
  <si>
    <t>Medical Informatics</t>
  </si>
  <si>
    <t>9200312</t>
  </si>
  <si>
    <t>Amino acids</t>
  </si>
  <si>
    <t>AMINO ACIDS</t>
  </si>
  <si>
    <t>9433802</t>
  </si>
  <si>
    <t>Amyloid : the international journal of experimental and clinical investigation : the official journal of the International Society of Amyloidosis</t>
  </si>
  <si>
    <t>AMYLOID : THE INTERNATIONAL JOURNAL OF EXPERIMENTAL AND CLINICAL INVESTIGATION : THE OFFICIAL JOURNAL OF THE INTERNATIONAL SOCIETY OF AMYLOIDOSIS</t>
  </si>
  <si>
    <t>101587185</t>
  </si>
  <si>
    <t>Amyotrophic lateral sclerosis &amp; frontotemporal degeneration</t>
  </si>
  <si>
    <t>AMYOTROPHIC LATERAL SCLEROSIS &amp; FRONTOTEMPORAL DEGENERATION</t>
  </si>
  <si>
    <t>Amyotroph Lateral Scler Frontotemporal Degener</t>
  </si>
  <si>
    <t>Continues: Amyotrophic lateral sclerosis.</t>
  </si>
  <si>
    <t>101095069</t>
  </si>
  <si>
    <t>Anadolu kardiyoloji dergisi : AKD = the Anatolian journal of cardiology</t>
  </si>
  <si>
    <t>ANADOLU KARDIYOLOJI DERGISI : AKD = THE ANATOLIAN JOURNAL OF CARDIOLOGY</t>
  </si>
  <si>
    <t>Anadolu Kardiyol Derg</t>
  </si>
  <si>
    <t>13028723</t>
  </si>
  <si>
    <t>Aves Yayincilik</t>
  </si>
  <si>
    <t>9505216</t>
  </si>
  <si>
    <t>ANAEROBE</t>
  </si>
  <si>
    <t>0370524</t>
  </si>
  <si>
    <t>ANAESTHESIA</t>
  </si>
  <si>
    <t>0342017</t>
  </si>
  <si>
    <t>Anaesthesia and intensive care</t>
  </si>
  <si>
    <t>ANAESTHESIA AND INTENSIVE CARE</t>
  </si>
  <si>
    <t>Anaesth Intensive Care</t>
  </si>
  <si>
    <t>Australia</t>
  </si>
  <si>
    <t>Anesthesiology#Critical Care</t>
  </si>
  <si>
    <t>101472620</t>
  </si>
  <si>
    <t>Anaesthesiology intensive therapy</t>
  </si>
  <si>
    <t>ANAESTHESIOLOGY INTENSIVE THERAPY</t>
  </si>
  <si>
    <t>Anaesthesiol Intensive Ther</t>
  </si>
  <si>
    <t>0370525</t>
  </si>
  <si>
    <t>Der Anaesthesist</t>
  </si>
  <si>
    <t>ANAESTHESIST</t>
  </si>
  <si>
    <t>0067662</t>
  </si>
  <si>
    <t>Anais brasileiros de dermatologia</t>
  </si>
  <si>
    <t>ANAIS BRASILEIROS DE DERMATOLOGIA</t>
  </si>
  <si>
    <t>An Bras Dermatol</t>
  </si>
  <si>
    <t>Continues: Anais brasileiros de dermatologia e sifilografia.</t>
  </si>
  <si>
    <t>7503280</t>
  </si>
  <si>
    <t>Anais da Academia Brasileira de Ciências</t>
  </si>
  <si>
    <t>ANAIS DA ACADEMIA BRASILEIRA DE CIENCIAS</t>
  </si>
  <si>
    <t>An Acad Bras Cienc</t>
  </si>
  <si>
    <t>16782690</t>
  </si>
  <si>
    <t>00013765</t>
  </si>
  <si>
    <t>Academia Brasileira De Ciencias</t>
  </si>
  <si>
    <t>7505188</t>
  </si>
  <si>
    <t>Anales de la Real Academia Nacional de Medicina</t>
  </si>
  <si>
    <t>ANALES DE LA REAL ACADEMIA NACIONAL DE MEDICINA</t>
  </si>
  <si>
    <t>An R Acad Nac Med (Madr)</t>
  </si>
  <si>
    <t>00340634</t>
  </si>
  <si>
    <t>Real Academia Nacional De Medicina</t>
  </si>
  <si>
    <t>1879</t>
  </si>
  <si>
    <t>101162596</t>
  </si>
  <si>
    <t>Anales de pediatría (Barcelona, Spain : 2003)</t>
  </si>
  <si>
    <t>ANALES DE PEDIATRIA (BARCELONA, SPAIN : 2003)</t>
  </si>
  <si>
    <t>An Pediatr (Barc)</t>
  </si>
  <si>
    <t>Continues: Anales españoles de pediatría.</t>
  </si>
  <si>
    <t>9710381</t>
  </si>
  <si>
    <t>Anales del sistema sanitario de Navarra</t>
  </si>
  <si>
    <t>ANALES DEL SISTEMA SANITARIO DE NAVARRA</t>
  </si>
  <si>
    <t>An Sist Sanit Navar</t>
  </si>
  <si>
    <t>Gobierno de Navarra, Departamento de Salud</t>
  </si>
  <si>
    <t>7605535</t>
  </si>
  <si>
    <t>Anales otorrinolaringológicos ibero-americanos</t>
  </si>
  <si>
    <t>ANALES OTORRINOLARINGOLOGICOS IBERO-AMERICANOS</t>
  </si>
  <si>
    <t>An Otorrinolaringol Ibero Am</t>
  </si>
  <si>
    <t>Supersedes Acta oto-rino-laringológica ibero-americana.</t>
  </si>
  <si>
    <t>03038874</t>
  </si>
  <si>
    <t>Anales Otorrinolaringologicos Ibero-Americanos</t>
  </si>
  <si>
    <t>0372652</t>
  </si>
  <si>
    <t>The Analyst</t>
  </si>
  <si>
    <t>ANALYST</t>
  </si>
  <si>
    <t>Analyst</t>
  </si>
  <si>
    <t>13645528</t>
  </si>
  <si>
    <t>00032654</t>
  </si>
  <si>
    <t>Twenty four no. a year, 2011-</t>
  </si>
  <si>
    <t>1876</t>
  </si>
  <si>
    <t>0370534</t>
  </si>
  <si>
    <t>Analytica chimica acta</t>
  </si>
  <si>
    <t>ANALYTICA CHIMICA ACTA</t>
  </si>
  <si>
    <t>Anal Chim Acta</t>
  </si>
  <si>
    <t>Fifty no. a year, 2002-</t>
  </si>
  <si>
    <t>101134327</t>
  </si>
  <si>
    <t>Analytical and bioanalytical chemistry</t>
  </si>
  <si>
    <t>ANALYTICAL AND BIOANALYTICAL CHEMISTRY</t>
  </si>
  <si>
    <t>Anal Bioanal Chem</t>
  </si>
  <si>
    <t>Merger of: Analusis; Química analítica (Belaterra, Spain); and: Fresenius' journal of analytical chemistry, continuing the numbering of the latter.</t>
  </si>
  <si>
    <t>16182650</t>
  </si>
  <si>
    <t>16182642</t>
  </si>
  <si>
    <t>Thirty no. a year, 2011-</t>
  </si>
  <si>
    <t>8506819</t>
  </si>
  <si>
    <t>Analytical and quantitative cytology and histology / the International Academy of Cytology [and] American Society of Cytology</t>
  </si>
  <si>
    <t>ANALYTICAL AND QUANTITATIVE CYTOLOGY AND HISTOLOGY / THE INTERNATIONAL ACADEMY OF CYTOLOGY [AND] AMERICAN SOCIETY OF CYTOLOGY</t>
  </si>
  <si>
    <t>Anal Quant Cytol Histol</t>
  </si>
  <si>
    <t>Continues: Analytical and quantitative cytology.</t>
  </si>
  <si>
    <t>Science Printers</t>
  </si>
  <si>
    <t>Cell Biology#Histology</t>
  </si>
  <si>
    <t>0370535</t>
  </si>
  <si>
    <t>Analytical biochemistry</t>
  </si>
  <si>
    <t>ANALYTICAL BIOCHEMISTRY</t>
  </si>
  <si>
    <t>Anal Biochem</t>
  </si>
  <si>
    <t>101541993</t>
  </si>
  <si>
    <t>Analytical cellular pathology (Amsterdam)</t>
  </si>
  <si>
    <t>ANALYTICAL CELLULAR PATHOLOGY (AMSTERDAM)</t>
  </si>
  <si>
    <t>Anal Cell Pathol (Amst)</t>
  </si>
  <si>
    <t>Continues: Cellular oncology. Continued in part by Cellular oncology (Dordrecht).</t>
  </si>
  <si>
    <t>Cell Biology#Neoplasms#Pathology</t>
  </si>
  <si>
    <t>0370536</t>
  </si>
  <si>
    <t>Analytical chemistry</t>
  </si>
  <si>
    <t>ANALYTICAL CHEMISTRY</t>
  </si>
  <si>
    <t>Anal Chem</t>
  </si>
  <si>
    <t>Continues Industrial and engineering chemistry; analytical edition.</t>
  </si>
  <si>
    <t>15206882</t>
  </si>
  <si>
    <t>00032700</t>
  </si>
  <si>
    <t>Twenty four no. a year</t>
  </si>
  <si>
    <t>8511078</t>
  </si>
  <si>
    <t>Analytical sciences : the international journal of the Japan Society for Analytical Chemistry</t>
  </si>
  <si>
    <t>ANALYTICAL SCIENCES : THE INTERNATIONAL JOURNAL OF THE JAPAN SOCIETY FOR ANALYTICAL CHEMISTRY</t>
  </si>
  <si>
    <t>Anal Sci</t>
  </si>
  <si>
    <t>13482246</t>
  </si>
  <si>
    <t>09106340</t>
  </si>
  <si>
    <t>Japan Society For Analytical Chemistry</t>
  </si>
  <si>
    <t>9109478</t>
  </si>
  <si>
    <t>Anästhesiologie, Intensivmedizin, Notfallmedizin, Schmerztherapie : AINS</t>
  </si>
  <si>
    <t>ANASTHESIOLOGIE, INTENSIVMEDIZIN, NOTFALLMEDIZIN, SCHMERZTHERAPIE : AINS</t>
  </si>
  <si>
    <t>Anasthesiol Intensivmed Notfallmed Schmerzther</t>
  </si>
  <si>
    <t>Absorbed: Anaesthesiologie und Reanimation.</t>
  </si>
  <si>
    <t>Twelve no. a year, 1997-</t>
  </si>
  <si>
    <t>Anesthesiology#Critical Care#Emergency Medicine#Psychophysiology</t>
  </si>
  <si>
    <t>7704218</t>
  </si>
  <si>
    <t>Anatomia, histologia, embryologia</t>
  </si>
  <si>
    <t>ANATOMIA, HISTOLOGIA, EMBRYOLOGIA</t>
  </si>
  <si>
    <t>Anat Histol Embryol</t>
  </si>
  <si>
    <t>Continues: Zentralblatt für Veterinärmedizin. Reihe C, Anatomie, Histologie, Embryologie.</t>
  </si>
  <si>
    <t>14390264</t>
  </si>
  <si>
    <t>03402096</t>
  </si>
  <si>
    <t>Anatomy#Embryology#Histology#Veterinary Medicine</t>
  </si>
  <si>
    <t>9703615</t>
  </si>
  <si>
    <t>Anatomic pathology (Chicago, Ill. : annual)</t>
  </si>
  <si>
    <t>ANATOMIC PATHOLOGY (CHICAGO, ILL. : ANNUAL)</t>
  </si>
  <si>
    <t>Anat Pathol</t>
  </si>
  <si>
    <t>Continues: Pathology annual.</t>
  </si>
  <si>
    <t>10565884</t>
  </si>
  <si>
    <t>Aascp Press</t>
  </si>
  <si>
    <t>101292775</t>
  </si>
  <si>
    <t>Anatomical record (Hoboken, N.J. : 2007)</t>
  </si>
  <si>
    <t>ANATOMICAL RECORD (HOBOKEN, N.J. : 2007)</t>
  </si>
  <si>
    <t>Anat Rec (Hoboken)</t>
  </si>
  <si>
    <t>Formed by the union of: Anatomical record. Part A, Discoveries in molecular, cellular, evolutionary biology, and: Anatomical record. Part B, New anatomist.</t>
  </si>
  <si>
    <t>John Wiley &amp; Sons</t>
  </si>
  <si>
    <t>Anatomy</t>
  </si>
  <si>
    <t>101154140</t>
  </si>
  <si>
    <t>Anatomical science international</t>
  </si>
  <si>
    <t>ANATOMICAL SCIENCE INTERNATIONAL</t>
  </si>
  <si>
    <t>Anat Sci Int</t>
  </si>
  <si>
    <t>Continues in part: Kaibogaku zasshi.</t>
  </si>
  <si>
    <t>101392205</t>
  </si>
  <si>
    <t>Anatomical sciences education</t>
  </si>
  <si>
    <t>ANATOMICAL SCIENCES EDUCATION</t>
  </si>
  <si>
    <t>Anat Sci Educ</t>
  </si>
  <si>
    <t>19359780</t>
  </si>
  <si>
    <t>19359772</t>
  </si>
  <si>
    <t>Wiley Periodicals</t>
  </si>
  <si>
    <t>Anatomy#Education</t>
  </si>
  <si>
    <t>0423506</t>
  </si>
  <si>
    <t>ANDROLOGIA</t>
  </si>
  <si>
    <t>Continues: Andrologie. 1969-1973</t>
  </si>
  <si>
    <t>Blackwell Pub.</t>
  </si>
  <si>
    <t>Reproductive Medicine#Urology</t>
  </si>
  <si>
    <t>101585129</t>
  </si>
  <si>
    <t>ANDROLOGY</t>
  </si>
  <si>
    <t>Merger of: International journal of andrology, and: Journal of andrology.</t>
  </si>
  <si>
    <t>7705399</t>
  </si>
  <si>
    <t>Anesteziologiia i reanimatologiia</t>
  </si>
  <si>
    <t>ANESTEZIOLOGIIA I REANIMATOLOGIIA</t>
  </si>
  <si>
    <t>Anesteziol Reanimatol</t>
  </si>
  <si>
    <t>Continues Eksperimental'naia khirurgiia i anesteziologiia.</t>
  </si>
  <si>
    <t>02017563</t>
  </si>
  <si>
    <t>Meditsina</t>
  </si>
  <si>
    <t>rus</t>
  </si>
  <si>
    <t>1310650</t>
  </si>
  <si>
    <t>Anesthesia and analgesia</t>
  </si>
  <si>
    <t>ANESTHESIA AND ANALGESIA</t>
  </si>
  <si>
    <t>Anesth Analg</t>
  </si>
  <si>
    <t>Continues: Current researches in anesthesia &amp; analgesia.</t>
  </si>
  <si>
    <t>0043533</t>
  </si>
  <si>
    <t>Anesthesia progress</t>
  </si>
  <si>
    <t>ANESTHESIA PROGRESS</t>
  </si>
  <si>
    <t>Anesth Prog</t>
  </si>
  <si>
    <t>Continues the Journal of the American Dental Society of Anesthesiology.</t>
  </si>
  <si>
    <t>00033006</t>
  </si>
  <si>
    <t>Anesthesia Progress</t>
  </si>
  <si>
    <t>Anesthesiology#Dentistry</t>
  </si>
  <si>
    <t>1966</t>
  </si>
  <si>
    <t>1300217</t>
  </si>
  <si>
    <t>ANESTHESIOLOGY</t>
  </si>
  <si>
    <t>101273663</t>
  </si>
  <si>
    <t>Anesthesiology clinics</t>
  </si>
  <si>
    <t>ANESTHESIOLOGY CLINICS</t>
  </si>
  <si>
    <t>Anesthesiol Clin</t>
  </si>
  <si>
    <t>Continues: Anesthesiology clinics of North America.</t>
  </si>
  <si>
    <t>Saunders</t>
  </si>
  <si>
    <t>0370543</t>
  </si>
  <si>
    <t>Angewandte Chemie (International ed. in English)</t>
  </si>
  <si>
    <t>ANGEWANDTE CHEMIE (INTERNATIONAL ED. IN ENGLISH)</t>
  </si>
  <si>
    <t>Angew Chem Int Ed Engl</t>
  </si>
  <si>
    <t>Absorbed: Zeitschrift für Chemie. Also issued in German language version. Supplemental section: Advanced materials (began May 1988), also separately published (Jan. 1989- ) under the same title in Deerfield Beach, Fla.; every second issue 1995-1996 includes separately paged publication: Chemistry (Weinheim an der Bergstrasse, Germany), ISSN 0947-6539; issued separately, 1997- Some issues for July 2000- include separately paged publication: Chembiochem, ISSN 1439-4227; some issues for Aug. 2000- include separately paged publication: Chemphyschem, ISSN 1439-4235; each is also issued separately.</t>
  </si>
  <si>
    <t>15213773</t>
  </si>
  <si>
    <t>14337851</t>
  </si>
  <si>
    <t>Fifty three no. a year, 2009-</t>
  </si>
  <si>
    <t>9814575</t>
  </si>
  <si>
    <t>ANGIOGENESIS</t>
  </si>
  <si>
    <t>9604504</t>
  </si>
  <si>
    <t>Angiologii͡a i sosudistai͡a khirurgii͡a = Angiology and vascular surgery</t>
  </si>
  <si>
    <t>ANGIOLOGIIA I SOSUDISTAIA KHIRURGIIA = ANGIOLOGY AND VASCULAR SURGERY</t>
  </si>
  <si>
    <t>Angiol Sosud Khir</t>
  </si>
  <si>
    <t>10276661</t>
  </si>
  <si>
    <t>Izd-vo Info-Media</t>
  </si>
  <si>
    <t>Cardiology#General Surgery</t>
  </si>
  <si>
    <t>0203706</t>
  </si>
  <si>
    <t>ANGIOLOGY</t>
  </si>
  <si>
    <t>Absorbed Vascular diseases, Jan. 1969.</t>
  </si>
  <si>
    <t>Six no. a year, 2002-</t>
  </si>
  <si>
    <t>0370550</t>
  </si>
  <si>
    <t>The Angle orthodontist</t>
  </si>
  <si>
    <t>ANGLE ORTHODONTIST</t>
  </si>
  <si>
    <t>Angle Orthod</t>
  </si>
  <si>
    <t>19457103</t>
  </si>
  <si>
    <t>00033219</t>
  </si>
  <si>
    <t>Edward H. Angle Society of Orthodontia.</t>
  </si>
  <si>
    <t>101303270</t>
  </si>
  <si>
    <t>Animal : an international journal of animal bioscience</t>
  </si>
  <si>
    <t>ANIMAL : AN INTERNATIONAL JOURNAL OF ANIMAL BIOSCIENCE</t>
  </si>
  <si>
    <t>Animal</t>
  </si>
  <si>
    <t>Merger of: Animal science (Penicuik, Scotland), Reproduction, nutrition, development, and: Animal research.</t>
  </si>
  <si>
    <t>1751732X</t>
  </si>
  <si>
    <t>17517311</t>
  </si>
  <si>
    <t>Twelve no. a year, 2008-</t>
  </si>
  <si>
    <t>Veterinary Medicine#Zoology</t>
  </si>
  <si>
    <t>9011409</t>
  </si>
  <si>
    <t>Animal biotechnology</t>
  </si>
  <si>
    <t>ANIMAL BIOTECHNOLOGY</t>
  </si>
  <si>
    <t>Anim Biotechnol</t>
  </si>
  <si>
    <t>15322378</t>
  </si>
  <si>
    <t>10495398</t>
  </si>
  <si>
    <t>Semiannual, 2000-</t>
  </si>
  <si>
    <t>Biotechnology#Zoology</t>
  </si>
  <si>
    <t>9814573</t>
  </si>
  <si>
    <t>Animal cognition</t>
  </si>
  <si>
    <t>ANIMAL COGNITION</t>
  </si>
  <si>
    <t>Anim Cogn</t>
  </si>
  <si>
    <t>14359456</t>
  </si>
  <si>
    <t>14359448</t>
  </si>
  <si>
    <t>8605704</t>
  </si>
  <si>
    <t>Animal genetics</t>
  </si>
  <si>
    <t>ANIMAL GENETICS</t>
  </si>
  <si>
    <t>Anim Genet</t>
  </si>
  <si>
    <t>Continues: Animal blood groups and biochemical genetics.</t>
  </si>
  <si>
    <t>13652052</t>
  </si>
  <si>
    <t>02689146</t>
  </si>
  <si>
    <t>Bimonthly, &lt;1992-&gt;</t>
  </si>
  <si>
    <t>Genetics#Zoology</t>
  </si>
  <si>
    <t>101083072</t>
  </si>
  <si>
    <t>Animal health research reviews / Conference of Research Workers in Animal Diseases</t>
  </si>
  <si>
    <t>ANIMAL HEALTH RESEARCH REVIEWS / CONFERENCE OF RESEARCH WORKERS IN ANIMAL DISEASES</t>
  </si>
  <si>
    <t>Anim Health Res Rev</t>
  </si>
  <si>
    <t>14752654</t>
  </si>
  <si>
    <t>14662523</t>
  </si>
  <si>
    <t>CABI Pub.</t>
  </si>
  <si>
    <t>7807205</t>
  </si>
  <si>
    <t>Animal reproduction science</t>
  </si>
  <si>
    <t>ANIMAL REPRODUCTION SCIENCE</t>
  </si>
  <si>
    <t>Anim Reprod Sci</t>
  </si>
  <si>
    <t>18732232</t>
  </si>
  <si>
    <t>03784320</t>
  </si>
  <si>
    <t>Elsevier Scientific Pub. Co.</t>
  </si>
  <si>
    <t>Twenty eight no. a year, 2008-</t>
  </si>
  <si>
    <t>Reproductive Medicine#Veterinary Medicine#Zoology</t>
  </si>
  <si>
    <t>100956805</t>
  </si>
  <si>
    <t>Animal science journal = Nihon chikusan Gakkaihō</t>
  </si>
  <si>
    <t>ANIMAL SCIENCE JOURNAL = NIHON CHIKUSAN GAKKAIHO</t>
  </si>
  <si>
    <t>Anim Sci J</t>
  </si>
  <si>
    <t>Continues: Nihon Chikusan Gakkai-ho. Continued in part by: Nihon Chikusan Gakkaihō (2002).</t>
  </si>
  <si>
    <t>17400929</t>
  </si>
  <si>
    <t>13443941</t>
  </si>
  <si>
    <t>Blackwell Pub. Asia</t>
  </si>
  <si>
    <t>Bimonthly, 2002-</t>
  </si>
  <si>
    <t>7506854</t>
  </si>
  <si>
    <t>Annales Academiae Medicae Stetinensis</t>
  </si>
  <si>
    <t>ANNALES ACADEMIAE MEDICAE STETINENSIS</t>
  </si>
  <si>
    <t>Ann Acad Med Stetin</t>
  </si>
  <si>
    <t>Continues: Rocznik Pomorskiej Akademii Medyczej im. Gen. Karola Świerczewskiego w Szczecinie.</t>
  </si>
  <si>
    <t>1427440X</t>
  </si>
  <si>
    <t>Panstwowy Zaklad Wydawbuctui Lekarskich</t>
  </si>
  <si>
    <t>Military Medicine#Tropical Medicine</t>
  </si>
  <si>
    <t>2984690R</t>
  </si>
  <si>
    <t>Annales de biologie clinique</t>
  </si>
  <si>
    <t>ANNALES DE BIOLOGIE CLINIQUE</t>
  </si>
  <si>
    <t>Ann Biol Clin (Paris)</t>
  </si>
  <si>
    <t>19506112</t>
  </si>
  <si>
    <t>00033898</t>
  </si>
  <si>
    <t>France</t>
  </si>
  <si>
    <t>Six no. a year, 1997-</t>
  </si>
  <si>
    <t>1943</t>
  </si>
  <si>
    <t>0142167</t>
  </si>
  <si>
    <t>Annales de cardiologie et d'angéiologie</t>
  </si>
  <si>
    <t>ANNALES DE CARDIOLOGIE ET D'ANGEIOLOGIE</t>
  </si>
  <si>
    <t>Ann Cardiol Angeiol (Paris)</t>
  </si>
  <si>
    <t>Continues: Actualités cardiologiques et angéiologiques internationales.</t>
  </si>
  <si>
    <t>Cardiology#Vascular Diseases</t>
  </si>
  <si>
    <t>8305839</t>
  </si>
  <si>
    <t>Annales de chirurgie plastique et esthétique</t>
  </si>
  <si>
    <t>ANNALES DE CHIRURGIE PLASTIQUE ET ESTHETIQUE</t>
  </si>
  <si>
    <t>Ann Chir Plast Esthet</t>
  </si>
  <si>
    <t>Continues: Annales de chirurgie plastique.</t>
  </si>
  <si>
    <t>1768319X</t>
  </si>
  <si>
    <t>02941260</t>
  </si>
  <si>
    <t>7702013</t>
  </si>
  <si>
    <t>Annales de dermatologie et de vénéréologie</t>
  </si>
  <si>
    <t>ANNALES DE DERMATOLOGIE ET DE VENEREOLOGIE</t>
  </si>
  <si>
    <t>Ann Dermatol Venereol</t>
  </si>
  <si>
    <t>Formed by the union of: Annales de dermatologie et de syphiligraphie, and: Bulletin de la Société française de dermatologie et de syphiligraphie.</t>
  </si>
  <si>
    <t>Masson.</t>
  </si>
  <si>
    <t>8106337</t>
  </si>
  <si>
    <t>Annales de pathologie</t>
  </si>
  <si>
    <t>ANNALES DE PATHOLOGIE</t>
  </si>
  <si>
    <t>Ann Pathol</t>
  </si>
  <si>
    <t>Absorbed: Clinical and experimental pathology. Continues: Annales d'anatomie pathologique.</t>
  </si>
  <si>
    <t>Masson</t>
  </si>
  <si>
    <t>Six no. a year, 1991-</t>
  </si>
  <si>
    <t>0116744</t>
  </si>
  <si>
    <t>Annales d'endocrinologie</t>
  </si>
  <si>
    <t>ANNALES D'ENDOCRINOLOGIE</t>
  </si>
  <si>
    <t>Ann Endocrinol (Paris)</t>
  </si>
  <si>
    <t>8213275</t>
  </si>
  <si>
    <t>Annales françaises d'anesthèsie et de rèanimation</t>
  </si>
  <si>
    <t>ANNALES FRANCAISES D'ANESTHESIE ET DE REANIMATION</t>
  </si>
  <si>
    <t>Ann Fr Anesth Reanim</t>
  </si>
  <si>
    <t>Formed by the union of: Annales de l'anesthésiologie française; and Anesthésie, analgésie, réanimation.</t>
  </si>
  <si>
    <t>Monthly, 2004-</t>
  </si>
  <si>
    <t>2985176R</t>
  </si>
  <si>
    <t>Annales pharmaceutiques françaises</t>
  </si>
  <si>
    <t>ANNALES PHARMACEUTIQUES FRANCAISES</t>
  </si>
  <si>
    <t>Ann Pharm Fr</t>
  </si>
  <si>
    <t>Formed by the merger of Journal de pharmacie et de chimie, and Bulletin des sciences pharmacologiques.</t>
  </si>
  <si>
    <t>Elsevier Masson Editeur</t>
  </si>
  <si>
    <t>Pharmacology#Pharmacy</t>
  </si>
  <si>
    <t>0414101</t>
  </si>
  <si>
    <t>Annales Universitatis Mariae Curie-Skłodowska. Sectio D: Medicina</t>
  </si>
  <si>
    <t>ANNALES UNIVERSITATIS MARIAE CURIE-SKLODOWSKA. SECTIO D: MEDICINA</t>
  </si>
  <si>
    <t>Ann Univ Mariae Curie Sklodowska Med</t>
  </si>
  <si>
    <t>00662240</t>
  </si>
  <si>
    <t>Uniwersytetu Marii Curie Sklodowskies</t>
  </si>
  <si>
    <t>7502520</t>
  </si>
  <si>
    <t>Annali dell'Istituto superiore di sanità</t>
  </si>
  <si>
    <t>ANNALI DELL'ISTITUTO SUPERIORE DI SANITA</t>
  </si>
  <si>
    <t>Ann Ist Super Sanita</t>
  </si>
  <si>
    <t>Supersedes: Rendiconti dell'Istituto superiore di sanità.</t>
  </si>
  <si>
    <t>00212571</t>
  </si>
  <si>
    <t>Istituto superiore di sanità</t>
  </si>
  <si>
    <t>9002865</t>
  </si>
  <si>
    <t>Annali di igiene : medicina preventiva e di comunità</t>
  </si>
  <si>
    <t>ANNALI DI IGIENE : MEDICINA PREVENTIVA E DI COMUNITA</t>
  </si>
  <si>
    <t>Ann Ig</t>
  </si>
  <si>
    <t>Continues: Nuovi annali d'igiene e microbiologia.</t>
  </si>
  <si>
    <t>11209135</t>
  </si>
  <si>
    <t>ita</t>
  </si>
  <si>
    <t>Microbiology#Public Health</t>
  </si>
  <si>
    <t>0372343</t>
  </si>
  <si>
    <t>Annali italiani di chirurgia</t>
  </si>
  <si>
    <t>ANNALI ITALIANI DI CHIRURGIA</t>
  </si>
  <si>
    <t>Ann Ital Chir</t>
  </si>
  <si>
    <t>2239253X</t>
  </si>
  <si>
    <t>0003469X</t>
  </si>
  <si>
    <t>Casa Editrice Licinio Cappelli</t>
  </si>
  <si>
    <t>1922</t>
  </si>
  <si>
    <t>101528485</t>
  </si>
  <si>
    <t>Annals of advances in automotive medicine / Annual Scientific Conference ... Association for the Advancement of Automotive Medicine. Association for the Advancement of Automotive Medicine. Scientific Conference</t>
  </si>
  <si>
    <t>ANNALS OF ADVANCES IN AUTOMOTIVE MEDICINE / ANNUAL SCIENTIFIC CONFERENCE ... ASSOCIATION FOR THE ADVANCEMENT OF AUTOMOTIVE MEDICINE. ASSOCIATION FOR THE ADVANCEMENT OF AUTOMOTIVE MEDICINE. SCIENTIFIC CONFERENCE</t>
  </si>
  <si>
    <t>Ann Adv Automot Med</t>
  </si>
  <si>
    <t>Continues: Annual proceedings. Association for the Advancement of Automotive Medicine.</t>
  </si>
  <si>
    <t>19432461</t>
  </si>
  <si>
    <t>Association for the Advancement of Automotive Medicine</t>
  </si>
  <si>
    <t>Medicine#Traumatology</t>
  </si>
  <si>
    <t>101231417</t>
  </si>
  <si>
    <t>Annals of African medicine</t>
  </si>
  <si>
    <t>ANNALS OF AFRICAN MEDICINE</t>
  </si>
  <si>
    <t>Ann Afr Med</t>
  </si>
  <si>
    <t>India</t>
  </si>
  <si>
    <t>Quarterly &lt;2004-&gt;</t>
  </si>
  <si>
    <t>200u</t>
  </si>
  <si>
    <t>9500166</t>
  </si>
  <si>
    <t>Annals of agricultural and environmental medicine : AAEM</t>
  </si>
  <si>
    <t>ANNALS OF AGRICULTURAL AND ENVIRONMENTAL MEDICINE : AAEM</t>
  </si>
  <si>
    <t>Ann Agric Environ Med</t>
  </si>
  <si>
    <t>Environmental Health</t>
  </si>
  <si>
    <t>9503580</t>
  </si>
  <si>
    <t>Annals of allergy, asthma &amp; immunology : official publication of the American College of Allergy, Asthma, &amp; Immunology</t>
  </si>
  <si>
    <t>ANNALS OF ALLERGY, ASTHMA &amp; IMMUNOLOGY : OFFICIAL PUBLICATION OF THE AMERICAN COLLEGE OF ALLERGY, ASTHMA, &amp; IMMUNOLOGY</t>
  </si>
  <si>
    <t>Ann Allergy Asthma Immunol</t>
  </si>
  <si>
    <t>Continues: Annals of allergy.</t>
  </si>
  <si>
    <t>American College of Allergy, Asthma, and Immunology</t>
  </si>
  <si>
    <t>100963897</t>
  </si>
  <si>
    <t>Annals of anatomy = Anatomischer Anzeiger : official organ of the Anatomische Gesellschaft</t>
  </si>
  <si>
    <t>ANNALS OF ANATOMY = ANATOMISCHER ANZEIGER : OFFICIAL ORGAN OF THE ANATOMISCHE GESELLSCHAFT</t>
  </si>
  <si>
    <t>Ann Anat</t>
  </si>
  <si>
    <t>Continues: Anatomischer Anzeiger.</t>
  </si>
  <si>
    <t>G. Fischer</t>
  </si>
  <si>
    <t>8510246</t>
  </si>
  <si>
    <t>Annals of behavioral medicine : a publication of the Society of Behavioral Medicine</t>
  </si>
  <si>
    <t>ANNALS OF BEHAVIORAL MEDICINE : A PUBLICATION OF THE SOCIETY OF BEHAVIORAL MEDICINE</t>
  </si>
  <si>
    <t>Ann Behav Med</t>
  </si>
  <si>
    <t>Absorbed in 1992: Behavioral medicine abstracts.</t>
  </si>
  <si>
    <t>15324796</t>
  </si>
  <si>
    <t>08836612</t>
  </si>
  <si>
    <t>Lawrence Erlbaum Associates</t>
  </si>
  <si>
    <t>0361512</t>
  </si>
  <si>
    <t>Annals of biomedical engineering</t>
  </si>
  <si>
    <t>ANNALS OF BIOMEDICAL ENGINEERING</t>
  </si>
  <si>
    <t>Ann Biomed Eng</t>
  </si>
  <si>
    <t>Absorbed: Journal of bioengineering.</t>
  </si>
  <si>
    <t>0372347</t>
  </si>
  <si>
    <t>Annals of botany</t>
  </si>
  <si>
    <t>ANNALS OF BOTANY</t>
  </si>
  <si>
    <t>Ann Bot</t>
  </si>
  <si>
    <t>10958290</t>
  </si>
  <si>
    <t>03057364</t>
  </si>
  <si>
    <t>9815987</t>
  </si>
  <si>
    <t>Annals of cardiac anaesthesia</t>
  </si>
  <si>
    <t>ANNALS OF CARDIAC ANAESTHESIA</t>
  </si>
  <si>
    <t>Ann Card Anaesth</t>
  </si>
  <si>
    <t>Medknow</t>
  </si>
  <si>
    <t>Quarterly, 2012-</t>
  </si>
  <si>
    <t>Anesthesiology#Cardiology</t>
  </si>
  <si>
    <t>0410247</t>
  </si>
  <si>
    <t>Annals of clinical and laboratory science</t>
  </si>
  <si>
    <t>ANNALS OF CLINICAL AND LABORATORY SCIENCE</t>
  </si>
  <si>
    <t>Ann Clin Lab Sci</t>
  </si>
  <si>
    <t>Continues Annals of clinical laboratory science.</t>
  </si>
  <si>
    <t>Institute for Clinical Science.</t>
  </si>
  <si>
    <t>Clinical Laboratory Techniques</t>
  </si>
  <si>
    <t>0324055</t>
  </si>
  <si>
    <t>Annals of clinical biochemistry</t>
  </si>
  <si>
    <t>ANNALS OF CLINICAL BIOCHEMISTRY</t>
  </si>
  <si>
    <t>Ann Clin Biochem</t>
  </si>
  <si>
    <t>Continues: Proceedings. Association of Clinical Biochemists.</t>
  </si>
  <si>
    <t>101152152</t>
  </si>
  <si>
    <t>Annals of clinical microbiology and antimicrobials</t>
  </si>
  <si>
    <t>ANNALS OF CLINICAL MICROBIOLOGY AND ANTIMICROBIALS</t>
  </si>
  <si>
    <t>Ann Clin Microbiol Antimicrob</t>
  </si>
  <si>
    <t>Anti-Infective Agents#Microbiology</t>
  </si>
  <si>
    <t>8911021</t>
  </si>
  <si>
    <t>Annals of clinical psychiatry : official journal of the American Academy of Clinical Psychiatrists</t>
  </si>
  <si>
    <t>ANNALS OF CLINICAL PSYCHIATRY : OFFICIAL JOURNAL OF THE AMERICAN ACADEMY OF CLINICAL PSYCHIATRISTS</t>
  </si>
  <si>
    <t>Ann Clin Psychiatry</t>
  </si>
  <si>
    <t>Quadrant HealthCom</t>
  </si>
  <si>
    <t>9800503</t>
  </si>
  <si>
    <t>Annals of diagnostic pathology</t>
  </si>
  <si>
    <t>ANNALS OF DIAGNOSTIC PATHOLOGY</t>
  </si>
  <si>
    <t>Ann Diagn Pathol</t>
  </si>
  <si>
    <t>8406611</t>
  </si>
  <si>
    <t>Annals of dyslexia</t>
  </si>
  <si>
    <t>ANNALS OF DYSLEXIA</t>
  </si>
  <si>
    <t>Ann Dyslexia</t>
  </si>
  <si>
    <t>Continues: Bulletin of the Orton Society.</t>
  </si>
  <si>
    <t>19347243</t>
  </si>
  <si>
    <t>07369387</t>
  </si>
  <si>
    <t>International Dyslexia Association</t>
  </si>
  <si>
    <t>Two no. a year, 2004-</t>
  </si>
  <si>
    <t>8002646</t>
  </si>
  <si>
    <t>Annals of emergency medicine</t>
  </si>
  <si>
    <t>ANNALS OF EMERGENCY MEDICINE</t>
  </si>
  <si>
    <t>Ann Emerg Med</t>
  </si>
  <si>
    <t>Continues: JACEP.</t>
  </si>
  <si>
    <t>9100013</t>
  </si>
  <si>
    <t>Annals of epidemiology</t>
  </si>
  <si>
    <t>ANNALS OF EPIDEMIOLOGY</t>
  </si>
  <si>
    <t>Ann Epidemiol</t>
  </si>
  <si>
    <t>Eight no. a year, 1997-</t>
  </si>
  <si>
    <t>101167762</t>
  </si>
  <si>
    <t>Annals of family medicine</t>
  </si>
  <si>
    <t>ANNALS OF FAMILY MEDICINE</t>
  </si>
  <si>
    <t>Ann Fam Med</t>
  </si>
  <si>
    <t>15441717</t>
  </si>
  <si>
    <t>15441709</t>
  </si>
  <si>
    <t>Annals of Family Medicine, Inc.</t>
  </si>
  <si>
    <t>101620864</t>
  </si>
  <si>
    <t>Annals of global health</t>
  </si>
  <si>
    <t>ANNALS OF GLOBAL HEALTH</t>
  </si>
  <si>
    <t>Ann Glob Health</t>
  </si>
  <si>
    <t>Continues: Mount Sinai journal of medicine, New York.</t>
  </si>
  <si>
    <t>22149996</t>
  </si>
  <si>
    <t>6 issues per year</t>
  </si>
  <si>
    <t>9306639</t>
  </si>
  <si>
    <t>Annals of health law / Loyola University Chicago, School of Law, Institute for Health Law</t>
  </si>
  <si>
    <t>ANNALS OF HEALTH LAW / LOYOLA UNIVERSITY CHICAGO, SCHOOL OF LAW, INSTITUTE FOR HEALTH LAW</t>
  </si>
  <si>
    <t>Ann Health Law</t>
  </si>
  <si>
    <t>10752994</t>
  </si>
  <si>
    <t>Published by the Institute in cooperation with the National Health Lawyers Association</t>
  </si>
  <si>
    <t>Jurisprudence#Public Health</t>
  </si>
  <si>
    <t>9107334</t>
  </si>
  <si>
    <t>Annals of hematology</t>
  </si>
  <si>
    <t>ANNALS OF HEMATOLOGY</t>
  </si>
  <si>
    <t>Ann Hematol</t>
  </si>
  <si>
    <t>Absorbed: Hematology and cell therapy. Continues: Blut.</t>
  </si>
  <si>
    <t>101155885</t>
  </si>
  <si>
    <t>Annals of hepatology</t>
  </si>
  <si>
    <t>ANNALS OF HEPATOLOGY</t>
  </si>
  <si>
    <t>Ann Hepatol</t>
  </si>
  <si>
    <t>Fundación Clínica Médica Sur</t>
  </si>
  <si>
    <t>Bimonthly, 2012-</t>
  </si>
  <si>
    <t>0404024</t>
  </si>
  <si>
    <t>Annals of human biology</t>
  </si>
  <si>
    <t>ANNALS OF HUMAN BIOLOGY</t>
  </si>
  <si>
    <t>Ann Hum Biol</t>
  </si>
  <si>
    <t>14645033</t>
  </si>
  <si>
    <t>03014460</t>
  </si>
  <si>
    <t>0416661</t>
  </si>
  <si>
    <t>Annals of human genetics</t>
  </si>
  <si>
    <t>ANNALS OF HUMAN GENETICS</t>
  </si>
  <si>
    <t>Ann Hum Genet</t>
  </si>
  <si>
    <t>Continues: Annals of eugenics.</t>
  </si>
  <si>
    <t>Six no. a year, 1996-</t>
  </si>
  <si>
    <t>0372351</t>
  </si>
  <si>
    <t>Annals of internal medicine</t>
  </si>
  <si>
    <t>ANNALS OF INTERNAL MEDICINE</t>
  </si>
  <si>
    <t>Ann Intern Med</t>
  </si>
  <si>
    <t>Supersedes: Annals of clinical medicine.</t>
  </si>
  <si>
    <t>American College of Physicians--American Society of Internal Medicine</t>
  </si>
  <si>
    <t>Semimonthly , &lt;1991-&gt;</t>
  </si>
  <si>
    <t>Internal Medicine#Medicine</t>
  </si>
  <si>
    <t>1927</t>
  </si>
  <si>
    <t>101571172</t>
  </si>
  <si>
    <t>Annals of laboratory medicine</t>
  </si>
  <si>
    <t>ANNALS OF LABORATORY MEDICINE</t>
  </si>
  <si>
    <t>Ann Lab Med</t>
  </si>
  <si>
    <t>Continues: Taehan Chindan Kŏmsa Ŭihakhoe chi.</t>
  </si>
  <si>
    <t>22343814</t>
  </si>
  <si>
    <t>22343806</t>
  </si>
  <si>
    <t>Korean Society for Laboratory Medicine</t>
  </si>
  <si>
    <t>Korea (South)</t>
  </si>
  <si>
    <t>8906388</t>
  </si>
  <si>
    <t>Annals of medicine</t>
  </si>
  <si>
    <t>ANNALS OF MEDICINE</t>
  </si>
  <si>
    <t>Ann Med</t>
  </si>
  <si>
    <t>Formed by the union of: Annals of clinical research, and: Medical biology.</t>
  </si>
  <si>
    <t>Eight no. a year, 2002-</t>
  </si>
  <si>
    <t>7707449</t>
  </si>
  <si>
    <t>Annals of neurology</t>
  </si>
  <si>
    <t>ANNALS OF NEUROLOGY</t>
  </si>
  <si>
    <t>Ann Neurol</t>
  </si>
  <si>
    <t>9607443</t>
  </si>
  <si>
    <t>Annals of noninvasive electrocardiology : the official journal of the International Society for Holter and Noninvasive Electrocardiology, Inc</t>
  </si>
  <si>
    <t>ANNALS OF NONINVASIVE ELECTROCARDIOLOGY : THE OFFICIAL JOURNAL OF THE INTERNATIONAL SOCIETY FOR HOLTER AND NONINVASIVE ELECTROCARDIOLOGY, INC</t>
  </si>
  <si>
    <t>Ann Noninvasive Electrocardiol</t>
  </si>
  <si>
    <t>Futura Pub. Co.</t>
  </si>
  <si>
    <t>8913398</t>
  </si>
  <si>
    <t>Annals of nuclear medicine</t>
  </si>
  <si>
    <t>ANNALS OF NUCLEAR MEDICINE</t>
  </si>
  <si>
    <t>Ann Nucl Med</t>
  </si>
  <si>
    <t>Nuclear Medicine</t>
  </si>
  <si>
    <t>8105511</t>
  </si>
  <si>
    <t>Annals of nutrition &amp; metabolism</t>
  </si>
  <si>
    <t>ANNALS OF NUTRITION &amp; METABOLISM</t>
  </si>
  <si>
    <t>Ann Nutr Metab</t>
  </si>
  <si>
    <t>Formed by the union of: Nutrition and metabolism, and: Annales de la nutrition et de l'alimentation.</t>
  </si>
  <si>
    <t>8 times a year, 2009-</t>
  </si>
  <si>
    <t>Metabolism#Nutritional Sciences</t>
  </si>
  <si>
    <t>0203526</t>
  </si>
  <si>
    <t>The Annals of occupational hygiene</t>
  </si>
  <si>
    <t>ANNALS OF OCCUPATIONAL HYGIENE</t>
  </si>
  <si>
    <t>Ann Occup Hyg</t>
  </si>
  <si>
    <t>14753162</t>
  </si>
  <si>
    <t>00034878</t>
  </si>
  <si>
    <t>Nine no. a year, 2011-</t>
  </si>
  <si>
    <t>9007735</t>
  </si>
  <si>
    <t>Annals of oncology : official journal of the European Society for Medical Oncology / ESMO</t>
  </si>
  <si>
    <t>ANNALS OF ONCOLOGY : OFFICIAL JOURNAL OF THE EUROPEAN SOCIETY FOR MEDICAL ONCOLOGY / ESMO</t>
  </si>
  <si>
    <t>Ann Oncol</t>
  </si>
  <si>
    <t>1256156</t>
  </si>
  <si>
    <t>The Annals of otology, rhinology &amp; laryngology. Supplement</t>
  </si>
  <si>
    <t>ANNALS OF OTOLOGY, RHINOLOGY &amp; LARYNGOLOGY. SUPPLEMENT</t>
  </si>
  <si>
    <t>Ann Otol Rhinol Laryngol Suppl</t>
  </si>
  <si>
    <t>00968056</t>
  </si>
  <si>
    <t>Annals Pub. Co.</t>
  </si>
  <si>
    <t>0407300</t>
  </si>
  <si>
    <t>The Annals of otology, rhinology, and laryngology</t>
  </si>
  <si>
    <t>ANNALS OF OTOLOGY, RHINOLOGY, AND LARYNGOLOGY</t>
  </si>
  <si>
    <t>Ann Otol Rhinol Laryngol</t>
  </si>
  <si>
    <t>Absorbed: Index of oto-laryngology. Continues in part: Annals of ophthalmology and otology.</t>
  </si>
  <si>
    <t>1943572X</t>
  </si>
  <si>
    <t>Annals Publishing Co</t>
  </si>
  <si>
    <t>1897</t>
  </si>
  <si>
    <t>101593588</t>
  </si>
  <si>
    <t>Annals of parasitology</t>
  </si>
  <si>
    <t>ANNALS OF PARASITOLOGY</t>
  </si>
  <si>
    <t>Ann Parasitol</t>
  </si>
  <si>
    <t>Continues: Wiadomości parazytologiczne.</t>
  </si>
  <si>
    <t>22990631</t>
  </si>
  <si>
    <t>Polish Parasitological Society</t>
  </si>
  <si>
    <t>9203131</t>
  </si>
  <si>
    <t>The Annals of pharmacotherapy</t>
  </si>
  <si>
    <t>ANNALS OF PHARMACOTHERAPY</t>
  </si>
  <si>
    <t>Ann Pharmacother</t>
  </si>
  <si>
    <t>Continues: DICP.</t>
  </si>
  <si>
    <t>Monthly (except July/Aug. combined)</t>
  </si>
  <si>
    <t>101502773</t>
  </si>
  <si>
    <t>Annals of physical and rehabilitation medicine</t>
  </si>
  <si>
    <t>ANNALS OF PHYSICAL AND REHABILITATION MEDICINE</t>
  </si>
  <si>
    <t>Ann Phys Rehabil Med</t>
  </si>
  <si>
    <t>Continues: Annales de réadaptation et de médecine physique.</t>
  </si>
  <si>
    <t>Elsevier Masson</t>
  </si>
  <si>
    <t>Ten no a year</t>
  </si>
  <si>
    <t>7805336</t>
  </si>
  <si>
    <t>Annals of plastic surgery</t>
  </si>
  <si>
    <t>ANNALS OF PLASTIC SURGERY</t>
  </si>
  <si>
    <t>Ann Plast Surg</t>
  </si>
  <si>
    <t>15363708</t>
  </si>
  <si>
    <t>01487043</t>
  </si>
  <si>
    <t>Little, Brown And Company</t>
  </si>
  <si>
    <t>8507355</t>
  </si>
  <si>
    <t>Annals of Saudi medicine</t>
  </si>
  <si>
    <t>ANNALS OF SAUDI MEDICINE</t>
  </si>
  <si>
    <t>Ann Saudi Med</t>
  </si>
  <si>
    <t>Continues: King Faisal Specialist Hospital medical journal.</t>
  </si>
  <si>
    <t>Bimonthly, 1988-</t>
  </si>
  <si>
    <t>0372361</t>
  </si>
  <si>
    <t>Annals of science</t>
  </si>
  <si>
    <t>ANNALS OF SCIENCE</t>
  </si>
  <si>
    <t>Ann Sci</t>
  </si>
  <si>
    <t>00033790</t>
  </si>
  <si>
    <t>Quarterly, 1998-</t>
  </si>
  <si>
    <t>History of Medicine#Science</t>
  </si>
  <si>
    <t>1936</t>
  </si>
  <si>
    <t>0372354</t>
  </si>
  <si>
    <t>Annals of surgery</t>
  </si>
  <si>
    <t>ANNALS OF SURGERY</t>
  </si>
  <si>
    <t>Ann Surg</t>
  </si>
  <si>
    <t>1885</t>
  </si>
  <si>
    <t>9420840</t>
  </si>
  <si>
    <t>Annals of surgical oncology</t>
  </si>
  <si>
    <t>ANNALS OF SURGICAL ONCOLOGY</t>
  </si>
  <si>
    <t>Ann Surg Oncol</t>
  </si>
  <si>
    <t>General Surgery#Neoplasms</t>
  </si>
  <si>
    <t>7503289</t>
  </si>
  <si>
    <t>Annals of the Academy of Medicine, Singapore</t>
  </si>
  <si>
    <t>ANNALS OF THE ACADEMY OF MEDICINE, SINGAPORE</t>
  </si>
  <si>
    <t>Ann Acad Med Singapore</t>
  </si>
  <si>
    <t>Academy Of Medicine, Singapore</t>
  </si>
  <si>
    <t>101600811</t>
  </si>
  <si>
    <t>ANNALS OF THE AMERICAN THORACIC SOCIETY</t>
  </si>
  <si>
    <t>Ann Am Thorac Soc</t>
  </si>
  <si>
    <t>Continues: Proceedings of the American Thoracic Society.</t>
  </si>
  <si>
    <t>23296933</t>
  </si>
  <si>
    <t>Nine issues a year, 2014-</t>
  </si>
  <si>
    <t>7708044</t>
  </si>
  <si>
    <t>ANNALS OF THE ICRP</t>
  </si>
  <si>
    <t>Ann ICRP</t>
  </si>
  <si>
    <t>Continues: ICRP publication.</t>
  </si>
  <si>
    <t>Quarterly, 1989-</t>
  </si>
  <si>
    <t>101252990</t>
  </si>
  <si>
    <t>The annals of the New York Academy of Dentistry</t>
  </si>
  <si>
    <t>ANNALS OF THE NEW YORK ACADEMY OF DENTISTRY</t>
  </si>
  <si>
    <t>Annals N Y Acad Dent</t>
  </si>
  <si>
    <t>Continues: Annals of dentistry.</t>
  </si>
  <si>
    <t>19316585</t>
  </si>
  <si>
    <t>New York Academy of Dentistry</t>
  </si>
  <si>
    <t>7506858</t>
  </si>
  <si>
    <t>ANNALS OF THE NEW YORK ACADEMY OF SCIENCES</t>
  </si>
  <si>
    <t>Ann N Y Acad Sci</t>
  </si>
  <si>
    <t>Supersedes: Annals of the Lyceum of Natural History of New York.</t>
  </si>
  <si>
    <t>New York Academy of Sciences</t>
  </si>
  <si>
    <t>Approximately 28 vols. per year, 2006-</t>
  </si>
  <si>
    <t>1877</t>
  </si>
  <si>
    <t>0372355</t>
  </si>
  <si>
    <t>Annals of the rheumatic diseases</t>
  </si>
  <si>
    <t>ANNALS OF THE RHEUMATIC DISEASES</t>
  </si>
  <si>
    <t>Ann Rheum Dis</t>
  </si>
  <si>
    <t>Continues: Rheumatic diseases.</t>
  </si>
  <si>
    <t>BMJ</t>
  </si>
  <si>
    <t>Monthly, &lt;Feb. 1988-&gt;</t>
  </si>
  <si>
    <t>8006208</t>
  </si>
  <si>
    <t>Annals of the Royal Australasian College of Dental Surgeons</t>
  </si>
  <si>
    <t>ANNALS OF THE ROYAL AUSTRALASIAN COLLEGE OF DENTAL SURGEONS</t>
  </si>
  <si>
    <t>Ann R Australas Coll Dent Surg</t>
  </si>
  <si>
    <t>Continues Annals of the Royal Australian College of Dental Surgeons.</t>
  </si>
  <si>
    <t>01581570</t>
  </si>
  <si>
    <t>The College.</t>
  </si>
  <si>
    <t>Dentistry#General Surgery</t>
  </si>
  <si>
    <t>7506860</t>
  </si>
  <si>
    <t>Annals of the Royal College of Surgeons of England</t>
  </si>
  <si>
    <t>ANNALS OF THE ROYAL COLLEGE OF SURGEONS OF ENGLAND</t>
  </si>
  <si>
    <t>Ann R Coll Surg Engl</t>
  </si>
  <si>
    <t>14787083</t>
  </si>
  <si>
    <t>00358843</t>
  </si>
  <si>
    <t>Royal College of Surgeons of England</t>
  </si>
  <si>
    <t>9703158</t>
  </si>
  <si>
    <t>Annals of thoracic and cardiovascular surgery : official journal of the Association of Thoracic and Cardiovascular Surgeons of Asia</t>
  </si>
  <si>
    <t>ANNALS OF THORACIC AND CARDIOVASCULAR SURGERY : OFFICIAL JOURNAL OF THE ASSOCIATION OF THORACIC AND CARDIOVASCULAR SURGEONS OF ASIA</t>
  </si>
  <si>
    <t>Ann Thorac Cardiovasc Surg</t>
  </si>
  <si>
    <t>21861005</t>
  </si>
  <si>
    <t>13411098</t>
  </si>
  <si>
    <t>Japanese Editorial Committee of Annals of Thoracic and Cardiovascular Surgery</t>
  </si>
  <si>
    <t>Cardiology#General Surgery#Pulmonary Medicine#Vascular Diseases</t>
  </si>
  <si>
    <t>15030100R</t>
  </si>
  <si>
    <t>The Annals of thoracic surgery</t>
  </si>
  <si>
    <t>ANNALS OF THORACIC SURGERY</t>
  </si>
  <si>
    <t>Ann Thorac Surg</t>
  </si>
  <si>
    <t>General Surgery#Pulmonary Medicine</t>
  </si>
  <si>
    <t>9802544</t>
  </si>
  <si>
    <t>Annals of transplantation : quarterly of the Polish Transplantation Society</t>
  </si>
  <si>
    <t>ANNALS OF TRANSPLANTATION : QUARTERLY OF THE POLISH TRANSPLANTATION SOCIETY</t>
  </si>
  <si>
    <t>Ann Transplant</t>
  </si>
  <si>
    <t>23290358</t>
  </si>
  <si>
    <t>Index Copernicus International</t>
  </si>
  <si>
    <t>8703941</t>
  </si>
  <si>
    <t>Annals of vascular surgery</t>
  </si>
  <si>
    <t>ANNALS OF VASCULAR SURGERY</t>
  </si>
  <si>
    <t>Ann Vasc Surg</t>
  </si>
  <si>
    <t>General Surgery#Vascular Diseases</t>
  </si>
  <si>
    <t>101508602</t>
  </si>
  <si>
    <t>Annual review of analytical chemistry (Palo Alto, Calif.)</t>
  </si>
  <si>
    <t>ANNUAL REVIEW OF ANALYTICAL CHEMISTRY (PALO ALTO, CALIF.)</t>
  </si>
  <si>
    <t>Annu Rev Anal Chem (Palo Alto Calif)</t>
  </si>
  <si>
    <t>19361335</t>
  </si>
  <si>
    <t>19361327</t>
  </si>
  <si>
    <t>Annual Reviews</t>
  </si>
  <si>
    <t>2985150R</t>
  </si>
  <si>
    <t>Annual review of biochemistry</t>
  </si>
  <si>
    <t>ANNUAL REVIEW OF BIOCHEMISTRY</t>
  </si>
  <si>
    <t>Annu Rev Biochem</t>
  </si>
  <si>
    <t>1932</t>
  </si>
  <si>
    <t>100883581</t>
  </si>
  <si>
    <t>Annual review of biomedical engineering</t>
  </si>
  <si>
    <t>ANNUAL REVIEW OF BIOMEDICAL ENGINEERING</t>
  </si>
  <si>
    <t>Annu Rev Biomed Eng</t>
  </si>
  <si>
    <t>101469708</t>
  </si>
  <si>
    <t>Annual review of biophysics</t>
  </si>
  <si>
    <t>ANNUAL REVIEW OF BIOPHYSICS</t>
  </si>
  <si>
    <t>Annu Rev Biophys</t>
  </si>
  <si>
    <t>Continues: Annual review of biophysics and biomolecular structure.</t>
  </si>
  <si>
    <t>Biophysics</t>
  </si>
  <si>
    <t>9600627</t>
  </si>
  <si>
    <t>Annual review of cell and developmental biology</t>
  </si>
  <si>
    <t>ANNUAL REVIEW OF CELL AND DEVELOPMENTAL BIOLOGY</t>
  </si>
  <si>
    <t>Annu Rev Cell Dev Biol</t>
  </si>
  <si>
    <t>Continues: Annual review of cell biology.</t>
  </si>
  <si>
    <t>Biology#Cell Biology</t>
  </si>
  <si>
    <t>101574034</t>
  </si>
  <si>
    <t>Annual review of chemical and biomolecular engineering</t>
  </si>
  <si>
    <t>ANNUAL REVIEW OF CHEMICAL AND BIOMOLECULAR ENGINEERING</t>
  </si>
  <si>
    <t>Annu Rev Chem Biomol Eng</t>
  </si>
  <si>
    <t>19475446</t>
  </si>
  <si>
    <t>19475438</t>
  </si>
  <si>
    <t>101235325</t>
  </si>
  <si>
    <t>Annual review of clinical psychology</t>
  </si>
  <si>
    <t>ANNUAL REVIEW OF CLINICAL PSYCHOLOGY</t>
  </si>
  <si>
    <t>Annu Rev Clin Psychol</t>
  </si>
  <si>
    <t>0372367</t>
  </si>
  <si>
    <t>Annual review of entomology</t>
  </si>
  <si>
    <t>ANNUAL REVIEW OF ENTOMOLOGY</t>
  </si>
  <si>
    <t>Annu Rev Entomol</t>
  </si>
  <si>
    <t>15454487</t>
  </si>
  <si>
    <t>00664170</t>
  </si>
  <si>
    <t>Annual Reviews, inc. [etc.]</t>
  </si>
  <si>
    <t>101561951</t>
  </si>
  <si>
    <t>Annual review of food science and technology</t>
  </si>
  <si>
    <t>ANNUAL REVIEW OF FOOD SCIENCE AND TECHNOLOGY</t>
  </si>
  <si>
    <t>Annu Rev Food Sci Technol</t>
  </si>
  <si>
    <t>19411421</t>
  </si>
  <si>
    <t>19411413</t>
  </si>
  <si>
    <t>Nutritional Sciences#Technology</t>
  </si>
  <si>
    <t>0117605</t>
  </si>
  <si>
    <t>Annual review of genetics</t>
  </si>
  <si>
    <t>ANNUAL REVIEW OF GENETICS</t>
  </si>
  <si>
    <t>Annu Rev Genet</t>
  </si>
  <si>
    <t>100911346</t>
  </si>
  <si>
    <t>Annual review of genomics and human genetics</t>
  </si>
  <si>
    <t>ANNUAL REVIEW OF GENOMICS AND HUMAN GENETICS</t>
  </si>
  <si>
    <t>Annu Rev Genomics Hum Genet</t>
  </si>
  <si>
    <t>Genetics#Genetics, Medical</t>
  </si>
  <si>
    <t>8309206</t>
  </si>
  <si>
    <t>Annual review of immunology</t>
  </si>
  <si>
    <t>ANNUAL REVIEW OF IMMUNOLOGY</t>
  </si>
  <si>
    <t>Annu Rev Immunol</t>
  </si>
  <si>
    <t>101536246</t>
  </si>
  <si>
    <t>Annual review of marine science</t>
  </si>
  <si>
    <t>ANNUAL REVIEW OF MARINE SCIENCE</t>
  </si>
  <si>
    <t>Ann Rev Mar Sci</t>
  </si>
  <si>
    <t>19410611</t>
  </si>
  <si>
    <t>19411405</t>
  </si>
  <si>
    <t>2985151R</t>
  </si>
  <si>
    <t>Annual review of medicine</t>
  </si>
  <si>
    <t>ANNUAL REVIEW OF MEDICINE</t>
  </si>
  <si>
    <t>Annu Rev Med</t>
  </si>
  <si>
    <t>0372370</t>
  </si>
  <si>
    <t>Annual review of microbiology</t>
  </si>
  <si>
    <t>ANNUAL REVIEW OF MICROBIOLOGY</t>
  </si>
  <si>
    <t>Annu Rev Microbiol</t>
  </si>
  <si>
    <t>7804039</t>
  </si>
  <si>
    <t>Annual review of neuroscience</t>
  </si>
  <si>
    <t>ANNUAL REVIEW OF NEUROSCIENCE</t>
  </si>
  <si>
    <t>Annu Rev Neurosci</t>
  </si>
  <si>
    <t>Annual Reviews, inc.</t>
  </si>
  <si>
    <t>8406387</t>
  </si>
  <si>
    <t>Annual review of nursing research</t>
  </si>
  <si>
    <t>ANNUAL REVIEW OF NURSING RESEARCH</t>
  </si>
  <si>
    <t>Annu Rev Nurs Res</t>
  </si>
  <si>
    <t>07396686</t>
  </si>
  <si>
    <t>Springer Pub. Co.</t>
  </si>
  <si>
    <t>8209988</t>
  </si>
  <si>
    <t>Annual review of nutrition</t>
  </si>
  <si>
    <t>ANNUAL REVIEW OF NUTRITION</t>
  </si>
  <si>
    <t>Annu Rev Nutr</t>
  </si>
  <si>
    <t>101275111</t>
  </si>
  <si>
    <t>Annual review of pathology</t>
  </si>
  <si>
    <t>ANNUAL REVIEW OF PATHOLOGY</t>
  </si>
  <si>
    <t>Annu Rev Pathol</t>
  </si>
  <si>
    <t>7607088</t>
  </si>
  <si>
    <t>Annual review of pharmacology and toxicology</t>
  </si>
  <si>
    <t>ANNUAL REVIEW OF PHARMACOLOGY AND TOXICOLOGY</t>
  </si>
  <si>
    <t>Annu Rev Pharmacol Toxicol</t>
  </si>
  <si>
    <t>Continues Annual review of pharmacology.</t>
  </si>
  <si>
    <t>Pharmacology#Toxicology</t>
  </si>
  <si>
    <t>15040080R</t>
  </si>
  <si>
    <t>Annual review of physical chemistry</t>
  </si>
  <si>
    <t>ANNUAL REVIEW OF PHYSICAL CHEMISTRY</t>
  </si>
  <si>
    <t>Annu Rev Phys Chem</t>
  </si>
  <si>
    <t>15451593</t>
  </si>
  <si>
    <t>0066426X</t>
  </si>
  <si>
    <t>0370600</t>
  </si>
  <si>
    <t>Annual review of physiology</t>
  </si>
  <si>
    <t>ANNUAL REVIEW OF PHYSIOLOGY</t>
  </si>
  <si>
    <t>Annu Rev Physiol</t>
  </si>
  <si>
    <t>0372373</t>
  </si>
  <si>
    <t>Annual review of phytopathology</t>
  </si>
  <si>
    <t>ANNUAL REVIEW OF PHYTOPATHOLOGY</t>
  </si>
  <si>
    <t>Annu Rev Phytopathol</t>
  </si>
  <si>
    <t>00664286</t>
  </si>
  <si>
    <t>101140127</t>
  </si>
  <si>
    <t>Annual review of plant biology</t>
  </si>
  <si>
    <t>ANNUAL REVIEW OF PLANT BIOLOGY</t>
  </si>
  <si>
    <t>Annu Rev Plant Biol</t>
  </si>
  <si>
    <t>Continues: Annual review of plant physiology and plant molecular biology.</t>
  </si>
  <si>
    <t>15452123</t>
  </si>
  <si>
    <t>15435008</t>
  </si>
  <si>
    <t>0372374</t>
  </si>
  <si>
    <t>Annual review of psychology</t>
  </si>
  <si>
    <t>ANNUAL REVIEW OF PSYCHOLOGY</t>
  </si>
  <si>
    <t>Annu Rev Psychol</t>
  </si>
  <si>
    <t>15452085</t>
  </si>
  <si>
    <t>00664308</t>
  </si>
  <si>
    <t>8006431</t>
  </si>
  <si>
    <t>Annual review of public health</t>
  </si>
  <si>
    <t>ANNUAL REVIEW OF PUBLIC HEALTH</t>
  </si>
  <si>
    <t>Annu Rev Public Health</t>
  </si>
  <si>
    <t>9604640</t>
  </si>
  <si>
    <t>Annual statistical supplement, ... to the Social security bulletin</t>
  </si>
  <si>
    <t>ANNUAL STATISTICAL SUPPLEMENT, ... TO THE SOCIAL SECURITY BULLETIN</t>
  </si>
  <si>
    <t>Annu Stat Suppl Soc Secur Bull</t>
  </si>
  <si>
    <t>Continues: Social security bulletin. Annual statistical supplement.</t>
  </si>
  <si>
    <t>15530663</t>
  </si>
  <si>
    <t>15530949</t>
  </si>
  <si>
    <t>U.S. Dept. of Health and Human Services, Social Security Administration</t>
  </si>
  <si>
    <t>Health Services Research#Statistics as Topic</t>
  </si>
  <si>
    <t>7809992</t>
  </si>
  <si>
    <t>ANS. Advances in nursing science</t>
  </si>
  <si>
    <t>ANS. ADVANCES IN NURSING SCIENCE</t>
  </si>
  <si>
    <t>ANS Adv Nurs Sci</t>
  </si>
  <si>
    <t>15505014</t>
  </si>
  <si>
    <t>01619268</t>
  </si>
  <si>
    <t>0372377</t>
  </si>
  <si>
    <t>Anthropologischer Anzeiger; Bericht über die biologisch-anthropologische Literatur</t>
  </si>
  <si>
    <t>ANTHROPOLOGISCHER ANZEIGER; BERICHT UBER DIE BIOLOGISCH-ANTHROPOLOGISCHE LITERATUR</t>
  </si>
  <si>
    <t>Anthropol Anz</t>
  </si>
  <si>
    <t>Absorbed: Zeitschrift für Morphologie und Anthropologie. 2002</t>
  </si>
  <si>
    <t>00035548</t>
  </si>
  <si>
    <t>E Schweizerbartsche</t>
  </si>
  <si>
    <t>1924</t>
  </si>
  <si>
    <t>9709920</t>
  </si>
  <si>
    <t>Anthropology &amp; medicine</t>
  </si>
  <si>
    <t>ANTHROPOLOGY &amp; MEDICINE</t>
  </si>
  <si>
    <t>Anthropol Med</t>
  </si>
  <si>
    <t>Continues: British medical anthropology review.</t>
  </si>
  <si>
    <t>Carfax</t>
  </si>
  <si>
    <t>Anthropology#Medicine</t>
  </si>
  <si>
    <t>8803688</t>
  </si>
  <si>
    <t>Antibiotiki i khimioterapii͡a = Antibiotics and chemoterapy [sic] / Ministerstvo meditsinskoĭ i mikrobiologicheskoĭ promyshlennosti SSSR</t>
  </si>
  <si>
    <t>ANTIBIOTIKI I KHIMIOTERAPIIA = ANTIBIOTICS AND CHEMOTERAPY [SIC] / MINISTERSTVO MEDITSINSKOI I MIKROBIOLOGICHESKOI PROMYSHLENNOSTI SSSR</t>
  </si>
  <si>
    <t>Antibiot Khimioter</t>
  </si>
  <si>
    <t>Continues: Antibiotiki i meditsinskaia biotekhnologiia.</t>
  </si>
  <si>
    <t>02352990</t>
  </si>
  <si>
    <t>Izdatelstvo Meditsina</t>
  </si>
  <si>
    <t>101265649</t>
  </si>
  <si>
    <t>Anti-cancer agents in medicinal chemistry</t>
  </si>
  <si>
    <t>ANTI-CANCER AGENTS IN MEDICINAL CHEMISTRY</t>
  </si>
  <si>
    <t>Anticancer Agents Med Chem</t>
  </si>
  <si>
    <t>Continues: Current medicinal chemistry. Anti-cancer agents.</t>
  </si>
  <si>
    <t>Bentham Science Publishers</t>
  </si>
  <si>
    <t>Ten no. a year, 2009-</t>
  </si>
  <si>
    <t>Antineoplastic Agents#Chemistry</t>
  </si>
  <si>
    <t>9100823</t>
  </si>
  <si>
    <t>Anti-cancer drugs</t>
  </si>
  <si>
    <t>ANTI-CANCER DRUGS</t>
  </si>
  <si>
    <t>Anticancer Drugs</t>
  </si>
  <si>
    <t>Antineoplastic Agents</t>
  </si>
  <si>
    <t>8102988</t>
  </si>
  <si>
    <t>Anticancer research</t>
  </si>
  <si>
    <t>ANTICANCER RESEARCH</t>
  </si>
  <si>
    <t>Anticancer Res</t>
  </si>
  <si>
    <t>17917530</t>
  </si>
  <si>
    <t>Greece</t>
  </si>
  <si>
    <t>Monthly, 2009-</t>
  </si>
  <si>
    <t>101462262</t>
  </si>
  <si>
    <t>Anti-inflammatory &amp; anti-allergy agents in medicinal chemistry</t>
  </si>
  <si>
    <t>ANTI-INFLAMMATORY &amp; ANTI-ALLERGY AGENTS IN MEDICINAL CHEMISTRY</t>
  </si>
  <si>
    <t>Antiinflamm Antiallergy Agents Med Chem</t>
  </si>
  <si>
    <t>Continues: Current medicinal chemistry. Anti-inflammatory &amp; anti-allergy agents.</t>
  </si>
  <si>
    <t>United Arab Emirates</t>
  </si>
  <si>
    <t>Allergy and Immunology#Drug Therapy#Pharmacology</t>
  </si>
  <si>
    <t>0315061</t>
  </si>
  <si>
    <t>Antimicrobial agents and chemotherapy</t>
  </si>
  <si>
    <t>ANTIMICROBIAL AGENTS AND CHEMOTHERAPY</t>
  </si>
  <si>
    <t>Antimicrob Agents Chemother</t>
  </si>
  <si>
    <t>Supersedes: Antimicrobial agents and chemotherapy.</t>
  </si>
  <si>
    <t>100888899</t>
  </si>
  <si>
    <t>Antioxidants &amp; redox signaling</t>
  </si>
  <si>
    <t>ANTIOXIDANTS &amp; REDOX SIGNALING</t>
  </si>
  <si>
    <t>Antioxid Redox Signal</t>
  </si>
  <si>
    <t>Thirty six no. a year, 2013-</t>
  </si>
  <si>
    <t>Metabolism</t>
  </si>
  <si>
    <t>9009212</t>
  </si>
  <si>
    <t>Antiviral chemistry &amp; chemotherapy</t>
  </si>
  <si>
    <t>ANTIVIRAL CHEMISTRY &amp; CHEMOTHERAPY</t>
  </si>
  <si>
    <t>Antivir Chem Chemother</t>
  </si>
  <si>
    <t>20402066</t>
  </si>
  <si>
    <t>International Medical Press</t>
  </si>
  <si>
    <t>Anti-Infective Agents#Chemistry#Virology</t>
  </si>
  <si>
    <t>8109699</t>
  </si>
  <si>
    <t>Antiviral research</t>
  </si>
  <si>
    <t>ANTIVIRAL RESEARCH</t>
  </si>
  <si>
    <t>Antiviral Res</t>
  </si>
  <si>
    <t>Anti-Infective Agents#Virology</t>
  </si>
  <si>
    <t>9815705</t>
  </si>
  <si>
    <t>Antiviral therapy</t>
  </si>
  <si>
    <t>ANTIVIRAL THERAPY</t>
  </si>
  <si>
    <t>Antivir Ther</t>
  </si>
  <si>
    <t>Eight no. a year, 2005-</t>
  </si>
  <si>
    <t>0372625</t>
  </si>
  <si>
    <t>Antonie van Leeuwenhoek</t>
  </si>
  <si>
    <t>ANTONIE VAN LEEUWENHOEK</t>
  </si>
  <si>
    <t>Antonie Van Leeuwenhoek</t>
  </si>
  <si>
    <t>Supersedes Nederlandsch tijdschrift voor hygiëne, microbiologie en serologie.</t>
  </si>
  <si>
    <t>Kluwer Academic</t>
  </si>
  <si>
    <t>1934</t>
  </si>
  <si>
    <t>9212242</t>
  </si>
  <si>
    <t>Anxiety, stress, and coping</t>
  </si>
  <si>
    <t>ANXIETY, STRESS, AND COPING</t>
  </si>
  <si>
    <t>Anxiety Stress Coping</t>
  </si>
  <si>
    <t>Continues: Anxiety research.</t>
  </si>
  <si>
    <t>14772205</t>
  </si>
  <si>
    <t>10615806</t>
  </si>
  <si>
    <t>Behavioral Sciences#Psychology</t>
  </si>
  <si>
    <t>101086634</t>
  </si>
  <si>
    <t>ANZ journal of surgery</t>
  </si>
  <si>
    <t>ANZ JOURNAL OF SURGERY</t>
  </si>
  <si>
    <t>ANZ J Surg</t>
  </si>
  <si>
    <t>Continues: Australian and New Zealand journal of surgery.</t>
  </si>
  <si>
    <t>14452197</t>
  </si>
  <si>
    <t>14451433</t>
  </si>
  <si>
    <t>0372403</t>
  </si>
  <si>
    <t>AORN journal</t>
  </si>
  <si>
    <t>AORN JOURNAL</t>
  </si>
  <si>
    <t>AORN J</t>
  </si>
  <si>
    <t>Supersedes: OR nursing.</t>
  </si>
  <si>
    <t>18780369</t>
  </si>
  <si>
    <t>00012092</t>
  </si>
  <si>
    <t>Monthly, &lt;Oct. 1985- &gt;</t>
  </si>
  <si>
    <t>8803400</t>
  </si>
  <si>
    <t>APMIS : acta pathologica, microbiologica, et immunologica Scandinavica</t>
  </si>
  <si>
    <t>APMIS : ACTA PATHOLOGICA, MICROBIOLOGICA, ET IMMUNOLOGICA SCANDINAVICA</t>
  </si>
  <si>
    <t>Formed by the union of: Acta pathologica, microbiologica, et immunologica Scandinavica. Section A, Pathology, and: Acta pathologica, microbiologica, et immunologica Scandinavica. Section B, Microbiology, and: Acta pathologica, microbiologica, et immunologica Scandinavica. Section C, Immunology.</t>
  </si>
  <si>
    <t>Munksgaard</t>
  </si>
  <si>
    <t>Allergy and Immunology#Microbiology#Pathology</t>
  </si>
  <si>
    <t>8812090</t>
  </si>
  <si>
    <t>APMIS. Supplementum</t>
  </si>
  <si>
    <t>APMIS. SUPPLEMENTUM</t>
  </si>
  <si>
    <t>APMIS Suppl</t>
  </si>
  <si>
    <t>Continues: Acta pathologica, microbiologica et immunologica Scandinavica. Supplement.</t>
  </si>
  <si>
    <t>16005503</t>
  </si>
  <si>
    <t>0903465X</t>
  </si>
  <si>
    <t>9712129</t>
  </si>
  <si>
    <t>Apoptosis : an international journal on programmed cell death</t>
  </si>
  <si>
    <t>APOPTOSIS : AN INTERNATIONAL JOURNAL ON PROGRAMMED CELL DEATH</t>
  </si>
  <si>
    <t>8006808</t>
  </si>
  <si>
    <t>APPETITE</t>
  </si>
  <si>
    <t>Academic Press.</t>
  </si>
  <si>
    <t>Behavioral Sciences#Nutritional Sciences</t>
  </si>
  <si>
    <t>7605801</t>
  </si>
  <si>
    <t>Applied and environmental microbiology</t>
  </si>
  <si>
    <t>APPLIED AND ENVIRONMENTAL MICROBIOLOGY</t>
  </si>
  <si>
    <t>Appl Environ Microbiol</t>
  </si>
  <si>
    <t>Continues Applied microbiology.</t>
  </si>
  <si>
    <t>10985336</t>
  </si>
  <si>
    <t>00992240</t>
  </si>
  <si>
    <t>American Society for Microbiology.</t>
  </si>
  <si>
    <t>8208561</t>
  </si>
  <si>
    <t>Applied biochemistry and biotechnology</t>
  </si>
  <si>
    <t>APPLIED BIOCHEMISTRY AND BIOTECHNOLOGY</t>
  </si>
  <si>
    <t>Appl Biochem Biotechnol</t>
  </si>
  <si>
    <t>Continues: Journal of solid-phase biochemistry. Continued in part by: Molecular biotechnology.</t>
  </si>
  <si>
    <t>Twenty-four no. a year, 200?-</t>
  </si>
  <si>
    <t>101537732</t>
  </si>
  <si>
    <t>Applied clinical informatics</t>
  </si>
  <si>
    <t>APPLIED CLINICAL INFORMATICS</t>
  </si>
  <si>
    <t>Appl Clin Inform</t>
  </si>
  <si>
    <t>18690327</t>
  </si>
  <si>
    <t>Schattauer</t>
  </si>
  <si>
    <t>Quarterly, 2010-</t>
  </si>
  <si>
    <t>0261412</t>
  </si>
  <si>
    <t>Applied ergonomics</t>
  </si>
  <si>
    <t>APPLIED ERGONOMICS</t>
  </si>
  <si>
    <t>Appl Ergon</t>
  </si>
  <si>
    <t>Butterworth-Heinemann</t>
  </si>
  <si>
    <t>101150314</t>
  </si>
  <si>
    <t>Applied health economics and health policy</t>
  </si>
  <si>
    <t>APPLIED HEALTH ECONOMICS AND HEALTH POLICY</t>
  </si>
  <si>
    <t>Appl Health Econ Health Policy</t>
  </si>
  <si>
    <t>Open Mind Journals Ltd.</t>
  </si>
  <si>
    <t>100888796</t>
  </si>
  <si>
    <t>Applied immunohistochemistry &amp; molecular morphology : AIMM / official publication of the Society for Applied Immunohistochemistry</t>
  </si>
  <si>
    <t>APPLIED IMMUNOHISTOCHEMISTRY &amp; MOLECULAR MORPHOLOGY : AIMM / OFFICIAL PUBLICATION OF THE SOCIETY FOR APPLIED IMMUNOHISTOCHEMISTRY</t>
  </si>
  <si>
    <t>Appl Immunohistochem Mol Morphol</t>
  </si>
  <si>
    <t>Formed by the union of: Applied immunohistochemistry, and: Cell vision, and continues the numbering of the former.</t>
  </si>
  <si>
    <t>Bimonthly, 2008-</t>
  </si>
  <si>
    <t>Histocytochemistry#Molecular Biology</t>
  </si>
  <si>
    <t>8406612</t>
  </si>
  <si>
    <t>Applied microbiology and biotechnology</t>
  </si>
  <si>
    <t>APPLIED MICROBIOLOGY AND BIOTECHNOLOGY</t>
  </si>
  <si>
    <t>Appl Microbiol Biotechnol</t>
  </si>
  <si>
    <t>Continues: European journal of applied microbiology and biotechnology.</t>
  </si>
  <si>
    <t>Eighteen no. a year, 2002-</t>
  </si>
  <si>
    <t>Biotechnology#Microbiology</t>
  </si>
  <si>
    <t>101584082</t>
  </si>
  <si>
    <t>Applied neuropsychology. Adult</t>
  </si>
  <si>
    <t>APPLIED NEUROPSYCHOLOGY. ADULT</t>
  </si>
  <si>
    <t>Appl Neuropsychol Adult</t>
  </si>
  <si>
    <t>Continues in part: Applied neuropsychology.</t>
  </si>
  <si>
    <t>15324826</t>
  </si>
  <si>
    <t>09084282</t>
  </si>
  <si>
    <t>Taylor &amp; Francis Group</t>
  </si>
  <si>
    <t>Neurology#Psychology</t>
  </si>
  <si>
    <t>101584990</t>
  </si>
  <si>
    <t>Applied neuropsychology. Child</t>
  </si>
  <si>
    <t>APPLIED NEUROPSYCHOLOGY. CHILD</t>
  </si>
  <si>
    <t>Appl Neuropsychol Child</t>
  </si>
  <si>
    <t>21622973</t>
  </si>
  <si>
    <t>21622965</t>
  </si>
  <si>
    <t>Quarterly, 2014-</t>
  </si>
  <si>
    <t>Neurology#Pediatrics#Psychology</t>
  </si>
  <si>
    <t>8901557</t>
  </si>
  <si>
    <t>Applied nursing research : ANR</t>
  </si>
  <si>
    <t>APPLIED NURSING RESEARCH : ANR</t>
  </si>
  <si>
    <t>Appl Nurs Res</t>
  </si>
  <si>
    <t>15328201</t>
  </si>
  <si>
    <t>08971897</t>
  </si>
  <si>
    <t>0247660</t>
  </si>
  <si>
    <t>Applied optics</t>
  </si>
  <si>
    <t>APPLIED OPTICS</t>
  </si>
  <si>
    <t>Appl Opt</t>
  </si>
  <si>
    <t>15394522</t>
  </si>
  <si>
    <t>00036935</t>
  </si>
  <si>
    <t>Three times a month, 1990-</t>
  </si>
  <si>
    <t>101264333</t>
  </si>
  <si>
    <t>Applied physiology, nutrition, and metabolism = Physiologie appliquée, nutrition et métabolisme</t>
  </si>
  <si>
    <t>APPLIED PHYSIOLOGY, NUTRITION, AND METABOLISM = PHYSIOLOGIE APPLIQUEE, NUTRITION ET METABOLISME</t>
  </si>
  <si>
    <t>Appl Physiol Nutr Metab</t>
  </si>
  <si>
    <t>Continues: Canadian journal of applied physiology.</t>
  </si>
  <si>
    <t>17155320</t>
  </si>
  <si>
    <t>17155312</t>
  </si>
  <si>
    <t>Canadian Science Publishing</t>
  </si>
  <si>
    <t>Metabolism#Nutritional Sciences#Physiology#Sports Medicine</t>
  </si>
  <si>
    <t>101502957</t>
  </si>
  <si>
    <t>Applied psychology. Health and well-being</t>
  </si>
  <si>
    <t>APPLIED PSYCHOLOGY. HEALTH AND WELL-BEING</t>
  </si>
  <si>
    <t>Appl Psychol Health Well Being</t>
  </si>
  <si>
    <t>17580854</t>
  </si>
  <si>
    <t>17580846</t>
  </si>
  <si>
    <t>Blackwell</t>
  </si>
  <si>
    <t>9712383</t>
  </si>
  <si>
    <t>Applied psychophysiology and biofeedback</t>
  </si>
  <si>
    <t>APPLIED PSYCHOPHYSIOLOGY AND BIOFEEDBACK</t>
  </si>
  <si>
    <t>Appl Psychophysiol Biofeedback</t>
  </si>
  <si>
    <t>Continues: Biofeedback and self-regulation.</t>
  </si>
  <si>
    <t>15733270</t>
  </si>
  <si>
    <t>10900586</t>
  </si>
  <si>
    <t>Behavioral Sciences#Psychophysiology</t>
  </si>
  <si>
    <t>9306253</t>
  </si>
  <si>
    <t>Applied radiation and isotopes : including data, instrumentation and methods for use in agriculture, industry and medicine</t>
  </si>
  <si>
    <t>APPLIED RADIATION AND ISOTOPES : INCLUDING DATA, INSTRUMENTATION AND METHODS FOR USE IN AGRICULTURE, INDUSTRY AND MEDICINE</t>
  </si>
  <si>
    <t>Appl Radiat Isot</t>
  </si>
  <si>
    <t>Absorbed: Nuclear geophysics. Continues: International journal of radiation applications and instrumentation. Part A, Applied radiation and isotopes.</t>
  </si>
  <si>
    <t>Environmental Health#Nuclear Medicine</t>
  </si>
  <si>
    <t>0372406</t>
  </si>
  <si>
    <t>Applied spectroscopy</t>
  </si>
  <si>
    <t>APPLIED SPECTROSCOPY</t>
  </si>
  <si>
    <t>Appl Spectrosc</t>
  </si>
  <si>
    <t>Continues: Bulletin of the Society for Applied Spectroscopy.</t>
  </si>
  <si>
    <t>19433530</t>
  </si>
  <si>
    <t>00037028</t>
  </si>
  <si>
    <t>Society for Applied Spectroscopy</t>
  </si>
  <si>
    <t>Monthly, 1992-</t>
  </si>
  <si>
    <t>Chemistry Techniques, Analytical#Clinical Laboratory Techniques</t>
  </si>
  <si>
    <t>8500246</t>
  </si>
  <si>
    <t>Aquatic toxicology (Amsterdam, Netherlands)</t>
  </si>
  <si>
    <t>AQUATIC TOXICOLOGY (AMSTERDAM, NETHERLANDS)</t>
  </si>
  <si>
    <t>Aquat Toxicol</t>
  </si>
  <si>
    <t>Elsevier/North Holland Biomedical Press</t>
  </si>
  <si>
    <t>20 no. a year, 2000-</t>
  </si>
  <si>
    <t>Biology#Toxicology</t>
  </si>
  <si>
    <t>101298363</t>
  </si>
  <si>
    <t>Arab journal of gastroenterology : the official publication of the Pan-Arab Association of Gastroenterology</t>
  </si>
  <si>
    <t>ARAB JOURNAL OF GASTROENTEROLOGY : THE OFFICIAL PUBLICATION OF THE PAN-ARAB ASSOCIATION OF GASTROENTEROLOGY</t>
  </si>
  <si>
    <t>Arab J Gastroenterol</t>
  </si>
  <si>
    <t>Egypt</t>
  </si>
  <si>
    <t>101530790</t>
  </si>
  <si>
    <t>Arab journal of nephrology and transplantation</t>
  </si>
  <si>
    <t>ARAB JOURNAL OF NEPHROLOGY AND TRANSPLANTATION</t>
  </si>
  <si>
    <t>Arab J Nephrol Transplant</t>
  </si>
  <si>
    <t>1858554X</t>
  </si>
  <si>
    <t>Arab Society of Nephrology and Renal Transplantation</t>
  </si>
  <si>
    <t>Sudan</t>
  </si>
  <si>
    <t>ara</t>
  </si>
  <si>
    <t>101590917</t>
  </si>
  <si>
    <t>Arbeiten aus dem Paul-Ehrlich-Institut (Bundesinstitut für Impfstoffe und biomedizinische Arzneimittel) Langen/Hessen</t>
  </si>
  <si>
    <t>ARBEITEN AUS DEM PAUL-EHRLICH-INSTITUT (BUNDESINSTITUT FUR IMPFSTOFFE UND BIOMEDIZINISCHE ARZNEIMITTEL) LANGEN/HESSEN</t>
  </si>
  <si>
    <t>Arb Paul Ehrlich Inst Bundesinstitut Impfstoffe Biomed Arzneim Langen Hess</t>
  </si>
  <si>
    <t>Continues: Arbeiten aus dem Paul-Ehrlich-Institut (Bundesamt für Sera und Impfstoffe) zu Frankfurt a.M..</t>
  </si>
  <si>
    <t>Chmielorz</t>
  </si>
  <si>
    <t>Allergy and Immunology#Medicine</t>
  </si>
  <si>
    <t>uuuu [nothing since 2009]</t>
  </si>
  <si>
    <t>101142614</t>
  </si>
  <si>
    <t>Archaea (Vancouver, B.C.)</t>
  </si>
  <si>
    <t>ARCHAEA (VANCOUVER, B.C.)</t>
  </si>
  <si>
    <t>Archaea</t>
  </si>
  <si>
    <t>14723654</t>
  </si>
  <si>
    <t>14723646</t>
  </si>
  <si>
    <t>Hindawi Pub. Corp</t>
  </si>
  <si>
    <t>9877762</t>
  </si>
  <si>
    <t>Architectural record</t>
  </si>
  <si>
    <t>ARCHITECTURAL RECORD</t>
  </si>
  <si>
    <t>Archit Rec</t>
  </si>
  <si>
    <t>Absorbed: Western architect and engineer. Jan. 1962 American architect and architecture. Mar. 1938</t>
  </si>
  <si>
    <t>0003858X</t>
  </si>
  <si>
    <t>The Record and Guide</t>
  </si>
  <si>
    <t>Monthly, May 1902-</t>
  </si>
  <si>
    <t>1891</t>
  </si>
  <si>
    <t>0330167</t>
  </si>
  <si>
    <t>ARCHIV DER PHARMAZIE</t>
  </si>
  <si>
    <t>Arch Pharm (Weinheim)</t>
  </si>
  <si>
    <t>Continues in part Archiv der Pharmazie und Berichte der Deutschen Pharmazeutischen Gesellschaft.</t>
  </si>
  <si>
    <t>Wiley-VCH Verlag GmbH &amp; Co. KGaA</t>
  </si>
  <si>
    <t>Pharmacy</t>
  </si>
  <si>
    <t>0002256</t>
  </si>
  <si>
    <t>Archiv für Kriminologie</t>
  </si>
  <si>
    <t>ARCHIV FUR KRIMINOLOGIE</t>
  </si>
  <si>
    <t>Arch Kriminol</t>
  </si>
  <si>
    <t>Continues: Archiv für Kriminal-Anthropologie und Kriminalistik.</t>
  </si>
  <si>
    <t>00039225</t>
  </si>
  <si>
    <t>Verlag Schmidt-Romhild</t>
  </si>
  <si>
    <t>7502526</t>
  </si>
  <si>
    <t>Archives de l'Institut Pasteur de Madagascar</t>
  </si>
  <si>
    <t>ARCHIVES DE L'INSTITUT PASTEUR DE MADAGASCAR</t>
  </si>
  <si>
    <t>Arch Inst Pasteur Madagascar</t>
  </si>
  <si>
    <t>Continues the Archives de l'Institut Pasteur de Tananarive.</t>
  </si>
  <si>
    <t>17285348</t>
  </si>
  <si>
    <t>00202495</t>
  </si>
  <si>
    <t>Institut Pasteur De Madagascar</t>
  </si>
  <si>
    <t>Madagascar</t>
  </si>
  <si>
    <t>7502527</t>
  </si>
  <si>
    <t>Archives de l'Institut Pasteur de Tunis</t>
  </si>
  <si>
    <t>ARCHIVES DE L'INSTITUT PASTEUR DE TUNIS</t>
  </si>
  <si>
    <t>Arch Inst Pasteur Tunis</t>
  </si>
  <si>
    <t>Continues in part: Archives des Instituts Pasteur de l'Afrique du Nord.</t>
  </si>
  <si>
    <t>00202509</t>
  </si>
  <si>
    <t>Tunisia</t>
  </si>
  <si>
    <t>1923</t>
  </si>
  <si>
    <t>9421356</t>
  </si>
  <si>
    <t>Archives de pédiatrie : organe officiel de la Sociéte française de pédiatrie</t>
  </si>
  <si>
    <t>ARCHIVES DE PEDIATRIE : ORGANE OFFICIEL DE LA SOCIETE FRANCAISE DE PEDIATRIE</t>
  </si>
  <si>
    <t>Arch Pediatr</t>
  </si>
  <si>
    <t>Formed by the merger of: Pédiatrie, and: Archives françaises de pédiatrie.</t>
  </si>
  <si>
    <t>0372422</t>
  </si>
  <si>
    <t>Archives internationales d'histoire des sciences</t>
  </si>
  <si>
    <t>ARCHIVES INTERNATIONALES D'HISTOIRE DES SCIENCES</t>
  </si>
  <si>
    <t>Arch Int Hist Sci (Paris)</t>
  </si>
  <si>
    <t>Supersedes: Archeion.</t>
  </si>
  <si>
    <t>00039810</t>
  </si>
  <si>
    <t>Hermann</t>
  </si>
  <si>
    <t>0372441</t>
  </si>
  <si>
    <t>Archives italiennes de biologie</t>
  </si>
  <si>
    <t>ARCHIVES ITALIENNES DE BIOLOGIE</t>
  </si>
  <si>
    <t>Arch Ital Biol</t>
  </si>
  <si>
    <t>00039829</t>
  </si>
  <si>
    <t>Universita Degli Studi Di Pisa</t>
  </si>
  <si>
    <t>1882</t>
  </si>
  <si>
    <t>101222433</t>
  </si>
  <si>
    <t>Archives of animal nutrition</t>
  </si>
  <si>
    <t>ARCHIVES OF ANIMAL NUTRITION</t>
  </si>
  <si>
    <t>Arch Anim Nutr</t>
  </si>
  <si>
    <t>Continues: Archiv für Tierernährung.</t>
  </si>
  <si>
    <t>14772817</t>
  </si>
  <si>
    <t>1745039X</t>
  </si>
  <si>
    <t>Nutritional Sciences#Veterinary Medicine</t>
  </si>
  <si>
    <t>0372430</t>
  </si>
  <si>
    <t>Archives of biochemistry and biophysics</t>
  </si>
  <si>
    <t>ARCHIVES OF BIOCHEMISTRY AND BIOPHYSICS</t>
  </si>
  <si>
    <t>Arch Biochem Biophys</t>
  </si>
  <si>
    <t>Absorbed: Molecular cell biology research communications. Nov. 2001 Continues: Archives of biochemistry.</t>
  </si>
  <si>
    <t>Twenty four no. a year, 1996-</t>
  </si>
  <si>
    <t>101465655</t>
  </si>
  <si>
    <t>Archives of cardiovascular diseases</t>
  </si>
  <si>
    <t>ARCHIVES OF CARDIOVASCULAR DISEASES</t>
  </si>
  <si>
    <t>Arch Cardiovasc Dis</t>
  </si>
  <si>
    <t>Continues: Archives des maladies du coeur et des vaisseaux.</t>
  </si>
  <si>
    <t>9004255</t>
  </si>
  <si>
    <t>Archives of clinical neuropsychology : the official journal of the National Academy of Neuropsychologists</t>
  </si>
  <si>
    <t>ARCHIVES OF CLINICAL NEUROPSYCHOLOGY : THE OFFICIAL JOURNAL OF THE NATIONAL ACADEMY OF NEUROPSYCHOLOGISTS</t>
  </si>
  <si>
    <t>Arch Clin Neuropsychol</t>
  </si>
  <si>
    <t>18735843</t>
  </si>
  <si>
    <t>08876177</t>
  </si>
  <si>
    <t>Eight no. a year, 1999-</t>
  </si>
  <si>
    <t>8000462</t>
  </si>
  <si>
    <t>Archives of dermatological research</t>
  </si>
  <si>
    <t>ARCHIVES OF DERMATOLOGICAL RESEARCH</t>
  </si>
  <si>
    <t>Arch Dermatol Res</t>
  </si>
  <si>
    <t>0372434</t>
  </si>
  <si>
    <t>Archives of disease in childhood</t>
  </si>
  <si>
    <t>ARCHIVES OF DISEASE IN CHILDHOOD</t>
  </si>
  <si>
    <t>Arch Dis Child</t>
  </si>
  <si>
    <t>Absorbed: British journal of children's diseases. Some issues, 1988?-1993, have supplement called: Archives of disease in childhood. Fetal and neonatal edition, issued separately, 1994- . Complemented by: Archives of disease in childhood. Education and practice edition, 2004-</t>
  </si>
  <si>
    <t>British Medical Association</t>
  </si>
  <si>
    <t>101220684</t>
  </si>
  <si>
    <t>Archives of disease in childhood. Education and practice edition</t>
  </si>
  <si>
    <t>ARCHIVES OF DISEASE IN CHILDHOOD. EDUCATION AND PRACTICE EDITION</t>
  </si>
  <si>
    <t>Arch Dis Child Educ Pract Ed</t>
  </si>
  <si>
    <t>9501297</t>
  </si>
  <si>
    <t>Archives of disease in childhood. Fetal and neonatal edition</t>
  </si>
  <si>
    <t>ARCHIVES OF DISEASE IN CHILDHOOD. FETAL AND NEONATAL EDITION</t>
  </si>
  <si>
    <t>Arch Dis Child Fetal Neonatal Ed</t>
  </si>
  <si>
    <t>Issues for July 1988?-1993 were issued as supplements to some issues of Archives of disease in childhood, repeating its numbering and paged continuously with that publication. Beginning with v. 70 in 1994, issue number and pagination are independent.</t>
  </si>
  <si>
    <t>Bimonthly, 1993-</t>
  </si>
  <si>
    <t>Pediatrics#Perinatology</t>
  </si>
  <si>
    <t>101282564</t>
  </si>
  <si>
    <t>Archives of environmental &amp; occupational health</t>
  </si>
  <si>
    <t>ARCHIVES OF ENVIRONMENTAL &amp; OCCUPATIONAL HEALTH</t>
  </si>
  <si>
    <t>Arch Environ Occup Health</t>
  </si>
  <si>
    <t>Continues: Archives of environmental health.</t>
  </si>
  <si>
    <t>19338244</t>
  </si>
  <si>
    <t>Four no. a year, 2007-</t>
  </si>
  <si>
    <t>Environmental Health#Occupational Medicine</t>
  </si>
  <si>
    <t>0357245</t>
  </si>
  <si>
    <t>Archives of environmental contamination and toxicology</t>
  </si>
  <si>
    <t>ARCHIVES OF ENVIRONMENTAL CONTAMINATION AND TOXICOLOGY</t>
  </si>
  <si>
    <t>Arch Environ Contam Toxicol</t>
  </si>
  <si>
    <t>8214379</t>
  </si>
  <si>
    <t>Archives of gerontology and geriatrics</t>
  </si>
  <si>
    <t>ARCHIVES OF GERONTOLOGY AND GERIATRICS</t>
  </si>
  <si>
    <t>Arch Gerontol Geriatr</t>
  </si>
  <si>
    <t>Absorbed: Archives of gerontology and geriatrics. Supplement.</t>
  </si>
  <si>
    <t>Elsevier Biomedical Press</t>
  </si>
  <si>
    <t>Bimonthly, 1989-</t>
  </si>
  <si>
    <t>8710213</t>
  </si>
  <si>
    <t>Archives of gynecology and obstetrics</t>
  </si>
  <si>
    <t>ARCHIVES OF GYNECOLOGY AND OBSTETRICS</t>
  </si>
  <si>
    <t>Arch Gynecol Obstet</t>
  </si>
  <si>
    <t>Continues: Archives of gynecology.</t>
  </si>
  <si>
    <t>8 no. a year, 2002-</t>
  </si>
  <si>
    <t>8806082</t>
  </si>
  <si>
    <t>Archives of histology and cytology</t>
  </si>
  <si>
    <t>ARCHIVES OF HISTOLOGY AND CYTOLOGY</t>
  </si>
  <si>
    <t>Arch Histol Cytol</t>
  </si>
  <si>
    <t>Continues: Archivum histologicum Japonicum.</t>
  </si>
  <si>
    <t>13491717</t>
  </si>
  <si>
    <t>09149465</t>
  </si>
  <si>
    <t>Japan Society of Histological Documentation</t>
  </si>
  <si>
    <t>Three no. a year, 2010/2011-</t>
  </si>
  <si>
    <t>8501752</t>
  </si>
  <si>
    <t>Archives of insect biochemistry and physiology</t>
  </si>
  <si>
    <t>ARCHIVES OF INSECT BIOCHEMISTRY AND PHYSIOLOGY</t>
  </si>
  <si>
    <t>Arch Insect Biochem Physiol</t>
  </si>
  <si>
    <t>15206327</t>
  </si>
  <si>
    <t>07394462</t>
  </si>
  <si>
    <t>Biochemistry#Physiology#Zoology</t>
  </si>
  <si>
    <t>100889644</t>
  </si>
  <si>
    <t>Archives of Iranian medicine</t>
  </si>
  <si>
    <t>ARCHIVES OF IRANIAN MEDICINE</t>
  </si>
  <si>
    <t>Arch Iran Med</t>
  </si>
  <si>
    <t>9312706</t>
  </si>
  <si>
    <t>Archives of medical research</t>
  </si>
  <si>
    <t>ARCHIVES OF MEDICAL RESEARCH</t>
  </si>
  <si>
    <t>Arch Med Res</t>
  </si>
  <si>
    <t>Continues: Archivos de investigación médica.</t>
  </si>
  <si>
    <t>Eight no. a year, 2006-</t>
  </si>
  <si>
    <t>0410427</t>
  </si>
  <si>
    <t>Archives of microbiology</t>
  </si>
  <si>
    <t>ARCHIVES OF MICROBIOLOGY</t>
  </si>
  <si>
    <t>Arch Microbiol</t>
  </si>
  <si>
    <t>Continues: Archiv für Mikrobiologie.</t>
  </si>
  <si>
    <t>0116711</t>
  </si>
  <si>
    <t>Archives of oral biology</t>
  </si>
  <si>
    <t>ARCHIVES OF ORAL BIOLOGY</t>
  </si>
  <si>
    <t>Arch Oral Biol</t>
  </si>
  <si>
    <t>18791506</t>
  </si>
  <si>
    <t>00039969</t>
  </si>
  <si>
    <t>9011043</t>
  </si>
  <si>
    <t>Archives of orthopaedic and trauma surgery</t>
  </si>
  <si>
    <t>ARCHIVES OF ORTHOPAEDIC AND TRAUMA SURGERY</t>
  </si>
  <si>
    <t>Arch Orthop Trauma Surg</t>
  </si>
  <si>
    <t>Continues: Archives of orthopaedic and traumatic surgery.</t>
  </si>
  <si>
    <t>General Surgery#Orthopedics#Traumatology</t>
  </si>
  <si>
    <t>101318988</t>
  </si>
  <si>
    <t>Archives of osteoporosis</t>
  </si>
  <si>
    <t>ARCHIVES OF OSTEOPOROSIS</t>
  </si>
  <si>
    <t>Arch Osteoporos</t>
  </si>
  <si>
    <t>Metabolism#Orthopedics</t>
  </si>
  <si>
    <t>7607091</t>
  </si>
  <si>
    <t>Archives of pathology &amp; laboratory medicine</t>
  </si>
  <si>
    <t>ARCHIVES OF PATHOLOGY &amp; LABORATORY MEDICINE</t>
  </si>
  <si>
    <t>Arch Pathol Lab Med</t>
  </si>
  <si>
    <t>Continues: Archives of pathology.</t>
  </si>
  <si>
    <t>15432165</t>
  </si>
  <si>
    <t>00039985</t>
  </si>
  <si>
    <t>College of American Pathologists</t>
  </si>
  <si>
    <t>8000036</t>
  </si>
  <si>
    <t>Archives of pharmacal research</t>
  </si>
  <si>
    <t>ARCHIVES OF PHARMACAL RESEARCH</t>
  </si>
  <si>
    <t>Arch Pharm Res</t>
  </si>
  <si>
    <t>Pharmaceutical Society of Korea.</t>
  </si>
  <si>
    <t>2985158R</t>
  </si>
  <si>
    <t>Archives of physical medicine and rehabilitation</t>
  </si>
  <si>
    <t>ARCHIVES OF PHYSICAL MEDICINE AND REHABILITATION</t>
  </si>
  <si>
    <t>Arch Phys Med Rehabil</t>
  </si>
  <si>
    <t>Continues: Archives of physical medicine.</t>
  </si>
  <si>
    <t>9510153</t>
  </si>
  <si>
    <t>Archives of physiology and biochemistry</t>
  </si>
  <si>
    <t>ARCHIVES OF PHYSIOLOGY AND BIOCHEMISTRY</t>
  </si>
  <si>
    <t>Arch Physiol Biochem</t>
  </si>
  <si>
    <t>Continues: Archives internationales de physiologie, de biochimie et de biophysique.</t>
  </si>
  <si>
    <t>17444160</t>
  </si>
  <si>
    <t>13813455</t>
  </si>
  <si>
    <t>Biochemistry#Physiology</t>
  </si>
  <si>
    <t>8708534</t>
  </si>
  <si>
    <t>Archives of psychiatric nursing</t>
  </si>
  <si>
    <t>ARCHIVES OF PSYCHIATRIC NURSING</t>
  </si>
  <si>
    <t>Arch Psychiatr Nurs</t>
  </si>
  <si>
    <t>15328228</t>
  </si>
  <si>
    <t>08839417</t>
  </si>
  <si>
    <t>Nursing#Psychiatry</t>
  </si>
  <si>
    <t>1273516</t>
  </si>
  <si>
    <t>Archives of sexual behavior</t>
  </si>
  <si>
    <t>ARCHIVES OF SEXUAL BEHAVIOR</t>
  </si>
  <si>
    <t>Arch Sex Behav</t>
  </si>
  <si>
    <t>15732800</t>
  </si>
  <si>
    <t>00040002</t>
  </si>
  <si>
    <t>Eight no. a year, 2013-</t>
  </si>
  <si>
    <t>Behavioral Sciences#Psychiatry</t>
  </si>
  <si>
    <t>9504451</t>
  </si>
  <si>
    <t>Archives of suicide research : official journal of the International Academy for Suicide Research</t>
  </si>
  <si>
    <t>ARCHIVES OF SUICIDE RESEARCH : OFFICIAL JOURNAL OF THE INTERNATIONAL ACADEMY FOR SUICIDE RESEARCH</t>
  </si>
  <si>
    <t>Arch Suicide Res</t>
  </si>
  <si>
    <t>15436136</t>
  </si>
  <si>
    <t>13811118</t>
  </si>
  <si>
    <t>0417615</t>
  </si>
  <si>
    <t>Archives of toxicology</t>
  </si>
  <si>
    <t>ARCHIVES OF TOXICOLOGY</t>
  </si>
  <si>
    <t>Arch Toxicol</t>
  </si>
  <si>
    <t>Continues Archiv für Toxikologie.</t>
  </si>
  <si>
    <t>7506870</t>
  </si>
  <si>
    <t>Archives of virology</t>
  </si>
  <si>
    <t>ARCHIVES OF VIROLOGY</t>
  </si>
  <si>
    <t>Arch Virol</t>
  </si>
  <si>
    <t>Continues Archiv für die gesamte Virusforschung.</t>
  </si>
  <si>
    <t>14328798</t>
  </si>
  <si>
    <t>03048608</t>
  </si>
  <si>
    <t>9214275</t>
  </si>
  <si>
    <t>Archives of virology. Supplementum</t>
  </si>
  <si>
    <t>ARCHIVES OF VIROLOGY. SUPPLEMENTUM</t>
  </si>
  <si>
    <t>Arch Virol Suppl</t>
  </si>
  <si>
    <t>09391983</t>
  </si>
  <si>
    <t>9815663</t>
  </si>
  <si>
    <t>Archives of women's mental health</t>
  </si>
  <si>
    <t>ARCHIVES OF WOMEN'S MENTAL HEALTH</t>
  </si>
  <si>
    <t>Arch Womens Ment Health</t>
  </si>
  <si>
    <t>Psychology#Women's Health</t>
  </si>
  <si>
    <t>9308247</t>
  </si>
  <si>
    <t>Archivio italiano di urologia, andrologia : organo ufficiale [di] Società italiana di ecografia urologica e nefrologica / Associazione ricerche in urologia</t>
  </si>
  <si>
    <t>ARCHIVIO ITALIANO DI UROLOGIA, ANDROLOGIA : ORGANO UFFICIALE [DI] SOCIETA ITALIANA DI ECOGRAFIA UROLOGICA E NEFROLOGICA / ASSOCIAZIONE RICERCHE IN UROLOGIA</t>
  </si>
  <si>
    <t>Arch Ital Urol Androl</t>
  </si>
  <si>
    <t>Continues: Archivio italiano di urologia, nefrologia, andrologia.</t>
  </si>
  <si>
    <t>PagePress</t>
  </si>
  <si>
    <t>Nephrology#Reproductive Medicine#Urology</t>
  </si>
  <si>
    <t>0372460</t>
  </si>
  <si>
    <t>Archivos argentinos de pediatría</t>
  </si>
  <si>
    <t>ARCHIVOS ARGENTINOS DE PEDIATRIA</t>
  </si>
  <si>
    <t>Arch Argent Pediatr</t>
  </si>
  <si>
    <t>Supersedes Archivos latino-americanos de pediatría.</t>
  </si>
  <si>
    <t>Sociedad Argentina de Pediatría</t>
  </si>
  <si>
    <t>0354720</t>
  </si>
  <si>
    <t>Archivos de bronconeumología</t>
  </si>
  <si>
    <t>ARCHIVOS DE BRONCONEUMOLOGIA</t>
  </si>
  <si>
    <t>Arch Bronconeumol</t>
  </si>
  <si>
    <t>101126728</t>
  </si>
  <si>
    <t>Archivos de cardiología de México</t>
  </si>
  <si>
    <t>ARCHIVOS DE CARDIOLOGIA DE MEXICO</t>
  </si>
  <si>
    <t>Arch Cardiol Mex</t>
  </si>
  <si>
    <t>Continues: Archivos del Instituto de Cardiología de México.</t>
  </si>
  <si>
    <t>Instituto Nacional de Cardiología Ignacio Chávez</t>
  </si>
  <si>
    <t>1304603</t>
  </si>
  <si>
    <t>Archivos de la Sociedad Española de Oftalmología</t>
  </si>
  <si>
    <t>ARCHIVOS DE LA SOCIEDAD ESPANOLA DE OFTALMOLOGIA</t>
  </si>
  <si>
    <t>Arch Soc Esp Oftalmol</t>
  </si>
  <si>
    <t>Continues: Archivos de la Sociedad Oftalmológica Hispano-Americana.</t>
  </si>
  <si>
    <t>19897286</t>
  </si>
  <si>
    <t>03656691</t>
  </si>
  <si>
    <t>100890196</t>
  </si>
  <si>
    <t>Archivos de prevención de riesgos laborales</t>
  </si>
  <si>
    <t>ARCHIVOS DE PREVENCION DE RIESGOS LABORALES</t>
  </si>
  <si>
    <t>Arch Prev Riesgos Labor</t>
  </si>
  <si>
    <t>Continues: Medicina de empresa.</t>
  </si>
  <si>
    <t>15782549</t>
  </si>
  <si>
    <t>11389672</t>
  </si>
  <si>
    <t>Societat Catalana de Seguretat i Medicina del Treball</t>
  </si>
  <si>
    <t>0064757</t>
  </si>
  <si>
    <t>Archivos españoles de urología</t>
  </si>
  <si>
    <t>ARCHIVOS ESPANOLES DE UROLOGIA</t>
  </si>
  <si>
    <t>Arch Esp Urol</t>
  </si>
  <si>
    <t>15768260</t>
  </si>
  <si>
    <t>00040614</t>
  </si>
  <si>
    <t>Iniestares</t>
  </si>
  <si>
    <t>0067507</t>
  </si>
  <si>
    <t>Archivos latinoamericanos de nutrición</t>
  </si>
  <si>
    <t>ARCHIVOS LATINOAMERICANOS DE NUTRICION</t>
  </si>
  <si>
    <t>Arch Latinoam Nutr</t>
  </si>
  <si>
    <t>Continues Archivos venezolanos de nutrición.</t>
  </si>
  <si>
    <t>00040622</t>
  </si>
  <si>
    <t>Sociedad Latinoamericana De Nutricion</t>
  </si>
  <si>
    <t>Venezuela</t>
  </si>
  <si>
    <t>0114365</t>
  </si>
  <si>
    <t>Archivum immunologiae et therapiae experimentalis</t>
  </si>
  <si>
    <t>ARCHIVUM IMMUNOLOGIAE ET THERAPIAE EXPERIMENTALIS</t>
  </si>
  <si>
    <t>Arch Immunol Ther Exp (Warsz)</t>
  </si>
  <si>
    <t>Continues: Archiwum immunologii i terapii doświadczalnej.</t>
  </si>
  <si>
    <t>Birkhaüser</t>
  </si>
  <si>
    <t>1260766</t>
  </si>
  <si>
    <t>Archiwum medycyny sa̧dowej i kryminologii</t>
  </si>
  <si>
    <t>ARCHIWUM MEDYCYNY SADOWEJ I KRYMINOLOGII</t>
  </si>
  <si>
    <t>Arch Med Sadowej Kryminol</t>
  </si>
  <si>
    <t>Continues Archivum medycyny sa̧dowej, psychiatrii sa̧dowej i kryminalistyki.</t>
  </si>
  <si>
    <t>03248267</t>
  </si>
  <si>
    <t>Państwowy Zakład Wydawn. Lekarskich.</t>
  </si>
  <si>
    <t>0241212</t>
  </si>
  <si>
    <t>Arerugī = [Allergy]</t>
  </si>
  <si>
    <t>ARERUGI = [ALLERGY]</t>
  </si>
  <si>
    <t>Arerugi</t>
  </si>
  <si>
    <t>Nihon Allergy Gakkai</t>
  </si>
  <si>
    <t>jpn</t>
  </si>
  <si>
    <t>9708906</t>
  </si>
  <si>
    <t>Argos (Utrecht, Netherlands)</t>
  </si>
  <si>
    <t>ARGOS (UTRECHT, NETHERLANDS)</t>
  </si>
  <si>
    <t>Argos</t>
  </si>
  <si>
    <t>09233970</t>
  </si>
  <si>
    <t>Het Genootschap</t>
  </si>
  <si>
    <t>History of Medicine#Veterinary Medicine</t>
  </si>
  <si>
    <t>0373100</t>
  </si>
  <si>
    <t>Arhiv za higijenu rada i toksikologiju</t>
  </si>
  <si>
    <t>ARHIV ZA HIGIJENU RADA I TOKSIKOLOGIJU</t>
  </si>
  <si>
    <t>Arh Hig Rada Toksikol</t>
  </si>
  <si>
    <t>Continues: Arhiv za higijenu rada.</t>
  </si>
  <si>
    <t>Occupational Medicine#Toxicology</t>
  </si>
  <si>
    <t>0370604</t>
  </si>
  <si>
    <t>Arkhiv patologii</t>
  </si>
  <si>
    <t>ARKHIV PATOLOGII</t>
  </si>
  <si>
    <t>Arkh Patol</t>
  </si>
  <si>
    <t>Continues: Arkhiv patologicheskoĭ anatomiĭ i patologicheskoĭ fiziologii.</t>
  </si>
  <si>
    <t>23091266</t>
  </si>
  <si>
    <t>00041955</t>
  </si>
  <si>
    <t>Media Sfera</t>
  </si>
  <si>
    <t>0421031</t>
  </si>
  <si>
    <t>Arquivos brasileiros de cardiologia</t>
  </si>
  <si>
    <t>ARQUIVOS BRASILEIROS DE CARDIOLOGIA</t>
  </si>
  <si>
    <t>Arq Bras Cardiol</t>
  </si>
  <si>
    <t>Sociedad Brasileira De Cardiologia</t>
  </si>
  <si>
    <t>por</t>
  </si>
  <si>
    <t>9100283</t>
  </si>
  <si>
    <t>Arquivos brasileiros de cirurgia digestiva : ABCD = Brazilian archives of digestive surgery</t>
  </si>
  <si>
    <t>ARQUIVOS BRASILEIROS DE CIRURGIA DIGESTIVA : ABCD = BRAZILIAN ARCHIVES OF DIGESTIVE SURGERY</t>
  </si>
  <si>
    <t>Arq Bras Cir Dig</t>
  </si>
  <si>
    <t>01026720</t>
  </si>
  <si>
    <t>Disciplina de Cirurgia do Aparelho Digestivo do Hospital das Clínicas da Faculdade de Medicina da Universidade de São Paulo</t>
  </si>
  <si>
    <t>Gastroenterology#General Surgery</t>
  </si>
  <si>
    <t>0403437</t>
  </si>
  <si>
    <t>Arquivos brasileiros de endocrinologia e metabologia</t>
  </si>
  <si>
    <t>ARQUIVOS BRASILEIROS DE ENDOCRINOLOGIA E METABOLOGIA</t>
  </si>
  <si>
    <t>Arq Bras Endocrinol Metabol</t>
  </si>
  <si>
    <t>Continues: Arquivos brasileiros de endocrinologia.</t>
  </si>
  <si>
    <t>16779487</t>
  </si>
  <si>
    <t>00042730</t>
  </si>
  <si>
    <t>Sociedade Brasileira de Endocrinologia e Metabologia</t>
  </si>
  <si>
    <t>Six no. a year, 1998-</t>
  </si>
  <si>
    <t>Endocrinology#Metabolism</t>
  </si>
  <si>
    <t>1955</t>
  </si>
  <si>
    <t>0400645</t>
  </si>
  <si>
    <t>Arquivos brasileiros de oftalmologia</t>
  </si>
  <si>
    <t>ARQUIVOS BRASILEIROS DE OFTALMOLOGIA</t>
  </si>
  <si>
    <t>Arq Bras Oftalmol</t>
  </si>
  <si>
    <t>Continues: Revista de Oftalmologia de Sao Paulo.</t>
  </si>
  <si>
    <t>16782925</t>
  </si>
  <si>
    <t>00042749</t>
  </si>
  <si>
    <t>Conselho Brasileiro de Oftalmologia</t>
  </si>
  <si>
    <t>1938</t>
  </si>
  <si>
    <t>15310600R</t>
  </si>
  <si>
    <t>Arquivos de gastroenterologia</t>
  </si>
  <si>
    <t>ARQUIVOS DE GASTROENTEROLOGIA</t>
  </si>
  <si>
    <t>Arq Gastroenterol</t>
  </si>
  <si>
    <t>Instituto Brasileiro de Estudos e Pesquisas de Gastroenterologia.</t>
  </si>
  <si>
    <t>0125444</t>
  </si>
  <si>
    <t>Arquivos de neuro-psiquiatria</t>
  </si>
  <si>
    <t>ARQUIVOS DE NEURO-PSIQUIATRIA</t>
  </si>
  <si>
    <t>Arq Neuropsiquiatr</t>
  </si>
  <si>
    <t>Associacao Arquivos De Neuro-Psiquitria Dr Oswaldo Lange</t>
  </si>
  <si>
    <t>9505803</t>
  </si>
  <si>
    <t>Arteriosclerosis, thrombosis, and vascular biology</t>
  </si>
  <si>
    <t>ARTERIOSCLEROSIS, THROMBOSIS, AND VASCULAR BIOLOGY</t>
  </si>
  <si>
    <t>Arterioscler Thromb Vasc Biol</t>
  </si>
  <si>
    <t>Continues: Arteriosclerosis and thrombosis.</t>
  </si>
  <si>
    <t>101623795</t>
  </si>
  <si>
    <t>Arthritis &amp; rheumatology (Hoboken, N.J.)</t>
  </si>
  <si>
    <t>ARTHRITIS &amp; RHEUMATOLOGY (HOBOKEN, N.J.)</t>
  </si>
  <si>
    <t>Arthritis Rheumatol</t>
  </si>
  <si>
    <t>Continues: Arthritis and rheumatism.</t>
  </si>
  <si>
    <t>101518086</t>
  </si>
  <si>
    <t>Arthritis care &amp; research</t>
  </si>
  <si>
    <t>ARTHRITIS CARE &amp; RESEARCH</t>
  </si>
  <si>
    <t>Arthritis Care Res (Hoboken)</t>
  </si>
  <si>
    <t>From 2001-2009, Arthritis care &amp; research was issued as odd numbered volume of Arthritis &amp; rheumatism. Arthritis care &amp; research. Beginning with v.62 (2010), Arthritis care &amp; research issued independently.</t>
  </si>
  <si>
    <t>101154438</t>
  </si>
  <si>
    <t>Arthritis research &amp; therapy</t>
  </si>
  <si>
    <t>ARTHRITIS RESEARCH &amp; THERAPY</t>
  </si>
  <si>
    <t>Arthritis Res Ther</t>
  </si>
  <si>
    <t>Continues: Arthritis research.</t>
  </si>
  <si>
    <t>100972232</t>
  </si>
  <si>
    <t>Arthropod structure &amp; development</t>
  </si>
  <si>
    <t>ARTHROPOD STRUCTURE &amp; DEVELOPMENT</t>
  </si>
  <si>
    <t>Arthropod Struct Dev</t>
  </si>
  <si>
    <t>Continues: International journal of insect morphology &amp; embryology.</t>
  </si>
  <si>
    <t>Elsevier Science Ltd.</t>
  </si>
  <si>
    <t>8506498</t>
  </si>
  <si>
    <t>Arthroscopy : the journal of arthroscopic &amp; related surgery : official publication of the Arthroscopy Association of North America and the International Arthroscopy Association</t>
  </si>
  <si>
    <t>ARTHROSCOPY : THE JOURNAL OF ARTHROSCOPIC &amp; RELATED SURGERY : OFFICIAL PUBLICATION OF THE ARTHROSCOPY ASSOCIATION OF NORTH AMERICA AND THE INTERNATIONAL ARTHROSCOPY ASSOCIATION</t>
  </si>
  <si>
    <t>Arthroscopy</t>
  </si>
  <si>
    <t>Nine no. a year, 2001-</t>
  </si>
  <si>
    <t>101594777</t>
  </si>
  <si>
    <t>Artificial cells, nanomedicine, and biotechnology (Print)</t>
  </si>
  <si>
    <t>ARTIFICIAL CELLS, NANOMEDICINE, AND BIOTECHNOLOGY (PRINT)</t>
  </si>
  <si>
    <t>Artif Cells Nanomed Biotechnol</t>
  </si>
  <si>
    <t>Continues: Artificial cells, blood substitutes, and immobilization biotechnology.</t>
  </si>
  <si>
    <t>Six issues a year</t>
  </si>
  <si>
    <t>Biotechnology#Nanotechnology</t>
  </si>
  <si>
    <t>101524746</t>
  </si>
  <si>
    <t>Artificial DNA, PNA &amp; XNA</t>
  </si>
  <si>
    <t>ARTIFICIAL DNA, PNA &amp; XNA</t>
  </si>
  <si>
    <t>Artif DNA PNA XNA</t>
  </si>
  <si>
    <t>8915031</t>
  </si>
  <si>
    <t>Artificial intelligence in medicine</t>
  </si>
  <si>
    <t>ARTIFICIAL INTELLIGENCE IN MEDICINE</t>
  </si>
  <si>
    <t>Artif Intell Med</t>
  </si>
  <si>
    <t>Elsevier Science Publishing</t>
  </si>
  <si>
    <t>9433814</t>
  </si>
  <si>
    <t>Artificial life</t>
  </si>
  <si>
    <t>ARTIFICIAL LIFE</t>
  </si>
  <si>
    <t>Artif Life</t>
  </si>
  <si>
    <t>15309185</t>
  </si>
  <si>
    <t>10645462</t>
  </si>
  <si>
    <t>MIT Press</t>
  </si>
  <si>
    <t>7802778</t>
  </si>
  <si>
    <t>Artificial organs</t>
  </si>
  <si>
    <t>ARTIFICIAL ORGANS</t>
  </si>
  <si>
    <t>Artif Organs</t>
  </si>
  <si>
    <t>9204109</t>
  </si>
  <si>
    <t>ASAIO journal (American Society for Artificial Internal Organs : 1992)</t>
  </si>
  <si>
    <t>ASAIO JOURNAL (AMERICAN SOCIETY FOR ARTIFICIAL INTERNAL ORGANS : 1992)</t>
  </si>
  <si>
    <t>ASAIO J</t>
  </si>
  <si>
    <t>Absorbed: Abstracts, annual meeting. American Society for Artificial Internal Organs. Continues: ASAIO transactions.</t>
  </si>
  <si>
    <t>9440304</t>
  </si>
  <si>
    <t>Asia Pacific journal of clinical nutrition</t>
  </si>
  <si>
    <t>ASIA PACIFIC JOURNAL OF CLINICAL NUTRITION</t>
  </si>
  <si>
    <t>Asia Pac J Clin Nutr</t>
  </si>
  <si>
    <t>Absorbed: Proceedings of the Nutrition Society of Australia. Nutrition Society of Australia. Conference. 2001</t>
  </si>
  <si>
    <t>14406047</t>
  </si>
  <si>
    <t>09647058</t>
  </si>
  <si>
    <t>HEC Press</t>
  </si>
  <si>
    <t>9503417</t>
  </si>
  <si>
    <t>Asian cardiovascular &amp; thoracic annals</t>
  </si>
  <si>
    <t>ASIAN CARDIOVASCULAR &amp; THORACIC ANNALS</t>
  </si>
  <si>
    <t>Asian Cardiovasc Thorac Ann</t>
  </si>
  <si>
    <t>Cardiology#Pulmonary Medicine#Vascular Diseases</t>
  </si>
  <si>
    <t>100942132</t>
  </si>
  <si>
    <t>Asian journal of andrology</t>
  </si>
  <si>
    <t>ASIAN JOURNAL OF ANDROLOGY</t>
  </si>
  <si>
    <t>Asian J Androl</t>
  </si>
  <si>
    <t>101506753</t>
  </si>
  <si>
    <t>Asian journal of endoscopic surgery</t>
  </si>
  <si>
    <t>ASIAN JOURNAL OF ENDOSCOPIC SURGERY</t>
  </si>
  <si>
    <t>Asian J Endosc Surg</t>
  </si>
  <si>
    <t>17585910</t>
  </si>
  <si>
    <t>17585902</t>
  </si>
  <si>
    <t>Diagnostic Imaging#General Surgery</t>
  </si>
  <si>
    <t>101517820</t>
  </si>
  <si>
    <t>Asian journal of psychiatry</t>
  </si>
  <si>
    <t>ASIAN JOURNAL OF PSYCHIATRY</t>
  </si>
  <si>
    <t>Asian J Psychiatr</t>
  </si>
  <si>
    <t>Six no. a year, 2013-</t>
  </si>
  <si>
    <t>8900600</t>
  </si>
  <si>
    <t>Asian journal of surgery / Asian Surgical Association</t>
  </si>
  <si>
    <t>ASIAN JOURNAL OF SURGERY / ASIAN SURGICAL ASSOCIATION</t>
  </si>
  <si>
    <t>Asian J Surg</t>
  </si>
  <si>
    <t>Continues: Southeast Asian journal of surgery.</t>
  </si>
  <si>
    <t>02193108</t>
  </si>
  <si>
    <t>10159584</t>
  </si>
  <si>
    <t>Excerpta Media Asia, Ltd.</t>
  </si>
  <si>
    <t>8402034</t>
  </si>
  <si>
    <t>Asian Pacific journal of allergy and immunology / launched by the Allergy and Immunology Society of Thailand</t>
  </si>
  <si>
    <t>ASIAN PACIFIC JOURNAL OF ALLERGY AND IMMUNOLOGY / LAUNCHED BY THE ALLERGY AND IMMUNOLOGY SOCIETY OF THAILAND</t>
  </si>
  <si>
    <t>Asian Pac J Allergy Immunol</t>
  </si>
  <si>
    <t>Thailand</t>
  </si>
  <si>
    <t>Four no. a year, 1997-</t>
  </si>
  <si>
    <t>101130625</t>
  </si>
  <si>
    <t>Asian Pacific journal of cancer prevention : APJCP</t>
  </si>
  <si>
    <t>ASIAN PACIFIC JOURNAL OF CANCER PREVENTION : APJCP</t>
  </si>
  <si>
    <t>Asian Pac J Cancer Prev</t>
  </si>
  <si>
    <t>15137368</t>
  </si>
  <si>
    <t>Asian Pacific Organization for Cancer Prevention</t>
  </si>
  <si>
    <t>Quarterly, &lt;2001-&gt;</t>
  </si>
  <si>
    <t>101557706</t>
  </si>
  <si>
    <t>Asian Pacific journal of tropical biomedicine</t>
  </si>
  <si>
    <t>ASIAN PACIFIC JOURNAL OF TROPICAL BIOMEDICINE</t>
  </si>
  <si>
    <t>Asian Pac J Trop Biomed</t>
  </si>
  <si>
    <t>Monlthly, 2012</t>
  </si>
  <si>
    <t>101533720</t>
  </si>
  <si>
    <t>Asian Pacific journal of tropical medicine</t>
  </si>
  <si>
    <t>ASIAN PACIFIC JOURNAL OF TROPICAL MEDICINE</t>
  </si>
  <si>
    <t>Asian Pac J Trop Med</t>
  </si>
  <si>
    <t>101241430</t>
  </si>
  <si>
    <t>Asia-Pacific journal of clinical oncology</t>
  </si>
  <si>
    <t>ASIA-PACIFIC JOURNAL OF CLINICAL ONCOLOGY</t>
  </si>
  <si>
    <t>Asia Pac J Clin Oncol</t>
  </si>
  <si>
    <t>8708538</t>
  </si>
  <si>
    <t>Asia-Pacific journal of public health / Asia-Pacific Academic Consortium for Public Health</t>
  </si>
  <si>
    <t>ASIA-PACIFIC JOURNAL OF PUBLIC HEALTH / ASIA-PACIFIC ACADEMIC CONSORTIUM FOR PUBLIC HEALTH</t>
  </si>
  <si>
    <t>Asia Pac J Public Health</t>
  </si>
  <si>
    <t>19412479</t>
  </si>
  <si>
    <t>10105395</t>
  </si>
  <si>
    <t>SAGE Publications</t>
  </si>
  <si>
    <t>Six no. a year, 2012-</t>
  </si>
  <si>
    <t>101506757</t>
  </si>
  <si>
    <t>Asia-Pacific psychiatry : official journal of the Pacific Rim College of Psychiatrists</t>
  </si>
  <si>
    <t>ASIA-PACIFIC PSYCHIATRY : OFFICIAL JOURNAL OF THE PACIFIC RIM COLLEGE OF PSYCHIATRISTS</t>
  </si>
  <si>
    <t>Asia Pac Psychiatry</t>
  </si>
  <si>
    <t>Three issues per year</t>
  </si>
  <si>
    <t>101507115</t>
  </si>
  <si>
    <t>ASN neuro</t>
  </si>
  <si>
    <t>ASN NEURO</t>
  </si>
  <si>
    <t>Portland Press</t>
  </si>
  <si>
    <t>Chemistry#Neurology</t>
  </si>
  <si>
    <t>101151468</t>
  </si>
  <si>
    <t>Assay and drug development technologies</t>
  </si>
  <si>
    <t>ASSAY AND DRUG DEVELOPMENT TECHNOLOGIES</t>
  </si>
  <si>
    <t>Assay Drug Dev Technol</t>
  </si>
  <si>
    <t>Ten no. a year, 2013-</t>
  </si>
  <si>
    <t>Chemistry Techniques, Analytical#Pharmacology</t>
  </si>
  <si>
    <t>9431219</t>
  </si>
  <si>
    <t>Assessment</t>
  </si>
  <si>
    <t>ASSESSMENT</t>
  </si>
  <si>
    <t>15523489</t>
  </si>
  <si>
    <t>10731911</t>
  </si>
  <si>
    <t>100901776</t>
  </si>
  <si>
    <t>Assistenza infermieristica e ricerca : AIR</t>
  </si>
  <si>
    <t>ASSISTENZA INFERMIERISTICA E RICERCA : AIR</t>
  </si>
  <si>
    <t>Assist Inferm Ric</t>
  </si>
  <si>
    <t>Continues: Rivista dell'infermiere.</t>
  </si>
  <si>
    <t>20381778</t>
  </si>
  <si>
    <t>15925986</t>
  </si>
  <si>
    <t>Il Pensiero Scientifico Editore</t>
  </si>
  <si>
    <t>8917250</t>
  </si>
  <si>
    <t>Assistive technology : the official journal of RESNA</t>
  </si>
  <si>
    <t>ASSISTIVE TECHNOLOGY : THE OFFICIAL JOURNAL OF RESNA</t>
  </si>
  <si>
    <t>Assist Technol</t>
  </si>
  <si>
    <t>10400435</t>
  </si>
  <si>
    <t>Demos</t>
  </si>
  <si>
    <t>Physical and Rehabilitation Medicine#Technology</t>
  </si>
  <si>
    <t>101088083</t>
  </si>
  <si>
    <t>Astrobiology</t>
  </si>
  <si>
    <t>ASTROBIOLOGY</t>
  </si>
  <si>
    <t>15578070</t>
  </si>
  <si>
    <t>15311074</t>
  </si>
  <si>
    <t>9111075</t>
  </si>
  <si>
    <t>Atencion primaria / Sociedad Española de Medicina de Familia y Comunitaria</t>
  </si>
  <si>
    <t>ATENCION PRIMARIA / SOCIEDAD ESPANOLA DE MEDICINA DE FAMILIA Y COMUNITARIA</t>
  </si>
  <si>
    <t>Aten Primaria</t>
  </si>
  <si>
    <t>0242543</t>
  </si>
  <si>
    <t>ATHEROSCLEROSIS</t>
  </si>
  <si>
    <t>Continues: Journal of atherosclerosis research.</t>
  </si>
  <si>
    <t>Ireland</t>
  </si>
  <si>
    <t>100973461</t>
  </si>
  <si>
    <t>Atherosclerosis. Supplements</t>
  </si>
  <si>
    <t>ATHEROSCLEROSIS. SUPPLEMENTS</t>
  </si>
  <si>
    <t>Atheroscler Suppl</t>
  </si>
  <si>
    <t>9312707</t>
  </si>
  <si>
    <t>Atlas of the oral and maxillofacial surgery clinics of North America</t>
  </si>
  <si>
    <t>ATLAS OF THE ORAL AND MAXILLOFACIAL SURGERY CLINICS OF NORTH AMERICA</t>
  </si>
  <si>
    <t>Atlas Oral Maxillofac Surg Clin North Am</t>
  </si>
  <si>
    <t>15584275</t>
  </si>
  <si>
    <t>10613315</t>
  </si>
  <si>
    <t>100901315</t>
  </si>
  <si>
    <t>Attachment &amp; human development</t>
  </si>
  <si>
    <t>ATTACHMENT &amp; HUMAN DEVELOPMENT</t>
  </si>
  <si>
    <t>Attach Hum Dev</t>
  </si>
  <si>
    <t>14692988</t>
  </si>
  <si>
    <t>14616734</t>
  </si>
  <si>
    <t>Six no. a year 2009-</t>
  </si>
  <si>
    <t>101491944</t>
  </si>
  <si>
    <t>Attention deficit and hyperactivity disorders</t>
  </si>
  <si>
    <t>ATTENTION DEFICIT AND HYPERACTIVITY DISORDERS</t>
  </si>
  <si>
    <t>Atten Defic Hyperact Disord</t>
  </si>
  <si>
    <t>SpringerWienNewYork</t>
  </si>
  <si>
    <t>Four times a year</t>
  </si>
  <si>
    <t>101495384</t>
  </si>
  <si>
    <t>Attention, perception &amp; psychophysics</t>
  </si>
  <si>
    <t>ATTENTION, PERCEPTION &amp; PSYCHOPHYSICS</t>
  </si>
  <si>
    <t>Atten Percept Psychophys</t>
  </si>
  <si>
    <t>Continues: Perception &amp; psychophysics.</t>
  </si>
  <si>
    <t>1943393X</t>
  </si>
  <si>
    <t>19433921</t>
  </si>
  <si>
    <t>Psychology#Psychophysiology</t>
  </si>
  <si>
    <t>9606930</t>
  </si>
  <si>
    <t>Audiology &amp; neuro-otology</t>
  </si>
  <si>
    <t>AUDIOLOGY &amp; NEURO-OTOLOGY</t>
  </si>
  <si>
    <t>Audiol Neurootol</t>
  </si>
  <si>
    <t>14219700</t>
  </si>
  <si>
    <t>14203030</t>
  </si>
  <si>
    <t>Audiology#Psychophysiology</t>
  </si>
  <si>
    <t>8504574</t>
  </si>
  <si>
    <t>Augmentative and alternative communication (Baltimore, Md. : 1985)</t>
  </si>
  <si>
    <t>AUGMENTATIVE AND ALTERNATIVE COMMUNICATION (BALTIMORE, MD. : 1985)</t>
  </si>
  <si>
    <t>Augment Altern Commun</t>
  </si>
  <si>
    <t>14773848</t>
  </si>
  <si>
    <t>07434618</t>
  </si>
  <si>
    <t>7708170</t>
  </si>
  <si>
    <t>Auris, nasus, larynx</t>
  </si>
  <si>
    <t>AURIS, NASUS, LARYNX</t>
  </si>
  <si>
    <t>101270281</t>
  </si>
  <si>
    <t>Australasian emergency nursing journal : AENJ</t>
  </si>
  <si>
    <t>AUSTRALASIAN EMERGENCY NURSING JOURNAL : AENJ</t>
  </si>
  <si>
    <t>Australas Emerg Nurs J</t>
  </si>
  <si>
    <t>Continues: Australian emergency nursing journal.</t>
  </si>
  <si>
    <t>15746267</t>
  </si>
  <si>
    <t>0135232</t>
  </si>
  <si>
    <t>The Australasian journal of dermatology</t>
  </si>
  <si>
    <t>AUSTRALASIAN JOURNAL OF DERMATOLOGY</t>
  </si>
  <si>
    <t>Australas J Dermatol</t>
  </si>
  <si>
    <t>Continues: Australian journal of dermatology.</t>
  </si>
  <si>
    <t>9808874</t>
  </si>
  <si>
    <t>Australasian journal on ageing</t>
  </si>
  <si>
    <t>AUSTRALASIAN JOURNAL ON AGEING</t>
  </si>
  <si>
    <t>Australas J Ageing</t>
  </si>
  <si>
    <t>Continues: Australian journal on ageing.</t>
  </si>
  <si>
    <t>17416612</t>
  </si>
  <si>
    <t>14406381</t>
  </si>
  <si>
    <t>published on behalf of ACOTA by Wiley-Blackwell Publishing Asia</t>
  </si>
  <si>
    <t>8208130</t>
  </si>
  <si>
    <t>Australasian physical &amp; engineering sciences in medicine / supported by the Australasian College of Physical Scientists in Medicine and the Australasian Association of Physical Sciences in Medicine</t>
  </si>
  <si>
    <t>AUSTRALASIAN PHYSICAL &amp; ENGINEERING SCIENCES IN MEDICINE / SUPPORTED BY THE AUSTRALASIAN COLLEGE OF PHYSICAL SCIENTISTS IN MEDICINE AND THE AUSTRALASIAN ASSOCIATION OF PHYSICAL SCIENCES IN MEDICINE</t>
  </si>
  <si>
    <t>Australas Phys Eng Sci Med</t>
  </si>
  <si>
    <t>18795447</t>
  </si>
  <si>
    <t>Biomedical Engineering#Biophysics</t>
  </si>
  <si>
    <t>9613603</t>
  </si>
  <si>
    <t>Australasian psychiatry : bulletin of Royal Australian and New Zealand College of Psychiatrists</t>
  </si>
  <si>
    <t>AUSTRALASIAN PSYCHIATRY : BULLETIN OF ROYAL AUSTRALIAN AND NEW ZEALAND COLLEGE OF PSYCHIATRISTS</t>
  </si>
  <si>
    <t>Australas Psychiatry</t>
  </si>
  <si>
    <t>Bi-monthly, 2007-</t>
  </si>
  <si>
    <t>0001027</t>
  </si>
  <si>
    <t>The Australian &amp; New Zealand journal of obstetrics &amp; gynaecology</t>
  </si>
  <si>
    <t>AUSTRALIAN &amp; NEW ZEALAND JOURNAL OF OBSTETRICS &amp; GYNAECOLOGY</t>
  </si>
  <si>
    <t>Aust N Z J Obstet Gynaecol</t>
  </si>
  <si>
    <t>0111052</t>
  </si>
  <si>
    <t>The Australian and New Zealand journal of psychiatry</t>
  </si>
  <si>
    <t>AUSTRALIAN AND NEW ZEALAND JOURNAL OF PSYCHIATRY</t>
  </si>
  <si>
    <t>Aust N Z J Psychiatry</t>
  </si>
  <si>
    <t>9611095</t>
  </si>
  <si>
    <t>Australian and New Zealand journal of public health</t>
  </si>
  <si>
    <t>AUSTRALIAN AND NEW ZEALAND JOURNAL OF PUBLIC HEALTH</t>
  </si>
  <si>
    <t>Aust N Z J Public Health</t>
  </si>
  <si>
    <t>Continues: Australian journal of public health.</t>
  </si>
  <si>
    <t>17536405</t>
  </si>
  <si>
    <t>13260200</t>
  </si>
  <si>
    <t>9207852</t>
  </si>
  <si>
    <t>Australian critical care : official journal of the Confederation of Australian Critical Care Nurses</t>
  </si>
  <si>
    <t>AUSTRALIAN CRITICAL CARE : OFFICIAL JOURNAL OF THE CONFEDERATION OF AUSTRALIAN CRITICAL CARE NURSES</t>
  </si>
  <si>
    <t>Aust Crit Care</t>
  </si>
  <si>
    <t>Continues: Confederation of Australian Critical Care Nurses journal.</t>
  </si>
  <si>
    <t>10367314</t>
  </si>
  <si>
    <t>Confederation of Australian Critical Care Nurses</t>
  </si>
  <si>
    <t>0370612</t>
  </si>
  <si>
    <t>Australian dental journal</t>
  </si>
  <si>
    <t>AUSTRALIAN DENTAL JOURNAL</t>
  </si>
  <si>
    <t>Aust Dent J</t>
  </si>
  <si>
    <t>Formed by the union of: Australian journal of dentistry; Dental journal of Australia; and: Queensland dental journal.</t>
  </si>
  <si>
    <t>18347819</t>
  </si>
  <si>
    <t>00450421</t>
  </si>
  <si>
    <t>Australian Dental Association</t>
  </si>
  <si>
    <t>Four no. a year, 1999-</t>
  </si>
  <si>
    <t>100888004</t>
  </si>
  <si>
    <t>Australian endodontic journal : the journal of the Australian Society of Endodontology Inc</t>
  </si>
  <si>
    <t>AUSTRALIAN ENDODONTIC JOURNAL : THE JOURNAL OF THE AUSTRALIAN SOCIETY OF ENDODONTOLOGY INC</t>
  </si>
  <si>
    <t>Aust Endod J</t>
  </si>
  <si>
    <t>Continues: Australian endodontic newsletter.</t>
  </si>
  <si>
    <t>17474477</t>
  </si>
  <si>
    <t>13291947</t>
  </si>
  <si>
    <t>0326701</t>
  </si>
  <si>
    <t>Australian family physician</t>
  </si>
  <si>
    <t>AUSTRALIAN FAMILY PHYSICIAN</t>
  </si>
  <si>
    <t>Aust Fam Physician</t>
  </si>
  <si>
    <t>Absorbed: Annals of general practice.</t>
  </si>
  <si>
    <t>03008495</t>
  </si>
  <si>
    <t>Royal Australian College of General Practitioners</t>
  </si>
  <si>
    <t>8214381</t>
  </si>
  <si>
    <t>Australian health review : a publication of the Australian Hospital Association</t>
  </si>
  <si>
    <t>AUSTRALIAN HEALTH REVIEW : A PUBLICATION OF THE AUSTRALIAN HOSPITAL ASSOCIATION</t>
  </si>
  <si>
    <t>Aust Health Rev</t>
  </si>
  <si>
    <t>14498944</t>
  </si>
  <si>
    <t>01565788</t>
  </si>
  <si>
    <t>CSIRO Pub.</t>
  </si>
  <si>
    <t>Quarterly, -2001</t>
  </si>
  <si>
    <t>Health Services#Hospitals#Nursing</t>
  </si>
  <si>
    <t>8409358</t>
  </si>
  <si>
    <t>The Australian journal of advanced nursing : a quarterly publication of the Royal Australian Nursing Federation</t>
  </si>
  <si>
    <t>AUSTRALIAN JOURNAL OF ADVANCED NURSING : A QUARTERLY PUBLICATION OF THE ROYAL AUSTRALIAN NURSING FEDERATION</t>
  </si>
  <si>
    <t>Aust J Adv Nurs</t>
  </si>
  <si>
    <t>14474328</t>
  </si>
  <si>
    <t>08130531</t>
  </si>
  <si>
    <t>Royal Australian Nursing Federation</t>
  </si>
  <si>
    <t>101123037</t>
  </si>
  <si>
    <t>Australian journal of primary health</t>
  </si>
  <si>
    <t>AUSTRALIAN JOURNAL OF PRIMARY HEALTH</t>
  </si>
  <si>
    <t>Aust J Prim Health</t>
  </si>
  <si>
    <t>Continues: Australian journal of primary health interchange.</t>
  </si>
  <si>
    <t>Australian Journal of Public Health, Australian Institute for Primary Care, La Trobe University</t>
  </si>
  <si>
    <t>9305903</t>
  </si>
  <si>
    <t>The Australian journal of rural health</t>
  </si>
  <si>
    <t>AUSTRALIAN JOURNAL OF RURAL HEALTH</t>
  </si>
  <si>
    <t>Aust J Rural Health</t>
  </si>
  <si>
    <t>14401584</t>
  </si>
  <si>
    <t>10385282</t>
  </si>
  <si>
    <t>Six no. a year, 2000-</t>
  </si>
  <si>
    <t>Nursing#Public Health</t>
  </si>
  <si>
    <t>9317904</t>
  </si>
  <si>
    <t>Australian nursing journal (July 1993)</t>
  </si>
  <si>
    <t>AUSTRALIAN NURSING JOURNAL (JULY 1993)</t>
  </si>
  <si>
    <t>Aust Nurs J</t>
  </si>
  <si>
    <t>Continued by: Australian nursing &amp; midwifery journal.</t>
  </si>
  <si>
    <t>13203185</t>
  </si>
  <si>
    <t>Federal Secretary of the Australian Nursing Federation</t>
  </si>
  <si>
    <t>Eleven no. a year</t>
  </si>
  <si>
    <t>15420200R</t>
  </si>
  <si>
    <t>Australian occupational therapy journal</t>
  </si>
  <si>
    <t>AUSTRALIAN OCCUPATIONAL THERAPY JOURNAL</t>
  </si>
  <si>
    <t>Aust Occup Ther J</t>
  </si>
  <si>
    <t>Continues: Bulletin of the Australian Association of Occupational Therapists.</t>
  </si>
  <si>
    <t>14401630</t>
  </si>
  <si>
    <t>00450766</t>
  </si>
  <si>
    <t>1260462</t>
  </si>
  <si>
    <t>Australian orthodontic journal</t>
  </si>
  <si>
    <t>AUSTRALIAN ORTHODONTIC JOURNAL</t>
  </si>
  <si>
    <t>Aust Orthod J</t>
  </si>
  <si>
    <t>05873908</t>
  </si>
  <si>
    <t>Australian Society of Orthodontists</t>
  </si>
  <si>
    <t>0370616</t>
  </si>
  <si>
    <t>Australian veterinary journal</t>
  </si>
  <si>
    <t>AUSTRALIAN VETERINARY JOURNAL</t>
  </si>
  <si>
    <t>Aust Vet J</t>
  </si>
  <si>
    <t>Continues: Journal of the Australian Veterinary Association. Australian Veterinary Association.</t>
  </si>
  <si>
    <t>17510813</t>
  </si>
  <si>
    <t>00050423</t>
  </si>
  <si>
    <t>9713494</t>
  </si>
  <si>
    <t>Autism : the international journal of research and practice</t>
  </si>
  <si>
    <t>AUTISM : THE INTERNATIONAL JOURNAL OF RESEARCH AND PRACTICE</t>
  </si>
  <si>
    <t>Sage Publications In Association With The National Autistic Society</t>
  </si>
  <si>
    <t>101461858</t>
  </si>
  <si>
    <t>Autism research : official journal of the International Society for Autism Research</t>
  </si>
  <si>
    <t>AUTISM RESEARCH : OFFICIAL JOURNAL OF THE INTERNATIONAL SOCIETY FOR AUTISM RESEARCH</t>
  </si>
  <si>
    <t>Autism Res</t>
  </si>
  <si>
    <t>John Wiley &amp; Sons, Inc.</t>
  </si>
  <si>
    <t>8900070</t>
  </si>
  <si>
    <t>AUTOIMMUNITY</t>
  </si>
  <si>
    <t>Eight no. a year, &lt;2002-&gt;</t>
  </si>
  <si>
    <t>101128967</t>
  </si>
  <si>
    <t>Autoimmunity reviews</t>
  </si>
  <si>
    <t>AUTOIMMUNITY REVIEWS</t>
  </si>
  <si>
    <t>Autoimmun Rev</t>
  </si>
  <si>
    <t>101157306</t>
  </si>
  <si>
    <t>Autonomic &amp; autacoid pharmacology</t>
  </si>
  <si>
    <t>AUTONOMIC &amp; AUTACOID PHARMACOLOGY</t>
  </si>
  <si>
    <t>Auton Autacoid Pharmacol</t>
  </si>
  <si>
    <t>Continues: Journal of autonomic pharmacology.</t>
  </si>
  <si>
    <t>Four no. a year, 2004-</t>
  </si>
  <si>
    <t>Neurology#Pharmacology</t>
  </si>
  <si>
    <t>100909359</t>
  </si>
  <si>
    <t>Autonomic neuroscience : basic &amp; clinical</t>
  </si>
  <si>
    <t>AUTONOMIC NEUROSCIENCE : BASIC &amp; CLINICAL</t>
  </si>
  <si>
    <t>Auton Neurosci</t>
  </si>
  <si>
    <t>Continues: Journal of the autonomic nervous system.</t>
  </si>
  <si>
    <t>Fourteen no, a year, 2000-</t>
  </si>
  <si>
    <t>101265188</t>
  </si>
  <si>
    <t>AUTOPHAGY</t>
  </si>
  <si>
    <t>9305904</t>
  </si>
  <si>
    <t>Aviakosmicheskaia i ekologicheskaia meditsina = Aerospace and environmental medicine</t>
  </si>
  <si>
    <t>AVIAKOSMICHESKAIA I EKOLOGICHESKAIA MEDITSINA = AEROSPACE AND ENVIRONMENTAL MEDICINE</t>
  </si>
  <si>
    <t>Aviakosm Ekolog Med</t>
  </si>
  <si>
    <t>Continues: Kosmicheskaia biologiia i aviakosmicheskaia meditsina.</t>
  </si>
  <si>
    <t>0233528X</t>
  </si>
  <si>
    <t>Institute Of Biomedical Problems</t>
  </si>
  <si>
    <t>Aerospace Medicine#Environmental Health</t>
  </si>
  <si>
    <t>0370617</t>
  </si>
  <si>
    <t>Avian diseases</t>
  </si>
  <si>
    <t>AVIAN DISEASES</t>
  </si>
  <si>
    <t>Avian Dis</t>
  </si>
  <si>
    <t>00052086</t>
  </si>
  <si>
    <t>American Association Of Avian Pathologists</t>
  </si>
  <si>
    <t>8210638</t>
  </si>
  <si>
    <t>Avian pathology : journal of the W.V.P.A</t>
  </si>
  <si>
    <t>AVIAN PATHOLOGY : JOURNAL OF THE W.V.P.A</t>
  </si>
  <si>
    <t>Avian Pathol</t>
  </si>
  <si>
    <t>14653338</t>
  </si>
  <si>
    <t>03079457</t>
  </si>
  <si>
    <t>7501714</t>
  </si>
  <si>
    <t>Aviation, space, and environmental medicine</t>
  </si>
  <si>
    <t>AVIATION, SPACE, AND ENVIRONMENTAL MEDICINE</t>
  </si>
  <si>
    <t>Aviat Space Environ Med</t>
  </si>
  <si>
    <t>Continues Aerospace medicine.</t>
  </si>
  <si>
    <t>00956562</t>
  </si>
  <si>
    <t>Aerospace Medical Association</t>
  </si>
  <si>
    <t>9204448</t>
  </si>
  <si>
    <t>Bacteriologia, virusologia, parazitologia, epidemiologia (Bucharest, Romania : 1990)</t>
  </si>
  <si>
    <t>BACTERIOLOGIA, VIRUSOLOGIA, PARAZITOLOGIA, EPIDEMIOLOGIA (BUCHAREST, ROMANIA : 1990)</t>
  </si>
  <si>
    <t>Bacteriol Virusol Parazitol Epidemiol</t>
  </si>
  <si>
    <t>Continues: Revista de igienă, bacteriologie, virusologie, parazitologie, epidemiologie, pneumoftiziologie. Bacteriologia, virusologia, parazitologia, epidemiologia.</t>
  </si>
  <si>
    <t>12203696</t>
  </si>
  <si>
    <t>Editura Medicala</t>
  </si>
  <si>
    <t>Romania</t>
  </si>
  <si>
    <t>rum</t>
  </si>
  <si>
    <t>Bacteriology#Epidemiology#Parasitology#Virology</t>
  </si>
  <si>
    <t>7607686</t>
  </si>
  <si>
    <t>Bangladesh Medical Research Council bulletin</t>
  </si>
  <si>
    <t>BANGLADESH MEDICAL RESEARCH COUNCIL BULLETIN</t>
  </si>
  <si>
    <t>Bangladesh Med Res Counc Bull</t>
  </si>
  <si>
    <t>Bangladesh</t>
  </si>
  <si>
    <t>101208422</t>
  </si>
  <si>
    <t>Basic &amp; clinical pharmacology &amp; toxicology</t>
  </si>
  <si>
    <t>BASIC &amp; CLINICAL PHARMACOLOGY &amp; TOXICOLOGY</t>
  </si>
  <si>
    <t>Basic Clin Pharmacol Toxicol</t>
  </si>
  <si>
    <t>Continues: Pharmacology &amp; toxicology.</t>
  </si>
  <si>
    <t>0360342</t>
  </si>
  <si>
    <t>Basic research in cardiology</t>
  </si>
  <si>
    <t>BASIC RESEARCH IN CARDIOLOGY</t>
  </si>
  <si>
    <t>Basic Res Cardiol</t>
  </si>
  <si>
    <t>Steinkopff.</t>
  </si>
  <si>
    <t>9303087</t>
  </si>
  <si>
    <t>Beginnings (American Holistic Nurses' Association)</t>
  </si>
  <si>
    <t>BEGINNINGS (AMERICAN HOLISTIC NURSES' ASSOCIATION)</t>
  </si>
  <si>
    <t>Beginnings</t>
  </si>
  <si>
    <t>10712984</t>
  </si>
  <si>
    <t>American Holistic Nurses Association</t>
  </si>
  <si>
    <t>6 no. a year, 1999-</t>
  </si>
  <si>
    <t>0251711</t>
  </si>
  <si>
    <t>Behavior genetics</t>
  </si>
  <si>
    <t>BEHAVIOR GENETICS</t>
  </si>
  <si>
    <t>Behav Genet</t>
  </si>
  <si>
    <t>Behavioral Sciences#Genetics</t>
  </si>
  <si>
    <t>7803043</t>
  </si>
  <si>
    <t>Behavior modification</t>
  </si>
  <si>
    <t>BEHAVIOR MODIFICATION</t>
  </si>
  <si>
    <t>Behav Modif</t>
  </si>
  <si>
    <t>15524167</t>
  </si>
  <si>
    <t>01454455</t>
  </si>
  <si>
    <t>101244316</t>
  </si>
  <si>
    <t>Behavior research methods</t>
  </si>
  <si>
    <t>BEHAVIOR RESEARCH METHODS</t>
  </si>
  <si>
    <t>Behav Res Methods</t>
  </si>
  <si>
    <t>Continues: Behavior research methods, instruments, &amp; computers.</t>
  </si>
  <si>
    <t>15543528</t>
  </si>
  <si>
    <t>1554351X</t>
  </si>
  <si>
    <t>1251640</t>
  </si>
  <si>
    <t>Behavior therapy</t>
  </si>
  <si>
    <t>BEHAVIOR THERAPY</t>
  </si>
  <si>
    <t>Behav Ther</t>
  </si>
  <si>
    <t>Absorbed: Newsletter. Association for Advancement of Behavior Therapy.</t>
  </si>
  <si>
    <t>Quarterly, 2006-</t>
  </si>
  <si>
    <t>Behavioral Sciences#Therapeutics</t>
  </si>
  <si>
    <t>101245751</t>
  </si>
  <si>
    <t>Behavioral and brain functions : BBF</t>
  </si>
  <si>
    <t>BEHAVIORAL AND BRAIN FUNCTIONS : BBF</t>
  </si>
  <si>
    <t>Behav Brain Funct</t>
  </si>
  <si>
    <t>Behavioral Sciences#Brain</t>
  </si>
  <si>
    <t>7808666</t>
  </si>
  <si>
    <t>The Behavioral and brain sciences</t>
  </si>
  <si>
    <t>BEHAVIORAL AND BRAIN SCIENCES</t>
  </si>
  <si>
    <t>Behav Brain Sci</t>
  </si>
  <si>
    <t>Cambridge Univ. Press.</t>
  </si>
  <si>
    <t>Behavioral Sciences#Brain#Neurology#Psychology</t>
  </si>
  <si>
    <t>101269325</t>
  </si>
  <si>
    <t>Behavioral healthcare</t>
  </si>
  <si>
    <t>BEHAVIORAL HEALTHCARE</t>
  </si>
  <si>
    <t>Behav Healthc</t>
  </si>
  <si>
    <t>Formed by the union of: Behavioral health management, and: Behavioral healthcare tomorrow.</t>
  </si>
  <si>
    <t>21679649</t>
  </si>
  <si>
    <t>19317093</t>
  </si>
  <si>
    <t>Vendome</t>
  </si>
  <si>
    <t>8804264</t>
  </si>
  <si>
    <t>Behavioral medicine (Washington, D.C.)</t>
  </si>
  <si>
    <t>BEHAVIORAL MEDICINE (WASHINGTON, D.C.)</t>
  </si>
  <si>
    <t>Behav Med</t>
  </si>
  <si>
    <t>Continues: Journal of human stress.</t>
  </si>
  <si>
    <t>8302411</t>
  </si>
  <si>
    <t>Behavioral neuroscience</t>
  </si>
  <si>
    <t>BEHAVIORAL NEUROSCIENCE</t>
  </si>
  <si>
    <t>Behav Neurosci</t>
  </si>
  <si>
    <t>Continues in part: Journal of comparative and physiological psychology.</t>
  </si>
  <si>
    <t>Behavioral Sciences#Neurology</t>
  </si>
  <si>
    <t>8404861</t>
  </si>
  <si>
    <t>Behavioral sciences &amp; the law</t>
  </si>
  <si>
    <t>BEHAVIORAL SCIENCES &amp; THE LAW</t>
  </si>
  <si>
    <t>Behav Sci Law</t>
  </si>
  <si>
    <t>10990798</t>
  </si>
  <si>
    <t>07353936</t>
  </si>
  <si>
    <t>John Wiley And Sons</t>
  </si>
  <si>
    <t>Behavioral Sciences#Jurisprudence</t>
  </si>
  <si>
    <t>101149327</t>
  </si>
  <si>
    <t>Behavioral sleep medicine</t>
  </si>
  <si>
    <t>BEHAVIORAL SLEEP MEDICINE</t>
  </si>
  <si>
    <t>Behav Sleep Med</t>
  </si>
  <si>
    <t>15402010</t>
  </si>
  <si>
    <t>15402002</t>
  </si>
  <si>
    <t>Five no. a year, 2013-</t>
  </si>
  <si>
    <t>0372477</t>
  </si>
  <si>
    <t>Behaviour research and therapy</t>
  </si>
  <si>
    <t>BEHAVIOUR RESEARCH AND THERAPY</t>
  </si>
  <si>
    <t>Behav Res Ther</t>
  </si>
  <si>
    <t>13 no. a year, 1999-</t>
  </si>
  <si>
    <t>9418292</t>
  </si>
  <si>
    <t>Behavioural and cognitive psychotherapy</t>
  </si>
  <si>
    <t>BEHAVIOURAL AND COGNITIVE PSYCHOTHERAPY</t>
  </si>
  <si>
    <t>Behav Cogn Psychother</t>
  </si>
  <si>
    <t>Continues: Behavioural psychotherapy.</t>
  </si>
  <si>
    <t>14691833</t>
  </si>
  <si>
    <t>13524658</t>
  </si>
  <si>
    <t>8004872</t>
  </si>
  <si>
    <t>Behavioural brain research</t>
  </si>
  <si>
    <t>BEHAVIOURAL BRAIN RESEARCH</t>
  </si>
  <si>
    <t>Behav Brain Res</t>
  </si>
  <si>
    <t>Elsevier/North-Holland Biomedical Press.</t>
  </si>
  <si>
    <t>Twenty no. a year, 1999-</t>
  </si>
  <si>
    <t>8914585</t>
  </si>
  <si>
    <t>Behavioural neurology</t>
  </si>
  <si>
    <t>BEHAVIOURAL NEUROLOGY</t>
  </si>
  <si>
    <t>Behav Neurol</t>
  </si>
  <si>
    <t>Hindawi</t>
  </si>
  <si>
    <t>9013016</t>
  </si>
  <si>
    <t>Behavioural pharmacology</t>
  </si>
  <si>
    <t>BEHAVIOURAL PHARMACOLOGY</t>
  </si>
  <si>
    <t>Behav Pharmacol</t>
  </si>
  <si>
    <t>Eight no. a year, 1995-</t>
  </si>
  <si>
    <t>Behavioral Sciences#Pharmacology</t>
  </si>
  <si>
    <t>7703854</t>
  </si>
  <si>
    <t>Behavioural processes</t>
  </si>
  <si>
    <t>BEHAVIOURAL PROCESSES</t>
  </si>
  <si>
    <t>Behav Processes</t>
  </si>
  <si>
    <t>101125284</t>
  </si>
  <si>
    <t>Beijing da xue xue bao. Yi xue ban = Journal of Peking University. Health sciences</t>
  </si>
  <si>
    <t>BEIJING DA XUE XUE BAO. YI XUE BAN = JOURNAL OF PEKING UNIVERSITY. HEALTH SCIENCES</t>
  </si>
  <si>
    <t>Beijing Da Xue Xue Bao</t>
  </si>
  <si>
    <t>Continues: Beijing yi ke da xue xue bao.</t>
  </si>
  <si>
    <t>1671167X</t>
  </si>
  <si>
    <t>Beijing da xue</t>
  </si>
  <si>
    <t>chi</t>
  </si>
  <si>
    <t>101507616</t>
  </si>
  <si>
    <t>Beneficial microbes</t>
  </si>
  <si>
    <t>BENEFICIAL MICROBES</t>
  </si>
  <si>
    <t>Benef Microbes</t>
  </si>
  <si>
    <t>9112812</t>
  </si>
  <si>
    <t>Benefits quarterly</t>
  </si>
  <si>
    <t>BENEFITS QUARTERLY</t>
  </si>
  <si>
    <t>Benefits Q</t>
  </si>
  <si>
    <t>87561263</t>
  </si>
  <si>
    <t>International CEBS Society</t>
  </si>
  <si>
    <t>101247842</t>
  </si>
  <si>
    <t>Continues: Acta oto-rhino-laryngologica belgica.</t>
  </si>
  <si>
    <t>Royal Belgian Society for Ear, Nose, Throat, Head and Neck surgery</t>
  </si>
  <si>
    <t>7909914</t>
  </si>
  <si>
    <t>Berichte zur Wissenschaftsgeschichte</t>
  </si>
  <si>
    <t>BERICHTE ZUR WISSENSCHAFTSGESCHICHTE</t>
  </si>
  <si>
    <t>Ber Wiss</t>
  </si>
  <si>
    <t>15222365</t>
  </si>
  <si>
    <t>01706233</t>
  </si>
  <si>
    <t>0003163</t>
  </si>
  <si>
    <t>Berliner und Münchener tierärztliche Wochenschrift</t>
  </si>
  <si>
    <t>BERLINER UND MUNCHENER TIERARZTLICHE WOCHENSCHRIFT</t>
  </si>
  <si>
    <t>Berl Munch Tierarztl Wochenschr</t>
  </si>
  <si>
    <t>Formed by the merger of Berliner tierärztliche Wochenschrift and Münchener tierärztliche Wochenschrift.</t>
  </si>
  <si>
    <t>00059366</t>
  </si>
  <si>
    <t>Schlütersche</t>
  </si>
  <si>
    <t>101121446</t>
  </si>
  <si>
    <t>Best practice &amp; research. Clinical anaesthesiology</t>
  </si>
  <si>
    <t>BEST PRACTICE &amp; RESEARCH. CLINICAL ANAESTHESIOLOGY</t>
  </si>
  <si>
    <t>Best Pract Res Clin Anaesthesiol</t>
  </si>
  <si>
    <t>Continues: Baillière's best practice &amp; research. Clinical anaesthesiology.</t>
  </si>
  <si>
    <t>18781608</t>
  </si>
  <si>
    <t>101120682</t>
  </si>
  <si>
    <t>Best practice &amp; research. Clinical endocrinology &amp; metabolism</t>
  </si>
  <si>
    <t>BEST PRACTICE &amp; RESEARCH. CLINICAL ENDOCRINOLOGY &amp; METABOLISM</t>
  </si>
  <si>
    <t>Best Pract Res Clin Endocrinol Metab</t>
  </si>
  <si>
    <t>Continues: Baillière's best practice &amp; research. Clinical endocrinology &amp; metabolism.</t>
  </si>
  <si>
    <t>18781594</t>
  </si>
  <si>
    <t>101120605</t>
  </si>
  <si>
    <t>Best practice &amp; research. Clinical gastroenterology</t>
  </si>
  <si>
    <t>BEST PRACTICE &amp; RESEARCH. CLINICAL GASTROENTEROLOGY</t>
  </si>
  <si>
    <t>Best Pract Res Clin Gastroenterol</t>
  </si>
  <si>
    <t>Continues: Baillière's best practice &amp; research. Clinical gastroenterology.</t>
  </si>
  <si>
    <t>101120659</t>
  </si>
  <si>
    <t>Best practice &amp; research. Clinical haematology</t>
  </si>
  <si>
    <t>BEST PRACTICE &amp; RESEARCH. CLINICAL HAEMATOLOGY</t>
  </si>
  <si>
    <t>Best Pract Res Clin Haematol</t>
  </si>
  <si>
    <t>Continues: Baillière's best practice &amp; research. Clinical haematology.</t>
  </si>
  <si>
    <t>101121582</t>
  </si>
  <si>
    <t>Best practice &amp; research. Clinical obstetrics &amp; gynaecology</t>
  </si>
  <si>
    <t>BEST PRACTICE &amp; RESEARCH. CLINICAL OBSTETRICS &amp; GYNAECOLOGY</t>
  </si>
  <si>
    <t>Best Pract Res Clin Obstet Gynaecol</t>
  </si>
  <si>
    <t>Continues: Baillière's best practice &amp; research. Clinical obstetrics &amp; gynaecology.</t>
  </si>
  <si>
    <t>101121149</t>
  </si>
  <si>
    <t>Best practice &amp; research. Clinical rheumatology</t>
  </si>
  <si>
    <t>BEST PRACTICE &amp; RESEARCH. CLINICAL RHEUMATOLOGY</t>
  </si>
  <si>
    <t>Best Pract Res Clin Rheumatol</t>
  </si>
  <si>
    <t>Continues: Baillière's best practice &amp; research. Clinical rheumatology.</t>
  </si>
  <si>
    <t>9113964</t>
  </si>
  <si>
    <t>BETA bulletin of experimental treatments for AIDS : a publication of the San Francisco AIDS foundation</t>
  </si>
  <si>
    <t>BETA BULLETIN OF EXPERIMENTAL TREATMENTS FOR AIDS : A PUBLICATION OF THE SAN FRANCISCO AIDS FOUNDATION</t>
  </si>
  <si>
    <t>BETA</t>
  </si>
  <si>
    <t>1058708X</t>
  </si>
  <si>
    <t>San Francisco Aids Foundation</t>
  </si>
  <si>
    <t>Acquired Immunodeficiency Syndrome#Therapeutics</t>
  </si>
  <si>
    <t>8803009</t>
  </si>
  <si>
    <t>Bing du xue bao = Chinese journal of virology / [bian ji, Bing du xue bao bian ji wei yuan hui]</t>
  </si>
  <si>
    <t>BING DU XUE BAO = CHINESE JOURNAL OF VIROLOGY / [BIAN JI, BING DU XUE BAO BIAN JI WEI YUAN HUI]</t>
  </si>
  <si>
    <t>Bing Du Xue Bao</t>
  </si>
  <si>
    <t>10008721</t>
  </si>
  <si>
    <t>Chung-Kuo Wei Sheng Wu Hsueh Hui</t>
  </si>
  <si>
    <t>Bimonthly, 2005-</t>
  </si>
  <si>
    <t>101556982</t>
  </si>
  <si>
    <t>Binocular vision &amp; strabology quarterly, Simms-Romano's</t>
  </si>
  <si>
    <t>BINOCULAR VISION &amp; STRABOLOGY QUARTERLY, SIMMS-ROMANO'S</t>
  </si>
  <si>
    <t>Binocul Vis Strabolog Q Simms Romano</t>
  </si>
  <si>
    <t>Continues: Binocular vision &amp; strabismus quarterly.</t>
  </si>
  <si>
    <t>Binoculus Pub.</t>
  </si>
  <si>
    <t>0430773</t>
  </si>
  <si>
    <t>Bio Systems</t>
  </si>
  <si>
    <t>BIO SYSTEMS</t>
  </si>
  <si>
    <t>Biosystems</t>
  </si>
  <si>
    <t>Continues: Currents in modern biology.</t>
  </si>
  <si>
    <t>Elsevier Science Ireland</t>
  </si>
  <si>
    <t>Fifteen no. a year</t>
  </si>
  <si>
    <t>Biology#Computational Biology</t>
  </si>
  <si>
    <t>101512484</t>
  </si>
  <si>
    <t>BIOANALYSIS</t>
  </si>
  <si>
    <t>101518332</t>
  </si>
  <si>
    <t>Bioarchitecture</t>
  </si>
  <si>
    <t>BIOARCHITECTURE</t>
  </si>
  <si>
    <t>9438655</t>
  </si>
  <si>
    <t>Biocell : official journal of the Sociedades Latinoamericanas de Microscopía Electronica ... et. al</t>
  </si>
  <si>
    <t>BIOCELL : OFFICIAL JOURNAL OF THE SOCIEDADES LATINOAMERICANAS DE MICROSCOPIA ELECTRONICA ... ET. AL</t>
  </si>
  <si>
    <t>Continues: Microscopía electrónica y biología celular.</t>
  </si>
  <si>
    <t>Centro Regional de Investigaciones Científicas y Tecnológicas</t>
  </si>
  <si>
    <t>Cell Biology#Diagnostic Imaging#Histocytochemistry#Molecular Biology</t>
  </si>
  <si>
    <t>9610305</t>
  </si>
  <si>
    <t>Biochemia medica</t>
  </si>
  <si>
    <t>BIOCHEMIA MEDICA</t>
  </si>
  <si>
    <t>Biochem Med (Zagreb)</t>
  </si>
  <si>
    <t>Continues: Glasnik Hrvatskog društva medicinskih biokemičara.</t>
  </si>
  <si>
    <t>18467482</t>
  </si>
  <si>
    <t>Croatian Society for Medical Biochemistry and Laboratory Medicine</t>
  </si>
  <si>
    <t>Three no. a year, &lt;2006-&gt;</t>
  </si>
  <si>
    <t>0372516</t>
  </si>
  <si>
    <t>Biochemical and biophysical research communications</t>
  </si>
  <si>
    <t>BIOCHEMICAL AND BIOPHYSICAL RESEARCH COMMUNICATIONS</t>
  </si>
  <si>
    <t>Biochem Biophys Res Commun</t>
  </si>
  <si>
    <t>Continued in part by: Molecular cell biology research communications. Apr. 1999</t>
  </si>
  <si>
    <t>Weekly (except the first week of Jan. and the last week of Dec.), 2001-</t>
  </si>
  <si>
    <t>0126611</t>
  </si>
  <si>
    <t>Biochemical genetics</t>
  </si>
  <si>
    <t>BIOCHEMICAL GENETICS</t>
  </si>
  <si>
    <t>Biochem Genet</t>
  </si>
  <si>
    <t>Molecular Biology</t>
  </si>
  <si>
    <t>2984726R</t>
  </si>
  <si>
    <t>The Biochemical journal</t>
  </si>
  <si>
    <t>BIOCHEMICAL JOURNAL</t>
  </si>
  <si>
    <t>Biochem J</t>
  </si>
  <si>
    <t>Published by Portland Press on behalf of the Biochemical Society</t>
  </si>
  <si>
    <t>Twenty eight no. a year</t>
  </si>
  <si>
    <t>1906</t>
  </si>
  <si>
    <t>0101032</t>
  </si>
  <si>
    <t>Biochemical pharmacology</t>
  </si>
  <si>
    <t>BIOCHEMICAL PHARMACOLOGY</t>
  </si>
  <si>
    <t>Biochem Pharmacol</t>
  </si>
  <si>
    <t>24 no. a year</t>
  </si>
  <si>
    <t>Biochemistry#Pharmacology</t>
  </si>
  <si>
    <t>7506896</t>
  </si>
  <si>
    <t>Biochemical Society symposium</t>
  </si>
  <si>
    <t>BIOCHEMICAL SOCIETY SYMPOSIUM</t>
  </si>
  <si>
    <t>Biochem Soc Symp</t>
  </si>
  <si>
    <t>17441439</t>
  </si>
  <si>
    <t>00678694</t>
  </si>
  <si>
    <t>7506897</t>
  </si>
  <si>
    <t>Biochemical Society transactions</t>
  </si>
  <si>
    <t>BIOCHEMICAL SOCIETY TRANSACTIONS</t>
  </si>
  <si>
    <t>Biochem Soc Trans</t>
  </si>
  <si>
    <t>Portland Press On The Behalf Of The Biochemical Society</t>
  </si>
  <si>
    <t>0370623</t>
  </si>
  <si>
    <t>BIOCHEMISTRY</t>
  </si>
  <si>
    <t>Weekly, &lt;1991- &gt;</t>
  </si>
  <si>
    <t>8606068</t>
  </si>
  <si>
    <t>Biochemistry and cell biology = Biochimie et biologie cellulaire</t>
  </si>
  <si>
    <t>BIOCHEMISTRY AND CELL BIOLOGY = BIOCHIMIE ET BIOLOGIE CELLULAIRE</t>
  </si>
  <si>
    <t>Biochem Cell Biol</t>
  </si>
  <si>
    <t>Continues: Canadian journal of biochemistry and cell biology.</t>
  </si>
  <si>
    <t>Bimonthly, 1996-</t>
  </si>
  <si>
    <t>Biochemistry#Cell Biology</t>
  </si>
  <si>
    <t>100970605</t>
  </si>
  <si>
    <t>Biochemistry and molecular biology education : a bimonthly publication of the International Union of Biochemistry and Molecular Biology</t>
  </si>
  <si>
    <t>BIOCHEMISTRY AND MOLECULAR BIOLOGY EDUCATION : A BIMONTHLY PUBLICATION OF THE INTERNATIONAL UNION OF BIOCHEMISTRY AND MOLECULAR BIOLOGY</t>
  </si>
  <si>
    <t>Biochem Mol Biol Educ</t>
  </si>
  <si>
    <t>Continues: Biochemical education.</t>
  </si>
  <si>
    <t>15393429</t>
  </si>
  <si>
    <t>14708175</t>
  </si>
  <si>
    <t>John Wiley &amp; sons</t>
  </si>
  <si>
    <t>Biochemistry#Education#Molecular Biology</t>
  </si>
  <si>
    <t>0376536</t>
  </si>
  <si>
    <t>Biochemistry. Biokhimii͡a</t>
  </si>
  <si>
    <t>BIOCHEMISTRY. BIOKHIMIIA</t>
  </si>
  <si>
    <t>Biochemistry (Mosc)</t>
  </si>
  <si>
    <t>16083040</t>
  </si>
  <si>
    <t>00062979</t>
  </si>
  <si>
    <t>MAIK Nauka/Interperiodica</t>
  </si>
  <si>
    <t>0217513</t>
  </si>
  <si>
    <t>Biochimica et biophysica acta</t>
  </si>
  <si>
    <t>BIOCHIMICA ET BIOPHYSICA ACTA</t>
  </si>
  <si>
    <t>Biochim Biophys Acta</t>
  </si>
  <si>
    <t>00063002</t>
  </si>
  <si>
    <t>Elsevier Pub. Co.</t>
  </si>
  <si>
    <t>One hundred issues per year, 2006-</t>
  </si>
  <si>
    <t>1264604</t>
  </si>
  <si>
    <t>BIOCHIMIE</t>
  </si>
  <si>
    <t>Continues the Bulletin of the Société de chimie biologique.</t>
  </si>
  <si>
    <t>16386183</t>
  </si>
  <si>
    <t>Editions Scientifiques Elsevier</t>
  </si>
  <si>
    <t>9010319</t>
  </si>
  <si>
    <t>Bioconjugate chemistry</t>
  </si>
  <si>
    <t>BIOCONJUGATE CHEMISTRY</t>
  </si>
  <si>
    <t>Bioconjug Chem</t>
  </si>
  <si>
    <t>Twelve issues a year, 2008-</t>
  </si>
  <si>
    <t>9712121</t>
  </si>
  <si>
    <t>Biocontrol science</t>
  </si>
  <si>
    <t>BIOCONTROL SCIENCE</t>
  </si>
  <si>
    <t>Biocontrol Sci</t>
  </si>
  <si>
    <t>Society for Antibacterial and Antifungal Agents, Japan</t>
  </si>
  <si>
    <t>Quarterly, 200?-</t>
  </si>
  <si>
    <t>9100834</t>
  </si>
  <si>
    <t>Biodegradation</t>
  </si>
  <si>
    <t>BIODEGRADATION</t>
  </si>
  <si>
    <t>15729729</t>
  </si>
  <si>
    <t>09239820</t>
  </si>
  <si>
    <t>Biochemistry#Environmental Health</t>
  </si>
  <si>
    <t>101500303</t>
  </si>
  <si>
    <t>Biodemography and social biology</t>
  </si>
  <si>
    <t>BIODEMOGRAPHY AND SOCIAL BIOLOGY</t>
  </si>
  <si>
    <t>Biodemography Soc Biol</t>
  </si>
  <si>
    <t>Continues: Social biology.</t>
  </si>
  <si>
    <t>19485573</t>
  </si>
  <si>
    <t>19485565</t>
  </si>
  <si>
    <t>Biology#Epidemiology#Social Sciences</t>
  </si>
  <si>
    <t>9705305</t>
  </si>
  <si>
    <t>BioDrugs : clinical immunotherapeutics, biopharmaceuticals and gene therapy</t>
  </si>
  <si>
    <t>BIODRUGS : CLINICAL IMMUNOTHERAPEUTICS, BIOPHARMACEUTICALS AND GENE THERAPY</t>
  </si>
  <si>
    <t>Continues: Clinical immunotherapeutics.</t>
  </si>
  <si>
    <t>Six no. a year 2002-</t>
  </si>
  <si>
    <t>Allergy and Immunology#Drug Therapy#Genetics, Medical#Therapeutics</t>
  </si>
  <si>
    <t>100953583</t>
  </si>
  <si>
    <t>Bioelectrochemistry (Amsterdam, Netherlands)</t>
  </si>
  <si>
    <t>BIOELECTROCHEMISTRY (AMSTERDAM, NETHERLANDS)</t>
  </si>
  <si>
    <t>Continues: Bioelectrochemistry and bioenergetics (Lausanne, Switzerland : 1992).</t>
  </si>
  <si>
    <t>8008281</t>
  </si>
  <si>
    <t>Bioelectromagnetics</t>
  </si>
  <si>
    <t>BIOELECTROMAGNETICS</t>
  </si>
  <si>
    <t>1521186X</t>
  </si>
  <si>
    <t>01978462</t>
  </si>
  <si>
    <t>8 no. a year, 1998-</t>
  </si>
  <si>
    <t>101581063</t>
  </si>
  <si>
    <t>BIOENGINEERED</t>
  </si>
  <si>
    <t>Continues: Bioengineered bugs.</t>
  </si>
  <si>
    <t>21655987</t>
  </si>
  <si>
    <t>21655979</t>
  </si>
  <si>
    <t>Biomedical Engineering#Biotechnology#Microbiology</t>
  </si>
  <si>
    <t>8510851</t>
  </si>
  <si>
    <t>BioEssays : news and reviews in molecular, cellular and developmental biology</t>
  </si>
  <si>
    <t>BIOESSAYS : NEWS AND REVIEWS IN MOLECULAR, CELLULAR AND DEVELOPMENTAL BIOLOGY</t>
  </si>
  <si>
    <t>Bioessays</t>
  </si>
  <si>
    <t>Biology#Cell Biology#Molecular Biology</t>
  </si>
  <si>
    <t>8704792</t>
  </si>
  <si>
    <t>Bioethics</t>
  </si>
  <si>
    <t>BIOETHICS</t>
  </si>
  <si>
    <t>14678519</t>
  </si>
  <si>
    <t>02699702</t>
  </si>
  <si>
    <t>Six no. a year, 2001-</t>
  </si>
  <si>
    <t>101521964</t>
  </si>
  <si>
    <t>Biofabrication</t>
  </si>
  <si>
    <t>BIOFABRICATION</t>
  </si>
  <si>
    <t>17585090</t>
  </si>
  <si>
    <t>17585082</t>
  </si>
  <si>
    <t>IOP Pub.</t>
  </si>
  <si>
    <t>Biotechnology</t>
  </si>
  <si>
    <t>8807441</t>
  </si>
  <si>
    <t>BioFactors (Oxford, England)</t>
  </si>
  <si>
    <t>BIOFACTORS (OXFORD, ENGLAND)</t>
  </si>
  <si>
    <t>Biofactors</t>
  </si>
  <si>
    <t>Ios Press</t>
  </si>
  <si>
    <t>0372666</t>
  </si>
  <si>
    <t>Biofizika</t>
  </si>
  <si>
    <t>BIOFIZIKA</t>
  </si>
  <si>
    <t>00063029</t>
  </si>
  <si>
    <t>Izdatelstvo Nauka</t>
  </si>
  <si>
    <t>9200331</t>
  </si>
  <si>
    <t>Biofouling</t>
  </si>
  <si>
    <t>BIOFOULING</t>
  </si>
  <si>
    <t>10292454</t>
  </si>
  <si>
    <t>08927014</t>
  </si>
  <si>
    <t>Five no. a year. 2011-</t>
  </si>
  <si>
    <t>100930043</t>
  </si>
  <si>
    <t>BIOGERONTOLOGY</t>
  </si>
  <si>
    <t>9808944</t>
  </si>
  <si>
    <t>Bioinformatics (Oxford, England)</t>
  </si>
  <si>
    <t>BIOINFORMATICS (OXFORD, ENGLAND)</t>
  </si>
  <si>
    <t>Bioinformatics</t>
  </si>
  <si>
    <t>Absorbed: International Conference On Intelligent Systems for Molecular Biology proceedings.</t>
  </si>
  <si>
    <t>13674811</t>
  </si>
  <si>
    <t>13674803</t>
  </si>
  <si>
    <t>Twenty-four no. a year, 2005-</t>
  </si>
  <si>
    <t>Computational Biology</t>
  </si>
  <si>
    <t>101292902</t>
  </si>
  <si>
    <t>Bioinspiration &amp; biomimetics</t>
  </si>
  <si>
    <t>BIOINSPIRATION &amp; BIOMIMETICS</t>
  </si>
  <si>
    <t>Bioinspir Biomim</t>
  </si>
  <si>
    <t>17483190</t>
  </si>
  <si>
    <t>17483182</t>
  </si>
  <si>
    <t>Biology#Biomedical Engineering</t>
  </si>
  <si>
    <t>101275679</t>
  </si>
  <si>
    <t>Biointerphases</t>
  </si>
  <si>
    <t>BIOINTERPHASES</t>
  </si>
  <si>
    <t>15594106</t>
  </si>
  <si>
    <t>19348630</t>
  </si>
  <si>
    <t>AVS</t>
  </si>
  <si>
    <t>9311984</t>
  </si>
  <si>
    <t>Biological &amp; pharmaceutical bulletin</t>
  </si>
  <si>
    <t>BIOLOGICAL &amp; PHARMACEUTICAL BULLETIN</t>
  </si>
  <si>
    <t>Biol Pharm Bull</t>
  </si>
  <si>
    <t>Continues: Journal of pharmacobio-dynamics.</t>
  </si>
  <si>
    <t>2984727R</t>
  </si>
  <si>
    <t>The Biological bulletin</t>
  </si>
  <si>
    <t>BIOLOGICAL BULLETIN</t>
  </si>
  <si>
    <t>Biol Bull</t>
  </si>
  <si>
    <t>Continues: Zoölogical bulletin.</t>
  </si>
  <si>
    <t>19398697</t>
  </si>
  <si>
    <t>00063185</t>
  </si>
  <si>
    <t>Marine Biological Laboratory</t>
  </si>
  <si>
    <t>1899</t>
  </si>
  <si>
    <t>9700112</t>
  </si>
  <si>
    <t>Biological chemistry</t>
  </si>
  <si>
    <t>BIOLOGICAL CHEMISTRY</t>
  </si>
  <si>
    <t>Biol Chem</t>
  </si>
  <si>
    <t>Continues: Biological chemistry Hoppe-Seyler.</t>
  </si>
  <si>
    <t>Walter De Gruyter</t>
  </si>
  <si>
    <t>7502533</t>
  </si>
  <si>
    <t>Biological cybernetics</t>
  </si>
  <si>
    <t>BIOLOGICAL CYBERNETICS</t>
  </si>
  <si>
    <t>Biol Cybern</t>
  </si>
  <si>
    <t>Continues Kybernetik.</t>
  </si>
  <si>
    <t>14320770</t>
  </si>
  <si>
    <t>03401200</t>
  </si>
  <si>
    <t>Neurology#Physiology</t>
  </si>
  <si>
    <t>0213264</t>
  </si>
  <si>
    <t>Biological psychiatry</t>
  </si>
  <si>
    <t>BIOLOGICAL PSYCHIATRY</t>
  </si>
  <si>
    <t>Biol Psychiatry</t>
  </si>
  <si>
    <t>Continues: Recent advances in biological psychiatry. Society of Biological Psychiatry.</t>
  </si>
  <si>
    <t>24 no. a year, 1990-</t>
  </si>
  <si>
    <t>Psychiatry#Psychophysiology</t>
  </si>
  <si>
    <t>0375566</t>
  </si>
  <si>
    <t>Biological psychology</t>
  </si>
  <si>
    <t>BIOLOGICAL PSYCHOLOGY</t>
  </si>
  <si>
    <t>Biol Psychol</t>
  </si>
  <si>
    <t>Elsevier Science B.V</t>
  </si>
  <si>
    <t>Psychophysiology</t>
  </si>
  <si>
    <t>9308271</t>
  </si>
  <si>
    <t>Biological research</t>
  </si>
  <si>
    <t>BIOLOGICAL RESEARCH</t>
  </si>
  <si>
    <t>Biol Res</t>
  </si>
  <si>
    <t>Continues: Archivos de biología y medicina experimentales.</t>
  </si>
  <si>
    <t>07176287</t>
  </si>
  <si>
    <t>07169760</t>
  </si>
  <si>
    <t>Biomed Central, Ltd</t>
  </si>
  <si>
    <t>9815758</t>
  </si>
  <si>
    <t>Biological research for nursing</t>
  </si>
  <si>
    <t>BIOLOGICAL RESEARCH FOR NURSING</t>
  </si>
  <si>
    <t>Biol Res Nurs</t>
  </si>
  <si>
    <t>15524175</t>
  </si>
  <si>
    <t>10998004</t>
  </si>
  <si>
    <t>Biology#Nursing</t>
  </si>
  <si>
    <t>0414576</t>
  </si>
  <si>
    <t>Biological reviews of the Cambridge Philosophical Society</t>
  </si>
  <si>
    <t>BIOLOGICAL REVIEWS OF THE CAMBRIDGE PHILOSOPHICAL SOCIETY</t>
  </si>
  <si>
    <t>Biol Rev Camb Philos Soc</t>
  </si>
  <si>
    <t>Continues: Biological reviews and biological proceedings of the Cambridge Philosophical Society.</t>
  </si>
  <si>
    <t>1469185X</t>
  </si>
  <si>
    <t>14647931</t>
  </si>
  <si>
    <t>00063231</t>
  </si>
  <si>
    <t>Cambridge University Press.</t>
  </si>
  <si>
    <t>7911509</t>
  </si>
  <si>
    <t>Biological trace element research</t>
  </si>
  <si>
    <t>BIOLOGICAL TRACE ELEMENT RESEARCH</t>
  </si>
  <si>
    <t>Biol Trace Elem Res</t>
  </si>
  <si>
    <t>Humana Press.</t>
  </si>
  <si>
    <t>Environmental Health#Nutritional Sciences</t>
  </si>
  <si>
    <t>9004494</t>
  </si>
  <si>
    <t>Biologicals : journal of the International Association of Biological Standardization</t>
  </si>
  <si>
    <t>BIOLOGICALS : JOURNAL OF THE INTERNATIONAL ASSOCIATION OF BIOLOGICAL STANDARDIZATION</t>
  </si>
  <si>
    <t>Continues: Journal of biological standardization.</t>
  </si>
  <si>
    <t>Allergy and Immunology#Technology</t>
  </si>
  <si>
    <t>101544020</t>
  </si>
  <si>
    <t>Biologie aujourd'hui</t>
  </si>
  <si>
    <t>BIOLOGIE AUJOURD'HUI</t>
  </si>
  <si>
    <t>Biol Aujourdhui</t>
  </si>
  <si>
    <t>Continues: Journal de la Société de biologie.</t>
  </si>
  <si>
    <t>21050686</t>
  </si>
  <si>
    <t>21050678</t>
  </si>
  <si>
    <t>La Société de biologie</t>
  </si>
  <si>
    <t>9108399</t>
  </si>
  <si>
    <t>Biologist (London, England)</t>
  </si>
  <si>
    <t>BIOLOGIST (LONDON, ENGLAND)</t>
  </si>
  <si>
    <t>Biologist (London)</t>
  </si>
  <si>
    <t>Continues: Institute of Biology journal.</t>
  </si>
  <si>
    <t>00063347</t>
  </si>
  <si>
    <t>The Institute</t>
  </si>
  <si>
    <t>Five no. a year, 1977-</t>
  </si>
  <si>
    <t>101258412</t>
  </si>
  <si>
    <t>Biology direct</t>
  </si>
  <si>
    <t>BIOLOGY DIRECT</t>
  </si>
  <si>
    <t>Biol Direct</t>
  </si>
  <si>
    <t>17456150</t>
  </si>
  <si>
    <t>101247722</t>
  </si>
  <si>
    <t>Biology letters</t>
  </si>
  <si>
    <t>BIOLOGY LETTERS</t>
  </si>
  <si>
    <t>Biol Lett</t>
  </si>
  <si>
    <t>Separated from: Proceedings. Biological sciences.</t>
  </si>
  <si>
    <t>1744957X</t>
  </si>
  <si>
    <t>17449561</t>
  </si>
  <si>
    <t>The Royal Society</t>
  </si>
  <si>
    <t>9600628</t>
  </si>
  <si>
    <t>Biology of blood and marrow transplantation : journal of the American Society for Blood and Marrow Transplantation</t>
  </si>
  <si>
    <t>BIOLOGY OF BLOOD AND MARROW TRANSPLANTATION : JOURNAL OF THE AMERICAN SOCIETY FOR BLOOD AND MARROW TRANSPLANTATION</t>
  </si>
  <si>
    <t>Biol Blood Marrow Transplant</t>
  </si>
  <si>
    <t>Carden Jennings Publishing</t>
  </si>
  <si>
    <t>10 no. a year, &lt;2002-&gt;</t>
  </si>
  <si>
    <t>Hematology#Transplantation</t>
  </si>
  <si>
    <t>0207224</t>
  </si>
  <si>
    <t>Biology of reproduction</t>
  </si>
  <si>
    <t>BIOLOGY OF REPRODUCTION</t>
  </si>
  <si>
    <t>Biol Reprod</t>
  </si>
  <si>
    <t>8108529</t>
  </si>
  <si>
    <t>Biology of the cell / under the auspices of the European Cell Biology Organization</t>
  </si>
  <si>
    <t>BIOLOGY OF THE CELL / UNDER THE AUSPICES OF THE EUROPEAN CELL BIOLOGY ORGANIZATION</t>
  </si>
  <si>
    <t>Biol Cell</t>
  </si>
  <si>
    <t>Continues: Biologie cellulaire.</t>
  </si>
  <si>
    <t>100892849</t>
  </si>
  <si>
    <t>BIOMACROMOLECULES</t>
  </si>
  <si>
    <t>Bimonthly, 2001-</t>
  </si>
  <si>
    <t>9606000</t>
  </si>
  <si>
    <t>Biomarkers : biochemical indicators of exposure, response, and susceptibility to chemicals</t>
  </si>
  <si>
    <t>BIOMARKERS : BIOCHEMICAL INDICATORS OF EXPOSURE, RESPONSE, AND SUSCEPTIBILITY TO CHEMICALS</t>
  </si>
  <si>
    <t>101312535</t>
  </si>
  <si>
    <t>Biomarkers in medicine</t>
  </si>
  <si>
    <t>BIOMARKERS IN MEDICINE</t>
  </si>
  <si>
    <t>Biomark Med</t>
  </si>
  <si>
    <t>Future Medicine</t>
  </si>
  <si>
    <t>Biochemistry#Medicine</t>
  </si>
  <si>
    <t>8100316</t>
  </si>
  <si>
    <t>BIOMATERIALS</t>
  </si>
  <si>
    <t>Issues for &lt;1989-&gt; published in association with the Biological Engineering Society. Absorbed: Clinical materials in 1995.</t>
  </si>
  <si>
    <t>101564974</t>
  </si>
  <si>
    <t>Biomatter</t>
  </si>
  <si>
    <t>BIOMATTER</t>
  </si>
  <si>
    <t>101135325</t>
  </si>
  <si>
    <t>Biomechanics and modeling in mechanobiology</t>
  </si>
  <si>
    <t>BIOMECHANICS AND MODELING IN MECHANOBIOLOGY</t>
  </si>
  <si>
    <t>Biomech Model Mechanobiol</t>
  </si>
  <si>
    <t>101600173</t>
  </si>
  <si>
    <t>BioMed research international</t>
  </si>
  <si>
    <t>BIOMED RESEARCH INTERNATIONAL</t>
  </si>
  <si>
    <t>Biomed Res Int</t>
  </si>
  <si>
    <t>Continues: Journal of biomedicine and biotechnology.</t>
  </si>
  <si>
    <t>Hindawi Pub. Co.</t>
  </si>
  <si>
    <t>Biotechnology#Medicine</t>
  </si>
  <si>
    <t>8205605</t>
  </si>
  <si>
    <t>Biomédica : revista del Instituto Nacional de Salud</t>
  </si>
  <si>
    <t>BIOMEDICA : REVISTA DEL INSTITUTO NACIONAL DE SALUD</t>
  </si>
  <si>
    <t>Biomedica</t>
  </si>
  <si>
    <t>01204157</t>
  </si>
  <si>
    <t>Colombia</t>
  </si>
  <si>
    <t>8909524</t>
  </si>
  <si>
    <t>Biomedical and environmental sciences : BES</t>
  </si>
  <si>
    <t>BIOMEDICAL AND ENVIRONMENTAL SCIENCES : BES</t>
  </si>
  <si>
    <t>Biomed Environ Sci</t>
  </si>
  <si>
    <t>08953988</t>
  </si>
  <si>
    <t>8610241</t>
  </si>
  <si>
    <t>Biomedical chromatography : BMC</t>
  </si>
  <si>
    <t>BIOMEDICAL CHROMATOGRAPHY : BMC</t>
  </si>
  <si>
    <t>Biomed Chromatogr</t>
  </si>
  <si>
    <t>Ten no. a year, 2004-</t>
  </si>
  <si>
    <t>101147518</t>
  </si>
  <si>
    <t>Biomedical engineering online</t>
  </si>
  <si>
    <t>BIOMEDICAL ENGINEERING ONLINE</t>
  </si>
  <si>
    <t>Biomed Eng Online</t>
  </si>
  <si>
    <t>8905560</t>
  </si>
  <si>
    <t>Biomedical instrumentation &amp; technology / Association for the Advancement of Medical Instrumentation</t>
  </si>
  <si>
    <t>BIOMEDICAL INSTRUMENTATION &amp; TECHNOLOGY / ASSOCIATION FOR THE ADVANCEMENT OF MEDICAL INSTRUMENTATION</t>
  </si>
  <si>
    <t>Biomed Instrum Technol</t>
  </si>
  <si>
    <t>Formed by the merger of: Medical instrumentation, and: Biomedical technology today.</t>
  </si>
  <si>
    <t>Published by Hanley &amp; Belfus for the Association</t>
  </si>
  <si>
    <t>101599820</t>
  </si>
  <si>
    <t>Biomedical journal</t>
  </si>
  <si>
    <t>BIOMEDICAL JOURNAL</t>
  </si>
  <si>
    <t>Biomed J</t>
  </si>
  <si>
    <t>Continues: Chang Gung medical journal.</t>
  </si>
  <si>
    <t>23202890</t>
  </si>
  <si>
    <t>101285195</t>
  </si>
  <si>
    <t>Biomedical materials (Bristol, England)</t>
  </si>
  <si>
    <t>BIOMEDICAL MATERIALS (BRISTOL, ENGLAND)</t>
  </si>
  <si>
    <t>Biomed Mater</t>
  </si>
  <si>
    <t>Institute of Physics Pub.</t>
  </si>
  <si>
    <t>9104021</t>
  </si>
  <si>
    <t>Bio-medical materials and engineering</t>
  </si>
  <si>
    <t>BIO-MEDICAL MATERIALS AND ENGINEERING</t>
  </si>
  <si>
    <t>Biomed Mater Eng</t>
  </si>
  <si>
    <t>18783619</t>
  </si>
  <si>
    <t>100887374</t>
  </si>
  <si>
    <t>Biomedical microdevices</t>
  </si>
  <si>
    <t>BIOMEDICAL MICRODEVICES</t>
  </si>
  <si>
    <t>Biomed Microdevices</t>
  </si>
  <si>
    <t>101140142</t>
  </si>
  <si>
    <t>Biomedical papers of the Medical Faculty of the University Palacký, Olomouc, Czechoslovakia</t>
  </si>
  <si>
    <t>BIOMEDICAL PAPERS OF THE MEDICAL FACULTY OF THE UNIVERSITY PALACKY, OLOMOUC, CZECHOSLOVAKIA</t>
  </si>
  <si>
    <t>Biomed Pap Med Fac Univ Palacky Olomouc Czech Repub</t>
  </si>
  <si>
    <t>Vols. 53-144, published 1985-2000, issued as a subseries of Acta Universitatis Palackianae Olomucensis Facultatis Medicae. Issued independently, continung the numbering of the earlier main series, beginning with v. 145, no. 1 (Sept. 2001).</t>
  </si>
  <si>
    <t>12138118</t>
  </si>
  <si>
    <t>Vydavatelství Univerzity Palackého</t>
  </si>
  <si>
    <t>Two issues a year, 2001-</t>
  </si>
  <si>
    <t>8100317</t>
  </si>
  <si>
    <t>Biomedical research (Tokyo, Japan)</t>
  </si>
  <si>
    <t>BIOMEDICAL RESEARCH (TOKYO, JAPAN)</t>
  </si>
  <si>
    <t>Biomed Res</t>
  </si>
  <si>
    <t>0140524</t>
  </si>
  <si>
    <t>Biomedical sciences instrumentation</t>
  </si>
  <si>
    <t>BIOMEDICAL SCIENCES INSTRUMENTATION</t>
  </si>
  <si>
    <t>Biomed Sci Instrum</t>
  </si>
  <si>
    <t>Instrument Society of America</t>
  </si>
  <si>
    <t>8213295</t>
  </si>
  <si>
    <t>Biomedicine &amp; pharmacotherapy = Biomédecine &amp; pharmacothérapie</t>
  </si>
  <si>
    <t>BIOMEDICINE &amp; PHARMACOTHERAPY = BIOMEDECINE &amp; PHARMACOTHERAPIE</t>
  </si>
  <si>
    <t>Biomed Pharmacother</t>
  </si>
  <si>
    <t>Continues: Biomedicine.</t>
  </si>
  <si>
    <t>Biology#Drug Therapy#Medicine</t>
  </si>
  <si>
    <t>101196966</t>
  </si>
  <si>
    <t>Biomedit͡sinskai͡a khimii͡a</t>
  </si>
  <si>
    <t>BIOMEDITSINSKAIA KHIMIIA</t>
  </si>
  <si>
    <t>Biomed Khim</t>
  </si>
  <si>
    <t>Continues: Voprosy medit͡sinskoĭ khimii.</t>
  </si>
  <si>
    <t>Rossiĭskai͡a akademii͡a medit͡sinskikh nauk</t>
  </si>
  <si>
    <t>1262533</t>
  </si>
  <si>
    <t>Biomedizinische Technik. Biomedical engineering</t>
  </si>
  <si>
    <t>BIOMEDIZINISCHE TECHNIK. BIOMEDICAL ENGINEERING</t>
  </si>
  <si>
    <t>Biomed Tech (Berl)</t>
  </si>
  <si>
    <t>Continues: Elektromedizin, biomedizin und technik.</t>
  </si>
  <si>
    <t>1862278X</t>
  </si>
  <si>
    <t>00135585</t>
  </si>
  <si>
    <t>Walter de Gruyter Publishers</t>
  </si>
  <si>
    <t>9208478</t>
  </si>
  <si>
    <t>Biometals : an international journal on the role of metal ions in biology, biochemistry, and medicine</t>
  </si>
  <si>
    <t>BIOMETALS : AN INTERNATIONAL JOURNAL ON THE ROLE OF METAL IONS IN BIOLOGY, BIOCHEMISTRY, AND MEDICINE</t>
  </si>
  <si>
    <t>Biometals</t>
  </si>
  <si>
    <t>Continues: Biology of metals.</t>
  </si>
  <si>
    <t>7708048</t>
  </si>
  <si>
    <t>Biometrical journal. Biometrische Zeitschrift</t>
  </si>
  <si>
    <t>BIOMETRICAL JOURNAL. BIOMETRISCHE ZEITSCHRIFT</t>
  </si>
  <si>
    <t>Biom J</t>
  </si>
  <si>
    <t>Continues: Biometrische Zeitschrift.</t>
  </si>
  <si>
    <t>15214036</t>
  </si>
  <si>
    <t>03233847</t>
  </si>
  <si>
    <t>Six no. a year, &lt;2004-&gt;</t>
  </si>
  <si>
    <t>Statistics as Topic</t>
  </si>
  <si>
    <t>0370625</t>
  </si>
  <si>
    <t>Biometrics</t>
  </si>
  <si>
    <t>BIOMETRICS</t>
  </si>
  <si>
    <t>15410420</t>
  </si>
  <si>
    <t>0006341X</t>
  </si>
  <si>
    <t>Biometric Society</t>
  </si>
  <si>
    <t>1945</t>
  </si>
  <si>
    <t>101472371</t>
  </si>
  <si>
    <t>Biomolecular NMR assignments</t>
  </si>
  <si>
    <t>BIOMOLECULAR NMR ASSIGNMENTS</t>
  </si>
  <si>
    <t>Biomol NMR Assign</t>
  </si>
  <si>
    <t>1874270X</t>
  </si>
  <si>
    <t>18742718</t>
  </si>
  <si>
    <t>Molecular Biology#Nuclear Medicine</t>
  </si>
  <si>
    <t>9413298</t>
  </si>
  <si>
    <t>Bioorganic &amp; medicinal chemistry</t>
  </si>
  <si>
    <t>BIOORGANIC &amp; MEDICINAL CHEMISTRY</t>
  </si>
  <si>
    <t>Bioorg Med Chem</t>
  </si>
  <si>
    <t>Biochemistry#Chemistry</t>
  </si>
  <si>
    <t>9107377</t>
  </si>
  <si>
    <t>Bioorganic &amp; medicinal chemistry letters</t>
  </si>
  <si>
    <t>BIOORGANIC &amp; MEDICINAL CHEMISTRY LETTERS</t>
  </si>
  <si>
    <t>Bioorg Med Chem Lett</t>
  </si>
  <si>
    <t>Elsevier Science Ltd</t>
  </si>
  <si>
    <t>Semimonthly, 1994-</t>
  </si>
  <si>
    <t>1303703</t>
  </si>
  <si>
    <t>Bioorganic chemistry</t>
  </si>
  <si>
    <t>BIOORGANIC CHEMISTRY</t>
  </si>
  <si>
    <t>Bioorg Chem</t>
  </si>
  <si>
    <t>Bimonthly, &lt;1997-&gt;</t>
  </si>
  <si>
    <t>7804941</t>
  </si>
  <si>
    <t>Bioorganicheskaia khimiia</t>
  </si>
  <si>
    <t>BIOORGANICHESKAIA KHIMIIA</t>
  </si>
  <si>
    <t>Bioorg Khim</t>
  </si>
  <si>
    <t>01323423</t>
  </si>
  <si>
    <t>Nauka</t>
  </si>
  <si>
    <t>7911226</t>
  </si>
  <si>
    <t>Biopharmaceutics &amp; drug disposition</t>
  </si>
  <si>
    <t>BIOPHARMACEUTICS &amp; DRUG DISPOSITION</t>
  </si>
  <si>
    <t>Biopharm Drug Dispos</t>
  </si>
  <si>
    <t>0403171</t>
  </si>
  <si>
    <t>Biophysical chemistry</t>
  </si>
  <si>
    <t>BIOPHYSICAL CHEMISTRY</t>
  </si>
  <si>
    <t>Biophys Chem</t>
  </si>
  <si>
    <t>18 no. a year, 2000-</t>
  </si>
  <si>
    <t>0370626</t>
  </si>
  <si>
    <t>Biophysical journal</t>
  </si>
  <si>
    <t>BIOPHYSICAL JOURNAL</t>
  </si>
  <si>
    <t>Biophys J</t>
  </si>
  <si>
    <t>15420086</t>
  </si>
  <si>
    <t>00063495</t>
  </si>
  <si>
    <t>Twenty-four no. a year 2006-</t>
  </si>
  <si>
    <t>0372525</t>
  </si>
  <si>
    <t>BIOPOLYMERS</t>
  </si>
  <si>
    <t>Absorbed: Biospectroscopy. 2000</t>
  </si>
  <si>
    <t>Twenty four no. a year, 2003-</t>
  </si>
  <si>
    <t>101088505</t>
  </si>
  <si>
    <t>Bioprocess and biosystems engineering</t>
  </si>
  <si>
    <t>BIOPROCESS AND BIOSYSTEMS ENGINEERING</t>
  </si>
  <si>
    <t>Bioprocess Biosyst Eng</t>
  </si>
  <si>
    <t>Continues: Bioprocess engineering (Berlin, Germany).</t>
  </si>
  <si>
    <t>9889523</t>
  </si>
  <si>
    <t>Bioresource technology</t>
  </si>
  <si>
    <t>BIORESOURCE TECHNOLOGY</t>
  </si>
  <si>
    <t>Bioresour Technol</t>
  </si>
  <si>
    <t>Formed by the union of: Biomass (Barking, London, England); and: Biological wastes; and continues the vol. numbering of the latter.</t>
  </si>
  <si>
    <t>Elsevier Applied Science</t>
  </si>
  <si>
    <t>Twenty four issues a year, 2009-</t>
  </si>
  <si>
    <t>0372526</t>
  </si>
  <si>
    <t>BIORHEOLOGY</t>
  </si>
  <si>
    <t>8102797</t>
  </si>
  <si>
    <t>Bioscience reports</t>
  </si>
  <si>
    <t>BIOSCIENCE REPORTS</t>
  </si>
  <si>
    <t>Biosci Rep</t>
  </si>
  <si>
    <t>Kluwer Academic/Plenum Publishing</t>
  </si>
  <si>
    <t>101502754</t>
  </si>
  <si>
    <t>Bioscience trends</t>
  </si>
  <si>
    <t>BIOSCIENCE TRENDS</t>
  </si>
  <si>
    <t>Biosci Trends</t>
  </si>
  <si>
    <t>18817823</t>
  </si>
  <si>
    <t>18817815</t>
  </si>
  <si>
    <t>International Research and Cooperation Association for Bio &amp; Socio-Sciences Advancement</t>
  </si>
  <si>
    <t>9205717</t>
  </si>
  <si>
    <t>Bioscience, biotechnology, and biochemistry</t>
  </si>
  <si>
    <t>BIOSCIENCE, BIOTECHNOLOGY, AND BIOCHEMISTRY</t>
  </si>
  <si>
    <t>Biosci Biotechnol Biochem</t>
  </si>
  <si>
    <t>Continues: Agricultural and biological chemistry.</t>
  </si>
  <si>
    <t>13476947</t>
  </si>
  <si>
    <t>09168451</t>
  </si>
  <si>
    <t>101156085</t>
  </si>
  <si>
    <t>Biosecurity and bioterrorism : biodefense strategy, practice, and science</t>
  </si>
  <si>
    <t>BIOSECURITY AND BIOTERRORISM : BIODEFENSE STRATEGY, PRACTICE, AND SCIENCE</t>
  </si>
  <si>
    <t>Biosecur Bioterror</t>
  </si>
  <si>
    <t>1557850X</t>
  </si>
  <si>
    <t>15387135</t>
  </si>
  <si>
    <t>Disaster Medicine#Military Medicine</t>
  </si>
  <si>
    <t>9001289</t>
  </si>
  <si>
    <t>Biosensors &amp; bioelectronics</t>
  </si>
  <si>
    <t>BIOSENSORS &amp; BIOELECTRONICS</t>
  </si>
  <si>
    <t>Biosens Bioelectron</t>
  </si>
  <si>
    <t>Continues: Biosensors.</t>
  </si>
  <si>
    <t>Elsevier Advanced Technology</t>
  </si>
  <si>
    <t>100897327</t>
  </si>
  <si>
    <t>Biostatistics (Oxford, England)</t>
  </si>
  <si>
    <t>BIOSTATISTICS (OXFORD, ENGLAND)</t>
  </si>
  <si>
    <t>Biostatistics</t>
  </si>
  <si>
    <t>14684357</t>
  </si>
  <si>
    <t>14654644</t>
  </si>
  <si>
    <t>9107378</t>
  </si>
  <si>
    <t>Biotechnic &amp; histochemistry : official publication of the Biological Stain Commission</t>
  </si>
  <si>
    <t>BIOTECHNIC &amp; HISTOCHEMISTRY : OFFICIAL PUBLICATION OF THE BIOLOGICAL STAIN COMMISSION</t>
  </si>
  <si>
    <t>Biotech Histochem</t>
  </si>
  <si>
    <t>Continues: Stain technology.</t>
  </si>
  <si>
    <t>14737760</t>
  </si>
  <si>
    <t>10520295</t>
  </si>
  <si>
    <t>Histocytochemistry#Technology</t>
  </si>
  <si>
    <t>8306785</t>
  </si>
  <si>
    <t>BIOTECHNIQUES</t>
  </si>
  <si>
    <t>Biotechniques</t>
  </si>
  <si>
    <t>Informa Healthcare USA, Inc</t>
  </si>
  <si>
    <t>8510274</t>
  </si>
  <si>
    <t>Biotechnology &amp; genetic engineering reviews</t>
  </si>
  <si>
    <t>BIOTECHNOLOGY &amp; GENETIC ENGINEERING REVIEWS</t>
  </si>
  <si>
    <t>Biotechnol Genet Eng Rev</t>
  </si>
  <si>
    <t>20465556</t>
  </si>
  <si>
    <t>Biomedical Engineering#Biotechnology#Molecular Biology</t>
  </si>
  <si>
    <t>8403708</t>
  </si>
  <si>
    <t>Biotechnology advances</t>
  </si>
  <si>
    <t>BIOTECHNOLOGY ADVANCES</t>
  </si>
  <si>
    <t>Biotechnol Adv</t>
  </si>
  <si>
    <t>18731899</t>
  </si>
  <si>
    <t>07349750</t>
  </si>
  <si>
    <t>8 no. a year, 1999-</t>
  </si>
  <si>
    <t>8609465</t>
  </si>
  <si>
    <t>Biotechnology and applied biochemistry</t>
  </si>
  <si>
    <t>BIOTECHNOLOGY AND APPLIED BIOCHEMISTRY</t>
  </si>
  <si>
    <t>Biotechnol Appl Biochem</t>
  </si>
  <si>
    <t>Continues: Journal of applied biochemistry.</t>
  </si>
  <si>
    <t>7502021</t>
  </si>
  <si>
    <t>Biotechnology and bioengineering</t>
  </si>
  <si>
    <t>BIOTECHNOLOGY AND BIOENGINEERING</t>
  </si>
  <si>
    <t>Biotechnol Bioeng</t>
  </si>
  <si>
    <t>Continues: Journal of biochemical and microbiological technology and engineering.</t>
  </si>
  <si>
    <t>28 no. a year</t>
  </si>
  <si>
    <t>101265833</t>
  </si>
  <si>
    <t>Biotechnology journal</t>
  </si>
  <si>
    <t>BIOTECHNOLOGY JOURNAL</t>
  </si>
  <si>
    <t>Biotechnol J</t>
  </si>
  <si>
    <t>8008051</t>
  </si>
  <si>
    <t>Biotechnology letters</t>
  </si>
  <si>
    <t>BIOTECHNOLOGY LETTERS</t>
  </si>
  <si>
    <t>Biotechnol Lett</t>
  </si>
  <si>
    <t>Absorbed: Biotechnology techniques. 2000</t>
  </si>
  <si>
    <t>15736776</t>
  </si>
  <si>
    <t>01415492</t>
  </si>
  <si>
    <t>Biweekly, &lt;Jan. 2000-&gt;</t>
  </si>
  <si>
    <t>8506292</t>
  </si>
  <si>
    <t>Biotechnology progress</t>
  </si>
  <si>
    <t>BIOTECHNOLOGY PROGRESS</t>
  </si>
  <si>
    <t>Biotechnol Prog</t>
  </si>
  <si>
    <t>15206033</t>
  </si>
  <si>
    <t>87567938</t>
  </si>
  <si>
    <t>Bimonthly, 1990-</t>
  </si>
  <si>
    <t>100883596</t>
  </si>
  <si>
    <t>Bipolar disorders</t>
  </si>
  <si>
    <t>BIPOLAR DISORDERS</t>
  </si>
  <si>
    <t>Bipolar Disord</t>
  </si>
  <si>
    <t>Wiley-Blackwell Munksgaard</t>
  </si>
  <si>
    <t>8302042</t>
  </si>
  <si>
    <t>Birth (Berkeley, Calif.)</t>
  </si>
  <si>
    <t>BIRTH (BERKELEY, CALIF.)</t>
  </si>
  <si>
    <t>Birth</t>
  </si>
  <si>
    <t>Continues: Birth and the family journal.</t>
  </si>
  <si>
    <t>1523536X</t>
  </si>
  <si>
    <t>07307659</t>
  </si>
  <si>
    <t>Obstetrics</t>
  </si>
  <si>
    <t>101155107</t>
  </si>
  <si>
    <t>Birth defects research. Part A, Clinical and molecular teratology</t>
  </si>
  <si>
    <t>BIRTH DEFECTS RESEARCH. PART A, CLINICAL AND MOLECULAR TERATOLOGY</t>
  </si>
  <si>
    <t>Birth Defects Res A Clin Mol Teratol</t>
  </si>
  <si>
    <t>Continues: Teratology.</t>
  </si>
  <si>
    <t>Teratology</t>
  </si>
  <si>
    <t>101155115</t>
  </si>
  <si>
    <t>Birth defects research. Part B, Developmental and reproductive toxicology</t>
  </si>
  <si>
    <t>BIRTH DEFECTS RESEARCH. PART B, DEVELOPMENTAL AND REPRODUCTIVE TOXICOLOGY</t>
  </si>
  <si>
    <t>Birth Defects Res B Dev Reprod Toxicol</t>
  </si>
  <si>
    <t>Continues: Teratogenesis, carcinogenesis, and mutagenesis.</t>
  </si>
  <si>
    <t>Teratology#Toxicology</t>
  </si>
  <si>
    <t>101167665</t>
  </si>
  <si>
    <t>Birth defects research. Part C, Embryo today : reviews</t>
  </si>
  <si>
    <t>BIRTH DEFECTS RESEARCH. PART C, EMBRYO TODAY : REVIEWS</t>
  </si>
  <si>
    <t>Birth Defects Res C Embryo Today</t>
  </si>
  <si>
    <t>Embryology#Teratology</t>
  </si>
  <si>
    <t>100935741</t>
  </si>
  <si>
    <t>BJOG : an international journal of obstetrics and gynaecology</t>
  </si>
  <si>
    <t>BJOG : AN INTERNATIONAL JOURNAL OF OBSTETRICS AND GYNAECOLOGY</t>
  </si>
  <si>
    <t>BJOG</t>
  </si>
  <si>
    <t>Continues: British journal of obstetrics and gynaecology.</t>
  </si>
  <si>
    <t>9011426</t>
  </si>
  <si>
    <t>BJR supplement / BIR</t>
  </si>
  <si>
    <t>BJR SUPPLEMENT / BIR</t>
  </si>
  <si>
    <t>BJR Suppl</t>
  </si>
  <si>
    <t>Continues: British journal of radiology. Supplement. Supplement to: British journal of radiology.</t>
  </si>
  <si>
    <t>09612653</t>
  </si>
  <si>
    <t>British Institute Of Radiology</t>
  </si>
  <si>
    <t>100886721</t>
  </si>
  <si>
    <t>BJU international</t>
  </si>
  <si>
    <t>BJU INTERNATIONAL</t>
  </si>
  <si>
    <t>BJU Int</t>
  </si>
  <si>
    <t>Some issues consist of: European urology update series, formerly issued separately.</t>
  </si>
  <si>
    <t>Blackwell Science</t>
  </si>
  <si>
    <t>Twenty four no. a year, 2008-</t>
  </si>
  <si>
    <t>7603509</t>
  </si>
  <si>
    <t>BLOOD</t>
  </si>
  <si>
    <t>Weekly, except for the last week in December, 2009-</t>
  </si>
  <si>
    <t>9509932</t>
  </si>
  <si>
    <t>Blood cells, molecules &amp; diseases</t>
  </si>
  <si>
    <t>BLOOD CELLS, MOLECULES &amp; DISEASES</t>
  </si>
  <si>
    <t>Blood Cells Mol Dis</t>
  </si>
  <si>
    <t>Continues: Blood cells.</t>
  </si>
  <si>
    <t>9102551</t>
  </si>
  <si>
    <t>Blood coagulation &amp; fibrinolysis : an international journal in haemostasis and thrombosis</t>
  </si>
  <si>
    <t>BLOOD COAGULATION &amp; FIBRINOLYSIS : AN INTERNATIONAL JOURNAL IN HAEMOSTASIS AND THROMBOSIS</t>
  </si>
  <si>
    <t>Blood Coagul Fibrinolysis</t>
  </si>
  <si>
    <t>Lippincott Williams And Wilkins</t>
  </si>
  <si>
    <t>Hematology#Vascular Diseases</t>
  </si>
  <si>
    <t>9301454</t>
  </si>
  <si>
    <t>Blood pressure</t>
  </si>
  <si>
    <t>BLOOD PRESSURE</t>
  </si>
  <si>
    <t>Blood Press</t>
  </si>
  <si>
    <t>Absorbed: Blood pressure. Supplement.</t>
  </si>
  <si>
    <t>9606438</t>
  </si>
  <si>
    <t>Blood pressure monitoring</t>
  </si>
  <si>
    <t>BLOOD PRESSURE MONITORING</t>
  </si>
  <si>
    <t>Blood Press Monit</t>
  </si>
  <si>
    <t>8402040</t>
  </si>
  <si>
    <t>Blood purification</t>
  </si>
  <si>
    <t>BLOOD PURIFICATION</t>
  </si>
  <si>
    <t>Blood Purif</t>
  </si>
  <si>
    <t>S. Karger</t>
  </si>
  <si>
    <t>6 no. a year, 2002-</t>
  </si>
  <si>
    <t>8708558</t>
  </si>
  <si>
    <t>Blood reviews</t>
  </si>
  <si>
    <t>BLOOD REVIEWS</t>
  </si>
  <si>
    <t>Blood Rev</t>
  </si>
  <si>
    <t>101237479</t>
  </si>
  <si>
    <t>Blood transfusion = Trasfusione del sangue</t>
  </si>
  <si>
    <t>BLOOD TRANSFUSION = TRASFUSIONE DEL SANGUE</t>
  </si>
  <si>
    <t>Blood Transfus</t>
  </si>
  <si>
    <t>Continues: Trasfusione del sangue.</t>
  </si>
  <si>
    <t>SIMTI servizi</t>
  </si>
  <si>
    <t>101465334</t>
  </si>
  <si>
    <t>BMB reports</t>
  </si>
  <si>
    <t>BMB REPORTS</t>
  </si>
  <si>
    <t>BMB Rep</t>
  </si>
  <si>
    <t>Continues: Journal of biochemistry and molecular biology.</t>
  </si>
  <si>
    <t>1976670X</t>
  </si>
  <si>
    <t>19766696</t>
  </si>
  <si>
    <t>Korean Society for Biochemistry and Molecular Biology</t>
  </si>
  <si>
    <t>101084098</t>
  </si>
  <si>
    <t>BMC biochemistry</t>
  </si>
  <si>
    <t>BMC BIOCHEMISTRY</t>
  </si>
  <si>
    <t>BMC Biochem</t>
  </si>
  <si>
    <t>100965194</t>
  </si>
  <si>
    <t>BMC bioinformatics</t>
  </si>
  <si>
    <t>BMC BIOINFORMATICS</t>
  </si>
  <si>
    <t>BMC Bioinformatics</t>
  </si>
  <si>
    <t>14712105</t>
  </si>
  <si>
    <t>101190720</t>
  </si>
  <si>
    <t>BMC biology</t>
  </si>
  <si>
    <t>BMC BIOLOGY</t>
  </si>
  <si>
    <t>BMC Biol</t>
  </si>
  <si>
    <t>Absorbed: Journal of biology (London, England : Online).</t>
  </si>
  <si>
    <t>17417007</t>
  </si>
  <si>
    <t>101088663</t>
  </si>
  <si>
    <t>BMC biotechnology</t>
  </si>
  <si>
    <t>BMC BIOTECHNOLOGY</t>
  </si>
  <si>
    <t>BMC Biotechnol</t>
  </si>
  <si>
    <t>100967800</t>
  </si>
  <si>
    <t>BMC cancer</t>
  </si>
  <si>
    <t>BMC CANCER</t>
  </si>
  <si>
    <t>100968539</t>
  </si>
  <si>
    <t>BMC cardiovascular disorders</t>
  </si>
  <si>
    <t>BMC CARDIOVASCULAR DISORDERS</t>
  </si>
  <si>
    <t>BMC Cardiovasc Disord</t>
  </si>
  <si>
    <t>100966972</t>
  </si>
  <si>
    <t>BMC cell biology</t>
  </si>
  <si>
    <t>BMC CELL BIOLOGY</t>
  </si>
  <si>
    <t>BMC Cell Biol</t>
  </si>
  <si>
    <t>101088661</t>
  </si>
  <si>
    <t>BMC complementary and alternative medicine</t>
  </si>
  <si>
    <t>BMC COMPLEMENTARY AND ALTERNATIVE MEDICINE</t>
  </si>
  <si>
    <t>BMC Complement Altern Med</t>
  </si>
  <si>
    <t>100968541</t>
  </si>
  <si>
    <t>BMC dermatology</t>
  </si>
  <si>
    <t>BMC DERMATOLOGY</t>
  </si>
  <si>
    <t>BMC Dermatol</t>
  </si>
  <si>
    <t>100966973</t>
  </si>
  <si>
    <t>BMC developmental biology</t>
  </si>
  <si>
    <t>BMC DEVELOPMENTAL BIOLOGY</t>
  </si>
  <si>
    <t>BMC Dev Biol</t>
  </si>
  <si>
    <t>1471213X</t>
  </si>
  <si>
    <t>Embryology</t>
  </si>
  <si>
    <t>101088674</t>
  </si>
  <si>
    <t>BMC ecology</t>
  </si>
  <si>
    <t>BMC ECOLOGY</t>
  </si>
  <si>
    <t>BMC Ecol</t>
  </si>
  <si>
    <t>14726785</t>
  </si>
  <si>
    <t>100968543</t>
  </si>
  <si>
    <t>BMC emergency medicine</t>
  </si>
  <si>
    <t>BMC EMERGENCY MEDICINE</t>
  </si>
  <si>
    <t>BMC Emerg Med</t>
  </si>
  <si>
    <t>100966975</t>
  </si>
  <si>
    <t>BMC evolutionary biology</t>
  </si>
  <si>
    <t>BMC EVOLUTIONARY BIOLOGY</t>
  </si>
  <si>
    <t>BMC Evol Biol</t>
  </si>
  <si>
    <t>14712148</t>
  </si>
  <si>
    <t>100967792</t>
  </si>
  <si>
    <t>BMC family practice</t>
  </si>
  <si>
    <t>BMC FAMILY PRACTICE</t>
  </si>
  <si>
    <t>BMC Fam Pract</t>
  </si>
  <si>
    <t>14712296</t>
  </si>
  <si>
    <t>100968547</t>
  </si>
  <si>
    <t>BMC gastroenterology</t>
  </si>
  <si>
    <t>BMC GASTROENTEROLOGY</t>
  </si>
  <si>
    <t>BMC Gastroenterol</t>
  </si>
  <si>
    <t>100966978</t>
  </si>
  <si>
    <t>BMC genetics</t>
  </si>
  <si>
    <t>BMC GENETICS</t>
  </si>
  <si>
    <t>BMC Genet</t>
  </si>
  <si>
    <t>100965258</t>
  </si>
  <si>
    <t>BMC genomics</t>
  </si>
  <si>
    <t>BMC GENOMICS</t>
  </si>
  <si>
    <t>100968548</t>
  </si>
  <si>
    <t>BMC geriatrics</t>
  </si>
  <si>
    <t>BMC GERIATRICS</t>
  </si>
  <si>
    <t>BMC Geriatr</t>
  </si>
  <si>
    <t>14712318</t>
  </si>
  <si>
    <t>101088677</t>
  </si>
  <si>
    <t>BMC health services research</t>
  </si>
  <si>
    <t>BMC HEALTH SERVICES RESEARCH</t>
  </si>
  <si>
    <t>BMC Health Serv Res</t>
  </si>
  <si>
    <t>14726963</t>
  </si>
  <si>
    <t>100966980</t>
  </si>
  <si>
    <t>BMC immunology</t>
  </si>
  <si>
    <t>BMC IMMUNOLOGY</t>
  </si>
  <si>
    <t>BMC Immunol</t>
  </si>
  <si>
    <t>100968551</t>
  </si>
  <si>
    <t>BMC infectious diseases</t>
  </si>
  <si>
    <t>BMC INFECTIOUS DISEASES</t>
  </si>
  <si>
    <t>BMC Infect Dis</t>
  </si>
  <si>
    <t>101088678</t>
  </si>
  <si>
    <t>BMC international health and human rights</t>
  </si>
  <si>
    <t>BMC INTERNATIONAL HEALTH AND HUMAN RIGHTS</t>
  </si>
  <si>
    <t>BMC Int Health Hum Rights</t>
  </si>
  <si>
    <t>101088679</t>
  </si>
  <si>
    <t>BMC medical education</t>
  </si>
  <si>
    <t>BMC MEDICAL EDUCATION</t>
  </si>
  <si>
    <t>BMC Med Educ</t>
  </si>
  <si>
    <t>14726920</t>
  </si>
  <si>
    <t>101088680</t>
  </si>
  <si>
    <t>BMC medical ethics</t>
  </si>
  <si>
    <t>BMC MEDICAL ETHICS</t>
  </si>
  <si>
    <t>BMC Med Ethics</t>
  </si>
  <si>
    <t>14726939</t>
  </si>
  <si>
    <t>100968552</t>
  </si>
  <si>
    <t>BMC medical genetics</t>
  </si>
  <si>
    <t>BMC MEDICAL GENETICS</t>
  </si>
  <si>
    <t>BMC Med Genet</t>
  </si>
  <si>
    <t>101319628</t>
  </si>
  <si>
    <t>BMC medical genomics</t>
  </si>
  <si>
    <t>BMC MEDICAL GENOMICS</t>
  </si>
  <si>
    <t>BMC Med Genomics</t>
  </si>
  <si>
    <t>100968553</t>
  </si>
  <si>
    <t>BMC medical imaging</t>
  </si>
  <si>
    <t>BMC MEDICAL IMAGING</t>
  </si>
  <si>
    <t>BMC Med Imaging</t>
  </si>
  <si>
    <t>14712342</t>
  </si>
  <si>
    <t>Diagnostic Imaging</t>
  </si>
  <si>
    <t>101088682</t>
  </si>
  <si>
    <t>BMC medical informatics and decision making</t>
  </si>
  <si>
    <t>BMC MEDICAL INFORMATICS AND DECISION MAKING</t>
  </si>
  <si>
    <t>BMC Med Inform Decis Mak</t>
  </si>
  <si>
    <t>14726947</t>
  </si>
  <si>
    <t>100968545</t>
  </si>
  <si>
    <t>BMC medical research methodology</t>
  </si>
  <si>
    <t>BMC MEDICAL RESEARCH METHODOLOGY</t>
  </si>
  <si>
    <t>BMC Med Res Methodol</t>
  </si>
  <si>
    <t>14712288</t>
  </si>
  <si>
    <t>101190723</t>
  </si>
  <si>
    <t>BMC medicine</t>
  </si>
  <si>
    <t>BMC MEDICINE</t>
  </si>
  <si>
    <t>BMC Med</t>
  </si>
  <si>
    <t>100966981</t>
  </si>
  <si>
    <t>BMC microbiology</t>
  </si>
  <si>
    <t>BMC MICROBIOLOGY</t>
  </si>
  <si>
    <t>BMC Microbiol</t>
  </si>
  <si>
    <t>100966983</t>
  </si>
  <si>
    <t>BMC molecular biology</t>
  </si>
  <si>
    <t>BMC MOLECULAR BIOLOGY</t>
  </si>
  <si>
    <t>BMC Mol Biol</t>
  </si>
  <si>
    <t>100968565</t>
  </si>
  <si>
    <t>BMC musculoskeletal disorders</t>
  </si>
  <si>
    <t>BMC MUSCULOSKELETAL DISORDERS</t>
  </si>
  <si>
    <t>BMC Musculoskelet Disord</t>
  </si>
  <si>
    <t>Orthopedics#Physiology</t>
  </si>
  <si>
    <t>100967793</t>
  </si>
  <si>
    <t>BMC nephrology</t>
  </si>
  <si>
    <t>BMC NEPHROLOGY</t>
  </si>
  <si>
    <t>BMC Nephrol</t>
  </si>
  <si>
    <t>100968555</t>
  </si>
  <si>
    <t>BMC neurology</t>
  </si>
  <si>
    <t>BMC NEUROLOGY</t>
  </si>
  <si>
    <t>BMC Neurol</t>
  </si>
  <si>
    <t>100966986</t>
  </si>
  <si>
    <t>BMC neuroscience</t>
  </si>
  <si>
    <t>BMC NEUROSCIENCE</t>
  </si>
  <si>
    <t>BMC Neurosci</t>
  </si>
  <si>
    <t>100967802</t>
  </si>
  <si>
    <t>BMC ophthalmology</t>
  </si>
  <si>
    <t>BMC OPHTHALMOLOGY</t>
  </si>
  <si>
    <t>BMC Ophthalmol</t>
  </si>
  <si>
    <t>14712415</t>
  </si>
  <si>
    <t>101088684</t>
  </si>
  <si>
    <t>BMC oral health</t>
  </si>
  <si>
    <t>BMC ORAL HEALTH</t>
  </si>
  <si>
    <t>BMC Oral Health</t>
  </si>
  <si>
    <t>14726831</t>
  </si>
  <si>
    <t>100967804</t>
  </si>
  <si>
    <t>BMC pediatrics</t>
  </si>
  <si>
    <t>BMC PEDIATRICS</t>
  </si>
  <si>
    <t>BMC Pediatr</t>
  </si>
  <si>
    <t>101590449</t>
  </si>
  <si>
    <t>BMC pharmacology &amp; toxicology</t>
  </si>
  <si>
    <t>BMC PHARMACOLOGY &amp; TOXICOLOGY</t>
  </si>
  <si>
    <t>BMC Pharmacol Toxicol</t>
  </si>
  <si>
    <t>Formed by the union of: BMC clinical pharmacology; and BMC pharmacology, and continues the numbering of the former.</t>
  </si>
  <si>
    <t>101088687</t>
  </si>
  <si>
    <t>BMC physiology</t>
  </si>
  <si>
    <t>BMC PHYSIOLOGY</t>
  </si>
  <si>
    <t>BMC Physiol</t>
  </si>
  <si>
    <t>14726793</t>
  </si>
  <si>
    <t>100967807</t>
  </si>
  <si>
    <t>BMC plant biology</t>
  </si>
  <si>
    <t>BMC PLANT BIOLOGY</t>
  </si>
  <si>
    <t>BMC Plant Biol</t>
  </si>
  <si>
    <t>14712229</t>
  </si>
  <si>
    <t>100967799</t>
  </si>
  <si>
    <t>BMC pregnancy and childbirth</t>
  </si>
  <si>
    <t>BMC PREGNANCY AND CHILDBIRTH</t>
  </si>
  <si>
    <t>BMC Pregnancy Childbirth</t>
  </si>
  <si>
    <t>100968559</t>
  </si>
  <si>
    <t>BMC psychiatry</t>
  </si>
  <si>
    <t>BMC PSYCHIATRY</t>
  </si>
  <si>
    <t>100968562</t>
  </si>
  <si>
    <t>BMC public health</t>
  </si>
  <si>
    <t>BMC PUBLIC HEALTH</t>
  </si>
  <si>
    <t>BMC Public Health</t>
  </si>
  <si>
    <t>14712458</t>
  </si>
  <si>
    <t>100968563</t>
  </si>
  <si>
    <t>BMC pulmonary medicine</t>
  </si>
  <si>
    <t>BMC PULMONARY MEDICINE</t>
  </si>
  <si>
    <t>BMC Pulm Med</t>
  </si>
  <si>
    <t>101462768</t>
  </si>
  <si>
    <t>BMC research notes</t>
  </si>
  <si>
    <t>BMC RESEARCH NOTES</t>
  </si>
  <si>
    <t>BMC Res Notes</t>
  </si>
  <si>
    <t>17560500</t>
  </si>
  <si>
    <t>Biomed Central</t>
  </si>
  <si>
    <t>101088689</t>
  </si>
  <si>
    <t>BMC structural biology</t>
  </si>
  <si>
    <t>BMC STRUCTURAL BIOLOGY</t>
  </si>
  <si>
    <t>BMC Struct Biol</t>
  </si>
  <si>
    <t>100968567</t>
  </si>
  <si>
    <t>BMC surgery</t>
  </si>
  <si>
    <t>BMC SURGERY</t>
  </si>
  <si>
    <t>BMC Surg</t>
  </si>
  <si>
    <t>14712482</t>
  </si>
  <si>
    <t>101301827</t>
  </si>
  <si>
    <t>BMC systems biology</t>
  </si>
  <si>
    <t>BMC SYSTEMS BIOLOGY</t>
  </si>
  <si>
    <t>BMC Syst Biol</t>
  </si>
  <si>
    <t>17520509</t>
  </si>
  <si>
    <t>Frequency unknown.</t>
  </si>
  <si>
    <t>100968571</t>
  </si>
  <si>
    <t>BMC urology</t>
  </si>
  <si>
    <t>BMC UROLOGY</t>
  </si>
  <si>
    <t>BMC Urol</t>
  </si>
  <si>
    <t>101249759</t>
  </si>
  <si>
    <t>BMC veterinary research</t>
  </si>
  <si>
    <t>BMC VETERINARY RESEARCH</t>
  </si>
  <si>
    <t>BMC Vet Res</t>
  </si>
  <si>
    <t>17466148</t>
  </si>
  <si>
    <t>101088690</t>
  </si>
  <si>
    <t>BMC women's health</t>
  </si>
  <si>
    <t>BMC WOMEN'S HEALTH</t>
  </si>
  <si>
    <t>BMC Womens Health</t>
  </si>
  <si>
    <t>8900488</t>
  </si>
  <si>
    <t>BMJ (Clinical research ed.)</t>
  </si>
  <si>
    <t>BMJ (CLINICAL RESEARCH ED.)</t>
  </si>
  <si>
    <t>Continues: British medical journal (Clinical research ed.).</t>
  </si>
  <si>
    <t>09598138</t>
  </si>
  <si>
    <t>0959535X</t>
  </si>
  <si>
    <t>Weekly</t>
  </si>
  <si>
    <t>101526291</t>
  </si>
  <si>
    <t>BMJ case reports</t>
  </si>
  <si>
    <t>BMJ CASE REPORTS</t>
  </si>
  <si>
    <t>BMJ Case Rep</t>
  </si>
  <si>
    <t>101546984</t>
  </si>
  <si>
    <t>BMJ quality &amp; safety</t>
  </si>
  <si>
    <t>BMJ QUALITY &amp; SAFETY</t>
  </si>
  <si>
    <t>BMJ Qual Saf</t>
  </si>
  <si>
    <t>Continues: Quality &amp; safety in health care.</t>
  </si>
  <si>
    <t>20445423</t>
  </si>
  <si>
    <t>101565123</t>
  </si>
  <si>
    <t>BMJ supportive &amp; palliative care</t>
  </si>
  <si>
    <t>BMJ SUPPORTIVE &amp; PALLIATIVE CARE</t>
  </si>
  <si>
    <t>BMJ Support Palliat Care</t>
  </si>
  <si>
    <t>20454368</t>
  </si>
  <si>
    <t>2045435X</t>
  </si>
  <si>
    <t>Psychophysiology#Therapeutics</t>
  </si>
  <si>
    <t>101222431</t>
  </si>
  <si>
    <t>Body image</t>
  </si>
  <si>
    <t>BODY IMAGE</t>
  </si>
  <si>
    <t>Body Image</t>
  </si>
  <si>
    <t>18736807</t>
  </si>
  <si>
    <t>17401445</t>
  </si>
  <si>
    <t>7505267</t>
  </si>
  <si>
    <t>Boletín de la Asociación Médica de Puerto Rico</t>
  </si>
  <si>
    <t>BOLETIN DE LA ASOCIACION MEDICA DE PUERTO RICO</t>
  </si>
  <si>
    <t>Bol Asoc Med P R</t>
  </si>
  <si>
    <t>00044849</t>
  </si>
  <si>
    <t>Asociacion Medica De Puerto Rico</t>
  </si>
  <si>
    <t>Puerto Rico</t>
  </si>
  <si>
    <t>Monthly &lt;1931-&gt;</t>
  </si>
  <si>
    <t>1903</t>
  </si>
  <si>
    <t>0372534</t>
  </si>
  <si>
    <t>Bollettino chimico farmaceutico</t>
  </si>
  <si>
    <t>BOLLETTINO CHIMICO FARMACEUTICO</t>
  </si>
  <si>
    <t>Boll Chim Farm</t>
  </si>
  <si>
    <t>Continues: Bollettino farmaceutico.</t>
  </si>
  <si>
    <t>00066648</t>
  </si>
  <si>
    <t>Societa Editoriale Farmaceutica</t>
  </si>
  <si>
    <t>Six no. a year 2001-</t>
  </si>
  <si>
    <t>Chemistry#Pharmacology</t>
  </si>
  <si>
    <t>1892</t>
  </si>
  <si>
    <t>8504048</t>
  </si>
  <si>
    <t>BONE</t>
  </si>
  <si>
    <t>Continues: Metabolic bone disease &amp; related research.</t>
  </si>
  <si>
    <t>18732763</t>
  </si>
  <si>
    <t>101599229</t>
  </si>
  <si>
    <t>The bone &amp; joint journal</t>
  </si>
  <si>
    <t>BONE &amp; JOINT JOURNAL</t>
  </si>
  <si>
    <t>Bone Joint J</t>
  </si>
  <si>
    <t>Continues: Journal of bone and joint surgery. British volume.</t>
  </si>
  <si>
    <t>20494394</t>
  </si>
  <si>
    <t>British Editorial Society of Bone &amp; Joint Surgery</t>
  </si>
  <si>
    <t>General Surgery#Orthopedics</t>
  </si>
  <si>
    <t>8702459</t>
  </si>
  <si>
    <t>Bone marrow transplantation</t>
  </si>
  <si>
    <t>BONE MARROW TRANSPLANTATION</t>
  </si>
  <si>
    <t>Bone Marrow Transplant</t>
  </si>
  <si>
    <t>Semimonthly, 1997-</t>
  </si>
  <si>
    <t>101200947</t>
  </si>
  <si>
    <t>Bosnian journal of basic medical sciences / Udruženje basičnih mediciniskih znanosti = Association of Basic Medical Sciences</t>
  </si>
  <si>
    <t>BOSNIAN JOURNAL OF BASIC MEDICAL SCIENCES / UDRUZENJE BASICNIH MEDICINISKIH ZNANOSTI = ASSOCIATION OF BASIC MEDICAL SCIENCES</t>
  </si>
  <si>
    <t>Bosn J Basic Med Sci</t>
  </si>
  <si>
    <t>18404812</t>
  </si>
  <si>
    <t>15128601</t>
  </si>
  <si>
    <t>Udruženje basičnih mediciniskih znanosti FBIH Sarajevo</t>
  </si>
  <si>
    <t>101137600</t>
  </si>
  <si>
    <t>BRACHYTHERAPY</t>
  </si>
  <si>
    <t>Elsevier, 2002-</t>
  </si>
  <si>
    <t>Radiotherapy</t>
  </si>
  <si>
    <t>7909235</t>
  </si>
  <si>
    <t>Brain &amp; development</t>
  </si>
  <si>
    <t>BRAIN &amp; DEVELOPMENT</t>
  </si>
  <si>
    <t>Brain Dev</t>
  </si>
  <si>
    <t>Continues: Brain and development.</t>
  </si>
  <si>
    <t>Brain#Pediatrics</t>
  </si>
  <si>
    <t>0372537</t>
  </si>
  <si>
    <t>Brain : a journal of neurology</t>
  </si>
  <si>
    <t>BRAIN : A JOURNAL OF NEUROLOGY</t>
  </si>
  <si>
    <t>Monthly, 1997-</t>
  </si>
  <si>
    <t>Brain#Neurology</t>
  </si>
  <si>
    <t>1878</t>
  </si>
  <si>
    <t>8218014</t>
  </si>
  <si>
    <t>Brain and cognition</t>
  </si>
  <si>
    <t>BRAIN AND COGNITION</t>
  </si>
  <si>
    <t>Brain Cogn</t>
  </si>
  <si>
    <t>Brain#Psychophysiology</t>
  </si>
  <si>
    <t>7506220</t>
  </si>
  <si>
    <t>Brain and language</t>
  </si>
  <si>
    <t>BRAIN AND LANGUAGE</t>
  </si>
  <si>
    <t>Brain Lang</t>
  </si>
  <si>
    <t>Brain#Psychophysiology#Speech-Language Pathology</t>
  </si>
  <si>
    <t>101299709</t>
  </si>
  <si>
    <t>Brain and nerve = Shinkei kenkyū no shinpo</t>
  </si>
  <si>
    <t>BRAIN AND NERVE = SHINKEI KENKYU NO SHINPO</t>
  </si>
  <si>
    <t>Brain Nerve</t>
  </si>
  <si>
    <t>Merger of: Nō to shinkei, and: Shinkei kenkyū no shimpo.</t>
  </si>
  <si>
    <t>13448129</t>
  </si>
  <si>
    <t>igaku Shoin</t>
  </si>
  <si>
    <t>101550313</t>
  </si>
  <si>
    <t>Brain connectivity</t>
  </si>
  <si>
    <t>BRAIN CONNECTIVITY</t>
  </si>
  <si>
    <t>Brain Connect</t>
  </si>
  <si>
    <t>101300405</t>
  </si>
  <si>
    <t>Brain imaging and behavior</t>
  </si>
  <si>
    <t>BRAIN IMAGING AND BEHAVIOR</t>
  </si>
  <si>
    <t>Brain Imaging Behav</t>
  </si>
  <si>
    <t>Behavioral Sciences#Brain#Diagnostic Imaging</t>
  </si>
  <si>
    <t>8710358</t>
  </si>
  <si>
    <t>Brain injury : [BI]</t>
  </si>
  <si>
    <t>BRAIN INJURY : [BI]</t>
  </si>
  <si>
    <t>Brain Inj</t>
  </si>
  <si>
    <t>Fourteen no. a year, 2005-</t>
  </si>
  <si>
    <t>9216781</t>
  </si>
  <si>
    <t>Brain pathology (Zurich, Switzerland)</t>
  </si>
  <si>
    <t>BRAIN PATHOLOGY (ZURICH, SWITZERLAND)</t>
  </si>
  <si>
    <t>Brain Pathol</t>
  </si>
  <si>
    <t>International Society of Neuropathology</t>
  </si>
  <si>
    <t>Brain#Pathology</t>
  </si>
  <si>
    <t>0045503</t>
  </si>
  <si>
    <t>Brain research</t>
  </si>
  <si>
    <t>BRAIN RESEARCH</t>
  </si>
  <si>
    <t>Brain Res</t>
  </si>
  <si>
    <t>Absorbed: Brain research. Cognitive brain research. 2006 Brain research. Brain research protocols. 2006 Brain research. Molecular brain research. 2006 Brain research. Developmental brain research. 2006 Continued in part by: Brain research. Cognitive brain research.</t>
  </si>
  <si>
    <t>Sixty no. a year, &lt;2010-&gt;</t>
  </si>
  <si>
    <t>7605818</t>
  </si>
  <si>
    <t>Brain research bulletin</t>
  </si>
  <si>
    <t>BRAIN RESEARCH BULLETIN</t>
  </si>
  <si>
    <t>Brain Res Bull</t>
  </si>
  <si>
    <t>101465726</t>
  </si>
  <si>
    <t>Brain stimulation</t>
  </si>
  <si>
    <t>BRAIN STIMULATION</t>
  </si>
  <si>
    <t>Brain Stimul</t>
  </si>
  <si>
    <t>101282001</t>
  </si>
  <si>
    <t>Brain structure &amp; function</t>
  </si>
  <si>
    <t>BRAIN STRUCTURE &amp; FUNCTION</t>
  </si>
  <si>
    <t>Brain Struct Funct</t>
  </si>
  <si>
    <t>Continues: Anatomy and embryology.</t>
  </si>
  <si>
    <t>Unknown</t>
  </si>
  <si>
    <t>8903034</t>
  </si>
  <si>
    <t>Brain topography</t>
  </si>
  <si>
    <t>BRAIN TOPOGRAPHY</t>
  </si>
  <si>
    <t>Brain Topogr</t>
  </si>
  <si>
    <t>9716507</t>
  </si>
  <si>
    <t>Brain tumor pathology</t>
  </si>
  <si>
    <t>BRAIN TUMOR PATHOLOGY</t>
  </si>
  <si>
    <t>Brain Tumor Pathol</t>
  </si>
  <si>
    <t>Continues: Nōshuyō byōri.</t>
  </si>
  <si>
    <t>Springer-Verlag Tokyo</t>
  </si>
  <si>
    <t>Four no. a year, 2011-</t>
  </si>
  <si>
    <t>Brain#Neoplasms#Pathology</t>
  </si>
  <si>
    <t>0151620</t>
  </si>
  <si>
    <t>Brain, behavior and evolution</t>
  </si>
  <si>
    <t>BRAIN, BEHAVIOR AND EVOLUTION</t>
  </si>
  <si>
    <t>Brain Behav Evol</t>
  </si>
  <si>
    <t>14219743</t>
  </si>
  <si>
    <t>00068977</t>
  </si>
  <si>
    <t>8 no. a year, 2003-</t>
  </si>
  <si>
    <t>Behavioral Sciences#Biology#Brain</t>
  </si>
  <si>
    <t>8800478</t>
  </si>
  <si>
    <t>Brain, behavior, and immunity</t>
  </si>
  <si>
    <t>BRAIN, BEHAVIOR, AND IMMUNITY</t>
  </si>
  <si>
    <t>Brain Behav Immun</t>
  </si>
  <si>
    <t>Allergy and Immunology#Brain#Psychophysiology</t>
  </si>
  <si>
    <t>0065324</t>
  </si>
  <si>
    <t>Bratislavské lekárske listy</t>
  </si>
  <si>
    <t>BRATISLAVSKE LEKARSKE LISTY</t>
  </si>
  <si>
    <t>Bratisl Lek Listy</t>
  </si>
  <si>
    <t>00069248</t>
  </si>
  <si>
    <t>School of Medicine, Comenius University</t>
  </si>
  <si>
    <t>9214652</t>
  </si>
  <si>
    <t>Brazilian dental journal</t>
  </si>
  <si>
    <t>BRAZILIAN DENTAL JOURNAL</t>
  </si>
  <si>
    <t>Braz Dent J</t>
  </si>
  <si>
    <t>18064760</t>
  </si>
  <si>
    <t>01036440</t>
  </si>
  <si>
    <t>Dental Foundation of Ribeirão Preto</t>
  </si>
  <si>
    <t>Three no. a year, &lt;2001-&gt;</t>
  </si>
  <si>
    <t>101624623</t>
  </si>
  <si>
    <t>Brazilian journal of anesthesiology (Elsevier)</t>
  </si>
  <si>
    <t>BRAZILIAN JOURNAL OF ANESTHESIOLOGY (ELSEVIER)</t>
  </si>
  <si>
    <t>Braz J Anesthesiol</t>
  </si>
  <si>
    <t>01040014</t>
  </si>
  <si>
    <t>101129542</t>
  </si>
  <si>
    <t>Brazilian journal of biology = Revista brasleira de biologia</t>
  </si>
  <si>
    <t>BRAZILIAN JOURNAL OF BIOLOGY = REVISTA BRASLEIRA DE BIOLOGIA</t>
  </si>
  <si>
    <t>Braz J Biol</t>
  </si>
  <si>
    <t>Continues: Revista Brasileira de biologia.</t>
  </si>
  <si>
    <t>16784375</t>
  </si>
  <si>
    <t>15196984</t>
  </si>
  <si>
    <t>International Institute of Ecology</t>
  </si>
  <si>
    <t>9812937</t>
  </si>
  <si>
    <t>The Brazilian journal of infectious diseases : an official publication of the Brazilian Society of Infectious Diseases</t>
  </si>
  <si>
    <t>BRAZILIAN JOURNAL OF INFECTIOUS DISEASES : AN OFFICIAL PUBLICATION OF THE BRAZILIAN SOCIETY OF INFECTIOUS DISEASES</t>
  </si>
  <si>
    <t>Braz J Infect Dis</t>
  </si>
  <si>
    <t>Elsevier Editora</t>
  </si>
  <si>
    <t>8112917</t>
  </si>
  <si>
    <t>Brazilian journal of medical and biological research = Revista brasileira de pesquisas médicas e biológicas / Sociedade Brasileira de Biofísica ... [et al.]</t>
  </si>
  <si>
    <t>BRAZILIAN JOURNAL OF MEDICAL AND BIOLOGICAL RESEARCH = REVISTA BRASILEIRA DE PESQUISAS MEDICAS E BIOLOGICAS / SOCIEDADE BRASILEIRA DE BIOFISICA ... [ET AL.]</t>
  </si>
  <si>
    <t>Braz J Med Biol Res</t>
  </si>
  <si>
    <t>Continues: Revista brasileira de pesquisas médicas e biológicas.</t>
  </si>
  <si>
    <t>1414431X</t>
  </si>
  <si>
    <t>Associação Brasileira de Divulgação Científica</t>
  </si>
  <si>
    <t>101095924</t>
  </si>
  <si>
    <t>Brazilian journal of microbiology : [publication of the Brazilian Society for Microbiology]</t>
  </si>
  <si>
    <t>BRAZILIAN JOURNAL OF MICROBIOLOGY : [PUBLICATION OF THE BRAZILIAN SOCIETY FOR MICROBIOLOGY]</t>
  </si>
  <si>
    <t>Braz J Microbiol</t>
  </si>
  <si>
    <t>Continues: Revista de microbiologia.</t>
  </si>
  <si>
    <t>16784405</t>
  </si>
  <si>
    <t>15178382</t>
  </si>
  <si>
    <t>Sociedade Brasileira de Microbiologia</t>
  </si>
  <si>
    <t>199u</t>
  </si>
  <si>
    <t>101207337</t>
  </si>
  <si>
    <t>Brazilian journal of otorhinolaryngology</t>
  </si>
  <si>
    <t>BRAZILIAN JOURNAL OF OTORHINOLARYNGOLOGY</t>
  </si>
  <si>
    <t>Braz J Otorhinolaryngol</t>
  </si>
  <si>
    <t>18088686</t>
  </si>
  <si>
    <t>18088694</t>
  </si>
  <si>
    <t>E.N.T. Brazilian Society</t>
  </si>
  <si>
    <t>101615124</t>
  </si>
  <si>
    <t>Brazilian journal of physical therapy</t>
  </si>
  <si>
    <t>BRAZILIAN JOURNAL OF PHYSICAL THERAPY</t>
  </si>
  <si>
    <t>Braz J Phys Ther</t>
  </si>
  <si>
    <t>Continues: Revista brasileira de fisioterapia.</t>
  </si>
  <si>
    <t>18099246</t>
  </si>
  <si>
    <t>14133555</t>
  </si>
  <si>
    <t>101307187</t>
  </si>
  <si>
    <t>Brazilian oral research</t>
  </si>
  <si>
    <t>BRAZILIAN ORAL RESEARCH</t>
  </si>
  <si>
    <t>Braz Oral Res</t>
  </si>
  <si>
    <t>Continues: Pesquisa odontológica brasileira.</t>
  </si>
  <si>
    <t>18073107</t>
  </si>
  <si>
    <t>18068324</t>
  </si>
  <si>
    <t>Sociedade Brasileira de Pesquisa Odontológica</t>
  </si>
  <si>
    <t>9213011</t>
  </si>
  <si>
    <t>Breast (Edinburgh, Scotland)</t>
  </si>
  <si>
    <t>BREAST (EDINBURGH, SCOTLAND)</t>
  </si>
  <si>
    <t>Endocrinology#Neoplasms</t>
  </si>
  <si>
    <t>100888201</t>
  </si>
  <si>
    <t>Breast cancer (Tokyo, Japan)</t>
  </si>
  <si>
    <t>BREAST CANCER (TOKYO, JAPAN)</t>
  </si>
  <si>
    <t>Maruzen Co.</t>
  </si>
  <si>
    <t>100927353</t>
  </si>
  <si>
    <t>Breast cancer research : BCR</t>
  </si>
  <si>
    <t>BREAST CANCER RESEARCH : BCR</t>
  </si>
  <si>
    <t>Breast Cancer Res</t>
  </si>
  <si>
    <t>BioMed Central Ltd</t>
  </si>
  <si>
    <t>8111104</t>
  </si>
  <si>
    <t>Breast cancer research and treatment</t>
  </si>
  <si>
    <t>BREAST CANCER RESEARCH AND TREATMENT</t>
  </si>
  <si>
    <t>Breast Cancer Res Treat</t>
  </si>
  <si>
    <t>8801277</t>
  </si>
  <si>
    <t>Breast disease</t>
  </si>
  <si>
    <t>BREAST DISEASE</t>
  </si>
  <si>
    <t>Breast Dis</t>
  </si>
  <si>
    <t>Three no. a year, 2004-</t>
  </si>
  <si>
    <t>Gynecology</t>
  </si>
  <si>
    <t>9505539</t>
  </si>
  <si>
    <t>The breast journal</t>
  </si>
  <si>
    <t>BREAST JOURNAL</t>
  </si>
  <si>
    <t>Breast J</t>
  </si>
  <si>
    <t>101260777</t>
  </si>
  <si>
    <t>Breastfeeding medicine : the official journal of the Academy of Breastfeeding Medicine</t>
  </si>
  <si>
    <t>BREASTFEEDING MEDICINE : THE OFFICIAL JOURNAL OF THE ACADEMY OF BREASTFEEDING MEDICINE</t>
  </si>
  <si>
    <t>Breastfeed Med</t>
  </si>
  <si>
    <t>9616903</t>
  </si>
  <si>
    <t>Breastfeeding review : professional publication of the Nursing Mothers' Association of Australia</t>
  </si>
  <si>
    <t>BREASTFEEDING REVIEW : PROFESSIONAL PUBLICATION OF THE NURSING MOTHERS' ASSOCIATION OF AUSTRALIA</t>
  </si>
  <si>
    <t>Breastfeed Rev</t>
  </si>
  <si>
    <t>07292759</t>
  </si>
  <si>
    <t>Nursing Mothers' Association Of Australia</t>
  </si>
  <si>
    <t>Three times a year, 1999-</t>
  </si>
  <si>
    <t>100912837</t>
  </si>
  <si>
    <t>Briefings in bioinformatics</t>
  </si>
  <si>
    <t>BRIEFINGS IN BIOINFORMATICS</t>
  </si>
  <si>
    <t>Brief Bioinform</t>
  </si>
  <si>
    <t>14774054</t>
  </si>
  <si>
    <t>14675463</t>
  </si>
  <si>
    <t>H. Stewart Publications</t>
  </si>
  <si>
    <t>101528229</t>
  </si>
  <si>
    <t>Briefings in functional genomics</t>
  </si>
  <si>
    <t>BRIEFINGS IN FUNCTIONAL GENOMICS</t>
  </si>
  <si>
    <t>Brief Funct Genomics</t>
  </si>
  <si>
    <t>Continues: Briefings in functional genomics &amp; proteomics.</t>
  </si>
  <si>
    <t>Six issues per year</t>
  </si>
  <si>
    <t>7513219</t>
  </si>
  <si>
    <t>British dental journal</t>
  </si>
  <si>
    <t>BRITISH DENTAL JOURNAL</t>
  </si>
  <si>
    <t>Br Dent J</t>
  </si>
  <si>
    <t>Absorbed Mouth mirror and Dental gazette in 1950, and Dental magazine in Oct. 1970. Issue for July 10, 1993 has supplement: BDA occasional paper.</t>
  </si>
  <si>
    <t>14765373</t>
  </si>
  <si>
    <t>00070610</t>
  </si>
  <si>
    <t>British Dental Journal</t>
  </si>
  <si>
    <t>Semimonthly, 1999-</t>
  </si>
  <si>
    <t>0144554</t>
  </si>
  <si>
    <t>British journal for the history of science</t>
  </si>
  <si>
    <t>BRITISH JOURNAL FOR THE HISTORY OF SCIENCE</t>
  </si>
  <si>
    <t>Br J Hist Sci</t>
  </si>
  <si>
    <t>1474001X</t>
  </si>
  <si>
    <t>00070874</t>
  </si>
  <si>
    <t>Four no. a year, 1987-</t>
  </si>
  <si>
    <t>0372541</t>
  </si>
  <si>
    <t>British journal of anaesthesia</t>
  </si>
  <si>
    <t>BRITISH JOURNAL OF ANAESTHESIA</t>
  </si>
  <si>
    <t>Br J Anaesth</t>
  </si>
  <si>
    <t>9309208</t>
  </si>
  <si>
    <t>British journal of biomedical science</t>
  </si>
  <si>
    <t>BRITISH JOURNAL OF BIOMEDICAL SCIENCE</t>
  </si>
  <si>
    <t>Br J Biomed Sci</t>
  </si>
  <si>
    <t>Absorbed: Journal of biomedical sciences. Continues: Medical laboratory sciences.</t>
  </si>
  <si>
    <t>Royal Society Of Medicine Press On Behalf Of The Institute Of Biomedical Science And The Academy Of Medical Laboratory Science</t>
  </si>
  <si>
    <t>Biology#Clinical Laboratory Techniques#Technology</t>
  </si>
  <si>
    <t>0370635</t>
  </si>
  <si>
    <t>British journal of cancer</t>
  </si>
  <si>
    <t>BRITISH JOURNAL OF CANCER</t>
  </si>
  <si>
    <t>Br J Cancer</t>
  </si>
  <si>
    <t>Nature Publishing Group on behalf of Cancer Research UK</t>
  </si>
  <si>
    <t>7503323</t>
  </si>
  <si>
    <t>British journal of clinical pharmacology</t>
  </si>
  <si>
    <t>BRITISH JOURNAL OF CLINICAL PHARMACOLOGY</t>
  </si>
  <si>
    <t>Br J Clin Pharmacol</t>
  </si>
  <si>
    <t>8105533</t>
  </si>
  <si>
    <t>The British journal of clinical psychology / the British Psychological Society</t>
  </si>
  <si>
    <t>BRITISH JOURNAL OF CLINICAL PSYCHOLOGY / THE BRITISH PSYCHOLOGICAL SOCIETY</t>
  </si>
  <si>
    <t>Br J Clin Psychol</t>
  </si>
  <si>
    <t>Continues in part: British journal of social and clinical psychology. Published with section: British journal of health psychology, 1992-1995; section published separately, 1996-</t>
  </si>
  <si>
    <t>01446657</t>
  </si>
  <si>
    <t>9815827</t>
  </si>
  <si>
    <t>British journal of community nursing</t>
  </si>
  <si>
    <t>BRITISH JOURNAL OF COMMUNITY NURSING</t>
  </si>
  <si>
    <t>Br J Community Nurs</t>
  </si>
  <si>
    <t>Continues: British journal of community health nursing.</t>
  </si>
  <si>
    <t>14624753</t>
  </si>
  <si>
    <t>MA Healthcare Ltd</t>
  </si>
  <si>
    <t>Sixteen no. a year, 2004-</t>
  </si>
  <si>
    <t>0004041</t>
  </si>
  <si>
    <t>The British journal of dermatology</t>
  </si>
  <si>
    <t>BRITISH JOURNAL OF DERMATOLOGY</t>
  </si>
  <si>
    <t>Br J Dermatol</t>
  </si>
  <si>
    <t>Continues: British journal of dermatology and syphilis.</t>
  </si>
  <si>
    <t>Blackwell Scientific Publications</t>
  </si>
  <si>
    <t>8308022</t>
  </si>
  <si>
    <t>The British journal of developmental psychology</t>
  </si>
  <si>
    <t>BRITISH JOURNAL OF DEVELOPMENTAL PSYCHOLOGY</t>
  </si>
  <si>
    <t>Br J Dev Psychol</t>
  </si>
  <si>
    <t>2044835X</t>
  </si>
  <si>
    <t>0261510X</t>
  </si>
  <si>
    <t>Pediatrics#Psychology</t>
  </si>
  <si>
    <t>0370636</t>
  </si>
  <si>
    <t>The British journal of educational psychology</t>
  </si>
  <si>
    <t>BRITISH JOURNAL OF EDUCATIONAL PSYCHOLOGY</t>
  </si>
  <si>
    <t>Br J Educ Psychol</t>
  </si>
  <si>
    <t>Supersedes Forum of education.</t>
  </si>
  <si>
    <t>20448279</t>
  </si>
  <si>
    <t>00070998</t>
  </si>
  <si>
    <t>Four no. a year, 1995-</t>
  </si>
  <si>
    <t>Education#Psychology</t>
  </si>
  <si>
    <t>9005323</t>
  </si>
  <si>
    <t>The British journal of general practice : the journal of the Royal College of General Practitioners</t>
  </si>
  <si>
    <t>BRITISH JOURNAL OF GENERAL PRACTICE : THE JOURNAL OF THE ROYAL COLLEGE OF GENERAL PRACTITIONERS</t>
  </si>
  <si>
    <t>Br J Gen Pract</t>
  </si>
  <si>
    <t>Continues: Journal of the Royal College of General Practitioners.</t>
  </si>
  <si>
    <t>14785242</t>
  </si>
  <si>
    <t>0372544</t>
  </si>
  <si>
    <t>British journal of haematology</t>
  </si>
  <si>
    <t>BRITISH JOURNAL OF HAEMATOLOGY</t>
  </si>
  <si>
    <t>Br J Haematol</t>
  </si>
  <si>
    <t>Twenty three times a year, 2003-</t>
  </si>
  <si>
    <t>9605409</t>
  </si>
  <si>
    <t>British journal of health psychology</t>
  </si>
  <si>
    <t>BRITISH JOURNAL OF HEALTH PSYCHOLOGY</t>
  </si>
  <si>
    <t>Br J Health Psychol</t>
  </si>
  <si>
    <t>Issued as a section of: British journal of clinical psychology, 1992-1995.</t>
  </si>
  <si>
    <t>20448287</t>
  </si>
  <si>
    <t>1359107X</t>
  </si>
  <si>
    <t>101257109</t>
  </si>
  <si>
    <t>British journal of hospital medicine (London, England : 2005)</t>
  </si>
  <si>
    <t>BRITISH JOURNAL OF HOSPITAL MEDICINE (LONDON, ENGLAND : 2005)</t>
  </si>
  <si>
    <t>Br J Hosp Med (Lond)</t>
  </si>
  <si>
    <t>Continues: Hospital medicine (London, England : 1998).</t>
  </si>
  <si>
    <t>17508460</t>
  </si>
  <si>
    <t>MA Healthcare</t>
  </si>
  <si>
    <t>Hospitals#Medicine</t>
  </si>
  <si>
    <t>0004047</t>
  </si>
  <si>
    <t>The British journal of mathematical and statistical psychology</t>
  </si>
  <si>
    <t>BRITISH JOURNAL OF MATHEMATICAL AND STATISTICAL PSYCHOLOGY</t>
  </si>
  <si>
    <t>Br J Math Stat Psychol</t>
  </si>
  <si>
    <t>Continues: British journal of statistical psychology.</t>
  </si>
  <si>
    <t>20448317</t>
  </si>
  <si>
    <t>00071102</t>
  </si>
  <si>
    <t>Three no. a year, 2009-</t>
  </si>
  <si>
    <t>Psychology#Statistics as Topic</t>
  </si>
  <si>
    <t>8800054</t>
  </si>
  <si>
    <t>British journal of neurosurgery</t>
  </si>
  <si>
    <t>BRITISH JOURNAL OF NEUROSURGERY</t>
  </si>
  <si>
    <t>Br J Neurosurg</t>
  </si>
  <si>
    <t>9212059</t>
  </si>
  <si>
    <t>British journal of nursing (Mark Allen Publishing)</t>
  </si>
  <si>
    <t>BRITISH JOURNAL OF NURSING (MARK ALLEN PUBLISHING)</t>
  </si>
  <si>
    <t>Br J Nurs</t>
  </si>
  <si>
    <t>Absorbed: Surgical nurse.</t>
  </si>
  <si>
    <t>09660461</t>
  </si>
  <si>
    <t>Twenty two no. a year</t>
  </si>
  <si>
    <t>0372547</t>
  </si>
  <si>
    <t>The British journal of nutrition</t>
  </si>
  <si>
    <t>BRITISH JOURNAL OF NUTRITION</t>
  </si>
  <si>
    <t>Br J Nutr</t>
  </si>
  <si>
    <t>Published on behalf of the Nutrition Society by CABI Publishing</t>
  </si>
  <si>
    <t>Twenty-four no. a year, 2009-</t>
  </si>
  <si>
    <t>0421041</t>
  </si>
  <si>
    <t>The British journal of ophthalmology</t>
  </si>
  <si>
    <t>BRITISH JOURNAL OF OPHTHALMOLOGY</t>
  </si>
  <si>
    <t>Br J Ophthalmol</t>
  </si>
  <si>
    <t>Formed by the union of: Ophthalmoscope, Ophthalmic review, and Royal London Ophthalmic Hospital reports.</t>
  </si>
  <si>
    <t>1917</t>
  </si>
  <si>
    <t>8405235</t>
  </si>
  <si>
    <t>The British journal of oral &amp; maxillofacial surgery</t>
  </si>
  <si>
    <t>BRITISH JOURNAL OF ORAL &amp; MAXILLOFACIAL SURGERY</t>
  </si>
  <si>
    <t>Br J Oral Maxillofac Surg</t>
  </si>
  <si>
    <t>Continues: The British journal of oral surgery.</t>
  </si>
  <si>
    <t>Scotland</t>
  </si>
  <si>
    <t>7502536</t>
  </si>
  <si>
    <t>British journal of pharmacology</t>
  </si>
  <si>
    <t>BRITISH JOURNAL OF PHARMACOLOGY</t>
  </si>
  <si>
    <t>Br J Pharmacol</t>
  </si>
  <si>
    <t>Continues: British journal of pharmacology and chemotherapy.</t>
  </si>
  <si>
    <t>0342367</t>
  </si>
  <si>
    <t>The British journal of psychiatry : the journal of mental science</t>
  </si>
  <si>
    <t>BRITISH JOURNAL OF PSYCHIATRY : THE JOURNAL OF MENTAL SCIENCE</t>
  </si>
  <si>
    <t>Br J Psychiatry</t>
  </si>
  <si>
    <t>Royal College Of Psychiatrists</t>
  </si>
  <si>
    <t>9001294</t>
  </si>
  <si>
    <t>The British journal of psychiatry. Supplement</t>
  </si>
  <si>
    <t>BRITISH JOURNAL OF PSYCHIATRY. SUPPLEMENT</t>
  </si>
  <si>
    <t>Br J Psychiatry Suppl</t>
  </si>
  <si>
    <t>09605371</t>
  </si>
  <si>
    <t>0373124</t>
  </si>
  <si>
    <t>British journal of psychology (London, England : 1953)</t>
  </si>
  <si>
    <t>BRITISH JOURNAL OF PSYCHOLOGY (LONDON, ENGLAND : 1953)</t>
  </si>
  <si>
    <t>Br J Psychol</t>
  </si>
  <si>
    <t>Continues: British journal of psychology. General section.</t>
  </si>
  <si>
    <t>00071269</t>
  </si>
  <si>
    <t>0373125</t>
  </si>
  <si>
    <t>The British journal of radiology</t>
  </si>
  <si>
    <t>BRITISH JOURNAL OF RADIOLOGY</t>
  </si>
  <si>
    <t>Br J Radiol</t>
  </si>
  <si>
    <t>Has supplement: British journal of radiology. Supplement, 1947-1988; BJR supplement, 1989- Formed by the union of the British journal of radiology (B. I. R. section) and the British journal of radiology (Röntgen Society section).</t>
  </si>
  <si>
    <t>1748880X</t>
  </si>
  <si>
    <t>British Institute of Radiology.</t>
  </si>
  <si>
    <t>1928</t>
  </si>
  <si>
    <t>8105534</t>
  </si>
  <si>
    <t>The British journal of social psychology / the British Psychological Society</t>
  </si>
  <si>
    <t>BRITISH JOURNAL OF SOCIAL PSYCHOLOGY / THE BRITISH PSYCHOLOGICAL SOCIETY</t>
  </si>
  <si>
    <t>Br J Soc Psychol</t>
  </si>
  <si>
    <t>Continues in part: the British journal of social and clinical psychology.</t>
  </si>
  <si>
    <t>20448309</t>
  </si>
  <si>
    <t>01446665</t>
  </si>
  <si>
    <t>0373126</t>
  </si>
  <si>
    <t>The British journal of sociology</t>
  </si>
  <si>
    <t>BRITISH JOURNAL OF SOCIOLOGY</t>
  </si>
  <si>
    <t>Br J Sociol</t>
  </si>
  <si>
    <t>14684446</t>
  </si>
  <si>
    <t>00071315</t>
  </si>
  <si>
    <t>published by Wiley-Blackwell on behalf of the London School of Economics and Political Science</t>
  </si>
  <si>
    <t>Social Sciences</t>
  </si>
  <si>
    <t>0432520</t>
  </si>
  <si>
    <t>British journal of sports medicine</t>
  </si>
  <si>
    <t>BRITISH JOURNAL OF SPORTS MEDICINE</t>
  </si>
  <si>
    <t>Br J Sports Med</t>
  </si>
  <si>
    <t>Continues: Bulletin - British Association of Sport and Medicine.</t>
  </si>
  <si>
    <t>14730480</t>
  </si>
  <si>
    <t>03063674</t>
  </si>
  <si>
    <t>0372553</t>
  </si>
  <si>
    <t>The British journal of surgery</t>
  </si>
  <si>
    <t>BRITISH JOURNAL OF SURGERY</t>
  </si>
  <si>
    <t>Br J Surg</t>
  </si>
  <si>
    <t>Absorbed: European journal of surgery. 2003 Swiss surgery. Supplement. Swiss surgery. European journal of surgery. Supplement.</t>
  </si>
  <si>
    <t>13652168</t>
  </si>
  <si>
    <t>00071323</t>
  </si>
  <si>
    <t>1913</t>
  </si>
  <si>
    <t>0376542</t>
  </si>
  <si>
    <t>British medical bulletin</t>
  </si>
  <si>
    <t>BRITISH MEDICAL BULLETIN</t>
  </si>
  <si>
    <t>Br Med Bull</t>
  </si>
  <si>
    <t>Four no. a year, 1983-</t>
  </si>
  <si>
    <t>15740290R</t>
  </si>
  <si>
    <t>British poultry science</t>
  </si>
  <si>
    <t>BRITISH POULTRY SCIENCE</t>
  </si>
  <si>
    <t>Br Poult Sci</t>
  </si>
  <si>
    <t>14661799</t>
  </si>
  <si>
    <t>00071668</t>
  </si>
  <si>
    <t>Bimonthly, 2004-</t>
  </si>
  <si>
    <t>7505306</t>
  </si>
  <si>
    <t>Bulletin - Cercle Benelux d'histoire de la pharmacie</t>
  </si>
  <si>
    <t>BULLETIN - CERCLE BENELUX D'HISTOIRE DE LA PHARMACIE</t>
  </si>
  <si>
    <t>Bull Cercle Benelux Hist Pharm</t>
  </si>
  <si>
    <t>13707515</t>
  </si>
  <si>
    <t>Cercle Benelux d'histoire de la pharmacie</t>
  </si>
  <si>
    <t>History of Medicine#Pharmacy</t>
  </si>
  <si>
    <t>7505353</t>
  </si>
  <si>
    <t>Bulletin de la Société belge d'ophtalmologie</t>
  </si>
  <si>
    <t>BULLETIN DE LA SOCIETE BELGE D'OPHTALMOLOGIE</t>
  </si>
  <si>
    <t>Bull Soc Belge Ophtalmol</t>
  </si>
  <si>
    <t>00810746</t>
  </si>
  <si>
    <t>Société belge d'ophtalmologie</t>
  </si>
  <si>
    <t>Irregular, 2011-</t>
  </si>
  <si>
    <t>1896</t>
  </si>
  <si>
    <t>9212564</t>
  </si>
  <si>
    <t>Bulletin de la Société de pathologie exotique (1990)</t>
  </si>
  <si>
    <t>BULLETIN DE LA SOCIETE DE PATHOLOGIE EXOTIQUE (1990)</t>
  </si>
  <si>
    <t>Bull Soc Pathol Exot</t>
  </si>
  <si>
    <t>Continues: Bulletin de la Société de pathologie exotique et de ses filiales.</t>
  </si>
  <si>
    <t>00379085</t>
  </si>
  <si>
    <t>7503402</t>
  </si>
  <si>
    <t>Bulletin de la Société des sciences médicales du Grand-Duché de Luxembourg</t>
  </si>
  <si>
    <t>BULLETIN DE LA SOCIETE DES SCIENCES MEDICALES DU GRAND-DUCHE DE LUXEMBOURG</t>
  </si>
  <si>
    <t>Bull Soc Sci Med Grand Duche Luxemb</t>
  </si>
  <si>
    <t>00379247</t>
  </si>
  <si>
    <t>Societe Des Sciences Medicales Du Grand Duche De Luxembourg</t>
  </si>
  <si>
    <t>Luxembourg</t>
  </si>
  <si>
    <t>1864</t>
  </si>
  <si>
    <t>7503383</t>
  </si>
  <si>
    <t>Bulletin de l'Académie nationale de médecine</t>
  </si>
  <si>
    <t>BULLETIN DE L'ACADEMIE NATIONALE DE MEDECINE</t>
  </si>
  <si>
    <t>Bull Acad Natl Med</t>
  </si>
  <si>
    <t>Continues: Bulletin de l'Academie de médecine.</t>
  </si>
  <si>
    <t>00014079</t>
  </si>
  <si>
    <t>0072416</t>
  </si>
  <si>
    <t>Bulletin du cancer</t>
  </si>
  <si>
    <t>BULLETIN DU CANCER</t>
  </si>
  <si>
    <t>Bull Cancer</t>
  </si>
  <si>
    <t>Continues: Bulletin of the Association française pour l'étude du cancer. Absorbed in Apr. 2004: Electronic journal of oncology. Continued in part by: Bulletin du cancer. Radiothérapie.</t>
  </si>
  <si>
    <t>Monthly, 1990-</t>
  </si>
  <si>
    <t>7801698</t>
  </si>
  <si>
    <t>Bulletin du Groupèment international pour la recherche scientifique en stomatologie &amp; odontologie</t>
  </si>
  <si>
    <t>BULLETIN DU GROUPEMENT INTERNATIONAL POUR LA RECHERCHE SCIENTIFIQUE EN STOMATOLOGIE &amp; ODONTOLOGIE</t>
  </si>
  <si>
    <t>Bull Group Int Rech Sci Stomatol Odontol</t>
  </si>
  <si>
    <t>16471377</t>
  </si>
  <si>
    <t>02504693</t>
  </si>
  <si>
    <t>Groupèment International Pour La Recherche Scientifique En Stomatologie And Odontologie</t>
  </si>
  <si>
    <t>7608462</t>
  </si>
  <si>
    <t>Bulletin et mémoires de l'Académie royale de médecine de Belgique</t>
  </si>
  <si>
    <t>BULLETIN ET MEMOIRES DE L'ACADEMIE ROYALE DE MEDECINE DE BELGIQUE</t>
  </si>
  <si>
    <t>Bull Mem Acad R Med Belg</t>
  </si>
  <si>
    <t>Continues in part: Mémories de l'Académie royale de médecine de Belgique. Continues in part: Bulletin de l'Académie royale médecine de Belgique.</t>
  </si>
  <si>
    <t>03778231</t>
  </si>
  <si>
    <t>Académie royale de médecine de Belgique.</t>
  </si>
  <si>
    <t>100891616</t>
  </si>
  <si>
    <t>Bulletin of anesthesia history</t>
  </si>
  <si>
    <t>BULLETIN OF ANESTHESIA HISTORY</t>
  </si>
  <si>
    <t>Bull Anesth Hist</t>
  </si>
  <si>
    <t>Continues: Anesthesia History Association newsletter.</t>
  </si>
  <si>
    <t>15228649</t>
  </si>
  <si>
    <t>Anesthesia History Association</t>
  </si>
  <si>
    <t>Anesthesiology#History of Medicine</t>
  </si>
  <si>
    <t>2984715R</t>
  </si>
  <si>
    <t>Bulletin of entomological research</t>
  </si>
  <si>
    <t>BULLETIN OF ENTOMOLOGICAL RESEARCH</t>
  </si>
  <si>
    <t>Bull Entomol Res</t>
  </si>
  <si>
    <t>14752670</t>
  </si>
  <si>
    <t>00074853</t>
  </si>
  <si>
    <t>CABI Publishing</t>
  </si>
  <si>
    <t>1910</t>
  </si>
  <si>
    <t>0046021</t>
  </si>
  <si>
    <t>Bulletin of environmental contamination and toxicology</t>
  </si>
  <si>
    <t>BULLETIN OF ENVIRONMENTAL CONTAMINATION AND TOXICOLOGY</t>
  </si>
  <si>
    <t>Bull Environ Contam Toxicol</t>
  </si>
  <si>
    <t>14320800</t>
  </si>
  <si>
    <t>00074861</t>
  </si>
  <si>
    <t>0372557</t>
  </si>
  <si>
    <t>Bulletin of experimental biology and medicine</t>
  </si>
  <si>
    <t>BULLETIN OF EXPERIMENTAL BIOLOGY AND MEDICINE</t>
  </si>
  <si>
    <t>Bull Exp Biol Med</t>
  </si>
  <si>
    <t>0401404</t>
  </si>
  <si>
    <t>Bulletin of mathematical biology</t>
  </si>
  <si>
    <t>BULLETIN OF MATHEMATICAL BIOLOGY</t>
  </si>
  <si>
    <t>Bull Math Biol</t>
  </si>
  <si>
    <t>Continues: Bulletin of mathematical biophysics.</t>
  </si>
  <si>
    <t>15229602</t>
  </si>
  <si>
    <t>00928240</t>
  </si>
  <si>
    <t>Eight no. a year. 2006-</t>
  </si>
  <si>
    <t>Biology#Statistics as Topic</t>
  </si>
  <si>
    <t>7507024</t>
  </si>
  <si>
    <t>Bulletin of the American College of Surgeons</t>
  </si>
  <si>
    <t>BULLETIN OF THE AMERICAN COLLEGE OF SURGEONS</t>
  </si>
  <si>
    <t>Bull Am Coll Surg</t>
  </si>
  <si>
    <t>00028045</t>
  </si>
  <si>
    <t>American College of Surgeons</t>
  </si>
  <si>
    <t>General Surgery#Health Services</t>
  </si>
  <si>
    <t>0141233</t>
  </si>
  <si>
    <t>Bulletin of the history of medicine</t>
  </si>
  <si>
    <t>BULLETIN OF THE HISTORY OF MEDICINE</t>
  </si>
  <si>
    <t>Bull Hist Med</t>
  </si>
  <si>
    <t>Continues the Bulletin of the Institute of the History of Medicine, Johns Hopkins University.</t>
  </si>
  <si>
    <t>10863176</t>
  </si>
  <si>
    <t>00075140</t>
  </si>
  <si>
    <t>Johns Hopkins University Press</t>
  </si>
  <si>
    <t>101614130</t>
  </si>
  <si>
    <t>Bulletin of the Hospital for Joint Disease (2013)</t>
  </si>
  <si>
    <t>BULLETIN OF THE HOSPITAL FOR JOINT DISEASE (2013)</t>
  </si>
  <si>
    <t>Bull Hosp Jt Dis (2013)</t>
  </si>
  <si>
    <t>Continues: Bulletin of the NYU Hospital for Joint Diseases.</t>
  </si>
  <si>
    <t>23285273</t>
  </si>
  <si>
    <t>23284633</t>
  </si>
  <si>
    <t>Orthopedics#Rheumatology</t>
  </si>
  <si>
    <t>7507032</t>
  </si>
  <si>
    <t>BULLETIN OF THE MENNINGER CLINIC</t>
  </si>
  <si>
    <t>Bull Menninger Clin</t>
  </si>
  <si>
    <t>Guilford</t>
  </si>
  <si>
    <t>Quarterly, winter 1990-</t>
  </si>
  <si>
    <t>7507052</t>
  </si>
  <si>
    <t>BULLETIN OF THE WORLD HEALTH ORGANIZATION</t>
  </si>
  <si>
    <t>Bull World Health Organ</t>
  </si>
  <si>
    <t>Continues: Bulletin. Interim Commission of the World Health Organization. Absorbed in 1999: World health forum, and: World health statistics quarterly.</t>
  </si>
  <si>
    <t>7505414</t>
  </si>
  <si>
    <t>The Bulletin of Tokyo Dental College</t>
  </si>
  <si>
    <t>BULLETIN OF TOKYO DENTAL COLLEGE</t>
  </si>
  <si>
    <t>Bull Tokyo Dent Coll</t>
  </si>
  <si>
    <t>Supersedes the Ronbun shu of Byorigaku Kyoshitsu, Tokyo Shika Daigaku.</t>
  </si>
  <si>
    <t>00408891</t>
  </si>
  <si>
    <t>Tokyo Shika Daigaku</t>
  </si>
  <si>
    <t>2984719R</t>
  </si>
  <si>
    <t>Bulletin on narcotics</t>
  </si>
  <si>
    <t>BULLETIN ON NARCOTICS</t>
  </si>
  <si>
    <t>Bull Narc</t>
  </si>
  <si>
    <t>0007523X</t>
  </si>
  <si>
    <t>United Nations</t>
  </si>
  <si>
    <t>101181368</t>
  </si>
  <si>
    <t>Bundesgesundheitsblatt, Gesundheitsforschung, Gesundheitsschutz</t>
  </si>
  <si>
    <t>BUNDESGESUNDHEITSBLATT, GESUNDHEITSFORSCHUNG, GESUNDHEITSSCHUTZ</t>
  </si>
  <si>
    <t>Bundesgesundheitsblatt Gesundheitsforschung Gesundheitsschutz</t>
  </si>
  <si>
    <t>Merger of: Bundesgesundheitsblatt, and: Infektionsepidemiologische Forschung, and continues the numbering of the former.</t>
  </si>
  <si>
    <t>14371588</t>
  </si>
  <si>
    <t>14369990</t>
  </si>
  <si>
    <t>8913178</t>
  </si>
  <si>
    <t>Burns : journal of the International Society for Burn Injuries</t>
  </si>
  <si>
    <t>BURNS : JOURNAL OF THE INTERNATIONAL SOCIETY FOR BURN INJURIES</t>
  </si>
  <si>
    <t>Continues: Burns, including thermal injury.</t>
  </si>
  <si>
    <t>0370647</t>
  </si>
  <si>
    <t>CA: a cancer journal for clinicians</t>
  </si>
  <si>
    <t>CA: A CANCER JOURNAL FOR CLINICIANS</t>
  </si>
  <si>
    <t>CA Cancer J Clin</t>
  </si>
  <si>
    <t>8901573</t>
  </si>
  <si>
    <t>Cadernos de saúde pública</t>
  </si>
  <si>
    <t>CADERNOS DE SAUDE PUBLICA</t>
  </si>
  <si>
    <t>Cad Saude Publica</t>
  </si>
  <si>
    <t>16784464</t>
  </si>
  <si>
    <t>0102311X</t>
  </si>
  <si>
    <t>Escola Nacional De Saúde Pública, Fundação Oswaldo Cruz</t>
  </si>
  <si>
    <t>Monthly, &lt;2012- &gt;</t>
  </si>
  <si>
    <t>0004455</t>
  </si>
  <si>
    <t>Cahiers de sociologie et de démographie médicales</t>
  </si>
  <si>
    <t>CAHIERS DE SOCIOLOGIE ET DE DEMOGRAPHIE MEDICALES</t>
  </si>
  <si>
    <t>Cah Sociol Demogr Med</t>
  </si>
  <si>
    <t>00079995</t>
  </si>
  <si>
    <t>Centre de sociologie et de démographie médicales</t>
  </si>
  <si>
    <t>Public Health#Social Sciences#Statistics as Topic</t>
  </si>
  <si>
    <t>7905481</t>
  </si>
  <si>
    <t>Calcified tissue international</t>
  </si>
  <si>
    <t>CALCIFIED TISSUE INTERNATIONAL</t>
  </si>
  <si>
    <t>Calcif Tissue Int</t>
  </si>
  <si>
    <t>Continues Calcified tissue research.</t>
  </si>
  <si>
    <t>9208482</t>
  </si>
  <si>
    <t>Cambridge quarterly of healthcare ethics : CQ : the international journal of healthcare ethics committees</t>
  </si>
  <si>
    <t>CAMBRIDGE QUARTERLY OF HEALTHCARE ETHICS : CQ : THE INTERNATIONAL JOURNAL OF HEALTHCARE ETHICS COMMITTEES</t>
  </si>
  <si>
    <t>Camb Q Healthc Ethics</t>
  </si>
  <si>
    <t>14692147</t>
  </si>
  <si>
    <t>09631801</t>
  </si>
  <si>
    <t>9303729</t>
  </si>
  <si>
    <t>Canada communicable disease report = Relevé des maladies transmissibles au Canada</t>
  </si>
  <si>
    <t>CANADA COMMUNICABLE DISEASE REPORT = RELEVE DES MALADIES TRANSMISSIBLES AU CANADA</t>
  </si>
  <si>
    <t>Can Commun Dis Rep</t>
  </si>
  <si>
    <t>Continues: Canada diseases weekly report.</t>
  </si>
  <si>
    <t>14818531</t>
  </si>
  <si>
    <t>11884169</t>
  </si>
  <si>
    <t>Health Canada</t>
  </si>
  <si>
    <t>Communicable Diseases#Epidemiology</t>
  </si>
  <si>
    <t>101466094</t>
  </si>
  <si>
    <t>Canada communicable disease report weekly</t>
  </si>
  <si>
    <t>CANADA COMMUNICABLE DISEASE REPORT WEEKLY</t>
  </si>
  <si>
    <t>Can Commun Dis Rep Wkly</t>
  </si>
  <si>
    <t>Public Health Agency of Canada</t>
  </si>
  <si>
    <t>8812910</t>
  </si>
  <si>
    <t>Canadian Association of Radiologists journal = Journal l'Association canadienne des radiologistes</t>
  </si>
  <si>
    <t>CANADIAN ASSOCIATION OF RADIOLOGISTS JOURNAL = JOURNAL L'ASSOCIATION CANADIENNE DES RADIOLOGISTES</t>
  </si>
  <si>
    <t>Can Assoc Radiol J</t>
  </si>
  <si>
    <t>Canadian Association Of Radiologists</t>
  </si>
  <si>
    <t>Five no. a year, 2002-</t>
  </si>
  <si>
    <t>101130981</t>
  </si>
  <si>
    <t>Canadian bulletin of medical history = Bulletin canadien d'histoire de la médecine</t>
  </si>
  <si>
    <t>CANADIAN BULLETIN OF MEDICAL HISTORY = BULLETIN CANADIEN D'HISTOIRE DE LA MEDECINE</t>
  </si>
  <si>
    <t>Can Bull Med Hist</t>
  </si>
  <si>
    <t>Continues: Bulletin canadien d'histoire de la médecine..</t>
  </si>
  <si>
    <t>08232105</t>
  </si>
  <si>
    <t>Published by Wilfrid Laurier University Press for the Canadian Society for the History of Medicine</t>
  </si>
  <si>
    <t>Semiannual.</t>
  </si>
  <si>
    <t>0120300</t>
  </si>
  <si>
    <t>Canadian family physician Médecin de famille canadien</t>
  </si>
  <si>
    <t>CANADIAN FAMILY PHYSICIAN MEDECIN DE FAMILLE CANADIEN</t>
  </si>
  <si>
    <t>Can Fam Physician</t>
  </si>
  <si>
    <t>Continues: Journal. College of General Practice of Canada.</t>
  </si>
  <si>
    <t>17155258</t>
  </si>
  <si>
    <t>8701709</t>
  </si>
  <si>
    <t>Canadian journal of anaesthesia = Journal canadien d'anesthésie</t>
  </si>
  <si>
    <t>CANADIAN JOURNAL OF ANAESTHESIA = JOURNAL CANADIEN D'ANESTHESIE</t>
  </si>
  <si>
    <t>Can J Anaesth</t>
  </si>
  <si>
    <t>Continues: Canadian Anaesthetists' Society journal. Canadian Anaesthetists' Society.</t>
  </si>
  <si>
    <t>Eleven no. a year, 2001-</t>
  </si>
  <si>
    <t>8510280</t>
  </si>
  <si>
    <t>The Canadian journal of cardiology</t>
  </si>
  <si>
    <t>CANADIAN JOURNAL OF CARDIOLOGY</t>
  </si>
  <si>
    <t>Can J Cardiol</t>
  </si>
  <si>
    <t>19167075</t>
  </si>
  <si>
    <t>8913645</t>
  </si>
  <si>
    <t>Canadian journal of cardiovascular nursing = Journal canadien en soins infirmiers cardio-vasculaires</t>
  </si>
  <si>
    <t>CANADIAN JOURNAL OF CARDIOVASCULAR NURSING = JOURNAL CANADIEN EN SOINS INFIRMIERS CARDIO-VASCULAIRES</t>
  </si>
  <si>
    <t>Can J Cardiovasc Nurs</t>
  </si>
  <si>
    <t>Continues: Canadian bulletin of cardiovascular nursing.</t>
  </si>
  <si>
    <t>08436096</t>
  </si>
  <si>
    <t>Canadian Council of Cardiovascular Nurses of the Heart and Stroke Foundation of Canada</t>
  </si>
  <si>
    <t>Cardiology#Nursing</t>
  </si>
  <si>
    <t>8406631</t>
  </si>
  <si>
    <t>Canadian journal of community mental health = Revue canadienne de santé mentale communautaire</t>
  </si>
  <si>
    <t>CANADIAN JOURNAL OF COMMUNITY MENTAL HEALTH = REVUE CANADIENNE DE SANTE MENTALE COMMUNAUTAIRE</t>
  </si>
  <si>
    <t>Can J Commun Ment Health</t>
  </si>
  <si>
    <t>07133936</t>
  </si>
  <si>
    <t>Canadian Periodical for Community Studies, Inc.</t>
  </si>
  <si>
    <t>101148810</t>
  </si>
  <si>
    <t>Canadian journal of diabetes</t>
  </si>
  <si>
    <t>CANADIAN JOURNAL OF DIABETES</t>
  </si>
  <si>
    <t>Can J Diabetes</t>
  </si>
  <si>
    <t>Continues: Canadian journal of diabetes care.</t>
  </si>
  <si>
    <t>Canadian Diabetes Association</t>
  </si>
  <si>
    <t>9811151</t>
  </si>
  <si>
    <t>Canadian journal of dietetic practice and research : a publication of Dietitians of Canada = Revue canadienne de la pratique et de la recherche en diététique : une publication des Diététistes du Canada</t>
  </si>
  <si>
    <t>CANADIAN JOURNAL OF DIETETIC PRACTICE AND RESEARCH : A PUBLICATION OF DIETITIANS OF CANADA = REVUE CANADIENNE DE LA PRATIQUE ET DE LA RECHERCHE EN DIETETIQUE : UNE PUBLICATION DES DIETETISTES DU CANADA</t>
  </si>
  <si>
    <t>Can J Diet Pract Res</t>
  </si>
  <si>
    <t>Continues: Journal of the Canadian Dietetic Association.</t>
  </si>
  <si>
    <t>14863847</t>
  </si>
  <si>
    <t>Dietitians of Canada</t>
  </si>
  <si>
    <t>9315513</t>
  </si>
  <si>
    <t>Canadian journal of experimental psychology = Revue canadienne de psychologie expérimentale</t>
  </si>
  <si>
    <t>CANADIAN JOURNAL OF EXPERIMENTAL PSYCHOLOGY = REVUE CANADIENNE DE PSYCHOLOGIE EXPERIMENTALE</t>
  </si>
  <si>
    <t>Can J Exp Psychol</t>
  </si>
  <si>
    <t>Continues: Canadian journal of psychology.</t>
  </si>
  <si>
    <t>18787290</t>
  </si>
  <si>
    <t>11961961</t>
  </si>
  <si>
    <t>Canadian Psychological Association</t>
  </si>
  <si>
    <t>101623613</t>
  </si>
  <si>
    <t>Canadian journal of gastroenterology &amp; hepatology</t>
  </si>
  <si>
    <t>CANADIAN JOURNAL OF GASTROENTEROLOGY &amp; HEPATOLOGY</t>
  </si>
  <si>
    <t>Can J Gastroenterol Hepatol</t>
  </si>
  <si>
    <t>Continues: Canadian journal of gastroenterology.</t>
  </si>
  <si>
    <t>22912797</t>
  </si>
  <si>
    <t>22912789</t>
  </si>
  <si>
    <t>0372707</t>
  </si>
  <si>
    <t>Canadian journal of microbiology</t>
  </si>
  <si>
    <t>CANADIAN JOURNAL OF MICROBIOLOGY</t>
  </si>
  <si>
    <t>Can J Microbiol</t>
  </si>
  <si>
    <t>Monthly, 1967-</t>
  </si>
  <si>
    <t>0415227</t>
  </si>
  <si>
    <t>The Canadian journal of neurological sciences. Le journal canadien des sciences neurologiques</t>
  </si>
  <si>
    <t>CANADIAN JOURNAL OF NEUROLOGICAL SCIENCES. LE JOURNAL CANADIEN DES SCIENCES NEUROLOGIQUES</t>
  </si>
  <si>
    <t>Can J Neurol Sci</t>
  </si>
  <si>
    <t>101321312</t>
  </si>
  <si>
    <t>Canadian journal of neuroscience nursing</t>
  </si>
  <si>
    <t>CANADIAN JOURNAL OF NEUROSCIENCE NURSING</t>
  </si>
  <si>
    <t>Can J Neurosci Nurs</t>
  </si>
  <si>
    <t>Continues: Axone (Dartmouth, N.S.).</t>
  </si>
  <si>
    <t>19137176</t>
  </si>
  <si>
    <t>Pappin Communications</t>
  </si>
  <si>
    <t>Neurology#Nursing</t>
  </si>
  <si>
    <t>8910581</t>
  </si>
  <si>
    <t>The Canadian journal of nursing research = Revue canadienne de recherche en sciences infirmières</t>
  </si>
  <si>
    <t>CANADIAN JOURNAL OF NURSING RESEARCH = REVUE CANADIENNE DE RECHERCHE EN SCIENCES INFIRMIERES</t>
  </si>
  <si>
    <t>Can J Nurs Res</t>
  </si>
  <si>
    <t>Continues: Nursing papers.</t>
  </si>
  <si>
    <t>08445621</t>
  </si>
  <si>
    <t>School of Nursing, McGill University</t>
  </si>
  <si>
    <t>0406021</t>
  </si>
  <si>
    <t>Canadian journal of occupational therapy. Revue canadienne d'ergothérapie</t>
  </si>
  <si>
    <t>CANADIAN JOURNAL OF OCCUPATIONAL THERAPY. REVUE CANADIENNE D'ERGOTHERAPIE</t>
  </si>
  <si>
    <t>Can J Occup Ther</t>
  </si>
  <si>
    <t>Continues: Canadian journal of occupational therapy and physiotherapy.</t>
  </si>
  <si>
    <t>19119828</t>
  </si>
  <si>
    <t>00084174</t>
  </si>
  <si>
    <t>SAGE</t>
  </si>
  <si>
    <t>Five no. a year, 1979-</t>
  </si>
  <si>
    <t>0045312</t>
  </si>
  <si>
    <t>Canadian journal of ophthalmology. Journal canadien d'ophtalmologie</t>
  </si>
  <si>
    <t>CANADIAN JOURNAL OF OPHTHALMOLOGY. JOURNAL CANADIEN D'OPHTALMOLOGIE</t>
  </si>
  <si>
    <t>Can J Ophthalmol</t>
  </si>
  <si>
    <t>Bimonthly, 1982-</t>
  </si>
  <si>
    <t>0372712</t>
  </si>
  <si>
    <t>Canadian journal of physiology and pharmacology</t>
  </si>
  <si>
    <t>CANADIAN JOURNAL OF PHYSIOLOGY AND PHARMACOLOGY</t>
  </si>
  <si>
    <t>Can J Physiol Pharmacol</t>
  </si>
  <si>
    <t>Continues in part: Canadian journal of biochemistry and physiology.</t>
  </si>
  <si>
    <t>Monthly, &lt;1975-&gt;</t>
  </si>
  <si>
    <t>Pharmacology#Physiology</t>
  </si>
  <si>
    <t>7904187</t>
  </si>
  <si>
    <t>Canadian journal of psychiatry. Revue canadienne de psychiatrie</t>
  </si>
  <si>
    <t>CANADIAN JOURNAL OF PSYCHIATRY. REVUE CANADIENNE DE PSYCHIATRIE</t>
  </si>
  <si>
    <t>Can J Psychiatry</t>
  </si>
  <si>
    <t>Continues: Canadian Psychiatric Association journal. Canadian Psychiatric Association.</t>
  </si>
  <si>
    <t>Canadian Psychiatric Assn.]</t>
  </si>
  <si>
    <t>Twelve no. a year, 2007?-</t>
  </si>
  <si>
    <t>0372714</t>
  </si>
  <si>
    <t>Canadian journal of public health = Revue canadienne de santé publique</t>
  </si>
  <si>
    <t>CANADIAN JOURNAL OF PUBLIC HEALTH = REVUE CANADIENNE DE SANTE PUBLIQUE</t>
  </si>
  <si>
    <t>Can J Public Health</t>
  </si>
  <si>
    <t>Continues: Canadian public health journal.</t>
  </si>
  <si>
    <t>19207476</t>
  </si>
  <si>
    <t>00084263</t>
  </si>
  <si>
    <t>Canadian Public Health Association</t>
  </si>
  <si>
    <t>9708550</t>
  </si>
  <si>
    <t>Canadian journal of rural medicine : the official journal of the Society of Rural Physicians of Canada = Journal canadien de la médecine rurale : le journal officiel de la Société de médecine rurale du Canada</t>
  </si>
  <si>
    <t>CANADIAN JOURNAL OF RURAL MEDICINE : THE OFFICIAL JOURNAL OF THE SOCIETY OF RURAL PHYSICIANS OF CANADA = JOURNAL CANADIEN DE LA MEDECINE RURALE : LE JOURNAL OFFICIEL DE LA SOCIETE DE MEDECINE RURALE DU CANADA</t>
  </si>
  <si>
    <t>Can J Rural Med</t>
  </si>
  <si>
    <t>1488237X</t>
  </si>
  <si>
    <t>12037796</t>
  </si>
  <si>
    <t>Canadian Medical Association for the Society of Rural Physicians of Canada</t>
  </si>
  <si>
    <t>0372715</t>
  </si>
  <si>
    <t>Canadian journal of surgery. Journal canadien de chirurgie</t>
  </si>
  <si>
    <t>CANADIAN JOURNAL OF SURGERY. JOURNAL CANADIEN DE CHIRURGIE</t>
  </si>
  <si>
    <t>Can J Surg</t>
  </si>
  <si>
    <t>14882310</t>
  </si>
  <si>
    <t>0008428X</t>
  </si>
  <si>
    <t>9515842</t>
  </si>
  <si>
    <t>The Canadian journal of urology</t>
  </si>
  <si>
    <t>CANADIAN JOURNAL OF UROLOGY</t>
  </si>
  <si>
    <t>Can J Urol</t>
  </si>
  <si>
    <t>11959479</t>
  </si>
  <si>
    <t>CJU Communications</t>
  </si>
  <si>
    <t>8607793</t>
  </si>
  <si>
    <t>Canadian journal of veterinary research = Revue canadienne de recherche vétérinaire</t>
  </si>
  <si>
    <t>CANADIAN JOURNAL OF VETERINARY RESEARCH = REVUE CANADIENNE DE RECHERCHE VETERINAIRE</t>
  </si>
  <si>
    <t>Can J Vet Res</t>
  </si>
  <si>
    <t>Canadian Veterinary Medical Association</t>
  </si>
  <si>
    <t>8708560</t>
  </si>
  <si>
    <t>Canadian journal on aging = La revue canadienne du vieillissement</t>
  </si>
  <si>
    <t>CANADIAN JOURNAL ON AGING = LA REVUE CANADIENNE DU VIEILLISSEMENT</t>
  </si>
  <si>
    <t>Can J Aging</t>
  </si>
  <si>
    <t>17101107</t>
  </si>
  <si>
    <t>07149808</t>
  </si>
  <si>
    <t>Cambridge Press</t>
  </si>
  <si>
    <t>0405504</t>
  </si>
  <si>
    <t>The Canadian nurse</t>
  </si>
  <si>
    <t>CANADIAN NURSE</t>
  </si>
  <si>
    <t>Can Nurse</t>
  </si>
  <si>
    <t>Continues: Canadian nurse and hospital review. Absorbed: Infirmière canadienne. 1986 Continued in part by: Infirmière canadienne (2000).</t>
  </si>
  <si>
    <t>00084581</t>
  </si>
  <si>
    <t>Canadian Nurses Association</t>
  </si>
  <si>
    <t>9300792</t>
  </si>
  <si>
    <t>Canadian oncology nursing journal = Revue canadienne de nursing oncologique</t>
  </si>
  <si>
    <t>CANADIAN ONCOLOGY NURSING JOURNAL = REVUE CANADIENNE DE NURSING ONCOLOGIQUE</t>
  </si>
  <si>
    <t>Can Oncol Nurs J</t>
  </si>
  <si>
    <t>1181912X</t>
  </si>
  <si>
    <t>Canadian Association of Nurses in Oncology</t>
  </si>
  <si>
    <t>Neoplasms#Nursing</t>
  </si>
  <si>
    <t>9433332</t>
  </si>
  <si>
    <t>Canadian respiratory journal : journal of the Canadian Thoracic Society</t>
  </si>
  <si>
    <t>CANADIAN RESPIRATORY JOURNAL : JOURNAL OF THE CANADIAN THORACIC SOCIETY</t>
  </si>
  <si>
    <t>Can Respir J</t>
  </si>
  <si>
    <t>19167245</t>
  </si>
  <si>
    <t>Eight no. a year, 2003-</t>
  </si>
  <si>
    <t>101320224</t>
  </si>
  <si>
    <t>Canadian review of sociology = Revue canadienne de sociologie</t>
  </si>
  <si>
    <t>CANADIAN REVIEW OF SOCIOLOGY = REVUE CANADIENNE DE SOCIOLOGIE</t>
  </si>
  <si>
    <t>Can Rev Sociol</t>
  </si>
  <si>
    <t>Continues: Canadian review of sociology and anthropology.</t>
  </si>
  <si>
    <t>1755618X</t>
  </si>
  <si>
    <t>17556171</t>
  </si>
  <si>
    <t>0004653</t>
  </si>
  <si>
    <t>The Canadian veterinary journal. La revue vétérinaire canadienne</t>
  </si>
  <si>
    <t>CANADIAN VETERINARY JOURNAL. LA REVUE VETERINAIRE CANADIENNE</t>
  </si>
  <si>
    <t>Can Vet J</t>
  </si>
  <si>
    <t>00085286</t>
  </si>
  <si>
    <t>0374236</t>
  </si>
  <si>
    <t>CANCER</t>
  </si>
  <si>
    <t>101137842</t>
  </si>
  <si>
    <t>Cancer biology &amp; therapy</t>
  </si>
  <si>
    <t>CANCER BIOLOGY &amp; THERAPY</t>
  </si>
  <si>
    <t>Cancer Biol Ther</t>
  </si>
  <si>
    <t>Semimonthly, 2009-</t>
  </si>
  <si>
    <t>Neoplasms#Therapeutics</t>
  </si>
  <si>
    <t>101256509</t>
  </si>
  <si>
    <t>Cancer biomarkers : section A of Disease markers</t>
  </si>
  <si>
    <t>CANCER BIOMARKERS : SECTION A OF DISEASE MARKERS</t>
  </si>
  <si>
    <t>Cancer Biomark</t>
  </si>
  <si>
    <t>Biochemistry#Neoplasms</t>
  </si>
  <si>
    <t>9605408</t>
  </si>
  <si>
    <t>Cancer biotherapy &amp; radiopharmaceuticals</t>
  </si>
  <si>
    <t>CANCER BIOTHERAPY &amp; RADIOPHARMACEUTICALS</t>
  </si>
  <si>
    <t>Cancer Biother Radiopharm</t>
  </si>
  <si>
    <t>Formed by the union of: Cancer biotherapy, and: Antibody, immunoconjugates, and radiopharmaceuticals, and continues the numbering of the former.</t>
  </si>
  <si>
    <t>Neoplasms#Pharmacology#Radiotherapy#Therapeutics</t>
  </si>
  <si>
    <t>9100846</t>
  </si>
  <si>
    <t>Cancer causes &amp; control : CCC</t>
  </si>
  <si>
    <t>CANCER CAUSES &amp; CONTROL : CCC</t>
  </si>
  <si>
    <t>Cancer Causes Control</t>
  </si>
  <si>
    <t>Twelve times a year, 2010-</t>
  </si>
  <si>
    <t>Epidemiology#Neoplasms</t>
  </si>
  <si>
    <t>101130617</t>
  </si>
  <si>
    <t>Cancer cell</t>
  </si>
  <si>
    <t>CANCER CELL</t>
  </si>
  <si>
    <t>7806519</t>
  </si>
  <si>
    <t>Cancer chemotherapy and pharmacology</t>
  </si>
  <si>
    <t>CANCER CHEMOTHERAPY AND PHARMACOLOGY</t>
  </si>
  <si>
    <t>Cancer Chemother Pharmacol</t>
  </si>
  <si>
    <t>Antineoplastic Agents#Neoplasms</t>
  </si>
  <si>
    <t>9438457</t>
  </si>
  <si>
    <t>Cancer control : journal of the Moffitt Cancer Center</t>
  </si>
  <si>
    <t>CANCER CONTROL : JOURNAL OF THE MOFFITT CANCER CENTER</t>
  </si>
  <si>
    <t>101499453</t>
  </si>
  <si>
    <t>Cancer cytopathology</t>
  </si>
  <si>
    <t>CANCER CYTOPATHOLOGY</t>
  </si>
  <si>
    <t>Cancer Cytopathol</t>
  </si>
  <si>
    <t>1934662X</t>
  </si>
  <si>
    <t>101561693</t>
  </si>
  <si>
    <t>Cancer discovery</t>
  </si>
  <si>
    <t>CANCER DISCOVERY</t>
  </si>
  <si>
    <t>Cancer Discov</t>
  </si>
  <si>
    <t>American Association for Cancer Research</t>
  </si>
  <si>
    <t>101508793</t>
  </si>
  <si>
    <t>Cancer epidemiology</t>
  </si>
  <si>
    <t>CANCER EPIDEMIOLOGY</t>
  </si>
  <si>
    <t>Cancer Epidemiol</t>
  </si>
  <si>
    <t>Continues: Cancer detection and prevention.</t>
  </si>
  <si>
    <t>9200608</t>
  </si>
  <si>
    <t>Cancer epidemiology, biomarkers &amp; prevention : a publication of the American Association for Cancer Research, cosponsored by the American Society of Preventive Oncology</t>
  </si>
  <si>
    <t>CANCER EPIDEMIOLOGY, BIOMARKERS &amp; PREVENTION : A PUBLICATION OF THE AMERICAN ASSOCIATION FOR CANCER RESEARCH, COSPONSORED BY THE AMERICAN SOCIETY OF PREVENTIVE ONCOLOGY</t>
  </si>
  <si>
    <t>Cancer Epidemiol Biomarkers Prev</t>
  </si>
  <si>
    <t>15387755</t>
  </si>
  <si>
    <t>Biochemistry#Epidemiology#Neoplasms</t>
  </si>
  <si>
    <t>9432230</t>
  </si>
  <si>
    <t>Cancer gene therapy</t>
  </si>
  <si>
    <t>CANCER GENE THERAPY</t>
  </si>
  <si>
    <t>Cancer Gene Ther</t>
  </si>
  <si>
    <t>Genetics, Medical#Neoplasms#Therapeutics</t>
  </si>
  <si>
    <t>101539150</t>
  </si>
  <si>
    <t>Cancer genetics</t>
  </si>
  <si>
    <t>CANCER GENETICS</t>
  </si>
  <si>
    <t>Cancer Genet</t>
  </si>
  <si>
    <t>Continues: Cancer genetics and cytogenetics.</t>
  </si>
  <si>
    <t>Genetics, Medical#Neoplasms</t>
  </si>
  <si>
    <t>101188791</t>
  </si>
  <si>
    <t>Cancer genomics &amp; proteomics</t>
  </si>
  <si>
    <t>CANCER GENOMICS &amp; PROTEOMICS</t>
  </si>
  <si>
    <t>Cancer Genomics Proteomics</t>
  </si>
  <si>
    <t>Biochemistry#Genetics, Medical#Neoplasms</t>
  </si>
  <si>
    <t>101172931</t>
  </si>
  <si>
    <t>Cancer imaging : the official publication of the International Cancer Imaging Society</t>
  </si>
  <si>
    <t>CANCER IMAGING : THE OFFICIAL PUBLICATION OF THE INTERNATIONAL CANCER IMAGING SOCIETY</t>
  </si>
  <si>
    <t>17405025</t>
  </si>
  <si>
    <t>e-med</t>
  </si>
  <si>
    <t>Diagnostic Imaging#Neoplasms</t>
  </si>
  <si>
    <t>101119871</t>
  </si>
  <si>
    <t>Cancer immunity</t>
  </si>
  <si>
    <t>CANCER IMMUNITY</t>
  </si>
  <si>
    <t>Cancer Immun</t>
  </si>
  <si>
    <t>Allergy and Immunology#Neoplasms</t>
  </si>
  <si>
    <t>8605732</t>
  </si>
  <si>
    <t>Cancer immunology, immunotherapy : CII</t>
  </si>
  <si>
    <t>CANCER IMMUNOLOGY, IMMUNOTHERAPY : CII</t>
  </si>
  <si>
    <t>Cancer Immunol Immunother</t>
  </si>
  <si>
    <t>Continues: Cancer immunology and immunotherapy.</t>
  </si>
  <si>
    <t>Allergy and Immunology#Neoplasms#Therapeutics</t>
  </si>
  <si>
    <t>8307154</t>
  </si>
  <si>
    <t>Cancer investigation</t>
  </si>
  <si>
    <t>CANCER INVESTIGATION</t>
  </si>
  <si>
    <t>Cancer Invest</t>
  </si>
  <si>
    <t>15324192</t>
  </si>
  <si>
    <t>100931981</t>
  </si>
  <si>
    <t>Cancer journal (Sudbury, Mass.)</t>
  </si>
  <si>
    <t>CANCER JOURNAL (SUDBURY, MASS.)</t>
  </si>
  <si>
    <t>Cancer J</t>
  </si>
  <si>
    <t>Continues: Cancer journal from Scientific American.</t>
  </si>
  <si>
    <t>7600053</t>
  </si>
  <si>
    <t>Cancer letters</t>
  </si>
  <si>
    <t>CANCER LETTERS</t>
  </si>
  <si>
    <t>Cancer Lett</t>
  </si>
  <si>
    <t>Twenty six no. a year</t>
  </si>
  <si>
    <t>101595310</t>
  </si>
  <si>
    <t>Cancer medicine</t>
  </si>
  <si>
    <t>CANCER MEDICINE</t>
  </si>
  <si>
    <t>Cancer Med</t>
  </si>
  <si>
    <t>John Wiley &amp; Sons Ltd.</t>
  </si>
  <si>
    <t>8605731</t>
  </si>
  <si>
    <t>Cancer metastasis reviews</t>
  </si>
  <si>
    <t>CANCER METASTASIS REVIEWS</t>
  </si>
  <si>
    <t>Cancer Metastasis Rev</t>
  </si>
  <si>
    <t>7805358</t>
  </si>
  <si>
    <t>Cancer nursing</t>
  </si>
  <si>
    <t>CANCER NURSING</t>
  </si>
  <si>
    <t>Cancer Nurs</t>
  </si>
  <si>
    <t>101479409</t>
  </si>
  <si>
    <t>Cancer prevention research (Philadelphia, Pa.)</t>
  </si>
  <si>
    <t>CANCER PREVENTION RESEARCH (PHILADELPHIA, PA.)</t>
  </si>
  <si>
    <t>Cancer Prev Res (Phila)</t>
  </si>
  <si>
    <t>9711272</t>
  </si>
  <si>
    <t>Cancer radiothérapie : journal de la Société française de radiothérapie oncologique</t>
  </si>
  <si>
    <t>CANCER RADIOTHERAPIE : JOURNAL DE LA SOCIETE FRANCAISE DE RADIOTHERAPIE ONCOLOGIQUE</t>
  </si>
  <si>
    <t>Cancer Radiother</t>
  </si>
  <si>
    <t>Continues: Bulletin du cancer. Radiothérapie.</t>
  </si>
  <si>
    <t>Neoplasms#Radiotherapy</t>
  </si>
  <si>
    <t>2984705R</t>
  </si>
  <si>
    <t>Cancer research</t>
  </si>
  <si>
    <t>CANCER RESEARCH</t>
  </si>
  <si>
    <t>Cancer Res</t>
  </si>
  <si>
    <t>Continues: American journal of cancer.</t>
  </si>
  <si>
    <t>Semimonthly &lt;, Jan. 1, 1987-&gt;</t>
  </si>
  <si>
    <t>101168776</t>
  </si>
  <si>
    <t>Cancer science</t>
  </si>
  <si>
    <t>CANCER SCIENCE</t>
  </si>
  <si>
    <t>Cancer Sci</t>
  </si>
  <si>
    <t>Continues: Japanese journal of cancer research.</t>
  </si>
  <si>
    <t>8008541</t>
  </si>
  <si>
    <t>Cancer treatment and research</t>
  </si>
  <si>
    <t>CANCER TREATMENT AND RESEARCH</t>
  </si>
  <si>
    <t>Cancer Treat Res</t>
  </si>
  <si>
    <t>7502030</t>
  </si>
  <si>
    <t>Cancer treatment reviews</t>
  </si>
  <si>
    <t>CANCER TREATMENT REVIEWS</t>
  </si>
  <si>
    <t>Cancer Treat Rev</t>
  </si>
  <si>
    <t>100959352</t>
  </si>
  <si>
    <t>CANNT journal = Journal ACITN</t>
  </si>
  <si>
    <t>CANNT JOURNAL = JOURNAL ACITN</t>
  </si>
  <si>
    <t>CANNT J</t>
  </si>
  <si>
    <t>Continues: Journal CANNT.</t>
  </si>
  <si>
    <t>14985136</t>
  </si>
  <si>
    <t>9891256</t>
  </si>
  <si>
    <t>Capitation management report</t>
  </si>
  <si>
    <t>CAPITATION MANAGEMENT REPORT</t>
  </si>
  <si>
    <t>Capitation Manag Rep</t>
  </si>
  <si>
    <t>10837183</t>
  </si>
  <si>
    <t>National Health Information</t>
  </si>
  <si>
    <t>8307156</t>
  </si>
  <si>
    <t>Carbohydrate polymers</t>
  </si>
  <si>
    <t>CARBOHYDRATE POLYMERS</t>
  </si>
  <si>
    <t>Carbohydr Polym</t>
  </si>
  <si>
    <t>18791344</t>
  </si>
  <si>
    <t>01448617</t>
  </si>
  <si>
    <t>Elsevier Applied Science Publishers</t>
  </si>
  <si>
    <t>0043535</t>
  </si>
  <si>
    <t>Carbohydrate research</t>
  </si>
  <si>
    <t>CARBOHYDRATE RESEARCH</t>
  </si>
  <si>
    <t>Carbohydr Res</t>
  </si>
  <si>
    <t>Eighteen no a year, 2004-</t>
  </si>
  <si>
    <t>Biochemistry#Metabolism</t>
  </si>
  <si>
    <t>8008055</t>
  </si>
  <si>
    <t>CARCINOGENESIS</t>
  </si>
  <si>
    <t>Irl Press At Oxford University Press</t>
  </si>
  <si>
    <t>1266406</t>
  </si>
  <si>
    <t>CARDIOLOGY</t>
  </si>
  <si>
    <t>Absorbed: Heartdrug.</t>
  </si>
  <si>
    <t>8300331</t>
  </si>
  <si>
    <t>Cardiology clinics</t>
  </si>
  <si>
    <t>CARDIOLOGY CLINICS</t>
  </si>
  <si>
    <t>Cardiol Clin</t>
  </si>
  <si>
    <t>9304686</t>
  </si>
  <si>
    <t>Cardiology in review</t>
  </si>
  <si>
    <t>CARDIOLOGY IN REVIEW</t>
  </si>
  <si>
    <t>Cardiol Rev</t>
  </si>
  <si>
    <t>9200019</t>
  </si>
  <si>
    <t>Cardiology in the young</t>
  </si>
  <si>
    <t>CARDIOLOGY IN THE YOUNG</t>
  </si>
  <si>
    <t>Cardiol Young</t>
  </si>
  <si>
    <t>Cardiology#Pediatrics#Vascular Diseases</t>
  </si>
  <si>
    <t>101392712</t>
  </si>
  <si>
    <t>Cardiology journal</t>
  </si>
  <si>
    <t>CARDIOLOGY JOURNAL</t>
  </si>
  <si>
    <t>Cardiol J</t>
  </si>
  <si>
    <t>Continues: Folia cardiologica (Gdańsk, Poland).</t>
  </si>
  <si>
    <t>101266881</t>
  </si>
  <si>
    <t>Cardiovascular &amp; hematological agents in medicinal chemistry</t>
  </si>
  <si>
    <t>CARDIOVASCULAR &amp; HEMATOLOGICAL AGENTS IN MEDICINAL CHEMISTRY</t>
  </si>
  <si>
    <t>Cardiovasc Hematol Agents Med Chem</t>
  </si>
  <si>
    <t>Continues: Current medicinal chemistry. Cardiovascular and hematological agents.</t>
  </si>
  <si>
    <t>Cardiology#Chemistry#Hematology#Pharmacology#Vascular Diseases</t>
  </si>
  <si>
    <t>101269160</t>
  </si>
  <si>
    <t>Cardiovascular &amp; hematological disorders drug targets</t>
  </si>
  <si>
    <t>CARDIOVASCULAR &amp; HEMATOLOGICAL DISORDERS DRUG TARGETS</t>
  </si>
  <si>
    <t>Cardiovasc Hematol Disord Drug Targets</t>
  </si>
  <si>
    <t>Continues: Current drug targets. Cardiovascular &amp; haematological disorders.</t>
  </si>
  <si>
    <t>22124063</t>
  </si>
  <si>
    <t>Cardiology#Drug Therapy#Hematology#Vascular Diseases</t>
  </si>
  <si>
    <t>8003538</t>
  </si>
  <si>
    <t>Cardiovascular and interventional radiology</t>
  </si>
  <si>
    <t>CARDIOVASCULAR AND INTERVENTIONAL RADIOLOGY</t>
  </si>
  <si>
    <t>Cardiovasc Intervent Radiol</t>
  </si>
  <si>
    <t>Continues Cardiovascular radiology.</t>
  </si>
  <si>
    <t>Cardiology#Radiology#Vascular Diseases</t>
  </si>
  <si>
    <t>101147637</t>
  </si>
  <si>
    <t>Cardiovascular diabetology</t>
  </si>
  <si>
    <t>CARDIOVASCULAR DIABETOLOGY</t>
  </si>
  <si>
    <t>Cardiovasc Diabetol</t>
  </si>
  <si>
    <t>Cardiology#Endocrinology#Vascular Diseases</t>
  </si>
  <si>
    <t>8712220</t>
  </si>
  <si>
    <t>Cardiovascular drugs and therapy / sponsored by the International Society of Cardiovascular Pharmacotherapy</t>
  </si>
  <si>
    <t>CARDIOVASCULAR DRUGS AND THERAPY / SPONSORED BY THE INTERNATIONAL SOCIETY OF CARDIOVASCULAR PHARMACOTHERAPY</t>
  </si>
  <si>
    <t>Cardiovasc Drugs Ther</t>
  </si>
  <si>
    <t>Kluwer Academic For The International Society For Cardiovascular Pharmacotherapy</t>
  </si>
  <si>
    <t>101132083</t>
  </si>
  <si>
    <t>Cardiovascular engineering (Dordrecht, Netherlands)</t>
  </si>
  <si>
    <t>CARDIOVASCULAR ENGINEERING (DORDRECHT, NETHERLANDS)</t>
  </si>
  <si>
    <t>Cardiovasc Eng</t>
  </si>
  <si>
    <t>15736806</t>
  </si>
  <si>
    <t>15678822</t>
  </si>
  <si>
    <t>Biomedical Engineering#Cardiology#Vascular Diseases</t>
  </si>
  <si>
    <t>101522043</t>
  </si>
  <si>
    <t>Cardiovascular intervention and therapeutics</t>
  </si>
  <si>
    <t>CARDIOVASCULAR INTERVENTION AND THERAPEUTICS</t>
  </si>
  <si>
    <t>Cardiovasc Interv Ther</t>
  </si>
  <si>
    <t>Formed by union of: Japanese journal of cardiovascular catheter therapeutics. and: Japanese journal of interventional cardiology.</t>
  </si>
  <si>
    <t>Cardiology#Therapeutics#Vascular Diseases</t>
  </si>
  <si>
    <t>101313864</t>
  </si>
  <si>
    <t>Cardiovascular journal of Africa</t>
  </si>
  <si>
    <t>CARDIOVASCULAR JOURNAL OF AFRICA</t>
  </si>
  <si>
    <t>Cardiovasc J Afr</t>
  </si>
  <si>
    <t>Continues: Cardiovascular journal of South Africa.</t>
  </si>
  <si>
    <t>16800745</t>
  </si>
  <si>
    <t>10159657</t>
  </si>
  <si>
    <t>Clinics Cardive Pub.</t>
  </si>
  <si>
    <t>South Africa</t>
  </si>
  <si>
    <t>Ten no. a year, 2012-</t>
  </si>
  <si>
    <t>9212060</t>
  </si>
  <si>
    <t>Cardiovascular pathology : the official journal of the Society for Cardiovascular Pathology</t>
  </si>
  <si>
    <t>CARDIOVASCULAR PATHOLOGY : THE OFFICIAL JOURNAL OF THE SOCIETY FOR CARDIOVASCULAR PATHOLOGY</t>
  </si>
  <si>
    <t>Cardiovasc Pathol</t>
  </si>
  <si>
    <t>Elsevier Science Pub. Co.</t>
  </si>
  <si>
    <t>Cardiology#Pathology#Vascular Diseases</t>
  </si>
  <si>
    <t>0077427</t>
  </si>
  <si>
    <t>Cardiovascular research</t>
  </si>
  <si>
    <t>CARDIOVASCULAR RESEARCH</t>
  </si>
  <si>
    <t>Cardiovasc Res</t>
  </si>
  <si>
    <t>Oxford Journals</t>
  </si>
  <si>
    <t>Fourteen issues a year, 1999-</t>
  </si>
  <si>
    <t>101238551</t>
  </si>
  <si>
    <t>Cardiovascular revascularization medicine : including molecular interventions</t>
  </si>
  <si>
    <t>CARDIOVASCULAR REVASCULARIZATION MEDICINE : INCLUDING MOLECULAR INTERVENTIONS</t>
  </si>
  <si>
    <t>Cardiovasc Revasc Med</t>
  </si>
  <si>
    <t>Continues: Cardiovascular radiation medicine.</t>
  </si>
  <si>
    <t>101319630</t>
  </si>
  <si>
    <t>Cardiovascular therapeutics</t>
  </si>
  <si>
    <t>CARDIOVASCULAR THERAPEUTICS</t>
  </si>
  <si>
    <t>Cardiovasc Ther</t>
  </si>
  <si>
    <t>Continues: Cardiovascular drug reviews.</t>
  </si>
  <si>
    <t>101135818</t>
  </si>
  <si>
    <t>Cardiovascular toxicology</t>
  </si>
  <si>
    <t>CARDIOVASCULAR TOXICOLOGY</t>
  </si>
  <si>
    <t>Cardiovasc Toxicol</t>
  </si>
  <si>
    <t>Cardiology#Toxicology#Vascular Diseases</t>
  </si>
  <si>
    <t>101159952</t>
  </si>
  <si>
    <t>Cardiovascular ultrasound</t>
  </si>
  <si>
    <t>CARDIOVASCULAR ULTRASOUND</t>
  </si>
  <si>
    <t>Cardiovasc Ultrasound</t>
  </si>
  <si>
    <t>Cardiology#Diagnostic Imaging#Vascular Diseases</t>
  </si>
  <si>
    <t>100888264</t>
  </si>
  <si>
    <t>Care management journals : Journal of case management ; The journal of long term home health care</t>
  </si>
  <si>
    <t>CARE MANAGEMENT JOURNALS : JOURNAL OF CASE MANAGEMENT ; THE JOURNAL OF LONG TERM HOME HEALTH CARE</t>
  </si>
  <si>
    <t>Care Manag J</t>
  </si>
  <si>
    <t>Formed by the union of: Journal of case management, and: Journal of long term home health care.</t>
  </si>
  <si>
    <t>15210987</t>
  </si>
  <si>
    <t>Health Services#Nursing</t>
  </si>
  <si>
    <t>0103374</t>
  </si>
  <si>
    <t>Caries research</t>
  </si>
  <si>
    <t>CARIES RESEARCH</t>
  </si>
  <si>
    <t>Caries Res</t>
  </si>
  <si>
    <t>1421976X</t>
  </si>
  <si>
    <t>00086568</t>
  </si>
  <si>
    <t>8301759</t>
  </si>
  <si>
    <t>Caring : National Association for Home Care magazine</t>
  </si>
  <si>
    <t>CARING : NATIONAL ASSOCIATION FOR HOME CARE MAGAZINE</t>
  </si>
  <si>
    <t>Caring</t>
  </si>
  <si>
    <t>0738467X</t>
  </si>
  <si>
    <t>National Association for Home Care</t>
  </si>
  <si>
    <t>0004743</t>
  </si>
  <si>
    <t>Casopís lékar̆ů c̆eských</t>
  </si>
  <si>
    <t>CASOPIS LEKARU CESKYCH</t>
  </si>
  <si>
    <t>Cas Lek Cesk</t>
  </si>
  <si>
    <t>00087335</t>
  </si>
  <si>
    <t>Ceskoslovenska Lekarska Spolecnost</t>
  </si>
  <si>
    <t>1862</t>
  </si>
  <si>
    <t>100884139</t>
  </si>
  <si>
    <t>Catheterization and cardiovascular interventions : official journal of the Society for Cardiac Angiography &amp; Interventions</t>
  </si>
  <si>
    <t>CATHETERIZATION AND CARDIOVASCULAR INTERVENTIONS : OFFICIAL JOURNAL OF THE SOCIETY FOR CARDIAC ANGIOGRAPHY &amp; INTERVENTIONS</t>
  </si>
  <si>
    <t>Catheter Cardiovasc Interv</t>
  </si>
  <si>
    <t>Continues: Catheterization and cardiovascular diagnosis.</t>
  </si>
  <si>
    <t>101269039</t>
  </si>
  <si>
    <t>CBE life sciences education</t>
  </si>
  <si>
    <t>CBE LIFE SCIENCES EDUCATION</t>
  </si>
  <si>
    <t>CBE Life Sci Educ</t>
  </si>
  <si>
    <t>Continues: Cell biology education.</t>
  </si>
  <si>
    <t>19317913</t>
  </si>
  <si>
    <t>Cell Biology#Education#Science</t>
  </si>
  <si>
    <t>0351400</t>
  </si>
  <si>
    <t>CDS review</t>
  </si>
  <si>
    <t>CDS REVIEW</t>
  </si>
  <si>
    <t>CDS Rev</t>
  </si>
  <si>
    <t>Continues Fortnightly review of the Chicago Dental Society.</t>
  </si>
  <si>
    <t>00911666</t>
  </si>
  <si>
    <t>Chicago Dental Society.</t>
  </si>
  <si>
    <t>Bimonthly (except monthly in Nov., Dec.), 2002-</t>
  </si>
  <si>
    <t>0413066</t>
  </si>
  <si>
    <t>CELL</t>
  </si>
  <si>
    <t>101469464</t>
  </si>
  <si>
    <t>Cell adhesion &amp; migration</t>
  </si>
  <si>
    <t>CELL ADHESION &amp; MIGRATION</t>
  </si>
  <si>
    <t>Cell Adh Migr</t>
  </si>
  <si>
    <t>100965121</t>
  </si>
  <si>
    <t>Cell and tissue banking</t>
  </si>
  <si>
    <t>CELL AND TISSUE BANKING</t>
  </si>
  <si>
    <t>Cell Tissue Bank</t>
  </si>
  <si>
    <t>15736814</t>
  </si>
  <si>
    <t>13899333</t>
  </si>
  <si>
    <t>Cell Biology#Histology#Transplantation</t>
  </si>
  <si>
    <t>0417625</t>
  </si>
  <si>
    <t>Cell and tissue research</t>
  </si>
  <si>
    <t>CELL AND TISSUE RESEARCH</t>
  </si>
  <si>
    <t>Cell Tissue Res</t>
  </si>
  <si>
    <t>Continues: Zeitschrift für Zellforschung und mikroskopische Anatomie.</t>
  </si>
  <si>
    <t>9701934</t>
  </si>
  <si>
    <t>Cell biochemistry and biophysics</t>
  </si>
  <si>
    <t>CELL BIOCHEMISTRY AND BIOPHYSICS</t>
  </si>
  <si>
    <t>Cell Biochem Biophys</t>
  </si>
  <si>
    <t>Continues: Cell biophysics.</t>
  </si>
  <si>
    <t>15590283</t>
  </si>
  <si>
    <t>10859195</t>
  </si>
  <si>
    <t>Biochemistry#Biophysics#Cell Biology</t>
  </si>
  <si>
    <t>8305874</t>
  </si>
  <si>
    <t>Cell biochemistry and function</t>
  </si>
  <si>
    <t>CELL BIOCHEMISTRY AND FUNCTION</t>
  </si>
  <si>
    <t>Cell Biochem Funct</t>
  </si>
  <si>
    <t>8506639</t>
  </si>
  <si>
    <t>Cell biology and toxicology</t>
  </si>
  <si>
    <t>CELL BIOLOGY AND TOXICOLOGY</t>
  </si>
  <si>
    <t>Cell Biol Toxicol</t>
  </si>
  <si>
    <t>Cell Biology#Toxicology</t>
  </si>
  <si>
    <t>9307129</t>
  </si>
  <si>
    <t>Cell biology international</t>
  </si>
  <si>
    <t>CELL BIOLOGY INTERNATIONAL</t>
  </si>
  <si>
    <t>Cell Biol Int</t>
  </si>
  <si>
    <t>Continues: Cell biology international reports.</t>
  </si>
  <si>
    <t>Chichester</t>
  </si>
  <si>
    <t>8006226</t>
  </si>
  <si>
    <t>Cell calcium</t>
  </si>
  <si>
    <t>CELL CALCIUM</t>
  </si>
  <si>
    <t>Cell Biology#Metabolism</t>
  </si>
  <si>
    <t>101096596</t>
  </si>
  <si>
    <t>Cell communication &amp; adhesion</t>
  </si>
  <si>
    <t>CELL COMMUNICATION &amp; ADHESION</t>
  </si>
  <si>
    <t>Cell Commun Adhes</t>
  </si>
  <si>
    <t>Continues: Cell adhesion &amp; communication.</t>
  </si>
  <si>
    <t>101170464</t>
  </si>
  <si>
    <t>Cell communication and signaling : CCS</t>
  </si>
  <si>
    <t>CELL COMMUNICATION AND SIGNALING : CCS</t>
  </si>
  <si>
    <t>Cell Commun Signal</t>
  </si>
  <si>
    <t>BioMed Central, c2003-</t>
  </si>
  <si>
    <t>101137841</t>
  </si>
  <si>
    <t>Cell cycle (Georgetown, Tex.)</t>
  </si>
  <si>
    <t>CELL CYCLE (GEORGETOWN, TEX.)</t>
  </si>
  <si>
    <t>101524092</t>
  </si>
  <si>
    <t>Cell death &amp; disease</t>
  </si>
  <si>
    <t>CELL DEATH &amp; DISEASE</t>
  </si>
  <si>
    <t>Cell Death Dis</t>
  </si>
  <si>
    <t>Cell Biology#Internal Medicine</t>
  </si>
  <si>
    <t>9437445</t>
  </si>
  <si>
    <t>Cell death and differentiation</t>
  </si>
  <si>
    <t>CELL DEATH AND DIFFERENTIATION</t>
  </si>
  <si>
    <t>Cell Death Differ</t>
  </si>
  <si>
    <t>101302316</t>
  </si>
  <si>
    <t>Cell host &amp; microbe</t>
  </si>
  <si>
    <t>CELL HOST &amp; MICROBE</t>
  </si>
  <si>
    <t>Cell Host Microbe</t>
  </si>
  <si>
    <t>101233170</t>
  </si>
  <si>
    <t>Cell metabolism</t>
  </si>
  <si>
    <t>CELL METABOLISM</t>
  </si>
  <si>
    <t>Cell Metab</t>
  </si>
  <si>
    <t>9105195</t>
  </si>
  <si>
    <t>Cell proliferation</t>
  </si>
  <si>
    <t>CELL PROLIFERATION</t>
  </si>
  <si>
    <t>Cell Prolif</t>
  </si>
  <si>
    <t>Continues: Cell and tissue kinetics.</t>
  </si>
  <si>
    <t>Published for the Cell Kinetics Society, the European Study Group for Cell Proliferation, and the International Cell Cycle Society by Blackwell Scientific Publications</t>
  </si>
  <si>
    <t>101573691</t>
  </si>
  <si>
    <t>Cell reports</t>
  </si>
  <si>
    <t>CELL REPORTS</t>
  </si>
  <si>
    <t>Cell Rep</t>
  </si>
  <si>
    <t>9425763</t>
  </si>
  <si>
    <t>Cell research</t>
  </si>
  <si>
    <t>CELL RESEARCH</t>
  </si>
  <si>
    <t>Cell Res</t>
  </si>
  <si>
    <t>17487838</t>
  </si>
  <si>
    <t>10010602</t>
  </si>
  <si>
    <t>101311472</t>
  </si>
  <si>
    <t>Cell stem cell</t>
  </si>
  <si>
    <t>CELL STEM CELL</t>
  </si>
  <si>
    <t>9610925</t>
  </si>
  <si>
    <t>Cell stress &amp; chaperones</t>
  </si>
  <si>
    <t>CELL STRESS &amp; CHAPERONES</t>
  </si>
  <si>
    <t>Cell Stress Chaperones</t>
  </si>
  <si>
    <t>7608465</t>
  </si>
  <si>
    <t>Cell structure and function</t>
  </si>
  <si>
    <t>CELL STRUCTURE AND FUNCTION</t>
  </si>
  <si>
    <t>Cell Struct Funct</t>
  </si>
  <si>
    <t>Four times a year, including annual supplement, 2004-</t>
  </si>
  <si>
    <t>9208854</t>
  </si>
  <si>
    <t>Cell transplantation</t>
  </si>
  <si>
    <t>CELL TRANSPLANTATION</t>
  </si>
  <si>
    <t>Cell Transplant</t>
  </si>
  <si>
    <t>15553892</t>
  </si>
  <si>
    <t>Cognizant Communication</t>
  </si>
  <si>
    <t>Cell Biology#Transplantation</t>
  </si>
  <si>
    <t>100883360</t>
  </si>
  <si>
    <t>Cells, tissues, organs</t>
  </si>
  <si>
    <t>CELLS, TISSUES, ORGANS</t>
  </si>
  <si>
    <t>Continues: Acta anatomica.</t>
  </si>
  <si>
    <t>Twelve no. a year, 2002-</t>
  </si>
  <si>
    <t>Anatomy#Cell Biology</t>
  </si>
  <si>
    <t>9607427</t>
  </si>
  <si>
    <t>Cellular &amp; molecular biology letters</t>
  </si>
  <si>
    <t>CELLULAR &amp; MOLECULAR BIOLOGY LETTERS</t>
  </si>
  <si>
    <t>Cell Mol Biol Lett</t>
  </si>
  <si>
    <t>101242872</t>
  </si>
  <si>
    <t>Cellular &amp; molecular immunology</t>
  </si>
  <si>
    <t>CELLULAR &amp; MOLECULAR IMMUNOLOGY</t>
  </si>
  <si>
    <t>Cell Mol Immunol</t>
  </si>
  <si>
    <t>20420226</t>
  </si>
  <si>
    <t>9216789</t>
  </si>
  <si>
    <t>Cellular and molecular biology (Noisy-le-Grand, France)</t>
  </si>
  <si>
    <t>CELLULAR AND MOLECULAR BIOLOGY (NOISY-LE-GRAND, FRANCE)</t>
  </si>
  <si>
    <t>Cell Mol Biol (Noisy-le-grand)</t>
  </si>
  <si>
    <t>C.M.B. Association</t>
  </si>
  <si>
    <t>9705402</t>
  </si>
  <si>
    <t>Cellular and molecular life sciences : CMLS</t>
  </si>
  <si>
    <t>CELLULAR AND MOLECULAR LIFE SCIENCES : CMLS</t>
  </si>
  <si>
    <t>Cell Mol Life Sci</t>
  </si>
  <si>
    <t>Continues: Experientia.</t>
  </si>
  <si>
    <t>Birkhauser</t>
  </si>
  <si>
    <t>8200709</t>
  </si>
  <si>
    <t>Cellular and molecular neurobiology</t>
  </si>
  <si>
    <t>CELLULAR AND MOLECULAR NEUROBIOLOGY</t>
  </si>
  <si>
    <t>Cell Mol Neurobiol</t>
  </si>
  <si>
    <t>Cell Biology#Molecular Biology#Neurology</t>
  </si>
  <si>
    <t>1246405</t>
  </si>
  <si>
    <t>Cellular immunology</t>
  </si>
  <si>
    <t>CELLULAR IMMUNOLOGY</t>
  </si>
  <si>
    <t>Cell Immunol</t>
  </si>
  <si>
    <t>Twelve no. a year 2002-</t>
  </si>
  <si>
    <t>Allergy and Immunology#Cell Biology</t>
  </si>
  <si>
    <t>100883691</t>
  </si>
  <si>
    <t>Cellular microbiology</t>
  </si>
  <si>
    <t>CELLULAR MICROBIOLOGY</t>
  </si>
  <si>
    <t>Cell Microbiol</t>
  </si>
  <si>
    <t>Twelve no. a year 2001-</t>
  </si>
  <si>
    <t>Cell Biology#Microbiology</t>
  </si>
  <si>
    <t>101552938</t>
  </si>
  <si>
    <t>Cellular oncology (Dordrecht)</t>
  </si>
  <si>
    <t>CELLULAR ONCOLOGY (DORDRECHT)</t>
  </si>
  <si>
    <t>Cell Oncol (Dordr)</t>
  </si>
  <si>
    <t>Contnues in part Analytical cellular pathology (Amsterdam).</t>
  </si>
  <si>
    <t>9113221</t>
  </si>
  <si>
    <t>Cellular physiology and biochemistry : international journal of experimental cellular physiology, biochemistry, and pharmacology</t>
  </si>
  <si>
    <t>CELLULAR PHYSIOLOGY AND BIOCHEMISTRY : INTERNATIONAL JOURNAL OF EXPERIMENTAL CELLULAR PHYSIOLOGY, BIOCHEMISTRY, AND PHARMACOLOGY</t>
  </si>
  <si>
    <t>Cell Physiol Biochem</t>
  </si>
  <si>
    <t>Biochemistry#Cell Biology#Pharmacology</t>
  </si>
  <si>
    <t>101528176</t>
  </si>
  <si>
    <t>Cellular reprogramming</t>
  </si>
  <si>
    <t>CELLULAR REPROGRAMMING</t>
  </si>
  <si>
    <t>Cell Reprogram</t>
  </si>
  <si>
    <t>Continues: Cloning and stem cells.</t>
  </si>
  <si>
    <t>8904683</t>
  </si>
  <si>
    <t>Cellular signalling</t>
  </si>
  <si>
    <t>CELLULAR SIGNALLING</t>
  </si>
  <si>
    <t>Cell Signal</t>
  </si>
  <si>
    <t>0372566</t>
  </si>
  <si>
    <t>The Central African journal of medicine</t>
  </si>
  <si>
    <t>CENTRAL AFRICAN JOURNAL OF MEDICINE</t>
  </si>
  <si>
    <t>Cent Afr J Med</t>
  </si>
  <si>
    <t>00089176</t>
  </si>
  <si>
    <t>Central African Journal Of Medicine</t>
  </si>
  <si>
    <t>Zimbabwe</t>
  </si>
  <si>
    <t>9417324</t>
  </si>
  <si>
    <t>Central European journal of public health</t>
  </si>
  <si>
    <t>CENTRAL EUROPEAN JOURNAL OF PUBLIC HEALTH</t>
  </si>
  <si>
    <t>Cent Eur J Public Health</t>
  </si>
  <si>
    <t>Continues: Journal of hygiene, epidemiology, microbiology, and immunology.</t>
  </si>
  <si>
    <t>12107778</t>
  </si>
  <si>
    <t>TIGIS, Ltd. in association with the National Institute of Public Health</t>
  </si>
  <si>
    <t>Epidemiology#Public Health</t>
  </si>
  <si>
    <t>101269163</t>
  </si>
  <si>
    <t>Central nervous system agents in medicinal chemistry</t>
  </si>
  <si>
    <t>CENTRAL NERVOUS SYSTEM AGENTS IN MEDICINAL CHEMISTRY</t>
  </si>
  <si>
    <t>Cent Nerv Syst Agents Med Chem</t>
  </si>
  <si>
    <t>Continues: Current medicinal chemistry. Central nervous system agents.</t>
  </si>
  <si>
    <t>Four no. a year, 2006-</t>
  </si>
  <si>
    <t>Chemistry#Neurology#Pharmacology</t>
  </si>
  <si>
    <t>8200710</t>
  </si>
  <si>
    <t>Cephalalgia : an international journal of headache</t>
  </si>
  <si>
    <t>CEPHALALGIA : AN INTERNATIONAL JOURNAL OF HEADACHE</t>
  </si>
  <si>
    <t>Twelve no. a year, 2004-</t>
  </si>
  <si>
    <t>101089443</t>
  </si>
  <si>
    <t>Cerebellum (London, England)</t>
  </si>
  <si>
    <t>CEREBELLUM (LONDON, ENGLAND)</t>
  </si>
  <si>
    <t>9110718</t>
  </si>
  <si>
    <t>Cerebral cortex (New York, N.Y. : 1991)</t>
  </si>
  <si>
    <t>CEREBRAL CORTEX (NEW YORK, N.Y. : 1991)</t>
  </si>
  <si>
    <t>Cereb Cortex</t>
  </si>
  <si>
    <t>9100851</t>
  </si>
  <si>
    <t>Cerebrovascular diseases (Basel, Switzerland)</t>
  </si>
  <si>
    <t>CEREBROVASCULAR DISEASES (BASEL, SWITZERLAND)</t>
  </si>
  <si>
    <t>Cerebrovasc Dis</t>
  </si>
  <si>
    <t>Eight no. a year, 2001-</t>
  </si>
  <si>
    <t>Brain#Vascular Diseases</t>
  </si>
  <si>
    <t>9433765</t>
  </si>
  <si>
    <t>Ceská a Slovenská farmacie : casopis Ceské farmaceutické spolecnosti a Slovenské farmaceutické spolecnosti</t>
  </si>
  <si>
    <t>CESKA A SLOVENSKA FARMACIE : CASOPIS CESKE FARMACEUTICKE SPOLECNOSTI A SLOVENSKE FARMACEUTICKE SPOLECNOSTI</t>
  </si>
  <si>
    <t>Ceska Slov Farm</t>
  </si>
  <si>
    <t>Continues: Ceskoslovenská farmacie.</t>
  </si>
  <si>
    <t>Ceská lékarská spolecnost J. E. Purkyne</t>
  </si>
  <si>
    <t>9600515</t>
  </si>
  <si>
    <t>Ceská a slovenská oftalmologie : casopis Ceské oftalmologické spolecnosti a Slovenské oftalmologické spolecnosti</t>
  </si>
  <si>
    <t>CESKA A SLOVENSKA OFTALMOLOGIE : CASOPIS CESKE OFTALMOLOGICKE SPOLECNOSTI A SLOVENSKE OFTALMOLOGICKE SPOLECNOSTI</t>
  </si>
  <si>
    <t>Cesk Slov Oftalmol</t>
  </si>
  <si>
    <t>Continues: Ceskoslovenská oftalmologie.</t>
  </si>
  <si>
    <t>18054447</t>
  </si>
  <si>
    <t>12119059</t>
  </si>
  <si>
    <t>Ceska Lekarska Spolecnost J. Ev. Purkyne</t>
  </si>
  <si>
    <t>9423768</t>
  </si>
  <si>
    <t>Ceská gynekologie / Ceská lékarská spolecnost J. Ev. Purkyne</t>
  </si>
  <si>
    <t>CESKA GYNEKOLOGIE / CESKA LEKARSKA SPOLECNOST J. EV. PURKYNE</t>
  </si>
  <si>
    <t>Ceska Gynekol</t>
  </si>
  <si>
    <t>Continues: Ceskoslovenská gynekologie.</t>
  </si>
  <si>
    <t>12107832</t>
  </si>
  <si>
    <t>Ceska Lekarska Spolecnost J. E. Purkyne</t>
  </si>
  <si>
    <t>2984710R</t>
  </si>
  <si>
    <t>Ceskoslovenská fysiologie / Ústrední ústav biologický</t>
  </si>
  <si>
    <t>CESKOSLOVENSKA FYSIOLOGIE / USTREDNI USTAV BIOLOGICKY</t>
  </si>
  <si>
    <t>Cesk Fysiol</t>
  </si>
  <si>
    <t>12106313</t>
  </si>
  <si>
    <t>Ceska Lekarska Spolecnost J.E. Purkyne</t>
  </si>
  <si>
    <t>0050734</t>
  </si>
  <si>
    <t>Ceskoslovenská patologie</t>
  </si>
  <si>
    <t>CESKOSLOVENSKA PATOLOGIE</t>
  </si>
  <si>
    <t>Cesk Patol</t>
  </si>
  <si>
    <t>12107875</t>
  </si>
  <si>
    <t>Ceska Lekarska Spolecnost</t>
  </si>
  <si>
    <t>1264702</t>
  </si>
  <si>
    <t>The Ceylon medical journal</t>
  </si>
  <si>
    <t>CEYLON MEDICAL JOURNAL</t>
  </si>
  <si>
    <t>Ceylon Med J</t>
  </si>
  <si>
    <t>Supersedes: Britstish Medical Association. Ceylon Branch Journal.</t>
  </si>
  <si>
    <t>00090875</t>
  </si>
  <si>
    <t>Sri Lanka Medical Association</t>
  </si>
  <si>
    <t>Sri Lanka</t>
  </si>
  <si>
    <t>101321614</t>
  </si>
  <si>
    <t>Channels (Austin, Tex.)</t>
  </si>
  <si>
    <t>CHANNELS (AUSTIN, TEX.)</t>
  </si>
  <si>
    <t>Channels (Austin)</t>
  </si>
  <si>
    <t>100971574</t>
  </si>
  <si>
    <t>Chaos (Woodbury, N.Y.)</t>
  </si>
  <si>
    <t>CHAOS (WOODBURY, N.Y.)</t>
  </si>
  <si>
    <t>Chaos</t>
  </si>
  <si>
    <t>10897682</t>
  </si>
  <si>
    <t>10541500</t>
  </si>
  <si>
    <t>American Institute of Physics</t>
  </si>
  <si>
    <t>100937360</t>
  </si>
  <si>
    <t>Chembiochem : a European journal of chemical biology</t>
  </si>
  <si>
    <t>CHEMBIOCHEM : A EUROPEAN JOURNAL OF CHEMICAL BIOLOGY</t>
  </si>
  <si>
    <t>Chembiochem</t>
  </si>
  <si>
    <t>Monthly, 2001-</t>
  </si>
  <si>
    <t>0377775</t>
  </si>
  <si>
    <t>Chemical &amp; pharmaceutical bulletin</t>
  </si>
  <si>
    <t>CHEMICAL &amp; PHARMACEUTICAL BULLETIN</t>
  </si>
  <si>
    <t>Chem Pharm Bull (Tokyo)</t>
  </si>
  <si>
    <t>Continues: Pharmaceutical bulletin.</t>
  </si>
  <si>
    <t>Pharmaceutical Society of Japan.</t>
  </si>
  <si>
    <t>101262549</t>
  </si>
  <si>
    <t>Chemical biology &amp; drug design</t>
  </si>
  <si>
    <t>CHEMICAL BIOLOGY &amp; DRUG DESIGN</t>
  </si>
  <si>
    <t>Chem Biol Drug Des</t>
  </si>
  <si>
    <t>Continues: Journal of peptide research.</t>
  </si>
  <si>
    <t>9610838</t>
  </si>
  <si>
    <t>Chemical communications (Cambridge, England)</t>
  </si>
  <si>
    <t>CHEMICAL COMMUNICATIONS (CAMBRIDGE, ENGLAND)</t>
  </si>
  <si>
    <t>Chem Commun (Camb)</t>
  </si>
  <si>
    <t>Continues: Journal of the Chemical Society. Chemical communications.</t>
  </si>
  <si>
    <t>101183835</t>
  </si>
  <si>
    <t>Chemical immunology and allergy</t>
  </si>
  <si>
    <t>CHEMICAL IMMUNOLOGY AND ALLERGY</t>
  </si>
  <si>
    <t>Chem Immunol Allergy</t>
  </si>
  <si>
    <t>Continues: Chemical immunology.</t>
  </si>
  <si>
    <t>00796034</t>
  </si>
  <si>
    <t>Allergy and Immunology#Biochemistry</t>
  </si>
  <si>
    <t>101085550</t>
  </si>
  <si>
    <t>Chemical record (New York, N.Y.)</t>
  </si>
  <si>
    <t>CHEMICAL RECORD (NEW YORK, N.Y.)</t>
  </si>
  <si>
    <t>Chem Rec</t>
  </si>
  <si>
    <t>15280691</t>
  </si>
  <si>
    <t>15278999</t>
  </si>
  <si>
    <t>Six times per year</t>
  </si>
  <si>
    <t>8807448</t>
  </si>
  <si>
    <t>Chemical research in toxicology</t>
  </si>
  <si>
    <t>CHEMICAL RESEARCH IN TOXICOLOGY</t>
  </si>
  <si>
    <t>Chem Res Toxicol</t>
  </si>
  <si>
    <t>2985134R</t>
  </si>
  <si>
    <t>Chemical reviews</t>
  </si>
  <si>
    <t>CHEMICAL REVIEWS</t>
  </si>
  <si>
    <t>Chem Rev</t>
  </si>
  <si>
    <t>15206890</t>
  </si>
  <si>
    <t>00092665</t>
  </si>
  <si>
    <t>12 no. a year, 1999-</t>
  </si>
  <si>
    <t>8217190</t>
  </si>
  <si>
    <t>Chemical senses</t>
  </si>
  <si>
    <t>CHEMICAL SENSES</t>
  </si>
  <si>
    <t>Chem Senses</t>
  </si>
  <si>
    <t>Continues: Chemical senses and flavor.</t>
  </si>
  <si>
    <t>9 no. a year, 2001-</t>
  </si>
  <si>
    <t>0335405</t>
  </si>
  <si>
    <t>Chemical Society reviews</t>
  </si>
  <si>
    <t>CHEMICAL SOCIETY REVIEWS</t>
  </si>
  <si>
    <t>Chem Soc Rev</t>
  </si>
  <si>
    <t>Formed by the merger of Quarterly reviews and the Royal Institute of Chemistry's RIC reviews.</t>
  </si>
  <si>
    <t>14604744</t>
  </si>
  <si>
    <t>03060012</t>
  </si>
  <si>
    <t>Chemical Society</t>
  </si>
  <si>
    <t>0227276</t>
  </si>
  <si>
    <t>Chemico-biological interactions</t>
  </si>
  <si>
    <t>CHEMICO-BIOLOGICAL INTERACTIONS</t>
  </si>
  <si>
    <t>Chem Biol Interact</t>
  </si>
  <si>
    <t>101197449</t>
  </si>
  <si>
    <t>Chemistry &amp; biodiversity</t>
  </si>
  <si>
    <t>CHEMISTRY &amp; BIODIVERSITY</t>
  </si>
  <si>
    <t>Chem Biodivers</t>
  </si>
  <si>
    <t>Verlag Helvetica Chimica Acta</t>
  </si>
  <si>
    <t>9500160</t>
  </si>
  <si>
    <t>Chemistry &amp; biology</t>
  </si>
  <si>
    <t>CHEMISTRY &amp; BIOLOGY</t>
  </si>
  <si>
    <t>Chem Biol</t>
  </si>
  <si>
    <t>18791301</t>
  </si>
  <si>
    <t>Biochemistry#Biology#Chemistry</t>
  </si>
  <si>
    <t>9513783</t>
  </si>
  <si>
    <t>Chemistry (Weinheim an der Bergstrasse, Germany)</t>
  </si>
  <si>
    <t>CHEMISTRY (WEINHEIM AN DER BERGSTRASSE, GERMANY)</t>
  </si>
  <si>
    <t>Issued 1995-1996 as separately paged publication included in every second issue of: Angewandte Chemie (International ed. in English), ISSN 0570-0833; and: Angewandte Chemie (Weinheim an der Bergstrasse, Germany), ISSN 0044-8249; issued separately, 1997-</t>
  </si>
  <si>
    <t>15213765</t>
  </si>
  <si>
    <t>09476539</t>
  </si>
  <si>
    <t>48 times a year, &lt;2010-&gt;</t>
  </si>
  <si>
    <t>0067206</t>
  </si>
  <si>
    <t>Chemistry and physics of lipids</t>
  </si>
  <si>
    <t>CHEMISTRY AND PHYSICS OF LIPIDS</t>
  </si>
  <si>
    <t>Chem Phys Lipids</t>
  </si>
  <si>
    <t>Elsevier Science Ireland Ltd</t>
  </si>
  <si>
    <t>Twelve no. a year, 2013-</t>
  </si>
  <si>
    <t>101294643</t>
  </si>
  <si>
    <t>Chemistry, an Asian journal</t>
  </si>
  <si>
    <t>CHEMISTRY, AN ASIAN JOURNAL</t>
  </si>
  <si>
    <t>Chem Asian J</t>
  </si>
  <si>
    <t>1861471X</t>
  </si>
  <si>
    <t>18614728</t>
  </si>
  <si>
    <t>101259013</t>
  </si>
  <si>
    <t>CHEMMEDCHEM</t>
  </si>
  <si>
    <t>Continues: Farmaco (Società chimica italiana).</t>
  </si>
  <si>
    <t>0320657</t>
  </si>
  <si>
    <t>CHEMOSPHERE</t>
  </si>
  <si>
    <t>Thirty no. a year</t>
  </si>
  <si>
    <t>Biology#Chemistry#Environmental Health</t>
  </si>
  <si>
    <t>0144731</t>
  </si>
  <si>
    <t>CHEMOTHERAPY</t>
  </si>
  <si>
    <t>Continues Chemotherapia.</t>
  </si>
  <si>
    <t>Drug Therapy</t>
  </si>
  <si>
    <t>100954211</t>
  </si>
  <si>
    <t>Chemphyschem : a European journal of chemical physics and physical chemistry</t>
  </si>
  <si>
    <t>CHEMPHYSCHEM : A EUROPEAN JOURNAL OF CHEMICAL PHYSICS AND PHYSICAL CHEMISTRY</t>
  </si>
  <si>
    <t>Chemphyschem</t>
  </si>
  <si>
    <t>Continues: Journal de chimie physique et de physico-chimie biologique.</t>
  </si>
  <si>
    <t>14397641</t>
  </si>
  <si>
    <t>14394235</t>
  </si>
  <si>
    <t>18 no. a year, 2007-</t>
  </si>
  <si>
    <t>101319536</t>
  </si>
  <si>
    <t>ChemSusChem</t>
  </si>
  <si>
    <t>CHEMSUSCHEM</t>
  </si>
  <si>
    <t>Continues: Annali di chimica.</t>
  </si>
  <si>
    <t>1864564X</t>
  </si>
  <si>
    <t>18645631</t>
  </si>
  <si>
    <t>Chemistry#Toxicology</t>
  </si>
  <si>
    <t>0231335</t>
  </si>
  <si>
    <t>CHEST</t>
  </si>
  <si>
    <t>Continues: Diseases of the chest.</t>
  </si>
  <si>
    <t>7801702</t>
  </si>
  <si>
    <t>Child abuse &amp; neglect</t>
  </si>
  <si>
    <t>CHILD ABUSE &amp; NEGLECT</t>
  </si>
  <si>
    <t>Child Abuse Negl</t>
  </si>
  <si>
    <t>Elsevier Science Inc</t>
  </si>
  <si>
    <t>9313451</t>
  </si>
  <si>
    <t>Child and adolescent psychiatric clinics of North America</t>
  </si>
  <si>
    <t>CHILD AND ADOLESCENT PSYCHIATRIC CLINICS OF NORTH AMERICA</t>
  </si>
  <si>
    <t>Child Adolesc Psychiatr Clin N Am</t>
  </si>
  <si>
    <t>Elsevier Health</t>
  </si>
  <si>
    <t>Pediatrics#Psychiatry</t>
  </si>
  <si>
    <t>0372725</t>
  </si>
  <si>
    <t>Child development</t>
  </si>
  <si>
    <t>CHILD DEVELOPMENT</t>
  </si>
  <si>
    <t>Child Dev</t>
  </si>
  <si>
    <t>14678624</t>
  </si>
  <si>
    <t>00093920</t>
  </si>
  <si>
    <t>Blackwell Publishers</t>
  </si>
  <si>
    <t>9881972</t>
  </si>
  <si>
    <t>Child health alert</t>
  </si>
  <si>
    <t>CHILD HEALTH ALERT</t>
  </si>
  <si>
    <t>Child Health Alert</t>
  </si>
  <si>
    <t>10644849</t>
  </si>
  <si>
    <t>Child Health Alert, Inc.</t>
  </si>
  <si>
    <t>9602869</t>
  </si>
  <si>
    <t>Child maltreatment</t>
  </si>
  <si>
    <t>CHILD MALTREATMENT</t>
  </si>
  <si>
    <t>Child Maltreat</t>
  </si>
  <si>
    <t>15526119</t>
  </si>
  <si>
    <t>10775595</t>
  </si>
  <si>
    <t>9512515</t>
  </si>
  <si>
    <t>Child neuropsychology : a journal on normal and abnormal development in childhood and adolescence</t>
  </si>
  <si>
    <t>CHILD NEUROPSYCHOLOGY : A JOURNAL ON NORMAL AND ABNORMAL DEVELOPMENT IN CHILDHOOD AND ADOLESCENCE</t>
  </si>
  <si>
    <t>Child Neuropsychol</t>
  </si>
  <si>
    <t>17444136</t>
  </si>
  <si>
    <t>09297049</t>
  </si>
  <si>
    <t>Quarterly, 1999-</t>
  </si>
  <si>
    <t>1275332</t>
  </si>
  <si>
    <t>Child psychiatry and human development</t>
  </si>
  <si>
    <t>CHILD PSYCHIATRY AND HUMAN DEVELOPMENT</t>
  </si>
  <si>
    <t>Child Psychiatry Hum Dev</t>
  </si>
  <si>
    <t>15733327</t>
  </si>
  <si>
    <t>0009398X</t>
  </si>
  <si>
    <t>0372735</t>
  </si>
  <si>
    <t>Child welfare</t>
  </si>
  <si>
    <t>CHILD WELFARE</t>
  </si>
  <si>
    <t>Child Welfare</t>
  </si>
  <si>
    <t>Continues: Bulletin. Child Welfare League of America.</t>
  </si>
  <si>
    <t>00094021</t>
  </si>
  <si>
    <t>Child Welfare League of America.</t>
  </si>
  <si>
    <t>Health Services#Pediatrics</t>
  </si>
  <si>
    <t>7602632</t>
  </si>
  <si>
    <t>Child: care, health and development</t>
  </si>
  <si>
    <t>CHILD: CARE, HEALTH AND DEVELOPMENT</t>
  </si>
  <si>
    <t>Child Care Health Dev</t>
  </si>
  <si>
    <t>Absorbed: Ambulatory child health. 2002</t>
  </si>
  <si>
    <t>13652214</t>
  </si>
  <si>
    <t>03051862</t>
  </si>
  <si>
    <t>Blackwell Scientific Publications.</t>
  </si>
  <si>
    <t>101542497</t>
  </si>
  <si>
    <t>Childhood obesity (Print)</t>
  </si>
  <si>
    <t>CHILDHOOD OBESITY (PRINT)</t>
  </si>
  <si>
    <t>Child Obes</t>
  </si>
  <si>
    <t>Continues: Obesity and weight management (Print).</t>
  </si>
  <si>
    <t>21532176</t>
  </si>
  <si>
    <t>21532168</t>
  </si>
  <si>
    <t>Metabolism#Pediatrics</t>
  </si>
  <si>
    <t>8503227</t>
  </si>
  <si>
    <t>Child's nervous system : ChNS : official journal of the International Society for Pediatric Neurosurgery</t>
  </si>
  <si>
    <t>CHILD'S NERVOUS SYSTEM : CHNS : OFFICIAL JOURNAL OF THE INTERNATIONAL SOCIETY FOR PEDIATRIC NEUROSURGERY</t>
  </si>
  <si>
    <t>Childs Nerv Syst</t>
  </si>
  <si>
    <t>Continues in part: Child's brain.</t>
  </si>
  <si>
    <t>Neurology#Pediatrics</t>
  </si>
  <si>
    <t>101540510</t>
  </si>
  <si>
    <t>CHIMERISM</t>
  </si>
  <si>
    <t>Molecular Biology#Transplantation</t>
  </si>
  <si>
    <t>0373152</t>
  </si>
  <si>
    <t>Chimia</t>
  </si>
  <si>
    <t>CHIMIA</t>
  </si>
  <si>
    <t>Chimia (Aarau)</t>
  </si>
  <si>
    <t>Supersedes: Schweizer Chemiker-Zeitung und Technik-Industrie.</t>
  </si>
  <si>
    <t>00094293</t>
  </si>
  <si>
    <t>Verlag Sauerlander</t>
  </si>
  <si>
    <t>101498232</t>
  </si>
  <si>
    <t>Chinese journal of cancer</t>
  </si>
  <si>
    <t>CHINESE JOURNAL OF CANCER</t>
  </si>
  <si>
    <t>Chin J Cancer</t>
  </si>
  <si>
    <t>Sun Yat Sen University Cancer Center</t>
  </si>
  <si>
    <t>100892845</t>
  </si>
  <si>
    <t>The Chinese journal of dental research : the official journal of the Scientific Section of the Chinese Stomatological Association (CSA)</t>
  </si>
  <si>
    <t>CHINESE JOURNAL OF DENTAL RESEARCH : THE OFFICIAL JOURNAL OF THE SCIENTIFIC SECTION OF THE CHINESE STOMATOLOGICAL ASSOCIATION (CSA)</t>
  </si>
  <si>
    <t>Chin J Dent Res</t>
  </si>
  <si>
    <t>14626446</t>
  </si>
  <si>
    <t>Quintessence Pub. Co.</t>
  </si>
  <si>
    <t>101181180</t>
  </si>
  <si>
    <t>Chinese journal of integrative medicine</t>
  </si>
  <si>
    <t>CHINESE JOURNAL OF INTEGRATIVE MEDICINE</t>
  </si>
  <si>
    <t>Chin J Integr Med</t>
  </si>
  <si>
    <t>Continues: Zhongguo Zhong xi yi jie he za zhi. English. Chinese journal of integrated traditional and Western medicine.</t>
  </si>
  <si>
    <t>101504416</t>
  </si>
  <si>
    <t>Chinese journal of natural medicines</t>
  </si>
  <si>
    <t>CHINESE JOURNAL OF NATURAL MEDICINES</t>
  </si>
  <si>
    <t>Chin J Nat Med</t>
  </si>
  <si>
    <t>16723651</t>
  </si>
  <si>
    <t>Bimonthly.</t>
  </si>
  <si>
    <t>7804502</t>
  </si>
  <si>
    <t>The Chinese journal of physiology</t>
  </si>
  <si>
    <t>CHINESE JOURNAL OF PHYSIOLOGY</t>
  </si>
  <si>
    <t>Chin J Physiol</t>
  </si>
  <si>
    <t>Continues in part: Chinese journal of physiology.</t>
  </si>
  <si>
    <t>Chinese Physiological Society.</t>
  </si>
  <si>
    <t>100886162</t>
  </si>
  <si>
    <t>Chinese journal of traumatology = Zhonghua chuang shang za zhi / Chinese Medical Association</t>
  </si>
  <si>
    <t>CHINESE JOURNAL OF TRAUMATOLOGY = ZHONGHUA CHUANG SHANG ZA ZHI / CHINESE MEDICAL ASSOCIATION</t>
  </si>
  <si>
    <t>Chin J Traumatol</t>
  </si>
  <si>
    <t>Editorial Dept. of Chinese Journal of Traumatology</t>
  </si>
  <si>
    <t>Quarterly, 2000-</t>
  </si>
  <si>
    <t>General Surgery#Traumatology</t>
  </si>
  <si>
    <t>7513795</t>
  </si>
  <si>
    <t>Chinese medical journal</t>
  </si>
  <si>
    <t>CHINESE MEDICAL JOURNAL</t>
  </si>
  <si>
    <t>Chin Med J (Engl)</t>
  </si>
  <si>
    <t>Chinese Medical Association and Pergamon Press</t>
  </si>
  <si>
    <t>9112559</t>
  </si>
  <si>
    <t>Chinese medical sciences journal = Chung-kuo i hsüeh k'o hsüeh tsa chih / Chinese Academy of Medical Sciences</t>
  </si>
  <si>
    <t>CHINESE MEDICAL SCIENCES JOURNAL = CHUNG-KUO I HSUEH K'O HSUEH TSA CHIH / CHINESE ACADEMY OF MEDICAL SCIENCES</t>
  </si>
  <si>
    <t>Chin Med Sci J</t>
  </si>
  <si>
    <t>Continues: Proceedings of the Chinese Academy of Medical Sciences and the Peking Union Medical College.</t>
  </si>
  <si>
    <t>8914261</t>
  </si>
  <si>
    <t>CHIRALITY</t>
  </si>
  <si>
    <t>10 no. a year, 1998-</t>
  </si>
  <si>
    <t>Chemistry#Molecular Biology</t>
  </si>
  <si>
    <t>16140410R</t>
  </si>
  <si>
    <t>Der Chirurg; Zeitschrift für alle Gebiete der operativen Medizen</t>
  </si>
  <si>
    <t>CHIRURG; ZEITSCHRIFT FUR ALLE GEBIETE DER OPERATIVEN MEDIZEN</t>
  </si>
  <si>
    <t>Chirurg</t>
  </si>
  <si>
    <t>14330385</t>
  </si>
  <si>
    <t>00094722</t>
  </si>
  <si>
    <t>9213031</t>
  </si>
  <si>
    <t>Chirurgia (Bucharest, Romania : 1990)</t>
  </si>
  <si>
    <t>CHIRURGIA (BUCHAREST, ROMANIA : 1990)</t>
  </si>
  <si>
    <t>Chirurgia (Bucur)</t>
  </si>
  <si>
    <t>Continues: Revista de chirurgie, oncologie, radiologie, o.r.l., oftalmologie, stomatologie. Chirurgie.</t>
  </si>
  <si>
    <t>12219118</t>
  </si>
  <si>
    <t>Editura Celsius</t>
  </si>
  <si>
    <t>100937750</t>
  </si>
  <si>
    <t>Chirurgie de la main</t>
  </si>
  <si>
    <t>CHIRURGIE DE LA MAIN</t>
  </si>
  <si>
    <t>Chir Main</t>
  </si>
  <si>
    <t>Continues: Annales de chirurgie de la main et du membre supérieur.</t>
  </si>
  <si>
    <t>Editions Elsevier</t>
  </si>
  <si>
    <t>Six no. a year, 2005-</t>
  </si>
  <si>
    <t>2985138R</t>
  </si>
  <si>
    <t>CHROMOSOMA</t>
  </si>
  <si>
    <t>Continues: Zeitschrift für Zellforschung und mikroskopische Anatomie. Abteilung B, Chromosoma.</t>
  </si>
  <si>
    <t>Eight issues a year, Sept. 1991-</t>
  </si>
  <si>
    <t>9313452</t>
  </si>
  <si>
    <t>Chromosome research : an international journal on the molecular, supramolecular and evolutionary aspects of chromosome biology</t>
  </si>
  <si>
    <t>CHROMOSOME RESEARCH : AN INTERNATIONAL JOURNAL ON THE MOLECULAR, SUPRAMOLECULAR AND EVOLUTIONARY ASPECTS OF CHROMOSOME BIOLOGY</t>
  </si>
  <si>
    <t>Chromosome Res</t>
  </si>
  <si>
    <t>101556266</t>
  </si>
  <si>
    <t>Chronic diseases and injuries in Canada</t>
  </si>
  <si>
    <t>CHRONIC DISEASES AND INJURIES IN CANADA</t>
  </si>
  <si>
    <t>Chronic Dis Inj Can</t>
  </si>
  <si>
    <t>Continues: Chronic diseases in Canada..</t>
  </si>
  <si>
    <t>19256523</t>
  </si>
  <si>
    <t>19256515</t>
  </si>
  <si>
    <t>Epidemiology#Traumatology</t>
  </si>
  <si>
    <t>101253019</t>
  </si>
  <si>
    <t>Chronic illness</t>
  </si>
  <si>
    <t>CHRONIC ILLNESS</t>
  </si>
  <si>
    <t>Chronic Illn</t>
  </si>
  <si>
    <t>101197408</t>
  </si>
  <si>
    <t>Chronic respiratory disease</t>
  </si>
  <si>
    <t>CHRONIC RESPIRATORY DISEASE</t>
  </si>
  <si>
    <t>Chron Respir Dis</t>
  </si>
  <si>
    <t>8501362</t>
  </si>
  <si>
    <t>Chronobiology international</t>
  </si>
  <si>
    <t>CHRONOBIOLOGY INTERNATIONAL</t>
  </si>
  <si>
    <t>Chronobiol Int</t>
  </si>
  <si>
    <t>15256073</t>
  </si>
  <si>
    <t>07420528</t>
  </si>
  <si>
    <t>9310053</t>
  </si>
  <si>
    <t>Chūdoku kenkyū : Chūdoku Kenkyūkai jun kikanshi = The Japanese journal of toxicology</t>
  </si>
  <si>
    <t>CHUDOKU KENKYU : CHUDOKU KENKYUKAI JUN KIKANSHI = THE JAPANESE JOURNAL OF TOXICOLOGY</t>
  </si>
  <si>
    <t>Chudoku Kenkyu</t>
  </si>
  <si>
    <t>09143777</t>
  </si>
  <si>
    <t>Yakugyō Jihōsha</t>
  </si>
  <si>
    <t>9713483</t>
  </si>
  <si>
    <t>Ciência &amp; saúde coletiva</t>
  </si>
  <si>
    <t>CIENCIA &amp; SAUDE COLETIVA</t>
  </si>
  <si>
    <t>Cien Saude Colet</t>
  </si>
  <si>
    <t>16784561</t>
  </si>
  <si>
    <t>14138123</t>
  </si>
  <si>
    <t>Associação Brasileira de Pós-Graduação em Saúde Coletiva</t>
  </si>
  <si>
    <t>Four nos. a year, 2002-</t>
  </si>
  <si>
    <t>0147763</t>
  </si>
  <si>
    <t>CIRCULATION</t>
  </si>
  <si>
    <t>Weekly (except the first two weeks in Jan. and the last two weeks in Dec.), &lt;Apr. 8, 2003-&gt;</t>
  </si>
  <si>
    <t>101137683</t>
  </si>
  <si>
    <t>Circulation journal : official journal of the Japanese Circulation Society</t>
  </si>
  <si>
    <t>CIRCULATION JOURNAL : OFFICIAL JOURNAL OF THE JAPANESE CIRCULATION SOCIETY</t>
  </si>
  <si>
    <t>Circ J</t>
  </si>
  <si>
    <t>Continues: Japanese circulation journal.</t>
  </si>
  <si>
    <t>0047103</t>
  </si>
  <si>
    <t>Circulation research</t>
  </si>
  <si>
    <t>CIRCULATION RESEARCH</t>
  </si>
  <si>
    <t>Circ Res</t>
  </si>
  <si>
    <t>Semimonthly, &lt;2003-&gt;</t>
  </si>
  <si>
    <t>101474365</t>
  </si>
  <si>
    <t>Circulation. Arrhythmia and electrophysiology</t>
  </si>
  <si>
    <t>CIRCULATION. ARRHYTHMIA AND ELECTROPHYSIOLOGY</t>
  </si>
  <si>
    <t>Circ Arrhythm Electrophysiol</t>
  </si>
  <si>
    <t>101489144</t>
  </si>
  <si>
    <t>Circulation. Cardiovascular genetics</t>
  </si>
  <si>
    <t>CIRCULATION. CARDIOVASCULAR GENETICS</t>
  </si>
  <si>
    <t>Circ Cardiovasc Genet</t>
  </si>
  <si>
    <t>Cardiology#Genetics, Medical#Vascular Diseases</t>
  </si>
  <si>
    <t>101479935</t>
  </si>
  <si>
    <t>Circulation. Cardiovascular imaging</t>
  </si>
  <si>
    <t>CIRCULATION. CARDIOVASCULAR IMAGING</t>
  </si>
  <si>
    <t>Circ Cardiovasc Imaging</t>
  </si>
  <si>
    <t>101499602</t>
  </si>
  <si>
    <t>Circulation. Cardiovascular interventions</t>
  </si>
  <si>
    <t>CIRCULATION. CARDIOVASCULAR INTERVENTIONS</t>
  </si>
  <si>
    <t>Circ Cardiovasc Interv</t>
  </si>
  <si>
    <t>101489148</t>
  </si>
  <si>
    <t>Circulation. Cardiovascular quality and outcomes</t>
  </si>
  <si>
    <t>CIRCULATION. CARDIOVASCULAR QUALITY AND OUTCOMES</t>
  </si>
  <si>
    <t>Circ Cardiovasc Qual Outcomes</t>
  </si>
  <si>
    <t>101479941</t>
  </si>
  <si>
    <t>Circulation. Heart failure</t>
  </si>
  <si>
    <t>CIRCULATION. HEART FAILURE</t>
  </si>
  <si>
    <t>Circ Heart Fail</t>
  </si>
  <si>
    <t>1254104</t>
  </si>
  <si>
    <t>Cirugía española</t>
  </si>
  <si>
    <t>CIRUGIA ESPANOLA</t>
  </si>
  <si>
    <t>Cir Esp</t>
  </si>
  <si>
    <t>Continues: Cirugía, ginecología y urología.</t>
  </si>
  <si>
    <t>1578147X</t>
  </si>
  <si>
    <t>0009739X</t>
  </si>
  <si>
    <t>Monthly, 1988-</t>
  </si>
  <si>
    <t>8900492</t>
  </si>
  <si>
    <t>Cirugía pediátrica : organo oficial de la Sociedad Española de Cirugía Pediátrica</t>
  </si>
  <si>
    <t>CIRUGIA PEDIATRICA : ORGANO OFICIAL DE LA SOCIEDAD ESPANOLA DE CIRUGIA PEDIATRICA</t>
  </si>
  <si>
    <t>Cir Pediatr</t>
  </si>
  <si>
    <t>02141221</t>
  </si>
  <si>
    <t>Pat Ediciones</t>
  </si>
  <si>
    <t>0372736</t>
  </si>
  <si>
    <t>Cirugia y cirujanos</t>
  </si>
  <si>
    <t>CIRUGIA Y CIRUJANOS</t>
  </si>
  <si>
    <t>Cir Cir</t>
  </si>
  <si>
    <t>00097411</t>
  </si>
  <si>
    <t>Academia Mexicana de Cirugía</t>
  </si>
  <si>
    <t>1933</t>
  </si>
  <si>
    <t>100893237</t>
  </si>
  <si>
    <t>CJEM</t>
  </si>
  <si>
    <t>Decker Pub.</t>
  </si>
  <si>
    <t>9102566</t>
  </si>
  <si>
    <t>The Cleft palate-craniofacial journal : official publication of the American Cleft Palate-Craniofacial Association</t>
  </si>
  <si>
    <t>CLEFT PALATE-CRANIOFACIAL JOURNAL : OFFICIAL PUBLICATION OF THE AMERICAN CLEFT PALATE-CRANIOFACIAL ASSOCIATION</t>
  </si>
  <si>
    <t>Cleft Palate Craniofac J</t>
  </si>
  <si>
    <t>Continues: Cleft palate journal.</t>
  </si>
  <si>
    <t>Decker Periodicals</t>
  </si>
  <si>
    <t>8703441</t>
  </si>
  <si>
    <t>Cleveland Clinic journal of medicine</t>
  </si>
  <si>
    <t>CLEVELAND CLINIC JOURNAL OF MEDICINE</t>
  </si>
  <si>
    <t>Cleve Clin J Med</t>
  </si>
  <si>
    <t>Continues: Cleveland Clinic quarterly.</t>
  </si>
  <si>
    <t>19392869</t>
  </si>
  <si>
    <t>08911150</t>
  </si>
  <si>
    <t>Cleveland Clinic Educational Foundation</t>
  </si>
  <si>
    <t>9810959</t>
  </si>
  <si>
    <t>Climacteric : the journal of the International Menopause Society</t>
  </si>
  <si>
    <t>CLIMACTERIC : THE JOURNAL OF THE INTERNATIONAL MENOPAUSE SOCIETY</t>
  </si>
  <si>
    <t>1302422</t>
  </si>
  <si>
    <t>Clinica chimica acta; international journal of clinical chemistry</t>
  </si>
  <si>
    <t>CLINICA CHIMICA ACTA; INTERNATIONAL JOURNAL OF CLINICAL CHEMISTRY</t>
  </si>
  <si>
    <t>Clin Chim Acta</t>
  </si>
  <si>
    <t>Elsevier.</t>
  </si>
  <si>
    <t>9208512</t>
  </si>
  <si>
    <t>Clínica e investigación en arteriosclerosis : publicación oficial de la Sociedad Española de Arteriosclerosis</t>
  </si>
  <si>
    <t>CLINICA E INVESTIGACION EN ARTERIOSCLEROSIS : PUBLICACION OFICIAL DE LA SOCIEDAD ESPANOLA DE ARTERIOSCLEROSIS</t>
  </si>
  <si>
    <t>Clin Investig Arterioscler</t>
  </si>
  <si>
    <t>Ediciones Doyma S.A.</t>
  </si>
  <si>
    <t>0372604</t>
  </si>
  <si>
    <t>La Clinica terapeutica</t>
  </si>
  <si>
    <t>CLINICA TERAPEUTICA</t>
  </si>
  <si>
    <t>Clin Ter</t>
  </si>
  <si>
    <t>Drug Therapy#Therapeutics</t>
  </si>
  <si>
    <t>8409970</t>
  </si>
  <si>
    <t>Clinical &amp; experimental metastasis</t>
  </si>
  <si>
    <t>CLINICAL &amp; EXPERIMENTAL METASTASIS</t>
  </si>
  <si>
    <t>Clin Exp Metastasis</t>
  </si>
  <si>
    <t>Ten no. a year, 1999-</t>
  </si>
  <si>
    <t>100896531</t>
  </si>
  <si>
    <t>Clinical &amp; experimental ophthalmology</t>
  </si>
  <si>
    <t>CLINICAL &amp; EXPERIMENTAL OPHTHALMOLOGY</t>
  </si>
  <si>
    <t>Clin Experiment Ophthalmol</t>
  </si>
  <si>
    <t>Continues: Australian journal of ophthalmology.</t>
  </si>
  <si>
    <t>Wiley-Blackwell Pub. Asia</t>
  </si>
  <si>
    <t>8703442</t>
  </si>
  <si>
    <t>Clinical &amp; experimental optometry : journal of the Australian Optometrical Association</t>
  </si>
  <si>
    <t>CLINICAL &amp; EXPERIMENTAL OPTOMETRY : JOURNAL OF THE AUSTRALIAN OPTOMETRICAL ASSOCIATION</t>
  </si>
  <si>
    <t>Clin Exp Optom</t>
  </si>
  <si>
    <t>Continues: Australian journal of optometry.</t>
  </si>
  <si>
    <t>14440938</t>
  </si>
  <si>
    <t>08164622</t>
  </si>
  <si>
    <t>Optometry</t>
  </si>
  <si>
    <t>101247119</t>
  </si>
  <si>
    <t>Clinical &amp; translational oncology : official publication of the Federation of Spanish Oncology Societies and of the National Cancer Institute of Mexico</t>
  </si>
  <si>
    <t>CLINICAL &amp; TRANSLATIONAL ONCOLOGY : OFFICIAL PUBLICATION OF THE FEDERATION OF SPANISH ONCOLOGY SOCIETIES AND OF THE NATIONAL CANCER INSTITUTE OF MEXICO</t>
  </si>
  <si>
    <t>Clin Transl Oncol</t>
  </si>
  <si>
    <t>Continues: Revista de oncología (Barcelona, Spain).</t>
  </si>
  <si>
    <t>101167661</t>
  </si>
  <si>
    <t>Clinical advances in hematology &amp; oncology : H&amp;O</t>
  </si>
  <si>
    <t>CLINICAL ADVANCES IN HEMATOLOGY &amp; ONCOLOGY : H&amp;O</t>
  </si>
  <si>
    <t>Clin Adv Hematol Oncol</t>
  </si>
  <si>
    <t>Millennium Medical Pub.</t>
  </si>
  <si>
    <t>Hematology#Neoplasms</t>
  </si>
  <si>
    <t>9431211</t>
  </si>
  <si>
    <t>Clinical allergy and immunology</t>
  </si>
  <si>
    <t>CLINICAL ALLERGY AND IMMUNOLOGY</t>
  </si>
  <si>
    <t>Clin Allergy Immunol</t>
  </si>
  <si>
    <t>10757910</t>
  </si>
  <si>
    <t>8809128</t>
  </si>
  <si>
    <t>Clinical anatomy (New York, N.Y.)</t>
  </si>
  <si>
    <t>CLINICAL ANATOMY (NEW YORK, N.Y.)</t>
  </si>
  <si>
    <t>Clin Anat</t>
  </si>
  <si>
    <t>Alan R. Liss, Inc.</t>
  </si>
  <si>
    <t>9508125</t>
  </si>
  <si>
    <t>Clinical and applied thrombosis/hemostasis : official journal of the International Academy of Clinical and Applied Thrombosis/Hemostasis</t>
  </si>
  <si>
    <t>CLINICAL AND APPLIED THROMBOSIS/HEMOSTASIS : OFFICIAL JOURNAL OF THE INTERNATIONAL ACADEMY OF CLINICAL AND APPLIED THROMBOSIS/HEMOSTASIS</t>
  </si>
  <si>
    <t>Clin Appl Thromb Hemost</t>
  </si>
  <si>
    <t>8906443</t>
  </si>
  <si>
    <t>Clinical and experimental allergy : journal of the British Society for Allergy and Clinical Immunology</t>
  </si>
  <si>
    <t>CLINICAL AND EXPERIMENTAL ALLERGY : JOURNAL OF THE BRITISH SOCIETY FOR ALLERGY AND CLINICAL IMMUNOLOGY</t>
  </si>
  <si>
    <t>Clin Exp Allergy</t>
  </si>
  <si>
    <t>Continues: Clinical allergy.</t>
  </si>
  <si>
    <t>7606847</t>
  </si>
  <si>
    <t>Clinical and experimental dermatology</t>
  </si>
  <si>
    <t>CLINICAL AND EXPERIMENTAL DERMATOLOGY</t>
  </si>
  <si>
    <t>Clin Exp Dermatol</t>
  </si>
  <si>
    <t>Supersedes Transactions of the St. John's Hospital Dermatological Society.</t>
  </si>
  <si>
    <t>9305929</t>
  </si>
  <si>
    <t>Clinical and experimental hypertension (New York, N.Y. : 1993)</t>
  </si>
  <si>
    <t>CLINICAL AND EXPERIMENTAL HYPERTENSION (NEW YORK, N.Y. : 1993)</t>
  </si>
  <si>
    <t>Clin Exp Hypertens</t>
  </si>
  <si>
    <t>Continues: Clinical and experimental hypertension. Part A, Theory and practice.</t>
  </si>
  <si>
    <t>0057202</t>
  </si>
  <si>
    <t>Clinical and experimental immunology</t>
  </si>
  <si>
    <t>CLINICAL AND EXPERIMENTAL IMMUNOLOGY</t>
  </si>
  <si>
    <t>Clin Exp Immunol</t>
  </si>
  <si>
    <t>100973405</t>
  </si>
  <si>
    <t>Clinical and experimental medicine</t>
  </si>
  <si>
    <t>CLINICAL AND EXPERIMENTAL MEDICINE</t>
  </si>
  <si>
    <t>Clin Exp Med</t>
  </si>
  <si>
    <t>Merger of: International journal of clinical &amp; laboratory research; and: Research in experimental medicine.</t>
  </si>
  <si>
    <t>Springer-Verlag Italia</t>
  </si>
  <si>
    <t>9709923</t>
  </si>
  <si>
    <t>Clinical and experimental nephrology</t>
  </si>
  <si>
    <t>CLINICAL AND EXPERIMENTAL NEPHROLOGY</t>
  </si>
  <si>
    <t>Clin Exp Nephrol</t>
  </si>
  <si>
    <t>7802110</t>
  </si>
  <si>
    <t>Clinical and experimental obstetrics &amp; gynecology</t>
  </si>
  <si>
    <t>CLINICAL AND EXPERIMENTAL OBSTETRICS &amp; GYNECOLOGY</t>
  </si>
  <si>
    <t>Clin Exp Obstet Gynecol</t>
  </si>
  <si>
    <t>S.O.G</t>
  </si>
  <si>
    <t>0425076</t>
  </si>
  <si>
    <t>Clinical and experimental pharmacology &amp; physiology</t>
  </si>
  <si>
    <t>CLINICAL AND EXPERIMENTAL PHARMACOLOGY &amp; PHYSIOLOGY</t>
  </si>
  <si>
    <t>Clin Exp Pharmacol Physiol</t>
  </si>
  <si>
    <t>Absorbed: Proceedings of the Australian Society for Medical Research. Australian Society for Medical Research.</t>
  </si>
  <si>
    <t>8308521</t>
  </si>
  <si>
    <t>Clinical and experimental rheumatology</t>
  </si>
  <si>
    <t>CLINICAL AND EXPERIMENTAL RHEUMATOLOGY</t>
  </si>
  <si>
    <t>Clin Exp Rheumatol</t>
  </si>
  <si>
    <t>Clinical And Experimental Rheumatology S.A.S</t>
  </si>
  <si>
    <t>7804071</t>
  </si>
  <si>
    <t>Clinical and investigative medicine. Médecine clinique et experimentale</t>
  </si>
  <si>
    <t>CLINICAL AND INVESTIGATIVE MEDICINE. MEDECINE CLINIQUE ET EXPERIMENTALE</t>
  </si>
  <si>
    <t>Clin Invest Med</t>
  </si>
  <si>
    <t>14882353</t>
  </si>
  <si>
    <t>0147958X</t>
  </si>
  <si>
    <t>Canadian Society for Clinical Investigation</t>
  </si>
  <si>
    <t>101586730</t>
  </si>
  <si>
    <t>Clinical and molecular hepatology</t>
  </si>
  <si>
    <t>CLINICAL AND MOLECULAR HEPATOLOGY</t>
  </si>
  <si>
    <t>Clin Mol Hepatol</t>
  </si>
  <si>
    <t>Continues: Korean journal of hepatology.</t>
  </si>
  <si>
    <t>2287285X</t>
  </si>
  <si>
    <t>22872728</t>
  </si>
  <si>
    <t>Korean Association for the Study of the Liver</t>
  </si>
  <si>
    <t>101474067</t>
  </si>
  <si>
    <t>Clinical and translational science</t>
  </si>
  <si>
    <t>CLINICAL AND TRANSLATIONAL SCIENCE</t>
  </si>
  <si>
    <t>Clin Transl Sci</t>
  </si>
  <si>
    <t>WileyBlackwell Pub.</t>
  </si>
  <si>
    <t>101252125</t>
  </si>
  <si>
    <t>Clinical and vaccine immunology : CVI</t>
  </si>
  <si>
    <t>CLINICAL AND VACCINE IMMUNOLOGY : CVI</t>
  </si>
  <si>
    <t>Clin Vaccine Immunol</t>
  </si>
  <si>
    <t>Continues: Clinical and diagnostic laboratory immunology.</t>
  </si>
  <si>
    <t>Allergy and Immunology#Clinical Laboratory Techniques</t>
  </si>
  <si>
    <t>9106549</t>
  </si>
  <si>
    <t>Clinical autonomic research : official journal of the Clinical Autonomic Research Society</t>
  </si>
  <si>
    <t>CLINICAL AUTONOMIC RESEARCH : OFFICIAL JOURNAL OF THE CLINICAL AUTONOMIC RESEARCH SOCIETY</t>
  </si>
  <si>
    <t>Clin Auton Res</t>
  </si>
  <si>
    <t>Steinkopff</t>
  </si>
  <si>
    <t>0133660</t>
  </si>
  <si>
    <t>Clinical biochemistry</t>
  </si>
  <si>
    <t>CLINICAL BIOCHEMISTRY</t>
  </si>
  <si>
    <t>Clin Biochem</t>
  </si>
  <si>
    <t>8611877</t>
  </si>
  <si>
    <t>Clinical biomechanics (Bristol, Avon)</t>
  </si>
  <si>
    <t>CLINICAL BIOMECHANICS (BRISTOL, AVON)</t>
  </si>
  <si>
    <t>Clin Biomech (Bristol, Avon)</t>
  </si>
  <si>
    <t>10 no. a year, 1999-</t>
  </si>
  <si>
    <t>100898731</t>
  </si>
  <si>
    <t>Clinical breast cancer</t>
  </si>
  <si>
    <t>CLINICAL BREAST CANCER</t>
  </si>
  <si>
    <t>Clin Breast Cancer</t>
  </si>
  <si>
    <t>Bimonthly, 2010-</t>
  </si>
  <si>
    <t>9433326</t>
  </si>
  <si>
    <t>Clinical calcium</t>
  </si>
  <si>
    <t>CLINICAL CALCIUM</t>
  </si>
  <si>
    <t>Clin Calcium</t>
  </si>
  <si>
    <t>09175857</t>
  </si>
  <si>
    <t>Iyaku (Medicine &amp; Drug) Journal Co., Ltd</t>
  </si>
  <si>
    <t>9502500</t>
  </si>
  <si>
    <t>Clinical cancer research : an official journal of the American Association for Cancer Research</t>
  </si>
  <si>
    <t>CLINICAL CANCER RESEARCH : AN OFFICIAL JOURNAL OF THE AMERICAN ASSOCIATION FOR CANCER RESEARCH</t>
  </si>
  <si>
    <t>Clin Cancer Res</t>
  </si>
  <si>
    <t>Semimonthly, Aug. 15, 2003-</t>
  </si>
  <si>
    <t>7903272</t>
  </si>
  <si>
    <t>Clinical cardiology</t>
  </si>
  <si>
    <t>CLINICAL CARDIOLOGY</t>
  </si>
  <si>
    <t>Clin Cardiol</t>
  </si>
  <si>
    <t>John Wiley &amp; Sons, Inc</t>
  </si>
  <si>
    <t>9421549</t>
  </si>
  <si>
    <t>Clinical chemistry</t>
  </si>
  <si>
    <t>CLINICAL CHEMISTRY</t>
  </si>
  <si>
    <t>Clin Chem</t>
  </si>
  <si>
    <t>Continues: Clinical chemist.</t>
  </si>
  <si>
    <t>American Association For Clinical Chemistry</t>
  </si>
  <si>
    <t>Twelve no. a year, &lt;1983- &gt;</t>
  </si>
  <si>
    <t>9806306</t>
  </si>
  <si>
    <t>Clinical chemistry and laboratory medicine : CCLM / FESCC</t>
  </si>
  <si>
    <t>CLINICAL CHEMISTRY AND LABORATORY MEDICINE : CCLM / FESCC</t>
  </si>
  <si>
    <t>Clin Chem Lab Med</t>
  </si>
  <si>
    <t>Continues: European journal of clinical chemistry and clinical biochemistry.</t>
  </si>
  <si>
    <t>Chemistry, Clinical#Clinical Laboratory Techniques</t>
  </si>
  <si>
    <t>9807947</t>
  </si>
  <si>
    <t>Clinical child and family psychology review</t>
  </si>
  <si>
    <t>CLINICAL CHILD AND FAMILY PSYCHOLOGY REVIEW</t>
  </si>
  <si>
    <t>Clin Child Fam Psychol Rev</t>
  </si>
  <si>
    <t>15732827</t>
  </si>
  <si>
    <t>10964037</t>
  </si>
  <si>
    <t>9604507</t>
  </si>
  <si>
    <t>Clinical child psychology and psychiatry</t>
  </si>
  <si>
    <t>CLINICAL CHILD PSYCHOLOGY AND PSYCHIATRY</t>
  </si>
  <si>
    <t>Clin Child Psychol Psychiatry</t>
  </si>
  <si>
    <t>14617021</t>
  </si>
  <si>
    <t>13591045</t>
  </si>
  <si>
    <t>Pediatrics#Psychiatry#Psychology</t>
  </si>
  <si>
    <t>101120693</t>
  </si>
  <si>
    <t>Clinical colorectal cancer</t>
  </si>
  <si>
    <t>CLINICAL COLORECTAL CANCER</t>
  </si>
  <si>
    <t>Clin Colorectal Cancer</t>
  </si>
  <si>
    <t>Gastroenterology#Neoplasms</t>
  </si>
  <si>
    <t>9816002</t>
  </si>
  <si>
    <t>Clinical cornerstone</t>
  </si>
  <si>
    <t>CLINICAL CORNERSTONE</t>
  </si>
  <si>
    <t>Clin Cornerstone</t>
  </si>
  <si>
    <t>10983597</t>
  </si>
  <si>
    <t>Hospitals</t>
  </si>
  <si>
    <t>9504817</t>
  </si>
  <si>
    <t>Clinical drug investigation</t>
  </si>
  <si>
    <t>CLINICAL DRUG INVESTIGATION</t>
  </si>
  <si>
    <t>Clin Drug Investig</t>
  </si>
  <si>
    <t>Continues: Drug investigation.</t>
  </si>
  <si>
    <t>9207893</t>
  </si>
  <si>
    <t>Clinical dysmorphology</t>
  </si>
  <si>
    <t>CLINICAL DYSMORPHOLOGY</t>
  </si>
  <si>
    <t>Clin Dysmorphol</t>
  </si>
  <si>
    <t>101213033</t>
  </si>
  <si>
    <t>Clinical EEG and neuroscience</t>
  </si>
  <si>
    <t>CLINICAL EEG AND NEUROSCIENCE</t>
  </si>
  <si>
    <t>Clin EEG Neurosci</t>
  </si>
  <si>
    <t>Continues: Clinical EEG (electroencephalography).</t>
  </si>
  <si>
    <t>0346653</t>
  </si>
  <si>
    <t>Clinical endocrinology</t>
  </si>
  <si>
    <t>CLINICAL ENDOCRINOLOGY</t>
  </si>
  <si>
    <t>Clin Endocrinol (Oxf)</t>
  </si>
  <si>
    <t>101294314</t>
  </si>
  <si>
    <t>Clinical evidence</t>
  </si>
  <si>
    <t>CLINICAL EVIDENCE</t>
  </si>
  <si>
    <t>Clin Evid (Online)</t>
  </si>
  <si>
    <t>Continues: Clinical evidence.</t>
  </si>
  <si>
    <t>17528526</t>
  </si>
  <si>
    <t>14623846</t>
  </si>
  <si>
    <t>101160775</t>
  </si>
  <si>
    <t>Clinical gastroenterology and hepatology : the official clinical practice journal of the American Gastroenterological Association</t>
  </si>
  <si>
    <t>CLINICAL GASTROENTEROLOGY AND HEPATOLOGY : THE OFFICIAL CLINICAL PRACTICE JOURNAL OF THE AMERICAN GASTROENTEROLOGICAL ASSOCIATION</t>
  </si>
  <si>
    <t>Clin Gastroenterol Hepatol</t>
  </si>
  <si>
    <t>15427714</t>
  </si>
  <si>
    <t>W.B. Saunders for the American Gastroenterological Association</t>
  </si>
  <si>
    <t>0253664</t>
  </si>
  <si>
    <t>Clinical genetics</t>
  </si>
  <si>
    <t>CLINICAL GENETICS</t>
  </si>
  <si>
    <t>Clin Genet</t>
  </si>
  <si>
    <t>Munksgaard.</t>
  </si>
  <si>
    <t>101260955</t>
  </si>
  <si>
    <t>Clinical genitourinary cancer</t>
  </si>
  <si>
    <t>CLINICAL GENITOURINARY CANCER</t>
  </si>
  <si>
    <t>Clin Genitourin Cancer</t>
  </si>
  <si>
    <t>Continues: Clinical prostate cancer.</t>
  </si>
  <si>
    <t>Neoplasms#Urology</t>
  </si>
  <si>
    <t>9709206</t>
  </si>
  <si>
    <t>Clinical hemorheology and microcirculation</t>
  </si>
  <si>
    <t>CLINICAL HEMORHEOLOGY AND MICROCIRCULATION</t>
  </si>
  <si>
    <t>Clin Hemorheol Microcirc</t>
  </si>
  <si>
    <t>Continues: Clinical hemorheology.</t>
  </si>
  <si>
    <t>Eight no. a year, 1998-</t>
  </si>
  <si>
    <t>8911831</t>
  </si>
  <si>
    <t>Clinical imaging</t>
  </si>
  <si>
    <t>CLINICAL IMAGING</t>
  </si>
  <si>
    <t>Clin Imaging</t>
  </si>
  <si>
    <t>Continues: Journal of computed tomography.</t>
  </si>
  <si>
    <t>100883537</t>
  </si>
  <si>
    <t>Clinical immunology (Orlando, Fla.)</t>
  </si>
  <si>
    <t>CLINICAL IMMUNOLOGY (ORLANDO, FLA.)</t>
  </si>
  <si>
    <t>Clin Immunol</t>
  </si>
  <si>
    <t>Continues: Clinical immunology and immunopathology.</t>
  </si>
  <si>
    <t>100888977</t>
  </si>
  <si>
    <t>Clinical implant dentistry and related research</t>
  </si>
  <si>
    <t>CLINICAL IMPLANT DENTISTRY AND RELATED RESEARCH</t>
  </si>
  <si>
    <t>Clin Implant Dent Relat Res</t>
  </si>
  <si>
    <t>17088208</t>
  </si>
  <si>
    <t>15230899</t>
  </si>
  <si>
    <t>B.C. Decker</t>
  </si>
  <si>
    <t>9203213</t>
  </si>
  <si>
    <t>Clinical infectious diseases : an official publication of the Infectious Diseases Society of America</t>
  </si>
  <si>
    <t>CLINICAL INFECTIOUS DISEASES : AN OFFICIAL PUBLICATION OF THE INFECTIOUS DISEASES SOCIETY OF AMERICA</t>
  </si>
  <si>
    <t>Clin Infect Dis</t>
  </si>
  <si>
    <t>Continues: Reviews of infectious diseases.</t>
  </si>
  <si>
    <t>Twenty four no. a year, 2001-</t>
  </si>
  <si>
    <t>101273480</t>
  </si>
  <si>
    <t>Clinical interventions in aging</t>
  </si>
  <si>
    <t>CLINICAL INTERVENTIONS IN AGING</t>
  </si>
  <si>
    <t>Clin Interv Aging</t>
  </si>
  <si>
    <t>Dove Medical Press</t>
  </si>
  <si>
    <t>9705336</t>
  </si>
  <si>
    <t>Clinical journal of oncology nursing</t>
  </si>
  <si>
    <t>CLINICAL JOURNAL OF ONCOLOGY NURSING</t>
  </si>
  <si>
    <t>Clin J Oncol Nurs</t>
  </si>
  <si>
    <t>1538067X</t>
  </si>
  <si>
    <t>10921095</t>
  </si>
  <si>
    <t>Oncology Nursing Press</t>
  </si>
  <si>
    <t>8507389</t>
  </si>
  <si>
    <t>The Clinical journal of pain</t>
  </si>
  <si>
    <t>CLINICAL JOURNAL OF PAIN</t>
  </si>
  <si>
    <t>Clin J Pain</t>
  </si>
  <si>
    <t>9103300</t>
  </si>
  <si>
    <t>Clinical journal of sport medicine : official journal of the Canadian Academy of Sport Medicine</t>
  </si>
  <si>
    <t>CLINICAL JOURNAL OF SPORT MEDICINE : OFFICIAL JOURNAL OF THE CANADIAN ACADEMY OF SPORT MEDICINE</t>
  </si>
  <si>
    <t>Clin J Sport Med</t>
  </si>
  <si>
    <t>101271570</t>
  </si>
  <si>
    <t>Clinical journal of the American Society of Nephrology : CJASN</t>
  </si>
  <si>
    <t>CLINICAL JOURNAL OF THE AMERICAN SOCIETY OF NEPHROLOGY : CJASN</t>
  </si>
  <si>
    <t>Clin J Am Soc Nephrol</t>
  </si>
  <si>
    <t>9705611</t>
  </si>
  <si>
    <t>Clinical laboratory</t>
  </si>
  <si>
    <t>CLINICAL LABORATORY</t>
  </si>
  <si>
    <t>Clin Lab</t>
  </si>
  <si>
    <t>Continues: Klinisches Labor.</t>
  </si>
  <si>
    <t>Clinical Laboratory Publications</t>
  </si>
  <si>
    <t>8806547</t>
  </si>
  <si>
    <t>Clinical laboratory science : journal of the American Society for Medical Technology</t>
  </si>
  <si>
    <t>CLINICAL LABORATORY SCIENCE : JOURNAL OF THE AMERICAN SOCIETY FOR MEDICAL TECHNOLOGY</t>
  </si>
  <si>
    <t>Clin Lab Sci</t>
  </si>
  <si>
    <t>Continues: Journal of medical technology.</t>
  </si>
  <si>
    <t>19453574</t>
  </si>
  <si>
    <t>0894959X</t>
  </si>
  <si>
    <t>American Society for Clinical Laboratory Science</t>
  </si>
  <si>
    <t>Clinical Laboratory Techniques#Technology</t>
  </si>
  <si>
    <t>100900959</t>
  </si>
  <si>
    <t>Clinical leadership &amp; management review : the journal of CLMA</t>
  </si>
  <si>
    <t>CLINICAL LEADERSHIP &amp; MANAGEMENT REVIEW : THE JOURNAL OF CLMA</t>
  </si>
  <si>
    <t>Clin Leadersh Manag Rev</t>
  </si>
  <si>
    <t>Continues: Clinical laboratory management review.</t>
  </si>
  <si>
    <t>15537072</t>
  </si>
  <si>
    <t>15273954</t>
  </si>
  <si>
    <t>Clinical Laboratory Management Association</t>
  </si>
  <si>
    <t>8802622</t>
  </si>
  <si>
    <t>Clinical linguistics &amp; phonetics</t>
  </si>
  <si>
    <t>CLINICAL LINGUISTICS &amp; PHONETICS</t>
  </si>
  <si>
    <t>Clin Linguist Phon</t>
  </si>
  <si>
    <t>Absorbed: Journal of multilingual communication disorders.</t>
  </si>
  <si>
    <t>14645076</t>
  </si>
  <si>
    <t>02699206</t>
  </si>
  <si>
    <t>Eight no. a year, 2000-</t>
  </si>
  <si>
    <t>100893225</t>
  </si>
  <si>
    <t>Clinical lung cancer</t>
  </si>
  <si>
    <t>CLINICAL LUNG CANCER</t>
  </si>
  <si>
    <t>Clin Lung Cancer</t>
  </si>
  <si>
    <t>Bimonthly, July 2002-</t>
  </si>
  <si>
    <t>Neoplasms#Pulmonary Medicine</t>
  </si>
  <si>
    <t>101525386</t>
  </si>
  <si>
    <t>Clinical lymphoma, myeloma &amp; leukemia</t>
  </si>
  <si>
    <t>CLINICAL LYMPHOMA, MYELOMA &amp; LEUKEMIA</t>
  </si>
  <si>
    <t>Clin Lymphoma Myeloma Leuk</t>
  </si>
  <si>
    <t>Continues: Clinical lymphoma and myeloma.</t>
  </si>
  <si>
    <t>101175887</t>
  </si>
  <si>
    <t>Clinical medicine &amp; research</t>
  </si>
  <si>
    <t>CLINICAL MEDICINE &amp; RESEARCH</t>
  </si>
  <si>
    <t>Clin Med Res</t>
  </si>
  <si>
    <t>Continues: Marshfield Clinic journal.</t>
  </si>
  <si>
    <t>101092853</t>
  </si>
  <si>
    <t>Clinical medicine (London, England)</t>
  </si>
  <si>
    <t>CLINICAL MEDICINE (LONDON, ENGLAND)</t>
  </si>
  <si>
    <t>Clin Med</t>
  </si>
  <si>
    <t>Continues: Journal of the Royal College of Physicians of London. Absorbed as a online supplement: Horizons in medicine.</t>
  </si>
  <si>
    <t>The College</t>
  </si>
  <si>
    <t>9516420</t>
  </si>
  <si>
    <t>Clinical microbiology and infection : the official publication of the European Society of Clinical Microbiology and Infectious Diseases</t>
  </si>
  <si>
    <t>CLINICAL MICROBIOLOGY AND INFECTION : THE OFFICIAL PUBLICATION OF THE EUROPEAN SOCIETY OF CLINICAL MICROBIOLOGY AND INFECTIOUS DISEASES</t>
  </si>
  <si>
    <t>Clin Microbiol Infect</t>
  </si>
  <si>
    <t>Communicable Diseases#Microbiology</t>
  </si>
  <si>
    <t>8807282</t>
  </si>
  <si>
    <t>Clinical microbiology reviews</t>
  </si>
  <si>
    <t>CLINICAL MICROBIOLOGY REVIEWS</t>
  </si>
  <si>
    <t>Clin Microbiol Rev</t>
  </si>
  <si>
    <t>American Society For Microbiology</t>
  </si>
  <si>
    <t>0364441</t>
  </si>
  <si>
    <t>Clinical nephrology</t>
  </si>
  <si>
    <t>CLINICAL NEPHROLOGY</t>
  </si>
  <si>
    <t>Clin Nephrol</t>
  </si>
  <si>
    <t>Dustri-Verlag Dr Karl Feistle</t>
  </si>
  <si>
    <t>7502039</t>
  </si>
  <si>
    <t>Clinical neurology and neurosurgery</t>
  </si>
  <si>
    <t>CLINICAL NEUROLOGY AND NEUROSURGERY</t>
  </si>
  <si>
    <t>Clin Neurol Neurosurg</t>
  </si>
  <si>
    <t>Continues in part: Psychiatria, neurologia, neurochirurgia.</t>
  </si>
  <si>
    <t>Neurology#Neurosurgery</t>
  </si>
  <si>
    <t>8214420</t>
  </si>
  <si>
    <t>Clinical neuropathology</t>
  </si>
  <si>
    <t>CLINICAL NEUROPATHOLOGY</t>
  </si>
  <si>
    <t>Clin Neuropathol</t>
  </si>
  <si>
    <t>Dustri-Verlag</t>
  </si>
  <si>
    <t>Neurology#Pathology</t>
  </si>
  <si>
    <t>7607910</t>
  </si>
  <si>
    <t>Clinical neuropharmacology</t>
  </si>
  <si>
    <t>CLINICAL NEUROPHARMACOLOGY</t>
  </si>
  <si>
    <t>Clin Neuropharmacol</t>
  </si>
  <si>
    <t>100883319</t>
  </si>
  <si>
    <t>Clinical neurophysiology : official journal of the International Federation of Clinical Neurophysiology</t>
  </si>
  <si>
    <t>CLINICAL NEUROPHYSIOLOGY : OFFICIAL JOURNAL OF THE INTERNATIONAL FEDERATION OF CLINICAL NEUROPHYSIOLOGY</t>
  </si>
  <si>
    <t>Clin Neurophysiol</t>
  </si>
  <si>
    <t>Continues: Electroencephalography and clinical neurophysiology.</t>
  </si>
  <si>
    <t>Thirteen issues yearly</t>
  </si>
  <si>
    <t>8806548</t>
  </si>
  <si>
    <t>The Clinical neuropsychologist</t>
  </si>
  <si>
    <t>CLINICAL NEUROPSYCHOLOGIST</t>
  </si>
  <si>
    <t>Clin Neuropsychol</t>
  </si>
  <si>
    <t>17444144</t>
  </si>
  <si>
    <t>13854046</t>
  </si>
  <si>
    <t>Psychology Press</t>
  </si>
  <si>
    <t>101526693</t>
  </si>
  <si>
    <t>Clinical neuroradiology</t>
  </si>
  <si>
    <t>CLINICAL NEURORADIOLOGY</t>
  </si>
  <si>
    <t>Clin Neuroradiol</t>
  </si>
  <si>
    <t>Continues: Klinische Neuroradiologie.</t>
  </si>
  <si>
    <t>Springer Heidelberg</t>
  </si>
  <si>
    <t>2985141R</t>
  </si>
  <si>
    <t>Clinical neurosurgery</t>
  </si>
  <si>
    <t>CLINICAL NEUROSURGERY</t>
  </si>
  <si>
    <t>Clin Neurosurg</t>
  </si>
  <si>
    <t>Williams And Wilkins</t>
  </si>
  <si>
    <t>7611109</t>
  </si>
  <si>
    <t>Clinical nuclear medicine</t>
  </si>
  <si>
    <t>CLINICAL NUCLEAR MEDICINE</t>
  </si>
  <si>
    <t>Clin Nucl Med</t>
  </si>
  <si>
    <t>Lippincott.</t>
  </si>
  <si>
    <t>8709115</t>
  </si>
  <si>
    <t>Clinical nurse specialist CNS</t>
  </si>
  <si>
    <t>CLINICAL NURSE SPECIALIST CNS</t>
  </si>
  <si>
    <t>Clin Nurse Spec</t>
  </si>
  <si>
    <t>15389782</t>
  </si>
  <si>
    <t>08876274</t>
  </si>
  <si>
    <t>9208508</t>
  </si>
  <si>
    <t>Clinical nursing research</t>
  </si>
  <si>
    <t>CLINICAL NURSING RESEARCH</t>
  </si>
  <si>
    <t>Clin Nurs Res</t>
  </si>
  <si>
    <t>15523799</t>
  </si>
  <si>
    <t>10547738</t>
  </si>
  <si>
    <t>Sage Periodicals Press</t>
  </si>
  <si>
    <t>8309603</t>
  </si>
  <si>
    <t>Clinical nutrition (Edinburgh, Scotland)</t>
  </si>
  <si>
    <t>CLINICAL NUTRITION (EDINBURGH, SCOTLAND)</t>
  </si>
  <si>
    <t>Clin Nutr</t>
  </si>
  <si>
    <t>0070014</t>
  </si>
  <si>
    <t>Clinical obstetrics and gynecology</t>
  </si>
  <si>
    <t>CLINICAL OBSTETRICS AND GYNECOLOGY</t>
  </si>
  <si>
    <t>Clin Obstet Gynecol</t>
  </si>
  <si>
    <t>9002902</t>
  </si>
  <si>
    <t>Clinical oncology (Royal College of Radiologists (Great Britain))</t>
  </si>
  <si>
    <t>CLINICAL ONCOLOGY (ROYAL COLLEGE OF RADIOLOGISTS (GREAT BRITAIN))</t>
  </si>
  <si>
    <t>Clin Oncol (R Coll Radiol)</t>
  </si>
  <si>
    <t>9105713</t>
  </si>
  <si>
    <t>Clinical oral implants research</t>
  </si>
  <si>
    <t>CLINICAL ORAL IMPLANTS RESEARCH</t>
  </si>
  <si>
    <t>Clin Oral Implants Res</t>
  </si>
  <si>
    <t>16000501</t>
  </si>
  <si>
    <t>09057161</t>
  </si>
  <si>
    <t>9707115</t>
  </si>
  <si>
    <t>Clinical oral investigations</t>
  </si>
  <si>
    <t>CLINICAL ORAL INVESTIGATIONS</t>
  </si>
  <si>
    <t>Clin Oral Investig</t>
  </si>
  <si>
    <t>14363771</t>
  </si>
  <si>
    <t>14326981</t>
  </si>
  <si>
    <t>0075674</t>
  </si>
  <si>
    <t>Clinical orthopaedics and related research</t>
  </si>
  <si>
    <t>CLINICAL ORTHOPAEDICS AND RELATED RESEARCH</t>
  </si>
  <si>
    <t>Clin Orthop Relat Res</t>
  </si>
  <si>
    <t>Continues: Clinical orthopaedics.</t>
  </si>
  <si>
    <t>Monthly, &lt;Aug. 1992- &gt;</t>
  </si>
  <si>
    <t>101247023</t>
  </si>
  <si>
    <t>Clinical otolaryngology : official journal of ENT-UK ; official journal of Netherlands Society for Oto-Rhino-Laryngology &amp; Cervico-Facial Surgery</t>
  </si>
  <si>
    <t>CLINICAL OTOLARYNGOLOGY : OFFICIAL JOURNAL OF ENT-UK ; OFFICIAL JOURNAL OF NETHERLANDS SOCIETY FOR OTO-RHINO-LARYNGOLOGY &amp; CERVICO-FACIAL SURGERY</t>
  </si>
  <si>
    <t>Clin Otolaryngol</t>
  </si>
  <si>
    <t>Continues: Clinical otolaryngology and allied sciences.</t>
  </si>
  <si>
    <t>0372606</t>
  </si>
  <si>
    <t>Clinical pediatrics</t>
  </si>
  <si>
    <t>CLINICAL PEDIATRICS</t>
  </si>
  <si>
    <t>Clin Pediatr (Phila)</t>
  </si>
  <si>
    <t>Formed by the merger of American practitioner, Archives of pediatrics, and Quarterly review of pediatrics.</t>
  </si>
  <si>
    <t>Twevle no. a year, 2010-</t>
  </si>
  <si>
    <t>7606849</t>
  </si>
  <si>
    <t>Clinical pharmacokinetics</t>
  </si>
  <si>
    <t>CLINICAL PHARMACOKINETICS</t>
  </si>
  <si>
    <t>Clin Pharmacokinet</t>
  </si>
  <si>
    <t>Twelve no. a year, 2005-</t>
  </si>
  <si>
    <t>0372741</t>
  </si>
  <si>
    <t>Clinical pharmacology and therapeutics</t>
  </si>
  <si>
    <t>CLINICAL PHARMACOLOGY AND THERAPEUTICS</t>
  </si>
  <si>
    <t>Clin Pharmacol Ther</t>
  </si>
  <si>
    <t>101137604</t>
  </si>
  <si>
    <t>Clinical physiology and functional imaging</t>
  </si>
  <si>
    <t>CLINICAL PHYSIOLOGY AND FUNCTIONAL IMAGING</t>
  </si>
  <si>
    <t>Clin Physiol Funct Imaging</t>
  </si>
  <si>
    <t>Continues: Clinical physiology (Oxford, England).</t>
  </si>
  <si>
    <t>Pathology#Physiology</t>
  </si>
  <si>
    <t>100892390</t>
  </si>
  <si>
    <t>Clinical privilege white paper</t>
  </si>
  <si>
    <t>CLINICAL PRIVILEGE WHITE PAPER</t>
  </si>
  <si>
    <t>Clin Privil White Pap</t>
  </si>
  <si>
    <t>Opus Communications</t>
  </si>
  <si>
    <t>9416196</t>
  </si>
  <si>
    <t>Clinical psychology &amp; psychotherapy</t>
  </si>
  <si>
    <t>CLINICAL PSYCHOLOGY &amp; PSYCHOTHERAPY</t>
  </si>
  <si>
    <t>Clin Psychol Psychother</t>
  </si>
  <si>
    <t>10990879</t>
  </si>
  <si>
    <t>10633995</t>
  </si>
  <si>
    <t>Psychiatry#Psychology#Therapeutics</t>
  </si>
  <si>
    <t>8111117</t>
  </si>
  <si>
    <t>Clinical psychology review</t>
  </si>
  <si>
    <t>CLINICAL PSYCHOLOGY REVIEW</t>
  </si>
  <si>
    <t>Clin Psychol Rev</t>
  </si>
  <si>
    <t>1306016</t>
  </si>
  <si>
    <t>Clinical radiology</t>
  </si>
  <si>
    <t>CLINICAL RADIOLOGY</t>
  </si>
  <si>
    <t>Clin Radiol</t>
  </si>
  <si>
    <t>Continues the Journal of the Faculty of Radiologists.</t>
  </si>
  <si>
    <t>Blackwell Scientific Publications Ltd</t>
  </si>
  <si>
    <t>8802181</t>
  </si>
  <si>
    <t>Clinical rehabilitation</t>
  </si>
  <si>
    <t>CLINICAL REHABILITATION</t>
  </si>
  <si>
    <t>Clin Rehabil</t>
  </si>
  <si>
    <t>14770873</t>
  </si>
  <si>
    <t>02692155</t>
  </si>
  <si>
    <t>101264123</t>
  </si>
  <si>
    <t>Clinical research in cardiology : official journal of the German Cardiac Society</t>
  </si>
  <si>
    <t>CLINICAL RESEARCH IN CARDIOLOGY : OFFICIAL JOURNAL OF THE GERMAN CARDIAC SOCIETY</t>
  </si>
  <si>
    <t>Clin Res Cardiol</t>
  </si>
  <si>
    <t>Continues: Zeitschrift für Kardiologie.</t>
  </si>
  <si>
    <t>101538987</t>
  </si>
  <si>
    <t>Clinical research in cardiology supplements</t>
  </si>
  <si>
    <t>CLINICAL RESEARCH IN CARDIOLOGY SUPPLEMENTS</t>
  </si>
  <si>
    <t>Clin Res Cardiol Suppl</t>
  </si>
  <si>
    <t>Springer Medizin Verlag</t>
  </si>
  <si>
    <t>101315570</t>
  </si>
  <si>
    <t>The clinical respiratory journal</t>
  </si>
  <si>
    <t>CLINICAL RESPIRATORY JOURNAL</t>
  </si>
  <si>
    <t>Clin Respir J</t>
  </si>
  <si>
    <t>Four no. a year, 2008-</t>
  </si>
  <si>
    <t>9504368</t>
  </si>
  <si>
    <t>Clinical reviews in allergy &amp; immunology</t>
  </si>
  <si>
    <t>CLINICAL REVIEWS IN ALLERGY &amp; IMMUNOLOGY</t>
  </si>
  <si>
    <t>Clin Rev Allergy Immunol</t>
  </si>
  <si>
    <t>Continues: Clinical reviews in allergy.</t>
  </si>
  <si>
    <t>Bimonthly, &lt;2001-&gt;</t>
  </si>
  <si>
    <t>8211469</t>
  </si>
  <si>
    <t>Clinical rheumatology</t>
  </si>
  <si>
    <t>CLINICAL RHEUMATOLOGY</t>
  </si>
  <si>
    <t>Clin Rheumatol</t>
  </si>
  <si>
    <t>Continues: Acta rhumatologica.</t>
  </si>
  <si>
    <t>101312513</t>
  </si>
  <si>
    <t>Clinical schizophrenia &amp; related psychoses</t>
  </si>
  <si>
    <t>CLINICAL SCHIZOPHRENIA &amp; RELATED PSYCHOSES</t>
  </si>
  <si>
    <t>Clin Schizophr Relat Psychoses</t>
  </si>
  <si>
    <t>19412010</t>
  </si>
  <si>
    <t>Walsh Medical Media</t>
  </si>
  <si>
    <t>7905731</t>
  </si>
  <si>
    <t>Clinical science (London, England : 1979)</t>
  </si>
  <si>
    <t>CLINICAL SCIENCE (LONDON, ENGLAND : 1979)</t>
  </si>
  <si>
    <t>Clin Sci (Lond)</t>
  </si>
  <si>
    <t>Continues Clinical science and molecular medicine.</t>
  </si>
  <si>
    <t>14708736</t>
  </si>
  <si>
    <t>Portland Press on behalf of the Medical Research Society and the Biochemical Society</t>
  </si>
  <si>
    <t>Medicine#Science</t>
  </si>
  <si>
    <t>101227511</t>
  </si>
  <si>
    <t>The clinical teacher</t>
  </si>
  <si>
    <t>CLINICAL TEACHER</t>
  </si>
  <si>
    <t>Clin Teach</t>
  </si>
  <si>
    <t>1743498X</t>
  </si>
  <si>
    <t>17434971</t>
  </si>
  <si>
    <t>7706726</t>
  </si>
  <si>
    <t>Clinical therapeutics</t>
  </si>
  <si>
    <t>CLINICAL THERAPEUTICS</t>
  </si>
  <si>
    <t>Clin Ther</t>
  </si>
  <si>
    <t>101241654</t>
  </si>
  <si>
    <t>Clinical toxicology (Philadelphia, Pa.)</t>
  </si>
  <si>
    <t>CLINICAL TOXICOLOGY (PHILADELPHIA, PA.)</t>
  </si>
  <si>
    <t>Clin Toxicol (Phila)</t>
  </si>
  <si>
    <t>Continues: Journal of toxicology. Clinical toxicology.</t>
  </si>
  <si>
    <t>Seven no. a year</t>
  </si>
  <si>
    <t>8710240</t>
  </si>
  <si>
    <t>Clinical transplantation</t>
  </si>
  <si>
    <t>CLINICAL TRANSPLANTATION</t>
  </si>
  <si>
    <t>Clin Transplant</t>
  </si>
  <si>
    <t>8812419</t>
  </si>
  <si>
    <t>Clinical transplants</t>
  </si>
  <si>
    <t>CLINICAL TRANSPLANTS</t>
  </si>
  <si>
    <t>Clin Transpl</t>
  </si>
  <si>
    <t>Continues: Clinical kidney transplants.</t>
  </si>
  <si>
    <t>08909016</t>
  </si>
  <si>
    <t>Ucla Tissue Typing Laboratory</t>
  </si>
  <si>
    <t>101197451</t>
  </si>
  <si>
    <t>Clinical trials (London, England)</t>
  </si>
  <si>
    <t>CLINICAL TRIALS (LONDON, ENGLAND)</t>
  </si>
  <si>
    <t>Clin Trials</t>
  </si>
  <si>
    <t>Continues in part: Controlled clinical trials.</t>
  </si>
  <si>
    <t>Medicine#Therapeutics</t>
  </si>
  <si>
    <t>101244734</t>
  </si>
  <si>
    <t>Clinics (São Paulo, Brazil)</t>
  </si>
  <si>
    <t>CLINICS (SAO PAULO, BRAZIL)</t>
  </si>
  <si>
    <t>Clinics (Sao Paulo)</t>
  </si>
  <si>
    <t>Continues: Revista do Hospital das Clínicas.</t>
  </si>
  <si>
    <t>19805322</t>
  </si>
  <si>
    <t>18075932</t>
  </si>
  <si>
    <t>Hospital das Clínicas, Faculty of Medicine, University of São Paulo</t>
  </si>
  <si>
    <t>101553659</t>
  </si>
  <si>
    <t>Clinics and research in hepatology and gastroenterology</t>
  </si>
  <si>
    <t>CLINICS AND RESEARCH IN HEPATOLOGY AND GASTROENTEROLOGY</t>
  </si>
  <si>
    <t>Clin Res Hepatol Gastroenterol</t>
  </si>
  <si>
    <t>Continues: Gastroentérologie clinique et biologique.</t>
  </si>
  <si>
    <t>7907612</t>
  </si>
  <si>
    <t>Clinics in chest medicine</t>
  </si>
  <si>
    <t>CLINICS IN CHEST MEDICINE</t>
  </si>
  <si>
    <t>Clin Chest Med</t>
  </si>
  <si>
    <t>Elsevier Health Sciences Division</t>
  </si>
  <si>
    <t>8406412</t>
  </si>
  <si>
    <t>Clinics in dermatology</t>
  </si>
  <si>
    <t>CLINICS IN DERMATOLOGY</t>
  </si>
  <si>
    <t>Clin Dermatol</t>
  </si>
  <si>
    <t>Bimonthly, &lt;2000-&gt;</t>
  </si>
  <si>
    <t>8603766</t>
  </si>
  <si>
    <t>Clinics in geriatric medicine</t>
  </si>
  <si>
    <t>CLINICS IN GERIATRIC MEDICINE</t>
  </si>
  <si>
    <t>Clin Geriatr Med</t>
  </si>
  <si>
    <t>8100174</t>
  </si>
  <si>
    <t>Clinics in laboratory medicine</t>
  </si>
  <si>
    <t>CLINICS IN LABORATORY MEDICINE</t>
  </si>
  <si>
    <t>Clin Lab Med</t>
  </si>
  <si>
    <t>9710002</t>
  </si>
  <si>
    <t>Clinics in liver disease</t>
  </si>
  <si>
    <t>CLINICS IN LIVER DISEASE</t>
  </si>
  <si>
    <t>Clin Liver Dis</t>
  </si>
  <si>
    <t>101505087</t>
  </si>
  <si>
    <t>Clinics in orthopedic surgery</t>
  </si>
  <si>
    <t>CLINICS IN ORTHOPEDIC SURGERY</t>
  </si>
  <si>
    <t>Clin Orthop Surg</t>
  </si>
  <si>
    <t>7501306</t>
  </si>
  <si>
    <t>Clinics in perinatology</t>
  </si>
  <si>
    <t>CLINICS IN PERINATOLOGY</t>
  </si>
  <si>
    <t>Clin Perinatol</t>
  </si>
  <si>
    <t>0424767</t>
  </si>
  <si>
    <t>Clinics in plastic surgery</t>
  </si>
  <si>
    <t>CLINICS IN PLASTIC SURGERY</t>
  </si>
  <si>
    <t>Clin Plast Surg</t>
  </si>
  <si>
    <t>8604974</t>
  </si>
  <si>
    <t>Clinics in podiatric medicine and surgery</t>
  </si>
  <si>
    <t>CLINICS IN PODIATRIC MEDICINE AND SURGERY</t>
  </si>
  <si>
    <t>Clin Podiatr Med Surg</t>
  </si>
  <si>
    <t>Continues: Clinics in podiatry.</t>
  </si>
  <si>
    <t>General Surgery#Podiatry</t>
  </si>
  <si>
    <t>8112473</t>
  </si>
  <si>
    <t>Clinics in sports medicine</t>
  </si>
  <si>
    <t>CLINICS IN SPORTS MEDICINE</t>
  </si>
  <si>
    <t>Clin Sports Med</t>
  </si>
  <si>
    <t>Quarterly, 1984-</t>
  </si>
  <si>
    <t>0057664</t>
  </si>
  <si>
    <t>Clio medica (Amsterdam, Netherlands)</t>
  </si>
  <si>
    <t>CLIO MEDICA (AMSTERDAM, NETHERLANDS)</t>
  </si>
  <si>
    <t>Clio Med</t>
  </si>
  <si>
    <t>00457183</t>
  </si>
  <si>
    <t>Editions Rodopi B.V</t>
  </si>
  <si>
    <t>9711805</t>
  </si>
  <si>
    <t>CMAJ : Canadian Medical Association journal = journal de l'Association medicale canadienne</t>
  </si>
  <si>
    <t>CMAJ : CANADIAN MEDICAL ASSOCIATION JOURNAL = JOURNAL DE L'ASSOCIATION MEDICALE CANADIENNE</t>
  </si>
  <si>
    <t>Continues: Canadian Medical Association journal.</t>
  </si>
  <si>
    <t>101269155</t>
  </si>
  <si>
    <t>CNS &amp; neurological disorders drug targets</t>
  </si>
  <si>
    <t>CNS &amp; NEUROLOGICAL DISORDERS DRUG TARGETS</t>
  </si>
  <si>
    <t>CNS Neurol Disord Drug Targets</t>
  </si>
  <si>
    <t>Continues: Current drug targets. CNS and neurological disorders.</t>
  </si>
  <si>
    <t>Drug Therapy#Neurology</t>
  </si>
  <si>
    <t>9431220</t>
  </si>
  <si>
    <t>CNS drugs</t>
  </si>
  <si>
    <t>CNS DRUGS</t>
  </si>
  <si>
    <t>Drug Therapy#Neurology#Pharmacology</t>
  </si>
  <si>
    <t>101473265</t>
  </si>
  <si>
    <t>CNS neuroscience &amp; therapeutics</t>
  </si>
  <si>
    <t>CNS NEUROSCIENCE &amp; THERAPEUTICS</t>
  </si>
  <si>
    <t>CNS Neurosci Ther</t>
  </si>
  <si>
    <t>Continues: CNS drug reviews.</t>
  </si>
  <si>
    <t>Neurology#Therapeutics</t>
  </si>
  <si>
    <t>9702877</t>
  </si>
  <si>
    <t>CNS spectrums</t>
  </si>
  <si>
    <t>CNS SPECTRUMS</t>
  </si>
  <si>
    <t>CNS Spectr</t>
  </si>
  <si>
    <t>101121166</t>
  </si>
  <si>
    <t>Cochlear implants international</t>
  </si>
  <si>
    <t>COCHLEAR IMPLANTS INTERNATIONAL</t>
  </si>
  <si>
    <t>Cochlear Implants Int</t>
  </si>
  <si>
    <t>17547628</t>
  </si>
  <si>
    <t>14670100</t>
  </si>
  <si>
    <t>Four no. a year, 2003-</t>
  </si>
  <si>
    <t>100909747</t>
  </si>
  <si>
    <t>The Cochrane database of systematic reviews</t>
  </si>
  <si>
    <t>COCHRANE DATABASE OF SYSTEMATIC REVIEWS</t>
  </si>
  <si>
    <t>Cochrane Database Syst Rev</t>
  </si>
  <si>
    <t>1469493X</t>
  </si>
  <si>
    <t>13616137</t>
  </si>
  <si>
    <t>Health Services Research#Medicine</t>
  </si>
  <si>
    <t>101623246</t>
  </si>
  <si>
    <t>CoDAS</t>
  </si>
  <si>
    <t>CODAS</t>
  </si>
  <si>
    <t>Codas</t>
  </si>
  <si>
    <t>Continues: Jornal da Sociedade Brasileira de Fonoaudiologia.</t>
  </si>
  <si>
    <t>23171782</t>
  </si>
  <si>
    <t>Audiology#Speech-Language Pathology</t>
  </si>
  <si>
    <t>0367541</t>
  </si>
  <si>
    <t>COGNITION</t>
  </si>
  <si>
    <t>Twelve no. a year, 1990-</t>
  </si>
  <si>
    <t>8710375</t>
  </si>
  <si>
    <t>Cognition &amp; emotion</t>
  </si>
  <si>
    <t>COGNITION &amp; EMOTION</t>
  </si>
  <si>
    <t>Cogn Emot</t>
  </si>
  <si>
    <t>101167278</t>
  </si>
  <si>
    <t>Cognitive and behavioral neurology : official journal of the Society for Behavioral and Cognitive Neurology</t>
  </si>
  <si>
    <t>COGNITIVE AND BEHAVIORAL NEUROLOGY : OFFICIAL JOURNAL OF THE SOCIETY FOR BEHAVIORAL AND COGNITIVE NEUROLOGY</t>
  </si>
  <si>
    <t>Cogn Behav Neurol</t>
  </si>
  <si>
    <t>Continues: Neuropsychiatry, neuropsychology, and behavioral neurology.</t>
  </si>
  <si>
    <t>15433641</t>
  </si>
  <si>
    <t>Neurology#Psychiatry#Psychology</t>
  </si>
  <si>
    <t>101143317</t>
  </si>
  <si>
    <t>Cognitive behaviour therapy</t>
  </si>
  <si>
    <t>COGNITIVE BEHAVIOUR THERAPY</t>
  </si>
  <si>
    <t>Cogn Behav Ther</t>
  </si>
  <si>
    <t>Continues: Scandinavian journal of behaviour therapy.</t>
  </si>
  <si>
    <t>16512316</t>
  </si>
  <si>
    <t>16506073</t>
  </si>
  <si>
    <t>9713497</t>
  </si>
  <si>
    <t>Cognitive neuropsychiatry</t>
  </si>
  <si>
    <t>COGNITIVE NEUROPSYCHIATRY</t>
  </si>
  <si>
    <t>Cogn Neuropsychiatry</t>
  </si>
  <si>
    <t>Five no. a year, 2005-</t>
  </si>
  <si>
    <t>8411889</t>
  </si>
  <si>
    <t>Cognitive neuropsychology</t>
  </si>
  <si>
    <t>COGNITIVE NEUROPSYCHOLOGY</t>
  </si>
  <si>
    <t>Cogn Neuropsychol</t>
  </si>
  <si>
    <t>14640627</t>
  </si>
  <si>
    <t>02643294</t>
  </si>
  <si>
    <t>101518151</t>
  </si>
  <si>
    <t>Cognitive neuroscience</t>
  </si>
  <si>
    <t>COGNITIVE NEUROSCIENCE</t>
  </si>
  <si>
    <t>Cogn Neurosci</t>
  </si>
  <si>
    <t>101177984</t>
  </si>
  <si>
    <t>Cognitive processing</t>
  </si>
  <si>
    <t>COGNITIVE PROCESSING</t>
  </si>
  <si>
    <t>Cogn Process</t>
  </si>
  <si>
    <t>0241111</t>
  </si>
  <si>
    <t>Cognitive psychology</t>
  </si>
  <si>
    <t>COGNITIVE PSYCHOLOGY</t>
  </si>
  <si>
    <t>Cogn Psychol</t>
  </si>
  <si>
    <t>10955623</t>
  </si>
  <si>
    <t>00100285</t>
  </si>
  <si>
    <t>7708195</t>
  </si>
  <si>
    <t>Cognitive science</t>
  </si>
  <si>
    <t>COGNITIVE SCIENCE</t>
  </si>
  <si>
    <t>Cogn Sci</t>
  </si>
  <si>
    <t>Absorbed: Cognition and brain theory. 1985</t>
  </si>
  <si>
    <t>15516709</t>
  </si>
  <si>
    <t>03640213</t>
  </si>
  <si>
    <t>101083946</t>
  </si>
  <si>
    <t>Cognitive, affective &amp; behavioral neuroscience</t>
  </si>
  <si>
    <t>COGNITIVE, AFFECTIVE &amp; BEHAVIORAL NEUROSCIENCE</t>
  </si>
  <si>
    <t>Cogn Affect Behav Neurosci</t>
  </si>
  <si>
    <t>Continues: Psychobiology (Austin, Tex.).</t>
  </si>
  <si>
    <t>1531135X</t>
  </si>
  <si>
    <t>15307026</t>
  </si>
  <si>
    <t>101513680</t>
  </si>
  <si>
    <t>Cold Spring Harbor perspectives in biology</t>
  </si>
  <si>
    <t>COLD SPRING HARBOR PERSPECTIVES IN BIOLOGY</t>
  </si>
  <si>
    <t>Cold Spring Harb Perspect Biol</t>
  </si>
  <si>
    <t>19430264</t>
  </si>
  <si>
    <t>101571139</t>
  </si>
  <si>
    <t>Cold Spring Harbor perspectives in medicine</t>
  </si>
  <si>
    <t>COLD SPRING HARBOR PERSPECTIVES IN MEDICINE</t>
  </si>
  <si>
    <t>Cold Spring Harb Perspect Med</t>
  </si>
  <si>
    <t>101524530</t>
  </si>
  <si>
    <t>Cold Spring Harbor protocols</t>
  </si>
  <si>
    <t>COLD SPRING HARBOR PROTOCOLS</t>
  </si>
  <si>
    <t>Cold Spring Harb Protoc</t>
  </si>
  <si>
    <t>Continues: CSH protocols.</t>
  </si>
  <si>
    <t>1256107</t>
  </si>
  <si>
    <t>Cold Spring Harbor symposia on quantitative biology</t>
  </si>
  <si>
    <t>COLD SPRING HARBOR SYMPOSIA ON QUANTITATIVE BIOLOGY</t>
  </si>
  <si>
    <t>Cold Spring Harb Symp Quant Biol</t>
  </si>
  <si>
    <t>19434456</t>
  </si>
  <si>
    <t>9612493</t>
  </si>
  <si>
    <t>Collegian (Royal College of Nursing, Australia)</t>
  </si>
  <si>
    <t>COLLEGIAN (ROYAL COLLEGE OF NURSING, AUSTRALIA)</t>
  </si>
  <si>
    <t>Collegian</t>
  </si>
  <si>
    <t>13227696</t>
  </si>
  <si>
    <t>Ink Press International</t>
  </si>
  <si>
    <t>8003354</t>
  </si>
  <si>
    <t>Collegium antropologicum</t>
  </si>
  <si>
    <t>COLLEGIUM ANTROPOLOGICUM</t>
  </si>
  <si>
    <t>Coll Antropol</t>
  </si>
  <si>
    <t>03506134</t>
  </si>
  <si>
    <t>School Of Biological Anthropology</t>
  </si>
  <si>
    <t>9315133</t>
  </si>
  <si>
    <t>Colloids and surfaces. B, Biointerfaces</t>
  </si>
  <si>
    <t>COLLOIDS AND SURFACES. B, BIOINTERFACES</t>
  </si>
  <si>
    <t>Colloids Surf B Biointerfaces</t>
  </si>
  <si>
    <t>Continues in part: Colloids and surfaces.</t>
  </si>
  <si>
    <t>Sixteen no. a year, 2002-</t>
  </si>
  <si>
    <t>8502809</t>
  </si>
  <si>
    <t>Colorado nurse (1985)</t>
  </si>
  <si>
    <t>COLORADO NURSE (1985)</t>
  </si>
  <si>
    <t>Colo Nurse</t>
  </si>
  <si>
    <t>Continues: Colorado nurse update.</t>
  </si>
  <si>
    <t>8750846X</t>
  </si>
  <si>
    <t>Colorado Nurses Association</t>
  </si>
  <si>
    <t>100883611</t>
  </si>
  <si>
    <t>Colorectal disease : the official journal of the Association of Coloproctology of Great Britain and Ireland</t>
  </si>
  <si>
    <t>COLORECTAL DISEASE : THE OFFICIAL JOURNAL OF THE ASSOCIATION OF COLOPROCTOLOGY OF GREAT BRITAIN AND IRELAND</t>
  </si>
  <si>
    <t>Colorectal Dis</t>
  </si>
  <si>
    <t>Blackwell Science Ltd.</t>
  </si>
  <si>
    <t>9810948</t>
  </si>
  <si>
    <t>Combinatorial chemistry &amp; high throughput screening</t>
  </si>
  <si>
    <t>COMBINATORIAL CHEMISTRY &amp; HIGH THROUGHPUT SCREENING</t>
  </si>
  <si>
    <t>Comb Chem High Throughput Screen</t>
  </si>
  <si>
    <t>101601804</t>
  </si>
  <si>
    <t>Communicable diseases intelligence quarterly report</t>
  </si>
  <si>
    <t>COMMUNICABLE DISEASES INTELLIGENCE QUARTERLY REPORT</t>
  </si>
  <si>
    <t>Commun Dis Intell Q Rep</t>
  </si>
  <si>
    <t>Continues: Communicable diseases intelligence.</t>
  </si>
  <si>
    <t>14474514</t>
  </si>
  <si>
    <t>Communicable Diseases and Environmental Health Branch, Department of Health and Aged Care</t>
  </si>
  <si>
    <t>7707277</t>
  </si>
  <si>
    <t>Communicating nursing research</t>
  </si>
  <si>
    <t>COMMUNICATING NURSING RESEARCH</t>
  </si>
  <si>
    <t>Commun Nurs Res</t>
  </si>
  <si>
    <t>01601652</t>
  </si>
  <si>
    <t>Western Interstate Commission for Higher Education.</t>
  </si>
  <si>
    <t>101201068</t>
  </si>
  <si>
    <t>Communication &amp; medicine</t>
  </si>
  <si>
    <t>COMMUNICATION &amp; MEDICINE</t>
  </si>
  <si>
    <t>Commun Med</t>
  </si>
  <si>
    <t>16133625</t>
  </si>
  <si>
    <t>16121783</t>
  </si>
  <si>
    <t>Equinox</t>
  </si>
  <si>
    <t>101200320</t>
  </si>
  <si>
    <t>Communications in agricultural and applied biological sciences</t>
  </si>
  <si>
    <t>COMMUNICATIONS IN AGRICULTURAL AND APPLIED BIOLOGICAL SCIENCES</t>
  </si>
  <si>
    <t>Commun Agric Appl Biol Sci</t>
  </si>
  <si>
    <t>Continues: Mededelingen (Rijksuniversiteit te Gent. Fakulteit van de Landbouwkundige en Toegepaste Biologische Wetenschappen).</t>
  </si>
  <si>
    <t>13791176</t>
  </si>
  <si>
    <t>Faculteit Landbouwkundige en Toegepaste Biologische Wetenschappen</t>
  </si>
  <si>
    <t>Biology#Environmental Health</t>
  </si>
  <si>
    <t>8411261</t>
  </si>
  <si>
    <t>Community dental health</t>
  </si>
  <si>
    <t>COMMUNITY DENTAL HEALTH</t>
  </si>
  <si>
    <t>Community Dent Health</t>
  </si>
  <si>
    <t>0265539X</t>
  </si>
  <si>
    <t>Stephen Hancocks</t>
  </si>
  <si>
    <t>Quarterly, 1985-</t>
  </si>
  <si>
    <t>Dentistry#Public Health</t>
  </si>
  <si>
    <t>0410263</t>
  </si>
  <si>
    <t>Community dentistry and oral epidemiology</t>
  </si>
  <si>
    <t>COMMUNITY DENTISTRY AND ORAL EPIDEMIOLOGY</t>
  </si>
  <si>
    <t>Community Dent Oral Epidemiol</t>
  </si>
  <si>
    <t>16000528</t>
  </si>
  <si>
    <t>03015661</t>
  </si>
  <si>
    <t>Munksgaard International Publishers</t>
  </si>
  <si>
    <t>Dentistry#Epidemiology</t>
  </si>
  <si>
    <t>0005735</t>
  </si>
  <si>
    <t>Community mental health journal</t>
  </si>
  <si>
    <t>COMMUNITY MENTAL HEALTH JOURNAL</t>
  </si>
  <si>
    <t>Community Ment Health J</t>
  </si>
  <si>
    <t>15732789</t>
  </si>
  <si>
    <t>00103853</t>
  </si>
  <si>
    <t>9809060</t>
  </si>
  <si>
    <t>Community practitioner : the journal of the Community Practitioners' &amp; Health Visitors' Association</t>
  </si>
  <si>
    <t>COMMUNITY PRACTITIONER : THE JOURNAL OF THE COMMUNITY PRACTITIONERS' &amp; HEALTH VISITORS' ASSOCIATION</t>
  </si>
  <si>
    <t>Community Pract</t>
  </si>
  <si>
    <t>Continues: Health visitor.</t>
  </si>
  <si>
    <t>14622815</t>
  </si>
  <si>
    <t>Community Practitioners And Health Visitors Association</t>
  </si>
  <si>
    <t>9806096</t>
  </si>
  <si>
    <t>Comparative biochemistry and physiology. Part A, Molecular &amp; integrative physiology</t>
  </si>
  <si>
    <t>COMPARATIVE BIOCHEMISTRY AND PHYSIOLOGY. PART A, MOLECULAR &amp; INTEGRATIVE PHYSIOLOGY</t>
  </si>
  <si>
    <t>Comp Biochem Physiol A Mol Integr Physiol</t>
  </si>
  <si>
    <t>Continues: Comparative biochemistry and physiology. Part A, Physiology.</t>
  </si>
  <si>
    <t>Molecular Biology#Physiology</t>
  </si>
  <si>
    <t>9516061</t>
  </si>
  <si>
    <t>Comparative biochemistry and physiology. Part B, Biochemistry &amp; molecular biology</t>
  </si>
  <si>
    <t>COMPARATIVE BIOCHEMISTRY AND PHYSIOLOGY. PART B, BIOCHEMISTRY &amp; MOLECULAR BIOLOGY</t>
  </si>
  <si>
    <t>Comp Biochem Physiol B Biochem Mol Biol</t>
  </si>
  <si>
    <t>Continues: Comparative biochemistry and physiology. Biochemistry and molecular biology.</t>
  </si>
  <si>
    <t>Pergamon</t>
  </si>
  <si>
    <t>101270611</t>
  </si>
  <si>
    <t>Comparative biochemistry and physiology. Part D, Genomics &amp; proteomics</t>
  </si>
  <si>
    <t>COMPARATIVE BIOCHEMISTRY AND PHYSIOLOGY. PART D, GENOMICS &amp; PROTEOMICS</t>
  </si>
  <si>
    <t>Comp Biochem Physiol Part D Genomics Proteomics</t>
  </si>
  <si>
    <t>Biochemistry#Genetics</t>
  </si>
  <si>
    <t>100959500</t>
  </si>
  <si>
    <t>Comparative biochemistry and physiology. Toxicology &amp; pharmacology : CBP</t>
  </si>
  <si>
    <t>COMPARATIVE BIOCHEMISTRY AND PHYSIOLOGY. TOXICOLOGY &amp; PHARMACOLOGY : CBP</t>
  </si>
  <si>
    <t>Comp Biochem Physiol C Toxicol Pharmacol</t>
  </si>
  <si>
    <t>Continues: Comparative biochemistry and physiology. Part C, Pharmacology, toxicology &amp; endocrinology.</t>
  </si>
  <si>
    <t>7808924</t>
  </si>
  <si>
    <t>Comparative immunology, microbiology and infectious diseases</t>
  </si>
  <si>
    <t>COMPARATIVE IMMUNOLOGY, MICROBIOLOGY AND INFECTIOUS DISEASES</t>
  </si>
  <si>
    <t>Comp Immunol Microbiol Infect Dis</t>
  </si>
  <si>
    <t>Allergy and Immunology#Communicable Diseases#Microbiology#Veterinary Medicine</t>
  </si>
  <si>
    <t>100900466</t>
  </si>
  <si>
    <t>Comparative medicine</t>
  </si>
  <si>
    <t>COMPARATIVE MEDICINE</t>
  </si>
  <si>
    <t>Comp Med</t>
  </si>
  <si>
    <t>Continues: Laboratory animal science.</t>
  </si>
  <si>
    <t>Laboratory Animal Science#Medicine</t>
  </si>
  <si>
    <t>101290247</t>
  </si>
  <si>
    <t>Compendium (Yardley, PA)</t>
  </si>
  <si>
    <t>COMPENDIUM (YARDLEY, PA)</t>
  </si>
  <si>
    <t>Compend Contin Educ Vet</t>
  </si>
  <si>
    <t>Continues: Compendium on continuing education for the practicing veterinarian.</t>
  </si>
  <si>
    <t>19408315</t>
  </si>
  <si>
    <t>19408307</t>
  </si>
  <si>
    <t>Vetstreet</t>
  </si>
  <si>
    <t>9600713</t>
  </si>
  <si>
    <t>Compendium of continuing education in dentistry (Jamesburg, N.J. : 1995)</t>
  </si>
  <si>
    <t>COMPENDIUM OF CONTINUING EDUCATION IN DENTISTRY (JAMESBURG, N.J. : 1995)</t>
  </si>
  <si>
    <t>Compend Contin Educ Dent</t>
  </si>
  <si>
    <t>Continues: Compendium (Newtown, Pa.).</t>
  </si>
  <si>
    <t>21581797</t>
  </si>
  <si>
    <t>15488578</t>
  </si>
  <si>
    <t>AEGIS Communications</t>
  </si>
  <si>
    <t>Monthly (bimonthly Jul./Aug. and Nov./Dec.), 2012-</t>
  </si>
  <si>
    <t>Dentistry#Education</t>
  </si>
  <si>
    <t>101225531</t>
  </si>
  <si>
    <t>Complementary therapies in clinical practice</t>
  </si>
  <si>
    <t>COMPLEMENTARY THERAPIES IN CLINICAL PRACTICE</t>
  </si>
  <si>
    <t>Complement Ther Clin Pract</t>
  </si>
  <si>
    <t>Continues: Complementary therapies in nursing &amp; midwifery.</t>
  </si>
  <si>
    <t>18736947</t>
  </si>
  <si>
    <t>17443881</t>
  </si>
  <si>
    <t>Complementary Therapies#Nursing#Obstetrics#Perinatology</t>
  </si>
  <si>
    <t>9308777</t>
  </si>
  <si>
    <t>Complementary therapies in medicine</t>
  </si>
  <si>
    <t>COMPLEMENTARY THERAPIES IN MEDICINE</t>
  </si>
  <si>
    <t>Complement Ther Med</t>
  </si>
  <si>
    <t>Continues: Complementary medical research.</t>
  </si>
  <si>
    <t>101574442</t>
  </si>
  <si>
    <t>Comprehensive Physiology</t>
  </si>
  <si>
    <t>COMPREHENSIVE PHYSIOLOGY</t>
  </si>
  <si>
    <t>Compr Physiol</t>
  </si>
  <si>
    <t>20404603</t>
  </si>
  <si>
    <t>John Wiley and Sons</t>
  </si>
  <si>
    <t>Updated quarterly</t>
  </si>
  <si>
    <t>0372612</t>
  </si>
  <si>
    <t>Comprehensive psychiatry</t>
  </si>
  <si>
    <t>COMPREHENSIVE PSYCHIATRY</t>
  </si>
  <si>
    <t>Compr Psychiatry</t>
  </si>
  <si>
    <t>101140040</t>
  </si>
  <si>
    <t>Comptes rendus biologies</t>
  </si>
  <si>
    <t>COMPTES RENDUS BIOLOGIES</t>
  </si>
  <si>
    <t>C R Biol</t>
  </si>
  <si>
    <t>Continues: Comptes rendus de l'Académie des sciences. Série III, Sciences de la vie.</t>
  </si>
  <si>
    <t>101277751</t>
  </si>
  <si>
    <t>Computational and mathematical methods in medicine</t>
  </si>
  <si>
    <t>COMPUTATIONAL AND MATHEMATICAL METHODS IN MEDICINE</t>
  </si>
  <si>
    <t>Comput Math Methods Med</t>
  </si>
  <si>
    <t>Continues: Journal of theoretical medicine.</t>
  </si>
  <si>
    <t>101157394</t>
  </si>
  <si>
    <t>Computational biology and chemistry</t>
  </si>
  <si>
    <t>COMPUTATIONAL BIOLOGY AND CHEMISTRY</t>
  </si>
  <si>
    <t>Comput Biol Chem</t>
  </si>
  <si>
    <t>Continues: Computers &amp; chemistry.</t>
  </si>
  <si>
    <t>1476928X</t>
  </si>
  <si>
    <t>14769271</t>
  </si>
  <si>
    <t>Chemistry#Computational Biology#Medical Informatics</t>
  </si>
  <si>
    <t>101279357</t>
  </si>
  <si>
    <t>Computational intelligence and neuroscience</t>
  </si>
  <si>
    <t>COMPUTATIONAL INTELLIGENCE AND NEUROSCIENCE</t>
  </si>
  <si>
    <t>Comput Intell Neurosci</t>
  </si>
  <si>
    <t>16875273</t>
  </si>
  <si>
    <t>16875265</t>
  </si>
  <si>
    <t>Hindawi Pub. Corp.</t>
  </si>
  <si>
    <t>Computational Biology#Neurology</t>
  </si>
  <si>
    <t>101294517</t>
  </si>
  <si>
    <t>Computational systems bioinformatics / Life Sciences Society. Computational Systems Bioinformatics Conference</t>
  </si>
  <si>
    <t>COMPUTATIONAL SYSTEMS BIOINFORMATICS / LIFE SCIENCES SOCIETY. COMPUTATIONAL SYSTEMS BIOINFORMATICS CONFERENCE</t>
  </si>
  <si>
    <t>Comput Syst Bioinformatics Conf</t>
  </si>
  <si>
    <t>Continues: Proceedings. IEEE Computational Systems Bioinformatics Conference</t>
  </si>
  <si>
    <t>17527791</t>
  </si>
  <si>
    <t>Imperial College Press</t>
  </si>
  <si>
    <t>9708375</t>
  </si>
  <si>
    <t>Computer aided surgery : official journal of the International Society for Computer Aided Surgery</t>
  </si>
  <si>
    <t>COMPUTER AIDED SURGERY : OFFICIAL JOURNAL OF THE INTERNATIONAL SOCIETY FOR COMPUTER AIDED SURGERY</t>
  </si>
  <si>
    <t>Comput Aided Surg</t>
  </si>
  <si>
    <t>Continues: Journal of image guided surgery.</t>
  </si>
  <si>
    <t>10970150</t>
  </si>
  <si>
    <t>10929088</t>
  </si>
  <si>
    <t>8506513</t>
  </si>
  <si>
    <t>Computer methods and programs in biomedicine</t>
  </si>
  <si>
    <t>COMPUTER METHODS AND PROGRAMS IN BIOMEDICINE</t>
  </si>
  <si>
    <t>Comput Methods Programs Biomed</t>
  </si>
  <si>
    <t>Continues: Computer programs in biomedicine.</t>
  </si>
  <si>
    <t>Elsevier Scientific Publishers</t>
  </si>
  <si>
    <t>9802899</t>
  </si>
  <si>
    <t>Computer methods in biomechanics and biomedical engineering</t>
  </si>
  <si>
    <t>COMPUTER METHODS IN BIOMECHANICS AND BIOMEDICAL ENGINEERING</t>
  </si>
  <si>
    <t>Comput Methods Biomech Biomed Engin</t>
  </si>
  <si>
    <t>8806104</t>
  </si>
  <si>
    <t>Computerized medical imaging and graphics : the official journal of the Computerized Medical Imaging Society</t>
  </si>
  <si>
    <t>COMPUTERIZED MEDICAL IMAGING AND GRAPHICS : THE OFFICIAL JOURNAL OF THE COMPUTERIZED MEDICAL IMAGING SOCIETY</t>
  </si>
  <si>
    <t>Comput Med Imaging Graph</t>
  </si>
  <si>
    <t>Continues: Computerized radiology.</t>
  </si>
  <si>
    <t>1250250</t>
  </si>
  <si>
    <t>Computers in biology and medicine</t>
  </si>
  <si>
    <t>COMPUTERS IN BIOLOGY AND MEDICINE</t>
  </si>
  <si>
    <t>Comput Biol Med</t>
  </si>
  <si>
    <t>Biology#Medical Informatics#Medicine</t>
  </si>
  <si>
    <t>101141667</t>
  </si>
  <si>
    <t>Computers, informatics, nursing : CIN</t>
  </si>
  <si>
    <t>COMPUTERS, INFORMATICS, NURSING : CIN</t>
  </si>
  <si>
    <t>Comput Inform Nurs</t>
  </si>
  <si>
    <t>Absorbed: Cin plus. 2003 Continues: Computers in nursing.</t>
  </si>
  <si>
    <t>15389774</t>
  </si>
  <si>
    <t>15382931</t>
  </si>
  <si>
    <t>Medical Informatics#Nursing</t>
  </si>
  <si>
    <t>101243413</t>
  </si>
  <si>
    <t>Conference proceedings : ... Annual International Conference of the IEEE Engineering in Medicine and Biology Society. IEEE Engineering in Medicine and Biology Society. Conference</t>
  </si>
  <si>
    <t>CONFERENCE PROCEEDINGS : ... ANNUAL INTERNATIONAL CONFERENCE OF THE IEEE ENGINEERING IN MEDICINE AND BIOLOGY SOCIETY. IEEE ENGINEERING IN MEDICINE AND BIOLOGY SOCIETY. CONFERENCE</t>
  </si>
  <si>
    <t>Conf Proc IEEE Eng Med Biol Soc</t>
  </si>
  <si>
    <t>Continues: Proceedings of the Annual International Conference of the IEEE Engineering in Medicine and Biology Society. IEEE Engineering in Medicine and Biology Society. Conference.</t>
  </si>
  <si>
    <t>1557170X</t>
  </si>
  <si>
    <t>IEEE Service Center</t>
  </si>
  <si>
    <t>9306292</t>
  </si>
  <si>
    <t>Congenital anomalies</t>
  </si>
  <si>
    <t>CONGENITAL ANOMALIES</t>
  </si>
  <si>
    <t>Congenit Anom (Kyoto)</t>
  </si>
  <si>
    <t>Continues: Senten ijō.</t>
  </si>
  <si>
    <t>101256510</t>
  </si>
  <si>
    <t>Congenital heart disease</t>
  </si>
  <si>
    <t>CONGENITAL HEART DISEASE</t>
  </si>
  <si>
    <t>Congenit Heart Dis</t>
  </si>
  <si>
    <t>9714174</t>
  </si>
  <si>
    <t>Congestive heart failure (Greenwich, Conn.)</t>
  </si>
  <si>
    <t>CONGESTIVE HEART FAILURE (GREENWICH, CONN.)</t>
  </si>
  <si>
    <t>Congest Heart Fail</t>
  </si>
  <si>
    <t>Continues: Prevention and management of congestive heart failure.</t>
  </si>
  <si>
    <t>17517133</t>
  </si>
  <si>
    <t>15275299</t>
  </si>
  <si>
    <t>Le Jacq Communications</t>
  </si>
  <si>
    <t>0372745</t>
  </si>
  <si>
    <t>Connecticut medicine</t>
  </si>
  <si>
    <t>CONNECTICUT MEDICINE</t>
  </si>
  <si>
    <t>Conn Med</t>
  </si>
  <si>
    <t>Continues the Connecticut State medical journal.</t>
  </si>
  <si>
    <t>00106178</t>
  </si>
  <si>
    <t>Connecticut State Medical Society</t>
  </si>
  <si>
    <t>0365263</t>
  </si>
  <si>
    <t>Connective tissue research</t>
  </si>
  <si>
    <t>CONNECTIVE TISSUE RESEARCH</t>
  </si>
  <si>
    <t>Connect Tissue Res</t>
  </si>
  <si>
    <t>9303140</t>
  </si>
  <si>
    <t>Consciousness and cognition</t>
  </si>
  <si>
    <t>CONSCIOUSNESS AND COGNITION</t>
  </si>
  <si>
    <t>Conscious Cogn</t>
  </si>
  <si>
    <t>9882301</t>
  </si>
  <si>
    <t>Conservation biology : the journal of the Society for Conservation Biology</t>
  </si>
  <si>
    <t>CONSERVATION BIOLOGY : THE JOURNAL OF THE SOCIETY FOR CONSERVATION BIOLOGY</t>
  </si>
  <si>
    <t>Conserv Biol</t>
  </si>
  <si>
    <t>15231739</t>
  </si>
  <si>
    <t>08888892</t>
  </si>
  <si>
    <t>Blackwell Publishing, Inc. on behalf of the Society for Conservation Biology</t>
  </si>
  <si>
    <t>Bimonthly, 1995-</t>
  </si>
  <si>
    <t>9013983</t>
  </si>
  <si>
    <t>The Consultant pharmacist : the journal of the American Society of Consultant Pharmacists</t>
  </si>
  <si>
    <t>CONSULTANT PHARMACIST : THE JOURNAL OF THE AMERICAN SOCIETY OF CONSULTANT PHARMACISTS</t>
  </si>
  <si>
    <t>Consult Pharm</t>
  </si>
  <si>
    <t>Monthly, Jan. 1989-</t>
  </si>
  <si>
    <t>0215776</t>
  </si>
  <si>
    <t>Consumer reports</t>
  </si>
  <si>
    <t>CONSUMER REPORTS</t>
  </si>
  <si>
    <t>Consum Rep</t>
  </si>
  <si>
    <t>Continues Consumers union reports. Absorbed Bread and butter in Apr. 1947.</t>
  </si>
  <si>
    <t>00107174</t>
  </si>
  <si>
    <t>Consumers Union of U. S.</t>
  </si>
  <si>
    <t>Health Services Research#Public Health</t>
  </si>
  <si>
    <t>7604950</t>
  </si>
  <si>
    <t>Contact dermatitis</t>
  </si>
  <si>
    <t>CONTACT DERMATITIS</t>
  </si>
  <si>
    <t>12 no. per year, &lt;July 2005-&gt;</t>
  </si>
  <si>
    <t>9712714</t>
  </si>
  <si>
    <t>Contact lens &amp; anterior eye : the journal of the British Contact Lens Association</t>
  </si>
  <si>
    <t>CONTACT LENS &amp; ANTERIOR EYE : THE JOURNAL OF THE BRITISH CONTACT LENS ASSOCIATION</t>
  </si>
  <si>
    <t>Cont Lens Anterior Eye</t>
  </si>
  <si>
    <t>Absorbed: International contact lens clinic (New York, N.Y.). 2001 Continues: Journal of the B.C.L.A.. British Contact Lens Association.</t>
  </si>
  <si>
    <t>Six no. a year, 2008-</t>
  </si>
  <si>
    <t>101242342</t>
  </si>
  <si>
    <t>Contemporary clinical trials</t>
  </si>
  <si>
    <t>CONTEMPORARY CLINICAL TRIALS</t>
  </si>
  <si>
    <t>Contemp Clin Trials</t>
  </si>
  <si>
    <t>Continues: Controlled clinical trials.</t>
  </si>
  <si>
    <t>9211867</t>
  </si>
  <si>
    <t>Contemporary nurse</t>
  </si>
  <si>
    <t>CONTEMPORARY NURSE</t>
  </si>
  <si>
    <t>Contemp Nurse</t>
  </si>
  <si>
    <t>10376178</t>
  </si>
  <si>
    <t>John Libbey &amp; Company Pty Ltd</t>
  </si>
  <si>
    <t>Eight no. a year, 2008-</t>
  </si>
  <si>
    <t>9509333</t>
  </si>
  <si>
    <t>Continuum (Minneapolis, Minn.)</t>
  </si>
  <si>
    <t>CONTINUUM (MINNEAPOLIS, MINN.)</t>
  </si>
  <si>
    <t>Continuum (Minneap Minn)</t>
  </si>
  <si>
    <t>0234361</t>
  </si>
  <si>
    <t>CONTRACEPTION</t>
  </si>
  <si>
    <t>101286760</t>
  </si>
  <si>
    <t>Contrast media &amp; molecular imaging</t>
  </si>
  <si>
    <t>CONTRAST MEDIA &amp; MOLECULAR IMAGING</t>
  </si>
  <si>
    <t>Contrast Media Mol Imaging</t>
  </si>
  <si>
    <t>9815689</t>
  </si>
  <si>
    <t>Contributions to microbiology</t>
  </si>
  <si>
    <t>CONTRIBUTIONS TO MICROBIOLOGY</t>
  </si>
  <si>
    <t>Contrib Microbiol</t>
  </si>
  <si>
    <t>Formed by the union of: Contributions to microbiology and immunology; and: Concepts in immunopathology.</t>
  </si>
  <si>
    <t>1662291X</t>
  </si>
  <si>
    <t>14209519</t>
  </si>
  <si>
    <t>7513582</t>
  </si>
  <si>
    <t>Contributions to nephrology</t>
  </si>
  <si>
    <t>CONTRIBUTIONS TO NEPHROLOGY</t>
  </si>
  <si>
    <t>Contrib Nephrol</t>
  </si>
  <si>
    <t>16622782</t>
  </si>
  <si>
    <t>03025144</t>
  </si>
  <si>
    <t>101211769</t>
  </si>
  <si>
    <t>COPD</t>
  </si>
  <si>
    <t>Quarterly, 2005-</t>
  </si>
  <si>
    <t>8216186</t>
  </si>
  <si>
    <t>CORNEA</t>
  </si>
  <si>
    <t>Twelve no. a year, 2010-</t>
  </si>
  <si>
    <t>9892180</t>
  </si>
  <si>
    <t>Cornell journal of law and public policy</t>
  </si>
  <si>
    <t>CORNELL JOURNAL OF LAW AND PUBLIC POLICY</t>
  </si>
  <si>
    <t>Cornell J Law Public Policy</t>
  </si>
  <si>
    <t>10690565</t>
  </si>
  <si>
    <t>Cornell Law School</t>
  </si>
  <si>
    <t>7703647</t>
  </si>
  <si>
    <t>Cornell law review</t>
  </si>
  <si>
    <t>CORNELL LAW REVIEW</t>
  </si>
  <si>
    <t>Cornell Law Rev</t>
  </si>
  <si>
    <t>Continues: Cornell law quarterly.</t>
  </si>
  <si>
    <t>00108847</t>
  </si>
  <si>
    <t>Cornell Univ Law School</t>
  </si>
  <si>
    <t>Health Services Research#Jurisprudence</t>
  </si>
  <si>
    <t>9011445</t>
  </si>
  <si>
    <t>Coronary artery disease</t>
  </si>
  <si>
    <t>CORONARY ARTERY DISEASE</t>
  </si>
  <si>
    <t>Coron Artery Dis</t>
  </si>
  <si>
    <t>Monthly, 1991-</t>
  </si>
  <si>
    <t>0100725</t>
  </si>
  <si>
    <t>Cortex; a journal devoted to the study of the nervous system and behavior</t>
  </si>
  <si>
    <t>CORTEX; A JOURNAL DEVOTED TO THE STUDY OF THE NERVOUS SYSTEM AND BEHAVIOR</t>
  </si>
  <si>
    <t>Ten no. a year, 2008?-</t>
  </si>
  <si>
    <t>Behavioral Sciences#Brain#Neurology</t>
  </si>
  <si>
    <t>8609491</t>
  </si>
  <si>
    <t>Cranio : the journal of craniomandibular practice</t>
  </si>
  <si>
    <t>CRANIO : THE JOURNAL OF CRANIOMANDIBULAR PRACTICE</t>
  </si>
  <si>
    <t>Cranio</t>
  </si>
  <si>
    <t>Continues: The Journal of cranio-mandibular practice.</t>
  </si>
  <si>
    <t>08869634</t>
  </si>
  <si>
    <t>Chroma</t>
  </si>
  <si>
    <t>9505022</t>
  </si>
  <si>
    <t>Creative nursing</t>
  </si>
  <si>
    <t>CREATIVE NURSING</t>
  </si>
  <si>
    <t>Creat Nurs</t>
  </si>
  <si>
    <t>Continues: Primarily nursing.</t>
  </si>
  <si>
    <t>10784535</t>
  </si>
  <si>
    <t>Creative Nursing Management, Inc.</t>
  </si>
  <si>
    <t>9309668</t>
  </si>
  <si>
    <t>Criminal behaviour and mental health : CBMH</t>
  </si>
  <si>
    <t>CRIMINAL BEHAVIOUR AND MENTAL HEALTH : CBMH</t>
  </si>
  <si>
    <t>Crim Behav Ment Health</t>
  </si>
  <si>
    <t>Whurr Publishers Ltd.</t>
  </si>
  <si>
    <t>Four no. a year, 1993-</t>
  </si>
  <si>
    <t>8218602</t>
  </si>
  <si>
    <t>Crisis</t>
  </si>
  <si>
    <t>CRISIS</t>
  </si>
  <si>
    <t>02275910</t>
  </si>
  <si>
    <t>Hogrefe</t>
  </si>
  <si>
    <t>9801902</t>
  </si>
  <si>
    <t>Critical care (London, England)</t>
  </si>
  <si>
    <t>CRITICAL CARE (LONDON, ENGLAND)</t>
  </si>
  <si>
    <t>Crit Care</t>
  </si>
  <si>
    <t>100888170</t>
  </si>
  <si>
    <t>Critical care and resuscitation : journal of the Australasian Academy of Critical Care Medicine</t>
  </si>
  <si>
    <t>CRITICAL CARE AND RESUSCITATION : JOURNAL OF THE AUSTRALASIAN ACADEMY OF CRITICAL CARE MEDICINE</t>
  </si>
  <si>
    <t>Crit Care Resusc</t>
  </si>
  <si>
    <t>14412772</t>
  </si>
  <si>
    <t>Australasian Medical Pub. Co</t>
  </si>
  <si>
    <t>8507720</t>
  </si>
  <si>
    <t>Critical care clinics</t>
  </si>
  <si>
    <t>CRITICAL CARE CLINICS</t>
  </si>
  <si>
    <t>Crit Care Clin</t>
  </si>
  <si>
    <t>0355501</t>
  </si>
  <si>
    <t>Critical care medicine</t>
  </si>
  <si>
    <t>CRITICAL CARE MEDICINE</t>
  </si>
  <si>
    <t>Crit Care Med</t>
  </si>
  <si>
    <t>8207799</t>
  </si>
  <si>
    <t>Critical care nurse</t>
  </si>
  <si>
    <t>CRITICAL CARE NURSE</t>
  </si>
  <si>
    <t>Crit Care Nurse</t>
  </si>
  <si>
    <t>19408250</t>
  </si>
  <si>
    <t>02795442</t>
  </si>
  <si>
    <t>American Association of Critical-Care Nurses</t>
  </si>
  <si>
    <t>8912620</t>
  </si>
  <si>
    <t>Critical care nursing clinics of North America</t>
  </si>
  <si>
    <t>CRITICAL CARE NURSING CLINICS OF NORTH AMERICA</t>
  </si>
  <si>
    <t>Crit Care Nurs Clin North Am</t>
  </si>
  <si>
    <t>15583481</t>
  </si>
  <si>
    <t>08995885</t>
  </si>
  <si>
    <t>8704517</t>
  </si>
  <si>
    <t>Critical care nursing quarterly</t>
  </si>
  <si>
    <t>CRITICAL CARE NURSING QUARTERLY</t>
  </si>
  <si>
    <t>Crit Care Nurs Q</t>
  </si>
  <si>
    <t>Continues: CCQ. Critical care quarterly.</t>
  </si>
  <si>
    <t>101165286</t>
  </si>
  <si>
    <t>Critical pathways in cardiology</t>
  </si>
  <si>
    <t>CRITICAL PATHWAYS IN CARDIOLOGY</t>
  </si>
  <si>
    <t>Crit Pathw Cardiol</t>
  </si>
  <si>
    <t>Lippincott, Williams &amp; Wilkins</t>
  </si>
  <si>
    <t>8903774</t>
  </si>
  <si>
    <t>Critical reviews in biochemistry and molecular biology</t>
  </si>
  <si>
    <t>CRITICAL REVIEWS IN BIOCHEMISTRY AND MOLECULAR BIOLOGY</t>
  </si>
  <si>
    <t>Crit Rev Biochem Mol Biol</t>
  </si>
  <si>
    <t>Continues: Critical reviews in biochemistry.</t>
  </si>
  <si>
    <t>8208627</t>
  </si>
  <si>
    <t>Critical reviews in biomedical engineering</t>
  </si>
  <si>
    <t>CRITICAL REVIEWS IN BIOMEDICAL ENGINEERING</t>
  </si>
  <si>
    <t>Crit Rev Biomed Eng</t>
  </si>
  <si>
    <t>Continues: Critical reviews in bioengineering.</t>
  </si>
  <si>
    <t>1943619X</t>
  </si>
  <si>
    <t>Begell House</t>
  </si>
  <si>
    <t>Bimonthly, &lt;1995- &gt;</t>
  </si>
  <si>
    <t>8505177</t>
  </si>
  <si>
    <t>Critical reviews in biotechnology</t>
  </si>
  <si>
    <t>CRITICAL REVIEWS IN BIOTECHNOLOGY</t>
  </si>
  <si>
    <t>Crit Rev Biotechnol</t>
  </si>
  <si>
    <t>8914816</t>
  </si>
  <si>
    <t>Critical reviews in clinical laboratory sciences</t>
  </si>
  <si>
    <t>CRITICAL REVIEWS IN CLINICAL LABORATORY SCIENCES</t>
  </si>
  <si>
    <t>Crit Rev Clin Lab Sci</t>
  </si>
  <si>
    <t>Continues: CRC critical reviews in clinical laboratory sciences.</t>
  </si>
  <si>
    <t>9007261</t>
  </si>
  <si>
    <t>Critical reviews in eukaryotic gene expression</t>
  </si>
  <si>
    <t>CRITICAL REVIEWS IN EUKARYOTIC GENE EXPRESSION</t>
  </si>
  <si>
    <t>Crit Rev Eukaryot Gene Expr</t>
  </si>
  <si>
    <t>8914818</t>
  </si>
  <si>
    <t>Critical reviews in food science and nutrition</t>
  </si>
  <si>
    <t>CRITICAL REVIEWS IN FOOD SCIENCE AND NUTRITION</t>
  </si>
  <si>
    <t>Crit Rev Food Sci Nutr</t>
  </si>
  <si>
    <t>Continues: CRC critical reviews in food science and nutrition.</t>
  </si>
  <si>
    <t>15497852</t>
  </si>
  <si>
    <t>10408398</t>
  </si>
  <si>
    <t>8914819</t>
  </si>
  <si>
    <t>Critical reviews in immunology</t>
  </si>
  <si>
    <t>CRITICAL REVIEWS IN IMMUNOLOGY</t>
  </si>
  <si>
    <t>Crit Rev Immunol</t>
  </si>
  <si>
    <t>Continues: CRC critical reviews in immunology.</t>
  </si>
  <si>
    <t>8914274</t>
  </si>
  <si>
    <t>Critical reviews in microbiology</t>
  </si>
  <si>
    <t>CRITICAL REVIEWS IN MICROBIOLOGY</t>
  </si>
  <si>
    <t>Crit Rev Microbiol</t>
  </si>
  <si>
    <t>Continues: CRC critical reviews in microbiology.</t>
  </si>
  <si>
    <t>8914610</t>
  </si>
  <si>
    <t>Critical reviews in oncogenesis</t>
  </si>
  <si>
    <t>CRITICAL REVIEWS IN ONCOGENESIS</t>
  </si>
  <si>
    <t>Crit Rev Oncog</t>
  </si>
  <si>
    <t>8916049</t>
  </si>
  <si>
    <t>Critical reviews in oncology/hematology</t>
  </si>
  <si>
    <t>CRITICAL REVIEWS IN ONCOLOGY/HEMATOLOGY</t>
  </si>
  <si>
    <t>Crit Rev Oncol Hematol</t>
  </si>
  <si>
    <t>8511159</t>
  </si>
  <si>
    <t>Critical reviews in therapeutic drug carrier systems</t>
  </si>
  <si>
    <t>CRITICAL REVIEWS IN THERAPEUTIC DRUG CARRIER SYSTEMS</t>
  </si>
  <si>
    <t>Crit Rev Ther Drug Carrier Syst</t>
  </si>
  <si>
    <t>8914275</t>
  </si>
  <si>
    <t>Critical reviews in toxicology</t>
  </si>
  <si>
    <t>CRITICAL REVIEWS IN TOXICOLOGY</t>
  </si>
  <si>
    <t>Crit Rev Toxicol</t>
  </si>
  <si>
    <t>Continues: CRC critical reviews in toxicology.</t>
  </si>
  <si>
    <t>9424324</t>
  </si>
  <si>
    <t>Croatian medical journal</t>
  </si>
  <si>
    <t>CROATIAN MEDICAL JOURNAL</t>
  </si>
  <si>
    <t>Croat Med J</t>
  </si>
  <si>
    <t>Continues: Radovi Medicinskog fakulteta u Zagrebu.</t>
  </si>
  <si>
    <t>Medicinska Naklada</t>
  </si>
  <si>
    <t>9891832</t>
  </si>
  <si>
    <t>Cryo letters</t>
  </si>
  <si>
    <t>CRYO LETTERS</t>
  </si>
  <si>
    <t>Cryo Letters</t>
  </si>
  <si>
    <t>01432044</t>
  </si>
  <si>
    <t>CryoLetters</t>
  </si>
  <si>
    <t>0006252</t>
  </si>
  <si>
    <t>CRYOBIOLOGY</t>
  </si>
  <si>
    <t>101312976</t>
  </si>
  <si>
    <t>Cuadernos de bioética : revista oficial de la Asociación Española de Bioética y Ética Médica</t>
  </si>
  <si>
    <t>CUADERNOS DE BIOETICA : REVISTA OFICIAL DE LA ASOCIACION ESPANOLA DE BIOETICA Y ETICA MEDICA</t>
  </si>
  <si>
    <t>Cuad Bioet</t>
  </si>
  <si>
    <t>11321989</t>
  </si>
  <si>
    <t>Asociación Española de Bioética y Ética Médica</t>
  </si>
  <si>
    <t>100956435</t>
  </si>
  <si>
    <t>Cultural diversity &amp; ethnic minority psychology</t>
  </si>
  <si>
    <t>CULTURAL DIVERSITY &amp; ETHNIC MINORITY PSYCHOLOGY</t>
  </si>
  <si>
    <t>Cultur Divers Ethnic Minor Psychol</t>
  </si>
  <si>
    <t>Continues: Cultural diversity and mental health.</t>
  </si>
  <si>
    <t>1077341X</t>
  </si>
  <si>
    <t>Educational Pub. Foundation</t>
  </si>
  <si>
    <t>Psychology#Social Sciences</t>
  </si>
  <si>
    <t>100883416</t>
  </si>
  <si>
    <t>Culture, health &amp; sexuality</t>
  </si>
  <si>
    <t>CULTURE, HEALTH &amp; SEXUALITY</t>
  </si>
  <si>
    <t>Cult Health Sex</t>
  </si>
  <si>
    <t>14645351</t>
  </si>
  <si>
    <t>13691058</t>
  </si>
  <si>
    <t>Ten times a year, 2011-</t>
  </si>
  <si>
    <t>7707467</t>
  </si>
  <si>
    <t>Culture, medicine and psychiatry</t>
  </si>
  <si>
    <t>CULTURE, MEDICINE AND PSYCHIATRY</t>
  </si>
  <si>
    <t>Cult Med Psychiatry</t>
  </si>
  <si>
    <t>1573076X</t>
  </si>
  <si>
    <t>0165005X</t>
  </si>
  <si>
    <t>Anthropology#Psychiatry#Social Sciences</t>
  </si>
  <si>
    <t>7901092</t>
  </si>
  <si>
    <t>Curationis</t>
  </si>
  <si>
    <t>CURATIONIS</t>
  </si>
  <si>
    <t>Supersedes SA nursing journal. SA verplegingstydskrif.</t>
  </si>
  <si>
    <t>22236279</t>
  </si>
  <si>
    <t>03798577</t>
  </si>
  <si>
    <t>South African Nursing Assn.</t>
  </si>
  <si>
    <t>Annual, 2011-</t>
  </si>
  <si>
    <t>afr</t>
  </si>
  <si>
    <t>101473576</t>
  </si>
  <si>
    <t>Current aging science</t>
  </si>
  <si>
    <t>CURRENT AGING SCIENCE</t>
  </si>
  <si>
    <t>Curr Aging Sci</t>
  </si>
  <si>
    <t>Three issues a year</t>
  </si>
  <si>
    <t>101096440</t>
  </si>
  <si>
    <t>Current allergy and asthma reports</t>
  </si>
  <si>
    <t>CURRENT ALLERGY AND ASTHMA REPORTS</t>
  </si>
  <si>
    <t>Curr Allergy Asthma Rep</t>
  </si>
  <si>
    <t>Continues: Current allergy reports.</t>
  </si>
  <si>
    <t>101208441</t>
  </si>
  <si>
    <t>Current Alzheimer research</t>
  </si>
  <si>
    <t>CURRENT ALZHEIMER RESEARCH</t>
  </si>
  <si>
    <t>Curr Alzheimer Res</t>
  </si>
  <si>
    <t>0421035</t>
  </si>
  <si>
    <t>Current anthropology</t>
  </si>
  <si>
    <t>CURRENT ANTHROPOLOGY</t>
  </si>
  <si>
    <t>Curr Anthropol</t>
  </si>
  <si>
    <t>Continues: Yearbook of anthropology.</t>
  </si>
  <si>
    <t>15375382</t>
  </si>
  <si>
    <t>00113204</t>
  </si>
  <si>
    <t>University Of Chicago Press</t>
  </si>
  <si>
    <t>Anthropology#History of Medicine</t>
  </si>
  <si>
    <t>100897685</t>
  </si>
  <si>
    <t>Current atherosclerosis reports</t>
  </si>
  <si>
    <t>CURRENT ATHEROSCLEROSIS REPORTS</t>
  </si>
  <si>
    <t>Curr Atheroscler Rep</t>
  </si>
  <si>
    <t>Current Science</t>
  </si>
  <si>
    <t>9107782</t>
  </si>
  <si>
    <t>Current biology : CB</t>
  </si>
  <si>
    <t>CURRENT BIOLOGY : CB</t>
  </si>
  <si>
    <t>Curr Biol</t>
  </si>
  <si>
    <t>18790445</t>
  </si>
  <si>
    <t>09609822</t>
  </si>
  <si>
    <t>Twenty four no. a year, 1999-</t>
  </si>
  <si>
    <t>101094211</t>
  </si>
  <si>
    <t>Current cancer drug targets</t>
  </si>
  <si>
    <t>CURRENT CANCER DRUG TARGETS</t>
  </si>
  <si>
    <t>Curr Cancer Drug Targets</t>
  </si>
  <si>
    <t>100888969</t>
  </si>
  <si>
    <t>Current cardiology reports</t>
  </si>
  <si>
    <t>CURRENT CARDIOLOGY REPORTS</t>
  </si>
  <si>
    <t>Curr Cardiol Rep</t>
  </si>
  <si>
    <t>101261935</t>
  </si>
  <si>
    <t>Current cardiology reviews</t>
  </si>
  <si>
    <t>CURRENT CARDIOLOGY REVIEWS</t>
  </si>
  <si>
    <t>Curr Cardiol Rev</t>
  </si>
  <si>
    <t>Four issues a year, 2006-</t>
  </si>
  <si>
    <t>101273158</t>
  </si>
  <si>
    <t>Current clinical pharmacology</t>
  </si>
  <si>
    <t>CURRENT CLINICAL PHARMACOLOGY</t>
  </si>
  <si>
    <t>Curr Clin Pharmacol</t>
  </si>
  <si>
    <t>22123938</t>
  </si>
  <si>
    <t>Bentham Science Publishers Ltd.</t>
  </si>
  <si>
    <t>101265750</t>
  </si>
  <si>
    <t>Current computer-aided drug design</t>
  </si>
  <si>
    <t>CURRENT COMPUTER-AIDED DRUG DESIGN</t>
  </si>
  <si>
    <t>Curr Comput Aided Drug Des</t>
  </si>
  <si>
    <t>Medical Informatics#Pharmacology</t>
  </si>
  <si>
    <t>101093791</t>
  </si>
  <si>
    <t>Current diabetes reports</t>
  </si>
  <si>
    <t>CURRENT DIABETES REPORTS</t>
  </si>
  <si>
    <t>Curr Diab Rep</t>
  </si>
  <si>
    <t>101253260</t>
  </si>
  <si>
    <t>Current diabetes reviews</t>
  </si>
  <si>
    <t>CURRENT DIABETES REVIEWS</t>
  </si>
  <si>
    <t>Curr Diabetes Rev</t>
  </si>
  <si>
    <t>101121763</t>
  </si>
  <si>
    <t>Current directions in autoimmunity</t>
  </si>
  <si>
    <t>CURRENT DIRECTIONS IN AUTOIMMUNITY</t>
  </si>
  <si>
    <t>Curr Dir Autoimmun</t>
  </si>
  <si>
    <t>101468123</t>
  </si>
  <si>
    <t>Current drug abuse reviews</t>
  </si>
  <si>
    <t>CURRENT DRUG ABUSE REVIEWS</t>
  </si>
  <si>
    <t>Curr Drug Abuse Rev</t>
  </si>
  <si>
    <t>101208455</t>
  </si>
  <si>
    <t>Current drug delivery</t>
  </si>
  <si>
    <t>CURRENT DRUG DELIVERY</t>
  </si>
  <si>
    <t>Curr Drug Deliv</t>
  </si>
  <si>
    <t>Five no. a year, 2009-</t>
  </si>
  <si>
    <t>101157212</t>
  </si>
  <si>
    <t>Current drug discovery technologies</t>
  </si>
  <si>
    <t>CURRENT DRUG DISCOVERY TECHNOLOGIES</t>
  </si>
  <si>
    <t>Curr Drug Discov Technol</t>
  </si>
  <si>
    <t>100960533</t>
  </si>
  <si>
    <t>Current drug metabolism</t>
  </si>
  <si>
    <t>CURRENT DRUG METABOLISM</t>
  </si>
  <si>
    <t>Curr Drug Metab</t>
  </si>
  <si>
    <t>Ten issues per year</t>
  </si>
  <si>
    <t>Chemistry#Metabolism</t>
  </si>
  <si>
    <t>101270895</t>
  </si>
  <si>
    <t>Current drug safety</t>
  </si>
  <si>
    <t>CURRENT DRUG SAFETY</t>
  </si>
  <si>
    <t>Curr Drug Saf</t>
  </si>
  <si>
    <t>22123911</t>
  </si>
  <si>
    <t>Saif Zone, Sharjah, U.A.E.</t>
  </si>
  <si>
    <t>Five no. a year, 2011-</t>
  </si>
  <si>
    <t>100960531</t>
  </si>
  <si>
    <t>Current drug targets</t>
  </si>
  <si>
    <t>CURRENT DRUG TARGETS</t>
  </si>
  <si>
    <t>Curr Drug Targets</t>
  </si>
  <si>
    <t>8104312</t>
  </si>
  <si>
    <t>Current eye research</t>
  </si>
  <si>
    <t>CURRENT EYE RESEARCH</t>
  </si>
  <si>
    <t>Curr Eye Res</t>
  </si>
  <si>
    <t>Monthly, &lt;2003-&gt;</t>
  </si>
  <si>
    <t>100888896</t>
  </si>
  <si>
    <t>Current gastroenterology reports</t>
  </si>
  <si>
    <t>CURRENT GASTROENTEROLOGY REPORTS</t>
  </si>
  <si>
    <t>Curr Gastroenterol Rep</t>
  </si>
  <si>
    <t>101125446</t>
  </si>
  <si>
    <t>Current gene therapy</t>
  </si>
  <si>
    <t>CURRENT GENE THERAPY</t>
  </si>
  <si>
    <t>Curr Gene Ther</t>
  </si>
  <si>
    <t>Genetics, Medical#Therapeutics</t>
  </si>
  <si>
    <t>8004904</t>
  </si>
  <si>
    <t>Current genetics</t>
  </si>
  <si>
    <t>CURRENT GENETICS</t>
  </si>
  <si>
    <t>Curr Genet</t>
  </si>
  <si>
    <t>101196487</t>
  </si>
  <si>
    <t>Current heart failure reports</t>
  </si>
  <si>
    <t>CURRENT HEART FAILURE REPORTS</t>
  </si>
  <si>
    <t>Curr Heart Fail Rep</t>
  </si>
  <si>
    <t>101262565</t>
  </si>
  <si>
    <t>Current hematologic malignancy reports</t>
  </si>
  <si>
    <t>CURRENT HEMATOLOGIC MALIGNANCY REPORTS</t>
  </si>
  <si>
    <t>Curr Hematol Malig Rep</t>
  </si>
  <si>
    <t>101156990</t>
  </si>
  <si>
    <t>Current HIV research</t>
  </si>
  <si>
    <t>CURRENT HIV RESEARCH</t>
  </si>
  <si>
    <t>Curr HIV Res</t>
  </si>
  <si>
    <t>101235661</t>
  </si>
  <si>
    <t>Current HIV/AIDS reports</t>
  </si>
  <si>
    <t>CURRENT HIV/AIDS REPORTS</t>
  </si>
  <si>
    <t>Curr HIV/AIDS Rep</t>
  </si>
  <si>
    <t>100888982</t>
  </si>
  <si>
    <t>Current hypertension reports</t>
  </si>
  <si>
    <t>CURRENT HYPERTENSION REPORTS</t>
  </si>
  <si>
    <t>Curr Hypertens Rep</t>
  </si>
  <si>
    <t>Current Science, Inc.</t>
  </si>
  <si>
    <t>101239891</t>
  </si>
  <si>
    <t>Current hypertension reviews</t>
  </si>
  <si>
    <t>CURRENT HYPERTENSION REVIEWS</t>
  </si>
  <si>
    <t>Curr Hypertens Rev</t>
  </si>
  <si>
    <t>100931761</t>
  </si>
  <si>
    <t>Current issues in molecular biology</t>
  </si>
  <si>
    <t>CURRENT ISSUES IN MOLECULAR BIOLOGY</t>
  </si>
  <si>
    <t>Curr Issues Mol Biol</t>
  </si>
  <si>
    <t>Absorbed: Current issues in intestinal microbiology.</t>
  </si>
  <si>
    <t>14673045</t>
  </si>
  <si>
    <t>0351014</t>
  </si>
  <si>
    <t>Current medical research and opinion</t>
  </si>
  <si>
    <t>CURRENT MEDICAL RESEARCH AND OPINION</t>
  </si>
  <si>
    <t>Curr Med Res Opin</t>
  </si>
  <si>
    <t>9440157</t>
  </si>
  <si>
    <t>Current medicinal chemistry</t>
  </si>
  <si>
    <t>CURRENT MEDICINAL CHEMISTRY</t>
  </si>
  <si>
    <t>Curr Med Chem</t>
  </si>
  <si>
    <t>Thirty-six no. a year, 2009-</t>
  </si>
  <si>
    <t>7808448</t>
  </si>
  <si>
    <t>Current microbiology</t>
  </si>
  <si>
    <t>CURRENT MICROBIOLOGY</t>
  </si>
  <si>
    <t>Curr Microbiol</t>
  </si>
  <si>
    <t>Springer International.</t>
  </si>
  <si>
    <t>101093076</t>
  </si>
  <si>
    <t>Current molecular medicine</t>
  </si>
  <si>
    <t>CURRENT MOLECULAR MEDICINE</t>
  </si>
  <si>
    <t>Curr Mol Med</t>
  </si>
  <si>
    <t>Nine no. a year, 2009-</t>
  </si>
  <si>
    <t>101467997</t>
  </si>
  <si>
    <t>Current molecular pharmacology</t>
  </si>
  <si>
    <t>CURRENT MOLECULAR PHARMACOLOGY</t>
  </si>
  <si>
    <t>Curr Mol Pharmacol</t>
  </si>
  <si>
    <t>100931790</t>
  </si>
  <si>
    <t>Current neurology and neuroscience reports</t>
  </si>
  <si>
    <t>CURRENT NEUROLOGY AND NEUROSCIENCE REPORTS</t>
  </si>
  <si>
    <t>Curr Neurol Neurosci Rep</t>
  </si>
  <si>
    <t>101208439</t>
  </si>
  <si>
    <t>Current neurovascular research</t>
  </si>
  <si>
    <t>CURRENT NEUROVASCULAR RESEARCH</t>
  </si>
  <si>
    <t>Curr Neurovasc Res</t>
  </si>
  <si>
    <t>Neurology#Vascular Diseases</t>
  </si>
  <si>
    <t>100888967</t>
  </si>
  <si>
    <t>Current oncology reports</t>
  </si>
  <si>
    <t>CURRENT ONCOLOGY REPORTS</t>
  </si>
  <si>
    <t>Curr Oncol Rep</t>
  </si>
  <si>
    <t>100936359</t>
  </si>
  <si>
    <t>Current opinion in allergy and clinical immunology</t>
  </si>
  <si>
    <t>CURRENT OPINION IN ALLERGY AND CLINICAL IMMUNOLOGY</t>
  </si>
  <si>
    <t>Curr Opin Allergy Clin Immunol</t>
  </si>
  <si>
    <t>8813436</t>
  </si>
  <si>
    <t>Current opinion in anaesthesiology</t>
  </si>
  <si>
    <t>CURRENT OPINION IN ANAESTHESIOLOGY</t>
  </si>
  <si>
    <t>Curr Opin Anaesthesiol</t>
  </si>
  <si>
    <t>9100492</t>
  </si>
  <si>
    <t>Current opinion in biotechnology</t>
  </si>
  <si>
    <t>CURRENT OPINION IN BIOTECHNOLOGY</t>
  </si>
  <si>
    <t>Curr Opin Biotechnol</t>
  </si>
  <si>
    <t>Current Biology</t>
  </si>
  <si>
    <t>8608087</t>
  </si>
  <si>
    <t>Current opinion in cardiology</t>
  </si>
  <si>
    <t>CURRENT OPINION IN CARDIOLOGY</t>
  </si>
  <si>
    <t>Curr Opin Cardiol</t>
  </si>
  <si>
    <t>8913428</t>
  </si>
  <si>
    <t>Current opinion in cell biology</t>
  </si>
  <si>
    <t>CURRENT OPINION IN CELL BIOLOGY</t>
  </si>
  <si>
    <t>Curr Opin Cell Biol</t>
  </si>
  <si>
    <t>9811312</t>
  </si>
  <si>
    <t>Current opinion in chemical biology</t>
  </si>
  <si>
    <t>CURRENT OPINION IN CHEMICAL BIOLOGY</t>
  </si>
  <si>
    <t>Curr Opin Chem Biol</t>
  </si>
  <si>
    <t>9804399</t>
  </si>
  <si>
    <t>Current opinion in clinical nutrition and metabolic care</t>
  </si>
  <si>
    <t>CURRENT OPINION IN CLINICAL NUTRITION AND METABOLIC CARE</t>
  </si>
  <si>
    <t>Curr Opin Clin Nutr Metab Care</t>
  </si>
  <si>
    <t>9504454</t>
  </si>
  <si>
    <t>Current opinion in critical care</t>
  </si>
  <si>
    <t>CURRENT OPINION IN CRITICAL CARE</t>
  </si>
  <si>
    <t>Curr Opin Crit Care</t>
  </si>
  <si>
    <t>101308636</t>
  </si>
  <si>
    <t>Current opinion in endocrinology, diabetes, and obesity</t>
  </si>
  <si>
    <t>CURRENT OPINION IN ENDOCRINOLOGY, DIABETES, AND OBESITY</t>
  </si>
  <si>
    <t>Curr Opin Endocrinol Diabetes Obes</t>
  </si>
  <si>
    <t>Continues: Current opinion in endocrinology &amp; diabetes.</t>
  </si>
  <si>
    <t>8506887</t>
  </si>
  <si>
    <t>Current opinion in gastroenterology</t>
  </si>
  <si>
    <t>CURRENT OPINION IN GASTROENTEROLOGY</t>
  </si>
  <si>
    <t>Curr Opin Gastroenterol</t>
  </si>
  <si>
    <t>9111375</t>
  </si>
  <si>
    <t>Current opinion in genetics &amp; development</t>
  </si>
  <si>
    <t>CURRENT OPINION IN GENETICS &amp; DEVELOPMENT</t>
  </si>
  <si>
    <t>Curr Opin Genet Dev</t>
  </si>
  <si>
    <t>9430802</t>
  </si>
  <si>
    <t>Current opinion in hematology</t>
  </si>
  <si>
    <t>CURRENT OPINION IN HEMATOLOGY</t>
  </si>
  <si>
    <t>Curr Opin Hematol</t>
  </si>
  <si>
    <t>101264945</t>
  </si>
  <si>
    <t>Current opinion in HIV and AIDS</t>
  </si>
  <si>
    <t>CURRENT OPINION IN HIV AND AIDS</t>
  </si>
  <si>
    <t>Curr Opin HIV AIDS</t>
  </si>
  <si>
    <t>8900118</t>
  </si>
  <si>
    <t>Current opinion in immunology</t>
  </si>
  <si>
    <t>CURRENT OPINION IN IMMUNOLOGY</t>
  </si>
  <si>
    <t>Curr Opin Immunol</t>
  </si>
  <si>
    <t>8809878</t>
  </si>
  <si>
    <t>Current opinion in infectious diseases</t>
  </si>
  <si>
    <t>CURRENT OPINION IN INFECTIOUS DISEASES</t>
  </si>
  <si>
    <t>Curr Opin Infect Dis</t>
  </si>
  <si>
    <t>9010000</t>
  </si>
  <si>
    <t>Current opinion in lipidology</t>
  </si>
  <si>
    <t>CURRENT OPINION IN LIPIDOLOGY</t>
  </si>
  <si>
    <t>Curr Opin Lipidol</t>
  </si>
  <si>
    <t>9815056</t>
  </si>
  <si>
    <t>Current opinion in microbiology</t>
  </si>
  <si>
    <t>CURRENT OPINION IN MICROBIOLOGY</t>
  </si>
  <si>
    <t>Curr Opin Microbiol</t>
  </si>
  <si>
    <t>9303753</t>
  </si>
  <si>
    <t>Current opinion in nephrology and hypertension</t>
  </si>
  <si>
    <t>CURRENT OPINION IN NEPHROLOGY AND HYPERTENSION</t>
  </si>
  <si>
    <t>Curr Opin Nephrol Hypertens</t>
  </si>
  <si>
    <t>Nephrology#Vascular Diseases</t>
  </si>
  <si>
    <t>9111376</t>
  </si>
  <si>
    <t>Current opinion in neurobiology</t>
  </si>
  <si>
    <t>CURRENT OPINION IN NEUROBIOLOGY</t>
  </si>
  <si>
    <t>Curr Opin Neurobiol</t>
  </si>
  <si>
    <t>9319162</t>
  </si>
  <si>
    <t>Current opinion in neurology</t>
  </si>
  <si>
    <t>CURRENT OPINION IN NEUROLOGY</t>
  </si>
  <si>
    <t>Curr Opin Neurol</t>
  </si>
  <si>
    <t>Continues: Current opinion in neurology and neurosurgery.</t>
  </si>
  <si>
    <t>9007264</t>
  </si>
  <si>
    <t>Current opinion in obstetrics &amp; gynecology</t>
  </si>
  <si>
    <t>CURRENT OPINION IN OBSTETRICS &amp; GYNECOLOGY</t>
  </si>
  <si>
    <t>Curr Opin Obstet Gynecol</t>
  </si>
  <si>
    <t>9007265</t>
  </si>
  <si>
    <t>Current opinion in oncology</t>
  </si>
  <si>
    <t>CURRENT OPINION IN ONCOLOGY</t>
  </si>
  <si>
    <t>Curr Opin Oncol</t>
  </si>
  <si>
    <t>9011108</t>
  </si>
  <si>
    <t>Current opinion in ophthalmology</t>
  </si>
  <si>
    <t>CURRENT OPINION IN OPHTHALMOLOGY</t>
  </si>
  <si>
    <t>Curr Opin Ophthalmol</t>
  </si>
  <si>
    <t>9717388</t>
  </si>
  <si>
    <t>Current opinion in organ transplantation</t>
  </si>
  <si>
    <t>CURRENT OPINION IN ORGAN TRANSPLANTATION</t>
  </si>
  <si>
    <t>Curr Opin Organ Transplant</t>
  </si>
  <si>
    <t>9417024</t>
  </si>
  <si>
    <t>Current opinion in otolaryngology &amp; head and neck surgery</t>
  </si>
  <si>
    <t>CURRENT OPINION IN OTOLARYNGOLOGY &amp; HEAD AND NECK SURGERY</t>
  </si>
  <si>
    <t>Curr Opin Otolaryngol Head Neck Surg</t>
  </si>
  <si>
    <t>9000850</t>
  </si>
  <si>
    <t>Current opinion in pediatrics</t>
  </si>
  <si>
    <t>CURRENT OPINION IN PEDIATRICS</t>
  </si>
  <si>
    <t>Curr Opin Pediatr</t>
  </si>
  <si>
    <t>100966133</t>
  </si>
  <si>
    <t>Current opinion in pharmacology</t>
  </si>
  <si>
    <t>CURRENT OPINION IN PHARMACOLOGY</t>
  </si>
  <si>
    <t>Curr Opin Pharmacol</t>
  </si>
  <si>
    <t>100883395</t>
  </si>
  <si>
    <t>Current opinion in plant biology</t>
  </si>
  <si>
    <t>CURRENT OPINION IN PLANT BIOLOGY</t>
  </si>
  <si>
    <t>Curr Opin Plant Biol</t>
  </si>
  <si>
    <t>18790356</t>
  </si>
  <si>
    <t>13695266</t>
  </si>
  <si>
    <t>Current Biology Ltd.</t>
  </si>
  <si>
    <t>8809880</t>
  </si>
  <si>
    <t>Current opinion in psychiatry</t>
  </si>
  <si>
    <t>CURRENT OPINION IN PSYCHIATRY</t>
  </si>
  <si>
    <t>Curr Opin Psychiatry</t>
  </si>
  <si>
    <t>Rapid Science Publishers</t>
  </si>
  <si>
    <t>9503765</t>
  </si>
  <si>
    <t>Current opinion in pulmonary medicine</t>
  </si>
  <si>
    <t>CURRENT OPINION IN PULMONARY MEDICINE</t>
  </si>
  <si>
    <t>Curr Opin Pulm Med</t>
  </si>
  <si>
    <t>9000851</t>
  </si>
  <si>
    <t>Current opinion in rheumatology</t>
  </si>
  <si>
    <t>CURRENT OPINION IN RHEUMATOLOGY</t>
  </si>
  <si>
    <t>Curr Opin Rheumatol</t>
  </si>
  <si>
    <t>9107784</t>
  </si>
  <si>
    <t>Current opinion in structural biology</t>
  </si>
  <si>
    <t>CURRENT OPINION IN STRUCTURAL BIOLOGY</t>
  </si>
  <si>
    <t>Curr Opin Struct Biol</t>
  </si>
  <si>
    <t>101297402</t>
  </si>
  <si>
    <t>Current opinion in supportive and palliative care</t>
  </si>
  <si>
    <t>CURRENT OPINION IN SUPPORTIVE AND PALLIATIVE CARE</t>
  </si>
  <si>
    <t>Curr Opin Support Palliat Care</t>
  </si>
  <si>
    <t>17514266</t>
  </si>
  <si>
    <t>17514258</t>
  </si>
  <si>
    <t>9200621</t>
  </si>
  <si>
    <t>Current opinion in urology</t>
  </si>
  <si>
    <t>CURRENT OPINION IN UROLOGY</t>
  </si>
  <si>
    <t>Curr Opin Urol</t>
  </si>
  <si>
    <t>101560941</t>
  </si>
  <si>
    <t>Current opinion in virology</t>
  </si>
  <si>
    <t>CURRENT OPINION IN VIROLOGY</t>
  </si>
  <si>
    <t>Curr Opin Virol</t>
  </si>
  <si>
    <t>18796265</t>
  </si>
  <si>
    <t>101176492</t>
  </si>
  <si>
    <t>Current osteoporosis reports</t>
  </si>
  <si>
    <t>CURRENT OSTEOPOROSIS REPORTS</t>
  </si>
  <si>
    <t>Curr Osteoporos Rep</t>
  </si>
  <si>
    <t>100970666</t>
  </si>
  <si>
    <t>Current pain and headache reports</t>
  </si>
  <si>
    <t>CURRENT PAIN AND HEADACHE REPORTS</t>
  </si>
  <si>
    <t>Curr Pain Headache Rep</t>
  </si>
  <si>
    <t>Continues: Current review of pain.</t>
  </si>
  <si>
    <t>100960530</t>
  </si>
  <si>
    <t>Current pharmaceutical biotechnology</t>
  </si>
  <si>
    <t>CURRENT PHARMACEUTICAL BIOTECHNOLOGY</t>
  </si>
  <si>
    <t>Curr Pharm Biotechnol</t>
  </si>
  <si>
    <t>Biotechnology#Pharmacology</t>
  </si>
  <si>
    <t>9602487</t>
  </si>
  <si>
    <t>Current pharmaceutical design</t>
  </si>
  <si>
    <t>CURRENT PHARMACEUTICAL DESIGN</t>
  </si>
  <si>
    <t>Curr Pharm Des</t>
  </si>
  <si>
    <t>Fourty-two no. a year, 2014-</t>
  </si>
  <si>
    <t>7702986</t>
  </si>
  <si>
    <t>Current problems in cancer</t>
  </si>
  <si>
    <t>CURRENT PROBLEMS IN CANCER</t>
  </si>
  <si>
    <t>Curr Probl Cancer</t>
  </si>
  <si>
    <t>7701802</t>
  </si>
  <si>
    <t>Current problems in cardiology</t>
  </si>
  <si>
    <t>CURRENT PROBLEMS IN CARDIOLOGY</t>
  </si>
  <si>
    <t>Curr Probl Cardiol</t>
  </si>
  <si>
    <t>Mosby-Year Book</t>
  </si>
  <si>
    <t>0147371</t>
  </si>
  <si>
    <t>Current problems in dermatology</t>
  </si>
  <si>
    <t>CURRENT PROBLEMS IN DERMATOLOGY</t>
  </si>
  <si>
    <t>Curr Probl Dermatol</t>
  </si>
  <si>
    <t>Continues: Aktuelle Probleme der Dermatologie. Current problems in dermatology.</t>
  </si>
  <si>
    <t>7607123</t>
  </si>
  <si>
    <t>Current problems in diagnostic radiology</t>
  </si>
  <si>
    <t>CURRENT PROBLEMS IN DIAGNOSTIC RADIOLOGY</t>
  </si>
  <si>
    <t>Curr Probl Diagn Radiol</t>
  </si>
  <si>
    <t>Continues Current problems in radiology.</t>
  </si>
  <si>
    <t>101134613</t>
  </si>
  <si>
    <t>Current problems in pediatric and adolescent health care</t>
  </si>
  <si>
    <t>CURRENT PROBLEMS IN PEDIATRIC AND ADOLESCENT HEALTH CARE</t>
  </si>
  <si>
    <t>Curr Probl Pediatr Adolesc Health Care</t>
  </si>
  <si>
    <t>Continues: Current problems in pediatrics.</t>
  </si>
  <si>
    <t>Monthly (except for June and Dec.)</t>
  </si>
  <si>
    <t>0372617</t>
  </si>
  <si>
    <t>Current problems in surgery</t>
  </si>
  <si>
    <t>CURRENT PROBLEMS IN SURGERY</t>
  </si>
  <si>
    <t>Curr Probl Surg</t>
  </si>
  <si>
    <t>100960529</t>
  </si>
  <si>
    <t>Current protein &amp; peptide science</t>
  </si>
  <si>
    <t>CURRENT PROTEIN &amp; PEPTIDE SCIENCE</t>
  </si>
  <si>
    <t>Curr Protein Pept Sci</t>
  </si>
  <si>
    <t>101157830</t>
  </si>
  <si>
    <t>Current protocols in bioinformatics / editoral board, Andreas D. Baxevanis ... [et al.]</t>
  </si>
  <si>
    <t>CURRENT PROTOCOLS IN BIOINFORMATICS / EDITORAL BOARD, ANDREAS D. BAXEVANIS ... [ET AL.]</t>
  </si>
  <si>
    <t>Curr Protoc Bioinformatics</t>
  </si>
  <si>
    <t>Updated every three months</t>
  </si>
  <si>
    <t>101287856</t>
  </si>
  <si>
    <t>Current protocols in cell biology / editorial board, Juan S. Bonifacino ... [et al.]</t>
  </si>
  <si>
    <t>CURRENT PROTOCOLS IN CELL BIOLOGY / EDITORIAL BOARD, JUAN S. BONIFACINO ... [ET AL.]</t>
  </si>
  <si>
    <t>Curr Protoc Cell Biol</t>
  </si>
  <si>
    <t>John Wiley</t>
  </si>
  <si>
    <t>101559235</t>
  </si>
  <si>
    <t>Current protocols in chemical biology</t>
  </si>
  <si>
    <t>CURRENT PROTOCOLS IN CHEMICAL BIOLOGY</t>
  </si>
  <si>
    <t>Curr Protoc Chem Biol</t>
  </si>
  <si>
    <t>21604762</t>
  </si>
  <si>
    <t>Biochemistry#Chemistry Techniques, Analytical</t>
  </si>
  <si>
    <t>100899351</t>
  </si>
  <si>
    <t>Current protocols in cytometry / editorial board, J. Paul Robinson, managing editor ... [et al.]</t>
  </si>
  <si>
    <t>CURRENT PROTOCOLS IN CYTOMETRY / EDITORIAL BOARD, J. PAUL ROBINSON, MANAGING EDITOR ... [ET AL.]</t>
  </si>
  <si>
    <t>Curr Protoc Cytom</t>
  </si>
  <si>
    <t>101287858</t>
  </si>
  <si>
    <t>Current protocols in human genetics / editorial board, Jonathan L. Haines ... [et al.]</t>
  </si>
  <si>
    <t>CURRENT PROTOCOLS IN HUMAN GENETICS / EDITORIAL BOARD, JONATHAN L. HAINES ... [ET AL.]</t>
  </si>
  <si>
    <t>Curr Protoc Hum Genet</t>
  </si>
  <si>
    <t>9101651</t>
  </si>
  <si>
    <t>Current protocols in immunology / edited by John E. Coligan ... [et al.]</t>
  </si>
  <si>
    <t>CURRENT PROTOCOLS IN IMMUNOLOGY / EDITED BY JOHN E. COLIGAN ... [ET AL.]</t>
  </si>
  <si>
    <t>Curr Protoc Immunol</t>
  </si>
  <si>
    <t>Greene Pub. Associates and Wiley-Interscience</t>
  </si>
  <si>
    <t>Updated every three months.</t>
  </si>
  <si>
    <t>101257113</t>
  </si>
  <si>
    <t>Current protocols in microbiology</t>
  </si>
  <si>
    <t>CURRENT PROTOCOLS IN MICROBIOLOGY</t>
  </si>
  <si>
    <t>Curr Protoc Microbiol</t>
  </si>
  <si>
    <t>8908160</t>
  </si>
  <si>
    <t>Current protocols in molecular biology / edited by Frederick M. Ausubel ... [et al.]</t>
  </si>
  <si>
    <t>CURRENT PROTOCOLS IN MOLECULAR BIOLOGY / EDITED BY FREDERICK M. AUSUBEL ... [ET AL.]</t>
  </si>
  <si>
    <t>Curr Protoc Mol Biol</t>
  </si>
  <si>
    <t>Greene Pub. Associates ; Wiley-Interscience</t>
  </si>
  <si>
    <t>9706581</t>
  </si>
  <si>
    <t>Current protocols in neuroscience / editorial board, Jacqueline N. Crawley ... [et al.]</t>
  </si>
  <si>
    <t>CURRENT PROTOCOLS IN NEUROSCIENCE / EDITORIAL BOARD, JACQUELINE N. CRAWLEY ... [ET AL.]</t>
  </si>
  <si>
    <t>Curr Protoc Neurosci</t>
  </si>
  <si>
    <t>J. Wiley</t>
  </si>
  <si>
    <t>101287865</t>
  </si>
  <si>
    <t>Current protocols in nucleic acid chemistry / edited by Serge L. Beaucage ... [et al.]</t>
  </si>
  <si>
    <t>CURRENT PROTOCOLS IN NUCLEIC ACID CHEMISTRY / EDITED BY SERGE L. BEAUCAGE ... [ET AL.]</t>
  </si>
  <si>
    <t>Curr Protoc Nucleic Acid Chem</t>
  </si>
  <si>
    <t>9717249</t>
  </si>
  <si>
    <t>Current protocols in pharmacology / editorial board, S.J. Enna (editor-in-chief) ... [et al.]</t>
  </si>
  <si>
    <t>CURRENT PROTOCOLS IN PHARMACOLOGY / EDITORIAL BOARD, S.J. ENNA (EDITOR-IN-CHIEF) ... [ET AL.]</t>
  </si>
  <si>
    <t>Curr Protoc Pharmacol</t>
  </si>
  <si>
    <t>101287868</t>
  </si>
  <si>
    <t>Current protocols in protein science / editorial board, John E. Coligan ... [et al.]</t>
  </si>
  <si>
    <t>CURRENT PROTOCOLS IN PROTEIN SCIENCE / EDITORIAL BOARD, JOHN E. COLIGAN ... [ET AL.]</t>
  </si>
  <si>
    <t>Curr Protoc Protein Sci</t>
  </si>
  <si>
    <t>101470226</t>
  </si>
  <si>
    <t>Current protocols in stem cell biology</t>
  </si>
  <si>
    <t>CURRENT PROTOCOLS IN STEM CELL BIOLOGY</t>
  </si>
  <si>
    <t>Curr Protoc Stem Cell Biol</t>
  </si>
  <si>
    <t>Updated monthly, &lt;July 30, 2008&gt;</t>
  </si>
  <si>
    <t>9816330</t>
  </si>
  <si>
    <t>Current protocols in toxicology / editorial board, Mahin D. Maines (editor-in-chief) ... [et al.]</t>
  </si>
  <si>
    <t>CURRENT PROTOCOLS IN TOXICOLOGY / EDITORIAL BOARD, MAHIN D. MAINES (EDITOR-IN-CHIEF) ... [ET AL.]</t>
  </si>
  <si>
    <t>Curr Protoc Toxicol</t>
  </si>
  <si>
    <t>100888960</t>
  </si>
  <si>
    <t>Current psychiatry reports</t>
  </si>
  <si>
    <t>CURRENT PSYCHIATRY REPORTS</t>
  </si>
  <si>
    <t>Curr Psychiatry Rep</t>
  </si>
  <si>
    <t>101468718</t>
  </si>
  <si>
    <t>Current radiopharmaceuticals</t>
  </si>
  <si>
    <t>CURRENT RADIOPHARMACEUTICALS</t>
  </si>
  <si>
    <t>Curr Radiopharm</t>
  </si>
  <si>
    <t>Nuclear Medicine#Pharmacology#Radiotherapy</t>
  </si>
  <si>
    <t>100888970</t>
  </si>
  <si>
    <t>Current rheumatology reports</t>
  </si>
  <si>
    <t>CURRENT RHEUMATOLOGY REPORTS</t>
  </si>
  <si>
    <t>Curr Rheumatol Rep</t>
  </si>
  <si>
    <t>101134380</t>
  </si>
  <si>
    <t>Current sports medicine reports</t>
  </si>
  <si>
    <t>CURRENT SPORTS MEDICINE REPORTS</t>
  </si>
  <si>
    <t>Curr Sports Med Rep</t>
  </si>
  <si>
    <t>101272517</t>
  </si>
  <si>
    <t>Current stem cell research &amp; therapy</t>
  </si>
  <si>
    <t>CURRENT STEM CELL RESEARCH &amp; THERAPY</t>
  </si>
  <si>
    <t>Curr Stem Cell Res Ther</t>
  </si>
  <si>
    <t>Cell Biology#Therapeutics</t>
  </si>
  <si>
    <t>101535383</t>
  </si>
  <si>
    <t>Current topics in behavioral neurosciences</t>
  </si>
  <si>
    <t>CURRENT TOPICS IN BEHAVIORAL NEUROSCIENCES</t>
  </si>
  <si>
    <t>Curr Top Behav Neurosci</t>
  </si>
  <si>
    <t>0163114</t>
  </si>
  <si>
    <t>Current topics in developmental biology</t>
  </si>
  <si>
    <t>CURRENT TOPICS IN DEVELOPMENTAL BIOLOGY</t>
  </si>
  <si>
    <t>Curr Top Dev Biol</t>
  </si>
  <si>
    <t>15578933</t>
  </si>
  <si>
    <t>00702153</t>
  </si>
  <si>
    <t>Five issues yearly, &lt;2003-&gt;</t>
  </si>
  <si>
    <t>101119673</t>
  </si>
  <si>
    <t>Current topics in medicinal chemistry</t>
  </si>
  <si>
    <t>CURRENT TOPICS IN MEDICINAL CHEMISTRY</t>
  </si>
  <si>
    <t>Curr Top Med Chem</t>
  </si>
  <si>
    <t>9212591</t>
  </si>
  <si>
    <t>Current topics in membranes</t>
  </si>
  <si>
    <t>CURRENT TOPICS IN MEMBRANES</t>
  </si>
  <si>
    <t>Curr Top Membr</t>
  </si>
  <si>
    <t>Continues: Current topics in membranes and transport.</t>
  </si>
  <si>
    <t>10635823</t>
  </si>
  <si>
    <t>0110513</t>
  </si>
  <si>
    <t>Current topics in microbiology and immunology</t>
  </si>
  <si>
    <t>CURRENT TOPICS IN MICROBIOLOGY AND IMMUNOLOGY</t>
  </si>
  <si>
    <t>Curr Top Microbiol Immunol</t>
  </si>
  <si>
    <t>Continues Ergebnisse der Mikrobiologie, Immunitätsforschung und experimentellen Therapie.</t>
  </si>
  <si>
    <t>100900946</t>
  </si>
  <si>
    <t>Current treatment options in oncology</t>
  </si>
  <si>
    <t>CURRENT TREATMENT OPTIONS IN ONCOLOGY</t>
  </si>
  <si>
    <t>Curr Treat Options Oncol</t>
  </si>
  <si>
    <t>100900943</t>
  </si>
  <si>
    <t>Current urology reports</t>
  </si>
  <si>
    <t>CURRENT UROLOGY REPORTS</t>
  </si>
  <si>
    <t>Curr Urol Rep</t>
  </si>
  <si>
    <t>101157208</t>
  </si>
  <si>
    <t>Current vascular pharmacology</t>
  </si>
  <si>
    <t>CURRENT VASCULAR PHARMACOLOGY</t>
  </si>
  <si>
    <t>Curr Vasc Pharmacol</t>
  </si>
  <si>
    <t>Pharmacology#Vascular Diseases</t>
  </si>
  <si>
    <t>101266892</t>
  </si>
  <si>
    <t>Cutaneous and ocular toxicology</t>
  </si>
  <si>
    <t>CUTANEOUS AND OCULAR TOXICOLOGY</t>
  </si>
  <si>
    <t>Cutan Ocul Toxicol</t>
  </si>
  <si>
    <t>Continues: Journal of toxicology. Cutaneous and ocular toxicology.</t>
  </si>
  <si>
    <t>Dermatology#Ophthalmology#Toxicology</t>
  </si>
  <si>
    <t>0006440</t>
  </si>
  <si>
    <t>Cutis</t>
  </si>
  <si>
    <t>CUTIS</t>
  </si>
  <si>
    <t>23266929</t>
  </si>
  <si>
    <t>00114162</t>
  </si>
  <si>
    <t>101528721</t>
  </si>
  <si>
    <t>Cyberpsychology, behavior and social networking</t>
  </si>
  <si>
    <t>CYBERPSYCHOLOGY, BEHAVIOR AND SOCIAL NETWORKING</t>
  </si>
  <si>
    <t>Cyberpsychol Behav Soc Netw</t>
  </si>
  <si>
    <t>Continues: Cyberpsychology &amp; behavior.</t>
  </si>
  <si>
    <t>21522723</t>
  </si>
  <si>
    <t>21522715</t>
  </si>
  <si>
    <t>101142708</t>
  </si>
  <si>
    <t>Cytogenetic and genome research</t>
  </si>
  <si>
    <t>CYTOGENETIC AND GENOME RESEARCH</t>
  </si>
  <si>
    <t>Cytogenet Genome Res</t>
  </si>
  <si>
    <t>Continues: Cytogenetics and cell genetics.</t>
  </si>
  <si>
    <t>9005353</t>
  </si>
  <si>
    <t>CYTOKINE</t>
  </si>
  <si>
    <t>9612306</t>
  </si>
  <si>
    <t>Cytokine &amp; growth factor reviews</t>
  </si>
  <si>
    <t>CYTOKINE &amp; GROWTH FACTOR REVIEWS</t>
  </si>
  <si>
    <t>Cytokine Growth Factor Rev</t>
  </si>
  <si>
    <t>Continues: Progress in growth factor research.</t>
  </si>
  <si>
    <t>101235694</t>
  </si>
  <si>
    <t>Cytometry. Part A : the journal of the International Society for Analytical Cytology</t>
  </si>
  <si>
    <t>CYTOMETRY. PART A : THE JOURNAL OF THE INTERNATIONAL SOCIETY FOR ANALYTICAL CYTOLOGY</t>
  </si>
  <si>
    <t>Cytometry A</t>
  </si>
  <si>
    <t>Continues in part: Cytometry.</t>
  </si>
  <si>
    <t>15524930</t>
  </si>
  <si>
    <t>15524922</t>
  </si>
  <si>
    <t>101235690</t>
  </si>
  <si>
    <t>Cytometry. Part B, Clinical cytometry</t>
  </si>
  <si>
    <t>CYTOMETRY. PART B, CLINICAL CYTOMETRY</t>
  </si>
  <si>
    <t>Cytometry B Clin Cytom</t>
  </si>
  <si>
    <t>9010345</t>
  </si>
  <si>
    <t>Cytopathology : official journal of the British Society for Clinical Cytology</t>
  </si>
  <si>
    <t>CYTOPATHOLOGY : OFFICIAL JOURNAL OF THE BRITISH SOCIETY FOR CLINICAL CYTOLOGY</t>
  </si>
  <si>
    <t>Cell Biology#Pathology</t>
  </si>
  <si>
    <t>101523844</t>
  </si>
  <si>
    <t>Cytoskeleton (Hoboken, N.J.)</t>
  </si>
  <si>
    <t>CYTOSKELETON (HOBOKEN, N.J.)</t>
  </si>
  <si>
    <t>Cytoskeleton (Hoboken)</t>
  </si>
  <si>
    <t>Continues: Cell motility and the cytoskeleton.</t>
  </si>
  <si>
    <t>100895309</t>
  </si>
  <si>
    <t>CYTOTHERAPY</t>
  </si>
  <si>
    <t>Absorbed: Cytokines, cellular and molecular therapy.</t>
  </si>
  <si>
    <t>Eight no. a year, 2007-</t>
  </si>
  <si>
    <t>7907630</t>
  </si>
  <si>
    <t>Dakar médical</t>
  </si>
  <si>
    <t>DAKAR MEDICAL</t>
  </si>
  <si>
    <t>Dakar Med</t>
  </si>
  <si>
    <t>Continues Bulletin de la Société médicale d'Afrique noire de langue française.</t>
  </si>
  <si>
    <t>00491101</t>
  </si>
  <si>
    <t>Societe Medicale D Afrique Noire De Langue Francaise</t>
  </si>
  <si>
    <t>Senegal</t>
  </si>
  <si>
    <t>101176026</t>
  </si>
  <si>
    <t>Dalton transactions (Cambridge, England : 2003)</t>
  </si>
  <si>
    <t>DALTON TRANSACTIONS (CAMBRIDGE, ENGLAND : 2003)</t>
  </si>
  <si>
    <t>Dalton Trans</t>
  </si>
  <si>
    <t>Continues: Dalton (Cambridge, England).</t>
  </si>
  <si>
    <t>14779234</t>
  </si>
  <si>
    <t>14779226</t>
  </si>
  <si>
    <t>Forty eight no. a year, 2006-</t>
  </si>
  <si>
    <t>101576205</t>
  </si>
  <si>
    <t>Danish medical journal</t>
  </si>
  <si>
    <t>DANISH MEDICAL JOURNAL</t>
  </si>
  <si>
    <t>Dan Med J</t>
  </si>
  <si>
    <t>Continues: Danish medical bulletin.</t>
  </si>
  <si>
    <t>0434570</t>
  </si>
  <si>
    <t>Dansk medicinhistorisk årbog</t>
  </si>
  <si>
    <t>DANSK MEDICINHISTORISK ARBOG</t>
  </si>
  <si>
    <t>Dan Medicinhist Arbog</t>
  </si>
  <si>
    <t>Continues: Aarsberetning - Københavns universitets medicinsk-historiske institut og museum.</t>
  </si>
  <si>
    <t>00849588</t>
  </si>
  <si>
    <t>Dansk Medicinsk-Historisk Selskab</t>
  </si>
  <si>
    <t>dan</t>
  </si>
  <si>
    <t>100909932</t>
  </si>
  <si>
    <t>Data bulletin (Center for Studying Health System Change)</t>
  </si>
  <si>
    <t>DATA BULLETIN (CENTER FOR STUDYING HEALTH SYSTEM CHANGE)</t>
  </si>
  <si>
    <t>Data Bull (Cent Stud Health Syst Change)</t>
  </si>
  <si>
    <t>The Center</t>
  </si>
  <si>
    <t>101517697</t>
  </si>
  <si>
    <t>Database : the journal of biological databases and curation</t>
  </si>
  <si>
    <t>DATABASE : THE JOURNAL OF BIOLOGICAL DATABASES AND CURATION</t>
  </si>
  <si>
    <t>Database (Oxford)</t>
  </si>
  <si>
    <t>17580463</t>
  </si>
  <si>
    <t>8506890</t>
  </si>
  <si>
    <t>Death studies</t>
  </si>
  <si>
    <t>DEATH STUDIES</t>
  </si>
  <si>
    <t>Death Stud</t>
  </si>
  <si>
    <t>Continues: Death education.</t>
  </si>
  <si>
    <t>10917683</t>
  </si>
  <si>
    <t>07481187</t>
  </si>
  <si>
    <t>Monthly (except Feb., May, Aug., and Nov.), 1998-</t>
  </si>
  <si>
    <t>0370077</t>
  </si>
  <si>
    <t>Delaware medical journal</t>
  </si>
  <si>
    <t>DELAWARE MEDICAL JOURNAL</t>
  </si>
  <si>
    <t>Del Med J</t>
  </si>
  <si>
    <t>Continues Delaware state medical journal.</t>
  </si>
  <si>
    <t>00117781</t>
  </si>
  <si>
    <t>Medical Society Of Delaware</t>
  </si>
  <si>
    <t>101128698</t>
  </si>
  <si>
    <t>Dementia (London, England)</t>
  </si>
  <si>
    <t>DEMENTIA (LONDON, ENGLAND)</t>
  </si>
  <si>
    <t>Dementia (London)</t>
  </si>
  <si>
    <t>17412684</t>
  </si>
  <si>
    <t>14713012</t>
  </si>
  <si>
    <t>Bimonthly, 2013-</t>
  </si>
  <si>
    <t>9705200</t>
  </si>
  <si>
    <t>Dementia and geriatric cognitive disorders</t>
  </si>
  <si>
    <t>DEMENTIA AND GERIATRIC COGNITIVE DISORDERS</t>
  </si>
  <si>
    <t>Dement Geriatr Cogn Disord</t>
  </si>
  <si>
    <t>Continues: Dementia (Basel, Switzerland).</t>
  </si>
  <si>
    <t>Geriatrics#Neurology#Psychiatry</t>
  </si>
  <si>
    <t>0226703</t>
  </si>
  <si>
    <t>Demography</t>
  </si>
  <si>
    <t>DEMOGRAPHY</t>
  </si>
  <si>
    <t>15337790</t>
  </si>
  <si>
    <t>00703370</t>
  </si>
  <si>
    <t>Population Assn. of America.</t>
  </si>
  <si>
    <t>Public Health#Statistics as Topic</t>
  </si>
  <si>
    <t>9432924</t>
  </si>
  <si>
    <t>Dental assistant (Chicago, Ill. : 1994)</t>
  </si>
  <si>
    <t>DENTAL ASSISTANT (CHICAGO, ILL. : 1994)</t>
  </si>
  <si>
    <t>Dent Assist</t>
  </si>
  <si>
    <t>Continues: Dental assistant journal.</t>
  </si>
  <si>
    <t>10883886</t>
  </si>
  <si>
    <t>0217440</t>
  </si>
  <si>
    <t>Dental clinics of North America</t>
  </si>
  <si>
    <t>DENTAL CLINICS OF NORTH AMERICA</t>
  </si>
  <si>
    <t>Dent Clin North Am</t>
  </si>
  <si>
    <t>15580512</t>
  </si>
  <si>
    <t>00118532</t>
  </si>
  <si>
    <t>8803742</t>
  </si>
  <si>
    <t>Dental historian : Lindsay Club newsletter</t>
  </si>
  <si>
    <t>DENTAL HISTORIAN : LINDSAY CLUB NEWSLETTER</t>
  </si>
  <si>
    <t>Dent Hist</t>
  </si>
  <si>
    <t>Continues: Occasional newsletter (Lindsay Club).</t>
  </si>
  <si>
    <t>09586687</t>
  </si>
  <si>
    <t>British Dental Association</t>
  </si>
  <si>
    <t>9114597</t>
  </si>
  <si>
    <t>Dental implantology update</t>
  </si>
  <si>
    <t>DENTAL IMPLANTOLOGY UPDATE</t>
  </si>
  <si>
    <t>Dent Implantol Update</t>
  </si>
  <si>
    <t>10620346</t>
  </si>
  <si>
    <t>10535500</t>
  </si>
  <si>
    <t>8508040</t>
  </si>
  <si>
    <t>Dental materials : official publication of the Academy of Dental Materials</t>
  </si>
  <si>
    <t>DENTAL MATERIALS : OFFICIAL PUBLICATION OF THE ACADEMY OF DENTAL MATERIALS</t>
  </si>
  <si>
    <t>Dent Mater</t>
  </si>
  <si>
    <t>18790097</t>
  </si>
  <si>
    <t>01095641</t>
  </si>
  <si>
    <t>8309299</t>
  </si>
  <si>
    <t>Dental materials journal</t>
  </si>
  <si>
    <t>DENTAL MATERIALS JOURNAL</t>
  </si>
  <si>
    <t>Dent Mater J</t>
  </si>
  <si>
    <t>18811361</t>
  </si>
  <si>
    <t>02874547</t>
  </si>
  <si>
    <t>Japanese Society for Dental Materials and Devices</t>
  </si>
  <si>
    <t>6 issues yearly, 2007-</t>
  </si>
  <si>
    <t>101532240</t>
  </si>
  <si>
    <t>Dental press journal of orthodontics</t>
  </si>
  <si>
    <t>DENTAL PRESS JOURNAL OF ORTHODONTICS</t>
  </si>
  <si>
    <t>Dental Press J Orthod</t>
  </si>
  <si>
    <t>Continues: Revista Dental Press de ortodontia e ortopedia facial.</t>
  </si>
  <si>
    <t>21776709</t>
  </si>
  <si>
    <t>21769451</t>
  </si>
  <si>
    <t>Dental Press International</t>
  </si>
  <si>
    <t>Orthodontics</t>
  </si>
  <si>
    <t>101091305</t>
  </si>
  <si>
    <t>Dental traumatology : official publication of International Association for Dental Traumatology</t>
  </si>
  <si>
    <t>DENTAL TRAUMATOLOGY : OFFICIAL PUBLICATION OF INTERNATIONAL ASSOCIATION FOR DENTAL TRAUMATOLOGY</t>
  </si>
  <si>
    <t>Dent Traumatol</t>
  </si>
  <si>
    <t>Continues: Endodontics &amp; dental traumatology.</t>
  </si>
  <si>
    <t>16009657</t>
  </si>
  <si>
    <t>16004469</t>
  </si>
  <si>
    <t>Dentistry#Traumatology</t>
  </si>
  <si>
    <t>7805969</t>
  </si>
  <si>
    <t>Dental update</t>
  </si>
  <si>
    <t>DENTAL UPDATE</t>
  </si>
  <si>
    <t>Dent Update</t>
  </si>
  <si>
    <t>03055000</t>
  </si>
  <si>
    <t>Update Publications</t>
  </si>
  <si>
    <t>9005357</t>
  </si>
  <si>
    <t>Dentistry today</t>
  </si>
  <si>
    <t>DENTISTRY TODAY</t>
  </si>
  <si>
    <t>Dent Today</t>
  </si>
  <si>
    <t>87502186</t>
  </si>
  <si>
    <t>Dentistry Today, Inc.</t>
  </si>
  <si>
    <t>7609576</t>
  </si>
  <si>
    <t>Dento maxillo facial radiology</t>
  </si>
  <si>
    <t>DENTO MAXILLO FACIAL RADIOLOGY</t>
  </si>
  <si>
    <t>Dentomaxillofac Radiol</t>
  </si>
  <si>
    <t>1476542X</t>
  </si>
  <si>
    <t>0250832X</t>
  </si>
  <si>
    <t>Eight no. a year, &lt;2003-&gt;</t>
  </si>
  <si>
    <t>Dentistry#Radiology</t>
  </si>
  <si>
    <t>9708816</t>
  </si>
  <si>
    <t>Depression and anxiety</t>
  </si>
  <si>
    <t>DEPRESSION AND ANXIETY</t>
  </si>
  <si>
    <t>Depress Anxiety</t>
  </si>
  <si>
    <t>Merger of: Anxiety; and: Depression, assuming the vol. numbering of later title.</t>
  </si>
  <si>
    <t>101207335</t>
  </si>
  <si>
    <t>Dermatitis : contact, atopic, occupational, drug</t>
  </si>
  <si>
    <t>DERMATITIS : CONTACT, ATOPIC, OCCUPATIONAL, DRUG</t>
  </si>
  <si>
    <t>Continues: American journal of contact dermatitis.</t>
  </si>
  <si>
    <t>8300886</t>
  </si>
  <si>
    <t>Dermatologic clinics</t>
  </si>
  <si>
    <t>DERMATOLOGIC CLINICS</t>
  </si>
  <si>
    <t>Dermatol Clin</t>
  </si>
  <si>
    <t>9504371</t>
  </si>
  <si>
    <t>Dermatologic surgery : official publication for American Society for Dermatologic Surgery [et al.]</t>
  </si>
  <si>
    <t>DERMATOLOGIC SURGERY : OFFICIAL PUBLICATION FOR AMERICAN SOCIETY FOR DERMATOLOGIC SURGERY [ET AL.]</t>
  </si>
  <si>
    <t>Dermatol Surg</t>
  </si>
  <si>
    <t>Continues: Journal of dermatologic surgery and oncology.</t>
  </si>
  <si>
    <t>Dermatology#General Surgery</t>
  </si>
  <si>
    <t>9700070</t>
  </si>
  <si>
    <t>Dermatologic therapy</t>
  </si>
  <si>
    <t>DERMATOLOGIC THERAPY</t>
  </si>
  <si>
    <t>Dermatol Ther</t>
  </si>
  <si>
    <t>9203244</t>
  </si>
  <si>
    <t>Dermatology (Basel, Switzerland)</t>
  </si>
  <si>
    <t>DERMATOLOGY (BASEL, SWITZERLAND)</t>
  </si>
  <si>
    <t>Continues: Dermatologica.</t>
  </si>
  <si>
    <t>9610776</t>
  </si>
  <si>
    <t>Dermatology online journal</t>
  </si>
  <si>
    <t>DERMATOLOGY ONLINE JOURNAL</t>
  </si>
  <si>
    <t>Dermatol Online J</t>
  </si>
  <si>
    <t>University of California, Davis</t>
  </si>
  <si>
    <t>0006723</t>
  </si>
  <si>
    <t>Deutsche medizinische Wochenschrift (1946)</t>
  </si>
  <si>
    <t>DEUTSCHE MEDIZINISCHE WOCHENSCHRIFT (1946)</t>
  </si>
  <si>
    <t>Dtsch Med Wochenschr</t>
  </si>
  <si>
    <t>Continues in part: Medizinische Zeitschrift.</t>
  </si>
  <si>
    <t>G. Thieme</t>
  </si>
  <si>
    <t>101475967</t>
  </si>
  <si>
    <t>Deutsches Ärzteblatt international</t>
  </si>
  <si>
    <t>DEUTSCHES ARZTEBLATT INTERNATIONAL</t>
  </si>
  <si>
    <t>Dtsch Arztebl Int</t>
  </si>
  <si>
    <t>Deutscher Ärzte-Verlag</t>
  </si>
  <si>
    <t>Medicine#Public Health</t>
  </si>
  <si>
    <t>101120122</t>
  </si>
  <si>
    <t>Developing world bioethics</t>
  </si>
  <si>
    <t>DEVELOPING WORLD BIOETHICS</t>
  </si>
  <si>
    <t>Dev World Bioeth</t>
  </si>
  <si>
    <t>14718847</t>
  </si>
  <si>
    <t>14718731</t>
  </si>
  <si>
    <t>Three times a year, 2005-</t>
  </si>
  <si>
    <t>8701744</t>
  </si>
  <si>
    <t>Development (Cambridge, England)</t>
  </si>
  <si>
    <t>DEVELOPMENT (CAMBRIDGE, ENGLAND)</t>
  </si>
  <si>
    <t>Development</t>
  </si>
  <si>
    <t>Continues: Journal of embryology and experimental morphology.</t>
  </si>
  <si>
    <t>Company Of Biologists Limited</t>
  </si>
  <si>
    <t>Biology#Embryology</t>
  </si>
  <si>
    <t>8910645</t>
  </si>
  <si>
    <t>Development and psychopathology</t>
  </si>
  <si>
    <t>DEVELOPMENT AND PSYCHOPATHOLOGY</t>
  </si>
  <si>
    <t>Dev Psychopathol</t>
  </si>
  <si>
    <t>14692198</t>
  </si>
  <si>
    <t>09545794</t>
  </si>
  <si>
    <t>9613264</t>
  </si>
  <si>
    <t>Development genes and evolution</t>
  </si>
  <si>
    <t>DEVELOPMENT GENES AND EVOLUTION</t>
  </si>
  <si>
    <t>Dev Genes Evol</t>
  </si>
  <si>
    <t>Continues: Roux's archives of developmental biology.</t>
  </si>
  <si>
    <t>Twelve no. a year, 2001</t>
  </si>
  <si>
    <t>0356504</t>
  </si>
  <si>
    <t>Development, growth &amp; differentiation</t>
  </si>
  <si>
    <t>DEVELOPMENT, GROWTH &amp; DIFFERENTIATION</t>
  </si>
  <si>
    <t>Dev Growth Differ</t>
  </si>
  <si>
    <t>Continues: Embryologia.</t>
  </si>
  <si>
    <t>Blackwell Publishing on behalf of the Japanese Society of Developmental Biologists</t>
  </si>
  <si>
    <t>7708205</t>
  </si>
  <si>
    <t>Developmental and comparative immunology</t>
  </si>
  <si>
    <t>DEVELOPMENTAL AND COMPARATIVE IMMUNOLOGY</t>
  </si>
  <si>
    <t>Dev Comp Immunol</t>
  </si>
  <si>
    <t>18790089</t>
  </si>
  <si>
    <t>Ten no. a year 2003-</t>
  </si>
  <si>
    <t>0372762</t>
  </si>
  <si>
    <t>Developmental biology</t>
  </si>
  <si>
    <t>DEVELOPMENTAL BIOLOGY</t>
  </si>
  <si>
    <t>Dev Biol</t>
  </si>
  <si>
    <t>8611888</t>
  </si>
  <si>
    <t>Developmental biology (New York, N.Y. : 1985)</t>
  </si>
  <si>
    <t>DEVELOPMENTAL BIOLOGY (NEW YORK, N.Y. : 1985)</t>
  </si>
  <si>
    <t>Dev Biol (N Y 1985)</t>
  </si>
  <si>
    <t>101120028</t>
  </si>
  <si>
    <t>Developmental cell</t>
  </si>
  <si>
    <t>DEVELOPMENTAL CELL</t>
  </si>
  <si>
    <t>Dev Cell</t>
  </si>
  <si>
    <t>Cell Biology#Embryology</t>
  </si>
  <si>
    <t>101541838</t>
  </si>
  <si>
    <t>Developmental cognitive neuroscience</t>
  </si>
  <si>
    <t>DEVELOPMENTAL COGNITIVE NEUROSCIENCE</t>
  </si>
  <si>
    <t>Dev Cogn Neurosci</t>
  </si>
  <si>
    <t>Four no. per year</t>
  </si>
  <si>
    <t>101319448</t>
  </si>
  <si>
    <t>Developmental disabilities research reviews</t>
  </si>
  <si>
    <t>DEVELOPMENTAL DISABILITIES RESEARCH REVIEWS</t>
  </si>
  <si>
    <t>Dev Disabil Res Rev</t>
  </si>
  <si>
    <t>Continues: Mental retardation and developmental disabilities research reviews.</t>
  </si>
  <si>
    <t>19405510</t>
  </si>
  <si>
    <t>9201927</t>
  </si>
  <si>
    <t>Developmental dynamics : an official publication of the American Association of Anatomists</t>
  </si>
  <si>
    <t>DEVELOPMENTAL DYNAMICS : AN OFFICIAL PUBLICATION OF THE AMERICAN ASSOCIATION OF ANATOMISTS</t>
  </si>
  <si>
    <t>Dev Dyn</t>
  </si>
  <si>
    <t>Continues: American journal of anatomy.</t>
  </si>
  <si>
    <t>0006761</t>
  </si>
  <si>
    <t>Developmental medicine and child neurology</t>
  </si>
  <si>
    <t>DEVELOPMENTAL MEDICINE AND CHILD NEUROLOGY</t>
  </si>
  <si>
    <t>Dev Med Child Neurol</t>
  </si>
  <si>
    <t>Continues: Cerebral palsy bulletin.</t>
  </si>
  <si>
    <t>101300215</t>
  </si>
  <si>
    <t>Developmental neurobiology</t>
  </si>
  <si>
    <t>DEVELOPMENTAL NEUROBIOLOGY</t>
  </si>
  <si>
    <t>Dev Neurobiol</t>
  </si>
  <si>
    <t>Continues: Journal of neurobiology.</t>
  </si>
  <si>
    <t>1932846X</t>
  </si>
  <si>
    <t>Wiley Subscription Services, Inc.</t>
  </si>
  <si>
    <t>Monthly (semimonthly in Feb. and Sept.)</t>
  </si>
  <si>
    <t>8702038</t>
  </si>
  <si>
    <t>Developmental neuropsychology</t>
  </si>
  <si>
    <t>DEVELOPMENTAL NEUROPSYCHOLOGY</t>
  </si>
  <si>
    <t>Dev Neuropsychol</t>
  </si>
  <si>
    <t>15326942</t>
  </si>
  <si>
    <t>87565641</t>
  </si>
  <si>
    <t>101304394</t>
  </si>
  <si>
    <t>Developmental neurorehabilitation</t>
  </si>
  <si>
    <t>DEVELOPMENTAL NEUROREHABILITATION</t>
  </si>
  <si>
    <t>Dev Neurorehabil</t>
  </si>
  <si>
    <t>Continues: Pediatric rehabilitation.</t>
  </si>
  <si>
    <t>Neurology#Pediatrics#Physical and Rehabilitation Medicine</t>
  </si>
  <si>
    <t>7809375</t>
  </si>
  <si>
    <t>Developmental neuroscience</t>
  </si>
  <si>
    <t>DEVELOPMENTAL NEUROSCIENCE</t>
  </si>
  <si>
    <t>Dev Neurosci</t>
  </si>
  <si>
    <t>0164074</t>
  </si>
  <si>
    <t>Developmental psychobiology</t>
  </si>
  <si>
    <t>DEVELOPMENTAL PSYCHOBIOLOGY</t>
  </si>
  <si>
    <t>Dev Psychobiol</t>
  </si>
  <si>
    <t>10982302</t>
  </si>
  <si>
    <t>00121630</t>
  </si>
  <si>
    <t>Pediatrics#Psychophysiology</t>
  </si>
  <si>
    <t>0260564</t>
  </si>
  <si>
    <t>Developmental psychology</t>
  </si>
  <si>
    <t>DEVELOPMENTAL PSYCHOLOGY</t>
  </si>
  <si>
    <t>Dev Psychol</t>
  </si>
  <si>
    <t>19390599</t>
  </si>
  <si>
    <t>00121649</t>
  </si>
  <si>
    <t>Monthly, 2013-</t>
  </si>
  <si>
    <t>9814574</t>
  </si>
  <si>
    <t>Developmental science</t>
  </si>
  <si>
    <t>DEVELOPMENTAL SCIENCE</t>
  </si>
  <si>
    <t>Dev Sci</t>
  </si>
  <si>
    <t>14677687</t>
  </si>
  <si>
    <t>1363755X</t>
  </si>
  <si>
    <t>100940058</t>
  </si>
  <si>
    <t>Developments in biologicals</t>
  </si>
  <si>
    <t>DEVELOPMENTS IN BIOLOGICALS</t>
  </si>
  <si>
    <t>Dev Biol (Basel)</t>
  </si>
  <si>
    <t>Continues: Developments in biological standardization.</t>
  </si>
  <si>
    <t>9209294</t>
  </si>
  <si>
    <t>Developments in health economics and public policy</t>
  </si>
  <si>
    <t>DEVELOPMENTS IN HEALTH ECONOMICS AND PUBLIC POLICY</t>
  </si>
  <si>
    <t>Dev Health Econ Public Policy</t>
  </si>
  <si>
    <t>09274987</t>
  </si>
  <si>
    <t>8010321</t>
  </si>
  <si>
    <t>Developments in ophthalmology</t>
  </si>
  <si>
    <t>DEVELOPMENTS IN OPHTHALMOLOGY</t>
  </si>
  <si>
    <t>Dev Ophthalmol</t>
  </si>
  <si>
    <t>Formed by the union of: Advances in ophthalmology, and: Bibliotheca ophthalmologica, and: Modern problems in ophthalmology.</t>
  </si>
  <si>
    <t>16622790</t>
  </si>
  <si>
    <t>02503751</t>
  </si>
  <si>
    <t>0372763</t>
  </si>
  <si>
    <t>DIABETES</t>
  </si>
  <si>
    <t>Formed by the union of: Proceedings of the American Diabetes Association, and: Diabetes abstracts.</t>
  </si>
  <si>
    <t>American Diabetes Association</t>
  </si>
  <si>
    <t>Monthly, &lt;July1972-&gt;</t>
  </si>
  <si>
    <t>101462250</t>
  </si>
  <si>
    <t>Diabetes &amp; metabolic syndrome</t>
  </si>
  <si>
    <t>DIABETES &amp; METABOLIC SYNDROME</t>
  </si>
  <si>
    <t>Diabetes Metab Syndr</t>
  </si>
  <si>
    <t>Elsevier Ltd.</t>
  </si>
  <si>
    <t>9607599</t>
  </si>
  <si>
    <t>Diabetes &amp; metabolism</t>
  </si>
  <si>
    <t>DIABETES &amp; METABOLISM</t>
  </si>
  <si>
    <t>Diabetes Metab</t>
  </si>
  <si>
    <t>Continues: Diabète &amp; métabolisme.</t>
  </si>
  <si>
    <t>101234011</t>
  </si>
  <si>
    <t>Diabetes &amp; vascular disease research : official journal of the International Society of Diabetes and Vascular Disease</t>
  </si>
  <si>
    <t>DIABETES &amp; VASCULAR DISEASE RESEARCH : OFFICIAL JOURNAL OF THE INTERNATIONAL SOCIETY OF DIABETES AND VASCULAR DISEASE</t>
  </si>
  <si>
    <t>Diab Vasc Dis Res</t>
  </si>
  <si>
    <t>Endocrinology#Vascular Diseases</t>
  </si>
  <si>
    <t>7805975</t>
  </si>
  <si>
    <t>Diabetes care</t>
  </si>
  <si>
    <t>DIABETES CARE</t>
  </si>
  <si>
    <t>7701401</t>
  </si>
  <si>
    <t>The Diabetes educator</t>
  </si>
  <si>
    <t>DIABETES EDUCATOR</t>
  </si>
  <si>
    <t>Diabetes Educ</t>
  </si>
  <si>
    <t>15546063</t>
  </si>
  <si>
    <t>01457217</t>
  </si>
  <si>
    <t>Sage Publications,</t>
  </si>
  <si>
    <t>Endocrinology#Nursing</t>
  </si>
  <si>
    <t>7504241</t>
  </si>
  <si>
    <t>Diabetes forecast</t>
  </si>
  <si>
    <t>DIABETES FORECAST</t>
  </si>
  <si>
    <t>Diabetes Forecast</t>
  </si>
  <si>
    <t>Continues ADA forecast.</t>
  </si>
  <si>
    <t>00958301</t>
  </si>
  <si>
    <t>8508335</t>
  </si>
  <si>
    <t>Diabetes research and clinical practice</t>
  </si>
  <si>
    <t>DIABETES RESEARCH AND CLINICAL PRACTICE</t>
  </si>
  <si>
    <t>Diabetes Res Clin Pract</t>
  </si>
  <si>
    <t>Twelve no. a year, 1991-</t>
  </si>
  <si>
    <t>9883682</t>
  </si>
  <si>
    <t>Diabetes self-management</t>
  </si>
  <si>
    <t>DIABETES SELF-MANAGEMENT</t>
  </si>
  <si>
    <t>Diabetes Self Manag</t>
  </si>
  <si>
    <t>07416253</t>
  </si>
  <si>
    <t>R.A. Rapaport Publishing</t>
  </si>
  <si>
    <t>Bimonthly, &lt;Jan./Feb.1989-&gt;</t>
  </si>
  <si>
    <t>100889084</t>
  </si>
  <si>
    <t>Diabetes technology &amp; therapeutics</t>
  </si>
  <si>
    <t>DIABETES TECHNOLOGY &amp; THERAPEUTICS</t>
  </si>
  <si>
    <t>Diabetes Technol Ther</t>
  </si>
  <si>
    <t>Endocrinology#Therapeutics</t>
  </si>
  <si>
    <t>100883645</t>
  </si>
  <si>
    <t>Diabetes, obesity &amp; metabolism</t>
  </si>
  <si>
    <t>DIABETES, OBESITY &amp; METABOLISM</t>
  </si>
  <si>
    <t>Diabetes Obes Metab</t>
  </si>
  <si>
    <t>12 issues yearly, &lt;2010-&gt;</t>
  </si>
  <si>
    <t>100883450</t>
  </si>
  <si>
    <t>Diabetes/metabolism research and reviews</t>
  </si>
  <si>
    <t>DIABETES/METABOLISM RESEARCH AND REVIEWS</t>
  </si>
  <si>
    <t>Diabetes Metab Res Rev</t>
  </si>
  <si>
    <t>Continues: Diabetes/metabolism reviews.</t>
  </si>
  <si>
    <t>8500858</t>
  </si>
  <si>
    <t>Diabetic medicine : a journal of the British Diabetic Association</t>
  </si>
  <si>
    <t>DIABETIC MEDICINE : A JOURNAL OF THE BRITISH DIABETIC ASSOCIATION</t>
  </si>
  <si>
    <t>Diabet Med</t>
  </si>
  <si>
    <t>Twelve no. a year, 1995-</t>
  </si>
  <si>
    <t>0006777</t>
  </si>
  <si>
    <t>DIABETOLOGIA</t>
  </si>
  <si>
    <t>101568499</t>
  </si>
  <si>
    <t>Diagnostic and interventional imaging</t>
  </si>
  <si>
    <t>DIAGNOSTIC AND INTERVENTIONAL IMAGING</t>
  </si>
  <si>
    <t>Diagn Interv Imaging</t>
  </si>
  <si>
    <t>22115684</t>
  </si>
  <si>
    <t>Twelve issues a year</t>
  </si>
  <si>
    <t>Diagnostic Imaging#Radiology</t>
  </si>
  <si>
    <t>101241152</t>
  </si>
  <si>
    <t>Diagnostic and interventional radiology (Ankara, Turkey)</t>
  </si>
  <si>
    <t>DIAGNOSTIC AND INTERVENTIONAL RADIOLOGY (ANKARA, TURKEY)</t>
  </si>
  <si>
    <t>Diagn Interv Radiol</t>
  </si>
  <si>
    <t>Continues: Tanısal ve girişimsel radyoloji.</t>
  </si>
  <si>
    <t>Aves</t>
  </si>
  <si>
    <t>8506895</t>
  </si>
  <si>
    <t>Diagnostic cytopathology</t>
  </si>
  <si>
    <t>DIAGNOSTIC CYTOPATHOLOGY</t>
  </si>
  <si>
    <t>Diagn Cytopathol</t>
  </si>
  <si>
    <t>8305899</t>
  </si>
  <si>
    <t>Diagnostic microbiology and infectious disease</t>
  </si>
  <si>
    <t>DIAGNOSTIC MICROBIOLOGY AND INFECTIOUS DISEASE</t>
  </si>
  <si>
    <t>Diagn Microbiol Infect Dis</t>
  </si>
  <si>
    <t>Elsevier Biomedical</t>
  </si>
  <si>
    <t>9204924</t>
  </si>
  <si>
    <t>Diagnostic molecular pathology : the American journal of surgical pathology, part B</t>
  </si>
  <si>
    <t>DIAGNOSTIC MOLECULAR PATHOLOGY : THE AMERICAN JOURNAL OF SURGICAL PATHOLOGY, PART B</t>
  </si>
  <si>
    <t>Diagn Mol Pathol</t>
  </si>
  <si>
    <t>Molecular Biology#Pathology</t>
  </si>
  <si>
    <t>101251558</t>
  </si>
  <si>
    <t>Diagnostic pathology</t>
  </si>
  <si>
    <t>DIAGNOSTIC PATHOLOGY</t>
  </si>
  <si>
    <t>Diagn Pathol</t>
  </si>
  <si>
    <t>17461596</t>
  </si>
  <si>
    <t>101238198</t>
  </si>
  <si>
    <t>Dialogues in clinical neuroscience</t>
  </si>
  <si>
    <t>DIALOGUES IN CLINICAL NEUROSCIENCE</t>
  </si>
  <si>
    <t>Dialogues Clin Neurosci</t>
  </si>
  <si>
    <t>19585969</t>
  </si>
  <si>
    <t>Les Laboratoires Servier</t>
  </si>
  <si>
    <t>0401650</t>
  </si>
  <si>
    <t>Differentiation; research in biological diversity</t>
  </si>
  <si>
    <t>DIFFERENTIATION; RESEARCH IN BIOLOGICAL DIVERSITY</t>
  </si>
  <si>
    <t>0150472</t>
  </si>
  <si>
    <t>DIGESTION</t>
  </si>
  <si>
    <t>Supersedes Gastroenterologia.</t>
  </si>
  <si>
    <t>8 no. a year, 2000-</t>
  </si>
  <si>
    <t>100958385</t>
  </si>
  <si>
    <t>Digestive and liver disease : official journal of the Italian Society of Gastroenterology and the Italian Association for the Study of the Liver</t>
  </si>
  <si>
    <t>DIGESTIVE AND LIVER DISEASE : OFFICIAL JOURNAL OF THE ITALIAN SOCIETY OF GASTROENTEROLOGY AND THE ITALIAN ASSOCIATION FOR THE STUDY OF THE LIVER</t>
  </si>
  <si>
    <t>Dig Liver Dis</t>
  </si>
  <si>
    <t>Continues: Italian journal of gastroenterology and hepatology.</t>
  </si>
  <si>
    <t>8701186</t>
  </si>
  <si>
    <t>Digestive diseases (Basel, Switzerland)</t>
  </si>
  <si>
    <t>DIGESTIVE DISEASES (BASEL, SWITZERLAND)</t>
  </si>
  <si>
    <t>Dig Dis</t>
  </si>
  <si>
    <t>Continues: Survey of digestive diseases.</t>
  </si>
  <si>
    <t>Four no. a year, 2000-</t>
  </si>
  <si>
    <t>7902782</t>
  </si>
  <si>
    <t>Digestive diseases and sciences</t>
  </si>
  <si>
    <t>DIGESTIVE DISEASES AND SCIENCES</t>
  </si>
  <si>
    <t>Dig Dis Sci</t>
  </si>
  <si>
    <t>Continues: American journal of digestive diseases.</t>
  </si>
  <si>
    <t>9101419</t>
  </si>
  <si>
    <t>Digestive endoscopy : official journal of the Japan Gastroenterological Endoscopy Society</t>
  </si>
  <si>
    <t>DIGESTIVE ENDOSCOPY : OFFICIAL JOURNAL OF THE JAPAN GASTROENTEROLOGICAL ENDOSCOPY SOCIETY</t>
  </si>
  <si>
    <t>Dig Endosc</t>
  </si>
  <si>
    <t>Blackwell Science Asia</t>
  </si>
  <si>
    <t>Diagnostic Imaging#Gastroenterology#General Surgery</t>
  </si>
  <si>
    <t>8501808</t>
  </si>
  <si>
    <t>Digestive surgery</t>
  </si>
  <si>
    <t>DIGESTIVE SURGERY</t>
  </si>
  <si>
    <t>Dig Surg</t>
  </si>
  <si>
    <t>Absorbed: Surgical gastroenterology.</t>
  </si>
  <si>
    <t>14219883</t>
  </si>
  <si>
    <t>02534886</t>
  </si>
  <si>
    <t>9605355</t>
  </si>
  <si>
    <t>Digital journal of ophthalmology : DJO / sponsored by Massachusetts Eye and Ear Infirmary</t>
  </si>
  <si>
    <t>DIGITAL JOURNAL OF OPHTHALMOLOGY : DJO / SPONSORED BY MASSACHUSETTS EYE AND EAR INFIRMARY</t>
  </si>
  <si>
    <t>Digit J Ophthalmol</t>
  </si>
  <si>
    <t>15428958</t>
  </si>
  <si>
    <t>Massachusetts Eye and Ear Infirmary</t>
  </si>
  <si>
    <t>8211489</t>
  </si>
  <si>
    <t>Dimensions of critical care nursing : DCCN</t>
  </si>
  <si>
    <t>DIMENSIONS OF CRITICAL CARE NURSING : DCCN</t>
  </si>
  <si>
    <t>Dimens Crit Care Nurs</t>
  </si>
  <si>
    <t>15388646</t>
  </si>
  <si>
    <t>07304625</t>
  </si>
  <si>
    <t>9504684</t>
  </si>
  <si>
    <t>Director (Cincinnati, Ohio)</t>
  </si>
  <si>
    <t>DIRECTOR (CINCINNATI, OHIO)</t>
  </si>
  <si>
    <t>Director</t>
  </si>
  <si>
    <t>Absorbed: Nurse in assisted living.</t>
  </si>
  <si>
    <t>15518418</t>
  </si>
  <si>
    <t>101306633</t>
  </si>
  <si>
    <t>Disability and health journal</t>
  </si>
  <si>
    <t>DISABILITY AND HEALTH JOURNAL</t>
  </si>
  <si>
    <t>Disabil Health J</t>
  </si>
  <si>
    <t>Health Services#Physical and Rehabilitation Medicine#Public Health</t>
  </si>
  <si>
    <t>9207179</t>
  </si>
  <si>
    <t>Disability and rehabilitation</t>
  </si>
  <si>
    <t>DISABILITY AND REHABILITATION</t>
  </si>
  <si>
    <t>Disabil Rehabil</t>
  </si>
  <si>
    <t>Continues: International diability studies.</t>
  </si>
  <si>
    <t>14645165</t>
  </si>
  <si>
    <t>09638288</t>
  </si>
  <si>
    <t>Twenty-six no. a year, 2009-</t>
  </si>
  <si>
    <t>101255937</t>
  </si>
  <si>
    <t>Disability and rehabilitation. Assistive technology</t>
  </si>
  <si>
    <t>DISABILITY AND REHABILITATION. ASSISTIVE TECHNOLOGY</t>
  </si>
  <si>
    <t>Disabil Rehabil Assist Technol</t>
  </si>
  <si>
    <t>17483115</t>
  </si>
  <si>
    <t>17483107</t>
  </si>
  <si>
    <t>Bimonthly, Jan. 2007-</t>
  </si>
  <si>
    <t>101297401</t>
  </si>
  <si>
    <t>Disaster medicine and public health preparedness</t>
  </si>
  <si>
    <t>DISASTER MEDICINE AND PUBLIC HEALTH PREPAREDNESS</t>
  </si>
  <si>
    <t>Disaster Med Public Health Prep</t>
  </si>
  <si>
    <t>1938744X</t>
  </si>
  <si>
    <t>19357893</t>
  </si>
  <si>
    <t>Disaster Medicine#Public Health</t>
  </si>
  <si>
    <t>7702072</t>
  </si>
  <si>
    <t>Disasters</t>
  </si>
  <si>
    <t>DISASTERS</t>
  </si>
  <si>
    <t>14677717</t>
  </si>
  <si>
    <t>03613666</t>
  </si>
  <si>
    <t>101250006</t>
  </si>
  <si>
    <t>Discovery medicine</t>
  </si>
  <si>
    <t>DISCOVERY MEDICINE</t>
  </si>
  <si>
    <t>Discov Med</t>
  </si>
  <si>
    <t>8604127</t>
  </si>
  <si>
    <t>Disease markers</t>
  </si>
  <si>
    <t>DISEASE MARKERS</t>
  </si>
  <si>
    <t>Dis Markers</t>
  </si>
  <si>
    <t>12 times a year, 2008-</t>
  </si>
  <si>
    <t>101483332</t>
  </si>
  <si>
    <t>Disease models &amp; mechanisms</t>
  </si>
  <si>
    <t>DISEASE MODELS &amp; MECHANISMS</t>
  </si>
  <si>
    <t>Dis Model Mech</t>
  </si>
  <si>
    <t>Company of Biologists Ltd.</t>
  </si>
  <si>
    <t>Six no. a year, 2011-</t>
  </si>
  <si>
    <t>0370657</t>
  </si>
  <si>
    <t>Disease-a-month : DM</t>
  </si>
  <si>
    <t>DISEASE-A-MONTH : DM</t>
  </si>
  <si>
    <t>Dis Mon</t>
  </si>
  <si>
    <t>8807037</t>
  </si>
  <si>
    <t>Diseases of aquatic organisms</t>
  </si>
  <si>
    <t>DISEASES OF AQUATIC ORGANISMS</t>
  </si>
  <si>
    <t>Dis Aquat Organ</t>
  </si>
  <si>
    <t>16161580</t>
  </si>
  <si>
    <t>01775103</t>
  </si>
  <si>
    <t>Inter-Research</t>
  </si>
  <si>
    <t>Fifteen issues per year, 2010-</t>
  </si>
  <si>
    <t>Biology#Veterinary Medicine</t>
  </si>
  <si>
    <t>0372764</t>
  </si>
  <si>
    <t>Diseases of the colon and rectum</t>
  </si>
  <si>
    <t>DISEASES OF THE COLON AND RECTUM</t>
  </si>
  <si>
    <t>Dis Colon Rectum</t>
  </si>
  <si>
    <t>Lippincott</t>
  </si>
  <si>
    <t>8809160</t>
  </si>
  <si>
    <t>Diseases of the esophagus : official journal of the International Society for Diseases of the Esophagus / I.S.D.E</t>
  </si>
  <si>
    <t>DISEASES OF THE ESOPHAGUS : OFFICIAL JOURNAL OF THE INTERNATIONAL SOCIETY FOR DISEASES OF THE ESOPHAGUS / I.S.D.E</t>
  </si>
  <si>
    <t>Dis Esophagus</t>
  </si>
  <si>
    <t>Absorbed: Gullet. 1993</t>
  </si>
  <si>
    <t>Eight issues yearly, &lt;2010-&gt;</t>
  </si>
  <si>
    <t>101282742</t>
  </si>
  <si>
    <t>Diving and hyperbaric medicine : the journal of the South Pacific Underwater Medicine Society</t>
  </si>
  <si>
    <t>DIVING AND HYPERBARIC MEDICINE : THE JOURNAL OF THE SOUTH PACIFIC UNDERWATER MEDICINE SOCIETY</t>
  </si>
  <si>
    <t>Diving Hyperb Med</t>
  </si>
  <si>
    <t>Continues: SPUMS journal.</t>
  </si>
  <si>
    <t>Military Medicine#Sports Medicine</t>
  </si>
  <si>
    <t>9004522</t>
  </si>
  <si>
    <t>DNA and cell biology</t>
  </si>
  <si>
    <t>DNA AND CELL BIOLOGY</t>
  </si>
  <si>
    <t>DNA Cell Biol</t>
  </si>
  <si>
    <t>Continues: DNA (Mary Ann Liebert, Inc.).</t>
  </si>
  <si>
    <t>101139138</t>
  </si>
  <si>
    <t>DNA repair</t>
  </si>
  <si>
    <t>DNA REPAIR</t>
  </si>
  <si>
    <t>DNA Repair (Amst)</t>
  </si>
  <si>
    <t>Continues in part: Mutation research. DNA repair.</t>
  </si>
  <si>
    <t>9423827</t>
  </si>
  <si>
    <t>DNA research : an international journal for rapid publication of reports on genes and genomes</t>
  </si>
  <si>
    <t>DNA RESEARCH : AN INTERNATIONAL JOURNAL FOR RAPID PUBLICATION OF REPORTS ON GENES AND GENOMES</t>
  </si>
  <si>
    <t>DNA Res</t>
  </si>
  <si>
    <t>Genetics#Molecular Biology</t>
  </si>
  <si>
    <t>0370667</t>
  </si>
  <si>
    <t>Documenta ophthalmologica. Advances in ophthalmology</t>
  </si>
  <si>
    <t>DOCUMENTA OPHTHALMOLOGICA. ADVANCES IN OPHTHALMOLOGY</t>
  </si>
  <si>
    <t>Doc Ophthalmol</t>
  </si>
  <si>
    <t>Kluwer</t>
  </si>
  <si>
    <t>7505459</t>
  </si>
  <si>
    <t>Doklady biological sciences : proceedings of the Academy of Sciences of the USSR, Biological sciences sections / translated from Russian</t>
  </si>
  <si>
    <t>DOKLADY BIOLOGICAL SCIENCES : PROCEEDINGS OF THE ACADEMY OF SCIENCES OF THE USSR, BIOLOGICAL SCIENCES SECTIONS / TRANSLATED FROM RUSSIAN</t>
  </si>
  <si>
    <t>Dokl Biol Sci</t>
  </si>
  <si>
    <t>Continues in part: Doklady biological sciences sections. Absorbed: Doklady. Botanical sciences. Translation of articles on biology from Doklady Akademii nauk SSSR, 1964-t. 322, no. 3 (1992); from: Doklady Akademii nauk, t. 322, no. 4 (1992)-</t>
  </si>
  <si>
    <t>16083105</t>
  </si>
  <si>
    <t>00124966</t>
  </si>
  <si>
    <t>Consultants Bureau</t>
  </si>
  <si>
    <t>101126895</t>
  </si>
  <si>
    <t>Doklady. Biochemistry and biophysics</t>
  </si>
  <si>
    <t>DOKLADY. BIOCHEMISTRY AND BIOPHYSICS</t>
  </si>
  <si>
    <t>Dokl Biochem Biophys</t>
  </si>
  <si>
    <t>English translation of the biochemistry and biophysics sections of: Doklady Akademii nauk. Merger of: Doklady biochemistry, and: Doklady biophysics.</t>
  </si>
  <si>
    <t>16083091</t>
  </si>
  <si>
    <t>16076729</t>
  </si>
  <si>
    <t>International Academic Pub. Co. "Nauka/Interperiodica"</t>
  </si>
  <si>
    <t>8505191</t>
  </si>
  <si>
    <t>Domestic animal endocrinology</t>
  </si>
  <si>
    <t>DOMESTIC ANIMAL ENDOCRINOLOGY</t>
  </si>
  <si>
    <t>Domest Anim Endocrinol</t>
  </si>
  <si>
    <t>18790054</t>
  </si>
  <si>
    <t>07397240</t>
  </si>
  <si>
    <t>Endocrinology#Veterinary Medicine#Zoology</t>
  </si>
  <si>
    <t>100961499</t>
  </si>
  <si>
    <t>Dong wu xue yan jiu = Zoological research / "Dong wu xue yan jiu" bian ji wei yuan hui bian ji</t>
  </si>
  <si>
    <t>DONG WU XUE YAN JIU = ZOOLOGICAL RESEARCH / "DONG WU XUE YAN JIU" BIAN JI WEI YUAN HUI BIAN JI</t>
  </si>
  <si>
    <t>Dongwuxue Yanjiu</t>
  </si>
  <si>
    <t>02545853</t>
  </si>
  <si>
    <t>Ke xue chu ban she</t>
  </si>
  <si>
    <t>9508122</t>
  </si>
  <si>
    <t>Down's syndrome, research and practice : the journal of the Sarah Duffen Centre / University of Portsmouth</t>
  </si>
  <si>
    <t>DOWN'S SYNDROME, RESEARCH AND PRACTICE : THE JOURNAL OF THE SARAH DUFFEN CENTRE / UNIVERSITY OF PORTSMOUTH</t>
  </si>
  <si>
    <t>Downs Syndr Res Pract</t>
  </si>
  <si>
    <t>17537606</t>
  </si>
  <si>
    <t>09687912</t>
  </si>
  <si>
    <t>Sarah Duffen Centre, University Of Portsmouth</t>
  </si>
  <si>
    <t>7513587</t>
  </si>
  <si>
    <t>Drug and alcohol dependence</t>
  </si>
  <si>
    <t>DRUG AND ALCOHOL DEPENDENCE</t>
  </si>
  <si>
    <t>Drug Alcohol Depend</t>
  </si>
  <si>
    <t>Twenty one issues a year, &lt;2010-&gt;</t>
  </si>
  <si>
    <t>9015440</t>
  </si>
  <si>
    <t>Drug and alcohol review</t>
  </si>
  <si>
    <t>DRUG AND ALCOHOL REVIEW</t>
  </si>
  <si>
    <t>Drug Alcohol Rev</t>
  </si>
  <si>
    <t>Continues: Australian drug and alcohol review.</t>
  </si>
  <si>
    <t>14653362</t>
  </si>
  <si>
    <t>09595236</t>
  </si>
  <si>
    <t>7801723</t>
  </si>
  <si>
    <t>Drug and chemical toxicology</t>
  </si>
  <si>
    <t>DRUG AND CHEMICAL TOXICOLOGY</t>
  </si>
  <si>
    <t>Drug Chem Toxicol</t>
  </si>
  <si>
    <t>Quarterly, 1986-</t>
  </si>
  <si>
    <t>0112037</t>
  </si>
  <si>
    <t>Drug and therapeutics bulletin</t>
  </si>
  <si>
    <t>DRUG AND THERAPEUTICS BULLETIN</t>
  </si>
  <si>
    <t>Drug Ther Bull</t>
  </si>
  <si>
    <t>Supersedes: Medical letter (British edition).</t>
  </si>
  <si>
    <t>9417471</t>
  </si>
  <si>
    <t>Drug delivery</t>
  </si>
  <si>
    <t>DRUG DELIVERY</t>
  </si>
  <si>
    <t>Drug Deliv</t>
  </si>
  <si>
    <t>101475745</t>
  </si>
  <si>
    <t>Drug design, development and therapy</t>
  </si>
  <si>
    <t>DRUG DESIGN, DEVELOPMENT AND THERAPY</t>
  </si>
  <si>
    <t>Drug Des Devel Ther</t>
  </si>
  <si>
    <t>Dove Press Limited</t>
  </si>
  <si>
    <t>7802620</t>
  </si>
  <si>
    <t>Drug development and industrial pharmacy</t>
  </si>
  <si>
    <t>DRUG DEVELOPMENT AND INDUSTRIAL PHARMACY</t>
  </si>
  <si>
    <t>Drug Dev Ind Pharm</t>
  </si>
  <si>
    <t>Continues: Drug development communications.</t>
  </si>
  <si>
    <t>Ten no. a year, 2001-</t>
  </si>
  <si>
    <t>101493809</t>
  </si>
  <si>
    <t>Drug discoveries &amp; therapeutics</t>
  </si>
  <si>
    <t>DRUG DISCOVERIES &amp; THERAPEUTICS</t>
  </si>
  <si>
    <t>Drug Discov Ther</t>
  </si>
  <si>
    <t>Shandong University China-Japan Cooperation Center for Drug Discovery &amp; Screen</t>
  </si>
  <si>
    <t>9604391</t>
  </si>
  <si>
    <t>Drug discovery today</t>
  </si>
  <si>
    <t>DRUG DISCOVERY TODAY</t>
  </si>
  <si>
    <t>Drug Discov Today</t>
  </si>
  <si>
    <t>Twenty-four no. a year, 2001-</t>
  </si>
  <si>
    <t>101235076</t>
  </si>
  <si>
    <t>Drug discovery today. Technologies</t>
  </si>
  <si>
    <t>DRUG DISCOVERY TODAY. TECHNOLOGIES</t>
  </si>
  <si>
    <t>Drug Discov Today Technol</t>
  </si>
  <si>
    <t>9421550</t>
  </si>
  <si>
    <t>Drug metabolism and disposition: the biological fate of chemicals</t>
  </si>
  <si>
    <t>DRUG METABOLISM AND DISPOSITION: THE BIOLOGICAL FATE OF CHEMICALS</t>
  </si>
  <si>
    <t>Drug Metab Dispos</t>
  </si>
  <si>
    <t>American Society for Pharmacology and Experimental Therapeutics, etc.]</t>
  </si>
  <si>
    <t>8904736</t>
  </si>
  <si>
    <t>Drug metabolism and drug interactions</t>
  </si>
  <si>
    <t>DRUG METABOLISM AND DRUG INTERACTIONS</t>
  </si>
  <si>
    <t>Drug Metabol Drug Interact</t>
  </si>
  <si>
    <t>Continues: Reviews on drug metabolism and drug interactions.</t>
  </si>
  <si>
    <t>21910162</t>
  </si>
  <si>
    <t>De Gruyter</t>
  </si>
  <si>
    <t>101164773</t>
  </si>
  <si>
    <t>Drug metabolism and pharmacokinetics</t>
  </si>
  <si>
    <t>DRUG METABOLISM AND PHARMACOKINETICS</t>
  </si>
  <si>
    <t>Drug Metab Pharmacokinet</t>
  </si>
  <si>
    <t>Continues: Yakubutsu dōtai.</t>
  </si>
  <si>
    <t>Metabolism#Pharmacology</t>
  </si>
  <si>
    <t>101313587</t>
  </si>
  <si>
    <t>Drug metabolism letters</t>
  </si>
  <si>
    <t>DRUG METABOLISM LETTERS</t>
  </si>
  <si>
    <t>Drug Metab Lett</t>
  </si>
  <si>
    <t>18740758</t>
  </si>
  <si>
    <t>0322067</t>
  </si>
  <si>
    <t>Drug metabolism reviews</t>
  </si>
  <si>
    <t>DRUG METABOLISM REVIEWS</t>
  </si>
  <si>
    <t>Drug Metab Rev</t>
  </si>
  <si>
    <t>8809164</t>
  </si>
  <si>
    <t>Drug news &amp; perspectives</t>
  </si>
  <si>
    <t>DRUG NEWS &amp; PERSPECTIVES</t>
  </si>
  <si>
    <t>Drug News Perspect</t>
  </si>
  <si>
    <t>20130139</t>
  </si>
  <si>
    <t>02140934</t>
  </si>
  <si>
    <t>Thomson Reuters</t>
  </si>
  <si>
    <t>101602406</t>
  </si>
  <si>
    <t>Drug research</t>
  </si>
  <si>
    <t>DRUG RESEARCH</t>
  </si>
  <si>
    <t>Drug Res (Stuttg)</t>
  </si>
  <si>
    <t>Continues: Arzneimittel-Forschung.</t>
  </si>
  <si>
    <t>21949387</t>
  </si>
  <si>
    <t>9815369</t>
  </si>
  <si>
    <t>Drug resistance updates : reviews and commentaries in antimicrobial and anticancer chemotherapy</t>
  </si>
  <si>
    <t>DRUG RESISTANCE UPDATES : REVIEWS AND COMMENTARIES IN ANTIMICROBIAL AND ANTICANCER CHEMOTHERAPY</t>
  </si>
  <si>
    <t>Drug Resist Updat</t>
  </si>
  <si>
    <t>Anti-Infective Agents#Antineoplastic Agents</t>
  </si>
  <si>
    <t>9002928</t>
  </si>
  <si>
    <t>Drug safety : an international journal of medical toxicology and drug experience</t>
  </si>
  <si>
    <t>DRUG SAFETY : AN INTERNATIONAL JOURNAL OF MEDICAL TOXICOLOGY AND DRUG EXPERIENCE</t>
  </si>
  <si>
    <t>Drug Saf</t>
  </si>
  <si>
    <t>Continues: Medical toxicology and adverse drug experience.</t>
  </si>
  <si>
    <t>Fifteen no. a year, 2001-</t>
  </si>
  <si>
    <t>Drug Therapy#Toxicology</t>
  </si>
  <si>
    <t>101483449</t>
  </si>
  <si>
    <t>Drug testing and analysis</t>
  </si>
  <si>
    <t>DRUG TESTING AND ANALYSIS</t>
  </si>
  <si>
    <t>Drug Test Anal</t>
  </si>
  <si>
    <t>Bimonthly (twelve no. per year)</t>
  </si>
  <si>
    <t>7600076</t>
  </si>
  <si>
    <t>DRUGS</t>
  </si>
  <si>
    <t>24 no. a year, 2003-</t>
  </si>
  <si>
    <t>9102074</t>
  </si>
  <si>
    <t>Drugs &amp; aging</t>
  </si>
  <si>
    <t>DRUGS &amp; AGING</t>
  </si>
  <si>
    <t>Drugs Aging</t>
  </si>
  <si>
    <t>Monthly, 1994-</t>
  </si>
  <si>
    <t>100883647</t>
  </si>
  <si>
    <t>Drugs in R&amp;D</t>
  </si>
  <si>
    <t>DRUGS IN R&amp;D</t>
  </si>
  <si>
    <t>Drugs R D</t>
  </si>
  <si>
    <t>4 issues a year, 2010-</t>
  </si>
  <si>
    <t>101160518</t>
  </si>
  <si>
    <t>Drugs of today (Barcelona, Spain : 1998)</t>
  </si>
  <si>
    <t>DRUGS OF TODAY (BARCELONA, SPAIN : 1998)</t>
  </si>
  <si>
    <t>Drugs Today (Barc)</t>
  </si>
  <si>
    <t>Continues: Medicamentos de actualidad.</t>
  </si>
  <si>
    <t>7706565</t>
  </si>
  <si>
    <t>DTW. Deutsche tierärztliche Wochenschrift</t>
  </si>
  <si>
    <t>DTW. DEUTSCHE TIERARZTLICHE WOCHENSCHRIFT</t>
  </si>
  <si>
    <t>Dtsch Tierarztl Wochenschr</t>
  </si>
  <si>
    <t>Continues Deutsche tierärztliche Wochenschrift.</t>
  </si>
  <si>
    <t>03416593</t>
  </si>
  <si>
    <t>Verlag M And H Schaper</t>
  </si>
  <si>
    <t>9877769</t>
  </si>
  <si>
    <t>Duke law journal</t>
  </si>
  <si>
    <t>DUKE LAW JOURNAL</t>
  </si>
  <si>
    <t>Duke Law J</t>
  </si>
  <si>
    <t>Continues: Duke bar journal.</t>
  </si>
  <si>
    <t>00127086</t>
  </si>
  <si>
    <t>Duke University School of Law.</t>
  </si>
  <si>
    <t>101510062</t>
  </si>
  <si>
    <t>DukeMedicine healthnews</t>
  </si>
  <si>
    <t>DUKEMEDICINE HEALTHNEWS</t>
  </si>
  <si>
    <t>Duke Med Health News</t>
  </si>
  <si>
    <t>Continues: Health news (Waltham, Mass.).</t>
  </si>
  <si>
    <t>21538387</t>
  </si>
  <si>
    <t>Belvoir Media Group</t>
  </si>
  <si>
    <t>0373207</t>
  </si>
  <si>
    <t>Duodecim; lääketieteellinen aikakauskirja</t>
  </si>
  <si>
    <t>DUODECIM; LAAKETIETEELLINEN AIKAKAUSKIRJA</t>
  </si>
  <si>
    <t>Duodecim</t>
  </si>
  <si>
    <t>00127183</t>
  </si>
  <si>
    <t>Laaeketieteellinen Aikakauskirja Duodecim</t>
  </si>
  <si>
    <t>Finland</t>
  </si>
  <si>
    <t>fin</t>
  </si>
  <si>
    <t>100955578</t>
  </si>
  <si>
    <t>Dynamics (Pembroke, Ont.)</t>
  </si>
  <si>
    <t>DYNAMICS (PEMBROKE, ONT.)</t>
  </si>
  <si>
    <t>Dynamics</t>
  </si>
  <si>
    <t>Continues: Official journal of the Canadian Association of Critical Care Nurses.</t>
  </si>
  <si>
    <t>14973715</t>
  </si>
  <si>
    <t>8610855</t>
  </si>
  <si>
    <t>Dynamis (Granada, Spain)</t>
  </si>
  <si>
    <t>DYNAMIS (GRANADA, SPAIN)</t>
  </si>
  <si>
    <t>Dynamis</t>
  </si>
  <si>
    <t>02119536</t>
  </si>
  <si>
    <t>Departamento de Historia de la Medicina, Universidad de Granada</t>
  </si>
  <si>
    <t>9511375</t>
  </si>
  <si>
    <t>Dyslexia (Chichester, England)</t>
  </si>
  <si>
    <t>DYSLEXIA (CHICHESTER, ENGLAND)</t>
  </si>
  <si>
    <t>Quarterly, 1997-</t>
  </si>
  <si>
    <t>8610856</t>
  </si>
  <si>
    <t>DYSPHAGIA</t>
  </si>
  <si>
    <t>8005585</t>
  </si>
  <si>
    <t>Ear and hearing</t>
  </si>
  <si>
    <t>EAR AND HEARING</t>
  </si>
  <si>
    <t>Ear Hear</t>
  </si>
  <si>
    <t>Continues: Journal of the American Auditory Society.</t>
  </si>
  <si>
    <t>15384667</t>
  </si>
  <si>
    <t>01960202</t>
  </si>
  <si>
    <t>7701817</t>
  </si>
  <si>
    <t>Ear, nose, &amp; throat journal</t>
  </si>
  <si>
    <t>EAR, NOSE, &amp; THROAT JOURNAL</t>
  </si>
  <si>
    <t>Ear Nose Throat J</t>
  </si>
  <si>
    <t>Continues: Eye, ear, nose, &amp; throat monthly.</t>
  </si>
  <si>
    <t>19427522</t>
  </si>
  <si>
    <t>Medquests Communications</t>
  </si>
  <si>
    <t>7708381</t>
  </si>
  <si>
    <t>Early human development</t>
  </si>
  <si>
    <t>EARLY HUMAN DEVELOPMENT</t>
  </si>
  <si>
    <t>Early Hum Dev</t>
  </si>
  <si>
    <t>Ten no. a year 2000-</t>
  </si>
  <si>
    <t>Embryology#Pediatrics#Perinatology</t>
  </si>
  <si>
    <t>101320027</t>
  </si>
  <si>
    <t>Early intervention in psychiatry</t>
  </si>
  <si>
    <t>EARLY INTERVENTION IN PSYCHIATRY</t>
  </si>
  <si>
    <t>Early Interv Psychiatry</t>
  </si>
  <si>
    <t>9610931</t>
  </si>
  <si>
    <t>Early science and medicine</t>
  </si>
  <si>
    <t>EARLY SCIENCE AND MEDICINE</t>
  </si>
  <si>
    <t>Early Sci Med</t>
  </si>
  <si>
    <t>13837427</t>
  </si>
  <si>
    <t>E J Brill</t>
  </si>
  <si>
    <t>101302040</t>
  </si>
  <si>
    <t>East African journal of public health</t>
  </si>
  <si>
    <t>EAST AFRICAN JOURNAL OF PUBLIC HEALTH</t>
  </si>
  <si>
    <t>East Afr J Public Health</t>
  </si>
  <si>
    <t>08568960</t>
  </si>
  <si>
    <t>East African Public Health Association</t>
  </si>
  <si>
    <t>Tanzania</t>
  </si>
  <si>
    <t>Twice a year</t>
  </si>
  <si>
    <t>0372766</t>
  </si>
  <si>
    <t>East African medical journal</t>
  </si>
  <si>
    <t>EAST AFRICAN MEDICAL JOURNAL</t>
  </si>
  <si>
    <t>East Afr Med J</t>
  </si>
  <si>
    <t>Continues: Kenya and East African medical journal.</t>
  </si>
  <si>
    <t>0012835X</t>
  </si>
  <si>
    <t>Medical Association of East Africa</t>
  </si>
  <si>
    <t>Kenya</t>
  </si>
  <si>
    <t>101536416</t>
  </si>
  <si>
    <t>East Asian archives of psychiatry : official journal of the Hong Kong College of Psychiatrists = Dong Ya jing shen ke xue zhi : Xianggang jing shen ke yi xue yuan qi kan</t>
  </si>
  <si>
    <t>EAST ASIAN ARCHIVES OF PSYCHIATRY : OFFICIAL JOURNAL OF THE HONG KONG COLLEGE OF PSYCHIATRISTS = DONG YA JING SHEN KE XUE ZHI : XIANGGANG JING SHEN KE YI XUE YUAN QI KAN</t>
  </si>
  <si>
    <t>East Asian Arch Psychiatry</t>
  </si>
  <si>
    <t>Continues: Hong Kong journal of psychiatry.</t>
  </si>
  <si>
    <t>22247041</t>
  </si>
  <si>
    <t>9608387</t>
  </si>
  <si>
    <t>Eastern Mediterranean health journal = La revue de santé de la Méditerranée orientale = al-Majallah al-ṣiḥḥīyah li-sharq al-mutawassiṭ</t>
  </si>
  <si>
    <t>EASTERN MEDITERRANEAN HEALTH JOURNAL = LA REVUE DE SANTE DE LA MEDITERRANEE ORIENTALE = AL-MAJALLAH AL-SIHHIYAH LI-SHARQ AL-MUTAWASSIT</t>
  </si>
  <si>
    <t>East Mediterr Health J</t>
  </si>
  <si>
    <t>Merger of: Eastern Mediterranean Region epidemiological bulletin, and: Majallat al-khidmāt al-ṣiḥḥīyah li-Iqlīm Sharq al-Bahṛ al-Mutawassiṭ.</t>
  </si>
  <si>
    <t>16871634</t>
  </si>
  <si>
    <t>Eastern Mediterranean Regional Office of the World Health Organization</t>
  </si>
  <si>
    <t>9707113</t>
  </si>
  <si>
    <t>Eating and weight disorders : EWD</t>
  </si>
  <si>
    <t>EATING AND WEIGHT DISORDERS : EWD</t>
  </si>
  <si>
    <t>Eat Weight Disord</t>
  </si>
  <si>
    <t>Editrice Kurtis</t>
  </si>
  <si>
    <t>Gastroenterology#Metabolism</t>
  </si>
  <si>
    <t>101090048</t>
  </si>
  <si>
    <t>Eating behaviors</t>
  </si>
  <si>
    <t>EATING BEHAVIORS</t>
  </si>
  <si>
    <t>Eat Behav</t>
  </si>
  <si>
    <t>Quarterly, 2001-</t>
  </si>
  <si>
    <t>9315161</t>
  </si>
  <si>
    <t>Eating disorders</t>
  </si>
  <si>
    <t>EATING DISORDERS</t>
  </si>
  <si>
    <t>Eat Disord</t>
  </si>
  <si>
    <t>9418660</t>
  </si>
  <si>
    <t>EBRI issue brief / Employee Benefit Research Institute</t>
  </si>
  <si>
    <t>EBRI ISSUE BRIEF / EMPLOYEE BENEFIT RESEARCH INSTITUTE</t>
  </si>
  <si>
    <t>EBRI Issue Brief</t>
  </si>
  <si>
    <t>0887137X</t>
  </si>
  <si>
    <t>EBRI</t>
  </si>
  <si>
    <t>Health Services#Occupational Medicine</t>
  </si>
  <si>
    <t>8511187</t>
  </si>
  <si>
    <t>Echocardiography (Mount Kisco, N.Y.)</t>
  </si>
  <si>
    <t>ECHOCARDIOGRAPHY (MOUNT KISCO, N.Y.)</t>
  </si>
  <si>
    <t>Future Pub. Co</t>
  </si>
  <si>
    <t>Cardiology#Diagnostic Imaging</t>
  </si>
  <si>
    <t>101222144</t>
  </si>
  <si>
    <t>EcoHealth</t>
  </si>
  <si>
    <t>ECOHEALTH</t>
  </si>
  <si>
    <t>Ecohealth</t>
  </si>
  <si>
    <t>Merger of: Ecosystem health; and: Global change &amp; human health.</t>
  </si>
  <si>
    <t>16129210</t>
  </si>
  <si>
    <t>16129202</t>
  </si>
  <si>
    <t>9889808</t>
  </si>
  <si>
    <t>Ecological applications : a publication of the Ecological Society of America</t>
  </si>
  <si>
    <t>ECOLOGICAL APPLICATIONS : A PUBLICATION OF THE ECOLOGICAL SOCIETY OF AMERICA</t>
  </si>
  <si>
    <t>Ecol Appl</t>
  </si>
  <si>
    <t>10510761</t>
  </si>
  <si>
    <t>Ecological Society of America</t>
  </si>
  <si>
    <t>0043541</t>
  </si>
  <si>
    <t>Ecology</t>
  </si>
  <si>
    <t>ECOLOGY</t>
  </si>
  <si>
    <t>Continues: Plant world.</t>
  </si>
  <si>
    <t>00129658</t>
  </si>
  <si>
    <t>101121949</t>
  </si>
  <si>
    <t>Ecology letters</t>
  </si>
  <si>
    <t>ECOLOGY LETTERS</t>
  </si>
  <si>
    <t>Ecol Lett</t>
  </si>
  <si>
    <t>14610248</t>
  </si>
  <si>
    <t>1461023X</t>
  </si>
  <si>
    <t>Monthly, 2003-</t>
  </si>
  <si>
    <t>0315073</t>
  </si>
  <si>
    <t>Ecology of food and nutrition</t>
  </si>
  <si>
    <t>ECOLOGY OF FOOD AND NUTRITION</t>
  </si>
  <si>
    <t>Ecol Food Nutr</t>
  </si>
  <si>
    <t>15435237</t>
  </si>
  <si>
    <t>03670244</t>
  </si>
  <si>
    <t>101166135</t>
  </si>
  <si>
    <t>Economics and human biology</t>
  </si>
  <si>
    <t>ECONOMICS AND HUMAN BIOLOGY</t>
  </si>
  <si>
    <t>Econ Hum Biol</t>
  </si>
  <si>
    <t>Biology#Social Sciences</t>
  </si>
  <si>
    <t>9885956</t>
  </si>
  <si>
    <t>Ecotoxicology (London, England)</t>
  </si>
  <si>
    <t>ECOTOXICOLOGY (LONDON, ENGLAND)</t>
  </si>
  <si>
    <t>7805381</t>
  </si>
  <si>
    <t>Ecotoxicology and environmental safety</t>
  </si>
  <si>
    <t>ECOTOXICOLOGY AND ENVIRONMENTAL SAFETY</t>
  </si>
  <si>
    <t>Ecotoxicol Environ Saf</t>
  </si>
  <si>
    <t>9425690</t>
  </si>
  <si>
    <t>ED management : the monthly update on emergency department management</t>
  </si>
  <si>
    <t>ED MANAGEMENT : THE MONTHLY UPDATE ON EMERGENCY DEPARTMENT MANAGEMENT</t>
  </si>
  <si>
    <t>ED Manag</t>
  </si>
  <si>
    <t>10449167</t>
  </si>
  <si>
    <t>Emergency Medicine#Health Services</t>
  </si>
  <si>
    <t>9607101</t>
  </si>
  <si>
    <t>Education for health (Abingdon, England)</t>
  </si>
  <si>
    <t>EDUCATION FOR HEALTH (ABINGDON, ENGLAND)</t>
  </si>
  <si>
    <t>Educ Health (Abingdon)</t>
  </si>
  <si>
    <t>Continues: Annals of community-oriented education.</t>
  </si>
  <si>
    <t>14695804</t>
  </si>
  <si>
    <t>13576283</t>
  </si>
  <si>
    <t>Wolter Kluwer-Medknow</t>
  </si>
  <si>
    <t>Education#Health Services</t>
  </si>
  <si>
    <t>101141280</t>
  </si>
  <si>
    <t>Education for primary care : an official publication of the Association of Course Organisers, National Association of GP Tutors, World Organisation of Family Doctors</t>
  </si>
  <si>
    <t>EDUCATION FOR PRIMARY CARE : AN OFFICIAL PUBLICATION OF THE ASSOCIATION OF COURSE ORGANISERS, NATIONAL ASSOCIATION OF GP TUTORS, WORLD ORGANISATION OF FAMILY DOCTORS</t>
  </si>
  <si>
    <t>Educ Prim Care</t>
  </si>
  <si>
    <t>Continues: Education for general practice.</t>
  </si>
  <si>
    <t>1475990X</t>
  </si>
  <si>
    <t>14739879</t>
  </si>
  <si>
    <t>Radcliffe Medical Press</t>
  </si>
  <si>
    <t>Education#Primary Health Care</t>
  </si>
  <si>
    <t>9816016</t>
  </si>
  <si>
    <t>The Egyptian journal of immunology / Egyptian Association of Immunologists</t>
  </si>
  <si>
    <t>EGYPTIAN JOURNAL OF IMMUNOLOGY / EGYPTIAN ASSOCIATION OF IMMUNOLOGISTS</t>
  </si>
  <si>
    <t>Egypt J Immunol</t>
  </si>
  <si>
    <t>11104902</t>
  </si>
  <si>
    <t>Modern Commercial Press</t>
  </si>
  <si>
    <t>101281800</t>
  </si>
  <si>
    <t>Einstein (São Paulo, Brazil)</t>
  </si>
  <si>
    <t>EINSTEIN (SAO PAULO, BRAZIL)</t>
  </si>
  <si>
    <t>Einstein (Sao Paulo)</t>
  </si>
  <si>
    <t>23176385</t>
  </si>
  <si>
    <t>16794508</t>
  </si>
  <si>
    <t>Instituto de Ensino e Pesquisa Albert Einstein</t>
  </si>
  <si>
    <t>101265191</t>
  </si>
  <si>
    <t>Eklem hastalıkları ve cerrahisi = Joint diseases &amp; related surgery</t>
  </si>
  <si>
    <t>EKLEM HASTALIKLARI VE CERRAHISI = JOINT DISEASES &amp; RELATED SURGERY</t>
  </si>
  <si>
    <t>Eklem Hastalik Cerrahisi</t>
  </si>
  <si>
    <t>Continues: Artroplasti artroskopik cerrahi.</t>
  </si>
  <si>
    <t>13090313</t>
  </si>
  <si>
    <t>13058282</t>
  </si>
  <si>
    <t>Türkiye Eklem Hastalıkları Tedavi Vakfı</t>
  </si>
  <si>
    <t>9215981</t>
  </si>
  <si>
    <t>Eksperimental'naia i klinicheskaia farmakologiia</t>
  </si>
  <si>
    <t>EKSPERIMENTAL'NAIA I KLINICHESKAIA FARMAKOLOGIIA</t>
  </si>
  <si>
    <t>Eksp Klin Farmakol</t>
  </si>
  <si>
    <t>Izo-Vo Meditsina</t>
  </si>
  <si>
    <t>101144944</t>
  </si>
  <si>
    <t>Ėksperimental'nai͡a i klinicheskai͡a gastroėnterologii͡a = Experimental &amp; clinical gastroenterology</t>
  </si>
  <si>
    <t>EKSPERIMENTAL'NAIA I KLINICHESKAIA GASTROENTEROLOGIIA = EXPERIMENTAL &amp; CLINICAL GASTROENTEROLOGY</t>
  </si>
  <si>
    <t>Eksp Klin Gastroenterol</t>
  </si>
  <si>
    <t>Continues: Rossiĭskiĭ gastroėnterologicheskiĭ zhurnal.</t>
  </si>
  <si>
    <t>16828658</t>
  </si>
  <si>
    <t>Anakharsis</t>
  </si>
  <si>
    <t>101133002</t>
  </si>
  <si>
    <t>Electromagnetic biology and medicine</t>
  </si>
  <si>
    <t>ELECTROMAGNETIC BIOLOGY AND MEDICINE</t>
  </si>
  <si>
    <t>Electromagn Biol Med</t>
  </si>
  <si>
    <t>Continues: Electro- and magnetobiology.</t>
  </si>
  <si>
    <t>15368386</t>
  </si>
  <si>
    <t>15368378</t>
  </si>
  <si>
    <t>Biology#Physiology</t>
  </si>
  <si>
    <t>0327533</t>
  </si>
  <si>
    <t>Electromyography and clinical neurophysiology</t>
  </si>
  <si>
    <t>ELECTROMYOGRAPHY AND CLINICAL NEUROPHYSIOLOGY</t>
  </si>
  <si>
    <t>Electromyogr Clin Neurophysiol</t>
  </si>
  <si>
    <t>Continues: Electromyography.</t>
  </si>
  <si>
    <t>0301150X</t>
  </si>
  <si>
    <t>Nauwelaerts Publishing House</t>
  </si>
  <si>
    <t>8204476</t>
  </si>
  <si>
    <t>ELECTROPHORESIS</t>
  </si>
  <si>
    <t>Twenty-four no. a year 2002</t>
  </si>
  <si>
    <t>8208664</t>
  </si>
  <si>
    <t>The EMBO journal</t>
  </si>
  <si>
    <t>EMBO JOURNAL</t>
  </si>
  <si>
    <t>EMBO J</t>
  </si>
  <si>
    <t>101487380</t>
  </si>
  <si>
    <t>EMBO molecular medicine</t>
  </si>
  <si>
    <t>EMBO MOLECULAR MEDICINE</t>
  </si>
  <si>
    <t>EMBO Mol Med</t>
  </si>
  <si>
    <t>100963049</t>
  </si>
  <si>
    <t>EMBO reports</t>
  </si>
  <si>
    <t>EMBO REPORTS</t>
  </si>
  <si>
    <t>EMBO Rep</t>
  </si>
  <si>
    <t>101199824</t>
  </si>
  <si>
    <t>Emergency medicine Australasia : EMA</t>
  </si>
  <si>
    <t>EMERGENCY MEDICINE AUSTRALASIA : EMA</t>
  </si>
  <si>
    <t>Emerg Med Australas</t>
  </si>
  <si>
    <t>Continues: Emergency medicine (Fremantle, W.A.).</t>
  </si>
  <si>
    <t>8219565</t>
  </si>
  <si>
    <t>Emergency medicine clinics of North America</t>
  </si>
  <si>
    <t>EMERGENCY MEDICINE CLINICS OF NORTH AMERICA</t>
  </si>
  <si>
    <t>Emerg Med Clin North Am</t>
  </si>
  <si>
    <t>15580539</t>
  </si>
  <si>
    <t>100963089</t>
  </si>
  <si>
    <t>Emergency medicine journal : EMJ</t>
  </si>
  <si>
    <t>EMERGENCY MEDICINE JOURNAL : EMJ</t>
  </si>
  <si>
    <t>Emerg Med J</t>
  </si>
  <si>
    <t>Continues: Journal of accident &amp; emergency medicine.</t>
  </si>
  <si>
    <t>100889097</t>
  </si>
  <si>
    <t>Emergency medicine practice</t>
  </si>
  <si>
    <t>EMERGENCY MEDICINE PRACTICE</t>
  </si>
  <si>
    <t>Emerg Med Pract</t>
  </si>
  <si>
    <t>15593908</t>
  </si>
  <si>
    <t>15241971</t>
  </si>
  <si>
    <t>EB Medicine</t>
  </si>
  <si>
    <t>9208913</t>
  </si>
  <si>
    <t>Emergency nurse : the journal of the RCN Accident and Emergency Nursing Association</t>
  </si>
  <si>
    <t>EMERGENCY NURSE : THE JOURNAL OF THE RCN ACCIDENT AND EMERGENCY NURSING ASSOCIATION</t>
  </si>
  <si>
    <t>Emerg Nurse</t>
  </si>
  <si>
    <t>13545752</t>
  </si>
  <si>
    <t>RCN Pub. Co</t>
  </si>
  <si>
    <t>Emergency Medicine#Nursing#Traumatology</t>
  </si>
  <si>
    <t>9431227</t>
  </si>
  <si>
    <t>Emergency radiology</t>
  </si>
  <si>
    <t>EMERGENCY RADIOLOGY</t>
  </si>
  <si>
    <t>Emerg Radiol</t>
  </si>
  <si>
    <t>Springer-Verlag New York Inc</t>
  </si>
  <si>
    <t>Emergency Medicine#Radiology</t>
  </si>
  <si>
    <t>101484599</t>
  </si>
  <si>
    <t>Emerging health threats journal</t>
  </si>
  <si>
    <t>EMERGING HEALTH THREATS JOURNAL</t>
  </si>
  <si>
    <t>Emerg Health Threats J</t>
  </si>
  <si>
    <t>Co-Action Pub.</t>
  </si>
  <si>
    <t>Updated continuously</t>
  </si>
  <si>
    <t>Communicable Diseases#Public Health</t>
  </si>
  <si>
    <t>9508155</t>
  </si>
  <si>
    <t>Emerging infectious diseases</t>
  </si>
  <si>
    <t>EMERGING INFECTIOUS DISEASES</t>
  </si>
  <si>
    <t>Emerg Infect Dis</t>
  </si>
  <si>
    <t>National Center for Infectious Diseases, Centers for Disease Control and Prevention (CDC)</t>
  </si>
  <si>
    <t>101125678</t>
  </si>
  <si>
    <t>Emotion (Washington, D.C.)</t>
  </si>
  <si>
    <t>EMOTION (WASHINGTON, D.C.)</t>
  </si>
  <si>
    <t>101547538</t>
  </si>
  <si>
    <t>EMS world</t>
  </si>
  <si>
    <t>EMS WORLD</t>
  </si>
  <si>
    <t>EMS World</t>
  </si>
  <si>
    <t>Continues: EMS magazine.</t>
  </si>
  <si>
    <t>Cygnus Business Media</t>
  </si>
  <si>
    <t>7505643</t>
  </si>
  <si>
    <t>L'Encéphale</t>
  </si>
  <si>
    <t>ENCEPHALE</t>
  </si>
  <si>
    <t>Six no. a year, &lt;2000- &gt;</t>
  </si>
  <si>
    <t>0375037</t>
  </si>
  <si>
    <t>Endeavour</t>
  </si>
  <si>
    <t>ENDEAVOUR</t>
  </si>
  <si>
    <t>18731929</t>
  </si>
  <si>
    <t>01609327</t>
  </si>
  <si>
    <t>9434444</t>
  </si>
  <si>
    <t>ENDOCRINE</t>
  </si>
  <si>
    <t>Continues: Endocrine journal (Houndmills, Basingstoke, England).</t>
  </si>
  <si>
    <t>101138956</t>
  </si>
  <si>
    <t>Endocrine development</t>
  </si>
  <si>
    <t>ENDOCRINE DEVELOPMENT</t>
  </si>
  <si>
    <t>Endocr Dev</t>
  </si>
  <si>
    <t>9313485</t>
  </si>
  <si>
    <t>Endocrine journal</t>
  </si>
  <si>
    <t>ENDOCRINE JOURNAL</t>
  </si>
  <si>
    <t>Endocr J</t>
  </si>
  <si>
    <t>Continues: Endocrinologia japonica.</t>
  </si>
  <si>
    <t>Monthly, June 2009-</t>
  </si>
  <si>
    <t>9009288</t>
  </si>
  <si>
    <t>Endocrine pathology</t>
  </si>
  <si>
    <t>ENDOCRINE PATHOLOGY</t>
  </si>
  <si>
    <t>Endocr Pathol</t>
  </si>
  <si>
    <t>Endocrinology#Pathology</t>
  </si>
  <si>
    <t>9607439</t>
  </si>
  <si>
    <t>Endocrine practice : official journal of the American College of Endocrinology and the American Association of Clinical Endocrinologists</t>
  </si>
  <si>
    <t>ENDOCRINE PRACTICE : OFFICIAL JOURNAL OF THE AMERICAN COLLEGE OF ENDOCRINOLOGY AND THE AMERICAN ASSOCIATION OF CLINICAL ENDOCRINOLOGISTS</t>
  </si>
  <si>
    <t>Endocr Pract</t>
  </si>
  <si>
    <t>American Association of Clinical Endocrinologists</t>
  </si>
  <si>
    <t>9112018</t>
  </si>
  <si>
    <t>Endocrine regulations</t>
  </si>
  <si>
    <t>ENDOCRINE REGULATIONS</t>
  </si>
  <si>
    <t>Endocr Regul</t>
  </si>
  <si>
    <t>Continues: Endocrinologia experimentalis.</t>
  </si>
  <si>
    <t>8408548</t>
  </si>
  <si>
    <t>Endocrine research</t>
  </si>
  <si>
    <t>ENDOCRINE RESEARCH</t>
  </si>
  <si>
    <t>Endocr Res</t>
  </si>
  <si>
    <t>Continues: Endocrine research communications.</t>
  </si>
  <si>
    <t>15324206</t>
  </si>
  <si>
    <t>8006258</t>
  </si>
  <si>
    <t>Endocrine reviews</t>
  </si>
  <si>
    <t>ENDOCRINE REVIEWS</t>
  </si>
  <si>
    <t>Endocr Rev</t>
  </si>
  <si>
    <t>Absorbed: Recent progress in hormone research. 2005</t>
  </si>
  <si>
    <t>19457189</t>
  </si>
  <si>
    <t>101269157</t>
  </si>
  <si>
    <t>Endocrine, metabolic &amp; immune disorders drug targets</t>
  </si>
  <si>
    <t>ENDOCRINE, METABOLIC &amp; IMMUNE DISORDERS DRUG TARGETS</t>
  </si>
  <si>
    <t>Endocr Metab Immune Disord Drug Targets</t>
  </si>
  <si>
    <t>Continues: Current drug targets. Immune, endocrine and metabolic disorders.</t>
  </si>
  <si>
    <t>Allergy and Immunology#Drug Therapy#Endocrinology#Metabolism</t>
  </si>
  <si>
    <t>9436481</t>
  </si>
  <si>
    <t>Endocrine-related cancer</t>
  </si>
  <si>
    <t>ENDOCRINE-RELATED CANCER</t>
  </si>
  <si>
    <t>Endocr Relat Cancer</t>
  </si>
  <si>
    <t>Continues: Reviews on endocrine-related cancer.</t>
  </si>
  <si>
    <t>BioScientifica</t>
  </si>
  <si>
    <t>100886482</t>
  </si>
  <si>
    <t>Endocrinología y nutrición : órgano de la Sociedad Española de Endocrinología y Nutrición</t>
  </si>
  <si>
    <t>ENDOCRINOLOGIA Y NUTRICION : ORGANO DE LA SOCIEDAD ESPANOLA DE ENDOCRINOLOGIA Y NUTRICION</t>
  </si>
  <si>
    <t>Endocrinol Nutr</t>
  </si>
  <si>
    <t>Continues: Endocrinología (Barcelona, Spain).</t>
  </si>
  <si>
    <t>Endocrinology#Nutritional Sciences</t>
  </si>
  <si>
    <t>0375040</t>
  </si>
  <si>
    <t>ENDOCRINOLOGY</t>
  </si>
  <si>
    <t>Absorbed in part: Transactions of the American Goiter Association.</t>
  </si>
  <si>
    <t>8800104</t>
  </si>
  <si>
    <t>Endocrinology and metabolism clinics of North America</t>
  </si>
  <si>
    <t>ENDOCRINOLOGY AND METABOLISM CLINICS OF NORTH AMERICA</t>
  </si>
  <si>
    <t>Endocrinol Metab Clin North Am</t>
  </si>
  <si>
    <t>Continues in part: Clinics in endocrinology and metabolism.</t>
  </si>
  <si>
    <t>0370674</t>
  </si>
  <si>
    <t>ENDOKRYNOLOGIA POLSKA</t>
  </si>
  <si>
    <t>Endokrynol Pol</t>
  </si>
  <si>
    <t>Wydawnictwo Viamedica SPZOO</t>
  </si>
  <si>
    <t>0215166</t>
  </si>
  <si>
    <t>ENDOSCOPY</t>
  </si>
  <si>
    <t>Diagnostic Imaging#Therapeutics</t>
  </si>
  <si>
    <t>9104081</t>
  </si>
  <si>
    <t>Enfermedades infecciosas y microbiología clínica</t>
  </si>
  <si>
    <t>ENFERMEDADES INFECCIOSAS Y MICROBIOLOGIA CLINICA</t>
  </si>
  <si>
    <t>Enferm Infecc Microbiol Clin</t>
  </si>
  <si>
    <t>Continues: Enfermedades infecciosas.</t>
  </si>
  <si>
    <t>101190915</t>
  </si>
  <si>
    <t>Enfermería clínica</t>
  </si>
  <si>
    <t>ENFERMERIA CLINICA</t>
  </si>
  <si>
    <t>Enferm Clin</t>
  </si>
  <si>
    <t>15792013</t>
  </si>
  <si>
    <t>11308621</t>
  </si>
  <si>
    <t>Medicine#Nursing</t>
  </si>
  <si>
    <t>9517771</t>
  </si>
  <si>
    <t>Enfermería intensiva / Sociedad Española de Enfermería Intensiva y Unidades Coronarias</t>
  </si>
  <si>
    <t>ENFERMERIA INTENSIVA / SOCIEDAD ESPANOLA DE ENFERMERIA INTENSIVA Y UNIDADES CORONARIAS</t>
  </si>
  <si>
    <t>Enferm Intensiva</t>
  </si>
  <si>
    <t>15781291</t>
  </si>
  <si>
    <t>11302399</t>
  </si>
  <si>
    <t>7807270</t>
  </si>
  <si>
    <t>Environment international</t>
  </si>
  <si>
    <t>ENVIRONMENT INTERNATIONAL</t>
  </si>
  <si>
    <t>Environ Int</t>
  </si>
  <si>
    <t>8800109</t>
  </si>
  <si>
    <t>Environmental and molecular mutagenesis</t>
  </si>
  <si>
    <t>ENVIRONMENTAL AND MOLECULAR MUTAGENESIS</t>
  </si>
  <si>
    <t>Environ Mol Mutagen</t>
  </si>
  <si>
    <t>Continues: Environmental mutagenesis.</t>
  </si>
  <si>
    <t>Environmental Health#Molecular Biology</t>
  </si>
  <si>
    <t>7502320</t>
  </si>
  <si>
    <t>Environmental entomology</t>
  </si>
  <si>
    <t>ENVIRONMENTAL ENTOMOLOGY</t>
  </si>
  <si>
    <t>Environ Entomol</t>
  </si>
  <si>
    <t>19382936</t>
  </si>
  <si>
    <t>0046225X</t>
  </si>
  <si>
    <t>Entomological Society of America</t>
  </si>
  <si>
    <t>8903118</t>
  </si>
  <si>
    <t>Environmental geochemistry and health</t>
  </si>
  <si>
    <t>ENVIRONMENTAL GEOCHEMISTRY AND HEALTH</t>
  </si>
  <si>
    <t>Environ Geochem Health</t>
  </si>
  <si>
    <t>Continues: Minerals and the environment.</t>
  </si>
  <si>
    <t>15732983</t>
  </si>
  <si>
    <t>02694042</t>
  </si>
  <si>
    <t>Chemistry#Environmental Health</t>
  </si>
  <si>
    <t>101147645</t>
  </si>
  <si>
    <t>Environmental health : a global access science source</t>
  </si>
  <si>
    <t>ENVIRONMENTAL HEALTH : A GLOBAL ACCESS SCIENCE SOURCE</t>
  </si>
  <si>
    <t>Environ Health</t>
  </si>
  <si>
    <t>9609642</t>
  </si>
  <si>
    <t>Environmental health and preventive medicine</t>
  </si>
  <si>
    <t>ENVIRONMENTAL HEALTH AND PREVENTIVE MEDICINE</t>
  </si>
  <si>
    <t>Environ Health Prev Med</t>
  </si>
  <si>
    <t>Environmental Health#Public Health</t>
  </si>
  <si>
    <t>0330411</t>
  </si>
  <si>
    <t>Environmental health perspectives</t>
  </si>
  <si>
    <t>ENVIRONMENTAL HEALTH PERSPECTIVES</t>
  </si>
  <si>
    <t>Environ Health Perspect</t>
  </si>
  <si>
    <t>Absorbed: EHP toxicogenomics.</t>
  </si>
  <si>
    <t>National Institute of Environmental Health Sciences.</t>
  </si>
  <si>
    <t>17 no. a year, 2004-</t>
  </si>
  <si>
    <t>7703893</t>
  </si>
  <si>
    <t>Environmental management</t>
  </si>
  <si>
    <t>ENVIRONMENTAL MANAGEMENT</t>
  </si>
  <si>
    <t>Environ Manage</t>
  </si>
  <si>
    <t>100883692</t>
  </si>
  <si>
    <t>Environmental microbiology</t>
  </si>
  <si>
    <t>ENVIRONMENTAL MICROBIOLOGY</t>
  </si>
  <si>
    <t>Environ Microbiol</t>
  </si>
  <si>
    <t>14622920</t>
  </si>
  <si>
    <t>14622912</t>
  </si>
  <si>
    <t>Environmental Health#Microbiology</t>
  </si>
  <si>
    <t>101499207</t>
  </si>
  <si>
    <t>Environmental microbiology reports</t>
  </si>
  <si>
    <t>ENVIRONMENTAL MICROBIOLOGY REPORTS</t>
  </si>
  <si>
    <t>Environ Microbiol Rep</t>
  </si>
  <si>
    <t>17582229</t>
  </si>
  <si>
    <t>Society for Applied Microbiology and Blackwell Pub.</t>
  </si>
  <si>
    <t>8508350</t>
  </si>
  <si>
    <t>Environmental monitoring and assessment</t>
  </si>
  <si>
    <t>ENVIRONMENTAL MONITORING AND ASSESSMENT</t>
  </si>
  <si>
    <t>Environ Monit Assess</t>
  </si>
  <si>
    <t>Forty-eight no. a year, 2009-</t>
  </si>
  <si>
    <t>8804476</t>
  </si>
  <si>
    <t>Environmental pollution (Barking, Essex : 1987)</t>
  </si>
  <si>
    <t>ENVIRONMENTAL POLLUTION (BARKING, ESSEX : 1987)</t>
  </si>
  <si>
    <t>Environ Pollut</t>
  </si>
  <si>
    <t>Formed by the union of: Environmental pollution. Series A, Ecological and biological and: Environmental pollution. Series B, Chemical and physical.</t>
  </si>
  <si>
    <t>Fifteen no. a year, 2001</t>
  </si>
  <si>
    <t>0147621</t>
  </si>
  <si>
    <t>Environmental research</t>
  </si>
  <si>
    <t>ENVIRONMENTAL RESEARCH</t>
  </si>
  <si>
    <t>Environ Res</t>
  </si>
  <si>
    <t>Nine no. a year, 2000-</t>
  </si>
  <si>
    <t>0213155</t>
  </si>
  <si>
    <t>Environmental science &amp; technology</t>
  </si>
  <si>
    <t>ENVIRONMENTAL SCIENCE &amp; TECHNOLOGY</t>
  </si>
  <si>
    <t>Environ Sci Technol</t>
  </si>
  <si>
    <t>Absorbed: Environmental buyers' guide. 1994</t>
  </si>
  <si>
    <t>Semimonthly, 1998-</t>
  </si>
  <si>
    <t>9441769</t>
  </si>
  <si>
    <t>Environmental science and pollution research international</t>
  </si>
  <si>
    <t>ENVIRONMENTAL SCIENCE AND POLLUTION RESEARCH INTERNATIONAL</t>
  </si>
  <si>
    <t>Environ Sci Pollut Res Int</t>
  </si>
  <si>
    <t>16147499</t>
  </si>
  <si>
    <t>09441344</t>
  </si>
  <si>
    <t>Ecomed</t>
  </si>
  <si>
    <t>Bimonthly, &lt;July 2006-&gt;</t>
  </si>
  <si>
    <t>101601576</t>
  </si>
  <si>
    <t>Environmental science. Processes &amp; impacts</t>
  </si>
  <si>
    <t>ENVIRONMENTAL SCIENCE. PROCESSES &amp; IMPACTS</t>
  </si>
  <si>
    <t>Environ Sci Process Impacts</t>
  </si>
  <si>
    <t>Continues: Journal of environmental monitoring.</t>
  </si>
  <si>
    <t>9884939</t>
  </si>
  <si>
    <t>Environmental technology</t>
  </si>
  <si>
    <t>ENVIRONMENTAL TECHNOLOGY</t>
  </si>
  <si>
    <t>Environ Technol</t>
  </si>
  <si>
    <t>Continues: Environmental technology letters.</t>
  </si>
  <si>
    <t>Taylor &amp;Francis</t>
  </si>
  <si>
    <t>Fourteen no. a year, 2009-</t>
  </si>
  <si>
    <t>Environmental Health#Technology#Toxicology</t>
  </si>
  <si>
    <t>100885357</t>
  </si>
  <si>
    <t>Environmental toxicology</t>
  </si>
  <si>
    <t>ENVIRONMENTAL TOXICOLOGY</t>
  </si>
  <si>
    <t>Environ Toxicol</t>
  </si>
  <si>
    <t>Continues: Environmental toxicology and water quality.</t>
  </si>
  <si>
    <t>8308958</t>
  </si>
  <si>
    <t>Environmental toxicology and chemistry / SETAC</t>
  </si>
  <si>
    <t>ENVIRONMENTAL TOXICOLOGY AND CHEMISTRY / SETAC</t>
  </si>
  <si>
    <t>Environ Toxicol Chem</t>
  </si>
  <si>
    <t>Chemistry#Environmental Health#Toxicology</t>
  </si>
  <si>
    <t>9612020</t>
  </si>
  <si>
    <t>Environmental toxicology and pharmacology</t>
  </si>
  <si>
    <t>ENVIRONMENTAL TOXICOLOGY AND PHARMACOLOGY</t>
  </si>
  <si>
    <t>Environ Toxicol Pharmacol</t>
  </si>
  <si>
    <t>Continues in part: European journal of pharmacology.</t>
  </si>
  <si>
    <t>Environmental Health#Pharmacology#Toxicology</t>
  </si>
  <si>
    <t>8003761</t>
  </si>
  <si>
    <t>Enzyme and microbial technology</t>
  </si>
  <si>
    <t>ENZYME AND MICROBIAL TECHNOLOGY</t>
  </si>
  <si>
    <t>Enzyme Microb Technol</t>
  </si>
  <si>
    <t>Biochemistry#Biotechnology#Microbiology</t>
  </si>
  <si>
    <t>101484711</t>
  </si>
  <si>
    <t>EPIDEMICS</t>
  </si>
  <si>
    <t>8902507</t>
  </si>
  <si>
    <t>Epidemiologia e prevenzione</t>
  </si>
  <si>
    <t>EPIDEMIOLOGIA E PREVENZIONE</t>
  </si>
  <si>
    <t>Epidemiol Prev</t>
  </si>
  <si>
    <t>11209763</t>
  </si>
  <si>
    <t>Cooperativa epidemiologia e prevenzione</t>
  </si>
  <si>
    <t>7910703</t>
  </si>
  <si>
    <t>Epidemiologic reviews</t>
  </si>
  <si>
    <t>EPIDEMIOLOGIC REVIEWS</t>
  </si>
  <si>
    <t>Epidemiol Rev</t>
  </si>
  <si>
    <t>Johns Hopkins Univ. Press.</t>
  </si>
  <si>
    <t>Annual, 2003-</t>
  </si>
  <si>
    <t>8011598</t>
  </si>
  <si>
    <t>Epidemiological bulletin</t>
  </si>
  <si>
    <t>EPIDEMIOLOGICAL BULLETIN</t>
  </si>
  <si>
    <t>Epidemiol Bull</t>
  </si>
  <si>
    <t>Continues in part: Weekly epidemiological report (Pan American Sanitary Bureau).</t>
  </si>
  <si>
    <t>02561859</t>
  </si>
  <si>
    <t>Pan American Health Organization.</t>
  </si>
  <si>
    <t>9431736</t>
  </si>
  <si>
    <t>Epidemiologie, mikrobiologie, imunologie : casopis Spolecnosti pro epidemiologii a mikrobiologii Ceské lékarské spolecnosti J.E. Purkyne</t>
  </si>
  <si>
    <t>EPIDEMIOLOGIE, MIKROBIOLOGIE, IMUNOLOGIE : CASOPIS SPOLECNOSTI PRO EPIDEMIOLOGII A MIKROBIOLOGII CESKE LEKARSKE SPOLECNOSTI J.E. PURKYNE</t>
  </si>
  <si>
    <t>Epidemiol Mikrobiol Imunol</t>
  </si>
  <si>
    <t>Continues: Ceskoslovenská epidemiologie, mikrobiologie, imunologie.</t>
  </si>
  <si>
    <t>Ceská lékarská spolecnost J.E. Purkyne</t>
  </si>
  <si>
    <t>Allergy and Immunology#Epidemiology#Microbiology</t>
  </si>
  <si>
    <t>9009644</t>
  </si>
  <si>
    <t>Epidemiology (Cambridge, Mass.)</t>
  </si>
  <si>
    <t>EPIDEMIOLOGY (CAMBRIDGE, MASS.)</t>
  </si>
  <si>
    <t>8703737</t>
  </si>
  <si>
    <t>Epidemiology and infection</t>
  </si>
  <si>
    <t>EPIDEMIOLOGY AND INFECTION</t>
  </si>
  <si>
    <t>Epidemiol Infect</t>
  </si>
  <si>
    <t>Continues: Journal of hygiene.</t>
  </si>
  <si>
    <t>101561091</t>
  </si>
  <si>
    <t>Epidemiology and psychiatric sciences</t>
  </si>
  <si>
    <t>EPIDEMIOLOGY AND PSYCHIATRIC SCIENCES</t>
  </si>
  <si>
    <t>Epidemiol Psychiatr Sci</t>
  </si>
  <si>
    <t>Continues: Epidemiologia e psichiatria sociale.</t>
  </si>
  <si>
    <t>Epidemiology#Psychiatry</t>
  </si>
  <si>
    <t>101265293</t>
  </si>
  <si>
    <t>Epigenetics : official journal of the DNA Methylation Society</t>
  </si>
  <si>
    <t>EPIGENETICS : OFFICIAL JOURNAL OF THE DNA METHYLATION SOCIETY</t>
  </si>
  <si>
    <t>101519720</t>
  </si>
  <si>
    <t>EPIGENOMICS</t>
  </si>
  <si>
    <t>2983306R</t>
  </si>
  <si>
    <t>EPILEPSIA</t>
  </si>
  <si>
    <t>100892858</t>
  </si>
  <si>
    <t>Epilepsy &amp; behavior : E&amp;B</t>
  </si>
  <si>
    <t>EPILEPSY &amp; BEHAVIOR : E&amp;B</t>
  </si>
  <si>
    <t>Epilepsy Behav</t>
  </si>
  <si>
    <t>8703089</t>
  </si>
  <si>
    <t>Epilepsy research</t>
  </si>
  <si>
    <t>EPILEPSY RESEARCH</t>
  </si>
  <si>
    <t>Epilepsy Res</t>
  </si>
  <si>
    <t>Absorbed: Journal of epilepsy. 1999-</t>
  </si>
  <si>
    <t>Elsevier Science Publishers</t>
  </si>
  <si>
    <t>15 no. a year, 1999-</t>
  </si>
  <si>
    <t>100891853</t>
  </si>
  <si>
    <t>Epileptic disorders : international epilepsy journal with videotape</t>
  </si>
  <si>
    <t>EPILEPTIC DISORDERS : INTERNATIONAL EPILEPSY JOURNAL WITH VIDEOTAPE</t>
  </si>
  <si>
    <t>Epileptic Disord</t>
  </si>
  <si>
    <t>0173320</t>
  </si>
  <si>
    <t>Equine veterinary journal</t>
  </si>
  <si>
    <t>EQUINE VETERINARY JOURNAL</t>
  </si>
  <si>
    <t>Equine Vet J</t>
  </si>
  <si>
    <t>20423306</t>
  </si>
  <si>
    <t>04251644</t>
  </si>
  <si>
    <t>8 issues per year, 2009-</t>
  </si>
  <si>
    <t>9614088</t>
  </si>
  <si>
    <t>Equine veterinary journal. Supplement</t>
  </si>
  <si>
    <t>EQUINE VETERINARY JOURNAL. SUPPLEMENT</t>
  </si>
  <si>
    <t>Equine Vet J Suppl</t>
  </si>
  <si>
    <t>0373220</t>
  </si>
  <si>
    <t>Ergonomics</t>
  </si>
  <si>
    <t>ERGONOMICS</t>
  </si>
  <si>
    <t>13665847</t>
  </si>
  <si>
    <t>00140139</t>
  </si>
  <si>
    <t>Twelve no. a year, 2007-</t>
  </si>
  <si>
    <t>101312605</t>
  </si>
  <si>
    <t>Ernst Schering Foundation symposium proceedings</t>
  </si>
  <si>
    <t>ERNST SCHERING FOUNDATION SYMPOSIUM PROCEEDINGS</t>
  </si>
  <si>
    <t>Ernst Schering Found Symp Proc</t>
  </si>
  <si>
    <t>Continues: Ernst Schering Research Foundation workshop.</t>
  </si>
  <si>
    <t>18608140</t>
  </si>
  <si>
    <t>18669425</t>
  </si>
  <si>
    <t>09476075</t>
  </si>
  <si>
    <t>0043306</t>
  </si>
  <si>
    <t>Essays in biochemistry</t>
  </si>
  <si>
    <t>ESSAYS IN BIOCHEMISTRY</t>
  </si>
  <si>
    <t>Essays Biochem</t>
  </si>
  <si>
    <t>17441358</t>
  </si>
  <si>
    <t>00711365</t>
  </si>
  <si>
    <t>Portland Press on behalf of the Biochemical Society</t>
  </si>
  <si>
    <t>9616904</t>
  </si>
  <si>
    <t>Essential psychopharmacology</t>
  </si>
  <si>
    <t>ESSENTIAL PSYCHOPHARMACOLOGY</t>
  </si>
  <si>
    <t>Essent Psychopharmacol</t>
  </si>
  <si>
    <t>Continues: Directions in psychopharmacology.</t>
  </si>
  <si>
    <t>1087495X</t>
  </si>
  <si>
    <t>Hatherleigh Co.</t>
  </si>
  <si>
    <t>Bimonthly, &lt;2005-&gt;</t>
  </si>
  <si>
    <t>101224773</t>
  </si>
  <si>
    <t>Ethiopian journal of health sciences</t>
  </si>
  <si>
    <t>ETHIOPIAN JOURNAL OF HEALTH SCIENCES</t>
  </si>
  <si>
    <t>Ethiop J Health Sci</t>
  </si>
  <si>
    <t>Continues: Bulletin of Jimma Institute of Health Sciences.</t>
  </si>
  <si>
    <t>10291857</t>
  </si>
  <si>
    <t>Research and Publications Office of Jimma University</t>
  </si>
  <si>
    <t>Ethiopia</t>
  </si>
  <si>
    <t>0373223</t>
  </si>
  <si>
    <t>Ethiopian medical journal</t>
  </si>
  <si>
    <t>ETHIOPIAN MEDICAL JOURNAL</t>
  </si>
  <si>
    <t>Ethiop Med J</t>
  </si>
  <si>
    <t>00141755</t>
  </si>
  <si>
    <t>Ethiopian Medical Association</t>
  </si>
  <si>
    <t>9109034</t>
  </si>
  <si>
    <t>Ethnicity &amp; disease</t>
  </si>
  <si>
    <t>ETHNICITY &amp; DISEASE</t>
  </si>
  <si>
    <t>Ethn Dis</t>
  </si>
  <si>
    <t>International Society on Hypertension in Blacks]</t>
  </si>
  <si>
    <t>Public Health#Social Sciences</t>
  </si>
  <si>
    <t>9608374</t>
  </si>
  <si>
    <t>Ethnicity &amp; health</t>
  </si>
  <si>
    <t>ETHNICITY &amp; HEALTH</t>
  </si>
  <si>
    <t>Ethn Health</t>
  </si>
  <si>
    <t>14653419</t>
  </si>
  <si>
    <t>13557858</t>
  </si>
  <si>
    <t>101130731</t>
  </si>
  <si>
    <t>Eukaryotic cell</t>
  </si>
  <si>
    <t>EUKARYOTIC CELL</t>
  </si>
  <si>
    <t>Eukaryot Cell</t>
  </si>
  <si>
    <t>15359786</t>
  </si>
  <si>
    <t>15359778</t>
  </si>
  <si>
    <t>100887452</t>
  </si>
  <si>
    <t>Euro surveillance : bulletin Européen sur les maladies transmissibles = European communicable disease bulletin</t>
  </si>
  <si>
    <t>EURO SURVEILLANCE : BULLETIN EUROPEEN SUR LES MALADIES TRANSMISSIBLES = EUROPEAN COMMUNICABLE DISEASE BULLETIN</t>
  </si>
  <si>
    <t>Euro Surveill</t>
  </si>
  <si>
    <t>Quarterly, 2004-</t>
  </si>
  <si>
    <t>101251040</t>
  </si>
  <si>
    <t>EuroIntervention : journal of EuroPCR in collaboration with the Working Group on Interventional Cardiology of the European Society of Cardiology</t>
  </si>
  <si>
    <t>EUROINTERVENTION : JOURNAL OF EUROPCR IN COLLABORATION WITH THE WORKING GROUP ON INTERVENTIONAL CARDIOLOGY OF THE EUROPEAN SOCIETY OF CARDIOLOGY</t>
  </si>
  <si>
    <t>Société Europa édition</t>
  </si>
  <si>
    <t>100883649</t>
  </si>
  <si>
    <t>Europace : European pacing, arrhythmias, and cardiac electrophysiology : journal of the working groups on cardiac pacing, arrhythmias, and cardiac cellular electrophysiology of the European Society of Cardiology</t>
  </si>
  <si>
    <t>EUROPACE : EUROPEAN PACING, ARRHYTHMIAS, AND CARDIAC ELECTROPHYSIOLOGY : JOURNAL OF THE WORKING GROUPS ON CARDIAC PACING, ARRHYTHMIAS, AND CARDIAC CELLULAR ELECTROPHYSIOLOGY OF THE EUROPEAN SOCIETY OF CARDIOLOGY</t>
  </si>
  <si>
    <t>Monthly, 2006-</t>
  </si>
  <si>
    <t>9502920</t>
  </si>
  <si>
    <t>European addiction research</t>
  </si>
  <si>
    <t>EUROPEAN ADDICTION RESEARCH</t>
  </si>
  <si>
    <t>Eur Addict Res</t>
  </si>
  <si>
    <t>101466614</t>
  </si>
  <si>
    <t>European annals of allergy and clinical immunology</t>
  </si>
  <si>
    <t>EUROPEAN ANNALS OF ALLERGY AND CLINICAL IMMUNOLOGY</t>
  </si>
  <si>
    <t>Eur Ann Allergy Clin Immunol</t>
  </si>
  <si>
    <t>Continues: Allergie et immunologie.</t>
  </si>
  <si>
    <t>101531465</t>
  </si>
  <si>
    <t>European annals of otorhinolaryngology, head and neck diseases</t>
  </si>
  <si>
    <t>EUROPEAN ANNALS OF OTORHINOLARYNGOLOGY, HEAD AND NECK DISEASES</t>
  </si>
  <si>
    <t>Eur Ann Otorhinolaryngol Head Neck Dis</t>
  </si>
  <si>
    <t>Merger of: Oto-rhino-laryngologie française with: Annales d'ORL et de pathologie cervico-faciale to create: Annales françaises d'oto-rhino-laryngologie et de pathologie cervico-faciale published in French in print and online. Also published online and print in French with title: Annales franc̦aises d'oto-rhino-laryngologie et de pathologie cervico-faciale.</t>
  </si>
  <si>
    <t>Six issues yearly</t>
  </si>
  <si>
    <t>9002937</t>
  </si>
  <si>
    <t>European archives of oto-rhino-laryngology : official journal of the European Federation of Oto-Rhino-Laryngological Societies (EUFOS) : affiliated with the German Society for Oto-Rhino-Laryngology - Head and Neck Surgery</t>
  </si>
  <si>
    <t>EUROPEAN ARCHIVES OF OTO-RHINO-LARYNGOLOGY : OFFICIAL JOURNAL OF THE EUROPEAN FEDERATION OF OTO-RHINO-LARYNGOLOGICAL SOCIETIES (EUFOS) : AFFILIATED WITH THE GERMAN SOCIETY FOR OTO-RHINO-LARYNGOLOGY - HEAD AND NECK SURGERY</t>
  </si>
  <si>
    <t>Eur Arch Otorhinolaryngol</t>
  </si>
  <si>
    <t>Continues: Archives of oto-rhino-laryngology.</t>
  </si>
  <si>
    <t>101277157</t>
  </si>
  <si>
    <t>European archives of paediatric dentistry : official journal of the European Academy of Paediatric Dentistry</t>
  </si>
  <si>
    <t>EUROPEAN ARCHIVES OF PAEDIATRIC DENTISTRY : OFFICIAL JOURNAL OF THE EUROPEAN ACADEMY OF PAEDIATRIC DENTISTRY</t>
  </si>
  <si>
    <t>Eur Arch Paediatr Dent</t>
  </si>
  <si>
    <t>Separated from: European journal of paediatric dentistry.</t>
  </si>
  <si>
    <t>18186300</t>
  </si>
  <si>
    <t>European Academy of Paediatric Dentistry</t>
  </si>
  <si>
    <t>Dentistry#Pediatrics</t>
  </si>
  <si>
    <t>9103030</t>
  </si>
  <si>
    <t>European archives of psychiatry and clinical neuroscience</t>
  </si>
  <si>
    <t>EUROPEAN ARCHIVES OF PSYCHIATRY AND CLINICAL NEUROSCIENCE</t>
  </si>
  <si>
    <t>Eur Arch Psychiatry Clin Neurosci</t>
  </si>
  <si>
    <t>Continues: European archives of psychiatry and neurological sciences.</t>
  </si>
  <si>
    <t>8409413</t>
  </si>
  <si>
    <t>European biophysics journal : EBJ</t>
  </si>
  <si>
    <t>EUROPEAN BIOPHYSICS JOURNAL : EBJ</t>
  </si>
  <si>
    <t>Eur Biophys J</t>
  </si>
  <si>
    <t>Continues: Biophysics of structure and mechanism.</t>
  </si>
  <si>
    <t>14321017</t>
  </si>
  <si>
    <t>Springer Verlag and the European Biophysical Societies Association</t>
  </si>
  <si>
    <t>100973416</t>
  </si>
  <si>
    <t>European cells &amp; materials</t>
  </si>
  <si>
    <t>EUROPEAN CELLS &amp; MATERIALS</t>
  </si>
  <si>
    <t>Eur Cell Mater</t>
  </si>
  <si>
    <t>9212296</t>
  </si>
  <si>
    <t>European child &amp; adolescent psychiatry</t>
  </si>
  <si>
    <t>EUROPEAN CHILD &amp; ADOLESCENT PSYCHIATRY</t>
  </si>
  <si>
    <t>Eur Child Adolesc Psychiatry</t>
  </si>
  <si>
    <t>9100879</t>
  </si>
  <si>
    <t>European cytokine network</t>
  </si>
  <si>
    <t>EUROPEAN CYTOKINE NETWORK</t>
  </si>
  <si>
    <t>Eur Cytokine Netw</t>
  </si>
  <si>
    <t>19524005</t>
  </si>
  <si>
    <t>John Libbey Eurotext Ltd.</t>
  </si>
  <si>
    <t>9436977</t>
  </si>
  <si>
    <t>European eating disorders review : the journal of the Eating Disorders Association</t>
  </si>
  <si>
    <t>EUROPEAN EATING DISORDERS REVIEW : THE JOURNAL OF THE EATING DISORDERS ASSOCIATION</t>
  </si>
  <si>
    <t>Eur Eat Disord Rev</t>
  </si>
  <si>
    <t>Continues: Eating disorders review (Chichester, England).</t>
  </si>
  <si>
    <t>8006263</t>
  </si>
  <si>
    <t>European heart journal</t>
  </si>
  <si>
    <t>EUROPEAN HEART JOURNAL</t>
  </si>
  <si>
    <t>Eur Heart J</t>
  </si>
  <si>
    <t>Semimonthly, &lt;2004-&gt;</t>
  </si>
  <si>
    <t>101573788</t>
  </si>
  <si>
    <t>European heart journal cardiovascular Imaging</t>
  </si>
  <si>
    <t>EUROPEAN HEART JOURNAL CARDIOVASCULAR IMAGING</t>
  </si>
  <si>
    <t>Eur Heart J Cardiovasc Imaging</t>
  </si>
  <si>
    <t>Continues: European journal of echocardiography.</t>
  </si>
  <si>
    <t>20472412</t>
  </si>
  <si>
    <t>101591369</t>
  </si>
  <si>
    <t>European heart journal. Acute cardiovascular care</t>
  </si>
  <si>
    <t>EUROPEAN HEART JOURNAL. ACUTE CARDIOVASCULAR CARE</t>
  </si>
  <si>
    <t>Eur Heart J Acute Cardiovasc Care</t>
  </si>
  <si>
    <t>8411711</t>
  </si>
  <si>
    <t>European journal of anaesthesiology</t>
  </si>
  <si>
    <t>EUROPEAN JOURNAL OF ANAESTHESIOLOGY</t>
  </si>
  <si>
    <t>Eur J Anaesthesiol</t>
  </si>
  <si>
    <t>Lippincott Williams &amp; Wilkins, 2009-</t>
  </si>
  <si>
    <t>Twelve no. a year, 1999-</t>
  </si>
  <si>
    <t>8804068</t>
  </si>
  <si>
    <t>European journal of anaesthesiology. Supplement</t>
  </si>
  <si>
    <t>EUROPEAN JOURNAL OF ANAESTHESIOLOGY. SUPPLEMENT</t>
  </si>
  <si>
    <t>Eur J Anaesthesiol Suppl</t>
  </si>
  <si>
    <t>100954790</t>
  </si>
  <si>
    <t>European journal of applied physiology</t>
  </si>
  <si>
    <t>EUROPEAN JOURNAL OF APPLIED PHYSIOLOGY</t>
  </si>
  <si>
    <t>Eur J Appl Physiol</t>
  </si>
  <si>
    <t>Continues: European journal of applied physiology and occupational physiology.</t>
  </si>
  <si>
    <t>14396327</t>
  </si>
  <si>
    <t>14396319</t>
  </si>
  <si>
    <t>Eighteen no. a year, &lt;2003-&gt;</t>
  </si>
  <si>
    <t>9005373</t>
  </si>
  <si>
    <t>European journal of cancer (Oxford, England : 1990)</t>
  </si>
  <si>
    <t>EUROPEAN JOURNAL OF CANCER (OXFORD, ENGLAND : 1990)</t>
  </si>
  <si>
    <t>Eur J Cancer</t>
  </si>
  <si>
    <t>Continues: European journal of cancer &amp; clinical oncology. Continued in part by: European journal of cancer. Part B, Oral oncology.</t>
  </si>
  <si>
    <t>Eighteen no. a year, 2000-</t>
  </si>
  <si>
    <t>9301979</t>
  </si>
  <si>
    <t>European journal of cancer care</t>
  </si>
  <si>
    <t>EUROPEAN JOURNAL OF CANCER CARE</t>
  </si>
  <si>
    <t>Eur J Cancer Care (Engl)</t>
  </si>
  <si>
    <t>13652354</t>
  </si>
  <si>
    <t>09615423</t>
  </si>
  <si>
    <t>Five no. a year, 2004-</t>
  </si>
  <si>
    <t>9300837</t>
  </si>
  <si>
    <t>European journal of cancer prevention : the official journal of the European Cancer Prevention Organisation (ECP)</t>
  </si>
  <si>
    <t>EUROPEAN JOURNAL OF CANCER PREVENTION : THE OFFICIAL JOURNAL OF THE EUROPEAN CANCER PREVENTION ORGANISATION (ECP)</t>
  </si>
  <si>
    <t>Eur J Cancer Prev</t>
  </si>
  <si>
    <t>Neoplasms#Public Health</t>
  </si>
  <si>
    <t>8804069</t>
  </si>
  <si>
    <t>European journal of cardio-thoracic surgery : official journal of the European Association for Cardio-thoracic Surgery</t>
  </si>
  <si>
    <t>EUROPEAN JOURNAL OF CARDIO-THORACIC SURGERY : OFFICIAL JOURNAL OF THE EUROPEAN ASSOCIATION FOR CARDIO-THORACIC SURGERY</t>
  </si>
  <si>
    <t>Eur J Cardiothorac Surg</t>
  </si>
  <si>
    <t>Cardiology#General Surgery#Pulmonary Medicine</t>
  </si>
  <si>
    <t>101128793</t>
  </si>
  <si>
    <t>European journal of cardiovascular nursing : journal of the Working Group on Cardiovascular Nursing of the European Society of Cardiology</t>
  </si>
  <si>
    <t>EUROPEAN JOURNAL OF CARDIOVASCULAR NURSING : JOURNAL OF THE WORKING GROUP ON CARDIOVASCULAR NURSING OF THE EUROPEAN SOCIETY OF CARDIOLOGY</t>
  </si>
  <si>
    <t>Eur J Cardiovasc Nurs</t>
  </si>
  <si>
    <t>Cardiology#Nursing#Vascular Diseases</t>
  </si>
  <si>
    <t>7906240</t>
  </si>
  <si>
    <t>European journal of cell biology</t>
  </si>
  <si>
    <t>EUROPEAN JOURNAL OF CELL BIOLOGY</t>
  </si>
  <si>
    <t>Eur J Cell Biol</t>
  </si>
  <si>
    <t>Continues Cytobiologie.</t>
  </si>
  <si>
    <t>8303754</t>
  </si>
  <si>
    <t>European journal of cell biology. Supplement</t>
  </si>
  <si>
    <t>EUROPEAN JOURNAL OF CELL BIOLOGY. SUPPLEMENT</t>
  </si>
  <si>
    <t>Eur J Cell Biol Suppl</t>
  </si>
  <si>
    <t>07245130</t>
  </si>
  <si>
    <t>Wissenschaftliche Verlagsgesellschaft</t>
  </si>
  <si>
    <t>0245331</t>
  </si>
  <si>
    <t>European journal of clinical investigation</t>
  </si>
  <si>
    <t>EUROPEAN JOURNAL OF CLINICAL INVESTIGATION</t>
  </si>
  <si>
    <t>Eur J Clin Invest</t>
  </si>
  <si>
    <t>Supersedes Archiv für klinische Medizin.</t>
  </si>
  <si>
    <t>8804297</t>
  </si>
  <si>
    <t>European journal of clinical microbiology &amp; infectious diseases : official publication of the European Society of Clinical Microbiology</t>
  </si>
  <si>
    <t>EUROPEAN JOURNAL OF CLINICAL MICROBIOLOGY &amp; INFECTIOUS DISEASES : OFFICIAL PUBLICATION OF THE EUROPEAN SOCIETY OF CLINICAL MICROBIOLOGY</t>
  </si>
  <si>
    <t>Eur J Clin Microbiol Infect Dis</t>
  </si>
  <si>
    <t>Continues: European journal of clinical microbiology.</t>
  </si>
  <si>
    <t>8804070</t>
  </si>
  <si>
    <t>European journal of clinical nutrition</t>
  </si>
  <si>
    <t>EUROPEAN JOURNAL OF CLINICAL NUTRITION</t>
  </si>
  <si>
    <t>Eur J Clin Nutr</t>
  </si>
  <si>
    <t>Formed by the union of: Human nutrition. Clinical nutrition, and: Human nutrition. Applied nutrition.</t>
  </si>
  <si>
    <t>1256165</t>
  </si>
  <si>
    <t>European journal of clinical pharmacology</t>
  </si>
  <si>
    <t>EUROPEAN JOURNAL OF CLINICAL PHARMACOLOGY</t>
  </si>
  <si>
    <t>Eur J Clin Pharmacol</t>
  </si>
  <si>
    <t>Continues Pharmacologia clinica.</t>
  </si>
  <si>
    <t>9712127</t>
  </si>
  <si>
    <t>The European journal of contraception &amp; reproductive health care : the official journal of the European Society of Contraception</t>
  </si>
  <si>
    <t>EUROPEAN JOURNAL OF CONTRACEPTION &amp; REPRODUCTIVE HEALTH CARE : THE OFFICIAL JOURNAL OF THE EUROPEAN SOCIETY OF CONTRACEPTION</t>
  </si>
  <si>
    <t>Eur J Contracept Reprod Health Care</t>
  </si>
  <si>
    <t>Family Planning Services#Reproductive Medicine</t>
  </si>
  <si>
    <t>9712132</t>
  </si>
  <si>
    <t>European journal of dental education : official journal of the Association for Dental Education in Europe</t>
  </si>
  <si>
    <t>EUROPEAN JOURNAL OF DENTAL EDUCATION : OFFICIAL JOURNAL OF THE ASSOCIATION FOR DENTAL EDUCATION IN EUROPE</t>
  </si>
  <si>
    <t>Eur J Dent Educ</t>
  </si>
  <si>
    <t>16000579</t>
  </si>
  <si>
    <t>13965883</t>
  </si>
  <si>
    <t>9206420</t>
  </si>
  <si>
    <t>European journal of dermatology : EJD</t>
  </si>
  <si>
    <t>EUROPEAN JOURNAL OF DERMATOLOGY : EJD</t>
  </si>
  <si>
    <t>Eur J Dermatol</t>
  </si>
  <si>
    <t>7608491</t>
  </si>
  <si>
    <t>European journal of drug metabolism and pharmacokinetics</t>
  </si>
  <si>
    <t>EUROPEAN JOURNAL OF DRUG METABOLISM AND PHARMACOKINETICS</t>
  </si>
  <si>
    <t>Eur J Drug Metab Pharmacokinet</t>
  </si>
  <si>
    <t>Springer France</t>
  </si>
  <si>
    <t>9442482</t>
  </si>
  <si>
    <t>European journal of emergency medicine : official journal of the European Society for Emergency Medicine</t>
  </si>
  <si>
    <t>EUROPEAN JOURNAL OF EMERGENCY MEDICINE : OFFICIAL JOURNAL OF THE EUROPEAN SOCIETY FOR EMERGENCY MEDICINE</t>
  </si>
  <si>
    <t>Eur J Emerg Med</t>
  </si>
  <si>
    <t>9423848</t>
  </si>
  <si>
    <t>European journal of endocrinology / European Federation of Endocrine Societies</t>
  </si>
  <si>
    <t>EUROPEAN JOURNAL OF ENDOCRINOLOGY / EUROPEAN FEDERATION OF ENDOCRINE SOCIETIES</t>
  </si>
  <si>
    <t>Eur J Endocrinol</t>
  </si>
  <si>
    <t>Continues: Acta endocrinologica.</t>
  </si>
  <si>
    <t>8508062</t>
  </si>
  <si>
    <t>European journal of epidemiology</t>
  </si>
  <si>
    <t>EUROPEAN JOURNAL OF EPIDEMIOLOGY</t>
  </si>
  <si>
    <t>Eur J Epidemiol</t>
  </si>
  <si>
    <t>101285292</t>
  </si>
  <si>
    <t>The European journal of esthetic dentistry : official journal of the European Academy of Esthetic Dentistry</t>
  </si>
  <si>
    <t>EUROPEAN JOURNAL OF ESTHETIC DENTISTRY : OFFICIAL JOURNAL OF THE EUROPEAN ACADEMY OF ESTHETIC DENTISTRY</t>
  </si>
  <si>
    <t>Eur J Esthet Dent</t>
  </si>
  <si>
    <t>Continued by: International journal of esthetic dentistry.</t>
  </si>
  <si>
    <t>18629369</t>
  </si>
  <si>
    <t>18620612</t>
  </si>
  <si>
    <t>9000874</t>
  </si>
  <si>
    <t>European journal of gastroenterology &amp; hepatology</t>
  </si>
  <si>
    <t>EUROPEAN JOURNAL OF GASTROENTEROLOGY &amp; HEPATOLOGY</t>
  </si>
  <si>
    <t>Eur J Gastroenterol Hepatol</t>
  </si>
  <si>
    <t>9513566</t>
  </si>
  <si>
    <t>The European journal of general practice</t>
  </si>
  <si>
    <t>EUROPEAN JOURNAL OF GENERAL PRACTICE</t>
  </si>
  <si>
    <t>Eur J Gen Pract</t>
  </si>
  <si>
    <t>8100357</t>
  </si>
  <si>
    <t>European journal of gynaecological oncology</t>
  </si>
  <si>
    <t>EUROPEAN JOURNAL OF GYNAECOLOGICAL ONCOLOGY</t>
  </si>
  <si>
    <t>Eur J Gynaecol Oncol</t>
  </si>
  <si>
    <t>S.O.G. Srl</t>
  </si>
  <si>
    <t>Gynecology#Neoplasms</t>
  </si>
  <si>
    <t>8703985</t>
  </si>
  <si>
    <t>European journal of haematology</t>
  </si>
  <si>
    <t>EUROPEAN JOURNAL OF HAEMATOLOGY</t>
  </si>
  <si>
    <t>Eur J Haematol</t>
  </si>
  <si>
    <t>8703474</t>
  </si>
  <si>
    <t>European journal of haematology. Supplementum</t>
  </si>
  <si>
    <t>EUROPEAN JOURNAL OF HAEMATOLOGY. SUPPLEMENTUM</t>
  </si>
  <si>
    <t>Eur J Haematol Suppl</t>
  </si>
  <si>
    <t>09024506</t>
  </si>
  <si>
    <t>101134867</t>
  </si>
  <si>
    <t>The European journal of health economics : HEPAC : health economics in prevention and care</t>
  </si>
  <si>
    <t>EUROPEAN JOURNAL OF HEALTH ECONOMICS : HEPAC : HEALTH ECONOMICS IN PREVENTION AND CARE</t>
  </si>
  <si>
    <t>Eur J Health Econ</t>
  </si>
  <si>
    <t>Continues: Health economics in prevention and care.</t>
  </si>
  <si>
    <t>9431861</t>
  </si>
  <si>
    <t>European journal of health law</t>
  </si>
  <si>
    <t>EUROPEAN JOURNAL OF HEALTH LAW</t>
  </si>
  <si>
    <t>Eur J Health Law</t>
  </si>
  <si>
    <t>09290273</t>
  </si>
  <si>
    <t>Martinus Nijhoff Pub.</t>
  </si>
  <si>
    <t>100887595</t>
  </si>
  <si>
    <t>European journal of heart failure</t>
  </si>
  <si>
    <t>EUROPEAN JOURNAL OF HEART FAILURE</t>
  </si>
  <si>
    <t>Eur J Heart Fail</t>
  </si>
  <si>
    <t>Monthly, 2007-</t>
  </si>
  <si>
    <t>9207930</t>
  </si>
  <si>
    <t>European journal of histochemistry : EJH</t>
  </si>
  <si>
    <t>EUROPEAN JOURNAL OF HISTOCHEMISTRY : EJH</t>
  </si>
  <si>
    <t>Eur J Histochem</t>
  </si>
  <si>
    <t>Continues: European journal of basic and applied histochemistry.</t>
  </si>
  <si>
    <t>20388306</t>
  </si>
  <si>
    <t>1121760X</t>
  </si>
  <si>
    <t>PagePress Publications</t>
  </si>
  <si>
    <t>9302235</t>
  </si>
  <si>
    <t>European journal of human genetics : EJHG</t>
  </si>
  <si>
    <t>EUROPEAN JOURNAL OF HUMAN GENETICS : EJHG</t>
  </si>
  <si>
    <t>Eur J Hum Genet</t>
  </si>
  <si>
    <t>12 no. a year, 2000-</t>
  </si>
  <si>
    <t>1273201</t>
  </si>
  <si>
    <t>European journal of immunology</t>
  </si>
  <si>
    <t>EUROPEAN JOURNAL OF IMMUNOLOGY</t>
  </si>
  <si>
    <t>Eur J Immunol</t>
  </si>
  <si>
    <t>9003220</t>
  </si>
  <si>
    <t>European journal of internal medicine</t>
  </si>
  <si>
    <t>EUROPEAN JOURNAL OF INTERNAL MEDICINE</t>
  </si>
  <si>
    <t>Eur J Intern Med</t>
  </si>
  <si>
    <t>101124748</t>
  </si>
  <si>
    <t>European journal of mass spectrometry (Chichester, England)</t>
  </si>
  <si>
    <t>EUROPEAN JOURNAL OF MASS SPECTROMETRY (CHICHESTER, ENGLAND)</t>
  </si>
  <si>
    <t>Eur J Mass Spectrom (Chichester, Eng)</t>
  </si>
  <si>
    <t>Continues: European mass spectrometry.</t>
  </si>
  <si>
    <t>17516838</t>
  </si>
  <si>
    <t>14690667</t>
  </si>
  <si>
    <t>IM Publications</t>
  </si>
  <si>
    <t>101247089</t>
  </si>
  <si>
    <t>European journal of medical genetics</t>
  </si>
  <si>
    <t>EUROPEAN JOURNAL OF MEDICAL GENETICS</t>
  </si>
  <si>
    <t>Eur J Med Genet</t>
  </si>
  <si>
    <t>Continues: Annales de génétique.</t>
  </si>
  <si>
    <t>9517857</t>
  </si>
  <si>
    <t>European journal of medical research</t>
  </si>
  <si>
    <t>EUROPEAN JOURNAL OF MEDICAL RESEARCH</t>
  </si>
  <si>
    <t>Eur J Med Res</t>
  </si>
  <si>
    <t>0420510</t>
  </si>
  <si>
    <t>European journal of medicinal chemistry</t>
  </si>
  <si>
    <t>EUROPEAN JOURNAL OF MEDICINAL CHEMISTRY</t>
  </si>
  <si>
    <t>Eur J Med Chem</t>
  </si>
  <si>
    <t>Continues Chimica therapeutica.</t>
  </si>
  <si>
    <t>9506311</t>
  </si>
  <si>
    <t>European journal of neurology : the official journal of the European Federation of Neurological Societies</t>
  </si>
  <si>
    <t>EUROPEAN JOURNAL OF NEUROLOGY : THE OFFICIAL JOURNAL OF THE EUROPEAN FEDERATION OF NEUROLOGICAL SOCIETIES</t>
  </si>
  <si>
    <t>Eur J Neurol</t>
  </si>
  <si>
    <t>8918110</t>
  </si>
  <si>
    <t>The European journal of neuroscience</t>
  </si>
  <si>
    <t>EUROPEAN JOURNAL OF NEUROSCIENCE</t>
  </si>
  <si>
    <t>Eur J Neurosci</t>
  </si>
  <si>
    <t>101140988</t>
  </si>
  <si>
    <t>European journal of nuclear medicine and molecular imaging</t>
  </si>
  <si>
    <t>EUROPEAN JOURNAL OF NUCLEAR MEDICINE AND MOLECULAR IMAGING</t>
  </si>
  <si>
    <t>Eur J Nucl Med Mol Imaging</t>
  </si>
  <si>
    <t>Continues: European journal of nuclear medicine.</t>
  </si>
  <si>
    <t>Springer-Verlag Berlin</t>
  </si>
  <si>
    <t>100888704</t>
  </si>
  <si>
    <t>European journal of nutrition</t>
  </si>
  <si>
    <t>EUROPEAN JOURNAL OF NUTRITION</t>
  </si>
  <si>
    <t>Eur J Nutr</t>
  </si>
  <si>
    <t>Continues: Zeitschrift für Ernährungswissenschaft.</t>
  </si>
  <si>
    <t>0375672</t>
  </si>
  <si>
    <t>European journal of obstetrics, gynecology, and reproductive biology</t>
  </si>
  <si>
    <t>EUROPEAN JOURNAL OF OBSTETRICS, GYNECOLOGY, AND REPRODUCTIVE BIOLOGY</t>
  </si>
  <si>
    <t>Eur J Obstet Gynecol Reprod Biol</t>
  </si>
  <si>
    <t>Continues European journal of obstetrics and gynecology.</t>
  </si>
  <si>
    <t>Gynecology#Obstetrics#Reproductive Medicine</t>
  </si>
  <si>
    <t>100885136</t>
  </si>
  <si>
    <t>European journal of oncology nursing : the official journal of European Oncology Nursing Society</t>
  </si>
  <si>
    <t>EUROPEAN JOURNAL OF ONCOLOGY NURSING : THE OFFICIAL JOURNAL OF EUROPEAN ONCOLOGY NURSING SOCIETY</t>
  </si>
  <si>
    <t>Eur J Oncol Nurs</t>
  </si>
  <si>
    <t>Continues: Journal of cancer nursing.</t>
  </si>
  <si>
    <t>15322122</t>
  </si>
  <si>
    <t>14623889</t>
  </si>
  <si>
    <t>Six issues a year, 2013-</t>
  </si>
  <si>
    <t>9110772</t>
  </si>
  <si>
    <t>European journal of ophthalmology</t>
  </si>
  <si>
    <t>EUROPEAN JOURNAL OF OPHTHALMOLOGY</t>
  </si>
  <si>
    <t>Eur J Ophthalmol</t>
  </si>
  <si>
    <t>17246016</t>
  </si>
  <si>
    <t>Wichtig Editore</t>
  </si>
  <si>
    <t>101473719</t>
  </si>
  <si>
    <t>European journal of oral implantology</t>
  </si>
  <si>
    <t>EUROPEAN JOURNAL OF ORAL IMPLANTOLOGY</t>
  </si>
  <si>
    <t>Eur J Oral Implantol</t>
  </si>
  <si>
    <t>17562414</t>
  </si>
  <si>
    <t>17562406</t>
  </si>
  <si>
    <t>Quintessence Pub.</t>
  </si>
  <si>
    <t>9504563</t>
  </si>
  <si>
    <t>European journal of oral sciences</t>
  </si>
  <si>
    <t>EUROPEAN JOURNAL OF ORAL SCIENCES</t>
  </si>
  <si>
    <t>Eur J Oral Sci</t>
  </si>
  <si>
    <t>Continues: Scandinavian journal of dental research.</t>
  </si>
  <si>
    <t>16000722</t>
  </si>
  <si>
    <t>09098836</t>
  </si>
  <si>
    <t>7909010</t>
  </si>
  <si>
    <t>European journal of orthodontics</t>
  </si>
  <si>
    <t>EUROPEAN JOURNAL OF ORTHODONTICS</t>
  </si>
  <si>
    <t>Eur J Orthod</t>
  </si>
  <si>
    <t>14602210</t>
  </si>
  <si>
    <t>01415387</t>
  </si>
  <si>
    <t>9518037</t>
  </si>
  <si>
    <t>European journal of orthopaedic surgery &amp; traumatology : orthopédie traumatologie</t>
  </si>
  <si>
    <t>EUROPEAN JOURNAL OF ORTHOPAEDIC SURGERY &amp; TRAUMATOLOGY : ORTHOPEDIE TRAUMATOLOGIE</t>
  </si>
  <si>
    <t>Eur J Orthop Surg Traumatol</t>
  </si>
  <si>
    <t>Continues: Orthopédie traumatologie.</t>
  </si>
  <si>
    <t>101121881</t>
  </si>
  <si>
    <t>European journal of paediatric dentistry : official journal of European Academy of Paediatric Dentistry</t>
  </si>
  <si>
    <t>EUROPEAN JOURNAL OF PAEDIATRIC DENTISTRY : OFFICIAL JOURNAL OF EUROPEAN ACADEMY OF PAEDIATRIC DENTISTRY</t>
  </si>
  <si>
    <t>Eur J Paediatr Dent</t>
  </si>
  <si>
    <t>Continues: Italian journal of paediatric dentistry. Continued in part by: European archives of paediatric dentistry.</t>
  </si>
  <si>
    <t>1591996X</t>
  </si>
  <si>
    <t>Ariesdue</t>
  </si>
  <si>
    <t>9715169</t>
  </si>
  <si>
    <t>European journal of paediatric neurology : EJPN : official journal of the European Paediatric Neurology Society</t>
  </si>
  <si>
    <t>EUROPEAN JOURNAL OF PAEDIATRIC NEUROLOGY : EJPN : OFFICIAL JOURNAL OF THE EUROPEAN PAEDIATRIC NEUROLOGY SOCIETY</t>
  </si>
  <si>
    <t>Eur J Paediatr Neurol</t>
  </si>
  <si>
    <t>9801774</t>
  </si>
  <si>
    <t>European journal of pain (London, England)</t>
  </si>
  <si>
    <t>EUROPEAN JOURNAL OF PAIN (LONDON, ENGLAND)</t>
  </si>
  <si>
    <t>Eur J Pain</t>
  </si>
  <si>
    <t>Ten no. per year</t>
  </si>
  <si>
    <t>9105263</t>
  </si>
  <si>
    <t>European journal of pediatric surgery : official journal of Austrian Association of Pediatric Surgery ... [et al] = Zeitschrift für Kinderchirurgie</t>
  </si>
  <si>
    <t>EUROPEAN JOURNAL OF PEDIATRIC SURGERY : OFFICIAL JOURNAL OF AUSTRIAN ASSOCIATION OF PEDIATRIC SURGERY ... [ET AL] = ZEITSCHRIFT FUR KINDERCHIRURGIE</t>
  </si>
  <si>
    <t>Eur J Pediatr Surg</t>
  </si>
  <si>
    <t>Formed by the union of: Zeitschrift für Kinderchirurgie, and: Chirurgie pédiatrique.</t>
  </si>
  <si>
    <t>7603873</t>
  </si>
  <si>
    <t>European journal of pediatrics</t>
  </si>
  <si>
    <t>EUROPEAN JOURNAL OF PEDIATRICS</t>
  </si>
  <si>
    <t>Eur J Pediatr</t>
  </si>
  <si>
    <t>Continues Zeitschrift für Kinderheilkunde. Absorbed Acta paediatrica Belgica, Feb. 1982.</t>
  </si>
  <si>
    <t>9317982</t>
  </si>
  <si>
    <t>European journal of pharmaceutical sciences : official journal of the European Federation for Pharmaceutical Sciences</t>
  </si>
  <si>
    <t>EUROPEAN JOURNAL OF PHARMACEUTICAL SCIENCES : OFFICIAL JOURNAL OF THE EUROPEAN FEDERATION FOR PHARMACEUTICAL SCIENCES</t>
  </si>
  <si>
    <t>Eur J Pharm Sci</t>
  </si>
  <si>
    <t>Absorbed: Acta pharmaceutica Fennica, and: Acta pharmaceutica Nordica.</t>
  </si>
  <si>
    <t>9109778</t>
  </si>
  <si>
    <t>European journal of pharmaceutics and biopharmaceutics : official journal of Arbeitsgemeinschaft für Pharmazeutische Verfahrenstechnik e.V</t>
  </si>
  <si>
    <t>EUROPEAN JOURNAL OF PHARMACEUTICS AND BIOPHARMACEUTICS : OFFICIAL JOURNAL OF ARBEITSGEMEINSCHAFT FUR PHARMAZEUTISCHE VERFAHRENSTECHNIK E.V</t>
  </si>
  <si>
    <t>Eur J Pharm Biopharm</t>
  </si>
  <si>
    <t>Continues: Acta pharmaceutica technologica.</t>
  </si>
  <si>
    <t>1254354</t>
  </si>
  <si>
    <t>European journal of pharmacology</t>
  </si>
  <si>
    <t>EUROPEAN JOURNAL OF PHARMACOLOGY</t>
  </si>
  <si>
    <t>Eur J Pharmacol</t>
  </si>
  <si>
    <t>Absorbed: Acta physiologica et pharmacologica Neerlandica. 1970 Continued in part by: Environmental toxicology and pharmacology.</t>
  </si>
  <si>
    <t>72 no. a year, &lt;2004-&gt;</t>
  </si>
  <si>
    <t>101465662</t>
  </si>
  <si>
    <t>European journal of physical and rehabilitation medicine</t>
  </si>
  <si>
    <t>EUROPEAN JOURNAL OF PHYSICAL AND REHABILITATION MEDICINE</t>
  </si>
  <si>
    <t>Eur J Phys Rehabil Med</t>
  </si>
  <si>
    <t>Continues: Europa medicophysica.</t>
  </si>
  <si>
    <t>19739095</t>
  </si>
  <si>
    <t>19739087</t>
  </si>
  <si>
    <t>101564430</t>
  </si>
  <si>
    <t>European journal of preventive cardiology</t>
  </si>
  <si>
    <t>EUROPEAN JOURNAL OF PREVENTIVE CARDIOLOGY</t>
  </si>
  <si>
    <t>Eur J Prev Cardiol</t>
  </si>
  <si>
    <t>Continues: European journal of cardiovascular prevention and rehabilitation.</t>
  </si>
  <si>
    <t>20474881</t>
  </si>
  <si>
    <t>9314899</t>
  </si>
  <si>
    <t>The European journal of prosthodontics and restorative dentistry</t>
  </si>
  <si>
    <t>EUROPEAN JOURNAL OF PROSTHODONTICS AND RESTORATIVE DENTISTRY</t>
  </si>
  <si>
    <t>Eur J Prosthodont Restor Dent</t>
  </si>
  <si>
    <t>Continues: Restorative dentistry.</t>
  </si>
  <si>
    <t>09657452</t>
  </si>
  <si>
    <t>Wolters Kluwer Health-Medknow</t>
  </si>
  <si>
    <t>8917383</t>
  </si>
  <si>
    <t>European journal of protistology</t>
  </si>
  <si>
    <t>EUROPEAN JOURNAL OF PROTISTOLOGY</t>
  </si>
  <si>
    <t>Eur J Protistol</t>
  </si>
  <si>
    <t>Continues: Protistologica.</t>
  </si>
  <si>
    <t>16180429</t>
  </si>
  <si>
    <t>09324739</t>
  </si>
  <si>
    <t>9204966</t>
  </si>
  <si>
    <t>European journal of public health</t>
  </si>
  <si>
    <t>EUROPEAN JOURNAL OF PUBLIC HEALTH</t>
  </si>
  <si>
    <t>Eur J Public Health</t>
  </si>
  <si>
    <t>1464360X</t>
  </si>
  <si>
    <t>11011262</t>
  </si>
  <si>
    <t>8106411</t>
  </si>
  <si>
    <t>European journal of radiology</t>
  </si>
  <si>
    <t>EUROPEAN JOURNAL OF RADIOLOGY</t>
  </si>
  <si>
    <t>Eur J Radiol</t>
  </si>
  <si>
    <t>Absorbed: Journal of medical imaging. 1990</t>
  </si>
  <si>
    <t>101146739</t>
  </si>
  <si>
    <t>European journal of sport science</t>
  </si>
  <si>
    <t>EUROPEAN JOURNAL OF SPORT SCIENCE</t>
  </si>
  <si>
    <t>Eur J Sport Sci</t>
  </si>
  <si>
    <t>15367290</t>
  </si>
  <si>
    <t>17461391</t>
  </si>
  <si>
    <t>Routledge/Taylor &amp; Francis</t>
  </si>
  <si>
    <t>8504356</t>
  </si>
  <si>
    <t>European journal of surgical oncology : the journal of the European Society of Surgical Oncology and the British Association of Surgical Oncology</t>
  </si>
  <si>
    <t>EUROPEAN JOURNAL OF SURGICAL ONCOLOGY : THE JOURNAL OF THE EUROPEAN SOCIETY OF SURGICAL ONCOLOGY AND THE BRITISH ASSOCIATION OF SURGICAL ONCOLOGY</t>
  </si>
  <si>
    <t>Eur J Surg Oncol</t>
  </si>
  <si>
    <t>Continues: Clinical oncology.</t>
  </si>
  <si>
    <t>9512728</t>
  </si>
  <si>
    <t>European journal of vascular and endovascular surgery : the official journal of the European Society for Vascular Surgery</t>
  </si>
  <si>
    <t>EUROPEAN JOURNAL OF VASCULAR AND ENDOVASCULAR SURGERY : THE OFFICIAL JOURNAL OF THE EUROPEAN SOCIETY FOR VASCULAR SURGERY</t>
  </si>
  <si>
    <t>Eur J Vasc Endovasc Surg</t>
  </si>
  <si>
    <t>Continues: European journal of vascular surgery.</t>
  </si>
  <si>
    <t>0150760</t>
  </si>
  <si>
    <t>European neurology</t>
  </si>
  <si>
    <t>EUROPEAN NEUROLOGY</t>
  </si>
  <si>
    <t>Eur Neurol</t>
  </si>
  <si>
    <t>Continues in part: Psychiatria et neurologia.</t>
  </si>
  <si>
    <t>9111390</t>
  </si>
  <si>
    <t>European neuropsychopharmacology : the journal of the European College of Neuropsychopharmacology</t>
  </si>
  <si>
    <t>EUROPEAN NEUROPSYCHOPHARMACOLOGY : THE JOURNAL OF THE EUROPEAN COLLEGE OF NEUROPSYCHOPHARMACOLOGY</t>
  </si>
  <si>
    <t>Eur Neuropsychopharmacol</t>
  </si>
  <si>
    <t>101126530</t>
  </si>
  <si>
    <t>The European physical journal. E, Soft matter</t>
  </si>
  <si>
    <t>EUROPEAN PHYSICAL JOURNAL. E, SOFT MATTER</t>
  </si>
  <si>
    <t>Eur Phys J E Soft Matter</t>
  </si>
  <si>
    <t>Formerly issued as the section: Soft condensed matter, in: European physical journal. B, Condensed matter physics.</t>
  </si>
  <si>
    <t>1292895X</t>
  </si>
  <si>
    <t>12928941</t>
  </si>
  <si>
    <t>9111820</t>
  </si>
  <si>
    <t>European psychiatry : the journal of the Association of European Psychiatrists</t>
  </si>
  <si>
    <t>EUROPEAN PSYCHIATRY : THE JOURNAL OF THE ASSOCIATION OF EUROPEAN PSYCHIATRISTS</t>
  </si>
  <si>
    <t>Eur Psychiatry</t>
  </si>
  <si>
    <t>Continues: Psychiatrie &amp; psychobiologie.</t>
  </si>
  <si>
    <t>Editions scientifiques Elsevier</t>
  </si>
  <si>
    <t>9114774</t>
  </si>
  <si>
    <t>European radiology</t>
  </si>
  <si>
    <t>EUROPEAN RADIOLOGY</t>
  </si>
  <si>
    <t>Eur Radiol</t>
  </si>
  <si>
    <t>Absorbed: Diagnostic &amp; interventional radiology.</t>
  </si>
  <si>
    <t>8803460</t>
  </si>
  <si>
    <t>The European respiratory journal</t>
  </si>
  <si>
    <t>EUROPEAN RESPIRATORY JOURNAL</t>
  </si>
  <si>
    <t>Eur Respir J</t>
  </si>
  <si>
    <t>Formed by the union of: Clinical respiratory physiology, and: European journal of respiratory diseases.</t>
  </si>
  <si>
    <t>9111391</t>
  </si>
  <si>
    <t>European respiratory review : an official journal of the European Respiratory Society</t>
  </si>
  <si>
    <t>EUROPEAN RESPIRATORY REVIEW : AN OFFICIAL JOURNAL OF THE EUROPEAN RESPIRATORY SOCIETY</t>
  </si>
  <si>
    <t>Eur Respir Rev</t>
  </si>
  <si>
    <t>9717360</t>
  </si>
  <si>
    <t>European review for medical and pharmacological sciences</t>
  </si>
  <si>
    <t>EUROPEAN REVIEW FOR MEDICAL AND PHARMACOLOGICAL SCIENCES</t>
  </si>
  <si>
    <t>Eur Rev Med Pharmacol Sci</t>
  </si>
  <si>
    <t>Continues: Rivista europea per le scienze mediche e farmacologiche.</t>
  </si>
  <si>
    <t>Verduci</t>
  </si>
  <si>
    <t>Biweekly, Oct. 2012-</t>
  </si>
  <si>
    <t>9301980</t>
  </si>
  <si>
    <t>European spine journal : official publication of the European Spine Society, the European Spinal Deformity Society, and the European Section of the Cervical Spine Research Society</t>
  </si>
  <si>
    <t>EUROPEAN SPINE JOURNAL : OFFICIAL PUBLICATION OF THE EUROPEAN SPINE SOCIETY, THE EUROPEAN SPINAL DEFORMITY SOCIETY, AND THE EUROPEAN SECTION OF THE CERVICAL SPINE RESEARCH SOCIETY</t>
  </si>
  <si>
    <t>Eur Spine J</t>
  </si>
  <si>
    <t>0174752</t>
  </si>
  <si>
    <t>European surgical research. Europäische chirurgische Forschung. Recherches chirurgicales européennes</t>
  </si>
  <si>
    <t>EUROPEAN SURGICAL RESEARCH. EUROPAISCHE CHIRURGISCHE FORSCHUNG. RECHERCHES CHIRURGICALES EUROPEENNES</t>
  </si>
  <si>
    <t>Eur Surg Res</t>
  </si>
  <si>
    <t>7512719</t>
  </si>
  <si>
    <t>European urology</t>
  </si>
  <si>
    <t>EUROPEAN UROLOGY</t>
  </si>
  <si>
    <t>Eur Urol</t>
  </si>
  <si>
    <t>Twelve no. a year, 1998-</t>
  </si>
  <si>
    <t>7805992</t>
  </si>
  <si>
    <t>Evaluation &amp; the health professions</t>
  </si>
  <si>
    <t>EVALUATION &amp; THE HEALTH PROFESSIONS</t>
  </si>
  <si>
    <t>Eval Health Prof</t>
  </si>
  <si>
    <t>15523918</t>
  </si>
  <si>
    <t>01632787</t>
  </si>
  <si>
    <t>7801727</t>
  </si>
  <si>
    <t>Evaluation and program planning</t>
  </si>
  <si>
    <t>EVALUATION AND PROGRAM PLANNING</t>
  </si>
  <si>
    <t>Eval Program Plann</t>
  </si>
  <si>
    <t>18737870</t>
  </si>
  <si>
    <t>01497189</t>
  </si>
  <si>
    <t>8004942</t>
  </si>
  <si>
    <t>Evaluation review</t>
  </si>
  <si>
    <t>EVALUATION REVIEW</t>
  </si>
  <si>
    <t>Eval Rev</t>
  </si>
  <si>
    <t>Continues: Evaluation quarterly.</t>
  </si>
  <si>
    <t>15523926</t>
  </si>
  <si>
    <t>0193841X</t>
  </si>
  <si>
    <t>101082681</t>
  </si>
  <si>
    <t>Evidence report/technology assessment</t>
  </si>
  <si>
    <t>EVIDENCE REPORT/TECHNOLOGY ASSESSMENT</t>
  </si>
  <si>
    <t>Evid Rep Technol Assess (Full Rep)</t>
  </si>
  <si>
    <t>15304396</t>
  </si>
  <si>
    <t>United States. Agency for Healthcare Research and Quality</t>
  </si>
  <si>
    <t>Health Services Research#Technology</t>
  </si>
  <si>
    <t>101296879</t>
  </si>
  <si>
    <t>Evidence-based child health : a Cochrane review journal</t>
  </si>
  <si>
    <t>EVIDENCE-BASED CHILD HEALTH : A COCHRANE REVIEW JOURNAL</t>
  </si>
  <si>
    <t>Evid Based Child Health</t>
  </si>
  <si>
    <t>100883603</t>
  </si>
  <si>
    <t>Evidence-based dentistry</t>
  </si>
  <si>
    <t>EVIDENCE-BASED DENTISTRY</t>
  </si>
  <si>
    <t>Evid Based Dent</t>
  </si>
  <si>
    <t>14765446</t>
  </si>
  <si>
    <t>14620049</t>
  </si>
  <si>
    <t>9608386</t>
  </si>
  <si>
    <t>Evidence-based medicine</t>
  </si>
  <si>
    <t>EVIDENCE-BASED MEDICINE</t>
  </si>
  <si>
    <t>Evid Based Med</t>
  </si>
  <si>
    <t>Beginning 2000, some articles and abstracts absorbed by: ACP journal club. Articles published in ACP journal club have different v. numbering and may have different titles from what is published online.</t>
  </si>
  <si>
    <t>100883413</t>
  </si>
  <si>
    <t>Evidence-based mental health</t>
  </si>
  <si>
    <t>EVIDENCE-BASED MENTAL HEALTH</t>
  </si>
  <si>
    <t>Evid Based Ment Health</t>
  </si>
  <si>
    <t>1468960X</t>
  </si>
  <si>
    <t>13620347</t>
  </si>
  <si>
    <t>9815947</t>
  </si>
  <si>
    <t>Evidence-based nursing</t>
  </si>
  <si>
    <t>EVIDENCE-BASED NURSING</t>
  </si>
  <si>
    <t>Evid Based Nurs</t>
  </si>
  <si>
    <t>14689618</t>
  </si>
  <si>
    <t>13676539</t>
  </si>
  <si>
    <t>RCN Pub. Co.</t>
  </si>
  <si>
    <t>Health Services Research#Nursing</t>
  </si>
  <si>
    <t>100883432</t>
  </si>
  <si>
    <t>Evolution &amp; development</t>
  </si>
  <si>
    <t>EVOLUTION &amp; DEVELOPMENT</t>
  </si>
  <si>
    <t>Evol Dev</t>
  </si>
  <si>
    <t>1525142X</t>
  </si>
  <si>
    <t>1520541X</t>
  </si>
  <si>
    <t>Biology#Zoology</t>
  </si>
  <si>
    <t>0373224</t>
  </si>
  <si>
    <t>Evolution; international journal of organic evolution</t>
  </si>
  <si>
    <t>EVOLUTION; INTERNATIONAL JOURNAL OF ORGANIC EVOLUTION</t>
  </si>
  <si>
    <t>Evolution</t>
  </si>
  <si>
    <t>15585646</t>
  </si>
  <si>
    <t>00143820</t>
  </si>
  <si>
    <t>9306331</t>
  </si>
  <si>
    <t>Evolutionary anthropology</t>
  </si>
  <si>
    <t>EVOLUTIONARY ANTHROPOLOGY</t>
  </si>
  <si>
    <t>Evol Anthropol</t>
  </si>
  <si>
    <t>15206505</t>
  </si>
  <si>
    <t>10601538</t>
  </si>
  <si>
    <t>9513581</t>
  </si>
  <si>
    <t>Evolutionary computation</t>
  </si>
  <si>
    <t>EVOLUTIONARY COMPUTATION</t>
  </si>
  <si>
    <t>Evol Comput</t>
  </si>
  <si>
    <t>15309304</t>
  </si>
  <si>
    <t>10636560</t>
  </si>
  <si>
    <t>101219668</t>
  </si>
  <si>
    <t>Evolutionary psychology : an international journal of evolutionary approaches to psychology and behavior</t>
  </si>
  <si>
    <t>EVOLUTIONARY PSYCHOLOGY : AN INTERNATIONAL JOURNAL OF EVOLUTIONARY APPROACHES TO PSYCHOLOGY AND BEHAVIOR</t>
  </si>
  <si>
    <t>Evol Psychol</t>
  </si>
  <si>
    <t>14747049</t>
  </si>
  <si>
    <t>Human Nature Review</t>
  </si>
  <si>
    <t>Behavioral Sciences#Biology#Psychology</t>
  </si>
  <si>
    <t>0375434</t>
  </si>
  <si>
    <t>Exercise and sport sciences reviews</t>
  </si>
  <si>
    <t>EXERCISE AND SPORT SCIENCES REVIEWS</t>
  </si>
  <si>
    <t>Exerc Sport Sci Rev</t>
  </si>
  <si>
    <t>15383008</t>
  </si>
  <si>
    <t>00916331</t>
  </si>
  <si>
    <t>9505535</t>
  </si>
  <si>
    <t>Exercise immunology review</t>
  </si>
  <si>
    <t>EXERCISE IMMUNOLOGY REVIEW</t>
  </si>
  <si>
    <t>Exerc Immunol Rev</t>
  </si>
  <si>
    <t>WWF Verlag</t>
  </si>
  <si>
    <t>8507436</t>
  </si>
  <si>
    <t>Experimental &amp; applied acarology</t>
  </si>
  <si>
    <t>EXPERIMENTAL &amp; APPLIED ACAROLOGY</t>
  </si>
  <si>
    <t>Exp Appl Acarol</t>
  </si>
  <si>
    <t>15729702</t>
  </si>
  <si>
    <t>01688162</t>
  </si>
  <si>
    <t>Parasitology#Zoology</t>
  </si>
  <si>
    <t>9607880</t>
  </si>
  <si>
    <t>Experimental &amp; molecular medicine</t>
  </si>
  <si>
    <t>EXPERIMENTAL &amp; MOLECULAR MEDICINE</t>
  </si>
  <si>
    <t>Exp Mol Med</t>
  </si>
  <si>
    <t>Continues: Korean journal of biochemistry.</t>
  </si>
  <si>
    <t>7603335</t>
  </si>
  <si>
    <t>Experimental aging research</t>
  </si>
  <si>
    <t>EXPERIMENTAL AGING RESEARCH</t>
  </si>
  <si>
    <t>Exp Aging Res</t>
  </si>
  <si>
    <t>10964657</t>
  </si>
  <si>
    <t>0361073X</t>
  </si>
  <si>
    <t>Five no. a year, 2010/2011-</t>
  </si>
  <si>
    <t>9505926</t>
  </si>
  <si>
    <t>Experimental and clinical endocrinology &amp; diabetes : official journal, German Society of Endocrinology [and] German Diabetes Association</t>
  </si>
  <si>
    <t>EXPERIMENTAL AND CLINICAL ENDOCRINOLOGY &amp; DIABETES : OFFICIAL JOURNAL, GERMAN SOCIETY OF ENDOCRINOLOGY [AND] GERMAN DIABETES ASSOCIATION</t>
  </si>
  <si>
    <t>Exp Clin Endocrinol Diabetes</t>
  </si>
  <si>
    <t>Continues: Experimental and clinical endocrinology.</t>
  </si>
  <si>
    <t>J.A. Barth</t>
  </si>
  <si>
    <t>9419066</t>
  </si>
  <si>
    <t>Experimental and clinical psychopharmacology</t>
  </si>
  <si>
    <t>EXPERIMENTAL AND CLINICAL PSYCHOPHARMACOLOGY</t>
  </si>
  <si>
    <t>Exp Clin Psychopharmacol</t>
  </si>
  <si>
    <t>Bimonthly, 2007-</t>
  </si>
  <si>
    <t>101207333</t>
  </si>
  <si>
    <t>Experimental and clinical transplantation : official journal of the Middle East Society for Organ Transplantation</t>
  </si>
  <si>
    <t>EXPERIMENTAL AND CLINICAL TRANSPLANTATION : OFFICIAL JOURNAL OF THE MIDDLE EAST SOCIETY FOR ORGAN TRANSPLANTATION</t>
  </si>
  <si>
    <t>Exp Clin Transplant</t>
  </si>
  <si>
    <t>21468427</t>
  </si>
  <si>
    <t>Bas̜kent University</t>
  </si>
  <si>
    <t>0370711</t>
  </si>
  <si>
    <t>Experimental and molecular pathology</t>
  </si>
  <si>
    <t>EXPERIMENTAL AND MOLECULAR PATHOLOGY</t>
  </si>
  <si>
    <t>Exp Mol Pathol</t>
  </si>
  <si>
    <t>9208920</t>
  </si>
  <si>
    <t>Experimental and toxicologic pathology : official journal of the Gesellschaft für Toxikologische Pathologie</t>
  </si>
  <si>
    <t>EXPERIMENTAL AND TOXICOLOGIC PATHOLOGY : OFFICIAL JOURNAL OF THE GESELLSCHAFT FUR TOXIKOLOGISCHE PATHOLOGIE</t>
  </si>
  <si>
    <t>Exp Toxicol Pathol</t>
  </si>
  <si>
    <t>Continues: Experimental pathology.</t>
  </si>
  <si>
    <t>Urban und Fischer</t>
  </si>
  <si>
    <t>Pathology#Toxicology</t>
  </si>
  <si>
    <t>9604830</t>
  </si>
  <si>
    <t>Experimental animals / Japanese Association for Laboratory Animal Science</t>
  </si>
  <si>
    <t>EXPERIMENTAL ANIMALS / JAPANESE ASSOCIATION FOR LABORATORY ANIMAL SCIENCE</t>
  </si>
  <si>
    <t>Exp Anim</t>
  </si>
  <si>
    <t>Continues: Jikken dōbutsu.</t>
  </si>
  <si>
    <t>18817122</t>
  </si>
  <si>
    <t>Japanese Association for Laboratory Animal Science</t>
  </si>
  <si>
    <t>Quarterly, with annual supplement, 2001-</t>
  </si>
  <si>
    <t>100973463</t>
  </si>
  <si>
    <t>Experimental biology and medicine (Maywood, N.J.)</t>
  </si>
  <si>
    <t>EXPERIMENTAL BIOLOGY AND MEDICINE (MAYWOOD, N.J.)</t>
  </si>
  <si>
    <t>Exp Biol Med (Maywood)</t>
  </si>
  <si>
    <t>Continues: Proceedings of the Society for Experimental Biology and Medicine. Society for Experimental Biology and Medicine (New York, N.Y.).</t>
  </si>
  <si>
    <t>Biology#Medicine#Physiology</t>
  </si>
  <si>
    <t>0043312</t>
  </si>
  <si>
    <t>Experimental brain research</t>
  </si>
  <si>
    <t>EXPERIMENTAL BRAIN RESEARCH</t>
  </si>
  <si>
    <t>Exp Brain Res</t>
  </si>
  <si>
    <t>0373226</t>
  </si>
  <si>
    <t>Experimental cell research</t>
  </si>
  <si>
    <t>EXPERIMENTAL CELL RESEARCH</t>
  </si>
  <si>
    <t>Exp Cell Res</t>
  </si>
  <si>
    <t>Nineteen a year, 2001-</t>
  </si>
  <si>
    <t>9301549</t>
  </si>
  <si>
    <t>Experimental dermatology</t>
  </si>
  <si>
    <t>EXPERIMENTAL DERMATOLOGY</t>
  </si>
  <si>
    <t>Exp Dermatol</t>
  </si>
  <si>
    <t>0370707</t>
  </si>
  <si>
    <t>Experimental eye research</t>
  </si>
  <si>
    <t>EXPERIMENTAL EYE RESEARCH</t>
  </si>
  <si>
    <t>Exp Eye Res</t>
  </si>
  <si>
    <t>0047061</t>
  </si>
  <si>
    <t>Experimental gerontology</t>
  </si>
  <si>
    <t>EXPERIMENTAL GERONTOLOGY</t>
  </si>
  <si>
    <t>Exp Gerontol</t>
  </si>
  <si>
    <t>0402313</t>
  </si>
  <si>
    <t>Experimental hematology</t>
  </si>
  <si>
    <t>EXPERIMENTAL HEMATOLOGY</t>
  </si>
  <si>
    <t>Exp Hematol</t>
  </si>
  <si>
    <t>Supersedes Experimental hematology, published in Oak Ridge, Tenn.</t>
  </si>
  <si>
    <t>Elsevier Science Inc.</t>
  </si>
  <si>
    <t>8004944</t>
  </si>
  <si>
    <t>Experimental lung research</t>
  </si>
  <si>
    <t>EXPERIMENTAL LUNG RESEARCH</t>
  </si>
  <si>
    <t>Exp Lung Res</t>
  </si>
  <si>
    <t>Eight no. a year, &lt;1999-&gt;</t>
  </si>
  <si>
    <t>0370712</t>
  </si>
  <si>
    <t>Experimental neurology</t>
  </si>
  <si>
    <t>EXPERIMENTAL NEUROLOGY</t>
  </si>
  <si>
    <t>Exp Neurol</t>
  </si>
  <si>
    <t>101230541</t>
  </si>
  <si>
    <t>Experimental oncology</t>
  </si>
  <si>
    <t>EXPERIMENTAL ONCOLOGY</t>
  </si>
  <si>
    <t>Exp Oncol</t>
  </si>
  <si>
    <t>Continues: Eksperimentalʹnai͡a onkologii͡a.</t>
  </si>
  <si>
    <t>Morion</t>
  </si>
  <si>
    <t>Ukraine</t>
  </si>
  <si>
    <t>0370713</t>
  </si>
  <si>
    <t>Experimental parasitology</t>
  </si>
  <si>
    <t>EXPERIMENTAL PARASITOLOGY</t>
  </si>
  <si>
    <t>Exp Parasitol</t>
  </si>
  <si>
    <t>9002940</t>
  </si>
  <si>
    <t>Experimental physiology</t>
  </si>
  <si>
    <t>EXPERIMENTAL PHYSIOLOGY</t>
  </si>
  <si>
    <t>Exp Physiol</t>
  </si>
  <si>
    <t>101138477</t>
  </si>
  <si>
    <t>Experimental psychology</t>
  </si>
  <si>
    <t>EXPERIMENTAL PSYCHOLOGY</t>
  </si>
  <si>
    <t>Exp Psychol</t>
  </si>
  <si>
    <t>Continues: Zeitschrift für experimentelle Psychologie.</t>
  </si>
  <si>
    <t>16183169</t>
  </si>
  <si>
    <t>Hogrefe &amp; Huber</t>
  </si>
  <si>
    <t>101125414</t>
  </si>
  <si>
    <t>Expert opinion on biological therapy</t>
  </si>
  <si>
    <t>EXPERT OPINION ON BIOLOGICAL THERAPY</t>
  </si>
  <si>
    <t>Expert Opin Biol Ther</t>
  </si>
  <si>
    <t>17447682</t>
  </si>
  <si>
    <t>Biology#Therapeutics</t>
  </si>
  <si>
    <t>101228421</t>
  </si>
  <si>
    <t>Expert opinion on drug delivery</t>
  </si>
  <si>
    <t>EXPERT OPINION ON DRUG DELIVERY</t>
  </si>
  <si>
    <t>Expert Opin Drug Deliv</t>
  </si>
  <si>
    <t>101295755</t>
  </si>
  <si>
    <t>Expert opinion on drug discovery</t>
  </si>
  <si>
    <t>EXPERT OPINION ON DRUG DISCOVERY</t>
  </si>
  <si>
    <t>Expert Opin Drug Discov</t>
  </si>
  <si>
    <t>101228422</t>
  </si>
  <si>
    <t>Expert opinion on drug metabolism &amp; toxicology</t>
  </si>
  <si>
    <t>EXPERT OPINION ON DRUG METABOLISM &amp; TOXICOLOGY</t>
  </si>
  <si>
    <t>Expert Opin Drug Metab Toxicol</t>
  </si>
  <si>
    <t>Metabolism#Toxicology</t>
  </si>
  <si>
    <t>101163027</t>
  </si>
  <si>
    <t>Expert opinion on drug safety</t>
  </si>
  <si>
    <t>EXPERT OPINION ON DRUG SAFETY</t>
  </si>
  <si>
    <t>Expert Opin Drug Saf</t>
  </si>
  <si>
    <t>101135662</t>
  </si>
  <si>
    <t>Expert opinion on emerging drugs</t>
  </si>
  <si>
    <t>EXPERT OPINION ON EMERGING DRUGS</t>
  </si>
  <si>
    <t>Expert Opin Emerg Drugs</t>
  </si>
  <si>
    <t>Continues: Emerging drugs.</t>
  </si>
  <si>
    <t>17447623</t>
  </si>
  <si>
    <t>9434197</t>
  </si>
  <si>
    <t>Expert opinion on investigational drugs</t>
  </si>
  <si>
    <t>EXPERT OPINION ON INVESTIGATIONAL DRUGS</t>
  </si>
  <si>
    <t>Expert Opin Investig Drugs</t>
  </si>
  <si>
    <t>Continues: Current opinion in investigational drugs.</t>
  </si>
  <si>
    <t>101392201</t>
  </si>
  <si>
    <t>Expert opinion on medical diagnostics</t>
  </si>
  <si>
    <t>EXPERT OPINION ON MEDICAL DIAGNOSTICS</t>
  </si>
  <si>
    <t>Expert Opin Med Diagn</t>
  </si>
  <si>
    <t>Clinical Laboratory Techniques#Diagnostic Imaging</t>
  </si>
  <si>
    <t>100897346</t>
  </si>
  <si>
    <t>Expert opinion on pharmacotherapy</t>
  </si>
  <si>
    <t>EXPERT OPINION ON PHARMACOTHERAPY</t>
  </si>
  <si>
    <t>Expert Opin Pharmacother</t>
  </si>
  <si>
    <t>Eighteen no. a year, 2006-</t>
  </si>
  <si>
    <t>9516419</t>
  </si>
  <si>
    <t>Expert opinion on therapeutic patents</t>
  </si>
  <si>
    <t>EXPERT OPINION ON THERAPEUTIC PATENTS</t>
  </si>
  <si>
    <t>Expert Opin Ther Pat</t>
  </si>
  <si>
    <t>Continues: Current opinion in therapeutic patents.</t>
  </si>
  <si>
    <t>101127833</t>
  </si>
  <si>
    <t>Expert opinion on therapeutic targets</t>
  </si>
  <si>
    <t>EXPERT OPINION ON THERAPEUTIC TARGETS</t>
  </si>
  <si>
    <t>Expert Opin Ther Targets</t>
  </si>
  <si>
    <t>Continues: Emerging therapeutic targets.</t>
  </si>
  <si>
    <t>101123358</t>
  </si>
  <si>
    <t>Expert review of anticancer therapy</t>
  </si>
  <si>
    <t>EXPERT REVIEW OF ANTICANCER THERAPY</t>
  </si>
  <si>
    <t>Expert Rev Anticancer Ther</t>
  </si>
  <si>
    <t>101181284</t>
  </si>
  <si>
    <t>Expert review of anti-infective therapy</t>
  </si>
  <si>
    <t>EXPERT REVIEW OF ANTI-INFECTIVE THERAPY</t>
  </si>
  <si>
    <t>Expert Rev Anti Infect Ther</t>
  </si>
  <si>
    <t>Anti-Infective Agents#Communicable Diseases</t>
  </si>
  <si>
    <t>101182328</t>
  </si>
  <si>
    <t>Expert review of cardiovascular therapy</t>
  </si>
  <si>
    <t>EXPERT REVIEW OF CARDIOVASCULAR THERAPY</t>
  </si>
  <si>
    <t>Expert Rev Cardiovasc Ther</t>
  </si>
  <si>
    <t>Twelve no. a year, 2009-</t>
  </si>
  <si>
    <t>101271248</t>
  </si>
  <si>
    <t>Expert review of clinical immunology</t>
  </si>
  <si>
    <t>EXPERT REVIEW OF CLINICAL IMMUNOLOGY</t>
  </si>
  <si>
    <t>Expert Rev Clin Immunol</t>
  </si>
  <si>
    <t>101278296</t>
  </si>
  <si>
    <t>Expert review of clinical pharmacology</t>
  </si>
  <si>
    <t>EXPERT REVIEW OF CLINICAL PHARMACOLOGY</t>
  </si>
  <si>
    <t>Expert Rev Clin Pharmacol</t>
  </si>
  <si>
    <t>101278199</t>
  </si>
  <si>
    <t>Expert review of gastroenterology &amp; hepatology</t>
  </si>
  <si>
    <t>EXPERT REVIEW OF GASTROENTEROLOGY &amp; HEPATOLOGY</t>
  </si>
  <si>
    <t>Expert Rev Gastroenterol Hepatol</t>
  </si>
  <si>
    <t>101485942</t>
  </si>
  <si>
    <t>Expert review of hematology</t>
  </si>
  <si>
    <t>EXPERT REVIEW OF HEMATOLOGY</t>
  </si>
  <si>
    <t>Expert Rev Hematol</t>
  </si>
  <si>
    <t>101230445</t>
  </si>
  <si>
    <t>Expert review of medical devices</t>
  </si>
  <si>
    <t>EXPERT REVIEW OF MEDICAL DEVICES</t>
  </si>
  <si>
    <t>Expert Rev Med Devices</t>
  </si>
  <si>
    <t>101120777</t>
  </si>
  <si>
    <t>Expert review of molecular diagnostics</t>
  </si>
  <si>
    <t>EXPERT REVIEW OF MOLECULAR DIAGNOSTICS</t>
  </si>
  <si>
    <t>Expert Rev Mol Diagn</t>
  </si>
  <si>
    <t>101129944</t>
  </si>
  <si>
    <t>Expert review of neurotherapeutics</t>
  </si>
  <si>
    <t>EXPERT REVIEW OF NEUROTHERAPEUTICS</t>
  </si>
  <si>
    <t>Expert Rev Neurother</t>
  </si>
  <si>
    <t>101132257</t>
  </si>
  <si>
    <t>Expert review of pharmacoeconomics &amp; outcomes research</t>
  </si>
  <si>
    <t>EXPERT REVIEW OF PHARMACOECONOMICS &amp; OUTCOMES RESEARCH</t>
  </si>
  <si>
    <t>Expert Rev Pharmacoecon Outcomes Res</t>
  </si>
  <si>
    <t>101223548</t>
  </si>
  <si>
    <t>Expert review of proteomics</t>
  </si>
  <si>
    <t>EXPERT REVIEW OF PROTEOMICS</t>
  </si>
  <si>
    <t>Expert Rev Proteomics</t>
  </si>
  <si>
    <t>101278196</t>
  </si>
  <si>
    <t>Expert review of respiratory medicine</t>
  </si>
  <si>
    <t>EXPERT REVIEW OF RESPIRATORY MEDICINE</t>
  </si>
  <si>
    <t>Expert Rev Respir Med</t>
  </si>
  <si>
    <t>101155475</t>
  </si>
  <si>
    <t>Expert review of vaccines</t>
  </si>
  <si>
    <t>EXPERT REVIEW OF VACCINES</t>
  </si>
  <si>
    <t>Expert Rev Vaccines</t>
  </si>
  <si>
    <t>Twelve no. per year, 2009-</t>
  </si>
  <si>
    <t>100939725</t>
  </si>
  <si>
    <t>Expert reviews in molecular medicine</t>
  </si>
  <si>
    <t>EXPERT REVIEWS IN MOLECULAR MEDICINE</t>
  </si>
  <si>
    <t>Expert Rev Mol Med</t>
  </si>
  <si>
    <t>Published by Cambridge University Press in association with the Clinical and Biomedical Computing Unit of the University of Cambridge School of Clinical Medicine</t>
  </si>
  <si>
    <t>101233160</t>
  </si>
  <si>
    <t>Explore (New York, N.Y.)</t>
  </si>
  <si>
    <t>EXPLORE (NEW YORK, N.Y.)</t>
  </si>
  <si>
    <t>Explore (NY)</t>
  </si>
  <si>
    <t>9204529</t>
  </si>
  <si>
    <t>EXS</t>
  </si>
  <si>
    <t>Continues: Experientia. Supplementum.</t>
  </si>
  <si>
    <t>1023294X</t>
  </si>
  <si>
    <t>Birkhäuser Verlag</t>
  </si>
  <si>
    <t>9706854</t>
  </si>
  <si>
    <t>Extremophiles : life under extreme conditions</t>
  </si>
  <si>
    <t>EXTREMOPHILES : LIFE UNDER EXTREME CONDITIONS</t>
  </si>
  <si>
    <t>Extremophiles</t>
  </si>
  <si>
    <t>14334909</t>
  </si>
  <si>
    <t>14310651</t>
  </si>
  <si>
    <t>101160941</t>
  </si>
  <si>
    <t>Eye &amp; contact lens</t>
  </si>
  <si>
    <t>EYE &amp; CONTACT LENS</t>
  </si>
  <si>
    <t>Eye Contact Lens</t>
  </si>
  <si>
    <t>Continues: CLAO journal.</t>
  </si>
  <si>
    <t>8703986</t>
  </si>
  <si>
    <t>Eye (London, England)</t>
  </si>
  <si>
    <t>EYE (LONDON, ENGLAND)</t>
  </si>
  <si>
    <t>Eye (Lond)</t>
  </si>
  <si>
    <t>Continues: Transactions of the ophthalmological societies of the United Kingdom.</t>
  </si>
  <si>
    <t>101603579</t>
  </si>
  <si>
    <t>Eye science</t>
  </si>
  <si>
    <t>EYE SCIENCE</t>
  </si>
  <si>
    <t>Eye Sci</t>
  </si>
  <si>
    <t>Continues: Yan ke xue bao.</t>
  </si>
  <si>
    <t>Zhongshan Ophthalmic Center</t>
  </si>
  <si>
    <t>9426151</t>
  </si>
  <si>
    <t>Fa yi xue za zhi</t>
  </si>
  <si>
    <t>FA YI XUE ZA ZHI</t>
  </si>
  <si>
    <t>Fa Yi Xue Za Zhi</t>
  </si>
  <si>
    <t>10045619</t>
  </si>
  <si>
    <t>Si fa bu Si fa jian ding ke xue ji shu yan jiu suo</t>
  </si>
  <si>
    <t>8405303</t>
  </si>
  <si>
    <t>Facial plastic surgery : FPS</t>
  </si>
  <si>
    <t>FACIAL PLASTIC SURGERY : FPS</t>
  </si>
  <si>
    <t>Facial Plast Surg</t>
  </si>
  <si>
    <t>10988793</t>
  </si>
  <si>
    <t>07366825</t>
  </si>
  <si>
    <t>9414907</t>
  </si>
  <si>
    <t>Facial plastic surgery clinics of North America</t>
  </si>
  <si>
    <t>FACIAL PLASTIC SURGERY CLINICS OF NORTH AMERICA</t>
  </si>
  <si>
    <t>Facial Plast Surg Clin North Am</t>
  </si>
  <si>
    <t>100898211</t>
  </si>
  <si>
    <t>Familial cancer</t>
  </si>
  <si>
    <t>FAMILIAL CANCER</t>
  </si>
  <si>
    <t>Fam Cancer</t>
  </si>
  <si>
    <t>9610836</t>
  </si>
  <si>
    <t>Families, systems &amp; health : the journal of collaborative family healthcare</t>
  </si>
  <si>
    <t>FAMILIES, SYSTEMS &amp; HEALTH : THE JOURNAL OF COLLABORATIVE FAMILY HEALTHCARE</t>
  </si>
  <si>
    <t>Fam Syst Health</t>
  </si>
  <si>
    <t>Continues: Family systems medicine.</t>
  </si>
  <si>
    <t>19390602</t>
  </si>
  <si>
    <t>10917527</t>
  </si>
  <si>
    <t>Families, Systems &amp; Health, Inc.</t>
  </si>
  <si>
    <t>Primary Health Care#Psychology</t>
  </si>
  <si>
    <t>7809641</t>
  </si>
  <si>
    <t>Family &amp; community health</t>
  </si>
  <si>
    <t>FAMILY &amp; COMMUNITY HEALTH</t>
  </si>
  <si>
    <t>Fam Community Health</t>
  </si>
  <si>
    <t>15505057</t>
  </si>
  <si>
    <t>01606379</t>
  </si>
  <si>
    <t>8306464</t>
  </si>
  <si>
    <t>Family medicine</t>
  </si>
  <si>
    <t>FAMILY MEDICINE</t>
  </si>
  <si>
    <t>Fam Med</t>
  </si>
  <si>
    <t>Continues: Family medicine teacher.</t>
  </si>
  <si>
    <t>19383800</t>
  </si>
  <si>
    <t>07423225</t>
  </si>
  <si>
    <t>Society of Teachers of Family Medicine</t>
  </si>
  <si>
    <t>Ten no. a year 1993-</t>
  </si>
  <si>
    <t>8500875</t>
  </si>
  <si>
    <t>Family practice</t>
  </si>
  <si>
    <t>FAMILY PRACTICE</t>
  </si>
  <si>
    <t>Fam Pract</t>
  </si>
  <si>
    <t>9417533</t>
  </si>
  <si>
    <t>Family practice management</t>
  </si>
  <si>
    <t>FAMILY PRACTICE MANAGEMENT</t>
  </si>
  <si>
    <t>Fam Pract Manag</t>
  </si>
  <si>
    <t>15311929</t>
  </si>
  <si>
    <t>10695648</t>
  </si>
  <si>
    <t>Publications Division of the American Academy of Family Physicians</t>
  </si>
  <si>
    <t>0400666</t>
  </si>
  <si>
    <t>Family process</t>
  </si>
  <si>
    <t>FAMILY PROCESS</t>
  </si>
  <si>
    <t>Fam Process</t>
  </si>
  <si>
    <t>15455300</t>
  </si>
  <si>
    <t>00147370</t>
  </si>
  <si>
    <t>Family Process</t>
  </si>
  <si>
    <t>Primary Health Care#Psychology#Social Sciences</t>
  </si>
  <si>
    <t>8110156</t>
  </si>
  <si>
    <t>FAO food and nutrition paper</t>
  </si>
  <si>
    <t>FAO FOOD AND NUTRITION PAPER</t>
  </si>
  <si>
    <t>FAO Food Nutr Pap</t>
  </si>
  <si>
    <t>02544725</t>
  </si>
  <si>
    <t>United Nations. Food And Agriculture Organization</t>
  </si>
  <si>
    <t>9212301</t>
  </si>
  <si>
    <t>Faraday discussions</t>
  </si>
  <si>
    <t>FARADAY DISCUSSIONS</t>
  </si>
  <si>
    <t>Faraday Discuss</t>
  </si>
  <si>
    <t>Continues: Faraday discussions of the Chemical Society.</t>
  </si>
  <si>
    <t>13596640</t>
  </si>
  <si>
    <t>Faraday Division, Royal Society of Chemistry</t>
  </si>
  <si>
    <t>9440679</t>
  </si>
  <si>
    <t>Farmacia hospitalaria : órgano oficial de expresión científica de la Sociedad Española de Farmacia Hospitalaria</t>
  </si>
  <si>
    <t>FARMACIA HOSPITALARIA : ORGANO OFICIAL DE EXPRESION CIENTIFICA DE LA SOCIEDAD ESPANOLA DE FARMACIA HOSPITALARIA</t>
  </si>
  <si>
    <t>Farm Hosp</t>
  </si>
  <si>
    <t>Continues: Revista de la Sociedad Española de Farmacia Hospitalaria.</t>
  </si>
  <si>
    <t>0214753X</t>
  </si>
  <si>
    <t>Sociedad Española de Farmacia Hospitalaria</t>
  </si>
  <si>
    <t>8804484</t>
  </si>
  <si>
    <t>FASEB journal : official publication of the Federation of American Societies for Experimental Biology</t>
  </si>
  <si>
    <t>FASEB JOURNAL : OFFICIAL PUBLICATION OF THE FEDERATION OF AMERICAN SOCIETIES FOR EXPERIMENTAL BIOLOGY</t>
  </si>
  <si>
    <t>FASEB J</t>
  </si>
  <si>
    <t>Continues: Federation proceedings.</t>
  </si>
  <si>
    <t>08926638</t>
  </si>
  <si>
    <t>The Federation</t>
  </si>
  <si>
    <t>101229646</t>
  </si>
  <si>
    <t>The FEBS journal</t>
  </si>
  <si>
    <t>FEBS JOURNAL</t>
  </si>
  <si>
    <t>FEBS J</t>
  </si>
  <si>
    <t>Continues: European journal of biochemistry.</t>
  </si>
  <si>
    <t>Published by Blackwell Pub. on behalf of the Federation of European Biochemical Societies</t>
  </si>
  <si>
    <t>0155157</t>
  </si>
  <si>
    <t>FEBS letters</t>
  </si>
  <si>
    <t>FEBS LETTERS</t>
  </si>
  <si>
    <t>FEBS Lett</t>
  </si>
  <si>
    <t>69 no. a year, &lt;1999-&gt;</t>
  </si>
  <si>
    <t>7808722</t>
  </si>
  <si>
    <t>Federal register</t>
  </si>
  <si>
    <t>FEDERAL REGISTER</t>
  </si>
  <si>
    <t>Fed Regist</t>
  </si>
  <si>
    <t>00976326</t>
  </si>
  <si>
    <t>Office of the Federal Register, National Archives and Records Service, General Services Administration; distribution by the Supt. of Docs., U. S. Govt. Print. Off. [etc.]</t>
  </si>
  <si>
    <t>Daily (except Saturday, Sunday, and official Federal holidays)</t>
  </si>
  <si>
    <t>101528690</t>
  </si>
  <si>
    <t>Female pelvic medicine &amp; reconstructive surgery</t>
  </si>
  <si>
    <t>FEMALE PELVIC MEDICINE &amp; RECONSTRUCTIVE SURGERY</t>
  </si>
  <si>
    <t>Female Pelvic Med Reconstr Surg</t>
  </si>
  <si>
    <t>Continues: Journal of pelvic medicine and surgery.</t>
  </si>
  <si>
    <t>21544212</t>
  </si>
  <si>
    <t>21518378</t>
  </si>
  <si>
    <t>General Surgery#Gynecology#Urology</t>
  </si>
  <si>
    <t>8901229</t>
  </si>
  <si>
    <t>FEMS microbiology ecology</t>
  </si>
  <si>
    <t>FEMS MICROBIOLOGY ECOLOGY</t>
  </si>
  <si>
    <t>FEMS Microbiol Ecol</t>
  </si>
  <si>
    <t>15746941</t>
  </si>
  <si>
    <t>01686496</t>
  </si>
  <si>
    <t>Monthly, 1993-</t>
  </si>
  <si>
    <t>7705721</t>
  </si>
  <si>
    <t>FEMS microbiology letters</t>
  </si>
  <si>
    <t>FEMS MICROBIOLOGY LETTERS</t>
  </si>
  <si>
    <t>FEMS Microbiol Lett</t>
  </si>
  <si>
    <t>Biweekly, May 2001-</t>
  </si>
  <si>
    <t>8902526</t>
  </si>
  <si>
    <t>FEMS microbiology reviews</t>
  </si>
  <si>
    <t>FEMS MICROBIOLOGY REVIEWS</t>
  </si>
  <si>
    <t>FEMS Microbiol Rev</t>
  </si>
  <si>
    <t>101085384</t>
  </si>
  <si>
    <t>FEMS yeast research</t>
  </si>
  <si>
    <t>FEMS YEAST RESEARCH</t>
  </si>
  <si>
    <t>FEMS Yeast Res</t>
  </si>
  <si>
    <t>0372772</t>
  </si>
  <si>
    <t>Fertility and sterility</t>
  </si>
  <si>
    <t>FERTILITY AND STERILITY</t>
  </si>
  <si>
    <t>Fertil Steril</t>
  </si>
  <si>
    <t>Elsevier for the American Society for Reproductive Medicine</t>
  </si>
  <si>
    <t>101230972</t>
  </si>
  <si>
    <t>Fetal and pediatric pathology</t>
  </si>
  <si>
    <t>FETAL AND PEDIATRIC PATHOLOGY</t>
  </si>
  <si>
    <t>Fetal Pediatr Pathol</t>
  </si>
  <si>
    <t>Continues: Pediatric pathology &amp; molecular medicine.</t>
  </si>
  <si>
    <t>Pathology#Pediatrics</t>
  </si>
  <si>
    <t>9107463</t>
  </si>
  <si>
    <t>Fetal diagnosis and therapy</t>
  </si>
  <si>
    <t>FETAL DIAGNOSIS AND THERAPY</t>
  </si>
  <si>
    <t>Fetal Diagn Ther</t>
  </si>
  <si>
    <t>Continues: Fetal therapy.</t>
  </si>
  <si>
    <t>Diagnostic Imaging#Obstetrics#Perinatology</t>
  </si>
  <si>
    <t>101149237</t>
  </si>
  <si>
    <t>Findings brief : health care financing &amp; organization</t>
  </si>
  <si>
    <t>FINDINGS BRIEF : HEALTH CARE FINANCING &amp; ORGANIZATION</t>
  </si>
  <si>
    <t>Find Brief</t>
  </si>
  <si>
    <t>15530302</t>
  </si>
  <si>
    <t>AcademyHealth</t>
  </si>
  <si>
    <t>Four or five issues per year</t>
  </si>
  <si>
    <t>9505220</t>
  </si>
  <si>
    <t>Fish &amp; shellfish immunology</t>
  </si>
  <si>
    <t>FISH &amp; SHELLFISH IMMUNOLOGY</t>
  </si>
  <si>
    <t>Fish Shellfish Immunol</t>
  </si>
  <si>
    <t>10959947</t>
  </si>
  <si>
    <t>10504648</t>
  </si>
  <si>
    <t>Allergy and Immunology#Zoology</t>
  </si>
  <si>
    <t>100955049</t>
  </si>
  <si>
    <t>Fish physiology and biochemistry</t>
  </si>
  <si>
    <t>FISH PHYSIOLOGY AND BIOCHEMISTRY</t>
  </si>
  <si>
    <t>Fish Physiol Biochem</t>
  </si>
  <si>
    <t>15735168</t>
  </si>
  <si>
    <t>09201742</t>
  </si>
  <si>
    <t>Biochemistry#Zoology</t>
  </si>
  <si>
    <t>16930290R</t>
  </si>
  <si>
    <t>FITOTERAPIA</t>
  </si>
  <si>
    <t>Continues: Estratti fluidi titolati.</t>
  </si>
  <si>
    <t>7603567</t>
  </si>
  <si>
    <t>Fiziologiia cheloveka</t>
  </si>
  <si>
    <t>FIZIOLOGIIA CHELOVEKA</t>
  </si>
  <si>
    <t>Fiziol Cheloveka</t>
  </si>
  <si>
    <t>01311646</t>
  </si>
  <si>
    <t>Otdelenie Fiziologii An Sssr</t>
  </si>
  <si>
    <t>9601541</t>
  </si>
  <si>
    <t>Fiziolohichnyĭ zhurnal (Kiev, Ukraine : 1994)</t>
  </si>
  <si>
    <t>FIZIOLOHICHNYI ZHURNAL (KIEV, UKRAINE : 1994)</t>
  </si>
  <si>
    <t>Fiziol Zh</t>
  </si>
  <si>
    <t>Continues: Fiziologicheskiĭ zhurnal.</t>
  </si>
  <si>
    <t>Naukova Dumka</t>
  </si>
  <si>
    <t>ukr</t>
  </si>
  <si>
    <t>16930510R</t>
  </si>
  <si>
    <t>The Florida nurse</t>
  </si>
  <si>
    <t>FLORIDA NURSE</t>
  </si>
  <si>
    <t>Fla Nurse</t>
  </si>
  <si>
    <t>Continues the Bulletin of the Florida State Nurse's Association.</t>
  </si>
  <si>
    <t>00154199</t>
  </si>
  <si>
    <t>Florida State Nurses Association</t>
  </si>
  <si>
    <t>Quarterly, 199?-</t>
  </si>
  <si>
    <t>101470897</t>
  </si>
  <si>
    <t>Fly</t>
  </si>
  <si>
    <t>FLY</t>
  </si>
  <si>
    <t>Fly (Austin)</t>
  </si>
  <si>
    <t>19336942</t>
  </si>
  <si>
    <t>19336934</t>
  </si>
  <si>
    <t>8911231</t>
  </si>
  <si>
    <t>Focus (San Francisco, Calif.)</t>
  </si>
  <si>
    <t>FOCUS (SAN FRANCISCO, CALIF.)</t>
  </si>
  <si>
    <t>Focus</t>
  </si>
  <si>
    <t>10470719</t>
  </si>
  <si>
    <t>Aids Health Project, University of California, San Francisco</t>
  </si>
  <si>
    <t>Ten no. a year, 2003-</t>
  </si>
  <si>
    <t>0374613</t>
  </si>
  <si>
    <t>Fogorvosi szemle</t>
  </si>
  <si>
    <t>FOGORVOSI SZEMLE</t>
  </si>
  <si>
    <t>Fogorv Sz</t>
  </si>
  <si>
    <t>Supersedes Magyar fogorvosok lapja, 1906-07.</t>
  </si>
  <si>
    <t>00155314</t>
  </si>
  <si>
    <t>Ifjusagi Lapkiado Vallalat</t>
  </si>
  <si>
    <t>1908</t>
  </si>
  <si>
    <t>0234640</t>
  </si>
  <si>
    <t>Folia biologica</t>
  </si>
  <si>
    <t>FOLIA BIOLOGICA</t>
  </si>
  <si>
    <t>Folia Biol (Praha)</t>
  </si>
  <si>
    <t>Supersedes in part: Ceskoslovenská biologie.</t>
  </si>
  <si>
    <t>1st Faculty of Medicine, Charles University</t>
  </si>
  <si>
    <t>2984758R</t>
  </si>
  <si>
    <t>Folia Biol (Krakow)</t>
  </si>
  <si>
    <t>00155497</t>
  </si>
  <si>
    <t>Institute Of Systematics And Evolution Of Animals</t>
  </si>
  <si>
    <t>8502651</t>
  </si>
  <si>
    <t>Folia histochemica et cytobiologica / Polish Academy of Sciences, Polish Histochemical and Cytochemical Society</t>
  </si>
  <si>
    <t>FOLIA HISTOCHEMICA ET CYTOBIOLOGICA / POLISH ACADEMY OF SCIENCES, POLISH HISTOCHEMICAL AND CYTOCHEMICAL SOCIETY</t>
  </si>
  <si>
    <t>Folia Histochem Cytobiol</t>
  </si>
  <si>
    <t>Continues: Folia histochemica et cytochemica.</t>
  </si>
  <si>
    <t>Polish Histochemical and Cytochemical Society at VM Media</t>
  </si>
  <si>
    <t>Cell Biology#Histocytochemistry</t>
  </si>
  <si>
    <t>2984761R</t>
  </si>
  <si>
    <t>Folia medica</t>
  </si>
  <si>
    <t>FOLIA MEDICA</t>
  </si>
  <si>
    <t>Folia Med (Plovdiv)</t>
  </si>
  <si>
    <t>13142143</t>
  </si>
  <si>
    <t>02048043</t>
  </si>
  <si>
    <t>University Of Medicine</t>
  </si>
  <si>
    <t>0374617</t>
  </si>
  <si>
    <t>Folia medica Cracoviensia</t>
  </si>
  <si>
    <t>FOLIA MEDICA CRACOVIENSIA</t>
  </si>
  <si>
    <t>Folia Med Cracov</t>
  </si>
  <si>
    <t>00155616</t>
  </si>
  <si>
    <t>0376757</t>
  </si>
  <si>
    <t>Folia microbiologica</t>
  </si>
  <si>
    <t>FOLIA MICROBIOLOGICA</t>
  </si>
  <si>
    <t>Folia Microbiol (Praha)</t>
  </si>
  <si>
    <t>Continues: Ceskoslovenská mikrobiologie.</t>
  </si>
  <si>
    <t>18749356</t>
  </si>
  <si>
    <t>00155632</t>
  </si>
  <si>
    <t>0374620</t>
  </si>
  <si>
    <t>Folia morphologica</t>
  </si>
  <si>
    <t>FOLIA MORPHOLOGICA</t>
  </si>
  <si>
    <t>Folia Morphol (Warsz)</t>
  </si>
  <si>
    <t>00155659</t>
  </si>
  <si>
    <t>9437431</t>
  </si>
  <si>
    <t>Folia neuropathologica / Association of Polish Neuropathologists and Medical Research Centre, Polish Academy of Sciences</t>
  </si>
  <si>
    <t>FOLIA NEUROPATHOLOGICA / ASSOCIATION OF POLISH NEUROPATHOLOGISTS AND MEDICAL RESEARCH CENTRE, POLISH ACADEMY OF SCIENCES</t>
  </si>
  <si>
    <t>Folia Neuropathol</t>
  </si>
  <si>
    <t>Continues: Neuropatologia polska.</t>
  </si>
  <si>
    <t>1509572X</t>
  </si>
  <si>
    <t>Termedica</t>
  </si>
  <si>
    <t>0065750</t>
  </si>
  <si>
    <t>Folia parasitologica</t>
  </si>
  <si>
    <t>FOLIA PARASITOLOGICA</t>
  </si>
  <si>
    <t>Folia Parasitol (Praha)</t>
  </si>
  <si>
    <t>Continues: Ceskoslovenská parasitologie.</t>
  </si>
  <si>
    <t>00155683</t>
  </si>
  <si>
    <t>Czechoslovak Academy Of Sciences</t>
  </si>
  <si>
    <t>9422792</t>
  </si>
  <si>
    <t>Folia phoniatrica et logopaedica : official organ of the International Association of Logopedics and Phoniatrics (IALP)</t>
  </si>
  <si>
    <t>FOLIA PHONIATRICA ET LOGOPAEDICA : OFFICIAL ORGAN OF THE INTERNATIONAL ASSOCIATION OF LOGOPEDICS AND PHONIATRICS (IALP)</t>
  </si>
  <si>
    <t>Folia Phoniatr Logop</t>
  </si>
  <si>
    <t>Continues: Folia phoniatrica.</t>
  </si>
  <si>
    <t>14219972</t>
  </si>
  <si>
    <t>10217762</t>
  </si>
  <si>
    <t>0370723</t>
  </si>
  <si>
    <t>Folia primatologica; international journal of primatology</t>
  </si>
  <si>
    <t>FOLIA PRIMATOLOGICA; INTERNATIONAL JOURNAL OF PRIMATOLOGY</t>
  </si>
  <si>
    <t>Folia Primatol (Basel)</t>
  </si>
  <si>
    <t>14219980</t>
  </si>
  <si>
    <t>00155713</t>
  </si>
  <si>
    <t>101549033</t>
  </si>
  <si>
    <t>Food &amp; function</t>
  </si>
  <si>
    <t>FOOD &amp; FUNCTION</t>
  </si>
  <si>
    <t>Food Funct</t>
  </si>
  <si>
    <t>2042650X</t>
  </si>
  <si>
    <t>20426496</t>
  </si>
  <si>
    <t>Biochemistry#Chemistry#Nutritional Sciences#Physiology</t>
  </si>
  <si>
    <t>101485040</t>
  </si>
  <si>
    <t>Food additives &amp; contaminants. Part A, Chemistry, analysis, control, exposure &amp; risk assessment</t>
  </si>
  <si>
    <t>FOOD ADDITIVES &amp; CONTAMINANTS. PART A, CHEMISTRY, ANALYSIS, CONTROL, EXPOSURE &amp; RISK ASSESSMENT</t>
  </si>
  <si>
    <t>Food Addit Contam Part A Chem Anal Control Expo Risk Assess</t>
  </si>
  <si>
    <t>Continues in part: Food additives and contaminants.</t>
  </si>
  <si>
    <t>19440057</t>
  </si>
  <si>
    <t>101317183</t>
  </si>
  <si>
    <t>Food additives &amp; contaminants. Part B, Surveillance</t>
  </si>
  <si>
    <t>FOOD ADDITIVES &amp; CONTAMINANTS. PART B, SURVEILLANCE</t>
  </si>
  <si>
    <t>Food Addit Contam Part B Surveill</t>
  </si>
  <si>
    <t>19393229</t>
  </si>
  <si>
    <t>19393210</t>
  </si>
  <si>
    <t>8207483</t>
  </si>
  <si>
    <t>Food and chemical toxicology : an international journal published for the British Industrial Biological Research Association</t>
  </si>
  <si>
    <t>FOOD AND CHEMICAL TOXICOLOGY : AN INTERNATIONAL JOURNAL PUBLISHED FOR THE BRITISH INDUSTRIAL BIOLOGICAL RESEARCH ASSOCIATION</t>
  </si>
  <si>
    <t>Food Chem Toxicol</t>
  </si>
  <si>
    <t>Continues: Food and cosmetics toxicology.</t>
  </si>
  <si>
    <t>Nutritional Sciences#Toxicology</t>
  </si>
  <si>
    <t>9215384</t>
  </si>
  <si>
    <t>Food and drug law journal</t>
  </si>
  <si>
    <t>FOOD AND DRUG LAW JOURNAL</t>
  </si>
  <si>
    <t>Food Drug Law J</t>
  </si>
  <si>
    <t>Continues: Food, drug, cosmetic law journal.</t>
  </si>
  <si>
    <t>Three no. a year 2001-</t>
  </si>
  <si>
    <t>Jurisprudence#Nutritional Sciences#Pharmacology</t>
  </si>
  <si>
    <t>101483831</t>
  </si>
  <si>
    <t>Food and environmental virology</t>
  </si>
  <si>
    <t>FOOD AND ENVIRONMENTAL VIROLOGY</t>
  </si>
  <si>
    <t>Food Environ Virol</t>
  </si>
  <si>
    <t>Environmental Health#Nutritional Sciences#Virology</t>
  </si>
  <si>
    <t>7906418</t>
  </si>
  <si>
    <t>Food and nutrition bulletin</t>
  </si>
  <si>
    <t>FOOD AND NUTRITION BULLETIN</t>
  </si>
  <si>
    <t>Food Nutr Bull</t>
  </si>
  <si>
    <t>Supersedes PAG bulletin.</t>
  </si>
  <si>
    <t>03795721</t>
  </si>
  <si>
    <t>United Nations University</t>
  </si>
  <si>
    <t>7702639</t>
  </si>
  <si>
    <t>Food chemistry</t>
  </si>
  <si>
    <t>FOOD CHEMISTRY</t>
  </si>
  <si>
    <t>Food Chem</t>
  </si>
  <si>
    <t>Chemistry#Nutritional Sciences</t>
  </si>
  <si>
    <t>8601127</t>
  </si>
  <si>
    <t>Food microbiology</t>
  </si>
  <si>
    <t>FOOD MICROBIOLOGY</t>
  </si>
  <si>
    <t>Food Microbiol</t>
  </si>
  <si>
    <t>10959998</t>
  </si>
  <si>
    <t>07400020</t>
  </si>
  <si>
    <t>Microbiology#Nutritional Sciences</t>
  </si>
  <si>
    <t>9889534</t>
  </si>
  <si>
    <t>Food science and technology international = Ciencia y tecnología de los alimentos internacional</t>
  </si>
  <si>
    <t>FOOD SCIENCE AND TECHNOLOGY INTERNATIONAL = CIENCIA Y TECNOLOGIA DE LOS ALIMENTOS INTERNACIONAL</t>
  </si>
  <si>
    <t>Food Sci Technol Int</t>
  </si>
  <si>
    <t>Continues: Revista española de ciencia y tecnología de alimentos.</t>
  </si>
  <si>
    <t>15321738</t>
  </si>
  <si>
    <t>10820132</t>
  </si>
  <si>
    <t>6 no. a year, &lt;-June 2000&gt;</t>
  </si>
  <si>
    <t>101120121</t>
  </si>
  <si>
    <t>Foodborne pathogens and disease</t>
  </si>
  <si>
    <t>FOODBORNE PATHOGENS AND DISEASE</t>
  </si>
  <si>
    <t>Foodborne Pathog Dis</t>
  </si>
  <si>
    <t>Microbiology#Nutritional Sciences#Parasitology</t>
  </si>
  <si>
    <t>9433869</t>
  </si>
  <si>
    <t>Foot &amp; ankle international. / American Orthopaedic Foot and Ankle Society [and] Swiss Foot and Ankle Society</t>
  </si>
  <si>
    <t>FOOT &amp; ANKLE INTERNATIONAL. / AMERICAN ORTHOPAEDIC FOOT AND ANKLE SOCIETY [AND] SWISS FOOT AND ANKLE SOCIETY</t>
  </si>
  <si>
    <t>Foot Ankle Int</t>
  </si>
  <si>
    <t>Continues: Foot &amp; ankle.</t>
  </si>
  <si>
    <t>101473598</t>
  </si>
  <si>
    <t>Foot &amp; ankle specialist</t>
  </si>
  <si>
    <t>FOOT &amp; ANKLE SPECIALIST</t>
  </si>
  <si>
    <t>Foot Ankle Spec</t>
  </si>
  <si>
    <t>19387636</t>
  </si>
  <si>
    <t>19386400</t>
  </si>
  <si>
    <t>Orthopedics#Podiatry</t>
  </si>
  <si>
    <t>9109564</t>
  </si>
  <si>
    <t>Foot (Edinburgh, Scotland)</t>
  </si>
  <si>
    <t>FOOT (EDINBURGH, SCOTLAND)</t>
  </si>
  <si>
    <t>Foot (Edinb)</t>
  </si>
  <si>
    <t>9615073</t>
  </si>
  <si>
    <t>Foot and ankle clinics</t>
  </si>
  <si>
    <t>FOOT AND ANKLE CLINICS</t>
  </si>
  <si>
    <t>Foot Ankle Clin</t>
  </si>
  <si>
    <t>15581934</t>
  </si>
  <si>
    <t>10837515</t>
  </si>
  <si>
    <t>9609647</t>
  </si>
  <si>
    <t>Foot and ankle surgery : official journal of the European Society of Foot and Ankle Surgeons</t>
  </si>
  <si>
    <t>FOOT AND ANKLE SURGERY : OFFICIAL JOURNAL OF THE EUROPEAN SOCIETY OF FOOT AND ANKLE SURGEONS</t>
  </si>
  <si>
    <t>Foot Ankle Surg</t>
  </si>
  <si>
    <t>Continues: European journal of foot and ankle surgery.</t>
  </si>
  <si>
    <t>Arnette Blackwell</t>
  </si>
  <si>
    <t>9891707</t>
  </si>
  <si>
    <t>Fordham law review / edited by Fordham law students</t>
  </si>
  <si>
    <t>FORDHAM LAW REVIEW / EDITED BY FORDHAM LAW STUDENTS</t>
  </si>
  <si>
    <t>Fordham Law Rev</t>
  </si>
  <si>
    <t>0015704X</t>
  </si>
  <si>
    <t>Fordham University School of Law</t>
  </si>
  <si>
    <t>6 no. a year, &lt;May 1995-&gt;</t>
  </si>
  <si>
    <t>7902034</t>
  </si>
  <si>
    <t>Forensic science international</t>
  </si>
  <si>
    <t>FORENSIC SCIENCE INTERNATIONAL</t>
  </si>
  <si>
    <t>Forensic Sci Int</t>
  </si>
  <si>
    <t>Continues: Forensic science.</t>
  </si>
  <si>
    <t>Twenty one no. a year</t>
  </si>
  <si>
    <t>101317016</t>
  </si>
  <si>
    <t>Forensic science international. Genetics</t>
  </si>
  <si>
    <t>FORENSIC SCIENCE INTERNATIONAL. GENETICS</t>
  </si>
  <si>
    <t>Forensic Sci Int Genet</t>
  </si>
  <si>
    <t>Genetics#Jurisprudence</t>
  </si>
  <si>
    <t>101236111</t>
  </si>
  <si>
    <t>Forensic science, medicine, and pathology</t>
  </si>
  <si>
    <t>FORENSIC SCIENCE, MEDICINE, AND PATHOLOGY</t>
  </si>
  <si>
    <t>Forensic Sci Med Pathol</t>
  </si>
  <si>
    <t>15562891</t>
  </si>
  <si>
    <t>1547769X</t>
  </si>
  <si>
    <t>Jurisprudence#Medicine#Pathology</t>
  </si>
  <si>
    <t>101269884</t>
  </si>
  <si>
    <t>Forschende Komplementärmedizin (2006)</t>
  </si>
  <si>
    <t>FORSCHENDE KOMPLEMENTARMEDIZIN (2006)</t>
  </si>
  <si>
    <t>Forsch Komplementmed</t>
  </si>
  <si>
    <t>Continues: Forschende Komplementärmedizin und klassische Naturheilkunde.</t>
  </si>
  <si>
    <t>16614127</t>
  </si>
  <si>
    <t>16614119</t>
  </si>
  <si>
    <t>101120496</t>
  </si>
  <si>
    <t>Fortschritte der Medizin. Originalien</t>
  </si>
  <si>
    <t>FORTSCHRITTE DER MEDIZIN. ORIGINALIEN</t>
  </si>
  <si>
    <t>Fortschr Med Orig</t>
  </si>
  <si>
    <t>Urban und Vogel, Medien- und Medizin Verlagsgesellschaft</t>
  </si>
  <si>
    <t>8103137</t>
  </si>
  <si>
    <t>Fortschritte der Neurologie-Psychiatrie</t>
  </si>
  <si>
    <t>FORTSCHRITTE DER NEUROLOGIE-PSYCHIATRIE</t>
  </si>
  <si>
    <t>Fortschr Neurol Psychiatr</t>
  </si>
  <si>
    <t>Continues: Fortschritte der Neurologie-Psychiatrie und ihrer Grenzgebiete.</t>
  </si>
  <si>
    <t>01920610R</t>
  </si>
  <si>
    <t>Fortune</t>
  </si>
  <si>
    <t>FORTUNE</t>
  </si>
  <si>
    <t>00158259</t>
  </si>
  <si>
    <t>Time, Inc</t>
  </si>
  <si>
    <t>20 issues per year, 2010-</t>
  </si>
  <si>
    <t>101578821</t>
  </si>
  <si>
    <t>FP essentials</t>
  </si>
  <si>
    <t>FP ESSENTIALS</t>
  </si>
  <si>
    <t>FP Essent</t>
  </si>
  <si>
    <t>Continues: Home study monograph.</t>
  </si>
  <si>
    <t>21619344</t>
  </si>
  <si>
    <t>21593000</t>
  </si>
  <si>
    <t>8709159</t>
  </si>
  <si>
    <t>Free radical biology &amp; medicine</t>
  </si>
  <si>
    <t>FREE RADICAL BIOLOGY &amp; MEDICINE</t>
  </si>
  <si>
    <t>Free Radic Biol Med</t>
  </si>
  <si>
    <t>Formed by the union of: Advances in free radical biology and medicine; and: Journal of free radicals in biology &amp; medicine.</t>
  </si>
  <si>
    <t>18 no. a year, 1998-</t>
  </si>
  <si>
    <t>9423872</t>
  </si>
  <si>
    <t>Free radical research</t>
  </si>
  <si>
    <t>FREE RADICAL RESEARCH</t>
  </si>
  <si>
    <t>Free Radic Res</t>
  </si>
  <si>
    <t>Continues: Free radical research communications.</t>
  </si>
  <si>
    <t>101485240</t>
  </si>
  <si>
    <t>Frontiers in bioscience (Elite edition)</t>
  </si>
  <si>
    <t>FRONTIERS IN BIOSCIENCE (ELITE EDITION)</t>
  </si>
  <si>
    <t>Front Biosci (Elite Ed)</t>
  </si>
  <si>
    <t>Continues in part: Frontiers in bioscience.</t>
  </si>
  <si>
    <t>Frontiers in bioscience</t>
  </si>
  <si>
    <t>101612996</t>
  </si>
  <si>
    <t>Frontiers in bioscience (Landmark edition)</t>
  </si>
  <si>
    <t>FRONTIERS IN BIOSCIENCE (LANDMARK EDITION)</t>
  </si>
  <si>
    <t>Front Biosci (Landmark Ed)</t>
  </si>
  <si>
    <t>Continues: Frontiers in bioscience.</t>
  </si>
  <si>
    <t>10934715</t>
  </si>
  <si>
    <t>101485241</t>
  </si>
  <si>
    <t>Frontiers in bioscience (Scholar edition)</t>
  </si>
  <si>
    <t>FRONTIERS IN BIOSCIENCE (SCHOLAR EDITION)</t>
  </si>
  <si>
    <t>Front Biosci (Schol Ed)</t>
  </si>
  <si>
    <t>101585359</t>
  </si>
  <si>
    <t>Frontiers in cellular and infection microbiology</t>
  </si>
  <si>
    <t>FRONTIERS IN CELLULAR AND INFECTION MICROBIOLOGY</t>
  </si>
  <si>
    <t>Front Cell Infect Microbiol</t>
  </si>
  <si>
    <t>Cell Biology#Communicable Diseases#Microbiology</t>
  </si>
  <si>
    <t>101477940</t>
  </si>
  <si>
    <t>Frontiers in neural circuits</t>
  </si>
  <si>
    <t>FRONTIERS IN NEURAL CIRCUITS</t>
  </si>
  <si>
    <t>Front Neural Circuits</t>
  </si>
  <si>
    <t>7513292</t>
  </si>
  <si>
    <t>Frontiers in neuroendocrinology</t>
  </si>
  <si>
    <t>FRONTIERS IN NEUROENDOCRINOLOGY</t>
  </si>
  <si>
    <t>Front Neuroendocrinol</t>
  </si>
  <si>
    <t>Endocrinology#Neurology</t>
  </si>
  <si>
    <t>8501389</t>
  </si>
  <si>
    <t>Frontiers of health services management</t>
  </si>
  <si>
    <t>FRONTIERS OF HEALTH SERVICES MANAGEMENT</t>
  </si>
  <si>
    <t>Front Health Serv Manage</t>
  </si>
  <si>
    <t>07488157</t>
  </si>
  <si>
    <t>Health Administration Press</t>
  </si>
  <si>
    <t>0320246</t>
  </si>
  <si>
    <t>Frontiers of hormone research</t>
  </si>
  <si>
    <t>FRONTIERS OF HORMONE RESEARCH</t>
  </si>
  <si>
    <t>Front Horm Res</t>
  </si>
  <si>
    <t>101549428</t>
  </si>
  <si>
    <t>Frontiers of medicine</t>
  </si>
  <si>
    <t>FRONTIERS OF MEDICINE</t>
  </si>
  <si>
    <t>Front Med</t>
  </si>
  <si>
    <t>Continues: Frontiers of medicine in China.</t>
  </si>
  <si>
    <t>20950225</t>
  </si>
  <si>
    <t>20950217</t>
  </si>
  <si>
    <t>101274949</t>
  </si>
  <si>
    <t>Frontiers of neurology and neuroscience</t>
  </si>
  <si>
    <t>FRONTIERS OF NEUROLOGY AND NEUROSCIENCE</t>
  </si>
  <si>
    <t>Front Neurol Neurosci</t>
  </si>
  <si>
    <t>Continues: Monographs in clinical neuroscience.</t>
  </si>
  <si>
    <t>03005186</t>
  </si>
  <si>
    <t>9812095</t>
  </si>
  <si>
    <t>Frontiers of oral biology</t>
  </si>
  <si>
    <t>FRONTIERS OF ORAL BIOLOGY</t>
  </si>
  <si>
    <t>Front Oral Biol</t>
  </si>
  <si>
    <t>Continues: Frontiers of oral physiology.</t>
  </si>
  <si>
    <t>16623770</t>
  </si>
  <si>
    <t>14202433</t>
  </si>
  <si>
    <t>0301536X</t>
  </si>
  <si>
    <t>0125544</t>
  </si>
  <si>
    <t>Frontiers of radiation therapy and oncology</t>
  </si>
  <si>
    <t>FRONTIERS OF RADIATION THERAPY AND ONCOLOGY</t>
  </si>
  <si>
    <t>Front Radiat Ther Oncol</t>
  </si>
  <si>
    <t>9423321</t>
  </si>
  <si>
    <t>Fukuoka igaku zasshi = Hukuoka acta medica</t>
  </si>
  <si>
    <t>FUKUOKA IGAKU ZASSHI = HUKUOKA ACTA MEDICA</t>
  </si>
  <si>
    <t>Fukuoka Igaku Zasshi</t>
  </si>
  <si>
    <t>Continues: Zasshi. Fukuoka Ika Daigaku.</t>
  </si>
  <si>
    <t>0016254X</t>
  </si>
  <si>
    <t>Kyushu Teikoku Daigaku Igakubu</t>
  </si>
  <si>
    <t>0374626</t>
  </si>
  <si>
    <t>Fukushima journal of medical science</t>
  </si>
  <si>
    <t>FUKUSHIMA JOURNAL OF MEDICAL SCIENCE</t>
  </si>
  <si>
    <t>Fukushima J Med Sci</t>
  </si>
  <si>
    <t>21854610</t>
  </si>
  <si>
    <t>00162590</t>
  </si>
  <si>
    <t>Fukushima Medical College</t>
  </si>
  <si>
    <t>100939343</t>
  </si>
  <si>
    <t>Functional &amp; integrative genomics</t>
  </si>
  <si>
    <t>FUNCTIONAL &amp; INTEGRATIVE GENOMICS</t>
  </si>
  <si>
    <t>Funct Integr Genomics</t>
  </si>
  <si>
    <t>8707746</t>
  </si>
  <si>
    <t>Functional neurology</t>
  </si>
  <si>
    <t>FUNCTIONAL NEUROLOGY</t>
  </si>
  <si>
    <t>Funct Neurol</t>
  </si>
  <si>
    <t>CIC edizioni internazionali</t>
  </si>
  <si>
    <t>Quarterly, &lt;1998&gt;-</t>
  </si>
  <si>
    <t>9877778</t>
  </si>
  <si>
    <t>Fund raising management</t>
  </si>
  <si>
    <t>FUND RAISING MANAGEMENT</t>
  </si>
  <si>
    <t>Fund Raising Manage</t>
  </si>
  <si>
    <t>0016268X</t>
  </si>
  <si>
    <t>Hoke Communications</t>
  </si>
  <si>
    <t>Monthly &lt;, Oct. 1982-&gt;</t>
  </si>
  <si>
    <t>8710411</t>
  </si>
  <si>
    <t>Fundamental &amp; clinical pharmacology</t>
  </si>
  <si>
    <t>FUNDAMENTAL &amp; CLINICAL PHARMACOLOGY</t>
  </si>
  <si>
    <t>Fundam Clin Pharmacol</t>
  </si>
  <si>
    <t>Absorbed: Archives internationales de pharmacodynamie et de thérapie. 1997- Continues: Journal de pharmacologie.</t>
  </si>
  <si>
    <t>101524465</t>
  </si>
  <si>
    <t>Fungal biology</t>
  </si>
  <si>
    <t>FUNGAL BIOLOGY</t>
  </si>
  <si>
    <t>Fungal Biol</t>
  </si>
  <si>
    <t>Continues: Mycological research.</t>
  </si>
  <si>
    <t>18786146</t>
  </si>
  <si>
    <t>Published by Elsevier, copyright by British Mycological Society</t>
  </si>
  <si>
    <t>9607601</t>
  </si>
  <si>
    <t>Fungal genetics and biology : FG &amp; B</t>
  </si>
  <si>
    <t>FUNGAL GENETICS AND BIOLOGY : FG &amp; B</t>
  </si>
  <si>
    <t>Fungal Genet Biol</t>
  </si>
  <si>
    <t>Continues: Experimental mycology.</t>
  </si>
  <si>
    <t>Genetics#Microbiology</t>
  </si>
  <si>
    <t>101239345</t>
  </si>
  <si>
    <t>Future cardiology</t>
  </si>
  <si>
    <t>FUTURE CARDIOLOGY</t>
  </si>
  <si>
    <t>Future Cardiol</t>
  </si>
  <si>
    <t>101511162</t>
  </si>
  <si>
    <t>Future medicinal chemistry</t>
  </si>
  <si>
    <t>FUTURE MEDICINAL CHEMISTRY</t>
  </si>
  <si>
    <t>Future Med Chem</t>
  </si>
  <si>
    <t>Eighteen no. a year, 2012-</t>
  </si>
  <si>
    <t>Chemistry#Pharmacy</t>
  </si>
  <si>
    <t>101278120</t>
  </si>
  <si>
    <t>Future microbiology</t>
  </si>
  <si>
    <t>FUTURE MICROBIOLOGY</t>
  </si>
  <si>
    <t>Future Microbiol</t>
  </si>
  <si>
    <t>9306342</t>
  </si>
  <si>
    <t>The Future of children / Center for the Future of Children, the David and Lucile Packard Foundation</t>
  </si>
  <si>
    <t>FUTURE OF CHILDREN / CENTER FOR THE FUTURE OF CHILDREN, THE DAVID AND LUCILE PACKARD FOUNDATION</t>
  </si>
  <si>
    <t>Future Child</t>
  </si>
  <si>
    <t>15501558</t>
  </si>
  <si>
    <t>10548289</t>
  </si>
  <si>
    <t>Woodrow Wilson School of Public and International Affairs, Princeton University</t>
  </si>
  <si>
    <t>Two no. a year, &lt;fall/winter 2000-&gt;</t>
  </si>
  <si>
    <t>101256629</t>
  </si>
  <si>
    <t>Future oncology (London, England)</t>
  </si>
  <si>
    <t>FUTURE ONCOLOGY (LONDON, ENGLAND)</t>
  </si>
  <si>
    <t>Future Oncol</t>
  </si>
  <si>
    <t>101566598</t>
  </si>
  <si>
    <t>G3 (Bethesda, Md.)</t>
  </si>
  <si>
    <t>G3 (BETHESDA, MD.)</t>
  </si>
  <si>
    <t>G3 (Bethesda)</t>
  </si>
  <si>
    <t>0010333</t>
  </si>
  <si>
    <t>Gaceta médica de México</t>
  </si>
  <si>
    <t>GACETA MEDICA DE MEXICO</t>
  </si>
  <si>
    <t>Gac Med Mex</t>
  </si>
  <si>
    <t>Academia Nacional De Medicina</t>
  </si>
  <si>
    <t>8901623</t>
  </si>
  <si>
    <t>Gaceta sanitaria / S.E.S.P.A.S</t>
  </si>
  <si>
    <t>GACETA SANITARIA / S.E.S.P.A.S</t>
  </si>
  <si>
    <t>Gac Sanit</t>
  </si>
  <si>
    <t>Continues: Gaseta sanitària de Barcelona.</t>
  </si>
  <si>
    <t>15781283</t>
  </si>
  <si>
    <t>02139111</t>
  </si>
  <si>
    <t>9416830</t>
  </si>
  <si>
    <t>Gait &amp; posture</t>
  </si>
  <si>
    <t>GAIT &amp; POSTURE</t>
  </si>
  <si>
    <t>Gait Posture</t>
  </si>
  <si>
    <t>Elsevier Sciencem</t>
  </si>
  <si>
    <t>Bimonthly, 1997-</t>
  </si>
  <si>
    <t>7810034</t>
  </si>
  <si>
    <t>Gan to kagaku ryoho. Cancer &amp; chemotherapy</t>
  </si>
  <si>
    <t>GAN TO KAGAKU RYOHO. CANCER &amp; CHEMOTHERAPY</t>
  </si>
  <si>
    <t>Gan To Kagaku Ryoho</t>
  </si>
  <si>
    <t>Gan To Kagaku Ryohosha</t>
  </si>
  <si>
    <t>Sixteen no. a year, 1993?-</t>
  </si>
  <si>
    <t>100886238</t>
  </si>
  <si>
    <t>Gastric cancer : official journal of the International Gastric Cancer Association and the Japanese Gastric Cancer Association</t>
  </si>
  <si>
    <t>GASTRIC CANCER : OFFICIAL JOURNAL OF THE INTERNATIONAL GASTRIC CANCER ASSOCIATION AND THE JAPANESE GASTRIC CANCER ASSOCIATION</t>
  </si>
  <si>
    <t>8406671</t>
  </si>
  <si>
    <t>Gastroenterología y hepatología</t>
  </si>
  <si>
    <t>GASTROENTEROLOGIA Y HEPATOLOGIA</t>
  </si>
  <si>
    <t>Gastroenterol Hepatol</t>
  </si>
  <si>
    <t>0374630</t>
  </si>
  <si>
    <t>GASTROENTEROLOGY</t>
  </si>
  <si>
    <t>8706257</t>
  </si>
  <si>
    <t>Gastroenterology clinics of North America</t>
  </si>
  <si>
    <t>GASTROENTEROLOGY CLINICS OF NORTH AMERICA</t>
  </si>
  <si>
    <t>Gastroenterol Clin North Am</t>
  </si>
  <si>
    <t>Continues in part: Clinics in gastroenterology.</t>
  </si>
  <si>
    <t>Elsevier Health Science Division</t>
  </si>
  <si>
    <t>8915377</t>
  </si>
  <si>
    <t>Gastroenterology nursing : the official journal of the Society of Gastroenterology Nurses and Associates</t>
  </si>
  <si>
    <t>GASTROENTEROLOGY NURSING : THE OFFICIAL JOURNAL OF THE SOCIETY OF GASTROENTEROLOGY NURSES AND ASSOCIATES</t>
  </si>
  <si>
    <t>Gastroenterol Nurs</t>
  </si>
  <si>
    <t>Continues: SGA journal (Society of Gastrointestinal Assistants (U.S.)).</t>
  </si>
  <si>
    <t>15389766</t>
  </si>
  <si>
    <t>1042895X</t>
  </si>
  <si>
    <t>Gastroenterology#Nursing</t>
  </si>
  <si>
    <t>0010505</t>
  </si>
  <si>
    <t>Gastrointestinal endoscopy</t>
  </si>
  <si>
    <t>GASTROINTESTINAL ENDOSCOPY</t>
  </si>
  <si>
    <t>Gastrointest Endosc</t>
  </si>
  <si>
    <t>Continues the Bulletin of gastrointestinal endoscopy.</t>
  </si>
  <si>
    <t>Mosby Yearbook</t>
  </si>
  <si>
    <t>Thirteen no. a year, 2001-</t>
  </si>
  <si>
    <t>Diagnostic Imaging#Gastroenterology#Therapeutics</t>
  </si>
  <si>
    <t>9202792</t>
  </si>
  <si>
    <t>Gastrointestinal endoscopy clinics of North America</t>
  </si>
  <si>
    <t>GASTROINTESTINAL ENDOSCOPY CLINICS OF NORTH AMERICA</t>
  </si>
  <si>
    <t>Gastrointest Endosc Clin N Am</t>
  </si>
  <si>
    <t>101225178</t>
  </si>
  <si>
    <t>Gender medicine</t>
  </si>
  <si>
    <t>GENDER MEDICINE</t>
  </si>
  <si>
    <t>Gend Med</t>
  </si>
  <si>
    <t>Medicine#Women's Health</t>
  </si>
  <si>
    <t>7706761</t>
  </si>
  <si>
    <t>GENE</t>
  </si>
  <si>
    <t>Elsevier/North-Holland</t>
  </si>
  <si>
    <t>40 no. a year, &lt;1999-&gt;</t>
  </si>
  <si>
    <t>9200651</t>
  </si>
  <si>
    <t>Gene expression</t>
  </si>
  <si>
    <t>GENE EXPRESSION</t>
  </si>
  <si>
    <t>Gene Expr</t>
  </si>
  <si>
    <t>Cognizant Communications</t>
  </si>
  <si>
    <t>101167473</t>
  </si>
  <si>
    <t>Gene expression patterns : GEP</t>
  </si>
  <si>
    <t>GENE EXPRESSION PATTERNS : GEP</t>
  </si>
  <si>
    <t>Gene Expr Patterns</t>
  </si>
  <si>
    <t>Continues: Brain research. Gene expression patterns.</t>
  </si>
  <si>
    <t>Six no. a year, 2003-</t>
  </si>
  <si>
    <t>9421525</t>
  </si>
  <si>
    <t>Gene therapy</t>
  </si>
  <si>
    <t>GENE THERAPY</t>
  </si>
  <si>
    <t>Gene Ther</t>
  </si>
  <si>
    <t>0370735</t>
  </si>
  <si>
    <t>General and comparative endocrinology</t>
  </si>
  <si>
    <t>GENERAL AND COMPARATIVE ENDOCRINOLOGY</t>
  </si>
  <si>
    <t>Gen Comp Endocrinol</t>
  </si>
  <si>
    <t>7610466</t>
  </si>
  <si>
    <t>General dentistry</t>
  </si>
  <si>
    <t>GENERAL DENTISTRY</t>
  </si>
  <si>
    <t>Gen Dent</t>
  </si>
  <si>
    <t>Continues: Journal - Academy of General Dentistry.</t>
  </si>
  <si>
    <t>03636771</t>
  </si>
  <si>
    <t>Academy of General Dentistry.</t>
  </si>
  <si>
    <t>7905527</t>
  </si>
  <si>
    <t>General hospital psychiatry</t>
  </si>
  <si>
    <t>GENERAL HOSPITAL PSYCHIATRY</t>
  </si>
  <si>
    <t>Gen Hosp Psychiatry</t>
  </si>
  <si>
    <t>Elsevier/North-Holland.</t>
  </si>
  <si>
    <t>Hospitals#Psychiatry</t>
  </si>
  <si>
    <t>8400604</t>
  </si>
  <si>
    <t>General physiology and biophysics</t>
  </si>
  <si>
    <t>GENERAL PHYSIOLOGY AND BIOPHYSICS</t>
  </si>
  <si>
    <t>Gen Physiol Biophys</t>
  </si>
  <si>
    <t>R And D Print</t>
  </si>
  <si>
    <t>Biophysics#Physiology</t>
  </si>
  <si>
    <t>101303952</t>
  </si>
  <si>
    <t>General thoracic and cardiovascular surgery</t>
  </si>
  <si>
    <t>GENERAL THORACIC AND CARDIOVASCULAR SURGERY</t>
  </si>
  <si>
    <t>Gen Thorac Cardiovasc Surg</t>
  </si>
  <si>
    <t>Continues: Japanese journal of thoracic and cardiovascular surgery.</t>
  </si>
  <si>
    <t>8711660</t>
  </si>
  <si>
    <t>Genes &amp; development</t>
  </si>
  <si>
    <t>GENES &amp; DEVELOPMENT</t>
  </si>
  <si>
    <t>Genes Dev</t>
  </si>
  <si>
    <t>9607822</t>
  </si>
  <si>
    <t>Genes &amp; genetic systems</t>
  </si>
  <si>
    <t>GENES &amp; GENETIC SYSTEMS</t>
  </si>
  <si>
    <t>Genes Genet Syst</t>
  </si>
  <si>
    <t>Continues: Idengaku zasshi.</t>
  </si>
  <si>
    <t>100953417</t>
  </si>
  <si>
    <t>Genes and immunity</t>
  </si>
  <si>
    <t>GENES AND IMMUNITY</t>
  </si>
  <si>
    <t>Genes Immun</t>
  </si>
  <si>
    <t>Allergy and Immunology#Molecular Biology</t>
  </si>
  <si>
    <t>9607379</t>
  </si>
  <si>
    <t>Genes to cells : devoted to molecular &amp; cellular mechanisms</t>
  </si>
  <si>
    <t>GENES TO CELLS : DEVOTED TO MOLECULAR &amp; CELLULAR MECHANISMS</t>
  </si>
  <si>
    <t>Genes Cells</t>
  </si>
  <si>
    <t>101129617</t>
  </si>
  <si>
    <t>Genes, brain, and behavior</t>
  </si>
  <si>
    <t>GENES, BRAIN, AND BEHAVIOR</t>
  </si>
  <si>
    <t>Genes Brain Behav</t>
  </si>
  <si>
    <t>Behavioral Sciences#Brain#Genetics</t>
  </si>
  <si>
    <t>9007329</t>
  </si>
  <si>
    <t>Genes, chromosomes &amp; cancer</t>
  </si>
  <si>
    <t>GENES, CHROMOSOMES &amp; CANCER</t>
  </si>
  <si>
    <t>Genes Chromosomes Cancer</t>
  </si>
  <si>
    <t>12 no. a year</t>
  </si>
  <si>
    <t>Molecular Biology#Neoplasms</t>
  </si>
  <si>
    <t>100931242</t>
  </si>
  <si>
    <t>Genesis (New York, N.Y. : 2000)</t>
  </si>
  <si>
    <t>GENESIS (NEW YORK, N.Y. : 2000)</t>
  </si>
  <si>
    <t>Continues: Developmental genetics.</t>
  </si>
  <si>
    <t>9015261</t>
  </si>
  <si>
    <t>Genetic counseling (Geneva, Switzerland)</t>
  </si>
  <si>
    <t>GENETIC COUNSELING (GENEVA, SWITZERLAND)</t>
  </si>
  <si>
    <t>Genet Couns</t>
  </si>
  <si>
    <t>Continues: Journal de génétique humaine.</t>
  </si>
  <si>
    <t>Edition Medecine Et Hygiene</t>
  </si>
  <si>
    <t>Ethics#Genetics, Medical</t>
  </si>
  <si>
    <t>7907340</t>
  </si>
  <si>
    <t>Genetic engineering</t>
  </si>
  <si>
    <t>GENETIC ENGINEERING</t>
  </si>
  <si>
    <t>Genet Eng (N Y)</t>
  </si>
  <si>
    <t>01963716</t>
  </si>
  <si>
    <t>Plenum Press.</t>
  </si>
  <si>
    <t>Biotechnology#Genetics</t>
  </si>
  <si>
    <t>8411723</t>
  </si>
  <si>
    <t>Genetic epidemiology</t>
  </si>
  <si>
    <t>GENETIC EPIDEMIOLOGY</t>
  </si>
  <si>
    <t>Genet Epidemiol</t>
  </si>
  <si>
    <t>Epidemiology#Genetics, Medical</t>
  </si>
  <si>
    <t>101494210</t>
  </si>
  <si>
    <t>Genetic testing and molecular biomarkers</t>
  </si>
  <si>
    <t>GENETIC TESTING AND MOLECULAR BIOMARKERS</t>
  </si>
  <si>
    <t>Genet Test Mol Biomarkers</t>
  </si>
  <si>
    <t>Continues: Genetic testing.</t>
  </si>
  <si>
    <t>Bimontly</t>
  </si>
  <si>
    <t>0370740</t>
  </si>
  <si>
    <t>Genetica</t>
  </si>
  <si>
    <t>GENETICA</t>
  </si>
  <si>
    <t>15736857</t>
  </si>
  <si>
    <t>00166707</t>
  </si>
  <si>
    <t>9 no. a year</t>
  </si>
  <si>
    <t>1919</t>
  </si>
  <si>
    <t>0374636</t>
  </si>
  <si>
    <t>GENETICS</t>
  </si>
  <si>
    <t>Genetics Society Of America</t>
  </si>
  <si>
    <t>101169387</t>
  </si>
  <si>
    <t>Genetics and molecular research : GMR</t>
  </si>
  <si>
    <t>GENETICS AND MOLECULAR RESEARCH : GMR</t>
  </si>
  <si>
    <t>Genet Mol Res</t>
  </si>
  <si>
    <t>FUNPEC</t>
  </si>
  <si>
    <t>9815831</t>
  </si>
  <si>
    <t>Genetics in medicine : official journal of the American College of Medical Genetics</t>
  </si>
  <si>
    <t>GENETICS IN MEDICINE : OFFICIAL JOURNAL OF THE AMERICAN COLLEGE OF MEDICAL GENETICS</t>
  </si>
  <si>
    <t>Genet Med</t>
  </si>
  <si>
    <t>101550220</t>
  </si>
  <si>
    <t>Genetics research</t>
  </si>
  <si>
    <t>GENETICS RESEARCH</t>
  </si>
  <si>
    <t>Genet Res (Camb)</t>
  </si>
  <si>
    <t>Continues: Genetical research.</t>
  </si>
  <si>
    <t>9114088</t>
  </si>
  <si>
    <t>Genetics, selection, evolution : GSE</t>
  </si>
  <si>
    <t>GENETICS, SELECTION, EVOLUTION : GSE</t>
  </si>
  <si>
    <t>Genet Sel Evol</t>
  </si>
  <si>
    <t>Continues: Génétique, sélection, évolution.</t>
  </si>
  <si>
    <t>12979686</t>
  </si>
  <si>
    <t>0999193X</t>
  </si>
  <si>
    <t>Bimonthly, 1991-</t>
  </si>
  <si>
    <t>Biology#Genetics</t>
  </si>
  <si>
    <t>0047354</t>
  </si>
  <si>
    <t>Genetika</t>
  </si>
  <si>
    <t>GENETIKA</t>
  </si>
  <si>
    <t>00166758</t>
  </si>
  <si>
    <t>8704544</t>
  </si>
  <si>
    <t>Genome / National Research Council Canada = Génome / Conseil national de recherches Canada</t>
  </si>
  <si>
    <t>GENOME / NATIONAL RESEARCH COUNCIL CANADA = GENOME / CONSEIL NATIONAL DE RECHERCHES CANADA</t>
  </si>
  <si>
    <t>Genome</t>
  </si>
  <si>
    <t>Continues: Canadian journal of genetics and cytology.</t>
  </si>
  <si>
    <t>14803321</t>
  </si>
  <si>
    <t>08312796</t>
  </si>
  <si>
    <t>100960660</t>
  </si>
  <si>
    <t>Genome biology</t>
  </si>
  <si>
    <t>GENOME BIOLOGY</t>
  </si>
  <si>
    <t>Genome Biol</t>
  </si>
  <si>
    <t>14656914</t>
  </si>
  <si>
    <t>14656906</t>
  </si>
  <si>
    <t>101509707</t>
  </si>
  <si>
    <t>Genome biology and evolution</t>
  </si>
  <si>
    <t>GENOME BIOLOGY AND EVOLUTION</t>
  </si>
  <si>
    <t>Genome Biol Evol</t>
  </si>
  <si>
    <t>17596653</t>
  </si>
  <si>
    <t>Biology#Molecular Biology</t>
  </si>
  <si>
    <t>101319425</t>
  </si>
  <si>
    <t>Genome dynamics</t>
  </si>
  <si>
    <t>GENOME DYNAMICS</t>
  </si>
  <si>
    <t>Genome Dyn</t>
  </si>
  <si>
    <t>101280573</t>
  </si>
  <si>
    <t>Genome informatics. International Conference on Genome Informatics</t>
  </si>
  <si>
    <t>GENOME INFORMATICS. INTERNATIONAL CONFERENCE ON GENOME INFORMATICS</t>
  </si>
  <si>
    <t>Genome Inform</t>
  </si>
  <si>
    <t>Continues: Genome informatics. Workshop on Genome Informatics.</t>
  </si>
  <si>
    <t>09199454</t>
  </si>
  <si>
    <t>Universal Academy Press</t>
  </si>
  <si>
    <t>Computational Biology#Genetics</t>
  </si>
  <si>
    <t>9518021</t>
  </si>
  <si>
    <t>Genome research</t>
  </si>
  <si>
    <t>GENOME RESEARCH</t>
  </si>
  <si>
    <t>Genome Res</t>
  </si>
  <si>
    <t>Continues: PCR methods and applications.</t>
  </si>
  <si>
    <t>8800135</t>
  </si>
  <si>
    <t>GENOMICS</t>
  </si>
  <si>
    <t>101197608</t>
  </si>
  <si>
    <t>Genomics, proteomics &amp; bioinformatics</t>
  </si>
  <si>
    <t>GENOMICS, PROTEOMICS &amp; BIOINFORMATICS</t>
  </si>
  <si>
    <t>Genomics Proteomics Bioinformatics</t>
  </si>
  <si>
    <t>Continues: Developmental &amp; reproductive biology.</t>
  </si>
  <si>
    <t>Science Press and Elsevier</t>
  </si>
  <si>
    <t>Biochemistry#Computational Biology#Genetics</t>
  </si>
  <si>
    <t>101185472</t>
  </si>
  <si>
    <t>Geobiology</t>
  </si>
  <si>
    <t>GEOBIOLOGY</t>
  </si>
  <si>
    <t>14724669</t>
  </si>
  <si>
    <t>14724677</t>
  </si>
  <si>
    <t>101218222</t>
  </si>
  <si>
    <t>Georgian medical news</t>
  </si>
  <si>
    <t>GEORGIAN MEDICAL NEWS</t>
  </si>
  <si>
    <t>Georgian Med News</t>
  </si>
  <si>
    <t>15120112</t>
  </si>
  <si>
    <t>Assot͡siat͡sii͡a delovoĭ pressy Gruzii</t>
  </si>
  <si>
    <t>Georgia (Republic)</t>
  </si>
  <si>
    <t>101302943</t>
  </si>
  <si>
    <t>Geospatial health</t>
  </si>
  <si>
    <t>GEOSPATIAL HEALTH</t>
  </si>
  <si>
    <t>Geospat Health</t>
  </si>
  <si>
    <t>19707096</t>
  </si>
  <si>
    <t>18271987</t>
  </si>
  <si>
    <t>University of Naples Federico II, Faculty of Veterinary Medicine, Department of Pathology and Animal Health</t>
  </si>
  <si>
    <t>8309633</t>
  </si>
  <si>
    <t>Geriatric nursing (New York, N.Y.)</t>
  </si>
  <si>
    <t>GERIATRIC NURSING (NEW YORK, N.Y.)</t>
  </si>
  <si>
    <t>Geriatr Nurs</t>
  </si>
  <si>
    <t>15283984</t>
  </si>
  <si>
    <t>01974572</t>
  </si>
  <si>
    <t>Mosby-Yearbook</t>
  </si>
  <si>
    <t>Geriatrics#Nursing</t>
  </si>
  <si>
    <t>101135738</t>
  </si>
  <si>
    <t>Geriatrics &amp; gerontology international</t>
  </si>
  <si>
    <t>GERIATRICS &amp; GERONTOLOGY INTERNATIONAL</t>
  </si>
  <si>
    <t>Geriatr Gerontol Int</t>
  </si>
  <si>
    <t>Japan Geriatrics Society</t>
  </si>
  <si>
    <t>101553404</t>
  </si>
  <si>
    <t>Gériatrie et psychologie neuropsychiatrie du vieillissement</t>
  </si>
  <si>
    <t>GERIATRIE ET PSYCHOLOGIE NEUROPSYCHIATRIE DU VIEILLISSEMENT</t>
  </si>
  <si>
    <t>Geriatr Psychol Neuropsychiatr Vieil</t>
  </si>
  <si>
    <t>Formed by union of: Annales de gérontologie. and: Psychologie &amp; neuropsychiatrie du vieillissement.</t>
  </si>
  <si>
    <t>21157863</t>
  </si>
  <si>
    <t>21158789</t>
  </si>
  <si>
    <t>Geriatrics#Neurology#Psychiatry#Psychology</t>
  </si>
  <si>
    <t>101227686</t>
  </si>
  <si>
    <t>German medical science : GMS e-journal</t>
  </si>
  <si>
    <t>GERMAN MEDICAL SCIENCE : GMS E-JOURNAL</t>
  </si>
  <si>
    <t>Ger Med Sci</t>
  </si>
  <si>
    <t>16123174</t>
  </si>
  <si>
    <t>Association of the Scientific Medical Societies in Germany</t>
  </si>
  <si>
    <t>8215850</t>
  </si>
  <si>
    <t>Gerodontology</t>
  </si>
  <si>
    <t>GERODONTOLOGY</t>
  </si>
  <si>
    <t>17412358</t>
  </si>
  <si>
    <t>07340664</t>
  </si>
  <si>
    <t>Dentistry#Geriatrics</t>
  </si>
  <si>
    <t>0375327</t>
  </si>
  <si>
    <t>The Gerontologist</t>
  </si>
  <si>
    <t>GERONTOLOGIST</t>
  </si>
  <si>
    <t>Gerontologist</t>
  </si>
  <si>
    <t>Continues: Newsletter. Gerontological Society.</t>
  </si>
  <si>
    <t>17585341</t>
  </si>
  <si>
    <t>00169013</t>
  </si>
  <si>
    <t>7601655</t>
  </si>
  <si>
    <t>GERONTOLOGY</t>
  </si>
  <si>
    <t>Formed by the union of Gerontologia and Gerontologia clinica, and continues the vol. numbering of the former.</t>
  </si>
  <si>
    <t>8101294</t>
  </si>
  <si>
    <t>Gerontology &amp; geriatrics education</t>
  </si>
  <si>
    <t>GERONTOLOGY &amp; GERIATRICS EDUCATION</t>
  </si>
  <si>
    <t>Gerontol Geriatr Educ</t>
  </si>
  <si>
    <t>15453847</t>
  </si>
  <si>
    <t>02701960</t>
  </si>
  <si>
    <t>Education#Geriatrics</t>
  </si>
  <si>
    <t>1257130</t>
  </si>
  <si>
    <t>Gesnerus</t>
  </si>
  <si>
    <t>GESNERUS</t>
  </si>
  <si>
    <t>00169161</t>
  </si>
  <si>
    <t>Verlag Sauerländer.</t>
  </si>
  <si>
    <t>9204210</t>
  </si>
  <si>
    <t>Gesundheitswesen (Bundesverband der Ärzte des Öffentlichen Gesundheitsdienstes (Germany))</t>
  </si>
  <si>
    <t>GESUNDHEITSWESEN (BUNDESVERBAND DER ARZTE DES OFFENTLICHEN GESUNDHEITSDIENSTES (GERMANY))</t>
  </si>
  <si>
    <t>Gesundheitswesen</t>
  </si>
  <si>
    <t>Continues: Öffentliche Gesundheitswesen.</t>
  </si>
  <si>
    <t>14394421</t>
  </si>
  <si>
    <t>09413790</t>
  </si>
  <si>
    <t>0073210</t>
  </si>
  <si>
    <t>Ghana medical journal</t>
  </si>
  <si>
    <t>GHANA MEDICAL JOURNAL</t>
  </si>
  <si>
    <t>Ghana Med J</t>
  </si>
  <si>
    <t>00169560</t>
  </si>
  <si>
    <t>Ghana Medical Association</t>
  </si>
  <si>
    <t>Ghana</t>
  </si>
  <si>
    <t>0412700</t>
  </si>
  <si>
    <t>Gigiena i sanitariia</t>
  </si>
  <si>
    <t>GIGIENA I SANITARIIA</t>
  </si>
  <si>
    <t>Gig Sanit</t>
  </si>
  <si>
    <t>00169900</t>
  </si>
  <si>
    <t>0376552</t>
  </si>
  <si>
    <t>Ginecología y obstetricia de México</t>
  </si>
  <si>
    <t>GINECOLOGIA Y OBSTETRICIA DE MEXICO</t>
  </si>
  <si>
    <t>Ginecol Obstet Mex</t>
  </si>
  <si>
    <t>Asociación Mexicana de Ginecología y Obstetricia.</t>
  </si>
  <si>
    <t>0374641</t>
  </si>
  <si>
    <t>Ginekologia polska</t>
  </si>
  <si>
    <t>GINEKOLOGIA POLSKA</t>
  </si>
  <si>
    <t>Ginekol Pol</t>
  </si>
  <si>
    <t>00170011</t>
  </si>
  <si>
    <t>Polskie Towarzystwo Ginekologiczne</t>
  </si>
  <si>
    <t>9011768</t>
  </si>
  <si>
    <t>Il Giornale di chirurgia</t>
  </si>
  <si>
    <t>GIORNALE DI CHIRURGIA</t>
  </si>
  <si>
    <t>G Chir</t>
  </si>
  <si>
    <t>1971145X</t>
  </si>
  <si>
    <t>03919005</t>
  </si>
  <si>
    <t>101263411</t>
  </si>
  <si>
    <t>Giornale italiano di cardiologia (2006)</t>
  </si>
  <si>
    <t>GIORNALE ITALIANO DI CARDIOLOGIA (2006)</t>
  </si>
  <si>
    <t>G Ital Cardiol (Rome)</t>
  </si>
  <si>
    <t>Continues: Italian heart journal. Supplement.</t>
  </si>
  <si>
    <t>CEPI-AIM Group</t>
  </si>
  <si>
    <t>8102852</t>
  </si>
  <si>
    <t>Giornale italiano di dermatologia e venereologia : organo ufficiale, Società italiana di dermatologia e sifilografia</t>
  </si>
  <si>
    <t>GIORNALE ITALIANO DI DERMATOLOGIA E VENEREOLOGIA : ORGANO UFFICIALE, SOCIETA ITALIANA DI DERMATOLOGIA E SIFILOGRAFIA</t>
  </si>
  <si>
    <t>G Ital Dermatol Venereol</t>
  </si>
  <si>
    <t>18271820</t>
  </si>
  <si>
    <t>03920488</t>
  </si>
  <si>
    <t>Edizioni Minerva medica</t>
  </si>
  <si>
    <t>9712708</t>
  </si>
  <si>
    <t>Giornale italiano di medicina del lavoro ed ergonomia</t>
  </si>
  <si>
    <t>GIORNALE ITALIANO DI MEDICINA DEL LAVORO ED ERGONOMIA</t>
  </si>
  <si>
    <t>G Ital Med Lav Ergon</t>
  </si>
  <si>
    <t>Continues: Giornale italiano di medicina del lavoro.</t>
  </si>
  <si>
    <t>15927830</t>
  </si>
  <si>
    <t>PIME</t>
  </si>
  <si>
    <t>9426434</t>
  </si>
  <si>
    <t>Giornale italiano di nefrologia : organo ufficiale della Società italiana di nefrologia</t>
  </si>
  <si>
    <t>GIORNALE ITALIANO DI NEFROLOGIA : ORGANO UFFICIALE DELLA SOCIETA ITALIANA DI NEFROLOGIA</t>
  </si>
  <si>
    <t>G Ital Nefrol</t>
  </si>
  <si>
    <t>17245990</t>
  </si>
  <si>
    <t>03935590</t>
  </si>
  <si>
    <t>Tesi</t>
  </si>
  <si>
    <t>Bimonthly, &lt;1991- &gt;</t>
  </si>
  <si>
    <t>0027437</t>
  </si>
  <si>
    <t>Glas. Srpska akademija nauka i umetnosti. Odeljenje medicinskih nauka</t>
  </si>
  <si>
    <t>GLAS. SRPSKA AKADEMIJA NAUKA I UMETNOSTI. ODELJENJE MEDICINSKIH NAUKA</t>
  </si>
  <si>
    <t>Glas Srp Akad Nauka Med</t>
  </si>
  <si>
    <t>Continues the Glas of the Odeljenje medicinskih nauka of the Srpska akademija nauka, Belgrad.</t>
  </si>
  <si>
    <t>03714039</t>
  </si>
  <si>
    <t>Naucno Delo</t>
  </si>
  <si>
    <t>srp</t>
  </si>
  <si>
    <t>8806785</t>
  </si>
  <si>
    <t>Glia</t>
  </si>
  <si>
    <t>14 no. a year, 1999-</t>
  </si>
  <si>
    <t>9888746</t>
  </si>
  <si>
    <t>Global change biology</t>
  </si>
  <si>
    <t>GLOBAL CHANGE BIOLOGY</t>
  </si>
  <si>
    <t>Glob Chang Biol</t>
  </si>
  <si>
    <t>13652486</t>
  </si>
  <si>
    <t>13541013</t>
  </si>
  <si>
    <t>101496665</t>
  </si>
  <si>
    <t>Global health action</t>
  </si>
  <si>
    <t>GLOBAL HEALTH ACTION</t>
  </si>
  <si>
    <t>Glob Health Action</t>
  </si>
  <si>
    <t>16549880</t>
  </si>
  <si>
    <t>16549716</t>
  </si>
  <si>
    <t>101497462</t>
  </si>
  <si>
    <t>Global health promotion</t>
  </si>
  <si>
    <t>GLOBAL HEALTH PROMOTION</t>
  </si>
  <si>
    <t>Glob Health Promot</t>
  </si>
  <si>
    <t>Continues: Promotion &amp; education.</t>
  </si>
  <si>
    <t>17579767</t>
  </si>
  <si>
    <t>17579759</t>
  </si>
  <si>
    <t>101519495</t>
  </si>
  <si>
    <t>Global journal of health science</t>
  </si>
  <si>
    <t>GLOBAL JOURNAL OF HEALTH SCIENCE</t>
  </si>
  <si>
    <t>Glob J Health Sci</t>
  </si>
  <si>
    <t>19169744</t>
  </si>
  <si>
    <t>19169736</t>
  </si>
  <si>
    <t>Canadian Center of Science and Education.</t>
  </si>
  <si>
    <t>101256323</t>
  </si>
  <si>
    <t>Global public health</t>
  </si>
  <si>
    <t>GLOBAL PUBLIC HEALTH</t>
  </si>
  <si>
    <t>Glob Public Health</t>
  </si>
  <si>
    <t>101245734</t>
  </si>
  <si>
    <t>Globalization and health</t>
  </si>
  <si>
    <t>GLOBALIZATION AND HEALTH</t>
  </si>
  <si>
    <t>Global Health</t>
  </si>
  <si>
    <t>9104124</t>
  </si>
  <si>
    <t>GLYCOBIOLOGY</t>
  </si>
  <si>
    <t>IRL Press at Oxford University Press</t>
  </si>
  <si>
    <t>8603310</t>
  </si>
  <si>
    <t>Glycoconjugate journal</t>
  </si>
  <si>
    <t>GLYCOCONJUGATE JOURNAL</t>
  </si>
  <si>
    <t>Glycoconj J</t>
  </si>
  <si>
    <t>Absorbed: Glycosylation &amp; disease.</t>
  </si>
  <si>
    <t>101572655</t>
  </si>
  <si>
    <t>GM crops &amp; food</t>
  </si>
  <si>
    <t>GM CROPS &amp; FOOD</t>
  </si>
  <si>
    <t>GM Crops Food</t>
  </si>
  <si>
    <t>Continues: GM crops.</t>
  </si>
  <si>
    <t>21645701</t>
  </si>
  <si>
    <t>21645698</t>
  </si>
  <si>
    <t>Biotechnology#Botany#Molecular Biology</t>
  </si>
  <si>
    <t>9509489</t>
  </si>
  <si>
    <t>GMHC treatment issues : the Gay Men's Health Crisis newsletter of experimental AIDS therapies</t>
  </si>
  <si>
    <t>GMHC TREATMENT ISSUES : THE GAY MEN'S HEALTH CRISIS NEWSLETTER OF EXPERIMENTAL AIDS THERAPIES</t>
  </si>
  <si>
    <t>GMHC Treat Issues</t>
  </si>
  <si>
    <t>Continues: Treatment issues.</t>
  </si>
  <si>
    <t>10771824</t>
  </si>
  <si>
    <t>GMHC</t>
  </si>
  <si>
    <t>101276035</t>
  </si>
  <si>
    <t>GMS Zeitschrift für medizinische Ausbildung</t>
  </si>
  <si>
    <t>GMS ZEITSCHRIFT FUR MEDIZINISCHE AUSBILDUNG</t>
  </si>
  <si>
    <t>GMS Z Med Ausbild</t>
  </si>
  <si>
    <t>18603572</t>
  </si>
  <si>
    <t>18607446</t>
  </si>
  <si>
    <t>Gesellschaft für Medizinische Ausbildung</t>
  </si>
  <si>
    <t>4 issues per year</t>
  </si>
  <si>
    <t>8205248</t>
  </si>
  <si>
    <t>Graefe's archive for clinical and experimental ophthalmology = Albrecht von Graefes Archiv für klinische und experimentelle Ophthalmologie</t>
  </si>
  <si>
    <t>GRAEFE'S ARCHIVE FOR CLINICAL AND EXPERIMENTAL OPHTHALMOLOGY = ALBRECHT VON GRAEFES ARCHIV FUR KLINISCHE UND EXPERIMENTELLE OPHTHALMOLOGIE</t>
  </si>
  <si>
    <t>Graefes Arch Clin Exp Ophthalmol</t>
  </si>
  <si>
    <t>Absorbed: German journal of ophthalmology.</t>
  </si>
  <si>
    <t>9882886</t>
  </si>
  <si>
    <t>Ground water</t>
  </si>
  <si>
    <t>GROUND WATER</t>
  </si>
  <si>
    <t>Ground Water</t>
  </si>
  <si>
    <t>17456584</t>
  </si>
  <si>
    <t>0017467X</t>
  </si>
  <si>
    <t>Bimonthly, &lt;, Sept./Oct. 1975-&gt;</t>
  </si>
  <si>
    <t>9000468</t>
  </si>
  <si>
    <t>Growth factors (Chur, Switzerland)</t>
  </si>
  <si>
    <t>GROWTH FACTORS (CHUR, SWITZERLAND)</t>
  </si>
  <si>
    <t>9814320</t>
  </si>
  <si>
    <t>Growth hormone &amp; IGF research : official journal of the Growth Hormone Research Society and the International IGF Research Society</t>
  </si>
  <si>
    <t>GROWTH HORMONE &amp; IGF RESEARCH : OFFICIAL JOURNAL OF THE GROWTH HORMONE RESEARCH SOCIETY AND THE INTERNATIONAL IGF RESEARCH SOCIETY</t>
  </si>
  <si>
    <t>Growth Horm IGF Res</t>
  </si>
  <si>
    <t>Merger of: Endocrinology and metabolism (London, England); and: Growth regulation, continuing the numbering of the latter.</t>
  </si>
  <si>
    <t>9424805</t>
  </si>
  <si>
    <t>Guang pu xue yu guang pu fen xi = Guang pu</t>
  </si>
  <si>
    <t>GUANG PU XUE YU GUANG PU FEN XI = GUANG PU</t>
  </si>
  <si>
    <t>Guang Pu Xue Yu Guang Pu Fen Xi</t>
  </si>
  <si>
    <t>10000593</t>
  </si>
  <si>
    <t>Beijing da xue chu ban she</t>
  </si>
  <si>
    <t>101500911</t>
  </si>
  <si>
    <t>The Gulf journal of oncology</t>
  </si>
  <si>
    <t>GULF JOURNAL OF ONCOLOGY</t>
  </si>
  <si>
    <t>Gulf J Oncolog</t>
  </si>
  <si>
    <t>20782101</t>
  </si>
  <si>
    <t>Gulf Federation for Cancer Control</t>
  </si>
  <si>
    <t>Kuwait</t>
  </si>
  <si>
    <t>2985108R</t>
  </si>
  <si>
    <t>GUT</t>
  </si>
  <si>
    <t>British Medical Assn.</t>
  </si>
  <si>
    <t>Sixteen no. a year, 2009-</t>
  </si>
  <si>
    <t>101316452</t>
  </si>
  <si>
    <t>Gut and liver</t>
  </si>
  <si>
    <t>GUT AND LIVER</t>
  </si>
  <si>
    <t>Gut Liver</t>
  </si>
  <si>
    <t>20051212</t>
  </si>
  <si>
    <t>Editorial Office of Gut and Liver</t>
  </si>
  <si>
    <t>101495343</t>
  </si>
  <si>
    <t>Gut microbes</t>
  </si>
  <si>
    <t>GUT MICROBES</t>
  </si>
  <si>
    <t>Gastroenterology#Microbiology</t>
  </si>
  <si>
    <t>7900587</t>
  </si>
  <si>
    <t>Gynecologic and obstetric investigation</t>
  </si>
  <si>
    <t>GYNECOLOGIC AND OBSTETRIC INVESTIGATION</t>
  </si>
  <si>
    <t>Gynecol Obstet Invest</t>
  </si>
  <si>
    <t>Continues: Gynecologic investigation.</t>
  </si>
  <si>
    <t>0365304</t>
  </si>
  <si>
    <t>Gynecologic oncology</t>
  </si>
  <si>
    <t>GYNECOLOGIC ONCOLOGY</t>
  </si>
  <si>
    <t>Gynecol Oncol</t>
  </si>
  <si>
    <t>8807913</t>
  </si>
  <si>
    <t>Gynecological endocrinology : the official journal of the International Society of Gynecological Endocrinology</t>
  </si>
  <si>
    <t>GYNECOLOGICAL ENDOCRINOLOGY : THE OFFICIAL JOURNAL OF THE INTERNATIONAL SOCIETY OF GYNECOLOGICAL ENDOCRINOLOGY</t>
  </si>
  <si>
    <t>Gynecol Endocrinol</t>
  </si>
  <si>
    <t>Endocrinology#Gynecology</t>
  </si>
  <si>
    <t>100936305</t>
  </si>
  <si>
    <t>Gynécologie, obstétrique &amp; fertilité</t>
  </si>
  <si>
    <t>GYNECOLOGIE, OBSTETRIQUE &amp; FERTILITE</t>
  </si>
  <si>
    <t>Gynecol Obstet Fertil</t>
  </si>
  <si>
    <t>Continues: Contraception, fertilité, sexualité (1992).</t>
  </si>
  <si>
    <t>0417435</t>
  </si>
  <si>
    <t>HAEMATOLOGICA</t>
  </si>
  <si>
    <t>Absorbed: Hematology journal. 2005</t>
  </si>
  <si>
    <t>9442916</t>
  </si>
  <si>
    <t>Haemophilia : the official journal of the World Federation of Hemophilia</t>
  </si>
  <si>
    <t>HAEMOPHILIA : THE OFFICIAL JOURNAL OF THE WORLD FEDERATION OF HEMOPHILIA</t>
  </si>
  <si>
    <t>6 no. a year, 1998-</t>
  </si>
  <si>
    <t>8204531</t>
  </si>
  <si>
    <t>Hämostaseologie</t>
  </si>
  <si>
    <t>HAMOSTASEOLOGIE</t>
  </si>
  <si>
    <t>F.K. Schattauer</t>
  </si>
  <si>
    <t>8510415</t>
  </si>
  <si>
    <t>Hand clinics</t>
  </si>
  <si>
    <t>HAND CLINICS</t>
  </si>
  <si>
    <t>Hand Clin</t>
  </si>
  <si>
    <t>9602613</t>
  </si>
  <si>
    <t>Hand surgery : an international journal devoted to hand and upper limb surgery and related research : journal of the Asia-Pacific Federation of Societies for Surgery of the Hand</t>
  </si>
  <si>
    <t>HAND SURGERY : AN INTERNATIONAL JOURNAL DEVOTED TO HAND AND UPPER LIMB SURGERY AND RELATED RESEARCH : JOURNAL OF THE ASIA-PACIFIC FEDERATION OF SOCIETIES FOR SURGERY OF THE HAND</t>
  </si>
  <si>
    <t>Hand Surg</t>
  </si>
  <si>
    <t>17936535</t>
  </si>
  <si>
    <t>02188104</t>
  </si>
  <si>
    <t>World Scientific</t>
  </si>
  <si>
    <t>0166161</t>
  </si>
  <si>
    <t>Handbook of clinical neurology</t>
  </si>
  <si>
    <t>HANDBOOK OF CLINICAL NEUROLOGY</t>
  </si>
  <si>
    <t>Handb Clin Neurol</t>
  </si>
  <si>
    <t>00729752</t>
  </si>
  <si>
    <t>North-Holland Pub. Co.</t>
  </si>
  <si>
    <t>7902231</t>
  </si>
  <si>
    <t>Handbook of experimental pharmacology</t>
  </si>
  <si>
    <t>HANDBOOK OF EXPERIMENTAL PHARMACOLOGY</t>
  </si>
  <si>
    <t>Handb Exp Pharmacol</t>
  </si>
  <si>
    <t>Continues: Handbuch der experimentellen Pharmakologie. New series.</t>
  </si>
  <si>
    <t>8302815</t>
  </si>
  <si>
    <t>Handchirurgie, Mikrochirurgie, plastische Chirurgie : Organ der Deutschsprachigen Arbeitsgemeinschaft für Handchirurgie : Organ der Deutschsprachigen Arbeitsgemeinschaft für Mikrochirurgie der Peripheren Nerven und Gefässe : Organ der Vereinigung der Deutschen Plastischen Chirurgen</t>
  </si>
  <si>
    <t>HANDCHIRURGIE, MIKROCHIRURGIE, PLASTISCHE CHIRURGIE : ORGAN DER DEUTSCHSPRACHIGEN ARBEITSGEMEINSCHAFT FUR HANDCHIRURGIE : ORGAN DER DEUTSCHSPRACHIGEN ARBEITSGEMEINSCHAFT FUR MIKROCHIRURGIE DER PERIPHEREN NERVEN UND GEFASSE : ORGAN DER VEREINIGUNG DER DEUTSCHEN PLASTISCHEN CHIRURGEN</t>
  </si>
  <si>
    <t>Handchir Mikrochir Plast Chir</t>
  </si>
  <si>
    <t>Formed by the union of: Zeitschrift für Plastische Chirurgie; and: Handchirurgie.</t>
  </si>
  <si>
    <t>14393980</t>
  </si>
  <si>
    <t>07221819</t>
  </si>
  <si>
    <t>Hippokrates Verlag</t>
  </si>
  <si>
    <t>0034351</t>
  </si>
  <si>
    <t>Harefuah</t>
  </si>
  <si>
    <t>HAREFUAH</t>
  </si>
  <si>
    <t>00177768</t>
  </si>
  <si>
    <t>101153624</t>
  </si>
  <si>
    <t>Harm reduction journal</t>
  </si>
  <si>
    <t>HARM REDUCTION JOURNAL</t>
  </si>
  <si>
    <t>Harm Reduct J</t>
  </si>
  <si>
    <t>Drug Therapy#Psychopharmacology#Substance-Related Disorders</t>
  </si>
  <si>
    <t>9875796</t>
  </si>
  <si>
    <t>Harvard business review</t>
  </si>
  <si>
    <t>HARVARD BUSINESS REVIEW</t>
  </si>
  <si>
    <t>Harv Bus Rev</t>
  </si>
  <si>
    <t>00178012</t>
  </si>
  <si>
    <t>Harvard Business School Pub.</t>
  </si>
  <si>
    <t>Bimonthly, 1948-</t>
  </si>
  <si>
    <t>9103776</t>
  </si>
  <si>
    <t>Harvard dental bulletin</t>
  </si>
  <si>
    <t>HARVARD DENTAL BULLETIN</t>
  </si>
  <si>
    <t>Harv Dent Bull</t>
  </si>
  <si>
    <t>Continues: Harvard dental alumni bulletin.</t>
  </si>
  <si>
    <t>1062029X</t>
  </si>
  <si>
    <t>Harvard School of Dental Medicine and the Harvard Dental Alumni Association</t>
  </si>
  <si>
    <t>9425764</t>
  </si>
  <si>
    <t>Harvard health letter / from Harvard Medical School</t>
  </si>
  <si>
    <t>HARVARD HEALTH LETTER / FROM HARVARD MEDICAL SCHOOL</t>
  </si>
  <si>
    <t>Harv Health Lett</t>
  </si>
  <si>
    <t>Continues: Harvard Medical School health letter.</t>
  </si>
  <si>
    <t>10521577</t>
  </si>
  <si>
    <t>Harvard Medical School Health Publications Group</t>
  </si>
  <si>
    <t>9425723</t>
  </si>
  <si>
    <t>Harvard heart letter : from Harvard Medical School</t>
  </si>
  <si>
    <t>HARVARD HEART LETTER : FROM HARVARD MEDICAL SCHOOL</t>
  </si>
  <si>
    <t>Harv Heart Lett</t>
  </si>
  <si>
    <t>10515313</t>
  </si>
  <si>
    <t>7703681</t>
  </si>
  <si>
    <t>Harvard law review</t>
  </si>
  <si>
    <t>HARVARD LAW REVIEW</t>
  </si>
  <si>
    <t>Harv Law Rev</t>
  </si>
  <si>
    <t>0017811X</t>
  </si>
  <si>
    <t>Harvard Law Review Association</t>
  </si>
  <si>
    <t>Monthly (Nov. to June) Nov. 1902-</t>
  </si>
  <si>
    <t>9802701</t>
  </si>
  <si>
    <t>Harvard men's health watch</t>
  </si>
  <si>
    <t>HARVARD MEN'S HEALTH WATCH</t>
  </si>
  <si>
    <t>Harv Mens Health Watch</t>
  </si>
  <si>
    <t>10891102</t>
  </si>
  <si>
    <t>9417017</t>
  </si>
  <si>
    <t>The Harvard mental health letter / from Harvard Medical School</t>
  </si>
  <si>
    <t>HARVARD MENTAL HEALTH LETTER / FROM HARVARD MEDICAL SCHOOL</t>
  </si>
  <si>
    <t>Harv Ment Health Lett</t>
  </si>
  <si>
    <t>Continues: Harvard Medical School mental health letter.</t>
  </si>
  <si>
    <t>10575022</t>
  </si>
  <si>
    <t>Harvard Medical School Health Publications</t>
  </si>
  <si>
    <t>9312789</t>
  </si>
  <si>
    <t>Harvard review of psychiatry</t>
  </si>
  <si>
    <t>HARVARD REVIEW OF PSYCHIATRY</t>
  </si>
  <si>
    <t>Harv Rev Psychiatry</t>
  </si>
  <si>
    <t>9423147</t>
  </si>
  <si>
    <t>Harvard women's health watch</t>
  </si>
  <si>
    <t>HARVARD WOMEN'S HEALTH WATCH</t>
  </si>
  <si>
    <t>Harv Womens Health Watch</t>
  </si>
  <si>
    <t>1070910X</t>
  </si>
  <si>
    <t>Harvard Medical Schoole Health Publications Group</t>
  </si>
  <si>
    <t>0404252</t>
  </si>
  <si>
    <t>Harvey lectures</t>
  </si>
  <si>
    <t>HARVEY LECTURES</t>
  </si>
  <si>
    <t>Harvey Lect</t>
  </si>
  <si>
    <t>00730874</t>
  </si>
  <si>
    <t>Alan R. Liss</t>
  </si>
  <si>
    <t>Medicine#Physiology</t>
  </si>
  <si>
    <t>0410447</t>
  </si>
  <si>
    <t>The Hastings Center report</t>
  </si>
  <si>
    <t>HASTINGS CENTER REPORT</t>
  </si>
  <si>
    <t>Hastings Cent Rep</t>
  </si>
  <si>
    <t>Absorbed: Studies - Hasting Center. Hastings Center Feb. 1975</t>
  </si>
  <si>
    <t>00930334</t>
  </si>
  <si>
    <t>Ethics#Health Services Research#Psychiatry</t>
  </si>
  <si>
    <t>0372755</t>
  </si>
  <si>
    <t>Der Hautarzt; Zeitschrift für Dermatologie, Venerologie, und verwandte Gebiete</t>
  </si>
  <si>
    <t>HAUTARZT; ZEITSCHRIFT FUR DERMATOLOGIE, VENEROLOGIE, UND VERWANDTE GEBIETE</t>
  </si>
  <si>
    <t>101579076</t>
  </si>
  <si>
    <t>Hawai'i journal of medicine &amp; public health : a journal of Asia Pacific Medicine &amp; Public Health</t>
  </si>
  <si>
    <t>HAWAI'I JOURNAL OF MEDICINE &amp; PUBLIC HEALTH : A JOURNAL OF ASIA PACIFIC MEDICINE &amp; PUBLIC HEALTH</t>
  </si>
  <si>
    <t>Hawaii J Med Public Health</t>
  </si>
  <si>
    <t>Merger of : Hawaii journal of public health, and: Hawaii medical journal.</t>
  </si>
  <si>
    <t>21658242</t>
  </si>
  <si>
    <t>21658218</t>
  </si>
  <si>
    <t>University Clinical, Education &amp; Research Associates (UCERA)</t>
  </si>
  <si>
    <t>101540870</t>
  </si>
  <si>
    <t>HDA now / Hawaii Dental Association</t>
  </si>
  <si>
    <t>HDA NOW / HAWAII DENTAL ASSOCIATION</t>
  </si>
  <si>
    <t>HDA Now</t>
  </si>
  <si>
    <t>Continues: Hawaii dental journal.</t>
  </si>
  <si>
    <t>Hawaii Dental Association</t>
  </si>
  <si>
    <t>101245792</t>
  </si>
  <si>
    <t>Head &amp; face medicine</t>
  </si>
  <si>
    <t>HEAD &amp; FACE MEDICINE</t>
  </si>
  <si>
    <t>Head Face Med</t>
  </si>
  <si>
    <t>1746160X</t>
  </si>
  <si>
    <t>Dentistry#Medicine#Orthopedics</t>
  </si>
  <si>
    <t>8902541</t>
  </si>
  <si>
    <t>Head &amp; neck</t>
  </si>
  <si>
    <t>HEAD &amp; NECK</t>
  </si>
  <si>
    <t>Head Neck</t>
  </si>
  <si>
    <t>Continues: Head &amp; neck surgery.</t>
  </si>
  <si>
    <t>101304010</t>
  </si>
  <si>
    <t>Head and neck pathology</t>
  </si>
  <si>
    <t>HEAD AND NECK PATHOLOGY</t>
  </si>
  <si>
    <t>Head Neck Pathol</t>
  </si>
  <si>
    <t>19360568</t>
  </si>
  <si>
    <t>1936055X</t>
  </si>
  <si>
    <t>Neoplasms#Pathology</t>
  </si>
  <si>
    <t>2985091R</t>
  </si>
  <si>
    <t>HEADACHE</t>
  </si>
  <si>
    <t>Ten no. a year, &lt;1997-&gt;</t>
  </si>
  <si>
    <t>9510067</t>
  </si>
  <si>
    <t>Health &amp; place</t>
  </si>
  <si>
    <t>HEALTH &amp; PLACE</t>
  </si>
  <si>
    <t>Health Place</t>
  </si>
  <si>
    <t>Continues: Geographia medica.</t>
  </si>
  <si>
    <t>9306359</t>
  </si>
  <si>
    <t>Health &amp; social care in the community</t>
  </si>
  <si>
    <t>HEALTH &amp; SOCIAL CARE IN THE COMMUNITY</t>
  </si>
  <si>
    <t>Health Soc Care Community</t>
  </si>
  <si>
    <t>13652524</t>
  </si>
  <si>
    <t>09660410</t>
  </si>
  <si>
    <t>Health Services#Public Health#Social Sciences</t>
  </si>
  <si>
    <t>7611528</t>
  </si>
  <si>
    <t>Health &amp; social work</t>
  </si>
  <si>
    <t>HEALTH &amp; SOCIAL WORK</t>
  </si>
  <si>
    <t>Health Soc Work</t>
  </si>
  <si>
    <t>15456854</t>
  </si>
  <si>
    <t>03607283</t>
  </si>
  <si>
    <t>9800465</t>
  </si>
  <si>
    <t>Health (London, England : 1997)</t>
  </si>
  <si>
    <t>HEALTH (LONDON, ENGLAND : 1997)</t>
  </si>
  <si>
    <t>Health (London)</t>
  </si>
  <si>
    <t>14617196</t>
  </si>
  <si>
    <t>13634593</t>
  </si>
  <si>
    <t>8303128</t>
  </si>
  <si>
    <t>Health affairs (Project Hope)</t>
  </si>
  <si>
    <t>HEALTH AFFAIRS (PROJECT HOPE)</t>
  </si>
  <si>
    <t>Health Aff (Millwood)</t>
  </si>
  <si>
    <t>Project Hope</t>
  </si>
  <si>
    <t>100888373</t>
  </si>
  <si>
    <t>Health and history</t>
  </si>
  <si>
    <t>HEALTH AND HISTORY</t>
  </si>
  <si>
    <t>Health History</t>
  </si>
  <si>
    <t>14421771</t>
  </si>
  <si>
    <t>Australian Society for the History of Medicine</t>
  </si>
  <si>
    <t>Twice yearly</t>
  </si>
  <si>
    <t>9502498</t>
  </si>
  <si>
    <t>Health and human rights</t>
  </si>
  <si>
    <t>HEALTH AND HUMAN RIGHTS</t>
  </si>
  <si>
    <t>Health Hum Rights</t>
  </si>
  <si>
    <t>21504113</t>
  </si>
  <si>
    <t>10790969</t>
  </si>
  <si>
    <t>Harvard School of Public Health, François-Xavier Bagnoud Center for Health and Human Rights</t>
  </si>
  <si>
    <t>Ethics#Public Health#Social Sciences</t>
  </si>
  <si>
    <t>101153626</t>
  </si>
  <si>
    <t>Health and quality of life outcomes</t>
  </si>
  <si>
    <t>HEALTH AND QUALITY OF LIFE OUTCOMES</t>
  </si>
  <si>
    <t>Health Qual Life Outcomes</t>
  </si>
  <si>
    <t>9432537</t>
  </si>
  <si>
    <t>Health care analysis : HCA : journal of health philosophy and policy</t>
  </si>
  <si>
    <t>HEALTH CARE ANALYSIS : HCA : JOURNAL OF HEALTH PHILOSOPHY AND POLICY</t>
  </si>
  <si>
    <t>Health Care Anal</t>
  </si>
  <si>
    <t>15733394</t>
  </si>
  <si>
    <t>10653058</t>
  </si>
  <si>
    <t>9617616</t>
  </si>
  <si>
    <t>Health care financing review. Statistical supplement</t>
  </si>
  <si>
    <t>HEALTH CARE FINANCING REVIEW. STATISTICAL SUPPLEMENT</t>
  </si>
  <si>
    <t>Health Care Financ Rev Stat Suppl</t>
  </si>
  <si>
    <t>Continues: Health care financing review. Annual supplement.</t>
  </si>
  <si>
    <t>15530930</t>
  </si>
  <si>
    <t>U.S. Dept. of Health and Human Services, Health Care Financing Administration, Office of Research and Demonstrations</t>
  </si>
  <si>
    <t>Health Services#Statistics as Topic</t>
  </si>
  <si>
    <t>8411543</t>
  </si>
  <si>
    <t>Health care for women international</t>
  </si>
  <si>
    <t>HEALTH CARE FOR WOMEN INTERNATIONAL</t>
  </si>
  <si>
    <t>Health Care Women Int</t>
  </si>
  <si>
    <t>Continues: Issues in health care of women.</t>
  </si>
  <si>
    <t>10964665</t>
  </si>
  <si>
    <t>07399332</t>
  </si>
  <si>
    <t>Health Services#Nursing#Women's Health</t>
  </si>
  <si>
    <t>9814757</t>
  </si>
  <si>
    <t>Health care law monthly</t>
  </si>
  <si>
    <t>HEALTH CARE LAW MONTHLY</t>
  </si>
  <si>
    <t>Health Care Law Mon</t>
  </si>
  <si>
    <t>Continues: Bender's health care law monthly.</t>
  </si>
  <si>
    <t>15260704</t>
  </si>
  <si>
    <t>Matthew Bender</t>
  </si>
  <si>
    <t>Health Services#Hospitals#Jurisprudence</t>
  </si>
  <si>
    <t>7611530</t>
  </si>
  <si>
    <t>Health care management review</t>
  </si>
  <si>
    <t>HEALTH CARE MANAGEMENT REVIEW</t>
  </si>
  <si>
    <t>Health Care Manage Rev</t>
  </si>
  <si>
    <t>15505030</t>
  </si>
  <si>
    <t>03616274</t>
  </si>
  <si>
    <t>9815649</t>
  </si>
  <si>
    <t>Health care management science</t>
  </si>
  <si>
    <t>HEALTH CARE MANAGEMENT SCIENCE</t>
  </si>
  <si>
    <t>Health Care Manag Sci</t>
  </si>
  <si>
    <t>13869620</t>
  </si>
  <si>
    <t>Baltzer Science Publishers</t>
  </si>
  <si>
    <t>100896672</t>
  </si>
  <si>
    <t>The health care manager</t>
  </si>
  <si>
    <t>HEALTH CARE MANAGER</t>
  </si>
  <si>
    <t>Health Care Manag (Frederick)</t>
  </si>
  <si>
    <t>Continues: Health care supervisor.</t>
  </si>
  <si>
    <t>1550512X</t>
  </si>
  <si>
    <t>15255794</t>
  </si>
  <si>
    <t>8405900</t>
  </si>
  <si>
    <t>Health care strategic management</t>
  </si>
  <si>
    <t>HEALTH CARE STRATEGIC MANAGEMENT</t>
  </si>
  <si>
    <t>Health Care Strateg Manage</t>
  </si>
  <si>
    <t>07421478</t>
  </si>
  <si>
    <t>Business Word</t>
  </si>
  <si>
    <t>8908762</t>
  </si>
  <si>
    <t>Health communication</t>
  </si>
  <si>
    <t>HEALTH COMMUNICATION</t>
  </si>
  <si>
    <t>Health Commun</t>
  </si>
  <si>
    <t>15327027</t>
  </si>
  <si>
    <t>10410236</t>
  </si>
  <si>
    <t>Health Services#Health Services Research</t>
  </si>
  <si>
    <t>9512999</t>
  </si>
  <si>
    <t>Health data management</t>
  </si>
  <si>
    <t>HEALTH DATA MANAGEMENT</t>
  </si>
  <si>
    <t>Health Data Manag</t>
  </si>
  <si>
    <t>Continues: Medical claims management.</t>
  </si>
  <si>
    <t>10799869</t>
  </si>
  <si>
    <t>Faulkner &amp; Gray</t>
  </si>
  <si>
    <t>Thirteen no. a year, 1997-</t>
  </si>
  <si>
    <t>9306780</t>
  </si>
  <si>
    <t>Health economics</t>
  </si>
  <si>
    <t>HEALTH ECONOMICS</t>
  </si>
  <si>
    <t>Health Econ</t>
  </si>
  <si>
    <t>Twelve no. a year 2003-</t>
  </si>
  <si>
    <t>101247224</t>
  </si>
  <si>
    <t>Health economics, policy, and law</t>
  </si>
  <si>
    <t>HEALTH ECONOMICS, POLICY, AND LAW</t>
  </si>
  <si>
    <t>Health Econ Policy Law</t>
  </si>
  <si>
    <t>Health Services#Jurisprudence#Public Health</t>
  </si>
  <si>
    <t>9704962</t>
  </si>
  <si>
    <t>Health education &amp; behavior : the official publication of the Society for Public Health Education</t>
  </si>
  <si>
    <t>HEALTH EDUCATION &amp; BEHAVIOR : THE OFFICIAL PUBLICATION OF THE SOCIETY FOR PUBLIC HEALTH EDUCATION</t>
  </si>
  <si>
    <t>Health Educ Behav</t>
  </si>
  <si>
    <t>Continues: Health education quarterly.</t>
  </si>
  <si>
    <t>15526127</t>
  </si>
  <si>
    <t>10901981</t>
  </si>
  <si>
    <t>Behavioral Sciences#Education#Public Health</t>
  </si>
  <si>
    <t>7904999</t>
  </si>
  <si>
    <t>Health education reports</t>
  </si>
  <si>
    <t>HEALTH EDUCATION REPORTS</t>
  </si>
  <si>
    <t>Health Educ Rep</t>
  </si>
  <si>
    <t>01935232</t>
  </si>
  <si>
    <t>Plus Publications.</t>
  </si>
  <si>
    <t>8608459</t>
  </si>
  <si>
    <t>Health education research</t>
  </si>
  <si>
    <t>HEALTH EDUCATION RESEARCH</t>
  </si>
  <si>
    <t>Health Educ Res</t>
  </si>
  <si>
    <t>14653648</t>
  </si>
  <si>
    <t>02681153</t>
  </si>
  <si>
    <t>100888268</t>
  </si>
  <si>
    <t>Health estate</t>
  </si>
  <si>
    <t>HEALTH ESTATE</t>
  </si>
  <si>
    <t>Health Estate</t>
  </si>
  <si>
    <t>Continues: Health estate journal.</t>
  </si>
  <si>
    <t>Institute of Healthcare Engineering and Estate Management</t>
  </si>
  <si>
    <t>9815926</t>
  </si>
  <si>
    <t>Health expectations : an international journal of public participation in health care and health policy</t>
  </si>
  <si>
    <t>HEALTH EXPECTATIONS : AN INTERNATIONAL JOURNAL OF PUBLIC PARTICIPATION IN HEALTH CARE AND HEALTH POLICY</t>
  </si>
  <si>
    <t>Health Expect</t>
  </si>
  <si>
    <t>13697625</t>
  </si>
  <si>
    <t>13696513</t>
  </si>
  <si>
    <t>8906517</t>
  </si>
  <si>
    <t>Health facilities management</t>
  </si>
  <si>
    <t>HEALTH FACILITIES MANAGEMENT</t>
  </si>
  <si>
    <t>Health Facil Manage</t>
  </si>
  <si>
    <t>08996210</t>
  </si>
  <si>
    <t>Health Forum Inc.</t>
  </si>
  <si>
    <t>100883604</t>
  </si>
  <si>
    <t>Health informatics journal</t>
  </si>
  <si>
    <t>HEALTH INFORMATICS JOURNAL</t>
  </si>
  <si>
    <t>Health Informatics J</t>
  </si>
  <si>
    <t>Continues: Health informatics (Edinburgh, Scotland).</t>
  </si>
  <si>
    <t>17412811</t>
  </si>
  <si>
    <t>14604582</t>
  </si>
  <si>
    <t>100970070</t>
  </si>
  <si>
    <t>Health information and libraries journal</t>
  </si>
  <si>
    <t>HEALTH INFORMATION AND LIBRARIES JOURNAL</t>
  </si>
  <si>
    <t>Health Info Libr J</t>
  </si>
  <si>
    <t>Continues: Health libraries review.</t>
  </si>
  <si>
    <t>14711842</t>
  </si>
  <si>
    <t>14711834</t>
  </si>
  <si>
    <t>Health Services#Medical Informatics</t>
  </si>
  <si>
    <t>8101300</t>
  </si>
  <si>
    <t>Health law in Canada</t>
  </si>
  <si>
    <t>HEALTH LAW IN CANADA</t>
  </si>
  <si>
    <t>Health Law Can</t>
  </si>
  <si>
    <t>02268841</t>
  </si>
  <si>
    <t>Butterworths for the Canadian Institute of Law and Medicine</t>
  </si>
  <si>
    <t>Health Services#Jurisprudence</t>
  </si>
  <si>
    <t>9804242</t>
  </si>
  <si>
    <t>Health law journal</t>
  </si>
  <si>
    <t>HEALTH LAW JOURNAL</t>
  </si>
  <si>
    <t>Health Law J</t>
  </si>
  <si>
    <t>11928336</t>
  </si>
  <si>
    <t>Health Law Institute</t>
  </si>
  <si>
    <t>9423239</t>
  </si>
  <si>
    <t>Health management technology</t>
  </si>
  <si>
    <t>HEALTH MANAGEMENT TECHNOLOGY</t>
  </si>
  <si>
    <t>Health Manag Technol</t>
  </si>
  <si>
    <t>Continues: Computers in healthcare.</t>
  </si>
  <si>
    <t>10744770</t>
  </si>
  <si>
    <t>Nelson Publishing Inc.</t>
  </si>
  <si>
    <t>7801226</t>
  </si>
  <si>
    <t>Health manpower report</t>
  </si>
  <si>
    <t>HEALTH MANPOWER REPORT</t>
  </si>
  <si>
    <t>Health Manpow Rep</t>
  </si>
  <si>
    <t>Merged with Health planning &amp; manpower reports to form Health Planning &amp; manpower report.</t>
  </si>
  <si>
    <t>01616781</t>
  </si>
  <si>
    <t>Capitol Publication, inc.</t>
  </si>
  <si>
    <t>8306485</t>
  </si>
  <si>
    <t>Health marketing quarterly</t>
  </si>
  <si>
    <t>HEALTH MARKETING QUARTERLY</t>
  </si>
  <si>
    <t>Health Mark Q</t>
  </si>
  <si>
    <t>Continues: Health &amp; medical care services review.</t>
  </si>
  <si>
    <t>15450864</t>
  </si>
  <si>
    <t>07359683</t>
  </si>
  <si>
    <t>9311154</t>
  </si>
  <si>
    <t>Health matrix (Cleveland, Ohio : 1991)</t>
  </si>
  <si>
    <t>HEALTH MATRIX (CLEVELAND, OHIO : 1991)</t>
  </si>
  <si>
    <t>Health Matrix Clevel</t>
  </si>
  <si>
    <t>Continues: Health matrix.</t>
  </si>
  <si>
    <t>0748383X</t>
  </si>
  <si>
    <t>Case Western Reserve University School of Law</t>
  </si>
  <si>
    <t>2985093R</t>
  </si>
  <si>
    <t>Health physics</t>
  </si>
  <si>
    <t>HEALTH PHYSICS</t>
  </si>
  <si>
    <t>Health Phys</t>
  </si>
  <si>
    <t>15385159</t>
  </si>
  <si>
    <t>00179078</t>
  </si>
  <si>
    <t>8409431</t>
  </si>
  <si>
    <t>Health policy (Amsterdam, Netherlands)</t>
  </si>
  <si>
    <t>HEALTH POLICY (AMSTERDAM, NETHERLANDS)</t>
  </si>
  <si>
    <t>Continues: Health policy and education.</t>
  </si>
  <si>
    <t>8610614</t>
  </si>
  <si>
    <t>Health policy and planning</t>
  </si>
  <si>
    <t>HEALTH POLICY AND PLANNING</t>
  </si>
  <si>
    <t>Health Policy Plan</t>
  </si>
  <si>
    <t>14602237</t>
  </si>
  <si>
    <t>02681080</t>
  </si>
  <si>
    <t>Oxford University Press in association with the London School of Hygiene and Tropical Medicine</t>
  </si>
  <si>
    <t>Six no. a year, 2004 -</t>
  </si>
  <si>
    <t>8500263</t>
  </si>
  <si>
    <t>Health progress (Saint Louis, Mo.)</t>
  </si>
  <si>
    <t>HEALTH PROGRESS (SAINT LOUIS, MO.)</t>
  </si>
  <si>
    <t>Health Prog</t>
  </si>
  <si>
    <t>Continues: Hospital progress.</t>
  </si>
  <si>
    <t>08821577</t>
  </si>
  <si>
    <t>Catholic Health Association of the United States</t>
  </si>
  <si>
    <t>9008939</t>
  </si>
  <si>
    <t>Health promotion international</t>
  </si>
  <si>
    <t>HEALTH PROMOTION INTERNATIONAL</t>
  </si>
  <si>
    <t>Health Promot Int</t>
  </si>
  <si>
    <t>Continues: Health promotion (Oxford, England).</t>
  </si>
  <si>
    <t>14602245</t>
  </si>
  <si>
    <t>09574824</t>
  </si>
  <si>
    <t>9710936</t>
  </si>
  <si>
    <t>Health promotion journal of Australia : official journal of Australian Association of Health Promotion Professionals</t>
  </si>
  <si>
    <t>HEALTH PROMOTION JOURNAL OF AUSTRALIA : OFFICIAL JOURNAL OF AUSTRALIAN ASSOCIATION OF HEALTH PROMOTION PROFESSIONALS</t>
  </si>
  <si>
    <t>Health Promot J Austr</t>
  </si>
  <si>
    <t>10361073</t>
  </si>
  <si>
    <t>CSIRO Publishing</t>
  </si>
  <si>
    <t>100890609</t>
  </si>
  <si>
    <t>Health promotion practice</t>
  </si>
  <si>
    <t>HEALTH PROMOTION PRACTICE</t>
  </si>
  <si>
    <t>Health Promot Pract</t>
  </si>
  <si>
    <t>15248399</t>
  </si>
  <si>
    <t>8211523</t>
  </si>
  <si>
    <t>Health psychology : official journal of the Division of Health Psychology, American Psychological Association</t>
  </si>
  <si>
    <t>HEALTH PSYCHOLOGY : OFFICIAL JOURNAL OF THE DIVISION OF HEALTH PSYCHOLOGY, AMERICAN PSYCHOLOGICAL ASSOCIATION</t>
  </si>
  <si>
    <t>Health Psychol</t>
  </si>
  <si>
    <t>American Psychological Association, Division of Health Psychology</t>
  </si>
  <si>
    <t>9012854</t>
  </si>
  <si>
    <t>Health reports</t>
  </si>
  <si>
    <t>HEALTH REPORTS</t>
  </si>
  <si>
    <t>Health Rep</t>
  </si>
  <si>
    <t>12091367</t>
  </si>
  <si>
    <t>08406529</t>
  </si>
  <si>
    <t>Statistics Canada</t>
  </si>
  <si>
    <t>101170481</t>
  </si>
  <si>
    <t>Health research policy and systems / BioMed Central</t>
  </si>
  <si>
    <t>HEALTH RESEARCH POLICY AND SYSTEMS / BIOMED CENTRAL</t>
  </si>
  <si>
    <t>Health Res Policy Syst</t>
  </si>
  <si>
    <t>8605800</t>
  </si>
  <si>
    <t>The Health service journal</t>
  </si>
  <si>
    <t>HEALTH SERVICE JOURNAL</t>
  </si>
  <si>
    <t>Health Serv J</t>
  </si>
  <si>
    <t>Continues: Health and social service journal.</t>
  </si>
  <si>
    <t>09522271</t>
  </si>
  <si>
    <t>Emap Healthcare Ltd</t>
  </si>
  <si>
    <t>8811549</t>
  </si>
  <si>
    <t>Health services management research : an official journal of the Association of University Programs in Health Administration / HSMC, AUPHA</t>
  </si>
  <si>
    <t>HEALTH SERVICES MANAGEMENT RESEARCH : AN OFFICIAL JOURNAL OF THE ASSOCIATION OF UNIVERSITY PROGRAMS IN HEALTH ADMINISTRATION / HSMC, AUPHA</t>
  </si>
  <si>
    <t>Health Serv Manage Res</t>
  </si>
  <si>
    <t>17581044</t>
  </si>
  <si>
    <t>Quarterly, &lt;Aug. 1993-&gt;</t>
  </si>
  <si>
    <t>0053006</t>
  </si>
  <si>
    <t>Health services research</t>
  </si>
  <si>
    <t>HEALTH SERVICES RESEARCH</t>
  </si>
  <si>
    <t>Health Serv Res</t>
  </si>
  <si>
    <t>100886205</t>
  </si>
  <si>
    <t>Health statistics quarterly / Office for National Statistics</t>
  </si>
  <si>
    <t>HEALTH STATISTICS QUARTERLY / OFFICE FOR NATIONAL STATISTICS</t>
  </si>
  <si>
    <t>Health Stat Q</t>
  </si>
  <si>
    <t>20401574</t>
  </si>
  <si>
    <t>14651645</t>
  </si>
  <si>
    <t>The Stationery Office</t>
  </si>
  <si>
    <t>Public Health#Statistics as Topic#Vital Statistics</t>
  </si>
  <si>
    <t>101492637</t>
  </si>
  <si>
    <t>Health systems in transition</t>
  </si>
  <si>
    <t>HEALTH SYSTEMS IN TRANSITION</t>
  </si>
  <si>
    <t>Health Syst Transit</t>
  </si>
  <si>
    <t>Continues: Health care systems in transition.</t>
  </si>
  <si>
    <t>18176127</t>
  </si>
  <si>
    <t>18176119</t>
  </si>
  <si>
    <t>World Health Organization, on behalf of the European Observatory on Health Systems and Policies</t>
  </si>
  <si>
    <t>9706284</t>
  </si>
  <si>
    <t>Health technology assessment (Winchester, England)</t>
  </si>
  <si>
    <t>HEALTH TECHNOLOGY ASSESSMENT (WINCHESTER, ENGLAND)</t>
  </si>
  <si>
    <t>Health Technol Assess</t>
  </si>
  <si>
    <t>8612808</t>
  </si>
  <si>
    <t>Healthcare executive</t>
  </si>
  <si>
    <t>HEALTHCARE EXECUTIVE</t>
  </si>
  <si>
    <t>Healthc Exec</t>
  </si>
  <si>
    <t>08835381</t>
  </si>
  <si>
    <t>8215859</t>
  </si>
  <si>
    <t>Healthcare financial management : journal of the Healthcare Financial Management Association</t>
  </si>
  <si>
    <t>HEALTHCARE FINANCIAL MANAGEMENT : JOURNAL OF THE HEALTHCARE FINANCIAL MANAGEMENT ASSOCIATION</t>
  </si>
  <si>
    <t>Healthc Financ Manage</t>
  </si>
  <si>
    <t>Continues: Hospital financial management.</t>
  </si>
  <si>
    <t>07350732</t>
  </si>
  <si>
    <t>Healthcare Financial Management Association</t>
  </si>
  <si>
    <t>100955103</t>
  </si>
  <si>
    <t>Healthcare hazard management monitor : HHMM : the newsletter of the Center for Healthcare Environmental Management</t>
  </si>
  <si>
    <t>HEALTHCARE HAZARD MANAGEMENT MONITOR : HHMM : THE NEWSLETTER OF THE CENTER FOR HEALTHCARE ENVIRONMENTAL MANAGEMENT</t>
  </si>
  <si>
    <t>Healthc Hazard Manage Monit</t>
  </si>
  <si>
    <t>Continues: Healthcare hazardous materials management.</t>
  </si>
  <si>
    <t>15323633</t>
  </si>
  <si>
    <t>ECRI</t>
  </si>
  <si>
    <t>Environmental Health#Health Services</t>
  </si>
  <si>
    <t>9004557</t>
  </si>
  <si>
    <t>Healthcare informatics : the business magazine for information and communication systems</t>
  </si>
  <si>
    <t>HEALTHCARE INFORMATICS : THE BUSINESS MAGAZINE FOR INFORMATION AND COMMUNICATION SYSTEMS</t>
  </si>
  <si>
    <t>Healthc Inform</t>
  </si>
  <si>
    <t>Continues: U.S. healthcare.</t>
  </si>
  <si>
    <t>10509135</t>
  </si>
  <si>
    <t>McGraw-Hill</t>
  </si>
  <si>
    <t>8805307</t>
  </si>
  <si>
    <t>Healthcare management forum / Canadian College of Health Service Executives = Forum gestion des soins de santé / Collège canadien des directeurs de services de santé</t>
  </si>
  <si>
    <t>HEALTHCARE MANAGEMENT FORUM / CANADIAN COLLEGE OF HEALTH SERVICE EXECUTIVES = FORUM GESTION DES SOINS DE SANTE / COLLEGE CANADIEN DES DIRECTEURS DE SERVICES DE SANTE</t>
  </si>
  <si>
    <t>Healthc Manage Forum</t>
  </si>
  <si>
    <t>Continues: Health management forum.</t>
  </si>
  <si>
    <t>Foundation of the Canadian College of Health Service Executives</t>
  </si>
  <si>
    <t>101585961</t>
  </si>
  <si>
    <t>Healthcare philanthropy</t>
  </si>
  <si>
    <t>HEALTHCARE PHILANTHROPY</t>
  </si>
  <si>
    <t>Healthc Philanthr</t>
  </si>
  <si>
    <t>Continues: AHP journal.</t>
  </si>
  <si>
    <t>21622507</t>
  </si>
  <si>
    <t>21622493</t>
  </si>
  <si>
    <t>Stratton Pub. &amp; Marketing Inc.</t>
  </si>
  <si>
    <t>101280107</t>
  </si>
  <si>
    <t>Healthcare policy = Politiques de santé</t>
  </si>
  <si>
    <t>HEALTHCARE POLICY = POLITIQUES DE SANTE</t>
  </si>
  <si>
    <t>Healthc Policy</t>
  </si>
  <si>
    <t>Longwoods Pub.</t>
  </si>
  <si>
    <t>101208192</t>
  </si>
  <si>
    <t>Healthcare quarterly (Toronto, Ont.)</t>
  </si>
  <si>
    <t>HEALTHCARE QUARTERLY (TORONTO, ONT.)</t>
  </si>
  <si>
    <t>Healthc Q</t>
  </si>
  <si>
    <t>Continues: Hospital quarterly.</t>
  </si>
  <si>
    <t>17102774</t>
  </si>
  <si>
    <t>100961305</t>
  </si>
  <si>
    <t>HealthcarePapers</t>
  </si>
  <si>
    <t>HEALTHCAREPAPERS</t>
  </si>
  <si>
    <t>Healthc Pap</t>
  </si>
  <si>
    <t>1488917X</t>
  </si>
  <si>
    <t>[Longwoods]</t>
  </si>
  <si>
    <t>101482652</t>
  </si>
  <si>
    <t>Healthy people statistical notes / Healthy People 2010</t>
  </si>
  <si>
    <t>HEALTHY PEOPLE STATISTICAL NOTES / HEALTHY PEOPLE 2010</t>
  </si>
  <si>
    <t>Healthy People Stat Notes</t>
  </si>
  <si>
    <t>Continues: Healthy People 2010 statistical notes.</t>
  </si>
  <si>
    <t>U.S. Dept. of Health and Human Services, Centers for Disease Control and Prevention, National Center for Health Statistics</t>
  </si>
  <si>
    <t>7900445</t>
  </si>
  <si>
    <t>Hearing research</t>
  </si>
  <si>
    <t>HEARING RESEARCH</t>
  </si>
  <si>
    <t>Hear Res</t>
  </si>
  <si>
    <t>0330057</t>
  </si>
  <si>
    <t>Heart &amp; lung : the journal of critical care</t>
  </si>
  <si>
    <t>HEART &amp; LUNG : THE JOURNAL OF CRITICAL CARE</t>
  </si>
  <si>
    <t>Heart Lung</t>
  </si>
  <si>
    <t>Mosby.</t>
  </si>
  <si>
    <t>Cardiology#Critical Care#Pulmonary Medicine</t>
  </si>
  <si>
    <t>9602087</t>
  </si>
  <si>
    <t>Heart (British Cardiac Society)</t>
  </si>
  <si>
    <t>HEART (BRITISH CARDIAC SOCIETY)</t>
  </si>
  <si>
    <t>Continues: British heart journal.</t>
  </si>
  <si>
    <t>9892190</t>
  </si>
  <si>
    <t>Heart advisor / the Cleveland Clinic</t>
  </si>
  <si>
    <t>HEART ADVISOR / THE CLEVELAND CLINIC</t>
  </si>
  <si>
    <t>Heart Advis</t>
  </si>
  <si>
    <t>Continues: Heartline (Cleveland, Ohio).</t>
  </si>
  <si>
    <t>15239004</t>
  </si>
  <si>
    <t>Englander Communications</t>
  </si>
  <si>
    <t>8511258</t>
  </si>
  <si>
    <t>Heart and vessels</t>
  </si>
  <si>
    <t>HEART AND VESSELS</t>
  </si>
  <si>
    <t>Heart Vessels</t>
  </si>
  <si>
    <t>101231934</t>
  </si>
  <si>
    <t>Heart failure clinics</t>
  </si>
  <si>
    <t>HEART FAILURE CLINICS</t>
  </si>
  <si>
    <t>Heart Fail Clin</t>
  </si>
  <si>
    <t>Elsevier/Saunders</t>
  </si>
  <si>
    <t>9612481</t>
  </si>
  <si>
    <t>Heart failure reviews</t>
  </si>
  <si>
    <t>HEART FAILURE REVIEWS</t>
  </si>
  <si>
    <t>Heart Fail Rev</t>
  </si>
  <si>
    <t>101200317</t>
  </si>
  <si>
    <t>Heart rhythm : the official journal of the Heart Rhythm Society</t>
  </si>
  <si>
    <t>HEART RHYTHM : THE OFFICIAL JOURNAL OF THE HEART RHYTHM SOCIETY</t>
  </si>
  <si>
    <t>Monthly, except June and August.</t>
  </si>
  <si>
    <t>100891112</t>
  </si>
  <si>
    <t>The heart surgery forum</t>
  </si>
  <si>
    <t>HEART SURGERY FORUM</t>
  </si>
  <si>
    <t>Heart Surg Forum</t>
  </si>
  <si>
    <t>Forum Multimedia Pub.</t>
  </si>
  <si>
    <t>100963739</t>
  </si>
  <si>
    <t>Heart, lung &amp; circulation</t>
  </si>
  <si>
    <t>HEART, LUNG &amp; CIRCULATION</t>
  </si>
  <si>
    <t>Heart Lung Circ</t>
  </si>
  <si>
    <t>Continues: Asia Pacific heart journal.</t>
  </si>
  <si>
    <t>8917455</t>
  </si>
  <si>
    <t>HEC forum : an interdisciplinary journal on hospitals' ethical and legal issues</t>
  </si>
  <si>
    <t>HEC FORUM : AN INTERDISCIPLINARY JOURNAL ON HOSPITALS' ETHICAL AND LEGAL ISSUES</t>
  </si>
  <si>
    <t>HEC Forum</t>
  </si>
  <si>
    <t>15728498</t>
  </si>
  <si>
    <t>09562737</t>
  </si>
  <si>
    <t>Ethics#Hospitals#Jurisprudence</t>
  </si>
  <si>
    <t>9605411</t>
  </si>
  <si>
    <t>HELICOBACTER</t>
  </si>
  <si>
    <t>Bacteriology</t>
  </si>
  <si>
    <t>101257381</t>
  </si>
  <si>
    <t>Hellenic journal of cardiology : HJC = Hellēnikē kardiologikē epitheōrēsē</t>
  </si>
  <si>
    <t>HELLENIC JOURNAL OF CARDIOLOGY : HJC = HELLENIKE KARDIOLOGIKE EPITHEORESE</t>
  </si>
  <si>
    <t>Hellenic J Cardiol</t>
  </si>
  <si>
    <t>22415955</t>
  </si>
  <si>
    <t>101257471</t>
  </si>
  <si>
    <t>Hellenic journal of nuclear medicine</t>
  </si>
  <si>
    <t>HELLENIC JOURNAL OF NUCLEAR MEDICINE</t>
  </si>
  <si>
    <t>Hell J Nucl Med</t>
  </si>
  <si>
    <t>Continues: Hellēnikē pyrēnikē iatrikē.</t>
  </si>
  <si>
    <t>Hellenic Society of Nuclear Medicine</t>
  </si>
  <si>
    <t>8307268</t>
  </si>
  <si>
    <t>Hematological oncology</t>
  </si>
  <si>
    <t>HEMATOLOGICAL ONCOLOGY</t>
  </si>
  <si>
    <t>Hematol Oncol</t>
  </si>
  <si>
    <t>4 no. a year, 1996-</t>
  </si>
  <si>
    <t>9708388</t>
  </si>
  <si>
    <t>Hematology (Amsterdam, Netherlands)</t>
  </si>
  <si>
    <t>HEMATOLOGY (AMSTERDAM, NETHERLANDS)</t>
  </si>
  <si>
    <t>Maney</t>
  </si>
  <si>
    <t>Six no. a year, 1999-</t>
  </si>
  <si>
    <t>100890099</t>
  </si>
  <si>
    <t>Hematology / the Education Program of the American Society of Hematology. American Society of Hematology. Education Program</t>
  </si>
  <si>
    <t>HEMATOLOGY / THE EDUCATION PROGRAM OF THE AMERICAN SOCIETY OF HEMATOLOGY. AMERICAN SOCIETY OF HEMATOLOGY. EDUCATION PROGRAM</t>
  </si>
  <si>
    <t>Hematology Am Soc Hematol Educ Program</t>
  </si>
  <si>
    <t>Continues: Education Program. American Society of Hematology. Education Program.</t>
  </si>
  <si>
    <t>15204383</t>
  </si>
  <si>
    <t>15204391</t>
  </si>
  <si>
    <t>The Society</t>
  </si>
  <si>
    <t>101468532</t>
  </si>
  <si>
    <t>Hematology/oncology and stem cell therapy</t>
  </si>
  <si>
    <t>HEMATOLOGY/ONCOLOGY AND STEM CELL THERAPY</t>
  </si>
  <si>
    <t>Hematol Oncol Stem Cell Ther</t>
  </si>
  <si>
    <t>8709473</t>
  </si>
  <si>
    <t>Hematology/oncology clinics of North America</t>
  </si>
  <si>
    <t>HEMATOLOGY/ONCOLOGY CLINICS OF NORTH AMERICA</t>
  </si>
  <si>
    <t>Hematol Oncol Clin North Am</t>
  </si>
  <si>
    <t>Formed by the union of: Clinics in haematology, in part, and: Clinics in oncology.</t>
  </si>
  <si>
    <t>Elsevier Health Science</t>
  </si>
  <si>
    <t>6 no. a year</t>
  </si>
  <si>
    <t>101093910</t>
  </si>
  <si>
    <t>Hemodialysis international. International Symposium on Home Hemodialysis</t>
  </si>
  <si>
    <t>HEMODIALYSIS INTERNATIONAL. INTERNATIONAL SYMPOSIUM ON HOME HEMODIALYSIS</t>
  </si>
  <si>
    <t>Hemodial Int</t>
  </si>
  <si>
    <t>Continues: Home hemodialysis international. International Symposium on Home Hemodialysis.</t>
  </si>
  <si>
    <t>Quarterly 2003-</t>
  </si>
  <si>
    <t>Nephrology#Therapeutics</t>
  </si>
  <si>
    <t>7705865</t>
  </si>
  <si>
    <t>HEMOGLOBIN</t>
  </si>
  <si>
    <t>101151457</t>
  </si>
  <si>
    <t>Hepatobiliary &amp; pancreatic diseases international : HBPD INT</t>
  </si>
  <si>
    <t>HEPATOBILIARY &amp; PANCREATIC DISEASES INTERNATIONAL : HBPD INT</t>
  </si>
  <si>
    <t>Hepatobiliary Pancreat Dis Int</t>
  </si>
  <si>
    <t>8007849</t>
  </si>
  <si>
    <t>Hepato-gastroenterology</t>
  </si>
  <si>
    <t>HEPATO-GASTROENTEROLOGY</t>
  </si>
  <si>
    <t>Hepatogastroenterology</t>
  </si>
  <si>
    <t>Continues: Acta hepato-gastroenterologica.</t>
  </si>
  <si>
    <t>H.G.E. Update Medical Publishing</t>
  </si>
  <si>
    <t>8302946</t>
  </si>
  <si>
    <t>Hepatology (Baltimore, Md.)</t>
  </si>
  <si>
    <t>HEPATOLOGY (BALTIMORE, MD.)</t>
  </si>
  <si>
    <t>101537529</t>
  </si>
  <si>
    <t>HERD</t>
  </si>
  <si>
    <t>19375867</t>
  </si>
  <si>
    <t>Vendome Group</t>
  </si>
  <si>
    <t>0374654</t>
  </si>
  <si>
    <t>HEREDITAS</t>
  </si>
  <si>
    <t>Published on behalf of the Mendelian Society of Lund by Blackwell</t>
  </si>
  <si>
    <t>Six no. a year, 1990-</t>
  </si>
  <si>
    <t>0373007</t>
  </si>
  <si>
    <t>Heredity</t>
  </si>
  <si>
    <t>HEREDITY</t>
  </si>
  <si>
    <t>Heredity (Edinb)</t>
  </si>
  <si>
    <t>13652540</t>
  </si>
  <si>
    <t>0018067X</t>
  </si>
  <si>
    <t>9715168</t>
  </si>
  <si>
    <t>Hernia : the journal of hernias and abdominal wall surgery</t>
  </si>
  <si>
    <t>HERNIA : THE JOURNAL OF HERNIAS AND ABDOMINAL WALL SURGERY</t>
  </si>
  <si>
    <t>7801231</t>
  </si>
  <si>
    <t>HERZ</t>
  </si>
  <si>
    <t>Urban Und Vogel</t>
  </si>
  <si>
    <t>9425873</t>
  </si>
  <si>
    <t>Herzschrittmachertherapie &amp; Elektrophysiologie</t>
  </si>
  <si>
    <t>HERZSCHRITTMACHERTHERAPIE &amp; ELEKTROPHYSIOLOGIE</t>
  </si>
  <si>
    <t>Herzschrittmacherther Elektrophysiol</t>
  </si>
  <si>
    <t>Four no. a year, 1991-</t>
  </si>
  <si>
    <t>100901183</t>
  </si>
  <si>
    <t>High altitude medicine &amp; biology</t>
  </si>
  <si>
    <t>HIGH ALTITUDE MEDICINE &amp; BIOLOGY</t>
  </si>
  <si>
    <t>High Alt Med Biol</t>
  </si>
  <si>
    <t>9421087</t>
  </si>
  <si>
    <t>High blood pressure &amp; cardiovascular prevention : the official journal of the Italian Society of Hypertension</t>
  </si>
  <si>
    <t>HIGH BLOOD PRESSURE &amp; CARDIOVASCULAR PREVENTION : THE OFFICIAL JOURNAL OF THE ITALIAN SOCIETY OF HYPERTENSION</t>
  </si>
  <si>
    <t>High Blood Press Cardiovasc Prev</t>
  </si>
  <si>
    <t>101122643</t>
  </si>
  <si>
    <t>The HIM journal</t>
  </si>
  <si>
    <t>HIM JOURNAL</t>
  </si>
  <si>
    <t>HIM J</t>
  </si>
  <si>
    <t>Continues: Health information management.</t>
  </si>
  <si>
    <t>18333575</t>
  </si>
  <si>
    <t>18333583</t>
  </si>
  <si>
    <t>HIMAA</t>
  </si>
  <si>
    <t>9431605</t>
  </si>
  <si>
    <t>Hindsight (Saint Louis, Mo.)</t>
  </si>
  <si>
    <t>HINDSIGHT (SAINT LOUIS, MO.)</t>
  </si>
  <si>
    <t>Hindsight</t>
  </si>
  <si>
    <t>Continues: Newsletter of the Optometric Historical Society.</t>
  </si>
  <si>
    <t>History of Medicine#Optometry</t>
  </si>
  <si>
    <t>2985097R</t>
  </si>
  <si>
    <t>Hindustan antibiotics bulletin</t>
  </si>
  <si>
    <t>HINDUSTAN ANTIBIOTICS BULLETIN</t>
  </si>
  <si>
    <t>Hindustan Antibiot Bull</t>
  </si>
  <si>
    <t>00181935</t>
  </si>
  <si>
    <t>Dr M J Thirumalachar</t>
  </si>
  <si>
    <t>0421145</t>
  </si>
  <si>
    <t>Hinyokika kiyo. Acta urologica Japonica</t>
  </si>
  <si>
    <t>HINYOKIKA KIYO. ACTA UROLOGICA JAPONICA</t>
  </si>
  <si>
    <t>Hinyokika Kiyo</t>
  </si>
  <si>
    <t>00181994</t>
  </si>
  <si>
    <t>Editorial Board Of Acta Urologica Japonica</t>
  </si>
  <si>
    <t>9200413</t>
  </si>
  <si>
    <t>Hip international : the journal of clinical and experimental research on hip pathology and therapy</t>
  </si>
  <si>
    <t>HIP INTERNATIONAL : THE JOURNAL OF CLINICAL AND EXPERIMENTAL RESEARCH ON HIP PATHOLOGY AND THERAPY</t>
  </si>
  <si>
    <t>Hip Int</t>
  </si>
  <si>
    <t>17246067</t>
  </si>
  <si>
    <t>9108167</t>
  </si>
  <si>
    <t>HIPPOCAMPUS</t>
  </si>
  <si>
    <t>Eight no. a year 2003-</t>
  </si>
  <si>
    <t>0421060</t>
  </si>
  <si>
    <t>Hiroshima journal of medical sciences</t>
  </si>
  <si>
    <t>HIROSHIMA JOURNAL OF MEDICAL SCIENCES</t>
  </si>
  <si>
    <t>Hiroshima J Med Sci</t>
  </si>
  <si>
    <t>Hiroshima University School Of Medicine</t>
  </si>
  <si>
    <t>101150304</t>
  </si>
  <si>
    <t>Hispanic health care international : the official journal of the National Association of Hispanic Nurses</t>
  </si>
  <si>
    <t>HISPANIC HEALTH CARE INTERNATIONAL : THE OFFICIAL JOURNAL OF THE NATIONAL ASSOCIATION OF HISPANIC NURSES</t>
  </si>
  <si>
    <t>Hisp Health Care Int</t>
  </si>
  <si>
    <t>19388993</t>
  </si>
  <si>
    <t>15404153</t>
  </si>
  <si>
    <t>Springer Pub.</t>
  </si>
  <si>
    <t>9506663</t>
  </si>
  <si>
    <t>Histochemistry and cell biology</t>
  </si>
  <si>
    <t>HISTOCHEMISTRY AND CELL BIOLOGY</t>
  </si>
  <si>
    <t>Histochem Cell Biol</t>
  </si>
  <si>
    <t>Continues: Histochemistry.</t>
  </si>
  <si>
    <t>0225346</t>
  </si>
  <si>
    <t>Histoire des sciences médicales</t>
  </si>
  <si>
    <t>HISTOIRE DES SCIENCES MEDICALES</t>
  </si>
  <si>
    <t>Hist Sci Med</t>
  </si>
  <si>
    <t>04408888</t>
  </si>
  <si>
    <t>Editions De Medecine Pratique</t>
  </si>
  <si>
    <t>8609357</t>
  </si>
  <si>
    <t>Histology and histopathology</t>
  </si>
  <si>
    <t>HISTOLOGY AND HISTOPATHOLOGY</t>
  </si>
  <si>
    <t>Histol Histopathol</t>
  </si>
  <si>
    <t>16995848</t>
  </si>
  <si>
    <t>02133911</t>
  </si>
  <si>
    <t>Histology and Histopathology</t>
  </si>
  <si>
    <t>Histology#Pathology</t>
  </si>
  <si>
    <t>7704136</t>
  </si>
  <si>
    <t>HISTOPATHOLOGY</t>
  </si>
  <si>
    <t>7507133</t>
  </si>
  <si>
    <t>Historia hospitalium</t>
  </si>
  <si>
    <t>HISTORIA HOSPITALIUM</t>
  </si>
  <si>
    <t>Hist Hosp</t>
  </si>
  <si>
    <t>04409043</t>
  </si>
  <si>
    <t>Michael Triltsch Verlag</t>
  </si>
  <si>
    <t>Biennial</t>
  </si>
  <si>
    <t>History of Medicine#Hospitals</t>
  </si>
  <si>
    <t>9513999</t>
  </si>
  <si>
    <t>História, ciências, saúde--Manguinhos</t>
  </si>
  <si>
    <t>HISTORIA, CIENCIAS, SAUDE--MANGUINHOS</t>
  </si>
  <si>
    <t>Hist Cienc Saude Manguinhos</t>
  </si>
  <si>
    <t>16784758</t>
  </si>
  <si>
    <t>01045970</t>
  </si>
  <si>
    <t>Casa De Oswaldo Cruz</t>
  </si>
  <si>
    <t>History of Medicine#Public Health#Science</t>
  </si>
  <si>
    <t>8003052</t>
  </si>
  <si>
    <t>History and philosophy of the life sciences</t>
  </si>
  <si>
    <t>HISTORY AND PHILOSOPHY OF THE LIFE SCIENCES</t>
  </si>
  <si>
    <t>Hist Philos Life Sci</t>
  </si>
  <si>
    <t>Absorbed: Episteme. Continues in part: Pubblicazioni. Stazione zoologica di Napoli.</t>
  </si>
  <si>
    <t>03919714</t>
  </si>
  <si>
    <t>Taylor And Francis</t>
  </si>
  <si>
    <t>Biology#History of Medicine</t>
  </si>
  <si>
    <t>9013819</t>
  </si>
  <si>
    <t>History of psychiatry</t>
  </si>
  <si>
    <t>HISTORY OF PSYCHIATRY</t>
  </si>
  <si>
    <t>Hist Psychiatry</t>
  </si>
  <si>
    <t>0957154X</t>
  </si>
  <si>
    <t>Quarterly.</t>
  </si>
  <si>
    <t>History of Medicine#Psychiatry</t>
  </si>
  <si>
    <t>9808650</t>
  </si>
  <si>
    <t>History of psychology</t>
  </si>
  <si>
    <t>HISTORY OF PSYCHOLOGY</t>
  </si>
  <si>
    <t>Hist Psychol</t>
  </si>
  <si>
    <t>19390610</t>
  </si>
  <si>
    <t>10934510</t>
  </si>
  <si>
    <t>History of Medicine#Psychology</t>
  </si>
  <si>
    <t>17340520R</t>
  </si>
  <si>
    <t>History of science; an annual review of literature, research and teaching</t>
  </si>
  <si>
    <t>HISTORY OF SCIENCE; AN ANNUAL REVIEW OF LITERATURE, RESEARCH AND TEACHING</t>
  </si>
  <si>
    <t>Hist Sci</t>
  </si>
  <si>
    <t>00732753</t>
  </si>
  <si>
    <t>Science History Publications</t>
  </si>
  <si>
    <t>100936377</t>
  </si>
  <si>
    <t>HIV clinical trials</t>
  </si>
  <si>
    <t>HIV CLINICAL TRIALS</t>
  </si>
  <si>
    <t>HIV Clin Trials</t>
  </si>
  <si>
    <t>Thomas Land Publishers</t>
  </si>
  <si>
    <t>101122284</t>
  </si>
  <si>
    <t>HIV clinician / Delta Region AIDS Education &amp; Training Center</t>
  </si>
  <si>
    <t>HIV CLINICIAN / DELTA REGION AIDS EDUCATION &amp; TRAINING CENTER</t>
  </si>
  <si>
    <t>HIV Clin</t>
  </si>
  <si>
    <t>Continues: Faculty notes (New Orleans, La.).</t>
  </si>
  <si>
    <t>1551885X</t>
  </si>
  <si>
    <t>101150647</t>
  </si>
  <si>
    <t>HIV inside : a newsletter for correctional professionals</t>
  </si>
  <si>
    <t>HIV INSIDE : A NEWSLETTER FOR CORRECTIONAL PROFESSIONALS</t>
  </si>
  <si>
    <t>HIV Inside</t>
  </si>
  <si>
    <t>15519066</t>
  </si>
  <si>
    <t>World Health CME</t>
  </si>
  <si>
    <t>uuuu</t>
  </si>
  <si>
    <t>100897392</t>
  </si>
  <si>
    <t>HIV medicine</t>
  </si>
  <si>
    <t>HIV MEDICINE</t>
  </si>
  <si>
    <t>HIV Med</t>
  </si>
  <si>
    <t>101249725</t>
  </si>
  <si>
    <t>HIV/AIDS policy &amp; law review / Canadian HIV/AIDS Legal Network</t>
  </si>
  <si>
    <t>HIV/AIDS POLICY &amp; LAW REVIEW / CANADIAN HIV/AIDS LEGAL NETWORK</t>
  </si>
  <si>
    <t>HIV AIDS Policy Law Rev</t>
  </si>
  <si>
    <t>Continues: Canadian HIV/AIDS policy &amp; law review.</t>
  </si>
  <si>
    <t>1712624X</t>
  </si>
  <si>
    <t>Canadian HIV/AIDS Legal Network</t>
  </si>
  <si>
    <t>9517597</t>
  </si>
  <si>
    <t>HIV/AIDS surveillance report (Atlanta, Ga.)</t>
  </si>
  <si>
    <t>HIV/AIDS SURVEILLANCE REPORT (ATLANTA, GA.)</t>
  </si>
  <si>
    <t>HIV AIDS Surveill Rep</t>
  </si>
  <si>
    <t>Continues: HIV/AIDS surveillance.</t>
  </si>
  <si>
    <t>1048759X</t>
  </si>
  <si>
    <t>U.S. Dept. of Health and Human Services, Public Health Service, Centers for Disease Control and Prevention, National Center for Infectious Diseases, Division of HIV/AIDS</t>
  </si>
  <si>
    <t>Annual, 2002-</t>
  </si>
  <si>
    <t>2985099R</t>
  </si>
  <si>
    <t>HNO</t>
  </si>
  <si>
    <t>14330458</t>
  </si>
  <si>
    <t>00176192</t>
  </si>
  <si>
    <t>17410290R</t>
  </si>
  <si>
    <t>[Hokkaido igaku zasshi] The Hokkaido journal of medical science</t>
  </si>
  <si>
    <t>HOKKAIDO IGAKU ZASSHI] THE HOKKAIDO JOURNAL OF MEDICAL SCIENCE</t>
  </si>
  <si>
    <t>Hokkaido Igaku Zasshi</t>
  </si>
  <si>
    <t>03676102</t>
  </si>
  <si>
    <t>Hokkaido Igakkai</t>
  </si>
  <si>
    <t>8702105</t>
  </si>
  <si>
    <t>Holistic nursing practice</t>
  </si>
  <si>
    <t>HOLISTIC NURSING PRACTICE</t>
  </si>
  <si>
    <t>Holist Nurs Pract</t>
  </si>
  <si>
    <t>Continues: Topics in clinical nursing.</t>
  </si>
  <si>
    <t>15505138</t>
  </si>
  <si>
    <t>08879311</t>
  </si>
  <si>
    <t>8000128</t>
  </si>
  <si>
    <t>Home health care services quarterly</t>
  </si>
  <si>
    <t>HOME HEALTH CARE SERVICES QUARTERLY</t>
  </si>
  <si>
    <t>Home Health Care Serv Q</t>
  </si>
  <si>
    <t>15450856</t>
  </si>
  <si>
    <t>01621424</t>
  </si>
  <si>
    <t>8403379</t>
  </si>
  <si>
    <t>Home healthcare nurse</t>
  </si>
  <si>
    <t>HOME HEALTHCARE NURSE</t>
  </si>
  <si>
    <t>Home Healthc Nurse</t>
  </si>
  <si>
    <t>Absorbed: Nephrology nurse.</t>
  </si>
  <si>
    <t>15390713</t>
  </si>
  <si>
    <t>0884741X</t>
  </si>
  <si>
    <t>101140517</t>
  </si>
  <si>
    <t>Homeopathy : the journal of the Faculty of Homeopathy</t>
  </si>
  <si>
    <t>HOMEOPATHY : THE JOURNAL OF THE FACULTY OF HOMEOPATHY</t>
  </si>
  <si>
    <t>Continues: British homoeopathic journal.</t>
  </si>
  <si>
    <t>0374655</t>
  </si>
  <si>
    <t>Homo : internationale Zeitschrift für die vergleichende Forschung am Menschen</t>
  </si>
  <si>
    <t>HOMO : INTERNATIONALE ZEITSCHRIFT FUR DIE VERGLEICHENDE FORSCHUNG AM MENSCHEN</t>
  </si>
  <si>
    <t>Homo</t>
  </si>
  <si>
    <t>16181301</t>
  </si>
  <si>
    <t>0018442X</t>
  </si>
  <si>
    <t>Urban &amp; Fischer</t>
  </si>
  <si>
    <t>9512509</t>
  </si>
  <si>
    <t>Hong Kong medical journal = Xianggang yi xue za zhi / Hong Kong Academy of Medicine</t>
  </si>
  <si>
    <t>HONG KONG MEDICAL JOURNAL = XIANGGANG YI XUE ZA ZHI / HONG KONG ACADEMY OF MEDICINE</t>
  </si>
  <si>
    <t>Hong Kong Med J</t>
  </si>
  <si>
    <t>Continues: Journal of the Hong Kong Medical Association.</t>
  </si>
  <si>
    <t>0177722</t>
  </si>
  <si>
    <t>Hormone and metabolic research = Hormon- und Stoffwechselforschung = Hormones et métabolisme</t>
  </si>
  <si>
    <t>HORMONE AND METABOLIC RESEARCH = HORMON- UND STOFFWECHSELFORSCHUNG = HORMONES ET METABOLISME</t>
  </si>
  <si>
    <t>Horm Metab Res</t>
  </si>
  <si>
    <t>Thieme.</t>
  </si>
  <si>
    <t>Thirteen no. a year, 2010-</t>
  </si>
  <si>
    <t>101525157</t>
  </si>
  <si>
    <t>Hormone research in pædiatrics</t>
  </si>
  <si>
    <t>HORMONE RESEARCH IN PAEDIATRICS</t>
  </si>
  <si>
    <t>Horm Res Paediatr</t>
  </si>
  <si>
    <t>Continues: Hormone research.</t>
  </si>
  <si>
    <t>Endocrinology#Pediatrics</t>
  </si>
  <si>
    <t>101518427</t>
  </si>
  <si>
    <t>Hormones &amp; cancer</t>
  </si>
  <si>
    <t>HORMONES &amp; CANCER</t>
  </si>
  <si>
    <t>Horm Cancer</t>
  </si>
  <si>
    <t>101142469</t>
  </si>
  <si>
    <t>Hormones (Athens, Greece)</t>
  </si>
  <si>
    <t>HORMONES (ATHENS, GREECE)</t>
  </si>
  <si>
    <t>Hormones (Athens)</t>
  </si>
  <si>
    <t>0217764</t>
  </si>
  <si>
    <t>Hormones and behavior</t>
  </si>
  <si>
    <t>HORMONES AND BEHAVIOR</t>
  </si>
  <si>
    <t>Horm Behav</t>
  </si>
  <si>
    <t>Monthly (except July, Oct.), 2003-</t>
  </si>
  <si>
    <t>Behavioral Sciences#Endocrinology</t>
  </si>
  <si>
    <t>9603097</t>
  </si>
  <si>
    <t>Hospital case management : the monthly update on hospital-based care planning and critical paths</t>
  </si>
  <si>
    <t>HOSPITAL CASE MANAGEMENT : THE MONTHLY UPDATE ON HOSPITAL-BASED CARE PLANNING AND CRITICAL PATHS</t>
  </si>
  <si>
    <t>Hosp Case Manag</t>
  </si>
  <si>
    <t>10870652</t>
  </si>
  <si>
    <t>101585349</t>
  </si>
  <si>
    <t>Hospital pediatrics</t>
  </si>
  <si>
    <t>HOSPITAL PEDIATRICS</t>
  </si>
  <si>
    <t>Hosp Pediatr</t>
  </si>
  <si>
    <t>Continues: Section on Hospital Medicine news.</t>
  </si>
  <si>
    <t>7706036</t>
  </si>
  <si>
    <t>Hospital peer review</t>
  </si>
  <si>
    <t>HOSPITAL PEER REVIEW</t>
  </si>
  <si>
    <t>Hosp Peer Rev</t>
  </si>
  <si>
    <t>01492632</t>
  </si>
  <si>
    <t>101268948</t>
  </si>
  <si>
    <t>Hospital practice (1995)</t>
  </si>
  <si>
    <t>HOSPITAL PRACTICE (1995)</t>
  </si>
  <si>
    <t>Hosp Pract (1995)</t>
  </si>
  <si>
    <t>Formed by the union of: Hospital practice (Family practice ed.); Hospital practice (Hospital ed.); and: Hospital practice (Office ed.).</t>
  </si>
  <si>
    <t>21548331</t>
  </si>
  <si>
    <t>0411772</t>
  </si>
  <si>
    <t>Hospital topics</t>
  </si>
  <si>
    <t>HOSPITAL TOPICS</t>
  </si>
  <si>
    <t>Hosp Top</t>
  </si>
  <si>
    <t>Continues in part: Hospital digest.</t>
  </si>
  <si>
    <t>19399278</t>
  </si>
  <si>
    <t>00185868</t>
  </si>
  <si>
    <t>Quarterly, 1990-</t>
  </si>
  <si>
    <t>9312077</t>
  </si>
  <si>
    <t>Hospitals &amp; health networks / AHA</t>
  </si>
  <si>
    <t>HOSPITALS &amp; HEALTH NETWORKS / AHA</t>
  </si>
  <si>
    <t>Hosp Health Netw</t>
  </si>
  <si>
    <t>Continues: Hospitals.</t>
  </si>
  <si>
    <t>10688838</t>
  </si>
  <si>
    <t>100900921</t>
  </si>
  <si>
    <t>HPB : the official journal of the International Hepato Pancreato Biliary Association</t>
  </si>
  <si>
    <t>HPB : THE OFFICIAL JOURNAL OF THE INTERNATIONAL HEPATO PANCREATO BILIARY ASSOCIATION</t>
  </si>
  <si>
    <t>HPB (Oxford)</t>
  </si>
  <si>
    <t>Twevle no. a year, 2011-</t>
  </si>
  <si>
    <t>100969580</t>
  </si>
  <si>
    <t>HRSA careaction</t>
  </si>
  <si>
    <t>HRSA CAREACTION</t>
  </si>
  <si>
    <t>HRSA Careaction</t>
  </si>
  <si>
    <t>15518868</t>
  </si>
  <si>
    <t>U.S. Dept. of Health &amp; Human Services, Health Resources and Services Administration</t>
  </si>
  <si>
    <t>0073267</t>
  </si>
  <si>
    <t>Hu li za zhi The journal of nursing</t>
  </si>
  <si>
    <t>HU LI ZA ZHI THE JOURNAL OF NURSING</t>
  </si>
  <si>
    <t>Hu Li Za Zhi</t>
  </si>
  <si>
    <t>Continued by in part: Hu li yan jiu.</t>
  </si>
  <si>
    <t>0047262X</t>
  </si>
  <si>
    <t>Taiwan hu li xue hui</t>
  </si>
  <si>
    <t>9422648</t>
  </si>
  <si>
    <t>Hua xi kou qiang yi xue za zhi = Huaxi kouqiang yixue zazhi = West China journal of stomatology</t>
  </si>
  <si>
    <t>HUA XI KOU QIANG YI XUE ZA ZHI = HUAXI KOUQIANG YIXUE ZAZHI = WEST CHINA JOURNAL OF STOMATOLOGY</t>
  </si>
  <si>
    <t>Hua Xi Kou Qiang Yi Xue Za Zhi</t>
  </si>
  <si>
    <t>10001182</t>
  </si>
  <si>
    <t>Sichuan yi xue yuan</t>
  </si>
  <si>
    <t>8405344</t>
  </si>
  <si>
    <t>Huan jing ke xue= Huanjing kexue / [bian ji, Zhongguo ke xue yuan huan jing ke xue wei yuan hui "Huan jing ke xue" bian ji wei yuan hui.]</t>
  </si>
  <si>
    <t>HUAN JING KE XUE= HUANJING KEXUE / [BIAN JI, ZHONGGUO KE XUE YUAN HUAN JING KE XUE WEI YUAN HUI "HUAN JING KE XUE" BIAN JI WEI YUAN HUI.]</t>
  </si>
  <si>
    <t>Huan Jing Ke Xue</t>
  </si>
  <si>
    <t>02503301</t>
  </si>
  <si>
    <t>Ke xue zhu ban she</t>
  </si>
  <si>
    <t>9004560</t>
  </si>
  <si>
    <t>Human &amp; experimental toxicology</t>
  </si>
  <si>
    <t>HUMAN &amp; EXPERIMENTAL TOXICOLOGY</t>
  </si>
  <si>
    <t>Hum Exp Toxicol</t>
  </si>
  <si>
    <t>Continues: Human toxicology.</t>
  </si>
  <si>
    <t>9711270</t>
  </si>
  <si>
    <t>Human antibodies</t>
  </si>
  <si>
    <t>HUMAN ANTIBODIES</t>
  </si>
  <si>
    <t>Hum Antibodies</t>
  </si>
  <si>
    <t>Continues: Human antibodies and hybridomas.</t>
  </si>
  <si>
    <t>0116717</t>
  </si>
  <si>
    <t>Human biology</t>
  </si>
  <si>
    <t>HUMAN BIOLOGY</t>
  </si>
  <si>
    <t>Hum Biol</t>
  </si>
  <si>
    <t>15346617</t>
  </si>
  <si>
    <t>00187143</t>
  </si>
  <si>
    <t>Wayne State University Press</t>
  </si>
  <si>
    <t>Bimonthly, 1986-</t>
  </si>
  <si>
    <t>9419065</t>
  </si>
  <si>
    <t>Human brain mapping</t>
  </si>
  <si>
    <t>HUMAN BRAIN MAPPING</t>
  </si>
  <si>
    <t>Hum Brain Mapp</t>
  </si>
  <si>
    <t>8912329</t>
  </si>
  <si>
    <t>Human cell</t>
  </si>
  <si>
    <t>HUMAN CELL</t>
  </si>
  <si>
    <t>Hum Cell</t>
  </si>
  <si>
    <t>0374660</t>
  </si>
  <si>
    <t>Human factors</t>
  </si>
  <si>
    <t>HUMAN FACTORS</t>
  </si>
  <si>
    <t>Hum Factors</t>
  </si>
  <si>
    <t>15478181</t>
  </si>
  <si>
    <t>00187208</t>
  </si>
  <si>
    <t>Human Factors and Ergonomics Society</t>
  </si>
  <si>
    <t>100888143</t>
  </si>
  <si>
    <t>Human fertility (Cambridge, England)</t>
  </si>
  <si>
    <t>HUMAN FERTILITY (CAMBRIDGE, ENGLAND)</t>
  </si>
  <si>
    <t>Hum Fertil (Camb)</t>
  </si>
  <si>
    <t>Continues: Journal of the British Fertility Society.</t>
  </si>
  <si>
    <t>Four issues a year, 1999-</t>
  </si>
  <si>
    <t>9008950</t>
  </si>
  <si>
    <t>Human gene therapy</t>
  </si>
  <si>
    <t>HUMAN GENE THERAPY</t>
  </si>
  <si>
    <t>Hum Gene Ther</t>
  </si>
  <si>
    <t>Continued in part by: Human gene therapy. Methods.</t>
  </si>
  <si>
    <t>M.A. Liebert</t>
  </si>
  <si>
    <t>101573202</t>
  </si>
  <si>
    <t>Human gene therapy methods</t>
  </si>
  <si>
    <t>HUMAN GENE THERAPY METHODS</t>
  </si>
  <si>
    <t>Hum Gene Ther Methods</t>
  </si>
  <si>
    <t>Complemented by: Human gene therapy. Clinical development. Continues in part: Human gene therapy.</t>
  </si>
  <si>
    <t>101607433</t>
  </si>
  <si>
    <t>Human gene therapy. Clinical development</t>
  </si>
  <si>
    <t>HUMAN GENE THERAPY. CLINICAL DEVELOPMENT</t>
  </si>
  <si>
    <t>Hum Gene Ther Clin Dev</t>
  </si>
  <si>
    <t>7613873</t>
  </si>
  <si>
    <t>Human genetics</t>
  </si>
  <si>
    <t>HUMAN GENETICS</t>
  </si>
  <si>
    <t>Hum Genet</t>
  </si>
  <si>
    <t>Continues Humangenetik.</t>
  </si>
  <si>
    <t>Eighteen no. a year, 2009-</t>
  </si>
  <si>
    <t>101202210</t>
  </si>
  <si>
    <t>Human genomics</t>
  </si>
  <si>
    <t>HUMAN GENOMICS</t>
  </si>
  <si>
    <t>Hum Genomics</t>
  </si>
  <si>
    <t>Quarterly, 2008-</t>
  </si>
  <si>
    <t>0200525</t>
  </si>
  <si>
    <t>Human heredity</t>
  </si>
  <si>
    <t>HUMAN HEREDITY</t>
  </si>
  <si>
    <t>Hum Hered</t>
  </si>
  <si>
    <t>Continues Acta genetica et statistica medica.</t>
  </si>
  <si>
    <t>8 no. a year, 2001-</t>
  </si>
  <si>
    <t>8010936</t>
  </si>
  <si>
    <t>Human immunology</t>
  </si>
  <si>
    <t>HUMAN IMMUNOLOGY</t>
  </si>
  <si>
    <t>Hum Immunol</t>
  </si>
  <si>
    <t>9208958</t>
  </si>
  <si>
    <t>Human molecular genetics</t>
  </si>
  <si>
    <t>HUMAN MOLECULAR GENETICS</t>
  </si>
  <si>
    <t>Hum Mol Genet</t>
  </si>
  <si>
    <t>Twenty-four no. a year, 2000-</t>
  </si>
  <si>
    <t>Genetics, Medical#Molecular Biology</t>
  </si>
  <si>
    <t>8300127</t>
  </si>
  <si>
    <t>Human movement science</t>
  </si>
  <si>
    <t>HUMAN MOVEMENT SCIENCE</t>
  </si>
  <si>
    <t>Hum Mov Sci</t>
  </si>
  <si>
    <t>9215429</t>
  </si>
  <si>
    <t>Human mutation</t>
  </si>
  <si>
    <t>HUMAN MUTATION</t>
  </si>
  <si>
    <t>Hum Mutat</t>
  </si>
  <si>
    <t>9010063</t>
  </si>
  <si>
    <t>Human nature (Hawthorne, N.Y.)</t>
  </si>
  <si>
    <t>HUMAN NATURE (HAWTHORNE, N.Y.)</t>
  </si>
  <si>
    <t>Hum Nat</t>
  </si>
  <si>
    <t>19364776</t>
  </si>
  <si>
    <t>10456767</t>
  </si>
  <si>
    <t>9421547</t>
  </si>
  <si>
    <t>Human pathology</t>
  </si>
  <si>
    <t>HUMAN PATHOLOGY</t>
  </si>
  <si>
    <t>Hum Pathol</t>
  </si>
  <si>
    <t>8702539</t>
  </si>
  <si>
    <t>Human psychopharmacology</t>
  </si>
  <si>
    <t>HUMAN PSYCHOPHARMACOLOGY</t>
  </si>
  <si>
    <t>Hum Psychopharmacol</t>
  </si>
  <si>
    <t>Wiley &amp; Sons</t>
  </si>
  <si>
    <t>8701199</t>
  </si>
  <si>
    <t>Human reproduction (Oxford, England)</t>
  </si>
  <si>
    <t>HUMAN REPRODUCTION (OXFORD, ENGLAND)</t>
  </si>
  <si>
    <t>Hum Reprod</t>
  </si>
  <si>
    <t>Continued in part by: Human reproduction update.</t>
  </si>
  <si>
    <t>9507614</t>
  </si>
  <si>
    <t>Human reproduction update</t>
  </si>
  <si>
    <t>HUMAN REPRODUCTION UPDATE</t>
  </si>
  <si>
    <t>Hum Reprod Update</t>
  </si>
  <si>
    <t>Merger of: Bibliography of reproduction, and: Oxford reviews of reproductive biology.</t>
  </si>
  <si>
    <t>Published for the European Society of Human Reproduction and Embryology by Oxford University Press</t>
  </si>
  <si>
    <t>Embryology#Reproductive Medicine</t>
  </si>
  <si>
    <t>101170535</t>
  </si>
  <si>
    <t>Human resources for health</t>
  </si>
  <si>
    <t>HUMAN RESOURCES FOR HEALTH</t>
  </si>
  <si>
    <t>Hum Resour Health</t>
  </si>
  <si>
    <t>Continues: Human resources for health development journal.</t>
  </si>
  <si>
    <t>14784491</t>
  </si>
  <si>
    <t>101572652</t>
  </si>
  <si>
    <t>Human vaccines &amp; immunotherapeutics</t>
  </si>
  <si>
    <t>HUMAN VACCINES &amp; IMMUNOTHERAPEUTICS</t>
  </si>
  <si>
    <t>Hum Vaccin Immunother</t>
  </si>
  <si>
    <t>Continues: Human vaccines.</t>
  </si>
  <si>
    <t>Twelve issues per year</t>
  </si>
  <si>
    <t>7906255</t>
  </si>
  <si>
    <t>HYPERTENSION</t>
  </si>
  <si>
    <t>Some no. also issued as American Heart Association monograph, 19 -85; and, Monograph (American Heart Association), 1986. Absorbed: Hypertension, with supplement to v. 1, no. 3 in 1979.</t>
  </si>
  <si>
    <t>9421297</t>
  </si>
  <si>
    <t>Hypertension in pregnancy : official journal of the International Society for the Study of Hypertension in Pregnancy</t>
  </si>
  <si>
    <t>HYPERTENSION IN PREGNANCY : OFFICIAL JOURNAL OF THE INTERNATIONAL SOCIETY FOR THE STUDY OF HYPERTENSION IN PREGNANCY</t>
  </si>
  <si>
    <t>Hypertens Pregnancy</t>
  </si>
  <si>
    <t>Continues: Clinical and experimental hypertension. Part B, Hypertension in pregnancy.</t>
  </si>
  <si>
    <t>Obstetrics#Vascular Diseases</t>
  </si>
  <si>
    <t>9307690</t>
  </si>
  <si>
    <t>Hypertension research : official journal of the Japanese Society of Hypertension</t>
  </si>
  <si>
    <t>HYPERTENSION RESEARCH : OFFICIAL JOURNAL OF THE JAPANESE SOCIETY OF HYPERTENSION</t>
  </si>
  <si>
    <t>Hypertens Res</t>
  </si>
  <si>
    <t>Continues: Kōketsuatsu.</t>
  </si>
  <si>
    <t>101087241</t>
  </si>
  <si>
    <t>IAPAC monthly</t>
  </si>
  <si>
    <t>IAPAC MONTHLY</t>
  </si>
  <si>
    <t>IAPAC Mon</t>
  </si>
  <si>
    <t>Continues: Journal of the International Association of Physicians in AIDS Care.</t>
  </si>
  <si>
    <t>15451089</t>
  </si>
  <si>
    <t>IAPAC</t>
  </si>
  <si>
    <t>8907342</t>
  </si>
  <si>
    <t>IARC monographs on the evaluation of carcinogenic risks to humans / World Health Organization, International Agency for Research on Cancer</t>
  </si>
  <si>
    <t>IARC MONOGRAPHS ON THE EVALUATION OF CARCINOGENIC RISKS TO HUMANS / WORLD HEALTH ORGANIZATION, INTERNATIONAL AGENCY FOR RESEARCH ON CANCER</t>
  </si>
  <si>
    <t>IARC Monogr Eval Carcinog Risks Hum</t>
  </si>
  <si>
    <t>Continues: IARC monographs on the evaluation of the carcinogenic risk of chemicals to man.</t>
  </si>
  <si>
    <t>IARC</t>
  </si>
  <si>
    <t>Neoplasms#Toxicology</t>
  </si>
  <si>
    <t>8009542</t>
  </si>
  <si>
    <t>IARC scientific publications</t>
  </si>
  <si>
    <t>IARC SCIENTIFIC PUBLICATIONS</t>
  </si>
  <si>
    <t>IARC Sci Publ</t>
  </si>
  <si>
    <t>Continues IARC publications.</t>
  </si>
  <si>
    <t>03005038</t>
  </si>
  <si>
    <t>International Agency For Research On Cancer</t>
  </si>
  <si>
    <t>9810937</t>
  </si>
  <si>
    <t>IAVI report : newsletter on international AIDS vaccine research</t>
  </si>
  <si>
    <t>IAVI REPORT : NEWSLETTER ON INTERNATIONAL AIDS VACCINE RESEARCH</t>
  </si>
  <si>
    <t>IAVI Rep</t>
  </si>
  <si>
    <t>18166261</t>
  </si>
  <si>
    <t>18166253</t>
  </si>
  <si>
    <t>International Aids Vaccine Initiative</t>
  </si>
  <si>
    <t>Bimonthly, Apr. 2005-</t>
  </si>
  <si>
    <t>17510500R</t>
  </si>
  <si>
    <t>Ideggyógyászati szemle</t>
  </si>
  <si>
    <t>IDEGGYOGYASZATI SZEMLE</t>
  </si>
  <si>
    <t>Ideggyogy Sz</t>
  </si>
  <si>
    <t>Absorbed: Neurobiology (Budapest, Hungary). 2002</t>
  </si>
  <si>
    <t>Kiadja Es Terjeszti A Literatura Medica</t>
  </si>
  <si>
    <t>101260913</t>
  </si>
  <si>
    <t>IEEE ... International Conference on Rehabilitation Robotics : [proceedings]</t>
  </si>
  <si>
    <t>IEEE ... INTERNATIONAL CONFERENCE ON REHABILITATION ROBOTICS : [PROCEEDINGS]</t>
  </si>
  <si>
    <t>IEEE Int Conf Rehabil Robot</t>
  </si>
  <si>
    <t>Continues: Proceedings. International Conference on Rehabilitation Robotics.</t>
  </si>
  <si>
    <t>19457901</t>
  </si>
  <si>
    <t>19457898</t>
  </si>
  <si>
    <t>9881869</t>
  </si>
  <si>
    <t>IEEE computer graphics and applications</t>
  </si>
  <si>
    <t>IEEE COMPUTER GRAPHICS AND APPLICATIONS</t>
  </si>
  <si>
    <t>IEEE Comput Graph Appl</t>
  </si>
  <si>
    <t>15581756</t>
  </si>
  <si>
    <t>02721716</t>
  </si>
  <si>
    <t>Bimonthly &lt;1989-&gt;</t>
  </si>
  <si>
    <t>101604520</t>
  </si>
  <si>
    <t>IEEE journal of biomedical and health informatics</t>
  </si>
  <si>
    <t>IEEE JOURNAL OF BIOMEDICAL AND HEALTH INFORMATICS</t>
  </si>
  <si>
    <t>IEEE J Biomed Health Inform</t>
  </si>
  <si>
    <t>Continues: IEEE transactions on information technology in biomedicine.</t>
  </si>
  <si>
    <t>21682208</t>
  </si>
  <si>
    <t>21682194</t>
  </si>
  <si>
    <t>Biomedical Engineering#Medical Informatics</t>
  </si>
  <si>
    <t>101541727</t>
  </si>
  <si>
    <t>IEEE pulse</t>
  </si>
  <si>
    <t>IEEE PULSE</t>
  </si>
  <si>
    <t>IEEE Pulse</t>
  </si>
  <si>
    <t>Continues: IEEE engineering in medicine and biology magazine.</t>
  </si>
  <si>
    <t>21542287</t>
  </si>
  <si>
    <t>101493803</t>
  </si>
  <si>
    <t>IEEE reviews in biomedical engineering</t>
  </si>
  <si>
    <t>IEEE REVIEWS IN BIOMEDICAL ENGINEERING</t>
  </si>
  <si>
    <t>IEEE Rev Biomed Eng</t>
  </si>
  <si>
    <t>19411189</t>
  </si>
  <si>
    <t>Institute of Electrical and Electronics Engineers Engineering in Medicine and Biology Society</t>
  </si>
  <si>
    <t>101312520</t>
  </si>
  <si>
    <t>IEEE transactions on biomedical circuits and systems</t>
  </si>
  <si>
    <t>IEEE TRANSACTIONS ON BIOMEDICAL CIRCUITS AND SYSTEMS</t>
  </si>
  <si>
    <t>IEEE Trans Biomed Circuits Syst</t>
  </si>
  <si>
    <t>19409990</t>
  </si>
  <si>
    <t>19324545</t>
  </si>
  <si>
    <t>IEEE</t>
  </si>
  <si>
    <t>0012737</t>
  </si>
  <si>
    <t>IEEE transactions on bio-medical engineering</t>
  </si>
  <si>
    <t>IEEE TRANSACTIONS ON BIO-MEDICAL ENGINEERING</t>
  </si>
  <si>
    <t>IEEE Trans Biomed Eng</t>
  </si>
  <si>
    <t>Continues IEEE transactions on bio-medical electronics.</t>
  </si>
  <si>
    <t>Institute Of Electrical And Electronics Engineers</t>
  </si>
  <si>
    <t>101609393</t>
  </si>
  <si>
    <t>IEEE transactions on cybernetics</t>
  </si>
  <si>
    <t>IEEE TRANSACTIONS ON CYBERNETICS</t>
  </si>
  <si>
    <t>IEEE Trans Cybern</t>
  </si>
  <si>
    <t>Continues: IEEE transactions on systems, man, and cybernetics. Part B, Cybernetics.</t>
  </si>
  <si>
    <t>21682275</t>
  </si>
  <si>
    <t>21682267</t>
  </si>
  <si>
    <t>101491191</t>
  </si>
  <si>
    <t>IEEE transactions on haptics</t>
  </si>
  <si>
    <t>IEEE TRANSACTIONS ON HAPTICS</t>
  </si>
  <si>
    <t>IEEE Trans Haptics</t>
  </si>
  <si>
    <t>23294051</t>
  </si>
  <si>
    <t>19391412</t>
  </si>
  <si>
    <t>Quarterly, &lt;2012-&gt;</t>
  </si>
  <si>
    <t>Biomedical Engineering#Psychology</t>
  </si>
  <si>
    <t>9886191</t>
  </si>
  <si>
    <t>IEEE transactions on image processing : a publication of the IEEE Signal Processing Society</t>
  </si>
  <si>
    <t>IEEE TRANSACTIONS ON IMAGE PROCESSING : A PUBLICATION OF THE IEEE SIGNAL PROCESSING SOCIETY</t>
  </si>
  <si>
    <t>IEEE Trans Image Process</t>
  </si>
  <si>
    <t>19410042</t>
  </si>
  <si>
    <t>10577149</t>
  </si>
  <si>
    <t>8310780</t>
  </si>
  <si>
    <t>IEEE transactions on medical imaging</t>
  </si>
  <si>
    <t>IEEE TRANSACTIONS ON MEDICAL IMAGING</t>
  </si>
  <si>
    <t>IEEE Trans Med Imaging</t>
  </si>
  <si>
    <t>1558254X</t>
  </si>
  <si>
    <t>101152869</t>
  </si>
  <si>
    <t>IEEE transactions on nanobioscience</t>
  </si>
  <si>
    <t>IEEE TRANSACTIONS ON NANOBIOSCIENCE</t>
  </si>
  <si>
    <t>IEEE Trans Nanobioscience</t>
  </si>
  <si>
    <t>15582639</t>
  </si>
  <si>
    <t>15361241</t>
  </si>
  <si>
    <t>101616214</t>
  </si>
  <si>
    <t>IEEE transactions on neural networks and learning systems</t>
  </si>
  <si>
    <t>IEEE TRANSACTIONS ON NEURAL NETWORKS AND LEARNING SYSTEMS</t>
  </si>
  <si>
    <t>IEEE Trans Neural Netw Learn Syst</t>
  </si>
  <si>
    <t>Continues: IEEE transactions on neural networks.</t>
  </si>
  <si>
    <t>21622388</t>
  </si>
  <si>
    <t>2162237X</t>
  </si>
  <si>
    <t>Institute of Electrical and Electronics Engineeers</t>
  </si>
  <si>
    <t>101097023</t>
  </si>
  <si>
    <t>IEEE transactions on neural systems and rehabilitation engineering : a publication of the IEEE Engineering in Medicine and Biology Society</t>
  </si>
  <si>
    <t>IEEE TRANSACTIONS ON NEURAL SYSTEMS AND REHABILITATION ENGINEERING : A PUBLICATION OF THE IEEE ENGINEERING IN MEDICINE AND BIOLOGY SOCIETY</t>
  </si>
  <si>
    <t>IEEE Trans Neural Syst Rehabil Eng</t>
  </si>
  <si>
    <t>Continues: IEEE transactions on rehabilitation engineering.</t>
  </si>
  <si>
    <t>15580210</t>
  </si>
  <si>
    <t>15344320</t>
  </si>
  <si>
    <t>Biomedical Engineering#Physical and Rehabilitation Medicine</t>
  </si>
  <si>
    <t>9885960</t>
  </si>
  <si>
    <t>IEEE transactions on pattern analysis and machine intelligence</t>
  </si>
  <si>
    <t>IEEE TRANSACTIONS ON PATTERN ANALYSIS AND MACHINE INTELLIGENCE</t>
  </si>
  <si>
    <t>IEEE Trans Pattern Anal Mach Intell</t>
  </si>
  <si>
    <t>19393539</t>
  </si>
  <si>
    <t>01628828</t>
  </si>
  <si>
    <t>00985589</t>
  </si>
  <si>
    <t>IEEE Computer Society.</t>
  </si>
  <si>
    <t>9882735</t>
  </si>
  <si>
    <t>IEEE transactions on ultrasonics, ferroelectrics, and frequency control</t>
  </si>
  <si>
    <t>IEEE TRANSACTIONS ON ULTRASONICS, FERROELECTRICS, AND FREQUENCY CONTROL</t>
  </si>
  <si>
    <t>IEEE Trans Ultrason Ferroelectr Freq Control</t>
  </si>
  <si>
    <t>Continues: IEEE transactions on sonics and ultrasonics.</t>
  </si>
  <si>
    <t>15258955</t>
  </si>
  <si>
    <t>08853010</t>
  </si>
  <si>
    <t>12 no. a year 2002-</t>
  </si>
  <si>
    <t>9891704</t>
  </si>
  <si>
    <t>IEEE transactions on visualization and computer graphics</t>
  </si>
  <si>
    <t>IEEE TRANSACTIONS ON VISUALIZATION AND COMPUTER GRAPHICS</t>
  </si>
  <si>
    <t>IEEE Trans Vis Comput Graph</t>
  </si>
  <si>
    <t>19410506</t>
  </si>
  <si>
    <t>10772626</t>
  </si>
  <si>
    <t>101196755</t>
  </si>
  <si>
    <t>IEEE/ACM transactions on computational biology and bioinformatics / IEEE, ACM</t>
  </si>
  <si>
    <t>IEEE/ACM TRANSACTIONS ON COMPUTATIONAL BIOLOGY AND BIOINFORMATICS / IEEE, ACM</t>
  </si>
  <si>
    <t>IEEE/ACM Trans Comput Biol Bioinform</t>
  </si>
  <si>
    <t>15579964</t>
  </si>
  <si>
    <t>15455963</t>
  </si>
  <si>
    <t>101303205</t>
  </si>
  <si>
    <t>IET nanobiotechnology / IET</t>
  </si>
  <si>
    <t>IET NANOBIOTECHNOLOGY / IET</t>
  </si>
  <si>
    <t>IET Nanobiotechnol</t>
  </si>
  <si>
    <t>Continues: IEE proceedings. Nanobiotechnology.</t>
  </si>
  <si>
    <t>1751875X</t>
  </si>
  <si>
    <t>17518741</t>
  </si>
  <si>
    <t>101301198</t>
  </si>
  <si>
    <t>IET systems biology</t>
  </si>
  <si>
    <t>IET SYSTEMS BIOLOGY</t>
  </si>
  <si>
    <t>IET Syst Biol</t>
  </si>
  <si>
    <t>Continues: Systems biology.</t>
  </si>
  <si>
    <t>17518849</t>
  </si>
  <si>
    <t>101125977</t>
  </si>
  <si>
    <t>Igaku butsuri : Nihon Igaku Butsuri Gakkai kikanshi = Japanese journal of medical physics : an official journal of Japan Society of Medical Physics</t>
  </si>
  <si>
    <t>IGAKU BUTSURI : NIHON IGAKU BUTSURI GAKKAI KIKANSHI = JAPANESE JOURNAL OF MEDICAL PHYSICS : AN OFFICIAL JOURNAL OF JAPAN SOCIETY OF MEDICAL PHYSICS</t>
  </si>
  <si>
    <t>Igaku Butsuri</t>
  </si>
  <si>
    <t>Continues: Hōshasen igaku butsuri.</t>
  </si>
  <si>
    <t>21869634</t>
  </si>
  <si>
    <t>13455354</t>
  </si>
  <si>
    <t>Nihon Igaku Butsuri Gakkai</t>
  </si>
  <si>
    <t>0373022</t>
  </si>
  <si>
    <t>Igiene e sanità pubblica</t>
  </si>
  <si>
    <t>IGIENE E SANITA PUBBLICA</t>
  </si>
  <si>
    <t>Ig Sanita Pubbl</t>
  </si>
  <si>
    <t>00191639</t>
  </si>
  <si>
    <t>Iniziative sanitarie</t>
  </si>
  <si>
    <t>9516416</t>
  </si>
  <si>
    <t>ILAR journal / National Research Council, Institute of Laboratory Animal Resources</t>
  </si>
  <si>
    <t>ILAR JOURNAL / NATIONAL RESEARCH COUNCIL, INSTITUTE OF LABORATORY ANIMAL RESOURCES</t>
  </si>
  <si>
    <t>ILAR J</t>
  </si>
  <si>
    <t>Continues: ILAR news. Institute of Laboratory Animal Resources (U.S.)</t>
  </si>
  <si>
    <t>19306180</t>
  </si>
  <si>
    <t>10842020</t>
  </si>
  <si>
    <t>Oxford University Press published on behalf of ILAR</t>
  </si>
  <si>
    <t>9432918</t>
  </si>
  <si>
    <t>IMMUNITY</t>
  </si>
  <si>
    <t>8002742</t>
  </si>
  <si>
    <t>IMMUNOBIOLOGY</t>
  </si>
  <si>
    <t>Continues Zeitschrift für Immunitätsforschung. Immunobiology.</t>
  </si>
  <si>
    <t>0420404</t>
  </si>
  <si>
    <t>IMMUNOGENETICS</t>
  </si>
  <si>
    <t>Allergy and Immunology#Genetics</t>
  </si>
  <si>
    <t>8806387</t>
  </si>
  <si>
    <t>Immunohematology / American Red Cross</t>
  </si>
  <si>
    <t>IMMUNOHEMATOLOGY / AMERICAN RED CROSS</t>
  </si>
  <si>
    <t>19303955</t>
  </si>
  <si>
    <t>Allergy and Immunology#Hematology</t>
  </si>
  <si>
    <t>8611087</t>
  </si>
  <si>
    <t>Immunologic research</t>
  </si>
  <si>
    <t>IMMUNOLOGIC RESEARCH</t>
  </si>
  <si>
    <t>Immunol Res</t>
  </si>
  <si>
    <t>Continues: Survey of immunologic research.</t>
  </si>
  <si>
    <t>8504629</t>
  </si>
  <si>
    <t>Immunological investigations</t>
  </si>
  <si>
    <t>IMMUNOLOGICAL INVESTIGATIONS</t>
  </si>
  <si>
    <t>Immunol Invest</t>
  </si>
  <si>
    <t>Beginning with v. 15, no. 3 (1986), occasional special issues called: Clinical immunology reviews (formerly an independent publication).</t>
  </si>
  <si>
    <t>Four no. a year, &lt;2001-&gt;</t>
  </si>
  <si>
    <t>7702118</t>
  </si>
  <si>
    <t>Immunological reviews</t>
  </si>
  <si>
    <t>IMMUNOLOGICAL REVIEWS</t>
  </si>
  <si>
    <t>Immunol Rev</t>
  </si>
  <si>
    <t>Continues: Transplantation reviews.</t>
  </si>
  <si>
    <t>Bimonthly, Aug. 1984-</t>
  </si>
  <si>
    <t>Allergy and Immunology#Transplantation</t>
  </si>
  <si>
    <t>0374672</t>
  </si>
  <si>
    <t>IMMUNOLOGY</t>
  </si>
  <si>
    <t>8805635</t>
  </si>
  <si>
    <t>Immunology and allergy clinics of North America</t>
  </si>
  <si>
    <t>IMMUNOLOGY AND ALLERGY CLINICS OF NORTH AMERICA</t>
  </si>
  <si>
    <t>Immunol Allergy Clin North Am</t>
  </si>
  <si>
    <t>Continues in part: Clinics in immunology and allergy.</t>
  </si>
  <si>
    <t>8706300</t>
  </si>
  <si>
    <t>Immunology and cell biology</t>
  </si>
  <si>
    <t>IMMUNOLOGY AND CELL BIOLOGY</t>
  </si>
  <si>
    <t>Immunol Cell Biol</t>
  </si>
  <si>
    <t>Continues: The Australian journal of experimental biology and medical science.</t>
  </si>
  <si>
    <t>7910006</t>
  </si>
  <si>
    <t>Immunology letters</t>
  </si>
  <si>
    <t>IMMUNOLOGY LETTERS</t>
  </si>
  <si>
    <t>Immunol Lett</t>
  </si>
  <si>
    <t>8807494</t>
  </si>
  <si>
    <t>Immunology. Supplement</t>
  </si>
  <si>
    <t>IMMUNOLOGY. SUPPLEMENT</t>
  </si>
  <si>
    <t>Immunol Suppl</t>
  </si>
  <si>
    <t>09534954</t>
  </si>
  <si>
    <t>Blackwell Scientific</t>
  </si>
  <si>
    <t>8800150</t>
  </si>
  <si>
    <t>Immunopharmacology and immunotoxicology</t>
  </si>
  <si>
    <t>IMMUNOPHARMACOLOGY AND IMMUNOTOXICOLOGY</t>
  </si>
  <si>
    <t>Immunopharmacol Immunotoxicol</t>
  </si>
  <si>
    <t>Continues: Journal of immunopharmacology.</t>
  </si>
  <si>
    <t>Allergy and Immunology#Pharmacology#Toxicology</t>
  </si>
  <si>
    <t>101485158</t>
  </si>
  <si>
    <t>IMMUNOTHERAPY</t>
  </si>
  <si>
    <t>Allergy and Immunology#Therapeutics</t>
  </si>
  <si>
    <t>9206481</t>
  </si>
  <si>
    <t>Implant dentistry</t>
  </si>
  <si>
    <t>IMPLANT DENTISTRY</t>
  </si>
  <si>
    <t>Implant Dent</t>
  </si>
  <si>
    <t>15382982</t>
  </si>
  <si>
    <t>10566163</t>
  </si>
  <si>
    <t>Published for the International Congress of Oral Implantologists and its component and affiliated societies by Williams &amp; Wilkins</t>
  </si>
  <si>
    <t>101258411</t>
  </si>
  <si>
    <t>Implementation science : IS</t>
  </si>
  <si>
    <t>IMPLEMENTATION SCIENCE : IS</t>
  </si>
  <si>
    <t>Implement Sci</t>
  </si>
  <si>
    <t>17485908</t>
  </si>
  <si>
    <t>0163356</t>
  </si>
  <si>
    <t>Imprint</t>
  </si>
  <si>
    <t>IMPRINT</t>
  </si>
  <si>
    <t>Continues NSNA news letter.</t>
  </si>
  <si>
    <t>00193062</t>
  </si>
  <si>
    <t>National Student Nurses' Assn.</t>
  </si>
  <si>
    <t>9815902</t>
  </si>
  <si>
    <t>In silico biology</t>
  </si>
  <si>
    <t>IN SILICO BIOLOGY</t>
  </si>
  <si>
    <t>In Silico Biol</t>
  </si>
  <si>
    <t>14343207</t>
  </si>
  <si>
    <t>13866338</t>
  </si>
  <si>
    <t>9418515</t>
  </si>
  <si>
    <t>In vitro cellular &amp; developmental biology. Animal</t>
  </si>
  <si>
    <t>IN VITRO CELLULAR &amp; DEVELOPMENTAL BIOLOGY. ANIMAL</t>
  </si>
  <si>
    <t>In Vitro Cell Dev Biol Anim</t>
  </si>
  <si>
    <t>Continues in part: In vitro cellular &amp; developmental biology.</t>
  </si>
  <si>
    <t>1543706X</t>
  </si>
  <si>
    <t>10712690</t>
  </si>
  <si>
    <t>Ten no. a year, 1997-</t>
  </si>
  <si>
    <t>Cell Biology#Zoology</t>
  </si>
  <si>
    <t>8806809</t>
  </si>
  <si>
    <t>In vivo (Athens, Greece)</t>
  </si>
  <si>
    <t>IN VIVO (ATHENS, GREECE)</t>
  </si>
  <si>
    <t>Dr. J.G. Delinassios</t>
  </si>
  <si>
    <t>0374675</t>
  </si>
  <si>
    <t>Indian heart journal</t>
  </si>
  <si>
    <t>INDIAN HEART JOURNAL</t>
  </si>
  <si>
    <t>Indian Heart J</t>
  </si>
  <si>
    <t>Cardiological Society of India</t>
  </si>
  <si>
    <t>0310774</t>
  </si>
  <si>
    <t>Indian journal of biochemistry &amp; biophysics</t>
  </si>
  <si>
    <t>INDIAN JOURNAL OF BIOCHEMISTRY &amp; BIOPHYSICS</t>
  </si>
  <si>
    <t>Indian J Biochem Biophys</t>
  </si>
  <si>
    <t>Continues: Indian journal of biochemistry.</t>
  </si>
  <si>
    <t>09750959</t>
  </si>
  <si>
    <t>03011208</t>
  </si>
  <si>
    <t>National Institute of Science Communication and Information Resources, CSIR</t>
  </si>
  <si>
    <t>Bimonthly, 1979-</t>
  </si>
  <si>
    <t>0112040</t>
  </si>
  <si>
    <t>Indian journal of cancer</t>
  </si>
  <si>
    <t>INDIAN JOURNAL OF CANCER</t>
  </si>
  <si>
    <t>Indian J Cancer</t>
  </si>
  <si>
    <t>7612044</t>
  </si>
  <si>
    <t>The Indian journal of chest diseases &amp; allied sciences</t>
  </si>
  <si>
    <t>INDIAN JOURNAL OF CHEST DISEASES &amp; ALLIED SCIENCES</t>
  </si>
  <si>
    <t>Indian J Chest Dis Allied Sci</t>
  </si>
  <si>
    <t>Continues: Indian journal of chest diseases.</t>
  </si>
  <si>
    <t>03779343</t>
  </si>
  <si>
    <t>V.K. Vijayan</t>
  </si>
  <si>
    <t>Cardiology#Pulmonary Medicine</t>
  </si>
  <si>
    <t>9202990</t>
  </si>
  <si>
    <t>Indian journal of dental research : official publication of Indian Society for Dental Research</t>
  </si>
  <si>
    <t>INDIAN JOURNAL OF DENTAL RESEARCH : OFFICIAL PUBLICATION OF INDIAN SOCIETY FOR DENTAL RESEARCH</t>
  </si>
  <si>
    <t>Indian J Dent Res</t>
  </si>
  <si>
    <t>19983603</t>
  </si>
  <si>
    <t>09709290</t>
  </si>
  <si>
    <t>7701852</t>
  </si>
  <si>
    <t>Indian journal of dermatology, venereology and leprology</t>
  </si>
  <si>
    <t>INDIAN JOURNAL OF DERMATOLOGY, VENEREOLOGY AND LEPROLOGY</t>
  </si>
  <si>
    <t>Indian J Dermatol Venereol Leprol</t>
  </si>
  <si>
    <t>Continues: Indian journal of dermatology and venereology.</t>
  </si>
  <si>
    <t>Dermatology#Sexually Transmitted Diseases#Tropical Medicine</t>
  </si>
  <si>
    <t>0233411</t>
  </si>
  <si>
    <t>Indian journal of experimental biology</t>
  </si>
  <si>
    <t>INDIAN JOURNAL OF EXPERIMENTAL BIOLOGY</t>
  </si>
  <si>
    <t>Indian J Exp Biol</t>
  </si>
  <si>
    <t>Continues: Annals of biochemistry and experimental medicine. Continues: Journal of scientific &amp; industrial research. C, Biological sciences.</t>
  </si>
  <si>
    <t>09751009</t>
  </si>
  <si>
    <t>00195189</t>
  </si>
  <si>
    <t>Monthly, 1977-</t>
  </si>
  <si>
    <t>8409436</t>
  </si>
  <si>
    <t>Indian journal of gastroenterology : official journal of the Indian Society of Gastroenterology</t>
  </si>
  <si>
    <t>INDIAN JOURNAL OF GASTROENTEROLOGY : OFFICIAL JOURNAL OF THE INDIAN SOCIETY OF GASTROENTEROLOGY</t>
  </si>
  <si>
    <t>Indian J Gastroenterol</t>
  </si>
  <si>
    <t>8409173</t>
  </si>
  <si>
    <t>Indian journal of leprosy</t>
  </si>
  <si>
    <t>INDIAN JOURNAL OF LEPROSY</t>
  </si>
  <si>
    <t>Indian J Lepr</t>
  </si>
  <si>
    <t>Continues: Leprosy in India.</t>
  </si>
  <si>
    <t>101214913</t>
  </si>
  <si>
    <t>Indian journal of medical ethics</t>
  </si>
  <si>
    <t>INDIAN JOURNAL OF MEDICAL ETHICS</t>
  </si>
  <si>
    <t>Indian J Med Ethics</t>
  </si>
  <si>
    <t>Continues: Issues in medical ethics.</t>
  </si>
  <si>
    <t>09755691</t>
  </si>
  <si>
    <t>09748466</t>
  </si>
  <si>
    <t>Forum for Medical Ethics Society</t>
  </si>
  <si>
    <t>8700903</t>
  </si>
  <si>
    <t>Indian journal of medical microbiology</t>
  </si>
  <si>
    <t>INDIAN JOURNAL OF MEDICAL MICROBIOLOGY</t>
  </si>
  <si>
    <t>Indian J Med Microbiol</t>
  </si>
  <si>
    <t>0374701</t>
  </si>
  <si>
    <t>The Indian journal of medical research</t>
  </si>
  <si>
    <t>INDIAN JOURNAL OF MEDICAL RESEARCH</t>
  </si>
  <si>
    <t>Indian J Med Res</t>
  </si>
  <si>
    <t>Supersedes: Paludism, and Scientific memoirs by officers of the Medical and Sanitary Departments of the Government of India.</t>
  </si>
  <si>
    <t>0373023</t>
  </si>
  <si>
    <t>Indian journal of medical sciences</t>
  </si>
  <si>
    <t>INDIAN JOURNAL OF MEDICAL SCIENCES</t>
  </si>
  <si>
    <t>Indian J Med Sci</t>
  </si>
  <si>
    <t>Supersedes: Medical bulletin (Bombay).</t>
  </si>
  <si>
    <t>0405376</t>
  </si>
  <si>
    <t>Indian journal of ophthalmology</t>
  </si>
  <si>
    <t>INDIAN JOURNAL OF OPHTHALMOLOGY</t>
  </si>
  <si>
    <t>Indian J Ophthalmol</t>
  </si>
  <si>
    <t>Continues: Journal of the All-India Ophthalmological Society.</t>
  </si>
  <si>
    <t>19983689</t>
  </si>
  <si>
    <t>03014738</t>
  </si>
  <si>
    <t>Quarterly, 1988-</t>
  </si>
  <si>
    <t>7605904</t>
  </si>
  <si>
    <t>Indian journal of pathology &amp; microbiology</t>
  </si>
  <si>
    <t>INDIAN JOURNAL OF PATHOLOGY &amp; MICROBIOLOGY</t>
  </si>
  <si>
    <t>Indian J Pathol Microbiol</t>
  </si>
  <si>
    <t>Continues: Indian journal of pathology &amp; bacteriology.</t>
  </si>
  <si>
    <t>Microbiology#Pathology</t>
  </si>
  <si>
    <t>0417442</t>
  </si>
  <si>
    <t>Indian journal of pediatrics</t>
  </si>
  <si>
    <t>INDIAN JOURNAL OF PEDIATRICS</t>
  </si>
  <si>
    <t>Indian J Pediatr</t>
  </si>
  <si>
    <t>Dr. K. C. Chaudhuri Foundation, co-published by Springer India</t>
  </si>
  <si>
    <t>7902477</t>
  </si>
  <si>
    <t>Indian journal of pharmacology</t>
  </si>
  <si>
    <t>INDIAN JOURNAL OF PHARMACOLOGY</t>
  </si>
  <si>
    <t>Indian J Pharmacol</t>
  </si>
  <si>
    <t>0374707</t>
  </si>
  <si>
    <t>Indian journal of physiology and pharmacology</t>
  </si>
  <si>
    <t>INDIAN JOURNAL OF PHYSIOLOGY AND PHARMACOLOGY</t>
  </si>
  <si>
    <t>Indian J Physiol Pharmacol</t>
  </si>
  <si>
    <t>Dept. Of Physiology, All-India Institute Of Medical Sciences Etc</t>
  </si>
  <si>
    <t>0400673</t>
  </si>
  <si>
    <t>Indian journal of public health</t>
  </si>
  <si>
    <t>INDIAN JOURNAL OF PUBLIC HEALTH</t>
  </si>
  <si>
    <t>Indian J Public Health</t>
  </si>
  <si>
    <t>0019557X</t>
  </si>
  <si>
    <t>0373027</t>
  </si>
  <si>
    <t>The Indian journal of tuberculosis</t>
  </si>
  <si>
    <t>INDIAN JOURNAL OF TUBERCULOSIS</t>
  </si>
  <si>
    <t>Indian J Tuberc</t>
  </si>
  <si>
    <t>Tuberculosis Assn. of India.</t>
  </si>
  <si>
    <t>2985062R</t>
  </si>
  <si>
    <t>Indian pediatrics</t>
  </si>
  <si>
    <t>INDIAN PEDIATRICS</t>
  </si>
  <si>
    <t>Indian Pediatr</t>
  </si>
  <si>
    <t>Formed by the merger of: Indian journal of child health, and: Journal of the Indian Pediatric Society.</t>
  </si>
  <si>
    <t>9423515</t>
  </si>
  <si>
    <t>Indoor air</t>
  </si>
  <si>
    <t>INDOOR AIR</t>
  </si>
  <si>
    <t>Indoor Air</t>
  </si>
  <si>
    <t>16000668</t>
  </si>
  <si>
    <t>09056947</t>
  </si>
  <si>
    <t>2985065R</t>
  </si>
  <si>
    <t>Industrial health</t>
  </si>
  <si>
    <t>INDUSTRIAL HEALTH</t>
  </si>
  <si>
    <t>Ind Health</t>
  </si>
  <si>
    <t>Continues: Kenkyu hokoku.</t>
  </si>
  <si>
    <t>18808026</t>
  </si>
  <si>
    <t>00198366</t>
  </si>
  <si>
    <t>National Institute of Industrial Health.</t>
  </si>
  <si>
    <t>7806016</t>
  </si>
  <si>
    <t>Infant behavior &amp; development</t>
  </si>
  <si>
    <t>INFANT BEHAVIOR &amp; DEVELOPMENT</t>
  </si>
  <si>
    <t>Infant Behav Dev</t>
  </si>
  <si>
    <t>19348800</t>
  </si>
  <si>
    <t>Ablex.</t>
  </si>
  <si>
    <t>0365307</t>
  </si>
  <si>
    <t>INFECTION</t>
  </si>
  <si>
    <t>Bimonthly, &lt;1985- &gt;</t>
  </si>
  <si>
    <t>Allergy and Immunology#Communicable Diseases</t>
  </si>
  <si>
    <t>0246127</t>
  </si>
  <si>
    <t>Infection and immunity</t>
  </si>
  <si>
    <t>INFECTION AND IMMUNITY</t>
  </si>
  <si>
    <t>Infect Immun</t>
  </si>
  <si>
    <t>8804099</t>
  </si>
  <si>
    <t>Infection control and hospital epidemiology : the official journal of the Society of Hospital Epidemiologists of America</t>
  </si>
  <si>
    <t>INFECTION CONTROL AND HOSPITAL EPIDEMIOLOGY : THE OFFICIAL JOURNAL OF THE SOCIETY OF HOSPITAL EPIDEMIOLOGISTS OF AMERICA</t>
  </si>
  <si>
    <t>Infect Control Hosp Epidemiol</t>
  </si>
  <si>
    <t>Continues: Infection control.</t>
  </si>
  <si>
    <t>15596834</t>
  </si>
  <si>
    <t>Communicable Diseases#Epidemiology#Hospitals#Nursing</t>
  </si>
  <si>
    <t>101084138</t>
  </si>
  <si>
    <t>Infection, genetics and evolution : journal of molecular epidemiology and evolutionary genetics in infectious diseases</t>
  </si>
  <si>
    <t>INFECTION, GENETICS AND EVOLUTION : JOURNAL OF MOLECULAR EPIDEMIOLOGY AND EVOLUTIONARY GENETICS IN INFECTIOUS DISEASES</t>
  </si>
  <si>
    <t>Infect Genet Evol</t>
  </si>
  <si>
    <t>Biology#Communicable Diseases#Genetics</t>
  </si>
  <si>
    <t>8804508</t>
  </si>
  <si>
    <t>Infectious disease clinics of North America</t>
  </si>
  <si>
    <t>INFECTIOUS DISEASE CLINICS OF NORTH AMERICA</t>
  </si>
  <si>
    <t>Infect Dis Clin North Am</t>
  </si>
  <si>
    <t>9318481</t>
  </si>
  <si>
    <t>Infectious diseases in obstetrics and gynecology</t>
  </si>
  <si>
    <t>INFECTIOUS DISEASES IN OBSTETRICS AND GYNECOLOGY</t>
  </si>
  <si>
    <t>Infect Dis Obstet Gynecol</t>
  </si>
  <si>
    <t>Hindawi Publishing</t>
  </si>
  <si>
    <t>Four no. a year, 2002-</t>
  </si>
  <si>
    <t>Communicable Diseases#Gynecology#Obstetrics</t>
  </si>
  <si>
    <t>101269158</t>
  </si>
  <si>
    <t>Infectious disorders drug targets</t>
  </si>
  <si>
    <t>INFECTIOUS DISORDERS DRUG TARGETS</t>
  </si>
  <si>
    <t>Infect Disord Drug Targets</t>
  </si>
  <si>
    <t>Continues: Current drug targets. Infectious disorders.</t>
  </si>
  <si>
    <t>22123989</t>
  </si>
  <si>
    <t>9613961</t>
  </si>
  <si>
    <t>Le infezioni in medicina : rivista periodica di eziologia, epidemiologia, diagnostica, clinica e terapia delle patologie infettive</t>
  </si>
  <si>
    <t>INFEZIONI IN MEDICINA : RIVISTA PERIODICA DI EZIOLOGIA, EPIDEMIOLOGIA, DIAGNOSTICA, CLINICA E TERAPIA DELLE PATOLOGIE INFETTIVE</t>
  </si>
  <si>
    <t>Infez Med</t>
  </si>
  <si>
    <t>Ospedale Gesu e Maria - Seconda Universita Departimento Malattie Infettive</t>
  </si>
  <si>
    <t>7600105</t>
  </si>
  <si>
    <t>INFLAMMATION</t>
  </si>
  <si>
    <t>Allergy and Immunology#Pathology</t>
  </si>
  <si>
    <t>101266886</t>
  </si>
  <si>
    <t>Inflammation &amp; allergy drug targets</t>
  </si>
  <si>
    <t>INFLAMMATION &amp; ALLERGY DRUG TARGETS</t>
  </si>
  <si>
    <t>Inflamm Allergy Drug Targets</t>
  </si>
  <si>
    <t>Continues: Current drug targets. Inflammation and allergy.</t>
  </si>
  <si>
    <t>22124055</t>
  </si>
  <si>
    <t>Allergy and Immunology#Drug Therapy</t>
  </si>
  <si>
    <t>9508160</t>
  </si>
  <si>
    <t>Inflammation research : official journal of the European Histamine Research Society ... [et al.]</t>
  </si>
  <si>
    <t>INFLAMMATION RESEARCH : OFFICIAL JOURNAL OF THE EUROPEAN HISTAMINE RESEARCH SOCIETY ... [ET AL.]</t>
  </si>
  <si>
    <t>Inflamm Res</t>
  </si>
  <si>
    <t>Continues: Agents and actions.</t>
  </si>
  <si>
    <t>Birkhäuser</t>
  </si>
  <si>
    <t>9508162</t>
  </si>
  <si>
    <t>Inflammatory bowel diseases</t>
  </si>
  <si>
    <t>INFLAMMATORY BOWEL DISEASES</t>
  </si>
  <si>
    <t>Inflamm Bowel Dis</t>
  </si>
  <si>
    <t>9112626</t>
  </si>
  <si>
    <t>INFLAMMOPHARMACOLOGY</t>
  </si>
  <si>
    <t>101304007</t>
  </si>
  <si>
    <t>Influenza and other respiratory viruses</t>
  </si>
  <si>
    <t>INFLUENZA AND OTHER RESPIRATORY VIRUSES</t>
  </si>
  <si>
    <t>Influenza Other Respir Viruses</t>
  </si>
  <si>
    <t>101475011</t>
  </si>
  <si>
    <t>Informatics for health &amp; social care</t>
  </si>
  <si>
    <t>INFORMATICS FOR HEALTH &amp; SOCIAL CARE</t>
  </si>
  <si>
    <t>Inform Health Soc Care</t>
  </si>
  <si>
    <t>Continues: Medical informatics and the Internet in medicine.</t>
  </si>
  <si>
    <t>17538165</t>
  </si>
  <si>
    <t>17538157</t>
  </si>
  <si>
    <t>101150138</t>
  </si>
  <si>
    <t>Informatics in primary care</t>
  </si>
  <si>
    <t>INFORMATICS IN PRIMARY CARE</t>
  </si>
  <si>
    <t>Inform Prim Care</t>
  </si>
  <si>
    <t>Continues: Journal of informatics in primary care.</t>
  </si>
  <si>
    <t>14759985</t>
  </si>
  <si>
    <t>14760320</t>
  </si>
  <si>
    <t>Published for the Primary Health Care Specialist Group of the British Computer Society by Radcliffe Medical Press</t>
  </si>
  <si>
    <t>Medical Informatics#Primary Health Care</t>
  </si>
  <si>
    <t>9216871</t>
  </si>
  <si>
    <t>Information processing in medical imaging : proceedings of the ... conference</t>
  </si>
  <si>
    <t>INFORMATION PROCESSING IN MEDICAL IMAGING : PROCEEDINGS OF THE ... CONFERENCE</t>
  </si>
  <si>
    <t>Inf Process Med Imaging</t>
  </si>
  <si>
    <t>10112499</t>
  </si>
  <si>
    <t>Diagnostic Imaging#Medical Informatics</t>
  </si>
  <si>
    <t>198u</t>
  </si>
  <si>
    <t>8910739</t>
  </si>
  <si>
    <t>Inhalation toxicology</t>
  </si>
  <si>
    <t>INHALATION TOXICOLOGY</t>
  </si>
  <si>
    <t>Inhal Toxicol</t>
  </si>
  <si>
    <t>0226040</t>
  </si>
  <si>
    <t>INJURY</t>
  </si>
  <si>
    <t>9510056</t>
  </si>
  <si>
    <t>Injury prevention : journal of the International Society for Child and Adolescent Injury Prevention</t>
  </si>
  <si>
    <t>INJURY PREVENTION : JOURNAL OF THE INTERNATIONAL SOCIETY FOR CHILD AND ADOLESCENT INJURY PREVENTION</t>
  </si>
  <si>
    <t>Inj Prev</t>
  </si>
  <si>
    <t>14755785</t>
  </si>
  <si>
    <t>13538047</t>
  </si>
  <si>
    <t>Pediatrics#Traumatology</t>
  </si>
  <si>
    <t>101469670</t>
  </si>
  <si>
    <t>Innate immunity</t>
  </si>
  <si>
    <t>INNATE IMMUNITY</t>
  </si>
  <si>
    <t>Innate Immun</t>
  </si>
  <si>
    <t>Continues: Journal of endotoxin research.</t>
  </si>
  <si>
    <t>6 issues a year, 2008-</t>
  </si>
  <si>
    <t>Allergy and Immunology#Bacteriology</t>
  </si>
  <si>
    <t>101257528</t>
  </si>
  <si>
    <t>Innovations (Philadelphia, Pa.)</t>
  </si>
  <si>
    <t>INNOVATIONS (PHILADELPHIA, PA.)</t>
  </si>
  <si>
    <t>Innovations (Phila)</t>
  </si>
  <si>
    <t>Cardiology#General Surgery#Vascular Diseases</t>
  </si>
  <si>
    <t>0366543</t>
  </si>
  <si>
    <t>Inorganic chemistry</t>
  </si>
  <si>
    <t>INORGANIC CHEMISTRY</t>
  </si>
  <si>
    <t>Inorg Chem</t>
  </si>
  <si>
    <t>1520510X</t>
  </si>
  <si>
    <t>00201669</t>
  </si>
  <si>
    <t>0171671</t>
  </si>
  <si>
    <t>Inquiry : a journal of medical care organization, provision and financing</t>
  </si>
  <si>
    <t>INQUIRY : A JOURNAL OF MEDICAL CARE ORGANIZATION, PROVISION AND FINANCING</t>
  </si>
  <si>
    <t>Inquiry</t>
  </si>
  <si>
    <t>00469580</t>
  </si>
  <si>
    <t>9207282</t>
  </si>
  <si>
    <t>Insect biochemistry and molecular biology</t>
  </si>
  <si>
    <t>INSECT BIOCHEMISTRY AND MOLECULAR BIOLOGY</t>
  </si>
  <si>
    <t>Insect Biochem Mol Biol</t>
  </si>
  <si>
    <t>Continues: Insect biochemistry.</t>
  </si>
  <si>
    <t>18790240</t>
  </si>
  <si>
    <t>09651748</t>
  </si>
  <si>
    <t>Biochemistry#Molecular Biology#Zoology</t>
  </si>
  <si>
    <t>9303579</t>
  </si>
  <si>
    <t>Insect molecular biology</t>
  </si>
  <si>
    <t>INSECT MOLECULAR BIOLOGY</t>
  </si>
  <si>
    <t>Insect Mol Biol</t>
  </si>
  <si>
    <t>13652583</t>
  </si>
  <si>
    <t>09621075</t>
  </si>
  <si>
    <t>Blackwell Scientific For The Royal Entomological Society</t>
  </si>
  <si>
    <t>Molecular Biology#Zoology</t>
  </si>
  <si>
    <t>101266965</t>
  </si>
  <si>
    <t>Insect science</t>
  </si>
  <si>
    <t>INSECT SCIENCE</t>
  </si>
  <si>
    <t>Insect Sci</t>
  </si>
  <si>
    <t>Continues: Entomologia Sinica.</t>
  </si>
  <si>
    <t>17447917</t>
  </si>
  <si>
    <t>16729609</t>
  </si>
  <si>
    <t>9111431</t>
  </si>
  <si>
    <t>Insight (American Society of Ophthalmic Registered Nurses)</t>
  </si>
  <si>
    <t>INSIGHT (AMERICAN SOCIETY OF OPHTHALMIC REGISTERED NURSES)</t>
  </si>
  <si>
    <t>Insight</t>
  </si>
  <si>
    <t>1060135X</t>
  </si>
  <si>
    <t>Mosby For The American Society Of Ophthalmic Registered Nurses</t>
  </si>
  <si>
    <t>7507149</t>
  </si>
  <si>
    <t>Instructional course lectures</t>
  </si>
  <si>
    <t>INSTRUCTIONAL COURSE LECTURES</t>
  </si>
  <si>
    <t>Instr Course Lect</t>
  </si>
  <si>
    <t>00656895</t>
  </si>
  <si>
    <t>American Academy Of Orthopaedic Surgeons</t>
  </si>
  <si>
    <t>101234521</t>
  </si>
  <si>
    <t>Integrated environmental assessment and management</t>
  </si>
  <si>
    <t>INTEGRATED ENVIRONMENTAL ASSESSMENT AND MANAGEMENT</t>
  </si>
  <si>
    <t>Integr Environ Assess Manag</t>
  </si>
  <si>
    <t>15513793</t>
  </si>
  <si>
    <t>15513777</t>
  </si>
  <si>
    <t>Society of Environmental Toxicology and Chemistry (SETAC)</t>
  </si>
  <si>
    <t>101152341</t>
  </si>
  <si>
    <t>Integrative and comparative biology</t>
  </si>
  <si>
    <t>INTEGRATIVE AND COMPARATIVE BIOLOGY</t>
  </si>
  <si>
    <t>Integr Comp Biol</t>
  </si>
  <si>
    <t>Continues: American zoologist.</t>
  </si>
  <si>
    <t>15577023</t>
  </si>
  <si>
    <t>15407063</t>
  </si>
  <si>
    <t>101478378</t>
  </si>
  <si>
    <t>Integrative biology : quantitative biosciences from nano to macro</t>
  </si>
  <si>
    <t>INTEGRATIVE BIOLOGY : QUANTITATIVE BIOSCIENCES FROM NANO TO MACRO</t>
  </si>
  <si>
    <t>Integr Biol (Camb)</t>
  </si>
  <si>
    <t>RSC Publishing</t>
  </si>
  <si>
    <t>101128834</t>
  </si>
  <si>
    <t>Integrative cancer therapies</t>
  </si>
  <si>
    <t>INTEGRATIVE CANCER THERAPIES</t>
  </si>
  <si>
    <t>Integr Cancer Ther</t>
  </si>
  <si>
    <t>101319534</t>
  </si>
  <si>
    <t>Integrative psychological &amp; behavioral science</t>
  </si>
  <si>
    <t>INTEGRATIVE PSYCHOLOGICAL &amp; BEHAVIORAL SCIENCE</t>
  </si>
  <si>
    <t>Integr Psychol Behav Sci</t>
  </si>
  <si>
    <t>Continues: Integrative physiological and behavioral science.</t>
  </si>
  <si>
    <t>19363567</t>
  </si>
  <si>
    <t>19324502</t>
  </si>
  <si>
    <t>101492420</t>
  </si>
  <si>
    <t>Integrative zoology</t>
  </si>
  <si>
    <t>INTEGRATIVE ZOOLOGY</t>
  </si>
  <si>
    <t>Integr Zool</t>
  </si>
  <si>
    <t>17494877</t>
  </si>
  <si>
    <t>17494869</t>
  </si>
  <si>
    <t>101299965</t>
  </si>
  <si>
    <t>Intellectual and developmental disabilities</t>
  </si>
  <si>
    <t>INTELLECTUAL AND DEVELOPMENTAL DISABILITIES</t>
  </si>
  <si>
    <t>Intellect Dev Disabil</t>
  </si>
  <si>
    <t>Continues: Mental retardation.</t>
  </si>
  <si>
    <t>19349556</t>
  </si>
  <si>
    <t>19349491</t>
  </si>
  <si>
    <t>9211274</t>
  </si>
  <si>
    <t>Intensive &amp; critical care nursing : the official journal of the British Association of Critical Care Nurses</t>
  </si>
  <si>
    <t>INTENSIVE &amp; CRITICAL CARE NURSING : THE OFFICIAL JOURNAL OF THE BRITISH ASSOCIATION OF CRITICAL CARE NURSES</t>
  </si>
  <si>
    <t>Intensive Crit Care Nurs</t>
  </si>
  <si>
    <t>Continues: Intensive care nursing.</t>
  </si>
  <si>
    <t>15324036</t>
  </si>
  <si>
    <t>09643397</t>
  </si>
  <si>
    <t>7704851</t>
  </si>
  <si>
    <t>Intensive care medicine</t>
  </si>
  <si>
    <t>INTENSIVE CARE MEDICINE</t>
  </si>
  <si>
    <t>Intensive Care Med</t>
  </si>
  <si>
    <t>101158399</t>
  </si>
  <si>
    <t>Interactive cardiovascular and thoracic surgery</t>
  </si>
  <si>
    <t>INTERACTIVE CARDIOVASCULAR AND THORACIC SURGERY</t>
  </si>
  <si>
    <t>Interact Cardiovasc Thorac Surg</t>
  </si>
  <si>
    <t>101515919</t>
  </si>
  <si>
    <t>Interdisciplinary sciences, computational life sciences</t>
  </si>
  <si>
    <t>INTERDISCIPLINARY SCIENCES, COMPUTATIONAL LIFE SCIENCES</t>
  </si>
  <si>
    <t>Interdiscip Sci</t>
  </si>
  <si>
    <t>18671462</t>
  </si>
  <si>
    <t>19132751</t>
  </si>
  <si>
    <t>0135125</t>
  </si>
  <si>
    <t>Interdisciplinary topics in gerontology</t>
  </si>
  <si>
    <t>INTERDISCIPLINARY TOPICS IN GERONTOLOGY</t>
  </si>
  <si>
    <t>Interdiscip Top Gerontol</t>
  </si>
  <si>
    <t>16623800</t>
  </si>
  <si>
    <t>00741132</t>
  </si>
  <si>
    <t>101263418</t>
  </si>
  <si>
    <t>Internal and emergency medicine</t>
  </si>
  <si>
    <t>INTERNAL AND EMERGENCY MEDICINE</t>
  </si>
  <si>
    <t>Intern Emerg Med</t>
  </si>
  <si>
    <t>Continues: Annali italiani di medicina interna.</t>
  </si>
  <si>
    <t>19709366</t>
  </si>
  <si>
    <t>18280447</t>
  </si>
  <si>
    <t>Emergency Medicine#Internal Medicine</t>
  </si>
  <si>
    <t>9204241</t>
  </si>
  <si>
    <t>Internal medicine (Tokyo, Japan)</t>
  </si>
  <si>
    <t>INTERNAL MEDICINE (TOKYO, JAPAN)</t>
  </si>
  <si>
    <t>Intern Med</t>
  </si>
  <si>
    <t>Continues: Japanese journal of medicine.</t>
  </si>
  <si>
    <t>101092952</t>
  </si>
  <si>
    <t>Internal medicine journal</t>
  </si>
  <si>
    <t>INTERNAL MEDICINE JOURNAL</t>
  </si>
  <si>
    <t>Intern Med J</t>
  </si>
  <si>
    <t>Continues: Australian and New Zealand journal of medicine.</t>
  </si>
  <si>
    <t>0370760</t>
  </si>
  <si>
    <t>International anesthesiology clinics</t>
  </si>
  <si>
    <t>INTERNATIONAL ANESTHESIOLOGY CLINICS</t>
  </si>
  <si>
    <t>Int Anesthesiol Clin</t>
  </si>
  <si>
    <t>Absorbed: Problems in anesthesia. 2002</t>
  </si>
  <si>
    <t>Lippincott WIliams &amp; Wilkins</t>
  </si>
  <si>
    <t>8402693</t>
  </si>
  <si>
    <t>International angiology : a journal of the International Union of Angiology</t>
  </si>
  <si>
    <t>INTERNATIONAL ANGIOLOGY : A JOURNAL OF THE INTERNATIONAL UNION OF ANGIOLOGY</t>
  </si>
  <si>
    <t>Int Angiol</t>
  </si>
  <si>
    <t>18271839</t>
  </si>
  <si>
    <t>9211652</t>
  </si>
  <si>
    <t>International archives of allergy and immunology</t>
  </si>
  <si>
    <t>INTERNATIONAL ARCHIVES OF ALLERGY AND IMMUNOLOGY</t>
  </si>
  <si>
    <t>Int Arch Allergy Immunol</t>
  </si>
  <si>
    <t>Continues: International archives of allergy and applied immunology.</t>
  </si>
  <si>
    <t>7512134</t>
  </si>
  <si>
    <t>International archives of occupational and environmental health</t>
  </si>
  <si>
    <t>INTERNATIONAL ARCHIVES OF OCCUPATIONAL AND ENVIRONMENTAL HEALTH</t>
  </si>
  <si>
    <t>Int Arch Occup Environ Health</t>
  </si>
  <si>
    <t>Continues: Internationales Archiv für Arbeitsmedizin.</t>
  </si>
  <si>
    <t>14321246</t>
  </si>
  <si>
    <t>03400131</t>
  </si>
  <si>
    <t>101158091</t>
  </si>
  <si>
    <t>International braz j urol : official journal of the Brazilian Society of Urology</t>
  </si>
  <si>
    <t>INTERNATIONAL BRAZ J UROL : OFFICIAL JOURNAL OF THE BRAZILIAN SOCIETY OF UROLOGY</t>
  </si>
  <si>
    <t>Int Braz J Urol</t>
  </si>
  <si>
    <t>Continues: Brazilian journal of urology.</t>
  </si>
  <si>
    <t>16776119</t>
  </si>
  <si>
    <t>16775538</t>
  </si>
  <si>
    <t>Brazilian Society of Urology</t>
  </si>
  <si>
    <t>8609061</t>
  </si>
  <si>
    <t>International clinical psychopharmacology</t>
  </si>
  <si>
    <t>INTERNATIONAL CLINICAL PSYCHOPHARMACOLOGY</t>
  </si>
  <si>
    <t>Int Clin Psychopharmacol</t>
  </si>
  <si>
    <t>0374714</t>
  </si>
  <si>
    <t>International dental journal</t>
  </si>
  <si>
    <t>INTERNATIONAL DENTAL JOURNAL</t>
  </si>
  <si>
    <t>Int Dent J</t>
  </si>
  <si>
    <t>00206539</t>
  </si>
  <si>
    <t>101472191</t>
  </si>
  <si>
    <t>International emergency nursing</t>
  </si>
  <si>
    <t>INTERNATIONAL EMERGENCY NURSING</t>
  </si>
  <si>
    <t>Int Emerg Nurs</t>
  </si>
  <si>
    <t>Continues: Accident and emergency nursing.</t>
  </si>
  <si>
    <t>1878013X</t>
  </si>
  <si>
    <t>1755599X</t>
  </si>
  <si>
    <t>8004996</t>
  </si>
  <si>
    <t>International endodontic journal</t>
  </si>
  <si>
    <t>INTERNATIONAL ENDODONTIC JOURNAL</t>
  </si>
  <si>
    <t>Int Endod J</t>
  </si>
  <si>
    <t>Continues: Journal of the British Endodontic Society.</t>
  </si>
  <si>
    <t>13652591</t>
  </si>
  <si>
    <t>01432885</t>
  </si>
  <si>
    <t>101550261</t>
  </si>
  <si>
    <t>International forum of allergy &amp; rhinology</t>
  </si>
  <si>
    <t>INTERNATIONAL FORUM OF ALLERGY &amp; RHINOLOGY</t>
  </si>
  <si>
    <t>Int Forum Allergy Rhinol</t>
  </si>
  <si>
    <t>Published for ARS-AAOA by Wiley-Blackwell</t>
  </si>
  <si>
    <t>101517095</t>
  </si>
  <si>
    <t>International health</t>
  </si>
  <si>
    <t>INTERNATIONAL HEALTH</t>
  </si>
  <si>
    <t>Int Health</t>
  </si>
  <si>
    <t>Public Health#Tropical Medicine</t>
  </si>
  <si>
    <t>101244240</t>
  </si>
  <si>
    <t>International heart journal</t>
  </si>
  <si>
    <t>INTERNATIONAL HEART JOURNAL</t>
  </si>
  <si>
    <t>Int Heart J</t>
  </si>
  <si>
    <t>Continues: Japanese heart journal.</t>
  </si>
  <si>
    <t>8916182</t>
  </si>
  <si>
    <t>International immunology</t>
  </si>
  <si>
    <t>INTERNATIONAL IMMUNOLOGY</t>
  </si>
  <si>
    <t>Int Immunol</t>
  </si>
  <si>
    <t>[Oxford University Press</t>
  </si>
  <si>
    <t>100965259</t>
  </si>
  <si>
    <t>International immunopharmacology</t>
  </si>
  <si>
    <t>INTERNATIONAL IMMUNOPHARMACOLOGY</t>
  </si>
  <si>
    <t>Int Immunopharmacol</t>
  </si>
  <si>
    <t>Allergy and Immunology#Pharmacology</t>
  </si>
  <si>
    <t>101147692</t>
  </si>
  <si>
    <t>International journal for equity in health</t>
  </si>
  <si>
    <t>INTERNATIONAL JOURNAL FOR EQUITY IN HEALTH</t>
  </si>
  <si>
    <t>Int J Equity Health</t>
  </si>
  <si>
    <t>101530293</t>
  </si>
  <si>
    <t>International journal for numerical methods in biomedical engineering</t>
  </si>
  <si>
    <t>INTERNATIONAL JOURNAL FOR NUMERICAL METHODS IN BIOMEDICAL ENGINEERING</t>
  </si>
  <si>
    <t>Int j numer method biomed eng</t>
  </si>
  <si>
    <t>Continues: Communications in numerical methods in engineering.</t>
  </si>
  <si>
    <t>20407947</t>
  </si>
  <si>
    <t>20407939</t>
  </si>
  <si>
    <t>Biomedical Engineering#Statistics as Topic</t>
  </si>
  <si>
    <t>0314024</t>
  </si>
  <si>
    <t>International journal for parasitology</t>
  </si>
  <si>
    <t>INTERNATIONAL JOURNAL FOR PARASITOLOGY</t>
  </si>
  <si>
    <t>Int J Parasitol</t>
  </si>
  <si>
    <t>9434628</t>
  </si>
  <si>
    <t>International journal for quality in health care : journal of the International Society for Quality in Health Care / ISQua</t>
  </si>
  <si>
    <t>INTERNATIONAL JOURNAL FOR QUALITY IN HEALTH CARE : JOURNAL OF THE INTERNATIONAL SOCIETY FOR QUALITY IN HEALTH CARE / ISQUA</t>
  </si>
  <si>
    <t>Int J Qual Health Care</t>
  </si>
  <si>
    <t>Continues: Quality assurance in health care.</t>
  </si>
  <si>
    <t>1273304</t>
  </si>
  <si>
    <t>International journal for vitamin and nutrition research. Internationale Zeitschrift für Vitamin- und Ernährungsforschung. Journal international de vitaminologie et de nutrition</t>
  </si>
  <si>
    <t>INTERNATIONAL JOURNAL FOR VITAMIN AND NUTRITION RESEARCH. INTERNATIONALE ZEITSCHRIFT FUR VITAMIN- UND ERNAHRUNGSFORSCHUNG. JOURNAL INTERNATIONAL DE VITAMINOLOGIE ET DE NUTRITION</t>
  </si>
  <si>
    <t>Int J Vitam Nutr Res</t>
  </si>
  <si>
    <t>Continues: Internationale Zeitschrift für Vitaminforschung.</t>
  </si>
  <si>
    <t>Hans Huber</t>
  </si>
  <si>
    <t>8506960</t>
  </si>
  <si>
    <t>International journal of adolescent medicine and health</t>
  </si>
  <si>
    <t>INTERNATIONAL JOURNAL OF ADOLESCENT MEDICINE AND HEALTH</t>
  </si>
  <si>
    <t>Int J Adolesc Med Health</t>
  </si>
  <si>
    <t>Walter de Gruyter</t>
  </si>
  <si>
    <t>0370033</t>
  </si>
  <si>
    <t>International journal of aging &amp; human development</t>
  </si>
  <si>
    <t>INTERNATIONAL JOURNAL OF AGING &amp; HUMAN DEVELOPMENT</t>
  </si>
  <si>
    <t>Int J Aging Hum Dev</t>
  </si>
  <si>
    <t>Continues Aging &amp; human development.</t>
  </si>
  <si>
    <t>00914150</t>
  </si>
  <si>
    <t>Baywood Publishing Co</t>
  </si>
  <si>
    <t>9111860</t>
  </si>
  <si>
    <t>International journal of antimicrobial agents</t>
  </si>
  <si>
    <t>INTERNATIONAL JOURNAL OF ANTIMICROBIAL AGENTS</t>
  </si>
  <si>
    <t>Int J Antimicrob Agents</t>
  </si>
  <si>
    <t>7802649</t>
  </si>
  <si>
    <t>The International journal of artificial organs</t>
  </si>
  <si>
    <t>INTERNATIONAL JOURNAL OF ARTIFICIAL ORGANS</t>
  </si>
  <si>
    <t>Int J Artif Organs</t>
  </si>
  <si>
    <t>17246040</t>
  </si>
  <si>
    <t>101140017</t>
  </si>
  <si>
    <t>International journal of audiology</t>
  </si>
  <si>
    <t>INTERNATIONAL JOURNAL OF AUDIOLOGY</t>
  </si>
  <si>
    <t>Int J Audiol</t>
  </si>
  <si>
    <t>Merger of: Audiology; British journal of audiology; and: Scandinavian audiology.</t>
  </si>
  <si>
    <t>17088186</t>
  </si>
  <si>
    <t>14992027</t>
  </si>
  <si>
    <t>9421097</t>
  </si>
  <si>
    <t>International journal of behavioral medicine</t>
  </si>
  <si>
    <t>INTERNATIONAL JOURNAL OF BEHAVIORAL MEDICINE</t>
  </si>
  <si>
    <t>Int J Behav Med</t>
  </si>
  <si>
    <t>15327558</t>
  </si>
  <si>
    <t>10705503</t>
  </si>
  <si>
    <t>101217089</t>
  </si>
  <si>
    <t>The international journal of behavioral nutrition and physical activity</t>
  </si>
  <si>
    <t>INTERNATIONAL JOURNAL OF BEHAVIORAL NUTRITION AND PHYSICAL ACTIVITY</t>
  </si>
  <si>
    <t>Int J Behav Nutr Phys Act</t>
  </si>
  <si>
    <t>Behavioral Sciences#Nutritional Sciences#Sports Medicine</t>
  </si>
  <si>
    <t>9508482</t>
  </si>
  <si>
    <t>The international journal of biochemistry &amp; cell biology</t>
  </si>
  <si>
    <t>INTERNATIONAL JOURNAL OF BIOCHEMISTRY &amp; CELL BIOLOGY</t>
  </si>
  <si>
    <t>Int J Biochem Cell Biol</t>
  </si>
  <si>
    <t>Continues: International journal of biochemistry.</t>
  </si>
  <si>
    <t>101253758</t>
  </si>
  <si>
    <t>International journal of bioinformatics research and applications</t>
  </si>
  <si>
    <t>INTERNATIONAL JOURNAL OF BIOINFORMATICS RESEARCH AND APPLICATIONS</t>
  </si>
  <si>
    <t>Int J Bioinform Res Appl</t>
  </si>
  <si>
    <t>17445493</t>
  </si>
  <si>
    <t>17445485</t>
  </si>
  <si>
    <t>Inderscience</t>
  </si>
  <si>
    <t>7909578</t>
  </si>
  <si>
    <t>International journal of biological macromolecules</t>
  </si>
  <si>
    <t>INTERNATIONAL JOURNAL OF BIOLOGICAL MACROMOLECULES</t>
  </si>
  <si>
    <t>Int J Biol Macromol</t>
  </si>
  <si>
    <t>8712411</t>
  </si>
  <si>
    <t>The International journal of biological markers</t>
  </si>
  <si>
    <t>INTERNATIONAL JOURNAL OF BIOLOGICAL MARKERS</t>
  </si>
  <si>
    <t>Int J Biol Markers</t>
  </si>
  <si>
    <t>Wichtig editore</t>
  </si>
  <si>
    <t>Four no. a year, 1988-</t>
  </si>
  <si>
    <t>101235568</t>
  </si>
  <si>
    <t>International journal of biological sciences</t>
  </si>
  <si>
    <t>INTERNATIONAL JOURNAL OF BIOLOGICAL SCIENCES</t>
  </si>
  <si>
    <t>Int J Biol Sci</t>
  </si>
  <si>
    <t>14492288</t>
  </si>
  <si>
    <t>Ivyspring International</t>
  </si>
  <si>
    <t>0374716</t>
  </si>
  <si>
    <t>International journal of biometeorology</t>
  </si>
  <si>
    <t>INTERNATIONAL JOURNAL OF BIOMETEOROLOGY</t>
  </si>
  <si>
    <t>Int J Biometeorol</t>
  </si>
  <si>
    <t>Continues: International journal of bioclimatology and biometeorology.</t>
  </si>
  <si>
    <t>14321254</t>
  </si>
  <si>
    <t>00207128</t>
  </si>
  <si>
    <t>101313850</t>
  </si>
  <si>
    <t>The international journal of biostatistics</t>
  </si>
  <si>
    <t>INTERNATIONAL JOURNAL OF BIOSTATISTICS</t>
  </si>
  <si>
    <t>Int J Biostat</t>
  </si>
  <si>
    <t>2194573X</t>
  </si>
  <si>
    <t>0042124</t>
  </si>
  <si>
    <t>International journal of cancer. Journal international du cancer</t>
  </si>
  <si>
    <t>INTERNATIONAL JOURNAL OF CANCER. JOURNAL INTERNATIONAL DU CANCER</t>
  </si>
  <si>
    <t>Int J Cancer</t>
  </si>
  <si>
    <t>Supersedes: Acta of the International Union Against Cancer. Absorbed: Radiation oncology investigations in 2000.</t>
  </si>
  <si>
    <t>30 no. a year, &lt;2005-&gt;</t>
  </si>
  <si>
    <t>8200291</t>
  </si>
  <si>
    <t>International journal of cardiology</t>
  </si>
  <si>
    <t>INTERNATIONAL JOURNAL OF CARDIOLOGY</t>
  </si>
  <si>
    <t>Int J Cardiol</t>
  </si>
  <si>
    <t>Continues: European journal of cardiology.</t>
  </si>
  <si>
    <t>Twenty four no. a year, &lt;2006-&gt;</t>
  </si>
  <si>
    <t>100969716</t>
  </si>
  <si>
    <t>The international journal of cardiovascular imaging</t>
  </si>
  <si>
    <t>INTERNATIONAL JOURNAL OF CARDIOVASCULAR IMAGING</t>
  </si>
  <si>
    <t>Int J Cardiovasc Imaging</t>
  </si>
  <si>
    <t>Continues: International journal of cardiac imaging.</t>
  </si>
  <si>
    <t>18758312</t>
  </si>
  <si>
    <t>101273481</t>
  </si>
  <si>
    <t>International journal of chronic obstructive pulmonary disease</t>
  </si>
  <si>
    <t>INTERNATIONAL JOURNAL OF CHRONIC OBSTRUCTIVE PULMONARY DISEASE</t>
  </si>
  <si>
    <t>Int J Chron Obstruct Pulmon Dis</t>
  </si>
  <si>
    <t>DOVE Medical Press</t>
  </si>
  <si>
    <t>9713056</t>
  </si>
  <si>
    <t>International journal of circumpolar health</t>
  </si>
  <si>
    <t>INTERNATIONAL JOURNAL OF CIRCUMPOLAR HEALTH</t>
  </si>
  <si>
    <t>Int J Circumpolar Health</t>
  </si>
  <si>
    <t>Continues: Arctic medical research.</t>
  </si>
  <si>
    <t>22423982</t>
  </si>
  <si>
    <t>12399736</t>
  </si>
  <si>
    <t>0376166</t>
  </si>
  <si>
    <t>The International journal of clinical and experimental hypnosis</t>
  </si>
  <si>
    <t>INTERNATIONAL JOURNAL OF CLINICAL AND EXPERIMENTAL HYPNOSIS</t>
  </si>
  <si>
    <t>Int J Clin Exp Hypn</t>
  </si>
  <si>
    <t>Continues: Journal of clinical and experimental hypnosis.</t>
  </si>
  <si>
    <t>101480565</t>
  </si>
  <si>
    <t>International journal of clinical and experimental pathology</t>
  </si>
  <si>
    <t>INTERNATIONAL JOURNAL OF CLINICAL AND EXPERIMENTAL PATHOLOGY</t>
  </si>
  <si>
    <t>Int J Clin Exp Pathol</t>
  </si>
  <si>
    <t>19362625</t>
  </si>
  <si>
    <t>e-Century Pub. Corp.</t>
  </si>
  <si>
    <t>9616295</t>
  </si>
  <si>
    <t>International journal of clinical oncology</t>
  </si>
  <si>
    <t>INTERNATIONAL JOURNAL OF CLINICAL ONCOLOGY</t>
  </si>
  <si>
    <t>Int J Clin Oncol</t>
  </si>
  <si>
    <t>Continues in part: Nihon Gan Chiryo Gakkai shi.</t>
  </si>
  <si>
    <t>9423309</t>
  </si>
  <si>
    <t>International journal of clinical pharmacology and therapeutics</t>
  </si>
  <si>
    <t>INTERNATIONAL JOURNAL OF CLINICAL PHARMACOLOGY AND THERAPEUTICS</t>
  </si>
  <si>
    <t>Int J Clin Pharmacol Ther</t>
  </si>
  <si>
    <t>Continues: International journal of clinical pharmacology, therapy, and toxicology.</t>
  </si>
  <si>
    <t>Dustri-Verlag Dr. K. Feistle</t>
  </si>
  <si>
    <t>8110183</t>
  </si>
  <si>
    <t>International journal of clinical pharmacology research</t>
  </si>
  <si>
    <t>INTERNATIONAL JOURNAL OF CLINICAL PHARMACOLOGY RESEARCH</t>
  </si>
  <si>
    <t>Int J Clin Pharmacol Res</t>
  </si>
  <si>
    <t>02511649</t>
  </si>
  <si>
    <t>Bioscience Ediprint</t>
  </si>
  <si>
    <t>101554912</t>
  </si>
  <si>
    <t>International journal of clinical pharmacy</t>
  </si>
  <si>
    <t>INTERNATIONAL JOURNAL OF CLINICAL PHARMACY</t>
  </si>
  <si>
    <t>Int J Clin Pharm</t>
  </si>
  <si>
    <t>Continues: Pharmacy world &amp; science.</t>
  </si>
  <si>
    <t>22107711</t>
  </si>
  <si>
    <t>9712381</t>
  </si>
  <si>
    <t>International journal of clinical practice</t>
  </si>
  <si>
    <t>INTERNATIONAL JOURNAL OF CLINICAL PRACTICE</t>
  </si>
  <si>
    <t>Int J Clin Pract</t>
  </si>
  <si>
    <t>Continues: British journal of clinical practice.</t>
  </si>
  <si>
    <t>9712380</t>
  </si>
  <si>
    <t>International journal of clinical practice. Supplement</t>
  </si>
  <si>
    <t>INTERNATIONAL JOURNAL OF CLINICAL PRACTICE. SUPPLEMENT</t>
  </si>
  <si>
    <t>Int J Clin Pract Suppl</t>
  </si>
  <si>
    <t>Continues: British journal of clinical practice. Supplement.</t>
  </si>
  <si>
    <t>1368504X</t>
  </si>
  <si>
    <t>8607899</t>
  </si>
  <si>
    <t>International journal of colorectal disease</t>
  </si>
  <si>
    <t>INTERNATIONAL JOURNAL OF COLORECTAL DISEASE</t>
  </si>
  <si>
    <t>Int J Colorectal Dis</t>
  </si>
  <si>
    <t>101479540</t>
  </si>
  <si>
    <t>International journal of computational biology and drug design</t>
  </si>
  <si>
    <t>INTERNATIONAL JOURNAL OF COMPUTATIONAL BIOLOGY AND DRUG DESIGN</t>
  </si>
  <si>
    <t>Int J Comput Biol Drug Des</t>
  </si>
  <si>
    <t>Inderscience Enterprise</t>
  </si>
  <si>
    <t>Four issues a year</t>
  </si>
  <si>
    <t>Computational Biology#Pharmacology</t>
  </si>
  <si>
    <t>101499225</t>
  </si>
  <si>
    <t>International journal of computer assisted radiology and surgery</t>
  </si>
  <si>
    <t>INTERNATIONAL JOURNAL OF COMPUTER ASSISTED RADIOLOGY AND SURGERY</t>
  </si>
  <si>
    <t>Int J Comput Assist Radiol Surg</t>
  </si>
  <si>
    <t>General Surgery#Radiology</t>
  </si>
  <si>
    <t>100891504</t>
  </si>
  <si>
    <t>International journal of computerized dentistry</t>
  </si>
  <si>
    <t>INTERNATIONAL JOURNAL OF COMPUTERIZED DENTISTRY</t>
  </si>
  <si>
    <t>Int J Comput Dent</t>
  </si>
  <si>
    <t>14634201</t>
  </si>
  <si>
    <t>8007161</t>
  </si>
  <si>
    <t>International journal of cosmetic science</t>
  </si>
  <si>
    <t>INTERNATIONAL JOURNAL OF COSMETIC SCIENCE</t>
  </si>
  <si>
    <t>Int J Cosmet Sci</t>
  </si>
  <si>
    <t>101279469</t>
  </si>
  <si>
    <t>International journal of data mining and bioinformatics</t>
  </si>
  <si>
    <t>INTERNATIONAL JOURNAL OF DATA MINING AND BIOINFORMATICS</t>
  </si>
  <si>
    <t>Int J Data Min Bioinform</t>
  </si>
  <si>
    <t>17485681</t>
  </si>
  <si>
    <t>17485673</t>
  </si>
  <si>
    <t>Inderscience Enterprises</t>
  </si>
  <si>
    <t>101168070</t>
  </si>
  <si>
    <t>International journal of dental hygiene</t>
  </si>
  <si>
    <t>INTERNATIONAL JOURNAL OF DENTAL HYGIENE</t>
  </si>
  <si>
    <t>Int J Dent Hyg</t>
  </si>
  <si>
    <t>16015037</t>
  </si>
  <si>
    <t>16015029</t>
  </si>
  <si>
    <t>0243704</t>
  </si>
  <si>
    <t>International journal of dermatology</t>
  </si>
  <si>
    <t>INTERNATIONAL JOURNAL OF DERMATOLOGY</t>
  </si>
  <si>
    <t>Int J Dermatol</t>
  </si>
  <si>
    <t>8917470</t>
  </si>
  <si>
    <t>The International journal of developmental biology</t>
  </si>
  <si>
    <t>INTERNATIONAL JOURNAL OF DEVELOPMENTAL BIOLOGY</t>
  </si>
  <si>
    <t>Int J Dev Biol</t>
  </si>
  <si>
    <t>16963547</t>
  </si>
  <si>
    <t>8401784</t>
  </si>
  <si>
    <t>International journal of developmental neuroscience : the official journal of the International Society for Developmental Neuroscience</t>
  </si>
  <si>
    <t>INTERNATIONAL JOURNAL OF DEVELOPMENTAL NEUROSCIENCE : THE OFFICIAL JOURNAL OF THE INTERNATIONAL SOCIETY FOR DEVELOPMENTAL NEUROSCIENCE</t>
  </si>
  <si>
    <t>Int J Dev Neurosci</t>
  </si>
  <si>
    <t>8111226</t>
  </si>
  <si>
    <t>The International journal of eating disorders</t>
  </si>
  <si>
    <t>INTERNATIONAL JOURNAL OF EATING DISORDERS</t>
  </si>
  <si>
    <t>Int J Eat Disord</t>
  </si>
  <si>
    <t>Eight no. a year, Jan.1992-</t>
  </si>
  <si>
    <t>101227192</t>
  </si>
  <si>
    <t>International journal of electronic healthcare</t>
  </si>
  <si>
    <t>INTERNATIONAL JOURNAL OF ELECTRONIC HEALTHCARE</t>
  </si>
  <si>
    <t>Int J Electron Healthc</t>
  </si>
  <si>
    <t>17418461</t>
  </si>
  <si>
    <t>17418453</t>
  </si>
  <si>
    <t>100888872</t>
  </si>
  <si>
    <t>International journal of emergency mental health</t>
  </si>
  <si>
    <t>INTERNATIONAL JOURNAL OF EMERGENCY MENTAL HEALTH</t>
  </si>
  <si>
    <t>Int J Emerg Ment Health</t>
  </si>
  <si>
    <t>15224821</t>
  </si>
  <si>
    <t>Chevron Pub. Corp.</t>
  </si>
  <si>
    <t>Emergency Medicine#Psychology</t>
  </si>
  <si>
    <t>9106628</t>
  </si>
  <si>
    <t>International journal of environmental health research</t>
  </si>
  <si>
    <t>INTERNATIONAL JOURNAL OF ENVIRONMENTAL HEALTH RESEARCH</t>
  </si>
  <si>
    <t>Int J Environ Health Res</t>
  </si>
  <si>
    <t>101238455</t>
  </si>
  <si>
    <t>International journal of environmental research and public health</t>
  </si>
  <si>
    <t>INTERNATIONAL JOURNAL OF ENVIRONMENTAL RESEARCH AND PUBLIC HEALTH</t>
  </si>
  <si>
    <t>Int J Environ Res Public Health</t>
  </si>
  <si>
    <t>MDPI</t>
  </si>
  <si>
    <t>7802871</t>
  </si>
  <si>
    <t>International journal of epidemiology</t>
  </si>
  <si>
    <t>INTERNATIONAL JOURNAL OF EPIDEMIOLOGY</t>
  </si>
  <si>
    <t>Int J Epidemiol</t>
  </si>
  <si>
    <t>Oxford University Press.</t>
  </si>
  <si>
    <t>101247063</t>
  </si>
  <si>
    <t>International journal of evidence-based healthcare</t>
  </si>
  <si>
    <t>INTERNATIONAL JOURNAL OF EVIDENCE-BASED HEALTHCARE</t>
  </si>
  <si>
    <t>Int J Evid Based Healthc</t>
  </si>
  <si>
    <t>Continues: JBI reports.</t>
  </si>
  <si>
    <t>17441609</t>
  </si>
  <si>
    <t>17441595</t>
  </si>
  <si>
    <t>9014042</t>
  </si>
  <si>
    <t>International journal of experimental pathology</t>
  </si>
  <si>
    <t>INTERNATIONAL JOURNAL OF EXPERIMENTAL PATHOLOGY</t>
  </si>
  <si>
    <t>Int J Exp Pathol</t>
  </si>
  <si>
    <t>Continues: Journal of experimental pathology (Oxford, England).</t>
  </si>
  <si>
    <t>9706778</t>
  </si>
  <si>
    <t>International journal of fertility and women's medicine</t>
  </si>
  <si>
    <t>INTERNATIONAL JOURNAL OF FERTILITY AND WOMEN'S MEDICINE</t>
  </si>
  <si>
    <t>Int J Fertil Womens Med</t>
  </si>
  <si>
    <t>Continues: International journal of fertility and menopausal studies.</t>
  </si>
  <si>
    <t>1534892X</t>
  </si>
  <si>
    <t>Medical Science Pub. International</t>
  </si>
  <si>
    <t>Gynecology#Reproductive Medicine#Women's Health</t>
  </si>
  <si>
    <t>8412849</t>
  </si>
  <si>
    <t>International journal of food microbiology</t>
  </si>
  <si>
    <t>INTERNATIONAL JOURNAL OF FOOD MICROBIOLOGY</t>
  </si>
  <si>
    <t>Int J Food Microbiol</t>
  </si>
  <si>
    <t>9432922</t>
  </si>
  <si>
    <t>International journal of food sciences and nutrition</t>
  </si>
  <si>
    <t>INTERNATIONAL JOURNAL OF FOOD SCIENCES AND NUTRITION</t>
  </si>
  <si>
    <t>Int J Food Sci Nutr</t>
  </si>
  <si>
    <t>Continues: Food sciences and nutrition.</t>
  </si>
  <si>
    <t>14653478</t>
  </si>
  <si>
    <t>09637486</t>
  </si>
  <si>
    <t>8710629</t>
  </si>
  <si>
    <t>International journal of geriatric psychiatry</t>
  </si>
  <si>
    <t>INTERNATIONAL JOURNAL OF GERIATRIC PSYCHIATRY</t>
  </si>
  <si>
    <t>Int J Geriatr Psychiatry</t>
  </si>
  <si>
    <t>0374720</t>
  </si>
  <si>
    <t>International journal of group psychotherapy</t>
  </si>
  <si>
    <t>INTERNATIONAL JOURNAL OF GROUP PSYCHOTHERAPY</t>
  </si>
  <si>
    <t>Int J Group Psychother</t>
  </si>
  <si>
    <t>19432836</t>
  </si>
  <si>
    <t>00207284</t>
  </si>
  <si>
    <t>Guilford Press</t>
  </si>
  <si>
    <t>0210174</t>
  </si>
  <si>
    <t>International journal of gynaecology and obstetrics: the official organ of the International Federation of Gynaecology and Obstetrics</t>
  </si>
  <si>
    <t>INTERNATIONAL JOURNAL OF GYNAECOLOGY AND OBSTETRICS: THE OFFICIAL ORGAN OF THE INTERNATIONAL FEDERATION OF GYNAECOLOGY AND OBSTETRICS</t>
  </si>
  <si>
    <t>Int J Gynaecol Obstet</t>
  </si>
  <si>
    <t>Continues: Journal of the International Federation of Gynaecology and Obstetrics. International Federation of Gynaecology and Obstetrics.</t>
  </si>
  <si>
    <t>Twelve no. a year, &lt;1997-&gt;</t>
  </si>
  <si>
    <t>9111626</t>
  </si>
  <si>
    <t>International journal of gynecological cancer : official journal of the International Gynecological Cancer Society</t>
  </si>
  <si>
    <t>INTERNATIONAL JOURNAL OF GYNECOLOGICAL CANCER : OFFICIAL JOURNAL OF THE INTERNATIONAL GYNECOLOGICAL CANCER SOCIETY</t>
  </si>
  <si>
    <t>Int J Gynecol Cancer</t>
  </si>
  <si>
    <t>9 no. a year, 2009-</t>
  </si>
  <si>
    <t>8214845</t>
  </si>
  <si>
    <t>International journal of gynecological pathology : official journal of the International Society of Gynecological Pathologists</t>
  </si>
  <si>
    <t>INTERNATIONAL JOURNAL OF GYNECOLOGICAL PATHOLOGY : OFFICIAL JOURNAL OF THE INTERNATIONAL SOCIETY OF GYNECOLOGICAL PATHOLOGISTS</t>
  </si>
  <si>
    <t>Int J Gynecol Pathol</t>
  </si>
  <si>
    <t>Gynecology#Pathology</t>
  </si>
  <si>
    <t>101132988</t>
  </si>
  <si>
    <t>International journal of health care finance and economics</t>
  </si>
  <si>
    <t>INTERNATIONAL JOURNAL OF HEALTH CARE FINANCE AND ECONOMICS</t>
  </si>
  <si>
    <t>Int J Health Care Finance Econ</t>
  </si>
  <si>
    <t>15736962</t>
  </si>
  <si>
    <t>13896563</t>
  </si>
  <si>
    <t>8916799</t>
  </si>
  <si>
    <t>International journal of health care quality assurance</t>
  </si>
  <si>
    <t>INTERNATIONAL JOURNAL OF HEALTH CARE QUALITY ASSURANCE</t>
  </si>
  <si>
    <t>Int J Health Care Qual Assur</t>
  </si>
  <si>
    <t>09526862</t>
  </si>
  <si>
    <t>MCB University Press</t>
  </si>
  <si>
    <t>101152198</t>
  </si>
  <si>
    <t>International journal of health geographics</t>
  </si>
  <si>
    <t>INTERNATIONAL JOURNAL OF HEALTH GEOGRAPHICS</t>
  </si>
  <si>
    <t>Int J Health Geogr</t>
  </si>
  <si>
    <t>1476072X</t>
  </si>
  <si>
    <t>8605825</t>
  </si>
  <si>
    <t>The International journal of health planning and management</t>
  </si>
  <si>
    <t>INTERNATIONAL JOURNAL OF HEALTH PLANNING AND MANAGEMENT</t>
  </si>
  <si>
    <t>Int J Health Plann Manage</t>
  </si>
  <si>
    <t>10991751</t>
  </si>
  <si>
    <t>07496753</t>
  </si>
  <si>
    <t>1305035</t>
  </si>
  <si>
    <t>International journal of health services : planning, administration, evaluation</t>
  </si>
  <si>
    <t>INTERNATIONAL JOURNAL OF HEALTH SERVICES : PLANNING, ADMINISTRATION, EVALUATION</t>
  </si>
  <si>
    <t>Int J Health Serv</t>
  </si>
  <si>
    <t>00207314</t>
  </si>
  <si>
    <t>9111627</t>
  </si>
  <si>
    <t>International journal of hematology</t>
  </si>
  <si>
    <t>INTERNATIONAL JOURNAL OF HEMATOLOGY</t>
  </si>
  <si>
    <t>Int J Hematol</t>
  </si>
  <si>
    <t>Continues: Nippon Ketsueki Gakkai zasshi.</t>
  </si>
  <si>
    <t>100898843</t>
  </si>
  <si>
    <t>International journal of hygiene and environmental health</t>
  </si>
  <si>
    <t>INTERNATIONAL JOURNAL OF HYGIENE AND ENVIRONMENTAL HEALTH</t>
  </si>
  <si>
    <t>Int J Hyg Environ Health</t>
  </si>
  <si>
    <t>Continues: Zentralblatt für Hygiene und Umweltmedizin.</t>
  </si>
  <si>
    <t>1618131X</t>
  </si>
  <si>
    <t>14384639</t>
  </si>
  <si>
    <t>8508395</t>
  </si>
  <si>
    <t>International journal of hyperthermia : the official journal of European Society for Hyperthermic Oncology, North American Hyperthermia Group</t>
  </si>
  <si>
    <t>INTERNATIONAL JOURNAL OF HYPERTHERMIA : THE OFFICIAL JOURNAL OF EUROPEAN SOCIETY FOR HYPERTHERMIC ONCOLOGY, NORTH AMERICAN HYPERTHERMIA GROUP</t>
  </si>
  <si>
    <t>Int J Hyperthermia</t>
  </si>
  <si>
    <t>101232337</t>
  </si>
  <si>
    <t>International journal of immunogenetics</t>
  </si>
  <si>
    <t>INTERNATIONAL JOURNAL OF IMMUNOGENETICS</t>
  </si>
  <si>
    <t>Int J Immunogenet</t>
  </si>
  <si>
    <t>Continues: European journal of immunogenetics.</t>
  </si>
  <si>
    <t>8911335</t>
  </si>
  <si>
    <t>International journal of immunopathology and pharmacology</t>
  </si>
  <si>
    <t>INTERNATIONAL JOURNAL OF IMMUNOPATHOLOGY AND PHARMACOLOGY</t>
  </si>
  <si>
    <t>Int J Immunopathol Pharmacol</t>
  </si>
  <si>
    <t>Biolife</t>
  </si>
  <si>
    <t>Allergy and Immunology#Pathology#Pharmacology</t>
  </si>
  <si>
    <t>9007383</t>
  </si>
  <si>
    <t>International journal of impotence research</t>
  </si>
  <si>
    <t>INTERNATIONAL JOURNAL OF IMPOTENCE RESEARCH</t>
  </si>
  <si>
    <t>Int J Impot Res</t>
  </si>
  <si>
    <t>9610933</t>
  </si>
  <si>
    <t>International journal of infectious diseases : IJID : official publication of the International Society for Infectious Diseases</t>
  </si>
  <si>
    <t>INTERNATIONAL JOURNAL OF INFECTIOUS DISEASES : IJID : OFFICIAL PUBLICATION OF THE INTERNATIONAL SOCIETY FOR INFECTIOUS DISEASES</t>
  </si>
  <si>
    <t>Int J Infect Dis</t>
  </si>
  <si>
    <t>101247254</t>
  </si>
  <si>
    <t>International journal of injury control and safety promotion</t>
  </si>
  <si>
    <t>INTERNATIONAL JOURNAL OF INJURY CONTROL AND SAFETY PROMOTION</t>
  </si>
  <si>
    <t>Int J Inj Contr Saf Promot</t>
  </si>
  <si>
    <t>Continues: Injury control and safety promotion.</t>
  </si>
  <si>
    <t>17457319</t>
  </si>
  <si>
    <t>17457300</t>
  </si>
  <si>
    <t>101300213</t>
  </si>
  <si>
    <t>International journal of laboratory hematology</t>
  </si>
  <si>
    <t>INTERNATIONAL JOURNAL OF LABORATORY HEMATOLOGY</t>
  </si>
  <si>
    <t>Int J Lab Hematol</t>
  </si>
  <si>
    <t>Continues: Clinical and laboratory haematology.</t>
  </si>
  <si>
    <t>9803709</t>
  </si>
  <si>
    <t>International journal of language &amp; communication disorders / Royal College of Speech &amp; Language Therapists</t>
  </si>
  <si>
    <t>INTERNATIONAL JOURNAL OF LANGUAGE &amp; COMMUNICATION DISORDERS / ROYAL COLLEGE OF SPEECH &amp; LANGUAGE THERAPISTS</t>
  </si>
  <si>
    <t>Int J Lang Commun Disord</t>
  </si>
  <si>
    <t>Continues: European journal of disorders of communication.</t>
  </si>
  <si>
    <t>14606984</t>
  </si>
  <si>
    <t>13682822</t>
  </si>
  <si>
    <t>7806862</t>
  </si>
  <si>
    <t>International journal of law and psychiatry</t>
  </si>
  <si>
    <t>INTERNATIONAL JOURNAL OF LAW AND PSYCHIATRY</t>
  </si>
  <si>
    <t>Int J Law Psychiatry</t>
  </si>
  <si>
    <t>Jurisprudence#Psychiatry</t>
  </si>
  <si>
    <t>9101456</t>
  </si>
  <si>
    <t>International journal of legal medicine</t>
  </si>
  <si>
    <t>INTERNATIONAL JOURNAL OF LEGAL MEDICINE</t>
  </si>
  <si>
    <t>Int J Legal Med</t>
  </si>
  <si>
    <t>Continues: Zeitschrift für Rechtsmedizin.</t>
  </si>
  <si>
    <t>14371596</t>
  </si>
  <si>
    <t>09379827</t>
  </si>
  <si>
    <t>101128359</t>
  </si>
  <si>
    <t>The international journal of lower extremity wounds</t>
  </si>
  <si>
    <t>INTERNATIONAL JOURNAL OF LOWER EXTREMITY WOUNDS</t>
  </si>
  <si>
    <t>Int J Low Extrem Wounds</t>
  </si>
  <si>
    <t>9711057</t>
  </si>
  <si>
    <t>International journal of medical informatics</t>
  </si>
  <si>
    <t>INTERNATIONAL JOURNAL OF MEDICAL INFORMATICS</t>
  </si>
  <si>
    <t>Int J Med Inform</t>
  </si>
  <si>
    <t>Continues: International journal of bio-medical computing.</t>
  </si>
  <si>
    <t>Elsevier Science Ireland Ltd.</t>
  </si>
  <si>
    <t>100898849</t>
  </si>
  <si>
    <t>International journal of medical microbiology : IJMM</t>
  </si>
  <si>
    <t>INTERNATIONAL JOURNAL OF MEDICAL MICROBIOLOGY : IJMM</t>
  </si>
  <si>
    <t>Int J Med Microbiol</t>
  </si>
  <si>
    <t>Continues: Zentralblatt für Bakteriologie.</t>
  </si>
  <si>
    <t>Urban &amp; Fischer Verlag</t>
  </si>
  <si>
    <t>101250764</t>
  </si>
  <si>
    <t>The international journal of medical robotics + computer assisted surgery : MRCAS</t>
  </si>
  <si>
    <t>INTERNATIONAL JOURNAL OF MEDICAL ROBOTICS + COMPUTER ASSISTED SURGERY : MRCAS</t>
  </si>
  <si>
    <t>Int J Med Robot</t>
  </si>
  <si>
    <t>General Surgery#Technology</t>
  </si>
  <si>
    <t>101213954</t>
  </si>
  <si>
    <t>International journal of medical sciences</t>
  </si>
  <si>
    <t>INTERNATIONAL JOURNAL OF MEDICAL SCIENCES</t>
  </si>
  <si>
    <t>Int J Med Sci</t>
  </si>
  <si>
    <t>100886202</t>
  </si>
  <si>
    <t>International journal of medicinal mushrooms</t>
  </si>
  <si>
    <t>INTERNATIONAL JOURNAL OF MEDICINAL MUSHROOMS</t>
  </si>
  <si>
    <t>Int J Med Mushrooms</t>
  </si>
  <si>
    <t>Begell House, Inc.</t>
  </si>
  <si>
    <t>Complementary Therapies#Microbiology</t>
  </si>
  <si>
    <t>101140527</t>
  </si>
  <si>
    <t>International journal of mental health nursing</t>
  </si>
  <si>
    <t>INTERNATIONAL JOURNAL OF MENTAL HEALTH NURSING</t>
  </si>
  <si>
    <t>Int J Ment Health Nurs</t>
  </si>
  <si>
    <t>Continues: Australian and New Zealand journal of mental health nursing.</t>
  </si>
  <si>
    <t>14470349</t>
  </si>
  <si>
    <t>14458330</t>
  </si>
  <si>
    <t>Nursing#Psychology</t>
  </si>
  <si>
    <t>9111433</t>
  </si>
  <si>
    <t>International journal of methods in psychiatric research</t>
  </si>
  <si>
    <t>INTERNATIONAL JOURNAL OF METHODS IN PSYCHIATRIC RESEARCH</t>
  </si>
  <si>
    <t>Int J Methods Psychiatr Res</t>
  </si>
  <si>
    <t>15570657</t>
  </si>
  <si>
    <t>10498931</t>
  </si>
  <si>
    <t>Four no. a year, 1992-</t>
  </si>
  <si>
    <t>9810955</t>
  </si>
  <si>
    <t>International journal of molecular medicine</t>
  </si>
  <si>
    <t>INTERNATIONAL JOURNAL OF MOLECULAR MEDICINE</t>
  </si>
  <si>
    <t>Int J Mol Med</t>
  </si>
  <si>
    <t>D.A. Spandidos</t>
  </si>
  <si>
    <t>101092791</t>
  </si>
  <si>
    <t>International journal of molecular sciences</t>
  </si>
  <si>
    <t>INTERNATIONAL JOURNAL OF MOLECULAR SCIENCES</t>
  </si>
  <si>
    <t>Int J Mol Sci</t>
  </si>
  <si>
    <t>Biochemistry#Chemistry#Molecular Biology</t>
  </si>
  <si>
    <t>101263847</t>
  </si>
  <si>
    <t>International journal of nanomedicine</t>
  </si>
  <si>
    <t>INTERNATIONAL JOURNAL OF NANOMEDICINE</t>
  </si>
  <si>
    <t>Int J Nanomedicine</t>
  </si>
  <si>
    <t>9100527</t>
  </si>
  <si>
    <t>International journal of neural systems</t>
  </si>
  <si>
    <t>INTERNATIONAL JOURNAL OF NEURAL SYSTEMS</t>
  </si>
  <si>
    <t>Int J Neural Syst</t>
  </si>
  <si>
    <t>01290657</t>
  </si>
  <si>
    <t>9815893</t>
  </si>
  <si>
    <t>The international journal of neuropsychopharmacology / official scientific journal of the Collegium Internationale Neuropsychopharmacologicum (CINP)</t>
  </si>
  <si>
    <t>INTERNATIONAL JOURNAL OF NEUROPSYCHOPHARMACOLOGY / OFFICIAL SCIENTIFIC JOURNAL OF THE COLLEGIUM INTERNATIONALE NEUROPSYCHOPHARMACOLOGICUM (CINP)</t>
  </si>
  <si>
    <t>Int J Neuropsychopharmacol</t>
  </si>
  <si>
    <t>Neurology#Psychopharmacology</t>
  </si>
  <si>
    <t>0270707</t>
  </si>
  <si>
    <t>The International journal of neuroscience</t>
  </si>
  <si>
    <t>INTERNATIONAL JOURNAL OF NEUROSCIENCE</t>
  </si>
  <si>
    <t>Int J Neurosci</t>
  </si>
  <si>
    <t>101214977</t>
  </si>
  <si>
    <t>International journal of nursing education scholarship</t>
  </si>
  <si>
    <t>INTERNATIONAL JOURNAL OF NURSING EDUCATION SCHOLARSHIP</t>
  </si>
  <si>
    <t>Int J Nurs Educ Scholarsh</t>
  </si>
  <si>
    <t>1548923X</t>
  </si>
  <si>
    <t>21945772</t>
  </si>
  <si>
    <t>Education#Nursing</t>
  </si>
  <si>
    <t>101582422</t>
  </si>
  <si>
    <t>International journal of nursing knowledge</t>
  </si>
  <si>
    <t>INTERNATIONAL JOURNAL OF NURSING KNOWLEDGE</t>
  </si>
  <si>
    <t>Int J Nurs Knowl</t>
  </si>
  <si>
    <t>Continues: International journal of nursing terminologies and classifications.</t>
  </si>
  <si>
    <t>20473087</t>
  </si>
  <si>
    <t>9613615</t>
  </si>
  <si>
    <t>International journal of nursing practice</t>
  </si>
  <si>
    <t>INTERNATIONAL JOURNAL OF NURSING PRACTICE</t>
  </si>
  <si>
    <t>Int J Nurs Pract</t>
  </si>
  <si>
    <t>1440172X</t>
  </si>
  <si>
    <t>13227114</t>
  </si>
  <si>
    <t>0400675</t>
  </si>
  <si>
    <t>International journal of nursing studies</t>
  </si>
  <si>
    <t>INTERNATIONAL JOURNAL OF NURSING STUDIES</t>
  </si>
  <si>
    <t>Int J Nurs Stud</t>
  </si>
  <si>
    <t>1873491X</t>
  </si>
  <si>
    <t>00207489</t>
  </si>
  <si>
    <t>Twelve no. year, 2008-</t>
  </si>
  <si>
    <t>101256108</t>
  </si>
  <si>
    <t>International journal of obesity (2005)</t>
  </si>
  <si>
    <t>INTERNATIONAL JOURNAL OF OBESITY (2005)</t>
  </si>
  <si>
    <t>Int J Obes (Lond)</t>
  </si>
  <si>
    <t>Continues: International journal of obesity and related metabolic disorders.</t>
  </si>
  <si>
    <t>9200430</t>
  </si>
  <si>
    <t>International journal of obstetric anesthesia</t>
  </si>
  <si>
    <t>INTERNATIONAL JOURNAL OF OBSTETRIC ANESTHESIA</t>
  </si>
  <si>
    <t>Int J Obstet Anesth</t>
  </si>
  <si>
    <t>Anesthesiology#Obstetrics</t>
  </si>
  <si>
    <t>9505217</t>
  </si>
  <si>
    <t>International journal of occupational and environmental health</t>
  </si>
  <si>
    <t>INTERNATIONAL JOURNAL OF OCCUPATIONAL AND ENVIRONMENTAL HEALTH</t>
  </si>
  <si>
    <t>Int J Occup Environ Health</t>
  </si>
  <si>
    <t>20493967</t>
  </si>
  <si>
    <t>10773525</t>
  </si>
  <si>
    <t>101535763</t>
  </si>
  <si>
    <t>The international journal of occupational and environmental medicine</t>
  </si>
  <si>
    <t>INTERNATIONAL JOURNAL OF OCCUPATIONAL AND ENVIRONMENTAL MEDICINE</t>
  </si>
  <si>
    <t>Int J Occup Environ Med</t>
  </si>
  <si>
    <t>9437093</t>
  </si>
  <si>
    <t>International journal of occupational medicine and environmental health</t>
  </si>
  <si>
    <t>INTERNATIONAL JOURNAL OF OCCUPATIONAL MEDICINE AND ENVIRONMENTAL HEALTH</t>
  </si>
  <si>
    <t>Int J Occup Med Environ Health</t>
  </si>
  <si>
    <t>Continues: Polish journal of occupational medicine and environmental health.</t>
  </si>
  <si>
    <t>1896494X</t>
  </si>
  <si>
    <t>12321087</t>
  </si>
  <si>
    <t>9507598</t>
  </si>
  <si>
    <t>International journal of occupational safety and ergonomics : JOSE</t>
  </si>
  <si>
    <t>INTERNATIONAL JOURNAL OF OCCUPATIONAL SAFETY AND ERGONOMICS : JOSE</t>
  </si>
  <si>
    <t>Int J Occup Saf Ergon</t>
  </si>
  <si>
    <t>10803548</t>
  </si>
  <si>
    <t>Central Institute for Labor Protection, National Research Institute</t>
  </si>
  <si>
    <t>Occupational Medicine#Psychology</t>
  </si>
  <si>
    <t>0333601</t>
  </si>
  <si>
    <t>International journal of offender therapy and comparative criminology</t>
  </si>
  <si>
    <t>INTERNATIONAL JOURNAL OF OFFENDER THERAPY AND COMPARATIVE CRIMINOLOGY</t>
  </si>
  <si>
    <t>Int J Offender Ther Comp Criminol</t>
  </si>
  <si>
    <t>Continues: International journal of offender therapy.</t>
  </si>
  <si>
    <t>15526933</t>
  </si>
  <si>
    <t>0306624X</t>
  </si>
  <si>
    <t>Sage Publishers</t>
  </si>
  <si>
    <t>101267281</t>
  </si>
  <si>
    <t>International journal of older people nursing</t>
  </si>
  <si>
    <t>INTERNATIONAL JOURNAL OF OLDER PEOPLE NURSING</t>
  </si>
  <si>
    <t>Int J Older People Nurs</t>
  </si>
  <si>
    <t>Formerly published as part of: Journal of clinical nursing.</t>
  </si>
  <si>
    <t>17483743</t>
  </si>
  <si>
    <t>17483735</t>
  </si>
  <si>
    <t>9306042</t>
  </si>
  <si>
    <t>International journal of oncology</t>
  </si>
  <si>
    <t>INTERNATIONAL JOURNAL OF ONCOLOGY</t>
  </si>
  <si>
    <t>Int J Oncol</t>
  </si>
  <si>
    <t>8611905</t>
  </si>
  <si>
    <t>The International journal of oral &amp; maxillofacial implants</t>
  </si>
  <si>
    <t>INTERNATIONAL JOURNAL OF ORAL &amp; MAXILLOFACIAL IMPLANTS</t>
  </si>
  <si>
    <t>Int J Oral Maxillofac Implants</t>
  </si>
  <si>
    <t>19424434</t>
  </si>
  <si>
    <t>08822786</t>
  </si>
  <si>
    <t>8605826</t>
  </si>
  <si>
    <t>International journal of oral and maxillofacial surgery</t>
  </si>
  <si>
    <t>INTERNATIONAL JOURNAL OF ORAL AND MAXILLOFACIAL SURGERY</t>
  </si>
  <si>
    <t>Int J Oral Maxillofac Surg</t>
  </si>
  <si>
    <t>101504351</t>
  </si>
  <si>
    <t>International journal of oral science</t>
  </si>
  <si>
    <t>INTERNATIONAL JOURNAL OF ORAL SCIENCE</t>
  </si>
  <si>
    <t>Int J Oral Sci</t>
  </si>
  <si>
    <t>20493169</t>
  </si>
  <si>
    <t>16742818</t>
  </si>
  <si>
    <t>8207532</t>
  </si>
  <si>
    <t>The International journal of orofacial myology : official publication of the International Association of Orofacial Myology</t>
  </si>
  <si>
    <t>INTERNATIONAL JOURNAL OF OROFACIAL MYOLOGY : OFFICIAL PUBLICATION OF THE INTERNATIONAL ASSOCIATION OF OROFACIAL MYOLOGY</t>
  </si>
  <si>
    <t>Int J Orofacial Myology</t>
  </si>
  <si>
    <t>Continues: The International journal of oral myology.</t>
  </si>
  <si>
    <t>07350120</t>
  </si>
  <si>
    <t>International Association of Orofacial Myology</t>
  </si>
  <si>
    <t>Dentistry#Physiology</t>
  </si>
  <si>
    <t>101147228</t>
  </si>
  <si>
    <t>International journal of orthodontics (Milwaukee, Wis.)</t>
  </si>
  <si>
    <t>INTERNATIONAL JOURNAL OF ORTHODONTICS (MILWAUKEE, WIS.)</t>
  </si>
  <si>
    <t>Int J Orthod Milwaukee</t>
  </si>
  <si>
    <t>Continues: Journal of general orthodontics.</t>
  </si>
  <si>
    <t>15391450</t>
  </si>
  <si>
    <t>International Association for Orthodontics</t>
  </si>
  <si>
    <t>9107511</t>
  </si>
  <si>
    <t>International journal of paediatric dentistry / the British Paedodontic Society [and] the International Association of Dentistry for Children</t>
  </si>
  <si>
    <t>INTERNATIONAL JOURNAL OF PAEDIATRIC DENTISTRY / THE BRITISH PAEDODONTIC SOCIETY [AND] THE INTERNATIONAL ASSOCIATION OF DENTISTRY FOR CHILDREN</t>
  </si>
  <si>
    <t>Int J Paediatr Dent</t>
  </si>
  <si>
    <t>Formed by the union of: Journal of paediatric dentistry, and: Journal of the International Association of Dentistry for Children.</t>
  </si>
  <si>
    <t>1365263X</t>
  </si>
  <si>
    <t>09607439</t>
  </si>
  <si>
    <t>9506762</t>
  </si>
  <si>
    <t>International journal of palliative nursing</t>
  </si>
  <si>
    <t>INTERNATIONAL JOURNAL OF PALLIATIVE NURSING</t>
  </si>
  <si>
    <t>Int J Palliat Nurs</t>
  </si>
  <si>
    <t>13576321</t>
  </si>
  <si>
    <t>8003603</t>
  </si>
  <si>
    <t>International journal of pediatric otorhinolaryngology</t>
  </si>
  <si>
    <t>INTERNATIONAL JOURNAL OF PEDIATRIC OTORHINOLARYNGOLOGY</t>
  </si>
  <si>
    <t>Int J Pediatr Otorhinolaryngol</t>
  </si>
  <si>
    <t>Otolaryngology#Pediatrics</t>
  </si>
  <si>
    <t>8200894</t>
  </si>
  <si>
    <t>The International journal of periodontics &amp; restorative dentistry</t>
  </si>
  <si>
    <t>INTERNATIONAL JOURNAL OF PERIODONTICS &amp; RESTORATIVE DENTISTRY</t>
  </si>
  <si>
    <t>Int J Periodontics Restorative Dent</t>
  </si>
  <si>
    <t>19453388</t>
  </si>
  <si>
    <t>01987569</t>
  </si>
  <si>
    <t>9706294</t>
  </si>
  <si>
    <t>International journal of pharmaceutical compounding</t>
  </si>
  <si>
    <t>INTERNATIONAL JOURNAL OF PHARMACEUTICAL COMPOUNDING</t>
  </si>
  <si>
    <t>Int J Pharm Compd</t>
  </si>
  <si>
    <t>19435223</t>
  </si>
  <si>
    <t>10924221</t>
  </si>
  <si>
    <t>IJPC</t>
  </si>
  <si>
    <t>7804127</t>
  </si>
  <si>
    <t>International journal of pharmaceutics</t>
  </si>
  <si>
    <t>INTERNATIONAL JOURNAL OF PHARMACEUTICS</t>
  </si>
  <si>
    <t>Int J Pharm</t>
  </si>
  <si>
    <t>38 no. a year, 2000-</t>
  </si>
  <si>
    <t>9204243</t>
  </si>
  <si>
    <t>The International journal of pharmacy practice</t>
  </si>
  <si>
    <t>INTERNATIONAL JOURNAL OF PHARMACY PRACTICE</t>
  </si>
  <si>
    <t>Int J Pharm Pract</t>
  </si>
  <si>
    <t>101136878</t>
  </si>
  <si>
    <t>International journal of phytoremediation</t>
  </si>
  <si>
    <t>INTERNATIONAL JOURNAL OF PHYTOREMEDIATION</t>
  </si>
  <si>
    <t>Int J Phytoremediation</t>
  </si>
  <si>
    <t>15497879</t>
  </si>
  <si>
    <t>15226514</t>
  </si>
  <si>
    <t>CRC Press</t>
  </si>
  <si>
    <t>Sixteen no a year, 2014-</t>
  </si>
  <si>
    <t>Botany#Environmental Health</t>
  </si>
  <si>
    <t>101255940</t>
  </si>
  <si>
    <t>International journal of prisoner health</t>
  </si>
  <si>
    <t>INTERNATIONAL JOURNAL OF PRISONER HEALTH</t>
  </si>
  <si>
    <t>Int J Prison Health</t>
  </si>
  <si>
    <t>17449219</t>
  </si>
  <si>
    <t>17449200</t>
  </si>
  <si>
    <t>Emerald Pub.</t>
  </si>
  <si>
    <t>Three no. a year, 2010</t>
  </si>
  <si>
    <t>8900938</t>
  </si>
  <si>
    <t>The International journal of prosthodontics</t>
  </si>
  <si>
    <t>INTERNATIONAL JOURNAL OF PROSTHODONTICS</t>
  </si>
  <si>
    <t>Int J Prosthodont</t>
  </si>
  <si>
    <t>19424426</t>
  </si>
  <si>
    <t>08932174</t>
  </si>
  <si>
    <t>9709509</t>
  </si>
  <si>
    <t>International journal of psychiatry in clinical practice</t>
  </si>
  <si>
    <t>INTERNATIONAL JOURNAL OF PSYCHIATRY IN CLINICAL PRACTICE</t>
  </si>
  <si>
    <t>Int J Psychiatry Clin Pract</t>
  </si>
  <si>
    <t>0365646</t>
  </si>
  <si>
    <t>International journal of psychiatry in medicine</t>
  </si>
  <si>
    <t>INTERNATIONAL JOURNAL OF PSYCHIATRY IN MEDICINE</t>
  </si>
  <si>
    <t>Int J Psychiatry Med</t>
  </si>
  <si>
    <t>Continues: Psychiatry in medicine.</t>
  </si>
  <si>
    <t>Baywood Pub. Co.</t>
  </si>
  <si>
    <t>2985179R</t>
  </si>
  <si>
    <t>The International journal of psycho-analysis</t>
  </si>
  <si>
    <t>INTERNATIONAL JOURNAL OF PSYCHO-ANALYSIS</t>
  </si>
  <si>
    <t>Int J Psychoanal</t>
  </si>
  <si>
    <t>Absorbed: International review of psycho-analysis. 1994</t>
  </si>
  <si>
    <t>17458315</t>
  </si>
  <si>
    <t>00207578</t>
  </si>
  <si>
    <t>0107305</t>
  </si>
  <si>
    <t>International journal of psychology : Journal international de psychologie</t>
  </si>
  <si>
    <t>INTERNATIONAL JOURNAL OF PSYCHOLOGY : JOURNAL INTERNATIONAL DE PSYCHOLOGIE</t>
  </si>
  <si>
    <t>Int J Psychol</t>
  </si>
  <si>
    <t>In 1993, Cahiers de psychologie cognitive (CPC) was merged with International journal of psychology. In 1994, CPC resumed publication with a new English title: Current psychology of cognition. Includes CD ROM: Psychology, IUPsyS global resource.</t>
  </si>
  <si>
    <t>1464066X</t>
  </si>
  <si>
    <t>00207594</t>
  </si>
  <si>
    <t>Bimonthly, 1983-</t>
  </si>
  <si>
    <t>8406214</t>
  </si>
  <si>
    <t>International journal of psychophysiology : official journal of the International Organization of Psychophysiology</t>
  </si>
  <si>
    <t>INTERNATIONAL JOURNAL OF PSYCHOPHYSIOLOGY : OFFICIAL JOURNAL OF THE INTERNATIONAL ORGANIZATION OF PSYCHOPHYSIOLOGY</t>
  </si>
  <si>
    <t>Int J Psychophysiol</t>
  </si>
  <si>
    <t>101304551</t>
  </si>
  <si>
    <t>International journal of public health</t>
  </si>
  <si>
    <t>INTERNATIONAL JOURNAL OF PUBLIC HEALTH</t>
  </si>
  <si>
    <t>Int J Public Health</t>
  </si>
  <si>
    <t>Continues: Sozial- und Präventivmedizin.</t>
  </si>
  <si>
    <t>16618564</t>
  </si>
  <si>
    <t>16618556</t>
  </si>
  <si>
    <t>101256506</t>
  </si>
  <si>
    <t>International journal of qualitative studies on health and well-being</t>
  </si>
  <si>
    <t>INTERNATIONAL JOURNAL OF QUALITATIVE STUDIES ON HEALTH AND WELL-BEING</t>
  </si>
  <si>
    <t>Int J Qual Stud Health Well-being</t>
  </si>
  <si>
    <t>17482631</t>
  </si>
  <si>
    <t>17482623</t>
  </si>
  <si>
    <t>8809243</t>
  </si>
  <si>
    <t>International journal of radiation biology</t>
  </si>
  <si>
    <t>INTERNATIONAL JOURNAL OF RADIATION BIOLOGY</t>
  </si>
  <si>
    <t>Int J Radiat Biol</t>
  </si>
  <si>
    <t>Continues: International journal of radiation biology and related studies in physics, chemistry, and medicine.</t>
  </si>
  <si>
    <t>7603616</t>
  </si>
  <si>
    <t>International journal of radiation oncology, biology, physics</t>
  </si>
  <si>
    <t>INTERNATIONAL JOURNAL OF RADIATION ONCOLOGY, BIOLOGY, PHYSICS</t>
  </si>
  <si>
    <t>Int J Radiat Oncol Biol Phys</t>
  </si>
  <si>
    <t>Neoplasms#Radiology#Radiotherapy</t>
  </si>
  <si>
    <t>7805421</t>
  </si>
  <si>
    <t>International journal of rehabilitation research. Internationale Zeitschrift für Rehabilitationsforschung. Revue internationale de recherches de réadaptation</t>
  </si>
  <si>
    <t>INTERNATIONAL JOURNAL OF REHABILITATION RESEARCH. INTERNATIONALE ZEITSCHRIFT FUR REHABILITATIONSFORSCHUNG. REVUE INTERNATIONALE DE RECHERCHES DE READAPTATION</t>
  </si>
  <si>
    <t>Int J Rehabil Res</t>
  </si>
  <si>
    <t>14735660</t>
  </si>
  <si>
    <t>03425282</t>
  </si>
  <si>
    <t>101474930</t>
  </si>
  <si>
    <t>International journal of rheumatic diseases</t>
  </si>
  <si>
    <t>INTERNATIONAL JOURNAL OF RHEUMATIC DISEASES</t>
  </si>
  <si>
    <t>Int J Rheum Dis</t>
  </si>
  <si>
    <t>Continues: APLAR journal of rheumatology.</t>
  </si>
  <si>
    <t>9100907</t>
  </si>
  <si>
    <t>The International journal of risk &amp; safety in medicine</t>
  </si>
  <si>
    <t>INTERNATIONAL JOURNAL OF RISK &amp; SAFETY IN MEDICINE</t>
  </si>
  <si>
    <t>Int J Risk Saf Med</t>
  </si>
  <si>
    <t>IOSPress</t>
  </si>
  <si>
    <t>Jurisprudence#Medicine#Therapeutics</t>
  </si>
  <si>
    <t>0374726</t>
  </si>
  <si>
    <t>The International journal of social psychiatry</t>
  </si>
  <si>
    <t>INTERNATIONAL JOURNAL OF SOCIAL PSYCHIATRY</t>
  </si>
  <si>
    <t>Int J Soc Psychiatry</t>
  </si>
  <si>
    <t>17412854</t>
  </si>
  <si>
    <t>00207640</t>
  </si>
  <si>
    <t>101320232</t>
  </si>
  <si>
    <t>International journal of speech-language pathology</t>
  </si>
  <si>
    <t>INTERNATIONAL JOURNAL OF SPEECH-LANGUAGE PATHOLOGY</t>
  </si>
  <si>
    <t>Int J Speech Lang Pathol</t>
  </si>
  <si>
    <t>Continues: Advances in speech-language pathology.</t>
  </si>
  <si>
    <t>17549515</t>
  </si>
  <si>
    <t>17549507</t>
  </si>
  <si>
    <t>100939812</t>
  </si>
  <si>
    <t>International journal of sport nutrition and exercise metabolism</t>
  </si>
  <si>
    <t>INTERNATIONAL JOURNAL OF SPORT NUTRITION AND EXERCISE METABOLISM</t>
  </si>
  <si>
    <t>Int J Sport Nutr Exerc Metab</t>
  </si>
  <si>
    <t>Continues: International journal of sport nutrition.</t>
  </si>
  <si>
    <t>Metabolism#Nutritional Sciences#Sports Medicine</t>
  </si>
  <si>
    <t>8008349</t>
  </si>
  <si>
    <t>International journal of sports medicine</t>
  </si>
  <si>
    <t>INTERNATIONAL JOURNAL OF SPORTS MEDICINE</t>
  </si>
  <si>
    <t>Int J Sports Med</t>
  </si>
  <si>
    <t>14393964</t>
  </si>
  <si>
    <t>01724622</t>
  </si>
  <si>
    <t>101276430</t>
  </si>
  <si>
    <t>International journal of sports physiology and performance</t>
  </si>
  <si>
    <t>INTERNATIONAL JOURNAL OF SPORTS PHYSIOLOGY AND PERFORMANCE</t>
  </si>
  <si>
    <t>Int J Sports Physiol Perform</t>
  </si>
  <si>
    <t>15550273</t>
  </si>
  <si>
    <t>15550265</t>
  </si>
  <si>
    <t>Human Kinetics</t>
  </si>
  <si>
    <t>9007917</t>
  </si>
  <si>
    <t>International journal of STD &amp; AIDS</t>
  </si>
  <si>
    <t>INTERNATIONAL JOURNAL OF STD &amp; AIDS</t>
  </si>
  <si>
    <t>Int J STD AIDS</t>
  </si>
  <si>
    <t>17581052</t>
  </si>
  <si>
    <t>Monthly, &lt;Jan. 2008-&gt;</t>
  </si>
  <si>
    <t>101274068</t>
  </si>
  <si>
    <t>International journal of stroke : official journal of the International Stroke Society</t>
  </si>
  <si>
    <t>INTERNATIONAL JOURNAL OF STROKE : OFFICIAL JOURNAL OF THE INTERNATIONAL STROKE SOCIETY</t>
  </si>
  <si>
    <t>Int J Stroke</t>
  </si>
  <si>
    <t>101228232</t>
  </si>
  <si>
    <t>International journal of surgery (London, England)</t>
  </si>
  <si>
    <t>INTERNATIONAL JOURNAL OF SURGERY (LONDON, ENGLAND)</t>
  </si>
  <si>
    <t>Int J Surg</t>
  </si>
  <si>
    <t>Continues: Journal of surgery (London, England).</t>
  </si>
  <si>
    <t>101566285</t>
  </si>
  <si>
    <t>International journal of surgical oncology</t>
  </si>
  <si>
    <t>INTERNATIONAL JOURNAL OF SURGICAL ONCOLOGY</t>
  </si>
  <si>
    <t>Int J Surg Oncol</t>
  </si>
  <si>
    <t>20901410</t>
  </si>
  <si>
    <t>20901402</t>
  </si>
  <si>
    <t>9314927</t>
  </si>
  <si>
    <t>International journal of surgical pathology</t>
  </si>
  <si>
    <t>INTERNATIONAL JOURNAL OF SURGICAL PATHOLOGY</t>
  </si>
  <si>
    <t>Int J Surg Pathol</t>
  </si>
  <si>
    <t>100899600</t>
  </si>
  <si>
    <t>International journal of systematic and evolutionary microbiology</t>
  </si>
  <si>
    <t>INTERNATIONAL JOURNAL OF SYSTEMATIC AND EVOLUTIONARY MICROBIOLOGY</t>
  </si>
  <si>
    <t>Int J Syst Evol Microbiol</t>
  </si>
  <si>
    <t>Continues: International journal of systematic bacteriology.</t>
  </si>
  <si>
    <t>14665034</t>
  </si>
  <si>
    <t>8508113</t>
  </si>
  <si>
    <t>International journal of technology assessment in health care</t>
  </si>
  <si>
    <t>INTERNATIONAL JOURNAL OF TECHNOLOGY ASSESSMENT IN HEALTH CARE</t>
  </si>
  <si>
    <t>Int J Technol Assess Health Care</t>
  </si>
  <si>
    <t>9708436</t>
  </si>
  <si>
    <t>International journal of toxicology</t>
  </si>
  <si>
    <t>INTERNATIONAL JOURNAL OF TOXICOLOGY</t>
  </si>
  <si>
    <t>Int J Toxicol</t>
  </si>
  <si>
    <t>Continues: Journal of the American College of Toxicology.</t>
  </si>
  <si>
    <t>9706389</t>
  </si>
  <si>
    <t>The international journal of tuberculosis and lung disease : the official journal of the International Union against Tuberculosis and Lung Disease</t>
  </si>
  <si>
    <t>INTERNATIONAL JOURNAL OF TUBERCULOSIS AND LUNG DISEASE : THE OFFICIAL JOURNAL OF THE INTERNATIONAL UNION AGAINST TUBERCULOSIS AND LUNG DISEASE</t>
  </si>
  <si>
    <t>Int J Tuberc Lung Dis</t>
  </si>
  <si>
    <t>18157920</t>
  </si>
  <si>
    <t>The Union</t>
  </si>
  <si>
    <t>9440237</t>
  </si>
  <si>
    <t>International journal of urology : official journal of the Japanese Urological Association</t>
  </si>
  <si>
    <t>INTERNATIONAL JOURNAL OF UROLOGY : OFFICIAL JOURNAL OF THE JAPANESE UROLOGICAL ASSOCIATION</t>
  </si>
  <si>
    <t>Int J Urol</t>
  </si>
  <si>
    <t>100965420</t>
  </si>
  <si>
    <t>International journal of yoga therapy</t>
  </si>
  <si>
    <t>INTERNATIONAL JOURNAL OF YOGA THERAPY</t>
  </si>
  <si>
    <t>Int J Yoga Therap</t>
  </si>
  <si>
    <t>Continues: Journal of the International Association of Yoga Therapists.</t>
  </si>
  <si>
    <t>15312054</t>
  </si>
  <si>
    <t>Published by the Yoga Research and Education Center for the International Association of Yoga Therapists</t>
  </si>
  <si>
    <t>9014759</t>
  </si>
  <si>
    <t>The International journal on drug policy</t>
  </si>
  <si>
    <t>INTERNATIONAL JOURNAL ON DRUG POLICY</t>
  </si>
  <si>
    <t>Int J Drug Policy</t>
  </si>
  <si>
    <t>Continues: Mersey drugs journal.</t>
  </si>
  <si>
    <t>Public Health#Substance-Related Disorders</t>
  </si>
  <si>
    <t>100958373</t>
  </si>
  <si>
    <t>International maritime health</t>
  </si>
  <si>
    <t>INTERNATIONAL MARITIME HEALTH</t>
  </si>
  <si>
    <t>Int Marit Health</t>
  </si>
  <si>
    <t>Continues: Bulletin of the Institute of Maritime and Tropical Medicine in Gdynia.</t>
  </si>
  <si>
    <t>20813252</t>
  </si>
  <si>
    <t>16419251</t>
  </si>
  <si>
    <t>VM Media sp. zo.o. VM</t>
  </si>
  <si>
    <t>9816585</t>
  </si>
  <si>
    <t>International microbiology : the official journal of the Spanish Society for Microbiology</t>
  </si>
  <si>
    <t>INTERNATIONAL MICROBIOLOGY : THE OFFICIAL JOURNAL OF THE SPANISH SOCIETY FOR MICROBIOLOGY</t>
  </si>
  <si>
    <t>Int Microbiol</t>
  </si>
  <si>
    <t>Continues: Microbiología (Madrid, Spain).</t>
  </si>
  <si>
    <t>16181905</t>
  </si>
  <si>
    <t>11396709</t>
  </si>
  <si>
    <t>Viguera Editores</t>
  </si>
  <si>
    <t>9804403</t>
  </si>
  <si>
    <t>International MS journal / MS Forum</t>
  </si>
  <si>
    <t>INTERNATIONAL MS JOURNAL / MS FORUM</t>
  </si>
  <si>
    <t>Int MS J</t>
  </si>
  <si>
    <t>Published on behalf of the MS Forum by Cambridge Medical Publications</t>
  </si>
  <si>
    <t>Four no. a year, &lt;2004-&gt;</t>
  </si>
  <si>
    <t>7808754</t>
  </si>
  <si>
    <t>International nursing review</t>
  </si>
  <si>
    <t>INTERNATIONAL NURSING REVIEW</t>
  </si>
  <si>
    <t>Int Nurs Rev</t>
  </si>
  <si>
    <t>Supersedes The International nursing bulletin. Absorbed ICN calling in 1972.</t>
  </si>
  <si>
    <t>14667657</t>
  </si>
  <si>
    <t>00208132</t>
  </si>
  <si>
    <t>7904294</t>
  </si>
  <si>
    <t>International ophthalmology</t>
  </si>
  <si>
    <t>INTERNATIONAL OPHTHALMOLOGY</t>
  </si>
  <si>
    <t>Int Ophthalmol</t>
  </si>
  <si>
    <t>0374731</t>
  </si>
  <si>
    <t>International ophthalmology clinics</t>
  </si>
  <si>
    <t>INTERNATIONAL OPHTHALMOLOGY CLINICS</t>
  </si>
  <si>
    <t>Int Ophthalmol Clin</t>
  </si>
  <si>
    <t>101184882</t>
  </si>
  <si>
    <t>International orthodontics / Collège européen d'orthodontie</t>
  </si>
  <si>
    <t>INTERNATIONAL ORTHODONTICS / COLLEGE EUROPEEN D'ORTHODONTIE</t>
  </si>
  <si>
    <t>Int Orthod</t>
  </si>
  <si>
    <t>Continues: Journal de l'edgewise.</t>
  </si>
  <si>
    <t>1879680X</t>
  </si>
  <si>
    <t>17617227</t>
  </si>
  <si>
    <t>17617727</t>
  </si>
  <si>
    <t>7705431</t>
  </si>
  <si>
    <t>International orthopaedics</t>
  </si>
  <si>
    <t>INTERNATIONAL ORTHOPAEDICS</t>
  </si>
  <si>
    <t>Int Orthop</t>
  </si>
  <si>
    <t>101504990</t>
  </si>
  <si>
    <t>International perspectives on sexual and reproductive health</t>
  </si>
  <si>
    <t>INTERNATIONAL PERSPECTIVES ON SEXUAL AND REPRODUCTIVE HEALTH</t>
  </si>
  <si>
    <t>Int Perspect Sex Reprod Health</t>
  </si>
  <si>
    <t>Continues: International family planning perspectives.</t>
  </si>
  <si>
    <t>19440405</t>
  </si>
  <si>
    <t>19440391</t>
  </si>
  <si>
    <t>Alan Guttmacher Institute</t>
  </si>
  <si>
    <t>9007918</t>
  </si>
  <si>
    <t>International psychogeriatrics / IPA</t>
  </si>
  <si>
    <t>INTERNATIONAL PSYCHOGERIATRICS / IPA</t>
  </si>
  <si>
    <t>Int Psychogeriatr</t>
  </si>
  <si>
    <t>Quarterly, 1995-</t>
  </si>
  <si>
    <t>8010942</t>
  </si>
  <si>
    <t>International quarterly of community health education</t>
  </si>
  <si>
    <t>INTERNATIONAL QUARTERLY OF COMMUNITY HEALTH EDUCATION</t>
  </si>
  <si>
    <t>Int Q Community Health Educ</t>
  </si>
  <si>
    <t>15413519</t>
  </si>
  <si>
    <t>0272684X</t>
  </si>
  <si>
    <t>Baywood Pub. Co</t>
  </si>
  <si>
    <t>101475846</t>
  </si>
  <si>
    <t>International review of cell and molecular biology</t>
  </si>
  <si>
    <t>INTERNATIONAL REVIEW OF CELL AND MOLECULAR BIOLOGY</t>
  </si>
  <si>
    <t>Int Rev Cell Mol Biol</t>
  </si>
  <si>
    <t>Continues: International review of cytology.</t>
  </si>
  <si>
    <t>0374740</t>
  </si>
  <si>
    <t>International review of neurobiology</t>
  </si>
  <si>
    <t>INTERNATIONAL REVIEW OF NEUROBIOLOGY</t>
  </si>
  <si>
    <t>Int Rev Neurobiol</t>
  </si>
  <si>
    <t>8918131</t>
  </si>
  <si>
    <t>International review of psychiatry (Abingdon, England)</t>
  </si>
  <si>
    <t>INTERNATIONAL REVIEW OF PSYCHIATRY (ABINGDON, ENGLAND)</t>
  </si>
  <si>
    <t>Int Rev Psychiatry</t>
  </si>
  <si>
    <t>8712260</t>
  </si>
  <si>
    <t>International reviews of immunology</t>
  </si>
  <si>
    <t>INTERNATIONAL REVIEWS OF IMMUNOLOGY</t>
  </si>
  <si>
    <t>Int Rev Immunol</t>
  </si>
  <si>
    <t>0043524</t>
  </si>
  <si>
    <t>International surgery</t>
  </si>
  <si>
    <t>INTERNATIONAL SURGERY</t>
  </si>
  <si>
    <t>Int Surg</t>
  </si>
  <si>
    <t>Absorbed: International surgery bulletin. Continues: Journal of the International College of Surgeons.</t>
  </si>
  <si>
    <t>00208868</t>
  </si>
  <si>
    <t>9612993</t>
  </si>
  <si>
    <t>The international tinnitus journal</t>
  </si>
  <si>
    <t>INTERNATIONAL TINNITUS JOURNAL</t>
  </si>
  <si>
    <t>Int Tinnitus J</t>
  </si>
  <si>
    <t>Tinnitus Center, The State University Of New York, Health Science Center At In Cooperation With The Neurootologisches Forschungsinstitut</t>
  </si>
  <si>
    <t>101567041</t>
  </si>
  <si>
    <t>International urogynecology journal</t>
  </si>
  <si>
    <t>INTERNATIONAL UROGYNECOLOGY JOURNAL</t>
  </si>
  <si>
    <t>Int Urogynecol J</t>
  </si>
  <si>
    <t>Continues: International urogynecology journal and pelvic floor dysfunction.</t>
  </si>
  <si>
    <t>Gynecology#Urology</t>
  </si>
  <si>
    <t>0262521</t>
  </si>
  <si>
    <t>International urology and nephrology</t>
  </si>
  <si>
    <t>INTERNATIONAL UROLOGY AND NEPHROLOGY</t>
  </si>
  <si>
    <t>Int Urol Nephrol</t>
  </si>
  <si>
    <t>Absorbed: Geriatric nephrology and urology. Continues: Urology and nephrology.</t>
  </si>
  <si>
    <t>6 no. a year, 1988-</t>
  </si>
  <si>
    <t>Nephrology#Urology</t>
  </si>
  <si>
    <t>101230907</t>
  </si>
  <si>
    <t>International wound journal</t>
  </si>
  <si>
    <t>INTERNATIONAL WOUND JOURNAL</t>
  </si>
  <si>
    <t>Int Wound J</t>
  </si>
  <si>
    <t>0264620</t>
  </si>
  <si>
    <t>Der Internist</t>
  </si>
  <si>
    <t>INTERNIST</t>
  </si>
  <si>
    <t>Internist (Berl)</t>
  </si>
  <si>
    <t>Continues: Aerztliche Wochenschrift.</t>
  </si>
  <si>
    <t>9602695</t>
  </si>
  <si>
    <t>Interventional neuroradiology : journal of peritherapeutic neuroradiology, surgical procedures and related neurosciences</t>
  </si>
  <si>
    <t>INTERVENTIONAL NEURORADIOLOGY : JOURNAL OF PERITHERAPEUTIC NEURORADIOLOGY, SURGICAL PROCEDURES AND RELATED NEUROSCIENCES</t>
  </si>
  <si>
    <t>Interv Neuroradiol</t>
  </si>
  <si>
    <t>Edizioni del Centauro</t>
  </si>
  <si>
    <t>0364265</t>
  </si>
  <si>
    <t>INTERVIROLOGY</t>
  </si>
  <si>
    <t>9602489</t>
  </si>
  <si>
    <t>Invertebrate neuroscience : IN</t>
  </si>
  <si>
    <t>INVERTEBRATE NEUROSCIENCE : IN</t>
  </si>
  <si>
    <t>Invert Neurosci</t>
  </si>
  <si>
    <t>14391104</t>
  </si>
  <si>
    <t>13542516</t>
  </si>
  <si>
    <t>Two no. a year, 2010-</t>
  </si>
  <si>
    <t>0421531</t>
  </si>
  <si>
    <t>Investigación clínica</t>
  </si>
  <si>
    <t>INVESTIGACION CLINICA</t>
  </si>
  <si>
    <t>Invest Clin</t>
  </si>
  <si>
    <t>Universidad Del Zulia</t>
  </si>
  <si>
    <t>8309330</t>
  </si>
  <si>
    <t>Investigational new drugs</t>
  </si>
  <si>
    <t>INVESTIGATIONAL NEW DRUGS</t>
  </si>
  <si>
    <t>Invest New Drugs</t>
  </si>
  <si>
    <t>Antineoplastic Agents#Pharmacology</t>
  </si>
  <si>
    <t>7703701</t>
  </si>
  <si>
    <t>Investigative ophthalmology &amp; visual science</t>
  </si>
  <si>
    <t>INVESTIGATIVE OPHTHALMOLOGY &amp; VISUAL SCIENCE</t>
  </si>
  <si>
    <t>Invest Ophthalmol Vis Sci</t>
  </si>
  <si>
    <t>Continues Investigative ophthalmology.</t>
  </si>
  <si>
    <t>Association For Research In Vision And Ophthalmology (Arvo)</t>
  </si>
  <si>
    <t>Thirteen no. a year</t>
  </si>
  <si>
    <t>0045377</t>
  </si>
  <si>
    <t>Investigative radiology</t>
  </si>
  <si>
    <t>INVESTIGATIVE RADIOLOGY</t>
  </si>
  <si>
    <t>Invest Radiol</t>
  </si>
  <si>
    <t>8403404</t>
  </si>
  <si>
    <t>Iowa medicine : journal of the Iowa Medical Society</t>
  </si>
  <si>
    <t>IOWA MEDICINE : JOURNAL OF THE IOWA MEDICAL SOCIETY</t>
  </si>
  <si>
    <t>Iowa Med</t>
  </si>
  <si>
    <t>Continues: Journal of the Iowa Medical Society.</t>
  </si>
  <si>
    <t>07468709</t>
  </si>
  <si>
    <t>Iowa Medical Society</t>
  </si>
  <si>
    <t>8908272</t>
  </si>
  <si>
    <t>The Iowa orthopaedic journal</t>
  </si>
  <si>
    <t>IOWA ORTHOPAEDIC JOURNAL</t>
  </si>
  <si>
    <t>Iowa Orthop J</t>
  </si>
  <si>
    <t>15551377</t>
  </si>
  <si>
    <t>15415457</t>
  </si>
  <si>
    <t>Residents and Faculty of the Dept. of Orthopaedics, University of Iowa</t>
  </si>
  <si>
    <t>9814853</t>
  </si>
  <si>
    <t>Iranian biomedical journal</t>
  </si>
  <si>
    <t>IRANIAN BIOMEDICAL JOURNAL</t>
  </si>
  <si>
    <t>Iran Biomed J</t>
  </si>
  <si>
    <t>2008823X</t>
  </si>
  <si>
    <t>101146178</t>
  </si>
  <si>
    <t>Iranian journal of allergy, asthma, and immunology</t>
  </si>
  <si>
    <t>IRANIAN JOURNAL OF ALLERGY, ASTHMA, AND IMMUNOLOGY</t>
  </si>
  <si>
    <t>Iran J Allergy Asthma Immunol</t>
  </si>
  <si>
    <t>101282932</t>
  </si>
  <si>
    <t>Iranian journal of immunology : IJI</t>
  </si>
  <si>
    <t>IRANIAN JOURNAL OF IMMUNOLOGY : IJI</t>
  </si>
  <si>
    <t>Iran J Immunol</t>
  </si>
  <si>
    <t>17351383</t>
  </si>
  <si>
    <t>Iranian Society for Immunology &amp; Allergy in association with Shīrāz Institute for Cancer Research</t>
  </si>
  <si>
    <t>101316967</t>
  </si>
  <si>
    <t>Iranian journal of kidney diseases</t>
  </si>
  <si>
    <t>IRANIAN JOURNAL OF KIDNEY DISEASES</t>
  </si>
  <si>
    <t>Iran J Kidney Dis</t>
  </si>
  <si>
    <t>7906878</t>
  </si>
  <si>
    <t>IRB</t>
  </si>
  <si>
    <t>01937758</t>
  </si>
  <si>
    <t>Hastings Center</t>
  </si>
  <si>
    <t>7806864</t>
  </si>
  <si>
    <t>Irish journal of medical science</t>
  </si>
  <si>
    <t>IRISH JOURNAL OF MEDICAL SCIENCE</t>
  </si>
  <si>
    <t>Ir J Med Sci</t>
  </si>
  <si>
    <t>Supersedes: Irish journal of medical science.</t>
  </si>
  <si>
    <t>Royal Academy Of Medicine Of Ireland</t>
  </si>
  <si>
    <t>0430275</t>
  </si>
  <si>
    <t>Irish medical journal</t>
  </si>
  <si>
    <t>IRISH MEDICAL JOURNAL</t>
  </si>
  <si>
    <t>Ir Med J</t>
  </si>
  <si>
    <t>Continues: Journal of the Irish Medical Association.</t>
  </si>
  <si>
    <t>Monthly (combined issues for July/Aug. and Nov./Dec.), 2001-</t>
  </si>
  <si>
    <t>0374750</t>
  </si>
  <si>
    <t>ISA transactions</t>
  </si>
  <si>
    <t>ISA TRANSACTIONS</t>
  </si>
  <si>
    <t>ISA Trans</t>
  </si>
  <si>
    <t>18792022</t>
  </si>
  <si>
    <t>00190578</t>
  </si>
  <si>
    <t>2985182R</t>
  </si>
  <si>
    <t>Isis; an international review devoted to the history of science and its cultural influences</t>
  </si>
  <si>
    <t>ISIS; AN INTERNATIONAL REVIEW DEVOTED TO THE HISTORY OF SCIENCE AND ITS CULTURAL INFLUENCES</t>
  </si>
  <si>
    <t>Isis</t>
  </si>
  <si>
    <t>15456994</t>
  </si>
  <si>
    <t>00211753</t>
  </si>
  <si>
    <t>101495366</t>
  </si>
  <si>
    <t>ISLETS</t>
  </si>
  <si>
    <t>Endocrinology#Gastroenterology</t>
  </si>
  <si>
    <t>101301086</t>
  </si>
  <si>
    <t>The ISME journal</t>
  </si>
  <si>
    <t>ISME JOURNAL</t>
  </si>
  <si>
    <t>ISME J</t>
  </si>
  <si>
    <t>17517370</t>
  </si>
  <si>
    <t>17517362</t>
  </si>
  <si>
    <t>9602611</t>
  </si>
  <si>
    <t>Isotopes in environmental and health studies</t>
  </si>
  <si>
    <t>ISOTOPES IN ENVIRONMENTAL AND HEALTH STUDIES</t>
  </si>
  <si>
    <t>Isotopes Environ Health Stud</t>
  </si>
  <si>
    <t>Continues: Isotopenpraxis.</t>
  </si>
  <si>
    <t>14772639</t>
  </si>
  <si>
    <t>10256016</t>
  </si>
  <si>
    <t>8108287</t>
  </si>
  <si>
    <t>The Israel journal of psychiatry and related sciences</t>
  </si>
  <si>
    <t>ISRAEL JOURNAL OF PSYCHIATRY AND RELATED SCIENCES</t>
  </si>
  <si>
    <t>Isr J Psychiatry Relat Sci</t>
  </si>
  <si>
    <t>Continues: The Israel annals of psychiatry and related disciplines.</t>
  </si>
  <si>
    <t>03337308</t>
  </si>
  <si>
    <t>Israel Science Publishers For The Israel Psychiatric Association</t>
  </si>
  <si>
    <t>100930740</t>
  </si>
  <si>
    <t>The Israel Medical Association journal : IMAJ</t>
  </si>
  <si>
    <t>ISRAEL MEDICAL ASSOCIATION JOURNAL : IMAJ</t>
  </si>
  <si>
    <t>Isr Med Assoc J</t>
  </si>
  <si>
    <t>Continues: Israel journal of medical sciences.</t>
  </si>
  <si>
    <t>9806954</t>
  </si>
  <si>
    <t>Issue brief (Center for Studying Health System Change)</t>
  </si>
  <si>
    <t>ISSUE BRIEF (CENTER FOR STUDYING HEALTH SYSTEM CHANGE)</t>
  </si>
  <si>
    <t>Issue Brief Cent Stud Health Syst Change</t>
  </si>
  <si>
    <t>101087100</t>
  </si>
  <si>
    <t>Issue brief (Commonwealth Fund)</t>
  </si>
  <si>
    <t>ISSUE BRIEF (COMMONWEALTH FUND)</t>
  </si>
  <si>
    <t>Issue Brief (Commonw Fund)</t>
  </si>
  <si>
    <t>15586847</t>
  </si>
  <si>
    <t>Commonwealth Fund</t>
  </si>
  <si>
    <t>101133095</t>
  </si>
  <si>
    <t>Issue brief (George Washington University. Center for Health Services Research and Policy)</t>
  </si>
  <si>
    <t>ISSUE BRIEF (GEORGE WASHINGTON UNIVERSITY. CENTER FOR HEALTH SERVICES RESEARCH AND POLICY)</t>
  </si>
  <si>
    <t>Issue Brief George Wash Univ Cent Health Serv Res Policy</t>
  </si>
  <si>
    <t>George Washington University Center for Health Services Research and Policy</t>
  </si>
  <si>
    <t>101174923</t>
  </si>
  <si>
    <t>Issue brief (George Washington University. Medical Center. Ensuring Solutions to Alcohol Problems)</t>
  </si>
  <si>
    <t>ISSUE BRIEF (GEORGE WASHINGTON UNIVERSITY. MEDICAL CENTER. ENSURING SOLUTIONS TO ALCOHOL PROBLEMS)</t>
  </si>
  <si>
    <t>Issue Brief (George Wash Univ Med Cent Ensuring Solut Alcohol Probl)</t>
  </si>
  <si>
    <t>George Washington University Medical Center</t>
  </si>
  <si>
    <t>101502213</t>
  </si>
  <si>
    <t>Issue brief (George Washington University. National Health Policy Forum : 2005)</t>
  </si>
  <si>
    <t>ISSUE BRIEF (GEORGE WASHINGTON UNIVERSITY. NATIONAL HEALTH POLICY FORUM : 2005)</t>
  </si>
  <si>
    <t>Issue Brief George Wash Univ Natl Health Policy Forum</t>
  </si>
  <si>
    <t>Continues: NHPF issue brief.</t>
  </si>
  <si>
    <t>National Health Policy Forum</t>
  </si>
  <si>
    <t>101161182</t>
  </si>
  <si>
    <t>Issue brief (Grantmakers in Health)</t>
  </si>
  <si>
    <t>ISSUE BRIEF (GRANTMAKERS IN HEALTH)</t>
  </si>
  <si>
    <t>Issue Brief (Grantmakers Health)</t>
  </si>
  <si>
    <t>15595609</t>
  </si>
  <si>
    <t>Grantmakers in Health</t>
  </si>
  <si>
    <t>9812946</t>
  </si>
  <si>
    <t>Issue brief (Health Policy Tracking Service)</t>
  </si>
  <si>
    <t>ISSUE BRIEF (HEALTH POLICY TRACKING SERVICE)</t>
  </si>
  <si>
    <t>Issue Brief Health Policy Track Serv</t>
  </si>
  <si>
    <t>Health Policy Tracking Service</t>
  </si>
  <si>
    <t>101178232</t>
  </si>
  <si>
    <t>Issue brief (Institute on Health Care Costs and Solutions)</t>
  </si>
  <si>
    <t>ISSUE BRIEF (INSTITUTE ON HEALTH CARE COSTS AND SOLUTIONS)</t>
  </si>
  <si>
    <t>Issue Brief (Inst Health Care Costs Solut)</t>
  </si>
  <si>
    <t>Washington Business Group on Health, Institute on Health Care Costs and Solutions</t>
  </si>
  <si>
    <t>101178227</t>
  </si>
  <si>
    <t>Issue brief (Massachusetts Health Policy Forum)</t>
  </si>
  <si>
    <t>ISSUE BRIEF (MASSACHUSETTS HEALTH POLICY FORUM)</t>
  </si>
  <si>
    <t>Issue Brief (Mass Health Policy Forum)</t>
  </si>
  <si>
    <t>Massachusetts Health Policy Forum</t>
  </si>
  <si>
    <t>8505238</t>
  </si>
  <si>
    <t>Issues (National Council of State Boards of Nursing (U.S.))</t>
  </si>
  <si>
    <t>ISSUES (NATIONAL COUNCIL OF STATE BOARDS OF NURSING (U.S.))</t>
  </si>
  <si>
    <t>Issues</t>
  </si>
  <si>
    <t>08850046</t>
  </si>
  <si>
    <t>National Council of State Boards of Nursing</t>
  </si>
  <si>
    <t>101095748</t>
  </si>
  <si>
    <t>Issues in brief (Alan Guttmacher Institute)</t>
  </si>
  <si>
    <t>ISSUES IN BRIEF (ALAN GUTTMACHER INSTITUTE)</t>
  </si>
  <si>
    <t>Issues Brief (Alan Guttmacher Inst)</t>
  </si>
  <si>
    <t>7702326</t>
  </si>
  <si>
    <t>Issues in comprehensive pediatric nursing</t>
  </si>
  <si>
    <t>ISSUES IN COMPREHENSIVE PEDIATRIC NURSING</t>
  </si>
  <si>
    <t>Issues Compr Pediatr Nurs</t>
  </si>
  <si>
    <t>1521043X</t>
  </si>
  <si>
    <t>01460862</t>
  </si>
  <si>
    <t>Nursing#Pediatrics</t>
  </si>
  <si>
    <t>8511295</t>
  </si>
  <si>
    <t>Issues in law &amp; medicine</t>
  </si>
  <si>
    <t>ISSUES IN LAW &amp; MEDICINE</t>
  </si>
  <si>
    <t>Issues Law Med</t>
  </si>
  <si>
    <t>87568160</t>
  </si>
  <si>
    <t>National Legal Center for the Medically Dependent &amp; Disabled and the Horatio R. Storer Foundation</t>
  </si>
  <si>
    <t>Three no. a year, 1999-</t>
  </si>
  <si>
    <t>7907126</t>
  </si>
  <si>
    <t>Issues in mental health nursing</t>
  </si>
  <si>
    <t>ISSUES IN MENTAL HEALTH NURSING</t>
  </si>
  <si>
    <t>Issues Ment Health Nurs</t>
  </si>
  <si>
    <t>10964673</t>
  </si>
  <si>
    <t>01612840</t>
  </si>
  <si>
    <t>Monthly (with combined issues for Feb./Mar. and Aug./Sept.), &lt;Jan. 2005-&gt;</t>
  </si>
  <si>
    <t>9612303</t>
  </si>
  <si>
    <t>Italian journal of anatomy and embryology = Archivio italiano di anatomia ed embriologia</t>
  </si>
  <si>
    <t>ITALIAN JOURNAL OF ANATOMY AND EMBRYOLOGY = ARCHIVIO ITALIANO DI ANATOMIA ED EMBRIOLOGIA</t>
  </si>
  <si>
    <t>Ital J Anat Embryol</t>
  </si>
  <si>
    <t>Continues: Archivio italiano di anatomia e di embriologia.</t>
  </si>
  <si>
    <t>11226714</t>
  </si>
  <si>
    <t>Editrice Il Sedicesimo</t>
  </si>
  <si>
    <t>Anatomy#Embryology</t>
  </si>
  <si>
    <t>101510759</t>
  </si>
  <si>
    <t>Italian journal of pediatrics</t>
  </si>
  <si>
    <t>ITALIAN JOURNAL OF PEDIATRICS</t>
  </si>
  <si>
    <t>Ital J Pediatr</t>
  </si>
  <si>
    <t>Continues: Rivista italiana di pediatria.</t>
  </si>
  <si>
    <t>100888706</t>
  </si>
  <si>
    <t>IUBMB life</t>
  </si>
  <si>
    <t>IUBMB LIFE</t>
  </si>
  <si>
    <t>Continues: Biochemistry and molecular biology international.</t>
  </si>
  <si>
    <t>Published for the International Union of Biochemistry and Molecular Biology by Taylor &amp; Francis</t>
  </si>
  <si>
    <t>9300152</t>
  </si>
  <si>
    <t>Izvestiia Akademii nauk. Seriia biologicheskaia / Rossiĭskaia akademiia nauk</t>
  </si>
  <si>
    <t>IZVESTIIA AKADEMII NAUK. SERIIA BIOLOGICHESKAIA / ROSSIISKAIA AKADEMIIA NAUK</t>
  </si>
  <si>
    <t>Izv Akad Nauk Ser Biol</t>
  </si>
  <si>
    <t>Continues: Ivestiia Akademii nauk SSSR. Seriia biologicheskaia.</t>
  </si>
  <si>
    <t>10263470</t>
  </si>
  <si>
    <t>Rossiiskaia Akademiia Nauk</t>
  </si>
  <si>
    <t>9513102</t>
  </si>
  <si>
    <t>JAAPA : official journal of the American Academy of Physician Assistants</t>
  </si>
  <si>
    <t>JAAPA : OFFICIAL JOURNAL OF THE AMERICAN ACADEMY OF PHYSICIAN ASSISTANTS</t>
  </si>
  <si>
    <t>JAAPA</t>
  </si>
  <si>
    <t>Continues: Journal of the American Academy of Physician Assistants.</t>
  </si>
  <si>
    <t>15471896</t>
  </si>
  <si>
    <t>08937400</t>
  </si>
  <si>
    <t>American Academy of Physicians Assistants</t>
  </si>
  <si>
    <t>101467978</t>
  </si>
  <si>
    <t>JACC. Cardiovascular imaging</t>
  </si>
  <si>
    <t>JACC. CARDIOVASCULAR IMAGING</t>
  </si>
  <si>
    <t>JACC Cardiovasc Imaging</t>
  </si>
  <si>
    <t>101467004</t>
  </si>
  <si>
    <t>JACC. Cardiovascular interventions</t>
  </si>
  <si>
    <t>JACC. CARDIOVASCULAR INTERVENTIONS</t>
  </si>
  <si>
    <t>JACC Cardiovasc Interv</t>
  </si>
  <si>
    <t>8916516</t>
  </si>
  <si>
    <t>Jahresbericht (Schweizerische Akademie der Medizinischen Wissenschaften : 1988)</t>
  </si>
  <si>
    <t>JAHRESBERICHT (SCHWEIZERISCHE AKADEMIE DER MEDIZINISCHEN WISSENSCHAFTEN : 1988)</t>
  </si>
  <si>
    <t>Jahresber Schweiz Akad Med Wiss</t>
  </si>
  <si>
    <t>Continues: Bulletin der Schweizerischen Akademie der Medizinischen Wissenschaften.</t>
  </si>
  <si>
    <t>10161562</t>
  </si>
  <si>
    <t>Die Akademie</t>
  </si>
  <si>
    <t>7501160</t>
  </si>
  <si>
    <t>JAMA : the journal of the American Medical Association</t>
  </si>
  <si>
    <t>JAMA : THE JOURNAL OF THE AMERICAN MEDICAL ASSOCIATION</t>
  </si>
  <si>
    <t>JAMA</t>
  </si>
  <si>
    <t>Continues: Journal of the American Medical Association.</t>
  </si>
  <si>
    <t>101589530</t>
  </si>
  <si>
    <t>JAMA dermatology</t>
  </si>
  <si>
    <t>JAMA DERMATOLOGY</t>
  </si>
  <si>
    <t>JAMA Dermatol</t>
  </si>
  <si>
    <t>Continues: Archives of dermatology.</t>
  </si>
  <si>
    <t>21686084</t>
  </si>
  <si>
    <t>101589532</t>
  </si>
  <si>
    <t>JAMA facial plastic surgery</t>
  </si>
  <si>
    <t>JAMA FACIAL PLASTIC SURGERY</t>
  </si>
  <si>
    <t>JAMA Facial Plast Surg</t>
  </si>
  <si>
    <t>Continues: Archives of facial plastic surgery.</t>
  </si>
  <si>
    <t>21686092</t>
  </si>
  <si>
    <t>21686076</t>
  </si>
  <si>
    <t>101589534</t>
  </si>
  <si>
    <t>JAMA internal medicine</t>
  </si>
  <si>
    <t>JAMA INTERNAL MEDICINE</t>
  </si>
  <si>
    <t>JAMA Intern Med</t>
  </si>
  <si>
    <t>Continues: Archives of internal medicine (1960).</t>
  </si>
  <si>
    <t>21686114</t>
  </si>
  <si>
    <t>Semimonthly (except for combined issues in Aug. and Dec.)</t>
  </si>
  <si>
    <t>101589536</t>
  </si>
  <si>
    <t>JAMA neurology</t>
  </si>
  <si>
    <t>JAMA NEUROLOGY</t>
  </si>
  <si>
    <t>JAMA Neurol</t>
  </si>
  <si>
    <t>Continues: Archives of neurology.</t>
  </si>
  <si>
    <t>21686157</t>
  </si>
  <si>
    <t>101589539</t>
  </si>
  <si>
    <t>JAMA ophthalmology</t>
  </si>
  <si>
    <t>JAMA OPHTHALMOLOGY</t>
  </si>
  <si>
    <t>JAMA Ophthalmol</t>
  </si>
  <si>
    <t>Continues: Archives of ophthalmology (1960).</t>
  </si>
  <si>
    <t>21686173</t>
  </si>
  <si>
    <t>101589542</t>
  </si>
  <si>
    <t>JAMA otolaryngology-- head &amp; neck surgery</t>
  </si>
  <si>
    <t>JAMA OTOLARYNGOLOGY-- HEAD &amp; NECK SURGERY</t>
  </si>
  <si>
    <t>JAMA Otolaryngol Head Neck Surg</t>
  </si>
  <si>
    <t>Continues: Archives of otolaryngology--head &amp; neck surgery.</t>
  </si>
  <si>
    <t>2168619X</t>
  </si>
  <si>
    <t>101589544</t>
  </si>
  <si>
    <t>JAMA pediatrics</t>
  </si>
  <si>
    <t>JAMA PEDIATRICS</t>
  </si>
  <si>
    <t>JAMA Pediatr</t>
  </si>
  <si>
    <t>Continues: Archives of pediatrics &amp; adolescent medicine.</t>
  </si>
  <si>
    <t>21686211</t>
  </si>
  <si>
    <t>101589550</t>
  </si>
  <si>
    <t>JAMA psychiatry</t>
  </si>
  <si>
    <t>JAMA PSYCHIATRY</t>
  </si>
  <si>
    <t>Continues: Archives of general psychiatry.</t>
  </si>
  <si>
    <t>21686238</t>
  </si>
  <si>
    <t>101589553</t>
  </si>
  <si>
    <t>JAMA surgery</t>
  </si>
  <si>
    <t>JAMA SURGERY</t>
  </si>
  <si>
    <t>JAMA Surg</t>
  </si>
  <si>
    <t>Continues: Archives of surgery (Chicago, Ill. : 1960).</t>
  </si>
  <si>
    <t>21686262</t>
  </si>
  <si>
    <t>101227890</t>
  </si>
  <si>
    <t>Japan journal of nursing science : JJNS</t>
  </si>
  <si>
    <t>JAPAN JOURNAL OF NURSING SCIENCE : JJNS</t>
  </si>
  <si>
    <t>Jpn J Nurs Sci</t>
  </si>
  <si>
    <t>17427924</t>
  </si>
  <si>
    <t>17427932</t>
  </si>
  <si>
    <t>Two issues a year</t>
  </si>
  <si>
    <t>101481371</t>
  </si>
  <si>
    <t>The Japanese dental science review</t>
  </si>
  <si>
    <t>JAPANESE DENTAL SCIENCE REVIEW</t>
  </si>
  <si>
    <t>Jpn Dent Sci Rev</t>
  </si>
  <si>
    <t>Continues: Dentistry in Japan.</t>
  </si>
  <si>
    <t>18827616</t>
  </si>
  <si>
    <t>0154402</t>
  </si>
  <si>
    <t>The Japanese journal of antibiotics</t>
  </si>
  <si>
    <t>JAPANESE JOURNAL OF ANTIBIOTICS</t>
  </si>
  <si>
    <t>Jpn J Antibiot</t>
  </si>
  <si>
    <t>Continues the Journal of antibiotics. Ser. B.</t>
  </si>
  <si>
    <t>Japan Antibiotics Research Assn.</t>
  </si>
  <si>
    <t>0313225</t>
  </si>
  <si>
    <t>Japanese journal of clinical oncology</t>
  </si>
  <si>
    <t>JAPANESE JOURNAL OF CLINICAL ONCOLOGY</t>
  </si>
  <si>
    <t>Jpn J Clin Oncol</t>
  </si>
  <si>
    <t>100893704</t>
  </si>
  <si>
    <t>Japanese journal of infectious diseases</t>
  </si>
  <si>
    <t>JAPANESE JOURNAL OF INFECTIOUS DISEASES</t>
  </si>
  <si>
    <t>Jpn J Infect Dis</t>
  </si>
  <si>
    <t>Continues: Japanese journal of medical science &amp; biology.</t>
  </si>
  <si>
    <t>National Institute of Infectious Diseases</t>
  </si>
  <si>
    <t>0044652</t>
  </si>
  <si>
    <t>Japanese journal of ophthalmology</t>
  </si>
  <si>
    <t>JAPANESE JOURNAL OF OPHTHALMOLOGY</t>
  </si>
  <si>
    <t>Jpn J Ophthalmol</t>
  </si>
  <si>
    <t>Springer Tokyo</t>
  </si>
  <si>
    <t>101490689</t>
  </si>
  <si>
    <t>Japanese journal of radiology</t>
  </si>
  <si>
    <t>JAPANESE JOURNAL OF RADIOLOGY</t>
  </si>
  <si>
    <t>Jpn J Radiol</t>
  </si>
  <si>
    <t>Continues: Radiation medicine.</t>
  </si>
  <si>
    <t>Diagnostic Imaging#Radiology#Radiotherapy</t>
  </si>
  <si>
    <t>0376567</t>
  </si>
  <si>
    <t>The Japanese journal of veterinary research</t>
  </si>
  <si>
    <t>JAPANESE JOURNAL OF VETERINARY RESEARCH</t>
  </si>
  <si>
    <t>Jpn J Vet Res</t>
  </si>
  <si>
    <t>Continues Juigaku kenkyu.</t>
  </si>
  <si>
    <t>00471917</t>
  </si>
  <si>
    <t>Hokkaido University. Faculty Of Veterinary Medicine</t>
  </si>
  <si>
    <t>8301814</t>
  </si>
  <si>
    <t>Japan-hospitals : the journal of the Japan Hospital Association</t>
  </si>
  <si>
    <t>JAPAN-HOSPITALS : THE JOURNAL OF THE JAPAN HOSPITAL ASSOCIATION</t>
  </si>
  <si>
    <t>Jpn Hosp</t>
  </si>
  <si>
    <t>09101004</t>
  </si>
  <si>
    <t>Japan Hospital Association</t>
  </si>
  <si>
    <t>100888280</t>
  </si>
  <si>
    <t>JBR-BTR : organe de la Société royale belge de radiologie (SRBR) = orgaan van de Koninklijke Belgische Vereniging voor Radiologie (KBVR)</t>
  </si>
  <si>
    <t>JBR-BTR : ORGANE DE LA SOCIETE ROYALE BELGE DE RADIOLOGIE (SRBR) = ORGAAN VAN DE KONINKLIJKE BELGISCHE VERENIGING VOOR RADIOLOGIE (KBVR)</t>
  </si>
  <si>
    <t>Continues: Journal belge de radiologie.</t>
  </si>
  <si>
    <t>03027430</t>
  </si>
  <si>
    <t>Société royale belge de radiologie</t>
  </si>
  <si>
    <t>8102138</t>
  </si>
  <si>
    <t>JEMS : a journal of emergency medical services</t>
  </si>
  <si>
    <t>JEMS : A JOURNAL OF EMERGENCY MEDICAL SERVICES</t>
  </si>
  <si>
    <t>JEMS</t>
  </si>
  <si>
    <t>Continues: Paramedics international.</t>
  </si>
  <si>
    <t>01972510</t>
  </si>
  <si>
    <t>JEMS Publishing</t>
  </si>
  <si>
    <t>0045233</t>
  </si>
  <si>
    <t>JNMA; journal of the Nepal Medical Association</t>
  </si>
  <si>
    <t>JNMA; JOURNAL OF THE NEPAL MEDICAL ASSOCIATION</t>
  </si>
  <si>
    <t>JNMA J Nepal Med Assoc</t>
  </si>
  <si>
    <t>1815672X</t>
  </si>
  <si>
    <t>Nepal</t>
  </si>
  <si>
    <t>9802902</t>
  </si>
  <si>
    <t>The Johns Hopkins medical letter health after 50</t>
  </si>
  <si>
    <t>JOHNS HOPKINS MEDICAL LETTER HEALTH AFTER 50</t>
  </si>
  <si>
    <t>Johns Hopkins Med Lett Health After 50</t>
  </si>
  <si>
    <t>10421882</t>
  </si>
  <si>
    <t>Medletter Associates</t>
  </si>
  <si>
    <t>Geriatrics#Medicine</t>
  </si>
  <si>
    <t>101238023</t>
  </si>
  <si>
    <t>Joint Commission journal on quality and patient safety / Joint Commission Resources</t>
  </si>
  <si>
    <t>JOINT COMMISSION JOURNAL ON QUALITY AND PATIENT SAFETY / JOINT COMMISSION RESOURCES</t>
  </si>
  <si>
    <t>Jt Comm J Qual Patient Saf</t>
  </si>
  <si>
    <t>Continues: Joint Commission journal on quality and safety.</t>
  </si>
  <si>
    <t>1938131X</t>
  </si>
  <si>
    <t>15537250</t>
  </si>
  <si>
    <t>Joint Commission Resources</t>
  </si>
  <si>
    <t>8812163</t>
  </si>
  <si>
    <t>Joint Commission perspectives. Joint Commission on Accreditation of Healthcare Organizations</t>
  </si>
  <si>
    <t>JOINT COMMISSION PERSPECTIVES. JOINT COMMISSION ON ACCREDITATION OF HEALTHCARE ORGANIZATIONS</t>
  </si>
  <si>
    <t>Jt Comm Perspect</t>
  </si>
  <si>
    <t>Continues: Joint Commission on Accreditation of Hospitals. JCAH perspectives.</t>
  </si>
  <si>
    <t>10444017</t>
  </si>
  <si>
    <t>The Commission</t>
  </si>
  <si>
    <t>101319133</t>
  </si>
  <si>
    <t>Joint meeting abstracts / American Dairy Science Association &amp; American Society of Animal Science. American Dairy Science Association. Meeting</t>
  </si>
  <si>
    <t>JOINT MEETING ABSTRACTS / AMERICAN DAIRY SCIENCE ASSOCIATION &amp; AMERICAN SOCIETY OF ANIMAL SCIENCE. AMERICAN DAIRY SCIENCE ASSOCIATION. MEETING</t>
  </si>
  <si>
    <t>Jt Meet Abstr Am Dairy Sci Assoc</t>
  </si>
  <si>
    <t>Continues: Program and abstracts. American Dairy Science Association. Meeting.</t>
  </si>
  <si>
    <t>American Dairy Science Association</t>
  </si>
  <si>
    <t>100938016</t>
  </si>
  <si>
    <t>Joint, bone, spine : revue du rhumatisme</t>
  </si>
  <si>
    <t>JOINT, BONE, SPINE : REVUE DU RHUMATISME</t>
  </si>
  <si>
    <t>Continues: Revue du rhumatisme.</t>
  </si>
  <si>
    <t>100888423</t>
  </si>
  <si>
    <t>JONA'S healthcare law, ethics and regulation</t>
  </si>
  <si>
    <t>JONA'S HEALTHCARE LAW, ETHICS AND REGULATION</t>
  </si>
  <si>
    <t>JONAS Healthc Law Ethics Regul</t>
  </si>
  <si>
    <t>1539073X</t>
  </si>
  <si>
    <t>15209229</t>
  </si>
  <si>
    <t>Ethics#Jurisprudence#Nursing</t>
  </si>
  <si>
    <t>101091810</t>
  </si>
  <si>
    <t>JOP : Journal of the pancreas</t>
  </si>
  <si>
    <t>JOP : JOURNAL OF THE PANCREAS</t>
  </si>
  <si>
    <t>JOP</t>
  </si>
  <si>
    <t>E.S. Burioni ricerche bibliografiche</t>
  </si>
  <si>
    <t>9426946</t>
  </si>
  <si>
    <t>Jornal brasileiro de nefrologia : ʹorgão oficial de Sociedades Brasileira e Latino-Americana de Nefrologia</t>
  </si>
  <si>
    <t>JORNAL BRASILEIRO DE NEFROLOGIA : ORGAO OFICIAL DE SOCIEDADES BRASILEIRA E LATINO-AMERICANA DE NEFROLOGIA</t>
  </si>
  <si>
    <t>J Bras Nefrol</t>
  </si>
  <si>
    <t>21758239</t>
  </si>
  <si>
    <t>01012800</t>
  </si>
  <si>
    <t>101222274</t>
  </si>
  <si>
    <t>Jornal brasileiro de pneumologia : publicaça̋o oficial da Sociedade Brasileira de Pneumologia e Tisilogia</t>
  </si>
  <si>
    <t>JORNAL BRASILEIRO DE PNEUMOLOGIA : PUBLICACAO OFICIAL DA SOCIEDADE BRASILEIRA DE PNEUMOLOGIA E TISILOGIA</t>
  </si>
  <si>
    <t>J Bras Pneumol</t>
  </si>
  <si>
    <t>Continues: Jornal de pneumologia.</t>
  </si>
  <si>
    <t>18063756</t>
  </si>
  <si>
    <t>18063713</t>
  </si>
  <si>
    <t>Sociedade Brasileira de Pneumologia e Tisilogia</t>
  </si>
  <si>
    <t>2985188R</t>
  </si>
  <si>
    <t>Jornal de pediatria</t>
  </si>
  <si>
    <t>JORNAL DE PEDIATRIA</t>
  </si>
  <si>
    <t>J Pediatr (Rio J)</t>
  </si>
  <si>
    <t>16784782</t>
  </si>
  <si>
    <t>Sociedade Brasileira de Pediatria</t>
  </si>
  <si>
    <t>7905263</t>
  </si>
  <si>
    <t>Journal - Oklahoma Dental Association</t>
  </si>
  <si>
    <t>JOURNAL - OKLAHOMA DENTAL ASSOCIATION</t>
  </si>
  <si>
    <t>J Okla Dent Assoc</t>
  </si>
  <si>
    <t>Continues Your Oklahoma Dental Association journal.</t>
  </si>
  <si>
    <t>01649442</t>
  </si>
  <si>
    <t>Oklahoma Dental Assn.</t>
  </si>
  <si>
    <t>7907605</t>
  </si>
  <si>
    <t>Journal (Canadian Dental Association)</t>
  </si>
  <si>
    <t>JOURNAL (CANADIAN DENTAL ASSOCIATION)</t>
  </si>
  <si>
    <t>J Can Dent Assoc</t>
  </si>
  <si>
    <t>Continues: Dental journal.</t>
  </si>
  <si>
    <t>14882159</t>
  </si>
  <si>
    <t>07098936</t>
  </si>
  <si>
    <t>8502537</t>
  </si>
  <si>
    <t>Journal (Indiana Dental Association)</t>
  </si>
  <si>
    <t>JOURNAL (INDIANA DENTAL ASSOCIATION)</t>
  </si>
  <si>
    <t>J Indiana Dent Assoc</t>
  </si>
  <si>
    <t>Continues: The Journal of the Indiana Dental Association.</t>
  </si>
  <si>
    <t>00196568</t>
  </si>
  <si>
    <t>101507025</t>
  </si>
  <si>
    <t>Journal (Institute of Health Record &amp; Information Management : 2008)</t>
  </si>
  <si>
    <t>JOURNAL (INSTITUTE OF HEALTH RECORD &amp; INFORMATION MANAGEMENT : 2008)</t>
  </si>
  <si>
    <t>J (Inst Health Rec Inf Manag)</t>
  </si>
  <si>
    <t>Continues: New journal (Institute of Health Record &amp; Information Management).</t>
  </si>
  <si>
    <t>IHRIM</t>
  </si>
  <si>
    <t>0322206</t>
  </si>
  <si>
    <t>Journal de gynécologie, obstétrique et biologie de la reproduction</t>
  </si>
  <si>
    <t>JOURNAL DE GYNECOLOGIE, OBSTETRIQUE ET BIOLOGIE DE LA REPRODUCTION</t>
  </si>
  <si>
    <t>J Gynecol Obstet Biol Reprod (Paris)</t>
  </si>
  <si>
    <t>Supersedes Gynécologie et obstétrique and the Bulletin of the Fédération des sociétés de gynécologie et d'obstétrique de langue française.</t>
  </si>
  <si>
    <t>01509918</t>
  </si>
  <si>
    <t>Masson Et Cie</t>
  </si>
  <si>
    <t>9425651</t>
  </si>
  <si>
    <t>Journal de mycologie médicale</t>
  </si>
  <si>
    <t>JOURNAL DE MYCOLOGIE MEDICALE</t>
  </si>
  <si>
    <t>J Mycol Med</t>
  </si>
  <si>
    <t>Continues: Bulletin de la Société .... Société française de mycologie médicale</t>
  </si>
  <si>
    <t>0375351</t>
  </si>
  <si>
    <t>Journal de pharmacie de Belgique</t>
  </si>
  <si>
    <t>JOURNAL DE PHARMACIE DE BELGIQUE</t>
  </si>
  <si>
    <t>J Pharm Belg</t>
  </si>
  <si>
    <t>Nationale Pharmaceutique</t>
  </si>
  <si>
    <t>Drug Therapy#Pharmacy</t>
  </si>
  <si>
    <t>101164708</t>
  </si>
  <si>
    <t>Journal der Deutschen Dermatologischen Gesellschaft = Journal of the German Society of Dermatology : JDDG</t>
  </si>
  <si>
    <t>JOURNAL DER DEUTSCHEN DERMATOLOGISCHEN GESELLSCHAFT = JOURNAL OF THE GERMAN SOCIETY OF DERMATOLOGY : JDDG</t>
  </si>
  <si>
    <t>J Dtsch Dermatol Ges</t>
  </si>
  <si>
    <t>Continues: Zeitschrift für Hautkrankheiten.</t>
  </si>
  <si>
    <t>7707965</t>
  </si>
  <si>
    <t>Journal des maladies vasculaires</t>
  </si>
  <si>
    <t>JOURNAL DES MALADIES VASCULAIRES</t>
  </si>
  <si>
    <t>J Mal Vasc</t>
  </si>
  <si>
    <t>Six no. a year. 2010-</t>
  </si>
  <si>
    <t>101185239</t>
  </si>
  <si>
    <t>Le journal des médecines cunéiformes</t>
  </si>
  <si>
    <t>JOURNAL DES MEDECINES CUNEIFORMES</t>
  </si>
  <si>
    <t>J Med Cuneif</t>
  </si>
  <si>
    <t>17610583</t>
  </si>
  <si>
    <t>Azugal</t>
  </si>
  <si>
    <t>9202994</t>
  </si>
  <si>
    <t>Journal for healthcare quality : official publication of the National Association for Healthcare Quality</t>
  </si>
  <si>
    <t>JOURNAL FOR HEALTHCARE QUALITY : OFFICIAL PUBLICATION OF THE NATIONAL ASSOCIATION FOR HEALTHCARE QUALITY</t>
  </si>
  <si>
    <t>J Healthc Qual</t>
  </si>
  <si>
    <t>Continues: Journal of quality assurance.</t>
  </si>
  <si>
    <t>19451474</t>
  </si>
  <si>
    <t>10622551</t>
  </si>
  <si>
    <t>National Association For Healthcare Quality</t>
  </si>
  <si>
    <t>101603887</t>
  </si>
  <si>
    <t>Journal for nurses in professional development</t>
  </si>
  <si>
    <t>JOURNAL FOR NURSES IN PROFESSIONAL DEVELOPMENT</t>
  </si>
  <si>
    <t>J Nurses Prof Dev</t>
  </si>
  <si>
    <t>Continues: Journal for nurses in staff development.</t>
  </si>
  <si>
    <t>2169981X</t>
  </si>
  <si>
    <t>21699798</t>
  </si>
  <si>
    <t>101142025</t>
  </si>
  <si>
    <t>Journal for specialists in pediatric nursing : JSPN</t>
  </si>
  <si>
    <t>JOURNAL FOR SPECIALISTS IN PEDIATRIC NURSING : JSPN</t>
  </si>
  <si>
    <t>J Spec Pediatr Nurs</t>
  </si>
  <si>
    <t>Continues: Journal of the Society of Pediatric Nurses.</t>
  </si>
  <si>
    <t>17446155</t>
  </si>
  <si>
    <t>15390136</t>
  </si>
  <si>
    <t>7804128</t>
  </si>
  <si>
    <t>Journal français d'ophtalmologie</t>
  </si>
  <si>
    <t>JOURNAL FRANCAIS D'OPHTALMOLOGIE</t>
  </si>
  <si>
    <t>J Fr Ophtalmol</t>
  </si>
  <si>
    <t>Formed by the union of: Annales d'oculistique and Archives d'ophtalmologie.</t>
  </si>
  <si>
    <t>17730597</t>
  </si>
  <si>
    <t>01815512</t>
  </si>
  <si>
    <t>9015754</t>
  </si>
  <si>
    <t>Journal international de bioéthique = International journal of bioethics</t>
  </si>
  <si>
    <t>JOURNAL INTERNATIONAL DE BIOETHIQUE = INTERNATIONAL JOURNAL OF BIOETHICS</t>
  </si>
  <si>
    <t>J Int Bioethique</t>
  </si>
  <si>
    <t>Absorbed: Ethique. 1997 Continues: Cahier de droit médical et d'éthique médicale.</t>
  </si>
  <si>
    <t>21025169</t>
  </si>
  <si>
    <t>11450762</t>
  </si>
  <si>
    <t>Editions EKSA</t>
  </si>
  <si>
    <t>0375352</t>
  </si>
  <si>
    <t>Le Journal médical libanais. The Lebanese medical journal</t>
  </si>
  <si>
    <t>JOURNAL MEDICAL LIBANAIS. THE LEBANESE MEDICAL JOURNAL</t>
  </si>
  <si>
    <t>J Med Liban</t>
  </si>
  <si>
    <t>Continues La Revue médicale libanaise.</t>
  </si>
  <si>
    <t>Order Of Physicians In Lebanon</t>
  </si>
  <si>
    <t>Lebanon</t>
  </si>
  <si>
    <t>9710011</t>
  </si>
  <si>
    <t>Journal of AAPOS : the official publication of the American Association for Pediatric Ophthalmology and Strabismus / American Association for Pediatric Ophthalmology and Strabismus</t>
  </si>
  <si>
    <t>JOURNAL OF AAPOS : THE OFFICIAL PUBLICATION OF THE AMERICAN ASSOCIATION FOR PEDIATRIC OPHTHALMOLOGY AND STRABISMUS / AMERICAN ASSOCIATION FOR PEDIATRIC OPHTHALMOLOGY AND STRABISMUS</t>
  </si>
  <si>
    <t>J AAPOS</t>
  </si>
  <si>
    <t>Ophthalmology#Pediatrics</t>
  </si>
  <si>
    <t>0364547</t>
  </si>
  <si>
    <t>Journal of abnormal child psychology</t>
  </si>
  <si>
    <t>JOURNAL OF ABNORMAL CHILD PSYCHOLOGY</t>
  </si>
  <si>
    <t>J Abnorm Child Psychol</t>
  </si>
  <si>
    <t>15732835</t>
  </si>
  <si>
    <t>00910627</t>
  </si>
  <si>
    <t>0034461</t>
  </si>
  <si>
    <t>Journal of abnormal psychology</t>
  </si>
  <si>
    <t>JOURNAL OF ABNORMAL PSYCHOLOGY</t>
  </si>
  <si>
    <t>J Abnorm Psychol</t>
  </si>
  <si>
    <t>100892005</t>
  </si>
  <si>
    <t>Journal of acquired immune deficiency syndromes (1999)</t>
  </si>
  <si>
    <t>JOURNAL OF ACQUIRED IMMUNE DEFICIENCY SYNDROMES (1999)</t>
  </si>
  <si>
    <t>J Acquir Immune Defic Syndr</t>
  </si>
  <si>
    <t>Continues: Journal of acquired immune deficiency syndromes and human retrovirology.</t>
  </si>
  <si>
    <t>19447884</t>
  </si>
  <si>
    <t>Lippincott Williams &amp; Wilkins, Inc.</t>
  </si>
  <si>
    <t>101490763</t>
  </si>
  <si>
    <t>Journal of acupuncture and meridian studies</t>
  </si>
  <si>
    <t>JOURNAL OF ACUPUNCTURE AND MERIDIAN STUDIES</t>
  </si>
  <si>
    <t>J Acupunct Meridian Stud</t>
  </si>
  <si>
    <t>101306759</t>
  </si>
  <si>
    <t>Journal of addiction medicine</t>
  </si>
  <si>
    <t>JOURNAL OF ADDICTION MEDICINE</t>
  </si>
  <si>
    <t>J Addict Med</t>
  </si>
  <si>
    <t>9616159</t>
  </si>
  <si>
    <t>Journal of addictions nursing</t>
  </si>
  <si>
    <t>JOURNAL OF ADDICTIONS NURSING</t>
  </si>
  <si>
    <t>J Addict Nurs</t>
  </si>
  <si>
    <t>Continues: Addictions nursing.</t>
  </si>
  <si>
    <t>15487148</t>
  </si>
  <si>
    <t>10884602</t>
  </si>
  <si>
    <t>Nursing#Substance-Related Disorders</t>
  </si>
  <si>
    <t>9107051</t>
  </si>
  <si>
    <t>Journal of addictive diseases</t>
  </si>
  <si>
    <t>JOURNAL OF ADDICTIVE DISEASES</t>
  </si>
  <si>
    <t>J Addict Dis</t>
  </si>
  <si>
    <t>Continues: Advances in alcohol &amp; substance abuse.</t>
  </si>
  <si>
    <t>100888552</t>
  </si>
  <si>
    <t>The journal of adhesive dentistry</t>
  </si>
  <si>
    <t>JOURNAL OF ADHESIVE DENTISTRY</t>
  </si>
  <si>
    <t>J Adhes Dent</t>
  </si>
  <si>
    <t>14615185</t>
  </si>
  <si>
    <t>7808986</t>
  </si>
  <si>
    <t>Journal of adolescence</t>
  </si>
  <si>
    <t>JOURNAL OF ADOLESCENCE</t>
  </si>
  <si>
    <t>J Adolesc</t>
  </si>
  <si>
    <t>9102136</t>
  </si>
  <si>
    <t>The Journal of adolescent health : official publication of the Society for Adolescent Medicine</t>
  </si>
  <si>
    <t>JOURNAL OF ADOLESCENT HEALTH : OFFICIAL PUBLICATION OF THE SOCIETY FOR ADOLESCENT MEDICINE</t>
  </si>
  <si>
    <t>J Adolesc Health</t>
  </si>
  <si>
    <t>Continues: Journal of adolescent health care.</t>
  </si>
  <si>
    <t>7609811</t>
  </si>
  <si>
    <t>Journal of advanced nursing</t>
  </si>
  <si>
    <t>JOURNAL OF ADVANCED NURSING</t>
  </si>
  <si>
    <t>J Adv Nurs</t>
  </si>
  <si>
    <t>13652648</t>
  </si>
  <si>
    <t>03092402</t>
  </si>
  <si>
    <t>101475057</t>
  </si>
  <si>
    <t>Journal of aerosol medicine and pulmonary drug delivery</t>
  </si>
  <si>
    <t>JOURNAL OF AEROSOL MEDICINE AND PULMONARY DRUG DELIVERY</t>
  </si>
  <si>
    <t>J Aerosol Med Pulm Drug Deliv</t>
  </si>
  <si>
    <t>Continues: Journal of aerosol medicine.</t>
  </si>
  <si>
    <t>Drug Therapy#Pulmonary Medicine</t>
  </si>
  <si>
    <t>7906073</t>
  </si>
  <si>
    <t>Journal of affective disorders</t>
  </si>
  <si>
    <t>JOURNAL OF AFFECTIVE DISORDERS</t>
  </si>
  <si>
    <t>J Affect Disord</t>
  </si>
  <si>
    <t>Twenty-four no. a year 2009-</t>
  </si>
  <si>
    <t>8914669</t>
  </si>
  <si>
    <t>Journal of aging &amp; social policy</t>
  </si>
  <si>
    <t>JOURNAL OF AGING &amp; SOCIAL POLICY</t>
  </si>
  <si>
    <t>J Aging Soc Policy</t>
  </si>
  <si>
    <t>15450821</t>
  </si>
  <si>
    <t>08959420</t>
  </si>
  <si>
    <t>Geriatrics#Public Health</t>
  </si>
  <si>
    <t>8912686</t>
  </si>
  <si>
    <t>Journal of aging and health</t>
  </si>
  <si>
    <t>JOURNAL OF AGING AND HEALTH</t>
  </si>
  <si>
    <t>J Aging Health</t>
  </si>
  <si>
    <t>15526887</t>
  </si>
  <si>
    <t>08982643</t>
  </si>
  <si>
    <t>9415639</t>
  </si>
  <si>
    <t>Journal of aging and physical activity</t>
  </si>
  <si>
    <t>JOURNAL OF AGING AND PHYSICAL ACTIVITY</t>
  </si>
  <si>
    <t>J Aging Phys Act</t>
  </si>
  <si>
    <t>1543267X</t>
  </si>
  <si>
    <t>10638652</t>
  </si>
  <si>
    <t>Human Kinetics Publishers, Inc.</t>
  </si>
  <si>
    <t>8916517</t>
  </si>
  <si>
    <t>Journal of aging studies</t>
  </si>
  <si>
    <t>JOURNAL OF AGING STUDIES</t>
  </si>
  <si>
    <t>J Aging Stud</t>
  </si>
  <si>
    <t>1879193X</t>
  </si>
  <si>
    <t>08904065</t>
  </si>
  <si>
    <t>0374755</t>
  </si>
  <si>
    <t>Journal of agricultural and food chemistry</t>
  </si>
  <si>
    <t>JOURNAL OF AGRICULTURAL AND FOOD CHEMISTRY</t>
  </si>
  <si>
    <t>J Agric Food Chem</t>
  </si>
  <si>
    <t>15205118</t>
  </si>
  <si>
    <t>00218561</t>
  </si>
  <si>
    <t>Twenty-six no. a year 2002-</t>
  </si>
  <si>
    <t>9613956</t>
  </si>
  <si>
    <t>Journal of agricultural safety and health</t>
  </si>
  <si>
    <t>JOURNAL OF AGRICULTURAL SAFETY AND HEALTH</t>
  </si>
  <si>
    <t>J Agric Saf Health</t>
  </si>
  <si>
    <t>10747583</t>
  </si>
  <si>
    <t>ASAE</t>
  </si>
  <si>
    <t>9421530</t>
  </si>
  <si>
    <t>Journal of agromedicine</t>
  </si>
  <si>
    <t>JOURNAL OF AGROMEDICINE</t>
  </si>
  <si>
    <t>J Agromedicine</t>
  </si>
  <si>
    <t>15450813</t>
  </si>
  <si>
    <t>1059924X</t>
  </si>
  <si>
    <t>9202024</t>
  </si>
  <si>
    <t>Journal of AHIMA / American Health Information Management Association</t>
  </si>
  <si>
    <t>JOURNAL OF AHIMA / AMERICAN HEALTH INFORMATION MANAGEMENT ASSOCIATION</t>
  </si>
  <si>
    <t>J AHIMA</t>
  </si>
  <si>
    <t>Continues: Journal (American Medical Records Association).</t>
  </si>
  <si>
    <t>10605487</t>
  </si>
  <si>
    <t>American Health Information Management Association</t>
  </si>
  <si>
    <t>1275002</t>
  </si>
  <si>
    <t>The Journal of allergy and clinical immunology</t>
  </si>
  <si>
    <t>JOURNAL OF ALLERGY AND CLINICAL IMMUNOLOGY</t>
  </si>
  <si>
    <t>J Allergy Clin Immunol</t>
  </si>
  <si>
    <t>Continues: Journal of allergy.</t>
  </si>
  <si>
    <t>101597220</t>
  </si>
  <si>
    <t>The journal of allergy and clinical immunology. In practice</t>
  </si>
  <si>
    <t>JOURNAL OF ALLERGY AND CLINICAL IMMUNOLOGY. IN PRACTICE</t>
  </si>
  <si>
    <t>J Allergy Clin Immunol Pract</t>
  </si>
  <si>
    <t>22132201</t>
  </si>
  <si>
    <t>0361603</t>
  </si>
  <si>
    <t>Journal of allied health</t>
  </si>
  <si>
    <t>JOURNAL OF ALLIED HEALTH</t>
  </si>
  <si>
    <t>J Allied Health</t>
  </si>
  <si>
    <t>1945404X</t>
  </si>
  <si>
    <t>00907421</t>
  </si>
  <si>
    <t>Association of Schools of Allied Health Professions</t>
  </si>
  <si>
    <t>9508124</t>
  </si>
  <si>
    <t>Journal of alternative and complementary medicine (New York, N.Y.)</t>
  </si>
  <si>
    <t>JOURNAL OF ALTERNATIVE AND COMPLEMENTARY MEDICINE (NEW YORK, N.Y.)</t>
  </si>
  <si>
    <t>J Altern Complement Med</t>
  </si>
  <si>
    <t>9814863</t>
  </si>
  <si>
    <t>Journal of Alzheimer's disease : JAD</t>
  </si>
  <si>
    <t>JOURNAL OF ALZHEIMER'S DISEASE : JAD</t>
  </si>
  <si>
    <t>J Alzheimers Dis</t>
  </si>
  <si>
    <t>Geriatrics#Neurology</t>
  </si>
  <si>
    <t>7802876</t>
  </si>
  <si>
    <t>The Journal of ambulatory care management</t>
  </si>
  <si>
    <t>JOURNAL OF AMBULATORY CARE MANAGEMENT</t>
  </si>
  <si>
    <t>J Ambul Care Manage</t>
  </si>
  <si>
    <t>15503267</t>
  </si>
  <si>
    <t>01489917</t>
  </si>
  <si>
    <t>8214119</t>
  </si>
  <si>
    <t>Journal of American college health : J of ACH</t>
  </si>
  <si>
    <t>JOURNAL OF AMERICAN COLLEGE HEALTH : J OF ACH</t>
  </si>
  <si>
    <t>J Am Coll Health</t>
  </si>
  <si>
    <t>Continues: Journal of the American College Health Association.</t>
  </si>
  <si>
    <t>19403208</t>
  </si>
  <si>
    <t>07448481</t>
  </si>
  <si>
    <t>Eight no. a year, 2010/2011-</t>
  </si>
  <si>
    <t>0376573</t>
  </si>
  <si>
    <t>The Journal of analytical psychology</t>
  </si>
  <si>
    <t>JOURNAL OF ANALYTICAL PSYCHOLOGY</t>
  </si>
  <si>
    <t>J Anal Psychol</t>
  </si>
  <si>
    <t>14685922</t>
  </si>
  <si>
    <t>00218774</t>
  </si>
  <si>
    <t>7705085</t>
  </si>
  <si>
    <t>Journal of analytical toxicology</t>
  </si>
  <si>
    <t>JOURNAL OF ANALYTICAL TOXICOLOGY</t>
  </si>
  <si>
    <t>J Anal Toxicol</t>
  </si>
  <si>
    <t>Monthly (except bimonthly in Jan./Feb., July/Aug., and Nov./Dec.), 2006-</t>
  </si>
  <si>
    <t>0137162</t>
  </si>
  <si>
    <t>Journal of anatomy</t>
  </si>
  <si>
    <t>JOURNAL OF ANATOMY</t>
  </si>
  <si>
    <t>J Anat</t>
  </si>
  <si>
    <t>Continues: Journal of anatomy and physiology.</t>
  </si>
  <si>
    <t>Monthly, &lt;2001-&gt;</t>
  </si>
  <si>
    <t>8905667</t>
  </si>
  <si>
    <t>Journal of anesthesia</t>
  </si>
  <si>
    <t>JOURNAL OF ANESTHESIA</t>
  </si>
  <si>
    <t>J Anesth</t>
  </si>
  <si>
    <t>Springer International for the Japan Society of Anesthesiology</t>
  </si>
  <si>
    <t>100955807</t>
  </si>
  <si>
    <t>Journal of animal breeding and genetics = Zeitschrift für Tierzüchtung und Züchtungsbiologie</t>
  </si>
  <si>
    <t>JOURNAL OF ANIMAL BREEDING AND GENETICS = ZEITSCHRIFT FUR TIERZUCHTUNG UND ZUCHTUNGSBIOLOGIE</t>
  </si>
  <si>
    <t>J Anim Breed Genet</t>
  </si>
  <si>
    <t>Continues: Zeitschrift für Tierzüchtung und Züchtungsbiologie.</t>
  </si>
  <si>
    <t>14390388</t>
  </si>
  <si>
    <t>09312668</t>
  </si>
  <si>
    <t>Six no. a year, &lt;1998-&gt;</t>
  </si>
  <si>
    <t>Genetics#Reproductive Medicine#Veterinary Medicine#Zoology</t>
  </si>
  <si>
    <t>0376574</t>
  </si>
  <si>
    <t>The Journal of animal ecology</t>
  </si>
  <si>
    <t>JOURNAL OF ANIMAL ECOLOGY</t>
  </si>
  <si>
    <t>J Anim Ecol</t>
  </si>
  <si>
    <t>13652656</t>
  </si>
  <si>
    <t>00218790</t>
  </si>
  <si>
    <t>Six no. a year, 1995-</t>
  </si>
  <si>
    <t>Environmental Health#Zoology</t>
  </si>
  <si>
    <t>101126979</t>
  </si>
  <si>
    <t>Journal of animal physiology and animal nutrition</t>
  </si>
  <si>
    <t>JOURNAL OF ANIMAL PHYSIOLOGY AND ANIMAL NUTRITION</t>
  </si>
  <si>
    <t>J Anim Physiol Anim Nutr (Berl)</t>
  </si>
  <si>
    <t>Continues: Zeitschrift für Tierphysiologie, Tierernährung und Futtermittelkunde.</t>
  </si>
  <si>
    <t>14390396</t>
  </si>
  <si>
    <t>09312439</t>
  </si>
  <si>
    <t>Nutritional Sciences#Physiology#Veterinary Medicine</t>
  </si>
  <si>
    <t>8003002</t>
  </si>
  <si>
    <t>Journal of animal science</t>
  </si>
  <si>
    <t>JOURNAL OF ANIMAL SCIENCE</t>
  </si>
  <si>
    <t>J Anim Sci</t>
  </si>
  <si>
    <t>Supersedes: Record of proceedings of the annual meeting. American Society of Animal Production.</t>
  </si>
  <si>
    <t>15253163</t>
  </si>
  <si>
    <t>00218812</t>
  </si>
  <si>
    <t>American Society of Animal Science</t>
  </si>
  <si>
    <t>Monthly, &lt;Dec. 1975- &gt;</t>
  </si>
  <si>
    <t>101491368</t>
  </si>
  <si>
    <t>Journal of anthropological sciences = Rivista di antropologia : JASS / Istituto italiano di antropologia</t>
  </si>
  <si>
    <t>JOURNAL OF ANTHROPOLOGICAL SCIENCES = RIVISTA DI ANTROPOLOGIA : JASS / ISTITUTO ITALIANO DI ANTROPOLOGIA</t>
  </si>
  <si>
    <t>J Anthropol Sci</t>
  </si>
  <si>
    <t>Continues: Rivista di antropologia.</t>
  </si>
  <si>
    <t>20370644</t>
  </si>
  <si>
    <t>18274765</t>
  </si>
  <si>
    <t>Istituto italiano di antropologia</t>
  </si>
  <si>
    <t>0151115</t>
  </si>
  <si>
    <t>The Journal of antibiotics</t>
  </si>
  <si>
    <t>JOURNAL OF ANTIBIOTICS</t>
  </si>
  <si>
    <t>J Antibiot (Tokyo)</t>
  </si>
  <si>
    <t>Absorbed: Nihon Hōsenkin Gakkai shi in 2010.</t>
  </si>
  <si>
    <t>7513617</t>
  </si>
  <si>
    <t>The Journal of antimicrobial chemotherapy</t>
  </si>
  <si>
    <t>JOURNAL OF ANTIMICROBIAL CHEMOTHERAPY</t>
  </si>
  <si>
    <t>J Antimicrob Chemother</t>
  </si>
  <si>
    <t>8710131</t>
  </si>
  <si>
    <t>Journal of anxiety disorders</t>
  </si>
  <si>
    <t>JOURNAL OF ANXIETY DISORDERS</t>
  </si>
  <si>
    <t>J Anxiety Disord</t>
  </si>
  <si>
    <t>9215446</t>
  </si>
  <si>
    <t>Journal of AOAC International</t>
  </si>
  <si>
    <t>JOURNAL OF AOAC INTERNATIONAL</t>
  </si>
  <si>
    <t>J AOAC Int</t>
  </si>
  <si>
    <t>Continues: Journal - Association of Official Analytical Chemists.</t>
  </si>
  <si>
    <t>10603271</t>
  </si>
  <si>
    <t>Aoac International</t>
  </si>
  <si>
    <t>9804404</t>
  </si>
  <si>
    <t>Journal of applied animal welfare science : JAAWS</t>
  </si>
  <si>
    <t>JOURNAL OF APPLIED ANIMAL WELFARE SCIENCE : JAAWS</t>
  </si>
  <si>
    <t>J Appl Anim Welf Sci</t>
  </si>
  <si>
    <t>Continues: Humane innovations and alternatives.</t>
  </si>
  <si>
    <t>0174763</t>
  </si>
  <si>
    <t>Journal of applied behavior analysis</t>
  </si>
  <si>
    <t>JOURNAL OF APPLIED BEHAVIOR ANALYSIS</t>
  </si>
  <si>
    <t>J Appl Behav Anal</t>
  </si>
  <si>
    <t>19383703</t>
  </si>
  <si>
    <t>00218855</t>
  </si>
  <si>
    <t>101586617</t>
  </si>
  <si>
    <t>Journal of applied biomaterials &amp; functional materials</t>
  </si>
  <si>
    <t>JOURNAL OF APPLIED BIOMATERIALS &amp; FUNCTIONAL MATERIALS</t>
  </si>
  <si>
    <t>J Appl Biomater Funct Mater</t>
  </si>
  <si>
    <t>Continues: Journal of applied biomaterials &amp; biomechanics.</t>
  </si>
  <si>
    <t>Biomedical Engineering#Nanotechnology</t>
  </si>
  <si>
    <t>9315240</t>
  </si>
  <si>
    <t>Journal of applied biomechanics</t>
  </si>
  <si>
    <t>JOURNAL OF APPLIED BIOMECHANICS</t>
  </si>
  <si>
    <t>J Appl Biomech</t>
  </si>
  <si>
    <t>Continues: International journal of sport biomechanics.</t>
  </si>
  <si>
    <t>Biomedical Engineering#Physiology#Sports Medicine</t>
  </si>
  <si>
    <t>101089176</t>
  </si>
  <si>
    <t>Journal of applied clinical medical physics / American College of Medical Physics</t>
  </si>
  <si>
    <t>JOURNAL OF APPLIED CLINICAL MEDICAL PHYSICS / AMERICAN COLLEGE OF MEDICAL PHYSICS</t>
  </si>
  <si>
    <t>J Appl Clin Med Phys</t>
  </si>
  <si>
    <t>15269914</t>
  </si>
  <si>
    <t>American College of Medical Physics</t>
  </si>
  <si>
    <t>9514582</t>
  </si>
  <si>
    <t>Journal of applied genetics</t>
  </si>
  <si>
    <t>JOURNAL OF APPLIED GENETICS</t>
  </si>
  <si>
    <t>J Appl Genet</t>
  </si>
  <si>
    <t>Continues: Genetica polonica.</t>
  </si>
  <si>
    <t>21903883</t>
  </si>
  <si>
    <t>8606502</t>
  </si>
  <si>
    <t>Journal of applied gerontology : the official journal of the Southern Gerontological Society</t>
  </si>
  <si>
    <t>JOURNAL OF APPLIED GERONTOLOGY : THE OFFICIAL JOURNAL OF THE SOUTHERN GERONTOLOGICAL SOCIETY</t>
  </si>
  <si>
    <t>J Appl Gerontol</t>
  </si>
  <si>
    <t>Sage Publications for the Southern Gerontological Society</t>
  </si>
  <si>
    <t>101084377</t>
  </si>
  <si>
    <t>Journal of applied measurement</t>
  </si>
  <si>
    <t>JOURNAL OF APPLIED MEASUREMENT</t>
  </si>
  <si>
    <t>J Appl Meas</t>
  </si>
  <si>
    <t>Absorbed: Journal of outcome measurement.</t>
  </si>
  <si>
    <t>15297713</t>
  </si>
  <si>
    <t>Journal of Applied Measurement</t>
  </si>
  <si>
    <t>9706280</t>
  </si>
  <si>
    <t>Journal of applied microbiology</t>
  </si>
  <si>
    <t>JOURNAL OF APPLIED MICROBIOLOGY</t>
  </si>
  <si>
    <t>J Appl Microbiol</t>
  </si>
  <si>
    <t>Continues: Journal of applied bacteriology.</t>
  </si>
  <si>
    <t>Published for the Society for Applied Bacteriology by Blackwell Science</t>
  </si>
  <si>
    <t>101189774</t>
  </si>
  <si>
    <t>Journal of applied oral science : revista FOB</t>
  </si>
  <si>
    <t>JOURNAL OF APPLIED ORAL SCIENCE : REVISTA FOB</t>
  </si>
  <si>
    <t>J Appl Oral Sci</t>
  </si>
  <si>
    <t>Continues: Revista da Faculdade de Odontologia de Bauru, USP.</t>
  </si>
  <si>
    <t>16787765</t>
  </si>
  <si>
    <t>16787757</t>
  </si>
  <si>
    <t>Faculdade de Odontologia de Bauru, USP</t>
  </si>
  <si>
    <t>8502536</t>
  </si>
  <si>
    <t>Journal of applied physiology (Bethesda, Md. : 1985)</t>
  </si>
  <si>
    <t>JOURNAL OF APPLIED PHYSIOLOGY (BETHESDA, MD. : 1985)</t>
  </si>
  <si>
    <t>J Appl Physiol (1985)</t>
  </si>
  <si>
    <t>Continues: Journal of applied physiology : respiratory, environmental and exercise physiology.</t>
  </si>
  <si>
    <t>15221601</t>
  </si>
  <si>
    <t>87507587</t>
  </si>
  <si>
    <t>01617567</t>
  </si>
  <si>
    <t>0222526</t>
  </si>
  <si>
    <t>The Journal of applied psychology</t>
  </si>
  <si>
    <t>JOURNAL OF APPLIED PSYCHOLOGY</t>
  </si>
  <si>
    <t>J Appl Psychol</t>
  </si>
  <si>
    <t>19391854</t>
  </si>
  <si>
    <t>00219010</t>
  </si>
  <si>
    <t>9613616</t>
  </si>
  <si>
    <t>Journal of applied research in intellectual disabilities : JARID</t>
  </si>
  <si>
    <t>JOURNAL OF APPLIED RESEARCH IN INTELLECTUAL DISABILITIES : JARID</t>
  </si>
  <si>
    <t>J Appl Res Intellect Disabil</t>
  </si>
  <si>
    <t>Continues: Mental handicap research.</t>
  </si>
  <si>
    <t>14683148</t>
  </si>
  <si>
    <t>13602322</t>
  </si>
  <si>
    <t>8109495</t>
  </si>
  <si>
    <t>Journal of applied toxicology : JAT</t>
  </si>
  <si>
    <t>JOURNAL OF APPLIED TOXICOLOGY : JAT</t>
  </si>
  <si>
    <t>J Appl Toxicol</t>
  </si>
  <si>
    <t>9884881</t>
  </si>
  <si>
    <t>Journal of aquatic animal health</t>
  </si>
  <si>
    <t>JOURNAL OF AQUATIC ANIMAL HEALTH</t>
  </si>
  <si>
    <t>J Aquat Anim Health</t>
  </si>
  <si>
    <t>15488667</t>
  </si>
  <si>
    <t>08997659</t>
  </si>
  <si>
    <t>American Fisheries Society</t>
  </si>
  <si>
    <t>8703515</t>
  </si>
  <si>
    <t>The Journal of arthroplasty</t>
  </si>
  <si>
    <t>JOURNAL OF ARTHROPLASTY</t>
  </si>
  <si>
    <t>J Arthroplasty</t>
  </si>
  <si>
    <t>9815648</t>
  </si>
  <si>
    <t>Journal of artificial organs : the official journal of the Japanese Society for Artificial Organs</t>
  </si>
  <si>
    <t>JOURNAL OF ARTIFICIAL ORGANS : THE OFFICIAL JOURNAL OF THE JAPANESE SOCIETY FOR ARTIFICIAL ORGANS</t>
  </si>
  <si>
    <t>J Artif Organs</t>
  </si>
  <si>
    <t>Continues: Artificial organs today.</t>
  </si>
  <si>
    <t>100888334</t>
  </si>
  <si>
    <t>Journal of Asian natural products research</t>
  </si>
  <si>
    <t>JOURNAL OF ASIAN NATURAL PRODUCTS RESEARCH</t>
  </si>
  <si>
    <t>J Asian Nat Prod Res</t>
  </si>
  <si>
    <t>Botany#Chemistry</t>
  </si>
  <si>
    <t>9206495</t>
  </si>
  <si>
    <t>Journal of assisted reproduction and genetics</t>
  </si>
  <si>
    <t>JOURNAL OF ASSISTED REPRODUCTION AND GENETICS</t>
  </si>
  <si>
    <t>J Assist Reprod Genet</t>
  </si>
  <si>
    <t>Genetics#Reproductive Medicine</t>
  </si>
  <si>
    <t>8106454</t>
  </si>
  <si>
    <t>The Journal of asthma : official journal of the Association for the Care of Asthma</t>
  </si>
  <si>
    <t>JOURNAL OF ASTHMA : OFFICIAL JOURNAL OF THE ASSOCIATION FOR THE CARE OF ASTHMA</t>
  </si>
  <si>
    <t>J Asthma</t>
  </si>
  <si>
    <t>Continues: Journal of asthma research.</t>
  </si>
  <si>
    <t>9506298</t>
  </si>
  <si>
    <t>Journal of atherosclerosis and thrombosis</t>
  </si>
  <si>
    <t>JOURNAL OF ATHEROSCLEROSIS AND THROMBOSIS</t>
  </si>
  <si>
    <t>J Atheroscler Thromb</t>
  </si>
  <si>
    <t>Absorbed: Dōmyaku kōka.</t>
  </si>
  <si>
    <t>9301647</t>
  </si>
  <si>
    <t>Journal of athletic training</t>
  </si>
  <si>
    <t>JOURNAL OF ATHLETIC TRAINING</t>
  </si>
  <si>
    <t>J Athl Train</t>
  </si>
  <si>
    <t>Continues: Athletic training.</t>
  </si>
  <si>
    <t>1938162X</t>
  </si>
  <si>
    <t>10626050</t>
  </si>
  <si>
    <t>National Athletic Trainers' Association</t>
  </si>
  <si>
    <t>9615686</t>
  </si>
  <si>
    <t>Journal of attention disorders</t>
  </si>
  <si>
    <t>JOURNAL OF ATTENTION DISORDERS</t>
  </si>
  <si>
    <t>J Atten Disord</t>
  </si>
  <si>
    <t>15571246</t>
  </si>
  <si>
    <t>10870547</t>
  </si>
  <si>
    <t>7904301</t>
  </si>
  <si>
    <t>Journal of autism and developmental disorders</t>
  </si>
  <si>
    <t>JOURNAL OF AUTISM AND DEVELOPMENTAL DISORDERS</t>
  </si>
  <si>
    <t>J Autism Dev Disord</t>
  </si>
  <si>
    <t>Continues: Journal of autism and childhood schizophrenia.</t>
  </si>
  <si>
    <t>8812164</t>
  </si>
  <si>
    <t>Journal of autoimmunity</t>
  </si>
  <si>
    <t>JOURNAL OF AUTOIMMUNITY</t>
  </si>
  <si>
    <t>J Autoimmun</t>
  </si>
  <si>
    <t>9512497</t>
  </si>
  <si>
    <t>Journal of avian medicine and surgery</t>
  </si>
  <si>
    <t>JOURNAL OF AVIAN MEDICINE AND SURGERY</t>
  </si>
  <si>
    <t>J Avian Med Surg</t>
  </si>
  <si>
    <t>Continues: Journal of the Association of Avian Veterinarians.</t>
  </si>
  <si>
    <t>10826742</t>
  </si>
  <si>
    <t>Association of Avian Veterinarians</t>
  </si>
  <si>
    <t>8910750</t>
  </si>
  <si>
    <t>Journal of Ayub Medical College, Abbottabad : JAMC</t>
  </si>
  <si>
    <t>JOURNAL OF AYUB MEDICAL COLLEGE, ABBOTTABAD : JAMC</t>
  </si>
  <si>
    <t>J Ayub Med Coll Abbottabad</t>
  </si>
  <si>
    <t>18192718</t>
  </si>
  <si>
    <t>10259589</t>
  </si>
  <si>
    <t>Ayub Medical College</t>
  </si>
  <si>
    <t>Pakistan</t>
  </si>
  <si>
    <t>100883428</t>
  </si>
  <si>
    <t>Journal of B.U.ON. : official journal of the Balkan Union of Oncology</t>
  </si>
  <si>
    <t>JOURNAL OF B.U.ON. : OFFICIAL JOURNAL OF THE BALKAN UNION OF ONCOLOGY</t>
  </si>
  <si>
    <t>J BUON</t>
  </si>
  <si>
    <t>Zerbinis Medical Publications</t>
  </si>
  <si>
    <t>9201340</t>
  </si>
  <si>
    <t>Journal of back and musculoskeletal rehabilitation</t>
  </si>
  <si>
    <t>JOURNAL OF BACK AND MUSCULOSKELETAL REHABILITATION</t>
  </si>
  <si>
    <t>J Back Musculoskelet Rehabil</t>
  </si>
  <si>
    <t>Physical and Rehabilitation Medicine#Physiology</t>
  </si>
  <si>
    <t>2985120R</t>
  </si>
  <si>
    <t>Journal of bacteriology</t>
  </si>
  <si>
    <t>JOURNAL OF BACTERIOLOGY</t>
  </si>
  <si>
    <t>J Bacteriol</t>
  </si>
  <si>
    <t>Semimonthly, 1991-</t>
  </si>
  <si>
    <t>9101750</t>
  </si>
  <si>
    <t>Journal of basic and clinical physiology and pharmacology</t>
  </si>
  <si>
    <t>JOURNAL OF BASIC AND CLINICAL PHYSIOLOGY AND PHARMACOLOGY</t>
  </si>
  <si>
    <t>J Basic Clin Physiol Pharmacol</t>
  </si>
  <si>
    <t>Continues: Reviews in clinical &amp; basic pharmacology.</t>
  </si>
  <si>
    <t>8503885</t>
  </si>
  <si>
    <t>Journal of basic microbiology</t>
  </si>
  <si>
    <t>JOURNAL OF BASIC MICROBIOLOGY</t>
  </si>
  <si>
    <t>J Basic Microbiol</t>
  </si>
  <si>
    <t>Continues: Zeitschrift für allgemeine Mikrobiologie.</t>
  </si>
  <si>
    <t>15214028</t>
  </si>
  <si>
    <t>0233111X</t>
  </si>
  <si>
    <t>0245075</t>
  </si>
  <si>
    <t>Journal of behavior therapy and experimental psychiatry</t>
  </si>
  <si>
    <t>JOURNAL OF BEHAVIOR THERAPY AND EXPERIMENTAL PSYCHIATRY</t>
  </si>
  <si>
    <t>J Behav Ther Exp Psychiatry</t>
  </si>
  <si>
    <t>Behavioral Sciences#Psychiatry#Therapeutics</t>
  </si>
  <si>
    <t>9803531</t>
  </si>
  <si>
    <t>The journal of behavioral health services &amp; research</t>
  </si>
  <si>
    <t>JOURNAL OF BEHAVIORAL HEALTH SERVICES &amp; RESEARCH</t>
  </si>
  <si>
    <t>J Behav Health Serv Res</t>
  </si>
  <si>
    <t>Continues: Journal of mental health administration.</t>
  </si>
  <si>
    <t>15563308</t>
  </si>
  <si>
    <t>10943412</t>
  </si>
  <si>
    <t>Behavioral Sciences#Health Services#Health Services Research</t>
  </si>
  <si>
    <t>7807105</t>
  </si>
  <si>
    <t>Journal of behavioral medicine</t>
  </si>
  <si>
    <t>JOURNAL OF BEHAVIORAL MEDICINE</t>
  </si>
  <si>
    <t>J Behav Med</t>
  </si>
  <si>
    <t>15733521</t>
  </si>
  <si>
    <t>01607715</t>
  </si>
  <si>
    <t>9717231</t>
  </si>
  <si>
    <t>Journal of biochemical and molecular toxicology</t>
  </si>
  <si>
    <t>JOURNAL OF BIOCHEMICAL AND MOLECULAR TOXICOLOGY</t>
  </si>
  <si>
    <t>J Biochem Mol Toxicol</t>
  </si>
  <si>
    <t>Continues: Journal of biochemical toxicology.</t>
  </si>
  <si>
    <t>Biochemistry#Molecular Biology#Toxicology</t>
  </si>
  <si>
    <t>0376600</t>
  </si>
  <si>
    <t>Journal of biochemistry</t>
  </si>
  <si>
    <t>JOURNAL OF BIOCHEMISTRY</t>
  </si>
  <si>
    <t>J Biochem</t>
  </si>
  <si>
    <t>0425742</t>
  </si>
  <si>
    <t>The Journal of biocommunication</t>
  </si>
  <si>
    <t>JOURNAL OF BIOCOMMUNICATION</t>
  </si>
  <si>
    <t>J Biocommun</t>
  </si>
  <si>
    <t>Absorbed: Journal of biological photography. 2000</t>
  </si>
  <si>
    <t>19364563</t>
  </si>
  <si>
    <t>00942499</t>
  </si>
  <si>
    <t>Journal of Biocommunication, Inc.</t>
  </si>
  <si>
    <t>Annual, 2004-</t>
  </si>
  <si>
    <t>7701859</t>
  </si>
  <si>
    <t>Journal of bioenergetics and biomembranes</t>
  </si>
  <si>
    <t>JOURNAL OF BIOENERGETICS AND BIOMEMBRANES</t>
  </si>
  <si>
    <t>J Bioenerg Biomembr</t>
  </si>
  <si>
    <t>101250741</t>
  </si>
  <si>
    <t>Journal of bioethical inquiry</t>
  </si>
  <si>
    <t>JOURNAL OF BIOETHICAL INQUIRY</t>
  </si>
  <si>
    <t>J Bioeth Inq</t>
  </si>
  <si>
    <t>Continues: New Zealand bioethics journal.</t>
  </si>
  <si>
    <t>11767529</t>
  </si>
  <si>
    <t>101187344</t>
  </si>
  <si>
    <t>Journal of bioinformatics and computational biology</t>
  </si>
  <si>
    <t>JOURNAL OF BIOINFORMATICS AND COMPUTATIONAL BIOLOGY</t>
  </si>
  <si>
    <t>J Bioinform Comput Biol</t>
  </si>
  <si>
    <t>02197200</t>
  </si>
  <si>
    <t>2985121R</t>
  </si>
  <si>
    <t>The Journal of biological chemistry</t>
  </si>
  <si>
    <t>JOURNAL OF BIOLOGICAL CHEMISTRY</t>
  </si>
  <si>
    <t>J Biol Chem</t>
  </si>
  <si>
    <t>American Society for Biochemistry and Molecular Biology</t>
  </si>
  <si>
    <t>Weekly, 1994-</t>
  </si>
  <si>
    <t>101299725</t>
  </si>
  <si>
    <t>Journal of biological dynamics</t>
  </si>
  <si>
    <t>JOURNAL OF BIOLOGICAL DYNAMICS</t>
  </si>
  <si>
    <t>J Biol Dyn</t>
  </si>
  <si>
    <t>17513766</t>
  </si>
  <si>
    <t>17513758</t>
  </si>
  <si>
    <t>9616326</t>
  </si>
  <si>
    <t>Journal of biological inorganic chemistry : JBIC : a publication of the Society of Biological Inorganic Chemistry</t>
  </si>
  <si>
    <t>JOURNAL OF BIOLOGICAL INORGANIC CHEMISTRY : JBIC : A PUBLICATION OF THE SOCIETY OF BIOLOGICAL INORGANIC CHEMISTRY</t>
  </si>
  <si>
    <t>J Biol Inorg Chem</t>
  </si>
  <si>
    <t>0417731</t>
  </si>
  <si>
    <t>Journal of biological physics</t>
  </si>
  <si>
    <t>JOURNAL OF BIOLOGICAL PHYSICS</t>
  </si>
  <si>
    <t>J Biol Phys</t>
  </si>
  <si>
    <t>8809253</t>
  </si>
  <si>
    <t>Journal of biological regulators and homeostatic agents</t>
  </si>
  <si>
    <t>JOURNAL OF BIOLOGICAL REGULATORS AND HOMEOSTATIC AGENTS</t>
  </si>
  <si>
    <t>J Biol Regul Homeost Agents</t>
  </si>
  <si>
    <t>8700115</t>
  </si>
  <si>
    <t>Journal of biological rhythms</t>
  </si>
  <si>
    <t>JOURNAL OF BIOLOGICAL RHYTHMS</t>
  </si>
  <si>
    <t>J Biol Rhythms</t>
  </si>
  <si>
    <t>15524531</t>
  </si>
  <si>
    <t>07487304</t>
  </si>
  <si>
    <t>8813912</t>
  </si>
  <si>
    <t>Journal of biomaterials applications</t>
  </si>
  <si>
    <t>JOURNAL OF BIOMATERIALS APPLICATIONS</t>
  </si>
  <si>
    <t>J Biomater Appl</t>
  </si>
  <si>
    <t>9007393</t>
  </si>
  <si>
    <t>Journal of biomaterials science. Polymer edition</t>
  </si>
  <si>
    <t>JOURNAL OF BIOMATERIALS SCIENCE. POLYMER EDITION</t>
  </si>
  <si>
    <t>J Biomater Sci Polym Ed</t>
  </si>
  <si>
    <t>Eighteen no. a year, 2011-</t>
  </si>
  <si>
    <t>7909584</t>
  </si>
  <si>
    <t>Journal of biomechanical engineering</t>
  </si>
  <si>
    <t>JOURNAL OF BIOMECHANICAL ENGINEERING</t>
  </si>
  <si>
    <t>J Biomech Eng</t>
  </si>
  <si>
    <t>American Society Of Mechanical Engineers</t>
  </si>
  <si>
    <t>0157375</t>
  </si>
  <si>
    <t>Journal of biomechanics</t>
  </si>
  <si>
    <t>JOURNAL OF BIOMECHANICS</t>
  </si>
  <si>
    <t>J Biomech</t>
  </si>
  <si>
    <t>100970413</t>
  </si>
  <si>
    <t>Journal of biomedical informatics</t>
  </si>
  <si>
    <t>JOURNAL OF BIOMEDICAL INFORMATICS</t>
  </si>
  <si>
    <t>J Biomed Inform</t>
  </si>
  <si>
    <t>Continues: Computers and biomedical research.</t>
  </si>
  <si>
    <t>15320480</t>
  </si>
  <si>
    <t>101234237</t>
  </si>
  <si>
    <t>Journal of biomedical materials research. Part A</t>
  </si>
  <si>
    <t>JOURNAL OF BIOMEDICAL MATERIALS RESEARCH. PART A</t>
  </si>
  <si>
    <t>J Biomed Mater Res A</t>
  </si>
  <si>
    <t>Continues in part: Journal of biomedical materials research.</t>
  </si>
  <si>
    <t>Twenty four times a year &lt;2004-</t>
  </si>
  <si>
    <t>101234238</t>
  </si>
  <si>
    <t>Journal of biomedical materials research. Part B, Applied biomaterials</t>
  </si>
  <si>
    <t>JOURNAL OF BIOMEDICAL MATERIALS RESEARCH. PART B, APPLIED BIOMATERIALS</t>
  </si>
  <si>
    <t>J Biomed Mater Res B Appl Biomater</t>
  </si>
  <si>
    <t>101230869</t>
  </si>
  <si>
    <t>Journal of biomedical nanotechnology</t>
  </si>
  <si>
    <t>JOURNAL OF BIOMEDICAL NANOTECHNOLOGY</t>
  </si>
  <si>
    <t>J Biomed Nanotechnol</t>
  </si>
  <si>
    <t>9605853</t>
  </si>
  <si>
    <t>Journal of biomedical optics</t>
  </si>
  <si>
    <t>JOURNAL OF BIOMEDICAL OPTICS</t>
  </si>
  <si>
    <t>J Biomed Opt</t>
  </si>
  <si>
    <t>15602281</t>
  </si>
  <si>
    <t>10833668</t>
  </si>
  <si>
    <t>Published by SPIE--the International Society for Optical Engineering in cooperation with International Biomedical Optics Society</t>
  </si>
  <si>
    <t>Biomedical Engineering#Ophthalmology</t>
  </si>
  <si>
    <t>9421567</t>
  </si>
  <si>
    <t>Journal of biomedical science</t>
  </si>
  <si>
    <t>JOURNAL OF BIOMEDICAL SCIENCE</t>
  </si>
  <si>
    <t>J Biomed Sci</t>
  </si>
  <si>
    <t>9110829</t>
  </si>
  <si>
    <t>Journal of biomolecular NMR</t>
  </si>
  <si>
    <t>JOURNAL OF BIOMOLECULAR NMR</t>
  </si>
  <si>
    <t>J Biomol NMR</t>
  </si>
  <si>
    <t>9612112</t>
  </si>
  <si>
    <t>Journal of biomolecular screening</t>
  </si>
  <si>
    <t>JOURNAL OF BIOMOLECULAR SCREENING</t>
  </si>
  <si>
    <t>J Biomol Screen</t>
  </si>
  <si>
    <t>Ten no. a year, 2008-</t>
  </si>
  <si>
    <t>8404176</t>
  </si>
  <si>
    <t>Journal of biomolecular structure &amp; dynamics</t>
  </si>
  <si>
    <t>JOURNAL OF BIOMOLECULAR STRUCTURE &amp; DYNAMICS</t>
  </si>
  <si>
    <t>J Biomol Struct Dyn</t>
  </si>
  <si>
    <t>12 issues a year, 2013-</t>
  </si>
  <si>
    <t>100888641</t>
  </si>
  <si>
    <t>Journal of biomolecular techniques : JBT</t>
  </si>
  <si>
    <t>JOURNAL OF BIOMOLECULAR TECHNIQUES : JBT</t>
  </si>
  <si>
    <t>J Biomol Tech</t>
  </si>
  <si>
    <t>Absorbed: ABRF news.</t>
  </si>
  <si>
    <t>9200436</t>
  </si>
  <si>
    <t>Journal of biopharmaceutical statistics</t>
  </si>
  <si>
    <t>JOURNAL OF BIOPHARMACEUTICAL STATISTICS</t>
  </si>
  <si>
    <t>J Biopharm Stat</t>
  </si>
  <si>
    <t>Four no. a year, &lt;1999-&gt;</t>
  </si>
  <si>
    <t>Pharmacology#Statistics as Topic</t>
  </si>
  <si>
    <t>101318567</t>
  </si>
  <si>
    <t>Journal of biophotonics</t>
  </si>
  <si>
    <t>JOURNAL OF BIOPHOTONICS</t>
  </si>
  <si>
    <t>J Biophotonics</t>
  </si>
  <si>
    <t>18640648</t>
  </si>
  <si>
    <t>1864063X</t>
  </si>
  <si>
    <t>100888800</t>
  </si>
  <si>
    <t>Journal of bioscience and bioengineering</t>
  </si>
  <si>
    <t>JOURNAL OF BIOSCIENCE AND BIOENGINEERING</t>
  </si>
  <si>
    <t>J Biosci Bioeng</t>
  </si>
  <si>
    <t>Continues: Journal of fermentation and bioengineering.</t>
  </si>
  <si>
    <t>Society for Bioscience and Bioengineering, Japan</t>
  </si>
  <si>
    <t>Biomedical Engineering#Microbiology</t>
  </si>
  <si>
    <t>8100809</t>
  </si>
  <si>
    <t>Journal of biosciences</t>
  </si>
  <si>
    <t>JOURNAL OF BIOSCIENCES</t>
  </si>
  <si>
    <t>J Biosci</t>
  </si>
  <si>
    <t>Continues: Proceedings. Experimental Biology Section. Absorbed in June 1991: Proceeding. Plant sciences; and: Proceeding. Animal scienc</t>
  </si>
  <si>
    <t>Springer India, in co-publication with Indian Academy of Sciences</t>
  </si>
  <si>
    <t>0177346</t>
  </si>
  <si>
    <t>Journal of biosocial science</t>
  </si>
  <si>
    <t>JOURNAL OF BIOSOCIAL SCIENCE</t>
  </si>
  <si>
    <t>J Biosoc Sci</t>
  </si>
  <si>
    <t>14697599</t>
  </si>
  <si>
    <t>00219320</t>
  </si>
  <si>
    <t>8411927</t>
  </si>
  <si>
    <t>Journal of biotechnology</t>
  </si>
  <si>
    <t>JOURNAL OF BIOTECHNOLOGY</t>
  </si>
  <si>
    <t>J Biotechnol</t>
  </si>
  <si>
    <t>24 no. a year, &lt;1999-&gt;</t>
  </si>
  <si>
    <t>9700068</t>
  </si>
  <si>
    <t>Journal of bodywork and movement therapies</t>
  </si>
  <si>
    <t>JOURNAL OF BODYWORK AND MOVEMENT THERAPIES</t>
  </si>
  <si>
    <t>J Bodyw Mov Ther</t>
  </si>
  <si>
    <t>Physical and Rehabilitation Medicine#Therapeutics</t>
  </si>
  <si>
    <t>0014030</t>
  </si>
  <si>
    <t>The Journal of bone and joint surgery. American volume</t>
  </si>
  <si>
    <t>JOURNAL OF BONE AND JOINT SURGERY. AMERICAN VOLUME</t>
  </si>
  <si>
    <t>J Bone Joint Surg Am</t>
  </si>
  <si>
    <t>Includes a section, 1962-69, issued separately in other years as: American Academy of Orthopaedic Surgeons. Instructional course lectures. Continues in part: Journal of bone and joint surgery.</t>
  </si>
  <si>
    <t>Journal of Bone and Joint Surgery</t>
  </si>
  <si>
    <t>Semimonthly, 2011-</t>
  </si>
  <si>
    <t>9436705</t>
  </si>
  <si>
    <t>Journal of bone and mineral metabolism</t>
  </si>
  <si>
    <t>JOURNAL OF BONE AND MINERAL METABOLISM</t>
  </si>
  <si>
    <t>J Bone Miner Metab</t>
  </si>
  <si>
    <t>Continues in part: Nihon Kotsu Taisha Gakkai zasshi. Absorbed: Nihon Kotsu Keisoku Gakkai zasshi.</t>
  </si>
  <si>
    <t>Japanese Society of Bone and Mineral Metabolism</t>
  </si>
  <si>
    <t>6 no. a year, 2000-</t>
  </si>
  <si>
    <t>8610640</t>
  </si>
  <si>
    <t>Journal of bone and mineral research : the official journal of the American Society for Bone and Mineral Research</t>
  </si>
  <si>
    <t>JOURNAL OF BONE AND MINERAL RESEARCH : THE OFFICIAL JOURNAL OF THE AMERICAN SOCIETY FOR BONE AND MINERAL RESEARCH</t>
  </si>
  <si>
    <t>J Bone Miner Res</t>
  </si>
  <si>
    <t>American Society for Bone and Mineral Research</t>
  </si>
  <si>
    <t>Monthly, &lt;Apr. 1990-&gt;</t>
  </si>
  <si>
    <t>101463871</t>
  </si>
  <si>
    <t>Journal of breath research</t>
  </si>
  <si>
    <t>JOURNAL OF BREATH RESEARCH</t>
  </si>
  <si>
    <t>J Breath Res</t>
  </si>
  <si>
    <t>101496866</t>
  </si>
  <si>
    <t>Journal of bronchology &amp; interventional pulmonology</t>
  </si>
  <si>
    <t>JOURNAL OF BRONCHOLOGY &amp; INTERVENTIONAL PULMONOLOGY</t>
  </si>
  <si>
    <t>J Bronchology Interv Pulmonol</t>
  </si>
  <si>
    <t>Continues: Journal of bronchology.</t>
  </si>
  <si>
    <t>Wolters Kluwer Health/Lippincott Williams &amp; Wilkins</t>
  </si>
  <si>
    <t>101262774</t>
  </si>
  <si>
    <t>Journal of burn care &amp; research : official publication of the American Burn Association</t>
  </si>
  <si>
    <t>JOURNAL OF BURN CARE &amp; RESEARCH : OFFICIAL PUBLICATION OF THE AMERICAN BURN ASSOCIATION</t>
  </si>
  <si>
    <t>J Burn Care Res</t>
  </si>
  <si>
    <t>Continues: Journal of burn care &amp; rehabilitation.</t>
  </si>
  <si>
    <t>101509784</t>
  </si>
  <si>
    <t>Journal of business continuity &amp; emergency planning</t>
  </si>
  <si>
    <t>JOURNAL OF BUSINESS CONTINUITY &amp; EMERGENCY PLANNING</t>
  </si>
  <si>
    <t>J Bus Contin Emer Plan</t>
  </si>
  <si>
    <t>17499224</t>
  </si>
  <si>
    <t>17499216</t>
  </si>
  <si>
    <t>Henry Stewart Publications</t>
  </si>
  <si>
    <t>8610343</t>
  </si>
  <si>
    <t>Journal of cancer education : the official journal of the American Association for Cancer Education</t>
  </si>
  <si>
    <t>JOURNAL OF CANCER EDUCATION : THE OFFICIAL JOURNAL OF THE AMERICAN ASSOCIATION FOR CANCER EDUCATION</t>
  </si>
  <si>
    <t>J Cancer Educ</t>
  </si>
  <si>
    <t>15430154</t>
  </si>
  <si>
    <t>08858195</t>
  </si>
  <si>
    <t>Education#Neoplasms</t>
  </si>
  <si>
    <t>7902060</t>
  </si>
  <si>
    <t>Journal of cancer research and clinical oncology</t>
  </si>
  <si>
    <t>JOURNAL OF CANCER RESEARCH AND CLINICAL ONCOLOGY</t>
  </si>
  <si>
    <t>J Cancer Res Clin Oncol</t>
  </si>
  <si>
    <t>101249598</t>
  </si>
  <si>
    <t>Journal of cancer research and therapeutics</t>
  </si>
  <si>
    <t>JOURNAL OF CANCER RESEARCH AND THERAPEUTICS</t>
  </si>
  <si>
    <t>J Cancer Res Ther</t>
  </si>
  <si>
    <t>101307557</t>
  </si>
  <si>
    <t>Journal of cancer survivorship : research and practice</t>
  </si>
  <si>
    <t>JOURNAL OF CANCER SURVIVORSHIP : RESEARCH AND PRACTICE</t>
  </si>
  <si>
    <t>J Cancer Surviv</t>
  </si>
  <si>
    <t>19322267</t>
  </si>
  <si>
    <t>19322259</t>
  </si>
  <si>
    <t>101294946</t>
  </si>
  <si>
    <t>Journal of capillary electrophoresis and microchip technology</t>
  </si>
  <si>
    <t>JOURNAL OF CAPILLARY ELECTROPHORESIS AND MICROCHIP TECHNOLOGY</t>
  </si>
  <si>
    <t>J Capill Electrophor Microchip Technol</t>
  </si>
  <si>
    <t>Continues: Journal of capillary electrophoresis.</t>
  </si>
  <si>
    <t>19464940</t>
  </si>
  <si>
    <t>ISC Technical Publications</t>
  </si>
  <si>
    <t>Chemistry Techniques, Analytical#Technology</t>
  </si>
  <si>
    <t>9442138</t>
  </si>
  <si>
    <t>Journal of cardiac failure</t>
  </si>
  <si>
    <t>JOURNAL OF CARDIAC FAILURE</t>
  </si>
  <si>
    <t>J Card Fail</t>
  </si>
  <si>
    <t>8908809</t>
  </si>
  <si>
    <t>Journal of cardiac surgery</t>
  </si>
  <si>
    <t>JOURNAL OF CARDIAC SURGERY</t>
  </si>
  <si>
    <t>J Card Surg</t>
  </si>
  <si>
    <t>8804703</t>
  </si>
  <si>
    <t>Journal of cardiology</t>
  </si>
  <si>
    <t>JOURNAL OF CARDIOLOGY</t>
  </si>
  <si>
    <t>J Cardiol</t>
  </si>
  <si>
    <t>Supplement to v. for 1987-1994? have its own numbering system and was cataloged separately; supplement to v. for 1995?- included in the numbering of the journal.</t>
  </si>
  <si>
    <t>Semimonthly, 2008-</t>
  </si>
  <si>
    <t>101291247</t>
  </si>
  <si>
    <t>Journal of cardiopulmonary rehabilitation and prevention</t>
  </si>
  <si>
    <t>JOURNAL OF CARDIOPULMONARY REHABILITATION AND PREVENTION</t>
  </si>
  <si>
    <t>J Cardiopulm Rehabil Prev</t>
  </si>
  <si>
    <t>Continues: Journal of cardiopulmonary rehabilitation.</t>
  </si>
  <si>
    <t>Cardiology#Physical and Rehabilitation Medicine#Pulmonary Medicine</t>
  </si>
  <si>
    <t>9110208</t>
  </si>
  <si>
    <t>Journal of cardiothoracic and vascular anesthesia</t>
  </si>
  <si>
    <t>JOURNAL OF CARDIOTHORACIC AND VASCULAR ANESTHESIA</t>
  </si>
  <si>
    <t>J Cardiothorac Vasc Anesth</t>
  </si>
  <si>
    <t>Continues: Journal of cardiothoracic anesthesia.</t>
  </si>
  <si>
    <t>Anesthesiology#Cardiology#Pulmonary Medicine</t>
  </si>
  <si>
    <t>101265113</t>
  </si>
  <si>
    <t>Journal of cardiothoracic surgery</t>
  </si>
  <si>
    <t>JOURNAL OF CARDIOTHORACIC SURGERY</t>
  </si>
  <si>
    <t>J Cardiothorac Surg</t>
  </si>
  <si>
    <t>17498090</t>
  </si>
  <si>
    <t>101308347</t>
  </si>
  <si>
    <t>Journal of cardiovascular computed tomography</t>
  </si>
  <si>
    <t>JOURNAL OF CARDIOVASCULAR COMPUTED TOMOGRAPHY</t>
  </si>
  <si>
    <t>J Cardiovasc Comput Tomogr</t>
  </si>
  <si>
    <t>9010756</t>
  </si>
  <si>
    <t>Journal of cardiovascular electrophysiology</t>
  </si>
  <si>
    <t>JOURNAL OF CARDIOVASCULAR ELECTROPHYSIOLOGY</t>
  </si>
  <si>
    <t>J Cardiovasc Electrophysiol</t>
  </si>
  <si>
    <t>Continues: Journal of electrophysiology.</t>
  </si>
  <si>
    <t>Monthly, &lt;1998-&gt;</t>
  </si>
  <si>
    <t>Cardiology#Physiology#Vascular Diseases</t>
  </si>
  <si>
    <t>9815616</t>
  </si>
  <si>
    <t>Journal of cardiovascular magnetic resonance : official journal of the Society for Cardiovascular Magnetic Resonance</t>
  </si>
  <si>
    <t>JOURNAL OF CARDIOVASCULAR MAGNETIC RESONANCE : OFFICIAL JOURNAL OF THE SOCIETY FOR CARDIOVASCULAR MAGNETIC RESONANCE</t>
  </si>
  <si>
    <t>J Cardiovasc Magn Reson</t>
  </si>
  <si>
    <t>Absorbed: Critical reviews in computed tomography.</t>
  </si>
  <si>
    <t>101259752</t>
  </si>
  <si>
    <t>Journal of cardiovascular medicine (Hagerstown, Md.)</t>
  </si>
  <si>
    <t>JOURNAL OF CARDIOVASCULAR MEDICINE (HAGERSTOWN, MD.)</t>
  </si>
  <si>
    <t>J Cardiovasc Med (Hagerstown)</t>
  </si>
  <si>
    <t>Continues: Italian heart journal.</t>
  </si>
  <si>
    <t>8703516</t>
  </si>
  <si>
    <t>The Journal of cardiovascular nursing</t>
  </si>
  <si>
    <t>JOURNAL OF CARDIOVASCULAR NURSING</t>
  </si>
  <si>
    <t>J Cardiovasc Nurs</t>
  </si>
  <si>
    <t>15505049</t>
  </si>
  <si>
    <t>08894655</t>
  </si>
  <si>
    <t>7902492</t>
  </si>
  <si>
    <t>Journal of cardiovascular pharmacology</t>
  </si>
  <si>
    <t>JOURNAL OF CARDIOVASCULAR PHARMACOLOGY</t>
  </si>
  <si>
    <t>J Cardiovasc Pharmacol</t>
  </si>
  <si>
    <t>Cardiology#Pharmacology</t>
  </si>
  <si>
    <t>9602617</t>
  </si>
  <si>
    <t>Journal of cardiovascular pharmacology and therapeutics</t>
  </si>
  <si>
    <t>JOURNAL OF CARDIOVASCULAR PHARMACOLOGY AND THERAPEUTICS</t>
  </si>
  <si>
    <t>J Cardiovasc Pharmacol Ther</t>
  </si>
  <si>
    <t>Cardiology#Pharmacology#Vascular Diseases</t>
  </si>
  <si>
    <t>0066127</t>
  </si>
  <si>
    <t>The Journal of cardiovascular surgery</t>
  </si>
  <si>
    <t>JOURNAL OF CARDIOVASCULAR SURGERY</t>
  </si>
  <si>
    <t>J Cardiovasc Surg (Torino)</t>
  </si>
  <si>
    <t>101468585</t>
  </si>
  <si>
    <t>Journal of cardiovascular translational research</t>
  </si>
  <si>
    <t>JOURNAL OF CARDIOVASCULAR TRANSLATIONAL RESEARCH</t>
  </si>
  <si>
    <t>J Cardiovasc Transl Res</t>
  </si>
  <si>
    <t>8604171</t>
  </si>
  <si>
    <t>Journal of cataract and refractive surgery</t>
  </si>
  <si>
    <t>JOURNAL OF CATARACT AND REFRACTIVE SURGERY</t>
  </si>
  <si>
    <t>J Cataract Refract Surg</t>
  </si>
  <si>
    <t>Absorbed: European journal of implant and refractive surgery. 1996 Continues: JJournal (American Intra-Ocular Implant Society).</t>
  </si>
  <si>
    <t>0375356</t>
  </si>
  <si>
    <t>The Journal of cell biology</t>
  </si>
  <si>
    <t>JOURNAL OF CELL BIOLOGY</t>
  </si>
  <si>
    <t>J Cell Biol</t>
  </si>
  <si>
    <t>Continues: Journal of biophysical and biochemical cytology.</t>
  </si>
  <si>
    <t>Biweekly, 1997-</t>
  </si>
  <si>
    <t>0052457</t>
  </si>
  <si>
    <t>Journal of cell science</t>
  </si>
  <si>
    <t>JOURNAL OF CELL SCIENCE</t>
  </si>
  <si>
    <t>J Cell Sci</t>
  </si>
  <si>
    <t>Supersedes the Quarterly journal of microscopical science.</t>
  </si>
  <si>
    <t>Company of Biologists</t>
  </si>
  <si>
    <t>Twenty four no. a year, 1997-</t>
  </si>
  <si>
    <t>101083777</t>
  </si>
  <si>
    <t>Journal of cellular and molecular medicine</t>
  </si>
  <si>
    <t>JOURNAL OF CELLULAR AND MOLECULAR MEDICINE</t>
  </si>
  <si>
    <t>J Cell Mol Med</t>
  </si>
  <si>
    <t>Continues: Journal of medicine and biochemistry.</t>
  </si>
  <si>
    <t>15824934</t>
  </si>
  <si>
    <t>15821838</t>
  </si>
  <si>
    <t>8205768</t>
  </si>
  <si>
    <t>Journal of cellular biochemistry</t>
  </si>
  <si>
    <t>JOURNAL OF CELLULAR BIOCHEMISTRY</t>
  </si>
  <si>
    <t>J Cell Biochem</t>
  </si>
  <si>
    <t>Continues: Journal of supramolecular structure and cellular biochemistry.</t>
  </si>
  <si>
    <t>0050222</t>
  </si>
  <si>
    <t>Journal of cellular physiology</t>
  </si>
  <si>
    <t>JOURNAL OF CELLULAR PHYSIOLOGY</t>
  </si>
  <si>
    <t>J Cell Physiol</t>
  </si>
  <si>
    <t>Continues: Journal of cellular and comparative physiology.</t>
  </si>
  <si>
    <t>8112566</t>
  </si>
  <si>
    <t>Journal of cerebral blood flow and metabolism : official journal of the International Society of Cerebral Blood Flow and Metabolism</t>
  </si>
  <si>
    <t>JOURNAL OF CEREBRAL BLOOD FLOW AND METABOLISM : OFFICIAL JOURNAL OF THE INTERNATIONAL SOCIETY OF CEREBRAL BLOOD FLOW AND METABOLISM</t>
  </si>
  <si>
    <t>J Cereb Blood Flow Metab</t>
  </si>
  <si>
    <t>Brain#Metabolism#Vascular Diseases</t>
  </si>
  <si>
    <t>7505563</t>
  </si>
  <si>
    <t>Journal of chemical ecology</t>
  </si>
  <si>
    <t>JOURNAL OF CHEMICAL ECOLOGY</t>
  </si>
  <si>
    <t>J Chem Ecol</t>
  </si>
  <si>
    <t>15731561</t>
  </si>
  <si>
    <t>00980331</t>
  </si>
  <si>
    <t>101230060</t>
  </si>
  <si>
    <t>Journal of chemical information and modeling</t>
  </si>
  <si>
    <t>JOURNAL OF CHEMICAL INFORMATION AND MODELING</t>
  </si>
  <si>
    <t>J Chem Inf Model</t>
  </si>
  <si>
    <t>Continues: Journal of chemical information and computer sciences.</t>
  </si>
  <si>
    <t>1549960X</t>
  </si>
  <si>
    <t>15499596</t>
  </si>
  <si>
    <t>Chemistry#Medical Informatics</t>
  </si>
  <si>
    <t>8902615</t>
  </si>
  <si>
    <t>Journal of chemical neuroanatomy</t>
  </si>
  <si>
    <t>JOURNAL OF CHEMICAL NEUROANATOMY</t>
  </si>
  <si>
    <t>J Chem Neuroanat</t>
  </si>
  <si>
    <t>Elsevier Science Publisher</t>
  </si>
  <si>
    <t>Anatomy#Chemistry#Neurology</t>
  </si>
  <si>
    <t>0375360</t>
  </si>
  <si>
    <t>The Journal of chemical physics</t>
  </si>
  <si>
    <t>JOURNAL OF CHEMICAL PHYSICS</t>
  </si>
  <si>
    <t>J Chem Phys</t>
  </si>
  <si>
    <t>10897690</t>
  </si>
  <si>
    <t>00219606</t>
  </si>
  <si>
    <t>8907348</t>
  </si>
  <si>
    <t>Journal of chemotherapy (Florence, Italy)</t>
  </si>
  <si>
    <t>JOURNAL OF CHEMOTHERAPY (FLORENCE, ITALY)</t>
  </si>
  <si>
    <t>J Chemother</t>
  </si>
  <si>
    <t>9431738</t>
  </si>
  <si>
    <t>Journal of child and adolescent psychiatric nursing : official publication of the Association of Child and Adolescent Psychiatric Nurses, Inc</t>
  </si>
  <si>
    <t>JOURNAL OF CHILD AND ADOLESCENT PSYCHIATRIC NURSING : OFFICIAL PUBLICATION OF THE ASSOCIATION OF CHILD AND ADOLESCENT PSYCHIATRIC NURSES, INC</t>
  </si>
  <si>
    <t>J Child Adolesc Psychiatr Nurs</t>
  </si>
  <si>
    <t>Continues: Journal of child and adolescent psychiatric and mental health nursing.</t>
  </si>
  <si>
    <t>17446171</t>
  </si>
  <si>
    <t>10736077</t>
  </si>
  <si>
    <t>Nursing#Pediatrics#Psychiatry</t>
  </si>
  <si>
    <t>9105358</t>
  </si>
  <si>
    <t>Journal of child and adolescent psychopharmacology</t>
  </si>
  <si>
    <t>JOURNAL OF CHILD AND ADOLESCENT PSYCHOPHARMACOLOGY</t>
  </si>
  <si>
    <t>J Child Adolesc Psychopharmacol</t>
  </si>
  <si>
    <t>Pediatrics#Psychopharmacology</t>
  </si>
  <si>
    <t>9806360</t>
  </si>
  <si>
    <t>Journal of child health care : for professionals working with children in the hospital and community</t>
  </si>
  <si>
    <t>JOURNAL OF CHILD HEALTH CARE : FOR PROFESSIONALS WORKING WITH CHILDREN IN THE HOSPITAL AND COMMUNITY</t>
  </si>
  <si>
    <t>J Child Health Care</t>
  </si>
  <si>
    <t>17412889</t>
  </si>
  <si>
    <t>13674935</t>
  </si>
  <si>
    <t>0425743</t>
  </si>
  <si>
    <t>Journal of child language</t>
  </si>
  <si>
    <t>JOURNAL OF CHILD LANGUAGE</t>
  </si>
  <si>
    <t>J Child Lang</t>
  </si>
  <si>
    <t>14697602</t>
  </si>
  <si>
    <t>03050009</t>
  </si>
  <si>
    <t>Five no. a year 2009-</t>
  </si>
  <si>
    <t>8606714</t>
  </si>
  <si>
    <t>Journal of child neurology</t>
  </si>
  <si>
    <t>JOURNAL OF CHILD NEUROLOGY</t>
  </si>
  <si>
    <t>J Child Neurol</t>
  </si>
  <si>
    <t>0375361</t>
  </si>
  <si>
    <t>Journal of child psychology and psychiatry, and allied disciplines</t>
  </si>
  <si>
    <t>JOURNAL OF CHILD PSYCHOLOGY AND PSYCHIATRY, AND ALLIED DISCIPLINES</t>
  </si>
  <si>
    <t>J Child Psychol Psychiatry</t>
  </si>
  <si>
    <t>14697610</t>
  </si>
  <si>
    <t>00219630</t>
  </si>
  <si>
    <t>9301157</t>
  </si>
  <si>
    <t>Journal of child sexual abuse</t>
  </si>
  <si>
    <t>JOURNAL OF CHILD SEXUAL ABUSE</t>
  </si>
  <si>
    <t>J Child Sex Abus</t>
  </si>
  <si>
    <t>15470679</t>
  </si>
  <si>
    <t>10538712</t>
  </si>
  <si>
    <t>8411743</t>
  </si>
  <si>
    <t>Journal of Christian nursing : a quarterly publication of Nurses Christian Fellowship</t>
  </si>
  <si>
    <t>JOURNAL OF CHRISTIAN NURSING : A QUARTERLY PUBLICATION OF NURSES CHRISTIAN FELLOWSHIP</t>
  </si>
  <si>
    <t>J Christ Nurs</t>
  </si>
  <si>
    <t>07432550</t>
  </si>
  <si>
    <t>Nurses Christian Fellowship</t>
  </si>
  <si>
    <t>0173225</t>
  </si>
  <si>
    <t>Journal of chromatographic science</t>
  </si>
  <si>
    <t>JOURNAL OF CHROMATOGRAPHIC SCIENCE</t>
  </si>
  <si>
    <t>J Chromatogr Sci</t>
  </si>
  <si>
    <t>1945239X</t>
  </si>
  <si>
    <t>00219665</t>
  </si>
  <si>
    <t>9318488</t>
  </si>
  <si>
    <t>Journal of chromatography. A</t>
  </si>
  <si>
    <t>JOURNAL OF CHROMATOGRAPHY. A</t>
  </si>
  <si>
    <t>J Chromatogr A</t>
  </si>
  <si>
    <t>Continues in part: Journal of chromatography.</t>
  </si>
  <si>
    <t>Seventy eight no. a year, 2005-</t>
  </si>
  <si>
    <t>101139554</t>
  </si>
  <si>
    <t>Journal of chromatography. B, Analytical technologies in the biomedical and life sciences</t>
  </si>
  <si>
    <t>JOURNAL OF CHROMATOGRAPHY. B, ANALYTICAL TECHNOLOGIES IN THE BIOMEDICAL AND LIFE SCIENCES</t>
  </si>
  <si>
    <t>J Chromatogr B Analyt Technol Biomed Life Sci</t>
  </si>
  <si>
    <t>Continues: Journal of chromatography. B, Biomedical sciences and applications.</t>
  </si>
  <si>
    <t>Semimonthly (except one issue in Sept.)</t>
  </si>
  <si>
    <t>Biomedical Engineering#Chemistry Techniques, Analytical</t>
  </si>
  <si>
    <t>7808987</t>
  </si>
  <si>
    <t>Journal of clinical &amp; laboratory immunology</t>
  </si>
  <si>
    <t>JOURNAL OF CLINICAL &amp; LABORATORY IMMUNOLOGY</t>
  </si>
  <si>
    <t>J Clin Lab Immunol</t>
  </si>
  <si>
    <t>01412760</t>
  </si>
  <si>
    <t>Teviot Scientific Publications</t>
  </si>
  <si>
    <t>101141257</t>
  </si>
  <si>
    <t>Journal of clinical and experimental hematopathology : JCEH</t>
  </si>
  <si>
    <t>JOURNAL OF CLINICAL AND EXPERIMENTAL HEMATOPATHOLOGY : JCEH</t>
  </si>
  <si>
    <t>J Clin Exp Hematop</t>
  </si>
  <si>
    <t>Continues in part: Nihon Rinpa Mōnaikei Gakkai kaishi.</t>
  </si>
  <si>
    <t>18809952</t>
  </si>
  <si>
    <t>13464280</t>
  </si>
  <si>
    <t>Nihon Rinpa Mōnaikei Gakkai</t>
  </si>
  <si>
    <t>Hematology#Pathology</t>
  </si>
  <si>
    <t>8502170</t>
  </si>
  <si>
    <t>Journal of clinical and experimental neuropsychology</t>
  </si>
  <si>
    <t>JOURNAL OF CLINICAL AND EXPERIMENTAL NEUROPSYCHOLOGY</t>
  </si>
  <si>
    <t>J Clin Exp Neuropsychol</t>
  </si>
  <si>
    <t>Continues: Journal of clinical neuropsychology.</t>
  </si>
  <si>
    <t>1744411X</t>
  </si>
  <si>
    <t>13803395</t>
  </si>
  <si>
    <t>Ten no. a year, 2010-</t>
  </si>
  <si>
    <t>8812166</t>
  </si>
  <si>
    <t>Journal of clinical anesthesia</t>
  </si>
  <si>
    <t>JOURNAL OF CLINICAL ANESTHESIA</t>
  </si>
  <si>
    <t>J Clin Anesth</t>
  </si>
  <si>
    <t>8216305</t>
  </si>
  <si>
    <t>Journal of clinical apheresis</t>
  </si>
  <si>
    <t>JOURNAL OF CLINICAL APHERESIS</t>
  </si>
  <si>
    <t>J Clin Apher</t>
  </si>
  <si>
    <t>101133858</t>
  </si>
  <si>
    <t>Journal of clinical child and adolescent psychology : the official journal for the Society of Clinical Child and Adolescent Psychology, American Psychological Association, Division 53</t>
  </si>
  <si>
    <t>JOURNAL OF CLINICAL CHILD AND ADOLESCENT PSYCHOLOGY : THE OFFICIAL JOURNAL FOR THE SOCIETY OF CLINICAL CHILD AND ADOLESCENT PSYCHOLOGY, AMERICAN PSYCHOLOGICAL ASSOCIATION, DIVISION 53</t>
  </si>
  <si>
    <t>J Clin Child Adolesc Psychol</t>
  </si>
  <si>
    <t>Continues: Journal of clinical child psychology.</t>
  </si>
  <si>
    <t>15374424</t>
  </si>
  <si>
    <t>15374416</t>
  </si>
  <si>
    <t>9808212</t>
  </si>
  <si>
    <t>Journal of clinical densitometry : the official journal of the International Society for Clinical Densitometry</t>
  </si>
  <si>
    <t>JOURNAL OF CLINICAL DENSITOMETRY : THE OFFICIAL JOURNAL OF THE INTERNATIONAL SOCIETY FOR CLINICAL DENSITOMETRY</t>
  </si>
  <si>
    <t>J Clin Densitom</t>
  </si>
  <si>
    <t>Clinical Laboratory Techniques#Metabolism#Orthopedics</t>
  </si>
  <si>
    <t>8904411</t>
  </si>
  <si>
    <t>The Journal of clinical dentistry</t>
  </si>
  <si>
    <t>JOURNAL OF CLINICAL DENTISTRY</t>
  </si>
  <si>
    <t>J Clin Dent</t>
  </si>
  <si>
    <t>08958831</t>
  </si>
  <si>
    <t>Professional Audience Communications</t>
  </si>
  <si>
    <t>0375362</t>
  </si>
  <si>
    <t>The Journal of clinical endocrinology and metabolism</t>
  </si>
  <si>
    <t>JOURNAL OF CLINICAL ENDOCRINOLOGY AND METABOLISM</t>
  </si>
  <si>
    <t>J Clin Endocrinol Metab</t>
  </si>
  <si>
    <t>8801383</t>
  </si>
  <si>
    <t>Journal of clinical epidemiology</t>
  </si>
  <si>
    <t>JOURNAL OF CLINICAL EPIDEMIOLOGY</t>
  </si>
  <si>
    <t>J Clin Epidemiol</t>
  </si>
  <si>
    <t>Continues: Journal of chronic diseases.</t>
  </si>
  <si>
    <t>9114645</t>
  </si>
  <si>
    <t>The Journal of clinical ethics</t>
  </si>
  <si>
    <t>JOURNAL OF CLINICAL ETHICS</t>
  </si>
  <si>
    <t>J Clin Ethics</t>
  </si>
  <si>
    <t>10467890</t>
  </si>
  <si>
    <t>University Publishing Group For The Journal Of Clinical Ethics, Inc</t>
  </si>
  <si>
    <t>7910017</t>
  </si>
  <si>
    <t>Journal of clinical gastroenterology</t>
  </si>
  <si>
    <t>JOURNAL OF CLINICAL GASTROENTEROLOGY</t>
  </si>
  <si>
    <t>J Clin Gastroenterol</t>
  </si>
  <si>
    <t>100888554</t>
  </si>
  <si>
    <t>Journal of clinical hypertension (Greenwich, Conn.)</t>
  </si>
  <si>
    <t>JOURNAL OF CLINICAL HYPERTENSION (GREENWICH, CONN.)</t>
  </si>
  <si>
    <t>J Clin Hypertens (Greenwich)</t>
  </si>
  <si>
    <t>Absorbed: Journal of the cardiometabolic syndrome.</t>
  </si>
  <si>
    <t>Wiley Periodicals Inc.</t>
  </si>
  <si>
    <t>8102137</t>
  </si>
  <si>
    <t>Journal of clinical immunology</t>
  </si>
  <si>
    <t>JOURNAL OF CLINICAL IMMUNOLOGY</t>
  </si>
  <si>
    <t>J Clin Immunol</t>
  </si>
  <si>
    <t>7802877</t>
  </si>
  <si>
    <t>The Journal of clinical investigation</t>
  </si>
  <si>
    <t>JOURNAL OF CLINICAL INVESTIGATION</t>
  </si>
  <si>
    <t>J Clin Invest</t>
  </si>
  <si>
    <t>Continued in part by: Clinical research.</t>
  </si>
  <si>
    <t>8801384</t>
  </si>
  <si>
    <t>Journal of clinical laboratory analysis</t>
  </si>
  <si>
    <t>JOURNAL OF CLINICAL LABORATORY ANALYSIS</t>
  </si>
  <si>
    <t>J Clin Lab Anal</t>
  </si>
  <si>
    <t>Absorbed: Diagnostic and clinical immunology in 1989.</t>
  </si>
  <si>
    <t>Wiley-Liss, Inc.</t>
  </si>
  <si>
    <t>101300157</t>
  </si>
  <si>
    <t>Journal of clinical lipidology</t>
  </si>
  <si>
    <t>JOURNAL OF CLINICAL LIPIDOLOGY</t>
  </si>
  <si>
    <t>J Clin Lipidol</t>
  </si>
  <si>
    <t>7505564</t>
  </si>
  <si>
    <t>Journal of clinical microbiology</t>
  </si>
  <si>
    <t>JOURNAL OF CLINICAL MICROBIOLOGY</t>
  </si>
  <si>
    <t>J Clin Microbiol</t>
  </si>
  <si>
    <t>9806357</t>
  </si>
  <si>
    <t>Journal of clinical monitoring and computing</t>
  </si>
  <si>
    <t>JOURNAL OF CLINICAL MONITORING AND COMPUTING</t>
  </si>
  <si>
    <t>J Clin Monit Comput</t>
  </si>
  <si>
    <t>Merger of: International journal of clinical monitoring and computing; and: Journal of clinical monitoring.</t>
  </si>
  <si>
    <t>Medical Informatics#Medicine</t>
  </si>
  <si>
    <t>100887391</t>
  </si>
  <si>
    <t>Journal of clinical neuromuscular disease</t>
  </si>
  <si>
    <t>JOURNAL OF CLINICAL NEUROMUSCULAR DISEASE</t>
  </si>
  <si>
    <t>J Clin Neuromuscul Dis</t>
  </si>
  <si>
    <t>8506708</t>
  </si>
  <si>
    <t>Journal of clinical neurophysiology : official publication of the American Electroencephalographic Society</t>
  </si>
  <si>
    <t>JOURNAL OF CLINICAL NEUROPHYSIOLOGY : OFFICIAL PUBLICATION OF THE AMERICAN ELECTROENCEPHALOGRAPHIC SOCIETY</t>
  </si>
  <si>
    <t>J Clin Neurophysiol</t>
  </si>
  <si>
    <t>Continues: Journal of the American EEG Society.</t>
  </si>
  <si>
    <t>9433352</t>
  </si>
  <si>
    <t>Journal of clinical neuroscience : official journal of the Neurosurgical Society of Australasia</t>
  </si>
  <si>
    <t>JOURNAL OF CLINICAL NEUROSCIENCE : OFFICIAL JOURNAL OF THE NEUROSURGICAL SOCIETY OF AUSTRALASIA</t>
  </si>
  <si>
    <t>J Clin Neurosci</t>
  </si>
  <si>
    <t>9207302</t>
  </si>
  <si>
    <t>Journal of clinical nursing</t>
  </si>
  <si>
    <t>JOURNAL OF CLINICAL NURSING</t>
  </si>
  <si>
    <t>J Clin Nurs</t>
  </si>
  <si>
    <t>Continued in part by: International journal of older people nursing.</t>
  </si>
  <si>
    <t>13652702</t>
  </si>
  <si>
    <t>09621067</t>
  </si>
  <si>
    <t>8309333</t>
  </si>
  <si>
    <t>Journal of clinical oncology : official journal of the American Society of Clinical Oncology</t>
  </si>
  <si>
    <t>JOURNAL OF CLINICAL ONCOLOGY : OFFICIAL JOURNAL OF THE AMERICAN SOCIETY OF CLINICAL ONCOLOGY</t>
  </si>
  <si>
    <t>J Clin Oncol</t>
  </si>
  <si>
    <t>Twenty-four no. a year</t>
  </si>
  <si>
    <t>0243471</t>
  </si>
  <si>
    <t>Journal of clinical orthodontics : JCO</t>
  </si>
  <si>
    <t>JOURNAL OF CLINICAL ORTHODONTICS : JCO</t>
  </si>
  <si>
    <t>J Clin Orthod</t>
  </si>
  <si>
    <t>Continues: JPO.</t>
  </si>
  <si>
    <t>00223875</t>
  </si>
  <si>
    <t>Journal of Clinical Orthodontics</t>
  </si>
  <si>
    <t>0376601</t>
  </si>
  <si>
    <t>Journal of clinical pathology</t>
  </si>
  <si>
    <t>JOURNAL OF CLINICAL PATHOLOGY</t>
  </si>
  <si>
    <t>J Clin Pathol</t>
  </si>
  <si>
    <t>9100079</t>
  </si>
  <si>
    <t>The Journal of clinical pediatric dentistry</t>
  </si>
  <si>
    <t>JOURNAL OF CLINICAL PEDIATRIC DENTISTRY</t>
  </si>
  <si>
    <t>J Clin Pediatr Dent</t>
  </si>
  <si>
    <t>Continues: Journal of pedodontics.</t>
  </si>
  <si>
    <t>15575268</t>
  </si>
  <si>
    <t>10534628</t>
  </si>
  <si>
    <t>Journal of Pedodontics, Inc.</t>
  </si>
  <si>
    <t>0425123</t>
  </si>
  <si>
    <t>Journal of clinical periodontology</t>
  </si>
  <si>
    <t>JOURNAL OF CLINICAL PERIODONTOLOGY</t>
  </si>
  <si>
    <t>J Clin Periodontol</t>
  </si>
  <si>
    <t>1600051X</t>
  </si>
  <si>
    <t>03036979</t>
  </si>
  <si>
    <t>0366372</t>
  </si>
  <si>
    <t>Journal of clinical pharmacology</t>
  </si>
  <si>
    <t>JOURNAL OF CLINICAL PHARMACOLOGY</t>
  </si>
  <si>
    <t>J Clin Pharmacol</t>
  </si>
  <si>
    <t>Continues: Journal of clinical pharmacology and new drugs.</t>
  </si>
  <si>
    <t>Monthly, 1987-</t>
  </si>
  <si>
    <t>8704308</t>
  </si>
  <si>
    <t>Journal of clinical pharmacy and therapeutics</t>
  </si>
  <si>
    <t>JOURNAL OF CLINICAL PHARMACY AND THERAPEUTICS</t>
  </si>
  <si>
    <t>J Clin Pharm Ther</t>
  </si>
  <si>
    <t>Continues: Journal of clinical and hospital pharmacy.</t>
  </si>
  <si>
    <t>Pharmacy#Therapeutics</t>
  </si>
  <si>
    <t>7801243</t>
  </si>
  <si>
    <t>The Journal of clinical psychiatry</t>
  </si>
  <si>
    <t>JOURNAL OF CLINICAL PSYCHIATRY</t>
  </si>
  <si>
    <t>J Clin Psychiatry</t>
  </si>
  <si>
    <t>Continues Diseases of the nervous system.</t>
  </si>
  <si>
    <t>15552101</t>
  </si>
  <si>
    <t>Physicians Postgraduate Press.</t>
  </si>
  <si>
    <t>0217132</t>
  </si>
  <si>
    <t>Journal of clinical psychology</t>
  </si>
  <si>
    <t>JOURNAL OF CLINICAL PSYCHOLOGY</t>
  </si>
  <si>
    <t>J Clin Psychol</t>
  </si>
  <si>
    <t>Supplemented by: Clinical psychology monographs, 1948; by: Journal of clinical psychology. Monograph supplement, 1948-1974; by: Archives of the behavioral sciences, 1975- With Mar. 1999, absorbed the publication: In session. Continued in part by: Journal of community psychology.</t>
  </si>
  <si>
    <t>10974679</t>
  </si>
  <si>
    <t>00219762</t>
  </si>
  <si>
    <t>9435680</t>
  </si>
  <si>
    <t>Journal of clinical psychology in medical settings</t>
  </si>
  <si>
    <t>JOURNAL OF CLINICAL PSYCHOLOGY IN MEDICAL SETTINGS</t>
  </si>
  <si>
    <t>J Clin Psychol Med Settings</t>
  </si>
  <si>
    <t>8109496</t>
  </si>
  <si>
    <t>Journal of clinical psychopharmacology</t>
  </si>
  <si>
    <t>JOURNAL OF CLINICAL PSYCHOPHARMACOLOGY</t>
  </si>
  <si>
    <t>J Clin Psychopharmacol</t>
  </si>
  <si>
    <t>101519456</t>
  </si>
  <si>
    <t>Journal of clinical research in pediatric endocrinology</t>
  </si>
  <si>
    <t>JOURNAL OF CLINICAL RESEARCH IN PEDIATRIC ENDOCRINOLOGY</t>
  </si>
  <si>
    <t>J Clin Res Pediatr Endocrinol</t>
  </si>
  <si>
    <t>Galenos Yayınevi</t>
  </si>
  <si>
    <t>9518034</t>
  </si>
  <si>
    <t>Journal of clinical rheumatology : practical reports on rheumatic &amp; musculoskeletal diseases</t>
  </si>
  <si>
    <t>JOURNAL OF CLINICAL RHEUMATOLOGY : PRACTICAL REPORTS ON RHEUMATIC &amp; MUSCULOSKELETAL DISEASES</t>
  </si>
  <si>
    <t>J Clin Rheumatol</t>
  </si>
  <si>
    <t>Orthopedics#Physiology#Rheumatology</t>
  </si>
  <si>
    <t>101231977</t>
  </si>
  <si>
    <t>Journal of clinical sleep medicine : JCSM : official publication of the American Academy of Sleep Medicine</t>
  </si>
  <si>
    <t>JOURNAL OF CLINICAL SLEEP MEDICINE : JCSM : OFFICIAL PUBLICATION OF THE AMERICAN ACADEMY OF SLEEP MEDICINE</t>
  </si>
  <si>
    <t>J Clin Sleep Med</t>
  </si>
  <si>
    <t>0401663</t>
  </si>
  <si>
    <t>Journal of clinical ultrasound : JCU</t>
  </si>
  <si>
    <t>JOURNAL OF CLINICAL ULTRASOUND : JCU</t>
  </si>
  <si>
    <t>J Clin Ultrasound</t>
  </si>
  <si>
    <t>10970096</t>
  </si>
  <si>
    <t>00912751</t>
  </si>
  <si>
    <t>Monthly, except bimonthly in Mar./Apr., July/Aug., Nov./Dec., &lt;2005-&gt;</t>
  </si>
  <si>
    <t>9815671</t>
  </si>
  <si>
    <t>Journal of clinical virology : the official publication of the Pan American Society for Clinical Virology</t>
  </si>
  <si>
    <t>JOURNAL OF CLINICAL VIROLOGY : THE OFFICIAL PUBLICATION OF THE PAN AMERICAN SOCIETY FOR CLINICAL VIROLOGY</t>
  </si>
  <si>
    <t>J Clin Virol</t>
  </si>
  <si>
    <t>Continues: Clinical and diagnostic virology.</t>
  </si>
  <si>
    <t>8910747</t>
  </si>
  <si>
    <t>Journal of cognitive neuroscience</t>
  </si>
  <si>
    <t>JOURNAL OF COGNITIVE NEUROSCIENCE</t>
  </si>
  <si>
    <t>J Cogn Neurosci</t>
  </si>
  <si>
    <t>Published by the MIT Press with the Cognitive Neuroscience Institute</t>
  </si>
  <si>
    <t>0043125</t>
  </si>
  <si>
    <t>Journal of colloid and interface science</t>
  </si>
  <si>
    <t>JOURNAL OF COLLOID AND INTERFACE SCIENCE</t>
  </si>
  <si>
    <t>J Colloid Interface Sci</t>
  </si>
  <si>
    <t>Continues Journal of colloid science.</t>
  </si>
  <si>
    <t>0261652</t>
  </si>
  <si>
    <t>The Journal of communicable diseases</t>
  </si>
  <si>
    <t>JOURNAL OF COMMUNICABLE DISEASES</t>
  </si>
  <si>
    <t>J Commun Dis</t>
  </si>
  <si>
    <t>Supersedes the Bulletin of the Indian Society for Malaria and Other Communicable Diseases.</t>
  </si>
  <si>
    <t>00195138</t>
  </si>
  <si>
    <t>Indian Society For Malaria And Other Communicable Diseases</t>
  </si>
  <si>
    <t>0260316</t>
  </si>
  <si>
    <t>Journal of communication disorders</t>
  </si>
  <si>
    <t>JOURNAL OF COMMUNICATION DISORDERS</t>
  </si>
  <si>
    <t>J Commun Disord</t>
  </si>
  <si>
    <t>Absorbed: Clinics in communication disorders. Mar. 1995</t>
  </si>
  <si>
    <t>Elsevier Scientific Publishing</t>
  </si>
  <si>
    <t>7600747</t>
  </si>
  <si>
    <t>Journal of community health</t>
  </si>
  <si>
    <t>JOURNAL OF COMMUNITY HEALTH</t>
  </si>
  <si>
    <t>J Community Health</t>
  </si>
  <si>
    <t>15733610</t>
  </si>
  <si>
    <t>00945145</t>
  </si>
  <si>
    <t>8411341</t>
  </si>
  <si>
    <t>Journal of community health nursing</t>
  </si>
  <si>
    <t>JOURNAL OF COMMUNITY HEALTH NURSING</t>
  </si>
  <si>
    <t>J Community Health Nurs</t>
  </si>
  <si>
    <t>15327655</t>
  </si>
  <si>
    <t>07370016</t>
  </si>
  <si>
    <t>101577308</t>
  </si>
  <si>
    <t>Journal of comparative effectiveness research</t>
  </si>
  <si>
    <t>JOURNAL OF COMPARATIVE EFFECTIVENESS RESEARCH</t>
  </si>
  <si>
    <t>J Comp Eff Res</t>
  </si>
  <si>
    <t>Six no a year</t>
  </si>
  <si>
    <t>0406041</t>
  </si>
  <si>
    <t>The Journal of comparative neurology</t>
  </si>
  <si>
    <t>JOURNAL OF COMPARATIVE NEUROLOGY</t>
  </si>
  <si>
    <t>J Comp Neurol</t>
  </si>
  <si>
    <t>Continues: Journal of comparative neurology and psychology.</t>
  </si>
  <si>
    <t>Eighteen no. per year</t>
  </si>
  <si>
    <t>0102444</t>
  </si>
  <si>
    <t>Journal of comparative pathology</t>
  </si>
  <si>
    <t>JOURNAL OF COMPARATIVE PATHOLOGY</t>
  </si>
  <si>
    <t>J Comp Pathol</t>
  </si>
  <si>
    <t>Pathology#Veterinary Medicine</t>
  </si>
  <si>
    <t>101141792</t>
  </si>
  <si>
    <t>Journal of comparative physiology. A, Neuroethology, sensory, neural, and behavioral physiology</t>
  </si>
  <si>
    <t>JOURNAL OF COMPARATIVE PHYSIOLOGY. A, NEUROETHOLOGY, SENSORY, NEURAL, AND BEHAVIORAL PHYSIOLOGY</t>
  </si>
  <si>
    <t>J Comp Physiol A Neuroethol Sens Neural Behav Physiol</t>
  </si>
  <si>
    <t>Continues: Journal of comparative physiology. A, Sensory, neural, and behavioral physiology.</t>
  </si>
  <si>
    <t>14321351</t>
  </si>
  <si>
    <t>03407594</t>
  </si>
  <si>
    <t>8413200</t>
  </si>
  <si>
    <t>Journal of comparative physiology. B, Biochemical, systemic, and environmental physiology</t>
  </si>
  <si>
    <t>JOURNAL OF COMPARATIVE PHYSIOLOGY. B, BIOCHEMICAL, SYSTEMIC, AND ENVIRONMENTAL PHYSIOLOGY</t>
  </si>
  <si>
    <t>J Comp Physiol B</t>
  </si>
  <si>
    <t>Continues in part: Journal of comparative physiology.</t>
  </si>
  <si>
    <t>1432136X</t>
  </si>
  <si>
    <t>01741578</t>
  </si>
  <si>
    <t>Biochemistry#Metabolism#Physiology</t>
  </si>
  <si>
    <t>8309850</t>
  </si>
  <si>
    <t>Journal of comparative psychology (Washington, D.C. : 1983)</t>
  </si>
  <si>
    <t>JOURNAL OF COMPARATIVE PSYCHOLOGY (WASHINGTON, D.C. : 1983)</t>
  </si>
  <si>
    <t>J Comp Psychol</t>
  </si>
  <si>
    <t>19392087</t>
  </si>
  <si>
    <t>07357036</t>
  </si>
  <si>
    <t>00219940</t>
  </si>
  <si>
    <t>101313855</t>
  </si>
  <si>
    <t>Journal of complementary &amp; integrative medicine</t>
  </si>
  <si>
    <t>JOURNAL OF COMPLEMENTARY &amp; INTEGRATIVE MEDICINE</t>
  </si>
  <si>
    <t>J Complement Integr Med</t>
  </si>
  <si>
    <t>21946329</t>
  </si>
  <si>
    <t>9433358</t>
  </si>
  <si>
    <t>Journal of computational biology : a journal of computational molecular cell biology</t>
  </si>
  <si>
    <t>JOURNAL OF COMPUTATIONAL BIOLOGY : A JOURNAL OF COMPUTATIONAL MOLECULAR CELL BIOLOGY</t>
  </si>
  <si>
    <t>J Comput Biol</t>
  </si>
  <si>
    <t>15578666</t>
  </si>
  <si>
    <t>10665277</t>
  </si>
  <si>
    <t>Computational Biology#Molecular Biology</t>
  </si>
  <si>
    <t>9878362</t>
  </si>
  <si>
    <t>Journal of computational chemistry</t>
  </si>
  <si>
    <t>JOURNAL OF COMPUTATIONAL CHEMISTRY</t>
  </si>
  <si>
    <t>J Comput Chem</t>
  </si>
  <si>
    <t>1096987X</t>
  </si>
  <si>
    <t>01928651</t>
  </si>
  <si>
    <t>16 no. a year, &lt;2002-&gt;</t>
  </si>
  <si>
    <t>Chemistry#Computational Biology</t>
  </si>
  <si>
    <t>9439510</t>
  </si>
  <si>
    <t>Journal of computational neuroscience</t>
  </si>
  <si>
    <t>JOURNAL OF COMPUTATIONAL NEUROSCIENCE</t>
  </si>
  <si>
    <t>J Comput Neurosci</t>
  </si>
  <si>
    <t>7703942</t>
  </si>
  <si>
    <t>Journal of computer assisted tomography</t>
  </si>
  <si>
    <t>JOURNAL OF COMPUTER ASSISTED TOMOGRAPHY</t>
  </si>
  <si>
    <t>J Comput Assist Tomogr</t>
  </si>
  <si>
    <t>8710425</t>
  </si>
  <si>
    <t>Journal of computer-aided molecular design</t>
  </si>
  <si>
    <t>JOURNAL OF COMPUTER-AIDED MOLECULAR DESIGN</t>
  </si>
  <si>
    <t>J Comput Aided Mol Des</t>
  </si>
  <si>
    <t>Absorbed: Perspectives in drug discovery and design, Jan. 2001, which had formerly been a supplement to this title.</t>
  </si>
  <si>
    <t>Monthly, &lt;2002-&gt;</t>
  </si>
  <si>
    <t>Biomedical Engineering#Molecular Biology</t>
  </si>
  <si>
    <t>0136553</t>
  </si>
  <si>
    <t>Journal of consulting and clinical psychology</t>
  </si>
  <si>
    <t>JOURNAL OF CONSULTING AND CLINICAL PSYCHOLOGY</t>
  </si>
  <si>
    <t>J Consult Clin Psychol</t>
  </si>
  <si>
    <t>Continues: Journal of consulting psychology.</t>
  </si>
  <si>
    <t>American Psychological Assn.</t>
  </si>
  <si>
    <t>8805644</t>
  </si>
  <si>
    <t>Journal of contaminant hydrology</t>
  </si>
  <si>
    <t>JOURNAL OF CONTAMINANT HYDROLOGY</t>
  </si>
  <si>
    <t>J Contam Hydrol</t>
  </si>
  <si>
    <t>Twenty eight no. a year, &lt;2001-&gt;</t>
  </si>
  <si>
    <t>101090552</t>
  </si>
  <si>
    <t>The journal of contemporary dental practice</t>
  </si>
  <si>
    <t>JOURNAL OF CONTEMPORARY DENTAL PRACTICE</t>
  </si>
  <si>
    <t>J Contemp Dent Pract</t>
  </si>
  <si>
    <t>15263711</t>
  </si>
  <si>
    <t>Jaypee Brothers Medical Publishers</t>
  </si>
  <si>
    <t>8510462</t>
  </si>
  <si>
    <t>The Journal of contemporary health law and policy</t>
  </si>
  <si>
    <t>JOURNAL OF CONTEMPORARY HEALTH LAW AND POLICY</t>
  </si>
  <si>
    <t>J Contemp Health Law Policy</t>
  </si>
  <si>
    <t>08821046</t>
  </si>
  <si>
    <t>Catholic University of America Press</t>
  </si>
  <si>
    <t>0262321</t>
  </si>
  <si>
    <t>Journal of continuing education in nursing</t>
  </si>
  <si>
    <t>JOURNAL OF CONTINUING EDUCATION IN NURSING</t>
  </si>
  <si>
    <t>J Contin Educ Nurs</t>
  </si>
  <si>
    <t>00220124</t>
  </si>
  <si>
    <t>Charles B. Slack, inc.</t>
  </si>
  <si>
    <t>8805847</t>
  </si>
  <si>
    <t>The Journal of continuing education in the health professions</t>
  </si>
  <si>
    <t>JOURNAL OF CONTINUING EDUCATION IN THE HEALTH PROFESSIONS</t>
  </si>
  <si>
    <t>J Contin Educ Health Prof</t>
  </si>
  <si>
    <t>Continues: Möbius.</t>
  </si>
  <si>
    <t>1554558X</t>
  </si>
  <si>
    <t>08941912</t>
  </si>
  <si>
    <t>8607908</t>
  </si>
  <si>
    <t>Journal of controlled release : official journal of the Controlled Release Society</t>
  </si>
  <si>
    <t>JOURNAL OF CONTROLLED RELEASE : OFFICIAL JOURNAL OF THE CONTROLLED RELEASE SOCIETY</t>
  </si>
  <si>
    <t>J Control Release</t>
  </si>
  <si>
    <t>9503759</t>
  </si>
  <si>
    <t>Journal of correctional health care : the official journal of the National Commission on Correctional Health Care</t>
  </si>
  <si>
    <t>JOURNAL OF CORRECTIONAL HEALTH CARE : THE OFFICIAL JOURNAL OF THE NATIONAL COMMISSION ON CORRECTIONAL HEALTH CARE</t>
  </si>
  <si>
    <t>J Correct Health Care</t>
  </si>
  <si>
    <t>19405200</t>
  </si>
  <si>
    <t>10783458</t>
  </si>
  <si>
    <t>Four no. a year 2002/2003-</t>
  </si>
  <si>
    <t>101136419</t>
  </si>
  <si>
    <t>Journal of cosmetic and laser therapy : official publication of the European Society for Laser Dermatology</t>
  </si>
  <si>
    <t>JOURNAL OF COSMETIC AND LASER THERAPY : OFFICIAL PUBLICATION OF THE EUROPEAN SOCIETY FOR LASER DERMATOLOGY</t>
  </si>
  <si>
    <t>J Cosmet Laser Ther</t>
  </si>
  <si>
    <t>Continues: Journal of cutaneous laser therapy.</t>
  </si>
  <si>
    <t>101130964</t>
  </si>
  <si>
    <t>Journal of cosmetic dermatology</t>
  </si>
  <si>
    <t>JOURNAL OF COSMETIC DERMATOLOGY</t>
  </si>
  <si>
    <t>J Cosmet Dermatol</t>
  </si>
  <si>
    <t>9814276</t>
  </si>
  <si>
    <t>Journal of cosmetic science</t>
  </si>
  <si>
    <t>JOURNAL OF COSMETIC SCIENCE</t>
  </si>
  <si>
    <t>J Cosmet Sci</t>
  </si>
  <si>
    <t>Continues: Journal of the Society of Cosmetic Chemists.</t>
  </si>
  <si>
    <t>15257886</t>
  </si>
  <si>
    <t>Society of Cosmetic Chemists</t>
  </si>
  <si>
    <t>2985124R</t>
  </si>
  <si>
    <t>Journal of counseling psychology</t>
  </si>
  <si>
    <t>JOURNAL OF COUNSELING PSYCHOLOGY</t>
  </si>
  <si>
    <t>J Couns Psychol</t>
  </si>
  <si>
    <t>00220167</t>
  </si>
  <si>
    <t>9010410</t>
  </si>
  <si>
    <t>The Journal of craniofacial surgery</t>
  </si>
  <si>
    <t>JOURNAL OF CRANIOFACIAL SURGERY</t>
  </si>
  <si>
    <t>J Craniofac Surg</t>
  </si>
  <si>
    <t>15363732</t>
  </si>
  <si>
    <t>10492275</t>
  </si>
  <si>
    <t>8704309</t>
  </si>
  <si>
    <t>Journal of cranio-maxillo-facial surgery : official publication of the European Association for Cranio-Maxillo-Facial Surgery</t>
  </si>
  <si>
    <t>JOURNAL OF CRANIO-MAXILLO-FACIAL SURGERY : OFFICIAL PUBLICATION OF THE EUROPEAN ASSOCIATION FOR CRANIO-MAXILLO-FACIAL SURGERY</t>
  </si>
  <si>
    <t>J Craniomaxillofac Surg</t>
  </si>
  <si>
    <t>Continues: Journal of maxillofacial surgery.</t>
  </si>
  <si>
    <t>8610642</t>
  </si>
  <si>
    <t>Journal of critical care</t>
  </si>
  <si>
    <t>JOURNAL OF CRITICAL CARE</t>
  </si>
  <si>
    <t>J Crit Care</t>
  </si>
  <si>
    <t>Absorbed: Seminars in anesthesia perioperative medicine and pain.</t>
  </si>
  <si>
    <t>101318676</t>
  </si>
  <si>
    <t>Journal of Crohn's &amp; colitis</t>
  </si>
  <si>
    <t>JOURNAL OF CROHN'S &amp; COLITIS</t>
  </si>
  <si>
    <t>J Crohns Colitis</t>
  </si>
  <si>
    <t>8700909</t>
  </si>
  <si>
    <t>Journal of cross-cultural gerontology</t>
  </si>
  <si>
    <t>JOURNAL OF CROSS-CULTURAL GERONTOLOGY</t>
  </si>
  <si>
    <t>J Cross Cult Gerontol</t>
  </si>
  <si>
    <t>15730719</t>
  </si>
  <si>
    <t>01693816</t>
  </si>
  <si>
    <t>Springer Science+ Business Media</t>
  </si>
  <si>
    <t>9439196</t>
  </si>
  <si>
    <t>Journal of cultural diversity</t>
  </si>
  <si>
    <t>JOURNAL OF CULTURAL DIVERSITY</t>
  </si>
  <si>
    <t>J Cult Divers</t>
  </si>
  <si>
    <t>10715568</t>
  </si>
  <si>
    <t>Tucker Publications</t>
  </si>
  <si>
    <t>Nursing#Social Sciences</t>
  </si>
  <si>
    <t>9614685</t>
  </si>
  <si>
    <t>Journal of cutaneous medicine and surgery</t>
  </si>
  <si>
    <t>JOURNAL OF CUTANEOUS MEDICINE AND SURGERY</t>
  </si>
  <si>
    <t>J Cutan Med Surg</t>
  </si>
  <si>
    <t>Absorbed: Medical &amp; surgical dermatology. 2001-2006</t>
  </si>
  <si>
    <t>16157109</t>
  </si>
  <si>
    <t>BC Decker</t>
  </si>
  <si>
    <t>0425124</t>
  </si>
  <si>
    <t>Journal of cutaneous pathology</t>
  </si>
  <si>
    <t>JOURNAL OF CUTANEOUS PATHOLOGY</t>
  </si>
  <si>
    <t>J Cutan Pathol</t>
  </si>
  <si>
    <t>16000560</t>
  </si>
  <si>
    <t>03036987</t>
  </si>
  <si>
    <t>101128966</t>
  </si>
  <si>
    <t>Journal of cystic fibrosis : official journal of the European Cystic Fibrosis Society</t>
  </si>
  <si>
    <t>JOURNAL OF CYSTIC FIBROSIS : OFFICIAL JOURNAL OF THE EUROPEAN CYSTIC FIBROSIS SOCIETY</t>
  </si>
  <si>
    <t>J Cyst Fibros</t>
  </si>
  <si>
    <t>2985125R</t>
  </si>
  <si>
    <t>The Journal of dairy research</t>
  </si>
  <si>
    <t>JOURNAL OF DAIRY RESEARCH</t>
  </si>
  <si>
    <t>J Dairy Res</t>
  </si>
  <si>
    <t>14697629</t>
  </si>
  <si>
    <t>00220299</t>
  </si>
  <si>
    <t>2985126R</t>
  </si>
  <si>
    <t>Journal of dairy science</t>
  </si>
  <si>
    <t>JOURNAL OF DAIRY SCIENCE</t>
  </si>
  <si>
    <t>J Dairy Sci</t>
  </si>
  <si>
    <t>15253198</t>
  </si>
  <si>
    <t>00220302</t>
  </si>
  <si>
    <t>9700066</t>
  </si>
  <si>
    <t>Journal of dance medicine &amp; science : official publication of the International Association for Dance Medicine &amp; Science</t>
  </si>
  <si>
    <t>JOURNAL OF DANCE MEDICINE &amp; SCIENCE : OFFICIAL PUBLICATION OF THE INTERNATIONAL ASSOCIATION FOR DANCE MEDICINE &amp; SCIENCE</t>
  </si>
  <si>
    <t>J Dance Med Sci</t>
  </si>
  <si>
    <t>1089313X</t>
  </si>
  <si>
    <t>J. Michael Ryan Pub., Inc.</t>
  </si>
  <si>
    <t>Physical and Rehabilitation Medicine#Sports Medicine</t>
  </si>
  <si>
    <t>9889915</t>
  </si>
  <si>
    <t>Journal of deaf studies and deaf education</t>
  </si>
  <si>
    <t>JOURNAL OF DEAF STUDIES AND DEAF EDUCATION</t>
  </si>
  <si>
    <t>J Deaf Stud Deaf Educ</t>
  </si>
  <si>
    <t>14657325</t>
  </si>
  <si>
    <t>10814159</t>
  </si>
  <si>
    <t>Audiology#Education</t>
  </si>
  <si>
    <t>8000150</t>
  </si>
  <si>
    <t>Journal of dental education</t>
  </si>
  <si>
    <t>JOURNAL OF DENTAL EDUCATION</t>
  </si>
  <si>
    <t>J Dent Educ</t>
  </si>
  <si>
    <t>19307837</t>
  </si>
  <si>
    <t>00220337</t>
  </si>
  <si>
    <t>American Assn. of Dental Schools.</t>
  </si>
  <si>
    <t>Monthly &lt;, Nov. 1976- &gt;</t>
  </si>
  <si>
    <t>8902616</t>
  </si>
  <si>
    <t>Journal of dental hygiene : JDH / American Dental Hygienists' Association</t>
  </si>
  <si>
    <t>JOURNAL OF DENTAL HYGIENE : JDH / AMERICAN DENTAL HYGIENISTS' ASSOCIATION</t>
  </si>
  <si>
    <t>J Dent Hyg</t>
  </si>
  <si>
    <t>Continues: Dental hygiene.</t>
  </si>
  <si>
    <t>15530205</t>
  </si>
  <si>
    <t>1043254X</t>
  </si>
  <si>
    <t>American Dental Hygienists Association</t>
  </si>
  <si>
    <t>0354343</t>
  </si>
  <si>
    <t>Journal of dental research</t>
  </si>
  <si>
    <t>JOURNAL OF DENTAL RESEARCH</t>
  </si>
  <si>
    <t>J Dent Res</t>
  </si>
  <si>
    <t>Absorbed: Critical reviews in oral biology and medicine. Continues: Journal of the Allied Dental Societies.</t>
  </si>
  <si>
    <t>15440591</t>
  </si>
  <si>
    <t>00220345</t>
  </si>
  <si>
    <t>0354422</t>
  </si>
  <si>
    <t>Journal of dentistry</t>
  </si>
  <si>
    <t>JOURNAL OF DENTISTRY</t>
  </si>
  <si>
    <t>J Dent</t>
  </si>
  <si>
    <t>1879176X</t>
  </si>
  <si>
    <t>03005712</t>
  </si>
  <si>
    <t>101180951</t>
  </si>
  <si>
    <t>Journal of dentistry for children (Chicago, Ill.)</t>
  </si>
  <si>
    <t>JOURNAL OF DENTISTRY FOR CHILDREN (CHICAGO, ILL.)</t>
  </si>
  <si>
    <t>J Dent Child (Chic)</t>
  </si>
  <si>
    <t>Continues: ASDC journal of dentistry for children.</t>
  </si>
  <si>
    <t>19355068</t>
  </si>
  <si>
    <t>15518949</t>
  </si>
  <si>
    <t>American Academy of Pediatric Dentistry</t>
  </si>
  <si>
    <t>9011485</t>
  </si>
  <si>
    <t>Journal of dermatological science</t>
  </si>
  <si>
    <t>JOURNAL OF DERMATOLOGICAL SCIENCE</t>
  </si>
  <si>
    <t>J Dermatol Sci</t>
  </si>
  <si>
    <t>8918133</t>
  </si>
  <si>
    <t>The Journal of dermatological treatment</t>
  </si>
  <si>
    <t>JOURNAL OF DERMATOLOGICAL TREATMENT</t>
  </si>
  <si>
    <t>J Dermatolog Treat</t>
  </si>
  <si>
    <t>7600545</t>
  </si>
  <si>
    <t>The Journal of dermatology</t>
  </si>
  <si>
    <t>JOURNAL OF DERMATOLOGY</t>
  </si>
  <si>
    <t>J Dermatol</t>
  </si>
  <si>
    <t>Supersedes: Japanese journal of dermatology. Ser. B.</t>
  </si>
  <si>
    <t>8006933</t>
  </si>
  <si>
    <t>Journal of developmental and behavioral pediatrics : JDBP</t>
  </si>
  <si>
    <t>JOURNAL OF DEVELOPMENTAL AND BEHAVIORAL PEDIATRICS : JDBP</t>
  </si>
  <si>
    <t>J Dev Behav Pediatr</t>
  </si>
  <si>
    <t>15367312</t>
  </si>
  <si>
    <t>0196206X</t>
  </si>
  <si>
    <t>Nine no. a year, 2010-</t>
  </si>
  <si>
    <t>101504326</t>
  </si>
  <si>
    <t>Journal of diabetes</t>
  </si>
  <si>
    <t>JOURNAL OF DIABETES</t>
  </si>
  <si>
    <t>J Diabetes</t>
  </si>
  <si>
    <t>9204583</t>
  </si>
  <si>
    <t>Journal of diabetes and its complications</t>
  </si>
  <si>
    <t>JOURNAL OF DIABETES AND ITS COMPLICATIONS</t>
  </si>
  <si>
    <t>J Diabetes Complications</t>
  </si>
  <si>
    <t>Continues: Journal of diabetic complications.</t>
  </si>
  <si>
    <t>101605237</t>
  </si>
  <si>
    <t>Journal of diabetes research</t>
  </si>
  <si>
    <t>JOURNAL OF DIABETES RESEARCH</t>
  </si>
  <si>
    <t>J Diabetes Res</t>
  </si>
  <si>
    <t>Continues: Experimental diabetes research.</t>
  </si>
  <si>
    <t>101306166</t>
  </si>
  <si>
    <t>Journal of diabetes science and technology</t>
  </si>
  <si>
    <t>JOURNAL OF DIABETES SCIENCE AND TECHNOLOGY</t>
  </si>
  <si>
    <t>J Diabetes Sci Technol</t>
  </si>
  <si>
    <t>101249830</t>
  </si>
  <si>
    <t>Journal of dietary supplements</t>
  </si>
  <si>
    <t>JOURNAL OF DIETARY SUPPLEMENTS</t>
  </si>
  <si>
    <t>J Diet Suppl</t>
  </si>
  <si>
    <t>Formed by union of: Journal of herbal pharmacotherapy. and: Journal of nutraceuticals, functional &amp; medical foods.</t>
  </si>
  <si>
    <t>1939022X</t>
  </si>
  <si>
    <t>19390211</t>
  </si>
  <si>
    <t>101302699</t>
  </si>
  <si>
    <t>Journal of digestive diseases</t>
  </si>
  <si>
    <t>JOURNAL OF DIGESTIVE DISEASES</t>
  </si>
  <si>
    <t>J Dig Dis</t>
  </si>
  <si>
    <t>Continues: Chinese journal of digestive diseases.</t>
  </si>
  <si>
    <t>9100529</t>
  </si>
  <si>
    <t>Journal of digital imaging</t>
  </si>
  <si>
    <t>JOURNAL OF DIGITAL IMAGING</t>
  </si>
  <si>
    <t>J Digit Imaging</t>
  </si>
  <si>
    <t>1618727X</t>
  </si>
  <si>
    <t>08971889</t>
  </si>
  <si>
    <t>Diagnostic Imaging#Medical Informatics#Radiology</t>
  </si>
  <si>
    <t>1300031</t>
  </si>
  <si>
    <t>Journal of drug education</t>
  </si>
  <si>
    <t>JOURNAL OF DRUG EDUCATION</t>
  </si>
  <si>
    <t>J Drug Educ</t>
  </si>
  <si>
    <t>Baywood Publishing Co.</t>
  </si>
  <si>
    <t>Education#Substance-Related Disorders</t>
  </si>
  <si>
    <t>9312476</t>
  </si>
  <si>
    <t>Journal of drug targeting</t>
  </si>
  <si>
    <t>JOURNAL OF DRUG TARGETING</t>
  </si>
  <si>
    <t>J Drug Target</t>
  </si>
  <si>
    <t>10267158</t>
  </si>
  <si>
    <t>101160020</t>
  </si>
  <si>
    <t>Journal of drugs in dermatology : JDD</t>
  </si>
  <si>
    <t>JOURNAL OF DRUGS IN DERMATOLOGY : JDD</t>
  </si>
  <si>
    <t>J Drugs Dermatol</t>
  </si>
  <si>
    <t>Physicians Continuing Education Corporation</t>
  </si>
  <si>
    <t>2985127R</t>
  </si>
  <si>
    <t>Journal of economic entomology</t>
  </si>
  <si>
    <t>JOURNAL OF ECONOMIC ENTOMOLOGY</t>
  </si>
  <si>
    <t>J Econ Entomol</t>
  </si>
  <si>
    <t>00220493</t>
  </si>
  <si>
    <t>9885204</t>
  </si>
  <si>
    <t>The journal of economic perspectives : a journal of the American Economic Association</t>
  </si>
  <si>
    <t>JOURNAL OF ECONOMIC PERSPECTIVES : A JOURNAL OF THE AMERICAN ECONOMIC ASSOCIATION</t>
  </si>
  <si>
    <t>J Econ Perspect</t>
  </si>
  <si>
    <t>08953309</t>
  </si>
  <si>
    <t>9808943</t>
  </si>
  <si>
    <t>The journal of ECT</t>
  </si>
  <si>
    <t>JOURNAL OF ECT</t>
  </si>
  <si>
    <t>J ECT</t>
  </si>
  <si>
    <t>Continues: Convulsive therapy.</t>
  </si>
  <si>
    <t>8914370</t>
  </si>
  <si>
    <t>Journal of elder abuse &amp; neglect</t>
  </si>
  <si>
    <t>JOURNAL OF ELDER ABUSE &amp; NEGLECT</t>
  </si>
  <si>
    <t>J Elder Abuse Negl</t>
  </si>
  <si>
    <t>15404129</t>
  </si>
  <si>
    <t>08946566</t>
  </si>
  <si>
    <t>0153605</t>
  </si>
  <si>
    <t>Journal of electrocardiology</t>
  </si>
  <si>
    <t>JOURNAL OF ELECTROCARDIOLOGY</t>
  </si>
  <si>
    <t>J Electrocardiol</t>
  </si>
  <si>
    <t>9109125</t>
  </si>
  <si>
    <t>Journal of electromyography and kinesiology : official journal of the International Society of Electrophysiological Kinesiology</t>
  </si>
  <si>
    <t>JOURNAL OF ELECTROMYOGRAPHY AND KINESIOLOGY : OFFICIAL JOURNAL OF THE INTERNATIONAL SOCIETY OF ELECTROPHYSIOLOGICAL KINESIOLOGY</t>
  </si>
  <si>
    <t>J Electromyogr Kinesiol</t>
  </si>
  <si>
    <t>101284695</t>
  </si>
  <si>
    <t>Journal of emergency management (Weston, Mass.)</t>
  </si>
  <si>
    <t>JOURNAL OF EMERGENCY MANAGEMENT (WESTON, MASS.)</t>
  </si>
  <si>
    <t>J Emerg Manag</t>
  </si>
  <si>
    <t>15435865</t>
  </si>
  <si>
    <t>8412174</t>
  </si>
  <si>
    <t>The Journal of emergency medicine</t>
  </si>
  <si>
    <t>JOURNAL OF EMERGENCY MEDICINE</t>
  </si>
  <si>
    <t>J Emerg Med</t>
  </si>
  <si>
    <t>Twelve, 2010-</t>
  </si>
  <si>
    <t>7605913</t>
  </si>
  <si>
    <t>Journal of emergency nursing: JEN : official publication of the Emergency Department Nurses Association</t>
  </si>
  <si>
    <t>JOURNAL OF EMERGENCY NURSING: JEN : OFFICIAL PUBLICATION OF THE EMERGENCY DEPARTMENT NURSES ASSOCIATION</t>
  </si>
  <si>
    <t>J Emerg Nurs</t>
  </si>
  <si>
    <t>15272966</t>
  </si>
  <si>
    <t>00991767</t>
  </si>
  <si>
    <t>101273949</t>
  </si>
  <si>
    <t>Journal of empirical research on human research ethics : JERHRE</t>
  </si>
  <si>
    <t>JOURNAL OF EMPIRICAL RESEARCH ON HUMAN RESEARCH ETHICS : JERHRE</t>
  </si>
  <si>
    <t>J Empir Res Hum Res Ethics</t>
  </si>
  <si>
    <t>15562654</t>
  </si>
  <si>
    <t>15562646</t>
  </si>
  <si>
    <t>University of California Press</t>
  </si>
  <si>
    <t>7806594</t>
  </si>
  <si>
    <t>Journal of endocrinological investigation</t>
  </si>
  <si>
    <t>JOURNAL OF ENDOCRINOLOGICAL INVESTIGATION</t>
  </si>
  <si>
    <t>J Endocrinol Invest</t>
  </si>
  <si>
    <t>Monthly, &lt;2004-&gt;</t>
  </si>
  <si>
    <t>0375363</t>
  </si>
  <si>
    <t>The Journal of endocrinology</t>
  </si>
  <si>
    <t>JOURNAL OF ENDOCRINOLOGY</t>
  </si>
  <si>
    <t>J Endocrinol</t>
  </si>
  <si>
    <t>7511484</t>
  </si>
  <si>
    <t>Journal of endodontics</t>
  </si>
  <si>
    <t>JOURNAL OF ENDODONTICS</t>
  </si>
  <si>
    <t>J Endod</t>
  </si>
  <si>
    <t>18783554</t>
  </si>
  <si>
    <t>00992399</t>
  </si>
  <si>
    <t>8807503</t>
  </si>
  <si>
    <t>Journal of endourology / Endourological Society</t>
  </si>
  <si>
    <t>JOURNAL OF ENDOUROLOGY / ENDOUROLOGICAL SOCIETY</t>
  </si>
  <si>
    <t>J Endourol</t>
  </si>
  <si>
    <t>100896915</t>
  </si>
  <si>
    <t>Journal of endovascular therapy : an official journal of the International Society of Endovascular Specialists</t>
  </si>
  <si>
    <t>JOURNAL OF ENDOVASCULAR THERAPY : AN OFFICIAL JOURNAL OF THE INTERNATIONAL SOCIETY OF ENDOVASCULAR SPECIALISTS</t>
  </si>
  <si>
    <t>J Endovasc Ther</t>
  </si>
  <si>
    <t>Continues: Journal of endovascular surgery.</t>
  </si>
  <si>
    <t>101516361</t>
  </si>
  <si>
    <t>Journal of environmental and public health</t>
  </si>
  <si>
    <t>JOURNAL OF ENVIRONMENTAL AND PUBLIC HEALTH</t>
  </si>
  <si>
    <t>J Environ Public Health</t>
  </si>
  <si>
    <t>8300544</t>
  </si>
  <si>
    <t>Journal of environmental biology / Academy of Environmental Biology, India</t>
  </si>
  <si>
    <t>JOURNAL OF ENVIRONMENTAL BIOLOGY / ACADEMY OF ENVIRONMENTAL BIOLOGY, INDIA</t>
  </si>
  <si>
    <t>J Environ Biol</t>
  </si>
  <si>
    <t>02548704</t>
  </si>
  <si>
    <t>Triveni Enterprises</t>
  </si>
  <si>
    <t>0405525</t>
  </si>
  <si>
    <t>Journal of environmental health</t>
  </si>
  <si>
    <t>JOURNAL OF ENVIRONMENTAL HEALTH</t>
  </si>
  <si>
    <t>J Environ Health</t>
  </si>
  <si>
    <t>Continues the Sanitarian's journal of environmental health.</t>
  </si>
  <si>
    <t>00220892</t>
  </si>
  <si>
    <t>National Environmental Health Association</t>
  </si>
  <si>
    <t>0401664</t>
  </si>
  <si>
    <t>Journal of environmental management</t>
  </si>
  <si>
    <t>JOURNAL OF ENVIRONMENTAL MANAGEMENT</t>
  </si>
  <si>
    <t>J Environ Manage</t>
  </si>
  <si>
    <t>Absorbed: Advances in environmental research.</t>
  </si>
  <si>
    <t>8501420</t>
  </si>
  <si>
    <t>Journal of environmental pathology, toxicology and oncology : official organ of the International Society for Environmental Toxicology and Cancer</t>
  </si>
  <si>
    <t>JOURNAL OF ENVIRONMENTAL PATHOLOGY, TOXICOLOGY AND ONCOLOGY : OFFICIAL ORGAN OF THE INTERNATIONAL SOCIETY FOR ENVIRONMENTAL TOXICOLOGY AND CANCER</t>
  </si>
  <si>
    <t>J Environ Pathol Toxicol Oncol</t>
  </si>
  <si>
    <t>21626537</t>
  </si>
  <si>
    <t>Environmental Health#Neoplasms#Pathology#Toxicology</t>
  </si>
  <si>
    <t>0330666</t>
  </si>
  <si>
    <t>Journal of environmental quality</t>
  </si>
  <si>
    <t>JOURNAL OF ENVIRONMENTAL QUALITY</t>
  </si>
  <si>
    <t>J Environ Qual</t>
  </si>
  <si>
    <t>Published cooperatively by American Society of Agronomy, Crop Science Society of America, and Soil Science Society of America</t>
  </si>
  <si>
    <t>8508119</t>
  </si>
  <si>
    <t>Journal of environmental radioactivity</t>
  </si>
  <si>
    <t>JOURNAL OF ENVIRONMENTAL RADIOACTIVITY</t>
  </si>
  <si>
    <t>J Environ Radioact</t>
  </si>
  <si>
    <t>Eighteen no. a year, 2001-</t>
  </si>
  <si>
    <t>101273917</t>
  </si>
  <si>
    <t>Journal of environmental science &amp; engineering</t>
  </si>
  <si>
    <t>JOURNAL OF ENVIRONMENTAL SCIENCE &amp; ENGINEERING</t>
  </si>
  <si>
    <t>J Environ Sci Eng</t>
  </si>
  <si>
    <t>Continues: Indian journal of environmental health.</t>
  </si>
  <si>
    <t>National Environmental Engineering Research Institute</t>
  </si>
  <si>
    <t>9812551</t>
  </si>
  <si>
    <t>Journal of environmental science and health. Part A, Toxic/hazardous substances &amp; environmental engineering</t>
  </si>
  <si>
    <t>JOURNAL OF ENVIRONMENTAL SCIENCE AND HEALTH. PART A, TOXIC/HAZARDOUS SUBSTANCES &amp; ENVIRONMENTAL ENGINEERING</t>
  </si>
  <si>
    <t>J Environ Sci Health A Tox Hazard Subst Environ Eng</t>
  </si>
  <si>
    <t>Continues: Journal of environmental science and health. Part A, Environmental science and engineering &amp; toxic and hazardous substance control.</t>
  </si>
  <si>
    <t>9317093</t>
  </si>
  <si>
    <t>Journal of environmental science and health. Part C, Environmental carcinogenesis &amp; ecotoxicology reviews</t>
  </si>
  <si>
    <t>JOURNAL OF ENVIRONMENTAL SCIENCE AND HEALTH. PART C, ENVIRONMENTAL CARCINOGENESIS &amp; ECOTOXICOLOGY REVIEWS</t>
  </si>
  <si>
    <t>J Environ Sci Health C Environ Carcinog Ecotoxicol Rev</t>
  </si>
  <si>
    <t>Continues: Environmental carcinogenesis reviews.</t>
  </si>
  <si>
    <t>7607167</t>
  </si>
  <si>
    <t>Journal of environmental science and health. Part. B, Pesticides, food contaminants, and agricultural wastes</t>
  </si>
  <si>
    <t>JOURNAL OF ENVIRONMENTAL SCIENCE AND HEALTH. PART. B, PESTICIDES, FOOD CONTAMINANTS, AND AGRICULTURAL WASTES</t>
  </si>
  <si>
    <t>J Environ Sci Health B</t>
  </si>
  <si>
    <t>Continues in part: Environmental letters.</t>
  </si>
  <si>
    <t>15324109</t>
  </si>
  <si>
    <t>03601234</t>
  </si>
  <si>
    <t>100967627</t>
  </si>
  <si>
    <t>Journal of environmental sciences (China)</t>
  </si>
  <si>
    <t>JOURNAL OF ENVIRONMENTAL SCIENCES (CHINA)</t>
  </si>
  <si>
    <t>J Environ Sci (China)</t>
  </si>
  <si>
    <t>10010742</t>
  </si>
  <si>
    <t>101150203</t>
  </si>
  <si>
    <t>Journal of enzyme inhibition and medicinal chemistry</t>
  </si>
  <si>
    <t>JOURNAL OF ENZYME INHIBITION AND MEDICINAL CHEMISTRY</t>
  </si>
  <si>
    <t>J Enzyme Inhib Med Chem</t>
  </si>
  <si>
    <t>Continues: Journal of enzyme inhibition.</t>
  </si>
  <si>
    <t>9607688</t>
  </si>
  <si>
    <t>Journal of epidemiology / Japan Epidemiological Association</t>
  </si>
  <si>
    <t>JOURNAL OF EPIDEMIOLOGY / JAPAN EPIDEMIOLOGICAL ASSOCIATION</t>
  </si>
  <si>
    <t>J Epidemiol</t>
  </si>
  <si>
    <t>13499092</t>
  </si>
  <si>
    <t>09175040</t>
  </si>
  <si>
    <t>7909766</t>
  </si>
  <si>
    <t>Journal of epidemiology and community health</t>
  </si>
  <si>
    <t>JOURNAL OF EPIDEMIOLOGY AND COMMUNITY HEALTH</t>
  </si>
  <si>
    <t>J Epidemiol Community Health</t>
  </si>
  <si>
    <t>14702738</t>
  </si>
  <si>
    <t>0143005X</t>
  </si>
  <si>
    <t>Epidemiology#Health Services#Public Health</t>
  </si>
  <si>
    <t>101592084</t>
  </si>
  <si>
    <t>Journal of epidemiology and global health</t>
  </si>
  <si>
    <t>JOURNAL OF EPIDEMIOLOGY AND GLOBAL HEALTH</t>
  </si>
  <si>
    <t>J Epidemiol Glob Health</t>
  </si>
  <si>
    <t>22106014</t>
  </si>
  <si>
    <t>101096515</t>
  </si>
  <si>
    <t>Journal of esthetic and restorative dentistry : official publication of the American Academy of Esthetic Dentistry ... [et al.]</t>
  </si>
  <si>
    <t>JOURNAL OF ESTHETIC AND RESTORATIVE DENTISTRY : OFFICIAL PUBLICATION OF THE AMERICAN ACADEMY OF ESTHETIC DENTISTRY ... [ET AL.]</t>
  </si>
  <si>
    <t>J Esthet Restor Dent</t>
  </si>
  <si>
    <t>Continues: Journal of esthetic dentistry.</t>
  </si>
  <si>
    <t>17088240</t>
  </si>
  <si>
    <t>14964155</t>
  </si>
  <si>
    <t>101083217</t>
  </si>
  <si>
    <t>Journal of ethnicity in substance abuse</t>
  </si>
  <si>
    <t>JOURNAL OF ETHNICITY IN SUBSTANCE ABUSE</t>
  </si>
  <si>
    <t>J Ethn Subst Abuse</t>
  </si>
  <si>
    <t>Continues: Drugs &amp; society (New York, N.Y.).</t>
  </si>
  <si>
    <t>Social Sciences#Substance-Related Disorders</t>
  </si>
  <si>
    <t>101245794</t>
  </si>
  <si>
    <t>Journal of ethnobiology and ethnomedicine</t>
  </si>
  <si>
    <t>JOURNAL OF ETHNOBIOLOGY AND ETHNOMEDICINE</t>
  </si>
  <si>
    <t>J Ethnobiol Ethnomed</t>
  </si>
  <si>
    <t>17464269</t>
  </si>
  <si>
    <t>Medicine#Social Sciences</t>
  </si>
  <si>
    <t>7903310</t>
  </si>
  <si>
    <t>Journal of ethnopharmacology</t>
  </si>
  <si>
    <t>JOURNAL OF ETHNOPHARMACOLOGY</t>
  </si>
  <si>
    <t>J Ethnopharmacol</t>
  </si>
  <si>
    <t>Elsevier Sequoia</t>
  </si>
  <si>
    <t>Pharmacology#Social Sciences</t>
  </si>
  <si>
    <t>9306405</t>
  </si>
  <si>
    <t>The Journal of eukaryotic microbiology</t>
  </si>
  <si>
    <t>JOURNAL OF EUKARYOTIC MICROBIOLOGY</t>
  </si>
  <si>
    <t>J Eukaryot Microbiol</t>
  </si>
  <si>
    <t>Continues: Journal of protozoology.</t>
  </si>
  <si>
    <t>15507408</t>
  </si>
  <si>
    <t>10665234</t>
  </si>
  <si>
    <t>Microbiology#Parasitology</t>
  </si>
  <si>
    <t>9609066</t>
  </si>
  <si>
    <t>Journal of evaluation in clinical practice</t>
  </si>
  <si>
    <t>JOURNAL OF EVALUATION IN CLINICAL PRACTICE</t>
  </si>
  <si>
    <t>J Eval Clin Pract</t>
  </si>
  <si>
    <t>101083101</t>
  </si>
  <si>
    <t>The journal of evidence-based dental practice</t>
  </si>
  <si>
    <t>JOURNAL OF EVIDENCE-BASED DENTAL PRACTICE</t>
  </si>
  <si>
    <t>J Evid Based Dent Pract</t>
  </si>
  <si>
    <t>15323390</t>
  </si>
  <si>
    <t>15323382</t>
  </si>
  <si>
    <t>Mosby, Inc.</t>
  </si>
  <si>
    <t>101497477</t>
  </si>
  <si>
    <t>Journal of evidence-based medicine</t>
  </si>
  <si>
    <t>JOURNAL OF EVIDENCE-BASED MEDICINE</t>
  </si>
  <si>
    <t>J Evid Based Med</t>
  </si>
  <si>
    <t>101197676</t>
  </si>
  <si>
    <t>Journal of evidence-based social work</t>
  </si>
  <si>
    <t>JOURNAL OF EVIDENCE-BASED SOCIAL WORK</t>
  </si>
  <si>
    <t>J Evid Based Soc Work</t>
  </si>
  <si>
    <t>15433722</t>
  </si>
  <si>
    <t>15433714</t>
  </si>
  <si>
    <t>Five no. a year, 2010-</t>
  </si>
  <si>
    <t>8809954</t>
  </si>
  <si>
    <t>Journal of evolutionary biology</t>
  </si>
  <si>
    <t>JOURNAL OF EVOLUTIONARY BIOLOGY</t>
  </si>
  <si>
    <t>J Evol Biol</t>
  </si>
  <si>
    <t>14209101</t>
  </si>
  <si>
    <t>1010061X</t>
  </si>
  <si>
    <t>Six no. a year, 1994-</t>
  </si>
  <si>
    <t>8308647</t>
  </si>
  <si>
    <t>Journal of experimental &amp; clinical cancer research : CR</t>
  </si>
  <si>
    <t>JOURNAL OF EXPERIMENTAL &amp; CLINICAL CANCER RESEARCH : CR</t>
  </si>
  <si>
    <t>J Exp Clin Cancer Res</t>
  </si>
  <si>
    <t>03929078</t>
  </si>
  <si>
    <t>0243705</t>
  </si>
  <si>
    <t>The Journal of experimental biology</t>
  </si>
  <si>
    <t>JOURNAL OF EXPERIMENTAL BIOLOGY</t>
  </si>
  <si>
    <t>J Exp Biol</t>
  </si>
  <si>
    <t>Continues: British journal of experimental biology.</t>
  </si>
  <si>
    <t>14779145</t>
  </si>
  <si>
    <t>00220949</t>
  </si>
  <si>
    <t>9882906</t>
  </si>
  <si>
    <t>Journal of experimental botany</t>
  </si>
  <si>
    <t>JOURNAL OF EXPERIMENTAL BOTANY</t>
  </si>
  <si>
    <t>J Exp Bot</t>
  </si>
  <si>
    <t>Vols. for &lt;1985-&gt; indexed in: European journals of plant physiology. Subject index. Absorbed: Flowering newsletter.</t>
  </si>
  <si>
    <t>14602431</t>
  </si>
  <si>
    <t>00220957</t>
  </si>
  <si>
    <t>Monthly, &lt;1983-&gt;</t>
  </si>
  <si>
    <t>2985128R</t>
  </si>
  <si>
    <t>Journal of experimental child psychology</t>
  </si>
  <si>
    <t>JOURNAL OF EXPERIMENTAL CHILD PSYCHOLOGY</t>
  </si>
  <si>
    <t>J Exp Child Psychol</t>
  </si>
  <si>
    <t>10960457</t>
  </si>
  <si>
    <t>00220965</t>
  </si>
  <si>
    <t>Monthly, &lt;Jan. 1997- &gt;</t>
  </si>
  <si>
    <t>2985109R</t>
  </si>
  <si>
    <t>The Journal of experimental medicine</t>
  </si>
  <si>
    <t>JOURNAL OF EXPERIMENTAL MEDICINE</t>
  </si>
  <si>
    <t>J Exp Med</t>
  </si>
  <si>
    <t>Thirteen no. a year, 2006-</t>
  </si>
  <si>
    <t>7504289</t>
  </si>
  <si>
    <t>Journal of experimental psychology. Animal behavior processes</t>
  </si>
  <si>
    <t>JOURNAL OF EXPERIMENTAL PSYCHOLOGY. ANIMAL BEHAVIOR PROCESSES</t>
  </si>
  <si>
    <t>J Exp Psychol Anim Behav Process</t>
  </si>
  <si>
    <t>Supersedes in part Journal of experimental psychology.</t>
  </si>
  <si>
    <t>19392184</t>
  </si>
  <si>
    <t>00977403</t>
  </si>
  <si>
    <t>9507618</t>
  </si>
  <si>
    <t>Journal of experimental psychology. Applied</t>
  </si>
  <si>
    <t>JOURNAL OF EXPERIMENTAL PSYCHOLOGY. APPLIED</t>
  </si>
  <si>
    <t>J Exp Psychol Appl</t>
  </si>
  <si>
    <t>19392192</t>
  </si>
  <si>
    <t>1076898X</t>
  </si>
  <si>
    <t>7502587</t>
  </si>
  <si>
    <t>Journal of experimental psychology. General</t>
  </si>
  <si>
    <t>JOURNAL OF EXPERIMENTAL PSYCHOLOGY. GENERAL</t>
  </si>
  <si>
    <t>J Exp Psychol Gen</t>
  </si>
  <si>
    <t>Continues in part Journal of experimental psychology.</t>
  </si>
  <si>
    <t>19392222</t>
  </si>
  <si>
    <t>00963445</t>
  </si>
  <si>
    <t>00221015</t>
  </si>
  <si>
    <t>7502589</t>
  </si>
  <si>
    <t>Journal of experimental psychology. Human perception and performance</t>
  </si>
  <si>
    <t>JOURNAL OF EXPERIMENTAL PSYCHOLOGY. HUMAN PERCEPTION AND PERFORMANCE</t>
  </si>
  <si>
    <t>J Exp Psychol Hum Percept Perform</t>
  </si>
  <si>
    <t>19391277</t>
  </si>
  <si>
    <t>00961523</t>
  </si>
  <si>
    <t>8207540</t>
  </si>
  <si>
    <t>Journal of experimental psychology. Learning, memory, and cognition</t>
  </si>
  <si>
    <t>JOURNAL OF EXPERIMENTAL PSYCHOLOGY. LEARNING, MEMORY, AND COGNITION</t>
  </si>
  <si>
    <t>J Exp Psychol Learn Mem Cogn</t>
  </si>
  <si>
    <t>Continues: Journal of experimental psychology. Human learning and memory.</t>
  </si>
  <si>
    <t>19391285</t>
  </si>
  <si>
    <t>02787393</t>
  </si>
  <si>
    <t>9604933</t>
  </si>
  <si>
    <t>Journal of experimental therapeutics &amp; oncology</t>
  </si>
  <si>
    <t>JOURNAL OF EXPERIMENTAL THERAPEUTICS &amp; ONCOLOGY</t>
  </si>
  <si>
    <t>J Exp Ther Oncol</t>
  </si>
  <si>
    <t>1533869X</t>
  </si>
  <si>
    <t>Drug Therapy#Neoplasms</t>
  </si>
  <si>
    <t>101297745</t>
  </si>
  <si>
    <t>Journal of experimental zoology. Part A, Ecological genetics and physiology</t>
  </si>
  <si>
    <t>JOURNAL OF EXPERIMENTAL ZOOLOGY. PART A, ECOLOGICAL GENETICS AND PHYSIOLOGY</t>
  </si>
  <si>
    <t>J Exp Zool A Ecol Genet Physiol</t>
  </si>
  <si>
    <t>Continues: Journal of experimental zoology.Part A, Comparative experimental biology.</t>
  </si>
  <si>
    <t>19325231</t>
  </si>
  <si>
    <t>19325223</t>
  </si>
  <si>
    <t>Genetics#Physiology#Zoology</t>
  </si>
  <si>
    <t>101168228</t>
  </si>
  <si>
    <t>Journal of experimental zoology. Part B, Molecular and developmental evolution</t>
  </si>
  <si>
    <t>JOURNAL OF EXPERIMENTAL ZOOLOGY. PART B, MOLECULAR AND DEVELOPMENTAL EVOLUTION</t>
  </si>
  <si>
    <t>J Exp Zool B Mol Dev Evol</t>
  </si>
  <si>
    <t>Absorbed in part: Journal of experimental zoology.</t>
  </si>
  <si>
    <t>15525015</t>
  </si>
  <si>
    <t>15525007</t>
  </si>
  <si>
    <t>101262796</t>
  </si>
  <si>
    <t>Journal of exposure science &amp; environmental epidemiology</t>
  </si>
  <si>
    <t>JOURNAL OF EXPOSURE SCIENCE &amp; ENVIRONMENTAL EPIDEMIOLOGY</t>
  </si>
  <si>
    <t>J Expo Sci Environ Epidemiol</t>
  </si>
  <si>
    <t>Continues: Journal of exposure analysis and environmental epidemiology.</t>
  </si>
  <si>
    <t>1559064X</t>
  </si>
  <si>
    <t>15590631</t>
  </si>
  <si>
    <t>Environmental Health#Epidemiology</t>
  </si>
  <si>
    <t>0267637</t>
  </si>
  <si>
    <t>The Journal of extra-corporeal technology</t>
  </si>
  <si>
    <t>JOURNAL OF EXTRA-CORPOREAL TECHNOLOGY</t>
  </si>
  <si>
    <t>J Extra Corpor Technol</t>
  </si>
  <si>
    <t>American Society of Extra-Corporeal Technology.</t>
  </si>
  <si>
    <t>General Surgery#Health Services Research#Technology</t>
  </si>
  <si>
    <t>101142028</t>
  </si>
  <si>
    <t>The journal of family health care</t>
  </si>
  <si>
    <t>JOURNAL OF FAMILY HEALTH CARE</t>
  </si>
  <si>
    <t>J Fam Health Care</t>
  </si>
  <si>
    <t>Continues: Professional care of mother and child.</t>
  </si>
  <si>
    <t>14749114</t>
  </si>
  <si>
    <t>Keyways Pub</t>
  </si>
  <si>
    <t>Nursing#Primary Health Care</t>
  </si>
  <si>
    <t>9503761</t>
  </si>
  <si>
    <t>Journal of family nursing</t>
  </si>
  <si>
    <t>JOURNAL OF FAMILY NURSING</t>
  </si>
  <si>
    <t>J Fam Nurs</t>
  </si>
  <si>
    <t>1552549X</t>
  </si>
  <si>
    <t>10748407</t>
  </si>
  <si>
    <t>101087687</t>
  </si>
  <si>
    <t>The journal of family planning and reproductive health care / Faculty of Family Planning &amp; Reproductive Health Care, Royal College of Obstetricians &amp; Gynaecologists</t>
  </si>
  <si>
    <t>JOURNAL OF FAMILY PLANNING AND REPRODUCTIVE HEALTH CARE / FACULTY OF FAMILY PLANNING &amp; REPRODUCTIVE HEALTH CARE, ROYAL COLLEGE OF OBSTETRICIANS &amp; GYNAECOLOGISTS</t>
  </si>
  <si>
    <t>J Fam Plann Reprod Health Care</t>
  </si>
  <si>
    <t>Continues: British journal of family planning.</t>
  </si>
  <si>
    <t>20452098</t>
  </si>
  <si>
    <t>PMH Publications</t>
  </si>
  <si>
    <t>7502590</t>
  </si>
  <si>
    <t>The Journal of family practice</t>
  </si>
  <si>
    <t>JOURNAL OF FAMILY PRACTICE</t>
  </si>
  <si>
    <t>J Fam Pract</t>
  </si>
  <si>
    <t>8802265</t>
  </si>
  <si>
    <t>Journal of family psychology : JFP : journal of the Division of Family Psychology of the American Psychological Association (Division 43)</t>
  </si>
  <si>
    <t>JOURNAL OF FAMILY PSYCHOLOGY : JFP : JOURNAL OF THE DIVISION OF FAMILY PSYCHOLOGY OF THE AMERICAN PSYCHOLOGICAL ASSOCIATION (DIVISION 43)</t>
  </si>
  <si>
    <t>J Fam Psychol</t>
  </si>
  <si>
    <t>19391293</t>
  </si>
  <si>
    <t>08933200</t>
  </si>
  <si>
    <t>100897329</t>
  </si>
  <si>
    <t>Journal of feline medicine and surgery</t>
  </si>
  <si>
    <t>JOURNAL OF FELINE MEDICINE AND SURGERY</t>
  </si>
  <si>
    <t>J Feline Med Surg</t>
  </si>
  <si>
    <t>15322750</t>
  </si>
  <si>
    <t>1098612X</t>
  </si>
  <si>
    <t>0214055</t>
  </si>
  <si>
    <t>Journal of fish biology</t>
  </si>
  <si>
    <t>JOURNAL OF FISH BIOLOGY</t>
  </si>
  <si>
    <t>J Fish Biol</t>
  </si>
  <si>
    <t>10958649</t>
  </si>
  <si>
    <t>00221112</t>
  </si>
  <si>
    <t>Twenty issues a year, 2008-</t>
  </si>
  <si>
    <t>9881188</t>
  </si>
  <si>
    <t>Journal of fish diseases</t>
  </si>
  <si>
    <t>JOURNAL OF FISH DISEASES</t>
  </si>
  <si>
    <t>J Fish Dis</t>
  </si>
  <si>
    <t>13652761</t>
  </si>
  <si>
    <t>01407775</t>
  </si>
  <si>
    <t>7601744</t>
  </si>
  <si>
    <t>Journal of fluency disorders</t>
  </si>
  <si>
    <t>JOURNAL OF FLUENCY DISORDERS</t>
  </si>
  <si>
    <t>J Fluency Disord</t>
  </si>
  <si>
    <t>9201341</t>
  </si>
  <si>
    <t>Journal of fluorescence</t>
  </si>
  <si>
    <t>JOURNAL OF FLUORESCENCE</t>
  </si>
  <si>
    <t>J Fluoresc</t>
  </si>
  <si>
    <t>15734994</t>
  </si>
  <si>
    <t>10530509</t>
  </si>
  <si>
    <t>Springer-</t>
  </si>
  <si>
    <t>Biophysics#Chemistry Techniques, Analytical</t>
  </si>
  <si>
    <t>7703944</t>
  </si>
  <si>
    <t>Journal of food protection</t>
  </si>
  <si>
    <t>JOURNAL OF FOOD PROTECTION</t>
  </si>
  <si>
    <t>J Food Prot</t>
  </si>
  <si>
    <t>Continues: Journal of milk and food technology.</t>
  </si>
  <si>
    <t>19449097</t>
  </si>
  <si>
    <t>0362028X</t>
  </si>
  <si>
    <t>International Association for Food Protection</t>
  </si>
  <si>
    <t>0014052</t>
  </si>
  <si>
    <t>Journal of food science</t>
  </si>
  <si>
    <t>JOURNAL OF FOOD SCIENCE</t>
  </si>
  <si>
    <t>J Food Sci</t>
  </si>
  <si>
    <t>Continues: Food research.</t>
  </si>
  <si>
    <t>17503841</t>
  </si>
  <si>
    <t>00221147</t>
  </si>
  <si>
    <t>9 times a year (monthly except Jan./Feb., June/July, Nov./Dec.), &lt;2002-&gt;</t>
  </si>
  <si>
    <t>9308427</t>
  </si>
  <si>
    <t>The Journal of foot and ankle surgery : official publication of the American College of Foot and Ankle Surgeons</t>
  </si>
  <si>
    <t>JOURNAL OF FOOT AND ANKLE SURGERY : OFFICIAL PUBLICATION OF THE AMERICAN COLLEGE OF FOOT AND ANKLE SURGEONS</t>
  </si>
  <si>
    <t>J Foot Ankle Surg</t>
  </si>
  <si>
    <t>Continues: Journal of foot surgery.</t>
  </si>
  <si>
    <t>101300022</t>
  </si>
  <si>
    <t>Journal of forensic and legal medicine</t>
  </si>
  <si>
    <t>JOURNAL OF FORENSIC AND LEGAL MEDICINE</t>
  </si>
  <si>
    <t>J Forensic Leg Med</t>
  </si>
  <si>
    <t>Continues: Journal of clinical forensic medicine.</t>
  </si>
  <si>
    <t>Eight no. 2 year, 2007-</t>
  </si>
  <si>
    <t>101234500</t>
  </si>
  <si>
    <t>Journal of forensic nursing</t>
  </si>
  <si>
    <t>JOURNAL OF FORENSIC NURSING</t>
  </si>
  <si>
    <t>J Forensic Nurs</t>
  </si>
  <si>
    <t>19393938</t>
  </si>
  <si>
    <t>15563693</t>
  </si>
  <si>
    <t>Jurisprudence#Nursing</t>
  </si>
  <si>
    <t>8501421</t>
  </si>
  <si>
    <t>The Journal of forensic odonto-stomatology</t>
  </si>
  <si>
    <t>JOURNAL OF FORENSIC ODONTO-STOMATOLOGY</t>
  </si>
  <si>
    <t>J Forensic Odontostomatol</t>
  </si>
  <si>
    <t>22196749</t>
  </si>
  <si>
    <t>0258414X</t>
  </si>
  <si>
    <t>Journal Of Forensic Odonto-Stomatology</t>
  </si>
  <si>
    <t>Dentistry#Jurisprudence</t>
  </si>
  <si>
    <t>0375370</t>
  </si>
  <si>
    <t>Journal of forensic sciences</t>
  </si>
  <si>
    <t>JOURNAL OF FORENSIC SCIENCES</t>
  </si>
  <si>
    <t>J Forensic Sci</t>
  </si>
  <si>
    <t>15564029</t>
  </si>
  <si>
    <t>00221198</t>
  </si>
  <si>
    <t>Bimonthly, &lt;Mar. 1987-&gt;</t>
  </si>
  <si>
    <t>9425991</t>
  </si>
  <si>
    <t>Journal of gambling studies / co-sponsored by the National Council on Problem Gambling and Institute for the Study of Gambling and Commercial Gaming</t>
  </si>
  <si>
    <t>JOURNAL OF GAMBLING STUDIES / CO-SPONSORED BY THE NATIONAL COUNCIL ON PROBLEM GAMBLING AND INSTITUTE FOR THE STUDY OF GAMBLING AND COMMERCIAL GAMING</t>
  </si>
  <si>
    <t>J Gambl Stud</t>
  </si>
  <si>
    <t>Continues: Journal of gambling behavior.</t>
  </si>
  <si>
    <t>15733602</t>
  </si>
  <si>
    <t>10505350</t>
  </si>
  <si>
    <t>Human Sciences Press, Inc.</t>
  </si>
  <si>
    <t>9430794</t>
  </si>
  <si>
    <t>Journal of gastroenterology</t>
  </si>
  <si>
    <t>JOURNAL OF GASTROENTEROLOGY</t>
  </si>
  <si>
    <t>J Gastroenterol</t>
  </si>
  <si>
    <t>Continues: Gastroenterologia Japonica.</t>
  </si>
  <si>
    <t>8607909</t>
  </si>
  <si>
    <t>Journal of gastroenterology and hepatology</t>
  </si>
  <si>
    <t>JOURNAL OF GASTROENTEROLOGY AND HEPATOLOGY</t>
  </si>
  <si>
    <t>J Gastroenterol Hepatol</t>
  </si>
  <si>
    <t>Twelve no. a year, &lt;2008-&gt;</t>
  </si>
  <si>
    <t>101272825</t>
  </si>
  <si>
    <t>Journal of gastrointestinal and liver diseases : JGLD</t>
  </si>
  <si>
    <t>JOURNAL OF GASTROINTESTINAL AND LIVER DISEASES : JGLD</t>
  </si>
  <si>
    <t>J Gastrointestin Liver Dis</t>
  </si>
  <si>
    <t>Continues: Romanian journal of gastroenterology.</t>
  </si>
  <si>
    <t>18421121</t>
  </si>
  <si>
    <t>Editura Medicală Universitară "Iuliu Haţieganu"</t>
  </si>
  <si>
    <t>101479627</t>
  </si>
  <si>
    <t>Journal of gastrointestinal cancer</t>
  </si>
  <si>
    <t>JOURNAL OF GASTROINTESTINAL CANCER</t>
  </si>
  <si>
    <t>J Gastrointest Cancer</t>
  </si>
  <si>
    <t>Continues: International journal of gastrointestinal cancer.</t>
  </si>
  <si>
    <t>9706084</t>
  </si>
  <si>
    <t>Journal of gastrointestinal surgery : official journal of the Society for Surgery of the Alimentary Tract</t>
  </si>
  <si>
    <t>JOURNAL OF GASTROINTESTINAL SURGERY : OFFICIAL JOURNAL OF THE SOCIETY FOR SURGERY OF THE ALIMENTARY TRACT</t>
  </si>
  <si>
    <t>J Gastrointest Surg</t>
  </si>
  <si>
    <t>18734626</t>
  </si>
  <si>
    <t>1091255X</t>
  </si>
  <si>
    <t>9815764</t>
  </si>
  <si>
    <t>The journal of gene medicine</t>
  </si>
  <si>
    <t>JOURNAL OF GENE MEDICINE</t>
  </si>
  <si>
    <t>J Gene Med</t>
  </si>
  <si>
    <t>0165543</t>
  </si>
  <si>
    <t>The Journal of general and applied microbiology</t>
  </si>
  <si>
    <t>JOURNAL OF GENERAL AND APPLIED MICROBIOLOGY</t>
  </si>
  <si>
    <t>J Gen Appl Microbiol</t>
  </si>
  <si>
    <t>8605834</t>
  </si>
  <si>
    <t>Journal of general internal medicine</t>
  </si>
  <si>
    <t>JOURNAL OF GENERAL INTERNAL MEDICINE</t>
  </si>
  <si>
    <t>J Gen Intern Med</t>
  </si>
  <si>
    <t>2985110R</t>
  </si>
  <si>
    <t>The Journal of general physiology</t>
  </si>
  <si>
    <t>JOURNAL OF GENERAL PHYSIOLOGY</t>
  </si>
  <si>
    <t>J Gen Physiol</t>
  </si>
  <si>
    <t>15407748</t>
  </si>
  <si>
    <t>00221295</t>
  </si>
  <si>
    <t>2985111R</t>
  </si>
  <si>
    <t>The Journal of general psychology</t>
  </si>
  <si>
    <t>JOURNAL OF GENERAL PSYCHOLOGY</t>
  </si>
  <si>
    <t>J Gen Psychol</t>
  </si>
  <si>
    <t>19400888</t>
  </si>
  <si>
    <t>00221309</t>
  </si>
  <si>
    <t>0077340</t>
  </si>
  <si>
    <t>The Journal of general virology</t>
  </si>
  <si>
    <t>JOURNAL OF GENERAL VIROLOGY</t>
  </si>
  <si>
    <t>J Gen Virol</t>
  </si>
  <si>
    <t>Society For General Microbiology</t>
  </si>
  <si>
    <t>9206865</t>
  </si>
  <si>
    <t>Journal of genetic counseling</t>
  </si>
  <si>
    <t>JOURNAL OF GENETIC COUNSELING</t>
  </si>
  <si>
    <t>J Genet Couns</t>
  </si>
  <si>
    <t>15733599</t>
  </si>
  <si>
    <t>10597700</t>
  </si>
  <si>
    <t>2985112R</t>
  </si>
  <si>
    <t>The Journal of genetic psychology</t>
  </si>
  <si>
    <t>JOURNAL OF GENETIC PSYCHOLOGY</t>
  </si>
  <si>
    <t>J Genet Psychol</t>
  </si>
  <si>
    <t>Continues: Pedagogical seminary and journal of genetic psychology.</t>
  </si>
  <si>
    <t>19400896</t>
  </si>
  <si>
    <t>00221325</t>
  </si>
  <si>
    <t>Behavioral Sciences#Genetics#Psychology</t>
  </si>
  <si>
    <t>2985113R</t>
  </si>
  <si>
    <t>Journal of genetics</t>
  </si>
  <si>
    <t>JOURNAL OF GENETICS</t>
  </si>
  <si>
    <t>J Genet</t>
  </si>
  <si>
    <t>09737731</t>
  </si>
  <si>
    <t>00221333</t>
  </si>
  <si>
    <t>Springer India in co-pulbication with Indian Academy of Sciences</t>
  </si>
  <si>
    <t>101304616</t>
  </si>
  <si>
    <t>Journal of genetics and genomics = Yi chuan xue bao</t>
  </si>
  <si>
    <t>JOURNAL OF GENETICS AND GENOMICS = YI CHUAN XUE BAO</t>
  </si>
  <si>
    <t>J Genet Genomics</t>
  </si>
  <si>
    <t>Continues: Acta genetica Sinica.</t>
  </si>
  <si>
    <t>Science press</t>
  </si>
  <si>
    <t>101534770</t>
  </si>
  <si>
    <t>Journal of geriatric oncology</t>
  </si>
  <si>
    <t>JOURNAL OF GERIATRIC ONCOLOGY</t>
  </si>
  <si>
    <t>J Geriatr Oncol</t>
  </si>
  <si>
    <t>Geriatrics#Neoplasms</t>
  </si>
  <si>
    <t>101142169</t>
  </si>
  <si>
    <t>Journal of geriatric physical therapy (2001)</t>
  </si>
  <si>
    <t>JOURNAL OF GERIATRIC PHYSICAL THERAPY (2001)</t>
  </si>
  <si>
    <t>J Geriatr Phys Ther</t>
  </si>
  <si>
    <t>Continues: Issues on aging.</t>
  </si>
  <si>
    <t>21520895</t>
  </si>
  <si>
    <t>15398412</t>
  </si>
  <si>
    <t>Section on Geriatrics of the American Physical Therapy Association</t>
  </si>
  <si>
    <t>Geriatrics#Physical and Rehabilitation Medicine</t>
  </si>
  <si>
    <t>8805645</t>
  </si>
  <si>
    <t>Journal of geriatric psychiatry and neurology</t>
  </si>
  <si>
    <t>JOURNAL OF GERIATRIC PSYCHIATRY AND NEUROLOGY</t>
  </si>
  <si>
    <t>J Geriatr Psychiatry Neurol</t>
  </si>
  <si>
    <t>Continues: Massachusetts General Hospital newsletter. Topics in geriatrics.</t>
  </si>
  <si>
    <t>7510258</t>
  </si>
  <si>
    <t>Journal of gerontological nursing</t>
  </si>
  <si>
    <t>JOURNAL OF GERONTOLOGICAL NURSING</t>
  </si>
  <si>
    <t>J Gerontol Nurs</t>
  </si>
  <si>
    <t>00989134</t>
  </si>
  <si>
    <t>C. Slack.</t>
  </si>
  <si>
    <t>7903311</t>
  </si>
  <si>
    <t>Journal of gerontological social work</t>
  </si>
  <si>
    <t>JOURNAL OF GERONTOLOGICAL SOCIAL WORK</t>
  </si>
  <si>
    <t>J Gerontol Soc Work</t>
  </si>
  <si>
    <t>15404048</t>
  </si>
  <si>
    <t>01634372</t>
  </si>
  <si>
    <t>8 issues a year, 2008-</t>
  </si>
  <si>
    <t>Geriatrics#Social Sciences</t>
  </si>
  <si>
    <t>9300903</t>
  </si>
  <si>
    <t>Journal of glaucoma</t>
  </si>
  <si>
    <t>JOURNAL OF GLAUCOMA</t>
  </si>
  <si>
    <t>J Glaucoma</t>
  </si>
  <si>
    <t>9437868</t>
  </si>
  <si>
    <t>Journal of gravitational physiology : a journal of the International Society for Gravitational Physiology</t>
  </si>
  <si>
    <t>JOURNAL OF GRAVITATIONAL PHYSIOLOGY : A JOURNAL OF THE INTERNATIONAL SOCIETY FOR GRAVITATIONAL PHYSIOLOGY</t>
  </si>
  <si>
    <t>J Gravit Physiol</t>
  </si>
  <si>
    <t>10779248</t>
  </si>
  <si>
    <t>Galileo Foundation</t>
  </si>
  <si>
    <t>7609631</t>
  </si>
  <si>
    <t>The Journal of hand surgery</t>
  </si>
  <si>
    <t>JOURNAL OF HAND SURGERY</t>
  </si>
  <si>
    <t>J Hand Surg Am</t>
  </si>
  <si>
    <t>Twelve no. a year, 2011-</t>
  </si>
  <si>
    <t>101315820</t>
  </si>
  <si>
    <t>The Journal of hand surgery, European volume</t>
  </si>
  <si>
    <t>JOURNAL OF HAND SURGERY, EUROPEAN VOLUME</t>
  </si>
  <si>
    <t>J Hand Surg Eur Vol</t>
  </si>
  <si>
    <t>Continues: Journal of hand surgery (Edinburgh, Scotland).</t>
  </si>
  <si>
    <t>20436289</t>
  </si>
  <si>
    <t>17531934</t>
  </si>
  <si>
    <t>02667681</t>
  </si>
  <si>
    <t>Nine issues yearly, &lt;2010-&gt;</t>
  </si>
  <si>
    <t>8806591</t>
  </si>
  <si>
    <t>Journal of hand therapy : official journal of the American Society of Hand Therapists</t>
  </si>
  <si>
    <t>JOURNAL OF HAND THERAPY : OFFICIAL JOURNAL OF THE AMERICAN SOCIETY OF HAND THERAPISTS</t>
  </si>
  <si>
    <t>J Hand Ther</t>
  </si>
  <si>
    <t>Hanley &amp; Belfus, Inc.</t>
  </si>
  <si>
    <t>9422688</t>
  </si>
  <si>
    <t>Journal of hazardous materials</t>
  </si>
  <si>
    <t>JOURNAL OF HAZARDOUS MATERIALS</t>
  </si>
  <si>
    <t>J Hazard Mater</t>
  </si>
  <si>
    <t>Twenty seven no. a year, 2002-</t>
  </si>
  <si>
    <t>8702552</t>
  </si>
  <si>
    <t>The Journal of head trauma rehabilitation</t>
  </si>
  <si>
    <t>JOURNAL OF HEAD TRAUMA REHABILITATION</t>
  </si>
  <si>
    <t>J Head Trauma Rehabil</t>
  </si>
  <si>
    <t>Aspen Publications</t>
  </si>
  <si>
    <t>Physical and Rehabilitation Medicine#Traumatology</t>
  </si>
  <si>
    <t>100940562</t>
  </si>
  <si>
    <t>The journal of headache and pain</t>
  </si>
  <si>
    <t>JOURNAL OF HEADACHE AND PAIN</t>
  </si>
  <si>
    <t>J Headache Pain</t>
  </si>
  <si>
    <t>Springer Verlag Italia</t>
  </si>
  <si>
    <t>101464667</t>
  </si>
  <si>
    <t>Journal of health &amp; life sciences law</t>
  </si>
  <si>
    <t>JOURNAL OF HEALTH &amp; LIFE SCIENCES LAW</t>
  </si>
  <si>
    <t>J Health Life Sci Law</t>
  </si>
  <si>
    <t>Continues: Journal of health law.</t>
  </si>
  <si>
    <t>19424736</t>
  </si>
  <si>
    <t>American Health Lawyers Association</t>
  </si>
  <si>
    <t>8403840</t>
  </si>
  <si>
    <t>The Journal of health administration education</t>
  </si>
  <si>
    <t>JOURNAL OF HEALTH ADMINISTRATION EDUCATION</t>
  </si>
  <si>
    <t>J Health Adm Educ</t>
  </si>
  <si>
    <t>Continues: Program notes - Association of University Programs in Health Administration.</t>
  </si>
  <si>
    <t>21588236</t>
  </si>
  <si>
    <t>07356722</t>
  </si>
  <si>
    <t>Association of University Programs in Health Administration</t>
  </si>
  <si>
    <t>Education#Health Services#Public Health</t>
  </si>
  <si>
    <t>9501928</t>
  </si>
  <si>
    <t>Journal of health and human services administration</t>
  </si>
  <si>
    <t>JOURNAL OF HEALTH AND HUMAN SERVICES ADMINISTRATION</t>
  </si>
  <si>
    <t>J Health Hum Serv Adm</t>
  </si>
  <si>
    <t>Continues: Journal of health and human resources administration.</t>
  </si>
  <si>
    <t>10793739</t>
  </si>
  <si>
    <t>Southern Public Administration Education Foundation</t>
  </si>
  <si>
    <t>0103130</t>
  </si>
  <si>
    <t>Journal of health and social behavior</t>
  </si>
  <si>
    <t>JOURNAL OF HEALTH AND SOCIAL BEHAVIOR</t>
  </si>
  <si>
    <t>J Health Soc Behav</t>
  </si>
  <si>
    <t>Continues: Journal of health and human behavior.</t>
  </si>
  <si>
    <t>21506000</t>
  </si>
  <si>
    <t>00221465</t>
  </si>
  <si>
    <t>8800764</t>
  </si>
  <si>
    <t>Journal of health care chaplaincy</t>
  </si>
  <si>
    <t>JOURNAL OF HEALTH CARE CHAPLAINCY</t>
  </si>
  <si>
    <t>J Health Care Chaplain</t>
  </si>
  <si>
    <t>15286916</t>
  </si>
  <si>
    <t>08854726</t>
  </si>
  <si>
    <t>9503024</t>
  </si>
  <si>
    <t>Journal of health care finance</t>
  </si>
  <si>
    <t>JOURNAL OF HEALTH CARE FINANCE</t>
  </si>
  <si>
    <t>J Health Care Finance</t>
  </si>
  <si>
    <t>Continues: Topics in health care financing.</t>
  </si>
  <si>
    <t>Aspen Publishers</t>
  </si>
  <si>
    <t>9103800</t>
  </si>
  <si>
    <t>Journal of health care for the poor and underserved</t>
  </si>
  <si>
    <t>JOURNAL OF HEALTH CARE FOR THE POOR AND UNDERSERVED</t>
  </si>
  <si>
    <t>J Health Care Poor Underserved</t>
  </si>
  <si>
    <t>15486869</t>
  </si>
  <si>
    <t>10492089</t>
  </si>
  <si>
    <t>9604100</t>
  </si>
  <si>
    <t>Journal of health communication</t>
  </si>
  <si>
    <t>JOURNAL OF HEALTH COMMUNICATION</t>
  </si>
  <si>
    <t>J Health Commun</t>
  </si>
  <si>
    <t>10870415</t>
  </si>
  <si>
    <t>10810730</t>
  </si>
  <si>
    <t>8410622</t>
  </si>
  <si>
    <t>Journal of health economics</t>
  </si>
  <si>
    <t>JOURNAL OF HEALTH ECONOMICS</t>
  </si>
  <si>
    <t>J Health Econ</t>
  </si>
  <si>
    <t>Elsevier North Holland</t>
  </si>
  <si>
    <t>101179473</t>
  </si>
  <si>
    <t>Journal of health organization and management</t>
  </si>
  <si>
    <t>JOURNAL OF HEALTH ORGANIZATION AND MANAGEMENT</t>
  </si>
  <si>
    <t>J Health Organ Manag</t>
  </si>
  <si>
    <t>Continues: Journal of management in medicine.</t>
  </si>
  <si>
    <t>14777266</t>
  </si>
  <si>
    <t>7609331</t>
  </si>
  <si>
    <t>Journal of health politics, policy and law</t>
  </si>
  <si>
    <t>JOURNAL OF HEALTH POLITICS, POLICY AND LAW</t>
  </si>
  <si>
    <t>J Health Polit Policy Law</t>
  </si>
  <si>
    <t>15271927</t>
  </si>
  <si>
    <t>03616878</t>
  </si>
  <si>
    <t>Duke Univ. Press.</t>
  </si>
  <si>
    <t>Health Services Research#Jurisprudence#Public Health</t>
  </si>
  <si>
    <t>9703616</t>
  </si>
  <si>
    <t>Journal of health psychology</t>
  </si>
  <si>
    <t>JOURNAL OF HEALTH PSYCHOLOGY</t>
  </si>
  <si>
    <t>J Health Psychol</t>
  </si>
  <si>
    <t>14617277</t>
  </si>
  <si>
    <t>13591053</t>
  </si>
  <si>
    <t>9604936</t>
  </si>
  <si>
    <t>Journal of health services research &amp; policy</t>
  </si>
  <si>
    <t>JOURNAL OF HEALTH SERVICES RESEARCH &amp; POLICY</t>
  </si>
  <si>
    <t>J Health Serv Res Policy</t>
  </si>
  <si>
    <t>17581060</t>
  </si>
  <si>
    <t>100959228</t>
  </si>
  <si>
    <t>Journal of health, population, and nutrition</t>
  </si>
  <si>
    <t>JOURNAL OF HEALTH, POPULATION, AND NUTRITION</t>
  </si>
  <si>
    <t>J Health Popul Nutr</t>
  </si>
  <si>
    <t>Continues: Journal of diarrhoeal diseases research.</t>
  </si>
  <si>
    <t>20721315</t>
  </si>
  <si>
    <t>16060997</t>
  </si>
  <si>
    <t>ICDDR,B: Centre for Health and Population Research</t>
  </si>
  <si>
    <t>Nutritional Sciences#Public Health</t>
  </si>
  <si>
    <t>101528166</t>
  </si>
  <si>
    <t>Journal of healthcare engineering</t>
  </si>
  <si>
    <t>JOURNAL OF HEALTHCARE ENGINEERING</t>
  </si>
  <si>
    <t>J Healthc Eng</t>
  </si>
  <si>
    <t>Multi-Science Pub.</t>
  </si>
  <si>
    <t>Biomedical Engineering#Health Services</t>
  </si>
  <si>
    <t>9815773</t>
  </si>
  <si>
    <t>Journal of healthcare information management : JHIM</t>
  </si>
  <si>
    <t>JOURNAL OF HEALTHCARE INFORMATION MANAGEMENT : JHIM</t>
  </si>
  <si>
    <t>J Healthc Inf Manag</t>
  </si>
  <si>
    <t>Continues: Healthcare information management.</t>
  </si>
  <si>
    <t>1943734X</t>
  </si>
  <si>
    <t>1099811X</t>
  </si>
  <si>
    <t>Healthcare Information and Management Systems Society</t>
  </si>
  <si>
    <t>9803529</t>
  </si>
  <si>
    <t>Journal of healthcare management / American College of Healthcare Executives</t>
  </si>
  <si>
    <t>JOURNAL OF HEALTHCARE MANAGEMENT / AMERICAN COLLEGE OF HEALTHCARE EXECUTIVES</t>
  </si>
  <si>
    <t>J Healthc Manag</t>
  </si>
  <si>
    <t>Continues: Hospital &amp; health services administration.</t>
  </si>
  <si>
    <t>8506548</t>
  </si>
  <si>
    <t>Journal of healthcare protection management : publication of the International Association for Hospital Security</t>
  </si>
  <si>
    <t>JOURNAL OF HEALTHCARE PROTECTION MANAGEMENT : PUBLICATION OF THE INTERNATIONAL ASSOCIATION FOR HOSPITAL SECURITY</t>
  </si>
  <si>
    <t>J Healthc Prot Manage</t>
  </si>
  <si>
    <t>08917930</t>
  </si>
  <si>
    <t>International Association for Hospital Security</t>
  </si>
  <si>
    <t>9305245</t>
  </si>
  <si>
    <t>Journal of healthcare risk management : the journal of the American Society for Healthcare Risk Management</t>
  </si>
  <si>
    <t>JOURNAL OF HEALTHCARE RISK MANAGEMENT : THE JOURNAL OF THE AMERICAN SOCIETY FOR HEALTHCARE RISK MANAGEMENT</t>
  </si>
  <si>
    <t>J Healthc Risk Manag</t>
  </si>
  <si>
    <t>Continues: Perspectives in healthcare risk management.</t>
  </si>
  <si>
    <t>20400861</t>
  </si>
  <si>
    <t>10744797</t>
  </si>
  <si>
    <t>American Society for Healthcare Risk Management of the American Hospital Association</t>
  </si>
  <si>
    <t>9102703</t>
  </si>
  <si>
    <t>The Journal of heart and lung transplantation : the official publication of the International Society for Heart Transplantation</t>
  </si>
  <si>
    <t>JOURNAL OF HEART AND LUNG TRANSPLANTATION : THE OFFICIAL PUBLICATION OF THE INTERNATIONAL SOCIETY FOR HEART TRANSPLANTATION</t>
  </si>
  <si>
    <t>J Heart Lung Transplant</t>
  </si>
  <si>
    <t>Continues: Journal of heart transplantation.</t>
  </si>
  <si>
    <t>Monthly, 1996-</t>
  </si>
  <si>
    <t>Cardiology#Pulmonary Medicine#Transplantation</t>
  </si>
  <si>
    <t>9312096</t>
  </si>
  <si>
    <t>The Journal of heart valve disease</t>
  </si>
  <si>
    <t>JOURNAL OF HEART VALVE DISEASE</t>
  </si>
  <si>
    <t>J Heart Valve Dis</t>
  </si>
  <si>
    <t>20532644</t>
  </si>
  <si>
    <t>ICR Publishers</t>
  </si>
  <si>
    <t>2985115R</t>
  </si>
  <si>
    <t>Journal of helminthology</t>
  </si>
  <si>
    <t>JOURNAL OF HELMINTHOLOGY</t>
  </si>
  <si>
    <t>J Helminthol</t>
  </si>
  <si>
    <t>London School Of Hygiene And Tropical Medicine</t>
  </si>
  <si>
    <t>101468937</t>
  </si>
  <si>
    <t>Journal of hematology &amp; oncology</t>
  </si>
  <si>
    <t>JOURNAL OF HEMATOLOGY &amp; ONCOLOGY</t>
  </si>
  <si>
    <t>J Hematol Oncol</t>
  </si>
  <si>
    <t>101528587</t>
  </si>
  <si>
    <t>Journal of hepato-biliary-pancreatic sciences</t>
  </si>
  <si>
    <t>JOURNAL OF HEPATO-BILIARY-PANCREATIC SCIENCES</t>
  </si>
  <si>
    <t>J Hepatobiliary Pancreat Sci</t>
  </si>
  <si>
    <t>Continues: Journal of hepato-biliary-pancreatic surgery.</t>
  </si>
  <si>
    <t>Wiley Japan</t>
  </si>
  <si>
    <t>8503886</t>
  </si>
  <si>
    <t>Journal of hepatology</t>
  </si>
  <si>
    <t>JOURNAL OF HEPATOLOGY</t>
  </si>
  <si>
    <t>J Hepatol</t>
  </si>
  <si>
    <t>Absorbed: Journal of hepatology. Supplement.</t>
  </si>
  <si>
    <t>16000641</t>
  </si>
  <si>
    <t>0375373</t>
  </si>
  <si>
    <t>The Journal of heredity</t>
  </si>
  <si>
    <t>JOURNAL OF HEREDITY</t>
  </si>
  <si>
    <t>J Hered</t>
  </si>
  <si>
    <t>Continues: American breeders magazine.</t>
  </si>
  <si>
    <t>Oxford University Press For The American Genetic Association</t>
  </si>
  <si>
    <t>9815334</t>
  </si>
  <si>
    <t>The journal of histochemistry and cytochemistry : official journal of the Histochemistry Society</t>
  </si>
  <si>
    <t>JOURNAL OF HISTOCHEMISTRY AND CYTOCHEMISTRY : OFFICIAL JOURNAL OF THE HISTOCHEMISTRY SOCIETY</t>
  </si>
  <si>
    <t>J Histochem Cytochem</t>
  </si>
  <si>
    <t>15515044</t>
  </si>
  <si>
    <t>101088049</t>
  </si>
  <si>
    <t>Journal of HIV therapy</t>
  </si>
  <si>
    <t>JOURNAL OF HIV THERAPY</t>
  </si>
  <si>
    <t>J HIV Ther</t>
  </si>
  <si>
    <t>Absorbed: HIV &amp; AIDS current trends. 2005 Continues: Journal of HIV combination therapy.</t>
  </si>
  <si>
    <t>14620308</t>
  </si>
  <si>
    <t>Mediscript</t>
  </si>
  <si>
    <t>8506709</t>
  </si>
  <si>
    <t>Journal of holistic nursing : official journal of the American Holistic Nurses' Association</t>
  </si>
  <si>
    <t>JOURNAL OF HOLISTIC NURSING : OFFICIAL JOURNAL OF THE AMERICAN HOLISTIC NURSES' ASSOCIATION</t>
  </si>
  <si>
    <t>J Holist Nurs</t>
  </si>
  <si>
    <t>15525724</t>
  </si>
  <si>
    <t>08980101</t>
  </si>
  <si>
    <t>7502386</t>
  </si>
  <si>
    <t>Journal of homosexuality</t>
  </si>
  <si>
    <t>JOURNAL OF HOMOSEXUALITY</t>
  </si>
  <si>
    <t>J Homosex</t>
  </si>
  <si>
    <t>15403602</t>
  </si>
  <si>
    <t>00918369</t>
  </si>
  <si>
    <t>Ten issues a year</t>
  </si>
  <si>
    <t>8007166</t>
  </si>
  <si>
    <t>The Journal of hospital infection</t>
  </si>
  <si>
    <t>JOURNAL OF HOSPITAL INFECTION</t>
  </si>
  <si>
    <t>J Hosp Infect</t>
  </si>
  <si>
    <t>W.B. Saunders For The Hospital Infection Society</t>
  </si>
  <si>
    <t>Communicable Diseases#Hospitals</t>
  </si>
  <si>
    <t>101121477</t>
  </si>
  <si>
    <t>Journal of hospital marketing &amp; public relations</t>
  </si>
  <si>
    <t>JOURNAL OF HOSPITAL MARKETING &amp; PUBLIC RELATIONS</t>
  </si>
  <si>
    <t>J Hosp Mark Public Relations</t>
  </si>
  <si>
    <t>Continues: Journal of hospital marketing.</t>
  </si>
  <si>
    <t>15390934</t>
  </si>
  <si>
    <t>15390942</t>
  </si>
  <si>
    <t>101271025</t>
  </si>
  <si>
    <t>Journal of hospital medicine : an official publication of the Society of Hospital Medicine</t>
  </si>
  <si>
    <t>JOURNAL OF HOSPITAL MEDICINE : AN OFFICIAL PUBLICATION OF THE SOCIETY OF HOSPITAL MEDICINE</t>
  </si>
  <si>
    <t>J Hosp Med</t>
  </si>
  <si>
    <t>Monthly, Jan. 2013-</t>
  </si>
  <si>
    <t>101169627</t>
  </si>
  <si>
    <t>Journal of Huazhong University of Science and Technology. Medical sciences = Hua zhong ke ji da xue xue bao. Yi xue Ying De wen ban = Huazhong keji daxue xuebao. Yixue Yingdewen ban</t>
  </si>
  <si>
    <t>JOURNAL OF HUAZHONG UNIVERSITY OF SCIENCE AND TECHNOLOGY. MEDICAL SCIENCES = HUA ZHONG KE JI DA XUE XUE BAO. YI XUE YING DE WEN BAN = HUAZHONG KEJI DAXUE XUEBAO. YIXUE YINGDEWEN BAN</t>
  </si>
  <si>
    <t>J Huazhong Univ Sci Technolog Med Sci</t>
  </si>
  <si>
    <t>Continues: Journal of Tongji Medical University.</t>
  </si>
  <si>
    <t>16720733</t>
  </si>
  <si>
    <t>Huazhong University of Science and Technology</t>
  </si>
  <si>
    <t>0364267</t>
  </si>
  <si>
    <t>Journal of human ergology</t>
  </si>
  <si>
    <t>JOURNAL OF HUMAN ERGOLOGY</t>
  </si>
  <si>
    <t>J Hum Ergol (Tokyo)</t>
  </si>
  <si>
    <t>18843964</t>
  </si>
  <si>
    <t>03008134</t>
  </si>
  <si>
    <t>Human Ergology Society</t>
  </si>
  <si>
    <t>0337330</t>
  </si>
  <si>
    <t>Journal of human evolution</t>
  </si>
  <si>
    <t>JOURNAL OF HUMAN EVOLUTION</t>
  </si>
  <si>
    <t>J Hum Evol</t>
  </si>
  <si>
    <t>10958606</t>
  </si>
  <si>
    <t>00472484</t>
  </si>
  <si>
    <t>Anthropology#Biology</t>
  </si>
  <si>
    <t>9808008</t>
  </si>
  <si>
    <t>Journal of human genetics</t>
  </si>
  <si>
    <t>JOURNAL OF HUMAN GENETICS</t>
  </si>
  <si>
    <t>J Hum Genet</t>
  </si>
  <si>
    <t>Continues: Japanese journal of human genetics.</t>
  </si>
  <si>
    <t>8811625</t>
  </si>
  <si>
    <t>Journal of human hypertension</t>
  </si>
  <si>
    <t>JOURNAL OF HUMAN HYPERTENSION</t>
  </si>
  <si>
    <t>J Hum Hypertens</t>
  </si>
  <si>
    <t>8709498</t>
  </si>
  <si>
    <t>Journal of human lactation : official journal of International Lactation Consultant Association</t>
  </si>
  <si>
    <t>JOURNAL OF HUMAN LACTATION : OFFICIAL JOURNAL OF INTERNATIONAL LACTATION CONSULTANT ASSOCIATION</t>
  </si>
  <si>
    <t>J Hum Lact</t>
  </si>
  <si>
    <t>15525732</t>
  </si>
  <si>
    <t>08903344</t>
  </si>
  <si>
    <t>Nursing#Obstetrics</t>
  </si>
  <si>
    <t>8904840</t>
  </si>
  <si>
    <t>Journal of human nutrition and dietetics : the official journal of the British Dietetic Association</t>
  </si>
  <si>
    <t>JOURNAL OF HUMAN NUTRITION AND DIETETICS : THE OFFICIAL JOURNAL OF THE BRITISH DIETETIC ASSOCIATION</t>
  </si>
  <si>
    <t>J Hum Nutr Diet</t>
  </si>
  <si>
    <t>Coninues in part: Human nutrition. Applied nutrition.</t>
  </si>
  <si>
    <t>1365277X</t>
  </si>
  <si>
    <t>09523871</t>
  </si>
  <si>
    <t>Blackwell Scientific Publications, [c1988-</t>
  </si>
  <si>
    <t>8306882</t>
  </si>
  <si>
    <t>Journal of hypertension</t>
  </si>
  <si>
    <t>JOURNAL OF HYPERTENSION</t>
  </si>
  <si>
    <t>J Hypertens</t>
  </si>
  <si>
    <t>8501422</t>
  </si>
  <si>
    <t>Journal of hypertension. Supplement : official journal of the International Society of Hypertension</t>
  </si>
  <si>
    <t>JOURNAL OF HYPERTENSION. SUPPLEMENT : OFFICIAL JOURNAL OF THE INTERNATIONAL SOCIETY OF HYPERTENSION</t>
  </si>
  <si>
    <t>J Hypertens Suppl</t>
  </si>
  <si>
    <t>09521178</t>
  </si>
  <si>
    <t>101256527</t>
  </si>
  <si>
    <t>Journal of immigrant and minority health / Center for Minority Public Health</t>
  </si>
  <si>
    <t>JOURNAL OF IMMIGRANT AND MINORITY HEALTH / CENTER FOR MINORITY PUBLIC HEALTH</t>
  </si>
  <si>
    <t>J Immigr Minor Health</t>
  </si>
  <si>
    <t>Continues: Journal of immigrant health.</t>
  </si>
  <si>
    <t>15571920</t>
  </si>
  <si>
    <t>15571912</t>
  </si>
  <si>
    <t>100963688</t>
  </si>
  <si>
    <t>Journal of immunoassay &amp; immunochemistry</t>
  </si>
  <si>
    <t>JOURNAL OF IMMUNOASSAY &amp; IMMUNOCHEMISTRY</t>
  </si>
  <si>
    <t>J Immunoassay Immunochem</t>
  </si>
  <si>
    <t>Continues: Journal of immunoassay.</t>
  </si>
  <si>
    <t>1305440</t>
  </si>
  <si>
    <t>Journal of immunological methods</t>
  </si>
  <si>
    <t>JOURNAL OF IMMUNOLOGICAL METHODS</t>
  </si>
  <si>
    <t>J Immunol Methods</t>
  </si>
  <si>
    <t>Absorbed: Immunotechnology.</t>
  </si>
  <si>
    <t>2985117R</t>
  </si>
  <si>
    <t>Journal of immunology (Baltimore, Md. : 1950)</t>
  </si>
  <si>
    <t>JOURNAL OF IMMUNOLOGY (BALTIMORE, MD. : 1950)</t>
  </si>
  <si>
    <t>J Immunol</t>
  </si>
  <si>
    <t>Continues: Journal of immunology, virus research and experimental chemotherapy.</t>
  </si>
  <si>
    <t>Semimonthly, Jan. 1986-</t>
  </si>
  <si>
    <t>9706083</t>
  </si>
  <si>
    <t>Journal of immunotherapy (Hagerstown, Md. : 1997)</t>
  </si>
  <si>
    <t>JOURNAL OF IMMUNOTHERAPY (HAGERSTOWN, MD. : 1997)</t>
  </si>
  <si>
    <t>J Immunother</t>
  </si>
  <si>
    <t>Continues: Journal of immunotherapy with emphasis on tumor immunology.</t>
  </si>
  <si>
    <t>Nine no. a year, 2008-</t>
  </si>
  <si>
    <t>101201960</t>
  </si>
  <si>
    <t>Journal of immunotoxicology</t>
  </si>
  <si>
    <t>JOURNAL OF IMMUNOTOXICOLOGY</t>
  </si>
  <si>
    <t>J Immunotoxicol</t>
  </si>
  <si>
    <t>15476901</t>
  </si>
  <si>
    <t>Allergy and Immunology#Toxicology</t>
  </si>
  <si>
    <t>9705544</t>
  </si>
  <si>
    <t>Journal of industrial microbiology &amp; biotechnology</t>
  </si>
  <si>
    <t>JOURNAL OF INDUSTRIAL MICROBIOLOGY &amp; BIOTECHNOLOGY</t>
  </si>
  <si>
    <t>J Ind Microbiol Biotechnol</t>
  </si>
  <si>
    <t>Continues: Journal of industrial microbiology.</t>
  </si>
  <si>
    <t>7908424</t>
  </si>
  <si>
    <t>The Journal of infection</t>
  </si>
  <si>
    <t>JOURNAL OF INFECTION</t>
  </si>
  <si>
    <t>J Infect</t>
  </si>
  <si>
    <t>Eighy no. a year 2001-</t>
  </si>
  <si>
    <t>9608375</t>
  </si>
  <si>
    <t>Journal of infection and chemotherapy : official journal of the Japan Society of Chemotherapy</t>
  </si>
  <si>
    <t>JOURNAL OF INFECTION AND CHEMOTHERAPY : OFFICIAL JOURNAL OF THE JAPAN SOCIETY OF CHEMOTHERAPY</t>
  </si>
  <si>
    <t>J Infect Chemother</t>
  </si>
  <si>
    <t>Anti-Infective Agents#Communicable Diseases#Drug Therapy#Microbiology</t>
  </si>
  <si>
    <t>101487384</t>
  </si>
  <si>
    <t>Journal of infection and public health</t>
  </si>
  <si>
    <t>JOURNAL OF INFECTION AND PUBLIC HEALTH</t>
  </si>
  <si>
    <t>J Infect Public Health</t>
  </si>
  <si>
    <t>101305410</t>
  </si>
  <si>
    <t>Journal of infection in developing countries</t>
  </si>
  <si>
    <t>JOURNAL OF INFECTION IN DEVELOPING COUNTRIES</t>
  </si>
  <si>
    <t>J Infect Dev Ctries</t>
  </si>
  <si>
    <t>Open Learning on Enteric Pathogens</t>
  </si>
  <si>
    <t>0413675</t>
  </si>
  <si>
    <t>The Journal of infectious diseases</t>
  </si>
  <si>
    <t>JOURNAL OF INFECTIOUS DISEASES</t>
  </si>
  <si>
    <t>J Infect Dis</t>
  </si>
  <si>
    <t>15376613</t>
  </si>
  <si>
    <t>1904</t>
  </si>
  <si>
    <t>101124170</t>
  </si>
  <si>
    <t>Journal of infusion nursing : the official publication of the Infusion Nurses Society</t>
  </si>
  <si>
    <t>JOURNAL OF INFUSION NURSING : THE OFFICIAL PUBLICATION OF THE INFUSION NURSES SOCIETY</t>
  </si>
  <si>
    <t>J Infus Nurs</t>
  </si>
  <si>
    <t>Continues: Journal of intravenous nursing.</t>
  </si>
  <si>
    <t>7910918</t>
  </si>
  <si>
    <t>Journal of inherited metabolic disease</t>
  </si>
  <si>
    <t>JOURNAL OF INHERITED METABOLIC DISEASE</t>
  </si>
  <si>
    <t>J Inherit Metab Dis</t>
  </si>
  <si>
    <t>101535747</t>
  </si>
  <si>
    <t>Journal of injury &amp; violence research</t>
  </si>
  <si>
    <t>JOURNAL OF INJURY &amp; VIOLENCE RESEARCH</t>
  </si>
  <si>
    <t>J Inj Violence Res</t>
  </si>
  <si>
    <t>20084072</t>
  </si>
  <si>
    <t>20082053</t>
  </si>
  <si>
    <t>Kermanshah University of Medical Sciences</t>
  </si>
  <si>
    <t>101469471</t>
  </si>
  <si>
    <t>Journal of innate immunity</t>
  </si>
  <si>
    <t>JOURNAL OF INNATE IMMUNITY</t>
  </si>
  <si>
    <t>J Innate Immun</t>
  </si>
  <si>
    <t>7905788</t>
  </si>
  <si>
    <t>Journal of inorganic biochemistry</t>
  </si>
  <si>
    <t>JOURNAL OF INORGANIC BIOCHEMISTRY</t>
  </si>
  <si>
    <t>J Inorg Biochem</t>
  </si>
  <si>
    <t>Continues: Bioinorganic chemistry.</t>
  </si>
  <si>
    <t>2985080R</t>
  </si>
  <si>
    <t>Journal of insect physiology</t>
  </si>
  <si>
    <t>JOURNAL OF INSECT PHYSIOLOGY</t>
  </si>
  <si>
    <t>J Insect Physiol</t>
  </si>
  <si>
    <t>18791611</t>
  </si>
  <si>
    <t>00221910</t>
  </si>
  <si>
    <t>101096396</t>
  </si>
  <si>
    <t>Journal of insect science (Online)</t>
  </si>
  <si>
    <t>JOURNAL OF INSECT SCIENCE (ONLINE)</t>
  </si>
  <si>
    <t>J Insect Sci</t>
  </si>
  <si>
    <t>15362442</t>
  </si>
  <si>
    <t>University of Arizona Library</t>
  </si>
  <si>
    <t>8401468</t>
  </si>
  <si>
    <t>Journal of insurance medicine (New York, N.Y.)</t>
  </si>
  <si>
    <t>JOURNAL OF INSURANCE MEDICINE (NEW YORK, N.Y.)</t>
  </si>
  <si>
    <t>J Insur Med</t>
  </si>
  <si>
    <t>Continues: Insurance medicine.</t>
  </si>
  <si>
    <t>07436661</t>
  </si>
  <si>
    <t>American Academy of Insurance Medicine</t>
  </si>
  <si>
    <t>101503361</t>
  </si>
  <si>
    <t>Journal of integrative bioinformatics</t>
  </si>
  <si>
    <t>JOURNAL OF INTEGRATIVE BIOINFORMATICS</t>
  </si>
  <si>
    <t>J Integr Bioinform</t>
  </si>
  <si>
    <t>16134516</t>
  </si>
  <si>
    <t>IMBio e.V.</t>
  </si>
  <si>
    <t>101603118</t>
  </si>
  <si>
    <t>Journal of integrative medicine</t>
  </si>
  <si>
    <t>JOURNAL OF INTEGRATIVE MEDICINE</t>
  </si>
  <si>
    <t>J Integr Med</t>
  </si>
  <si>
    <t>Continues: Zhong xi yi jie he xue bao.</t>
  </si>
  <si>
    <t>Science Press (China)</t>
  </si>
  <si>
    <t>Complementary Therapies#Medicine</t>
  </si>
  <si>
    <t>101156357</t>
  </si>
  <si>
    <t>Journal of integrative neuroscience</t>
  </si>
  <si>
    <t>JOURNAL OF INTEGRATIVE NEUROSCIENCE</t>
  </si>
  <si>
    <t>J Integr Neurosci</t>
  </si>
  <si>
    <t>101250502</t>
  </si>
  <si>
    <t>Journal of integrative plant biology</t>
  </si>
  <si>
    <t>JOURNAL OF INTEGRATIVE PLANT BIOLOGY</t>
  </si>
  <si>
    <t>J Integr Plant Biol</t>
  </si>
  <si>
    <t>Continues: Acta botanica sinica.</t>
  </si>
  <si>
    <t>17447909</t>
  </si>
  <si>
    <t>16729072</t>
  </si>
  <si>
    <t>Wiley-Blackwell Pub</t>
  </si>
  <si>
    <t>9610837</t>
  </si>
  <si>
    <t>Journal of intellectual &amp; developmental disability</t>
  </si>
  <si>
    <t>JOURNAL OF INTELLECTUAL &amp; DEVELOPMENTAL DISABILITY</t>
  </si>
  <si>
    <t>J Intellect Dev Disabil</t>
  </si>
  <si>
    <t>Continues: Australia and New Zealand journal of developmental disabilities.</t>
  </si>
  <si>
    <t>14699532</t>
  </si>
  <si>
    <t>13668250</t>
  </si>
  <si>
    <t>101229024</t>
  </si>
  <si>
    <t>Journal of intellectual disabilities : JOID</t>
  </si>
  <si>
    <t>JOURNAL OF INTELLECTUAL DISABILITIES : JOID</t>
  </si>
  <si>
    <t>J Intellect Disabil</t>
  </si>
  <si>
    <t>Continues: Journal of learning disabilities (London, England).</t>
  </si>
  <si>
    <t>9206090</t>
  </si>
  <si>
    <t>Journal of intellectual disability research : JIDR</t>
  </si>
  <si>
    <t>JOURNAL OF INTELLECTUAL DISABILITY RESEARCH : JIDR</t>
  </si>
  <si>
    <t>J Intellect Disabil Res</t>
  </si>
  <si>
    <t>Continues: Journal of mental deficiency research.</t>
  </si>
  <si>
    <t>Blackwell Scientific Publications on behalf of the Royal Society for Mentally Handicapped Children and Adults</t>
  </si>
  <si>
    <t>Monthly, &lt;2008-&gt;</t>
  </si>
  <si>
    <t>8610344</t>
  </si>
  <si>
    <t>Journal of intensive care medicine</t>
  </si>
  <si>
    <t>JOURNAL OF INTENSIVE CARE MEDICINE</t>
  </si>
  <si>
    <t>J Intensive Care Med</t>
  </si>
  <si>
    <t>9507088</t>
  </si>
  <si>
    <t>Journal of interferon &amp; cytokine research : the official journal of the International Society for Interferon and Cytokine Research</t>
  </si>
  <si>
    <t>JOURNAL OF INTERFERON &amp; CYTOKINE RESEARCH : THE OFFICIAL JOURNAL OF THE INTERNATIONAL SOCIETY FOR INTERFERON AND CYTOKINE RESEARCH</t>
  </si>
  <si>
    <t>J Interferon Cytokine Res</t>
  </si>
  <si>
    <t>Formed by the union of: Journal of interferon research; and: Lymphokine and cytokine research, and continues the numbering of the former.</t>
  </si>
  <si>
    <t>8904841</t>
  </si>
  <si>
    <t>Journal of internal medicine</t>
  </si>
  <si>
    <t>JOURNAL OF INTERNAL MEDICINE</t>
  </si>
  <si>
    <t>J Intern Med</t>
  </si>
  <si>
    <t>Continues: Acta medica Scandinavica.</t>
  </si>
  <si>
    <t>8912975</t>
  </si>
  <si>
    <t>Journal of internal medicine. Supplement</t>
  </si>
  <si>
    <t>JOURNAL OF INTERNAL MEDICINE. SUPPLEMENT</t>
  </si>
  <si>
    <t>J Intern Med Suppl</t>
  </si>
  <si>
    <t>Continues: Acta medica Scandinavica. Supplementum.</t>
  </si>
  <si>
    <t>09557873</t>
  </si>
  <si>
    <t>0346411</t>
  </si>
  <si>
    <t>The Journal of international medical research</t>
  </si>
  <si>
    <t>JOURNAL OF INTERNATIONAL MEDICAL RESEARCH</t>
  </si>
  <si>
    <t>J Int Med Res</t>
  </si>
  <si>
    <t>8700910</t>
  </si>
  <si>
    <t>Journal of interpersonal violence</t>
  </si>
  <si>
    <t>JOURNAL OF INTERPERSONAL VIOLENCE</t>
  </si>
  <si>
    <t>J Interpers Violence</t>
  </si>
  <si>
    <t>15526518</t>
  </si>
  <si>
    <t>08862605</t>
  </si>
  <si>
    <t>9205811</t>
  </si>
  <si>
    <t>Journal of interprofessional care</t>
  </si>
  <si>
    <t>JOURNAL OF INTERPROFESSIONAL CARE</t>
  </si>
  <si>
    <t>J Interprof Care</t>
  </si>
  <si>
    <t>Continues: Holistic medicine.</t>
  </si>
  <si>
    <t>14699567</t>
  </si>
  <si>
    <t>13561820</t>
  </si>
  <si>
    <t>Four no. a year, 1998-</t>
  </si>
  <si>
    <t>9708966</t>
  </si>
  <si>
    <t>Journal of interventional cardiac electrophysiology : an international journal of arrhythmias and pacing</t>
  </si>
  <si>
    <t>JOURNAL OF INTERVENTIONAL CARDIAC ELECTROPHYSIOLOGY : AN INTERNATIONAL JOURNAL OF ARRHYTHMIAS AND PACING</t>
  </si>
  <si>
    <t>J Interv Card Electrophysiol</t>
  </si>
  <si>
    <t>Absorbed: Cardiac electrophysiology review. 2004</t>
  </si>
  <si>
    <t>8907826</t>
  </si>
  <si>
    <t>Journal of interventional cardiology</t>
  </si>
  <si>
    <t>JOURNAL OF INTERVENTIONAL CARDIOLOGY</t>
  </si>
  <si>
    <t>J Interv Cardiol</t>
  </si>
  <si>
    <t>8917477</t>
  </si>
  <si>
    <t>The Journal of invasive cardiology</t>
  </si>
  <si>
    <t>JOURNAL OF INVASIVE CARDIOLOGY</t>
  </si>
  <si>
    <t>J Invasive Cardiol</t>
  </si>
  <si>
    <t>0014067</t>
  </si>
  <si>
    <t>Journal of invertebrate pathology</t>
  </si>
  <si>
    <t>JOURNAL OF INVERTEBRATE PATHOLOGY</t>
  </si>
  <si>
    <t>J Invertebr Pathol</t>
  </si>
  <si>
    <t>Continues Journal of insect pathology.</t>
  </si>
  <si>
    <t>10960805</t>
  </si>
  <si>
    <t>00222011</t>
  </si>
  <si>
    <t>9107858</t>
  </si>
  <si>
    <t>Journal of investigational allergology &amp; clinical immunology</t>
  </si>
  <si>
    <t>JOURNAL OF INVESTIGATIONAL ALLERGOLOGY &amp; CLINICAL IMMUNOLOGY</t>
  </si>
  <si>
    <t>J Investig Allergol Clin Immunol</t>
  </si>
  <si>
    <t>Esmon Publicidad</t>
  </si>
  <si>
    <t>Seven issues a year, 2010-</t>
  </si>
  <si>
    <t>101524471</t>
  </si>
  <si>
    <t>Journal of investigative and clinical dentistry</t>
  </si>
  <si>
    <t>JOURNAL OF INVESTIGATIVE AND CLINICAL DENTISTRY</t>
  </si>
  <si>
    <t>J Investig Clin Dent</t>
  </si>
  <si>
    <t>20411626</t>
  </si>
  <si>
    <t>20411618</t>
  </si>
  <si>
    <t>0426720</t>
  </si>
  <si>
    <t>The Journal of investigative dermatology</t>
  </si>
  <si>
    <t>JOURNAL OF INVESTIGATIVE DERMATOLOGY</t>
  </si>
  <si>
    <t>J Invest Dermatol</t>
  </si>
  <si>
    <t>Absorbed: Advances in biology of skin.</t>
  </si>
  <si>
    <t>Monthly, &lt;, Nov. 1975-&gt;</t>
  </si>
  <si>
    <t>9609059</t>
  </si>
  <si>
    <t>The journal of investigative dermatology. Symposium proceedings / the Society for Investigative Dermatology, Inc. [and] European Society for Dermatological Research</t>
  </si>
  <si>
    <t>JOURNAL OF INVESTIGATIVE DERMATOLOGY. SYMPOSIUM PROCEEDINGS / THE SOCIETY FOR INVESTIGATIVE DERMATOLOGY, INC. [AND] EUROPEAN SOCIETY FOR DERMATOLOGICAL RESEARCH</t>
  </si>
  <si>
    <t>J Investig Dermatol Symp Proc</t>
  </si>
  <si>
    <t>9501229</t>
  </si>
  <si>
    <t>Journal of investigative medicine : the official publication of the American Federation for Clinical Research</t>
  </si>
  <si>
    <t>JOURNAL OF INVESTIGATIVE MEDICINE : THE OFFICIAL PUBLICATION OF THE AMERICAN FEDERATION FOR CLINICAL RESEARCH</t>
  </si>
  <si>
    <t>J Investig Med</t>
  </si>
  <si>
    <t>Continues: Clinical research.</t>
  </si>
  <si>
    <t>8809255</t>
  </si>
  <si>
    <t>Journal of investigative surgery : the official journal of the Academy of Surgical Research</t>
  </si>
  <si>
    <t>JOURNAL OF INVESTIGATIVE SURGERY : THE OFFICIAL JOURNAL OF THE ACADEMY OF SURGICAL RESEARCH</t>
  </si>
  <si>
    <t>J Invest Surg</t>
  </si>
  <si>
    <t>101137599</t>
  </si>
  <si>
    <t>The journal of knee surgery</t>
  </si>
  <si>
    <t>JOURNAL OF KNEE SURGERY</t>
  </si>
  <si>
    <t>J Knee Surg</t>
  </si>
  <si>
    <t>Continues: American journal of knee surgery.</t>
  </si>
  <si>
    <t>19382480</t>
  </si>
  <si>
    <t>15388506</t>
  </si>
  <si>
    <t>Thieme Medical</t>
  </si>
  <si>
    <t>101488689</t>
  </si>
  <si>
    <t>Journal of Korean Academy of Nursing</t>
  </si>
  <si>
    <t>JOURNAL OF KOREAN ACADEMY OF NURSING</t>
  </si>
  <si>
    <t>J Korean Acad Nurs</t>
  </si>
  <si>
    <t>Continues: Taehan Kanho Hakhoe chi.</t>
  </si>
  <si>
    <t>2093758X</t>
  </si>
  <si>
    <t>20053673</t>
  </si>
  <si>
    <t>kor</t>
  </si>
  <si>
    <t>8703518</t>
  </si>
  <si>
    <t>Journal of Korean medical science</t>
  </si>
  <si>
    <t>JOURNAL OF KOREAN MEDICAL SCIENCE</t>
  </si>
  <si>
    <t>J Korean Med Sci</t>
  </si>
  <si>
    <t>15986357</t>
  </si>
  <si>
    <t>10118934</t>
  </si>
  <si>
    <t>Korean Academy of Medical Science</t>
  </si>
  <si>
    <t>7610510</t>
  </si>
  <si>
    <t>Journal of labelled compounds &amp; radiopharmaceuticals</t>
  </si>
  <si>
    <t>JOURNAL OF LABELLED COMPOUNDS &amp; RADIOPHARMACEUTICALS</t>
  </si>
  <si>
    <t>J Labelled Comp Radiopharm</t>
  </si>
  <si>
    <t>Continues: Journal of labelled compounds.</t>
  </si>
  <si>
    <t>Wiley.</t>
  </si>
  <si>
    <t>Monthly (semimonthly Mar. and Oct.), 2000-</t>
  </si>
  <si>
    <t>101558509</t>
  </si>
  <si>
    <t>Journal of laboratory automation</t>
  </si>
  <si>
    <t>JOURNAL OF LABORATORY AUTOMATION</t>
  </si>
  <si>
    <t>J Lab Autom</t>
  </si>
  <si>
    <t>Continues: JALA (Charlottesville, Va.).</t>
  </si>
  <si>
    <t>9706293</t>
  </si>
  <si>
    <t>Journal of laparoendoscopic &amp; advanced surgical techniques. Part A</t>
  </si>
  <si>
    <t>JOURNAL OF LAPAROENDOSCOPIC &amp; ADVANCED SURGICAL TECHNIQUES. PART A</t>
  </si>
  <si>
    <t>J Laparoendosc Adv Surg Tech A</t>
  </si>
  <si>
    <t>Absorbed: Pediatric endosurgery &amp; innovative techniques. 2005 Continues in part: Journal of laparoendoscopic surgery.</t>
  </si>
  <si>
    <t>8706896</t>
  </si>
  <si>
    <t>The Journal of laryngology and otology</t>
  </si>
  <si>
    <t>JOURNAL OF LARYNGOLOGY AND OTOLOGY</t>
  </si>
  <si>
    <t>J Laryngol Otol</t>
  </si>
  <si>
    <t>Continues: Journal of laryngology, rhinology, and otology.</t>
  </si>
  <si>
    <t>7809663</t>
  </si>
  <si>
    <t>The Journal of laryngology and otology. Supplement</t>
  </si>
  <si>
    <t>JOURNAL OF LARYNGOLOGY AND OTOLOGY. SUPPLEMENT</t>
  </si>
  <si>
    <t>J Laryngol Otol Suppl</t>
  </si>
  <si>
    <t>01442945</t>
  </si>
  <si>
    <t>Headley Brothers</t>
  </si>
  <si>
    <t>8918134</t>
  </si>
  <si>
    <t>Journal of law and health</t>
  </si>
  <si>
    <t>JOURNAL OF LAW AND HEALTH</t>
  </si>
  <si>
    <t>J Law Health</t>
  </si>
  <si>
    <t>10446419</t>
  </si>
  <si>
    <t>Students at Cleveland-Marshall College of Law, Cleveland State University</t>
  </si>
  <si>
    <t>9431853</t>
  </si>
  <si>
    <t>Journal of law and medicine</t>
  </si>
  <si>
    <t>JOURNAL OF LAW AND MEDICINE</t>
  </si>
  <si>
    <t>J Law Med</t>
  </si>
  <si>
    <t>1320159X</t>
  </si>
  <si>
    <t>Law Book Co.</t>
  </si>
  <si>
    <t>9315583</t>
  </si>
  <si>
    <t>The Journal of law, medicine &amp; ethics : a journal of the American Society of Law, Medicine &amp; Ethics</t>
  </si>
  <si>
    <t>JOURNAL OF LAW, MEDICINE &amp; ETHICS : A JOURNAL OF THE AMERICAN SOCIETY OF LAW, MEDICINE &amp; ETHICS</t>
  </si>
  <si>
    <t>J Law Med Ethics</t>
  </si>
  <si>
    <t>Continues: Law, medicine &amp; health care.</t>
  </si>
  <si>
    <t>1748720X</t>
  </si>
  <si>
    <t>10731105</t>
  </si>
  <si>
    <t>Ethics#Jurisprudence#Medicine</t>
  </si>
  <si>
    <t>0157312</t>
  </si>
  <si>
    <t>Journal of learning disabilities</t>
  </si>
  <si>
    <t>JOURNAL OF LEARNING DISABILITIES</t>
  </si>
  <si>
    <t>J Learn Disabil</t>
  </si>
  <si>
    <t>15384780</t>
  </si>
  <si>
    <t>00222194</t>
  </si>
  <si>
    <t>Professional Press</t>
  </si>
  <si>
    <t>8000151</t>
  </si>
  <si>
    <t>The Journal of legal medicine</t>
  </si>
  <si>
    <t>JOURNAL OF LEGAL MEDICINE</t>
  </si>
  <si>
    <t>J Leg Med</t>
  </si>
  <si>
    <t>1521057X</t>
  </si>
  <si>
    <t>01947648</t>
  </si>
  <si>
    <t>9891002</t>
  </si>
  <si>
    <t>Journal of lesbian studies</t>
  </si>
  <si>
    <t>JOURNAL OF LESBIAN STUDIES</t>
  </si>
  <si>
    <t>J Lesbian Stud</t>
  </si>
  <si>
    <t>15403548</t>
  </si>
  <si>
    <t>10894160</t>
  </si>
  <si>
    <t>8405628</t>
  </si>
  <si>
    <t>Journal of leukocyte biology</t>
  </si>
  <si>
    <t>JOURNAL OF LEUKOCYTE BIOLOGY</t>
  </si>
  <si>
    <t>J Leukoc Biol</t>
  </si>
  <si>
    <t>Continues: RES. Journal of the Reticuloendothelial Society. Reticuloendothelial Society.</t>
  </si>
  <si>
    <t>9207303</t>
  </si>
  <si>
    <t>Journal of leukocyte biology. Supplement</t>
  </si>
  <si>
    <t>JOURNAL OF LEUKOCYTE BIOLOGY. SUPPLEMENT</t>
  </si>
  <si>
    <t>J Leukoc Biol Suppl</t>
  </si>
  <si>
    <t>0376606</t>
  </si>
  <si>
    <t>Journal of lipid research</t>
  </si>
  <si>
    <t>JOURNAL OF LIPID RESEARCH</t>
  </si>
  <si>
    <t>J Lipid Res</t>
  </si>
  <si>
    <t>9001952</t>
  </si>
  <si>
    <t>Journal of liposome research</t>
  </si>
  <si>
    <t>JOURNAL OF LIPOSOME RESEARCH</t>
  </si>
  <si>
    <t>J Liposome Res</t>
  </si>
  <si>
    <t>9110830</t>
  </si>
  <si>
    <t>Journal of long-term effects of medical implants</t>
  </si>
  <si>
    <t>JOURNAL OF LONG-TERM EFFECTS OF MEDICAL IMPLANTS</t>
  </si>
  <si>
    <t>J Long Term Eff Med Implants</t>
  </si>
  <si>
    <t>19404379</t>
  </si>
  <si>
    <t>Technology</t>
  </si>
  <si>
    <t>9704963</t>
  </si>
  <si>
    <t>Journal of lower genital tract disease</t>
  </si>
  <si>
    <t>JOURNAL OF LOWER GENITAL TRACT DISEASE</t>
  </si>
  <si>
    <t>J Low Genit Tract Dis</t>
  </si>
  <si>
    <t>Continues: Colposcopist.</t>
  </si>
  <si>
    <t>9707935</t>
  </si>
  <si>
    <t>Journal of magnetic resonance (San Diego, Calif. : 1997)</t>
  </si>
  <si>
    <t>JOURNAL OF MAGNETIC RESONANCE (SAN DIEGO, CALIF. : 1997)</t>
  </si>
  <si>
    <t>J Magn Reson</t>
  </si>
  <si>
    <t>Merger of: Journal of magnetic resonance. Series A, and: Journal of magnetic resonance. Series B, continuing the numbering of the former.</t>
  </si>
  <si>
    <t>10960856</t>
  </si>
  <si>
    <t>10907807</t>
  </si>
  <si>
    <t>9105850</t>
  </si>
  <si>
    <t>Journal of magnetic resonance imaging : JMRI</t>
  </si>
  <si>
    <t>JOURNAL OF MAGNETIC RESONANCE IMAGING : JMRI</t>
  </si>
  <si>
    <t>J Magn Reson Imaging</t>
  </si>
  <si>
    <t>9601804</t>
  </si>
  <si>
    <t>Journal of mammary gland biology and neoplasia</t>
  </si>
  <si>
    <t>JOURNAL OF MAMMARY GLAND BIOLOGY AND NEOPLASIA</t>
  </si>
  <si>
    <t>J Mammary Gland Biol Neoplasia</t>
  </si>
  <si>
    <t>9605854</t>
  </si>
  <si>
    <t>Journal of managed care pharmacy : JMCP</t>
  </si>
  <si>
    <t>JOURNAL OF MANAGED CARE PHARMACY : JMCP</t>
  </si>
  <si>
    <t>J Manag Care Pharm</t>
  </si>
  <si>
    <t>1944706X</t>
  </si>
  <si>
    <t>Academy of Managed Care Pharmacy</t>
  </si>
  <si>
    <t>7807107</t>
  </si>
  <si>
    <t>Journal of manipulative and physiological therapeutics</t>
  </si>
  <si>
    <t>JOURNAL OF MANIPULATIVE AND PHYSIOLOGICAL THERAPEUTICS</t>
  </si>
  <si>
    <t>J Manipulative Physiol Ther</t>
  </si>
  <si>
    <t>Nine no. a year, 1990-</t>
  </si>
  <si>
    <t>Chiropractic</t>
  </si>
  <si>
    <t>7904614</t>
  </si>
  <si>
    <t>Journal of marital and family therapy</t>
  </si>
  <si>
    <t>JOURNAL OF MARITAL AND FAMILY THERAPY</t>
  </si>
  <si>
    <t>J Marital Fam Ther</t>
  </si>
  <si>
    <t>Continues: Journal of marriage and family counseling.</t>
  </si>
  <si>
    <t>17520606</t>
  </si>
  <si>
    <t>0194472X</t>
  </si>
  <si>
    <t>9504818</t>
  </si>
  <si>
    <t>Journal of mass spectrometry : JMS</t>
  </si>
  <si>
    <t>JOURNAL OF MASS SPECTROMETRY : JMS</t>
  </si>
  <si>
    <t>J Mass Spectrom</t>
  </si>
  <si>
    <t>Merger of: OMS, Organic mass spectrometry; and: Biological mass spectrometry, continuing the numbering of the former.</t>
  </si>
  <si>
    <t>9013087</t>
  </si>
  <si>
    <t>Journal of materials science. Materials in medicine</t>
  </si>
  <si>
    <t>JOURNAL OF MATERIALS SCIENCE. MATERIALS IN MEDICINE</t>
  </si>
  <si>
    <t>J Mater Sci Mater Med</t>
  </si>
  <si>
    <t>101136916</t>
  </si>
  <si>
    <t>The journal of maternal-fetal &amp; neonatal medicine : the official journal of the European Association of Perinatal Medicine, the Federation of Asia and Oceania Perinatal Societies, the International Society of Perinatal Obstetricians</t>
  </si>
  <si>
    <t>JOURNAL OF MATERNAL-FETAL &amp; NEONATAL MEDICINE : THE OFFICIAL JOURNAL OF THE EUROPEAN ASSOCIATION OF PERINATAL MEDICINE, THE FEDERATION OF ASIA AND OCEANIA PERINATAL SOCIETIES, THE INTERNATIONAL SOCIETY OF PERINATAL OBSTETRICIANS</t>
  </si>
  <si>
    <t>J Matern Fetal Neonatal Med</t>
  </si>
  <si>
    <t>Merger of: Journal of maternal-fetal medicine; and: Prenatal and neonatal medicine, and continues the numbering of the former.</t>
  </si>
  <si>
    <t>Obstetrics#Perinatology</t>
  </si>
  <si>
    <t>7502105</t>
  </si>
  <si>
    <t>Journal of mathematical biology</t>
  </si>
  <si>
    <t>JOURNAL OF MATHEMATICAL BIOLOGY</t>
  </si>
  <si>
    <t>J Math Biol</t>
  </si>
  <si>
    <t>14321416</t>
  </si>
  <si>
    <t>03036812</t>
  </si>
  <si>
    <t>9717112</t>
  </si>
  <si>
    <t>Journal of medical and dental sciences</t>
  </si>
  <si>
    <t>JOURNAL OF MEDICAL AND DENTAL SCIENCES</t>
  </si>
  <si>
    <t>J Med Dent Sci</t>
  </si>
  <si>
    <t>Continues: Bulletin of Tokyo Medical and Dental University.</t>
  </si>
  <si>
    <t>21859132</t>
  </si>
  <si>
    <t>13428810</t>
  </si>
  <si>
    <t>Tokyo Medical and Dental University</t>
  </si>
  <si>
    <t>Dentistry#Medicine</t>
  </si>
  <si>
    <t>9308895</t>
  </si>
  <si>
    <t>Journal of medical biography</t>
  </si>
  <si>
    <t>JOURNAL OF MEDICAL BIOGRAPHY</t>
  </si>
  <si>
    <t>J Med Biogr</t>
  </si>
  <si>
    <t>17581087</t>
  </si>
  <si>
    <t>09677720</t>
  </si>
  <si>
    <t>General Surgery#History of Medicine</t>
  </si>
  <si>
    <t>9892255</t>
  </si>
  <si>
    <t>Journal of medical economics</t>
  </si>
  <si>
    <t>JOURNAL OF MEDICAL ECONOMICS</t>
  </si>
  <si>
    <t>J Med Econ</t>
  </si>
  <si>
    <t>Absorbed: Journal of outcomes research. Continues: British journal of medical economics.</t>
  </si>
  <si>
    <t>7702125</t>
  </si>
  <si>
    <t>Journal of medical engineering &amp; technology</t>
  </si>
  <si>
    <t>JOURNAL OF MEDICAL ENGINEERING &amp; TECHNOLOGY</t>
  </si>
  <si>
    <t>J Med Eng Technol</t>
  </si>
  <si>
    <t>Supersedes: Biomedical engineering.</t>
  </si>
  <si>
    <t>Biomedical Engineering#Health Services Research#Technology</t>
  </si>
  <si>
    <t>0375400</t>
  </si>
  <si>
    <t>Journal of medical entomology</t>
  </si>
  <si>
    <t>JOURNAL OF MEDICAL ENTOMOLOGY</t>
  </si>
  <si>
    <t>J Med Entomol</t>
  </si>
  <si>
    <t>00222585</t>
  </si>
  <si>
    <t>7513619</t>
  </si>
  <si>
    <t>Journal of medical ethics</t>
  </si>
  <si>
    <t>JOURNAL OF MEDICAL ETHICS</t>
  </si>
  <si>
    <t>J Med Ethics</t>
  </si>
  <si>
    <t>Continued in part by: Medical humanities, which split off in June 2000 and assumed vol. numbering beginning with v. 26.</t>
  </si>
  <si>
    <t>14734257</t>
  </si>
  <si>
    <t>03066800</t>
  </si>
  <si>
    <t>2985087R</t>
  </si>
  <si>
    <t>Journal of medical genetics</t>
  </si>
  <si>
    <t>JOURNAL OF MEDICAL GENETICS</t>
  </si>
  <si>
    <t>J Med Genet</t>
  </si>
  <si>
    <t>8917478</t>
  </si>
  <si>
    <t>The Journal of medical humanities</t>
  </si>
  <si>
    <t>JOURNAL OF MEDICAL HUMANITIES</t>
  </si>
  <si>
    <t>J Med Humanit</t>
  </si>
  <si>
    <t>Continues: Journal of medical humanities and bioethics.</t>
  </si>
  <si>
    <t>15733645</t>
  </si>
  <si>
    <t>10413545</t>
  </si>
  <si>
    <t>101469340</t>
  </si>
  <si>
    <t>Journal of medical imaging and radiation oncology</t>
  </si>
  <si>
    <t>JOURNAL OF MEDICAL IMAGING AND RADIATION ONCOLOGY</t>
  </si>
  <si>
    <t>J Med Imaging Radiat Oncol</t>
  </si>
  <si>
    <t>Continues: Australasian radiology.</t>
  </si>
  <si>
    <t>Diagnostic Imaging#Neoplasms#Radiology</t>
  </si>
  <si>
    <t>100959882</t>
  </si>
  <si>
    <t>Journal of medical Internet research</t>
  </si>
  <si>
    <t>JOURNAL OF MEDICAL INTERNET RESEARCH</t>
  </si>
  <si>
    <t>J Med Internet Res</t>
  </si>
  <si>
    <t>14388871</t>
  </si>
  <si>
    <t>14394456</t>
  </si>
  <si>
    <t>JMIR Publications</t>
  </si>
  <si>
    <t>Four issues per year</t>
  </si>
  <si>
    <t>9716841</t>
  </si>
  <si>
    <t>The journal of medical investigation : JMI</t>
  </si>
  <si>
    <t>JOURNAL OF MEDICAL INVESTIGATION : JMI</t>
  </si>
  <si>
    <t>J Med Invest</t>
  </si>
  <si>
    <t>Continues: Tokushima journal of experimental medicine.</t>
  </si>
  <si>
    <t>University of Tokushima School of Medicine</t>
  </si>
  <si>
    <t>0224131</t>
  </si>
  <si>
    <t>Journal of medical microbiology</t>
  </si>
  <si>
    <t>JOURNAL OF MEDICAL MICROBIOLOGY</t>
  </si>
  <si>
    <t>J Med Microbiol</t>
  </si>
  <si>
    <t>Coninues in part: Journal of pathology and bacteriology.</t>
  </si>
  <si>
    <t>14735644</t>
  </si>
  <si>
    <t>8605494</t>
  </si>
  <si>
    <t>The Journal of medical practice management : MPM</t>
  </si>
  <si>
    <t>JOURNAL OF MEDICAL PRACTICE MANAGEMENT : MPM</t>
  </si>
  <si>
    <t>J Med Pract Manage</t>
  </si>
  <si>
    <t>Absorbed in part by: Medical practice management news.</t>
  </si>
  <si>
    <t>87550229</t>
  </si>
  <si>
    <t>Greenbranch Publishing, LLC</t>
  </si>
  <si>
    <t>0320626</t>
  </si>
  <si>
    <t>Journal of medical primatology</t>
  </si>
  <si>
    <t>JOURNAL OF MEDICAL PRIMATOLOGY</t>
  </si>
  <si>
    <t>J Med Primatol</t>
  </si>
  <si>
    <t>9433359</t>
  </si>
  <si>
    <t>Journal of medical screening</t>
  </si>
  <si>
    <t>JOURNAL OF MEDICAL SCREENING</t>
  </si>
  <si>
    <t>J Med Screen</t>
  </si>
  <si>
    <t>14755793</t>
  </si>
  <si>
    <t>09691413</t>
  </si>
  <si>
    <t>7806056</t>
  </si>
  <si>
    <t>Journal of medical systems</t>
  </si>
  <si>
    <t>JOURNAL OF MEDICAL SYSTEMS</t>
  </si>
  <si>
    <t>J Med Syst</t>
  </si>
  <si>
    <t>Supersedes Journal of medical systems.</t>
  </si>
  <si>
    <t>101284598</t>
  </si>
  <si>
    <t>Journal of medical toxicology : official journal of the American College of Medical Toxicology</t>
  </si>
  <si>
    <t>JOURNAL OF MEDICAL TOXICOLOGY : OFFICIAL JOURNAL OF THE AMERICAN COLLEGE OF MEDICAL TOXICOLOGY</t>
  </si>
  <si>
    <t>J Med Toxicol</t>
  </si>
  <si>
    <t>7705876</t>
  </si>
  <si>
    <t>Journal of medical virology</t>
  </si>
  <si>
    <t>JOURNAL OF MEDICAL VIROLOGY</t>
  </si>
  <si>
    <t>J Med Virol</t>
  </si>
  <si>
    <t>9716531</t>
  </si>
  <si>
    <t>Journal of medicinal chemistry</t>
  </si>
  <si>
    <t>JOURNAL OF MEDICINAL CHEMISTRY</t>
  </si>
  <si>
    <t>J Med Chem</t>
  </si>
  <si>
    <t>Continues: Journal of medicinal and pharmaceutical chemistry.</t>
  </si>
  <si>
    <t>9812512</t>
  </si>
  <si>
    <t>Journal of medicinal food</t>
  </si>
  <si>
    <t>JOURNAL OF MEDICINAL FOOD</t>
  </si>
  <si>
    <t>J Med Food</t>
  </si>
  <si>
    <t>101477617</t>
  </si>
  <si>
    <t>Journal of medicine and life</t>
  </si>
  <si>
    <t>JOURNAL OF MEDICINE AND LIFE</t>
  </si>
  <si>
    <t>J Med Life</t>
  </si>
  <si>
    <t>18443117</t>
  </si>
  <si>
    <t>1844122X</t>
  </si>
  <si>
    <t>"Carol Davila" University Press</t>
  </si>
  <si>
    <t>7610512</t>
  </si>
  <si>
    <t>The Journal of medicine and philosophy</t>
  </si>
  <si>
    <t>JOURNAL OF MEDICINE AND PHILOSOPHY</t>
  </si>
  <si>
    <t>J Med Philos</t>
  </si>
  <si>
    <t>17445019</t>
  </si>
  <si>
    <t>03605310</t>
  </si>
  <si>
    <t>0211301</t>
  </si>
  <si>
    <t>The Journal of membrane biology</t>
  </si>
  <si>
    <t>JOURNAL OF MEMBRANE BIOLOGY</t>
  </si>
  <si>
    <t>J Membr Biol</t>
  </si>
  <si>
    <t>Twelve no. a year, 2012-</t>
  </si>
  <si>
    <t>9212352</t>
  </si>
  <si>
    <t>Journal of mental health (Abingdon, England)</t>
  </si>
  <si>
    <t>JOURNAL OF MENTAL HEALTH (ABINGDON, ENGLAND)</t>
  </si>
  <si>
    <t>J Ment Health</t>
  </si>
  <si>
    <t>9815374</t>
  </si>
  <si>
    <t>The journal of mental health policy and economics</t>
  </si>
  <si>
    <t>JOURNAL OF MENTAL HEALTH POLICY AND ECONOMICS</t>
  </si>
  <si>
    <t>J Ment Health Policy Econ</t>
  </si>
  <si>
    <t>International Center of Mental Health Policy and Economics</t>
  </si>
  <si>
    <t>Health Services#Psychology#Public Health</t>
  </si>
  <si>
    <t>8306883</t>
  </si>
  <si>
    <t>Journal of microbiological methods</t>
  </si>
  <si>
    <t>JOURNAL OF MICROBIOLOGICAL METHODS</t>
  </si>
  <si>
    <t>J Microbiol Methods</t>
  </si>
  <si>
    <t>9703165</t>
  </si>
  <si>
    <t>Journal of microbiology (Seoul, Korea)</t>
  </si>
  <si>
    <t>JOURNAL OF MICROBIOLOGY (SEOUL, KOREA)</t>
  </si>
  <si>
    <t>J Microbiol</t>
  </si>
  <si>
    <t>Continues: Misaengmul Hakhoe chi.</t>
  </si>
  <si>
    <t>19763794</t>
  </si>
  <si>
    <t>12258873</t>
  </si>
  <si>
    <t>Microbiological Society Of Korea</t>
  </si>
  <si>
    <t>Monthly, 2014-</t>
  </si>
  <si>
    <t>9431852</t>
  </si>
  <si>
    <t>Journal of microbiology and biotechnology</t>
  </si>
  <si>
    <t>JOURNAL OF MICROBIOLOGY AND BIOTECHNOLOGY</t>
  </si>
  <si>
    <t>J Microbiol Biotechnol</t>
  </si>
  <si>
    <t>Monthly (Jan. 2006)-</t>
  </si>
  <si>
    <t>100956211</t>
  </si>
  <si>
    <t>Journal of microbiology, immunology, and infection = Wei mian yu gan ran za zhi</t>
  </si>
  <si>
    <t>JOURNAL OF MICROBIOLOGY, IMMUNOLOGY, AND INFECTION = WEI MIAN YU GAN RAN ZA ZHI</t>
  </si>
  <si>
    <t>J Microbiol Immunol Infect</t>
  </si>
  <si>
    <t>Continues: Zhonghua Minguo wei sheng wu ji mian yi xue za zhi.</t>
  </si>
  <si>
    <t>published by Elsevier for the Taiwan Society of Microbiology</t>
  </si>
  <si>
    <t>8500513</t>
  </si>
  <si>
    <t>Journal of microencapsulation</t>
  </si>
  <si>
    <t>JOURNAL OF MICROENCAPSULATION</t>
  </si>
  <si>
    <t>J Microencapsul</t>
  </si>
  <si>
    <t>0204522</t>
  </si>
  <si>
    <t>Journal of microscopy</t>
  </si>
  <si>
    <t>JOURNAL OF MICROSCOPY</t>
  </si>
  <si>
    <t>J Microsc</t>
  </si>
  <si>
    <t>Continues: Journal of the Royal Microscopical Society.</t>
  </si>
  <si>
    <t>Published for the Royal Microscopical Society by Blackwell Scientific Publications.</t>
  </si>
  <si>
    <t>12 no. a year, 1981-</t>
  </si>
  <si>
    <t>8706313</t>
  </si>
  <si>
    <t>The Journal of microwave power and electromagnetic energy : a publication of the International Microwave Power Institute</t>
  </si>
  <si>
    <t>JOURNAL OF MICROWAVE POWER AND ELECTROMAGNETIC ENERGY : A PUBLICATION OF THE INTERNATIONAL MICROWAVE POWER INSTITUTE</t>
  </si>
  <si>
    <t>J Microw Power Electromagn Energy</t>
  </si>
  <si>
    <t>Continues: The Journal of microwave power.</t>
  </si>
  <si>
    <t>08327823</t>
  </si>
  <si>
    <t>International Microwave Power Institute</t>
  </si>
  <si>
    <t>100909407</t>
  </si>
  <si>
    <t>Journal of midwifery &amp; women's health</t>
  </si>
  <si>
    <t>JOURNAL OF MIDWIFERY &amp; WOMEN'S HEALTH</t>
  </si>
  <si>
    <t>J Midwifery Womens Health</t>
  </si>
  <si>
    <t>Continues: Journal of nurse-midwifery.</t>
  </si>
  <si>
    <t>Nursing#Obstetrics#Women's Health</t>
  </si>
  <si>
    <t>101235322</t>
  </si>
  <si>
    <t>Journal of minimally invasive gynecology</t>
  </si>
  <si>
    <t>JOURNAL OF MINIMALLY INVASIVE GYNECOLOGY</t>
  </si>
  <si>
    <t>J Minim Invasive Gynecol</t>
  </si>
  <si>
    <t>Continues: Journal of the American Association of Gynecologic Laparoscopists.</t>
  </si>
  <si>
    <t>0262322</t>
  </si>
  <si>
    <t>Journal of molecular and cellular cardiology</t>
  </si>
  <si>
    <t>JOURNAL OF MOLECULAR AND CELLULAR CARDIOLOGY</t>
  </si>
  <si>
    <t>J Mol Cell Cardiol</t>
  </si>
  <si>
    <t>Cardiology#Cell Biology#Molecular Biology</t>
  </si>
  <si>
    <t>2985088R</t>
  </si>
  <si>
    <t>Journal of molecular biology</t>
  </si>
  <si>
    <t>JOURNAL OF MOLECULAR BIOLOGY</t>
  </si>
  <si>
    <t>J Mol Biol</t>
  </si>
  <si>
    <t>Twenty-four no. a year, 2013-</t>
  </si>
  <si>
    <t>101503669</t>
  </si>
  <si>
    <t>Journal of molecular cell biology</t>
  </si>
  <si>
    <t>JOURNAL OF MOLECULAR CELL BIOLOGY</t>
  </si>
  <si>
    <t>J Mol Cell Biol</t>
  </si>
  <si>
    <t>Continues: Fen zi xi bao sheng wu xue bao.</t>
  </si>
  <si>
    <t>100893612</t>
  </si>
  <si>
    <t>The Journal of molecular diagnostics : JMD</t>
  </si>
  <si>
    <t>JOURNAL OF MOLECULAR DIAGNOSTICS : JMD</t>
  </si>
  <si>
    <t>J Mol Diagn</t>
  </si>
  <si>
    <t>19437811</t>
  </si>
  <si>
    <t>Elsever</t>
  </si>
  <si>
    <t>8902617</t>
  </si>
  <si>
    <t>Journal of molecular endocrinology</t>
  </si>
  <si>
    <t>JOURNAL OF MOLECULAR ENDOCRINOLOGY</t>
  </si>
  <si>
    <t>J Mol Endocrinol</t>
  </si>
  <si>
    <t>Endocrinology#Molecular Biology</t>
  </si>
  <si>
    <t>0360051</t>
  </si>
  <si>
    <t>Journal of molecular evolution</t>
  </si>
  <si>
    <t>JOURNAL OF MOLECULAR EVOLUTION</t>
  </si>
  <si>
    <t>J Mol Evol</t>
  </si>
  <si>
    <t>14321432</t>
  </si>
  <si>
    <t>00222844</t>
  </si>
  <si>
    <t>9716237</t>
  </si>
  <si>
    <t>Journal of molecular graphics &amp; modelling</t>
  </si>
  <si>
    <t>JOURNAL OF MOLECULAR GRAPHICS &amp; MODELLING</t>
  </si>
  <si>
    <t>J Mol Graph Model</t>
  </si>
  <si>
    <t>Continues: Journal of molecular graphics.</t>
  </si>
  <si>
    <t>Elsevier Science, Inc.</t>
  </si>
  <si>
    <t>101193653</t>
  </si>
  <si>
    <t>Journal of molecular histology</t>
  </si>
  <si>
    <t>JOURNAL OF MOLECULAR HISTOLOGY</t>
  </si>
  <si>
    <t>J Mol Histol</t>
  </si>
  <si>
    <t>Continues: Histochemical journal.</t>
  </si>
  <si>
    <t>9504370</t>
  </si>
  <si>
    <t>Journal of molecular medicine (Berlin, Germany)</t>
  </si>
  <si>
    <t>JOURNAL OF MOLECULAR MEDICINE (BERLIN, GERMANY)</t>
  </si>
  <si>
    <t>J Mol Med (Berl)</t>
  </si>
  <si>
    <t>Continues: Clinical investigator.</t>
  </si>
  <si>
    <t>100892561</t>
  </si>
  <si>
    <t>Journal of molecular microbiology and biotechnology</t>
  </si>
  <si>
    <t>JOURNAL OF MOLECULAR MICROBIOLOGY AND BIOTECHNOLOGY</t>
  </si>
  <si>
    <t>J Mol Microbiol Biotechnol</t>
  </si>
  <si>
    <t>Biotechnology#Microbiology#Molecular Biology</t>
  </si>
  <si>
    <t>9806569</t>
  </si>
  <si>
    <t>Journal of molecular modeling</t>
  </si>
  <si>
    <t>JOURNAL OF MOLECULAR MODELING</t>
  </si>
  <si>
    <t>J Mol Model</t>
  </si>
  <si>
    <t>9002991</t>
  </si>
  <si>
    <t>Journal of molecular neuroscience : MN</t>
  </si>
  <si>
    <t>JOURNAL OF MOLECULAR NEUROSCIENCE : MN</t>
  </si>
  <si>
    <t>J Mol Neurosci</t>
  </si>
  <si>
    <t>Absorbed: Molecular and chemical neuropathology. 1999-</t>
  </si>
  <si>
    <t>Molecular Biology#Neurology</t>
  </si>
  <si>
    <t>9004580</t>
  </si>
  <si>
    <t>Journal of molecular recognition : JMR</t>
  </si>
  <si>
    <t>JOURNAL OF MOLECULAR RECOGNITION : JMR</t>
  </si>
  <si>
    <t>J Mol Recognit</t>
  </si>
  <si>
    <t>10991352</t>
  </si>
  <si>
    <t>09523499</t>
  </si>
  <si>
    <t>0406125</t>
  </si>
  <si>
    <t>Journal of morphology</t>
  </si>
  <si>
    <t>JOURNAL OF MORPHOLOGY</t>
  </si>
  <si>
    <t>J Morphol</t>
  </si>
  <si>
    <t>10974687</t>
  </si>
  <si>
    <t>03622525</t>
  </si>
  <si>
    <t>00222887</t>
  </si>
  <si>
    <t>0236512</t>
  </si>
  <si>
    <t>Journal of motor behavior</t>
  </si>
  <si>
    <t>JOURNAL OF MOTOR BEHAVIOR</t>
  </si>
  <si>
    <t>J Mot Behav</t>
  </si>
  <si>
    <t>19401027</t>
  </si>
  <si>
    <t>00222895</t>
  </si>
  <si>
    <t>8006298</t>
  </si>
  <si>
    <t>Journal of muscle research and cell motility</t>
  </si>
  <si>
    <t>JOURNAL OF MUSCLE RESEARCH AND CELL MOTILITY</t>
  </si>
  <si>
    <t>J Muscle Res Cell Motil</t>
  </si>
  <si>
    <t>15732657</t>
  </si>
  <si>
    <t>01424319</t>
  </si>
  <si>
    <t>101084496</t>
  </si>
  <si>
    <t>Journal of musculoskeletal &amp; neuronal interactions</t>
  </si>
  <si>
    <t>JOURNAL OF MUSCULOSKELETAL &amp; NEURONAL INTERACTIONS</t>
  </si>
  <si>
    <t>J Musculoskelet Neuronal Interact</t>
  </si>
  <si>
    <t>Neurology#Orthopedics#Physiology</t>
  </si>
  <si>
    <t>0014162</t>
  </si>
  <si>
    <t>Journal of music therapy</t>
  </si>
  <si>
    <t>JOURNAL OF MUSIC THERAPY</t>
  </si>
  <si>
    <t>J Music Ther</t>
  </si>
  <si>
    <t>Supersedes: Bulletin of the NAMT</t>
  </si>
  <si>
    <t>20537395</t>
  </si>
  <si>
    <t>00222917</t>
  </si>
  <si>
    <t>101152208</t>
  </si>
  <si>
    <t>Journal of nanobiotechnology</t>
  </si>
  <si>
    <t>JOURNAL OF NANOBIOTECHNOLOGY</t>
  </si>
  <si>
    <t>J Nanobiotechnology</t>
  </si>
  <si>
    <t>101088195</t>
  </si>
  <si>
    <t>Journal of nanoscience and nanotechnology</t>
  </si>
  <si>
    <t>JOURNAL OF NANOSCIENCE AND NANOTECHNOLOGY</t>
  </si>
  <si>
    <t>J Nanosci Nanotechnol</t>
  </si>
  <si>
    <t>15334899</t>
  </si>
  <si>
    <t>15334880</t>
  </si>
  <si>
    <t>8703519</t>
  </si>
  <si>
    <t>Journal of National Black Nurses' Association : JNBNA</t>
  </si>
  <si>
    <t>JOURNAL OF NATIONAL BLACK NURSES' ASSOCIATION : JNBNA</t>
  </si>
  <si>
    <t>J Natl Black Nurses Assoc</t>
  </si>
  <si>
    <t>08856028</t>
  </si>
  <si>
    <t>National Black Nurses Association</t>
  </si>
  <si>
    <t>101518405</t>
  </si>
  <si>
    <t>Journal of natural medicines</t>
  </si>
  <si>
    <t>JOURNAL OF NATURAL MEDICINES</t>
  </si>
  <si>
    <t>J Nat Med</t>
  </si>
  <si>
    <t>Continues: Natural medicines.</t>
  </si>
  <si>
    <t>7906882</t>
  </si>
  <si>
    <t>Journal of natural products</t>
  </si>
  <si>
    <t>JOURNAL OF NATURAL PRODUCTS</t>
  </si>
  <si>
    <t>J Nat Prod</t>
  </si>
  <si>
    <t>Continues: Lloydia.</t>
  </si>
  <si>
    <t>American Society of Pharmacognosy.</t>
  </si>
  <si>
    <t>101152210</t>
  </si>
  <si>
    <t>Journal of negative results in biomedicine</t>
  </si>
  <si>
    <t>JOURNAL OF NEGATIVE RESULTS IN BIOMEDICINE</t>
  </si>
  <si>
    <t>J Negat Results Biomed</t>
  </si>
  <si>
    <t>101468335</t>
  </si>
  <si>
    <t>Journal of neonatal-perinatal medicine</t>
  </si>
  <si>
    <t>JOURNAL OF NEONATAL-PERINATAL MEDICINE</t>
  </si>
  <si>
    <t>J Neonatal Perinatal Med</t>
  </si>
  <si>
    <t>101292936</t>
  </si>
  <si>
    <t>Journal of Nepal Health Research Council</t>
  </si>
  <si>
    <t>JOURNAL OF NEPAL HEALTH RESEARCH COUNCIL</t>
  </si>
  <si>
    <t>J Nepal Health Res Counc</t>
  </si>
  <si>
    <t>19996217</t>
  </si>
  <si>
    <t>17275482</t>
  </si>
  <si>
    <t>Nepal Health Research Council</t>
  </si>
  <si>
    <t>9012268</t>
  </si>
  <si>
    <t>Journal of nephrology</t>
  </si>
  <si>
    <t>JOURNAL OF NEPHROLOGY</t>
  </si>
  <si>
    <t>J Nephrol</t>
  </si>
  <si>
    <t>0375402</t>
  </si>
  <si>
    <t>The Journal of nervous and mental disease</t>
  </si>
  <si>
    <t>JOURNAL OF NERVOUS AND MENTAL DISEASE</t>
  </si>
  <si>
    <t>J Nerv Ment Dis</t>
  </si>
  <si>
    <t>Continues: Chicago journal of nervous and mental disease.</t>
  </si>
  <si>
    <t>101217933</t>
  </si>
  <si>
    <t>Journal of neural engineering</t>
  </si>
  <si>
    <t>JOURNAL OF NEURAL ENGINEERING</t>
  </si>
  <si>
    <t>J Neural Eng</t>
  </si>
  <si>
    <t>Biomedical Engineering#Neurology</t>
  </si>
  <si>
    <t>9702341</t>
  </si>
  <si>
    <t>Journal of neural transmission (Vienna, Austria : 1996)</t>
  </si>
  <si>
    <t>JOURNAL OF NEURAL TRANSMISSION (VIENNA, AUSTRIA : 1996)</t>
  </si>
  <si>
    <t>J Neural Transm</t>
  </si>
  <si>
    <t>Merger of: Journal of neural transmission. General section, and: Journal of neural transmission. Parkinson's disease and dementia section, continuing the numbering of the former.</t>
  </si>
  <si>
    <t>0425126</t>
  </si>
  <si>
    <t>Journal of neural transmission. Supplementum</t>
  </si>
  <si>
    <t>JOURNAL OF NEURAL TRANSMISSION. SUPPLEMENTUM</t>
  </si>
  <si>
    <t>J Neural Transm Suppl</t>
  </si>
  <si>
    <t>Continues: Journal of neuro-visceral relations. Supplementum.</t>
  </si>
  <si>
    <t>2985190R</t>
  </si>
  <si>
    <t>Journal of neurochemistry</t>
  </si>
  <si>
    <t>JOURNAL OF NEUROCHEMISTRY</t>
  </si>
  <si>
    <t>J Neurochem</t>
  </si>
  <si>
    <t>Semimonthly, &lt;2001-&gt;</t>
  </si>
  <si>
    <t>8913461</t>
  </si>
  <si>
    <t>Journal of neuroendocrinology</t>
  </si>
  <si>
    <t>JOURNAL OF NEUROENDOCRINOLOGY</t>
  </si>
  <si>
    <t>J Neuroendocrinol</t>
  </si>
  <si>
    <t>Monthly, &lt;Jan. 1995-&gt;</t>
  </si>
  <si>
    <t>101232233</t>
  </si>
  <si>
    <t>Journal of neuroengineering and rehabilitation</t>
  </si>
  <si>
    <t>JOURNAL OF NEUROENGINEERING AND REHABILITATION</t>
  </si>
  <si>
    <t>J Neuroeng Rehabil</t>
  </si>
  <si>
    <t>Biomedical Engineering#Neurology#Physical and Rehabilitation Medicine</t>
  </si>
  <si>
    <t>8406473</t>
  </si>
  <si>
    <t>Journal of neurogenetics</t>
  </si>
  <si>
    <t>JOURNAL OF NEUROGENETICS</t>
  </si>
  <si>
    <t>J Neurogenet</t>
  </si>
  <si>
    <t>Genetics, Medical#Neurology</t>
  </si>
  <si>
    <t>9102705</t>
  </si>
  <si>
    <t>Journal of neuroimaging : official journal of the American Society of Neuroimaging</t>
  </si>
  <si>
    <t>JOURNAL OF NEUROIMAGING : OFFICIAL JOURNAL OF THE AMERICAN SOCIETY OF NEUROIMAGING</t>
  </si>
  <si>
    <t>J Neuroimaging</t>
  </si>
  <si>
    <t>Diagnostic Imaging#Neurology</t>
  </si>
  <si>
    <t>101256586</t>
  </si>
  <si>
    <t>Journal of neuroimmune pharmacology : the official journal of the Society on NeuroImmune Pharmacology</t>
  </si>
  <si>
    <t>JOURNAL OF NEUROIMMUNE PHARMACOLOGY : THE OFFICIAL JOURNAL OF THE SOCIETY ON NEUROIMMUNE PHARMACOLOGY</t>
  </si>
  <si>
    <t>J Neuroimmune Pharmacol</t>
  </si>
  <si>
    <t>Allergy and Immunology#Neurology#Pharmacology</t>
  </si>
  <si>
    <t>8109498</t>
  </si>
  <si>
    <t>Journal of neuroimmunology</t>
  </si>
  <si>
    <t>JOURNAL OF NEUROIMMUNOLOGY</t>
  </si>
  <si>
    <t>J Neuroimmunol</t>
  </si>
  <si>
    <t>Allergy and Immunology#Neurology</t>
  </si>
  <si>
    <t>8219171</t>
  </si>
  <si>
    <t>Journal of neuroimmunology. Supplement</t>
  </si>
  <si>
    <t>JOURNAL OF NEUROIMMUNOLOGY. SUPPLEMENT</t>
  </si>
  <si>
    <t>J Neuroimmunol Suppl</t>
  </si>
  <si>
    <t>01695088</t>
  </si>
  <si>
    <t>101222974</t>
  </si>
  <si>
    <t>Journal of neuroinflammation</t>
  </si>
  <si>
    <t>JOURNAL OF NEUROINFLAMMATION</t>
  </si>
  <si>
    <t>J Neuroinflammation</t>
  </si>
  <si>
    <t>101517079</t>
  </si>
  <si>
    <t>Journal of neurointerventional surgery</t>
  </si>
  <si>
    <t>JOURNAL OF NEUROINTERVENTIONAL SURGERY</t>
  </si>
  <si>
    <t>J Neurointerv Surg</t>
  </si>
  <si>
    <t>General Surgery#Neurology</t>
  </si>
  <si>
    <t>101193365</t>
  </si>
  <si>
    <t>Journal of neurologic physical therapy : JNPT</t>
  </si>
  <si>
    <t>JOURNAL OF NEUROLOGIC PHYSICAL THERAPY : JNPT</t>
  </si>
  <si>
    <t>J Neurol Phys Ther</t>
  </si>
  <si>
    <t>Continues: Neurology report.</t>
  </si>
  <si>
    <t>15570584</t>
  </si>
  <si>
    <t>15570576</t>
  </si>
  <si>
    <t>Neurology Section, American Physical Therapy Association</t>
  </si>
  <si>
    <t>Neurology#Physical and Rehabilitation Medicine</t>
  </si>
  <si>
    <t>101580767</t>
  </si>
  <si>
    <t>Journal of neurological surgery. Part A, Central European neurosurgery</t>
  </si>
  <si>
    <t>JOURNAL OF NEUROLOGICAL SURGERY. PART A, CENTRAL EUROPEAN NEUROSURGERY</t>
  </si>
  <si>
    <t>J Neurol Surg A Cent Eur Neurosurg</t>
  </si>
  <si>
    <t>Formed by the union of: Central European neurosurgery and: Minimally invasive neurosurgery.</t>
  </si>
  <si>
    <t>0423161</t>
  </si>
  <si>
    <t>Journal of neurology</t>
  </si>
  <si>
    <t>JOURNAL OF NEUROLOGY</t>
  </si>
  <si>
    <t>J Neurol</t>
  </si>
  <si>
    <t>Continues Zeitschrift für Neurologie.</t>
  </si>
  <si>
    <t>2985191R</t>
  </si>
  <si>
    <t>Journal of neurology, neurosurgery, and psychiatry</t>
  </si>
  <si>
    <t>JOURNAL OF NEUROLOGY, NEUROSURGERY, AND PSYCHIATRY</t>
  </si>
  <si>
    <t>J Neurol Neurosurg Psychiatry</t>
  </si>
  <si>
    <t>Continues: Journal of neurology and psychiatry.</t>
  </si>
  <si>
    <t>Neurology#Neurosurgery#Psychiatry</t>
  </si>
  <si>
    <t>8309335</t>
  </si>
  <si>
    <t>Journal of neuro-oncology</t>
  </si>
  <si>
    <t>JOURNAL OF NEURO-ONCOLOGY</t>
  </si>
  <si>
    <t>J Neurooncol</t>
  </si>
  <si>
    <t>Fifteen no. a year, 1998-</t>
  </si>
  <si>
    <t>Neoplasms#Neurology</t>
  </si>
  <si>
    <t>9431308</t>
  </si>
  <si>
    <t>Journal of neuro-ophthalmology : the official journal of the North American Neuro-Ophthalmology Society</t>
  </si>
  <si>
    <t>JOURNAL OF NEURO-OPHTHALMOLOGY : THE OFFICIAL JOURNAL OF THE NORTH AMERICAN NEURO-OPHTHALMOLOGY SOCIETY</t>
  </si>
  <si>
    <t>J Neuroophthalmol</t>
  </si>
  <si>
    <t>Continues: Journal of clinical neuro-ophthalmology.</t>
  </si>
  <si>
    <t>Neurology#Ophthalmology</t>
  </si>
  <si>
    <t>2985192R</t>
  </si>
  <si>
    <t>Journal of neuropathology and experimental neurology</t>
  </si>
  <si>
    <t>JOURNAL OF NEUROPATHOLOGY AND EXPERIMENTAL NEUROLOGY</t>
  </si>
  <si>
    <t>J Neuropathol Exp Neurol</t>
  </si>
  <si>
    <t>American Association of Neuropathologists</t>
  </si>
  <si>
    <t>0375404</t>
  </si>
  <si>
    <t>Journal of neurophysiology</t>
  </si>
  <si>
    <t>JOURNAL OF NEUROPHYSIOLOGY</t>
  </si>
  <si>
    <t>J Neurophysiol</t>
  </si>
  <si>
    <t>8911344</t>
  </si>
  <si>
    <t>The Journal of neuropsychiatry and clinical neurosciences</t>
  </si>
  <si>
    <t>JOURNAL OF NEUROPSYCHIATRY AND CLINICAL NEUROSCIENCES</t>
  </si>
  <si>
    <t>J Neuropsychiatry Clin Neurosci</t>
  </si>
  <si>
    <t>101468753</t>
  </si>
  <si>
    <t>Journal of neuropsychology</t>
  </si>
  <si>
    <t>JOURNAL OF NEUROPSYCHOLOGY</t>
  </si>
  <si>
    <t>J Neuropsychol</t>
  </si>
  <si>
    <t>17486653</t>
  </si>
  <si>
    <t>17486645</t>
  </si>
  <si>
    <t>7705086</t>
  </si>
  <si>
    <t>Journal of neuroradiology. Journal de neuroradiologie</t>
  </si>
  <si>
    <t>JOURNAL OF NEURORADIOLOGY. JOURNAL DE NEURORADIOLOGIE</t>
  </si>
  <si>
    <t>J Neuroradiol</t>
  </si>
  <si>
    <t>Continues Journal de neuroradiologie.</t>
  </si>
  <si>
    <t>Five no. a year, &lt;2003-&gt;</t>
  </si>
  <si>
    <t>8102140</t>
  </si>
  <si>
    <t>The Journal of neuroscience : the official journal of the Society for Neuroscience</t>
  </si>
  <si>
    <t>JOURNAL OF NEUROSCIENCE : THE OFFICIAL JOURNAL OF THE SOCIETY FOR NEUROSCIENCE</t>
  </si>
  <si>
    <t>J Neurosci</t>
  </si>
  <si>
    <t>Fifty no. a year, 2009-</t>
  </si>
  <si>
    <t>7905558</t>
  </si>
  <si>
    <t>Journal of neuroscience methods</t>
  </si>
  <si>
    <t>JOURNAL OF NEUROSCIENCE METHODS</t>
  </si>
  <si>
    <t>J Neurosci Methods</t>
  </si>
  <si>
    <t>8603596</t>
  </si>
  <si>
    <t>The Journal of neuroscience nursing : journal of the American Association of Neuroscience Nurses</t>
  </si>
  <si>
    <t>JOURNAL OF NEUROSCIENCE NURSING : JOURNAL OF THE AMERICAN ASSOCIATION OF NEUROSCIENCE NURSES</t>
  </si>
  <si>
    <t>J Neurosci Nurs</t>
  </si>
  <si>
    <t>Continues: Journal of neurosurgical.</t>
  </si>
  <si>
    <t>19452810</t>
  </si>
  <si>
    <t>08880395</t>
  </si>
  <si>
    <t>American Association of Neuroscience Nurses</t>
  </si>
  <si>
    <t>Neurology#Neurosurgery#Nursing</t>
  </si>
  <si>
    <t>7600111</t>
  </si>
  <si>
    <t>Journal of neuroscience research</t>
  </si>
  <si>
    <t>JOURNAL OF NEUROSCIENCE RESEARCH</t>
  </si>
  <si>
    <t>J Neurosci Res</t>
  </si>
  <si>
    <t>0253357</t>
  </si>
  <si>
    <t>Journal of neurosurgery</t>
  </si>
  <si>
    <t>JOURNAL OF NEUROSURGERY</t>
  </si>
  <si>
    <t>J Neurosurg</t>
  </si>
  <si>
    <t>Vols. for 2004-Dec. 2007 have supplement with title: Journal of neurosurgery. Pediatrics, which became an independent journal with Vol. 1, no. 1 (Jan. 2008). Vols. for 1999-May 2004 have supplement with title: Journal of neurosurgery. Spine, which became a separate journal with Vol. 1, no. 1 (July 2004).</t>
  </si>
  <si>
    <t>101463759</t>
  </si>
  <si>
    <t>Journal of neurosurgery. Pediatrics</t>
  </si>
  <si>
    <t>JOURNAL OF NEUROSURGERY. PEDIATRICS</t>
  </si>
  <si>
    <t>J Neurosurg Pediatr</t>
  </si>
  <si>
    <t>Formerly published as a supplement to: Journal of neurosurgery.</t>
  </si>
  <si>
    <t>Neurosurgery#Pediatrics</t>
  </si>
  <si>
    <t>101223545</t>
  </si>
  <si>
    <t>Journal of neurosurgery. Spine</t>
  </si>
  <si>
    <t>JOURNAL OF NEUROSURGERY. SPINE</t>
  </si>
  <si>
    <t>J Neurosurg Spine</t>
  </si>
  <si>
    <t>8910749</t>
  </si>
  <si>
    <t>Journal of neurosurgical anesthesiology</t>
  </si>
  <si>
    <t>JOURNAL OF NEUROSURGICAL ANESTHESIOLOGY</t>
  </si>
  <si>
    <t>J Neurosurg Anesthesiol</t>
  </si>
  <si>
    <t>Anesthesiology#Neurosurgery</t>
  </si>
  <si>
    <t>0432557</t>
  </si>
  <si>
    <t>Journal of neurosurgical sciences</t>
  </si>
  <si>
    <t>JOURNAL OF NEUROSURGICAL SCIENCES</t>
  </si>
  <si>
    <t>J Neurosurg Sci</t>
  </si>
  <si>
    <t>Continues: Minerva neurochirurgica x 0026-4881. Absorbed: Rivista di neuroscienze pediatriche. 1991</t>
  </si>
  <si>
    <t>8811626</t>
  </si>
  <si>
    <t>Journal of neurotrauma</t>
  </si>
  <si>
    <t>JOURNAL OF NEUROTRAUMA</t>
  </si>
  <si>
    <t>J Neurotrauma</t>
  </si>
  <si>
    <t>Continues: Central nervous system trauma.</t>
  </si>
  <si>
    <t>Twenty-four no. a year 2013-</t>
  </si>
  <si>
    <t>Neurology#Traumatology</t>
  </si>
  <si>
    <t>9508123</t>
  </si>
  <si>
    <t>Journal of neurovirology</t>
  </si>
  <si>
    <t>JOURNAL OF NEUROVIROLOGY</t>
  </si>
  <si>
    <t>J Neurovirol</t>
  </si>
  <si>
    <t>Neurology#Virology</t>
  </si>
  <si>
    <t>100935589</t>
  </si>
  <si>
    <t>Journal of Nippon Medical School = Nippon Ika Daigaku zasshi</t>
  </si>
  <si>
    <t>JOURNAL OF NIPPON MEDICAL SCHOOL = NIPPON IKA DAIGAKU ZASSHI</t>
  </si>
  <si>
    <t>J Nippon Med Sch</t>
  </si>
  <si>
    <t>Continues: Nippon Ika Daigaku zasshi. Continued in part by: Nippon Ika Daigaku Igakkai zasshi.</t>
  </si>
  <si>
    <t>9423534</t>
  </si>
  <si>
    <t>Journal of nuclear cardiology : official publication of the American Society of Nuclear Cardiology</t>
  </si>
  <si>
    <t>JOURNAL OF NUCLEAR CARDIOLOGY : OFFICIAL PUBLICATION OF THE AMERICAN SOCIETY OF NUCLEAR CARDIOLOGY</t>
  </si>
  <si>
    <t>J Nucl Cardiol</t>
  </si>
  <si>
    <t>0217410</t>
  </si>
  <si>
    <t>Journal of nuclear medicine : official publication, Society of Nuclear Medicine</t>
  </si>
  <si>
    <t>JOURNAL OF NUCLEAR MEDICINE : OFFICIAL PUBLICATION, SOCIETY OF NUCLEAR MEDICINE</t>
  </si>
  <si>
    <t>J Nucl Med</t>
  </si>
  <si>
    <t>15355667</t>
  </si>
  <si>
    <t>Society of Nuclear Medicine</t>
  </si>
  <si>
    <t>0430303</t>
  </si>
  <si>
    <t>Journal of nuclear medicine technology</t>
  </si>
  <si>
    <t>JOURNAL OF NUCLEAR MEDICINE TECHNOLOGY</t>
  </si>
  <si>
    <t>J Nucl Med Technol</t>
  </si>
  <si>
    <t>15355675</t>
  </si>
  <si>
    <t>1263116</t>
  </si>
  <si>
    <t>The Journal of nursing administration</t>
  </si>
  <si>
    <t>JOURNAL OF NURSING ADMINISTRATION</t>
  </si>
  <si>
    <t>J Nurs Adm</t>
  </si>
  <si>
    <t>15390721</t>
  </si>
  <si>
    <t>00020443</t>
  </si>
  <si>
    <t>9200672</t>
  </si>
  <si>
    <t>Journal of nursing care quality</t>
  </si>
  <si>
    <t>JOURNAL OF NURSING CARE QUALITY</t>
  </si>
  <si>
    <t>J Nurs Care Qual</t>
  </si>
  <si>
    <t>Continues: Journal of nursing quality assurance.</t>
  </si>
  <si>
    <t>15505065</t>
  </si>
  <si>
    <t>10573631</t>
  </si>
  <si>
    <t>7705432</t>
  </si>
  <si>
    <t>The Journal of nursing education</t>
  </si>
  <si>
    <t>JOURNAL OF NURSING EDUCATION</t>
  </si>
  <si>
    <t>J Nurs Educ</t>
  </si>
  <si>
    <t>19382421</t>
  </si>
  <si>
    <t>01484834</t>
  </si>
  <si>
    <t>Charles B. Slack</t>
  </si>
  <si>
    <t>9306050</t>
  </si>
  <si>
    <t>Journal of nursing management</t>
  </si>
  <si>
    <t>JOURNAL OF NURSING MANAGEMENT</t>
  </si>
  <si>
    <t>J Nurs Manag</t>
  </si>
  <si>
    <t>13652834</t>
  </si>
  <si>
    <t>09660429</t>
  </si>
  <si>
    <t>9318902</t>
  </si>
  <si>
    <t>Journal of nursing measurement</t>
  </si>
  <si>
    <t>JOURNAL OF NURSING MEASUREMENT</t>
  </si>
  <si>
    <t>J Nurs Meas</t>
  </si>
  <si>
    <t>10613749</t>
  </si>
  <si>
    <t>101128757</t>
  </si>
  <si>
    <t>The journal of nursing research : JNR</t>
  </si>
  <si>
    <t>JOURNAL OF NURSING RESEARCH : JNR</t>
  </si>
  <si>
    <t>J Nurs Res</t>
  </si>
  <si>
    <t>Continues: Hu li yan jiu.</t>
  </si>
  <si>
    <t>1948965X</t>
  </si>
  <si>
    <t>16823141</t>
  </si>
  <si>
    <t>100911591</t>
  </si>
  <si>
    <t>Journal of nursing scholarship : an official publication of Sigma Theta Tau International Honor Society of Nursing / Sigma Theta Tau</t>
  </si>
  <si>
    <t>JOURNAL OF NURSING SCHOLARSHIP : AN OFFICIAL PUBLICATION OF SIGMA THETA TAU INTERNATIONAL HONOR SOCIETY OF NURSING / SIGMA THETA TAU</t>
  </si>
  <si>
    <t>J Nurs Scholarsh</t>
  </si>
  <si>
    <t>Continues: Image--the journal of nursing scholarship.</t>
  </si>
  <si>
    <t>15475069</t>
  </si>
  <si>
    <t>15276546</t>
  </si>
  <si>
    <t>101299758</t>
  </si>
  <si>
    <t>Journal of nutrigenetics and nutrigenomics</t>
  </si>
  <si>
    <t>JOURNAL OF NUTRIGENETICS AND NUTRIGENOMICS</t>
  </si>
  <si>
    <t>J Nutrigenet Nutrigenomics</t>
  </si>
  <si>
    <t>Genetics#Nutritional Sciences</t>
  </si>
  <si>
    <t>0404243</t>
  </si>
  <si>
    <t>The Journal of nutrition</t>
  </si>
  <si>
    <t>JOURNAL OF NUTRITION</t>
  </si>
  <si>
    <t>J Nutr</t>
  </si>
  <si>
    <t>Monthly, 1934-&lt;2009&gt;</t>
  </si>
  <si>
    <t>101132622</t>
  </si>
  <si>
    <t>Journal of nutrition education and behavior</t>
  </si>
  <si>
    <t>JOURNAL OF NUTRITION EDUCATION AND BEHAVIOR</t>
  </si>
  <si>
    <t>J Nutr Educ Behav</t>
  </si>
  <si>
    <t>Continues: Journal of nutrition education.</t>
  </si>
  <si>
    <t>18782620</t>
  </si>
  <si>
    <t>14994046</t>
  </si>
  <si>
    <t>Behavioral Sciences#Education#Nutritional Sciences</t>
  </si>
  <si>
    <t>101558292</t>
  </si>
  <si>
    <t>Journal of nutrition in gerontology and geriatrics</t>
  </si>
  <si>
    <t>JOURNAL OF NUTRITION IN GERONTOLOGY AND GERIATRICS</t>
  </si>
  <si>
    <t>J Nutr Gerontol Geriatr</t>
  </si>
  <si>
    <t>Continues: Journal of nutrition for the elderly.</t>
  </si>
  <si>
    <t>21551200</t>
  </si>
  <si>
    <t>21551197</t>
  </si>
  <si>
    <t>Geriatrics#Nutritional Sciences</t>
  </si>
  <si>
    <t>100893366</t>
  </si>
  <si>
    <t>The journal of nutrition, health &amp; aging</t>
  </si>
  <si>
    <t>JOURNAL OF NUTRITION, HEALTH &amp; AGING</t>
  </si>
  <si>
    <t>J Nutr Health Aging</t>
  </si>
  <si>
    <t>Serdi Publisher</t>
  </si>
  <si>
    <t>9010081</t>
  </si>
  <si>
    <t>The Journal of nutritional biochemistry</t>
  </si>
  <si>
    <t>JOURNAL OF NUTRITIONAL BIOCHEMISTRY</t>
  </si>
  <si>
    <t>J Nutr Biochem</t>
  </si>
  <si>
    <t>Continues: Nutrition reports international.</t>
  </si>
  <si>
    <t>Biochemistry#Nutritional Sciences</t>
  </si>
  <si>
    <t>0402640</t>
  </si>
  <si>
    <t>Journal of nutritional science and vitaminology</t>
  </si>
  <si>
    <t>JOURNAL OF NUTRITIONAL SCIENCE AND VITAMINOLOGY</t>
  </si>
  <si>
    <t>J Nutr Sci Vitaminol (Tokyo)</t>
  </si>
  <si>
    <t>Continues: Journal of Vitaminology.</t>
  </si>
  <si>
    <t>University of Tokyo Press.</t>
  </si>
  <si>
    <t>101526295</t>
  </si>
  <si>
    <t>Journal of obesity</t>
  </si>
  <si>
    <t>JOURNAL OF OBESITY</t>
  </si>
  <si>
    <t>J Obes</t>
  </si>
  <si>
    <t>8503123</t>
  </si>
  <si>
    <t>Journal of obstetric, gynecologic, and neonatal nursing : JOGNN / NAACOG</t>
  </si>
  <si>
    <t>JOURNAL OF OBSTETRIC, GYNECOLOGIC, AND NEONATAL NURSING : JOGNN / NAACOG</t>
  </si>
  <si>
    <t>J Obstet Gynecol Neonatal Nurs</t>
  </si>
  <si>
    <t>Absorbed: AWHONN's clinical issues in perinatal and women's health. 1994</t>
  </si>
  <si>
    <t>15526909</t>
  </si>
  <si>
    <t>08842175</t>
  </si>
  <si>
    <t>00900311</t>
  </si>
  <si>
    <t>Bimonthly 1997-</t>
  </si>
  <si>
    <t>Gynecology#Nursing#Obstetrics#Perinatology</t>
  </si>
  <si>
    <t>8309140</t>
  </si>
  <si>
    <t>Journal of obstetrics and gynaecology : the journal of the Institute of Obstetrics and Gynaecology</t>
  </si>
  <si>
    <t>JOURNAL OF OBSTETRICS AND GYNAECOLOGY : THE JOURNAL OF THE INSTITUTE OF OBSTETRICS AND GYNAECOLOGY</t>
  </si>
  <si>
    <t>J Obstet Gynaecol</t>
  </si>
  <si>
    <t>101126664</t>
  </si>
  <si>
    <t>Journal of obstetrics and gynaecology Canada : JOGC = Journal d'obstétrique et gynécologie du Canada : JOGC</t>
  </si>
  <si>
    <t>JOURNAL OF OBSTETRICS AND GYNAECOLOGY CANADA : JOGC = JOURNAL D'OBSTETRIQUE ET GYNECOLOGIE DU CANADA : JOGC</t>
  </si>
  <si>
    <t>J Obstet Gynaecol Can</t>
  </si>
  <si>
    <t>Continues: Journal SOGC.</t>
  </si>
  <si>
    <t>17012163</t>
  </si>
  <si>
    <t>Healthcare &amp; Financial Pub., Rogers Media</t>
  </si>
  <si>
    <t>9612761</t>
  </si>
  <si>
    <t>The journal of obstetrics and gynaecology research</t>
  </si>
  <si>
    <t>JOURNAL OF OBSTETRICS AND GYNAECOLOGY RESEARCH</t>
  </si>
  <si>
    <t>J Obstet Gynaecol Res</t>
  </si>
  <si>
    <t>Continues: Journal of obstetrics and gynaecology (Tokyo, Japan).</t>
  </si>
  <si>
    <t>Wiley-Blackwell Pub. Asia]</t>
  </si>
  <si>
    <t>101189458</t>
  </si>
  <si>
    <t>Journal of occupational and environmental hygiene</t>
  </si>
  <si>
    <t>JOURNAL OF OCCUPATIONAL AND ENVIRONMENTAL HYGIENE</t>
  </si>
  <si>
    <t>J Occup Environ Hyg</t>
  </si>
  <si>
    <t>Formed by the union of: AIHA journal; and: Applied occupational and environmental hygiene.</t>
  </si>
  <si>
    <t>15459632</t>
  </si>
  <si>
    <t>15459624</t>
  </si>
  <si>
    <t>9504688</t>
  </si>
  <si>
    <t>Journal of occupational and environmental medicine / American College of Occupational and Environmental Medicine</t>
  </si>
  <si>
    <t>JOURNAL OF OCCUPATIONAL AND ENVIRONMENTAL MEDICINE / AMERICAN COLLEGE OF OCCUPATIONAL AND ENVIRONMENTAL MEDICINE</t>
  </si>
  <si>
    <t>J Occup Environ Med</t>
  </si>
  <si>
    <t>Continues: Journal of occupational medicine.</t>
  </si>
  <si>
    <t>9616320</t>
  </si>
  <si>
    <t>Journal of occupational health</t>
  </si>
  <si>
    <t>JOURNAL OF OCCUPATIONAL HEALTH</t>
  </si>
  <si>
    <t>J Occup Health</t>
  </si>
  <si>
    <t>Continues in part: Sangyō eiseigaku zasshi.</t>
  </si>
  <si>
    <t>13489585</t>
  </si>
  <si>
    <t>13419145</t>
  </si>
  <si>
    <t>Japan Society for Occupational Health</t>
  </si>
  <si>
    <t>9612485</t>
  </si>
  <si>
    <t>Journal of occupational health psychology</t>
  </si>
  <si>
    <t>JOURNAL OF OCCUPATIONAL HEALTH PSYCHOLOGY</t>
  </si>
  <si>
    <t>J Occup Health Psychol</t>
  </si>
  <si>
    <t>9202814</t>
  </si>
  <si>
    <t>Journal of occupational rehabilitation</t>
  </si>
  <si>
    <t>JOURNAL OF OCCUPATIONAL REHABILITATION</t>
  </si>
  <si>
    <t>J Occup Rehabil</t>
  </si>
  <si>
    <t>15733688</t>
  </si>
  <si>
    <t>10530487</t>
  </si>
  <si>
    <t>9511091</t>
  </si>
  <si>
    <t>Journal of ocular pharmacology and therapeutics : the official journal of the Association for Ocular Pharmacology and Therapeutics</t>
  </si>
  <si>
    <t>JOURNAL OF OCULAR PHARMACOLOGY AND THERAPEUTICS : THE OFFICIAL JOURNAL OF THE ASSOCIATION FOR OCULAR PHARMACOLOGY AND THERAPEUTICS</t>
  </si>
  <si>
    <t>J Ocul Pharmacol Ther</t>
  </si>
  <si>
    <t>Continues: Journal of ocular pharmacology.</t>
  </si>
  <si>
    <t>Association For Ocular Pharmacology And Therapeutics</t>
  </si>
  <si>
    <t>Drug Therapy#Ophthalmology#Pharmacology</t>
  </si>
  <si>
    <t>101175339</t>
  </si>
  <si>
    <t>Journal of oleo science</t>
  </si>
  <si>
    <t>JOURNAL OF OLEO SCIENCE</t>
  </si>
  <si>
    <t>J Oleo Sci</t>
  </si>
  <si>
    <t>Continues in part: Nihon Yuka Gakkai shi.</t>
  </si>
  <si>
    <t>13473352</t>
  </si>
  <si>
    <t>13458957</t>
  </si>
  <si>
    <t>Japan Oil Chemists' Society</t>
  </si>
  <si>
    <t>9511372</t>
  </si>
  <si>
    <t>Journal of oncology pharmacy practice : official publication of the International Society of Oncology Pharmacy Practitioners</t>
  </si>
  <si>
    <t>JOURNAL OF ONCOLOGY PHARMACY PRACTICE : OFFICIAL PUBLICATION OF THE INTERNATIONAL SOCIETY OF ONCOLOGY PHARMACY PRACTITIONERS</t>
  </si>
  <si>
    <t>J Oncol Pharm Pract</t>
  </si>
  <si>
    <t>Neoplasms#Pharmacy</t>
  </si>
  <si>
    <t>101261852</t>
  </si>
  <si>
    <t>Journal of oncology practice / American Society of Clinical Oncology</t>
  </si>
  <si>
    <t>JOURNAL OF ONCOLOGY PRACTICE / AMERICAN SOCIETY OF CLINICAL ONCOLOGY</t>
  </si>
  <si>
    <t>J Oncol Pract</t>
  </si>
  <si>
    <t>101234523</t>
  </si>
  <si>
    <t>Journal of opioid management</t>
  </si>
  <si>
    <t>JOURNAL OF OPIOID MANAGEMENT</t>
  </si>
  <si>
    <t>J Opioid Manag</t>
  </si>
  <si>
    <t>Weston Medical Pub.</t>
  </si>
  <si>
    <t>Drug Therapy#Neurology#Psychophysiology#Substance-Related Disorders</t>
  </si>
  <si>
    <t>101624698</t>
  </si>
  <si>
    <t>Journal of oral &amp; facial pain and headache</t>
  </si>
  <si>
    <t>JOURNAL OF ORAL &amp; FACIAL PAIN AND HEADACHE</t>
  </si>
  <si>
    <t>J Oral Facial Pain Headache</t>
  </si>
  <si>
    <t>Continues: Journal of orofacial pain.</t>
  </si>
  <si>
    <t>23330376</t>
  </si>
  <si>
    <t>23330384</t>
  </si>
  <si>
    <t>Dentistry#Neurology#Psychophysiology</t>
  </si>
  <si>
    <t>8206428</t>
  </si>
  <si>
    <t>Journal of oral and maxillofacial surgery : official journal of the American Association of Oral and Maxillofacial Surgeons</t>
  </si>
  <si>
    <t>JOURNAL OF ORAL AND MAXILLOFACIAL SURGERY : OFFICIAL JOURNAL OF THE AMERICAN ASSOCIATION OF ORAL AND MAXILLOFACIAL SURGEONS</t>
  </si>
  <si>
    <t>J Oral Maxillofac Surg</t>
  </si>
  <si>
    <t>Continues: Journal of oral surgery (American Dental Association : 1965).</t>
  </si>
  <si>
    <t>101226721</t>
  </si>
  <si>
    <t>Journal of oral biosciences / JAOB, Japanese Association for Oral Biology</t>
  </si>
  <si>
    <t>JOURNAL OF ORAL BIOSCIENCES / JAOB, JAPANESE ASSOCIATION FOR ORAL BIOLOGY</t>
  </si>
  <si>
    <t>J Oral Biosci</t>
  </si>
  <si>
    <t>Continues: Shika Kiso Igakkai zasshi.</t>
  </si>
  <si>
    <t>18803865</t>
  </si>
  <si>
    <t>13490079</t>
  </si>
  <si>
    <t>Elsevier B.V.</t>
  </si>
  <si>
    <t>7801086</t>
  </si>
  <si>
    <t>The Journal of oral implantology</t>
  </si>
  <si>
    <t>JOURNAL OF ORAL IMPLANTOLOGY</t>
  </si>
  <si>
    <t>J Oral Implantol</t>
  </si>
  <si>
    <t>Continues Oral implantology.</t>
  </si>
  <si>
    <t>01606972</t>
  </si>
  <si>
    <t>American Academy Of Implant Dentistry</t>
  </si>
  <si>
    <t>8911934</t>
  </si>
  <si>
    <t>Journal of oral pathology &amp; medicine : official publication of the International Association of Oral Pathologists and the American Academy of Oral Pathology</t>
  </si>
  <si>
    <t>JOURNAL OF ORAL PATHOLOGY &amp; MEDICINE : OFFICIAL PUBLICATION OF THE INTERNATIONAL ASSOCIATION OF ORAL PATHOLOGISTS AND THE AMERICAN ACADEMY OF ORAL PATHOLOGY</t>
  </si>
  <si>
    <t>J Oral Pathol Med</t>
  </si>
  <si>
    <t>Continues: Journal of oral pathology.</t>
  </si>
  <si>
    <t>Dentistry#Pathology</t>
  </si>
  <si>
    <t>0433604</t>
  </si>
  <si>
    <t>Journal of oral rehabilitation</t>
  </si>
  <si>
    <t>JOURNAL OF ORAL REHABILITATION</t>
  </si>
  <si>
    <t>J Oral Rehabil</t>
  </si>
  <si>
    <t>13652842</t>
  </si>
  <si>
    <t>0305182X</t>
  </si>
  <si>
    <t>9808942</t>
  </si>
  <si>
    <t>Journal of oral science</t>
  </si>
  <si>
    <t>JOURNAL OF ORAL SCIENCE</t>
  </si>
  <si>
    <t>J Oral Sci</t>
  </si>
  <si>
    <t>Continues: Journal of Nihon University School of Dentistry.</t>
  </si>
  <si>
    <t>18804926</t>
  </si>
  <si>
    <t>13434934</t>
  </si>
  <si>
    <t>Nihon University School of Dentistry</t>
  </si>
  <si>
    <t>2985193R</t>
  </si>
  <si>
    <t>The Journal of organic chemistry</t>
  </si>
  <si>
    <t>JOURNAL OF ORGANIC CHEMISTRY</t>
  </si>
  <si>
    <t>J Org Chem</t>
  </si>
  <si>
    <t>9713484</t>
  </si>
  <si>
    <t>Journal of orofacial orthopedics = Fortschritte der Kieferorthopädie : Organ/official journal Deutsche Gesellschaft für Kieferorthopädie</t>
  </si>
  <si>
    <t>JOURNAL OF OROFACIAL ORTHOPEDICS = FORTSCHRITTE DER KIEFERORTHOPADIE : ORGAN/OFFICIAL JOURNAL DEUTSCHE GESELLSCHAFT FUR KIEFERORTHOPADIE</t>
  </si>
  <si>
    <t>J Orofac Orthop</t>
  </si>
  <si>
    <t>Continues: Fortschritte der Kieferorthopädie.</t>
  </si>
  <si>
    <t>16156714</t>
  </si>
  <si>
    <t>14345293</t>
  </si>
  <si>
    <t>Urban &amp; Vogel</t>
  </si>
  <si>
    <t>100957268</t>
  </si>
  <si>
    <t>Journal of orthodontics</t>
  </si>
  <si>
    <t>JOURNAL OF ORTHODONTICS</t>
  </si>
  <si>
    <t>J Orthod</t>
  </si>
  <si>
    <t>Continues: British journal of orthodontics.</t>
  </si>
  <si>
    <t>14653133</t>
  </si>
  <si>
    <t>14653125</t>
  </si>
  <si>
    <t>7908150</t>
  </si>
  <si>
    <t>The Journal of orthopaedic and sports physical therapy</t>
  </si>
  <si>
    <t>JOURNAL OF ORTHOPAEDIC AND SPORTS PHYSICAL THERAPY</t>
  </si>
  <si>
    <t>J Orthop Sports Phys Ther</t>
  </si>
  <si>
    <t>Formed by the union of the Bulletin of the Orthopaedic Section and the Bulletin of the Sports Medicine Section of the American Physical Therapy Association.</t>
  </si>
  <si>
    <t>19381344</t>
  </si>
  <si>
    <t>01906011</t>
  </si>
  <si>
    <t>Orthopedics#Physical and Rehabilitation Medicine#Sports Medicine</t>
  </si>
  <si>
    <t>8404726</t>
  </si>
  <si>
    <t>Journal of orthopaedic research : official publication of the Orthopaedic Research Society</t>
  </si>
  <si>
    <t>JOURNAL OF ORTHOPAEDIC RESEARCH : OFFICIAL PUBLICATION OF THE ORTHOPAEDIC RESEARCH SOCIETY</t>
  </si>
  <si>
    <t>J Orthop Res</t>
  </si>
  <si>
    <t>9604934</t>
  </si>
  <si>
    <t>Journal of orthopaedic science : official journal of the Japanese Orthopaedic Association</t>
  </si>
  <si>
    <t>JOURNAL OF ORTHOPAEDIC SCIENCE : OFFICIAL JOURNAL OF THE JAPANESE ORTHOPAEDIC ASSOCIATION</t>
  </si>
  <si>
    <t>J Orthop Sci</t>
  </si>
  <si>
    <t>9440382</t>
  </si>
  <si>
    <t>Journal of orthopaedic surgery (Hong Kong)</t>
  </si>
  <si>
    <t>JOURNAL OF ORTHOPAEDIC SURGERY (HONG KONG)</t>
  </si>
  <si>
    <t>J Orthop Surg (Hong Kong)</t>
  </si>
  <si>
    <t>Continues: Journal of the Western Pacific Orthopaedic Association.</t>
  </si>
  <si>
    <t>10225536</t>
  </si>
  <si>
    <t>101265112</t>
  </si>
  <si>
    <t>Journal of orthopaedic surgery and research</t>
  </si>
  <si>
    <t>JOURNAL OF ORTHOPAEDIC SURGERY AND RESEARCH</t>
  </si>
  <si>
    <t>J Orthop Surg Res</t>
  </si>
  <si>
    <t>1749799X</t>
  </si>
  <si>
    <t>8807705</t>
  </si>
  <si>
    <t>Journal of orthopaedic trauma</t>
  </si>
  <si>
    <t>JOURNAL OF ORTHOPAEDIC TRAUMA</t>
  </si>
  <si>
    <t>J Orthop Trauma</t>
  </si>
  <si>
    <t>101090931</t>
  </si>
  <si>
    <t>Journal of orthopaedics and traumatology : official journal of the Italian Society of Orthopaedics and Traumatology</t>
  </si>
  <si>
    <t>JOURNAL OF ORTHOPAEDICS AND TRAUMATOLOGY : OFFICIAL JOURNAL OF THE ITALIAN SOCIETY OF ORTHOPAEDICS AND TRAUMATOLOGY</t>
  </si>
  <si>
    <t>J Orthop Traumatol</t>
  </si>
  <si>
    <t>101479544</t>
  </si>
  <si>
    <t>Journal of otolaryngology - head &amp; neck surgery = Le Journal d'oto-rhino-laryngologie et de chirurgie cervico-faciale</t>
  </si>
  <si>
    <t>JOURNAL OF OTOLARYNGOLOGY - HEAD &amp; NECK SURGERY = LE JOURNAL D'OTO-RHINO-LARYNGOLOGIE ET DE CHIRURGIE CERVICO-FACIALE</t>
  </si>
  <si>
    <t>J Otolaryngol Head Neck Surg</t>
  </si>
  <si>
    <t>Continues: Journal of otolaryngology.</t>
  </si>
  <si>
    <t>19160208</t>
  </si>
  <si>
    <t>General Surgery#Otolaryngology</t>
  </si>
  <si>
    <t>9005421</t>
  </si>
  <si>
    <t>Journal of paediatrics and child health</t>
  </si>
  <si>
    <t>JOURNAL OF PAEDIATRICS AND CHILD HEALTH</t>
  </si>
  <si>
    <t>J Paediatr Child Health</t>
  </si>
  <si>
    <t>Continues: Australian paediatric journal.</t>
  </si>
  <si>
    <t>101125608</t>
  </si>
  <si>
    <t>Journal of pain &amp; palliative care pharmacotherapy</t>
  </si>
  <si>
    <t>JOURNAL OF PAIN &amp; PALLIATIVE CARE PHARMACOTHERAPY</t>
  </si>
  <si>
    <t>J Pain Palliat Care Pharmacother</t>
  </si>
  <si>
    <t>Merger of: Hospice journal, and: Journal of pharmaceutical care in pain &amp; symptom control.</t>
  </si>
  <si>
    <t>Drug Therapy#Neurology#Psychophysiology</t>
  </si>
  <si>
    <t>100898657</t>
  </si>
  <si>
    <t>The journal of pain : official journal of the American Pain Society</t>
  </si>
  <si>
    <t>JOURNAL OF PAIN : OFFICIAL JOURNAL OF THE AMERICAN PAIN SOCIETY</t>
  </si>
  <si>
    <t>J Pain</t>
  </si>
  <si>
    <t>Continues: Pain forum.</t>
  </si>
  <si>
    <t>8605836</t>
  </si>
  <si>
    <t>Journal of pain and symptom management</t>
  </si>
  <si>
    <t>JOURNAL OF PAIN AND SYMPTOM MANAGEMENT</t>
  </si>
  <si>
    <t>J Pain Symptom Manage</t>
  </si>
  <si>
    <t>Continues: PRN forum.</t>
  </si>
  <si>
    <t>Neurology#Psychophysiology#Therapeutics</t>
  </si>
  <si>
    <t>8610345</t>
  </si>
  <si>
    <t>Journal of palliative care</t>
  </si>
  <si>
    <t>JOURNAL OF PALLIATIVE CARE</t>
  </si>
  <si>
    <t>J Palliat Care</t>
  </si>
  <si>
    <t>08258597</t>
  </si>
  <si>
    <t>Clinical Research Institute Of Montreal, Center For Bioethics</t>
  </si>
  <si>
    <t>9808462</t>
  </si>
  <si>
    <t>Journal of palliative medicine</t>
  </si>
  <si>
    <t>JOURNAL OF PALLIATIVE MEDICINE</t>
  </si>
  <si>
    <t>J Palliat Med</t>
  </si>
  <si>
    <t>7803124</t>
  </si>
  <si>
    <t>The Journal of parasitology</t>
  </si>
  <si>
    <t>JOURNAL OF PARASITOLOGY</t>
  </si>
  <si>
    <t>J Parasitol</t>
  </si>
  <si>
    <t>American Society of Parasitologists [etc.]</t>
  </si>
  <si>
    <t>101567362</t>
  </si>
  <si>
    <t>Journal of Parkinson's disease</t>
  </si>
  <si>
    <t>JOURNAL OF PARKINSON'S DISEASE</t>
  </si>
  <si>
    <t>J Parkinsons Dis</t>
  </si>
  <si>
    <t>101144384</t>
  </si>
  <si>
    <t>The journal of pastoral care &amp; counseling : JPCC</t>
  </si>
  <si>
    <t>JOURNAL OF PASTORAL CARE &amp; COUNSELING : JPCC</t>
  </si>
  <si>
    <t>J Pastoral Care Counsel</t>
  </si>
  <si>
    <t>Continues: Journal of pastoral care.</t>
  </si>
  <si>
    <t>15423050</t>
  </si>
  <si>
    <t>Journal of Pastoral Care Publications</t>
  </si>
  <si>
    <t>0204634</t>
  </si>
  <si>
    <t>The Journal of pathology</t>
  </si>
  <si>
    <t>JOURNAL OF PATHOLOGY</t>
  </si>
  <si>
    <t>J Pathol</t>
  </si>
  <si>
    <t>Absorbed: Diagnostic histopathology. 1984 Supersedes: Journal of pathology and bacteriology.</t>
  </si>
  <si>
    <t>101233393</t>
  </si>
  <si>
    <t>Journal of patient safety</t>
  </si>
  <si>
    <t>JOURNAL OF PATIENT SAFETY</t>
  </si>
  <si>
    <t>J Patient Saf</t>
  </si>
  <si>
    <t>15498425</t>
  </si>
  <si>
    <t>15498417</t>
  </si>
  <si>
    <t>9610774</t>
  </si>
  <si>
    <t>Journal of pediatric and adolescent gynecology</t>
  </si>
  <si>
    <t>JOURNAL OF PEDIATRIC AND ADOLESCENT GYNECOLOGY</t>
  </si>
  <si>
    <t>J Pediatr Adolesc Gynecol</t>
  </si>
  <si>
    <t>Continues: Adolescent and pediatric gynecology.</t>
  </si>
  <si>
    <t>Gynecology#Pediatrics</t>
  </si>
  <si>
    <t>9508900</t>
  </si>
  <si>
    <t>Journal of pediatric endocrinology &amp; metabolism : JPEM</t>
  </si>
  <si>
    <t>JOURNAL OF PEDIATRIC ENDOCRINOLOGY &amp; METABOLISM : JPEM</t>
  </si>
  <si>
    <t>J Pediatr Endocrinol Metab</t>
  </si>
  <si>
    <t>Continues: Journal of pediatric endocrinology.</t>
  </si>
  <si>
    <t>8211545</t>
  </si>
  <si>
    <t>Journal of pediatric gastroenterology and nutrition</t>
  </si>
  <si>
    <t>JOURNAL OF PEDIATRIC GASTROENTEROLOGY AND NUTRITION</t>
  </si>
  <si>
    <t>J Pediatr Gastroenterol Nutr</t>
  </si>
  <si>
    <t>Monthly, &lt;2007-&gt;</t>
  </si>
  <si>
    <t>Gastroenterology#Nutritional Sciences#Pediatrics</t>
  </si>
  <si>
    <t>8709735</t>
  </si>
  <si>
    <t>Journal of pediatric health care : official publication of National Association of Pediatric Nurse Associates &amp; Practitioners</t>
  </si>
  <si>
    <t>JOURNAL OF PEDIATRIC HEALTH CARE : OFFICIAL PUBLICATION OF NATIONAL ASSOCIATION OF PEDIATRIC NURSE ASSOCIATES &amp; PRACTITIONERS</t>
  </si>
  <si>
    <t>J Pediatr Health Care</t>
  </si>
  <si>
    <t>1532656X</t>
  </si>
  <si>
    <t>08915245</t>
  </si>
  <si>
    <t>Health Services#Nursing#Pediatrics</t>
  </si>
  <si>
    <t>9505928</t>
  </si>
  <si>
    <t>Journal of pediatric hematology/oncology</t>
  </si>
  <si>
    <t>JOURNAL OF PEDIATRIC HEMATOLOGY/ONCOLOGY</t>
  </si>
  <si>
    <t>J Pediatr Hematol Oncol</t>
  </si>
  <si>
    <t>Continues: American journal of pediatric hematology/oncology.</t>
  </si>
  <si>
    <t>Hematology#Neoplasms#Pediatrics</t>
  </si>
  <si>
    <t>8607529</t>
  </si>
  <si>
    <t>Journal of pediatric nursing</t>
  </si>
  <si>
    <t>JOURNAL OF PEDIATRIC NURSING</t>
  </si>
  <si>
    <t>J Pediatr Nurs</t>
  </si>
  <si>
    <t>15328449</t>
  </si>
  <si>
    <t>08825963</t>
  </si>
  <si>
    <t>8917825</t>
  </si>
  <si>
    <t>Journal of pediatric oncology nursing : official journal of the Association of Pediatric Oncology Nurses</t>
  </si>
  <si>
    <t>JOURNAL OF PEDIATRIC ONCOLOGY NURSING : OFFICIAL JOURNAL OF THE ASSOCIATION OF PEDIATRIC ONCOLOGY NURSES</t>
  </si>
  <si>
    <t>J Pediatr Oncol Nurs</t>
  </si>
  <si>
    <t>Continues: Journal of the Association of Pediatric Oncology Nurses.</t>
  </si>
  <si>
    <t>15328457</t>
  </si>
  <si>
    <t>10434542</t>
  </si>
  <si>
    <t>Bimonthly, &lt;Jan.-Feb. 2001-&gt;</t>
  </si>
  <si>
    <t>Neoplasms#Nursing#Pediatrics</t>
  </si>
  <si>
    <t>7901143</t>
  </si>
  <si>
    <t>Journal of pediatric ophthalmology and strabismus</t>
  </si>
  <si>
    <t>JOURNAL OF PEDIATRIC OPHTHALMOLOGY AND STRABISMUS</t>
  </si>
  <si>
    <t>J Pediatr Ophthalmol Strabismus</t>
  </si>
  <si>
    <t>Slack</t>
  </si>
  <si>
    <t>8109053</t>
  </si>
  <si>
    <t>Journal of pediatric orthopedics</t>
  </si>
  <si>
    <t>JOURNAL OF PEDIATRIC ORTHOPEDICS</t>
  </si>
  <si>
    <t>J Pediatr Orthop</t>
  </si>
  <si>
    <t>Eight no. a year, Jan./Feb. 2007-</t>
  </si>
  <si>
    <t>Orthopedics#Pediatrics</t>
  </si>
  <si>
    <t>9300904</t>
  </si>
  <si>
    <t>Journal of pediatric orthopedics. Part B</t>
  </si>
  <si>
    <t>JOURNAL OF PEDIATRIC ORTHOPEDICS. PART B</t>
  </si>
  <si>
    <t>J Pediatr Orthop B</t>
  </si>
  <si>
    <t>Quarterly, 1996-</t>
  </si>
  <si>
    <t>7801773</t>
  </si>
  <si>
    <t>Journal of pediatric psychology</t>
  </si>
  <si>
    <t>JOURNAL OF PEDIATRIC PSYCHOLOGY</t>
  </si>
  <si>
    <t>J Pediatr Psychol</t>
  </si>
  <si>
    <t>Supersedes Pediatric psychology.</t>
  </si>
  <si>
    <t>1465735X</t>
  </si>
  <si>
    <t>01468693</t>
  </si>
  <si>
    <t>101490944</t>
  </si>
  <si>
    <t>Journal of pediatric rehabilitation medicine</t>
  </si>
  <si>
    <t>JOURNAL OF PEDIATRIC REHABILITATION MEDICINE</t>
  </si>
  <si>
    <t>J Pediatr Rehabil Med</t>
  </si>
  <si>
    <t>Pediatrics#Physical and Rehabilitation Medicine</t>
  </si>
  <si>
    <t>0052631</t>
  </si>
  <si>
    <t>Journal of pediatric surgery</t>
  </si>
  <si>
    <t>JOURNAL OF PEDIATRIC SURGERY</t>
  </si>
  <si>
    <t>J Pediatr Surg</t>
  </si>
  <si>
    <t>101233150</t>
  </si>
  <si>
    <t>Journal of pediatric urology</t>
  </si>
  <si>
    <t>JOURNAL OF PEDIATRIC UROLOGY</t>
  </si>
  <si>
    <t>J Pediatr Urol</t>
  </si>
  <si>
    <t>Pediatrics#Urology</t>
  </si>
  <si>
    <t>0375410</t>
  </si>
  <si>
    <t>The Journal of pediatrics</t>
  </si>
  <si>
    <t>JOURNAL OF PEDIATRICS</t>
  </si>
  <si>
    <t>J Pediatr</t>
  </si>
  <si>
    <t>Continues: Transactions. American Academy of Pediatrics.</t>
  </si>
  <si>
    <t>9506309</t>
  </si>
  <si>
    <t>Journal of peptide science : an official publication of the European Peptide Society</t>
  </si>
  <si>
    <t>JOURNAL OF PEPTIDE SCIENCE : AN OFFICIAL PUBLICATION OF THE EUROPEAN PEPTIDE SOCIETY</t>
  </si>
  <si>
    <t>J Pept Sci</t>
  </si>
  <si>
    <t>9610507</t>
  </si>
  <si>
    <t>Journal of perianesthesia nursing : official journal of the American Society of PeriAnesthesia Nurses / American Society of PeriAnesthesia Nurses</t>
  </si>
  <si>
    <t>JOURNAL OF PERIANESTHESIA NURSING : OFFICIAL JOURNAL OF THE AMERICAN SOCIETY OF PERIANESTHESIA NURSES / AMERICAN SOCIETY OF PERIANESTHESIA NURSES</t>
  </si>
  <si>
    <t>J Perianesth Nurs</t>
  </si>
  <si>
    <t>Continues: Journal of post anesthesia nursing.</t>
  </si>
  <si>
    <t>15328473</t>
  </si>
  <si>
    <t>10899472</t>
  </si>
  <si>
    <t>W.B. Saunders Company</t>
  </si>
  <si>
    <t>8801387</t>
  </si>
  <si>
    <t>The Journal of perinatal &amp; neonatal nursing</t>
  </si>
  <si>
    <t>JOURNAL OF PERINATAL &amp; NEONATAL NURSING</t>
  </si>
  <si>
    <t>J Perinat Neonatal Nurs</t>
  </si>
  <si>
    <t>15505073</t>
  </si>
  <si>
    <t>08932190</t>
  </si>
  <si>
    <t>Nursing#Perinatology</t>
  </si>
  <si>
    <t>0361031</t>
  </si>
  <si>
    <t>Journal of perinatal medicine</t>
  </si>
  <si>
    <t>JOURNAL OF PERINATAL MEDICINE</t>
  </si>
  <si>
    <t>J Perinat Med</t>
  </si>
  <si>
    <t>8501884</t>
  </si>
  <si>
    <t>Journal of perinatology : official journal of the California Perinatal Association</t>
  </si>
  <si>
    <t>JOURNAL OF PERINATOLOGY : OFFICIAL JOURNAL OF THE CALIFORNIA PERINATAL ASSOCIATION</t>
  </si>
  <si>
    <t>J Perinatol</t>
  </si>
  <si>
    <t>Continues: Journal of the California Perinatal Association.</t>
  </si>
  <si>
    <t>Monthly 2004-</t>
  </si>
  <si>
    <t>0055107</t>
  </si>
  <si>
    <t>Journal of periodontal research</t>
  </si>
  <si>
    <t>JOURNAL OF PERIODONTAL RESEARCH</t>
  </si>
  <si>
    <t>J Periodontal Res</t>
  </si>
  <si>
    <t>16000765</t>
  </si>
  <si>
    <t>00223484</t>
  </si>
  <si>
    <t>8000345</t>
  </si>
  <si>
    <t>Journal of periodontology</t>
  </si>
  <si>
    <t>JOURNAL OF PERIODONTOLOGY</t>
  </si>
  <si>
    <t>J Periodontol</t>
  </si>
  <si>
    <t>Continues: Journal of periodontology-periodontics.</t>
  </si>
  <si>
    <t>19433670</t>
  </si>
  <si>
    <t>00223492</t>
  </si>
  <si>
    <t>American Academy of Periodontology.</t>
  </si>
  <si>
    <t>101271023</t>
  </si>
  <si>
    <t>Journal of perioperative practice</t>
  </si>
  <si>
    <t>JOURNAL OF PERIOPERATIVE PRACTICE</t>
  </si>
  <si>
    <t>J Perioper Pract</t>
  </si>
  <si>
    <t>Continues: British journal of perioperative nursing.</t>
  </si>
  <si>
    <t>17504589</t>
  </si>
  <si>
    <t>Association for Perioperative Practice</t>
  </si>
  <si>
    <t>General Surgery#Nursing</t>
  </si>
  <si>
    <t>2985194R</t>
  </si>
  <si>
    <t>Journal of personality</t>
  </si>
  <si>
    <t>JOURNAL OF PERSONALITY</t>
  </si>
  <si>
    <t>J Pers</t>
  </si>
  <si>
    <t>Continues: Character and personality.</t>
  </si>
  <si>
    <t>14676494</t>
  </si>
  <si>
    <t>00223506</t>
  </si>
  <si>
    <t>0014171</t>
  </si>
  <si>
    <t>Journal of personality and social psychology</t>
  </si>
  <si>
    <t>JOURNAL OF PERSONALITY AND SOCIAL PSYCHOLOGY</t>
  </si>
  <si>
    <t>J Pers Soc Psychol</t>
  </si>
  <si>
    <t>Supersedes in part the Journal of abnormal and social psychology.</t>
  </si>
  <si>
    <t>19391315</t>
  </si>
  <si>
    <t>00223514</t>
  </si>
  <si>
    <t>1260201</t>
  </si>
  <si>
    <t>Journal of personality assessment</t>
  </si>
  <si>
    <t>JOURNAL OF PERSONALITY ASSESSMENT</t>
  </si>
  <si>
    <t>J Pers Assess</t>
  </si>
  <si>
    <t>Continues: Journal of projective techniques &amp; personality assessment.</t>
  </si>
  <si>
    <t>15327752</t>
  </si>
  <si>
    <t>00223891</t>
  </si>
  <si>
    <t>8710838</t>
  </si>
  <si>
    <t>Journal of personality disorders</t>
  </si>
  <si>
    <t>JOURNAL OF PERSONALITY DISORDERS</t>
  </si>
  <si>
    <t>J Pers Disord</t>
  </si>
  <si>
    <t>19432763</t>
  </si>
  <si>
    <t>0885579X</t>
  </si>
  <si>
    <t>8309336</t>
  </si>
  <si>
    <t>Journal of pharmaceutical and biomedical analysis</t>
  </si>
  <si>
    <t>JOURNAL OF PHARMACEUTICAL AND BIOMEDICAL ANALYSIS</t>
  </si>
  <si>
    <t>J Pharm Biomed Anal</t>
  </si>
  <si>
    <t>Eighteen no. a year, 1999-</t>
  </si>
  <si>
    <t>2985195R</t>
  </si>
  <si>
    <t>Journal of pharmaceutical sciences</t>
  </si>
  <si>
    <t>JOURNAL OF PHARMACEUTICAL SCIENCES</t>
  </si>
  <si>
    <t>J Pharm Sci</t>
  </si>
  <si>
    <t>Formed by the merger of: American Pharmaceutical Association. Journal of the American Pharmaceutical Association. Scientific edition, and: Drug standards, and continues the numbering of the former.</t>
  </si>
  <si>
    <t>101096520</t>
  </si>
  <si>
    <t>Journal of pharmacokinetics and pharmacodynamics</t>
  </si>
  <si>
    <t>JOURNAL OF PHARMACOKINETICS AND PHARMACODYNAMICS</t>
  </si>
  <si>
    <t>J Pharmacokinet Pharmacodyn</t>
  </si>
  <si>
    <t>Continues: Journal of pharmacokinetics and biopharmaceutics.</t>
  </si>
  <si>
    <t>9206091</t>
  </si>
  <si>
    <t>Journal of pharmacological and toxicological methods</t>
  </si>
  <si>
    <t>JOURNAL OF PHARMACOLOGICAL AND TOXICOLOGICAL METHODS</t>
  </si>
  <si>
    <t>J Pharmacol Toxicol Methods</t>
  </si>
  <si>
    <t>Continues: Journal of pharmacological methods.</t>
  </si>
  <si>
    <t>101167001</t>
  </si>
  <si>
    <t>Journal of pharmacological sciences</t>
  </si>
  <si>
    <t>JOURNAL OF PHARMACOLOGICAL SCIENCES</t>
  </si>
  <si>
    <t>J Pharmacol Sci</t>
  </si>
  <si>
    <t>Continues: Japanese journal of pharmacology.</t>
  </si>
  <si>
    <t>0376362</t>
  </si>
  <si>
    <t>The Journal of pharmacology and experimental therapeutics</t>
  </si>
  <si>
    <t>JOURNAL OF PHARMACOLOGY AND EXPERIMENTAL THERAPEUTICS</t>
  </si>
  <si>
    <t>J Pharmacol Exp Ther</t>
  </si>
  <si>
    <t>Vols. 1-2 of: Pharmacological reviews issued as supplements in v. 95-100, consisting of pt. 2 of Apr., Aug., and Dec. issues.</t>
  </si>
  <si>
    <t>American Society for Pharmacology and Experimental Therapeutics</t>
  </si>
  <si>
    <t>9807281</t>
  </si>
  <si>
    <t>Journal of pharmacy &amp; pharmaceutical sciences : a publication of the Canadian Society for Pharmaceutical Sciences, Société canadienne des sciences pharmaceutiques</t>
  </si>
  <si>
    <t>JOURNAL OF PHARMACY &amp; PHARMACEUTICAL SCIENCES : A PUBLICATION OF THE CANADIAN SOCIETY FOR PHARMACEUTICAL SCIENCES, SOCIETE CANADIENNE DES SCIENCES PHARMACEUTIQUES</t>
  </si>
  <si>
    <t>J Pharm Pharm Sci</t>
  </si>
  <si>
    <t>0376363</t>
  </si>
  <si>
    <t>The Journal of pharmacy and pharmacology</t>
  </si>
  <si>
    <t>JOURNAL OF PHARMACY AND PHARMACOLOGY</t>
  </si>
  <si>
    <t>J Pharm Pharmacol</t>
  </si>
  <si>
    <t>Absorbed: Pharmacy and pharmacology communications, Jan. 2001.</t>
  </si>
  <si>
    <t>8900945</t>
  </si>
  <si>
    <t>Journal of pharmacy practice</t>
  </si>
  <si>
    <t>JOURNAL OF PHARMACY PRACTICE</t>
  </si>
  <si>
    <t>J Pharm Pract</t>
  </si>
  <si>
    <t>101197577</t>
  </si>
  <si>
    <t>The journal of philosophy, science &amp; law</t>
  </si>
  <si>
    <t>JOURNAL OF PHILOSOPHY, SCIENCE &amp; LAW</t>
  </si>
  <si>
    <t>J Philos Sci Law</t>
  </si>
  <si>
    <t>15498549</t>
  </si>
  <si>
    <t>School of Public Policy, Georgia Tech</t>
  </si>
  <si>
    <t>Ethics#Jurisprudence#Science</t>
  </si>
  <si>
    <t>8804966</t>
  </si>
  <si>
    <t>Journal of photochemistry and photobiology. B, Biology</t>
  </si>
  <si>
    <t>JOURNAL OF PHOTOCHEMISTRY AND PHOTOBIOLOGY. B, BIOLOGY</t>
  </si>
  <si>
    <t>J Photochem Photobiol B</t>
  </si>
  <si>
    <t>Continued in part by: Journal of photochemistry.</t>
  </si>
  <si>
    <t>101189457</t>
  </si>
  <si>
    <t>Journal of physical activity &amp; health</t>
  </si>
  <si>
    <t>JOURNAL OF PHYSICAL ACTIVITY &amp; HEALTH</t>
  </si>
  <si>
    <t>J Phys Act Health</t>
  </si>
  <si>
    <t>15435474</t>
  </si>
  <si>
    <t>15433080</t>
  </si>
  <si>
    <t>9890903</t>
  </si>
  <si>
    <t>The journal of physical chemistry. A</t>
  </si>
  <si>
    <t>JOURNAL OF PHYSICAL CHEMISTRY. A</t>
  </si>
  <si>
    <t>J Phys Chem A</t>
  </si>
  <si>
    <t>Continues in part: Journal of physical chemistry (1952).</t>
  </si>
  <si>
    <t>15205215</t>
  </si>
  <si>
    <t>10895639</t>
  </si>
  <si>
    <t>Weekly, except the last week in Dec.</t>
  </si>
  <si>
    <t>101157530</t>
  </si>
  <si>
    <t>The journal of physical chemistry. B</t>
  </si>
  <si>
    <t>JOURNAL OF PHYSICAL CHEMISTRY. B</t>
  </si>
  <si>
    <t>J Phys Chem B</t>
  </si>
  <si>
    <t>15205207</t>
  </si>
  <si>
    <t>15206106</t>
  </si>
  <si>
    <t>Weekly, except the first week in Jan., &lt;Feb. 17, 2000-&gt;</t>
  </si>
  <si>
    <t>101298201</t>
  </si>
  <si>
    <t>The journal of physician assistant education : the official journal of the Physician Assistant Education Association</t>
  </si>
  <si>
    <t>JOURNAL OF PHYSICIAN ASSISTANT EDUCATION : THE OFFICIAL JOURNAL OF THE PHYSICIAN ASSISTANT EDUCATION ASSOCIATION</t>
  </si>
  <si>
    <t>J Physician Assist Educ</t>
  </si>
  <si>
    <t>Continues: Perspective on physician assistant education.</t>
  </si>
  <si>
    <t>19419449</t>
  </si>
  <si>
    <t>19419430</t>
  </si>
  <si>
    <t>Physician Assistant Education Association</t>
  </si>
  <si>
    <t>101165248</t>
  </si>
  <si>
    <t>Journal of physics. Condensed matter : an Institute of Physics journal</t>
  </si>
  <si>
    <t>JOURNAL OF PHYSICS. CONDENSED MATTER : AN INSTITUTE OF PHYSICS JOURNAL</t>
  </si>
  <si>
    <t>J Phys Condens Matter</t>
  </si>
  <si>
    <t>Formed by union of: Journal of physics C: Solid state physics. and: Journal of physics. F: Metal physics.</t>
  </si>
  <si>
    <t>1361648X</t>
  </si>
  <si>
    <t>09538984</t>
  </si>
  <si>
    <t>Weekly (50 issues yearly), &lt;2003-&gt;</t>
  </si>
  <si>
    <t>Biophysics#Nanotechnology</t>
  </si>
  <si>
    <t>101269653</t>
  </si>
  <si>
    <t>Journal of physiological anthropology</t>
  </si>
  <si>
    <t>JOURNAL OF PHYSIOLOGICAL ANTHROPOLOGY</t>
  </si>
  <si>
    <t>J Physiol Anthropol</t>
  </si>
  <si>
    <t>Continues: Journal of physiological anthropology and applied human science.</t>
  </si>
  <si>
    <t>18806805</t>
  </si>
  <si>
    <t>18806791</t>
  </si>
  <si>
    <t>101262417</t>
  </si>
  <si>
    <t>The journal of physiological sciences : JPS</t>
  </si>
  <si>
    <t>JOURNAL OF PHYSIOLOGICAL SCIENCES : JPS</t>
  </si>
  <si>
    <t>J Physiol Sci</t>
  </si>
  <si>
    <t>Continues: Japanese journal of physiology.</t>
  </si>
  <si>
    <t>18806562</t>
  </si>
  <si>
    <t>18806546</t>
  </si>
  <si>
    <t>0266262</t>
  </si>
  <si>
    <t>The Journal of physiology</t>
  </si>
  <si>
    <t>JOURNAL OF PHYSIOLOGY</t>
  </si>
  <si>
    <t>J Physiol</t>
  </si>
  <si>
    <t>Cambridge Univ. Press</t>
  </si>
  <si>
    <t>Twenty-seven no. a year, 2002-</t>
  </si>
  <si>
    <t>9812509</t>
  </si>
  <si>
    <t>Journal of physiology and biochemistry</t>
  </si>
  <si>
    <t>JOURNAL OF PHYSIOLOGY AND BIOCHEMISTRY</t>
  </si>
  <si>
    <t>J Physiol Biochem</t>
  </si>
  <si>
    <t>Continues: Revista española de fisiología.</t>
  </si>
  <si>
    <t>Servicio de Publicaciones de la Universidad De Navarra (departamentos de fisiología y nutrición y de bioquimica)</t>
  </si>
  <si>
    <t>9114501</t>
  </si>
  <si>
    <t>Journal of physiology and pharmacology : an official journal of the Polish Physiological Society</t>
  </si>
  <si>
    <t>JOURNAL OF PHYSIOLOGY AND PHARMACOLOGY : AN OFFICIAL JOURNAL OF THE POLISH PHYSIOLOGICAL SOCIETY</t>
  </si>
  <si>
    <t>J Physiol Pharmacol</t>
  </si>
  <si>
    <t>Continues: Acta physiologica polonica.</t>
  </si>
  <si>
    <t>9309351</t>
  </si>
  <si>
    <t>Journal of physiology, Paris</t>
  </si>
  <si>
    <t>JOURNAL OF PHYSIOLOGY, PARIS</t>
  </si>
  <si>
    <t>J Physiol Paris</t>
  </si>
  <si>
    <t>Continues: Journal de physiologie.</t>
  </si>
  <si>
    <t>101528691</t>
  </si>
  <si>
    <t>Journal of physiotherapy</t>
  </si>
  <si>
    <t>JOURNAL OF PHYSIOTHERAPY</t>
  </si>
  <si>
    <t>J Physiother</t>
  </si>
  <si>
    <t>Continues: Australian journal of physiotherapy.</t>
  </si>
  <si>
    <t>18369561</t>
  </si>
  <si>
    <t>18369553</t>
  </si>
  <si>
    <t>8504412</t>
  </si>
  <si>
    <t>Journal of pineal research</t>
  </si>
  <si>
    <t>JOURNAL OF PINEAL RESEARCH</t>
  </si>
  <si>
    <t>J Pineal Res</t>
  </si>
  <si>
    <t>Blackwell Pub</t>
  </si>
  <si>
    <t>Eight no. a year, &lt;1989-&gt;</t>
  </si>
  <si>
    <t>9882059</t>
  </si>
  <si>
    <t>Journal of plant physiology</t>
  </si>
  <si>
    <t>JOURNAL OF PLANT PHYSIOLOGY</t>
  </si>
  <si>
    <t>J Plant Physiol</t>
  </si>
  <si>
    <t>Absorbed: Biochemie und Physiologie der Pflanzen. Continues: Zeitschrift für Pflanzenphysiologie.</t>
  </si>
  <si>
    <t>16181328</t>
  </si>
  <si>
    <t>01761617</t>
  </si>
  <si>
    <t>Eighteen no. a year, 2008-</t>
  </si>
  <si>
    <t>9887853</t>
  </si>
  <si>
    <t>Journal of plant research</t>
  </si>
  <si>
    <t>JOURNAL OF PLANT RESEARCH</t>
  </si>
  <si>
    <t>J Plant Res</t>
  </si>
  <si>
    <t>Continues: Botanical magazine, Tokyo.</t>
  </si>
  <si>
    <t>16180860</t>
  </si>
  <si>
    <t>09189440</t>
  </si>
  <si>
    <t>101534130</t>
  </si>
  <si>
    <t>Journal of plastic surgery and hand surgery</t>
  </si>
  <si>
    <t>JOURNAL OF PLASTIC SURGERY AND HAND SURGERY</t>
  </si>
  <si>
    <t>J Plast Surg Hand Surg</t>
  </si>
  <si>
    <t>Continues: Scandinavian journal of plastic and reconstructive surgery and hand surgery.</t>
  </si>
  <si>
    <t>20006764</t>
  </si>
  <si>
    <t>2000656X</t>
  </si>
  <si>
    <t>101264239</t>
  </si>
  <si>
    <t>Journal of plastic, reconstructive &amp; aesthetic surgery : JPRAS</t>
  </si>
  <si>
    <t>JOURNAL OF PLASTIC, RECONSTRUCTIVE &amp; AESTHETIC SURGERY : JPRAS</t>
  </si>
  <si>
    <t>J Plast Reconstr Aesthet Surg</t>
  </si>
  <si>
    <t>Continues: British journal of plastic surgery.</t>
  </si>
  <si>
    <t>8214851</t>
  </si>
  <si>
    <t>Journal of policy analysis and management : [the journal of the Association for Public Policy Analysis and Management]</t>
  </si>
  <si>
    <t>JOURNAL OF POLICY ANALYSIS AND MANAGEMENT : [THE JOURNAL OF THE ASSOCIATION FOR PUBLIC POLICY ANALYSIS AND MANAGEMENT]</t>
  </si>
  <si>
    <t>J Policy Anal Manage</t>
  </si>
  <si>
    <t>Formed by the union of: Policy analysis, ISSN 0098-2067; and: Public policy, ISSN 0033-3646.</t>
  </si>
  <si>
    <t>15206688</t>
  </si>
  <si>
    <t>02768739</t>
  </si>
  <si>
    <t>Published by John Wiley &amp; Sons for the Association for Public Policy Analysis and Management</t>
  </si>
  <si>
    <t>101530023</t>
  </si>
  <si>
    <t>Journal of population therapeutics and clinical pharmacology = Journal de la thérapeutique des populations et de la pharamcologie clinique</t>
  </si>
  <si>
    <t>JOURNAL OF POPULATION THERAPEUTICS AND CLINICAL PHARMACOLOGY = JOURNAL DE LA THERAPEUTIQUE DES POPULATIONS ET DE LA PHARAMCOLOGIE CLINIQUE</t>
  </si>
  <si>
    <t>J Popul Ther Clin Pharmacol</t>
  </si>
  <si>
    <t>Continues: Canadian journal of clinical pharmacology.</t>
  </si>
  <si>
    <t>Canadian Society of Pharmacology and Therapeutics</t>
  </si>
  <si>
    <t>2985196R</t>
  </si>
  <si>
    <t>Journal of postgraduate medicine</t>
  </si>
  <si>
    <t>JOURNAL OF POSTGRADUATE MEDICINE</t>
  </si>
  <si>
    <t>J Postgrad Med</t>
  </si>
  <si>
    <t>0376610</t>
  </si>
  <si>
    <t>The Journal of practical nursing</t>
  </si>
  <si>
    <t>JOURNAL OF PRACTICAL NURSING</t>
  </si>
  <si>
    <t>J Pract Nurs</t>
  </si>
  <si>
    <t>Continues Practical nursing.</t>
  </si>
  <si>
    <t>00223867</t>
  </si>
  <si>
    <t>National Association for Practical Nurse Education and Service</t>
  </si>
  <si>
    <t>101553823</t>
  </si>
  <si>
    <t>Journal of pregnancy</t>
  </si>
  <si>
    <t>JOURNAL OF PREGNANCY</t>
  </si>
  <si>
    <t>J Pregnancy</t>
  </si>
  <si>
    <t>20902735</t>
  </si>
  <si>
    <t>20902727</t>
  </si>
  <si>
    <t>9702085</t>
  </si>
  <si>
    <t>Journal of prevention &amp; intervention in the community</t>
  </si>
  <si>
    <t>JOURNAL OF PREVENTION &amp; INTERVENTION IN THE COMMUNITY</t>
  </si>
  <si>
    <t>J Prev Interv Community</t>
  </si>
  <si>
    <t>Continues: Prevention in human services.</t>
  </si>
  <si>
    <t>15407330</t>
  </si>
  <si>
    <t>10852352</t>
  </si>
  <si>
    <t>9214440</t>
  </si>
  <si>
    <t>Journal of preventive medicine and hygiene</t>
  </si>
  <si>
    <t>JOURNAL OF PREVENTIVE MEDICINE AND HYGIENE</t>
  </si>
  <si>
    <t>J Prev Med Hyg</t>
  </si>
  <si>
    <t>Continues: Giornale di igiene e medicina preventiva.</t>
  </si>
  <si>
    <t>101242972</t>
  </si>
  <si>
    <t>Journal of preventive medicine and public health = Yebang Ŭihakhoe chi</t>
  </si>
  <si>
    <t>JOURNAL OF PREVENTIVE MEDICINE AND PUBLIC HEALTH = YEBANG UIHAKHOE CHI</t>
  </si>
  <si>
    <t>J Prev Med Public Health</t>
  </si>
  <si>
    <t>Continues: Yebang Ŭihakhoe chi.</t>
  </si>
  <si>
    <t>22334521</t>
  </si>
  <si>
    <t>Bimonthly, Jan. 2006-</t>
  </si>
  <si>
    <t>101518419</t>
  </si>
  <si>
    <t>Journal of primary care &amp; community health</t>
  </si>
  <si>
    <t>JOURNAL OF PRIMARY CARE &amp; COMMUNITY HEALTH</t>
  </si>
  <si>
    <t>J Prim Care Community Health</t>
  </si>
  <si>
    <t>21501327</t>
  </si>
  <si>
    <t>21501319</t>
  </si>
  <si>
    <t>Primary Health Care#Public Health</t>
  </si>
  <si>
    <t>101524060</t>
  </si>
  <si>
    <t>Journal of primary health care</t>
  </si>
  <si>
    <t>JOURNAL OF PRIMARY HEALTH CARE</t>
  </si>
  <si>
    <t>J Prim Health Care</t>
  </si>
  <si>
    <t>Continues: New Zealand family physician.</t>
  </si>
  <si>
    <t>11726156</t>
  </si>
  <si>
    <t>11726164</t>
  </si>
  <si>
    <t>Royal New Zealand College of General Practitioners</t>
  </si>
  <si>
    <t>8213457</t>
  </si>
  <si>
    <t>The journal of primary prevention</t>
  </si>
  <si>
    <t>JOURNAL OF PRIMARY PREVENTION</t>
  </si>
  <si>
    <t>J Prim Prev</t>
  </si>
  <si>
    <t>Continues: Journal of prevention.</t>
  </si>
  <si>
    <t>15736547</t>
  </si>
  <si>
    <t>0278095X</t>
  </si>
  <si>
    <t>8511298</t>
  </si>
  <si>
    <t>Journal of professional nursing : official journal of the American Association of Colleges of Nursing</t>
  </si>
  <si>
    <t>JOURNAL OF PROFESSIONAL NURSING : OFFICIAL JOURNAL OF THE AMERICAN ASSOCIATION OF COLLEGES OF NURSING</t>
  </si>
  <si>
    <t>J Prof Nurs</t>
  </si>
  <si>
    <t>15328481</t>
  </si>
  <si>
    <t>87557223</t>
  </si>
  <si>
    <t>0376364</t>
  </si>
  <si>
    <t>The Journal of prosthetic dentistry</t>
  </si>
  <si>
    <t>JOURNAL OF PROSTHETIC DENTISTRY</t>
  </si>
  <si>
    <t>J Prosthet Dent</t>
  </si>
  <si>
    <t>10976841</t>
  </si>
  <si>
    <t>00223913</t>
  </si>
  <si>
    <t>101490359</t>
  </si>
  <si>
    <t>Journal of prosthodontic research</t>
  </si>
  <si>
    <t>JOURNAL OF PROSTHODONTIC RESEARCH</t>
  </si>
  <si>
    <t>J Prosthodont Res</t>
  </si>
  <si>
    <t>Continues: Nihon Hotetsu Shika Gakkai zasshi.</t>
  </si>
  <si>
    <t>22124632</t>
  </si>
  <si>
    <t>18831958</t>
  </si>
  <si>
    <t>9301275</t>
  </si>
  <si>
    <t>Journal of prosthodontics : official journal of the American College of Prosthodontists</t>
  </si>
  <si>
    <t>JOURNAL OF PROSTHODONTICS : OFFICIAL JOURNAL OF THE AMERICAN COLLEGE OF PROSTHODONTISTS</t>
  </si>
  <si>
    <t>J Prosthodont</t>
  </si>
  <si>
    <t>1532849X</t>
  </si>
  <si>
    <t>1059941X</t>
  </si>
  <si>
    <t>101128775</t>
  </si>
  <si>
    <t>Journal of proteome research</t>
  </si>
  <si>
    <t>JOURNAL OF PROTEOME RESEARCH</t>
  </si>
  <si>
    <t>J Proteome Res</t>
  </si>
  <si>
    <t>101475056</t>
  </si>
  <si>
    <t>Journal of proteomics</t>
  </si>
  <si>
    <t>JOURNAL OF PROTEOMICS</t>
  </si>
  <si>
    <t>J Proteomics</t>
  </si>
  <si>
    <t>Continues: Journal of biochemical and biophysical methods.</t>
  </si>
  <si>
    <t>Eigthteen no. a year, 2012-</t>
  </si>
  <si>
    <t>9439514</t>
  </si>
  <si>
    <t>Journal of psychiatric and mental health nursing</t>
  </si>
  <si>
    <t>JOURNAL OF PSYCHIATRIC AND MENTAL HEALTH NURSING</t>
  </si>
  <si>
    <t>J Psychiatr Ment Health Nurs</t>
  </si>
  <si>
    <t>13652850</t>
  </si>
  <si>
    <t>13510126</t>
  </si>
  <si>
    <t>Nursing#Psychiatry#Psychology</t>
  </si>
  <si>
    <t>100901141</t>
  </si>
  <si>
    <t>Journal of psychiatric practice</t>
  </si>
  <si>
    <t>JOURNAL OF PSYCHIATRIC PRACTICE</t>
  </si>
  <si>
    <t>J Psychiatr Pract</t>
  </si>
  <si>
    <t>Continues: Journal of practical psychiatry and behavioral health.</t>
  </si>
  <si>
    <t>15381145</t>
  </si>
  <si>
    <t>0376331</t>
  </si>
  <si>
    <t>Journal of psychiatric research</t>
  </si>
  <si>
    <t>JOURNAL OF PSYCHIATRIC RESEARCH</t>
  </si>
  <si>
    <t>J Psychiatr Res</t>
  </si>
  <si>
    <t>9107859</t>
  </si>
  <si>
    <t>Journal of psychiatry &amp; neuroscience : JPN</t>
  </si>
  <si>
    <t>JOURNAL OF PSYCHIATRY &amp; NEUROSCIENCE : JPN</t>
  </si>
  <si>
    <t>J Psychiatry Neurosci</t>
  </si>
  <si>
    <t>Continues: Psychiatric journal of the University of Ottawa. University of Ottawa. Dept. of Psychiatry.</t>
  </si>
  <si>
    <t>8113536</t>
  </si>
  <si>
    <t>Journal of psychoactive drugs</t>
  </si>
  <si>
    <t>JOURNAL OF PSYCHOACTIVE DRUGS</t>
  </si>
  <si>
    <t>J Psychoactive Drugs</t>
  </si>
  <si>
    <t>Continues: Journal of psychedelic drugs.</t>
  </si>
  <si>
    <t>Published by Haight-Ashbury Publications</t>
  </si>
  <si>
    <t>Psychopharmacology#Substance-Related Disorders</t>
  </si>
  <si>
    <t>7613887</t>
  </si>
  <si>
    <t>The Journal of psychohistory</t>
  </si>
  <si>
    <t>JOURNAL OF PSYCHOHISTORY</t>
  </si>
  <si>
    <t>J Psychohist</t>
  </si>
  <si>
    <t>Absorbed: Journal of psychoanalytic anthropology. Continues: History of childhood quarterly.</t>
  </si>
  <si>
    <t>01453378</t>
  </si>
  <si>
    <t>Atcom.</t>
  </si>
  <si>
    <t>0333506</t>
  </si>
  <si>
    <t>Journal of psycholinguistic research</t>
  </si>
  <si>
    <t>JOURNAL OF PSYCHOLINGUISTIC RESEARCH</t>
  </si>
  <si>
    <t>J Psycholinguist Res</t>
  </si>
  <si>
    <t>15736555</t>
  </si>
  <si>
    <t>00906905</t>
  </si>
  <si>
    <t>Six no. a year, 1978-</t>
  </si>
  <si>
    <t>0376332</t>
  </si>
  <si>
    <t>The Journal of psychology</t>
  </si>
  <si>
    <t>JOURNAL OF PSYCHOLOGY</t>
  </si>
  <si>
    <t>J Psychol</t>
  </si>
  <si>
    <t>19401019</t>
  </si>
  <si>
    <t>00223980</t>
  </si>
  <si>
    <t>New York</t>
  </si>
  <si>
    <t>Bimonthly, 1965-</t>
  </si>
  <si>
    <t>8907828</t>
  </si>
  <si>
    <t>Journal of psychopharmacology (Oxford, England)</t>
  </si>
  <si>
    <t>JOURNAL OF PSYCHOPHARMACOLOGY (OXFORD, ENGLAND)</t>
  </si>
  <si>
    <t>J Psychopharmacol</t>
  </si>
  <si>
    <t>8200911</t>
  </si>
  <si>
    <t>Journal of psychosocial nursing and mental health services</t>
  </si>
  <si>
    <t>JOURNAL OF PSYCHOSOCIAL NURSING AND MENTAL HEALTH SERVICES</t>
  </si>
  <si>
    <t>J Psychosoc Nurs Ment Health Serv</t>
  </si>
  <si>
    <t>Continues: Journal of psychiatric nursing and mental health services.</t>
  </si>
  <si>
    <t>02793695</t>
  </si>
  <si>
    <t>C.B. Slack</t>
  </si>
  <si>
    <t>8309337</t>
  </si>
  <si>
    <t>Journal of psychosocial oncology</t>
  </si>
  <si>
    <t>JOURNAL OF PSYCHOSOCIAL ONCOLOGY</t>
  </si>
  <si>
    <t>J Psychosoc Oncol</t>
  </si>
  <si>
    <t>Neoplasms#Psychology#Social Sciences</t>
  </si>
  <si>
    <t>8308648</t>
  </si>
  <si>
    <t>Journal of psychosomatic obstetrics and gynaecology</t>
  </si>
  <si>
    <t>JOURNAL OF PSYCHOSOMATIC OBSTETRICS AND GYNAECOLOGY</t>
  </si>
  <si>
    <t>J Psychosom Obstet Gynaecol</t>
  </si>
  <si>
    <t>Gynecology#Obstetrics#Psychiatry</t>
  </si>
  <si>
    <t>0376333</t>
  </si>
  <si>
    <t>Journal of psychosomatic research</t>
  </si>
  <si>
    <t>JOURNAL OF PSYCHOSOMATIC RESEARCH</t>
  </si>
  <si>
    <t>J Psychosom Res</t>
  </si>
  <si>
    <t>101188638</t>
  </si>
  <si>
    <t>Journal of public health (Oxford, England)</t>
  </si>
  <si>
    <t>JOURNAL OF PUBLIC HEALTH (OXFORD, ENGLAND)</t>
  </si>
  <si>
    <t>J Public Health (Oxf)</t>
  </si>
  <si>
    <t>Continues: Journal of public health medicine.</t>
  </si>
  <si>
    <t>17413850</t>
  </si>
  <si>
    <t>17413842</t>
  </si>
  <si>
    <t>0014207</t>
  </si>
  <si>
    <t>Journal of public health dentistry</t>
  </si>
  <si>
    <t>JOURNAL OF PUBLIC HEALTH DENTISTRY</t>
  </si>
  <si>
    <t>J Public Health Dent</t>
  </si>
  <si>
    <t>Continues: Public health dentistry.</t>
  </si>
  <si>
    <t>17527325</t>
  </si>
  <si>
    <t>00224006</t>
  </si>
  <si>
    <t>American Association of Public Health Dentists</t>
  </si>
  <si>
    <t>9505213</t>
  </si>
  <si>
    <t>Journal of public health management and practice : JPHMP</t>
  </si>
  <si>
    <t>JOURNAL OF PUBLIC HEALTH MANAGEMENT AND PRACTICE : JPHMP</t>
  </si>
  <si>
    <t>J Public Health Manag Pract</t>
  </si>
  <si>
    <t>15505022</t>
  </si>
  <si>
    <t>10784659</t>
  </si>
  <si>
    <t>8006508</t>
  </si>
  <si>
    <t>Journal of public health policy</t>
  </si>
  <si>
    <t>JOURNAL OF PUBLIC HEALTH POLICY</t>
  </si>
  <si>
    <t>J Public Health Policy</t>
  </si>
  <si>
    <t>1745655X</t>
  </si>
  <si>
    <t>01975897</t>
  </si>
  <si>
    <t>0376611</t>
  </si>
  <si>
    <t>Journal of radiation research</t>
  </si>
  <si>
    <t>JOURNAL OF RADIATION RESEARCH</t>
  </si>
  <si>
    <t>J Radiat Res</t>
  </si>
  <si>
    <t>Absorbed: Journal of JASTRO.</t>
  </si>
  <si>
    <t>13499157</t>
  </si>
  <si>
    <t>04493060</t>
  </si>
  <si>
    <t>Environmental Health#Neoplasms#Radiology</t>
  </si>
  <si>
    <t>8809257</t>
  </si>
  <si>
    <t>Journal of radiological protection : official journal of the Society for Radiological Protection</t>
  </si>
  <si>
    <t>JOURNAL OF RADIOLOGICAL PROTECTION : OFFICIAL JOURNAL OF THE SOCIETY FOR RADIOLOGICAL PROTECTION</t>
  </si>
  <si>
    <t>J Radiol Prot</t>
  </si>
  <si>
    <t>Continues: Journal of the Society for Radiological Protection.</t>
  </si>
  <si>
    <t>13616498</t>
  </si>
  <si>
    <t>09524746</t>
  </si>
  <si>
    <t>IOP Pub. Ltd.</t>
  </si>
  <si>
    <t>101494925</t>
  </si>
  <si>
    <t>Journal of radiology case reports</t>
  </si>
  <si>
    <t>JOURNAL OF RADIOLOGY CASE REPORTS</t>
  </si>
  <si>
    <t>J Radiol Case Rep</t>
  </si>
  <si>
    <t>EduRad Publishing</t>
  </si>
  <si>
    <t>9509432</t>
  </si>
  <si>
    <t>Journal of receptor and signal transduction research</t>
  </si>
  <si>
    <t>JOURNAL OF RECEPTOR AND SIGNAL TRANSDUCTION RESEARCH</t>
  </si>
  <si>
    <t>J Recept Signal Transduct Res</t>
  </si>
  <si>
    <t>Formed by the union of: Second messengers and phosphoproteins; and: Journal of receptor research, continuing the numbering of the latter.</t>
  </si>
  <si>
    <t>Biochemistry#Cell Biology#Physiology</t>
  </si>
  <si>
    <t>8502670</t>
  </si>
  <si>
    <t>Journal of reconstructive microsurgery</t>
  </si>
  <si>
    <t>JOURNAL OF RECONSTRUCTIVE MICROSURGERY</t>
  </si>
  <si>
    <t>J Reconstr Microsurg</t>
  </si>
  <si>
    <t>Thieme-Stratton</t>
  </si>
  <si>
    <t>General Surgery#Neurosurgery</t>
  </si>
  <si>
    <t>9505927</t>
  </si>
  <si>
    <t>Journal of refractive surgery (Thorofare, N.J. : 1995)</t>
  </si>
  <si>
    <t>JOURNAL OF REFRACTIVE SURGERY (THOROFARE, N.J. : 1995)</t>
  </si>
  <si>
    <t>J Refract Surg</t>
  </si>
  <si>
    <t>Continues: Journal of refractive and corneal surgery.</t>
  </si>
  <si>
    <t>SLACK Inc.</t>
  </si>
  <si>
    <t>Nine no. a year, 2006-</t>
  </si>
  <si>
    <t>9804163</t>
  </si>
  <si>
    <t>Journal of registry management</t>
  </si>
  <si>
    <t>JOURNAL OF REGISTRY MANAGEMENT</t>
  </si>
  <si>
    <t>J Registry Manag</t>
  </si>
  <si>
    <t>19456131</t>
  </si>
  <si>
    <t>19456123</t>
  </si>
  <si>
    <t>National Cancer Registrars Association</t>
  </si>
  <si>
    <t>101088169</t>
  </si>
  <si>
    <t>Journal of rehabilitation medicine : official journal of the UEMS European Board of Physical and Rehabilitation Medicine</t>
  </si>
  <si>
    <t>JOURNAL OF REHABILITATION MEDICINE : OFFICIAL JOURNAL OF THE UEMS EUROPEAN BOARD OF PHYSICAL AND REHABILITATION MEDICINE</t>
  </si>
  <si>
    <t>J Rehabil Med</t>
  </si>
  <si>
    <t>Continues: Scandinavian journal of rehabilitation medicine.</t>
  </si>
  <si>
    <t>16512081</t>
  </si>
  <si>
    <t>16501977</t>
  </si>
  <si>
    <t>Swedish Foundation of Rehabilitation Information</t>
  </si>
  <si>
    <t>101498465</t>
  </si>
  <si>
    <t>Journal of rehabilitation medicine. Supplement</t>
  </si>
  <si>
    <t>JOURNAL OF REHABILITATION MEDICINE. SUPPLEMENT</t>
  </si>
  <si>
    <t>J Rehabil Med Suppl</t>
  </si>
  <si>
    <t>Continues: Scandinavian journal of rehabilitation medicine. Supplement.</t>
  </si>
  <si>
    <t>16501969</t>
  </si>
  <si>
    <t>8410047</t>
  </si>
  <si>
    <t>Journal of rehabilitation research and development</t>
  </si>
  <si>
    <t>JOURNAL OF REHABILITATION RESEARCH AND DEVELOPMENT</t>
  </si>
  <si>
    <t>J Rehabil Res Dev</t>
  </si>
  <si>
    <t>Continues: Journal of rehabilitation R&amp;D.</t>
  </si>
  <si>
    <t>Rehabilitation Research and Development Service, Dept. of Veterans Affairs</t>
  </si>
  <si>
    <t>2985199R</t>
  </si>
  <si>
    <t>Journal of religion and health</t>
  </si>
  <si>
    <t>JOURNAL OF RELIGION AND HEALTH</t>
  </si>
  <si>
    <t>J Relig Health</t>
  </si>
  <si>
    <t>15736571</t>
  </si>
  <si>
    <t>00224197</t>
  </si>
  <si>
    <t>Medicine#Psychology#Social Sciences</t>
  </si>
  <si>
    <t>101392167</t>
  </si>
  <si>
    <t>Journal of renal care</t>
  </si>
  <si>
    <t>JOURNAL OF RENAL CARE</t>
  </si>
  <si>
    <t>J Ren Care</t>
  </si>
  <si>
    <t>Continues: EDTNA/ERCA journal (English ed.).</t>
  </si>
  <si>
    <t>17556686</t>
  </si>
  <si>
    <t>17556678</t>
  </si>
  <si>
    <t>Nephrology#Nursing</t>
  </si>
  <si>
    <t>9112938</t>
  </si>
  <si>
    <t>Journal of renal nutrition : the official journal of the Council on Renal Nutrition of the National Kidney Foundation</t>
  </si>
  <si>
    <t>JOURNAL OF RENAL NUTRITION : THE OFFICIAL JOURNAL OF THE COUNCIL ON RENAL NUTRITION OF THE NATIONAL KIDNEY FOUNDATION</t>
  </si>
  <si>
    <t>J Ren Nutr</t>
  </si>
  <si>
    <t>15328503</t>
  </si>
  <si>
    <t>10512276</t>
  </si>
  <si>
    <t>Nephrology#Nutritional Sciences</t>
  </si>
  <si>
    <t>9438792</t>
  </si>
  <si>
    <t>The Journal of reproduction and development</t>
  </si>
  <si>
    <t>JOURNAL OF REPRODUCTION AND DEVELOPMENT</t>
  </si>
  <si>
    <t>J Reprod Dev</t>
  </si>
  <si>
    <t>Continues: Japanese journal of animal reproduction.</t>
  </si>
  <si>
    <t>13484400</t>
  </si>
  <si>
    <t>09168818</t>
  </si>
  <si>
    <t>Japanese Society of Animal Reproduction</t>
  </si>
  <si>
    <t>8001906</t>
  </si>
  <si>
    <t>Journal of reproductive immunology</t>
  </si>
  <si>
    <t>JOURNAL OF REPRODUCTIVE IMMUNOLOGY</t>
  </si>
  <si>
    <t>J Reprod Immunol</t>
  </si>
  <si>
    <t>Elsevier/North-Holland Biomedical Press</t>
  </si>
  <si>
    <t>0173343</t>
  </si>
  <si>
    <t>The Journal of reproductive medicine</t>
  </si>
  <si>
    <t>JOURNAL OF REPRODUCTIVE MEDICINE</t>
  </si>
  <si>
    <t>J Reprod Med</t>
  </si>
  <si>
    <t>Continues Lying-in.</t>
  </si>
  <si>
    <t>Science Printers and Publishers, Inc</t>
  </si>
  <si>
    <t>101480094</t>
  </si>
  <si>
    <t>Journal of research in health sciences</t>
  </si>
  <si>
    <t>JOURNAL OF RESEARCH IN HEALTH SCIENCES</t>
  </si>
  <si>
    <t>J Res Health Sci</t>
  </si>
  <si>
    <t>Continues: Pizhūhish dar ʿulūm-i bihdāshtī.</t>
  </si>
  <si>
    <t>22287809</t>
  </si>
  <si>
    <t>22287795</t>
  </si>
  <si>
    <t>Hamadan University of Medical Sciences, School of Public Health, distributed by Elsevier</t>
  </si>
  <si>
    <t>7501984</t>
  </si>
  <si>
    <t>The Journal of rheumatology</t>
  </si>
  <si>
    <t>JOURNAL OF RHEUMATOLOGY</t>
  </si>
  <si>
    <t>J Rheumatol</t>
  </si>
  <si>
    <t>Journal Of Rheumatology Publishing Co</t>
  </si>
  <si>
    <t>7806058</t>
  </si>
  <si>
    <t>The Journal of rheumatology. Supplement</t>
  </si>
  <si>
    <t>JOURNAL OF RHEUMATOLOGY. SUPPLEMENT</t>
  </si>
  <si>
    <t>J Rheumatol Suppl</t>
  </si>
  <si>
    <t>03800903</t>
  </si>
  <si>
    <t>Journal of Rheumatology Pub. Co.</t>
  </si>
  <si>
    <t>9877928</t>
  </si>
  <si>
    <t>The Journal of risk and insurance</t>
  </si>
  <si>
    <t>JOURNAL OF RISK AND INSURANCE</t>
  </si>
  <si>
    <t>J Risk Insur</t>
  </si>
  <si>
    <t>Continues: Journal of insurance (Bloomington, Ill.).</t>
  </si>
  <si>
    <t>00224367</t>
  </si>
  <si>
    <t>American Risk and Insurance Association.</t>
  </si>
  <si>
    <t>8508122</t>
  </si>
  <si>
    <t>The Journal of rural health : official journal of the American Rural Health Association and the National Rural Health Care Association</t>
  </si>
  <si>
    <t>JOURNAL OF RURAL HEALTH : OFFICIAL JOURNAL OF THE AMERICAN RURAL HEALTH ASSOCIATION AND THE NATIONAL RURAL HEALTH CARE ASSOCIATION</t>
  </si>
  <si>
    <t>J Rural Health</t>
  </si>
  <si>
    <t>Continues: American journal of rural health.</t>
  </si>
  <si>
    <t>17480361</t>
  </si>
  <si>
    <t>0890765X</t>
  </si>
  <si>
    <t>1264241</t>
  </si>
  <si>
    <t>Journal of safety research</t>
  </si>
  <si>
    <t>JOURNAL OF SAFETY RESEARCH</t>
  </si>
  <si>
    <t>J Safety Res</t>
  </si>
  <si>
    <t>18791247</t>
  </si>
  <si>
    <t>00224375</t>
  </si>
  <si>
    <t>0376370</t>
  </si>
  <si>
    <t>The Journal of school health</t>
  </si>
  <si>
    <t>JOURNAL OF SCHOOL HEALTH</t>
  </si>
  <si>
    <t>J Sch Health</t>
  </si>
  <si>
    <t>Continues: School physicians' bulletin.</t>
  </si>
  <si>
    <t>17461561</t>
  </si>
  <si>
    <t>00224391</t>
  </si>
  <si>
    <t>9206498</t>
  </si>
  <si>
    <t>The Journal of school nursing : the official publication of the National Association of School Nurses</t>
  </si>
  <si>
    <t>JOURNAL OF SCHOOL NURSING : THE OFFICIAL PUBLICATION OF THE NATIONAL ASSOCIATION OF SCHOOL NURSES</t>
  </si>
  <si>
    <t>J Sch Nurs</t>
  </si>
  <si>
    <t>Continues: School nurse.</t>
  </si>
  <si>
    <t>15468364</t>
  </si>
  <si>
    <t>10598405</t>
  </si>
  <si>
    <t>0050303</t>
  </si>
  <si>
    <t>Journal of school psychology</t>
  </si>
  <si>
    <t>JOURNAL OF SCHOOL PSYCHOLOGY</t>
  </si>
  <si>
    <t>J Sch Psychol</t>
  </si>
  <si>
    <t>18733506</t>
  </si>
  <si>
    <t>00224405</t>
  </si>
  <si>
    <t>9812598</t>
  </si>
  <si>
    <t>Journal of science and medicine in sport / Sports Medicine Australia</t>
  </si>
  <si>
    <t>JOURNAL OF SCIENCE AND MEDICINE IN SPORT / SPORTS MEDICINE AUSTRALIA</t>
  </si>
  <si>
    <t>J Sci Med Sport</t>
  </si>
  <si>
    <t>Continues: Australian journal of science and medicine in sport.</t>
  </si>
  <si>
    <t>101088554</t>
  </si>
  <si>
    <t>Journal of separation science</t>
  </si>
  <si>
    <t>JOURNAL OF SEPARATION SCIENCE</t>
  </si>
  <si>
    <t>J Sep Sci</t>
  </si>
  <si>
    <t>Absorbed: Journal of microcolumn separations. Jan. 2002 Continues: Journal of high resolution chromatography.</t>
  </si>
  <si>
    <t>18 no. a year, 2002-</t>
  </si>
  <si>
    <t>7502387</t>
  </si>
  <si>
    <t>Journal of sex &amp; marital therapy</t>
  </si>
  <si>
    <t>JOURNAL OF SEX &amp; MARITAL THERAPY</t>
  </si>
  <si>
    <t>J Sex Marital Ther</t>
  </si>
  <si>
    <t>15210715</t>
  </si>
  <si>
    <t>0092623X</t>
  </si>
  <si>
    <t>0062647</t>
  </si>
  <si>
    <t>Journal of sex research</t>
  </si>
  <si>
    <t>JOURNAL OF SEX RESEARCH</t>
  </si>
  <si>
    <t>J Sex Res</t>
  </si>
  <si>
    <t>With the 2008 edition, published in 2009, the Annual review of sex research, previously published separately, becomes a yearly special issue to Journal of sex research.</t>
  </si>
  <si>
    <t>15598519</t>
  </si>
  <si>
    <t>00224499</t>
  </si>
  <si>
    <t>Behavioral Sciences#Reproductive Medicine</t>
  </si>
  <si>
    <t>101230693</t>
  </si>
  <si>
    <t>The journal of sexual medicine</t>
  </si>
  <si>
    <t>JOURNAL OF SEXUAL MEDICINE</t>
  </si>
  <si>
    <t>J Sex Med</t>
  </si>
  <si>
    <t>Gynecology#Reproductive Medicine#Urology</t>
  </si>
  <si>
    <t>9206499</t>
  </si>
  <si>
    <t>Journal of shoulder and elbow surgery / American Shoulder and Elbow Surgeons ... [et al.]</t>
  </si>
  <si>
    <t>JOURNAL OF SHOULDER AND ELBOW SURGERY / AMERICAN SHOULDER AND ELBOW SURGEONS ... [ET AL.]</t>
  </si>
  <si>
    <t>J Shoulder Elbow Surg</t>
  </si>
  <si>
    <t>9214441</t>
  </si>
  <si>
    <t>Journal of sleep research</t>
  </si>
  <si>
    <t>JOURNAL OF SLEEP RESEARCH</t>
  </si>
  <si>
    <t>J Sleep Res</t>
  </si>
  <si>
    <t>Published on behalf of the European Sleep Research Society by Blackwell Scientific Publications</t>
  </si>
  <si>
    <t>0165053</t>
  </si>
  <si>
    <t>The Journal of small animal practice</t>
  </si>
  <si>
    <t>JOURNAL OF SMALL ANIMAL PRACTICE</t>
  </si>
  <si>
    <t>J Small Anim Pract</t>
  </si>
  <si>
    <t>17485827</t>
  </si>
  <si>
    <t>00224510</t>
  </si>
  <si>
    <t>9211664</t>
  </si>
  <si>
    <t>Journal of smooth muscle research = Nihon Heikatsukin Gakkai kikanshi</t>
  </si>
  <si>
    <t>JOURNAL OF SMOOTH MUSCLE RESEARCH = NIHON HEIKATSUKIN GAKKAI KIKANSHI</t>
  </si>
  <si>
    <t>J Smooth Muscle Res</t>
  </si>
  <si>
    <t>Continues: Nippon Heikatsukin Gakkai zasshi. Beginning 1997, articles in Japanese published in: Journal of smooth muscle research. Japanese section.</t>
  </si>
  <si>
    <t>18848796</t>
  </si>
  <si>
    <t>09168737</t>
  </si>
  <si>
    <t>Dō Gakkai</t>
  </si>
  <si>
    <t>0376372</t>
  </si>
  <si>
    <t>The Journal of social psychology</t>
  </si>
  <si>
    <t>JOURNAL OF SOCIAL PSYCHOLOGY</t>
  </si>
  <si>
    <t>J Soc Psychol</t>
  </si>
  <si>
    <t>Absorbed: Genetic, social, and general psychology monographs.</t>
  </si>
  <si>
    <t>19401183</t>
  </si>
  <si>
    <t>00224545</t>
  </si>
  <si>
    <t>Bimonthly, &lt;Apr. 1974- &gt;</t>
  </si>
  <si>
    <t>101132991</t>
  </si>
  <si>
    <t>Journal of social work in disability &amp; rehabilitation</t>
  </si>
  <si>
    <t>JOURNAL OF SOCIAL WORK IN DISABILITY &amp; REHABILITATION</t>
  </si>
  <si>
    <t>J Soc Work Disabil Rehabil</t>
  </si>
  <si>
    <t>15367118</t>
  </si>
  <si>
    <t>1536710X</t>
  </si>
  <si>
    <t>Physical and Rehabilitation Medicine#Social Sciences</t>
  </si>
  <si>
    <t>101235219</t>
  </si>
  <si>
    <t>Journal of social work in end-of-life &amp; palliative care</t>
  </si>
  <si>
    <t>JOURNAL OF SOCIAL WORK IN END-OF-LIFE &amp; PALLIATIVE CARE</t>
  </si>
  <si>
    <t>J Soc Work End Life Palliat Care</t>
  </si>
  <si>
    <t>Continues: Loss, grief &amp; care.</t>
  </si>
  <si>
    <t>15524264</t>
  </si>
  <si>
    <t>15524256</t>
  </si>
  <si>
    <t>Social Sciences#Therapeutics</t>
  </si>
  <si>
    <t>101158402</t>
  </si>
  <si>
    <t>Journal of special operations medicine : a peer reviewed journal for SOF medical professionals</t>
  </si>
  <si>
    <t>JOURNAL OF SPECIAL OPERATIONS MEDICINE : A PEER REVIEWED JOURNAL FOR SOF MEDICAL PROFESSIONALS</t>
  </si>
  <si>
    <t>J Spec Oper Med</t>
  </si>
  <si>
    <t>15539768</t>
  </si>
  <si>
    <t>Breakaway Media</t>
  </si>
  <si>
    <t>Military Medicine</t>
  </si>
  <si>
    <t>9705610</t>
  </si>
  <si>
    <t>Journal of speech, language, and hearing research : JSLHR</t>
  </si>
  <si>
    <t>JOURNAL OF SPEECH, LANGUAGE, AND HEARING RESEARCH : JSLHR</t>
  </si>
  <si>
    <t>J Speech Lang Hear Res</t>
  </si>
  <si>
    <t>Continues: Journal of speech and hearing research.</t>
  </si>
  <si>
    <t>15589102</t>
  </si>
  <si>
    <t>10924388</t>
  </si>
  <si>
    <t>9504452</t>
  </si>
  <si>
    <t>The journal of spinal cord medicine</t>
  </si>
  <si>
    <t>JOURNAL OF SPINAL CORD MEDICINE</t>
  </si>
  <si>
    <t>J Spinal Cord Med</t>
  </si>
  <si>
    <t>Continues: Journal of the American Paraplegia Society.</t>
  </si>
  <si>
    <t>101140323</t>
  </si>
  <si>
    <t>Journal of spinal disorders &amp; techniques</t>
  </si>
  <si>
    <t>JOURNAL OF SPINAL DISORDERS &amp; TECHNIQUES</t>
  </si>
  <si>
    <t>J Spinal Disord Tech</t>
  </si>
  <si>
    <t>Continues: Journal of spinal disorders.</t>
  </si>
  <si>
    <t>8809258</t>
  </si>
  <si>
    <t>Journal of sport &amp; exercise psychology</t>
  </si>
  <si>
    <t>JOURNAL OF SPORT &amp; EXERCISE PSYCHOLOGY</t>
  </si>
  <si>
    <t>J Sport Exerc Psychol</t>
  </si>
  <si>
    <t>Continues: Journal of sport psychology.</t>
  </si>
  <si>
    <t>15432904</t>
  </si>
  <si>
    <t>08952779</t>
  </si>
  <si>
    <t>North American Society for the Psychology of Sport and Physical Activity</t>
  </si>
  <si>
    <t>Psychology#Sports Medicine</t>
  </si>
  <si>
    <t>9206500</t>
  </si>
  <si>
    <t>Journal of sport rehabilitation</t>
  </si>
  <si>
    <t>JOURNAL OF SPORT REHABILITATION</t>
  </si>
  <si>
    <t>J Sport Rehabil</t>
  </si>
  <si>
    <t>15433072</t>
  </si>
  <si>
    <t>10566716</t>
  </si>
  <si>
    <t>0376337</t>
  </si>
  <si>
    <t>The Journal of sports medicine and physical fitness</t>
  </si>
  <si>
    <t>JOURNAL OF SPORTS MEDICINE AND PHYSICAL FITNESS</t>
  </si>
  <si>
    <t>J Sports Med Phys Fitness</t>
  </si>
  <si>
    <t>00224707</t>
  </si>
  <si>
    <t>8405364</t>
  </si>
  <si>
    <t>Journal of sports sciences</t>
  </si>
  <si>
    <t>JOURNAL OF SPORTS SCIENCES</t>
  </si>
  <si>
    <t>J Sports Sci</t>
  </si>
  <si>
    <t>1466447X</t>
  </si>
  <si>
    <t>02640414</t>
  </si>
  <si>
    <t>101295936</t>
  </si>
  <si>
    <t>Journal of stem cells</t>
  </si>
  <si>
    <t>JOURNAL OF STEM CELLS</t>
  </si>
  <si>
    <t>J Stem Cells</t>
  </si>
  <si>
    <t>Nova</t>
  </si>
  <si>
    <t>9015483</t>
  </si>
  <si>
    <t>The Journal of steroid biochemistry and molecular biology</t>
  </si>
  <si>
    <t>JOURNAL OF STEROID BIOCHEMISTRY AND MOLECULAR BIOLOGY</t>
  </si>
  <si>
    <t>J Steroid Biochem Mol Biol</t>
  </si>
  <si>
    <t>Continues: Journal of steroid biochemistry.</t>
  </si>
  <si>
    <t>9415084</t>
  </si>
  <si>
    <t>Journal of strength and conditioning research / National Strength &amp; Conditioning Association</t>
  </si>
  <si>
    <t>JOURNAL OF STRENGTH AND CONDITIONING RESEARCH / NATIONAL STRENGTH &amp; CONDITIONING ASSOCIATION</t>
  </si>
  <si>
    <t>J Strength Cond Res</t>
  </si>
  <si>
    <t>Continues: Journal of applied sport science research.</t>
  </si>
  <si>
    <t>15334287</t>
  </si>
  <si>
    <t>10648011</t>
  </si>
  <si>
    <t>Human Kinetics Pub.</t>
  </si>
  <si>
    <t>9111633</t>
  </si>
  <si>
    <t>Journal of stroke and cerebrovascular diseases : the official journal of National Stroke Association</t>
  </si>
  <si>
    <t>JOURNAL OF STROKE AND CEREBROVASCULAR DISEASES : THE OFFICIAL JOURNAL OF NATIONAL STROKE ASSOCIATION</t>
  </si>
  <si>
    <t>J Stroke Cerebrovasc Dis</t>
  </si>
  <si>
    <t>101128185</t>
  </si>
  <si>
    <t>Journal of structural and functional genomics</t>
  </si>
  <si>
    <t>JOURNAL OF STRUCTURAL AND FUNCTIONAL GENOMICS</t>
  </si>
  <si>
    <t>J Struct Funct Genomics</t>
  </si>
  <si>
    <t>9011206</t>
  </si>
  <si>
    <t>Journal of structural biology</t>
  </si>
  <si>
    <t>JOURNAL OF STRUCTURAL BIOLOGY</t>
  </si>
  <si>
    <t>J Struct Biol</t>
  </si>
  <si>
    <t>Continues: Journal of ultrastructure and molecular structure research.</t>
  </si>
  <si>
    <t>101295847</t>
  </si>
  <si>
    <t>Journal of studies on alcohol and drugs</t>
  </si>
  <si>
    <t>JOURNAL OF STUDIES ON ALCOHOL AND DRUGS</t>
  </si>
  <si>
    <t>J Stud Alcohol Drugs</t>
  </si>
  <si>
    <t>Continues: Journal of studies on alcohol.</t>
  </si>
  <si>
    <t>19384114</t>
  </si>
  <si>
    <t>19371888</t>
  </si>
  <si>
    <t>Alcohol Research Documentation, Inc., Rutgers, The State University of New Jersey</t>
  </si>
  <si>
    <t>101508051</t>
  </si>
  <si>
    <t>Journal of studies on alcohol and drugs. Supplement</t>
  </si>
  <si>
    <t>JOURNAL OF STUDIES ON ALCOHOL AND DRUGS. SUPPLEMENT</t>
  </si>
  <si>
    <t>J Stud Alcohol Drugs Suppl</t>
  </si>
  <si>
    <t>Continues: Journal of studies on alcohol. Supplement.</t>
  </si>
  <si>
    <t>19465858</t>
  </si>
  <si>
    <t>1946584X</t>
  </si>
  <si>
    <t>Alcohol Research Documentation, Inc.</t>
  </si>
  <si>
    <t>8804312</t>
  </si>
  <si>
    <t>Journal of submicroscopic cytology and pathology</t>
  </si>
  <si>
    <t>JOURNAL OF SUBMICROSCOPIC CYTOLOGY AND PATHOLOGY</t>
  </si>
  <si>
    <t>J Submicrosc Cytol Pathol</t>
  </si>
  <si>
    <t>Continues: Journal of submicroscopic cytology.</t>
  </si>
  <si>
    <t>11229497</t>
  </si>
  <si>
    <t>Nuova Immagine Editrice</t>
  </si>
  <si>
    <t>8500909</t>
  </si>
  <si>
    <t>Journal of substance abuse treatment</t>
  </si>
  <si>
    <t>JOURNAL OF SUBSTANCE ABUSE TREATMENT</t>
  </si>
  <si>
    <t>J Subst Abuse Treat</t>
  </si>
  <si>
    <t>101303204</t>
  </si>
  <si>
    <t>Journal of surgical education</t>
  </si>
  <si>
    <t>JOURNAL OF SURGICAL EDUCATION</t>
  </si>
  <si>
    <t>J Surg Educ</t>
  </si>
  <si>
    <t>Continues: Current surgery.</t>
  </si>
  <si>
    <t>0222643</t>
  </si>
  <si>
    <t>Journal of surgical oncology</t>
  </si>
  <si>
    <t>JOURNAL OF SURGICAL ONCOLOGY</t>
  </si>
  <si>
    <t>J Surg Oncol</t>
  </si>
  <si>
    <t>Absorbed: Seminars in surgical oncology. 2004</t>
  </si>
  <si>
    <t>Monthly and twice in Mar., June, Sept., and Dec., 2005-</t>
  </si>
  <si>
    <t>101197881</t>
  </si>
  <si>
    <t>Journal of surgical orthopaedic advances</t>
  </si>
  <si>
    <t>JOURNAL OF SURGICAL ORTHOPAEDIC ADVANCES</t>
  </si>
  <si>
    <t>J Surg Orthop Adv</t>
  </si>
  <si>
    <t>Continues: Journal of the Southern Orthopaedic Association.</t>
  </si>
  <si>
    <t>1548825X</t>
  </si>
  <si>
    <t>Data Trace Pub. Co.</t>
  </si>
  <si>
    <t>0376340</t>
  </si>
  <si>
    <t>The Journal of surgical research</t>
  </si>
  <si>
    <t>JOURNAL OF SURGICAL RESEARCH</t>
  </si>
  <si>
    <t>J Surg Res</t>
  </si>
  <si>
    <t>Fourteen no. a year</t>
  </si>
  <si>
    <t>9888878</t>
  </si>
  <si>
    <t>Journal of synchrotron radiation</t>
  </si>
  <si>
    <t>JOURNAL OF SYNCHROTRON RADIATION</t>
  </si>
  <si>
    <t>J Synchrotron Radiat</t>
  </si>
  <si>
    <t>16005775</t>
  </si>
  <si>
    <t>09090495</t>
  </si>
  <si>
    <t>Wiley Online Library</t>
  </si>
  <si>
    <t>9506702</t>
  </si>
  <si>
    <t>Journal of telemedicine and telecare</t>
  </si>
  <si>
    <t>JOURNAL OF TELEMEDICINE AND TELECARE</t>
  </si>
  <si>
    <t>J Telemed Telecare</t>
  </si>
  <si>
    <t>17581109</t>
  </si>
  <si>
    <t>1357633X</t>
  </si>
  <si>
    <t>101573920</t>
  </si>
  <si>
    <t>Journal of the Academy of Nutrition and Dietetics</t>
  </si>
  <si>
    <t>JOURNAL OF THE ACADEMY OF NUTRITION AND DIETETICS</t>
  </si>
  <si>
    <t>J Acad Nutr Diet</t>
  </si>
  <si>
    <t>Continues: Journal of the American Dietetic Association.</t>
  </si>
  <si>
    <t>22122672</t>
  </si>
  <si>
    <t>7503051</t>
  </si>
  <si>
    <t>The Journal of the Acoustical Society of America</t>
  </si>
  <si>
    <t>JOURNAL OF THE ACOUSTICAL SOCIETY OF AMERICA</t>
  </si>
  <si>
    <t>J Acoust Soc Am</t>
  </si>
  <si>
    <t>15208524</t>
  </si>
  <si>
    <t>00014966</t>
  </si>
  <si>
    <t>9503111</t>
  </si>
  <si>
    <t>Journal of the Air &amp; Waste Management Association (1995)</t>
  </si>
  <si>
    <t>JOURNAL OF THE AIR &amp; WASTE MANAGEMENT ASSOCIATION (1995)</t>
  </si>
  <si>
    <t>J Air Waste Manag Assoc</t>
  </si>
  <si>
    <t>Continues: Air &amp; waste.</t>
  </si>
  <si>
    <t>10962247</t>
  </si>
  <si>
    <t>9114646</t>
  </si>
  <si>
    <t>JOURNAL OF THE AMERICAN ACADEMY OF AUDIOLOGY</t>
  </si>
  <si>
    <t>J Am Acad Audiol</t>
  </si>
  <si>
    <t>21573107</t>
  </si>
  <si>
    <t>8704565</t>
  </si>
  <si>
    <t>JOURNAL OF THE AMERICAN ACADEMY OF CHILD AND ADOLESCENT PSYCHIATRY</t>
  </si>
  <si>
    <t>J Am Acad Child Adolesc Psychiatry</t>
  </si>
  <si>
    <t>Continues: Journal of the American Academy of Child Psychiatry.</t>
  </si>
  <si>
    <t>7907132</t>
  </si>
  <si>
    <t>JOURNAL OF THE AMERICAN ACADEMY OF DERMATOLOGY</t>
  </si>
  <si>
    <t>J Am Acad Dermatol</t>
  </si>
  <si>
    <t>9417468</t>
  </si>
  <si>
    <t>The Journal of the American Academy of Orthopaedic Surgeons</t>
  </si>
  <si>
    <t>JOURNAL OF THE AMERICAN ACADEMY OF ORTHOPAEDIC SURGEONS</t>
  </si>
  <si>
    <t>J Am Acad Orthop Surg</t>
  </si>
  <si>
    <t>1067151X</t>
  </si>
  <si>
    <t>American Academy of Orthopaedic Surgeons</t>
  </si>
  <si>
    <t>Monthly, Sept. 2005-</t>
  </si>
  <si>
    <t>9708963</t>
  </si>
  <si>
    <t>The journal of the American Academy of Psychiatry and the Law</t>
  </si>
  <si>
    <t>JOURNAL OF THE AMERICAN ACADEMY OF PSYCHIATRY AND THE LAW</t>
  </si>
  <si>
    <t>J Am Acad Psychiatry Law</t>
  </si>
  <si>
    <t>Continues: Bulletin of the American Academy of Psychiatry and the Law.</t>
  </si>
  <si>
    <t>19433662</t>
  </si>
  <si>
    <t>10936793</t>
  </si>
  <si>
    <t>American Academy Of Psychiatry And The Law</t>
  </si>
  <si>
    <t>0415027</t>
  </si>
  <si>
    <t>Journal of the American Animal Hospital Association</t>
  </si>
  <si>
    <t>JOURNAL OF THE AMERICAN ANIMAL HOSPITAL ASSOCIATION</t>
  </si>
  <si>
    <t>J Am Anim Hosp Assoc</t>
  </si>
  <si>
    <t>Continues: Animal hospital.</t>
  </si>
  <si>
    <t>15473317</t>
  </si>
  <si>
    <t>05872871</t>
  </si>
  <si>
    <t>American Animal Hospital Association</t>
  </si>
  <si>
    <t>101269489</t>
  </si>
  <si>
    <t>Journal of the American Association for Laboratory Animal Science : JAALAS</t>
  </si>
  <si>
    <t>JOURNAL OF THE AMERICAN ASSOCIATION FOR LABORATORY ANIMAL SCIENCE : JAALAS</t>
  </si>
  <si>
    <t>J Am Assoc Lab Anim Sci</t>
  </si>
  <si>
    <t>Continues: Contemporary topics in laboratory animal science.</t>
  </si>
  <si>
    <t>101600770</t>
  </si>
  <si>
    <t>Journal of the American Association of Nurse Practitioners</t>
  </si>
  <si>
    <t>JOURNAL OF THE AMERICAN ASSOCIATION OF NURSE PRACTITIONERS</t>
  </si>
  <si>
    <t>J Am Assoc Nurse Pract</t>
  </si>
  <si>
    <t>Continues: Journal of the American Academy of Nurse Practitioners.</t>
  </si>
  <si>
    <t>23276924</t>
  </si>
  <si>
    <t>23276886</t>
  </si>
  <si>
    <t>101256526</t>
  </si>
  <si>
    <t>Journal of the American Board of Family Medicine : JABFM</t>
  </si>
  <si>
    <t>JOURNAL OF THE AMERICAN BOARD OF FAMILY MEDICINE : JABFM</t>
  </si>
  <si>
    <t>J Am Board Fam Med</t>
  </si>
  <si>
    <t>Continues: Journal of the American Board of Family Practice.</t>
  </si>
  <si>
    <t>7503056</t>
  </si>
  <si>
    <t>JOURNAL OF THE AMERICAN CHEMICAL SOCIETY</t>
  </si>
  <si>
    <t>J Am Chem Soc</t>
  </si>
  <si>
    <t>Absorbed: American chemical journal. Jan. 1914 Journal of analytical and applied chemistry. July 1893</t>
  </si>
  <si>
    <t>Fifty one no. a year, 1993-</t>
  </si>
  <si>
    <t>8301365</t>
  </si>
  <si>
    <t>JOURNAL OF THE AMERICAN COLLEGE OF CARDIOLOGY</t>
  </si>
  <si>
    <t>J Am Coll Cardiol</t>
  </si>
  <si>
    <t>Fifty no. a year, 2007-</t>
  </si>
  <si>
    <t>7503057</t>
  </si>
  <si>
    <t>The Journal of the American College of Dentists</t>
  </si>
  <si>
    <t>JOURNAL OF THE AMERICAN COLLEGE OF DENTISTS</t>
  </si>
  <si>
    <t>J Am Coll Dent</t>
  </si>
  <si>
    <t>00027979</t>
  </si>
  <si>
    <t>American College Of Dentists</t>
  </si>
  <si>
    <t>8215879</t>
  </si>
  <si>
    <t>JOURNAL OF THE AMERICAN COLLEGE OF NUTRITION</t>
  </si>
  <si>
    <t>J Am Coll Nutr</t>
  </si>
  <si>
    <t>American College of Nutrition</t>
  </si>
  <si>
    <t>101190326</t>
  </si>
  <si>
    <t>Journal of the American College of Radiology : JACR</t>
  </si>
  <si>
    <t>JOURNAL OF THE AMERICAN COLLEGE OF RADIOLOGY : JACR</t>
  </si>
  <si>
    <t>J Am Coll Radiol</t>
  </si>
  <si>
    <t>9431305</t>
  </si>
  <si>
    <t>JOURNAL OF THE AMERICAN COLLEGE OF SURGEONS</t>
  </si>
  <si>
    <t>J Am Coll Surg</t>
  </si>
  <si>
    <t>Vols. for 2002- include supplement with title Surgical forum, which was formerly issued separately.</t>
  </si>
  <si>
    <t>General Surgery#Gynecology#Obstetrics</t>
  </si>
  <si>
    <t>7503060</t>
  </si>
  <si>
    <t>Journal of the American Dental Association (1939)</t>
  </si>
  <si>
    <t>JOURNAL OF THE AMERICAN DENTAL ASSOCIATION (1939)</t>
  </si>
  <si>
    <t>J Am Dent Assoc</t>
  </si>
  <si>
    <t>Continues: Journal of the American Dental Association and the dental cosmos.</t>
  </si>
  <si>
    <t>19434723</t>
  </si>
  <si>
    <t>00028177</t>
  </si>
  <si>
    <t>American Dental Association</t>
  </si>
  <si>
    <t>Monthly, 1948-</t>
  </si>
  <si>
    <t>7503062</t>
  </si>
  <si>
    <t>JOURNAL OF THE AMERICAN GERIATRICS SOCIETY</t>
  </si>
  <si>
    <t>J Am Geriatr Soc</t>
  </si>
  <si>
    <t>101580524</t>
  </si>
  <si>
    <t>JOURNAL OF THE AMERICAN HEART ASSOCIATION</t>
  </si>
  <si>
    <t>J Am Heart Assoc</t>
  </si>
  <si>
    <t>100893243</t>
  </si>
  <si>
    <t>JOURNAL OF THE AMERICAN MEDICAL DIRECTORS ASSOCIATION</t>
  </si>
  <si>
    <t>J Am Med Dir Assoc</t>
  </si>
  <si>
    <t>9430800</t>
  </si>
  <si>
    <t>Journal of the American Medical Informatics Association : JAMIA</t>
  </si>
  <si>
    <t>JOURNAL OF THE AMERICAN MEDICAL INFORMATICS ASSOCIATION : JAMIA</t>
  </si>
  <si>
    <t>J Am Med Inform Assoc</t>
  </si>
  <si>
    <t>Hanley &amp; Belfus</t>
  </si>
  <si>
    <t>8511299</t>
  </si>
  <si>
    <t>Journal of the American Mosquito Control Association</t>
  </si>
  <si>
    <t>JOURNAL OF THE AMERICAN MOSQUITO CONTROL ASSOCIATION</t>
  </si>
  <si>
    <t>J Am Mosq Control Assoc</t>
  </si>
  <si>
    <t>Continues: Mosquito news. Absorbed: Journal of the American Mosquito Control Association. Supplement. Absorbed: Mosquito systematics.</t>
  </si>
  <si>
    <t>19436270</t>
  </si>
  <si>
    <t>8756971X</t>
  </si>
  <si>
    <t>American Mosquito Control Association</t>
  </si>
  <si>
    <t>7503065</t>
  </si>
  <si>
    <t>The Journal of the American Osteopathic Association</t>
  </si>
  <si>
    <t>JOURNAL OF THE AMERICAN OSTEOPATHIC ASSOCIATION</t>
  </si>
  <si>
    <t>J Am Osteopath Assoc</t>
  </si>
  <si>
    <t>19451997</t>
  </si>
  <si>
    <t>00986151</t>
  </si>
  <si>
    <t>American Osteopathic Association</t>
  </si>
  <si>
    <t>Osteopathic Medicine</t>
  </si>
  <si>
    <t>1901</t>
  </si>
  <si>
    <t>101176252</t>
  </si>
  <si>
    <t>Journal of the American Pharmacists Association : JAPhA</t>
  </si>
  <si>
    <t>JOURNAL OF THE AMERICAN PHARMACISTS ASSOCIATION : JAPHA</t>
  </si>
  <si>
    <t>J Am Pharm Assoc (2003)</t>
  </si>
  <si>
    <t>Continues: Journal of the American Pharmaceutical Association.</t>
  </si>
  <si>
    <t>10865802</t>
  </si>
  <si>
    <t>8501423</t>
  </si>
  <si>
    <t>Journal of the American Podiatric Medical Association</t>
  </si>
  <si>
    <t>JOURNAL OF THE AMERICAN PODIATRIC MEDICAL ASSOCIATION</t>
  </si>
  <si>
    <t>J Am Podiatr Med Assoc</t>
  </si>
  <si>
    <t>Continues: Journal of the American Podiatry Association.</t>
  </si>
  <si>
    <t>19308264</t>
  </si>
  <si>
    <t>87507315</t>
  </si>
  <si>
    <t>American Podiatry Association</t>
  </si>
  <si>
    <t>Podiatry</t>
  </si>
  <si>
    <t>9507418</t>
  </si>
  <si>
    <t>Journal of the American Psychiatric Nurses Association</t>
  </si>
  <si>
    <t>JOURNAL OF THE AMERICAN PSYCHIATRIC NURSES ASSOCIATION</t>
  </si>
  <si>
    <t>J Am Psychiatr Nurses Assoc</t>
  </si>
  <si>
    <t>15325725</t>
  </si>
  <si>
    <t>10783903</t>
  </si>
  <si>
    <t>7505579</t>
  </si>
  <si>
    <t>Journal of the American Psychoanalytic Association</t>
  </si>
  <si>
    <t>JOURNAL OF THE AMERICAN PSYCHOANALYTIC ASSOCIATION</t>
  </si>
  <si>
    <t>J Am Psychoanal Assoc</t>
  </si>
  <si>
    <t>19412460</t>
  </si>
  <si>
    <t>00030651</t>
  </si>
  <si>
    <t>International Universities Press</t>
  </si>
  <si>
    <t>9010412</t>
  </si>
  <si>
    <t>JOURNAL OF THE AMERICAN SOCIETY FOR MASS SPECTROMETRY</t>
  </si>
  <si>
    <t>J Am Soc Mass Spectrom</t>
  </si>
  <si>
    <t>Monthly, &lt;1993- &gt;</t>
  </si>
  <si>
    <t>8801388</t>
  </si>
  <si>
    <t>Journal of the American Society of Echocardiography : official publication of the American Society of Echocardiography</t>
  </si>
  <si>
    <t>JOURNAL OF THE AMERICAN SOCIETY OF ECHOCARDIOGRAPHY : OFFICIAL PUBLICATION OF THE AMERICAN SOCIETY OF ECHOCARDIOGRAPHY</t>
  </si>
  <si>
    <t>J Am Soc Echocardiogr</t>
  </si>
  <si>
    <t>101312518</t>
  </si>
  <si>
    <t>Journal of the American Society of Hypertension : JASH</t>
  </si>
  <si>
    <t>JOURNAL OF THE AMERICAN SOCIETY OF HYPERTENSION : JASH</t>
  </si>
  <si>
    <t>J Am Soc Hypertens</t>
  </si>
  <si>
    <t>9013836</t>
  </si>
  <si>
    <t>Journal of the American Society of Nephrology : JASN</t>
  </si>
  <si>
    <t>JOURNAL OF THE AMERICAN SOCIETY OF NEPHROLOGY : JASN</t>
  </si>
  <si>
    <t>J Am Soc Nephrol</t>
  </si>
  <si>
    <t>Thirteen no. a year (two issues in Oct.), 2005-</t>
  </si>
  <si>
    <t>7503067</t>
  </si>
  <si>
    <t>Journal of the American Veterinary Medical Association</t>
  </si>
  <si>
    <t>JOURNAL OF THE AMERICAN VETERINARY MEDICAL ASSOCIATION</t>
  </si>
  <si>
    <t>J Am Vet Med Assoc</t>
  </si>
  <si>
    <t>Continues: American veterinary review. Absorbed: Scientific proceedings of the American Veterinary Medical Association.</t>
  </si>
  <si>
    <t>1943569X</t>
  </si>
  <si>
    <t>00031488</t>
  </si>
  <si>
    <t>1915</t>
  </si>
  <si>
    <t>7503069</t>
  </si>
  <si>
    <t>The Journal of the Arkansas Medical Society</t>
  </si>
  <si>
    <t>JOURNAL OF THE ARKANSAS MEDICAL SOCIETY</t>
  </si>
  <si>
    <t>J Ark Med Soc</t>
  </si>
  <si>
    <t>Continues: Monthly bulletin of the Arkansas Medical Society.</t>
  </si>
  <si>
    <t>00041858</t>
  </si>
  <si>
    <t>Arkansas Medical Society</t>
  </si>
  <si>
    <t>9113765</t>
  </si>
  <si>
    <t>Journal of the Association for Academic Minority Physicians : the official publication of the Association for Academic Minority Physicians</t>
  </si>
  <si>
    <t>JOURNAL OF THE ASSOCIATION FOR ACADEMIC MINORITY PHYSICIANS : THE OFFICIAL PUBLICATION OF THE ASSOCIATION FOR ACADEMIC MINORITY PHYSICIANS</t>
  </si>
  <si>
    <t>J Assoc Acad Minor Phys</t>
  </si>
  <si>
    <t>10489886</t>
  </si>
  <si>
    <t>Association For Academic Minority Physicians</t>
  </si>
  <si>
    <t>100892857</t>
  </si>
  <si>
    <t>Journal of the Association for Research in Otolaryngology : JARO</t>
  </si>
  <si>
    <t>JOURNAL OF THE ASSOCIATION FOR RESEARCH IN OTOLARYNGOLOGY : JARO</t>
  </si>
  <si>
    <t>J Assoc Res Otolaryngol</t>
  </si>
  <si>
    <t>Springer-Verlag New York Inc.</t>
  </si>
  <si>
    <t>9111870</t>
  </si>
  <si>
    <t>The Journal of the Association of Nurses in AIDS Care : JANAC</t>
  </si>
  <si>
    <t>JOURNAL OF THE ASSOCIATION OF NURSES IN AIDS CARE : JANAC</t>
  </si>
  <si>
    <t>J Assoc Nurses AIDS Care</t>
  </si>
  <si>
    <t>15526917</t>
  </si>
  <si>
    <t>10553290</t>
  </si>
  <si>
    <t>Acquired Immunodeficiency Syndrome#Nursing</t>
  </si>
  <si>
    <t>7505585</t>
  </si>
  <si>
    <t>The Journal of the Association of Physicians of India</t>
  </si>
  <si>
    <t>JOURNAL OF THE ASSOCIATION OF PHYSICIANS OF INDIA</t>
  </si>
  <si>
    <t>J Assoc Physicians India</t>
  </si>
  <si>
    <t>00045772</t>
  </si>
  <si>
    <t>Association of Physicians of India</t>
  </si>
  <si>
    <t>8905668</t>
  </si>
  <si>
    <t>Journal of the California Dental Association</t>
  </si>
  <si>
    <t>JOURNAL OF THE CALIFORNIA DENTAL ASSOCIATION</t>
  </si>
  <si>
    <t>J Calif Dent Assoc</t>
  </si>
  <si>
    <t>Continues: CDA journal.</t>
  </si>
  <si>
    <t>19424396</t>
  </si>
  <si>
    <t>10432256</t>
  </si>
  <si>
    <t>California Dental Association</t>
  </si>
  <si>
    <t>101174817</t>
  </si>
  <si>
    <t>Journal of the Chinese Medical Association : JCMA</t>
  </si>
  <si>
    <t>JOURNAL OF THE CHINESE MEDICAL ASSOCIATION : JCMA</t>
  </si>
  <si>
    <t>J Chin Med Assoc</t>
  </si>
  <si>
    <t>Continues: Zhonghua yi xue za zhi.</t>
  </si>
  <si>
    <t>9606447</t>
  </si>
  <si>
    <t>Journal of the College of Physicians and Surgeons--Pakistan : JCPSP</t>
  </si>
  <si>
    <t>JOURNAL OF THE COLLEGE OF PHYSICIANS AND SURGEONS--PAKISTAN : JCPSP</t>
  </si>
  <si>
    <t>J Coll Physicians Surg Pak</t>
  </si>
  <si>
    <t>16817168</t>
  </si>
  <si>
    <t>Monthly, &lt;1999-&gt;</t>
  </si>
  <si>
    <t>General Surgery#Medicine</t>
  </si>
  <si>
    <t>9424566</t>
  </si>
  <si>
    <t>JOURNAL OF THE EGYPTIAN NATIONAL CANCER INSTITUTE</t>
  </si>
  <si>
    <t>J Egypt Natl Canc Inst</t>
  </si>
  <si>
    <t>National Cancer Institute</t>
  </si>
  <si>
    <t>7505602</t>
  </si>
  <si>
    <t>The Journal of the Egyptian Public Health Association</t>
  </si>
  <si>
    <t>JOURNAL OF THE EGYPTIAN PUBLIC HEALTH ASSOCIATION</t>
  </si>
  <si>
    <t>J Egypt Public Health Assoc</t>
  </si>
  <si>
    <t>2090262X</t>
  </si>
  <si>
    <t>00132446</t>
  </si>
  <si>
    <t>8102141</t>
  </si>
  <si>
    <t>Journal of the Egyptian Society of Parasitology</t>
  </si>
  <si>
    <t>JOURNAL OF THE EGYPTIAN SOCIETY OF PARASITOLOGY</t>
  </si>
  <si>
    <t>J Egypt Soc Parasitol</t>
  </si>
  <si>
    <t>11100583</t>
  </si>
  <si>
    <t>The Society]</t>
  </si>
  <si>
    <t>9216037</t>
  </si>
  <si>
    <t>Journal of the European Academy of Dermatology and Venereology : JEADV</t>
  </si>
  <si>
    <t>JOURNAL OF THE EUROPEAN ACADEMY OF DERMATOLOGY AND VENEREOLOGY : JEADV</t>
  </si>
  <si>
    <t>J Eur Acad Dermatol Venereol</t>
  </si>
  <si>
    <t>0203727</t>
  </si>
  <si>
    <t>Journal of the experimental analysis of behavior</t>
  </si>
  <si>
    <t>JOURNAL OF THE EXPERIMENTAL ANALYSIS OF BEHAVIOR</t>
  </si>
  <si>
    <t>J Exp Anal Behav</t>
  </si>
  <si>
    <t>19383711</t>
  </si>
  <si>
    <t>00225002</t>
  </si>
  <si>
    <t>9214933</t>
  </si>
  <si>
    <t>Journal of the Formosan Medical Association = Taiwan yi zhi</t>
  </si>
  <si>
    <t>JOURNAL OF THE FORMOSAN MEDICAL ASSOCIATION = TAIWAN YI ZHI</t>
  </si>
  <si>
    <t>J Formos Med Assoc</t>
  </si>
  <si>
    <t>Continues: Taiwan yi xue hui za zhi.</t>
  </si>
  <si>
    <t>Scientific Communications International, Ltd.</t>
  </si>
  <si>
    <t>0202503</t>
  </si>
  <si>
    <t>Journal of the history of biology</t>
  </si>
  <si>
    <t>JOURNAL OF THE HISTORY OF BIOLOGY</t>
  </si>
  <si>
    <t>J Hist Biol</t>
  </si>
  <si>
    <t>00225010</t>
  </si>
  <si>
    <t>9609747</t>
  </si>
  <si>
    <t>Journal of the history of dentistry</t>
  </si>
  <si>
    <t>JOURNAL OF THE HISTORY OF DENTISTRY</t>
  </si>
  <si>
    <t>J Hist Dent</t>
  </si>
  <si>
    <t>Continues: Bulletin of the history of dentistry.</t>
  </si>
  <si>
    <t>10896287</t>
  </si>
  <si>
    <t>American Academy Of The History Of Dentistry</t>
  </si>
  <si>
    <t>Dentistry#History of Medicine</t>
  </si>
  <si>
    <t>00140360R</t>
  </si>
  <si>
    <t>Journal of the history of ideas</t>
  </si>
  <si>
    <t>JOURNAL OF THE HISTORY OF IDEAS</t>
  </si>
  <si>
    <t>J Hist Ideas</t>
  </si>
  <si>
    <t>10863222</t>
  </si>
  <si>
    <t>00225037</t>
  </si>
  <si>
    <t>Eight no. a year, 2012-</t>
  </si>
  <si>
    <t>0413415</t>
  </si>
  <si>
    <t>Journal of the history of medicine and allied sciences</t>
  </si>
  <si>
    <t>JOURNAL OF THE HISTORY OF MEDICINE AND ALLIED SCIENCES</t>
  </si>
  <si>
    <t>J Hist Med Allied Sci</t>
  </si>
  <si>
    <t>14684373</t>
  </si>
  <si>
    <t>00225045</t>
  </si>
  <si>
    <t>18020010R</t>
  </si>
  <si>
    <t>Journal of the history of the behavioral sciences</t>
  </si>
  <si>
    <t>JOURNAL OF THE HISTORY OF THE BEHAVIORAL SCIENCES</t>
  </si>
  <si>
    <t>J Hist Behav Sci</t>
  </si>
  <si>
    <t>15206696</t>
  </si>
  <si>
    <t>00225061</t>
  </si>
  <si>
    <t>Behavioral Sciences#History of Medicine</t>
  </si>
  <si>
    <t>9441330</t>
  </si>
  <si>
    <t>Journal of the history of the neurosciences</t>
  </si>
  <si>
    <t>JOURNAL OF THE HISTORY OF THE NEUROSCIENCES</t>
  </si>
  <si>
    <t>J Hist Neurosci</t>
  </si>
  <si>
    <t>17445213</t>
  </si>
  <si>
    <t>0964704X</t>
  </si>
  <si>
    <t>History of Medicine#Neurology</t>
  </si>
  <si>
    <t>101123500</t>
  </si>
  <si>
    <t>Journal of the ICRU</t>
  </si>
  <si>
    <t>JOURNAL OF THE ICRU</t>
  </si>
  <si>
    <t>J ICRU</t>
  </si>
  <si>
    <t>17423422</t>
  </si>
  <si>
    <t>14736691</t>
  </si>
  <si>
    <t>Two no. a year, &lt;2004-&gt;</t>
  </si>
  <si>
    <t>Radiology#Radiotherapy</t>
  </si>
  <si>
    <t>7505608</t>
  </si>
  <si>
    <t>JOURNAL OF THE INDIAN MEDICAL ASSOCIATION</t>
  </si>
  <si>
    <t>J Indian Med Assoc</t>
  </si>
  <si>
    <t>Continues: Indian medical world.</t>
  </si>
  <si>
    <t>8710631</t>
  </si>
  <si>
    <t>Journal of the Indian Society of Pedodontics and Preventive Dentistry</t>
  </si>
  <si>
    <t>JOURNAL OF THE INDIAN SOCIETY OF PEDODONTICS AND PREVENTIVE DENTISTRY</t>
  </si>
  <si>
    <t>J Indian Soc Pedod Prev Dent</t>
  </si>
  <si>
    <t>19983905</t>
  </si>
  <si>
    <t>09704388</t>
  </si>
  <si>
    <t>100888553</t>
  </si>
  <si>
    <t>Journal of the International Academy of Periodontology</t>
  </si>
  <si>
    <t>JOURNAL OF THE INTERNATIONAL ACADEMY OF PERIODONTOLOGY</t>
  </si>
  <si>
    <t>J Int Acad Periodontol</t>
  </si>
  <si>
    <t>14662094</t>
  </si>
  <si>
    <t>FDI World Dental Press Ltd</t>
  </si>
  <si>
    <t>101478566</t>
  </si>
  <si>
    <t>JOURNAL OF THE INTERNATIONAL AIDS SOCIETY</t>
  </si>
  <si>
    <t>J Int AIDS Soc</t>
  </si>
  <si>
    <t>101603896</t>
  </si>
  <si>
    <t>JOURNAL OF THE INTERNATIONAL ASSOCIATION OF PROVIDERS OF AIDS CARE</t>
  </si>
  <si>
    <t>J Int Assoc Provid AIDS Care</t>
  </si>
  <si>
    <t>9503760</t>
  </si>
  <si>
    <t>Journal of the International Neuropsychological Society : JINS</t>
  </si>
  <si>
    <t>JOURNAL OF THE INTERNATIONAL NEUROPSYCHOLOGICAL SOCIETY : JINS</t>
  </si>
  <si>
    <t>J Int Neuropsychol Soc</t>
  </si>
  <si>
    <t>14697661</t>
  </si>
  <si>
    <t>13556177</t>
  </si>
  <si>
    <t>7507211</t>
  </si>
  <si>
    <t>Journal of the Irish Dental Association</t>
  </si>
  <si>
    <t>JOURNAL OF THE IRISH DENTAL ASSOCIATION</t>
  </si>
  <si>
    <t>J Ir Dent Assoc</t>
  </si>
  <si>
    <t>00211133</t>
  </si>
  <si>
    <t>Irish Dental Association</t>
  </si>
  <si>
    <t>7505618</t>
  </si>
  <si>
    <t>The Journal of the Louisiana State Medical Society : official organ of the Louisiana State Medical Society</t>
  </si>
  <si>
    <t>JOURNAL OF THE LOUISIANA STATE MEDICAL SOCIETY : OFFICIAL ORGAN OF THE LOUISIANA STATE MEDICAL SOCIETY</t>
  </si>
  <si>
    <t>J La State Med Soc</t>
  </si>
  <si>
    <t>Continues: New Orleans medical and surgical journal.</t>
  </si>
  <si>
    <t>00246921</t>
  </si>
  <si>
    <t>Louisiana State Medical Society</t>
  </si>
  <si>
    <t>7503082</t>
  </si>
  <si>
    <t>Journal of the Massachusetts Dental Society</t>
  </si>
  <si>
    <t>JOURNAL OF THE MASSACHUSETTS DENTAL SOCIETY</t>
  </si>
  <si>
    <t>J Mass Dent Soc</t>
  </si>
  <si>
    <t>00254800</t>
  </si>
  <si>
    <t>Massachusetts Dental Society</t>
  </si>
  <si>
    <t>101322406</t>
  </si>
  <si>
    <t>Journal of the mechanical behavior of biomedical materials</t>
  </si>
  <si>
    <t>JOURNAL OF THE MECHANICAL BEHAVIOR OF BIOMEDICAL MATERIALS</t>
  </si>
  <si>
    <t>J Mech Behav Biomed Mater</t>
  </si>
  <si>
    <t>7505620</t>
  </si>
  <si>
    <t>Journal of the Medical Association of Georgia</t>
  </si>
  <si>
    <t>JOURNAL OF THE MEDICAL ASSOCIATION OF GEORGIA</t>
  </si>
  <si>
    <t>J Med Assoc Ga</t>
  </si>
  <si>
    <t>00257028</t>
  </si>
  <si>
    <t>Medical Association Of Georgia</t>
  </si>
  <si>
    <t>7507216</t>
  </si>
  <si>
    <t>Journal of the Medical Association of Thailand = Chotmaihet thangphaet</t>
  </si>
  <si>
    <t>JOURNAL OF THE MEDICAL ASSOCIATION OF THAILAND = CHOTMAIHET THANGPHAET</t>
  </si>
  <si>
    <t>J Med Assoc Thai</t>
  </si>
  <si>
    <t>Continues: Chotmāihet thāngphaet khong Phaetthaya Samākhom haeng Prathēt Thai.</t>
  </si>
  <si>
    <t>Medical Association Of Thailand</t>
  </si>
  <si>
    <t>101132728</t>
  </si>
  <si>
    <t>Journal of the Medical Library Association : JMLA</t>
  </si>
  <si>
    <t>JOURNAL OF THE MEDICAL LIBRARY ASSOCIATION : JMLA</t>
  </si>
  <si>
    <t>J Med Libr Assoc</t>
  </si>
  <si>
    <t>Continues: Bulletin of the Medical Library Association.</t>
  </si>
  <si>
    <t>15589439</t>
  </si>
  <si>
    <t>15365050</t>
  </si>
  <si>
    <t>Medical Library Association</t>
  </si>
  <si>
    <t>Library Science</t>
  </si>
  <si>
    <t>7505621</t>
  </si>
  <si>
    <t>The Journal of the Michigan Dental Association</t>
  </si>
  <si>
    <t>JOURNAL OF THE MICHIGAN DENTAL ASSOCIATION</t>
  </si>
  <si>
    <t>J Mich Dent Assoc</t>
  </si>
  <si>
    <t>Continues the Journal of the Michigan State Dental Association.</t>
  </si>
  <si>
    <t>00262102</t>
  </si>
  <si>
    <t>Michigan Dental Association</t>
  </si>
  <si>
    <t>7505622</t>
  </si>
  <si>
    <t>Journal of the Mississippi State Medical Association</t>
  </si>
  <si>
    <t>JOURNAL OF THE MISSISSIPPI STATE MEDICAL ASSOCIATION</t>
  </si>
  <si>
    <t>J Miss State Med Assoc</t>
  </si>
  <si>
    <t>Absorbed the Mississippi doctor.</t>
  </si>
  <si>
    <t>00266396</t>
  </si>
  <si>
    <t>Mississippi State Medical Association</t>
  </si>
  <si>
    <t>7503089</t>
  </si>
  <si>
    <t>JOURNAL OF THE NATIONAL CANCER INSTITUTE</t>
  </si>
  <si>
    <t>J Natl Cancer Inst</t>
  </si>
  <si>
    <t>Absorbed: Cancer treatment reports. 1988</t>
  </si>
  <si>
    <t>Semimonthly, &lt;1989-&gt;</t>
  </si>
  <si>
    <t>9011255</t>
  </si>
  <si>
    <t>Journal of the National Cancer Institute. Monographs</t>
  </si>
  <si>
    <t>JOURNAL OF THE NATIONAL CANCER INSTITUTE. MONOGRAPHS</t>
  </si>
  <si>
    <t>J Natl Cancer Inst Monogr</t>
  </si>
  <si>
    <t>Continues: NCI monographs.</t>
  </si>
  <si>
    <t>101162515</t>
  </si>
  <si>
    <t>Journal of the National Comprehensive Cancer Network : JNCCN</t>
  </si>
  <si>
    <t>JOURNAL OF THE NATIONAL COMPREHENSIVE CANCER NETWORK : JNCCN</t>
  </si>
  <si>
    <t>J Natl Compr Canc Netw</t>
  </si>
  <si>
    <t>7503090</t>
  </si>
  <si>
    <t>JOURNAL OF THE NATIONAL MEDICAL ASSOCIATION</t>
  </si>
  <si>
    <t>J Natl Med Assoc</t>
  </si>
  <si>
    <t>0375403</t>
  </si>
  <si>
    <t>Journal of the neurological sciences</t>
  </si>
  <si>
    <t>JOURNAL OF THE NEUROLOGICAL SCIENCES</t>
  </si>
  <si>
    <t>J Neurol Sci</t>
  </si>
  <si>
    <t>Twenty two no. a year, 1999-</t>
  </si>
  <si>
    <t>0420021</t>
  </si>
  <si>
    <t>Journal of the New Jersey Dental Association</t>
  </si>
  <si>
    <t>JOURNAL OF THE NEW JERSEY DENTAL ASSOCIATION</t>
  </si>
  <si>
    <t>J N J Dent Assoc</t>
  </si>
  <si>
    <t>Continues the Journal of the New Jersey State Dental Society.</t>
  </si>
  <si>
    <t>00937347</t>
  </si>
  <si>
    <t>New Jersey Dental Assn.</t>
  </si>
  <si>
    <t>7507218</t>
  </si>
  <si>
    <t>The Journal of the New York State Nurses' Association</t>
  </si>
  <si>
    <t>JOURNAL OF THE NEW YORK STATE NURSES' ASSOCIATION</t>
  </si>
  <si>
    <t>J N Y State Nurses Assoc</t>
  </si>
  <si>
    <t>Supersedes New York State nurse.</t>
  </si>
  <si>
    <t>00287644</t>
  </si>
  <si>
    <t>New York State Nurses Association</t>
  </si>
  <si>
    <t>7809869</t>
  </si>
  <si>
    <t>Journal of the New Zealand Society of Periodontology</t>
  </si>
  <si>
    <t>JOURNAL OF THE NEW ZEALAND SOCIETY OF PERIODONTOLOGY</t>
  </si>
  <si>
    <t>J N Z Soc Periodontol</t>
  </si>
  <si>
    <t>Continues Bulletin - The N. Z. Society of Periodontology</t>
  </si>
  <si>
    <t>01111485</t>
  </si>
  <si>
    <t>New Zealand Society of Periodontology.</t>
  </si>
  <si>
    <t>Once or twice a year, &lt;2000-&gt;</t>
  </si>
  <si>
    <t>7503043</t>
  </si>
  <si>
    <t>The Journal of the Oklahoma State Medical Association</t>
  </si>
  <si>
    <t>JOURNAL OF THE OKLAHOMA STATE MEDICAL ASSOCIATION</t>
  </si>
  <si>
    <t>J Okla State Med Assoc</t>
  </si>
  <si>
    <t>00301876</t>
  </si>
  <si>
    <t>Oklahoma State Medical Association</t>
  </si>
  <si>
    <t>9800943</t>
  </si>
  <si>
    <t>Journal of the Optical Society of America. A, Optics, image science, and vision</t>
  </si>
  <si>
    <t>JOURNAL OF THE OPTICAL SOCIETY OF AMERICA. A, OPTICS, IMAGE SCIENCE, AND VISION</t>
  </si>
  <si>
    <t>J Opt Soc Am A Opt Image Sci Vis</t>
  </si>
  <si>
    <t>Continues: Journal of the Optical Society of America. A, Optics and image science.</t>
  </si>
  <si>
    <t>15208532</t>
  </si>
  <si>
    <t>10847529</t>
  </si>
  <si>
    <t>9704532</t>
  </si>
  <si>
    <t>Journal of the peripheral nervous system : JPNS</t>
  </si>
  <si>
    <t>JOURNAL OF THE PERIPHERAL NERVOUS SYSTEM : JPNS</t>
  </si>
  <si>
    <t>J Peripher Nerv Syst</t>
  </si>
  <si>
    <t>100971636</t>
  </si>
  <si>
    <t>Journal of the renin-angiotensin-aldosterone system : JRAAS</t>
  </si>
  <si>
    <t>JOURNAL OF THE RENIN-ANGIOTENSIN-ALDOSTERONE SYSTEM : JRAAS</t>
  </si>
  <si>
    <t>J Renin Angiotensin Aldosterone Syst</t>
  </si>
  <si>
    <t>7505627</t>
  </si>
  <si>
    <t>Journal of the Royal Army Medical Corps</t>
  </si>
  <si>
    <t>JOURNAL OF THE ROYAL ARMY MEDICAL CORPS</t>
  </si>
  <si>
    <t>J R Army Med Corps</t>
  </si>
  <si>
    <t>20520468</t>
  </si>
  <si>
    <t>00358665</t>
  </si>
  <si>
    <t>Royal Army Medical Corps. Regimental Headquarters</t>
  </si>
  <si>
    <t>101144324</t>
  </si>
  <si>
    <t>The journal of the Royal College of Physicians of Edinburgh</t>
  </si>
  <si>
    <t>JOURNAL OF THE ROYAL COLLEGE OF PHYSICIANS OF EDINBURGH</t>
  </si>
  <si>
    <t>J R Coll Physicians Edinb</t>
  </si>
  <si>
    <t>Continues: Proceedings of the Royal College of Physicians of Edinburgh.</t>
  </si>
  <si>
    <t>20428189</t>
  </si>
  <si>
    <t>Education#History of Medicine#Medicine</t>
  </si>
  <si>
    <t>7503111</t>
  </si>
  <si>
    <t>Journal of the Royal Naval Medical Service</t>
  </si>
  <si>
    <t>JOURNAL OF THE ROYAL NAVAL MEDICAL SERVICE</t>
  </si>
  <si>
    <t>J R Nav Med Serv</t>
  </si>
  <si>
    <t>00359033</t>
  </si>
  <si>
    <t>Royal Naval Medical Service</t>
  </si>
  <si>
    <t>7802879</t>
  </si>
  <si>
    <t>JOURNAL OF THE ROYAL SOCIETY OF MEDICINE</t>
  </si>
  <si>
    <t>J R Soc Med</t>
  </si>
  <si>
    <t>Continues: Proceedings of the Royal Society of Medicine. Royal Society of Medicine (Great Britain).</t>
  </si>
  <si>
    <t>17581095</t>
  </si>
  <si>
    <t>London</t>
  </si>
  <si>
    <t>101217269</t>
  </si>
  <si>
    <t>Journal of the Royal Society, Interface / the Royal Society</t>
  </si>
  <si>
    <t>JOURNAL OF THE ROYAL SOCIETY, INTERFACE / THE ROYAL SOCIETY</t>
  </si>
  <si>
    <t>J R Soc Interface</t>
  </si>
  <si>
    <t>Royal Society</t>
  </si>
  <si>
    <t>Biology#Biomedical Engineering#Biophysics</t>
  </si>
  <si>
    <t>0376334</t>
  </si>
  <si>
    <t>Journal of the science of food and agriculture</t>
  </si>
  <si>
    <t>JOURNAL OF THE SCIENCE OF FOOD AND AGRICULTURE</t>
  </si>
  <si>
    <t>J Sci Food Agric</t>
  </si>
  <si>
    <t>10970010</t>
  </si>
  <si>
    <t>00225142</t>
  </si>
  <si>
    <t>Fifteen no. a year, 199?-</t>
  </si>
  <si>
    <t>101262057</t>
  </si>
  <si>
    <t>JOURNAL OF THE SOCIETY FOR INTEGRATIVE ONCOLOGY</t>
  </si>
  <si>
    <t>J Soc Integr Oncol</t>
  </si>
  <si>
    <t>Continues: Journal of cancer integrative medicine.</t>
  </si>
  <si>
    <t>BC Decker for the Society for Integrative Oncology</t>
  </si>
  <si>
    <t>7503122</t>
  </si>
  <si>
    <t>JOURNAL OF THE SOUTH AFRICAN VETERINARY ASSOCIATION</t>
  </si>
  <si>
    <t>J S Afr Vet Assoc</t>
  </si>
  <si>
    <t>Continues: Journal of the South African Veterinary Medical Association.</t>
  </si>
  <si>
    <t>22249435</t>
  </si>
  <si>
    <t>7503045</t>
  </si>
  <si>
    <t>Journal of the South Carolina Medical Association (1975)</t>
  </si>
  <si>
    <t>JOURNAL OF THE SOUTH CAROLINA MEDICAL ASSOCIATION (1975)</t>
  </si>
  <si>
    <t>J S C Med Assoc</t>
  </si>
  <si>
    <t>Continues: Journal (South Carolina Medical Association).</t>
  </si>
  <si>
    <t>15444910</t>
  </si>
  <si>
    <t>00383139</t>
  </si>
  <si>
    <t>South Carolina Medical Assn.</t>
  </si>
  <si>
    <t>7503125</t>
  </si>
  <si>
    <t>The Journal of the Tennessee Dental Association</t>
  </si>
  <si>
    <t>JOURNAL OF THE TENNESSEE DENTAL ASSOCIATION</t>
  </si>
  <si>
    <t>J Tenn Dent Assoc</t>
  </si>
  <si>
    <t>Continues: Journal - Tennessee State Dental Association.</t>
  </si>
  <si>
    <t>00403385</t>
  </si>
  <si>
    <t>Tennessee Dental Association</t>
  </si>
  <si>
    <t>7705433</t>
  </si>
  <si>
    <t>The Journal of the Western Society of Periodontology/Periodontal abstracts</t>
  </si>
  <si>
    <t>JOURNAL OF THE WESTERN SOCIETY OF PERIODONTOLOGY/PERIODONTAL ABSTRACTS</t>
  </si>
  <si>
    <t>J West Soc Periodontol Periodontal Abstr</t>
  </si>
  <si>
    <t>Continues Periodontal abstracts.</t>
  </si>
  <si>
    <t>01484893</t>
  </si>
  <si>
    <t>Western Society of Periodontology Foundation.</t>
  </si>
  <si>
    <t>0376342</t>
  </si>
  <si>
    <t>Journal of theoretical biology</t>
  </si>
  <si>
    <t>JOURNAL OF THEORETICAL BIOLOGY</t>
  </si>
  <si>
    <t>J Theor Biol</t>
  </si>
  <si>
    <t>7600115</t>
  </si>
  <si>
    <t>Journal of thermal biology</t>
  </si>
  <si>
    <t>JOURNAL OF THERMAL BIOLOGY</t>
  </si>
  <si>
    <t>J Therm Biol</t>
  </si>
  <si>
    <t>Pergamon Press.</t>
  </si>
  <si>
    <t>0376343</t>
  </si>
  <si>
    <t>The Journal of thoracic and cardiovascular surgery</t>
  </si>
  <si>
    <t>JOURNAL OF THORACIC AND CARDIOVASCULAR SURGERY</t>
  </si>
  <si>
    <t>J Thorac Cardiovasc Surg</t>
  </si>
  <si>
    <t>Continues: Journal of thoracic surgery.</t>
  </si>
  <si>
    <t>8606160</t>
  </si>
  <si>
    <t>Journal of thoracic imaging</t>
  </si>
  <si>
    <t>JOURNAL OF THORACIC IMAGING</t>
  </si>
  <si>
    <t>J Thorac Imaging</t>
  </si>
  <si>
    <t>Diagnostic Imaging#Pulmonary Medicine</t>
  </si>
  <si>
    <t>101274235</t>
  </si>
  <si>
    <t>Journal of thoracic oncology : official publication of the International Association for the Study of Lung Cancer</t>
  </si>
  <si>
    <t>JOURNAL OF THORACIC ONCOLOGY : OFFICIAL PUBLICATION OF THE INTERNATIONAL ASSOCIATION FOR THE STUDY OF LUNG CANCER</t>
  </si>
  <si>
    <t>J Thorac Oncol</t>
  </si>
  <si>
    <t>101170508</t>
  </si>
  <si>
    <t>Journal of thrombosis and haemostasis : JTH</t>
  </si>
  <si>
    <t>JOURNAL OF THROMBOSIS AND HAEMOSTASIS : JTH</t>
  </si>
  <si>
    <t>J Thromb Haemost</t>
  </si>
  <si>
    <t>9502018</t>
  </si>
  <si>
    <t>Journal of thrombosis and thrombolysis</t>
  </si>
  <si>
    <t>JOURNAL OF THROMBOSIS AND THROMBOLYSIS</t>
  </si>
  <si>
    <t>J Thromb Thrombolysis</t>
  </si>
  <si>
    <t>101308490</t>
  </si>
  <si>
    <t>Journal of tissue engineering and regenerative medicine</t>
  </si>
  <si>
    <t>JOURNAL OF TISSUE ENGINEERING AND REGENERATIVE MEDICINE</t>
  </si>
  <si>
    <t>J Tissue Eng Regen Med</t>
  </si>
  <si>
    <t>Biotechnology#Histology</t>
  </si>
  <si>
    <t>9306822</t>
  </si>
  <si>
    <t>Journal of tissue viability</t>
  </si>
  <si>
    <t>JOURNAL OF TISSUE VIABILITY</t>
  </si>
  <si>
    <t>J Tissue Viability</t>
  </si>
  <si>
    <t>Continues: Care (Salisbury, England).</t>
  </si>
  <si>
    <t>Nursing#Physiology</t>
  </si>
  <si>
    <t>7805798</t>
  </si>
  <si>
    <t>The Journal of toxicological sciences</t>
  </si>
  <si>
    <t>JOURNAL OF TOXICOLOGICAL SCIENCES</t>
  </si>
  <si>
    <t>J Toxicol Sci</t>
  </si>
  <si>
    <t>Doku Sayō Kenkyūkai</t>
  </si>
  <si>
    <t>100960995</t>
  </si>
  <si>
    <t>Journal of toxicology and environmental health. Part A</t>
  </si>
  <si>
    <t>JOURNAL OF TOXICOLOGY AND ENVIRONMENTAL HEALTH. PART A</t>
  </si>
  <si>
    <t>J Toxicol Environ Health A</t>
  </si>
  <si>
    <t>Continues in part: Journal of toxicology and environmental health.</t>
  </si>
  <si>
    <t>00984108</t>
  </si>
  <si>
    <t>Twelve no. a year, 2006-</t>
  </si>
  <si>
    <t>9802627</t>
  </si>
  <si>
    <t>Journal of toxicology and environmental health. Part B, Critical reviews</t>
  </si>
  <si>
    <t>JOURNAL OF TOXICOLOGY AND ENVIRONMENTAL HEALTH. PART B, CRITICAL REVIEWS</t>
  </si>
  <si>
    <t>J Toxicol Environ Health B Crit Rev</t>
  </si>
  <si>
    <t>Absorbed: Comments on toxicology. Continues in part: Journal of toxicology and environmental health.</t>
  </si>
  <si>
    <t>Three no. a year, 2006-</t>
  </si>
  <si>
    <t>9508274</t>
  </si>
  <si>
    <t>Journal of trace elements in medicine and biology : organ of the Society for Minerals and Trace Elements (GMS)</t>
  </si>
  <si>
    <t>JOURNAL OF TRACE ELEMENTS IN MEDICINE AND BIOLOGY : ORGAN OF THE SOCIETY FOR MINERALS AND TRACE ELEMENTS (GMS)</t>
  </si>
  <si>
    <t>J Trace Elem Med Biol</t>
  </si>
  <si>
    <t>Continues: Journal of trace elements and electrolytes in health and disease.</t>
  </si>
  <si>
    <t>Gustav Fisher</t>
  </si>
  <si>
    <t>Environmental Health#Metabolism</t>
  </si>
  <si>
    <t>8211546</t>
  </si>
  <si>
    <t>Journal of traditional Chinese medicine = Chung i tsa chih ying wen pan / sponsored by All-China Association of Traditional Chinese Medicine, Academy of Traditional Chinese Medicine</t>
  </si>
  <si>
    <t>JOURNAL OF TRADITIONAL CHINESE MEDICINE = CHUNG I TSA CHIH YING WEN PAN / SPONSORED BY ALL-CHINA ASSOCIATION OF TRADITIONAL CHINESE MEDICINE, ACADEMY OF TRADITIONAL CHINESE MEDICINE</t>
  </si>
  <si>
    <t>J Tradit Chin Med</t>
  </si>
  <si>
    <t>Academy Of Traditional Chinese Medicine</t>
  </si>
  <si>
    <t>9001407</t>
  </si>
  <si>
    <t>Journal of transcultural nursing : official journal of the Transcultural Nursing Society / Transcultural Nursing Society</t>
  </si>
  <si>
    <t>JOURNAL OF TRANSCULTURAL NURSING : OFFICIAL JOURNAL OF THE TRANSCULTURAL NURSING SOCIETY / TRANSCULTURAL NURSING SOCIETY</t>
  </si>
  <si>
    <t>J Transcult Nurs</t>
  </si>
  <si>
    <t>15527832</t>
  </si>
  <si>
    <t>10436596</t>
  </si>
  <si>
    <t>101190741</t>
  </si>
  <si>
    <t>Journal of translational medicine</t>
  </si>
  <si>
    <t>JOURNAL OF TRANSLATIONAL MEDICINE</t>
  </si>
  <si>
    <t>J Transl Med</t>
  </si>
  <si>
    <t>100898209</t>
  </si>
  <si>
    <t>Journal of trauma &amp; dissociation : the official journal of the International Society for the Study of Dissociation (ISSD)</t>
  </si>
  <si>
    <t>JOURNAL OF TRAUMA &amp; DISSOCIATION : THE OFFICIAL JOURNAL OF THE INTERNATIONAL SOCIETY FOR THE STUDY OF DISSOCIATION (ISSD)</t>
  </si>
  <si>
    <t>J Trauma Dissociation</t>
  </si>
  <si>
    <t>Five no a year, 2011-</t>
  </si>
  <si>
    <t>101570622</t>
  </si>
  <si>
    <t>The journal of trauma and acute care surgery</t>
  </si>
  <si>
    <t>JOURNAL OF TRAUMA AND ACUTE CARE SURGERY</t>
  </si>
  <si>
    <t>J Trauma Acute Care Surg</t>
  </si>
  <si>
    <t>Continues: Journal of trauma.</t>
  </si>
  <si>
    <t>9512997</t>
  </si>
  <si>
    <t>Journal of trauma nursing : the official journal of the Society of Trauma Nurses</t>
  </si>
  <si>
    <t>JOURNAL OF TRAUMA NURSING : THE OFFICIAL JOURNAL OF THE SOCIETY OF TRAUMA NURSES</t>
  </si>
  <si>
    <t>J Trauma Nurs</t>
  </si>
  <si>
    <t>Continues: STN's journal of trauma nursing.</t>
  </si>
  <si>
    <t>10787496</t>
  </si>
  <si>
    <t>Nursecom</t>
  </si>
  <si>
    <t>Nursing#Traumatology</t>
  </si>
  <si>
    <t>8809259</t>
  </si>
  <si>
    <t>Journal of traumatic stress</t>
  </si>
  <si>
    <t>JOURNAL OF TRAUMATIC STRESS</t>
  </si>
  <si>
    <t>J Trauma Stress</t>
  </si>
  <si>
    <t>15736598</t>
  </si>
  <si>
    <t>08949867</t>
  </si>
  <si>
    <t>9434456</t>
  </si>
  <si>
    <t>Journal of travel medicine</t>
  </si>
  <si>
    <t>JOURNAL OF TRAVEL MEDICINE</t>
  </si>
  <si>
    <t>J Travel Med</t>
  </si>
  <si>
    <t>Six no. a year, 2006-</t>
  </si>
  <si>
    <t>8010948</t>
  </si>
  <si>
    <t>Journal of tropical pediatrics</t>
  </si>
  <si>
    <t>JOURNAL OF TROPICAL PEDIATRICS</t>
  </si>
  <si>
    <t>J Trop Pediatr</t>
  </si>
  <si>
    <t>Continues The Journal of tropical pediatrics and environmental child health.</t>
  </si>
  <si>
    <t>Pediatrics#Tropical Medicine</t>
  </si>
  <si>
    <t>8211547</t>
  </si>
  <si>
    <t>Journal of ultrasound in medicine : official journal of the American Institute of Ultrasound in Medicine</t>
  </si>
  <si>
    <t>JOURNAL OF ULTRASOUND IN MEDICINE : OFFICIAL JOURNAL OF THE AMERICAN INSTITUTE OF ULTRASOUND IN MEDICINE</t>
  </si>
  <si>
    <t>J Ultrasound Med</t>
  </si>
  <si>
    <t>15509613</t>
  </si>
  <si>
    <t>02784297</t>
  </si>
  <si>
    <t>American Institute of Ultrasound in Medicine</t>
  </si>
  <si>
    <t>7909645</t>
  </si>
  <si>
    <t>Journal of UOEH</t>
  </si>
  <si>
    <t>JOURNAL OF UOEH</t>
  </si>
  <si>
    <t>J UOEH</t>
  </si>
  <si>
    <t>0387821X</t>
  </si>
  <si>
    <t>University of Occupational and Environmental Health</t>
  </si>
  <si>
    <t>9809909</t>
  </si>
  <si>
    <t>Journal of urban health : bulletin of the New York Academy of Medicine</t>
  </si>
  <si>
    <t>JOURNAL OF URBAN HEALTH : BULLETIN OF THE NEW YORK ACADEMY OF MEDICINE</t>
  </si>
  <si>
    <t>J Urban Health</t>
  </si>
  <si>
    <t>Continues: Bulletin of the New York Academy of Medicine.</t>
  </si>
  <si>
    <t>14682869</t>
  </si>
  <si>
    <t>10993460</t>
  </si>
  <si>
    <t>0376374</t>
  </si>
  <si>
    <t>The Journal of urology</t>
  </si>
  <si>
    <t>JOURNAL OF UROLOGY</t>
  </si>
  <si>
    <t>J Urol</t>
  </si>
  <si>
    <t>100940729</t>
  </si>
  <si>
    <t>The journal of vascular access</t>
  </si>
  <si>
    <t>JOURNAL OF VASCULAR ACCESS</t>
  </si>
  <si>
    <t>J Vasc Access</t>
  </si>
  <si>
    <t>17246032</t>
  </si>
  <si>
    <t>9203369</t>
  </si>
  <si>
    <t>Journal of vascular and interventional radiology : JVIR</t>
  </si>
  <si>
    <t>JOURNAL OF VASCULAR AND INTERVENTIONAL RADIOLOGY : JVIR</t>
  </si>
  <si>
    <t>J Vasc Interv Radiol</t>
  </si>
  <si>
    <t>Society of Cardiovascular and Interventional Radiology</t>
  </si>
  <si>
    <t>Radiology#Vascular Diseases</t>
  </si>
  <si>
    <t>9014475</t>
  </si>
  <si>
    <t>Journal of vascular nursing : official publication of the Society for Peripheral Vascular Nursing</t>
  </si>
  <si>
    <t>JOURNAL OF VASCULAR NURSING : OFFICIAL PUBLICATION OF THE SOCIETY FOR PERIPHERAL VASCULAR NURSING</t>
  </si>
  <si>
    <t>J Vasc Nurs</t>
  </si>
  <si>
    <t>Continues: SPVN.</t>
  </si>
  <si>
    <t>15326578</t>
  </si>
  <si>
    <t>10620303</t>
  </si>
  <si>
    <t>Society For Peripheral Vascular Nursing</t>
  </si>
  <si>
    <t>Nursing#Vascular Diseases</t>
  </si>
  <si>
    <t>9206092</t>
  </si>
  <si>
    <t>Journal of vascular research</t>
  </si>
  <si>
    <t>JOURNAL OF VASCULAR RESEARCH</t>
  </si>
  <si>
    <t>J Vasc Res</t>
  </si>
  <si>
    <t>Absorbed: International journal of microcirculation, clinical and experimental. Continues: Blood vessels.</t>
  </si>
  <si>
    <t>8407742</t>
  </si>
  <si>
    <t>Journal of vascular surgery</t>
  </si>
  <si>
    <t>JOURNAL OF VASCULAR SURGERY</t>
  </si>
  <si>
    <t>J Vasc Surg</t>
  </si>
  <si>
    <t>Monthly, &lt;Feb. 1986-&gt;</t>
  </si>
  <si>
    <t>101212761</t>
  </si>
  <si>
    <t>Journal of vector borne diseases</t>
  </si>
  <si>
    <t>JOURNAL OF VECTOR BORNE DISEASES</t>
  </si>
  <si>
    <t>J Vector Borne Dis</t>
  </si>
  <si>
    <t>Continues: Indian journal of malariology.</t>
  </si>
  <si>
    <t>National Institute of Malaria Research</t>
  </si>
  <si>
    <t>Parasitology#Tropical Medicine</t>
  </si>
  <si>
    <t>9512496</t>
  </si>
  <si>
    <t>Journal of vector ecology : journal of the Society for Vector Ecology</t>
  </si>
  <si>
    <t>JOURNAL OF VECTOR ECOLOGY : JOURNAL OF THE SOCIETY FOR VECTOR ECOLOGY</t>
  </si>
  <si>
    <t>J Vector Ecol</t>
  </si>
  <si>
    <t>Continues: Bulletin of the Society for Vector Ecology.</t>
  </si>
  <si>
    <t>10811710</t>
  </si>
  <si>
    <t>9104163</t>
  </si>
  <si>
    <t>Journal of vestibular research : equilibrium &amp; orientation</t>
  </si>
  <si>
    <t>JOURNAL OF VESTIBULAR RESEARCH : EQUILIBRIUM &amp; ORIENTATION</t>
  </si>
  <si>
    <t>J Vestib Res</t>
  </si>
  <si>
    <t>18786464</t>
  </si>
  <si>
    <t>09574271</t>
  </si>
  <si>
    <t>101163270</t>
  </si>
  <si>
    <t>Journal of veterinary cardiology : the official journal of the European Society of Veterinary Cardiology</t>
  </si>
  <si>
    <t>JOURNAL OF VETERINARY CARDIOLOGY : THE OFFICIAL JOURNAL OF THE EUROPEAN SOCIETY OF VETERINARY CARDIOLOGY</t>
  </si>
  <si>
    <t>J Vet Cardiol</t>
  </si>
  <si>
    <t>Cardiology#Veterinary Medicine</t>
  </si>
  <si>
    <t>9426426</t>
  </si>
  <si>
    <t>Journal of veterinary dentistry</t>
  </si>
  <si>
    <t>JOURNAL OF VETERINARY DENTISTRY</t>
  </si>
  <si>
    <t>J Vet Dent</t>
  </si>
  <si>
    <t>Continues: Veterinary dentistry.</t>
  </si>
  <si>
    <t>08987564</t>
  </si>
  <si>
    <t>American Veterinary Dental Society</t>
  </si>
  <si>
    <t>Dentistry#Veterinary Medicine</t>
  </si>
  <si>
    <t>9011490</t>
  </si>
  <si>
    <t>Journal of veterinary diagnostic investigation : official publication of the American Association of Veterinary Laboratory Diagnosticians, Inc</t>
  </si>
  <si>
    <t>JOURNAL OF VETERINARY DIAGNOSTIC INVESTIGATION : OFFICIAL PUBLICATION OF THE AMERICAN ASSOCIATION OF VETERINARY LABORATORY DIAGNOSTICIANS, INC</t>
  </si>
  <si>
    <t>J Vet Diagn Invest</t>
  </si>
  <si>
    <t>19434936</t>
  </si>
  <si>
    <t>10406387</t>
  </si>
  <si>
    <t>101152804</t>
  </si>
  <si>
    <t>Journal of veterinary emergency and critical care (San Antonio, Tex. : 2001)</t>
  </si>
  <si>
    <t>JOURNAL OF VETERINARY EMERGENCY AND CRITICAL CARE (SAN ANTONIO, TEX. : 2001)</t>
  </si>
  <si>
    <t>J Vet Emerg Crit Care (San Antonio)</t>
  </si>
  <si>
    <t>Continues: Official journal of veterinary emergency and critical care.</t>
  </si>
  <si>
    <t>14764431</t>
  </si>
  <si>
    <t>14793261</t>
  </si>
  <si>
    <t>Critical Care#Emergency Medicine#Veterinary Medicine</t>
  </si>
  <si>
    <t>8708660</t>
  </si>
  <si>
    <t>Journal of veterinary internal medicine / American College of Veterinary Internal Medicine</t>
  </si>
  <si>
    <t>JOURNAL OF VETERINARY INTERNAL MEDICINE / AMERICAN COLLEGE OF VETERINARY INTERNAL MEDICINE</t>
  </si>
  <si>
    <t>J Vet Intern Med</t>
  </si>
  <si>
    <t>19391676</t>
  </si>
  <si>
    <t>08916640</t>
  </si>
  <si>
    <t>Allen Press</t>
  </si>
  <si>
    <t>Internal Medicine#Veterinary Medicine</t>
  </si>
  <si>
    <t>7610519</t>
  </si>
  <si>
    <t>Journal of veterinary medical education</t>
  </si>
  <si>
    <t>JOURNAL OF VETERINARY MEDICAL EDUCATION</t>
  </si>
  <si>
    <t>J Vet Med Educ</t>
  </si>
  <si>
    <t>0748321X</t>
  </si>
  <si>
    <t>University of Toronto Press</t>
  </si>
  <si>
    <t>Education#Veterinary Medicine</t>
  </si>
  <si>
    <t>9105360</t>
  </si>
  <si>
    <t>The Journal of veterinary medical science / the Japanese Society of Veterinary Science</t>
  </si>
  <si>
    <t>JOURNAL OF VETERINARY MEDICAL SCIENCE / THE JAPANESE SOCIETY OF VETERINARY SCIENCE</t>
  </si>
  <si>
    <t>J Vet Med Sci</t>
  </si>
  <si>
    <t>Continues: Nippon juigaku zasshi.</t>
  </si>
  <si>
    <t>13477439</t>
  </si>
  <si>
    <t>09167250</t>
  </si>
  <si>
    <t>Japanese Society Of Veterinary Science</t>
  </si>
  <si>
    <t>7910920</t>
  </si>
  <si>
    <t>Journal of veterinary pharmacology and therapeutics</t>
  </si>
  <si>
    <t>JOURNAL OF VETERINARY PHARMACOLOGY AND THERAPEUTICS</t>
  </si>
  <si>
    <t>J Vet Pharmacol Ther</t>
  </si>
  <si>
    <t>Pharmacology#Therapeutics#Veterinary Medicine</t>
  </si>
  <si>
    <t>100964185</t>
  </si>
  <si>
    <t>Journal of veterinary science</t>
  </si>
  <si>
    <t>JOURNAL OF VETERINARY SCIENCE</t>
  </si>
  <si>
    <t>J Vet Sci</t>
  </si>
  <si>
    <t>1976555X</t>
  </si>
  <si>
    <t>1229845X</t>
  </si>
  <si>
    <t>Korean Society of Veterinary Science</t>
  </si>
  <si>
    <t>Three no. a year, 2001-</t>
  </si>
  <si>
    <t>9435672</t>
  </si>
  <si>
    <t>Journal of viral hepatitis</t>
  </si>
  <si>
    <t>JOURNAL OF VIRAL HEPATITIS</t>
  </si>
  <si>
    <t>J Viral Hepat</t>
  </si>
  <si>
    <t>8005839</t>
  </si>
  <si>
    <t>Journal of virological methods</t>
  </si>
  <si>
    <t>JOURNAL OF VIROLOGICAL METHODS</t>
  </si>
  <si>
    <t>J Virol Methods</t>
  </si>
  <si>
    <t>Sixteen no. a year, 1999-</t>
  </si>
  <si>
    <t>0113724</t>
  </si>
  <si>
    <t>Journal of virology</t>
  </si>
  <si>
    <t>JOURNAL OF VIROLOGY</t>
  </si>
  <si>
    <t>J Virol</t>
  </si>
  <si>
    <t>101532664</t>
  </si>
  <si>
    <t>Journal of visceral surgery</t>
  </si>
  <si>
    <t>JOURNAL OF VISCERAL SURGERY</t>
  </si>
  <si>
    <t>J Visc Surg</t>
  </si>
  <si>
    <t>18787886</t>
  </si>
  <si>
    <t>Elsevier Maason SAS</t>
  </si>
  <si>
    <t>101147197</t>
  </si>
  <si>
    <t>Journal of vision</t>
  </si>
  <si>
    <t>JOURNAL OF VISION</t>
  </si>
  <si>
    <t>J Vis</t>
  </si>
  <si>
    <t>15347362</t>
  </si>
  <si>
    <t>Association for Research in Vision and Ophthalmology (ARVO)</t>
  </si>
  <si>
    <t>101254059</t>
  </si>
  <si>
    <t>Journal of visual communication in medicine</t>
  </si>
  <si>
    <t>JOURNAL OF VISUAL COMMUNICATION IN MEDICINE</t>
  </si>
  <si>
    <t>J Vis Commun Med</t>
  </si>
  <si>
    <t>Continues: Journal of audiovisual media in medicine.</t>
  </si>
  <si>
    <t>17453062</t>
  </si>
  <si>
    <t>17453054</t>
  </si>
  <si>
    <t>Photography</t>
  </si>
  <si>
    <t>101313252</t>
  </si>
  <si>
    <t>Journal of visualized experiments : JoVE</t>
  </si>
  <si>
    <t>JOURNAL OF VISUALIZED EXPERIMENTS : JOVE</t>
  </si>
  <si>
    <t>J Vis Exp</t>
  </si>
  <si>
    <t>1940087X</t>
  </si>
  <si>
    <t>MYJoVE Corporation</t>
  </si>
  <si>
    <t>8712262</t>
  </si>
  <si>
    <t>Journal of voice : official journal of the Voice Foundation</t>
  </si>
  <si>
    <t>JOURNAL OF VOICE : OFFICIAL JOURNAL OF THE VOICE FOUNDATION</t>
  </si>
  <si>
    <t>J Voice</t>
  </si>
  <si>
    <t>101185420</t>
  </si>
  <si>
    <t>Journal of water and health</t>
  </si>
  <si>
    <t>JOURNAL OF WATER AND HEALTH</t>
  </si>
  <si>
    <t>J Water Health</t>
  </si>
  <si>
    <t>IWA Pub.</t>
  </si>
  <si>
    <t>0244160</t>
  </si>
  <si>
    <t>Journal of wildlife diseases</t>
  </si>
  <si>
    <t>JOURNAL OF WILDLIFE DISEASES</t>
  </si>
  <si>
    <t>J Wildl Dis</t>
  </si>
  <si>
    <t>Continues: Bulletin of the Wildlife Disease Association.</t>
  </si>
  <si>
    <t>19433700</t>
  </si>
  <si>
    <t>00903558</t>
  </si>
  <si>
    <t>Wildlife Disease Association</t>
  </si>
  <si>
    <t>8916635</t>
  </si>
  <si>
    <t>Journal of women &amp; aging</t>
  </si>
  <si>
    <t>JOURNAL OF WOMEN &amp; AGING</t>
  </si>
  <si>
    <t>J Women Aging</t>
  </si>
  <si>
    <t>15407322</t>
  </si>
  <si>
    <t>08952841</t>
  </si>
  <si>
    <t>Geriatrics#Women's Health</t>
  </si>
  <si>
    <t>101159262</t>
  </si>
  <si>
    <t>Journal of women's health (2002)</t>
  </si>
  <si>
    <t>JOURNAL OF WOMEN'S HEALTH (2002)</t>
  </si>
  <si>
    <t>J Womens Health (Larchmt)</t>
  </si>
  <si>
    <t>Continues: Journal of women's health &amp; gender-based medicine.</t>
  </si>
  <si>
    <t>Gynecology#Women's Health</t>
  </si>
  <si>
    <t>9417080</t>
  </si>
  <si>
    <t>Journal of wound care</t>
  </si>
  <si>
    <t>JOURNAL OF WOUND CARE</t>
  </si>
  <si>
    <t>J Wound Care</t>
  </si>
  <si>
    <t>09690700</t>
  </si>
  <si>
    <t>9435679</t>
  </si>
  <si>
    <t>Journal of wound, ostomy, and continence nursing : official publication of The Wound, Ostomy and Continence Nurses Society / WOCN</t>
  </si>
  <si>
    <t>JOURNAL OF WOUND, OSTOMY, AND CONTINENCE NURSING : OFFICIAL PUBLICATION OF THE WOUND, OSTOMY AND CONTINENCE NURSES SOCIETY / WOCN</t>
  </si>
  <si>
    <t>J Wound Ostomy Continence Nurs</t>
  </si>
  <si>
    <t>Continues: Journal of ET nursing.</t>
  </si>
  <si>
    <t>15283976</t>
  </si>
  <si>
    <t>10715754</t>
  </si>
  <si>
    <t>9000080</t>
  </si>
  <si>
    <t>Journal of X-ray science and technology</t>
  </si>
  <si>
    <t>JOURNAL OF X-RAY SCIENCE AND TECHNOLOGY</t>
  </si>
  <si>
    <t>J Xray Sci Technol</t>
  </si>
  <si>
    <t>10959114</t>
  </si>
  <si>
    <t>08953996</t>
  </si>
  <si>
    <t>0333507</t>
  </si>
  <si>
    <t>Journal of youth and adolescence</t>
  </si>
  <si>
    <t>JOURNAL OF YOUTH AND ADOLESCENCE</t>
  </si>
  <si>
    <t>J Youth Adolesc</t>
  </si>
  <si>
    <t>15736601</t>
  </si>
  <si>
    <t>00472891</t>
  </si>
  <si>
    <t>Behavioral Sciences#Pediatrics#Psychology</t>
  </si>
  <si>
    <t>101236535</t>
  </si>
  <si>
    <t>Journal of Zhejiang University. Science. B</t>
  </si>
  <si>
    <t>JOURNAL OF ZHEJIANG UNIVERSITY. SCIENCE. B</t>
  </si>
  <si>
    <t>J Zhejiang Univ Sci B</t>
  </si>
  <si>
    <t>Continues in part: Journal of Zhejiang University. Science.</t>
  </si>
  <si>
    <t>8915208</t>
  </si>
  <si>
    <t>Journal of zoo and wildlife medicine : official publication of the American Association of Zoo Veterinarians</t>
  </si>
  <si>
    <t>JOURNAL OF ZOO AND WILDLIFE MEDICINE : OFFICIAL PUBLICATION OF THE AMERICAN ASSOCIATION OF ZOO VETERINARIANS</t>
  </si>
  <si>
    <t>J Zoo Wildl Med</t>
  </si>
  <si>
    <t>Continues: Journal of zoo animal medicine.</t>
  </si>
  <si>
    <t>10427260</t>
  </si>
  <si>
    <t>American Association Of Zoo Veterinarians</t>
  </si>
  <si>
    <t>101536393</t>
  </si>
  <si>
    <t>Journal watch. AIDS clinical care</t>
  </si>
  <si>
    <t>JOURNAL WATCH. AIDS CLINICAL CARE</t>
  </si>
  <si>
    <t>J Watch AIDS Clin Care</t>
  </si>
  <si>
    <t>Continues: AIDS clinical care.</t>
  </si>
  <si>
    <t>Massachusetts Medical Society</t>
  </si>
  <si>
    <t>9502837</t>
  </si>
  <si>
    <t>The journals of gerontology. Series A, Biological sciences and medical sciences</t>
  </si>
  <si>
    <t>JOURNALS OF GERONTOLOGY. SERIES A, BIOLOGICAL SCIENCES AND MEDICAL SCIENCES</t>
  </si>
  <si>
    <t>J Gerontol A Biol Sci Med Sci</t>
  </si>
  <si>
    <t>Continues in part: Journal of gerontology.</t>
  </si>
  <si>
    <t>1758535X</t>
  </si>
  <si>
    <t>10795006</t>
  </si>
  <si>
    <t>published on behalf of the Gerontological Society of America by Oxford University Press</t>
  </si>
  <si>
    <t>9508483</t>
  </si>
  <si>
    <t>The journals of gerontology. Series B, Psychological sciences and social sciences</t>
  </si>
  <si>
    <t>JOURNALS OF GERONTOLOGY. SERIES B, PSYCHOLOGICAL SCIENCES AND SOCIAL SCIENCES</t>
  </si>
  <si>
    <t>J Gerontol B Psychol Sci Soc Sci</t>
  </si>
  <si>
    <t>17585368</t>
  </si>
  <si>
    <t>10795014</t>
  </si>
  <si>
    <t>Geriatrics#Psychology#Social Sciences</t>
  </si>
  <si>
    <t>7804134</t>
  </si>
  <si>
    <t>JPEN. Journal of parenteral and enteral nutrition</t>
  </si>
  <si>
    <t>JPEN. JOURNAL OF PARENTERAL AND ENTERAL NUTRITION</t>
  </si>
  <si>
    <t>JPEN J Parenter Enteral Nutr</t>
  </si>
  <si>
    <t>7501162</t>
  </si>
  <si>
    <t>JPMA. The Journal of the Pakistan Medical Association</t>
  </si>
  <si>
    <t>JPMA. THE JOURNAL OF THE PAKISTAN MEDICAL ASSOCIATION</t>
  </si>
  <si>
    <t>J Pak Med Assoc</t>
  </si>
  <si>
    <t>Continues: Journal of the Pakistan Medical Association.</t>
  </si>
  <si>
    <t>100884618</t>
  </si>
  <si>
    <t>JSLS : Journal of the Society of Laparoendoscopic Surgeons / Society of Laparoendoscopic Surgeons</t>
  </si>
  <si>
    <t>JSLS : JOURNAL OF THE SOCIETY OF LAPAROENDOSCOPIC SURGEONS / SOCIETY OF LAPAROENDOSCOPIC SURGEONS</t>
  </si>
  <si>
    <t>JSLS</t>
  </si>
  <si>
    <t>19383797</t>
  </si>
  <si>
    <t>10868089</t>
  </si>
  <si>
    <t>0326141</t>
  </si>
  <si>
    <t>Kagakushi kenkyu. [Journal of the history of science, Japan</t>
  </si>
  <si>
    <t>KAGAKUSHI KENKYU. [JOURNAL OF THE HISTORY OF SCIENCE, JAPAN</t>
  </si>
  <si>
    <t>Kagakushi Kenkyu</t>
  </si>
  <si>
    <t>00227692</t>
  </si>
  <si>
    <t>Japan. Metereological Agency</t>
  </si>
  <si>
    <t>0413526</t>
  </si>
  <si>
    <t>Kaibogaku zasshi. Journal of anatomy</t>
  </si>
  <si>
    <t>KAIBOGAKU ZASSHI. JOURNAL OF ANATOMY</t>
  </si>
  <si>
    <t>Kaibogaku Zasshi</t>
  </si>
  <si>
    <t>Continued in part by English ed. with title: Anatomical science international.</t>
  </si>
  <si>
    <t>00227722</t>
  </si>
  <si>
    <t>Nippon Kaibo Gakkai.</t>
  </si>
  <si>
    <t>2985202R</t>
  </si>
  <si>
    <t>Kaku igaku. The Japanese journal of nuclear medicine</t>
  </si>
  <si>
    <t>KAKU IGAKU. THE JAPANESE JOURNAL OF NUCLEAR MEDICINE</t>
  </si>
  <si>
    <t>Kaku Igaku</t>
  </si>
  <si>
    <t>00227854</t>
  </si>
  <si>
    <t>Japanese Society Of Nuclear Medicine</t>
  </si>
  <si>
    <t>18110790R</t>
  </si>
  <si>
    <t>The Kansas nurse</t>
  </si>
  <si>
    <t>KANSAS NURSE</t>
  </si>
  <si>
    <t>Kans Nurse</t>
  </si>
  <si>
    <t>Continues the Bulletin of the Kansas State Nurses' Association.</t>
  </si>
  <si>
    <t>00228710</t>
  </si>
  <si>
    <t>Kansas State Nurses Association</t>
  </si>
  <si>
    <t>0236671</t>
  </si>
  <si>
    <t>Kansenshōgaku zasshi. The Journal of the Japanese Association for Infectious Diseases</t>
  </si>
  <si>
    <t>KANSENSHOGAKU ZASSHI. THE JOURNAL OF THE JAPANESE ASSOCIATION FOR INFECTIOUS DISEASES</t>
  </si>
  <si>
    <t>Kansenshogaku Zasshi</t>
  </si>
  <si>
    <t>03875911</t>
  </si>
  <si>
    <t>Japanese Association For Infectious Diseases</t>
  </si>
  <si>
    <t>100960562</t>
  </si>
  <si>
    <t>The Kaohsiung journal of medical sciences</t>
  </si>
  <si>
    <t>KAOHSIUNG JOURNAL OF MEDICAL SCIENCES</t>
  </si>
  <si>
    <t>Kaohsiung J Med Sci</t>
  </si>
  <si>
    <t>Continues: Gaoxiong yi xue ke xue za zhi.</t>
  </si>
  <si>
    <t>Kaohsiung Medical College</t>
  </si>
  <si>
    <t>0376352</t>
  </si>
  <si>
    <t>Kardiologia polska</t>
  </si>
  <si>
    <t>KARDIOLOGIA POLSKA</t>
  </si>
  <si>
    <t>Kardiol Pol</t>
  </si>
  <si>
    <t>Continues: Kardiologia polska.</t>
  </si>
  <si>
    <t>Polskie Towarzystwo Kardiologiczne</t>
  </si>
  <si>
    <t>0376351</t>
  </si>
  <si>
    <t>Kardiologiia</t>
  </si>
  <si>
    <t>KARDIOLOGIIA</t>
  </si>
  <si>
    <t>00229040</t>
  </si>
  <si>
    <t>101215359</t>
  </si>
  <si>
    <t>Kathmandu University medical journal (KUMJ)</t>
  </si>
  <si>
    <t>KATHMANDU UNIVERSITY MEDICAL JOURNAL (KUMJ)</t>
  </si>
  <si>
    <t>Kathmandu Univ Med J (KUMJ)</t>
  </si>
  <si>
    <t>18122078</t>
  </si>
  <si>
    <t>0376354</t>
  </si>
  <si>
    <t>The Keio journal of medicine</t>
  </si>
  <si>
    <t>KEIO JOURNAL OF MEDICINE</t>
  </si>
  <si>
    <t>Keio J Med</t>
  </si>
  <si>
    <t>Keio Gijuku Daigaku Igakubu</t>
  </si>
  <si>
    <t>0422132</t>
  </si>
  <si>
    <t>Kekkaku : [Tuberculosis]</t>
  </si>
  <si>
    <t>KEKKAKU : [TUBERCULOSIS]</t>
  </si>
  <si>
    <t>Kekkaku</t>
  </si>
  <si>
    <t>18842410</t>
  </si>
  <si>
    <t>00229776</t>
  </si>
  <si>
    <t>Japanese Society For Tuberculosis</t>
  </si>
  <si>
    <t>9109135</t>
  </si>
  <si>
    <t>Kennedy Institute of Ethics journal</t>
  </si>
  <si>
    <t>KENNEDY INSTITUTE OF ETHICS JOURNAL</t>
  </si>
  <si>
    <t>Kennedy Inst Ethics J</t>
  </si>
  <si>
    <t>10863249</t>
  </si>
  <si>
    <t>10546863</t>
  </si>
  <si>
    <t>8309653</t>
  </si>
  <si>
    <t>Kentucky nurse</t>
  </si>
  <si>
    <t>KENTUCKY NURSE</t>
  </si>
  <si>
    <t>Ky Nurse</t>
  </si>
  <si>
    <t>Continues: Kentucky Nurses Association. Newsletter.</t>
  </si>
  <si>
    <t>07428367</t>
  </si>
  <si>
    <t>Published by APL Inc. for the Kentucky Nurses' Association</t>
  </si>
  <si>
    <t>0376355</t>
  </si>
  <si>
    <t>Khirurgii͡a</t>
  </si>
  <si>
    <t>KHIRURGIIA</t>
  </si>
  <si>
    <t>Khirurgiia (Sofiia)</t>
  </si>
  <si>
    <t>Continues: Khirurgii͡a i ortopedii͡a. Continued in part by: Ortopediâ i travmatologiâ.</t>
  </si>
  <si>
    <t>04502167</t>
  </si>
  <si>
    <t>Medit͡sina i Fizkultura</t>
  </si>
  <si>
    <t>0412765</t>
  </si>
  <si>
    <t>Khirurgiia</t>
  </si>
  <si>
    <t>Khirurgiia (Mosk)</t>
  </si>
  <si>
    <t>Continues: Sovetskaia khirurgiia.</t>
  </si>
  <si>
    <t>23095628</t>
  </si>
  <si>
    <t>00231207</t>
  </si>
  <si>
    <t>9610505</t>
  </si>
  <si>
    <t>Kidney &amp; blood pressure research</t>
  </si>
  <si>
    <t>KIDNEY &amp; BLOOD PRESSURE RESEARCH</t>
  </si>
  <si>
    <t>Kidney Blood Press Res</t>
  </si>
  <si>
    <t>Continues: Renal physiology and biochemistry.</t>
  </si>
  <si>
    <t>0323470</t>
  </si>
  <si>
    <t>Kidney international</t>
  </si>
  <si>
    <t>KIDNEY INTERNATIONAL</t>
  </si>
  <si>
    <t>Kidney Int</t>
  </si>
  <si>
    <t>8305989</t>
  </si>
  <si>
    <t>Kinderkrankenschwester : Organ der Sektion Kinderkrankenpflege / Deutsche Gesellschaft für Sozialpädiatrie und Deutsche Gesellschaft für Kinderheilkunde</t>
  </si>
  <si>
    <t>KINDERKRANKENSCHWESTER : ORGAN DER SEKTION KINDERKRANKENPFLEGE / DEUTSCHE GESELLSCHAFT FUR SOZIALPADIATRIE UND DEUTSCHE GESELLSCHAFT FUR KINDERHEILKUNDE</t>
  </si>
  <si>
    <t>Kinderkrankenschwester</t>
  </si>
  <si>
    <t>07232276</t>
  </si>
  <si>
    <t>Schmidt-Romhild</t>
  </si>
  <si>
    <t>9432021</t>
  </si>
  <si>
    <t>Klinicheskaia laboratornaia diagnostika</t>
  </si>
  <si>
    <t>KLINICHESKAIA LABORATORNAIA DIAGNOSTIKA</t>
  </si>
  <si>
    <t>Klin Lab Diagn</t>
  </si>
  <si>
    <t>Continues: Laboratornoe delo.</t>
  </si>
  <si>
    <t>08692084</t>
  </si>
  <si>
    <t>"Meditsina"</t>
  </si>
  <si>
    <t>2985204R</t>
  </si>
  <si>
    <t>Klinicheskaia meditsina</t>
  </si>
  <si>
    <t>KLINICHESKAIA MEDITSINA</t>
  </si>
  <si>
    <t>Klin Med (Mosk)</t>
  </si>
  <si>
    <t>00232149</t>
  </si>
  <si>
    <t>9516872</t>
  </si>
  <si>
    <t>Klinichna khirurhiia / Ministerstvo okhorony zdorov'ia Ukraïny, Naukove tovarystvo khirurhiv Ukraïny</t>
  </si>
  <si>
    <t>KLINICHNA KHIRURHIIA / MINISTERSTVO OKHORONY ZDOROV'IA UKRAINY, NAUKOVE TOVARYSTVO KHIRURHIV UKRAINY</t>
  </si>
  <si>
    <t>Klin Khir</t>
  </si>
  <si>
    <t>Continues: Klinicheskaia khirurgiia.</t>
  </si>
  <si>
    <t>00232130</t>
  </si>
  <si>
    <t>Ministerstvo Okhorony Zdorovia Ukrainy</t>
  </si>
  <si>
    <t>101189112</t>
  </si>
  <si>
    <t>Klinická mikrobiologie a infekc̆ní lékar̆ství</t>
  </si>
  <si>
    <t>KLINICKA MIKROBIOLOGIE A INFEKCNI LEKARSTVI</t>
  </si>
  <si>
    <t>Klin Mikrobiol Infekc Lek</t>
  </si>
  <si>
    <t>TRIOS</t>
  </si>
  <si>
    <t>9425213</t>
  </si>
  <si>
    <t>Klinická onkologie : casopis Ceské a Slovenské onkologické spolecnosti</t>
  </si>
  <si>
    <t>KLINICKA ONKOLOGIE : CASOPIS CESKE A SLOVENSKE ONKOLOGICKE SPOLECNOSTI</t>
  </si>
  <si>
    <t>Klin Onkol</t>
  </si>
  <si>
    <t>Ceská lékarská spolecnost</t>
  </si>
  <si>
    <t>0376614</t>
  </si>
  <si>
    <t>Klinika oczna</t>
  </si>
  <si>
    <t>KLINIKA OCZNA</t>
  </si>
  <si>
    <t>Klin Oczna</t>
  </si>
  <si>
    <t>Continues Postȩp okulistyczny.</t>
  </si>
  <si>
    <t>00232157</t>
  </si>
  <si>
    <t>Panstwowy Zaklad Wydawnictw Lekarskich</t>
  </si>
  <si>
    <t>0014133</t>
  </si>
  <si>
    <t>Klinische Monatsblätter für Augenheilkunde</t>
  </si>
  <si>
    <t>KLINISCHE MONATSBLATTER FUR AUGENHEILKUNDE</t>
  </si>
  <si>
    <t>Klin Monbl Augenheilkd</t>
  </si>
  <si>
    <t>Continues: Klinische Monatsblätter für Augenheilkunde und für augenärztliche Fortbildung.</t>
  </si>
  <si>
    <t>0326144</t>
  </si>
  <si>
    <t>Klinische Pädiatrie</t>
  </si>
  <si>
    <t>KLINISCHE PADIATRIE</t>
  </si>
  <si>
    <t>Klin Padiatr</t>
  </si>
  <si>
    <t>Continues Archiv für Kinderheilkunde.</t>
  </si>
  <si>
    <t>Ferdinand Enke Verlag</t>
  </si>
  <si>
    <t>9430798</t>
  </si>
  <si>
    <t>The Knee</t>
  </si>
  <si>
    <t>KNEE</t>
  </si>
  <si>
    <t>9314730</t>
  </si>
  <si>
    <t>Knee surgery, sports traumatology, arthroscopy : official journal of the ESSKA</t>
  </si>
  <si>
    <t>KNEE SURGERY, SPORTS TRAUMATOLOGY, ARTHROSCOPY : OFFICIAL JOURNAL OF THE ESSKA</t>
  </si>
  <si>
    <t>Knee Surg Sports Traumatol Arthrosc</t>
  </si>
  <si>
    <t>14337347</t>
  </si>
  <si>
    <t>09422056</t>
  </si>
  <si>
    <t>General Surgery#Sports Medicine#Traumatology</t>
  </si>
  <si>
    <t>0413531</t>
  </si>
  <si>
    <t>The Kobe journal of medical sciences</t>
  </si>
  <si>
    <t>KOBE JOURNAL OF MEDICAL SCIENCES</t>
  </si>
  <si>
    <t>Kobe J Med Sci</t>
  </si>
  <si>
    <t>Kobe University School Of Medicine</t>
  </si>
  <si>
    <t>0413677</t>
  </si>
  <si>
    <t>Kōkūbyō Gakkai zasshi. The Journal of the Stomatological Society, Japan</t>
  </si>
  <si>
    <t>KOKUBYO GAKKAI ZASSHI. THE JOURNAL OF THE STOMATOLOGICAL SOCIETY, JAPAN</t>
  </si>
  <si>
    <t>Kokubyo Gakkai Zasshi</t>
  </si>
  <si>
    <t>18845185</t>
  </si>
  <si>
    <t>03009149</t>
  </si>
  <si>
    <t>Kōkūbyō Gakkai.</t>
  </si>
  <si>
    <t>9807834</t>
  </si>
  <si>
    <t>Kokuritsu Iyakuhin Shokuhin Eisei Kenkyūjo hōkoku = Bulletin of National Institute of Health Sciences</t>
  </si>
  <si>
    <t>KOKURITSU IYAKUHIN SHOKUHIN EISEI KENKYUJO HOKOKU = BULLETIN OF NATIONAL INSTITUTE OF HEALTH SCIENCES</t>
  </si>
  <si>
    <t>Kokuritsu Iyakuhin Shokuhin Eisei Kenkyusho Hokoku</t>
  </si>
  <si>
    <t>Continues: Eisei Shikenjo hōkoku.</t>
  </si>
  <si>
    <t>13434292</t>
  </si>
  <si>
    <t>Kokuritsu Iyakuhin Shokuhin Eisei Kenkyujo Kagaku Busshitsu Johoba</t>
  </si>
  <si>
    <t>100959225</t>
  </si>
  <si>
    <t>Kongressband / Deutsche Gesellschaft für Chirurgie. Deutsche Gesellschaft für Chirurgie. Kongress</t>
  </si>
  <si>
    <t>KONGRESSBAND / DEUTSCHE GESELLSCHAFT FUR CHIRURGIE. DEUTSCHE GESELLSCHAFT FUR CHIRURGIE. KONGRESS</t>
  </si>
  <si>
    <t>Kongressbd Dtsch Ges Chir Kongr</t>
  </si>
  <si>
    <t>Continues: Langenbecks Archiv für Chirurgie. Supplement. Kongressband. Deutsche Gesellschaft für Chirurgie. Kongress.</t>
  </si>
  <si>
    <t>18681050</t>
  </si>
  <si>
    <t>101189416</t>
  </si>
  <si>
    <t>The Korean journal of gastroenterology = Taehan Sohwagi Hakhoe chi</t>
  </si>
  <si>
    <t>KOREAN JOURNAL OF GASTROENTEROLOGY = TAEHAN SOHWAGI HAKHOE CHI</t>
  </si>
  <si>
    <t>Korean J Gastroenterol</t>
  </si>
  <si>
    <t>Continues: Taehan Sohwagibyŏng Hakhoe chapchi.</t>
  </si>
  <si>
    <t>15989992</t>
  </si>
  <si>
    <t>Korean Society of Gastroenterology</t>
  </si>
  <si>
    <t>8712418</t>
  </si>
  <si>
    <t>The Korean journal of internal medicine</t>
  </si>
  <si>
    <t>KOREAN JOURNAL OF INTERNAL MEDICINE</t>
  </si>
  <si>
    <t>Korean J Intern Med</t>
  </si>
  <si>
    <t>8804513</t>
  </si>
  <si>
    <t>Korean journal of ophthalmology : KJO</t>
  </si>
  <si>
    <t>KOREAN JOURNAL OF OPHTHALMOLOGY : KJO</t>
  </si>
  <si>
    <t>Korean J Ophthalmol</t>
  </si>
  <si>
    <t>10118942</t>
  </si>
  <si>
    <t>Kjo</t>
  </si>
  <si>
    <t>9435800</t>
  </si>
  <si>
    <t>The Korean journal of parasitology</t>
  </si>
  <si>
    <t>KOREAN JOURNAL OF PARASITOLOGY</t>
  </si>
  <si>
    <t>Korean J Parasitol</t>
  </si>
  <si>
    <t>Continues: Kisaengch'unghak chapchi.</t>
  </si>
  <si>
    <t>Korean Society for Parasitology</t>
  </si>
  <si>
    <t>100956096</t>
  </si>
  <si>
    <t>Korean journal of radiology : official journal of the Korean Radiological Society</t>
  </si>
  <si>
    <t>KOREAN JOURNAL OF RADIOLOGY : OFFICIAL JOURNAL OF THE KOREAN RADIOLOGICAL SOCIETY</t>
  </si>
  <si>
    <t>Korean J Radiol</t>
  </si>
  <si>
    <t>20058330</t>
  </si>
  <si>
    <t>9424952</t>
  </si>
  <si>
    <t>KOS</t>
  </si>
  <si>
    <t>Kos</t>
  </si>
  <si>
    <t>03932095</t>
  </si>
  <si>
    <t>Istituto Scientifico H. San Raffaele</t>
  </si>
  <si>
    <t>8006304</t>
  </si>
  <si>
    <t>Krankenpflege Journal</t>
  </si>
  <si>
    <t>KRANKENPFLEGE JOURNAL</t>
  </si>
  <si>
    <t>Krankenpfl J</t>
  </si>
  <si>
    <t>Continues Schwestern Revue.</t>
  </si>
  <si>
    <t>0174108X</t>
  </si>
  <si>
    <t>Schwestern-Revue]</t>
  </si>
  <si>
    <t>8000153</t>
  </si>
  <si>
    <t>Krankenpflege. Soins infirmiers</t>
  </si>
  <si>
    <t>KRANKENPFLEGE. SOINS INFIRMIERS</t>
  </si>
  <si>
    <t>Krankenpfl Soins Infirm</t>
  </si>
  <si>
    <t>Continues Zeitschrift für Krankenpflege. Revue suisse des infirmières.</t>
  </si>
  <si>
    <t>02530465</t>
  </si>
  <si>
    <t>Schweizer Berufsverband Der Krankenschwestern Und Krankenpflege</t>
  </si>
  <si>
    <t>100899230</t>
  </si>
  <si>
    <t>Kulak burun boğaz ihtisas dergisi : KBB = Journal of ear, nose, and throat</t>
  </si>
  <si>
    <t>KULAK BURUN BOGAZ IHTISAS DERGISI : KBB = JOURNAL OF EAR, NOSE, AND THROAT</t>
  </si>
  <si>
    <t>Kulak Burun Bogaz Ihtis Derg</t>
  </si>
  <si>
    <t>13007475</t>
  </si>
  <si>
    <t>İ.Ü. Tıp Fakültesi K.B.B. Anabilim Dalı</t>
  </si>
  <si>
    <t>tur</t>
  </si>
  <si>
    <t>Audiology#Otolaryngology</t>
  </si>
  <si>
    <t>2985210R</t>
  </si>
  <si>
    <t>The Kurume medical journal</t>
  </si>
  <si>
    <t>KURUME MEDICAL JOURNAL</t>
  </si>
  <si>
    <t>Kurume Med J</t>
  </si>
  <si>
    <t>Kurume Univ., School of Medicine.</t>
  </si>
  <si>
    <t>0065346</t>
  </si>
  <si>
    <t>Kwartalnik historii nauki i techniki : Kwartal'nyĭ zhurnal istorii nauki i tekhniki -</t>
  </si>
  <si>
    <t>KWARTALNIK HISTORII NAUKI I TECHNIKI : KWARTAL'NYI ZHURNAL ISTORII NAUKI I TEKHNIKI -</t>
  </si>
  <si>
    <t>Kwart Hist Nauki Tech</t>
  </si>
  <si>
    <t>Continues: Studia i materialy do dziejow nauki polskiej.</t>
  </si>
  <si>
    <t>0023589X</t>
  </si>
  <si>
    <t>Państwowe Wydawn. Naukowe.</t>
  </si>
  <si>
    <t>History of Medicine#Science#Technology</t>
  </si>
  <si>
    <t>0413533</t>
  </si>
  <si>
    <t>Kyobu geka. The Japanese journal of thoracic surgery</t>
  </si>
  <si>
    <t>KYOBU GEKA. THE JAPANESE JOURNAL OF THORACIC SURGERY</t>
  </si>
  <si>
    <t>Kyobu Geka</t>
  </si>
  <si>
    <t>00215252</t>
  </si>
  <si>
    <t>Nankodo</t>
  </si>
  <si>
    <t>0417737</t>
  </si>
  <si>
    <t>Lab animal</t>
  </si>
  <si>
    <t>LAB ANIMAL</t>
  </si>
  <si>
    <t>Lab Anim (NY)</t>
  </si>
  <si>
    <t>15484475</t>
  </si>
  <si>
    <t>00937355</t>
  </si>
  <si>
    <t>Nature America</t>
  </si>
  <si>
    <t>Eleven no. a year, 1994-</t>
  </si>
  <si>
    <t>101128948</t>
  </si>
  <si>
    <t>Lab on a chip</t>
  </si>
  <si>
    <t>LAB ON A CHIP</t>
  </si>
  <si>
    <t>Lab Chip</t>
  </si>
  <si>
    <t>Biotechnology#Chemistry</t>
  </si>
  <si>
    <t>0112725</t>
  </si>
  <si>
    <t>Laboratory animals</t>
  </si>
  <si>
    <t>LABORATORY ANIMALS</t>
  </si>
  <si>
    <t>Lab Anim</t>
  </si>
  <si>
    <t>17581117</t>
  </si>
  <si>
    <t>Quarterly, 1975-</t>
  </si>
  <si>
    <t>9615688</t>
  </si>
  <si>
    <t>Laboratory hematology : official publication of the International Society for Laboratory Hematology</t>
  </si>
  <si>
    <t>LABORATORY HEMATOLOGY : OFFICIAL PUBLICATION OF THE INTERNATIONAL SOCIETY FOR LABORATORY HEMATOLOGY</t>
  </si>
  <si>
    <t>Lab Hematol</t>
  </si>
  <si>
    <t>15236528</t>
  </si>
  <si>
    <t>Kluge Carden Jennings Pub. Co.</t>
  </si>
  <si>
    <t>Clinical Laboratory Techniques#Hematology</t>
  </si>
  <si>
    <t>0376617</t>
  </si>
  <si>
    <t>Laboratory investigation; a journal of technical methods and pathology</t>
  </si>
  <si>
    <t>LABORATORY INVESTIGATION; A JOURNAL OF TECHNICAL METHODS AND PATHOLOGY</t>
  </si>
  <si>
    <t>Lab Invest</t>
  </si>
  <si>
    <t>Supersedes the Bulletin of the International Association of Medical Museums.</t>
  </si>
  <si>
    <t>Monthly, &lt;June 2005-&gt;</t>
  </si>
  <si>
    <t>Clinical Laboratory Techniques#Pathology</t>
  </si>
  <si>
    <t>7901326</t>
  </si>
  <si>
    <t>Læknablađiđ</t>
  </si>
  <si>
    <t>LAEKNABLADID</t>
  </si>
  <si>
    <t>Laeknabladid</t>
  </si>
  <si>
    <t>16704959</t>
  </si>
  <si>
    <t>00237213</t>
  </si>
  <si>
    <t>Icelandic Medical Association and the Medical Society of Reykjavik</t>
  </si>
  <si>
    <t>Iceland</t>
  </si>
  <si>
    <t>ice</t>
  </si>
  <si>
    <t>0027707</t>
  </si>
  <si>
    <t>Läkartidningen</t>
  </si>
  <si>
    <t>LAKARTIDNINGEN</t>
  </si>
  <si>
    <t>Lakartidningen</t>
  </si>
  <si>
    <t>Continues: Svenska läkartidningen.</t>
  </si>
  <si>
    <t>16527518</t>
  </si>
  <si>
    <t>00237205</t>
  </si>
  <si>
    <t>Sveriges Lakarforbund</t>
  </si>
  <si>
    <t>swe</t>
  </si>
  <si>
    <t>2985213R</t>
  </si>
  <si>
    <t>Lancet</t>
  </si>
  <si>
    <t>LANCET</t>
  </si>
  <si>
    <t>1823</t>
  </si>
  <si>
    <t>101130150</t>
  </si>
  <si>
    <t>The Lancet infectious diseases</t>
  </si>
  <si>
    <t>LANCET INFECTIOUS DISEASES</t>
  </si>
  <si>
    <t>Lancet Infect Dis</t>
  </si>
  <si>
    <t>101139309</t>
  </si>
  <si>
    <t>Lancet neurology</t>
  </si>
  <si>
    <t>LANCET NEUROLOGY</t>
  </si>
  <si>
    <t>Lancet Neurol</t>
  </si>
  <si>
    <t>Lancet Pub. Group</t>
  </si>
  <si>
    <t>100957246</t>
  </si>
  <si>
    <t>The lancet oncology</t>
  </si>
  <si>
    <t>LANCET ONCOLOGY</t>
  </si>
  <si>
    <t>Lancet Oncol</t>
  </si>
  <si>
    <t>101605555</t>
  </si>
  <si>
    <t>The lancet. Respiratory medicine</t>
  </si>
  <si>
    <t>LANCET. RESPIRATORY MEDICINE</t>
  </si>
  <si>
    <t>Lancet Respir Med</t>
  </si>
  <si>
    <t>22132619</t>
  </si>
  <si>
    <t>9808285</t>
  </si>
  <si>
    <t>Langenbeck's archives of surgery / Deutsche Gesellschaft für Chirurgie</t>
  </si>
  <si>
    <t>LANGENBECK'S ARCHIVES OF SURGERY / DEUTSCHE GESELLSCHAFT FUR CHIRURGIE</t>
  </si>
  <si>
    <t>Langenbecks Arch Surg</t>
  </si>
  <si>
    <t>Continues: Langenbecks Archiv für Chirurgie.</t>
  </si>
  <si>
    <t>9882736</t>
  </si>
  <si>
    <t>Langmuir : the ACS journal of surfaces and colloids</t>
  </si>
  <si>
    <t>LANGMUIR : THE ACS JOURNAL OF SURFACES AND COLLOIDS</t>
  </si>
  <si>
    <t>Langmuir</t>
  </si>
  <si>
    <t>15205827</t>
  </si>
  <si>
    <t>07437463</t>
  </si>
  <si>
    <t>Biweekly, &lt;Apr. 3, 1996-&gt;</t>
  </si>
  <si>
    <t>2985214R</t>
  </si>
  <si>
    <t>Language and speech</t>
  </si>
  <si>
    <t>LANGUAGE AND SPEECH</t>
  </si>
  <si>
    <t>Lang Speech</t>
  </si>
  <si>
    <t>17566053</t>
  </si>
  <si>
    <t>00238309</t>
  </si>
  <si>
    <t>0323431</t>
  </si>
  <si>
    <t>Language, speech, and hearing services in schools</t>
  </si>
  <si>
    <t>LANGUAGE, SPEECH, AND HEARING SERVICES IN SCHOOLS</t>
  </si>
  <si>
    <t>Lang Speech Hear Serv Sch</t>
  </si>
  <si>
    <t>Continues: Speech and hearing services in schools.</t>
  </si>
  <si>
    <t>15589129</t>
  </si>
  <si>
    <t>01611461</t>
  </si>
  <si>
    <t>American Speech and Hearing Association</t>
  </si>
  <si>
    <t>Audiology#Health Services#Speech-Language Pathology</t>
  </si>
  <si>
    <t>8912371</t>
  </si>
  <si>
    <t>Laryngo- rhino- otologie</t>
  </si>
  <si>
    <t>LARYNGO- RHINO- OTOLOGIE</t>
  </si>
  <si>
    <t>Laryngorhinootologie</t>
  </si>
  <si>
    <t>Continues: Laryngologie, Rhinologie, Otologie.</t>
  </si>
  <si>
    <t>8607378</t>
  </si>
  <si>
    <t>The Laryngoscope</t>
  </si>
  <si>
    <t>LARYNGOSCOPE</t>
  </si>
  <si>
    <t>8611515</t>
  </si>
  <si>
    <t>Lasers in medical science</t>
  </si>
  <si>
    <t>LASERS IN MEDICAL SCIENCE</t>
  </si>
  <si>
    <t>Lasers Med Sci</t>
  </si>
  <si>
    <t>Biotechnology#Radiology</t>
  </si>
  <si>
    <t>8007168</t>
  </si>
  <si>
    <t>Lasers in surgery and medicine</t>
  </si>
  <si>
    <t>LASERS IN SURGERY AND MEDICINE</t>
  </si>
  <si>
    <t>Lasers Surg Med</t>
  </si>
  <si>
    <t>10 times a year, 1998-</t>
  </si>
  <si>
    <t>General Surgery#Therapeutics</t>
  </si>
  <si>
    <t>9005665</t>
  </si>
  <si>
    <t>Lasers in surgery and medicine. Supplement</t>
  </si>
  <si>
    <t>LASERS IN SURGERY AND MEDICINE. SUPPLEMENT</t>
  </si>
  <si>
    <t>Lasers Surg Med Suppl</t>
  </si>
  <si>
    <t>10509267</t>
  </si>
  <si>
    <t>9609064</t>
  </si>
  <si>
    <t>Laterality</t>
  </si>
  <si>
    <t>LATERALITY</t>
  </si>
  <si>
    <t>14640678</t>
  </si>
  <si>
    <t>1357650X</t>
  </si>
  <si>
    <t>7801255</t>
  </si>
  <si>
    <t>Law and human behavior</t>
  </si>
  <si>
    <t>LAW AND HUMAN BEHAVIOR</t>
  </si>
  <si>
    <t>Law Hum Behav</t>
  </si>
  <si>
    <t>1573661X</t>
  </si>
  <si>
    <t>01477307</t>
  </si>
  <si>
    <t>0403231</t>
  </si>
  <si>
    <t>LDA journal</t>
  </si>
  <si>
    <t>LDA JOURNAL</t>
  </si>
  <si>
    <t>LDA J</t>
  </si>
  <si>
    <t>Continues Journal of the Louisiana Dental Association.</t>
  </si>
  <si>
    <t>00924458</t>
  </si>
  <si>
    <t>Louisiana Dental Association</t>
  </si>
  <si>
    <t>9815837</t>
  </si>
  <si>
    <t>LDI issue brief</t>
  </si>
  <si>
    <t>LDI ISSUE BRIEF</t>
  </si>
  <si>
    <t>LDI Issue Brief</t>
  </si>
  <si>
    <t>15530671</t>
  </si>
  <si>
    <t>Leonard Davis Institute of Health Economics, University of Pennsylvania</t>
  </si>
  <si>
    <t>Nine times in the academic year</t>
  </si>
  <si>
    <t>101464443</t>
  </si>
  <si>
    <t>Leadership in health services (Bradford, England)</t>
  </si>
  <si>
    <t>LEADERSHIP IN HEALTH SERVICES (BRADFORD, ENGLAND)</t>
  </si>
  <si>
    <t>Leadersh Health Serv (Bradf Engl)</t>
  </si>
  <si>
    <t>Separated from: International journal of health care quality assurance incorporating Leadership in health services.</t>
  </si>
  <si>
    <t>17511887</t>
  </si>
  <si>
    <t>17511879</t>
  </si>
  <si>
    <t>Emerald Group Pub.</t>
  </si>
  <si>
    <t>101155056</t>
  </si>
  <si>
    <t>Learning &amp; behavior</t>
  </si>
  <si>
    <t>LEARNING &amp; BEHAVIOR</t>
  </si>
  <si>
    <t>Learn Behav</t>
  </si>
  <si>
    <t>Continues: Animal learning &amp; behavior.</t>
  </si>
  <si>
    <t>15434508</t>
  </si>
  <si>
    <t>15434494</t>
  </si>
  <si>
    <t>Behavioral Sciences#Veterinary Medicine</t>
  </si>
  <si>
    <t>9435678</t>
  </si>
  <si>
    <t>Learning &amp; memory (Cold Spring Harbor, N.Y.)</t>
  </si>
  <si>
    <t>LEARNING &amp; MEMORY (COLD SPRING HARBOR, N.Y.)</t>
  </si>
  <si>
    <t>Learn Mem</t>
  </si>
  <si>
    <t>100889186</t>
  </si>
  <si>
    <t>Legal medicine (Tokyo, Japan)</t>
  </si>
  <si>
    <t>LEGAL MEDICINE (TOKYO, JAPAN)</t>
  </si>
  <si>
    <t>Leg Med (Tokyo)</t>
  </si>
  <si>
    <t>Continues English language articles formerly published in: Nippon hōigaku zasshi.</t>
  </si>
  <si>
    <t>9425319</t>
  </si>
  <si>
    <t>Lege artis medicinae : új magyar orvosi hírmondó</t>
  </si>
  <si>
    <t>LEGE ARTIS MEDICINAE : UJ MAGYAR ORVOSI HIRMONDO</t>
  </si>
  <si>
    <t>Lege Artis Med</t>
  </si>
  <si>
    <t>08664811</t>
  </si>
  <si>
    <t>Literatura Medica Kft.</t>
  </si>
  <si>
    <t>0243711</t>
  </si>
  <si>
    <t>Leprosy review</t>
  </si>
  <si>
    <t>LEPROSY REVIEW</t>
  </si>
  <si>
    <t>Lepr Rev</t>
  </si>
  <si>
    <t>Supersedes Leprosy notes.</t>
  </si>
  <si>
    <t>03057518</t>
  </si>
  <si>
    <t>British Leprosy Relief Association</t>
  </si>
  <si>
    <t>8510094</t>
  </si>
  <si>
    <t>Letters in applied microbiology</t>
  </si>
  <si>
    <t>LETTERS IN APPLIED MICROBIOLOGY</t>
  </si>
  <si>
    <t>Lett Appl Microbiol</t>
  </si>
  <si>
    <t>Published for the Society for Applied Bacteriology by Blackwell Scientific Publications</t>
  </si>
  <si>
    <t>8704895</t>
  </si>
  <si>
    <t>LEUKEMIA</t>
  </si>
  <si>
    <t>Nature Publishing Group, Specialist Journals</t>
  </si>
  <si>
    <t>9007422</t>
  </si>
  <si>
    <t>Leukemia &amp; lymphoma</t>
  </si>
  <si>
    <t>LEUKEMIA &amp; LYMPHOMA</t>
  </si>
  <si>
    <t>Leuk Lymphoma</t>
  </si>
  <si>
    <t>10268022</t>
  </si>
  <si>
    <t>7706787</t>
  </si>
  <si>
    <t>Leukemia research</t>
  </si>
  <si>
    <t>LEUKEMIA RESEARCH</t>
  </si>
  <si>
    <t>Leuk Res</t>
  </si>
  <si>
    <t>101299403</t>
  </si>
  <si>
    <t>The Libyan journal of medicine</t>
  </si>
  <si>
    <t>LIBYAN JOURNAL OF MEDICINE</t>
  </si>
  <si>
    <t>Libyan J Med</t>
  </si>
  <si>
    <t>0375521</t>
  </si>
  <si>
    <t>Life sciences</t>
  </si>
  <si>
    <t>LIFE SCIENCES</t>
  </si>
  <si>
    <t>Life Sci</t>
  </si>
  <si>
    <t>Formed by the union of Life sciences. Part 1, Physiology and pharmacology; and: Life sciences. Part 2, Biochemistry, general and molecular biology.</t>
  </si>
  <si>
    <t>Biochemistry#Biology#Physiology</t>
  </si>
  <si>
    <t>9516348</t>
  </si>
  <si>
    <t>Lifetime data analysis</t>
  </si>
  <si>
    <t>LIFETIME DATA ANALYSIS</t>
  </si>
  <si>
    <t>Lifetime Data Anal</t>
  </si>
  <si>
    <t>15729249</t>
  </si>
  <si>
    <t>13807870</t>
  </si>
  <si>
    <t>0074253</t>
  </si>
  <si>
    <t>Lijec̆nic̆ki vjesnik</t>
  </si>
  <si>
    <t>LIJECNICKI VJESNIK</t>
  </si>
  <si>
    <t>Lijec Vjesn</t>
  </si>
  <si>
    <t>00243477</t>
  </si>
  <si>
    <t>Zbor Lijecnika Hrvatske</t>
  </si>
  <si>
    <t>9601540</t>
  </si>
  <si>
    <t>Likars'ka sprava / Ministerstvo okhorony zdorov'ia Ukraïny</t>
  </si>
  <si>
    <t>LIKARS'KA SPRAVA / MINISTERSTVO OKHORONY ZDOROV'IA UKRAINY</t>
  </si>
  <si>
    <t>Lik Sprava</t>
  </si>
  <si>
    <t>Continues: Vrachebnoe delo.</t>
  </si>
  <si>
    <t>10195297</t>
  </si>
  <si>
    <t>Zdorov'ia</t>
  </si>
  <si>
    <t>101303164</t>
  </si>
  <si>
    <t>Lin chuang er bi yan hou tou jing wai ke za zhi = Journal of clinical otorhinolaryngology, head, and neck surgery</t>
  </si>
  <si>
    <t>LIN CHUANG ER BI YAN HOU TOU JING WAI KE ZA ZHI = JOURNAL OF CLINICAL OTORHINOLARYNGOLOGY, HEAD, AND NECK SURGERY</t>
  </si>
  <si>
    <t>Lin Chung Er Bi Yan Hou Tou Jing Wai Ke Za Zhi</t>
  </si>
  <si>
    <t>Continues: Lin chuang er bi yan hou ke za zhi.</t>
  </si>
  <si>
    <t>10011781</t>
  </si>
  <si>
    <t>Lin chuang er bi yan hou tou jing wai ke za zhi bain ji bu</t>
  </si>
  <si>
    <t>0060450</t>
  </si>
  <si>
    <t>LIPIDS</t>
  </si>
  <si>
    <t>American Oil Chemists' Society</t>
  </si>
  <si>
    <t>101147696</t>
  </si>
  <si>
    <t>Lipids in health and disease</t>
  </si>
  <si>
    <t>LIPIDS IN HEALTH AND DISEASE</t>
  </si>
  <si>
    <t>Lipids Health Dis</t>
  </si>
  <si>
    <t>8309346</t>
  </si>
  <si>
    <t>Literature and medicine</t>
  </si>
  <si>
    <t>LITERATURE AND MEDICINE</t>
  </si>
  <si>
    <t>Lit Med</t>
  </si>
  <si>
    <t>10806571</t>
  </si>
  <si>
    <t>02789671</t>
  </si>
  <si>
    <t>Semiannual, 1992-</t>
  </si>
  <si>
    <t>101160857</t>
  </si>
  <si>
    <t>Liver international : official journal of the International Association for the Study of the Liver</t>
  </si>
  <si>
    <t>LIVER INTERNATIONAL : OFFICIAL JOURNAL OF THE INTERNATIONAL ASSOCIATION FOR THE STUDY OF THE LIVER</t>
  </si>
  <si>
    <t>Liver Int</t>
  </si>
  <si>
    <t>Continues: Liver.</t>
  </si>
  <si>
    <t>100909185</t>
  </si>
  <si>
    <t>Liver transplantation : official publication of the American Association for the Study of Liver Diseases and the International Liver Transplantation Society</t>
  </si>
  <si>
    <t>LIVER TRANSPLANTATION : OFFICIAL PUBLICATION OF THE AMERICAN ASSOCIATION FOR THE STUDY OF LIVER DISEASES AND THE INTERNATIONAL LIVER TRANSPLANTATION SOCIETY</t>
  </si>
  <si>
    <t>Liver Transpl</t>
  </si>
  <si>
    <t>Continues: Liver transplantation and surgery.</t>
  </si>
  <si>
    <t>Gastroenterology#Transplantation</t>
  </si>
  <si>
    <t>0211167</t>
  </si>
  <si>
    <t>Local population studies</t>
  </si>
  <si>
    <t>LOCAL POPULATION STUDIES</t>
  </si>
  <si>
    <t>Local Popul Stud</t>
  </si>
  <si>
    <t>01432974</t>
  </si>
  <si>
    <t>Cambridge Group for the History of Population and Social Structure</t>
  </si>
  <si>
    <t>Epidemiology#History of Medicine</t>
  </si>
  <si>
    <t>9617311</t>
  </si>
  <si>
    <t>Logopedics, phoniatrics, vocology</t>
  </si>
  <si>
    <t>LOGOPEDICS, PHONIATRICS, VOCOLOGY</t>
  </si>
  <si>
    <t>Logoped Phoniatr Vocol</t>
  </si>
  <si>
    <t>Merger of: Scandinavian journal of logopedics &amp; phoniatrics, and: Voice (London, England).</t>
  </si>
  <si>
    <t>16512022</t>
  </si>
  <si>
    <t>14015439</t>
  </si>
  <si>
    <t>100889025</t>
  </si>
  <si>
    <t>Luminescence : the journal of biological and chemical luminescence</t>
  </si>
  <si>
    <t>LUMINESCENCE : THE JOURNAL OF BIOLOGICAL AND CHEMICAL LUMINESCENCE</t>
  </si>
  <si>
    <t>Luminescence</t>
  </si>
  <si>
    <t>Continues: Journal of bioluminescence and chemiluminescence.</t>
  </si>
  <si>
    <t>15227243</t>
  </si>
  <si>
    <t>15227235</t>
  </si>
  <si>
    <t>7701875</t>
  </si>
  <si>
    <t>LUNG</t>
  </si>
  <si>
    <t>Continues: Pneumonologie.</t>
  </si>
  <si>
    <t>8800805</t>
  </si>
  <si>
    <t>Lung cancer (Amsterdam, Netherlands)</t>
  </si>
  <si>
    <t>LUNG CANCER (AMSTERDAM, NETHERLANDS)</t>
  </si>
  <si>
    <t>9204265</t>
  </si>
  <si>
    <t>LUPUS</t>
  </si>
  <si>
    <t>9214703</t>
  </si>
  <si>
    <t>Luzifer-Amor : Zeitschrift zur Geschichte der Psychoanalyse</t>
  </si>
  <si>
    <t>LUZIFER-AMOR : ZEITSCHRIFT ZUR GESCHICHTE DER PSYCHOANALYSE</t>
  </si>
  <si>
    <t>Luzif Amor</t>
  </si>
  <si>
    <t>09333347</t>
  </si>
  <si>
    <t>Edition Diskord</t>
  </si>
  <si>
    <t>101163587</t>
  </si>
  <si>
    <t>Lymphatic research and biology</t>
  </si>
  <si>
    <t>LYMPHATIC RESEARCH AND BIOLOGY</t>
  </si>
  <si>
    <t>Lymphat Res Biol</t>
  </si>
  <si>
    <t>0155112</t>
  </si>
  <si>
    <t>LYMPHOLOGY</t>
  </si>
  <si>
    <t>International Society Of Lymphology</t>
  </si>
  <si>
    <t>101479829</t>
  </si>
  <si>
    <t>MABS</t>
  </si>
  <si>
    <t>MAbs</t>
  </si>
  <si>
    <t>101135941</t>
  </si>
  <si>
    <t>Macromolecular bioscience</t>
  </si>
  <si>
    <t>MACROMOLECULAR BIOSCIENCE</t>
  </si>
  <si>
    <t>Macromol Biosci</t>
  </si>
  <si>
    <t>9888239</t>
  </si>
  <si>
    <t>Macromolecular rapid communications</t>
  </si>
  <si>
    <t>MACROMOLECULAR RAPID COMMUNICATIONS</t>
  </si>
  <si>
    <t>Macromol Rapid Commun</t>
  </si>
  <si>
    <t>Continues: Makromolekulare Chemie. Rapid communications.</t>
  </si>
  <si>
    <t>15213927</t>
  </si>
  <si>
    <t>10221336</t>
  </si>
  <si>
    <t>9310752</t>
  </si>
  <si>
    <t>Magma (New York, N.Y.)</t>
  </si>
  <si>
    <t>MAGMA (NEW YORK, N.Y.)</t>
  </si>
  <si>
    <t>MAGMA</t>
  </si>
  <si>
    <t>13528661</t>
  </si>
  <si>
    <t>09685243</t>
  </si>
  <si>
    <t>8900948</t>
  </si>
  <si>
    <t>Magnesium research : official organ of the International Society for the Development of Research on Magnesium</t>
  </si>
  <si>
    <t>MAGNESIUM RESEARCH : OFFICIAL ORGAN OF THE INTERNATIONAL SOCIETY FOR THE DEVELOPMENT OF RESEARCH ON MAGNESIUM</t>
  </si>
  <si>
    <t>Magnes Res</t>
  </si>
  <si>
    <t>John Libbey And Company</t>
  </si>
  <si>
    <t>Drug Therapy#Metabolism#Pharmacology</t>
  </si>
  <si>
    <t>8214883</t>
  </si>
  <si>
    <t>Magnetic resonance imaging</t>
  </si>
  <si>
    <t>MAGNETIC RESONANCE IMAGING</t>
  </si>
  <si>
    <t>Magn Reson Imaging</t>
  </si>
  <si>
    <t>9422762</t>
  </si>
  <si>
    <t>Magnetic resonance imaging clinics of North America</t>
  </si>
  <si>
    <t>MAGNETIC RESONANCE IMAGING CLINICS OF NORTH AMERICA</t>
  </si>
  <si>
    <t>Magn Reson Imaging Clin N Am</t>
  </si>
  <si>
    <t>9882600</t>
  </si>
  <si>
    <t>Magnetic resonance in chemistry : MRC</t>
  </si>
  <si>
    <t>MAGNETIC RESONANCE IN CHEMISTRY : MRC</t>
  </si>
  <si>
    <t>Magn Reson Chem</t>
  </si>
  <si>
    <t>Continues: OMR. Organic magnetic resonance.</t>
  </si>
  <si>
    <t>1097458X</t>
  </si>
  <si>
    <t>07491581</t>
  </si>
  <si>
    <t>Wiley Heyden</t>
  </si>
  <si>
    <t>101153368</t>
  </si>
  <si>
    <t>Magnetic resonance in medical sciences : MRMS : an official journal of Japan Society of Magnetic Resonance in Medicine</t>
  </si>
  <si>
    <t>MAGNETIC RESONANCE IN MEDICAL SCIENCES : MRMS : AN OFFICIAL JOURNAL OF JAPAN SOCIETY OF MAGNETIC RESONANCE IN MEDICINE</t>
  </si>
  <si>
    <t>Magn Reson Med Sci</t>
  </si>
  <si>
    <t>18802206</t>
  </si>
  <si>
    <t>13473182</t>
  </si>
  <si>
    <t>Japan Society of Magnetic Resonance in Medicine</t>
  </si>
  <si>
    <t>8505245</t>
  </si>
  <si>
    <t>Magnetic resonance in medicine : official journal of the Society of Magnetic Resonance in Medicine / Society of Magnetic Resonance in Medicine</t>
  </si>
  <si>
    <t>MAGNETIC RESONANCE IN MEDICINE : OFFICIAL JOURNAL OF THE SOCIETY OF MAGNETIC RESONANCE IN MEDICINE / SOCIETY OF MAGNETIC RESONANCE IN MEDICINE</t>
  </si>
  <si>
    <t>Magn Reson Med</t>
  </si>
  <si>
    <t>Wiley-Liss, Inc., a division of John Wiley &amp; Sons, Inc.</t>
  </si>
  <si>
    <t>Twelve no. a year, 1987-</t>
  </si>
  <si>
    <t>9313833</t>
  </si>
  <si>
    <t>Magyar onkologia</t>
  </si>
  <si>
    <t>MAGYAR ONKOLOGIA</t>
  </si>
  <si>
    <t>Magy Onkol</t>
  </si>
  <si>
    <t>Magyar Onkológusok Társasága</t>
  </si>
  <si>
    <t>Five no. a year, 2001-</t>
  </si>
  <si>
    <t>18420110R</t>
  </si>
  <si>
    <t>Magyar sebészet</t>
  </si>
  <si>
    <t>MAGYAR SEBESZET</t>
  </si>
  <si>
    <t>Magy Seb</t>
  </si>
  <si>
    <t>Absorbed: Acta chirurgica Hungarica. 2000 Continues: Archivum chirurgicum..</t>
  </si>
  <si>
    <t>17894301</t>
  </si>
  <si>
    <t>00250295</t>
  </si>
  <si>
    <t>Ifjúsági Lapkiadó Vállalat.</t>
  </si>
  <si>
    <t>101139802</t>
  </si>
  <si>
    <t>Malaria journal</t>
  </si>
  <si>
    <t>MALARIA JOURNAL</t>
  </si>
  <si>
    <t>Malar J</t>
  </si>
  <si>
    <t>9500170</t>
  </si>
  <si>
    <t>Malawi medical journal : the journal of Medical Association of Malawi</t>
  </si>
  <si>
    <t>MALAWI MEDICAL JOURNAL : THE JOURNAL OF MEDICAL ASSOCIATION OF MALAWI</t>
  </si>
  <si>
    <t>Malawi Med J</t>
  </si>
  <si>
    <t>19957270</t>
  </si>
  <si>
    <t>19957262</t>
  </si>
  <si>
    <t>Published by Montfort Press for the Medical Association of Malawi</t>
  </si>
  <si>
    <t>Malawi</t>
  </si>
  <si>
    <t>101286655</t>
  </si>
  <si>
    <t>Malaysian journal of nutrition</t>
  </si>
  <si>
    <t>MALAYSIAN JOURNAL OF NUTRITION</t>
  </si>
  <si>
    <t>Malays J Nutr</t>
  </si>
  <si>
    <t>1394035X</t>
  </si>
  <si>
    <t>Persatuan Pemakanan Malaysia</t>
  </si>
  <si>
    <t>Malaysia</t>
  </si>
  <si>
    <t>8101177</t>
  </si>
  <si>
    <t>The Malaysian journal of pathology</t>
  </si>
  <si>
    <t>MALAYSIAN JOURNAL OF PATHOLOGY</t>
  </si>
  <si>
    <t>Malays J Pathol</t>
  </si>
  <si>
    <t>Academy of Medicine of Malyasia, College of Pathologists</t>
  </si>
  <si>
    <t>18420390R</t>
  </si>
  <si>
    <t>Le Mali médical</t>
  </si>
  <si>
    <t>MALI MEDICAL</t>
  </si>
  <si>
    <t>Mali Med</t>
  </si>
  <si>
    <t>19930836</t>
  </si>
  <si>
    <t>04647874</t>
  </si>
  <si>
    <t>Société médicale du Mali.</t>
  </si>
  <si>
    <t>Mali</t>
  </si>
  <si>
    <t>9100916</t>
  </si>
  <si>
    <t>Mammalian genome : official journal of the International Mammalian Genome Society</t>
  </si>
  <si>
    <t>MAMMALIAN GENOME : OFFICIAL JOURNAL OF THE INTERNATIONAL MAMMALIAN GENOME SOCIETY</t>
  </si>
  <si>
    <t>Mamm Genome</t>
  </si>
  <si>
    <t>Absorbed: Mouse genome. Jan. 1998</t>
  </si>
  <si>
    <t>9303583</t>
  </si>
  <si>
    <t>Managed care (Langhorne, Pa.)</t>
  </si>
  <si>
    <t>MANAGED CARE (LANGHORNE, PA.)</t>
  </si>
  <si>
    <t>Manag Care</t>
  </si>
  <si>
    <t>10623388</t>
  </si>
  <si>
    <t>MediMedia USA</t>
  </si>
  <si>
    <t>9715194</t>
  </si>
  <si>
    <t>Managed care interface</t>
  </si>
  <si>
    <t>MANAGED CARE INTERFACE</t>
  </si>
  <si>
    <t>Manag Care Interface</t>
  </si>
  <si>
    <t>Continues: Medical interface.</t>
  </si>
  <si>
    <t>10965645</t>
  </si>
  <si>
    <t>Medicom International</t>
  </si>
  <si>
    <t>9610924</t>
  </si>
  <si>
    <t>Manual therapy</t>
  </si>
  <si>
    <t>MANUAL THERAPY</t>
  </si>
  <si>
    <t>Man Ther</t>
  </si>
  <si>
    <t>8413234</t>
  </si>
  <si>
    <t>Marburger Schriften zur Medizingeschichte</t>
  </si>
  <si>
    <t>MARBURGER SCHRIFTEN ZUR MEDIZINGESCHICHTE</t>
  </si>
  <si>
    <t>Marbg Schrift Medgesch</t>
  </si>
  <si>
    <t>07213859</t>
  </si>
  <si>
    <t>Lang</t>
  </si>
  <si>
    <t>100892712</t>
  </si>
  <si>
    <t>Marine biotechnology (New York, N.Y.)</t>
  </si>
  <si>
    <t>MARINE BIOTECHNOLOGY (NEW YORK, N.Y.)</t>
  </si>
  <si>
    <t>Mar Biotechnol (NY)</t>
  </si>
  <si>
    <t>Formed by the merger of: Journal of marine biotechnology, and: Molecular marine biology and biotechnology.</t>
  </si>
  <si>
    <t>14362236</t>
  </si>
  <si>
    <t>14362228</t>
  </si>
  <si>
    <t>Biology#Biotechnology</t>
  </si>
  <si>
    <t>101213729</t>
  </si>
  <si>
    <t>Marine drugs</t>
  </si>
  <si>
    <t>MARINE DRUGS</t>
  </si>
  <si>
    <t>Mar Drugs</t>
  </si>
  <si>
    <t>Biology#Pharmacology</t>
  </si>
  <si>
    <t>9882895</t>
  </si>
  <si>
    <t>Marine environmental research</t>
  </si>
  <si>
    <t>MARINE ENVIRONMENTAL RESEARCH</t>
  </si>
  <si>
    <t>Mar Environ Res</t>
  </si>
  <si>
    <t>Biology#Environmental Health#Toxicology</t>
  </si>
  <si>
    <t>101475200</t>
  </si>
  <si>
    <t>Marine genomics</t>
  </si>
  <si>
    <t>MARINE GENOMICS</t>
  </si>
  <si>
    <t>Mar Genomics</t>
  </si>
  <si>
    <t>18767478</t>
  </si>
  <si>
    <t>18747787</t>
  </si>
  <si>
    <t>0260231</t>
  </si>
  <si>
    <t>Marine pollution bulletin</t>
  </si>
  <si>
    <t>MARINE POLLUTION BULLETIN</t>
  </si>
  <si>
    <t>Mar Pollut Bull</t>
  </si>
  <si>
    <t>Twenty four no. a year, 1992-</t>
  </si>
  <si>
    <t>9891646</t>
  </si>
  <si>
    <t>Marketing health services</t>
  </si>
  <si>
    <t>MARKETING HEALTH SERVICES</t>
  </si>
  <si>
    <t>Mark Health Serv</t>
  </si>
  <si>
    <t>Continues: Journal of health care marketing.</t>
  </si>
  <si>
    <t>10941304</t>
  </si>
  <si>
    <t>American Marketing Association</t>
  </si>
  <si>
    <t>100931679</t>
  </si>
  <si>
    <t>Maryland medicine : MM : a publication of MEDCHI, the Maryland State Medical Society</t>
  </si>
  <si>
    <t>MARYLAND MEDICINE : MM : A PUBLICATION OF MEDCHI, THE MARYLAND STATE MEDICAL SOCIETY</t>
  </si>
  <si>
    <t>Md Med</t>
  </si>
  <si>
    <t>Merger of: Maryland medical journal (Baltimore, Md.: 1985), and: Montgomery medicine.</t>
  </si>
  <si>
    <t>15382656</t>
  </si>
  <si>
    <t>8219702</t>
  </si>
  <si>
    <t>Mass spectrometry reviews</t>
  </si>
  <si>
    <t>MASS SPECTROMETRY REVIEWS</t>
  </si>
  <si>
    <t>Mass Spectrom Rev</t>
  </si>
  <si>
    <t>10982787</t>
  </si>
  <si>
    <t>02777037</t>
  </si>
  <si>
    <t>0413707</t>
  </si>
  <si>
    <t>Masui. The Japanese journal of anesthesiology</t>
  </si>
  <si>
    <t>MASUI. THE JAPANESE JOURNAL OF ANESTHESIOLOGY</t>
  </si>
  <si>
    <t>Masui</t>
  </si>
  <si>
    <t>Nippon Masui Gakki</t>
  </si>
  <si>
    <t>9304859</t>
  </si>
  <si>
    <t>Materials management in health care</t>
  </si>
  <si>
    <t>MATERIALS MANAGEMENT IN HEALTH CARE</t>
  </si>
  <si>
    <t>Mater Manag Health Care</t>
  </si>
  <si>
    <t>10594531</t>
  </si>
  <si>
    <t>101484109</t>
  </si>
  <si>
    <t>Materials science &amp; engineering. C, Materials for biological applications</t>
  </si>
  <si>
    <t>MATERIALS SCIENCE &amp; ENGINEERING. C, MATERIALS FOR BIOLOGICAL APPLICATIONS</t>
  </si>
  <si>
    <t>Mater Sci Eng C Mater Biol Appl</t>
  </si>
  <si>
    <t>Continues: Materials science &amp; engineering. C, Biomimetic and supramolecular systems.</t>
  </si>
  <si>
    <t>18730191</t>
  </si>
  <si>
    <t>09284931</t>
  </si>
  <si>
    <t>Eight times a year (monthly except Feb., June, Sept., and Nov.)</t>
  </si>
  <si>
    <t>101201025</t>
  </si>
  <si>
    <t>Maternal &amp; child nutrition</t>
  </si>
  <si>
    <t>MATERNAL &amp; CHILD NUTRITION</t>
  </si>
  <si>
    <t>Matern Child Nutr</t>
  </si>
  <si>
    <t>Nutritional Sciences#Perinatology</t>
  </si>
  <si>
    <t>9715672</t>
  </si>
  <si>
    <t>Maternal and child health journal</t>
  </si>
  <si>
    <t>MATERNAL AND CHILD HEALTH JOURNAL</t>
  </si>
  <si>
    <t>Matern Child Health J</t>
  </si>
  <si>
    <t>15736628</t>
  </si>
  <si>
    <t>10927875</t>
  </si>
  <si>
    <t>0103146</t>
  </si>
  <si>
    <t>Mathematical biosciences</t>
  </si>
  <si>
    <t>MATHEMATICAL BIOSCIENCES</t>
  </si>
  <si>
    <t>Math Biosci</t>
  </si>
  <si>
    <t>American Elsevier.</t>
  </si>
  <si>
    <t>101197794</t>
  </si>
  <si>
    <t>Mathematical biosciences and engineering : MBE</t>
  </si>
  <si>
    <t>MATHEMATICAL BIOSCIENCES AND ENGINEERING : MBE</t>
  </si>
  <si>
    <t>Math Biosci Eng</t>
  </si>
  <si>
    <t>15510018</t>
  </si>
  <si>
    <t>15471063</t>
  </si>
  <si>
    <t>American Institute of Mathematical Sciences</t>
  </si>
  <si>
    <t>101182345</t>
  </si>
  <si>
    <t>Mathematical medicine and biology : a journal of the IMA</t>
  </si>
  <si>
    <t>MATHEMATICAL MEDICINE AND BIOLOGY : A JOURNAL OF THE IMA</t>
  </si>
  <si>
    <t>Math Med Biol</t>
  </si>
  <si>
    <t>Continues: IMA journal of mathematics applied in medicine and biology.</t>
  </si>
  <si>
    <t>14778602</t>
  </si>
  <si>
    <t>14778599</t>
  </si>
  <si>
    <t>Published for the Institute of Mathematics and its Applications by Oxford University Press</t>
  </si>
  <si>
    <t>9432592</t>
  </si>
  <si>
    <t>Matrix biology : journal of the International Society for Matrix Biology</t>
  </si>
  <si>
    <t>MATRIX BIOLOGY : JOURNAL OF THE INTERNATIONAL SOCIETY FOR MATRIX BIOLOGY</t>
  </si>
  <si>
    <t>Matrix Biol</t>
  </si>
  <si>
    <t>Continues: Matrix (Stuttgart, Germany).</t>
  </si>
  <si>
    <t>7807333</t>
  </si>
  <si>
    <t>MATURITAS</t>
  </si>
  <si>
    <t>Absorbed: European menopause journal. 1998</t>
  </si>
  <si>
    <t>8507508</t>
  </si>
  <si>
    <t>Mayo Clinic health letter (English ed.)</t>
  </si>
  <si>
    <t>MAYO CLINIC HEALTH LETTER (ENGLISH ED.)</t>
  </si>
  <si>
    <t>Mayo Clin Health Lett</t>
  </si>
  <si>
    <t>07416245</t>
  </si>
  <si>
    <t>Mayo Foundation for Medical Education and Research</t>
  </si>
  <si>
    <t>0405543</t>
  </si>
  <si>
    <t>Mayo Clinic proceedings</t>
  </si>
  <si>
    <t>MAYO CLINIC PROCEEDINGS</t>
  </si>
  <si>
    <t>Mayo Clin Proc</t>
  </si>
  <si>
    <t>Continues: Proceedings of the staff meetings of the Mayo Clinic. Mayo Clinic.</t>
  </si>
  <si>
    <t>19425546</t>
  </si>
  <si>
    <t>[Oxford, England]</t>
  </si>
  <si>
    <t>101519231</t>
  </si>
  <si>
    <t>MBIO</t>
  </si>
  <si>
    <t>MBio</t>
  </si>
  <si>
    <t>7605941</t>
  </si>
  <si>
    <t>MCN. The American journal of maternal child nursing</t>
  </si>
  <si>
    <t>MCN. THE AMERICAN JOURNAL OF MATERNAL CHILD NURSING</t>
  </si>
  <si>
    <t>MCN Am J Matern Child Nurs</t>
  </si>
  <si>
    <t>15390683</t>
  </si>
  <si>
    <t>0361929X</t>
  </si>
  <si>
    <t>101522608</t>
  </si>
  <si>
    <t>MD advisor : a journal for New Jersey medical community</t>
  </si>
  <si>
    <t>MD ADVISOR : A JOURNAL FOR NEW JERSEY MEDICAL COMMUNITY</t>
  </si>
  <si>
    <t>MD Advis</t>
  </si>
  <si>
    <t>19473613</t>
  </si>
  <si>
    <t>19370660</t>
  </si>
  <si>
    <t>MDAdvantage Insurance Co. of New Jersey</t>
  </si>
  <si>
    <t>101160862</t>
  </si>
  <si>
    <t>Meat science</t>
  </si>
  <si>
    <t>MEAT SCIENCE</t>
  </si>
  <si>
    <t>Meat Sci</t>
  </si>
  <si>
    <t>18734138</t>
  </si>
  <si>
    <t>03091740</t>
  </si>
  <si>
    <t>0347227</t>
  </si>
  <si>
    <t>Mechanisms of ageing and development</t>
  </si>
  <si>
    <t>MECHANISMS OF AGEING AND DEVELOPMENT</t>
  </si>
  <si>
    <t>Mech Ageing Dev</t>
  </si>
  <si>
    <t>Continued in part by: Ageing research reviews.</t>
  </si>
  <si>
    <t>9101218</t>
  </si>
  <si>
    <t>Mechanisms of development</t>
  </si>
  <si>
    <t>MECHANISMS OF DEVELOPMENT</t>
  </si>
  <si>
    <t>Mech Dev</t>
  </si>
  <si>
    <t>Continues: Cell differentiation and development.</t>
  </si>
  <si>
    <t>Twenty-four no. a year 2003-</t>
  </si>
  <si>
    <t>0311416</t>
  </si>
  <si>
    <t>Médecine et maladies infectieuses</t>
  </si>
  <si>
    <t>MEDECINE ET MALADIES INFECTIEUSES</t>
  </si>
  <si>
    <t>Med Mal Infect</t>
  </si>
  <si>
    <t>Fourteen no. a year, 2011-</t>
  </si>
  <si>
    <t>Communicable Diseases#Medicine</t>
  </si>
  <si>
    <t>101581406</t>
  </si>
  <si>
    <t>Médecine et santé tropicales</t>
  </si>
  <si>
    <t>MEDECINE ET SANTE TROPICALES</t>
  </si>
  <si>
    <t>Med Sante Trop</t>
  </si>
  <si>
    <t>Formed by the union of: Santé; and Médecine tropicale , and continues the numbering of the former.</t>
  </si>
  <si>
    <t>22612211</t>
  </si>
  <si>
    <t>22613684</t>
  </si>
  <si>
    <t>8710980</t>
  </si>
  <si>
    <t>Médecine sciences : M/S</t>
  </si>
  <si>
    <t>MEDECINE SCIENCES : M/S</t>
  </si>
  <si>
    <t>Med Sci (Paris)</t>
  </si>
  <si>
    <t>19585381</t>
  </si>
  <si>
    <t>07670974</t>
  </si>
  <si>
    <t>EDK</t>
  </si>
  <si>
    <t>10 no. a year, 2003-</t>
  </si>
  <si>
    <t>9209001</t>
  </si>
  <si>
    <t>Mediators of inflammation</t>
  </si>
  <si>
    <t>MEDIATORS OF INFLAMMATION</t>
  </si>
  <si>
    <t>Mediators Inflamm</t>
  </si>
  <si>
    <t>Biochemistry#Pathology</t>
  </si>
  <si>
    <t>7704869</t>
  </si>
  <si>
    <t>Medical &amp; biological engineering &amp; computing</t>
  </si>
  <si>
    <t>MEDICAL &amp; BIOLOGICAL ENGINEERING &amp; COMPUTING</t>
  </si>
  <si>
    <t>Med Biol Eng Comput</t>
  </si>
  <si>
    <t>Absorbed: Cellular engineering. Continues: Medical &amp; biological engineering.</t>
  </si>
  <si>
    <t>17410444</t>
  </si>
  <si>
    <t>8305678</t>
  </si>
  <si>
    <t>Medical and pediatric oncology. Supplement</t>
  </si>
  <si>
    <t>MEDICAL AND PEDIATRIC ONCOLOGY. SUPPLEMENT</t>
  </si>
  <si>
    <t>Med Pediatr Oncol Suppl</t>
  </si>
  <si>
    <t>07408226</t>
  </si>
  <si>
    <t>Decennial</t>
  </si>
  <si>
    <t>Neoplasms#Pediatrics</t>
  </si>
  <si>
    <t>8708682</t>
  </si>
  <si>
    <t>Medical and veterinary entomology</t>
  </si>
  <si>
    <t>MEDICAL AND VETERINARY ENTOMOLOGY</t>
  </si>
  <si>
    <t>Med Vet Entomol</t>
  </si>
  <si>
    <t>13652915</t>
  </si>
  <si>
    <t>0269283X</t>
  </si>
  <si>
    <t>Published for the Royal Entomological Society of London by Blackwell Scientific Publications</t>
  </si>
  <si>
    <t>7707343</t>
  </si>
  <si>
    <t>Medical anthropology</t>
  </si>
  <si>
    <t>MEDICAL ANTHROPOLOGY</t>
  </si>
  <si>
    <t>Med Anthropol</t>
  </si>
  <si>
    <t>15455882</t>
  </si>
  <si>
    <t>01459740</t>
  </si>
  <si>
    <t>8405037</t>
  </si>
  <si>
    <t>Medical anthropology quarterly</t>
  </si>
  <si>
    <t>MEDICAL ANTHROPOLOGY QUARTERLY</t>
  </si>
  <si>
    <t>Med Anthropol Q</t>
  </si>
  <si>
    <t>Continues: Medical anthropology newsletter.</t>
  </si>
  <si>
    <t>07455194</t>
  </si>
  <si>
    <t>Society for Medical Anthropology</t>
  </si>
  <si>
    <t>0230027</t>
  </si>
  <si>
    <t>Medical care</t>
  </si>
  <si>
    <t>MEDICAL CARE</t>
  </si>
  <si>
    <t>Med Care</t>
  </si>
  <si>
    <t>9506850</t>
  </si>
  <si>
    <t>Medical care research and review : MCRR</t>
  </si>
  <si>
    <t>MEDICAL CARE RESEARCH AND REVIEW : MCRR</t>
  </si>
  <si>
    <t>Med Care Res Rev</t>
  </si>
  <si>
    <t>Continues: Medical care review.</t>
  </si>
  <si>
    <t>2985236R</t>
  </si>
  <si>
    <t>The Medical clinics of North America</t>
  </si>
  <si>
    <t>MEDICAL CLINICS OF NORTH AMERICA</t>
  </si>
  <si>
    <t>Med Clin North Am</t>
  </si>
  <si>
    <t>Continues: Medical clinics of Chicago.</t>
  </si>
  <si>
    <t>8109073</t>
  </si>
  <si>
    <t>Medical decision making : an international journal of the Society for Medical Decision Making</t>
  </si>
  <si>
    <t>MEDICAL DECISION MAKING : AN INTERNATIONAL JOURNAL OF THE SOCIETY FOR MEDICAL DECISION MAKING</t>
  </si>
  <si>
    <t>Med Decis Making</t>
  </si>
  <si>
    <t>1552681X</t>
  </si>
  <si>
    <t>0272989X</t>
  </si>
  <si>
    <t>Health Services Research#Medical Informatics</t>
  </si>
  <si>
    <t>8908862</t>
  </si>
  <si>
    <t>Medical dosimetry : official journal of the American Association of Medical Dosimetrists</t>
  </si>
  <si>
    <t>MEDICAL DOSIMETRY : OFFICIAL JOURNAL OF THE AMERICAN ASSOCIATION OF MEDICAL DOSIMETRISTS</t>
  </si>
  <si>
    <t>Med Dosim</t>
  </si>
  <si>
    <t>Continues: Journal (American Association of Medical Dosimetrists).</t>
  </si>
  <si>
    <t>2985239R</t>
  </si>
  <si>
    <t>Medical economics</t>
  </si>
  <si>
    <t>MEDICAL ECONOMICS</t>
  </si>
  <si>
    <t>Med Econ</t>
  </si>
  <si>
    <t>21507155</t>
  </si>
  <si>
    <t>00257206</t>
  </si>
  <si>
    <t>Medical Economics</t>
  </si>
  <si>
    <t>7605655</t>
  </si>
  <si>
    <t>Medical education</t>
  </si>
  <si>
    <t>MEDICAL EDUCATION</t>
  </si>
  <si>
    <t>Med Educ</t>
  </si>
  <si>
    <t>Some articles digested in: Clinical teacher, 2004-</t>
  </si>
  <si>
    <t>13652923</t>
  </si>
  <si>
    <t>03080110</t>
  </si>
  <si>
    <t>9806550</t>
  </si>
  <si>
    <t>Medical education online</t>
  </si>
  <si>
    <t>MEDICAL EDUCATION ONLINE</t>
  </si>
  <si>
    <t>Med Educ Online</t>
  </si>
  <si>
    <t>10872981</t>
  </si>
  <si>
    <t>9422753</t>
  </si>
  <si>
    <t>Medical engineering &amp; physics</t>
  </si>
  <si>
    <t>MEDICAL ENGINEERING &amp; PHYSICS</t>
  </si>
  <si>
    <t>Med Eng Phys</t>
  </si>
  <si>
    <t>Continues: Journal of biomedical engineering.</t>
  </si>
  <si>
    <t>Ten no. a year, 1998-</t>
  </si>
  <si>
    <t>0401052</t>
  </si>
  <si>
    <t>Medical history</t>
  </si>
  <si>
    <t>MEDICAL HISTORY</t>
  </si>
  <si>
    <t>Med Hist</t>
  </si>
  <si>
    <t>00257273</t>
  </si>
  <si>
    <t>100959585</t>
  </si>
  <si>
    <t>Medical humanities</t>
  </si>
  <si>
    <t>MEDICAL HUMANITIES</t>
  </si>
  <si>
    <t>Med Humanit</t>
  </si>
  <si>
    <t>Split off from Journal of medical ethics and assumed its vol. numbering.</t>
  </si>
  <si>
    <t>14734265</t>
  </si>
  <si>
    <t>1468215X</t>
  </si>
  <si>
    <t>7505668</t>
  </si>
  <si>
    <t>Medical hypotheses</t>
  </si>
  <si>
    <t>MEDICAL HYPOTHESES</t>
  </si>
  <si>
    <t>Med Hypotheses</t>
  </si>
  <si>
    <t>Eden Press</t>
  </si>
  <si>
    <t>9713490</t>
  </si>
  <si>
    <t>Medical image analysis</t>
  </si>
  <si>
    <t>MEDICAL IMAGE ANALYSIS</t>
  </si>
  <si>
    <t>Med Image Anal</t>
  </si>
  <si>
    <t>101249582</t>
  </si>
  <si>
    <t>Medical image computing and computer-assisted intervention : MICCAI ... International Conference on Medical Image Computing and Computer-Assisted Intervention</t>
  </si>
  <si>
    <t>MEDICAL IMAGE COMPUTING AND COMPUTER-ASSISTED INTERVENTION : MICCAI ... INTERNATIONAL CONFERENCE ON MEDICAL IMAGE COMPUTING AND COMPUTER-ASSISTED INTERVENTION</t>
  </si>
  <si>
    <t>Med Image Comput Comput Assist Interv</t>
  </si>
  <si>
    <t>0400714</t>
  </si>
  <si>
    <t>The Medical journal of Australia</t>
  </si>
  <si>
    <t>MEDICAL JOURNAL OF AUSTRALIA</t>
  </si>
  <si>
    <t>Med J Aust</t>
  </si>
  <si>
    <t>Formed by the union of the Australasian medical gazette and the Australian medical journal.</t>
  </si>
  <si>
    <t>Australasian Medical Publishing Co.</t>
  </si>
  <si>
    <t>Twenty three no. a year, &lt;2003-&gt;</t>
  </si>
  <si>
    <t>0361547</t>
  </si>
  <si>
    <t>The Medical journal of Malaysia</t>
  </si>
  <si>
    <t>MEDICAL JOURNAL OF MALAYSIA</t>
  </si>
  <si>
    <t>Med J Malaysia</t>
  </si>
  <si>
    <t>Continues: Medical journal of Malaya.</t>
  </si>
  <si>
    <t>9308945</t>
  </si>
  <si>
    <t>Medical law review</t>
  </si>
  <si>
    <t>MEDICAL LAW REVIEW</t>
  </si>
  <si>
    <t>Med Law Rev</t>
  </si>
  <si>
    <t>14643790</t>
  </si>
  <si>
    <t>09670742</t>
  </si>
  <si>
    <t>2985240R</t>
  </si>
  <si>
    <t>The Medical letter on drugs and therapeutics</t>
  </si>
  <si>
    <t>MEDICAL LETTER ON DRUGS AND THERAPEUTICS</t>
  </si>
  <si>
    <t>Med Lett Drugs Ther</t>
  </si>
  <si>
    <t>15232859</t>
  </si>
  <si>
    <t>The Medical Letter</t>
  </si>
  <si>
    <t>Drug Therapy#Pharmacology#Therapeutics</t>
  </si>
  <si>
    <t>0314524</t>
  </si>
  <si>
    <t>Medical microbiology and immunology</t>
  </si>
  <si>
    <t>MEDICAL MICROBIOLOGY AND IMMUNOLOGY</t>
  </si>
  <si>
    <t>Med Microbiol Immunol</t>
  </si>
  <si>
    <t>101239023</t>
  </si>
  <si>
    <t>Medical molecular morphology</t>
  </si>
  <si>
    <t>MEDICAL MOLECULAR MORPHOLOGY</t>
  </si>
  <si>
    <t>Med Mol Morphol</t>
  </si>
  <si>
    <t>Continues: Medical electron microscopy.</t>
  </si>
  <si>
    <t>Cell Biology#Molecular Biology#Pathology</t>
  </si>
  <si>
    <t>9815835</t>
  </si>
  <si>
    <t>Medical mycology</t>
  </si>
  <si>
    <t>MEDICAL MYCOLOGY</t>
  </si>
  <si>
    <t>Med Mycol</t>
  </si>
  <si>
    <t>Continues: Journal of medical and veterinary mycology.</t>
  </si>
  <si>
    <t>8 no. a year, 2008-</t>
  </si>
  <si>
    <t>Microbiology#Veterinary Medicine</t>
  </si>
  <si>
    <t>101562838</t>
  </si>
  <si>
    <t>Medical mycology journal</t>
  </si>
  <si>
    <t>MEDICAL MYCOLOGY JOURNAL</t>
  </si>
  <si>
    <t>Med Mycol J</t>
  </si>
  <si>
    <t>Continues: Nihon Ishinkin Gakkai zasshi.</t>
  </si>
  <si>
    <t>18820476</t>
  </si>
  <si>
    <t>21856486</t>
  </si>
  <si>
    <t>Nihon ishinkin Gakkai</t>
  </si>
  <si>
    <t>9435512</t>
  </si>
  <si>
    <t>Medical oncology (Northwood, London, England)</t>
  </si>
  <si>
    <t>MEDICAL ONCOLOGY (NORTHWOOD, LONDON, ENGLAND)</t>
  </si>
  <si>
    <t>Med Oncol</t>
  </si>
  <si>
    <t>Continues: Medical oncology and tumor pharmacotherapy.</t>
  </si>
  <si>
    <t>Humana Press Inc.</t>
  </si>
  <si>
    <t>0425746</t>
  </si>
  <si>
    <t>Medical physics</t>
  </si>
  <si>
    <t>MEDICAL PHYSICS</t>
  </si>
  <si>
    <t>Med Phys</t>
  </si>
  <si>
    <t>Published for the American Assn. of Physicists in Medicine by the American Institute of Physics.</t>
  </si>
  <si>
    <t>101149467</t>
  </si>
  <si>
    <t>Medi-Cal Policy Institute issue brief</t>
  </si>
  <si>
    <t>MEDI-CAL POLICY INSTITUTE ISSUE BRIEF</t>
  </si>
  <si>
    <t>Medi-Cal Policy Inst Issue Brief</t>
  </si>
  <si>
    <t>Medi-Cal Policy Institute</t>
  </si>
  <si>
    <t>8901334</t>
  </si>
  <si>
    <t>Medical principles and practice : international journal of the Kuwait University, Health Science Centre</t>
  </si>
  <si>
    <t>MEDICAL PRINCIPLES AND PRACTICE : INTERNATIONAL JOURNAL OF THE KUWAIT UNIVERSITY, HEALTH SCIENCE CENTRE</t>
  </si>
  <si>
    <t>Med Princ Pract</t>
  </si>
  <si>
    <t>9416269</t>
  </si>
  <si>
    <t>Medical problems of performing artists</t>
  </si>
  <si>
    <t>MEDICAL PROBLEMS OF PERFORMING ARTISTS</t>
  </si>
  <si>
    <t>Med Probl Perform Art</t>
  </si>
  <si>
    <t>Science &amp; Medicine</t>
  </si>
  <si>
    <t>8219208</t>
  </si>
  <si>
    <t>Medical reference services quarterly</t>
  </si>
  <si>
    <t>MEDICAL REFERENCE SERVICES QUARTERLY</t>
  </si>
  <si>
    <t>Med Ref Serv Q</t>
  </si>
  <si>
    <t>15409597</t>
  </si>
  <si>
    <t>02763869</t>
  </si>
  <si>
    <t>9609063</t>
  </si>
  <si>
    <t>Medical science monitor : international medical journal of experimental and clinical research</t>
  </si>
  <si>
    <t>MEDICAL SCIENCE MONITOR : INTERNATIONAL MEDICAL JOURNAL OF EXPERIMENTAL AND CLINICAL RESEARCH</t>
  </si>
  <si>
    <t>Med Sci Monit</t>
  </si>
  <si>
    <t>Continued in part by: Medical science monitor basic research.</t>
  </si>
  <si>
    <t>Monthly, 2002-2012</t>
  </si>
  <si>
    <t>101597444</t>
  </si>
  <si>
    <t>Medical science monitor basic research</t>
  </si>
  <si>
    <t>MEDICAL SCIENCE MONITOR BASIC RESEARCH</t>
  </si>
  <si>
    <t>Med Sci Monit Basic Res</t>
  </si>
  <si>
    <t>Continues in part: Medical science monitor.</t>
  </si>
  <si>
    <t>23254416</t>
  </si>
  <si>
    <t>23254394</t>
  </si>
  <si>
    <t>International Scientific Literature, Inc.</t>
  </si>
  <si>
    <t>7909593</t>
  </si>
  <si>
    <t>Medical teacher</t>
  </si>
  <si>
    <t>MEDICAL TEACHER</t>
  </si>
  <si>
    <t>Med Teach</t>
  </si>
  <si>
    <t>1466187X</t>
  </si>
  <si>
    <t>0142159X</t>
  </si>
  <si>
    <t>101522985</t>
  </si>
  <si>
    <t>Medical ultrasonography</t>
  </si>
  <si>
    <t>MEDICAL ULTRASONOGRAPHY</t>
  </si>
  <si>
    <t>Med Ultrason</t>
  </si>
  <si>
    <t>Continues: Revista română de ultrasonografie.</t>
  </si>
  <si>
    <t>"Iuliu Haţieganu" Medical Pub. House</t>
  </si>
  <si>
    <t>101548901</t>
  </si>
  <si>
    <t>Medicare &amp; medicaid research review</t>
  </si>
  <si>
    <t>MEDICARE &amp; MEDICAID RESEARCH REVIEW</t>
  </si>
  <si>
    <t>Medicare Medicaid Res Rev</t>
  </si>
  <si>
    <t>Continues: Health care financing review.</t>
  </si>
  <si>
    <t>Centers for Medicare &amp; Medicaid Services' Office of Research, Development &amp; Information</t>
  </si>
  <si>
    <t>Continuously updated</t>
  </si>
  <si>
    <t>100899263</t>
  </si>
  <si>
    <t>Medicare brief / National Academy of Social Insurance</t>
  </si>
  <si>
    <t>MEDICARE BRIEF / NATIONAL ACADEMY OF SOCIAL INSURANCE</t>
  </si>
  <si>
    <t>Medicare Brief</t>
  </si>
  <si>
    <t>The Academy</t>
  </si>
  <si>
    <t>100964771</t>
  </si>
  <si>
    <t>MEDICC review</t>
  </si>
  <si>
    <t>MEDICC REVIEW</t>
  </si>
  <si>
    <t>MEDICC Rev</t>
  </si>
  <si>
    <t>MEDICC</t>
  </si>
  <si>
    <t>0204271</t>
  </si>
  <si>
    <t>Medicina</t>
  </si>
  <si>
    <t>MEDICINA</t>
  </si>
  <si>
    <t>Medicina (B Aires)</t>
  </si>
  <si>
    <t>Fundación Revista Medicina (Buenos Aires)</t>
  </si>
  <si>
    <t>9425208</t>
  </si>
  <si>
    <t>Medicina (Kaunas, Lithuania)</t>
  </si>
  <si>
    <t>MEDICINA (KAUNAS, LITHUANIA)</t>
  </si>
  <si>
    <t>Medicina (Kaunas)</t>
  </si>
  <si>
    <t>16489144</t>
  </si>
  <si>
    <t>1010660X</t>
  </si>
  <si>
    <t>Lietuvos gydytojų sąjunga</t>
  </si>
  <si>
    <t>Lithuania</t>
  </si>
  <si>
    <t>lit</t>
  </si>
  <si>
    <t>0376377</t>
  </si>
  <si>
    <t>Medicina clínica</t>
  </si>
  <si>
    <t>MEDICINA CLINICA</t>
  </si>
  <si>
    <t>Med Clin (Barc)</t>
  </si>
  <si>
    <t>Thirty no. a year, 2010-</t>
  </si>
  <si>
    <t>0401176</t>
  </si>
  <si>
    <t>La Medicina del lavoro</t>
  </si>
  <si>
    <t>MEDICINA DEL LAVORO</t>
  </si>
  <si>
    <t>Med Lav</t>
  </si>
  <si>
    <t>Continues: Il Lavoro (Milano.</t>
  </si>
  <si>
    <t>00257818</t>
  </si>
  <si>
    <t>0361435</t>
  </si>
  <si>
    <t>Medicina e historia</t>
  </si>
  <si>
    <t>MEDICINA E HISTORIA</t>
  </si>
  <si>
    <t>Med Hist (Barc)</t>
  </si>
  <si>
    <t>03008169</t>
  </si>
  <si>
    <t>J. Uriachi &amp; Cía.</t>
  </si>
  <si>
    <t>9207689</t>
  </si>
  <si>
    <t>Medicina intensiva / Sociedad Española de Medicina Intensiva y Unidades Coronarias</t>
  </si>
  <si>
    <t>MEDICINA INTENSIVA / SOCIEDAD ESPANOLA DE MEDICINA INTENSIVA Y UNIDADES CORONARIAS</t>
  </si>
  <si>
    <t>Med Intensiva</t>
  </si>
  <si>
    <t>197u</t>
  </si>
  <si>
    <t>0176472</t>
  </si>
  <si>
    <t>Medicina nei secoli</t>
  </si>
  <si>
    <t>MEDICINA NEI SECOLI</t>
  </si>
  <si>
    <t>Med Secoli</t>
  </si>
  <si>
    <t>Supersedes in part: Tribuna sanitaria.</t>
  </si>
  <si>
    <t>03949001</t>
  </si>
  <si>
    <t>Institute For The History Of Medicine At The University Of Rome</t>
  </si>
  <si>
    <t>101231694</t>
  </si>
  <si>
    <t>Medicina oral, patología oral y cirugía bucal</t>
  </si>
  <si>
    <t>MEDICINA ORAL, PATOLOGIA ORAL Y CIRUGIA BUCAL</t>
  </si>
  <si>
    <t>Med Oral Patol Oral Cir Bucal</t>
  </si>
  <si>
    <t>Continues: Medicina oral.</t>
  </si>
  <si>
    <t>Medicina Oral S.L.</t>
  </si>
  <si>
    <t>101240303</t>
  </si>
  <si>
    <t>Medicinal chemistry (Shāriqah (United Arab Emirates))</t>
  </si>
  <si>
    <t>MEDICINAL CHEMISTRY (SHARIQAH (UNITED ARAB EMIRATES))</t>
  </si>
  <si>
    <t>Med Chem</t>
  </si>
  <si>
    <t>8103150</t>
  </si>
  <si>
    <t>Medicinal research reviews</t>
  </si>
  <si>
    <t>MEDICINAL RESEARCH REVIEWS</t>
  </si>
  <si>
    <t>Med Res Rev</t>
  </si>
  <si>
    <t>2985248R</t>
  </si>
  <si>
    <t>MEDICINE</t>
  </si>
  <si>
    <t>Medicine (Baltimore)</t>
  </si>
  <si>
    <t>8218185</t>
  </si>
  <si>
    <t>Medicine and law</t>
  </si>
  <si>
    <t>MEDICINE AND LAW</t>
  </si>
  <si>
    <t>Med Law</t>
  </si>
  <si>
    <t>07231393</t>
  </si>
  <si>
    <t>International Center for Health, Law and Medicine</t>
  </si>
  <si>
    <t>8005433</t>
  </si>
  <si>
    <t>Medicine and science in sports and exercise</t>
  </si>
  <si>
    <t>MEDICINE AND SCIENCE IN SPORTS AND EXERCISE</t>
  </si>
  <si>
    <t>Med Sci Sports Exerc</t>
  </si>
  <si>
    <t>Continues: Medicine and science in sports.</t>
  </si>
  <si>
    <t>15300315</t>
  </si>
  <si>
    <t>01959131</t>
  </si>
  <si>
    <t>8402440</t>
  </si>
  <si>
    <t>Medicine and sport science</t>
  </si>
  <si>
    <t>MEDICINE AND SPORT SCIENCE</t>
  </si>
  <si>
    <t>Med Sport Sci</t>
  </si>
  <si>
    <t>Continues: Medicine and sport.</t>
  </si>
  <si>
    <t>16622812</t>
  </si>
  <si>
    <t>02545020</t>
  </si>
  <si>
    <t>00766070</t>
  </si>
  <si>
    <t>9612305</t>
  </si>
  <si>
    <t>Medicine, conflict, and survival</t>
  </si>
  <si>
    <t>MEDICINE, CONFLICT, AND SURVIVAL</t>
  </si>
  <si>
    <t>Med Confl Surviv</t>
  </si>
  <si>
    <t>Continues: Medicine and war.</t>
  </si>
  <si>
    <t>13623699</t>
  </si>
  <si>
    <t>F. Cass</t>
  </si>
  <si>
    <t>Military Medicine#Social Sciences</t>
  </si>
  <si>
    <t>9815900</t>
  </si>
  <si>
    <t>Medicine, health care, and philosophy</t>
  </si>
  <si>
    <t>MEDICINE, HEALTH CARE, AND PHILOSOPHY</t>
  </si>
  <si>
    <t>Med Health Care Philos</t>
  </si>
  <si>
    <t>Continues: European philosophy of medicine and health care.</t>
  </si>
  <si>
    <t>15728633</t>
  </si>
  <si>
    <t>13867423</t>
  </si>
  <si>
    <t>Three no. a year.</t>
  </si>
  <si>
    <t>0400721</t>
  </si>
  <si>
    <t>Medicine, science, and the law</t>
  </si>
  <si>
    <t>MEDICINE, SCIENCE, AND THE LAW</t>
  </si>
  <si>
    <t>Med Sci Law</t>
  </si>
  <si>
    <t>20421818</t>
  </si>
  <si>
    <t>00258024</t>
  </si>
  <si>
    <t>0400722</t>
  </si>
  <si>
    <t>Medicinski arhiv</t>
  </si>
  <si>
    <t>MEDICINSKI ARHIV</t>
  </si>
  <si>
    <t>Med Arh</t>
  </si>
  <si>
    <t>19865961</t>
  </si>
  <si>
    <t>0350199X</t>
  </si>
  <si>
    <t>Drustva Ljekara Bosne I Hercegovine</t>
  </si>
  <si>
    <t>Bimonthly, &lt;2009- &gt;</t>
  </si>
  <si>
    <t>101250177</t>
  </si>
  <si>
    <t>Medicinski glasnik : official publication of the Medical Association of Zenica-Doboj Canton, Bosnia and Herzegovina</t>
  </si>
  <si>
    <t>MEDICINSKI GLASNIK : OFFICIAL PUBLICATION OF THE MEDICAL ASSOCIATION OF ZENICA-DOBOJ CANTON, BOSNIA AND HERZEGOVINA</t>
  </si>
  <si>
    <t>Med Glas (Zenica)</t>
  </si>
  <si>
    <t>bos</t>
  </si>
  <si>
    <t>2985249R</t>
  </si>
  <si>
    <t>Medicinski pregled</t>
  </si>
  <si>
    <t>MEDICINSKI PREGLED</t>
  </si>
  <si>
    <t>Med Pregl</t>
  </si>
  <si>
    <t>00258105</t>
  </si>
  <si>
    <t>Medicinski Pregled</t>
  </si>
  <si>
    <t>0412004</t>
  </si>
  <si>
    <t>The Medico-legal journal</t>
  </si>
  <si>
    <t>MEDICO-LEGAL JOURNAL</t>
  </si>
  <si>
    <t>Med Leg J</t>
  </si>
  <si>
    <t>Absorbed: Medico-legal and criminological review.</t>
  </si>
  <si>
    <t>20421834</t>
  </si>
  <si>
    <t>00258172</t>
  </si>
  <si>
    <t>7600347</t>
  </si>
  <si>
    <t>Medinfo. MEDINFO</t>
  </si>
  <si>
    <t>MEDINFO. MEDINFO</t>
  </si>
  <si>
    <t>Medinfo</t>
  </si>
  <si>
    <t>Triennial</t>
  </si>
  <si>
    <t>9434213</t>
  </si>
  <si>
    <t>Meditsina truda i promyshlennaia ekologiia</t>
  </si>
  <si>
    <t>MEDITSINA TRUDA I PROMYSHLENNAIA EKOLOGIIA</t>
  </si>
  <si>
    <t>Med Tr Prom Ekol</t>
  </si>
  <si>
    <t>Continues: Gigiena truda i professional'nve zabolevaniia.</t>
  </si>
  <si>
    <t>10269428</t>
  </si>
  <si>
    <t>Redkollegiia Zhurnala</t>
  </si>
  <si>
    <t>0376635</t>
  </si>
  <si>
    <t>Meditsinskaia parazitologiia i parazitarnye bolezni</t>
  </si>
  <si>
    <t>MEDITSINSKAIA PARAZITOLOGIIA I PARAZITARNYE BOLEZNI</t>
  </si>
  <si>
    <t>Med Parazitol (Mosk)</t>
  </si>
  <si>
    <t>Continues: Tropicheskai͡a medit͡sina i veterinarii͡a.</t>
  </si>
  <si>
    <t>00258326</t>
  </si>
  <si>
    <t>1305457</t>
  </si>
  <si>
    <t>Meditsinskaia tekhnika</t>
  </si>
  <si>
    <t>MEDITSINSKAIA TEKHNIKA</t>
  </si>
  <si>
    <t>Med Tekh</t>
  </si>
  <si>
    <t>Supersedes Meditsinskaia promyshlennost' SSSR.</t>
  </si>
  <si>
    <t>00258075</t>
  </si>
  <si>
    <t>9214715</t>
  </si>
  <si>
    <t>Medizin, Gesellschaft, und Geschichte : Jahrbuch des Instituts für Geschichte der Medizin der Robert Bosch Stiftung</t>
  </si>
  <si>
    <t>MEDIZIN, GESELLSCHAFT, UND GESCHICHTE : JAHRBUCH DES INSTITUTS FUR GESCHICHTE DER MEDIZIN DER ROBERT BOSCH STIFTUNG</t>
  </si>
  <si>
    <t>Med Ges Gesch</t>
  </si>
  <si>
    <t>Continues: Jahrbuch des Instituts für Geschichte der Medizin der Robert Bosch Stiftung.</t>
  </si>
  <si>
    <t>0939351X</t>
  </si>
  <si>
    <t>F. Steiner</t>
  </si>
  <si>
    <t>0051574</t>
  </si>
  <si>
    <t>Medizinhistorisches Journal</t>
  </si>
  <si>
    <t>MEDIZINHISTORISCHES JOURNAL</t>
  </si>
  <si>
    <t>Medizinhist J</t>
  </si>
  <si>
    <t>00258431</t>
  </si>
  <si>
    <t>101575086</t>
  </si>
  <si>
    <t>Medizinische Klinik, Intensivmedizin und Notfallmedizin</t>
  </si>
  <si>
    <t>MEDIZINISCHE KLINIK, INTENSIVMEDIZIN UND NOTFALLMEDIZIN</t>
  </si>
  <si>
    <t>Med Klin Intensivmed Notfmed</t>
  </si>
  <si>
    <t>Formed by the union of Intensivmedizin + Notfallmedizin and Medizinische Klinik, continuing the numbering designation of Medizinische Klinik.</t>
  </si>
  <si>
    <t>Springer Medizin</t>
  </si>
  <si>
    <t>7802665</t>
  </si>
  <si>
    <t>Medizinische Monatsschrift für Pharmazeuten</t>
  </si>
  <si>
    <t>MEDIZINISCHE MONATSSCHRIFT FUR PHARMAZEUTEN</t>
  </si>
  <si>
    <t>Med Monatsschr Pharm</t>
  </si>
  <si>
    <t>Supersedes Medizinische Monatsschrift.</t>
  </si>
  <si>
    <t>Drug Therapy#Medicine</t>
  </si>
  <si>
    <t>9300545</t>
  </si>
  <si>
    <t>Medsurg nursing : official journal of the Academy of Medical-Surgical Nurses</t>
  </si>
  <si>
    <t>MEDSURG NURSING : OFFICIAL JOURNAL OF THE ACADEMY OF MEDICAL-SURGICAL NURSES</t>
  </si>
  <si>
    <t>Medsurg Nurs</t>
  </si>
  <si>
    <t>10920811</t>
  </si>
  <si>
    <t>Jannetti Publications, Inc.</t>
  </si>
  <si>
    <t>0210575</t>
  </si>
  <si>
    <t>Medycyna doświadczalna i mikrobiologia</t>
  </si>
  <si>
    <t>MEDYCYNA DOSWIADCZALNA I MIKROBIOLOGIA</t>
  </si>
  <si>
    <t>Med Dosw Mikrobiol</t>
  </si>
  <si>
    <t>00258601</t>
  </si>
  <si>
    <t>Medicine#Microbiology</t>
  </si>
  <si>
    <t>0376642</t>
  </si>
  <si>
    <t>Medycyna pracy</t>
  </si>
  <si>
    <t>MEDYCYNA PRACY</t>
  </si>
  <si>
    <t>Med Pr</t>
  </si>
  <si>
    <t>04655893</t>
  </si>
  <si>
    <t>100928610</t>
  </si>
  <si>
    <t>Medycyna wieku rozwojowego</t>
  </si>
  <si>
    <t>MEDYCYNA WIEKU ROZWOJOWEGO</t>
  </si>
  <si>
    <t>Med Wieku Rozwoj</t>
  </si>
  <si>
    <t>Continues: Problemy medycyny wieku rozwojowego.</t>
  </si>
  <si>
    <t>1428345X</t>
  </si>
  <si>
    <t>Blue Sparks Pub. Group</t>
  </si>
  <si>
    <t>9109623</t>
  </si>
  <si>
    <t>Melanoma research</t>
  </si>
  <si>
    <t>MELANOMA RESEARCH</t>
  </si>
  <si>
    <t>Melanoma Res</t>
  </si>
  <si>
    <t>7502619</t>
  </si>
  <si>
    <t>Memórias do Instituto Oswaldo Cruz</t>
  </si>
  <si>
    <t>MEMORIAS DO INSTITUTO OSWALDO CRUZ</t>
  </si>
  <si>
    <t>Mem Inst Oswaldo Cruz</t>
  </si>
  <si>
    <t>16788060</t>
  </si>
  <si>
    <t>00740276</t>
  </si>
  <si>
    <t>Instituto Oswaldo Cruz</t>
  </si>
  <si>
    <t>0357443</t>
  </si>
  <si>
    <t>Memory &amp; cognition</t>
  </si>
  <si>
    <t>MEMORY &amp; COGNITION</t>
  </si>
  <si>
    <t>Mem Cognit</t>
  </si>
  <si>
    <t>Supersedes in part Psychonomic science.</t>
  </si>
  <si>
    <t>15325946</t>
  </si>
  <si>
    <t>0090502X</t>
  </si>
  <si>
    <t>Psychonomic Society</t>
  </si>
  <si>
    <t>9306862</t>
  </si>
  <si>
    <t>Memory (Hove, England)</t>
  </si>
  <si>
    <t>MEMORY (HOVE, ENGLAND)</t>
  </si>
  <si>
    <t>Memory</t>
  </si>
  <si>
    <t>14640686</t>
  </si>
  <si>
    <t>09658211</t>
  </si>
  <si>
    <t>0202216</t>
  </si>
  <si>
    <t>The Mendel newsletter; archival resources for the history of genetics &amp; allied sciences</t>
  </si>
  <si>
    <t>MENDEL NEWSLETTER; ARCHIVAL RESOURCES FOR THE HISTORY OF GENETICS &amp; ALLIED SCIENCES</t>
  </si>
  <si>
    <t>Mendel Newsl</t>
  </si>
  <si>
    <t>00259241</t>
  </si>
  <si>
    <t>Library of the American Philosophical Society</t>
  </si>
  <si>
    <t>Genetics#History of Medicine</t>
  </si>
  <si>
    <t>9433353</t>
  </si>
  <si>
    <t>Menopause (New York, N.Y.)</t>
  </si>
  <si>
    <t>MENOPAUSE (NEW YORK, N.Y.)</t>
  </si>
  <si>
    <t>Lippincott-Raven Publishers</t>
  </si>
  <si>
    <t>101133625</t>
  </si>
  <si>
    <t>Mental health today (Brighton, England)</t>
  </si>
  <si>
    <t>MENTAL HEALTH TODAY (BRIGHTON, ENGLAND)</t>
  </si>
  <si>
    <t>Ment Health Today</t>
  </si>
  <si>
    <t>Continues: Mental health &amp; learning disabilities care.</t>
  </si>
  <si>
    <t>14745186</t>
  </si>
  <si>
    <t>Pavilion</t>
  </si>
  <si>
    <t>8610370</t>
  </si>
  <si>
    <t>Metabolic brain disease</t>
  </si>
  <si>
    <t>METABOLIC BRAIN DISEASE</t>
  </si>
  <si>
    <t>Metab Brain Dis</t>
  </si>
  <si>
    <t>Brain#Metabolism</t>
  </si>
  <si>
    <t>9815657</t>
  </si>
  <si>
    <t>Metabolic engineering</t>
  </si>
  <si>
    <t>METABOLIC ENGINEERING</t>
  </si>
  <si>
    <t>Metab Eng</t>
  </si>
  <si>
    <t>Biomedical Engineering#Metabolism</t>
  </si>
  <si>
    <t>101150318</t>
  </si>
  <si>
    <t>Metabolic syndrome and related disorders</t>
  </si>
  <si>
    <t>METABOLIC SYNDROME AND RELATED DISORDERS</t>
  </si>
  <si>
    <t>Metab Syndr Relat Disord</t>
  </si>
  <si>
    <t>0375267</t>
  </si>
  <si>
    <t>Metabolism: clinical and experimental</t>
  </si>
  <si>
    <t>METABOLISM: CLINICAL AND EXPERIMENTAL</t>
  </si>
  <si>
    <t>101513478</t>
  </si>
  <si>
    <t>Metal ions in life sciences</t>
  </si>
  <si>
    <t>METAL IONS IN LIFE SCIENCES</t>
  </si>
  <si>
    <t>Met Ions Life Sci</t>
  </si>
  <si>
    <t>Continues: Metal ions in biological systems.</t>
  </si>
  <si>
    <t>20419821</t>
  </si>
  <si>
    <t>15590836</t>
  </si>
  <si>
    <t>John Wiley &amp; Sons. Ltd.</t>
  </si>
  <si>
    <t>101478346</t>
  </si>
  <si>
    <t>Metallomics : integrated biometal science</t>
  </si>
  <si>
    <t>METALLOMICS : INTEGRATED BIOMETAL SCIENCE</t>
  </si>
  <si>
    <t>101508600</t>
  </si>
  <si>
    <t>Methodist DeBakey cardiovascular journal</t>
  </si>
  <si>
    <t>METHODIST DEBAKEY CARDIOVASCULAR JOURNAL</t>
  </si>
  <si>
    <t>Methodist Debakey Cardiovasc J</t>
  </si>
  <si>
    <t>Continues: Journal of the Methodist DeBakey Heart &amp; Vascular Center.</t>
  </si>
  <si>
    <t>19476108</t>
  </si>
  <si>
    <t>19476094</t>
  </si>
  <si>
    <t>Methodist DeBakey Heart &amp; Vascular Center</t>
  </si>
  <si>
    <t>9426302</t>
  </si>
  <si>
    <t>Methods (San Diego, Calif.)</t>
  </si>
  <si>
    <t>METHODS (SAN DIEGO, CALIF.)</t>
  </si>
  <si>
    <t>0373334</t>
  </si>
  <si>
    <t>Methods in cell biology</t>
  </si>
  <si>
    <t>METHODS IN CELL BIOLOGY</t>
  </si>
  <si>
    <t>Methods Cell Biol</t>
  </si>
  <si>
    <t>0091679X</t>
  </si>
  <si>
    <t>0212271</t>
  </si>
  <si>
    <t>Methods in enzymology</t>
  </si>
  <si>
    <t>METHODS IN ENZYMOLOGY</t>
  </si>
  <si>
    <t>Methods Enzymol</t>
  </si>
  <si>
    <t>9214969</t>
  </si>
  <si>
    <t>Methods in molecular biology (Clifton, N.J.)</t>
  </si>
  <si>
    <t>METHODS IN MOLECULAR BIOLOGY (CLIFTON, N.J.)</t>
  </si>
  <si>
    <t>Methods Mol Biol</t>
  </si>
  <si>
    <t>19406029</t>
  </si>
  <si>
    <t>0376644</t>
  </si>
  <si>
    <t>Methods of biochemical analysis</t>
  </si>
  <si>
    <t>METHODS OF BIOCHEMICAL ANALYSIS</t>
  </si>
  <si>
    <t>Methods Biochem Anal</t>
  </si>
  <si>
    <t>00766941</t>
  </si>
  <si>
    <t>0210453</t>
  </si>
  <si>
    <t>Methods of information in medicine</t>
  </si>
  <si>
    <t>METHODS OF INFORMATION IN MEDICINE</t>
  </si>
  <si>
    <t>Methods Inf Med</t>
  </si>
  <si>
    <t>Supplements to v. 45 (2006)- issued as Yearbook of medical informatics. Supersedes Medizinische Dokumentation.</t>
  </si>
  <si>
    <t>00261270</t>
  </si>
  <si>
    <t>F K Schattauer Verlag</t>
  </si>
  <si>
    <t>101127723</t>
  </si>
  <si>
    <t>MGMA connexion / Medical group Management Association</t>
  </si>
  <si>
    <t>MGMA CONNEXION / MEDICAL GROUP MANAGEMENT ASSOCIATION</t>
  </si>
  <si>
    <t>MGMA Connex</t>
  </si>
  <si>
    <t>Continues: Medical group management journal.</t>
  </si>
  <si>
    <t>15370240</t>
  </si>
  <si>
    <t>MGMA</t>
  </si>
  <si>
    <t>Ten issues a year (Jan.-Apr., May/June, July-Oct., Nov./Dec.)</t>
  </si>
  <si>
    <t>7703728</t>
  </si>
  <si>
    <t>Michigan law review</t>
  </si>
  <si>
    <t>MICHIGAN LAW REVIEW</t>
  </si>
  <si>
    <t>Mich Law Rev</t>
  </si>
  <si>
    <t>00262234</t>
  </si>
  <si>
    <t>Michigan Law Review Association</t>
  </si>
  <si>
    <t>8 no. a year</t>
  </si>
  <si>
    <t>1902</t>
  </si>
  <si>
    <t>0017314</t>
  </si>
  <si>
    <t>Michigan medicine</t>
  </si>
  <si>
    <t>MICHIGAN MEDICINE</t>
  </si>
  <si>
    <t>Mich Med</t>
  </si>
  <si>
    <t>Continues the Journal of the Michigan State Medical Society. Includes, 1964- Annual directory of Michigan State Medical Society members, issued separately as supplement to some numbers. Continued in part by: Medigram (East Lansing, Mich. : 1985).</t>
  </si>
  <si>
    <t>00262293</t>
  </si>
  <si>
    <t>Michigan State Medical Society</t>
  </si>
  <si>
    <t>Bimonthly, Mar./Apr. 2000-</t>
  </si>
  <si>
    <t>1260337</t>
  </si>
  <si>
    <t>The Michigan nurse</t>
  </si>
  <si>
    <t>MICHIGAN NURSE</t>
  </si>
  <si>
    <t>Mich Nurse</t>
  </si>
  <si>
    <t>00262366</t>
  </si>
  <si>
    <t>Michigan Nurses Association</t>
  </si>
  <si>
    <t>9710937</t>
  </si>
  <si>
    <t>Microbes and environments / JSME</t>
  </si>
  <si>
    <t>MICROBES AND ENVIRONMENTS / JSME</t>
  </si>
  <si>
    <t>Microbes Environ</t>
  </si>
  <si>
    <t>Continues: Nihon Biseibutsu Seitai Gakkaihō.</t>
  </si>
  <si>
    <t>13474405</t>
  </si>
  <si>
    <t>13426311</t>
  </si>
  <si>
    <t>Japanese Society of Microbial Ecology</t>
  </si>
  <si>
    <t>Quarterly, &lt;1998-&gt;</t>
  </si>
  <si>
    <t>100883508</t>
  </si>
  <si>
    <t>Microbes and infection / Institut Pasteur</t>
  </si>
  <si>
    <t>MICROBES AND INFECTION / INSTITUT PASTEUR</t>
  </si>
  <si>
    <t>Microbes Infect</t>
  </si>
  <si>
    <t>Formed by the union of: Research in immunology; Research in virology; and: Bulletin de l'Institut Pasteur.</t>
  </si>
  <si>
    <t>15 no. a year</t>
  </si>
  <si>
    <t>101316335</t>
  </si>
  <si>
    <t>Microbial biotechnology</t>
  </si>
  <si>
    <t>MICROBIAL BIOTECHNOLOGY</t>
  </si>
  <si>
    <t>Microb Biotechnol</t>
  </si>
  <si>
    <t>101139812</t>
  </si>
  <si>
    <t>Microbial cell factories</t>
  </si>
  <si>
    <t>MICROBIAL CELL FACTORIES</t>
  </si>
  <si>
    <t>Microb Cell Fact</t>
  </si>
  <si>
    <t>9508567</t>
  </si>
  <si>
    <t>Microbial drug resistance (Larchmont, N.Y.)</t>
  </si>
  <si>
    <t>MICROBIAL DRUG RESISTANCE (LARCHMONT, N.Y.)</t>
  </si>
  <si>
    <t>Microb Drug Resist</t>
  </si>
  <si>
    <t>7500663</t>
  </si>
  <si>
    <t>Microbial ecology</t>
  </si>
  <si>
    <t>MICROBIAL ECOLOGY</t>
  </si>
  <si>
    <t>Microb Ecol</t>
  </si>
  <si>
    <t>1432184X</t>
  </si>
  <si>
    <t>00953628</t>
  </si>
  <si>
    <t>8606191</t>
  </si>
  <si>
    <t>Microbial pathogenesis</t>
  </si>
  <si>
    <t>MICROBIAL PATHOGENESIS</t>
  </si>
  <si>
    <t>Microb Pathog</t>
  </si>
  <si>
    <t>9437794</t>
  </si>
  <si>
    <t>Microbiological research</t>
  </si>
  <si>
    <t>MICROBIOLOGICAL RESEARCH</t>
  </si>
  <si>
    <t>Microbiol Res</t>
  </si>
  <si>
    <t>Continues: Zentralblatt für Mikrobiologie.</t>
  </si>
  <si>
    <t>16180623</t>
  </si>
  <si>
    <t>09445013</t>
  </si>
  <si>
    <t>9430468</t>
  </si>
  <si>
    <t>Microbiology (Reading, England)</t>
  </si>
  <si>
    <t>MICROBIOLOGY (READING, ENGLAND)</t>
  </si>
  <si>
    <t>Continues: Journal of general microbiology.</t>
  </si>
  <si>
    <t>7703966</t>
  </si>
  <si>
    <t>Microbiology and immunology</t>
  </si>
  <si>
    <t>MICROBIOLOGY AND IMMUNOLOGY</t>
  </si>
  <si>
    <t>Microbiol Immunol</t>
  </si>
  <si>
    <t>Continues: Japanese journal of microbiology.</t>
  </si>
  <si>
    <t>9706653</t>
  </si>
  <si>
    <t>Microbiology and molecular biology reviews : MMBR</t>
  </si>
  <si>
    <t>MICROBIOLOGY AND MOLECULAR BIOLOGY REVIEWS : MMBR</t>
  </si>
  <si>
    <t>Microbiol Mol Biol Rev</t>
  </si>
  <si>
    <t>Continues: Microbiological reviews.</t>
  </si>
  <si>
    <t>Microbiology#Molecular Biology</t>
  </si>
  <si>
    <t>101588314</t>
  </si>
  <si>
    <t>MICROBIOLOGYOPEN</t>
  </si>
  <si>
    <t>Microbiologyopen</t>
  </si>
  <si>
    <t>9434935</t>
  </si>
  <si>
    <t>Microcirculation (New York, N.Y. : 1994)</t>
  </si>
  <si>
    <t>MICROCIRCULATION (NEW YORK, N.Y. : 1994)</t>
  </si>
  <si>
    <t>9312850</t>
  </si>
  <si>
    <t>Micron (Oxford, England : 1993)</t>
  </si>
  <si>
    <t>MICRON (OXFORD, ENGLAND : 1993)</t>
  </si>
  <si>
    <t>Micron</t>
  </si>
  <si>
    <t>Merger of: Micron and microscopica acta, and: Electron microscopy reviews, continuing the vol. numbering of the former.</t>
  </si>
  <si>
    <t>18784291</t>
  </si>
  <si>
    <t>09684328</t>
  </si>
  <si>
    <t>101595834</t>
  </si>
  <si>
    <t>Microscopy (Oxford, England)</t>
  </si>
  <si>
    <t>MICROSCOPY (OXFORD, ENGLAND)</t>
  </si>
  <si>
    <t>Microscopy (Oxf)</t>
  </si>
  <si>
    <t>Continues: Journal of electronmicroscopy.</t>
  </si>
  <si>
    <t>20505701</t>
  </si>
  <si>
    <t>20505698</t>
  </si>
  <si>
    <t>9712707</t>
  </si>
  <si>
    <t>Microscopy and microanalysis : the official journal of Microscopy Society of America, Microbeam Analysis Society, Microscopical Society of Canada</t>
  </si>
  <si>
    <t>MICROSCOPY AND MICROANALYSIS : THE OFFICIAL JOURNAL OF MICROSCOPY SOCIETY OF AMERICA, MICROBEAM ANALYSIS SOCIETY, MICROSCOPICAL SOCIETY OF CANADA</t>
  </si>
  <si>
    <t>Microsc Microanal</t>
  </si>
  <si>
    <t>Vol. 8, suppl. 2 (2002)- have title: Proceedings : microscopy and microanalysis and constitute the proceedings of the 60th- Annual Meeting of the Microscopy Society of America, plus those of meetings held jointly with other organizations. These proceedings were formerly published separately.</t>
  </si>
  <si>
    <t>14358115</t>
  </si>
  <si>
    <t>14319276</t>
  </si>
  <si>
    <t>9203012</t>
  </si>
  <si>
    <t>Microscopy research and technique</t>
  </si>
  <si>
    <t>MICROSCOPY RESEARCH AND TECHNIQUE</t>
  </si>
  <si>
    <t>Microsc Res Tech</t>
  </si>
  <si>
    <t>Continues: Journal of electron microscopy technique.</t>
  </si>
  <si>
    <t>10970029</t>
  </si>
  <si>
    <t>1059910X</t>
  </si>
  <si>
    <t>Monthly (except semimonthly in Feb., Apr., June, Aug., Oct., &amp; Dec.), 2003-</t>
  </si>
  <si>
    <t>8309230</t>
  </si>
  <si>
    <t>MICROSURGERY</t>
  </si>
  <si>
    <t>Formed by the union of: Journal of microsurgery, and: International journal of microsurgery.</t>
  </si>
  <si>
    <t>0165035</t>
  </si>
  <si>
    <t>Microvascular research</t>
  </si>
  <si>
    <t>MICROVASCULAR RESEARCH</t>
  </si>
  <si>
    <t>Microvasc Res</t>
  </si>
  <si>
    <t>101521797</t>
  </si>
  <si>
    <t>Middle East African journal of ophthalmology</t>
  </si>
  <si>
    <t>MIDDLE EAST AFRICAN JOURNAL OF OPHTHALMOLOGY</t>
  </si>
  <si>
    <t>Middle East Afr J Ophthalmol</t>
  </si>
  <si>
    <t>Medknow Publications and Media</t>
  </si>
  <si>
    <t>8604187</t>
  </si>
  <si>
    <t>Middle East journal of anesthesiology</t>
  </si>
  <si>
    <t>MIDDLE EAST JOURNAL OF ANESTHESIOLOGY</t>
  </si>
  <si>
    <t>Middle East J Anesthesiol</t>
  </si>
  <si>
    <t>Continues: Middle East journal of anaesthesiology.</t>
  </si>
  <si>
    <t>05440440</t>
  </si>
  <si>
    <t>American University Of Beirut. Department Of Anesthesiology</t>
  </si>
  <si>
    <t>8510930</t>
  </si>
  <si>
    <t>Midwifery</t>
  </si>
  <si>
    <t>MIDWIFERY</t>
  </si>
  <si>
    <t>15323099</t>
  </si>
  <si>
    <t>02666138</t>
  </si>
  <si>
    <t>100888783</t>
  </si>
  <si>
    <t>Midwifery today with international midwife</t>
  </si>
  <si>
    <t>MIDWIFERY TODAY WITH INTERNATIONAL MIDWIFE</t>
  </si>
  <si>
    <t>Midwifery Today Int Midwife</t>
  </si>
  <si>
    <t>Continues: Midwifery today and childbirth education.</t>
  </si>
  <si>
    <t>15518892</t>
  </si>
  <si>
    <t>Midwifery Today</t>
  </si>
  <si>
    <t>101472618</t>
  </si>
  <si>
    <t>Midwives</t>
  </si>
  <si>
    <t>MIDWIVES</t>
  </si>
  <si>
    <t>Continues: RCM midwives.</t>
  </si>
  <si>
    <t>Redactive Pub. Ltd.</t>
  </si>
  <si>
    <t>0376652</t>
  </si>
  <si>
    <t>Mikrobiologiia</t>
  </si>
  <si>
    <t>MIKROBIOLOGIIA</t>
  </si>
  <si>
    <t>00263656</t>
  </si>
  <si>
    <t>9318954</t>
  </si>
  <si>
    <t>Mikrobiolohichnyĭ zhurnal (Kiev, Ukraine : 1993)</t>
  </si>
  <si>
    <t>MIKROBIOLOHICHNYI ZHURNAL (KIEV, UKRAINE : 1993)</t>
  </si>
  <si>
    <t>Mikrobiol Z</t>
  </si>
  <si>
    <t>Continues: Mikrobiologicheskiĭ zhurnal.</t>
  </si>
  <si>
    <t>10280987</t>
  </si>
  <si>
    <t>7503830</t>
  </si>
  <si>
    <t>Mikrobiyoloji bülteni</t>
  </si>
  <si>
    <t>MIKROBIYOLOJI BULTENI</t>
  </si>
  <si>
    <t>Mikrobiyol Bul</t>
  </si>
  <si>
    <t>03749096</t>
  </si>
  <si>
    <t>Ankara Mikrobiyoloji Dernegi</t>
  </si>
  <si>
    <t>8607003</t>
  </si>
  <si>
    <t>The Milbank quarterly</t>
  </si>
  <si>
    <t>MILBANK QUARTERLY</t>
  </si>
  <si>
    <t>Milbank Q</t>
  </si>
  <si>
    <t>Continues: Milbank Memorial Fund quarterly. Health and society.</t>
  </si>
  <si>
    <t>2984771R</t>
  </si>
  <si>
    <t>Military medicine</t>
  </si>
  <si>
    <t>MILITARY MEDICINE</t>
  </si>
  <si>
    <t>Mil Med</t>
  </si>
  <si>
    <t>Continues: Military surgeon.</t>
  </si>
  <si>
    <t>1930613X</t>
  </si>
  <si>
    <t>00264075</t>
  </si>
  <si>
    <t>Association of Military Surgeons, United States</t>
  </si>
  <si>
    <t>0375272</t>
  </si>
  <si>
    <t>Minerva anestesiologica</t>
  </si>
  <si>
    <t>MINERVA ANESTESIOLOGICA</t>
  </si>
  <si>
    <t>Minerva Anestesiol</t>
  </si>
  <si>
    <t>Continues: Giornale italiano di anestesiologia.</t>
  </si>
  <si>
    <t>18271596</t>
  </si>
  <si>
    <t>[Edizioni Minerva Medica]</t>
  </si>
  <si>
    <t>0400725</t>
  </si>
  <si>
    <t>Minerva cardioangiologica</t>
  </si>
  <si>
    <t>MINERVA CARDIOANGIOLOGICA</t>
  </si>
  <si>
    <t>Minerva Cardioangiol</t>
  </si>
  <si>
    <t>18271618</t>
  </si>
  <si>
    <t>0400726</t>
  </si>
  <si>
    <t>Minerva chirurgica</t>
  </si>
  <si>
    <t>MINERVA CHIRURGICA</t>
  </si>
  <si>
    <t>Minerva Chir</t>
  </si>
  <si>
    <t>Absorbed: Infortunistica e traumatologia del lavoro.</t>
  </si>
  <si>
    <t>18271626</t>
  </si>
  <si>
    <t>00264733</t>
  </si>
  <si>
    <t>8406505</t>
  </si>
  <si>
    <t>Minerva endocrinologica</t>
  </si>
  <si>
    <t>MINERVA ENDOCRINOLOGICA</t>
  </si>
  <si>
    <t>Minerva Endocrinol</t>
  </si>
  <si>
    <t>9109791</t>
  </si>
  <si>
    <t>Minerva gastroenterologica e dietologica</t>
  </si>
  <si>
    <t>MINERVA GASTROENTEROLOGICA E DIETOLOGICA</t>
  </si>
  <si>
    <t>Minerva Gastroenterol Dietol</t>
  </si>
  <si>
    <t>Continues: Minerva dietologica e gastroenterologica.</t>
  </si>
  <si>
    <t>Gastroenterology#Nutritional Sciences</t>
  </si>
  <si>
    <t>0400731</t>
  </si>
  <si>
    <t>Minerva ginecologica</t>
  </si>
  <si>
    <t>MINERVA GINECOLOGICA</t>
  </si>
  <si>
    <t>Minerva Ginecol</t>
  </si>
  <si>
    <t>Formed by the union of: Folia gynaecologica, and: Ginecologia. Absorbed: Aggiornamenti in ostetrici e ginecologia.</t>
  </si>
  <si>
    <t>18271650</t>
  </si>
  <si>
    <t>Edicioni Minerva medica.</t>
  </si>
  <si>
    <t>0400732</t>
  </si>
  <si>
    <t>Minerva medica</t>
  </si>
  <si>
    <t>MINERVA MEDICA</t>
  </si>
  <si>
    <t>Minerva Med</t>
  </si>
  <si>
    <t>18271669</t>
  </si>
  <si>
    <t>0400740</t>
  </si>
  <si>
    <t>Minerva pediatrica</t>
  </si>
  <si>
    <t>MINERVA PEDIATRICA</t>
  </si>
  <si>
    <t>Minerva Pediatr</t>
  </si>
  <si>
    <t>Absorbed: Rivista di clinica pediatrica. 1974 Formed by the union of Medicina italiana, Policlinico infantile, and La Pediatria del medico pratico.</t>
  </si>
  <si>
    <t>18271715</t>
  </si>
  <si>
    <t>0421071</t>
  </si>
  <si>
    <t>Minerva stomatologica</t>
  </si>
  <si>
    <t>MINERVA STOMATOLOGICA</t>
  </si>
  <si>
    <t>Minerva Stomatol</t>
  </si>
  <si>
    <t>00264970</t>
  </si>
  <si>
    <t>8503649</t>
  </si>
  <si>
    <t>Minerva urologica e nefrologica = The Italian journal of urology and nephrology</t>
  </si>
  <si>
    <t>MINERVA UROLOGICA E NEFROLOGICA = THE ITALIAN JOURNAL OF UROLOGY AND NEPHROLOGY</t>
  </si>
  <si>
    <t>Minerva Urol Nefrol</t>
  </si>
  <si>
    <t>Formed by the union of: Minerva urologica, and: Minerva nefrologica.</t>
  </si>
  <si>
    <t>101094212</t>
  </si>
  <si>
    <t>Mini reviews in medicinal chemistry</t>
  </si>
  <si>
    <t>MINI REVIEWS IN MEDICINAL CHEMISTRY</t>
  </si>
  <si>
    <t>Mini Rev Med Chem</t>
  </si>
  <si>
    <t>Fourteen no. a year, 2008-</t>
  </si>
  <si>
    <t>9612996</t>
  </si>
  <si>
    <t>Minimally invasive therapy &amp; allied technologies : MITAT : official journal of the Society for Minimally Invasive Therapy</t>
  </si>
  <si>
    <t>MINIMALLY INVASIVE THERAPY &amp; ALLIED TECHNOLOGIES : MITAT : OFFICIAL JOURNAL OF THE SOCIETY FOR MINIMALLY INVASIVE THERAPY</t>
  </si>
  <si>
    <t>Minim Invasive Ther Allied Technol</t>
  </si>
  <si>
    <t>Merger of: Endoscopic surgery and allied technologies, and: Minimally invasive therapy.</t>
  </si>
  <si>
    <t>8000173</t>
  </si>
  <si>
    <t>Minnesota medicine</t>
  </si>
  <si>
    <t>MINNESOTA MEDICINE</t>
  </si>
  <si>
    <t>Minn Med</t>
  </si>
  <si>
    <t>0026556X</t>
  </si>
  <si>
    <t>Minnesota Medical Assn. [etc.]</t>
  </si>
  <si>
    <t>0044610</t>
  </si>
  <si>
    <t>Mississippi RN</t>
  </si>
  <si>
    <t>MISSISSIPPI RN</t>
  </si>
  <si>
    <t>Miss RN</t>
  </si>
  <si>
    <t>00266388</t>
  </si>
  <si>
    <t>Mississippi Nurses Association</t>
  </si>
  <si>
    <t>Four no. a year, &lt;2000-&gt;</t>
  </si>
  <si>
    <t>194u</t>
  </si>
  <si>
    <t>0400744</t>
  </si>
  <si>
    <t>Missouri medicine</t>
  </si>
  <si>
    <t>MISSOURI MEDICINE</t>
  </si>
  <si>
    <t>Mo Med</t>
  </si>
  <si>
    <t>Continues: Journal. Missouri State Medical Association.</t>
  </si>
  <si>
    <t>00266620</t>
  </si>
  <si>
    <t>Missouri State Medical Association</t>
  </si>
  <si>
    <t>Bimonthly, Sept./Oct. 2002-</t>
  </si>
  <si>
    <t>18740120R</t>
  </si>
  <si>
    <t>The Missouri nurse</t>
  </si>
  <si>
    <t>MISSOURI NURSE</t>
  </si>
  <si>
    <t>Mo Nurse</t>
  </si>
  <si>
    <t>00266655</t>
  </si>
  <si>
    <t>Missouri Nurses Association</t>
  </si>
  <si>
    <t>101487102</t>
  </si>
  <si>
    <t>MITOCHONDRIAL DNA</t>
  </si>
  <si>
    <t>Continues: DNA sequence.</t>
  </si>
  <si>
    <t>100968751</t>
  </si>
  <si>
    <t>MITOCHONDRION</t>
  </si>
  <si>
    <t>0225602</t>
  </si>
  <si>
    <t>MLO: medical laboratory observer</t>
  </si>
  <si>
    <t>MLO: MEDICAL LABORATORY OBSERVER</t>
  </si>
  <si>
    <t>MLO Med Lab Obs</t>
  </si>
  <si>
    <t>05807247</t>
  </si>
  <si>
    <t>Nelson Publishing</t>
  </si>
  <si>
    <t>100893959</t>
  </si>
  <si>
    <t>MMW Fortschritte der Medizin</t>
  </si>
  <si>
    <t>MMW FORTSCHRITTE DER MEDIZIN</t>
  </si>
  <si>
    <t>MMW Fortschr Med</t>
  </si>
  <si>
    <t>Merger of: Fortschritte der Medizin, and: MMW. Münchener medizinische Wochenschrift, continuing the numbering of the latter.</t>
  </si>
  <si>
    <t>7802429</t>
  </si>
  <si>
    <t>MMWR. Morbidity and mortality weekly report</t>
  </si>
  <si>
    <t>MMWR. MORBIDITY AND MORTALITY WEEKLY REPORT</t>
  </si>
  <si>
    <t>MMWR Morb Mortal Wkly Rep</t>
  </si>
  <si>
    <t>Continues Morbidity and mortality; weekly report.</t>
  </si>
  <si>
    <t>1545861X</t>
  </si>
  <si>
    <t>01492195</t>
  </si>
  <si>
    <t>U.S. Centers for Disease Control</t>
  </si>
  <si>
    <t>Public Health#Vital Statistics</t>
  </si>
  <si>
    <t>101124922</t>
  </si>
  <si>
    <t>MMWR. Recommendations and reports : Morbidity and mortality weekly report. Recommendations and reports / Centers for Disease Control</t>
  </si>
  <si>
    <t>MMWR. RECOMMENDATIONS AND REPORTS : MORBIDITY AND MORTALITY WEEKLY REPORT. RECOMMENDATIONS AND REPORTS / CENTERS FOR DISEASE CONTROL</t>
  </si>
  <si>
    <t>MMWR Recomm Rep</t>
  </si>
  <si>
    <t>Continues: Morbidity and mortality weekly report. Supplement.</t>
  </si>
  <si>
    <t>15458601</t>
  </si>
  <si>
    <t>10575987</t>
  </si>
  <si>
    <t>U.S. Dept. of Health and Human Services, Public Health Service, Centers for Disease Control, Epidemiology Program Office</t>
  </si>
  <si>
    <t>7801798</t>
  </si>
  <si>
    <t>Modern healthcare</t>
  </si>
  <si>
    <t>MODERN HEALTHCARE</t>
  </si>
  <si>
    <t>Mod Healthc</t>
  </si>
  <si>
    <t>Formed by union of: Modern healthcare.. and: Modern healthcare..</t>
  </si>
  <si>
    <t>01607480</t>
  </si>
  <si>
    <t>Crain Communications.</t>
  </si>
  <si>
    <t>8806605</t>
  </si>
  <si>
    <t>Modern pathology : an official journal of the United States and Canadian Academy of Pathology, Inc</t>
  </si>
  <si>
    <t>MODERN PATHOLOGY : AN OFFICIAL JOURNAL OF THE UNITED STATES AND CANADIAN ACADEMY OF PATHOLOGY, INC</t>
  </si>
  <si>
    <t>Mod Pathol</t>
  </si>
  <si>
    <t>100959226</t>
  </si>
  <si>
    <t>Modern rheumatology / the Japan Rheumatism Association</t>
  </si>
  <si>
    <t>MODERN RHEUMATOLOGY / THE JAPAN RHEUMATISM ASSOCIATION</t>
  </si>
  <si>
    <t>Mod Rheumatol</t>
  </si>
  <si>
    <t>Continues: Japanese journal of rheumatology.</t>
  </si>
  <si>
    <t>Spring-Verlag Tokyo</t>
  </si>
  <si>
    <t>101253756</t>
  </si>
  <si>
    <t>Molecular &amp; cellular biomechanics : MCB</t>
  </si>
  <si>
    <t>MOLECULAR &amp; CELLULAR BIOMECHANICS : MCB</t>
  </si>
  <si>
    <t>Mol Cell Biomech</t>
  </si>
  <si>
    <t>Continues: Mechanics &amp; chemistry of biosystems.</t>
  </si>
  <si>
    <t>15565300</t>
  </si>
  <si>
    <t>15565297</t>
  </si>
  <si>
    <t>Tech Science Press</t>
  </si>
  <si>
    <t>Biomedical Engineering#Cell Biology#Molecular Biology</t>
  </si>
  <si>
    <t>101125647</t>
  </si>
  <si>
    <t>Molecular &amp; cellular proteomics : MCP</t>
  </si>
  <si>
    <t>MOLECULAR &amp; CELLULAR PROTEOMICS : MCP</t>
  </si>
  <si>
    <t>Mol Cell Proteomics</t>
  </si>
  <si>
    <t>Biochemistry#Cell Biology#Molecular Biology</t>
  </si>
  <si>
    <t>8006324</t>
  </si>
  <si>
    <t>Molecular and biochemical parasitology</t>
  </si>
  <si>
    <t>MOLECULAR AND BIOCHEMICAL PARASITOLOGY</t>
  </si>
  <si>
    <t>Mol Biochem Parasitol</t>
  </si>
  <si>
    <t>Biochemistry#Molecular Biology#Parasitology</t>
  </si>
  <si>
    <t>0364456</t>
  </si>
  <si>
    <t>Molecular and cellular biochemistry</t>
  </si>
  <si>
    <t>MOLECULAR AND CELLULAR BIOCHEMISTRY</t>
  </si>
  <si>
    <t>Mol Cell Biochem</t>
  </si>
  <si>
    <t>Supersedes Enzymologia.</t>
  </si>
  <si>
    <t>Twenty six no. a year, 2009-</t>
  </si>
  <si>
    <t>8109087</t>
  </si>
  <si>
    <t>Molecular and cellular biology</t>
  </si>
  <si>
    <t>MOLECULAR AND CELLULAR BIOLOGY</t>
  </si>
  <si>
    <t>Mol Cell Biol</t>
  </si>
  <si>
    <t>7500844</t>
  </si>
  <si>
    <t>Molecular and cellular endocrinology</t>
  </si>
  <si>
    <t>MOLECULAR AND CELLULAR ENDOCRINOLOGY</t>
  </si>
  <si>
    <t>Mol Cell Endocrinol</t>
  </si>
  <si>
    <t>Twenty six no. a year, 2000-</t>
  </si>
  <si>
    <t>Cell Biology#Endocrinology#Molecular Biology</t>
  </si>
  <si>
    <t>9100095</t>
  </si>
  <si>
    <t>Molecular and cellular neurosciences</t>
  </si>
  <si>
    <t>MOLECULAR AND CELLULAR NEUROSCIENCES</t>
  </si>
  <si>
    <t>Mol Cell Neurosci</t>
  </si>
  <si>
    <t>8709751</t>
  </si>
  <si>
    <t>Molecular and cellular probes</t>
  </si>
  <si>
    <t>MOLECULAR AND CELLULAR PROBES</t>
  </si>
  <si>
    <t>Mol Cell Probes</t>
  </si>
  <si>
    <t>Biotechnology#Cell Biology#Molecular Biology</t>
  </si>
  <si>
    <t>7603128</t>
  </si>
  <si>
    <t>Molecular aspects of medicine</t>
  </si>
  <si>
    <t>MOLECULAR ASPECTS OF MEDICINE</t>
  </si>
  <si>
    <t>Mol Aspects Med</t>
  </si>
  <si>
    <t>8501455</t>
  </si>
  <si>
    <t>Molecular biology and evolution</t>
  </si>
  <si>
    <t>MOLECULAR BIOLOGY AND EVOLUTION</t>
  </si>
  <si>
    <t>Mol Biol Evol</t>
  </si>
  <si>
    <t>9201390</t>
  </si>
  <si>
    <t>Molecular biology of the cell</t>
  </si>
  <si>
    <t>MOLECULAR BIOLOGY OF THE CELL</t>
  </si>
  <si>
    <t>Mol Biol Cell</t>
  </si>
  <si>
    <t>Continues: Cell regulation.</t>
  </si>
  <si>
    <t>0403234</t>
  </si>
  <si>
    <t>Molecular biology reports</t>
  </si>
  <si>
    <t>MOLECULAR BIOLOGY REPORTS</t>
  </si>
  <si>
    <t>Mol Biol Rep</t>
  </si>
  <si>
    <t>Reidel.</t>
  </si>
  <si>
    <t>101251620</t>
  </si>
  <si>
    <t>Molecular bioSystems</t>
  </si>
  <si>
    <t>MOLECULAR BIOSYSTEMS</t>
  </si>
  <si>
    <t>Mol Biosyst</t>
  </si>
  <si>
    <t>17422051</t>
  </si>
  <si>
    <t>1742206X</t>
  </si>
  <si>
    <t>9423533</t>
  </si>
  <si>
    <t>Molecular biotechnology</t>
  </si>
  <si>
    <t>MOLECULAR BIOTECHNOLOGY</t>
  </si>
  <si>
    <t>Mol Biotechnol</t>
  </si>
  <si>
    <t>Separated from: Applied biochemistry and biotechnology.</t>
  </si>
  <si>
    <t>101468876</t>
  </si>
  <si>
    <t>Molecular brain</t>
  </si>
  <si>
    <t>MOLECULAR BRAIN</t>
  </si>
  <si>
    <t>Mol Brain</t>
  </si>
  <si>
    <t>Brain#Molecular Biology</t>
  </si>
  <si>
    <t>101147698</t>
  </si>
  <si>
    <t>Molecular cancer</t>
  </si>
  <si>
    <t>MOLECULAR CANCER</t>
  </si>
  <si>
    <t>Mol Cancer</t>
  </si>
  <si>
    <t>101150042</t>
  </si>
  <si>
    <t>Molecular cancer research : MCR</t>
  </si>
  <si>
    <t>MOLECULAR CANCER RESEARCH : MCR</t>
  </si>
  <si>
    <t>Mol Cancer Res</t>
  </si>
  <si>
    <t>Continues: Cell growth &amp; differentiation.</t>
  </si>
  <si>
    <t>Cell Biology#Molecular Biology#Neoplasms</t>
  </si>
  <si>
    <t>101132535</t>
  </si>
  <si>
    <t>Molecular cancer therapeutics</t>
  </si>
  <si>
    <t>MOLECULAR CANCER THERAPEUTICS</t>
  </si>
  <si>
    <t>Mol Cancer Ther</t>
  </si>
  <si>
    <t>American Association for Cancer Research, Inc.</t>
  </si>
  <si>
    <t>8811105</t>
  </si>
  <si>
    <t>Molecular carcinogenesis</t>
  </si>
  <si>
    <t>MOLECULAR CARCINOGENESIS</t>
  </si>
  <si>
    <t>Mol Carcinog</t>
  </si>
  <si>
    <t>9802571</t>
  </si>
  <si>
    <t>Molecular cell</t>
  </si>
  <si>
    <t>MOLECULAR CELL</t>
  </si>
  <si>
    <t>Mol Cell</t>
  </si>
  <si>
    <t>101264260</t>
  </si>
  <si>
    <t>Molecular diagnosis &amp; therapy</t>
  </si>
  <si>
    <t>MOLECULAR DIAGNOSIS &amp; THERAPY</t>
  </si>
  <si>
    <t>Mol Diagn Ther</t>
  </si>
  <si>
    <t>Merger of: Molecular diagnosis; and: American journal of pharmacogenomics, continuing the numbering of the former.</t>
  </si>
  <si>
    <t>Clinical Laboratory Techniques#Molecular Biology#Pharmacology</t>
  </si>
  <si>
    <t>9516534</t>
  </si>
  <si>
    <t>Molecular diversity</t>
  </si>
  <si>
    <t>MOLECULAR DIVERSITY</t>
  </si>
  <si>
    <t>Mol Divers</t>
  </si>
  <si>
    <t>ESCOM Science Publishers</t>
  </si>
  <si>
    <t>9214478</t>
  </si>
  <si>
    <t>Molecular ecology</t>
  </si>
  <si>
    <t>MOLECULAR ECOLOGY</t>
  </si>
  <si>
    <t>Mol Ecol</t>
  </si>
  <si>
    <t>1365294X</t>
  </si>
  <si>
    <t>09621083</t>
  </si>
  <si>
    <t>Twenty-four no. a year, 2007-</t>
  </si>
  <si>
    <t>101465604</t>
  </si>
  <si>
    <t>Molecular ecology resources</t>
  </si>
  <si>
    <t>MOLECULAR ECOLOGY RESOURCES</t>
  </si>
  <si>
    <t>Mol Ecol Resour</t>
  </si>
  <si>
    <t>Continues: Molecular ecology notes.</t>
  </si>
  <si>
    <t>17550998</t>
  </si>
  <si>
    <t>1755098X</t>
  </si>
  <si>
    <t>8801431</t>
  </si>
  <si>
    <t>Molecular endocrinology (Baltimore, Md.)</t>
  </si>
  <si>
    <t>MOLECULAR ENDOCRINOLOGY (BALTIMORE, MD.)</t>
  </si>
  <si>
    <t>Mol Endocrinol</t>
  </si>
  <si>
    <t>19449917</t>
  </si>
  <si>
    <t>101093320</t>
  </si>
  <si>
    <t>Molecular genetics and genomics : MGG</t>
  </si>
  <si>
    <t>MOLECULAR GENETICS AND GENOMICS : MGG</t>
  </si>
  <si>
    <t>Mol Genet Genomics</t>
  </si>
  <si>
    <t>Continues: Molecular &amp; general genetics.</t>
  </si>
  <si>
    <t>9805456</t>
  </si>
  <si>
    <t>Molecular genetics and metabolism</t>
  </si>
  <si>
    <t>MOLECULAR GENETICS AND METABOLISM</t>
  </si>
  <si>
    <t>Mol Genet Metab</t>
  </si>
  <si>
    <t>Continues: Biochemical and molecular medicine.</t>
  </si>
  <si>
    <t>Biochemistry#Metabolism#Molecular Biology</t>
  </si>
  <si>
    <t>9513710</t>
  </si>
  <si>
    <t>Molecular human reproduction</t>
  </si>
  <si>
    <t>MOLECULAR HUMAN REPRODUCTION</t>
  </si>
  <si>
    <t>Mol Hum Reprod</t>
  </si>
  <si>
    <t>Oxford University Press for the European Society for Human Reproduction and Embryology</t>
  </si>
  <si>
    <t>Molecular Biology#Reproductive Medicine</t>
  </si>
  <si>
    <t>101120118</t>
  </si>
  <si>
    <t>Molecular imaging</t>
  </si>
  <si>
    <t>MOLECULAR IMAGING</t>
  </si>
  <si>
    <t>Mol Imaging</t>
  </si>
  <si>
    <t>15360121</t>
  </si>
  <si>
    <t>15353508</t>
  </si>
  <si>
    <t>Decker</t>
  </si>
  <si>
    <t>Eight issues per year, &lt;2013-&gt;</t>
  </si>
  <si>
    <t>101125610</t>
  </si>
  <si>
    <t>Molecular imaging and biology : MIB : the official publication of the Academy of Molecular Imaging</t>
  </si>
  <si>
    <t>MOLECULAR IMAGING AND BIOLOGY : MIB : THE OFFICIAL PUBLICATION OF THE ACADEMY OF MOLECULAR IMAGING</t>
  </si>
  <si>
    <t>Mol Imaging Biol</t>
  </si>
  <si>
    <t>Continues: Clinical positron imaging.</t>
  </si>
  <si>
    <t>Diagnostic Imaging#Molecular Biology</t>
  </si>
  <si>
    <t>7905289</t>
  </si>
  <si>
    <t>Molecular immunology</t>
  </si>
  <si>
    <t>MOLECULAR IMMUNOLOGY</t>
  </si>
  <si>
    <t>Mol Immunol</t>
  </si>
  <si>
    <t>Continues Immunochemistry.</t>
  </si>
  <si>
    <t>9501023</t>
  </si>
  <si>
    <t>Molecular medicine (Cambridge, Mass.)</t>
  </si>
  <si>
    <t>MOLECULAR MEDICINE (CAMBRIDGE, MASS.)</t>
  </si>
  <si>
    <t>Mol Med</t>
  </si>
  <si>
    <t>15283658</t>
  </si>
  <si>
    <t>North Shore Long Island Jewish Research Institute</t>
  </si>
  <si>
    <t>101475259</t>
  </si>
  <si>
    <t>Molecular medicine reports</t>
  </si>
  <si>
    <t>MOLECULAR MEDICINE REPORTS</t>
  </si>
  <si>
    <t>Mol Med Rep</t>
  </si>
  <si>
    <t>D. A. Spandidos</t>
  </si>
  <si>
    <t>9430797</t>
  </si>
  <si>
    <t>Molecular membrane biology</t>
  </si>
  <si>
    <t>MOLECULAR MEMBRANE BIOLOGY</t>
  </si>
  <si>
    <t>Mol Membr Biol</t>
  </si>
  <si>
    <t>Continues: Membrane biochemistry.</t>
  </si>
  <si>
    <t>8712028</t>
  </si>
  <si>
    <t>Molecular microbiology</t>
  </si>
  <si>
    <t>MOLECULAR MICROBIOLOGY</t>
  </si>
  <si>
    <t>Mol Microbiol</t>
  </si>
  <si>
    <t>Twenty three no. a year</t>
  </si>
  <si>
    <t>8900963</t>
  </si>
  <si>
    <t>Molecular neurobiology</t>
  </si>
  <si>
    <t>MOLECULAR NEUROBIOLOGY</t>
  </si>
  <si>
    <t>Mol Neurobiol</t>
  </si>
  <si>
    <t>101266600</t>
  </si>
  <si>
    <t>Molecular neurodegeneration</t>
  </si>
  <si>
    <t>MOLECULAR NEURODEGENERATION</t>
  </si>
  <si>
    <t>Mol Neurodegener</t>
  </si>
  <si>
    <t>101231818</t>
  </si>
  <si>
    <t>Molecular nutrition &amp; food research</t>
  </si>
  <si>
    <t>MOLECULAR NUTRITION &amp; FOOD RESEARCH</t>
  </si>
  <si>
    <t>Mol Nutr Food Res</t>
  </si>
  <si>
    <t>Continues: Nahrung.</t>
  </si>
  <si>
    <t>16134133</t>
  </si>
  <si>
    <t>16134125</t>
  </si>
  <si>
    <t>101308230</t>
  </si>
  <si>
    <t>Molecular oncology</t>
  </si>
  <si>
    <t>MOLECULAR ONCOLOGY</t>
  </si>
  <si>
    <t>Mol Oncol</t>
  </si>
  <si>
    <t>101524770</t>
  </si>
  <si>
    <t>Molecular oral microbiology</t>
  </si>
  <si>
    <t>MOLECULAR ORAL MICROBIOLOGY</t>
  </si>
  <si>
    <t>Mol Oral Microbiol</t>
  </si>
  <si>
    <t>Continues: Oral microbiology and immunology.</t>
  </si>
  <si>
    <t>Dentistry#Microbiology</t>
  </si>
  <si>
    <t>101242662</t>
  </si>
  <si>
    <t>Molecular pain</t>
  </si>
  <si>
    <t>MOLECULAR PAIN</t>
  </si>
  <si>
    <t>Mol Pain</t>
  </si>
  <si>
    <t>Molecular Biology#Neurology#Psychophysiology</t>
  </si>
  <si>
    <t>101197791</t>
  </si>
  <si>
    <t>Molecular pharmaceutics</t>
  </si>
  <si>
    <t>MOLECULAR PHARMACEUTICS</t>
  </si>
  <si>
    <t>Mol Pharm</t>
  </si>
  <si>
    <t>Molecular Biology#Pharmacology</t>
  </si>
  <si>
    <t>0035623</t>
  </si>
  <si>
    <t>Molecular pharmacology</t>
  </si>
  <si>
    <t>MOLECULAR PHARMACOLOGY</t>
  </si>
  <si>
    <t>Mol Pharmacol</t>
  </si>
  <si>
    <t>9304400</t>
  </si>
  <si>
    <t>Molecular phylogenetics and evolution</t>
  </si>
  <si>
    <t>MOLECULAR PHYLOGENETICS AND EVOLUTION</t>
  </si>
  <si>
    <t>Mol Phylogenet Evol</t>
  </si>
  <si>
    <t>10959513</t>
  </si>
  <si>
    <t>10557903</t>
  </si>
  <si>
    <t>101465514</t>
  </si>
  <si>
    <t>Molecular plant</t>
  </si>
  <si>
    <t>MOLECULAR PLANT</t>
  </si>
  <si>
    <t>Mol Plant</t>
  </si>
  <si>
    <t>Continues: Zhi wu sheng li yu fen zi sheng wu xue xue bao.</t>
  </si>
  <si>
    <t>17529867</t>
  </si>
  <si>
    <t>16742052</t>
  </si>
  <si>
    <t>Botany#Molecular Biology</t>
  </si>
  <si>
    <t>100954969</t>
  </si>
  <si>
    <t>Molecular plant pathology</t>
  </si>
  <si>
    <t>MOLECULAR PLANT PATHOLOGY</t>
  </si>
  <si>
    <t>Mol Plant Pathol</t>
  </si>
  <si>
    <t>Continues the Internet journal, Molecular plant pathology online.</t>
  </si>
  <si>
    <t>13643703</t>
  </si>
  <si>
    <t>14646722</t>
  </si>
  <si>
    <t>Blackwell Science in collaboration with the British Society of Plant Pathology</t>
  </si>
  <si>
    <t>9107902</t>
  </si>
  <si>
    <t>Molecular plant-microbe interactions : MPMI</t>
  </si>
  <si>
    <t>MOLECULAR PLANT-MICROBE INTERACTIONS : MPMI</t>
  </si>
  <si>
    <t>Mol Plant Microbe Interact</t>
  </si>
  <si>
    <t>08940282</t>
  </si>
  <si>
    <t>APS Press</t>
  </si>
  <si>
    <t>12 no. a year, 1998-</t>
  </si>
  <si>
    <t>Botany#Microbiology#Molecular Biology</t>
  </si>
  <si>
    <t>9607835</t>
  </si>
  <si>
    <t>Molecular psychiatry</t>
  </si>
  <si>
    <t>MOLECULAR PSYCHIATRY</t>
  </si>
  <si>
    <t>Mol Psychiatry</t>
  </si>
  <si>
    <t>Nature Publishing Group Specialist Journals</t>
  </si>
  <si>
    <t>Molecular Biology#Psychiatry</t>
  </si>
  <si>
    <t>8903333</t>
  </si>
  <si>
    <t>Molecular reproduction and development</t>
  </si>
  <si>
    <t>MOLECULAR REPRODUCTION AND DEVELOPMENT</t>
  </si>
  <si>
    <t>Mol Reprod Dev</t>
  </si>
  <si>
    <t>Absorbed: Gamete research.</t>
  </si>
  <si>
    <t>101235389</t>
  </si>
  <si>
    <t>Molecular systems biology</t>
  </si>
  <si>
    <t>MOLECULAR SYSTEMS BIOLOGY</t>
  </si>
  <si>
    <t>Mol Syst Biol</t>
  </si>
  <si>
    <t>100890581</t>
  </si>
  <si>
    <t>Molecular therapy : the journal of the American Society of Gene Therapy</t>
  </si>
  <si>
    <t>MOLECULAR THERAPY : THE JOURNAL OF THE AMERICAN SOCIETY OF GENE THERAPY</t>
  </si>
  <si>
    <t>Mol Ther</t>
  </si>
  <si>
    <t>Molecular Biology#Therapeutics</t>
  </si>
  <si>
    <t>9605351</t>
  </si>
  <si>
    <t>Molecular vision</t>
  </si>
  <si>
    <t>MOLECULAR VISION</t>
  </si>
  <si>
    <t>Mol Vis</t>
  </si>
  <si>
    <t>Molecular Biology#Ophthalmology</t>
  </si>
  <si>
    <t>100964009</t>
  </si>
  <si>
    <t>Molecules (Basel, Switzerland)</t>
  </si>
  <si>
    <t>MOLECULES (BASEL, SWITZERLAND)</t>
  </si>
  <si>
    <t>Molecules</t>
  </si>
  <si>
    <t>14203049</t>
  </si>
  <si>
    <t>9610936</t>
  </si>
  <si>
    <t>Molecules and cells</t>
  </si>
  <si>
    <t>MOLECULES AND CELLS</t>
  </si>
  <si>
    <t>Mol Cells</t>
  </si>
  <si>
    <t>Korean Society for Molecular and Cellular Biology, distributed by Springer</t>
  </si>
  <si>
    <t>0105454</t>
  </si>
  <si>
    <t>Molekuliarnaia biologiia</t>
  </si>
  <si>
    <t>MOLEKULIARNAIA BIOLOGIIA</t>
  </si>
  <si>
    <t>Mol Biol (Mosk)</t>
  </si>
  <si>
    <t>00268984</t>
  </si>
  <si>
    <t>9315607</t>
  </si>
  <si>
    <t>Molekuliarnaia genetika, mikrobiologiia i virusologiia</t>
  </si>
  <si>
    <t>MOLEKULIARNAIA GENETIKA, MIKROBIOLOGIIA I VIRUSOLOGIIA</t>
  </si>
  <si>
    <t>Mol Gen Mikrobiol Virusol</t>
  </si>
  <si>
    <t>02080613</t>
  </si>
  <si>
    <t>Microbiology#Molecular Biology#Virology</t>
  </si>
  <si>
    <t>9307314</t>
  </si>
  <si>
    <t>Monaldi archives for chest disease = Archivio Monaldi per le malattie del torace / Fondazione clinica del lavoro, IRCCS [and] Istituto di clinica tisiologica e malattie apparato respiratorio, Università di Napoli, Secondo ateneo</t>
  </si>
  <si>
    <t>MONALDI ARCHIVES FOR CHEST DISEASE = ARCHIVIO MONALDI PER LE MALATTIE DEL TORACE / FONDAZIONE CLINICA DEL LAVORO, IRCCS [AND] ISTITUTO DI CLINICA TISIOLOGICA E MALATTIE APPARATO RESPIRATORIO, UNIVERSITA DI NAPOLI, SECONDO ATENEO</t>
  </si>
  <si>
    <t>Monaldi Arch Chest Dis</t>
  </si>
  <si>
    <t>Continues: Archivio Monaldi per le malattie del torace.</t>
  </si>
  <si>
    <t>Fondazione clinica del lavoro edizioni : Distributed by PI-ME tipographia</t>
  </si>
  <si>
    <t>100973394</t>
  </si>
  <si>
    <t>Monash bioethics review</t>
  </si>
  <si>
    <t>MONASH BIOETHICS REVIEW</t>
  </si>
  <si>
    <t>Monash Bioeth Rev</t>
  </si>
  <si>
    <t>Continues: Bioethics news.</t>
  </si>
  <si>
    <t>18366716</t>
  </si>
  <si>
    <t>13212753</t>
  </si>
  <si>
    <t>Centre for Human Bioethics, Monash University</t>
  </si>
  <si>
    <t>101590955</t>
  </si>
  <si>
    <t>Monoclonal antibodies in immunodiagnosis and immunotherapy</t>
  </si>
  <si>
    <t>MONOCLONAL ANTIBODIES IN IMMUNODIAGNOSIS AND IMMUNOTHERAPY</t>
  </si>
  <si>
    <t>Monoclon Antib Immunodiagn Immunother</t>
  </si>
  <si>
    <t>Continues: Hybridoma (2005).</t>
  </si>
  <si>
    <t>Allergy and Immunology#Cell Biology#Clinical Laboratory Techniques</t>
  </si>
  <si>
    <t>0370161</t>
  </si>
  <si>
    <t>Monographs in clinical cytology</t>
  </si>
  <si>
    <t>MONOGRAPHS IN CLINICAL CYTOLOGY</t>
  </si>
  <si>
    <t>Monogr Clin Cytol</t>
  </si>
  <si>
    <t>Continues Clinical cytology.</t>
  </si>
  <si>
    <t>16623827</t>
  </si>
  <si>
    <t>00770809</t>
  </si>
  <si>
    <t>0327545</t>
  </si>
  <si>
    <t>Monographs in oral science</t>
  </si>
  <si>
    <t>MONOGRAPHS IN ORAL SCIENCE</t>
  </si>
  <si>
    <t>Monogr Oral Sci</t>
  </si>
  <si>
    <t>16623843</t>
  </si>
  <si>
    <t>00770892</t>
  </si>
  <si>
    <t>7508397</t>
  </si>
  <si>
    <t>Monographs of the Society for Research in Child Development</t>
  </si>
  <si>
    <t>MONOGRAPHS OF THE SOCIETY FOR RESEARCH IN CHILD DEVELOPMENT</t>
  </si>
  <si>
    <t>Monogr Soc Res Child Dev</t>
  </si>
  <si>
    <t>15405834</t>
  </si>
  <si>
    <t>0037976X</t>
  </si>
  <si>
    <t>101142015</t>
  </si>
  <si>
    <t>Morbidity and mortality weekly report. Surveillance summaries (Washington, D.C. : 2002)</t>
  </si>
  <si>
    <t>MORBIDITY AND MORTALITY WEEKLY REPORT. SURVEILLANCE SUMMARIES (WASHINGTON, D.C. : 2002)</t>
  </si>
  <si>
    <t>MMWR Surveill Summ</t>
  </si>
  <si>
    <t>Absorbed: Abortion surveillance. Continues: Morbidity and mortality weekly report. CDC surveillance summaries.</t>
  </si>
  <si>
    <t>15458636</t>
  </si>
  <si>
    <t>15460738</t>
  </si>
  <si>
    <t>08923787</t>
  </si>
  <si>
    <t>Epidemiology Program Office, Centers for Disease Control and Prevention, U.S. Dept. of Health and Human Services</t>
  </si>
  <si>
    <t>9317610</t>
  </si>
  <si>
    <t>Morfologii͡a (Saint Petersburg, Russia)</t>
  </si>
  <si>
    <t>MORFOLOGIIA (SAINT PETERSBURG, RUSSIA)</t>
  </si>
  <si>
    <t>Morfologiia</t>
  </si>
  <si>
    <t>Continues: Arkhiv anatomii, gistologii i ėmbriologii.</t>
  </si>
  <si>
    <t>10263543</t>
  </si>
  <si>
    <t>Six no a year, 1994-</t>
  </si>
  <si>
    <t>9814314</t>
  </si>
  <si>
    <t>Morphologie : bulletin de l'Association des anatomistes</t>
  </si>
  <si>
    <t>MORPHOLOGIE : BULLETIN DE L'ASSOCIATION DES ANATOMISTES</t>
  </si>
  <si>
    <t>Continues: Bulletin de l'Association des anatomistes.</t>
  </si>
  <si>
    <t>9706297</t>
  </si>
  <si>
    <t>Motor control</t>
  </si>
  <si>
    <t>MOTOR CONTROL</t>
  </si>
  <si>
    <t>8610688</t>
  </si>
  <si>
    <t>Movement disorders : official journal of the Movement Disorder Society</t>
  </si>
  <si>
    <t>MOVEMENT DISORDERS : OFFICIAL JOURNAL OF THE MOVEMENT DISORDER SOCIETY</t>
  </si>
  <si>
    <t>Mov Disord</t>
  </si>
  <si>
    <t>101548156</t>
  </si>
  <si>
    <t>MSMR</t>
  </si>
  <si>
    <t>21528217</t>
  </si>
  <si>
    <t>21580111</t>
  </si>
  <si>
    <t>Armed Forces Health Surveillance Center</t>
  </si>
  <si>
    <t>Epidemiology#Military Medicine</t>
  </si>
  <si>
    <t>101299742</t>
  </si>
  <si>
    <t>Mucosal immunology</t>
  </si>
  <si>
    <t>MUCOSAL IMMUNOLOGY</t>
  </si>
  <si>
    <t>Mucosal Immunol</t>
  </si>
  <si>
    <t>101495626</t>
  </si>
  <si>
    <t>Multimedia manual of cardiothoracic surgery : MMCTS / European Association for Cardio-Thoracic Surgery</t>
  </si>
  <si>
    <t>MULTIMEDIA MANUAL OF CARDIOTHORACIC SURGERY : MMCTS / EUROPEAN ASSOCIATION FOR CARDIO-THORACIC SURGERY</t>
  </si>
  <si>
    <t>Multimed Man Cardiothorac Surg</t>
  </si>
  <si>
    <t>18139175</t>
  </si>
  <si>
    <t>9509185</t>
  </si>
  <si>
    <t>Multiple sclerosis (Houndmills, Basingstoke, England)</t>
  </si>
  <si>
    <t>MULTIPLE SCLEROSIS (HOUNDMILLS, BASINGSTOKE, ENGLAND)</t>
  </si>
  <si>
    <t>Mult Scler</t>
  </si>
  <si>
    <t>101604290</t>
  </si>
  <si>
    <t>Multisensory research</t>
  </si>
  <si>
    <t>MULTISENSORY RESEARCH</t>
  </si>
  <si>
    <t>Multisens Res</t>
  </si>
  <si>
    <t>Continues: Seeing and perceiving.</t>
  </si>
  <si>
    <t>22134808</t>
  </si>
  <si>
    <t>22134794</t>
  </si>
  <si>
    <t>Six times a year</t>
  </si>
  <si>
    <t>Ophthalmology#Psychophysiology</t>
  </si>
  <si>
    <t>7803146</t>
  </si>
  <si>
    <t>Muscle &amp; nerve</t>
  </si>
  <si>
    <t>MUSCLE &amp; NERVE</t>
  </si>
  <si>
    <t>Muscle Nerve</t>
  </si>
  <si>
    <t>Monthly, &lt;Oct. 1989- &gt;</t>
  </si>
  <si>
    <t>101181344</t>
  </si>
  <si>
    <t>Musculoskeletal care</t>
  </si>
  <si>
    <t>MUSCULOSKELETAL CARE</t>
  </si>
  <si>
    <t>Musculoskeletal Care</t>
  </si>
  <si>
    <t>15570681</t>
  </si>
  <si>
    <t>14782189</t>
  </si>
  <si>
    <t>Whurr Publishers</t>
  </si>
  <si>
    <t>101498346</t>
  </si>
  <si>
    <t>Musculoskeletal surgery</t>
  </si>
  <si>
    <t>MUSCULOSKELETAL SURGERY</t>
  </si>
  <si>
    <t>Musculoskelet Surg</t>
  </si>
  <si>
    <t>Continues: Chirurgia degli organi di movimento.</t>
  </si>
  <si>
    <t>20355114</t>
  </si>
  <si>
    <t>20355106</t>
  </si>
  <si>
    <t>8707812</t>
  </si>
  <si>
    <t>MUTAGENESIS</t>
  </si>
  <si>
    <t>Environmental Health#Genetics, Medical</t>
  </si>
  <si>
    <t>0400763</t>
  </si>
  <si>
    <t>Mutation research</t>
  </si>
  <si>
    <t>MUTATION RESEARCH</t>
  </si>
  <si>
    <t>Mutat Res</t>
  </si>
  <si>
    <t>Continued in part by: DNA repair.</t>
  </si>
  <si>
    <t>1873135X</t>
  </si>
  <si>
    <t>84 no. a year, &lt;2002-&gt;</t>
  </si>
  <si>
    <t>0400764</t>
  </si>
  <si>
    <t>Mycologia</t>
  </si>
  <si>
    <t>MYCOLOGIA</t>
  </si>
  <si>
    <t>Formed by the merger of: Mycological bulletin, and: Journal of mycology.</t>
  </si>
  <si>
    <t>15572536</t>
  </si>
  <si>
    <t>00275514</t>
  </si>
  <si>
    <t>Mycological Society of America</t>
  </si>
  <si>
    <t>7505689</t>
  </si>
  <si>
    <t>Mycopathologia</t>
  </si>
  <si>
    <t>MYCOPATHOLOGIA</t>
  </si>
  <si>
    <t>Continues Mycopathologia et mycologia applicata.</t>
  </si>
  <si>
    <t>15730832</t>
  </si>
  <si>
    <t>0301486X</t>
  </si>
  <si>
    <t>100955036</t>
  </si>
  <si>
    <t>Mycorrhiza</t>
  </si>
  <si>
    <t>MYCORRHIZA</t>
  </si>
  <si>
    <t>14321890</t>
  </si>
  <si>
    <t>09406360</t>
  </si>
  <si>
    <t>Six no. a year, &lt;2002-&gt;</t>
  </si>
  <si>
    <t>Botany#Microbiology</t>
  </si>
  <si>
    <t>8805008</t>
  </si>
  <si>
    <t>MYCOSES</t>
  </si>
  <si>
    <t>Continues: Mykosen.</t>
  </si>
  <si>
    <t>Grosse Verlag</t>
  </si>
  <si>
    <t>8807334</t>
  </si>
  <si>
    <t>Mycotoxin research</t>
  </si>
  <si>
    <t>MYCOTOXIN RESEARCH</t>
  </si>
  <si>
    <t>Mycotoxin Res</t>
  </si>
  <si>
    <t>9601799</t>
  </si>
  <si>
    <t>Mymensingh medical journal : MMJ</t>
  </si>
  <si>
    <t>MYMENSINGH MEDICAL JOURNAL : MMJ</t>
  </si>
  <si>
    <t>Mymensingh Med J</t>
  </si>
  <si>
    <t>10224742</t>
  </si>
  <si>
    <t>Mymensingh Medical College</t>
  </si>
  <si>
    <t>0412011</t>
  </si>
  <si>
    <t>Nagoya journal of medical science</t>
  </si>
  <si>
    <t>NAGOYA JOURNAL OF MEDICAL SCIENCE</t>
  </si>
  <si>
    <t>Nagoya J Med Sci</t>
  </si>
  <si>
    <t>Continues Aichi journal of experimental medicine.</t>
  </si>
  <si>
    <t>21863326</t>
  </si>
  <si>
    <t>00277622</t>
  </si>
  <si>
    <t>Nagoya University School Of Medicine</t>
  </si>
  <si>
    <t>101266132</t>
  </si>
  <si>
    <t>Nan fang yi ke da xue xue bao = Journal of Southern Medical University</t>
  </si>
  <si>
    <t>NAN FANG YI KE DA XUE XUE BAO = JOURNAL OF SOUTHERN MEDICAL UNIVERSITY</t>
  </si>
  <si>
    <t>Nan Fang Yi Ke Da Xue Xue Bao</t>
  </si>
  <si>
    <t>Continues: Di 1 jun yi da xue xue bao.</t>
  </si>
  <si>
    <t>16734254</t>
  </si>
  <si>
    <t>Nanfang yi ke da xue xue bao bian ji bu</t>
  </si>
  <si>
    <t>101088070</t>
  </si>
  <si>
    <t>Nano letters</t>
  </si>
  <si>
    <t>NANO LETTERS</t>
  </si>
  <si>
    <t>Nano Lett</t>
  </si>
  <si>
    <t>15306992</t>
  </si>
  <si>
    <t>15306984</t>
  </si>
  <si>
    <t>101278111</t>
  </si>
  <si>
    <t>Nanomedicine (London, England)</t>
  </si>
  <si>
    <t>NANOMEDICINE (LONDON, ENGLAND)</t>
  </si>
  <si>
    <t>Nanomedicine (Lond)</t>
  </si>
  <si>
    <t>101233142</t>
  </si>
  <si>
    <t>Nanomedicine : nanotechnology, biology, and medicine</t>
  </si>
  <si>
    <t>NANOMEDICINE : NANOTECHNOLOGY, BIOLOGY, AND MEDICINE</t>
  </si>
  <si>
    <t>101525249</t>
  </si>
  <si>
    <t>Nanoscale</t>
  </si>
  <si>
    <t>NANOSCALE</t>
  </si>
  <si>
    <t>20403372</t>
  </si>
  <si>
    <t>20403364</t>
  </si>
  <si>
    <t>RSC Pub.</t>
  </si>
  <si>
    <t>101241272</t>
  </si>
  <si>
    <t>NANOTECHNOLOGY</t>
  </si>
  <si>
    <t>13616528</t>
  </si>
  <si>
    <t>09574484</t>
  </si>
  <si>
    <t>50 issues yearly, 2007-</t>
  </si>
  <si>
    <t>101233132</t>
  </si>
  <si>
    <t>NANOTOXICOLOGY</t>
  </si>
  <si>
    <t>Nanotechnology#Toxicology</t>
  </si>
  <si>
    <t>101603418</t>
  </si>
  <si>
    <t>Narrative inquiry in bioethics</t>
  </si>
  <si>
    <t>NARRATIVE INQUIRY IN BIOETHICS</t>
  </si>
  <si>
    <t>Narrat Inq Bioeth</t>
  </si>
  <si>
    <t>21571740</t>
  </si>
  <si>
    <t>21571732</t>
  </si>
  <si>
    <t>101528330</t>
  </si>
  <si>
    <t>NASN school nurse (Print)</t>
  </si>
  <si>
    <t>NASN SCHOOL NURSE (PRINT)</t>
  </si>
  <si>
    <t>NASN Sch Nurse</t>
  </si>
  <si>
    <t>Continues: NASNewsletter.</t>
  </si>
  <si>
    <t>19426038</t>
  </si>
  <si>
    <t>1942602X</t>
  </si>
  <si>
    <t>101215702</t>
  </si>
  <si>
    <t>National Bureau of Economic Research bulletin on aging and health</t>
  </si>
  <si>
    <t>NATIONAL BUREAU OF ECONOMIC RESEARCH BULLETIN ON AGING AND HEALTH</t>
  </si>
  <si>
    <t>Natl Bur Econ Res Bull Aging Health</t>
  </si>
  <si>
    <t>National Bureau of Economic Research</t>
  </si>
  <si>
    <t>8 articles a year.</t>
  </si>
  <si>
    <t>Geriatrics#Health Services Research</t>
  </si>
  <si>
    <t>101479519</t>
  </si>
  <si>
    <t>National health statistics reports</t>
  </si>
  <si>
    <t>NATIONAL HEALTH STATISTICS REPORTS</t>
  </si>
  <si>
    <t>Natl Health Stat Report</t>
  </si>
  <si>
    <t>Continues: Advance data from vital and health statistics of the National Center for Health Statistics.</t>
  </si>
  <si>
    <t>23328363</t>
  </si>
  <si>
    <t>21648344</t>
  </si>
  <si>
    <t>Statistics as Topic#Vital Statistics</t>
  </si>
  <si>
    <t>8809315</t>
  </si>
  <si>
    <t>The National medical journal of India</t>
  </si>
  <si>
    <t>NATIONAL MEDICAL JOURNAL OF INDIA</t>
  </si>
  <si>
    <t>Natl Med J India</t>
  </si>
  <si>
    <t>All India Institute Of Medical Sciences</t>
  </si>
  <si>
    <t>9507560</t>
  </si>
  <si>
    <t>National network (Dallas, Tex.)</t>
  </si>
  <si>
    <t>NATIONAL NETWORK (DALLAS, TEX.)</t>
  </si>
  <si>
    <t>Natl Netw</t>
  </si>
  <si>
    <t>Continues: Newsletter (Medical Library Association. Hospital Library Section).</t>
  </si>
  <si>
    <t>10753753</t>
  </si>
  <si>
    <t>The Section</t>
  </si>
  <si>
    <t>Hospitals#Library Science</t>
  </si>
  <si>
    <t>101469988</t>
  </si>
  <si>
    <t>National Toxicology Program genetically modified model report</t>
  </si>
  <si>
    <t>NATIONAL TOXICOLOGY PROGRAM GENETICALLY MODIFIED MODEL REPORT</t>
  </si>
  <si>
    <t>Natl Toxicol Program Genet Modif Model Rep</t>
  </si>
  <si>
    <t>15565246</t>
  </si>
  <si>
    <t>1556522X</t>
  </si>
  <si>
    <t>National Toxicology Program</t>
  </si>
  <si>
    <t>8500747</t>
  </si>
  <si>
    <t>National Toxicology Program technical report series</t>
  </si>
  <si>
    <t>NATIONAL TOXICOLOGY PROGRAM TECHNICAL REPORT SERIES</t>
  </si>
  <si>
    <t>Natl Toxicol Program Tech Rep Ser</t>
  </si>
  <si>
    <t>Continues: National Cancer Institute carcinogenesis technical report series.</t>
  </si>
  <si>
    <t>08888051</t>
  </si>
  <si>
    <t>Environmental Health Information Service</t>
  </si>
  <si>
    <t>9814753</t>
  </si>
  <si>
    <t>National vital statistics reports : from the Centers for Disease Control and Prevention, National Center for Health Statistics, National Vital Statistics System</t>
  </si>
  <si>
    <t>NATIONAL VITAL STATISTICS REPORTS : FROM THE CENTERS FOR DISEASE CONTROL AND PREVENTION, NATIONAL CENTER FOR HEALTH STATISTICS, NATIONAL VITAL STATISTICS SYSTEM</t>
  </si>
  <si>
    <t>Natl Vital Stat Rep</t>
  </si>
  <si>
    <t>Continues: Monthly vital statistics report.</t>
  </si>
  <si>
    <t>15518930</t>
  </si>
  <si>
    <t>15518922</t>
  </si>
  <si>
    <t>Vital Statistics</t>
  </si>
  <si>
    <t>101477873</t>
  </si>
  <si>
    <t>Natural product communications</t>
  </si>
  <si>
    <t>NATURAL PRODUCT COMMUNICATIONS</t>
  </si>
  <si>
    <t>Nat Prod Commun</t>
  </si>
  <si>
    <t>Botany#Chemistry#Pharmacology</t>
  </si>
  <si>
    <t>8502408</t>
  </si>
  <si>
    <t>Natural product reports</t>
  </si>
  <si>
    <t>NATURAL PRODUCT REPORTS</t>
  </si>
  <si>
    <t>Nat Prod Rep</t>
  </si>
  <si>
    <t>Formed by the union of: Alkaloids; Biosynthesis; Aliphatic and related natural product chemistry; and: Terpenoids and steroids.</t>
  </si>
  <si>
    <t>14604752</t>
  </si>
  <si>
    <t>02650568</t>
  </si>
  <si>
    <t>101167924</t>
  </si>
  <si>
    <t>Natural product research</t>
  </si>
  <si>
    <t>NATURAL PRODUCT RESEARCH</t>
  </si>
  <si>
    <t>Nat Prod Res</t>
  </si>
  <si>
    <t>Continues: Natural product letters.</t>
  </si>
  <si>
    <t>Fourteen no. a year, 2006-</t>
  </si>
  <si>
    <t>0410462</t>
  </si>
  <si>
    <t>NATURE</t>
  </si>
  <si>
    <t>1869</t>
  </si>
  <si>
    <t>9604648</t>
  </si>
  <si>
    <t>Nature biotechnology</t>
  </si>
  <si>
    <t>NATURE BIOTECHNOLOGY</t>
  </si>
  <si>
    <t>Nat Biotechnol</t>
  </si>
  <si>
    <t>Continues: Bio/technology (Nature Publishing Company).</t>
  </si>
  <si>
    <t>Nature America Publishing</t>
  </si>
  <si>
    <t>100890575</t>
  </si>
  <si>
    <t>Nature cell biology</t>
  </si>
  <si>
    <t>NATURE CELL BIOLOGY</t>
  </si>
  <si>
    <t>Nat Cell Biol</t>
  </si>
  <si>
    <t>Macmillan Magazines Ltd.</t>
  </si>
  <si>
    <t>101231976</t>
  </si>
  <si>
    <t>Nature chemical biology</t>
  </si>
  <si>
    <t>NATURE CHEMICAL BIOLOGY</t>
  </si>
  <si>
    <t>Nat Chem Biol</t>
  </si>
  <si>
    <t>101499734</t>
  </si>
  <si>
    <t>Nature chemistry</t>
  </si>
  <si>
    <t>NATURE CHEMISTRY</t>
  </si>
  <si>
    <t>Nat Chem</t>
  </si>
  <si>
    <t>17554349</t>
  </si>
  <si>
    <t>17554330</t>
  </si>
  <si>
    <t>101528555</t>
  </si>
  <si>
    <t>Nature communications</t>
  </si>
  <si>
    <t>NATURE COMMUNICATIONS</t>
  </si>
  <si>
    <t>Nat Commun</t>
  </si>
  <si>
    <t>9216904</t>
  </si>
  <si>
    <t>Nature genetics</t>
  </si>
  <si>
    <t>NATURE GENETICS</t>
  </si>
  <si>
    <t>Nat Genet</t>
  </si>
  <si>
    <t>Nature Pub. Co.</t>
  </si>
  <si>
    <t>100941354</t>
  </si>
  <si>
    <t>Nature immunology</t>
  </si>
  <si>
    <t>NATURE IMMUNOLOGY</t>
  </si>
  <si>
    <t>Nat Immunol</t>
  </si>
  <si>
    <t>Nature America Inc.</t>
  </si>
  <si>
    <t>101155473</t>
  </si>
  <si>
    <t>Nature materials</t>
  </si>
  <si>
    <t>NATURE MATERIALS</t>
  </si>
  <si>
    <t>Nat Mater</t>
  </si>
  <si>
    <t>14761122</t>
  </si>
  <si>
    <t>Chemistry#Science</t>
  </si>
  <si>
    <t>9502015</t>
  </si>
  <si>
    <t>Nature medicine</t>
  </si>
  <si>
    <t>NATURE MEDICINE</t>
  </si>
  <si>
    <t>Nat Med</t>
  </si>
  <si>
    <t>Nature Publishing Company</t>
  </si>
  <si>
    <t>Medicine#Molecular Biology</t>
  </si>
  <si>
    <t>101215604</t>
  </si>
  <si>
    <t>Nature methods</t>
  </si>
  <si>
    <t>NATURE METHODS</t>
  </si>
  <si>
    <t>Nat Methods</t>
  </si>
  <si>
    <t>101283273</t>
  </si>
  <si>
    <t>Nature nanotechnology</t>
  </si>
  <si>
    <t>NATURE NANOTECHNOLOGY</t>
  </si>
  <si>
    <t>Nat Nanotechnol</t>
  </si>
  <si>
    <t>9809671</t>
  </si>
  <si>
    <t>Nature neuroscience</t>
  </si>
  <si>
    <t>NATURE NEUROSCIENCE</t>
  </si>
  <si>
    <t>Nat Neurosci</t>
  </si>
  <si>
    <t>101284307</t>
  </si>
  <si>
    <t>Nature protocols</t>
  </si>
  <si>
    <t>NATURE PROTOCOLS</t>
  </si>
  <si>
    <t>Nat Protoc</t>
  </si>
  <si>
    <t>Clinical Laboratory Techniques#Science</t>
  </si>
  <si>
    <t>101124168</t>
  </si>
  <si>
    <t>Nature reviews. Cancer</t>
  </si>
  <si>
    <t>NATURE REVIEWS. CANCER</t>
  </si>
  <si>
    <t>Nat Rev Cancer</t>
  </si>
  <si>
    <t>101500075</t>
  </si>
  <si>
    <t>Nature reviews. Cardiology</t>
  </si>
  <si>
    <t>NATURE REVIEWS. CARDIOLOGY</t>
  </si>
  <si>
    <t>Nat Rev Cardiol</t>
  </si>
  <si>
    <t>Continues: Nature clinical practice. Cardiovascular medicine.</t>
  </si>
  <si>
    <t>101500077</t>
  </si>
  <si>
    <t>Nature reviews. Clinical oncology</t>
  </si>
  <si>
    <t>NATURE REVIEWS. CLINICAL ONCOLOGY</t>
  </si>
  <si>
    <t>Nat Rev Clin Oncol</t>
  </si>
  <si>
    <t>Continues: Nature clinical practice. Oncology.</t>
  </si>
  <si>
    <t>101124171</t>
  </si>
  <si>
    <t>Nature reviews. Drug discovery</t>
  </si>
  <si>
    <t>NATURE REVIEWS. DRUG DISCOVERY</t>
  </si>
  <si>
    <t>Nat Rev Drug Discov</t>
  </si>
  <si>
    <t>101500078</t>
  </si>
  <si>
    <t>Nature reviews. Endocrinology</t>
  </si>
  <si>
    <t>NATURE REVIEWS. ENDOCRINOLOGY</t>
  </si>
  <si>
    <t>Nat Rev Endocrinol</t>
  </si>
  <si>
    <t>Continues: Nature clinical practice. Endocrinology &amp; metabolism.</t>
  </si>
  <si>
    <t>101500079</t>
  </si>
  <si>
    <t>Nature reviews. Gastroenterology &amp; hepatology</t>
  </si>
  <si>
    <t>NATURE REVIEWS. GASTROENTEROLOGY &amp; HEPATOLOGY</t>
  </si>
  <si>
    <t>Nat Rev Gastroenterol Hepatol</t>
  </si>
  <si>
    <t>Continues: Nature clinical practice. Gastroenterology &amp; hepatology.</t>
  </si>
  <si>
    <t>100962779</t>
  </si>
  <si>
    <t>Nature reviews. Genetics</t>
  </si>
  <si>
    <t>NATURE REVIEWS. GENETICS</t>
  </si>
  <si>
    <t>Nat Rev Genet</t>
  </si>
  <si>
    <t>101124169</t>
  </si>
  <si>
    <t>Nature reviews. Immunology</t>
  </si>
  <si>
    <t>NATURE REVIEWS. IMMUNOLOGY</t>
  </si>
  <si>
    <t>Nat Rev Immunol</t>
  </si>
  <si>
    <t>101190261</t>
  </si>
  <si>
    <t>Nature reviews. Microbiology</t>
  </si>
  <si>
    <t>NATURE REVIEWS. MICROBIOLOGY</t>
  </si>
  <si>
    <t>Nat Rev Microbiol</t>
  </si>
  <si>
    <t>100962782</t>
  </si>
  <si>
    <t>Nature reviews. Molecular cell biology</t>
  </si>
  <si>
    <t>NATURE REVIEWS. MOLECULAR CELL BIOLOGY</t>
  </si>
  <si>
    <t>Nat Rev Mol Cell Biol</t>
  </si>
  <si>
    <t>101500081</t>
  </si>
  <si>
    <t>Nature reviews. Nephrology</t>
  </si>
  <si>
    <t>NATURE REVIEWS. NEPHROLOGY</t>
  </si>
  <si>
    <t>Nat Rev Nephrol</t>
  </si>
  <si>
    <t>Continues: Nature clinical practice. Nephrology.</t>
  </si>
  <si>
    <t>101500072</t>
  </si>
  <si>
    <t>Nature reviews. Neurology</t>
  </si>
  <si>
    <t>NATURE REVIEWS. NEUROLOGY</t>
  </si>
  <si>
    <t>Nat Rev Neurol</t>
  </si>
  <si>
    <t>Continues: Nature clinical practice. Neurology.</t>
  </si>
  <si>
    <t>100962781</t>
  </si>
  <si>
    <t>Nature reviews. Neuroscience</t>
  </si>
  <si>
    <t>NATURE REVIEWS. NEUROSCIENCE</t>
  </si>
  <si>
    <t>Nat Rev Neurosci</t>
  </si>
  <si>
    <t>101500080</t>
  </si>
  <si>
    <t>Nature reviews. Rheumatology</t>
  </si>
  <si>
    <t>NATURE REVIEWS. RHEUMATOLOGY</t>
  </si>
  <si>
    <t>Nat Rev Rheumatol</t>
  </si>
  <si>
    <t>Continues: Nature clinical practice. Rheumatology.</t>
  </si>
  <si>
    <t>101500082</t>
  </si>
  <si>
    <t>Nature reviews. Urology</t>
  </si>
  <si>
    <t>NATURE REVIEWS. UROLOGY</t>
  </si>
  <si>
    <t>Nat Rev Urol</t>
  </si>
  <si>
    <t>Continues: Nature clinical practice. Urology.</t>
  </si>
  <si>
    <t>101186374</t>
  </si>
  <si>
    <t>Nature structural &amp; molecular biology</t>
  </si>
  <si>
    <t>NATURE STRUCTURAL &amp; MOLECULAR BIOLOGY</t>
  </si>
  <si>
    <t>Nat Struct Mol Biol</t>
  </si>
  <si>
    <t>Continues: Nature structural biology.</t>
  </si>
  <si>
    <t>0400767</t>
  </si>
  <si>
    <t>Die Naturwissenschaften</t>
  </si>
  <si>
    <t>NATURWISSENSCHAFTEN</t>
  </si>
  <si>
    <t>Naturwissenschaften</t>
  </si>
  <si>
    <t>Continues: Naturwissenschaftliche Rundschau (Braunschweig, Germany). Max-Planck-Gesellschaft zur Förderung der Wissenschaften. Tätigkeitsbericht, continued by: Max-Planck-Gesellschaft zur Förderung der Wissenschaften. Jahresbericht.</t>
  </si>
  <si>
    <t>14321904</t>
  </si>
  <si>
    <t>00281042</t>
  </si>
  <si>
    <t>0326264</t>
  </si>
  <si>
    <t>Naunyn-Schmiedeberg's archives of pharmacology</t>
  </si>
  <si>
    <t>NAUNYN-SCHMIEDEBERG'S ARCHIVES OF PHARMACOLOGY</t>
  </si>
  <si>
    <t>Naunyn Schmiedebergs Arch Pharmacol</t>
  </si>
  <si>
    <t>Continues: Naunyn-Schmiedebergs Archiv für Pharmakologie.</t>
  </si>
  <si>
    <t>Springer Verlag.</t>
  </si>
  <si>
    <t>101495625</t>
  </si>
  <si>
    <t>NCHS data brief</t>
  </si>
  <si>
    <t>NCHS DATA BRIEF</t>
  </si>
  <si>
    <t>NCHS Data Brief</t>
  </si>
  <si>
    <t>19414927</t>
  </si>
  <si>
    <t>19414935</t>
  </si>
  <si>
    <t>National Center for Health Statistics</t>
  </si>
  <si>
    <t>101092658</t>
  </si>
  <si>
    <t>NCSL legisbrief</t>
  </si>
  <si>
    <t>NCSL LEGISBRIEF</t>
  </si>
  <si>
    <t>NCSL Legisbrief</t>
  </si>
  <si>
    <t>10682716</t>
  </si>
  <si>
    <t>National Conference of State Legislatures</t>
  </si>
  <si>
    <t>Four no. a month</t>
  </si>
  <si>
    <t>19010060R</t>
  </si>
  <si>
    <t>Nebraska nurse</t>
  </si>
  <si>
    <t>NEBRASKA NURSE</t>
  </si>
  <si>
    <t>Nebr Nurse</t>
  </si>
  <si>
    <t>00281921</t>
  </si>
  <si>
    <t>Nebraska State Nurses Association</t>
  </si>
  <si>
    <t>0315565</t>
  </si>
  <si>
    <t>Nebraska Symposium on Motivation. Nebraska Symposium on Motivation</t>
  </si>
  <si>
    <t>NEBRASKA SYMPOSIUM ON MOTIVATION. NEBRASKA SYMPOSIUM ON MOTIVATION</t>
  </si>
  <si>
    <t>Nebr Symp Motiv</t>
  </si>
  <si>
    <t>Continues: Current theory and research in motivation.</t>
  </si>
  <si>
    <t>01467875</t>
  </si>
  <si>
    <t>Univ. of Nebraska Press.</t>
  </si>
  <si>
    <t>0400770</t>
  </si>
  <si>
    <t>Nederlands tijdschrift voor geneeskunde</t>
  </si>
  <si>
    <t>NEDERLANDS TIJDSCHRIFT VOOR GENEESKUNDE</t>
  </si>
  <si>
    <t>Ned Tijdschr Geneeskd</t>
  </si>
  <si>
    <t>Continues: Nederlandsch tijdschrift voor geneeskunde.</t>
  </si>
  <si>
    <t>18768784</t>
  </si>
  <si>
    <t>0400771</t>
  </si>
  <si>
    <t>Nederlands tijdschrift voor tandheelkunde</t>
  </si>
  <si>
    <t>NEDERLANDS TIJDSCHRIFT VOOR TANDHEELKUNDE</t>
  </si>
  <si>
    <t>Ned Tijdschr Tandheelkd</t>
  </si>
  <si>
    <t>Continues: Tijdschrift voor tandheelkunde.</t>
  </si>
  <si>
    <t>00282200</t>
  </si>
  <si>
    <t>Prelum</t>
  </si>
  <si>
    <t>8301215</t>
  </si>
  <si>
    <t>Nefrología : publicación oficial de la Sociedad Española Nefrologia</t>
  </si>
  <si>
    <t>NEFROLOGIA : PUBLICACION OFICIAL DE LA SOCIEDAD ESPANOLA NEFROLOGIA</t>
  </si>
  <si>
    <t>Nefrologia</t>
  </si>
  <si>
    <t>19892284</t>
  </si>
  <si>
    <t>02116995</t>
  </si>
  <si>
    <t>Sociedad Española De Nefrologia</t>
  </si>
  <si>
    <t>8503921</t>
  </si>
  <si>
    <t>Neonatal network : NN</t>
  </si>
  <si>
    <t>NEONATAL NETWORK : NN</t>
  </si>
  <si>
    <t>Neonatal Netw</t>
  </si>
  <si>
    <t>15392880</t>
  </si>
  <si>
    <t>07300832</t>
  </si>
  <si>
    <t>Neonatal Network</t>
  </si>
  <si>
    <t>Six no. a year 2003-</t>
  </si>
  <si>
    <t>101286577</t>
  </si>
  <si>
    <t>NEONATOLOGY</t>
  </si>
  <si>
    <t>Continues: Biology of the neonate.</t>
  </si>
  <si>
    <t>100886622</t>
  </si>
  <si>
    <t>Neoplasia (New York, N.Y.)</t>
  </si>
  <si>
    <t>NEOPLASIA (NEW YORK, N.Y.)</t>
  </si>
  <si>
    <t>Neoplasia</t>
  </si>
  <si>
    <t>0377266</t>
  </si>
  <si>
    <t>NEOPLASMA</t>
  </si>
  <si>
    <t>Continues Ceskoslovenská onkológia.</t>
  </si>
  <si>
    <t>Slovak Academic Press, Ltd</t>
  </si>
  <si>
    <t>101189728</t>
  </si>
  <si>
    <t>Neotropical entomology</t>
  </si>
  <si>
    <t>NEOTROPICAL ENTOMOLOGY</t>
  </si>
  <si>
    <t>Neotrop Entomol</t>
  </si>
  <si>
    <t>Continues: Anais. Sociedade Entomológica do Brasil.</t>
  </si>
  <si>
    <t>16788052</t>
  </si>
  <si>
    <t>1519566X</t>
  </si>
  <si>
    <t>101129937</t>
  </si>
  <si>
    <t>Nepal Medical College journal : NMCJ</t>
  </si>
  <si>
    <t>NEPAL MEDICAL COLLEGE JOURNAL : NMCJ</t>
  </si>
  <si>
    <t>Nepal Med Coll J</t>
  </si>
  <si>
    <t>101505288</t>
  </si>
  <si>
    <t>Nepalese journal of ophthalmology : a biannual peer-reviewed academic journal of the Nepal Ophthalmic Society : NEPJOPH</t>
  </si>
  <si>
    <t>NEPALESE JOURNAL OF OPHTHALMOLOGY : A BIANNUAL PEER-REVIEWED ACADEMIC JOURNAL OF THE NEPAL OPHTHALMIC SOCIETY : NEPJOPH</t>
  </si>
  <si>
    <t>Nepal J Ophthalmol</t>
  </si>
  <si>
    <t>20910320</t>
  </si>
  <si>
    <t>20726805</t>
  </si>
  <si>
    <t>Nepal Ophthalmic Society</t>
  </si>
  <si>
    <t>101248950</t>
  </si>
  <si>
    <t>Néphrologie &amp; thérapeutique</t>
  </si>
  <si>
    <t>NEPHROLOGIE &amp; THERAPEUTIQUE</t>
  </si>
  <si>
    <t>Nephrol Ther</t>
  </si>
  <si>
    <t>Continues: Néphrologie.</t>
  </si>
  <si>
    <t>9615568</t>
  </si>
  <si>
    <t>Nephrology (Carlton, Vic.)</t>
  </si>
  <si>
    <t>NEPHROLOGY (CARLTON, VIC.)</t>
  </si>
  <si>
    <t>Nephrology (Carlton)</t>
  </si>
  <si>
    <t>8709753</t>
  </si>
  <si>
    <t>Nephrology news &amp; issues</t>
  </si>
  <si>
    <t>NEPHROLOGY NEWS &amp; ISSUES</t>
  </si>
  <si>
    <t>Nephrol News Issues</t>
  </si>
  <si>
    <t>08961263</t>
  </si>
  <si>
    <t>Nephrology News &amp; Issues, Inc.</t>
  </si>
  <si>
    <t>100909377</t>
  </si>
  <si>
    <t>Nephrology nursing journal : journal of the American Nephrology Nurses' Association</t>
  </si>
  <si>
    <t>NEPHROLOGY NURSING JOURNAL : JOURNAL OF THE AMERICAN NEPHROLOGY NURSES' ASSOCIATION</t>
  </si>
  <si>
    <t>Nephrol Nurs J</t>
  </si>
  <si>
    <t>Continues: ANNA journal.</t>
  </si>
  <si>
    <t>1526744X</t>
  </si>
  <si>
    <t>8706402</t>
  </si>
  <si>
    <t>Nephrology, dialysis, transplantation : official publication of the European Dialysis and Transplant Association - European Renal Association</t>
  </si>
  <si>
    <t>NEPHROLOGY, DIALYSIS, TRANSPLANTATION : OFFICIAL PUBLICATION OF THE EUROPEAN DIALYSIS AND TRANSPLANT ASSOCIATION - EUROPEAN RENAL ASSOCIATION</t>
  </si>
  <si>
    <t>Nephrol Dial Transplant</t>
  </si>
  <si>
    <t>Continues: Proceedings of the European Dialysis and Transplant Association - European Renal Association. European Dialysis and Transplant Association - European Renal Association. Congress.</t>
  </si>
  <si>
    <t>Nephrology#Transplantation</t>
  </si>
  <si>
    <t>101159763</t>
  </si>
  <si>
    <t>Nephron. Clinical practice</t>
  </si>
  <si>
    <t>NEPHRON. CLINICAL PRACTICE</t>
  </si>
  <si>
    <t>Nephron Clin Pract</t>
  </si>
  <si>
    <t>16608151</t>
  </si>
  <si>
    <t>101159770</t>
  </si>
  <si>
    <t>Nephron. Experimental nephrology</t>
  </si>
  <si>
    <t>NEPHRON. EXPERIMENTAL NEPHROLOGY</t>
  </si>
  <si>
    <t>Nephron Exp Nephrol</t>
  </si>
  <si>
    <t>Merger of: Experimental nephrology, and part of: Nephron.</t>
  </si>
  <si>
    <t>101159772</t>
  </si>
  <si>
    <t>Nephron. Physiology</t>
  </si>
  <si>
    <t>NEPHRON. PHYSIOLOGY</t>
  </si>
  <si>
    <t>Nephron Physiol</t>
  </si>
  <si>
    <t>0400773</t>
  </si>
  <si>
    <t>Der Nervenarzt</t>
  </si>
  <si>
    <t>NERVENARZT</t>
  </si>
  <si>
    <t>101577268</t>
  </si>
  <si>
    <t>Nestlé Nutrition Institute workshop series</t>
  </si>
  <si>
    <t>NESTLE NUTRITION INSTITUTE WORKSHOP SERIES</t>
  </si>
  <si>
    <t>Nestle Nutr Inst Workshop Ser</t>
  </si>
  <si>
    <t>Continues: Nestlé Nutrition workshop series. Paediatric programme.</t>
  </si>
  <si>
    <t>16642155</t>
  </si>
  <si>
    <t>16642147</t>
  </si>
  <si>
    <t>Nutritional Sciences#Pediatrics</t>
  </si>
  <si>
    <t>0356133</t>
  </si>
  <si>
    <t>The Netherlands journal of medicine</t>
  </si>
  <si>
    <t>NETHERLANDS JOURNAL OF MEDICINE</t>
  </si>
  <si>
    <t>Neth J Med</t>
  </si>
  <si>
    <t>Continues: Folia medica Neerlandica.</t>
  </si>
  <si>
    <t>18729061</t>
  </si>
  <si>
    <t>Van Zuiden Communications</t>
  </si>
  <si>
    <t>Eleven no. a year, 2002-</t>
  </si>
  <si>
    <t>101305055</t>
  </si>
  <si>
    <t>Netherlands journal of psychology</t>
  </si>
  <si>
    <t>NETHERLANDS JOURNAL OF PSYCHOLOGY</t>
  </si>
  <si>
    <t>Neth J Psychol</t>
  </si>
  <si>
    <t>Continues: Nederlandsch tijdschrift voor de psychologie.</t>
  </si>
  <si>
    <t>18768768</t>
  </si>
  <si>
    <t>1872552X</t>
  </si>
  <si>
    <t>Bohn Stafleu Van Loghum</t>
  </si>
  <si>
    <t>9431867</t>
  </si>
  <si>
    <t>Network (Bristol, England)</t>
  </si>
  <si>
    <t>NETWORK (BRISTOL, ENGLAND)</t>
  </si>
  <si>
    <t>Network</t>
  </si>
  <si>
    <t>13616536</t>
  </si>
  <si>
    <t>0954898X</t>
  </si>
  <si>
    <t>9605423</t>
  </si>
  <si>
    <t>Neuere Medizin- und Wissenschaftsgeschichte</t>
  </si>
  <si>
    <t>NEUERE MEDIZIN- UND WISSENSCHAFTSGESCHICHTE</t>
  </si>
  <si>
    <t>Neuere Med Wiss Quellen Stud</t>
  </si>
  <si>
    <t>09492739</t>
  </si>
  <si>
    <t>Centaurus-Verlagsgesellschaft</t>
  </si>
  <si>
    <t>9426182</t>
  </si>
  <si>
    <t>Neural computation</t>
  </si>
  <si>
    <t>NEURAL COMPUTATION</t>
  </si>
  <si>
    <t>Neural Comput</t>
  </si>
  <si>
    <t>1530888X</t>
  </si>
  <si>
    <t>08997667</t>
  </si>
  <si>
    <t>101286574</t>
  </si>
  <si>
    <t>Neural development</t>
  </si>
  <si>
    <t>NEURAL DEVELOPMENT</t>
  </si>
  <si>
    <t>Neural Dev</t>
  </si>
  <si>
    <t>8805018</t>
  </si>
  <si>
    <t>Neural networks : the official journal of the International Neural Network Society</t>
  </si>
  <si>
    <t>NEURAL NETWORKS : THE OFFICIAL JOURNAL OF THE INTERNATIONAL NEURAL NETWORK SOCIETY</t>
  </si>
  <si>
    <t>Neural Netw</t>
  </si>
  <si>
    <t>100883417</t>
  </si>
  <si>
    <t>Neural plasticity</t>
  </si>
  <si>
    <t>NEURAL PLASTICITY</t>
  </si>
  <si>
    <t>Neural Plast</t>
  </si>
  <si>
    <t>Continues: Journal of neural transplantation &amp; plasticity.</t>
  </si>
  <si>
    <t>20905904</t>
  </si>
  <si>
    <t>8008373</t>
  </si>
  <si>
    <t>Neuro endocrinology letters</t>
  </si>
  <si>
    <t>NEURO ENDOCRINOLOGY LETTERS</t>
  </si>
  <si>
    <t>Neuro Endocrinol Lett</t>
  </si>
  <si>
    <t>Society of Integrated Sciences</t>
  </si>
  <si>
    <t>8100437</t>
  </si>
  <si>
    <t>Neurobiology of aging</t>
  </si>
  <si>
    <t>NEUROBIOLOGY OF AGING</t>
  </si>
  <si>
    <t>Neurobiol Aging</t>
  </si>
  <si>
    <t>Geriatrics#Neurology#Physiology</t>
  </si>
  <si>
    <t>9500169</t>
  </si>
  <si>
    <t>Neurobiology of disease</t>
  </si>
  <si>
    <t>NEUROBIOLOGY OF DISEASE</t>
  </si>
  <si>
    <t>Neurobiol Dis</t>
  </si>
  <si>
    <t>9508166</t>
  </si>
  <si>
    <t>Neurobiology of learning and memory</t>
  </si>
  <si>
    <t>NEUROBIOLOGY OF LEARNING AND MEMORY</t>
  </si>
  <si>
    <t>Neurobiol Learn Mem</t>
  </si>
  <si>
    <t>Continues: Behavioral and neural biology.</t>
  </si>
  <si>
    <t>Behavioral Sciences#Biology#Neurology</t>
  </si>
  <si>
    <t>9511374</t>
  </si>
  <si>
    <t>NEUROCASE</t>
  </si>
  <si>
    <t>Six no. a year, &lt;1996-&gt;</t>
  </si>
  <si>
    <t>Behavioral Sciences#Neurology#Psychiatry#Psychology</t>
  </si>
  <si>
    <t>7613461</t>
  </si>
  <si>
    <t>Neurochemical research</t>
  </si>
  <si>
    <t>NEUROCHEMICAL RESEARCH</t>
  </si>
  <si>
    <t>Neurochem Res</t>
  </si>
  <si>
    <t>8006959</t>
  </si>
  <si>
    <t>Neurochemistry international</t>
  </si>
  <si>
    <t>NEUROCHEMISTRY INTERNATIONAL</t>
  </si>
  <si>
    <t>Neurochem Int</t>
  </si>
  <si>
    <t>Thirteen no. a year, 2000-</t>
  </si>
  <si>
    <t>0401057</t>
  </si>
  <si>
    <t>Neuro-Chirurgie</t>
  </si>
  <si>
    <t>NEURO-CHIRURGIE</t>
  </si>
  <si>
    <t>9425251</t>
  </si>
  <si>
    <t>Neurocirugía (Asturias, Spain)</t>
  </si>
  <si>
    <t>NEUROCIRUGIA (ASTURIAS, SPAIN)</t>
  </si>
  <si>
    <t>Neurocirugia (Astur)</t>
  </si>
  <si>
    <t>Continues: Neurocirugia luso-española.</t>
  </si>
  <si>
    <t>Artes Gráficas</t>
  </si>
  <si>
    <t>101156086</t>
  </si>
  <si>
    <t>Neurocritical care</t>
  </si>
  <si>
    <t>NEUROCRITICAL CARE</t>
  </si>
  <si>
    <t>Neurocrit Care</t>
  </si>
  <si>
    <t>Critical Care#Neurology</t>
  </si>
  <si>
    <t>101189034</t>
  </si>
  <si>
    <t>Neuro-degenerative diseases</t>
  </si>
  <si>
    <t>NEURO-DEGENERATIVE DISEASES</t>
  </si>
  <si>
    <t>Neurodegener Dis</t>
  </si>
  <si>
    <t>101573167</t>
  </si>
  <si>
    <t>The Neurodiagnostic journal</t>
  </si>
  <si>
    <t>NEURODIAGNOSTIC JOURNAL</t>
  </si>
  <si>
    <t>Neurodiagn J</t>
  </si>
  <si>
    <t>Continues: American journal of electroneurodiagnostic technology.</t>
  </si>
  <si>
    <t>ASET - The Neurodiagnostic Society</t>
  </si>
  <si>
    <t>0035665</t>
  </si>
  <si>
    <t>NEUROENDOCRINOLOGY</t>
  </si>
  <si>
    <t>8218700</t>
  </si>
  <si>
    <t>NEUROEPIDEMIOLOGY</t>
  </si>
  <si>
    <t>Epidemiology#Neurology</t>
  </si>
  <si>
    <t>9432572</t>
  </si>
  <si>
    <t>Neurogastroenterology and motility : the official journal of the European Gastrointestinal Motility Society</t>
  </si>
  <si>
    <t>NEUROGASTROENTEROLOGY AND MOTILITY : THE OFFICIAL JOURNAL OF THE EUROPEAN GASTROINTESTINAL MOTILITY SOCIETY</t>
  </si>
  <si>
    <t>Neurogastroenterol Motil</t>
  </si>
  <si>
    <t>Continues: Journal of gastrointestinal motility.</t>
  </si>
  <si>
    <t>Gastroenterology#Neurology</t>
  </si>
  <si>
    <t>9709714</t>
  </si>
  <si>
    <t>NEUROGENETICS</t>
  </si>
  <si>
    <t>Genetics#Neurology</t>
  </si>
  <si>
    <t>9215515</t>
  </si>
  <si>
    <t>NEUROIMAGE</t>
  </si>
  <si>
    <t>Neuroimage</t>
  </si>
  <si>
    <t>Semimonthly (except monthly in Mar., June, Sept. and Dec.)</t>
  </si>
  <si>
    <t>9211377</t>
  </si>
  <si>
    <t>Neuroimaging clinics of North America</t>
  </si>
  <si>
    <t>NEUROIMAGING CLINICS OF NORTH AMERICA</t>
  </si>
  <si>
    <t>Neuroimaging Clin N Am</t>
  </si>
  <si>
    <t>9422763</t>
  </si>
  <si>
    <t>Neuroimmunomodulation</t>
  </si>
  <si>
    <t>NEUROIMMUNOMODULATION</t>
  </si>
  <si>
    <t>S. Karger Medical and Scientific Publishers</t>
  </si>
  <si>
    <t>6 no. a year, 2001-</t>
  </si>
  <si>
    <t>101142069</t>
  </si>
  <si>
    <t>Neuroinformatics</t>
  </si>
  <si>
    <t>NEUROINFORMATICS</t>
  </si>
  <si>
    <t>15590089</t>
  </si>
  <si>
    <t>15392791</t>
  </si>
  <si>
    <t>Humana Press, Inc.</t>
  </si>
  <si>
    <t>Medical Informatics#Neurology</t>
  </si>
  <si>
    <t>9005460</t>
  </si>
  <si>
    <t>Neurología (Barcelona, Spain)</t>
  </si>
  <si>
    <t>NEUROLOGIA (BARCELONA, SPAIN)</t>
  </si>
  <si>
    <t>Ten no. a year, 1989-</t>
  </si>
  <si>
    <t>0101265</t>
  </si>
  <si>
    <t>Neurologia i neurochirurgia polska</t>
  </si>
  <si>
    <t>NEUROLOGIA I NEUROCHIRURGIA POLSKA</t>
  </si>
  <si>
    <t>Neurol Neurochir Pol</t>
  </si>
  <si>
    <t>Continues: Neurologia, neurochirurgia i psychiatria polska.</t>
  </si>
  <si>
    <t>Termedia Publishing House</t>
  </si>
  <si>
    <t>0400775</t>
  </si>
  <si>
    <t>Neurologia medico-chirurgica</t>
  </si>
  <si>
    <t>NEUROLOGIA MEDICO-CHIRURGICA</t>
  </si>
  <si>
    <t>Neurol Med Chir (Tokyo)</t>
  </si>
  <si>
    <t>8219232</t>
  </si>
  <si>
    <t>Neurologic clinics</t>
  </si>
  <si>
    <t>NEUROLOGIC CLINICS</t>
  </si>
  <si>
    <t>Neurol Clin</t>
  </si>
  <si>
    <t>7905298</t>
  </si>
  <si>
    <t>Neurological research</t>
  </si>
  <si>
    <t>NEUROLOGICAL RESEARCH</t>
  </si>
  <si>
    <t>Neurol Res</t>
  </si>
  <si>
    <t>Maney Pub</t>
  </si>
  <si>
    <t>100959175</t>
  </si>
  <si>
    <t>Neurological sciences : official journal of the Italian Neurological Society and of the Italian Society of Clinical Neurophysiology</t>
  </si>
  <si>
    <t>NEUROLOGICAL SCIENCES : OFFICIAL JOURNAL OF THE ITALIAN NEUROLOGICAL SOCIETY AND OF THE ITALIAN SOCIETY OF CLINICAL NEUROPHYSIOLOGY</t>
  </si>
  <si>
    <t>Neurol Sci</t>
  </si>
  <si>
    <t>Continues: Italian journal of neurological sciences.</t>
  </si>
  <si>
    <t>9503763</t>
  </si>
  <si>
    <t>The neurologist</t>
  </si>
  <si>
    <t>NEUROLOGIST</t>
  </si>
  <si>
    <t>0401060</t>
  </si>
  <si>
    <t>NEUROLOGY</t>
  </si>
  <si>
    <t>Forty eight no. a year, 2007-</t>
  </si>
  <si>
    <t>0042005</t>
  </si>
  <si>
    <t>NEUROLOGY INDIA</t>
  </si>
  <si>
    <t>Neurol India</t>
  </si>
  <si>
    <t>Continues: Neurology.</t>
  </si>
  <si>
    <t>Quarterly, 1991-</t>
  </si>
  <si>
    <t>9804159</t>
  </si>
  <si>
    <t>Neuromodulation : journal of the International Neuromodulation Society</t>
  </si>
  <si>
    <t>NEUROMODULATION : JOURNAL OF THE INTERNATIONAL NEUROMODULATION SOCIETY</t>
  </si>
  <si>
    <t>Bimonthy, 2011-</t>
  </si>
  <si>
    <t>101135365</t>
  </si>
  <si>
    <t>Neuromolecular medicine</t>
  </si>
  <si>
    <t>NEUROMOLECULAR MEDICINE</t>
  </si>
  <si>
    <t>Neuromolecular Med</t>
  </si>
  <si>
    <t>9111470</t>
  </si>
  <si>
    <t>Neuromuscular disorders : NMD</t>
  </si>
  <si>
    <t>NEUROMUSCULAR DISORDERS : NMD</t>
  </si>
  <si>
    <t>Neuromuscul Disord</t>
  </si>
  <si>
    <t>Ten no. a year 2002-</t>
  </si>
  <si>
    <t>8809320</t>
  </si>
  <si>
    <t>NEURON</t>
  </si>
  <si>
    <t>101217278</t>
  </si>
  <si>
    <t>Neuron glia biology</t>
  </si>
  <si>
    <t>NEURON GLIA BIOLOGY</t>
  </si>
  <si>
    <t>Neuron Glia Biol</t>
  </si>
  <si>
    <t>100887420</t>
  </si>
  <si>
    <t>Neuro-oncology</t>
  </si>
  <si>
    <t>NEURO-ONCOLOGY</t>
  </si>
  <si>
    <t>Neuro Oncol</t>
  </si>
  <si>
    <t>9606526</t>
  </si>
  <si>
    <t>Neuropathology : official journal of the Japanese Society of Neuropathology</t>
  </si>
  <si>
    <t>NEUROPATHOLOGY : OFFICIAL JOURNAL OF THE JAPANESE SOCIETY OF NEUROPATHOLOGY</t>
  </si>
  <si>
    <t>Continues in part: Shinkei byōrigaku.</t>
  </si>
  <si>
    <t>7609829</t>
  </si>
  <si>
    <t>Neuropathology and applied neurobiology</t>
  </si>
  <si>
    <t>NEUROPATHOLOGY AND APPLIED NEUROBIOLOGY</t>
  </si>
  <si>
    <t>Neuropathol Appl Neurobiol</t>
  </si>
  <si>
    <t>Biology#Neurology#Pathology</t>
  </si>
  <si>
    <t>8101187</t>
  </si>
  <si>
    <t>NEUROPEDIATRICS</t>
  </si>
  <si>
    <t>Continues: Neuropädiatrie.</t>
  </si>
  <si>
    <t>8103156</t>
  </si>
  <si>
    <t>NEUROPEPTIDES</t>
  </si>
  <si>
    <t>Biochemistry#Neurology</t>
  </si>
  <si>
    <t>0236217</t>
  </si>
  <si>
    <t>NEUROPHARMACOLOGY</t>
  </si>
  <si>
    <t>Continues the International journal of neuropharmacology.</t>
  </si>
  <si>
    <t>Sixteen no. a year, 2001-</t>
  </si>
  <si>
    <t>8804532</t>
  </si>
  <si>
    <t>Neurophysiologie clinique = Clinical neurophysiology</t>
  </si>
  <si>
    <t>NEUROPHYSIOLOGIE CLINIQUE = CLINICAL NEUROPHYSIOLOGY</t>
  </si>
  <si>
    <t>Neurophysiol Clin</t>
  </si>
  <si>
    <t>Continues: Revue d'électroencéphalographie et de neurophysiologie clinique.</t>
  </si>
  <si>
    <t>9440588</t>
  </si>
  <si>
    <t>Neuropsychiatrie : Klinik, Diagnostik, Therapie und Rehabilitation : Organ der Gesellschaft Österreichischer Nervenärzte und Psychiater</t>
  </si>
  <si>
    <t>NEUROPSYCHIATRIE : KLINIK, DIAGNOSTIK, THERAPIE UND REHABILITATION : ORGAN DER GESELLSCHAFT OSTERREICHISCHER NERVENARZTE UND PSYCHIATER</t>
  </si>
  <si>
    <t>Neuropsychiatr</t>
  </si>
  <si>
    <t>7512895</t>
  </si>
  <si>
    <t>NEUROPSYCHOBIOLOGY</t>
  </si>
  <si>
    <t>Absorbed: International pharmacopsychiatry, 1983.</t>
  </si>
  <si>
    <t>Eight no. a year, 1983-</t>
  </si>
  <si>
    <t>0020713</t>
  </si>
  <si>
    <t>NEUROPSYCHOLOGIA</t>
  </si>
  <si>
    <t>9112672</t>
  </si>
  <si>
    <t>Neuropsychological rehabilitation</t>
  </si>
  <si>
    <t>NEUROPSYCHOLOGICAL REHABILITATION</t>
  </si>
  <si>
    <t>Neuropsychol Rehabil</t>
  </si>
  <si>
    <t>14640694</t>
  </si>
  <si>
    <t>09602011</t>
  </si>
  <si>
    <t>Neurology#Physical and Rehabilitation Medicine#Psychology</t>
  </si>
  <si>
    <t>8904467</t>
  </si>
  <si>
    <t>NEUROPSYCHOLOGY</t>
  </si>
  <si>
    <t>9009029</t>
  </si>
  <si>
    <t>Neuropsychology review</t>
  </si>
  <si>
    <t>NEUROPSYCHOLOGY REVIEW</t>
  </si>
  <si>
    <t>Neuropsychol Rev</t>
  </si>
  <si>
    <t>15736660</t>
  </si>
  <si>
    <t>10407308</t>
  </si>
  <si>
    <t>9614434</t>
  </si>
  <si>
    <t>Neuropsychology, development, and cognition. Section B, Aging, neuropsychology and cognition</t>
  </si>
  <si>
    <t>NEUROPSYCHOLOGY, DEVELOPMENT, AND COGNITION. SECTION B, AGING, NEUROPSYCHOLOGY AND COGNITION</t>
  </si>
  <si>
    <t>Neuropsychol Dev Cogn B Aging Neuropsychol Cogn</t>
  </si>
  <si>
    <t>Continues: Neuropsychology, development, and cognition. Section B, Aging and cognition.</t>
  </si>
  <si>
    <t>17444128</t>
  </si>
  <si>
    <t>13825585</t>
  </si>
  <si>
    <t>Inform Healthcare</t>
  </si>
  <si>
    <t>Geriatrics#Neurology#Psychology</t>
  </si>
  <si>
    <t>100961631</t>
  </si>
  <si>
    <t>Neuropsychopharmacologia Hungarica : a Magyar Pszichofarmakológiai Egyesület lapja = official journal of the Hungarian Association of Psychopharmacology</t>
  </si>
  <si>
    <t>NEUROPSYCHOPHARMACOLOGIA HUNGARICA : A MAGYAR PSZICHOFARMAKOLOGIAI EGYESULET LAPJA = OFFICIAL JOURNAL OF THE HUNGARIAN ASSOCIATION OF PSYCHOPHARMACOLOGY</t>
  </si>
  <si>
    <t>Neuropsychopharmacol Hung</t>
  </si>
  <si>
    <t>Neuroline</t>
  </si>
  <si>
    <t>8904907</t>
  </si>
  <si>
    <t>Neuropsychopharmacology : official publication of the American College of Neuropsychopharmacology</t>
  </si>
  <si>
    <t>NEUROPSYCHOPHARMACOLOGY : OFFICIAL PUBLICATION OF THE AMERICAN COLLEGE OF NEUROPSYCHOPHARMACOLOGY</t>
  </si>
  <si>
    <t>1302751</t>
  </si>
  <si>
    <t>NEURORADIOLOGY</t>
  </si>
  <si>
    <t>101295103</t>
  </si>
  <si>
    <t>The neuroradiology journal</t>
  </si>
  <si>
    <t>NEURORADIOLOGY JOURNAL</t>
  </si>
  <si>
    <t>Neuroradiol J</t>
  </si>
  <si>
    <t>Continues: Rivista di neuroradiologia.</t>
  </si>
  <si>
    <t>Centauro</t>
  </si>
  <si>
    <t>9113791</t>
  </si>
  <si>
    <t>NEUROREHABILITATION</t>
  </si>
  <si>
    <t>100892086</t>
  </si>
  <si>
    <t>Neurorehabilitation and neural repair</t>
  </si>
  <si>
    <t>NEUROREHABILITATION AND NEURAL REPAIR</t>
  </si>
  <si>
    <t>Neurorehabil Neural Repair</t>
  </si>
  <si>
    <t>Continues: Journal of neurologic rehabilitation.</t>
  </si>
  <si>
    <t>Nine issues a year</t>
  </si>
  <si>
    <t>9100935</t>
  </si>
  <si>
    <t>Neuroreport</t>
  </si>
  <si>
    <t>NEUROREPORT</t>
  </si>
  <si>
    <t>7605074</t>
  </si>
  <si>
    <t>NEUROSCIENCE</t>
  </si>
  <si>
    <t>Twenty eight no. a year, 1999-</t>
  </si>
  <si>
    <t>7806090</t>
  </si>
  <si>
    <t>Neuroscience and biobehavioral reviews</t>
  </si>
  <si>
    <t>NEUROSCIENCE AND BIOBEHAVIORAL REVIEWS</t>
  </si>
  <si>
    <t>Neurosci Biobehav Rev</t>
  </si>
  <si>
    <t>Continues Biobehavioral reviews.</t>
  </si>
  <si>
    <t>Ten no. a year, Sept. 2010-</t>
  </si>
  <si>
    <t>101256850</t>
  </si>
  <si>
    <t>Neuroscience bulletin</t>
  </si>
  <si>
    <t>NEUROSCIENCE BULLETIN</t>
  </si>
  <si>
    <t>Neurosci Bull</t>
  </si>
  <si>
    <t>Continues: Zhongguo shen jing ke xue za zhi.</t>
  </si>
  <si>
    <t>7600130</t>
  </si>
  <si>
    <t>Neuroscience letters</t>
  </si>
  <si>
    <t>NEUROSCIENCE LETTERS</t>
  </si>
  <si>
    <t>Neurosci Lett</t>
  </si>
  <si>
    <t>Elsevier Scientific Publishers Ireland</t>
  </si>
  <si>
    <t>Fifty seven no. a year</t>
  </si>
  <si>
    <t>7908180</t>
  </si>
  <si>
    <t>Neuroscience letters. Supplement</t>
  </si>
  <si>
    <t>NEUROSCIENCE LETTERS. SUPPLEMENT</t>
  </si>
  <si>
    <t>Neurosci Lett Suppl</t>
  </si>
  <si>
    <t>18728316</t>
  </si>
  <si>
    <t>01676253</t>
  </si>
  <si>
    <t>8500749</t>
  </si>
  <si>
    <t>Neuroscience research</t>
  </si>
  <si>
    <t>NEUROSCIENCE RESEARCH</t>
  </si>
  <si>
    <t>Neurosci Res</t>
  </si>
  <si>
    <t>Twelve no. a year, 1989-</t>
  </si>
  <si>
    <t>8508422</t>
  </si>
  <si>
    <t>Neuroscience research. Supplement : the official journal of the Japan Neuroscience Society</t>
  </si>
  <si>
    <t>NEUROSCIENCE RESEARCH. SUPPLEMENT : THE OFFICIAL JOURNAL OF THE JAPAN NEUROSCIENCE SOCIETY</t>
  </si>
  <si>
    <t>Neurosci Res Suppl</t>
  </si>
  <si>
    <t>09218696</t>
  </si>
  <si>
    <t>101252453</t>
  </si>
  <si>
    <t>Neurosciences (Riyadh, Saudi Arabia)</t>
  </si>
  <si>
    <t>NEUROSCIENCES (RIYADH, SAUDI ARABIA)</t>
  </si>
  <si>
    <t>Neurosciences (Riyadh)</t>
  </si>
  <si>
    <t>Armed Forces Hospital</t>
  </si>
  <si>
    <t>Saudi Arabia</t>
  </si>
  <si>
    <t>9504819</t>
  </si>
  <si>
    <t>The Neuroscientist : a review journal bringing neurobiology, neurology and psychiatry</t>
  </si>
  <si>
    <t>NEUROSCIENTIST : A REVIEW JOURNAL BRINGING NEUROBIOLOGY, NEUROLOGY AND PSYCHIATRY</t>
  </si>
  <si>
    <t>101134359</t>
  </si>
  <si>
    <t>Neuro-Signals</t>
  </si>
  <si>
    <t>NEURO-SIGNALS</t>
  </si>
  <si>
    <t>Neurosignals</t>
  </si>
  <si>
    <t>Continues: Biological signals and receptors.</t>
  </si>
  <si>
    <t>Cell Biology#Neurology</t>
  </si>
  <si>
    <t>7802914</t>
  </si>
  <si>
    <t>NEUROSURGERY</t>
  </si>
  <si>
    <t>15244040</t>
  </si>
  <si>
    <t>9008004</t>
  </si>
  <si>
    <t>Neurosurgery clinics of North America</t>
  </si>
  <si>
    <t>NEUROSURGERY CLINICS OF NORTH AMERICA</t>
  </si>
  <si>
    <t>Neurosurg Clin N Am</t>
  </si>
  <si>
    <t>100896471</t>
  </si>
  <si>
    <t>Neurosurgical focus</t>
  </si>
  <si>
    <t>NEUROSURGICAL FOCUS</t>
  </si>
  <si>
    <t>Neurosurg Focus</t>
  </si>
  <si>
    <t>10920684</t>
  </si>
  <si>
    <t>7908181</t>
  </si>
  <si>
    <t>Neurosurgical review</t>
  </si>
  <si>
    <t>NEUROSURGICAL REVIEW</t>
  </si>
  <si>
    <t>Neurosurg Rev</t>
  </si>
  <si>
    <t>Four no. a year 2002-</t>
  </si>
  <si>
    <t>101290381</t>
  </si>
  <si>
    <t>Neurotherapeutics : the journal of the American Society for Experimental NeuroTherapeutics</t>
  </si>
  <si>
    <t>NEUROTHERAPEUTICS : THE JOURNAL OF THE AMERICAN SOCIETY FOR EXPERIMENTAL NEUROTHERAPEUTICS</t>
  </si>
  <si>
    <t>Continues: NeuroRx.</t>
  </si>
  <si>
    <t>100929017</t>
  </si>
  <si>
    <t>Neurotoxicity research</t>
  </si>
  <si>
    <t>NEUROTOXICITY RESEARCH</t>
  </si>
  <si>
    <t>Neurotox Res</t>
  </si>
  <si>
    <t>7905589</t>
  </si>
  <si>
    <t>Neurotoxicology</t>
  </si>
  <si>
    <t>NEUROTOXICOLOGY</t>
  </si>
  <si>
    <t>Environmental Health#Neurology#Toxicology</t>
  </si>
  <si>
    <t>8709538</t>
  </si>
  <si>
    <t>Neurotoxicology and teratology</t>
  </si>
  <si>
    <t>NEUROTOXICOLOGY AND TERATOLOGY</t>
  </si>
  <si>
    <t>Neurotoxicol Teratol</t>
  </si>
  <si>
    <t>Continues: Neurobehavioral toxicology and teratology.</t>
  </si>
  <si>
    <t>Neurology#Toxicology</t>
  </si>
  <si>
    <t>8303326</t>
  </si>
  <si>
    <t>Neurourology and urodynamics</t>
  </si>
  <si>
    <t>NEUROUROLOGY AND URODYNAMICS</t>
  </si>
  <si>
    <t>Neurourol Urodyn</t>
  </si>
  <si>
    <t>Seven no. a year, 2003-</t>
  </si>
  <si>
    <t>Neurology#Urology</t>
  </si>
  <si>
    <t>101465345</t>
  </si>
  <si>
    <t>New biotechnology</t>
  </si>
  <si>
    <t>NEW BIOTECHNOLOGY</t>
  </si>
  <si>
    <t>N Biotechnol</t>
  </si>
  <si>
    <t>Continues: Biomolecular engineering.</t>
  </si>
  <si>
    <t>100886823</t>
  </si>
  <si>
    <t>New directions for child and adolescent development</t>
  </si>
  <si>
    <t>NEW DIRECTIONS FOR CHILD AND ADOLESCENT DEVELOPMENT</t>
  </si>
  <si>
    <t>New Dir Child Adolesc Dev</t>
  </si>
  <si>
    <t>Continues: New directions for child development.</t>
  </si>
  <si>
    <t>15348687</t>
  </si>
  <si>
    <t>15203247</t>
  </si>
  <si>
    <t>101090644</t>
  </si>
  <si>
    <t>New directions for youth development</t>
  </si>
  <si>
    <t>NEW DIRECTIONS FOR YOUTH DEVELOPMENT</t>
  </si>
  <si>
    <t>New Dir Youth Dev</t>
  </si>
  <si>
    <t>Continues: New directions for mental health services.</t>
  </si>
  <si>
    <t>15375781</t>
  </si>
  <si>
    <t>15338916</t>
  </si>
  <si>
    <t>0255562</t>
  </si>
  <si>
    <t>The New England journal of medicine</t>
  </si>
  <si>
    <t>NEW ENGLAND JOURNAL OF MEDICINE</t>
  </si>
  <si>
    <t>N Engl J Med</t>
  </si>
  <si>
    <t>Continues: Boston medical and surgical journal.</t>
  </si>
  <si>
    <t>Massachusetts Medical Society.</t>
  </si>
  <si>
    <t>7907163</t>
  </si>
  <si>
    <t>New Jersey nurse</t>
  </si>
  <si>
    <t>NEW JERSEY NURSE</t>
  </si>
  <si>
    <t>N J Nurse</t>
  </si>
  <si>
    <t>Continues NJSNA newsletter.</t>
  </si>
  <si>
    <t>01964895</t>
  </si>
  <si>
    <t>New Jersey State Nurses Association</t>
  </si>
  <si>
    <t>9516291</t>
  </si>
  <si>
    <t>The new microbiologica</t>
  </si>
  <si>
    <t>NEW MICROBIOLOGICA</t>
  </si>
  <si>
    <t>New Microbiol</t>
  </si>
  <si>
    <t>Continues: Microbiologica.</t>
  </si>
  <si>
    <t>11217138</t>
  </si>
  <si>
    <t>Edizioni Internazionali srl</t>
  </si>
  <si>
    <t>9882884</t>
  </si>
  <si>
    <t>The New phytologist</t>
  </si>
  <si>
    <t>NEW PHYTOLOGIST</t>
  </si>
  <si>
    <t>New Phytol</t>
  </si>
  <si>
    <t>14698137</t>
  </si>
  <si>
    <t>0028646X</t>
  </si>
  <si>
    <t>Monthly, &lt;2005-&gt;</t>
  </si>
  <si>
    <t>9100937</t>
  </si>
  <si>
    <t>New solutions : a journal of environmental and occupational health policy : NS</t>
  </si>
  <si>
    <t>NEW SOLUTIONS : A JOURNAL OF ENVIRONMENTAL AND OCCUPATIONAL HEALTH POLICY : NS</t>
  </si>
  <si>
    <t>New Solut</t>
  </si>
  <si>
    <t>15413772</t>
  </si>
  <si>
    <t>10482911</t>
  </si>
  <si>
    <t>Baywood Publishing</t>
  </si>
  <si>
    <t>9712270</t>
  </si>
  <si>
    <t>New South Wales public health bulletin</t>
  </si>
  <si>
    <t>NEW SOUTH WALES PUBLIC HEALTH BULLETIN</t>
  </si>
  <si>
    <t>N S W Public Health Bull</t>
  </si>
  <si>
    <t>10347674</t>
  </si>
  <si>
    <t>NSW Health Dept.</t>
  </si>
  <si>
    <t>0414634</t>
  </si>
  <si>
    <t>The New York state dental journal</t>
  </si>
  <si>
    <t>NEW YORK STATE DENTAL JOURNAL</t>
  </si>
  <si>
    <t>N Y State Dent J</t>
  </si>
  <si>
    <t>Continues: Journal of the Dental Society of the State of New York.</t>
  </si>
  <si>
    <t>00287571</t>
  </si>
  <si>
    <t>New York State Dental Association</t>
  </si>
  <si>
    <t>0401065</t>
  </si>
  <si>
    <t>The New Zealand dental journal</t>
  </si>
  <si>
    <t>NEW ZEALAND DENTAL JOURNAL</t>
  </si>
  <si>
    <t>N Z Dent J</t>
  </si>
  <si>
    <t>00288047</t>
  </si>
  <si>
    <t>New Zealand Dental Association</t>
  </si>
  <si>
    <t>0401067</t>
  </si>
  <si>
    <t>The New Zealand medical journal</t>
  </si>
  <si>
    <t>NEW ZEALAND MEDICAL JOURNAL</t>
  </si>
  <si>
    <t>N Z Med J</t>
  </si>
  <si>
    <t>0021406</t>
  </si>
  <si>
    <t>New Zealand veterinary journal</t>
  </si>
  <si>
    <t>NEW ZEALAND VETERINARY JOURNAL</t>
  </si>
  <si>
    <t>N Z Vet J</t>
  </si>
  <si>
    <t>00480169</t>
  </si>
  <si>
    <t>New Zealand Veterinary Association</t>
  </si>
  <si>
    <t>9815751</t>
  </si>
  <si>
    <t>Nicotine &amp; tobacco research : official journal of the Society for Research on Nicotine and Tobacco</t>
  </si>
  <si>
    <t>NICOTINE &amp; TOBACCO RESEARCH : OFFICIAL JOURNAL OF THE SOCIETY FOR RESEARCH ON NICOTINE AND TOBACCO</t>
  </si>
  <si>
    <t>Nicotine Tob Res</t>
  </si>
  <si>
    <t>8811762</t>
  </si>
  <si>
    <t>NIDA research monograph</t>
  </si>
  <si>
    <t>NIDA RESEARCH MONOGRAPH</t>
  </si>
  <si>
    <t>NIDA Res Monogr</t>
  </si>
  <si>
    <t>101150032</t>
  </si>
  <si>
    <t>Nigerian journal of clinical practice</t>
  </si>
  <si>
    <t>NIGERIAN JOURNAL OF CLINICAL PRACTICE</t>
  </si>
  <si>
    <t>Niger J Clin Pract</t>
  </si>
  <si>
    <t>11193077</t>
  </si>
  <si>
    <t>100888321</t>
  </si>
  <si>
    <t>Nigerian journal of medicine : journal of the National Association of Resident Doctors of Nigeria</t>
  </si>
  <si>
    <t>NIGERIAN JOURNAL OF MEDICINE : JOURNAL OF THE NATIONAL ASSOCIATION OF RESIDENT DOCTORS OF NIGERIA</t>
  </si>
  <si>
    <t>Niger J Med</t>
  </si>
  <si>
    <t>11152613</t>
  </si>
  <si>
    <t>8811109</t>
  </si>
  <si>
    <t>Nigerian journal of physiological sciences : official publication of the Physiological Society of Nigeria</t>
  </si>
  <si>
    <t>NIGERIAN JOURNAL OF PHYSIOLOGICAL SCIENCES : OFFICIAL PUBLICATION OF THE PHYSIOLOGICAL SOCIETY OF NIGERIA</t>
  </si>
  <si>
    <t>Niger J Physiol Sci</t>
  </si>
  <si>
    <t>0794859X</t>
  </si>
  <si>
    <t>Physiological Society of Nigeria</t>
  </si>
  <si>
    <t>9613595</t>
  </si>
  <si>
    <t>The Nigerian postgraduate medical journal</t>
  </si>
  <si>
    <t>NIGERIAN POSTGRADUATE MEDICAL JOURNAL</t>
  </si>
  <si>
    <t>Niger Postgrad Med J</t>
  </si>
  <si>
    <t>11171936</t>
  </si>
  <si>
    <t>National Postgraduate Medical College of Nigeria</t>
  </si>
  <si>
    <t>9713944</t>
  </si>
  <si>
    <t>Nigerian quarterly journal of hospital medicine</t>
  </si>
  <si>
    <t>NIGERIAN QUARTERLY JOURNAL OF HOSPITAL MEDICINE</t>
  </si>
  <si>
    <t>Nig Q J Hosp Med</t>
  </si>
  <si>
    <t>01892657</t>
  </si>
  <si>
    <t>Lagos University Medical Society</t>
  </si>
  <si>
    <t>101160100</t>
  </si>
  <si>
    <t>NIH consensus and state-of-the-science statements</t>
  </si>
  <si>
    <t>NIH CONSENSUS AND STATE-OF-THE-SCIENCE STATEMENTS</t>
  </si>
  <si>
    <t>NIH Consens State Sci Statements</t>
  </si>
  <si>
    <t>Merger of: NIH consensus statement, and: Technology assessment statements.</t>
  </si>
  <si>
    <t>15530779</t>
  </si>
  <si>
    <t>15530957</t>
  </si>
  <si>
    <t>U.S. Dept. of Health and Human Services, Public Health Service, National Institutes of Health, Office of Medical Applications Research</t>
  </si>
  <si>
    <t>Health Services Research#Medicine#Technology</t>
  </si>
  <si>
    <t>9810664</t>
  </si>
  <si>
    <t>NIH guide for grants and contracts (Online)</t>
  </si>
  <si>
    <t>NIH GUIDE FOR GRANTS AND CONTRACTS (ONLINE)</t>
  </si>
  <si>
    <t>NIH Guide Grants Contracts</t>
  </si>
  <si>
    <t>Continues the print version in 1997.</t>
  </si>
  <si>
    <t>15518965</t>
  </si>
  <si>
    <t>NIH Office of Extramural Research</t>
  </si>
  <si>
    <t>9612304</t>
  </si>
  <si>
    <t>Nihon Arukōru Yakubutsu Igakkai zasshi = Japanese journal of alcohol studies &amp; drug dependence</t>
  </si>
  <si>
    <t>NIHON ARUKORU YAKUBUTSU IGAKKAI ZASSHI = JAPANESE JOURNAL OF ALCOHOL STUDIES &amp; DRUG DEPENDENCE</t>
  </si>
  <si>
    <t>Nihon Arukoru Yakubutsu Igakkai Zasshi</t>
  </si>
  <si>
    <t>Continues: Arukōru kenkyū to yakubutsu izon.</t>
  </si>
  <si>
    <t>13418963</t>
  </si>
  <si>
    <t>Japanese Medical Society Of Alcohol And Drug Studies</t>
  </si>
  <si>
    <t>0417457</t>
  </si>
  <si>
    <t>Nihon eiseigaku zasshi. Japanese journal of hygiene</t>
  </si>
  <si>
    <t>NIHON EISEIGAKU ZASSHI. JAPANESE JOURNAL OF HYGIENE</t>
  </si>
  <si>
    <t>Nihon Eiseigaku Zasshi</t>
  </si>
  <si>
    <t>18826482</t>
  </si>
  <si>
    <t>00215082</t>
  </si>
  <si>
    <t>Nippon Eisei Gakkai.</t>
  </si>
  <si>
    <t>0405405</t>
  </si>
  <si>
    <t>Nihon Geka Gakkai zasshi</t>
  </si>
  <si>
    <t>NIHON GEKA GAKKAI ZASSHI</t>
  </si>
  <si>
    <t>Nihon Geka Gakkai Zasshi</t>
  </si>
  <si>
    <t>Continues Nippon Geka Gakkai shi.</t>
  </si>
  <si>
    <t>18801129</t>
  </si>
  <si>
    <t>03014894</t>
  </si>
  <si>
    <t>Nippon Geka Gakkai</t>
  </si>
  <si>
    <t>1907</t>
  </si>
  <si>
    <t>9702338</t>
  </si>
  <si>
    <t>Nihon Hansenbyō Gakkai zasshi = Japanese journal of leprosy : official organ of the Japanese Leprosy Association</t>
  </si>
  <si>
    <t>NIHON HANSENBYO GAKKAI ZASSHI = JAPANESE JOURNAL OF LEPROSY : OFFICIAL ORGAN OF THE JAPANESE LEPROSY ASSOCIATION</t>
  </si>
  <si>
    <t>Nihon Hansenbyo Gakkai Zasshi</t>
  </si>
  <si>
    <t>Continues: Nippon Rai Gakkai zasshi.</t>
  </si>
  <si>
    <t>Nihon Hansenbyō Gakkai</t>
  </si>
  <si>
    <t>2984841R</t>
  </si>
  <si>
    <t>Nihon Hinyōkika Gakkai zasshi. The japanese journal of urology</t>
  </si>
  <si>
    <t>NIHON HINYOKIKA GAKKAI ZASSHI. THE JAPANESE JOURNAL OF UROLOGY</t>
  </si>
  <si>
    <t>Nihon Hinyokika Gakkai Zasshi</t>
  </si>
  <si>
    <t>Continues: Zasshi. Nippon Hinyōkibyō Gakkai.</t>
  </si>
  <si>
    <t>18847110</t>
  </si>
  <si>
    <t>00215287</t>
  </si>
  <si>
    <t>Japanese Urological Association</t>
  </si>
  <si>
    <t>0413715</t>
  </si>
  <si>
    <t>Nihon hōigaku zasshi = The Japanese journal of legal medicine</t>
  </si>
  <si>
    <t>NIHON HOIGAKU ZASSHI = THE JAPANESE JOURNAL OF LEGAL MEDICINE</t>
  </si>
  <si>
    <t>Nihon Hoigaku Zasshi</t>
  </si>
  <si>
    <t>Beginning 1999, articles in English are published separately in: Legal medicine (Tokyo, Japan).</t>
  </si>
  <si>
    <t>00471887</t>
  </si>
  <si>
    <t>Nihon Hōi Gakkai</t>
  </si>
  <si>
    <t>Three issues a year, 1999-</t>
  </si>
  <si>
    <t>7505722</t>
  </si>
  <si>
    <t>Nihon Hoshasen Gijutsu Gakkai zasshi</t>
  </si>
  <si>
    <t>NIHON HOSHASEN GIJUTSU GAKKAI ZASSHI</t>
  </si>
  <si>
    <t>Nihon Hoshasen Gijutsu Gakkai Zasshi</t>
  </si>
  <si>
    <t>18814883</t>
  </si>
  <si>
    <t>03694305</t>
  </si>
  <si>
    <t>Nihon Hōshasen Gijutsu Gakkai</t>
  </si>
  <si>
    <t>0165261</t>
  </si>
  <si>
    <t>Nihon ishigaku zasshi. [Journal of Japanese history of medicine]</t>
  </si>
  <si>
    <t>NIHON ISHIGAKU ZASSHI. [JOURNAL OF JAPANESE HISTORY OF MEDICINE]</t>
  </si>
  <si>
    <t>Nihon Ishigaku Zasshi</t>
  </si>
  <si>
    <t>Continues Chugai iji shinpo.</t>
  </si>
  <si>
    <t>05493323</t>
  </si>
  <si>
    <t>7505728</t>
  </si>
  <si>
    <t>Nihon Jibiinkoka Gakkai kaiho</t>
  </si>
  <si>
    <t>NIHON JIBIINKOKA GAKKAI KAIHO</t>
  </si>
  <si>
    <t>Nihon Jibiinkoka Gakkai Kaiho</t>
  </si>
  <si>
    <t>Continues: Dai Nippon Jibiinkoka Kai kaiho.</t>
  </si>
  <si>
    <t>18830854</t>
  </si>
  <si>
    <t>00306622</t>
  </si>
  <si>
    <t>Oto-Rhino-Laryngological Society of Japan</t>
  </si>
  <si>
    <t>7505731</t>
  </si>
  <si>
    <t>Nihon Jinzo Gakkai shi</t>
  </si>
  <si>
    <t>NIHON JINZO GAKKAI SHI</t>
  </si>
  <si>
    <t>Nihon Jinzo Gakkai Shi</t>
  </si>
  <si>
    <t>Japanese Society Of Nephrology</t>
  </si>
  <si>
    <t>19130150R</t>
  </si>
  <si>
    <t>[Nihon kōshū eisei zasshi] Japanese journal of public health</t>
  </si>
  <si>
    <t>NIHON KOSHU EISEI ZASSHI] JAPANESE JOURNAL OF PUBLIC HEALTH</t>
  </si>
  <si>
    <t>Nihon Koshu Eisei Zasshi</t>
  </si>
  <si>
    <t>05461766</t>
  </si>
  <si>
    <t>Nippon Kōshū Eisei Kyōkai.</t>
  </si>
  <si>
    <t>19130210R</t>
  </si>
  <si>
    <t>Nihon Naika Gakkai zasshi. The Journal of the Japanese Society of Internal Medicine</t>
  </si>
  <si>
    <t>NIHON NAIKA GAKKAI ZASSHI. THE JOURNAL OF THE JAPANESE SOCIETY OF INTERNAL MEDICINE</t>
  </si>
  <si>
    <t>Nihon Naika Gakkai Zasshi</t>
  </si>
  <si>
    <t>Supersedes: Nihon Naika Gakkaishi.</t>
  </si>
  <si>
    <t>18832083</t>
  </si>
  <si>
    <t>00215384</t>
  </si>
  <si>
    <t>Nihon Naika Gakkai.</t>
  </si>
  <si>
    <t>9505992</t>
  </si>
  <si>
    <t>Nihon Rinshō Men'eki Gakkai kaishi = Japanese journal of clinical immunology</t>
  </si>
  <si>
    <t>NIHON RINSHO MEN'EKI GAKKAI KAISHI = JAPANESE JOURNAL OF CLINICAL IMMUNOLOGY</t>
  </si>
  <si>
    <t>Nihon Rinsho Meneki Gakkai Kaishi</t>
  </si>
  <si>
    <t>Nihon Rinshō Men'eki Gakkai</t>
  </si>
  <si>
    <t>0420546</t>
  </si>
  <si>
    <t>Nihon rinsho. Japanese journal of clinical medicine</t>
  </si>
  <si>
    <t>NIHON RINSHO. JAPANESE JOURNAL OF CLINICAL MEDICINE</t>
  </si>
  <si>
    <t>Nihon Rinsho</t>
  </si>
  <si>
    <t>Formed by the union of: Chuo igaku, Gendai no igaku, Jikken chiryo, Osaka iji shinshi, Rinko, Rinsho to yakubutsu, and Yuseigaku.</t>
  </si>
  <si>
    <t>00471852</t>
  </si>
  <si>
    <t>Nippon Rinsho Co</t>
  </si>
  <si>
    <t>7507332</t>
  </si>
  <si>
    <t>Nihon Ronen Igakkai zasshi. Japanese journal of geriatrics</t>
  </si>
  <si>
    <t>NIHON RONEN IGAKKAI ZASSHI. JAPANESE JOURNAL OF GERIATRICS</t>
  </si>
  <si>
    <t>Nihon Ronen Igakkai Zasshi</t>
  </si>
  <si>
    <t>03009173</t>
  </si>
  <si>
    <t>2984804R</t>
  </si>
  <si>
    <t>Nihon saikingaku zasshi. Japanese journal of bacteriology</t>
  </si>
  <si>
    <t>NIHON SAIKINGAKU ZASSHI. JAPANESE JOURNAL OF BACTERIOLOGY</t>
  </si>
  <si>
    <t>Nihon Saikingaku Zasshi</t>
  </si>
  <si>
    <t>Formed by the union of Jikken igaku zasshi, Nihn biseibutsugaku byorigaku zasshi, and Saikingaku zasshi.</t>
  </si>
  <si>
    <t>18824110</t>
  </si>
  <si>
    <t>00214930</t>
  </si>
  <si>
    <t>Nihon Saikin Gakkai</t>
  </si>
  <si>
    <t>0417460</t>
  </si>
  <si>
    <t>Nihon seirigaku zasshi. Journal of the Physiological Society of Japan</t>
  </si>
  <si>
    <t>NIHON SEIRIGAKU ZASSHI. JOURNAL OF THE PHYSIOLOGICAL SOCIETY OF JAPAN</t>
  </si>
  <si>
    <t>Nihon Seirigaku Zasshi</t>
  </si>
  <si>
    <t>Absorbed Joken hansha, July 1944-47.</t>
  </si>
  <si>
    <t>00319341</t>
  </si>
  <si>
    <t>Physiological Society of Japan</t>
  </si>
  <si>
    <t>9509023</t>
  </si>
  <si>
    <t>Nihon shinkei seishin yakurigaku zasshi = Japanese journal of psychopharmacology</t>
  </si>
  <si>
    <t>NIHON SHINKEI SEISHIN YAKURIGAKU ZASSHI = JAPANESE JOURNAL OF PSYCHOPHARMACOLOGY</t>
  </si>
  <si>
    <t>Nihon Shinkei Seishin Yakurigaku Zasshi</t>
  </si>
  <si>
    <t>Continues: Yakubutsu, seishin, kōdō.</t>
  </si>
  <si>
    <t>Nihon Shinkei Seishin Yakuri Gakkai</t>
  </si>
  <si>
    <t>2984683R</t>
  </si>
  <si>
    <t>Nihon Shokakibyo Gakkai zasshi = The Japanese journal of gastro-enterology</t>
  </si>
  <si>
    <t>NIHON SHOKAKIBYO GAKKAI ZASSHI = THE JAPANESE JOURNAL OF GASTRO-ENTEROLOGY</t>
  </si>
  <si>
    <t>Nihon Shokakibyo Gakkai Zasshi</t>
  </si>
  <si>
    <t>13497693</t>
  </si>
  <si>
    <t>Japanese Society Of Gastroenterology</t>
  </si>
  <si>
    <t>0420550</t>
  </si>
  <si>
    <t>Nihon yakurigaku zasshi. Folia pharmacologica Japonica</t>
  </si>
  <si>
    <t>NIHON YAKURIGAKU ZASSHI. FOLIA PHARMACOLOGICA JAPONICA</t>
  </si>
  <si>
    <t>Nihon Yakurigaku Zasshi</t>
  </si>
  <si>
    <t>Continues: Nippon yakubutsugaku zasshi.</t>
  </si>
  <si>
    <t>Nippon Yakuri Gakkai.</t>
  </si>
  <si>
    <t>7505716</t>
  </si>
  <si>
    <t>Nippon Ganka Gakkai zasshi</t>
  </si>
  <si>
    <t>NIPPON GANKA GAKKAI ZASSHI</t>
  </si>
  <si>
    <t>Nihon Ganka Gakkai Zasshi</t>
  </si>
  <si>
    <t>00290203</t>
  </si>
  <si>
    <t>Nihon Ganka Gakkai</t>
  </si>
  <si>
    <t>9709307</t>
  </si>
  <si>
    <t>Nitric oxide : biology and chemistry / official journal of the Nitric Oxide Society</t>
  </si>
  <si>
    <t>NITRIC OXIDE : BIOLOGY AND CHEMISTRY / OFFICIAL JOURNAL OF THE NITRIC OXIDE SOCIETY</t>
  </si>
  <si>
    <t>Nitric Oxide</t>
  </si>
  <si>
    <t>8915233</t>
  </si>
  <si>
    <t>NMR in biomedicine</t>
  </si>
  <si>
    <t>NMR IN BIOMEDICINE</t>
  </si>
  <si>
    <t>NMR Biomed</t>
  </si>
  <si>
    <t>Diagnostic Imaging#Nuclear Medicine</t>
  </si>
  <si>
    <t>0377015</t>
  </si>
  <si>
    <t>No shinkei geka. Neurological surgery</t>
  </si>
  <si>
    <t>NO SHINKEI GEKA. NEUROLOGICAL SURGERY</t>
  </si>
  <si>
    <t>No Shinkei Geka</t>
  </si>
  <si>
    <t>Igaku Shoin.</t>
  </si>
  <si>
    <t>Brain#Neurosurgery</t>
  </si>
  <si>
    <t>0215224</t>
  </si>
  <si>
    <t>No to hattatsu. Brain and development</t>
  </si>
  <si>
    <t>NO TO HATTATSU. BRAIN AND DEVELOPMENT</t>
  </si>
  <si>
    <t>18847668</t>
  </si>
  <si>
    <t>Shindan to Chiryosha.</t>
  </si>
  <si>
    <t>9815620</t>
  </si>
  <si>
    <t>Noise &amp; health</t>
  </si>
  <si>
    <t>NOISE &amp; HEALTH</t>
  </si>
  <si>
    <t>Noise Health</t>
  </si>
  <si>
    <t>19984030</t>
  </si>
  <si>
    <t>14631741</t>
  </si>
  <si>
    <t>Medknow Publications Pvt. Ltd.</t>
  </si>
  <si>
    <t>9704130</t>
  </si>
  <si>
    <t>Nonlinear dynamics, psychology, and life sciences</t>
  </si>
  <si>
    <t>NONLINEAR DYNAMICS, PSYCHOLOGY, AND LIFE SCIENCES</t>
  </si>
  <si>
    <t>Nonlinear Dynamics Psychol Life Sci</t>
  </si>
  <si>
    <t>10900578</t>
  </si>
  <si>
    <t>Society for Chaos Theory in Psychology &amp; Life Sciences</t>
  </si>
  <si>
    <t>Biology#Psychology</t>
  </si>
  <si>
    <t>100927567</t>
  </si>
  <si>
    <t>Nordic journal of psychiatry</t>
  </si>
  <si>
    <t>NORDIC JOURNAL OF PSYCHIATRY</t>
  </si>
  <si>
    <t>Nord J Psychiatry</t>
  </si>
  <si>
    <t>Continues: Nordisk psykiatrisk tidsskrift.</t>
  </si>
  <si>
    <t>Psychiatry#Psychopharmacology</t>
  </si>
  <si>
    <t>2984805R</t>
  </si>
  <si>
    <t>North Carolina medical journal</t>
  </si>
  <si>
    <t>NORTH CAROLINA MEDICAL JOURNAL</t>
  </si>
  <si>
    <t>N C Med J</t>
  </si>
  <si>
    <t>00292559</t>
  </si>
  <si>
    <t>Medical Society Of The State Of North Carolina</t>
  </si>
  <si>
    <t>0401073</t>
  </si>
  <si>
    <t>Northwest dentistry</t>
  </si>
  <si>
    <t>NORTHWEST DENTISTRY</t>
  </si>
  <si>
    <t>Northwest Dent</t>
  </si>
  <si>
    <t>Continues the Journal of the Minnesota State Dental Association.</t>
  </si>
  <si>
    <t>00292915</t>
  </si>
  <si>
    <t>Minnesota State Dental Association</t>
  </si>
  <si>
    <t>7505774</t>
  </si>
  <si>
    <t>Notes and records of the Royal Society of London</t>
  </si>
  <si>
    <t>NOTES AND RECORDS OF THE ROYAL SOCIETY OF LONDON</t>
  </si>
  <si>
    <t>Notes Rec R Soc Lond</t>
  </si>
  <si>
    <t>Continues: Occasional notices of the Royal Society of London.</t>
  </si>
  <si>
    <t>00359149</t>
  </si>
  <si>
    <t>8219749</t>
  </si>
  <si>
    <t>Nova acta Paracelsica : ... Jahrbuch der Schweizerischen Paracelsus-Gesellschaft</t>
  </si>
  <si>
    <t>NOVA ACTA PARACELSICA : ... JAHRBUCH DER SCHWEIZERISCHEN PARACELSUS-GESELLSCHAFT</t>
  </si>
  <si>
    <t>Nova Acta Paracelsica</t>
  </si>
  <si>
    <t>02548712</t>
  </si>
  <si>
    <t>Schweizerische Paracelsus-Forschung</t>
  </si>
  <si>
    <t>0347631</t>
  </si>
  <si>
    <t>NTM</t>
  </si>
  <si>
    <t>00366978</t>
  </si>
  <si>
    <t>Quarterly, 1993-</t>
  </si>
  <si>
    <t>Ethics#History of Medicine#Technology</t>
  </si>
  <si>
    <t>101608980</t>
  </si>
  <si>
    <t>NTP monograph</t>
  </si>
  <si>
    <t>NTP MONOGRAPH</t>
  </si>
  <si>
    <t>NTP Monogr</t>
  </si>
  <si>
    <t>Continues: NTP CERHR MON.</t>
  </si>
  <si>
    <t>23301279</t>
  </si>
  <si>
    <t>9304420</t>
  </si>
  <si>
    <t>Nuclear medicine and biology</t>
  </si>
  <si>
    <t>NUCLEAR MEDICINE AND BIOLOGY</t>
  </si>
  <si>
    <t>Nucl Med Biol</t>
  </si>
  <si>
    <t>Continues: International journal of radiation applications and instrumentation. Part B, Nuclear medicine and biology.</t>
  </si>
  <si>
    <t>Biology#Nuclear Medicine</t>
  </si>
  <si>
    <t>8201017</t>
  </si>
  <si>
    <t>Nuclear medicine communications</t>
  </si>
  <si>
    <t>NUCLEAR MEDICINE COMMUNICATIONS</t>
  </si>
  <si>
    <t>Nucl Med Commun</t>
  </si>
  <si>
    <t>100886103</t>
  </si>
  <si>
    <t>Nuclear medicine review. Central &amp; Eastern Europe</t>
  </si>
  <si>
    <t>NUCLEAR MEDICINE REVIEW. CENTRAL &amp; EASTERN EUROPE</t>
  </si>
  <si>
    <t>Nucl Med Rev Cent East Eur</t>
  </si>
  <si>
    <t>Merged with Problems of nuclear medicine.</t>
  </si>
  <si>
    <t>16444345</t>
  </si>
  <si>
    <t>Wydawnictwo Via Medica SC</t>
  </si>
  <si>
    <t>101237902</t>
  </si>
  <si>
    <t>Nuclear receptor signaling</t>
  </si>
  <si>
    <t>NUCLEAR RECEPTOR SIGNALING</t>
  </si>
  <si>
    <t>Nucl Recept Signal</t>
  </si>
  <si>
    <t>15507629</t>
  </si>
  <si>
    <t>Nuclear Receptor Signaling Atlas</t>
  </si>
  <si>
    <t>101562758</t>
  </si>
  <si>
    <t>Nucleic acid therapeutics</t>
  </si>
  <si>
    <t>NUCLEIC ACID THERAPEUTICS</t>
  </si>
  <si>
    <t>Nucleic Acid Ther</t>
  </si>
  <si>
    <t>Continues: Oligonucleotides.</t>
  </si>
  <si>
    <t>21593345</t>
  </si>
  <si>
    <t>Biochemistry#Drug Therapy#Molecular Biology</t>
  </si>
  <si>
    <t>0411011</t>
  </si>
  <si>
    <t>Nucleic acids research</t>
  </si>
  <si>
    <t>NUCLEIC ACIDS RESEARCH</t>
  </si>
  <si>
    <t>Nucleic Acids Res</t>
  </si>
  <si>
    <t>101259965</t>
  </si>
  <si>
    <t>Nucleic acids symposium series (2004)</t>
  </si>
  <si>
    <t>NUCLEIC ACIDS SYMPOSIUM SERIES (2004)</t>
  </si>
  <si>
    <t>Nucleic Acids Symp Ser (Oxf)</t>
  </si>
  <si>
    <t>Continues: Nucleic acids research. Supplement (2001).</t>
  </si>
  <si>
    <t>17468272</t>
  </si>
  <si>
    <t>02613166</t>
  </si>
  <si>
    <t>100892832</t>
  </si>
  <si>
    <t>Nucleosides, nucleotides &amp; nucleic acids</t>
  </si>
  <si>
    <t>NUCLEOSIDES, NUCLEOTIDES &amp; NUCLEIC ACIDS</t>
  </si>
  <si>
    <t>Nucleosides Nucleotides Nucleic Acids</t>
  </si>
  <si>
    <t>Continues: Nucleosides &amp; nucleotides.</t>
  </si>
  <si>
    <t>101518322</t>
  </si>
  <si>
    <t>Nucleus (Austin, Tex.)</t>
  </si>
  <si>
    <t>NUCLEUS (AUSTIN, TEX.)</t>
  </si>
  <si>
    <t>Nucleus</t>
  </si>
  <si>
    <t>7609387</t>
  </si>
  <si>
    <t>Nuklearmedizin. Nuclear medicine</t>
  </si>
  <si>
    <t>NUKLEARMEDIZIN. NUCLEAR MEDICINE</t>
  </si>
  <si>
    <t>Nuklearmedizin</t>
  </si>
  <si>
    <t>Continues: Nuclear-Medizin.</t>
  </si>
  <si>
    <t>F.K. Schattauer.</t>
  </si>
  <si>
    <t>8807530</t>
  </si>
  <si>
    <t>Nuncius / Istituto e museo di storia della scienza</t>
  </si>
  <si>
    <t>NUNCIUS / ISTITUTO E MUSEO DI STORIA DELLA SCIENZA</t>
  </si>
  <si>
    <t>Nuncius</t>
  </si>
  <si>
    <t>Continues: Annali dell'Istituto e museo di storia della scienza di Firenze.</t>
  </si>
  <si>
    <t>03947394</t>
  </si>
  <si>
    <t>Istituto E Museo Di Storia Della Scienza</t>
  </si>
  <si>
    <t>9312545</t>
  </si>
  <si>
    <t>Nurse author &amp; editor</t>
  </si>
  <si>
    <t>NURSE AUTHOR &amp; EDITOR</t>
  </si>
  <si>
    <t>Nurse Author Ed</t>
  </si>
  <si>
    <t>17504910</t>
  </si>
  <si>
    <t>10542353</t>
  </si>
  <si>
    <t>101090848</t>
  </si>
  <si>
    <t>Nurse education in practice</t>
  </si>
  <si>
    <t>NURSE EDUCATION IN PRACTICE</t>
  </si>
  <si>
    <t>Nurse Educ Pract</t>
  </si>
  <si>
    <t>18735223</t>
  </si>
  <si>
    <t>14715953</t>
  </si>
  <si>
    <t>8511379</t>
  </si>
  <si>
    <t>Nurse education today</t>
  </si>
  <si>
    <t>NURSE EDUCATION TODAY</t>
  </si>
  <si>
    <t>Nurse Educ Today</t>
  </si>
  <si>
    <t>15322793</t>
  </si>
  <si>
    <t>02606917</t>
  </si>
  <si>
    <t>7701902</t>
  </si>
  <si>
    <t>Nurse educator</t>
  </si>
  <si>
    <t>NURSE EDUCATOR</t>
  </si>
  <si>
    <t>Nurse Educ</t>
  </si>
  <si>
    <t>15389855</t>
  </si>
  <si>
    <t>03633624</t>
  </si>
  <si>
    <t>7603663</t>
  </si>
  <si>
    <t>The Nurse practitioner</t>
  </si>
  <si>
    <t>NURSE PRACTITIONER</t>
  </si>
  <si>
    <t>Nurse Pract</t>
  </si>
  <si>
    <t>15388662</t>
  </si>
  <si>
    <t>03611817</t>
  </si>
  <si>
    <t>Springhouse Corp.</t>
  </si>
  <si>
    <t>9435953</t>
  </si>
  <si>
    <t>Nurse researcher</t>
  </si>
  <si>
    <t>NURSE RESEARCHER</t>
  </si>
  <si>
    <t>Nurse Res</t>
  </si>
  <si>
    <t>13515578</t>
  </si>
  <si>
    <t>Viking House</t>
  </si>
  <si>
    <t>7600137</t>
  </si>
  <si>
    <t>NURSING</t>
  </si>
  <si>
    <t>Absorbed: NursingLife. May 1988 Nursing update. Sept. 1976</t>
  </si>
  <si>
    <t>15388689</t>
  </si>
  <si>
    <t>03604039</t>
  </si>
  <si>
    <t>100891857</t>
  </si>
  <si>
    <t>Nursing &amp; health sciences</t>
  </si>
  <si>
    <t>NURSING &amp; HEALTH SCIENCES</t>
  </si>
  <si>
    <t>Nurs Health Sci</t>
  </si>
  <si>
    <t>14422018</t>
  </si>
  <si>
    <t>14410745</t>
  </si>
  <si>
    <t>7703976</t>
  </si>
  <si>
    <t>Nursing administration quarterly</t>
  </si>
  <si>
    <t>NURSING ADMINISTRATION QUARTERLY</t>
  </si>
  <si>
    <t>Nurs Adm Q</t>
  </si>
  <si>
    <t>15505103</t>
  </si>
  <si>
    <t>03639568</t>
  </si>
  <si>
    <t>101554473</t>
  </si>
  <si>
    <t>Nursing children and young people</t>
  </si>
  <si>
    <t>NURSING CHILDREN AND YOUNG PEOPLE</t>
  </si>
  <si>
    <t>Nurs Child Young People</t>
  </si>
  <si>
    <t>Continues: Paediatric nursing.</t>
  </si>
  <si>
    <t>20462344</t>
  </si>
  <si>
    <t>20462336</t>
  </si>
  <si>
    <t>0042033</t>
  </si>
  <si>
    <t>The Nursing clinics of North America</t>
  </si>
  <si>
    <t>NURSING CLINICS OF NORTH AMERICA</t>
  </si>
  <si>
    <t>Nurs Clin North Am</t>
  </si>
  <si>
    <t>15581357</t>
  </si>
  <si>
    <t>00296465</t>
  </si>
  <si>
    <t>8404213</t>
  </si>
  <si>
    <t>Nursing economic$</t>
  </si>
  <si>
    <t>NURSING ECONOMIC$</t>
  </si>
  <si>
    <t>Nurs Econ</t>
  </si>
  <si>
    <t>07461739</t>
  </si>
  <si>
    <t>Anthony J. Jannetti, Inc.</t>
  </si>
  <si>
    <t>101140025</t>
  </si>
  <si>
    <t>Nursing education perspectives</t>
  </si>
  <si>
    <t>NURSING EDUCATION PERSPECTIVES</t>
  </si>
  <si>
    <t>Nurs Educ Perspect</t>
  </si>
  <si>
    <t>Continues: Nursing and health care perspectives.</t>
  </si>
  <si>
    <t>15365026</t>
  </si>
  <si>
    <t>National League for Nursing</t>
  </si>
  <si>
    <t>9433357</t>
  </si>
  <si>
    <t>Nursing ethics</t>
  </si>
  <si>
    <t>NURSING ETHICS</t>
  </si>
  <si>
    <t>Nurs Ethics</t>
  </si>
  <si>
    <t>14770989</t>
  </si>
  <si>
    <t>09697330</t>
  </si>
  <si>
    <t>Ethics#Nursing</t>
  </si>
  <si>
    <t>101304602</t>
  </si>
  <si>
    <t>Nursing for women's health</t>
  </si>
  <si>
    <t>NURSING FOR WOMEN'S HEALTH</t>
  </si>
  <si>
    <t>Nurs Womens Health</t>
  </si>
  <si>
    <t>Continues: AWHONN lifelines.</t>
  </si>
  <si>
    <t>1751486X</t>
  </si>
  <si>
    <t>17514851</t>
  </si>
  <si>
    <t>Nursing#Obstetrics#Perinatology#Women's Health</t>
  </si>
  <si>
    <t>0401006</t>
  </si>
  <si>
    <t>Nursing forum</t>
  </si>
  <si>
    <t>NURSING FORUM</t>
  </si>
  <si>
    <t>Nurs Forum</t>
  </si>
  <si>
    <t>17446198</t>
  </si>
  <si>
    <t>00296473</t>
  </si>
  <si>
    <t>9303945</t>
  </si>
  <si>
    <t>Nursing history review : official journal of the American Association for the History of Nursing</t>
  </si>
  <si>
    <t>NURSING HISTORY REVIEW : OFFICIAL JOURNAL OF THE AMERICAN ASSOCIATION FOR THE HISTORY OF NURSING</t>
  </si>
  <si>
    <t>Nurs Hist Rev</t>
  </si>
  <si>
    <t>10628061</t>
  </si>
  <si>
    <t>Springer Publishing</t>
  </si>
  <si>
    <t>9808649</t>
  </si>
  <si>
    <t>Nursing in critical care</t>
  </si>
  <si>
    <t>NURSING IN CRITICAL CARE</t>
  </si>
  <si>
    <t>Nurs Crit Care</t>
  </si>
  <si>
    <t>14785153</t>
  </si>
  <si>
    <t>13621017</t>
  </si>
  <si>
    <t>published for the British Association of Critical Care Nurses by Greycoat Pub.</t>
  </si>
  <si>
    <t>9505881</t>
  </si>
  <si>
    <t>Nursing inquiry</t>
  </si>
  <si>
    <t>NURSING INQUIRY</t>
  </si>
  <si>
    <t>Nurs Inq</t>
  </si>
  <si>
    <t>14401800</t>
  </si>
  <si>
    <t>13207881</t>
  </si>
  <si>
    <t>0376403</t>
  </si>
  <si>
    <t>The Nursing journal of India</t>
  </si>
  <si>
    <t>NURSING JOURNAL OF INDIA</t>
  </si>
  <si>
    <t>Nurs J India</t>
  </si>
  <si>
    <t>00296503</t>
  </si>
  <si>
    <t>Trained Nurses Association of India</t>
  </si>
  <si>
    <t>Bimonthly, Vol. CV, no. 1 (Feb, 2014)-</t>
  </si>
  <si>
    <t>1912</t>
  </si>
  <si>
    <t>100936959</t>
  </si>
  <si>
    <t>Nursing law's Regan report</t>
  </si>
  <si>
    <t>NURSING LAW'S REGAN REPORT</t>
  </si>
  <si>
    <t>Nurs Law Regan Rep</t>
  </si>
  <si>
    <t>Continues: Regan report on nursing law.</t>
  </si>
  <si>
    <t>1528848X</t>
  </si>
  <si>
    <t>Medica Press</t>
  </si>
  <si>
    <t>101470760</t>
  </si>
  <si>
    <t>Nursing leadership (Toronto, Ont.)</t>
  </si>
  <si>
    <t>NURSING LEADERSHIP (TORONTO, ONT.)</t>
  </si>
  <si>
    <t>Nurs Leadersh (Tor Ont)</t>
  </si>
  <si>
    <t>Continues: Canadian journal of nursing leadership.</t>
  </si>
  <si>
    <t>1910622X</t>
  </si>
  <si>
    <t>Longwoods Pub. Corp. [for the] Academy of Canadian Executive Nurses</t>
  </si>
  <si>
    <t>8219243</t>
  </si>
  <si>
    <t>Nursing management</t>
  </si>
  <si>
    <t>NURSING MANAGEMENT</t>
  </si>
  <si>
    <t>Nurs Manage</t>
  </si>
  <si>
    <t>Absorbed: Recruitment, retention &amp; restructuring report. Feb. 1999 Continues: Supervisor nurse.</t>
  </si>
  <si>
    <t>15388670</t>
  </si>
  <si>
    <t>07446314</t>
  </si>
  <si>
    <t>Springhouse Corporation</t>
  </si>
  <si>
    <t>9433248</t>
  </si>
  <si>
    <t>Nursing management (Harrow, London, England : 1994)</t>
  </si>
  <si>
    <t>NURSING MANAGEMENT (HARROW, LONDON, ENGLAND : 1994)</t>
  </si>
  <si>
    <t>Nurs Manag (Harrow)</t>
  </si>
  <si>
    <t>Continues: Senior nurse.</t>
  </si>
  <si>
    <t>13545760</t>
  </si>
  <si>
    <t>Nursing Standard Publications</t>
  </si>
  <si>
    <t>9507374</t>
  </si>
  <si>
    <t>Nursing New Zealand (Wellington, N.Z. : 1995)</t>
  </si>
  <si>
    <t>NURSING NEW ZEALAND (WELLINGTON, N.Z. : 1995)</t>
  </si>
  <si>
    <t>Nurs N Z</t>
  </si>
  <si>
    <t>Continues a journal with the same title published vols. 1-2 (Apr. 1993-Dec./Jan 1994/95).</t>
  </si>
  <si>
    <t>11732032</t>
  </si>
  <si>
    <t>New Zealand Nurses' Organisation</t>
  </si>
  <si>
    <t>101084156</t>
  </si>
  <si>
    <t>Nursing older people</t>
  </si>
  <si>
    <t>NURSING OLDER PEOPLE</t>
  </si>
  <si>
    <t>Nurs Older People</t>
  </si>
  <si>
    <t>Continues: Elderly care.</t>
  </si>
  <si>
    <t>20478941</t>
  </si>
  <si>
    <t>14720795</t>
  </si>
  <si>
    <t>RCN Publishing Ltd.</t>
  </si>
  <si>
    <t>0401075</t>
  </si>
  <si>
    <t>Nursing outlook</t>
  </si>
  <si>
    <t>NURSING OUTLOOK</t>
  </si>
  <si>
    <t>Nurs Outlook</t>
  </si>
  <si>
    <t>Absorbed: Public health nursing.</t>
  </si>
  <si>
    <t>15283968</t>
  </si>
  <si>
    <t>00296554</t>
  </si>
  <si>
    <t>Bimonthly, July/Aug. 1982-</t>
  </si>
  <si>
    <t>100897394</t>
  </si>
  <si>
    <t>Nursing philosophy : an international journal for healthcare professionals</t>
  </si>
  <si>
    <t>NURSING PHILOSOPHY : AN INTERNATIONAL JOURNAL FOR HEALTHCARE PROFESSIONALS</t>
  </si>
  <si>
    <t>Nurs Philos</t>
  </si>
  <si>
    <t>1466769X</t>
  </si>
  <si>
    <t>14667681</t>
  </si>
  <si>
    <t>9212162</t>
  </si>
  <si>
    <t>Nursing praxis in New Zealand inc</t>
  </si>
  <si>
    <t>NURSING PRAXIS IN NEW ZEALAND INC</t>
  </si>
  <si>
    <t>Nurs Prax N Z</t>
  </si>
  <si>
    <t>01127438</t>
  </si>
  <si>
    <t>Nursing Praxis in New Zealand Inc.</t>
  </si>
  <si>
    <t>0376404</t>
  </si>
  <si>
    <t>Nursing research</t>
  </si>
  <si>
    <t>NURSING RESEARCH</t>
  </si>
  <si>
    <t>Nurs Res</t>
  </si>
  <si>
    <t>15389847</t>
  </si>
  <si>
    <t>00296562</t>
  </si>
  <si>
    <t>Lippincott-Ravn Publisher</t>
  </si>
  <si>
    <t>Bimonthly, Jan./Feb. 1968-</t>
  </si>
  <si>
    <t>8805022</t>
  </si>
  <si>
    <t>Nursing science quarterly</t>
  </si>
  <si>
    <t>NURSING SCIENCE QUARTERLY</t>
  </si>
  <si>
    <t>Nurs Sci Q</t>
  </si>
  <si>
    <t>15527409</t>
  </si>
  <si>
    <t>08943184</t>
  </si>
  <si>
    <t>9012906</t>
  </si>
  <si>
    <t>Nursing standard (Royal College of Nursing (Great Britain) : 1987)</t>
  </si>
  <si>
    <t>NURSING STANDARD (ROYAL COLLEGE OF NURSING (GREAT BRITAIN) : 1987)</t>
  </si>
  <si>
    <t>Nurs Stand</t>
  </si>
  <si>
    <t>Absorbed: Tradimus. 1990 Continues: Nursing standard.</t>
  </si>
  <si>
    <t>00296570</t>
  </si>
  <si>
    <t>Scutari For The Royal College Of Nursing</t>
  </si>
  <si>
    <t>0423236</t>
  </si>
  <si>
    <t>Nursing times</t>
  </si>
  <si>
    <t>NURSING TIMES</t>
  </si>
  <si>
    <t>Nurs Times</t>
  </si>
  <si>
    <t>Absorbed: NT learning curve. Nursing mirror.</t>
  </si>
  <si>
    <t>09547762</t>
  </si>
  <si>
    <t>Macmillian Journals</t>
  </si>
  <si>
    <t>9100365</t>
  </si>
  <si>
    <t>Nutrición hospitalaria</t>
  </si>
  <si>
    <t>NUTRICION HOSPITALARIA</t>
  </si>
  <si>
    <t>Nutr Hosp</t>
  </si>
  <si>
    <t>16995198</t>
  </si>
  <si>
    <t>02121611</t>
  </si>
  <si>
    <t>Grupo Aula Médica Ediciones</t>
  </si>
  <si>
    <t>101521595</t>
  </si>
  <si>
    <t>NUTRIENTS</t>
  </si>
  <si>
    <t>MDPI Publishing</t>
  </si>
  <si>
    <t>8802712</t>
  </si>
  <si>
    <t>Nutrition (Burbank, Los Angeles County, Calif.)</t>
  </si>
  <si>
    <t>NUTRITION (BURBANK, LOS ANGELES COUNTY, CALIF.)</t>
  </si>
  <si>
    <t>Continues: Nutrition international.</t>
  </si>
  <si>
    <t>7905040</t>
  </si>
  <si>
    <t>Nutrition and cancer</t>
  </si>
  <si>
    <t>NUTRITION AND CANCER</t>
  </si>
  <si>
    <t>Nutr Cancer</t>
  </si>
  <si>
    <t>Neoplasms#Nutritional Sciences</t>
  </si>
  <si>
    <t>8306569</t>
  </si>
  <si>
    <t>Nutrition and health</t>
  </si>
  <si>
    <t>NUTRITION AND HEALTH</t>
  </si>
  <si>
    <t>Nutr Health</t>
  </si>
  <si>
    <t>02601060</t>
  </si>
  <si>
    <t>8606733</t>
  </si>
  <si>
    <t>Nutrition in clinical practice : official publication of the American Society for Parenteral and Enteral Nutrition</t>
  </si>
  <si>
    <t>NUTRITION IN CLINICAL PRACTICE : OFFICIAL PUBLICATION OF THE AMERICAN SOCIETY FOR PARENTERAL AND ENTERAL NUTRITION</t>
  </si>
  <si>
    <t>Nutr Clin Pract</t>
  </si>
  <si>
    <t>Nursing#Nutritional Sciences</t>
  </si>
  <si>
    <t>101152213</t>
  </si>
  <si>
    <t>Nutrition journal</t>
  </si>
  <si>
    <t>NUTRITION JOURNAL</t>
  </si>
  <si>
    <t>Nutr J</t>
  </si>
  <si>
    <t>8303331</t>
  </si>
  <si>
    <t>Nutrition research (New York, N.Y.)</t>
  </si>
  <si>
    <t>NUTRITION RESEARCH (NEW YORK, N.Y.)</t>
  </si>
  <si>
    <t>Nutr Res</t>
  </si>
  <si>
    <t>9113797</t>
  </si>
  <si>
    <t>Nutrition research reviews</t>
  </si>
  <si>
    <t>NUTRITION RESEARCH REVIEWS</t>
  </si>
  <si>
    <t>Nutr Res Rev</t>
  </si>
  <si>
    <t>Semiannual, &lt;2002-&gt;</t>
  </si>
  <si>
    <t>0376405</t>
  </si>
  <si>
    <t>Nutrition reviews</t>
  </si>
  <si>
    <t>NUTRITION REVIEWS</t>
  </si>
  <si>
    <t>Nutr Rev</t>
  </si>
  <si>
    <t>International Life Sciences Institute</t>
  </si>
  <si>
    <t>9111474</t>
  </si>
  <si>
    <t>Nutrition, metabolism, and cardiovascular diseases : NMCD</t>
  </si>
  <si>
    <t>NUTRITION, METABOLISM, AND CARDIOVASCULAR DISEASES : NMCD</t>
  </si>
  <si>
    <t>Nutr Metab Cardiovasc Dis</t>
  </si>
  <si>
    <t>15903729</t>
  </si>
  <si>
    <t>Cardiology#Metabolism#Nutritional Sciences#Vascular Diseases</t>
  </si>
  <si>
    <t>100892202</t>
  </si>
  <si>
    <t>Nutritional neuroscience</t>
  </si>
  <si>
    <t>NUTRITIONAL NEUROSCIENCE</t>
  </si>
  <si>
    <t>Nutr Neurosci</t>
  </si>
  <si>
    <t>Six issues per volume</t>
  </si>
  <si>
    <t>Neurology#Nutritional Sciences</t>
  </si>
  <si>
    <t>101264860</t>
  </si>
  <si>
    <t>Obesity (Silver Spring, Md.)</t>
  </si>
  <si>
    <t>OBESITY (SILVER SPRING, MD.)</t>
  </si>
  <si>
    <t>Obesity (Silver Spring)</t>
  </si>
  <si>
    <t>Continues: Obesity research.</t>
  </si>
  <si>
    <t>Metabolism#Nutritional Sciences#Physiology</t>
  </si>
  <si>
    <t>101469429</t>
  </si>
  <si>
    <t>Obesity facts</t>
  </si>
  <si>
    <t>OBESITY FACTS</t>
  </si>
  <si>
    <t>Obes Facts</t>
  </si>
  <si>
    <t>101303911</t>
  </si>
  <si>
    <t>Obesity research &amp; clinical practice</t>
  </si>
  <si>
    <t>OBESITY RESEARCH &amp; CLINICAL PRACTICE</t>
  </si>
  <si>
    <t>Obes Res Clin Pract</t>
  </si>
  <si>
    <t>100897395</t>
  </si>
  <si>
    <t>Obesity reviews : an official journal of the International Association for the Study of Obesity</t>
  </si>
  <si>
    <t>OBESITY REVIEWS : AN OFFICIAL JOURNAL OF THE INTERNATIONAL ASSOCIATION FOR THE STUDY OF OBESITY</t>
  </si>
  <si>
    <t>Obes Rev</t>
  </si>
  <si>
    <t>Monthly, &lt;2010-&gt;</t>
  </si>
  <si>
    <t>9106714</t>
  </si>
  <si>
    <t>Obesity surgery</t>
  </si>
  <si>
    <t>OBESITY SURGERY</t>
  </si>
  <si>
    <t>Obes Surg</t>
  </si>
  <si>
    <t>Monthly, &lt;2006-&gt;</t>
  </si>
  <si>
    <t>General Surgery#Metabolism</t>
  </si>
  <si>
    <t>0401007</t>
  </si>
  <si>
    <t>Obstetrical &amp; gynecological survey</t>
  </si>
  <si>
    <t>OBSTETRICAL &amp; GYNECOLOGICAL SURVEY</t>
  </si>
  <si>
    <t>Obstet Gynecol Surv</t>
  </si>
  <si>
    <t>Williams and Wilkins</t>
  </si>
  <si>
    <t>0401101</t>
  </si>
  <si>
    <t>Obstetrics and gynecology</t>
  </si>
  <si>
    <t>OBSTETRICS AND GYNECOLOGY</t>
  </si>
  <si>
    <t>Obstet Gynecol</t>
  </si>
  <si>
    <t>Vols. for 2000- include issues of: ACOG committee opinion; ACOG eduational bulletin; and: ACOG practice bulletin, which were formerly published separately. Beginning with: &lt;2002-&gt; ACOG practice bulletin published separately.</t>
  </si>
  <si>
    <t>8709551</t>
  </si>
  <si>
    <t>Obstetrics and gynecology clinics of North America</t>
  </si>
  <si>
    <t>OBSTETRICS AND GYNECOLOGY CLINICS OF NORTH AMERICA</t>
  </si>
  <si>
    <t>Obstet Gynecol Clin North Am</t>
  </si>
  <si>
    <t>Continues in part: Clinics in obstetrics and gynaecology.</t>
  </si>
  <si>
    <t>9305692</t>
  </si>
  <si>
    <t>Occasional paper (Royal College of General Practitioners)</t>
  </si>
  <si>
    <t>OCCASIONAL PAPER (ROYAL COLLEGE OF GENERAL PRACTITIONERS)</t>
  </si>
  <si>
    <t>Occas Pap R Coll Gen Pract</t>
  </si>
  <si>
    <t>Continues: Journal of the Royal College of General Practitioners. Occasional paper.</t>
  </si>
  <si>
    <t>13522450</t>
  </si>
  <si>
    <t>9422759</t>
  </si>
  <si>
    <t>Occupational and environmental medicine</t>
  </si>
  <si>
    <t>OCCUPATIONAL AND ENVIRONMENTAL MEDICINE</t>
  </si>
  <si>
    <t>Occup Environ Med</t>
  </si>
  <si>
    <t>Continues: British journal of industrial medicine.</t>
  </si>
  <si>
    <t>7610574</t>
  </si>
  <si>
    <t>Occupational health &amp; safety (Waco, Tex.)</t>
  </si>
  <si>
    <t>OCCUPATIONAL HEALTH &amp; SAFETY (WACO, TEX.)</t>
  </si>
  <si>
    <t>Occup Health Saf</t>
  </si>
  <si>
    <t>Continues: International journal of occupational health &amp; safety.</t>
  </si>
  <si>
    <t>03624064</t>
  </si>
  <si>
    <t>Stevens Publishing</t>
  </si>
  <si>
    <t>9205857</t>
  </si>
  <si>
    <t>Occupational medicine (Oxford, England)</t>
  </si>
  <si>
    <t>OCCUPATIONAL MEDICINE (OXFORD, ENGLAND)</t>
  </si>
  <si>
    <t>Occup Med (Lond)</t>
  </si>
  <si>
    <t>Continues: Journal of the Society of Occupational Medicine.</t>
  </si>
  <si>
    <t>14718405</t>
  </si>
  <si>
    <t>09627480</t>
  </si>
  <si>
    <t>8309883</t>
  </si>
  <si>
    <t>Occupational therapy in health care</t>
  </si>
  <si>
    <t>OCCUPATIONAL THERAPY IN HEALTH CARE</t>
  </si>
  <si>
    <t>Occup Ther Health Care</t>
  </si>
  <si>
    <t>9433361</t>
  </si>
  <si>
    <t>Occupational therapy international</t>
  </si>
  <si>
    <t>OCCUPATIONAL THERAPY INTERNATIONAL</t>
  </si>
  <si>
    <t>Occup Ther Int</t>
  </si>
  <si>
    <t>15570703</t>
  </si>
  <si>
    <t>09667903</t>
  </si>
  <si>
    <t>9312169</t>
  </si>
  <si>
    <t>Ocular immunology and inflammation</t>
  </si>
  <si>
    <t>OCULAR IMMUNOLOGY AND INFLAMMATION</t>
  </si>
  <si>
    <t>Ocul Immunol Inflamm</t>
  </si>
  <si>
    <t>Allergy and Immunology#Ophthalmology</t>
  </si>
  <si>
    <t>101156063</t>
  </si>
  <si>
    <t>The ocular surface</t>
  </si>
  <si>
    <t>OCULAR SURFACE</t>
  </si>
  <si>
    <t>Ocul Surf</t>
  </si>
  <si>
    <t>Ethis Communications</t>
  </si>
  <si>
    <t>101134822</t>
  </si>
  <si>
    <t>Odontology / the Society of the Nippon Dental University</t>
  </si>
  <si>
    <t>ODONTOLOGY / THE SOCIETY OF THE NIPPON DENTAL UNIVERSITY</t>
  </si>
  <si>
    <t>Odontology</t>
  </si>
  <si>
    <t>Continues: Shigaku.</t>
  </si>
  <si>
    <t>16181255</t>
  </si>
  <si>
    <t>16181247</t>
  </si>
  <si>
    <t>Once or twice a year</t>
  </si>
  <si>
    <t>8103679</t>
  </si>
  <si>
    <t>Odonto-stomatologie tropicale = Tropical dental journal</t>
  </si>
  <si>
    <t>ODONTO-STOMATOLOGIE TROPICALE = TROPICAL DENTAL JOURNAL</t>
  </si>
  <si>
    <t>Odontostomatol Trop</t>
  </si>
  <si>
    <t>Continues: Revue du SESDA.</t>
  </si>
  <si>
    <t>0251172X</t>
  </si>
  <si>
    <t>Secretariat Of Dental Health In Africa</t>
  </si>
  <si>
    <t>Dentistry#Tropical Medicine</t>
  </si>
  <si>
    <t>0150372</t>
  </si>
  <si>
    <t>Oecologia</t>
  </si>
  <si>
    <t>OECOLOGIA</t>
  </si>
  <si>
    <t>Supersedes in part Zeitschrift für Morphologie und Oekologie der Tiere.</t>
  </si>
  <si>
    <t>14321939</t>
  </si>
  <si>
    <t>00298549</t>
  </si>
  <si>
    <t>9111247</t>
  </si>
  <si>
    <t>Oftalmologia (Bucharest, Romania : 1990)</t>
  </si>
  <si>
    <t>OFTALMOLOGIA (BUCHAREST, ROMANIA : 1990)</t>
  </si>
  <si>
    <t>Oftalmologia</t>
  </si>
  <si>
    <t>Continues: Revista de chirurgie, oncologie, radiologie, o. r. l., oftalmologie, stomatologie. Oftalmologie.</t>
  </si>
  <si>
    <t>12200875</t>
  </si>
  <si>
    <t>Societătea Română de Oftalmologie</t>
  </si>
  <si>
    <t>19330290R</t>
  </si>
  <si>
    <t>Ohio nurses review</t>
  </si>
  <si>
    <t>OHIO NURSES REVIEW</t>
  </si>
  <si>
    <t>Ohio Nurses Rev</t>
  </si>
  <si>
    <t>Continues Ohio State Nurses' Association. Quarterly bulletin.</t>
  </si>
  <si>
    <t>00300993</t>
  </si>
  <si>
    <t>Ohio State Nurses' Association.</t>
  </si>
  <si>
    <t>0401014</t>
  </si>
  <si>
    <t>Okajimas folia anatomica Japonica</t>
  </si>
  <si>
    <t>OKAJIMAS FOLIA ANATOMICA JAPONICA</t>
  </si>
  <si>
    <t>Okajimas Folia Anat Jpn</t>
  </si>
  <si>
    <t>Continues: Folia anatomica Japonica.</t>
  </si>
  <si>
    <t>18811736</t>
  </si>
  <si>
    <t>0030154X</t>
  </si>
  <si>
    <t>Okajima Foria Anatomika Yaponika Henshūbu</t>
  </si>
  <si>
    <t>19330740R</t>
  </si>
  <si>
    <t>The Oklahoma nurse</t>
  </si>
  <si>
    <t>OKLAHOMA NURSE</t>
  </si>
  <si>
    <t>Okla Nurse</t>
  </si>
  <si>
    <t>00301787</t>
  </si>
  <si>
    <t>Oklahoma State Nurses Assn.</t>
  </si>
  <si>
    <t>1272106</t>
  </si>
  <si>
    <t>Omega</t>
  </si>
  <si>
    <t>OMEGA</t>
  </si>
  <si>
    <t>Omega (Westport)</t>
  </si>
  <si>
    <t>15413764</t>
  </si>
  <si>
    <t>00302228</t>
  </si>
  <si>
    <t>Baywood Publishing Company</t>
  </si>
  <si>
    <t>101131135</t>
  </si>
  <si>
    <t>Omics : a journal of integrative biology</t>
  </si>
  <si>
    <t>OMICS : A JOURNAL OF INTEGRATIVE BIOLOGY</t>
  </si>
  <si>
    <t>OMICS</t>
  </si>
  <si>
    <t>Continues: Microbial &amp; comparative genomics.</t>
  </si>
  <si>
    <t>8711562</t>
  </si>
  <si>
    <t>ONCOGENE</t>
  </si>
  <si>
    <t>50 no. a year, &lt;2007-&gt;</t>
  </si>
  <si>
    <t>9607837</t>
  </si>
  <si>
    <t>The oncologist</t>
  </si>
  <si>
    <t>ONCOLOGIST</t>
  </si>
  <si>
    <t>0135054</t>
  </si>
  <si>
    <t>Oncology</t>
  </si>
  <si>
    <t>ONCOLOGY</t>
  </si>
  <si>
    <t>Continues Oncologia.</t>
  </si>
  <si>
    <t>8712059</t>
  </si>
  <si>
    <t>Oncology (Williston Park, N.Y.)</t>
  </si>
  <si>
    <t>ONCOLOGY (WILLISTON PARK, N.Y.)</t>
  </si>
  <si>
    <t>Oncology (Williston Park)</t>
  </si>
  <si>
    <t>CMP Healthcare Media</t>
  </si>
  <si>
    <t>Fourteen no. a year, 2004-</t>
  </si>
  <si>
    <t>7809033</t>
  </si>
  <si>
    <t>Oncology nursing forum</t>
  </si>
  <si>
    <t>ONCOLOGY NURSING FORUM</t>
  </si>
  <si>
    <t>Oncol Nurs Forum</t>
  </si>
  <si>
    <t>Continues Oncology Nursing Society newsletter.</t>
  </si>
  <si>
    <t>15380688</t>
  </si>
  <si>
    <t>0190535X</t>
  </si>
  <si>
    <t>Oncology Nursing Society</t>
  </si>
  <si>
    <t>9422756</t>
  </si>
  <si>
    <t>Oncology reports</t>
  </si>
  <si>
    <t>ONCOLOGY REPORTS</t>
  </si>
  <si>
    <t>Oncol Rep</t>
  </si>
  <si>
    <t>9208097</t>
  </si>
  <si>
    <t>Oncology research</t>
  </si>
  <si>
    <t>ONCOLOGY RESEARCH</t>
  </si>
  <si>
    <t>Oncol Res</t>
  </si>
  <si>
    <t>Absorbed: Anti-cancer drug design.</t>
  </si>
  <si>
    <t>101532965</t>
  </si>
  <si>
    <t>ONCOTARGET</t>
  </si>
  <si>
    <t>Impact Journals</t>
  </si>
  <si>
    <t>0401107</t>
  </si>
  <si>
    <t>The Onderstepoort journal of veterinary research</t>
  </si>
  <si>
    <t>ONDERSTEPOORT JOURNAL OF VETERINARY RESEARCH</t>
  </si>
  <si>
    <t>Onderstepoort J Vet Res</t>
  </si>
  <si>
    <t>Continues: Onderstepoort journal of veterinary science and animal industry.</t>
  </si>
  <si>
    <t>22190635</t>
  </si>
  <si>
    <t>00302465</t>
  </si>
  <si>
    <t>Union Of South Africa. Department Of Agricultural Technical Services</t>
  </si>
  <si>
    <t>9806525</t>
  </si>
  <si>
    <t>Online journal of issues in nursing</t>
  </si>
  <si>
    <t>ONLINE JOURNAL OF ISSUES IN NURSING</t>
  </si>
  <si>
    <t>Online J Issues Nurs</t>
  </si>
  <si>
    <t>10913734</t>
  </si>
  <si>
    <t>American Nurses Association</t>
  </si>
  <si>
    <t>101300056</t>
  </si>
  <si>
    <t>ONS connect</t>
  </si>
  <si>
    <t>ONS CONNECT</t>
  </si>
  <si>
    <t>ONS Connect</t>
  </si>
  <si>
    <t>Continues: ONS news.</t>
  </si>
  <si>
    <t>19351623</t>
  </si>
  <si>
    <t>101521610</t>
  </si>
  <si>
    <t>Ontario health technology assessment series</t>
  </si>
  <si>
    <t>ONTARIO HEALTH TECHNOLOGY ASSESSMENT SERIES</t>
  </si>
  <si>
    <t>Ont Health Technol Assess Ser</t>
  </si>
  <si>
    <t>0341527</t>
  </si>
  <si>
    <t>Ontogenez</t>
  </si>
  <si>
    <t>ONTOGENEZ</t>
  </si>
  <si>
    <t>04751450</t>
  </si>
  <si>
    <t>101580419</t>
  </si>
  <si>
    <t>Open biology</t>
  </si>
  <si>
    <t>OPEN BIOLOGY</t>
  </si>
  <si>
    <t>Open Biol</t>
  </si>
  <si>
    <t>20462441</t>
  </si>
  <si>
    <t>Royal Society Pub.</t>
  </si>
  <si>
    <t>101319172</t>
  </si>
  <si>
    <t>Open medicine : a peer-reviewed, independent, open-access journal</t>
  </si>
  <si>
    <t>OPEN MEDICINE : A PEER-REVIEWED, INDEPENDENT, OPEN-ACCESS JOURNAL</t>
  </si>
  <si>
    <t>Open Med</t>
  </si>
  <si>
    <t>19112092</t>
  </si>
  <si>
    <t>Open Medicine</t>
  </si>
  <si>
    <t>Quarterly, 2007-</t>
  </si>
  <si>
    <t>7605679</t>
  </si>
  <si>
    <t>Operative dentistry</t>
  </si>
  <si>
    <t>OPERATIVE DENTISTRY</t>
  </si>
  <si>
    <t>Oper Dent</t>
  </si>
  <si>
    <t>Supersedes: The Journal of the American Academy of Gold Foil Operators.</t>
  </si>
  <si>
    <t>15592863</t>
  </si>
  <si>
    <t>03617734</t>
  </si>
  <si>
    <t>Univ. of Washington, School of Dentistry.</t>
  </si>
  <si>
    <t>7805058</t>
  </si>
  <si>
    <t>Operative dentistry. Supplement</t>
  </si>
  <si>
    <t>OPERATIVE DENTISTRY. SUPPLEMENT</t>
  </si>
  <si>
    <t>Oper Dent Suppl</t>
  </si>
  <si>
    <t>01633473</t>
  </si>
  <si>
    <t>University of Washington, School of Dentistry</t>
  </si>
  <si>
    <t>9604937</t>
  </si>
  <si>
    <t>Operative Orthopädie und Traumatologie</t>
  </si>
  <si>
    <t>OPERATIVE ORTHOPADIE UND TRAUMATOLOGIE</t>
  </si>
  <si>
    <t>Oper Orthop Traumatol</t>
  </si>
  <si>
    <t>Absorbed: Orthopedics and traumatology.</t>
  </si>
  <si>
    <t>8208839</t>
  </si>
  <si>
    <t>Ophthalmic &amp; physiological optics : the journal of the British College of Ophthalmic Opticians (Optometrists)</t>
  </si>
  <si>
    <t>OPHTHALMIC &amp; PHYSIOLOGICAL OPTICS : THE JOURNAL OF THE BRITISH COLLEGE OF OPHTHALMIC OPTICIANS (OPTOMETRISTS)</t>
  </si>
  <si>
    <t>Ophthalmic Physiol Opt</t>
  </si>
  <si>
    <t>Continues: The British journal of physiological optics.</t>
  </si>
  <si>
    <t>14751313</t>
  </si>
  <si>
    <t>02755408</t>
  </si>
  <si>
    <t>Ophthalmology#Optometry</t>
  </si>
  <si>
    <t>9435674</t>
  </si>
  <si>
    <t>Ophthalmic epidemiology</t>
  </si>
  <si>
    <t>OPHTHALMIC EPIDEMIOLOGY</t>
  </si>
  <si>
    <t>Ophthalmic Epidemiol</t>
  </si>
  <si>
    <t>Epidemiology#Ophthalmology</t>
  </si>
  <si>
    <t>9436057</t>
  </si>
  <si>
    <t>Ophthalmic genetics</t>
  </si>
  <si>
    <t>OPHTHALMIC GENETICS</t>
  </si>
  <si>
    <t>Ophthalmic Genet</t>
  </si>
  <si>
    <t>Continues: Ophthalmic paediatrics and genetics.</t>
  </si>
  <si>
    <t>Genetics, Medical#Ophthalmology</t>
  </si>
  <si>
    <t>8508431</t>
  </si>
  <si>
    <t>Ophthalmic plastic and reconstructive surgery</t>
  </si>
  <si>
    <t>OPHTHALMIC PLASTIC AND RECONSTRUCTIVE SURGERY</t>
  </si>
  <si>
    <t>Ophthal Plast Reconstr Surg</t>
  </si>
  <si>
    <t>Lippincott Williams &amp; Wilkins for the American Society of Ophthalmic Plastic and Reconstructive Surgery</t>
  </si>
  <si>
    <t>General Surgery#Ophthalmology</t>
  </si>
  <si>
    <t>0267442</t>
  </si>
  <si>
    <t>Ophthalmic research</t>
  </si>
  <si>
    <t>OPHTHALMIC RESEARCH</t>
  </si>
  <si>
    <t>Ophthalmic Res</t>
  </si>
  <si>
    <t>101599215</t>
  </si>
  <si>
    <t>Ophthalmic surgery, lasers &amp; imaging retina</t>
  </si>
  <si>
    <t>OPHTHALMIC SURGERY, LASERS &amp; IMAGING RETINA</t>
  </si>
  <si>
    <t>Ophthalmic Surg Lasers Imaging Retina</t>
  </si>
  <si>
    <t>Continues: Ophthalmic surgery, lasers &amp; imaging.</t>
  </si>
  <si>
    <t>9206148</t>
  </si>
  <si>
    <t>Der Ophthalmologe : Zeitschrift der Deutschen Ophthalmologischen Gesellschaft</t>
  </si>
  <si>
    <t>OPHTHALMOLOGE : ZEITSCHRIFT DER DEUTSCHEN OPHTHALMOLOGISCHEN GESELLSCHAFT</t>
  </si>
  <si>
    <t>Ophthalmologe</t>
  </si>
  <si>
    <t>Continues: Fortschritte der Ophthalmologie. (OCoLC)09211649</t>
  </si>
  <si>
    <t>14330423</t>
  </si>
  <si>
    <t>0941293X</t>
  </si>
  <si>
    <t>0054655</t>
  </si>
  <si>
    <t>Ophthalmologica. Journal international d'ophtalmologie. International journal of ophthalmology. Zeitschrift für Augenheilkunde</t>
  </si>
  <si>
    <t>OPHTHALMOLOGICA. JOURNAL INTERNATIONAL D'OPHTALMOLOGIE. INTERNATIONAL JOURNAL OF OPHTHALMOLOGY. ZEITSCHRIFT FUR AUGENHEILKUNDE</t>
  </si>
  <si>
    <t>Continues Zeitschrift für Augenheilkunde.</t>
  </si>
  <si>
    <t>7802443</t>
  </si>
  <si>
    <t>OPHTHALMOLOGY</t>
  </si>
  <si>
    <t>Absorbed: American orthoptic journal. Continues in part: Transactions - American Academy of Ophthalmology.</t>
  </si>
  <si>
    <t>101137103</t>
  </si>
  <si>
    <t>Optics express</t>
  </si>
  <si>
    <t>OPTICS EXPRESS</t>
  </si>
  <si>
    <t>Opt Express</t>
  </si>
  <si>
    <t>10944087</t>
  </si>
  <si>
    <t>Biophysics#Ophthalmology</t>
  </si>
  <si>
    <t>7708433</t>
  </si>
  <si>
    <t>Optics letters</t>
  </si>
  <si>
    <t>OPTICS LETTERS</t>
  </si>
  <si>
    <t>Opt Lett</t>
  </si>
  <si>
    <t>15394794</t>
  </si>
  <si>
    <t>01469592</t>
  </si>
  <si>
    <t>Optical Society of America.</t>
  </si>
  <si>
    <t>100912421</t>
  </si>
  <si>
    <t>Optometry (St. Louis, Mo.)</t>
  </si>
  <si>
    <t>OPTOMETRY (ST. LOUIS, MO.)</t>
  </si>
  <si>
    <t>Continues: Journal of the American Optometric Association.</t>
  </si>
  <si>
    <t>15581527</t>
  </si>
  <si>
    <t>15291839</t>
  </si>
  <si>
    <t>American Optometric Association</t>
  </si>
  <si>
    <t>8904931</t>
  </si>
  <si>
    <t>Optometry and vision science : official publication of the American Academy of Optometry</t>
  </si>
  <si>
    <t>OPTOMETRY AND VISION SCIENCE : OFFICIAL PUBLICATION OF THE AMERICAN ACADEMY OF OPTOMETRY</t>
  </si>
  <si>
    <t>Optom Vis Sci</t>
  </si>
  <si>
    <t>Continues: American journal of optometry and physiological optics.</t>
  </si>
  <si>
    <t>15389235</t>
  </si>
  <si>
    <t>10405488</t>
  </si>
  <si>
    <t>8700332</t>
  </si>
  <si>
    <t>OR manager</t>
  </si>
  <si>
    <t>OR MANAGER</t>
  </si>
  <si>
    <t>OR Manager</t>
  </si>
  <si>
    <t>87568047</t>
  </si>
  <si>
    <t>19448198</t>
  </si>
  <si>
    <t>OR Manager, Inc.</t>
  </si>
  <si>
    <t>101319632</t>
  </si>
  <si>
    <t>Oral and maxillofacial surgery</t>
  </si>
  <si>
    <t>ORAL AND MAXILLOFACIAL SURGERY</t>
  </si>
  <si>
    <t>Oral Maxillofac Surg</t>
  </si>
  <si>
    <t>Continues: Mund Keifer Gesichtschirurgie.</t>
  </si>
  <si>
    <t>18651569</t>
  </si>
  <si>
    <t>18651550</t>
  </si>
  <si>
    <t>9001454</t>
  </si>
  <si>
    <t>Oral and maxillofacial surgery clinics of North America</t>
  </si>
  <si>
    <t>ORAL AND MAXILLOFACIAL SURGERY CLINICS OF NORTH AMERICA</t>
  </si>
  <si>
    <t>Oral Maxillofac Surg Clin North Am</t>
  </si>
  <si>
    <t>15581365</t>
  </si>
  <si>
    <t>10423699</t>
  </si>
  <si>
    <t>9508565</t>
  </si>
  <si>
    <t>Oral diseases</t>
  </si>
  <si>
    <t>ORAL DISEASES</t>
  </si>
  <si>
    <t>Oral Dis</t>
  </si>
  <si>
    <t>Eight no. a year,, 2008-</t>
  </si>
  <si>
    <t>101167768</t>
  </si>
  <si>
    <t>Oral health &amp; preventive dentistry</t>
  </si>
  <si>
    <t>ORAL HEALTH &amp; PREVENTIVE DENTISTRY</t>
  </si>
  <si>
    <t>Oral Health Prev Dent</t>
  </si>
  <si>
    <t>17579996</t>
  </si>
  <si>
    <t>16021622</t>
  </si>
  <si>
    <t>101568098</t>
  </si>
  <si>
    <t>Oral health and dental management</t>
  </si>
  <si>
    <t>ORAL HEALTH AND DENTAL MANAGEMENT</t>
  </si>
  <si>
    <t>Oral Health Dent Manag</t>
  </si>
  <si>
    <t>Continues: Oral health and dental management in the Black Sea countries.</t>
  </si>
  <si>
    <t>22472452</t>
  </si>
  <si>
    <t>Black Sea Universities Network</t>
  </si>
  <si>
    <t>9709118</t>
  </si>
  <si>
    <t>Oral oncology</t>
  </si>
  <si>
    <t>ORAL ONCOLOGY</t>
  </si>
  <si>
    <t>Oral Oncol</t>
  </si>
  <si>
    <t>Continues: European journal of cancer. Part B, Oral oncology.</t>
  </si>
  <si>
    <t>101576782</t>
  </si>
  <si>
    <t>Oral surgery, oral medicine, oral pathology and oral radiology</t>
  </si>
  <si>
    <t>ORAL SURGERY, ORAL MEDICINE, ORAL PATHOLOGY AND ORAL RADIOLOGY</t>
  </si>
  <si>
    <t>Oral Surg Oral Med Oral Pathol Oral Radiol</t>
  </si>
  <si>
    <t>Continues: Oral surgery, oral medicine, oral pathology, oral radiology, and endodontics.</t>
  </si>
  <si>
    <t>22124411</t>
  </si>
  <si>
    <t>22124403</t>
  </si>
  <si>
    <t>8301221</t>
  </si>
  <si>
    <t>Orbit (Amsterdam, Netherlands)</t>
  </si>
  <si>
    <t>ORBIT (AMSTERDAM, NETHERLANDS)</t>
  </si>
  <si>
    <t>1276216</t>
  </si>
  <si>
    <t>The Oregon nurse</t>
  </si>
  <si>
    <t>OREGON NURSE</t>
  </si>
  <si>
    <t>Oreg Nurse</t>
  </si>
  <si>
    <t>00304751</t>
  </si>
  <si>
    <t>Oregon Nurses Association</t>
  </si>
  <si>
    <t>101154995</t>
  </si>
  <si>
    <t>Organic &amp; biomolecular chemistry</t>
  </si>
  <si>
    <t>ORGANIC &amp; BIOMOLECULAR CHEMISTRY</t>
  </si>
  <si>
    <t>Org Biomol Chem</t>
  </si>
  <si>
    <t>Merger of: Perkin 1, and: Perkin 2.</t>
  </si>
  <si>
    <t>14770539</t>
  </si>
  <si>
    <t>14770520</t>
  </si>
  <si>
    <t>Forty-eight no. a year, 2012-</t>
  </si>
  <si>
    <t>100890393</t>
  </si>
  <si>
    <t>Organic letters</t>
  </si>
  <si>
    <t>ORGANIC LETTERS</t>
  </si>
  <si>
    <t>Org Lett</t>
  </si>
  <si>
    <t>15237052</t>
  </si>
  <si>
    <t>15237060</t>
  </si>
  <si>
    <t>101261882</t>
  </si>
  <si>
    <t>Organizational ethics : healthcare, business, and policy : OE</t>
  </si>
  <si>
    <t>ORGANIZATIONAL ETHICS : HEALTHCARE, BUSINESS, AND POLICY : OE</t>
  </si>
  <si>
    <t>Organ Ethic</t>
  </si>
  <si>
    <t>15411036</t>
  </si>
  <si>
    <t>Ethics#Health Services Research</t>
  </si>
  <si>
    <t>101253266</t>
  </si>
  <si>
    <t>ORGANOGENESIS</t>
  </si>
  <si>
    <t>Biology#Biotechnology#Histology</t>
  </si>
  <si>
    <t>0117627</t>
  </si>
  <si>
    <t>Organon</t>
  </si>
  <si>
    <t>ORGANON</t>
  </si>
  <si>
    <t>Supersedes a publication with the same title, issued 1936-39.</t>
  </si>
  <si>
    <t>00786500</t>
  </si>
  <si>
    <t>8610391</t>
  </si>
  <si>
    <t>Origins of life and evolution of the biosphere : the journal of the International Society for the Study of the Origin of Life</t>
  </si>
  <si>
    <t>ORIGINS OF LIFE AND EVOLUTION OF THE BIOSPHERE : THE JOURNAL OF THE INTERNATIONAL SOCIETY FOR THE STUDY OF THE ORIGIN OF LIFE</t>
  </si>
  <si>
    <t>Orig Life Evol Biosph</t>
  </si>
  <si>
    <t>Continues: Origins of life.</t>
  </si>
  <si>
    <t>15730875</t>
  </si>
  <si>
    <t>01696149</t>
  </si>
  <si>
    <t>0334721</t>
  </si>
  <si>
    <t>ORL; journal for oto-rhino-laryngology and its related specialties</t>
  </si>
  <si>
    <t>ORL; JOURNAL FOR OTO-RHINO-LARYNGOLOGY AND ITS RELATED SPECIALTIES</t>
  </si>
  <si>
    <t>ORL J Otorhinolaryngol Relat Spec</t>
  </si>
  <si>
    <t>Continues Practica oto-rhino-laryngologica.</t>
  </si>
  <si>
    <t>9206573</t>
  </si>
  <si>
    <t>ORL-head and neck nursing : official journal of the Society of Otorhinolaryngology and Head-Neck Nurses</t>
  </si>
  <si>
    <t>ORL-HEAD AND NECK NURSING : OFFICIAL JOURNAL OF THE SOCIETY OF OTORHINOLARYNGOLOGY AND HEAD-NECK NURSES</t>
  </si>
  <si>
    <t>ORL Head Neck Nurs</t>
  </si>
  <si>
    <t>Continues: Journal (Society of Otorhinolaryngology and Head-Neck Nurses (U.S.)).</t>
  </si>
  <si>
    <t>10643842</t>
  </si>
  <si>
    <t>Society Of Otorhinolaryngology And Head-Neck Nurses</t>
  </si>
  <si>
    <t>Nursing#Otolaryngology</t>
  </si>
  <si>
    <t>101586012</t>
  </si>
  <si>
    <t>ORNAC journal</t>
  </si>
  <si>
    <t>ORNAC JOURNAL</t>
  </si>
  <si>
    <t>ORNAC J</t>
  </si>
  <si>
    <t>Continues: Canadian operating room nursing journal.</t>
  </si>
  <si>
    <t>19276141</t>
  </si>
  <si>
    <t>Clockwork Communications Inc.</t>
  </si>
  <si>
    <t>101266602</t>
  </si>
  <si>
    <t>Orphanet journal of rare diseases</t>
  </si>
  <si>
    <t>ORPHANET JOURNAL OF RARE DISEASES</t>
  </si>
  <si>
    <t>Orphanet J Rare Dis</t>
  </si>
  <si>
    <t>101144387</t>
  </si>
  <si>
    <t>Orthodontics &amp; craniofacial research</t>
  </si>
  <si>
    <t>ORTHODONTICS &amp; CRANIOFACIAL RESEARCH</t>
  </si>
  <si>
    <t>Orthod Craniofac Res</t>
  </si>
  <si>
    <t>Merger of: Journal of craniofacial genetics and developmental biology; and: Clinical orthodontics and research, continuing the numbering of the later.</t>
  </si>
  <si>
    <t>16016343</t>
  </si>
  <si>
    <t>16016335</t>
  </si>
  <si>
    <t>101559040</t>
  </si>
  <si>
    <t>Orthodontics : the art and practice of dentofacial enhancement</t>
  </si>
  <si>
    <t>ORTHODONTICS : THE ART AND PRACTICE OF DENTOFACIAL ENHANCEMENT</t>
  </si>
  <si>
    <t>Orthodontics (Chic.)</t>
  </si>
  <si>
    <t>Continues: World journal of orthodontics.</t>
  </si>
  <si>
    <t>21603006</t>
  </si>
  <si>
    <t>21602999</t>
  </si>
  <si>
    <t>Annual, 2012</t>
  </si>
  <si>
    <t>0200547</t>
  </si>
  <si>
    <t>L' Orthodontie française</t>
  </si>
  <si>
    <t>ORTHODONTIE FRANCAISE</t>
  </si>
  <si>
    <t>Orthod Fr</t>
  </si>
  <si>
    <t>00786608</t>
  </si>
  <si>
    <t>0331266</t>
  </si>
  <si>
    <t>Der Orthopäde</t>
  </si>
  <si>
    <t>ORTHOPADE</t>
  </si>
  <si>
    <t>Orthopade</t>
  </si>
  <si>
    <t>14330431</t>
  </si>
  <si>
    <t>00854530</t>
  </si>
  <si>
    <t>8409486</t>
  </si>
  <si>
    <t>Orthopaedic nursing / National Association of Orthopaedic Nurses</t>
  </si>
  <si>
    <t>ORTHOPAEDIC NURSING / NATIONAL ASSOCIATION OF ORTHOPAEDIC NURSES</t>
  </si>
  <si>
    <t>Orthop Nurs</t>
  </si>
  <si>
    <t>Continues: Orthopedic nursing.</t>
  </si>
  <si>
    <t>1542538X</t>
  </si>
  <si>
    <t>07446020</t>
  </si>
  <si>
    <t>National Association of Orthopaedic Nurses</t>
  </si>
  <si>
    <t>Nursing#Orthopedics</t>
  </si>
  <si>
    <t>101501666</t>
  </si>
  <si>
    <t>Orthopaedic surgery</t>
  </si>
  <si>
    <t>ORTHOPAEDIC SURGERY</t>
  </si>
  <si>
    <t>Orthop Surg</t>
  </si>
  <si>
    <t>17577861</t>
  </si>
  <si>
    <t>17577853</t>
  </si>
  <si>
    <t>101494830</t>
  </si>
  <si>
    <t>Orthopaedics &amp; traumatology, surgery &amp; research : OTSR</t>
  </si>
  <si>
    <t>ORTHOPAEDICS &amp; TRAUMATOLOGY, SURGERY &amp; RESEARCH : OTSR</t>
  </si>
  <si>
    <t>Orthop Traumatol Surg Res</t>
  </si>
  <si>
    <t>8 issues a year</t>
  </si>
  <si>
    <t>0254463</t>
  </si>
  <si>
    <t>The Orthopedic clinics of North America</t>
  </si>
  <si>
    <t>ORTHOPEDIC CLINICS OF NORTH AMERICA</t>
  </si>
  <si>
    <t>Orthop Clin North Am</t>
  </si>
  <si>
    <t>7806107</t>
  </si>
  <si>
    <t>ORTHOPEDICS</t>
  </si>
  <si>
    <t>19382367</t>
  </si>
  <si>
    <t>Slack.</t>
  </si>
  <si>
    <t>101240146</t>
  </si>
  <si>
    <t>Ortopedia, traumatologia, rehabilitacja</t>
  </si>
  <si>
    <t>ORTOPEDIA, TRAUMATOLOGIA, REHABILITACJA</t>
  </si>
  <si>
    <t>Ortop Traumatol Rehabil</t>
  </si>
  <si>
    <t>20844336</t>
  </si>
  <si>
    <t>15093492</t>
  </si>
  <si>
    <t>Medsport Press</t>
  </si>
  <si>
    <t>Orthopedics#Physical and Rehabilitation Medicine#Traumatology</t>
  </si>
  <si>
    <t>0376412</t>
  </si>
  <si>
    <t>Orvosi hetilap</t>
  </si>
  <si>
    <t>ORVOSI HETILAP</t>
  </si>
  <si>
    <t>Orv Hetil</t>
  </si>
  <si>
    <t>History of Medicine#Medicine</t>
  </si>
  <si>
    <t>1857</t>
  </si>
  <si>
    <t>0435507</t>
  </si>
  <si>
    <t>Orvostörténeti közlemények</t>
  </si>
  <si>
    <t>ORVOSTORTENETI KOZLEMENYEK</t>
  </si>
  <si>
    <t>Orvostort Kozl</t>
  </si>
  <si>
    <t>Continues: Communicationes ex Bibliotheca Historiae Medicae Hungarica.</t>
  </si>
  <si>
    <t>00103551</t>
  </si>
  <si>
    <t>Semmelweis Orvostorteneti Muzeum Es Konyvtar And Magyar Orvostortenelmi Tarsasag</t>
  </si>
  <si>
    <t>0376413</t>
  </si>
  <si>
    <t>Osaka city medical journal</t>
  </si>
  <si>
    <t>OSAKA CITY MEDICAL JOURNAL</t>
  </si>
  <si>
    <t>Osaka City Med J</t>
  </si>
  <si>
    <t>00306096</t>
  </si>
  <si>
    <t>Osaka City University Medical School</t>
  </si>
  <si>
    <t>0057764</t>
  </si>
  <si>
    <t>Osiris</t>
  </si>
  <si>
    <t>OSIRIS</t>
  </si>
  <si>
    <t>03697827</t>
  </si>
  <si>
    <t>University Of Chicago Press For The History Of Science Society</t>
  </si>
  <si>
    <t>9305697</t>
  </si>
  <si>
    <t>Osteoarthritis and cartilage / OARS, Osteoarthritis Research Society</t>
  </si>
  <si>
    <t>OSTEOARTHRITIS AND CARTILAGE / OARS, OSTEOARTHRITIS RESEARCH SOCIETY</t>
  </si>
  <si>
    <t>Osteoarthritis Cartilage</t>
  </si>
  <si>
    <t>W.B. Saunders For The Osteoarthritis Research Society</t>
  </si>
  <si>
    <t>9100105</t>
  </si>
  <si>
    <t>Osteoporosis international : a journal established as result of cooperation between the European Foundation for Osteoporosis and the National Osteoporosis Foundation of the USA</t>
  </si>
  <si>
    <t>OSTEOPOROSIS INTERNATIONAL : A JOURNAL ESTABLISHED AS RESULT OF COOPERATION BETWEEN THE EUROPEAN FOUNDATION FOR OSTEOPOROSIS AND THE NATIONAL OSTEOPOROSIS FOUNDATION OF THE USA</t>
  </si>
  <si>
    <t>Osteoporos Int</t>
  </si>
  <si>
    <t>8912029</t>
  </si>
  <si>
    <t>Ostomy/wound management</t>
  </si>
  <si>
    <t>OSTOMY/WOUND MANAGEMENT</t>
  </si>
  <si>
    <t>Ostomy Wound Manage</t>
  </si>
  <si>
    <t>Continues: Ostomy management.</t>
  </si>
  <si>
    <t>19432720</t>
  </si>
  <si>
    <t>08895899</t>
  </si>
  <si>
    <t>Health Management Publications</t>
  </si>
  <si>
    <t>0404453</t>
  </si>
  <si>
    <t>Otolaryngologia polska. The Polish otolaryngology</t>
  </si>
  <si>
    <t>OTOLARYNGOLOGIA POLSKA. THE POLISH OTOLARYNGOLOGY</t>
  </si>
  <si>
    <t>Otolaryngol Pol</t>
  </si>
  <si>
    <t>Supersedes: Polski przegla̧d otolaryngologiczny.</t>
  </si>
  <si>
    <t>Elsevier Urban &amp; Partner</t>
  </si>
  <si>
    <t>0144042</t>
  </si>
  <si>
    <t>Otolaryngologic clinics of North America</t>
  </si>
  <si>
    <t>OTOLARYNGOLOGIC CLINICS OF NORTH AMERICA</t>
  </si>
  <si>
    <t>Otolaryngol Clin North Am</t>
  </si>
  <si>
    <t>8508176</t>
  </si>
  <si>
    <t>Otolaryngology--head and neck surgery : official journal of American Academy of Otolaryngology-Head and Neck Surgery</t>
  </si>
  <si>
    <t>OTOLARYNGOLOGY--HEAD AND NECK SURGERY : OFFICIAL JOURNAL OF AMERICAN ACADEMY OF OTOLARYNGOLOGY-HEAD AND NECK SURGERY</t>
  </si>
  <si>
    <t>Otolaryngol Head Neck Surg</t>
  </si>
  <si>
    <t>Continues: Otolaryngology and head and neck surgery.</t>
  </si>
  <si>
    <t>Monthly, Mar. 1986-</t>
  </si>
  <si>
    <t>100961504</t>
  </si>
  <si>
    <t>Otology &amp; neurotology : official publication of the American Otological Society, American Neurotology Society [and] European Academy of Otology and Neurotology</t>
  </si>
  <si>
    <t>OTOLOGY &amp; NEUROTOLOGY : OFFICIAL PUBLICATION OF THE AMERICAN OTOLOGICAL SOCIETY, AMERICAN NEUROTOLOGY SOCIETY [AND] EUROPEAN ACADEMY OF OTOLOGY AND NEUROTOLOGY</t>
  </si>
  <si>
    <t>Otol Neurotol</t>
  </si>
  <si>
    <t>Continues: American journal of otology.</t>
  </si>
  <si>
    <t>15374505</t>
  </si>
  <si>
    <t>15317129</t>
  </si>
  <si>
    <t>Neurology#Otolaryngology</t>
  </si>
  <si>
    <t>101479826</t>
  </si>
  <si>
    <t>Oxidative medicine and cellular longevity</t>
  </si>
  <si>
    <t>OXIDATIVE MEDICINE AND CELLULAR LONGEVITY</t>
  </si>
  <si>
    <t>Oxid Med Cell Longev</t>
  </si>
  <si>
    <t>9434923</t>
  </si>
  <si>
    <t>Pacific health dialog</t>
  </si>
  <si>
    <t>PACIFIC HEALTH DIALOG</t>
  </si>
  <si>
    <t>Pac Health Dialog</t>
  </si>
  <si>
    <t>10157867</t>
  </si>
  <si>
    <t>PHD Manager, Resource Books</t>
  </si>
  <si>
    <t>9711271</t>
  </si>
  <si>
    <t>Pacific Symposium on Biocomputing. Pacific Symposium on Biocomputing</t>
  </si>
  <si>
    <t>PACIFIC SYMPOSIUM ON BIOCOMPUTING. PACIFIC SYMPOSIUM ON BIOCOMPUTING</t>
  </si>
  <si>
    <t>Pac Symp Biocomput</t>
  </si>
  <si>
    <t>23356936</t>
  </si>
  <si>
    <t>Stanford University, Department of Bioengineering</t>
  </si>
  <si>
    <t>7803944</t>
  </si>
  <si>
    <t>Pacing and clinical electrophysiology : PACE</t>
  </si>
  <si>
    <t>PACING AND CLINICAL ELECTROPHYSIOLOGY : PACE</t>
  </si>
  <si>
    <t>Pacing Clin Electrophysiol</t>
  </si>
  <si>
    <t>9206575</t>
  </si>
  <si>
    <t>Paediatric anaesthesia</t>
  </si>
  <si>
    <t>PAEDIATRIC ANAESTHESIA</t>
  </si>
  <si>
    <t>Paediatr Anaesth</t>
  </si>
  <si>
    <t>Arnette-Blackwell</t>
  </si>
  <si>
    <t>Anesthesiology#Pediatrics</t>
  </si>
  <si>
    <t>8709766</t>
  </si>
  <si>
    <t>Paediatric and perinatal epidemiology</t>
  </si>
  <si>
    <t>PAEDIATRIC AND PERINATAL EPIDEMIOLOGY</t>
  </si>
  <si>
    <t>Paediatr Perinat Epidemiol</t>
  </si>
  <si>
    <t>Epidemiology#Pediatrics#Perinatology</t>
  </si>
  <si>
    <t>100883685</t>
  </si>
  <si>
    <t>Paediatric drugs</t>
  </si>
  <si>
    <t>PAEDIATRIC DRUGS</t>
  </si>
  <si>
    <t>Paediatr Drugs</t>
  </si>
  <si>
    <t>Drug Therapy#Pediatrics</t>
  </si>
  <si>
    <t>100898941</t>
  </si>
  <si>
    <t>Paediatric respiratory reviews</t>
  </si>
  <si>
    <t>PAEDIATRIC RESPIRATORY REVIEWS</t>
  </si>
  <si>
    <t>Paediatr Respir Rev</t>
  </si>
  <si>
    <t>Pediatrics#Pulmonary Medicine</t>
  </si>
  <si>
    <t>101582666</t>
  </si>
  <si>
    <t>Paediatrics and international child health</t>
  </si>
  <si>
    <t>PAEDIATRICS AND INTERNATIONAL CHILD HEALTH</t>
  </si>
  <si>
    <t>Paediatr Int Child Health</t>
  </si>
  <si>
    <t>Continues: Annals of tropical paediatrics.</t>
  </si>
  <si>
    <t>Four issues yearly</t>
  </si>
  <si>
    <t>7508686</t>
  </si>
  <si>
    <t>PAIN</t>
  </si>
  <si>
    <t>Twenty one no. a year &lt;2004-&gt;</t>
  </si>
  <si>
    <t>100890606</t>
  </si>
  <si>
    <t>Pain management nursing : official journal of the American Society of Pain Management Nurses</t>
  </si>
  <si>
    <t>PAIN MANAGEMENT NURSING : OFFICIAL JOURNAL OF THE AMERICAN SOCIETY OF PAIN MANAGEMENT NURSES</t>
  </si>
  <si>
    <t>Pain Manag Nurs</t>
  </si>
  <si>
    <t>15328635</t>
  </si>
  <si>
    <t>15249042</t>
  </si>
  <si>
    <t>WB Saunders Co.</t>
  </si>
  <si>
    <t>Neurology#Nursing#Psychophysiology</t>
  </si>
  <si>
    <t>100894201</t>
  </si>
  <si>
    <t>Pain medicine (Malden, Mass.)</t>
  </si>
  <si>
    <t>PAIN MEDICINE (MALDEN, MASS.)</t>
  </si>
  <si>
    <t>Pain Med</t>
  </si>
  <si>
    <t>Blackwell Science, Inc.</t>
  </si>
  <si>
    <t>100954394</t>
  </si>
  <si>
    <t>Pain physician</t>
  </si>
  <si>
    <t>PAIN PHYSICIAN</t>
  </si>
  <si>
    <t>21501149</t>
  </si>
  <si>
    <t>Six issues a year, 2007-</t>
  </si>
  <si>
    <t>101130835</t>
  </si>
  <si>
    <t>Pain practice : the official journal of World Institute of Pain</t>
  </si>
  <si>
    <t>PAIN PRACTICE : THE OFFICIAL JOURNAL OF WORLD INSTITUTE OF PAIN</t>
  </si>
  <si>
    <t>Pain Pract</t>
  </si>
  <si>
    <t>9612504</t>
  </si>
  <si>
    <t>Pain research &amp; management : the journal of the Canadian Pain Society = journal de la société canadienne pour le traitement de la douleur</t>
  </si>
  <si>
    <t>PAIN RESEARCH &amp; MANAGEMENT : THE JOURNAL OF THE CANADIAN PAIN SOCIETY = JOURNAL DE LA SOCIETE CANADIENNE POUR LE TRAITEMENT DE LA DOULEUR</t>
  </si>
  <si>
    <t>Pain Res Manag</t>
  </si>
  <si>
    <t>19181523</t>
  </si>
  <si>
    <t>Pulsus Group</t>
  </si>
  <si>
    <t>101247723</t>
  </si>
  <si>
    <t>Pakistan journal of biological sciences: PJBS</t>
  </si>
  <si>
    <t>PAKISTAN JOURNAL OF BIOLOGICAL SCIENCES: PJBS</t>
  </si>
  <si>
    <t>Pak J Biol Sci</t>
  </si>
  <si>
    <t>18125735</t>
  </si>
  <si>
    <t>10288880</t>
  </si>
  <si>
    <t>9426356</t>
  </si>
  <si>
    <t>Pakistan journal of pharmaceutical sciences</t>
  </si>
  <si>
    <t>PAKISTAN JOURNAL OF PHARMACEUTICAL SCIENCES</t>
  </si>
  <si>
    <t>Pak J Pharm Sci</t>
  </si>
  <si>
    <t>Continues: Journal of pharmacy, University of Karachi.</t>
  </si>
  <si>
    <t>Faculty of Pharmacy, University of Karachi</t>
  </si>
  <si>
    <t>Bimonthly, Jan. 2013-</t>
  </si>
  <si>
    <t>7704329</t>
  </si>
  <si>
    <t>Paleopathology newsletter</t>
  </si>
  <si>
    <t>PALEOPATHOLOGY NEWSLETTER</t>
  </si>
  <si>
    <t>Paleopathol Newsl</t>
  </si>
  <si>
    <t>01484737</t>
  </si>
  <si>
    <t>Paleopathology Association</t>
  </si>
  <si>
    <t>101232529</t>
  </si>
  <si>
    <t>Palliative &amp; supportive care</t>
  </si>
  <si>
    <t>PALLIATIVE &amp; SUPPORTIVE CARE</t>
  </si>
  <si>
    <t>Palliat Support Care</t>
  </si>
  <si>
    <t>14789523</t>
  </si>
  <si>
    <t>14789515</t>
  </si>
  <si>
    <t>8704926</t>
  </si>
  <si>
    <t>Palliative medicine</t>
  </si>
  <si>
    <t>PALLIATIVE MEDICINE</t>
  </si>
  <si>
    <t>Palliat Med</t>
  </si>
  <si>
    <t>101517926</t>
  </si>
  <si>
    <t>The Pan African medical journal</t>
  </si>
  <si>
    <t>PAN AFRICAN MEDICAL JOURNAL</t>
  </si>
  <si>
    <t>Pan Afr Med J</t>
  </si>
  <si>
    <t>8608542</t>
  </si>
  <si>
    <t>PANCREAS</t>
  </si>
  <si>
    <t>100966936</t>
  </si>
  <si>
    <t>Pancreatology : official journal of the International Association of Pancreatology (IAP) ... [et al.]</t>
  </si>
  <si>
    <t>PANCREATOLOGY : OFFICIAL JOURNAL OF THE INTERNATIONAL ASSOCIATION OF PANCREATOLOGY (IAP) ... [ET AL.]</t>
  </si>
  <si>
    <t>0421110</t>
  </si>
  <si>
    <t>Panminerva medica</t>
  </si>
  <si>
    <t>PANMINERVA MEDICA</t>
  </si>
  <si>
    <t>Panminerva Med</t>
  </si>
  <si>
    <t>18271898</t>
  </si>
  <si>
    <t>00310808</t>
  </si>
  <si>
    <t>Panminerva Medica</t>
  </si>
  <si>
    <t>0376417</t>
  </si>
  <si>
    <t>Papua and New Guinea medical journal</t>
  </si>
  <si>
    <t>PAPUA AND NEW GUINEA MEDICAL JOURNAL</t>
  </si>
  <si>
    <t>P N G Med J</t>
  </si>
  <si>
    <t>00311480</t>
  </si>
  <si>
    <t>Medical Society Of Papua New Guinea</t>
  </si>
  <si>
    <t>Papua New Guinea</t>
  </si>
  <si>
    <t>9437094</t>
  </si>
  <si>
    <t>Parasite (Paris, France)</t>
  </si>
  <si>
    <t>PARASITE (PARIS, FRANCE)</t>
  </si>
  <si>
    <t>Parasite</t>
  </si>
  <si>
    <t>Continues: Annales de parasitologie humaine et comparée.</t>
  </si>
  <si>
    <t>17761042</t>
  </si>
  <si>
    <t>1252607X</t>
  </si>
  <si>
    <t>Princeps Editions</t>
  </si>
  <si>
    <t>7910948</t>
  </si>
  <si>
    <t>Parasite immunology</t>
  </si>
  <si>
    <t>PARASITE IMMUNOLOGY</t>
  </si>
  <si>
    <t>Parasite Immunol</t>
  </si>
  <si>
    <t>Allergy and Immunology#Parasitology</t>
  </si>
  <si>
    <t>101462774</t>
  </si>
  <si>
    <t>Parasites &amp; vectors</t>
  </si>
  <si>
    <t>PARASITES &amp; VECTORS</t>
  </si>
  <si>
    <t>Parasit Vectors</t>
  </si>
  <si>
    <t>Merger of: Kinetoplastid biology and disease and Filaria journal.</t>
  </si>
  <si>
    <t>0401121</t>
  </si>
  <si>
    <t>PARASITOLOGY</t>
  </si>
  <si>
    <t>Absorbed: Symposia of the British Society for Parasitology. British Society for Parasitology.</t>
  </si>
  <si>
    <t>Fourteen no. a year, 2007-</t>
  </si>
  <si>
    <t>9708549</t>
  </si>
  <si>
    <t>Parasitology international</t>
  </si>
  <si>
    <t>PARASITOLOGY INTERNATIONAL</t>
  </si>
  <si>
    <t>Parasitol Int</t>
  </si>
  <si>
    <t>Continues: Kiseichūgaku zasshi.</t>
  </si>
  <si>
    <t>8703571</t>
  </si>
  <si>
    <t>Parasitology research</t>
  </si>
  <si>
    <t>PARASITOLOGY RESEARCH</t>
  </si>
  <si>
    <t>Parasitol Res</t>
  </si>
  <si>
    <t>Continues: Zeitschrift für Parasitenkunde (Berlin, Germany).</t>
  </si>
  <si>
    <t>18 no. a year, 2003-</t>
  </si>
  <si>
    <t>0101672</t>
  </si>
  <si>
    <t>Parazitologiia</t>
  </si>
  <si>
    <t>PARAZITOLOGIIA</t>
  </si>
  <si>
    <t>00311847</t>
  </si>
  <si>
    <t>9513583</t>
  </si>
  <si>
    <t>Parkinsonism &amp; related disorders</t>
  </si>
  <si>
    <t>PARKINSONISM &amp; RELATED DISORDERS</t>
  </si>
  <si>
    <t>Parkinsonism Relat Disord</t>
  </si>
  <si>
    <t>101236354</t>
  </si>
  <si>
    <t>Particle and fibre toxicology</t>
  </si>
  <si>
    <t>PARTICLE AND FIBRE TOXICOLOGY</t>
  </si>
  <si>
    <t>Part Fibre Toxicol</t>
  </si>
  <si>
    <t>9007504</t>
  </si>
  <si>
    <t>Pathobiology : journal of immunopathology, molecular and cellular biology</t>
  </si>
  <si>
    <t>PATHOBIOLOGY : JOURNAL OF IMMUNOPATHOLOGY, MOLECULAR AND CELLULAR BIOLOGY</t>
  </si>
  <si>
    <t>Formed by the union of: Experimental cell biology, and: Pathology and immunopathology research.</t>
  </si>
  <si>
    <t>101595366</t>
  </si>
  <si>
    <t>Pathogens and disease</t>
  </si>
  <si>
    <t>PATHOGENS AND DISEASE</t>
  </si>
  <si>
    <t>Pathog Dis</t>
  </si>
  <si>
    <t>Continues: FEMS immunology and medical microbiology.</t>
  </si>
  <si>
    <t>101583421</t>
  </si>
  <si>
    <t>Pathogens and global health</t>
  </si>
  <si>
    <t>PATHOGENS AND GLOBAL HEALTH</t>
  </si>
  <si>
    <t>Pathog Glob Health</t>
  </si>
  <si>
    <t>Continues: Annals of tropical medicine and parasitology.</t>
  </si>
  <si>
    <t>Eight issues yearly</t>
  </si>
  <si>
    <t>Communicable Diseases#Microbiology#Public Health</t>
  </si>
  <si>
    <t>8006541</t>
  </si>
  <si>
    <t>Der Pathologe</t>
  </si>
  <si>
    <t>PATHOLOGE</t>
  </si>
  <si>
    <t>Pathologe</t>
  </si>
  <si>
    <t>14321963</t>
  </si>
  <si>
    <t>01728113</t>
  </si>
  <si>
    <t>0401123</t>
  </si>
  <si>
    <t>Pathologica</t>
  </si>
  <si>
    <t>PATHOLOGICA</t>
  </si>
  <si>
    <t>1591951X</t>
  </si>
  <si>
    <t>00312983</t>
  </si>
  <si>
    <t>Pacini Editore SpA</t>
  </si>
  <si>
    <t>0265365</t>
  </si>
  <si>
    <t>Pathologie-biologie</t>
  </si>
  <si>
    <t>PATHOLOGIE-BIOLOGIE</t>
  </si>
  <si>
    <t>Pathol Biol (Paris)</t>
  </si>
  <si>
    <t>Continues: Pathologie et biologie.</t>
  </si>
  <si>
    <t>Biology#Pathology</t>
  </si>
  <si>
    <t>0175411</t>
  </si>
  <si>
    <t>PATHOLOGY</t>
  </si>
  <si>
    <t>14653931</t>
  </si>
  <si>
    <t>00313025</t>
  </si>
  <si>
    <t>9431380</t>
  </si>
  <si>
    <t>Pathology international</t>
  </si>
  <si>
    <t>PATHOLOGY INTERNATIONAL</t>
  </si>
  <si>
    <t>Pathol Int</t>
  </si>
  <si>
    <t>Continues: Acta pathologica japonica.</t>
  </si>
  <si>
    <t>Published by Blackwell Scientific Publications for the Japanese Society of Pathology</t>
  </si>
  <si>
    <t>9706087</t>
  </si>
  <si>
    <t>Pathology oncology research : POR</t>
  </si>
  <si>
    <t>PATHOLOGY ONCOLOGY RESEARCH : POR</t>
  </si>
  <si>
    <t>Pathol Oncol Res</t>
  </si>
  <si>
    <t>7806109</t>
  </si>
  <si>
    <t>Pathology, research and practice</t>
  </si>
  <si>
    <t>PATHOLOGY, RESEARCH AND PRACTICE</t>
  </si>
  <si>
    <t>Pathol Res Pract</t>
  </si>
  <si>
    <t>Continues Beiträge zur Pathologie.</t>
  </si>
  <si>
    <t>101309314</t>
  </si>
  <si>
    <t>The patient</t>
  </si>
  <si>
    <t>PATIENT</t>
  </si>
  <si>
    <t>8406280</t>
  </si>
  <si>
    <t>Patient education and counseling</t>
  </si>
  <si>
    <t>PATIENT EDUCATION AND COUNSELING</t>
  </si>
  <si>
    <t>Patient Educ Couns</t>
  </si>
  <si>
    <t>Continues: Patient counselling and health education.</t>
  </si>
  <si>
    <t>0376421</t>
  </si>
  <si>
    <t>Patologicheskaia fiziologiia i èksperimental'naia terapiia</t>
  </si>
  <si>
    <t>PATOLOGICHESKAIA FIZIOLOGIIA I EKSPERIMENTAL'NAIA TERAPIIA</t>
  </si>
  <si>
    <t>Patol Fiziol Eksp Ter</t>
  </si>
  <si>
    <t>00312991</t>
  </si>
  <si>
    <t>Pharmacology#Physiology#Therapeutics</t>
  </si>
  <si>
    <t>9439538</t>
  </si>
  <si>
    <t>PDA journal of pharmaceutical science and technology / PDA</t>
  </si>
  <si>
    <t>PDA JOURNAL OF PHARMACEUTICAL SCIENCE AND TECHNOLOGY / PDA</t>
  </si>
  <si>
    <t>PDA J Pharm Sci Technol</t>
  </si>
  <si>
    <t>Continues: Journal of pharmaceutical science and technology.</t>
  </si>
  <si>
    <t>Pda (Parenteral Drug Association)</t>
  </si>
  <si>
    <t>8100625</t>
  </si>
  <si>
    <t>La Pediatria medica e chirurgica : Medical and surgical pediatrics</t>
  </si>
  <si>
    <t>PEDIATRIA MEDICA E CHIRURGICA : MEDICAL AND SURGICAL PEDIATRICS</t>
  </si>
  <si>
    <t>Pediatr Med Chir</t>
  </si>
  <si>
    <t>03915387</t>
  </si>
  <si>
    <t>Pediatria Medica E Chirurgica</t>
  </si>
  <si>
    <t>9106718</t>
  </si>
  <si>
    <t>Pediatric allergy and immunology : official publication of the European Society of Pediatric Allergy and Immunology</t>
  </si>
  <si>
    <t>PEDIATRIC ALLERGY AND IMMUNOLOGY : OFFICIAL PUBLICATION OF THE EUROPEAN SOCIETY OF PEDIATRIC ALLERGY AND IMMUNOLOGY</t>
  </si>
  <si>
    <t>Pediatr Allergy Immunol</t>
  </si>
  <si>
    <t>Allergy and Immunology#Pediatrics</t>
  </si>
  <si>
    <t>9809673</t>
  </si>
  <si>
    <t>Pediatric and developmental pathology : the official journal of the Society for Pediatric Pathology and the Paediatric Pathology Society</t>
  </si>
  <si>
    <t>PEDIATRIC AND DEVELOPMENTAL PATHOLOGY : THE OFFICIAL JOURNAL OF THE SOCIETY FOR PEDIATRIC PATHOLOGY AND THE PAEDIATRIC PATHOLOGY SOCIETY</t>
  </si>
  <si>
    <t>Pediatr Dev Pathol</t>
  </si>
  <si>
    <t>Continues: Perspectives in pediatric pathology.</t>
  </si>
  <si>
    <t>0356657</t>
  </si>
  <si>
    <t>Pediatric annals</t>
  </si>
  <si>
    <t>PEDIATRIC ANNALS</t>
  </si>
  <si>
    <t>Pediatr Ann</t>
  </si>
  <si>
    <t>101186624</t>
  </si>
  <si>
    <t>Pediatric blood &amp; cancer</t>
  </si>
  <si>
    <t>PEDIATRIC BLOOD &amp; CANCER</t>
  </si>
  <si>
    <t>Pediatr Blood Cancer</t>
  </si>
  <si>
    <t>Continues: Medical and pediatric oncology.</t>
  </si>
  <si>
    <t>8003849</t>
  </si>
  <si>
    <t>Pediatric cardiology</t>
  </si>
  <si>
    <t>PEDIATRIC CARDIOLOGY</t>
  </si>
  <si>
    <t>Pediatr Cardiol</t>
  </si>
  <si>
    <t>Cardiology#Pediatrics</t>
  </si>
  <si>
    <t>0401126</t>
  </si>
  <si>
    <t>Pediatric clinics of North America</t>
  </si>
  <si>
    <t>PEDIATRIC CLINICS OF NORTH AMERICA</t>
  </si>
  <si>
    <t>Pediatr Clin North Am</t>
  </si>
  <si>
    <t>100954653</t>
  </si>
  <si>
    <t>Pediatric critical care medicine : a journal of the Society of Critical Care Medicine and the World Federation of Pediatric Intensive and Critical Care Societies</t>
  </si>
  <si>
    <t>PEDIATRIC CRITICAL CARE MEDICINE : A JOURNAL OF THE SOCIETY OF CRITICAL CARE MEDICINE AND THE WORLD FEDERATION OF PEDIATRIC INTENSIVE AND CRITICAL CARE SOCIETIES</t>
  </si>
  <si>
    <t>Pediatr Crit Care Med</t>
  </si>
  <si>
    <t>Critical Care#Pediatrics</t>
  </si>
  <si>
    <t>7909102</t>
  </si>
  <si>
    <t>Pediatric dentistry</t>
  </si>
  <si>
    <t>PEDIATRIC DENTISTRY</t>
  </si>
  <si>
    <t>Pediatr Dent</t>
  </si>
  <si>
    <t>19425473</t>
  </si>
  <si>
    <t>01641263</t>
  </si>
  <si>
    <t>Seven no. a year, 1994-</t>
  </si>
  <si>
    <t>8406799</t>
  </si>
  <si>
    <t>Pediatric dermatology</t>
  </si>
  <si>
    <t>PEDIATRIC DERMATOLOGY</t>
  </si>
  <si>
    <t>Pediatr Dermatol</t>
  </si>
  <si>
    <t>Dermatology#Pediatrics</t>
  </si>
  <si>
    <t>100939345</t>
  </si>
  <si>
    <t>Pediatric diabetes</t>
  </si>
  <si>
    <t>PEDIATRIC DIABETES</t>
  </si>
  <si>
    <t>Pediatr Diabetes</t>
  </si>
  <si>
    <t>8507560</t>
  </si>
  <si>
    <t>Pediatric emergency care</t>
  </si>
  <si>
    <t>PEDIATRIC EMERGENCY CARE</t>
  </si>
  <si>
    <t>Pediatr Emerg Care</t>
  </si>
  <si>
    <t>Emergency Medicine#Pediatrics</t>
  </si>
  <si>
    <t>101260506</t>
  </si>
  <si>
    <t>Pediatric emergency medicine practice</t>
  </si>
  <si>
    <t>PEDIATRIC EMERGENCY MEDICINE PRACTICE</t>
  </si>
  <si>
    <t>Pediatr Emerg Med Pract</t>
  </si>
  <si>
    <t>15499669</t>
  </si>
  <si>
    <t>15499650</t>
  </si>
  <si>
    <t>101202124</t>
  </si>
  <si>
    <t>Pediatric endocrinology reviews : PER</t>
  </si>
  <si>
    <t>PEDIATRIC ENDOCRINOLOGY REVIEWS : PER</t>
  </si>
  <si>
    <t>Pediatr Endocrinol Rev</t>
  </si>
  <si>
    <t>Y.S. Medical Media Ltd.</t>
  </si>
  <si>
    <t>101518750</t>
  </si>
  <si>
    <t>Pediatric endocrinology, diabetes, and metabolism</t>
  </si>
  <si>
    <t>PEDIATRIC ENDOCRINOLOGY, DIABETES, AND METABOLISM</t>
  </si>
  <si>
    <t>Pediatr Endocrinol Diabetes Metab</t>
  </si>
  <si>
    <t>Continues: Endokrynologia, diabetologia i choroby przemiany materii wieku rozwojowego.</t>
  </si>
  <si>
    <t>2081237X</t>
  </si>
  <si>
    <t>Cornetis Sp. z o.o.</t>
  </si>
  <si>
    <t>Endocrinology#Metabolism#Pediatrics</t>
  </si>
  <si>
    <t>8909729</t>
  </si>
  <si>
    <t>Pediatric exercise science</t>
  </si>
  <si>
    <t>PEDIATRIC EXERCISE SCIENCE</t>
  </si>
  <si>
    <t>Pediatr Exerc Sci</t>
  </si>
  <si>
    <t>15432920</t>
  </si>
  <si>
    <t>08998493</t>
  </si>
  <si>
    <t>Pediatrics#Sports Medicine</t>
  </si>
  <si>
    <t>8700164</t>
  </si>
  <si>
    <t>Pediatric hematology and oncology</t>
  </si>
  <si>
    <t>PEDIATRIC HEMATOLOGY AND ONCOLOGY</t>
  </si>
  <si>
    <t>Pediatr Hematol Oncol</t>
  </si>
  <si>
    <t>Absorbed: International journal of pediatric hematology/oncology. Continues: European paediatric haematology and oncology.</t>
  </si>
  <si>
    <t>Two no. a year, 2006-</t>
  </si>
  <si>
    <t>8701858</t>
  </si>
  <si>
    <t>The Pediatric infectious disease journal</t>
  </si>
  <si>
    <t>PEDIATRIC INFECTIOUS DISEASE JOURNAL</t>
  </si>
  <si>
    <t>Pediatr Infect Dis J</t>
  </si>
  <si>
    <t>Continues: Pediatric infectious disease.</t>
  </si>
  <si>
    <t>Williams &amp; Wilkins</t>
  </si>
  <si>
    <t>Communicable Diseases#Pediatrics</t>
  </si>
  <si>
    <t>8708728</t>
  </si>
  <si>
    <t>Pediatric nephrology (Berlin, Germany)</t>
  </si>
  <si>
    <t>PEDIATRIC NEPHROLOGY (BERLIN, GERMANY)</t>
  </si>
  <si>
    <t>Pediatr Nephrol</t>
  </si>
  <si>
    <t>Nephrology#Pediatrics</t>
  </si>
  <si>
    <t>8508183</t>
  </si>
  <si>
    <t>Pediatric neurology</t>
  </si>
  <si>
    <t>PEDIATRIC NEUROLOGY</t>
  </si>
  <si>
    <t>Pediatr Neurol</t>
  </si>
  <si>
    <t>9114967</t>
  </si>
  <si>
    <t>Pediatric neurosurgery</t>
  </si>
  <si>
    <t>PEDIATRIC NEUROSURGERY</t>
  </si>
  <si>
    <t>Pediatr Neurosurg</t>
  </si>
  <si>
    <t>Continues: Pediatric neuroscience.</t>
  </si>
  <si>
    <t>7505804</t>
  </si>
  <si>
    <t>Pediatric nursing</t>
  </si>
  <si>
    <t>PEDIATRIC NURSING</t>
  </si>
  <si>
    <t>Pediatr Nurs</t>
  </si>
  <si>
    <t>00979805</t>
  </si>
  <si>
    <t>Jannetti and Associates.</t>
  </si>
  <si>
    <t>101572033</t>
  </si>
  <si>
    <t>Pediatric obesity</t>
  </si>
  <si>
    <t>PEDIATRIC OBESITY</t>
  </si>
  <si>
    <t>Pediatr Obes</t>
  </si>
  <si>
    <t>Continues: International journal of pediatric obesity.</t>
  </si>
  <si>
    <t>Wiley-Blackwell for the International Association for the Study of Obesity</t>
  </si>
  <si>
    <t>8912748</t>
  </si>
  <si>
    <t>Pediatric physical therapy : the official publication of the Section on Pediatrics of the American Physical Therapy Association</t>
  </si>
  <si>
    <t>PEDIATRIC PHYSICAL THERAPY : THE OFFICIAL PUBLICATION OF THE SECTION ON PEDIATRICS OF THE AMERICAN PHYSICAL THERAPY ASSOCIATION</t>
  </si>
  <si>
    <t>Pediatr Phys Ther</t>
  </si>
  <si>
    <t>1538005X</t>
  </si>
  <si>
    <t>08985669</t>
  </si>
  <si>
    <t>8510590</t>
  </si>
  <si>
    <t>Pediatric pulmonology</t>
  </si>
  <si>
    <t>PEDIATRIC PULMONOLOGY</t>
  </si>
  <si>
    <t>Pediatr Pulmonol</t>
  </si>
  <si>
    <t>Monthly, June 2005-</t>
  </si>
  <si>
    <t>9014095</t>
  </si>
  <si>
    <t>Pediatric pulmonology. Supplement</t>
  </si>
  <si>
    <t>PEDIATRIC PULMONOLOGY. SUPPLEMENT</t>
  </si>
  <si>
    <t>Pediatr Pulmonol Suppl</t>
  </si>
  <si>
    <t>1054187X</t>
  </si>
  <si>
    <t>0365332</t>
  </si>
  <si>
    <t>Pediatric radiology</t>
  </si>
  <si>
    <t>PEDIATRIC RADIOLOGY</t>
  </si>
  <si>
    <t>Pediatr Radiol</t>
  </si>
  <si>
    <t>Pediatrics#Radiology#Radiotherapy</t>
  </si>
  <si>
    <t>0100714</t>
  </si>
  <si>
    <t>Pediatric research</t>
  </si>
  <si>
    <t>PEDIATRIC RESEARCH</t>
  </si>
  <si>
    <t>Pediatr Res</t>
  </si>
  <si>
    <t>Continues: Annales paediatrici.</t>
  </si>
  <si>
    <t>8609169</t>
  </si>
  <si>
    <t>Pediatric surgery international</t>
  </si>
  <si>
    <t>PEDIATRIC SURGERY INTERNATIONAL</t>
  </si>
  <si>
    <t>Pediatr Surg Int</t>
  </si>
  <si>
    <t>Twelve no. year, 2003-</t>
  </si>
  <si>
    <t>9802574</t>
  </si>
  <si>
    <t>Pediatric transplantation</t>
  </si>
  <si>
    <t>PEDIATRIC TRANSPLANTATION</t>
  </si>
  <si>
    <t>Pediatr Transplant</t>
  </si>
  <si>
    <t>Pediatrics#Transplantation</t>
  </si>
  <si>
    <t>0376422</t>
  </si>
  <si>
    <t>PEDIATRICS</t>
  </si>
  <si>
    <t>101484755</t>
  </si>
  <si>
    <t>Pediatrics and neonatology</t>
  </si>
  <si>
    <t>PEDIATRICS AND NEONATOLOGY</t>
  </si>
  <si>
    <t>Pediatr Neonatol</t>
  </si>
  <si>
    <t>Formed by the union of: Acta paediatrica Taiwanica and: Clinical neonatology.</t>
  </si>
  <si>
    <t>8103046</t>
  </si>
  <si>
    <t>Pediatrics in review / American Academy of Pediatrics</t>
  </si>
  <si>
    <t>PEDIATRICS IN REVIEW / AMERICAN ACADEMY OF PEDIATRICS</t>
  </si>
  <si>
    <t>Pediatr Rev</t>
  </si>
  <si>
    <t>Vol. 1 issued with Pediatrics, v. 64. Issues for July-Dec. 1999 include an online-only section called NeoReviews, published separately beginning in Jan. 2000.</t>
  </si>
  <si>
    <t>100886002</t>
  </si>
  <si>
    <t>Pediatrics international : official journal of the Japan Pediatric Society</t>
  </si>
  <si>
    <t>PEDIATRICS INTERNATIONAL : OFFICIAL JOURNAL OF THE JAPAN PEDIATRIC SOCIETY</t>
  </si>
  <si>
    <t>Pediatr Int</t>
  </si>
  <si>
    <t>Continues: Acta paediatrica Japonica.</t>
  </si>
  <si>
    <t>0417461</t>
  </si>
  <si>
    <t>The Penn dental journal</t>
  </si>
  <si>
    <t>PENN DENTAL JOURNAL</t>
  </si>
  <si>
    <t>Penn Dent J (Phila)</t>
  </si>
  <si>
    <t>00314331</t>
  </si>
  <si>
    <t>University of Pennsylvania, School of Dental Medicine</t>
  </si>
  <si>
    <t>0404456</t>
  </si>
  <si>
    <t>Pennsylvania dental journal</t>
  </si>
  <si>
    <t>PENNSYLVANIA DENTAL JOURNAL</t>
  </si>
  <si>
    <t>Pa Dent J (Harrisb)</t>
  </si>
  <si>
    <t>Continues the Pennsylvania state dental journal.</t>
  </si>
  <si>
    <t>00314439</t>
  </si>
  <si>
    <t>Pennsylvania Dental Association</t>
  </si>
  <si>
    <t>19540010R</t>
  </si>
  <si>
    <t>The Pennsylvania nurse</t>
  </si>
  <si>
    <t>PENNSYLVANIA NURSE</t>
  </si>
  <si>
    <t>Pa Nurse</t>
  </si>
  <si>
    <t>Supersedes Penn points.</t>
  </si>
  <si>
    <t>00314617</t>
  </si>
  <si>
    <t>Pennsylvania Nurses Association</t>
  </si>
  <si>
    <t>5 no. year, 1999-</t>
  </si>
  <si>
    <t>8008690</t>
  </si>
  <si>
    <t>PEPTIDES</t>
  </si>
  <si>
    <t>0372307</t>
  </si>
  <si>
    <t>Perception</t>
  </si>
  <si>
    <t>PERCEPTION</t>
  </si>
  <si>
    <t>14684233</t>
  </si>
  <si>
    <t>03010066</t>
  </si>
  <si>
    <t>Pion.</t>
  </si>
  <si>
    <t>0401131</t>
  </si>
  <si>
    <t>Perceptual and motor skills</t>
  </si>
  <si>
    <t>PERCEPTUAL AND MOTOR SKILLS</t>
  </si>
  <si>
    <t>Percept Mot Skills</t>
  </si>
  <si>
    <t>Continues: Perceptual and motor skills research exchange.</t>
  </si>
  <si>
    <t>00315125</t>
  </si>
  <si>
    <t>Ammons Scientific</t>
  </si>
  <si>
    <t>8700166</t>
  </si>
  <si>
    <t>Perfusion</t>
  </si>
  <si>
    <t>PERFUSION</t>
  </si>
  <si>
    <t>9313276</t>
  </si>
  <si>
    <t>Periodontology 2000</t>
  </si>
  <si>
    <t>PERIODONTOLOGY 2000</t>
  </si>
  <si>
    <t>Periodontol 2000</t>
  </si>
  <si>
    <t>16000757</t>
  </si>
  <si>
    <t>09066713</t>
  </si>
  <si>
    <t>8904033</t>
  </si>
  <si>
    <t>Peritoneal dialysis international : journal of the International Society for Peritoneal Dialysis</t>
  </si>
  <si>
    <t>PERITONEAL DIALYSIS INTERNATIONAL : JOURNAL OF THE INTERNATIONAL SOCIETY FOR PERITONEAL DIALYSIS</t>
  </si>
  <si>
    <t>Perit Dial Int</t>
  </si>
  <si>
    <t>Continues: Peritoneal dialysis bulletin.</t>
  </si>
  <si>
    <t>Multimed</t>
  </si>
  <si>
    <t>9800474</t>
  </si>
  <si>
    <t>The Permanente journal</t>
  </si>
  <si>
    <t>PERMANENTE JOURNAL</t>
  </si>
  <si>
    <t>Perm J</t>
  </si>
  <si>
    <t>15525775</t>
  </si>
  <si>
    <t>15525767</t>
  </si>
  <si>
    <t>Permanente Press</t>
  </si>
  <si>
    <t>7809042</t>
  </si>
  <si>
    <t>Personality &amp; social psychology bulletin</t>
  </si>
  <si>
    <t>PERSONALITY &amp; SOCIAL PSYCHOLOGY BULLETIN</t>
  </si>
  <si>
    <t>Pers Soc Psychol Bull</t>
  </si>
  <si>
    <t>Vol. 1, no. 1 issued as: Proceedings of the Division of Personality and Social Psychology / American Psychological Association Division of Personality and Social Psychology.</t>
  </si>
  <si>
    <t>15527433</t>
  </si>
  <si>
    <t>01461672</t>
  </si>
  <si>
    <t>Sage Publications for the Society for Personality and Social Psychology, Inc</t>
  </si>
  <si>
    <t>101473502</t>
  </si>
  <si>
    <t>Personality and mental health</t>
  </si>
  <si>
    <t>PERSONALITY AND MENTAL HEALTH</t>
  </si>
  <si>
    <t>Personal Ment Health</t>
  </si>
  <si>
    <t>1932863X</t>
  </si>
  <si>
    <t>19328621</t>
  </si>
  <si>
    <t>9703164</t>
  </si>
  <si>
    <t>Personality and social psychology review : an official journal of the Society for Personality and Social Psychology, Inc</t>
  </si>
  <si>
    <t>PERSONALITY AND SOCIAL PSYCHOLOGY REVIEW : AN OFFICIAL JOURNAL OF THE SOCIETY FOR PERSONALITY AND SOCIAL PSYCHOLOGY, INC</t>
  </si>
  <si>
    <t>Pers Soc Psychol Rev</t>
  </si>
  <si>
    <t>15327957</t>
  </si>
  <si>
    <t>10888683</t>
  </si>
  <si>
    <t>101517071</t>
  </si>
  <si>
    <t>Personality disorders</t>
  </si>
  <si>
    <t>PERSONALITY DISORDERS</t>
  </si>
  <si>
    <t>Personal Disord</t>
  </si>
  <si>
    <t>19492723</t>
  </si>
  <si>
    <t>19492715</t>
  </si>
  <si>
    <t>Educational Pub. Foundation of the American Psychological Association</t>
  </si>
  <si>
    <t>101196674</t>
  </si>
  <si>
    <t>Perspective infirmière : revue officielle de l'Ordre des infirmières et infirmiers du Québec</t>
  </si>
  <si>
    <t>PERSPECTIVE INFIRMIERE : REVUE OFFICIELLE DE L'ORDRE DES INFIRMIERES ET INFIRMIERS DU QUEBEC</t>
  </si>
  <si>
    <t>Perspect Infirm</t>
  </si>
  <si>
    <t>Continues: Infirmière du Québec.</t>
  </si>
  <si>
    <t>17081890</t>
  </si>
  <si>
    <t>Ordre des infirmières et infirmiers du Québec</t>
  </si>
  <si>
    <t>8500942</t>
  </si>
  <si>
    <t>Perspectives (Gerontological Nursing Association (Canada))</t>
  </si>
  <si>
    <t>PERSPECTIVES (GERONTOLOGICAL NURSING ASSOCIATION (CANADA))</t>
  </si>
  <si>
    <t>Perspectives</t>
  </si>
  <si>
    <t>08317445</t>
  </si>
  <si>
    <t>Gerontological Nursing Association</t>
  </si>
  <si>
    <t>0401132</t>
  </si>
  <si>
    <t>Perspectives in biology and medicine</t>
  </si>
  <si>
    <t>PERSPECTIVES IN BIOLOGY AND MEDICINE</t>
  </si>
  <si>
    <t>Perspect Biol Med</t>
  </si>
  <si>
    <t>15298795</t>
  </si>
  <si>
    <t>00315982</t>
  </si>
  <si>
    <t>Biochemistry#Biology#Medicine</t>
  </si>
  <si>
    <t>101219871</t>
  </si>
  <si>
    <t>Perspectives in health information management / AHIMA, American Health Information Management Association</t>
  </si>
  <si>
    <t>PERSPECTIVES IN HEALTH INFORMATION MANAGEMENT / AHIMA, AMERICAN HEALTH INFORMATION MANAGEMENT ASSOCIATION</t>
  </si>
  <si>
    <t>Perspect Health Inf Manag</t>
  </si>
  <si>
    <t>15594122</t>
  </si>
  <si>
    <t>0401133</t>
  </si>
  <si>
    <t>Perspectives in psychiatric care</t>
  </si>
  <si>
    <t>PERSPECTIVES IN PSYCHIATRIC CARE</t>
  </si>
  <si>
    <t>Perspect Psychiatr Care</t>
  </si>
  <si>
    <t>17446163</t>
  </si>
  <si>
    <t>00315990</t>
  </si>
  <si>
    <t>Nursing Publications]</t>
  </si>
  <si>
    <t>101499631</t>
  </si>
  <si>
    <t>Perspectives in public health</t>
  </si>
  <si>
    <t>PERSPECTIVES IN PUBLIC HEALTH</t>
  </si>
  <si>
    <t>Perspect Public Health</t>
  </si>
  <si>
    <t>Continues: Journal of the Royal Society for the Promotion of Health.</t>
  </si>
  <si>
    <t>100970607</t>
  </si>
  <si>
    <t>Perspectives in vascular surgery and endovascular therapy</t>
  </si>
  <si>
    <t>PERSPECTIVES IN VASCULAR SURGERY AND ENDOVASCULAR THERAPY</t>
  </si>
  <si>
    <t>Perspect Vasc Surg Endovasc Ther</t>
  </si>
  <si>
    <t>Continues: Perspectives in vascular surgery.</t>
  </si>
  <si>
    <t>15215768</t>
  </si>
  <si>
    <t>101140654</t>
  </si>
  <si>
    <t>Perspectives on sexual and reproductive health</t>
  </si>
  <si>
    <t>PERSPECTIVES ON SEXUAL AND REPRODUCTIVE HEALTH</t>
  </si>
  <si>
    <t>Perspect Sex Reprod Health</t>
  </si>
  <si>
    <t>Continues: Family planning perspectives.</t>
  </si>
  <si>
    <t>19312393</t>
  </si>
  <si>
    <t>15386341</t>
  </si>
  <si>
    <t>Family Planning Services</t>
  </si>
  <si>
    <t>100898744</t>
  </si>
  <si>
    <t>Pest management science</t>
  </si>
  <si>
    <t>PEST MANAGEMENT SCIENCE</t>
  </si>
  <si>
    <t>Pest Manag Sci</t>
  </si>
  <si>
    <t>Continues: Pesticide science.</t>
  </si>
  <si>
    <t>15264998</t>
  </si>
  <si>
    <t>1526498X</t>
  </si>
  <si>
    <t>Published for SCI by Wiley</t>
  </si>
  <si>
    <t>1301573</t>
  </si>
  <si>
    <t>Pesticide biochemistry and physiology</t>
  </si>
  <si>
    <t>PESTICIDE BIOCHEMISTRY AND PHYSIOLOGY</t>
  </si>
  <si>
    <t>Pestic Biochem Physiol</t>
  </si>
  <si>
    <t>10959939</t>
  </si>
  <si>
    <t>00483575</t>
  </si>
  <si>
    <t>Botany#Toxicology</t>
  </si>
  <si>
    <t>8907069</t>
  </si>
  <si>
    <t>Pflege</t>
  </si>
  <si>
    <t>PFLEGE</t>
  </si>
  <si>
    <t>10125302</t>
  </si>
  <si>
    <t>9423842</t>
  </si>
  <si>
    <t>Pflege aktuell / DBfK, Deutscher Berufsverband für Pflegeberufe</t>
  </si>
  <si>
    <t>PFLEGE AKTUELL / DBFK, DEUTSCHER BERUFSVERBAND FUR PFLEGEBERUFE</t>
  </si>
  <si>
    <t>Pflege Aktuell</t>
  </si>
  <si>
    <t>Continues: Krankenpflege (Frankfurt am Main, Germany).</t>
  </si>
  <si>
    <t>09448918</t>
  </si>
  <si>
    <t>DBfK-Verlag</t>
  </si>
  <si>
    <t>9430463</t>
  </si>
  <si>
    <t>Pflege Zeitschrift</t>
  </si>
  <si>
    <t>PFLEGE ZEITSCHRIFT</t>
  </si>
  <si>
    <t>Pflege Z</t>
  </si>
  <si>
    <t>Continues: Deutsche Krankenpflegezeitschrift.</t>
  </si>
  <si>
    <t>09451129</t>
  </si>
  <si>
    <t>Verlag W. Kohlhammer</t>
  </si>
  <si>
    <t>0154720</t>
  </si>
  <si>
    <t>Pflügers Archiv : European journal of physiology</t>
  </si>
  <si>
    <t>PFLUGERS ARCHIV : EUROPEAN JOURNAL OF PHYSIOLOGY</t>
  </si>
  <si>
    <t>Pflugers Arch</t>
  </si>
  <si>
    <t>Continues: Pflüger's Archiv für die gesamte Physiologie des Menschen und der Tiere.</t>
  </si>
  <si>
    <t>Monthly (except Apr.), &lt;2002-&gt;</t>
  </si>
  <si>
    <t>9812552</t>
  </si>
  <si>
    <t>Pharmaceutical biology</t>
  </si>
  <si>
    <t>PHARMACEUTICAL BIOLOGY</t>
  </si>
  <si>
    <t>Pharm Biol</t>
  </si>
  <si>
    <t>Continues: International journal of pharmacognosy.</t>
  </si>
  <si>
    <t>Nine no. a year, 2005-</t>
  </si>
  <si>
    <t>9610932</t>
  </si>
  <si>
    <t>Pharmaceutical development and technology</t>
  </si>
  <si>
    <t>PHARMACEUTICAL DEVELOPMENT AND TECHNOLOGY</t>
  </si>
  <si>
    <t>Pharm Dev Technol</t>
  </si>
  <si>
    <t>0146631</t>
  </si>
  <si>
    <t>Pharmaceutical historian</t>
  </si>
  <si>
    <t>PHARMACEUTICAL HISTORIAN</t>
  </si>
  <si>
    <t>Pharm Hist (Lond)</t>
  </si>
  <si>
    <t>00791393</t>
  </si>
  <si>
    <t>British Society for the History of Pharmacy</t>
  </si>
  <si>
    <t>101582615</t>
  </si>
  <si>
    <t>Pharmaceutical patent analyst</t>
  </si>
  <si>
    <t>PHARMACEUTICAL PATENT ANALYST</t>
  </si>
  <si>
    <t>Pharm Pat Anal</t>
  </si>
  <si>
    <t>8406521</t>
  </si>
  <si>
    <t>Pharmaceutical research</t>
  </si>
  <si>
    <t>PHARMACEUTICAL RESEARCH</t>
  </si>
  <si>
    <t>Pharm Res</t>
  </si>
  <si>
    <t>101201192</t>
  </si>
  <si>
    <t>Pharmaceutical statistics</t>
  </si>
  <si>
    <t>PHARMACEUTICAL STATISTICS</t>
  </si>
  <si>
    <t>Pharm Stat</t>
  </si>
  <si>
    <t>Quarterly, Jan./Mar. 2003-</t>
  </si>
  <si>
    <t>9212404</t>
  </si>
  <si>
    <t>PHARMACOECONOMICS</t>
  </si>
  <si>
    <t>Pharmacoeconomics</t>
  </si>
  <si>
    <t>9208369</t>
  </si>
  <si>
    <t>Pharmacoepidemiology and drug safety</t>
  </si>
  <si>
    <t>PHARMACOEPIDEMIOLOGY AND DRUG SAFETY</t>
  </si>
  <si>
    <t>Pharmacoepidemiol Drug Saf</t>
  </si>
  <si>
    <t>Drug Therapy#Epidemiology</t>
  </si>
  <si>
    <t>101231005</t>
  </si>
  <si>
    <t>Pharmacogenetics and genomics</t>
  </si>
  <si>
    <t>PHARMACOGENETICS AND GENOMICS</t>
  </si>
  <si>
    <t>Pharmacogenet Genomics</t>
  </si>
  <si>
    <t>Continues: Pharmacogenetics.</t>
  </si>
  <si>
    <t>Genetics, Medical#Pharmacology</t>
  </si>
  <si>
    <t>100897350</t>
  </si>
  <si>
    <t>PHARMACOGENOMICS</t>
  </si>
  <si>
    <t>Future Medicine Ltd</t>
  </si>
  <si>
    <t>101083949</t>
  </si>
  <si>
    <t>The pharmacogenomics journal</t>
  </si>
  <si>
    <t>PHARMACOGENOMICS JOURNAL</t>
  </si>
  <si>
    <t>Pharmacogenomics J</t>
  </si>
  <si>
    <t>101234999</t>
  </si>
  <si>
    <t>Pharmacological reports : PR</t>
  </si>
  <si>
    <t>PHARMACOLOGICAL REPORTS : PR</t>
  </si>
  <si>
    <t>Pharmacol Rep</t>
  </si>
  <si>
    <t>Continues: Polish journal of pharmacology.</t>
  </si>
  <si>
    <t>Institute of Pharmacology, Polish Academy of Sciences</t>
  </si>
  <si>
    <t>8907422</t>
  </si>
  <si>
    <t>Pharmacological research : the official journal of the Italian Pharmacological Society</t>
  </si>
  <si>
    <t>PHARMACOLOGICAL RESEARCH : THE OFFICIAL JOURNAL OF THE ITALIAN PHARMACOLOGICAL SOCIETY</t>
  </si>
  <si>
    <t>Pharmacol Res</t>
  </si>
  <si>
    <t>Continues: Pharmacological research communications.</t>
  </si>
  <si>
    <t>0421737</t>
  </si>
  <si>
    <t>Pharmacological reviews</t>
  </si>
  <si>
    <t>PHARMACOLOGICAL REVIEWS</t>
  </si>
  <si>
    <t>Pharmacol Rev</t>
  </si>
  <si>
    <t>0152016</t>
  </si>
  <si>
    <t>PHARMACOLOGY</t>
  </si>
  <si>
    <t>Supersedes in part Medicina et pharmacologia experimentalis.</t>
  </si>
  <si>
    <t>7905840</t>
  </si>
  <si>
    <t>Pharmacology &amp; therapeutics</t>
  </si>
  <si>
    <t>PHARMACOLOGY &amp; THERAPEUTICS</t>
  </si>
  <si>
    <t>Pharmacol Ther</t>
  </si>
  <si>
    <t>Formed by the union of Pharmacology &amp; therapeutics. Part A: Chemotherapy, toxicology and metabolic inhibitors, of Pharmacology &amp; therapeutics. Part B: General &amp; systematic pharmacology, and of Pharmacology &amp; therapeutics. Part C: Clinical pharmacology and therapeutics.</t>
  </si>
  <si>
    <t>0367050</t>
  </si>
  <si>
    <t>Pharmacology, biochemistry, and behavior</t>
  </si>
  <si>
    <t>PHARMACOLOGY, BIOCHEMISTRY, AND BEHAVIOR</t>
  </si>
  <si>
    <t>Pharmacol Biochem Behav</t>
  </si>
  <si>
    <t>Behavioral Sciences#Biochemistry#Pharmacology#Psychopharmacology</t>
  </si>
  <si>
    <t>8402938</t>
  </si>
  <si>
    <t>PHARMACOPSYCHIATRY</t>
  </si>
  <si>
    <t>Continues: Pharmacopsychiatria.</t>
  </si>
  <si>
    <t>Seven no. a year, 2010-</t>
  </si>
  <si>
    <t>8111305</t>
  </si>
  <si>
    <t>PHARMACOTHERAPY</t>
  </si>
  <si>
    <t>18759114</t>
  </si>
  <si>
    <t>100958810</t>
  </si>
  <si>
    <t>Pharmacy history Australia : the newsletter of the Australian Academy of the History of Pharmacy</t>
  </si>
  <si>
    <t>PHARMACY HISTORY AUSTRALIA : THE NEWSLETTER OF THE AUSTRALIAN ACADEMY OF THE HISTORY OF PHARMACY</t>
  </si>
  <si>
    <t>Pharm Hist Aust</t>
  </si>
  <si>
    <t>Australian Academy of the History of Pharmacy</t>
  </si>
  <si>
    <t>0135654</t>
  </si>
  <si>
    <t>Pharmacy in history</t>
  </si>
  <si>
    <t>PHARMACY IN HISTORY</t>
  </si>
  <si>
    <t>Pharm Hist</t>
  </si>
  <si>
    <t>Continues: A. I. H. P. notes.</t>
  </si>
  <si>
    <t>00317047</t>
  </si>
  <si>
    <t>American Institute of the History of Pharmacy.</t>
  </si>
  <si>
    <t>9800766</t>
  </si>
  <si>
    <t>Die Pharmazie</t>
  </si>
  <si>
    <t>PHARMAZIE</t>
  </si>
  <si>
    <t>Govi-Verlag Pharmazautischer Verlag</t>
  </si>
  <si>
    <t>101510163</t>
  </si>
  <si>
    <t>Pharmeuropa bio &amp; scientific notes</t>
  </si>
  <si>
    <t>PHARMEUROPA BIO &amp; SCIENTIFIC NOTES</t>
  </si>
  <si>
    <t>Pharmeur Bio Sci Notes</t>
  </si>
  <si>
    <t>Formed by the union of: Pharmeuropa scientific notes and Pharmeuropa bio.</t>
  </si>
  <si>
    <t>20752504</t>
  </si>
  <si>
    <t>20752164</t>
  </si>
  <si>
    <t>European Directorate for the Quality of Medicines</t>
  </si>
  <si>
    <t>19610620R</t>
  </si>
  <si>
    <t>The Pharos of Alpha Omega Alpha-Honor Medical Society. Alpha Omega Alpha</t>
  </si>
  <si>
    <t>PHAROS OF ALPHA OMEGA ALPHA-HONOR MEDICAL SOCIETY. ALPHA OMEGA ALPHA</t>
  </si>
  <si>
    <t>Pharos Alpha Omega Alpha Honor Med Soc</t>
  </si>
  <si>
    <t>00317179</t>
  </si>
  <si>
    <t>Alpha Omega Alpha Honor Medical Society</t>
  </si>
  <si>
    <t>7503623</t>
  </si>
  <si>
    <t>Philosophical transactions of the Royal Society of London. Series B, Biological sciences</t>
  </si>
  <si>
    <t>PHILOSOPHICAL TRANSACTIONS OF THE ROYAL SOCIETY OF LONDON. SERIES B, BIOLOGICAL SCIENCES</t>
  </si>
  <si>
    <t>Philos Trans R Soc Lond B Biol Sci</t>
  </si>
  <si>
    <t>Continues: Philosophical transactions of the Royal Society of London. Series B, Containing papers of a biological character.</t>
  </si>
  <si>
    <t>14712970</t>
  </si>
  <si>
    <t>09628436</t>
  </si>
  <si>
    <t>101133385</t>
  </si>
  <si>
    <t>Philosophical transactions. Series A, Mathematical, physical, and engineering sciences</t>
  </si>
  <si>
    <t>PHILOSOPHICAL TRANSACTIONS. SERIES A, MATHEMATICAL, PHYSICAL, AND ENGINEERING SCIENCES</t>
  </si>
  <si>
    <t>Philos Trans A Math Phys Eng Sci</t>
  </si>
  <si>
    <t>Continues: Philosophical transactions. Physical sciences and engineering.</t>
  </si>
  <si>
    <t>14712962</t>
  </si>
  <si>
    <t>1364503X</t>
  </si>
  <si>
    <t>Biomedical Engineering#Biophysics#Statistics as Topic</t>
  </si>
  <si>
    <t>101258058</t>
  </si>
  <si>
    <t>Philosophy, ethics, and humanities in medicine : PEHM</t>
  </si>
  <si>
    <t>PHILOSOPHY, ETHICS, AND HUMANITIES IN MEDICINE : PEHM</t>
  </si>
  <si>
    <t>Philos Ethics Humanit Med</t>
  </si>
  <si>
    <t>17475341</t>
  </si>
  <si>
    <t>9012921</t>
  </si>
  <si>
    <t>Phlebology / Venous Forum of the Royal Society of Medicine</t>
  </si>
  <si>
    <t>PHLEBOLOGY / VENOUS FORUM OF THE ROYAL SOCIETY OF MEDICINE</t>
  </si>
  <si>
    <t>Absorbed: Australian and New Zealand journal of phlebology.</t>
  </si>
  <si>
    <t>17581125</t>
  </si>
  <si>
    <t>0376424</t>
  </si>
  <si>
    <t>Phonetica</t>
  </si>
  <si>
    <t>PHONETICA</t>
  </si>
  <si>
    <t>14230321</t>
  </si>
  <si>
    <t>00318388</t>
  </si>
  <si>
    <t>101124451</t>
  </si>
  <si>
    <t>Photochemical &amp; photobiological sciences : Official journal of the European Photochemistry Association and the European Society for Photobiology</t>
  </si>
  <si>
    <t>PHOTOCHEMICAL &amp; PHOTOBIOLOGICAL SCIENCES : OFFICIAL JOURNAL OF THE EUROPEAN PHOTOCHEMISTRY ASSOCIATION AND THE EUROPEAN SOCIETY FOR PHOTOBIOLOGY</t>
  </si>
  <si>
    <t>Photochem Photobiol Sci</t>
  </si>
  <si>
    <t>14749092</t>
  </si>
  <si>
    <t>1474905X</t>
  </si>
  <si>
    <t>0376425</t>
  </si>
  <si>
    <t>Photochemistry and photobiology</t>
  </si>
  <si>
    <t>PHOTOCHEMISTRY AND PHOTOBIOLOGY</t>
  </si>
  <si>
    <t>Photochem Photobiol</t>
  </si>
  <si>
    <t>17511097</t>
  </si>
  <si>
    <t>00318655</t>
  </si>
  <si>
    <t>American Society for Photobiology</t>
  </si>
  <si>
    <t>Six no. a year, July/Aug. 2004-</t>
  </si>
  <si>
    <t>9013641</t>
  </si>
  <si>
    <t>Photodermatology, photoimmunology &amp; photomedicine</t>
  </si>
  <si>
    <t>PHOTODERMATOLOGY, PHOTOIMMUNOLOGY &amp; PHOTOMEDICINE</t>
  </si>
  <si>
    <t>Photodermatol Photoimmunol Photomed</t>
  </si>
  <si>
    <t>Continues: Photodermatology.</t>
  </si>
  <si>
    <t>Allergy and Immunology#Dermatology</t>
  </si>
  <si>
    <t>101226123</t>
  </si>
  <si>
    <t>Photodiagnosis and photodynamic therapy</t>
  </si>
  <si>
    <t>PHOTODIAGNOSIS AND PHOTODYNAMIC THERAPY</t>
  </si>
  <si>
    <t>Photodiagnosis Photodyn Ther</t>
  </si>
  <si>
    <t>101222340</t>
  </si>
  <si>
    <t>Photomedicine and laser surgery</t>
  </si>
  <si>
    <t>PHOTOMEDICINE AND LASER SURGERY</t>
  </si>
  <si>
    <t>Photomed Laser Surg</t>
  </si>
  <si>
    <t>Continues: Journal of clinical laser medicine and surgery.</t>
  </si>
  <si>
    <t>15578550</t>
  </si>
  <si>
    <t>15495418</t>
  </si>
  <si>
    <t>100954728</t>
  </si>
  <si>
    <t>Photosynthesis research</t>
  </si>
  <si>
    <t>PHOTOSYNTHESIS RESEARCH</t>
  </si>
  <si>
    <t>Photosynth Res</t>
  </si>
  <si>
    <t>15735079</t>
  </si>
  <si>
    <t>01668595</t>
  </si>
  <si>
    <t>Twelve no. a year, 198 -</t>
  </si>
  <si>
    <t>9302888</t>
  </si>
  <si>
    <t>Physica medica : PM : an international journal devoted to the applications of physics to medicine and biology : official journal of the Italian Association of Biomedical Physics (AIFB)</t>
  </si>
  <si>
    <t>PHYSICA MEDICA : PM : AN INTERNATIONAL JOURNAL DEVOTED TO THE APPLICATIONS OF PHYSICS TO MEDICINE AND BIOLOGY : OFFICIAL JOURNAL OF THE ITALIAN ASSOCIATION OF BIOMEDICAL PHYSICS (AIFB)</t>
  </si>
  <si>
    <t>Phys Med</t>
  </si>
  <si>
    <t>Continues: Fisica in medicina.</t>
  </si>
  <si>
    <t>Istituti Editoriali e Poligrafici Internazionali</t>
  </si>
  <si>
    <t>Biology#Biophysics#Medicine</t>
  </si>
  <si>
    <t>8109120</t>
  </si>
  <si>
    <t>Physical &amp; occupational therapy in pediatrics</t>
  </si>
  <si>
    <t>PHYSICAL &amp; OCCUPATIONAL THERAPY IN PEDIATRICS</t>
  </si>
  <si>
    <t>Phys Occup Ther Pediatr</t>
  </si>
  <si>
    <t>15413144</t>
  </si>
  <si>
    <t>01942638</t>
  </si>
  <si>
    <t>101197454</t>
  </si>
  <si>
    <t>Physical biology</t>
  </si>
  <si>
    <t>PHYSICAL BIOLOGY</t>
  </si>
  <si>
    <t>Phys Biol</t>
  </si>
  <si>
    <t>14783975</t>
  </si>
  <si>
    <t>14783967</t>
  </si>
  <si>
    <t>Biology#Biophysics</t>
  </si>
  <si>
    <t>100888160</t>
  </si>
  <si>
    <t>Physical chemistry chemical physics : PCCP</t>
  </si>
  <si>
    <t>PHYSICAL CHEMISTRY CHEMICAL PHYSICS : PCCP</t>
  </si>
  <si>
    <t>Phys Chem Chem Phys</t>
  </si>
  <si>
    <t>Formed by the merger of: Journal of the Chemical Society. Faraday transactions, and: Berichte der Bunsen-Gesellschaft für Physikalische Chemie.</t>
  </si>
  <si>
    <t>14639084</t>
  </si>
  <si>
    <t>14639076</t>
  </si>
  <si>
    <t>Weekly (48 issues), 2006-</t>
  </si>
  <si>
    <t>9102787</t>
  </si>
  <si>
    <t>Physical medicine and rehabilitation clinics of North America</t>
  </si>
  <si>
    <t>PHYSICAL MEDICINE AND REHABILITATION CLINICS OF NORTH AMERICA</t>
  </si>
  <si>
    <t>Phys Med Rehabil Clin N Am</t>
  </si>
  <si>
    <t>Absorbed: Physical medicine and rehabilitation.</t>
  </si>
  <si>
    <t>0401141</t>
  </si>
  <si>
    <t>Physical review letters</t>
  </si>
  <si>
    <t>PHYSICAL REVIEW LETTERS</t>
  </si>
  <si>
    <t>Phys Rev Lett</t>
  </si>
  <si>
    <t>10797114</t>
  </si>
  <si>
    <t>00319007</t>
  </si>
  <si>
    <t>American Physical Society</t>
  </si>
  <si>
    <t>Weekly, &lt;, Feb. 1976-&gt;</t>
  </si>
  <si>
    <t>101136452</t>
  </si>
  <si>
    <t>Physical review. E, Statistical, nonlinear, and soft matter physics</t>
  </si>
  <si>
    <t>PHYSICAL REVIEW. E, STATISTICAL, NONLINEAR, AND SOFT MATTER PHYSICS</t>
  </si>
  <si>
    <t>Phys Rev E Stat Nonlin Soft Matter Phys</t>
  </si>
  <si>
    <t>Continues: Physical review. E, Statistical physics, plasmas, fluids, and related interdisciplinary topics.</t>
  </si>
  <si>
    <t>15502376</t>
  </si>
  <si>
    <t>15393755</t>
  </si>
  <si>
    <t>Published by the American Physical Society through the American Institute of Physics</t>
  </si>
  <si>
    <t>Biophysics#Physiology#Statistics as Topic</t>
  </si>
  <si>
    <t>0022623</t>
  </si>
  <si>
    <t>Physical therapy</t>
  </si>
  <si>
    <t>PHYSICAL THERAPY</t>
  </si>
  <si>
    <t>Phys Ther</t>
  </si>
  <si>
    <t>Continues: Journal of the American Physical Therapy Association.</t>
  </si>
  <si>
    <t>15386724</t>
  </si>
  <si>
    <t>00319023</t>
  </si>
  <si>
    <t>100940513</t>
  </si>
  <si>
    <t>Physical therapy in sport : official journal of the Association of Chartered Physiotherapists in Sports Medicine</t>
  </si>
  <si>
    <t>PHYSICAL THERAPY IN SPORT : OFFICIAL JOURNAL OF THE ASSOCIATION OF CHARTERED PHYSIOTHERAPISTS IN SPORTS MEDICINE</t>
  </si>
  <si>
    <t>Phys Ther Sport</t>
  </si>
  <si>
    <t>0427461</t>
  </si>
  <si>
    <t>The Physician and sportsmedicine</t>
  </si>
  <si>
    <t>PHYSICIAN AND SPORTSMEDICINE</t>
  </si>
  <si>
    <t>Phys Sportsmed</t>
  </si>
  <si>
    <t>8610398</t>
  </si>
  <si>
    <t>Physician executive</t>
  </si>
  <si>
    <t>PHYSICIAN EXECUTIVE</t>
  </si>
  <si>
    <t>Physician Exec</t>
  </si>
  <si>
    <t>Continues: Medical director.</t>
  </si>
  <si>
    <t>08982759</t>
  </si>
  <si>
    <t>American College of Physican Executives</t>
  </si>
  <si>
    <t>0401220</t>
  </si>
  <si>
    <t>Physics in medicine and biology</t>
  </si>
  <si>
    <t>PHYSICS IN MEDICINE AND BIOLOGY</t>
  </si>
  <si>
    <t>Phys Med Biol</t>
  </si>
  <si>
    <t>13616560</t>
  </si>
  <si>
    <t>00319155</t>
  </si>
  <si>
    <t>IOP Publishing</t>
  </si>
  <si>
    <t>101229718</t>
  </si>
  <si>
    <t>Physics of life reviews</t>
  </si>
  <si>
    <t>PHYSICS OF LIFE REVIEWS</t>
  </si>
  <si>
    <t>Phys Life Rev</t>
  </si>
  <si>
    <t>18731457</t>
  </si>
  <si>
    <t>15710645</t>
  </si>
  <si>
    <t>1256322</t>
  </si>
  <si>
    <t>Physiologia plantarum</t>
  </si>
  <si>
    <t>PHYSIOLOGIA PLANTARUM</t>
  </si>
  <si>
    <t>Physiol Plant</t>
  </si>
  <si>
    <t>13993054</t>
  </si>
  <si>
    <t>00319317</t>
  </si>
  <si>
    <t>Scandinavian Society For Plant Physiology</t>
  </si>
  <si>
    <t>100883369</t>
  </si>
  <si>
    <t>Physiological and biochemical zoology : PBZ</t>
  </si>
  <si>
    <t>PHYSIOLOGICAL AND BIOCHEMICAL ZOOLOGY : PBZ</t>
  </si>
  <si>
    <t>Physiol Biochem Zool</t>
  </si>
  <si>
    <t>Continues: Physiological zoology.</t>
  </si>
  <si>
    <t>15375293</t>
  </si>
  <si>
    <t>15222152</t>
  </si>
  <si>
    <t>8502230</t>
  </si>
  <si>
    <t>Physiological chemistry and physics and medical NMR</t>
  </si>
  <si>
    <t>PHYSIOLOGICAL CHEMISTRY AND PHYSICS AND MEDICAL NMR</t>
  </si>
  <si>
    <t>Physiol Chem Phys Med NMR</t>
  </si>
  <si>
    <t>Continues: Physiological chemistry and physics.</t>
  </si>
  <si>
    <t>07486642</t>
  </si>
  <si>
    <t>Pacific Press</t>
  </si>
  <si>
    <t>Biochemistry#Biophysics#Nuclear Medicine</t>
  </si>
  <si>
    <t>9815683</t>
  </si>
  <si>
    <t>Physiological genomics</t>
  </si>
  <si>
    <t>PHYSIOLOGICAL GENOMICS</t>
  </si>
  <si>
    <t>Physiol Genomics</t>
  </si>
  <si>
    <t>Once or twice ayear</t>
  </si>
  <si>
    <t>9306921</t>
  </si>
  <si>
    <t>Physiological measurement</t>
  </si>
  <si>
    <t>PHYSIOLOGICAL MEASUREMENT</t>
  </si>
  <si>
    <t>Physiol Meas</t>
  </si>
  <si>
    <t>Continues: Clinical physics and physiological measurement.</t>
  </si>
  <si>
    <t>13616579</t>
  </si>
  <si>
    <t>09673334</t>
  </si>
  <si>
    <t>Biomedical Engineering#Biophysics#Physiology</t>
  </si>
  <si>
    <t>9112413</t>
  </si>
  <si>
    <t>Physiological research / Academia Scientiarum Bohemoslovaca</t>
  </si>
  <si>
    <t>PHYSIOLOGICAL RESEARCH / ACADEMIA SCIENTIARUM BOHEMOSLOVACA</t>
  </si>
  <si>
    <t>Physiol Res</t>
  </si>
  <si>
    <t>Continues: Physiologia bohemoslovaca.</t>
  </si>
  <si>
    <t>18029973</t>
  </si>
  <si>
    <t>08628408</t>
  </si>
  <si>
    <t>Published for the Institute of Physiology of the Czechoslovak Academy of Sciences by Academia, Pub. House of the Academy</t>
  </si>
  <si>
    <t>0231714</t>
  </si>
  <si>
    <t>Physiological reviews</t>
  </si>
  <si>
    <t>PHYSIOLOGICAL REVIEWS</t>
  </si>
  <si>
    <t>Physiol Rev</t>
  </si>
  <si>
    <t>0401143</t>
  </si>
  <si>
    <t>The Physiologist</t>
  </si>
  <si>
    <t>PHYSIOLOGIST</t>
  </si>
  <si>
    <t>Physiologist</t>
  </si>
  <si>
    <t>Absorbed The Physiology teacher, Apr. 1978.</t>
  </si>
  <si>
    <t>00319376</t>
  </si>
  <si>
    <t>0151504</t>
  </si>
  <si>
    <t>Physiology &amp; behavior</t>
  </si>
  <si>
    <t>PHYSIOLOGY &amp; BEHAVIOR</t>
  </si>
  <si>
    <t>Physiol Behav</t>
  </si>
  <si>
    <t>Behavioral Sciences#Physiology#Psychophysiology</t>
  </si>
  <si>
    <t>101208185</t>
  </si>
  <si>
    <t>Physiology (Bethesda, Md.)</t>
  </si>
  <si>
    <t>PHYSIOLOGY (BETHESDA, MD.)</t>
  </si>
  <si>
    <t>Physiology (Bethesda)</t>
  </si>
  <si>
    <t>Continues: News in physiological sciences.</t>
  </si>
  <si>
    <t>15489221</t>
  </si>
  <si>
    <t>15489213</t>
  </si>
  <si>
    <t>International Union of Physiological Sciences</t>
  </si>
  <si>
    <t>0401223</t>
  </si>
  <si>
    <t>Physiotherapy</t>
  </si>
  <si>
    <t>PHYSIOTHERAPY</t>
  </si>
  <si>
    <t>Continues: Journal. Chartered Society of Physiotherapy (Great Britain).</t>
  </si>
  <si>
    <t>Chartered Society of Physiotherapy London</t>
  </si>
  <si>
    <t>9612022</t>
  </si>
  <si>
    <t>Physiotherapy research international : the journal for researchers and clinicians in physical therapy</t>
  </si>
  <si>
    <t>PHYSIOTHERAPY RESEARCH INTERNATIONAL : THE JOURNAL FOR RESEARCHERS AND CLINICIANS IN PHYSICAL THERAPY</t>
  </si>
  <si>
    <t>Physiother Res Int</t>
  </si>
  <si>
    <t>14712865</t>
  </si>
  <si>
    <t>13582267</t>
  </si>
  <si>
    <t>9015520</t>
  </si>
  <si>
    <t>Physiotherapy theory and practice</t>
  </si>
  <si>
    <t>PHYSIOTHERAPY THEORY AND PRACTICE</t>
  </si>
  <si>
    <t>Physiother Theory Pract</t>
  </si>
  <si>
    <t>Continues: Physiotherapy practice.</t>
  </si>
  <si>
    <t>15325040</t>
  </si>
  <si>
    <t>09593985</t>
  </si>
  <si>
    <t>0076224</t>
  </si>
  <si>
    <t>Physis; rivista internazionale di storia della scienza</t>
  </si>
  <si>
    <t>PHYSIS; RIVISTA INTERNAZIONALE DI STORIA DELLA SCIENZA</t>
  </si>
  <si>
    <t>Physis Riv Int Stor Sci</t>
  </si>
  <si>
    <t>00319414</t>
  </si>
  <si>
    <t>Casa Editrice Leo S Olschki</t>
  </si>
  <si>
    <t>Semiannual, 1999-</t>
  </si>
  <si>
    <t>9200492</t>
  </si>
  <si>
    <t>Phytochemical analysis : PCA</t>
  </si>
  <si>
    <t>PHYTOCHEMICAL ANALYSIS : PCA</t>
  </si>
  <si>
    <t>Phytochem Anal</t>
  </si>
  <si>
    <t>0151434</t>
  </si>
  <si>
    <t>Phytochemistry</t>
  </si>
  <si>
    <t>PHYTOCHEMISTRY</t>
  </si>
  <si>
    <t>18733700</t>
  </si>
  <si>
    <t>00319422</t>
  </si>
  <si>
    <t>Twelve no. a year, Feb. 2012-</t>
  </si>
  <si>
    <t>9438794</t>
  </si>
  <si>
    <t>Phytomedicine : international journal of phytotherapy and phytopharmacology</t>
  </si>
  <si>
    <t>PHYTOMEDICINE : INTERNATIONAL JOURNAL OF PHYTOTHERAPY AND PHYTOPHARMACOLOGY</t>
  </si>
  <si>
    <t>Ten no. a year, &lt;2006-&gt;</t>
  </si>
  <si>
    <t>9427222</t>
  </si>
  <si>
    <t>Phytopathology</t>
  </si>
  <si>
    <t>PHYTOPATHOLOGY</t>
  </si>
  <si>
    <t>19437684</t>
  </si>
  <si>
    <t>0031949X</t>
  </si>
  <si>
    <t>American Phytopathological Society]</t>
  </si>
  <si>
    <t>Monthly, 1918-</t>
  </si>
  <si>
    <t>8904486</t>
  </si>
  <si>
    <t>Phytotherapy research : PTR</t>
  </si>
  <si>
    <t>PHYTOTHERAPY RESEARCH : PTR</t>
  </si>
  <si>
    <t>Phytother Res</t>
  </si>
  <si>
    <t>101318927</t>
  </si>
  <si>
    <t>Pigment cell &amp; melanoma research</t>
  </si>
  <si>
    <t>PIGMENT CELL &amp; MELANOMA RESEARCH</t>
  </si>
  <si>
    <t>Pigment Cell Melanoma Res</t>
  </si>
  <si>
    <t>Continues: Pigment cell research.</t>
  </si>
  <si>
    <t>Cell Biology#Neoplasms</t>
  </si>
  <si>
    <t>9814578</t>
  </si>
  <si>
    <t>PITUITARY</t>
  </si>
  <si>
    <t>8006349</t>
  </si>
  <si>
    <t>PLACENTA</t>
  </si>
  <si>
    <t>W.B. Saunders.</t>
  </si>
  <si>
    <t>Embryology#Obstetrics#Physiology</t>
  </si>
  <si>
    <t>9430925</t>
  </si>
  <si>
    <t>Plant &amp; cell physiology</t>
  </si>
  <si>
    <t>PLANT &amp; CELL PHYSIOLOGY</t>
  </si>
  <si>
    <t>Plant Cell Physiol</t>
  </si>
  <si>
    <t>14719053</t>
  </si>
  <si>
    <t>00320781</t>
  </si>
  <si>
    <t>Botany#Cell Biology</t>
  </si>
  <si>
    <t>101148926</t>
  </si>
  <si>
    <t>Plant biology (Stuttgart, Germany)</t>
  </si>
  <si>
    <t>PLANT BIOLOGY (STUTTGART, GERMANY)</t>
  </si>
  <si>
    <t>Plant Biol (Stuttg)</t>
  </si>
  <si>
    <t>Formed by the union of: Acta botanica Neerlandica, and: Botanica acta.</t>
  </si>
  <si>
    <t>14388677</t>
  </si>
  <si>
    <t>14358603</t>
  </si>
  <si>
    <t>101201889</t>
  </si>
  <si>
    <t>Plant biotechnology journal</t>
  </si>
  <si>
    <t>PLANT BIOTECHNOLOGY JOURNAL</t>
  </si>
  <si>
    <t>Plant Biotechnol J</t>
  </si>
  <si>
    <t>14677652</t>
  </si>
  <si>
    <t>14677644</t>
  </si>
  <si>
    <t>Biotechnology#Botany</t>
  </si>
  <si>
    <t>9208688</t>
  </si>
  <si>
    <t>The Plant cell</t>
  </si>
  <si>
    <t>PLANT CELL</t>
  </si>
  <si>
    <t>Plant Cell</t>
  </si>
  <si>
    <t>1532298X</t>
  </si>
  <si>
    <t>10404651</t>
  </si>
  <si>
    <t>American Society of Plant Physiologists</t>
  </si>
  <si>
    <t>9880970</t>
  </si>
  <si>
    <t>Plant cell reports</t>
  </si>
  <si>
    <t>PLANT CELL REPORTS</t>
  </si>
  <si>
    <t>Plant Cell Rep</t>
  </si>
  <si>
    <t>1432203X</t>
  </si>
  <si>
    <t>07217714</t>
  </si>
  <si>
    <t>Monthly, &lt;Jan. 2003-&gt;</t>
  </si>
  <si>
    <t>8803554</t>
  </si>
  <si>
    <t>Plant foods for human nutrition (Dordrecht, Netherlands)</t>
  </si>
  <si>
    <t>PLANT FOODS FOR HUMAN NUTRITION (DORDRECHT, NETHERLANDS)</t>
  </si>
  <si>
    <t>Plant Foods Hum Nutr</t>
  </si>
  <si>
    <t>Continues: Qualitas plantarum - plant foods for human nutrition.</t>
  </si>
  <si>
    <t>15739104</t>
  </si>
  <si>
    <t>09219668</t>
  </si>
  <si>
    <t>Botany#Nutritional Sciences</t>
  </si>
  <si>
    <t>9207397</t>
  </si>
  <si>
    <t>The Plant journal : for cell and molecular biology</t>
  </si>
  <si>
    <t>PLANT JOURNAL : FOR CELL AND MOLECULAR BIOLOGY</t>
  </si>
  <si>
    <t>Plant J</t>
  </si>
  <si>
    <t>1365313X</t>
  </si>
  <si>
    <t>09607412</t>
  </si>
  <si>
    <t>Blackwell Scientific Publishers and BIOS Scientific Publishers in association with the Society for Experimental Biology</t>
  </si>
  <si>
    <t>Botany#Cell Biology#Molecular Biology</t>
  </si>
  <si>
    <t>9106343</t>
  </si>
  <si>
    <t>Plant molecular biology</t>
  </si>
  <si>
    <t>PLANT MOLECULAR BIOLOGY</t>
  </si>
  <si>
    <t>Plant Mol Biol</t>
  </si>
  <si>
    <t>15735028</t>
  </si>
  <si>
    <t>01674412</t>
  </si>
  <si>
    <t>Eighteen no. a year, 1992-</t>
  </si>
  <si>
    <t>0401224</t>
  </si>
  <si>
    <t>Plant physiology</t>
  </si>
  <si>
    <t>PLANT PHYSIOLOGY</t>
  </si>
  <si>
    <t>Plant Physiol</t>
  </si>
  <si>
    <t>15322548</t>
  </si>
  <si>
    <t>00320889</t>
  </si>
  <si>
    <t>American Society of Plant Biologists</t>
  </si>
  <si>
    <t>9882449</t>
  </si>
  <si>
    <t>Plant physiology and biochemistry : PPB / Société française de physiologie végétale</t>
  </si>
  <si>
    <t>PLANT PHYSIOLOGY AND BIOCHEMISTRY : PPB / SOCIETE FRANCAISE DE PHYSIOLOGIE VEGETALE</t>
  </si>
  <si>
    <t>Plant Physiol Biochem</t>
  </si>
  <si>
    <t>Continues: Physiologie végétale.</t>
  </si>
  <si>
    <t>18732690</t>
  </si>
  <si>
    <t>09819428</t>
  </si>
  <si>
    <t>Biochemistry#Botany</t>
  </si>
  <si>
    <t>101602701</t>
  </si>
  <si>
    <t>Plant reproduction</t>
  </si>
  <si>
    <t>PLANT REPRODUCTION</t>
  </si>
  <si>
    <t>Plant Reprod</t>
  </si>
  <si>
    <t>Continues: Sexual plant reproduction.</t>
  </si>
  <si>
    <t>21947961</t>
  </si>
  <si>
    <t>21947953</t>
  </si>
  <si>
    <t>9882015</t>
  </si>
  <si>
    <t>Plant science : an international journal of experimental plant biology</t>
  </si>
  <si>
    <t>PLANT SCIENCE : AN INTERNATIONAL JOURNAL OF EXPERIMENTAL PLANT BIOLOGY</t>
  </si>
  <si>
    <t>Plant Sci</t>
  </si>
  <si>
    <t>Continues: Plant science letters.</t>
  </si>
  <si>
    <t>18732259</t>
  </si>
  <si>
    <t>01689452</t>
  </si>
  <si>
    <t>Elsevier Ireland</t>
  </si>
  <si>
    <t>Monthly, &lt;2002- &gt;</t>
  </si>
  <si>
    <t>101291431</t>
  </si>
  <si>
    <t>Plant signaling &amp; behavior</t>
  </si>
  <si>
    <t>PLANT SIGNALING &amp; BEHAVIOR</t>
  </si>
  <si>
    <t>Plant Signal Behav</t>
  </si>
  <si>
    <t>15592324</t>
  </si>
  <si>
    <t>15592316</t>
  </si>
  <si>
    <t>9309004</t>
  </si>
  <si>
    <t>Plant, cell &amp; environment</t>
  </si>
  <si>
    <t>PLANT, CELL &amp; ENVIRONMENT</t>
  </si>
  <si>
    <t>Plant Cell Environ</t>
  </si>
  <si>
    <t>13653040</t>
  </si>
  <si>
    <t>01407791</t>
  </si>
  <si>
    <t>1250576</t>
  </si>
  <si>
    <t>Planta</t>
  </si>
  <si>
    <t>PLANTA</t>
  </si>
  <si>
    <t>14322048</t>
  </si>
  <si>
    <t>00320935</t>
  </si>
  <si>
    <t>Springer-Verlag [etc.]</t>
  </si>
  <si>
    <t>0066751</t>
  </si>
  <si>
    <t>Planta medica</t>
  </si>
  <si>
    <t>PLANTA MEDICA</t>
  </si>
  <si>
    <t>Planta Med</t>
  </si>
  <si>
    <t>George Thieme</t>
  </si>
  <si>
    <t>Seventeen no. a year, 2010-</t>
  </si>
  <si>
    <t>7802221</t>
  </si>
  <si>
    <t>PLASMID</t>
  </si>
  <si>
    <t>1306050</t>
  </si>
  <si>
    <t>Plastic and reconstructive surgery</t>
  </si>
  <si>
    <t>PLASTIC AND RECONSTRUCTIVE SURGERY</t>
  </si>
  <si>
    <t>Plast Reconstr Surg</t>
  </si>
  <si>
    <t>Continues: Plastic and reconstructive surgery and the transplantation bulletin.</t>
  </si>
  <si>
    <t>15294242</t>
  </si>
  <si>
    <t>00321052</t>
  </si>
  <si>
    <t>8403490</t>
  </si>
  <si>
    <t>Plastic surgical nursing : official journal of the American Society of Plastic and Reconstructive Surgical Nurses</t>
  </si>
  <si>
    <t>PLASTIC SURGICAL NURSING : OFFICIAL JOURNAL OF THE AMERICAN SOCIETY OF PLASTIC AND RECONSTRUCTIVE SURGICAL NURSES</t>
  </si>
  <si>
    <t>Plast Surg Nurs</t>
  </si>
  <si>
    <t>Continues: Journal of plastic and reconstructive surgical nursing.</t>
  </si>
  <si>
    <t>15501841</t>
  </si>
  <si>
    <t>07415206</t>
  </si>
  <si>
    <t>Plastic Surgical Nursing</t>
  </si>
  <si>
    <t>9208117</t>
  </si>
  <si>
    <t>PLATELETS</t>
  </si>
  <si>
    <t>101183755</t>
  </si>
  <si>
    <t>PLoS biology</t>
  </si>
  <si>
    <t>PLOS BIOLOGY</t>
  </si>
  <si>
    <t>PLoS Biol</t>
  </si>
  <si>
    <t>101238922</t>
  </si>
  <si>
    <t>PLoS computational biology</t>
  </si>
  <si>
    <t>PLOS COMPUTATIONAL BIOLOGY</t>
  </si>
  <si>
    <t>PLoS Comput Biol</t>
  </si>
  <si>
    <t>101239074</t>
  </si>
  <si>
    <t>PLoS genetics</t>
  </si>
  <si>
    <t>PLOS GENETICS</t>
  </si>
  <si>
    <t>PLoS Genet</t>
  </si>
  <si>
    <t>101231360</t>
  </si>
  <si>
    <t>PLoS medicine</t>
  </si>
  <si>
    <t>PLOS MEDICINE</t>
  </si>
  <si>
    <t>PLoS Med</t>
  </si>
  <si>
    <t>101291488</t>
  </si>
  <si>
    <t>PLoS neglected tropical diseases</t>
  </si>
  <si>
    <t>PLOS NEGLECTED TROPICAL DISEASES</t>
  </si>
  <si>
    <t>PLoS Negl Trop Dis</t>
  </si>
  <si>
    <t>101285081</t>
  </si>
  <si>
    <t>PloS one</t>
  </si>
  <si>
    <t>PLOS ONE</t>
  </si>
  <si>
    <t>PLoS One</t>
  </si>
  <si>
    <t>101238921</t>
  </si>
  <si>
    <t>PLoS pathogens</t>
  </si>
  <si>
    <t>PLOS PATHOGENS</t>
  </si>
  <si>
    <t>PLoS Pathog</t>
  </si>
  <si>
    <t>101491319</t>
  </si>
  <si>
    <t>PM &amp; R : the journal of injury, function, and rehabilitation</t>
  </si>
  <si>
    <t>PM &amp; R : THE JOURNAL OF INJURY, FUNCTION, AND REHABILITATION</t>
  </si>
  <si>
    <t>PM R</t>
  </si>
  <si>
    <t>19341563</t>
  </si>
  <si>
    <t>100941067</t>
  </si>
  <si>
    <t>Pneumologia (Bucharest, Romania)</t>
  </si>
  <si>
    <t>PNEUMOLOGIA (BUCHAREST, ROMANIA)</t>
  </si>
  <si>
    <t>Pneumologia</t>
  </si>
  <si>
    <t>Continues: Pneumoftiziologia.</t>
  </si>
  <si>
    <t>20672993</t>
  </si>
  <si>
    <t>Target Pub.</t>
  </si>
  <si>
    <t>8906641</t>
  </si>
  <si>
    <t>Pneumologie (Stuttgart, Germany)</t>
  </si>
  <si>
    <t>PNEUMOLOGIE (STUTTGART, GERMANY)</t>
  </si>
  <si>
    <t>Continues: Praxis und Klinik der Pneumologie.</t>
  </si>
  <si>
    <t>9302892</t>
  </si>
  <si>
    <t>Pneumonologia i alergologia polska</t>
  </si>
  <si>
    <t>PNEUMONOLOGIA I ALERGOLOGIA POLSKA</t>
  </si>
  <si>
    <t>Pneumonol Alergol Pol</t>
  </si>
  <si>
    <t>Continues: Pneumonologia polska.</t>
  </si>
  <si>
    <t>08677077</t>
  </si>
  <si>
    <t>101130969</t>
  </si>
  <si>
    <t>Policy analysis brief. H series / Project Hope, Center for Health Affairs</t>
  </si>
  <si>
    <t>POLICY ANALYSIS BRIEF. H SERIES / PROJECT HOPE, CENTER FOR HEALTH AFFAIRS</t>
  </si>
  <si>
    <t>Policy Anal Brief H Ser</t>
  </si>
  <si>
    <t>Project Hope, Center for Health Affairs</t>
  </si>
  <si>
    <t>101130970</t>
  </si>
  <si>
    <t>Policy analysis brief. W series / Project Hope, Walsh Center for Rural Health Analysis</t>
  </si>
  <si>
    <t>POLICY ANALYSIS BRIEF. W SERIES / PROJECT HOPE, WALSH CENTER FOR RURAL HEALTH ANALYSIS</t>
  </si>
  <si>
    <t>Policy Anal Brief W Ser</t>
  </si>
  <si>
    <t>Project Hope, Walsh Center for Rural Health Analysis</t>
  </si>
  <si>
    <t>101206020</t>
  </si>
  <si>
    <t>Policy brief (Center for Home Care Policy and Research (U.S.))</t>
  </si>
  <si>
    <t>POLICY BRIEF (CENTER FOR HOME CARE POLICY AND RESEARCH (U.S.))</t>
  </si>
  <si>
    <t>Policy Brief (Cent Home Care Policy Res)</t>
  </si>
  <si>
    <t>Continues: Fact sheet (Center for Home Care Policy and Research (U.S.)).</t>
  </si>
  <si>
    <t>Center for Home Care Policy and Research, Visiting Nurse Service of New York</t>
  </si>
  <si>
    <t>101130806</t>
  </si>
  <si>
    <t>Policy brief (Commonwealth Fund)</t>
  </si>
  <si>
    <t>POLICY BRIEF (COMMONWEALTH FUND)</t>
  </si>
  <si>
    <t>Policy Brief Commonw Fund</t>
  </si>
  <si>
    <t>101133097</t>
  </si>
  <si>
    <t>Policy brief (George Washington University. Center for Health Services Research and Policy)</t>
  </si>
  <si>
    <t>POLICY BRIEF (GEORGE WASHINGTON UNIVERSITY. CENTER FOR HEALTH SERVICES RESEARCH AND POLICY)</t>
  </si>
  <si>
    <t>Policy Brief George Wash Univ Cent Health Serv Res Policy</t>
  </si>
  <si>
    <t>100972707</t>
  </si>
  <si>
    <t>Policy brief (UCLA Center for Health Policy Research)</t>
  </si>
  <si>
    <t>POLICY BRIEF (UCLA CENTER FOR HEALTH POLICY RESEARCH)</t>
  </si>
  <si>
    <t>Policy Brief UCLA Cent Health Policy Res</t>
  </si>
  <si>
    <t>100901316</t>
  </si>
  <si>
    <t>Policy, politics &amp; nursing practice</t>
  </si>
  <si>
    <t>POLICY, POLITICS &amp; NURSING PRACTICE</t>
  </si>
  <si>
    <t>Policy Polit Nurs Pract</t>
  </si>
  <si>
    <t>15527468</t>
  </si>
  <si>
    <t>15271544</t>
  </si>
  <si>
    <t>7509477</t>
  </si>
  <si>
    <t>Polimery w medycynie</t>
  </si>
  <si>
    <t>POLIMERY W MEDYCYNIE</t>
  </si>
  <si>
    <t>Polim Med</t>
  </si>
  <si>
    <t>03700747</t>
  </si>
  <si>
    <t>Ars Polona-Ruch</t>
  </si>
  <si>
    <t>101229003</t>
  </si>
  <si>
    <t>Polish journal of microbiology / Polskie Towarzystwo Mikrobiologów = The Polish Society of Microbiologists</t>
  </si>
  <si>
    <t>POLISH JOURNAL OF MICROBIOLOGY / POLSKIE TOWARZYSTWO MIKROBIOLOGOW = THE POLISH SOCIETY OF MICROBIOLOGISTS</t>
  </si>
  <si>
    <t>Pol J Microbiol</t>
  </si>
  <si>
    <t>Continues: Acta microbiologica Polonica.</t>
  </si>
  <si>
    <t>Polskie Towarzystwo Mikrobiologów</t>
  </si>
  <si>
    <t>9437432</t>
  </si>
  <si>
    <t>Polish journal of pathology : official journal of the Polish Society of Pathologists</t>
  </si>
  <si>
    <t>POLISH JOURNAL OF PATHOLOGY : OFFICIAL JOURNAL OF THE POLISH SOCIETY OF PATHOLOGISTS</t>
  </si>
  <si>
    <t>Pol J Pathol</t>
  </si>
  <si>
    <t>Continues: Patologia polska.</t>
  </si>
  <si>
    <t>12339687</t>
  </si>
  <si>
    <t>Polish Society Of Pathologists</t>
  </si>
  <si>
    <t>101125473</t>
  </si>
  <si>
    <t>Polish journal of veterinary sciences</t>
  </si>
  <si>
    <t>POLISH JOURNAL OF VETERINARY SCIENCES</t>
  </si>
  <si>
    <t>Pol J Vet Sci</t>
  </si>
  <si>
    <t>Continues: Archivum veterinarium Polonicum.</t>
  </si>
  <si>
    <t>15051773</t>
  </si>
  <si>
    <t>HARD Pub. Co.</t>
  </si>
  <si>
    <t>Four no. a year 2000-</t>
  </si>
  <si>
    <t>101593867</t>
  </si>
  <si>
    <t>Polish orthopedics &amp; traumatology</t>
  </si>
  <si>
    <t>POLISH ORTHOPEDICS &amp; TRAUMATOLOGY</t>
  </si>
  <si>
    <t>Pol Orthop Traumatol</t>
  </si>
  <si>
    <t>Continues: Chirurgia narzadów ruchu i ortopedia polska.</t>
  </si>
  <si>
    <t>0009479X</t>
  </si>
  <si>
    <t>International Scientific Literature</t>
  </si>
  <si>
    <t>Orthodontics#Traumatology</t>
  </si>
  <si>
    <t>8800535</t>
  </si>
  <si>
    <t>Politics and the life sciences : the journal of the Association for Politics and the Life Sciences</t>
  </si>
  <si>
    <t>POLITICS AND THE LIFE SCIENCES : THE JOURNAL OF THE ASSOCIATION FOR POLITICS AND THE LIFE SCIENCES</t>
  </si>
  <si>
    <t>Politics Life Sci</t>
  </si>
  <si>
    <t>14715457</t>
  </si>
  <si>
    <t>07309384</t>
  </si>
  <si>
    <t>Association for Politics and the Life Sciences</t>
  </si>
  <si>
    <t>Ethics#Science</t>
  </si>
  <si>
    <t>9705469</t>
  </si>
  <si>
    <t>Polski merkuriusz lekarski : organ Polskiego Towarzystwa Lekarskiego</t>
  </si>
  <si>
    <t>POLSKI MERKURIUSZ LEKARSKI : ORGAN POLSKIEGO TOWARZYSTWA LEKARSKIEGO</t>
  </si>
  <si>
    <t>Pol Merkur Lekarski</t>
  </si>
  <si>
    <t>Continues: Polski tygodnik lekarski (Warsaw, Poland : 1960).</t>
  </si>
  <si>
    <t>14269686</t>
  </si>
  <si>
    <t>MEDPRESS</t>
  </si>
  <si>
    <t>0376426</t>
  </si>
  <si>
    <t>Polski przeglad chirurgiczny</t>
  </si>
  <si>
    <t>POLSKI PRZEGLAD CHIRURGICZNY</t>
  </si>
  <si>
    <t>Pol Przegl Chir</t>
  </si>
  <si>
    <t>0032373X</t>
  </si>
  <si>
    <t>Fundacja Polski Przegląd Chirurgiczny</t>
  </si>
  <si>
    <t>0401225</t>
  </si>
  <si>
    <t>Polskie Archiwum Medycyny Wewnętrznej</t>
  </si>
  <si>
    <t>POLSKIE ARCHIWUM MEDYCYNY WEWNETRZNEJ</t>
  </si>
  <si>
    <t>Pol Arch Med Wewn</t>
  </si>
  <si>
    <t>101481266</t>
  </si>
  <si>
    <t>Population health management</t>
  </si>
  <si>
    <t>POPULATION HEALTH MANAGEMENT</t>
  </si>
  <si>
    <t>Popul Health Manag</t>
  </si>
  <si>
    <t>Continues: Disease management.</t>
  </si>
  <si>
    <t>7501604</t>
  </si>
  <si>
    <t>Population reports. Series A, Oral contraceptives</t>
  </si>
  <si>
    <t>POPULATION REPORTS. SERIES A, ORAL CONTRACEPTIVES</t>
  </si>
  <si>
    <t>Popul Rep A</t>
  </si>
  <si>
    <t>00979074</t>
  </si>
  <si>
    <t>Population Information Program, Johns Hopkins University</t>
  </si>
  <si>
    <t>0410014</t>
  </si>
  <si>
    <t>Population reports. Series B, Intrauterine devices</t>
  </si>
  <si>
    <t>POPULATION REPORTS. SERIES B, INTRAUTERINE DEVICES</t>
  </si>
  <si>
    <t>Popul Rep B</t>
  </si>
  <si>
    <t>00929344</t>
  </si>
  <si>
    <t>0377050</t>
  </si>
  <si>
    <t>Population reports. Series J, Family planning programs</t>
  </si>
  <si>
    <t>POPULATION REPORTS. SERIES J, FAMILY PLANNING PROGRAMS</t>
  </si>
  <si>
    <t>Popul Rep J</t>
  </si>
  <si>
    <t>0091925X</t>
  </si>
  <si>
    <t>7903810</t>
  </si>
  <si>
    <t>Population reports. Series L, Issues in world health</t>
  </si>
  <si>
    <t>POPULATION REPORTS. SERIES L, ISSUES IN WORLD HEALTH</t>
  </si>
  <si>
    <t>Popul Rep L</t>
  </si>
  <si>
    <t>01975838</t>
  </si>
  <si>
    <t>Population Information Program, Johns Hopkins Univ.</t>
  </si>
  <si>
    <t>Quarterly, &lt;2002-&gt;</t>
  </si>
  <si>
    <t>8204224</t>
  </si>
  <si>
    <t>Population reports. Series M, Special topics</t>
  </si>
  <si>
    <t>POPULATION REPORTS. SERIES M, SPECIAL TOPICS</t>
  </si>
  <si>
    <t>Popul Rep M</t>
  </si>
  <si>
    <t>Continues: Population reports (Washington, D.C.). Series M, Special topic monographs.</t>
  </si>
  <si>
    <t>07339135</t>
  </si>
  <si>
    <t>Quarterly, &lt;2000-&gt;</t>
  </si>
  <si>
    <t>0376427</t>
  </si>
  <si>
    <t>Population studies</t>
  </si>
  <si>
    <t>POPULATION STUDIES</t>
  </si>
  <si>
    <t>Popul Stud (Camb)</t>
  </si>
  <si>
    <t>14774747</t>
  </si>
  <si>
    <t>00324728</t>
  </si>
  <si>
    <t>Three no. a year, July 1951-</t>
  </si>
  <si>
    <t>9413754</t>
  </si>
  <si>
    <t>Positively aware : the monthly journal of the Test Positive Aware Network</t>
  </si>
  <si>
    <t>POSITIVELY AWARE : THE MONTHLY JOURNAL OF THE TEST POSITIVE AWARE NETWORK</t>
  </si>
  <si>
    <t>Posit Aware</t>
  </si>
  <si>
    <t>Continues: TPA news (Chicago, Ill. : 1989).</t>
  </si>
  <si>
    <t>15232883</t>
  </si>
  <si>
    <t>The Network</t>
  </si>
  <si>
    <t>Bimonthly, &lt;1998-&gt;</t>
  </si>
  <si>
    <t>101626590</t>
  </si>
  <si>
    <t>Post reproductive health</t>
  </si>
  <si>
    <t>POST REPRODUCTIVE HEALTH</t>
  </si>
  <si>
    <t>Post Reprod Health</t>
  </si>
  <si>
    <t>Continued by: Menopause international.</t>
  </si>
  <si>
    <t>20533705</t>
  </si>
  <si>
    <t>20533691</t>
  </si>
  <si>
    <t>0023525</t>
  </si>
  <si>
    <t>Postepy biochemii</t>
  </si>
  <si>
    <t>POSTEPY BIOCHEMII</t>
  </si>
  <si>
    <t>Postepy Biochem</t>
  </si>
  <si>
    <t>00325422</t>
  </si>
  <si>
    <t>101206517</t>
  </si>
  <si>
    <t>Postȩpy higieny i medycyny doświadczalnej (Online)</t>
  </si>
  <si>
    <t>POSTEPY HIGIENY I MEDYCYNY DOSWIADCZALNEJ (ONLINE)</t>
  </si>
  <si>
    <t>Postepy Hig Med Dosw (Online)</t>
  </si>
  <si>
    <t>Continues: Postȩpy higieny i medycyny doświadczalnej.</t>
  </si>
  <si>
    <t>17322693</t>
  </si>
  <si>
    <t>00325449</t>
  </si>
  <si>
    <t>Allergy and Immunology#Medicine#Public Health</t>
  </si>
  <si>
    <t>0234135</t>
  </si>
  <si>
    <t>Postgraduate medical journal</t>
  </si>
  <si>
    <t>POSTGRADUATE MEDICAL JOURNAL</t>
  </si>
  <si>
    <t>Postgrad Med J</t>
  </si>
  <si>
    <t>Supersedes: Bulletin of the Fellowship of Medicine and Post-Graduate Medical Association.</t>
  </si>
  <si>
    <t>0401147</t>
  </si>
  <si>
    <t>Postgraduate medicine</t>
  </si>
  <si>
    <t>POSTGRADUATE MEDICINE</t>
  </si>
  <si>
    <t>Postgrad Med</t>
  </si>
  <si>
    <t>Vols. for &lt;May 15, 2000-&gt; include: e.MD, which was formerly published separately, and is now a separately paged insert in some issues. Absorbed: Proceedings of the International Assembly of the Inter-state Post-graduate Medical Association of North America. Absorbed: e.MD.</t>
  </si>
  <si>
    <t>Eight issues a year, 2014-</t>
  </si>
  <si>
    <t>0401150</t>
  </si>
  <si>
    <t>Poultry science</t>
  </si>
  <si>
    <t>POULTRY SCIENCE</t>
  </si>
  <si>
    <t>Poult Sci</t>
  </si>
  <si>
    <t>Continues: Journal of the American Association of Instructors and Investigators in Poultry Husbandry.</t>
  </si>
  <si>
    <t>15253171</t>
  </si>
  <si>
    <t>00325791</t>
  </si>
  <si>
    <t>101130961</t>
  </si>
  <si>
    <t>Practical neurology</t>
  </si>
  <si>
    <t>PRACTICAL NEUROLOGY</t>
  </si>
  <si>
    <t>Pract Neurol</t>
  </si>
  <si>
    <t>14747766</t>
  </si>
  <si>
    <t>14747758</t>
  </si>
  <si>
    <t>9814758</t>
  </si>
  <si>
    <t>The practising midwife</t>
  </si>
  <si>
    <t>PRACTISING MIDWIFE</t>
  </si>
  <si>
    <t>Pract Midwife</t>
  </si>
  <si>
    <t>Continues: Modern midwife.</t>
  </si>
  <si>
    <t>14613123</t>
  </si>
  <si>
    <t>Hochland &amp; Hochland</t>
  </si>
  <si>
    <t>0404245</t>
  </si>
  <si>
    <t>The Practitioner</t>
  </si>
  <si>
    <t>PRACTITIONER</t>
  </si>
  <si>
    <t>Practitioner</t>
  </si>
  <si>
    <t>00326518</t>
  </si>
  <si>
    <t>Practitioner Medical Pub.</t>
  </si>
  <si>
    <t>1868</t>
  </si>
  <si>
    <t>101227436</t>
  </si>
  <si>
    <t>Prague medical report</t>
  </si>
  <si>
    <t>PRAGUE MEDICAL REPORT</t>
  </si>
  <si>
    <t>Prague Med Rep</t>
  </si>
  <si>
    <t>Continues: Sbornik lékarský.</t>
  </si>
  <si>
    <t>12146994</t>
  </si>
  <si>
    <t>Universitas Carolina Pragensis</t>
  </si>
  <si>
    <t>19730190R</t>
  </si>
  <si>
    <t>The Prairie rose</t>
  </si>
  <si>
    <t>PRAIRIE ROSE</t>
  </si>
  <si>
    <t>Prairie Rose</t>
  </si>
  <si>
    <t>00326666</t>
  </si>
  <si>
    <t>North Dakota State Nurses Association</t>
  </si>
  <si>
    <t>101468093</t>
  </si>
  <si>
    <t>PRAXIS</t>
  </si>
  <si>
    <t>Praxis (Bern 1994)</t>
  </si>
  <si>
    <t>Continues: Schweizerische Rundschau für Medizin Praxis.</t>
  </si>
  <si>
    <t>0404246</t>
  </si>
  <si>
    <t>Praxis der Kinderpsychologie und Kinderpsychiatrie</t>
  </si>
  <si>
    <t>PRAXIS DER KINDERPSYCHOLOGIE UND KINDERPSYCHIATRIE</t>
  </si>
  <si>
    <t>Prax Kinderpsychol Kinderpsychiatr</t>
  </si>
  <si>
    <t>00327034</t>
  </si>
  <si>
    <t>Verlag Fur Medizinische Psychologie</t>
  </si>
  <si>
    <t>8918173</t>
  </si>
  <si>
    <t>Prehospital and disaster medicine</t>
  </si>
  <si>
    <t>PREHOSPITAL AND DISASTER MEDICINE</t>
  </si>
  <si>
    <t>Prehosp Disaster Med</t>
  </si>
  <si>
    <t>Formed by the union of: Journal of the World Association for Emergency and Disaster Medicine, and: Journal of prehospital medicine.</t>
  </si>
  <si>
    <t>19451938</t>
  </si>
  <si>
    <t>1049023X</t>
  </si>
  <si>
    <t>Disaster Medicine#Emergency Medicine</t>
  </si>
  <si>
    <t>9703530</t>
  </si>
  <si>
    <t>Prehospital emergency care : official journal of the National Association of EMS Physicians and the National Association of State EMS Directors</t>
  </si>
  <si>
    <t>PREHOSPITAL EMERGENCY CARE : OFFICIAL JOURNAL OF THE NATIONAL ASSOCIATION OF EMS PHYSICIANS AND THE NATIONAL ASSOCIATION OF STATE EMS DIRECTORS</t>
  </si>
  <si>
    <t>Prehosp Emerg Care</t>
  </si>
  <si>
    <t>15450066</t>
  </si>
  <si>
    <t>10903127</t>
  </si>
  <si>
    <t>8106540</t>
  </si>
  <si>
    <t>Prenatal diagnosis</t>
  </si>
  <si>
    <t>PRENATAL DIAGNOSIS</t>
  </si>
  <si>
    <t>Prenat Diagn</t>
  </si>
  <si>
    <t>9607037</t>
  </si>
  <si>
    <t>Preparative biochemistry &amp; biotechnology</t>
  </si>
  <si>
    <t>PREPARATIVE BIOCHEMISTRY &amp; BIOTECHNOLOGY</t>
  </si>
  <si>
    <t>Prep Biochem Biotechnol</t>
  </si>
  <si>
    <t>Continues: Preparative biochemistry.</t>
  </si>
  <si>
    <t>15322297</t>
  </si>
  <si>
    <t>10826068</t>
  </si>
  <si>
    <t>9439295</t>
  </si>
  <si>
    <t>Prescrire international</t>
  </si>
  <si>
    <t>PRESCRIRE INTERNATIONAL</t>
  </si>
  <si>
    <t>Prescrire Int</t>
  </si>
  <si>
    <t>6 no. a year 1994-</t>
  </si>
  <si>
    <t>8302490</t>
  </si>
  <si>
    <t>Presse médicale (Paris, France : 1983)</t>
  </si>
  <si>
    <t>PRESSE MEDICALE (PARIS, FRANCE : 1983)</t>
  </si>
  <si>
    <t>Presse Med</t>
  </si>
  <si>
    <t>Absorbed: Annales de médecine interne. 2004 Continues: Nouvelle presse médicale.</t>
  </si>
  <si>
    <t>Twelve no. a year, 2006?-</t>
  </si>
  <si>
    <t>101205018</t>
  </si>
  <si>
    <t>Preventing chronic disease</t>
  </si>
  <si>
    <t>PREVENTING CHRONIC DISEASE</t>
  </si>
  <si>
    <t>Prev Chronic Dis</t>
  </si>
  <si>
    <t>15451151</t>
  </si>
  <si>
    <t>U.S. Dept. of Health and Human Services, Centers for Disease Control and Prevention, National Center for Chronic Disease Prevention and Health Promotion</t>
  </si>
  <si>
    <t>100894724</t>
  </si>
  <si>
    <t>Prevention science : the official journal of the Society for Prevention Research</t>
  </si>
  <si>
    <t>PREVENTION SCIENCE : THE OFFICIAL JOURNAL OF THE SOCIETY FOR PREVENTION RESEARCH</t>
  </si>
  <si>
    <t>Prev Sci</t>
  </si>
  <si>
    <t>15736695</t>
  </si>
  <si>
    <t>13894986</t>
  </si>
  <si>
    <t>0322116</t>
  </si>
  <si>
    <t>Preventive medicine</t>
  </si>
  <si>
    <t>PREVENTIVE MEDICINE</t>
  </si>
  <si>
    <t>Prev Med</t>
  </si>
  <si>
    <t>8217463</t>
  </si>
  <si>
    <t>Preventive veterinary medicine</t>
  </si>
  <si>
    <t>PREVENTIVE VETERINARY MEDICINE</t>
  </si>
  <si>
    <t>Prev Vet Med</t>
  </si>
  <si>
    <t>18731716</t>
  </si>
  <si>
    <t>01675877</t>
  </si>
  <si>
    <t>Twenty no. a year</t>
  </si>
  <si>
    <t>0023416</t>
  </si>
  <si>
    <t>Prikladnaia biokhimiia i mikrobiologiia</t>
  </si>
  <si>
    <t>PRIKLADNAIA BIOKHIMIIA I MIKROBIOLOGIIA</t>
  </si>
  <si>
    <t>Prikl Biokhim Mikrobiol</t>
  </si>
  <si>
    <t>05551099</t>
  </si>
  <si>
    <t>Biochemistry#Microbiology</t>
  </si>
  <si>
    <t>101189513</t>
  </si>
  <si>
    <t>Prilozi / Makedonska akademija na naukite i umetnostite, Oddelenie za biološki i medicinski nauki = Contributions / Macedonian Academy of Sciences and Arts, Section of Biological and Medical Sciences</t>
  </si>
  <si>
    <t>PRILOZI / MAKEDONSKA AKADEMIJA NA NAUKITE I UMETNOSTITE, ODDELENIE ZA BIOLOSKI I MEDICINSKI NAUKI = CONTRIBUTIONS / MACEDONIAN ACADEMY OF SCIENCES AND ARTS, SECTION OF BIOLOGICAL AND MEDICAL SCIENCES</t>
  </si>
  <si>
    <t>Prilozi</t>
  </si>
  <si>
    <t>03513254</t>
  </si>
  <si>
    <t>Makedonska akademija na naukite i umetnostite, Oddelenie za biološki i medicinski nauki</t>
  </si>
  <si>
    <t>Macedonia</t>
  </si>
  <si>
    <t>0430463</t>
  </si>
  <si>
    <t>Primary care</t>
  </si>
  <si>
    <t>PRIMARY CARE</t>
  </si>
  <si>
    <t>Prim Care</t>
  </si>
  <si>
    <t>101463825</t>
  </si>
  <si>
    <t>Primary care diabetes</t>
  </si>
  <si>
    <t>PRIMARY CARE DIABETES</t>
  </si>
  <si>
    <t>Prim Care Diabetes</t>
  </si>
  <si>
    <t>4 issues a year</t>
  </si>
  <si>
    <t>Endocrinology#Primary Health Care</t>
  </si>
  <si>
    <t>20uu</t>
  </si>
  <si>
    <t>101121543</t>
  </si>
  <si>
    <t>Primary care respiratory journal : journal of the General Practice Airways Group</t>
  </si>
  <si>
    <t>PRIMARY CARE RESPIRATORY JOURNAL : JOURNAL OF THE GENERAL PRACTICE AIRWAYS GROUP</t>
  </si>
  <si>
    <t>Prim Care Respir J</t>
  </si>
  <si>
    <t>Continues: Asthma in general practice.</t>
  </si>
  <si>
    <t>Quarterly 2008-</t>
  </si>
  <si>
    <t>Primary Health Care#Pulmonary Medicine</t>
  </si>
  <si>
    <t>101603877</t>
  </si>
  <si>
    <t>Primary dental journal</t>
  </si>
  <si>
    <t>PRIMARY DENTAL JOURNAL</t>
  </si>
  <si>
    <t>Prim Dent J</t>
  </si>
  <si>
    <t>Merger of: Team in practice, and First-hand and: Primary dental care.</t>
  </si>
  <si>
    <t>20501684</t>
  </si>
  <si>
    <t>FGDP</t>
  </si>
  <si>
    <t>100897390</t>
  </si>
  <si>
    <t>Primary health care research &amp; development</t>
  </si>
  <si>
    <t>PRIMARY HEALTH CARE RESEARCH &amp; DEVELOPMENT</t>
  </si>
  <si>
    <t>Prim Health Care Res Dev</t>
  </si>
  <si>
    <t>14771128</t>
  </si>
  <si>
    <t>14634236</t>
  </si>
  <si>
    <t>Health Services Research#Primary Health Care</t>
  </si>
  <si>
    <t>0401152</t>
  </si>
  <si>
    <t>Primates; journal of primatology</t>
  </si>
  <si>
    <t>PRIMATES; JOURNAL OF PRIMATOLOGY</t>
  </si>
  <si>
    <t>Primates</t>
  </si>
  <si>
    <t>16107365</t>
  </si>
  <si>
    <t>00328332</t>
  </si>
  <si>
    <t>101472305</t>
  </si>
  <si>
    <t>PRION</t>
  </si>
  <si>
    <t>7703299</t>
  </si>
  <si>
    <t>Problemi na khigienata</t>
  </si>
  <si>
    <t>PROBLEMI NA KHIGIENATA</t>
  </si>
  <si>
    <t>Probl Khig</t>
  </si>
  <si>
    <t>03239179</t>
  </si>
  <si>
    <t>Izdaca natsionalniiat tsentur po khigiena, meditsinska ekologiia i khranene</t>
  </si>
  <si>
    <t>Three no. a year, &lt;2000-&gt;</t>
  </si>
  <si>
    <t>101270373</t>
  </si>
  <si>
    <t>Problemy sot͡sialʹnoĭ gigieny, zdravookhranenii͡a i istorii medit͡siny / NII sot͡sialʹnoĭ gigieny, ėkonomiki i upravlenii͡a zdravookhraneniem im. N.A. Semashko RAMN ; AO "Assot͡siat͡sii͡a 'Medit͡sinskai͡a literatura'."</t>
  </si>
  <si>
    <t>PROBLEMY SOTSIALNOI GIGIENY, ZDRAVOOKHRANENIIA I ISTORII MEDITSINY / NII SOTSIALNOI GIGIENY, EKONOMIKI I UPRAVLENIIA ZDRAVOOKHRANENIEM IM. N.A. SEMASHKO RAMN ; AO "ASSOTSIATSIIA 'MEDITSINSKAIA LITERATURA'."</t>
  </si>
  <si>
    <t>Probl Sotsialnoi Gig Zdravookhranenniiai Istor Med</t>
  </si>
  <si>
    <t>Continues: Problemy sot͡sialʹnoĭ gigieny i istorii͡a medit͡siny.</t>
  </si>
  <si>
    <t>0869866X</t>
  </si>
  <si>
    <t>Medit͡sina</t>
  </si>
  <si>
    <t>7507374</t>
  </si>
  <si>
    <t>Proceedings of the American Philosophical Society</t>
  </si>
  <si>
    <t>PROCEEDINGS OF THE AMERICAN PHILOSOPHICAL SOCIETY</t>
  </si>
  <si>
    <t>Proc Am Philos Soc</t>
  </si>
  <si>
    <t>0003049X</t>
  </si>
  <si>
    <t>American Philosophical Society</t>
  </si>
  <si>
    <t>Ethics#History of Medicine</t>
  </si>
  <si>
    <t>1838</t>
  </si>
  <si>
    <t>8908934</t>
  </si>
  <si>
    <t>Proceedings of the Institution of Mechanical Engineers. Part H, Journal of engineering in medicine</t>
  </si>
  <si>
    <t>PROCEEDINGS OF THE INSTITUTION OF MECHANICAL ENGINEERS. PART H, JOURNAL OF ENGINEERING IN MEDICINE</t>
  </si>
  <si>
    <t>Proc Inst Mech Eng H</t>
  </si>
  <si>
    <t>Continues: Engineering in medicine (Institution of Mechanical Engineers (Great Britain)).</t>
  </si>
  <si>
    <t>20413033</t>
  </si>
  <si>
    <t>09544119</t>
  </si>
  <si>
    <t>9318162</t>
  </si>
  <si>
    <t>Proceedings of the Japan Academy. Series B, Physical and biological sciences</t>
  </si>
  <si>
    <t>PROCEEDINGS OF THE JAPAN ACADEMY. SERIES B, PHYSICAL AND BIOLOGICAL SCIENCES</t>
  </si>
  <si>
    <t>Proc Jpn Acad Ser B Phys Biol Sci</t>
  </si>
  <si>
    <t>Continues in part: Proceedings of the Japan Academy.</t>
  </si>
  <si>
    <t>13492896</t>
  </si>
  <si>
    <t>03862208</t>
  </si>
  <si>
    <t>Japan Academy</t>
  </si>
  <si>
    <t>7505876</t>
  </si>
  <si>
    <t>PROCEEDINGS OF THE NATIONAL ACADEMY OF SCIENCES OF THE UNITED STATES OF AMERICA</t>
  </si>
  <si>
    <t>Proc Natl Acad Sci U S A</t>
  </si>
  <si>
    <t>Weekly, 2004-</t>
  </si>
  <si>
    <t>7505881</t>
  </si>
  <si>
    <t>The Proceedings of the Nutrition Society</t>
  </si>
  <si>
    <t>PROCEEDINGS OF THE NUTRITION SOCIETY</t>
  </si>
  <si>
    <t>Proc Nutr Soc</t>
  </si>
  <si>
    <t>4 no. a year, 1998-</t>
  </si>
  <si>
    <t>7505899</t>
  </si>
  <si>
    <t>PROCEEDINGS OF THE WESTERN PHARMACOLOGY SOCIETY</t>
  </si>
  <si>
    <t>Proc West Pharmacol Soc</t>
  </si>
  <si>
    <t>Western Pharmacological Society</t>
  </si>
  <si>
    <t>101245157</t>
  </si>
  <si>
    <t>Proceedings. Biological sciences / The Royal Society</t>
  </si>
  <si>
    <t>PROCEEDINGS. BIOLOGICAL SCIENCES / THE ROYAL SOCIETY</t>
  </si>
  <si>
    <t>Proc Biol Sci</t>
  </si>
  <si>
    <t>Continues: Proceedings of the Royal Society of London. Series B, Biological sciences. Royal Society (Great Britain). Superseded by: Biology letters. 2005-</t>
  </si>
  <si>
    <t>14712954</t>
  </si>
  <si>
    <t>09628452</t>
  </si>
  <si>
    <t>Twice monthly, 1998-</t>
  </si>
  <si>
    <t>101291585</t>
  </si>
  <si>
    <t>Professional case management</t>
  </si>
  <si>
    <t>PROFESSIONAL CASE MANAGEMENT</t>
  </si>
  <si>
    <t>Prof Case Manag</t>
  </si>
  <si>
    <t>Continues: Lippincott's case management.</t>
  </si>
  <si>
    <t>19328095</t>
  </si>
  <si>
    <t>19328087</t>
  </si>
  <si>
    <t>0244135</t>
  </si>
  <si>
    <t>Professioni infermieristiche</t>
  </si>
  <si>
    <t>PROFESSIONI INFERMIERISTICHE</t>
  </si>
  <si>
    <t>Prof Inferm</t>
  </si>
  <si>
    <t>Continues the Bollettino d'informazioni of the Consociazione nazionale infermiere professionali e assistenti sanitarie visitatrici.</t>
  </si>
  <si>
    <t>00330205</t>
  </si>
  <si>
    <t>Pensiero Scientifico</t>
  </si>
  <si>
    <t>101279978</t>
  </si>
  <si>
    <t>Profiles in healthcare communications</t>
  </si>
  <si>
    <t>PROFILES IN HEALTHCARE COMMUNICATIONS</t>
  </si>
  <si>
    <t>Profiles Healthc Commun</t>
  </si>
  <si>
    <t>Continues: Profiles in healthcare marketing.</t>
  </si>
  <si>
    <t>19319592</t>
  </si>
  <si>
    <t>HCPro</t>
  </si>
  <si>
    <t>101197857</t>
  </si>
  <si>
    <t>Profiles of drug substances, excipients, and related methodology</t>
  </si>
  <si>
    <t>PROFILES OF DRUG SUBSTANCES, EXCIPIENTS, AND RELATED METHODOLOGY</t>
  </si>
  <si>
    <t>Profiles Drug Subst Excip Relat Methodol</t>
  </si>
  <si>
    <t>Continues: Analytical profiles of drug substances and excipients.</t>
  </si>
  <si>
    <t>Elsevier Academic Press</t>
  </si>
  <si>
    <t>Chemistry Techniques, Analytical#Pharmacology#Pharmacy</t>
  </si>
  <si>
    <t>9307844</t>
  </si>
  <si>
    <t>Progrès en urologie : journal de l'Association française d'urologie et de la Société française d'urologie</t>
  </si>
  <si>
    <t>PROGRES EN UROLOGIE : JOURNAL DE L'ASSOCIATION FRANCAISE D'UROLOGIE ET DE LA SOCIETE FRANCAISE D'UROLOGIE</t>
  </si>
  <si>
    <t>Prog Urol</t>
  </si>
  <si>
    <t>11667087</t>
  </si>
  <si>
    <t>Progrès en urologie, S.A.R.L</t>
  </si>
  <si>
    <t>0401233</t>
  </si>
  <si>
    <t>Progress in biophysics and molecular biology</t>
  </si>
  <si>
    <t>PROGRESS IN BIOPHYSICS AND MOLECULAR BIOLOGY</t>
  </si>
  <si>
    <t>Prog Biophys Mol Biol</t>
  </si>
  <si>
    <t>Continues Progress in biophysics and biophysical chemistry.</t>
  </si>
  <si>
    <t>18731732</t>
  </si>
  <si>
    <t>00796107</t>
  </si>
  <si>
    <t>Nine no. a year 2001-</t>
  </si>
  <si>
    <t>Biophysics#Molecular Biology</t>
  </si>
  <si>
    <t>0376441</t>
  </si>
  <si>
    <t>Progress in brain research</t>
  </si>
  <si>
    <t>PROGRESS IN BRAIN RESEARCH</t>
  </si>
  <si>
    <t>Prog Brain Res</t>
  </si>
  <si>
    <t>0376442</t>
  </si>
  <si>
    <t>Progress in cardiovascular diseases</t>
  </si>
  <si>
    <t>PROGRESS IN CARDIOVASCULAR DISEASES</t>
  </si>
  <si>
    <t>Prog Cardiovasc Dis</t>
  </si>
  <si>
    <t>W.B. Saunders Co. [etc.]</t>
  </si>
  <si>
    <t>101273946</t>
  </si>
  <si>
    <t>Progress in community health partnerships : research, education, and action</t>
  </si>
  <si>
    <t>PROGRESS IN COMMUNITY HEALTH PARTNERSHIPS : RESEARCH, EDUCATION, AND ACTION</t>
  </si>
  <si>
    <t>Prog Community Health Partnersh</t>
  </si>
  <si>
    <t>1557055X</t>
  </si>
  <si>
    <t>15570541</t>
  </si>
  <si>
    <t>1304021</t>
  </si>
  <si>
    <t>Progress in drug research. Fortschritte der Arzneimittelforschung. Progrès des recherches pharmaceutiques</t>
  </si>
  <si>
    <t>PROGRESS IN DRUG RESEARCH. FORTSCHRITTE DER ARZNEIMITTELFORSCHUNG. PROGRES DES RECHERCHES PHARMACEUTIQUES</t>
  </si>
  <si>
    <t>Prog Drug Res</t>
  </si>
  <si>
    <t>Continues: Fortschritte der Arzneimittelforschung.</t>
  </si>
  <si>
    <t>Birkhäuser Verlag.</t>
  </si>
  <si>
    <t>Two no. a year, 1991-</t>
  </si>
  <si>
    <t>0376446</t>
  </si>
  <si>
    <t>Progress in experimental tumor research</t>
  </si>
  <si>
    <t>PROGRESS IN EXPERIMENTAL TUMOR RESEARCH</t>
  </si>
  <si>
    <t>Prog Exp Tumor Res</t>
  </si>
  <si>
    <t>16623916</t>
  </si>
  <si>
    <t>00796263</t>
  </si>
  <si>
    <t>0253725</t>
  </si>
  <si>
    <t>Progress in histochemistry and cytochemistry</t>
  </si>
  <si>
    <t>PROGRESS IN HISTOCHEMISTRY AND CYTOCHEMISTRY</t>
  </si>
  <si>
    <t>Prog Histochem Cytochem</t>
  </si>
  <si>
    <t>7900832</t>
  </si>
  <si>
    <t>Progress in lipid research</t>
  </si>
  <si>
    <t>PROGRESS IN LIPID RESEARCH</t>
  </si>
  <si>
    <t>Prog Lipid Res</t>
  </si>
  <si>
    <t>Continues Progress in the chemistry of fats and other lipids.</t>
  </si>
  <si>
    <t>Four no. a year, 2010-</t>
  </si>
  <si>
    <t>0376452</t>
  </si>
  <si>
    <t>Progress in medicinal chemistry</t>
  </si>
  <si>
    <t>PROGRESS IN MEDICINAL CHEMISTRY</t>
  </si>
  <si>
    <t>Prog Med Chem</t>
  </si>
  <si>
    <t>Chemistry#Drug Therapy#Pharmacology</t>
  </si>
  <si>
    <t>0233223</t>
  </si>
  <si>
    <t>Progress in molecular and subcellular biology</t>
  </si>
  <si>
    <t>PROGRESS IN MOLECULAR AND SUBCELLULAR BIOLOGY</t>
  </si>
  <si>
    <t>Prog Mol Subcell Biol</t>
  </si>
  <si>
    <t>00796484</t>
  </si>
  <si>
    <t>101498165</t>
  </si>
  <si>
    <t>Progress in molecular biology and translational science</t>
  </si>
  <si>
    <t>PROGRESS IN MOLECULAR BIOLOGY AND TRANSLATIONAL SCIENCE</t>
  </si>
  <si>
    <t>Prog Mol Biol Transl Sci</t>
  </si>
  <si>
    <t>Continues: Progress in nucleic acid research and molecular biology.</t>
  </si>
  <si>
    <t>18780814</t>
  </si>
  <si>
    <t>Elsevier/AP</t>
  </si>
  <si>
    <t>0370121</t>
  </si>
  <si>
    <t>Progress in neurobiology</t>
  </si>
  <si>
    <t>PROGRESS IN NEUROBIOLOGY</t>
  </si>
  <si>
    <t>Prog Neurobiol</t>
  </si>
  <si>
    <t>0076033</t>
  </si>
  <si>
    <t>Progress in neurological surgery</t>
  </si>
  <si>
    <t>PROGRESS IN NEUROLOGICAL SURGERY</t>
  </si>
  <si>
    <t>Prog Neurol Surg</t>
  </si>
  <si>
    <t>16623924</t>
  </si>
  <si>
    <t>00796492</t>
  </si>
  <si>
    <t>Irrregular</t>
  </si>
  <si>
    <t>8211617</t>
  </si>
  <si>
    <t>Progress in neuro-psychopharmacology &amp; biological psychiatry</t>
  </si>
  <si>
    <t>PROGRESS IN NEURO-PSYCHOPHARMACOLOGY &amp; BIOLOGICAL PSYCHIATRY</t>
  </si>
  <si>
    <t>Prog Neuropsychopharmacol Biol Psychiatry</t>
  </si>
  <si>
    <t>Continues: Progress in neuro-psychopharmacology.</t>
  </si>
  <si>
    <t>9886009</t>
  </si>
  <si>
    <t>Progress in nuclear magnetic resonance spectroscopy</t>
  </si>
  <si>
    <t>PROGRESS IN NUCLEAR MAGNETIC RESONANCE SPECTROSCOPY</t>
  </si>
  <si>
    <t>Prog Nucl Magn Reson Spectrosc</t>
  </si>
  <si>
    <t>18733301</t>
  </si>
  <si>
    <t>00796565</t>
  </si>
  <si>
    <t>Eight no. a year, 1996-</t>
  </si>
  <si>
    <t>100936353</t>
  </si>
  <si>
    <t>Progress in orthodontics</t>
  </si>
  <si>
    <t>PROGRESS IN ORTHODONTICS</t>
  </si>
  <si>
    <t>Prog Orthod</t>
  </si>
  <si>
    <t>Semiannual, 2004-</t>
  </si>
  <si>
    <t>9431859</t>
  </si>
  <si>
    <t>Progress in retinal and eye research</t>
  </si>
  <si>
    <t>PROGRESS IN RETINAL AND EYE RESEARCH</t>
  </si>
  <si>
    <t>Prog Retin Eye Res</t>
  </si>
  <si>
    <t>Continues: Progress in retinal research.</t>
  </si>
  <si>
    <t>101605200</t>
  </si>
  <si>
    <t>Progress in the chemistry of organic natural products</t>
  </si>
  <si>
    <t>PROGRESS IN THE CHEMISTRY OF ORGANIC NATURAL PRODUCTS</t>
  </si>
  <si>
    <t>Prog Chem Org Nat Prod</t>
  </si>
  <si>
    <t>Continues: Fortschritte der Chemie organischer Naturstoffe.</t>
  </si>
  <si>
    <t>21917043</t>
  </si>
  <si>
    <t>00717886</t>
  </si>
  <si>
    <t>100909380</t>
  </si>
  <si>
    <t>Progress in transplantation (Aliso Viejo, Calif.)</t>
  </si>
  <si>
    <t>PROGRESS IN TRANSPLANTATION (ALISO VIEJO, CALIF.)</t>
  </si>
  <si>
    <t>Prog Transplant</t>
  </si>
  <si>
    <t>Continues: Journal of transplant coordination.</t>
  </si>
  <si>
    <t>15269248</t>
  </si>
  <si>
    <t>Published for NATCO by InnoVision Communications, Inc</t>
  </si>
  <si>
    <t>Nursing#Transplantation</t>
  </si>
  <si>
    <t>100965794</t>
  </si>
  <si>
    <t>Project Inform perspective</t>
  </si>
  <si>
    <t>PROJECT INFORM PERSPECTIVE</t>
  </si>
  <si>
    <t>Proj Inf Perspect</t>
  </si>
  <si>
    <t>Continues: PI perspective.</t>
  </si>
  <si>
    <t>10587454</t>
  </si>
  <si>
    <t>Project Inform</t>
  </si>
  <si>
    <t>9808648</t>
  </si>
  <si>
    <t>Prostaglandins &amp; other lipid mediators</t>
  </si>
  <si>
    <t>PROSTAGLANDINS &amp; OTHER LIPID MEDIATORS</t>
  </si>
  <si>
    <t>Prostaglandins Other Lipid Mediat</t>
  </si>
  <si>
    <t>Merger of: Prostaglandins, and: Journal of lipid mediators and cell signalling.</t>
  </si>
  <si>
    <t>8802730</t>
  </si>
  <si>
    <t>Prostaglandins, leukotrienes, and essential fatty acids</t>
  </si>
  <si>
    <t>PROSTAGLANDINS, LEUKOTRIENES, AND ESSENTIAL FATTY ACIDS</t>
  </si>
  <si>
    <t>Prostaglandins Leukot Essent Fatty Acids</t>
  </si>
  <si>
    <t>Continues: Prostaglandins, leukotrienes, and medicine.</t>
  </si>
  <si>
    <t>8101368</t>
  </si>
  <si>
    <t>The Prostate</t>
  </si>
  <si>
    <t>PROSTATE</t>
  </si>
  <si>
    <t>Monthly and twice in Feb., May, June, and Sept., &lt;2005-&gt;</t>
  </si>
  <si>
    <t>9815755</t>
  </si>
  <si>
    <t>Prostate cancer and prostatic diseases</t>
  </si>
  <si>
    <t>PROSTATE CANCER AND PROSTATIC DISEASES</t>
  </si>
  <si>
    <t>Prostate Cancer Prostatic Dis</t>
  </si>
  <si>
    <t>Four no. a year, 2001-</t>
  </si>
  <si>
    <t>7707720</t>
  </si>
  <si>
    <t>Prosthetics and orthotics international</t>
  </si>
  <si>
    <t>PROSTHETICS AND ORTHOTICS INTERNATIONAL</t>
  </si>
  <si>
    <t>Prosthet Orthot Int</t>
  </si>
  <si>
    <t>Supersedes: Prosthetics international.</t>
  </si>
  <si>
    <t>Biomedical Engineering#Orthopedics</t>
  </si>
  <si>
    <t>101532368</t>
  </si>
  <si>
    <t>Protein &amp; cell</t>
  </si>
  <si>
    <t>PROTEIN &amp; CELL</t>
  </si>
  <si>
    <t>Protein Cell</t>
  </si>
  <si>
    <t>9441434</t>
  </si>
  <si>
    <t>Protein and peptide letters</t>
  </si>
  <si>
    <t>PROTEIN AND PEPTIDE LETTERS</t>
  </si>
  <si>
    <t>Protein Pept Lett</t>
  </si>
  <si>
    <t>18755305</t>
  </si>
  <si>
    <t>101186484</t>
  </si>
  <si>
    <t>Protein engineering, design &amp; selection : PEDS</t>
  </si>
  <si>
    <t>PROTEIN ENGINEERING, DESIGN &amp; SELECTION : PEDS</t>
  </si>
  <si>
    <t>Protein Eng Des Sel</t>
  </si>
  <si>
    <t>Continues: Protein engineering.</t>
  </si>
  <si>
    <t>9101496</t>
  </si>
  <si>
    <t>Protein expression and purification</t>
  </si>
  <si>
    <t>PROTEIN EXPRESSION AND PURIFICATION</t>
  </si>
  <si>
    <t>Protein Expr Purif</t>
  </si>
  <si>
    <t>10960279</t>
  </si>
  <si>
    <t>10465928</t>
  </si>
  <si>
    <t>101212092</t>
  </si>
  <si>
    <t>The protein journal</t>
  </si>
  <si>
    <t>PROTEIN JOURNAL</t>
  </si>
  <si>
    <t>Protein J</t>
  </si>
  <si>
    <t>Continues: Journal of protein chemistry.</t>
  </si>
  <si>
    <t>18758355</t>
  </si>
  <si>
    <t>9211750</t>
  </si>
  <si>
    <t>Protein science : a publication of the Protein Society</t>
  </si>
  <si>
    <t>PROTEIN SCIENCE : A PUBLICATION OF THE PROTEIN SOCIETY</t>
  </si>
  <si>
    <t>Protein Sci</t>
  </si>
  <si>
    <t>8700181</t>
  </si>
  <si>
    <t>Proteins</t>
  </si>
  <si>
    <t>PROTEINS</t>
  </si>
  <si>
    <t>16 no. a year, &lt;1999-&gt;</t>
  </si>
  <si>
    <t>101092707</t>
  </si>
  <si>
    <t>PROTEOMICS</t>
  </si>
  <si>
    <t>Semimonthly, 2006-</t>
  </si>
  <si>
    <t>101298608</t>
  </si>
  <si>
    <t>Proteomics. Clinical applications</t>
  </si>
  <si>
    <t>PROTEOMICS. CLINICAL APPLICATIONS</t>
  </si>
  <si>
    <t>Proteomics Clin Appl</t>
  </si>
  <si>
    <t>9806488</t>
  </si>
  <si>
    <t>Protist</t>
  </si>
  <si>
    <t>PROTIST</t>
  </si>
  <si>
    <t>Continues: Archiv für Protistenkunde.</t>
  </si>
  <si>
    <t>16180941</t>
  </si>
  <si>
    <t>14344610</t>
  </si>
  <si>
    <t>9806853</t>
  </si>
  <si>
    <t>Protoplasma</t>
  </si>
  <si>
    <t>PROTOPLASMA</t>
  </si>
  <si>
    <t>16156102</t>
  </si>
  <si>
    <t>0033183X</t>
  </si>
  <si>
    <t>Six no. year, &lt;2012-&gt;</t>
  </si>
  <si>
    <t>8608563</t>
  </si>
  <si>
    <t>Provider (Washington, D.C.)</t>
  </si>
  <si>
    <t>PROVIDER (WASHINGTON, D.C.)</t>
  </si>
  <si>
    <t>Provider</t>
  </si>
  <si>
    <t>Continues: Journal - American Health Care Association.</t>
  </si>
  <si>
    <t>08880352</t>
  </si>
  <si>
    <t>0413725</t>
  </si>
  <si>
    <t>Przegla̧d epidemiologiczny</t>
  </si>
  <si>
    <t>PRZEGLAD EPIDEMIOLOGICZNY</t>
  </si>
  <si>
    <t>Przegl Epidemiol</t>
  </si>
  <si>
    <t>00332100</t>
  </si>
  <si>
    <t>19840720R</t>
  </si>
  <si>
    <t>Przegla̧d lekarski</t>
  </si>
  <si>
    <t>PRZEGLAD LEKARSKI</t>
  </si>
  <si>
    <t>Przegl Lek</t>
  </si>
  <si>
    <t>00332240</t>
  </si>
  <si>
    <t>Wydawnicto Przeglad Lekarski</t>
  </si>
  <si>
    <t>101189384</t>
  </si>
  <si>
    <t>Psicothema</t>
  </si>
  <si>
    <t>PSICOTHEMA</t>
  </si>
  <si>
    <t>1886144X</t>
  </si>
  <si>
    <t>02149915</t>
  </si>
  <si>
    <t>Colegio Oficial de Psicológicas de Asturias</t>
  </si>
  <si>
    <t>9424753</t>
  </si>
  <si>
    <t>PSYCHIATRIA DANUBINA</t>
  </si>
  <si>
    <t>Psychiatr Danub</t>
  </si>
  <si>
    <t>Facultas Universitatis [i.e. Facultas Medica Universitatis] Studiorum Zagrabiensis in cooperation with WHO Collaborating Centre for Research and Training in Mental Health--KBC Zagreb, on behalf of the Danube Symposion of Psychiatry</t>
  </si>
  <si>
    <t>9426825</t>
  </si>
  <si>
    <t>Psychiatria Hungarica : A Magyar Pszichiátriai Társaság tudományos folyóirata</t>
  </si>
  <si>
    <t>PSYCHIATRIA HUNGARICA : A MAGYAR PSZICHIATRIAI TARSASAG TUDOMANYOS FOLYOIRATA</t>
  </si>
  <si>
    <t>Psychiatr Hung</t>
  </si>
  <si>
    <t>02377896</t>
  </si>
  <si>
    <t>Magyar Pszichiátriai Társaság</t>
  </si>
  <si>
    <t>0103314</t>
  </si>
  <si>
    <t>Psychiatria polska</t>
  </si>
  <si>
    <t>PSYCHIATRIA POLSKA</t>
  </si>
  <si>
    <t>Psychiatr Pol</t>
  </si>
  <si>
    <t>Continues in part: Neurologia, neurochirurgia i psychiatria polska.</t>
  </si>
  <si>
    <t>7708110</t>
  </si>
  <si>
    <t>The Psychiatric clinics of North America</t>
  </si>
  <si>
    <t>PSYCHIATRIC CLINICS OF NORTH AMERICA</t>
  </si>
  <si>
    <t>Psychiatr Clin North Am</t>
  </si>
  <si>
    <t>9106748</t>
  </si>
  <si>
    <t>Psychiatric genetics</t>
  </si>
  <si>
    <t>PSYCHIATRIC GENETICS</t>
  </si>
  <si>
    <t>Psychiatr Genet</t>
  </si>
  <si>
    <t>Genetics#Psychiatry</t>
  </si>
  <si>
    <t>0376465</t>
  </si>
  <si>
    <t>The Psychiatric quarterly</t>
  </si>
  <si>
    <t>PSYCHIATRIC QUARTERLY</t>
  </si>
  <si>
    <t>Psychiatr Q</t>
  </si>
  <si>
    <t>Continues: State hospital quarterly.</t>
  </si>
  <si>
    <t>9601800</t>
  </si>
  <si>
    <t>Psychiatric rehabilitation journal</t>
  </si>
  <si>
    <t>PSYCHIATRIC REHABILITATION JOURNAL</t>
  </si>
  <si>
    <t>Psychiatr Rehabil J</t>
  </si>
  <si>
    <t>Formed by the union of: Psychosocial rehabilitation journal, and: Innovations and research in clinical services, community support, and rehabilitation.</t>
  </si>
  <si>
    <t>15593126</t>
  </si>
  <si>
    <t>1095158X</t>
  </si>
  <si>
    <t>9502838</t>
  </si>
  <si>
    <t>Psychiatric services (Washington, D.C.)</t>
  </si>
  <si>
    <t>PSYCHIATRIC SERVICES (WASHINGTON, D.C.)</t>
  </si>
  <si>
    <t>Psychiatr Serv</t>
  </si>
  <si>
    <t>Continues: Hospital &amp; community psychiatry.</t>
  </si>
  <si>
    <t>101534363</t>
  </si>
  <si>
    <t>Psychiatrikē = Psychiatriki</t>
  </si>
  <si>
    <t>PSYCHIATRIKE = PSYCHIATRIKI</t>
  </si>
  <si>
    <t>Psychiatrike</t>
  </si>
  <si>
    <t>11052333</t>
  </si>
  <si>
    <t>Hellēnikē Psychiatrikē Hetaireia</t>
  </si>
  <si>
    <t>gre</t>
  </si>
  <si>
    <t>0423204</t>
  </si>
  <si>
    <t>PSYCHIATRISCHE PRAXIS</t>
  </si>
  <si>
    <t>Psychiatr Prax</t>
  </si>
  <si>
    <t>0376470</t>
  </si>
  <si>
    <t>PSYCHIATRY</t>
  </si>
  <si>
    <t>9513551</t>
  </si>
  <si>
    <t>Psychiatry and clinical neurosciences</t>
  </si>
  <si>
    <t>PSYCHIATRY AND CLINICAL NEUROSCIENCES</t>
  </si>
  <si>
    <t>Psychiatry Clin Neurosci</t>
  </si>
  <si>
    <t>Continues: Japanese journal of psychiatry and neurology.</t>
  </si>
  <si>
    <t>7911385</t>
  </si>
  <si>
    <t>Psychiatry research</t>
  </si>
  <si>
    <t>PSYCHIATRY RESEARCH</t>
  </si>
  <si>
    <t>Psychiatry Res</t>
  </si>
  <si>
    <t>0226661</t>
  </si>
  <si>
    <t>The Psychoanalytic quarterly</t>
  </si>
  <si>
    <t>PSYCHOANALYTIC QUARTERLY</t>
  </si>
  <si>
    <t>Psychoanal Q</t>
  </si>
  <si>
    <t>21674086</t>
  </si>
  <si>
    <t>00332828</t>
  </si>
  <si>
    <t>0401156</t>
  </si>
  <si>
    <t>Psychoanalytic review</t>
  </si>
  <si>
    <t>PSYCHOANALYTIC REVIEW</t>
  </si>
  <si>
    <t>Psychoanal Rev</t>
  </si>
  <si>
    <t>Continues: Psychoanalysis and the psychoanalytic review.</t>
  </si>
  <si>
    <t>19433301</t>
  </si>
  <si>
    <t>00332836</t>
  </si>
  <si>
    <t>0376472</t>
  </si>
  <si>
    <t>The Psychoanalytic study of the child</t>
  </si>
  <si>
    <t>PSYCHOANALYTIC STUDY OF THE CHILD</t>
  </si>
  <si>
    <t>Psychoanal Study Child</t>
  </si>
  <si>
    <t>00797308</t>
  </si>
  <si>
    <t>Yale University Press</t>
  </si>
  <si>
    <t>101580621</t>
  </si>
  <si>
    <t>Psychodynamic psychiatry</t>
  </si>
  <si>
    <t>PSYCHODYNAMIC PSYCHIATRY</t>
  </si>
  <si>
    <t>Psychodyn Psychiatry</t>
  </si>
  <si>
    <t>Continues: Journal of the American Academy of Psychoanalysis and Dynamic Psychiatry.</t>
  </si>
  <si>
    <t>21622604</t>
  </si>
  <si>
    <t>21622590</t>
  </si>
  <si>
    <t>101230058</t>
  </si>
  <si>
    <t>Psychogeriatrics : the official journal of the Japanese Psychogeriatric Society</t>
  </si>
  <si>
    <t>PSYCHOGERIATRICS : THE OFFICIAL JOURNAL OF THE JAPANESE PSYCHOGERIATRIC SOCIETY</t>
  </si>
  <si>
    <t>8915253</t>
  </si>
  <si>
    <t>Psychological assessment</t>
  </si>
  <si>
    <t>PSYCHOLOGICAL ASSESSMENT</t>
  </si>
  <si>
    <t>Psychol Assess</t>
  </si>
  <si>
    <t>Continues in part: Journal of consulting and clinical psychology.</t>
  </si>
  <si>
    <t>0376473</t>
  </si>
  <si>
    <t>Psychological bulletin</t>
  </si>
  <si>
    <t>PSYCHOLOGICAL BULLETIN</t>
  </si>
  <si>
    <t>Psychol Bull</t>
  </si>
  <si>
    <t>19391455</t>
  </si>
  <si>
    <t>00332909</t>
  </si>
  <si>
    <t>1254142</t>
  </si>
  <si>
    <t>Psychological medicine</t>
  </si>
  <si>
    <t>PSYCHOLOGICAL MEDICINE</t>
  </si>
  <si>
    <t>Psychol Med</t>
  </si>
  <si>
    <t>14698978</t>
  </si>
  <si>
    <t>00332917</t>
  </si>
  <si>
    <t>9606928</t>
  </si>
  <si>
    <t>Psychological methods</t>
  </si>
  <si>
    <t>PSYCHOLOGICAL METHODS</t>
  </si>
  <si>
    <t>Psychol Methods</t>
  </si>
  <si>
    <t>19391463</t>
  </si>
  <si>
    <t>1082989X</t>
  </si>
  <si>
    <t>0376475</t>
  </si>
  <si>
    <t>Psychological reports</t>
  </si>
  <si>
    <t>PSYCHOLOGICAL REPORTS</t>
  </si>
  <si>
    <t>Psychol Rep</t>
  </si>
  <si>
    <t>00332941</t>
  </si>
  <si>
    <t>0435062</t>
  </si>
  <si>
    <t>Psychological research</t>
  </si>
  <si>
    <t>PSYCHOLOGICAL RESEARCH</t>
  </si>
  <si>
    <t>Psychol Res</t>
  </si>
  <si>
    <t>Continues Psychologische Forschung.</t>
  </si>
  <si>
    <t>14302772</t>
  </si>
  <si>
    <t>03400727</t>
  </si>
  <si>
    <t>0376476</t>
  </si>
  <si>
    <t>Psychological review</t>
  </si>
  <si>
    <t>PSYCHOLOGICAL REVIEW</t>
  </si>
  <si>
    <t>Psychol Rev</t>
  </si>
  <si>
    <t>19391471</t>
  </si>
  <si>
    <t>0033295X</t>
  </si>
  <si>
    <t>1894</t>
  </si>
  <si>
    <t>9007542</t>
  </si>
  <si>
    <t>Psychological science</t>
  </si>
  <si>
    <t>PSYCHOLOGICAL SCIENCE</t>
  </si>
  <si>
    <t>Psychol Sci</t>
  </si>
  <si>
    <t>14679280</t>
  </si>
  <si>
    <t>09567976</t>
  </si>
  <si>
    <t>101214316</t>
  </si>
  <si>
    <t>Psychological services</t>
  </si>
  <si>
    <t>PSYCHOLOGICAL SERVICES</t>
  </si>
  <si>
    <t>Psychol Serv</t>
  </si>
  <si>
    <t>1939148X</t>
  </si>
  <si>
    <t>15411559</t>
  </si>
  <si>
    <t>8807983</t>
  </si>
  <si>
    <t>Psychology &amp; health</t>
  </si>
  <si>
    <t>PSYCHOLOGY &amp; HEALTH</t>
  </si>
  <si>
    <t>Psychol Health</t>
  </si>
  <si>
    <t>14768321</t>
  </si>
  <si>
    <t>08870446</t>
  </si>
  <si>
    <t>8904079</t>
  </si>
  <si>
    <t>Psychology and aging</t>
  </si>
  <si>
    <t>PSYCHOLOGY AND AGING</t>
  </si>
  <si>
    <t>Psychol Aging</t>
  </si>
  <si>
    <t>101135751</t>
  </si>
  <si>
    <t>Psychology and psychotherapy</t>
  </si>
  <si>
    <t>PSYCHOLOGY AND PSYCHOTHERAPY</t>
  </si>
  <si>
    <t>Psychol Psychother</t>
  </si>
  <si>
    <t>Continues: British journal of medical psychology.</t>
  </si>
  <si>
    <t>20448341</t>
  </si>
  <si>
    <t>14760835</t>
  </si>
  <si>
    <t>8802734</t>
  </si>
  <si>
    <t>Psychology of addictive behaviors : journal of the Society of Psychologists in Addictive Behaviors</t>
  </si>
  <si>
    <t>PSYCHOLOGY OF ADDICTIVE BEHAVIORS : JOURNAL OF THE SOCIETY OF PSYCHOLOGISTS IN ADDICTIVE BEHAVIORS</t>
  </si>
  <si>
    <t>Psychol Addict Behav</t>
  </si>
  <si>
    <t>Continues: Bulletin of the Society of Psychologists in Addictive Behaviors.</t>
  </si>
  <si>
    <t>Four no. a year, &lt;1993-&gt;</t>
  </si>
  <si>
    <t>Psychology#Substance-Related Disorders</t>
  </si>
  <si>
    <t>9604099</t>
  </si>
  <si>
    <t>Psychology, health &amp; medicine</t>
  </si>
  <si>
    <t>PSYCHOLOGY, HEALTH &amp; MEDICINE</t>
  </si>
  <si>
    <t>Psychol Health Med</t>
  </si>
  <si>
    <t>14653966</t>
  </si>
  <si>
    <t>13548506</t>
  </si>
  <si>
    <t>Health Services#Medicine#Psychology</t>
  </si>
  <si>
    <t>0376503</t>
  </si>
  <si>
    <t>Psychometrika</t>
  </si>
  <si>
    <t>PSYCHOMETRIKA</t>
  </si>
  <si>
    <t>18600980</t>
  </si>
  <si>
    <t>00333123</t>
  </si>
  <si>
    <t>Psychometric Society</t>
  </si>
  <si>
    <t>7612148</t>
  </si>
  <si>
    <t>PSYCHONEUROENDOCRINOLOGY</t>
  </si>
  <si>
    <t>Endocrinology#Neurology#Psychiatry</t>
  </si>
  <si>
    <t>9502924</t>
  </si>
  <si>
    <t>Psychonomic bulletin &amp; review</t>
  </si>
  <si>
    <t>PSYCHONOMIC BULLETIN &amp; REVIEW</t>
  </si>
  <si>
    <t>Psychon Bull Rev</t>
  </si>
  <si>
    <t>Continues: Bulletin of the Psychonomic Society.</t>
  </si>
  <si>
    <t>15315320</t>
  </si>
  <si>
    <t>10699384</t>
  </si>
  <si>
    <t>Psychonomic Society, Inc.</t>
  </si>
  <si>
    <t>9214524</t>
  </si>
  <si>
    <t>Psycho-oncology</t>
  </si>
  <si>
    <t>PSYCHO-ONCOLOGY</t>
  </si>
  <si>
    <t>Psychooncology</t>
  </si>
  <si>
    <t>Neoplasms#Psychology</t>
  </si>
  <si>
    <t>8401537</t>
  </si>
  <si>
    <t>Psychopathology</t>
  </si>
  <si>
    <t>PSYCHOPATHOLOGY</t>
  </si>
  <si>
    <t>Continues: Psychiatria clinica.</t>
  </si>
  <si>
    <t>1423033X</t>
  </si>
  <si>
    <t>02544962</t>
  </si>
  <si>
    <t>7608025</t>
  </si>
  <si>
    <t>PSYCHOPHARMACOLOGY</t>
  </si>
  <si>
    <t>Psychopharmacology (Berl)</t>
  </si>
  <si>
    <t>Continues Psychopharmacologia.</t>
  </si>
  <si>
    <t>0101123</t>
  </si>
  <si>
    <t>Psychopharmacology bulletin</t>
  </si>
  <si>
    <t>PSYCHOPHARMACOLOGY BULLETIN</t>
  </si>
  <si>
    <t>Psychopharmacol Bull</t>
  </si>
  <si>
    <t>Continues Psychopharmacology Service Center bulletin.</t>
  </si>
  <si>
    <t>MedWorks Media</t>
  </si>
  <si>
    <t>0142657</t>
  </si>
  <si>
    <t>PSYCHOPHYSIOLOGY</t>
  </si>
  <si>
    <t>Supersedes: Psychophysiology newsletter.</t>
  </si>
  <si>
    <t>15405958</t>
  </si>
  <si>
    <t>00485772</t>
  </si>
  <si>
    <t>0376505</t>
  </si>
  <si>
    <t>Psychosomatic medicine</t>
  </si>
  <si>
    <t>PSYCHOSOMATIC MEDICINE</t>
  </si>
  <si>
    <t>Psychosom Med</t>
  </si>
  <si>
    <t>0376506</t>
  </si>
  <si>
    <t>PSYCHOSOMATICS</t>
  </si>
  <si>
    <t>Bimonthly, &lt;Mar./Apr. 1993- &gt;</t>
  </si>
  <si>
    <t>8002823</t>
  </si>
  <si>
    <t>Psychotherapie, Psychosomatik, medizinische Psychologie</t>
  </si>
  <si>
    <t>PSYCHOTHERAPIE, PSYCHOSOMATIK, MEDIZINISCHE PSYCHOLOGIE</t>
  </si>
  <si>
    <t>Psychother Psychosom Med Psychol</t>
  </si>
  <si>
    <t>Continues Psychotherapie, medizinische Psychologie.</t>
  </si>
  <si>
    <t>2984829R</t>
  </si>
  <si>
    <t>Psychotherapy (Chicago, Ill.)</t>
  </si>
  <si>
    <t>PSYCHOTHERAPY (CHICAGO, ILL.)</t>
  </si>
  <si>
    <t>Psychotherapy (Chic)</t>
  </si>
  <si>
    <t>Educational Publishing Foundation of the American Psychological Association</t>
  </si>
  <si>
    <t>0024046</t>
  </si>
  <si>
    <t>Psychotherapy and psychosomatics</t>
  </si>
  <si>
    <t>PSYCHOTHERAPY AND PSYCHOSOMATICS</t>
  </si>
  <si>
    <t>Psychother Psychosom</t>
  </si>
  <si>
    <t>Continues: Acta psychotherapeutica et psychosomatica.</t>
  </si>
  <si>
    <t>9110958</t>
  </si>
  <si>
    <t>Psychotherapy research : journal of the Society for Psychotherapy Research</t>
  </si>
  <si>
    <t>PSYCHOTHERAPY RESEARCH : JOURNAL OF THE SOCIETY FOR PSYCHOTHERAPY RESEARCH</t>
  </si>
  <si>
    <t>Psychother Res</t>
  </si>
  <si>
    <t>14684381</t>
  </si>
  <si>
    <t>10503307</t>
  </si>
  <si>
    <t>Infroma Healthcare</t>
  </si>
  <si>
    <t>Five no. a year, 2006-</t>
  </si>
  <si>
    <t>0376507</t>
  </si>
  <si>
    <t>Public health</t>
  </si>
  <si>
    <t>PUBLIC HEALTH</t>
  </si>
  <si>
    <t>Supersedes: Transactions. Society of Medical Officers of Health.</t>
  </si>
  <si>
    <t>1888</t>
  </si>
  <si>
    <t>101474167</t>
  </si>
  <si>
    <t>Public health genomics</t>
  </si>
  <si>
    <t>PUBLIC HEALTH GENOMICS</t>
  </si>
  <si>
    <t>Continues: Community genetics.</t>
  </si>
  <si>
    <t>Genetics, Medical#Public Health</t>
  </si>
  <si>
    <t>8501498</t>
  </si>
  <si>
    <t>Public health nursing (Boston, Mass.)</t>
  </si>
  <si>
    <t>PUBLIC HEALTH NURSING (BOSTON, MASS.)</t>
  </si>
  <si>
    <t>Public Health Nurs</t>
  </si>
  <si>
    <t>15251446</t>
  </si>
  <si>
    <t>07371209</t>
  </si>
  <si>
    <t>9808463</t>
  </si>
  <si>
    <t>Public health nutrition</t>
  </si>
  <si>
    <t>PUBLIC HEALTH NUTRITION</t>
  </si>
  <si>
    <t>Public Health Nutr</t>
  </si>
  <si>
    <t>14752727</t>
  </si>
  <si>
    <t>13689800</t>
  </si>
  <si>
    <t>9716844</t>
  </si>
  <si>
    <t>Public health reports (Washington, D.C. : 1974)</t>
  </si>
  <si>
    <t>PUBLIC HEALTH REPORTS (WASHINGTON, D.C. : 1974)</t>
  </si>
  <si>
    <t>Public Health Rep</t>
  </si>
  <si>
    <t>Continues: Health services reports.</t>
  </si>
  <si>
    <t>8510642</t>
  </si>
  <si>
    <t>The Public historian</t>
  </si>
  <si>
    <t>PUBLIC HISTORIAN</t>
  </si>
  <si>
    <t>Public Hist</t>
  </si>
  <si>
    <t>02723433</t>
  </si>
  <si>
    <t>9306503</t>
  </si>
  <si>
    <t>Public understanding of science (Bristol, England)</t>
  </si>
  <si>
    <t>PUBLIC UNDERSTANDING OF SCIENCE (BRISTOL, ENGLAND)</t>
  </si>
  <si>
    <t>Public Underst Sci</t>
  </si>
  <si>
    <t>13616609</t>
  </si>
  <si>
    <t>09636625</t>
  </si>
  <si>
    <t>8303541</t>
  </si>
  <si>
    <t>Puerto Rico health sciences journal</t>
  </si>
  <si>
    <t>PUERTO RICO HEALTH SCIENCES JOURNAL</t>
  </si>
  <si>
    <t>P R Health Sci J</t>
  </si>
  <si>
    <t>07380658</t>
  </si>
  <si>
    <t>University of Puerto Rico Medical Sciences Campus</t>
  </si>
  <si>
    <t>9715279</t>
  </si>
  <si>
    <t>Pulmonary pharmacology &amp; therapeutics</t>
  </si>
  <si>
    <t>PULMONARY PHARMACOLOGY &amp; THERAPEUTICS</t>
  </si>
  <si>
    <t>Pulm Pharmacol Ther</t>
  </si>
  <si>
    <t>Continues: Pulmonary pharmacology.</t>
  </si>
  <si>
    <t>Pharmacology#Pulmonary Medicine</t>
  </si>
  <si>
    <t>101250499</t>
  </si>
  <si>
    <t>Purinergic signalling</t>
  </si>
  <si>
    <t>PURINERGIC SIGNALLING</t>
  </si>
  <si>
    <t>Purinergic Signal</t>
  </si>
  <si>
    <t>9438285</t>
  </si>
  <si>
    <t>QJM : monthly journal of the Association of Physicians</t>
  </si>
  <si>
    <t>QJM : MONTHLY JOURNAL OF THE ASSOCIATION OF PHYSICIANS</t>
  </si>
  <si>
    <t>Continues: Quarterly journal of medicine.</t>
  </si>
  <si>
    <t>Published for the Association of Physicians of Great Britain and Ireland by the Oxford University Press</t>
  </si>
  <si>
    <t>9202144</t>
  </si>
  <si>
    <t>Qualitative health research</t>
  </si>
  <si>
    <t>QUALITATIVE HEALTH RESEARCH</t>
  </si>
  <si>
    <t>Qual Health Res</t>
  </si>
  <si>
    <t>10497323</t>
  </si>
  <si>
    <t>9709471</t>
  </si>
  <si>
    <t>Quality connection (Brookline, Mass.)</t>
  </si>
  <si>
    <t>QUALITY CONNECTION (BROOKLINE, MASS.)</t>
  </si>
  <si>
    <t>Qual Connect</t>
  </si>
  <si>
    <t>Institute For Healthcare Improvement</t>
  </si>
  <si>
    <t>101182136</t>
  </si>
  <si>
    <t>Quality in primary care</t>
  </si>
  <si>
    <t>QUALITY IN PRIMARY CARE</t>
  </si>
  <si>
    <t>Qual Prim Care</t>
  </si>
  <si>
    <t>Absorbed: Journal of clinical excellence.</t>
  </si>
  <si>
    <t>14791064</t>
  </si>
  <si>
    <t>14791072</t>
  </si>
  <si>
    <t>9306156</t>
  </si>
  <si>
    <t>Quality management in health care</t>
  </si>
  <si>
    <t>QUALITY MANAGEMENT IN HEALTH CARE</t>
  </si>
  <si>
    <t>Qual Manag Health Care</t>
  </si>
  <si>
    <t>15505154</t>
  </si>
  <si>
    <t>10638628</t>
  </si>
  <si>
    <t>9210257</t>
  </si>
  <si>
    <t>Quality of life research : an international journal of quality of life aspects of treatment, care and rehabilitation</t>
  </si>
  <si>
    <t>QUALITY OF LIFE RESEARCH : AN INTERNATIONAL JOURNAL OF QUALITY OF LIFE ASPECTS OF TREATMENT, CARE AND REHABILITATION</t>
  </si>
  <si>
    <t>Qual Life Res</t>
  </si>
  <si>
    <t>15732649</t>
  </si>
  <si>
    <t>09629343</t>
  </si>
  <si>
    <t>101259775</t>
  </si>
  <si>
    <t>Quarterly journal of experimental psychology (2006)</t>
  </si>
  <si>
    <t>QUARTERLY JOURNAL OF EXPERIMENTAL PSYCHOLOGY (2006)</t>
  </si>
  <si>
    <t>Q J Exp Psychol (Hove)</t>
  </si>
  <si>
    <t>Merger of: Quarterly journal of experimental psychology. A, Human experimental psychology and: Quarterly journal of experimental psychology. B, Comparative and physiological psychology.</t>
  </si>
  <si>
    <t>17470226</t>
  </si>
  <si>
    <t>17470218</t>
  </si>
  <si>
    <t>101213861</t>
  </si>
  <si>
    <t>The quarterly journal of nuclear medicine and molecular imaging : official publication of the Italian Association of Nuclear Medicine (AIMN) [and] the International Association of Radiopharmacology (IAR), [and] Section of the Society of Radiopharmaceutical Chemistry and Biology</t>
  </si>
  <si>
    <t>QUARTERLY JOURNAL OF NUCLEAR MEDICINE AND MOLECULAR IMAGING : OFFICIAL PUBLICATION OF THE ITALIAN ASSOCIATION OF NUCLEAR MEDICINE (AIMN) [AND] THE INTERNATIONAL ASSOCIATION OF RADIOPHARMACOLOGY (IAR), [AND] SECTION OF THE SOCIETY OF RADIOPHARMACEUTICAL CHEMISTRY AND BIOLOGY</t>
  </si>
  <si>
    <t>Q J Nucl Med Mol Imaging</t>
  </si>
  <si>
    <t>Continues: Quarterly journal of nuclear medicine.</t>
  </si>
  <si>
    <t>18271936</t>
  </si>
  <si>
    <t>0376515</t>
  </si>
  <si>
    <t>The Quarterly review of biology</t>
  </si>
  <si>
    <t>QUARTERLY REVIEW OF BIOLOGY</t>
  </si>
  <si>
    <t>Q Rev Biol</t>
  </si>
  <si>
    <t>15397718</t>
  </si>
  <si>
    <t>00335770</t>
  </si>
  <si>
    <t>9886817</t>
  </si>
  <si>
    <t>The Quarterly review of economics and finance : journal of the Midwest Economics Association</t>
  </si>
  <si>
    <t>QUARTERLY REVIEW OF ECONOMICS AND FINANCE : JOURNAL OF THE MIDWEST ECONOMICS ASSOCIATION</t>
  </si>
  <si>
    <t>Q Rev Econ Finance</t>
  </si>
  <si>
    <t>Continues: Quarterly review of economics and business.</t>
  </si>
  <si>
    <t>10629769</t>
  </si>
  <si>
    <t>JAI Press</t>
  </si>
  <si>
    <t>Quarterly, with one suppl., 1994-</t>
  </si>
  <si>
    <t>0144032</t>
  </si>
  <si>
    <t>Quarterly reviews of biophysics</t>
  </si>
  <si>
    <t>QUARTERLY REVIEWS OF BIOPHYSICS</t>
  </si>
  <si>
    <t>Q Rev Biophys</t>
  </si>
  <si>
    <t>14698994</t>
  </si>
  <si>
    <t>00335835</t>
  </si>
  <si>
    <t>8406538</t>
  </si>
  <si>
    <t>The Queensland nurse</t>
  </si>
  <si>
    <t>QUEENSLAND NURSE</t>
  </si>
  <si>
    <t>Qld Nurse</t>
  </si>
  <si>
    <t>0815936X</t>
  </si>
  <si>
    <t>RANF Qld. Branch Union of Employees</t>
  </si>
  <si>
    <t>0342677</t>
  </si>
  <si>
    <t>Quintessence international (Berlin, Germany : 1985)</t>
  </si>
  <si>
    <t>QUINTESSENCE INTERNATIONAL (BERLIN, GERMANY : 1985)</t>
  </si>
  <si>
    <t>Quintessence Int</t>
  </si>
  <si>
    <t>Absorbed: Anesthesia &amp; pain control in dentistry. 1994 Continues in part: Quintessence international, dental digest.</t>
  </si>
  <si>
    <t>19367163</t>
  </si>
  <si>
    <t>00336572</t>
  </si>
  <si>
    <t>Quintessenz Verlags-GmbH</t>
  </si>
  <si>
    <t>Ten no. a year, &lt;2000-&gt;</t>
  </si>
  <si>
    <t>0415677</t>
  </si>
  <si>
    <t>Radiation and environmental biophysics</t>
  </si>
  <si>
    <t>RADIATION AND ENVIRONMENTAL BIOPHYSICS</t>
  </si>
  <si>
    <t>Radiat Environ Biophys</t>
  </si>
  <si>
    <t>Continues Biophysik.</t>
  </si>
  <si>
    <t>14322099</t>
  </si>
  <si>
    <t>0301634X</t>
  </si>
  <si>
    <t>Biophysics#Environmental Health#Neoplasms#Radiology#Radiotherapy</t>
  </si>
  <si>
    <t>101265111</t>
  </si>
  <si>
    <t>Radiation oncology (London, England)</t>
  </si>
  <si>
    <t>RADIATION ONCOLOGY (LONDON, ENGLAND)</t>
  </si>
  <si>
    <t>Radiat Oncol</t>
  </si>
  <si>
    <t>8109958</t>
  </si>
  <si>
    <t>Radiation protection dosimetry</t>
  </si>
  <si>
    <t>RADIATION PROTECTION DOSIMETRY</t>
  </si>
  <si>
    <t>Radiat Prot Dosimetry</t>
  </si>
  <si>
    <t>17423406</t>
  </si>
  <si>
    <t>01448420</t>
  </si>
  <si>
    <t>Twenty no. a year, &lt;2004-&gt;</t>
  </si>
  <si>
    <t>0401245</t>
  </si>
  <si>
    <t>Radiation research</t>
  </si>
  <si>
    <t>RADIATION RESEARCH</t>
  </si>
  <si>
    <t>Radiat Res</t>
  </si>
  <si>
    <t>Kluge Carden Jennnings Pub. Co.</t>
  </si>
  <si>
    <t>Genetics#Radiology</t>
  </si>
  <si>
    <t>9317212</t>
  </si>
  <si>
    <t>Radiatsionnaia biologiia, radioecologiia / Rossiĭskaia akademiia nauk</t>
  </si>
  <si>
    <t>RADIATSIONNAIA BIOLOGIIA, RADIOECOLOGIIA / ROSSIISKAIA AKADEMIIA NAUK</t>
  </si>
  <si>
    <t>Radiats Biol Radioecol</t>
  </si>
  <si>
    <t>Continues: Radiobiologiia.</t>
  </si>
  <si>
    <t>08698031</t>
  </si>
  <si>
    <t>Genetics#Nuclear Medicine</t>
  </si>
  <si>
    <t>8302501</t>
  </si>
  <si>
    <t>Radiographics : a review publication of the Radiological Society of North America, Inc</t>
  </si>
  <si>
    <t>RADIOGRAPHICS : A REVIEW PUBLICATION OF THE RADIOLOGICAL SOCIETY OF NORTH AMERICA, INC</t>
  </si>
  <si>
    <t>Radiographics</t>
  </si>
  <si>
    <t>15271323</t>
  </si>
  <si>
    <t>02715333</t>
  </si>
  <si>
    <t>Radiological Society of North America</t>
  </si>
  <si>
    <t>0401257</t>
  </si>
  <si>
    <t>Der Radiologe</t>
  </si>
  <si>
    <t>RADIOLOGE</t>
  </si>
  <si>
    <t>Radiologe</t>
  </si>
  <si>
    <t>14322102</t>
  </si>
  <si>
    <t>0033832X</t>
  </si>
  <si>
    <t>0120775</t>
  </si>
  <si>
    <t>Radiología</t>
  </si>
  <si>
    <t>RADIOLOGIA</t>
  </si>
  <si>
    <t>0177625</t>
  </si>
  <si>
    <t>La Radiologia medica</t>
  </si>
  <si>
    <t>RADIOLOGIA MEDICA</t>
  </si>
  <si>
    <t>Radiol Med</t>
  </si>
  <si>
    <t>Absorbed: Minerva radiologica. 1971</t>
  </si>
  <si>
    <t>18266983</t>
  </si>
  <si>
    <t>00338362</t>
  </si>
  <si>
    <t>0123703</t>
  </si>
  <si>
    <t>Radiologic clinics of North America</t>
  </si>
  <si>
    <t>RADIOLOGIC CLINICS OF NORTH AMERICA</t>
  </si>
  <si>
    <t>Radiol Clin North Am</t>
  </si>
  <si>
    <t>Bimonthly, Jan. 1987-</t>
  </si>
  <si>
    <t>0401256</t>
  </si>
  <si>
    <t>Radiologic technology</t>
  </si>
  <si>
    <t>RADIOLOGIC TECHNOLOGY</t>
  </si>
  <si>
    <t>Radiol Technol</t>
  </si>
  <si>
    <t>Continues the X-ray technician.</t>
  </si>
  <si>
    <t>19435657</t>
  </si>
  <si>
    <t>00338397</t>
  </si>
  <si>
    <t>American Society Of Radiologic Technologists</t>
  </si>
  <si>
    <t>101467995</t>
  </si>
  <si>
    <t>Radiological physics and technology</t>
  </si>
  <si>
    <t>RADIOLOGICAL PHYSICS AND TECHNOLOGY</t>
  </si>
  <si>
    <t>Radiol Phys Technol</t>
  </si>
  <si>
    <t>Biophysics#Radiology#Technology</t>
  </si>
  <si>
    <t>0401260</t>
  </si>
  <si>
    <t>RADIOLOGY</t>
  </si>
  <si>
    <t>8001971</t>
  </si>
  <si>
    <t>Radiology management</t>
  </si>
  <si>
    <t>RADIOLOGY MANAGEMENT</t>
  </si>
  <si>
    <t>Radiol Manage</t>
  </si>
  <si>
    <t>01987097</t>
  </si>
  <si>
    <t>American Hospital Radiology Administrators</t>
  </si>
  <si>
    <t>Health Services#Radiology</t>
  </si>
  <si>
    <t>8407192</t>
  </si>
  <si>
    <t>Radiotherapy and oncology : journal of the European Society for Therapeutic Radiology and Oncology</t>
  </si>
  <si>
    <t>RADIOTHERAPY AND ONCOLOGY : JOURNAL OF THE EUROPEAN SOCIETY FOR THERAPEUTIC RADIOLOGY AND ONCOLOGY</t>
  </si>
  <si>
    <t>Radiother Oncol</t>
  </si>
  <si>
    <t>9884570</t>
  </si>
  <si>
    <t>The Rand journal of economics</t>
  </si>
  <si>
    <t>RAND JOURNAL OF ECONOMICS</t>
  </si>
  <si>
    <t>Rand J Econ</t>
  </si>
  <si>
    <t>Continues: Bell journal of economics.</t>
  </si>
  <si>
    <t>07416261</t>
  </si>
  <si>
    <t>Rand Corp.</t>
  </si>
  <si>
    <t>8802365</t>
  </si>
  <si>
    <t>Rapid communications in mass spectrometry : RCM</t>
  </si>
  <si>
    <t>RAPID COMMUNICATIONS IN MASS SPECTROMETRY : RCM</t>
  </si>
  <si>
    <t>Rapid Commun Mass Spectrom</t>
  </si>
  <si>
    <t>10970231</t>
  </si>
  <si>
    <t>09514198</t>
  </si>
  <si>
    <t>John Wiley And Sons Ltd</t>
  </si>
  <si>
    <t>8301996</t>
  </si>
  <si>
    <t>Recent developments in alcoholism : an official publication of the American Medical Society on Alcoholism, the Research Society on Alcoholism, and the National Council on Alcoholism</t>
  </si>
  <si>
    <t>RECENT DEVELOPMENTS IN ALCOHOLISM : AN OFFICIAL PUBLICATION OF THE AMERICAN MEDICAL SOCIETY ON ALCOHOLISM, THE RESEARCH SOCIETY ON ALCOHOLISM, AND THE NATIONAL COUNCIL ON ALCOHOLISM</t>
  </si>
  <si>
    <t>Recent Dev Alcohol</t>
  </si>
  <si>
    <t>0738422X</t>
  </si>
  <si>
    <t>Plenum Press</t>
  </si>
  <si>
    <t>101266081</t>
  </si>
  <si>
    <t>Recent patents on anti-cancer drug discovery</t>
  </si>
  <si>
    <t>RECENT PATENTS ON ANTI-CANCER DRUG DISCOVERY</t>
  </si>
  <si>
    <t>Recent Pat Anticancer Drug Discov</t>
  </si>
  <si>
    <t>22123970</t>
  </si>
  <si>
    <t>Drug Therapy#Neoplasms#Pharmacology</t>
  </si>
  <si>
    <t>101266084</t>
  </si>
  <si>
    <t>Recent patents on anti-infective drug discovery</t>
  </si>
  <si>
    <t>RECENT PATENTS ON ANTI-INFECTIVE DRUG DISCOVERY</t>
  </si>
  <si>
    <t>Recent Pat Antiinfect Drug Discov</t>
  </si>
  <si>
    <t>Anti-Infective Agents#Pharmacology</t>
  </si>
  <si>
    <t>101309942</t>
  </si>
  <si>
    <t>Recent patents on biotechnology</t>
  </si>
  <si>
    <t>RECENT PATENTS ON BIOTECHNOLOGY</t>
  </si>
  <si>
    <t>Recent Pat Biotechnol</t>
  </si>
  <si>
    <t>22124012</t>
  </si>
  <si>
    <t>101263805</t>
  </si>
  <si>
    <t>Recent patents on cardiovascular drug discovery</t>
  </si>
  <si>
    <t>RECENT PATENTS ON CARDIOVASCULAR DRUG DISCOVERY</t>
  </si>
  <si>
    <t>Recent Pat Cardiovasc Drug Discov</t>
  </si>
  <si>
    <t>22123962</t>
  </si>
  <si>
    <t>Bentham Science Publishers LTD.</t>
  </si>
  <si>
    <t>Cardiology#Drug Therapy#Pharmacology#Vascular Diseases</t>
  </si>
  <si>
    <t>101265656</t>
  </si>
  <si>
    <t>Recent patents on CNS drug discovery</t>
  </si>
  <si>
    <t>RECENT PATENTS ON CNS DRUG DISCOVERY</t>
  </si>
  <si>
    <t>Recent Pat CNS Drug Discov</t>
  </si>
  <si>
    <t>22123954</t>
  </si>
  <si>
    <t>101299745</t>
  </si>
  <si>
    <t>Recent patents on DNA &amp; gene sequences</t>
  </si>
  <si>
    <t>RECENT PATENTS ON DNA &amp; GENE SEQUENCES</t>
  </si>
  <si>
    <t>Recent Pat DNA Gene Seq</t>
  </si>
  <si>
    <t>22123431</t>
  </si>
  <si>
    <t>101462399</t>
  </si>
  <si>
    <t>Recent patents on drug delivery &amp; formulation</t>
  </si>
  <si>
    <t>RECENT PATENTS ON DRUG DELIVERY &amp; FORMULATION</t>
  </si>
  <si>
    <t>Recent Pat Drug Deliv Formul</t>
  </si>
  <si>
    <t>22124039</t>
  </si>
  <si>
    <t>101299743</t>
  </si>
  <si>
    <t>Recent patents on endocrine, metabolic &amp; immune drug discovery</t>
  </si>
  <si>
    <t>RECENT PATENTS ON ENDOCRINE, METABOLIC &amp; IMMUNE DRUG DISCOVERY</t>
  </si>
  <si>
    <t>Recent Pat Endocr Metab Immune Drug Discov</t>
  </si>
  <si>
    <t>Allergy and Immunology#Drug Therapy#Endocrinology#Metabolism#Pharmacology</t>
  </si>
  <si>
    <t>101526178</t>
  </si>
  <si>
    <t>Recent patents on food, nutrition &amp; agriculture</t>
  </si>
  <si>
    <t>RECENT PATENTS ON FOOD, NUTRITION &amp; AGRICULTURE</t>
  </si>
  <si>
    <t>Recent Pat Food Nutr Agric</t>
  </si>
  <si>
    <t>18761429</t>
  </si>
  <si>
    <t>22127984</t>
  </si>
  <si>
    <t>101309297</t>
  </si>
  <si>
    <t>Recent patents on inflammation &amp; allergy drug discovery</t>
  </si>
  <si>
    <t>RECENT PATENTS ON INFLAMMATION &amp; ALLERGY DRUG DISCOVERY</t>
  </si>
  <si>
    <t>Recent Pat Inflamm Allergy Drug Discov</t>
  </si>
  <si>
    <t>101291922</t>
  </si>
  <si>
    <t>Recent patents on nanotechnology</t>
  </si>
  <si>
    <t>RECENT PATENTS ON NANOTECHNOLOGY</t>
  </si>
  <si>
    <t>Recent Pat Nanotechnol</t>
  </si>
  <si>
    <t>22124020</t>
  </si>
  <si>
    <t>18722105</t>
  </si>
  <si>
    <t>0044671</t>
  </si>
  <si>
    <t>Recent results in cancer research. Fortschritte der Krebsforschung. Progrès dans les recherches sur le cancer</t>
  </si>
  <si>
    <t>RECENT RESULTS IN CANCER RESEARCH. FORTSCHRITTE DER KREBSFORSCHUNG. PROGRES DANS LES RECHERCHES SUR LE CANCER</t>
  </si>
  <si>
    <t>Recent Results Cancer Res</t>
  </si>
  <si>
    <t>0401271</t>
  </si>
  <si>
    <t>Recenti progressi in medicina</t>
  </si>
  <si>
    <t>RECENTI PROGRESSI IN MEDICINA</t>
  </si>
  <si>
    <t>Recenti Prog Med</t>
  </si>
  <si>
    <t>Pensiero Scientifico Editore</t>
  </si>
  <si>
    <t>9715370</t>
  </si>
  <si>
    <t>Recherche en soins infirmiers</t>
  </si>
  <si>
    <t>RECHERCHE EN SOINS INFIRMIERS</t>
  </si>
  <si>
    <t>Rech Soins Infirm</t>
  </si>
  <si>
    <t>02972964</t>
  </si>
  <si>
    <t>Mallet Conseil</t>
  </si>
  <si>
    <t>9511366</t>
  </si>
  <si>
    <t>Redox report : communications in free radical research</t>
  </si>
  <si>
    <t>REDOX REPORT : COMMUNICATIONS IN FREE RADICAL RESEARCH</t>
  </si>
  <si>
    <t>Redox Rep</t>
  </si>
  <si>
    <t>W. S. Maney and Son</t>
  </si>
  <si>
    <t>9816240</t>
  </si>
  <si>
    <t>Refu&amp;#x02be;at ha-peh ṿeha-shinayim (1993)</t>
  </si>
  <si>
    <t>REFU&amp;#X02BE;AT HA-PEH VEHA-SHINAYIM (1993)</t>
  </si>
  <si>
    <t>Refuat Hapeh Vehashinayim</t>
  </si>
  <si>
    <t>Continues: Refu&amp;#x02be;at ha-shinayim (Tel Aviv, Israel : 1983).</t>
  </si>
  <si>
    <t>07929935</t>
  </si>
  <si>
    <t>ha-Histadrut</t>
  </si>
  <si>
    <t>101278116</t>
  </si>
  <si>
    <t>Regenerative medicine</t>
  </si>
  <si>
    <t>REGENERATIVE MEDICINE</t>
  </si>
  <si>
    <t>Regen Med</t>
  </si>
  <si>
    <t>9804508</t>
  </si>
  <si>
    <t>Regional anesthesia and pain medicine</t>
  </si>
  <si>
    <t>REGIONAL ANESTHESIA AND PAIN MEDICINE</t>
  </si>
  <si>
    <t>Reg Anesth Pain Med</t>
  </si>
  <si>
    <t>Continues: Regional anesthesia.</t>
  </si>
  <si>
    <t>Anesthesiology#Neurology#Psychophysiology</t>
  </si>
  <si>
    <t>7807387</t>
  </si>
  <si>
    <t>Regulation</t>
  </si>
  <si>
    <t>REGULATION</t>
  </si>
  <si>
    <t>01470590</t>
  </si>
  <si>
    <t>American Enterprise Institute for Public Policy.</t>
  </si>
  <si>
    <t>8100479</t>
  </si>
  <si>
    <t>Regulatory peptides</t>
  </si>
  <si>
    <t>REGULATORY PEPTIDES</t>
  </si>
  <si>
    <t>Regul Pept</t>
  </si>
  <si>
    <t>Elsevier/north Holland</t>
  </si>
  <si>
    <t>8214983</t>
  </si>
  <si>
    <t>Regulatory toxicology and pharmacology : RTP</t>
  </si>
  <si>
    <t>REGULATORY TOXICOLOGY AND PHARMACOLOGY : RTP</t>
  </si>
  <si>
    <t>Regul Toxicol Pharmacol</t>
  </si>
  <si>
    <t>9216135</t>
  </si>
  <si>
    <t>Rehab management</t>
  </si>
  <si>
    <t>REHAB MANAGEMENT</t>
  </si>
  <si>
    <t>Rehab Manag</t>
  </si>
  <si>
    <t>08996237</t>
  </si>
  <si>
    <t>Curant Communications</t>
  </si>
  <si>
    <t>Monthly (except bimonthly Jan./Feb., Aug./Sept.), 2003-</t>
  </si>
  <si>
    <t>0401273</t>
  </si>
  <si>
    <t>Die Rehabilitation</t>
  </si>
  <si>
    <t>REHABILITATION</t>
  </si>
  <si>
    <t>Rehabilitation (Stuttg)</t>
  </si>
  <si>
    <t>14391309</t>
  </si>
  <si>
    <t>00343536</t>
  </si>
  <si>
    <t>8104825</t>
  </si>
  <si>
    <t>Rehabilitation nursing : the official journal of the Association of Rehabilitation Nurses</t>
  </si>
  <si>
    <t>REHABILITATION NURSING : THE OFFICIAL JOURNAL OF THE ASSOCIATION OF REHABILITATION NURSES</t>
  </si>
  <si>
    <t>Rehabil Nurs</t>
  </si>
  <si>
    <t>Continues: ARN journal.</t>
  </si>
  <si>
    <t>02784807</t>
  </si>
  <si>
    <t>Nursing#Physical and Rehabilitation Medicine</t>
  </si>
  <si>
    <t>0365337</t>
  </si>
  <si>
    <t>Rehabilitation psychology</t>
  </si>
  <si>
    <t>REHABILITATION PSYCHOLOGY</t>
  </si>
  <si>
    <t>Rehabil Psychol</t>
  </si>
  <si>
    <t>Continues: Psychological aspects of disability.</t>
  </si>
  <si>
    <t>Physical and Rehabilitation Medicine#Psychology</t>
  </si>
  <si>
    <t>101213381</t>
  </si>
  <si>
    <t>Rejuvenation research</t>
  </si>
  <si>
    <t>REJUVENATION RESEARCH</t>
  </si>
  <si>
    <t>Rejuvenation Res</t>
  </si>
  <si>
    <t>Continues: Journal of anti-aging medicine.</t>
  </si>
  <si>
    <t>Geriatrics#Physiology</t>
  </si>
  <si>
    <t>0240017</t>
  </si>
  <si>
    <t>Relevé épidémiologique hebdomadaire / Section d'hygiène du Secrétariat de la Société des Nations = Weekly epidemiological record / Health Section of the Secretariat of the League of Nations</t>
  </si>
  <si>
    <t>RELEVE EPIDEMIOLOGIQUE HEBDOMADAIRE / SECTION D'HYGIENE DU SECRETARIAT DE LA SOCIETE DES NATIONS = WEEKLY EPIDEMIOLOGICAL RECORD / HEALTH SECTION OF THE SECRETARIAT OF THE LEAGUE OF NATIONS</t>
  </si>
  <si>
    <t>Wkly Epidemiol Rec</t>
  </si>
  <si>
    <t>Continues: Relevé hebdomadaire.</t>
  </si>
  <si>
    <t>00498114</t>
  </si>
  <si>
    <t>La Section</t>
  </si>
  <si>
    <t>Epidemiology#Statistics as Topic</t>
  </si>
  <si>
    <t>8701128</t>
  </si>
  <si>
    <t>Renal failure</t>
  </si>
  <si>
    <t>RENAL FAILURE</t>
  </si>
  <si>
    <t>Ren Fail</t>
  </si>
  <si>
    <t>Continues: Uremia investigation.</t>
  </si>
  <si>
    <t>Six no. a year, 1994 -</t>
  </si>
  <si>
    <t>101157309</t>
  </si>
  <si>
    <t>Report on carcinogens : carcinogen profiles / U.S. Dept. of Health and Human Services, Public Health Service, National Toxicology Program</t>
  </si>
  <si>
    <t>REPORT ON CARCINOGENS : CARCINOGEN PROFILES / U.S. DEPT. OF HEALTH AND HUMAN SERVICES, PUBLIC HEALTH SERVICE, NATIONAL TOXICOLOGY PROGRAM</t>
  </si>
  <si>
    <t>Rep Carcinog</t>
  </si>
  <si>
    <t>Merger of: Report on carcinogens. Summary, and: National Toxicology Program (U.S.). Report on carcinogens. Full report.</t>
  </si>
  <si>
    <t>15518280</t>
  </si>
  <si>
    <t>15518272</t>
  </si>
  <si>
    <t>National Institute of Environmental Health Sciences, [2000-</t>
  </si>
  <si>
    <t>101519901</t>
  </si>
  <si>
    <t>Report on carcinogens background document for [substance name]</t>
  </si>
  <si>
    <t>REPORT ON CARCINOGENS BACKGROUND DOCUMENT FOR [SUBSTANCE NAME]</t>
  </si>
  <si>
    <t>Rep Carcinog Backgr Doc</t>
  </si>
  <si>
    <t>21513805</t>
  </si>
  <si>
    <t>21517746</t>
  </si>
  <si>
    <t>19620690R</t>
  </si>
  <si>
    <t>Reports on progress in physics. Physical Society (Great Britain)</t>
  </si>
  <si>
    <t>REPORTS ON PROGRESS IN PHYSICS. PHYSICAL SOCIETY (GREAT BRITAIN)</t>
  </si>
  <si>
    <t>Rep Prog Phys</t>
  </si>
  <si>
    <t>13616633</t>
  </si>
  <si>
    <t>00344885</t>
  </si>
  <si>
    <t>Institute Of Physics</t>
  </si>
  <si>
    <t>Monthly &lt;, July 1975&gt;</t>
  </si>
  <si>
    <t>100966036</t>
  </si>
  <si>
    <t>Reproduction (Cambridge, England)</t>
  </si>
  <si>
    <t>REPRODUCTION (CAMBRIDGE, ENGLAND)</t>
  </si>
  <si>
    <t>Merger of: Journal of reproduction and fertility, and: Reviews of reproduction.</t>
  </si>
  <si>
    <t>Published for the Society for Reproduction and Fertility by BioScientifica</t>
  </si>
  <si>
    <t>100972078</t>
  </si>
  <si>
    <t>Reproduction (Cambridge, England). Abstract series</t>
  </si>
  <si>
    <t>REPRODUCTION (CAMBRIDGE, ENGLAND). ABSTRACT SERIES</t>
  </si>
  <si>
    <t>Reprod Abstr Ser</t>
  </si>
  <si>
    <t>Continues: Journal of reproduction and fertility. Abstract series.</t>
  </si>
  <si>
    <t>14763990</t>
  </si>
  <si>
    <t>Journals of Reproduction and Fertility, Ltd.</t>
  </si>
  <si>
    <t>9015668</t>
  </si>
  <si>
    <t>Reproduction in domestic animals = Zuchthygiene</t>
  </si>
  <si>
    <t>REPRODUCTION IN DOMESTIC ANIMALS = ZUCHTHYGIENE</t>
  </si>
  <si>
    <t>Reprod Domest Anim</t>
  </si>
  <si>
    <t>Continues: Zuchthygiene.</t>
  </si>
  <si>
    <t>14390531</t>
  </si>
  <si>
    <t>09366768</t>
  </si>
  <si>
    <t>Paul Parey Scientific Publishers</t>
  </si>
  <si>
    <t>8907465</t>
  </si>
  <si>
    <t>Reproduction, fertility, and development</t>
  </si>
  <si>
    <t>REPRODUCTION, FERTILITY, AND DEVELOPMENT</t>
  </si>
  <si>
    <t>Reprod Fertil Dev</t>
  </si>
  <si>
    <t>Continues in part: Australia journal of biological sciences. Continues: Clinical reproduction and fertility.</t>
  </si>
  <si>
    <t>Commonwealth Scientific and Industrial Research Organisation</t>
  </si>
  <si>
    <t>101160559</t>
  </si>
  <si>
    <t>Reproductive biology</t>
  </si>
  <si>
    <t>REPRODUCTIVE BIOLOGY</t>
  </si>
  <si>
    <t>Reprod Biol</t>
  </si>
  <si>
    <t>1642431X</t>
  </si>
  <si>
    <t>101153627</t>
  </si>
  <si>
    <t>Reproductive biology and endocrinology : RB&amp;E</t>
  </si>
  <si>
    <t>REPRODUCTIVE BIOLOGY AND ENDOCRINOLOGY : RB&amp;E</t>
  </si>
  <si>
    <t>Reprod Biol Endocrinol</t>
  </si>
  <si>
    <t>Endocrinology#Reproductive Medicine</t>
  </si>
  <si>
    <t>101122473</t>
  </si>
  <si>
    <t>Reproductive biomedicine online</t>
  </si>
  <si>
    <t>REPRODUCTIVE BIOMEDICINE ONLINE</t>
  </si>
  <si>
    <t>Reprod Biomed Online</t>
  </si>
  <si>
    <t>101224380</t>
  </si>
  <si>
    <t>Reproductive health</t>
  </si>
  <si>
    <t>REPRODUCTIVE HEALTH</t>
  </si>
  <si>
    <t>Reprod Health</t>
  </si>
  <si>
    <t>9420826</t>
  </si>
  <si>
    <t>Reproductive health matters</t>
  </si>
  <si>
    <t>REPRODUCTIVE HEALTH MATTERS</t>
  </si>
  <si>
    <t>Reprod Health Matters</t>
  </si>
  <si>
    <t>101291249</t>
  </si>
  <si>
    <t>Reproductive sciences (Thousand Oaks, Calif.)</t>
  </si>
  <si>
    <t>REPRODUCTIVE SCIENCES (THOUSAND OAKS, CALIF.)</t>
  </si>
  <si>
    <t>Reprod Sci</t>
  </si>
  <si>
    <t>Continues: Journal of the Society for Gynecologic Investigation.</t>
  </si>
  <si>
    <t>8803591</t>
  </si>
  <si>
    <t>Reproductive toxicology (Elmsford, N.Y.)</t>
  </si>
  <si>
    <t>REPRODUCTIVE TOXICOLOGY (ELMSFORD, N.Y.)</t>
  </si>
  <si>
    <t>Reprod Toxicol</t>
  </si>
  <si>
    <t>Continues: Reproductive toxicology.</t>
  </si>
  <si>
    <t>Pergamon In Cooperation With The Reproductive Toxicology Center</t>
  </si>
  <si>
    <t>Embryology#Reproductive Medicine#Toxicology</t>
  </si>
  <si>
    <t>101146940</t>
  </si>
  <si>
    <t>Research and theory for nursing practice</t>
  </si>
  <si>
    <t>RESEARCH AND THEORY FOR NURSING PRACTICE</t>
  </si>
  <si>
    <t>Res Theory Nurs Pract</t>
  </si>
  <si>
    <t>Continues: Scholarly inquiry for nursing practice.</t>
  </si>
  <si>
    <t>15416577</t>
  </si>
  <si>
    <t>101471881</t>
  </si>
  <si>
    <t>Research brief</t>
  </si>
  <si>
    <t>RESEARCH BRIEF</t>
  </si>
  <si>
    <t>Res Brief</t>
  </si>
  <si>
    <t>Center for Studying Health System Change</t>
  </si>
  <si>
    <t>9437512</t>
  </si>
  <si>
    <t>Research communications in molecular pathology and pharmacology</t>
  </si>
  <si>
    <t>RESEARCH COMMUNICATIONS IN MOLECULAR PATHOLOGY AND PHARMACOLOGY</t>
  </si>
  <si>
    <t>Res Commun Mol Pathol Pharmacol</t>
  </si>
  <si>
    <t>Continues: Research communications in chemical pathology and pharmacology.</t>
  </si>
  <si>
    <t>PJD Publications</t>
  </si>
  <si>
    <t>Molecular Biology#Pathology#Pharmacology</t>
  </si>
  <si>
    <t>8709782</t>
  </si>
  <si>
    <t>Research in developmental disabilities</t>
  </si>
  <si>
    <t>RESEARCH IN DEVELOPMENTAL DISABILITIES</t>
  </si>
  <si>
    <t>Res Dev Disabil</t>
  </si>
  <si>
    <t>Six no. a year, &lt;Jan./Feb. 1993- &gt;</t>
  </si>
  <si>
    <t>101392499</t>
  </si>
  <si>
    <t>Research in gerontological nursing</t>
  </si>
  <si>
    <t>RESEARCH IN GERONTOLOGICAL NURSING</t>
  </si>
  <si>
    <t>Res Gerontol Nurs</t>
  </si>
  <si>
    <t>19382464</t>
  </si>
  <si>
    <t>19404921</t>
  </si>
  <si>
    <t>Slack Inc.</t>
  </si>
  <si>
    <t>8907468</t>
  </si>
  <si>
    <t>Research in microbiology</t>
  </si>
  <si>
    <t>RESEARCH IN MICROBIOLOGY</t>
  </si>
  <si>
    <t>Res Microbiol</t>
  </si>
  <si>
    <t>Continues: Annales de l'Institut Pasteur. Microbiology.</t>
  </si>
  <si>
    <t>7806136</t>
  </si>
  <si>
    <t>Research in nursing &amp; health</t>
  </si>
  <si>
    <t>RESEARCH IN NURSING &amp; HEALTH</t>
  </si>
  <si>
    <t>Res Nurs Health</t>
  </si>
  <si>
    <t>1098240X</t>
  </si>
  <si>
    <t>01606891</t>
  </si>
  <si>
    <t>101231974</t>
  </si>
  <si>
    <t>Research in social &amp; administrative pharmacy : RSAP</t>
  </si>
  <si>
    <t>RESEARCH IN SOCIAL &amp; ADMINISTRATIVE PHARMACY : RSAP</t>
  </si>
  <si>
    <t>Res Social Adm Pharm</t>
  </si>
  <si>
    <t>19348150</t>
  </si>
  <si>
    <t>15517411</t>
  </si>
  <si>
    <t>Semimonthly, 2012-</t>
  </si>
  <si>
    <t>101167637</t>
  </si>
  <si>
    <t>Research in sports medicine (Print)</t>
  </si>
  <si>
    <t>RESEARCH IN SPORTS MEDICINE (PRINT)</t>
  </si>
  <si>
    <t>Res Sports Med</t>
  </si>
  <si>
    <t>Continues: Sports medicine, training, and rehabilitation.</t>
  </si>
  <si>
    <t>15438635</t>
  </si>
  <si>
    <t>15438627</t>
  </si>
  <si>
    <t>0401300</t>
  </si>
  <si>
    <t>Research in veterinary science</t>
  </si>
  <si>
    <t>RESEARCH IN VETERINARY SCIENCE</t>
  </si>
  <si>
    <t>Res Vet Sci</t>
  </si>
  <si>
    <t>British Veterinary Association</t>
  </si>
  <si>
    <t>100891089</t>
  </si>
  <si>
    <t>Research initiative, treatment action : RITA</t>
  </si>
  <si>
    <t>RESEARCH INITIATIVE, TREATMENT ACTION : RITA</t>
  </si>
  <si>
    <t>Res Initiat Treat Action</t>
  </si>
  <si>
    <t>15208745</t>
  </si>
  <si>
    <t>Center for AIDS Information &amp; Advocacy</t>
  </si>
  <si>
    <t>Two no. a year, 2002-</t>
  </si>
  <si>
    <t>8006373</t>
  </si>
  <si>
    <t>Research quarterly for exercise and sport</t>
  </si>
  <si>
    <t>RESEARCH QUARTERLY FOR EXERCISE AND SPORT</t>
  </si>
  <si>
    <t>Res Q Exerc Sport</t>
  </si>
  <si>
    <t>Continues Research quarterly.</t>
  </si>
  <si>
    <t>02701367</t>
  </si>
  <si>
    <t>American Alliance For Health, Physical Education, Recreation, And Dance</t>
  </si>
  <si>
    <t>8812230</t>
  </si>
  <si>
    <t>Research report (Health Effects Institute)</t>
  </si>
  <si>
    <t>RESEARCH REPORT (HEALTH EFFECTS INSTITUTE)</t>
  </si>
  <si>
    <t>Res Rep Health Eff Inst</t>
  </si>
  <si>
    <t>10415505</t>
  </si>
  <si>
    <t>Health Effects Institute</t>
  </si>
  <si>
    <t>0137356</t>
  </si>
  <si>
    <t>Respiration; international review of thoracic diseases</t>
  </si>
  <si>
    <t>RESPIRATION; INTERNATIONAL REVIEW OF THORACIC DISEASES</t>
  </si>
  <si>
    <t>Continues: Medicina thoracalis.</t>
  </si>
  <si>
    <t>7510357</t>
  </si>
  <si>
    <t>Respiratory care</t>
  </si>
  <si>
    <t>RESPIRATORY CARE</t>
  </si>
  <si>
    <t>Respir Care</t>
  </si>
  <si>
    <t>Continues: Inhalation therapy.</t>
  </si>
  <si>
    <t>Daedalus Enterprises for the American Association for Respiratory Therapy</t>
  </si>
  <si>
    <t>Monthly, &lt;Dec. 1979-&gt;</t>
  </si>
  <si>
    <t>101581124</t>
  </si>
  <si>
    <t>Respiratory investigation</t>
  </si>
  <si>
    <t>RESPIRATORY INVESTIGATION</t>
  </si>
  <si>
    <t>Respir Investig</t>
  </si>
  <si>
    <t>Continues: Nihon Kokyūki Gakkai zasshi.</t>
  </si>
  <si>
    <t>22125353</t>
  </si>
  <si>
    <t>8908438</t>
  </si>
  <si>
    <t>Respiratory medicine</t>
  </si>
  <si>
    <t>RESPIRATORY MEDICINE</t>
  </si>
  <si>
    <t>Respir Med</t>
  </si>
  <si>
    <t>Continues: British journal of diseases of the chest.</t>
  </si>
  <si>
    <t>101140022</t>
  </si>
  <si>
    <t>Respiratory physiology &amp; neurobiology</t>
  </si>
  <si>
    <t>RESPIRATORY PHYSIOLOGY &amp; NEUROBIOLOGY</t>
  </si>
  <si>
    <t>Respir Physiol Neurobiol</t>
  </si>
  <si>
    <t>Continues: Respiration physiology.</t>
  </si>
  <si>
    <t>101090633</t>
  </si>
  <si>
    <t>Respiratory research</t>
  </si>
  <si>
    <t>RESPIRATORY RESEARCH</t>
  </si>
  <si>
    <t>Respir Res</t>
  </si>
  <si>
    <t>9616368</t>
  </si>
  <si>
    <t>Respirology (Carlton, Vic.)</t>
  </si>
  <si>
    <t>RESPIROLOGY (CARLTON, VIC.)</t>
  </si>
  <si>
    <t>9005499</t>
  </si>
  <si>
    <t>Restorative neurology and neuroscience</t>
  </si>
  <si>
    <t>RESTORATIVE NEUROLOGY AND NEUROSCIENCE</t>
  </si>
  <si>
    <t>Restor Neurol Neurosci</t>
  </si>
  <si>
    <t>0173555</t>
  </si>
  <si>
    <t>Results and problems in cell differentiation</t>
  </si>
  <si>
    <t>RESULTS AND PROBLEMS IN CELL DIFFERENTIATION</t>
  </si>
  <si>
    <t>Results Probl Cell Differ</t>
  </si>
  <si>
    <t>18610412</t>
  </si>
  <si>
    <t>00801844</t>
  </si>
  <si>
    <t>0332173</t>
  </si>
  <si>
    <t>RESUSCITATION</t>
  </si>
  <si>
    <t>Elsevier/north-Holland Biomedical Press</t>
  </si>
  <si>
    <t>8309919</t>
  </si>
  <si>
    <t>Retina (Philadelphia, Pa.)</t>
  </si>
  <si>
    <t>RETINA (PHILADELPHIA, PA.)</t>
  </si>
  <si>
    <t>101216893</t>
  </si>
  <si>
    <t>RETROVIROLOGY</t>
  </si>
  <si>
    <t>0401302</t>
  </si>
  <si>
    <t>REUMATISMO</t>
  </si>
  <si>
    <t>0216650</t>
  </si>
  <si>
    <t>Reumatizam</t>
  </si>
  <si>
    <t>REUMATIZAM</t>
  </si>
  <si>
    <t>03741338</t>
  </si>
  <si>
    <t>101293923</t>
  </si>
  <si>
    <t>Reumatología clinica</t>
  </si>
  <si>
    <t>REUMATOLOGIA CLINICA</t>
  </si>
  <si>
    <t>Reumatol Clin</t>
  </si>
  <si>
    <t>Formed by the union of: Revista española de reumatología and Revista mexicana de reumatología.</t>
  </si>
  <si>
    <t>101286623</t>
  </si>
  <si>
    <t>Revenue-cycle strategist</t>
  </si>
  <si>
    <t>REVENUE-CYCLE STRATEGIST</t>
  </si>
  <si>
    <t>Revenue-cycle Strateg</t>
  </si>
  <si>
    <t>Continues: Patient accounts.</t>
  </si>
  <si>
    <t>15490858</t>
  </si>
  <si>
    <t>101227575</t>
  </si>
  <si>
    <t>The review of diabetic studies : RDS</t>
  </si>
  <si>
    <t>REVIEW OF DIABETIC STUDIES : RDS</t>
  </si>
  <si>
    <t>Rev Diabet Stud</t>
  </si>
  <si>
    <t>16140575</t>
  </si>
  <si>
    <t>100883489</t>
  </si>
  <si>
    <t>Review of law and social change. New York University</t>
  </si>
  <si>
    <t>REVIEW OF LAW AND SOCIAL CHANGE. NEW YORK UNIVERSITY</t>
  </si>
  <si>
    <t>Rev Law Soc Change</t>
  </si>
  <si>
    <t>00487481</t>
  </si>
  <si>
    <t>New York University.</t>
  </si>
  <si>
    <t>Health Services#Jurisprudence#Social Sciences</t>
  </si>
  <si>
    <t>0405571</t>
  </si>
  <si>
    <t>The Review of scientific instruments</t>
  </si>
  <si>
    <t>REVIEW OF SCIENTIFIC INSTRUMENTS</t>
  </si>
  <si>
    <t>Rev Sci Instrum</t>
  </si>
  <si>
    <t>10897623</t>
  </si>
  <si>
    <t>00346748</t>
  </si>
  <si>
    <t>American Institute Of Physics</t>
  </si>
  <si>
    <t>9107988</t>
  </si>
  <si>
    <t>Reviews in American history</t>
  </si>
  <si>
    <t>REVIEWS IN AMERICAN HISTORY</t>
  </si>
  <si>
    <t>Rev Am Hist</t>
  </si>
  <si>
    <t>10806628</t>
  </si>
  <si>
    <t>00487511</t>
  </si>
  <si>
    <t>100960007</t>
  </si>
  <si>
    <t>Reviews in cardiovascular medicine</t>
  </si>
  <si>
    <t>REVIEWS IN CARDIOVASCULAR MEDICINE</t>
  </si>
  <si>
    <t>Rev Cardiovasc Med</t>
  </si>
  <si>
    <t>MedReviews, LLC</t>
  </si>
  <si>
    <t>100940588</t>
  </si>
  <si>
    <t>Reviews in endocrine &amp; metabolic disorders</t>
  </si>
  <si>
    <t>REVIEWS IN ENDOCRINE &amp; METABOLIC DISORDERS</t>
  </si>
  <si>
    <t>Rev Endocr Metab Disord</t>
  </si>
  <si>
    <t>9112448</t>
  </si>
  <si>
    <t>Reviews in medical virology</t>
  </si>
  <si>
    <t>REVIEWS IN MEDICAL VIROLOGY</t>
  </si>
  <si>
    <t>Rev Med Virol</t>
  </si>
  <si>
    <t>101223246</t>
  </si>
  <si>
    <t>Reviews in neurological diseases</t>
  </si>
  <si>
    <t>REVIEWS IN NEUROLOGICAL DISEASES</t>
  </si>
  <si>
    <t>Rev Neurol Dis</t>
  </si>
  <si>
    <t>19494378</t>
  </si>
  <si>
    <t>15452913</t>
  </si>
  <si>
    <t>MedReviews</t>
  </si>
  <si>
    <t>8711016</t>
  </si>
  <si>
    <t>Reviews in the neurosciences</t>
  </si>
  <si>
    <t>REVIEWS IN THE NEUROSCIENCES</t>
  </si>
  <si>
    <t>Rev Neurosci</t>
  </si>
  <si>
    <t>8703602</t>
  </si>
  <si>
    <t>Reviews of environmental contamination and toxicology</t>
  </si>
  <si>
    <t>REVIEWS OF ENVIRONMENTAL CONTAMINATION AND TOXICOLOGY</t>
  </si>
  <si>
    <t>Rev Environ Contam Toxicol</t>
  </si>
  <si>
    <t>Continues: Residue reviews.</t>
  </si>
  <si>
    <t>01795953</t>
  </si>
  <si>
    <t>0434624</t>
  </si>
  <si>
    <t>Reviews of physiology, biochemistry and pharmacology</t>
  </si>
  <si>
    <t>REVIEWS OF PHYSIOLOGY, BIOCHEMISTRY AND PHARMACOLOGY</t>
  </si>
  <si>
    <t>Rev Physiol Biochem Pharmacol</t>
  </si>
  <si>
    <t>Continues Ergebnisse der Physiologie, biologischen Chemie und experimentellen Pharmakologie.</t>
  </si>
  <si>
    <t>Biochemistry#Pharmacology#Physiology</t>
  </si>
  <si>
    <t>0425754</t>
  </si>
  <si>
    <t>Reviews on environmental health</t>
  </si>
  <si>
    <t>REVIEWS ON ENVIRONMENTAL HEALTH</t>
  </si>
  <si>
    <t>Rev Environ Health</t>
  </si>
  <si>
    <t>21910308</t>
  </si>
  <si>
    <t>00487554</t>
  </si>
  <si>
    <t>101270873</t>
  </si>
  <si>
    <t>Reviews on recent clinical trials</t>
  </si>
  <si>
    <t>REVIEWS ON RECENT CLINICAL TRIALS</t>
  </si>
  <si>
    <t>Rev Recent Clin Trials</t>
  </si>
  <si>
    <t>Bentham Science Pub.</t>
  </si>
  <si>
    <t>9438824</t>
  </si>
  <si>
    <t>Revista alergia Mexico (Tecamachalco, Puebla, Mexico : 1993)</t>
  </si>
  <si>
    <t>REVISTA ALERGIA MEXICO (TECAMACHALCO, PUEBLA, MEXICO : 1993)</t>
  </si>
  <si>
    <t>Rev Alerg Mex</t>
  </si>
  <si>
    <t>Continues: Revista alergia.</t>
  </si>
  <si>
    <t>Sociedad Mexicana De Alergia E Immunologia</t>
  </si>
  <si>
    <t>8002834</t>
  </si>
  <si>
    <t>Revista Argentina de microbiología</t>
  </si>
  <si>
    <t>REVISTA ARGENTINA DE MICROBIOLOGIA</t>
  </si>
  <si>
    <t>Rev Argent Microbiol</t>
  </si>
  <si>
    <t>Continues: Revista de la Asociación Argentina de Microbiología.</t>
  </si>
  <si>
    <t>Asociación Argentina de Microbiología.</t>
  </si>
  <si>
    <t>9104279</t>
  </si>
  <si>
    <t>Revista brasileira de cirurgia cardiovascular : órgão oficial da Sociedade Brasileira de Cirurgia Cardiovascular</t>
  </si>
  <si>
    <t>REVISTA BRASILEIRA DE CIRURGIA CARDIOVASCULAR : ORGAO OFICIAL DA SOCIEDADE BRASILEIRA DE CIRURGIA CARDIOVASCULAR</t>
  </si>
  <si>
    <t>Rev Bras Cir Cardiovasc</t>
  </si>
  <si>
    <t>16789741</t>
  </si>
  <si>
    <t>01027638</t>
  </si>
  <si>
    <t>Sociedade Brasileira de Cirurgia Cardiovascular</t>
  </si>
  <si>
    <t>7910105</t>
  </si>
  <si>
    <t>Revista brasileira de enfermagem</t>
  </si>
  <si>
    <t>REVISTA BRASILEIRA DE ENFERMAGEM</t>
  </si>
  <si>
    <t>Rev Bras Enferm</t>
  </si>
  <si>
    <t>Continues Anais de enfermagem.</t>
  </si>
  <si>
    <t>00347167</t>
  </si>
  <si>
    <t>Associacao Brasilerira de Enfermagem</t>
  </si>
  <si>
    <t>100954576</t>
  </si>
  <si>
    <t>Revista brasileira de epidemiologia = Brazilian journal of epidemiology</t>
  </si>
  <si>
    <t>REVISTA BRASILEIRA DE EPIDEMIOLOGIA = BRAZILIAN JOURNAL OF EPIDEMIOLOGY</t>
  </si>
  <si>
    <t>Rev Bras Epidemiol</t>
  </si>
  <si>
    <t>19805497</t>
  </si>
  <si>
    <t>1415790X</t>
  </si>
  <si>
    <t>9214757</t>
  </si>
  <si>
    <t>Revista brasileira de ginecologia e obstetrícia : revista da Federação Brasileira das Sociedades de Ginecologia e Obstetrícia</t>
  </si>
  <si>
    <t>REVISTA BRASILEIRA DE GINECOLOGIA E OBSTETRICIA : REVISTA DA FEDERACAO BRASILEIRA DAS SOCIEDADES DE GINECOLOGIA E OBSTETRICIA</t>
  </si>
  <si>
    <t>Rev Bras Ginecol Obstet</t>
  </si>
  <si>
    <t>18069339</t>
  </si>
  <si>
    <t>01007203</t>
  </si>
  <si>
    <t>Rev Y Med, Editora Arte E Ciencia</t>
  </si>
  <si>
    <t>9440482</t>
  </si>
  <si>
    <t>Revista brasileira de parasitologia veterinária = Brazilian journal of veterinary parasitology : Órgão Oficial do Colégio Brasileiro de Parasitologia Veterinária</t>
  </si>
  <si>
    <t>REVISTA BRASILEIRA DE PARASITOLOGIA VETERINARIA = BRAZILIAN JOURNAL OF VETERINARY PARASITOLOGY : ORGAO OFICIAL DO COLEGIO BRASILEIRO DE PARASITOLOGIA VETERINARIA</t>
  </si>
  <si>
    <t>Rev Bras Parasitol Vet</t>
  </si>
  <si>
    <t>19842961</t>
  </si>
  <si>
    <t>0103846X</t>
  </si>
  <si>
    <t>Colégio Brasileiro de Parasitologia Veterinária</t>
  </si>
  <si>
    <t>Parasitology#Veterinary Medicine</t>
  </si>
  <si>
    <t>100895975</t>
  </si>
  <si>
    <t>Revista brasileira de psiquiatria (São Paulo, Brazil : 1999)</t>
  </si>
  <si>
    <t>REVISTA BRASILEIRA DE PSIQUIATRIA (SAO PAULO, BRAZIL : 1999)</t>
  </si>
  <si>
    <t>Rev Bras Psiquiatr</t>
  </si>
  <si>
    <t>Continues: Revista ABP-APAL.</t>
  </si>
  <si>
    <t>1809452X</t>
  </si>
  <si>
    <t>Associação Brasileira de Psiquiatria</t>
  </si>
  <si>
    <t>0404256</t>
  </si>
  <si>
    <t>Revista brasileira de reumatologia</t>
  </si>
  <si>
    <t>REVISTA BRASILEIRA DE REUMATOLOGIA</t>
  </si>
  <si>
    <t>Rev Bras Reumatol</t>
  </si>
  <si>
    <t>18094570</t>
  </si>
  <si>
    <t>9506692</t>
  </si>
  <si>
    <t>Revista brasileira de terapia intensiva</t>
  </si>
  <si>
    <t>REVISTA BRASILEIRA DE TERAPIA INTENSIVA</t>
  </si>
  <si>
    <t>Rev Bras Ter Intensiva</t>
  </si>
  <si>
    <t>19824335</t>
  </si>
  <si>
    <t>0103507X</t>
  </si>
  <si>
    <t>Associação de Medicina Intensiva Brasileira</t>
  </si>
  <si>
    <t>9305754</t>
  </si>
  <si>
    <t>Revista chilena de infectología : órgano oficial de la Sociedad Chilena de Infectología</t>
  </si>
  <si>
    <t>REVISTA CHILENA DE INFECTOLOGIA : ORGANO OFICIAL DE LA SOCIEDAD CHILENA DE INFECTOLOGIA</t>
  </si>
  <si>
    <t>Rev Chilena Infectol</t>
  </si>
  <si>
    <t>07176341</t>
  </si>
  <si>
    <t>07161018</t>
  </si>
  <si>
    <t>Publicaciones Técnicas Mediterráneo, Ltda.</t>
  </si>
  <si>
    <t>Chile</t>
  </si>
  <si>
    <t>8608576</t>
  </si>
  <si>
    <t>Revista clínica española</t>
  </si>
  <si>
    <t>REVISTA CLINICA ESPANOLA</t>
  </si>
  <si>
    <t>Rev Clin Esp</t>
  </si>
  <si>
    <t>Absorbed: Nuevos archivos de la Facultad de Medicina. Nov. 1985 Boletín de la Fundación Jiménez Díaz.</t>
  </si>
  <si>
    <t>0074364</t>
  </si>
  <si>
    <t>Revista cubana de medicina tropical</t>
  </si>
  <si>
    <t>REVISTA CUBANA DE MEDICINA TROPICAL</t>
  </si>
  <si>
    <t>Rev Cubana Med Trop</t>
  </si>
  <si>
    <t>Continues: Revista Kuba de medicina tropical y parasitología.</t>
  </si>
  <si>
    <t>15613054</t>
  </si>
  <si>
    <t>03750760</t>
  </si>
  <si>
    <t>Centro Nacional de Información de Ciencias Médicas</t>
  </si>
  <si>
    <t>Cuba</t>
  </si>
  <si>
    <t>9308586</t>
  </si>
  <si>
    <t>Revista da Associação Médica Brasileira (1992)</t>
  </si>
  <si>
    <t>REVISTA DA ASSOCIACAO MEDICA BRASILEIRA (1992)</t>
  </si>
  <si>
    <t>Rev Assoc Med Bras</t>
  </si>
  <si>
    <t>Continues: AMB. Associação Médica Brasileira.</t>
  </si>
  <si>
    <t>Associação Médica Brasileira</t>
  </si>
  <si>
    <t>0242726</t>
  </si>
  <si>
    <t>Revista da Escola de Enfermagem da U S P</t>
  </si>
  <si>
    <t>REVISTA DA ESCOLA DE ENFERMAGEM DA U S P</t>
  </si>
  <si>
    <t>Rev Esc Enferm USP</t>
  </si>
  <si>
    <t>00806234</t>
  </si>
  <si>
    <t>R. U. S. P., Serviço de Documentação]</t>
  </si>
  <si>
    <t>7507456</t>
  </si>
  <si>
    <t>REVISTA DA SOCIEDADE BRASILEIRA DE MEDICINA TROPICAL</t>
  </si>
  <si>
    <t>Rev Soc Bras Med Trop</t>
  </si>
  <si>
    <t>16789849</t>
  </si>
  <si>
    <t>0404267</t>
  </si>
  <si>
    <t>Revista de biología tropical</t>
  </si>
  <si>
    <t>REVISTA DE BIOLOGIA TROPICAL</t>
  </si>
  <si>
    <t>Rev Biol Trop</t>
  </si>
  <si>
    <t>22152075</t>
  </si>
  <si>
    <t>00347744</t>
  </si>
  <si>
    <t>Univ. de Costa Rica.</t>
  </si>
  <si>
    <t>Costa Rica</t>
  </si>
  <si>
    <t>Biology#Tropical Medicine</t>
  </si>
  <si>
    <t>9601664</t>
  </si>
  <si>
    <t>Revista de calidad asistencial : organo de la Sociedad Española de Calidad Asistencial</t>
  </si>
  <si>
    <t>REVISTA DE CALIDAD ASISTENCIAL : ORGANO DE LA SOCIEDAD ESPANOLA DE CALIDAD ASISTENCIAL</t>
  </si>
  <si>
    <t>Rev Calid Asist</t>
  </si>
  <si>
    <t>Continues: Control de calidad asistencial.</t>
  </si>
  <si>
    <t>18871364</t>
  </si>
  <si>
    <t>1134282X</t>
  </si>
  <si>
    <t>101558644</t>
  </si>
  <si>
    <t>Revista de derecho y genoma humano = Law and the human genome review / Cátedra de Derecho y Genoma Humano/Fundación BBV-Diputación Foral de Bizkaia</t>
  </si>
  <si>
    <t>REVISTA DE DERECHO Y GENOMA HUMANO = LAW AND THE HUMAN GENOME REVIEW / CATEDRA DE DERECHO Y GENOMA HUMANO/FUNDACION BBV-DIPUTACION FORAL DE BIZKAIA</t>
  </si>
  <si>
    <t>Rev Derecho Genoma Hum</t>
  </si>
  <si>
    <t>Published simultaneously in English,1994-1997: Law and the human genome review; with issue for enero/jun.1998, absorbed the English language edition. Cf. Univ. of Iowa online cat.</t>
  </si>
  <si>
    <t>11347198</t>
  </si>
  <si>
    <t>Universidad de Deusto</t>
  </si>
  <si>
    <t>8309920</t>
  </si>
  <si>
    <t>Revista de enfermería (Barcelona, Spain)</t>
  </si>
  <si>
    <t>REVISTA DE ENFERMERIA (BARCELONA, SPAIN)</t>
  </si>
  <si>
    <t>Rev Enferm</t>
  </si>
  <si>
    <t>02105020</t>
  </si>
  <si>
    <t>0404271</t>
  </si>
  <si>
    <t>Revista de gastroenterología de México</t>
  </si>
  <si>
    <t>REVISTA DE GASTROENTEROLOGIA DE MEXICO</t>
  </si>
  <si>
    <t>Rev Gastroenterol Mex</t>
  </si>
  <si>
    <t>03750906</t>
  </si>
  <si>
    <t>Asociación Mexicana de Gastroenterología published by Elsevier</t>
  </si>
  <si>
    <t>9108294</t>
  </si>
  <si>
    <t>Revista de gastroenterología del Perú : órgano oficial de la Sociedad de Gastroenterología del Perú</t>
  </si>
  <si>
    <t>REVISTA DE GASTROENTEROLOGIA DEL PERU : ORGANO OFICIAL DE LA SOCIEDAD DE GASTROENTEROLOGIA DEL PERU</t>
  </si>
  <si>
    <t>Rev Gastroenterol Peru</t>
  </si>
  <si>
    <t>1609722X</t>
  </si>
  <si>
    <t>10225129</t>
  </si>
  <si>
    <t>Sociedad De Gastroenterologia Del Peru</t>
  </si>
  <si>
    <t>Peru</t>
  </si>
  <si>
    <t>9421552</t>
  </si>
  <si>
    <t>Revista de investigación clínica; organo del Hospital de Enfermedades de la Nutrición</t>
  </si>
  <si>
    <t>REVISTA DE INVESTIGACION CLINICA; ORGANO DEL HOSPITAL DE ENFERMEDADES DE LA NUTRICION</t>
  </si>
  <si>
    <t>Rev Invest Clin</t>
  </si>
  <si>
    <t>Instituto Nacional de la nutrición</t>
  </si>
  <si>
    <t>8303003</t>
  </si>
  <si>
    <t>Revista de la Facultad de Ciencias Médicas (Córdoba, Argentina)</t>
  </si>
  <si>
    <t>REVISTA DE LA FACULTAD DE CIENCIAS MEDICAS (CORDOBA, ARGENTINA)</t>
  </si>
  <si>
    <t>Rev Fac Cien Med Univ Nac Cordoba</t>
  </si>
  <si>
    <t>Continues: Revista de la Facultad de Ciencias Médicas de la Universidad Nac. de Córdoba.</t>
  </si>
  <si>
    <t>18530605</t>
  </si>
  <si>
    <t>00146722</t>
  </si>
  <si>
    <t>Universidad Nacional De Cordoba, Facultad De Ciencias Medicas</t>
  </si>
  <si>
    <t>0123071</t>
  </si>
  <si>
    <t>Revista de medicina de la Universidad de Navarra</t>
  </si>
  <si>
    <t>REVISTA DE MEDICINA DE LA UNIVERSIDAD DE NAVARRA</t>
  </si>
  <si>
    <t>Rev Med Univ Navarra</t>
  </si>
  <si>
    <t>Continues Revista de medicina del Estudio General de Navarra.</t>
  </si>
  <si>
    <t>05566177</t>
  </si>
  <si>
    <t>Universidad De Navarra. Facultad De Medicina</t>
  </si>
  <si>
    <t>7706841</t>
  </si>
  <si>
    <t>Revista de neurologia</t>
  </si>
  <si>
    <t>REVISTA DE NEUROLOGIA</t>
  </si>
  <si>
    <t>Rev Neurol</t>
  </si>
  <si>
    <t>15766578</t>
  </si>
  <si>
    <t>Revista De Neurologia</t>
  </si>
  <si>
    <t>101528851</t>
  </si>
  <si>
    <t>Revista de psiquiatrí́a y salud mental</t>
  </si>
  <si>
    <t>REVISTA DE PSIQUIATRIA Y SALUD MENTAL</t>
  </si>
  <si>
    <t>Rev Psiquiatr Salud Ment</t>
  </si>
  <si>
    <t>100936348</t>
  </si>
  <si>
    <t>Revista de salud pública (Bogotá, Colombia)</t>
  </si>
  <si>
    <t>REVISTA DE SALUD PUBLICA (BOGOTA, COLOMBIA)</t>
  </si>
  <si>
    <t>Rev Salud Publica (Bogota)</t>
  </si>
  <si>
    <t>01240064</t>
  </si>
  <si>
    <t>Instituto de Salud en el Trópico, Facultad de Medicina, Universidad Nacional de Colombia</t>
  </si>
  <si>
    <t>0135043</t>
  </si>
  <si>
    <t>Revista de saúde pública</t>
  </si>
  <si>
    <t>REVISTA DE SAUDE PUBLICA</t>
  </si>
  <si>
    <t>Rev Saude Publica</t>
  </si>
  <si>
    <t>Continues: Arquivos da Faculdade de Higiene e Saúde Pública da Universidade de São Paulo.</t>
  </si>
  <si>
    <t>15188787</t>
  </si>
  <si>
    <t>00348910</t>
  </si>
  <si>
    <t>Universidade De Sao Paulo. Faculdade De Higiene E Saude Publica</t>
  </si>
  <si>
    <t>7809515</t>
  </si>
  <si>
    <t>Revista do Colégio Brasileiro de Cirurgiões</t>
  </si>
  <si>
    <t>REVISTA DO COLEGIO BRASILEIRO DE CIRURGIOES</t>
  </si>
  <si>
    <t>Rev Col Bras Cir</t>
  </si>
  <si>
    <t>18094546</t>
  </si>
  <si>
    <t>01006991</t>
  </si>
  <si>
    <t>Colégio Brasileiro de Cirurgiões</t>
  </si>
  <si>
    <t>7507484</t>
  </si>
  <si>
    <t>Revista do Instituto de Medicina Tropical de São Paulo</t>
  </si>
  <si>
    <t>REVISTA DO INSTITUTO DE MEDICINA TROPICAL DE SAO PAULO</t>
  </si>
  <si>
    <t>Rev Inst Med Trop Sao Paulo</t>
  </si>
  <si>
    <t>Instituto De Medicina Tropical De Sao Paulo</t>
  </si>
  <si>
    <t>0134516</t>
  </si>
  <si>
    <t>Revista española de anestesiología y reanimación</t>
  </si>
  <si>
    <t>REVISTA ESPANOLA DE ANESTESIOLOGIA Y REANIMACION</t>
  </si>
  <si>
    <t>Rev Esp Anestesiol Reanim</t>
  </si>
  <si>
    <t>Continues: Revista española de anestesiología.</t>
  </si>
  <si>
    <t>23403284</t>
  </si>
  <si>
    <t>00349356</t>
  </si>
  <si>
    <t>Sociedad Espanola De Anestesiologia Y Reanimacion</t>
  </si>
  <si>
    <t>101587954</t>
  </si>
  <si>
    <t>Revista española de cardiología (English ed.)</t>
  </si>
  <si>
    <t>REVISTA ESPANOLA DE CARDIOLOGIA (ENGLISH ED.)</t>
  </si>
  <si>
    <t>Rev Esp Cardiol (Engl Ed)</t>
  </si>
  <si>
    <t>18855857</t>
  </si>
  <si>
    <t>101477399</t>
  </si>
  <si>
    <t>Revista española de cirugía ortopédica y traumatología</t>
  </si>
  <si>
    <t>REVISTA ESPANOLA DE CIRUGIA ORTOPEDICA Y TRAUMATOLOGIA</t>
  </si>
  <si>
    <t>Rev Esp Cir Ortop Traumatol</t>
  </si>
  <si>
    <t>Continues: Revista de ortopedia y traumatología.</t>
  </si>
  <si>
    <t>19888856</t>
  </si>
  <si>
    <t>18884415</t>
  </si>
  <si>
    <t>9007566</t>
  </si>
  <si>
    <t>Revista española de enfermedades digestivas : organo oficial de la Sociedad Española de Patología Digestiva</t>
  </si>
  <si>
    <t>REVISTA ESPANOLA DE ENFERMEDADES DIGESTIVAS : ORGANO OFICIAL DE LA SOCIEDAD ESPANOLA DE PATOLOGIA DIGESTIVA</t>
  </si>
  <si>
    <t>Rev Esp Enferm Dig</t>
  </si>
  <si>
    <t>Continues: Revista española de las enfermedades del aparato digestivo.</t>
  </si>
  <si>
    <t>Aran Ediciones</t>
  </si>
  <si>
    <t>8009022</t>
  </si>
  <si>
    <t>Revista española de geriatría y gerontología</t>
  </si>
  <si>
    <t>REVISTA ESPANOLA DE GERIATRIA Y GERONTOLOGIA</t>
  </si>
  <si>
    <t>Rev Esp Geriatr Gerontol</t>
  </si>
  <si>
    <t>Continues Revista española de gerontología y geriatría.</t>
  </si>
  <si>
    <t>101585329</t>
  </si>
  <si>
    <t>Revista española de medicina nuclear e imagen molecular</t>
  </si>
  <si>
    <t>REVISTA ESPANOLA DE MEDICINA NUCLEAR E IMAGEN MOLECULAR</t>
  </si>
  <si>
    <t>Rev Esp Med Nucl Imagen Mol</t>
  </si>
  <si>
    <t>Continues: Revista española de medicina nuclear.</t>
  </si>
  <si>
    <t>9108821</t>
  </si>
  <si>
    <t>Revista española de quimioterapia : publicación oficial de la Sociedad Española de Quimioterapia</t>
  </si>
  <si>
    <t>REVISTA ESPANOLA DE QUIMIOTERAPIA : PUBLICACION OFICIAL DE LA SOCIEDAD ESPANOLA DE QUIMIOTERAPIA</t>
  </si>
  <si>
    <t>Rev Esp Quimioter</t>
  </si>
  <si>
    <t>19889518</t>
  </si>
  <si>
    <t>Sociedad Española de Quimioterapia</t>
  </si>
  <si>
    <t>9600212</t>
  </si>
  <si>
    <t>Revista española de salud pública</t>
  </si>
  <si>
    <t>REVISTA ESPANOLA DE SALUD PUBLICA</t>
  </si>
  <si>
    <t>Rev Esp Salud Publica</t>
  </si>
  <si>
    <t>Continues: Revista de sanidad e higiene pública.</t>
  </si>
  <si>
    <t>11355727</t>
  </si>
  <si>
    <t>Ministerio De Sanidad Y Consumo</t>
  </si>
  <si>
    <t>101284897</t>
  </si>
  <si>
    <t>Revista española de sanidad penitenciaria</t>
  </si>
  <si>
    <t>REVISTA ESPANOLA DE SANIDAD PENITENCIARIA</t>
  </si>
  <si>
    <t>Rev Esp Sanid Penit</t>
  </si>
  <si>
    <t>15750620</t>
  </si>
  <si>
    <t>Cometa</t>
  </si>
  <si>
    <t>8504882</t>
  </si>
  <si>
    <t>Revista gaúcha de enfermagem / EENFUFRGS</t>
  </si>
  <si>
    <t>REVISTA GAUCHA DE ENFERMAGEM / EENFUFRGS</t>
  </si>
  <si>
    <t>Rev Gaucha Enferm</t>
  </si>
  <si>
    <t>19831447</t>
  </si>
  <si>
    <t>01026933</t>
  </si>
  <si>
    <t>Escola de Enfermagem da Universidade Federal do Rio Grande e do Sul</t>
  </si>
  <si>
    <t>9425531</t>
  </si>
  <si>
    <t>Revista iberoamericana de micología</t>
  </si>
  <si>
    <t>REVISTA IBEROAMERICANA DE MICOLOGIA</t>
  </si>
  <si>
    <t>Rev Iberoam Micol</t>
  </si>
  <si>
    <t>Absorbed: Revista argentina de micología. 2000 Continues: Revista ibérica de micología.</t>
  </si>
  <si>
    <t>Quarterly, &lt;Mar. 1997?-&gt;</t>
  </si>
  <si>
    <t>9420934</t>
  </si>
  <si>
    <t>Revista latino-americana de enfermagem</t>
  </si>
  <si>
    <t>REVISTA LATINO-AMERICANA DE ENFERMAGEM</t>
  </si>
  <si>
    <t>Rev Lat Am Enfermagem</t>
  </si>
  <si>
    <t>01041169</t>
  </si>
  <si>
    <t>Escola de Enfermagem de Ribeirão Preto, Universidade de São Paulo</t>
  </si>
  <si>
    <t>0404312</t>
  </si>
  <si>
    <t>Revista médica de Chile</t>
  </si>
  <si>
    <t>REVISTA MEDICA DE CHILE</t>
  </si>
  <si>
    <t>Rev Med Chil</t>
  </si>
  <si>
    <t>07176163</t>
  </si>
  <si>
    <t>00349887</t>
  </si>
  <si>
    <t>Sociedad Médica de Santiago</t>
  </si>
  <si>
    <t>1872</t>
  </si>
  <si>
    <t>7706654</t>
  </si>
  <si>
    <t>Revista médica de Panamá</t>
  </si>
  <si>
    <t>REVISTA MEDICA DE PANAMA</t>
  </si>
  <si>
    <t>Rev Med Panama</t>
  </si>
  <si>
    <t>Supersedes: Revista médica de Panamá.</t>
  </si>
  <si>
    <t>03791629</t>
  </si>
  <si>
    <t>Academia Panameña de Medicina y Cirugia.</t>
  </si>
  <si>
    <t>Panama</t>
  </si>
  <si>
    <t>101243727</t>
  </si>
  <si>
    <t>Revista médica del Instituto Mexicano del Seguro Social</t>
  </si>
  <si>
    <t>REVISTA MEDICA DEL INSTITUTO MEXICANO DEL SEGURO SOCIAL</t>
  </si>
  <si>
    <t>Rev Med Inst Mex Seguro Soc</t>
  </si>
  <si>
    <t>Continues: Revista médica (Instituto Mexicano del Seguro Social).</t>
  </si>
  <si>
    <t>04435117</t>
  </si>
  <si>
    <t>Coordinación de Educación en Salud, División de Innovación Educativa</t>
  </si>
  <si>
    <t>Epidemiology#Medicine#Public Health</t>
  </si>
  <si>
    <t>0413735</t>
  </si>
  <si>
    <t>Revista medico-chirurgicală̆ a Societă̆ţ̜ii de Medici ş̧i Naturaliş̧ti din Iaş̧i</t>
  </si>
  <si>
    <t>REVISTA MEDICO-CHIRURGICALA A SOCIETATII DE MEDICI SI NATURALISTI DIN IASI</t>
  </si>
  <si>
    <t>Rev Med Chir Soc Med Nat Iasi</t>
  </si>
  <si>
    <t>Continues: Revue médico-chirurgicale.</t>
  </si>
  <si>
    <t>00487848</t>
  </si>
  <si>
    <t>Societatii De Medici Si Naturalisti</t>
  </si>
  <si>
    <t>9705400</t>
  </si>
  <si>
    <t>Revista panamericana de salud pública = Pan American journal of public health</t>
  </si>
  <si>
    <t>REVISTA PANAMERICANA DE SALUD PUBLICA = PAN AMERICAN JOURNAL OF PUBLIC HEALTH</t>
  </si>
  <si>
    <t>Rev Panam Salud Publica</t>
  </si>
  <si>
    <t>Formed by the union of: Boletín de la Oficina Sanitaria Panamericana, and: Bulletin of the Pan American Health Organization.</t>
  </si>
  <si>
    <t>16805348</t>
  </si>
  <si>
    <t>10204989</t>
  </si>
  <si>
    <t>Pan American Health Organization</t>
  </si>
  <si>
    <t>9109353</t>
  </si>
  <si>
    <t>Revista paulista de pediatria : orgão oficial da Sociedade de Pediatria de São Paulo</t>
  </si>
  <si>
    <t>REVISTA PAULISTA DE PEDIATRIA : ORGAO OFICIAL DA SOCIEDADE DE PEDIATRIA DE SAO PAULO</t>
  </si>
  <si>
    <t>Rev Paul Pediatr</t>
  </si>
  <si>
    <t>19840462</t>
  </si>
  <si>
    <t>Sociedade De Pediatria De Sao Paulo</t>
  </si>
  <si>
    <t>101227566</t>
  </si>
  <si>
    <t>Revista peruana de medicina experimental y salud pública</t>
  </si>
  <si>
    <t>REVISTA PERUANA DE MEDICINA EXPERIMENTAL Y SALUD PUBLICA</t>
  </si>
  <si>
    <t>Rev Peru Med Exp Salud Publica</t>
  </si>
  <si>
    <t>Continues: Revista de medicina experimental.</t>
  </si>
  <si>
    <t>8710716</t>
  </si>
  <si>
    <t>Revista portuguesa de cardiologia : orgão oficial da Sociedade Portuguesa de Cardiologia = Portuguese journal of cardiology : an official journal of the Portuguese Society of Cardiology</t>
  </si>
  <si>
    <t>REVISTA PORTUGUESA DE CARDIOLOGIA : ORGAO OFICIAL DA SOCIEDADE PORTUGUESA DE CARDIOLOGIA = PORTUGUESE JOURNAL OF CARDIOLOGY : AN OFFICIAL JOURNAL OF THE PORTUGUESE SOCIETY OF CARDIOLOGY</t>
  </si>
  <si>
    <t>Rev Port Cardiol</t>
  </si>
  <si>
    <t>Continues: Boletim da Sociedade Portuguesa de Cardiologia.</t>
  </si>
  <si>
    <t>21742030</t>
  </si>
  <si>
    <t>Lisbon</t>
  </si>
  <si>
    <t>101154446</t>
  </si>
  <si>
    <t>Revista portuguesa de cirurgia cardio-torácica e vascular : órgão oficial da Sociedade Portuguesa de Cirurgia Cardio-Torácica e Vascular</t>
  </si>
  <si>
    <t>REVISTA PORTUGUESA DE CIRURGIA CARDIO-TORACICA E VASCULAR : ORGAO OFICIAL DA SOCIEDADE PORTUGUESA DE CIRURGIA CARDIO-TORACICA E VASCULAR</t>
  </si>
  <si>
    <t>Rev Port Cir Cardiotorac Vasc</t>
  </si>
  <si>
    <t>08737215</t>
  </si>
  <si>
    <t>Sociedade Portuguesa de Cirurgia Cardio-Torácica e Vascular</t>
  </si>
  <si>
    <t>9813736</t>
  </si>
  <si>
    <t>Revista portuguesa de pneumologia</t>
  </si>
  <si>
    <t>REVISTA PORTUGUESA DE PNEUMOLOGIA</t>
  </si>
  <si>
    <t>Rev Port Pneumol</t>
  </si>
  <si>
    <t>Continues: Arquivos da Sociedade Portuguesa de Patologia Respiratória.</t>
  </si>
  <si>
    <t>101555375</t>
  </si>
  <si>
    <t>Revue belge de médecine dentaire</t>
  </si>
  <si>
    <t>REVUE BELGE DE MEDECINE DENTAIRE</t>
  </si>
  <si>
    <t>Rev Belge Med Dent (1984)</t>
  </si>
  <si>
    <t>Continues: Revue belge de médecine dentaire (1962).</t>
  </si>
  <si>
    <t>07750293</t>
  </si>
  <si>
    <t>Société de médecine dentaire</t>
  </si>
  <si>
    <t>Three no. a year, 2010-</t>
  </si>
  <si>
    <t>9805018</t>
  </si>
  <si>
    <t>Revue de la Société française d'histoire des hôpitaux</t>
  </si>
  <si>
    <t>REVUE DE LA SOCIETE FRANCAISE D'HISTOIRE DES HOPITAUX</t>
  </si>
  <si>
    <t>Rev Soc Fr Hist Hop</t>
  </si>
  <si>
    <t>Continues: Bulletin - Société française d'histoire des hôpitaux.</t>
  </si>
  <si>
    <t>1255250X</t>
  </si>
  <si>
    <t>Societe Francaise D Histoire Des Hopitaux</t>
  </si>
  <si>
    <t>0414144</t>
  </si>
  <si>
    <t>Revue de laryngologie - otologie - rhinologie</t>
  </si>
  <si>
    <t>REVUE DE LARYNGOLOGIE - OTOLOGIE - RHINOLOGIE</t>
  </si>
  <si>
    <t>Rev Laryngol Otol Rhinol (Bord)</t>
  </si>
  <si>
    <t>Continues: Revue mensuelle de laryngologie, d'otologie et de rhinologie.</t>
  </si>
  <si>
    <t>Revue De Laryngologie</t>
  </si>
  <si>
    <t>1889</t>
  </si>
  <si>
    <t>1267175</t>
  </si>
  <si>
    <t>Revue de l'infirmière</t>
  </si>
  <si>
    <t>REVUE DE L'INFIRMIERE</t>
  </si>
  <si>
    <t>Rev Infirm</t>
  </si>
  <si>
    <t>Absorbed Revue de l'infirmière. Informations, Jan. 1982.</t>
  </si>
  <si>
    <t>12938505</t>
  </si>
  <si>
    <t>Expansion scientifique française.</t>
  </si>
  <si>
    <t>Eleven no. a year, 1998-</t>
  </si>
  <si>
    <t>8101383</t>
  </si>
  <si>
    <t>La Revue de médecine interne / fondée ... par la Société nationale francaise de médecine interne</t>
  </si>
  <si>
    <t>REVUE DE MEDECINE INTERNE / FONDEE ... PAR LA SOCIETE NATIONALE FRANCAISE DE MEDECINE INTERNE</t>
  </si>
  <si>
    <t>Rev Med Interne</t>
  </si>
  <si>
    <t>Continues: Coeur et médecine interne.</t>
  </si>
  <si>
    <t>8406312</t>
  </si>
  <si>
    <t>Revue de pneumologie clinique</t>
  </si>
  <si>
    <t>REVUE DE PNEUMOLOGIE CLINIQUE</t>
  </si>
  <si>
    <t>Rev Pneumol Clin</t>
  </si>
  <si>
    <t>Continues: Le Poumon et le coeur.</t>
  </si>
  <si>
    <t>101592994</t>
  </si>
  <si>
    <t>Revue de stomatologie, de chirurgie maxillo-faciale et de chirurgie orale</t>
  </si>
  <si>
    <t>REVUE DE STOMATOLOGIE, DE CHIRURGIE MAXILLO-FACIALE ET DE CHIRURGIE ORALE</t>
  </si>
  <si>
    <t>Rev Stomatol Chir Maxillofac Chir Orale</t>
  </si>
  <si>
    <t>Continues: Revue de stomatologie et de chirurgie maxillo-faciale.</t>
  </si>
  <si>
    <t>22136541</t>
  </si>
  <si>
    <t>22136533</t>
  </si>
  <si>
    <t>8711586</t>
  </si>
  <si>
    <t>Revue de synthèse / Centre international de synthèse</t>
  </si>
  <si>
    <t>REVUE DE SYNTHESE / CENTRE INTERNATIONAL DE SYNTHESE</t>
  </si>
  <si>
    <t>Rev Synth</t>
  </si>
  <si>
    <t>Continues: Revue de synthèse historique.</t>
  </si>
  <si>
    <t>00351776</t>
  </si>
  <si>
    <t>Editions A. Michel</t>
  </si>
  <si>
    <t>7608039</t>
  </si>
  <si>
    <t>Revue d'épidémiologie et de santé publique</t>
  </si>
  <si>
    <t>REVUE D'EPIDEMIOLOGIE ET DE SANTE PUBLIQUE</t>
  </si>
  <si>
    <t>Rev Epidemiol Sante Publique</t>
  </si>
  <si>
    <t>Continues Revue d'épidémiologie, médecine sociale et santé publique.</t>
  </si>
  <si>
    <t>8408032</t>
  </si>
  <si>
    <t>Revue des maladies respiratoires</t>
  </si>
  <si>
    <t>REVUE DES MALADIES RESPIRATOIRES</t>
  </si>
  <si>
    <t>Rev Mal Respir</t>
  </si>
  <si>
    <t>Continues: Revue française des maladies respiratoires.</t>
  </si>
  <si>
    <t>Elsevier-Masson</t>
  </si>
  <si>
    <t>0204315</t>
  </si>
  <si>
    <t>Revue d'histoire de la pharmacie</t>
  </si>
  <si>
    <t>REVUE D'HISTOIRE DE LA PHARMACIE</t>
  </si>
  <si>
    <t>Rev Hist Pharm (Paris)</t>
  </si>
  <si>
    <t>Continues: Bulletin de la Société d'histoire de la pharmacie.</t>
  </si>
  <si>
    <t>00352349</t>
  </si>
  <si>
    <t>Societe D Histoire De La Pharmacie</t>
  </si>
  <si>
    <t>0404334</t>
  </si>
  <si>
    <t>La Revue du praticien</t>
  </si>
  <si>
    <t>REVUE DU PRATICIEN</t>
  </si>
  <si>
    <t>Rev Prat</t>
  </si>
  <si>
    <t>Merger of: Paris médical; and, Revue générale de clinique et de thérapeutique. Continued in part by: Revue du praticien. Médecine générale in 1987.</t>
  </si>
  <si>
    <t>J.-B. Baillière.</t>
  </si>
  <si>
    <t>60 no. per year</t>
  </si>
  <si>
    <t>8003474</t>
  </si>
  <si>
    <t>Revue médicale de Bruxelles</t>
  </si>
  <si>
    <t>REVUE MEDICALE DE BRUXELLES</t>
  </si>
  <si>
    <t>Rev Med Brux</t>
  </si>
  <si>
    <t>Absorbed Bruxelles medical, Jan. 1980.</t>
  </si>
  <si>
    <t>Association des médecins anciens étudiants de l'Université libre de Bruxelles</t>
  </si>
  <si>
    <t>0404317</t>
  </si>
  <si>
    <t>Revue médicale de Liège</t>
  </si>
  <si>
    <t>REVUE MEDICALE DE LIEGE</t>
  </si>
  <si>
    <t>Rev Med Liege</t>
  </si>
  <si>
    <t>Hopital De Baviere</t>
  </si>
  <si>
    <t>101219148</t>
  </si>
  <si>
    <t>Revue médicale suisse</t>
  </si>
  <si>
    <t>REVUE MEDICALE SUISSE</t>
  </si>
  <si>
    <t>Rev Med Suisse</t>
  </si>
  <si>
    <t>Merger of: Revue médicale de la Suisse romande, and: Médecine et hygiène.</t>
  </si>
  <si>
    <t>Médecine et Hygiène</t>
  </si>
  <si>
    <t>Weekly (46 issues per year)</t>
  </si>
  <si>
    <t>2984779R</t>
  </si>
  <si>
    <t>Revue neurologique</t>
  </si>
  <si>
    <t>REVUE NEUROLOGIQUE</t>
  </si>
  <si>
    <t>Rev Neurol (Paris)</t>
  </si>
  <si>
    <t>1893</t>
  </si>
  <si>
    <t>8712301</t>
  </si>
  <si>
    <t>Revue scientifique et technique (International Office of Epizootics)</t>
  </si>
  <si>
    <t>REVUE SCIENTIFIQUE ET TECHNIQUE (INTERNATIONAL OFFICE OF EPIZOOTICS)</t>
  </si>
  <si>
    <t>Rev Sci Tech</t>
  </si>
  <si>
    <t>16080637</t>
  </si>
  <si>
    <t>02531933</t>
  </si>
  <si>
    <t>Office international des épizooties</t>
  </si>
  <si>
    <t>Three no. a year, &lt;Aug. 2002-&gt;</t>
  </si>
  <si>
    <t>Communicable Diseases#Veterinary Medicine</t>
  </si>
  <si>
    <t>8708093</t>
  </si>
  <si>
    <t>Rheumatic diseases clinics of North America</t>
  </si>
  <si>
    <t>RHEUMATIC DISEASES CLINICS OF NORTH AMERICA</t>
  </si>
  <si>
    <t>Rheum Dis Clin North Am</t>
  </si>
  <si>
    <t>Continues in part: Clinics in rheumatic diseases.</t>
  </si>
  <si>
    <t>100883501</t>
  </si>
  <si>
    <t>Rheumatology (Oxford, England)</t>
  </si>
  <si>
    <t>RHEUMATOLOGY (OXFORD, ENGLAND)</t>
  </si>
  <si>
    <t>Rheumatology (Oxford)</t>
  </si>
  <si>
    <t>Continues: British journal of rheumatology.</t>
  </si>
  <si>
    <t>8206885</t>
  </si>
  <si>
    <t>Rheumatology international</t>
  </si>
  <si>
    <t>RHEUMATOLOGY INTERNATIONAL</t>
  </si>
  <si>
    <t>Rheumatol Int</t>
  </si>
  <si>
    <t>0347242</t>
  </si>
  <si>
    <t>Rhinology</t>
  </si>
  <si>
    <t>RHINOLOGY</t>
  </si>
  <si>
    <t>Continues International rhinology.</t>
  </si>
  <si>
    <t>03000729</t>
  </si>
  <si>
    <t>International Rhinologic Society</t>
  </si>
  <si>
    <t>9004674</t>
  </si>
  <si>
    <t>Rhinology. Supplement</t>
  </si>
  <si>
    <t>RHINOLOGY. SUPPLEMENT</t>
  </si>
  <si>
    <t>Rhinol Suppl</t>
  </si>
  <si>
    <t>10130047</t>
  </si>
  <si>
    <t>101605827</t>
  </si>
  <si>
    <t>Rhode Island medical journal (2013)</t>
  </si>
  <si>
    <t>RHODE ISLAND MEDICAL JOURNAL (2013)</t>
  </si>
  <si>
    <t>R I Med J (2013)</t>
  </si>
  <si>
    <t>Continues: Medicine and health, Rhode Island.</t>
  </si>
  <si>
    <t>23272228</t>
  </si>
  <si>
    <t>03637913</t>
  </si>
  <si>
    <t>9419185</t>
  </si>
  <si>
    <t>Rinshō Biseibutsu Jinsoku Shindan Kenkyūkai shi = JARMAM : Journal of the Association for Rapid Method and Automation in Microbiology</t>
  </si>
  <si>
    <t>RINSHO BISEIBUTSU JINSOKU SHINDAN KENKYUKAI SHI = JARMAM : JOURNAL OF THE ASSOCIATION FOR RAPID METHOD AND AUTOMATION IN MICROBIOLOGY</t>
  </si>
  <si>
    <t>Rinsho Biseibutshu Jinsoku Shindan Kenkyukai Shi</t>
  </si>
  <si>
    <t>09151753</t>
  </si>
  <si>
    <t>Rinsho Biseibutsu Jinsoku Shindan Kenkyukai</t>
  </si>
  <si>
    <t>2984781R</t>
  </si>
  <si>
    <t>Rinsho byori. The Japanese journal of clinical pathology</t>
  </si>
  <si>
    <t>RINSHO BYORI. THE JAPANESE JOURNAL OF CLINICAL PATHOLOGY</t>
  </si>
  <si>
    <t>Rinsho Byori</t>
  </si>
  <si>
    <t>00471860</t>
  </si>
  <si>
    <t>Nihon Rinsho Byori Gakkai</t>
  </si>
  <si>
    <t>2984782R</t>
  </si>
  <si>
    <t>[Rinshō ketsueki] The Japanese journal of clinical hematology</t>
  </si>
  <si>
    <t>RINSHO KETSUEKI] THE JAPANESE JOURNAL OF CLINICAL HEMATOLOGY</t>
  </si>
  <si>
    <t>Rinsho Ketsueki</t>
  </si>
  <si>
    <t>18820824</t>
  </si>
  <si>
    <t>04851439</t>
  </si>
  <si>
    <t>Japan Society Of Clinical Hematology</t>
  </si>
  <si>
    <t>0417466</t>
  </si>
  <si>
    <t>Rinshō shinkeigaku = Clinical neurology</t>
  </si>
  <si>
    <t>RINSHO SHINKEIGAKU = CLINICAL NEUROLOGY</t>
  </si>
  <si>
    <t>Rinsho Shinkeigaku</t>
  </si>
  <si>
    <t>18820654</t>
  </si>
  <si>
    <t>Nihon Shinkei Gakkai</t>
  </si>
  <si>
    <t>8109978</t>
  </si>
  <si>
    <t>Risk analysis : an official publication of the Society for Risk Analysis</t>
  </si>
  <si>
    <t>RISK ANALYSIS : AN OFFICIAL PUBLICATION OF THE SOCIETY FOR RISK ANALYSIS</t>
  </si>
  <si>
    <t>Risk Anal</t>
  </si>
  <si>
    <t>15396924</t>
  </si>
  <si>
    <t>02724332</t>
  </si>
  <si>
    <t>0425672</t>
  </si>
  <si>
    <t>Rivista di psichiatria</t>
  </si>
  <si>
    <t>RIVISTA DI PSICHIATRIA</t>
  </si>
  <si>
    <t>Riv Psichiatr</t>
  </si>
  <si>
    <t>Il Pensiero scientifico</t>
  </si>
  <si>
    <t>9509184</t>
  </si>
  <si>
    <t>RNA (New York, N.Y.)</t>
  </si>
  <si>
    <t>RNA (NEW YORK, N.Y.)</t>
  </si>
  <si>
    <t>101235328</t>
  </si>
  <si>
    <t>RNA biology</t>
  </si>
  <si>
    <t>RNA BIOLOGY</t>
  </si>
  <si>
    <t>RNA Biol</t>
  </si>
  <si>
    <t>0414756</t>
  </si>
  <si>
    <t>Roczniki Państwowego Zakładu Higieny</t>
  </si>
  <si>
    <t>ROCZNIKI PANSTWOWEGO ZAKLADU HIGIENY</t>
  </si>
  <si>
    <t>Rocz Panstw Zakl Hig</t>
  </si>
  <si>
    <t>00357715</t>
  </si>
  <si>
    <t>Państwowy Zakład Wydawnictw Lekarskich.</t>
  </si>
  <si>
    <t>7507497</t>
  </si>
  <si>
    <t>RöFo : Fortschritte auf dem Gebiete der Röntgenstrahlen und der Nuklearmedizin</t>
  </si>
  <si>
    <t>ROFO : FORTSCHRITTE AUF DEM GEBIETE DER RONTGENSTRAHLEN UND DER NUKLEARMEDIZIN</t>
  </si>
  <si>
    <t>Rofo</t>
  </si>
  <si>
    <t>Absorbed: Aktuelle Radiologie. 1999 Continues: Fortschritte auf dem Gebiete der Röntgenstrahlen und der Nuklearmedizin.</t>
  </si>
  <si>
    <t>Diagnostic Imaging#Nuclear Medicine#Radiology</t>
  </si>
  <si>
    <t>9304507</t>
  </si>
  <si>
    <t>Romanian journal of internal medicine = Revue roumaine de médecine interne</t>
  </si>
  <si>
    <t>ROMANIAN JOURNAL OF INTERNAL MEDICINE = REVUE ROUMAINE DE MEDECINE INTERNE</t>
  </si>
  <si>
    <t>Rom J Intern Med</t>
  </si>
  <si>
    <t>Continues: Médecine interne.</t>
  </si>
  <si>
    <t>12204749</t>
  </si>
  <si>
    <t>Editura Academiei Române</t>
  </si>
  <si>
    <t>9112454</t>
  </si>
  <si>
    <t>Romanian journal of morphology and embryology = Revue roumaine de morphologie et embryologie</t>
  </si>
  <si>
    <t>ROMANIAN JOURNAL OF MORPHOLOGY AND EMBRYOLOGY = REVUE ROUMAINE DE MORPHOLOGIE ET EMBRYOLOGIE</t>
  </si>
  <si>
    <t>Rom J Morphol Embryol</t>
  </si>
  <si>
    <t>Continues: Morphologie et embryologie.</t>
  </si>
  <si>
    <t>12200522</t>
  </si>
  <si>
    <t>9437433</t>
  </si>
  <si>
    <t>Romanian journal of physiology : physiological sciences / [Academia de Stiinte Medicale]</t>
  </si>
  <si>
    <t>ROMANIAN JOURNAL OF PHYSIOLOGY : PHYSIOLOGICAL SCIENCES / [ACADEMIA DE STIINTE MEDICALE]</t>
  </si>
  <si>
    <t>Rom J Physiol</t>
  </si>
  <si>
    <t>Continues: Revue roumaine de physiologie (Bucharest, Romania : 1990).</t>
  </si>
  <si>
    <t>12234974</t>
  </si>
  <si>
    <t>0404365</t>
  </si>
  <si>
    <t>Röntgenpraxis; Zeitschrift für radiologische Technik</t>
  </si>
  <si>
    <t>RONTGENPRAXIS; ZEITSCHRIFT FUR RADIOLOGISCHE TECHNIK</t>
  </si>
  <si>
    <t>Rontgenpraxis</t>
  </si>
  <si>
    <t>Continues in part Röntgen- und Laboratoriumspraxis.</t>
  </si>
  <si>
    <t>00357820</t>
  </si>
  <si>
    <t>S. Hirzel.</t>
  </si>
  <si>
    <t>9715665</t>
  </si>
  <si>
    <t>Rossiĭskii fiziologicheskiĭ zhurnal imeni I.M. Sechenova / Rossiĭskaia akademiia nauk</t>
  </si>
  <si>
    <t>ROSSIISKII FIZIOLOGICHESKII ZHURNAL IMENI I.M. SECHENOVA / ROSSIISKAIA AKADEMIIA NAUK</t>
  </si>
  <si>
    <t>Ross Fiziol Zh Im I M Sechenova</t>
  </si>
  <si>
    <t>Continues: Fiziologicheskiĭ zhurnal imeni I.M. Sechenova.</t>
  </si>
  <si>
    <t>08698139</t>
  </si>
  <si>
    <t>101574937</t>
  </si>
  <si>
    <t>Rossiĭskiĭ immunologicheskiĭ zhurnal</t>
  </si>
  <si>
    <t>ROSSIISKII IMMUNOLOGICHESKII ZHURNAL</t>
  </si>
  <si>
    <t>Ross Immunol Zhurnal</t>
  </si>
  <si>
    <t>Continues: Russian journal of immunology.</t>
  </si>
  <si>
    <t>9204717</t>
  </si>
  <si>
    <t>Roumanian archives of microbiology and immunology</t>
  </si>
  <si>
    <t>ROUMANIAN ARCHIVES OF MICROBIOLOGY AND IMMUNOLOGY</t>
  </si>
  <si>
    <t>Roum Arch Microbiol Immunol</t>
  </si>
  <si>
    <t>Continues: Archives roumaines de pathologie expérimentales et de microbiologie.</t>
  </si>
  <si>
    <t>12223891</t>
  </si>
  <si>
    <t>Institutul Cantacuzino</t>
  </si>
  <si>
    <t>9815441</t>
  </si>
  <si>
    <t>Rozhledy v chirurgii : měsíčník Československé chirurgické společnosti</t>
  </si>
  <si>
    <t>ROZHLEDY V CHIRURGII : MESICNIK CESKOSLOVENSKE CHIRURGICKE SPOLECNOSTI</t>
  </si>
  <si>
    <t>Rozhl Chir</t>
  </si>
  <si>
    <t>Continues in part: Rozhledy v chirurgii a gynaekologii.</t>
  </si>
  <si>
    <t>00359351</t>
  </si>
  <si>
    <t>Nákladem Československé chirurugické společnosti</t>
  </si>
  <si>
    <t>101174860</t>
  </si>
  <si>
    <t>Rural and remote health</t>
  </si>
  <si>
    <t>RURAL AND REMOTE HEALTH</t>
  </si>
  <si>
    <t>Rural Remote Health</t>
  </si>
  <si>
    <t>14456354</t>
  </si>
  <si>
    <t>Deakin University</t>
  </si>
  <si>
    <t>101130373</t>
  </si>
  <si>
    <t>Rural policy brief</t>
  </si>
  <si>
    <t>RURAL POLICY BRIEF</t>
  </si>
  <si>
    <t>Rural Policy Brief</t>
  </si>
  <si>
    <t>21520267</t>
  </si>
  <si>
    <t>University of Iowa, Dept. of Health Management &amp; Policy, College of Public Health</t>
  </si>
  <si>
    <t>0403245</t>
  </si>
  <si>
    <t>SAAD digest</t>
  </si>
  <si>
    <t>SAAD DIGEST</t>
  </si>
  <si>
    <t>SAAD Dig</t>
  </si>
  <si>
    <t>00491160</t>
  </si>
  <si>
    <t>Society For The Advancement Of Anaesthesia In Dentistry</t>
  </si>
  <si>
    <t>9812497</t>
  </si>
  <si>
    <t>SADJ : journal of the South African Dental Association = tydskrif van die Suid-Afrikaanse Tandheelkundige Vereniging</t>
  </si>
  <si>
    <t>SADJ : JOURNAL OF THE SOUTH AFRICAN DENTAL ASSOCIATION = TYDSKRIF VAN DIE SUID-AFRIKAANSE TANDHEELKUNDIGE VERENIGING</t>
  </si>
  <si>
    <t>SADJ</t>
  </si>
  <si>
    <t>Continues: Journal of the Dental Association of South Africa.</t>
  </si>
  <si>
    <t>10294864</t>
  </si>
  <si>
    <t>South African Dental Association</t>
  </si>
  <si>
    <t>101226212</t>
  </si>
  <si>
    <t>SAHARA J : journal of Social Aspects of HIV/AIDS Research Alliance / SAHARA , Human Sciences Research Council</t>
  </si>
  <si>
    <t>SAHARA J : JOURNAL OF SOCIAL ASPECTS OF HIV/AIDS RESEARCH ALLIANCE / SAHARA , HUMAN SCIENCES RESEARCH COUNCIL</t>
  </si>
  <si>
    <t>SAHARA J</t>
  </si>
  <si>
    <t>18134424</t>
  </si>
  <si>
    <t>17290376</t>
  </si>
  <si>
    <t>South African Medical Association, Health and Medical Pub. Group</t>
  </si>
  <si>
    <t>Acquired Immunodeficiency Syndrome#Social Sciences</t>
  </si>
  <si>
    <t>101276038</t>
  </si>
  <si>
    <t>Salud colectiva</t>
  </si>
  <si>
    <t>SALUD COLECTIVA</t>
  </si>
  <si>
    <t>Salud Colect</t>
  </si>
  <si>
    <t>18518265</t>
  </si>
  <si>
    <t>16692381</t>
  </si>
  <si>
    <t>Universidad Nacional de Lanús</t>
  </si>
  <si>
    <t>0404371</t>
  </si>
  <si>
    <t>Salud pública de México</t>
  </si>
  <si>
    <t>SALUD PUBLICA DE MEXICO</t>
  </si>
  <si>
    <t>Salud Publica Mex</t>
  </si>
  <si>
    <t>16067916</t>
  </si>
  <si>
    <t>00363634</t>
  </si>
  <si>
    <t>Instituto Nacional de Salud Pública</t>
  </si>
  <si>
    <t>9507473</t>
  </si>
  <si>
    <t>Sangyō eiseigaku zasshi = Journal of occupational health</t>
  </si>
  <si>
    <t>SANGYO EISEIGAKU ZASSHI = JOURNAL OF OCCUPATIONAL HEALTH</t>
  </si>
  <si>
    <t>Sangyo Eiseigaku Zasshi</t>
  </si>
  <si>
    <t>Continues: Sangyō igaku, published 1959-1994?. Continued in part by: Journal of occupational health.</t>
  </si>
  <si>
    <t>1349533X</t>
  </si>
  <si>
    <t>13410725</t>
  </si>
  <si>
    <t>Nihon Sangyō Eisei Gakkai</t>
  </si>
  <si>
    <t>9424773</t>
  </si>
  <si>
    <t>Santé mentale au Québec</t>
  </si>
  <si>
    <t>SANTE MENTALE AU QUEBEC</t>
  </si>
  <si>
    <t>Sante Ment Que</t>
  </si>
  <si>
    <t>03836320</t>
  </si>
  <si>
    <t>Communauté et santé mentale</t>
  </si>
  <si>
    <t>Health Services#Psychiatry#Psychology</t>
  </si>
  <si>
    <t>9216153</t>
  </si>
  <si>
    <t>Santé publique (Vandoeuvre-lès-Nancy, France)</t>
  </si>
  <si>
    <t>SANTE PUBLIQUE (VANDOEUVRE-LES-NANCY, FRANCE)</t>
  </si>
  <si>
    <t>Sante Publique</t>
  </si>
  <si>
    <t>Formed by the union of: Cahiers de l'Ecole nationale de la santé publique, and: Revue française de la santé publique. Absorbed: Pratiques et organisation des soins.</t>
  </si>
  <si>
    <t>21043841</t>
  </si>
  <si>
    <t>09953914</t>
  </si>
  <si>
    <t>SFSP ; Rennes : ENSP</t>
  </si>
  <si>
    <t>100897261</t>
  </si>
  <si>
    <t>São Paulo medical journal = Revista paulista de medicina</t>
  </si>
  <si>
    <t>SAO PAULO MEDICAL JOURNAL = REVISTA PAULISTA DE MEDICINA</t>
  </si>
  <si>
    <t>Sao Paulo Med J</t>
  </si>
  <si>
    <t>Continues: Revista paulista de medicina.</t>
  </si>
  <si>
    <t>18069460</t>
  </si>
  <si>
    <t>Associação Paulista de Medicina</t>
  </si>
  <si>
    <t>9440156</t>
  </si>
  <si>
    <t>SAR and QSAR in environmental research</t>
  </si>
  <si>
    <t>SAR AND QSAR IN ENVIRONMENTAL RESEARCH</t>
  </si>
  <si>
    <t>SAR QSAR Environ Res</t>
  </si>
  <si>
    <t>1029046X</t>
  </si>
  <si>
    <t>1062936X</t>
  </si>
  <si>
    <t>1026776X</t>
  </si>
  <si>
    <t>Eight no. a year 2002-</t>
  </si>
  <si>
    <t>9610928</t>
  </si>
  <si>
    <t>Sarcoidosis, vasculitis, and diffuse lung diseases : official journal of WASOG / World Association of Sarcoidosis and Other Granulomatous Disorders</t>
  </si>
  <si>
    <t>SARCOIDOSIS, VASCULITIS, AND DIFFUSE LUNG DISEASES : OFFICIAL JOURNAL OF WASOG / WORLD ASSOCIATION OF SARCOIDOSIS AND OTHER GRANULOMATOUS DISORDERS</t>
  </si>
  <si>
    <t>Sarcoidosis Vasc Diffuse Lung Dis</t>
  </si>
  <si>
    <t>Continues: Sarcoidosis.</t>
  </si>
  <si>
    <t>Allergy and Immunology#Pulmonary Medicine#Vascular Diseases</t>
  </si>
  <si>
    <t>9516979</t>
  </si>
  <si>
    <t>Saudi journal of gastroenterology : official journal of the Saudi Gastroenterology Association</t>
  </si>
  <si>
    <t>SAUDI JOURNAL OF GASTROENTEROLOGY : OFFICIAL JOURNAL OF THE SAUDI GASTROENTEROLOGY ASSOCIATION</t>
  </si>
  <si>
    <t>Saudi J Gastroenterol</t>
  </si>
  <si>
    <t>9436968</t>
  </si>
  <si>
    <t>Saudi journal of kidney diseases and transplantation : an official publication of the Saudi Center for Organ Transplantation, Saudi Arabia</t>
  </si>
  <si>
    <t>SAUDI JOURNAL OF KIDNEY DISEASES AND TRANSPLANTATION : AN OFFICIAL PUBLICATION OF THE SAUDI CENTER FOR ORGAN TRANSPLANTATION, SAUDI ARABIA</t>
  </si>
  <si>
    <t>Saudi J Kidney Dis Transpl</t>
  </si>
  <si>
    <t>Continues: Saudi kidney diseases and transplantation bulletin.</t>
  </si>
  <si>
    <t>13192442</t>
  </si>
  <si>
    <t>Saudi Center for Organ Transplantation</t>
  </si>
  <si>
    <t>7909441</t>
  </si>
  <si>
    <t>Saudi medical journal</t>
  </si>
  <si>
    <t>SAUDI MEDICAL JOURNAL</t>
  </si>
  <si>
    <t>Saudi Med J</t>
  </si>
  <si>
    <t>Medical Services Department, Saudi Arabian Armed Forces, Ministry Of Defence And Aviation</t>
  </si>
  <si>
    <t>9708377</t>
  </si>
  <si>
    <t>Scandinavian cardiovascular journal : SCJ</t>
  </si>
  <si>
    <t>SCANDINAVIAN CARDIOVASCULAR JOURNAL : SCJ</t>
  </si>
  <si>
    <t>Scand Cardiovasc J</t>
  </si>
  <si>
    <t>Continues: Scandinavian journal of thoracic and cardiovascular surgery.</t>
  </si>
  <si>
    <t>9711058</t>
  </si>
  <si>
    <t>Scandinavian cardiovascular journal. Supplement</t>
  </si>
  <si>
    <t>SCANDINAVIAN CARDIOVASCULAR JOURNAL. SUPPLEMENT</t>
  </si>
  <si>
    <t>Scand Cardiovasc J Suppl</t>
  </si>
  <si>
    <t>Continues: Scandinavian journal of thoracic and cardiovascular surgery. Supplementum.</t>
  </si>
  <si>
    <t>16512510</t>
  </si>
  <si>
    <t>14017458</t>
  </si>
  <si>
    <t>8804206</t>
  </si>
  <si>
    <t>Scandinavian journal of caring sciences</t>
  </si>
  <si>
    <t>SCANDINAVIAN JOURNAL OF CARING SCIENCES</t>
  </si>
  <si>
    <t>Scand J Caring Sci</t>
  </si>
  <si>
    <t>14716712</t>
  </si>
  <si>
    <t>02839318</t>
  </si>
  <si>
    <t>0404375</t>
  </si>
  <si>
    <t>Scandinavian journal of clinical and laboratory investigation</t>
  </si>
  <si>
    <t>SCANDINAVIAN JOURNAL OF CLINICAL AND LABORATORY INVESTIGATION</t>
  </si>
  <si>
    <t>Scand J Clin Lab Invest</t>
  </si>
  <si>
    <t>2984789R</t>
  </si>
  <si>
    <t>Scandinavian journal of clinical and laboratory investigation. Supplementum</t>
  </si>
  <si>
    <t>SCANDINAVIAN JOURNAL OF CLINICAL AND LABORATORY INVESTIGATION. SUPPLEMENTUM</t>
  </si>
  <si>
    <t>Scand J Clin Lab Invest Suppl</t>
  </si>
  <si>
    <t>0085591X</t>
  </si>
  <si>
    <t>0060105</t>
  </si>
  <si>
    <t>Scandinavian journal of gastroenterology</t>
  </si>
  <si>
    <t>SCANDINAVIAN JOURNAL OF GASTROENTEROLOGY</t>
  </si>
  <si>
    <t>Scand J Gastroenterol</t>
  </si>
  <si>
    <t>0437034</t>
  </si>
  <si>
    <t>Scandinavian journal of gastroenterology. Supplement</t>
  </si>
  <si>
    <t>SCANDINAVIAN JOURNAL OF GASTROENTEROLOGY. SUPPLEMENT</t>
  </si>
  <si>
    <t>Scand J Gastroenterol Suppl</t>
  </si>
  <si>
    <t>17511895</t>
  </si>
  <si>
    <t>00855928</t>
  </si>
  <si>
    <t>0323767</t>
  </si>
  <si>
    <t>Scandinavian journal of immunology</t>
  </si>
  <si>
    <t>SCANDINAVIAN JOURNAL OF IMMUNOLOGY</t>
  </si>
  <si>
    <t>Scand J Immunol</t>
  </si>
  <si>
    <t>0215333</t>
  </si>
  <si>
    <t>Scandinavian journal of infectious diseases</t>
  </si>
  <si>
    <t>SCANDINAVIAN JOURNAL OF INFECTIOUS DISEASES</t>
  </si>
  <si>
    <t>Scand J Infect Dis</t>
  </si>
  <si>
    <t>0251025</t>
  </si>
  <si>
    <t>Scandinavian journal of infectious diseases. Supplementum</t>
  </si>
  <si>
    <t>SCANDINAVIAN JOURNAL OF INFECTIOUS DISEASES. SUPPLEMENTUM</t>
  </si>
  <si>
    <t>Scand J Infect Dis Suppl</t>
  </si>
  <si>
    <t>03008878</t>
  </si>
  <si>
    <t>9111504</t>
  </si>
  <si>
    <t>Scandinavian journal of medicine &amp; science in sports</t>
  </si>
  <si>
    <t>SCANDINAVIAN JOURNAL OF MEDICINE &amp; SCIENCE IN SPORTS</t>
  </si>
  <si>
    <t>Scand J Med Sci Sports</t>
  </si>
  <si>
    <t>16000838</t>
  </si>
  <si>
    <t>09057188</t>
  </si>
  <si>
    <t>9502210</t>
  </si>
  <si>
    <t>Scandinavian journal of occupational therapy</t>
  </si>
  <si>
    <t>SCANDINAVIAN JOURNAL OF OCCUPATIONAL THERAPY</t>
  </si>
  <si>
    <t>Scand J Occup Ther</t>
  </si>
  <si>
    <t>16512014</t>
  </si>
  <si>
    <t>11038128</t>
  </si>
  <si>
    <t>9204339</t>
  </si>
  <si>
    <t>Scandinavian journal of plastic and reconstructive surgery and hand surgery. Supplementum</t>
  </si>
  <si>
    <t>SCANDINAVIAN JOURNAL OF PLASTIC AND RECONSTRUCTIVE SURGERY AND HAND SURGERY. SUPPLEMENTUM</t>
  </si>
  <si>
    <t>Scand J Plast Reconstr Surg Hand Surg Suppl</t>
  </si>
  <si>
    <t>Continues: Scandinavian journal of plastic and reconstructive surgery. Supplementum.</t>
  </si>
  <si>
    <t>11013923</t>
  </si>
  <si>
    <t>8510679</t>
  </si>
  <si>
    <t>Scandinavian journal of primary health care</t>
  </si>
  <si>
    <t>SCANDINAVIAN JOURNAL OF PRIMARY HEALTH CARE</t>
  </si>
  <si>
    <t>Scand J Prim Health Care</t>
  </si>
  <si>
    <t>15027724</t>
  </si>
  <si>
    <t>02813432</t>
  </si>
  <si>
    <t>8812233</t>
  </si>
  <si>
    <t>Scandinavian journal of primary health care. Supplement</t>
  </si>
  <si>
    <t>SCANDINAVIAN JOURNAL OF PRIMARY HEALTH CARE. SUPPLEMENT</t>
  </si>
  <si>
    <t>Scand J Prim Health Care Suppl</t>
  </si>
  <si>
    <t>02846020</t>
  </si>
  <si>
    <t>Taylor &amp; Francis Health Sciences</t>
  </si>
  <si>
    <t>0404510</t>
  </si>
  <si>
    <t>Scandinavian journal of psychology</t>
  </si>
  <si>
    <t>SCANDINAVIAN JOURNAL OF PSYCHOLOGY</t>
  </si>
  <si>
    <t>Scand J Psychol</t>
  </si>
  <si>
    <t>14679450</t>
  </si>
  <si>
    <t>00365564</t>
  </si>
  <si>
    <t>100883503</t>
  </si>
  <si>
    <t>Scandinavian journal of public health</t>
  </si>
  <si>
    <t>SCANDINAVIAN JOURNAL OF PUBLIC HEALTH</t>
  </si>
  <si>
    <t>Scand J Public Health</t>
  </si>
  <si>
    <t>Continues: Scandinavian journal of social medicine.</t>
  </si>
  <si>
    <t>16511905</t>
  </si>
  <si>
    <t>14034948</t>
  </si>
  <si>
    <t>0321213</t>
  </si>
  <si>
    <t>Scandinavian journal of rheumatology</t>
  </si>
  <si>
    <t>SCANDINAVIAN JOURNAL OF RHEUMATOLOGY</t>
  </si>
  <si>
    <t>Scand J Rheumatol</t>
  </si>
  <si>
    <t>Supersedes: Acta rheumatologica Scandinavica.</t>
  </si>
  <si>
    <t>0400360</t>
  </si>
  <si>
    <t>Scandinavian journal of rheumatology. Supplement</t>
  </si>
  <si>
    <t>SCANDINAVIAN JOURNAL OF RHEUMATOLOGY. SUPPLEMENT</t>
  </si>
  <si>
    <t>Scand J Rheumatol Suppl</t>
  </si>
  <si>
    <t>Supersedes the Supplementum to Acta rheumatologica Scandinavica.</t>
  </si>
  <si>
    <t>15027740</t>
  </si>
  <si>
    <t>03013847</t>
  </si>
  <si>
    <t>Steinviks Bokforlag</t>
  </si>
  <si>
    <t>101144297</t>
  </si>
  <si>
    <t>Scandinavian journal of surgery : SJS : official organ for the Finnish Surgical Society and the Scandinavian Surgical Society</t>
  </si>
  <si>
    <t>SCANDINAVIAN JOURNAL OF SURGERY : SJS : OFFICIAL ORGAN FOR THE FINNISH SURGICAL SOCIETY AND THE SCANDINAVIAN SURGICAL SOCIETY</t>
  </si>
  <si>
    <t>Scand J Surg</t>
  </si>
  <si>
    <t>Continues: Annales chirurgiae et gynaecologiae.</t>
  </si>
  <si>
    <t>14574969</t>
  </si>
  <si>
    <t>The Finnish Surgical Society</t>
  </si>
  <si>
    <t>101477511</t>
  </si>
  <si>
    <t>Scandinavian journal of trauma, resuscitation and emergency medicine</t>
  </si>
  <si>
    <t>SCANDINAVIAN JOURNAL OF TRAUMA, RESUSCITATION AND EMERGENCY MEDICINE</t>
  </si>
  <si>
    <t>Scand J Trauma Resusc Emerg Med</t>
  </si>
  <si>
    <t>Continues: Akuttjournalen (Stavanger. Online).</t>
  </si>
  <si>
    <t>17577241</t>
  </si>
  <si>
    <t>Emergency Medicine#Traumatology</t>
  </si>
  <si>
    <t>101587186</t>
  </si>
  <si>
    <t>Scandinavian journal of urology</t>
  </si>
  <si>
    <t>SCANDINAVIAN JOURNAL OF UROLOGY</t>
  </si>
  <si>
    <t>Scand J Urol</t>
  </si>
  <si>
    <t>Continues: Scandinavian journal of urology and nephrology.</t>
  </si>
  <si>
    <t>7511540</t>
  </si>
  <si>
    <t>Scandinavian journal of work, environment &amp; health</t>
  </si>
  <si>
    <t>SCANDINAVIAN JOURNAL OF WORK, ENVIRONMENT &amp; HEALTH</t>
  </si>
  <si>
    <t>Scand J Work Environ Health</t>
  </si>
  <si>
    <t>Formed by merger of: Nordisk hygienisk tidskrift, and: Work, environment, health.</t>
  </si>
  <si>
    <t>Institute of Occupational Health</t>
  </si>
  <si>
    <t>7903371</t>
  </si>
  <si>
    <t>SCANNING</t>
  </si>
  <si>
    <t>0236760</t>
  </si>
  <si>
    <t>Schizophrenia bulletin</t>
  </si>
  <si>
    <t>SCHIZOPHRENIA BULLETIN</t>
  </si>
  <si>
    <t>Schizophr Bull</t>
  </si>
  <si>
    <t>8804207</t>
  </si>
  <si>
    <t>Schizophrenia research</t>
  </si>
  <si>
    <t>SCHIZOPHRENIA RESEARCH</t>
  </si>
  <si>
    <t>Schizophr Res</t>
  </si>
  <si>
    <t>Twenty-seven a year, &lt;2010&gt;-</t>
  </si>
  <si>
    <t>8906258</t>
  </si>
  <si>
    <t>Schmerz (Berlin, Germany)</t>
  </si>
  <si>
    <t>SCHMERZ (BERLIN, GERMANY)</t>
  </si>
  <si>
    <t>100956395</t>
  </si>
  <si>
    <t>School nurse news</t>
  </si>
  <si>
    <t>SCHOOL NURSE NEWS</t>
  </si>
  <si>
    <t>School Nurse News</t>
  </si>
  <si>
    <t>Continues: Community nurse forum.</t>
  </si>
  <si>
    <t>10807543</t>
  </si>
  <si>
    <t>Health Information Publications</t>
  </si>
  <si>
    <t>9102245</t>
  </si>
  <si>
    <t>School psychology quarterly : the official journal of the Division of School Psychology, American Psychological Association</t>
  </si>
  <si>
    <t>SCHOOL PSYCHOLOGY QUARTERLY : THE OFFICIAL JOURNAL OF THE DIVISION OF SCHOOL PSYCHOLOGY, AMERICAN PSYCHOLOGICAL ASSOCIATION</t>
  </si>
  <si>
    <t>Sch Psychol Q</t>
  </si>
  <si>
    <t>19391560</t>
  </si>
  <si>
    <t>10453830</t>
  </si>
  <si>
    <t>7507514</t>
  </si>
  <si>
    <t>Schriftenreihe des Vereins für Wasser-, Boden- und Lufthygiene</t>
  </si>
  <si>
    <t>SCHRIFTENREIHE DES VEREINS FUR WASSER-, BODEN- UND LUFTHYGIENE</t>
  </si>
  <si>
    <t>Schriftenr Ver Wasser Boden Lufthyg</t>
  </si>
  <si>
    <t>03008665</t>
  </si>
  <si>
    <t>0424247</t>
  </si>
  <si>
    <t>Schweizer Archiv für Tierheilkunde</t>
  </si>
  <si>
    <t>SCHWEIZER ARCHIV FUR TIERHEILKUNDE</t>
  </si>
  <si>
    <t>Schweiz Arch Tierheilkd</t>
  </si>
  <si>
    <t>Absorbed: Schweizerisches Archiv für Thierheilkunde und Thierheilkunde.</t>
  </si>
  <si>
    <t>00367281</t>
  </si>
  <si>
    <t>Orell Fuessli</t>
  </si>
  <si>
    <t>1859</t>
  </si>
  <si>
    <t>9508563</t>
  </si>
  <si>
    <t>Science &amp; justice : journal of the Forensic Science Society</t>
  </si>
  <si>
    <t>SCIENCE &amp; JUSTICE : JOURNAL OF THE FORENSIC SCIENCE SOCIETY</t>
  </si>
  <si>
    <t>Sci Justice</t>
  </si>
  <si>
    <t>Continues: Journal - Forensic Science Society.</t>
  </si>
  <si>
    <t>0404511</t>
  </si>
  <si>
    <t>Science (New York, N.Y.)</t>
  </si>
  <si>
    <t>SCIENCE (NEW YORK, N.Y.)</t>
  </si>
  <si>
    <t>Vols. for 1911-1913 contain: the Proceedings of the Helminthological Society of Washington, 1st-15th meeting. Absorbed: Scientific monthly.</t>
  </si>
  <si>
    <t>Weekly (except last week in Dec.)</t>
  </si>
  <si>
    <t>1880</t>
  </si>
  <si>
    <t>9516228</t>
  </si>
  <si>
    <t>Science and engineering ethics</t>
  </si>
  <si>
    <t>SCIENCE AND ENGINEERING ETHICS</t>
  </si>
  <si>
    <t>Sci Eng Ethics</t>
  </si>
  <si>
    <t>14715546</t>
  </si>
  <si>
    <t>13533452</t>
  </si>
  <si>
    <t>Opragen Publications</t>
  </si>
  <si>
    <t>101529880</t>
  </si>
  <si>
    <t>Science China. Life sciences</t>
  </si>
  <si>
    <t>SCIENCE CHINA. LIFE SCIENCES</t>
  </si>
  <si>
    <t>Sci China Life Sci</t>
  </si>
  <si>
    <t>Continues: Science in China. Series C, Life sciences.</t>
  </si>
  <si>
    <t>18691889</t>
  </si>
  <si>
    <t>16747305</t>
  </si>
  <si>
    <t>Science China Press, co-published with Springer</t>
  </si>
  <si>
    <t>8904113</t>
  </si>
  <si>
    <t>Science in context</t>
  </si>
  <si>
    <t>SCIENCE IN CONTEXT</t>
  </si>
  <si>
    <t>Sci Context</t>
  </si>
  <si>
    <t>02698897</t>
  </si>
  <si>
    <t>0330500</t>
  </si>
  <si>
    <t>The Science of the total environment</t>
  </si>
  <si>
    <t>SCIENCE OF THE TOTAL ENVIRONMENT</t>
  </si>
  <si>
    <t>Sci Total Environ</t>
  </si>
  <si>
    <t>Fifty four no. a year</t>
  </si>
  <si>
    <t>0411361</t>
  </si>
  <si>
    <t>Science progress</t>
  </si>
  <si>
    <t>SCIENCE PROGRESS</t>
  </si>
  <si>
    <t>Sci Prog</t>
  </si>
  <si>
    <t>Continues Science progress in the twentieth century, and scattered title pages of individual issues bear that title until Apr. 1933.</t>
  </si>
  <si>
    <t>00368504</t>
  </si>
  <si>
    <t>Blackwell Scientific Publications [etc.]</t>
  </si>
  <si>
    <t>101465400</t>
  </si>
  <si>
    <t>Science signaling</t>
  </si>
  <si>
    <t>SCIENCE SIGNALING</t>
  </si>
  <si>
    <t>Sci Signal</t>
  </si>
  <si>
    <t>Continues: Science's STKE.</t>
  </si>
  <si>
    <t>Cell Biology#Physiology#Science</t>
  </si>
  <si>
    <t>101505086</t>
  </si>
  <si>
    <t>Science translational medicine</t>
  </si>
  <si>
    <t>SCIENCE TRANSLATIONAL MEDICINE</t>
  </si>
  <si>
    <t>Sci Transl Med</t>
  </si>
  <si>
    <t>8709014</t>
  </si>
  <si>
    <t>Scientia canadensis</t>
  </si>
  <si>
    <t>SCIENTIA CANADENSIS</t>
  </si>
  <si>
    <t>Sci Can</t>
  </si>
  <si>
    <t>Continues: HSTC bulletin.</t>
  </si>
  <si>
    <t>08292507</t>
  </si>
  <si>
    <t>Canadian Science and Technology Historical Association</t>
  </si>
  <si>
    <t>0404400</t>
  </si>
  <si>
    <t>Scientific American</t>
  </si>
  <si>
    <t>SCIENTIFIC AMERICAN</t>
  </si>
  <si>
    <t>Sci Am</t>
  </si>
  <si>
    <t>00368733</t>
  </si>
  <si>
    <t>1845</t>
  </si>
  <si>
    <t>101563288</t>
  </si>
  <si>
    <t>Scientific reports</t>
  </si>
  <si>
    <t>SCIENTIFIC REPORTS</t>
  </si>
  <si>
    <t>Sci Rep</t>
  </si>
  <si>
    <t>20452322</t>
  </si>
  <si>
    <t>Continuously updated.</t>
  </si>
  <si>
    <t>2983335R</t>
  </si>
  <si>
    <t>Scottish medical journal</t>
  </si>
  <si>
    <t>SCOTTISH MEDICAL JOURNAL</t>
  </si>
  <si>
    <t>Scott Med J</t>
  </si>
  <si>
    <t>Formed by the union of Edinburgh medical journal and Glasgow medical journal</t>
  </si>
  <si>
    <t>9424804</t>
  </si>
  <si>
    <t>Se pu = Chinese journal of chromatography / Zhongguo hua xue hui</t>
  </si>
  <si>
    <t>SE PU = CHINESE JOURNAL OF CHROMATOGRAPHY / ZHONGGUO HUA XUE HUI</t>
  </si>
  <si>
    <t>Se Pu</t>
  </si>
  <si>
    <t>10008713</t>
  </si>
  <si>
    <t>Hua xue za zhi she</t>
  </si>
  <si>
    <t>101308820</t>
  </si>
  <si>
    <t>SEB experimental biology series</t>
  </si>
  <si>
    <t>SEB EXPERIMENTAL BIOLOGY SERIES</t>
  </si>
  <si>
    <t>SEB Exp Biol Ser</t>
  </si>
  <si>
    <t>Continues: Symposia of the Society for Experimental Biology.</t>
  </si>
  <si>
    <t>0413564</t>
  </si>
  <si>
    <t>Seikagaku. The Journal of Japanese Biochemical Society</t>
  </si>
  <si>
    <t>SEIKAGAKU. THE JOURNAL OF JAPANESE BIOCHEMICAL SOCIETY</t>
  </si>
  <si>
    <t>Seikagaku</t>
  </si>
  <si>
    <t>Continues: Nihon Seikagakkai shi.</t>
  </si>
  <si>
    <t>00371017</t>
  </si>
  <si>
    <t>Nippon Seikagakkai.</t>
  </si>
  <si>
    <t>9801787</t>
  </si>
  <si>
    <t>Seishin shinkeigaku zasshi = Psychiatria et neurologia Japonica</t>
  </si>
  <si>
    <t>SEISHIN SHINKEIGAKU ZASSHI = PSYCHIATRIA ET NEUROLOGIA JAPONICA</t>
  </si>
  <si>
    <t>Seishin Shinkeigaku Zasshi</t>
  </si>
  <si>
    <t>Continues: Shinkeigaku zasshi.</t>
  </si>
  <si>
    <t>00332658</t>
  </si>
  <si>
    <t>Nihon Seishin Shinkei Gakkai</t>
  </si>
  <si>
    <t>9306979</t>
  </si>
  <si>
    <t>Seizure : the journal of the British Epilepsy Association</t>
  </si>
  <si>
    <t>SEIZURE : THE JOURNAL OF THE BRITISH EPILEPSY ASSOCIATION</t>
  </si>
  <si>
    <t>9610769</t>
  </si>
  <si>
    <t>Semergen / Sociedad Española de Medicina Rural y Generalista</t>
  </si>
  <si>
    <t>SEMERGEN / SOCIEDAD ESPANOLA DE MEDICINA RURAL Y GENERALISTA</t>
  </si>
  <si>
    <t>Semergen</t>
  </si>
  <si>
    <t>Continues: Semer. 0214-1450</t>
  </si>
  <si>
    <t>15788865</t>
  </si>
  <si>
    <t>11383593</t>
  </si>
  <si>
    <t>Saned, S.A.</t>
  </si>
  <si>
    <t>Ten issues a year, &lt;2000-&gt;</t>
  </si>
  <si>
    <t>1306053</t>
  </si>
  <si>
    <t>Seminars in arthritis and rheumatism</t>
  </si>
  <si>
    <t>SEMINARS IN ARTHRITIS AND RHEUMATISM</t>
  </si>
  <si>
    <t>Semin Arthritis Rheum</t>
  </si>
  <si>
    <t>9010218</t>
  </si>
  <si>
    <t>Seminars in cancer biology</t>
  </si>
  <si>
    <t>SEMINARS IN CANCER BIOLOGY</t>
  </si>
  <si>
    <t>Semin Cancer Biol</t>
  </si>
  <si>
    <t>9807630</t>
  </si>
  <si>
    <t>Seminars in cardiothoracic and vascular anesthesia</t>
  </si>
  <si>
    <t>SEMINARS IN CARDIOTHORACIC AND VASCULAR ANESTHESIA</t>
  </si>
  <si>
    <t>Semin Cardiothorac Vasc Anesth</t>
  </si>
  <si>
    <t>9607332</t>
  </si>
  <si>
    <t>Seminars in cell &amp; developmental biology</t>
  </si>
  <si>
    <t>SEMINARS IN CELL &amp; DEVELOPMENTAL BIOLOGY</t>
  </si>
  <si>
    <t>Semin Cell Dev Biol</t>
  </si>
  <si>
    <t>Merger of: Seminars in developmental biology; and: Seminars in cell biology.</t>
  </si>
  <si>
    <t>9617260</t>
  </si>
  <si>
    <t>Seminars in cutaneous medicine and surgery</t>
  </si>
  <si>
    <t>SEMINARS IN CUTANEOUS MEDICINE AND SURGERY</t>
  </si>
  <si>
    <t>Semin Cutan Med Surg</t>
  </si>
  <si>
    <t>Continues: Seminars in dermatology.</t>
  </si>
  <si>
    <t>8502262</t>
  </si>
  <si>
    <t>Seminars in diagnostic pathology</t>
  </si>
  <si>
    <t>SEMINARS IN DIAGNOSTIC PATHOLOGY</t>
  </si>
  <si>
    <t>Semin Diagn Pathol</t>
  </si>
  <si>
    <t>8911629</t>
  </si>
  <si>
    <t>Seminars in dialysis</t>
  </si>
  <si>
    <t>SEMINARS IN DIALYSIS</t>
  </si>
  <si>
    <t>Semin Dial</t>
  </si>
  <si>
    <t>1525139X</t>
  </si>
  <si>
    <t>08940959</t>
  </si>
  <si>
    <t>101240003</t>
  </si>
  <si>
    <t>Seminars in fetal &amp; neonatal medicine</t>
  </si>
  <si>
    <t>SEMINARS IN FETAL &amp; NEONATAL MEDICINE</t>
  </si>
  <si>
    <t>Semin Fetal Neonatal Med</t>
  </si>
  <si>
    <t>Continues: Seminars in neonatology.</t>
  </si>
  <si>
    <t>0404514</t>
  </si>
  <si>
    <t>Seminars in hematology</t>
  </si>
  <si>
    <t>SEMINARS IN HEMATOLOGY</t>
  </si>
  <si>
    <t>Semin Hematol</t>
  </si>
  <si>
    <t>9009458</t>
  </si>
  <si>
    <t>Seminars in immunology</t>
  </si>
  <si>
    <t>SEMINARS IN IMMUNOLOGY</t>
  </si>
  <si>
    <t>Semin Immunol</t>
  </si>
  <si>
    <t>101308769</t>
  </si>
  <si>
    <t>Seminars in immunopathology</t>
  </si>
  <si>
    <t>SEMINARS IN IMMUNOPATHOLOGY</t>
  </si>
  <si>
    <t>Semin Immunopathol</t>
  </si>
  <si>
    <t>Continues: Springer seminars in immunopathology.</t>
  </si>
  <si>
    <t>8110297</t>
  </si>
  <si>
    <t>Seminars in liver disease</t>
  </si>
  <si>
    <t>SEMINARS IN LIVER DISEASE</t>
  </si>
  <si>
    <t>Semin Liver Dis</t>
  </si>
  <si>
    <t>9717520</t>
  </si>
  <si>
    <t>Seminars in musculoskeletal radiology</t>
  </si>
  <si>
    <t>SEMINARS IN MUSCULOSKELETAL RADIOLOGY</t>
  </si>
  <si>
    <t>Semin Musculoskelet Radiol</t>
  </si>
  <si>
    <t>Orthopedics#Physiology#Radiology</t>
  </si>
  <si>
    <t>8110298</t>
  </si>
  <si>
    <t>Seminars in nephrology</t>
  </si>
  <si>
    <t>SEMINARS IN NEPHROLOGY</t>
  </si>
  <si>
    <t>Semin Nephrol</t>
  </si>
  <si>
    <t>8111343</t>
  </si>
  <si>
    <t>Seminars in neurology</t>
  </si>
  <si>
    <t>SEMINARS IN NEUROLOGY</t>
  </si>
  <si>
    <t>Semin Neurol</t>
  </si>
  <si>
    <t>Thieme Stratton</t>
  </si>
  <si>
    <t>1264464</t>
  </si>
  <si>
    <t>Seminars in nuclear medicine</t>
  </si>
  <si>
    <t>SEMINARS IN NUCLEAR MEDICINE</t>
  </si>
  <si>
    <t>Semin Nucl Med</t>
  </si>
  <si>
    <t>0420432</t>
  </si>
  <si>
    <t>Seminars in oncology</t>
  </si>
  <si>
    <t>SEMINARS IN ONCOLOGY</t>
  </si>
  <si>
    <t>Semin Oncol</t>
  </si>
  <si>
    <t>15328708</t>
  </si>
  <si>
    <t>8504688</t>
  </si>
  <si>
    <t>Seminars in oncology nursing</t>
  </si>
  <si>
    <t>SEMINARS IN ONCOLOGY NURSING</t>
  </si>
  <si>
    <t>Semin Oncol Nurs</t>
  </si>
  <si>
    <t>18783449</t>
  </si>
  <si>
    <t>07492081</t>
  </si>
  <si>
    <t>8610759</t>
  </si>
  <si>
    <t>Seminars in ophthalmology</t>
  </si>
  <si>
    <t>SEMINARS IN OPHTHALMOLOGY</t>
  </si>
  <si>
    <t>Semin Ophthalmol</t>
  </si>
  <si>
    <t>9441351</t>
  </si>
  <si>
    <t>Seminars in pediatric neurology</t>
  </si>
  <si>
    <t>SEMINARS IN PEDIATRIC NEUROLOGY</t>
  </si>
  <si>
    <t>Semin Pediatr Neurol</t>
  </si>
  <si>
    <t>9216162</t>
  </si>
  <si>
    <t>Seminars in pediatric surgery</t>
  </si>
  <si>
    <t>SEMINARS IN PEDIATRIC SURGERY</t>
  </si>
  <si>
    <t>Semin Pediatr Surg</t>
  </si>
  <si>
    <t>7801132</t>
  </si>
  <si>
    <t>Seminars in perinatology</t>
  </si>
  <si>
    <t>SEMINARS IN PERINATOLOGY</t>
  </si>
  <si>
    <t>Semin Perinatol</t>
  </si>
  <si>
    <t>9202882</t>
  </si>
  <si>
    <t>Seminars in radiation oncology</t>
  </si>
  <si>
    <t>SEMINARS IN RADIATION ONCOLOGY</t>
  </si>
  <si>
    <t>Semin Radiat Oncol</t>
  </si>
  <si>
    <t>Neoplasms#Radiology</t>
  </si>
  <si>
    <t>100909394</t>
  </si>
  <si>
    <t>Seminars in reproductive medicine</t>
  </si>
  <si>
    <t>SEMINARS IN REPRODUCTIVE MEDICINE</t>
  </si>
  <si>
    <t>Semin Reprod Med</t>
  </si>
  <si>
    <t>Continues: Seminars in reproductive endocrinology.</t>
  </si>
  <si>
    <t>9431858</t>
  </si>
  <si>
    <t>Seminars in respiratory and critical care medicine</t>
  </si>
  <si>
    <t>SEMINARS IN RESPIRATORY AND CRITICAL CARE MEDICINE</t>
  </si>
  <si>
    <t>Semin Respir Crit Care Med</t>
  </si>
  <si>
    <t>Continues: Seminars in respiratory medicine.</t>
  </si>
  <si>
    <t>0053252</t>
  </si>
  <si>
    <t>Seminars in roentgenology</t>
  </si>
  <si>
    <t>SEMINARS IN ROENTGENOLOGY</t>
  </si>
  <si>
    <t>Semin Roentgenol</t>
  </si>
  <si>
    <t>8405117</t>
  </si>
  <si>
    <t>Seminars in speech and language</t>
  </si>
  <si>
    <t>SEMINARS IN SPEECH AND LANGUAGE</t>
  </si>
  <si>
    <t>Semin Speech Lang</t>
  </si>
  <si>
    <t>Continues in part: Seminars--speech, language, hearing.</t>
  </si>
  <si>
    <t>10989056</t>
  </si>
  <si>
    <t>07340478</t>
  </si>
  <si>
    <t>8917640</t>
  </si>
  <si>
    <t>Seminars in thoracic and cardiovascular surgery</t>
  </si>
  <si>
    <t>SEMINARS IN THORACIC AND CARDIOVASCULAR SURGERY</t>
  </si>
  <si>
    <t>Semin Thorac Cardiovasc Surg</t>
  </si>
  <si>
    <t>9815944</t>
  </si>
  <si>
    <t>Seminars in thoracic and cardiovascular surgery. Pediatric cardiac surgery annual</t>
  </si>
  <si>
    <t>SEMINARS IN THORACIC AND CARDIOVASCULAR SURGERY. PEDIATRIC CARDIAC SURGERY ANNUAL</t>
  </si>
  <si>
    <t>Semin Thorac Cardiovasc Surg Pediatr Card Surg Annu</t>
  </si>
  <si>
    <t>0431155</t>
  </si>
  <si>
    <t>Seminars in thrombosis and hemostasis</t>
  </si>
  <si>
    <t>SEMINARS IN THROMBOSIS AND HEMOSTASIS</t>
  </si>
  <si>
    <t>Semin Thromb Hemost</t>
  </si>
  <si>
    <t>Absorbed: Seminars in vascular medicine. 2006</t>
  </si>
  <si>
    <t>8504689</t>
  </si>
  <si>
    <t>Seminars in ultrasound, CT, and MR</t>
  </si>
  <si>
    <t>SEMINARS IN ULTRASOUND, CT, AND MR</t>
  </si>
  <si>
    <t>Semin Ultrasound CT MR</t>
  </si>
  <si>
    <t>Continues: Seminars in ultrasound.</t>
  </si>
  <si>
    <t>8809602</t>
  </si>
  <si>
    <t>Seminars in vascular surgery</t>
  </si>
  <si>
    <t>SEMINARS IN VASCULAR SURGERY</t>
  </si>
  <si>
    <t>Semin Vasc Surg</t>
  </si>
  <si>
    <t>101204366</t>
  </si>
  <si>
    <t>Sensors (Basel, Switzerland)</t>
  </si>
  <si>
    <t>SENSORS (BASEL, SWITZERLAND)</t>
  </si>
  <si>
    <t>Sensors (Basel)</t>
  </si>
  <si>
    <t>14248220</t>
  </si>
  <si>
    <t>Biotechnology#Technology</t>
  </si>
  <si>
    <t>101140092</t>
  </si>
  <si>
    <t>Sentinel event alert / Joint Commission on Accreditation of Healthcare Organizations</t>
  </si>
  <si>
    <t>SENTINEL EVENT ALERT / JOINT COMMISSION ON ACCREDITATION OF HEALTHCARE ORGANIZATIONS</t>
  </si>
  <si>
    <t>Sentinel Event Alert</t>
  </si>
  <si>
    <t>Joint Commission on Accreditation of Healthcare Organizations</t>
  </si>
  <si>
    <t>8601748</t>
  </si>
  <si>
    <t>Servir (Lisbon, Portugal)</t>
  </si>
  <si>
    <t>SERVIR (LISBON, PORTUGAL)</t>
  </si>
  <si>
    <t>Servir</t>
  </si>
  <si>
    <t>08712379</t>
  </si>
  <si>
    <t>[s.n.</t>
  </si>
  <si>
    <t>100892382</t>
  </si>
  <si>
    <t>Seton Hall law review</t>
  </si>
  <si>
    <t>SETON HALL LAW REVIEW</t>
  </si>
  <si>
    <t>Seton Hall Law Rev</t>
  </si>
  <si>
    <t>Continues: Seton Hall law journal.</t>
  </si>
  <si>
    <t>05865964</t>
  </si>
  <si>
    <t>Seton Hall University, School of Law.</t>
  </si>
  <si>
    <t>Quarterly, 1973/74-</t>
  </si>
  <si>
    <t>101530546</t>
  </si>
  <si>
    <t>Sexual &amp; reproductive healthcare : official journal of the Swedish Association of Midwives</t>
  </si>
  <si>
    <t>SEXUAL &amp; REPRODUCTIVE HEALTHCARE : OFFICIAL JOURNAL OF THE SWEDISH ASSOCIATION OF MIDWIVES</t>
  </si>
  <si>
    <t>Sex Reprod Healthc</t>
  </si>
  <si>
    <t>Obstetrics#Reproductive Medicine</t>
  </si>
  <si>
    <t>9506704</t>
  </si>
  <si>
    <t>Sexual abuse : a journal of research and treatment</t>
  </si>
  <si>
    <t>SEXUAL ABUSE : A JOURNAL OF RESEARCH AND TREATMENT</t>
  </si>
  <si>
    <t>Sex Abuse</t>
  </si>
  <si>
    <t>Continues: Annals of sex research.</t>
  </si>
  <si>
    <t>1573286X</t>
  </si>
  <si>
    <t>10790632</t>
  </si>
  <si>
    <t>101316472</t>
  </si>
  <si>
    <t>Sexual development : genetics, molecular biology, evolution, endocrinology, embryology, and pathology of sex determination and differentiation</t>
  </si>
  <si>
    <t>SEXUAL DEVELOPMENT : GENETICS, MOLECULAR BIOLOGY, EVOLUTION, ENDOCRINOLOGY, EMBRYOLOGY, AND PATHOLOGY OF SEX DETERMINATION AND DIFFERENTIATION</t>
  </si>
  <si>
    <t>Sex Dev</t>
  </si>
  <si>
    <t>16615433</t>
  </si>
  <si>
    <t>16615425</t>
  </si>
  <si>
    <t>101242667</t>
  </si>
  <si>
    <t>Sexual health</t>
  </si>
  <si>
    <t>SEXUAL HEALTH</t>
  </si>
  <si>
    <t>Sex Health</t>
  </si>
  <si>
    <t>7705941</t>
  </si>
  <si>
    <t>Sexually transmitted diseases</t>
  </si>
  <si>
    <t>SEXUALLY TRANSMITTED DISEASES</t>
  </si>
  <si>
    <t>Sex Transm Dis</t>
  </si>
  <si>
    <t>Continues Journal of the American Venereal Disease Association.</t>
  </si>
  <si>
    <t>J B Lippincott</t>
  </si>
  <si>
    <t>9805554</t>
  </si>
  <si>
    <t>Sexually transmitted infections</t>
  </si>
  <si>
    <t>SEXUALLY TRANSMITTED INFECTIONS</t>
  </si>
  <si>
    <t>Sex Transm Infect</t>
  </si>
  <si>
    <t>Continues: Genitourinary medicine.</t>
  </si>
  <si>
    <t>Bmj Publishing Group</t>
  </si>
  <si>
    <t>101090220</t>
  </si>
  <si>
    <t>Shanghai kou qiang yi xue = Shanghai journal of stomatology</t>
  </si>
  <si>
    <t>SHANGHAI KOU QIANG YI XUE = SHANGHAI JOURNAL OF STOMATOLOGY</t>
  </si>
  <si>
    <t>Shanghai Kou Qiang Yi Xue</t>
  </si>
  <si>
    <t>10067248</t>
  </si>
  <si>
    <t>School of Stomatology, Shanghai Jiao Tong University</t>
  </si>
  <si>
    <t>20730140R</t>
  </si>
  <si>
    <t>Sheng li ke xue jin zhan [Progress in physiology]</t>
  </si>
  <si>
    <t>SHENG LI KE XUE JIN ZHAN [PROGRESS IN PHYSIOLOGY]</t>
  </si>
  <si>
    <t>Sheng Li Ke Xue Jin Zhan</t>
  </si>
  <si>
    <t>05597765</t>
  </si>
  <si>
    <t>20730130R</t>
  </si>
  <si>
    <t>Sheng li xue bao : [Acta physiologica Sinica]</t>
  </si>
  <si>
    <t>SHENG LI XUE BAO : [ACTA PHYSIOLOGICA SINICA]</t>
  </si>
  <si>
    <t>Sheng Li Xue Bao</t>
  </si>
  <si>
    <t>Continues the Chinese journal of physiology, issued 1927-44?</t>
  </si>
  <si>
    <t>03710874</t>
  </si>
  <si>
    <t>9426463</t>
  </si>
  <si>
    <t>Sheng wu gong cheng xue bao = Chinese journal of biotechnology</t>
  </si>
  <si>
    <t>SHENG WU GONG CHENG XUE BAO = CHINESE JOURNAL OF BIOTECHNOLOGY</t>
  </si>
  <si>
    <t>Sheng Wu Gong Cheng Xue Bao</t>
  </si>
  <si>
    <t>10003061</t>
  </si>
  <si>
    <t>9426398</t>
  </si>
  <si>
    <t>Sheng wu yi xue gong cheng xue za zhi = Journal of biomedical engineering = Shengwu yixue gongchengxue zazhi</t>
  </si>
  <si>
    <t>SHENG WU YI XUE GONG CHENG XUE ZA ZHI = JOURNAL OF BIOMEDICAL ENGINEERING = SHENGWU YIXUE GONGCHENGXUE ZAZHI</t>
  </si>
  <si>
    <t>Sheng Wu Yi Xue Gong Cheng Xue Za Zhi</t>
  </si>
  <si>
    <t>10015515</t>
  </si>
  <si>
    <t>Sichuan Sheng sheng wu yi xue gong cheng xue hui</t>
  </si>
  <si>
    <t>0413571</t>
  </si>
  <si>
    <t>Shinrigaku kenkyu : The Japanese journal of psychology</t>
  </si>
  <si>
    <t>SHINRIGAKU KENKYU : THE JAPANESE JOURNAL OF PSYCHOLOGY</t>
  </si>
  <si>
    <t>Shinrigaku Kenkyu</t>
  </si>
  <si>
    <t>18841082</t>
  </si>
  <si>
    <t>00215236</t>
  </si>
  <si>
    <t>University of Tokyo Press</t>
  </si>
  <si>
    <t>9421564</t>
  </si>
  <si>
    <t>Shock (Augusta, Ga.)</t>
  </si>
  <si>
    <t>SHOCK (AUGUSTA, GA.)</t>
  </si>
  <si>
    <t>BioMedical Press</t>
  </si>
  <si>
    <t>Thirteen no. a year (monthly with two issues in May)</t>
  </si>
  <si>
    <t>0142214</t>
  </si>
  <si>
    <t>Shokuhin eiseigaku zasshi. Journal of the Food Hygienic Society of Japan</t>
  </si>
  <si>
    <t>SHOKUHIN EISEIGAKU ZASSHI. JOURNAL OF THE FOOD HYGIENIC SOCIETY OF JAPAN</t>
  </si>
  <si>
    <t>Shokuhin Eiseigaku Zasshi</t>
  </si>
  <si>
    <t>18821006</t>
  </si>
  <si>
    <t>00156426</t>
  </si>
  <si>
    <t>Food Hygienic Society</t>
  </si>
  <si>
    <t>101162609</t>
  </si>
  <si>
    <t>Sichuan da xue xue bao. Yi xue ban = Journal of Sichuan University. Medical science edition</t>
  </si>
  <si>
    <t>SICHUAN DA XUE XUE BAO. YI XUE BAN = JOURNAL OF SICHUAN UNIVERSITY. MEDICAL SCIENCE EDITION</t>
  </si>
  <si>
    <t>Sichuan Da Xue Xue Bao Yi Xue Ban</t>
  </si>
  <si>
    <t>Continues: Hua xi yi ke da xue xue bao.</t>
  </si>
  <si>
    <t>1672173X</t>
  </si>
  <si>
    <t>Sichuan da xue xue bao (yi xue ban) bian ji bu</t>
  </si>
  <si>
    <t>101264408</t>
  </si>
  <si>
    <t>Simulation in healthcare : journal of the Society for Simulation in Healthcare</t>
  </si>
  <si>
    <t>SIMULATION IN HEALTHCARE : JOURNAL OF THE SOCIETY FOR SIMULATION IN HEALTHCARE</t>
  </si>
  <si>
    <t>Simul Healthc</t>
  </si>
  <si>
    <t>1559713X</t>
  </si>
  <si>
    <t>15592332</t>
  </si>
  <si>
    <t>7513690</t>
  </si>
  <si>
    <t>Singapore dental journal</t>
  </si>
  <si>
    <t>SINGAPORE DENTAL JOURNAL</t>
  </si>
  <si>
    <t>Singapore Dent J</t>
  </si>
  <si>
    <t>Continues in part: Dental journal of Malaysia &amp; Singapore.</t>
  </si>
  <si>
    <t>22146075</t>
  </si>
  <si>
    <t>03775291</t>
  </si>
  <si>
    <t>0404516</t>
  </si>
  <si>
    <t>Singapore medical journal</t>
  </si>
  <si>
    <t>SINGAPORE MEDICAL JOURNAL</t>
  </si>
  <si>
    <t>Singapore Med J</t>
  </si>
  <si>
    <t>Continues: Proceedings of the Alumni Association, Malaya. Malaya (Federation) University, Singapore. Faculty of Medicine. Alumni Association of the King Edward VII College of Medicine, Singapore and the Faculty of Medicine, University of Malaya.</t>
  </si>
  <si>
    <t>Singapore Medical Assn.</t>
  </si>
  <si>
    <t>12 no. a year, 1997-</t>
  </si>
  <si>
    <t>7701953</t>
  </si>
  <si>
    <t>Skeletal radiology</t>
  </si>
  <si>
    <t>SKELETAL RADIOLOGY</t>
  </si>
  <si>
    <t>Skeletal Radiol</t>
  </si>
  <si>
    <t>Orthopedics#Radiology</t>
  </si>
  <si>
    <t>101188418</t>
  </si>
  <si>
    <t>Skin pharmacology and physiology</t>
  </si>
  <si>
    <t>SKIN PHARMACOLOGY AND PHYSIOLOGY</t>
  </si>
  <si>
    <t>Skin Pharmacol Physiol</t>
  </si>
  <si>
    <t>Continues: Skin pharmacology and applied skin physiology.</t>
  </si>
  <si>
    <t>Dermatology#Pharmacology#Physiology</t>
  </si>
  <si>
    <t>9504453</t>
  </si>
  <si>
    <t>Skin research and technology : official journal of International Society for Bioengineering and the Skin (ISBS) [and] International Society for Digital Imaging of Skin (ISDIS) [and] International Society for Skin Imaging (ISSI)</t>
  </si>
  <si>
    <t>SKIN RESEARCH AND TECHNOLOGY : OFFICIAL JOURNAL OF INTERNATIONAL SOCIETY FOR BIOENGINEERING AND THE SKIN (ISBS) [AND] INTERNATIONAL SOCIETY FOR DIGITAL IMAGING OF SKIN (ISDIS) [AND] INTERNATIONAL SOCIETY FOR SKIN IMAGING (ISSI)</t>
  </si>
  <si>
    <t>Skin Res Technol</t>
  </si>
  <si>
    <t>9891441</t>
  </si>
  <si>
    <t>Skin therapy letter</t>
  </si>
  <si>
    <t>SKIN THERAPY LETTER</t>
  </si>
  <si>
    <t>Skin Therapy Lett</t>
  </si>
  <si>
    <t>12015989</t>
  </si>
  <si>
    <t>International Skin Therapy Newsletter, Inc.</t>
  </si>
  <si>
    <t>101168327</t>
  </si>
  <si>
    <t>Skinmed</t>
  </si>
  <si>
    <t>SKINMED</t>
  </si>
  <si>
    <t>17517125</t>
  </si>
  <si>
    <t>15409740</t>
  </si>
  <si>
    <t>Pulse Marketing &amp; Communications</t>
  </si>
  <si>
    <t>7809084</t>
  </si>
  <si>
    <t>SLEEP</t>
  </si>
  <si>
    <t>Associated Professional Sleep Societies</t>
  </si>
  <si>
    <t>9804161</t>
  </si>
  <si>
    <t>Sleep &amp; breathing = Schlaf &amp; Atmung</t>
  </si>
  <si>
    <t>SLEEP &amp; BREATHING = SCHLAF &amp; ATMUNG</t>
  </si>
  <si>
    <t>Sleep Breath</t>
  </si>
  <si>
    <t>Continued in part by Atmung &amp; Schlaf with v. 3, 1998.</t>
  </si>
  <si>
    <t>Psychophysiology#Pulmonary Medicine</t>
  </si>
  <si>
    <t>100898759</t>
  </si>
  <si>
    <t>Sleep medicine</t>
  </si>
  <si>
    <t>SLEEP MEDICINE</t>
  </si>
  <si>
    <t>Sleep Med</t>
  </si>
  <si>
    <t>14 no. a year. 2013-</t>
  </si>
  <si>
    <t>9804678</t>
  </si>
  <si>
    <t>Sleep medicine reviews</t>
  </si>
  <si>
    <t>SLEEP MEDICINE REVIEWS</t>
  </si>
  <si>
    <t>Sleep Med Rev</t>
  </si>
  <si>
    <t>101235338</t>
  </si>
  <si>
    <t>Small (Weinheim an der Bergstrasse, Germany)</t>
  </si>
  <si>
    <t>SMALL (WEINHEIM AN DER BERGSTRASSE, GERMANY)</t>
  </si>
  <si>
    <t>Small</t>
  </si>
  <si>
    <t>16136829</t>
  </si>
  <si>
    <t>16136810</t>
  </si>
  <si>
    <t>Semi-monthly, 2009-</t>
  </si>
  <si>
    <t>101530974</t>
  </si>
  <si>
    <t>SMALL GTPASES</t>
  </si>
  <si>
    <t>100883492</t>
  </si>
  <si>
    <t>SMU law review : a publication of Southern Methodist University School of Law</t>
  </si>
  <si>
    <t>SMU LAW REVIEW : A PUBLICATION OF SOUTHERN METHODIST UNIVERSITY SCHOOL OF LAW</t>
  </si>
  <si>
    <t>SMU Law Rev</t>
  </si>
  <si>
    <t>Continues: Southwestern law journal.</t>
  </si>
  <si>
    <t>10661271</t>
  </si>
  <si>
    <t>The School</t>
  </si>
  <si>
    <t>5 no. a year, &lt;Sept.-Oct. 1993-&gt;</t>
  </si>
  <si>
    <t>101288795</t>
  </si>
  <si>
    <t>Social cognitive and affective neuroscience</t>
  </si>
  <si>
    <t>SOCIAL COGNITIVE AND AFFECTIVE NEUROSCIENCE</t>
  </si>
  <si>
    <t>Soc Cogn Affect Neurosci</t>
  </si>
  <si>
    <t>17495024</t>
  </si>
  <si>
    <t>17495016</t>
  </si>
  <si>
    <t>Oxford Journals, Oxford University Press</t>
  </si>
  <si>
    <t>Neurology#Social Sciences</t>
  </si>
  <si>
    <t>101279009</t>
  </si>
  <si>
    <t>Social neuroscience</t>
  </si>
  <si>
    <t>SOCIAL NEUROSCIENCE</t>
  </si>
  <si>
    <t>Soc Neurosci</t>
  </si>
  <si>
    <t>17470927</t>
  </si>
  <si>
    <t>17470919</t>
  </si>
  <si>
    <t>8804358</t>
  </si>
  <si>
    <t>Social psychiatry and psychiatric epidemiology</t>
  </si>
  <si>
    <t>SOCIAL PSYCHIATRY AND PSYCHIATRIC EPIDEMIOLOGY</t>
  </si>
  <si>
    <t>Soc Psychiatry Psychiatr Epidemiol</t>
  </si>
  <si>
    <t>Continues: Social psychiatry.</t>
  </si>
  <si>
    <t>14339285</t>
  </si>
  <si>
    <t>09337954</t>
  </si>
  <si>
    <t>Epidemiology#Psychiatry#Social Sciences</t>
  </si>
  <si>
    <t>8303205</t>
  </si>
  <si>
    <t>Social science &amp; medicine (1982)</t>
  </si>
  <si>
    <t>SOCIAL SCIENCE &amp; MEDICINE (1982)</t>
  </si>
  <si>
    <t>Soc Sci Med</t>
  </si>
  <si>
    <t>Formed by the union of: Social science &amp; medicine. Part A, Medical sociology; Social science &amp; medicine. Part B, Medical anthropology; Social science &amp; medicine. Part C, Medical economics; Social science &amp; medicine. Part D, Medical geography; Social science &amp; medicine. Part E, Medical psychology; Social science &amp; medicine. Part F, Medical &amp; social ethics.</t>
  </si>
  <si>
    <t>Health Services#Social Sciences</t>
  </si>
  <si>
    <t>0330501</t>
  </si>
  <si>
    <t>Social science research</t>
  </si>
  <si>
    <t>SOCIAL SCIENCE RESEARCH</t>
  </si>
  <si>
    <t>Soc Sci Res</t>
  </si>
  <si>
    <t>0049089X</t>
  </si>
  <si>
    <t>22030305R</t>
  </si>
  <si>
    <t>Social security bulletin</t>
  </si>
  <si>
    <t>SOCIAL SECURITY BULLETIN</t>
  </si>
  <si>
    <t>Soc Secur Bull</t>
  </si>
  <si>
    <t>Absorbed: Monthly benefit statistics. United States. Social Security Administration. Office of Research and Statistics. Continues a publication with the same title. Calendar year data for 1939-1948 published in: Social security yearbook. Annual statistics for 1949-1954 published in the Sept. issues, 1950-1955. Issues for 1955-1991 accomapnied by: Annual statistical supplement; 1992- by: Annual statistical supplement, ... to the Social security bulletin.</t>
  </si>
  <si>
    <t>00377910</t>
  </si>
  <si>
    <t>U.S. Social Security Administration, Office of Research and Statistics</t>
  </si>
  <si>
    <t>7506743</t>
  </si>
  <si>
    <t>Social studies of science</t>
  </si>
  <si>
    <t>SOCIAL STUDIES OF SCIENCE</t>
  </si>
  <si>
    <t>Soc Stud Sci</t>
  </si>
  <si>
    <t>Continues: Science studies.</t>
  </si>
  <si>
    <t>14603659</t>
  </si>
  <si>
    <t>03063127</t>
  </si>
  <si>
    <t>2984852R</t>
  </si>
  <si>
    <t>Social work</t>
  </si>
  <si>
    <t>SOCIAL WORK</t>
  </si>
  <si>
    <t>Soc Work</t>
  </si>
  <si>
    <t>Continues: Social work journal.</t>
  </si>
  <si>
    <t>15456846</t>
  </si>
  <si>
    <t>00378046</t>
  </si>
  <si>
    <t>Quarterly, &lt;Jan. 2001-&gt;</t>
  </si>
  <si>
    <t>7603729</t>
  </si>
  <si>
    <t>Social work in health care</t>
  </si>
  <si>
    <t>SOCIAL WORK IN HEALTH CARE</t>
  </si>
  <si>
    <t>Soc Work Health Care</t>
  </si>
  <si>
    <t>1541034X</t>
  </si>
  <si>
    <t>00981389</t>
  </si>
  <si>
    <t>101308228</t>
  </si>
  <si>
    <t>Social work in public health</t>
  </si>
  <si>
    <t>SOCIAL WORK IN PUBLIC HEALTH</t>
  </si>
  <si>
    <t>Soc Work Public Health</t>
  </si>
  <si>
    <t>Continues: Journal of health &amp; social policy.</t>
  </si>
  <si>
    <t>1937190X</t>
  </si>
  <si>
    <t>19371918</t>
  </si>
  <si>
    <t>101295315</t>
  </si>
  <si>
    <t>Society of Reproduction and Fertility supplement</t>
  </si>
  <si>
    <t>SOCIETY OF REPRODUCTION AND FERTILITY SUPPLEMENT</t>
  </si>
  <si>
    <t>Soc Reprod Fertil Suppl</t>
  </si>
  <si>
    <t>Continues: Reproduction (Cambridge, England). Supplement.</t>
  </si>
  <si>
    <t>Nottingham University Press</t>
  </si>
  <si>
    <t>8205036</t>
  </si>
  <si>
    <t>Sociology of health &amp; illness</t>
  </si>
  <si>
    <t>SOCIOLOGY OF HEALTH &amp; ILLNESS</t>
  </si>
  <si>
    <t>Sociol Health Illn</t>
  </si>
  <si>
    <t>14679566</t>
  </si>
  <si>
    <t>01419889</t>
  </si>
  <si>
    <t>9616322</t>
  </si>
  <si>
    <t>Soins. Gérontologie</t>
  </si>
  <si>
    <t>SOINS. GERONTOLOGIE</t>
  </si>
  <si>
    <t>Soins Gerontol</t>
  </si>
  <si>
    <t>12686034</t>
  </si>
  <si>
    <t>9604503</t>
  </si>
  <si>
    <t>Soins. Pédiatrie, puériculture</t>
  </si>
  <si>
    <t>SOINS. PEDIATRIE, PUERICULTURE</t>
  </si>
  <si>
    <t>Soins Pediatr Pueric</t>
  </si>
  <si>
    <t>Continues: Soins. Gynécologie, obstétrique, puériculture, pédiatrie.</t>
  </si>
  <si>
    <t>12594792</t>
  </si>
  <si>
    <t>8203334</t>
  </si>
  <si>
    <t>Soins. Psychiatrie</t>
  </si>
  <si>
    <t>SOINS. PSYCHIATRIE</t>
  </si>
  <si>
    <t>Soins Psychiatr</t>
  </si>
  <si>
    <t>02416972</t>
  </si>
  <si>
    <t>20910580R</t>
  </si>
  <si>
    <t>Soins; la revue de référence infirmière</t>
  </si>
  <si>
    <t>SOINS; LA REVUE DE REFERENCE INFIRMIERE</t>
  </si>
  <si>
    <t>Soins</t>
  </si>
  <si>
    <t>00380814</t>
  </si>
  <si>
    <t>9306181</t>
  </si>
  <si>
    <t>Solid state nuclear magnetic resonance</t>
  </si>
  <si>
    <t>SOLID STATE NUCLEAR MAGNETIC RESONANCE</t>
  </si>
  <si>
    <t>Solid State Nucl Magn Reson</t>
  </si>
  <si>
    <t>15273326</t>
  </si>
  <si>
    <t>09262040</t>
  </si>
  <si>
    <t>8904127</t>
  </si>
  <si>
    <t>Somatosensory &amp; motor research</t>
  </si>
  <si>
    <t>SOMATOSENSORY &amp; MOTOR RESEARCH</t>
  </si>
  <si>
    <t>Somatosens Mot Res</t>
  </si>
  <si>
    <t>Continues: Somatosensory research.</t>
  </si>
  <si>
    <t>13691651</t>
  </si>
  <si>
    <t>08990220</t>
  </si>
  <si>
    <t>9601665</t>
  </si>
  <si>
    <t>Soudní lékarství / casopis Sekce soudního lékarstvi Cs. lékarské spolecnosti J. Ev. Purkyne</t>
  </si>
  <si>
    <t>SOUDNI LEKARSTVI / CASOPIS SEKCE SOUDNIHO LEKARSTVI CS. LEKARSKE SPOLECNOSTI J. EV. PURKYNE</t>
  </si>
  <si>
    <t>Soud Lek</t>
  </si>
  <si>
    <t>03711854</t>
  </si>
  <si>
    <t>Státní zdravotnické nakladatelství</t>
  </si>
  <si>
    <t>7805099</t>
  </si>
  <si>
    <t>The South African journal of communication disorders. Die Suid-Afrikaanse tydskrif vir Kommunikasieafwykings</t>
  </si>
  <si>
    <t>SOUTH AFRICAN JOURNAL OF COMMUNICATION DISORDERS. DIE SUID-AFRIKAANSE TYDSKRIF VIR KOMMUNIKASIEAFWYKINGS</t>
  </si>
  <si>
    <t>S Afr J Commun Disord</t>
  </si>
  <si>
    <t>Continues Journal of the South African Speech and Hearing Association. Tydskrif van die Suid-Afrikaanse Vereniging vir Spraak- en Gehoorheelkunde.</t>
  </si>
  <si>
    <t>03798046</t>
  </si>
  <si>
    <t>South African Speech and Hearing Assn.</t>
  </si>
  <si>
    <t>2984854R</t>
  </si>
  <si>
    <t>South African journal of surgery. Suid-Afrikaanse tydskrif vir chirurgie</t>
  </si>
  <si>
    <t>SOUTH AFRICAN JOURNAL OF SURGERY. SUID-AFRIKAANSE TYDSKRIF VIR CHIRURGIE</t>
  </si>
  <si>
    <t>S Afr J Surg</t>
  </si>
  <si>
    <t>00382361</t>
  </si>
  <si>
    <t>Association Of Surgeons Of South Africa</t>
  </si>
  <si>
    <t>0404520</t>
  </si>
  <si>
    <t>South African medical journal = Suid-Afrikaanse tydskrif vir geneeskunde</t>
  </si>
  <si>
    <t>SOUTH AFRICAN MEDICAL JOURNAL = SUID-AFRIKAANSE TYDSKRIF VIR GENEESKUNDE</t>
  </si>
  <si>
    <t>S Afr Med J</t>
  </si>
  <si>
    <t>Has supplement: South African journal of obstetrics and gynaecology which was issued separately, 1963-1973. In 1999, this supplement again became an independent publication. Absorbed: Southern African journal of critical care, which was issued as a section, Nov. 1994-&lt;Sept. 1998&gt; and later issued separately, Apr. 2000- .</t>
  </si>
  <si>
    <t>20785135</t>
  </si>
  <si>
    <t>00382469</t>
  </si>
  <si>
    <t>9423819</t>
  </si>
  <si>
    <t>South Carolina nurse (Columbia, S.C. : 1994)</t>
  </si>
  <si>
    <t>SOUTH CAROLINA NURSE (COLUMBIA, S.C. : 1994)</t>
  </si>
  <si>
    <t>S C Nurse</t>
  </si>
  <si>
    <t>Continues: The South Carolina nurse, published v. 1-8, 1986-1993.</t>
  </si>
  <si>
    <t>10467394</t>
  </si>
  <si>
    <t>South Carolina Nurses Association</t>
  </si>
  <si>
    <t>101265265</t>
  </si>
  <si>
    <t>South Dakota medicine : the journal of the South Dakota State Medical Association</t>
  </si>
  <si>
    <t>SOUTH DAKOTA MEDICINE : THE JOURNAL OF THE SOUTH DAKOTA STATE MEDICAL ASSOCIATION</t>
  </si>
  <si>
    <t>S D Med</t>
  </si>
  <si>
    <t>Continues: South Dakota journal of medicine.</t>
  </si>
  <si>
    <t>00383317</t>
  </si>
  <si>
    <t>South Dakota State Medical Association</t>
  </si>
  <si>
    <t>0266303</t>
  </si>
  <si>
    <t>The Southeast Asian journal of tropical medicine and public health</t>
  </si>
  <si>
    <t>SOUTHEAST ASIAN JOURNAL OF TROPICAL MEDICINE AND PUBLIC HEALTH</t>
  </si>
  <si>
    <t>Southeast Asian J Trop Med Public Health</t>
  </si>
  <si>
    <t>01251562</t>
  </si>
  <si>
    <t>SEAMO Regional Tropical Medicine and Public Health Network</t>
  </si>
  <si>
    <t>0404522</t>
  </si>
  <si>
    <t>Southern medical journal</t>
  </si>
  <si>
    <t>SOUTHERN MEDICAL JOURNAL</t>
  </si>
  <si>
    <t>South Med J</t>
  </si>
  <si>
    <t>Has supplements, 1992-&lt;1995&gt;: Clinical news reporter; 1996- Clinical Highlights reporter and Clinical symposium digest; 1999- New southern medicine. Absorbed: Gulf States journal of medicine and surgery and Mobile medical and surgical journal.</t>
  </si>
  <si>
    <t>Southern Medical Association</t>
  </si>
  <si>
    <t>101095192</t>
  </si>
  <si>
    <t>The Spanish journal of psychology</t>
  </si>
  <si>
    <t>SPANISH JOURNAL OF PSYCHOLOGY</t>
  </si>
  <si>
    <t>Span J Psychol</t>
  </si>
  <si>
    <t>19882904</t>
  </si>
  <si>
    <t>11387416</t>
  </si>
  <si>
    <t>101516571</t>
  </si>
  <si>
    <t>Spatial and spatio-temporal epidemiology</t>
  </si>
  <si>
    <t>SPATIAL AND SPATIO-TEMPORAL EPIDEMIOLOGY</t>
  </si>
  <si>
    <t>Spat Spatiotemporal Epidemiol</t>
  </si>
  <si>
    <t>8103755</t>
  </si>
  <si>
    <t>Special care in dentistry : official publication of the American Association of Hospital Dentists, the Academy of Dentistry for the Handicapped, and the American Society for Geriatric Dentistry</t>
  </si>
  <si>
    <t>SPECIAL CARE IN DENTISTRY : OFFICIAL PUBLICATION OF THE AMERICAN ASSOCIATION OF HOSPITAL DENTISTS, THE ACADEMY OF DENTISTRY FOR THE HANDICAPPED, AND THE AMERICAN SOCIETY FOR GERIATRIC DENTISTRY</t>
  </si>
  <si>
    <t>Spec Care Dentist</t>
  </si>
  <si>
    <t>Formed by the union of: Journal of hospital dental practice; Journal of dentistry for the handicapped; and The Journal of the American Society for Geriatric Dentistry.</t>
  </si>
  <si>
    <t>17544505</t>
  </si>
  <si>
    <t>02751879</t>
  </si>
  <si>
    <t>9602533</t>
  </si>
  <si>
    <t>Spectrochimica acta. Part A, Molecular and biomolecular spectroscopy</t>
  </si>
  <si>
    <t>SPECTROCHIMICA ACTA. PART A, MOLECULAR AND BIOMOLECULAR SPECTROSCOPY</t>
  </si>
  <si>
    <t>Spectrochim Acta A Mol Biomol Spectrosc</t>
  </si>
  <si>
    <t>Continues: Spectrochimica acta. Part A, Molecular spectroscopy.</t>
  </si>
  <si>
    <t>18733557</t>
  </si>
  <si>
    <t>13861425</t>
  </si>
  <si>
    <t>Eighteen no. a year, Oct. 2011-</t>
  </si>
  <si>
    <t>9609749</t>
  </si>
  <si>
    <t>Spinal cord</t>
  </si>
  <si>
    <t>SPINAL CORD</t>
  </si>
  <si>
    <t>Continues: Paraplegia.</t>
  </si>
  <si>
    <t>Stockton Press</t>
  </si>
  <si>
    <t>7610646</t>
  </si>
  <si>
    <t>SPINE</t>
  </si>
  <si>
    <t>Spine (Phila Pa 1976)</t>
  </si>
  <si>
    <t>101130732</t>
  </si>
  <si>
    <t>The spine journal : official journal of the North American Spine Society</t>
  </si>
  <si>
    <t>SPINE JOURNAL : OFFICIAL JOURNAL OF THE NORTH AMERICAN SPINE SOCIETY</t>
  </si>
  <si>
    <t>Spine J</t>
  </si>
  <si>
    <t>101151352</t>
  </si>
  <si>
    <t>Sports biomechanics / International Society of Biomechanics in Sports</t>
  </si>
  <si>
    <t>SPORTS BIOMECHANICS / INTERNATIONAL SOCIETY OF BIOMECHANICS IN SPORTS</t>
  </si>
  <si>
    <t>Sports Biomech</t>
  </si>
  <si>
    <t>14763141</t>
  </si>
  <si>
    <t>Published by Edinburgh University Press Ltd on behalf of International Society of Biomechanics in Sports</t>
  </si>
  <si>
    <t>8412297</t>
  </si>
  <si>
    <t>Sports medicine (Auckland, N.Z.)</t>
  </si>
  <si>
    <t>SPORTS MEDICINE (AUCKLAND, N.Z.)</t>
  </si>
  <si>
    <t>Sports Med</t>
  </si>
  <si>
    <t>11792035</t>
  </si>
  <si>
    <t>01121642</t>
  </si>
  <si>
    <t>9315689</t>
  </si>
  <si>
    <t>Sports medicine and arthroscopy review</t>
  </si>
  <si>
    <t>SPORTS MEDICINE AND ARTHROSCOPY REVIEW</t>
  </si>
  <si>
    <t>Sports Med Arthrosc</t>
  </si>
  <si>
    <t>Orthopedics#Sports Medicine</t>
  </si>
  <si>
    <t>8904133</t>
  </si>
  <si>
    <t>Sportverletzung Sportschaden : Organ der Gesellschaft für Orthopädisch-Traumatologische Sportmedizin</t>
  </si>
  <si>
    <t>SPORTVERLETZUNG SPORTSCHADEN : ORGAN DER GESELLSCHAFT FUR ORTHOPADISCH-TRAUMATOLOGISCHE SPORTMEDIZIN</t>
  </si>
  <si>
    <t>Sportverletz Sportschaden</t>
  </si>
  <si>
    <t>14391236</t>
  </si>
  <si>
    <t>09320555</t>
  </si>
  <si>
    <t>0027440</t>
  </si>
  <si>
    <t>Srpski arhiv za celokupno lekarstvo</t>
  </si>
  <si>
    <t>SRPSKI ARHIV ZA CELOKUPNO LEKARSTVO</t>
  </si>
  <si>
    <t>Srp Arh Celok Lek</t>
  </si>
  <si>
    <t>03708179</t>
  </si>
  <si>
    <t>Srpski Lekarski Drustvo</t>
  </si>
  <si>
    <t>101221787</t>
  </si>
  <si>
    <t>Standardization news : SN</t>
  </si>
  <si>
    <t>STANDARDIZATION NEWS : SN</t>
  </si>
  <si>
    <t>Stand News</t>
  </si>
  <si>
    <t>Continues: ASTM standardization news. American Society for Testing and Materials.</t>
  </si>
  <si>
    <t>10944656</t>
  </si>
  <si>
    <t>ASTM International</t>
  </si>
  <si>
    <t>7703790</t>
  </si>
  <si>
    <t>Stanford law review</t>
  </si>
  <si>
    <t>STANFORD LAW REVIEW</t>
  </si>
  <si>
    <t>Stanford Law Rev</t>
  </si>
  <si>
    <t>Continues: Stanford intramural law review.</t>
  </si>
  <si>
    <t>19398581</t>
  </si>
  <si>
    <t>00389765</t>
  </si>
  <si>
    <t>School of Law, Stanford Univ.</t>
  </si>
  <si>
    <t>Six no. a year, 1964/65-</t>
  </si>
  <si>
    <t>101133951</t>
  </si>
  <si>
    <t>Stapp car crash journal</t>
  </si>
  <si>
    <t>STAPP CAR CRASH JOURNAL</t>
  </si>
  <si>
    <t>Stapp Car Crash J</t>
  </si>
  <si>
    <t>Continues: Proceedings. Stapp Car Crash Conference.</t>
  </si>
  <si>
    <t>15328546</t>
  </si>
  <si>
    <t>Society of Automotive Engineers</t>
  </si>
  <si>
    <t>101140003</t>
  </si>
  <si>
    <t>State Coverage Initiatives issue brief : a national initiative of the Robert Wood Johnson Foundation</t>
  </si>
  <si>
    <t>STATE COVERAGE INITIATIVES ISSUE BRIEF : A NATIONAL INITIATIVE OF THE ROBERT WOOD JOHNSON FOUNDATION</t>
  </si>
  <si>
    <t>State Coverage Initiat Issue Brief</t>
  </si>
  <si>
    <t>Academy for Health Services Research and Health Policy</t>
  </si>
  <si>
    <t>100890177</t>
  </si>
  <si>
    <t>State legislatures</t>
  </si>
  <si>
    <t>STATE LEGISLATURES</t>
  </si>
  <si>
    <t>State Legis</t>
  </si>
  <si>
    <t>Continues: State legislatures today.</t>
  </si>
  <si>
    <t>01476041</t>
  </si>
  <si>
    <t>National Conference of State Legislatures]</t>
  </si>
  <si>
    <t>10 no. a year &lt;, Apr. 1980-&gt;</t>
  </si>
  <si>
    <t>101176023</t>
  </si>
  <si>
    <t>Statistical applications in genetics and molecular biology</t>
  </si>
  <si>
    <t>STATISTICAL APPLICATIONS IN GENETICS AND MOLECULAR BIOLOGY</t>
  </si>
  <si>
    <t>Stat Appl Genet Mol Biol</t>
  </si>
  <si>
    <t>21946302</t>
  </si>
  <si>
    <t>Genetics#Molecular Biology#Statistics as Topic</t>
  </si>
  <si>
    <t>9212457</t>
  </si>
  <si>
    <t>Statistical methods in medical research</t>
  </si>
  <si>
    <t>STATISTICAL METHODS IN MEDICAL RESEARCH</t>
  </si>
  <si>
    <t>Stat Methods Med Res</t>
  </si>
  <si>
    <t>8215016</t>
  </si>
  <si>
    <t>Statistics in medicine</t>
  </si>
  <si>
    <t>STATISTICS IN MEDICINE</t>
  </si>
  <si>
    <t>Stat Med</t>
  </si>
  <si>
    <t>101316957</t>
  </si>
  <si>
    <t>Stem cell research</t>
  </si>
  <si>
    <t>STEM CELL RESEARCH</t>
  </si>
  <si>
    <t>Stem Cell Res</t>
  </si>
  <si>
    <t>101527581</t>
  </si>
  <si>
    <t>Stem cell research &amp; therapy</t>
  </si>
  <si>
    <t>STEM CELL RESEARCH &amp; THERAPY</t>
  </si>
  <si>
    <t>Stem Cell Res Ther</t>
  </si>
  <si>
    <t>101255952</t>
  </si>
  <si>
    <t>Stem cell reviews</t>
  </si>
  <si>
    <t>STEM CELL REVIEWS</t>
  </si>
  <si>
    <t>Stem Cell Rev</t>
  </si>
  <si>
    <t>15586804</t>
  </si>
  <si>
    <t>15508943</t>
  </si>
  <si>
    <t>9304532</t>
  </si>
  <si>
    <t>Stem cells (Dayton, Ohio)</t>
  </si>
  <si>
    <t>STEM CELLS (DAYTON, OHIO)</t>
  </si>
  <si>
    <t>Continues: International journal of cell cloning.</t>
  </si>
  <si>
    <t>101197107</t>
  </si>
  <si>
    <t>Stem cells and development</t>
  </si>
  <si>
    <t>STEM CELLS AND DEVELOPMENT</t>
  </si>
  <si>
    <t>Stem Cells Dev</t>
  </si>
  <si>
    <t>Continues: Journal of hematotherapy &amp; stem cell research.</t>
  </si>
  <si>
    <t>Twenty four no. a year, 2013-</t>
  </si>
  <si>
    <t>Cell Biology#Hematology</t>
  </si>
  <si>
    <t>101578022</t>
  </si>
  <si>
    <t>Stem cells translational medicine</t>
  </si>
  <si>
    <t>STEM CELLS TRANSLATIONAL MEDICINE</t>
  </si>
  <si>
    <t>Stem Cells Transl Med</t>
  </si>
  <si>
    <t>8902881</t>
  </si>
  <si>
    <t>Stereotactic and functional neurosurgery</t>
  </si>
  <si>
    <t>STEREOTACTIC AND FUNCTIONAL NEUROSURGERY</t>
  </si>
  <si>
    <t>Stereotact Funct Neurosurg</t>
  </si>
  <si>
    <t>Continues: Applied neurophysiology.</t>
  </si>
  <si>
    <t>0404536</t>
  </si>
  <si>
    <t>STEROIDS</t>
  </si>
  <si>
    <t>0412072</t>
  </si>
  <si>
    <t>Stomatologii͡a</t>
  </si>
  <si>
    <t>STOMATOLOGIIA</t>
  </si>
  <si>
    <t>Stomatologiia (Mosk)</t>
  </si>
  <si>
    <t>Continues: Sovetskaia stomatologiia.</t>
  </si>
  <si>
    <t>23095318</t>
  </si>
  <si>
    <t>00391735</t>
  </si>
  <si>
    <t>101248498</t>
  </si>
  <si>
    <t>Stomatologija / issued by public institution "Odontologijos studija" ... [et al.]</t>
  </si>
  <si>
    <t>STOMATOLOGIJA / ISSUED BY PUBLIC INSTITUTION "ODONTOLOGIJOS STUDIJA" ... [ET AL.]</t>
  </si>
  <si>
    <t>Stomatologija</t>
  </si>
  <si>
    <t>Continues: Stomatologijos praktika.</t>
  </si>
  <si>
    <t>1822301X</t>
  </si>
  <si>
    <t>13928589</t>
  </si>
  <si>
    <t>Aušra</t>
  </si>
  <si>
    <t>9310896</t>
  </si>
  <si>
    <t>STRABISMUS</t>
  </si>
  <si>
    <t>8603469</t>
  </si>
  <si>
    <t>Strahlentherapie und Onkologie : Organ der Deutschen Röntgengesellschaft ... [et al]</t>
  </si>
  <si>
    <t>STRAHLENTHERAPIE UND ONKOLOGIE : ORGAN DER DEUTSCHEN RONTGENGESELLSCHAFT ... [ET AL]</t>
  </si>
  <si>
    <t>Strahlenther Onkol</t>
  </si>
  <si>
    <t>Continues: Strahlentherapie.</t>
  </si>
  <si>
    <t>9617529</t>
  </si>
  <si>
    <t>Stress (Amsterdam, Netherlands)</t>
  </si>
  <si>
    <t>STRESS (AMSTERDAM, NETHERLANDS)</t>
  </si>
  <si>
    <t>101089166</t>
  </si>
  <si>
    <t>Stress and health : journal of the International Society for the Investigation of Stress</t>
  </si>
  <si>
    <t>STRESS AND HEALTH : JOURNAL OF THE INTERNATIONAL SOCIETY FOR THE INVESTIGATION OF STRESS</t>
  </si>
  <si>
    <t>Stress Health</t>
  </si>
  <si>
    <t>Continues: Stress medicine.</t>
  </si>
  <si>
    <t>0235266</t>
  </si>
  <si>
    <t>Stroke; a journal of cerebral circulation</t>
  </si>
  <si>
    <t>STROKE; A JOURNAL OF CEREBRAL CIRCULATION</t>
  </si>
  <si>
    <t>101087697</t>
  </si>
  <si>
    <t>Structure (London, England : 1993)</t>
  </si>
  <si>
    <t>STRUCTURE (LONDON, ENGLAND : 1993)</t>
  </si>
  <si>
    <t>Absorbed: Folding &amp; design. 1999</t>
  </si>
  <si>
    <t>Biochemistry#Biotechnology#Molecular Biology</t>
  </si>
  <si>
    <t>9112135</t>
  </si>
  <si>
    <t>Studies in ancient medicine</t>
  </si>
  <si>
    <t>STUDIES IN ANCIENT MEDICINE</t>
  </si>
  <si>
    <t>Stud Anc Med</t>
  </si>
  <si>
    <t>09251421</t>
  </si>
  <si>
    <t>E.J. Brill</t>
  </si>
  <si>
    <t>7810364</t>
  </si>
  <si>
    <t>Studies in family planning</t>
  </si>
  <si>
    <t>STUDIES IN FAMILY PLANNING</t>
  </si>
  <si>
    <t>Stud Fam Plann</t>
  </si>
  <si>
    <t>00393665</t>
  </si>
  <si>
    <t>Population Council.</t>
  </si>
  <si>
    <t>9214582</t>
  </si>
  <si>
    <t>Studies in health technology and informatics</t>
  </si>
  <si>
    <t>STUDIES IN HEALTH TECHNOLOGY AND INFORMATICS</t>
  </si>
  <si>
    <t>Stud Health Technol Inform</t>
  </si>
  <si>
    <t>09269630</t>
  </si>
  <si>
    <t>Health Services Research#Medical Informatics#Technology</t>
  </si>
  <si>
    <t>9810965</t>
  </si>
  <si>
    <t>Studies in history and philosophy of biological and biomedical sciences</t>
  </si>
  <si>
    <t>STUDIES IN HISTORY AND PHILOSOPHY OF BIOLOGICAL AND BIOMEDICAL SCIENCES</t>
  </si>
  <si>
    <t>Stud Hist Philos Biol Biomed Sci</t>
  </si>
  <si>
    <t>18792499</t>
  </si>
  <si>
    <t>13698486</t>
  </si>
  <si>
    <t>Ethics#History of Medicine#Social Sciences</t>
  </si>
  <si>
    <t>1250602</t>
  </si>
  <si>
    <t>Studies in history and philosophy of science</t>
  </si>
  <si>
    <t>STUDIES IN HISTORY AND PHILOSOPHY OF SCIENCE</t>
  </si>
  <si>
    <t>Stud Hist Philos Sci</t>
  </si>
  <si>
    <t>Issues for Dec. 1993, June 1994, and Dec. 1994 also have section title: Studies in history and philosophy of modern physics, which does not have its own volume numbering. Beginning with Apr. 1995 this became a separate journal. Issued in conjunction with companion journal: Studies in history and philosophy of biological and biomedical sciences, Mar. 1998-</t>
  </si>
  <si>
    <t>00393681</t>
  </si>
  <si>
    <t>0316571</t>
  </si>
  <si>
    <t>Sub-cellular biochemistry</t>
  </si>
  <si>
    <t>SUB-CELLULAR BIOCHEMISTRY</t>
  </si>
  <si>
    <t>Subcell Biochem</t>
  </si>
  <si>
    <t>Continued in part by: Blood cell biochemistry.</t>
  </si>
  <si>
    <t>03060225</t>
  </si>
  <si>
    <t>8808537</t>
  </si>
  <si>
    <t>Substance abuse : official publication of the Association for Medical Education and Research in Substance Abuse</t>
  </si>
  <si>
    <t>SUBSTANCE ABUSE : OFFICIAL PUBLICATION OF THE ASSOCIATION FOR MEDICAL EDUCATION AND RESEARCH IN SUBSTANCE ABUSE</t>
  </si>
  <si>
    <t>Subst Abus</t>
  </si>
  <si>
    <t>Absorbed: Journal of teaching in the addictions.</t>
  </si>
  <si>
    <t>15470164</t>
  </si>
  <si>
    <t>08897077</t>
  </si>
  <si>
    <t>101258060</t>
  </si>
  <si>
    <t>Substance abuse treatment, prevention, and policy</t>
  </si>
  <si>
    <t>SUBSTANCE ABUSE TREATMENT, PREVENTION, AND POLICY</t>
  </si>
  <si>
    <t>Subst Abuse Treat Prev Policy</t>
  </si>
  <si>
    <t>1747597X</t>
  </si>
  <si>
    <t>9602153</t>
  </si>
  <si>
    <t>Substance use &amp; misuse</t>
  </si>
  <si>
    <t>SUBSTANCE USE &amp; MISUSE</t>
  </si>
  <si>
    <t>Subst Use Misuse</t>
  </si>
  <si>
    <t>Continues: International journal of the addictions.</t>
  </si>
  <si>
    <t>15322491</t>
  </si>
  <si>
    <t>10826084</t>
  </si>
  <si>
    <t>0404546</t>
  </si>
  <si>
    <t>Sudebno-meditsinskaia ekspertiza</t>
  </si>
  <si>
    <t>SUDEBNO-MEDITSINSKAIA EKSPERTIZA</t>
  </si>
  <si>
    <t>Sud Med Ekspert</t>
  </si>
  <si>
    <t>23095326</t>
  </si>
  <si>
    <t>00394521</t>
  </si>
  <si>
    <t>0240376</t>
  </si>
  <si>
    <t>Sudhoffs Archiv</t>
  </si>
  <si>
    <t>SUDHOFFS ARCHIV</t>
  </si>
  <si>
    <t>Sudhoffs Arch</t>
  </si>
  <si>
    <t>Continues: Sudhoffs Archiv für Geschichte der Medizin und der Naturwissenschaften.</t>
  </si>
  <si>
    <t>00394564</t>
  </si>
  <si>
    <t>Semiannual, &lt;2004-&gt;</t>
  </si>
  <si>
    <t>1256455</t>
  </si>
  <si>
    <t>Sudhoffs Archiv; Zeitschrift für Wissenschaftsgeschichte. Beihefte</t>
  </si>
  <si>
    <t>SUDHOFFS ARCHIV; ZEITSCHRIFT FUR WISSENSCHAFTSGESCHICHTE. BEIHEFTE</t>
  </si>
  <si>
    <t>Sudhoffs Arch Z Wissenschaftsgesch Beih</t>
  </si>
  <si>
    <t>Continues the Beihefte of Sudhoffs Archiv; Vierteljahrsschrift für Geschichte der Medizin und der Naturwissenschaften, der Pharmazie und der Mathematik.</t>
  </si>
  <si>
    <t>03410773</t>
  </si>
  <si>
    <t>Franz Steiner</t>
  </si>
  <si>
    <t>7608054</t>
  </si>
  <si>
    <t>Suicide &amp; life-threatening behavior</t>
  </si>
  <si>
    <t>SUICIDE &amp; LIFE-THREATENING BEHAVIOR</t>
  </si>
  <si>
    <t>Suicide Life Threat Behav</t>
  </si>
  <si>
    <t>Continues: Suicide.</t>
  </si>
  <si>
    <t>1943278X</t>
  </si>
  <si>
    <t>03630234</t>
  </si>
  <si>
    <t>101153052</t>
  </si>
  <si>
    <t>I supplementi di Tumori : official journal of Società italiana di cancerologia ... [et al.]</t>
  </si>
  <si>
    <t>SUPPLEMENTI DI TUMORI : OFFICIAL JOURNAL OF SOCIETA ITALIANA DI CANCEROLOGIA ... [ET AL.]</t>
  </si>
  <si>
    <t>Suppl Tumori</t>
  </si>
  <si>
    <t>100967410</t>
  </si>
  <si>
    <t>Supplements to Clinical neurophysiology</t>
  </si>
  <si>
    <t>SUPPLEMENTS TO CLINICAL NEUROPHYSIOLOGY</t>
  </si>
  <si>
    <t>Suppl Clin Neurophysiol</t>
  </si>
  <si>
    <t>Continues: Electroencephalography and clinical neurophysiology. Supplement.</t>
  </si>
  <si>
    <t>1567424X</t>
  </si>
  <si>
    <t>Neurology#Physiology#Psychophysiology</t>
  </si>
  <si>
    <t>9302957</t>
  </si>
  <si>
    <t>Supportive care in cancer : official journal of the Multinational Association of Supportive Care in Cancer</t>
  </si>
  <si>
    <t>SUPPORTIVE CARE IN CANCER : OFFICIAL JOURNAL OF THE MULTINATIONAL ASSOCIATION OF SUPPORTIVE CARE IN CANCER</t>
  </si>
  <si>
    <t>Support Care Cancer</t>
  </si>
  <si>
    <t>101168329</t>
  </si>
  <si>
    <t>The surgeon : journal of the Royal Colleges of Surgeons of Edinburgh and Ireland</t>
  </si>
  <si>
    <t>SURGEON : JOURNAL OF THE ROYAL COLLEGES OF SURGEONS OF EDINBURGH AND IRELAND</t>
  </si>
  <si>
    <t>Surgeon</t>
  </si>
  <si>
    <t>Continues: Journal of the Royal College of Surgeons of Edinburgh.</t>
  </si>
  <si>
    <t>1479666X</t>
  </si>
  <si>
    <t>Publications Office, The Royal College of Surgeons of Edinburgh</t>
  </si>
  <si>
    <t>0417347</t>
  </si>
  <si>
    <t>Surgery</t>
  </si>
  <si>
    <t>SURGERY</t>
  </si>
  <si>
    <t>101233161</t>
  </si>
  <si>
    <t>Surgery for obesity and related diseases : official journal of the American Society for Bariatric Surgery</t>
  </si>
  <si>
    <t>SURGERY FOR OBESITY AND RELATED DISEASES : OFFICIAL JOURNAL OF THE AMERICAN SOCIETY FOR BARIATRIC SURGERY</t>
  </si>
  <si>
    <t>Surg Obes Relat Dis</t>
  </si>
  <si>
    <t>9204360</t>
  </si>
  <si>
    <t>Surgery today</t>
  </si>
  <si>
    <t>SURGERY TODAY</t>
  </si>
  <si>
    <t>Surg Today</t>
  </si>
  <si>
    <t>Continues: Japanese journal of surgery.</t>
  </si>
  <si>
    <t>8608029</t>
  </si>
  <si>
    <t>Surgical and radiologic anatomy : SRA</t>
  </si>
  <si>
    <t>SURGICAL AND RADIOLOGIC ANATOMY : SRA</t>
  </si>
  <si>
    <t>Surg Radiol Anat</t>
  </si>
  <si>
    <t>Continues: Anatomia clinica.</t>
  </si>
  <si>
    <t>Anatomy#General Surgery#Radiology</t>
  </si>
  <si>
    <t>0074243</t>
  </si>
  <si>
    <t>The Surgical clinics of North America</t>
  </si>
  <si>
    <t>SURGICAL CLINICS OF NORTH AMERICA</t>
  </si>
  <si>
    <t>Surg Clin North Am</t>
  </si>
  <si>
    <t>Continues: Surgical clinics of Chicago.</t>
  </si>
  <si>
    <t>8806653</t>
  </si>
  <si>
    <t>Surgical endoscopy</t>
  </si>
  <si>
    <t>SURGICAL ENDOSCOPY</t>
  </si>
  <si>
    <t>Surg Endosc</t>
  </si>
  <si>
    <t>9815642</t>
  </si>
  <si>
    <t>Surgical infections</t>
  </si>
  <si>
    <t>SURGICAL INFECTIONS</t>
  </si>
  <si>
    <t>Surg Infect (Larchmt)</t>
  </si>
  <si>
    <t>Bacteriology#General Surgery</t>
  </si>
  <si>
    <t>101233809</t>
  </si>
  <si>
    <t>Surgical innovation</t>
  </si>
  <si>
    <t>SURGICAL INNOVATION</t>
  </si>
  <si>
    <t>Surg Innov</t>
  </si>
  <si>
    <t>Continues: Seminars in laparoscopic surgery.</t>
  </si>
  <si>
    <t>100888751</t>
  </si>
  <si>
    <t>Surgical laparoscopy, endoscopy &amp; percutaneous techniques</t>
  </si>
  <si>
    <t>SURGICAL LAPAROSCOPY, ENDOSCOPY &amp; PERCUTANEOUS TECHNIQUES</t>
  </si>
  <si>
    <t>Surg Laparosc Endosc Percutan Tech</t>
  </si>
  <si>
    <t>Continues: Surgical laparoscopy &amp; endoscopy.</t>
  </si>
  <si>
    <t>9208188</t>
  </si>
  <si>
    <t>Surgical oncology</t>
  </si>
  <si>
    <t>SURGICAL ONCOLOGY</t>
  </si>
  <si>
    <t>Surg Oncol</t>
  </si>
  <si>
    <t>Quarterly, 1999?-</t>
  </si>
  <si>
    <t>9211789</t>
  </si>
  <si>
    <t>Surgical oncology clinics of North America</t>
  </si>
  <si>
    <t>SURGICAL ONCOLOGY CLINICS OF NORTH AMERICA</t>
  </si>
  <si>
    <t>Surg Oncol Clin N Am</t>
  </si>
  <si>
    <t>9604509</t>
  </si>
  <si>
    <t>Surgical technology international</t>
  </si>
  <si>
    <t>SURGICAL TECHNOLOGY INTERNATIONAL</t>
  </si>
  <si>
    <t>Surg Technol Int</t>
  </si>
  <si>
    <t>10903941</t>
  </si>
  <si>
    <t>Universal Medical Press</t>
  </si>
  <si>
    <t>Two no. a year, 2000-</t>
  </si>
  <si>
    <t>0404551</t>
  </si>
  <si>
    <t>Survey of ophthalmology</t>
  </si>
  <si>
    <t>SURVEY OF OPHTHALMOLOGY</t>
  </si>
  <si>
    <t>Surv Ophthalmol</t>
  </si>
  <si>
    <t>7706129</t>
  </si>
  <si>
    <t>Swedish dental journal</t>
  </si>
  <si>
    <t>SWEDISH DENTAL JOURNAL</t>
  </si>
  <si>
    <t>Swed Dent J</t>
  </si>
  <si>
    <t>Formed by the union of Svensk tandläkare tidskrift. Swedish dental journal and Odontologisk revy.</t>
  </si>
  <si>
    <t>03479994</t>
  </si>
  <si>
    <t>Swedish Dental Federation</t>
  </si>
  <si>
    <t>7905899</t>
  </si>
  <si>
    <t>Swedish dental journal. Supplement</t>
  </si>
  <si>
    <t>SWEDISH DENTAL JOURNAL. SUPPLEMENT</t>
  </si>
  <si>
    <t>Swed Dent J Suppl</t>
  </si>
  <si>
    <t>Formed by the union of: Svensk tandläkare-tidskrift. Supplementum, and: Odontologisk revy. Supplementum.</t>
  </si>
  <si>
    <t>03486672</t>
  </si>
  <si>
    <t>Departments of Endodontics, Pedodontics and Oral Pathology, University of Lund, School of Dentistry.</t>
  </si>
  <si>
    <t>101624119</t>
  </si>
  <si>
    <t>Swiss dental journal</t>
  </si>
  <si>
    <t>SWISS DENTAL JOURNAL</t>
  </si>
  <si>
    <t>Swiss Dent J</t>
  </si>
  <si>
    <t>Continues: Schweizer Monatsschrift für Zahnmedizin.</t>
  </si>
  <si>
    <t>22966501</t>
  </si>
  <si>
    <t>22966498</t>
  </si>
  <si>
    <t>100970884</t>
  </si>
  <si>
    <t>Swiss medical weekly</t>
  </si>
  <si>
    <t>SWISS MEDICAL WEEKLY</t>
  </si>
  <si>
    <t>Swiss Med Wkly</t>
  </si>
  <si>
    <t>Absorbed: Schweizerische medizinische Wochenschrift. Supplementum. Continues: Schweizerische medizinische Wochenschrift.</t>
  </si>
  <si>
    <t>00367672</t>
  </si>
  <si>
    <t>Continually published, July 2010-</t>
  </si>
  <si>
    <t>8806914</t>
  </si>
  <si>
    <t>Synapse (New York, N.Y.)</t>
  </si>
  <si>
    <t>SYNAPSE (NEW YORK, N.Y.)</t>
  </si>
  <si>
    <t>101540513</t>
  </si>
  <si>
    <t>The Synthesis project. Research synthesis report</t>
  </si>
  <si>
    <t>SYNTHESIS PROJECT. RESEARCH SYNTHESIS REPORT</t>
  </si>
  <si>
    <t>Synth Proj Res Synth Rep</t>
  </si>
  <si>
    <t>21553718</t>
  </si>
  <si>
    <t>2155370X</t>
  </si>
  <si>
    <t>Robert Wood Johnson Foundation</t>
  </si>
  <si>
    <t>Three time a year</t>
  </si>
  <si>
    <t>8306133</t>
  </si>
  <si>
    <t>Systematic and applied microbiology</t>
  </si>
  <si>
    <t>SYSTEMATIC AND APPLIED MICROBIOLOGY</t>
  </si>
  <si>
    <t>Syst Appl Microbiol</t>
  </si>
  <si>
    <t>Continues: Zentralblatt für Bakteriologie, Mikrobiologie und Hygiene. 1. Abt. Originale. C, Allgemeine, angewandte, und ökologische Mikrobiologie.</t>
  </si>
  <si>
    <t>G. Fischer Verlag</t>
  </si>
  <si>
    <t>9302532</t>
  </si>
  <si>
    <t>Systematic biology</t>
  </si>
  <si>
    <t>SYSTEMATIC BIOLOGY</t>
  </si>
  <si>
    <t>Syst Biol</t>
  </si>
  <si>
    <t>Continues: Systematic zoology.</t>
  </si>
  <si>
    <t>1076836X</t>
  </si>
  <si>
    <t>10635157</t>
  </si>
  <si>
    <t>8111384</t>
  </si>
  <si>
    <t>Systematic parasitology</t>
  </si>
  <si>
    <t>SYSTEMATIC PARASITOLOGY</t>
  </si>
  <si>
    <t>Syst Parasitol</t>
  </si>
  <si>
    <t>15735192</t>
  </si>
  <si>
    <t>01655752</t>
  </si>
  <si>
    <t>W. Junk</t>
  </si>
  <si>
    <t>101580575</t>
  </si>
  <si>
    <t>Systematic reviews</t>
  </si>
  <si>
    <t>SYSTEMATIC REVIEWS</t>
  </si>
  <si>
    <t>Syst Rev</t>
  </si>
  <si>
    <t>101464963</t>
  </si>
  <si>
    <t>Systems biology in reproductive medicine</t>
  </si>
  <si>
    <t>SYSTEMS BIOLOGY IN REPRODUCTIVE MEDICINE</t>
  </si>
  <si>
    <t>Syst Biol Reprod Med</t>
  </si>
  <si>
    <t>Continues: Archives of andrology.</t>
  </si>
  <si>
    <t>Computational Biology#Reproductive Medicine</t>
  </si>
  <si>
    <t>0145600</t>
  </si>
  <si>
    <t>TAG. Theoretical and applied genetics. Theoretische und angewandte Genetik</t>
  </si>
  <si>
    <t>TAG. THEORETICAL AND APPLIED GENETICS. THEORETISCHE UND ANGEWANDTE GENETIK</t>
  </si>
  <si>
    <t>Theor Appl Genet</t>
  </si>
  <si>
    <t>Continues Der Züchter.</t>
  </si>
  <si>
    <t>14322242</t>
  </si>
  <si>
    <t>00405752</t>
  </si>
  <si>
    <t>Sixteen no. a year, &lt;1995-&gt;</t>
  </si>
  <si>
    <t>101213819</t>
  </si>
  <si>
    <t>Taiwanese journal of obstetrics &amp; gynecology</t>
  </si>
  <si>
    <t>TAIWANESE JOURNAL OF OBSTETRICS &amp; GYNECOLOGY</t>
  </si>
  <si>
    <t>Taiwan J Obstet Gynecol</t>
  </si>
  <si>
    <t>2984816R</t>
  </si>
  <si>
    <t>Talanta</t>
  </si>
  <si>
    <t>TALANTA</t>
  </si>
  <si>
    <t>18733573</t>
  </si>
  <si>
    <t>00399140</t>
  </si>
  <si>
    <t>101479163</t>
  </si>
  <si>
    <t>Tanzania journal of health research</t>
  </si>
  <si>
    <t>TANZANIA JOURNAL OF HEALTH RESEARCH</t>
  </si>
  <si>
    <t>Tanzan J Health Res</t>
  </si>
  <si>
    <t>Continues: Tanzania health research bulletin.</t>
  </si>
  <si>
    <t>Health Research User's Trust Fund</t>
  </si>
  <si>
    <t>21110560R</t>
  </si>
  <si>
    <t>Tar heel nurse</t>
  </si>
  <si>
    <t>TAR HEEL NURSE</t>
  </si>
  <si>
    <t>Tar Heel Nurse</t>
  </si>
  <si>
    <t>Continues North Carolina State Nurses' Association. New letter.</t>
  </si>
  <si>
    <t>00399620</t>
  </si>
  <si>
    <t>North Carolina State Nurses Association</t>
  </si>
  <si>
    <t>101270595</t>
  </si>
  <si>
    <t>Targeted oncology</t>
  </si>
  <si>
    <t>TARGETED ONCOLOGY</t>
  </si>
  <si>
    <t>Target Oncol</t>
  </si>
  <si>
    <t>8910884</t>
  </si>
  <si>
    <t>Teaching and learning in medicine</t>
  </si>
  <si>
    <t>TEACHING AND LEARNING IN MEDICINE</t>
  </si>
  <si>
    <t>Teach Learn Med</t>
  </si>
  <si>
    <t>15328015</t>
  </si>
  <si>
    <t>10401334</t>
  </si>
  <si>
    <t>9613614</t>
  </si>
  <si>
    <t>Techniques in coloproctology</t>
  </si>
  <si>
    <t>TECHNIQUES IN COLOPROCTOLOGY</t>
  </si>
  <si>
    <t>Tech Coloproctol</t>
  </si>
  <si>
    <t>9704676</t>
  </si>
  <si>
    <t>Techniques in hand &amp; upper extremity surgery</t>
  </si>
  <si>
    <t>TECHNIQUES IN HAND &amp; UPPER EXTREMITY SURGERY</t>
  </si>
  <si>
    <t>Tech Hand Up Extrem Surg</t>
  </si>
  <si>
    <t>15316572</t>
  </si>
  <si>
    <t>10893393</t>
  </si>
  <si>
    <t>9806675</t>
  </si>
  <si>
    <t>Techniques in vascular and interventional radiology</t>
  </si>
  <si>
    <t>TECHNIQUES IN VASCULAR AND INTERVENTIONAL RADIOLOGY</t>
  </si>
  <si>
    <t>Tech Vasc Interv Radiol</t>
  </si>
  <si>
    <t>21120500R</t>
  </si>
  <si>
    <t>Technology and culture</t>
  </si>
  <si>
    <t>TECHNOLOGY AND CULTURE</t>
  </si>
  <si>
    <t>Technol Cult</t>
  </si>
  <si>
    <t>10973729</t>
  </si>
  <si>
    <t>0040165X</t>
  </si>
  <si>
    <t>History of Medicine#Technology</t>
  </si>
  <si>
    <t>9314590</t>
  </si>
  <si>
    <t>Technology and health care : official journal of the European Society for Engineering and Medicine</t>
  </si>
  <si>
    <t>TECHNOLOGY AND HEALTH CARE : OFFICIAL JOURNAL OF THE EUROPEAN SOCIETY FOR ENGINEERING AND MEDICINE</t>
  </si>
  <si>
    <t>Technol Health Care</t>
  </si>
  <si>
    <t>18787401</t>
  </si>
  <si>
    <t>09287329</t>
  </si>
  <si>
    <t>Biomedical Engineering#Health Services#Technology</t>
  </si>
  <si>
    <t>101213260</t>
  </si>
  <si>
    <t>Technology Evaluation Center Assessment Program. Executive summary</t>
  </si>
  <si>
    <t>TECHNOLOGY EVALUATION CENTER ASSESSMENT PROGRAM. EXECUTIVE SUMMARY</t>
  </si>
  <si>
    <t>Technol Eval Cent Assess Program Exec Summ</t>
  </si>
  <si>
    <t>BlueCross BlueShield Association</t>
  </si>
  <si>
    <t>101140941</t>
  </si>
  <si>
    <t>Technology in cancer research &amp; treatment</t>
  </si>
  <si>
    <t>TECHNOLOGY IN CANCER RESEARCH &amp; TREATMENT</t>
  </si>
  <si>
    <t>Technol Cancer Res Treat</t>
  </si>
  <si>
    <t>15330338</t>
  </si>
  <si>
    <t>100959949</t>
  </si>
  <si>
    <t>Telemedicine journal and e-health : the official journal of the American Telemedicine Association</t>
  </si>
  <si>
    <t>TELEMEDICINE JOURNAL AND E-HEALTH : THE OFFICIAL JOURNAL OF THE AMERICAN TELEMEDICINE ASSOCIATION</t>
  </si>
  <si>
    <t>Telemed J E Health</t>
  </si>
  <si>
    <t>Continues: Telemedicine journal.</t>
  </si>
  <si>
    <t>15563669</t>
  </si>
  <si>
    <t>15305627</t>
  </si>
  <si>
    <t>9609310</t>
  </si>
  <si>
    <t>Tennessee medicine : journal of the Tennessee Medical Association</t>
  </si>
  <si>
    <t>TENNESSEE MEDICINE : JOURNAL OF THE TENNESSEE MEDICAL ASSOCIATION</t>
  </si>
  <si>
    <t>Tenn Med</t>
  </si>
  <si>
    <t>Continues: Journal of the Tennessee Medical Association.</t>
  </si>
  <si>
    <t>10886222</t>
  </si>
  <si>
    <t>Tennessee Medical Association</t>
  </si>
  <si>
    <t>9102869</t>
  </si>
  <si>
    <t>Tennessee nurse / Tennessee Nurses Association</t>
  </si>
  <si>
    <t>TENNESSEE NURSE / TENNESSEE NURSES ASSOCIATION</t>
  </si>
  <si>
    <t>Tenn Nurse</t>
  </si>
  <si>
    <t>Continues: Bulletin - Tennessee Nurses Association.</t>
  </si>
  <si>
    <t>10553134</t>
  </si>
  <si>
    <t>Tennessee Nurses Association</t>
  </si>
  <si>
    <t>2984818R</t>
  </si>
  <si>
    <t>Terapevticheskiĭ arkhiv</t>
  </si>
  <si>
    <t>TERAPEVTICHESKII ARKHIV</t>
  </si>
  <si>
    <t>Ter Arkh</t>
  </si>
  <si>
    <t>23095342</t>
  </si>
  <si>
    <t>00403660</t>
  </si>
  <si>
    <t>Monthly, 1957-</t>
  </si>
  <si>
    <t>2984821R</t>
  </si>
  <si>
    <t>Texas dental journal</t>
  </si>
  <si>
    <t>TEXAS DENTAL JOURNAL</t>
  </si>
  <si>
    <t>Tex Dent J</t>
  </si>
  <si>
    <t>00404284</t>
  </si>
  <si>
    <t>Texas Dental Association</t>
  </si>
  <si>
    <t>1883</t>
  </si>
  <si>
    <t>8214622</t>
  </si>
  <si>
    <t>Texas Heart Institute journal / from the Texas Heart Institute of St. Luke's Episcopal Hospital, Texas Children's Hospital</t>
  </si>
  <si>
    <t>TEXAS HEART INSTITUTE JOURNAL / FROM THE TEXAS HEART INSTITUTE OF ST. LUKE'S EPISCOPAL HOSPITAL, TEXAS CHILDREN'S HOSPITAL</t>
  </si>
  <si>
    <t>Tex Heart Inst J</t>
  </si>
  <si>
    <t>Continues: Cardiovascular diseases.</t>
  </si>
  <si>
    <t>Published in the Cardiovascular Surgical Research Laboratories, Texas Heart Institute</t>
  </si>
  <si>
    <t>0051012</t>
  </si>
  <si>
    <t>Texas medicine</t>
  </si>
  <si>
    <t>TEXAS MEDICINE</t>
  </si>
  <si>
    <t>Tex Med</t>
  </si>
  <si>
    <t>Continues Texas state journal of medicine.</t>
  </si>
  <si>
    <t>19383223</t>
  </si>
  <si>
    <t>00404470</t>
  </si>
  <si>
    <t>Texas Medical Assn.</t>
  </si>
  <si>
    <t>0436240</t>
  </si>
  <si>
    <t>Texas nursing</t>
  </si>
  <si>
    <t>TEXAS NURSING</t>
  </si>
  <si>
    <t>Tex Nurs</t>
  </si>
  <si>
    <t>Continues Bulletin - Texas Nurses Association.</t>
  </si>
  <si>
    <t>0095036X</t>
  </si>
  <si>
    <t>Texas Nurses Association</t>
  </si>
  <si>
    <t>101224383</t>
  </si>
  <si>
    <t>Theoretical biology &amp; medical modelling</t>
  </si>
  <si>
    <t>THEORETICAL BIOLOGY &amp; MEDICAL MODELLING</t>
  </si>
  <si>
    <t>Theor Biol Med Model</t>
  </si>
  <si>
    <t>17424682</t>
  </si>
  <si>
    <t>101570881</t>
  </si>
  <si>
    <t>Theoretical biology forum</t>
  </si>
  <si>
    <t>THEORETICAL BIOLOGY FORUM</t>
  </si>
  <si>
    <t>Theor Biol Forum</t>
  </si>
  <si>
    <t>Continues: Rivista di biologia.</t>
  </si>
  <si>
    <t>00356050</t>
  </si>
  <si>
    <t>Fabrizio Serra</t>
  </si>
  <si>
    <t>9805378</t>
  </si>
  <si>
    <t>Theoretical medicine and bioethics</t>
  </si>
  <si>
    <t>THEORETICAL MEDICINE AND BIOETHICS</t>
  </si>
  <si>
    <t>Theor Med Bioeth</t>
  </si>
  <si>
    <t>Continues: Theoretical medicine.</t>
  </si>
  <si>
    <t>15730980</t>
  </si>
  <si>
    <t>13867415</t>
  </si>
  <si>
    <t>Kluwer Academic Pubishers</t>
  </si>
  <si>
    <t>0256422</t>
  </si>
  <si>
    <t>Theoretical population biology</t>
  </si>
  <si>
    <t>THEORETICAL POPULATION BIOLOGY</t>
  </si>
  <si>
    <t>Theor Popul Biol</t>
  </si>
  <si>
    <t>10960325</t>
  </si>
  <si>
    <t>00405809</t>
  </si>
  <si>
    <t>Eight no. a year (monthly except Jan., Apr., July, and Oct.), 2001-</t>
  </si>
  <si>
    <t>Genetics, Medical#Reproductive Medicine</t>
  </si>
  <si>
    <t>9708216</t>
  </si>
  <si>
    <t>Theory in biosciences = Theorie in den Biowissenschaften</t>
  </si>
  <si>
    <t>THEORY IN BIOSCIENCES = THEORIE IN DEN BIOWISSENSCHAFTEN</t>
  </si>
  <si>
    <t>Theory Biosci</t>
  </si>
  <si>
    <t>Continues: Biologisches Zentralblatt.</t>
  </si>
  <si>
    <t>16117530</t>
  </si>
  <si>
    <t>14317613</t>
  </si>
  <si>
    <t>101552395</t>
  </si>
  <si>
    <t>THERANOSTICS</t>
  </si>
  <si>
    <t>Diagnostic Imaging#Molecular Biology#Nanotechnology#Therapeutics</t>
  </si>
  <si>
    <t>101316343</t>
  </si>
  <si>
    <t>Therapeutic advances in cardiovascular disease</t>
  </si>
  <si>
    <t>THERAPEUTIC ADVANCES IN CARDIOVASCULAR DISEASE</t>
  </si>
  <si>
    <t>Ther Adv Cardiovasc Dis</t>
  </si>
  <si>
    <t>101316317</t>
  </si>
  <si>
    <t>Therapeutic advances in respiratory disease</t>
  </si>
  <si>
    <t>THERAPEUTIC ADVANCES IN RESPIRATORY DISEASE</t>
  </si>
  <si>
    <t>Ther Adv Respir Dis</t>
  </si>
  <si>
    <t>Pulmonary Medicine#Therapeutics</t>
  </si>
  <si>
    <t>101181252</t>
  </si>
  <si>
    <t>Therapeutic apheresis and dialysis : official peer-reviewed journal of the International Society for Apheresis, the Japanese Society for Apheresis, the Japanese Society for Dialysis Therapy</t>
  </si>
  <si>
    <t>THERAPEUTIC APHERESIS AND DIALYSIS : OFFICIAL PEER-REVIEWED JOURNAL OF THE INTERNATIONAL SOCIETY FOR APHERESIS, THE JAPANESE SOCIETY FOR APHERESIS, THE JAPANESE SOCIETY FOR DIALYSIS THERAPY</t>
  </si>
  <si>
    <t>Ther Apher Dial</t>
  </si>
  <si>
    <t>Continues: Therapeutic apheresis.</t>
  </si>
  <si>
    <t>101538870</t>
  </si>
  <si>
    <t>Therapeutic delivery</t>
  </si>
  <si>
    <t>THERAPEUTIC DELIVERY</t>
  </si>
  <si>
    <t>Ther Deliv</t>
  </si>
  <si>
    <t>7909660</t>
  </si>
  <si>
    <t>Therapeutic drug monitoring</t>
  </si>
  <si>
    <t>THERAPEUTIC DRUG MONITORING</t>
  </si>
  <si>
    <t>Ther Drug Monit</t>
  </si>
  <si>
    <t>0407224</t>
  </si>
  <si>
    <t>Therapeutische Umschau. Revue thérapeutique</t>
  </si>
  <si>
    <t>THERAPEUTISCHE UMSCHAU. REVUE THERAPEUTIQUE</t>
  </si>
  <si>
    <t>Ther Umsch</t>
  </si>
  <si>
    <t>Continues: Therapeutische Umschau und medizinische Bibliographie.</t>
  </si>
  <si>
    <t>0420544</t>
  </si>
  <si>
    <t>Thérapie</t>
  </si>
  <si>
    <t>THERAPIE</t>
  </si>
  <si>
    <t>Continues: Bulletin de la Société de thérapeutique. Société de thérapeutique (Paris, France).</t>
  </si>
  <si>
    <t>21140380R</t>
  </si>
  <si>
    <t>Theriaca</t>
  </si>
  <si>
    <t>THERIACA</t>
  </si>
  <si>
    <t>00824003</t>
  </si>
  <si>
    <t>Dansk farmacihistorisk selskab.</t>
  </si>
  <si>
    <t>0421510</t>
  </si>
  <si>
    <t>Theriogenology</t>
  </si>
  <si>
    <t>THERIOGENOLOGY</t>
  </si>
  <si>
    <t>18793231</t>
  </si>
  <si>
    <t>0093691X</t>
  </si>
  <si>
    <t>Reproductive Medicine#Veterinary Medicine</t>
  </si>
  <si>
    <t>101131163</t>
  </si>
  <si>
    <t>TheScientificWorldJournal</t>
  </si>
  <si>
    <t>THESCIENTIFICWORLDJOURNAL</t>
  </si>
  <si>
    <t>ScientificWorldJournal</t>
  </si>
  <si>
    <t>TheScientificWorld</t>
  </si>
  <si>
    <t>Medicine#Science#Technology</t>
  </si>
  <si>
    <t>7903387</t>
  </si>
  <si>
    <t>The Thoracic and cardiovascular surgeon</t>
  </si>
  <si>
    <t>THORACIC AND CARDIOVASCULAR SURGEON</t>
  </si>
  <si>
    <t>Thorac Cardiovasc Surg</t>
  </si>
  <si>
    <t>Continues: Thoraxchirurgie, vaskuläre Chirurgie.</t>
  </si>
  <si>
    <t>101198195</t>
  </si>
  <si>
    <t>Thoracic surgery clinics</t>
  </si>
  <si>
    <t>THORACIC SURGERY CLINICS</t>
  </si>
  <si>
    <t>Thorac Surg Clin</t>
  </si>
  <si>
    <t>Continues: Chest surgery clinics of North America.</t>
  </si>
  <si>
    <t>0417353</t>
  </si>
  <si>
    <t>THORAX</t>
  </si>
  <si>
    <t>7608063</t>
  </si>
  <si>
    <t>Thrombosis and haemostasis</t>
  </si>
  <si>
    <t>THROMBOSIS AND HAEMOSTASIS</t>
  </si>
  <si>
    <t>Thromb Haemost</t>
  </si>
  <si>
    <t>Continues: Thrombosis et diathesis haemorrhagica.</t>
  </si>
  <si>
    <t>Schattauer.</t>
  </si>
  <si>
    <t>0326377</t>
  </si>
  <si>
    <t>Thrombosis research</t>
  </si>
  <si>
    <t>THROMBOSIS RESEARCH</t>
  </si>
  <si>
    <t>Thromb Res</t>
  </si>
  <si>
    <t>9104317</t>
  </si>
  <si>
    <t>Thyroid : official journal of the American Thyroid Association</t>
  </si>
  <si>
    <t>THYROID : OFFICIAL JOURNAL OF THE AMERICAN THYROID ASSOCIATION</t>
  </si>
  <si>
    <t>Mary Ann Liebert Publishers</t>
  </si>
  <si>
    <t>28 issues per year, 2014-</t>
  </si>
  <si>
    <t>101522599</t>
  </si>
  <si>
    <t>Ticks and tick-borne diseases</t>
  </si>
  <si>
    <t>TICKS AND TICK-BORNE DISEASES</t>
  </si>
  <si>
    <t>Ticks Tick Borne Dis</t>
  </si>
  <si>
    <t>Communicable Diseases#Parasitology</t>
  </si>
  <si>
    <t>0413423</t>
  </si>
  <si>
    <t>Tidsskrift for den Norske lægeforening : tidsskrift for praktisk medicin, ny række</t>
  </si>
  <si>
    <t>TIDSSKRIFT FOR DEN NORSKE LAEGEFORENING : TIDSSKRIFT FOR PRAKTISK MEDICIN, NY RAEKKE</t>
  </si>
  <si>
    <t>Tidsskr Nor Laegeforen</t>
  </si>
  <si>
    <t>Continues: Tidsskrift for praktisk medicin.</t>
  </si>
  <si>
    <t>08077096</t>
  </si>
  <si>
    <t>00292001</t>
  </si>
  <si>
    <t>Norske Laegeforening</t>
  </si>
  <si>
    <t>30 no. a year, 1990-</t>
  </si>
  <si>
    <t>nor</t>
  </si>
  <si>
    <t>1890</t>
  </si>
  <si>
    <t>9715779</t>
  </si>
  <si>
    <t>Tierärztliche Praxis. Ausgabe G, Grosstiere/Nutztiere</t>
  </si>
  <si>
    <t>TIERARZTLICHE PRAXIS. AUSGABE G, GROSSTIERE/NUTZTIERE</t>
  </si>
  <si>
    <t>Tierarztl Prax Ausg G Grosstiere Nutztiere</t>
  </si>
  <si>
    <t>Continues in part: Tierärztliche Praxis.</t>
  </si>
  <si>
    <t>14341220</t>
  </si>
  <si>
    <t>F.K. Schattauer Verlagsgesellschaft Mbh</t>
  </si>
  <si>
    <t>9717383</t>
  </si>
  <si>
    <t>Tierärztliche Praxis. Ausgabe K, Kleintiere/Heimtiere</t>
  </si>
  <si>
    <t>TIERARZTLICHE PRAXIS. AUSGABE K, KLEINTIERE/HEIMTIERE</t>
  </si>
  <si>
    <t>Tierarztl Prax Ausg K Kleintiere Heimtiere</t>
  </si>
  <si>
    <t>14341239</t>
  </si>
  <si>
    <t>F.K. Schattauer Verlagsgesellschaft</t>
  </si>
  <si>
    <t>0031550</t>
  </si>
  <si>
    <t>Tijdschrift voor diergeneeskunde</t>
  </si>
  <si>
    <t>TIJDSCHRIFT VOOR DIERGENEESKUNDE</t>
  </si>
  <si>
    <t>Tijdschr Diergeneeskd</t>
  </si>
  <si>
    <t>Continues: Tijdschrift voor veeartsenijkunde. 1863-1915 Absorbed: Netherlands journal of veterinary science. Superseded in part by: Veterinary quarterly.</t>
  </si>
  <si>
    <t>00407453</t>
  </si>
  <si>
    <t>Koninklijke Nederlandse Maatschappijvoor Diergeneskunde</t>
  </si>
  <si>
    <t>8210346</t>
  </si>
  <si>
    <t>Tijdschrift voor gerontologie en geriatrie</t>
  </si>
  <si>
    <t>TIJDSCHRIFT VOOR GERONTOLOGIE EN GERIATRIE</t>
  </si>
  <si>
    <t>Tijdschr Gerontol Geriatr</t>
  </si>
  <si>
    <t>Continues: Gerontologie.</t>
  </si>
  <si>
    <t>01679228</t>
  </si>
  <si>
    <t>Van Loghum Slaterus For The Nederlandse Vereniging Voor Gerontologie And The Nederlands Instituut Voor Gerontologie</t>
  </si>
  <si>
    <t>0423731</t>
  </si>
  <si>
    <t>Tijdschrift voor psychiatrie</t>
  </si>
  <si>
    <t>TIJDSCHRIFT VOOR PSYCHIATRIE</t>
  </si>
  <si>
    <t>Tijdschr Psychiatr</t>
  </si>
  <si>
    <t>Continues: Nederlands tijdschrift voor psychiatrie.</t>
  </si>
  <si>
    <t>Uitgeverij De Tijdstroom</t>
  </si>
  <si>
    <t>9877130</t>
  </si>
  <si>
    <t>Time</t>
  </si>
  <si>
    <t>TIME</t>
  </si>
  <si>
    <t>Absorbed: Literary digest (New York, N.Y. : 1937).</t>
  </si>
  <si>
    <t>0040781X</t>
  </si>
  <si>
    <t>Time Inc.</t>
  </si>
  <si>
    <t>Weekly with one extra issue in Oct., &lt;Oct. 8, 1990-&gt;</t>
  </si>
  <si>
    <t>101166310</t>
  </si>
  <si>
    <t>Timely topics in medicine. Cardiovascular diseases</t>
  </si>
  <si>
    <t>TIMELY TOPICS IN MEDICINE. CARDIOVASCULAR DISEASES</t>
  </si>
  <si>
    <t>Timely Top Med Cardiovasc Dis</t>
  </si>
  <si>
    <t>15790789</t>
  </si>
  <si>
    <t>0214745</t>
  </si>
  <si>
    <t>Tissue &amp; cell</t>
  </si>
  <si>
    <t>TISSUE &amp; CELL</t>
  </si>
  <si>
    <t>Tissue Cell</t>
  </si>
  <si>
    <t>0331072</t>
  </si>
  <si>
    <t>Tissue antigens</t>
  </si>
  <si>
    <t>TISSUE ANTIGENS</t>
  </si>
  <si>
    <t>101466659</t>
  </si>
  <si>
    <t>Tissue engineering. Part A</t>
  </si>
  <si>
    <t>TISSUE ENGINEERING. PART A</t>
  </si>
  <si>
    <t>Tissue Eng Part A</t>
  </si>
  <si>
    <t>Continues in part: Tissue engineering.</t>
  </si>
  <si>
    <t>101466660</t>
  </si>
  <si>
    <t>Tissue engineering. Part B, Reviews</t>
  </si>
  <si>
    <t>TISSUE ENGINEERING. PART B, REVIEWS</t>
  </si>
  <si>
    <t>Tissue Eng Part B Rev</t>
  </si>
  <si>
    <t>101466663</t>
  </si>
  <si>
    <t>Tissue engineering. Part C, Methods</t>
  </si>
  <si>
    <t>TISSUE ENGINEERING. PART C, METHODS</t>
  </si>
  <si>
    <t>Tissue Eng Part C Methods</t>
  </si>
  <si>
    <t>9209612</t>
  </si>
  <si>
    <t>Tobacco control</t>
  </si>
  <si>
    <t>TOBACCO CONTROL</t>
  </si>
  <si>
    <t>Tob Control</t>
  </si>
  <si>
    <t>14683318</t>
  </si>
  <si>
    <t>09644563</t>
  </si>
  <si>
    <t>9012957</t>
  </si>
  <si>
    <t>Today's FDA : official monthly journal of the Florida Dental Association</t>
  </si>
  <si>
    <t>TODAY'S FDA : OFFICIAL MONTHLY JOURNAL OF THE FLORIDA DENTAL ASSOCIATION</t>
  </si>
  <si>
    <t>Todays FDA</t>
  </si>
  <si>
    <t>Merger of: Dental times dispatch, and: Florida dental journal.</t>
  </si>
  <si>
    <t>10485317</t>
  </si>
  <si>
    <t>: The Association</t>
  </si>
  <si>
    <t>Bimonthly 2010-</t>
  </si>
  <si>
    <t>0417355</t>
  </si>
  <si>
    <t>The Tohoku journal of experimental medicine</t>
  </si>
  <si>
    <t>TOHOKU JOURNAL OF EXPERIMENTAL MEDICINE</t>
  </si>
  <si>
    <t>Tohoku J Exp Med</t>
  </si>
  <si>
    <t>Tohoku University Medical Library</t>
  </si>
  <si>
    <t>7704186</t>
  </si>
  <si>
    <t>The Tokai journal of experimental and clinical medicine</t>
  </si>
  <si>
    <t>TOKAI JOURNAL OF EXPERIMENTAL AND CLINICAL MEDICINE</t>
  </si>
  <si>
    <t>Tokai J Exp Clin Med</t>
  </si>
  <si>
    <t>Tokai University School Of Medicine</t>
  </si>
  <si>
    <t>101560274</t>
  </si>
  <si>
    <t>Topics in antiviral medicine</t>
  </si>
  <si>
    <t>TOPICS IN ANTIVIRAL MEDICINE</t>
  </si>
  <si>
    <t>Top Antivir Med</t>
  </si>
  <si>
    <t>Continues: Topics in HIV medicine.</t>
  </si>
  <si>
    <t>International Antiviral Society-USA</t>
  </si>
  <si>
    <t>Four to six times per year</t>
  </si>
  <si>
    <t>Acquired Immunodeficiency Syndrome#Virology</t>
  </si>
  <si>
    <t>101506764</t>
  </si>
  <si>
    <t>Topics in cognitive science</t>
  </si>
  <si>
    <t>TOPICS IN COGNITIVE SCIENCE</t>
  </si>
  <si>
    <t>Top Cogn Sci</t>
  </si>
  <si>
    <t>17568765</t>
  </si>
  <si>
    <t>17568757</t>
  </si>
  <si>
    <t>Cognitive Science Society, Inc.</t>
  </si>
  <si>
    <t>101465592</t>
  </si>
  <si>
    <t>Topics in companion animal medicine</t>
  </si>
  <si>
    <t>TOPICS IN COMPANION ANIMAL MEDICINE</t>
  </si>
  <si>
    <t>Top Companion Anim Med</t>
  </si>
  <si>
    <t>Continues: Clinical techniques in small animal practice.</t>
  </si>
  <si>
    <t>19389736</t>
  </si>
  <si>
    <t>0432204</t>
  </si>
  <si>
    <t>Topics in current chemistry</t>
  </si>
  <si>
    <t>TOPICS IN CURRENT CHEMISTRY</t>
  </si>
  <si>
    <t>Top Curr Chem</t>
  </si>
  <si>
    <t>Continues: Fortschritte der chemischem Forschung.</t>
  </si>
  <si>
    <t>03401022</t>
  </si>
  <si>
    <t>8913523</t>
  </si>
  <si>
    <t>Topics in magnetic resonance imaging : TMRI</t>
  </si>
  <si>
    <t>TOPICS IN MAGNETIC RESONANCE IMAGING : TMRI</t>
  </si>
  <si>
    <t>Top Magn Reson Imaging</t>
  </si>
  <si>
    <t>9439750</t>
  </si>
  <si>
    <t>Topics in stroke rehabilitation</t>
  </si>
  <si>
    <t>TOPICS IN STROKE REHABILITATION</t>
  </si>
  <si>
    <t>Top Stroke Rehabil</t>
  </si>
  <si>
    <t>Thomas Land Publishing</t>
  </si>
  <si>
    <t>Physical and Rehabilitation Medicine#Vascular Diseases</t>
  </si>
  <si>
    <t>101180799</t>
  </si>
  <si>
    <t>Tort trial &amp; insurance practice law journal</t>
  </si>
  <si>
    <t>TORT TRIAL &amp; INSURANCE PRACTICE LAW JOURNAL</t>
  </si>
  <si>
    <t>Tort Trial Insur Pract Law J</t>
  </si>
  <si>
    <t>Continues: Tort &amp; insurance law journal.</t>
  </si>
  <si>
    <t>15433234</t>
  </si>
  <si>
    <t>Tort Trial and Insurance Practice Section, American Bar Association</t>
  </si>
  <si>
    <t>9309086</t>
  </si>
  <si>
    <t>Torture : quarterly journal on rehabilitation of torture victims and prevention of torture</t>
  </si>
  <si>
    <t>TORTURE : QUARTERLY JOURNAL ON REHABILITATION OF TORTURE VICTIMS AND PREVENTION OF TORTURE</t>
  </si>
  <si>
    <t>Torture</t>
  </si>
  <si>
    <t>Continues: International newsletter on treatment and rehabilitation of torture victims.</t>
  </si>
  <si>
    <t>19973322</t>
  </si>
  <si>
    <t>10188185</t>
  </si>
  <si>
    <t>International Rehabilitation Council for Torture Victims (IRCT)</t>
  </si>
  <si>
    <t>Physical and Rehabilitation Medicine#Social Sciences#Traumatology</t>
  </si>
  <si>
    <t>101122696</t>
  </si>
  <si>
    <t>Toxicity report series</t>
  </si>
  <si>
    <t>TOXICITY REPORT SERIES</t>
  </si>
  <si>
    <t>Toxic Rep Ser</t>
  </si>
  <si>
    <t>Continues: NTP TOX.</t>
  </si>
  <si>
    <t>15214621</t>
  </si>
  <si>
    <t>U.S. Dept. of Health and Human Services, Public Health Service, National Institutes of Health</t>
  </si>
  <si>
    <t>7905907</t>
  </si>
  <si>
    <t>Toxicologic pathology</t>
  </si>
  <si>
    <t>TOXICOLOGIC PATHOLOGY</t>
  </si>
  <si>
    <t>Toxicol Pathol</t>
  </si>
  <si>
    <t>Continues: Bulletin of the Society of Pharmacological and Environmental Pathologists.</t>
  </si>
  <si>
    <t>Seven no. a year, 2005-</t>
  </si>
  <si>
    <t>9805461</t>
  </si>
  <si>
    <t>Toxicological sciences : an official journal of the Society of Toxicology</t>
  </si>
  <si>
    <t>TOXICOLOGICAL SCIENCES : AN OFFICIAL JOURNAL OF THE SOCIETY OF TOXICOLOGY</t>
  </si>
  <si>
    <t>Toxicol Sci</t>
  </si>
  <si>
    <t>Continues: Fundamental and applied toxicology.</t>
  </si>
  <si>
    <t>0361055</t>
  </si>
  <si>
    <t>TOXICOLOGY</t>
  </si>
  <si>
    <t>Thirty three no. a year, 1999-</t>
  </si>
  <si>
    <t>0416575</t>
  </si>
  <si>
    <t>Toxicology and applied pharmacology</t>
  </si>
  <si>
    <t>TOXICOLOGY AND APPLIED PHARMACOLOGY</t>
  </si>
  <si>
    <t>Toxicol Appl Pharmacol</t>
  </si>
  <si>
    <t>Semimonthly 1999-</t>
  </si>
  <si>
    <t>8602702</t>
  </si>
  <si>
    <t>Toxicology and industrial health</t>
  </si>
  <si>
    <t>TOXICOLOGY AND INDUSTRIAL HEALTH</t>
  </si>
  <si>
    <t>Toxicol Ind Health</t>
  </si>
  <si>
    <t>Ten no. a year, 2000-</t>
  </si>
  <si>
    <t>8712158</t>
  </si>
  <si>
    <t>Toxicology in vitro : an international journal published in association with BIBRA</t>
  </si>
  <si>
    <t>TOXICOLOGY IN VITRO : AN INTERNATIONAL JOURNAL PUBLISHED IN ASSOCIATION WITH BIBRA</t>
  </si>
  <si>
    <t>Toxicol In Vitro</t>
  </si>
  <si>
    <t>7709027</t>
  </si>
  <si>
    <t>Toxicology letters</t>
  </si>
  <si>
    <t>TOXICOLOGY LETTERS</t>
  </si>
  <si>
    <t>Toxicol Lett</t>
  </si>
  <si>
    <t>101134521</t>
  </si>
  <si>
    <t>Toxicology mechanisms and methods</t>
  </si>
  <si>
    <t>TOXICOLOGY MECHANISMS AND METHODS</t>
  </si>
  <si>
    <t>Toxicol Mech Methods</t>
  </si>
  <si>
    <t>Continues: Toxicology methods.</t>
  </si>
  <si>
    <t>Monthly except Jan. Apr. &amp; Aug., Feb. 2006-</t>
  </si>
  <si>
    <t>1307333</t>
  </si>
  <si>
    <t>Toxicon : official journal of the International Society on Toxinology</t>
  </si>
  <si>
    <t>TOXICON : OFFICIAL JOURNAL OF THE INTERNATIONAL SOCIETY ON TOXINOLOGY</t>
  </si>
  <si>
    <t>101530765</t>
  </si>
  <si>
    <t>TOXINS</t>
  </si>
  <si>
    <t>Toxins (Basel)</t>
  </si>
  <si>
    <t>101161177</t>
  </si>
  <si>
    <t>Tracking report / Center for Studying Health System Change</t>
  </si>
  <si>
    <t>TRACKING REPORT / CENTER FOR STUDYING HEALTH SYSTEM CHANGE</t>
  </si>
  <si>
    <t>Track Rep</t>
  </si>
  <si>
    <t>15530787</t>
  </si>
  <si>
    <t>100939340</t>
  </si>
  <si>
    <t>Traffic (Copenhagen, Denmark)</t>
  </si>
  <si>
    <t>TRAFFIC (COPENHAGEN, DENMARK)</t>
  </si>
  <si>
    <t>101144385</t>
  </si>
  <si>
    <t>Traffic injury prevention</t>
  </si>
  <si>
    <t>TRAFFIC INJURY PREVENTION</t>
  </si>
  <si>
    <t>Traffic Inj Prev</t>
  </si>
  <si>
    <t>Continues: Crash prevention and injury control.</t>
  </si>
  <si>
    <t>1538957X</t>
  </si>
  <si>
    <t>15389588</t>
  </si>
  <si>
    <t>Six no. per year, 2008-</t>
  </si>
  <si>
    <t>7507559</t>
  </si>
  <si>
    <t>Transactions of the American Clinical and Climatological Association</t>
  </si>
  <si>
    <t>TRANSACTIONS OF THE AMERICAN CLINICAL AND CLIMATOLOGICAL ASSOCIATION</t>
  </si>
  <si>
    <t>Trans Am Clin Climatol Assoc</t>
  </si>
  <si>
    <t>Continues: Transactions of the American Climatological and Clinical Association. American Climatological and Clinical Association.</t>
  </si>
  <si>
    <t>00657778</t>
  </si>
  <si>
    <t>American Clinical And Climatological Association</t>
  </si>
  <si>
    <t>7506106</t>
  </si>
  <si>
    <t>TRANSACTIONS OF THE AMERICAN OPHTHALMOLOGICAL SOCIETY</t>
  </si>
  <si>
    <t>Trans Am Ophthalmol Soc</t>
  </si>
  <si>
    <t>00659533</t>
  </si>
  <si>
    <t>7506118</t>
  </si>
  <si>
    <t>Transactions of the Medical Society of London</t>
  </si>
  <si>
    <t>TRANSACTIONS OF THE MEDICAL SOCIETY OF LONDON</t>
  </si>
  <si>
    <t>Trans Med Soc Lond</t>
  </si>
  <si>
    <t>Supersedes the society's Memoirs.</t>
  </si>
  <si>
    <t>00766011</t>
  </si>
  <si>
    <t>Medical Society Of London</t>
  </si>
  <si>
    <t>1810</t>
  </si>
  <si>
    <t>7506129</t>
  </si>
  <si>
    <t>TRANSACTIONS OF THE ROYAL SOCIETY OF TROPICAL MEDICINE AND HYGIENE</t>
  </si>
  <si>
    <t>Trans R Soc Trop Med Hyg</t>
  </si>
  <si>
    <t>Continues: Transactions of the Society of Tropical Medicine and Hygiene. Society of Tropical Medicine and Hygiene.</t>
  </si>
  <si>
    <t>101319538</t>
  </si>
  <si>
    <t>Transboundary and emerging diseases</t>
  </si>
  <si>
    <t>TRANSBOUNDARY AND EMERGING DISEASES</t>
  </si>
  <si>
    <t>Transbound Emerg Dis</t>
  </si>
  <si>
    <t>Continues: Journal of veterinary medicine. A, Physiology, pathology, clinical medicine.</t>
  </si>
  <si>
    <t>18651682</t>
  </si>
  <si>
    <t>18651674</t>
  </si>
  <si>
    <t>Blackwell Verlag</t>
  </si>
  <si>
    <t>101530967</t>
  </si>
  <si>
    <t>TRANSCRIPTION</t>
  </si>
  <si>
    <t>9708119</t>
  </si>
  <si>
    <t>Transcultural psychiatry</t>
  </si>
  <si>
    <t>TRANSCULTURAL PSYCHIATRY</t>
  </si>
  <si>
    <t>Transcult Psychiatry</t>
  </si>
  <si>
    <t>Continues: Transcultural psychiatric research review.</t>
  </si>
  <si>
    <t>Published by Sage Publications on behalf of McGill University</t>
  </si>
  <si>
    <t>5 issues per year, 2010-</t>
  </si>
  <si>
    <t>0417360</t>
  </si>
  <si>
    <t>TRANSFUSION</t>
  </si>
  <si>
    <t>Continues: Bulletin - American Association of Blood Banks. American Association of Blood Banks.</t>
  </si>
  <si>
    <t>American Association Of Blood Banks</t>
  </si>
  <si>
    <t>101095653</t>
  </si>
  <si>
    <t>Transfusion and apheresis science : official journal of the World Apheresis Association : official journal of the European Society for Haemapheresis</t>
  </si>
  <si>
    <t>TRANSFUSION AND APHERESIS SCIENCE : OFFICIAL JOURNAL OF THE WORLD APHERESIS ASSOCIATION : OFFICIAL JOURNAL OF THE EUROPEAN SOCIETY FOR HAEMAPHERESIS</t>
  </si>
  <si>
    <t>Transfus Apher Sci</t>
  </si>
  <si>
    <t>Continues: Transfusion science.</t>
  </si>
  <si>
    <t>9423846</t>
  </si>
  <si>
    <t>Transfusion clinique et biologique : journal de la Société française de transfusion sanguine</t>
  </si>
  <si>
    <t>TRANSFUSION CLINIQUE ET BIOLOGIQUE : JOURNAL DE LA SOCIETE FRANCAISE DE TRANSFUSION SANGUINE</t>
  </si>
  <si>
    <t>Transfus Clin Biol</t>
  </si>
  <si>
    <t>Continues: Revue française de transfusion et d'hémobiologie.</t>
  </si>
  <si>
    <t>9301182</t>
  </si>
  <si>
    <t>Transfusion medicine (Oxford, England)</t>
  </si>
  <si>
    <t>TRANSFUSION MEDICINE (OXFORD, ENGLAND)</t>
  </si>
  <si>
    <t>Transfus Med</t>
  </si>
  <si>
    <t>8709027</t>
  </si>
  <si>
    <t>Transfusion medicine reviews</t>
  </si>
  <si>
    <t>TRANSFUSION MEDICINE REVIEWS</t>
  </si>
  <si>
    <t>Transfus Med Rev</t>
  </si>
  <si>
    <t>Grune And Stratton</t>
  </si>
  <si>
    <t>9209120</t>
  </si>
  <si>
    <t>Transgenic research</t>
  </si>
  <si>
    <t>TRANSGENIC RESEARCH</t>
  </si>
  <si>
    <t>Transgenic Res</t>
  </si>
  <si>
    <t>15739368</t>
  </si>
  <si>
    <t>09628819</t>
  </si>
  <si>
    <t>101562664</t>
  </si>
  <si>
    <t>Translational psychiatry</t>
  </si>
  <si>
    <t>TRANSLATIONAL PSYCHIATRY</t>
  </si>
  <si>
    <t>Transl Psychiatry</t>
  </si>
  <si>
    <t>101280339</t>
  </si>
  <si>
    <t>Translational research : the journal of laboratory and clinical medicine</t>
  </si>
  <si>
    <t>TRANSLATIONAL RESEARCH : THE JOURNAL OF LABORATORY AND CLINICAL MEDICINE</t>
  </si>
  <si>
    <t>Transl Res</t>
  </si>
  <si>
    <t>Continues: Journal of laboratory and clinical medicine.</t>
  </si>
  <si>
    <t>Clinical Laboratory Techniques#Medicine</t>
  </si>
  <si>
    <t>101517297</t>
  </si>
  <si>
    <t>Translational stroke research</t>
  </si>
  <si>
    <t>TRANSLATIONAL STROKE RESEARCH</t>
  </si>
  <si>
    <t>Transl Stroke Res</t>
  </si>
  <si>
    <t>9309923</t>
  </si>
  <si>
    <t>Transplant immunology</t>
  </si>
  <si>
    <t>TRANSPLANT IMMUNOLOGY</t>
  </si>
  <si>
    <t>Transpl Immunol</t>
  </si>
  <si>
    <t>Edward Arnold</t>
  </si>
  <si>
    <t>100883688</t>
  </si>
  <si>
    <t>Transplant infectious disease : an official journal of the Transplantation Society</t>
  </si>
  <si>
    <t>TRANSPLANT INFECTIOUS DISEASE : AN OFFICIAL JOURNAL OF THE TRANSPLANTATION SOCIETY</t>
  </si>
  <si>
    <t>Transpl Infect Dis</t>
  </si>
  <si>
    <t>8908516</t>
  </si>
  <si>
    <t>Transplant international : official journal of the European Society for Organ Transplantation</t>
  </si>
  <si>
    <t>TRANSPLANT INTERNATIONAL : OFFICIAL JOURNAL OF THE EUROPEAN SOCIETY FOR ORGAN TRANSPLANTATION</t>
  </si>
  <si>
    <t>Transpl Int</t>
  </si>
  <si>
    <t>0132144</t>
  </si>
  <si>
    <t>TRANSPLANTATION</t>
  </si>
  <si>
    <t>Supersedes Transplantation bulletin.</t>
  </si>
  <si>
    <t>15346080</t>
  </si>
  <si>
    <t>Semimonthly 1994-</t>
  </si>
  <si>
    <t>0243532</t>
  </si>
  <si>
    <t>Transplantation proceedings</t>
  </si>
  <si>
    <t>TRANSPLANTATION PROCEEDINGS</t>
  </si>
  <si>
    <t>Transplant Proc</t>
  </si>
  <si>
    <t>8804364</t>
  </si>
  <si>
    <t>Transplantation reviews (Orlando, Fla.)</t>
  </si>
  <si>
    <t>TRANSPLANTATION REVIEWS (ORLANDO, FLA.)</t>
  </si>
  <si>
    <t>Transplant Rev (Orlando)</t>
  </si>
  <si>
    <t>Continues: Progress in transplantation.</t>
  </si>
  <si>
    <t>100890578</t>
  </si>
  <si>
    <t>Trauma, violence &amp; abuse</t>
  </si>
  <si>
    <t>TRAUMA, VIOLENCE &amp; ABUSE</t>
  </si>
  <si>
    <t>Trauma Violence Abuse</t>
  </si>
  <si>
    <t>15528324</t>
  </si>
  <si>
    <t>15248380</t>
  </si>
  <si>
    <t>101230758</t>
  </si>
  <si>
    <t>Travel medicine and infectious disease</t>
  </si>
  <si>
    <t>TRAVEL MEDICINE AND INFECTIOUS DISEASE</t>
  </si>
  <si>
    <t>Travel Med Infect Dis</t>
  </si>
  <si>
    <t>101154157</t>
  </si>
  <si>
    <t>Treatment guidelines from the Medical Letter</t>
  </si>
  <si>
    <t>TREATMENT GUIDELINES FROM THE MEDICAL LETTER</t>
  </si>
  <si>
    <t>Treat Guidel Med Lett</t>
  </si>
  <si>
    <t>15412792</t>
  </si>
  <si>
    <t>15412784</t>
  </si>
  <si>
    <t>Medical Letter, Inc.</t>
  </si>
  <si>
    <t>100891076</t>
  </si>
  <si>
    <t>TreatmentUpdate</t>
  </si>
  <si>
    <t>TREATMENTUPDATE</t>
  </si>
  <si>
    <t>Continues: AIDS update (Toronto, Ont.).</t>
  </si>
  <si>
    <t>11817186</t>
  </si>
  <si>
    <t>Community AIDS Treatment Information Exchange</t>
  </si>
  <si>
    <t>100955338</t>
  </si>
  <si>
    <t>Tree physiology</t>
  </si>
  <si>
    <t>TREE PHYSIOLOGY</t>
  </si>
  <si>
    <t>Tree Physiol</t>
  </si>
  <si>
    <t>17584469</t>
  </si>
  <si>
    <t>0829318X</t>
  </si>
  <si>
    <t>12 no. a year, 2004-</t>
  </si>
  <si>
    <t>9709254</t>
  </si>
  <si>
    <t>Trends in amplification</t>
  </si>
  <si>
    <t>TRENDS IN AMPLIFICATION</t>
  </si>
  <si>
    <t>Trends Amplif</t>
  </si>
  <si>
    <t>19405588</t>
  </si>
  <si>
    <t>10847138</t>
  </si>
  <si>
    <t>7610674</t>
  </si>
  <si>
    <t>Trends in biochemical sciences</t>
  </si>
  <si>
    <t>TRENDS IN BIOCHEMICAL SCIENCES</t>
  </si>
  <si>
    <t>Trends Biochem Sci</t>
  </si>
  <si>
    <t>Elsevier Trends Journals</t>
  </si>
  <si>
    <t>8310903</t>
  </si>
  <si>
    <t>Trends in biotechnology</t>
  </si>
  <si>
    <t>TRENDS IN BIOTECHNOLOGY</t>
  </si>
  <si>
    <t>Trends Biotechnol</t>
  </si>
  <si>
    <t>9108337</t>
  </si>
  <si>
    <t>Trends in cardiovascular medicine</t>
  </si>
  <si>
    <t>TRENDS IN CARDIOVASCULAR MEDICINE</t>
  </si>
  <si>
    <t>Trends Cardiovasc Med</t>
  </si>
  <si>
    <t>9200566</t>
  </si>
  <si>
    <t>Trends in cell biology</t>
  </si>
  <si>
    <t>TRENDS IN CELL BIOLOGY</t>
  </si>
  <si>
    <t>Trends Cell Biol</t>
  </si>
  <si>
    <t>9708669</t>
  </si>
  <si>
    <t>Trends in cognitive sciences</t>
  </si>
  <si>
    <t>TRENDS IN COGNITIVE SCIENCES</t>
  </si>
  <si>
    <t>Trends Cogn Sci</t>
  </si>
  <si>
    <t>8805125</t>
  </si>
  <si>
    <t>Trends in ecology &amp; evolution</t>
  </si>
  <si>
    <t>TRENDS IN ECOLOGY &amp; EVOLUTION</t>
  </si>
  <si>
    <t>Trends Ecol Evol</t>
  </si>
  <si>
    <t>01695347</t>
  </si>
  <si>
    <t>9001516</t>
  </si>
  <si>
    <t>Trends in endocrinology and metabolism: TEM</t>
  </si>
  <si>
    <t>TRENDS IN ENDOCRINOLOGY AND METABOLISM: TEM</t>
  </si>
  <si>
    <t>Trends Endocrinol Metab</t>
  </si>
  <si>
    <t>8507085</t>
  </si>
  <si>
    <t>Trends in genetics : TIG</t>
  </si>
  <si>
    <t>TRENDS IN GENETICS : TIG</t>
  </si>
  <si>
    <t>Trends Genet</t>
  </si>
  <si>
    <t>100966032</t>
  </si>
  <si>
    <t>Trends in immunology</t>
  </si>
  <si>
    <t>TRENDS IN IMMUNOLOGY</t>
  </si>
  <si>
    <t>Trends Immunol</t>
  </si>
  <si>
    <t>Continues: Immunology today.</t>
  </si>
  <si>
    <t>9310916</t>
  </si>
  <si>
    <t>Trends in microbiology</t>
  </si>
  <si>
    <t>TRENDS IN MICROBIOLOGY</t>
  </si>
  <si>
    <t>Trends Microbiol</t>
  </si>
  <si>
    <t>100966035</t>
  </si>
  <si>
    <t>Trends in molecular medicine</t>
  </si>
  <si>
    <t>TRENDS IN MOLECULAR MEDICINE</t>
  </si>
  <si>
    <t>Trends Mol Med</t>
  </si>
  <si>
    <t>Continues: Molecular medicine today.</t>
  </si>
  <si>
    <t>7808616</t>
  </si>
  <si>
    <t>Trends in neurosciences</t>
  </si>
  <si>
    <t>TRENDS IN NEUROSCIENCES</t>
  </si>
  <si>
    <t>Trends Neurosci</t>
  </si>
  <si>
    <t>Elsevier Applied Science Publishing</t>
  </si>
  <si>
    <t>100966034</t>
  </si>
  <si>
    <t>Trends in parasitology</t>
  </si>
  <si>
    <t>TRENDS IN PARASITOLOGY</t>
  </si>
  <si>
    <t>Trends Parasitol</t>
  </si>
  <si>
    <t>Continues: Parasitology today (Personal ed.).</t>
  </si>
  <si>
    <t>7906158</t>
  </si>
  <si>
    <t>Trends in pharmacological sciences</t>
  </si>
  <si>
    <t>TRENDS IN PHARMACOLOGICAL SCIENCES</t>
  </si>
  <si>
    <t>Trends Pharmacol Sci</t>
  </si>
  <si>
    <t>Published By Elsevier In Association With The International Union Of Pharmacology</t>
  </si>
  <si>
    <t>9890299</t>
  </si>
  <si>
    <t>Trends in plant science</t>
  </si>
  <si>
    <t>TRENDS IN PLANT SCIENCE</t>
  </si>
  <si>
    <t>Trends Plant Sci</t>
  </si>
  <si>
    <t>18784372</t>
  </si>
  <si>
    <t>13601385</t>
  </si>
  <si>
    <t>Elsevier Science, Ltd.</t>
  </si>
  <si>
    <t>101263253</t>
  </si>
  <si>
    <t>TRIALS</t>
  </si>
  <si>
    <t>Continues: Current controlled trials in cardiovascular medicine (Online).</t>
  </si>
  <si>
    <t>1277355</t>
  </si>
  <si>
    <t>Tropical animal health and production</t>
  </si>
  <si>
    <t>TROPICAL ANIMAL HEALTH AND PRODUCTION</t>
  </si>
  <si>
    <t>Trop Anim Health Prod</t>
  </si>
  <si>
    <t>15737438</t>
  </si>
  <si>
    <t>00494747</t>
  </si>
  <si>
    <t>Tropical Medicine#Veterinary Medicine</t>
  </si>
  <si>
    <t>8507086</t>
  </si>
  <si>
    <t>Tropical biomedicine</t>
  </si>
  <si>
    <t>TROPICAL BIOMEDICINE</t>
  </si>
  <si>
    <t>Trop Biomed</t>
  </si>
  <si>
    <t>01275720</t>
  </si>
  <si>
    <t>Malaysian Society of Parasitology and Tropical Medicine</t>
  </si>
  <si>
    <t>1301706</t>
  </si>
  <si>
    <t>Tropical doctor</t>
  </si>
  <si>
    <t>TROPICAL DOCTOR</t>
  </si>
  <si>
    <t>Trop Doct</t>
  </si>
  <si>
    <t>8107122</t>
  </si>
  <si>
    <t>Tropical gastroenterology : official journal of the Digestive Diseases Foundation</t>
  </si>
  <si>
    <t>TROPICAL GASTROENTEROLOGY : OFFICIAL JOURNAL OF THE DIGESTIVE DISEASES FOUNDATION</t>
  </si>
  <si>
    <t>Trop Gastroenterol</t>
  </si>
  <si>
    <t>0250636X</t>
  </si>
  <si>
    <t>Charaka Publishing House</t>
  </si>
  <si>
    <t>Gastroenterology#Tropical Medicine</t>
  </si>
  <si>
    <t>9610576</t>
  </si>
  <si>
    <t>Tropical medicine &amp; international health : TM &amp; IH</t>
  </si>
  <si>
    <t>TROPICAL MEDICINE &amp; INTERNATIONAL HEALTH : TM &amp; IH</t>
  </si>
  <si>
    <t>Trop Med Int Health</t>
  </si>
  <si>
    <t>Formed by the merger of: Annales de la Société belge de médecine tropicale; Journal of tropical medicine and hygiene; Tropical and geographical medicine; and: Tropical medicine and parasitology.</t>
  </si>
  <si>
    <t>21330020R</t>
  </si>
  <si>
    <t>Trustee : the journal for hospital governing boards</t>
  </si>
  <si>
    <t>TRUSTEE : THE JOURNAL FOR HOSPITAL GOVERNING BOARDS</t>
  </si>
  <si>
    <t>Trustee</t>
  </si>
  <si>
    <t>00413674</t>
  </si>
  <si>
    <t>Ten no. a year, 1995-</t>
  </si>
  <si>
    <t>0417363</t>
  </si>
  <si>
    <t>Tsitologiia</t>
  </si>
  <si>
    <t>TSITOLOGIIA</t>
  </si>
  <si>
    <t>00413771</t>
  </si>
  <si>
    <t>0101671</t>
  </si>
  <si>
    <t>T͡Sitologii͡a i genetika</t>
  </si>
  <si>
    <t>TSITOLOGIIA I GENETIKA</t>
  </si>
  <si>
    <t>Tsitol Genet</t>
  </si>
  <si>
    <t>Continues a periodical with the same title which was published 1965-1966: T͡Sitologii͡a i genetika.</t>
  </si>
  <si>
    <t>05643783</t>
  </si>
  <si>
    <t>Izdatelstvo Naukova Dumka</t>
  </si>
  <si>
    <t>100971555</t>
  </si>
  <si>
    <t>Tuberculosis (Edinburgh, Scotland)</t>
  </si>
  <si>
    <t>TUBERCULOSIS (EDINBURGH, SCOTLAND)</t>
  </si>
  <si>
    <t>Tuberculosis (Edinb)</t>
  </si>
  <si>
    <t>Continues: Tubercle and lung disease.</t>
  </si>
  <si>
    <t>101526492</t>
  </si>
  <si>
    <t>Tuberkulëz i bolezni lëgkikh</t>
  </si>
  <si>
    <t>TUBERKULEZ I BOLEZNI LEGKIKH</t>
  </si>
  <si>
    <t>Tuberk Biolezni Legkih</t>
  </si>
  <si>
    <t>Continues: Problemy tuberkuleza i bolezneĭ legkikh.</t>
  </si>
  <si>
    <t>20751230</t>
  </si>
  <si>
    <t>Nʹi͡u Terra</t>
  </si>
  <si>
    <t>0417364</t>
  </si>
  <si>
    <t>Tüberküloz ve toraks</t>
  </si>
  <si>
    <t>TUBERKULOZ VE TORAKS</t>
  </si>
  <si>
    <t>Tuberk Toraks</t>
  </si>
  <si>
    <t>İstiklâl Matbaacılık ve Gazetecilik Koll. Ort.</t>
  </si>
  <si>
    <t>0111356</t>
  </si>
  <si>
    <t>TUMORI</t>
  </si>
  <si>
    <t>8409922</t>
  </si>
  <si>
    <t>Tumour biology : the journal of the International Society for Oncodevelopmental Biology and Medicine</t>
  </si>
  <si>
    <t>TUMOUR BIOLOGY : THE JOURNAL OF THE INTERNATIONAL SOCIETY FOR ONCODEVELOPMENTAL BIOLOGY AND MEDICINE</t>
  </si>
  <si>
    <t>Tumour Biol</t>
  </si>
  <si>
    <t>Continues: Oncodevelopmental biology and medicine.</t>
  </si>
  <si>
    <t>0413766</t>
  </si>
  <si>
    <t>La Tunisie médicale</t>
  </si>
  <si>
    <t>TUNISIE MEDICALE</t>
  </si>
  <si>
    <t>Tunis Med</t>
  </si>
  <si>
    <t>Societe Tunisienne Des Sciences Medicales</t>
  </si>
  <si>
    <t>9426239</t>
  </si>
  <si>
    <t>Türk Kardiyoloji Derneği arşivi : Türk Kardiyoloji Derneğinin yayın organıdır</t>
  </si>
  <si>
    <t>TURK KARDIYOLOJI DERNEGI ARSIVI : TURK KARDIYOLOJI DERNEGININ YAYIN ORGANIDIR</t>
  </si>
  <si>
    <t>Turk Kardiyol Dern Ars</t>
  </si>
  <si>
    <t>13084488</t>
  </si>
  <si>
    <t>Türk Kardiyoloji Derneği</t>
  </si>
  <si>
    <t>9440471</t>
  </si>
  <si>
    <t>Türk patoloji dergisi</t>
  </si>
  <si>
    <t>TURK PATOLOJI DERGISI</t>
  </si>
  <si>
    <t>Turk Patoloji Derg</t>
  </si>
  <si>
    <t>Türk Patoloji Derneği</t>
  </si>
  <si>
    <t>9425936</t>
  </si>
  <si>
    <t>Türk psikiyatri dergisi = Turkish journal of psychiatry</t>
  </si>
  <si>
    <t>TURK PSIKIYATRI DERGISI = TURKISH JOURNAL OF PSYCHIATRY</t>
  </si>
  <si>
    <t>Turk Psikiyatri Derg</t>
  </si>
  <si>
    <t>13002163</t>
  </si>
  <si>
    <t>Türkiye Sinir ve Ruh Sağliği Derneği</t>
  </si>
  <si>
    <t>9515841</t>
  </si>
  <si>
    <t>The Turkish journal of gastroenterology : the official journal of Turkish Society of Gastroenterology</t>
  </si>
  <si>
    <t>TURKISH JOURNAL OF GASTROENTEROLOGY : THE OFFICIAL JOURNAL OF TURKISH SOCIETY OF GASTROENTEROLOGY</t>
  </si>
  <si>
    <t>Turk J Gastroenterol</t>
  </si>
  <si>
    <t>Continues: Gastroenteroloji.</t>
  </si>
  <si>
    <t>0417505</t>
  </si>
  <si>
    <t>The Turkish journal of pediatrics</t>
  </si>
  <si>
    <t>TURKISH JOURNAL OF PEDIATRICS</t>
  </si>
  <si>
    <t>Turk J Pediatr</t>
  </si>
  <si>
    <t>Hacettepe Medical Center</t>
  </si>
  <si>
    <t>9423821</t>
  </si>
  <si>
    <t>Turkish neurosurgery</t>
  </si>
  <si>
    <t>TURKISH NEUROSURGERY</t>
  </si>
  <si>
    <t>Turk Neurosurg</t>
  </si>
  <si>
    <t>10195149</t>
  </si>
  <si>
    <t>Turkish Neurosurgi[c]al Society</t>
  </si>
  <si>
    <t>Six no. a year, &lt;2012-&gt;</t>
  </si>
  <si>
    <t>9425544</t>
  </si>
  <si>
    <t>Türkiye parazitolojii dergisi / Türkiye Parazitoloji Derneği = Acta parasitologica Turcica / Turkish Society for Parasitology</t>
  </si>
  <si>
    <t>TURKIYE PARAZITOLOJII DERGISI / TURKIYE PARAZITOLOJI DERNEGI = ACTA PARASITOLOGICA TURCICA / TURKISH SOCIETY FOR PARASITOLOGY</t>
  </si>
  <si>
    <t>Turkiye Parazitol Derg</t>
  </si>
  <si>
    <t>13006320</t>
  </si>
  <si>
    <t>Four no. a year, 1989-</t>
  </si>
  <si>
    <t>101244624</t>
  </si>
  <si>
    <t>Twin research and human genetics : the official journal of the International Society for Twin Studies</t>
  </si>
  <si>
    <t>TWIN RESEARCH AND HUMAN GENETICS : THE OFFICIAL JOURNAL OF THE INTERNATIONAL SOCIETY FOR TWIN STUDIES</t>
  </si>
  <si>
    <t>Twin Res Hum Genet</t>
  </si>
  <si>
    <t>Continues: Twin research.</t>
  </si>
  <si>
    <t>9617037</t>
  </si>
  <si>
    <t>U.S. Army Medical Department journal</t>
  </si>
  <si>
    <t>U.S. ARMY MEDICAL DEPARTMENT JOURNAL</t>
  </si>
  <si>
    <t>US Army Med Dep J</t>
  </si>
  <si>
    <t>Continues: Journal of the US Army Medical Department.</t>
  </si>
  <si>
    <t>19461968</t>
  </si>
  <si>
    <t>15240436</t>
  </si>
  <si>
    <t>The Department</t>
  </si>
  <si>
    <t>0141730</t>
  </si>
  <si>
    <t>Ugeskrift for laeger</t>
  </si>
  <si>
    <t>UGESKRIFT FOR LAEGER</t>
  </si>
  <si>
    <t>Ugeskr Laeger</t>
  </si>
  <si>
    <t>Continued in part by: Klaringsrapport.</t>
  </si>
  <si>
    <t>16036824</t>
  </si>
  <si>
    <t>00415782</t>
  </si>
  <si>
    <t>Den Alm Danske Laegerforening</t>
  </si>
  <si>
    <t>1839</t>
  </si>
  <si>
    <t>9605018</t>
  </si>
  <si>
    <t>Ŭi sahak</t>
  </si>
  <si>
    <t>UI SAHAK</t>
  </si>
  <si>
    <t>Uisahak</t>
  </si>
  <si>
    <t>1225505X</t>
  </si>
  <si>
    <t>Taehan Ŭi Sahakhoe</t>
  </si>
  <si>
    <t>0417475</t>
  </si>
  <si>
    <t>Uirusu</t>
  </si>
  <si>
    <t>UIRUSU</t>
  </si>
  <si>
    <t>Continues: Virus.</t>
  </si>
  <si>
    <t>00426857</t>
  </si>
  <si>
    <t>Society Of Japanese Virologists</t>
  </si>
  <si>
    <t>7804246</t>
  </si>
  <si>
    <t>Ukrainskiĭ biokhimicheskiĭ zhurnal</t>
  </si>
  <si>
    <t>UKRAINSKII BIOKHIMICHESKII ZHURNAL</t>
  </si>
  <si>
    <t>Ukr Biokhim Zh</t>
  </si>
  <si>
    <t>Continues Ukraïns'kyĭ biokhimichnyĭ zhurnal.</t>
  </si>
  <si>
    <t>02018470</t>
  </si>
  <si>
    <t>0417367</t>
  </si>
  <si>
    <t>The Ulster medical journal</t>
  </si>
  <si>
    <t>ULSTER MEDICAL JOURNAL</t>
  </si>
  <si>
    <t>Ulster Med J</t>
  </si>
  <si>
    <t>Supersedes: Transactions. Ulster Medical Society.</t>
  </si>
  <si>
    <t>Northern Ireland</t>
  </si>
  <si>
    <t>7513702</t>
  </si>
  <si>
    <t>ULTRAMICROSCOPY</t>
  </si>
  <si>
    <t>16 no. a year, 2000-</t>
  </si>
  <si>
    <t>8303585</t>
  </si>
  <si>
    <t>Ultraschall in der Medizin (Stuttgart, Germany : 1980)</t>
  </si>
  <si>
    <t>ULTRASCHALL IN DER MEDIZIN (STUTTGART, GERMANY : 1980)</t>
  </si>
  <si>
    <t>Ultraschall Med</t>
  </si>
  <si>
    <t>14388782</t>
  </si>
  <si>
    <t>01724614</t>
  </si>
  <si>
    <t>G. Thieme Verlag</t>
  </si>
  <si>
    <t>7909167</t>
  </si>
  <si>
    <t>Ultrasonic imaging</t>
  </si>
  <si>
    <t>ULTRASONIC IMAGING</t>
  </si>
  <si>
    <t>Ultrason Imaging</t>
  </si>
  <si>
    <t>10960910</t>
  </si>
  <si>
    <t>01617346</t>
  </si>
  <si>
    <t>0050452</t>
  </si>
  <si>
    <t>Ultrasonics</t>
  </si>
  <si>
    <t>ULTRASONICS</t>
  </si>
  <si>
    <t>18749968</t>
  </si>
  <si>
    <t>0041624X</t>
  </si>
  <si>
    <t>9433356</t>
  </si>
  <si>
    <t>Ultrasonics sonochemistry</t>
  </si>
  <si>
    <t>ULTRASONICS SONOCHEMISTRY</t>
  </si>
  <si>
    <t>Ultrason Sonochem</t>
  </si>
  <si>
    <t>0410553</t>
  </si>
  <si>
    <t>Ultrasound in medicine &amp; biology</t>
  </si>
  <si>
    <t>ULTRASOUND IN MEDICINE &amp; BIOLOGY</t>
  </si>
  <si>
    <t>Ultrasound Med Biol</t>
  </si>
  <si>
    <t>9108340</t>
  </si>
  <si>
    <t>Ultrasound in obstetrics &amp; gynecology : the official journal of the International Society of Ultrasound in Obstetrics and Gynecology</t>
  </si>
  <si>
    <t>ULTRASOUND IN OBSTETRICS &amp; GYNECOLOGY : THE OFFICIAL JOURNAL OF THE INTERNATIONAL SOCIETY OF ULTRASOUND IN OBSTETRICS AND GYNECOLOGY</t>
  </si>
  <si>
    <t>Ultrasound Obstet Gynecol</t>
  </si>
  <si>
    <t>14690705</t>
  </si>
  <si>
    <t>09607692</t>
  </si>
  <si>
    <t>John Wiley &amp; Sons, Ltd.</t>
  </si>
  <si>
    <t>Diagnostic Imaging#Gynecology#Obstetrics</t>
  </si>
  <si>
    <t>8809459</t>
  </si>
  <si>
    <t>Ultrasound quarterly</t>
  </si>
  <si>
    <t>ULTRASOUND QUARTERLY</t>
  </si>
  <si>
    <t>Ultrasound Q</t>
  </si>
  <si>
    <t>Continues: Ultrasound annual.</t>
  </si>
  <si>
    <t>8002867</t>
  </si>
  <si>
    <t>Ultrastructural pathology</t>
  </si>
  <si>
    <t>ULTRASTRUCTURAL PATHOLOGY</t>
  </si>
  <si>
    <t>Ultrastruct Pathol</t>
  </si>
  <si>
    <t>15210758</t>
  </si>
  <si>
    <t>01913123</t>
  </si>
  <si>
    <t>101274231</t>
  </si>
  <si>
    <t>Ulusal travma ve acil cerrahi dergisi = Turkish journal of trauma &amp; emergency surgery : TJTES</t>
  </si>
  <si>
    <t>ULUSAL TRAVMA VE ACIL CERRAHI DERGISI = TURKISH JOURNAL OF TRAUMA &amp; EMERGENCY SURGERY : TJTES</t>
  </si>
  <si>
    <t>Ulus Travma Acil Cerrahi Derg</t>
  </si>
  <si>
    <t>Continues: Ulusal travma dergisi.</t>
  </si>
  <si>
    <t>Ulusal Travma ve Acil Cerrahi Derneği</t>
  </si>
  <si>
    <t>9312954</t>
  </si>
  <si>
    <t>Undersea &amp; hyperbaric medicine : journal of the Undersea and Hyperbaric Medical Society, Inc</t>
  </si>
  <si>
    <t>UNDERSEA &amp; HYPERBARIC MEDICINE : JOURNAL OF THE UNDERSEA AND HYPERBARIC MEDICAL SOCIETY, INC</t>
  </si>
  <si>
    <t>Undersea Hyperb Med</t>
  </si>
  <si>
    <t>Merger of: Undersea biomedical research, and: Journal of hyperbaric medicine, and continues the numbering of the former.</t>
  </si>
  <si>
    <t>10662936</t>
  </si>
  <si>
    <t>Undersea and Hyperbaric Medical Society</t>
  </si>
  <si>
    <t>Military Medicine#Physiology#Sports Medicine</t>
  </si>
  <si>
    <t>8502736</t>
  </si>
  <si>
    <t>Der Unfallchirurg</t>
  </si>
  <si>
    <t>UNFALLCHIRURG</t>
  </si>
  <si>
    <t>Unfallchirurg</t>
  </si>
  <si>
    <t>Continues: Unfallheilkunde.</t>
  </si>
  <si>
    <t>1433044X</t>
  </si>
  <si>
    <t>01775537</t>
  </si>
  <si>
    <t>101539818</t>
  </si>
  <si>
    <t>Updates in surgery</t>
  </si>
  <si>
    <t>UPDATES IN SURGERY</t>
  </si>
  <si>
    <t>Updates Surg</t>
  </si>
  <si>
    <t>Continues: Chirurgia italiana.</t>
  </si>
  <si>
    <t>20383312</t>
  </si>
  <si>
    <t>2038131X</t>
  </si>
  <si>
    <t>0332203</t>
  </si>
  <si>
    <t>Upsala journal of medical sciences</t>
  </si>
  <si>
    <t>UPSALA JOURNAL OF MEDICAL SCIENCES</t>
  </si>
  <si>
    <t>Ups J Med Sci</t>
  </si>
  <si>
    <t>20001967</t>
  </si>
  <si>
    <t>03009734</t>
  </si>
  <si>
    <t>0331622</t>
  </si>
  <si>
    <t>Upsala journal of medical sciences. Supplement</t>
  </si>
  <si>
    <t>UPSALA JOURNAL OF MEDICAL SCIENCES. SUPPLEMENT</t>
  </si>
  <si>
    <t>Ups J Med Sci Suppl</t>
  </si>
  <si>
    <t>03009726</t>
  </si>
  <si>
    <t>Upsala Medical Society</t>
  </si>
  <si>
    <t>101602699</t>
  </si>
  <si>
    <t>UROLITHIASIS</t>
  </si>
  <si>
    <t>Continues: Urological research.</t>
  </si>
  <si>
    <t>1304110</t>
  </si>
  <si>
    <t>Der Urologe. Ausg. A</t>
  </si>
  <si>
    <t>UROLOGE. AUSG. A</t>
  </si>
  <si>
    <t>Urologe A</t>
  </si>
  <si>
    <t>Absorbed: Urologe. Ausg. B. 2003 Continues Der Urologe.</t>
  </si>
  <si>
    <t>0417372</t>
  </si>
  <si>
    <t>UROLOGIA</t>
  </si>
  <si>
    <t>03915603</t>
  </si>
  <si>
    <t>Libreria Editrice Canova</t>
  </si>
  <si>
    <t>0417373</t>
  </si>
  <si>
    <t>Urologia internationalis</t>
  </si>
  <si>
    <t>UROLOGIA INTERNATIONALIS</t>
  </si>
  <si>
    <t>Urol Int</t>
  </si>
  <si>
    <t>Absorbed: Acta urologica italica. 2000</t>
  </si>
  <si>
    <t>Eight no. a year, 1991-</t>
  </si>
  <si>
    <t>0423221</t>
  </si>
  <si>
    <t>The Urologic clinics of North America</t>
  </si>
  <si>
    <t>UROLOGIC CLINICS OF NORTH AMERICA</t>
  </si>
  <si>
    <t>Urol Clin North Am</t>
  </si>
  <si>
    <t>8812256</t>
  </si>
  <si>
    <t>Urologic nursing</t>
  </si>
  <si>
    <t>UROLOGIC NURSING</t>
  </si>
  <si>
    <t>Urol Nurs</t>
  </si>
  <si>
    <t>1053816X</t>
  </si>
  <si>
    <t>Anthony J. Jannetti, Inc</t>
  </si>
  <si>
    <t>Nursing#Urology</t>
  </si>
  <si>
    <t>9805460</t>
  </si>
  <si>
    <t>Urologic oncology</t>
  </si>
  <si>
    <t>UROLOGIC ONCOLOGY</t>
  </si>
  <si>
    <t>Urol Oncol</t>
  </si>
  <si>
    <t>Absorbed: Seminars in urologic oncology.</t>
  </si>
  <si>
    <t>Eight issues a year, 2013-</t>
  </si>
  <si>
    <t>100900900</t>
  </si>
  <si>
    <t>Urologii͡a (Moscow, Russia : 1999)</t>
  </si>
  <si>
    <t>UROLOGIIA (MOSCOW, RUSSIA : 1999)</t>
  </si>
  <si>
    <t>Urologiia</t>
  </si>
  <si>
    <t>Continues: Urologii͡a i nefrologii͡a.</t>
  </si>
  <si>
    <t>17282985</t>
  </si>
  <si>
    <t>0366151</t>
  </si>
  <si>
    <t>UROLOGY</t>
  </si>
  <si>
    <t>101286676</t>
  </si>
  <si>
    <t>Urology journal</t>
  </si>
  <si>
    <t>UROLOGY JOURNAL</t>
  </si>
  <si>
    <t>Urol J</t>
  </si>
  <si>
    <t>1735546X</t>
  </si>
  <si>
    <t>17351308</t>
  </si>
  <si>
    <t>Urology and Nephrology Research Center</t>
  </si>
  <si>
    <t>0310750</t>
  </si>
  <si>
    <t>Uspekhi fiziologicheskikh nauk</t>
  </si>
  <si>
    <t>USPEKHI FIZIOLOGICHESKIKH NAUK</t>
  </si>
  <si>
    <t>Usp Fiziol Nauk</t>
  </si>
  <si>
    <t>03011798</t>
  </si>
  <si>
    <t>Sechenovskii Institut Fiziologii</t>
  </si>
  <si>
    <t>8406899</t>
  </si>
  <si>
    <t>VACCINE</t>
  </si>
  <si>
    <t>Thirty-two no. a year, 2001-</t>
  </si>
  <si>
    <t>100883818</t>
  </si>
  <si>
    <t>Value in health : the journal of the International Society for Pharmacoeconomics and Outcomes Research</t>
  </si>
  <si>
    <t>VALUE IN HEALTH : THE JOURNAL OF THE INTERNATIONAL SOCIETY FOR PHARMACOECONOMICS AND OUTCOMES RESEARCH</t>
  </si>
  <si>
    <t>Value Health</t>
  </si>
  <si>
    <t>Pharmacology#Technology</t>
  </si>
  <si>
    <t>0317051</t>
  </si>
  <si>
    <t>VASA. Zeitschrift für Gefässkrankheiten</t>
  </si>
  <si>
    <t>VASA. ZEITSCHRIFT FUR GEFASSKRANKHEITEN</t>
  </si>
  <si>
    <t>Vasa</t>
  </si>
  <si>
    <t>Continues: Zentralblatt für Phlebologie.</t>
  </si>
  <si>
    <t>16642872</t>
  </si>
  <si>
    <t>101196722</t>
  </si>
  <si>
    <t>VASCULAR</t>
  </si>
  <si>
    <t>Continues: Cardiovascular surgery (London, England).</t>
  </si>
  <si>
    <t>101136421</t>
  </si>
  <si>
    <t>Vascular and endovascular surgery</t>
  </si>
  <si>
    <t>VASCULAR AND ENDOVASCULAR SURGERY</t>
  </si>
  <si>
    <t>Vasc Endovascular Surg</t>
  </si>
  <si>
    <t>Continues: Vascular surgery.</t>
  </si>
  <si>
    <t>Six no. per year</t>
  </si>
  <si>
    <t>101273479</t>
  </si>
  <si>
    <t>Vascular health and risk management</t>
  </si>
  <si>
    <t>VASCULAR HEALTH AND RISK MANAGEMENT</t>
  </si>
  <si>
    <t>Vasc Health Risk Manag</t>
  </si>
  <si>
    <t>9610930</t>
  </si>
  <si>
    <t>Vascular medicine (London, England)</t>
  </si>
  <si>
    <t>VASCULAR MEDICINE (LONDON, ENGLAND)</t>
  </si>
  <si>
    <t>Vasc Med</t>
  </si>
  <si>
    <t>Merger of: Journal of vascular medicine and biology, and: Vascular medicine review.</t>
  </si>
  <si>
    <t>101130615</t>
  </si>
  <si>
    <t>Vascular pharmacology</t>
  </si>
  <si>
    <t>VASCULAR PHARMACOLOGY</t>
  </si>
  <si>
    <t>Vascul Pharmacol</t>
  </si>
  <si>
    <t>Continues: General pharmacology.</t>
  </si>
  <si>
    <t>100965525</t>
  </si>
  <si>
    <t>Vector borne and zoonotic diseases (Larchmont, N.Y.)</t>
  </si>
  <si>
    <t>VECTOR BORNE AND ZOONOTIC DISEASES (LARCHMONT, N.Y.)</t>
  </si>
  <si>
    <t>Vector Borne Zoonotic Dis</t>
  </si>
  <si>
    <t>Communicable Diseases#Epidemiology#Veterinary Medicine</t>
  </si>
  <si>
    <t>0413210</t>
  </si>
  <si>
    <t>Verhandelingen - Koninklijke Academie voor Geneeskunde van België</t>
  </si>
  <si>
    <t>VERHANDELINGEN - KONINKLIJKE ACADEMIE VOOR GENEESKUNDE VAN BELGIE</t>
  </si>
  <si>
    <t>Verh K Acad Geneeskd Belg</t>
  </si>
  <si>
    <t>Continues Verhandelingen - Koninklijke Vlaamse Academie voor Geneeskunde van België.</t>
  </si>
  <si>
    <t>03026469</t>
  </si>
  <si>
    <t>Paleis Der Academein</t>
  </si>
  <si>
    <t>8307714</t>
  </si>
  <si>
    <t>Veröffentlichungen der Schweizerischen Gesellschaft für Geschichte der Pharmazie / herausgegeben vom Vorstand der Schweizerischen Gesellschaft für Geschichte der Pharmazie (SGGP)</t>
  </si>
  <si>
    <t>VEROFFENTLICHUNGEN DER SCHWEIZERISCHEN GESELLSCHAFT FUR GESCHICHTE DER PHARMAZIE / HERAUSGEGEBEN VOM VORSTAND DER SCHWEIZERISCHEN GESELLSCHAFT FUR GESCHICHTE DER PHARMAZIE (SGGP)</t>
  </si>
  <si>
    <t>Veroff Schweiz Ges Gesch Pharm</t>
  </si>
  <si>
    <t>02556693</t>
  </si>
  <si>
    <t>SGGP/SSHP</t>
  </si>
  <si>
    <t>8803623</t>
  </si>
  <si>
    <t>Versicherungsmedizin / herausgegeben von Verband der Lebensversicherungs-Unternehmen e.V. und Verband der Privaten Krankenversicherung e.V</t>
  </si>
  <si>
    <t>VERSICHERUNGSMEDIZIN / HERAUSGEGEBEN VON VERBAND DER LEBENSVERSICHERUNGS-UNTERNEHMEN E.V. UND VERBAND DER PRIVATEN KRANKENVERSICHERUNG E.V</t>
  </si>
  <si>
    <t>Versicherungsmedizin</t>
  </si>
  <si>
    <t>Continues: Lebensversicherungs Medizin.</t>
  </si>
  <si>
    <t>09334548</t>
  </si>
  <si>
    <t>Verlag Versucherungswirtschaft</t>
  </si>
  <si>
    <t>9440528</t>
  </si>
  <si>
    <t>Vertex (Buenos Aires, Argentina)</t>
  </si>
  <si>
    <t>VERTEX (BUENOS AIRES, ARGENTINA)</t>
  </si>
  <si>
    <t>Vertex</t>
  </si>
  <si>
    <t>03276139</t>
  </si>
  <si>
    <t>Polemos</t>
  </si>
  <si>
    <t>9517855</t>
  </si>
  <si>
    <t>Vesalius : acta internationales historiae medicinae</t>
  </si>
  <si>
    <t>VESALIUS : ACTA INTERNATIONALES HISTORIAE MEDICINAE</t>
  </si>
  <si>
    <t>Vesalius</t>
  </si>
  <si>
    <t>13734857</t>
  </si>
  <si>
    <t>Societas Internationales Historiae Medicinae</t>
  </si>
  <si>
    <t>0411377</t>
  </si>
  <si>
    <t>Vestnik khirurgii imeni I. I. Grekova</t>
  </si>
  <si>
    <t>VESTNIK KHIRURGII IMENI I. I. GREKOVA</t>
  </si>
  <si>
    <t>Vestn Khir Im I I Grek</t>
  </si>
  <si>
    <t>Continues Vestnik khirurgii i pogranichnykh oblasteĭ.</t>
  </si>
  <si>
    <t>00424625</t>
  </si>
  <si>
    <t>6 no. a year, 1996-</t>
  </si>
  <si>
    <t>0415216</t>
  </si>
  <si>
    <t>Vestnik oftalmologii</t>
  </si>
  <si>
    <t>VESTNIK OFTALMOLOGII</t>
  </si>
  <si>
    <t>Vestn Oftalmol</t>
  </si>
  <si>
    <t>Continues Sovetskii vestnik oftalmologii.</t>
  </si>
  <si>
    <t>23091282</t>
  </si>
  <si>
    <t>0042465X</t>
  </si>
  <si>
    <t>0416577</t>
  </si>
  <si>
    <t>Vestnik otorinolaringologii</t>
  </si>
  <si>
    <t>VESTNIK OTORINOLARINGOLOGII</t>
  </si>
  <si>
    <t>Vestn Otorinolaringol</t>
  </si>
  <si>
    <t>Continues: Vestnik sovetskoĭ oto-rino-laringologii.</t>
  </si>
  <si>
    <t>23091274</t>
  </si>
  <si>
    <t>00424668</t>
  </si>
  <si>
    <t>0424741</t>
  </si>
  <si>
    <t>Vestnik rentgenologii i radiologii</t>
  </si>
  <si>
    <t>VESTNIK RENTGENOLOGII I RADIOLOGII</t>
  </si>
  <si>
    <t>Vestn Rentgenol Radiol</t>
  </si>
  <si>
    <t>00424676</t>
  </si>
  <si>
    <t>9215641</t>
  </si>
  <si>
    <t>Vestnik Rossiĭskoĭ akademii meditsinskikh nauk / Rossiĭskaia akademiia meditsinskikh nauk</t>
  </si>
  <si>
    <t>VESTNIK ROSSIISKOI AKADEMII MEDITSINSKIKH NAUK / ROSSIISKAIA AKADEMIIA MEDITSINSKIKH NAUK</t>
  </si>
  <si>
    <t>Vestn Ross Akad Med Nauk</t>
  </si>
  <si>
    <t>Continues: Vestnik Akademii meditsinskikh nauk SSSR.</t>
  </si>
  <si>
    <t>08696047</t>
  </si>
  <si>
    <t>0201543</t>
  </si>
  <si>
    <t>Veterinaria italiana</t>
  </si>
  <si>
    <t>VETERINARIA ITALIANA</t>
  </si>
  <si>
    <t>Vet Ital</t>
  </si>
  <si>
    <t>Continues: Croce azzurra.</t>
  </si>
  <si>
    <t>18281427</t>
  </si>
  <si>
    <t>0505401X</t>
  </si>
  <si>
    <t>Istituto sperimentale zooprofilattico.</t>
  </si>
  <si>
    <t>100956422</t>
  </si>
  <si>
    <t>Veterinary anaesthesia and analgesia</t>
  </si>
  <si>
    <t>VETERINARY ANAESTHESIA AND ANALGESIA</t>
  </si>
  <si>
    <t>Vet Anaesth Analg</t>
  </si>
  <si>
    <t>Continues: Journal of veterinary anaesthesia.</t>
  </si>
  <si>
    <t>14672995</t>
  </si>
  <si>
    <t>14672987</t>
  </si>
  <si>
    <t>Anesthesiology#Veterinary Medicine</t>
  </si>
  <si>
    <t>101185242</t>
  </si>
  <si>
    <t>Veterinary and comparative oncology</t>
  </si>
  <si>
    <t>VETERINARY AND COMPARATIVE ONCOLOGY</t>
  </si>
  <si>
    <t>Vet Comp Oncol</t>
  </si>
  <si>
    <t>14765829</t>
  </si>
  <si>
    <t>14765810</t>
  </si>
  <si>
    <t>Neoplasms#Veterinary Medicine</t>
  </si>
  <si>
    <t>8906319</t>
  </si>
  <si>
    <t>Veterinary and comparative orthopaedics and traumatology : V.C.O.T</t>
  </si>
  <si>
    <t>VETERINARY AND COMPARATIVE ORTHOPAEDICS AND TRAUMATOLOGY : V.C.O.T</t>
  </si>
  <si>
    <t>Vet Comp Orthop Traumatol</t>
  </si>
  <si>
    <t>09320814</t>
  </si>
  <si>
    <t>Orthopedics#Traumatology#Veterinary Medicine</t>
  </si>
  <si>
    <t>9880575</t>
  </si>
  <si>
    <t>Veterinary clinical pathology / American Society for Veterinary Clinical Pathology</t>
  </si>
  <si>
    <t>VETERINARY CLINICAL PATHOLOGY / AMERICAN SOCIETY FOR VETERINARY CLINICAL PATHOLOGY</t>
  </si>
  <si>
    <t>Vet Clin Pathol</t>
  </si>
  <si>
    <t>Continues: Bulletin of the American Society of Veterinary Clinical Pathologists. American Society of Veterinary Clinical Pathologists.</t>
  </si>
  <si>
    <t>1939165X</t>
  </si>
  <si>
    <t>02756382</t>
  </si>
  <si>
    <t>American Society for Veterinary Clinical Pathology</t>
  </si>
  <si>
    <t>Quarterly, &lt;Sept. 15, 1989-&gt;</t>
  </si>
  <si>
    <t>8511904</t>
  </si>
  <si>
    <t>The Veterinary clinics of North America. Equine practice</t>
  </si>
  <si>
    <t>VETERINARY CLINICS OF NORTH AMERICA. EQUINE PRACTICE</t>
  </si>
  <si>
    <t>Vet Clin North Am Equine Pract</t>
  </si>
  <si>
    <t>Continues in part: Veterinary clinics of North America. Large animal practice.</t>
  </si>
  <si>
    <t>15584224</t>
  </si>
  <si>
    <t>07490739</t>
  </si>
  <si>
    <t>9815628</t>
  </si>
  <si>
    <t>The veterinary clinics of North America. Exotic animal practice</t>
  </si>
  <si>
    <t>VETERINARY CLINICS OF NORTH AMERICA. EXOTIC ANIMAL PRACTICE</t>
  </si>
  <si>
    <t>Vet Clin North Am Exot Anim Pract</t>
  </si>
  <si>
    <t>15584232</t>
  </si>
  <si>
    <t>10949194</t>
  </si>
  <si>
    <t>8511905</t>
  </si>
  <si>
    <t>The Veterinary clinics of North America. Food animal practice</t>
  </si>
  <si>
    <t>VETERINARY CLINICS OF NORTH AMERICA. FOOD ANIMAL PRACTICE</t>
  </si>
  <si>
    <t>Vet Clin North Am Food Anim Pract</t>
  </si>
  <si>
    <t>Continues in part: The Veterinary clinics of North America. Large animal practice.</t>
  </si>
  <si>
    <t>15584240</t>
  </si>
  <si>
    <t>07490720</t>
  </si>
  <si>
    <t>7809942</t>
  </si>
  <si>
    <t>The Veterinary clinics of North America. Small animal practice</t>
  </si>
  <si>
    <t>VETERINARY CLINICS OF NORTH AMERICA. SMALL ANIMAL PRACTICE</t>
  </si>
  <si>
    <t>Vet Clin North Am Small Anim Pract</t>
  </si>
  <si>
    <t>Continues Veterinary clinics of North America.</t>
  </si>
  <si>
    <t>9426187</t>
  </si>
  <si>
    <t>Veterinary dermatology</t>
  </si>
  <si>
    <t>VETERINARY DERMATOLOGY</t>
  </si>
  <si>
    <t>Vet Dermatol</t>
  </si>
  <si>
    <t>13653164</t>
  </si>
  <si>
    <t>09594493</t>
  </si>
  <si>
    <t>Dermatology#Veterinary Medicine</t>
  </si>
  <si>
    <t>8508267</t>
  </si>
  <si>
    <t>Veterinary heritage : bulletin of the American Veterinary History Society</t>
  </si>
  <si>
    <t>VETERINARY HERITAGE : BULLETIN OF THE AMERICAN VETERINARY HISTORY SOCIETY</t>
  </si>
  <si>
    <t>Vet Herit</t>
  </si>
  <si>
    <t>Continues: Newsletter (American Veterinary Historical Society).</t>
  </si>
  <si>
    <t>10965904</t>
  </si>
  <si>
    <t>American Veterinary Medical History Society</t>
  </si>
  <si>
    <t>8002006</t>
  </si>
  <si>
    <t>Veterinary immunology and immunopathology</t>
  </si>
  <si>
    <t>VETERINARY IMMUNOLOGY AND IMMUNOPATHOLOGY</t>
  </si>
  <si>
    <t>Vet Immunol Immunopathol</t>
  </si>
  <si>
    <t>Elsevier Scientific.</t>
  </si>
  <si>
    <t>Allergy and Immunology#Veterinary Medicine</t>
  </si>
  <si>
    <t>9706281</t>
  </si>
  <si>
    <t>Veterinary journal (London, England : 1997)</t>
  </si>
  <si>
    <t>VETERINARY JOURNAL (LONDON, ENGLAND : 1997)</t>
  </si>
  <si>
    <t>Vet J</t>
  </si>
  <si>
    <t>Continues: British veterinary journal.</t>
  </si>
  <si>
    <t>Balliere Tindall</t>
  </si>
  <si>
    <t>7705469</t>
  </si>
  <si>
    <t>Veterinary microbiology</t>
  </si>
  <si>
    <t>VETERINARY MICROBIOLOGY</t>
  </si>
  <si>
    <t>Vet Microbiol</t>
  </si>
  <si>
    <t>100887377</t>
  </si>
  <si>
    <t>Veterinary ophthalmology</t>
  </si>
  <si>
    <t>VETERINARY OPHTHALMOLOGY</t>
  </si>
  <si>
    <t>Vet Ophthalmol</t>
  </si>
  <si>
    <t>Continues: Veterinary &amp; comparative ophthalmology.</t>
  </si>
  <si>
    <t>14635224</t>
  </si>
  <si>
    <t>14635216</t>
  </si>
  <si>
    <t>Ophthalmology#Veterinary Medicine</t>
  </si>
  <si>
    <t>7602745</t>
  </si>
  <si>
    <t>Veterinary parasitology</t>
  </si>
  <si>
    <t>VETERINARY PARASITOLOGY</t>
  </si>
  <si>
    <t>Vet Parasitol</t>
  </si>
  <si>
    <t>32 no. a year, 1999-</t>
  </si>
  <si>
    <t>0312020</t>
  </si>
  <si>
    <t>Veterinary pathology</t>
  </si>
  <si>
    <t>VETERINARY PATHOLOGY</t>
  </si>
  <si>
    <t>Vet Pathol</t>
  </si>
  <si>
    <t>Continues: Pathologia veterinaria.</t>
  </si>
  <si>
    <t>15442217</t>
  </si>
  <si>
    <t>03009858</t>
  </si>
  <si>
    <t>7909485</t>
  </si>
  <si>
    <t>The Veterinary quarterly</t>
  </si>
  <si>
    <t>VETERINARY QUARTERLY</t>
  </si>
  <si>
    <t>Vet Q</t>
  </si>
  <si>
    <t>Supersedes the quarterly English issues of Tijdschrift voor diergeneeskunde.</t>
  </si>
  <si>
    <t>9209635</t>
  </si>
  <si>
    <t>Veterinary radiology &amp; ultrasound : the official journal of the American College of Veterinary Radiology and the International Veterinary Radiology Association</t>
  </si>
  <si>
    <t>VETERINARY RADIOLOGY &amp; ULTRASOUND : THE OFFICIAL JOURNAL OF THE AMERICAN COLLEGE OF VETERINARY RADIOLOGY AND THE INTERNATIONAL VETERINARY RADIOLOGY ASSOCIATION</t>
  </si>
  <si>
    <t>Vet Radiol Ultrasound</t>
  </si>
  <si>
    <t>Continues: Veterinary radiology.</t>
  </si>
  <si>
    <t>17408261</t>
  </si>
  <si>
    <t>10588183</t>
  </si>
  <si>
    <t>Diagnostic Imaging#Radiology#Veterinary Medicine</t>
  </si>
  <si>
    <t>0031164</t>
  </si>
  <si>
    <t>The Veterinary record</t>
  </si>
  <si>
    <t>VETERINARY RECORD</t>
  </si>
  <si>
    <t>Vet Rec</t>
  </si>
  <si>
    <t>Supersedes: Veterinary record, and Transactions of the Veterinary Medical Association.</t>
  </si>
  <si>
    <t>20427670</t>
  </si>
  <si>
    <t>00424900</t>
  </si>
  <si>
    <t>BMJ Group</t>
  </si>
  <si>
    <t>9309551</t>
  </si>
  <si>
    <t>Veterinary research</t>
  </si>
  <si>
    <t>VETERINARY RESEARCH</t>
  </si>
  <si>
    <t>Vet Res</t>
  </si>
  <si>
    <t>Continues: Annales de recherches vétérinaires.</t>
  </si>
  <si>
    <t>12979716</t>
  </si>
  <si>
    <t>09284249</t>
  </si>
  <si>
    <t>8100520</t>
  </si>
  <si>
    <t>Veterinary research communications</t>
  </si>
  <si>
    <t>VETERINARY RESEARCH COMMUNICATIONS</t>
  </si>
  <si>
    <t>Vet Res Commun</t>
  </si>
  <si>
    <t>Continues: Veterinary science communications.</t>
  </si>
  <si>
    <t>8113214</t>
  </si>
  <si>
    <t>Veterinary surgery : VS</t>
  </si>
  <si>
    <t>VETERINARY SURGERY : VS</t>
  </si>
  <si>
    <t>Vet Surg</t>
  </si>
  <si>
    <t>Absorbed: Veterinary anesthesia. Continues: Journal of veterinary surgery.</t>
  </si>
  <si>
    <t>1532950X</t>
  </si>
  <si>
    <t>01613499</t>
  </si>
  <si>
    <t>Eight issues a year, &lt;Dec. 2007-&gt;</t>
  </si>
  <si>
    <t>General Surgery#Veterinary Medicine</t>
  </si>
  <si>
    <t>9506308</t>
  </si>
  <si>
    <t>Violence against women</t>
  </si>
  <si>
    <t>VIOLENCE AGAINST WOMEN</t>
  </si>
  <si>
    <t>Violence Against Women</t>
  </si>
  <si>
    <t>15528448</t>
  </si>
  <si>
    <t>10778012</t>
  </si>
  <si>
    <t>Traumatology#Women's Health</t>
  </si>
  <si>
    <t>8916436</t>
  </si>
  <si>
    <t>Violence and victims</t>
  </si>
  <si>
    <t>VIOLENCE AND VICTIMS</t>
  </si>
  <si>
    <t>Violence Vict</t>
  </si>
  <si>
    <t>08866708</t>
  </si>
  <si>
    <t>8801552</t>
  </si>
  <si>
    <t>Viral immunology</t>
  </si>
  <si>
    <t>VIRAL IMMUNOLOGY</t>
  </si>
  <si>
    <t>Viral Immunol</t>
  </si>
  <si>
    <t>Allergy and Immunology#Virology</t>
  </si>
  <si>
    <t>9423843</t>
  </si>
  <si>
    <t>Virchows Archiv : an international journal of pathology</t>
  </si>
  <si>
    <t>VIRCHOWS ARCHIV : AN INTERNATIONAL JOURNAL OF PATHOLOGY</t>
  </si>
  <si>
    <t>Virchows Arch</t>
  </si>
  <si>
    <t>Merger of: Virchows Archiv. A, Pathological anatomy and histopathology, and: Virchows Archiv. B, Cell pathology including molecular pathology, and continues the numbering of the former.</t>
  </si>
  <si>
    <t>101514185</t>
  </si>
  <si>
    <t>VIROLOGICA SINICA</t>
  </si>
  <si>
    <t>Virol Sin</t>
  </si>
  <si>
    <t>Continues: Zhongguo bing du xue,.</t>
  </si>
  <si>
    <t>Editorial Board of Virologica Sinica</t>
  </si>
  <si>
    <t>0110674</t>
  </si>
  <si>
    <t>VIROLOGY</t>
  </si>
  <si>
    <t>101231645</t>
  </si>
  <si>
    <t>Virology journal</t>
  </si>
  <si>
    <t>VIROLOGY JOURNAL</t>
  </si>
  <si>
    <t>Virol J</t>
  </si>
  <si>
    <t>101141858</t>
  </si>
  <si>
    <t>The virtual mentor : VM</t>
  </si>
  <si>
    <t>VIRTUAL MENTOR : VM</t>
  </si>
  <si>
    <t>Virtual Mentor</t>
  </si>
  <si>
    <t>19377010</t>
  </si>
  <si>
    <t>101531386</t>
  </si>
  <si>
    <t>VIRULENCE</t>
  </si>
  <si>
    <t>8803967</t>
  </si>
  <si>
    <t>Virus genes</t>
  </si>
  <si>
    <t>VIRUS GENES</t>
  </si>
  <si>
    <t>Molecular Biology#Virology</t>
  </si>
  <si>
    <t>8410979</t>
  </si>
  <si>
    <t>Virus research</t>
  </si>
  <si>
    <t>VIRUS RESEARCH</t>
  </si>
  <si>
    <t>Virus Res</t>
  </si>
  <si>
    <t>16 no. a year, 1999-</t>
  </si>
  <si>
    <t>101509722</t>
  </si>
  <si>
    <t>VIRUSES</t>
  </si>
  <si>
    <t>0417402</t>
  </si>
  <si>
    <t>Vision research</t>
  </si>
  <si>
    <t>VISION RESEARCH</t>
  </si>
  <si>
    <t>Vision Res</t>
  </si>
  <si>
    <t>Absorbed: Clinical vision sciences.</t>
  </si>
  <si>
    <t>Twenty-eight no a year, 2000-</t>
  </si>
  <si>
    <t>8809466</t>
  </si>
  <si>
    <t>Visual neuroscience</t>
  </si>
  <si>
    <t>VISUAL NEUROSCIENCE</t>
  </si>
  <si>
    <t>Vis Neurosci</t>
  </si>
  <si>
    <t>8405154</t>
  </si>
  <si>
    <t>Vital &amp; health statistics. Series 3, Analytical and epidemiological studies / [U.S. Dept. of Health and Human Services, Public Health Service, National Center for Health Statistics]</t>
  </si>
  <si>
    <t>VITAL &amp; HEALTH STATISTICS. SERIES 3, ANALYTICAL AND EPIDEMIOLOGICAL STUDIES / [U.S. DEPT. OF HEALTH AND HUMAN SERVICES, PUBLIC HEALTH SERVICE, NATIONAL CENTER FOR HEALTH STATISTICS]</t>
  </si>
  <si>
    <t>Vital Health Stat 3</t>
  </si>
  <si>
    <t>Continues: Vital and health statistics. Series 3, Analytical studies.</t>
  </si>
  <si>
    <t>08864691</t>
  </si>
  <si>
    <t>Health Services Research#Public Health#Statistics as Topic#Vital Statistics</t>
  </si>
  <si>
    <t>0414006</t>
  </si>
  <si>
    <t>Vital and health statistics. Ser. 1, Programs and collection procedures</t>
  </si>
  <si>
    <t>VITAL AND HEALTH STATISTICS. SER. 1, PROGRAMS AND COLLECTION PROCEDURES</t>
  </si>
  <si>
    <t>Vital Health Stat 1</t>
  </si>
  <si>
    <t>Supersedes Health statistics, ser. A, of the U. S. National Health Survey.</t>
  </si>
  <si>
    <t>00832014</t>
  </si>
  <si>
    <t>U.S. National Center for Health Statistics</t>
  </si>
  <si>
    <t>0036665</t>
  </si>
  <si>
    <t>Vital and health statistics. Ser. 4: Documents and committee reports</t>
  </si>
  <si>
    <t>VITAL AND HEALTH STATISTICS. SER. 4: DOCUMENTS AND COMMITTEE REPORTS</t>
  </si>
  <si>
    <t>Vital Health Stat 4</t>
  </si>
  <si>
    <t>00832073</t>
  </si>
  <si>
    <t>7604043</t>
  </si>
  <si>
    <t>Vital and health statistics. Series 10, Data from the National Health Survey</t>
  </si>
  <si>
    <t>VITAL AND HEALTH STATISTICS. SERIES 10, DATA FROM THE NATIONAL HEALTH SURVEY</t>
  </si>
  <si>
    <t>Vital Health Stat 10</t>
  </si>
  <si>
    <t>00831972</t>
  </si>
  <si>
    <t>U. S. Dept. of Health, Education and Welfare, Public Health Service, Health Resources Administration, National Center for Health Statistics; Washington, for sale by the Supt. of Docs., U. S. Govt. Print. Off.</t>
  </si>
  <si>
    <t>0414007</t>
  </si>
  <si>
    <t>Vital and health statistics. Series 11, Data from the national health survey</t>
  </si>
  <si>
    <t>VITAL AND HEALTH STATISTICS. SERIES 11, DATA FROM THE NATIONAL HEALTH SURVEY</t>
  </si>
  <si>
    <t>Vital Health Stat 11</t>
  </si>
  <si>
    <t>00831980</t>
  </si>
  <si>
    <t>0403032</t>
  </si>
  <si>
    <t>Vital and health statistics. Series 13, Data from the National Health Survey</t>
  </si>
  <si>
    <t>VITAL AND HEALTH STATISTICS. SERIES 13, DATA FROM THE NATIONAL HEALTH SURVEY</t>
  </si>
  <si>
    <t>Vital Health Stat 13</t>
  </si>
  <si>
    <t>Absorbed: Vital and health statistics. Series 12, Data from the national health survey.</t>
  </si>
  <si>
    <t>00832006</t>
  </si>
  <si>
    <t>0330122</t>
  </si>
  <si>
    <t>Vital and health statistics. Series 2, Data evaluation and methods research</t>
  </si>
  <si>
    <t>VITAL AND HEALTH STATISTICS. SERIES 2, DATA EVALUATION AND METHODS RESEARCH</t>
  </si>
  <si>
    <t>Vital Health Stat 2</t>
  </si>
  <si>
    <t>Supersedes National Health Survey's Health statistics, ser. D.</t>
  </si>
  <si>
    <t>00832057</t>
  </si>
  <si>
    <t>0044071</t>
  </si>
  <si>
    <t>Vital and health statistics. Series 20, Data from the National Vital Statistics System</t>
  </si>
  <si>
    <t>VITAL AND HEALTH STATISTICS. SERIES 20, DATA FROM THE NATIONAL VITAL STATISTICS SYSTEM</t>
  </si>
  <si>
    <t>Vital Health Stat 20</t>
  </si>
  <si>
    <t>00832022</t>
  </si>
  <si>
    <t>9105104</t>
  </si>
  <si>
    <t>Vital and health statistics. Series 21, Data on natality, marriage, and divorce</t>
  </si>
  <si>
    <t>VITAL AND HEALTH STATISTICS. SERIES 21, DATA ON NATALITY, MARRIAGE, AND DIVORCE</t>
  </si>
  <si>
    <t>Vital Health Stat 21</t>
  </si>
  <si>
    <t>Continues: Vital and health statistics. Series 21, Data from the National Vital Statistics System.</t>
  </si>
  <si>
    <t>10577629</t>
  </si>
  <si>
    <t>U.S. Dept. of Health and Human Services, Public Health Service, Centers for Disease Control, National Center for Health Statistics</t>
  </si>
  <si>
    <t>7901947</t>
  </si>
  <si>
    <t>Vital and health statistics. Series 23, Data from the National Survey of Family Growth</t>
  </si>
  <si>
    <t>VITAL AND HEALTH STATISTICS. SERIES 23, DATA FROM THE NATIONAL SURVEY OF FAMILY GROWTH</t>
  </si>
  <si>
    <t>Vital Health Stat 23</t>
  </si>
  <si>
    <t>02785234</t>
  </si>
  <si>
    <t>U.S. National Center For Health Statistics</t>
  </si>
  <si>
    <t>8406579</t>
  </si>
  <si>
    <t>Vital and health statistics. Series 5, Comparative international vital and health statistics reports</t>
  </si>
  <si>
    <t>VITAL AND HEALTH STATISTICS. SERIES 5, COMPARATIVE INTERNATIONAL VITAL AND HEALTH STATISTICS REPORTS</t>
  </si>
  <si>
    <t>Vital Health Stat 5</t>
  </si>
  <si>
    <t>08928959</t>
  </si>
  <si>
    <t>U.S. Dept. of Health and Human Services, Public Health Service, National Center for Health Statistics</t>
  </si>
  <si>
    <t>0413601</t>
  </si>
  <si>
    <t>Vitamins and hormones</t>
  </si>
  <si>
    <t>VITAMINS AND HORMONES</t>
  </si>
  <si>
    <t>Vitam Horm</t>
  </si>
  <si>
    <t>00836729</t>
  </si>
  <si>
    <t>0413602</t>
  </si>
  <si>
    <t>Vnitr̆ní lékar̆ství</t>
  </si>
  <si>
    <t>VNITRNI LEKARSTVI</t>
  </si>
  <si>
    <t>Vnitr Lek</t>
  </si>
  <si>
    <t>Continues: Lékařské listy.</t>
  </si>
  <si>
    <t>Ambit Media</t>
  </si>
  <si>
    <t>2984871R</t>
  </si>
  <si>
    <t>Voenno-medit͡sinskiĭ zhurnal</t>
  </si>
  <si>
    <t>VOENNO-MEDITSINSKII ZHURNAL</t>
  </si>
  <si>
    <t>Voen Med Zh</t>
  </si>
  <si>
    <t>Continues: Voenno-sanitarnoe delo.</t>
  </si>
  <si>
    <t>00269050</t>
  </si>
  <si>
    <t>Krasnai͡a zvezda</t>
  </si>
  <si>
    <t>21530700R</t>
  </si>
  <si>
    <t>Vojnosanitetski pregled. Military-medical and pharmaceutical review</t>
  </si>
  <si>
    <t>VOJNOSANITETSKI PREGLED. MILITARY-MEDICAL AND PHARMACEUTICAL REVIEW</t>
  </si>
  <si>
    <t>Vojnosanit Pregl</t>
  </si>
  <si>
    <t>Institut Vojnomedicinski Dokumentaciju</t>
  </si>
  <si>
    <t>2984868R</t>
  </si>
  <si>
    <t>Voprosy kurortologii, fizioterapii, i lechebnoĭ fizicheskoĭ kultury</t>
  </si>
  <si>
    <t>VOPROSY KURORTOLOGII, FIZIOTERAPII, I LECHEBNOI FIZICHESKOI KULTURY</t>
  </si>
  <si>
    <t>Vopr Kurortol Fizioter Lech Fiz Kult</t>
  </si>
  <si>
    <t>Supersedes Voprosy kurortologii, which ceased publication with 1941, no. 4.</t>
  </si>
  <si>
    <t>23091355</t>
  </si>
  <si>
    <t>00428787</t>
  </si>
  <si>
    <t>Bimonthly, 1957-</t>
  </si>
  <si>
    <t>0413775</t>
  </si>
  <si>
    <t>Voprosy onkologii</t>
  </si>
  <si>
    <t>VOPROSY ONKOLOGII</t>
  </si>
  <si>
    <t>Vopr Onkol</t>
  </si>
  <si>
    <t>Supersedes earlier publication with the same title, issued 1928-38.</t>
  </si>
  <si>
    <t>Nauchno-issledovatelʹskiĭ institut onkologii im. N.N. Petrova</t>
  </si>
  <si>
    <t>2984870R</t>
  </si>
  <si>
    <t>Voprosy pitaniia</t>
  </si>
  <si>
    <t>VOPROSY PITANIIA</t>
  </si>
  <si>
    <t>Vopr Pitan</t>
  </si>
  <si>
    <t>00428833</t>
  </si>
  <si>
    <t>0417337</t>
  </si>
  <si>
    <t>Voprosy virusologii</t>
  </si>
  <si>
    <t>VOPROSY VIRUSOLOGII</t>
  </si>
  <si>
    <t>Vopr Virusol</t>
  </si>
  <si>
    <t>05074088</t>
  </si>
  <si>
    <t>0413606</t>
  </si>
  <si>
    <t>Vox sanguinis</t>
  </si>
  <si>
    <t>VOX SANGUINIS</t>
  </si>
  <si>
    <t>Vox Sang</t>
  </si>
  <si>
    <t>Continues: Bulletin van het Centraal Laboratorium van de Bloedtransfusiedienst van het Nederlandse Rode Kruis.</t>
  </si>
  <si>
    <t>9881064</t>
  </si>
  <si>
    <t>Waste management &amp; research : the journal of the International Solid Wastes and Public Cleansing Association, ISWA</t>
  </si>
  <si>
    <t>WASTE MANAGEMENT &amp; RESEARCH : THE JOURNAL OF THE INTERNATIONAL SOLID WASTES AND PUBLIC CLEANSING ASSOCIATION, ISWA</t>
  </si>
  <si>
    <t>Waste Manag Res</t>
  </si>
  <si>
    <t>13993070</t>
  </si>
  <si>
    <t>Sage Pulbications</t>
  </si>
  <si>
    <t>9884362</t>
  </si>
  <si>
    <t>Waste management (New York, N.Y.)</t>
  </si>
  <si>
    <t>WASTE MANAGEMENT (NEW YORK, N.Y.)</t>
  </si>
  <si>
    <t>Waste Manag</t>
  </si>
  <si>
    <t>Continues: Nuclear and chemical waste management.</t>
  </si>
  <si>
    <t>9886167</t>
  </si>
  <si>
    <t>Water environment research : a research publication of the Water Environment Federation</t>
  </si>
  <si>
    <t>WATER ENVIRONMENT RESEARCH : A RESEARCH PUBLICATION OF THE WATER ENVIRONMENT FEDERATION</t>
  </si>
  <si>
    <t>Water Environ Res</t>
  </si>
  <si>
    <t>Continues: Research journal of the Water Pollution Control Federation.</t>
  </si>
  <si>
    <t>0105072</t>
  </si>
  <si>
    <t>Water research</t>
  </si>
  <si>
    <t>WATER RESEARCH</t>
  </si>
  <si>
    <t>Water Res</t>
  </si>
  <si>
    <t>Supersedes in part Air and water pollution.</t>
  </si>
  <si>
    <t>Twenty no. a year, 2002-</t>
  </si>
  <si>
    <t>9879497</t>
  </si>
  <si>
    <t>Water science and technology : a journal of the International Association on Water Pollution Research</t>
  </si>
  <si>
    <t>WATER SCIENCE AND TECHNOLOGY : A JOURNAL OF THE INTERNATIONAL ASSOCIATION ON WATER POLLUTION RESEARCH</t>
  </si>
  <si>
    <t>Water Sci Technol</t>
  </si>
  <si>
    <t>Continues: Progress in water technology.</t>
  </si>
  <si>
    <t>Semimonthly, &lt;v. 27, no. 1-&gt;</t>
  </si>
  <si>
    <t>21610860R</t>
  </si>
  <si>
    <t>Wei sheng wu xue bao = Acta microbiologica Sinica</t>
  </si>
  <si>
    <t>WEI SHENG WU XUE BAO = ACTA MICROBIOLOGICA SINICA</t>
  </si>
  <si>
    <t>Wei Sheng Wu Xue Bao</t>
  </si>
  <si>
    <t>00016209</t>
  </si>
  <si>
    <t>9426367</t>
  </si>
  <si>
    <t>Wei sheng yan jiu = Journal of hygiene research</t>
  </si>
  <si>
    <t>WEI SHENG YAN JIU = JOURNAL OF HYGIENE RESEARCH</t>
  </si>
  <si>
    <t>Wei Sheng Yan Jiu</t>
  </si>
  <si>
    <t>10008020</t>
  </si>
  <si>
    <t>"Wei sheng yan jiu" bian ji bu</t>
  </si>
  <si>
    <t>8301891</t>
  </si>
  <si>
    <t>West African journal of medicine</t>
  </si>
  <si>
    <t>WEST AFRICAN JOURNAL OF MEDICINE</t>
  </si>
  <si>
    <t>West Afr J Med</t>
  </si>
  <si>
    <t>West African College Of Physicians And West African College Of Surgeons</t>
  </si>
  <si>
    <t>0417410</t>
  </si>
  <si>
    <t>The West Indian medical journal</t>
  </si>
  <si>
    <t>WEST INDIAN MEDICAL JOURNAL</t>
  </si>
  <si>
    <t>West Indian Med J</t>
  </si>
  <si>
    <t>Supersedes the Jamaica medical review.</t>
  </si>
  <si>
    <t>University Of The West Indies</t>
  </si>
  <si>
    <t>Jamaica</t>
  </si>
  <si>
    <t>0413777</t>
  </si>
  <si>
    <t>The West Virginia medical journal</t>
  </si>
  <si>
    <t>WEST VIRGINIA MEDICAL JOURNAL</t>
  </si>
  <si>
    <t>W V Med J</t>
  </si>
  <si>
    <t>Supersedes: Transactions. West Virginia State Medical Association.</t>
  </si>
  <si>
    <t>00433284</t>
  </si>
  <si>
    <t>West Virginia State Medical Association</t>
  </si>
  <si>
    <t>7905435</t>
  </si>
  <si>
    <t>Western journal of nursing research</t>
  </si>
  <si>
    <t>WESTERN JOURNAL OF NURSING RESEARCH</t>
  </si>
  <si>
    <t>West J Nurs Res</t>
  </si>
  <si>
    <t>15528456</t>
  </si>
  <si>
    <t>01939459</t>
  </si>
  <si>
    <t>Eight no. a year, &lt;Dec. 2000- &gt;</t>
  </si>
  <si>
    <t>101558993</t>
  </si>
  <si>
    <t>Western Pacific surveillance and response journal : WPSAR</t>
  </si>
  <si>
    <t>WESTERN PACIFIC SURVEILLANCE AND RESPONSE JOURNAL : WPSAR</t>
  </si>
  <si>
    <t>Western Pac Surveill Response J</t>
  </si>
  <si>
    <t>20947313</t>
  </si>
  <si>
    <t>20947321</t>
  </si>
  <si>
    <t>World Health Organization, Regional Office for the Western Pacific</t>
  </si>
  <si>
    <t>Philippines</t>
  </si>
  <si>
    <t>7612236</t>
  </si>
  <si>
    <t>WHO regional publications. European series</t>
  </si>
  <si>
    <t>WHO REGIONAL PUBLICATIONS. EUROPEAN SERIES</t>
  </si>
  <si>
    <t>WHO Reg Publ Eur Ser</t>
  </si>
  <si>
    <t>03782255</t>
  </si>
  <si>
    <t>9705467</t>
  </si>
  <si>
    <t>Wiadomości lekarskie (Warsaw, Poland : 1960)</t>
  </si>
  <si>
    <t>WIADOMOSCI LEKARSKIE (WARSAW, POLAND : 1960)</t>
  </si>
  <si>
    <t>Wiad Lek</t>
  </si>
  <si>
    <t>Continues in part: Polski tygodnik lekarski i wiadomości lekarskie.</t>
  </si>
  <si>
    <t>00435147</t>
  </si>
  <si>
    <t>Blue Sparks Publishing Group</t>
  </si>
  <si>
    <t>21620870R</t>
  </si>
  <si>
    <t>Wiener klinische Wochenschrift</t>
  </si>
  <si>
    <t>WIENER KLINISCHE WOCHENSCHRIFT</t>
  </si>
  <si>
    <t>Wien Klin Wochenschr</t>
  </si>
  <si>
    <t>Absorbed: Acta medica Austriaca. 2005 Absorbed in 1996: Wiener klinische Wochenschrift. Supplementum, which was formerly published separately.</t>
  </si>
  <si>
    <t>8708475</t>
  </si>
  <si>
    <t>Wiener medizinische Wochenschrift (1946)</t>
  </si>
  <si>
    <t>WIENER MEDIZINISCHE WOCHENSCHRIFT (1946)</t>
  </si>
  <si>
    <t>Wien Med Wochenschr</t>
  </si>
  <si>
    <t>Semimonthly, &lt;1979&gt;-2004</t>
  </si>
  <si>
    <t>0413007</t>
  </si>
  <si>
    <t>Wiener medizinische Wochenschrift. Supplement</t>
  </si>
  <si>
    <t>WIENER MEDIZINISCHE WOCHENSCHRIFT. SUPPLEMENT</t>
  </si>
  <si>
    <t>Wien Med Wochenschr Suppl</t>
  </si>
  <si>
    <t>03017826</t>
  </si>
  <si>
    <t>9505185</t>
  </si>
  <si>
    <t>Wilderness &amp; environmental medicine</t>
  </si>
  <si>
    <t>WILDERNESS &amp; ENVIRONMENTAL MEDICINE</t>
  </si>
  <si>
    <t>Wilderness Environ Med</t>
  </si>
  <si>
    <t>Continues: Journal of wilderness medicine.</t>
  </si>
  <si>
    <t>15451534</t>
  </si>
  <si>
    <t>10806032</t>
  </si>
  <si>
    <t>101576624</t>
  </si>
  <si>
    <t>Wiley interdisciplinary reviews. Developmental biology</t>
  </si>
  <si>
    <t>WILEY INTERDISCIPLINARY REVIEWS. DEVELOPMENTAL BIOLOGY</t>
  </si>
  <si>
    <t>Wiley Interdiscip Rev Dev Biol</t>
  </si>
  <si>
    <t>101508311</t>
  </si>
  <si>
    <t>Wiley interdisciplinary reviews. Nanomedicine and nanobiotechnology</t>
  </si>
  <si>
    <t>WILEY INTERDISCIPLINARY REVIEWS. NANOMEDICINE AND NANOBIOTECHNOLOGY</t>
  </si>
  <si>
    <t>Wiley Interdiscip Rev Nanomed Nanobiotechnol</t>
  </si>
  <si>
    <t>101536955</t>
  </si>
  <si>
    <t>Wiley interdisciplinary reviews. RNA</t>
  </si>
  <si>
    <t>WILEY INTERDISCIPLINARY REVIEWS. RNA</t>
  </si>
  <si>
    <t>Wiley Interdiscip Rev RNA</t>
  </si>
  <si>
    <t>101516550</t>
  </si>
  <si>
    <t>Wiley interdisciplinary reviews. Systems biology and medicine</t>
  </si>
  <si>
    <t>WILEY INTERDISCIPLINARY REVIEWS. SYSTEMS BIOLOGY AND MEDICINE</t>
  </si>
  <si>
    <t>Wiley Interdiscip Rev Syst Biol Med</t>
  </si>
  <si>
    <t>Computational Biology#Medical Informatics</t>
  </si>
  <si>
    <t>9607541</t>
  </si>
  <si>
    <t>Windows in time</t>
  </si>
  <si>
    <t>WINDOWS IN TIME</t>
  </si>
  <si>
    <t>Windows Time</t>
  </si>
  <si>
    <t>Center for Nursing Historical Inquiry, University of Virginia, School of Nursing</t>
  </si>
  <si>
    <t>History of Medicine#Nursing</t>
  </si>
  <si>
    <t>9716054</t>
  </si>
  <si>
    <t>WMJ : official publication of the State Medical Society of Wisconsin</t>
  </si>
  <si>
    <t>WMJ : OFFICIAL PUBLICATION OF THE STATE MEDICAL SOCIETY OF WISCONSIN</t>
  </si>
  <si>
    <t>WMJ</t>
  </si>
  <si>
    <t>Continues: Wisconsin medical journal.</t>
  </si>
  <si>
    <t>7608076</t>
  </si>
  <si>
    <t>Women &amp; health</t>
  </si>
  <si>
    <t>WOMEN &amp; HEALTH</t>
  </si>
  <si>
    <t>Women Health</t>
  </si>
  <si>
    <t>15410331</t>
  </si>
  <si>
    <t>03630242</t>
  </si>
  <si>
    <t>8 issues yearly, 2002-</t>
  </si>
  <si>
    <t>Gynecology#Obstetrics#Women's Health</t>
  </si>
  <si>
    <t>101266131</t>
  </si>
  <si>
    <t>Women and birth : journal of the Australian College of Midwives</t>
  </si>
  <si>
    <t>WOMEN AND BIRTH : JOURNAL OF THE AUSTRALIAN COLLEGE OF MIDWIVES</t>
  </si>
  <si>
    <t>Women Birth</t>
  </si>
  <si>
    <t>Continues: Australian journal of midwifery.</t>
  </si>
  <si>
    <t>101271249</t>
  </si>
  <si>
    <t>Women's health (London, England)</t>
  </si>
  <si>
    <t>WOMEN'S HEALTH (LONDON, ENGLAND)</t>
  </si>
  <si>
    <t>Womens Health (Lond Engl)</t>
  </si>
  <si>
    <t>9510047</t>
  </si>
  <si>
    <t>The women's health data book : a profile of women's health in the United States / [Jacob's Institute of Women's Health]</t>
  </si>
  <si>
    <t>WOMEN'S HEALTH DATA BOOK : A PROFILE OF WOMEN'S HEALTH IN THE UNITED STATES / [JACOB'S INSTITUTE OF WOMEN'S HEALTH]</t>
  </si>
  <si>
    <t>Womens Health Data Book</t>
  </si>
  <si>
    <t>15518841</t>
  </si>
  <si>
    <t>Jacobs Institute of Women's Health and The Henry J. Kaiser Family Foundation</t>
  </si>
  <si>
    <t>9101000</t>
  </si>
  <si>
    <t>Women's health issues : official publication of the Jacobs Institute of Women's Health</t>
  </si>
  <si>
    <t>WOMEN'S HEALTH ISSUES : OFFICIAL PUBLICATION OF THE JACOBS INSTITUTE OF WOMEN'S HEALTH</t>
  </si>
  <si>
    <t>Womens Health Issues</t>
  </si>
  <si>
    <t>9204382</t>
  </si>
  <si>
    <t>Work (Reading, Mass.)</t>
  </si>
  <si>
    <t>WORK (READING, MASS.)</t>
  </si>
  <si>
    <t>Work</t>
  </si>
  <si>
    <t>18759270</t>
  </si>
  <si>
    <t>10519815</t>
  </si>
  <si>
    <t>101575677</t>
  </si>
  <si>
    <t>Workplace health &amp; safety</t>
  </si>
  <si>
    <t>WORKPLACE HEALTH &amp; SAFETY</t>
  </si>
  <si>
    <t>Workplace Health Saf</t>
  </si>
  <si>
    <t>Continues: AAOHN journal.</t>
  </si>
  <si>
    <t>21650969</t>
  </si>
  <si>
    <t>21650799</t>
  </si>
  <si>
    <t>Slack, Inc.</t>
  </si>
  <si>
    <t>Nursing#Occupational Medicine</t>
  </si>
  <si>
    <t>101307691</t>
  </si>
  <si>
    <t>World health &amp; population</t>
  </si>
  <si>
    <t>WORLD HEALTH &amp; POPULATION</t>
  </si>
  <si>
    <t>World Health Popul</t>
  </si>
  <si>
    <t>Continues: Journal of health &amp; population in developing countries.</t>
  </si>
  <si>
    <t>17183340</t>
  </si>
  <si>
    <t>7903212</t>
  </si>
  <si>
    <t>World Health Organization technical report series</t>
  </si>
  <si>
    <t>WORLD HEALTH ORGANIZATION TECHNICAL REPORT SERIES</t>
  </si>
  <si>
    <t>World Health Organ Tech Rep Ser</t>
  </si>
  <si>
    <t>World Health Organization.</t>
  </si>
  <si>
    <t>9441450</t>
  </si>
  <si>
    <t>World hospitals and health services : the official journal of the International Hospital Federation</t>
  </si>
  <si>
    <t>WORLD HOSPITALS AND HEALTH SERVICES : THE OFFICIAL JOURNAL OF THE INTERNATIONAL HOSPITAL FEDERATION</t>
  </si>
  <si>
    <t>World Hosp Health Serv</t>
  </si>
  <si>
    <t>Absorbed: Hospitals international. Continues: World hospitals.</t>
  </si>
  <si>
    <t>10290540</t>
  </si>
  <si>
    <t>101518415</t>
  </si>
  <si>
    <t>World journal for pediatric &amp; congenital heart surgery</t>
  </si>
  <si>
    <t>WORLD JOURNAL FOR PEDIATRIC &amp; CONGENITAL HEART SURGERY</t>
  </si>
  <si>
    <t>World J Pediatr Congenit Heart Surg</t>
  </si>
  <si>
    <t>Cardiology#General Surgery#Pediatrics</t>
  </si>
  <si>
    <t>101120023</t>
  </si>
  <si>
    <t>The world journal of biological psychiatry : the official journal of the World Federation of Societies of Biological Psychiatry</t>
  </si>
  <si>
    <t>WORLD JOURNAL OF BIOLOGICAL PSYCHIATRY : THE OFFICIAL JOURNAL OF THE WORLD FEDERATION OF SOCIETIES OF BIOLOGICAL PSYCHIATRY</t>
  </si>
  <si>
    <t>World J Biol Psychiatry</t>
  </si>
  <si>
    <t>100883448</t>
  </si>
  <si>
    <t>World journal of gastroenterology : WJG</t>
  </si>
  <si>
    <t>WORLD JOURNAL OF GASTROENTEROLOGY : WJG</t>
  </si>
  <si>
    <t>World J Gastroenterol</t>
  </si>
  <si>
    <t>Continues: China national journal of new gastroenterology.</t>
  </si>
  <si>
    <t>9012472</t>
  </si>
  <si>
    <t>World journal of microbiology &amp; biotechnology</t>
  </si>
  <si>
    <t>WORLD JOURNAL OF MICROBIOLOGY &amp; BIOTECHNOLOGY</t>
  </si>
  <si>
    <t>World J Microbiol Biotechnol</t>
  </si>
  <si>
    <t>15730972</t>
  </si>
  <si>
    <t>09593993</t>
  </si>
  <si>
    <t>9 no. a year, 2000-</t>
  </si>
  <si>
    <t>101278599</t>
  </si>
  <si>
    <t>World journal of pediatrics : WJP</t>
  </si>
  <si>
    <t>WORLD JOURNAL OF PEDIATRICS : WJP</t>
  </si>
  <si>
    <t>World J Pediatr</t>
  </si>
  <si>
    <t>7704052</t>
  </si>
  <si>
    <t>World journal of surgery</t>
  </si>
  <si>
    <t>WORLD JOURNAL OF SURGERY</t>
  </si>
  <si>
    <t>World J Surg</t>
  </si>
  <si>
    <t>Supersedes Bulletin de la Société international de chirurgie.</t>
  </si>
  <si>
    <t>14322323</t>
  </si>
  <si>
    <t>03642313</t>
  </si>
  <si>
    <t>Nine no. a year, 1996-</t>
  </si>
  <si>
    <t>101170544</t>
  </si>
  <si>
    <t>World journal of surgical oncology</t>
  </si>
  <si>
    <t>WORLD JOURNAL OF SURGICAL ONCOLOGY</t>
  </si>
  <si>
    <t>World J Surg Oncol</t>
  </si>
  <si>
    <t>8307716</t>
  </si>
  <si>
    <t>World journal of urology</t>
  </si>
  <si>
    <t>WORLD JOURNAL OF UROLOGY</t>
  </si>
  <si>
    <t>World J Urol</t>
  </si>
  <si>
    <t>14338726</t>
  </si>
  <si>
    <t>07244983</t>
  </si>
  <si>
    <t>101528275</t>
  </si>
  <si>
    <t>World neurosurgery</t>
  </si>
  <si>
    <t>WORLD NEUROSURGERY</t>
  </si>
  <si>
    <t>World Neurosurg</t>
  </si>
  <si>
    <t>Continues: Surgical neurology.</t>
  </si>
  <si>
    <t>0117263</t>
  </si>
  <si>
    <t>World review of nutrition and dietetics</t>
  </si>
  <si>
    <t>WORLD REVIEW OF NUTRITION AND DIETETICS</t>
  </si>
  <si>
    <t>World Rev Nutr Diet</t>
  </si>
  <si>
    <t>16623975</t>
  </si>
  <si>
    <t>00842230</t>
  </si>
  <si>
    <t>101185267</t>
  </si>
  <si>
    <t>Worldviews on evidence-based nursing / Sigma Theta Tau International, Honor Society of Nursing</t>
  </si>
  <si>
    <t>WORLDVIEWS ON EVIDENCE-BASED NURSING / SIGMA THETA TAU INTERNATIONAL, HONOR SOCIETY OF NURSING</t>
  </si>
  <si>
    <t>Worldviews Evid Based Nurs</t>
  </si>
  <si>
    <t>Continues: Online journal of knowledge synthesis for nursing.</t>
  </si>
  <si>
    <t>17416787</t>
  </si>
  <si>
    <t>1545102X</t>
  </si>
  <si>
    <t>Blackwell Publishing Inc. for Sigma Theta Tau International</t>
  </si>
  <si>
    <t>101303985</t>
  </si>
  <si>
    <t>WormBook : the online review of C. elegans biology</t>
  </si>
  <si>
    <t>WORMBOOK : THE ONLINE REVIEW OF C. ELEGANS BIOLOGY</t>
  </si>
  <si>
    <t>WormBook</t>
  </si>
  <si>
    <t>15518507</t>
  </si>
  <si>
    <t>s.n.]</t>
  </si>
  <si>
    <t>Updated irregularly</t>
  </si>
  <si>
    <t>9310939</t>
  </si>
  <si>
    <t>Wound repair and regeneration : official publication of the Wound Healing Society [and] the European Tissue Repair Society</t>
  </si>
  <si>
    <t>WOUND REPAIR AND REGENERATION : OFFICIAL PUBLICATION OF THE WOUND HEALING SOCIETY [AND] THE EUROPEAN TISSUE REPAIR SOCIETY</t>
  </si>
  <si>
    <t>Wound Repair Regen</t>
  </si>
  <si>
    <t>8704998</t>
  </si>
  <si>
    <t>Würzburger medizinhistorische Mitteilungen / im Auftrage der Würzburger medizinhistorischen Gesellschaft und in Verbindung mit dem Institut für Geschichte der Medizin der Universität Würzburg</t>
  </si>
  <si>
    <t>WURZBURGER MEDIZINHISTORISCHE MITTEILUNGEN / IM AUFTRAGE DER WURZBURGER MEDIZINHISTORISCHEN GESELLSCHAFT UND IN VERBINDUNG MIT DEM INSTITUT FUR GESCHICHTE DER MEDIZIN DER UNIVERSITAT WURZBURG</t>
  </si>
  <si>
    <t>Wurzbg Medizinhist Mitt</t>
  </si>
  <si>
    <t>01775227</t>
  </si>
  <si>
    <t>Konigshausen Und Neumann</t>
  </si>
  <si>
    <t>1306665</t>
  </si>
  <si>
    <t>Xenobiotica; the fate of foreign compounds in biological systems</t>
  </si>
  <si>
    <t>XENOBIOTICA; THE FATE OF FOREIGN COMPOUNDS IN BIOLOGICAL SYSTEMS</t>
  </si>
  <si>
    <t>9438793</t>
  </si>
  <si>
    <t>XENOTRANSPLANTATION</t>
  </si>
  <si>
    <t>101139110</t>
  </si>
  <si>
    <t>Xi bao yu fen zi mian yi xue za zhi = Chinese journal of cellular and molecular immunology</t>
  </si>
  <si>
    <t>XI BAO YU FEN ZI MIAN YI XUE ZA ZHI = CHINESE JOURNAL OF CELLULAR AND MOLECULAR IMMUNOLOGY</t>
  </si>
  <si>
    <t>Xi Bao Yu Fen Zi Mian Yi Xue Za Zhi</t>
  </si>
  <si>
    <t>Continues: Dan ke long kang ti tong xun.</t>
  </si>
  <si>
    <t>10078738</t>
  </si>
  <si>
    <t>Xi bao yu fen zi mian yi xue za zhi bian ji bu</t>
  </si>
  <si>
    <t>0413613</t>
  </si>
  <si>
    <t>Yakugaku zasshi : Journal of the Pharmaceutical Society of Japan</t>
  </si>
  <si>
    <t>YAKUGAKU ZASSHI : JOURNAL OF THE PHARMACEUTICAL SOCIETY OF JAPAN</t>
  </si>
  <si>
    <t>Nihon Yakugakkai</t>
  </si>
  <si>
    <t>1881</t>
  </si>
  <si>
    <t>1267223</t>
  </si>
  <si>
    <t>Yakushigaku zasshi. The Journal of Japanese history of pharmacy</t>
  </si>
  <si>
    <t>YAKUSHIGAKU ZASSHI. THE JOURNAL OF JAPANESE HISTORY OF PHARMACY</t>
  </si>
  <si>
    <t>Yakushigaku Zasshi</t>
  </si>
  <si>
    <t>02852314</t>
  </si>
  <si>
    <t>Nippon Yakushi Gakkai.</t>
  </si>
  <si>
    <t>0417414</t>
  </si>
  <si>
    <t>The Yale journal of biology and medicine</t>
  </si>
  <si>
    <t>YALE JOURNAL OF BIOLOGY AND MEDICINE</t>
  </si>
  <si>
    <t>Yale J Biol Med</t>
  </si>
  <si>
    <t>15514056</t>
  </si>
  <si>
    <t>101134827</t>
  </si>
  <si>
    <t>Yale journal of health policy, law, and ethics</t>
  </si>
  <si>
    <t>YALE JOURNAL OF HEALTH POLICY, LAW, AND ETHICS</t>
  </si>
  <si>
    <t>Yale J Health Policy Law Ethics</t>
  </si>
  <si>
    <t>15353532</t>
  </si>
  <si>
    <t>Yale Law School</t>
  </si>
  <si>
    <t>Ethics#Jurisprudence#Public Health</t>
  </si>
  <si>
    <t>21710340R</t>
  </si>
  <si>
    <t>Yao xue xue bao = Acta pharmaceutica Sinica</t>
  </si>
  <si>
    <t>YAO XUE XUE BAO = ACTA PHARMACEUTICA SINICA</t>
  </si>
  <si>
    <t>Yao Xue Xue Bao</t>
  </si>
  <si>
    <t>Supersedes Zhongguo yao xue za zhi.</t>
  </si>
  <si>
    <t>Zhongguo yao xue hui</t>
  </si>
  <si>
    <t>9312666</t>
  </si>
  <si>
    <t>Yearbook of medical informatics</t>
  </si>
  <si>
    <t>YEARBOOK OF MEDICAL INFORMATICS</t>
  </si>
  <si>
    <t>Yearb Med Inform</t>
  </si>
  <si>
    <t>09434747</t>
  </si>
  <si>
    <t>Schattauer ; Geneva : IMIA</t>
  </si>
  <si>
    <t>8607637</t>
  </si>
  <si>
    <t>Yeast (Chichester, England)</t>
  </si>
  <si>
    <t>YEAST (CHICHESTER, ENGLAND)</t>
  </si>
  <si>
    <t>Monthly plus one additional issued in Jan., Apr., July, and Oct., &lt;2005-&gt;</t>
  </si>
  <si>
    <t>9703828</t>
  </si>
  <si>
    <t>Yeni tıp tarihi araştırmaları = The new history of medicine studies</t>
  </si>
  <si>
    <t>YENI TIP TARIHI ARASTIRMALARI = THE NEW HISTORY OF MEDICINE STUDIES</t>
  </si>
  <si>
    <t>Yeni Tip Tarihi Arastirmalari</t>
  </si>
  <si>
    <t>1300669X</t>
  </si>
  <si>
    <t>İlsan İltaş</t>
  </si>
  <si>
    <t>9436478</t>
  </si>
  <si>
    <t>Yi chuan = Hereditas / Zhongguo yi chuan xue hui bian ji</t>
  </si>
  <si>
    <t>YI CHUAN = HEREDITAS / ZHONGGUO YI CHUAN XUE HUI BIAN JI</t>
  </si>
  <si>
    <t>Yi Chuan</t>
  </si>
  <si>
    <t>02539772</t>
  </si>
  <si>
    <t>9425159</t>
  </si>
  <si>
    <t>Ying yong sheng tai xue bao = The journal of applied ecology / Zhongguo sheng tai xue xue hui, Zhongguo ke xue yuan Shenyang ying yong sheng tai yan jiu suo zhu ban</t>
  </si>
  <si>
    <t>YING YONG SHENG TAI XUE BAO = THE JOURNAL OF APPLIED ECOLOGY / ZHONGGUO SHENG TAI XUE XUE HUI, ZHONGGUO KE XUE YUAN SHENYANG YING YONG SHENG TAI YAN JIU SUO ZHU BAN</t>
  </si>
  <si>
    <t>Ying Yong Sheng Tai Xue Bao</t>
  </si>
  <si>
    <t>10019332</t>
  </si>
  <si>
    <t>Ying yong sheng tai xue bao bian ji wei yuan hui</t>
  </si>
  <si>
    <t>0414003</t>
  </si>
  <si>
    <t>Yonsei medical journal</t>
  </si>
  <si>
    <t>YONSEI MEDICAL JOURNAL</t>
  </si>
  <si>
    <t>Yonsei Med J</t>
  </si>
  <si>
    <t>19762437</t>
  </si>
  <si>
    <t>Yonsei University</t>
  </si>
  <si>
    <t>101225070</t>
  </si>
  <si>
    <t>Zebrafish</t>
  </si>
  <si>
    <t>ZEBRAFISH</t>
  </si>
  <si>
    <t>15578542</t>
  </si>
  <si>
    <t>15458547</t>
  </si>
  <si>
    <t>101477604</t>
  </si>
  <si>
    <t>Zeitschrift für Evidenz, Fortbildung und Qualität im Gesundheitswesen</t>
  </si>
  <si>
    <t>ZEITSCHRIFT FUR EVIDENZ, FORTBILDUNG UND QUALITAT IM GESUNDHEITSWESEN</t>
  </si>
  <si>
    <t>Z Evid Fortbild Qual Gesundhwes</t>
  </si>
  <si>
    <t>Continues: Zeitschrift für ärztliche Fortbildung und Qualitätssicherung.</t>
  </si>
  <si>
    <t>22120289</t>
  </si>
  <si>
    <t>18659217</t>
  </si>
  <si>
    <t>Elsevier Urban &amp; Fischer</t>
  </si>
  <si>
    <t>0033370</t>
  </si>
  <si>
    <t>Zeitschrift für Gastroenterologie</t>
  </si>
  <si>
    <t>ZEITSCHRIFT FUR GASTROENTEROLOGIE</t>
  </si>
  <si>
    <t>Z Gastroenterol</t>
  </si>
  <si>
    <t>Karl Demeter Verlag</t>
  </si>
  <si>
    <t>9508901</t>
  </si>
  <si>
    <t>Zeitschrift für Geburtshilfe und Neonatologie</t>
  </si>
  <si>
    <t>ZEITSCHRIFT FUR GEBURTSHILFE UND NEONATOLOGIE</t>
  </si>
  <si>
    <t>Z Geburtshilfe Neonatol</t>
  </si>
  <si>
    <t>Continues: Zeitschrift für Geburtshilfe und Perinatologie.</t>
  </si>
  <si>
    <t>14391651</t>
  </si>
  <si>
    <t>09482393</t>
  </si>
  <si>
    <t>9506215</t>
  </si>
  <si>
    <t>Zeitschrift für Gerontologie und Geriatrie</t>
  </si>
  <si>
    <t>ZEITSCHRIFT FUR GERONTOLOGIE UND GERIATRIE</t>
  </si>
  <si>
    <t>Z Gerontol Geriatr</t>
  </si>
  <si>
    <t>Continues: Zeitschrift für Gerontologie.</t>
  </si>
  <si>
    <t>14351269</t>
  </si>
  <si>
    <t>09486704</t>
  </si>
  <si>
    <t>9801717</t>
  </si>
  <si>
    <t>Zeitschrift für Kinder- und Jugendpsychiatrie und Psychotherapie</t>
  </si>
  <si>
    <t>ZEITSCHRIFT FUR KINDER- UND JUGENDPSYCHIATRIE UND PSYCHOTHERAPIE</t>
  </si>
  <si>
    <t>Z Kinder Jugendpsychiatr Psychother</t>
  </si>
  <si>
    <t>Continues: Zeitschrift für Kinder- und Jugendpsychiatrie.</t>
  </si>
  <si>
    <t>Verlag Hans Huber</t>
  </si>
  <si>
    <t>100886455</t>
  </si>
  <si>
    <t>Zeitschrift für medizinische Physik</t>
  </si>
  <si>
    <t>ZEITSCHRIFT FUR MEDIZINISCHE PHYSIK</t>
  </si>
  <si>
    <t>Z Med Phys</t>
  </si>
  <si>
    <t>8912155</t>
  </si>
  <si>
    <t>Zeitschrift für Naturforschung. C, Journal of biosciences</t>
  </si>
  <si>
    <t>ZEITSCHRIFT FUR NATURFORSCHUNG. C, JOURNAL OF BIOSCIENCES</t>
  </si>
  <si>
    <t>Z Naturforsch C</t>
  </si>
  <si>
    <t>Continues: Zeitschrift für Naturforschung. Section C, Biosciences.</t>
  </si>
  <si>
    <t>18657125</t>
  </si>
  <si>
    <t>09395075</t>
  </si>
  <si>
    <t>03410382</t>
  </si>
  <si>
    <t>Verlag der Zeitschrift für Naturforschung</t>
  </si>
  <si>
    <t>101308227</t>
  </si>
  <si>
    <t>Zeitschrift für Orthopädie und Unfallchirurgie</t>
  </si>
  <si>
    <t>Z Orthop Unfall</t>
  </si>
  <si>
    <t>Continues: Zeitschrift für Orthopädie und ihre Grenzgebiete. Absorbed: Aktuelle Traumatologie.</t>
  </si>
  <si>
    <t>18646743</t>
  </si>
  <si>
    <t>18646697</t>
  </si>
  <si>
    <t>100886617</t>
  </si>
  <si>
    <t>Zeitschrift für Psychosomatische Medizin und Psychotherapie</t>
  </si>
  <si>
    <t>ZEITSCHRIFT FUR PSYCHOSOMATISCHE MEDIZIN UND PSYCHOTHERAPIE</t>
  </si>
  <si>
    <t>Z Psychosom Med Psychother</t>
  </si>
  <si>
    <t>Continues: Zeitschrift für Psychosomatische Medizin und Psychoanalyse.</t>
  </si>
  <si>
    <t>21968349</t>
  </si>
  <si>
    <t>Vandenhoeck &amp; Ruprecht</t>
  </si>
  <si>
    <t>0414162</t>
  </si>
  <si>
    <t>Zeitschrift für Rheumatologie</t>
  </si>
  <si>
    <t>ZEITSCHRIFT FUR RHEUMATOLOGIE</t>
  </si>
  <si>
    <t>Z Rheumatol</t>
  </si>
  <si>
    <t>Continues: Zeitschrift für Rheumaforschung.</t>
  </si>
  <si>
    <t>10 no. a year, 2009-</t>
  </si>
  <si>
    <t>0413645</t>
  </si>
  <si>
    <t>Zentralblatt für Chirurgie</t>
  </si>
  <si>
    <t>ZENTRALBLATT FUR CHIRURGIE</t>
  </si>
  <si>
    <t>Zentralbl Chir</t>
  </si>
  <si>
    <t>Absorbed: Viszeralchirurgie.</t>
  </si>
  <si>
    <t>14389592</t>
  </si>
  <si>
    <t>0044409X</t>
  </si>
  <si>
    <t>100927946</t>
  </si>
  <si>
    <t>Zhejiang da xue xue bao. Yi xue ban = Journal of Zhejiang University. Medical sciences</t>
  </si>
  <si>
    <t>ZHEJIANG DA XUE XUE BAO. YI XUE BAN = JOURNAL OF ZHEJIANG UNIVERSITY. MEDICAL SCIENCES</t>
  </si>
  <si>
    <t>Zhejiang Da Xue Xue Bao Yi Xue Ban</t>
  </si>
  <si>
    <t>Continues: Zhejiang yi ke da xue xue bao.</t>
  </si>
  <si>
    <t>10089292</t>
  </si>
  <si>
    <t>Zhejiang da xue xue bao bian ji bu</t>
  </si>
  <si>
    <t>8507710</t>
  </si>
  <si>
    <t>Zhen ci yan jiu = Acupuncture research / [Zhongguo yi xue ke xue yuan Yi xue qing bao yan jiu suo bian ji]</t>
  </si>
  <si>
    <t>ZHEN CI YAN JIU = ACUPUNCTURE RESEARCH / [ZHONGGUO YI XUE KE XUE YUAN YI XUE QING BAO YAN JIU SUO BIAN JI]</t>
  </si>
  <si>
    <t>Zhen Ci Yan Jiu</t>
  </si>
  <si>
    <t>Continues: Zhen ci ma zui.</t>
  </si>
  <si>
    <t>10000607</t>
  </si>
  <si>
    <t>Institute Of Acupuncture And Moxibustion</t>
  </si>
  <si>
    <t>101230586</t>
  </si>
  <si>
    <t>Zhong nan da xue xue bao. Yi xue ban = Journal of Central South University. Medical sciences</t>
  </si>
  <si>
    <t>ZHONG NAN DA XUE XUE BAO. YI XUE BAN = JOURNAL OF CENTRAL SOUTH UNIVERSITY. MEDICAL SCIENCES</t>
  </si>
  <si>
    <t>Zhong Nan Da Xue Xue Bao Yi Xue Ban</t>
  </si>
  <si>
    <t>Continues: Hunan yi ke da xue xue bao.</t>
  </si>
  <si>
    <t>16727347</t>
  </si>
  <si>
    <t>"Zhong nan da xue xue bao (yi xue ban)" bian ji bu</t>
  </si>
  <si>
    <t>9426370</t>
  </si>
  <si>
    <t>Zhong yao cai = Zhongyaocai = Journal of Chinese medicinal materials</t>
  </si>
  <si>
    <t>ZHONG YAO CAI = ZHONGYAOCAI = JOURNAL OF CHINESE MEDICINAL MATERIALS</t>
  </si>
  <si>
    <t>Zhong Yao Cai</t>
  </si>
  <si>
    <t>10014454</t>
  </si>
  <si>
    <t>Guo jia yi yao guan li ju Zhong yao cai qing bao zhong xin zhan</t>
  </si>
  <si>
    <t>100909956</t>
  </si>
  <si>
    <t>Zhongguo dang dai er ke za zhi = Chinese journal of contemporary pediatrics</t>
  </si>
  <si>
    <t>ZHONGGUO DANG DAI ER KE ZA ZHI = CHINESE JOURNAL OF CONTEMPORARY PEDIATRICS</t>
  </si>
  <si>
    <t>Zhongguo Dang Dai Er Ke Za Zhi</t>
  </si>
  <si>
    <t>Zhongguo dang dai er ke za zhi she</t>
  </si>
  <si>
    <t>101126433</t>
  </si>
  <si>
    <t>Zhongguo fei ai za zhi = Chinese journal of lung cancer</t>
  </si>
  <si>
    <t>ZHONGGUO FEI AI ZA ZHI = CHINESE JOURNAL OF LUNG CANCER</t>
  </si>
  <si>
    <t>Zhongguo Fei Ai Za Zhi</t>
  </si>
  <si>
    <t>Zhongguo fei ai za zhi bian ji wei yuan hui</t>
  </si>
  <si>
    <t>9815790</t>
  </si>
  <si>
    <t>Zhongguo gu shang = China journal of orthopaedics and traumatology</t>
  </si>
  <si>
    <t>ZHONGGUO GU SHANG = CHINA JOURNAL OF ORTHOPAEDICS AND TRAUMATOLOGY</t>
  </si>
  <si>
    <t>Zhongguo Gu Shang</t>
  </si>
  <si>
    <t>10030034</t>
  </si>
  <si>
    <t>"Zhongguo gu shang" bian ji bu</t>
  </si>
  <si>
    <t>8709992</t>
  </si>
  <si>
    <t>Zhongguo ji sheng chong xue yu ji sheng chong bing za zhi = Chinese journal of parasitology &amp; parasitic diseases</t>
  </si>
  <si>
    <t>ZHONGGUO JI SHENG CHONG XUE YU JI SHENG CHONG BING ZA ZHI = CHINESE JOURNAL OF PARASITOLOGY &amp; PARASITIC DISEASES</t>
  </si>
  <si>
    <t>Zhongguo Ji Sheng Chong Xue Yu Ji Sheng Chong Bing Za Zhi</t>
  </si>
  <si>
    <t>Continues: Ji sheng chong xue yu ji sheng chong bing za zhi.</t>
  </si>
  <si>
    <t>10007423</t>
  </si>
  <si>
    <t>Institute Of Parasitic Diseases, Chinese Academy Of Preventive Medicine</t>
  </si>
  <si>
    <t>101084424</t>
  </si>
  <si>
    <t>Zhongguo shi yan xue ye xue za zhi / Zhongguo bing li sheng li xue hui = Journal of experimental hematology / Chinese Association of Pathophysiology</t>
  </si>
  <si>
    <t>ZHONGGUO SHI YAN XUE YE XUE ZA ZHI / ZHONGGUO BING LI SHENG LI XUE HUI = JOURNAL OF EXPERIMENTAL HEMATOLOGY / CHINESE ASSOCIATION OF PATHOPHYSIOLOGY</t>
  </si>
  <si>
    <t>Zhongguo Shi Yan Xue Ye Xue Za Zhi</t>
  </si>
  <si>
    <t>10092137</t>
  </si>
  <si>
    <t>Zhongguo shi yan xue za zhi she</t>
  </si>
  <si>
    <t>9425194</t>
  </si>
  <si>
    <t>Zhongguo xiu fu chong jian wai ke za zhi = Zhongguo xiufu chongjian waike zazhi = Chinese journal of reparative and reconstructive surgery</t>
  </si>
  <si>
    <t>ZHONGGUO XIU FU CHONG JIAN WAI KE ZA ZHI = ZHONGGUO XIUFU CHONGJIAN WAIKE ZAZHI = CHINESE JOURNAL OF REPARATIVE AND RECONSTRUCTIVE SURGERY</t>
  </si>
  <si>
    <t>Zhongguo Xiu Fu Chong Jian Wai Ke Za Zhi</t>
  </si>
  <si>
    <t>Continues: Xiu fu chong jian wai ke za zhi.</t>
  </si>
  <si>
    <t>10021892</t>
  </si>
  <si>
    <t>Hua xi yi ke da xue Fu shu di 1 yi yuan</t>
  </si>
  <si>
    <t>101144973</t>
  </si>
  <si>
    <t>Zhongguo xue xi chong bing fang zhi za zhi = Chinese journal of schistosomiasis control</t>
  </si>
  <si>
    <t>ZHONGGUO XUE XI CHONG BING FANG ZHI ZA ZHI = CHINESE JOURNAL OF SCHISTOSOMIASIS CONTROL</t>
  </si>
  <si>
    <t>Zhongguo Xue Xi Chong Bing Fang Zhi Za Zhi</t>
  </si>
  <si>
    <t>Zhongguo xue xi chong bing fang zhi za zhi bian ji bu</t>
  </si>
  <si>
    <t>9426153</t>
  </si>
  <si>
    <t>Zhongguo yi liao qi xie za zhi = Chinese journal of medical instrumentation</t>
  </si>
  <si>
    <t>ZHONGGUO YI LIAO QI XIE ZA ZHI = CHINESE JOURNAL OF MEDICAL INSTRUMENTATION</t>
  </si>
  <si>
    <t>Zhongguo Yi Liao Qi Xie Za Zhi</t>
  </si>
  <si>
    <t>Continues: Yiliao qixie.</t>
  </si>
  <si>
    <t>16717104</t>
  </si>
  <si>
    <t>Guo jia yi yao guan li ju Yi liao qi xie qing bao zhong xin zhan</t>
  </si>
  <si>
    <t>101545586</t>
  </si>
  <si>
    <t>Zhongguo yi miao he mian yi</t>
  </si>
  <si>
    <t>ZHONGGUO YI MIAO HE MIAN YI</t>
  </si>
  <si>
    <t>Zhongguo Yi Miao He Mian Yi</t>
  </si>
  <si>
    <t>Continues: Zhongguo ji hua mian yi.</t>
  </si>
  <si>
    <t>1006916X</t>
  </si>
  <si>
    <t>Zhongguo ji bing yu fang kong zhi zhong xin</t>
  </si>
  <si>
    <t>8006230</t>
  </si>
  <si>
    <t>Zhongguo yi xue ke xue yuan xue bao. Acta Academiae Medicinae Sinicae</t>
  </si>
  <si>
    <t>ZHONGGUO YI XUE KE XUE YUAN XUE BAO. ACTA ACADEMIAE MEDICINAE SINICAE</t>
  </si>
  <si>
    <t>Zhongguo Yi Xue Ke Xue Yuan Xue Bao</t>
  </si>
  <si>
    <t>Zhongguo yi xue ke xue yuan</t>
  </si>
  <si>
    <t>9426407</t>
  </si>
  <si>
    <t>Zhongguo ying yong sheng li xue za zhi = Zhongguo yingyong shenglixue zazhi = Chinese journal of applied physiology</t>
  </si>
  <si>
    <t>ZHONGGUO YING YONG SHENG LI XUE ZA ZHI = ZHONGGUO YINGYONG SHENGLIXUE ZAZHI = CHINESE JOURNAL OF APPLIED PHYSIOLOGY</t>
  </si>
  <si>
    <t>Zhongguo Ying Yong Sheng Li Xue Za Zhi</t>
  </si>
  <si>
    <t>10006834</t>
  </si>
  <si>
    <t>Zhongguo ying yong sheng li xue za zhi bian ji bu</t>
  </si>
  <si>
    <t>8600658</t>
  </si>
  <si>
    <t>Zhongguo zhen jiu = Chinese acupuncture &amp; moxibustion</t>
  </si>
  <si>
    <t>ZHONGGUO ZHEN JIU = CHINESE ACUPUNCTURE &amp; MOXIBUSTION</t>
  </si>
  <si>
    <t>Zhongguo Zhen Jiu</t>
  </si>
  <si>
    <t>02552930</t>
  </si>
  <si>
    <t>Guoji Shudian</t>
  </si>
  <si>
    <t>9211576</t>
  </si>
  <si>
    <t>Zhongguo Zhong xi yi jie he za zhi Zhongguo Zhongxiyi jiehe zazhi = Chinese journal of integrated traditional and Western medicine / Zhongguo Zhong xi yi jie he xue hui, Zhongguo Zhong yi yan jiu yuan zhu ban</t>
  </si>
  <si>
    <t>ZHONGGUO ZHONG XI YI JIE HE ZA ZHI ZHONGGUO ZHONGXIYI JIEHE ZAZHI = CHINESE JOURNAL OF INTEGRATED TRADITIONAL AND WESTERN MEDICINE / ZHONGGUO ZHONG XI YI JIE HE XUE HUI, ZHONGGUO ZHONG YI YAN JIU YUAN ZHU BAN</t>
  </si>
  <si>
    <t>Zhongguo Zhong Xi Yi Jie He Za Zhi</t>
  </si>
  <si>
    <t>Continues: Zhong xi yi jie he za zhi.</t>
  </si>
  <si>
    <t>10035370</t>
  </si>
  <si>
    <t>Gai yan jiu yuan</t>
  </si>
  <si>
    <t>8913656</t>
  </si>
  <si>
    <t>Zhongguo Zhong yao za zhi = Zhongguo zhongyao zazhi = China journal of Chinese materia medica</t>
  </si>
  <si>
    <t>ZHONGGUO ZHONG YAO ZA ZHI = ZHONGGUO ZHONGYAO ZAZHI = CHINA JOURNAL OF CHINESE MATERIA MEDICA</t>
  </si>
  <si>
    <t>Zhongguo Zhong Yao Za Zhi</t>
  </si>
  <si>
    <t>Continues: Zhong yao tong bao (Beijing, China : 1981).</t>
  </si>
  <si>
    <t>Zhongguo yao xue hui : Zhongguo Zhong yi yan jiu yuan Zhong yao yan jiu suo</t>
  </si>
  <si>
    <t>Complementary Therapies#Pharmacology</t>
  </si>
  <si>
    <t>0005331</t>
  </si>
  <si>
    <t>Zhonghua bing li xue za zhi Chinese journal of pathology</t>
  </si>
  <si>
    <t>ZHONGHUA BING LI XUE ZA ZHI CHINESE JOURNAL OF PATHOLOGY</t>
  </si>
  <si>
    <t>Zhonghua Bing Li Xue Za Zhi</t>
  </si>
  <si>
    <t>05295807</t>
  </si>
  <si>
    <t>101247574</t>
  </si>
  <si>
    <t>Zhonghua er bi yan hou tou jing wai ke za zhi = Chinese journal of otorhinolaryngology head and neck surgery</t>
  </si>
  <si>
    <t>ZHONGHUA ER BI YAN HOU TOU JING WAI KE ZA ZHI = CHINESE JOURNAL OF OTORHINOLARYNGOLOGY HEAD AND NECK SURGERY</t>
  </si>
  <si>
    <t>Zhonghua Er Bi Yan Hou Tou Jing Wai Ke Za Zhi</t>
  </si>
  <si>
    <t>Continues: Zhonghua er bi yan hou ke za zhi.</t>
  </si>
  <si>
    <t>16730860</t>
  </si>
  <si>
    <t>Zhonghua yi xue hui za zhi she</t>
  </si>
  <si>
    <t>0417427</t>
  </si>
  <si>
    <t>Zhonghua er ke za zhi. Chinese journal of pediatrics</t>
  </si>
  <si>
    <t>ZHONGHUA ER KE ZA ZHI. CHINESE JOURNAL OF PEDIATRICS</t>
  </si>
  <si>
    <t>Zhonghua Er Ke Za Zhi</t>
  </si>
  <si>
    <t>05781310</t>
  </si>
  <si>
    <t>16210370R</t>
  </si>
  <si>
    <t>Zhonghua fu chan ke za zhi</t>
  </si>
  <si>
    <t>ZHONGHUA FU CHAN KE ZA ZHI</t>
  </si>
  <si>
    <t>Zhonghua Fu Chan Ke Za Zhi</t>
  </si>
  <si>
    <t>0529567X</t>
  </si>
  <si>
    <t>9710009</t>
  </si>
  <si>
    <t>Zhonghua gan zang bing za zhi = Zhonghua ganzangbing zazhi = Chinese journal of hepatology</t>
  </si>
  <si>
    <t>ZHONGHUA GAN ZANG BING ZA ZHI = ZHONGHUA GANZANGBING ZAZHI = CHINESE JOURNAL OF HEPATOLOGY</t>
  </si>
  <si>
    <t>Zhonghua Gan Zang Bing Za Zhi</t>
  </si>
  <si>
    <t>10073418</t>
  </si>
  <si>
    <t>Chongqing yi ke da xue, di 2 lin chuang xue yuan Bing du xing gan yan yan jiu suo</t>
  </si>
  <si>
    <t>8712226</t>
  </si>
  <si>
    <t>Zhonghua jie he he hu xi za zhi = Zhonghua jiehe he huxi zazhi = Chinese journal of tuberculosis and respiratory diseases</t>
  </si>
  <si>
    <t>ZHONGHUA JIE HE HE HU XI ZA ZHI = ZHONGHUA JIEHE HE HUXI ZAZHI = CHINESE JOURNAL OF TUBERCULOSIS AND RESPIRATORY DISEASES</t>
  </si>
  <si>
    <t>Zhonghua Jie He He Hu Xi Za Zhi</t>
  </si>
  <si>
    <t>Continues: Zhonghua jie he he hu xi xi ji bing za zhi.</t>
  </si>
  <si>
    <t>10010939</t>
  </si>
  <si>
    <t>8711066</t>
  </si>
  <si>
    <t>Zhonghua kou qiang yi xue za zhi = Zhonghua kouqiang yixue zazhi = Chinese journal of stomatology</t>
  </si>
  <si>
    <t>ZHONGHUA KOU QIANG YI XUE ZA ZHI = ZHONGHUA KOUQIANG YIXUE ZAZHI = CHINESE JOURNAL OF STOMATOLOGY</t>
  </si>
  <si>
    <t>Zhonghua Kou Qiang Yi Xue Za Zhi</t>
  </si>
  <si>
    <t>Continues: Zhonghua kou qiang ke za zhi.</t>
  </si>
  <si>
    <t>10020098</t>
  </si>
  <si>
    <t>8410840</t>
  </si>
  <si>
    <t>Zhonghua lao dong wei sheng zhi ye bing za zhi = Zhonghua laodong weisheng zhiyebing zazhi = Chinese journal of industrial hygiene and occupational diseases</t>
  </si>
  <si>
    <t>ZHONGHUA LAO DONG WEI SHENG ZHI YE BING ZA ZHI = ZHONGHUA LAODONG WEISHENG ZHIYEBING ZAZHI = CHINESE JOURNAL OF INDUSTRIAL HYGIENE AND OCCUPATIONAL DISEASES</t>
  </si>
  <si>
    <t>Zhonghua Lao Dong Wei Sheng Zhi Ye Bing Za Zhi</t>
  </si>
  <si>
    <t>10019391</t>
  </si>
  <si>
    <t>Tianjin shi lao dong wei sheng yan jiu suo ; Tianjin shi lao dong wei sheng huan jing yi xue hui</t>
  </si>
  <si>
    <t>8208604</t>
  </si>
  <si>
    <t>Zhonghua liu xing bing xue za zhi = Zhonghua liuxingbingxue zazhi</t>
  </si>
  <si>
    <t>ZHONGHUA LIU XING BING XUE ZA ZHI = ZHONGHUA LIUXINGBINGXUE ZAZHI</t>
  </si>
  <si>
    <t>Zhonghua Liu Xing Bing Xue Za Zhi</t>
  </si>
  <si>
    <t>Continues: Liu xing bing xue za zhi.</t>
  </si>
  <si>
    <t>02546450</t>
  </si>
  <si>
    <t>Zhonghua yi xue hui; Zhongguo yi xue ke xue yuan Liu xing bing xue wei sheng wu xue yan jiu suo</t>
  </si>
  <si>
    <t>101093592</t>
  </si>
  <si>
    <t>Zhonghua nan ke xue = National journal of andrology</t>
  </si>
  <si>
    <t>ZHONGHUA NAN KE XUE = NATIONAL JOURNAL OF ANDROLOGY</t>
  </si>
  <si>
    <t>Zhonghua Nan Ke Xue</t>
  </si>
  <si>
    <t>10093591</t>
  </si>
  <si>
    <t>Nanjing Jun Qu Nanjing Zong Yi Yuan zhu ban, Zhonghua Nan Ke Xue Za Zhi Bian Ji Bu bian ji chu ban</t>
  </si>
  <si>
    <t>Bimonthly, &lt;2002-&gt;</t>
  </si>
  <si>
    <t>16210490R</t>
  </si>
  <si>
    <t>Zhonghua nei ke za zhi</t>
  </si>
  <si>
    <t>ZHONGHUA NEI KE ZA ZHI</t>
  </si>
  <si>
    <t>Zhonghua Nei Ke Za Zhi</t>
  </si>
  <si>
    <t>Supersedes Nei ke xue bao.</t>
  </si>
  <si>
    <t>05781426</t>
  </si>
  <si>
    <t>Zhonghua yi xue hui</t>
  </si>
  <si>
    <t>100959418</t>
  </si>
  <si>
    <t>Zhonghua shao shang za zhi = Zhonghua shaoshang zazhi = Chinese journal of burns</t>
  </si>
  <si>
    <t>ZHONGHUA SHAO SHANG ZA ZHI = ZHONGHUA SHAOSHANG ZAZHI = CHINESE JOURNAL OF BURNS</t>
  </si>
  <si>
    <t>Zhonghua Shao Shang Za Zhi</t>
  </si>
  <si>
    <t>Continues in part: Zhonghua zheng xing shao shang wai ke za zhi.</t>
  </si>
  <si>
    <t>9602873</t>
  </si>
  <si>
    <t>Zhonghua shi yan he lin chuang bing du xue za zhi = Zhonghua shiyan he linchuang bingduxue zazhi = Chinese journal of experimental and clinical virology</t>
  </si>
  <si>
    <t>ZHONGHUA SHI YAN HE LIN CHUANG BING DU XUE ZA ZHI = ZHONGHUA SHIYAN HE LINCHUANG BINGDUXUE ZAZHI = CHINESE JOURNAL OF EXPERIMENTAL AND CLINICAL VIROLOGY</t>
  </si>
  <si>
    <t>Zhonghua Shi Yan He Lin Chuang Bing Du Xue Za Zhi</t>
  </si>
  <si>
    <t>10039279</t>
  </si>
  <si>
    <t>Chinese Society Of Medical Virology</t>
  </si>
  <si>
    <t>0153611</t>
  </si>
  <si>
    <t>Zhonghua wai ke za zhi [Chinese journal of surgery]</t>
  </si>
  <si>
    <t>ZHONGHUA WAI KE ZA ZHI [CHINESE JOURNAL OF SURGERY]</t>
  </si>
  <si>
    <t>Zhonghua Wai Ke Za Zhi</t>
  </si>
  <si>
    <t>05295815</t>
  </si>
  <si>
    <t>Zhonghua yi xue hui, Wai ke xue hui</t>
  </si>
  <si>
    <t>101177990</t>
  </si>
  <si>
    <t>Zhonghua wei chang wai ke za zhi = Chinese journal of gastrointestinal surgery</t>
  </si>
  <si>
    <t>ZHONGHUA WEI CHANG WAI KE ZA ZHI = CHINESE JOURNAL OF GASTROINTESTINAL SURGERY</t>
  </si>
  <si>
    <t>Zhonghua Wei Chang Wai Ke Za Zhi</t>
  </si>
  <si>
    <t>Continues: Zhongguo wei chang wai ke za zhi.</t>
  </si>
  <si>
    <t>16710274</t>
  </si>
  <si>
    <t>Zhongshan da xue</t>
  </si>
  <si>
    <t>101604552</t>
  </si>
  <si>
    <t>Zhonghua wei zhong bing ji jiu yi xue</t>
  </si>
  <si>
    <t>ZHONGHUA WEI ZHONG BING JI JIU YI XUE</t>
  </si>
  <si>
    <t>Zhonghua Wei Zhong Bing Ji Jiu Yi Xue</t>
  </si>
  <si>
    <t>Continues: Zhongguo wei zhong bing ji jiu yi xue.</t>
  </si>
  <si>
    <t>20954352</t>
  </si>
  <si>
    <t>Critical Care#Emergency Medicine</t>
  </si>
  <si>
    <t>7910682</t>
  </si>
  <si>
    <t>Zhonghua xin xue guan bing za zhi</t>
  </si>
  <si>
    <t>ZHONGHUA XIN XUE GUAN BING ZA ZHI</t>
  </si>
  <si>
    <t>Zhonghua Xin Xue Guan Bing Za Zhi</t>
  </si>
  <si>
    <t>8212398</t>
  </si>
  <si>
    <t>Zhonghua xue ye xue za zhi = Zhonghua xueyexue zazhi</t>
  </si>
  <si>
    <t>ZHONGHUA XUE YE XUE ZA ZHI = ZHONGHUA XUEYEXUE ZAZHI</t>
  </si>
  <si>
    <t>Zhonghua Xue Ye Xue Za Zhi</t>
  </si>
  <si>
    <t>02532727</t>
  </si>
  <si>
    <t>Zhongguo yi xue ke xue yuan.</t>
  </si>
  <si>
    <t>16210540R</t>
  </si>
  <si>
    <t>[Zhonghua yan ke za zhi] Chinese journal of ophthalmology</t>
  </si>
  <si>
    <t>ZHONGHUA YAN KE ZA ZHI] CHINESE JOURNAL OF OPHTHALMOLOGY</t>
  </si>
  <si>
    <t>Zhonghua Yan Ke Za Zhi</t>
  </si>
  <si>
    <t>04124081</t>
  </si>
  <si>
    <t>8303081</t>
  </si>
  <si>
    <t>Zhonghua yi shi za zhi (Beijing, China : 1980)</t>
  </si>
  <si>
    <t>ZHONGHUA YI SHI ZA ZHI (BEIJING, CHINA : 1980)</t>
  </si>
  <si>
    <t>Zhonghua Yi Shi Za Zhi</t>
  </si>
  <si>
    <t>Continues in part: Yi xue shi yu bao jian za zhi.</t>
  </si>
  <si>
    <t>02557053</t>
  </si>
  <si>
    <t>9425197</t>
  </si>
  <si>
    <t>Zhonghua yi xue yi chuan xue za zhi = Zhonghua yixue yichuanxue zazhi = Chinese journal of medical genetics</t>
  </si>
  <si>
    <t>ZHONGHUA YI XUE YI CHUAN XUE ZA ZHI = ZHONGHUA YIXUE YICHUANXUE ZAZHI = CHINESE JOURNAL OF MEDICAL GENETICS</t>
  </si>
  <si>
    <t>Zhonghua Yi Xue Yi Chuan Xue Za Zhi</t>
  </si>
  <si>
    <t>Continues: Yi chuan yu ji bing. 1984-1991</t>
  </si>
  <si>
    <t>7511141</t>
  </si>
  <si>
    <t>Zhonghua yi xue za zhi</t>
  </si>
  <si>
    <t>ZHONGHUA YI XUE ZA ZHI</t>
  </si>
  <si>
    <t>Zhonghua Yi Xue Za Zhi</t>
  </si>
  <si>
    <t>Separated from: Ren min bao jian.</t>
  </si>
  <si>
    <t>Semimonthly, 2001-</t>
  </si>
  <si>
    <t>7904962</t>
  </si>
  <si>
    <t>Zhonghua yu fang yi xue za zhi [Chinese journal of preventive medicine]</t>
  </si>
  <si>
    <t>ZHONGHUA YU FANG YI XUE ZA ZHI [CHINESE JOURNAL OF PREVENTIVE MEDICINE]</t>
  </si>
  <si>
    <t>Zhonghua Yu Fang Yi Xue Za Zhi</t>
  </si>
  <si>
    <t>02539624</t>
  </si>
  <si>
    <t>Communicable Diseases#Environmental Health</t>
  </si>
  <si>
    <t>100957850</t>
  </si>
  <si>
    <t>Zhonghua zheng xing wai ke za zhi = Zhonghua zhengxing waike zazhi = Chinese journal of plastic surgery</t>
  </si>
  <si>
    <t>ZHONGHUA ZHENG XING WAI KE ZA ZHI = ZHONGHUA ZHENGXING WAIKE ZAZHI = CHINESE JOURNAL OF PLASTIC SURGERY</t>
  </si>
  <si>
    <t>Zhonghua Zheng Xing Wai Ke Za Zhi</t>
  </si>
  <si>
    <t>10094598</t>
  </si>
  <si>
    <t>7910681</t>
  </si>
  <si>
    <t>Zhonghua zhong liu za zhi [Chinese journal of oncology]</t>
  </si>
  <si>
    <t>ZHONGHUA ZHONG LIU ZA ZHI [CHINESE JOURNAL OF ONCOLOGY]</t>
  </si>
  <si>
    <t>Zhonghua Zhong Liu Za Zhi</t>
  </si>
  <si>
    <t>21820250R</t>
  </si>
  <si>
    <t>Zhurnal evoliutsionnoĭ biokhimii i fiziologii</t>
  </si>
  <si>
    <t>ZHURNAL EVOLIUTSIONNOI BIOKHIMII I FIZIOLOGII</t>
  </si>
  <si>
    <t>Zh Evol Biokhim Fiziol</t>
  </si>
  <si>
    <t>00444529</t>
  </si>
  <si>
    <t>0415217</t>
  </si>
  <si>
    <t>Zhurnal mikrobiologii, epidemiologii, i immunobiologii</t>
  </si>
  <si>
    <t>ZHURNAL MIKROBIOLOGII, EPIDEMIOLOGII, I IMMUNOBIOLOGII</t>
  </si>
  <si>
    <t>Zh Mikrobiol Epidemiol Immunobiol</t>
  </si>
  <si>
    <t>Formed by union of: Zhurnal mikrobiologii i immunobiologii. and: Zhurnal ėpidemiologii i mikrobiologii.</t>
  </si>
  <si>
    <t>03729311</t>
  </si>
  <si>
    <t>9712194</t>
  </si>
  <si>
    <t>Zhurnal nevrologii i psikhiatrii imeni S.S. Korsakova / Ministerstvo zdravookhraneniia i meditsinskoĭ promyshlennosti Rossiĭskoĭ Federatsii, Vserossiĭskoe obshchestvo nevrologov [i] Vserossiĭskoe obshchestvo psikhiatrov</t>
  </si>
  <si>
    <t>ZHURNAL NEVROLOGII I PSIKHIATRII IMENI S.S. KORSAKOVA / MINISTERSTVO ZDRAVOOKHRANENIIA I MEDITSINSKOI PROMYSHLENNOSTI ROSSIISKOI FEDERATSII, VSEROSSIISKOE OBSHCHESTVO NEVROLOGOV [I] VSEROSSIISKOE OBSHCHESTVO PSIKHIATROV</t>
  </si>
  <si>
    <t>Zh Nevrol Psikhiatr Im S S Korsakova</t>
  </si>
  <si>
    <t>Continues: Zhurnal nevropatologii i psikhiatrii imeni S.S. Korsakova (Moscow, R.S.F.S.R. : 1952).</t>
  </si>
  <si>
    <t>23094729</t>
  </si>
  <si>
    <t>0424252</t>
  </si>
  <si>
    <t>Zhurnal obshcheĭ biologii</t>
  </si>
  <si>
    <t>ZHURNAL OBSHCHEI BIOLOGII</t>
  </si>
  <si>
    <t>Zh Obshch Biol</t>
  </si>
  <si>
    <t>Continues: Biologicheskii zhurnal.</t>
  </si>
  <si>
    <t>00444596</t>
  </si>
  <si>
    <t>7809757</t>
  </si>
  <si>
    <t>Zhurnal voprosy neĭrokhirurgii imeni N. N. Burdenko</t>
  </si>
  <si>
    <t>ZHURNAL VOPROSY NEIROKHIRURGII IMENI N. N. BURDENKO</t>
  </si>
  <si>
    <t>Zh Vopr Neirokhir Im N N Burdenko</t>
  </si>
  <si>
    <t>Supersedes Voprosy neĭrokhirurgii.</t>
  </si>
  <si>
    <t>23091681</t>
  </si>
  <si>
    <t>00428817</t>
  </si>
  <si>
    <t>9421551</t>
  </si>
  <si>
    <t>Zhurnal vyssheĭ nervnoĭ deiatelnosti imeni I P Pavlova</t>
  </si>
  <si>
    <t>ZHURNAL VYSSHEI NERVNOI DEIATELNOSTI IMENI I P PAVLOVA</t>
  </si>
  <si>
    <t>Zh Vyssh Nerv Deiat Im I P Pavlova</t>
  </si>
  <si>
    <t>00444677</t>
  </si>
  <si>
    <t>Izd-Vo Akademiia Nauk Ssr</t>
  </si>
  <si>
    <t>8807837</t>
  </si>
  <si>
    <t>Zoo biology</t>
  </si>
  <si>
    <t>ZOO BIOLOGY</t>
  </si>
  <si>
    <t>Zoo Biol</t>
  </si>
  <si>
    <t>10982361</t>
  </si>
  <si>
    <t>07333188</t>
  </si>
  <si>
    <t>A.R. Liss</t>
  </si>
  <si>
    <t>8702287</t>
  </si>
  <si>
    <t>Zoological science</t>
  </si>
  <si>
    <t>ZOOLOGICAL SCIENCE</t>
  </si>
  <si>
    <t>Zoolog Sci</t>
  </si>
  <si>
    <t>Formed by the union of: Dōbutsugaku zasshi, and: Annotationes zoologicae Japonenses.</t>
  </si>
  <si>
    <t>02890003</t>
  </si>
  <si>
    <t>Zoological Society of Japan</t>
  </si>
  <si>
    <t>9435608</t>
  </si>
  <si>
    <t>Zoology (Jena, Germany)</t>
  </si>
  <si>
    <t>ZOOLOGY (JENA, GERMANY)</t>
  </si>
  <si>
    <t>Zoology (Jena)</t>
  </si>
  <si>
    <t>Formed by the union of: Zoologische Jahrbücher. Abteilung für allgemeine Zoologie und Physiologie der Tiere, and: Zoologische Jahrbücher. Abteilung für Anatomie und Ontogenie der Tiere, and continues the volume numbering of the former. Absorbed in 1998 the Hauptvorträge section of Verhandlungen der Deutschen Zoologischen Gesellschaft which will be issued as reviews in a number of each volume beginning with v. 100, 4.</t>
  </si>
  <si>
    <t>18732720</t>
  </si>
  <si>
    <t>09442006</t>
  </si>
  <si>
    <t>101300786</t>
  </si>
  <si>
    <t>Zoonoses and public health</t>
  </si>
  <si>
    <t>ZOONOSES AND PUBLIC HEALTH</t>
  </si>
  <si>
    <t>Zoonoses Public Health</t>
  </si>
  <si>
    <t>Continues: Journal of veterinary medicine. B, Infectious diseases and veterinary public health.</t>
  </si>
  <si>
    <t>Public Health#Veterinary Medicine</t>
  </si>
  <si>
    <t>101179386</t>
  </si>
  <si>
    <t>Zootaxa</t>
  </si>
  <si>
    <t>ZOOTAXA</t>
  </si>
  <si>
    <t>11755334</t>
  </si>
  <si>
    <t>11755326</t>
  </si>
  <si>
    <t>Magnolia Press</t>
  </si>
  <si>
    <t>9309124</t>
  </si>
  <si>
    <t>Zygote (Cambridge, England)</t>
  </si>
  <si>
    <t>ZYGOTE (CAMBRIDGE, ENGLAND)</t>
  </si>
  <si>
    <t>Zygote</t>
  </si>
  <si>
    <t>14698730</t>
  </si>
  <si>
    <t>09671994</t>
  </si>
  <si>
    <t>Biopreservation and biobanking</t>
  </si>
  <si>
    <t>BIOPRESERVATION AND BIOBANKING</t>
  </si>
  <si>
    <t>Biopreserv Biobank</t>
  </si>
  <si>
    <t>Continues: Cell preservation technology</t>
  </si>
  <si>
    <t>Preservation, Biological, Tissue Banks</t>
  </si>
  <si>
    <t>Cancer immunology research</t>
  </si>
  <si>
    <t>CANCER IMMUNOLOGY RESEARCH</t>
  </si>
  <si>
    <t>Cancer Immunol Res</t>
  </si>
  <si>
    <t>23266074</t>
  </si>
  <si>
    <t>23266066</t>
  </si>
  <si>
    <t>Immune System Phenomena, Neoplasms</t>
  </si>
  <si>
    <t>Current rheumatology reviews</t>
  </si>
  <si>
    <t>CURRENT RHEUMATOLOGY REVIEWS</t>
  </si>
  <si>
    <t>Curr Rheumatol Rev</t>
  </si>
  <si>
    <t>Rheumatic Diseases</t>
  </si>
  <si>
    <t>Drug development research</t>
  </si>
  <si>
    <t>DRUG DEVELOPMENT RESEARCH</t>
  </si>
  <si>
    <t>Drug Dev Res</t>
  </si>
  <si>
    <t>Pharmaceutical Preparations</t>
  </si>
  <si>
    <t>266021</t>
  </si>
  <si>
    <t>Enzymes</t>
  </si>
  <si>
    <t>ENZYMES</t>
  </si>
  <si>
    <t>18746047</t>
  </si>
  <si>
    <t>04232607</t>
  </si>
  <si>
    <t>Elsevier/Academic Press</t>
  </si>
  <si>
    <t>JACC. Heart failure</t>
  </si>
  <si>
    <t>JACC. HEART FAILURE</t>
  </si>
  <si>
    <t>JACC Heart Fail</t>
  </si>
  <si>
    <t>22131787</t>
  </si>
  <si>
    <t>Heart Failure</t>
  </si>
  <si>
    <t>Journal of evidence-based complementary and alternative medicine</t>
  </si>
  <si>
    <t>JOURNAL OF EVIDENCE-BASED COMPLEMENTARY AND ALTERNATIVE MEDICINE</t>
  </si>
  <si>
    <t>J Evid Based Complementary Altern Med</t>
  </si>
  <si>
    <t>Continues: Complementary health practice review</t>
  </si>
  <si>
    <t>21565899</t>
  </si>
  <si>
    <t>21565872</t>
  </si>
  <si>
    <t>Three times per year</t>
  </si>
  <si>
    <t>Journal of immunology research</t>
  </si>
  <si>
    <t>JOURNAL OF IMMUNOLOGY RESEARCH</t>
  </si>
  <si>
    <t>J Immunol Res</t>
  </si>
  <si>
    <t>Continues: Clinical &amp; developmental immunology</t>
  </si>
  <si>
    <t>23147156</t>
  </si>
  <si>
    <t>23148861</t>
  </si>
  <si>
    <t>Journal of Indian medical heritage = Bhāratīya Āyurvijñāna Sampadā patrikā</t>
  </si>
  <si>
    <t>JOURNAL OF INDIAN MEDICAL HERITAGE = BHARATIYA AYURVIJNANA SAMPADA PATRIKA</t>
  </si>
  <si>
    <t>J Indian Med Herit</t>
  </si>
  <si>
    <t>Continues: Journal of Indian Institute of History of Medicine = Bhāratīya Āyurvijñāna Itihāsa Sansthāna patrikā</t>
  </si>
  <si>
    <t>0975430X</t>
  </si>
  <si>
    <t>National Institute of Indian Medical Heritage for the Central Council for Research in Ayurveda &amp; Siddha, New Delhi</t>
  </si>
  <si>
    <t>History of Medicine, Medicine, Ayurvedic</t>
  </si>
  <si>
    <t>Journal of optometry</t>
  </si>
  <si>
    <t>JOURNAL OF OPTOMETRY</t>
  </si>
  <si>
    <t>J Optom</t>
  </si>
  <si>
    <t>19891342</t>
  </si>
  <si>
    <t>18884296</t>
  </si>
  <si>
    <t>Eye Diseases, Optometry, Refractive Surgical Procedures</t>
  </si>
  <si>
    <t>Laboratory medicine</t>
  </si>
  <si>
    <t>LABORATORY MEDICINE</t>
  </si>
  <si>
    <t>Lab Med</t>
  </si>
  <si>
    <t>Merged From: Bulletin of pathology, Technical bulletin of the Registry of Medical Technologists</t>
  </si>
  <si>
    <t>American Society for Clinical Pathology</t>
  </si>
  <si>
    <t>Biomedical Technology, Chemistry, Clinical Pathology</t>
  </si>
  <si>
    <t>Neurodegenerative disease management</t>
  </si>
  <si>
    <t>NEURODEGENERATIVE DISEASE MANAGEMENT</t>
  </si>
  <si>
    <t>Neurodegener Dis Manag</t>
  </si>
  <si>
    <t>Neurodegenerative Diseases, Outcome and Process Assessment (Health Care), Quality of Life</t>
  </si>
  <si>
    <t>Oncology research and treatment</t>
  </si>
  <si>
    <t>ONCOLOGY RESEARCH AND TREATMENT</t>
  </si>
  <si>
    <t>Oncol Res Treat</t>
  </si>
  <si>
    <t>Continues: Onkologie</t>
  </si>
  <si>
    <t>22965262</t>
  </si>
  <si>
    <t>22965270</t>
  </si>
  <si>
    <t>Neoplasms, Neoplasms/therapy</t>
  </si>
  <si>
    <t>OTJR : occupation, participation and health</t>
  </si>
  <si>
    <t>OTJR : OCCUPATION, PARTICIPATION AND HEALTH</t>
  </si>
  <si>
    <t>OTJR (Thorofare N J)</t>
  </si>
  <si>
    <t>Continues: Occupational therapy journal of research</t>
  </si>
  <si>
    <t>19382383</t>
  </si>
  <si>
    <t>Occupational Therapy</t>
  </si>
  <si>
    <t>101555934</t>
  </si>
  <si>
    <t>Pain management</t>
  </si>
  <si>
    <t>PAIN MANAGEMENT</t>
  </si>
  <si>
    <t>Pain Manag</t>
  </si>
  <si>
    <t>Analgesics/therapeutic use, Pain Management, Palliative Care</t>
  </si>
  <si>
    <t>Practical radiation oncology</t>
  </si>
  <si>
    <t>PRACTICAL RADIATION ONCOLOGY</t>
  </si>
  <si>
    <t>Pract Radiat Oncol</t>
  </si>
  <si>
    <t>Neoplasms/radiotherapy, Radiation Oncology</t>
  </si>
  <si>
    <t>101560511</t>
  </si>
  <si>
    <t>Problemy radiat︠s︡iĭnoï medyt︠s︡yny ta radiobiolohiï</t>
  </si>
  <si>
    <t>PROBLEMY RADIATSIINOI MEDYTSYNY TA RADIOBIOLOHII</t>
  </si>
  <si>
    <t>Probl Radiac Med Radiobiol</t>
  </si>
  <si>
    <t>23048336</t>
  </si>
  <si>
    <t>Naukovyi t︠s︡entr radiat︠s︡iinoi medyt︠tsyny AMN Ukrainy</t>
  </si>
  <si>
    <t>Radiation Effects, Radiobiology, Radiology/methods</t>
  </si>
  <si>
    <t>101295070</t>
  </si>
  <si>
    <t>Soft Matter</t>
  </si>
  <si>
    <t>SOFT MATTER</t>
  </si>
  <si>
    <t>17446848</t>
  </si>
  <si>
    <t>1744683X</t>
  </si>
  <si>
    <t>Chemistry, Physics</t>
  </si>
  <si>
    <t>The lancet. Diabetes &amp; endocrinology</t>
  </si>
  <si>
    <t>THE LANCET. DIABETES &amp; ENDOCRINOLOGY</t>
  </si>
  <si>
    <t>Lancet Diabetes Endocrinol</t>
  </si>
  <si>
    <t>22138595</t>
  </si>
  <si>
    <t>The Lancet, Diabetes &amp; Endocrinology</t>
  </si>
  <si>
    <t>Diabetes Mellitus, Endocrine System Diseases</t>
  </si>
  <si>
    <t>The New bioethics : a multidisciplinary journal of biotechnology and the body</t>
  </si>
  <si>
    <t>THE NEW BIOETHICS : A MULTIDISCIPLINARY JOURNAL OF BIOTECHNOLOGY AND THE BODY</t>
  </si>
  <si>
    <t>New Bioeth</t>
  </si>
  <si>
    <t>Continues: Human reproduction and genetic ethics</t>
  </si>
  <si>
    <t>20502885</t>
  </si>
  <si>
    <t>20502877</t>
  </si>
  <si>
    <t>Bioethical Issues, Genetic Phenomena, Reproduction</t>
  </si>
  <si>
    <t>Yao wu shi pin fen xi = Journal of food and drug analysis</t>
  </si>
  <si>
    <t>YAO WU SHI PIN FEN XI = JOURNAL OF FOOD AND DRUG ANALYSIS</t>
  </si>
  <si>
    <t>Yao Wu Shi Pin Fen Xi</t>
  </si>
  <si>
    <t>Hsing Cheng Yuan Wei Sheng Shu Yao Wu Shih Pin Chien Yen Chu</t>
  </si>
  <si>
    <t>Drug Evaluation, Food Analysis, Food Inspection, Pharmaceutical Preparations/analysis</t>
  </si>
  <si>
    <t>22532447</t>
  </si>
  <si>
    <t>Research and Reports in Urology</t>
  </si>
  <si>
    <t>Check title: Vasa, European Journal of Vascular Medicine</t>
  </si>
  <si>
    <t>Check title: Central European Journal of Immunology</t>
  </si>
  <si>
    <t>Amend title (also items processed): wrong country in title, should be Switzerland. After that please change title 2014 to: Oncology Research and Treatment. Check also LANG.</t>
  </si>
  <si>
    <t>Check title: Bariatric Surgical Practice and Patient Care.</t>
  </si>
  <si>
    <t>Check title: Journal of Bone and Joint Surgery, American Volume.</t>
  </si>
  <si>
    <t>Wrong publisher - check, should be British Editorial Society of Bone &amp; Joint Surgery, GBR (title used to be: Journal of Bone and Joint Surgery, British Volume). Has ISSN.</t>
  </si>
  <si>
    <t>Amend title (also items processed)</t>
  </si>
  <si>
    <t xml:space="preserve">1234625X </t>
  </si>
  <si>
    <t>Endokrynologia, Diabetologia i Choroby Przemiany Materii Wieku Rozwojowego</t>
  </si>
  <si>
    <t>Wrongly cancelled as ceased. Continued as: Pediatric Endocrinology, Diabetes and Metabolism. [check: content processed under wrong title 2007-2012?]</t>
  </si>
  <si>
    <t>In progress</t>
  </si>
  <si>
    <t>Title (Embase serial coverage, 14/3/14, total=5948: 5921 active, 27 pending)</t>
  </si>
  <si>
    <t>New publisher 2014 = Maney (missing content 2013-2014 avaqilable).</t>
  </si>
  <si>
    <t>Maintenance</t>
  </si>
  <si>
    <t>Print ISSN</t>
  </si>
  <si>
    <t>Electronic ISSN</t>
  </si>
  <si>
    <t>Language</t>
  </si>
  <si>
    <t>Indexed at Embase</t>
  </si>
  <si>
    <t>Source type</t>
  </si>
  <si>
    <t>Priority journal</t>
  </si>
  <si>
    <t>Indexed by Medline</t>
  </si>
  <si>
    <t>Journal</t>
  </si>
  <si>
    <t>Book Series</t>
  </si>
  <si>
    <t>Trade Journal</t>
  </si>
  <si>
    <t>Column</t>
  </si>
  <si>
    <t>Definition</t>
  </si>
  <si>
    <t>Notes</t>
  </si>
  <si>
    <t>Country of publication</t>
  </si>
  <si>
    <t>Language(s) of articles</t>
  </si>
  <si>
    <t>Yes or Pending</t>
  </si>
  <si>
    <t>Journal, Book Series or Trade Journal</t>
  </si>
  <si>
    <t>Priority journals</t>
  </si>
  <si>
    <t>Indexed by MEDLINE</t>
  </si>
  <si>
    <t>Azerbaijani</t>
  </si>
  <si>
    <t>Bosnian</t>
  </si>
  <si>
    <t>Bulgarian</t>
  </si>
  <si>
    <t>Catalan</t>
  </si>
  <si>
    <t>Chinese</t>
  </si>
  <si>
    <t>Czech</t>
  </si>
  <si>
    <t>Danish</t>
  </si>
  <si>
    <t>Dutch</t>
  </si>
  <si>
    <t>English</t>
  </si>
  <si>
    <t>Chinese, English</t>
  </si>
  <si>
    <t>English, Chinese</t>
  </si>
  <si>
    <t>Czech, English</t>
  </si>
  <si>
    <t>Dutch, English</t>
  </si>
  <si>
    <t>English, Afrikaans</t>
  </si>
  <si>
    <t>English, French</t>
  </si>
  <si>
    <t>French</t>
  </si>
  <si>
    <t>English, German</t>
  </si>
  <si>
    <t>German</t>
  </si>
  <si>
    <t>English, French, German</t>
  </si>
  <si>
    <t>German, French</t>
  </si>
  <si>
    <t>Greek</t>
  </si>
  <si>
    <t>English, Greek</t>
  </si>
  <si>
    <t>Croatian</t>
  </si>
  <si>
    <t>English, Hungarian</t>
  </si>
  <si>
    <t>Hungarian</t>
  </si>
  <si>
    <t>Icelandic</t>
  </si>
  <si>
    <t>English, Italian</t>
  </si>
  <si>
    <t>Italian</t>
  </si>
  <si>
    <t>Japanese</t>
  </si>
  <si>
    <t>English, Japanese</t>
  </si>
  <si>
    <t>Korean</t>
  </si>
  <si>
    <t>English, Korean</t>
  </si>
  <si>
    <t>Norwegian, English</t>
  </si>
  <si>
    <t>Persian</t>
  </si>
  <si>
    <t>Persian, English</t>
  </si>
  <si>
    <t>English, Polish</t>
  </si>
  <si>
    <t>Polish</t>
  </si>
  <si>
    <t>Polish, English</t>
  </si>
  <si>
    <t>Portuguese</t>
  </si>
  <si>
    <t>English, Portuguese</t>
  </si>
  <si>
    <t>Portuguese, English</t>
  </si>
  <si>
    <t>Romanian</t>
  </si>
  <si>
    <t>English, Romanian</t>
  </si>
  <si>
    <t>Russian</t>
  </si>
  <si>
    <t>Russian, English</t>
  </si>
  <si>
    <t>Azerbaijani, Russian</t>
  </si>
  <si>
    <t>Serbian, English</t>
  </si>
  <si>
    <t>Serbian</t>
  </si>
  <si>
    <t>English, Serbian</t>
  </si>
  <si>
    <t>English, Croatian</t>
  </si>
  <si>
    <t>Croatian, English</t>
  </si>
  <si>
    <t>Czech, Slovak, English, German</t>
  </si>
  <si>
    <t>Czech, Slovak</t>
  </si>
  <si>
    <t>Czech, Slovak, English</t>
  </si>
  <si>
    <t>Slovenian</t>
  </si>
  <si>
    <t>Spanish, English</t>
  </si>
  <si>
    <t>Spanish</t>
  </si>
  <si>
    <t>English, Spanish</t>
  </si>
  <si>
    <t>English, Portuguese, Spanish</t>
  </si>
  <si>
    <t>Portuguese, Spanish, English</t>
  </si>
  <si>
    <t>English, Spanish, French</t>
  </si>
  <si>
    <t>Turkish, English</t>
  </si>
  <si>
    <t>Turkish</t>
  </si>
  <si>
    <t>English, Turkish</t>
  </si>
  <si>
    <t>Ukrainian</t>
  </si>
  <si>
    <t>Armenia</t>
  </si>
  <si>
    <t>Azerbaijan</t>
  </si>
  <si>
    <t>Bahrain</t>
  </si>
  <si>
    <t>Bosnia and Herzegovina</t>
  </si>
  <si>
    <t>Ecuador</t>
  </si>
  <si>
    <t>United Kingdom</t>
  </si>
  <si>
    <t>Hong Kong</t>
  </si>
  <si>
    <t>Jordan</t>
  </si>
  <si>
    <t>South Korea</t>
  </si>
  <si>
    <t>Libyan Arab Jamahiriya</t>
  </si>
  <si>
    <t>Malta</t>
  </si>
  <si>
    <t>Qatar</t>
  </si>
  <si>
    <t>Russian Federation</t>
  </si>
  <si>
    <t>Taiwan</t>
  </si>
  <si>
    <t>Georgia</t>
  </si>
  <si>
    <t>Danish, Finnish, Icelandic, Norwegian, Swedish</t>
  </si>
  <si>
    <t>Mauritius</t>
  </si>
  <si>
    <t>Oman</t>
  </si>
  <si>
    <t>John Wiley &amp; Sons Ltd</t>
  </si>
  <si>
    <t>John Wiley &amp; Sons Inc.</t>
  </si>
  <si>
    <t>National Institute on Alcohol Abuse and Alcoholism</t>
  </si>
  <si>
    <t>Associação Brasileira de Pesquisa e Pós-Graduação em Fisioterpia</t>
  </si>
  <si>
    <t>Sociedade Brasileira de Fonoaudiologia</t>
  </si>
  <si>
    <t>Quintessence Publishing Co., Inc.</t>
  </si>
  <si>
    <t>Brill</t>
  </si>
  <si>
    <t>Office of Health Assessment and Translation, Division of the National Toxicology Program, National Institute of Environmental Health Sciences, National Institutes of Health, U.S. Department of Health and Human Services</t>
  </si>
  <si>
    <t>Rhode Island Medical Society</t>
  </si>
  <si>
    <t>Schweizerische Zahnärzte-Gesellschaft</t>
  </si>
  <si>
    <t>Annals of Global Health</t>
  </si>
  <si>
    <t>American Journal of Blood Research</t>
  </si>
  <si>
    <t>British Editorial Society of Bone and Joint Surgery</t>
  </si>
  <si>
    <t>Canadian Pharmacists Association</t>
  </si>
  <si>
    <t>Congress of Neurological Surgeons</t>
  </si>
  <si>
    <t>EDRA LSWR</t>
  </si>
  <si>
    <t>Genetics Society of Korea</t>
  </si>
  <si>
    <t>Japanese Society of Hypertension</t>
  </si>
  <si>
    <t>Decker Intellectual Properties</t>
  </si>
  <si>
    <t>Bariatric Surgical Practice and Patient Care</t>
  </si>
  <si>
    <t>Cell Biology International Reports</t>
  </si>
  <si>
    <t>Central European Journal of Immunology</t>
  </si>
  <si>
    <t>Pediatric Endocrinology, Diabetes and Metabolism</t>
  </si>
  <si>
    <t>International Journal of Drug Delivery (Bhopal)</t>
  </si>
  <si>
    <t>International Journal of Drug Delivery (Jaipur)</t>
  </si>
  <si>
    <t>Archives of Clinical Infectious Diseases</t>
  </si>
  <si>
    <t>Journal of Experimental and Clinical Medicine (Taiwan)</t>
  </si>
  <si>
    <t>Oncology Research and Treatment</t>
  </si>
  <si>
    <t>Vasa - European Journal of Vascular Medicine</t>
  </si>
  <si>
    <t>Eesti Arst</t>
  </si>
  <si>
    <t>Journal of the American College of Radiology</t>
  </si>
  <si>
    <t>Lekar a Technika</t>
  </si>
  <si>
    <t>Estonia</t>
  </si>
  <si>
    <t>OU Celsius Healthcare</t>
  </si>
  <si>
    <t>English, Czech, Slovak </t>
  </si>
  <si>
    <t>AANA J.</t>
  </si>
  <si>
    <t>AAPS Adv. Pharm. Sci. Ser.</t>
  </si>
  <si>
    <t>AAPS J.</t>
  </si>
  <si>
    <t>Abdom. Imaging</t>
  </si>
  <si>
    <t>Acad. Emerg. Med.</t>
  </si>
  <si>
    <t>Acad. J. Second Mil. Med. Univ.</t>
  </si>
  <si>
    <t>Acad. Pediatr.</t>
  </si>
  <si>
    <t>Acad. Radiol.</t>
  </si>
  <si>
    <t>ACS Chem. Biol.</t>
  </si>
  <si>
    <t>ACS Chem. Neurosci.</t>
  </si>
  <si>
    <t>ACS Med. Chem. Lett.</t>
  </si>
  <si>
    <t>ACS Synth. Biol.</t>
  </si>
  <si>
    <t>Acta Acad. Med. Sin.</t>
  </si>
  <si>
    <t>Acta Anaesthesiol. Belg.</t>
  </si>
  <si>
    <t>Acta Anaesthesiol. Scand.</t>
  </si>
  <si>
    <t>Acta Anaesthesiol. Scand. Suppl.</t>
  </si>
  <si>
    <t>Acta Anaesthesiol. Taiwan.</t>
  </si>
  <si>
    <t>Acta Anat. Sin.</t>
  </si>
  <si>
    <t>Acta Angiolog.</t>
  </si>
  <si>
    <t>Acta Biol. Hung.</t>
  </si>
  <si>
    <t>Acta Biol. Szegediensis</t>
  </si>
  <si>
    <t>Acta Biomater.</t>
  </si>
  <si>
    <t>Acta Biomed.</t>
  </si>
  <si>
    <t>Acta Cardiol.</t>
  </si>
  <si>
    <t>Acta Cardiol. Sin.</t>
  </si>
  <si>
    <t>Acta Chir. Orthop. Traumatol. Cech.</t>
  </si>
  <si>
    <t>Acta Cient. Venez.</t>
  </si>
  <si>
    <t>Acta Cir. Bras.</t>
  </si>
  <si>
    <t>Acta Clin. Croat.</t>
  </si>
  <si>
    <t>Acta Clin. Croat. Suppl.</t>
  </si>
  <si>
    <t>Acta Criminol. Med. Leg. Jpn.</t>
  </si>
  <si>
    <t>Acta Cytol.</t>
  </si>
  <si>
    <t>Acta Derm.-Venereol.</t>
  </si>
  <si>
    <t>Acta Derm.-Venereol. Suppl.</t>
  </si>
  <si>
    <t>Acta Dermatovenerol. Alp. Pannonica Adriat.</t>
  </si>
  <si>
    <t>Acta Dermatovenerol. Croat.</t>
  </si>
  <si>
    <t>Acta Diabetol.</t>
  </si>
  <si>
    <t>Acta Endosc.</t>
  </si>
  <si>
    <t>Acta Fac. Med. Naissensis</t>
  </si>
  <si>
    <t>Acta Gastro-Enterol. Belg.</t>
  </si>
  <si>
    <t>Acta Gastroenterol. Latinoam.</t>
  </si>
  <si>
    <t>Acta Ginecol.</t>
  </si>
  <si>
    <t>Acta Haematol.</t>
  </si>
  <si>
    <t>Acta Haematol. Pol.</t>
  </si>
  <si>
    <t>Acta Hepatol. Jpn.</t>
  </si>
  <si>
    <t>Acta Histochem.</t>
  </si>
  <si>
    <t>Acta Inform. Med.</t>
  </si>
  <si>
    <t>Acta Med. Bulg.</t>
  </si>
  <si>
    <t>Acta Med. Croat.</t>
  </si>
  <si>
    <t>Acta Med. Iran.</t>
  </si>
  <si>
    <t>Acta Med. Mediterr.</t>
  </si>
  <si>
    <t>Acta Med. Nagasaki.</t>
  </si>
  <si>
    <t>Acta Med. Port.</t>
  </si>
  <si>
    <t>Acta. Med. Saliniana</t>
  </si>
  <si>
    <t>Acta Microbiol. Immunol. Hung.</t>
  </si>
  <si>
    <t>Acta Microbiol. Hell.</t>
  </si>
  <si>
    <t>Acta Neurochir.</t>
  </si>
  <si>
    <t>Acta Neurochir. Suppl.</t>
  </si>
  <si>
    <t>Acta Neurol. Belg.</t>
  </si>
  <si>
    <t>Acta Neurol. Scand.</t>
  </si>
  <si>
    <t>Acta Neurol. Taiwan.</t>
  </si>
  <si>
    <t>Acta Neuropathol.</t>
  </si>
  <si>
    <t>Acta Neuropsychiatr.</t>
  </si>
  <si>
    <t>Acta Neuropsychol.</t>
  </si>
  <si>
    <t>Acta Obstet. Gynecol. Scand.</t>
  </si>
  <si>
    <t>Acta Oncol.</t>
  </si>
  <si>
    <t>Acta Ophthalmol.</t>
  </si>
  <si>
    <t>Acta Orthop.</t>
  </si>
  <si>
    <t>Acta Oto-Laryngol.</t>
  </si>
  <si>
    <t>Acta Otorrinolaringol. Esp.</t>
  </si>
  <si>
    <t>Acta Paediatr. Int. J. Paediatr.</t>
  </si>
  <si>
    <t>Acta Pediatr. Esp.</t>
  </si>
  <si>
    <t>Acta Pharm.</t>
  </si>
  <si>
    <t>Acta Pharm. Hung.</t>
  </si>
  <si>
    <t>Acta Pharm. Sci.</t>
  </si>
  <si>
    <t>Acta Pharm. Sin. B</t>
  </si>
  <si>
    <t>Acta Pharmacol. Sin.</t>
  </si>
  <si>
    <t>Acta Phleool.</t>
  </si>
  <si>
    <t>Acta Physiol.</t>
  </si>
  <si>
    <t>Acta Physiol. Hung.</t>
  </si>
  <si>
    <t>Acta Pol. Pharm. Drug Res.</t>
  </si>
  <si>
    <t>Acta Psychiatr. Scand.</t>
  </si>
  <si>
    <t>Acta Radiol.</t>
  </si>
  <si>
    <t>Acta Radiol. Short Rep.</t>
  </si>
  <si>
    <t>Acta Sci. Biol. Sci.</t>
  </si>
  <si>
    <t>Acta Sci. Health Sci.</t>
  </si>
  <si>
    <t>Acta. Stomatol. Croatica</t>
  </si>
  <si>
    <t>Acta Trop.</t>
  </si>
  <si>
    <t>Acta Virol.</t>
  </si>
  <si>
    <t>Actas Dermo-Sifiliogr.</t>
  </si>
  <si>
    <t>Act. Nerv. Super.</t>
  </si>
  <si>
    <t>Act. Nerv. Super. Rediviva</t>
  </si>
  <si>
    <t>Actual. Pharm.</t>
  </si>
  <si>
    <t>Actual. Anestesiol. Reanim.</t>
  </si>
  <si>
    <t>Actual. Osteologia</t>
  </si>
  <si>
    <t>Acupunct. Relat. Ther.</t>
  </si>
  <si>
    <t>Acute Card. Care</t>
  </si>
  <si>
    <t>Acute Coron. Syndr.</t>
  </si>
  <si>
    <t>Acute Med.</t>
  </si>
  <si>
    <t>Addict. Biol.</t>
  </si>
  <si>
    <t>Addict. Behav.</t>
  </si>
  <si>
    <t>Addict. Disord. Treat.</t>
  </si>
  <si>
    <t>ADHD Atten. Deficit Hyperact. Disord.</t>
  </si>
  <si>
    <t>Adolesc. Health Med. Ther.</t>
  </si>
  <si>
    <t>Adolesc. Psychiatry</t>
  </si>
  <si>
    <t>Adv. Drug Deliv. Rev.</t>
  </si>
  <si>
    <t>Adv. Healthc. Mater.</t>
  </si>
  <si>
    <t>Adv. Pharm. Bull.</t>
  </si>
  <si>
    <t>Adv. Sci. Eng. Med.</t>
  </si>
  <si>
    <t>Adv. Alzheimer's Dis.</t>
  </si>
  <si>
    <t>Adv. Anat. Pathol.</t>
  </si>
  <si>
    <t>Adv. Antiviral Drug Des.</t>
  </si>
  <si>
    <t>Adv. Appl. Microbiol.</t>
  </si>
  <si>
    <t>Adv. Cancer Res.</t>
  </si>
  <si>
    <t>Adv. Carbohydr. Chem. Biochem.</t>
  </si>
  <si>
    <t>Adv. Cardiol.</t>
  </si>
  <si>
    <t>Adv. Edu.</t>
  </si>
  <si>
    <t>Adv. Chron. Kidney Dis.</t>
  </si>
  <si>
    <t>Adv. Clin. Exp. Med.</t>
  </si>
  <si>
    <t>Adv. Deliver. Sci. Technol.</t>
  </si>
  <si>
    <t>Adv. Dev. Biol.</t>
  </si>
  <si>
    <t>Adv. Exp. Med. Biol.</t>
  </si>
  <si>
    <t>Adv. Genome Sci.</t>
  </si>
  <si>
    <t>Adv. Health Econ. Health Serv. Res.</t>
  </si>
  <si>
    <t>Adv. Hematol.</t>
  </si>
  <si>
    <t>Adv. Immunol.</t>
  </si>
  <si>
    <t>Adv. Integr. Med.</t>
  </si>
  <si>
    <t>Adv. Med. Sci.</t>
  </si>
  <si>
    <t>Adv. Microb. Physiol.</t>
  </si>
  <si>
    <t>Adv. Mol. Toxicol.</t>
  </si>
  <si>
    <t>Adv. Neuroimmun. Biol.</t>
  </si>
  <si>
    <t>Adv. Parasitol.</t>
  </si>
  <si>
    <t>Adv. Pharmacol. Sci.</t>
  </si>
  <si>
    <t>Adv. Pharmacol.</t>
  </si>
  <si>
    <t>Adv. Predictive Prev. Personalised Med.</t>
  </si>
  <si>
    <t>Adv. Protein Chem. Struct. Biol.</t>
  </si>
  <si>
    <t>Adv. Psychiatr. Treat.</t>
  </si>
  <si>
    <t>Adv. Ther.</t>
  </si>
  <si>
    <t>Adv. Wound Care</t>
  </si>
  <si>
    <t>Adverse Drug React. Bull.</t>
  </si>
  <si>
    <t>Aerosol Sci. Technol.</t>
  </si>
  <si>
    <t>Aesthet. Surg. J.</t>
  </si>
  <si>
    <t>Afr. Health Sci.</t>
  </si>
  <si>
    <t>Afr. J. AIDS Res.</t>
  </si>
  <si>
    <t>Afr. J. Biomed. Res.</t>
  </si>
  <si>
    <t>Afr. J. Clin. Exp. Microbiol.</t>
  </si>
  <si>
    <t>Afr. J. Diabetes Med.</t>
  </si>
  <si>
    <t>Afr. J. Emerg. Med.</t>
  </si>
  <si>
    <t>Afr. J. Infect. Dis.</t>
  </si>
  <si>
    <t>Afr. J. Lab. Med.</t>
  </si>
  <si>
    <t>Afr. J. Neurol. Sci.</t>
  </si>
  <si>
    <t>Afr. J. Psychiatry</t>
  </si>
  <si>
    <t>Afr. J. Respir. Med.</t>
  </si>
  <si>
    <t>Afr. J. Trad. Complement. Altern. Med.</t>
  </si>
  <si>
    <t>Afr. J. Urol.</t>
  </si>
  <si>
    <t>Ageing Res.</t>
  </si>
  <si>
    <t>Ageing Res. Rev.</t>
  </si>
  <si>
    <t>Aggression Violent Behav.</t>
  </si>
  <si>
    <t>Aging Clin. Exp. Res.</t>
  </si>
  <si>
    <t>AIDS Care Psychol. Socio-Med. Asp. AIDS HIV</t>
  </si>
  <si>
    <t>AIDS Educ. Prev.</t>
  </si>
  <si>
    <t>AIDS Patient Care STDs</t>
  </si>
  <si>
    <t>AIDS Res. Hum. Retroviruses</t>
  </si>
  <si>
    <t>AIDS Res. Ther.</t>
  </si>
  <si>
    <t>AIDS Rev.</t>
  </si>
  <si>
    <t>Air Med. J.</t>
  </si>
  <si>
    <t>AJP Rep.</t>
  </si>
  <si>
    <t>Akademik Acil Tip Olgu Sunumlari Derg.</t>
  </si>
  <si>
    <t>Akt. Nefrol.</t>
  </si>
  <si>
    <t>Aktual. Gynekol. Porodnictvi</t>
  </si>
  <si>
    <t>Aktual. Neurol.</t>
  </si>
  <si>
    <t>Aktuel. Dermatol.</t>
  </si>
  <si>
    <t>Aktuel. Ernahr. Med.</t>
  </si>
  <si>
    <t>Aktuel. Neurol.</t>
  </si>
  <si>
    <t>Aktuel. Neurol. Suppl.</t>
  </si>
  <si>
    <t>Aktuel. Rheumatol.</t>
  </si>
  <si>
    <t>Aktuel. Rheumatol. Suppl.</t>
  </si>
  <si>
    <t>Alcohol Alcohol.</t>
  </si>
  <si>
    <t>Alcohol. Treat. Q.</t>
  </si>
  <si>
    <t>Alcohol. Clin. Exp. Res.</t>
  </si>
  <si>
    <t>Alergia Astma Immunol.</t>
  </si>
  <si>
    <t>Alex. J. Med.</t>
  </si>
  <si>
    <t>Aliment. Pharmacol. Ther.</t>
  </si>
  <si>
    <t>Allergo J.</t>
  </si>
  <si>
    <t>Allergol. Immunopathol.</t>
  </si>
  <si>
    <t>Allergol. Int.</t>
  </si>
  <si>
    <t>Allergy Asthma Proc.</t>
  </si>
  <si>
    <t>Allergy Asthma Clin. Immunol.</t>
  </si>
  <si>
    <t>Allergy Asthma Immunol. Res.</t>
  </si>
  <si>
    <t>Allergy Eur. J. Allergy Clin. Immunol.</t>
  </si>
  <si>
    <t>Altern. Med. Rev.</t>
  </si>
  <si>
    <t>Altern. Med. Stud.</t>
  </si>
  <si>
    <t>Alzheimer Dis. Assoc. Disord.</t>
  </si>
  <si>
    <t>Alzheimer's Dementia</t>
  </si>
  <si>
    <t>Alzheimer's Dis. Res. J.</t>
  </si>
  <si>
    <t>Alzheimers Res. Ther.</t>
  </si>
  <si>
    <t>Ambul. Surg.</t>
  </si>
  <si>
    <t>Am. Fam. Phys.</t>
  </si>
  <si>
    <t>Am. Health Drug Benefits</t>
  </si>
  <si>
    <t>Am. Heart Hosp. J.</t>
  </si>
  <si>
    <t>Am. Heart J.</t>
  </si>
  <si>
    <t>Am. J. Alzheimer's Dis. Other Dem.</t>
  </si>
  <si>
    <t>Am. J. Biochem. Biotechnol.</t>
  </si>
  <si>
    <t>Am. J. Biochem. Mol. Biol.</t>
  </si>
  <si>
    <t>Am. J. Blood Res.</t>
  </si>
  <si>
    <t>Am. J. Cancer Res.</t>
  </si>
  <si>
    <t>Am. J. Cardiol.</t>
  </si>
  <si>
    <t>Am. J. Cardiovasc. Dis.</t>
  </si>
  <si>
    <t>Am. J. Cardiovasc. Drugs</t>
  </si>
  <si>
    <t>Am. J. Case Rep.</t>
  </si>
  <si>
    <t>Am. J. Chin. Med.</t>
  </si>
  <si>
    <t>Am. J. Clin. Exp. Immunol.</t>
  </si>
  <si>
    <t>Am. J. Clin. Dermatol.</t>
  </si>
  <si>
    <t>Am. J. Clin. Nutr.</t>
  </si>
  <si>
    <t>Am. J. Clin. Oncol. Cancer Clin. Trials</t>
  </si>
  <si>
    <t>Am. J. Clin. Pathol.</t>
  </si>
  <si>
    <t>Am. J. Dermatopathol.</t>
  </si>
  <si>
    <t>Am. J. Drug Alcohol Abuse</t>
  </si>
  <si>
    <t>Am. J. Drug Discov. Dev.</t>
  </si>
  <si>
    <t>Am. J. Emerg. Med.</t>
  </si>
  <si>
    <t>Am. J. Epidemiol.</t>
  </si>
  <si>
    <t>Am. J. Forensic Psychol.</t>
  </si>
  <si>
    <t>Am. J. Gastroenterol.</t>
  </si>
  <si>
    <t>Am. J. Geriatr. Psychiatry</t>
  </si>
  <si>
    <t>Am. J. Health-Syst. Pharm.</t>
  </si>
  <si>
    <t>Am. J. Hematol.</t>
  </si>
  <si>
    <t>Am. J. Hum. Genet.</t>
  </si>
  <si>
    <t>Am. J. Hypertens.</t>
  </si>
  <si>
    <t>Am. J. Immunol.</t>
  </si>
  <si>
    <t>Am. J. Infect. Control</t>
  </si>
  <si>
    <t>Am. J. Infect. Dis.</t>
  </si>
  <si>
    <t>Am. J. Kidney Dis.</t>
  </si>
  <si>
    <t>Am. J. Managed Care</t>
  </si>
  <si>
    <t>Am. J. Med. Genet. Part A</t>
  </si>
  <si>
    <t>Am. J. Med. Genet. Part B Neuropsychiatr. Genet.</t>
  </si>
  <si>
    <t>Am. J. Med. Genet. Part C Semin. Med. Genet.</t>
  </si>
  <si>
    <t>Am. J. Med.</t>
  </si>
  <si>
    <t>Am. J. Nephrol.</t>
  </si>
  <si>
    <t>Am. J. Neurodegenerative Dis.</t>
  </si>
  <si>
    <t>Am. J. Neuroradiol.</t>
  </si>
  <si>
    <t>Am. J. Obstet. Gynecol.</t>
  </si>
  <si>
    <t>Am. J. Ophthalmol.</t>
  </si>
  <si>
    <t>Am. J. Orthopsychiatry</t>
  </si>
  <si>
    <t>Am. J. Otolaryngol. Head Neck Med. Surg.</t>
  </si>
  <si>
    <t>Am. J. Pathol.</t>
  </si>
  <si>
    <t>Am. J. Perinatol.</t>
  </si>
  <si>
    <t>Am. J. Pharmacol. Toxicol.</t>
  </si>
  <si>
    <t>Am. J. Pharm. Benefits</t>
  </si>
  <si>
    <t>Am. J. Phys. Anthropol.</t>
  </si>
  <si>
    <t>Am. J. Physiol. Cell Physiol.</t>
  </si>
  <si>
    <t>Am. J. Physiol. Endocrinol. Metab.</t>
  </si>
  <si>
    <t>Am. J. Physiol. Gastrointest. Liver Physiol.</t>
  </si>
  <si>
    <t>Am. J. Physiol. Heart Circ. Physiol.</t>
  </si>
  <si>
    <t>Am. J. Physiol. Lung Cell. Mol. Physiol.</t>
  </si>
  <si>
    <t>Am. J. Physiol. Regul. Integr. Comp. Physiol.</t>
  </si>
  <si>
    <t>Am. J. Physiol. Renal Physiol.</t>
  </si>
  <si>
    <t>Am. J. Prev. Med.</t>
  </si>
  <si>
    <t>Am. J. Psychiatr. Rehabil.</t>
  </si>
  <si>
    <t>Am. J. Psychiatry</t>
  </si>
  <si>
    <t>Am. J. Reprod. Immunol.</t>
  </si>
  <si>
    <t>Am. J. Respir. Crit. Care Med.</t>
  </si>
  <si>
    <t>Am. J. Resp. Cell Mol. Biol.</t>
  </si>
  <si>
    <t>Am. J. Rhinol. and Allergy</t>
  </si>
  <si>
    <t>Am. J. Roentgenol.</t>
  </si>
  <si>
    <t>Am. J. Stem Cells</t>
  </si>
  <si>
    <t>Am. J. Surg.</t>
  </si>
  <si>
    <t>Am. J. Med. Sci.</t>
  </si>
  <si>
    <t>Am. J. Ther.</t>
  </si>
  <si>
    <t>Am. J. Transplant.</t>
  </si>
  <si>
    <t>Am. J. Trop. Med. Hyg.</t>
  </si>
  <si>
    <t>Am. J. Vet. Res.</t>
  </si>
  <si>
    <t>Am. J. Addict.</t>
  </si>
  <si>
    <t>Am. Pharm. Rev.</t>
  </si>
  <si>
    <t>Am. Surg.</t>
  </si>
  <si>
    <t>Amyotrophic Lateral Scler. Frontotemporal Degener.</t>
  </si>
  <si>
    <t>Anadolu Kardiyoloji Derg.</t>
  </si>
  <si>
    <t>Anadolu Psikiyatr. Derg.</t>
  </si>
  <si>
    <t>ANAE Approche Neuropsychol. Apprentiss. Enfant</t>
  </si>
  <si>
    <t>Anaesth. Intensive Care</t>
  </si>
  <si>
    <t>Anaesth. Intensive Care Med.</t>
  </si>
  <si>
    <t>Anaesth. Pain Intensive Care</t>
  </si>
  <si>
    <t>Anaesthesiol. Intensive Care</t>
  </si>
  <si>
    <t>Anest. Intens. Ther.</t>
  </si>
  <si>
    <t>An. Bras. Dermatol.</t>
  </si>
  <si>
    <t>An. R. Acad. Farm.</t>
  </si>
  <si>
    <t>An. Patol. Vasc.</t>
  </si>
  <si>
    <t>An. Pediatr.</t>
  </si>
  <si>
    <t>An. Pediatr. Continuada</t>
  </si>
  <si>
    <t>An. Sist. Sanit. Navarra</t>
  </si>
  <si>
    <t>Anal. Chim. Acta</t>
  </si>
  <si>
    <t>Anal. Quant. Cytol. Histol.</t>
  </si>
  <si>
    <t>Anal. Biochem.</t>
  </si>
  <si>
    <t>Anal. Cell. Pathol.</t>
  </si>
  <si>
    <t>Anasthesiol. Intensivmed. Notf.med. Schmerzther.</t>
  </si>
  <si>
    <t>Anasthesiol. Intensivmed.</t>
  </si>
  <si>
    <t>Anatolian J. Clin. Invest.</t>
  </si>
  <si>
    <t>Anat. Rec.</t>
  </si>
  <si>
    <t>Anat. Sci. Int.</t>
  </si>
  <si>
    <t>Anestezi Derg.</t>
  </si>
  <si>
    <t>Anesteziol. Intenzivni Med.</t>
  </si>
  <si>
    <t>Anesth. Analg.</t>
  </si>
  <si>
    <t>Anesth. Resusc.</t>
  </si>
  <si>
    <t>Anesthesiol. Clin.</t>
  </si>
  <si>
    <t>Anesthesiology Res. Pract.</t>
  </si>
  <si>
    <t>Angiol. Cir. Vasc.</t>
  </si>
  <si>
    <t>Anil Aggrawal's Internet J. Forensic Med. Toxicol.</t>
  </si>
  <si>
    <t>Anim. Technol. Welf.</t>
  </si>
  <si>
    <t>Anim. Welf.</t>
  </si>
  <si>
    <t>Ank. Univ. Eczacilik Fak. Derg.</t>
  </si>
  <si>
    <t>Ann. Cardiol. Angeiol.</t>
  </si>
  <si>
    <t>Ann. Dermatol. Venereol.</t>
  </si>
  <si>
    <t>Ann. Pathol.</t>
  </si>
  <si>
    <t>Ann. Endocrinol.</t>
  </si>
  <si>
    <t>Ann. Fr. Anesth. Reanim.</t>
  </si>
  <si>
    <t>Ann. Fr. Med. d'Urgence</t>
  </si>
  <si>
    <t>Ann. Med.-Psychol.</t>
  </si>
  <si>
    <t>Ann. Nestle</t>
  </si>
  <si>
    <t>Ann. Pharm. Fr.</t>
  </si>
  <si>
    <t>Ann. Ital. Dermatol. Allergol. Clin. Sper.</t>
  </si>
  <si>
    <t>Ann. Afr. Med.</t>
  </si>
  <si>
    <t>Ann. Agric. Environ. Med.</t>
  </si>
  <si>
    <t>Ann. Allergy Asthma Immunol.</t>
  </si>
  <si>
    <t>Ann. Anat.</t>
  </si>
  <si>
    <t>Ann. Cancer Res. Ther.</t>
  </si>
  <si>
    <t>Ann. Card. Anaesth.</t>
  </si>
  <si>
    <t>Ann. Clin. Lab. Sci.</t>
  </si>
  <si>
    <t>Ann. Clin. Biochem.</t>
  </si>
  <si>
    <t>Ann. Clin. Microbiol. Antimicrob.</t>
  </si>
  <si>
    <t>Ann. Clin. Psychiatry</t>
  </si>
  <si>
    <t>Ann. Diagn. Pathol.</t>
  </si>
  <si>
    <t>Ann. Emerg. Med.</t>
  </si>
  <si>
    <t>Ann. Epidemiol.</t>
  </si>
  <si>
    <t>Ann. Gastroenterol.</t>
  </si>
  <si>
    <t>Ann. Gen. Psychiatry</t>
  </si>
  <si>
    <t>Ann. of Global Health</t>
  </si>
  <si>
    <t>Ann. Hematol.</t>
  </si>
  <si>
    <t>Ann. Hepatol.</t>
  </si>
  <si>
    <t>Ann. Hum. Genet.</t>
  </si>
  <si>
    <t>Ann. Indian Acad. Neurol.</t>
  </si>
  <si>
    <t>Ann. Intensive Care</t>
  </si>
  <si>
    <t>Ann. Intern. Med.</t>
  </si>
  <si>
    <t>Ann. Long-Term Care</t>
  </si>
  <si>
    <t>Ann. Med.</t>
  </si>
  <si>
    <t>Ann. Med. Surg.</t>
  </si>
  <si>
    <t>Ann. Neurol.</t>
  </si>
  <si>
    <t>Ann. Neurosci.</t>
  </si>
  <si>
    <t>Ann. Noninvasive Electrocardiol.</t>
  </si>
  <si>
    <t>Ann. Nucl. Med.</t>
  </si>
  <si>
    <t>Ann. Nutr. Metab.</t>
  </si>
  <si>
    <t>Ann. Occup. Environ. Med.</t>
  </si>
  <si>
    <t>Ann. Oncol.</t>
  </si>
  <si>
    <t>Ann. Otol. Rhinol. Laryngol.</t>
  </si>
  <si>
    <t>Ann. Pediatr. Cardiol.</t>
  </si>
  <si>
    <t>Ann. Pharmacother.</t>
  </si>
  <si>
    <t>Ann. Phys. Rehabil. Med.</t>
  </si>
  <si>
    <t>Ann. Respir. Med.</t>
  </si>
  <si>
    <t>Ann. Saudi Med.</t>
  </si>
  <si>
    <t>Ann. Surg.</t>
  </si>
  <si>
    <t>Ann. Surg. Oncol.</t>
  </si>
  <si>
    <t>Ann. Acad. Med. Singapore</t>
  </si>
  <si>
    <t>Ann. ICRP</t>
  </si>
  <si>
    <t>Ann. New York Acad. Sci.</t>
  </si>
  <si>
    <t>Ann. Rheum. Dis.</t>
  </si>
  <si>
    <t>Ann. Thorac. Med.</t>
  </si>
  <si>
    <t>Ann. Thorac. Surg.</t>
  </si>
  <si>
    <t>Ann. Transplant.</t>
  </si>
  <si>
    <t>Ann. Trop. Med. Public Health</t>
  </si>
  <si>
    <t>Ann. Vasc. Surg.</t>
  </si>
  <si>
    <t>Annu. Rep. Shionogi Res. Lab.</t>
  </si>
  <si>
    <t>Annu. Rep. Med. Chem.</t>
  </si>
  <si>
    <t>Annu. Rev. Biochem.</t>
  </si>
  <si>
    <t>Annu. Rev. Biomed. Eng.</t>
  </si>
  <si>
    <t>Annu. Rev. Biomed. Sci.</t>
  </si>
  <si>
    <t>Annu. Rev. Biophys.</t>
  </si>
  <si>
    <t>Annu. Rev. Cell Dev. Biol.</t>
  </si>
  <si>
    <t>Annu. Rev. Clin. Psychol.</t>
  </si>
  <si>
    <t>Annu. Rev. Cyber Ther. Telemedicine</t>
  </si>
  <si>
    <t>Annu. Rev. Genet.</t>
  </si>
  <si>
    <t>Annu. Rev. Genomics Hum. Genet.</t>
  </si>
  <si>
    <t>Annu. Rev. Gerontol. Geriatr.</t>
  </si>
  <si>
    <t>Annu. Rev. Immunol.</t>
  </si>
  <si>
    <t>Annu. Rev. Med.</t>
  </si>
  <si>
    <t>Annu. Rev. Microbiol.</t>
  </si>
  <si>
    <t>Annu. Rev. Neurosci.</t>
  </si>
  <si>
    <t>Annu. Rev. Nutr.</t>
  </si>
  <si>
    <t>Annu. Rev. Pathol. Mech. Dis.</t>
  </si>
  <si>
    <t>Annu. Rev. Pharmacol. Toxicol.</t>
  </si>
  <si>
    <t>Annu. Rev. Physiol.</t>
  </si>
  <si>
    <t>Annu. Rev. Public Health</t>
  </si>
  <si>
    <t>Anthropol. Med.</t>
  </si>
  <si>
    <t>Anti-Cancer Agents Med. Chem.</t>
  </si>
  <si>
    <t>Anticancer Res.</t>
  </si>
  <si>
    <t>Anti-Infect. Agents</t>
  </si>
  <si>
    <t>Anti-Inflammatory Anti-Allergy Agents Med. Chem.</t>
  </si>
  <si>
    <t>Antimicrob. Agents Chemother.</t>
  </si>
  <si>
    <t>Antimicrob. Resist. Infect. Control</t>
  </si>
  <si>
    <t>Antioxid. Redox Signal.</t>
  </si>
  <si>
    <t>Anti-Tumor Pharma.</t>
  </si>
  <si>
    <t>Antiviral Chem. Chemother.</t>
  </si>
  <si>
    <t>Antiviral Res.</t>
  </si>
  <si>
    <t>Antiviral Ther.</t>
  </si>
  <si>
    <t>Antonie Van Leeuwenhoek Int. J. Gen. Mol. Microbiol.</t>
  </si>
  <si>
    <t>Appl. Clin. Genet.</t>
  </si>
  <si>
    <t>Appl. Transl. Genomics</t>
  </si>
  <si>
    <t>Appl. Biochem. Biotechnol.</t>
  </si>
  <si>
    <t>Appl. Bionics Biomech.</t>
  </si>
  <si>
    <t>Appl. Cardiopulm. Pathophysiol.</t>
  </si>
  <si>
    <t>Appl. Cogn. Psychol.</t>
  </si>
  <si>
    <t>Appl. Ergon.</t>
  </si>
  <si>
    <t>Appl. Health Econ. Health Policy</t>
  </si>
  <si>
    <t>Appl. Immunohistochem. Mol. Morphol.</t>
  </si>
  <si>
    <t>Appl. Microbiol. Biotechnol.</t>
  </si>
  <si>
    <t>Appl. Radiat. Isot.</t>
  </si>
  <si>
    <t>Appl. Radiol.</t>
  </si>
  <si>
    <t>Apunts Med. Esport</t>
  </si>
  <si>
    <t>Aquat. Toxicol.</t>
  </si>
  <si>
    <t>Arab J. Gastroenterol.</t>
  </si>
  <si>
    <t>Arab J. Urol.</t>
  </si>
  <si>
    <t>Arch. Pharm.</t>
  </si>
  <si>
    <t>Arch. Oncol.</t>
  </si>
  <si>
    <t>Arch. Pediatr.</t>
  </si>
  <si>
    <t>Arch. Mal. Coeur Vaiss. Prat.</t>
  </si>
  <si>
    <t>Arch. Biochem. Biophys.</t>
  </si>
  <si>
    <t>Arch. Cardiovasc. Dis.</t>
  </si>
  <si>
    <t>Arch. Clin. Infect. Dis.</t>
  </si>
  <si>
    <t>Arch. Dermatol. Res.</t>
  </si>
  <si>
    <t>Arch. Dis. Child.</t>
  </si>
  <si>
    <t>Arch. Dis. Child. Educ. Pract. Ed.</t>
  </si>
  <si>
    <t>Arch. Dis. Child. Fetal Neonatal Ed.</t>
  </si>
  <si>
    <t>Arch. Environ. Contam. Toxicol.</t>
  </si>
  <si>
    <t>Arch. Gastroenterohepatol.</t>
  </si>
  <si>
    <t>Arch. Gerontol. Geriatr.</t>
  </si>
  <si>
    <t>Arch. Gynecol. Obstet.</t>
  </si>
  <si>
    <t>Arch. Hell. Med.</t>
  </si>
  <si>
    <t>Arch. Iran. Med.</t>
  </si>
  <si>
    <t>Arch. Med. Res.</t>
  </si>
  <si>
    <t>Arch. Med. Sci.</t>
  </si>
  <si>
    <t>Arch. Microbiol.</t>
  </si>
  <si>
    <t>Arch. Orthop. Trauma Surg.</t>
  </si>
  <si>
    <t>Arch. Osteoporosis</t>
  </si>
  <si>
    <t>Arch. Pharmacal Res.</t>
  </si>
  <si>
    <t>Arch. Pharm. Pract.</t>
  </si>
  <si>
    <t>Arch. Phys. Med. Rehabil.</t>
  </si>
  <si>
    <t>Arch. Plast. Surg.</t>
  </si>
  <si>
    <t>Arch. Psychiatry Psychother.</t>
  </si>
  <si>
    <t>Arch. Balk. Med. Union</t>
  </si>
  <si>
    <t>Arch. Toxicol.</t>
  </si>
  <si>
    <t>Arch. Women's Ment. Health</t>
  </si>
  <si>
    <t>Arch. Ital. Urol. Androl.</t>
  </si>
  <si>
    <t>Arch. Argent. Pediatr.</t>
  </si>
  <si>
    <t>Arch. Bronconeumol.</t>
  </si>
  <si>
    <t>Arch. Cardiol. Mex.</t>
  </si>
  <si>
    <t>Arch. Med.</t>
  </si>
  <si>
    <t>Arch. Neurocienc.</t>
  </si>
  <si>
    <t>Arch. Psiquiatr.</t>
  </si>
  <si>
    <t>Arch. Venez. Farmacol. Ter.</t>
  </si>
  <si>
    <t>Arch. Immunol. Ther. Exp.</t>
  </si>
  <si>
    <t>Argomenti Gastroenterol. Clin.</t>
  </si>
  <si>
    <t>Arh. Farm.</t>
  </si>
  <si>
    <t>Arh. Hig. Rada Toksikol.</t>
  </si>
  <si>
    <t>Arq. Bras. Cardiol.</t>
  </si>
  <si>
    <t>Arq. Gastroenterol.</t>
  </si>
  <si>
    <t>Arq. Med.</t>
  </si>
  <si>
    <t>Arq. Neuro-Psiquiatr.</t>
  </si>
  <si>
    <t>Ars Pharm.</t>
  </si>
  <si>
    <t>Arterioscler. Thromb. Vasc. Biol.</t>
  </si>
  <si>
    <t>Artery Res.</t>
  </si>
  <si>
    <t>Arthritis Rheum.</t>
  </si>
  <si>
    <t>Arthritis Care Res.</t>
  </si>
  <si>
    <t>Arthritis Res. Ther.</t>
  </si>
  <si>
    <t>Arthropod Struct. Dev.</t>
  </si>
  <si>
    <t>Arthroscopy Tech.</t>
  </si>
  <si>
    <t>Artif. DNA: PNA XNA</t>
  </si>
  <si>
    <t>Artif. Intell. Med.</t>
  </si>
  <si>
    <t>Artif. Organs</t>
  </si>
  <si>
    <t>Arts Psychother.</t>
  </si>
  <si>
    <t>Arya Atheroscler.</t>
  </si>
  <si>
    <t>ASAIO J.</t>
  </si>
  <si>
    <t>ASGE Clin. Update</t>
  </si>
  <si>
    <t>Asia Pac. J. Environ. Law</t>
  </si>
  <si>
    <t>Asian Biomed.</t>
  </si>
  <si>
    <t>Asian Cardiovasc. Thorac. Ann.</t>
  </si>
  <si>
    <t>Asian J. Androl.</t>
  </si>
  <si>
    <t>Asian J. Epidemiol.</t>
  </si>
  <si>
    <t>Asian J. Microbiol. Biotechnol. Environ. Sci.</t>
  </si>
  <si>
    <t>Asian J. Pharm. Clin. Res.</t>
  </si>
  <si>
    <t>Asian J. Pharm. Res. Health Care</t>
  </si>
  <si>
    <t>Asian J. Pharm. Sci.</t>
  </si>
  <si>
    <t>Asian J. Pharm.</t>
  </si>
  <si>
    <t>Asian J. Pharmacodyn. Pharmacokinet</t>
  </si>
  <si>
    <t>Asian J. Psychiatry</t>
  </si>
  <si>
    <t>Asian Nurs. Res.</t>
  </si>
  <si>
    <t>Asian Pac. J. Allergy Immunol.</t>
  </si>
  <si>
    <t>Asian Pac. J. Trop. Biomed.</t>
  </si>
  <si>
    <t>Asian Pac. J. Trop. Dis.</t>
  </si>
  <si>
    <t>Asian Pac. J. Trop. Med.</t>
  </si>
  <si>
    <t>Asia-Pac. J. Clin. Oncol.</t>
  </si>
  <si>
    <t>Asia-Pac. J. Sports Med. Arthroscopy Rehabil. Technol.</t>
  </si>
  <si>
    <t>Asim Allerji Immunoloji</t>
  </si>
  <si>
    <t>Asymmetry</t>
  </si>
  <si>
    <t>Assay Drug Dev. Technol.</t>
  </si>
  <si>
    <t>Atemwegs- Lungenkr.</t>
  </si>
  <si>
    <t>Aten. Farm.</t>
  </si>
  <si>
    <t>Aten. Prim.</t>
  </si>
  <si>
    <t>Atheroscler. Suppl.</t>
  </si>
  <si>
    <t>ATLA Altern. Lab. Anim.</t>
  </si>
  <si>
    <t>Atmos. Environ.</t>
  </si>
  <si>
    <t>Audiol. Res.</t>
  </si>
  <si>
    <t>Australas. Biotechnol.</t>
  </si>
  <si>
    <t>Australas. J. Dermatol.</t>
  </si>
  <si>
    <t>Australas. J. Paramedicine</t>
  </si>
  <si>
    <t>Australas. Med. J.</t>
  </si>
  <si>
    <t>Australas. Phys. Eng. Sci. Med.</t>
  </si>
  <si>
    <t>Australas. Psychiatry</t>
  </si>
  <si>
    <t>Aust. New Zealand J. Obstet. Gynaecol.</t>
  </si>
  <si>
    <t>Aust. New Zealand J. Psychiatry</t>
  </si>
  <si>
    <t>Aust. J. Forensic Sci.</t>
  </si>
  <si>
    <t>Aust. J. Med. Sci.</t>
  </si>
  <si>
    <t>Aust. J. Pharm.</t>
  </si>
  <si>
    <t>Aust. J. Prim. Health</t>
  </si>
  <si>
    <t>Aust. Prescr.</t>
  </si>
  <si>
    <t>Austrian J. Clin. Endocrinol. Metab.</t>
  </si>
  <si>
    <t>Autism Res.</t>
  </si>
  <si>
    <t>Autoimmune Dis.</t>
  </si>
  <si>
    <t>Autoimmun. Highlights</t>
  </si>
  <si>
    <t>Autoimmun. Rev.</t>
  </si>
  <si>
    <t>Autom. Exp.</t>
  </si>
  <si>
    <t>Auton. Autacoid Pharmacol.</t>
  </si>
  <si>
    <t>Auton. Neurosc. Basic Clin.</t>
  </si>
  <si>
    <t>Av. Diabetol.</t>
  </si>
  <si>
    <t>Avian. Biol. Res.</t>
  </si>
  <si>
    <t>Avicenna J. Med. Biotechnol.</t>
  </si>
  <si>
    <t>Avicenna J. Phytomedicine</t>
  </si>
  <si>
    <t>AWIC Bull.</t>
  </si>
  <si>
    <t>Azerbaijan Med. J.</t>
  </si>
  <si>
    <t>Azerbaijan Pharm. Pharmacotherapy J.</t>
  </si>
  <si>
    <t>BAG J. Basic Appl. Genet.</t>
  </si>
  <si>
    <t>Bahrain Med. Bull.</t>
  </si>
  <si>
    <t>Balk. J. Med. Genet.</t>
  </si>
  <si>
    <t>Balkan Med. J.</t>
  </si>
  <si>
    <t>Bangladesh J. Med. Sci.</t>
  </si>
  <si>
    <t>Bangladesh J. Obstet. Gynecol.</t>
  </si>
  <si>
    <t>Banladesh J. Pharm.</t>
  </si>
  <si>
    <t>Bangladesh Med. Res. Counc. Bull.</t>
  </si>
  <si>
    <t>Bangladesh Renal J.</t>
  </si>
  <si>
    <t>Bariatr. Surg. pract. Patient Care</t>
  </si>
  <si>
    <t>Basic Clin. Neurosci.</t>
  </si>
  <si>
    <t>Basic Clin. Pharmacol. Toxicol.</t>
  </si>
  <si>
    <t>Basic Res. Cardiol.</t>
  </si>
  <si>
    <t>BBA Clin.</t>
  </si>
  <si>
    <t>Behav. Genet.</t>
  </si>
  <si>
    <t>Behav. Ther.</t>
  </si>
  <si>
    <t>Behav. Brain Funct.</t>
  </si>
  <si>
    <t>Behav. Brain Sci.</t>
  </si>
  <si>
    <t>Behav. Med.</t>
  </si>
  <si>
    <t>Behav. Neurosci.</t>
  </si>
  <si>
    <t>Behav. Change</t>
  </si>
  <si>
    <t>Behav. Res. Ther.</t>
  </si>
  <si>
    <t>Behav. Brain Res.</t>
  </si>
  <si>
    <t>Behav. Neurol.</t>
  </si>
  <si>
    <t>Behav. Pharmacol.</t>
  </si>
  <si>
    <t>Behav. Processes</t>
  </si>
  <si>
    <t>Benefic. Microbes</t>
  </si>
  <si>
    <t>J. Postgrad. Med.</t>
  </si>
  <si>
    <t>Best Pract. Res. Clin. Anaesthesiol.</t>
  </si>
  <si>
    <t>Best Pract. Res. Clin. Endocrinol. Metab.</t>
  </si>
  <si>
    <t>Best Pract. Res. Clin. Gastroenterol.</t>
  </si>
  <si>
    <t>Best Pract. Res. Clin. Haematol.</t>
  </si>
  <si>
    <t>Best Pract. Res. Clin. Obstet. Gynaecol.</t>
  </si>
  <si>
    <t>Best Pract. Res. Clin. Rheumatol.</t>
  </si>
  <si>
    <t>Best Pract. Onkol.</t>
  </si>
  <si>
    <t>B. V. S.</t>
  </si>
  <si>
    <t>Bioact. Carbohydr. Dietary Fibre</t>
  </si>
  <si>
    <t>Bioanalytical Rev.</t>
  </si>
  <si>
    <t>Biocatal. Biotransform.</t>
  </si>
  <si>
    <t>Biochem Med.</t>
  </si>
  <si>
    <t>Biochem. Biophys. Res. Commun.</t>
  </si>
  <si>
    <t>Biochem. Eng. J.</t>
  </si>
  <si>
    <t>Biochem. Genet.</t>
  </si>
  <si>
    <t>Biochem. J.</t>
  </si>
  <si>
    <t>Biochem. Pharmacol.</t>
  </si>
  <si>
    <t>Biochem. Soc. Trans.</t>
  </si>
  <si>
    <t>Biochem. (Moscow) Suppl. Ser. A Membr. Cell. Bio.</t>
  </si>
  <si>
    <t>Biochem. (Moscow) Suppl. Ser. B Biomed. Chem.</t>
  </si>
  <si>
    <t>Biochem. Cell Biol.</t>
  </si>
  <si>
    <t>Biochim. Clin.</t>
  </si>
  <si>
    <t>Biochim. Biophys. Acta Bioenerg.</t>
  </si>
  <si>
    <t>Biochim. Biophys. Acta Biomembr.</t>
  </si>
  <si>
    <t>Biochim. Biophys. Acta Gene Regul. Mech.</t>
  </si>
  <si>
    <t>Biochim. Biophys. Acta Gen. Subj.</t>
  </si>
  <si>
    <t>Biochim. Biophys. Acta Mol. Cell Biol. Lipids</t>
  </si>
  <si>
    <t>Biochim. Biophys. Acta Mol. Basis Dis.</t>
  </si>
  <si>
    <t>Biochim. Biophys. Acta Mol. Cell Res.</t>
  </si>
  <si>
    <t>Biochim. Biophys. Acta Proteins Proteomics</t>
  </si>
  <si>
    <t>Biochim. Biophys. Acta Rev. Cancer</t>
  </si>
  <si>
    <t>Bioch. J.</t>
  </si>
  <si>
    <t>Bioconjugate Chem.</t>
  </si>
  <si>
    <t>Biocontrol Sci.</t>
  </si>
  <si>
    <t>Biocybern. Biomed. Eng.</t>
  </si>
  <si>
    <t>BioData Min.</t>
  </si>
  <si>
    <t>Bioinformatics Biol. Insights</t>
  </si>
  <si>
    <t>Biol. Pharm. Bull.</t>
  </si>
  <si>
    <t>Biol. Chem.</t>
  </si>
  <si>
    <t>Biol. Proc. Online</t>
  </si>
  <si>
    <t>Biol. Psychiatry</t>
  </si>
  <si>
    <t>Biol. Psychol.</t>
  </si>
  <si>
    <t>Biol. Rhythm Res.</t>
  </si>
  <si>
    <t>Biol. Trace Elem. Res.</t>
  </si>
  <si>
    <t>Biol. Ther.</t>
  </si>
  <si>
    <t>Biol. Targets Ther.</t>
  </si>
  <si>
    <t>Biol. Blood Marrow Transplant.</t>
  </si>
  <si>
    <t>Biol. Mood Anxiety Disord.</t>
  </si>
  <si>
    <t>Biol. Reprod.</t>
  </si>
  <si>
    <t>Biol. Cell</t>
  </si>
  <si>
    <t>Biomarker Res.</t>
  </si>
  <si>
    <t>Biomarkers Genomic Med.</t>
  </si>
  <si>
    <t>Biomarkers Med.</t>
  </si>
  <si>
    <t>Biomater. Sci.</t>
  </si>
  <si>
    <t>Biomech. Model. Mechanobiology</t>
  </si>
  <si>
    <t>BioMed Res. Int.</t>
  </si>
  <si>
    <t>Biomed. Health. Res.</t>
  </si>
  <si>
    <t>Biomed. Pharmacol. J.</t>
  </si>
  <si>
    <t>Biomed. Chromatogr.</t>
  </si>
  <si>
    <t>Biomed. Eng.</t>
  </si>
  <si>
    <t>Biomed. Eng. Appl. Basis Commun.</t>
  </si>
  <si>
    <t>Biomed. Eng. Lett.</t>
  </si>
  <si>
    <t>Biomed. Eng. Online</t>
  </si>
  <si>
    <t>Biomed. Imaging Intervent. J</t>
  </si>
  <si>
    <t>Biomed. Instrum. Technol.</t>
  </si>
  <si>
    <t>Biomed. J.</t>
  </si>
  <si>
    <t>Biomed. Mater.</t>
  </si>
  <si>
    <t>Bio-Med. Mater. Eng.</t>
  </si>
  <si>
    <t>Biomed. Microdevices</t>
  </si>
  <si>
    <t>Biomed. Opt. Express</t>
  </si>
  <si>
    <t>Biomed. Rep.</t>
  </si>
  <si>
    <t>Biomed. Res.</t>
  </si>
  <si>
    <t>Biomed. Rev.</t>
  </si>
  <si>
    <t>Biomed. Sci. Instrum.</t>
  </si>
  <si>
    <t>Biomed. Signal Process. Control</t>
  </si>
  <si>
    <t>Biomed. Spectrosc. Image</t>
  </si>
  <si>
    <t>Biomedicine</t>
  </si>
  <si>
    <t>BioMedicine</t>
  </si>
  <si>
    <t>Biomed. Pharmacother.</t>
  </si>
  <si>
    <t>Biomed. Prev. Nutr.</t>
  </si>
  <si>
    <t>Biomol. Ther.</t>
  </si>
  <si>
    <t>Bioorg. Med. Chem.</t>
  </si>
  <si>
    <t>Bioorg. Med. Chem. Lett.</t>
  </si>
  <si>
    <t>Bioorg. Chem.</t>
  </si>
  <si>
    <t>BioPharm Int.</t>
  </si>
  <si>
    <t>Biopharm. Drug Dispos.</t>
  </si>
  <si>
    <t>Biophys. Chem.</t>
  </si>
  <si>
    <t>Biophys. Rev.</t>
  </si>
  <si>
    <t>Biophys. Rev. Lett.</t>
  </si>
  <si>
    <t>Bioplym. Cell</t>
  </si>
  <si>
    <t>Biopreservation Biobanking</t>
  </si>
  <si>
    <t>Bioprocess Biosyst. Eng.</t>
  </si>
  <si>
    <t>BioProcess Int.</t>
  </si>
  <si>
    <t>Bioresour. Technol.</t>
  </si>
  <si>
    <t>Biosci. Rep.</t>
  </si>
  <si>
    <t>Biosci. Biotechnol. Res. Asia</t>
  </si>
  <si>
    <t>Biosens. Bioelectron.</t>
  </si>
  <si>
    <t>Biotechnol. Appl. Biochem.</t>
  </si>
  <si>
    <t>Biotechnol. Bioeng.</t>
  </si>
  <si>
    <t>Biotechnol. Bioprocess Eng.</t>
  </si>
  <si>
    <t>Biotechnol. Genet. Eng. Rev.</t>
  </si>
  <si>
    <t>Biotechnol. Annu. Rev.</t>
  </si>
  <si>
    <t>Biotechnol. J.</t>
  </si>
  <si>
    <t>Biotecnol. Apl.</t>
  </si>
  <si>
    <t>Biotherapy</t>
  </si>
  <si>
    <t>Bipolar Disord.</t>
  </si>
  <si>
    <t>Birkhauser Adv. Infect. Dis.</t>
  </si>
  <si>
    <t>Birth Defects Res. Part A Clin. Mol. Teratol.</t>
  </si>
  <si>
    <t>Birth Defects Res. Part B Dev. Reprod. Toxicol.</t>
  </si>
  <si>
    <t>Birth Defects Res. Part C Embryo Today Rev.</t>
  </si>
  <si>
    <t>Biul. Wydz. Farm. Warszawskiego Uniw. Med.</t>
  </si>
  <si>
    <t>BJOG Int. J. Obstet. Gynaecol.</t>
  </si>
  <si>
    <t>BJU Int.</t>
  </si>
  <si>
    <t>BJU Int. Suppl.</t>
  </si>
  <si>
    <t>Blood Lymphatic Cancer Targets Ther.</t>
  </si>
  <si>
    <t>Blood Cancer J.</t>
  </si>
  <si>
    <t>Blood Cells Mol. Dis.</t>
  </si>
  <si>
    <t>Blood Coagul. Fibrinolysis</t>
  </si>
  <si>
    <t>Blood Press.</t>
  </si>
  <si>
    <t>Blood Press. Monit.</t>
  </si>
  <si>
    <t>Blood Purif.</t>
  </si>
  <si>
    <t>Blood Res.</t>
  </si>
  <si>
    <t>Blood Rev.</t>
  </si>
  <si>
    <t>BMC Anesthesiol.</t>
  </si>
  <si>
    <t>BMC Biochem.</t>
  </si>
  <si>
    <t>BMC Biotechnol.</t>
  </si>
  <si>
    <t>BMC Blood Disord.</t>
  </si>
  <si>
    <t>BMC Cardiovasc. Disord.</t>
  </si>
  <si>
    <t>BMC Cell Biol.</t>
  </si>
  <si>
    <t>BMC Chem. Biol.</t>
  </si>
  <si>
    <t>BMC Clin. Pathol.</t>
  </si>
  <si>
    <t>BMC Complement. Altern. Med.</t>
  </si>
  <si>
    <t>BMC Dermatol.</t>
  </si>
  <si>
    <t>BMC Ear Nose Throat Disord.</t>
  </si>
  <si>
    <t>BMC Emerg. Med.</t>
  </si>
  <si>
    <t>BMC Endocr. Disord.</t>
  </si>
  <si>
    <t>BMC Gastroenterol.</t>
  </si>
  <si>
    <t>BMC Genet.</t>
  </si>
  <si>
    <t>BMC Immunol.</t>
  </si>
  <si>
    <t>BMC Infect. Dis.</t>
  </si>
  <si>
    <t>BMC Int. Health Hum. Rights</t>
  </si>
  <si>
    <t>BMC Med. Genet.</t>
  </si>
  <si>
    <t>BMC Med. Genomics</t>
  </si>
  <si>
    <t>BMC Med. Phys.</t>
  </si>
  <si>
    <t>BMC Med.</t>
  </si>
  <si>
    <t>BMC Microbiol.</t>
  </si>
  <si>
    <t>BMC Mol. Biol.</t>
  </si>
  <si>
    <t>BMC Musculoskelet. Disord.</t>
  </si>
  <si>
    <t>BMC Nephrol.</t>
  </si>
  <si>
    <t>BMC Neurol.</t>
  </si>
  <si>
    <t>BMC Neurosci.</t>
  </si>
  <si>
    <t>BMC Pediatr.</t>
  </si>
  <si>
    <t>BMC Pharmacol. Toxicol.</t>
  </si>
  <si>
    <t>BMC Proc.</t>
  </si>
  <si>
    <t>BMC Pulm. Med.</t>
  </si>
  <si>
    <t>BMC Struct. Biol.</t>
  </si>
  <si>
    <t>BMC Urol.</t>
  </si>
  <si>
    <t>BMJ Case Rep.</t>
  </si>
  <si>
    <t>BMJ Qual. Saf.</t>
  </si>
  <si>
    <t>Body Mov. Dance Psychother.</t>
  </si>
  <si>
    <t>Bol.latinoam. y del Caribe de Plant.med.y aromat.</t>
  </si>
  <si>
    <t>Bol. Med. Hosp. Infant. Mex.</t>
  </si>
  <si>
    <t>Boll. Lega Ital. Epilessia</t>
  </si>
  <si>
    <t>Bone Jt. J.</t>
  </si>
  <si>
    <t>Bone Marrow Res.</t>
  </si>
  <si>
    <t>Bone Marrow Transplant.</t>
  </si>
  <si>
    <t>BoneKEy Rep.</t>
  </si>
  <si>
    <t>Botulinum J.</t>
  </si>
  <si>
    <t>Brain Behav.</t>
  </si>
  <si>
    <t>Brain Cogn.</t>
  </si>
  <si>
    <t>Brain Dev.</t>
  </si>
  <si>
    <t>Brain Lang.</t>
  </si>
  <si>
    <t>Brain Imaging Behav.</t>
  </si>
  <si>
    <t>Brain Inj.</t>
  </si>
  <si>
    <t>Brain Pathol.</t>
  </si>
  <si>
    <t>Brain Res.</t>
  </si>
  <si>
    <t>Brain Res. Bull.</t>
  </si>
  <si>
    <t>Brain Res. J.</t>
  </si>
  <si>
    <t>Brain Sci.</t>
  </si>
  <si>
    <t>Brain Stimul.</t>
  </si>
  <si>
    <t>Brain Struct. Funct.</t>
  </si>
  <si>
    <t>Brain Topogr.</t>
  </si>
  <si>
    <t>Brain Tumor Pathol.</t>
  </si>
  <si>
    <t>Brain Behav. Immun.</t>
  </si>
  <si>
    <t>Braz. J. Infect. Dis.</t>
  </si>
  <si>
    <t>Braz. J. Med. Biol. Res.</t>
  </si>
  <si>
    <t>Bras. J. Pharm. Sci.</t>
  </si>
  <si>
    <t>Braz. J. Pharamacogn.</t>
  </si>
  <si>
    <t>Breast Cancer Manage.</t>
  </si>
  <si>
    <t>Breast Cancer Res.</t>
  </si>
  <si>
    <t>Breast Cancer Res. Treat.</t>
  </si>
  <si>
    <t>Breast Cancer Basic Clin. Res.</t>
  </si>
  <si>
    <t>Breast Cancer: Target Ther.</t>
  </si>
  <si>
    <t>Breast Dis.</t>
  </si>
  <si>
    <t>Breast J.</t>
  </si>
  <si>
    <t>Breastfeeding Med.</t>
  </si>
  <si>
    <t>Brief. Funct. Genomics</t>
  </si>
  <si>
    <t>Br. J. Anaesth.</t>
  </si>
  <si>
    <t>Br. J. Biomed. Sci.</t>
  </si>
  <si>
    <t>Br. J. Cancer</t>
  </si>
  <si>
    <t>Br. J. Cardiol.</t>
  </si>
  <si>
    <t>Br. J. Clin. Pharmacol.</t>
  </si>
  <si>
    <t>Br. J. Dermatol.</t>
  </si>
  <si>
    <t>Br. J. Diabetes Vasc. Dis.</t>
  </si>
  <si>
    <t>Br. J. Gen. Pract.</t>
  </si>
  <si>
    <t>Br. J. Haematol.</t>
  </si>
  <si>
    <t>Br. J. Med. Pract.</t>
  </si>
  <si>
    <t>Br. J. Neurosurg.</t>
  </si>
  <si>
    <t>Br. J. Nutr.</t>
  </si>
  <si>
    <t>Br. J. Ophthalmol.</t>
  </si>
  <si>
    <t>Br. J. Oral Maxillofac. Surg.</t>
  </si>
  <si>
    <t>Br. J. Pharmacol.</t>
  </si>
  <si>
    <t>Br. J. Psychiatry</t>
  </si>
  <si>
    <t>Br. J. Psychother.</t>
  </si>
  <si>
    <t>Br. J. Radiol.</t>
  </si>
  <si>
    <t>Br. Med. Bull.</t>
  </si>
  <si>
    <t>Bull. Cancer</t>
  </si>
  <si>
    <t>Bull. Exp. Biol. Med.</t>
  </si>
  <si>
    <t>Bull. Fac. Pharm. Cairo Univ.</t>
  </si>
  <si>
    <t>Bull. Pharm. Sci.</t>
  </si>
  <si>
    <t>Bull. Menninger Clin.</t>
  </si>
  <si>
    <t>Bull. NYU Hosp. Jt. Dis.</t>
  </si>
  <si>
    <t>Bull. WHO</t>
  </si>
  <si>
    <t>Bull. Postgrad. Inst. Med. Educ. Res. Chandigarh</t>
  </si>
  <si>
    <t>CA Cancer J. Clin.</t>
  </si>
  <si>
    <t>Cah. l'Annee Gerontol.</t>
  </si>
  <si>
    <t>Cah. Nutr. Diet.</t>
  </si>
  <si>
    <t>Calcif. Tissue Int.</t>
  </si>
  <si>
    <t>Can. Assoc. Radiol. J.</t>
  </si>
  <si>
    <t>Can. Fam. Phys.</t>
  </si>
  <si>
    <t>Can. J. Anesth.</t>
  </si>
  <si>
    <t>Can. J. Cardiol.</t>
  </si>
  <si>
    <t>Can. J. Diabetes</t>
  </si>
  <si>
    <t>Can. J. Emerg. Med.</t>
  </si>
  <si>
    <t>Can. J. Hosp. Pharm.</t>
  </si>
  <si>
    <t>Can. J. Hum. Sex.</t>
  </si>
  <si>
    <t>Can. J. Infect. Dis. Med. Microbiol.</t>
  </si>
  <si>
    <t>Can. J. Microbiol.</t>
  </si>
  <si>
    <t>Can. J. Neurol. Sci.</t>
  </si>
  <si>
    <t>Can. J. Ophthalmol.</t>
  </si>
  <si>
    <t>Can. J. Physiol. Pharmacol.</t>
  </si>
  <si>
    <t>Can. J. Psychiatry</t>
  </si>
  <si>
    <t>Can. J. Resp. Ther.</t>
  </si>
  <si>
    <t>Can. J. Vet. Res.</t>
  </si>
  <si>
    <t>Can. Pharm. J.</t>
  </si>
  <si>
    <t>Can. Respir. J.</t>
  </si>
  <si>
    <t>Cancer Chemother. Rev.</t>
  </si>
  <si>
    <t>Cancer Metab.</t>
  </si>
  <si>
    <t>Cancer Metastasis Rev.</t>
  </si>
  <si>
    <t>Cancer Biol. Med.</t>
  </si>
  <si>
    <t>Cancer Biol. Ther.</t>
  </si>
  <si>
    <t>Cancer Biother. Radiopharm.</t>
  </si>
  <si>
    <t>Cancer Cell Int.</t>
  </si>
  <si>
    <t>Cancer Chemother. Pharmacol.</t>
  </si>
  <si>
    <t>Cancer Cytho.</t>
  </si>
  <si>
    <t>Cancer Discov.</t>
  </si>
  <si>
    <t>Cancer Drug Discov. Dev.</t>
  </si>
  <si>
    <t>Cancer Epidemiol.</t>
  </si>
  <si>
    <t>Cancer Epidemiol. Biomarkers Prev.</t>
  </si>
  <si>
    <t>Cancer Gene Ther.</t>
  </si>
  <si>
    <t>Cancer Genet.</t>
  </si>
  <si>
    <t>Cancer Immun.</t>
  </si>
  <si>
    <t>Cancer Immunol. Immunother.</t>
  </si>
  <si>
    <t>Cancer Invest.</t>
  </si>
  <si>
    <t>Cancer J.</t>
  </si>
  <si>
    <t>Cancer Lett.</t>
  </si>
  <si>
    <t>Cancer Manage. Res.</t>
  </si>
  <si>
    <t>Cancer Med.</t>
  </si>
  <si>
    <t>Cancer Metastasis Biol. Treat.</t>
  </si>
  <si>
    <t>Cancer Nanotechnol.</t>
  </si>
  <si>
    <t>Cancer Nurs.</t>
  </si>
  <si>
    <t>Cancer Prev. Res.</t>
  </si>
  <si>
    <t>Cancer Res.</t>
  </si>
  <si>
    <t>Cancer Res. Clin.</t>
  </si>
  <si>
    <t>Cancer Res. Treat.</t>
  </si>
  <si>
    <t>Cancer Sci.</t>
  </si>
  <si>
    <t>Cancer Ther.</t>
  </si>
  <si>
    <t>Cancer Treat. Res.</t>
  </si>
  <si>
    <t>Cancer Treat. Commun.</t>
  </si>
  <si>
    <t>Cancer Treat. Rev.</t>
  </si>
  <si>
    <t>Cancer Radiother.</t>
  </si>
  <si>
    <t>Carbohydr. Res.</t>
  </si>
  <si>
    <t>Card. Electrophysiol. Clin.</t>
  </si>
  <si>
    <t>Cardiol. Ther.</t>
  </si>
  <si>
    <t>Cardiol. Clin.</t>
  </si>
  <si>
    <t>Cardiol. Rev.</t>
  </si>
  <si>
    <t>Cardiol. Young</t>
  </si>
  <si>
    <t>Cardiol. J.</t>
  </si>
  <si>
    <t>Cardiol. Lett.</t>
  </si>
  <si>
    <t>Cardiol. Res.</t>
  </si>
  <si>
    <t>Cardiol.Res. Pract.</t>
  </si>
  <si>
    <t>CardioRenal Med.</t>
  </si>
  <si>
    <t>cardiovasc. Hematol. Agents Med. Chem.</t>
  </si>
  <si>
    <t>Cardiovasc. Hematol. Disord. Drug Targets</t>
  </si>
  <si>
    <t>Cardiovasc. Intervent. Radiol.</t>
  </si>
  <si>
    <t>Cardiovasc. Diabetol.</t>
  </si>
  <si>
    <t>Cardiovasc. Drugs Ther.</t>
  </si>
  <si>
    <t>Cardiovasc. Endocrinol.</t>
  </si>
  <si>
    <t>Cardiovasc. Eng. Technol.</t>
  </si>
  <si>
    <t>Cardiovasc. Forum</t>
  </si>
  <si>
    <t>Cardiovasc. Intervention Ther.</t>
  </si>
  <si>
    <t>Cardiovas. J. Afri.</t>
  </si>
  <si>
    <t>Cardiovasc. Pathol.</t>
  </si>
  <si>
    <t>Cardiovasc. Psychiatry Nerol.</t>
  </si>
  <si>
    <t>Cardiovasc. Res.</t>
  </si>
  <si>
    <t>Cardiovasc. Revasc. Med.</t>
  </si>
  <si>
    <t>Cardiovasc. Ther.</t>
  </si>
  <si>
    <t>Cardiovasc. Toxicol.</t>
  </si>
  <si>
    <t>Cardiovasc. Ultrasound</t>
  </si>
  <si>
    <t>Case Rep. Cardiol.</t>
  </si>
  <si>
    <t>Case Rep. Dermatol.</t>
  </si>
  <si>
    <t>Case Rep. Endocrinol.</t>
  </si>
  <si>
    <t>Case Rep. Gastroenterol.</t>
  </si>
  <si>
    <t>Case Rep. Immunol.</t>
  </si>
  <si>
    <t>Case Rep. Med.</t>
  </si>
  <si>
    <t>Case Rep. Neurol.</t>
  </si>
  <si>
    <t>Case Rep. Oncol. Med.</t>
  </si>
  <si>
    <t>Case Rep. Oncol.</t>
  </si>
  <si>
    <t>Case Rep. Ophthalmol.</t>
  </si>
  <si>
    <t>Cases J.</t>
  </si>
  <si>
    <t>Caspian J. Int. Med.</t>
  </si>
  <si>
    <t>Catheter. Cardiovasc. Interventions</t>
  </si>
  <si>
    <t>Cell Adhesion Migr.</t>
  </si>
  <si>
    <t>Cell Tissue Res.</t>
  </si>
  <si>
    <t>Cell Biochem. Funct.</t>
  </si>
  <si>
    <t>Cell Biol. Toxicol.</t>
  </si>
  <si>
    <t>Cell Biol. Int.</t>
  </si>
  <si>
    <t>Cell Biol. Intern. Rep.</t>
  </si>
  <si>
    <t>Cell Commun. Adhes.</t>
  </si>
  <si>
    <t>Cell Commun. Signal.</t>
  </si>
  <si>
    <t>Cell Death Differ.</t>
  </si>
  <si>
    <t>Cell Death Dis.</t>
  </si>
  <si>
    <t>Cell Health Cytoskeleton</t>
  </si>
  <si>
    <t>Cell J.</t>
  </si>
  <si>
    <t>Cell Membr. Free Radic. Res.</t>
  </si>
  <si>
    <t>Cell Metab.</t>
  </si>
  <si>
    <t>Cell Prolif.</t>
  </si>
  <si>
    <t>Cell Regen.</t>
  </si>
  <si>
    <t>Cell Rep.</t>
  </si>
  <si>
    <t>Cell Struct. Funct.</t>
  </si>
  <si>
    <t>Cell Transplant.</t>
  </si>
  <si>
    <t>Cell. Mol. Bioeng.</t>
  </si>
  <si>
    <t>Cell. Mol. Biol.</t>
  </si>
  <si>
    <t>Cell. Mol. Biol. Lett.</t>
  </si>
  <si>
    <t>Cell. Mol. Immunol</t>
  </si>
  <si>
    <t>Cell. Mol. Life Sci.</t>
  </si>
  <si>
    <t>Cell. Mol. Neurobiol.</t>
  </si>
  <si>
    <t>Cell. Immunol.</t>
  </si>
  <si>
    <t>Cell. Logist.</t>
  </si>
  <si>
    <t>Cell. Microbiol.</t>
  </si>
  <si>
    <t>Cell. Oncol.</t>
  </si>
  <si>
    <t>Cell. Physiol. Biochem.</t>
  </si>
  <si>
    <t>Cell. Reprogramming</t>
  </si>
  <si>
    <t>Cell. Signal.</t>
  </si>
  <si>
    <t>Cell. Ther. Transplant.</t>
  </si>
  <si>
    <t>CEN Case Rep.</t>
  </si>
  <si>
    <t>Cent. Eur. J. Immunol.</t>
  </si>
  <si>
    <t>Cent. Eur. Neurosurg.</t>
  </si>
  <si>
    <t>Cent. Nerv. Syst. Agents Med. Chem.</t>
  </si>
  <si>
    <t>Cereb. Cortex</t>
  </si>
  <si>
    <t>Cerebrovasc. Dis.</t>
  </si>
  <si>
    <t>Ceska Slov. Farm.</t>
  </si>
  <si>
    <t>Ceska Slov. Neurol. Neurochir.</t>
  </si>
  <si>
    <t>Ceska Slov. Psychiatr.</t>
  </si>
  <si>
    <t>Ceska Radiol.</t>
  </si>
  <si>
    <t>Ceska Revmatol.</t>
  </si>
  <si>
    <t>Chem. Pharm. Bull.</t>
  </si>
  <si>
    <t>Chem. Biol. Drug Des.</t>
  </si>
  <si>
    <t>Chem. Commun.</t>
  </si>
  <si>
    <t>Chem. Immunol. Allergy</t>
  </si>
  <si>
    <t>Chem. Res. Toxicol.</t>
  </si>
  <si>
    <t>Chem. Senses</t>
  </si>
  <si>
    <t>Chem.-Biol. Interact.</t>
  </si>
  <si>
    <t>Chem. Biodiversity</t>
  </si>
  <si>
    <t>Chem. Biol.</t>
  </si>
  <si>
    <t>Chem. Phys. Lipids</t>
  </si>
  <si>
    <t>Chemometr. Intelligent Lab. Syst.</t>
  </si>
  <si>
    <t>Chemother. Res. Pract.</t>
  </si>
  <si>
    <t>Chest Dis. Rep.</t>
  </si>
  <si>
    <t>Chiba Med. J.</t>
  </si>
  <si>
    <t>Child Abuse Negl.</t>
  </si>
  <si>
    <t>Child Adolesc. Ment. Health</t>
  </si>
  <si>
    <t>Child Adolesc. Psychiatr. Clin. North Am.</t>
  </si>
  <si>
    <t>Child Adolesc. Psychiatry Ment. Health</t>
  </si>
  <si>
    <t>Child. Health Care</t>
  </si>
  <si>
    <t>Child's Nerv. Syst.</t>
  </si>
  <si>
    <t>Chin. Crit. Care Med.</t>
  </si>
  <si>
    <t>Chin. Herbal Med.</t>
  </si>
  <si>
    <t>Chin. J. Androl.</t>
  </si>
  <si>
    <t>Chin. J. Antibiot.</t>
  </si>
  <si>
    <t>Chin. J. Biol.</t>
  </si>
  <si>
    <t>Chin. J. Biomed. Eng.</t>
  </si>
  <si>
    <t>Chin. J. Burns</t>
  </si>
  <si>
    <t>Chin. J. Cancer</t>
  </si>
  <si>
    <t>Chinese J. Cancer Biother.</t>
  </si>
  <si>
    <t>Chin. J. Cancer Prev. Treat.</t>
  </si>
  <si>
    <t>Chin. J. Cancer Res.</t>
  </si>
  <si>
    <t>Chin. J. Cardiol.</t>
  </si>
  <si>
    <t>Chin. J. Cerebrovasc. Dis.</t>
  </si>
  <si>
    <t>Chin. J. Clin. Nutr.</t>
  </si>
  <si>
    <t>Chin. J. Clin. Oncol.</t>
  </si>
  <si>
    <t>Chin. J. Contemp. Neurol. Neurosurg.</t>
  </si>
  <si>
    <t>Chin. J. Contemp. Pediatr.</t>
  </si>
  <si>
    <t>Chin. J. Endemiol.</t>
  </si>
  <si>
    <t>Chin. J. Evid.-Based Med.</t>
  </si>
  <si>
    <t>Chin. J. Forensic Med.</t>
  </si>
  <si>
    <t>Chin. J. Gastroenterol.</t>
  </si>
  <si>
    <t>Chin. J. Infect. Chemother.</t>
  </si>
  <si>
    <t>Chin. J. Integr. Med.</t>
  </si>
  <si>
    <t>Chin. J. Intervent. Imaging Ther.</t>
  </si>
  <si>
    <t>Chin. J. Lung Cancer</t>
  </si>
  <si>
    <t>Chin. J. Med. Genet.</t>
  </si>
  <si>
    <t>Chin. J. Med. Imaging Technol.</t>
  </si>
  <si>
    <t>Chin. J. Microbiol. Immunol.</t>
  </si>
  <si>
    <t>Chin. J. Nat. Med.</t>
  </si>
  <si>
    <t>Chin. J. Neurol.</t>
  </si>
  <si>
    <t>Chin. J. New Drugs</t>
  </si>
  <si>
    <t>Chin. J. Oncol.</t>
  </si>
  <si>
    <t>Chin. J. Pharm. Biotechnol.</t>
  </si>
  <si>
    <t>Chin. J. Pharmacol. Toxicol.</t>
  </si>
  <si>
    <t>Chin. J. Physiol.</t>
  </si>
  <si>
    <t>Chin. J. Radiol.</t>
  </si>
  <si>
    <t>Chin. J. Schistosomiasis Control</t>
  </si>
  <si>
    <t>Chin. J. Tissue Eng. Res.</t>
  </si>
  <si>
    <t>Chin. J. Traumatol. Eng. Ed.</t>
  </si>
  <si>
    <t>Chin. Med. J.</t>
  </si>
  <si>
    <t>Chin. Med. Sci. J.</t>
  </si>
  <si>
    <t>Chin. Med</t>
  </si>
  <si>
    <t>Chin. Pharm. J. (China)</t>
  </si>
  <si>
    <t>Chin. Pharmacol. Bull.</t>
  </si>
  <si>
    <t>Chin. Trad. Herbal Drugs</t>
  </si>
  <si>
    <t>Chinesische Med.</t>
  </si>
  <si>
    <t>Chiropr. Man. Thera.</t>
  </si>
  <si>
    <t>Chirurgia</t>
  </si>
  <si>
    <t>Chir. Main</t>
  </si>
  <si>
    <t>Chromosome Res.</t>
  </si>
  <si>
    <t>Chronic Illn.</t>
  </si>
  <si>
    <t>Chronic Respir. Dis.</t>
  </si>
  <si>
    <t>Circ. J.</t>
  </si>
  <si>
    <t>Circ. Res.</t>
  </si>
  <si>
    <t>Circ. Arrhythmia Electrophysiol.</t>
  </si>
  <si>
    <t>Circ. Cardiovasc. Genet.</t>
  </si>
  <si>
    <t>Circ. Cardiovasc. Imaging</t>
  </si>
  <si>
    <t>Circ. Cardiovasc. Interventions</t>
  </si>
  <si>
    <t>Circ. Cardiovasc. Qual. Outcomes</t>
  </si>
  <si>
    <t>Circ. Heart Fail.</t>
  </si>
  <si>
    <t>Cir. Cardiovasc.</t>
  </si>
  <si>
    <t>CJAM Can. J. Addict. Med.</t>
  </si>
  <si>
    <t>Cleft Palate-Craniofac. J.</t>
  </si>
  <si>
    <t>Clin. Chim. Acta</t>
  </si>
  <si>
    <t>Clin. Invest. Arterioscler.</t>
  </si>
  <si>
    <t>Clin. Invest. Ginecol. Obstet.</t>
  </si>
  <si>
    <t>Clin. Ter.</t>
  </si>
  <si>
    <t>Clin. Adv. Hematol. Oncol.</t>
  </si>
  <si>
    <t>Clin. Anat.</t>
  </si>
  <si>
    <t>Clin. Appl. Thromb. Hemost.</t>
  </si>
  <si>
    <t>Clin. Exp. Allergy</t>
  </si>
  <si>
    <t>Clin. Exp. Dermatol.</t>
  </si>
  <si>
    <t>Clin. Exp. Dermatol. Suppl.</t>
  </si>
  <si>
    <t>Clin. Exp. Gastroenterol.</t>
  </si>
  <si>
    <t>Clin. Exp. Hypertens.</t>
  </si>
  <si>
    <t>Clin. Exp. Immunol.</t>
  </si>
  <si>
    <t>Clin. Exp. Med.</t>
  </si>
  <si>
    <t>Clin. Exp. Metastasis</t>
  </si>
  <si>
    <t>Clin. Exp. Nephrol.</t>
  </si>
  <si>
    <t>Clin. Exp. Neuroimmunol.</t>
  </si>
  <si>
    <t>Clin. Exp. Obstet. Gynecol.</t>
  </si>
  <si>
    <t>Clin. Exp. Ophthalmol.</t>
  </si>
  <si>
    <t>Clin. Exp. Pharmacol. Physiol.</t>
  </si>
  <si>
    <t>Clin. Exp. Rheumatol.</t>
  </si>
  <si>
    <t>Clin. Mol. Allergy</t>
  </si>
  <si>
    <t>Clin. Transf. Haematol.</t>
  </si>
  <si>
    <t>Clin. Transl. Allergy</t>
  </si>
  <si>
    <t>Clin. Transl. Gastroenterol.</t>
  </si>
  <si>
    <t>Clin. Transl. Imaging</t>
  </si>
  <si>
    <t>Clin. Transl. Med.</t>
  </si>
  <si>
    <t>Clin. Transl. Oncol.</t>
  </si>
  <si>
    <t>Clin. Transl. Sci.</t>
  </si>
  <si>
    <t>Clin. Vaccine Immunol.</t>
  </si>
  <si>
    <t>Clin. Appl. Immunol.</t>
  </si>
  <si>
    <t>Clin. Auton. Res.</t>
  </si>
  <si>
    <t>Clin. Biochem.</t>
  </si>
  <si>
    <t>Clin. Biomech.</t>
  </si>
  <si>
    <t>Clin. Breast Cancer</t>
  </si>
  <si>
    <t>Clin. Cancer Invest. J.</t>
  </si>
  <si>
    <t>Clin. Cancer Res.</t>
  </si>
  <si>
    <t>Clin. Cardiol.</t>
  </si>
  <si>
    <t>Clin. Case Stud.</t>
  </si>
  <si>
    <t>Clin. Cases Miner. Bone Metab.</t>
  </si>
  <si>
    <t>Clin. Chem.</t>
  </si>
  <si>
    <t>Clin. Chem. Lab. Med.</t>
  </si>
  <si>
    <t>Clin. Colorectal Cancer</t>
  </si>
  <si>
    <t>Clin. Diabetes</t>
  </si>
  <si>
    <t>Clin. Drug Invest.</t>
  </si>
  <si>
    <t>Clin. Dysmorphol.</t>
  </si>
  <si>
    <t>Clin. EEG Neurosci.</t>
  </si>
  <si>
    <t>Clin. Endocrinol.</t>
  </si>
  <si>
    <t>Clin. Epidemiol.</t>
  </si>
  <si>
    <t>Clin. Epidemiol. Global Health</t>
  </si>
  <si>
    <t>Clin. Epigenetics</t>
  </si>
  <si>
    <t>Clin. Gastroenterol. Hepatol.</t>
  </si>
  <si>
    <t>Clin. Genet.</t>
  </si>
  <si>
    <t>Clin. Genitourin. Cancer</t>
  </si>
  <si>
    <t>Clin. Geriatr.</t>
  </si>
  <si>
    <t>Clin. Gov.</t>
  </si>
  <si>
    <t>Clin. Hemorheol. Microcirc.</t>
  </si>
  <si>
    <t>Clin. Imaging</t>
  </si>
  <si>
    <t>Clin. Immunol.</t>
  </si>
  <si>
    <t>Clin. Infect. Dis.</t>
  </si>
  <si>
    <t>Clin. Interventions Aging</t>
  </si>
  <si>
    <t>Clin. Invest.</t>
  </si>
  <si>
    <t>Clin. J. Gastroenterol.</t>
  </si>
  <si>
    <t>Clin. J. Pain</t>
  </si>
  <si>
    <t>Clin. J. Sport Med.</t>
  </si>
  <si>
    <t>Clin. J. Am. Soc. Nephrol.</t>
  </si>
  <si>
    <t>Clin. Kidney J.</t>
  </si>
  <si>
    <t>Clin. Kinesiology</t>
  </si>
  <si>
    <t>Clin. Lab.</t>
  </si>
  <si>
    <t>Clin. Leuk.</t>
  </si>
  <si>
    <t>Clin. Liver Dis.</t>
  </si>
  <si>
    <t>Clin. Lung Cancer</t>
  </si>
  <si>
    <t>Clin. Lymphoma Myeloma Leukemia</t>
  </si>
  <si>
    <t>Clin. Med. Res.</t>
  </si>
  <si>
    <t>Clin. Med. Insights. Arthritis. Musculoskelet. Disord.</t>
  </si>
  <si>
    <t>Clin. Med.Blood. Disord.</t>
  </si>
  <si>
    <t>Clin. Med. Insights.Cardiol.</t>
  </si>
  <si>
    <t>Clin. Med. Insights. Case. Rep.</t>
  </si>
  <si>
    <t>Clin. Med. Insights.Circ. Respir. Pulm. Med.</t>
  </si>
  <si>
    <t>Clin. Med. Insights: Endocrinol. Diabetes</t>
  </si>
  <si>
    <t>Clin. Med. Insights: Gastroenterol.</t>
  </si>
  <si>
    <t>Clin. Med. Insights: Geriatr.</t>
  </si>
  <si>
    <t>Clin. Med. Insights: Oncol.</t>
  </si>
  <si>
    <t>Clin. Med. Insights: Pathol.</t>
  </si>
  <si>
    <t>Clin. Med. Insights. Ther.</t>
  </si>
  <si>
    <t>Clin. Med. J. R. Coll. Phys. Lond.</t>
  </si>
  <si>
    <t>Clin. Microbiol. Infect.</t>
  </si>
  <si>
    <t>Clin. Microbiol. Newsl.</t>
  </si>
  <si>
    <t>Clin. Microbiol. Rev.</t>
  </si>
  <si>
    <t>Clin. Nephrol.</t>
  </si>
  <si>
    <t>Clin. Neurol.</t>
  </si>
  <si>
    <t>Clin. Neurol. Neurosurg.</t>
  </si>
  <si>
    <t>Clin. Neuropathol.</t>
  </si>
  <si>
    <t>Clin. Neuropharmacol.</t>
  </si>
  <si>
    <t>Clin. Neurophysiol.</t>
  </si>
  <si>
    <t>Clin. Neuropsychiatry</t>
  </si>
  <si>
    <t>Clin. Neuro</t>
  </si>
  <si>
    <t>Clin. Neurorad.</t>
  </si>
  <si>
    <t>Clin. Neurosurgery</t>
  </si>
  <si>
    <t>Clin. Nucl. Med.</t>
  </si>
  <si>
    <t>Clin. Nutr.</t>
  </si>
  <si>
    <t>Clin. Nutr. Suppl.</t>
  </si>
  <si>
    <t>Clin. Obes.</t>
  </si>
  <si>
    <t>Clin. Obstet. Gynecol.</t>
  </si>
  <si>
    <t>Clin. Oncol.</t>
  </si>
  <si>
    <t>Clin. Ophthalmol.</t>
  </si>
  <si>
    <t>Clin. Orthop. Relat. Res.</t>
  </si>
  <si>
    <t>Clin. Otolaryngol.</t>
  </si>
  <si>
    <t>Clin. Ovarian Gynecologic Cancer</t>
  </si>
  <si>
    <t>Clin. Pediatr. Emerg. Med.</t>
  </si>
  <si>
    <t>Clin. Pediatr. Endocrinol.</t>
  </si>
  <si>
    <t>Clin. Pediatr.</t>
  </si>
  <si>
    <t>Clin. Pharm.</t>
  </si>
  <si>
    <t>Clin. Pharmacokinet.</t>
  </si>
  <si>
    <t>Clin. Pharmacol. Ther.</t>
  </si>
  <si>
    <t>Clin. Pharmacol. Drug Dev.</t>
  </si>
  <si>
    <t>Clin. Pharmacol. Adv. Appl.</t>
  </si>
  <si>
    <t>Clin. Physiol. Funct. Imaging</t>
  </si>
  <si>
    <t>Clin. Plasma Med.</t>
  </si>
  <si>
    <t>Clin. Pract.</t>
  </si>
  <si>
    <t>Clin. Pract. Epidemiol. Ment. Health</t>
  </si>
  <si>
    <t>Clin. Proteomics</t>
  </si>
  <si>
    <t>Clin. Psychol. Rev.</t>
  </si>
  <si>
    <t>Clin. Psychopharmacol. Neurosci.</t>
  </si>
  <si>
    <t>Clin. Pulm. Med.</t>
  </si>
  <si>
    <t>Clin. Queries Nephrol.</t>
  </si>
  <si>
    <t>Clin. Radiol.</t>
  </si>
  <si>
    <t>Clin. Res. Regul. Aff.</t>
  </si>
  <si>
    <t>Clin. Res. Cardiol.</t>
  </si>
  <si>
    <t>Clin. Res. Cardiol. Suppl.</t>
  </si>
  <si>
    <t>Clin. Respir. J.</t>
  </si>
  <si>
    <t>Clin. Rev. Allergy Immunol.</t>
  </si>
  <si>
    <t>Clin. Rev. Bone Miner. Metab.</t>
  </si>
  <si>
    <t>Clin. Rheumatol.</t>
  </si>
  <si>
    <t>Clin. Rhinol.</t>
  </si>
  <si>
    <t>Clin. Sarcoma Res.</t>
  </si>
  <si>
    <t>Clin. Schizophr. Relat. Psychoses</t>
  </si>
  <si>
    <t>Clin. Sci.</t>
  </si>
  <si>
    <t>Clin. Ther.</t>
  </si>
  <si>
    <t>Clin. Toxicol.</t>
  </si>
  <si>
    <t>Clin. Transplant.</t>
  </si>
  <si>
    <t>Clin. Trials</t>
  </si>
  <si>
    <t>Clin. Cosmet. Invest. Dermatol.</t>
  </si>
  <si>
    <t>Clin. Outcomes Res.</t>
  </si>
  <si>
    <t>Clin. Res. Hepatol. Gastroenterol.</t>
  </si>
  <si>
    <t>Clin. Chest Med.</t>
  </si>
  <si>
    <t>Clin. Dermatol.</t>
  </si>
  <si>
    <t>Clin. Geriatr. Med.</t>
  </si>
  <si>
    <t>Clin. Lab. Med.</t>
  </si>
  <si>
    <t>Clin. Perinatol.</t>
  </si>
  <si>
    <t>Clin. Plast. Surg.</t>
  </si>
  <si>
    <t>Clin. Podiatr. Med. Surg.</t>
  </si>
  <si>
    <t>Clin. Sports Med.</t>
  </si>
  <si>
    <t>CME J. Geriatr. Med.</t>
  </si>
  <si>
    <t>CME J. Gynecol. Oncol.</t>
  </si>
  <si>
    <t>CNS Neurol. Disord. Drug Targets</t>
  </si>
  <si>
    <t>CNS Neurosci. Ther.</t>
  </si>
  <si>
    <t>CNS Oncol.</t>
  </si>
  <si>
    <t>CNS Spectr.</t>
  </si>
  <si>
    <t>Cocuk Enfeksiyon Derg.</t>
  </si>
  <si>
    <t>Cocuk Sagligi Hast. Derg.</t>
  </si>
  <si>
    <t>Cogn. Emot.</t>
  </si>
  <si>
    <t>Cogn. Behav. Neurol.</t>
  </si>
  <si>
    <t>Cogn. Behav. Pract.</t>
  </si>
  <si>
    <t>Cogn. Neurodynamics</t>
  </si>
  <si>
    <t>Cogn. Neuropsych.</t>
  </si>
  <si>
    <t>Cognitive Neurosci.</t>
  </si>
  <si>
    <t>Cogn. Process.</t>
  </si>
  <si>
    <t>Cogn. Sys. Res.</t>
  </si>
  <si>
    <t>Cogn. Ther. Res.</t>
  </si>
  <si>
    <t>Cold Spring Harbor Perspect. Med.</t>
  </si>
  <si>
    <t>Cold Spring Harbor Protoc.</t>
  </si>
  <si>
    <t>Cold Spring Harbor Symp. Quant. Biol.</t>
  </si>
  <si>
    <t>Colloid Polym. Sci.</t>
  </si>
  <si>
    <t>Colloids Surf. A Physicochem. Eng. Asp.</t>
  </si>
  <si>
    <t>Colloids Surf. B Biointerfaces</t>
  </si>
  <si>
    <t>Colomb. Med.</t>
  </si>
  <si>
    <t>Colorectal Dis.</t>
  </si>
  <si>
    <t>Comb. Prod. Ther.</t>
  </si>
  <si>
    <t>Comb. Chem. High Throughput Screen.</t>
  </si>
  <si>
    <t>Combust. Flame</t>
  </si>
  <si>
    <t>Commun. Disord. Q.</t>
  </si>
  <si>
    <t>Community Oncol.</t>
  </si>
  <si>
    <t>Comp. Biochem. Physiol. Part D Genomics Proteomics</t>
  </si>
  <si>
    <t>Comp. Biochem. Physiol. B Biochem. Mol. Biol.</t>
  </si>
  <si>
    <t>Comp. Biochem. Physiol. C Toxicol. Pharmacol.</t>
  </si>
  <si>
    <t>Comp. Immunol. Microbiol. Infect. Dis.</t>
  </si>
  <si>
    <t>Comp. Med.</t>
  </si>
  <si>
    <t>Complement. Ther. Med.</t>
  </si>
  <si>
    <t>Compr. Psychiatry</t>
  </si>
  <si>
    <t>Compr. Ther.</t>
  </si>
  <si>
    <t>C. R. Biol.</t>
  </si>
  <si>
    <t>Comp. Math. Methods Med.</t>
  </si>
  <si>
    <t>Comput. Methods Programs Biomed.</t>
  </si>
  <si>
    <t>Comput. Methods Biomech. Biomed. Eng.</t>
  </si>
  <si>
    <t>Comput. Methods Biomech. Biomed. Eng. Imaging and Visualization</t>
  </si>
  <si>
    <t>Comput. Med. Imaging Graph.</t>
  </si>
  <si>
    <t>Comput. Biol. Med.</t>
  </si>
  <si>
    <t>Confin. Cephalalgica</t>
  </si>
  <si>
    <t>Congenit. Anomal.</t>
  </si>
  <si>
    <t>Congenit. Heart Dis.</t>
  </si>
  <si>
    <t>Connect. Tissue Res.</t>
  </si>
  <si>
    <t>Conscious. Cogn.</t>
  </si>
  <si>
    <t>Consult. Pharm.</t>
  </si>
  <si>
    <t>Contact Lens Anterior Eye</t>
  </si>
  <si>
    <t>Contemp. Clin. Trials</t>
  </si>
  <si>
    <t>CONTINUUM Lifelong Learn. Neurol.</t>
  </si>
  <si>
    <t>Contracepcion Menopausia</t>
  </si>
  <si>
    <t>Contrast Media Mol. Imaging</t>
  </si>
  <si>
    <t>Contrib. Gynecol. Obstet.</t>
  </si>
  <si>
    <t>Contrib. Oncol. Beitr. Onkol.</t>
  </si>
  <si>
    <t>COPD J. Chronic Obstructive Pulm. Dis.</t>
  </si>
  <si>
    <t>Cor Vasa</t>
  </si>
  <si>
    <t>Core Evid.</t>
  </si>
  <si>
    <t>Coron. Artery Dis.</t>
  </si>
  <si>
    <t>Cost Eff. Resour. Allocat.</t>
  </si>
  <si>
    <t>CPD Bull. Clin. Biochem.</t>
  </si>
  <si>
    <t>CPT Pharmacometrics Syst. Pharmacol.</t>
  </si>
  <si>
    <t>Craniomaxillofacial Trauma Reconstr.</t>
  </si>
  <si>
    <t>Crim. Behav. Ment. Health</t>
  </si>
  <si>
    <t>Crit. Care</t>
  </si>
  <si>
    <t>Crit. Care Shock</t>
  </si>
  <si>
    <t>Crit. Care Clin.</t>
  </si>
  <si>
    <t>Crit. Care Med.</t>
  </si>
  <si>
    <t>Crit. Care Nurs. Q.</t>
  </si>
  <si>
    <t>Crit. Pathways Cardiol.</t>
  </si>
  <si>
    <t>Crit. Pub. Health</t>
  </si>
  <si>
    <t>Crit. Rev. Biochem. Mol. Biol.</t>
  </si>
  <si>
    <t>Crit. Rev. Biomed. Eng.</t>
  </si>
  <si>
    <t>Crit. Rev. Biotechnol.</t>
  </si>
  <si>
    <t>Crit. Rev. Clin. Lab. Sci.</t>
  </si>
  <si>
    <t>Crit. Rev. Environ. Sci. Technol.</t>
  </si>
  <si>
    <t>Crit. Rev. Eukaryotic Gene Expr.</t>
  </si>
  <si>
    <t>Crit. Rev. Immunol.</t>
  </si>
  <si>
    <t>Crit. Rev. Microbiol.</t>
  </si>
  <si>
    <t>Crit. Rev. Neurobiol.</t>
  </si>
  <si>
    <t>Crit. Rev. Oncog.</t>
  </si>
  <si>
    <t>Crit. Rev. Oncol. Hematol.</t>
  </si>
  <si>
    <t>Crit. Rev. Phys. Rehabil. Med.</t>
  </si>
  <si>
    <t>Crit. Rev. Ther. Drug Carrier Syst.</t>
  </si>
  <si>
    <t>Crit. Rev. Toxicol.</t>
  </si>
  <si>
    <t>Crit. Ultrasound J.</t>
  </si>
  <si>
    <t>Croat. Med. J.</t>
  </si>
  <si>
    <t>Cuad. Med. Reprod.</t>
  </si>
  <si>
    <t>Cult. Diversity Ethnic Minor. Psychol.</t>
  </si>
  <si>
    <t>Curr. Aging Sci.</t>
  </si>
  <si>
    <t>Curr. Allergy Asthma Rep.</t>
  </si>
  <si>
    <t>Curr. Allergy Clin. Immunol.</t>
  </si>
  <si>
    <t>Curr. Alzheimer Res.</t>
  </si>
  <si>
    <t>Curr. Angiogenesis</t>
  </si>
  <si>
    <t>Curr. Atheroscler. Rep.</t>
  </si>
  <si>
    <t>Curr. Bioact. Compd.</t>
  </si>
  <si>
    <t>Curr. Bioinform.</t>
  </si>
  <si>
    <t>Curr. Biotechnol.</t>
  </si>
  <si>
    <t>Curr. Bladder Dysfunct. Rep.</t>
  </si>
  <si>
    <t>Curr. Breast Cancer Rep.</t>
  </si>
  <si>
    <t>Curr. Cancer Drug Targets</t>
  </si>
  <si>
    <t>Curr. Cancer Res.</t>
  </si>
  <si>
    <t>Curr. Cancer Ther. Rev.</t>
  </si>
  <si>
    <t>Curr. Cardiol. Rep.</t>
  </si>
  <si>
    <t>Curr. Cardiol. Rev.</t>
  </si>
  <si>
    <t>Curr. Cardiovasc. Imaging Rep.</t>
  </si>
  <si>
    <t>Curr. Cardiovasc. Risk Rep.</t>
  </si>
  <si>
    <t>Curr. Chem. Biol.</t>
  </si>
  <si>
    <t>Curr. Chem. Genomics</t>
  </si>
  <si>
    <t>Curr. Clin. Neurol.</t>
  </si>
  <si>
    <t>Curr. Clin. Pharmacol.</t>
  </si>
  <si>
    <t>Curr. Colorectal Cancer Rep.</t>
  </si>
  <si>
    <t>Curr. Comput.-Aided Drug Des.</t>
  </si>
  <si>
    <t>Curr. Dermatol. Rep.</t>
  </si>
  <si>
    <t>Curr. Diabetes Rep.</t>
  </si>
  <si>
    <t>Curr. Diabetes Rev.</t>
  </si>
  <si>
    <t>Curr. Dir. Autoimmun.</t>
  </si>
  <si>
    <t>Curr. Drug. Abuse Rev.</t>
  </si>
  <si>
    <t>Curr. Drug Deliv.</t>
  </si>
  <si>
    <t>Curr. Drug Discov. Technol.</t>
  </si>
  <si>
    <t>Curr. Drug Metab.</t>
  </si>
  <si>
    <t>Curr. Drug Saf.</t>
  </si>
  <si>
    <t>Curr. Drug Targets</t>
  </si>
  <si>
    <t>Curr. Crug Ther.</t>
  </si>
  <si>
    <t>Curr. Enzyme Inhib.</t>
  </si>
  <si>
    <t>Curr. Eye Res.</t>
  </si>
  <si>
    <t>Curr. Fungal Infec. Rep.</t>
  </si>
  <si>
    <t>Curr. Gastroenterol. Rep.</t>
  </si>
  <si>
    <t>Curr. Gene Ther.</t>
  </si>
  <si>
    <t>Curr. Genet.</t>
  </si>
  <si>
    <t>Curr. Genomics</t>
  </si>
  <si>
    <t>Curr. Gynecol. Oncol.</t>
  </si>
  <si>
    <t>Curr. Heart Fail. Rep.</t>
  </si>
  <si>
    <t>Curr. Hematol. Malig. Rep.</t>
  </si>
  <si>
    <t>Curr. Hepatitis Rep.</t>
  </si>
  <si>
    <t>Curr. HIV Res.</t>
  </si>
  <si>
    <t>Curr. HIV/AIDS Rep.</t>
  </si>
  <si>
    <t>Curr. Hypertens. Rep.</t>
  </si>
  <si>
    <t>Curr. Hypertens. Rev.</t>
  </si>
  <si>
    <t>Curr. Immunol. Rev.</t>
  </si>
  <si>
    <t>Curr. Infect. Dis. Rep.</t>
  </si>
  <si>
    <t>Curr. Issues Mol. Biol.</t>
  </si>
  <si>
    <t>Curr. Issues Pharma. Med. Sci.</t>
  </si>
  <si>
    <t>Curr. Med. Imaging Rev.</t>
  </si>
  <si>
    <t>Curr. Med. Res. Opin.</t>
  </si>
  <si>
    <t>Curr. Med. Chem.</t>
  </si>
  <si>
    <t>Curr. Metab.</t>
  </si>
  <si>
    <t>Curr. Microbiol.</t>
  </si>
  <si>
    <t>Curr. Mol. Imaging</t>
  </si>
  <si>
    <t>Curr. Mol. Med.</t>
  </si>
  <si>
    <t>Curr. Mol. Pharmacol.</t>
  </si>
  <si>
    <t>Curr. Nanosci.</t>
  </si>
  <si>
    <t>Curr. Neurobiol.</t>
  </si>
  <si>
    <t>Curr. Neurol. Neurosci. Rep.</t>
  </si>
  <si>
    <t>Curr. Neuropharmacol.</t>
  </si>
  <si>
    <t>Curr. Neurovasc. Res.</t>
  </si>
  <si>
    <t>Curr. Nutr. Food Sci.</t>
  </si>
  <si>
    <t>Curr. Nutr. Rep.</t>
  </si>
  <si>
    <t>Curr. Obesity Rep.</t>
  </si>
  <si>
    <t>Curr. Obstetrics and Gynecol. Rep.</t>
  </si>
  <si>
    <t>Curr. Oncol.</t>
  </si>
  <si>
    <t>Curr. Oncol. Rep.</t>
  </si>
  <si>
    <t>Curr. Opin. Allergy Clin. Immunol.</t>
  </si>
  <si>
    <t>Curr. Opin. Anaesthesiol.</t>
  </si>
  <si>
    <t>Curr. Opin. Biotechnol.</t>
  </si>
  <si>
    <t>Curr. Opin. Cardiol.</t>
  </si>
  <si>
    <t>Curr. Opin. Cell Biol.</t>
  </si>
  <si>
    <t>Curr. Opin. Chem. Biol.</t>
  </si>
  <si>
    <t>Curr. Opin. Clin. Nutr. Metab. Care</t>
  </si>
  <si>
    <t>Curr. Opin. Colloid Interface Sci.</t>
  </si>
  <si>
    <t>Curr. Opin. Crit. Care</t>
  </si>
  <si>
    <t>Curr. Opin. Endocrinol. Diabetes Obes.</t>
  </si>
  <si>
    <t>Curr. Opin. Gastroenterol.</t>
  </si>
  <si>
    <t>Curr. Opin. Genet. Dev.</t>
  </si>
  <si>
    <t>Curr. Opin. Hematol.</t>
  </si>
  <si>
    <t>Curr. Opin. HIV AIDS</t>
  </si>
  <si>
    <t>Curr. Opin. Immunol.</t>
  </si>
  <si>
    <t>Curr. Opin. Infect. Dis.</t>
  </si>
  <si>
    <t>Curr. Opin. Lipidology</t>
  </si>
  <si>
    <t>Curr. Opin. Microbiol.</t>
  </si>
  <si>
    <t>Curr. Opin. Nephrol. Hypertens.</t>
  </si>
  <si>
    <t>Curr. Opin. Neurobiol.</t>
  </si>
  <si>
    <t>Curr. Opin. Neurol.</t>
  </si>
  <si>
    <t>Curr. Opin. Obstet. Gynecol.</t>
  </si>
  <si>
    <t>Curr. Opin. Oncol.</t>
  </si>
  <si>
    <t>Curr. Opin. Ophthalmol.</t>
  </si>
  <si>
    <t>Curr. Opin. Organ Transplant.</t>
  </si>
  <si>
    <t>Curr. Opin. Otolaryngol. Head Neck Surg.</t>
  </si>
  <si>
    <t>Curr. Opin. Pediatr.</t>
  </si>
  <si>
    <t>Curr. Opin. Pharmacol.</t>
  </si>
  <si>
    <t>Curr. Opin. Psychiatry</t>
  </si>
  <si>
    <t>Curr. Opin. Pulm. Med.</t>
  </si>
  <si>
    <t>Curr. Opin. Rheumatol.</t>
  </si>
  <si>
    <t>Curr. Opin. Struct. Biol.</t>
  </si>
  <si>
    <t>Curr. Opin. Urol.</t>
  </si>
  <si>
    <t>Curr. Opin. Virol.</t>
  </si>
  <si>
    <t>Curr. Orthop. Pract.</t>
  </si>
  <si>
    <t>Curr. Osteoporosis Rep.</t>
  </si>
  <si>
    <t>Curr. Pain Headache Rep.</t>
  </si>
  <si>
    <t>Curr. Paediatr. Res.</t>
  </si>
  <si>
    <t>Curr. Pediatr. Rev.</t>
  </si>
  <si>
    <t>Curr. Pharm. Anal.</t>
  </si>
  <si>
    <t>Curr. Pharm. Biotechnol.</t>
  </si>
  <si>
    <t>Curr. Pharm. Des.</t>
  </si>
  <si>
    <t>Curr. Pharmacogenomics Per. Med.</t>
  </si>
  <si>
    <t>Curr. Probl. Cancer</t>
  </si>
  <si>
    <t>Curr. Probl. Cardiol.</t>
  </si>
  <si>
    <t>Curr. Probl. Dermatol.</t>
  </si>
  <si>
    <t>Curr. Probl. Diagn. Radiol.</t>
  </si>
  <si>
    <t>Curr. Probl. Pediatr. Adolesc. Health Care</t>
  </si>
  <si>
    <t>Curr. Probl. Surg.</t>
  </si>
  <si>
    <t>Curr. Prostate Rep.</t>
  </si>
  <si>
    <t>Curr. Protein Pept. Sci.</t>
  </si>
  <si>
    <t>Curr. Proteomics</t>
  </si>
  <si>
    <t>Curr. Protoc. Bioinform.</t>
  </si>
  <si>
    <t>Curr. Protoc. Cell Biol.</t>
  </si>
  <si>
    <t>Curr. Protoc. Cytometry</t>
  </si>
  <si>
    <t>Curr. Protoc. Essent. Lab. Tech.</t>
  </si>
  <si>
    <t>Curr. Protoc. Hum. Genet.</t>
  </si>
  <si>
    <t>Curr. Protoc. Immunol.</t>
  </si>
  <si>
    <t>Curr. Protoc. Microbiol.</t>
  </si>
  <si>
    <t>Curr. Protoc. Mol. Biol.</t>
  </si>
  <si>
    <t>Curr. Protoc. Neurosci.</t>
  </si>
  <si>
    <t>Curr. Protoc. Nucleic Acid Chem.</t>
  </si>
  <si>
    <t>Curr. Protoc. Pharmacol.</t>
  </si>
  <si>
    <t>Curr. Protoc. Protein Sci.</t>
  </si>
  <si>
    <t>Curr. Protoc. Stem Cell Biol.</t>
  </si>
  <si>
    <t>Curr. Protoc. Toxicol.</t>
  </si>
  <si>
    <t>Curr. Psychiatry</t>
  </si>
  <si>
    <t>Curr. Psychiatry Rep.</t>
  </si>
  <si>
    <t>Curr. Psychiatry Rev.</t>
  </si>
  <si>
    <t>Curr. Psychopharmacol.</t>
  </si>
  <si>
    <t>Curr. Radiopharm.</t>
  </si>
  <si>
    <t>Curr. Res. Tuberc.</t>
  </si>
  <si>
    <t>Curr. Respir. Care Rep.</t>
  </si>
  <si>
    <t>Curr. Respir. Med. Rev.</t>
  </si>
  <si>
    <t>Curr. Rev. Musculoskelet. Med.</t>
  </si>
  <si>
    <t>Curr. Rheumatol. Rep.</t>
  </si>
  <si>
    <t>Curr. Rheumatol. Rev.</t>
  </si>
  <si>
    <t>Curr. Signal Transduction Ther.</t>
  </si>
  <si>
    <t>Curr. Sports Med. Rep.</t>
  </si>
  <si>
    <t>Curr. Stem Cell Res. Ther.</t>
  </si>
  <si>
    <t>Curr. Ther. Res. Clin. Exp.</t>
  </si>
  <si>
    <t>Curr. Tissue Eng.</t>
  </si>
  <si>
    <t>Curr. Top. Behav. Neurosci.</t>
  </si>
  <si>
    <t>Curr. Top. Med. Chem.</t>
  </si>
  <si>
    <t>Curr. Top. Microbiol. Immunol.</t>
  </si>
  <si>
    <t>Curr. Top. Nutraceutical Res.</t>
  </si>
  <si>
    <t>Curr. Top. Pept. Protein Res.</t>
  </si>
  <si>
    <t>Curr. Top. Pharmacol.</t>
  </si>
  <si>
    <t>Curr. Top. Toxicol.</t>
  </si>
  <si>
    <t>Curr. Treat. Options Cardiovasc. Med.</t>
  </si>
  <si>
    <t>Curr. Treat. Options Neurol.</t>
  </si>
  <si>
    <t>Curr. Treat. Options Oncol.</t>
  </si>
  <si>
    <t>Curr. Trends Biotechnol. Pharm.</t>
  </si>
  <si>
    <t>Curr. Trends Immunol.</t>
  </si>
  <si>
    <t>Curr. Urol.</t>
  </si>
  <si>
    <t>Curr. Urol. Rep.</t>
  </si>
  <si>
    <t>Curr. Vasc. Pharmacol.</t>
  </si>
  <si>
    <t>Curr. Women's Health Rev.</t>
  </si>
  <si>
    <t>Currents Pharm. Teach. Learn.</t>
  </si>
  <si>
    <t>Cutaneous Ocul. Toxicol.</t>
  </si>
  <si>
    <t>Cytogenet. Genome Res.</t>
  </si>
  <si>
    <t>Cytokine Growth Factor Rev.</t>
  </si>
  <si>
    <t>Cytometry Part B Clin. Cytometry</t>
  </si>
  <si>
    <t>Dan. Med. J.</t>
  </si>
  <si>
    <t>DARU J. Pharm. Sci.</t>
  </si>
  <si>
    <t>Dementia Geriatr. Cogn. Disord.</t>
  </si>
  <si>
    <t>Dengue Bull.</t>
  </si>
  <si>
    <t>Dent. Med. Probl.</t>
  </si>
  <si>
    <t>Dent. Cadmos</t>
  </si>
  <si>
    <t>Depression Anxiety</t>
  </si>
  <si>
    <t>Der Pharma Chem.</t>
  </si>
  <si>
    <t>Der Pharm. Lett.</t>
  </si>
  <si>
    <t>Derm.-Endocrinol.</t>
  </si>
  <si>
    <t>Dematol. Kliniczna</t>
  </si>
  <si>
    <t>Dermatol. Rev. Mex.</t>
  </si>
  <si>
    <t>Dermatol. Clin.</t>
  </si>
  <si>
    <t>Dermatol. Surg.</t>
  </si>
  <si>
    <t>Dermatol. Ther.</t>
  </si>
  <si>
    <t>Dermatol. Sin.</t>
  </si>
  <si>
    <t>Dermatol. Beruf Umwelt</t>
  </si>
  <si>
    <t>Dermatol. Online J.</t>
  </si>
  <si>
    <t>Dermatol. Rep.</t>
  </si>
  <si>
    <t>Dermatol. Res. Pract.</t>
  </si>
  <si>
    <t>Dtsch. Apoth. Ztg.</t>
  </si>
  <si>
    <t>Dtsch. Med. Wochenschr.</t>
  </si>
  <si>
    <t>Dtsch. Z. Akupunkt.</t>
  </si>
  <si>
    <t>Dtsch. Z. Onkol.</t>
  </si>
  <si>
    <t>Dtsch. Arztebl. Inter.</t>
  </si>
  <si>
    <t>Dev. Genes Evol.</t>
  </si>
  <si>
    <t>Dev. Growth Differ.</t>
  </si>
  <si>
    <t>Dev. Comp. Immunol.</t>
  </si>
  <si>
    <t>Dev. Biol.</t>
  </si>
  <si>
    <t>Dev. Cell</t>
  </si>
  <si>
    <t>Dev. Cognitive Neurosci.</t>
  </si>
  <si>
    <t>Dev. Disabil. Res. Rev.</t>
  </si>
  <si>
    <t>Dev. Dyn.</t>
  </si>
  <si>
    <t>Dev. Med. Child Neurol.</t>
  </si>
  <si>
    <t>Dev. Neurobiol.</t>
  </si>
  <si>
    <t>Dev. Neurorehabilitation</t>
  </si>
  <si>
    <t>Dev. Neurosci.</t>
  </si>
  <si>
    <t>Dhaka Univ. J. Pharm. Sci.</t>
  </si>
  <si>
    <t>Diabetes Metab. Syndr. Clin. Res. Rev.</t>
  </si>
  <si>
    <t>Diabetes Metab.</t>
  </si>
  <si>
    <t>Diabetes Metab. J.</t>
  </si>
  <si>
    <t>Diabets Vasc. Dis. Res.</t>
  </si>
  <si>
    <t>Diabetes Int.</t>
  </si>
  <si>
    <t>Diabetes Manage.</t>
  </si>
  <si>
    <t>Diabetes Res. Clin. Pract.</t>
  </si>
  <si>
    <t>Diabetes Spectr.</t>
  </si>
  <si>
    <t>Diabetes Technol. Ther.</t>
  </si>
  <si>
    <t>Diabetes Ther.</t>
  </si>
  <si>
    <t>Diabetes Metab. Syndr. Obes. Targets Ther.</t>
  </si>
  <si>
    <t>Diabetes Obes. Metab.</t>
  </si>
  <si>
    <t>Diabetes Stoffwechsel Herz</t>
  </si>
  <si>
    <t>Diabetes Metab. Res. Rev.</t>
  </si>
  <si>
    <t>Diabetic Foot Ankle</t>
  </si>
  <si>
    <t>Diabet. Med.</t>
  </si>
  <si>
    <t>Diabetol. Croat.</t>
  </si>
  <si>
    <t>Dia. Kli.</t>
  </si>
  <si>
    <t>Diabetol. Metabol. Endokrinol. Vyz.</t>
  </si>
  <si>
    <t>Diabetol. Stoffwechsel</t>
  </si>
  <si>
    <t>Diabetol. Metab. Syndr.</t>
  </si>
  <si>
    <t>Diabetol. Int.</t>
  </si>
  <si>
    <t>Daign. Intervent. Imaging</t>
  </si>
  <si>
    <t>Diagn. Intervention. Radiol.</t>
  </si>
  <si>
    <t>Diagn. Ther. Endosc.</t>
  </si>
  <si>
    <t>Diagn. Cytopathol.</t>
  </si>
  <si>
    <t>Diagn. Histopathology</t>
  </si>
  <si>
    <t>Diagn. Microbiol. Infect. Dis.</t>
  </si>
  <si>
    <t>Diagn. Mol. Pathol.</t>
  </si>
  <si>
    <t>Diagn. Prenat.</t>
  </si>
  <si>
    <t>Diagn.</t>
  </si>
  <si>
    <t>Dial. Trasplant.</t>
  </si>
  <si>
    <t>Dialogues Cardiovasc. Med.</t>
  </si>
  <si>
    <t>Dialogues Clin. Neurosci.</t>
  </si>
  <si>
    <t>Dig. Liver Dis.</t>
  </si>
  <si>
    <t>Dig. Liver Dis. Suppl.</t>
  </si>
  <si>
    <t>Dig. Dis.</t>
  </si>
  <si>
    <t>Dig. Dis. Sci.</t>
  </si>
  <si>
    <t>Dig. Endosc.</t>
  </si>
  <si>
    <t>Disabil. Health J.</t>
  </si>
  <si>
    <t>Discov. Med.</t>
  </si>
  <si>
    <t>Dis. Markers</t>
  </si>
  <si>
    <t>Dis. Mon.</t>
  </si>
  <si>
    <t>Dis. Colon Rectum</t>
  </si>
  <si>
    <t>Dis. Esophagus</t>
  </si>
  <si>
    <t>Diss. Tech</t>
  </si>
  <si>
    <t>Diving Hyperbaric Med.</t>
  </si>
  <si>
    <t>DNM Dis. Models Mech.</t>
  </si>
  <si>
    <t>DNA Cell Biol.</t>
  </si>
  <si>
    <t>DNA Res.</t>
  </si>
  <si>
    <t>DoctorConsult J. Wissen Klin. Prax.</t>
  </si>
  <si>
    <t>Doc. Ophthalmol.</t>
  </si>
  <si>
    <t>Dokkyo J. Med. Sci.</t>
  </si>
  <si>
    <t>Dolor Clin. Ter.</t>
  </si>
  <si>
    <t>Donald Sch. J. Ultrasound Obstet. Gynecol.</t>
  </si>
  <si>
    <t>Dose-Resp.</t>
  </si>
  <si>
    <t>Douleur Analg.</t>
  </si>
  <si>
    <t>Drug Alcohol Depend.</t>
  </si>
  <si>
    <t>Drug Chem. Toxicol.</t>
  </si>
  <si>
    <t>Drug Ther. Bull.</t>
  </si>
  <si>
    <t>Drug Deliv.</t>
  </si>
  <si>
    <t>Drug Deliv. Transl. Res.</t>
  </si>
  <si>
    <t>Drug Deliv. Lett.</t>
  </si>
  <si>
    <t>Drug Deliv. Syst.</t>
  </si>
  <si>
    <t>Drug Des. Dev. Ther.</t>
  </si>
  <si>
    <t>Drug. Develop. Deliv.</t>
  </si>
  <si>
    <t>Drug Dev. Ind. Pharm.</t>
  </si>
  <si>
    <t>Drug Dev. Res.</t>
  </si>
  <si>
    <t>Drug Discoveries Ther.</t>
  </si>
  <si>
    <t>Drug Discov. Today</t>
  </si>
  <si>
    <t>Drug Discov. Today Dis. Models</t>
  </si>
  <si>
    <t>Drug Discov. Today Techn.</t>
  </si>
  <si>
    <t>Drug Discov. Today Ther. Strateg.</t>
  </si>
  <si>
    <t>Drug Discov. World</t>
  </si>
  <si>
    <t>Drug Invent. Today</t>
  </si>
  <si>
    <t>Drug Metab. Dispos.</t>
  </si>
  <si>
    <t>Drug Metab. Drug Interact.</t>
  </si>
  <si>
    <t>Drug Metab. Pharmacokinet.</t>
  </si>
  <si>
    <t>Drug Metab. Lett.</t>
  </si>
  <si>
    <t>Drug Metab. Rev.</t>
  </si>
  <si>
    <t>Drug Res.</t>
  </si>
  <si>
    <t>Drug Resist. Updates</t>
  </si>
  <si>
    <t>Drug Saf.</t>
  </si>
  <si>
    <t>Drug Test. Anal.</t>
  </si>
  <si>
    <t>Drug Healthc. Patient Saf.</t>
  </si>
  <si>
    <t>Drugs Ther. Perspect.</t>
  </si>
  <si>
    <t>Drug Ther. Stud.</t>
  </si>
  <si>
    <t>Drugs Context</t>
  </si>
  <si>
    <t>Drugs Future</t>
  </si>
  <si>
    <t>Drugs Today</t>
  </si>
  <si>
    <t>Duzce Med. J.</t>
  </si>
  <si>
    <t>Ear Nose Throat J.</t>
  </si>
  <si>
    <t>Early Hum. Dev.</t>
  </si>
  <si>
    <t>Early Intervent. Psychiatry</t>
  </si>
  <si>
    <t>Eas. As. A. Psyc.</t>
  </si>
  <si>
    <t>East. J. Med.</t>
  </si>
  <si>
    <t>East. Mediterr. Health J.</t>
  </si>
  <si>
    <t>Eating Weight Disord.</t>
  </si>
  <si>
    <t>Eating Behav.</t>
  </si>
  <si>
    <t>Eating Disord.</t>
  </si>
  <si>
    <t>EBR Eur. Biopharm. Rev.</t>
  </si>
  <si>
    <t>Econ. Hum. Biol.</t>
  </si>
  <si>
    <t>Ecotoxicol. Environ. Saf.</t>
  </si>
  <si>
    <t>Egypt. Heart J.</t>
  </si>
  <si>
    <t>Egypt. J. Anaesth.</t>
  </si>
  <si>
    <t>Egypt. J. Chest Dis. Tuberc.</t>
  </si>
  <si>
    <t>Egypt. J. Crit. Care Med.</t>
  </si>
  <si>
    <t>Egypt. J. Med. Hum. Genet.</t>
  </si>
  <si>
    <t>Egypt. J. Neurol., Psychiatr. Neurosurg.</t>
  </si>
  <si>
    <t>Egypt. J. Radiol. Nucl. Med.</t>
  </si>
  <si>
    <t>Egypt. Pediatr. Assoc. Gaz.</t>
  </si>
  <si>
    <t>Egypt. Rheumatol.</t>
  </si>
  <si>
    <t>EJNMMI Res.</t>
  </si>
  <si>
    <t>Eksp. Klinicheskaya Farmakol.</t>
  </si>
  <si>
    <t>Electrolyte Blood Press.</t>
  </si>
  <si>
    <t>Electron. J. Biotechnol.</t>
  </si>
  <si>
    <t>EMA Emerg. Med. Australas.</t>
  </si>
  <si>
    <t>EMBO J.</t>
  </si>
  <si>
    <t>EMBO Mol. Med.</t>
  </si>
  <si>
    <t>EMBO Rep.</t>
  </si>
  <si>
    <t>Emerg. Health Threat. J.</t>
  </si>
  <si>
    <t>Emerg. Med. Clin. North Am.</t>
  </si>
  <si>
    <t>Emerg. Med. Int.</t>
  </si>
  <si>
    <t>Emerg. Med. J.</t>
  </si>
  <si>
    <t>Emerg. Radiol.</t>
  </si>
  <si>
    <t>Emerg. Infect. Dis.</t>
  </si>
  <si>
    <t>Emerg. Microbes Infect.</t>
  </si>
  <si>
    <t>Emerg. Themes Epidemiol.</t>
  </si>
  <si>
    <t>Emirates Med. J.</t>
  </si>
  <si>
    <t>Emot. Behav. Difficulties</t>
  </si>
  <si>
    <t>Endocr. Connect.</t>
  </si>
  <si>
    <t>Endocr. Dev.</t>
  </si>
  <si>
    <t>Endocr. Disruptors</t>
  </si>
  <si>
    <t>Endocr. J.</t>
  </si>
  <si>
    <t>Endocr. Pathol.</t>
  </si>
  <si>
    <t>Endocr. Pract.</t>
  </si>
  <si>
    <t>Endocr. Regul.</t>
  </si>
  <si>
    <t>Endocr. Res.</t>
  </si>
  <si>
    <t>Endocr. Rev.</t>
  </si>
  <si>
    <t>Endocr. Metab. Immune Disord. Drug Targets</t>
  </si>
  <si>
    <t>Endocr.-Relat. Cancer</t>
  </si>
  <si>
    <t>Endocrinol. Nutr.</t>
  </si>
  <si>
    <t>Endocrinol. Metab. Clin. North Am.</t>
  </si>
  <si>
    <t>Endocrinol. Stud.</t>
  </si>
  <si>
    <t>Endocrinol. Diabetes Metab. Case Rep.</t>
  </si>
  <si>
    <t>Endokrinologya (Bulgaria)</t>
  </si>
  <si>
    <t>Endokrynol. Pol.</t>
  </si>
  <si>
    <t>Endosc. Forum Dig. Dis.</t>
  </si>
  <si>
    <t>Endosc. Int. Open</t>
  </si>
  <si>
    <t>Enferm. Emergentes</t>
  </si>
  <si>
    <t>Enferm. Infecc. Microbiol.</t>
  </si>
  <si>
    <t>Enferm. Infecc. Microbiol. Clin.</t>
  </si>
  <si>
    <t>Enferm. Infecc. Microbiol. Clin. Monogr.</t>
  </si>
  <si>
    <t>Eng. Life Sci.</t>
  </si>
  <si>
    <t>Environ. Int.</t>
  </si>
  <si>
    <t>Environ. Mol. Mutagen.</t>
  </si>
  <si>
    <t>Environ. Eng. Sci.</t>
  </si>
  <si>
    <t>Environ. Health Prev. Med.</t>
  </si>
  <si>
    <t>Environ. Health Perspect.</t>
  </si>
  <si>
    <t>Environ. Health Global Access Sci. Sour.</t>
  </si>
  <si>
    <t>Environ. Manage.</t>
  </si>
  <si>
    <t>Environ. Monit. Assess.</t>
  </si>
  <si>
    <t>Environ. Pollut.</t>
  </si>
  <si>
    <t>Environ. Res.</t>
  </si>
  <si>
    <t>Environ. Sci. Policy</t>
  </si>
  <si>
    <t>Environ. Sci. Technol.</t>
  </si>
  <si>
    <t>Environ. Sci. Process. Impacts</t>
  </si>
  <si>
    <t>Environ. Technol.</t>
  </si>
  <si>
    <t>Environ. Toxicol.</t>
  </si>
  <si>
    <t>Environ. Toxicol. Chem.</t>
  </si>
  <si>
    <t>Environ. Toxicol. Pharmacol.</t>
  </si>
  <si>
    <t>Envir. Risques Sante</t>
  </si>
  <si>
    <t>Enzyme Microb. Technol.</t>
  </si>
  <si>
    <t>Enzyme Res.</t>
  </si>
  <si>
    <t>Epidemiol. Perspect. Innov.</t>
  </si>
  <si>
    <t>Epidemiol. Rev.</t>
  </si>
  <si>
    <t>Epidemiol. Mikrobiol. Imunol.</t>
  </si>
  <si>
    <t>Epidemiol. Infect.</t>
  </si>
  <si>
    <t>Epidemiol. Psychiatr. Sci.</t>
  </si>
  <si>
    <t>Epidemiol. Res. Intern.</t>
  </si>
  <si>
    <t>Epigenetics Chromatin</t>
  </si>
  <si>
    <t>Epigenetics Hum. Health</t>
  </si>
  <si>
    <t>Epilepsy Behav.</t>
  </si>
  <si>
    <t>Epilepsy Behav. Case Report.</t>
  </si>
  <si>
    <t>Epilepsy Seizure</t>
  </si>
  <si>
    <t>Epilepsy Curr.</t>
  </si>
  <si>
    <t>Epilepsy Res.</t>
  </si>
  <si>
    <t>Epilepsy Res. Treat.</t>
  </si>
  <si>
    <t>Epileptic Disord.</t>
  </si>
  <si>
    <t>Epitheorese Klin. Farmakol. Farmakokinet.</t>
  </si>
  <si>
    <t>EPMA J.</t>
  </si>
  <si>
    <t>Equilib. Res.</t>
  </si>
  <si>
    <t>Erciyes Tip Derg.</t>
  </si>
  <si>
    <t>ESHRE Monogr.</t>
  </si>
  <si>
    <t>e-SPEN J.</t>
  </si>
  <si>
    <t>Esper. Dermatol.</t>
  </si>
  <si>
    <t>Eth. Human Psychol. Psychiatry</t>
  </si>
  <si>
    <t>Ethics Biol. Eng. Med.</t>
  </si>
  <si>
    <t>Ethiop. Pharm. J.</t>
  </si>
  <si>
    <t>Ethn. Dis.</t>
  </si>
  <si>
    <t>Eurasian J. Anal. Chem.</t>
  </si>
  <si>
    <t>Eurasip J. Bioinform. Syst. Biol.</t>
  </si>
  <si>
    <t>Eur. Addict. Res.</t>
  </si>
  <si>
    <t>Eur. Ann. Allergy Clinical Immunol.</t>
  </si>
  <si>
    <t>Eur. Ann. Otorhinolaryngol. Head Neck Dis.</t>
  </si>
  <si>
    <t>Eur. Arch. Oto-Rhino-Laryngol.</t>
  </si>
  <si>
    <t>Eur. Arch. Psychiatry Clin. Neurosci.</t>
  </si>
  <si>
    <t>Eur. Assoc. NeuroOncology Mag.</t>
  </si>
  <si>
    <t>Eur. Biophys. J.</t>
  </si>
  <si>
    <t>Eur. Cardiol.</t>
  </si>
  <si>
    <t>Eur. Cells and Mater.</t>
  </si>
  <si>
    <t>Eur. Child Adolesc. Psychiatry</t>
  </si>
  <si>
    <t>Eur. Cytokine Netw.</t>
  </si>
  <si>
    <t>Eur. Eating Disord. Rev.</t>
  </si>
  <si>
    <t>Eur. Endocrinol.</t>
  </si>
  <si>
    <t>Eur. Gastroenterol. Hepatol.</t>
  </si>
  <si>
    <t>Eur. Geriatr. Med.</t>
  </si>
  <si>
    <t>Eur. Heart J.</t>
  </si>
  <si>
    <t>Eur. Heart J. Cardiovasc. Imaging</t>
  </si>
  <si>
    <t>Eur. Heart J. Suppl.</t>
  </si>
  <si>
    <t>Eur. Heart J. Acute Cardiovasc. Care</t>
  </si>
  <si>
    <t>Eur. Infect. Dis.</t>
  </si>
  <si>
    <t>Eur. J. Anaesthesiol.</t>
  </si>
  <si>
    <t>Eur. J. Anaesthesiol. Suppl.</t>
  </si>
  <si>
    <t>Eur. J. Anat.</t>
  </si>
  <si>
    <t>Eur. J. Cancer</t>
  </si>
  <si>
    <t>Eur.J. Cancer Prev.</t>
  </si>
  <si>
    <t>Eur. J. Cancer Suppl.</t>
  </si>
  <si>
    <t>Eur. J. Cardio-thorac. Surg.</t>
  </si>
  <si>
    <t>Eur. J. Cardiovasc. Med.</t>
  </si>
  <si>
    <t>Eur. J. Cardiovasc. Nurs.</t>
  </si>
  <si>
    <t>Eur. J. Cell Biol.</t>
  </si>
  <si>
    <t>Eur. J. Clin. Med. Oncol.</t>
  </si>
  <si>
    <t>Eur. J. Clin. Invest.</t>
  </si>
  <si>
    <t>Eur. J. Clin. Microbiol. Infect. Dis.</t>
  </si>
  <si>
    <t>Eur. J. Clin. Nutr.</t>
  </si>
  <si>
    <t>Eur. J. Clin. Pharmacol.</t>
  </si>
  <si>
    <t>Eur. J. Cogn. Psychol.</t>
  </si>
  <si>
    <t>Eur. J. Contracept. Reprod. Health Care</t>
  </si>
  <si>
    <t>Eur. J. Dermatol.</t>
  </si>
  <si>
    <t>Eur. J. Drug Metab. Pharmacokinet.</t>
  </si>
  <si>
    <t>Eur. J. Emerg. Med.</t>
  </si>
  <si>
    <t>Eur. J. Endocrinol.</t>
  </si>
  <si>
    <t>Eur. J. Epidemiol.</t>
  </si>
  <si>
    <t>Eur. J. Gastroenterol. Hepatol.</t>
  </si>
  <si>
    <t>Eur. J. Gen. Med.</t>
  </si>
  <si>
    <t>Eur. J. Gen. Pract.</t>
  </si>
  <si>
    <t>Eur. J. Gynaecol. Oncol.</t>
  </si>
  <si>
    <t>Eur. J. Haematol.</t>
  </si>
  <si>
    <t>Eur. J. Health Econ.</t>
  </si>
  <si>
    <t>Eur. J. Heart Fail.</t>
  </si>
  <si>
    <t>Eur. J. Heart Fail. Suppl.</t>
  </si>
  <si>
    <t>Euro. J. Hosp. Pharm. Sci. Pra.</t>
  </si>
  <si>
    <t>Eur. J. Hum. Genet.</t>
  </si>
  <si>
    <t>Eur. J. Immunol.</t>
  </si>
  <si>
    <t>Eur. J. Inflamm.</t>
  </si>
  <si>
    <t>Eur. J. Integr. Med.</t>
  </si>
  <si>
    <t>Eur. J. Intern. Med.</t>
  </si>
  <si>
    <t>Eur. J. Lymphol. Relat. Probl.</t>
  </si>
  <si>
    <t>Eur. J. Med. Genet.</t>
  </si>
  <si>
    <t>Eur. J. Med. Res.</t>
  </si>
  <si>
    <t>Eur. J. Med. Chem.</t>
  </si>
  <si>
    <t>Eur. J. Ment. Health</t>
  </si>
  <si>
    <t>Eur. J. Nanomed.</t>
  </si>
  <si>
    <t>Eur. J. Neurodegenerative Dis.</t>
  </si>
  <si>
    <t>Eur. J. Neurol.</t>
  </si>
  <si>
    <t>Eur. J. Neurosci.</t>
  </si>
  <si>
    <t>Eur. J. Nucl. Med. Mol. Imaging</t>
  </si>
  <si>
    <t>Eur. J. Nutr.</t>
  </si>
  <si>
    <t>Eur. J. Obstet. Gynecol. Reprod. Biol.</t>
  </si>
  <si>
    <t>Eur. J. Oncol.</t>
  </si>
  <si>
    <t>Eur. J. Oncolog. Pharm.</t>
  </si>
  <si>
    <t>Eur. J. Ophthalmol.</t>
  </si>
  <si>
    <t>Eu. J. Oriental Med.</t>
  </si>
  <si>
    <t>Eur. J. Orthop. Surg. Traumatol.</t>
  </si>
  <si>
    <t>Eur. J. Paediatr. Neurol.</t>
  </si>
  <si>
    <t>Eur. J. Pain</t>
  </si>
  <si>
    <t>Eur. J. Pain Suppl.</t>
  </si>
  <si>
    <t>Eur. J. Pediatr. Dermatol.</t>
  </si>
  <si>
    <t>Eur. J. Pediatr. Surg.</t>
  </si>
  <si>
    <t>Eur. J. Pediatr. Surg. Rep.</t>
  </si>
  <si>
    <t>Eur. J. Pediatr.</t>
  </si>
  <si>
    <t>Eur. J. Pharm. Sci.</t>
  </si>
  <si>
    <t>Eur. J. Pharm. Biopharm.</t>
  </si>
  <si>
    <t>Eur. J. Pharmacol.</t>
  </si>
  <si>
    <t>Europ. J. Physiother.</t>
  </si>
  <si>
    <t>Eur. J. Plast. Surg.</t>
  </si>
  <si>
    <t>Eur. J. Prev. Cardiol.</t>
  </si>
  <si>
    <t>Eur. J. Psychiatry</t>
  </si>
  <si>
    <t>Eur. J. Radiol.</t>
  </si>
  <si>
    <t>Europ. J. Spec. Needs Educ.</t>
  </si>
  <si>
    <t>Eur. J. Surg. Oncol.</t>
  </si>
  <si>
    <t>Eur. J. Vasc. Endovasc. Surg.</t>
  </si>
  <si>
    <t>Eur. Life Sci. J.</t>
  </si>
  <si>
    <t>Eur. Musculoskelet. Rev.</t>
  </si>
  <si>
    <t>Eur. Neurol. J.</t>
  </si>
  <si>
    <t>Eur. Neurol.</t>
  </si>
  <si>
    <t>Eur. Neuropsychopharmacol.</t>
  </si>
  <si>
    <t>Eur. Oncol. Haematol.</t>
  </si>
  <si>
    <t>Eur. Orthop. Traumatol.</t>
  </si>
  <si>
    <t>Eur. Pharm. Contract.</t>
  </si>
  <si>
    <t>Eur. Pharm. Rev.</t>
  </si>
  <si>
    <t>Eur. Psychiatr. Rev.</t>
  </si>
  <si>
    <t>Eur. Psychiatry</t>
  </si>
  <si>
    <t>Eur. Radiol.</t>
  </si>
  <si>
    <t>Eur. Radiol. Suppl.</t>
  </si>
  <si>
    <t>Eur. Res. Telemedicine</t>
  </si>
  <si>
    <t>Eur. Respir. J.</t>
  </si>
  <si>
    <t>Eur. Respir. Monogr.</t>
  </si>
  <si>
    <t>Eur. Respir. Rev.</t>
  </si>
  <si>
    <t>Eur. Rev. Med. Pharmacol. Sci.</t>
  </si>
  <si>
    <t>Eur. Spine J.</t>
  </si>
  <si>
    <t>Eur. Surg. Acta Chir. Austriaca</t>
  </si>
  <si>
    <t>Eur. Surg. Res.</t>
  </si>
  <si>
    <t>Eur. Thyroid J.</t>
  </si>
  <si>
    <t>Eur. Urol.</t>
  </si>
  <si>
    <t>Eur. Urol. Suppl.</t>
  </si>
  <si>
    <t>Evid. Based Child Health</t>
  </si>
  <si>
    <t>Evid-Based Commun. Assess. Intervent.</t>
  </si>
  <si>
    <t>Evid.-Based Complement. Altern. Med.</t>
  </si>
  <si>
    <t>Evid.-Based Med.</t>
  </si>
  <si>
    <t>Evid.-Based Ophthalmol.</t>
  </si>
  <si>
    <t>Evol. Psychiatr.</t>
  </si>
  <si>
    <t>Evol. Med. Public</t>
  </si>
  <si>
    <t>Evol. Bioinformatics</t>
  </si>
  <si>
    <t>EWHA Med. J.</t>
  </si>
  <si>
    <t>EXCLI J.</t>
  </si>
  <si>
    <t>Exerc. Immunol. Rev.</t>
  </si>
  <si>
    <t>Exp. Clin. Cardiol.</t>
  </si>
  <si>
    <t>Exp. Clin. Endocrinol. Diabetes</t>
  </si>
  <si>
    <t>Exp. Clin. Hepatol</t>
  </si>
  <si>
    <t>Exp. Clin. Psychopharmacol.</t>
  </si>
  <si>
    <t>Exp. Clin. Transplant.</t>
  </si>
  <si>
    <t>Exp. Mol. Med.</t>
  </si>
  <si>
    <t>Exp. Mol. Pathol.</t>
  </si>
  <si>
    <t>Exp. Ther. Med.</t>
  </si>
  <si>
    <t>Exp. Toxicol. Pathol.</t>
  </si>
  <si>
    <t>Exp. Transl. Stroke Med.</t>
  </si>
  <si>
    <t>Exp. Anim.</t>
  </si>
  <si>
    <t>Exp. Biol. Med.</t>
  </si>
  <si>
    <t>Exp. Brain Res.</t>
  </si>
  <si>
    <t>Exp. Cell Res.</t>
  </si>
  <si>
    <t>Exp. Dermatol.</t>
  </si>
  <si>
    <t>Exp. Eye Res.</t>
  </si>
  <si>
    <t>Exp. Gerontol.</t>
  </si>
  <si>
    <t>Exp. Hematol.</t>
  </si>
  <si>
    <t>Exp. Hematol. Oncol.</t>
  </si>
  <si>
    <t>Exp. Lung Res.</t>
  </si>
  <si>
    <t>Exp. Neurol.</t>
  </si>
  <si>
    <t>Exp. Oncol.</t>
  </si>
  <si>
    <t>Exp. Parasitol.</t>
  </si>
  <si>
    <t>Exp. Physiol.</t>
  </si>
  <si>
    <t>Expert Opin. Biol. Ther.</t>
  </si>
  <si>
    <t>Expert Opin. Drug Deliv.</t>
  </si>
  <si>
    <t>Expert Opin. Drug. Discov.</t>
  </si>
  <si>
    <t>Expert Opin. Drug Metab. Toxicol.</t>
  </si>
  <si>
    <t>Expert Opin. Drug Saf.</t>
  </si>
  <si>
    <t>Expert Opin. Emerg. Drugs</t>
  </si>
  <si>
    <t>Expert Opin. Invest. Drugs</t>
  </si>
  <si>
    <t>Expert Opin. Orphan Drugs</t>
  </si>
  <si>
    <t>Expert Opin. Pharmacother.</t>
  </si>
  <si>
    <t>Expert Opin. Ther. Pat.</t>
  </si>
  <si>
    <t>Expert Opin. Ther. Targets</t>
  </si>
  <si>
    <t>Expert Rev. Anticancer Ther.</t>
  </si>
  <si>
    <t>Expert Rev. Anti-Infect. Ther.</t>
  </si>
  <si>
    <t>Exp. Rev. Cardiovasc. Ther.</t>
  </si>
  <si>
    <t>Expert Rev. Clin. Immunol.</t>
  </si>
  <si>
    <t>Expert Rev. Clin. Pharmacol.</t>
  </si>
  <si>
    <t>Expert Rev. Dermatol.</t>
  </si>
  <si>
    <t>Expert Rev. Endocrinol. Metab.</t>
  </si>
  <si>
    <t>Expert Rev. Gastroenterol. Hepatol.</t>
  </si>
  <si>
    <t>Expert Rev. Hematol.</t>
  </si>
  <si>
    <t>Expert Rev. Med. Devices</t>
  </si>
  <si>
    <t>Expert Rev. Mol. Diagn.</t>
  </si>
  <si>
    <t>Expert Rev. Neurother.</t>
  </si>
  <si>
    <t>Expert Rev. Obstet. Gynecol.</t>
  </si>
  <si>
    <t>Expert Rev. Ophthalmol.</t>
  </si>
  <si>
    <t>Expert Rev. Pharmacoecon. Outcomes Res.</t>
  </si>
  <si>
    <t>Expert Rev. Proteomics</t>
  </si>
  <si>
    <t>Expert Rev. Respir. Med.</t>
  </si>
  <si>
    <t>Expert Rev. Vaccines</t>
  </si>
  <si>
    <t>Expert Rev. Mol. Med.</t>
  </si>
  <si>
    <t>Explor. J. Sci. Heal.</t>
  </si>
  <si>
    <t>Extreme Physiol. Med.</t>
  </si>
  <si>
    <t>Eye</t>
  </si>
  <si>
    <t>Eye Rep.</t>
  </si>
  <si>
    <t>F1000Prime Rep.</t>
  </si>
  <si>
    <t>Fabad J. Pharm. Sci.</t>
  </si>
  <si>
    <t>Facial Plast. Surg. Clin. North Am.</t>
  </si>
  <si>
    <t>Facts News Views</t>
  </si>
  <si>
    <t>Fam. Cancer</t>
  </si>
  <si>
    <t>Fam. Med. Prim. Care Rev.</t>
  </si>
  <si>
    <t>Fam. Pract.</t>
  </si>
  <si>
    <t>Farm. Obz.</t>
  </si>
  <si>
    <t>Farm. Hosp.</t>
  </si>
  <si>
    <t>Farm. Aten. Prim.</t>
  </si>
  <si>
    <t>Farm. Tijdschr. Belg.</t>
  </si>
  <si>
    <t>Farm. Glas.</t>
  </si>
  <si>
    <t>Farm. Prz. Nauk.</t>
  </si>
  <si>
    <t>Farm. Vestn.</t>
  </si>
  <si>
    <t>FASEB J.</t>
  </si>
  <si>
    <t>Fatigue Biomed. Health Behav.</t>
  </si>
  <si>
    <t>FEBS J.</t>
  </si>
  <si>
    <t>FEBS Lett.</t>
  </si>
  <si>
    <t>FEBS Open Bio.</t>
  </si>
  <si>
    <t>FEMS Microbiol. Lett.</t>
  </si>
  <si>
    <t>FEMS Microbiol. Rev.</t>
  </si>
  <si>
    <t>FEMS Yeast Res.</t>
  </si>
  <si>
    <t>Fertil. Steril.</t>
  </si>
  <si>
    <t>Fetal Matern. Med. Rev.</t>
  </si>
  <si>
    <t>Fetal Pediatr. Pathol.</t>
  </si>
  <si>
    <t>Fetal Diagn. Ther.</t>
  </si>
  <si>
    <t>Feuill. Radiol.</t>
  </si>
  <si>
    <t>Fibrogenesis Tissue Repair</t>
  </si>
  <si>
    <t>Fiz. Rehab.</t>
  </si>
  <si>
    <t>Flavour Fragrance J.</t>
  </si>
  <si>
    <t>Fluids Barriers CNS</t>
  </si>
  <si>
    <t>FMC Formacion Med. Continuada Aten. Prim.</t>
  </si>
  <si>
    <t>Focus Altern. Complement. Ther.</t>
  </si>
  <si>
    <t>Focus Autism Other Dev. Disabil.</t>
  </si>
  <si>
    <t>Focus Cancer Med.</t>
  </si>
  <si>
    <t>Focus Parkinson's Dis.</t>
  </si>
  <si>
    <t>Folia Biol.</t>
  </si>
  <si>
    <t>Folia Histochem. Cytobiol.</t>
  </si>
  <si>
    <t>Folia Neuropathol.</t>
  </si>
  <si>
    <t>Folia Pharmacol. Jpn.</t>
  </si>
  <si>
    <t>Food Addit. Contam. Part A Chem. Anal. Control Exposure Risk Assess.</t>
  </si>
  <si>
    <t>Food Chem. Toxicol.</t>
  </si>
  <si>
    <t>Food Drug Law J.</t>
  </si>
  <si>
    <t>Food Environ. Virol.</t>
  </si>
  <si>
    <t>Food Nutri. Res.</t>
  </si>
  <si>
    <t>Food Chem.</t>
  </si>
  <si>
    <t>Foodborne Pathog. Dis.</t>
  </si>
  <si>
    <t>Foot Ankle Int.</t>
  </si>
  <si>
    <t>Foot Ankle Surg.</t>
  </si>
  <si>
    <t>Forensic Sci. Int.</t>
  </si>
  <si>
    <t>Forensic Sci. Int. Suppl. Ser.</t>
  </si>
  <si>
    <t>Forensic Sci. Int. Genet.</t>
  </si>
  <si>
    <t>Forensic Sci. Int. Genet. Suppl. Ser.</t>
  </si>
  <si>
    <t>Forensic Toxicol.</t>
  </si>
  <si>
    <t>Formos. J. Musculoskelet. Disord.</t>
  </si>
  <si>
    <t>Formosan J. Surg.</t>
  </si>
  <si>
    <t>Fortschr. Neurol. Psychiatr.</t>
  </si>
  <si>
    <t>Forum Clin. Oncol.</t>
  </si>
  <si>
    <t>Forum Immunopathol. Dis. Ther.</t>
  </si>
  <si>
    <t>Free Radic. Biol. Med.</t>
  </si>
  <si>
    <t>Free Radic. Res.</t>
  </si>
  <si>
    <t>Front. Aging Neurosci.</t>
  </si>
  <si>
    <t>Front. Anti-Cancer Drug Discov.</t>
  </si>
  <si>
    <t>Front. Anti-infect. Drug Discov.</t>
  </si>
  <si>
    <t>Front. Behav. Neurosci.</t>
  </si>
  <si>
    <t>Front. Biosci. Elite</t>
  </si>
  <si>
    <t>Front. Biosci. Sch.</t>
  </si>
  <si>
    <t>Front. Cardiovasc. Drug Discov.</t>
  </si>
  <si>
    <t>Front. Cell. Infect. Microbiol.</t>
  </si>
  <si>
    <t>Front. Cell. Neurosci.</t>
  </si>
  <si>
    <t>Front. CNS Drug Discov.</t>
  </si>
  <si>
    <t>Front. Comput. Neurosci.</t>
  </si>
  <si>
    <t>Front. Diabetes</t>
  </si>
  <si>
    <t>Front. Drug Des. and Discov.</t>
  </si>
  <si>
    <t>Front. Endocrinol.</t>
  </si>
  <si>
    <t>Front. Genet.</t>
  </si>
  <si>
    <t>Front. Human Neurosci.</t>
  </si>
  <si>
    <t>Front. Immunol.</t>
  </si>
  <si>
    <t>Front. Integr. Neurosci.</t>
  </si>
  <si>
    <t>Front. Med. Chem.</t>
  </si>
  <si>
    <t>Front. Microbiol.</t>
  </si>
  <si>
    <t>Front. Mol. Neurosci.</t>
  </si>
  <si>
    <t>Front. Neural Circuits</t>
  </si>
  <si>
    <t>Front. Neuroanat.</t>
  </si>
  <si>
    <t>Front. Neuroendocrinol.</t>
  </si>
  <si>
    <t>Front. Neuroenergetics</t>
  </si>
  <si>
    <t>Front. Neuroengineering</t>
  </si>
  <si>
    <t>Front. Neuroinformatics</t>
  </si>
  <si>
    <t>Front. Neurol.</t>
  </si>
  <si>
    <t>Front. Neurorobotics</t>
  </si>
  <si>
    <t>Front. Neurosci.</t>
  </si>
  <si>
    <t>Front. Oncol.</t>
  </si>
  <si>
    <t>Front. Pharmacol.</t>
  </si>
  <si>
    <t>Front. Physiol.</t>
  </si>
  <si>
    <t>Front. Psychiatry</t>
  </si>
  <si>
    <t>Front. Synaptic Neurosci.</t>
  </si>
  <si>
    <t>Front. Syst. Neurosci.</t>
  </si>
  <si>
    <t>Front. Gastrointest. Res.</t>
  </si>
  <si>
    <t>Front. Horm. Res.</t>
  </si>
  <si>
    <t>Front. Neurol. Neurosci.</t>
  </si>
  <si>
    <t>Front. Radiat. Ther. Oncol.</t>
  </si>
  <si>
    <t>Frontline Gastroenterol.</t>
  </si>
  <si>
    <t>Funct. Integr. Genomics</t>
  </si>
  <si>
    <t>Funct. Neurol.</t>
  </si>
  <si>
    <t>Fundam. Clin. Pharmacol.</t>
  </si>
  <si>
    <t>Fungal Genet. Biol.</t>
  </si>
  <si>
    <t>Fuss Sprunggelenk</t>
  </si>
  <si>
    <t>Future Cardiol.</t>
  </si>
  <si>
    <t>Future. Med. Chem.</t>
  </si>
  <si>
    <t>Future Microbiol.</t>
  </si>
  <si>
    <t>Future Neurol.</t>
  </si>
  <si>
    <t>Future Oncol.</t>
  </si>
  <si>
    <t>Future Prescr.</t>
  </si>
  <si>
    <t>Future Virol.</t>
  </si>
  <si>
    <t>G3 Genes Genome Genet.</t>
  </si>
  <si>
    <t>Gac. Med. Bilbao</t>
  </si>
  <si>
    <t>Gac. Med. Mex.</t>
  </si>
  <si>
    <t>Gac. Mexicana Oncologia</t>
  </si>
  <si>
    <t>Gastric Breast Cancer</t>
  </si>
  <si>
    <t>Gastroenterol. Pol.</t>
  </si>
  <si>
    <t>Gastroenterol. Hepatol.</t>
  </si>
  <si>
    <t>Gastroenterol. Endosc.</t>
  </si>
  <si>
    <t>Gastroenterol. Hepatol. Bed Bench</t>
  </si>
  <si>
    <t>Gastroenterol. Clin. North Am.</t>
  </si>
  <si>
    <t>Gastroenterol. Insights</t>
  </si>
  <si>
    <t>Gastroenterol. Res. Pract.</t>
  </si>
  <si>
    <t>Gastrointest. Cancer Res.</t>
  </si>
  <si>
    <t>Gastrointest. Endosc.</t>
  </si>
  <si>
    <t>Gastrointest. Endosc. Clin. North Am.</t>
  </si>
  <si>
    <t>Gastrointest. Intervent.</t>
  </si>
  <si>
    <t>Gazi Med. J.</t>
  </si>
  <si>
    <t>Gazz. Med. Ital. Arch. Sci. Med.</t>
  </si>
  <si>
    <t>Geburtshilfe Frauenheilkd.</t>
  </si>
  <si>
    <t>GED Gastrentologia Endosc. Dig.</t>
  </si>
  <si>
    <t>Gefahrstoffe Reinhalt. Luft</t>
  </si>
  <si>
    <t>Gender Med.</t>
  </si>
  <si>
    <t>Gene Expr.</t>
  </si>
  <si>
    <t>Gene Expr. Patterns</t>
  </si>
  <si>
    <t>Gene Regul. Syst. Biol.</t>
  </si>
  <si>
    <t>Gene Ther.</t>
  </si>
  <si>
    <t>Gene Ther. Mol. Biol.</t>
  </si>
  <si>
    <t>Gene Ther. Regul.</t>
  </si>
  <si>
    <t>Gen. Comp. Endocrinol.</t>
  </si>
  <si>
    <t>Gen. Hosp. Psychiatry</t>
  </si>
  <si>
    <t>Gen. Med.</t>
  </si>
  <si>
    <t>Gen. Physiol. Biophys.</t>
  </si>
  <si>
    <t>Gen. Thorac. Cardiovasc. Surg.</t>
  </si>
  <si>
    <t>Genes Cancer</t>
  </si>
  <si>
    <t>Genes Dev.</t>
  </si>
  <si>
    <t>Genes Environ.</t>
  </si>
  <si>
    <t>Genes Genet. Syst.</t>
  </si>
  <si>
    <t>Genes Genomics</t>
  </si>
  <si>
    <t>Genes Immun.</t>
  </si>
  <si>
    <t>Genes Nutr.</t>
  </si>
  <si>
    <t>Genes Brain Behav.</t>
  </si>
  <si>
    <t>Genet. Couns.</t>
  </si>
  <si>
    <t>Genet. Eng. Biotechnol. J.</t>
  </si>
  <si>
    <t>Genet. Epidemiol.</t>
  </si>
  <si>
    <t>Gent. Test. and Mol. Biomarkers</t>
  </si>
  <si>
    <t>Genet. Vaccines Ther.</t>
  </si>
  <si>
    <t>Genet. Mol. Biol.</t>
  </si>
  <si>
    <t>Genet. Mol. Res.</t>
  </si>
  <si>
    <t>Genet. Res.</t>
  </si>
  <si>
    <t>Genet. Res. Intern.</t>
  </si>
  <si>
    <t>Genome Biol.</t>
  </si>
  <si>
    <t>Genome Dyn.</t>
  </si>
  <si>
    <t>Genome Mapp. Genomics Anim.</t>
  </si>
  <si>
    <t>Genome Med.</t>
  </si>
  <si>
    <t>Genome Res.</t>
  </si>
  <si>
    <t>Genomic Med. Biomarkers Health Sci.</t>
  </si>
  <si>
    <t>Geriatr. Med. Intell.</t>
  </si>
  <si>
    <t>Geriatr. Ment. Health Care</t>
  </si>
  <si>
    <t>Geriatr. Orthop. Surg. Rehabit.</t>
  </si>
  <si>
    <t>Geriatr. Gerontol. Int.</t>
  </si>
  <si>
    <t>Germ. J. Psychiatry</t>
  </si>
  <si>
    <t>GeroPsych J. Gerontopsychology Geriatr. Psychiatr.</t>
  </si>
  <si>
    <t>Gesundh.okon. Qual.manage.</t>
  </si>
  <si>
    <t>Gesundheitswes. Suppl.</t>
  </si>
  <si>
    <t>Ginecol. Obstet. Clin.</t>
  </si>
  <si>
    <t>Ginecol. Obstet. Mex.</t>
  </si>
  <si>
    <t>Ginekol. Poloz.</t>
  </si>
  <si>
    <t>Ginekol. Praktyczna</t>
  </si>
  <si>
    <t>G. Gerontol.</t>
  </si>
  <si>
    <t>G. Ital. Cardiol.</t>
  </si>
  <si>
    <t>G. Ital. Dermatol. Venereol.</t>
  </si>
  <si>
    <t>G. Ital. Diabetol. Metab.</t>
  </si>
  <si>
    <t>G. Ital. Endodonzia</t>
  </si>
  <si>
    <t>G. Ital. Endosc. Dig.</t>
  </si>
  <si>
    <t>G. Ital. Farm. Clin.</t>
  </si>
  <si>
    <t>G. Ital. Med. Trop.</t>
  </si>
  <si>
    <t>G. Ital. Ostet. Ginecol.</t>
  </si>
  <si>
    <t>Global Adv. Health Med.</t>
  </si>
  <si>
    <t>Glo. Heart</t>
  </si>
  <si>
    <t>Global Spine J.</t>
  </si>
  <si>
    <t>Globalization Health</t>
  </si>
  <si>
    <t>Glycoconjugate J.</t>
  </si>
  <si>
    <t>GMP Rev.</t>
  </si>
  <si>
    <t>Gogus-Kalp-Damar Anestezi Yogun Bakim Dernegi Derg.</t>
  </si>
  <si>
    <t>Graefe's Arch. Clin. Exp. Ophthalmol.</t>
  </si>
  <si>
    <t>Growth Horm. IGF Res.</t>
  </si>
  <si>
    <t>Guncel Pediatr.</t>
  </si>
  <si>
    <t>Gynaecol. Perinatol.</t>
  </si>
  <si>
    <t>Gynaecol. Perinatol. Suppl.</t>
  </si>
  <si>
    <t>Gynakol. Endokrinol.</t>
  </si>
  <si>
    <t>Gynakol. Prax.</t>
  </si>
  <si>
    <t>Gynecol. Obstet. Invest.</t>
  </si>
  <si>
    <t>Gynecol. Oncol.</t>
  </si>
  <si>
    <t>Gynecol. Oncol. Case Rep.</t>
  </si>
  <si>
    <t>Gynecol. Endocrinol.</t>
  </si>
  <si>
    <t>Gynecol. Surg.</t>
  </si>
  <si>
    <t>Gynecol. Obstet. Fertil.</t>
  </si>
  <si>
    <t>Gynecol. Minimally Invasive Ther.</t>
  </si>
  <si>
    <t>Hacettepe Univ. J. Fac. Pharm.</t>
  </si>
  <si>
    <t>Haematol. Meet. Rep.</t>
  </si>
  <si>
    <t>Hallym Int. J. Aging</t>
  </si>
  <si>
    <t>Hand Clin.</t>
  </si>
  <si>
    <t>Hand Ther.</t>
  </si>
  <si>
    <t>Handb. Exp. Pharmacol.</t>
  </si>
  <si>
    <t>Harm Reduct. J.</t>
  </si>
  <si>
    <t>Harv. Rev. Psychiatry</t>
  </si>
  <si>
    <t>Head Neck Oncol.</t>
  </si>
  <si>
    <t>Health Aff.</t>
  </si>
  <si>
    <t>Health Qual. Life Outcomes</t>
  </si>
  <si>
    <t>Health Technol.</t>
  </si>
  <si>
    <t>Health Econ.</t>
  </si>
  <si>
    <t>Health Econ. Rev.</t>
  </si>
  <si>
    <t>Health Econ. Policy Law</t>
  </si>
  <si>
    <t>Health Educ. J.</t>
  </si>
  <si>
    <t>Health Inf. Sci. Syst.</t>
  </si>
  <si>
    <t>Health Policy Technol.</t>
  </si>
  <si>
    <t>Health Psychol.</t>
  </si>
  <si>
    <t>Health Res. Policy Syst.</t>
  </si>
  <si>
    <t>Health Serv. Outcomes Res. Methodol.</t>
  </si>
  <si>
    <t>Health Serv. Manage. Res.</t>
  </si>
  <si>
    <t>Health Serv. Res.</t>
  </si>
  <si>
    <t>Health Technol. Assess.</t>
  </si>
  <si>
    <t>Health Risk Soc.</t>
  </si>
  <si>
    <t>Healthc. Infect.</t>
  </si>
  <si>
    <t>Healthc. Manage. Forum</t>
  </si>
  <si>
    <t>Healtc. Policy</t>
  </si>
  <si>
    <t>Hear. Res.</t>
  </si>
  <si>
    <t>Hear. Balance Commun.</t>
  </si>
  <si>
    <t>Heart Lung J. Acute Crit. Care</t>
  </si>
  <si>
    <t>Heart Metab.</t>
  </si>
  <si>
    <t>Heart Fail. Clin.</t>
  </si>
  <si>
    <t>Heart Fail. Rev.</t>
  </si>
  <si>
    <t>Heart Int.</t>
  </si>
  <si>
    <t>Heart Lung Circul.</t>
  </si>
  <si>
    <t>Heart Surg. Forum</t>
  </si>
  <si>
    <t>Hell. J. Cardiol.</t>
  </si>
  <si>
    <t>Hell. J. Nucl. Med.</t>
  </si>
  <si>
    <t>Helv. Chim. Acta</t>
  </si>
  <si>
    <t>Hematol.</t>
  </si>
  <si>
    <t>Hematol. Oncol.</t>
  </si>
  <si>
    <t>Hematol. Rep.</t>
  </si>
  <si>
    <t>Hematol. Oncolog. Stem Cell Ther.</t>
  </si>
  <si>
    <t>Hematol. Oncol. Clin. North Am.</t>
  </si>
  <si>
    <t>Hemodial. Int.</t>
  </si>
  <si>
    <t>Hepatic Med. Evid. Res.</t>
  </si>
  <si>
    <t>Hepatitis B Annu.</t>
  </si>
  <si>
    <t>Hepatitis Res. Treatment</t>
  </si>
  <si>
    <t>Hepatobiliary Pancreatic Dis. Int.</t>
  </si>
  <si>
    <t>Hepatol. Int.</t>
  </si>
  <si>
    <t>Hepatol. Res.</t>
  </si>
  <si>
    <t>Hered. Cancer Clin. Pract.</t>
  </si>
  <si>
    <t>Heroin Addict. Relat. Clin. Probl.</t>
  </si>
  <si>
    <t>Herz Suppl.</t>
  </si>
  <si>
    <t>Herzschrittmacherther. Elektrophysiol.</t>
  </si>
  <si>
    <t>High Alt. Med. Biol.</t>
  </si>
  <si>
    <t>High Blood Press. Cardiovasc. Prev.</t>
  </si>
  <si>
    <t>HIP Int.</t>
  </si>
  <si>
    <t>Hipertension Riesgo Vasc.</t>
  </si>
  <si>
    <t>Hiroshima J. Med. Sci.</t>
  </si>
  <si>
    <t>Histochem. Cell Biol.</t>
  </si>
  <si>
    <t>HIV AIDS Rev.</t>
  </si>
  <si>
    <t>HIV Clin. Trials</t>
  </si>
  <si>
    <t>HIV Med.</t>
  </si>
  <si>
    <t>HIV/AIDS - Res. Palliative Care</t>
  </si>
  <si>
    <t>Hong Kong J. Dermatol. Venereol.</t>
  </si>
  <si>
    <t>Hong Kong J. Emerg. Med.</t>
  </si>
  <si>
    <t>Hong Kong J. Nephrol.</t>
  </si>
  <si>
    <t>Hong Kong J. Occup. Ther.</t>
  </si>
  <si>
    <t>Hong Kong J. Paediatr.</t>
  </si>
  <si>
    <t>Hong Kong Med. J.</t>
  </si>
  <si>
    <t>Hong Kong Physiother. J.</t>
  </si>
  <si>
    <t>Hong Kong Pract.</t>
  </si>
  <si>
    <t>Horm. Metab. Res.</t>
  </si>
  <si>
    <t>Horm. Metab. Res. Suppl.</t>
  </si>
  <si>
    <t>Horm. Mol. Biol. Clin. Invest.</t>
  </si>
  <si>
    <t>Horm. Res. Paediatr.</t>
  </si>
  <si>
    <t>Horm.</t>
  </si>
  <si>
    <t>Horm. Behav.</t>
  </si>
  <si>
    <t>Horm. Cancer</t>
  </si>
  <si>
    <t>Hosp. Med. Clin.</t>
  </si>
  <si>
    <t>Hosp. Pediatr.</t>
  </si>
  <si>
    <t>Hosp. Pharm.</t>
  </si>
  <si>
    <t>Hot Top. Cardiol.</t>
  </si>
  <si>
    <t>Hot Top. Hypertens.</t>
  </si>
  <si>
    <t>Hot Top. Neurol. Psychiatr.</t>
  </si>
  <si>
    <t>Hot Top. Oncol.</t>
  </si>
  <si>
    <t>Hot Top. Respir. Med.</t>
  </si>
  <si>
    <t>Hot Top. Viral Heptatitis</t>
  </si>
  <si>
    <t>HSR Proc. Intensive . Care Cardiovasc. Anesth.</t>
  </si>
  <si>
    <t>HUGO J.</t>
  </si>
  <si>
    <t>Huisarts Wet.</t>
  </si>
  <si>
    <t>Hum. Exp. Toxicol.</t>
  </si>
  <si>
    <t>Hum. Antibodies</t>
  </si>
  <si>
    <t>Hum. Brain Mapp.</t>
  </si>
  <si>
    <t>Hum. Cell</t>
  </si>
  <si>
    <t>Hum. Dev.</t>
  </si>
  <si>
    <t>Hum. Fertil.</t>
  </si>
  <si>
    <t>Hum. Gene Ther.</t>
  </si>
  <si>
    <t>Hum. Gene Ther. Clin. Develop.</t>
  </si>
  <si>
    <t>Hum. Gene Ther. Method</t>
  </si>
  <si>
    <t>Hum. Genet.</t>
  </si>
  <si>
    <t>Hum. Genomics</t>
  </si>
  <si>
    <t>Hum. Genomics Proteomics</t>
  </si>
  <si>
    <t>Hum. Hered.</t>
  </si>
  <si>
    <t>Hum. Immunol.</t>
  </si>
  <si>
    <t>Hum. Mol. Genet.</t>
  </si>
  <si>
    <t>Hum. Mov. Sci.</t>
  </si>
  <si>
    <t>Hum. Mutat.</t>
  </si>
  <si>
    <t>Hum. Pathol.</t>
  </si>
  <si>
    <t>Hum. Psychopharmacol.</t>
  </si>
  <si>
    <t>Hum. Reprod.</t>
  </si>
  <si>
    <t>Hum. Reprod. Update</t>
  </si>
  <si>
    <t>Hum. Vaccines Immunother.</t>
  </si>
  <si>
    <t>Hypertens. Pregnancy</t>
  </si>
  <si>
    <t>Hypertens. Res.</t>
  </si>
  <si>
    <t>IARC Monogr. Eval. Carcinog. Risks Hum.</t>
  </si>
  <si>
    <t>ICU Dir.</t>
  </si>
  <si>
    <t>Ideggyogy. Sz.</t>
  </si>
  <si>
    <t>IEEE Rev. Biomed. Eng.</t>
  </si>
  <si>
    <t>IEEE Trans. Biomed. Eng.</t>
  </si>
  <si>
    <t>IEEE Trans. Med. Imaging</t>
  </si>
  <si>
    <t>IIE Trans. Healthc. Syst. Eng.</t>
  </si>
  <si>
    <t>IIOAB J.</t>
  </si>
  <si>
    <t>IJCI Int. J. Clin. Invest.</t>
  </si>
  <si>
    <t>Imagen Diagn.</t>
  </si>
  <si>
    <t>Imaging Med.</t>
  </si>
  <si>
    <t>Immun. Ageing</t>
  </si>
  <si>
    <t>Immuno-Anal. Biol. Spec.</t>
  </si>
  <si>
    <t>Immunol. Res.</t>
  </si>
  <si>
    <t>Immunol. Invest.</t>
  </si>
  <si>
    <t>Immunol. Rev.</t>
  </si>
  <si>
    <t>Immunol. Allergy Clin. North Am.</t>
  </si>
  <si>
    <t>Immunol. Cell Biol.</t>
  </si>
  <si>
    <t>Immunol. Lett.</t>
  </si>
  <si>
    <t>Immunol. Endocr. Metab. Agents Med. Chem.</t>
  </si>
  <si>
    <t>Immunopharmacol. Immunotoxicol.</t>
  </si>
  <si>
    <t>Immunother.</t>
  </si>
  <si>
    <t>Impegno Osp. Sez. Sci.</t>
  </si>
  <si>
    <t>Silico Pharmacol.</t>
  </si>
  <si>
    <t>Indian Heart J.</t>
  </si>
  <si>
    <t>Indian J. Anaesth.</t>
  </si>
  <si>
    <t>Indian J. Biotechnol.</t>
  </si>
  <si>
    <t>Indian J. Cancer</t>
  </si>
  <si>
    <t>Indian J. Clin. Biochem.</t>
  </si>
  <si>
    <t>Indian J. Crit. Care Med.</t>
  </si>
  <si>
    <t>Indian J. Dermatol.</t>
  </si>
  <si>
    <t>Indian J. Dermatol. Venereol. Leprol.</t>
  </si>
  <si>
    <t>Indian J. Forensic Med. Toxicol.</t>
  </si>
  <si>
    <t>Indian J. Gastroenterol.</t>
  </si>
  <si>
    <t>Indian J. Hematol. Blood Transfus.</t>
  </si>
  <si>
    <t>Indian J. Hum. Genet.</t>
  </si>
  <si>
    <t>Indian J. Lepr.</t>
  </si>
  <si>
    <t>Indian J. Med. Paediatr. Oncol.</t>
  </si>
  <si>
    <t>Indian J. Med. Microbiol.</t>
  </si>
  <si>
    <t>Indian J. Med. Res.</t>
  </si>
  <si>
    <t>Indian J. Med. Res. Suppl.</t>
  </si>
  <si>
    <t>Indian J. Med. Sci.</t>
  </si>
  <si>
    <t>Indian J. Nephrol.</t>
  </si>
  <si>
    <t>Indian J. Novel Drug Deliv.</t>
  </si>
  <si>
    <t>Indian J. Nucl. Med.</t>
  </si>
  <si>
    <t>Indian J. Occup. Environ. Med.</t>
  </si>
  <si>
    <t>Indian J. Otol.</t>
  </si>
  <si>
    <t>Indian J. Pathol. Microbiol.</t>
  </si>
  <si>
    <t>Indian J. Pediatr.</t>
  </si>
  <si>
    <t>Indian J. Pharm. Educ. Res.</t>
  </si>
  <si>
    <t>Indian J. Pharm. Sci.</t>
  </si>
  <si>
    <t>Indian J. Pharmacol.</t>
  </si>
  <si>
    <t>Indian J. Physiol. Pharmacol.</t>
  </si>
  <si>
    <t>Indian J. Psychiatry</t>
  </si>
  <si>
    <t>Indian J. Public Health Res. Dev.</t>
  </si>
  <si>
    <t>Indian J. Radiol. Imaging</t>
  </si>
  <si>
    <t>Indian J. Rheumatol.</t>
  </si>
  <si>
    <t>Indian J. Sex. Transm. Dis.</t>
  </si>
  <si>
    <t>Indian J. Surg. Oncol.</t>
  </si>
  <si>
    <t>Indian J. Transplant.</t>
  </si>
  <si>
    <t>Indian J. Tuberc.</t>
  </si>
  <si>
    <t>Indian J. Urol.</t>
  </si>
  <si>
    <t>Indian J. Virol.</t>
  </si>
  <si>
    <t>Indian Pacing Electrophysiol. J.</t>
  </si>
  <si>
    <t>Indian Pediatr.</t>
  </si>
  <si>
    <t>Indo Global J. Pharma. Sci.</t>
  </si>
  <si>
    <t>Indoor Built Environ.</t>
  </si>
  <si>
    <t>Ind. Pharm.</t>
  </si>
  <si>
    <t>Infant Behav. Dev.</t>
  </si>
  <si>
    <t>Infant Ment. Health J.</t>
  </si>
  <si>
    <t>Infect. Chemother.</t>
  </si>
  <si>
    <t>Infect. Drug Resist.</t>
  </si>
  <si>
    <t>Infect. Immun.</t>
  </si>
  <si>
    <t>Infect. Control Hosp. Epidemiol.</t>
  </si>
  <si>
    <t>Infect. Ecol. Epidemiol.</t>
  </si>
  <si>
    <t>Infec. Genet. Evol.</t>
  </si>
  <si>
    <t>Infect. Suppl.</t>
  </si>
  <si>
    <t>Infect. Agents Cancer</t>
  </si>
  <si>
    <t>Infect. Dis. Clin. North Am.</t>
  </si>
  <si>
    <t>Infect. Dis. Rep.</t>
  </si>
  <si>
    <t>Infect. Dis. Ther.</t>
  </si>
  <si>
    <t>Infect. Dis. Clin. Pract.</t>
  </si>
  <si>
    <t>Infect. Dis. Obstet. Gynecol.</t>
  </si>
  <si>
    <t>Infect. Dis. Pover.</t>
  </si>
  <si>
    <t>Infect. Disord. Drug Targets</t>
  </si>
  <si>
    <t>Infektol. Glas.</t>
  </si>
  <si>
    <t>Infez. Med.</t>
  </si>
  <si>
    <t>Inflamm. Allergy Drug Targets</t>
  </si>
  <si>
    <t>Inflamm. Res.</t>
  </si>
  <si>
    <t>Inflammatory Bowel Dis. Monit.</t>
  </si>
  <si>
    <t>Inflammatory Bowel Dis.</t>
  </si>
  <si>
    <t>Influ. Other Respir. Viruses</t>
  </si>
  <si>
    <t>Influ. Res. Treat.</t>
  </si>
  <si>
    <t>Inhal. Toxicol.</t>
  </si>
  <si>
    <t>Innate Immun.</t>
  </si>
  <si>
    <t>Innov. Clin. Neurosci.</t>
  </si>
  <si>
    <t>Innov. Pharm. Technol.</t>
  </si>
  <si>
    <t>Innov. Technol. Tech. Cardiothorac. Vasc. Surg.</t>
  </si>
  <si>
    <t>Integr. Blood Pressure Control</t>
  </si>
  <si>
    <t>Integr. Biol.</t>
  </si>
  <si>
    <t>Integr. Cancer Ther.</t>
  </si>
  <si>
    <t>Integr. Med. Insights</t>
  </si>
  <si>
    <t>Integr. Med. Res.</t>
  </si>
  <si>
    <t>Intensiv- Notfallbehandl.</t>
  </si>
  <si>
    <t>Intensive Care Med.</t>
  </si>
  <si>
    <t>Interact. Cardiovasc. Thorac. Surg.</t>
  </si>
  <si>
    <t>Interdiscip. Neurosurg. Adv. Tech. Case Manage.</t>
  </si>
  <si>
    <t>Interdiscip. Perspect. Infect. Dis.</t>
  </si>
  <si>
    <t>Interdiscip. Toxicol.</t>
  </si>
  <si>
    <t>Interdiszip. Onkol.</t>
  </si>
  <si>
    <t>Intern. Med.</t>
  </si>
  <si>
    <t>Intern. Med. Clin. Lab.</t>
  </si>
  <si>
    <t>Intern. Med. J.</t>
  </si>
  <si>
    <t>Int. Anesthesiol. Clin.</t>
  </si>
  <si>
    <t>Int. Angiol.</t>
  </si>
  <si>
    <t>Int. Arch. Allergy Immunol.</t>
  </si>
  <si>
    <t>Int. Arch. Med.</t>
  </si>
  <si>
    <t>Int. Arch. Otorhinolaryngol.</t>
  </si>
  <si>
    <t>Int. Cancer Conf. J.</t>
  </si>
  <si>
    <t>Int. Cardiovasc. Res. J.</t>
  </si>
  <si>
    <t>Int. Clin. Psychopharmacol.</t>
  </si>
  <si>
    <t>Intern. Eye Sci.</t>
  </si>
  <si>
    <t>Int. Forum Allergy Rhinol.</t>
  </si>
  <si>
    <t>Int. Forum Psychoanal.</t>
  </si>
  <si>
    <t>Int. Health</t>
  </si>
  <si>
    <t>Int. Heart J.</t>
  </si>
  <si>
    <t>Int. Immunol.</t>
  </si>
  <si>
    <t>Int. Immunopharmacol.</t>
  </si>
  <si>
    <t>Int. J.</t>
  </si>
  <si>
    <t>Int. J. Equity Health</t>
  </si>
  <si>
    <t>Int. J. Parasitol.</t>
  </si>
  <si>
    <t>Int. J. Parasitol Drugs Drug Resist.</t>
  </si>
  <si>
    <t>Int. J. Qual. Health Care</t>
  </si>
  <si>
    <t>Int. J. Vitam. Nutr. Res.</t>
  </si>
  <si>
    <t>Int. J. Adolesc. Med. Health</t>
  </si>
  <si>
    <t>Intern. J. Adv. Pharma. Res.</t>
  </si>
  <si>
    <t>Intl. J. Adv. Pharm. Sci.</t>
  </si>
  <si>
    <t>Int. J. Adv. Rheumatol.</t>
  </si>
  <si>
    <t>Int. J. Alzheimer's Dis.</t>
  </si>
  <si>
    <t>Int. J. Angiol.</t>
  </si>
  <si>
    <t>Int. J. Antimicrob. Agents</t>
  </si>
  <si>
    <t>Int. J. Appl. Res. Nat. Prod.</t>
  </si>
  <si>
    <t>Int. J. Artif. Organs</t>
  </si>
  <si>
    <t>Intl. J. Ayurveda Res.</t>
  </si>
  <si>
    <t>Int. J. Behav. Dev.</t>
  </si>
  <si>
    <t>Int. J. Behav. Nutr. Phys. Act.</t>
  </si>
  <si>
    <t>Int. J. Biochem. Cell Biol.</t>
  </si>
  <si>
    <t>Intl. J. Biochem. Mol. Biol.</t>
  </si>
  <si>
    <t>Int. J. Biol. Macromol.</t>
  </si>
  <si>
    <t>Int. J. Biol. Markers</t>
  </si>
  <si>
    <t>Int. J. Biomater.</t>
  </si>
  <si>
    <t>Int. J. Biomed. Eng. Technol.</t>
  </si>
  <si>
    <t>Int. J. Biomed. Imaging</t>
  </si>
  <si>
    <t>Int. J. Biomed. Biomedical Nanoscience Nanotechnology</t>
  </si>
  <si>
    <t>Int. J. Biomed. Sci.</t>
  </si>
  <si>
    <t>Int. J. Biostat.</t>
  </si>
  <si>
    <t>Int. J. Biotechnol.</t>
  </si>
  <si>
    <t>Int. J. Bipolar Disord.</t>
  </si>
  <si>
    <t>Int. J. Breast Cancer</t>
  </si>
  <si>
    <t>Int. J. Burns Trauma</t>
  </si>
  <si>
    <t>Int. J. Cancer</t>
  </si>
  <si>
    <t>Int. J. Cancer Res.</t>
  </si>
  <si>
    <t>Int. J. Cancer Res. Prev.</t>
  </si>
  <si>
    <t>Int. J. Cardiol.</t>
  </si>
  <si>
    <t>Int. J. Card. Imaging</t>
  </si>
  <si>
    <t>Int. J. Cell Biol.</t>
  </si>
  <si>
    <t>Int. J. Chem. Anal.</t>
  </si>
  <si>
    <t>Int. J. ChemTech Res.</t>
  </si>
  <si>
    <t>Int. J. Clin. Exp. Hypn.</t>
  </si>
  <si>
    <t>Int. J. Clin. Exp. Med.</t>
  </si>
  <si>
    <t>Int. J. Clin. Leadersh.</t>
  </si>
  <si>
    <t>Int. J. Clin. Oncol.</t>
  </si>
  <si>
    <t>Int. J. Clin. Pharmacol. Ther.</t>
  </si>
  <si>
    <t>Int. J. Clin. Pharm.</t>
  </si>
  <si>
    <t>Int. J. Clin. Pract.</t>
  </si>
  <si>
    <t>Int. J. Clin. Rheumatol.</t>
  </si>
  <si>
    <t>Int. J. Colorectal Dis.</t>
  </si>
  <si>
    <t>Int. J. Comp. Biol. Drug Des.</t>
  </si>
  <si>
    <t>Int. J. Comput. Assisted Radiol. Surg.</t>
  </si>
  <si>
    <t>Int. J. COPD</t>
  </si>
  <si>
    <t>Int. J. Cosmet. Sci.</t>
  </si>
  <si>
    <t>Intern. J. Curr. Pharm. Res.</t>
  </si>
  <si>
    <t>Intl. J. Curr. Pharm. Rev. Res.</t>
  </si>
  <si>
    <t>Int. J. Dermatol.</t>
  </si>
  <si>
    <t>Int. J. Dev. Biol.</t>
  </si>
  <si>
    <t>Int. J. Dev. Neurosci.</t>
  </si>
  <si>
    <t>Int. J. Diabetes and Metabol.</t>
  </si>
  <si>
    <t>Int. J. Drug. Dev. Res.</t>
  </si>
  <si>
    <t>Int. J. Drug Policy</t>
  </si>
  <si>
    <t>Int. J. Eating Disord.</t>
  </si>
  <si>
    <t>Int. J. Emerg. Manage.</t>
  </si>
  <si>
    <t>Int. J. Emer. Med.</t>
  </si>
  <si>
    <t>Int. J. Endocrinol. Metab.</t>
  </si>
  <si>
    <t>Int. J. Environ. Pollut.</t>
  </si>
  <si>
    <t>Int. J. Environ. Health Res.</t>
  </si>
  <si>
    <t>Int. J. Environ. Res. Public Health</t>
  </si>
  <si>
    <t>Int. J. Epidemiol.</t>
  </si>
  <si>
    <t>Int. J. Exp. Pathol.</t>
  </si>
  <si>
    <t>Int. J. Fertil. Steril.</t>
  </si>
  <si>
    <t>Int. J. Food Microbiol.</t>
  </si>
  <si>
    <t>Int. J. Gen. Med.</t>
  </si>
  <si>
    <t>Int. J. Genomics</t>
  </si>
  <si>
    <t>Int. J. Geriatr. Psychiatry</t>
  </si>
  <si>
    <t>Int. J. Gerontol.</t>
  </si>
  <si>
    <t>Int. J. Green Nanotechnology</t>
  </si>
  <si>
    <t>Int. J. Green Pharm.</t>
  </si>
  <si>
    <t>Int. J. Gynecol. Cancer</t>
  </si>
  <si>
    <t>Int. J. Gynecol. Pathol.</t>
  </si>
  <si>
    <t>Int. J. Gynecol. Obstet.</t>
  </si>
  <si>
    <t>Int. J. Health Promot. Edu.</t>
  </si>
  <si>
    <t>Int. J. Health Res.</t>
  </si>
  <si>
    <t>Int. J. Healthc. Technol. Manage.</t>
  </si>
  <si>
    <t>Int. J. Hematol. Oncol.</t>
  </si>
  <si>
    <t>Int. J. Hematol.</t>
  </si>
  <si>
    <t>Int. J. Hematol. Oncol. Stem Cell Res.</t>
  </si>
  <si>
    <t>Int. J. Hepatol.</t>
  </si>
  <si>
    <t>Int. J. Hum. Gen.</t>
  </si>
  <si>
    <t>Int. J. Hyperthermia</t>
  </si>
  <si>
    <t>Int. J. Immunogenet.</t>
  </si>
  <si>
    <t>Int. J. Immunopathol. Pharmacol.</t>
  </si>
  <si>
    <t>Int. J. Impotence Res.</t>
  </si>
  <si>
    <t>Int. J. Ind. Ergon.</t>
  </si>
  <si>
    <t>Int. J. Infect. Dis.</t>
  </si>
  <si>
    <t>Int. J. Integr. Biol.</t>
  </si>
  <si>
    <t>Int. J. Interferon Cytokine Mediator Res.</t>
  </si>
  <si>
    <t>Int. J. Lab. Hematol.</t>
  </si>
  <si>
    <t>Int. J. Law Psychiatry</t>
  </si>
  <si>
    <t>Int. J. Life Cycle Assess.</t>
  </si>
  <si>
    <t>Int. J. Life Sci. Biotechnol. Pharma Res.</t>
  </si>
  <si>
    <t>Int. J. Low Radiat.</t>
  </si>
  <si>
    <t>Int. J. Lower Extremity Wounds</t>
  </si>
  <si>
    <t>Int. J. Med. Eng. Inf.</t>
  </si>
  <si>
    <t>Int. J. Med. Informatics</t>
  </si>
  <si>
    <t>Int. J. Med. Microbiol.</t>
  </si>
  <si>
    <t>Int. J. Med. Rob. Comput. Assisted Surg.</t>
  </si>
  <si>
    <t>Int. J. Med. Sci.</t>
  </si>
  <si>
    <t>Int. J. Med. Toxicol. Forensic Med.</t>
  </si>
  <si>
    <t>Int. J. Med. Toxicol. Legal Med.</t>
  </si>
  <si>
    <t>Int. J. Med. Aromat. Plant</t>
  </si>
  <si>
    <t>Int. J. Med. Chem.</t>
  </si>
  <si>
    <t>Int. J. Med. Mushrooms</t>
  </si>
  <si>
    <t>Int. J. Men's Health</t>
  </si>
  <si>
    <t>Int. J. Ment. Health Syst.</t>
  </si>
  <si>
    <t>Int. J. Mol. Epidemiol. Genet.</t>
  </si>
  <si>
    <t>Int. J. Mol. Imaging</t>
  </si>
  <si>
    <t>Int. J. Mol. Med.</t>
  </si>
  <si>
    <t>Int. J. Mol. Sci.</t>
  </si>
  <si>
    <t>Int. J. Mycobacteriology</t>
  </si>
  <si>
    <t>Int. J. Nano Biomater.</t>
  </si>
  <si>
    <t>Int. J. Nanomed.</t>
  </si>
  <si>
    <t>Int. J. Nephrol. Renovascular Dis.</t>
  </si>
  <si>
    <t>Int. J. Neuropsychopharmacol.</t>
  </si>
  <si>
    <t>Int. J. Neurosci.</t>
  </si>
  <si>
    <t>Int. J. Obes.</t>
  </si>
  <si>
    <t>Int. J. Obstet. Anesth.</t>
  </si>
  <si>
    <t>Int. J. Oncol.</t>
  </si>
  <si>
    <t>Int. J. Oral Maxillofac. Surg.</t>
  </si>
  <si>
    <t>Int. J. Organ Transplant. Med.</t>
  </si>
  <si>
    <t>Int. J. Ostheopath. Med.</t>
  </si>
  <si>
    <t>Int. J. Osteoporosis Metab. Disord.</t>
  </si>
  <si>
    <t>Int. J. Ozone Ther.</t>
  </si>
  <si>
    <t>Int. J. Pediatr. Endocrinol.</t>
  </si>
  <si>
    <t>Int. J. Pediatr. Otorhinolaryngol.</t>
  </si>
  <si>
    <t>Int. J. Pediatr. Otorhinolaryngol. Extra</t>
  </si>
  <si>
    <t>Int. J. Pept. Res. Ther.</t>
  </si>
  <si>
    <t>Int. J. Pepl.</t>
  </si>
  <si>
    <t>Int. J. Perioper. Ultrasound Appl. Technol.</t>
  </si>
  <si>
    <t>Int. J. Pharm. Med. Biol. Sci.</t>
  </si>
  <si>
    <t>Intl. J. Pharm. Clin. Res.</t>
  </si>
  <si>
    <t>Int. J. Pharm. Phytopharm. Res.</t>
  </si>
  <si>
    <t>Int. J. Pharm. Front. Res.</t>
  </si>
  <si>
    <t>Int. J. Pharm. Invest.</t>
  </si>
  <si>
    <t>Int. J. Pharm. Res. Allied Sci.</t>
  </si>
  <si>
    <t>Int. J. Pharm. Sci. Res.</t>
  </si>
  <si>
    <t>Int. J. Pharm.</t>
  </si>
  <si>
    <t>Int. J. Pharmacol.</t>
  </si>
  <si>
    <t>Intl. J. Pharm. Technol.</t>
  </si>
  <si>
    <t>Int. J. Pharm. Pract.</t>
  </si>
  <si>
    <t>Int. J. Pharm. Res.</t>
  </si>
  <si>
    <t>Int. J. Physiol. Pathophysiol.</t>
  </si>
  <si>
    <t>Int. J Physiol. Pathophysiol. Pharmacol.</t>
  </si>
  <si>
    <t>Int. J. Probiotics Prebiotics</t>
  </si>
  <si>
    <t>Int. J. Proteomics</t>
  </si>
  <si>
    <t>Int. J. Psychiatry Clin. Pract.</t>
  </si>
  <si>
    <t>Int. J. Psychiatry Med.</t>
  </si>
  <si>
    <t>Int. J. Psychophysiol.</t>
  </si>
  <si>
    <t>Int. J. Radiat. Biol.</t>
  </si>
  <si>
    <t>Int. J. Radiat. Oncol. Biol. Phys.</t>
  </si>
  <si>
    <t>Iran. J. Radiat. Res.</t>
  </si>
  <si>
    <t>Int. J. Res. Pharm. Sci.</t>
  </si>
  <si>
    <t>Int. J. Rheum. Dis.</t>
  </si>
  <si>
    <t>Intl. J. Rheumatol.</t>
  </si>
  <si>
    <t>Int. J. Risk Saf. Med.</t>
  </si>
  <si>
    <t>Int. J. Spine Surg.</t>
  </si>
  <si>
    <t>Int. J. Sport Nutr. Exer. Metabol.</t>
  </si>
  <si>
    <t>Int. J. Sports Med. Suppl.</t>
  </si>
  <si>
    <t>Int. J. STD AIDS</t>
  </si>
  <si>
    <t>Int. J. Stroke</t>
  </si>
  <si>
    <t>Int. J. Surg.</t>
  </si>
  <si>
    <t>Int. J. Surg. Case Rep.</t>
  </si>
  <si>
    <t>Int. J. Surg. Pathol.</t>
  </si>
  <si>
    <t>Int. J. Syst. Evol. Microbiol.</t>
  </si>
  <si>
    <t>Int. J. Technol. Assess. Health Care</t>
  </si>
  <si>
    <t>Int. J. Telemed. Appl.</t>
  </si>
  <si>
    <t>Int. J. Toxicol.</t>
  </si>
  <si>
    <t>Int. J. Trop. Med.</t>
  </si>
  <si>
    <t>Int. J. Tuberc. Lung Dis.</t>
  </si>
  <si>
    <t>Int. J. Urol.</t>
  </si>
  <si>
    <t>Int. J. Vasc. Med.</t>
  </si>
  <si>
    <t>Int. J. Vet. Sci. Med.</t>
  </si>
  <si>
    <t>Int. J. Virol.</t>
  </si>
  <si>
    <t>Int. J. Womens Health</t>
  </si>
  <si>
    <t>Int. J. Workplace Health Manage.</t>
  </si>
  <si>
    <t>Int. J. Disabil. Hum. Dev.</t>
  </si>
  <si>
    <t>Int. Med. Case Rep. J.</t>
  </si>
  <si>
    <t>Int. Med. J.</t>
  </si>
  <si>
    <t>Int. MS J.</t>
  </si>
  <si>
    <t>Int. Neurourology J.</t>
  </si>
  <si>
    <t>Int. Ophthalmol.</t>
  </si>
  <si>
    <t>Int. Ophthalmol. Clin.</t>
  </si>
  <si>
    <t>Int. Orthop.</t>
  </si>
  <si>
    <t>Int. Pediatr.</t>
  </si>
  <si>
    <t>Int. Psychogeriatr.</t>
  </si>
  <si>
    <t>Int. Res. J. Pharm.</t>
  </si>
  <si>
    <t>Int. Rev. Allergol. Clin. Immunol.</t>
  </si>
  <si>
    <t>Int. Rev. Cell Mol. Biol.</t>
  </si>
  <si>
    <t>Int. Rev. Neurobiol.</t>
  </si>
  <si>
    <t>Int. Rev. Psychiatry</t>
  </si>
  <si>
    <t>Int. Rev. Immunol.</t>
  </si>
  <si>
    <t>Int. Tinnitus J.</t>
  </si>
  <si>
    <t>Int. Urogynecol. J. Pelvic Floor Dysfunct.</t>
  </si>
  <si>
    <t>Int. Urol. Nephrol.</t>
  </si>
  <si>
    <t>Int. Wound J.</t>
  </si>
  <si>
    <t>Internet J. Asthma Allergy Immunol.</t>
  </si>
  <si>
    <t>Internet J. Cardiol.</t>
  </si>
  <si>
    <t>Internet J. Cardiovasc. Res.</t>
  </si>
  <si>
    <t>Internet J. Dermatol.</t>
  </si>
  <si>
    <t>Internet J. Epidemiol.</t>
  </si>
  <si>
    <t>Internet J. Genomics Proteomics</t>
  </si>
  <si>
    <t>Internet J. Gynecol. Obstet.</t>
  </si>
  <si>
    <t>Internet J. Hematol.</t>
  </si>
  <si>
    <t>Internet J. Infect. Dis.</t>
  </si>
  <si>
    <t>Internet J. Internal Med.</t>
  </si>
  <si>
    <t>Internet J. Microbiol.</t>
  </si>
  <si>
    <t>Internet J. Oncol.</t>
  </si>
  <si>
    <t>Internet J. Pediatr. Neonatology</t>
  </si>
  <si>
    <t>Internet J. Pulm. Med.</t>
  </si>
  <si>
    <t>internet J. Third World Med.</t>
  </si>
  <si>
    <t>Internet J. Toxicol.</t>
  </si>
  <si>
    <t>Internet J. Trop. Med.</t>
  </si>
  <si>
    <t>Interni Med. Pro Praxi</t>
  </si>
  <si>
    <t>Internist. Prax.</t>
  </si>
  <si>
    <t>Intervencni Akutni Kardiol.</t>
  </si>
  <si>
    <t>Intervent. Cardiol.</t>
  </si>
  <si>
    <t>Intervent. Cardiol. Clin.</t>
  </si>
  <si>
    <t>Intervent. Med. Appl. Sci.</t>
  </si>
  <si>
    <t>Intervent. Neurol.</t>
  </si>
  <si>
    <t>Intervent. Neuroradiol.</t>
  </si>
  <si>
    <t>Intractable Rare Dis. Res.</t>
  </si>
  <si>
    <t>Intrinsically Disord. Proteins</t>
  </si>
  <si>
    <t>Invest. Clin.</t>
  </si>
  <si>
    <t>Invest. New Drugs</t>
  </si>
  <si>
    <t>Invest. Genet.</t>
  </si>
  <si>
    <t>Invest. Ophthalmol. Vis. Sci.</t>
  </si>
  <si>
    <t>Invest. Radiol.</t>
  </si>
  <si>
    <t>Iran. Biomed. J.</t>
  </si>
  <si>
    <t>Iran. Heart J.</t>
  </si>
  <si>
    <t>Iran. J. Allergy Asthma Immunol.</t>
  </si>
  <si>
    <t>Iran. J. Basic Med. Sci.</t>
  </si>
  <si>
    <t>Iran. J. Biotechnol</t>
  </si>
  <si>
    <t>Iran. J. Cancer Prev.</t>
  </si>
  <si>
    <t>Iran. J. Child Neurol.</t>
  </si>
  <si>
    <t>Iran. J. Dermatol.</t>
  </si>
  <si>
    <t>Iran. J. Endocrinology Metab.</t>
  </si>
  <si>
    <t>Iran. J. Epidemiol.</t>
  </si>
  <si>
    <t>Iran. J. Immunol.</t>
  </si>
  <si>
    <t>Iran. J. Kidney Dis.</t>
  </si>
  <si>
    <t>Iran. J. Med. Sci.</t>
  </si>
  <si>
    <t>Iran. J. Microbiol.</t>
  </si>
  <si>
    <t>Iran. J. Neonatol.</t>
  </si>
  <si>
    <t>Iran J. Neurol.</t>
  </si>
  <si>
    <t>Iran. J. Nucl. Med.</t>
  </si>
  <si>
    <t>Iran. J. Obstet. Gynecol. Infertil.</t>
  </si>
  <si>
    <t>Iran. J. Otorhinolaryngol.</t>
  </si>
  <si>
    <t>Iran. J. Parasitol.</t>
  </si>
  <si>
    <t>Iran. J. Pediatr.</t>
  </si>
  <si>
    <t>Iran. J. Pharm. Res.</t>
  </si>
  <si>
    <t>Iran. J. Pharm. Sci.</t>
  </si>
  <si>
    <t>Iran. J. Pharmacol. Ther.</t>
  </si>
  <si>
    <t>Iran. J. Psychiatry</t>
  </si>
  <si>
    <t>Iran. J. Psychiatr. Behav. Sci.</t>
  </si>
  <si>
    <t>Iran. J. Radiol.</t>
  </si>
  <si>
    <t>Iran. J. Reprod. Med.</t>
  </si>
  <si>
    <t>Iran. Red Crescent Med.J.</t>
  </si>
  <si>
    <t>Ir. J. Med. Sci.</t>
  </si>
  <si>
    <t>Ir. J. Psychol. Med.</t>
  </si>
  <si>
    <t>Ir. Med. J.</t>
  </si>
  <si>
    <t>Isokinetics Exerc. Sci.</t>
  </si>
  <si>
    <t>Isr. J. Health Policy Res.</t>
  </si>
  <si>
    <t>Isr. Med. Assoc. J.</t>
  </si>
  <si>
    <t>ISRN Cardiol.</t>
  </si>
  <si>
    <t>ISRN Dent.</t>
  </si>
  <si>
    <t>ISRN Dermatol.</t>
  </si>
  <si>
    <t>ISRN Endocrinol.</t>
  </si>
  <si>
    <t>ISRN Gastroenterol.</t>
  </si>
  <si>
    <t>ISRN Hematol.</t>
  </si>
  <si>
    <t>ISRN Neurol.</t>
  </si>
  <si>
    <t>ISRN Obstet. Gynecol.</t>
  </si>
  <si>
    <t>ISRN Oncol.</t>
  </si>
  <si>
    <t>ISRN Pediatr.</t>
  </si>
  <si>
    <t>ISRN Urol.</t>
  </si>
  <si>
    <t>Ital. J. Gynaecol. Obstet.</t>
  </si>
  <si>
    <t>Ital. J. Med.</t>
  </si>
  <si>
    <t>Ital. J. Pediatr.</t>
  </si>
  <si>
    <t>Ital. J. Vasc. Endovasc. Surg.</t>
  </si>
  <si>
    <t>JACC Cardiovasc. Imaging</t>
  </si>
  <si>
    <t>JACC Cardiovasc. Interventions</t>
  </si>
  <si>
    <t>JACC Heart Fail.</t>
  </si>
  <si>
    <t>JAMA Dermatol.</t>
  </si>
  <si>
    <t>JAMA Intern. Med.</t>
  </si>
  <si>
    <t>JAMA Neurol.</t>
  </si>
  <si>
    <t>JAMA Ophthalmol.</t>
  </si>
  <si>
    <t>JAMA Otolaryngol. Head Neck Surg.</t>
  </si>
  <si>
    <t>JAMA Pediatr.</t>
  </si>
  <si>
    <t>JAMA Surg.</t>
  </si>
  <si>
    <t>Jamahiriya Med. J.</t>
  </si>
  <si>
    <t>JAMS J. Acupunct. Meridian Stud.</t>
  </si>
  <si>
    <t>Japan Med. Assoc. J.</t>
  </si>
  <si>
    <t>Jpn. J. Allergol.</t>
  </si>
  <si>
    <t>Jpn. J. Anesthesiol.</t>
  </si>
  <si>
    <t>Jpn. J. Antibiot.</t>
  </si>
  <si>
    <t>Jpn. J. Cancer Chemother.</t>
  </si>
  <si>
    <t>Jpn. J. Chemother.</t>
  </si>
  <si>
    <t>Jpn. J. Clin. Chem.</t>
  </si>
  <si>
    <t>Jpn. J. Clin. Immunol.</t>
  </si>
  <si>
    <t>Jpn. J. Clin. Oncol.</t>
  </si>
  <si>
    <t>Jpn. J. Clin. Pharmacol. Ther.</t>
  </si>
  <si>
    <t>Jpn. J. Clin. Radiol.</t>
  </si>
  <si>
    <t>Jpn. J. Head Neck Cancer</t>
  </si>
  <si>
    <t>Jpn. J. Infect. Dis.</t>
  </si>
  <si>
    <t>Jpn. J. Lepr.</t>
  </si>
  <si>
    <t>Jpn. J. Lung Cancer</t>
  </si>
  <si>
    <t>Jpn. J. Med. Mycol.</t>
  </si>
  <si>
    <t>Jpn. J. Nephrol.</t>
  </si>
  <si>
    <t>Jpn. J. Neuropsychopharmacol.</t>
  </si>
  <si>
    <t>Jpn. J. Neurosurg.</t>
  </si>
  <si>
    <t>Jpn. J. Ophthalmol.</t>
  </si>
  <si>
    <t>Jpn. Pharmacol. Ther.</t>
  </si>
  <si>
    <t>JARO J. Assoc. Res. Otolaryngol.</t>
  </si>
  <si>
    <t>JAVA J. Assoc. Vasc. Access</t>
  </si>
  <si>
    <t>JBI Database Syst. Rev. Implement. Rep.</t>
  </si>
  <si>
    <t>JBR-BRT</t>
  </si>
  <si>
    <t>JCRPE J. Clin. Res. Pediatr. Endocrinol.</t>
  </si>
  <si>
    <t>JDDG J. German Soc. Dermatol.</t>
  </si>
  <si>
    <t>Jinekoloji Obstet. Bul.</t>
  </si>
  <si>
    <t>Jinekol. Obstet. Derg.</t>
  </si>
  <si>
    <t>JK Pract.</t>
  </si>
  <si>
    <t>JMS J. Med. Soc.</t>
  </si>
  <si>
    <t>JNCCN J. Nat. Compr. Cancer Netw.</t>
  </si>
  <si>
    <t>Johns Hopkins Adv. Stud. Med.</t>
  </si>
  <si>
    <t>Johns Hopkins Adv. Stud. Nurs.</t>
  </si>
  <si>
    <t>Johns Hopkins Adv. Stud. Ophthalmol.</t>
  </si>
  <si>
    <t>Jt. Bone Spine</t>
  </si>
  <si>
    <t>Jordan J. Pharm.</t>
  </si>
  <si>
    <t>Jordan Med. J.</t>
  </si>
  <si>
    <t>J. Bras. Psiquiatr.</t>
  </si>
  <si>
    <t>J. Bras. Reproducao Assistida</t>
  </si>
  <si>
    <t>J. Pediatr.</t>
  </si>
  <si>
    <t>J. Vasc. Bras.</t>
  </si>
  <si>
    <t>J. Africain Hepato-Gastroenterologie</t>
  </si>
  <si>
    <t>J. Afr. Cancer</t>
  </si>
  <si>
    <t>J. Gynecol. Obstet. Biol. Reprod.</t>
  </si>
  <si>
    <t>J. Med. Leg. Droit Med.</t>
  </si>
  <si>
    <t>J. Mycol. Med.</t>
  </si>
  <si>
    <t>J. Pediatr. Pueric.</t>
  </si>
  <si>
    <t>J. Pharm. Clin.</t>
  </si>
  <si>
    <t>J. Pharm. Belg.</t>
  </si>
  <si>
    <t>J. Traumatol. Sport</t>
  </si>
  <si>
    <t>J. Anti-Infectieux</t>
  </si>
  <si>
    <t>J. Mal. Vasc.</t>
  </si>
  <si>
    <t>J. Eur. Urgences Reanim.</t>
  </si>
  <si>
    <t>J. Immunother. Cancer</t>
  </si>
  <si>
    <t>J. Vasc. Ultrasound</t>
  </si>
  <si>
    <t>J. Gastroenterol. Hepatol. Erkr.</t>
  </si>
  <si>
    <t>J. Gynakol. Endokrinol.</t>
  </si>
  <si>
    <t>J. Kardiol.</t>
  </si>
  <si>
    <t>J. Mineralstoffwechsel</t>
  </si>
  <si>
    <t>J. Neurol. Neurochir. Psychiatrie</t>
  </si>
  <si>
    <t>J. Pharmakol. Ther.</t>
  </si>
  <si>
    <t>J. Reproduktionsmed. Endokrinol.</t>
  </si>
  <si>
    <t>J. Urol. Urogynakol.</t>
  </si>
  <si>
    <t>J. Int. Med. Sci. Acad.</t>
  </si>
  <si>
    <t>J. Med. Liban.</t>
  </si>
  <si>
    <t>J. AAPOS</t>
  </si>
  <si>
    <t>J. Abnorm. Psychol.</t>
  </si>
  <si>
    <t>J. Acquired Immune Defic. Syndr.</t>
  </si>
  <si>
    <t>J. Acute Care Phys. Ther.</t>
  </si>
  <si>
    <t>J. Acute Dis.</t>
  </si>
  <si>
    <t>J. Acute Med.</t>
  </si>
  <si>
    <t>J. Addict. Med.</t>
  </si>
  <si>
    <t>J. Addict. Dis.</t>
  </si>
  <si>
    <t>J. Adolesc.</t>
  </si>
  <si>
    <t>J. Adolesc. Young Adult Oncol.</t>
  </si>
  <si>
    <t>J. Adolesc. Health</t>
  </si>
  <si>
    <t>J. Adv. Pharm. Technol. Res.</t>
  </si>
  <si>
    <t>J. Adv. Drug Res.</t>
  </si>
  <si>
    <t>J. Aerosol. Med. Pulm. Drug. Deliv.</t>
  </si>
  <si>
    <t>J. Aerosol Sci.</t>
  </si>
  <si>
    <t>J. Affective Disord.</t>
  </si>
  <si>
    <t>J. Aggression Maltreat. Trauma</t>
  </si>
  <si>
    <t>J. Aging Res.</t>
  </si>
  <si>
    <t>J. Allergy</t>
  </si>
  <si>
    <t>J. Allergy Clin. Immunol.</t>
  </si>
  <si>
    <t>J. Allergy Clin. Immunol. Pract.</t>
  </si>
  <si>
    <t>J. Altern. Complement. Med.</t>
  </si>
  <si>
    <t>J. Alzheimer's Dis.</t>
  </si>
  <si>
    <t>J. Amino Acids</t>
  </si>
  <si>
    <t>J. Anaesthesiol. Clin. Pharmacol.</t>
  </si>
  <si>
    <t>J. Anal. Methods Chem.</t>
  </si>
  <si>
    <t>J. Anal. Toxicol.</t>
  </si>
  <si>
    <t>J. Anat.</t>
  </si>
  <si>
    <t>J. Anesth.</t>
  </si>
  <si>
    <t>J. Antibiot.</t>
  </si>
  <si>
    <t>J. Antimicrob. Chemother.</t>
  </si>
  <si>
    <t>J. Anxiety Disord.</t>
  </si>
  <si>
    <t>J. Appl. Anim. Welf. Sci.</t>
  </si>
  <si>
    <t>J. Appl. Biomater. Funct. Mater.</t>
  </si>
  <si>
    <t>J. Appl. Biomech.</t>
  </si>
  <si>
    <t>J. App. Biomed.</t>
  </si>
  <si>
    <t>J. Appl. Cosmetol.</t>
  </si>
  <si>
    <t>J. Appl. Genet.</t>
  </si>
  <si>
    <t>J. Appl. Gerontol.</t>
  </si>
  <si>
    <t>J. Appl. Microbiol.</t>
  </si>
  <si>
    <t>J. Appl. Pharm.</t>
  </si>
  <si>
    <t>J. Appl. Res.</t>
  </si>
  <si>
    <t>J. Appl. Toxicol.</t>
  </si>
  <si>
    <t>J. Arthroplasty</t>
  </si>
  <si>
    <t>J. Arthropod-Borne Dis.</t>
  </si>
  <si>
    <t>J. Artif. Organs</t>
  </si>
  <si>
    <t>J. Asian Nat. Prod. Res.</t>
  </si>
  <si>
    <t>J. Assisted Reprod. Genet.</t>
  </si>
  <si>
    <t>J. Asthma</t>
  </si>
  <si>
    <t>J. Asthma Allergy Educ.</t>
  </si>
  <si>
    <t>J. Atheroscler. Thromb.</t>
  </si>
  <si>
    <t>J. Atmos. Chem.</t>
  </si>
  <si>
    <t>J. Atrial Fibrillation</t>
  </si>
  <si>
    <t>J. Autism Dev. Disord.</t>
  </si>
  <si>
    <t>J. Autoimmun.</t>
  </si>
  <si>
    <t>J. Ayurveda Integr. Med.</t>
  </si>
  <si>
    <t>J. B.U.ON.</t>
  </si>
  <si>
    <t>J. Babol Univ. Med. Sci.</t>
  </si>
  <si>
    <t>J. Back Musculoskelet. Rehabil.</t>
  </si>
  <si>
    <t>J. Bacteriol.</t>
  </si>
  <si>
    <t>J. Bacteriol. Virol.</t>
  </si>
  <si>
    <t>J. Basic Clin. Pharm.</t>
  </si>
  <si>
    <t>J. Basic Clin. Physiol. Pharmacol.</t>
  </si>
  <si>
    <t>J. Behav. Ther. Exp. Psychiatry</t>
  </si>
  <si>
    <t>J. Bioact. Compat. Polym.</t>
  </si>
  <si>
    <t>J. Biochem. Mol. Toxicol.</t>
  </si>
  <si>
    <t>J. Biochem.</t>
  </si>
  <si>
    <t>J. Bioenerg. Biomembr.</t>
  </si>
  <si>
    <t>J. Biol. Chem.</t>
  </si>
  <si>
    <t>J. Biol. Eng.</t>
  </si>
  <si>
    <t>J. Biol. Inorg. Chem.</t>
  </si>
  <si>
    <t>J. Biol. Phys.</t>
  </si>
  <si>
    <t>J. Biol. Regul. Homeostatic Agents</t>
  </si>
  <si>
    <t>J. Biol. Sci.</t>
  </si>
  <si>
    <t>J. Biol.</t>
  </si>
  <si>
    <t>J. Biomater. Tissue Eng.</t>
  </si>
  <si>
    <t>J. Biomater. Appl.</t>
  </si>
  <si>
    <t>J. Biomater. Sci. Polym. Ed.</t>
  </si>
  <si>
    <t>J. Biomech. Eng.</t>
  </si>
  <si>
    <t>J. Biomech.</t>
  </si>
  <si>
    <t>J. Biomed. Pharm. Eng.</t>
  </si>
  <si>
    <t>J. Biomed. Informatics</t>
  </si>
  <si>
    <t>J. Biomed. Mater. Res. Part A</t>
  </si>
  <si>
    <t>J. Biomed. Mater. Res. Part B Appl. Biomater.</t>
  </si>
  <si>
    <t>J. Biomed. Nanotechnol.</t>
  </si>
  <si>
    <t>J. Biomed. Res.</t>
  </si>
  <si>
    <t>J. Biomed. Sci.</t>
  </si>
  <si>
    <t>J. Biomol. NMR</t>
  </si>
  <si>
    <t>J. Biomol. Screen.</t>
  </si>
  <si>
    <t>J. Biomol. Struct. Dyn.</t>
  </si>
  <si>
    <t>J. Biomol. Tech.</t>
  </si>
  <si>
    <t>J. Biopharm. Stat.</t>
  </si>
  <si>
    <t>J. Biosci. Bioeng.</t>
  </si>
  <si>
    <t>J. Biosci.</t>
  </si>
  <si>
    <t>J. Biotechnol.</t>
  </si>
  <si>
    <t>J. Blood Med.</t>
  </si>
  <si>
    <t>J. Bodywork Mov. Ther.</t>
  </si>
  <si>
    <t>J. Bone Jt. Surg. Am. Vol.</t>
  </si>
  <si>
    <t>J. Bone Miner. Metab.</t>
  </si>
  <si>
    <t>J. Bone Miner. Res.</t>
  </si>
  <si>
    <t>J. Bone Oncol.</t>
  </si>
  <si>
    <t>J. Brachial Plexus Peripher. Nerve Inj.</t>
  </si>
  <si>
    <t>J. Brain Sci.</t>
  </si>
  <si>
    <t>J. Breast Cancer</t>
  </si>
  <si>
    <t>J. Breath Res.</t>
  </si>
  <si>
    <t>J. Bronchol. Intervent. Pulmonol.</t>
  </si>
  <si>
    <t>J. Burn Care Res.</t>
  </si>
  <si>
    <t>J. Cachexia Sarcopenia Muscle</t>
  </si>
  <si>
    <t>J. Caffeine Res.</t>
  </si>
  <si>
    <t>J. Cancer</t>
  </si>
  <si>
    <t>J. Cancer Epidemiol.</t>
  </si>
  <si>
    <t>J. Cancer Mol.</t>
  </si>
  <si>
    <t>J. Cancer Policy</t>
  </si>
  <si>
    <t>J. Cancer Res. Clin. Oncol.</t>
  </si>
  <si>
    <t>J. Cancer Res. Ther.</t>
  </si>
  <si>
    <t>J. Carcinogenesis</t>
  </si>
  <si>
    <t>J. Card. Fail.</t>
  </si>
  <si>
    <t>J. Card. Surg.</t>
  </si>
  <si>
    <t>J. Cardiol.</t>
  </si>
  <si>
    <t>J. Cardiol. Cases</t>
  </si>
  <si>
    <t>J. Cardiopulm. Rehabil. Prev.</t>
  </si>
  <si>
    <t>J. Cardiothorac. Vasc. Anesth.</t>
  </si>
  <si>
    <t>J. Cardiovasc. Thorac. Res.</t>
  </si>
  <si>
    <t>J. Cardiovasc. Comput. Tomogr.</t>
  </si>
  <si>
    <t>J. Cardiovasc. Dis. Res.</t>
  </si>
  <si>
    <t>J. Cardiovasc. Echography</t>
  </si>
  <si>
    <t>J. Cardiovasc. Electrophysiol.</t>
  </si>
  <si>
    <t>J. Cardiovasc. Magn. Reson.</t>
  </si>
  <si>
    <t>J. Cardiovasc. Med.</t>
  </si>
  <si>
    <t>J. Cardiovasc. Pharmacol.</t>
  </si>
  <si>
    <t>J. Cardiovasc. Pharmacol. Ther.</t>
  </si>
  <si>
    <t>J. Cardiovasc. Surg.</t>
  </si>
  <si>
    <t>J. Cardiovasc. Transl. Res.</t>
  </si>
  <si>
    <t>J. Cardiovasc. Ultrasound</t>
  </si>
  <si>
    <t>J. Cataract Refractive Surg.</t>
  </si>
  <si>
    <t>J. Cell Mol. Biol.</t>
  </si>
  <si>
    <t>J. Cell Biol.</t>
  </si>
  <si>
    <t>J. Cell Commun. Signal.</t>
  </si>
  <si>
    <t>J. Cell Death</t>
  </si>
  <si>
    <t>J. Cell Sci.</t>
  </si>
  <si>
    <t>J. Cell. Biochem.</t>
  </si>
  <si>
    <t>J. Cell. Physiol.</t>
  </si>
  <si>
    <t>J. Cereb. Blood Flow Metab.</t>
  </si>
  <si>
    <t>J. Chem. Pharm. Sci.</t>
  </si>
  <si>
    <t>J. Chem. Biol.</t>
  </si>
  <si>
    <t>J. Chem. Neuroanat.</t>
  </si>
  <si>
    <t>J. Chem. Technol. Biotechnol.</t>
  </si>
  <si>
    <t>J. Chemother.</t>
  </si>
  <si>
    <t>J. Child Adolesc. Ment. Health</t>
  </si>
  <si>
    <t>J. Child Adolesc. Psychopharmacol.</t>
  </si>
  <si>
    <t>J. Child Neurol.</t>
  </si>
  <si>
    <t>J. Child Psychother.</t>
  </si>
  <si>
    <t>J. China Pharm. Univ.</t>
  </si>
  <si>
    <t>J. Chin. Integr. Med.</t>
  </si>
  <si>
    <t>J. Chin. Med.</t>
  </si>
  <si>
    <t>J. Chiropr. Humanit.</t>
  </si>
  <si>
    <t>J. Chromatogr. A</t>
  </si>
  <si>
    <t>J. Chromatogr. B Anal. Technol. Biomed. Life Sci.</t>
  </si>
  <si>
    <t>J. Circadian Rhythms</t>
  </si>
  <si>
    <t>J. Clin. Aesthetic Dermatol.</t>
  </si>
  <si>
    <t>J. Clin. Anal. Med.</t>
  </si>
  <si>
    <t>J. Clin. Basic Cardiol.</t>
  </si>
  <si>
    <t>J. Clin. Diagn. Res.</t>
  </si>
  <si>
    <t>J. Clin. Exp. Hepatol.</t>
  </si>
  <si>
    <t>J. Clin. Transl. Endocrinol.</t>
  </si>
  <si>
    <t>J. Clin. Anesth.</t>
  </si>
  <si>
    <t>J. Clin. Apheresis</t>
  </si>
  <si>
    <t>J. Clin. Biochem. Nutr.</t>
  </si>
  <si>
    <t>J. Clin. Densitometry</t>
  </si>
  <si>
    <t>J. Clin. Dermatol.</t>
  </si>
  <si>
    <t>J. Clin. Endocrinol. Metab.</t>
  </si>
  <si>
    <t>J. Clin. Eng.</t>
  </si>
  <si>
    <t>J. Clin. Epidemiol.</t>
  </si>
  <si>
    <t>J. Clin. Gastroenterol.</t>
  </si>
  <si>
    <t>J. Clin. Gerontol. Geriatr.</t>
  </si>
  <si>
    <t>J. Clin. Hypertens.</t>
  </si>
  <si>
    <t>J. Clin. Imaging Sci.</t>
  </si>
  <si>
    <t>J. Clin. Immunol.</t>
  </si>
  <si>
    <t>J. Clin. Invest.</t>
  </si>
  <si>
    <t>J. Clin. Lab. Anal.</t>
  </si>
  <si>
    <t>J. Clin. Lipidology</t>
  </si>
  <si>
    <t>J. Clin. Med.</t>
  </si>
  <si>
    <t>J. Clin. Microbiol.</t>
  </si>
  <si>
    <t>J. Clin. Monit. Comput.</t>
  </si>
  <si>
    <t>J. Clin. Neonatol.</t>
  </si>
  <si>
    <t>J. Clin. Neurol.</t>
  </si>
  <si>
    <t>J. Clin. Neuromuscular Dis.</t>
  </si>
  <si>
    <t>J. Clin. Neurophysiol.</t>
  </si>
  <si>
    <t>J. Clin. Neurosci.</t>
  </si>
  <si>
    <t>J. Clin. Oncol.</t>
  </si>
  <si>
    <t>J. Clin. Orthop. Traum.</t>
  </si>
  <si>
    <t>J. Clin. Outcomes Manage.</t>
  </si>
  <si>
    <t>J. Clin. Pathol.</t>
  </si>
  <si>
    <t>J. Clin. Pharmacol.</t>
  </si>
  <si>
    <t>J. Clin. Pharmacol. Pharm.</t>
  </si>
  <si>
    <t>J. Clin. Pharm. Ther.</t>
  </si>
  <si>
    <t>J. Clin. Psychiatry</t>
  </si>
  <si>
    <t>J. Clin. Psychol. Med. Settings</t>
  </si>
  <si>
    <t>J. Clin. Psychopharmacol.</t>
  </si>
  <si>
    <t>J. Clin. Res.</t>
  </si>
  <si>
    <t>J. Clin. Rheumatol.</t>
  </si>
  <si>
    <t>J. Clin. Sleep Med.</t>
  </si>
  <si>
    <t>J. Clini. Urol.</t>
  </si>
  <si>
    <t>J. Clin. Virol.</t>
  </si>
  <si>
    <t>J. Coagul. Disord.</t>
  </si>
  <si>
    <t>J. Cogn. Dev.</t>
  </si>
  <si>
    <t>J. Cogn. Neurosci.</t>
  </si>
  <si>
    <t>J. Cogn. Psychol.</t>
  </si>
  <si>
    <t>J. Cogn. Psychother.</t>
  </si>
  <si>
    <t>J. Colloid Interface Sci.</t>
  </si>
  <si>
    <t>J. Commer. Biotechnol.</t>
  </si>
  <si>
    <t>J. Commun. Disord.</t>
  </si>
  <si>
    <t>J. Community Genet.</t>
  </si>
  <si>
    <t>J. Comp. Eff. Res.</t>
  </si>
  <si>
    <t>J. Comp. Neurol.</t>
  </si>
  <si>
    <t>J. Comp. Pathol.</t>
  </si>
  <si>
    <t>J. Complement. Integr. Med.</t>
  </si>
  <si>
    <t>J. Comput. Neurosci.</t>
  </si>
  <si>
    <t>J. Comput. Assisted Tomogr.</t>
  </si>
  <si>
    <t>J. Comp.-Aided Mol. Des.</t>
  </si>
  <si>
    <t>J. Consult. Clin. Psychol.</t>
  </si>
  <si>
    <t>J. Contam. Hydrol.</t>
  </si>
  <si>
    <t>J. Contemp. Brachytherapy</t>
  </si>
  <si>
    <t>J. Contemp. Psychother.</t>
  </si>
  <si>
    <t>J. Control. Release</t>
  </si>
  <si>
    <t>J. Cosmet. Laser Ther.</t>
  </si>
  <si>
    <t>J. Cosmet. Dermatol.</t>
  </si>
  <si>
    <t>J. Cranio-Maxillofac. Surg.</t>
  </si>
  <si>
    <t>J. Carniovertebr. Junction Spine</t>
  </si>
  <si>
    <t>J. Crit. Care</t>
  </si>
  <si>
    <t>J. Crohn's Colitis</t>
  </si>
  <si>
    <t>J. Crohn's Colitis Suppl.</t>
  </si>
  <si>
    <t>J. Curr. Glaucoma Pract.</t>
  </si>
  <si>
    <t>J. Cutaneous Med. Surg.</t>
  </si>
  <si>
    <t>J. Cyber Ther. Rehabil.</t>
  </si>
  <si>
    <t>J. Cyst. Fibrosis</t>
  </si>
  <si>
    <t>J. Dalian Med. Univ.</t>
  </si>
  <si>
    <t>J. Dermatol. Case Rep.</t>
  </si>
  <si>
    <t>J. Dermatol. Sci.</t>
  </si>
  <si>
    <t>J. Dermatol. Treat.</t>
  </si>
  <si>
    <t>J. Dermatol.</t>
  </si>
  <si>
    <t>J. Diabetes</t>
  </si>
  <si>
    <t>J. Diabetes Complications</t>
  </si>
  <si>
    <t>J. Diabetes Metabolic Disord.</t>
  </si>
  <si>
    <t>J. Diabetes Invest.</t>
  </si>
  <si>
    <t>J. Dia. Res</t>
  </si>
  <si>
    <t>J. Diabetes Sci. Technol.</t>
  </si>
  <si>
    <t>J. Diagn. Med. Sonogr.</t>
  </si>
  <si>
    <t>J. Dig. Dis.</t>
  </si>
  <si>
    <t>J. Dig. Endosc.</t>
  </si>
  <si>
    <t>J. Drug Deliv.</t>
  </si>
  <si>
    <t>J. Drug Deliv. Sci. Technol.</t>
  </si>
  <si>
    <t>J. Drug Educ.</t>
  </si>
  <si>
    <t>J. Drug Targeting</t>
  </si>
  <si>
    <t>J. Drugs Dermatol.</t>
  </si>
  <si>
    <t>J. Dual Diagn.</t>
  </si>
  <si>
    <t>J. Echocardiogr.</t>
  </si>
  <si>
    <t>J. Ecophysiol. Occup. Health</t>
  </si>
  <si>
    <t>J. ECT</t>
  </si>
  <si>
    <t>J. Electrocardiol.</t>
  </si>
  <si>
    <t>J. Electromyogr. Kinesiology</t>
  </si>
  <si>
    <t>J. Emerg. Trauma Shock</t>
  </si>
  <si>
    <t>J. Emerg. Med.</t>
  </si>
  <si>
    <t>J. Emerg. Med. Trauma Acute Care</t>
  </si>
  <si>
    <t>J. Endocrinol. Invest.</t>
  </si>
  <si>
    <t>J. Endocrinol.</t>
  </si>
  <si>
    <t>J. Endocrinol. Metab. Diabetes S. Afr.</t>
  </si>
  <si>
    <t>J. Endometriosis</t>
  </si>
  <si>
    <t>J. Endourol.</t>
  </si>
  <si>
    <t>J. Endovasc. Ther.</t>
  </si>
  <si>
    <t>J. Environ. Public Health</t>
  </si>
  <si>
    <t>J. Environ. Manage.</t>
  </si>
  <si>
    <t>J. Environ. Pathol. Toxicol. Oncol.</t>
  </si>
  <si>
    <t>J. Environ. Qual.</t>
  </si>
  <si>
    <t>J. Environ. Radioact.</t>
  </si>
  <si>
    <t>J. Environ. Sci. Health Part A Toxic Hazard. Subst. Environ. Eng.</t>
  </si>
  <si>
    <t>J. Environ. Sci. Health Part C Environ. Carcinog. Ecotoxicol. Rev.</t>
  </si>
  <si>
    <t>J. Enzyme Inhib. Med. Chem.</t>
  </si>
  <si>
    <t>J. Epidemiol. Global Health</t>
  </si>
  <si>
    <t>J. Epilepsy Clin. Neurophysiol.</t>
  </si>
  <si>
    <t>J. Epithelial Biol. Pharmacol.</t>
  </si>
  <si>
    <t>J. Ethn. Subst. Abuse</t>
  </si>
  <si>
    <t>J. Ethnopharmacol.</t>
  </si>
  <si>
    <t>J. EuroMed Pharm.</t>
  </si>
  <si>
    <t>J. Eval. Clin. Pract.</t>
  </si>
  <si>
    <t>J. Evid.-Based Med.</t>
  </si>
  <si>
    <t>J. Excipients Food Chem.</t>
  </si>
  <si>
    <t>J. Exp. Clin. Assisted Reprod.</t>
  </si>
  <si>
    <t>J. Exp. Clin. Cancer Res.</t>
  </si>
  <si>
    <t>J. Exp. Clin. Med.</t>
  </si>
  <si>
    <t>J. Exp. Integr. Med.</t>
  </si>
  <si>
    <t>J. Exp. Med.</t>
  </si>
  <si>
    <t>J. Exp. Nanosci.</t>
  </si>
  <si>
    <t>J. Exp. Neurosci.</t>
  </si>
  <si>
    <t>J. Exp. Pharmacol</t>
  </si>
  <si>
    <t>J. Exp. Stroke Transl. Med.</t>
  </si>
  <si>
    <t>J. Exp. Ther. Oncol.</t>
  </si>
  <si>
    <t>J. Extracell. Vesicles</t>
  </si>
  <si>
    <t>J. Extra-Corpor. Technol.</t>
  </si>
  <si>
    <t>J. Facial Somato Prosthet.</t>
  </si>
  <si>
    <t>J. Fam. Reprod. Health</t>
  </si>
  <si>
    <t>J. Fam. Plann. Reprod. Health Care</t>
  </si>
  <si>
    <t>J. Fam. Pract.</t>
  </si>
  <si>
    <t>J. Fam. Psychother.</t>
  </si>
  <si>
    <t>J. Fluency Disord.</t>
  </si>
  <si>
    <t>J. Food Drug Anal.</t>
  </si>
  <si>
    <t>J. Food Agric. Environ.</t>
  </si>
  <si>
    <t>J. Foot Ankle Surg.</t>
  </si>
  <si>
    <t>J. Forensic Leg. Med.</t>
  </si>
  <si>
    <t>J. Forensic Identif.</t>
  </si>
  <si>
    <t>J. Forensic Med. Toxicol.</t>
  </si>
  <si>
    <t>J. Forensic Pract.</t>
  </si>
  <si>
    <t>J. Forensic Psychiatry Psychol.</t>
  </si>
  <si>
    <t>J. Forensic Radiol. Imaging</t>
  </si>
  <si>
    <t>J. Funct. Biomater.</t>
  </si>
  <si>
    <t>J. Gastric Cancer</t>
  </si>
  <si>
    <t>J. Gastroenterol.</t>
  </si>
  <si>
    <t>J. Gastroenterol. Hepatol.</t>
  </si>
  <si>
    <t>J. Gastrointest. Liver Dis.</t>
  </si>
  <si>
    <t>J. Gastrointest. Cancer</t>
  </si>
  <si>
    <t>J. Gastrointest. Oncol.</t>
  </si>
  <si>
    <t>J. Gene Med.</t>
  </si>
  <si>
    <t>J. Gen. Appl. Microbiol.</t>
  </si>
  <si>
    <t>J. Gen. Intern. Med.</t>
  </si>
  <si>
    <t>J. Gen. Virol.</t>
  </si>
  <si>
    <t>J. Generic Med.</t>
  </si>
  <si>
    <t>J. Genet. Genomics</t>
  </si>
  <si>
    <t>J. Genomics</t>
  </si>
  <si>
    <t>J. Geriatr. Cardiol.</t>
  </si>
  <si>
    <t>J. Geriatr. Oncol.</t>
  </si>
  <si>
    <t>J. Geriatr. Psychiatry Neurol.</t>
  </si>
  <si>
    <t>J. Ginseng Res.</t>
  </si>
  <si>
    <t>J. Glaucoma</t>
  </si>
  <si>
    <t>J. Global Antimicrob. Resist.</t>
  </si>
  <si>
    <t>J. Global Drug Policy Pract.</t>
  </si>
  <si>
    <t>J. Global Infect. Dis.</t>
  </si>
  <si>
    <t>J. Global Pharma Technol.</t>
  </si>
  <si>
    <t>J. Global Trends Pharm. Sci.</t>
  </si>
  <si>
    <t>J. Gynecol. Oncol.</t>
  </si>
  <si>
    <t>J. Gynecol. Surg.</t>
  </si>
  <si>
    <t>J. Gynecol. Endosc. Surg.</t>
  </si>
  <si>
    <t>J. Hand Ther.</t>
  </si>
  <si>
    <t>J. Hazard. Mater.</t>
  </si>
  <si>
    <t>J. Head Trauma Rehabil.</t>
  </si>
  <si>
    <t>J. Headache Pain</t>
  </si>
  <si>
    <t>J. Health Care Financ.</t>
  </si>
  <si>
    <t>J. Health Econ.</t>
  </si>
  <si>
    <t>J. Health Sci.</t>
  </si>
  <si>
    <t>J. Health Serv. Res. Policy</t>
  </si>
  <si>
    <t>J. Healthc. Eng.</t>
  </si>
  <si>
    <t>J. Healthc. Manage.</t>
  </si>
  <si>
    <t>J. Heart Lung Transplant.</t>
  </si>
  <si>
    <t>J. Heart Valve Dis.</t>
  </si>
  <si>
    <t>J. Helminthol.</t>
  </si>
  <si>
    <t>J. Hematol. Oncol.</t>
  </si>
  <si>
    <t>J. Hepato-Biliary-Pancreatic Sci.</t>
  </si>
  <si>
    <t>J. Hepatol.</t>
  </si>
  <si>
    <t>J. Herbal Med.</t>
  </si>
  <si>
    <t>J. Herbs Spices Med. Plants</t>
  </si>
  <si>
    <t>J. Hered.</t>
  </si>
  <si>
    <t>J. Heterocycl. Chem.</t>
  </si>
  <si>
    <t>J. Histochem. Cytochem.</t>
  </si>
  <si>
    <t>J. Histotechnol.</t>
  </si>
  <si>
    <t>J. Hosp. Infect.</t>
  </si>
  <si>
    <t>J. Hosp. Med.</t>
  </si>
  <si>
    <t>J. Hum. Genet.</t>
  </si>
  <si>
    <t>J. Hum. Hypertens.</t>
  </si>
  <si>
    <t>J. Hum. Reprod. Sci.</t>
  </si>
  <si>
    <t>J. Hunger Environ. Nutr.</t>
  </si>
  <si>
    <t>J. Huntington's Dis.</t>
  </si>
  <si>
    <t>J. Hypertens.</t>
  </si>
  <si>
    <t>J. IMAB Ann. Proc.</t>
  </si>
  <si>
    <t>J. Immunoassay Immunochem.</t>
  </si>
  <si>
    <t>J. Immunol. Methods</t>
  </si>
  <si>
    <t>J. Immunol.</t>
  </si>
  <si>
    <t>J. Immunol. Res.</t>
  </si>
  <si>
    <t>J. Immunother.</t>
  </si>
  <si>
    <t>J. Immunotoxicol.</t>
  </si>
  <si>
    <t>J. Indian Assoc. Child Adolesc. Ment. Health</t>
  </si>
  <si>
    <t>J. Ind. Microbiol. Biotechnol.</t>
  </si>
  <si>
    <t>J. Infect.</t>
  </si>
  <si>
    <t>J. Infect. Chemother.</t>
  </si>
  <si>
    <t>J. Infect. Public Health</t>
  </si>
  <si>
    <t>J. Infect. Dev. Ctries.</t>
  </si>
  <si>
    <t>J. Infect. Dis.</t>
  </si>
  <si>
    <t>J. Inflamm.</t>
  </si>
  <si>
    <t>J. Inflamm. Res.</t>
  </si>
  <si>
    <t>J. Infus. Nurs.</t>
  </si>
  <si>
    <t>J. Inherit. Metab. Dis.</t>
  </si>
  <si>
    <t>J. Innate Immun.</t>
  </si>
  <si>
    <t>J. Inorg. Biochem.</t>
  </si>
  <si>
    <t>J. Integr. Med.</t>
  </si>
  <si>
    <t>J. Integr. Neurosci.</t>
  </si>
  <si>
    <t>J. Intellect. Disabil.</t>
  </si>
  <si>
    <t>J. Intellect. Disabil. Res.</t>
  </si>
  <si>
    <t>J. Intensive Care</t>
  </si>
  <si>
    <t>J. Intensive Care Med.</t>
  </si>
  <si>
    <t>J. Interferon Cytokine Res.</t>
  </si>
  <si>
    <t>J. Intern. Med. Taiwan</t>
  </si>
  <si>
    <t>J. Int. Med. Res.</t>
  </si>
  <si>
    <t>J. Int. Pharm. Res.</t>
  </si>
  <si>
    <t>J. Intervent. Card. Electrophysiol.</t>
  </si>
  <si>
    <t>J. Intervent. Cardiol.</t>
  </si>
  <si>
    <t>J. Intervent. Gastroenterol.</t>
  </si>
  <si>
    <t>J. Intervent. Oncol.</t>
  </si>
  <si>
    <t>J. Intervent. Radiol.</t>
  </si>
  <si>
    <t>J. Invasive Cardiol.</t>
  </si>
  <si>
    <t>J. Invasive Fungal Infect.</t>
  </si>
  <si>
    <t>J. Invest. Allergol. Clin. Immunol.</t>
  </si>
  <si>
    <t>J. Invest. Dermatol.</t>
  </si>
  <si>
    <t>J. Invest. Dermatol. Symp. Proc.</t>
  </si>
  <si>
    <t>J. Invest. Med.</t>
  </si>
  <si>
    <t>J. Invest. Surg.</t>
  </si>
  <si>
    <t>J. Isfahan Med. Sch.</t>
  </si>
  <si>
    <t>J. Jpn. Dent. Soc. Anesthesiol.</t>
  </si>
  <si>
    <t>J. Jpn. Soc. Gastroenterolog.</t>
  </si>
  <si>
    <t>J. JASTRO</t>
  </si>
  <si>
    <t>J. Jilin Univ. Med. Ed.</t>
  </si>
  <si>
    <t>J. Kerman Univ. Med. Sci.</t>
  </si>
  <si>
    <t>J. Korean Neurosurg. Soc.</t>
  </si>
  <si>
    <t>J. Label. Compd. Radiopharm.</t>
  </si>
  <si>
    <t>J. Lab. Autom.</t>
  </si>
  <si>
    <t>J. Laparoendosc. Adv. Surg. Techn.</t>
  </si>
  <si>
    <t>J. Laryngol. Otol.</t>
  </si>
  <si>
    <t>J. Leuk. Lymphoma</t>
  </si>
  <si>
    <t>J. Leukocyte Biol.</t>
  </si>
  <si>
    <t>J. Lipid Res.</t>
  </si>
  <si>
    <t>J. Lipids</t>
  </si>
  <si>
    <t>J. Liposome Res.</t>
  </si>
  <si>
    <t>J. Liq. Chromatogr. Relat. Technol.</t>
  </si>
  <si>
    <t>J. Local Global Health Perspect.</t>
  </si>
  <si>
    <t>J. Local Global Health Sci.</t>
  </si>
  <si>
    <t>J. Long-Term Eff. Med. Implants</t>
  </si>
  <si>
    <t>J. Lower Genital Tract Dis.</t>
  </si>
  <si>
    <t>J. Lymphoedema</t>
  </si>
  <si>
    <t>J. Magn. Reson. Imaging</t>
  </si>
  <si>
    <t>J. Malar. Res.</t>
  </si>
  <si>
    <t>J. Mammary Gland Biol. Neoplasia</t>
  </si>
  <si>
    <t>J. Managed. Care Med.</t>
  </si>
  <si>
    <t>J. Managed Care Pharm.</t>
  </si>
  <si>
    <t>J. Manip. Physiol. Ther.</t>
  </si>
  <si>
    <t>J. Man. Manip. Ther.</t>
  </si>
  <si>
    <t>J. Mass Spectrom.</t>
  </si>
  <si>
    <t>J. Mater. Sci. Mater. Med.</t>
  </si>
  <si>
    <t>J. Matern.-Fetal Neonatal Med.</t>
  </si>
  <si>
    <t>J. Math. Neurosci.</t>
  </si>
  <si>
    <t>J. Mazandaran Univ. Med. Sci.</t>
  </si>
  <si>
    <t>J. Med. Biol. Eng.</t>
  </si>
  <si>
    <t>J. Med. Biomed. Sci.</t>
  </si>
  <si>
    <t>J. Med. Surg. Intensive Care Med.</t>
  </si>
  <si>
    <t>J. Med. Biochem.</t>
  </si>
  <si>
    <t>J. Med. Case Rep.</t>
  </si>
  <si>
    <t>J. Med. Coll. PLA</t>
  </si>
  <si>
    <t>J. Med. Devices Trans. ASME</t>
  </si>
  <si>
    <t>J. Med. Econ.</t>
  </si>
  <si>
    <t>J. Med. Eng.</t>
  </si>
  <si>
    <t>J. Med. Eng. Technol.</t>
  </si>
  <si>
    <t>J. Med. Genet.</t>
  </si>
  <si>
    <t>J. Med. Hypo. Ideas</t>
  </si>
  <si>
    <t>J. Med. Imaging Health Informatics</t>
  </si>
  <si>
    <t>J. Med. Imaging Radiat. Oncol.</t>
  </si>
  <si>
    <t>J. Med. Imaging Radiat. Sci.</t>
  </si>
  <si>
    <t>J. Med. Invest.</t>
  </si>
  <si>
    <t>J. Med. Microbiol.</t>
  </si>
  <si>
    <t>J. Med. Phys.</t>
  </si>
  <si>
    <t>J. Med. Primatol.</t>
  </si>
  <si>
    <t>J. Med. Radial. Sci.</t>
  </si>
  <si>
    <t>J. Med. Sci.</t>
  </si>
  <si>
    <t>J. Med. Speech-Lang. Pathol.</t>
  </si>
  <si>
    <t>J. Med. Syst.</t>
  </si>
  <si>
    <t>J. Med. Teach. Fed.</t>
  </si>
  <si>
    <t>J. Med. Toxicol.</t>
  </si>
  <si>
    <t>J. Med. Ultrason.</t>
  </si>
  <si>
    <t>J. Med. Ultrasound</t>
  </si>
  <si>
    <t>J. Med. Virol.</t>
  </si>
  <si>
    <t>J. Med. Chem.</t>
  </si>
  <si>
    <t>J. Med. Food</t>
  </si>
  <si>
    <t>J. Med. Plants</t>
  </si>
  <si>
    <t>J. Med.</t>
  </si>
  <si>
    <t>J. Med. Biomed. Res.</t>
  </si>
  <si>
    <t>J. Membr. Biol.</t>
  </si>
  <si>
    <t>J. Membr. Sci.</t>
  </si>
  <si>
    <t>J. Men's Health</t>
  </si>
  <si>
    <t>J. Ment. Health</t>
  </si>
  <si>
    <t>J. Mental Health Policy Econ.</t>
  </si>
  <si>
    <t>J. Microbiol. Methods</t>
  </si>
  <si>
    <t>J. Microbiol. Biotechnol.</t>
  </si>
  <si>
    <t>J. Microbiol. Immunol. Infect.</t>
  </si>
  <si>
    <t>J. Microencapsulation</t>
  </si>
  <si>
    <t>J. Microsc.</t>
  </si>
  <si>
    <t>J. Midwifery Women's Health</t>
  </si>
  <si>
    <t>J. Mind Behav.</t>
  </si>
  <si>
    <t>J. Minimal Access Surg.</t>
  </si>
  <si>
    <t>J. Minimally Invasive Gynecol.</t>
  </si>
  <si>
    <t>J. Mol. Cell. Cardiol.</t>
  </si>
  <si>
    <t>J. Mol. Biol.</t>
  </si>
  <si>
    <t>J. Mol. Catal. B Enzym.</t>
  </si>
  <si>
    <t>J. Mol. Diagn.</t>
  </si>
  <si>
    <t>J. Mol. Endocrinol.</t>
  </si>
  <si>
    <t>J. Mol. Graph. Model.</t>
  </si>
  <si>
    <t>J. Mol. Histol.</t>
  </si>
  <si>
    <t>J. Mol. Med.</t>
  </si>
  <si>
    <t>J. Mol. Microbiol. Biotechnol.</t>
  </si>
  <si>
    <t>J. Mol. Model.</t>
  </si>
  <si>
    <t>J. Mol. Neurosci.</t>
  </si>
  <si>
    <t>J. Mol. Psychiatry</t>
  </si>
  <si>
    <t>J. Mol. Signal.</t>
  </si>
  <si>
    <t>J. Multidiscip.Healthc.</t>
  </si>
  <si>
    <t>J. Musculoskelet. Neuronal Interact.</t>
  </si>
  <si>
    <t>J. Musculoskelet. Pain</t>
  </si>
  <si>
    <t>J. Musculoskelet. Res.</t>
  </si>
  <si>
    <t>J. Nanobiotechnology</t>
  </si>
  <si>
    <t>J. Nanopart. Res.</t>
  </si>
  <si>
    <t>J. Nanopharmaceutics Drug Deliv.</t>
  </si>
  <si>
    <t>J. Nanotechnology Eng. Med.</t>
  </si>
  <si>
    <t>J. Nara Med. Assoc.</t>
  </si>
  <si>
    <t>J. Nat. Med.</t>
  </si>
  <si>
    <t>J. Nat. Prod.</t>
  </si>
  <si>
    <t>J. Nat. Rem.</t>
  </si>
  <si>
    <t>J. Negat. Results Biomed.</t>
  </si>
  <si>
    <t>J. Neonatal-Perinat. Med.</t>
  </si>
  <si>
    <t>J. Neonatal.</t>
  </si>
  <si>
    <t>J. Nepal Paediatr. Soc.</t>
  </si>
  <si>
    <t>J. Nephrol.</t>
  </si>
  <si>
    <t>J. Nerv. Ment. Dis.</t>
  </si>
  <si>
    <t>J. Neural Eng.</t>
  </si>
  <si>
    <t>J. Neural Transm.</t>
  </si>
  <si>
    <t>J. Neural Transm. Suppl.</t>
  </si>
  <si>
    <t>J. Neurochem.</t>
  </si>
  <si>
    <t>J. Neurodegen. Regen.</t>
  </si>
  <si>
    <t>J. Neurodegenerative Dis.</t>
  </si>
  <si>
    <t>J. Neurodevelopmental Disord.</t>
  </si>
  <si>
    <t>J. Neuroendocrinol.</t>
  </si>
  <si>
    <t>J. NeuroEng. Rehabil.</t>
  </si>
  <si>
    <t>J. Neurogastroenterology Motil.</t>
  </si>
  <si>
    <t>J. Neurogenet.</t>
  </si>
  <si>
    <t>J. Neuroimaging</t>
  </si>
  <si>
    <t>J. Neuroimmune Pharmacol.</t>
  </si>
  <si>
    <t>J. Neuroimmunol.</t>
  </si>
  <si>
    <t>J. Neuroinflamm.</t>
  </si>
  <si>
    <t>J. Neurointervent. Surg.</t>
  </si>
  <si>
    <t>J. Neurolinguist.</t>
  </si>
  <si>
    <t>J. Neurol. Sci.</t>
  </si>
  <si>
    <t>J. Neurol. Surg. Rep.</t>
  </si>
  <si>
    <t>J. Neurol.</t>
  </si>
  <si>
    <t>J. Neurol. Neurosurg. Psychiatry</t>
  </si>
  <si>
    <t>J. Neuro-Oncol.</t>
  </si>
  <si>
    <t>J. Neuro-Ophthalmol.</t>
  </si>
  <si>
    <t>J. Neuropathol. Exp. Neurol.</t>
  </si>
  <si>
    <t>J. Neurophysiol.</t>
  </si>
  <si>
    <t>J. Neuropsychiatry Clin. Neurosci.</t>
  </si>
  <si>
    <t>J. Neuroradiol.</t>
  </si>
  <si>
    <t>J. Neurosci.</t>
  </si>
  <si>
    <t>J. Neurosci. Neuroengineering</t>
  </si>
  <si>
    <t>J. Neurosci. Methods</t>
  </si>
  <si>
    <t>J. Neurosci. Res.</t>
  </si>
  <si>
    <t>J. Neurosci. Psychol. Econ.</t>
  </si>
  <si>
    <t>J. Neurosci. Rural Pract.</t>
  </si>
  <si>
    <t>J. Neurosurg.</t>
  </si>
  <si>
    <t>J. Neurosurg. Spine</t>
  </si>
  <si>
    <t>J. Neurosurg. Anesthesiol.</t>
  </si>
  <si>
    <t>J. Neurosurg. Sci.</t>
  </si>
  <si>
    <t>J. Neurotrauma</t>
  </si>
  <si>
    <t>J. Neurovirol.</t>
  </si>
  <si>
    <t>J. Nippon Med. Sch.</t>
  </si>
  <si>
    <t>J. Nucl. Cardiol.</t>
  </si>
  <si>
    <t>J. Nucl. Med.</t>
  </si>
  <si>
    <t>J. Nucl. Med. Technol.</t>
  </si>
  <si>
    <t>J. Nucleic Acids</t>
  </si>
  <si>
    <t>J. Nucleic Acids Invest.</t>
  </si>
  <si>
    <t>J. Nutrigenet. Nutrigenomics</t>
  </si>
  <si>
    <t>J. Nutr.</t>
  </si>
  <si>
    <t>J. Nutr. Health Aging</t>
  </si>
  <si>
    <t>J. Nutr. Biochem.</t>
  </si>
  <si>
    <t>J. Nutr. Sci.</t>
  </si>
  <si>
    <t>J. Nutr. Sci. Vitaminol.</t>
  </si>
  <si>
    <t>J. Obes.</t>
  </si>
  <si>
    <t>J. Obsessive-Compulsive Relat. Disord.</t>
  </si>
  <si>
    <t>J. Obstet. Gynaecol.</t>
  </si>
  <si>
    <t>J. Obstet. Gynaecol. Res.</t>
  </si>
  <si>
    <t>J. Obstet. Gynecol. India</t>
  </si>
  <si>
    <t>J. Occup. Environ. Med.</t>
  </si>
  <si>
    <t>J. Occup. Health Psychol.</t>
  </si>
  <si>
    <t>J. Occup. Med. Toxicol.</t>
  </si>
  <si>
    <t>J. Ocul. Biol. Dis. Informatics</t>
  </si>
  <si>
    <t>J. Ocul. Pharmacol. Ther.</t>
  </si>
  <si>
    <t>J. Oncol.</t>
  </si>
  <si>
    <t>J. Oncol. Pharm. Pract.</t>
  </si>
  <si>
    <t>J. Oncol. Pract.</t>
  </si>
  <si>
    <t>J. OncoPathology</t>
  </si>
  <si>
    <t>J. Ophthalmic Inflamm. Infect.</t>
  </si>
  <si>
    <t>J. Opioid Manage.</t>
  </si>
  <si>
    <t>J. Oral Maxillofac. Surg.</t>
  </si>
  <si>
    <t>J. Oral Microbiol.</t>
  </si>
  <si>
    <t>J. Oral Pathol. Med.</t>
  </si>
  <si>
    <t>J. Org. Chem.</t>
  </si>
  <si>
    <t>J. Orthomol. Med.</t>
  </si>
  <si>
    <t>J. Orthop. Res.</t>
  </si>
  <si>
    <t>J. Ortop. Sci.</t>
  </si>
  <si>
    <t>J. Orthop. Transl.</t>
  </si>
  <si>
    <t>J. Orthop. Trauma</t>
  </si>
  <si>
    <t>J. Orthop.</t>
  </si>
  <si>
    <t>J. Orthop. Traumatol.</t>
  </si>
  <si>
    <t>J. Orthop. Traum. Rehabil.</t>
  </si>
  <si>
    <t>J. Osteoporosis</t>
  </si>
  <si>
    <t>J. Otolaryngol. Head Neck Surg.</t>
  </si>
  <si>
    <t>J. Ovarian Res.</t>
  </si>
  <si>
    <t>J. Paediatr. Respir. Crit. Care</t>
  </si>
  <si>
    <t>J. Paediatr. Child Health</t>
  </si>
  <si>
    <t>J. Pain</t>
  </si>
  <si>
    <t>J. Pain Palliative Care Pharmacother.</t>
  </si>
  <si>
    <t>J. Pain Symptom Manage.</t>
  </si>
  <si>
    <t>J. Pain Manage.</t>
  </si>
  <si>
    <t>J. Pain Res.</t>
  </si>
  <si>
    <t>J. Pak. Assoc. Dermatol.</t>
  </si>
  <si>
    <t>J. Palliative Med.</t>
  </si>
  <si>
    <t>J. Parasitic Dis.</t>
  </si>
  <si>
    <t>J. Parasitol.</t>
  </si>
  <si>
    <t>J. Parasitol. Res.</t>
  </si>
  <si>
    <t>J. Parenter. Enter. Nutr.</t>
  </si>
  <si>
    <t>J. Parkinson's Dis.</t>
  </si>
  <si>
    <t>J. Pathog.</t>
  </si>
  <si>
    <t>J. Pathol.</t>
  </si>
  <si>
    <t>J. Paint Saf. Infect. Control</t>
  </si>
  <si>
    <t>J. Pediatr. Adolesc. Gynecol.</t>
  </si>
  <si>
    <t>J. Pediatr. Biochem.</t>
  </si>
  <si>
    <t>J. Pediatr. Endocrinol. Metab.</t>
  </si>
  <si>
    <t>J. Pediatr. Epilepsy</t>
  </si>
  <si>
    <t>J. Pediatr. Gastroenterol. Nutr.</t>
  </si>
  <si>
    <t>J. Pediatr. Hematol. Oncol.</t>
  </si>
  <si>
    <t>J. Pediatr. Infect. Dis.</t>
  </si>
  <si>
    <t>J. Pediatr. Intensive Care</t>
  </si>
  <si>
    <t>J. Pediatr. Neurol.</t>
  </si>
  <si>
    <t>J. Pediatr. Neurosci.</t>
  </si>
  <si>
    <t>J. Pediatr. Ophthalmol. Strabismus</t>
  </si>
  <si>
    <t>J. Pediatr. Orthop.</t>
  </si>
  <si>
    <t>J. Pediatr. Orthop. Part B</t>
  </si>
  <si>
    <t>J. Pediatr. Rehabit. Med.</t>
  </si>
  <si>
    <t>J. Pediatr. Surg.</t>
  </si>
  <si>
    <t>J. Pediatr. Urol.</t>
  </si>
  <si>
    <t>J. Pept. Sci.</t>
  </si>
  <si>
    <t>J. Perinat. Med.</t>
  </si>
  <si>
    <t>J. Perinatol.</t>
  </si>
  <si>
    <t>J. Pers. Med.</t>
  </si>
  <si>
    <t>J. Pharmaceut.Analy.</t>
  </si>
  <si>
    <t>J. Pharm. Allied Sci.</t>
  </si>
  <si>
    <t>J. Pharm. Biomed. Anal.</t>
  </si>
  <si>
    <t>J. Pharm. Health. Serv. Res.</t>
  </si>
  <si>
    <t>J. Pharm. Innov.</t>
  </si>
  <si>
    <t>J. Pharma. Invest.</t>
  </si>
  <si>
    <t>J. Pharm. Negat. Results</t>
  </si>
  <si>
    <t>J. Pharm. Sci.</t>
  </si>
  <si>
    <t>J. Pharm. Sci. Res.</t>
  </si>
  <si>
    <t>J. Pharmacogn. Phytother.</t>
  </si>
  <si>
    <t>J. Pharmacokinet. Pharmacodyn.</t>
  </si>
  <si>
    <t>J. Pharmacol. Toxicol. Methods</t>
  </si>
  <si>
    <t>J. Pharmacol. Sci.</t>
  </si>
  <si>
    <t>J. Pharmacol. Exp. Ther.</t>
  </si>
  <si>
    <t>J. Pharmacol. Pharmather.</t>
  </si>
  <si>
    <t>J. Pharmacol. Toxicol.</t>
  </si>
  <si>
    <t>J. Pharm. Bioallied Sci.</t>
  </si>
  <si>
    <t>J. Pharm. Pharm. Sci.</t>
  </si>
  <si>
    <t>J. Pharm. Pharmacol.</t>
  </si>
  <si>
    <t>J. Pharm. Istanb. Univ.</t>
  </si>
  <si>
    <t>J. Pharm. Pract.</t>
  </si>
  <si>
    <t>J. Pharm. Pract. Res.</t>
  </si>
  <si>
    <t>J. Pharm. Res.</t>
  </si>
  <si>
    <t>J. Pharm. Technol.</t>
  </si>
  <si>
    <t>J. Photochem. Photobiol. B Biol.</t>
  </si>
  <si>
    <t>J. Phys. Ther.</t>
  </si>
  <si>
    <t>J. Physiol.</t>
  </si>
  <si>
    <t>J. Physiol. Biochem.</t>
  </si>
  <si>
    <t>J. Physiol. Pharmacol.</t>
  </si>
  <si>
    <t>J. Physiol. Paris</t>
  </si>
  <si>
    <t>J. Phytomed. Ther.</t>
  </si>
  <si>
    <t>J. Pineal Res.</t>
  </si>
  <si>
    <t>J. Pio. Med. Stud.</t>
  </si>
  <si>
    <t>J. Planar Chromatogr. Mod. TLC</t>
  </si>
  <si>
    <t>J. Plast. Dermatol.</t>
  </si>
  <si>
    <t>J. Plast. Reconstr. Aesthetic Surg.</t>
  </si>
  <si>
    <t>J. Popul. ther. Clin. Pharmacol.</t>
  </si>
  <si>
    <t>J. Postgrad. Med. Inst.</t>
  </si>
  <si>
    <t>J. Pract. Oncol.</t>
  </si>
  <si>
    <t>J. Prenat. Diagn. Ther.</t>
  </si>
  <si>
    <t>J. Prev. Med. Hyg.</t>
  </si>
  <si>
    <t>J. Prev. Med. Public Health</t>
  </si>
  <si>
    <t>J. Proteome Res.</t>
  </si>
  <si>
    <t>J. Proteomics</t>
  </si>
  <si>
    <t>J. Psychiatr. Pract.</t>
  </si>
  <si>
    <t>J. Psychiatr. Res.</t>
  </si>
  <si>
    <t>J. Psychiatry Law</t>
  </si>
  <si>
    <t>J. Psychiatry Neurosci.</t>
  </si>
  <si>
    <t>J. Psychoact. Drugs</t>
  </si>
  <si>
    <t>J. Psychopatol.</t>
  </si>
  <si>
    <t>J. Psychopathol. Behav. Assess.</t>
  </si>
  <si>
    <t>J. Psychopharmacol.</t>
  </si>
  <si>
    <t>J. Psychophysiol.</t>
  </si>
  <si>
    <t>J. Psychosoc. Oncol.</t>
  </si>
  <si>
    <t>J. Psychosom. Obstet. Gynecol.</t>
  </si>
  <si>
    <t>J. Psychosom. Res.</t>
  </si>
  <si>
    <t>J. Psychother. Integr.</t>
  </si>
  <si>
    <t>J. Public Health</t>
  </si>
  <si>
    <t>J. Public Health Afr.</t>
  </si>
  <si>
    <t>J. Public Health Res.</t>
  </si>
  <si>
    <t>J. Pure Appl. Microbiol.</t>
  </si>
  <si>
    <t>J. Radiat. Oncol.</t>
  </si>
  <si>
    <t>J. Radiat. Res. Appl. Sci.</t>
  </si>
  <si>
    <t>J. Radioanal. Nucl. Chem.</t>
  </si>
  <si>
    <t>J. Radiol. Case Rep.</t>
  </si>
  <si>
    <t>J. Radiol. Nurs.</t>
  </si>
  <si>
    <t>J. Radiother. Pract.</t>
  </si>
  <si>
    <t>J. Recept. Ligand Channel Res.</t>
  </si>
  <si>
    <t>J. Recept. Signal Transduction</t>
  </si>
  <si>
    <t>J. Reconstr. Microsurg.</t>
  </si>
  <si>
    <t>J. Refractive Surg.</t>
  </si>
  <si>
    <t>J. Rehabil. Res. Dev.</t>
  </si>
  <si>
    <t>J. Reprod. Contracept.</t>
  </si>
  <si>
    <t>J. Reprod. Infertil.</t>
  </si>
  <si>
    <t>J. Reprod. Infant Psychol.</t>
  </si>
  <si>
    <t>J. Reprod. Immunol.</t>
  </si>
  <si>
    <t>J. Reprod. Med.</t>
  </si>
  <si>
    <t>J. Res. Health Sci.</t>
  </si>
  <si>
    <t>J. Res. Med. Sci.</t>
  </si>
  <si>
    <t>J. Res. Pharm. Pract.</t>
  </si>
  <si>
    <t>J. Rheumatol.</t>
  </si>
  <si>
    <t>J. Rheumatol. Med. Rehabil.</t>
  </si>
  <si>
    <t>J. RNAi Gene Silencing</t>
  </si>
  <si>
    <t>J. SAFOG</t>
  </si>
  <si>
    <t>J. Sci. Med. Sport</t>
  </si>
  <si>
    <t>J. Sep. Sci.</t>
  </si>
  <si>
    <t>J. Sex. Med.</t>
  </si>
  <si>
    <t>J. Shanghai Jiaotong Univ. Med. Sci.</t>
  </si>
  <si>
    <t>J. Shoulder Elbow Surg.</t>
  </si>
  <si>
    <t>J. Signal Transduction</t>
  </si>
  <si>
    <t>J. Skin Cancer</t>
  </si>
  <si>
    <t>J. Sleep Res.</t>
  </si>
  <si>
    <t>J. Solid Tumors</t>
  </si>
  <si>
    <t>J. Spectroscopy</t>
  </si>
  <si>
    <t>J. Spinal Cord Med.</t>
  </si>
  <si>
    <t>J. Spinal Disord. Tech.</t>
  </si>
  <si>
    <t>J. Sport Health Sci.</t>
  </si>
  <si>
    <t>J. Stem. Cells.</t>
  </si>
  <si>
    <t>J. Stem Cells Regen. Med.</t>
  </si>
  <si>
    <t>J. Steroid Biochem. Mol. Biol.</t>
  </si>
  <si>
    <t>J. Stroke Cerebrovasc. Dis.</t>
  </si>
  <si>
    <t>J. Struc. Funct. Genomics</t>
  </si>
  <si>
    <t>J. Struct. Biol.</t>
  </si>
  <si>
    <t>J. Subst. Abuse Treat.</t>
  </si>
  <si>
    <t>J. Subst. Use</t>
  </si>
  <si>
    <t>J. Supportive Oncol.</t>
  </si>
  <si>
    <t>J. Surg. Educ.</t>
  </si>
  <si>
    <t>J. Surg. Oncol.</t>
  </si>
  <si>
    <t>J. Surg. Radiol.</t>
  </si>
  <si>
    <t>J. Surg. Res.</t>
  </si>
  <si>
    <t>J. Surg. Techni. Case Rep.</t>
  </si>
  <si>
    <t>J. Taibah. Univ. Med. Sci.</t>
  </si>
  <si>
    <t>J. Tehran. Uni. Heart. Cent.</t>
  </si>
  <si>
    <t>J. Air Waste Manage. Assoc.</t>
  </si>
  <si>
    <t>J. Am. Acad. Audiol.</t>
  </si>
  <si>
    <t>J. Am. Acad. Child Adolesc. Psychiatry</t>
  </si>
  <si>
    <t>J. Am. Acad. Dermatol.</t>
  </si>
  <si>
    <t>J. Am. Assoc. Lab. Anim. Sci.</t>
  </si>
  <si>
    <t>J. Am. Board Fam. Med.</t>
  </si>
  <si>
    <t>J. Am. Chem. Soc.</t>
  </si>
  <si>
    <t>J. Am. Coll. Cardiol.</t>
  </si>
  <si>
    <t>J. Am. Coll. Clin. Wound Spec.</t>
  </si>
  <si>
    <t>J. Am. Coll. Nutr.</t>
  </si>
  <si>
    <t>J. Am. Coll. Radiol.</t>
  </si>
  <si>
    <t>J. Am. Coll. Surg.</t>
  </si>
  <si>
    <t>J. Am. Geriatr. Soc.</t>
  </si>
  <si>
    <t>J. Am. Heart Assoc.</t>
  </si>
  <si>
    <t>J. Am. Med. Dir. Assoc.</t>
  </si>
  <si>
    <t>J. Am. Med. Informatics Assoc.</t>
  </si>
  <si>
    <t>J. Am. Pharm. Assoc.</t>
  </si>
  <si>
    <t>J. Am. Soc. Mass Spectrom.</t>
  </si>
  <si>
    <t>J. Am. Soc. Cytopathology</t>
  </si>
  <si>
    <t>J. Am. Soc. Echocardiogr.</t>
  </si>
  <si>
    <t>J. Am. Soc. Hypertens.</t>
  </si>
  <si>
    <t>J. Am. Soc. Nephrol.</t>
  </si>
  <si>
    <t>J. Bahrain Med. Soc.</t>
  </si>
  <si>
    <t>J. Can. Acad. Child Adolesc. Psychiatry</t>
  </si>
  <si>
    <t>J. Can. Soc. Forensic Sci.</t>
  </si>
  <si>
    <t>J. Chin. Med. Assoc.</t>
  </si>
  <si>
    <t>J. Coll. Phys. Surg. Pak.</t>
  </si>
  <si>
    <t>J. Dermatol. Nurses' Assoc.</t>
  </si>
  <si>
    <t>J. Diabetic Assoc. India</t>
  </si>
  <si>
    <t>J. Egypt. Natl. Cancer Inst.</t>
  </si>
  <si>
    <t>J. Eur. Acad. Dermatol. Venereol.</t>
  </si>
  <si>
    <t>J. Formos. Med. Assoc.</t>
  </si>
  <si>
    <t>J. Hong Kong Coll. Cardiol.</t>
  </si>
  <si>
    <t>J. Indian Chem. Soc.</t>
  </si>
  <si>
    <t>J. Indian Med. Assoc.</t>
  </si>
  <si>
    <t>J. Intensive Care Soc.</t>
  </si>
  <si>
    <t>J. Int. AIDS Soc.</t>
  </si>
  <si>
    <t>J. Int. Assoc. Providers AIDS Care</t>
  </si>
  <si>
    <t>J. Jpn. Epilepsy Soc.</t>
  </si>
  <si>
    <t>J. Kor. Med. Assoc.</t>
  </si>
  <si>
    <t>J. Liaquat Univ. Med. Health Sci.</t>
  </si>
  <si>
    <t>J. Malta Coll. Pharm.</t>
  </si>
  <si>
    <t>J. Mech. Behav. Biomed. Mater.</t>
  </si>
  <si>
    <t>J. Med. Assoc. Thailand</t>
  </si>
  <si>
    <t>J. Natl. Cancer Inst.</t>
  </si>
  <si>
    <t>J. Natl. Cancer Inst. Monogr.</t>
  </si>
  <si>
    <t>J. Natl. Med. Assoc.</t>
  </si>
  <si>
    <t>J. Nepal Med. Assoc.</t>
  </si>
  <si>
    <t>J. Osaka City Med. Cent.</t>
  </si>
  <si>
    <t>J. Pak. Med. Assoc.</t>
  </si>
  <si>
    <t>J. Pancreas</t>
  </si>
  <si>
    <t>J. Pediatric Infect. Dis. Soc.</t>
  </si>
  <si>
    <t>J. Peripher. Nerv. Syst.</t>
  </si>
  <si>
    <t>J. R. Coll. Phys. Edinburgh</t>
  </si>
  <si>
    <t>J. R. Soc. Interface</t>
  </si>
  <si>
    <t>J. R. Soc. Med.</t>
  </si>
  <si>
    <t>J. R. Soc. Med. Suppl.</t>
  </si>
  <si>
    <t>J. Saudi Heart Assoc.</t>
  </si>
  <si>
    <t>J. Saudi Soc. Dermatol. Dermatol. Surg.</t>
  </si>
  <si>
    <t>J. Soc. Integr. Oncol.</t>
  </si>
  <si>
    <t>J. S. Afr. Vet. Assoc.</t>
  </si>
  <si>
    <t>J. Turkish German Gynecol. Assoc. Artemis</t>
  </si>
  <si>
    <t>J. Theor. Biol.</t>
  </si>
  <si>
    <t>J. Ther. Ultrasound</t>
  </si>
  <si>
    <t>J. Therm. Biol.</t>
  </si>
  <si>
    <t>J. Thorac. Cardiovasc. Surg.</t>
  </si>
  <si>
    <t>J. Thorac. Dis.</t>
  </si>
  <si>
    <t>J. Thorac. Imaging</t>
  </si>
  <si>
    <t>J. Thorac. Oncol.</t>
  </si>
  <si>
    <t>J. Thromb. Haemost.</t>
  </si>
  <si>
    <t>J. Thromb. Thrombolysis</t>
  </si>
  <si>
    <t>J. Thyroid. Res.</t>
  </si>
  <si>
    <t>J. Tissue Eng.</t>
  </si>
  <si>
    <t>J. Tissue Viability</t>
  </si>
  <si>
    <t>J. Tokyo Med. Univ.</t>
  </si>
  <si>
    <t>J. Toxicol. Pathol.</t>
  </si>
  <si>
    <t>J. Toxicol. Sci.</t>
  </si>
  <si>
    <t>J. Toxicol.</t>
  </si>
  <si>
    <t>J. Toxicol. Environ. Health Part A Curr. Iss.</t>
  </si>
  <si>
    <t>J. Toxicol. Environ. Health Part B Crit. Rev.</t>
  </si>
  <si>
    <t>J. Trace Elem. Med. Biol.</t>
  </si>
  <si>
    <t>J. Trad. Chin. Med.</t>
  </si>
  <si>
    <t>J. Transl. Med.</t>
  </si>
  <si>
    <t>J. Trauma Acute Care Surg.</t>
  </si>
  <si>
    <t>J. Trauma Dissociation</t>
  </si>
  <si>
    <t>J. Travel Med.</t>
  </si>
  <si>
    <t>J. Trop. Med.</t>
  </si>
  <si>
    <t>J. Trop. Pediatr.</t>
  </si>
  <si>
    <t>J. Ultrasound</t>
  </si>
  <si>
    <t>J. Urol.</t>
  </si>
  <si>
    <t>J. Vasc. Access</t>
  </si>
  <si>
    <t>J. Vasc. Intervent. Radiol.</t>
  </si>
  <si>
    <t>J. Vasc. Res.</t>
  </si>
  <si>
    <t>J. Vasc. Surg.</t>
  </si>
  <si>
    <t>J. Vasc. Surg. Venous Lymphatic Disord.</t>
  </si>
  <si>
    <t>J. Vector Borne Dis.</t>
  </si>
  <si>
    <t>J. Venomous Anim. Toxins Incl. Trop. Dis.</t>
  </si>
  <si>
    <t>J. Vet. Cardiol.</t>
  </si>
  <si>
    <t>J. Vet. Pharmacol. Ther.</t>
  </si>
  <si>
    <t>J. Viral Entry</t>
  </si>
  <si>
    <t>J. Viral Hepatitis</t>
  </si>
  <si>
    <t>J. Virol. Methods</t>
  </si>
  <si>
    <t>J. Virol.</t>
  </si>
  <si>
    <t>J. Vocat. Rehabil.</t>
  </si>
  <si>
    <t>J. Voice</t>
  </si>
  <si>
    <t>J. Water Health</t>
  </si>
  <si>
    <t>J. Women's Health</t>
  </si>
  <si>
    <t>J. Wrist Sur.</t>
  </si>
  <si>
    <t>J. Xenobiotics</t>
  </si>
  <si>
    <t>J. Xi'An Jiaotong Univ. Med. Sci.</t>
  </si>
  <si>
    <t>J. Young Pharm.</t>
  </si>
  <si>
    <t>J. Zanjan Univ. Med. Sci. Health Serv.</t>
  </si>
  <si>
    <t>J. Zhejiang Uni. Sci. B</t>
  </si>
  <si>
    <t>J. Phlebol. Lymphol.</t>
  </si>
  <si>
    <t>J. Indian Acad. Clin. Med.</t>
  </si>
  <si>
    <t>JRAAS J. Renin-Angiotensin-Aldosterone Syst.</t>
  </si>
  <si>
    <t>JRSM Cardiovascular Dis.</t>
  </si>
  <si>
    <t>JRSM Short Rep.</t>
  </si>
  <si>
    <t>Jundishapur J. Microbiol.</t>
  </si>
  <si>
    <t>Jundishapur J. Nat. Pharm. Prod.</t>
  </si>
  <si>
    <t>Jurnalul Roman Anestezie Ter. Intensiva/ Romanian J. Anaesth. Intensive Care</t>
  </si>
  <si>
    <t>Kaohsiung J. Med. Sci.</t>
  </si>
  <si>
    <t>Kardiol.</t>
  </si>
  <si>
    <t>Kardiol. Pol.</t>
  </si>
  <si>
    <t>Kardiol. Rev.</t>
  </si>
  <si>
    <t>Kardiovaskulare Med.</t>
  </si>
  <si>
    <t>Kathmandu Univ. Med. J.</t>
  </si>
  <si>
    <t>Keio J. Med.</t>
  </si>
  <si>
    <t>Kidney Blood Press. Res.</t>
  </si>
  <si>
    <t>Kidney Int.</t>
  </si>
  <si>
    <t>Kidney Int. Suppl.</t>
  </si>
  <si>
    <t>Kidney Res. Clin. Pract.</t>
  </si>
  <si>
    <t>Klimik Derg.</t>
  </si>
  <si>
    <t>Klin. Biochem. Metab.</t>
  </si>
  <si>
    <t>Klin. Farmakol. Farm.</t>
  </si>
  <si>
    <t>Klin. Imunol. Alergol.</t>
  </si>
  <si>
    <t>Klin. Mikrobiol. Infekcni Lek.</t>
  </si>
  <si>
    <t>Klin. Onkol.</t>
  </si>
  <si>
    <t>Klin. Psikofarmakol. Bul.</t>
  </si>
  <si>
    <t>Klin. Monatsbl. Augenheilkd.</t>
  </si>
  <si>
    <t>Klin. Neurophysiol.</t>
  </si>
  <si>
    <t>Klin. Padiatr.</t>
  </si>
  <si>
    <t>Kobe J. Med. Sci.</t>
  </si>
  <si>
    <t>Kompendium Orthop. Unfallchir. Rheumatol.</t>
  </si>
  <si>
    <t>Konuralp Derg.</t>
  </si>
  <si>
    <t>Korean Circ. J.</t>
  </si>
  <si>
    <t>Korean J. Anesth.</t>
  </si>
  <si>
    <t>Korean J. Intern. Med.</t>
  </si>
  <si>
    <t>Korean J. Med. Mycol.</t>
  </si>
  <si>
    <t>Korean J. Microbiol. Biotechnol.</t>
  </si>
  <si>
    <t>Korean J. Pain</t>
  </si>
  <si>
    <t>Korean J. Parasitol.</t>
  </si>
  <si>
    <t>Korean J. Pediatr.</t>
  </si>
  <si>
    <t>Korean J. Pharmacogn.</t>
  </si>
  <si>
    <t>Korean J. Physiol. Pharmacol.</t>
  </si>
  <si>
    <t>Korean J. Urol.</t>
  </si>
  <si>
    <t>Krankenh.hyg. Infektionsverhutung</t>
  </si>
  <si>
    <t>Kurume Med. J.</t>
  </si>
  <si>
    <t>Kuwait Med. J.</t>
  </si>
  <si>
    <t>Lab Chip Miniaturisation Chem. Biol.</t>
  </si>
  <si>
    <t>Lab. Anim.</t>
  </si>
  <si>
    <t>Lab. Hematol.</t>
  </si>
  <si>
    <t>Lab. Invest.</t>
  </si>
  <si>
    <t>Lab. Med.</t>
  </si>
  <si>
    <t>Langenbeck's Arch. Surg.</t>
  </si>
  <si>
    <t>Laryngo- Rhino- Otol.</t>
  </si>
  <si>
    <t>Laser Ther.</t>
  </si>
  <si>
    <t>Lasers Med. Sci.</t>
  </si>
  <si>
    <t>Lasers Surg. Med.</t>
  </si>
  <si>
    <t>Lat. Am. J. Pharm.</t>
  </si>
  <si>
    <t>Learn. Mem.</t>
  </si>
  <si>
    <t>Leg. Criminol. Psychol.</t>
  </si>
  <si>
    <t>Legal Med.</t>
  </si>
  <si>
    <t>Lek. Tech.</t>
  </si>
  <si>
    <t>Lett. Appl. Microbiol.</t>
  </si>
  <si>
    <t>Lett. Drug. Des. Discov.</t>
  </si>
  <si>
    <t>Leuk. Lymphoma</t>
  </si>
  <si>
    <t>Leuk. Res.</t>
  </si>
  <si>
    <t>Leuk. Res. Treat.</t>
  </si>
  <si>
    <t>Leuk. Res. Rep.</t>
  </si>
  <si>
    <t>Libri Oncol.</t>
  </si>
  <si>
    <t>Libyan J. Med.</t>
  </si>
  <si>
    <t>Life Sci.</t>
  </si>
  <si>
    <t>Life Sci. Space Res.</t>
  </si>
  <si>
    <t>Lijec. Vjesn. Suppl.</t>
  </si>
  <si>
    <t>Lipids Health Dis.</t>
  </si>
  <si>
    <t>Liver Int.</t>
  </si>
  <si>
    <t>Liver Transplant.</t>
  </si>
  <si>
    <t>Local Reg. Anesth.</t>
  </si>
  <si>
    <t>London J. Prim. Care</t>
  </si>
  <si>
    <t>Longevity Healthspan</t>
  </si>
  <si>
    <t>Louvain Med.</t>
  </si>
  <si>
    <t>Lung Cancer Intern.</t>
  </si>
  <si>
    <t>Lung Cancer Manage.</t>
  </si>
  <si>
    <t>Lung Cancer Targets Ther.</t>
  </si>
  <si>
    <t>LUTS: Lower Urin. Tract Symptoms</t>
  </si>
  <si>
    <t>Lymphatic Res. Biol.</t>
  </si>
  <si>
    <t>Lymphol. Forsch. Prax.</t>
  </si>
  <si>
    <t>Maced. J. Med. Sci.</t>
  </si>
  <si>
    <t>Macromol. Biosci.</t>
  </si>
  <si>
    <t>Magnes. Res.</t>
  </si>
  <si>
    <t>Magn. Reson. Imaging</t>
  </si>
  <si>
    <t>Magn. Reson. Imaging Clin. North Am.</t>
  </si>
  <si>
    <t>Magn. Reson. Med.</t>
  </si>
  <si>
    <t>Magy. Onkol.</t>
  </si>
  <si>
    <t>Malar. Res. Treat</t>
  </si>
  <si>
    <t>Malays. J. Med. Sci.</t>
  </si>
  <si>
    <t>Malays. J. Pathol.</t>
  </si>
  <si>
    <t>Malays. Orthop. J.</t>
  </si>
  <si>
    <t>Malta Med. J.</t>
  </si>
  <si>
    <t>Mamm. Genome</t>
  </si>
  <si>
    <t>Man. Ther.</t>
  </si>
  <si>
    <t>Manuf. Chem.</t>
  </si>
  <si>
    <t>Mar. Drugs</t>
  </si>
  <si>
    <t>Mar. Environ. Res.</t>
  </si>
  <si>
    <t>Mar. Pollut. Bull.</t>
  </si>
  <si>
    <t>Marmara Med. J.</t>
  </si>
  <si>
    <t>Marmara Pharm. J.</t>
  </si>
  <si>
    <t>Matern. Child Nutr.</t>
  </si>
  <si>
    <t>Math. Biosci.</t>
  </si>
  <si>
    <t>Matrix Biol.</t>
  </si>
  <si>
    <t>Mayo Clin. Proc.</t>
  </si>
  <si>
    <t>McGill J. Med.</t>
  </si>
  <si>
    <t>Meas. Phys. Educ. Exerc. Sci.</t>
  </si>
  <si>
    <t>Mech. Ageing Dev.</t>
  </si>
  <si>
    <t>Mech. Dev.</t>
  </si>
  <si>
    <t>Med. Mal. Metab.</t>
  </si>
  <si>
    <t>Med. Sommeil</t>
  </si>
  <si>
    <t>Med. Droit</t>
  </si>
  <si>
    <t>Med. Mal. Infect.</t>
  </si>
  <si>
    <t>Med. Nucl.</t>
  </si>
  <si>
    <t>Mediators Inflamm.</t>
  </si>
  <si>
    <t>Med. Acupunct.</t>
  </si>
  <si>
    <t>Med. Biol. Eng. Comput.</t>
  </si>
  <si>
    <t>Med. Care</t>
  </si>
  <si>
    <t>Med. Care Res. Rev.</t>
  </si>
  <si>
    <t>Med. Channel</t>
  </si>
  <si>
    <t>Med. Clin. North Am.</t>
  </si>
  <si>
    <t>Med. Devices Evid. Res.</t>
  </si>
  <si>
    <t>Med. Dosim.</t>
  </si>
  <si>
    <t>Med. Educ. Suppl.</t>
  </si>
  <si>
    <t>Med. Eng. Phys.</t>
  </si>
  <si>
    <t>Med. Epigenetics</t>
  </si>
  <si>
    <t>Med. Forum Monthly</t>
  </si>
  <si>
    <t>Med. Gas Res.</t>
  </si>
  <si>
    <t>Med. Hypotheses</t>
  </si>
  <si>
    <t>Med. Image Anal.</t>
  </si>
  <si>
    <t>Med. J. Armed Forces India</t>
  </si>
  <si>
    <t>Med. J. Aust.</t>
  </si>
  <si>
    <t>Med. J. Bakirkoy</t>
  </si>
  <si>
    <t>Med. J. Chin. Peoples Liberation Army</t>
  </si>
  <si>
    <t>Med. J. Malays.</t>
  </si>
  <si>
    <t>Med. J. Mashhad Univ. Med. Sci.</t>
  </si>
  <si>
    <t>Med. J. Minami Osaka Hosp.</t>
  </si>
  <si>
    <t>Med. Law Int.</t>
  </si>
  <si>
    <t>Med. Lett. Drugs Ther.</t>
  </si>
  <si>
    <t>Med. Microbiol. Immunol.</t>
  </si>
  <si>
    <t>Med. Mol. Morphol.</t>
  </si>
  <si>
    <t>Med. Mycol.</t>
  </si>
  <si>
    <t>Med. Mycol. Case Rep.</t>
  </si>
  <si>
    <t>Med. Oncol.</t>
  </si>
  <si>
    <t>Med. Phys.</t>
  </si>
  <si>
    <t>Med. Physiol. Online</t>
  </si>
  <si>
    <t>Med. Princ. Pract.</t>
  </si>
  <si>
    <t>Med. Probl. Perform. Artists</t>
  </si>
  <si>
    <t>Med. Sci. Monit.</t>
  </si>
  <si>
    <t>Med. Ultrasonography</t>
  </si>
  <si>
    <t>Medicare Medicaid Res. Rev.</t>
  </si>
  <si>
    <t>MEDICC Rev.</t>
  </si>
  <si>
    <t>Med. Clin.</t>
  </si>
  <si>
    <t>Med. Clin. Termal.</t>
  </si>
  <si>
    <t>Med. Clin. Monogr.</t>
  </si>
  <si>
    <t>Med. Cutanea Ibero-Lat.-Am.</t>
  </si>
  <si>
    <t>Med. Intensiva</t>
  </si>
  <si>
    <t>Med. Interna Mex.</t>
  </si>
  <si>
    <t>Med. Oral Patol. Oral Cir. Bucal</t>
  </si>
  <si>
    <t>Med. Paliativa</t>
  </si>
  <si>
    <t>Med. Sportiva</t>
  </si>
  <si>
    <t>Med. Chem.</t>
  </si>
  <si>
    <t>Med. Chem. Res.</t>
  </si>
  <si>
    <t>Med. Plants</t>
  </si>
  <si>
    <t>Med. Res. Rev.</t>
  </si>
  <si>
    <t>Med. Today</t>
  </si>
  <si>
    <t>Med. Cas.</t>
  </si>
  <si>
    <t>Med. Glas.</t>
  </si>
  <si>
    <t>Med. Bambino</t>
  </si>
  <si>
    <t>Med.-Leg. Update</t>
  </si>
  <si>
    <t>Mediterr. J. Hematol. Infect. Dis.</t>
  </si>
  <si>
    <t>Mediterr. J. Nutr. Metab.</t>
  </si>
  <si>
    <t>Mediterr. J. Pacing Electrophysiol.</t>
  </si>
  <si>
    <t>Med. Genet.</t>
  </si>
  <si>
    <t>Med. Klin. Intensivmed. Notf.med.</t>
  </si>
  <si>
    <t>Med. Monatsschr. Pharm.</t>
  </si>
  <si>
    <t>Med. Welt</t>
  </si>
  <si>
    <t>Medizintechnik</t>
  </si>
  <si>
    <t>Medscape Gen. Med.</t>
  </si>
  <si>
    <t>Medycyna Paliatywna Praktyce</t>
  </si>
  <si>
    <t>Melanoma Res.</t>
  </si>
  <si>
    <t>J. Breast Health</t>
  </si>
  <si>
    <t>Memo Mag. Euro. Med. Oncol.</t>
  </si>
  <si>
    <t>Ment. Health Phys. Act.</t>
  </si>
  <si>
    <t>Ment. Health Subst. Use: Dual Diagn.</t>
  </si>
  <si>
    <t>Ment. Health Fam. Med.</t>
  </si>
  <si>
    <t>Ment. Illn.</t>
  </si>
  <si>
    <t>MeReC Bull.</t>
  </si>
  <si>
    <t>Metab. Brain Dis.</t>
  </si>
  <si>
    <t>Metab. Eng.</t>
  </si>
  <si>
    <t>Metab. Syndr. Relat. Disord.</t>
  </si>
  <si>
    <t>Metab. Nutr. Oncol.</t>
  </si>
  <si>
    <t>Metab. Clin. Exp.</t>
  </si>
  <si>
    <t>Methods Biotechnol.</t>
  </si>
  <si>
    <t>Methods Enzymol.</t>
  </si>
  <si>
    <t>Methods Mol. Biol.</t>
  </si>
  <si>
    <t>Methods Mol. Med.</t>
  </si>
  <si>
    <t>Methods Pharmacol. Toxicol..</t>
  </si>
  <si>
    <t>Micro. Nano. Lett.</t>
  </si>
  <si>
    <t>Microbes Infect.</t>
  </si>
  <si>
    <t>Microb. Biotechnol.</t>
  </si>
  <si>
    <t>Microb. Cell Fact.</t>
  </si>
  <si>
    <t>Microb. Drug Resist.</t>
  </si>
  <si>
    <t>Microb. Informatics Exp.</t>
  </si>
  <si>
    <t>Microb. Pathog.</t>
  </si>
  <si>
    <t>Microbiol. Immunol.</t>
  </si>
  <si>
    <t>Microbiol. Mol. Biol. Rev.</t>
  </si>
  <si>
    <t>Microbiol. Res.</t>
  </si>
  <si>
    <t>Microvasc. Res.</t>
  </si>
  <si>
    <t>Middle East Afr. J. Ophthalmol.</t>
  </si>
  <si>
    <t>Middle East Fertil. Soc. J.</t>
  </si>
  <si>
    <t>Middle East J. Cancer</t>
  </si>
  <si>
    <t>Mid-Taiwan J. Med.</t>
  </si>
  <si>
    <t>Mikol. Lek.</t>
  </si>
  <si>
    <t>Milbank Q.</t>
  </si>
  <si>
    <t>Milestones Drug Ther.</t>
  </si>
  <si>
    <t>Milli Nevrol. Jurnali</t>
  </si>
  <si>
    <t>Minerva Anestesiol.</t>
  </si>
  <si>
    <t>Minerva Biotecnol.</t>
  </si>
  <si>
    <t>Minerva Cardioangiol.</t>
  </si>
  <si>
    <t>Minerva Endocrinol.</t>
  </si>
  <si>
    <t>Minerva Gastroenterol. Dietol.</t>
  </si>
  <si>
    <t>Minerva Ginecol.</t>
  </si>
  <si>
    <t>Minerva Med.</t>
  </si>
  <si>
    <t>Minerva Pediatr.</t>
  </si>
  <si>
    <t>Minerva Pneumol.</t>
  </si>
  <si>
    <t>Minerva Psichiatr.</t>
  </si>
  <si>
    <t>Minerva Stomatol.</t>
  </si>
  <si>
    <t>Minerva Urol. Nefrol.</t>
  </si>
  <si>
    <t>Minimally Invasive Ther. Allied Technol.</t>
  </si>
  <si>
    <t>Mini-Rev. Med. Chem.</t>
  </si>
  <si>
    <t>MMW-Fortschr. Med.</t>
  </si>
  <si>
    <t>Mob. DNA</t>
  </si>
  <si>
    <t>Mob. Genet. Elem.</t>
  </si>
  <si>
    <t>Mod. Pathol.</t>
  </si>
  <si>
    <t>Mod. Pharm. Res.</t>
  </si>
  <si>
    <t>Mod. Rheumatol.</t>
  </si>
  <si>
    <t>Mod. Trends Pharmacopsychiatry</t>
  </si>
  <si>
    <t>Mol. Biochem. Parasitol.</t>
  </si>
  <si>
    <t>Mol. Cell. Biochem.</t>
  </si>
  <si>
    <t>Mol. Cell. Biol.</t>
  </si>
  <si>
    <t>Mol. Cell. Endocrinol.</t>
  </si>
  <si>
    <t>Mol. Cell. Neurosci.</t>
  </si>
  <si>
    <t>Mol. Cell. Pharmacol.</t>
  </si>
  <si>
    <t>Mol. Cell. Probes</t>
  </si>
  <si>
    <t>Mol. Cell. Proteomics</t>
  </si>
  <si>
    <t>Mol. Cell. Toxicol.</t>
  </si>
  <si>
    <t>Mol. Clin. Oncol.</t>
  </si>
  <si>
    <t>Mol. Asp. Med.</t>
  </si>
  <si>
    <t>Mol. Autism</t>
  </si>
  <si>
    <t>Mol. Biol. Evol.</t>
  </si>
  <si>
    <t>Mol. Biol. Cell</t>
  </si>
  <si>
    <t>Mol. Biol. Rep.</t>
  </si>
  <si>
    <t>Mol. Biotechnol.</t>
  </si>
  <si>
    <t>Mol. Brain</t>
  </si>
  <si>
    <t>Mol. Cancer</t>
  </si>
  <si>
    <t>Mol. Cancer Res.</t>
  </si>
  <si>
    <t>Mol. Cancer Ther.</t>
  </si>
  <si>
    <t>Mol. Carcinog.</t>
  </si>
  <si>
    <t>Mol. Cell</t>
  </si>
  <si>
    <t>Mol. Cytogenet.</t>
  </si>
  <si>
    <t>Mol. Diagn. Ther.</t>
  </si>
  <si>
    <t>Mol. Diversity</t>
  </si>
  <si>
    <t>Mol. Endocrinol.</t>
  </si>
  <si>
    <t>Mol. Genet. Genomics</t>
  </si>
  <si>
    <t>Mol. Genet. Metab.</t>
  </si>
  <si>
    <t>Mol. Genet. Metab. Rep.</t>
  </si>
  <si>
    <t>Mol. Genet. Microbiol. Virol.</t>
  </si>
  <si>
    <t>Mol. Hum. Reprod.</t>
  </si>
  <si>
    <t>Mol. Imaging Biol.</t>
  </si>
  <si>
    <t>Mol. Immunol.</t>
  </si>
  <si>
    <t>Mol. Informatics</t>
  </si>
  <si>
    <t>Mol. Med.</t>
  </si>
  <si>
    <t>Mol. Med. Rep.</t>
  </si>
  <si>
    <t>Mol. Membr. Biol.</t>
  </si>
  <si>
    <t>Mol. Metab.</t>
  </si>
  <si>
    <t>Mol. Microbiol.</t>
  </si>
  <si>
    <t>Mol. Neurobiol.</t>
  </si>
  <si>
    <t>Mol. Neurodegeneration</t>
  </si>
  <si>
    <t>Mol. Oncol.</t>
  </si>
  <si>
    <t>Mol. Oral Microbiol.</t>
  </si>
  <si>
    <t>Mol. Pain</t>
  </si>
  <si>
    <t>Mol. Pharm.</t>
  </si>
  <si>
    <t>Mol. Pharmacol.</t>
  </si>
  <si>
    <t>Mol. Psychiatry</t>
  </si>
  <si>
    <t>Mol. Reprod. Dev.</t>
  </si>
  <si>
    <t>Mol. Syndr.</t>
  </si>
  <si>
    <t>Mol. Syst. Biol.</t>
  </si>
  <si>
    <t>Mol. Ther.</t>
  </si>
  <si>
    <t>Mol. Ther. Nucl. Acids</t>
  </si>
  <si>
    <t>Mol. Vision</t>
  </si>
  <si>
    <t>Mol. Cells</t>
  </si>
  <si>
    <t>Monaldi Arch. Chest Dis. Card. Ser.</t>
  </si>
  <si>
    <t>Monaldi Arch. Chest Dis. Pulm. Ser.</t>
  </si>
  <si>
    <t>Monatsschr. Kinderheilkd.</t>
  </si>
  <si>
    <t>Monoclonal Antibodies Immunodiagn. Immunother.</t>
  </si>
  <si>
    <t>Mot. Control</t>
  </si>
  <si>
    <t>Mov. Disord.</t>
  </si>
  <si>
    <t>Mucosal Immunol.</t>
  </si>
  <si>
    <t>Multidiscip. Resp. Med.</t>
  </si>
  <si>
    <t>Mult. Scler.</t>
  </si>
  <si>
    <t>Mult. Scler. Relat. Disord.</t>
  </si>
  <si>
    <t>Mult. Scler. Int.</t>
  </si>
  <si>
    <t>Mutat. Res. Fundam. Mol. Mech. Mutagen.</t>
  </si>
  <si>
    <t>Mutat. Res. Genet. Toxicol. Environ. Mutagen.</t>
  </si>
  <si>
    <t>Mutat. Res. Rev. Mutat. Res.</t>
  </si>
  <si>
    <t>Mycotoxin Res.</t>
  </si>
  <si>
    <t>Nano Biomed. Eng.</t>
  </si>
  <si>
    <t>Nanomed. Nanotechnol. Biol. Med.</t>
  </si>
  <si>
    <t>Nanotechnology Sci. Appl.</t>
  </si>
  <si>
    <t>Natl. J. Physiol. Pharm. Pharmacol.</t>
  </si>
  <si>
    <t>Nat. Med. J. China</t>
  </si>
  <si>
    <t>Natl. Med. J. India</t>
  </si>
  <si>
    <t>Nat. Comput.</t>
  </si>
  <si>
    <t>Nat. Pro. Comm.</t>
  </si>
  <si>
    <t>Nat. Prod. Res.</t>
  </si>
  <si>
    <t>Nat. Prod. Sci.</t>
  </si>
  <si>
    <t>Nat. Prod. J.</t>
  </si>
  <si>
    <t>Nat. Biotechnol.</t>
  </si>
  <si>
    <t>Nat. Chem. Biol.</t>
  </si>
  <si>
    <t>Nat. Commun.</t>
  </si>
  <si>
    <t>Nat. Genet.</t>
  </si>
  <si>
    <t>Nat. Immunol.</t>
  </si>
  <si>
    <t>Nat. Med.</t>
  </si>
  <si>
    <t>Nat. Methods</t>
  </si>
  <si>
    <t>Nat. Nanotechnol.</t>
  </si>
  <si>
    <t>Nat. Neurosci.</t>
  </si>
  <si>
    <t>Nat. Protoc.</t>
  </si>
  <si>
    <t>Nat. Rev. Cancer</t>
  </si>
  <si>
    <t>Nat. Rev. Cardiol.</t>
  </si>
  <si>
    <t>Nat. Rev. Clin. Oncol.</t>
  </si>
  <si>
    <t>Nat. Rev. Drug Discov.</t>
  </si>
  <si>
    <t>Nat. Rev. Endocrionol.</t>
  </si>
  <si>
    <t>Nat. Rev. Gastroenterol. Hepatol.</t>
  </si>
  <si>
    <t>Nat. Rev. Gen.</t>
  </si>
  <si>
    <t>Nat. Rev. Immunol.</t>
  </si>
  <si>
    <t>Nat. Rev. Microbiol.</t>
  </si>
  <si>
    <t>Nat. Rev. Mol. Cell Biol.</t>
  </si>
  <si>
    <t>Nat. Rev. Nephrol.</t>
  </si>
  <si>
    <t>Nat. Rev. Neurol.</t>
  </si>
  <si>
    <t>Nat. Rev. Neurosci.</t>
  </si>
  <si>
    <t>Nat. Rev. Rheumatol.</t>
  </si>
  <si>
    <t>Nat. Rev. Urol.</t>
  </si>
  <si>
    <t>Nat. Struct. Mol. Biol.</t>
  </si>
  <si>
    <t>Naunyn-Schmiedeberg's Arch. Pharmacol.</t>
  </si>
  <si>
    <t>NCRP Rep.</t>
  </si>
  <si>
    <t>Ned. Tijdschr. Dermatol. Venereol.</t>
  </si>
  <si>
    <t>Ned. Tijdschr. Geneeskd.</t>
  </si>
  <si>
    <t>Ned. Tijdschr. Klin. Chem. Lab. Geneeskd.</t>
  </si>
  <si>
    <t>Nepal J. Epidemiol.</t>
  </si>
  <si>
    <t>Nephrol. Ther.</t>
  </si>
  <si>
    <t>Nephrol. Dial. Transplant.</t>
  </si>
  <si>
    <t>Nephrol. Rev.</t>
  </si>
  <si>
    <t>Nephron Clin. Pract.</t>
  </si>
  <si>
    <t>Nephron Exp. Nephrol.</t>
  </si>
  <si>
    <t>Nephron Physiol.</t>
  </si>
  <si>
    <t>Neth. Heart J.</t>
  </si>
  <si>
    <t>Neth. J. Crit. Care</t>
  </si>
  <si>
    <t>Neth. J. Med.</t>
  </si>
  <si>
    <t>Netw. Model. Anal. Health Informatics Bioinformatics</t>
  </si>
  <si>
    <t>Neural Dev.</t>
  </si>
  <si>
    <t>Neural Netw.</t>
  </si>
  <si>
    <t>Neural Plast.</t>
  </si>
  <si>
    <t>Neural. Regen. Res.</t>
  </si>
  <si>
    <t>Neurobehav. HIV Med.</t>
  </si>
  <si>
    <t>Neurobiol. Aging</t>
  </si>
  <si>
    <t>Neurobiol. Dis.</t>
  </si>
  <si>
    <t>Neurobiol. Learn. Mem.</t>
  </si>
  <si>
    <t>Neurochem. Res.</t>
  </si>
  <si>
    <t>Neurochem. Int.</t>
  </si>
  <si>
    <t>Neurocrit. Care</t>
  </si>
  <si>
    <t>Neurodegenerative Dis. Manage.</t>
  </si>
  <si>
    <t>Neurodegenerative Dis.</t>
  </si>
  <si>
    <t>Neuroendocrinol. Lett.</t>
  </si>
  <si>
    <t>Neurogastroenterol. Motil.</t>
  </si>
  <si>
    <t>NeuroImage Clin.</t>
  </si>
  <si>
    <t>Neuroimaging Clin. North Am.</t>
  </si>
  <si>
    <t>NeuroImmunomodulation</t>
  </si>
  <si>
    <t>Neurol. Argent.</t>
  </si>
  <si>
    <t>Neurol. Croatica</t>
  </si>
  <si>
    <t>Neurol. Neurochir. Pol.</t>
  </si>
  <si>
    <t>Neurol. Med.-Chir.</t>
  </si>
  <si>
    <t>Neurol. Supl.</t>
  </si>
  <si>
    <t>Neurol. Neurocir. Psiquiatr.</t>
  </si>
  <si>
    <t>Neurol. Clin.</t>
  </si>
  <si>
    <t>Neurol. Res.</t>
  </si>
  <si>
    <t>Neurol. Sci.</t>
  </si>
  <si>
    <t>Neurol. Surg.</t>
  </si>
  <si>
    <t>Neurol. Rehabil.</t>
  </si>
  <si>
    <t>Neurol. Clin. Neurosci.</t>
  </si>
  <si>
    <t>Neurol. Ther.</t>
  </si>
  <si>
    <t>Neurol. Asia</t>
  </si>
  <si>
    <t>Neurol. India</t>
  </si>
  <si>
    <t>Neurol. Int.</t>
  </si>
  <si>
    <t>Neurol. Psychiatry Brain Res.</t>
  </si>
  <si>
    <t>Neurol. Res. Int.</t>
  </si>
  <si>
    <t>Neurol. Neurophysiol. Neurosci.</t>
  </si>
  <si>
    <t>Neurol. Clin. Pract.</t>
  </si>
  <si>
    <t>NeuroMol. Med.</t>
  </si>
  <si>
    <t>Neuromuscular Disord.</t>
  </si>
  <si>
    <t>Neuron Glia Biol.</t>
  </si>
  <si>
    <t>Neuro-Ophthalmol. Jpn.</t>
  </si>
  <si>
    <t>Neuropathol. Dis.</t>
  </si>
  <si>
    <t>Neuropathol. Appl. Neurobiol.</t>
  </si>
  <si>
    <t>Neurophysiol. Clin.</t>
  </si>
  <si>
    <t>Neurophysiol.-Labor</t>
  </si>
  <si>
    <t>Neuropsychiatr. Neuropsychologia</t>
  </si>
  <si>
    <t>Neuropsychiatr. Dis. Treat.</t>
  </si>
  <si>
    <t>Neuropsychiatr. Enfance Adolesc.</t>
  </si>
  <si>
    <t>Neuroradiol. J.</t>
  </si>
  <si>
    <t>Neurorehabil. Neural Repair</t>
  </si>
  <si>
    <t>Neurosci. Behav. Physiol.</t>
  </si>
  <si>
    <t>Neurosci. Biobehav. Rev.</t>
  </si>
  <si>
    <t>Neuroscience Biomed. Eng.</t>
  </si>
  <si>
    <t>Neurosci. Bull.</t>
  </si>
  <si>
    <t>Neurosci. Imaging</t>
  </si>
  <si>
    <t>Neurosci. Lett.</t>
  </si>
  <si>
    <t>Neurosci. Res.</t>
  </si>
  <si>
    <t>Neurosurg. Clin. North Am.</t>
  </si>
  <si>
    <t>Neurosurg. Q.</t>
  </si>
  <si>
    <t>Neurosurg. Rev.</t>
  </si>
  <si>
    <t>Neurotoxic. Res.</t>
  </si>
  <si>
    <t>Neurotoxicol. Teratol.</t>
  </si>
  <si>
    <t>Neurourol. Urodyn.</t>
  </si>
  <si>
    <t>New Armenian Med. J.</t>
  </si>
  <si>
    <t>New Biotechnol.</t>
  </si>
  <si>
    <t>New Dev. Med. Chem.</t>
  </si>
  <si>
    <t>New Engl. J. Med.</t>
  </si>
  <si>
    <t>New Genet. Soc.</t>
  </si>
  <si>
    <t>New J. Chem.</t>
  </si>
  <si>
    <t>New Med.</t>
  </si>
  <si>
    <t>New Zealand J. Med. Lab. Sci.</t>
  </si>
  <si>
    <t>New Zealand Med. J.</t>
  </si>
  <si>
    <t>New Zealand Public Health Surveill. Rep.</t>
  </si>
  <si>
    <t>Next Gener. Pharm.</t>
  </si>
  <si>
    <t>Nicotine Tob. Res.</t>
  </si>
  <si>
    <t>NIDA Res. Monogr. Ser.</t>
  </si>
  <si>
    <t>Nieren- Hochdruckkr.</t>
  </si>
  <si>
    <t>Niger. J. Parasitol.</t>
  </si>
  <si>
    <t>Nishinihon J. Dermatol.</t>
  </si>
  <si>
    <t>Nitric Oxide Biol. Chem.</t>
  </si>
  <si>
    <t>Nitte Univ. J. Health Sci.</t>
  </si>
  <si>
    <t>NMR Biomed.</t>
  </si>
  <si>
    <t>Nobel Med.</t>
  </si>
  <si>
    <t>Nonlinear Biomed. Phys.</t>
  </si>
  <si>
    <t>Nord. J. Psychiatry</t>
  </si>
  <si>
    <t>Noropsikiyatr. Ars.</t>
  </si>
  <si>
    <t>Nor. Epidemiol.</t>
  </si>
  <si>
    <t>North Am. J. Med. Sci.</t>
  </si>
  <si>
    <t>North West London J. Gen. Pract.</t>
  </si>
  <si>
    <t>Notf. Rettungsmed.</t>
  </si>
  <si>
    <t>Nouv. Dermatol.</t>
  </si>
  <si>
    <t>Nucl. Med. Biol.</t>
  </si>
  <si>
    <t>Nucl. Med. Mol. Imaging</t>
  </si>
  <si>
    <t>Nucl. Med. Commun.</t>
  </si>
  <si>
    <t>Nucl. Med. Rev.</t>
  </si>
  <si>
    <t>Nucleic Acid Therape.</t>
  </si>
  <si>
    <t>Nucleic Acids Res.</t>
  </si>
  <si>
    <t>Nurs. Crit. Care</t>
  </si>
  <si>
    <t>Nutr. Cancer</t>
  </si>
  <si>
    <t>Nutr. Diabetes</t>
  </si>
  <si>
    <t>Nutr. Metab.</t>
  </si>
  <si>
    <t>Nutr. Clin. Metab.</t>
  </si>
  <si>
    <t>Nutr. Clin. Prac.</t>
  </si>
  <si>
    <t>Nutr. J.</t>
  </si>
  <si>
    <t>Nutr. Res.</t>
  </si>
  <si>
    <t>Nut. Res. Rev.</t>
  </si>
  <si>
    <t>Nutr. Rev.</t>
  </si>
  <si>
    <t>Nutr. Metab. Cardiovasc. Dis.</t>
  </si>
  <si>
    <t>Nutr. Neurosci.</t>
  </si>
  <si>
    <t>Nutr. Sci. J.</t>
  </si>
  <si>
    <t>Obes. Metab.</t>
  </si>
  <si>
    <t>Obes. Facts</t>
  </si>
  <si>
    <t>Obes. Res. Clin. Pract.</t>
  </si>
  <si>
    <t>Obes. Rev.</t>
  </si>
  <si>
    <t>Obes. Surg.</t>
  </si>
  <si>
    <t>Obstetric Med.</t>
  </si>
  <si>
    <t>Obstet. Ginecol.</t>
  </si>
  <si>
    <t>Obstet. Gynecol. Surv.</t>
  </si>
  <si>
    <t>Obstet. Gynaecol.Forum</t>
  </si>
  <si>
    <t>Obstet. Gynecol.</t>
  </si>
  <si>
    <t>Obstet. Gynecol. Clin. North Am.</t>
  </si>
  <si>
    <t>Obstet. Gynaecol. Reprod. Med.</t>
  </si>
  <si>
    <t>Occup. Environ. Med.</t>
  </si>
  <si>
    <t>Occup. Ther. Health Care</t>
  </si>
  <si>
    <t>Ochsner J.</t>
  </si>
  <si>
    <t>Ocul. Immunol. Inflamm.</t>
  </si>
  <si>
    <t>Ocul. Surf.</t>
  </si>
  <si>
    <t>Oman Med. J.</t>
  </si>
  <si>
    <t>OMICS J. Integr. Biol.</t>
  </si>
  <si>
    <t>Oncol. Lett.</t>
  </si>
  <si>
    <t>Oncol. Rep.</t>
  </si>
  <si>
    <t>Oncol. Res.</t>
  </si>
  <si>
    <t>Onkol. Radioter.</t>
  </si>
  <si>
    <t>Onkol. Pols.</t>
  </si>
  <si>
    <t>Ont. Health Technol. Assess. Ser.</t>
  </si>
  <si>
    <t>Open Access Emerg. Med.</t>
  </si>
  <si>
    <t>Open Access J. Clin.</t>
  </si>
  <si>
    <t>Open Access J. Med. Aromat. Plants</t>
  </si>
  <si>
    <t>Open Access Rheumatol. Res. Rev.</t>
  </si>
  <si>
    <t>Open AIDS J.</t>
  </si>
  <si>
    <t>Open Allergy J.</t>
  </si>
  <si>
    <t>Open Androl. J.</t>
  </si>
  <si>
    <t>Open Anesthesiol. J.</t>
  </si>
  <si>
    <t>Open Antimicrob. Agents J.</t>
  </si>
  <si>
    <t>Open Arthritis J.</t>
  </si>
  <si>
    <t>Open Autoimmun. J.</t>
  </si>
  <si>
    <t>Open Bioact. Compd. J.</t>
  </si>
  <si>
    <t>Open Biochem J.</t>
  </si>
  <si>
    <t>Open Bioinformatics J.</t>
  </si>
  <si>
    <t>Open Biomarkers J.</t>
  </si>
  <si>
    <t>Open Biomed. Eng. J.</t>
  </si>
  <si>
    <t>Open Biotechnol. J.</t>
  </si>
  <si>
    <t>Open Bone J.</t>
  </si>
  <si>
    <t>Open Breast Cancer J.</t>
  </si>
  <si>
    <t>Open Cancer Immunol. J.</t>
  </si>
  <si>
    <t>Open Cancer J.</t>
  </si>
  <si>
    <t>Open Cardiovasc. Imaging J.</t>
  </si>
  <si>
    <t>Open Cardiovasc. Med. J.</t>
  </si>
  <si>
    <t>Open Chem. Biomed. Methods J.</t>
  </si>
  <si>
    <t>Open Clin. Cancer J.</t>
  </si>
  <si>
    <t>Open Clin. Chem. J.</t>
  </si>
  <si>
    <t>Open Clin. Trials J.</t>
  </si>
  <si>
    <t>Open Colorectal Cancer J.</t>
  </si>
  <si>
    <t>Open Complementary Med. J.</t>
  </si>
  <si>
    <t>Open Crit. Care Med. J.</t>
  </si>
  <si>
    <t>Open Dermatol. J.</t>
  </si>
  <si>
    <t>Open Diabetes J.</t>
  </si>
  <si>
    <t>Open Drug Deliv. J.</t>
  </si>
  <si>
    <t>Open Drug Discov. J.</t>
  </si>
  <si>
    <t>Open Drug Metab. J.</t>
  </si>
  <si>
    <t>Open Drug Saf. J.</t>
  </si>
  <si>
    <t>Open Enzyme Inhib. J.</t>
  </si>
  <si>
    <t>Open Gene Ther. J.</t>
  </si>
  <si>
    <t>Open Genomics J.</t>
  </si>
  <si>
    <t>Open Health Serv. Policy J.</t>
  </si>
  <si>
    <t>Open Heart Fail. J.</t>
  </si>
  <si>
    <t>Open Hematol. J.</t>
  </si>
  <si>
    <t>Open Hypertens. J.</t>
  </si>
  <si>
    <t>Open Immunol. J.</t>
  </si>
  <si>
    <t>Open Infect. Dis. J.</t>
  </si>
  <si>
    <t>Open Inflamm. J.</t>
  </si>
  <si>
    <t>Open J. Cardiol.</t>
  </si>
  <si>
    <t>Open J. Hematol.</t>
  </si>
  <si>
    <t>Open J. Pharmacol.</t>
  </si>
  <si>
    <t>Open Longevity Sci.</t>
  </si>
  <si>
    <t>Open Lung Cancer J.</t>
  </si>
  <si>
    <t>Open Magn. Reson. J.</t>
  </si>
  <si>
    <t>Open Med. Dev. J.</t>
  </si>
  <si>
    <t>Open Med. Imaging J.</t>
  </si>
  <si>
    <t>Open Med. Chem. J.</t>
  </si>
  <si>
    <t>Open Microbiol. J.</t>
  </si>
  <si>
    <t>Open Nanomed. J.</t>
  </si>
  <si>
    <t>Open Nat. Prod. J.</t>
  </si>
  <si>
    <t>Open Neuroendocrinol. J.</t>
  </si>
  <si>
    <t>Open Neurol. J.</t>
  </si>
  <si>
    <t>Open Neuropsychopharamacol. J.</t>
  </si>
  <si>
    <t>Open Neurosurg. J.</t>
  </si>
  <si>
    <t>Open Nucl. Med. J.</t>
  </si>
  <si>
    <t>Open Nutraceuticals J.</t>
  </si>
  <si>
    <t>Open Obes. J.</t>
  </si>
  <si>
    <t>Open Ophthalmol. J.</t>
  </si>
  <si>
    <t>Open Pacing, Electrophysiol. Ther. J.</t>
  </si>
  <si>
    <t>Open Pain J.</t>
  </si>
  <si>
    <t>Open Parasitol. J.</t>
  </si>
  <si>
    <t>Open Pathol. J.</t>
  </si>
  <si>
    <t>Open Pharmacoecon. Health Econ. J.</t>
  </si>
  <si>
    <t>Open Pharmacol. J.</t>
  </si>
  <si>
    <t>Open Prostate Cancer J.</t>
  </si>
  <si>
    <t>Open Proteomics J.</t>
  </si>
  <si>
    <t>Open Public Health J.</t>
  </si>
  <si>
    <t>Open Respir. Med. J.</t>
  </si>
  <si>
    <t>Open Rheumatol. J.</t>
  </si>
  <si>
    <t>Open Spine J.</t>
  </si>
  <si>
    <t>Open Stem Cell J.</t>
  </si>
  <si>
    <t>Open Struct. Biol. J.</t>
  </si>
  <si>
    <t>Open Surg. Oncol. J.</t>
  </si>
  <si>
    <t>Open Tissue Eng. Regen. Med. J.</t>
  </si>
  <si>
    <t>Open Toxicol. J.</t>
  </si>
  <si>
    <t>Open Toxinology J.</t>
  </si>
  <si>
    <t>Open Transl. Med. J.</t>
  </si>
  <si>
    <t>Open Transplant. J.</t>
  </si>
  <si>
    <t>Open Trop. Med. J.</t>
  </si>
  <si>
    <t>Open Urol. Nephrol. J.</t>
  </si>
  <si>
    <t>Open Vaccine J.</t>
  </si>
  <si>
    <t>Open Women's Health J.</t>
  </si>
  <si>
    <t>Oper. Orthop. Traumatol.</t>
  </si>
  <si>
    <t>Oper. Tech. Orthop.</t>
  </si>
  <si>
    <t>Oper. Tech. Otolaryngol. Head Neck Surg.</t>
  </si>
  <si>
    <t>Oper. Tech. Sports Med.</t>
  </si>
  <si>
    <t>Oper. Tech. Thorac. Cardiovasc. Surg.</t>
  </si>
  <si>
    <t>Ophthalmic Epidemiol.</t>
  </si>
  <si>
    <t>Ophthalmic Genet.</t>
  </si>
  <si>
    <t>Ophthalmic Plast. Reconstr. Surg.</t>
  </si>
  <si>
    <t>Ophthalmic Res.</t>
  </si>
  <si>
    <t>Ophthalmic Surg. Lasers Imaging</t>
  </si>
  <si>
    <t>Ophthalmic Surg. Lasers Imaging Retina</t>
  </si>
  <si>
    <t>Ophthalmol. Ther.</t>
  </si>
  <si>
    <t>Oral Dis.</t>
  </si>
  <si>
    <t>Oral Oncol.</t>
  </si>
  <si>
    <t>Oral Radiol.</t>
  </si>
  <si>
    <t>Oral Ther. Pharmacol.</t>
  </si>
  <si>
    <t>Org. Med. Chem. Lett.</t>
  </si>
  <si>
    <t>Orient. Pharm. Exp. Med.</t>
  </si>
  <si>
    <t>Orphanet J. Rare Dis.</t>
  </si>
  <si>
    <t>Orthop. J. Sports Med.</t>
  </si>
  <si>
    <t>Orthop. Trauma</t>
  </si>
  <si>
    <t>Orthop. Traumatol.: Surg. Res.</t>
  </si>
  <si>
    <t>Orthop. Clin. North Am.</t>
  </si>
  <si>
    <t>Orthop. Rev.</t>
  </si>
  <si>
    <t>Orvosi Hetil.</t>
  </si>
  <si>
    <t>Osong Public Health Res. Perspect.</t>
  </si>
  <si>
    <t>Osteol. Bull.</t>
  </si>
  <si>
    <t>Osteopath. Fam. Phys.</t>
  </si>
  <si>
    <t>Osteopath. Med.</t>
  </si>
  <si>
    <t>Osteoporosis Int.</t>
  </si>
  <si>
    <t>OTJR Occup. Part. Health</t>
  </si>
  <si>
    <t>Otolaryngol. Pol.</t>
  </si>
  <si>
    <t>Otolaryngol. Clin. North Am.</t>
  </si>
  <si>
    <t>Otolaryngol. Head Neck Surg.</t>
  </si>
  <si>
    <t>Otorhinolaryngol. Clin.</t>
  </si>
  <si>
    <t>Oto-Rhino-Laryngol. Tokyo</t>
  </si>
  <si>
    <t>Outlines Pharm. Sci.</t>
  </si>
  <si>
    <t>Oxidative Med. Cell. Longevity</t>
  </si>
  <si>
    <t>P T</t>
  </si>
  <si>
    <t>PACE Pacing Clin. Electrophysiol.</t>
  </si>
  <si>
    <t>Padiatr. Prax.</t>
  </si>
  <si>
    <t>Paediatr. Croat.</t>
  </si>
  <si>
    <t>Paediatr. Anaesth.</t>
  </si>
  <si>
    <t>Paediatr. Perinat. Drug Ther.</t>
  </si>
  <si>
    <t>Paediatr. Perinat. Epidemiol.</t>
  </si>
  <si>
    <t>Paediatr. Respir. Rev.</t>
  </si>
  <si>
    <t>Paediatr. Child Health</t>
  </si>
  <si>
    <t>Pain Ther.</t>
  </si>
  <si>
    <t>Pain Manage.</t>
  </si>
  <si>
    <t>Pain Med.</t>
  </si>
  <si>
    <t>Pain Phys.</t>
  </si>
  <si>
    <t>Pain Pract.</t>
  </si>
  <si>
    <t>Pain Res. Manage.</t>
  </si>
  <si>
    <t>Pak. J. Biotechnol.</t>
  </si>
  <si>
    <t>Pak. J. Med. Health Sci.</t>
  </si>
  <si>
    <t>Pak. J. Med. Sci.</t>
  </si>
  <si>
    <t>Pak. J. Nutr.</t>
  </si>
  <si>
    <t>Pak. J. Pharma. Sci.</t>
  </si>
  <si>
    <t>Pak. Paediatr. J.</t>
  </si>
  <si>
    <t>Palliative Med.</t>
  </si>
  <si>
    <t>Pan Afr. Med. J.</t>
  </si>
  <si>
    <t>Pan Arab J. Neurosurg.</t>
  </si>
  <si>
    <t>Parasite Immunol.</t>
  </si>
  <si>
    <t>Parasites Vectors</t>
  </si>
  <si>
    <t>Parasitol. Int.</t>
  </si>
  <si>
    <t>Parasitol. Res.</t>
  </si>
  <si>
    <t>Parkinsonism Relat. Disord.</t>
  </si>
  <si>
    <t>Parkinson's Dis.</t>
  </si>
  <si>
    <t>Part. Fibre Toxicol.</t>
  </si>
  <si>
    <t>Part. Sci. Technol.</t>
  </si>
  <si>
    <t>Pathobiol. Aging Age-related Dis.</t>
  </si>
  <si>
    <t>Pathog. Dis.</t>
  </si>
  <si>
    <t>Pathog. Global Health</t>
  </si>
  <si>
    <t>Pathol. Biol.</t>
  </si>
  <si>
    <t>Pathol. Oncol. Res.</t>
  </si>
  <si>
    <t>Pathol. Case Rev.</t>
  </si>
  <si>
    <t>Pathol. Int.</t>
  </si>
  <si>
    <t>Pathol. Res. Pract.</t>
  </si>
  <si>
    <t>Patient Educ. Couns.</t>
  </si>
  <si>
    <t>Patient Preference Adherence</t>
  </si>
  <si>
    <t>Patient Saf. Surg.</t>
  </si>
  <si>
    <t>PDA J. Pharm. Sci. Technol.</t>
  </si>
  <si>
    <t>Pediatr. Catalana</t>
  </si>
  <si>
    <t>Pediatr. Med. Rodzinna</t>
  </si>
  <si>
    <t>Pediatr. Integr.</t>
  </si>
  <si>
    <t>Pediatr. Pol.</t>
  </si>
  <si>
    <t>Pediatr. Wspolczesna</t>
  </si>
  <si>
    <t>Pediatr. Allergy Immunol.</t>
  </si>
  <si>
    <t>Pediatr. Dev. Pathol.</t>
  </si>
  <si>
    <t>Pediatr. Ann.</t>
  </si>
  <si>
    <t>Pediatr. Blood Cancer</t>
  </si>
  <si>
    <t>Pediatr. Cardiol.</t>
  </si>
  <si>
    <t>Pediatr. Clin. North Am.</t>
  </si>
  <si>
    <t>Pediatr. Crit. Care Med.</t>
  </si>
  <si>
    <t>Pediatr. Dermatol.</t>
  </si>
  <si>
    <t>Pediatr. Diabetes</t>
  </si>
  <si>
    <t>Pediatr. Drugs</t>
  </si>
  <si>
    <t>Pediatr. Emerg. Care</t>
  </si>
  <si>
    <t>Pediatr. Endocrinol. Rev.</t>
  </si>
  <si>
    <t>Pediatr. Endocrinolog. Diabetes Metabol.</t>
  </si>
  <si>
    <t>Pediatr. Hematol. Oncol.</t>
  </si>
  <si>
    <t>Pediatr. Infect. Dis. J.</t>
  </si>
  <si>
    <t>Pediatr. Nephrol.</t>
  </si>
  <si>
    <t>Pediatr. Neurol.</t>
  </si>
  <si>
    <t>Pediatr. Neurosurg.</t>
  </si>
  <si>
    <t>Pediatr. Obes.</t>
  </si>
  <si>
    <t>Pediatr. Pulmonol.</t>
  </si>
  <si>
    <t>Pediatr. Radiol.</t>
  </si>
  <si>
    <t>Pediatr. Rep.</t>
  </si>
  <si>
    <t>Pediatr. Res.</t>
  </si>
  <si>
    <t>Pediatr. Rheumatol.</t>
  </si>
  <si>
    <t>Pediatr. Surg. Int.</t>
  </si>
  <si>
    <t>Pediatr. Transplant.</t>
  </si>
  <si>
    <t>Pediatr. Allergy Immunol. Pulmonol.</t>
  </si>
  <si>
    <t>Pediatr. Neonatol.</t>
  </si>
  <si>
    <t>Pediatr. Rev.</t>
  </si>
  <si>
    <t>Pediatr. Int.</t>
  </si>
  <si>
    <t>Pediatr. Pro Praxi</t>
  </si>
  <si>
    <t>Period. Biol.</t>
  </si>
  <si>
    <t>Perioperative Med.</t>
  </si>
  <si>
    <t>Peritoneal Dial. Int.</t>
  </si>
  <si>
    <t>Personalized Med.</t>
  </si>
  <si>
    <t>Pers. Med. Universe</t>
  </si>
  <si>
    <t>Perspect. Med. Chem.</t>
  </si>
  <si>
    <t>Perspect. Med.</t>
  </si>
  <si>
    <t>Perspect. Public Health</t>
  </si>
  <si>
    <t>Perspect. Vaccinol.</t>
  </si>
  <si>
    <t>Perspect. Vasc. Surg. Endovasc. Ther.</t>
  </si>
  <si>
    <t>PET Clin.</t>
  </si>
  <si>
    <t>Pflug. Arch. Eur. J. Physiol.</t>
  </si>
  <si>
    <t>Pharma Res.</t>
  </si>
  <si>
    <t>Pharm. Biol.</t>
  </si>
  <si>
    <t>Pharm. Care Res.</t>
  </si>
  <si>
    <t>Pharm. Care Espana</t>
  </si>
  <si>
    <t>Pharm. Chem. J.</t>
  </si>
  <si>
    <t>Pharm. Crops</t>
  </si>
  <si>
    <t>Pharm. Dev. Technol.</t>
  </si>
  <si>
    <t>Pharm. Eng.</t>
  </si>
  <si>
    <t>Pharm. J.</t>
  </si>
  <si>
    <t>Pharm. Manuf. Pack. Sourcer</t>
  </si>
  <si>
    <t>Pharm. Med.</t>
  </si>
  <si>
    <t>Pharm. Method</t>
  </si>
  <si>
    <t>Pharm. Nanotechnology</t>
  </si>
  <si>
    <t>Pharm. Outsourcing</t>
  </si>
  <si>
    <t>Pharm. Process.</t>
  </si>
  <si>
    <t>Pharm. Res.</t>
  </si>
  <si>
    <t>Pharm. Rev.</t>
  </si>
  <si>
    <t>Pharm. Sci.</t>
  </si>
  <si>
    <t>Pharm. Stat.</t>
  </si>
  <si>
    <t>Pharm. Technol. (PT)(North America)</t>
  </si>
  <si>
    <t>Pharm. Technol. Eur.</t>
  </si>
  <si>
    <t>Pharm. Policy Law</t>
  </si>
  <si>
    <t>Pharm. Weekbl.</t>
  </si>
  <si>
    <t>Pharm. Weekbl. Wet. Platform</t>
  </si>
  <si>
    <t>Pharm. Globale</t>
  </si>
  <si>
    <t>Pharmacien Hospitalier Clinicien</t>
  </si>
  <si>
    <t>PharmacoEcon. Ital. Res. Artic.</t>
  </si>
  <si>
    <t>Pharmacoepidemiol. Drug Saf.</t>
  </si>
  <si>
    <t>Pharmacogenet. Genomics</t>
  </si>
  <si>
    <t>Pharmacogenomics J.</t>
  </si>
  <si>
    <t>Pharmacogn J.</t>
  </si>
  <si>
    <t>Pharmacogn. Mag.</t>
  </si>
  <si>
    <t>Pharmacogn. Res.</t>
  </si>
  <si>
    <t>Pharmacogn. Rev.</t>
  </si>
  <si>
    <t>Pharmacol. Rep.</t>
  </si>
  <si>
    <t>Pharmacol. Res.</t>
  </si>
  <si>
    <t>Pharmacol. Rev.</t>
  </si>
  <si>
    <t>Pharmacol. Ther.</t>
  </si>
  <si>
    <t>Pharmacol. Biochem. Behav.</t>
  </si>
  <si>
    <t>PharmacoVigilance Rev.</t>
  </si>
  <si>
    <t>Pharm. Educ.</t>
  </si>
  <si>
    <t>Pharm. Pract.</t>
  </si>
  <si>
    <t>Pharm. Times</t>
  </si>
  <si>
    <t>Pharma-Krit.</t>
  </si>
  <si>
    <t>Pharm. Ind.</t>
  </si>
  <si>
    <t>Pharm. Ztg.</t>
  </si>
  <si>
    <t>Philipp. J. Intern. Med.</t>
  </si>
  <si>
    <t>Photodermatol. Photoimmunol. Photomed.</t>
  </si>
  <si>
    <t>Photodiagn. Photodyn. Ther.</t>
  </si>
  <si>
    <t>Photonics Lasers Med.</t>
  </si>
  <si>
    <t>Phys. Med.</t>
  </si>
  <si>
    <t>Phys. Med. Rehabil. Clin. North Am.</t>
  </si>
  <si>
    <t>Phys. Ther. Sport</t>
  </si>
  <si>
    <t>Phys. Sportsmed.</t>
  </si>
  <si>
    <t>Physiol. Genomics</t>
  </si>
  <si>
    <t>Physiol. Rev.</t>
  </si>
  <si>
    <t>Physiol. Behav.</t>
  </si>
  <si>
    <t>Physiol. Pharmacol.</t>
  </si>
  <si>
    <t>Phytochem. Anal.</t>
  </si>
  <si>
    <t>Phytochem. Lett.</t>
  </si>
  <si>
    <t>Phytochem. Rev.</t>
  </si>
  <si>
    <t>Phytother. Eur.</t>
  </si>
  <si>
    <t>Phytother. Res.</t>
  </si>
  <si>
    <t>Pigm. Cell Melanoma Res.</t>
  </si>
  <si>
    <t>Planta Med.</t>
  </si>
  <si>
    <t>Plasma Med.</t>
  </si>
  <si>
    <t>Plasticidad Restauracion Neurol.</t>
  </si>
  <si>
    <t>PloS Biol.</t>
  </si>
  <si>
    <t>PLoS Comput. Biol.</t>
  </si>
  <si>
    <t>PLoS Genet.</t>
  </si>
  <si>
    <t>PLoS Med.</t>
  </si>
  <si>
    <t>PLoS. Negl. Trop. Dis.</t>
  </si>
  <si>
    <t>PLoS Pathog.</t>
  </si>
  <si>
    <t>Pol. Ann. Med.</t>
  </si>
  <si>
    <t>Pol. J. Med. Phys. Eng.</t>
  </si>
  <si>
    <t>Pol. J. Microbiol.</t>
  </si>
  <si>
    <t>Pol. J. Radiol.</t>
  </si>
  <si>
    <t>Pol. Prz. Kardiol.</t>
  </si>
  <si>
    <t>Pol. Arch. Med. Wewn.</t>
  </si>
  <si>
    <t>Popul. Heath. Manage.</t>
  </si>
  <si>
    <t>Popul. Health Metr.</t>
  </si>
  <si>
    <t>Postepy Dermatol. Alergol.</t>
  </si>
  <si>
    <t>Postepy Mikrobiol.</t>
  </si>
  <si>
    <t>Postepy Psychiatri. Neurol.</t>
  </si>
  <si>
    <t>Postepy Kardiol. Interwencyjnej</t>
  </si>
  <si>
    <t>Postgrad. Med. J.</t>
  </si>
  <si>
    <t>Powder Technol.</t>
  </si>
  <si>
    <t>PPAR Res.</t>
  </si>
  <si>
    <t>PPmP Psychother. Psychosom. Med. Psychol.</t>
  </si>
  <si>
    <t>Pract. Diabetes</t>
  </si>
  <si>
    <t>Pract. Gastroenterol.</t>
  </si>
  <si>
    <t>Pract. Radiat. Oncol.</t>
  </si>
  <si>
    <t>Prat. Neurol. FMC</t>
  </si>
  <si>
    <t>Pravara Med. Rev.</t>
  </si>
  <si>
    <t>Pravent. Rehabil.</t>
  </si>
  <si>
    <t>Pregnancy Hypertens.</t>
  </si>
  <si>
    <t>Prenat. Diagn.</t>
  </si>
  <si>
    <t>Prescrire Int.</t>
  </si>
  <si>
    <t>Presse Med.</t>
  </si>
  <si>
    <t>Prev. Cardiol.</t>
  </si>
  <si>
    <t>Prev. Med.</t>
  </si>
  <si>
    <t>Prim. Care Clin. Off. Pract.</t>
  </si>
  <si>
    <t>Prim. Care Cardiovasc. J.</t>
  </si>
  <si>
    <t>Prim. Care Companion J. Clin. Psych.</t>
  </si>
  <si>
    <t>Prim. Care Diabetes</t>
  </si>
  <si>
    <t>Prim. Care Respir. J.</t>
  </si>
  <si>
    <t>Prim. Psychiatry</t>
  </si>
  <si>
    <t>Probiotics Antimicrob. Proteins</t>
  </si>
  <si>
    <t>Probl. Infect. Parasit. Dis.</t>
  </si>
  <si>
    <t>Procedia Vaccinology</t>
  </si>
  <si>
    <t>Proc. Singapore Healthcare</t>
  </si>
  <si>
    <t>Proc. Control. Release Soc.</t>
  </si>
  <si>
    <t>Proc. Natl. Acad. Sci. U. S. A.</t>
  </si>
  <si>
    <t>Proc. Nutr. Soc.</t>
  </si>
  <si>
    <t>Proc. West. Pharmacol. Soc.</t>
  </si>
  <si>
    <t>Profiles Drug Subst. Excipients Relat. Methodol.</t>
  </si>
  <si>
    <t>Prog. Obstet. Ginecol.</t>
  </si>
  <si>
    <t>Prog. Biomater.</t>
  </si>
  <si>
    <t>Prog. Brain Res.</t>
  </si>
  <si>
    <t>Prog. Cardiovasc. Dis.</t>
  </si>
  <si>
    <t>Prog. Drug Res.</t>
  </si>
  <si>
    <t>Progr. Histochem. Cytochem.</t>
  </si>
  <si>
    <t>Prog. Lipid Res.</t>
  </si>
  <si>
    <t>Prog. Med. Chem.</t>
  </si>
  <si>
    <t>Prog. Mol. Biol. Transl. Sci.</t>
  </si>
  <si>
    <t>Prog. Neurobiol.</t>
  </si>
  <si>
    <t>Prog. Neurol. Psychiatry</t>
  </si>
  <si>
    <t>Prog. Neuro-Psychopharmacol. Biol. Psychiatry</t>
  </si>
  <si>
    <t>Prog. Neurotherapeutics Neuropsychopharmacology</t>
  </si>
  <si>
    <t>Prog. Nutr.</t>
  </si>
  <si>
    <t>Prog. Orthod.</t>
  </si>
  <si>
    <t>Prog. Palliative Care</t>
  </si>
  <si>
    <t>Prog. Pediatr. Cardiol.</t>
  </si>
  <si>
    <t>Prog. Retinal Eye Res.</t>
  </si>
  <si>
    <t>Prostaglandins Other Lipid Mediators</t>
  </si>
  <si>
    <t>Prostaglandins Leukotrienes Essent. Fatty Acids</t>
  </si>
  <si>
    <t>Prostate Cancer Prostatic Dis.</t>
  </si>
  <si>
    <t>Prosthet. Orthot. Int.</t>
  </si>
  <si>
    <t>Protein Pept. Lett.</t>
  </si>
  <si>
    <t>Protein Eng. Des. Sel.</t>
  </si>
  <si>
    <t>Protein J.</t>
  </si>
  <si>
    <t>Protein Rev.</t>
  </si>
  <si>
    <t>Protein Sci.</t>
  </si>
  <si>
    <t>Proteins Struct. Funct. Bioinformatics</t>
  </si>
  <si>
    <t>Proteome Sci.</t>
  </si>
  <si>
    <t>Proteomics Clin. Appl.</t>
  </si>
  <si>
    <t>Proteomics Pract. Proteomics</t>
  </si>
  <si>
    <t>Proteomics Res. J.</t>
  </si>
  <si>
    <t>Prz. Dermatol.</t>
  </si>
  <si>
    <t>Prz. Gastroenterol.</t>
  </si>
  <si>
    <t>Prz. Kardiodiabetol.</t>
  </si>
  <si>
    <t>Prz. Menopauzalny</t>
  </si>
  <si>
    <t>Prz. Pediatr.</t>
  </si>
  <si>
    <t>Psiquiatr. Biol.</t>
  </si>
  <si>
    <t>Psoriasis Target Ther.</t>
  </si>
  <si>
    <t>Psychiatr. Danub.</t>
  </si>
  <si>
    <t>Psychiatr. Psychol. Klin.</t>
  </si>
  <si>
    <t>Psychiatr. Pol.</t>
  </si>
  <si>
    <t>Psychiatr. Clin. North Am.</t>
  </si>
  <si>
    <t>Psychiatr. Genet.</t>
  </si>
  <si>
    <t>Psychiatr. Q.</t>
  </si>
  <si>
    <t>Psychiatr. Serv.</t>
  </si>
  <si>
    <t>Psychiatr.</t>
  </si>
  <si>
    <t>Psychiatr. Prax.</t>
  </si>
  <si>
    <t>Psychiatr. Prax. Suppl.</t>
  </si>
  <si>
    <t>Psychiatry Clin. Neurosci.</t>
  </si>
  <si>
    <t>Psychiatry Res.</t>
  </si>
  <si>
    <t>Psychiatry Res. Neuroimaging</t>
  </si>
  <si>
    <t>Psychiatry Res. J.</t>
  </si>
  <si>
    <t>Psychoanal. Psychol.</t>
  </si>
  <si>
    <t>Psychoanal. Psychother.</t>
  </si>
  <si>
    <t>Psychogeriatr. Pol.</t>
  </si>
  <si>
    <t>Psychol. Assess.</t>
  </si>
  <si>
    <t>Psychol. Aging</t>
  </si>
  <si>
    <t>Psychol. Neurosci.</t>
  </si>
  <si>
    <t>Psychol. Addict. Behav.</t>
  </si>
  <si>
    <t>Psycho-Oncol.</t>
  </si>
  <si>
    <t>Psychopharm Rev.</t>
  </si>
  <si>
    <t>Psychopharmacol. Biol. Narcology</t>
  </si>
  <si>
    <t>Psychopharmacol. Bull.</t>
  </si>
  <si>
    <t>Psychopharmakother. Suppl.</t>
  </si>
  <si>
    <t>Psychosom. Med.</t>
  </si>
  <si>
    <t>Psychother. Psychosom.</t>
  </si>
  <si>
    <t>Psychotropes</t>
  </si>
  <si>
    <t>Public Health Rep.</t>
  </si>
  <si>
    <t>Public Health Rev.</t>
  </si>
  <si>
    <t>Publ. Takeda Res. Lab.</t>
  </si>
  <si>
    <t>Pulm. Med.</t>
  </si>
  <si>
    <t>Pulm. Pharmacol. Ther.</t>
  </si>
  <si>
    <t>Purinergic Signal.</t>
  </si>
  <si>
    <t>PVRI Rev.</t>
  </si>
  <si>
    <t>Qatar Med. J.</t>
  </si>
  <si>
    <t>Q. J. Nucl. Med. Mol. Imaging</t>
  </si>
  <si>
    <t>Radiat. Oncol.</t>
  </si>
  <si>
    <t>Radiat. Oncol. J.</t>
  </si>
  <si>
    <t>Radiat. Phys. Chem.</t>
  </si>
  <si>
    <t>Radiat. Res.</t>
  </si>
  <si>
    <t>Radiol. Clin. North Am.</t>
  </si>
  <si>
    <t>Radiol. Phys. Technol.</t>
  </si>
  <si>
    <t>Radiol. Oncol.</t>
  </si>
  <si>
    <t>Radiol. Res. Pract.</t>
  </si>
  <si>
    <t>Radiother. Oncol.</t>
  </si>
  <si>
    <t>Rare Dis.</t>
  </si>
  <si>
    <t>Rass. Patol. Appar. Respir.</t>
  </si>
  <si>
    <t>Ration. Pharmacother. Cardiol.</t>
  </si>
  <si>
    <t>Rawal Med. J.</t>
  </si>
  <si>
    <t>Recent Pat. Anti-Cancer Drug Discov.</t>
  </si>
  <si>
    <t>Recent Pat. Anti-Infect. Drug Discov.</t>
  </si>
  <si>
    <t>Recent Pat. Biomarkers</t>
  </si>
  <si>
    <t>Recent Pat. Biotechnol.</t>
  </si>
  <si>
    <t>Recent Pat. Cardiovasc. Drug Discov.</t>
  </si>
  <si>
    <t>Recent Pat. CNS Drug Discov.</t>
  </si>
  <si>
    <t>Recent Pat. Drug Deliv. Formulation</t>
  </si>
  <si>
    <t>Recent Pat. Endocr. Metab. Immune Drug Discov.</t>
  </si>
  <si>
    <t>Recent Pat. Inflamm. Allergy Drug Discov.</t>
  </si>
  <si>
    <t>Recent Pat. Med. Imaging</t>
  </si>
  <si>
    <t>Recent Pat. Nanomedicine</t>
  </si>
  <si>
    <t>Recent Pat. Regen. Med.</t>
  </si>
  <si>
    <t>Recent Results Cancer Res.</t>
  </si>
  <si>
    <t>Recenti Prog. Med.</t>
  </si>
  <si>
    <t>Rec. Nat. Prod.</t>
  </si>
  <si>
    <t>Redox Biol.</t>
  </si>
  <si>
    <t>Redox Rep.</t>
  </si>
  <si>
    <t>Regen. Med. Res.</t>
  </si>
  <si>
    <t>Reg. Anesth. Pain Med.</t>
  </si>
  <si>
    <t>Regul. Pept.</t>
  </si>
  <si>
    <t>Regul. Rapp.</t>
  </si>
  <si>
    <t>Regul. Toxicol. Pharmacol.</t>
  </si>
  <si>
    <t>Rehabil. Psicosoc.</t>
  </si>
  <si>
    <t>Rehabil. Oncol.</t>
  </si>
  <si>
    <t>Rehabil. Psychol.</t>
  </si>
  <si>
    <t>Rejuvenation Res.</t>
  </si>
  <si>
    <t>Renal Fail.</t>
  </si>
  <si>
    <t>Rentgenol. Radiol.</t>
  </si>
  <si>
    <t>Rep. Med. Imaging</t>
  </si>
  <si>
    <t>Rep. Pract. Oncol. Radiother.</t>
  </si>
  <si>
    <t>Reprod. Hum. Horm.</t>
  </si>
  <si>
    <t>Reprod. Fertil. Dev.</t>
  </si>
  <si>
    <t>Reprod. Biol. Endocrinol.</t>
  </si>
  <si>
    <t>Reprod. Biol. Insights</t>
  </si>
  <si>
    <t>Reprod. BioMed. Online</t>
  </si>
  <si>
    <t>Reprod. Health</t>
  </si>
  <si>
    <t>Reprod. Health Matters</t>
  </si>
  <si>
    <t>Reprod. Med. Biol.</t>
  </si>
  <si>
    <t>Reprod. Sci.</t>
  </si>
  <si>
    <t>Reprod. Toxicol.</t>
  </si>
  <si>
    <t>Res. Clin. Forums</t>
  </si>
  <si>
    <t>Res. Perspect. Endocr. Interact</t>
  </si>
  <si>
    <t>Res. Perspect. Neurosci</t>
  </si>
  <si>
    <t>Res. Pract. Alzheimer's Dis.</t>
  </si>
  <si>
    <t>Res. Reports Urology</t>
  </si>
  <si>
    <t>Res. Commun. Biochem. Cell Mol. Biol.</t>
  </si>
  <si>
    <t>Res. Commun. Biol. Psychol. Psychiatry Neurosci.</t>
  </si>
  <si>
    <t>Res. Commun. Mol. Pathol. Pharmacol.</t>
  </si>
  <si>
    <t>Res. Autism Spectr. Disord.</t>
  </si>
  <si>
    <t>Res. Dev. Disabil.</t>
  </si>
  <si>
    <t>Res. Microbiol.</t>
  </si>
  <si>
    <t>Res. Pharm. Sci.</t>
  </si>
  <si>
    <t>Res. Psychother. Psychopatol. Process Outcome</t>
  </si>
  <si>
    <t>Res. Vet. Sci.</t>
  </si>
  <si>
    <t>Res. J. Allergy</t>
  </si>
  <si>
    <t>Res. J. Cardiol.</t>
  </si>
  <si>
    <t>Res. J. Environ. Toxicol.</t>
  </si>
  <si>
    <t>Res. J Immunol.</t>
  </si>
  <si>
    <t>Res. J. Med. Sci.</t>
  </si>
  <si>
    <t>Res. J. Med. Plant</t>
  </si>
  <si>
    <t>Res. J. Obstet. Gynecol.</t>
  </si>
  <si>
    <t>Res. J. Parasitol.</t>
  </si>
  <si>
    <t>Res. J. Pharm., Biol. Chem. Sci.</t>
  </si>
  <si>
    <t>Res. J. Pharmacol.</t>
  </si>
  <si>
    <t>Res. J. Pharm. Technol.</t>
  </si>
  <si>
    <t>Res. J. Toxins</t>
  </si>
  <si>
    <t>Resour. Conserv. Recycl.</t>
  </si>
  <si>
    <t>Respir. Circ.</t>
  </si>
  <si>
    <t>Respir. Care</t>
  </si>
  <si>
    <t>Respir. Case Rep.</t>
  </si>
  <si>
    <t>Respir. Invest.</t>
  </si>
  <si>
    <t>Respir. Med.</t>
  </si>
  <si>
    <t>Respir. Med. Case Rep.</t>
  </si>
  <si>
    <t>Respir. Physiol. Neurobiol.</t>
  </si>
  <si>
    <t>Respir. Res.</t>
  </si>
  <si>
    <t>Restor. Neurol. Neurosci.</t>
  </si>
  <si>
    <t>Results Immunol.</t>
  </si>
  <si>
    <t>Results Pharma Sci.</t>
  </si>
  <si>
    <t>Retinal Cases Brief Rep.</t>
  </si>
  <si>
    <t>Reumatol. Clin.</t>
  </si>
  <si>
    <t>Reumatol. Clin. Supl.</t>
  </si>
  <si>
    <t>Rev. All. Clin. Immun.</t>
  </si>
  <si>
    <t>Rev. Clin. Pharmacol. Pharmacokinet. Int. Ed.</t>
  </si>
  <si>
    <t>Rev. Diabetic Stud.</t>
  </si>
  <si>
    <t>Rev. Cardiovasc. Med.</t>
  </si>
  <si>
    <t>Rev. Clin. Exp. Hematol.</t>
  </si>
  <si>
    <t>Rev. Clin. Gerontol.</t>
  </si>
  <si>
    <t>Rev. Endocr. Metab. Disord.</t>
  </si>
  <si>
    <t>Rev. Med. Microbiol.</t>
  </si>
  <si>
    <t>Rev. Med. Virol.</t>
  </si>
  <si>
    <t>Rev. Neurosci.</t>
  </si>
  <si>
    <t>Rev. Vasc. Med.</t>
  </si>
  <si>
    <t>Rev. Physiol. Biochem. Pharmacol.</t>
  </si>
  <si>
    <t>Rev. Recent. Clin. Trials</t>
  </si>
  <si>
    <t>Revis. Cancer</t>
  </si>
  <si>
    <t>Rev. Alergia Mex.</t>
  </si>
  <si>
    <t>Rev. Argent. Cardiol.</t>
  </si>
  <si>
    <t>Rev. Argent. Dermatol.</t>
  </si>
  <si>
    <t>Rev. Argent. Endocrinol. Metab.</t>
  </si>
  <si>
    <t>Rev. Argent. Microbiol.</t>
  </si>
  <si>
    <t>Rev. Bras. Anestesiol.</t>
  </si>
  <si>
    <t>Rev. Bras. Cardiologia Invasia</t>
  </si>
  <si>
    <t>Rev. Bras. Med.</t>
  </si>
  <si>
    <t>Rev. Bras. Neurol. Psiquiatr.</t>
  </si>
  <si>
    <t>Rev. Bras. Plantas Med.</t>
  </si>
  <si>
    <t>Rev. Bras. Psiquiatr.</t>
  </si>
  <si>
    <t>Rev. Bras. Reumatol.</t>
  </si>
  <si>
    <t>Rev. Bras. Toxicol.</t>
  </si>
  <si>
    <t>Rev. Chil. Pediatr.</t>
  </si>
  <si>
    <t>Rev. Cient. Soc. Esp. Enferm. Neurol.</t>
  </si>
  <si>
    <t>Rev. Clin. Esp.</t>
  </si>
  <si>
    <t>Rev. Colomb. Cancerol.</t>
  </si>
  <si>
    <t>Rev. Colomb. Cardiol.</t>
  </si>
  <si>
    <t>Rev. Colomb. Psiquiatr.</t>
  </si>
  <si>
    <t>Rev. Colomb. Reumatol.</t>
  </si>
  <si>
    <t>Rev. Cuba. Farm.</t>
  </si>
  <si>
    <t>Rev. Cuba. Hematol. Imunol. Hemoterapia</t>
  </si>
  <si>
    <t>Rev. Assoc. Med. Bras.</t>
  </si>
  <si>
    <t>Rev. Soc. Bras. Med. Trop.</t>
  </si>
  <si>
    <t>Rev. Cienc. Farm. Basica Apl.</t>
  </si>
  <si>
    <t>Rev. Fitoterapia</t>
  </si>
  <si>
    <t>Rev. Invest. Clin.</t>
  </si>
  <si>
    <t>Rev. Fed. Argent. Cardiol.</t>
  </si>
  <si>
    <t>Rev. Soc. Esp. Dolor</t>
  </si>
  <si>
    <t>Rev. Nefrol. Dial. Transplant.</t>
  </si>
  <si>
    <t>Rev. Neurol.</t>
  </si>
  <si>
    <t>Rev. Osteoporosis Metab. Miner.</t>
  </si>
  <si>
    <t>Rev. Patol. Respir.</t>
  </si>
  <si>
    <t>Rev. Psiquiatr. Clin.</t>
  </si>
  <si>
    <t>Rev. Psiquiatr. Salud Ment.</t>
  </si>
  <si>
    <t>Rev. Salud. Ambient. Sci.</t>
  </si>
  <si>
    <t>Rev. Toxicol.</t>
  </si>
  <si>
    <t>Rev. Inst. Nac. Enferm. Respir.</t>
  </si>
  <si>
    <t>Rev. Lab. Clin.</t>
  </si>
  <si>
    <t>Rev. Inst. Med. Trop. Sao Paulo</t>
  </si>
  <si>
    <t>Rev. Ecuat. Neurol.</t>
  </si>
  <si>
    <t>Rev. Esp. Cardiol.</t>
  </si>
  <si>
    <t>Rev. Esp. Cardiol. Supl.</t>
  </si>
  <si>
    <t>Rev. Esp. Enferm. Dig.</t>
  </si>
  <si>
    <t>Rev. Esp. Geriatr. Gerontol.</t>
  </si>
  <si>
    <t>Rev. Esp. Med. Nucl. Imagen Mol.</t>
  </si>
  <si>
    <t>Rev. Esp. Nutr. Comunitaria</t>
  </si>
  <si>
    <t>Rev. Esp. Obesidad</t>
  </si>
  <si>
    <t>Revista Esp. Patol.</t>
  </si>
  <si>
    <t>Rev. Esp. Pediatr.</t>
  </si>
  <si>
    <t>Rev. Esp. Quimioter.</t>
  </si>
  <si>
    <t>Rev. Iberoam. Fertil. Reprod. Humana</t>
  </si>
  <si>
    <t>Rev. Iberoam. Micol.</t>
  </si>
  <si>
    <t>Rev. Int. Acupunt.</t>
  </si>
  <si>
    <t>Rev. Latinoam. Hipertens.</t>
  </si>
  <si>
    <t>Rev. Med. Rosario</t>
  </si>
  <si>
    <t>Rev. Mex. Anestesiol.</t>
  </si>
  <si>
    <t>Rev. Mex. Angiol.</t>
  </si>
  <si>
    <t>Rev. Mex. Cardiologia</t>
  </si>
  <si>
    <t>Rev. Mex. Ciencia. Farm.</t>
  </si>
  <si>
    <t>Rev. Mex. Enferm. Cardiologica</t>
  </si>
  <si>
    <t>Rev. Mex. Neuroceinc.</t>
  </si>
  <si>
    <t>Rev. Mex. Pediatr.</t>
  </si>
  <si>
    <t>Rev. Neurocienc.</t>
  </si>
  <si>
    <t>Rev. Paul. Pediatr.</t>
  </si>
  <si>
    <t>Rev. Peru. Med. Exp. Salud Publica</t>
  </si>
  <si>
    <t>Rev. Port. Cardiol.</t>
  </si>
  <si>
    <t>Rev. Port. Estomatol. Med. Dent. Cir. Maxilofac.</t>
  </si>
  <si>
    <t>Rev. Port. Imunoalergologia</t>
  </si>
  <si>
    <t>Rev. Port. Pneumol.</t>
  </si>
  <si>
    <t>Rev. Venez. Oncologia</t>
  </si>
  <si>
    <t>Rev. Laryngol. Otol. Rhinol.</t>
  </si>
  <si>
    <t>Rev. Med. Interne</t>
  </si>
  <si>
    <t>Rev. de Med. Leg.</t>
  </si>
  <si>
    <t>Rev. Pneumol. Clin.</t>
  </si>
  <si>
    <t>Rev. Epidemiol. Sante Publ.</t>
  </si>
  <si>
    <t>Rev. Mal. Respir.</t>
  </si>
  <si>
    <t>Rev. Mal. Respir. Actual.</t>
  </si>
  <si>
    <t>Rev. d'Homeopath.</t>
  </si>
  <si>
    <t>Rev. Oncol. Hematol. Pediatr.</t>
  </si>
  <si>
    <t>Rev. Prat.</t>
  </si>
  <si>
    <t>Rev. Fr. Allergol.</t>
  </si>
  <si>
    <t>Rev. Francoph. Orthopt.</t>
  </si>
  <si>
    <t>Rev. Med. Brux.</t>
  </si>
  <si>
    <t>Rev. Med. Liege</t>
  </si>
  <si>
    <t>Rev. Med. Suisse</t>
  </si>
  <si>
    <t>Rheum. Dis. Clin. North Am.</t>
  </si>
  <si>
    <t>Rheumatol. Int.</t>
  </si>
  <si>
    <t>Rheumatol. Rep.</t>
  </si>
  <si>
    <t>Ric. Prat.</t>
  </si>
  <si>
    <t>Risk Manage. Healthc. Policy</t>
  </si>
  <si>
    <t>Riv. Psichiatr.</t>
  </si>
  <si>
    <t>Riv. Ital. Med. Labor.</t>
  </si>
  <si>
    <t>Riv. Ital. Med. Adolesc.</t>
  </si>
  <si>
    <t>Riv. Ital. Neurobiol.</t>
  </si>
  <si>
    <t>Rom. J. Diabetes Nutr. Metab. Dis.</t>
  </si>
  <si>
    <t>Rom. J. Leg. Med.</t>
  </si>
  <si>
    <t>Rom. J. Neurol. Rev. Rom. Neurol.</t>
  </si>
  <si>
    <t>RSC Biomol. Sci.</t>
  </si>
  <si>
    <t>RSC Drug Discov. Ser.</t>
  </si>
  <si>
    <t>Russ. J. Biopharm.</t>
  </si>
  <si>
    <t>Russ. J. Gen.</t>
  </si>
  <si>
    <t>Russ. J. Genet. Appl. Res.</t>
  </si>
  <si>
    <t>STP Pharma Prat.</t>
  </si>
  <si>
    <t>SA Pharm. J.</t>
  </si>
  <si>
    <t>Saf. Health Work</t>
  </si>
  <si>
    <t>Saf. Sci.</t>
  </si>
  <si>
    <t>SAJCH S. Afr. J. Child health</t>
  </si>
  <si>
    <t>Salud Ci.</t>
  </si>
  <si>
    <t>Sang Thromb. Vaiss.</t>
  </si>
  <si>
    <t>Sao Paulo Med. J.</t>
  </si>
  <si>
    <t>Sapporo Med. J.</t>
  </si>
  <si>
    <t>Sarcoidosis Vasc. Diffuse Lung Dis.</t>
  </si>
  <si>
    <t>Saudi Dent. J.</t>
  </si>
  <si>
    <t>Saudi J. Anaesth.</t>
  </si>
  <si>
    <t>Saudi J. Gastroenterol.</t>
  </si>
  <si>
    <t>Saudi J. Ophthalmol.</t>
  </si>
  <si>
    <t>Saudi Med. J.</t>
  </si>
  <si>
    <t>Saudi Pharm. J.</t>
  </si>
  <si>
    <t>Scand. Cardiovasc. J.</t>
  </si>
  <si>
    <t>Scand. J. Clin. Lab. Invest.</t>
  </si>
  <si>
    <t>Scand. J. Gastroenterol.</t>
  </si>
  <si>
    <t>Scand. J. Immunol.</t>
  </si>
  <si>
    <t>Scand. J. Immunol. Suppl.</t>
  </si>
  <si>
    <t>Scand. J. Infect. Dis.</t>
  </si>
  <si>
    <t>Scand. J. Lab. Anim. Sci.</t>
  </si>
  <si>
    <t>Scand. J. Pain</t>
  </si>
  <si>
    <t>Scand. J. Rheumatol.</t>
  </si>
  <si>
    <t>Scand. J. Urol.</t>
  </si>
  <si>
    <t>Scand. J. Work Environ. Health</t>
  </si>
  <si>
    <t>Scand. J. Work Environ. Health Suppl.</t>
  </si>
  <si>
    <t>Schizophr. Bull.</t>
  </si>
  <si>
    <t>Schizophr. Res.</t>
  </si>
  <si>
    <t>Schizophr. Res. Treat.</t>
  </si>
  <si>
    <t>Schweiz. Arch. Neurol. Psychiatr.</t>
  </si>
  <si>
    <t>Schweiz. Z. GanzheitsMed.</t>
  </si>
  <si>
    <t>Sci. Justice</t>
  </si>
  <si>
    <t>Sci. Sports</t>
  </si>
  <si>
    <t>Sci. Total Environ.</t>
  </si>
  <si>
    <t>Sci. Signal.</t>
  </si>
  <si>
    <t>Sci. Transl. Med.</t>
  </si>
  <si>
    <t>Sci. Med.</t>
  </si>
  <si>
    <t>Sci. Pharm.</t>
  </si>
  <si>
    <t>Sci. J. Kurdistan Univ. Med. Sci.</t>
  </si>
  <si>
    <t>Sci. World J.</t>
  </si>
  <si>
    <t>Scott. Med. J.</t>
  </si>
  <si>
    <t>SD Rev. Med. Int. Sindrome Down</t>
  </si>
  <si>
    <t>Seksuologia Pol.</t>
  </si>
  <si>
    <t>Semin. Fund. Esp. Reumatol.</t>
  </si>
  <si>
    <t>Semin. Arthritis Rheum.</t>
  </si>
  <si>
    <t>Semin. Arthroplasty</t>
  </si>
  <si>
    <t>Semin. Cancer Biol.</t>
  </si>
  <si>
    <t>Semin. Cardiothorac. Vasc. Anesth.</t>
  </si>
  <si>
    <t>Semin. Cell. Dev. Biol.</t>
  </si>
  <si>
    <t>Semin. Colon Rectal Surg.</t>
  </si>
  <si>
    <t>Semin. Cutaneous Med. Surg.</t>
  </si>
  <si>
    <t>Semin. Diagn. Pathol.</t>
  </si>
  <si>
    <t>Semin. Fetal Neonatal Med.</t>
  </si>
  <si>
    <t>Semin. Hear.</t>
  </si>
  <si>
    <t>Semin. Hematol.</t>
  </si>
  <si>
    <t>Semin. Immunol.</t>
  </si>
  <si>
    <t>Semin.Immunopathol.</t>
  </si>
  <si>
    <t>Semin. Intervent. Radiol.</t>
  </si>
  <si>
    <t>Semin. Liver Dis.</t>
  </si>
  <si>
    <t>Semin. Musculoskelet. Radiol.</t>
  </si>
  <si>
    <t>Semin. Nephrol.</t>
  </si>
  <si>
    <t>Semin. Neurol.</t>
  </si>
  <si>
    <t>Semin. Nucl. Med.</t>
  </si>
  <si>
    <t>Semin. Oncol.</t>
  </si>
  <si>
    <t>Semin. Ophthalmol.</t>
  </si>
  <si>
    <t>Semin. Pediatr. Neurol.</t>
  </si>
  <si>
    <t>Semin. Pediatr. Surg.</t>
  </si>
  <si>
    <t>Semin. Perinatol.</t>
  </si>
  <si>
    <t>Semin. Radiat. Oncol.</t>
  </si>
  <si>
    <t>Semin. Reprod. Med.</t>
  </si>
  <si>
    <t>Semin. Respir. Crit. Care Med.</t>
  </si>
  <si>
    <t>Semin. Roentgenol.</t>
  </si>
  <si>
    <t>Semin. Spine Surg.</t>
  </si>
  <si>
    <t>Semin. Thorac. Cardiovasc. Surg.</t>
  </si>
  <si>
    <t>Semin. Thorac. Cardiovasc. Pediatr. Card. Surg. Annu.</t>
  </si>
  <si>
    <t>Semin. Thromb. Hemost.</t>
  </si>
  <si>
    <t>Semin. Ultrasound CT MRI</t>
  </si>
  <si>
    <t>Semin. Vasc. Surg.</t>
  </si>
  <si>
    <t>Serb. J. Exp. Clin. Res.</t>
  </si>
  <si>
    <t>Sex. Reprod. Healthc.</t>
  </si>
  <si>
    <t>Sex. Health</t>
  </si>
  <si>
    <t>Sex. Med.</t>
  </si>
  <si>
    <t>Sex. Med. Rev.</t>
  </si>
  <si>
    <t>Sex. Disabil.</t>
  </si>
  <si>
    <t>Sex. Transm. Dis.</t>
  </si>
  <si>
    <t>Sex. Transm. Infect.</t>
  </si>
  <si>
    <t>Shiraz E Med. J.</t>
  </si>
  <si>
    <t>Singapore Med. J.</t>
  </si>
  <si>
    <t>Skelet. Radiol.</t>
  </si>
  <si>
    <t>Skin Pharmacol. Physiol.</t>
  </si>
  <si>
    <t>Skin Res.</t>
  </si>
  <si>
    <t>Skin Res. Technol.</t>
  </si>
  <si>
    <t>Sleep Biol. Rhythms</t>
  </si>
  <si>
    <t>Sleep Breathing</t>
  </si>
  <si>
    <t>Sleep Disord.</t>
  </si>
  <si>
    <t>Sleep Med.</t>
  </si>
  <si>
    <t>Sleep Med. Clin.</t>
  </si>
  <si>
    <t>Sleep Med. Rev.</t>
  </si>
  <si>
    <t>Sleep Sci.</t>
  </si>
  <si>
    <t>Soc. Sci. Med.</t>
  </si>
  <si>
    <t>Socijalna Psihijatr.</t>
  </si>
  <si>
    <t>S. Afr. Fam. Pract.</t>
  </si>
  <si>
    <t>S. Afr. Gastroenterol. Rev.</t>
  </si>
  <si>
    <t>S. Afr. J. Clin. Nutr.</t>
  </si>
  <si>
    <t>S. Afr. J. Obs. Gyn.</t>
  </si>
  <si>
    <t>S. Afr. J. Psychiatry</t>
  </si>
  <si>
    <t>S. Afr. Med. J.</t>
  </si>
  <si>
    <t>South Asian J. Cancer</t>
  </si>
  <si>
    <t>South. Afr. J. Anaesth. Analg.</t>
  </si>
  <si>
    <t>South. Afr. J. Crit. Care</t>
  </si>
  <si>
    <t>South. Afr. J. Epidemiol. Infect.</t>
  </si>
  <si>
    <t>South. Afr. J. HIV Med.</t>
  </si>
  <si>
    <t>South. Med. J.</t>
  </si>
  <si>
    <t>Sovrem. Tehnol. Med.</t>
  </si>
  <si>
    <t>Spat. Spatio-temporal Epidemiol.</t>
  </si>
  <si>
    <t>Spine Deform.</t>
  </si>
  <si>
    <t>Spine J.</t>
  </si>
  <si>
    <t>Sport Orthop. Sport Traumatol.</t>
  </si>
  <si>
    <t>Sports Med. Arthroscopy Rev.</t>
  </si>
  <si>
    <t>Sports Med. Arthroscopy Rehabil. Ther. Technol.</t>
  </si>
  <si>
    <t>Springer Protocol. Handb.</t>
  </si>
  <si>
    <t>Springer Ser. Biomater. Sci. Eng.</t>
  </si>
  <si>
    <t>Sri Lankan J. Anaesthesiol.</t>
  </si>
  <si>
    <t>Stamford J. Pharm. Sci.</t>
  </si>
  <si>
    <t>Stand. Genomic Sci.</t>
  </si>
  <si>
    <t>Stat. Appl. Genet. Mol. Biol.</t>
  </si>
  <si>
    <t>Stat. Methods Med. Res.</t>
  </si>
  <si>
    <t>Stat. Biopharm. Res.</t>
  </si>
  <si>
    <t>Stat. Biosci.</t>
  </si>
  <si>
    <t>Stat. Med.</t>
  </si>
  <si>
    <t>Stem Cell Rep.</t>
  </si>
  <si>
    <t>Stem Cell Res.</t>
  </si>
  <si>
    <t>Stem Cell Res. Ther.</t>
  </si>
  <si>
    <t>Stem Cell Res. J.</t>
  </si>
  <si>
    <t>Stem Cell Stud.</t>
  </si>
  <si>
    <t>Stem Cells Cloning Adv. Appl.</t>
  </si>
  <si>
    <t>Stem Cells Dev.</t>
  </si>
  <si>
    <t>Stem Cells Intl.</t>
  </si>
  <si>
    <t>Stem Cells Transl. Med.</t>
  </si>
  <si>
    <t>Stereotactic Funct. Neurosurg.</t>
  </si>
  <si>
    <t>Strahlenther. Onkol.</t>
  </si>
  <si>
    <t>Stroke Res. Treat.</t>
  </si>
  <si>
    <t>Subst. Abuse Res. Treat.</t>
  </si>
  <si>
    <t>Suchtmed. Forsch. Prax.</t>
  </si>
  <si>
    <t>Supportive Care Cancer</t>
  </si>
  <si>
    <t>Surg. Obes. Relat. Dis.</t>
  </si>
  <si>
    <t>Surg. Today</t>
  </si>
  <si>
    <t>Surg. Radiol. Anat.</t>
  </si>
  <si>
    <t>Surg. Clin. North Am.</t>
  </si>
  <si>
    <t>Surg. Endosc. Interv. Tech.</t>
  </si>
  <si>
    <t>Surg. Infect.</t>
  </si>
  <si>
    <t>Surg. Innov.</t>
  </si>
  <si>
    <t>Surg. Laparoscopy Endosc. Percutaneous Tech.</t>
  </si>
  <si>
    <t>Surg. Neurol. Intl.</t>
  </si>
  <si>
    <t>Surg. Oncol.</t>
  </si>
  <si>
    <t>Surg. Oncol. Clin. North Am.</t>
  </si>
  <si>
    <t>Surg. Pathol. Clin.</t>
  </si>
  <si>
    <t>Surg. Pract.</t>
  </si>
  <si>
    <t>Surg. Tech. Dev.</t>
  </si>
  <si>
    <t>Surv. Ophthalmol.</t>
  </si>
  <si>
    <t>Swiss Med. Wkly</t>
  </si>
  <si>
    <t>Synthesis</t>
  </si>
  <si>
    <t>Synth. Commun.</t>
  </si>
  <si>
    <t>Syst. Appl. Microbiol.</t>
  </si>
  <si>
    <t>Syst. Rev.</t>
  </si>
  <si>
    <t>Syst. Rev. Pharm.</t>
  </si>
  <si>
    <t>Syst. Biology Reprod. Med.</t>
  </si>
  <si>
    <t>Syst. Biomed.</t>
  </si>
  <si>
    <t>TAF Prev. Med. Bull.</t>
  </si>
  <si>
    <t>Taiwan Pharm. J.</t>
  </si>
  <si>
    <t>Taiwanese J. Obstet. Gynecol.</t>
  </si>
  <si>
    <t>Tanzan. J. Health Res.</t>
  </si>
  <si>
    <t>Targeted Oncol.</t>
  </si>
  <si>
    <t>Tech. Coloproctol.</t>
  </si>
  <si>
    <t>Tech. Foot Ankle Surg.</t>
  </si>
  <si>
    <t>Tech. Gastrointest. Endosc.</t>
  </si>
  <si>
    <t>Tech. Knee Surg.</t>
  </si>
  <si>
    <t>Tech. Ophthalmol.</t>
  </si>
  <si>
    <t>Tech. Orthop.</t>
  </si>
  <si>
    <t>Tech. Reg. Anesth. Pain Manage.</t>
  </si>
  <si>
    <t>Techn. Shoulder Elbow Surg.</t>
  </si>
  <si>
    <t>Tech. Vasc. Intervent. Radiol.</t>
  </si>
  <si>
    <t>Technol. Disabil.</t>
  </si>
  <si>
    <t>Technol. Cancer Res. Treat.</t>
  </si>
  <si>
    <t>Tehran Uni. Med. J.</t>
  </si>
  <si>
    <t>Teikyo Med. J.</t>
  </si>
  <si>
    <t>Ter. Psicol.</t>
  </si>
  <si>
    <t>Tetrahedron Lett.</t>
  </si>
  <si>
    <t>Tex. Heart Inst. J.</t>
  </si>
  <si>
    <t>Thai J. Pharm. Sci.</t>
  </si>
  <si>
    <t>Thalassemia Rep.</t>
  </si>
  <si>
    <t>Lancet Diabetes Endocrinol.</t>
  </si>
  <si>
    <t>Lancet Global Health</t>
  </si>
  <si>
    <t>Lancet Infect. Dis.</t>
  </si>
  <si>
    <t>Lancet Neurol.</t>
  </si>
  <si>
    <t>Lancet Oncol.</t>
  </si>
  <si>
    <t>Lancet Respir. Med.</t>
  </si>
  <si>
    <t>Ther. Adv. Cardiovasc. Dis</t>
  </si>
  <si>
    <t>Ther. Adv. Chronic Dis.</t>
  </si>
  <si>
    <t>Ther. Adv. Drug Saf.</t>
  </si>
  <si>
    <t>Ther. Adv. Endocrinol. Metab.</t>
  </si>
  <si>
    <t>Ther. Adv. Gastroenterol.</t>
  </si>
  <si>
    <t>Ther. Adv. Hematol.</t>
  </si>
  <si>
    <t>Ther. Adv. Infect. Dis.</t>
  </si>
  <si>
    <t>Ther. Adv. Med. Oncol.</t>
  </si>
  <si>
    <t>Ther. Adv. Musculoskelet. Dis.</t>
  </si>
  <si>
    <t>Ther. Adv. Neurol. Disord.</t>
  </si>
  <si>
    <t>Ther. Adv. Psychopharmacol.</t>
  </si>
  <si>
    <t>Ther. Adv. Respir. Dis.</t>
  </si>
  <si>
    <t>Ther. Adv. Urol.</t>
  </si>
  <si>
    <t>Ther. Apheresis Dial.</t>
  </si>
  <si>
    <t>Ther. Deliv.</t>
  </si>
  <si>
    <t>Ther. Drug Monit.</t>
  </si>
  <si>
    <t>Ther. Hypothermia Temp. Manage.</t>
  </si>
  <si>
    <t>Ther. Innov. Regul. Sci.</t>
  </si>
  <si>
    <t>Ther. Res.</t>
  </si>
  <si>
    <t>Ther. Clin. Risk Manage.</t>
  </si>
  <si>
    <t>Ther. Pharmacol. Clin. Toxicol.</t>
  </si>
  <si>
    <t>Ther. Umsch.</t>
  </si>
  <si>
    <t>Thermology Int.</t>
  </si>
  <si>
    <t>Thorac. Cardiovasc. Surg.</t>
  </si>
  <si>
    <t>Thorac. Cardiovasc. Surg. Rep.</t>
  </si>
  <si>
    <t>Thorac. Cardiovasc. Surg. Suppl.</t>
  </si>
  <si>
    <t>Thorac. Cancer</t>
  </si>
  <si>
    <t>Thorac. Surg. Clin.</t>
  </si>
  <si>
    <t>Thromb. Haemost.</t>
  </si>
  <si>
    <t>Thromb. J.</t>
  </si>
  <si>
    <t>Thromb. Res.</t>
  </si>
  <si>
    <t>Thyroid Res.</t>
  </si>
  <si>
    <t>Ticks Tick-borne Dis.</t>
  </si>
  <si>
    <t>Tijdschr. Geneeskd.</t>
  </si>
  <si>
    <t>Tijdschr. Kindergeneeskd.</t>
  </si>
  <si>
    <t>Tijdschr. Psychiatr.</t>
  </si>
  <si>
    <t>Timis. Med. J.</t>
  </si>
  <si>
    <t>Tissue Eng. Part A</t>
  </si>
  <si>
    <t>Tissue Eng. Part B. Rev.</t>
  </si>
  <si>
    <t>Tissue Eng. Part. C Methods</t>
  </si>
  <si>
    <t>Tissue. Eng. Regen. Med.</t>
  </si>
  <si>
    <t>Tob. Induced Dis.</t>
  </si>
  <si>
    <t>Tohoku J. Exp. Med.</t>
  </si>
  <si>
    <t>Tokai J. Exp. Clin. Med.</t>
  </si>
  <si>
    <t>Tokyo Jikeikai Med. J.</t>
  </si>
  <si>
    <t>Top. Antiviral Med.</t>
  </si>
  <si>
    <t>Top. Clin. Nutr.</t>
  </si>
  <si>
    <t>Top. Geriatr. Rehabil.</t>
  </si>
  <si>
    <t>Top. Magn. Reson. Imaging</t>
  </si>
  <si>
    <t>Top. Med. Chem.</t>
  </si>
  <si>
    <t>Top. Spinal Cord Inj. Rehabil.</t>
  </si>
  <si>
    <t>Top. Stroke Rehabil.</t>
  </si>
  <si>
    <t>Toxicol. Pathol.</t>
  </si>
  <si>
    <t>Toxicol. Res.</t>
  </si>
  <si>
    <t>Toxicol. Sci.</t>
  </si>
  <si>
    <t>Toxicol. Appl. Pharmacol.</t>
  </si>
  <si>
    <t>Toxicol. Environ. Health Sci.</t>
  </si>
  <si>
    <t>Toxicol. Ind. Health</t>
  </si>
  <si>
    <t>Toxicol. Vitro</t>
  </si>
  <si>
    <t>Toxicol. Int.</t>
  </si>
  <si>
    <t>Toxicol. Lett.</t>
  </si>
  <si>
    <t>Toxicol. Mechan. Methods</t>
  </si>
  <si>
    <t>Toxin Rev.</t>
  </si>
  <si>
    <t>TrAC Trends Anal. Chem.</t>
  </si>
  <si>
    <t>Trace Elem. Electrolytes</t>
  </si>
  <si>
    <t>Trans. Jpn. Soc. Med. Biol. Eng.</t>
  </si>
  <si>
    <t>Trans. Am. Ophthalmol. Soc.</t>
  </si>
  <si>
    <t>Trans. R. Soc. Trop. Med. Hyg.</t>
  </si>
  <si>
    <t>Transcult. Psychiatry</t>
  </si>
  <si>
    <t>Transfus. Apheresis Sci.</t>
  </si>
  <si>
    <t>Transfus. Clin. Biol.</t>
  </si>
  <si>
    <t>Transfus. Med.</t>
  </si>
  <si>
    <t>Transfus. Med. Hemotherapy</t>
  </si>
  <si>
    <t>Transfus. Med. Rev.</t>
  </si>
  <si>
    <t>Transfuze Hematol. Dnes</t>
  </si>
  <si>
    <t>Transl. Behav. Med.</t>
  </si>
  <si>
    <t>Transl. Biomed.</t>
  </si>
  <si>
    <t>Transl. Endocrinol. Metab.</t>
  </si>
  <si>
    <t>Transl. Neurodegeneration</t>
  </si>
  <si>
    <t>Transl. Neurosci.</t>
  </si>
  <si>
    <t>Transl. Oncogenomics</t>
  </si>
  <si>
    <t>Transl. Oncol.</t>
  </si>
  <si>
    <t>Transl. Proteomics</t>
  </si>
  <si>
    <t>Transl. Psychiatry</t>
  </si>
  <si>
    <t>Transl. Res.</t>
  </si>
  <si>
    <t>Transl. Res. Biomed.</t>
  </si>
  <si>
    <t>Transl. Respir. Med.</t>
  </si>
  <si>
    <t>Transl. Stroke Res.</t>
  </si>
  <si>
    <t>Translational Vis. Sci. Technol.</t>
  </si>
  <si>
    <t>Transplant Immunol.</t>
  </si>
  <si>
    <t>Transplant Infect. Dis.</t>
  </si>
  <si>
    <t>Transplant Int.</t>
  </si>
  <si>
    <t>Transplant Res. Risk Manage.</t>
  </si>
  <si>
    <t>Transplant. Proc.</t>
  </si>
  <si>
    <t>Transplant. Res.</t>
  </si>
  <si>
    <t>Transpl. Rev.</t>
  </si>
  <si>
    <t>Trastor. Adict.</t>
  </si>
  <si>
    <t>Trauma</t>
  </si>
  <si>
    <t>Travel Med. Infect. Dis.</t>
  </si>
  <si>
    <t>Tremor Other Hyperkinetic Movements</t>
  </si>
  <si>
    <t>Trends Anaesth. Crit. Care</t>
  </si>
  <si>
    <t>Trends Biochem. Sci.</t>
  </si>
  <si>
    <t>Trends Bioinformatics</t>
  </si>
  <si>
    <t>Trends Biotechnol.</t>
  </si>
  <si>
    <t>Trends Cardiovasc. Med.</t>
  </si>
  <si>
    <t>Trends Cell Biol.</t>
  </si>
  <si>
    <t>Trends Cogn. Sci.</t>
  </si>
  <si>
    <t>Trends Endocrinol. Metab.</t>
  </si>
  <si>
    <t>Trends Genet.</t>
  </si>
  <si>
    <t>Trends Immunol.</t>
  </si>
  <si>
    <t>Trends Med. Res.</t>
  </si>
  <si>
    <t>Trends Med.</t>
  </si>
  <si>
    <t>Trends Microbiol.</t>
  </si>
  <si>
    <t>Trends Mol. Med.</t>
  </si>
  <si>
    <t>Trends Neurosci. Educ.</t>
  </si>
  <si>
    <t>Trends Neurosci.</t>
  </si>
  <si>
    <t>Trends Parasitol.</t>
  </si>
  <si>
    <t>Trends Pharmacol. Sci.</t>
  </si>
  <si>
    <t>Trends</t>
  </si>
  <si>
    <t>Trails Vaccinology</t>
  </si>
  <si>
    <t>Trop. Doct.</t>
  </si>
  <si>
    <t>Trop. J. Pharm. Res.</t>
  </si>
  <si>
    <t>Trop. Med. Health</t>
  </si>
  <si>
    <t>Trop. Med. Int. Health</t>
  </si>
  <si>
    <t>Tuberc. Respir. Dis.</t>
  </si>
  <si>
    <t>Tuberk. Toraks</t>
  </si>
  <si>
    <t>Tumor Biol.</t>
  </si>
  <si>
    <t>Tumor Diagn. Ther.</t>
  </si>
  <si>
    <t>Tunis. Med.</t>
  </si>
  <si>
    <t>Turk Dermatoloji Derg.</t>
  </si>
  <si>
    <t>Turk Geriatr. Derg.</t>
  </si>
  <si>
    <t>Turk Jinekoloji Obstet. Dernegi Derg.</t>
  </si>
  <si>
    <t>Turk Jinekolojik Onkoloji Derg.</t>
  </si>
  <si>
    <t>Turk Kardiyol. Dernegi Ars.</t>
  </si>
  <si>
    <t>Turk Noroloji Derg.</t>
  </si>
  <si>
    <t>Turk Oftalmol. Derg.</t>
  </si>
  <si>
    <t>Turk Patoloji Derg.</t>
  </si>
  <si>
    <t>Turk Pediatr. Ars.</t>
  </si>
  <si>
    <t>Turk Serebrovaskuler Hast. Derg.</t>
  </si>
  <si>
    <t>Turk Toraks Derg.</t>
  </si>
  <si>
    <t>Turkderm Deri Hast. Frengi Ars.</t>
  </si>
  <si>
    <t>Turk. J. Biochem.</t>
  </si>
  <si>
    <t>Turk. J. Cancer</t>
  </si>
  <si>
    <t>Turk. J. Endocrinol. Metab.</t>
  </si>
  <si>
    <t>Turk. J. Gastroenterol.</t>
  </si>
  <si>
    <t>Turk. J. Hematol.</t>
  </si>
  <si>
    <t>Turk. J. Immunol.</t>
  </si>
  <si>
    <t>Turk. J. Med. Sci.</t>
  </si>
  <si>
    <t>Turk. J. Pediatr.</t>
  </si>
  <si>
    <t>Turk. J. Pharm. Sci.</t>
  </si>
  <si>
    <t>Turk. J. of Rheumatol.</t>
  </si>
  <si>
    <t>Turk. Acil Tip Derg.</t>
  </si>
  <si>
    <t>Turk. Klinikleri J. Med. Sci.</t>
  </si>
  <si>
    <t>Twin Res. Hum. Genet.</t>
  </si>
  <si>
    <t>Tzu Chi Med. J.</t>
  </si>
  <si>
    <t>U.S. Pharm.</t>
  </si>
  <si>
    <t>UHOD Uluslararasi Hematol.-Onkol. Derg.</t>
  </si>
  <si>
    <t>Ulster Med. J.</t>
  </si>
  <si>
    <t>Ultraschall Med. Suppl.</t>
  </si>
  <si>
    <t>Ultrason. Sonochem.</t>
  </si>
  <si>
    <t>Ultrasound Med. Biol.</t>
  </si>
  <si>
    <t>Ultrasound Int.</t>
  </si>
  <si>
    <t>Ultrasound Q.</t>
  </si>
  <si>
    <t>Ulusal Travma Acil Cerrahi Derg.</t>
  </si>
  <si>
    <t>Urol. Int.</t>
  </si>
  <si>
    <t>Urol. Clin. North Am.</t>
  </si>
  <si>
    <t>Urol. Oncol. Semin. Orig. Invest.</t>
  </si>
  <si>
    <t>Urol. Sci.</t>
  </si>
  <si>
    <t>Urol. Ann.</t>
  </si>
  <si>
    <t>Urol. Case Rep.</t>
  </si>
  <si>
    <t>US Cardiol.</t>
  </si>
  <si>
    <t>Value Health Reg. Issues</t>
  </si>
  <si>
    <t>Vasa Euro. J. Vasc. Med.</t>
  </si>
  <si>
    <t>Vasc. Endovasc. Surg.</t>
  </si>
  <si>
    <t>Vas. Cell</t>
  </si>
  <si>
    <t>Vasc. Dis. Manage.</t>
  </si>
  <si>
    <t>Vasc. Health Risk Manage.</t>
  </si>
  <si>
    <t>Vasc. Med.</t>
  </si>
  <si>
    <t>Vasc. Pharmacol.</t>
  </si>
  <si>
    <t>Vector Borne Zoonotic Dis.</t>
  </si>
  <si>
    <t>Vet. Clin. North Am. Small Anim. Pract.</t>
  </si>
  <si>
    <t>Vet. Immunol. Immunopathol.</t>
  </si>
  <si>
    <t>Vet. J.</t>
  </si>
  <si>
    <t>Vet. Microbiol.</t>
  </si>
  <si>
    <t>Vet. Parasitol.</t>
  </si>
  <si>
    <t>Vet. Q.</t>
  </si>
  <si>
    <t>Vet. Res. Commun.</t>
  </si>
  <si>
    <t>Video J. Encycl. GI Endosc.</t>
  </si>
  <si>
    <t>Viral Immunol.</t>
  </si>
  <si>
    <t>Virchows Arch.</t>
  </si>
  <si>
    <t>Virol. Sin.</t>
  </si>
  <si>
    <t>Virol. J.</t>
  </si>
  <si>
    <t>Virus Adapt. Treat.</t>
  </si>
  <si>
    <t>Virus Res.</t>
  </si>
  <si>
    <t>Vis. Res.</t>
  </si>
  <si>
    <t>Vis. Cogn.</t>
  </si>
  <si>
    <t>Vis. Neurosci.</t>
  </si>
  <si>
    <t>Visualization Image Process. Comput. Biomed.</t>
  </si>
  <si>
    <t>Vnitr. Lek.</t>
  </si>
  <si>
    <t>Vojnosanit. Pregl.</t>
  </si>
  <si>
    <t>Vopr. Onkol.</t>
  </si>
  <si>
    <t>Vox Sang.</t>
  </si>
  <si>
    <t>Waste Manage.</t>
  </si>
  <si>
    <t>Waste Manage. Res.</t>
  </si>
  <si>
    <t>Water Environ. J.</t>
  </si>
  <si>
    <t>Water Environ. Res.</t>
  </si>
  <si>
    <t>Water Res.</t>
  </si>
  <si>
    <t>Water Sci. Technol.</t>
  </si>
  <si>
    <t>Water Sci. Technol. Water Supply</t>
  </si>
  <si>
    <t>Water Air Soil Pollut.</t>
  </si>
  <si>
    <t>West Afr. J. Med.</t>
  </si>
  <si>
    <t>West Indian Med. J.</t>
  </si>
  <si>
    <t>West. J. Emerg. Med.</t>
  </si>
  <si>
    <t>WHO Drug Inf.</t>
  </si>
  <si>
    <t>Wiad. Psychiatr.</t>
  </si>
  <si>
    <t>Wideochir. Inne Tech. Maloinwazyjne</t>
  </si>
  <si>
    <t>Wien. Klin. Wochenschr.</t>
  </si>
  <si>
    <t>Wien. Med. Wochenschr.</t>
  </si>
  <si>
    <t>Wiley Interdiscip. Rev. Membr. Transp. Signal.</t>
  </si>
  <si>
    <t>Wiley Interdiscip. Rev. Nanomedicine Nanobiotechnology</t>
  </si>
  <si>
    <t>Wiley Interdiscip. Rev. RNA</t>
  </si>
  <si>
    <t>Wiley Interdiscip. Rev. Syst. Biol. Med.</t>
  </si>
  <si>
    <t>Wisc. Med. J.</t>
  </si>
  <si>
    <t>World Allergy Organ. J.</t>
  </si>
  <si>
    <t>World Chin. J. Dig.</t>
  </si>
  <si>
    <t>WHO Tech. Rep. Ser.</t>
  </si>
  <si>
    <t>World Heart J.</t>
  </si>
  <si>
    <t>World J. Pediatr. Congenit. Heart Surg.</t>
  </si>
  <si>
    <t>World J. Acupunct. Moxibustion</t>
  </si>
  <si>
    <t>World J. Biol. Psychiatry</t>
  </si>
  <si>
    <t>World J. Cancer Res.</t>
  </si>
  <si>
    <t>World J. Cardiol.</t>
  </si>
  <si>
    <t>World J. Diabetes</t>
  </si>
  <si>
    <t>World J. Emerg. Med.</t>
  </si>
  <si>
    <t>World J. Endocr. Surg.</t>
  </si>
  <si>
    <t>World J. Gastroenterol.</t>
  </si>
  <si>
    <t>World J. Laparoscopic Surg.</t>
  </si>
  <si>
    <t>World J. Oncol.</t>
  </si>
  <si>
    <t>World J. Surg. Oncol.</t>
  </si>
  <si>
    <t>World Med. Health Policy</t>
  </si>
  <si>
    <t>World Mycotoxin J.</t>
  </si>
  <si>
    <t>World Neurosurg.</t>
  </si>
  <si>
    <t>Wound Med.</t>
  </si>
  <si>
    <t>Wound Repair Regen.</t>
  </si>
  <si>
    <t>WSEAS Trans. Biol. Biomed.</t>
  </si>
  <si>
    <t>Wspolczesna Onkol.</t>
  </si>
  <si>
    <t>Yale J. Biol. Med.</t>
  </si>
  <si>
    <t>Yeni Symp.</t>
  </si>
  <si>
    <t>Yonago Acta Med.</t>
  </si>
  <si>
    <t>Yonsei Med. J.</t>
  </si>
  <si>
    <t>Zdravniski Vestn.</t>
  </si>
  <si>
    <t>Z. Allg.med.</t>
  </si>
  <si>
    <t>Z. Epileptologie</t>
  </si>
  <si>
    <t>Z. Gastroenterol.</t>
  </si>
  <si>
    <t>Z. Geburtshilfe Neonatol.</t>
  </si>
  <si>
    <t>Z. Gefassmed.</t>
  </si>
  <si>
    <t>Z. Kinder- Jugendpsychiatr. Psychother.</t>
  </si>
  <si>
    <t>Z. Med. Physik</t>
  </si>
  <si>
    <t>Z. Phytother.</t>
  </si>
  <si>
    <t>Z. Psych. Psychol. Psychother.</t>
  </si>
  <si>
    <t>Z. Psychosom. Med. Psychother.</t>
  </si>
  <si>
    <t>Z. Rheumatol.</t>
  </si>
  <si>
    <t>Zentralsterilisation Cent. Serv.</t>
  </si>
  <si>
    <t>Zesz. Nauk. Wielkopolskiego Centrum Onkol. Lett. Oncol. Sci.</t>
  </si>
  <si>
    <t>Zhonghua Shiyan Yanke Zazhi Chin. J. Exp. Ophthalmol.</t>
  </si>
  <si>
    <t>Zh. Nevrologii Psihiatrii im. S.S. Korsakova</t>
  </si>
  <si>
    <t>Ann. Am. Thorac. Soc.</t>
  </si>
  <si>
    <t>Am. J. Transl. Res.</t>
  </si>
  <si>
    <t>Int. J. Appl. Pharm.</t>
  </si>
  <si>
    <t>Int. J. Drug Deliv.</t>
  </si>
  <si>
    <t>Int. J. Hypertens.</t>
  </si>
  <si>
    <t>Int. J. Inflamm.</t>
  </si>
  <si>
    <t>Int. J. Occup. Environ. Med.</t>
  </si>
  <si>
    <t>Int. J. Pharma Bio Sci.</t>
  </si>
  <si>
    <t>Int. J. Pharm. Qual. Assur.</t>
  </si>
  <si>
    <t>Int. J. Pharm. Sci.</t>
  </si>
  <si>
    <t>Int. J. Pharm. Sci. Rev. Res.</t>
  </si>
  <si>
    <t>Int. J. Pharmacogn. Phytochem. Res.</t>
  </si>
  <si>
    <t>Int. J. Phytomed.</t>
  </si>
  <si>
    <t>Int. J. Prev. Med.</t>
  </si>
  <si>
    <t>Int. J. Res. Ayurveda Pharm.</t>
  </si>
  <si>
    <t>Int. J. Toxicol. Pharmacol. Res.</t>
  </si>
  <si>
    <t>Int. Nano Lett.</t>
  </si>
  <si>
    <t>Internet J. Med. Update</t>
  </si>
  <si>
    <t>Internet J. Neurol.</t>
  </si>
  <si>
    <t>Internet J. Pharmacol.</t>
  </si>
  <si>
    <t>Jpn. J. Rad.</t>
  </si>
  <si>
    <t>J. Neurol. Surg. Part A Cent. Eur. Neurosurg.</t>
  </si>
  <si>
    <t>J. Neurol. Surg. Part B Skull Base</t>
  </si>
  <si>
    <t>J. Pediatr. Genet.</t>
  </si>
  <si>
    <t>J. Pediatr. Neuroradiol.</t>
  </si>
  <si>
    <t>J. Tradit. Med.</t>
  </si>
  <si>
    <t>J. Pediatr. Surg. Case Rep.</t>
  </si>
  <si>
    <t>J. Tissue Eng. Regen. Med.</t>
  </si>
  <si>
    <t>Korean J. Radiol.</t>
  </si>
  <si>
    <t>Malar. J.</t>
  </si>
  <si>
    <t>Nat. Cell Biol.</t>
  </si>
  <si>
    <t>Oncol. Res. Treat.</t>
  </si>
  <si>
    <t>Oncol. Rev.</t>
  </si>
  <si>
    <t>OncoTargets Ther.</t>
  </si>
  <si>
    <t>Pharm. Patent Anal.</t>
  </si>
  <si>
    <t>PharmacoEcon. Span. Res. Artic.</t>
  </si>
  <si>
    <t>Regen. Med.</t>
  </si>
  <si>
    <t>Rehabil. Res. Pract.</t>
  </si>
  <si>
    <t>Rev. Esp. Nutr. Humana Diet.</t>
  </si>
  <si>
    <t>Rev. Port. Saude Publica</t>
  </si>
  <si>
    <t>RNA Biol.</t>
  </si>
  <si>
    <t>Scand. Psychoanal. Rev.</t>
  </si>
  <si>
    <t>Turk Onkol. Derg.</t>
  </si>
  <si>
    <t>Turk Osteoporoz Derg.</t>
  </si>
  <si>
    <t>Turk. Klinikleri Cardiovasc. Sci.</t>
  </si>
  <si>
    <t>Turk. Klinikleri Jinekoloji Obstet.</t>
  </si>
  <si>
    <t>Turk. Klinikleri Pediatr.</t>
  </si>
  <si>
    <t>Virol. Res. Treat.</t>
  </si>
  <si>
    <t>Wiley Interdiscip. Rev. Dev. Biol.</t>
  </si>
  <si>
    <t>Abbreviated title</t>
  </si>
  <si>
    <t>Rev. Colomb. Ortop. Traumatol.</t>
  </si>
  <si>
    <t>Ann. Afr. Surg.</t>
  </si>
  <si>
    <t>Journal abbreviation</t>
  </si>
  <si>
    <t>Journal titles</t>
  </si>
  <si>
    <t>Full source titles as used by Embase or MEDLINE</t>
  </si>
  <si>
    <t>Active Embase journal titles (March 2015)</t>
  </si>
  <si>
    <t>English, Afrikaans, French</t>
  </si>
  <si>
    <t>Springer Berlin Heidelberg</t>
  </si>
  <si>
    <t>SOLEN s.r.o.</t>
  </si>
  <si>
    <t>Onkologie (Czech Republic)</t>
  </si>
  <si>
    <t>Onkol.</t>
  </si>
  <si>
    <t>Dutch, English, French</t>
  </si>
  <si>
    <t>Springer-Verlag Italia s.r.l.</t>
  </si>
  <si>
    <t>Dementia and Geriatric Cognitive Disorders Extra</t>
  </si>
  <si>
    <t>Dement. Geriatr. Cogn. Dis. Extra</t>
  </si>
  <si>
    <t>Kowsar Medical Publishing Company</t>
  </si>
  <si>
    <t>Centro Regional de Invest. Cientif. y Tecn.</t>
  </si>
  <si>
    <t>Australian Government Publishing Service</t>
  </si>
  <si>
    <t>Journal of Emergency Primary Health Care</t>
  </si>
  <si>
    <t>J. Emerg. Prim. Health Care</t>
  </si>
  <si>
    <t>Centre for Ambulance and Paramedic Studies</t>
  </si>
  <si>
    <t>Springer-Verlag Wien</t>
  </si>
  <si>
    <t>Virtual reality med institute</t>
  </si>
  <si>
    <t>National Centre of Infectious and Parasitic Diseases</t>
  </si>
  <si>
    <t>Brazilian Journal of Otorhinolaryngology</t>
  </si>
  <si>
    <t>Brazilian J. Otorhinolaryngol.</t>
  </si>
  <si>
    <t>Casa do Psicologo</t>
  </si>
  <si>
    <t>Canadian Journal of Gastroenterology and Hepatology</t>
  </si>
  <si>
    <t>can. J. Gastroenterol. Hepatol.</t>
  </si>
  <si>
    <t>Canadian Urological Association Journal</t>
  </si>
  <si>
    <t>Can. Urol. Assoc. J.</t>
  </si>
  <si>
    <t>Canadian Urological Association</t>
  </si>
  <si>
    <t>Journal of Analytical Oncology</t>
  </si>
  <si>
    <t>J. Anal. Oncol.</t>
  </si>
  <si>
    <t>Lifescience Global</t>
  </si>
  <si>
    <t>Arslan Intellectual Works</t>
  </si>
  <si>
    <t>e-Printed Reasons</t>
  </si>
  <si>
    <t>Springer International Publishing</t>
  </si>
  <si>
    <t>Birkhauser Verlag AG</t>
  </si>
  <si>
    <t>Audiology and Neurotology</t>
  </si>
  <si>
    <t>Audiol. Neurotol.</t>
  </si>
  <si>
    <t>Audiology and Neurotology Extra</t>
  </si>
  <si>
    <t>Audiol. Neurotol. Extra</t>
  </si>
  <si>
    <t>Case Reports in Nephrology and Dialysis</t>
  </si>
  <si>
    <t>Case Rep. Nephrol. Dial.</t>
  </si>
  <si>
    <t>Cerebrovascular Diseases Extra</t>
  </si>
  <si>
    <t>Cerebrovasc. Dis. Extra</t>
  </si>
  <si>
    <t>Dermatopathology</t>
  </si>
  <si>
    <t>Gastrointestinal Tumors</t>
  </si>
  <si>
    <t>Gastrointest. Tumors</t>
  </si>
  <si>
    <t>Nephron Extra</t>
  </si>
  <si>
    <t>Ophthalmologica Extra</t>
  </si>
  <si>
    <t>Ophthalmol. Extra</t>
  </si>
  <si>
    <t>Journal of Child and Adolescent Trauma</t>
  </si>
  <si>
    <t>J. Child Adolesc. Trauma</t>
  </si>
  <si>
    <t>Nanjing Medical University</t>
  </si>
  <si>
    <t>Firts Affiliated Hospital</t>
  </si>
  <si>
    <t>Genomics. Proteomics Bioinform.</t>
  </si>
  <si>
    <t>World J. Pediatr.</t>
  </si>
  <si>
    <t>Chinese Soc Immunology</t>
  </si>
  <si>
    <t>Genes and Diseases</t>
  </si>
  <si>
    <t>Genes Dis.</t>
  </si>
  <si>
    <t>Chongqing Medical University</t>
  </si>
  <si>
    <t>International Journal of Nursing Sciences</t>
  </si>
  <si>
    <t>Int. J. Nurs. Sci.</t>
  </si>
  <si>
    <t>Chinese Nursing Association</t>
  </si>
  <si>
    <t>Journal of International Translational Medicine</t>
  </si>
  <si>
    <t>J. Int. Transl. Med.</t>
  </si>
  <si>
    <t>Third Party Medicine International Publishing Group Co. Limited</t>
  </si>
  <si>
    <t>Journal of Otology</t>
  </si>
  <si>
    <t>J. Otol.</t>
  </si>
  <si>
    <t>PLA General Hospital Department of Otolaryngology Head and Neck Surgery</t>
  </si>
  <si>
    <t>Journal of Traditional Chinese Medical Sciences</t>
  </si>
  <si>
    <t>J. Tradit. Chin. Med. Sci.</t>
  </si>
  <si>
    <t>Beijing University of Chinese Medicine</t>
  </si>
  <si>
    <t>Radiology of Infectious Diseases</t>
  </si>
  <si>
    <t>Radiol. Infect. Dis.</t>
  </si>
  <si>
    <t>Beijing You'an Hospital</t>
  </si>
  <si>
    <t>Dr. Dietrich Steinkopff Verlag GmbH and Co. KG</t>
  </si>
  <si>
    <t>Bio-Algorithms and Med-Systems</t>
  </si>
  <si>
    <t>Bio-Algorithms Med-Syst.</t>
  </si>
  <si>
    <t>Biomolecular Detection and Quantification</t>
  </si>
  <si>
    <t>Biomol. Detect. Quantif.</t>
  </si>
  <si>
    <t>BioNanoMaterials</t>
  </si>
  <si>
    <t>Burnout Research</t>
  </si>
  <si>
    <t>Burnout Res.</t>
  </si>
  <si>
    <t>Current Tropical Medicine Reports</t>
  </si>
  <si>
    <t>Curr. Trop. Med. Rep.</t>
  </si>
  <si>
    <t>Diagnosis</t>
  </si>
  <si>
    <t>Epidemiologic Methods</t>
  </si>
  <si>
    <t>Epidemiol. Methods</t>
  </si>
  <si>
    <t>Injury Epidemiology</t>
  </si>
  <si>
    <t>Inj. Epidemiol.</t>
  </si>
  <si>
    <t xml:space="preserve">Intensive Care Medicine Experimental </t>
  </si>
  <si>
    <t>Intensive Care Med. Exp.</t>
  </si>
  <si>
    <t>Journal of Applied Research on Medicinal and Aromatic Plants</t>
  </si>
  <si>
    <t>J. Appl. Res. Med. Aromat. Plants</t>
  </si>
  <si>
    <t>Journal of Computational Surgery</t>
  </si>
  <si>
    <t>J. Comput. Surg.</t>
  </si>
  <si>
    <t>Synergy</t>
  </si>
  <si>
    <t>Woman - Psychosomatic Gynaecology and Obstetrics</t>
  </si>
  <si>
    <t>Woman Psychosom. Gynaecol. Obstet.</t>
  </si>
  <si>
    <t>springer berlin</t>
  </si>
  <si>
    <t>POLSKIE TOWARZYSTWO ANATOMICZN</t>
  </si>
  <si>
    <t>Clinical Nephrology - Case Studies</t>
  </si>
  <si>
    <t>Clin. Nephrol. Case Stud.</t>
  </si>
  <si>
    <t>Drug Metabolism and Personalized Therapy</t>
  </si>
  <si>
    <t>Drug Metab. Personalized Ther</t>
  </si>
  <si>
    <t>Forum for Health Economics and Policy</t>
  </si>
  <si>
    <t xml:space="preserve">Forum Health Econ. Policy </t>
  </si>
  <si>
    <t>Association of Radiology and Oncology</t>
  </si>
  <si>
    <t>Hematologic Malignancies</t>
  </si>
  <si>
    <t>Hematol. Malig.</t>
  </si>
  <si>
    <t>Medical Radiology</t>
  </si>
  <si>
    <t>Med. Radiol.</t>
  </si>
  <si>
    <t>Pediatric Oncology</t>
  </si>
  <si>
    <t>Pediatr. Oncol.</t>
  </si>
  <si>
    <t>Toxicologie Analytique et Clinique</t>
  </si>
  <si>
    <t>Toxicol. Anal. Clin.</t>
  </si>
  <si>
    <t>Springer-Verlag London Ltd</t>
  </si>
  <si>
    <t>J. Intern. Med. (GBR)</t>
  </si>
  <si>
    <t>BioMedical Engineering Online</t>
  </si>
  <si>
    <t>Female Pelvic Medicine and Reconstructive Surgery</t>
  </si>
  <si>
    <t>Female Pelvic Med. Reconstr. Surg.</t>
  </si>
  <si>
    <t>Addictive Behaviors Reports</t>
  </si>
  <si>
    <t>Addict. Behav. Rep.</t>
  </si>
  <si>
    <t>Biotribology</t>
  </si>
  <si>
    <t>BMC Obesity</t>
  </si>
  <si>
    <t>BMC Obes.</t>
  </si>
  <si>
    <t>British Journal of Pain</t>
  </si>
  <si>
    <t>Br. J. Pain</t>
  </si>
  <si>
    <t>Canadian Journal of Kidney Health and Disease</t>
  </si>
  <si>
    <t>Can. J. Kidney Health Dis.</t>
  </si>
  <si>
    <t>Clinical Case Reports</t>
  </si>
  <si>
    <t>Clin. Case Rep.</t>
  </si>
  <si>
    <t>Cogent Medicine</t>
  </si>
  <si>
    <t>Cogent Med.</t>
  </si>
  <si>
    <t>Cogent OA</t>
  </si>
  <si>
    <t>Current Opinion in Behavioral Sciences</t>
  </si>
  <si>
    <t>Curr. Opin. Behav. Sci.</t>
  </si>
  <si>
    <t>European Journal of Radiology Open</t>
  </si>
  <si>
    <t>Eur. J. Radiol. Open</t>
  </si>
  <si>
    <t>Hepatic Oncology</t>
  </si>
  <si>
    <t>Hepatic Oncol.</t>
  </si>
  <si>
    <t>International Journal of Africa Nursing Sciences</t>
  </si>
  <si>
    <t>Int. J. Afr. Nurs. Sci.</t>
  </si>
  <si>
    <t>Interventional Cardiology</t>
  </si>
  <si>
    <t>Journal of Investigative Medicine High Impact Case Reports</t>
  </si>
  <si>
    <t>J. Investig. Med. High Impact Case Rep.</t>
  </si>
  <si>
    <t>Lupus Science and Medicine</t>
  </si>
  <si>
    <t>Lupus Sci. Med.</t>
  </si>
  <si>
    <t>New Horizons in Translational Medicine</t>
  </si>
  <si>
    <t>New Horizons Transl. Med.</t>
  </si>
  <si>
    <t>New Microbes and New Infections</t>
  </si>
  <si>
    <t>New Microbes New Infect.</t>
  </si>
  <si>
    <t>Royal Society of Medicine Press Ltd</t>
  </si>
  <si>
    <t>Oxford Medical Case Reports</t>
  </si>
  <si>
    <t>Oxf. Med. Case Rep.</t>
  </si>
  <si>
    <t>Pathogenesis</t>
  </si>
  <si>
    <t>Pharmacology Research and Perspectives</t>
  </si>
  <si>
    <t>Pharmacol. Res. Perspect.</t>
  </si>
  <si>
    <t>SAGE Open Medical Case Reports</t>
  </si>
  <si>
    <t>SAGE Open Med. Case Reports</t>
  </si>
  <si>
    <t>SAGE Open Medicine</t>
  </si>
  <si>
    <t>SAGE Open Med.</t>
  </si>
  <si>
    <t>The Lancet Haematology</t>
  </si>
  <si>
    <t>Lancet Haematol.</t>
  </si>
  <si>
    <t>The Lancet HIV</t>
  </si>
  <si>
    <t>Lancet HIV</t>
  </si>
  <si>
    <t>The Lancet Psychiatry</t>
  </si>
  <si>
    <t>Lancet Psychiatry</t>
  </si>
  <si>
    <t>Therapeutic Advances in Vaccines</t>
  </si>
  <si>
    <t>Ther. Adv. Vaccines</t>
  </si>
  <si>
    <t>Tubercle and Lung Disease</t>
  </si>
  <si>
    <t>Tubercle Lung Dis.</t>
  </si>
  <si>
    <t>United European Gastroenterology Journal</t>
  </si>
  <si>
    <t>United Eur. Gastroenterol. J.</t>
  </si>
  <si>
    <t>Paedia.</t>
  </si>
  <si>
    <t>Artif. Cells Nanomed. Biotechnol.</t>
  </si>
  <si>
    <t>Child Neuropsychology</t>
  </si>
  <si>
    <t>Child Neuropsychol.</t>
  </si>
  <si>
    <t>Emerging Health Threats Forum</t>
  </si>
  <si>
    <t>J.Mol. Cell Biol.</t>
  </si>
  <si>
    <t>Post Reproductive Health</t>
  </si>
  <si>
    <t>npj Primary Care Respiratory Medicine</t>
  </si>
  <si>
    <t>npj Prim. Care Respir. Med.</t>
  </si>
  <si>
    <t>Arrhythmia and Electrophysiology Review</t>
  </si>
  <si>
    <t>Arrhythm. Electrophysiol. Rev.</t>
  </si>
  <si>
    <t>Eur. J. Parenter. Pharm. Sci.</t>
  </si>
  <si>
    <t>F1000 Res.</t>
  </si>
  <si>
    <t>Healthcare Technology Letters</t>
  </si>
  <si>
    <t>Healthc. Technol. Lett.</t>
  </si>
  <si>
    <t>Interventional Cardiology Review</t>
  </si>
  <si>
    <t>Intervent. Cardiol. Rev.</t>
  </si>
  <si>
    <t>Journal of Pharmaceutical Policy and Practice</t>
  </si>
  <si>
    <t>J. pharm. policy pract.</t>
  </si>
  <si>
    <t>Language, Cognition and Neuroscience</t>
  </si>
  <si>
    <t>Lang. Cogn. Neurosci.</t>
  </si>
  <si>
    <t>General Practice Airways Group Ltd</t>
  </si>
  <si>
    <t>Psychiatry, Psychology and Law</t>
  </si>
  <si>
    <t>Psychiatry Psychol. Law</t>
  </si>
  <si>
    <t>Scandinavian Journal of Disability Research</t>
  </si>
  <si>
    <t>Scand. J. Disabil. Res.</t>
  </si>
  <si>
    <t>Issues in Toxicology</t>
  </si>
  <si>
    <t>Issues Toxicol.</t>
  </si>
  <si>
    <t>New Developments in NMR</t>
  </si>
  <si>
    <t>New Dev. NMR</t>
  </si>
  <si>
    <t>RSC Metallobiology</t>
  </si>
  <si>
    <t>RSC Metallobiol.</t>
  </si>
  <si>
    <t>AME Publishing Company</t>
  </si>
  <si>
    <t>Journal of Gastroenterology and Hepatology Research</t>
  </si>
  <si>
    <t>J. Gastroenterol. Hepatol. Res.</t>
  </si>
  <si>
    <t>Pioneer Bioscience Publishing</t>
  </si>
  <si>
    <t>Translational Andrology and Urology</t>
  </si>
  <si>
    <t>Transl. Androl. Urol.</t>
  </si>
  <si>
    <t>Journal of Behavioral Addictions</t>
  </si>
  <si>
    <t>J. Behav. Addict.</t>
  </si>
  <si>
    <t>Current Medicine Research and Practice</t>
  </si>
  <si>
    <t>Curr. Med. Res. Prac.</t>
  </si>
  <si>
    <t>JPR Solutions</t>
  </si>
  <si>
    <t>International Journal of Epilepsy</t>
  </si>
  <si>
    <t>Int. J. Epilepsy</t>
  </si>
  <si>
    <t>Journal of Arthroscopy and Joint Surgery</t>
  </si>
  <si>
    <t>J. Arthrosc. Jt. Surg.</t>
  </si>
  <si>
    <t>EManuscript Services</t>
  </si>
  <si>
    <t>Journal of Reproductive Health and Medicine</t>
  </si>
  <si>
    <t>J. Reprod. Health Med.</t>
  </si>
  <si>
    <t>Saudi Journal of Medicine and Medical Sciences</t>
  </si>
  <si>
    <t>Saudi J. Med. Med. Sci.</t>
  </si>
  <si>
    <t>EM International</t>
  </si>
  <si>
    <t>Austral-Asian Journal of Cancer</t>
  </si>
  <si>
    <t>Austral-Asian J. Cancer</t>
  </si>
  <si>
    <t>Researchman Publishers</t>
  </si>
  <si>
    <t>European Journal of Case Reports in Internal Medicine</t>
  </si>
  <si>
    <t>Eur. J. Case Rep. Intern. Med.</t>
  </si>
  <si>
    <t>SMC Media Srl</t>
  </si>
  <si>
    <t>Chauhan Publishers</t>
  </si>
  <si>
    <t>Int. J. Infertil. Fetal. Med.</t>
  </si>
  <si>
    <t>Int. J. Pharmcy Pharm. Sci.</t>
  </si>
  <si>
    <t>Journal of Clinical and Experimental Research</t>
  </si>
  <si>
    <t>J. Clin. Exp. Res.</t>
  </si>
  <si>
    <t>Saujas Publications</t>
  </si>
  <si>
    <t>Journal of Krishna Institute of Medical Sciences University</t>
  </si>
  <si>
    <t>J. Krishna Inst. Med. Sci. Univ.</t>
  </si>
  <si>
    <t>Krishna Institute of Medical Sciences University</t>
  </si>
  <si>
    <t>World Informations Syndicate</t>
  </si>
  <si>
    <t>Mrs Deepika Charan</t>
  </si>
  <si>
    <t>University Enclave</t>
  </si>
  <si>
    <t>IJC Heart Vessels</t>
  </si>
  <si>
    <t>IJC Metab. Endocr.</t>
  </si>
  <si>
    <t>Anesthesiology and Pain Medicine</t>
  </si>
  <si>
    <t>Anesth. Pain Med.</t>
  </si>
  <si>
    <t>Asia Pacific Journal of Medical Toxicology</t>
  </si>
  <si>
    <t>Asia Pac. J. Med. Toxicol.</t>
  </si>
  <si>
    <t>Bulletin of Emergency and Trauma</t>
  </si>
  <si>
    <t>Bull. Emerg. Trauma</t>
  </si>
  <si>
    <t>Emergency</t>
  </si>
  <si>
    <t>Galen Medical Journal</t>
  </si>
  <si>
    <t>Galen Med. J.</t>
  </si>
  <si>
    <t>Genetics in the Third Millennium</t>
  </si>
  <si>
    <t>Genet. Third Millennium</t>
  </si>
  <si>
    <t>Iranian Neurogenetics Society</t>
  </si>
  <si>
    <t>Hepat. Mon.</t>
  </si>
  <si>
    <t>Iranian Society for Organ Transplantation</t>
  </si>
  <si>
    <t>Intl. J. Radiat. Res.</t>
  </si>
  <si>
    <t>Iranian Journal of Blood and Cancer</t>
  </si>
  <si>
    <t>Iran. J. Blood Cancer</t>
  </si>
  <si>
    <t>Iranian Pediatric Hematology and Oncology Society</t>
  </si>
  <si>
    <t>Mazandaran University of Medical Sciences</t>
  </si>
  <si>
    <t>Iranian Journal of Radiation Research</t>
  </si>
  <si>
    <t>Journal of Biomedical Physics and Engineering</t>
  </si>
  <si>
    <t>J. Biomed. Phys. Eng.</t>
  </si>
  <si>
    <t>Journal of HerbMed Pharmacology</t>
  </si>
  <si>
    <t>J. HerbMed Pharmacol.</t>
  </si>
  <si>
    <t>Nickan Research Institute</t>
  </si>
  <si>
    <t>Health Hamadan University of Medical Sciences</t>
  </si>
  <si>
    <t>Middle East Journal of Digestive Diseases</t>
  </si>
  <si>
    <t>Middle East J. Dig. Dis.</t>
  </si>
  <si>
    <t>Nephro-Urol. Mon.</t>
  </si>
  <si>
    <t>Kowsar Corp</t>
  </si>
  <si>
    <t>Research Journal of Pharmacognosy</t>
  </si>
  <si>
    <t>Res. J. Pharmacogn.</t>
  </si>
  <si>
    <t>Iranian Society of Pharmacognosy</t>
  </si>
  <si>
    <t>Trauma. Mon.</t>
  </si>
  <si>
    <t>Wichtig Publishing Srl</t>
  </si>
  <si>
    <t>Thyroidology Clin. Exp.</t>
  </si>
  <si>
    <t>Hiroshima University Medical Press</t>
  </si>
  <si>
    <t>Tokai University School of Medicine</t>
  </si>
  <si>
    <t>Regenerative Therapy</t>
  </si>
  <si>
    <t>Regen. Ther.</t>
  </si>
  <si>
    <t>Japanese Society of Regenerative Medicine</t>
  </si>
  <si>
    <t>Kenia</t>
  </si>
  <si>
    <t>CiOS Clinics in Orthopedic Surgery</t>
  </si>
  <si>
    <t>CIOS Clin. Orthop. Surg.</t>
  </si>
  <si>
    <t>Clinical and Molecular Hepatology</t>
  </si>
  <si>
    <t>Clin. Mol. Hepatol.</t>
  </si>
  <si>
    <t>Annals of Pediatric Endocrinology and Metabolism</t>
  </si>
  <si>
    <t>Ann. Pediatr. Endocrinol. Metab.</t>
  </si>
  <si>
    <t>Korean society of pediatric endocrinology</t>
  </si>
  <si>
    <t>Korean Academy of Periodontology</t>
  </si>
  <si>
    <t>Psychiatry Investig.</t>
  </si>
  <si>
    <t>Department of Radiation Oncology</t>
  </si>
  <si>
    <t>Translational and Clinical Pharmacology</t>
  </si>
  <si>
    <t>Transl. Clin. Pharmacol.</t>
  </si>
  <si>
    <t>Ultrasonography</t>
  </si>
  <si>
    <t>Korean Society of Ultrasound in Medicine</t>
  </si>
  <si>
    <t>Journal of Health and Translational Medicine</t>
  </si>
  <si>
    <t>J. Health Transl. Med.</t>
  </si>
  <si>
    <t>University of Benin</t>
  </si>
  <si>
    <t>Quality of Life Research</t>
  </si>
  <si>
    <t>Qual. Life Res.</t>
  </si>
  <si>
    <t>Technology and Health Care</t>
  </si>
  <si>
    <t>Technol. Health Care</t>
  </si>
  <si>
    <t>Springer Netherland</t>
  </si>
  <si>
    <t>Applied Clinical Research, Clinical Trials and Regulatory Affairs</t>
  </si>
  <si>
    <t>Appl. Clin. Res. Clin. Trials Redul. Aff.</t>
  </si>
  <si>
    <t>Asian Pacific Tropical Biomedicine Press</t>
  </si>
  <si>
    <t>China Medical University</t>
  </si>
  <si>
    <t>Biotechnology Reports</t>
  </si>
  <si>
    <t>Biotechnol. Rep.</t>
  </si>
  <si>
    <t>Case Reports in Women's Health</t>
  </si>
  <si>
    <t>Case Rep. Women's Health</t>
  </si>
  <si>
    <t>Clinical Anti-Inflammatory and Anti-Allergy Drugs</t>
  </si>
  <si>
    <t>Clin. Anti-Inflamm. Anti-Allergy Drugs</t>
  </si>
  <si>
    <t>Clinical Immunology, Endocrine and Metabolic Drugs</t>
  </si>
  <si>
    <t>Clin. Immunol. Endocr. Metab. Drugs</t>
  </si>
  <si>
    <t>Clinical Trials and Regulatory Science in Cardiology</t>
  </si>
  <si>
    <t>Clin. Trials Regul. Sci. Cardiol.</t>
  </si>
  <si>
    <t>EBioMedicine</t>
  </si>
  <si>
    <t>ISASS</t>
  </si>
  <si>
    <t>Internet Interventions</t>
  </si>
  <si>
    <t>Internet Interv.</t>
  </si>
  <si>
    <t>Springer Science+Business Media</t>
  </si>
  <si>
    <t>Metabolic Engineering Communications</t>
  </si>
  <si>
    <t>Metab. Eng. Commun.</t>
  </si>
  <si>
    <t>Prostate International</t>
  </si>
  <si>
    <t>Prostate Int.</t>
  </si>
  <si>
    <t>Virology Reports</t>
  </si>
  <si>
    <t>Virol. Report.</t>
  </si>
  <si>
    <t>Recent Advances in DNA and Gene Sequences</t>
  </si>
  <si>
    <t>Recent Adv. DNA Gene Sequences</t>
  </si>
  <si>
    <t>Archives of Cardiovascular Imaging</t>
  </si>
  <si>
    <t>Arch. Cardiovasc. Imaging</t>
  </si>
  <si>
    <t>KOWSAR Medical Publishing Company</t>
  </si>
  <si>
    <t>Archives of Neuroscience</t>
  </si>
  <si>
    <t>Arch. Neurosci.</t>
  </si>
  <si>
    <t>Archives of Trauma Research</t>
  </si>
  <si>
    <t>Arch. Trauma Res.</t>
  </si>
  <si>
    <t>Clinical Cancer Drugs</t>
  </si>
  <si>
    <t>Clin. Cancer Drugs</t>
  </si>
  <si>
    <t>Journal of Skin and Stem Cell</t>
  </si>
  <si>
    <t>J. Skin Stem Cell</t>
  </si>
  <si>
    <t>Razavi International Journal of Medicine</t>
  </si>
  <si>
    <t>Razavi Int. J. Med.</t>
  </si>
  <si>
    <t>Research in Cardiovascular Medicine</t>
  </si>
  <si>
    <t>Res. Cardiovasc. Med.</t>
  </si>
  <si>
    <t>ImmunoTargets and Therapy</t>
  </si>
  <si>
    <t>ImmunoTargets Ther.</t>
  </si>
  <si>
    <t>Journal of Asthma and Allergy</t>
  </si>
  <si>
    <t>J. Asthma Allerg.</t>
  </si>
  <si>
    <t>Neuroscience and Neuroeconomics</t>
  </si>
  <si>
    <t>Neurosci. Neuroecon.</t>
  </si>
  <si>
    <t>Orphan Drugs: Research and Reviews</t>
  </si>
  <si>
    <t>Orphan Drugs Res. Rev.</t>
  </si>
  <si>
    <t>PharmacoEcon. Personalized Med.</t>
  </si>
  <si>
    <t>Journal of the ASEAN Federation of Endocrine Societies</t>
  </si>
  <si>
    <t>J. ASEAN Fed. Endocr. Soc.</t>
  </si>
  <si>
    <t>ASEAN Federation of Endocrine Societies</t>
  </si>
  <si>
    <t>Acta Medica Martiniana</t>
  </si>
  <si>
    <t>Acta Med. Martin.</t>
  </si>
  <si>
    <t>De Gruyter Open Ltd</t>
  </si>
  <si>
    <t>ARS Medica Tomitana</t>
  </si>
  <si>
    <t>Case Reports in Perinatal Medicine</t>
  </si>
  <si>
    <t>Case Rep. Perinat. Med.</t>
  </si>
  <si>
    <t>Endoplasmic Reticulum Stress in Diseases</t>
  </si>
  <si>
    <t>Endoplasmic Reticulum Stress Dis.</t>
  </si>
  <si>
    <t>Epigenetics of Degenerative Diseases</t>
  </si>
  <si>
    <t>Epigenetics Degener. Dis.</t>
  </si>
  <si>
    <t>Immunometabolism</t>
  </si>
  <si>
    <t>Innovative Neurosurgery</t>
  </si>
  <si>
    <t>Innov. Neurosurg.</t>
  </si>
  <si>
    <t>MicroRNA Diagnostics and Therapeutics</t>
  </si>
  <si>
    <t>MicroRNA Diagn. Ther.</t>
  </si>
  <si>
    <t>Nanomaterials and Tissue Regeneration</t>
  </si>
  <si>
    <t>Nanomater. Tissue Regen.</t>
  </si>
  <si>
    <t>Open Medicine (Poland)</t>
  </si>
  <si>
    <t>Open Med.</t>
  </si>
  <si>
    <t>Urban and Partner</t>
  </si>
  <si>
    <t>Seminars in Cardiovascular Medicine</t>
  </si>
  <si>
    <t>Semin. Cardiovasc. Med.</t>
  </si>
  <si>
    <t>Serbian Journal of Dermatology and Venereology</t>
  </si>
  <si>
    <t>Serb. J. Dermatol. Venerol.</t>
  </si>
  <si>
    <t>Alergologia Polska - Polish Journal of Allergology</t>
  </si>
  <si>
    <t>Alergol. Pol. Pol. J. Allergol.</t>
  </si>
  <si>
    <t>Central European Journal of Urology</t>
  </si>
  <si>
    <t>Cent. Eur. J. Urol.</t>
  </si>
  <si>
    <t>Polish Urological Association</t>
  </si>
  <si>
    <t>Glob. Cardio. Sci. Prac.</t>
  </si>
  <si>
    <t>Clujul Medical</t>
  </si>
  <si>
    <t>Clujul Med.</t>
  </si>
  <si>
    <t>Universitatea de Medicina si Farmacie Iuliu Hatieganu</t>
  </si>
  <si>
    <t>Romanian Society of Pharmacology, Therapeutics and Clinical Toxicology</t>
  </si>
  <si>
    <t>Maik Nauka Publishing / Springer SBM</t>
  </si>
  <si>
    <t>Russian Journal of Cardiology</t>
  </si>
  <si>
    <t>Russ. J. Cardiol.</t>
  </si>
  <si>
    <t>Silicea-Poligraf</t>
  </si>
  <si>
    <t>Russian Open Medical Journal</t>
  </si>
  <si>
    <t>Russ. Open Med. J.</t>
  </si>
  <si>
    <t>International Journal of Pediatrics and Adolescent Medicine</t>
  </si>
  <si>
    <t>Int. J. Pediatr. Adolesc. Med.</t>
  </si>
  <si>
    <t>Asian Journal of Urology</t>
  </si>
  <si>
    <t>Asian J. Urol.</t>
  </si>
  <si>
    <t>Journal of Innovative Optical Health Sciences</t>
  </si>
  <si>
    <t>J. Innovative Opt. Health Sci.</t>
  </si>
  <si>
    <t>Cancer Research Institute Slovak Acad. of Sciences</t>
  </si>
  <si>
    <t>Computational and Structural Biotechnology Journal</t>
  </si>
  <si>
    <t>Comput. Struct. Biotechnol. J.</t>
  </si>
  <si>
    <t>Yuzuncu Yil Universitesi Tip Fakultesi</t>
  </si>
  <si>
    <t>Turkish Pharmacists Association</t>
  </si>
  <si>
    <t>Advances in Digestive Medicine</t>
  </si>
  <si>
    <t>Adv. Dig. Med.</t>
  </si>
  <si>
    <t>Rodman Publishing, Corp.</t>
  </si>
  <si>
    <t>Springer New York LLC</t>
  </si>
  <si>
    <t>Comparative Biochemistry and Physiology Part - B: Biochemistry and Molecular Biology</t>
  </si>
  <si>
    <t>Journal of Bone and Joint Surgery - American Volume</t>
  </si>
  <si>
    <t>J. Hand Surg. (USA)</t>
  </si>
  <si>
    <t>Uninversity of Michigan</t>
  </si>
  <si>
    <t>Comparative Biochemistry and Physiology Part - C: Toxicology and Pharmacology</t>
  </si>
  <si>
    <t>Journal of Cellular and Molecular Medicine</t>
  </si>
  <si>
    <t>J. Cell. Mol. Med.</t>
  </si>
  <si>
    <t>Archiv. Environ. Occup. Health</t>
  </si>
  <si>
    <t>J. Neursurg. Pediatr.</t>
  </si>
  <si>
    <t>Springer US</t>
  </si>
  <si>
    <t>A A Case Rep.</t>
  </si>
  <si>
    <t>Annals of Clinical and Translational Neurology</t>
  </si>
  <si>
    <t>Ann. Clin. Transl. Neurol.</t>
  </si>
  <si>
    <t>Annual Review of Virology</t>
  </si>
  <si>
    <t>Annu. Rev. Virol.</t>
  </si>
  <si>
    <t>Bone Reports</t>
  </si>
  <si>
    <t>Bone Rep.</t>
  </si>
  <si>
    <t>Cell Systems</t>
  </si>
  <si>
    <t>Cell Syst.</t>
  </si>
  <si>
    <t>Current Medicine Group LLC 1</t>
  </si>
  <si>
    <t>Current Geriatrics Reports</t>
  </si>
  <si>
    <t>Curr. Geriatr. Rep.</t>
  </si>
  <si>
    <t>Current Radiology Reports</t>
  </si>
  <si>
    <t>Curr. Radiol. Rep.</t>
  </si>
  <si>
    <t>Human Pathology: Case Reports</t>
  </si>
  <si>
    <t>Hum. Pathol. Case Rep.</t>
  </si>
  <si>
    <t>Intl. J. Endocrinol.</t>
  </si>
  <si>
    <t>JAAD Case Reports</t>
  </si>
  <si>
    <t>JAAD Case Rep.</t>
  </si>
  <si>
    <t>JCRS Online Case Reports</t>
  </si>
  <si>
    <t>JCRS Online CaseRep.</t>
  </si>
  <si>
    <t>Journal of Inborn Errors of Metabolism and Screening</t>
  </si>
  <si>
    <t>J. Inborn Errors Metabol. Screen.</t>
  </si>
  <si>
    <t>Movement Disorders Clinical Practice</t>
  </si>
  <si>
    <t>Mov. Disord. Clin. Pract.</t>
  </si>
  <si>
    <t>Neurobiology of Stress</t>
  </si>
  <si>
    <t>Neurobiol. Stress</t>
  </si>
  <si>
    <t>Neuroepigenetics</t>
  </si>
  <si>
    <t>Neurology: Neuroimmunology and NeuroInflammation├»┬┐┬╜</t>
  </si>
  <si>
    <t>Neurol. Neuroimmunol. Neuroinflamm.</t>
  </si>
  <si>
    <t>Neuro-Oncology Practice</t>
  </si>
  <si>
    <t>Neuro-Oncol. Pract.</t>
  </si>
  <si>
    <t>Open Forum Infectious Diseases</t>
  </si>
  <si>
    <t>Open Forum Infect. Dis.</t>
  </si>
  <si>
    <t>Oral and Maxillofacial Surgery Cases</t>
  </si>
  <si>
    <t>Oral Maxillofac. Surg. Cases</t>
  </si>
  <si>
    <t>Preventive Medicine Reports</t>
  </si>
  <si>
    <t>Preventive Med. Reports</t>
  </si>
  <si>
    <t>Schizophrenia Research: Cognition</t>
  </si>
  <si>
    <t>Schizophr. Res. Cogn.</t>
  </si>
  <si>
    <t>Stem Cell Reviews and Reports</t>
  </si>
  <si>
    <t>Stem Cell Rev. Rep.</t>
  </si>
  <si>
    <t>Therapeutic Innovation and Regulatory Science</t>
  </si>
  <si>
    <t>Toxicology Reports</t>
  </si>
  <si>
    <t>Toxicol. Rep.</t>
  </si>
  <si>
    <t>Ultrasound clin.</t>
  </si>
  <si>
    <t>Urology Practice</t>
  </si>
  <si>
    <t>Urol. Pract.</t>
  </si>
  <si>
    <t>Comparative Biochemistry and Physiology -Part A : Molecular and Integrative Physiology</t>
  </si>
  <si>
    <t>Comp. Biochem. Physiol. A Mol. Integr. Physiol.</t>
  </si>
  <si>
    <t>Arthroscopy J. Arthroscopic Relat. Surg.</t>
  </si>
  <si>
    <t>Scientific World Journal</t>
  </si>
  <si>
    <t>eScholarship</t>
  </si>
  <si>
    <t>Nucl.</t>
  </si>
  <si>
    <t>Bulletin of the Hospital for Joint Diseases</t>
  </si>
  <si>
    <t>Bull. Hosp. Jt. Dis.</t>
  </si>
  <si>
    <t>Cancer Immunology Research</t>
  </si>
  <si>
    <t>Cancer Immunol. Res.</t>
  </si>
  <si>
    <t>Aging and Disease</t>
  </si>
  <si>
    <t>Aging Dis.</t>
  </si>
  <si>
    <t>International Society on Aging and Disease</t>
  </si>
  <si>
    <t>Am. J. Nucl. Med. Mol. Imaging</t>
  </si>
  <si>
    <t>Optical Society of American (OSA)</t>
  </si>
  <si>
    <t>IC-MED International Journal of Intelligent Computing in Medical Sciences and Image Processing</t>
  </si>
  <si>
    <t>IC-MED Int. J. Intelligent Comput. Med. Sci. Image Proces.</t>
  </si>
  <si>
    <t>TSI Press</t>
  </si>
  <si>
    <t>IEEE Journal of Translational Engineering in Health and Medicine</t>
  </si>
  <si>
    <t>IEEE J. Transl. Eng. Health Med.</t>
  </si>
  <si>
    <t>International Journal of Women's Health and Reproduction Sciences</t>
  </si>
  <si>
    <t>Int. J. Women's Health Reproduction Sci.</t>
  </si>
  <si>
    <t>Lulu Press</t>
  </si>
  <si>
    <t>Springer Science and Business Media, LLC</t>
  </si>
  <si>
    <t>JBJS Case Connector</t>
  </si>
  <si>
    <t>JBJS Case Connect.</t>
  </si>
  <si>
    <t>JBJS Essential Surgical Techniques</t>
  </si>
  <si>
    <t>JBJS Essent. Surg. Tech.</t>
  </si>
  <si>
    <t>JBJS Reviews</t>
  </si>
  <si>
    <t>JBJS Rev.</t>
  </si>
  <si>
    <t>Journal of Biomarkers</t>
  </si>
  <si>
    <t>J. Biomark.</t>
  </si>
  <si>
    <t>Journal of Cancer Research</t>
  </si>
  <si>
    <t>J. Cancer Res.</t>
  </si>
  <si>
    <t>J. Forensic Psychol. Pract.</t>
  </si>
  <si>
    <t xml:space="preserve">Journal of Medical Imaging </t>
  </si>
  <si>
    <t xml:space="preserve">J. Med. Imaging </t>
  </si>
  <si>
    <t>SPIE</t>
  </si>
  <si>
    <t>Medical Science Technology</t>
  </si>
  <si>
    <t>Med. Sci. Technol.</t>
  </si>
  <si>
    <t>International Scientific Information, Inc.</t>
  </si>
  <si>
    <t>Michigan State University, Department of English</t>
  </si>
  <si>
    <t>Advances in Neurobiology</t>
  </si>
  <si>
    <t>Adv. Neurobiol.</t>
  </si>
  <si>
    <t>Contemporary Endocrinology</t>
  </si>
  <si>
    <t>Contemp. Endocrinol.</t>
  </si>
  <si>
    <t>Receptors</t>
  </si>
  <si>
    <t>Korean Society of Automotive Engineers</t>
  </si>
  <si>
    <t>South African Journal of Radiology</t>
  </si>
  <si>
    <t>S. Afr. J. Radiol.</t>
  </si>
  <si>
    <t>CMGH Cellular and Molecular Gastroenterology and Hepatology</t>
  </si>
  <si>
    <t>CMGH Cell. Mol. Gastroenterol. Hepatol.</t>
  </si>
  <si>
    <t>Current Ophthalmology Reports</t>
  </si>
  <si>
    <t>Curr. Ophthalmol. Rep.</t>
  </si>
  <si>
    <t>Drug Safety - Case Reports</t>
  </si>
  <si>
    <t>Drug Saf. Case Rep.</t>
  </si>
  <si>
    <t>Adis International Ltd</t>
  </si>
  <si>
    <t>Echo Research and Practice</t>
  </si>
  <si>
    <t>Echo Res. Pract.</t>
  </si>
  <si>
    <t>Human Genome Variation</t>
  </si>
  <si>
    <t>Hum. Genome Var.</t>
  </si>
  <si>
    <t>International Journal of Endocrine Oncology</t>
  </si>
  <si>
    <t>Int. J. Endocr. Oncol.</t>
  </si>
  <si>
    <t>Journal of Medical Signals and Sensors</t>
  </si>
  <si>
    <t>J. Med. Signals Sens.</t>
  </si>
  <si>
    <t>Melanoma Management</t>
  </si>
  <si>
    <t>Melanoma Manag.</t>
  </si>
  <si>
    <t>Pharmaceutical Bioprocessing</t>
  </si>
  <si>
    <t>Pharm. Bioprocess.</t>
  </si>
  <si>
    <t>Acta Medica International</t>
  </si>
  <si>
    <t>Acta Med. Int.</t>
  </si>
  <si>
    <t>Teerthanker Mahaveer University</t>
  </si>
  <si>
    <t>Biomedical Research and Therapy</t>
  </si>
  <si>
    <t>Biomed. Res. Ther.</t>
  </si>
  <si>
    <t>BiomedPress</t>
  </si>
  <si>
    <t>Viet Nam</t>
  </si>
  <si>
    <t>Journal of Cellular Immunotherapy</t>
  </si>
  <si>
    <t>J. Cell. Immunother.</t>
  </si>
  <si>
    <t>Shanghai Hengrun Biomedical Technology Research Institute</t>
  </si>
  <si>
    <t>Multiple Sclerosis Journal</t>
  </si>
  <si>
    <t>Mult. Scler. J.</t>
  </si>
  <si>
    <t>Neurophotonics</t>
  </si>
  <si>
    <t>Pediatric Cancer</t>
  </si>
  <si>
    <t>Pediatr. Cancer</t>
  </si>
  <si>
    <t>English, French, Romanian</t>
  </si>
  <si>
    <t>Biomedizinische Technik</t>
  </si>
  <si>
    <t>Biomed. Tech.</t>
  </si>
  <si>
    <t>RoFo Fortschr. Geb. Rontgenstrahlen Bildgeb. Verfahr.</t>
  </si>
  <si>
    <t>Acta Facultatis Pharmaceuticae Universitatis Comenianae</t>
  </si>
  <si>
    <t>Acta Facultatis Pharmaceuticae Univ. Comenianae</t>
  </si>
  <si>
    <t>Comenius University</t>
  </si>
  <si>
    <t>RoFo Fortschr. Geb. Rontgenstrahlen Bildgeb. Verfahr. Suppl.</t>
  </si>
  <si>
    <t>Pediatric Infection and Vaccine</t>
  </si>
  <si>
    <t>Pediatr. Infect. Vaccine</t>
  </si>
  <si>
    <t>Revista Brasileira de Hematologia e Hemoterapia</t>
  </si>
  <si>
    <t>Rev. Bras. Hematol. Hemoterapia</t>
  </si>
  <si>
    <t>Nexus Medica</t>
  </si>
  <si>
    <t>Society of Pharmaceutical Sciences of Ankara (FABAD)</t>
  </si>
  <si>
    <t>Turk. Fiziksel Tip Rehab. Derg.</t>
  </si>
  <si>
    <t>Estonian</t>
  </si>
  <si>
    <t>Praticien en Anesthesie Reanimation</t>
  </si>
  <si>
    <t>Prat. Anest. Reanim.</t>
  </si>
  <si>
    <t>Rev. Rhum. Monogr.</t>
  </si>
  <si>
    <t>Anesthesie et Reanimation</t>
  </si>
  <si>
    <t>Anesth. Reanim.</t>
  </si>
  <si>
    <t>J. Hyperton.</t>
  </si>
  <si>
    <t>Viszeralmedizin Gastrointest. Med. Surg.</t>
  </si>
  <si>
    <t xml:space="preserve">Urologe </t>
  </si>
  <si>
    <t>Biomedia</t>
  </si>
  <si>
    <t>Global and Regional Health Technology Assessment</t>
  </si>
  <si>
    <t>Global Reg. Health Technol. Assess.</t>
  </si>
  <si>
    <t>Western Division of Japanese Dermatological Association</t>
  </si>
  <si>
    <t>Ann. Coloproctol.</t>
  </si>
  <si>
    <t>Acta Urologica Portuguesa</t>
  </si>
  <si>
    <t>Acta Urol. Port.</t>
  </si>
  <si>
    <t>Rev. Port. Endocrinol. Diabetes Metabol.</t>
  </si>
  <si>
    <t>Portuguese, Spanish</t>
  </si>
  <si>
    <t>Genes and Cells</t>
  </si>
  <si>
    <t>Human Stem Cell Institute</t>
  </si>
  <si>
    <t>Radiol. Arh. Srb.</t>
  </si>
  <si>
    <t>Serbian Medical Association - society of diagnostic radiology</t>
  </si>
  <si>
    <t>Revista Colombiana de Anestesiologia</t>
  </si>
  <si>
    <t>Rev. Colomb. Anestesiol.</t>
  </si>
  <si>
    <t>Revista Cubana de Plantas Medicinales</t>
  </si>
  <si>
    <t>Rev. Cuba. Plantas Med.</t>
  </si>
  <si>
    <t>Spanish Association of Anglo-American Studies</t>
  </si>
  <si>
    <t>Revista Espanola de Artroscopia y Cirugia Articular</t>
  </si>
  <si>
    <t>Rev. Esp. Atrosc. Cir. Articul.</t>
  </si>
  <si>
    <t>Asociacion Espanola de Dietistas-Nutricionistas</t>
  </si>
  <si>
    <t>Rev. Hispanoam. Hernia</t>
  </si>
  <si>
    <t>Urologia Colombiana</t>
  </si>
  <si>
    <t>Urol. Colomb.</t>
  </si>
  <si>
    <t>Revista Peruana de Medicina Experimental y Salud Publica</t>
  </si>
  <si>
    <t>Turk Patoloji Dergisi</t>
  </si>
  <si>
    <t>Federation of Turkish Pathology Societies</t>
  </si>
  <si>
    <t>Turk.Klinikler Dermatoloji</t>
  </si>
  <si>
    <t>Zeynep Kamil Tip Bulteni</t>
  </si>
  <si>
    <t>Zeynep Kamil Tip Bul.</t>
  </si>
  <si>
    <t>Zeynep Kamil Kadin ve Cocuk Hastaliklari Egitim ve Arastirma Hastanesi</t>
  </si>
  <si>
    <t>Hokkaidō Igakkai.</t>
  </si>
  <si>
    <t>Acta neuropathologica communications</t>
  </si>
  <si>
    <t>Acta Neuropathol Commun</t>
  </si>
  <si>
    <t>20515960</t>
  </si>
  <si>
    <t>23064102</t>
  </si>
  <si>
    <t>English, Czech</t>
  </si>
  <si>
    <t>English, Russian</t>
  </si>
  <si>
    <t>Advances in neurobiology</t>
  </si>
  <si>
    <t>Adv Neurobiol</t>
  </si>
  <si>
    <t>21905215</t>
  </si>
  <si>
    <t>English, Bulgarian</t>
  </si>
  <si>
    <t>Analytical and quantitative cytopathology and histopathology</t>
  </si>
  <si>
    <t>Anal Quant Cytopathol Histpathol</t>
  </si>
  <si>
    <t>Science Printers and Publishers, Inc.</t>
  </si>
  <si>
    <t>English, German, Italian</t>
  </si>
  <si>
    <t>Annual review of animal biosciences</t>
  </si>
  <si>
    <t>Annu Rev Anim Biosci</t>
  </si>
  <si>
    <t>21658102</t>
  </si>
  <si>
    <t>21658110</t>
  </si>
  <si>
    <t>23279095</t>
  </si>
  <si>
    <t>23279109</t>
  </si>
  <si>
    <t>English, Arabic</t>
  </si>
  <si>
    <t>Institut Pasteur de Tunis</t>
  </si>
  <si>
    <t>Societat Catalana de Salut Laboral</t>
  </si>
  <si>
    <t>16891716</t>
  </si>
  <si>
    <t>Termedia Wydawnictwo Medyczne</t>
  </si>
  <si>
    <t>English, Dutch</t>
  </si>
  <si>
    <t>23176326</t>
  </si>
  <si>
    <t>19493614</t>
  </si>
  <si>
    <t>Australian nursing &amp; midwifery journal</t>
  </si>
  <si>
    <t>Aust Nurs Midwifery J</t>
  </si>
  <si>
    <t>22027114</t>
  </si>
  <si>
    <t>Australian Nursing &amp; Midwifery Federation</t>
  </si>
  <si>
    <t>19434448</t>
  </si>
  <si>
    <t>AIP Publishing</t>
  </si>
  <si>
    <t>English, Czech, German, Russian</t>
  </si>
  <si>
    <t>23106972</t>
  </si>
  <si>
    <t>23106905</t>
  </si>
  <si>
    <t>Biomolecular concepts</t>
  </si>
  <si>
    <t>Biomol Concepts</t>
  </si>
  <si>
    <t>18685021</t>
  </si>
  <si>
    <t>1868503X</t>
  </si>
  <si>
    <t>English, Slovakian</t>
  </si>
  <si>
    <t>Dutch, French</t>
  </si>
  <si>
    <t>Universitat de Barcelona</t>
  </si>
  <si>
    <t>Conference proceedings : ... Annual International Conference of the IEEE Engineering in Medicine and Biology Society. IEEE Engineering in Medicine and Biology Society. Annual Conference</t>
  </si>
  <si>
    <t>Critical reviews in analytical chemistry / CRC</t>
  </si>
  <si>
    <t>Crit Rev Anal Chem</t>
  </si>
  <si>
    <t>10408347</t>
  </si>
  <si>
    <t>15476510</t>
  </si>
  <si>
    <t>Developmental period medicine</t>
  </si>
  <si>
    <t>Dev Period Med</t>
  </si>
  <si>
    <t>Wydawnictwo Aluna</t>
  </si>
  <si>
    <t>20958137</t>
  </si>
  <si>
    <t>English, Finnish</t>
  </si>
  <si>
    <t>19969805</t>
  </si>
  <si>
    <t>21672520</t>
  </si>
  <si>
    <t>English, Ukrainian</t>
  </si>
  <si>
    <t>Taylor &amp; Francis Inc.</t>
  </si>
  <si>
    <t>18036465</t>
  </si>
  <si>
    <t>Institute of Parasitology, Biology Centrum the Academy of Sciences of the Czech Republic</t>
  </si>
  <si>
    <t>English, German, Russian, Georgian</t>
  </si>
  <si>
    <t>Global health, science and practice</t>
  </si>
  <si>
    <t>Glob Health Sci Pract</t>
  </si>
  <si>
    <t>2169575X</t>
  </si>
  <si>
    <t>U.S. Agency for International Development and Johns Hopkins Bloomberg School of Public Health, Center for Communication Programs</t>
  </si>
  <si>
    <t>English, Hebrew</t>
  </si>
  <si>
    <t>Health promotion and chronic disease prevention in Canada</t>
  </si>
  <si>
    <t>Health Promot Chronic Dis Prev Can</t>
  </si>
  <si>
    <t>2368738X</t>
  </si>
  <si>
    <t>Health psychology review</t>
  </si>
  <si>
    <t>Health Psychol Rev</t>
  </si>
  <si>
    <t>17437199</t>
  </si>
  <si>
    <t>17437202</t>
  </si>
  <si>
    <t>Routledge, Taylor &amp; Francis</t>
  </si>
  <si>
    <t>19450567</t>
  </si>
  <si>
    <t>21675112</t>
  </si>
  <si>
    <t>English, French, German, Italian</t>
  </si>
  <si>
    <t>17538564</t>
  </si>
  <si>
    <t>National Institute of Industrial Health</t>
  </si>
  <si>
    <t>BCS, the Chartered Institute for IT</t>
  </si>
  <si>
    <t>19457243</t>
  </si>
  <si>
    <t>Wiley Publishing Asia Pty Ltd</t>
  </si>
  <si>
    <t>Int J Numer Method Biomed Eng</t>
  </si>
  <si>
    <t>International journal of medical education</t>
  </si>
  <si>
    <t>Int J Med Educ</t>
  </si>
  <si>
    <t>20426372</t>
  </si>
  <si>
    <t>IJME]</t>
  </si>
  <si>
    <t>Spanish Society for Microbiology</t>
  </si>
  <si>
    <t>Investigación y educación en enfermería</t>
  </si>
  <si>
    <t>Invest Educ Enferm</t>
  </si>
  <si>
    <t>01205307</t>
  </si>
  <si>
    <t>22160280</t>
  </si>
  <si>
    <t>Facultad de Enfermería de la Universidad de Antioquia</t>
  </si>
  <si>
    <t>20385129</t>
  </si>
  <si>
    <t>17576334</t>
  </si>
  <si>
    <t>Published by SPIE--the International Society for Optical Engineering  in cooperation with International Biomedical Optics Society</t>
  </si>
  <si>
    <t>Journal of developmental origins of health and disease</t>
  </si>
  <si>
    <t>J Dev Orig Health Dis</t>
  </si>
  <si>
    <t>20401744</t>
  </si>
  <si>
    <t>20401752</t>
  </si>
  <si>
    <t>1938291X</t>
  </si>
  <si>
    <t>Journal of evidence-based complementary &amp; alternative medicine</t>
  </si>
  <si>
    <t>Journal of experimental psychology. Animal learning and cognition</t>
  </si>
  <si>
    <t>J Exp Psychol Anim Learn Cogn</t>
  </si>
  <si>
    <t>23298456</t>
  </si>
  <si>
    <t>23298464</t>
  </si>
  <si>
    <t>Journal of managed care &amp; specialty pharmacy</t>
  </si>
  <si>
    <t>J Manag Care Spec Pharm</t>
  </si>
  <si>
    <t>23760540</t>
  </si>
  <si>
    <t>23761032</t>
  </si>
  <si>
    <t>J Oral Facial Pain  Headache</t>
  </si>
  <si>
    <t>Journal of rehabilitation medicine</t>
  </si>
  <si>
    <t>Staples Press</t>
  </si>
  <si>
    <t>French, German</t>
  </si>
  <si>
    <t>19543395</t>
  </si>
  <si>
    <t>24207748</t>
  </si>
  <si>
    <t>English, Swedish</t>
  </si>
  <si>
    <t>Medical archives (Sarajevo, Bosnia and Herzegovina)</t>
  </si>
  <si>
    <t>Med Arch</t>
  </si>
  <si>
    <t>Avicena</t>
  </si>
  <si>
    <t>English, French, German, Italian, Spanish</t>
  </si>
  <si>
    <t>16114477</t>
  </si>
  <si>
    <t>Franz Steiner Verlag</t>
  </si>
  <si>
    <t>Medwave</t>
  </si>
  <si>
    <t>07176384</t>
  </si>
  <si>
    <t>Mednet]</t>
  </si>
  <si>
    <t>Middle East journal of anaesthesiology</t>
  </si>
  <si>
    <t>Middle East J Anaesthesiol</t>
  </si>
  <si>
    <t>Anesthesiology Dept.,  American University Of Beirut Medical Center</t>
  </si>
  <si>
    <t>14792915</t>
  </si>
  <si>
    <t>17430178</t>
  </si>
  <si>
    <t>Royal Society Publishing</t>
  </si>
  <si>
    <t>RCN Publishing Company</t>
  </si>
  <si>
    <t>Blackwell Pub.  Asia</t>
  </si>
  <si>
    <t>Orthopedic nursing</t>
  </si>
  <si>
    <t>Polish orthopedics and traumatology</t>
  </si>
  <si>
    <t>English, Macedonian</t>
  </si>
  <si>
    <t>Problemy radiat͡siĭnoï medyt͡syny ta radiobiolohiï</t>
  </si>
  <si>
    <t>23134607</t>
  </si>
  <si>
    <t>Naukovyĭ t͡sentr radiat͡siĭnoï medyt͡syny AMN Ukraïny</t>
  </si>
  <si>
    <t>English, Russian, Ukrainian</t>
  </si>
  <si>
    <t>Progress in tumor research</t>
  </si>
  <si>
    <t>Prog Tumor Res</t>
  </si>
  <si>
    <t>22961895</t>
  </si>
  <si>
    <t>22961887</t>
  </si>
  <si>
    <t>Narodowy Instytut Zdrowia Publicznego--Państwowy Zakład Higieny</t>
  </si>
  <si>
    <t>Psychiatriki</t>
  </si>
  <si>
    <t>Public health research &amp; practice</t>
  </si>
  <si>
    <t>Public Health Res Pract</t>
  </si>
  <si>
    <t>22042091</t>
  </si>
  <si>
    <t>Sax Institute</t>
  </si>
  <si>
    <t>23736011</t>
  </si>
  <si>
    <t>Report on carcinogens. Monograph on ...</t>
  </si>
  <si>
    <t>Rep Carcinog Monogr</t>
  </si>
  <si>
    <t>2331267X</t>
  </si>
  <si>
    <t>National Toxicology Program, U.S. Department of Health and Human Services</t>
  </si>
  <si>
    <t>Research on aging</t>
  </si>
  <si>
    <t>Res Aging</t>
  </si>
  <si>
    <t>01640275</t>
  </si>
  <si>
    <t>15527573</t>
  </si>
  <si>
    <t>Sage.</t>
  </si>
  <si>
    <t>Revista Brasileira de terapia intensiva</t>
  </si>
  <si>
    <t>English, French, Spanish</t>
  </si>
  <si>
    <t>15188345</t>
  </si>
  <si>
    <t>19552343</t>
  </si>
  <si>
    <t>Société d'Histoire de la Pharmacie</t>
  </si>
  <si>
    <t>English, French, German, Russian, Spanish</t>
  </si>
  <si>
    <t>17083923</t>
  </si>
  <si>
    <t>17997267</t>
  </si>
  <si>
    <t>16642848</t>
  </si>
  <si>
    <t>Huber</t>
  </si>
  <si>
    <t>19187750</t>
  </si>
  <si>
    <t>Zhongguo sheng li ke xue hui</t>
  </si>
  <si>
    <t>10960317</t>
  </si>
  <si>
    <t>17473403</t>
  </si>
  <si>
    <t>Context</t>
  </si>
  <si>
    <t>Soft matter</t>
  </si>
  <si>
    <t>21600562</t>
  </si>
  <si>
    <t>The Enzymes</t>
  </si>
  <si>
    <t>The international journal of esthetic dentistry</t>
  </si>
  <si>
    <t>Int J Esthet Dent</t>
  </si>
  <si>
    <t>2198591X</t>
  </si>
  <si>
    <t>Quintessence Publishing Co., Ltd.</t>
  </si>
  <si>
    <t>The Journal of community and supportive oncology</t>
  </si>
  <si>
    <t>J Community Support Oncol</t>
  </si>
  <si>
    <t>23307749</t>
  </si>
  <si>
    <t>Frontline Medical Communications Inc.</t>
  </si>
  <si>
    <t>Pavilion Publishing and Media Ltd</t>
  </si>
  <si>
    <t>2167776X</t>
  </si>
  <si>
    <t>Medical Education Solutions Limited</t>
  </si>
  <si>
    <t>16981200</t>
  </si>
  <si>
    <t>English, Norwegian</t>
  </si>
  <si>
    <t>18756832</t>
  </si>
  <si>
    <t>14365049</t>
  </si>
  <si>
    <t>18728383</t>
  </si>
  <si>
    <t>Trends in hearing</t>
  </si>
  <si>
    <t>Trends Hear</t>
  </si>
  <si>
    <t>23312165</t>
  </si>
  <si>
    <t>English, Danish</t>
  </si>
  <si>
    <t>Wichtig Publishing</t>
  </si>
  <si>
    <t>23332433</t>
  </si>
  <si>
    <t>23328401</t>
  </si>
  <si>
    <t>23328428</t>
  </si>
  <si>
    <t>23330872</t>
  </si>
  <si>
    <t>"Zhonghua yi xue za zhi" she</t>
  </si>
  <si>
    <t>Zhonghua Yixuehui / Chinese Medical Association</t>
  </si>
  <si>
    <t xml:space="preserve"> Pending Embase journal titles (March 2015)</t>
  </si>
  <si>
    <t>All data were drawn from the Embase and MEDLINE source files in March 2015. Deduplication was carried out in April and revised in May to eliminate residual duplicates</t>
  </si>
  <si>
    <t>MEDLINE itself lists 5624 titles; this includes some supplements which in Embase are considered part of the main title</t>
  </si>
  <si>
    <t>Defines 2660 core titles indexed at Embase (this is a journal quality descriptor)</t>
  </si>
  <si>
    <r>
      <t xml:space="preserve">Some </t>
    </r>
    <r>
      <rPr>
        <i/>
        <sz val="10"/>
        <rFont val="Calibri"/>
        <family val="2"/>
        <scheme val="minor"/>
      </rPr>
      <t>records</t>
    </r>
    <r>
      <rPr>
        <sz val="10"/>
        <rFont val="Calibri"/>
        <family val="2"/>
        <scheme val="minor"/>
      </rPr>
      <t xml:space="preserve"> indexed by MEDLINE and not at Embase have other source types, based on data provided by NLM</t>
    </r>
  </si>
  <si>
    <t>Defines 5600 MEDLINE titles (March 2015)</t>
  </si>
  <si>
    <t>Yes</t>
  </si>
  <si>
    <t>Articles in Press</t>
  </si>
  <si>
    <t>Pending</t>
  </si>
  <si>
    <t>Semmelweis University Institute of Mental Health</t>
  </si>
  <si>
    <t>Refu'at ha-peh ṿeha-shinayim (1993)</t>
  </si>
  <si>
    <t>00020966</t>
  </si>
  <si>
    <t>00023906</t>
  </si>
  <si>
    <t>00155640</t>
  </si>
  <si>
    <t>01417681</t>
  </si>
  <si>
    <t>0369299X</t>
  </si>
  <si>
    <t xml:space="preserve">Acta Clin. Belg. </t>
  </si>
  <si>
    <t>Hematology (United Kingdom)</t>
  </si>
  <si>
    <t>Hematology (United States)</t>
  </si>
</sst>
</file>

<file path=xl/styles.xml><?xml version="1.0" encoding="utf-8"?>
<styleSheet xmlns="http://schemas.openxmlformats.org/spreadsheetml/2006/main" xmlns:mc="http://schemas.openxmlformats.org/markup-compatibility/2006" xmlns:x14ac="http://schemas.microsoft.com/office/spreadsheetml/2009/9/ac" mc:Ignorable="x14ac">
  <fonts count="17" x14ac:knownFonts="1">
    <font>
      <sz val="10"/>
      <color theme="1"/>
      <name val="Arial"/>
      <family val="2"/>
    </font>
    <font>
      <sz val="11"/>
      <color theme="1"/>
      <name val="Calibri"/>
      <family val="2"/>
      <scheme val="minor"/>
    </font>
    <font>
      <b/>
      <sz val="10"/>
      <color theme="1"/>
      <name val="Arial"/>
      <family val="2"/>
    </font>
    <font>
      <sz val="10"/>
      <color rgb="FFFF0000"/>
      <name val="Arial"/>
      <family val="2"/>
    </font>
    <font>
      <sz val="10"/>
      <name val="Arial"/>
      <family val="2"/>
    </font>
    <font>
      <b/>
      <sz val="10"/>
      <name val="Arial"/>
      <family val="2"/>
    </font>
    <font>
      <b/>
      <sz val="8"/>
      <color indexed="81"/>
      <name val="Tahoma"/>
      <family val="2"/>
    </font>
    <font>
      <sz val="8"/>
      <color indexed="81"/>
      <name val="Tahoma"/>
      <family val="2"/>
    </font>
    <font>
      <sz val="8"/>
      <color theme="1"/>
      <name val="Arial"/>
      <family val="2"/>
    </font>
    <font>
      <b/>
      <sz val="8"/>
      <color theme="4"/>
      <name val="Arial"/>
      <family val="2"/>
    </font>
    <font>
      <b/>
      <sz val="10"/>
      <color theme="4"/>
      <name val="Calibri"/>
      <family val="2"/>
      <scheme val="minor"/>
    </font>
    <font>
      <sz val="10"/>
      <color theme="4"/>
      <name val="Calibri"/>
      <family val="2"/>
      <scheme val="minor"/>
    </font>
    <font>
      <sz val="10"/>
      <name val="Calibri"/>
      <family val="2"/>
      <scheme val="minor"/>
    </font>
    <font>
      <u/>
      <sz val="10"/>
      <name val="Calibri"/>
      <family val="2"/>
      <scheme val="minor"/>
    </font>
    <font>
      <sz val="8"/>
      <name val="Arial"/>
      <family val="2"/>
    </font>
    <font>
      <sz val="9"/>
      <color theme="1"/>
      <name val="Calibri"/>
      <family val="2"/>
      <scheme val="minor"/>
    </font>
    <font>
      <i/>
      <sz val="10"/>
      <name val="Calibri"/>
      <family val="2"/>
      <scheme val="minor"/>
    </font>
  </fonts>
  <fills count="6">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rgb="FFFFFFCC"/>
        <bgColor indexed="64"/>
      </patternFill>
    </fill>
    <fill>
      <patternFill patternType="solid">
        <fgColor rgb="FFD9D9D9"/>
        <bgColor indexed="64"/>
      </patternFill>
    </fill>
  </fills>
  <borders count="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auto="1"/>
      </left>
      <right style="thin">
        <color auto="1"/>
      </right>
      <top style="thin">
        <color auto="1"/>
      </top>
      <bottom style="thin">
        <color auto="1"/>
      </bottom>
      <diagonal/>
    </border>
  </borders>
  <cellStyleXfs count="8">
    <xf numFmtId="0" fontId="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59">
    <xf numFmtId="0" fontId="0" fillId="0" borderId="0" xfId="0"/>
    <xf numFmtId="0" fontId="0" fillId="0" borderId="8" xfId="0" applyBorder="1" applyAlignment="1">
      <alignment horizontal="left" vertical="top"/>
    </xf>
    <xf numFmtId="0" fontId="2" fillId="0" borderId="0" xfId="0" applyFont="1" applyAlignment="1">
      <alignment horizontal="left" vertical="top" wrapText="1"/>
    </xf>
    <xf numFmtId="0" fontId="2" fillId="2" borderId="8" xfId="0" applyFont="1" applyFill="1" applyBorder="1" applyAlignment="1">
      <alignment horizontal="left" vertical="top" wrapText="1"/>
    </xf>
    <xf numFmtId="0" fontId="0" fillId="3" borderId="8" xfId="0" applyFill="1" applyBorder="1" applyAlignment="1">
      <alignment horizontal="left" vertical="top"/>
    </xf>
    <xf numFmtId="0" fontId="0" fillId="0" borderId="8" xfId="0" applyFill="1" applyBorder="1" applyAlignment="1">
      <alignment horizontal="left" vertical="top"/>
    </xf>
    <xf numFmtId="0" fontId="3" fillId="0" borderId="0" xfId="0" applyFont="1"/>
    <xf numFmtId="0" fontId="0" fillId="0" borderId="8" xfId="0" applyFill="1" applyBorder="1"/>
    <xf numFmtId="0" fontId="4" fillId="3" borderId="8" xfId="0" applyFont="1" applyFill="1" applyBorder="1"/>
    <xf numFmtId="0" fontId="4" fillId="0" borderId="8" xfId="0" applyFont="1" applyBorder="1"/>
    <xf numFmtId="0" fontId="4" fillId="0" borderId="8" xfId="0" applyFont="1" applyFill="1" applyBorder="1"/>
    <xf numFmtId="49" fontId="4" fillId="0" borderId="8" xfId="0" applyNumberFormat="1" applyFont="1" applyBorder="1"/>
    <xf numFmtId="49" fontId="5" fillId="2" borderId="8" xfId="0" applyNumberFormat="1" applyFont="1" applyFill="1" applyBorder="1" applyAlignment="1">
      <alignment horizontal="left" vertical="top" wrapText="1"/>
    </xf>
    <xf numFmtId="0" fontId="5" fillId="2" borderId="8" xfId="0" applyFont="1" applyFill="1" applyBorder="1" applyAlignment="1">
      <alignment horizontal="left" vertical="top" wrapText="1"/>
    </xf>
    <xf numFmtId="49" fontId="4" fillId="3" borderId="8" xfId="0" applyNumberFormat="1" applyFont="1" applyFill="1" applyBorder="1"/>
    <xf numFmtId="0" fontId="4" fillId="0" borderId="0" xfId="0" applyFont="1"/>
    <xf numFmtId="49" fontId="4" fillId="0" borderId="0" xfId="0" applyNumberFormat="1" applyFont="1"/>
    <xf numFmtId="0" fontId="0" fillId="4" borderId="0" xfId="0" applyFill="1"/>
    <xf numFmtId="0" fontId="4" fillId="0" borderId="8" xfId="0" applyFont="1" applyFill="1" applyBorder="1" applyAlignment="1">
      <alignment horizontal="left" vertical="top"/>
    </xf>
    <xf numFmtId="0" fontId="4" fillId="0" borderId="8" xfId="0" applyFont="1" applyBorder="1" applyAlignment="1">
      <alignment horizontal="left" vertical="top"/>
    </xf>
    <xf numFmtId="0" fontId="0" fillId="0" borderId="0" xfId="0" applyBorder="1" applyAlignment="1">
      <alignment horizontal="left" vertical="top"/>
    </xf>
    <xf numFmtId="0" fontId="2" fillId="5" borderId="8" xfId="0" applyFont="1" applyFill="1" applyBorder="1" applyAlignment="1">
      <alignment horizontal="left" vertical="top" wrapText="1"/>
    </xf>
    <xf numFmtId="0" fontId="4" fillId="4" borderId="0" xfId="0" applyFont="1" applyFill="1"/>
    <xf numFmtId="0" fontId="2" fillId="4" borderId="0" xfId="0" applyFont="1" applyFill="1" applyAlignment="1">
      <alignment horizontal="left" vertical="top" wrapText="1"/>
    </xf>
    <xf numFmtId="0" fontId="10" fillId="0" borderId="1" xfId="0" applyNumberFormat="1" applyFont="1" applyBorder="1" applyAlignment="1">
      <alignment vertical="center" wrapText="1"/>
    </xf>
    <xf numFmtId="0" fontId="10" fillId="0" borderId="3" xfId="0" applyNumberFormat="1" applyFont="1" applyBorder="1" applyAlignment="1">
      <alignment vertical="center" wrapText="1"/>
    </xf>
    <xf numFmtId="0" fontId="10" fillId="0" borderId="2" xfId="0" applyNumberFormat="1" applyFont="1" applyBorder="1" applyAlignment="1">
      <alignment horizontal="center" vertical="center" wrapText="1"/>
    </xf>
    <xf numFmtId="0" fontId="11" fillId="0" borderId="0" xfId="0" applyNumberFormat="1" applyFont="1" applyAlignment="1">
      <alignment vertical="center" wrapText="1"/>
    </xf>
    <xf numFmtId="0" fontId="12" fillId="0" borderId="6" xfId="0" applyNumberFormat="1" applyFont="1" applyBorder="1" applyAlignment="1">
      <alignment vertical="center" wrapText="1"/>
    </xf>
    <xf numFmtId="0" fontId="12" fillId="0" borderId="7" xfId="0" applyNumberFormat="1" applyFont="1" applyBorder="1" applyAlignment="1">
      <alignment vertical="center" wrapText="1"/>
    </xf>
    <xf numFmtId="0" fontId="12" fillId="0" borderId="0" xfId="0" applyNumberFormat="1" applyFont="1" applyAlignment="1">
      <alignment horizontal="center" vertical="center" wrapText="1"/>
    </xf>
    <xf numFmtId="0" fontId="12" fillId="0" borderId="0" xfId="0" applyNumberFormat="1" applyFont="1" applyAlignment="1">
      <alignment vertical="center" wrapText="1"/>
    </xf>
    <xf numFmtId="0" fontId="12" fillId="0" borderId="4" xfId="0" applyNumberFormat="1" applyFont="1" applyBorder="1" applyAlignment="1">
      <alignment vertical="center" wrapText="1"/>
    </xf>
    <xf numFmtId="0" fontId="12" fillId="0" borderId="5" xfId="0" applyNumberFormat="1" applyFont="1" applyBorder="1" applyAlignment="1">
      <alignment vertical="center" wrapText="1"/>
    </xf>
    <xf numFmtId="0" fontId="13" fillId="0" borderId="0" xfId="0" applyNumberFormat="1" applyFont="1" applyAlignment="1">
      <alignment horizontal="right" vertical="center" wrapText="1"/>
    </xf>
    <xf numFmtId="0" fontId="8" fillId="0" borderId="0" xfId="0" applyFont="1" applyBorder="1" applyAlignment="1">
      <alignment vertical="center"/>
    </xf>
    <xf numFmtId="0" fontId="14" fillId="0" borderId="0" xfId="0" applyFont="1" applyFill="1" applyBorder="1" applyAlignment="1">
      <alignment vertical="center"/>
    </xf>
    <xf numFmtId="0" fontId="14" fillId="0" borderId="0" xfId="0" applyFont="1" applyBorder="1" applyAlignment="1">
      <alignment vertical="center"/>
    </xf>
    <xf numFmtId="0" fontId="15" fillId="0" borderId="0" xfId="0" applyNumberFormat="1" applyFont="1" applyAlignment="1">
      <alignment horizontal="center" vertical="center" wrapText="1"/>
    </xf>
    <xf numFmtId="0" fontId="12" fillId="0" borderId="0" xfId="0" applyNumberFormat="1" applyFont="1" applyAlignment="1">
      <alignment horizontal="right" vertical="top" wrapText="1"/>
    </xf>
    <xf numFmtId="0" fontId="12" fillId="0" borderId="0" xfId="0" applyNumberFormat="1" applyFont="1" applyAlignment="1">
      <alignment vertical="top" wrapText="1"/>
    </xf>
    <xf numFmtId="0" fontId="9" fillId="0" borderId="0" xfId="0" applyFont="1" applyFill="1" applyBorder="1" applyAlignment="1">
      <alignment vertical="center"/>
    </xf>
    <xf numFmtId="49" fontId="9" fillId="0" borderId="0" xfId="0" applyNumberFormat="1" applyFont="1" applyFill="1" applyBorder="1" applyAlignment="1">
      <alignment horizontal="center" vertical="center"/>
    </xf>
    <xf numFmtId="49" fontId="9" fillId="0" borderId="0" xfId="0" applyNumberFormat="1" applyFont="1" applyFill="1" applyBorder="1" applyAlignment="1">
      <alignment horizontal="center" vertical="center" wrapText="1"/>
    </xf>
    <xf numFmtId="0" fontId="9" fillId="0" borderId="0" xfId="0" applyFont="1" applyFill="1" applyBorder="1" applyAlignment="1">
      <alignment horizontal="center" vertical="center" wrapText="1"/>
    </xf>
    <xf numFmtId="0" fontId="8" fillId="0" borderId="0" xfId="0" applyFont="1" applyFill="1" applyBorder="1" applyAlignment="1">
      <alignment horizontal="left" vertical="top"/>
    </xf>
    <xf numFmtId="0" fontId="14" fillId="0" borderId="0" xfId="0" applyFont="1" applyFill="1" applyBorder="1"/>
    <xf numFmtId="0" fontId="14" fillId="0" borderId="0" xfId="0" applyFont="1" applyBorder="1" applyAlignment="1">
      <alignment horizontal="center"/>
    </xf>
    <xf numFmtId="0" fontId="14" fillId="0" borderId="0" xfId="0" applyFont="1" applyFill="1" applyBorder="1" applyAlignment="1">
      <alignment horizontal="center"/>
    </xf>
    <xf numFmtId="0" fontId="14" fillId="0" borderId="0" xfId="0" applyFont="1" applyFill="1" applyBorder="1" applyAlignment="1">
      <alignment horizontal="left" vertical="top"/>
    </xf>
    <xf numFmtId="0" fontId="14" fillId="0" borderId="0" xfId="0" applyFont="1" applyFill="1" applyBorder="1" applyAlignment="1">
      <alignment horizontal="center" vertical="center"/>
    </xf>
    <xf numFmtId="49" fontId="8" fillId="0" borderId="0" xfId="0" applyNumberFormat="1" applyFont="1" applyFill="1" applyBorder="1" applyAlignment="1">
      <alignment horizontal="center" vertical="top"/>
    </xf>
    <xf numFmtId="0" fontId="0" fillId="0" borderId="0" xfId="0" applyBorder="1"/>
    <xf numFmtId="0" fontId="8" fillId="0" borderId="0" xfId="0" applyFont="1" applyBorder="1"/>
    <xf numFmtId="0" fontId="8" fillId="0" borderId="0" xfId="0" applyFont="1" applyBorder="1" applyAlignment="1">
      <alignment horizontal="center"/>
    </xf>
    <xf numFmtId="0" fontId="9" fillId="0" borderId="0" xfId="0" applyFont="1" applyFill="1" applyAlignment="1">
      <alignment horizontal="center" vertical="center" wrapText="1"/>
    </xf>
    <xf numFmtId="0" fontId="8" fillId="0" borderId="0" xfId="0" applyFont="1" applyFill="1" applyBorder="1" applyAlignment="1">
      <alignment horizontal="center" vertical="top"/>
    </xf>
    <xf numFmtId="0" fontId="8" fillId="0" borderId="0" xfId="0" applyFont="1" applyFill="1" applyBorder="1" applyAlignment="1">
      <alignment horizontal="center" vertical="center"/>
    </xf>
    <xf numFmtId="49" fontId="14" fillId="0" borderId="0" xfId="0" applyNumberFormat="1" applyFont="1" applyFill="1" applyBorder="1" applyAlignment="1">
      <alignment horizontal="center"/>
    </xf>
  </cellXfs>
  <cellStyles count="8">
    <cellStyle name="Normal" xfId="0" builtinId="0"/>
    <cellStyle name="Normal 2 10 2 2 2 2 2 3" xfId="5"/>
    <cellStyle name="Normal 55" xfId="2"/>
    <cellStyle name="Normal 6" xfId="1"/>
    <cellStyle name="Normal 61" xfId="7"/>
    <cellStyle name="Normal 74" xfId="4"/>
    <cellStyle name="Normal 84" xfId="6"/>
    <cellStyle name="Normal 92" xfId="3"/>
  </cellStyles>
  <dxfs count="0"/>
  <tableStyles count="0" defaultTableStyle="TableStyleMedium2" defaultPivotStyle="PivotStyleLight16"/>
  <colors>
    <mruColors>
      <color rgb="FFFFFFCC"/>
      <color rgb="FF0000FF"/>
      <color rgb="FFFFFFFF"/>
      <color rgb="FFCCECFF"/>
      <color rgb="FFCCFFFF"/>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S5670"/>
  <sheetViews>
    <sheetView zoomScale="80" zoomScaleNormal="80" workbookViewId="0"/>
  </sheetViews>
  <sheetFormatPr defaultRowHeight="12.75" x14ac:dyDescent="0.2"/>
  <cols>
    <col min="1" max="1" width="13" style="11" customWidth="1"/>
    <col min="2" max="2" width="43" style="9" customWidth="1"/>
    <col min="3" max="3" width="39.28515625" style="9" customWidth="1"/>
    <col min="4" max="4" width="11.28515625" style="9" customWidth="1"/>
    <col min="5" max="5" width="9.140625" style="9"/>
    <col min="6" max="6" width="19.7109375" style="9" customWidth="1"/>
    <col min="7" max="7" width="9.140625" style="9"/>
    <col min="8" max="8" width="9.85546875" style="11" customWidth="1"/>
    <col min="9" max="9" width="10" style="11" customWidth="1"/>
    <col min="10" max="10" width="11.28515625" style="11" customWidth="1"/>
    <col min="11" max="14" width="9.140625" style="9"/>
    <col min="15" max="15" width="8.28515625" style="9" customWidth="1"/>
    <col min="16" max="16" width="9.140625" style="9"/>
    <col min="17" max="19" width="9.140625" style="11"/>
  </cols>
  <sheetData>
    <row r="1" spans="1:19" ht="30.75" customHeight="1" x14ac:dyDescent="0.2">
      <c r="A1" s="12" t="s">
        <v>17719</v>
      </c>
      <c r="B1" s="13" t="s">
        <v>17720</v>
      </c>
      <c r="C1" s="13" t="s">
        <v>17721</v>
      </c>
      <c r="D1" s="13" t="s">
        <v>17722</v>
      </c>
      <c r="E1" s="13" t="s">
        <v>17723</v>
      </c>
      <c r="F1" s="13" t="s">
        <v>17724</v>
      </c>
      <c r="G1" s="13" t="s">
        <v>17725</v>
      </c>
      <c r="H1" s="12" t="s">
        <v>17726</v>
      </c>
      <c r="I1" s="12" t="s">
        <v>17727</v>
      </c>
      <c r="J1" s="12" t="s">
        <v>17728</v>
      </c>
      <c r="K1" s="13" t="s">
        <v>17610</v>
      </c>
      <c r="L1" s="13" t="s">
        <v>17612</v>
      </c>
      <c r="M1" s="13" t="s">
        <v>17729</v>
      </c>
      <c r="N1" s="13" t="s">
        <v>17730</v>
      </c>
      <c r="O1" s="13" t="s">
        <v>17731</v>
      </c>
      <c r="P1" s="13" t="s">
        <v>17732</v>
      </c>
      <c r="Q1" s="12" t="s">
        <v>17733</v>
      </c>
      <c r="R1" s="12" t="s">
        <v>17734</v>
      </c>
      <c r="S1" s="12" t="s">
        <v>17735</v>
      </c>
    </row>
    <row r="2" spans="1:19" x14ac:dyDescent="0.2">
      <c r="A2" s="11" t="s">
        <v>17736</v>
      </c>
      <c r="B2" s="9" t="s">
        <v>17737</v>
      </c>
      <c r="C2" s="9" t="s">
        <v>17738</v>
      </c>
      <c r="D2" s="9" t="s">
        <v>17739</v>
      </c>
      <c r="E2" s="9" t="s">
        <v>17740</v>
      </c>
      <c r="F2" s="9" t="s">
        <v>17741</v>
      </c>
      <c r="G2" s="9" t="s">
        <v>17740</v>
      </c>
      <c r="H2" s="11" t="s">
        <v>17742</v>
      </c>
      <c r="I2" s="11" t="s">
        <v>17743</v>
      </c>
      <c r="J2" s="11" t="s">
        <v>17743</v>
      </c>
      <c r="K2" s="9" t="s">
        <v>55</v>
      </c>
      <c r="L2" s="9" t="s">
        <v>17744</v>
      </c>
      <c r="M2" s="9" t="s">
        <v>17745</v>
      </c>
      <c r="N2" s="9" t="s">
        <v>17746</v>
      </c>
      <c r="O2" s="9" t="s">
        <v>17747</v>
      </c>
      <c r="P2" s="9" t="s">
        <v>17748</v>
      </c>
      <c r="Q2" s="11" t="s">
        <v>17749</v>
      </c>
      <c r="R2" s="11" t="s">
        <v>17749</v>
      </c>
      <c r="S2" s="11" t="s">
        <v>17750</v>
      </c>
    </row>
    <row r="3" spans="1:19" x14ac:dyDescent="0.2">
      <c r="A3" s="11" t="s">
        <v>17751</v>
      </c>
      <c r="B3" s="9" t="s">
        <v>17752</v>
      </c>
      <c r="C3" s="9" t="s">
        <v>17753</v>
      </c>
      <c r="D3" s="9" t="s">
        <v>17754</v>
      </c>
      <c r="E3" s="9" t="s">
        <v>17748</v>
      </c>
      <c r="F3" s="9" t="s">
        <v>17755</v>
      </c>
      <c r="G3" s="9" t="s">
        <v>17740</v>
      </c>
      <c r="H3" s="11" t="s">
        <v>17756</v>
      </c>
      <c r="I3" s="11" t="s">
        <v>17757</v>
      </c>
      <c r="J3" s="11" t="s">
        <v>17757</v>
      </c>
      <c r="K3" s="9" t="s">
        <v>17758</v>
      </c>
      <c r="L3" s="9" t="s">
        <v>17759</v>
      </c>
      <c r="M3" s="9" t="s">
        <v>17760</v>
      </c>
      <c r="N3" s="9" t="s">
        <v>17746</v>
      </c>
      <c r="O3" s="9" t="s">
        <v>17761</v>
      </c>
      <c r="P3" s="9" t="s">
        <v>17748</v>
      </c>
      <c r="Q3" s="11" t="s">
        <v>17762</v>
      </c>
      <c r="R3" s="11" t="s">
        <v>17762</v>
      </c>
      <c r="S3" s="11" t="s">
        <v>17750</v>
      </c>
    </row>
    <row r="4" spans="1:19" x14ac:dyDescent="0.2">
      <c r="A4" s="11" t="s">
        <v>17763</v>
      </c>
      <c r="B4" s="9" t="s">
        <v>17764</v>
      </c>
      <c r="C4" s="9" t="s">
        <v>17765</v>
      </c>
      <c r="D4" s="9" t="s">
        <v>17766</v>
      </c>
      <c r="E4" s="9" t="s">
        <v>17740</v>
      </c>
      <c r="F4" s="9" t="s">
        <v>17767</v>
      </c>
      <c r="G4" s="9" t="s">
        <v>17740</v>
      </c>
      <c r="H4" s="11" t="s">
        <v>17741</v>
      </c>
      <c r="I4" s="11" t="s">
        <v>10183</v>
      </c>
      <c r="J4" s="11" t="s">
        <v>10183</v>
      </c>
      <c r="K4" s="9" t="s">
        <v>17768</v>
      </c>
      <c r="L4" s="9" t="s">
        <v>17759</v>
      </c>
      <c r="M4" s="9" t="s">
        <v>17769</v>
      </c>
      <c r="N4" s="9" t="s">
        <v>17746</v>
      </c>
      <c r="O4" s="9" t="s">
        <v>17770</v>
      </c>
      <c r="P4" s="9" t="s">
        <v>17748</v>
      </c>
      <c r="Q4" s="11" t="s">
        <v>17771</v>
      </c>
      <c r="R4" s="11" t="s">
        <v>17771</v>
      </c>
      <c r="S4" s="11" t="s">
        <v>17750</v>
      </c>
    </row>
    <row r="5" spans="1:19" x14ac:dyDescent="0.2">
      <c r="A5" s="11" t="s">
        <v>17772</v>
      </c>
      <c r="B5" s="9" t="s">
        <v>17773</v>
      </c>
      <c r="C5" s="9" t="s">
        <v>17774</v>
      </c>
      <c r="D5" s="9" t="s">
        <v>17775</v>
      </c>
      <c r="E5" s="9" t="s">
        <v>17748</v>
      </c>
      <c r="F5" s="9" t="s">
        <v>17776</v>
      </c>
      <c r="G5" s="9" t="s">
        <v>17740</v>
      </c>
      <c r="H5" s="11" t="s">
        <v>11439</v>
      </c>
      <c r="I5" s="11" t="s">
        <v>17741</v>
      </c>
      <c r="J5" s="11" t="s">
        <v>11439</v>
      </c>
      <c r="K5" s="9" t="s">
        <v>17777</v>
      </c>
      <c r="L5" s="9" t="s">
        <v>17759</v>
      </c>
      <c r="M5" s="9" t="s">
        <v>17778</v>
      </c>
      <c r="N5" s="9" t="s">
        <v>17746</v>
      </c>
      <c r="O5" s="9" t="s">
        <v>17779</v>
      </c>
      <c r="P5" s="9" t="s">
        <v>17748</v>
      </c>
      <c r="Q5" s="11" t="s">
        <v>17780</v>
      </c>
      <c r="R5" s="11" t="s">
        <v>17780</v>
      </c>
      <c r="S5" s="11" t="s">
        <v>17750</v>
      </c>
    </row>
    <row r="6" spans="1:19" x14ac:dyDescent="0.2">
      <c r="A6" s="11" t="s">
        <v>17781</v>
      </c>
      <c r="B6" s="9" t="s">
        <v>10242</v>
      </c>
      <c r="C6" s="9" t="s">
        <v>17782</v>
      </c>
      <c r="D6" s="9" t="s">
        <v>10242</v>
      </c>
      <c r="E6" s="9" t="s">
        <v>17740</v>
      </c>
      <c r="F6" s="9" t="s">
        <v>17741</v>
      </c>
      <c r="G6" s="9" t="s">
        <v>17740</v>
      </c>
      <c r="H6" s="11" t="s">
        <v>10243</v>
      </c>
      <c r="I6" s="11" t="s">
        <v>17741</v>
      </c>
      <c r="J6" s="11" t="s">
        <v>10243</v>
      </c>
      <c r="K6" s="9" t="s">
        <v>17783</v>
      </c>
      <c r="L6" s="9" t="s">
        <v>17759</v>
      </c>
      <c r="M6" s="9" t="s">
        <v>17760</v>
      </c>
      <c r="N6" s="9" t="s">
        <v>17746</v>
      </c>
      <c r="O6" s="9" t="s">
        <v>3391</v>
      </c>
      <c r="P6" s="9" t="s">
        <v>17748</v>
      </c>
      <c r="Q6" s="11" t="s">
        <v>17784</v>
      </c>
      <c r="R6" s="11" t="s">
        <v>17784</v>
      </c>
      <c r="S6" s="11" t="s">
        <v>17750</v>
      </c>
    </row>
    <row r="7" spans="1:19" x14ac:dyDescent="0.2">
      <c r="A7" s="11" t="s">
        <v>17785</v>
      </c>
      <c r="B7" s="9" t="s">
        <v>17786</v>
      </c>
      <c r="C7" s="9" t="s">
        <v>17787</v>
      </c>
      <c r="D7" s="9" t="s">
        <v>17788</v>
      </c>
      <c r="E7" s="9" t="s">
        <v>17740</v>
      </c>
      <c r="F7" s="9" t="s">
        <v>17789</v>
      </c>
      <c r="G7" s="9" t="s">
        <v>17740</v>
      </c>
      <c r="H7" s="11" t="s">
        <v>6068</v>
      </c>
      <c r="I7" s="11" t="s">
        <v>6067</v>
      </c>
      <c r="J7" s="11" t="s">
        <v>6067</v>
      </c>
      <c r="K7" s="9" t="s">
        <v>17790</v>
      </c>
      <c r="L7" s="9" t="s">
        <v>17759</v>
      </c>
      <c r="M7" s="9" t="s">
        <v>17769</v>
      </c>
      <c r="N7" s="9" t="s">
        <v>17746</v>
      </c>
      <c r="O7" s="9" t="s">
        <v>17791</v>
      </c>
      <c r="P7" s="9" t="s">
        <v>17748</v>
      </c>
      <c r="Q7" s="11" t="s">
        <v>17792</v>
      </c>
      <c r="R7" s="11" t="s">
        <v>17792</v>
      </c>
      <c r="S7" s="11" t="s">
        <v>17750</v>
      </c>
    </row>
    <row r="8" spans="1:19" x14ac:dyDescent="0.2">
      <c r="A8" s="11" t="s">
        <v>17793</v>
      </c>
      <c r="B8" s="9" t="s">
        <v>17794</v>
      </c>
      <c r="C8" s="9" t="s">
        <v>17795</v>
      </c>
      <c r="D8" s="9" t="s">
        <v>17796</v>
      </c>
      <c r="E8" s="9" t="s">
        <v>17740</v>
      </c>
      <c r="F8" s="9" t="s">
        <v>17741</v>
      </c>
      <c r="G8" s="9" t="s">
        <v>17740</v>
      </c>
      <c r="H8" s="11" t="s">
        <v>17741</v>
      </c>
      <c r="I8" s="11" t="s">
        <v>17797</v>
      </c>
      <c r="J8" s="11" t="s">
        <v>17797</v>
      </c>
      <c r="K8" s="9" t="s">
        <v>17798</v>
      </c>
      <c r="L8" s="9" t="s">
        <v>17759</v>
      </c>
      <c r="M8" s="9" t="s">
        <v>17799</v>
      </c>
      <c r="N8" s="9" t="s">
        <v>17746</v>
      </c>
      <c r="O8" s="9" t="s">
        <v>17800</v>
      </c>
      <c r="P8" s="9" t="s">
        <v>17748</v>
      </c>
      <c r="Q8" s="11" t="s">
        <v>17749</v>
      </c>
      <c r="R8" s="11" t="s">
        <v>17749</v>
      </c>
      <c r="S8" s="11" t="s">
        <v>17750</v>
      </c>
    </row>
    <row r="9" spans="1:19" x14ac:dyDescent="0.2">
      <c r="A9" s="11" t="s">
        <v>17801</v>
      </c>
      <c r="B9" s="9" t="s">
        <v>17802</v>
      </c>
      <c r="C9" s="9" t="s">
        <v>17803</v>
      </c>
      <c r="D9" s="9" t="s">
        <v>17804</v>
      </c>
      <c r="E9" s="9" t="s">
        <v>17740</v>
      </c>
      <c r="F9" s="9" t="s">
        <v>17741</v>
      </c>
      <c r="G9" s="9" t="s">
        <v>17740</v>
      </c>
      <c r="H9" s="11" t="s">
        <v>6583</v>
      </c>
      <c r="I9" s="11" t="s">
        <v>6582</v>
      </c>
      <c r="J9" s="11" t="s">
        <v>6582</v>
      </c>
      <c r="K9" s="9" t="s">
        <v>17805</v>
      </c>
      <c r="L9" s="9" t="s">
        <v>17759</v>
      </c>
      <c r="M9" s="9" t="s">
        <v>17806</v>
      </c>
      <c r="N9" s="9" t="s">
        <v>17746</v>
      </c>
      <c r="O9" s="9" t="s">
        <v>17807</v>
      </c>
      <c r="P9" s="9" t="s">
        <v>17748</v>
      </c>
      <c r="Q9" s="11" t="s">
        <v>17808</v>
      </c>
      <c r="R9" s="11" t="s">
        <v>17808</v>
      </c>
      <c r="S9" s="11" t="s">
        <v>17750</v>
      </c>
    </row>
    <row r="10" spans="1:19" x14ac:dyDescent="0.2">
      <c r="A10" s="11" t="s">
        <v>17809</v>
      </c>
      <c r="B10" s="9" t="s">
        <v>17810</v>
      </c>
      <c r="C10" s="9" t="s">
        <v>17811</v>
      </c>
      <c r="D10" s="9" t="s">
        <v>17812</v>
      </c>
      <c r="E10" s="9" t="s">
        <v>17740</v>
      </c>
      <c r="F10" s="9" t="s">
        <v>17813</v>
      </c>
      <c r="G10" s="9" t="s">
        <v>17740</v>
      </c>
      <c r="H10" s="11" t="s">
        <v>17814</v>
      </c>
      <c r="I10" s="11" t="s">
        <v>17815</v>
      </c>
      <c r="J10" s="11" t="s">
        <v>17815</v>
      </c>
      <c r="K10" s="9" t="s">
        <v>17816</v>
      </c>
      <c r="L10" s="9" t="s">
        <v>17759</v>
      </c>
      <c r="M10" s="9" t="s">
        <v>17817</v>
      </c>
      <c r="N10" s="9" t="s">
        <v>17746</v>
      </c>
      <c r="O10" s="9" t="s">
        <v>17818</v>
      </c>
      <c r="P10" s="9" t="s">
        <v>17748</v>
      </c>
      <c r="Q10" s="11" t="s">
        <v>17819</v>
      </c>
      <c r="R10" s="11" t="s">
        <v>17819</v>
      </c>
      <c r="S10" s="11" t="s">
        <v>17750</v>
      </c>
    </row>
    <row r="11" spans="1:19" x14ac:dyDescent="0.2">
      <c r="A11" s="11" t="s">
        <v>17820</v>
      </c>
      <c r="B11" s="9" t="s">
        <v>17821</v>
      </c>
      <c r="C11" s="9" t="s">
        <v>17822</v>
      </c>
      <c r="D11" s="9" t="s">
        <v>17823</v>
      </c>
      <c r="E11" s="9" t="s">
        <v>17748</v>
      </c>
      <c r="F11" s="9" t="s">
        <v>17824</v>
      </c>
      <c r="G11" s="9" t="s">
        <v>17740</v>
      </c>
      <c r="H11" s="11" t="s">
        <v>13087</v>
      </c>
      <c r="I11" s="11" t="s">
        <v>13086</v>
      </c>
      <c r="J11" s="11" t="s">
        <v>17741</v>
      </c>
      <c r="K11" s="9" t="s">
        <v>91</v>
      </c>
      <c r="L11" s="9" t="s">
        <v>17759</v>
      </c>
      <c r="M11" s="9" t="s">
        <v>17769</v>
      </c>
      <c r="N11" s="9" t="s">
        <v>17746</v>
      </c>
      <c r="O11" s="9" t="s">
        <v>3355</v>
      </c>
      <c r="P11" s="9" t="s">
        <v>17748</v>
      </c>
      <c r="Q11" s="11" t="s">
        <v>17825</v>
      </c>
      <c r="R11" s="11" t="s">
        <v>17825</v>
      </c>
      <c r="S11" s="11" t="s">
        <v>17750</v>
      </c>
    </row>
    <row r="12" spans="1:19" x14ac:dyDescent="0.2">
      <c r="A12" s="11" t="s">
        <v>17826</v>
      </c>
      <c r="B12" s="9" t="s">
        <v>17827</v>
      </c>
      <c r="C12" s="9" t="s">
        <v>17828</v>
      </c>
      <c r="D12" s="9" t="s">
        <v>17829</v>
      </c>
      <c r="E12" s="9" t="s">
        <v>17740</v>
      </c>
      <c r="F12" s="9" t="s">
        <v>17830</v>
      </c>
      <c r="G12" s="9" t="s">
        <v>17740</v>
      </c>
      <c r="H12" s="11" t="s">
        <v>17831</v>
      </c>
      <c r="I12" s="11" t="s">
        <v>17832</v>
      </c>
      <c r="J12" s="11" t="s">
        <v>17832</v>
      </c>
      <c r="K12" s="9" t="s">
        <v>17833</v>
      </c>
      <c r="L12" s="9" t="s">
        <v>17759</v>
      </c>
      <c r="M12" s="9" t="s">
        <v>17760</v>
      </c>
      <c r="N12" s="9" t="s">
        <v>17746</v>
      </c>
      <c r="O12" s="9" t="s">
        <v>17834</v>
      </c>
      <c r="P12" s="9" t="s">
        <v>17748</v>
      </c>
      <c r="Q12" s="11" t="s">
        <v>17819</v>
      </c>
      <c r="R12" s="11" t="s">
        <v>17819</v>
      </c>
      <c r="S12" s="11" t="s">
        <v>17750</v>
      </c>
    </row>
    <row r="13" spans="1:19" x14ac:dyDescent="0.2">
      <c r="A13" s="11" t="s">
        <v>17835</v>
      </c>
      <c r="B13" s="9" t="s">
        <v>17836</v>
      </c>
      <c r="C13" s="9" t="s">
        <v>17837</v>
      </c>
      <c r="D13" s="9" t="s">
        <v>17838</v>
      </c>
      <c r="E13" s="9" t="s">
        <v>17740</v>
      </c>
      <c r="F13" s="9" t="s">
        <v>17741</v>
      </c>
      <c r="G13" s="9" t="s">
        <v>17740</v>
      </c>
      <c r="H13" s="11" t="s">
        <v>7648</v>
      </c>
      <c r="I13" s="11" t="s">
        <v>7647</v>
      </c>
      <c r="J13" s="11" t="s">
        <v>7647</v>
      </c>
      <c r="K13" s="9" t="s">
        <v>17839</v>
      </c>
      <c r="L13" s="9" t="s">
        <v>17759</v>
      </c>
      <c r="M13" s="9" t="s">
        <v>17817</v>
      </c>
      <c r="N13" s="9" t="s">
        <v>17746</v>
      </c>
      <c r="O13" s="9" t="s">
        <v>3543</v>
      </c>
      <c r="P13" s="9" t="s">
        <v>17748</v>
      </c>
      <c r="Q13" s="11" t="s">
        <v>17808</v>
      </c>
      <c r="R13" s="11" t="s">
        <v>17808</v>
      </c>
      <c r="S13" s="11" t="s">
        <v>17750</v>
      </c>
    </row>
    <row r="14" spans="1:19" x14ac:dyDescent="0.2">
      <c r="A14" s="11" t="s">
        <v>17840</v>
      </c>
      <c r="B14" s="9" t="s">
        <v>17841</v>
      </c>
      <c r="C14" s="9" t="s">
        <v>17842</v>
      </c>
      <c r="D14" s="9" t="s">
        <v>17843</v>
      </c>
      <c r="E14" s="9" t="s">
        <v>17740</v>
      </c>
      <c r="F14" s="9" t="s">
        <v>17844</v>
      </c>
      <c r="G14" s="9" t="s">
        <v>17740</v>
      </c>
      <c r="H14" s="11" t="s">
        <v>17741</v>
      </c>
      <c r="I14" s="11" t="s">
        <v>17845</v>
      </c>
      <c r="J14" s="11" t="s">
        <v>17845</v>
      </c>
      <c r="K14" s="9" t="s">
        <v>17846</v>
      </c>
      <c r="L14" s="9" t="s">
        <v>17759</v>
      </c>
      <c r="M14" s="9" t="s">
        <v>17847</v>
      </c>
      <c r="N14" s="9" t="s">
        <v>17746</v>
      </c>
      <c r="O14" s="9" t="s">
        <v>17848</v>
      </c>
      <c r="P14" s="9" t="s">
        <v>17748</v>
      </c>
      <c r="Q14" s="11" t="s">
        <v>17849</v>
      </c>
      <c r="R14" s="11" t="s">
        <v>17849</v>
      </c>
      <c r="S14" s="11" t="s">
        <v>17750</v>
      </c>
    </row>
    <row r="15" spans="1:19" x14ac:dyDescent="0.2">
      <c r="A15" s="11" t="s">
        <v>17850</v>
      </c>
      <c r="B15" s="9" t="s">
        <v>17851</v>
      </c>
      <c r="C15" s="9" t="s">
        <v>17852</v>
      </c>
      <c r="D15" s="9" t="s">
        <v>17853</v>
      </c>
      <c r="E15" s="9" t="s">
        <v>17748</v>
      </c>
      <c r="F15" s="9" t="s">
        <v>17854</v>
      </c>
      <c r="G15" s="9" t="s">
        <v>17740</v>
      </c>
      <c r="H15" s="11" t="s">
        <v>17855</v>
      </c>
      <c r="I15" s="11" t="s">
        <v>17741</v>
      </c>
      <c r="J15" s="11" t="s">
        <v>17855</v>
      </c>
      <c r="K15" s="9" t="s">
        <v>17856</v>
      </c>
      <c r="L15" s="9" t="s">
        <v>17759</v>
      </c>
      <c r="M15" s="9" t="s">
        <v>17778</v>
      </c>
      <c r="N15" s="9" t="s">
        <v>17746</v>
      </c>
      <c r="O15" s="9" t="s">
        <v>17857</v>
      </c>
      <c r="P15" s="9" t="s">
        <v>17748</v>
      </c>
      <c r="Q15" s="11" t="s">
        <v>17858</v>
      </c>
      <c r="R15" s="11" t="s">
        <v>17858</v>
      </c>
      <c r="S15" s="11" t="s">
        <v>17750</v>
      </c>
    </row>
    <row r="16" spans="1:19" x14ac:dyDescent="0.2">
      <c r="A16" s="11" t="s">
        <v>17859</v>
      </c>
      <c r="B16" s="9" t="s">
        <v>17860</v>
      </c>
      <c r="C16" s="9" t="s">
        <v>17861</v>
      </c>
      <c r="D16" s="9" t="s">
        <v>17862</v>
      </c>
      <c r="E16" s="9" t="s">
        <v>17740</v>
      </c>
      <c r="F16" s="9" t="s">
        <v>17741</v>
      </c>
      <c r="G16" s="9" t="s">
        <v>17740</v>
      </c>
      <c r="H16" s="11" t="s">
        <v>17863</v>
      </c>
      <c r="I16" s="11" t="s">
        <v>17864</v>
      </c>
      <c r="J16" s="11" t="s">
        <v>17864</v>
      </c>
      <c r="K16" s="9" t="s">
        <v>17865</v>
      </c>
      <c r="L16" s="9" t="s">
        <v>17744</v>
      </c>
      <c r="M16" s="9" t="s">
        <v>17769</v>
      </c>
      <c r="N16" s="9" t="s">
        <v>17746</v>
      </c>
      <c r="O16" s="9" t="s">
        <v>17866</v>
      </c>
      <c r="P16" s="9" t="s">
        <v>17748</v>
      </c>
      <c r="Q16" s="11" t="s">
        <v>17867</v>
      </c>
      <c r="R16" s="11" t="s">
        <v>17867</v>
      </c>
      <c r="S16" s="11" t="s">
        <v>17750</v>
      </c>
    </row>
    <row r="17" spans="1:19" x14ac:dyDescent="0.2">
      <c r="A17" s="11" t="s">
        <v>17868</v>
      </c>
      <c r="B17" s="9" t="s">
        <v>17869</v>
      </c>
      <c r="C17" s="9" t="s">
        <v>17870</v>
      </c>
      <c r="D17" s="9" t="s">
        <v>17871</v>
      </c>
      <c r="E17" s="9" t="s">
        <v>17740</v>
      </c>
      <c r="F17" s="9" t="s">
        <v>17741</v>
      </c>
      <c r="G17" s="9" t="s">
        <v>17740</v>
      </c>
      <c r="H17" s="11" t="s">
        <v>17872</v>
      </c>
      <c r="I17" s="11" t="s">
        <v>17873</v>
      </c>
      <c r="J17" s="11" t="s">
        <v>17873</v>
      </c>
      <c r="K17" s="9" t="s">
        <v>291</v>
      </c>
      <c r="L17" s="9" t="s">
        <v>17759</v>
      </c>
      <c r="M17" s="9" t="s">
        <v>17778</v>
      </c>
      <c r="N17" s="9" t="s">
        <v>17746</v>
      </c>
      <c r="O17" s="9" t="s">
        <v>17874</v>
      </c>
      <c r="P17" s="9" t="s">
        <v>17748</v>
      </c>
      <c r="Q17" s="11" t="s">
        <v>17819</v>
      </c>
      <c r="R17" s="11" t="s">
        <v>17819</v>
      </c>
      <c r="S17" s="11" t="s">
        <v>17750</v>
      </c>
    </row>
    <row r="18" spans="1:19" x14ac:dyDescent="0.2">
      <c r="A18" s="11" t="s">
        <v>17875</v>
      </c>
      <c r="B18" s="9" t="s">
        <v>17876</v>
      </c>
      <c r="C18" s="9" t="s">
        <v>17877</v>
      </c>
      <c r="D18" s="9" t="s">
        <v>17878</v>
      </c>
      <c r="E18" s="9" t="s">
        <v>17740</v>
      </c>
      <c r="F18" s="9" t="s">
        <v>17741</v>
      </c>
      <c r="G18" s="9" t="s">
        <v>17740</v>
      </c>
      <c r="H18" s="11" t="s">
        <v>17879</v>
      </c>
      <c r="I18" s="11" t="s">
        <v>17880</v>
      </c>
      <c r="J18" s="11" t="s">
        <v>17880</v>
      </c>
      <c r="K18" s="9" t="s">
        <v>17881</v>
      </c>
      <c r="L18" s="9" t="s">
        <v>17759</v>
      </c>
      <c r="M18" s="9" t="s">
        <v>17817</v>
      </c>
      <c r="N18" s="9" t="s">
        <v>17746</v>
      </c>
      <c r="O18" s="9" t="s">
        <v>17882</v>
      </c>
      <c r="P18" s="9" t="s">
        <v>17748</v>
      </c>
      <c r="Q18" s="11" t="s">
        <v>17883</v>
      </c>
      <c r="R18" s="11" t="s">
        <v>17883</v>
      </c>
      <c r="S18" s="11" t="s">
        <v>17750</v>
      </c>
    </row>
    <row r="19" spans="1:19" x14ac:dyDescent="0.2">
      <c r="A19" s="11" t="s">
        <v>17884</v>
      </c>
      <c r="B19" s="9" t="s">
        <v>17885</v>
      </c>
      <c r="C19" s="9" t="s">
        <v>17886</v>
      </c>
      <c r="D19" s="9" t="s">
        <v>17887</v>
      </c>
      <c r="E19" s="9" t="s">
        <v>17740</v>
      </c>
      <c r="F19" s="9" t="s">
        <v>17741</v>
      </c>
      <c r="G19" s="9" t="s">
        <v>17740</v>
      </c>
      <c r="H19" s="11" t="s">
        <v>17888</v>
      </c>
      <c r="I19" s="11" t="s">
        <v>17889</v>
      </c>
      <c r="J19" s="11" t="s">
        <v>17889</v>
      </c>
      <c r="K19" s="9" t="s">
        <v>776</v>
      </c>
      <c r="L19" s="9" t="s">
        <v>17759</v>
      </c>
      <c r="M19" s="9" t="s">
        <v>17817</v>
      </c>
      <c r="N19" s="9" t="s">
        <v>17746</v>
      </c>
      <c r="O19" s="9" t="s">
        <v>17890</v>
      </c>
      <c r="P19" s="9" t="s">
        <v>17748</v>
      </c>
      <c r="Q19" s="11" t="s">
        <v>17825</v>
      </c>
      <c r="R19" s="11" t="s">
        <v>17825</v>
      </c>
      <c r="S19" s="11" t="s">
        <v>17750</v>
      </c>
    </row>
    <row r="20" spans="1:19" x14ac:dyDescent="0.2">
      <c r="A20" s="11" t="s">
        <v>17891</v>
      </c>
      <c r="B20" s="9" t="s">
        <v>17892</v>
      </c>
      <c r="C20" s="9" t="s">
        <v>17893</v>
      </c>
      <c r="D20" s="9" t="s">
        <v>17894</v>
      </c>
      <c r="E20" s="9" t="s">
        <v>17740</v>
      </c>
      <c r="F20" s="9" t="s">
        <v>17741</v>
      </c>
      <c r="G20" s="9" t="s">
        <v>17740</v>
      </c>
      <c r="H20" s="11" t="s">
        <v>11770</v>
      </c>
      <c r="I20" s="11" t="s">
        <v>11769</v>
      </c>
      <c r="J20" s="11" t="s">
        <v>11769</v>
      </c>
      <c r="K20" s="9" t="s">
        <v>776</v>
      </c>
      <c r="L20" s="9" t="s">
        <v>17759</v>
      </c>
      <c r="M20" s="9" t="s">
        <v>17817</v>
      </c>
      <c r="N20" s="9" t="s">
        <v>17746</v>
      </c>
      <c r="O20" s="9" t="s">
        <v>17895</v>
      </c>
      <c r="P20" s="9" t="s">
        <v>17748</v>
      </c>
      <c r="Q20" s="11" t="s">
        <v>17762</v>
      </c>
      <c r="R20" s="11" t="s">
        <v>17762</v>
      </c>
      <c r="S20" s="11" t="s">
        <v>17750</v>
      </c>
    </row>
    <row r="21" spans="1:19" x14ac:dyDescent="0.2">
      <c r="A21" s="11" t="s">
        <v>17896</v>
      </c>
      <c r="B21" s="9" t="s">
        <v>17897</v>
      </c>
      <c r="C21" s="9" t="s">
        <v>17898</v>
      </c>
      <c r="D21" s="9" t="s">
        <v>17899</v>
      </c>
      <c r="E21" s="9" t="s">
        <v>17740</v>
      </c>
      <c r="F21" s="9" t="s">
        <v>17741</v>
      </c>
      <c r="G21" s="9" t="s">
        <v>17740</v>
      </c>
      <c r="H21" s="11" t="s">
        <v>14330</v>
      </c>
      <c r="I21" s="11" t="s">
        <v>17741</v>
      </c>
      <c r="J21" s="11" t="s">
        <v>14330</v>
      </c>
      <c r="K21" s="9" t="s">
        <v>776</v>
      </c>
      <c r="L21" s="9" t="s">
        <v>17759</v>
      </c>
      <c r="M21" s="9" t="s">
        <v>17817</v>
      </c>
      <c r="N21" s="9" t="s">
        <v>17746</v>
      </c>
      <c r="O21" s="9" t="s">
        <v>3100</v>
      </c>
      <c r="P21" s="9" t="s">
        <v>17748</v>
      </c>
      <c r="Q21" s="11" t="s">
        <v>17900</v>
      </c>
      <c r="R21" s="11" t="s">
        <v>17900</v>
      </c>
      <c r="S21" s="11" t="s">
        <v>17750</v>
      </c>
    </row>
    <row r="22" spans="1:19" x14ac:dyDescent="0.2">
      <c r="A22" s="11" t="s">
        <v>17901</v>
      </c>
      <c r="B22" s="9" t="s">
        <v>17902</v>
      </c>
      <c r="C22" s="9" t="s">
        <v>17903</v>
      </c>
      <c r="D22" s="9" t="s">
        <v>17904</v>
      </c>
      <c r="E22" s="9" t="s">
        <v>17748</v>
      </c>
      <c r="F22" s="9" t="s">
        <v>17905</v>
      </c>
      <c r="G22" s="9" t="s">
        <v>17740</v>
      </c>
      <c r="H22" s="11" t="s">
        <v>17906</v>
      </c>
      <c r="I22" s="11" t="s">
        <v>17907</v>
      </c>
      <c r="J22" s="11" t="s">
        <v>17741</v>
      </c>
      <c r="K22" s="9" t="s">
        <v>776</v>
      </c>
      <c r="L22" s="9" t="s">
        <v>17759</v>
      </c>
      <c r="M22" s="9" t="s">
        <v>17908</v>
      </c>
      <c r="N22" s="9" t="s">
        <v>17746</v>
      </c>
      <c r="O22" s="9" t="s">
        <v>17882</v>
      </c>
      <c r="P22" s="9" t="s">
        <v>17748</v>
      </c>
      <c r="Q22" s="11" t="s">
        <v>17909</v>
      </c>
      <c r="R22" s="11" t="s">
        <v>17909</v>
      </c>
      <c r="S22" s="11" t="s">
        <v>17750</v>
      </c>
    </row>
    <row r="23" spans="1:19" x14ac:dyDescent="0.2">
      <c r="A23" s="11" t="s">
        <v>17910</v>
      </c>
      <c r="B23" s="9" t="s">
        <v>17911</v>
      </c>
      <c r="C23" s="9" t="s">
        <v>17912</v>
      </c>
      <c r="D23" s="9" t="s">
        <v>17913</v>
      </c>
      <c r="E23" s="9" t="s">
        <v>17740</v>
      </c>
      <c r="F23" s="9" t="s">
        <v>17741</v>
      </c>
      <c r="G23" s="9" t="s">
        <v>17740</v>
      </c>
      <c r="H23" s="11" t="s">
        <v>17914</v>
      </c>
      <c r="I23" s="11" t="s">
        <v>17915</v>
      </c>
      <c r="J23" s="11" t="s">
        <v>17915</v>
      </c>
      <c r="K23" s="9" t="s">
        <v>776</v>
      </c>
      <c r="L23" s="9" t="s">
        <v>17759</v>
      </c>
      <c r="M23" s="9" t="s">
        <v>17817</v>
      </c>
      <c r="N23" s="9" t="s">
        <v>17746</v>
      </c>
      <c r="O23" s="9" t="s">
        <v>17916</v>
      </c>
      <c r="P23" s="9" t="s">
        <v>17748</v>
      </c>
      <c r="Q23" s="11" t="s">
        <v>17917</v>
      </c>
      <c r="R23" s="11" t="s">
        <v>17917</v>
      </c>
      <c r="S23" s="11" t="s">
        <v>17750</v>
      </c>
    </row>
    <row r="24" spans="1:19" x14ac:dyDescent="0.2">
      <c r="A24" s="11" t="s">
        <v>17918</v>
      </c>
      <c r="B24" s="9" t="s">
        <v>17919</v>
      </c>
      <c r="C24" s="9" t="s">
        <v>17920</v>
      </c>
      <c r="D24" s="9" t="s">
        <v>17921</v>
      </c>
      <c r="E24" s="9" t="s">
        <v>17740</v>
      </c>
      <c r="F24" s="9" t="s">
        <v>17741</v>
      </c>
      <c r="G24" s="9" t="s">
        <v>17740</v>
      </c>
      <c r="H24" s="11" t="s">
        <v>16394</v>
      </c>
      <c r="I24" s="11" t="s">
        <v>17741</v>
      </c>
      <c r="J24" s="11" t="s">
        <v>16394</v>
      </c>
      <c r="K24" s="9" t="s">
        <v>776</v>
      </c>
      <c r="L24" s="9" t="s">
        <v>17759</v>
      </c>
      <c r="M24" s="9" t="s">
        <v>17817</v>
      </c>
      <c r="N24" s="9" t="s">
        <v>17746</v>
      </c>
      <c r="O24" s="9" t="s">
        <v>17922</v>
      </c>
      <c r="P24" s="9" t="s">
        <v>17748</v>
      </c>
      <c r="Q24" s="11" t="s">
        <v>17923</v>
      </c>
      <c r="R24" s="11" t="s">
        <v>17923</v>
      </c>
      <c r="S24" s="11" t="s">
        <v>17750</v>
      </c>
    </row>
    <row r="25" spans="1:19" x14ac:dyDescent="0.2">
      <c r="A25" s="11" t="s">
        <v>17924</v>
      </c>
      <c r="B25" s="9" t="s">
        <v>17925</v>
      </c>
      <c r="C25" s="9" t="s">
        <v>17926</v>
      </c>
      <c r="D25" s="9" t="s">
        <v>17927</v>
      </c>
      <c r="E25" s="9" t="s">
        <v>17740</v>
      </c>
      <c r="F25" s="9" t="s">
        <v>17741</v>
      </c>
      <c r="G25" s="9" t="s">
        <v>17740</v>
      </c>
      <c r="H25" s="11" t="s">
        <v>17741</v>
      </c>
      <c r="I25" s="11" t="s">
        <v>12</v>
      </c>
      <c r="J25" s="11" t="s">
        <v>12</v>
      </c>
      <c r="K25" s="9" t="s">
        <v>17928</v>
      </c>
      <c r="L25" s="9" t="s">
        <v>17929</v>
      </c>
      <c r="M25" s="9" t="s">
        <v>17760</v>
      </c>
      <c r="N25" s="9" t="s">
        <v>17930</v>
      </c>
      <c r="O25" s="9" t="s">
        <v>487</v>
      </c>
      <c r="P25" s="9" t="s">
        <v>17748</v>
      </c>
      <c r="Q25" s="11" t="s">
        <v>17931</v>
      </c>
      <c r="R25" s="11" t="s">
        <v>17931</v>
      </c>
      <c r="S25" s="11" t="s">
        <v>17750</v>
      </c>
    </row>
    <row r="26" spans="1:19" s="6" customFormat="1" x14ac:dyDescent="0.2">
      <c r="A26" s="11" t="s">
        <v>17932</v>
      </c>
      <c r="B26" s="9" t="s">
        <v>17933</v>
      </c>
      <c r="C26" s="9" t="s">
        <v>17934</v>
      </c>
      <c r="D26" s="9" t="s">
        <v>17935</v>
      </c>
      <c r="E26" s="9" t="s">
        <v>17740</v>
      </c>
      <c r="F26" s="9" t="s">
        <v>17741</v>
      </c>
      <c r="G26" s="9" t="s">
        <v>17740</v>
      </c>
      <c r="H26" s="11" t="s">
        <v>49</v>
      </c>
      <c r="I26" s="11" t="s">
        <v>48</v>
      </c>
      <c r="J26" s="11" t="s">
        <v>48</v>
      </c>
      <c r="K26" s="9" t="s">
        <v>970</v>
      </c>
      <c r="L26" s="9" t="s">
        <v>17744</v>
      </c>
      <c r="M26" s="9" t="s">
        <v>17936</v>
      </c>
      <c r="N26" s="9" t="s">
        <v>17746</v>
      </c>
      <c r="O26" s="9" t="s">
        <v>487</v>
      </c>
      <c r="P26" s="9" t="s">
        <v>17748</v>
      </c>
      <c r="Q26" s="11" t="s">
        <v>17937</v>
      </c>
      <c r="R26" s="11" t="s">
        <v>17937</v>
      </c>
      <c r="S26" s="11" t="s">
        <v>17750</v>
      </c>
    </row>
    <row r="27" spans="1:19" s="6" customFormat="1" x14ac:dyDescent="0.2">
      <c r="A27" s="11" t="s">
        <v>17938</v>
      </c>
      <c r="B27" s="9" t="s">
        <v>17939</v>
      </c>
      <c r="C27" s="9" t="s">
        <v>17940</v>
      </c>
      <c r="D27" s="9" t="s">
        <v>17941</v>
      </c>
      <c r="E27" s="9" t="s">
        <v>17740</v>
      </c>
      <c r="F27" s="9" t="s">
        <v>17741</v>
      </c>
      <c r="G27" s="9" t="s">
        <v>17740</v>
      </c>
      <c r="H27" s="11" t="s">
        <v>17741</v>
      </c>
      <c r="I27" s="11" t="s">
        <v>4787</v>
      </c>
      <c r="J27" s="11" t="s">
        <v>4787</v>
      </c>
      <c r="K27" s="9" t="s">
        <v>50</v>
      </c>
      <c r="L27" s="9" t="s">
        <v>17744</v>
      </c>
      <c r="M27" s="9" t="s">
        <v>17942</v>
      </c>
      <c r="N27" s="9" t="s">
        <v>17746</v>
      </c>
      <c r="O27" s="9" t="s">
        <v>487</v>
      </c>
      <c r="P27" s="9" t="s">
        <v>17748</v>
      </c>
      <c r="Q27" s="11" t="s">
        <v>17943</v>
      </c>
      <c r="R27" s="11" t="s">
        <v>17943</v>
      </c>
      <c r="S27" s="11" t="s">
        <v>17750</v>
      </c>
    </row>
    <row r="28" spans="1:19" x14ac:dyDescent="0.2">
      <c r="A28" s="11" t="s">
        <v>17944</v>
      </c>
      <c r="B28" s="9" t="s">
        <v>17945</v>
      </c>
      <c r="C28" s="9" t="s">
        <v>17946</v>
      </c>
      <c r="D28" s="9" t="s">
        <v>17947</v>
      </c>
      <c r="E28" s="9" t="s">
        <v>17748</v>
      </c>
      <c r="F28" s="9" t="s">
        <v>17948</v>
      </c>
      <c r="G28" s="9" t="s">
        <v>17740</v>
      </c>
      <c r="H28" s="11" t="s">
        <v>10288</v>
      </c>
      <c r="I28" s="11" t="s">
        <v>10287</v>
      </c>
      <c r="J28" s="11" t="s">
        <v>17741</v>
      </c>
      <c r="K28" s="9" t="s">
        <v>17949</v>
      </c>
      <c r="L28" s="9" t="s">
        <v>17950</v>
      </c>
      <c r="M28" s="9" t="s">
        <v>17760</v>
      </c>
      <c r="N28" s="9" t="s">
        <v>17746</v>
      </c>
      <c r="O28" s="9" t="s">
        <v>487</v>
      </c>
      <c r="P28" s="9" t="s">
        <v>17748</v>
      </c>
      <c r="Q28" s="11" t="s">
        <v>17780</v>
      </c>
      <c r="R28" s="11" t="s">
        <v>17780</v>
      </c>
      <c r="S28" s="11" t="s">
        <v>17750</v>
      </c>
    </row>
    <row r="29" spans="1:19" x14ac:dyDescent="0.2">
      <c r="A29" s="11" t="s">
        <v>17951</v>
      </c>
      <c r="B29" s="9" t="s">
        <v>17952</v>
      </c>
      <c r="C29" s="9" t="s">
        <v>17953</v>
      </c>
      <c r="D29" s="9" t="s">
        <v>17954</v>
      </c>
      <c r="E29" s="9" t="s">
        <v>17748</v>
      </c>
      <c r="F29" s="9" t="s">
        <v>17955</v>
      </c>
      <c r="G29" s="9" t="s">
        <v>17740</v>
      </c>
      <c r="H29" s="11" t="s">
        <v>17956</v>
      </c>
      <c r="I29" s="11" t="s">
        <v>17957</v>
      </c>
      <c r="J29" s="11" t="s">
        <v>17957</v>
      </c>
      <c r="K29" s="9" t="s">
        <v>55</v>
      </c>
      <c r="L29" s="9" t="s">
        <v>17958</v>
      </c>
      <c r="M29" s="9" t="s">
        <v>17817</v>
      </c>
      <c r="N29" s="9" t="s">
        <v>17746</v>
      </c>
      <c r="O29" s="9" t="s">
        <v>17959</v>
      </c>
      <c r="P29" s="9" t="s">
        <v>17748</v>
      </c>
      <c r="Q29" s="11" t="s">
        <v>17780</v>
      </c>
      <c r="R29" s="11" t="s">
        <v>17780</v>
      </c>
      <c r="S29" s="11" t="s">
        <v>17750</v>
      </c>
    </row>
    <row r="30" spans="1:19" x14ac:dyDescent="0.2">
      <c r="A30" s="11" t="s">
        <v>17960</v>
      </c>
      <c r="B30" s="9" t="s">
        <v>17961</v>
      </c>
      <c r="C30" s="9" t="s">
        <v>17962</v>
      </c>
      <c r="D30" s="9" t="s">
        <v>17963</v>
      </c>
      <c r="E30" s="9" t="s">
        <v>17740</v>
      </c>
      <c r="F30" s="9" t="s">
        <v>17741</v>
      </c>
      <c r="G30" s="9" t="s">
        <v>17740</v>
      </c>
      <c r="H30" s="11" t="s">
        <v>17964</v>
      </c>
      <c r="I30" s="11" t="s">
        <v>17965</v>
      </c>
      <c r="J30" s="11" t="s">
        <v>17965</v>
      </c>
      <c r="K30" s="9" t="s">
        <v>17966</v>
      </c>
      <c r="L30" s="9" t="s">
        <v>17967</v>
      </c>
      <c r="M30" s="9" t="s">
        <v>17760</v>
      </c>
      <c r="N30" s="9" t="s">
        <v>17968</v>
      </c>
      <c r="O30" s="9" t="s">
        <v>773</v>
      </c>
      <c r="P30" s="9" t="s">
        <v>17748</v>
      </c>
      <c r="Q30" s="11" t="s">
        <v>17969</v>
      </c>
      <c r="R30" s="11" t="s">
        <v>17969</v>
      </c>
      <c r="S30" s="11" t="s">
        <v>17750</v>
      </c>
    </row>
    <row r="31" spans="1:19" x14ac:dyDescent="0.2">
      <c r="A31" s="11" t="s">
        <v>17970</v>
      </c>
      <c r="B31" s="9" t="s">
        <v>17971</v>
      </c>
      <c r="C31" s="9" t="s">
        <v>17972</v>
      </c>
      <c r="D31" s="9" t="s">
        <v>17973</v>
      </c>
      <c r="E31" s="9" t="s">
        <v>17740</v>
      </c>
      <c r="F31" s="9" t="s">
        <v>17974</v>
      </c>
      <c r="G31" s="9" t="s">
        <v>17740</v>
      </c>
      <c r="H31" s="11" t="s">
        <v>17741</v>
      </c>
      <c r="I31" s="11" t="s">
        <v>77</v>
      </c>
      <c r="J31" s="11" t="s">
        <v>77</v>
      </c>
      <c r="K31" s="9" t="s">
        <v>17975</v>
      </c>
      <c r="L31" s="9" t="s">
        <v>17976</v>
      </c>
      <c r="M31" s="9" t="s">
        <v>17778</v>
      </c>
      <c r="N31" s="9" t="s">
        <v>17746</v>
      </c>
      <c r="O31" s="9" t="s">
        <v>17977</v>
      </c>
      <c r="P31" s="9" t="s">
        <v>17748</v>
      </c>
      <c r="Q31" s="11" t="s">
        <v>17978</v>
      </c>
      <c r="R31" s="11" t="s">
        <v>17978</v>
      </c>
      <c r="S31" s="11" t="s">
        <v>17750</v>
      </c>
    </row>
    <row r="32" spans="1:19" x14ac:dyDescent="0.2">
      <c r="A32" s="11" t="s">
        <v>17979</v>
      </c>
      <c r="B32" s="9" t="s">
        <v>17980</v>
      </c>
      <c r="C32" s="9" t="s">
        <v>17981</v>
      </c>
      <c r="D32" s="9" t="s">
        <v>17982</v>
      </c>
      <c r="E32" s="9" t="s">
        <v>17740</v>
      </c>
      <c r="F32" s="9" t="s">
        <v>17741</v>
      </c>
      <c r="G32" s="9" t="s">
        <v>17740</v>
      </c>
      <c r="H32" s="11" t="s">
        <v>11175</v>
      </c>
      <c r="I32" s="11" t="s">
        <v>11174</v>
      </c>
      <c r="J32" s="11" t="s">
        <v>11174</v>
      </c>
      <c r="K32" s="9" t="s">
        <v>91</v>
      </c>
      <c r="L32" s="9" t="s">
        <v>17744</v>
      </c>
      <c r="M32" s="9" t="s">
        <v>17983</v>
      </c>
      <c r="N32" s="9" t="s">
        <v>17746</v>
      </c>
      <c r="O32" s="9" t="s">
        <v>793</v>
      </c>
      <c r="P32" s="9" t="s">
        <v>17748</v>
      </c>
      <c r="Q32" s="11" t="s">
        <v>17984</v>
      </c>
      <c r="R32" s="11" t="s">
        <v>17984</v>
      </c>
      <c r="S32" s="11" t="s">
        <v>17750</v>
      </c>
    </row>
    <row r="33" spans="1:19" x14ac:dyDescent="0.2">
      <c r="A33" s="11" t="s">
        <v>17985</v>
      </c>
      <c r="B33" s="9" t="s">
        <v>17986</v>
      </c>
      <c r="C33" s="9" t="s">
        <v>17987</v>
      </c>
      <c r="D33" s="9" t="s">
        <v>17988</v>
      </c>
      <c r="E33" s="9" t="s">
        <v>17748</v>
      </c>
      <c r="F33" s="9" t="s">
        <v>17989</v>
      </c>
      <c r="G33" s="9" t="s">
        <v>17748</v>
      </c>
      <c r="H33" s="11" t="s">
        <v>17741</v>
      </c>
      <c r="I33" s="11" t="s">
        <v>681</v>
      </c>
      <c r="J33" s="11" t="s">
        <v>681</v>
      </c>
      <c r="K33" s="9" t="s">
        <v>17990</v>
      </c>
      <c r="L33" s="9" t="s">
        <v>17991</v>
      </c>
      <c r="M33" s="9" t="s">
        <v>17992</v>
      </c>
      <c r="N33" s="9" t="s">
        <v>17746</v>
      </c>
      <c r="O33" s="9" t="s">
        <v>17993</v>
      </c>
      <c r="P33" s="9" t="s">
        <v>17748</v>
      </c>
      <c r="Q33" s="11" t="s">
        <v>17994</v>
      </c>
      <c r="R33" s="11" t="s">
        <v>17994</v>
      </c>
      <c r="S33" s="11" t="s">
        <v>17750</v>
      </c>
    </row>
    <row r="34" spans="1:19" x14ac:dyDescent="0.2">
      <c r="A34" s="11" t="s">
        <v>17995</v>
      </c>
      <c r="B34" s="9" t="s">
        <v>17996</v>
      </c>
      <c r="C34" s="9" t="s">
        <v>17997</v>
      </c>
      <c r="D34" s="9" t="s">
        <v>17998</v>
      </c>
      <c r="E34" s="9" t="s">
        <v>17740</v>
      </c>
      <c r="F34" s="9" t="s">
        <v>17741</v>
      </c>
      <c r="G34" s="9" t="s">
        <v>17740</v>
      </c>
      <c r="H34" s="11" t="s">
        <v>17999</v>
      </c>
      <c r="I34" s="11" t="s">
        <v>18000</v>
      </c>
      <c r="J34" s="11" t="s">
        <v>18000</v>
      </c>
      <c r="K34" s="9" t="s">
        <v>17783</v>
      </c>
      <c r="L34" s="9" t="s">
        <v>18001</v>
      </c>
      <c r="M34" s="9" t="s">
        <v>17778</v>
      </c>
      <c r="N34" s="9" t="s">
        <v>17746</v>
      </c>
      <c r="O34" s="9" t="s">
        <v>17977</v>
      </c>
      <c r="P34" s="9" t="s">
        <v>17748</v>
      </c>
      <c r="Q34" s="11" t="s">
        <v>18002</v>
      </c>
      <c r="R34" s="11" t="s">
        <v>18002</v>
      </c>
      <c r="S34" s="11" t="s">
        <v>17750</v>
      </c>
    </row>
    <row r="35" spans="1:19" x14ac:dyDescent="0.2">
      <c r="A35" s="11" t="s">
        <v>18003</v>
      </c>
      <c r="B35" s="9" t="s">
        <v>18004</v>
      </c>
      <c r="C35" s="9" t="s">
        <v>18005</v>
      </c>
      <c r="D35" s="9" t="s">
        <v>18006</v>
      </c>
      <c r="E35" s="9" t="s">
        <v>17740</v>
      </c>
      <c r="F35" s="9" t="s">
        <v>17741</v>
      </c>
      <c r="G35" s="9" t="s">
        <v>17740</v>
      </c>
      <c r="H35" s="11" t="s">
        <v>18007</v>
      </c>
      <c r="I35" s="11" t="s">
        <v>100</v>
      </c>
      <c r="J35" s="11" t="s">
        <v>100</v>
      </c>
      <c r="K35" s="9" t="s">
        <v>18008</v>
      </c>
      <c r="L35" s="9" t="s">
        <v>17929</v>
      </c>
      <c r="M35" s="9" t="s">
        <v>17769</v>
      </c>
      <c r="N35" s="9" t="s">
        <v>17746</v>
      </c>
      <c r="O35" s="9" t="s">
        <v>18009</v>
      </c>
      <c r="P35" s="9" t="s">
        <v>17748</v>
      </c>
      <c r="Q35" s="11" t="s">
        <v>18010</v>
      </c>
      <c r="R35" s="11" t="s">
        <v>18010</v>
      </c>
      <c r="S35" s="11" t="s">
        <v>17750</v>
      </c>
    </row>
    <row r="36" spans="1:19" x14ac:dyDescent="0.2">
      <c r="A36" s="11" t="s">
        <v>18011</v>
      </c>
      <c r="B36" s="9" t="s">
        <v>18012</v>
      </c>
      <c r="C36" s="9" t="s">
        <v>18013</v>
      </c>
      <c r="D36" s="9" t="s">
        <v>18014</v>
      </c>
      <c r="E36" s="9" t="s">
        <v>17740</v>
      </c>
      <c r="F36" s="9" t="s">
        <v>18015</v>
      </c>
      <c r="G36" s="9" t="s">
        <v>17740</v>
      </c>
      <c r="H36" s="11" t="s">
        <v>18016</v>
      </c>
      <c r="I36" s="11" t="s">
        <v>18017</v>
      </c>
      <c r="J36" s="11" t="s">
        <v>18017</v>
      </c>
      <c r="K36" s="9" t="s">
        <v>18018</v>
      </c>
      <c r="L36" s="9" t="s">
        <v>18019</v>
      </c>
      <c r="M36" s="9" t="s">
        <v>17760</v>
      </c>
      <c r="N36" s="9" t="s">
        <v>17746</v>
      </c>
      <c r="O36" s="9" t="s">
        <v>17882</v>
      </c>
      <c r="P36" s="9" t="s">
        <v>17748</v>
      </c>
      <c r="Q36" s="11" t="s">
        <v>17792</v>
      </c>
      <c r="R36" s="11" t="s">
        <v>17792</v>
      </c>
      <c r="S36" s="11" t="s">
        <v>17750</v>
      </c>
    </row>
    <row r="37" spans="1:19" x14ac:dyDescent="0.2">
      <c r="A37" s="11" t="s">
        <v>18020</v>
      </c>
      <c r="B37" s="9" t="s">
        <v>18021</v>
      </c>
      <c r="C37" s="9" t="s">
        <v>18022</v>
      </c>
      <c r="D37" s="9" t="s">
        <v>18023</v>
      </c>
      <c r="E37" s="9" t="s">
        <v>17740</v>
      </c>
      <c r="F37" s="9" t="s">
        <v>18024</v>
      </c>
      <c r="G37" s="9" t="s">
        <v>17740</v>
      </c>
      <c r="H37" s="11" t="s">
        <v>17741</v>
      </c>
      <c r="I37" s="11" t="s">
        <v>133</v>
      </c>
      <c r="J37" s="11" t="s">
        <v>133</v>
      </c>
      <c r="K37" s="9" t="s">
        <v>15069</v>
      </c>
      <c r="L37" s="9" t="s">
        <v>18025</v>
      </c>
      <c r="M37" s="9" t="s">
        <v>17769</v>
      </c>
      <c r="N37" s="9" t="s">
        <v>18026</v>
      </c>
      <c r="O37" s="9" t="s">
        <v>18027</v>
      </c>
      <c r="P37" s="9" t="s">
        <v>17748</v>
      </c>
      <c r="Q37" s="11" t="s">
        <v>17931</v>
      </c>
      <c r="R37" s="11" t="s">
        <v>17931</v>
      </c>
      <c r="S37" s="11" t="s">
        <v>17750</v>
      </c>
    </row>
    <row r="38" spans="1:19" x14ac:dyDescent="0.2">
      <c r="A38" s="11" t="s">
        <v>18028</v>
      </c>
      <c r="B38" s="9" t="s">
        <v>18029</v>
      </c>
      <c r="C38" s="9" t="s">
        <v>18030</v>
      </c>
      <c r="D38" s="9" t="s">
        <v>18031</v>
      </c>
      <c r="E38" s="9" t="s">
        <v>17740</v>
      </c>
      <c r="F38" s="9" t="s">
        <v>17741</v>
      </c>
      <c r="G38" s="9" t="s">
        <v>17740</v>
      </c>
      <c r="H38" s="11" t="s">
        <v>18032</v>
      </c>
      <c r="I38" s="11" t="s">
        <v>18033</v>
      </c>
      <c r="J38" s="11" t="s">
        <v>18033</v>
      </c>
      <c r="K38" s="9" t="s">
        <v>18034</v>
      </c>
      <c r="L38" s="9" t="s">
        <v>18025</v>
      </c>
      <c r="M38" s="9" t="s">
        <v>17778</v>
      </c>
      <c r="N38" s="9" t="s">
        <v>17746</v>
      </c>
      <c r="O38" s="9" t="s">
        <v>18035</v>
      </c>
      <c r="P38" s="9" t="s">
        <v>17748</v>
      </c>
      <c r="Q38" s="11" t="s">
        <v>17943</v>
      </c>
      <c r="R38" s="11" t="s">
        <v>17943</v>
      </c>
      <c r="S38" s="11" t="s">
        <v>17750</v>
      </c>
    </row>
    <row r="39" spans="1:19" x14ac:dyDescent="0.2">
      <c r="A39" s="11" t="s">
        <v>18036</v>
      </c>
      <c r="B39" s="9" t="s">
        <v>18037</v>
      </c>
      <c r="C39" s="9" t="s">
        <v>18038</v>
      </c>
      <c r="D39" s="9" t="s">
        <v>18039</v>
      </c>
      <c r="E39" s="9" t="s">
        <v>17740</v>
      </c>
      <c r="F39" s="9" t="s">
        <v>18040</v>
      </c>
      <c r="G39" s="9" t="s">
        <v>17740</v>
      </c>
      <c r="H39" s="11" t="s">
        <v>17741</v>
      </c>
      <c r="I39" s="11" t="s">
        <v>18041</v>
      </c>
      <c r="J39" s="11" t="s">
        <v>18041</v>
      </c>
      <c r="K39" s="9" t="s">
        <v>17928</v>
      </c>
      <c r="L39" s="9" t="s">
        <v>17929</v>
      </c>
      <c r="M39" s="9" t="s">
        <v>17769</v>
      </c>
      <c r="N39" s="9" t="s">
        <v>18042</v>
      </c>
      <c r="O39" s="9" t="s">
        <v>18035</v>
      </c>
      <c r="P39" s="9" t="s">
        <v>17748</v>
      </c>
      <c r="Q39" s="11" t="s">
        <v>18010</v>
      </c>
      <c r="R39" s="11" t="s">
        <v>18010</v>
      </c>
      <c r="S39" s="11" t="s">
        <v>17750</v>
      </c>
    </row>
    <row r="40" spans="1:19" x14ac:dyDescent="0.2">
      <c r="A40" s="11" t="s">
        <v>18043</v>
      </c>
      <c r="B40" s="9" t="s">
        <v>18044</v>
      </c>
      <c r="C40" s="9" t="s">
        <v>18045</v>
      </c>
      <c r="D40" s="9" t="s">
        <v>18046</v>
      </c>
      <c r="E40" s="9" t="s">
        <v>17740</v>
      </c>
      <c r="F40" s="9" t="s">
        <v>18047</v>
      </c>
      <c r="G40" s="9" t="s">
        <v>17740</v>
      </c>
      <c r="H40" s="11" t="s">
        <v>17741</v>
      </c>
      <c r="I40" s="11" t="s">
        <v>18048</v>
      </c>
      <c r="J40" s="11" t="s">
        <v>18048</v>
      </c>
      <c r="K40" s="9" t="s">
        <v>18049</v>
      </c>
      <c r="L40" s="9" t="s">
        <v>18050</v>
      </c>
      <c r="M40" s="9" t="s">
        <v>18051</v>
      </c>
      <c r="N40" s="9" t="s">
        <v>18052</v>
      </c>
      <c r="O40" s="9" t="s">
        <v>18035</v>
      </c>
      <c r="P40" s="9" t="s">
        <v>17748</v>
      </c>
      <c r="Q40" s="11" t="s">
        <v>17969</v>
      </c>
      <c r="R40" s="11" t="s">
        <v>17969</v>
      </c>
      <c r="S40" s="11" t="s">
        <v>17750</v>
      </c>
    </row>
    <row r="41" spans="1:19" x14ac:dyDescent="0.2">
      <c r="A41" s="11" t="s">
        <v>18053</v>
      </c>
      <c r="B41" s="9" t="s">
        <v>18054</v>
      </c>
      <c r="C41" s="9" t="s">
        <v>18055</v>
      </c>
      <c r="D41" s="9" t="s">
        <v>18056</v>
      </c>
      <c r="E41" s="9" t="s">
        <v>17740</v>
      </c>
      <c r="F41" s="9" t="s">
        <v>17741</v>
      </c>
      <c r="G41" s="9" t="s">
        <v>17740</v>
      </c>
      <c r="H41" s="11" t="s">
        <v>11372</v>
      </c>
      <c r="I41" s="11" t="s">
        <v>11371</v>
      </c>
      <c r="J41" s="11" t="s">
        <v>11371</v>
      </c>
      <c r="K41" s="9" t="s">
        <v>18057</v>
      </c>
      <c r="L41" s="9" t="s">
        <v>18058</v>
      </c>
      <c r="M41" s="9" t="s">
        <v>17760</v>
      </c>
      <c r="N41" s="9" t="s">
        <v>17746</v>
      </c>
      <c r="O41" s="9" t="s">
        <v>18035</v>
      </c>
      <c r="P41" s="9" t="s">
        <v>17748</v>
      </c>
      <c r="Q41" s="11" t="s">
        <v>18059</v>
      </c>
      <c r="R41" s="11" t="s">
        <v>18059</v>
      </c>
      <c r="S41" s="11" t="s">
        <v>17750</v>
      </c>
    </row>
    <row r="42" spans="1:19" x14ac:dyDescent="0.2">
      <c r="A42" s="11" t="s">
        <v>18060</v>
      </c>
      <c r="B42" s="9" t="s">
        <v>18061</v>
      </c>
      <c r="C42" s="9" t="s">
        <v>18062</v>
      </c>
      <c r="D42" s="9" t="s">
        <v>18063</v>
      </c>
      <c r="E42" s="9" t="s">
        <v>17740</v>
      </c>
      <c r="F42" s="9" t="s">
        <v>18064</v>
      </c>
      <c r="G42" s="9" t="s">
        <v>17740</v>
      </c>
      <c r="H42" s="11" t="s">
        <v>17741</v>
      </c>
      <c r="I42" s="11" t="s">
        <v>103</v>
      </c>
      <c r="J42" s="11" t="s">
        <v>103</v>
      </c>
      <c r="K42" s="9" t="s">
        <v>102</v>
      </c>
      <c r="L42" s="9" t="s">
        <v>17929</v>
      </c>
      <c r="M42" s="9" t="s">
        <v>18065</v>
      </c>
      <c r="N42" s="9" t="s">
        <v>18042</v>
      </c>
      <c r="O42" s="9" t="s">
        <v>17993</v>
      </c>
      <c r="P42" s="9" t="s">
        <v>17748</v>
      </c>
      <c r="Q42" s="11" t="s">
        <v>18010</v>
      </c>
      <c r="R42" s="11" t="s">
        <v>18010</v>
      </c>
      <c r="S42" s="11" t="s">
        <v>17750</v>
      </c>
    </row>
    <row r="43" spans="1:19" x14ac:dyDescent="0.2">
      <c r="A43" s="11" t="s">
        <v>18066</v>
      </c>
      <c r="B43" s="9" t="s">
        <v>18067</v>
      </c>
      <c r="C43" s="9" t="s">
        <v>18068</v>
      </c>
      <c r="D43" s="9" t="s">
        <v>18069</v>
      </c>
      <c r="E43" s="9" t="s">
        <v>17740</v>
      </c>
      <c r="F43" s="9" t="s">
        <v>17741</v>
      </c>
      <c r="G43" s="9" t="s">
        <v>17740</v>
      </c>
      <c r="H43" s="11" t="s">
        <v>17741</v>
      </c>
      <c r="I43" s="11" t="s">
        <v>18070</v>
      </c>
      <c r="J43" s="11" t="s">
        <v>18070</v>
      </c>
      <c r="K43" s="9" t="s">
        <v>18071</v>
      </c>
      <c r="L43" s="9" t="s">
        <v>17929</v>
      </c>
      <c r="M43" s="9" t="s">
        <v>17942</v>
      </c>
      <c r="N43" s="9" t="s">
        <v>17746</v>
      </c>
      <c r="O43" s="9" t="s">
        <v>17993</v>
      </c>
      <c r="P43" s="9" t="s">
        <v>17748</v>
      </c>
      <c r="Q43" s="11" t="s">
        <v>18072</v>
      </c>
      <c r="R43" s="11" t="s">
        <v>18072</v>
      </c>
      <c r="S43" s="11" t="s">
        <v>17750</v>
      </c>
    </row>
    <row r="44" spans="1:19" x14ac:dyDescent="0.2">
      <c r="A44" s="11" t="s">
        <v>18073</v>
      </c>
      <c r="B44" s="9" t="s">
        <v>18074</v>
      </c>
      <c r="C44" s="9" t="s">
        <v>18075</v>
      </c>
      <c r="D44" s="9" t="s">
        <v>18076</v>
      </c>
      <c r="E44" s="9" t="s">
        <v>17740</v>
      </c>
      <c r="F44" s="9" t="s">
        <v>18077</v>
      </c>
      <c r="G44" s="9" t="s">
        <v>17740</v>
      </c>
      <c r="H44" s="11" t="s">
        <v>5620</v>
      </c>
      <c r="I44" s="11" t="s">
        <v>5619</v>
      </c>
      <c r="J44" s="11" t="s">
        <v>5619</v>
      </c>
      <c r="K44" s="9" t="s">
        <v>18078</v>
      </c>
      <c r="L44" s="9" t="s">
        <v>18079</v>
      </c>
      <c r="M44" s="9" t="s">
        <v>17778</v>
      </c>
      <c r="N44" s="9" t="s">
        <v>18052</v>
      </c>
      <c r="O44" s="9" t="s">
        <v>17993</v>
      </c>
      <c r="P44" s="9" t="s">
        <v>17748</v>
      </c>
      <c r="Q44" s="11" t="s">
        <v>18080</v>
      </c>
      <c r="R44" s="11" t="s">
        <v>18080</v>
      </c>
      <c r="S44" s="11" t="s">
        <v>17750</v>
      </c>
    </row>
    <row r="45" spans="1:19" x14ac:dyDescent="0.2">
      <c r="A45" s="11" t="s">
        <v>18081</v>
      </c>
      <c r="B45" s="9" t="s">
        <v>18082</v>
      </c>
      <c r="C45" s="9" t="s">
        <v>18083</v>
      </c>
      <c r="D45" s="9" t="s">
        <v>18084</v>
      </c>
      <c r="E45" s="9" t="s">
        <v>17748</v>
      </c>
      <c r="F45" s="9" t="s">
        <v>18085</v>
      </c>
      <c r="G45" s="9" t="s">
        <v>17740</v>
      </c>
      <c r="H45" s="11" t="s">
        <v>18086</v>
      </c>
      <c r="I45" s="11" t="s">
        <v>18087</v>
      </c>
      <c r="J45" s="11" t="s">
        <v>18087</v>
      </c>
      <c r="K45" s="9" t="s">
        <v>17741</v>
      </c>
      <c r="L45" s="9" t="s">
        <v>17744</v>
      </c>
      <c r="M45" s="9" t="s">
        <v>17769</v>
      </c>
      <c r="N45" s="9" t="s">
        <v>17746</v>
      </c>
      <c r="O45" s="9" t="s">
        <v>18088</v>
      </c>
      <c r="P45" s="9" t="s">
        <v>17748</v>
      </c>
      <c r="Q45" s="11" t="s">
        <v>18089</v>
      </c>
      <c r="R45" s="11" t="s">
        <v>18089</v>
      </c>
      <c r="S45" s="11" t="s">
        <v>17750</v>
      </c>
    </row>
    <row r="46" spans="1:19" x14ac:dyDescent="0.2">
      <c r="A46" s="11" t="s">
        <v>18090</v>
      </c>
      <c r="B46" s="9" t="s">
        <v>18091</v>
      </c>
      <c r="C46" s="9" t="s">
        <v>18092</v>
      </c>
      <c r="D46" s="9" t="s">
        <v>18093</v>
      </c>
      <c r="E46" s="9" t="s">
        <v>17748</v>
      </c>
      <c r="F46" s="9" t="s">
        <v>18094</v>
      </c>
      <c r="G46" s="9" t="s">
        <v>17740</v>
      </c>
      <c r="H46" s="11" t="s">
        <v>18095</v>
      </c>
      <c r="I46" s="11" t="s">
        <v>17741</v>
      </c>
      <c r="J46" s="11" t="s">
        <v>17741</v>
      </c>
      <c r="K46" s="9" t="s">
        <v>17741</v>
      </c>
      <c r="L46" s="9" t="s">
        <v>17759</v>
      </c>
      <c r="M46" s="9" t="s">
        <v>17769</v>
      </c>
      <c r="N46" s="9" t="s">
        <v>17746</v>
      </c>
      <c r="O46" s="9" t="s">
        <v>18088</v>
      </c>
      <c r="P46" s="9" t="s">
        <v>17748</v>
      </c>
      <c r="Q46" s="11" t="s">
        <v>18096</v>
      </c>
      <c r="R46" s="11" t="s">
        <v>18096</v>
      </c>
      <c r="S46" s="11" t="s">
        <v>17750</v>
      </c>
    </row>
    <row r="47" spans="1:19" x14ac:dyDescent="0.2">
      <c r="A47" s="11" t="s">
        <v>18097</v>
      </c>
      <c r="B47" s="9" t="s">
        <v>18098</v>
      </c>
      <c r="C47" s="9" t="s">
        <v>18099</v>
      </c>
      <c r="D47" s="9" t="s">
        <v>18100</v>
      </c>
      <c r="E47" s="9" t="s">
        <v>17748</v>
      </c>
      <c r="F47" s="9" t="s">
        <v>18101</v>
      </c>
      <c r="G47" s="9" t="s">
        <v>17740</v>
      </c>
      <c r="H47" s="11" t="s">
        <v>18102</v>
      </c>
      <c r="I47" s="11" t="s">
        <v>17741</v>
      </c>
      <c r="J47" s="11" t="s">
        <v>17741</v>
      </c>
      <c r="K47" s="9" t="s">
        <v>17741</v>
      </c>
      <c r="L47" s="9" t="s">
        <v>17759</v>
      </c>
      <c r="M47" s="9" t="s">
        <v>17817</v>
      </c>
      <c r="N47" s="9" t="s">
        <v>17746</v>
      </c>
      <c r="O47" s="9" t="s">
        <v>18088</v>
      </c>
      <c r="P47" s="9" t="s">
        <v>17748</v>
      </c>
      <c r="Q47" s="11" t="s">
        <v>18096</v>
      </c>
      <c r="R47" s="11" t="s">
        <v>18096</v>
      </c>
      <c r="S47" s="11" t="s">
        <v>17750</v>
      </c>
    </row>
    <row r="48" spans="1:19" x14ac:dyDescent="0.2">
      <c r="A48" s="11" t="s">
        <v>18103</v>
      </c>
      <c r="B48" s="9" t="s">
        <v>18104</v>
      </c>
      <c r="C48" s="9" t="s">
        <v>18105</v>
      </c>
      <c r="D48" s="9" t="s">
        <v>18106</v>
      </c>
      <c r="E48" s="9" t="s">
        <v>17740</v>
      </c>
      <c r="F48" s="9" t="s">
        <v>17741</v>
      </c>
      <c r="G48" s="9" t="s">
        <v>17740</v>
      </c>
      <c r="H48" s="11" t="s">
        <v>18107</v>
      </c>
      <c r="I48" s="11" t="s">
        <v>18108</v>
      </c>
      <c r="J48" s="11" t="s">
        <v>18108</v>
      </c>
      <c r="K48" s="9" t="s">
        <v>970</v>
      </c>
      <c r="L48" s="9" t="s">
        <v>17759</v>
      </c>
      <c r="M48" s="9" t="s">
        <v>18109</v>
      </c>
      <c r="N48" s="9" t="s">
        <v>17746</v>
      </c>
      <c r="O48" s="9" t="s">
        <v>18088</v>
      </c>
      <c r="P48" s="9" t="s">
        <v>17748</v>
      </c>
      <c r="Q48" s="11" t="s">
        <v>17792</v>
      </c>
      <c r="R48" s="11" t="s">
        <v>17792</v>
      </c>
      <c r="S48" s="11" t="s">
        <v>17750</v>
      </c>
    </row>
    <row r="49" spans="1:19" x14ac:dyDescent="0.2">
      <c r="A49" s="11" t="s">
        <v>18110</v>
      </c>
      <c r="B49" s="9" t="s">
        <v>18111</v>
      </c>
      <c r="C49" s="9" t="s">
        <v>18112</v>
      </c>
      <c r="D49" s="9" t="s">
        <v>18113</v>
      </c>
      <c r="E49" s="9" t="s">
        <v>17748</v>
      </c>
      <c r="F49" s="9" t="s">
        <v>18114</v>
      </c>
      <c r="G49" s="9" t="s">
        <v>17740</v>
      </c>
      <c r="H49" s="11" t="s">
        <v>18115</v>
      </c>
      <c r="I49" s="11" t="s">
        <v>17741</v>
      </c>
      <c r="J49" s="11" t="s">
        <v>17741</v>
      </c>
      <c r="K49" s="9" t="s">
        <v>17741</v>
      </c>
      <c r="L49" s="9" t="s">
        <v>17759</v>
      </c>
      <c r="M49" s="9" t="s">
        <v>17817</v>
      </c>
      <c r="N49" s="9" t="s">
        <v>17746</v>
      </c>
      <c r="O49" s="9" t="s">
        <v>18088</v>
      </c>
      <c r="P49" s="9" t="s">
        <v>17748</v>
      </c>
      <c r="Q49" s="11" t="s">
        <v>18089</v>
      </c>
      <c r="R49" s="11" t="s">
        <v>18089</v>
      </c>
      <c r="S49" s="11" t="s">
        <v>17750</v>
      </c>
    </row>
    <row r="50" spans="1:19" x14ac:dyDescent="0.2">
      <c r="A50" s="11" t="s">
        <v>18116</v>
      </c>
      <c r="B50" s="9" t="s">
        <v>18117</v>
      </c>
      <c r="C50" s="9" t="s">
        <v>18118</v>
      </c>
      <c r="D50" s="9" t="s">
        <v>18119</v>
      </c>
      <c r="E50" s="9" t="s">
        <v>17740</v>
      </c>
      <c r="F50" s="9" t="s">
        <v>18120</v>
      </c>
      <c r="G50" s="9" t="s">
        <v>17740</v>
      </c>
      <c r="H50" s="11" t="s">
        <v>18121</v>
      </c>
      <c r="I50" s="11" t="s">
        <v>149</v>
      </c>
      <c r="J50" s="11" t="s">
        <v>149</v>
      </c>
      <c r="K50" s="9" t="s">
        <v>18122</v>
      </c>
      <c r="L50" s="9" t="s">
        <v>18123</v>
      </c>
      <c r="M50" s="9" t="s">
        <v>18124</v>
      </c>
      <c r="N50" s="9" t="s">
        <v>17746</v>
      </c>
      <c r="O50" s="9" t="s">
        <v>18125</v>
      </c>
      <c r="P50" s="9" t="s">
        <v>17748</v>
      </c>
      <c r="Q50" s="11" t="s">
        <v>17937</v>
      </c>
      <c r="R50" s="11" t="s">
        <v>17937</v>
      </c>
      <c r="S50" s="11" t="s">
        <v>17750</v>
      </c>
    </row>
    <row r="51" spans="1:19" s="6" customFormat="1" x14ac:dyDescent="0.2">
      <c r="A51" s="11" t="s">
        <v>18126</v>
      </c>
      <c r="B51" s="9" t="s">
        <v>18127</v>
      </c>
      <c r="C51" s="9" t="s">
        <v>18128</v>
      </c>
      <c r="D51" s="9" t="s">
        <v>18129</v>
      </c>
      <c r="E51" s="9" t="s">
        <v>17740</v>
      </c>
      <c r="F51" s="9" t="s">
        <v>17741</v>
      </c>
      <c r="G51" s="9" t="s">
        <v>17740</v>
      </c>
      <c r="H51" s="11" t="s">
        <v>182</v>
      </c>
      <c r="I51" s="11" t="s">
        <v>181</v>
      </c>
      <c r="J51" s="11" t="s">
        <v>181</v>
      </c>
      <c r="K51" s="9" t="s">
        <v>4854</v>
      </c>
      <c r="L51" s="9" t="s">
        <v>18130</v>
      </c>
      <c r="M51" s="9" t="s">
        <v>17769</v>
      </c>
      <c r="N51" s="9" t="s">
        <v>17746</v>
      </c>
      <c r="O51" s="9" t="s">
        <v>18131</v>
      </c>
      <c r="P51" s="9" t="s">
        <v>17748</v>
      </c>
      <c r="Q51" s="11" t="s">
        <v>18132</v>
      </c>
      <c r="R51" s="11" t="s">
        <v>18132</v>
      </c>
      <c r="S51" s="11" t="s">
        <v>17750</v>
      </c>
    </row>
    <row r="52" spans="1:19" s="6" customFormat="1" x14ac:dyDescent="0.2">
      <c r="A52" s="11" t="s">
        <v>18133</v>
      </c>
      <c r="B52" s="9" t="s">
        <v>18134</v>
      </c>
      <c r="C52" s="9" t="s">
        <v>18135</v>
      </c>
      <c r="D52" s="9" t="s">
        <v>18136</v>
      </c>
      <c r="E52" s="9" t="s">
        <v>17740</v>
      </c>
      <c r="F52" s="9" t="s">
        <v>17741</v>
      </c>
      <c r="G52" s="9" t="s">
        <v>17740</v>
      </c>
      <c r="H52" s="11" t="s">
        <v>17741</v>
      </c>
      <c r="I52" s="11" t="s">
        <v>4853</v>
      </c>
      <c r="J52" s="11" t="s">
        <v>4853</v>
      </c>
      <c r="K52" s="9" t="s">
        <v>18137</v>
      </c>
      <c r="L52" s="9" t="s">
        <v>18138</v>
      </c>
      <c r="M52" s="9" t="s">
        <v>17942</v>
      </c>
      <c r="N52" s="9" t="s">
        <v>17746</v>
      </c>
      <c r="O52" s="9" t="s">
        <v>18131</v>
      </c>
      <c r="P52" s="9" t="s">
        <v>17748</v>
      </c>
      <c r="Q52" s="11" t="s">
        <v>18139</v>
      </c>
      <c r="R52" s="11" t="s">
        <v>18139</v>
      </c>
      <c r="S52" s="11" t="s">
        <v>17750</v>
      </c>
    </row>
    <row r="53" spans="1:19" x14ac:dyDescent="0.2">
      <c r="A53" s="11" t="s">
        <v>18140</v>
      </c>
      <c r="B53" s="9" t="s">
        <v>18141</v>
      </c>
      <c r="C53" s="9" t="s">
        <v>18142</v>
      </c>
      <c r="D53" s="9" t="s">
        <v>18143</v>
      </c>
      <c r="E53" s="9" t="s">
        <v>17740</v>
      </c>
      <c r="F53" s="9" t="s">
        <v>18144</v>
      </c>
      <c r="G53" s="9" t="s">
        <v>17740</v>
      </c>
      <c r="H53" s="11" t="s">
        <v>18145</v>
      </c>
      <c r="I53" s="11" t="s">
        <v>6137</v>
      </c>
      <c r="J53" s="11" t="s">
        <v>6137</v>
      </c>
      <c r="K53" s="9" t="s">
        <v>18146</v>
      </c>
      <c r="L53" s="9" t="s">
        <v>18019</v>
      </c>
      <c r="M53" s="9" t="s">
        <v>17760</v>
      </c>
      <c r="N53" s="9" t="s">
        <v>17746</v>
      </c>
      <c r="O53" s="9" t="s">
        <v>18131</v>
      </c>
      <c r="P53" s="9" t="s">
        <v>17748</v>
      </c>
      <c r="Q53" s="11" t="s">
        <v>18147</v>
      </c>
      <c r="R53" s="11" t="s">
        <v>18147</v>
      </c>
      <c r="S53" s="11" t="s">
        <v>17750</v>
      </c>
    </row>
    <row r="54" spans="1:19" x14ac:dyDescent="0.2">
      <c r="A54" s="11" t="s">
        <v>18148</v>
      </c>
      <c r="B54" s="9" t="s">
        <v>18149</v>
      </c>
      <c r="C54" s="9" t="s">
        <v>18150</v>
      </c>
      <c r="D54" s="9" t="s">
        <v>18151</v>
      </c>
      <c r="E54" s="9" t="s">
        <v>17740</v>
      </c>
      <c r="F54" s="9" t="s">
        <v>18144</v>
      </c>
      <c r="G54" s="9" t="s">
        <v>17740</v>
      </c>
      <c r="H54" s="11" t="s">
        <v>18152</v>
      </c>
      <c r="I54" s="11" t="s">
        <v>6109</v>
      </c>
      <c r="J54" s="11" t="s">
        <v>6109</v>
      </c>
      <c r="K54" s="9" t="s">
        <v>6110</v>
      </c>
      <c r="L54" s="9" t="s">
        <v>18079</v>
      </c>
      <c r="M54" s="9" t="s">
        <v>17778</v>
      </c>
      <c r="N54" s="9" t="s">
        <v>18052</v>
      </c>
      <c r="O54" s="9" t="s">
        <v>5790</v>
      </c>
      <c r="P54" s="9" t="s">
        <v>17748</v>
      </c>
      <c r="Q54" s="11" t="s">
        <v>17792</v>
      </c>
      <c r="R54" s="11" t="s">
        <v>17792</v>
      </c>
      <c r="S54" s="11" t="s">
        <v>17750</v>
      </c>
    </row>
    <row r="55" spans="1:19" x14ac:dyDescent="0.2">
      <c r="A55" s="11" t="s">
        <v>18153</v>
      </c>
      <c r="B55" s="9" t="s">
        <v>18154</v>
      </c>
      <c r="C55" s="9" t="s">
        <v>18155</v>
      </c>
      <c r="D55" s="9" t="s">
        <v>18156</v>
      </c>
      <c r="E55" s="9" t="s">
        <v>17740</v>
      </c>
      <c r="F55" s="9" t="s">
        <v>18157</v>
      </c>
      <c r="G55" s="9" t="s">
        <v>17740</v>
      </c>
      <c r="H55" s="11" t="s">
        <v>5661</v>
      </c>
      <c r="I55" s="11" t="s">
        <v>5660</v>
      </c>
      <c r="J55" s="11" t="s">
        <v>5660</v>
      </c>
      <c r="K55" s="9" t="s">
        <v>167</v>
      </c>
      <c r="L55" s="9" t="s">
        <v>18158</v>
      </c>
      <c r="M55" s="9" t="s">
        <v>17778</v>
      </c>
      <c r="N55" s="9" t="s">
        <v>17746</v>
      </c>
      <c r="O55" s="9" t="s">
        <v>1535</v>
      </c>
      <c r="P55" s="9" t="s">
        <v>17748</v>
      </c>
      <c r="Q55" s="11" t="s">
        <v>18080</v>
      </c>
      <c r="R55" s="11" t="s">
        <v>18080</v>
      </c>
      <c r="S55" s="11" t="s">
        <v>17750</v>
      </c>
    </row>
    <row r="56" spans="1:19" x14ac:dyDescent="0.2">
      <c r="A56" s="11" t="s">
        <v>18159</v>
      </c>
      <c r="B56" s="9" t="s">
        <v>18160</v>
      </c>
      <c r="C56" s="9" t="s">
        <v>18161</v>
      </c>
      <c r="D56" s="9" t="s">
        <v>18162</v>
      </c>
      <c r="E56" s="9" t="s">
        <v>17740</v>
      </c>
      <c r="F56" s="9" t="s">
        <v>18163</v>
      </c>
      <c r="G56" s="9" t="s">
        <v>17740</v>
      </c>
      <c r="H56" s="11" t="s">
        <v>17741</v>
      </c>
      <c r="I56" s="11" t="s">
        <v>211</v>
      </c>
      <c r="J56" s="11" t="s">
        <v>211</v>
      </c>
      <c r="K56" s="9" t="s">
        <v>17928</v>
      </c>
      <c r="L56" s="9" t="s">
        <v>17929</v>
      </c>
      <c r="M56" s="9" t="s">
        <v>17778</v>
      </c>
      <c r="N56" s="9" t="s">
        <v>17746</v>
      </c>
      <c r="O56" s="9" t="s">
        <v>1675</v>
      </c>
      <c r="P56" s="9" t="s">
        <v>17748</v>
      </c>
      <c r="Q56" s="11" t="s">
        <v>18010</v>
      </c>
      <c r="R56" s="11" t="s">
        <v>18010</v>
      </c>
      <c r="S56" s="11" t="s">
        <v>17750</v>
      </c>
    </row>
    <row r="57" spans="1:19" x14ac:dyDescent="0.2">
      <c r="A57" s="11" t="s">
        <v>18164</v>
      </c>
      <c r="B57" s="9" t="s">
        <v>18165</v>
      </c>
      <c r="C57" s="9" t="s">
        <v>18166</v>
      </c>
      <c r="D57" s="9" t="s">
        <v>18167</v>
      </c>
      <c r="E57" s="9" t="s">
        <v>17740</v>
      </c>
      <c r="F57" s="9" t="s">
        <v>17741</v>
      </c>
      <c r="G57" s="9" t="s">
        <v>17740</v>
      </c>
      <c r="H57" s="11" t="s">
        <v>17741</v>
      </c>
      <c r="I57" s="11" t="s">
        <v>231</v>
      </c>
      <c r="J57" s="11" t="s">
        <v>231</v>
      </c>
      <c r="K57" s="9" t="s">
        <v>18168</v>
      </c>
      <c r="L57" s="9" t="s">
        <v>18169</v>
      </c>
      <c r="M57" s="9" t="s">
        <v>18170</v>
      </c>
      <c r="N57" s="9" t="s">
        <v>18171</v>
      </c>
      <c r="O57" s="9" t="s">
        <v>1675</v>
      </c>
      <c r="P57" s="9" t="s">
        <v>17748</v>
      </c>
      <c r="Q57" s="11" t="s">
        <v>17867</v>
      </c>
      <c r="R57" s="11" t="s">
        <v>17867</v>
      </c>
      <c r="S57" s="11" t="s">
        <v>17750</v>
      </c>
    </row>
    <row r="58" spans="1:19" x14ac:dyDescent="0.2">
      <c r="A58" s="11" t="s">
        <v>18172</v>
      </c>
      <c r="B58" s="9" t="s">
        <v>18173</v>
      </c>
      <c r="C58" s="9" t="s">
        <v>18174</v>
      </c>
      <c r="D58" s="9" t="s">
        <v>18175</v>
      </c>
      <c r="E58" s="9" t="s">
        <v>17740</v>
      </c>
      <c r="F58" s="9" t="s">
        <v>17741</v>
      </c>
      <c r="G58" s="9" t="s">
        <v>17740</v>
      </c>
      <c r="H58" s="11" t="s">
        <v>121</v>
      </c>
      <c r="I58" s="11" t="s">
        <v>120</v>
      </c>
      <c r="J58" s="11" t="s">
        <v>120</v>
      </c>
      <c r="K58" s="9" t="s">
        <v>18176</v>
      </c>
      <c r="L58" s="9" t="s">
        <v>18123</v>
      </c>
      <c r="M58" s="9" t="s">
        <v>18177</v>
      </c>
      <c r="N58" s="9" t="s">
        <v>17746</v>
      </c>
      <c r="O58" s="9" t="s">
        <v>7097</v>
      </c>
      <c r="P58" s="9" t="s">
        <v>17748</v>
      </c>
      <c r="Q58" s="11" t="s">
        <v>18178</v>
      </c>
      <c r="R58" s="11" t="s">
        <v>18178</v>
      </c>
      <c r="S58" s="11" t="s">
        <v>17750</v>
      </c>
    </row>
    <row r="59" spans="1:19" x14ac:dyDescent="0.2">
      <c r="A59" s="11" t="s">
        <v>18179</v>
      </c>
      <c r="B59" s="9" t="s">
        <v>18180</v>
      </c>
      <c r="C59" s="9" t="s">
        <v>18181</v>
      </c>
      <c r="D59" s="9" t="s">
        <v>18182</v>
      </c>
      <c r="E59" s="9" t="s">
        <v>17740</v>
      </c>
      <c r="F59" s="9" t="s">
        <v>17741</v>
      </c>
      <c r="G59" s="9" t="s">
        <v>17740</v>
      </c>
      <c r="H59" s="11" t="s">
        <v>240</v>
      </c>
      <c r="I59" s="11" t="s">
        <v>239</v>
      </c>
      <c r="J59" s="11" t="s">
        <v>239</v>
      </c>
      <c r="K59" s="9" t="s">
        <v>18183</v>
      </c>
      <c r="L59" s="9" t="s">
        <v>18158</v>
      </c>
      <c r="M59" s="9" t="s">
        <v>18184</v>
      </c>
      <c r="N59" s="9" t="s">
        <v>18185</v>
      </c>
      <c r="O59" s="9" t="s">
        <v>18186</v>
      </c>
      <c r="P59" s="9" t="s">
        <v>17748</v>
      </c>
      <c r="Q59" s="11" t="s">
        <v>17969</v>
      </c>
      <c r="R59" s="11" t="s">
        <v>17969</v>
      </c>
      <c r="S59" s="11" t="s">
        <v>17750</v>
      </c>
    </row>
    <row r="60" spans="1:19" x14ac:dyDescent="0.2">
      <c r="A60" s="11" t="s">
        <v>18187</v>
      </c>
      <c r="B60" s="9" t="s">
        <v>18188</v>
      </c>
      <c r="C60" s="9" t="s">
        <v>18189</v>
      </c>
      <c r="D60" s="9" t="s">
        <v>18190</v>
      </c>
      <c r="E60" s="9" t="s">
        <v>17740</v>
      </c>
      <c r="F60" s="9" t="s">
        <v>17741</v>
      </c>
      <c r="G60" s="9" t="s">
        <v>17740</v>
      </c>
      <c r="H60" s="11" t="s">
        <v>17741</v>
      </c>
      <c r="I60" s="11" t="s">
        <v>18191</v>
      </c>
      <c r="J60" s="11" t="s">
        <v>18191</v>
      </c>
      <c r="K60" s="9" t="s">
        <v>18192</v>
      </c>
      <c r="L60" s="9" t="s">
        <v>18158</v>
      </c>
      <c r="M60" s="9" t="s">
        <v>17942</v>
      </c>
      <c r="N60" s="9" t="s">
        <v>18185</v>
      </c>
      <c r="O60" s="9" t="s">
        <v>17747</v>
      </c>
      <c r="P60" s="9" t="s">
        <v>17748</v>
      </c>
      <c r="Q60" s="11" t="s">
        <v>18193</v>
      </c>
      <c r="R60" s="11" t="s">
        <v>18193</v>
      </c>
      <c r="S60" s="11" t="s">
        <v>17750</v>
      </c>
    </row>
    <row r="61" spans="1:19" x14ac:dyDescent="0.2">
      <c r="A61" s="11" t="s">
        <v>18194</v>
      </c>
      <c r="B61" s="9" t="s">
        <v>18195</v>
      </c>
      <c r="C61" s="9" t="s">
        <v>18196</v>
      </c>
      <c r="D61" s="9" t="s">
        <v>18197</v>
      </c>
      <c r="E61" s="9" t="s">
        <v>17748</v>
      </c>
      <c r="F61" s="9" t="s">
        <v>18198</v>
      </c>
      <c r="G61" s="9" t="s">
        <v>17740</v>
      </c>
      <c r="H61" s="11" t="s">
        <v>17741</v>
      </c>
      <c r="I61" s="11" t="s">
        <v>18199</v>
      </c>
      <c r="J61" s="11" t="s">
        <v>18199</v>
      </c>
      <c r="K61" s="9" t="s">
        <v>18200</v>
      </c>
      <c r="L61" s="9" t="s">
        <v>18025</v>
      </c>
      <c r="M61" s="9" t="s">
        <v>17778</v>
      </c>
      <c r="N61" s="9" t="s">
        <v>17746</v>
      </c>
      <c r="O61" s="9" t="s">
        <v>17993</v>
      </c>
      <c r="P61" s="9" t="s">
        <v>17748</v>
      </c>
      <c r="Q61" s="11" t="s">
        <v>18201</v>
      </c>
      <c r="R61" s="11" t="s">
        <v>18201</v>
      </c>
      <c r="S61" s="11" t="s">
        <v>17750</v>
      </c>
    </row>
    <row r="62" spans="1:19" x14ac:dyDescent="0.2">
      <c r="A62" s="11" t="s">
        <v>18202</v>
      </c>
      <c r="B62" s="9" t="s">
        <v>18203</v>
      </c>
      <c r="C62" s="9" t="s">
        <v>18204</v>
      </c>
      <c r="D62" s="9" t="s">
        <v>18205</v>
      </c>
      <c r="E62" s="9" t="s">
        <v>17740</v>
      </c>
      <c r="F62" s="9" t="s">
        <v>18206</v>
      </c>
      <c r="G62" s="9" t="s">
        <v>17740</v>
      </c>
      <c r="H62" s="11" t="s">
        <v>18207</v>
      </c>
      <c r="I62" s="11" t="s">
        <v>18208</v>
      </c>
      <c r="J62" s="11" t="s">
        <v>18208</v>
      </c>
      <c r="K62" s="9" t="s">
        <v>18209</v>
      </c>
      <c r="L62" s="9" t="s">
        <v>18210</v>
      </c>
      <c r="M62" s="9" t="s">
        <v>18211</v>
      </c>
      <c r="N62" s="9" t="s">
        <v>17746</v>
      </c>
      <c r="O62" s="9" t="s">
        <v>17993</v>
      </c>
      <c r="P62" s="9" t="s">
        <v>17748</v>
      </c>
      <c r="Q62" s="11" t="s">
        <v>17762</v>
      </c>
      <c r="R62" s="11" t="s">
        <v>17762</v>
      </c>
      <c r="S62" s="11" t="s">
        <v>17750</v>
      </c>
    </row>
    <row r="63" spans="1:19" x14ac:dyDescent="0.2">
      <c r="A63" s="11" t="s">
        <v>18212</v>
      </c>
      <c r="B63" s="9" t="s">
        <v>18213</v>
      </c>
      <c r="C63" s="9" t="s">
        <v>18214</v>
      </c>
      <c r="D63" s="9" t="s">
        <v>18215</v>
      </c>
      <c r="E63" s="9" t="s">
        <v>17740</v>
      </c>
      <c r="F63" s="9" t="s">
        <v>18216</v>
      </c>
      <c r="G63" s="9" t="s">
        <v>17740</v>
      </c>
      <c r="H63" s="11" t="s">
        <v>18217</v>
      </c>
      <c r="I63" s="11" t="s">
        <v>5686</v>
      </c>
      <c r="J63" s="11" t="s">
        <v>5686</v>
      </c>
      <c r="K63" s="9" t="s">
        <v>18218</v>
      </c>
      <c r="L63" s="9" t="s">
        <v>18079</v>
      </c>
      <c r="M63" s="9" t="s">
        <v>18170</v>
      </c>
      <c r="N63" s="9" t="s">
        <v>17746</v>
      </c>
      <c r="O63" s="9" t="s">
        <v>17993</v>
      </c>
      <c r="P63" s="9" t="s">
        <v>17748</v>
      </c>
      <c r="Q63" s="11" t="s">
        <v>18080</v>
      </c>
      <c r="R63" s="11" t="s">
        <v>18080</v>
      </c>
      <c r="S63" s="11" t="s">
        <v>17750</v>
      </c>
    </row>
    <row r="64" spans="1:19" x14ac:dyDescent="0.2">
      <c r="A64" s="11" t="s">
        <v>18219</v>
      </c>
      <c r="B64" s="9" t="s">
        <v>18220</v>
      </c>
      <c r="C64" s="9" t="s">
        <v>18221</v>
      </c>
      <c r="D64" s="9" t="s">
        <v>18222</v>
      </c>
      <c r="E64" s="9" t="s">
        <v>17740</v>
      </c>
      <c r="F64" s="9" t="s">
        <v>17741</v>
      </c>
      <c r="G64" s="9" t="s">
        <v>17740</v>
      </c>
      <c r="H64" s="11" t="s">
        <v>17741</v>
      </c>
      <c r="I64" s="11" t="s">
        <v>18223</v>
      </c>
      <c r="J64" s="11" t="s">
        <v>18223</v>
      </c>
      <c r="K64" s="9" t="s">
        <v>18224</v>
      </c>
      <c r="L64" s="9" t="s">
        <v>18225</v>
      </c>
      <c r="M64" s="9" t="s">
        <v>18226</v>
      </c>
      <c r="N64" s="9" t="s">
        <v>17746</v>
      </c>
      <c r="O64" s="9" t="s">
        <v>17993</v>
      </c>
      <c r="P64" s="9" t="s">
        <v>17748</v>
      </c>
      <c r="Q64" s="11" t="s">
        <v>17883</v>
      </c>
      <c r="R64" s="11" t="s">
        <v>17883</v>
      </c>
      <c r="S64" s="11" t="s">
        <v>17750</v>
      </c>
    </row>
    <row r="65" spans="1:19" x14ac:dyDescent="0.2">
      <c r="A65" s="11" t="s">
        <v>18227</v>
      </c>
      <c r="B65" s="9" t="s">
        <v>18228</v>
      </c>
      <c r="C65" s="9" t="s">
        <v>18229</v>
      </c>
      <c r="D65" s="9" t="s">
        <v>18230</v>
      </c>
      <c r="E65" s="9" t="s">
        <v>17740</v>
      </c>
      <c r="F65" s="9" t="s">
        <v>17741</v>
      </c>
      <c r="G65" s="9" t="s">
        <v>17740</v>
      </c>
      <c r="H65" s="11" t="s">
        <v>4551</v>
      </c>
      <c r="I65" s="11" t="s">
        <v>4550</v>
      </c>
      <c r="J65" s="11" t="s">
        <v>4550</v>
      </c>
      <c r="K65" s="9" t="s">
        <v>18231</v>
      </c>
      <c r="L65" s="9" t="s">
        <v>18232</v>
      </c>
      <c r="M65" s="9" t="s">
        <v>18233</v>
      </c>
      <c r="N65" s="9" t="s">
        <v>17746</v>
      </c>
      <c r="O65" s="9" t="s">
        <v>17993</v>
      </c>
      <c r="P65" s="9" t="s">
        <v>17748</v>
      </c>
      <c r="Q65" s="11" t="s">
        <v>18234</v>
      </c>
      <c r="R65" s="11" t="s">
        <v>18234</v>
      </c>
      <c r="S65" s="11" t="s">
        <v>17750</v>
      </c>
    </row>
    <row r="66" spans="1:19" x14ac:dyDescent="0.2">
      <c r="A66" s="11" t="s">
        <v>18235</v>
      </c>
      <c r="B66" s="9" t="s">
        <v>18236</v>
      </c>
      <c r="C66" s="9" t="s">
        <v>18237</v>
      </c>
      <c r="D66" s="9" t="s">
        <v>18238</v>
      </c>
      <c r="E66" s="9" t="s">
        <v>17740</v>
      </c>
      <c r="F66" s="9" t="s">
        <v>18239</v>
      </c>
      <c r="G66" s="9" t="s">
        <v>17740</v>
      </c>
      <c r="H66" s="11" t="s">
        <v>17741</v>
      </c>
      <c r="I66" s="11" t="s">
        <v>18240</v>
      </c>
      <c r="J66" s="11" t="s">
        <v>18240</v>
      </c>
      <c r="K66" s="9" t="s">
        <v>18241</v>
      </c>
      <c r="L66" s="9" t="s">
        <v>18242</v>
      </c>
      <c r="M66" s="9" t="s">
        <v>18065</v>
      </c>
      <c r="N66" s="9" t="s">
        <v>17746</v>
      </c>
      <c r="O66" s="9" t="s">
        <v>17993</v>
      </c>
      <c r="P66" s="9" t="s">
        <v>17748</v>
      </c>
      <c r="Q66" s="11" t="s">
        <v>18243</v>
      </c>
      <c r="R66" s="11" t="s">
        <v>18243</v>
      </c>
      <c r="S66" s="11" t="s">
        <v>17750</v>
      </c>
    </row>
    <row r="67" spans="1:19" x14ac:dyDescent="0.2">
      <c r="A67" s="11" t="s">
        <v>18244</v>
      </c>
      <c r="B67" s="9" t="s">
        <v>18245</v>
      </c>
      <c r="C67" s="9" t="s">
        <v>18246</v>
      </c>
      <c r="D67" s="9" t="s">
        <v>18247</v>
      </c>
      <c r="E67" s="9" t="s">
        <v>17740</v>
      </c>
      <c r="F67" s="9" t="s">
        <v>17741</v>
      </c>
      <c r="G67" s="9" t="s">
        <v>17740</v>
      </c>
      <c r="H67" s="11" t="s">
        <v>464</v>
      </c>
      <c r="I67" s="11" t="s">
        <v>463</v>
      </c>
      <c r="J67" s="11" t="s">
        <v>463</v>
      </c>
      <c r="K67" s="9" t="s">
        <v>18248</v>
      </c>
      <c r="L67" s="9" t="s">
        <v>18249</v>
      </c>
      <c r="M67" s="9" t="s">
        <v>18250</v>
      </c>
      <c r="N67" s="9" t="s">
        <v>17746</v>
      </c>
      <c r="O67" s="9" t="s">
        <v>17993</v>
      </c>
      <c r="P67" s="9" t="s">
        <v>17748</v>
      </c>
      <c r="Q67" s="11" t="s">
        <v>18251</v>
      </c>
      <c r="R67" s="11" t="s">
        <v>18251</v>
      </c>
      <c r="S67" s="11" t="s">
        <v>17750</v>
      </c>
    </row>
    <row r="68" spans="1:19" x14ac:dyDescent="0.2">
      <c r="A68" s="11" t="s">
        <v>18252</v>
      </c>
      <c r="B68" s="9" t="s">
        <v>18253</v>
      </c>
      <c r="C68" s="9" t="s">
        <v>18254</v>
      </c>
      <c r="D68" s="9" t="s">
        <v>18255</v>
      </c>
      <c r="E68" s="9" t="s">
        <v>17740</v>
      </c>
      <c r="F68" s="9" t="s">
        <v>17741</v>
      </c>
      <c r="G68" s="9" t="s">
        <v>17740</v>
      </c>
      <c r="H68" s="11" t="s">
        <v>18256</v>
      </c>
      <c r="I68" s="11" t="s">
        <v>18257</v>
      </c>
      <c r="J68" s="11" t="s">
        <v>18257</v>
      </c>
      <c r="K68" s="9" t="s">
        <v>18258</v>
      </c>
      <c r="L68" s="9" t="s">
        <v>18079</v>
      </c>
      <c r="M68" s="9" t="s">
        <v>18051</v>
      </c>
      <c r="N68" s="9" t="s">
        <v>17746</v>
      </c>
      <c r="O68" s="9" t="s">
        <v>17747</v>
      </c>
      <c r="P68" s="9" t="s">
        <v>17748</v>
      </c>
      <c r="Q68" s="11" t="s">
        <v>17858</v>
      </c>
      <c r="R68" s="11" t="s">
        <v>17858</v>
      </c>
      <c r="S68" s="11" t="s">
        <v>17750</v>
      </c>
    </row>
    <row r="69" spans="1:19" x14ac:dyDescent="0.2">
      <c r="A69" s="11" t="s">
        <v>18259</v>
      </c>
      <c r="B69" s="9" t="s">
        <v>18260</v>
      </c>
      <c r="C69" s="9" t="s">
        <v>18261</v>
      </c>
      <c r="D69" s="9" t="s">
        <v>18262</v>
      </c>
      <c r="E69" s="9" t="s">
        <v>17748</v>
      </c>
      <c r="F69" s="9" t="s">
        <v>18263</v>
      </c>
      <c r="G69" s="9" t="s">
        <v>17740</v>
      </c>
      <c r="H69" s="11" t="s">
        <v>17741</v>
      </c>
      <c r="I69" s="11" t="s">
        <v>9623</v>
      </c>
      <c r="J69" s="11" t="s">
        <v>9623</v>
      </c>
      <c r="K69" s="9" t="s">
        <v>17975</v>
      </c>
      <c r="L69" s="9" t="s">
        <v>17976</v>
      </c>
      <c r="M69" s="9" t="s">
        <v>17760</v>
      </c>
      <c r="N69" s="9" t="s">
        <v>17746</v>
      </c>
      <c r="O69" s="9" t="s">
        <v>18264</v>
      </c>
      <c r="P69" s="9" t="s">
        <v>17748</v>
      </c>
      <c r="Q69" s="11" t="s">
        <v>17808</v>
      </c>
      <c r="R69" s="11" t="s">
        <v>17808</v>
      </c>
      <c r="S69" s="11" t="s">
        <v>17750</v>
      </c>
    </row>
    <row r="70" spans="1:19" x14ac:dyDescent="0.2">
      <c r="A70" s="11" t="s">
        <v>18265</v>
      </c>
      <c r="B70" s="9" t="s">
        <v>18266</v>
      </c>
      <c r="C70" s="9" t="s">
        <v>18267</v>
      </c>
      <c r="D70" s="9" t="s">
        <v>18268</v>
      </c>
      <c r="E70" s="9" t="s">
        <v>17740</v>
      </c>
      <c r="F70" s="9" t="s">
        <v>18269</v>
      </c>
      <c r="G70" s="9" t="s">
        <v>17740</v>
      </c>
      <c r="H70" s="11" t="s">
        <v>17741</v>
      </c>
      <c r="I70" s="11" t="s">
        <v>7980</v>
      </c>
      <c r="J70" s="11" t="s">
        <v>7980</v>
      </c>
      <c r="K70" s="9" t="s">
        <v>18270</v>
      </c>
      <c r="L70" s="9" t="s">
        <v>17991</v>
      </c>
      <c r="M70" s="9" t="s">
        <v>17992</v>
      </c>
      <c r="N70" s="9" t="s">
        <v>17746</v>
      </c>
      <c r="O70" s="9" t="s">
        <v>18271</v>
      </c>
      <c r="P70" s="9" t="s">
        <v>17748</v>
      </c>
      <c r="Q70" s="11" t="s">
        <v>18272</v>
      </c>
      <c r="R70" s="11" t="s">
        <v>18272</v>
      </c>
      <c r="S70" s="11" t="s">
        <v>17750</v>
      </c>
    </row>
    <row r="71" spans="1:19" x14ac:dyDescent="0.2">
      <c r="A71" s="11" t="s">
        <v>18273</v>
      </c>
      <c r="B71" s="9" t="s">
        <v>18274</v>
      </c>
      <c r="C71" s="9" t="s">
        <v>18275</v>
      </c>
      <c r="D71" s="9" t="s">
        <v>18276</v>
      </c>
      <c r="E71" s="9" t="s">
        <v>17740</v>
      </c>
      <c r="F71" s="9" t="s">
        <v>18277</v>
      </c>
      <c r="G71" s="9" t="s">
        <v>17740</v>
      </c>
      <c r="H71" s="11" t="s">
        <v>18278</v>
      </c>
      <c r="I71" s="11" t="s">
        <v>18279</v>
      </c>
      <c r="J71" s="11" t="s">
        <v>18279</v>
      </c>
      <c r="K71" s="9" t="s">
        <v>18280</v>
      </c>
      <c r="L71" s="9" t="s">
        <v>17967</v>
      </c>
      <c r="M71" s="9" t="s">
        <v>17760</v>
      </c>
      <c r="N71" s="9" t="s">
        <v>17746</v>
      </c>
      <c r="O71" s="9" t="s">
        <v>18281</v>
      </c>
      <c r="P71" s="9" t="s">
        <v>17748</v>
      </c>
      <c r="Q71" s="11" t="s">
        <v>18282</v>
      </c>
      <c r="R71" s="11" t="s">
        <v>18282</v>
      </c>
      <c r="S71" s="11" t="s">
        <v>17750</v>
      </c>
    </row>
    <row r="72" spans="1:19" s="6" customFormat="1" x14ac:dyDescent="0.2">
      <c r="A72" s="11" t="s">
        <v>18283</v>
      </c>
      <c r="B72" s="9" t="s">
        <v>18284</v>
      </c>
      <c r="C72" s="9" t="s">
        <v>18285</v>
      </c>
      <c r="D72" s="9" t="s">
        <v>18286</v>
      </c>
      <c r="E72" s="9" t="s">
        <v>17740</v>
      </c>
      <c r="F72" s="9" t="s">
        <v>17741</v>
      </c>
      <c r="G72" s="9" t="s">
        <v>17740</v>
      </c>
      <c r="H72" s="11" t="s">
        <v>128</v>
      </c>
      <c r="I72" s="11" t="s">
        <v>127</v>
      </c>
      <c r="J72" s="11" t="s">
        <v>127</v>
      </c>
      <c r="K72" s="9" t="s">
        <v>18287</v>
      </c>
      <c r="L72" s="9" t="s">
        <v>18288</v>
      </c>
      <c r="M72" s="9" t="s">
        <v>18289</v>
      </c>
      <c r="N72" s="9" t="s">
        <v>17746</v>
      </c>
      <c r="O72" s="9" t="s">
        <v>3176</v>
      </c>
      <c r="P72" s="9" t="s">
        <v>17748</v>
      </c>
      <c r="Q72" s="11" t="s">
        <v>17931</v>
      </c>
      <c r="R72" s="11" t="s">
        <v>17931</v>
      </c>
      <c r="S72" s="11" t="s">
        <v>17750</v>
      </c>
    </row>
    <row r="73" spans="1:19" s="6" customFormat="1" x14ac:dyDescent="0.2">
      <c r="A73" s="11" t="s">
        <v>18290</v>
      </c>
      <c r="B73" s="9" t="s">
        <v>18291</v>
      </c>
      <c r="C73" s="9" t="s">
        <v>18292</v>
      </c>
      <c r="D73" s="9" t="s">
        <v>18293</v>
      </c>
      <c r="E73" s="9" t="s">
        <v>17748</v>
      </c>
      <c r="F73" s="9" t="s">
        <v>18294</v>
      </c>
      <c r="G73" s="9" t="s">
        <v>17740</v>
      </c>
      <c r="H73" s="11" t="s">
        <v>17741</v>
      </c>
      <c r="I73" s="11" t="s">
        <v>8843</v>
      </c>
      <c r="J73" s="11" t="s">
        <v>8843</v>
      </c>
      <c r="K73" s="9" t="s">
        <v>17089</v>
      </c>
      <c r="L73" s="9" t="s">
        <v>18288</v>
      </c>
      <c r="M73" s="9" t="s">
        <v>17741</v>
      </c>
      <c r="N73" s="9" t="s">
        <v>17746</v>
      </c>
      <c r="O73" s="9" t="s">
        <v>3176</v>
      </c>
      <c r="P73" s="9" t="s">
        <v>17748</v>
      </c>
      <c r="Q73" s="11" t="s">
        <v>17808</v>
      </c>
      <c r="R73" s="11" t="s">
        <v>17808</v>
      </c>
      <c r="S73" s="11" t="s">
        <v>17750</v>
      </c>
    </row>
    <row r="74" spans="1:19" x14ac:dyDescent="0.2">
      <c r="A74" s="11" t="s">
        <v>18295</v>
      </c>
      <c r="B74" s="9" t="s">
        <v>18296</v>
      </c>
      <c r="C74" s="9" t="s">
        <v>18297</v>
      </c>
      <c r="D74" s="9" t="s">
        <v>18298</v>
      </c>
      <c r="E74" s="9" t="s">
        <v>17740</v>
      </c>
      <c r="F74" s="9" t="s">
        <v>18299</v>
      </c>
      <c r="G74" s="9" t="s">
        <v>17740</v>
      </c>
      <c r="H74" s="11" t="s">
        <v>539</v>
      </c>
      <c r="I74" s="11" t="s">
        <v>538</v>
      </c>
      <c r="J74" s="11" t="s">
        <v>538</v>
      </c>
      <c r="K74" s="9" t="s">
        <v>17783</v>
      </c>
      <c r="L74" s="9" t="s">
        <v>17991</v>
      </c>
      <c r="M74" s="9" t="s">
        <v>17778</v>
      </c>
      <c r="N74" s="9" t="s">
        <v>18042</v>
      </c>
      <c r="O74" s="9" t="s">
        <v>3100</v>
      </c>
      <c r="P74" s="9" t="s">
        <v>17748</v>
      </c>
      <c r="Q74" s="11" t="s">
        <v>18282</v>
      </c>
      <c r="R74" s="11" t="s">
        <v>18282</v>
      </c>
      <c r="S74" s="11" t="s">
        <v>17750</v>
      </c>
    </row>
    <row r="75" spans="1:19" x14ac:dyDescent="0.2">
      <c r="A75" s="11" t="s">
        <v>18300</v>
      </c>
      <c r="B75" s="9" t="s">
        <v>18301</v>
      </c>
      <c r="C75" s="9" t="s">
        <v>18302</v>
      </c>
      <c r="D75" s="9" t="s">
        <v>18303</v>
      </c>
      <c r="E75" s="9" t="s">
        <v>17740</v>
      </c>
      <c r="F75" s="9" t="s">
        <v>18304</v>
      </c>
      <c r="G75" s="9" t="s">
        <v>17740</v>
      </c>
      <c r="H75" s="11" t="s">
        <v>530</v>
      </c>
      <c r="I75" s="11" t="s">
        <v>529</v>
      </c>
      <c r="J75" s="11" t="s">
        <v>529</v>
      </c>
      <c r="K75" s="9" t="s">
        <v>970</v>
      </c>
      <c r="L75" s="9" t="s">
        <v>18305</v>
      </c>
      <c r="M75" s="9" t="s">
        <v>17817</v>
      </c>
      <c r="N75" s="9" t="s">
        <v>17746</v>
      </c>
      <c r="O75" s="9" t="s">
        <v>3100</v>
      </c>
      <c r="P75" s="9" t="s">
        <v>17748</v>
      </c>
      <c r="Q75" s="11" t="s">
        <v>18306</v>
      </c>
      <c r="R75" s="11" t="s">
        <v>18306</v>
      </c>
      <c r="S75" s="11" t="s">
        <v>17750</v>
      </c>
    </row>
    <row r="76" spans="1:19" x14ac:dyDescent="0.2">
      <c r="A76" s="11" t="s">
        <v>18307</v>
      </c>
      <c r="B76" s="9" t="s">
        <v>18308</v>
      </c>
      <c r="C76" s="9" t="s">
        <v>18309</v>
      </c>
      <c r="D76" s="9" t="s">
        <v>18310</v>
      </c>
      <c r="E76" s="9" t="s">
        <v>17740</v>
      </c>
      <c r="F76" s="9" t="s">
        <v>18311</v>
      </c>
      <c r="G76" s="9" t="s">
        <v>17740</v>
      </c>
      <c r="H76" s="11" t="s">
        <v>18312</v>
      </c>
      <c r="I76" s="11" t="s">
        <v>18313</v>
      </c>
      <c r="J76" s="11" t="s">
        <v>18313</v>
      </c>
      <c r="K76" s="9" t="s">
        <v>970</v>
      </c>
      <c r="L76" s="9" t="s">
        <v>18305</v>
      </c>
      <c r="M76" s="9" t="s">
        <v>17942</v>
      </c>
      <c r="N76" s="9" t="s">
        <v>17746</v>
      </c>
      <c r="O76" s="9" t="s">
        <v>3100</v>
      </c>
      <c r="P76" s="9" t="s">
        <v>17748</v>
      </c>
      <c r="Q76" s="11" t="s">
        <v>18314</v>
      </c>
      <c r="R76" s="11" t="s">
        <v>18314</v>
      </c>
      <c r="S76" s="11" t="s">
        <v>17750</v>
      </c>
    </row>
    <row r="77" spans="1:19" x14ac:dyDescent="0.2">
      <c r="A77" s="11" t="s">
        <v>18315</v>
      </c>
      <c r="B77" s="9" t="s">
        <v>18316</v>
      </c>
      <c r="C77" s="9" t="s">
        <v>18317</v>
      </c>
      <c r="D77" s="9" t="s">
        <v>18318</v>
      </c>
      <c r="E77" s="9" t="s">
        <v>17740</v>
      </c>
      <c r="F77" s="9" t="s">
        <v>18319</v>
      </c>
      <c r="G77" s="9" t="s">
        <v>17740</v>
      </c>
      <c r="H77" s="11" t="s">
        <v>17741</v>
      </c>
      <c r="I77" s="11" t="s">
        <v>7478</v>
      </c>
      <c r="J77" s="11" t="s">
        <v>7478</v>
      </c>
      <c r="K77" s="9" t="s">
        <v>18320</v>
      </c>
      <c r="L77" s="9" t="s">
        <v>17950</v>
      </c>
      <c r="M77" s="9" t="s">
        <v>17760</v>
      </c>
      <c r="N77" s="9" t="s">
        <v>17746</v>
      </c>
      <c r="O77" s="9" t="s">
        <v>3100</v>
      </c>
      <c r="P77" s="9" t="s">
        <v>17748</v>
      </c>
      <c r="Q77" s="11" t="s">
        <v>18201</v>
      </c>
      <c r="R77" s="11" t="s">
        <v>18201</v>
      </c>
      <c r="S77" s="11" t="s">
        <v>17750</v>
      </c>
    </row>
    <row r="78" spans="1:19" x14ac:dyDescent="0.2">
      <c r="A78" s="11" t="s">
        <v>18321</v>
      </c>
      <c r="B78" s="9" t="s">
        <v>18322</v>
      </c>
      <c r="C78" s="9" t="s">
        <v>18323</v>
      </c>
      <c r="D78" s="9" t="s">
        <v>18324</v>
      </c>
      <c r="E78" s="9" t="s">
        <v>17740</v>
      </c>
      <c r="F78" s="9" t="s">
        <v>17741</v>
      </c>
      <c r="G78" s="9" t="s">
        <v>17740</v>
      </c>
      <c r="H78" s="11" t="s">
        <v>527</v>
      </c>
      <c r="I78" s="11" t="s">
        <v>526</v>
      </c>
      <c r="J78" s="11" t="s">
        <v>526</v>
      </c>
      <c r="K78" s="9" t="s">
        <v>167</v>
      </c>
      <c r="L78" s="9" t="s">
        <v>18158</v>
      </c>
      <c r="M78" s="9" t="s">
        <v>17817</v>
      </c>
      <c r="N78" s="9" t="s">
        <v>17746</v>
      </c>
      <c r="O78" s="9" t="s">
        <v>3100</v>
      </c>
      <c r="P78" s="9" t="s">
        <v>17748</v>
      </c>
      <c r="Q78" s="11" t="s">
        <v>18306</v>
      </c>
      <c r="R78" s="11" t="s">
        <v>18306</v>
      </c>
      <c r="S78" s="11" t="s">
        <v>17750</v>
      </c>
    </row>
    <row r="79" spans="1:19" x14ac:dyDescent="0.2">
      <c r="A79" s="11" t="s">
        <v>18325</v>
      </c>
      <c r="B79" s="9" t="s">
        <v>18326</v>
      </c>
      <c r="C79" s="9" t="s">
        <v>18327</v>
      </c>
      <c r="D79" s="9" t="s">
        <v>18328</v>
      </c>
      <c r="E79" s="9" t="s">
        <v>17740</v>
      </c>
      <c r="F79" s="9" t="s">
        <v>18329</v>
      </c>
      <c r="G79" s="9" t="s">
        <v>17740</v>
      </c>
      <c r="H79" s="11" t="s">
        <v>554</v>
      </c>
      <c r="I79" s="11" t="s">
        <v>553</v>
      </c>
      <c r="J79" s="11" t="s">
        <v>553</v>
      </c>
      <c r="K79" s="9" t="s">
        <v>17805</v>
      </c>
      <c r="L79" s="9" t="s">
        <v>17744</v>
      </c>
      <c r="M79" s="9" t="s">
        <v>18330</v>
      </c>
      <c r="N79" s="9" t="s">
        <v>17746</v>
      </c>
      <c r="O79" s="9" t="s">
        <v>18331</v>
      </c>
      <c r="P79" s="9" t="s">
        <v>17748</v>
      </c>
      <c r="Q79" s="11" t="s">
        <v>18332</v>
      </c>
      <c r="R79" s="11" t="s">
        <v>18332</v>
      </c>
      <c r="S79" s="11" t="s">
        <v>17750</v>
      </c>
    </row>
    <row r="80" spans="1:19" x14ac:dyDescent="0.2">
      <c r="A80" s="11" t="s">
        <v>18333</v>
      </c>
      <c r="B80" s="9" t="s">
        <v>18334</v>
      </c>
      <c r="C80" s="9" t="s">
        <v>18335</v>
      </c>
      <c r="D80" s="9" t="s">
        <v>18336</v>
      </c>
      <c r="E80" s="9" t="s">
        <v>17740</v>
      </c>
      <c r="F80" s="9" t="s">
        <v>17741</v>
      </c>
      <c r="G80" s="9" t="s">
        <v>17740</v>
      </c>
      <c r="H80" s="11" t="s">
        <v>18337</v>
      </c>
      <c r="I80" s="11" t="s">
        <v>18338</v>
      </c>
      <c r="J80" s="11" t="s">
        <v>18338</v>
      </c>
      <c r="K80" s="9" t="s">
        <v>18339</v>
      </c>
      <c r="L80" s="9" t="s">
        <v>18169</v>
      </c>
      <c r="M80" s="9" t="s">
        <v>18051</v>
      </c>
      <c r="N80" s="9" t="s">
        <v>17746</v>
      </c>
      <c r="O80" s="9" t="s">
        <v>18340</v>
      </c>
      <c r="P80" s="9" t="s">
        <v>17748</v>
      </c>
      <c r="Q80" s="11" t="s">
        <v>18341</v>
      </c>
      <c r="R80" s="11" t="s">
        <v>18341</v>
      </c>
      <c r="S80" s="11" t="s">
        <v>17750</v>
      </c>
    </row>
    <row r="81" spans="1:19" x14ac:dyDescent="0.2">
      <c r="A81" s="11" t="s">
        <v>18342</v>
      </c>
      <c r="B81" s="9" t="s">
        <v>18343</v>
      </c>
      <c r="C81" s="9" t="s">
        <v>18344</v>
      </c>
      <c r="D81" s="9" t="s">
        <v>18345</v>
      </c>
      <c r="E81" s="9" t="s">
        <v>17740</v>
      </c>
      <c r="F81" s="9" t="s">
        <v>17741</v>
      </c>
      <c r="G81" s="9" t="s">
        <v>17740</v>
      </c>
      <c r="H81" s="11" t="s">
        <v>18346</v>
      </c>
      <c r="I81" s="11" t="s">
        <v>18347</v>
      </c>
      <c r="J81" s="11" t="s">
        <v>18347</v>
      </c>
      <c r="K81" s="9" t="s">
        <v>291</v>
      </c>
      <c r="L81" s="9" t="s">
        <v>17744</v>
      </c>
      <c r="M81" s="9" t="s">
        <v>18065</v>
      </c>
      <c r="N81" s="9" t="s">
        <v>17746</v>
      </c>
      <c r="O81" s="9" t="s">
        <v>18340</v>
      </c>
      <c r="P81" s="9" t="s">
        <v>17748</v>
      </c>
      <c r="Q81" s="11" t="s">
        <v>18348</v>
      </c>
      <c r="R81" s="11" t="s">
        <v>18348</v>
      </c>
      <c r="S81" s="11" t="s">
        <v>17750</v>
      </c>
    </row>
    <row r="82" spans="1:19" x14ac:dyDescent="0.2">
      <c r="A82" s="11" t="s">
        <v>18349</v>
      </c>
      <c r="B82" s="9" t="s">
        <v>18350</v>
      </c>
      <c r="C82" s="9" t="s">
        <v>18351</v>
      </c>
      <c r="D82" s="9" t="s">
        <v>18352</v>
      </c>
      <c r="E82" s="9" t="s">
        <v>17740</v>
      </c>
      <c r="F82" s="9" t="s">
        <v>17741</v>
      </c>
      <c r="G82" s="9" t="s">
        <v>17740</v>
      </c>
      <c r="H82" s="11" t="s">
        <v>17741</v>
      </c>
      <c r="I82" s="11" t="s">
        <v>18353</v>
      </c>
      <c r="J82" s="11" t="s">
        <v>18353</v>
      </c>
      <c r="K82" s="9" t="s">
        <v>18354</v>
      </c>
      <c r="L82" s="9" t="s">
        <v>17967</v>
      </c>
      <c r="M82" s="9" t="s">
        <v>17942</v>
      </c>
      <c r="N82" s="9" t="s">
        <v>17746</v>
      </c>
      <c r="O82" s="9" t="s">
        <v>18355</v>
      </c>
      <c r="P82" s="9" t="s">
        <v>17748</v>
      </c>
      <c r="Q82" s="11" t="s">
        <v>18356</v>
      </c>
      <c r="R82" s="11" t="s">
        <v>18356</v>
      </c>
      <c r="S82" s="11" t="s">
        <v>17750</v>
      </c>
    </row>
    <row r="83" spans="1:19" x14ac:dyDescent="0.2">
      <c r="A83" s="11" t="s">
        <v>18357</v>
      </c>
      <c r="B83" s="9" t="s">
        <v>18358</v>
      </c>
      <c r="C83" s="9" t="s">
        <v>18359</v>
      </c>
      <c r="D83" s="9" t="s">
        <v>18360</v>
      </c>
      <c r="E83" s="9" t="s">
        <v>17748</v>
      </c>
      <c r="F83" s="9" t="s">
        <v>18361</v>
      </c>
      <c r="G83" s="9" t="s">
        <v>17740</v>
      </c>
      <c r="H83" s="11" t="s">
        <v>4431</v>
      </c>
      <c r="I83" s="11" t="s">
        <v>4430</v>
      </c>
      <c r="J83" s="11" t="s">
        <v>4430</v>
      </c>
      <c r="K83" s="9" t="s">
        <v>291</v>
      </c>
      <c r="L83" s="9" t="s">
        <v>17744</v>
      </c>
      <c r="M83" s="9" t="s">
        <v>18362</v>
      </c>
      <c r="N83" s="9" t="s">
        <v>17746</v>
      </c>
      <c r="O83" s="9" t="s">
        <v>18363</v>
      </c>
      <c r="P83" s="9" t="s">
        <v>17748</v>
      </c>
      <c r="Q83" s="11" t="s">
        <v>18364</v>
      </c>
      <c r="R83" s="11" t="s">
        <v>18364</v>
      </c>
      <c r="S83" s="11" t="s">
        <v>17750</v>
      </c>
    </row>
    <row r="84" spans="1:19" x14ac:dyDescent="0.2">
      <c r="A84" s="11" t="s">
        <v>18365</v>
      </c>
      <c r="B84" s="9" t="s">
        <v>18366</v>
      </c>
      <c r="C84" s="9" t="s">
        <v>18367</v>
      </c>
      <c r="D84" s="9" t="s">
        <v>18368</v>
      </c>
      <c r="E84" s="9" t="s">
        <v>17748</v>
      </c>
      <c r="F84" s="9" t="s">
        <v>18369</v>
      </c>
      <c r="G84" s="9" t="s">
        <v>17740</v>
      </c>
      <c r="H84" s="11" t="s">
        <v>12780</v>
      </c>
      <c r="I84" s="11" t="s">
        <v>12779</v>
      </c>
      <c r="J84" s="11" t="s">
        <v>12779</v>
      </c>
      <c r="K84" s="9" t="s">
        <v>970</v>
      </c>
      <c r="L84" s="9" t="s">
        <v>17744</v>
      </c>
      <c r="M84" s="9" t="s">
        <v>18177</v>
      </c>
      <c r="N84" s="9" t="s">
        <v>17746</v>
      </c>
      <c r="O84" s="9" t="s">
        <v>3255</v>
      </c>
      <c r="P84" s="9" t="s">
        <v>17748</v>
      </c>
      <c r="Q84" s="11" t="s">
        <v>18370</v>
      </c>
      <c r="R84" s="11" t="s">
        <v>18370</v>
      </c>
      <c r="S84" s="11" t="s">
        <v>17750</v>
      </c>
    </row>
    <row r="85" spans="1:19" x14ac:dyDescent="0.2">
      <c r="A85" s="11" t="s">
        <v>18371</v>
      </c>
      <c r="B85" s="9" t="s">
        <v>18372</v>
      </c>
      <c r="C85" s="9" t="s">
        <v>18373</v>
      </c>
      <c r="D85" s="9" t="s">
        <v>18374</v>
      </c>
      <c r="E85" s="9" t="s">
        <v>17748</v>
      </c>
      <c r="F85" s="9" t="s">
        <v>18375</v>
      </c>
      <c r="G85" s="9" t="s">
        <v>17740</v>
      </c>
      <c r="H85" s="11" t="s">
        <v>12779</v>
      </c>
      <c r="I85" s="11" t="s">
        <v>18376</v>
      </c>
      <c r="J85" s="11" t="s">
        <v>12779</v>
      </c>
      <c r="K85" s="9" t="s">
        <v>18377</v>
      </c>
      <c r="L85" s="9" t="s">
        <v>17744</v>
      </c>
      <c r="M85" s="9" t="s">
        <v>17741</v>
      </c>
      <c r="N85" s="9" t="s">
        <v>17746</v>
      </c>
      <c r="O85" s="9" t="s">
        <v>3255</v>
      </c>
      <c r="P85" s="9" t="s">
        <v>17748</v>
      </c>
      <c r="Q85" s="11" t="s">
        <v>18370</v>
      </c>
      <c r="R85" s="11" t="s">
        <v>18370</v>
      </c>
      <c r="S85" s="11" t="s">
        <v>17750</v>
      </c>
    </row>
    <row r="86" spans="1:19" x14ac:dyDescent="0.2">
      <c r="A86" s="11" t="s">
        <v>18378</v>
      </c>
      <c r="B86" s="9" t="s">
        <v>18379</v>
      </c>
      <c r="C86" s="9" t="s">
        <v>18380</v>
      </c>
      <c r="D86" s="9" t="s">
        <v>18381</v>
      </c>
      <c r="E86" s="9" t="s">
        <v>17748</v>
      </c>
      <c r="F86" s="9" t="s">
        <v>18382</v>
      </c>
      <c r="G86" s="9" t="s">
        <v>17740</v>
      </c>
      <c r="H86" s="11" t="s">
        <v>10769</v>
      </c>
      <c r="I86" s="11" t="s">
        <v>10768</v>
      </c>
      <c r="J86" s="11" t="s">
        <v>10768</v>
      </c>
      <c r="K86" s="9" t="s">
        <v>291</v>
      </c>
      <c r="L86" s="9" t="s">
        <v>17744</v>
      </c>
      <c r="M86" s="9" t="s">
        <v>17769</v>
      </c>
      <c r="N86" s="9" t="s">
        <v>17746</v>
      </c>
      <c r="O86" s="9" t="s">
        <v>3276</v>
      </c>
      <c r="P86" s="9" t="s">
        <v>17748</v>
      </c>
      <c r="Q86" s="11" t="s">
        <v>17984</v>
      </c>
      <c r="R86" s="11" t="s">
        <v>17984</v>
      </c>
      <c r="S86" s="11" t="s">
        <v>17750</v>
      </c>
    </row>
    <row r="87" spans="1:19" x14ac:dyDescent="0.2">
      <c r="A87" s="11" t="s">
        <v>18383</v>
      </c>
      <c r="B87" s="9" t="s">
        <v>18384</v>
      </c>
      <c r="C87" s="9" t="s">
        <v>18385</v>
      </c>
      <c r="D87" s="9" t="s">
        <v>18386</v>
      </c>
      <c r="E87" s="9" t="s">
        <v>17740</v>
      </c>
      <c r="F87" s="9" t="s">
        <v>18387</v>
      </c>
      <c r="G87" s="9" t="s">
        <v>17740</v>
      </c>
      <c r="H87" s="11" t="s">
        <v>17741</v>
      </c>
      <c r="I87" s="11" t="s">
        <v>18388</v>
      </c>
      <c r="J87" s="11" t="s">
        <v>18388</v>
      </c>
      <c r="K87" s="9" t="s">
        <v>17928</v>
      </c>
      <c r="L87" s="9" t="s">
        <v>17929</v>
      </c>
      <c r="M87" s="9" t="s">
        <v>18389</v>
      </c>
      <c r="N87" s="9" t="s">
        <v>18042</v>
      </c>
      <c r="O87" s="9" t="s">
        <v>3276</v>
      </c>
      <c r="P87" s="9" t="s">
        <v>17748</v>
      </c>
      <c r="Q87" s="11" t="s">
        <v>18010</v>
      </c>
      <c r="R87" s="11" t="s">
        <v>18010</v>
      </c>
      <c r="S87" s="11" t="s">
        <v>17750</v>
      </c>
    </row>
    <row r="88" spans="1:19" x14ac:dyDescent="0.2">
      <c r="A88" s="11" t="s">
        <v>18390</v>
      </c>
      <c r="B88" s="9" t="s">
        <v>18391</v>
      </c>
      <c r="C88" s="9" t="s">
        <v>18392</v>
      </c>
      <c r="D88" s="9" t="s">
        <v>18393</v>
      </c>
      <c r="E88" s="9" t="s">
        <v>17740</v>
      </c>
      <c r="F88" s="9" t="s">
        <v>17741</v>
      </c>
      <c r="G88" s="9" t="s">
        <v>17740</v>
      </c>
      <c r="H88" s="11" t="s">
        <v>17741</v>
      </c>
      <c r="I88" s="11" t="s">
        <v>18394</v>
      </c>
      <c r="J88" s="11" t="s">
        <v>18394</v>
      </c>
      <c r="K88" s="9" t="s">
        <v>18395</v>
      </c>
      <c r="L88" s="9" t="s">
        <v>18396</v>
      </c>
      <c r="M88" s="9" t="s">
        <v>18170</v>
      </c>
      <c r="N88" s="9" t="s">
        <v>17746</v>
      </c>
      <c r="O88" s="9" t="s">
        <v>18027</v>
      </c>
      <c r="P88" s="9" t="s">
        <v>17748</v>
      </c>
      <c r="Q88" s="11" t="s">
        <v>18314</v>
      </c>
      <c r="R88" s="11" t="s">
        <v>18314</v>
      </c>
      <c r="S88" s="11" t="s">
        <v>17750</v>
      </c>
    </row>
    <row r="89" spans="1:19" x14ac:dyDescent="0.2">
      <c r="A89" s="11" t="s">
        <v>18397</v>
      </c>
      <c r="B89" s="9" t="s">
        <v>18398</v>
      </c>
      <c r="C89" s="9" t="s">
        <v>18399</v>
      </c>
      <c r="D89" s="9" t="s">
        <v>18400</v>
      </c>
      <c r="E89" s="9" t="s">
        <v>17748</v>
      </c>
      <c r="F89" s="9" t="s">
        <v>18401</v>
      </c>
      <c r="G89" s="9" t="s">
        <v>17740</v>
      </c>
      <c r="H89" s="11" t="s">
        <v>18402</v>
      </c>
      <c r="I89" s="11" t="s">
        <v>18403</v>
      </c>
      <c r="J89" s="11" t="s">
        <v>18403</v>
      </c>
      <c r="K89" s="9" t="s">
        <v>18404</v>
      </c>
      <c r="L89" s="9" t="s">
        <v>18130</v>
      </c>
      <c r="M89" s="9" t="s">
        <v>17769</v>
      </c>
      <c r="N89" s="9" t="s">
        <v>17746</v>
      </c>
      <c r="O89" s="9" t="s">
        <v>3276</v>
      </c>
      <c r="P89" s="9" t="s">
        <v>17748</v>
      </c>
      <c r="Q89" s="11" t="s">
        <v>17984</v>
      </c>
      <c r="R89" s="11" t="s">
        <v>17984</v>
      </c>
      <c r="S89" s="11" t="s">
        <v>17750</v>
      </c>
    </row>
    <row r="90" spans="1:19" x14ac:dyDescent="0.2">
      <c r="A90" s="11" t="s">
        <v>18405</v>
      </c>
      <c r="B90" s="9" t="s">
        <v>18406</v>
      </c>
      <c r="C90" s="9" t="s">
        <v>18407</v>
      </c>
      <c r="D90" s="9" t="s">
        <v>18408</v>
      </c>
      <c r="E90" s="9" t="s">
        <v>17740</v>
      </c>
      <c r="F90" s="9" t="s">
        <v>18409</v>
      </c>
      <c r="G90" s="9" t="s">
        <v>17740</v>
      </c>
      <c r="H90" s="11" t="s">
        <v>17741</v>
      </c>
      <c r="I90" s="11" t="s">
        <v>17741</v>
      </c>
      <c r="J90" s="11" t="s">
        <v>17741</v>
      </c>
      <c r="K90" s="9" t="s">
        <v>18410</v>
      </c>
      <c r="L90" s="9" t="s">
        <v>18411</v>
      </c>
      <c r="M90" s="9" t="s">
        <v>17769</v>
      </c>
      <c r="N90" s="9" t="s">
        <v>18171</v>
      </c>
      <c r="O90" s="9" t="s">
        <v>3276</v>
      </c>
      <c r="P90" s="9" t="s">
        <v>17748</v>
      </c>
      <c r="Q90" s="11" t="s">
        <v>17994</v>
      </c>
      <c r="R90" s="11" t="s">
        <v>17994</v>
      </c>
      <c r="S90" s="11" t="s">
        <v>17750</v>
      </c>
    </row>
    <row r="91" spans="1:19" x14ac:dyDescent="0.2">
      <c r="A91" s="11" t="s">
        <v>18412</v>
      </c>
      <c r="B91" s="9" t="s">
        <v>18413</v>
      </c>
      <c r="C91" s="9" t="s">
        <v>18414</v>
      </c>
      <c r="D91" s="9" t="s">
        <v>18415</v>
      </c>
      <c r="E91" s="9" t="s">
        <v>17740</v>
      </c>
      <c r="F91" s="9" t="s">
        <v>18416</v>
      </c>
      <c r="G91" s="9" t="s">
        <v>17740</v>
      </c>
      <c r="H91" s="11" t="s">
        <v>558</v>
      </c>
      <c r="I91" s="11" t="s">
        <v>557</v>
      </c>
      <c r="J91" s="11" t="s">
        <v>557</v>
      </c>
      <c r="K91" s="9" t="s">
        <v>291</v>
      </c>
      <c r="L91" s="9" t="s">
        <v>17744</v>
      </c>
      <c r="M91" s="9" t="s">
        <v>18417</v>
      </c>
      <c r="N91" s="9" t="s">
        <v>17746</v>
      </c>
      <c r="O91" s="9" t="s">
        <v>18418</v>
      </c>
      <c r="P91" s="9" t="s">
        <v>17748</v>
      </c>
      <c r="Q91" s="11" t="s">
        <v>18419</v>
      </c>
      <c r="R91" s="11" t="s">
        <v>18419</v>
      </c>
      <c r="S91" s="11" t="s">
        <v>17750</v>
      </c>
    </row>
    <row r="92" spans="1:19" x14ac:dyDescent="0.2">
      <c r="A92" s="11" t="s">
        <v>18420</v>
      </c>
      <c r="B92" s="9" t="s">
        <v>18421</v>
      </c>
      <c r="C92" s="9" t="s">
        <v>18422</v>
      </c>
      <c r="D92" s="9" t="s">
        <v>18423</v>
      </c>
      <c r="E92" s="9" t="s">
        <v>17740</v>
      </c>
      <c r="F92" s="9" t="s">
        <v>17741</v>
      </c>
      <c r="G92" s="9" t="s">
        <v>17740</v>
      </c>
      <c r="H92" s="11" t="s">
        <v>17741</v>
      </c>
      <c r="I92" s="11" t="s">
        <v>18424</v>
      </c>
      <c r="J92" s="11" t="s">
        <v>18424</v>
      </c>
      <c r="K92" s="9" t="s">
        <v>18137</v>
      </c>
      <c r="L92" s="9" t="s">
        <v>18138</v>
      </c>
      <c r="M92" s="9" t="s">
        <v>17942</v>
      </c>
      <c r="N92" s="9" t="s">
        <v>17746</v>
      </c>
      <c r="O92" s="9" t="s">
        <v>18418</v>
      </c>
      <c r="P92" s="9" t="s">
        <v>17748</v>
      </c>
      <c r="Q92" s="11" t="s">
        <v>18132</v>
      </c>
      <c r="R92" s="11" t="s">
        <v>18132</v>
      </c>
      <c r="S92" s="11" t="s">
        <v>17750</v>
      </c>
    </row>
    <row r="93" spans="1:19" x14ac:dyDescent="0.2">
      <c r="A93" s="11" t="s">
        <v>18425</v>
      </c>
      <c r="B93" s="9" t="s">
        <v>18426</v>
      </c>
      <c r="C93" s="9" t="s">
        <v>18427</v>
      </c>
      <c r="D93" s="9" t="s">
        <v>18428</v>
      </c>
      <c r="E93" s="9" t="s">
        <v>17740</v>
      </c>
      <c r="F93" s="9" t="s">
        <v>18429</v>
      </c>
      <c r="G93" s="9" t="s">
        <v>17740</v>
      </c>
      <c r="H93" s="11" t="s">
        <v>18430</v>
      </c>
      <c r="I93" s="11" t="s">
        <v>18431</v>
      </c>
      <c r="J93" s="11" t="s">
        <v>18431</v>
      </c>
      <c r="K93" s="9" t="s">
        <v>18432</v>
      </c>
      <c r="L93" s="9" t="s">
        <v>17991</v>
      </c>
      <c r="M93" s="9" t="s">
        <v>18065</v>
      </c>
      <c r="N93" s="9" t="s">
        <v>17746</v>
      </c>
      <c r="O93" s="9" t="s">
        <v>18418</v>
      </c>
      <c r="P93" s="9" t="s">
        <v>17748</v>
      </c>
      <c r="Q93" s="11" t="s">
        <v>18433</v>
      </c>
      <c r="R93" s="11" t="s">
        <v>18433</v>
      </c>
      <c r="S93" s="11" t="s">
        <v>17750</v>
      </c>
    </row>
    <row r="94" spans="1:19" x14ac:dyDescent="0.2">
      <c r="A94" s="11" t="s">
        <v>18434</v>
      </c>
      <c r="B94" s="9" t="s">
        <v>18435</v>
      </c>
      <c r="C94" s="9" t="s">
        <v>18436</v>
      </c>
      <c r="D94" s="9" t="s">
        <v>18437</v>
      </c>
      <c r="E94" s="9" t="s">
        <v>17740</v>
      </c>
      <c r="F94" s="9" t="s">
        <v>17741</v>
      </c>
      <c r="G94" s="9" t="s">
        <v>17740</v>
      </c>
      <c r="H94" s="11" t="s">
        <v>564</v>
      </c>
      <c r="I94" s="11" t="s">
        <v>563</v>
      </c>
      <c r="J94" s="11" t="s">
        <v>563</v>
      </c>
      <c r="K94" s="9" t="s">
        <v>18438</v>
      </c>
      <c r="L94" s="9" t="s">
        <v>18439</v>
      </c>
      <c r="M94" s="9" t="s">
        <v>18177</v>
      </c>
      <c r="N94" s="9" t="s">
        <v>18171</v>
      </c>
      <c r="O94" s="9" t="s">
        <v>18418</v>
      </c>
      <c r="P94" s="9" t="s">
        <v>17748</v>
      </c>
      <c r="Q94" s="11" t="s">
        <v>18440</v>
      </c>
      <c r="R94" s="11" t="s">
        <v>18440</v>
      </c>
      <c r="S94" s="11" t="s">
        <v>17750</v>
      </c>
    </row>
    <row r="95" spans="1:19" x14ac:dyDescent="0.2">
      <c r="A95" s="11" t="s">
        <v>18441</v>
      </c>
      <c r="B95" s="9" t="s">
        <v>18442</v>
      </c>
      <c r="C95" s="9" t="s">
        <v>18443</v>
      </c>
      <c r="D95" s="9" t="s">
        <v>18444</v>
      </c>
      <c r="E95" s="9" t="s">
        <v>17740</v>
      </c>
      <c r="F95" s="9" t="s">
        <v>18445</v>
      </c>
      <c r="G95" s="9" t="s">
        <v>17740</v>
      </c>
      <c r="H95" s="11" t="s">
        <v>5653</v>
      </c>
      <c r="I95" s="11" t="s">
        <v>5652</v>
      </c>
      <c r="J95" s="11" t="s">
        <v>5652</v>
      </c>
      <c r="K95" s="9" t="s">
        <v>970</v>
      </c>
      <c r="L95" s="9" t="s">
        <v>18138</v>
      </c>
      <c r="M95" s="9" t="s">
        <v>17817</v>
      </c>
      <c r="N95" s="9" t="s">
        <v>17746</v>
      </c>
      <c r="O95" s="9" t="s">
        <v>3355</v>
      </c>
      <c r="P95" s="9" t="s">
        <v>17748</v>
      </c>
      <c r="Q95" s="11" t="s">
        <v>18147</v>
      </c>
      <c r="R95" s="11" t="s">
        <v>18147</v>
      </c>
      <c r="S95" s="11" t="s">
        <v>17750</v>
      </c>
    </row>
    <row r="96" spans="1:19" x14ac:dyDescent="0.2">
      <c r="A96" s="11" t="s">
        <v>18446</v>
      </c>
      <c r="B96" s="9" t="s">
        <v>18447</v>
      </c>
      <c r="C96" s="9" t="s">
        <v>18448</v>
      </c>
      <c r="D96" s="9" t="s">
        <v>18449</v>
      </c>
      <c r="E96" s="9" t="s">
        <v>17748</v>
      </c>
      <c r="F96" s="9" t="s">
        <v>18450</v>
      </c>
      <c r="G96" s="9" t="s">
        <v>17740</v>
      </c>
      <c r="H96" s="11" t="s">
        <v>17741</v>
      </c>
      <c r="I96" s="11" t="s">
        <v>18451</v>
      </c>
      <c r="J96" s="11" t="s">
        <v>18451</v>
      </c>
      <c r="K96" s="9" t="s">
        <v>970</v>
      </c>
      <c r="L96" s="9" t="s">
        <v>18138</v>
      </c>
      <c r="M96" s="9" t="s">
        <v>17942</v>
      </c>
      <c r="N96" s="9" t="s">
        <v>17746</v>
      </c>
      <c r="O96" s="9" t="s">
        <v>3355</v>
      </c>
      <c r="P96" s="9" t="s">
        <v>17748</v>
      </c>
      <c r="Q96" s="11" t="s">
        <v>18147</v>
      </c>
      <c r="R96" s="11" t="s">
        <v>18147</v>
      </c>
      <c r="S96" s="11" t="s">
        <v>17750</v>
      </c>
    </row>
    <row r="97" spans="1:19" x14ac:dyDescent="0.2">
      <c r="A97" s="11" t="s">
        <v>18452</v>
      </c>
      <c r="B97" s="9" t="s">
        <v>18453</v>
      </c>
      <c r="C97" s="9" t="s">
        <v>18454</v>
      </c>
      <c r="D97" s="9" t="s">
        <v>18455</v>
      </c>
      <c r="E97" s="9" t="s">
        <v>17740</v>
      </c>
      <c r="F97" s="9" t="s">
        <v>17741</v>
      </c>
      <c r="G97" s="9" t="s">
        <v>17740</v>
      </c>
      <c r="H97" s="11" t="s">
        <v>18456</v>
      </c>
      <c r="I97" s="11" t="s">
        <v>18457</v>
      </c>
      <c r="J97" s="11" t="s">
        <v>18457</v>
      </c>
      <c r="K97" s="9" t="s">
        <v>18458</v>
      </c>
      <c r="L97" s="9" t="s">
        <v>17967</v>
      </c>
      <c r="M97" s="9" t="s">
        <v>17760</v>
      </c>
      <c r="N97" s="9" t="s">
        <v>17746</v>
      </c>
      <c r="O97" s="9" t="s">
        <v>3309</v>
      </c>
      <c r="P97" s="9" t="s">
        <v>17748</v>
      </c>
      <c r="Q97" s="11" t="s">
        <v>18147</v>
      </c>
      <c r="R97" s="11" t="s">
        <v>18147</v>
      </c>
      <c r="S97" s="11" t="s">
        <v>17750</v>
      </c>
    </row>
    <row r="98" spans="1:19" x14ac:dyDescent="0.2">
      <c r="A98" s="11" t="s">
        <v>18459</v>
      </c>
      <c r="B98" s="9" t="s">
        <v>18460</v>
      </c>
      <c r="C98" s="9" t="s">
        <v>18461</v>
      </c>
      <c r="D98" s="9" t="s">
        <v>18462</v>
      </c>
      <c r="E98" s="9" t="s">
        <v>17740</v>
      </c>
      <c r="F98" s="9" t="s">
        <v>18463</v>
      </c>
      <c r="G98" s="9" t="s">
        <v>17740</v>
      </c>
      <c r="H98" s="11" t="s">
        <v>5904</v>
      </c>
      <c r="I98" s="11" t="s">
        <v>5903</v>
      </c>
      <c r="J98" s="11" t="s">
        <v>5903</v>
      </c>
      <c r="K98" s="9" t="s">
        <v>4988</v>
      </c>
      <c r="L98" s="9" t="s">
        <v>18079</v>
      </c>
      <c r="M98" s="9" t="s">
        <v>17760</v>
      </c>
      <c r="N98" s="9" t="s">
        <v>17746</v>
      </c>
      <c r="O98" s="9" t="s">
        <v>3391</v>
      </c>
      <c r="P98" s="9" t="s">
        <v>17748</v>
      </c>
      <c r="Q98" s="11" t="s">
        <v>18147</v>
      </c>
      <c r="R98" s="11" t="s">
        <v>18147</v>
      </c>
      <c r="S98" s="11" t="s">
        <v>17750</v>
      </c>
    </row>
    <row r="99" spans="1:19" x14ac:dyDescent="0.2">
      <c r="A99" s="11" t="s">
        <v>18464</v>
      </c>
      <c r="B99" s="9" t="s">
        <v>18465</v>
      </c>
      <c r="C99" s="9" t="s">
        <v>18466</v>
      </c>
      <c r="D99" s="9" t="s">
        <v>18467</v>
      </c>
      <c r="E99" s="9" t="s">
        <v>17740</v>
      </c>
      <c r="F99" s="9" t="s">
        <v>18468</v>
      </c>
      <c r="G99" s="9" t="s">
        <v>17740</v>
      </c>
      <c r="H99" s="11" t="s">
        <v>17741</v>
      </c>
      <c r="I99" s="11" t="s">
        <v>580</v>
      </c>
      <c r="J99" s="11" t="s">
        <v>580</v>
      </c>
      <c r="K99" s="9" t="s">
        <v>581</v>
      </c>
      <c r="L99" s="9" t="s">
        <v>17976</v>
      </c>
      <c r="M99" s="9" t="s">
        <v>17769</v>
      </c>
      <c r="N99" s="9" t="s">
        <v>18469</v>
      </c>
      <c r="O99" s="9" t="s">
        <v>3391</v>
      </c>
      <c r="P99" s="9" t="s">
        <v>17748</v>
      </c>
      <c r="Q99" s="11" t="s">
        <v>18470</v>
      </c>
      <c r="R99" s="11" t="s">
        <v>18470</v>
      </c>
      <c r="S99" s="11" t="s">
        <v>17750</v>
      </c>
    </row>
    <row r="100" spans="1:19" x14ac:dyDescent="0.2">
      <c r="A100" s="11" t="s">
        <v>18471</v>
      </c>
      <c r="B100" s="9" t="s">
        <v>18472</v>
      </c>
      <c r="C100" s="9" t="s">
        <v>18473</v>
      </c>
      <c r="D100" s="9" t="s">
        <v>18474</v>
      </c>
      <c r="E100" s="9" t="s">
        <v>17748</v>
      </c>
      <c r="F100" s="9" t="s">
        <v>18475</v>
      </c>
      <c r="G100" s="9" t="s">
        <v>17740</v>
      </c>
      <c r="H100" s="11" t="s">
        <v>1337</v>
      </c>
      <c r="I100" s="11" t="s">
        <v>1336</v>
      </c>
      <c r="J100" s="11" t="s">
        <v>1336</v>
      </c>
      <c r="K100" s="9" t="s">
        <v>315</v>
      </c>
      <c r="L100" s="9" t="s">
        <v>17759</v>
      </c>
      <c r="M100" s="9" t="s">
        <v>17817</v>
      </c>
      <c r="N100" s="9" t="s">
        <v>17746</v>
      </c>
      <c r="O100" s="9" t="s">
        <v>3391</v>
      </c>
      <c r="P100" s="9" t="s">
        <v>17748</v>
      </c>
      <c r="Q100" s="11" t="s">
        <v>17784</v>
      </c>
      <c r="R100" s="11" t="s">
        <v>17784</v>
      </c>
      <c r="S100" s="11" t="s">
        <v>17750</v>
      </c>
    </row>
    <row r="101" spans="1:19" x14ac:dyDescent="0.2">
      <c r="A101" s="11" t="s">
        <v>18476</v>
      </c>
      <c r="B101" s="9" t="s">
        <v>18477</v>
      </c>
      <c r="C101" s="9" t="s">
        <v>18478</v>
      </c>
      <c r="D101" s="9" t="s">
        <v>18479</v>
      </c>
      <c r="E101" s="9" t="s">
        <v>17748</v>
      </c>
      <c r="F101" s="9" t="s">
        <v>18480</v>
      </c>
      <c r="G101" s="9" t="s">
        <v>17740</v>
      </c>
      <c r="H101" s="11" t="s">
        <v>11464</v>
      </c>
      <c r="I101" s="11" t="s">
        <v>11463</v>
      </c>
      <c r="J101" s="11" t="s">
        <v>11463</v>
      </c>
      <c r="K101" s="9" t="s">
        <v>970</v>
      </c>
      <c r="L101" s="9" t="s">
        <v>17744</v>
      </c>
      <c r="M101" s="9" t="s">
        <v>17817</v>
      </c>
      <c r="N101" s="9" t="s">
        <v>17746</v>
      </c>
      <c r="O101" s="9" t="s">
        <v>18481</v>
      </c>
      <c r="P101" s="9" t="s">
        <v>17748</v>
      </c>
      <c r="Q101" s="11" t="s">
        <v>17762</v>
      </c>
      <c r="R101" s="11" t="s">
        <v>17762</v>
      </c>
      <c r="S101" s="11" t="s">
        <v>17750</v>
      </c>
    </row>
    <row r="102" spans="1:19" x14ac:dyDescent="0.2">
      <c r="A102" s="11" t="s">
        <v>18482</v>
      </c>
      <c r="B102" s="9" t="s">
        <v>18483</v>
      </c>
      <c r="C102" s="9" t="s">
        <v>18484</v>
      </c>
      <c r="D102" s="9" t="s">
        <v>18485</v>
      </c>
      <c r="E102" s="9" t="s">
        <v>17740</v>
      </c>
      <c r="F102" s="9" t="s">
        <v>18486</v>
      </c>
      <c r="G102" s="9" t="s">
        <v>17740</v>
      </c>
      <c r="H102" s="11" t="s">
        <v>17741</v>
      </c>
      <c r="I102" s="11" t="s">
        <v>577</v>
      </c>
      <c r="J102" s="11" t="s">
        <v>577</v>
      </c>
      <c r="K102" s="9" t="s">
        <v>17975</v>
      </c>
      <c r="L102" s="9" t="s">
        <v>17976</v>
      </c>
      <c r="M102" s="9" t="s">
        <v>17778</v>
      </c>
      <c r="N102" s="9" t="s">
        <v>17746</v>
      </c>
      <c r="O102" s="9" t="s">
        <v>18481</v>
      </c>
      <c r="P102" s="9" t="s">
        <v>17748</v>
      </c>
      <c r="Q102" s="11" t="s">
        <v>17978</v>
      </c>
      <c r="R102" s="11" t="s">
        <v>17978</v>
      </c>
      <c r="S102" s="11" t="s">
        <v>17750</v>
      </c>
    </row>
    <row r="103" spans="1:19" x14ac:dyDescent="0.2">
      <c r="A103" s="11" t="s">
        <v>18487</v>
      </c>
      <c r="B103" s="9" t="s">
        <v>18488</v>
      </c>
      <c r="C103" s="9" t="s">
        <v>18489</v>
      </c>
      <c r="D103" s="9" t="s">
        <v>18490</v>
      </c>
      <c r="E103" s="9" t="s">
        <v>17740</v>
      </c>
      <c r="F103" s="9" t="s">
        <v>17741</v>
      </c>
      <c r="G103" s="9" t="s">
        <v>17740</v>
      </c>
      <c r="H103" s="11" t="s">
        <v>17741</v>
      </c>
      <c r="I103" s="11" t="s">
        <v>596</v>
      </c>
      <c r="J103" s="11" t="s">
        <v>596</v>
      </c>
      <c r="K103" s="9" t="s">
        <v>18491</v>
      </c>
      <c r="L103" s="9" t="s">
        <v>17967</v>
      </c>
      <c r="M103" s="9" t="s">
        <v>18065</v>
      </c>
      <c r="N103" s="9" t="s">
        <v>18492</v>
      </c>
      <c r="O103" s="9" t="s">
        <v>3391</v>
      </c>
      <c r="P103" s="9" t="s">
        <v>17748</v>
      </c>
      <c r="Q103" s="11" t="s">
        <v>18493</v>
      </c>
      <c r="R103" s="11" t="s">
        <v>18493</v>
      </c>
      <c r="S103" s="11" t="s">
        <v>17750</v>
      </c>
    </row>
    <row r="104" spans="1:19" x14ac:dyDescent="0.2">
      <c r="A104" s="11" t="s">
        <v>18494</v>
      </c>
      <c r="B104" s="9" t="s">
        <v>18495</v>
      </c>
      <c r="C104" s="9" t="s">
        <v>18496</v>
      </c>
      <c r="D104" s="9" t="s">
        <v>18497</v>
      </c>
      <c r="E104" s="9" t="s">
        <v>17740</v>
      </c>
      <c r="F104" s="9" t="s">
        <v>18304</v>
      </c>
      <c r="G104" s="9" t="s">
        <v>17740</v>
      </c>
      <c r="H104" s="11" t="s">
        <v>604</v>
      </c>
      <c r="I104" s="11" t="s">
        <v>603</v>
      </c>
      <c r="J104" s="11" t="s">
        <v>603</v>
      </c>
      <c r="K104" s="9" t="s">
        <v>970</v>
      </c>
      <c r="L104" s="9" t="s">
        <v>17759</v>
      </c>
      <c r="M104" s="9" t="s">
        <v>18498</v>
      </c>
      <c r="N104" s="9" t="s">
        <v>17746</v>
      </c>
      <c r="O104" s="9" t="s">
        <v>17834</v>
      </c>
      <c r="P104" s="9" t="s">
        <v>17748</v>
      </c>
      <c r="Q104" s="11" t="s">
        <v>18306</v>
      </c>
      <c r="R104" s="11" t="s">
        <v>18306</v>
      </c>
      <c r="S104" s="11" t="s">
        <v>17750</v>
      </c>
    </row>
    <row r="105" spans="1:19" x14ac:dyDescent="0.2">
      <c r="A105" s="11" t="s">
        <v>18499</v>
      </c>
      <c r="B105" s="9" t="s">
        <v>18500</v>
      </c>
      <c r="C105" s="9" t="s">
        <v>18501</v>
      </c>
      <c r="D105" s="9" t="s">
        <v>18502</v>
      </c>
      <c r="E105" s="9" t="s">
        <v>17740</v>
      </c>
      <c r="F105" s="9" t="s">
        <v>18503</v>
      </c>
      <c r="G105" s="9" t="s">
        <v>17740</v>
      </c>
      <c r="H105" s="11" t="s">
        <v>18504</v>
      </c>
      <c r="I105" s="11" t="s">
        <v>18505</v>
      </c>
      <c r="J105" s="11" t="s">
        <v>18505</v>
      </c>
      <c r="K105" s="9" t="s">
        <v>970</v>
      </c>
      <c r="L105" s="9" t="s">
        <v>18305</v>
      </c>
      <c r="M105" s="9" t="s">
        <v>17942</v>
      </c>
      <c r="N105" s="9" t="s">
        <v>17746</v>
      </c>
      <c r="O105" s="9" t="s">
        <v>17834</v>
      </c>
      <c r="P105" s="9" t="s">
        <v>17748</v>
      </c>
      <c r="Q105" s="11" t="s">
        <v>18306</v>
      </c>
      <c r="R105" s="11" t="s">
        <v>18306</v>
      </c>
      <c r="S105" s="11" t="s">
        <v>17750</v>
      </c>
    </row>
    <row r="106" spans="1:19" x14ac:dyDescent="0.2">
      <c r="A106" s="11" t="s">
        <v>18506</v>
      </c>
      <c r="B106" s="9" t="s">
        <v>18507</v>
      </c>
      <c r="C106" s="9" t="s">
        <v>18508</v>
      </c>
      <c r="D106" s="9" t="s">
        <v>18509</v>
      </c>
      <c r="E106" s="9" t="s">
        <v>17740</v>
      </c>
      <c r="F106" s="9" t="s">
        <v>17741</v>
      </c>
      <c r="G106" s="9" t="s">
        <v>17740</v>
      </c>
      <c r="H106" s="11" t="s">
        <v>18510</v>
      </c>
      <c r="I106" s="11" t="s">
        <v>18511</v>
      </c>
      <c r="J106" s="11" t="s">
        <v>18511</v>
      </c>
      <c r="K106" s="9" t="s">
        <v>18512</v>
      </c>
      <c r="L106" s="9" t="s">
        <v>18001</v>
      </c>
      <c r="M106" s="9" t="s">
        <v>18513</v>
      </c>
      <c r="N106" s="9" t="s">
        <v>17746</v>
      </c>
      <c r="O106" s="9" t="s">
        <v>18514</v>
      </c>
      <c r="P106" s="9" t="s">
        <v>17748</v>
      </c>
      <c r="Q106" s="11" t="s">
        <v>18002</v>
      </c>
      <c r="R106" s="11" t="s">
        <v>18002</v>
      </c>
      <c r="S106" s="11" t="s">
        <v>17750</v>
      </c>
    </row>
    <row r="107" spans="1:19" x14ac:dyDescent="0.2">
      <c r="A107" s="11" t="s">
        <v>18515</v>
      </c>
      <c r="B107" s="9" t="s">
        <v>18516</v>
      </c>
      <c r="C107" s="9" t="s">
        <v>18517</v>
      </c>
      <c r="D107" s="9" t="s">
        <v>18518</v>
      </c>
      <c r="E107" s="9" t="s">
        <v>17748</v>
      </c>
      <c r="F107" s="9" t="s">
        <v>18519</v>
      </c>
      <c r="G107" s="9" t="s">
        <v>17740</v>
      </c>
      <c r="H107" s="11" t="s">
        <v>4428</v>
      </c>
      <c r="I107" s="11" t="s">
        <v>4427</v>
      </c>
      <c r="J107" s="11" t="s">
        <v>4427</v>
      </c>
      <c r="K107" s="9" t="s">
        <v>18520</v>
      </c>
      <c r="L107" s="9" t="s">
        <v>17744</v>
      </c>
      <c r="M107" s="9" t="s">
        <v>18521</v>
      </c>
      <c r="N107" s="9" t="s">
        <v>17746</v>
      </c>
      <c r="O107" s="9" t="s">
        <v>3543</v>
      </c>
      <c r="P107" s="9" t="s">
        <v>17748</v>
      </c>
      <c r="Q107" s="11" t="s">
        <v>18364</v>
      </c>
      <c r="R107" s="11" t="s">
        <v>18364</v>
      </c>
      <c r="S107" s="11" t="s">
        <v>17750</v>
      </c>
    </row>
    <row r="108" spans="1:19" x14ac:dyDescent="0.2">
      <c r="A108" s="11" t="s">
        <v>18522</v>
      </c>
      <c r="B108" s="9" t="s">
        <v>18523</v>
      </c>
      <c r="C108" s="9" t="s">
        <v>18524</v>
      </c>
      <c r="D108" s="9" t="s">
        <v>18525</v>
      </c>
      <c r="E108" s="9" t="s">
        <v>17748</v>
      </c>
      <c r="F108" s="9" t="s">
        <v>18526</v>
      </c>
      <c r="G108" s="9" t="s">
        <v>17740</v>
      </c>
      <c r="H108" s="11" t="s">
        <v>17741</v>
      </c>
      <c r="I108" s="11" t="s">
        <v>17741</v>
      </c>
      <c r="J108" s="11" t="s">
        <v>17741</v>
      </c>
      <c r="K108" s="9" t="s">
        <v>18404</v>
      </c>
      <c r="L108" s="9" t="s">
        <v>17744</v>
      </c>
      <c r="M108" s="9" t="s">
        <v>17942</v>
      </c>
      <c r="N108" s="9" t="s">
        <v>17746</v>
      </c>
      <c r="O108" s="9" t="s">
        <v>3543</v>
      </c>
      <c r="P108" s="9" t="s">
        <v>17748</v>
      </c>
      <c r="Q108" s="11" t="s">
        <v>17780</v>
      </c>
      <c r="R108" s="11" t="s">
        <v>17780</v>
      </c>
      <c r="S108" s="11" t="s">
        <v>17750</v>
      </c>
    </row>
    <row r="109" spans="1:19" x14ac:dyDescent="0.2">
      <c r="A109" s="11" t="s">
        <v>18527</v>
      </c>
      <c r="B109" s="9" t="s">
        <v>18528</v>
      </c>
      <c r="C109" s="9" t="s">
        <v>18529</v>
      </c>
      <c r="D109" s="9" t="s">
        <v>18530</v>
      </c>
      <c r="E109" s="9" t="s">
        <v>17740</v>
      </c>
      <c r="F109" s="9" t="s">
        <v>17741</v>
      </c>
      <c r="G109" s="9" t="s">
        <v>17740</v>
      </c>
      <c r="H109" s="11" t="s">
        <v>17741</v>
      </c>
      <c r="I109" s="11" t="s">
        <v>18531</v>
      </c>
      <c r="J109" s="11" t="s">
        <v>18531</v>
      </c>
      <c r="K109" s="9" t="s">
        <v>18532</v>
      </c>
      <c r="L109" s="9" t="s">
        <v>18249</v>
      </c>
      <c r="M109" s="9" t="s">
        <v>18533</v>
      </c>
      <c r="N109" s="9" t="s">
        <v>17746</v>
      </c>
      <c r="O109" s="9" t="s">
        <v>18534</v>
      </c>
      <c r="P109" s="9" t="s">
        <v>17748</v>
      </c>
      <c r="Q109" s="11" t="s">
        <v>18243</v>
      </c>
      <c r="R109" s="11" t="s">
        <v>18243</v>
      </c>
      <c r="S109" s="11" t="s">
        <v>17750</v>
      </c>
    </row>
    <row r="110" spans="1:19" x14ac:dyDescent="0.2">
      <c r="A110" s="11" t="s">
        <v>18535</v>
      </c>
      <c r="B110" s="9" t="s">
        <v>18536</v>
      </c>
      <c r="C110" s="9" t="s">
        <v>18537</v>
      </c>
      <c r="D110" s="9" t="s">
        <v>18538</v>
      </c>
      <c r="E110" s="9" t="s">
        <v>17740</v>
      </c>
      <c r="F110" s="9" t="s">
        <v>17741</v>
      </c>
      <c r="G110" s="9" t="s">
        <v>17740</v>
      </c>
      <c r="H110" s="11" t="s">
        <v>18539</v>
      </c>
      <c r="I110" s="11" t="s">
        <v>18540</v>
      </c>
      <c r="J110" s="11" t="s">
        <v>18540</v>
      </c>
      <c r="K110" s="9" t="s">
        <v>18541</v>
      </c>
      <c r="L110" s="9" t="s">
        <v>17967</v>
      </c>
      <c r="M110" s="9" t="s">
        <v>18542</v>
      </c>
      <c r="N110" s="9" t="s">
        <v>17746</v>
      </c>
      <c r="O110" s="9" t="s">
        <v>18543</v>
      </c>
      <c r="P110" s="9" t="s">
        <v>17748</v>
      </c>
      <c r="Q110" s="11" t="s">
        <v>17994</v>
      </c>
      <c r="R110" s="11" t="s">
        <v>17994</v>
      </c>
      <c r="S110" s="11" t="s">
        <v>17750</v>
      </c>
    </row>
    <row r="111" spans="1:19" x14ac:dyDescent="0.2">
      <c r="A111" s="11" t="s">
        <v>18544</v>
      </c>
      <c r="B111" s="9" t="s">
        <v>18545</v>
      </c>
      <c r="C111" s="9" t="s">
        <v>18546</v>
      </c>
      <c r="D111" s="9" t="s">
        <v>18547</v>
      </c>
      <c r="E111" s="9" t="s">
        <v>17740</v>
      </c>
      <c r="F111" s="9" t="s">
        <v>17741</v>
      </c>
      <c r="G111" s="9" t="s">
        <v>17740</v>
      </c>
      <c r="H111" s="11" t="s">
        <v>143</v>
      </c>
      <c r="I111" s="11" t="s">
        <v>142</v>
      </c>
      <c r="J111" s="11" t="s">
        <v>142</v>
      </c>
      <c r="K111" s="9" t="s">
        <v>91</v>
      </c>
      <c r="L111" s="9" t="s">
        <v>18001</v>
      </c>
      <c r="M111" s="9" t="s">
        <v>18330</v>
      </c>
      <c r="N111" s="9" t="s">
        <v>17746</v>
      </c>
      <c r="O111" s="9" t="s">
        <v>18548</v>
      </c>
      <c r="P111" s="9" t="s">
        <v>17748</v>
      </c>
      <c r="Q111" s="11" t="s">
        <v>18549</v>
      </c>
      <c r="R111" s="11" t="s">
        <v>18549</v>
      </c>
      <c r="S111" s="11" t="s">
        <v>17750</v>
      </c>
    </row>
    <row r="112" spans="1:19" x14ac:dyDescent="0.2">
      <c r="A112" s="11" t="s">
        <v>18550</v>
      </c>
      <c r="B112" s="9" t="s">
        <v>18551</v>
      </c>
      <c r="C112" s="9" t="s">
        <v>18552</v>
      </c>
      <c r="D112" s="9" t="s">
        <v>18553</v>
      </c>
      <c r="E112" s="9" t="s">
        <v>17740</v>
      </c>
      <c r="F112" s="9" t="s">
        <v>17741</v>
      </c>
      <c r="G112" s="9" t="s">
        <v>17740</v>
      </c>
      <c r="H112" s="11" t="s">
        <v>17741</v>
      </c>
      <c r="I112" s="11" t="s">
        <v>18554</v>
      </c>
      <c r="J112" s="11" t="s">
        <v>18554</v>
      </c>
      <c r="K112" s="9" t="s">
        <v>18555</v>
      </c>
      <c r="L112" s="9" t="s">
        <v>18025</v>
      </c>
      <c r="M112" s="9" t="s">
        <v>17942</v>
      </c>
      <c r="N112" s="9" t="s">
        <v>18026</v>
      </c>
      <c r="O112" s="9" t="s">
        <v>17993</v>
      </c>
      <c r="P112" s="9" t="s">
        <v>17748</v>
      </c>
      <c r="Q112" s="11" t="s">
        <v>18556</v>
      </c>
      <c r="R112" s="11" t="s">
        <v>18556</v>
      </c>
      <c r="S112" s="11" t="s">
        <v>17750</v>
      </c>
    </row>
    <row r="113" spans="1:19" x14ac:dyDescent="0.2">
      <c r="A113" s="11" t="s">
        <v>18557</v>
      </c>
      <c r="B113" s="9" t="s">
        <v>18558</v>
      </c>
      <c r="C113" s="9" t="s">
        <v>18559</v>
      </c>
      <c r="D113" s="9" t="s">
        <v>18560</v>
      </c>
      <c r="E113" s="9" t="s">
        <v>17740</v>
      </c>
      <c r="F113" s="9" t="s">
        <v>18561</v>
      </c>
      <c r="G113" s="9" t="s">
        <v>17740</v>
      </c>
      <c r="H113" s="11" t="s">
        <v>17741</v>
      </c>
      <c r="I113" s="11" t="s">
        <v>18562</v>
      </c>
      <c r="J113" s="11" t="s">
        <v>18562</v>
      </c>
      <c r="K113" s="9" t="s">
        <v>17975</v>
      </c>
      <c r="L113" s="9" t="s">
        <v>17976</v>
      </c>
      <c r="M113" s="9" t="s">
        <v>17760</v>
      </c>
      <c r="N113" s="9" t="s">
        <v>17746</v>
      </c>
      <c r="O113" s="9" t="s">
        <v>18563</v>
      </c>
      <c r="P113" s="9" t="s">
        <v>17748</v>
      </c>
      <c r="Q113" s="11" t="s">
        <v>17978</v>
      </c>
      <c r="R113" s="11" t="s">
        <v>17978</v>
      </c>
      <c r="S113" s="11" t="s">
        <v>17750</v>
      </c>
    </row>
    <row r="114" spans="1:19" x14ac:dyDescent="0.2">
      <c r="A114" s="11" t="s">
        <v>18564</v>
      </c>
      <c r="B114" s="9" t="s">
        <v>18565</v>
      </c>
      <c r="C114" s="9" t="s">
        <v>18566</v>
      </c>
      <c r="D114" s="9" t="s">
        <v>18567</v>
      </c>
      <c r="E114" s="9" t="s">
        <v>17740</v>
      </c>
      <c r="F114" s="9" t="s">
        <v>17741</v>
      </c>
      <c r="G114" s="9" t="s">
        <v>17740</v>
      </c>
      <c r="H114" s="11" t="s">
        <v>18568</v>
      </c>
      <c r="I114" s="11" t="s">
        <v>18569</v>
      </c>
      <c r="J114" s="11" t="s">
        <v>18569</v>
      </c>
      <c r="K114" s="9" t="s">
        <v>18570</v>
      </c>
      <c r="L114" s="9" t="s">
        <v>17744</v>
      </c>
      <c r="M114" s="9" t="s">
        <v>17760</v>
      </c>
      <c r="N114" s="9" t="s">
        <v>17746</v>
      </c>
      <c r="O114" s="9" t="s">
        <v>18563</v>
      </c>
      <c r="P114" s="9" t="s">
        <v>17748</v>
      </c>
      <c r="Q114" s="11" t="s">
        <v>17943</v>
      </c>
      <c r="R114" s="11" t="s">
        <v>17943</v>
      </c>
      <c r="S114" s="11" t="s">
        <v>17750</v>
      </c>
    </row>
    <row r="115" spans="1:19" x14ac:dyDescent="0.2">
      <c r="A115" s="11" t="s">
        <v>18571</v>
      </c>
      <c r="B115" s="9" t="s">
        <v>18572</v>
      </c>
      <c r="C115" s="9" t="s">
        <v>18573</v>
      </c>
      <c r="D115" s="9" t="s">
        <v>18574</v>
      </c>
      <c r="E115" s="9" t="s">
        <v>17740</v>
      </c>
      <c r="F115" s="9" t="s">
        <v>17741</v>
      </c>
      <c r="G115" s="9" t="s">
        <v>17740</v>
      </c>
      <c r="H115" s="11" t="s">
        <v>18575</v>
      </c>
      <c r="I115" s="11" t="s">
        <v>691</v>
      </c>
      <c r="J115" s="11" t="s">
        <v>691</v>
      </c>
      <c r="K115" s="9" t="s">
        <v>18576</v>
      </c>
      <c r="L115" s="9" t="s">
        <v>18577</v>
      </c>
      <c r="M115" s="9" t="s">
        <v>18578</v>
      </c>
      <c r="N115" s="9" t="s">
        <v>17746</v>
      </c>
      <c r="O115" s="9" t="s">
        <v>4048</v>
      </c>
      <c r="P115" s="9" t="s">
        <v>17748</v>
      </c>
      <c r="Q115" s="11" t="s">
        <v>17937</v>
      </c>
      <c r="R115" s="11" t="s">
        <v>17937</v>
      </c>
      <c r="S115" s="11" t="s">
        <v>17750</v>
      </c>
    </row>
    <row r="116" spans="1:19" x14ac:dyDescent="0.2">
      <c r="A116" s="11" t="s">
        <v>18579</v>
      </c>
      <c r="B116" s="9" t="s">
        <v>18580</v>
      </c>
      <c r="C116" s="9" t="s">
        <v>18581</v>
      </c>
      <c r="D116" s="9" t="s">
        <v>18582</v>
      </c>
      <c r="E116" s="9" t="s">
        <v>17740</v>
      </c>
      <c r="F116" s="9" t="s">
        <v>17741</v>
      </c>
      <c r="G116" s="9" t="s">
        <v>17740</v>
      </c>
      <c r="H116" s="11" t="s">
        <v>174</v>
      </c>
      <c r="I116" s="11" t="s">
        <v>173</v>
      </c>
      <c r="J116" s="11" t="s">
        <v>173</v>
      </c>
      <c r="K116" s="9" t="s">
        <v>18438</v>
      </c>
      <c r="L116" s="9" t="s">
        <v>18439</v>
      </c>
      <c r="M116" s="9" t="s">
        <v>18583</v>
      </c>
      <c r="N116" s="9" t="s">
        <v>18171</v>
      </c>
      <c r="O116" s="9" t="s">
        <v>18131</v>
      </c>
      <c r="P116" s="9" t="s">
        <v>17748</v>
      </c>
      <c r="Q116" s="11" t="s">
        <v>18584</v>
      </c>
      <c r="R116" s="11" t="s">
        <v>18584</v>
      </c>
      <c r="S116" s="11" t="s">
        <v>17750</v>
      </c>
    </row>
    <row r="117" spans="1:19" x14ac:dyDescent="0.2">
      <c r="A117" s="11" t="s">
        <v>18585</v>
      </c>
      <c r="B117" s="9" t="s">
        <v>18586</v>
      </c>
      <c r="C117" s="9" t="s">
        <v>18587</v>
      </c>
      <c r="D117" s="9" t="s">
        <v>18588</v>
      </c>
      <c r="E117" s="9" t="s">
        <v>17748</v>
      </c>
      <c r="F117" s="9" t="s">
        <v>18589</v>
      </c>
      <c r="G117" s="9" t="s">
        <v>17740</v>
      </c>
      <c r="H117" s="11" t="s">
        <v>18590</v>
      </c>
      <c r="I117" s="11" t="s">
        <v>18591</v>
      </c>
      <c r="J117" s="11" t="s">
        <v>18591</v>
      </c>
      <c r="K117" s="9" t="s">
        <v>18592</v>
      </c>
      <c r="L117" s="9" t="s">
        <v>18439</v>
      </c>
      <c r="M117" s="9" t="s">
        <v>17769</v>
      </c>
      <c r="N117" s="9" t="s">
        <v>18171</v>
      </c>
      <c r="O117" s="9" t="s">
        <v>17834</v>
      </c>
      <c r="P117" s="9" t="s">
        <v>17748</v>
      </c>
      <c r="Q117" s="11" t="s">
        <v>18356</v>
      </c>
      <c r="R117" s="11" t="s">
        <v>18356</v>
      </c>
      <c r="S117" s="11" t="s">
        <v>17750</v>
      </c>
    </row>
    <row r="118" spans="1:19" x14ac:dyDescent="0.2">
      <c r="A118" s="11" t="s">
        <v>18593</v>
      </c>
      <c r="B118" s="9" t="s">
        <v>18594</v>
      </c>
      <c r="C118" s="9" t="s">
        <v>18595</v>
      </c>
      <c r="D118" s="9" t="s">
        <v>18596</v>
      </c>
      <c r="E118" s="9" t="s">
        <v>17740</v>
      </c>
      <c r="F118" s="9" t="s">
        <v>17741</v>
      </c>
      <c r="G118" s="9" t="s">
        <v>17740</v>
      </c>
      <c r="H118" s="11" t="s">
        <v>18597</v>
      </c>
      <c r="I118" s="11" t="s">
        <v>18598</v>
      </c>
      <c r="J118" s="11" t="s">
        <v>18598</v>
      </c>
      <c r="K118" s="9" t="s">
        <v>18438</v>
      </c>
      <c r="L118" s="9" t="s">
        <v>18439</v>
      </c>
      <c r="M118" s="9" t="s">
        <v>18599</v>
      </c>
      <c r="N118" s="9" t="s">
        <v>18171</v>
      </c>
      <c r="O118" s="9" t="s">
        <v>4025</v>
      </c>
      <c r="P118" s="9" t="s">
        <v>17748</v>
      </c>
      <c r="Q118" s="11" t="s">
        <v>18600</v>
      </c>
      <c r="R118" s="11" t="s">
        <v>18600</v>
      </c>
      <c r="S118" s="11" t="s">
        <v>17750</v>
      </c>
    </row>
    <row r="119" spans="1:19" x14ac:dyDescent="0.2">
      <c r="A119" s="11" t="s">
        <v>18601</v>
      </c>
      <c r="B119" s="9" t="s">
        <v>18602</v>
      </c>
      <c r="C119" s="9" t="s">
        <v>18603</v>
      </c>
      <c r="D119" s="9" t="s">
        <v>18604</v>
      </c>
      <c r="E119" s="9" t="s">
        <v>17740</v>
      </c>
      <c r="F119" s="9" t="s">
        <v>17741</v>
      </c>
      <c r="G119" s="9" t="s">
        <v>17740</v>
      </c>
      <c r="H119" s="11" t="s">
        <v>17741</v>
      </c>
      <c r="I119" s="11" t="s">
        <v>18605</v>
      </c>
      <c r="J119" s="11" t="s">
        <v>18605</v>
      </c>
      <c r="K119" s="9" t="s">
        <v>18606</v>
      </c>
      <c r="L119" s="9" t="s">
        <v>17759</v>
      </c>
      <c r="M119" s="9" t="s">
        <v>17760</v>
      </c>
      <c r="N119" s="9" t="s">
        <v>17746</v>
      </c>
      <c r="O119" s="9" t="s">
        <v>18607</v>
      </c>
      <c r="P119" s="9" t="s">
        <v>17748</v>
      </c>
      <c r="Q119" s="11" t="s">
        <v>18608</v>
      </c>
      <c r="R119" s="11" t="s">
        <v>18608</v>
      </c>
      <c r="S119" s="11" t="s">
        <v>17750</v>
      </c>
    </row>
    <row r="120" spans="1:19" x14ac:dyDescent="0.2">
      <c r="A120" s="11" t="s">
        <v>18609</v>
      </c>
      <c r="B120" s="9" t="s">
        <v>18610</v>
      </c>
      <c r="C120" s="9" t="s">
        <v>18611</v>
      </c>
      <c r="D120" s="9" t="s">
        <v>18612</v>
      </c>
      <c r="E120" s="9" t="s">
        <v>17740</v>
      </c>
      <c r="F120" s="9" t="s">
        <v>18613</v>
      </c>
      <c r="G120" s="9" t="s">
        <v>17740</v>
      </c>
      <c r="H120" s="11" t="s">
        <v>18614</v>
      </c>
      <c r="I120" s="11" t="s">
        <v>18615</v>
      </c>
      <c r="J120" s="11" t="s">
        <v>18615</v>
      </c>
      <c r="K120" s="9" t="s">
        <v>18616</v>
      </c>
      <c r="L120" s="9" t="s">
        <v>17744</v>
      </c>
      <c r="M120" s="9" t="s">
        <v>18211</v>
      </c>
      <c r="N120" s="9" t="s">
        <v>17746</v>
      </c>
      <c r="O120" s="9" t="s">
        <v>18607</v>
      </c>
      <c r="P120" s="9" t="s">
        <v>17748</v>
      </c>
      <c r="Q120" s="11" t="s">
        <v>17978</v>
      </c>
      <c r="R120" s="11" t="s">
        <v>17978</v>
      </c>
      <c r="S120" s="11" t="s">
        <v>17750</v>
      </c>
    </row>
    <row r="121" spans="1:19" x14ac:dyDescent="0.2">
      <c r="A121" s="11" t="s">
        <v>18617</v>
      </c>
      <c r="B121" s="9" t="s">
        <v>18618</v>
      </c>
      <c r="C121" s="9" t="s">
        <v>18619</v>
      </c>
      <c r="D121" s="9" t="s">
        <v>18620</v>
      </c>
      <c r="E121" s="9" t="s">
        <v>17748</v>
      </c>
      <c r="F121" s="9" t="s">
        <v>18621</v>
      </c>
      <c r="G121" s="9" t="s">
        <v>17740</v>
      </c>
      <c r="H121" s="11" t="s">
        <v>11504</v>
      </c>
      <c r="I121" s="11" t="s">
        <v>11503</v>
      </c>
      <c r="J121" s="11" t="s">
        <v>11503</v>
      </c>
      <c r="K121" s="9" t="s">
        <v>291</v>
      </c>
      <c r="L121" s="9" t="s">
        <v>17744</v>
      </c>
      <c r="M121" s="9" t="s">
        <v>17778</v>
      </c>
      <c r="N121" s="9" t="s">
        <v>17746</v>
      </c>
      <c r="O121" s="9" t="s">
        <v>18009</v>
      </c>
      <c r="P121" s="9" t="s">
        <v>17748</v>
      </c>
      <c r="Q121" s="11" t="s">
        <v>17762</v>
      </c>
      <c r="R121" s="11" t="s">
        <v>17762</v>
      </c>
      <c r="S121" s="11" t="s">
        <v>17750</v>
      </c>
    </row>
    <row r="122" spans="1:19" x14ac:dyDescent="0.2">
      <c r="A122" s="11" t="s">
        <v>18622</v>
      </c>
      <c r="B122" s="9" t="s">
        <v>18623</v>
      </c>
      <c r="C122" s="9" t="s">
        <v>18624</v>
      </c>
      <c r="D122" s="9" t="s">
        <v>18625</v>
      </c>
      <c r="E122" s="9" t="s">
        <v>17740</v>
      </c>
      <c r="F122" s="9" t="s">
        <v>18626</v>
      </c>
      <c r="G122" s="9" t="s">
        <v>17740</v>
      </c>
      <c r="H122" s="11" t="s">
        <v>10853</v>
      </c>
      <c r="I122" s="11" t="s">
        <v>10852</v>
      </c>
      <c r="J122" s="11" t="s">
        <v>10852</v>
      </c>
      <c r="K122" s="9" t="s">
        <v>18627</v>
      </c>
      <c r="L122" s="9" t="s">
        <v>17744</v>
      </c>
      <c r="M122" s="9" t="s">
        <v>18628</v>
      </c>
      <c r="N122" s="9" t="s">
        <v>17746</v>
      </c>
      <c r="O122" s="9" t="s">
        <v>17993</v>
      </c>
      <c r="P122" s="9" t="s">
        <v>17748</v>
      </c>
      <c r="Q122" s="11" t="s">
        <v>17984</v>
      </c>
      <c r="R122" s="11" t="s">
        <v>17984</v>
      </c>
      <c r="S122" s="11" t="s">
        <v>17750</v>
      </c>
    </row>
    <row r="123" spans="1:19" x14ac:dyDescent="0.2">
      <c r="A123" s="11" t="s">
        <v>18629</v>
      </c>
      <c r="B123" s="9" t="s">
        <v>18630</v>
      </c>
      <c r="C123" s="9" t="s">
        <v>18631</v>
      </c>
      <c r="D123" s="9" t="s">
        <v>18632</v>
      </c>
      <c r="E123" s="9" t="s">
        <v>17740</v>
      </c>
      <c r="F123" s="9" t="s">
        <v>17741</v>
      </c>
      <c r="G123" s="9" t="s">
        <v>17740</v>
      </c>
      <c r="H123" s="11" t="s">
        <v>18633</v>
      </c>
      <c r="I123" s="11" t="s">
        <v>18634</v>
      </c>
      <c r="J123" s="11" t="s">
        <v>18634</v>
      </c>
      <c r="K123" s="9" t="s">
        <v>18635</v>
      </c>
      <c r="L123" s="9" t="s">
        <v>17759</v>
      </c>
      <c r="M123" s="9" t="s">
        <v>17760</v>
      </c>
      <c r="N123" s="9" t="s">
        <v>17746</v>
      </c>
      <c r="O123" s="9" t="s">
        <v>18636</v>
      </c>
      <c r="P123" s="9" t="s">
        <v>17748</v>
      </c>
      <c r="Q123" s="11" t="s">
        <v>18341</v>
      </c>
      <c r="R123" s="11" t="s">
        <v>18341</v>
      </c>
      <c r="S123" s="11" t="s">
        <v>17750</v>
      </c>
    </row>
    <row r="124" spans="1:19" x14ac:dyDescent="0.2">
      <c r="A124" s="11" t="s">
        <v>18637</v>
      </c>
      <c r="B124" s="9" t="s">
        <v>18638</v>
      </c>
      <c r="C124" s="9" t="s">
        <v>18639</v>
      </c>
      <c r="D124" s="9" t="s">
        <v>18640</v>
      </c>
      <c r="E124" s="9" t="s">
        <v>17740</v>
      </c>
      <c r="F124" s="9" t="s">
        <v>18641</v>
      </c>
      <c r="G124" s="9" t="s">
        <v>17740</v>
      </c>
      <c r="H124" s="11" t="s">
        <v>18642</v>
      </c>
      <c r="I124" s="11" t="s">
        <v>18643</v>
      </c>
      <c r="J124" s="11" t="s">
        <v>18643</v>
      </c>
      <c r="K124" s="9" t="s">
        <v>970</v>
      </c>
      <c r="L124" s="9" t="s">
        <v>17744</v>
      </c>
      <c r="M124" s="9" t="s">
        <v>17817</v>
      </c>
      <c r="N124" s="9" t="s">
        <v>17746</v>
      </c>
      <c r="O124" s="9" t="s">
        <v>18644</v>
      </c>
      <c r="P124" s="9" t="s">
        <v>17748</v>
      </c>
      <c r="Q124" s="11" t="s">
        <v>17792</v>
      </c>
      <c r="R124" s="11" t="s">
        <v>17792</v>
      </c>
      <c r="S124" s="11" t="s">
        <v>17750</v>
      </c>
    </row>
    <row r="125" spans="1:19" x14ac:dyDescent="0.2">
      <c r="A125" s="11" t="s">
        <v>18645</v>
      </c>
      <c r="B125" s="9" t="s">
        <v>18646</v>
      </c>
      <c r="C125" s="9" t="s">
        <v>18647</v>
      </c>
      <c r="D125" s="9" t="s">
        <v>18648</v>
      </c>
      <c r="E125" s="9" t="s">
        <v>17740</v>
      </c>
      <c r="F125" s="9" t="s">
        <v>17741</v>
      </c>
      <c r="G125" s="9" t="s">
        <v>17740</v>
      </c>
      <c r="H125" s="11" t="s">
        <v>7016</v>
      </c>
      <c r="I125" s="11" t="s">
        <v>7015</v>
      </c>
      <c r="J125" s="11" t="s">
        <v>7015</v>
      </c>
      <c r="K125" s="9" t="s">
        <v>970</v>
      </c>
      <c r="L125" s="9" t="s">
        <v>17759</v>
      </c>
      <c r="M125" s="9" t="s">
        <v>17778</v>
      </c>
      <c r="N125" s="9" t="s">
        <v>17746</v>
      </c>
      <c r="O125" s="9" t="s">
        <v>18644</v>
      </c>
      <c r="P125" s="9" t="s">
        <v>17748</v>
      </c>
      <c r="Q125" s="11" t="s">
        <v>18201</v>
      </c>
      <c r="R125" s="11" t="s">
        <v>18201</v>
      </c>
      <c r="S125" s="11" t="s">
        <v>17750</v>
      </c>
    </row>
    <row r="126" spans="1:19" x14ac:dyDescent="0.2">
      <c r="A126" s="11" t="s">
        <v>18649</v>
      </c>
      <c r="B126" s="9" t="s">
        <v>18650</v>
      </c>
      <c r="C126" s="9" t="s">
        <v>18651</v>
      </c>
      <c r="D126" s="9" t="s">
        <v>18652</v>
      </c>
      <c r="E126" s="9" t="s">
        <v>17748</v>
      </c>
      <c r="F126" s="9" t="s">
        <v>18653</v>
      </c>
      <c r="G126" s="9" t="s">
        <v>17740</v>
      </c>
      <c r="H126" s="11" t="s">
        <v>18654</v>
      </c>
      <c r="I126" s="11" t="s">
        <v>18655</v>
      </c>
      <c r="J126" s="11" t="s">
        <v>18655</v>
      </c>
      <c r="K126" s="9" t="s">
        <v>18570</v>
      </c>
      <c r="L126" s="9" t="s">
        <v>17744</v>
      </c>
      <c r="M126" s="9" t="s">
        <v>18656</v>
      </c>
      <c r="N126" s="9" t="s">
        <v>17746</v>
      </c>
      <c r="O126" s="9" t="s">
        <v>18644</v>
      </c>
      <c r="P126" s="9" t="s">
        <v>17748</v>
      </c>
      <c r="Q126" s="11" t="s">
        <v>17917</v>
      </c>
      <c r="R126" s="11" t="s">
        <v>17917</v>
      </c>
      <c r="S126" s="11" t="s">
        <v>17750</v>
      </c>
    </row>
    <row r="127" spans="1:19" x14ac:dyDescent="0.2">
      <c r="A127" s="11" t="s">
        <v>18657</v>
      </c>
      <c r="B127" s="9" t="s">
        <v>18658</v>
      </c>
      <c r="C127" s="9" t="s">
        <v>18659</v>
      </c>
      <c r="D127" s="9" t="s">
        <v>18660</v>
      </c>
      <c r="E127" s="9" t="s">
        <v>17740</v>
      </c>
      <c r="F127" s="9" t="s">
        <v>17741</v>
      </c>
      <c r="G127" s="9" t="s">
        <v>17740</v>
      </c>
      <c r="H127" s="11" t="s">
        <v>154</v>
      </c>
      <c r="I127" s="11" t="s">
        <v>153</v>
      </c>
      <c r="J127" s="11" t="s">
        <v>153</v>
      </c>
      <c r="K127" s="9" t="s">
        <v>18661</v>
      </c>
      <c r="L127" s="9" t="s">
        <v>17744</v>
      </c>
      <c r="M127" s="9" t="s">
        <v>18662</v>
      </c>
      <c r="N127" s="9" t="s">
        <v>17746</v>
      </c>
      <c r="O127" s="9" t="s">
        <v>18663</v>
      </c>
      <c r="P127" s="9" t="s">
        <v>17748</v>
      </c>
      <c r="Q127" s="11" t="s">
        <v>18608</v>
      </c>
      <c r="R127" s="11" t="s">
        <v>18608</v>
      </c>
      <c r="S127" s="11" t="s">
        <v>17750</v>
      </c>
    </row>
    <row r="128" spans="1:19" x14ac:dyDescent="0.2">
      <c r="A128" s="11" t="s">
        <v>18664</v>
      </c>
      <c r="B128" s="9" t="s">
        <v>18665</v>
      </c>
      <c r="C128" s="9" t="s">
        <v>18666</v>
      </c>
      <c r="D128" s="9" t="s">
        <v>18665</v>
      </c>
      <c r="E128" s="9" t="s">
        <v>17740</v>
      </c>
      <c r="F128" s="9" t="s">
        <v>17741</v>
      </c>
      <c r="G128" s="9" t="s">
        <v>17740</v>
      </c>
      <c r="H128" s="11" t="s">
        <v>17741</v>
      </c>
      <c r="I128" s="11" t="s">
        <v>18667</v>
      </c>
      <c r="J128" s="11" t="s">
        <v>18667</v>
      </c>
      <c r="K128" s="9" t="s">
        <v>18668</v>
      </c>
      <c r="L128" s="9" t="s">
        <v>18439</v>
      </c>
      <c r="M128" s="9" t="s">
        <v>17760</v>
      </c>
      <c r="N128" s="9" t="s">
        <v>18171</v>
      </c>
      <c r="O128" s="9" t="s">
        <v>18644</v>
      </c>
      <c r="P128" s="9" t="s">
        <v>17748</v>
      </c>
      <c r="Q128" s="11" t="s">
        <v>17819</v>
      </c>
      <c r="R128" s="11" t="s">
        <v>17819</v>
      </c>
      <c r="S128" s="11" t="s">
        <v>17750</v>
      </c>
    </row>
    <row r="129" spans="1:19" x14ac:dyDescent="0.2">
      <c r="A129" s="11" t="s">
        <v>18669</v>
      </c>
      <c r="B129" s="9" t="s">
        <v>18670</v>
      </c>
      <c r="C129" s="9" t="s">
        <v>18671</v>
      </c>
      <c r="D129" s="9" t="s">
        <v>18672</v>
      </c>
      <c r="E129" s="9" t="s">
        <v>17740</v>
      </c>
      <c r="F129" s="9" t="s">
        <v>18673</v>
      </c>
      <c r="G129" s="9" t="s">
        <v>17740</v>
      </c>
      <c r="H129" s="11" t="s">
        <v>18674</v>
      </c>
      <c r="I129" s="11" t="s">
        <v>18675</v>
      </c>
      <c r="J129" s="11" t="s">
        <v>18675</v>
      </c>
      <c r="K129" s="9" t="s">
        <v>17783</v>
      </c>
      <c r="L129" s="9" t="s">
        <v>17759</v>
      </c>
      <c r="M129" s="9" t="s">
        <v>18676</v>
      </c>
      <c r="N129" s="9" t="s">
        <v>17746</v>
      </c>
      <c r="O129" s="9" t="s">
        <v>18677</v>
      </c>
      <c r="P129" s="9" t="s">
        <v>17748</v>
      </c>
      <c r="Q129" s="11" t="s">
        <v>18678</v>
      </c>
      <c r="R129" s="11" t="s">
        <v>18678</v>
      </c>
      <c r="S129" s="11" t="s">
        <v>17750</v>
      </c>
    </row>
    <row r="130" spans="1:19" x14ac:dyDescent="0.2">
      <c r="A130" s="11" t="s">
        <v>18679</v>
      </c>
      <c r="B130" s="9" t="s">
        <v>18680</v>
      </c>
      <c r="C130" s="9" t="s">
        <v>18681</v>
      </c>
      <c r="D130" s="9" t="s">
        <v>18682</v>
      </c>
      <c r="E130" s="9" t="s">
        <v>17748</v>
      </c>
      <c r="F130" s="9" t="s">
        <v>18683</v>
      </c>
      <c r="G130" s="9" t="s">
        <v>17740</v>
      </c>
      <c r="H130" s="11" t="s">
        <v>17741</v>
      </c>
      <c r="I130" s="11" t="s">
        <v>18684</v>
      </c>
      <c r="J130" s="11" t="s">
        <v>18684</v>
      </c>
      <c r="K130" s="9" t="s">
        <v>3358</v>
      </c>
      <c r="L130" s="9" t="s">
        <v>17759</v>
      </c>
      <c r="M130" s="9" t="s">
        <v>18685</v>
      </c>
      <c r="N130" s="9" t="s">
        <v>17746</v>
      </c>
      <c r="O130" s="9" t="s">
        <v>3355</v>
      </c>
      <c r="P130" s="9" t="s">
        <v>17748</v>
      </c>
      <c r="Q130" s="11" t="s">
        <v>17917</v>
      </c>
      <c r="R130" s="11" t="s">
        <v>17917</v>
      </c>
      <c r="S130" s="11" t="s">
        <v>17750</v>
      </c>
    </row>
    <row r="131" spans="1:19" x14ac:dyDescent="0.2">
      <c r="A131" s="11" t="s">
        <v>18686</v>
      </c>
      <c r="B131" s="9" t="s">
        <v>18687</v>
      </c>
      <c r="C131" s="9" t="s">
        <v>18688</v>
      </c>
      <c r="D131" s="9" t="s">
        <v>18689</v>
      </c>
      <c r="E131" s="9" t="s">
        <v>17740</v>
      </c>
      <c r="F131" s="9" t="s">
        <v>18690</v>
      </c>
      <c r="G131" s="9" t="s">
        <v>17740</v>
      </c>
      <c r="H131" s="11" t="s">
        <v>18691</v>
      </c>
      <c r="I131" s="11" t="s">
        <v>18692</v>
      </c>
      <c r="J131" s="11" t="s">
        <v>18692</v>
      </c>
      <c r="K131" s="9" t="s">
        <v>18693</v>
      </c>
      <c r="L131" s="9" t="s">
        <v>17759</v>
      </c>
      <c r="M131" s="9" t="s">
        <v>17817</v>
      </c>
      <c r="N131" s="9" t="s">
        <v>17746</v>
      </c>
      <c r="O131" s="9" t="s">
        <v>17800</v>
      </c>
      <c r="P131" s="9" t="s">
        <v>17748</v>
      </c>
      <c r="Q131" s="11" t="s">
        <v>17900</v>
      </c>
      <c r="R131" s="11" t="s">
        <v>17900</v>
      </c>
      <c r="S131" s="11" t="s">
        <v>17750</v>
      </c>
    </row>
    <row r="132" spans="1:19" x14ac:dyDescent="0.2">
      <c r="A132" s="11" t="s">
        <v>18694</v>
      </c>
      <c r="B132" s="9" t="s">
        <v>18695</v>
      </c>
      <c r="C132" s="9" t="s">
        <v>18696</v>
      </c>
      <c r="D132" s="9" t="s">
        <v>18697</v>
      </c>
      <c r="E132" s="9" t="s">
        <v>17740</v>
      </c>
      <c r="F132" s="9" t="s">
        <v>17741</v>
      </c>
      <c r="G132" s="9" t="s">
        <v>17740</v>
      </c>
      <c r="H132" s="11" t="s">
        <v>4408</v>
      </c>
      <c r="I132" s="11" t="s">
        <v>4407</v>
      </c>
      <c r="J132" s="11" t="s">
        <v>4407</v>
      </c>
      <c r="K132" s="9" t="s">
        <v>18698</v>
      </c>
      <c r="L132" s="9" t="s">
        <v>18001</v>
      </c>
      <c r="M132" s="9" t="s">
        <v>18699</v>
      </c>
      <c r="N132" s="9" t="s">
        <v>17746</v>
      </c>
      <c r="O132" s="9" t="s">
        <v>17779</v>
      </c>
      <c r="P132" s="9" t="s">
        <v>17748</v>
      </c>
      <c r="Q132" s="11" t="s">
        <v>18364</v>
      </c>
      <c r="R132" s="11" t="s">
        <v>18364</v>
      </c>
      <c r="S132" s="11" t="s">
        <v>17750</v>
      </c>
    </row>
    <row r="133" spans="1:19" x14ac:dyDescent="0.2">
      <c r="A133" s="11" t="s">
        <v>18700</v>
      </c>
      <c r="B133" s="9" t="s">
        <v>18701</v>
      </c>
      <c r="C133" s="9" t="s">
        <v>18702</v>
      </c>
      <c r="D133" s="9" t="s">
        <v>18703</v>
      </c>
      <c r="E133" s="9" t="s">
        <v>17740</v>
      </c>
      <c r="F133" s="9" t="s">
        <v>18704</v>
      </c>
      <c r="G133" s="9" t="s">
        <v>17740</v>
      </c>
      <c r="H133" s="11" t="s">
        <v>18705</v>
      </c>
      <c r="I133" s="11" t="s">
        <v>18706</v>
      </c>
      <c r="J133" s="11" t="s">
        <v>18706</v>
      </c>
      <c r="K133" s="9" t="s">
        <v>17758</v>
      </c>
      <c r="L133" s="9" t="s">
        <v>17759</v>
      </c>
      <c r="M133" s="9" t="s">
        <v>17760</v>
      </c>
      <c r="N133" s="9" t="s">
        <v>17746</v>
      </c>
      <c r="O133" s="9" t="s">
        <v>18707</v>
      </c>
      <c r="P133" s="9" t="s">
        <v>17748</v>
      </c>
      <c r="Q133" s="11" t="s">
        <v>17762</v>
      </c>
      <c r="R133" s="11" t="s">
        <v>17762</v>
      </c>
      <c r="S133" s="11" t="s">
        <v>17750</v>
      </c>
    </row>
    <row r="134" spans="1:19" x14ac:dyDescent="0.2">
      <c r="A134" s="11" t="s">
        <v>18708</v>
      </c>
      <c r="B134" s="9" t="s">
        <v>18709</v>
      </c>
      <c r="C134" s="9" t="s">
        <v>18710</v>
      </c>
      <c r="D134" s="9" t="s">
        <v>18711</v>
      </c>
      <c r="E134" s="9" t="s">
        <v>17740</v>
      </c>
      <c r="F134" s="9" t="s">
        <v>17741</v>
      </c>
      <c r="G134" s="9" t="s">
        <v>17740</v>
      </c>
      <c r="H134" s="11" t="s">
        <v>16477</v>
      </c>
      <c r="I134" s="11" t="s">
        <v>16476</v>
      </c>
      <c r="J134" s="11" t="s">
        <v>16476</v>
      </c>
      <c r="K134" s="9" t="s">
        <v>18712</v>
      </c>
      <c r="L134" s="9" t="s">
        <v>18158</v>
      </c>
      <c r="M134" s="9" t="s">
        <v>17769</v>
      </c>
      <c r="N134" s="9" t="s">
        <v>17746</v>
      </c>
      <c r="O134" s="9" t="s">
        <v>18713</v>
      </c>
      <c r="P134" s="9" t="s">
        <v>17748</v>
      </c>
      <c r="Q134" s="11" t="s">
        <v>17923</v>
      </c>
      <c r="R134" s="11" t="s">
        <v>17923</v>
      </c>
      <c r="S134" s="11" t="s">
        <v>17750</v>
      </c>
    </row>
    <row r="135" spans="1:19" x14ac:dyDescent="0.2">
      <c r="A135" s="11" t="s">
        <v>18714</v>
      </c>
      <c r="B135" s="9" t="s">
        <v>18715</v>
      </c>
      <c r="C135" s="9" t="s">
        <v>18716</v>
      </c>
      <c r="D135" s="9" t="s">
        <v>18717</v>
      </c>
      <c r="E135" s="9" t="s">
        <v>17740</v>
      </c>
      <c r="F135" s="9" t="s">
        <v>17741</v>
      </c>
      <c r="G135" s="9" t="s">
        <v>17740</v>
      </c>
      <c r="H135" s="11" t="s">
        <v>18718</v>
      </c>
      <c r="I135" s="11" t="s">
        <v>18719</v>
      </c>
      <c r="J135" s="11" t="s">
        <v>18719</v>
      </c>
      <c r="K135" s="9" t="s">
        <v>18712</v>
      </c>
      <c r="L135" s="9" t="s">
        <v>18158</v>
      </c>
      <c r="M135" s="9" t="s">
        <v>18720</v>
      </c>
      <c r="N135" s="9" t="s">
        <v>17746</v>
      </c>
      <c r="O135" s="9" t="s">
        <v>18721</v>
      </c>
      <c r="P135" s="9" t="s">
        <v>17748</v>
      </c>
      <c r="Q135" s="11" t="s">
        <v>17819</v>
      </c>
      <c r="R135" s="11" t="s">
        <v>17819</v>
      </c>
      <c r="S135" s="11" t="s">
        <v>17750</v>
      </c>
    </row>
    <row r="136" spans="1:19" x14ac:dyDescent="0.2">
      <c r="A136" s="11" t="s">
        <v>18722</v>
      </c>
      <c r="B136" s="9" t="s">
        <v>18723</v>
      </c>
      <c r="C136" s="9" t="s">
        <v>18724</v>
      </c>
      <c r="D136" s="9" t="s">
        <v>18725</v>
      </c>
      <c r="E136" s="9" t="s">
        <v>17740</v>
      </c>
      <c r="F136" s="9" t="s">
        <v>17741</v>
      </c>
      <c r="G136" s="9" t="s">
        <v>17740</v>
      </c>
      <c r="H136" s="11" t="s">
        <v>17741</v>
      </c>
      <c r="I136" s="11" t="s">
        <v>18726</v>
      </c>
      <c r="J136" s="11" t="s">
        <v>18726</v>
      </c>
      <c r="K136" s="9" t="s">
        <v>18727</v>
      </c>
      <c r="L136" s="9" t="s">
        <v>17759</v>
      </c>
      <c r="M136" s="9" t="s">
        <v>18728</v>
      </c>
      <c r="N136" s="9" t="s">
        <v>17746</v>
      </c>
      <c r="O136" s="9" t="s">
        <v>3176</v>
      </c>
      <c r="P136" s="9" t="s">
        <v>17748</v>
      </c>
      <c r="Q136" s="11" t="s">
        <v>17771</v>
      </c>
      <c r="R136" s="11" t="s">
        <v>17771</v>
      </c>
      <c r="S136" s="11" t="s">
        <v>17750</v>
      </c>
    </row>
    <row r="137" spans="1:19" x14ac:dyDescent="0.2">
      <c r="A137" s="11" t="s">
        <v>18729</v>
      </c>
      <c r="B137" s="9" t="s">
        <v>18730</v>
      </c>
      <c r="C137" s="9" t="s">
        <v>18731</v>
      </c>
      <c r="D137" s="9" t="s">
        <v>18732</v>
      </c>
      <c r="E137" s="9" t="s">
        <v>17740</v>
      </c>
      <c r="F137" s="9" t="s">
        <v>17741</v>
      </c>
      <c r="G137" s="9" t="s">
        <v>17740</v>
      </c>
      <c r="H137" s="11" t="s">
        <v>10381</v>
      </c>
      <c r="I137" s="11" t="s">
        <v>10380</v>
      </c>
      <c r="J137" s="11" t="s">
        <v>10380</v>
      </c>
      <c r="K137" s="9" t="s">
        <v>17758</v>
      </c>
      <c r="L137" s="9" t="s">
        <v>17759</v>
      </c>
      <c r="M137" s="9" t="s">
        <v>17769</v>
      </c>
      <c r="N137" s="9" t="s">
        <v>17746</v>
      </c>
      <c r="O137" s="9" t="s">
        <v>18733</v>
      </c>
      <c r="P137" s="9" t="s">
        <v>17748</v>
      </c>
      <c r="Q137" s="11" t="s">
        <v>17808</v>
      </c>
      <c r="R137" s="11" t="s">
        <v>17808</v>
      </c>
      <c r="S137" s="11" t="s">
        <v>17750</v>
      </c>
    </row>
    <row r="138" spans="1:19" x14ac:dyDescent="0.2">
      <c r="A138" s="11" t="s">
        <v>18734</v>
      </c>
      <c r="B138" s="9" t="s">
        <v>18735</v>
      </c>
      <c r="C138" s="9" t="s">
        <v>18736</v>
      </c>
      <c r="D138" s="9" t="s">
        <v>18737</v>
      </c>
      <c r="E138" s="9" t="s">
        <v>17740</v>
      </c>
      <c r="F138" s="9" t="s">
        <v>18738</v>
      </c>
      <c r="G138" s="9" t="s">
        <v>17740</v>
      </c>
      <c r="H138" s="11" t="s">
        <v>17741</v>
      </c>
      <c r="I138" s="11" t="s">
        <v>18739</v>
      </c>
      <c r="J138" s="11" t="s">
        <v>18739</v>
      </c>
      <c r="K138" s="9" t="s">
        <v>167</v>
      </c>
      <c r="L138" s="9" t="s">
        <v>18158</v>
      </c>
      <c r="M138" s="9" t="s">
        <v>17942</v>
      </c>
      <c r="N138" s="9" t="s">
        <v>17746</v>
      </c>
      <c r="O138" s="9" t="s">
        <v>18740</v>
      </c>
      <c r="P138" s="9" t="s">
        <v>17748</v>
      </c>
      <c r="Q138" s="11" t="s">
        <v>18243</v>
      </c>
      <c r="R138" s="11" t="s">
        <v>18243</v>
      </c>
      <c r="S138" s="11" t="s">
        <v>17750</v>
      </c>
    </row>
    <row r="139" spans="1:19" x14ac:dyDescent="0.2">
      <c r="A139" s="11" t="s">
        <v>18741</v>
      </c>
      <c r="B139" s="9" t="s">
        <v>18742</v>
      </c>
      <c r="C139" s="9" t="s">
        <v>18743</v>
      </c>
      <c r="D139" s="9" t="s">
        <v>18744</v>
      </c>
      <c r="E139" s="9" t="s">
        <v>17740</v>
      </c>
      <c r="F139" s="9" t="s">
        <v>17741</v>
      </c>
      <c r="G139" s="9" t="s">
        <v>17740</v>
      </c>
      <c r="H139" s="11" t="s">
        <v>17741</v>
      </c>
      <c r="I139" s="11" t="s">
        <v>151</v>
      </c>
      <c r="J139" s="11" t="s">
        <v>151</v>
      </c>
      <c r="K139" s="9" t="s">
        <v>601</v>
      </c>
      <c r="L139" s="9" t="s">
        <v>17759</v>
      </c>
      <c r="M139" s="9" t="s">
        <v>18745</v>
      </c>
      <c r="N139" s="9" t="s">
        <v>17746</v>
      </c>
      <c r="O139" s="9" t="s">
        <v>18746</v>
      </c>
      <c r="P139" s="9" t="s">
        <v>17748</v>
      </c>
      <c r="Q139" s="11" t="s">
        <v>17943</v>
      </c>
      <c r="R139" s="11" t="s">
        <v>17943</v>
      </c>
      <c r="S139" s="11" t="s">
        <v>17750</v>
      </c>
    </row>
    <row r="140" spans="1:19" x14ac:dyDescent="0.2">
      <c r="A140" s="11" t="s">
        <v>18747</v>
      </c>
      <c r="B140" s="9" t="s">
        <v>18748</v>
      </c>
      <c r="C140" s="9" t="s">
        <v>18749</v>
      </c>
      <c r="D140" s="9" t="s">
        <v>18750</v>
      </c>
      <c r="E140" s="9" t="s">
        <v>17740</v>
      </c>
      <c r="F140" s="9" t="s">
        <v>18751</v>
      </c>
      <c r="G140" s="9" t="s">
        <v>17740</v>
      </c>
      <c r="H140" s="11" t="s">
        <v>18752</v>
      </c>
      <c r="I140" s="11" t="s">
        <v>18753</v>
      </c>
      <c r="J140" s="11" t="s">
        <v>18753</v>
      </c>
      <c r="K140" s="9" t="s">
        <v>167</v>
      </c>
      <c r="L140" s="9" t="s">
        <v>18158</v>
      </c>
      <c r="M140" s="9" t="s">
        <v>17942</v>
      </c>
      <c r="N140" s="9" t="s">
        <v>17746</v>
      </c>
      <c r="O140" s="9" t="s">
        <v>18754</v>
      </c>
      <c r="P140" s="9" t="s">
        <v>17748</v>
      </c>
      <c r="Q140" s="11" t="s">
        <v>17978</v>
      </c>
      <c r="R140" s="11" t="s">
        <v>17978</v>
      </c>
      <c r="S140" s="11" t="s">
        <v>17750</v>
      </c>
    </row>
    <row r="141" spans="1:19" x14ac:dyDescent="0.2">
      <c r="A141" s="11" t="s">
        <v>18755</v>
      </c>
      <c r="B141" s="9" t="s">
        <v>18756</v>
      </c>
      <c r="C141" s="9" t="s">
        <v>18757</v>
      </c>
      <c r="D141" s="9" t="s">
        <v>18758</v>
      </c>
      <c r="E141" s="9" t="s">
        <v>17748</v>
      </c>
      <c r="F141" s="9" t="s">
        <v>18759</v>
      </c>
      <c r="G141" s="9" t="s">
        <v>17740</v>
      </c>
      <c r="H141" s="11" t="s">
        <v>18760</v>
      </c>
      <c r="I141" s="11" t="s">
        <v>18761</v>
      </c>
      <c r="J141" s="11" t="s">
        <v>18761</v>
      </c>
      <c r="K141" s="9" t="s">
        <v>91</v>
      </c>
      <c r="L141" s="9" t="s">
        <v>17744</v>
      </c>
      <c r="M141" s="9" t="s">
        <v>17992</v>
      </c>
      <c r="N141" s="9" t="s">
        <v>17746</v>
      </c>
      <c r="O141" s="9" t="s">
        <v>18762</v>
      </c>
      <c r="P141" s="9" t="s">
        <v>17748</v>
      </c>
      <c r="Q141" s="11" t="s">
        <v>17923</v>
      </c>
      <c r="R141" s="11" t="s">
        <v>17923</v>
      </c>
      <c r="S141" s="11" t="s">
        <v>17750</v>
      </c>
    </row>
    <row r="142" spans="1:19" x14ac:dyDescent="0.2">
      <c r="A142" s="11" t="s">
        <v>18763</v>
      </c>
      <c r="B142" s="9" t="s">
        <v>18764</v>
      </c>
      <c r="C142" s="9" t="s">
        <v>18765</v>
      </c>
      <c r="D142" s="9" t="s">
        <v>18766</v>
      </c>
      <c r="E142" s="9" t="s">
        <v>17740</v>
      </c>
      <c r="F142" s="9" t="s">
        <v>17741</v>
      </c>
      <c r="G142" s="9" t="s">
        <v>17740</v>
      </c>
      <c r="H142" s="11" t="s">
        <v>17741</v>
      </c>
      <c r="I142" s="11" t="s">
        <v>5046</v>
      </c>
      <c r="J142" s="11" t="s">
        <v>5046</v>
      </c>
      <c r="K142" s="9" t="s">
        <v>91</v>
      </c>
      <c r="L142" s="9" t="s">
        <v>17759</v>
      </c>
      <c r="M142" s="9" t="s">
        <v>18745</v>
      </c>
      <c r="N142" s="9" t="s">
        <v>17746</v>
      </c>
      <c r="O142" s="9" t="s">
        <v>18363</v>
      </c>
      <c r="P142" s="9" t="s">
        <v>17748</v>
      </c>
      <c r="Q142" s="11" t="s">
        <v>18470</v>
      </c>
      <c r="R142" s="11" t="s">
        <v>18470</v>
      </c>
      <c r="S142" s="11" t="s">
        <v>17750</v>
      </c>
    </row>
    <row r="143" spans="1:19" x14ac:dyDescent="0.2">
      <c r="A143" s="11" t="s">
        <v>18767</v>
      </c>
      <c r="B143" s="9" t="s">
        <v>18768</v>
      </c>
      <c r="C143" s="9" t="s">
        <v>18769</v>
      </c>
      <c r="D143" s="9" t="s">
        <v>18770</v>
      </c>
      <c r="E143" s="9" t="s">
        <v>17740</v>
      </c>
      <c r="F143" s="9" t="s">
        <v>18771</v>
      </c>
      <c r="G143" s="9" t="s">
        <v>17740</v>
      </c>
      <c r="H143" s="11" t="s">
        <v>17741</v>
      </c>
      <c r="I143" s="11" t="s">
        <v>5048</v>
      </c>
      <c r="J143" s="11" t="s">
        <v>5048</v>
      </c>
      <c r="K143" s="9" t="s">
        <v>601</v>
      </c>
      <c r="L143" s="9" t="s">
        <v>17759</v>
      </c>
      <c r="M143" s="9" t="s">
        <v>18745</v>
      </c>
      <c r="N143" s="9" t="s">
        <v>17746</v>
      </c>
      <c r="O143" s="9" t="s">
        <v>18772</v>
      </c>
      <c r="P143" s="9" t="s">
        <v>17748</v>
      </c>
      <c r="Q143" s="11" t="s">
        <v>17867</v>
      </c>
      <c r="R143" s="11" t="s">
        <v>17867</v>
      </c>
      <c r="S143" s="11" t="s">
        <v>17750</v>
      </c>
    </row>
    <row r="144" spans="1:19" x14ac:dyDescent="0.2">
      <c r="A144" s="11" t="s">
        <v>18773</v>
      </c>
      <c r="B144" s="9" t="s">
        <v>18774</v>
      </c>
      <c r="C144" s="9" t="s">
        <v>18775</v>
      </c>
      <c r="D144" s="9" t="s">
        <v>18776</v>
      </c>
      <c r="E144" s="9" t="s">
        <v>17740</v>
      </c>
      <c r="F144" s="9" t="s">
        <v>17741</v>
      </c>
      <c r="G144" s="9" t="s">
        <v>17740</v>
      </c>
      <c r="H144" s="11" t="s">
        <v>17741</v>
      </c>
      <c r="I144" s="11" t="s">
        <v>18777</v>
      </c>
      <c r="J144" s="11" t="s">
        <v>18777</v>
      </c>
      <c r="K144" s="9" t="s">
        <v>601</v>
      </c>
      <c r="L144" s="9" t="s">
        <v>17759</v>
      </c>
      <c r="M144" s="9" t="s">
        <v>17942</v>
      </c>
      <c r="N144" s="9" t="s">
        <v>17746</v>
      </c>
      <c r="O144" s="9" t="s">
        <v>18778</v>
      </c>
      <c r="P144" s="9" t="s">
        <v>17748</v>
      </c>
      <c r="Q144" s="11" t="s">
        <v>17849</v>
      </c>
      <c r="R144" s="11" t="s">
        <v>17849</v>
      </c>
      <c r="S144" s="11" t="s">
        <v>17750</v>
      </c>
    </row>
    <row r="145" spans="1:19" x14ac:dyDescent="0.2">
      <c r="A145" s="11" t="s">
        <v>18779</v>
      </c>
      <c r="B145" s="9" t="s">
        <v>18780</v>
      </c>
      <c r="C145" s="9" t="s">
        <v>18781</v>
      </c>
      <c r="D145" s="9" t="s">
        <v>18782</v>
      </c>
      <c r="E145" s="9" t="s">
        <v>17740</v>
      </c>
      <c r="F145" s="9" t="s">
        <v>17741</v>
      </c>
      <c r="G145" s="9" t="s">
        <v>17740</v>
      </c>
      <c r="H145" s="11" t="s">
        <v>17741</v>
      </c>
      <c r="I145" s="11" t="s">
        <v>18783</v>
      </c>
      <c r="J145" s="11" t="s">
        <v>18783</v>
      </c>
      <c r="K145" s="9" t="s">
        <v>18784</v>
      </c>
      <c r="L145" s="9" t="s">
        <v>17759</v>
      </c>
      <c r="M145" s="9" t="s">
        <v>18745</v>
      </c>
      <c r="N145" s="9" t="s">
        <v>17746</v>
      </c>
      <c r="O145" s="9" t="s">
        <v>18088</v>
      </c>
      <c r="P145" s="9" t="s">
        <v>17748</v>
      </c>
      <c r="Q145" s="11" t="s">
        <v>18072</v>
      </c>
      <c r="R145" s="11" t="s">
        <v>18072</v>
      </c>
      <c r="S145" s="11" t="s">
        <v>17750</v>
      </c>
    </row>
    <row r="146" spans="1:19" x14ac:dyDescent="0.2">
      <c r="A146" s="11" t="s">
        <v>18785</v>
      </c>
      <c r="B146" s="9" t="s">
        <v>18786</v>
      </c>
      <c r="C146" s="9" t="s">
        <v>18787</v>
      </c>
      <c r="D146" s="9" t="s">
        <v>18788</v>
      </c>
      <c r="E146" s="9" t="s">
        <v>17748</v>
      </c>
      <c r="F146" s="9" t="s">
        <v>18789</v>
      </c>
      <c r="G146" s="9" t="s">
        <v>17740</v>
      </c>
      <c r="H146" s="11" t="s">
        <v>10162</v>
      </c>
      <c r="I146" s="11" t="s">
        <v>10161</v>
      </c>
      <c r="J146" s="11" t="s">
        <v>10161</v>
      </c>
      <c r="K146" s="9" t="s">
        <v>303</v>
      </c>
      <c r="L146" s="9" t="s">
        <v>17759</v>
      </c>
      <c r="M146" s="9" t="s">
        <v>18790</v>
      </c>
      <c r="N146" s="9" t="s">
        <v>17746</v>
      </c>
      <c r="O146" s="9" t="s">
        <v>7269</v>
      </c>
      <c r="P146" s="9" t="s">
        <v>17748</v>
      </c>
      <c r="Q146" s="11" t="s">
        <v>17780</v>
      </c>
      <c r="R146" s="11" t="s">
        <v>17780</v>
      </c>
      <c r="S146" s="11" t="s">
        <v>17750</v>
      </c>
    </row>
    <row r="147" spans="1:19" x14ac:dyDescent="0.2">
      <c r="A147" s="11" t="s">
        <v>18791</v>
      </c>
      <c r="B147" s="9" t="s">
        <v>18792</v>
      </c>
      <c r="C147" s="9" t="s">
        <v>18793</v>
      </c>
      <c r="D147" s="9" t="s">
        <v>18794</v>
      </c>
      <c r="E147" s="9" t="s">
        <v>17740</v>
      </c>
      <c r="F147" s="9" t="s">
        <v>18795</v>
      </c>
      <c r="G147" s="9" t="s">
        <v>17740</v>
      </c>
      <c r="H147" s="11" t="s">
        <v>17741</v>
      </c>
      <c r="I147" s="11" t="s">
        <v>15598</v>
      </c>
      <c r="J147" s="11" t="s">
        <v>15598</v>
      </c>
      <c r="K147" s="9" t="s">
        <v>18796</v>
      </c>
      <c r="L147" s="9" t="s">
        <v>17967</v>
      </c>
      <c r="M147" s="9" t="s">
        <v>18797</v>
      </c>
      <c r="N147" s="9" t="s">
        <v>17746</v>
      </c>
      <c r="O147" s="9" t="s">
        <v>17993</v>
      </c>
      <c r="P147" s="9" t="s">
        <v>17748</v>
      </c>
      <c r="Q147" s="11" t="s">
        <v>18798</v>
      </c>
      <c r="R147" s="11" t="s">
        <v>18798</v>
      </c>
      <c r="S147" s="11" t="s">
        <v>17750</v>
      </c>
    </row>
    <row r="148" spans="1:19" x14ac:dyDescent="0.2">
      <c r="A148" s="11" t="s">
        <v>18799</v>
      </c>
      <c r="B148" s="9" t="s">
        <v>18800</v>
      </c>
      <c r="C148" s="9" t="s">
        <v>18801</v>
      </c>
      <c r="D148" s="9" t="s">
        <v>18802</v>
      </c>
      <c r="E148" s="9" t="s">
        <v>17740</v>
      </c>
      <c r="F148" s="9" t="s">
        <v>17741</v>
      </c>
      <c r="G148" s="9" t="s">
        <v>17740</v>
      </c>
      <c r="H148" s="11" t="s">
        <v>17741</v>
      </c>
      <c r="I148" s="11" t="s">
        <v>18803</v>
      </c>
      <c r="J148" s="11" t="s">
        <v>18803</v>
      </c>
      <c r="K148" s="9" t="s">
        <v>601</v>
      </c>
      <c r="L148" s="9" t="s">
        <v>17759</v>
      </c>
      <c r="M148" s="9" t="s">
        <v>18745</v>
      </c>
      <c r="N148" s="9" t="s">
        <v>17746</v>
      </c>
      <c r="O148" s="9" t="s">
        <v>18804</v>
      </c>
      <c r="P148" s="9" t="s">
        <v>17748</v>
      </c>
      <c r="Q148" s="11" t="s">
        <v>18805</v>
      </c>
      <c r="R148" s="11" t="s">
        <v>18805</v>
      </c>
      <c r="S148" s="11" t="s">
        <v>17750</v>
      </c>
    </row>
    <row r="149" spans="1:19" x14ac:dyDescent="0.2">
      <c r="A149" s="11" t="s">
        <v>18806</v>
      </c>
      <c r="B149" s="9" t="s">
        <v>18807</v>
      </c>
      <c r="C149" s="9" t="s">
        <v>18808</v>
      </c>
      <c r="D149" s="9" t="s">
        <v>18809</v>
      </c>
      <c r="E149" s="9" t="s">
        <v>17740</v>
      </c>
      <c r="F149" s="9" t="s">
        <v>17741</v>
      </c>
      <c r="G149" s="9" t="s">
        <v>17740</v>
      </c>
      <c r="H149" s="11" t="s">
        <v>18810</v>
      </c>
      <c r="I149" s="11" t="s">
        <v>18811</v>
      </c>
      <c r="J149" s="11" t="s">
        <v>18811</v>
      </c>
      <c r="K149" s="9" t="s">
        <v>91</v>
      </c>
      <c r="L149" s="9" t="s">
        <v>18001</v>
      </c>
      <c r="M149" s="9" t="s">
        <v>18812</v>
      </c>
      <c r="N149" s="9" t="s">
        <v>17746</v>
      </c>
      <c r="O149" s="9" t="s">
        <v>17882</v>
      </c>
      <c r="P149" s="9" t="s">
        <v>17748</v>
      </c>
      <c r="Q149" s="11" t="s">
        <v>18813</v>
      </c>
      <c r="R149" s="11" t="s">
        <v>18813</v>
      </c>
      <c r="S149" s="11" t="s">
        <v>17750</v>
      </c>
    </row>
    <row r="150" spans="1:19" x14ac:dyDescent="0.2">
      <c r="A150" s="11" t="s">
        <v>18814</v>
      </c>
      <c r="B150" s="9" t="s">
        <v>18815</v>
      </c>
      <c r="C150" s="9" t="s">
        <v>18816</v>
      </c>
      <c r="D150" s="9" t="s">
        <v>18817</v>
      </c>
      <c r="E150" s="9" t="s">
        <v>17740</v>
      </c>
      <c r="F150" s="9" t="s">
        <v>17741</v>
      </c>
      <c r="G150" s="9" t="s">
        <v>17740</v>
      </c>
      <c r="H150" s="11" t="s">
        <v>18818</v>
      </c>
      <c r="I150" s="11" t="s">
        <v>18819</v>
      </c>
      <c r="J150" s="11" t="s">
        <v>18819</v>
      </c>
      <c r="K150" s="9" t="s">
        <v>18820</v>
      </c>
      <c r="L150" s="9" t="s">
        <v>17759</v>
      </c>
      <c r="M150" s="9" t="s">
        <v>17942</v>
      </c>
      <c r="N150" s="9" t="s">
        <v>17746</v>
      </c>
      <c r="O150" s="9" t="s">
        <v>18340</v>
      </c>
      <c r="P150" s="9" t="s">
        <v>17748</v>
      </c>
      <c r="Q150" s="11" t="s">
        <v>18364</v>
      </c>
      <c r="R150" s="11" t="s">
        <v>18364</v>
      </c>
      <c r="S150" s="11" t="s">
        <v>17750</v>
      </c>
    </row>
    <row r="151" spans="1:19" x14ac:dyDescent="0.2">
      <c r="A151" s="11" t="s">
        <v>18821</v>
      </c>
      <c r="B151" s="9" t="s">
        <v>18822</v>
      </c>
      <c r="C151" s="9" t="s">
        <v>18823</v>
      </c>
      <c r="D151" s="9" t="s">
        <v>18824</v>
      </c>
      <c r="E151" s="9" t="s">
        <v>17740</v>
      </c>
      <c r="F151" s="9" t="s">
        <v>18825</v>
      </c>
      <c r="G151" s="9" t="s">
        <v>17740</v>
      </c>
      <c r="H151" s="11" t="s">
        <v>17741</v>
      </c>
      <c r="I151" s="11" t="s">
        <v>18826</v>
      </c>
      <c r="J151" s="11" t="s">
        <v>18826</v>
      </c>
      <c r="K151" s="9" t="s">
        <v>18827</v>
      </c>
      <c r="L151" s="9" t="s">
        <v>17759</v>
      </c>
      <c r="M151" s="9" t="s">
        <v>17942</v>
      </c>
      <c r="N151" s="9" t="s">
        <v>17746</v>
      </c>
      <c r="O151" s="9" t="s">
        <v>18762</v>
      </c>
      <c r="P151" s="9" t="s">
        <v>17748</v>
      </c>
      <c r="Q151" s="11" t="s">
        <v>18813</v>
      </c>
      <c r="R151" s="11" t="s">
        <v>18813</v>
      </c>
      <c r="S151" s="11" t="s">
        <v>17750</v>
      </c>
    </row>
    <row r="152" spans="1:19" x14ac:dyDescent="0.2">
      <c r="A152" s="11" t="s">
        <v>18828</v>
      </c>
      <c r="B152" s="9" t="s">
        <v>18829</v>
      </c>
      <c r="C152" s="9" t="s">
        <v>18830</v>
      </c>
      <c r="D152" s="9" t="s">
        <v>18831</v>
      </c>
      <c r="E152" s="9" t="s">
        <v>17740</v>
      </c>
      <c r="F152" s="9" t="s">
        <v>17741</v>
      </c>
      <c r="G152" s="9" t="s">
        <v>17740</v>
      </c>
      <c r="H152" s="11" t="s">
        <v>17741</v>
      </c>
      <c r="I152" s="11" t="s">
        <v>5050</v>
      </c>
      <c r="J152" s="11" t="s">
        <v>5050</v>
      </c>
      <c r="K152" s="9" t="s">
        <v>18832</v>
      </c>
      <c r="L152" s="9" t="s">
        <v>17759</v>
      </c>
      <c r="M152" s="9" t="s">
        <v>17942</v>
      </c>
      <c r="N152" s="9" t="s">
        <v>17746</v>
      </c>
      <c r="O152" s="9" t="s">
        <v>18833</v>
      </c>
      <c r="P152" s="9" t="s">
        <v>17748</v>
      </c>
      <c r="Q152" s="11" t="s">
        <v>18813</v>
      </c>
      <c r="R152" s="11" t="s">
        <v>18813</v>
      </c>
      <c r="S152" s="11" t="s">
        <v>17750</v>
      </c>
    </row>
    <row r="153" spans="1:19" x14ac:dyDescent="0.2">
      <c r="A153" s="11" t="s">
        <v>18834</v>
      </c>
      <c r="B153" s="9" t="s">
        <v>18835</v>
      </c>
      <c r="C153" s="9" t="s">
        <v>18836</v>
      </c>
      <c r="D153" s="9" t="s">
        <v>18837</v>
      </c>
      <c r="E153" s="9" t="s">
        <v>17740</v>
      </c>
      <c r="F153" s="9" t="s">
        <v>18838</v>
      </c>
      <c r="G153" s="9" t="s">
        <v>17740</v>
      </c>
      <c r="H153" s="11" t="s">
        <v>17741</v>
      </c>
      <c r="I153" s="11" t="s">
        <v>18839</v>
      </c>
      <c r="J153" s="11" t="s">
        <v>18839</v>
      </c>
      <c r="K153" s="9" t="s">
        <v>601</v>
      </c>
      <c r="L153" s="9" t="s">
        <v>17759</v>
      </c>
      <c r="M153" s="9" t="s">
        <v>18745</v>
      </c>
      <c r="N153" s="9" t="s">
        <v>17746</v>
      </c>
      <c r="O153" s="9" t="s">
        <v>18543</v>
      </c>
      <c r="P153" s="9" t="s">
        <v>17748</v>
      </c>
      <c r="Q153" s="11" t="s">
        <v>17819</v>
      </c>
      <c r="R153" s="11" t="s">
        <v>17819</v>
      </c>
      <c r="S153" s="11" t="s">
        <v>17750</v>
      </c>
    </row>
    <row r="154" spans="1:19" x14ac:dyDescent="0.2">
      <c r="A154" s="11" t="s">
        <v>18840</v>
      </c>
      <c r="B154" s="9" t="s">
        <v>18841</v>
      </c>
      <c r="C154" s="9" t="s">
        <v>18842</v>
      </c>
      <c r="D154" s="9" t="s">
        <v>18843</v>
      </c>
      <c r="E154" s="9" t="s">
        <v>17740</v>
      </c>
      <c r="F154" s="9" t="s">
        <v>18844</v>
      </c>
      <c r="G154" s="9" t="s">
        <v>17740</v>
      </c>
      <c r="H154" s="11" t="s">
        <v>17741</v>
      </c>
      <c r="I154" s="11" t="s">
        <v>18845</v>
      </c>
      <c r="J154" s="11" t="s">
        <v>18845</v>
      </c>
      <c r="K154" s="9" t="s">
        <v>601</v>
      </c>
      <c r="L154" s="9" t="s">
        <v>17759</v>
      </c>
      <c r="M154" s="9" t="s">
        <v>18745</v>
      </c>
      <c r="N154" s="9" t="s">
        <v>17746</v>
      </c>
      <c r="O154" s="9" t="s">
        <v>18846</v>
      </c>
      <c r="P154" s="9" t="s">
        <v>17748</v>
      </c>
      <c r="Q154" s="11" t="s">
        <v>18847</v>
      </c>
      <c r="R154" s="11" t="s">
        <v>18847</v>
      </c>
      <c r="S154" s="11" t="s">
        <v>17750</v>
      </c>
    </row>
    <row r="155" spans="1:19" x14ac:dyDescent="0.2">
      <c r="A155" s="11" t="s">
        <v>18848</v>
      </c>
      <c r="B155" s="9" t="s">
        <v>18849</v>
      </c>
      <c r="C155" s="9" t="s">
        <v>18850</v>
      </c>
      <c r="D155" s="9" t="s">
        <v>18851</v>
      </c>
      <c r="E155" s="9" t="s">
        <v>17740</v>
      </c>
      <c r="F155" s="9" t="s">
        <v>17741</v>
      </c>
      <c r="G155" s="9" t="s">
        <v>17740</v>
      </c>
      <c r="H155" s="11" t="s">
        <v>17741</v>
      </c>
      <c r="I155" s="11" t="s">
        <v>18852</v>
      </c>
      <c r="J155" s="11" t="s">
        <v>18852</v>
      </c>
      <c r="K155" s="9" t="s">
        <v>18853</v>
      </c>
      <c r="L155" s="9" t="s">
        <v>18854</v>
      </c>
      <c r="M155" s="9" t="s">
        <v>17741</v>
      </c>
      <c r="N155" s="9" t="s">
        <v>17746</v>
      </c>
      <c r="O155" s="9" t="s">
        <v>18855</v>
      </c>
      <c r="P155" s="9" t="s">
        <v>17748</v>
      </c>
      <c r="Q155" s="11" t="s">
        <v>18856</v>
      </c>
      <c r="R155" s="11" t="s">
        <v>18856</v>
      </c>
      <c r="S155" s="11" t="s">
        <v>17750</v>
      </c>
    </row>
    <row r="156" spans="1:19" x14ac:dyDescent="0.2">
      <c r="A156" s="11" t="s">
        <v>18857</v>
      </c>
      <c r="B156" s="9" t="s">
        <v>18858</v>
      </c>
      <c r="C156" s="9" t="s">
        <v>18859</v>
      </c>
      <c r="D156" s="9" t="s">
        <v>18860</v>
      </c>
      <c r="E156" s="9" t="s">
        <v>17740</v>
      </c>
      <c r="F156" s="9" t="s">
        <v>17741</v>
      </c>
      <c r="G156" s="9" t="s">
        <v>17740</v>
      </c>
      <c r="H156" s="11" t="s">
        <v>17741</v>
      </c>
      <c r="I156" s="11" t="s">
        <v>18861</v>
      </c>
      <c r="J156" s="11" t="s">
        <v>18861</v>
      </c>
      <c r="K156" s="9" t="s">
        <v>18862</v>
      </c>
      <c r="L156" s="9" t="s">
        <v>18001</v>
      </c>
      <c r="M156" s="9" t="s">
        <v>18745</v>
      </c>
      <c r="N156" s="9" t="s">
        <v>17746</v>
      </c>
      <c r="O156" s="9" t="s">
        <v>17848</v>
      </c>
      <c r="P156" s="9" t="s">
        <v>17748</v>
      </c>
      <c r="Q156" s="11" t="s">
        <v>17784</v>
      </c>
      <c r="R156" s="11" t="s">
        <v>17784</v>
      </c>
      <c r="S156" s="11" t="s">
        <v>17750</v>
      </c>
    </row>
    <row r="157" spans="1:19" x14ac:dyDescent="0.2">
      <c r="A157" s="11" t="s">
        <v>18863</v>
      </c>
      <c r="B157" s="9" t="s">
        <v>18864</v>
      </c>
      <c r="C157" s="9" t="s">
        <v>18865</v>
      </c>
      <c r="D157" s="9" t="s">
        <v>18866</v>
      </c>
      <c r="E157" s="9" t="s">
        <v>17748</v>
      </c>
      <c r="F157" s="9" t="s">
        <v>18867</v>
      </c>
      <c r="G157" s="9" t="s">
        <v>17740</v>
      </c>
      <c r="H157" s="11" t="s">
        <v>17741</v>
      </c>
      <c r="I157" s="11" t="s">
        <v>12049</v>
      </c>
      <c r="J157" s="11" t="s">
        <v>12049</v>
      </c>
      <c r="K157" s="9" t="s">
        <v>18868</v>
      </c>
      <c r="L157" s="9" t="s">
        <v>18001</v>
      </c>
      <c r="M157" s="9" t="s">
        <v>18745</v>
      </c>
      <c r="N157" s="9" t="s">
        <v>17746</v>
      </c>
      <c r="O157" s="9" t="s">
        <v>18869</v>
      </c>
      <c r="P157" s="9" t="s">
        <v>17748</v>
      </c>
      <c r="Q157" s="11" t="s">
        <v>18433</v>
      </c>
      <c r="R157" s="11" t="s">
        <v>18433</v>
      </c>
      <c r="S157" s="11" t="s">
        <v>17750</v>
      </c>
    </row>
    <row r="158" spans="1:19" x14ac:dyDescent="0.2">
      <c r="A158" s="11" t="s">
        <v>18870</v>
      </c>
      <c r="B158" s="9" t="s">
        <v>18871</v>
      </c>
      <c r="C158" s="9" t="s">
        <v>18872</v>
      </c>
      <c r="D158" s="9" t="s">
        <v>18873</v>
      </c>
      <c r="E158" s="9" t="s">
        <v>17740</v>
      </c>
      <c r="F158" s="9" t="s">
        <v>17741</v>
      </c>
      <c r="G158" s="9" t="s">
        <v>17740</v>
      </c>
      <c r="H158" s="11" t="s">
        <v>18874</v>
      </c>
      <c r="I158" s="11" t="s">
        <v>18875</v>
      </c>
      <c r="J158" s="11" t="s">
        <v>18875</v>
      </c>
      <c r="K158" s="9" t="s">
        <v>18876</v>
      </c>
      <c r="L158" s="9" t="s">
        <v>18001</v>
      </c>
      <c r="M158" s="9" t="s">
        <v>18170</v>
      </c>
      <c r="N158" s="9" t="s">
        <v>17746</v>
      </c>
      <c r="O158" s="9" t="s">
        <v>18877</v>
      </c>
      <c r="P158" s="9" t="s">
        <v>17748</v>
      </c>
      <c r="Q158" s="11" t="s">
        <v>18201</v>
      </c>
      <c r="R158" s="11" t="s">
        <v>18201</v>
      </c>
      <c r="S158" s="11" t="s">
        <v>17750</v>
      </c>
    </row>
    <row r="159" spans="1:19" x14ac:dyDescent="0.2">
      <c r="A159" s="11" t="s">
        <v>18878</v>
      </c>
      <c r="B159" s="9" t="s">
        <v>18879</v>
      </c>
      <c r="C159" s="9" t="s">
        <v>18880</v>
      </c>
      <c r="D159" s="9" t="s">
        <v>18881</v>
      </c>
      <c r="E159" s="9" t="s">
        <v>17740</v>
      </c>
      <c r="F159" s="9" t="s">
        <v>17741</v>
      </c>
      <c r="G159" s="9" t="s">
        <v>17740</v>
      </c>
      <c r="H159" s="11" t="s">
        <v>163</v>
      </c>
      <c r="I159" s="11" t="s">
        <v>162</v>
      </c>
      <c r="J159" s="11" t="s">
        <v>162</v>
      </c>
      <c r="K159" s="9" t="s">
        <v>601</v>
      </c>
      <c r="L159" s="9" t="s">
        <v>17759</v>
      </c>
      <c r="M159" s="9" t="s">
        <v>18745</v>
      </c>
      <c r="N159" s="9" t="s">
        <v>17746</v>
      </c>
      <c r="O159" s="9" t="s">
        <v>18882</v>
      </c>
      <c r="P159" s="9" t="s">
        <v>17748</v>
      </c>
      <c r="Q159" s="11" t="s">
        <v>18306</v>
      </c>
      <c r="R159" s="11" t="s">
        <v>18306</v>
      </c>
      <c r="S159" s="11" t="s">
        <v>17750</v>
      </c>
    </row>
    <row r="160" spans="1:19" x14ac:dyDescent="0.2">
      <c r="A160" s="11" t="s">
        <v>18883</v>
      </c>
      <c r="B160" s="9" t="s">
        <v>18884</v>
      </c>
      <c r="C160" s="9" t="s">
        <v>18885</v>
      </c>
      <c r="D160" s="9" t="s">
        <v>18886</v>
      </c>
      <c r="E160" s="9" t="s">
        <v>17740</v>
      </c>
      <c r="F160" s="9" t="s">
        <v>18887</v>
      </c>
      <c r="G160" s="9" t="s">
        <v>17740</v>
      </c>
      <c r="H160" s="11" t="s">
        <v>18888</v>
      </c>
      <c r="I160" s="11" t="s">
        <v>18889</v>
      </c>
      <c r="J160" s="11" t="s">
        <v>18889</v>
      </c>
      <c r="K160" s="9" t="s">
        <v>91</v>
      </c>
      <c r="L160" s="9" t="s">
        <v>18001</v>
      </c>
      <c r="M160" s="9" t="s">
        <v>18890</v>
      </c>
      <c r="N160" s="9" t="s">
        <v>17746</v>
      </c>
      <c r="O160" s="9" t="s">
        <v>18891</v>
      </c>
      <c r="P160" s="9" t="s">
        <v>17748</v>
      </c>
      <c r="Q160" s="11" t="s">
        <v>17784</v>
      </c>
      <c r="R160" s="11" t="s">
        <v>17784</v>
      </c>
      <c r="S160" s="11" t="s">
        <v>17750</v>
      </c>
    </row>
    <row r="161" spans="1:19" x14ac:dyDescent="0.2">
      <c r="A161" s="11" t="s">
        <v>18892</v>
      </c>
      <c r="B161" s="9" t="s">
        <v>18893</v>
      </c>
      <c r="C161" s="9" t="s">
        <v>18894</v>
      </c>
      <c r="D161" s="9" t="s">
        <v>18895</v>
      </c>
      <c r="E161" s="9" t="s">
        <v>17740</v>
      </c>
      <c r="F161" s="9" t="s">
        <v>17741</v>
      </c>
      <c r="G161" s="9" t="s">
        <v>17740</v>
      </c>
      <c r="H161" s="11" t="s">
        <v>17741</v>
      </c>
      <c r="I161" s="11" t="s">
        <v>18896</v>
      </c>
      <c r="J161" s="11" t="s">
        <v>18896</v>
      </c>
      <c r="K161" s="9" t="s">
        <v>601</v>
      </c>
      <c r="L161" s="9" t="s">
        <v>17759</v>
      </c>
      <c r="M161" s="9" t="s">
        <v>18745</v>
      </c>
      <c r="N161" s="9" t="s">
        <v>17746</v>
      </c>
      <c r="O161" s="9" t="s">
        <v>17977</v>
      </c>
      <c r="P161" s="9" t="s">
        <v>17748</v>
      </c>
      <c r="Q161" s="11" t="s">
        <v>17849</v>
      </c>
      <c r="R161" s="11" t="s">
        <v>17849</v>
      </c>
      <c r="S161" s="11" t="s">
        <v>17750</v>
      </c>
    </row>
    <row r="162" spans="1:19" x14ac:dyDescent="0.2">
      <c r="A162" s="11" t="s">
        <v>18897</v>
      </c>
      <c r="B162" s="9" t="s">
        <v>18898</v>
      </c>
      <c r="C162" s="9" t="s">
        <v>18899</v>
      </c>
      <c r="D162" s="9" t="s">
        <v>18900</v>
      </c>
      <c r="E162" s="9" t="s">
        <v>17748</v>
      </c>
      <c r="F162" s="9" t="s">
        <v>18901</v>
      </c>
      <c r="G162" s="9" t="s">
        <v>17740</v>
      </c>
      <c r="H162" s="11" t="s">
        <v>12955</v>
      </c>
      <c r="I162" s="11" t="s">
        <v>12954</v>
      </c>
      <c r="J162" s="11" t="s">
        <v>12954</v>
      </c>
      <c r="K162" s="9" t="s">
        <v>91</v>
      </c>
      <c r="L162" s="9" t="s">
        <v>18001</v>
      </c>
      <c r="M162" s="9" t="s">
        <v>18902</v>
      </c>
      <c r="N162" s="9" t="s">
        <v>17746</v>
      </c>
      <c r="O162" s="9" t="s">
        <v>17993</v>
      </c>
      <c r="P162" s="9" t="s">
        <v>17748</v>
      </c>
      <c r="Q162" s="11" t="s">
        <v>17762</v>
      </c>
      <c r="R162" s="11" t="s">
        <v>17762</v>
      </c>
      <c r="S162" s="11" t="s">
        <v>17750</v>
      </c>
    </row>
    <row r="163" spans="1:19" x14ac:dyDescent="0.2">
      <c r="A163" s="11" t="s">
        <v>18903</v>
      </c>
      <c r="B163" s="9" t="s">
        <v>18904</v>
      </c>
      <c r="C163" s="9" t="s">
        <v>18905</v>
      </c>
      <c r="D163" s="9" t="s">
        <v>18906</v>
      </c>
      <c r="E163" s="9" t="s">
        <v>17740</v>
      </c>
      <c r="F163" s="9" t="s">
        <v>17741</v>
      </c>
      <c r="G163" s="9" t="s">
        <v>17740</v>
      </c>
      <c r="H163" s="11" t="s">
        <v>17741</v>
      </c>
      <c r="I163" s="11" t="s">
        <v>5052</v>
      </c>
      <c r="J163" s="11" t="s">
        <v>5052</v>
      </c>
      <c r="K163" s="9" t="s">
        <v>601</v>
      </c>
      <c r="L163" s="9" t="s">
        <v>17744</v>
      </c>
      <c r="M163" s="9" t="s">
        <v>18745</v>
      </c>
      <c r="N163" s="9" t="s">
        <v>17746</v>
      </c>
      <c r="O163" s="9" t="s">
        <v>18746</v>
      </c>
      <c r="P163" s="9" t="s">
        <v>17748</v>
      </c>
      <c r="Q163" s="11" t="s">
        <v>18813</v>
      </c>
      <c r="R163" s="11" t="s">
        <v>18813</v>
      </c>
      <c r="S163" s="11" t="s">
        <v>17750</v>
      </c>
    </row>
    <row r="164" spans="1:19" x14ac:dyDescent="0.2">
      <c r="A164" s="11" t="s">
        <v>18907</v>
      </c>
      <c r="B164" s="9" t="s">
        <v>18908</v>
      </c>
      <c r="C164" s="9" t="s">
        <v>18909</v>
      </c>
      <c r="D164" s="9" t="s">
        <v>18910</v>
      </c>
      <c r="E164" s="9" t="s">
        <v>17740</v>
      </c>
      <c r="F164" s="9" t="s">
        <v>18911</v>
      </c>
      <c r="G164" s="9" t="s">
        <v>17740</v>
      </c>
      <c r="H164" s="11" t="s">
        <v>18912</v>
      </c>
      <c r="I164" s="11" t="s">
        <v>18913</v>
      </c>
      <c r="J164" s="11" t="s">
        <v>18913</v>
      </c>
      <c r="K164" s="9" t="s">
        <v>18914</v>
      </c>
      <c r="L164" s="9" t="s">
        <v>17759</v>
      </c>
      <c r="M164" s="9" t="s">
        <v>17760</v>
      </c>
      <c r="N164" s="9" t="s">
        <v>17746</v>
      </c>
      <c r="O164" s="9" t="s">
        <v>18607</v>
      </c>
      <c r="P164" s="9" t="s">
        <v>17748</v>
      </c>
      <c r="Q164" s="11" t="s">
        <v>18798</v>
      </c>
      <c r="R164" s="11" t="s">
        <v>18798</v>
      </c>
      <c r="S164" s="11" t="s">
        <v>17750</v>
      </c>
    </row>
    <row r="165" spans="1:19" x14ac:dyDescent="0.2">
      <c r="A165" s="11" t="s">
        <v>18915</v>
      </c>
      <c r="B165" s="9" t="s">
        <v>18916</v>
      </c>
      <c r="C165" s="9" t="s">
        <v>18917</v>
      </c>
      <c r="D165" s="9" t="s">
        <v>18918</v>
      </c>
      <c r="E165" s="9" t="s">
        <v>17740</v>
      </c>
      <c r="F165" s="9" t="s">
        <v>17741</v>
      </c>
      <c r="G165" s="9" t="s">
        <v>17740</v>
      </c>
      <c r="H165" s="11" t="s">
        <v>18919</v>
      </c>
      <c r="I165" s="11" t="s">
        <v>18920</v>
      </c>
      <c r="J165" s="11" t="s">
        <v>18920</v>
      </c>
      <c r="K165" s="9" t="s">
        <v>18921</v>
      </c>
      <c r="L165" s="9" t="s">
        <v>17759</v>
      </c>
      <c r="M165" s="9" t="s">
        <v>17769</v>
      </c>
      <c r="N165" s="9" t="s">
        <v>17746</v>
      </c>
      <c r="O165" s="9" t="s">
        <v>8489</v>
      </c>
      <c r="P165" s="9" t="s">
        <v>17748</v>
      </c>
      <c r="Q165" s="11" t="s">
        <v>18922</v>
      </c>
      <c r="R165" s="11" t="s">
        <v>18922</v>
      </c>
      <c r="S165" s="11" t="s">
        <v>17750</v>
      </c>
    </row>
    <row r="166" spans="1:19" x14ac:dyDescent="0.2">
      <c r="A166" s="11" t="s">
        <v>18923</v>
      </c>
      <c r="B166" s="9" t="s">
        <v>18924</v>
      </c>
      <c r="C166" s="9" t="s">
        <v>18925</v>
      </c>
      <c r="D166" s="9" t="s">
        <v>18926</v>
      </c>
      <c r="E166" s="9" t="s">
        <v>17740</v>
      </c>
      <c r="F166" s="9" t="s">
        <v>17741</v>
      </c>
      <c r="G166" s="9" t="s">
        <v>17740</v>
      </c>
      <c r="H166" s="11" t="s">
        <v>18927</v>
      </c>
      <c r="I166" s="11" t="s">
        <v>18928</v>
      </c>
      <c r="J166" s="11" t="s">
        <v>18928</v>
      </c>
      <c r="K166" s="9" t="s">
        <v>280</v>
      </c>
      <c r="L166" s="9" t="s">
        <v>17759</v>
      </c>
      <c r="M166" s="9" t="s">
        <v>17769</v>
      </c>
      <c r="N166" s="9" t="s">
        <v>17746</v>
      </c>
      <c r="O166" s="9" t="s">
        <v>18543</v>
      </c>
      <c r="P166" s="9" t="s">
        <v>17748</v>
      </c>
      <c r="Q166" s="11" t="s">
        <v>17900</v>
      </c>
      <c r="R166" s="11" t="s">
        <v>17900</v>
      </c>
      <c r="S166" s="11" t="s">
        <v>17750</v>
      </c>
    </row>
    <row r="167" spans="1:19" x14ac:dyDescent="0.2">
      <c r="A167" s="11" t="s">
        <v>18929</v>
      </c>
      <c r="B167" s="9" t="s">
        <v>18930</v>
      </c>
      <c r="C167" s="9" t="s">
        <v>18931</v>
      </c>
      <c r="D167" s="9" t="s">
        <v>18932</v>
      </c>
      <c r="E167" s="9" t="s">
        <v>17740</v>
      </c>
      <c r="F167" s="9" t="s">
        <v>17741</v>
      </c>
      <c r="G167" s="9" t="s">
        <v>17740</v>
      </c>
      <c r="H167" s="11" t="s">
        <v>17741</v>
      </c>
      <c r="I167" s="11" t="s">
        <v>18933</v>
      </c>
      <c r="J167" s="11" t="s">
        <v>18933</v>
      </c>
      <c r="K167" s="9" t="s">
        <v>18934</v>
      </c>
      <c r="L167" s="9" t="s">
        <v>17759</v>
      </c>
      <c r="M167" s="9" t="s">
        <v>17942</v>
      </c>
      <c r="N167" s="9" t="s">
        <v>17746</v>
      </c>
      <c r="O167" s="9" t="s">
        <v>18543</v>
      </c>
      <c r="P167" s="9" t="s">
        <v>17748</v>
      </c>
      <c r="Q167" s="11" t="s">
        <v>18600</v>
      </c>
      <c r="R167" s="11" t="s">
        <v>18600</v>
      </c>
      <c r="S167" s="11" t="s">
        <v>17750</v>
      </c>
    </row>
    <row r="168" spans="1:19" x14ac:dyDescent="0.2">
      <c r="A168" s="11" t="s">
        <v>18935</v>
      </c>
      <c r="B168" s="9" t="s">
        <v>18936</v>
      </c>
      <c r="C168" s="9" t="s">
        <v>18937</v>
      </c>
      <c r="D168" s="9" t="s">
        <v>18938</v>
      </c>
      <c r="E168" s="9" t="s">
        <v>17740</v>
      </c>
      <c r="F168" s="9" t="s">
        <v>17741</v>
      </c>
      <c r="G168" s="9" t="s">
        <v>17740</v>
      </c>
      <c r="H168" s="11" t="s">
        <v>18939</v>
      </c>
      <c r="I168" s="11" t="s">
        <v>18940</v>
      </c>
      <c r="J168" s="11" t="s">
        <v>18940</v>
      </c>
      <c r="K168" s="9" t="s">
        <v>18122</v>
      </c>
      <c r="L168" s="9" t="s">
        <v>18123</v>
      </c>
      <c r="M168" s="9" t="s">
        <v>17942</v>
      </c>
      <c r="N168" s="9" t="s">
        <v>17746</v>
      </c>
      <c r="O168" s="9" t="s">
        <v>18418</v>
      </c>
      <c r="P168" s="9" t="s">
        <v>17748</v>
      </c>
      <c r="Q168" s="11" t="s">
        <v>17867</v>
      </c>
      <c r="R168" s="11" t="s">
        <v>17867</v>
      </c>
      <c r="S168" s="11" t="s">
        <v>17750</v>
      </c>
    </row>
    <row r="169" spans="1:19" x14ac:dyDescent="0.2">
      <c r="A169" s="11" t="s">
        <v>18941</v>
      </c>
      <c r="B169" s="9" t="s">
        <v>18942</v>
      </c>
      <c r="C169" s="9" t="s">
        <v>18943</v>
      </c>
      <c r="D169" s="9" t="s">
        <v>18944</v>
      </c>
      <c r="E169" s="9" t="s">
        <v>17740</v>
      </c>
      <c r="F169" s="9" t="s">
        <v>17741</v>
      </c>
      <c r="G169" s="9" t="s">
        <v>17740</v>
      </c>
      <c r="H169" s="11" t="s">
        <v>17741</v>
      </c>
      <c r="I169" s="11" t="s">
        <v>5054</v>
      </c>
      <c r="J169" s="11" t="s">
        <v>5054</v>
      </c>
      <c r="K169" s="9" t="s">
        <v>601</v>
      </c>
      <c r="L169" s="9" t="s">
        <v>17744</v>
      </c>
      <c r="M169" s="9" t="s">
        <v>18745</v>
      </c>
      <c r="N169" s="9" t="s">
        <v>17746</v>
      </c>
      <c r="O169" s="9" t="s">
        <v>3309</v>
      </c>
      <c r="P169" s="9" t="s">
        <v>17748</v>
      </c>
      <c r="Q169" s="11" t="s">
        <v>17849</v>
      </c>
      <c r="R169" s="11" t="s">
        <v>17849</v>
      </c>
      <c r="S169" s="11" t="s">
        <v>17750</v>
      </c>
    </row>
    <row r="170" spans="1:19" x14ac:dyDescent="0.2">
      <c r="A170" s="11" t="s">
        <v>18945</v>
      </c>
      <c r="B170" s="9" t="s">
        <v>18946</v>
      </c>
      <c r="C170" s="9" t="s">
        <v>18947</v>
      </c>
      <c r="D170" s="9" t="s">
        <v>18948</v>
      </c>
      <c r="E170" s="9" t="s">
        <v>17740</v>
      </c>
      <c r="F170" s="9" t="s">
        <v>17741</v>
      </c>
      <c r="G170" s="9" t="s">
        <v>17740</v>
      </c>
      <c r="H170" s="11" t="s">
        <v>18949</v>
      </c>
      <c r="I170" s="11" t="s">
        <v>18950</v>
      </c>
      <c r="J170" s="11" t="s">
        <v>18950</v>
      </c>
      <c r="K170" s="9" t="s">
        <v>18951</v>
      </c>
      <c r="L170" s="9" t="s">
        <v>17759</v>
      </c>
      <c r="M170" s="9" t="s">
        <v>18745</v>
      </c>
      <c r="N170" s="9" t="s">
        <v>17746</v>
      </c>
      <c r="O170" s="9" t="s">
        <v>3355</v>
      </c>
      <c r="P170" s="9" t="s">
        <v>17748</v>
      </c>
      <c r="Q170" s="11" t="s">
        <v>18952</v>
      </c>
      <c r="R170" s="11" t="s">
        <v>18952</v>
      </c>
      <c r="S170" s="11" t="s">
        <v>17750</v>
      </c>
    </row>
    <row r="171" spans="1:19" x14ac:dyDescent="0.2">
      <c r="A171" s="11" t="s">
        <v>18953</v>
      </c>
      <c r="B171" s="9" t="s">
        <v>18954</v>
      </c>
      <c r="C171" s="9" t="s">
        <v>18955</v>
      </c>
      <c r="D171" s="9" t="s">
        <v>18956</v>
      </c>
      <c r="E171" s="9" t="s">
        <v>17740</v>
      </c>
      <c r="F171" s="9" t="s">
        <v>17741</v>
      </c>
      <c r="G171" s="9" t="s">
        <v>17740</v>
      </c>
      <c r="H171" s="11" t="s">
        <v>17741</v>
      </c>
      <c r="I171" s="11" t="s">
        <v>18957</v>
      </c>
      <c r="J171" s="11" t="s">
        <v>18957</v>
      </c>
      <c r="K171" s="9" t="s">
        <v>18958</v>
      </c>
      <c r="L171" s="9" t="s">
        <v>18959</v>
      </c>
      <c r="M171" s="9" t="s">
        <v>18745</v>
      </c>
      <c r="N171" s="9" t="s">
        <v>17746</v>
      </c>
      <c r="O171" s="9" t="s">
        <v>7269</v>
      </c>
      <c r="P171" s="9" t="s">
        <v>17748</v>
      </c>
      <c r="Q171" s="11" t="s">
        <v>18960</v>
      </c>
      <c r="R171" s="11" t="s">
        <v>18960</v>
      </c>
      <c r="S171" s="11" t="s">
        <v>17750</v>
      </c>
    </row>
    <row r="172" spans="1:19" x14ac:dyDescent="0.2">
      <c r="A172" s="11" t="s">
        <v>18961</v>
      </c>
      <c r="B172" s="9" t="s">
        <v>18962</v>
      </c>
      <c r="C172" s="9" t="s">
        <v>18963</v>
      </c>
      <c r="D172" s="9" t="s">
        <v>18964</v>
      </c>
      <c r="E172" s="9" t="s">
        <v>17740</v>
      </c>
      <c r="F172" s="9" t="s">
        <v>18965</v>
      </c>
      <c r="G172" s="9" t="s">
        <v>17740</v>
      </c>
      <c r="H172" s="11" t="s">
        <v>10824</v>
      </c>
      <c r="I172" s="11" t="s">
        <v>10823</v>
      </c>
      <c r="J172" s="11" t="s">
        <v>10823</v>
      </c>
      <c r="K172" s="9" t="s">
        <v>601</v>
      </c>
      <c r="L172" s="9" t="s">
        <v>17759</v>
      </c>
      <c r="M172" s="9" t="s">
        <v>17942</v>
      </c>
      <c r="N172" s="9" t="s">
        <v>17746</v>
      </c>
      <c r="O172" s="9" t="s">
        <v>3391</v>
      </c>
      <c r="P172" s="9" t="s">
        <v>17748</v>
      </c>
      <c r="Q172" s="11" t="s">
        <v>17749</v>
      </c>
      <c r="R172" s="11" t="s">
        <v>17749</v>
      </c>
      <c r="S172" s="11" t="s">
        <v>17750</v>
      </c>
    </row>
    <row r="173" spans="1:19" x14ac:dyDescent="0.2">
      <c r="A173" s="11" t="s">
        <v>18966</v>
      </c>
      <c r="B173" s="9" t="s">
        <v>18967</v>
      </c>
      <c r="C173" s="9" t="s">
        <v>18968</v>
      </c>
      <c r="D173" s="9" t="s">
        <v>18969</v>
      </c>
      <c r="E173" s="9" t="s">
        <v>17740</v>
      </c>
      <c r="F173" s="9" t="s">
        <v>17741</v>
      </c>
      <c r="G173" s="9" t="s">
        <v>17740</v>
      </c>
      <c r="H173" s="11" t="s">
        <v>18970</v>
      </c>
      <c r="I173" s="11" t="s">
        <v>18971</v>
      </c>
      <c r="J173" s="11" t="s">
        <v>18971</v>
      </c>
      <c r="K173" s="9" t="s">
        <v>367</v>
      </c>
      <c r="L173" s="9" t="s">
        <v>17759</v>
      </c>
      <c r="M173" s="9" t="s">
        <v>18972</v>
      </c>
      <c r="N173" s="9" t="s">
        <v>17746</v>
      </c>
      <c r="O173" s="9" t="s">
        <v>18973</v>
      </c>
      <c r="P173" s="9" t="s">
        <v>17748</v>
      </c>
      <c r="Q173" s="11" t="s">
        <v>17819</v>
      </c>
      <c r="R173" s="11" t="s">
        <v>17819</v>
      </c>
      <c r="S173" s="11" t="s">
        <v>17750</v>
      </c>
    </row>
    <row r="174" spans="1:19" x14ac:dyDescent="0.2">
      <c r="A174" s="11" t="s">
        <v>18974</v>
      </c>
      <c r="B174" s="9" t="s">
        <v>18975</v>
      </c>
      <c r="C174" s="9" t="s">
        <v>18976</v>
      </c>
      <c r="D174" s="9" t="s">
        <v>18977</v>
      </c>
      <c r="E174" s="9" t="s">
        <v>17748</v>
      </c>
      <c r="F174" s="9" t="s">
        <v>18978</v>
      </c>
      <c r="G174" s="9" t="s">
        <v>17740</v>
      </c>
      <c r="H174" s="11" t="s">
        <v>18979</v>
      </c>
      <c r="I174" s="11" t="s">
        <v>14698</v>
      </c>
      <c r="J174" s="11" t="s">
        <v>17741</v>
      </c>
      <c r="K174" s="9" t="s">
        <v>91</v>
      </c>
      <c r="L174" s="9" t="s">
        <v>18001</v>
      </c>
      <c r="M174" s="9" t="s">
        <v>17942</v>
      </c>
      <c r="N174" s="9" t="s">
        <v>17746</v>
      </c>
      <c r="O174" s="9" t="s">
        <v>17895</v>
      </c>
      <c r="P174" s="9" t="s">
        <v>17748</v>
      </c>
      <c r="Q174" s="11" t="s">
        <v>18370</v>
      </c>
      <c r="R174" s="11" t="s">
        <v>18370</v>
      </c>
      <c r="S174" s="11" t="s">
        <v>17750</v>
      </c>
    </row>
    <row r="175" spans="1:19" x14ac:dyDescent="0.2">
      <c r="A175" s="11" t="s">
        <v>18980</v>
      </c>
      <c r="B175" s="9" t="s">
        <v>18981</v>
      </c>
      <c r="C175" s="9" t="s">
        <v>18982</v>
      </c>
      <c r="D175" s="9" t="s">
        <v>18983</v>
      </c>
      <c r="E175" s="9" t="s">
        <v>17740</v>
      </c>
      <c r="F175" s="9" t="s">
        <v>18984</v>
      </c>
      <c r="G175" s="9" t="s">
        <v>17740</v>
      </c>
      <c r="H175" s="11" t="s">
        <v>18985</v>
      </c>
      <c r="I175" s="11" t="s">
        <v>18986</v>
      </c>
      <c r="J175" s="11" t="s">
        <v>18986</v>
      </c>
      <c r="K175" s="9" t="s">
        <v>18122</v>
      </c>
      <c r="L175" s="9" t="s">
        <v>18123</v>
      </c>
      <c r="M175" s="9" t="s">
        <v>17942</v>
      </c>
      <c r="N175" s="9" t="s">
        <v>17746</v>
      </c>
      <c r="O175" s="9" t="s">
        <v>17834</v>
      </c>
      <c r="P175" s="9" t="s">
        <v>17748</v>
      </c>
      <c r="Q175" s="11" t="s">
        <v>18813</v>
      </c>
      <c r="R175" s="11" t="s">
        <v>18813</v>
      </c>
      <c r="S175" s="11" t="s">
        <v>17750</v>
      </c>
    </row>
    <row r="176" spans="1:19" x14ac:dyDescent="0.2">
      <c r="A176" s="11" t="s">
        <v>18987</v>
      </c>
      <c r="B176" s="9" t="s">
        <v>18988</v>
      </c>
      <c r="C176" s="9" t="s">
        <v>18989</v>
      </c>
      <c r="D176" s="9" t="s">
        <v>18990</v>
      </c>
      <c r="E176" s="9" t="s">
        <v>17748</v>
      </c>
      <c r="F176" s="9" t="s">
        <v>18991</v>
      </c>
      <c r="G176" s="9" t="s">
        <v>17740</v>
      </c>
      <c r="H176" s="11" t="s">
        <v>18992</v>
      </c>
      <c r="I176" s="11" t="s">
        <v>18993</v>
      </c>
      <c r="J176" s="11" t="s">
        <v>18993</v>
      </c>
      <c r="K176" s="9" t="s">
        <v>17758</v>
      </c>
      <c r="L176" s="9" t="s">
        <v>17759</v>
      </c>
      <c r="M176" s="9" t="s">
        <v>18994</v>
      </c>
      <c r="N176" s="9" t="s">
        <v>17746</v>
      </c>
      <c r="O176" s="9" t="s">
        <v>17800</v>
      </c>
      <c r="P176" s="9" t="s">
        <v>17748</v>
      </c>
      <c r="Q176" s="11" t="s">
        <v>17784</v>
      </c>
      <c r="R176" s="11" t="s">
        <v>17784</v>
      </c>
      <c r="S176" s="11" t="s">
        <v>17750</v>
      </c>
    </row>
    <row r="177" spans="1:19" x14ac:dyDescent="0.2">
      <c r="A177" s="11" t="s">
        <v>18995</v>
      </c>
      <c r="B177" s="9" t="s">
        <v>18996</v>
      </c>
      <c r="C177" s="9" t="s">
        <v>18997</v>
      </c>
      <c r="D177" s="9" t="s">
        <v>18998</v>
      </c>
      <c r="E177" s="9" t="s">
        <v>17740</v>
      </c>
      <c r="F177" s="9" t="s">
        <v>17741</v>
      </c>
      <c r="G177" s="9" t="s">
        <v>17740</v>
      </c>
      <c r="H177" s="11" t="s">
        <v>17741</v>
      </c>
      <c r="I177" s="11" t="s">
        <v>18999</v>
      </c>
      <c r="J177" s="11" t="s">
        <v>18999</v>
      </c>
      <c r="K177" s="9" t="s">
        <v>91</v>
      </c>
      <c r="L177" s="9" t="s">
        <v>18001</v>
      </c>
      <c r="M177" s="9" t="s">
        <v>18745</v>
      </c>
      <c r="N177" s="9" t="s">
        <v>17746</v>
      </c>
      <c r="O177" s="9" t="s">
        <v>19000</v>
      </c>
      <c r="P177" s="9" t="s">
        <v>17748</v>
      </c>
      <c r="Q177" s="11" t="s">
        <v>18080</v>
      </c>
      <c r="R177" s="11" t="s">
        <v>18080</v>
      </c>
      <c r="S177" s="11" t="s">
        <v>17750</v>
      </c>
    </row>
    <row r="178" spans="1:19" x14ac:dyDescent="0.2">
      <c r="A178" s="11" t="s">
        <v>19001</v>
      </c>
      <c r="B178" s="9" t="s">
        <v>19002</v>
      </c>
      <c r="C178" s="9" t="s">
        <v>19003</v>
      </c>
      <c r="D178" s="9" t="s">
        <v>19004</v>
      </c>
      <c r="E178" s="9" t="s">
        <v>17740</v>
      </c>
      <c r="F178" s="9" t="s">
        <v>17741</v>
      </c>
      <c r="G178" s="9" t="s">
        <v>17740</v>
      </c>
      <c r="H178" s="11" t="s">
        <v>17741</v>
      </c>
      <c r="I178" s="11" t="s">
        <v>19005</v>
      </c>
      <c r="J178" s="11" t="s">
        <v>19005</v>
      </c>
      <c r="K178" s="9" t="s">
        <v>19006</v>
      </c>
      <c r="L178" s="9" t="s">
        <v>17759</v>
      </c>
      <c r="M178" s="9" t="s">
        <v>18745</v>
      </c>
      <c r="N178" s="9" t="s">
        <v>17746</v>
      </c>
      <c r="O178" s="9" t="s">
        <v>18035</v>
      </c>
      <c r="P178" s="9" t="s">
        <v>17748</v>
      </c>
      <c r="Q178" s="11" t="s">
        <v>18072</v>
      </c>
      <c r="R178" s="11" t="s">
        <v>18072</v>
      </c>
      <c r="S178" s="11" t="s">
        <v>17750</v>
      </c>
    </row>
    <row r="179" spans="1:19" x14ac:dyDescent="0.2">
      <c r="A179" s="11" t="s">
        <v>19007</v>
      </c>
      <c r="B179" s="9" t="s">
        <v>19008</v>
      </c>
      <c r="C179" s="9" t="s">
        <v>19009</v>
      </c>
      <c r="D179" s="9" t="s">
        <v>19010</v>
      </c>
      <c r="E179" s="9" t="s">
        <v>17740</v>
      </c>
      <c r="F179" s="9" t="s">
        <v>17741</v>
      </c>
      <c r="G179" s="9" t="s">
        <v>17740</v>
      </c>
      <c r="H179" s="11" t="s">
        <v>178</v>
      </c>
      <c r="I179" s="11" t="s">
        <v>177</v>
      </c>
      <c r="J179" s="11" t="s">
        <v>177</v>
      </c>
      <c r="K179" s="9" t="s">
        <v>19011</v>
      </c>
      <c r="L179" s="9" t="s">
        <v>17759</v>
      </c>
      <c r="M179" s="9" t="s">
        <v>19012</v>
      </c>
      <c r="N179" s="9" t="s">
        <v>17746</v>
      </c>
      <c r="O179" s="9" t="s">
        <v>19013</v>
      </c>
      <c r="P179" s="9" t="s">
        <v>17748</v>
      </c>
      <c r="Q179" s="11" t="s">
        <v>18341</v>
      </c>
      <c r="R179" s="11" t="s">
        <v>18341</v>
      </c>
      <c r="S179" s="11" t="s">
        <v>17750</v>
      </c>
    </row>
    <row r="180" spans="1:19" x14ac:dyDescent="0.2">
      <c r="A180" s="11" t="s">
        <v>19014</v>
      </c>
      <c r="B180" s="9" t="s">
        <v>19015</v>
      </c>
      <c r="C180" s="9" t="s">
        <v>19016</v>
      </c>
      <c r="D180" s="9" t="s">
        <v>19017</v>
      </c>
      <c r="E180" s="9" t="s">
        <v>17740</v>
      </c>
      <c r="F180" s="9" t="s">
        <v>17741</v>
      </c>
      <c r="G180" s="9" t="s">
        <v>17740</v>
      </c>
      <c r="H180" s="11" t="s">
        <v>19018</v>
      </c>
      <c r="I180" s="11" t="s">
        <v>19019</v>
      </c>
      <c r="J180" s="11" t="s">
        <v>19019</v>
      </c>
      <c r="K180" s="9" t="s">
        <v>601</v>
      </c>
      <c r="L180" s="9" t="s">
        <v>17759</v>
      </c>
      <c r="M180" s="9" t="s">
        <v>17942</v>
      </c>
      <c r="N180" s="9" t="s">
        <v>17746</v>
      </c>
      <c r="O180" s="9" t="s">
        <v>4048</v>
      </c>
      <c r="P180" s="9" t="s">
        <v>17748</v>
      </c>
      <c r="Q180" s="11" t="s">
        <v>18470</v>
      </c>
      <c r="R180" s="11" t="s">
        <v>18470</v>
      </c>
      <c r="S180" s="11" t="s">
        <v>17750</v>
      </c>
    </row>
    <row r="181" spans="1:19" x14ac:dyDescent="0.2">
      <c r="A181" s="11" t="s">
        <v>19020</v>
      </c>
      <c r="B181" s="9" t="s">
        <v>19021</v>
      </c>
      <c r="C181" s="9" t="s">
        <v>19022</v>
      </c>
      <c r="D181" s="9" t="s">
        <v>19023</v>
      </c>
      <c r="E181" s="9" t="s">
        <v>17740</v>
      </c>
      <c r="F181" s="9" t="s">
        <v>17741</v>
      </c>
      <c r="G181" s="9" t="s">
        <v>17740</v>
      </c>
      <c r="H181" s="11" t="s">
        <v>19024</v>
      </c>
      <c r="I181" s="11" t="s">
        <v>19025</v>
      </c>
      <c r="J181" s="11" t="s">
        <v>19025</v>
      </c>
      <c r="K181" s="9" t="s">
        <v>18727</v>
      </c>
      <c r="L181" s="9" t="s">
        <v>17759</v>
      </c>
      <c r="M181" s="9" t="s">
        <v>18065</v>
      </c>
      <c r="N181" s="9" t="s">
        <v>17746</v>
      </c>
      <c r="O181" s="9" t="s">
        <v>18035</v>
      </c>
      <c r="P181" s="9" t="s">
        <v>17748</v>
      </c>
      <c r="Q181" s="11" t="s">
        <v>19026</v>
      </c>
      <c r="R181" s="11" t="s">
        <v>19026</v>
      </c>
      <c r="S181" s="11" t="s">
        <v>17750</v>
      </c>
    </row>
    <row r="182" spans="1:19" x14ac:dyDescent="0.2">
      <c r="A182" s="11" t="s">
        <v>19027</v>
      </c>
      <c r="B182" s="9" t="s">
        <v>19028</v>
      </c>
      <c r="C182" s="9" t="s">
        <v>19029</v>
      </c>
      <c r="D182" s="9" t="s">
        <v>19030</v>
      </c>
      <c r="E182" s="9" t="s">
        <v>17740</v>
      </c>
      <c r="F182" s="9" t="s">
        <v>19031</v>
      </c>
      <c r="G182" s="9" t="s">
        <v>17740</v>
      </c>
      <c r="H182" s="11" t="s">
        <v>9009</v>
      </c>
      <c r="I182" s="11" t="s">
        <v>9008</v>
      </c>
      <c r="J182" s="11" t="s">
        <v>9008</v>
      </c>
      <c r="K182" s="9" t="s">
        <v>18520</v>
      </c>
      <c r="L182" s="9" t="s">
        <v>17759</v>
      </c>
      <c r="M182" s="9" t="s">
        <v>19032</v>
      </c>
      <c r="N182" s="9" t="s">
        <v>17746</v>
      </c>
      <c r="O182" s="9" t="s">
        <v>18035</v>
      </c>
      <c r="P182" s="9" t="s">
        <v>17748</v>
      </c>
      <c r="Q182" s="11" t="s">
        <v>18272</v>
      </c>
      <c r="R182" s="11" t="s">
        <v>18272</v>
      </c>
      <c r="S182" s="11" t="s">
        <v>17750</v>
      </c>
    </row>
    <row r="183" spans="1:19" x14ac:dyDescent="0.2">
      <c r="A183" s="11" t="s">
        <v>19033</v>
      </c>
      <c r="B183" s="9" t="s">
        <v>19034</v>
      </c>
      <c r="C183" s="9" t="s">
        <v>19035</v>
      </c>
      <c r="D183" s="9" t="s">
        <v>19036</v>
      </c>
      <c r="E183" s="9" t="s">
        <v>17740</v>
      </c>
      <c r="F183" s="9" t="s">
        <v>17741</v>
      </c>
      <c r="G183" s="9" t="s">
        <v>17740</v>
      </c>
      <c r="H183" s="11" t="s">
        <v>19037</v>
      </c>
      <c r="I183" s="11" t="s">
        <v>10635</v>
      </c>
      <c r="J183" s="11" t="s">
        <v>10635</v>
      </c>
      <c r="K183" s="9" t="s">
        <v>19038</v>
      </c>
      <c r="L183" s="9" t="s">
        <v>19039</v>
      </c>
      <c r="M183" s="9" t="s">
        <v>19040</v>
      </c>
      <c r="N183" s="9" t="s">
        <v>17746</v>
      </c>
      <c r="O183" s="9" t="s">
        <v>19041</v>
      </c>
      <c r="P183" s="9" t="s">
        <v>17748</v>
      </c>
      <c r="Q183" s="11" t="s">
        <v>18922</v>
      </c>
      <c r="R183" s="11" t="s">
        <v>18922</v>
      </c>
      <c r="S183" s="11" t="s">
        <v>17750</v>
      </c>
    </row>
    <row r="184" spans="1:19" x14ac:dyDescent="0.2">
      <c r="A184" s="11" t="s">
        <v>19042</v>
      </c>
      <c r="B184" s="9" t="s">
        <v>19043</v>
      </c>
      <c r="C184" s="9" t="s">
        <v>19044</v>
      </c>
      <c r="D184" s="9" t="s">
        <v>19045</v>
      </c>
      <c r="E184" s="9" t="s">
        <v>17748</v>
      </c>
      <c r="F184" s="9" t="s">
        <v>19046</v>
      </c>
      <c r="G184" s="9" t="s">
        <v>17740</v>
      </c>
      <c r="H184" s="11" t="s">
        <v>17741</v>
      </c>
      <c r="I184" s="11" t="s">
        <v>19047</v>
      </c>
      <c r="J184" s="11" t="s">
        <v>19047</v>
      </c>
      <c r="K184" s="9" t="s">
        <v>19048</v>
      </c>
      <c r="L184" s="9" t="s">
        <v>19049</v>
      </c>
      <c r="M184" s="9" t="s">
        <v>17760</v>
      </c>
      <c r="N184" s="9" t="s">
        <v>17746</v>
      </c>
      <c r="O184" s="9" t="s">
        <v>19050</v>
      </c>
      <c r="P184" s="9" t="s">
        <v>17748</v>
      </c>
      <c r="Q184" s="11" t="s">
        <v>19026</v>
      </c>
      <c r="R184" s="11" t="s">
        <v>19026</v>
      </c>
      <c r="S184" s="11" t="s">
        <v>17750</v>
      </c>
    </row>
    <row r="185" spans="1:19" x14ac:dyDescent="0.2">
      <c r="A185" s="11" t="s">
        <v>19051</v>
      </c>
      <c r="B185" s="9" t="s">
        <v>19052</v>
      </c>
      <c r="C185" s="9" t="s">
        <v>19053</v>
      </c>
      <c r="D185" s="9" t="s">
        <v>19054</v>
      </c>
      <c r="E185" s="9" t="s">
        <v>17740</v>
      </c>
      <c r="F185" s="9" t="s">
        <v>17741</v>
      </c>
      <c r="G185" s="9" t="s">
        <v>17740</v>
      </c>
      <c r="H185" s="11" t="s">
        <v>19055</v>
      </c>
      <c r="I185" s="11" t="s">
        <v>19056</v>
      </c>
      <c r="J185" s="11" t="s">
        <v>19055</v>
      </c>
      <c r="K185" s="9" t="s">
        <v>19057</v>
      </c>
      <c r="L185" s="9" t="s">
        <v>19049</v>
      </c>
      <c r="M185" s="9" t="s">
        <v>19058</v>
      </c>
      <c r="N185" s="9" t="s">
        <v>17746</v>
      </c>
      <c r="O185" s="9" t="s">
        <v>19059</v>
      </c>
      <c r="P185" s="9" t="s">
        <v>17748</v>
      </c>
      <c r="Q185" s="11" t="s">
        <v>17780</v>
      </c>
      <c r="R185" s="11" t="s">
        <v>17780</v>
      </c>
      <c r="S185" s="11" t="s">
        <v>17750</v>
      </c>
    </row>
    <row r="186" spans="1:19" x14ac:dyDescent="0.2">
      <c r="A186" s="11" t="s">
        <v>19060</v>
      </c>
      <c r="B186" s="9" t="s">
        <v>19061</v>
      </c>
      <c r="C186" s="9" t="s">
        <v>19062</v>
      </c>
      <c r="D186" s="9" t="s">
        <v>19063</v>
      </c>
      <c r="E186" s="9" t="s">
        <v>17740</v>
      </c>
      <c r="F186" s="9" t="s">
        <v>17741</v>
      </c>
      <c r="G186" s="9" t="s">
        <v>17740</v>
      </c>
      <c r="H186" s="11" t="s">
        <v>17741</v>
      </c>
      <c r="I186" s="11" t="s">
        <v>19064</v>
      </c>
      <c r="J186" s="11" t="s">
        <v>19064</v>
      </c>
      <c r="K186" s="9" t="s">
        <v>19065</v>
      </c>
      <c r="L186" s="9" t="s">
        <v>19049</v>
      </c>
      <c r="M186" s="9" t="s">
        <v>19066</v>
      </c>
      <c r="N186" s="9" t="s">
        <v>17746</v>
      </c>
      <c r="O186" s="9" t="s">
        <v>19067</v>
      </c>
      <c r="P186" s="9" t="s">
        <v>17748</v>
      </c>
      <c r="Q186" s="11" t="s">
        <v>18272</v>
      </c>
      <c r="R186" s="11" t="s">
        <v>18272</v>
      </c>
      <c r="S186" s="11" t="s">
        <v>17750</v>
      </c>
    </row>
    <row r="187" spans="1:19" x14ac:dyDescent="0.2">
      <c r="A187" s="11" t="s">
        <v>19068</v>
      </c>
      <c r="B187" s="9" t="s">
        <v>19069</v>
      </c>
      <c r="C187" s="9" t="s">
        <v>19070</v>
      </c>
      <c r="D187" s="9" t="s">
        <v>19071</v>
      </c>
      <c r="E187" s="9" t="s">
        <v>17740</v>
      </c>
      <c r="F187" s="9" t="s">
        <v>17741</v>
      </c>
      <c r="G187" s="9" t="s">
        <v>17740</v>
      </c>
      <c r="H187" s="11" t="s">
        <v>10934</v>
      </c>
      <c r="I187" s="11" t="s">
        <v>17741</v>
      </c>
      <c r="J187" s="11" t="s">
        <v>17741</v>
      </c>
      <c r="K187" s="9" t="s">
        <v>19072</v>
      </c>
      <c r="L187" s="9" t="s">
        <v>19049</v>
      </c>
      <c r="M187" s="9" t="s">
        <v>17992</v>
      </c>
      <c r="N187" s="9" t="s">
        <v>17746</v>
      </c>
      <c r="O187" s="9" t="s">
        <v>18607</v>
      </c>
      <c r="P187" s="9" t="s">
        <v>17748</v>
      </c>
      <c r="Q187" s="11" t="s">
        <v>17780</v>
      </c>
      <c r="R187" s="11" t="s">
        <v>17780</v>
      </c>
      <c r="S187" s="11" t="s">
        <v>17750</v>
      </c>
    </row>
    <row r="188" spans="1:19" x14ac:dyDescent="0.2">
      <c r="A188" s="11" t="s">
        <v>19073</v>
      </c>
      <c r="B188" s="9" t="s">
        <v>19074</v>
      </c>
      <c r="C188" s="9" t="s">
        <v>19075</v>
      </c>
      <c r="D188" s="9" t="s">
        <v>19076</v>
      </c>
      <c r="E188" s="9" t="s">
        <v>17740</v>
      </c>
      <c r="F188" s="9" t="s">
        <v>19077</v>
      </c>
      <c r="G188" s="9" t="s">
        <v>17740</v>
      </c>
      <c r="H188" s="11" t="s">
        <v>216</v>
      </c>
      <c r="I188" s="11" t="s">
        <v>215</v>
      </c>
      <c r="J188" s="11" t="s">
        <v>17741</v>
      </c>
      <c r="K188" s="9" t="s">
        <v>17783</v>
      </c>
      <c r="L188" s="9" t="s">
        <v>18001</v>
      </c>
      <c r="M188" s="9" t="s">
        <v>17760</v>
      </c>
      <c r="N188" s="9" t="s">
        <v>17746</v>
      </c>
      <c r="O188" s="9" t="s">
        <v>18855</v>
      </c>
      <c r="P188" s="9" t="s">
        <v>17748</v>
      </c>
      <c r="Q188" s="11" t="s">
        <v>17984</v>
      </c>
      <c r="R188" s="11" t="s">
        <v>17984</v>
      </c>
      <c r="S188" s="11" t="s">
        <v>17750</v>
      </c>
    </row>
    <row r="189" spans="1:19" x14ac:dyDescent="0.2">
      <c r="A189" s="11" t="s">
        <v>19078</v>
      </c>
      <c r="B189" s="9" t="s">
        <v>19079</v>
      </c>
      <c r="C189" s="9" t="s">
        <v>19080</v>
      </c>
      <c r="D189" s="9" t="s">
        <v>19081</v>
      </c>
      <c r="E189" s="9" t="s">
        <v>17740</v>
      </c>
      <c r="F189" s="9" t="s">
        <v>17741</v>
      </c>
      <c r="G189" s="9" t="s">
        <v>17740</v>
      </c>
      <c r="H189" s="11" t="s">
        <v>54</v>
      </c>
      <c r="I189" s="11" t="s">
        <v>53</v>
      </c>
      <c r="J189" s="11" t="s">
        <v>53</v>
      </c>
      <c r="K189" s="9" t="s">
        <v>55</v>
      </c>
      <c r="L189" s="9" t="s">
        <v>17744</v>
      </c>
      <c r="M189" s="9" t="s">
        <v>17769</v>
      </c>
      <c r="N189" s="9" t="s">
        <v>17746</v>
      </c>
      <c r="O189" s="9" t="s">
        <v>18855</v>
      </c>
      <c r="P189" s="9" t="s">
        <v>17748</v>
      </c>
      <c r="Q189" s="11" t="s">
        <v>19082</v>
      </c>
      <c r="R189" s="11" t="s">
        <v>19082</v>
      </c>
      <c r="S189" s="11" t="s">
        <v>17750</v>
      </c>
    </row>
    <row r="190" spans="1:19" x14ac:dyDescent="0.2">
      <c r="A190" s="11" t="s">
        <v>19083</v>
      </c>
      <c r="B190" s="9" t="s">
        <v>19084</v>
      </c>
      <c r="C190" s="9" t="s">
        <v>19085</v>
      </c>
      <c r="D190" s="9" t="s">
        <v>19086</v>
      </c>
      <c r="E190" s="9" t="s">
        <v>17740</v>
      </c>
      <c r="F190" s="9" t="s">
        <v>19087</v>
      </c>
      <c r="G190" s="9" t="s">
        <v>17740</v>
      </c>
      <c r="H190" s="11" t="s">
        <v>9419</v>
      </c>
      <c r="I190" s="11" t="s">
        <v>9418</v>
      </c>
      <c r="J190" s="11" t="s">
        <v>9418</v>
      </c>
      <c r="K190" s="9" t="s">
        <v>18661</v>
      </c>
      <c r="L190" s="9" t="s">
        <v>17744</v>
      </c>
      <c r="M190" s="9" t="s">
        <v>17778</v>
      </c>
      <c r="N190" s="9" t="s">
        <v>17746</v>
      </c>
      <c r="O190" s="9" t="s">
        <v>18855</v>
      </c>
      <c r="P190" s="9" t="s">
        <v>17748</v>
      </c>
      <c r="Q190" s="11" t="s">
        <v>17994</v>
      </c>
      <c r="R190" s="11" t="s">
        <v>17994</v>
      </c>
      <c r="S190" s="11" t="s">
        <v>17750</v>
      </c>
    </row>
    <row r="191" spans="1:19" x14ac:dyDescent="0.2">
      <c r="A191" s="11" t="s">
        <v>19088</v>
      </c>
      <c r="B191" s="9" t="s">
        <v>19089</v>
      </c>
      <c r="C191" s="9" t="s">
        <v>19090</v>
      </c>
      <c r="D191" s="9" t="s">
        <v>19091</v>
      </c>
      <c r="E191" s="9" t="s">
        <v>17740</v>
      </c>
      <c r="F191" s="9" t="s">
        <v>17741</v>
      </c>
      <c r="G191" s="9" t="s">
        <v>17740</v>
      </c>
      <c r="H191" s="11" t="s">
        <v>19092</v>
      </c>
      <c r="I191" s="11" t="s">
        <v>19093</v>
      </c>
      <c r="J191" s="11" t="s">
        <v>19093</v>
      </c>
      <c r="K191" s="9" t="s">
        <v>19094</v>
      </c>
      <c r="L191" s="9" t="s">
        <v>17759</v>
      </c>
      <c r="M191" s="9" t="s">
        <v>17769</v>
      </c>
      <c r="N191" s="9" t="s">
        <v>17746</v>
      </c>
      <c r="O191" s="9" t="s">
        <v>19095</v>
      </c>
      <c r="P191" s="9" t="s">
        <v>17748</v>
      </c>
      <c r="Q191" s="11" t="s">
        <v>17771</v>
      </c>
      <c r="R191" s="11" t="s">
        <v>17771</v>
      </c>
      <c r="S191" s="11" t="s">
        <v>17750</v>
      </c>
    </row>
    <row r="192" spans="1:19" x14ac:dyDescent="0.2">
      <c r="A192" s="11" t="s">
        <v>19096</v>
      </c>
      <c r="B192" s="9" t="s">
        <v>19097</v>
      </c>
      <c r="C192" s="9" t="s">
        <v>19098</v>
      </c>
      <c r="D192" s="9" t="s">
        <v>19099</v>
      </c>
      <c r="E192" s="9" t="s">
        <v>17740</v>
      </c>
      <c r="F192" s="9" t="s">
        <v>17741</v>
      </c>
      <c r="G192" s="9" t="s">
        <v>17740</v>
      </c>
      <c r="H192" s="11" t="s">
        <v>19100</v>
      </c>
      <c r="I192" s="11" t="s">
        <v>17741</v>
      </c>
      <c r="J192" s="11" t="s">
        <v>19100</v>
      </c>
      <c r="K192" s="9" t="s">
        <v>19101</v>
      </c>
      <c r="L192" s="9" t="s">
        <v>17759</v>
      </c>
      <c r="M192" s="9" t="s">
        <v>17769</v>
      </c>
      <c r="N192" s="9" t="s">
        <v>17746</v>
      </c>
      <c r="O192" s="9" t="s">
        <v>18855</v>
      </c>
      <c r="P192" s="9" t="s">
        <v>17748</v>
      </c>
      <c r="Q192" s="11" t="s">
        <v>18370</v>
      </c>
      <c r="R192" s="11" t="s">
        <v>18370</v>
      </c>
      <c r="S192" s="11" t="s">
        <v>17750</v>
      </c>
    </row>
    <row r="193" spans="1:19" x14ac:dyDescent="0.2">
      <c r="A193" s="11" t="s">
        <v>19102</v>
      </c>
      <c r="B193" s="9" t="s">
        <v>19103</v>
      </c>
      <c r="C193" s="9" t="s">
        <v>19104</v>
      </c>
      <c r="D193" s="9" t="s">
        <v>19105</v>
      </c>
      <c r="E193" s="9" t="s">
        <v>17740</v>
      </c>
      <c r="F193" s="9" t="s">
        <v>17741</v>
      </c>
      <c r="G193" s="9" t="s">
        <v>17740</v>
      </c>
      <c r="H193" s="11" t="s">
        <v>19106</v>
      </c>
      <c r="I193" s="11" t="s">
        <v>19107</v>
      </c>
      <c r="J193" s="11" t="s">
        <v>19107</v>
      </c>
      <c r="K193" s="9" t="s">
        <v>291</v>
      </c>
      <c r="L193" s="9" t="s">
        <v>17744</v>
      </c>
      <c r="M193" s="9" t="s">
        <v>19108</v>
      </c>
      <c r="N193" s="9" t="s">
        <v>17746</v>
      </c>
      <c r="O193" s="9" t="s">
        <v>19109</v>
      </c>
      <c r="P193" s="9" t="s">
        <v>17748</v>
      </c>
      <c r="Q193" s="11" t="s">
        <v>18272</v>
      </c>
      <c r="R193" s="11" t="s">
        <v>18272</v>
      </c>
      <c r="S193" s="11" t="s">
        <v>17750</v>
      </c>
    </row>
    <row r="194" spans="1:19" x14ac:dyDescent="0.2">
      <c r="A194" s="11" t="s">
        <v>19110</v>
      </c>
      <c r="B194" s="9" t="s">
        <v>19111</v>
      </c>
      <c r="C194" s="9" t="s">
        <v>19112</v>
      </c>
      <c r="D194" s="9" t="s">
        <v>9932</v>
      </c>
      <c r="E194" s="9" t="s">
        <v>17740</v>
      </c>
      <c r="F194" s="9" t="s">
        <v>17741</v>
      </c>
      <c r="G194" s="9" t="s">
        <v>17740</v>
      </c>
      <c r="H194" s="11" t="s">
        <v>9934</v>
      </c>
      <c r="I194" s="11" t="s">
        <v>9933</v>
      </c>
      <c r="J194" s="11" t="s">
        <v>9933</v>
      </c>
      <c r="K194" s="9" t="s">
        <v>970</v>
      </c>
      <c r="L194" s="9" t="s">
        <v>17744</v>
      </c>
      <c r="M194" s="9" t="s">
        <v>17769</v>
      </c>
      <c r="N194" s="9" t="s">
        <v>17746</v>
      </c>
      <c r="O194" s="9" t="s">
        <v>18125</v>
      </c>
      <c r="P194" s="9" t="s">
        <v>17748</v>
      </c>
      <c r="Q194" s="11" t="s">
        <v>17994</v>
      </c>
      <c r="R194" s="11" t="s">
        <v>17994</v>
      </c>
      <c r="S194" s="11" t="s">
        <v>17750</v>
      </c>
    </row>
    <row r="195" spans="1:19" x14ac:dyDescent="0.2">
      <c r="A195" s="11" t="s">
        <v>19113</v>
      </c>
      <c r="B195" s="9" t="s">
        <v>19114</v>
      </c>
      <c r="C195" s="9" t="s">
        <v>19115</v>
      </c>
      <c r="D195" s="9" t="s">
        <v>19116</v>
      </c>
      <c r="E195" s="9" t="s">
        <v>17748</v>
      </c>
      <c r="F195" s="9" t="s">
        <v>19117</v>
      </c>
      <c r="G195" s="9" t="s">
        <v>17740</v>
      </c>
      <c r="H195" s="11" t="s">
        <v>5373</v>
      </c>
      <c r="I195" s="11" t="s">
        <v>5372</v>
      </c>
      <c r="J195" s="11" t="s">
        <v>5372</v>
      </c>
      <c r="K195" s="9" t="s">
        <v>17783</v>
      </c>
      <c r="L195" s="9" t="s">
        <v>18158</v>
      </c>
      <c r="M195" s="9" t="s">
        <v>17769</v>
      </c>
      <c r="N195" s="9" t="s">
        <v>17746</v>
      </c>
      <c r="O195" s="9" t="s">
        <v>18855</v>
      </c>
      <c r="P195" s="9" t="s">
        <v>17748</v>
      </c>
      <c r="Q195" s="11" t="s">
        <v>17994</v>
      </c>
      <c r="R195" s="11" t="s">
        <v>17994</v>
      </c>
      <c r="S195" s="11" t="s">
        <v>17750</v>
      </c>
    </row>
    <row r="196" spans="1:19" x14ac:dyDescent="0.2">
      <c r="A196" s="11" t="s">
        <v>19118</v>
      </c>
      <c r="B196" s="9" t="s">
        <v>19119</v>
      </c>
      <c r="C196" s="9" t="s">
        <v>19120</v>
      </c>
      <c r="D196" s="9" t="s">
        <v>7833</v>
      </c>
      <c r="E196" s="9" t="s">
        <v>17740</v>
      </c>
      <c r="F196" s="9" t="s">
        <v>17741</v>
      </c>
      <c r="G196" s="9" t="s">
        <v>17740</v>
      </c>
      <c r="H196" s="11" t="s">
        <v>7835</v>
      </c>
      <c r="I196" s="11" t="s">
        <v>7834</v>
      </c>
      <c r="J196" s="11" t="s">
        <v>7834</v>
      </c>
      <c r="K196" s="9" t="s">
        <v>291</v>
      </c>
      <c r="L196" s="9" t="s">
        <v>17744</v>
      </c>
      <c r="M196" s="9" t="s">
        <v>17760</v>
      </c>
      <c r="N196" s="9" t="s">
        <v>17746</v>
      </c>
      <c r="O196" s="9" t="s">
        <v>18855</v>
      </c>
      <c r="P196" s="9" t="s">
        <v>17748</v>
      </c>
      <c r="Q196" s="11" t="s">
        <v>18798</v>
      </c>
      <c r="R196" s="11" t="s">
        <v>18798</v>
      </c>
      <c r="S196" s="11" t="s">
        <v>17750</v>
      </c>
    </row>
    <row r="197" spans="1:19" x14ac:dyDescent="0.2">
      <c r="A197" s="11" t="s">
        <v>19121</v>
      </c>
      <c r="B197" s="9" t="s">
        <v>19122</v>
      </c>
      <c r="C197" s="9" t="s">
        <v>19123</v>
      </c>
      <c r="D197" s="9" t="s">
        <v>19124</v>
      </c>
      <c r="E197" s="9" t="s">
        <v>17740</v>
      </c>
      <c r="F197" s="9" t="s">
        <v>17741</v>
      </c>
      <c r="G197" s="9" t="s">
        <v>17740</v>
      </c>
      <c r="H197" s="11" t="s">
        <v>17741</v>
      </c>
      <c r="I197" s="11" t="s">
        <v>19125</v>
      </c>
      <c r="J197" s="11" t="s">
        <v>19125</v>
      </c>
      <c r="K197" s="9" t="s">
        <v>19126</v>
      </c>
      <c r="L197" s="9" t="s">
        <v>18396</v>
      </c>
      <c r="M197" s="9" t="s">
        <v>17778</v>
      </c>
      <c r="N197" s="9" t="s">
        <v>17746</v>
      </c>
      <c r="O197" s="9" t="s">
        <v>19127</v>
      </c>
      <c r="P197" s="9" t="s">
        <v>17748</v>
      </c>
      <c r="Q197" s="11" t="s">
        <v>17819</v>
      </c>
      <c r="R197" s="11" t="s">
        <v>17819</v>
      </c>
      <c r="S197" s="11" t="s">
        <v>17750</v>
      </c>
    </row>
    <row r="198" spans="1:19" x14ac:dyDescent="0.2">
      <c r="A198" s="11" t="s">
        <v>19128</v>
      </c>
      <c r="B198" s="9" t="s">
        <v>19129</v>
      </c>
      <c r="C198" s="9" t="s">
        <v>19130</v>
      </c>
      <c r="D198" s="9" t="s">
        <v>19131</v>
      </c>
      <c r="E198" s="9" t="s">
        <v>17740</v>
      </c>
      <c r="F198" s="9" t="s">
        <v>17741</v>
      </c>
      <c r="G198" s="9" t="s">
        <v>17740</v>
      </c>
      <c r="H198" s="11" t="s">
        <v>17741</v>
      </c>
      <c r="I198" s="11" t="s">
        <v>19132</v>
      </c>
      <c r="J198" s="11" t="s">
        <v>19132</v>
      </c>
      <c r="K198" s="9" t="s">
        <v>19133</v>
      </c>
      <c r="L198" s="9" t="s">
        <v>19134</v>
      </c>
      <c r="M198" s="9" t="s">
        <v>17760</v>
      </c>
      <c r="N198" s="9" t="s">
        <v>19135</v>
      </c>
      <c r="O198" s="9" t="s">
        <v>17800</v>
      </c>
      <c r="P198" s="9" t="s">
        <v>17748</v>
      </c>
      <c r="Q198" s="11" t="s">
        <v>18178</v>
      </c>
      <c r="R198" s="11" t="s">
        <v>18178</v>
      </c>
      <c r="S198" s="11" t="s">
        <v>17750</v>
      </c>
    </row>
    <row r="199" spans="1:19" x14ac:dyDescent="0.2">
      <c r="A199" s="11" t="s">
        <v>19136</v>
      </c>
      <c r="B199" s="9" t="s">
        <v>19137</v>
      </c>
      <c r="C199" s="9" t="s">
        <v>19138</v>
      </c>
      <c r="D199" s="9" t="s">
        <v>19139</v>
      </c>
      <c r="E199" s="9" t="s">
        <v>17740</v>
      </c>
      <c r="F199" s="9" t="s">
        <v>17741</v>
      </c>
      <c r="G199" s="9" t="s">
        <v>17740</v>
      </c>
      <c r="H199" s="11" t="s">
        <v>17741</v>
      </c>
      <c r="I199" s="11" t="s">
        <v>19140</v>
      </c>
      <c r="J199" s="11" t="s">
        <v>19140</v>
      </c>
      <c r="K199" s="9" t="s">
        <v>19141</v>
      </c>
      <c r="L199" s="9" t="s">
        <v>17759</v>
      </c>
      <c r="M199" s="9" t="s">
        <v>17760</v>
      </c>
      <c r="N199" s="9" t="s">
        <v>17746</v>
      </c>
      <c r="O199" s="9" t="s">
        <v>19142</v>
      </c>
      <c r="P199" s="9" t="s">
        <v>17748</v>
      </c>
      <c r="Q199" s="11" t="s">
        <v>18059</v>
      </c>
      <c r="R199" s="11" t="s">
        <v>18059</v>
      </c>
      <c r="S199" s="11" t="s">
        <v>17750</v>
      </c>
    </row>
    <row r="200" spans="1:19" x14ac:dyDescent="0.2">
      <c r="A200" s="11" t="s">
        <v>19143</v>
      </c>
      <c r="B200" s="9" t="s">
        <v>19144</v>
      </c>
      <c r="C200" s="9" t="s">
        <v>19145</v>
      </c>
      <c r="D200" s="9" t="s">
        <v>4247</v>
      </c>
      <c r="E200" s="9" t="s">
        <v>17740</v>
      </c>
      <c r="F200" s="9" t="s">
        <v>17741</v>
      </c>
      <c r="G200" s="9" t="s">
        <v>17740</v>
      </c>
      <c r="H200" s="11" t="s">
        <v>4249</v>
      </c>
      <c r="I200" s="11" t="s">
        <v>4248</v>
      </c>
      <c r="J200" s="11" t="s">
        <v>4248</v>
      </c>
      <c r="K200" s="9" t="s">
        <v>17758</v>
      </c>
      <c r="L200" s="9" t="s">
        <v>17744</v>
      </c>
      <c r="M200" s="9" t="s">
        <v>19146</v>
      </c>
      <c r="N200" s="9" t="s">
        <v>17746</v>
      </c>
      <c r="O200" s="9" t="s">
        <v>19147</v>
      </c>
      <c r="P200" s="9" t="s">
        <v>17748</v>
      </c>
      <c r="Q200" s="11" t="s">
        <v>18364</v>
      </c>
      <c r="R200" s="11" t="s">
        <v>18364</v>
      </c>
      <c r="S200" s="11" t="s">
        <v>17750</v>
      </c>
    </row>
    <row r="201" spans="1:19" x14ac:dyDescent="0.2">
      <c r="A201" s="11" t="s">
        <v>19148</v>
      </c>
      <c r="B201" s="9" t="s">
        <v>19149</v>
      </c>
      <c r="C201" s="9" t="s">
        <v>19150</v>
      </c>
      <c r="D201" s="9" t="s">
        <v>19151</v>
      </c>
      <c r="E201" s="9" t="s">
        <v>17740</v>
      </c>
      <c r="F201" s="9" t="s">
        <v>19152</v>
      </c>
      <c r="G201" s="9" t="s">
        <v>17740</v>
      </c>
      <c r="H201" s="11" t="s">
        <v>17741</v>
      </c>
      <c r="I201" s="11" t="s">
        <v>19153</v>
      </c>
      <c r="J201" s="11" t="s">
        <v>19153</v>
      </c>
      <c r="K201" s="9" t="s">
        <v>19154</v>
      </c>
      <c r="L201" s="9" t="s">
        <v>17759</v>
      </c>
      <c r="M201" s="9" t="s">
        <v>17817</v>
      </c>
      <c r="N201" s="9" t="s">
        <v>17746</v>
      </c>
      <c r="O201" s="9" t="s">
        <v>19147</v>
      </c>
      <c r="P201" s="9" t="s">
        <v>17748</v>
      </c>
      <c r="Q201" s="11" t="s">
        <v>18059</v>
      </c>
      <c r="R201" s="11" t="s">
        <v>18059</v>
      </c>
      <c r="S201" s="11" t="s">
        <v>17750</v>
      </c>
    </row>
    <row r="202" spans="1:19" x14ac:dyDescent="0.2">
      <c r="A202" s="11" t="s">
        <v>19155</v>
      </c>
      <c r="B202" s="9" t="s">
        <v>19156</v>
      </c>
      <c r="C202" s="9" t="s">
        <v>19157</v>
      </c>
      <c r="D202" s="9" t="s">
        <v>19158</v>
      </c>
      <c r="E202" s="9" t="s">
        <v>17740</v>
      </c>
      <c r="F202" s="9" t="s">
        <v>17741</v>
      </c>
      <c r="G202" s="9" t="s">
        <v>17740</v>
      </c>
      <c r="H202" s="11" t="s">
        <v>19159</v>
      </c>
      <c r="I202" s="11" t="s">
        <v>19160</v>
      </c>
      <c r="J202" s="11" t="s">
        <v>19160</v>
      </c>
      <c r="K202" s="9" t="s">
        <v>19161</v>
      </c>
      <c r="L202" s="9" t="s">
        <v>17759</v>
      </c>
      <c r="M202" s="9" t="s">
        <v>19162</v>
      </c>
      <c r="N202" s="9" t="s">
        <v>17746</v>
      </c>
      <c r="O202" s="9" t="s">
        <v>19163</v>
      </c>
      <c r="P202" s="9" t="s">
        <v>17748</v>
      </c>
      <c r="Q202" s="11" t="s">
        <v>18272</v>
      </c>
      <c r="R202" s="11" t="s">
        <v>18272</v>
      </c>
      <c r="S202" s="11" t="s">
        <v>17750</v>
      </c>
    </row>
    <row r="203" spans="1:19" x14ac:dyDescent="0.2">
      <c r="A203" s="11" t="s">
        <v>19164</v>
      </c>
      <c r="B203" s="9" t="s">
        <v>19165</v>
      </c>
      <c r="C203" s="9" t="s">
        <v>19166</v>
      </c>
      <c r="D203" s="9" t="s">
        <v>19167</v>
      </c>
      <c r="E203" s="9" t="s">
        <v>17740</v>
      </c>
      <c r="F203" s="9" t="s">
        <v>17741</v>
      </c>
      <c r="G203" s="9" t="s">
        <v>17740</v>
      </c>
      <c r="H203" s="11" t="s">
        <v>5098</v>
      </c>
      <c r="I203" s="11" t="s">
        <v>5097</v>
      </c>
      <c r="J203" s="11" t="s">
        <v>5097</v>
      </c>
      <c r="K203" s="9" t="s">
        <v>291</v>
      </c>
      <c r="L203" s="9" t="s">
        <v>17744</v>
      </c>
      <c r="M203" s="9" t="s">
        <v>19168</v>
      </c>
      <c r="N203" s="9" t="s">
        <v>17746</v>
      </c>
      <c r="O203" s="9" t="s">
        <v>19147</v>
      </c>
      <c r="P203" s="9" t="s">
        <v>17748</v>
      </c>
      <c r="Q203" s="11" t="s">
        <v>17819</v>
      </c>
      <c r="R203" s="11" t="s">
        <v>17819</v>
      </c>
      <c r="S203" s="11" t="s">
        <v>17750</v>
      </c>
    </row>
    <row r="204" spans="1:19" x14ac:dyDescent="0.2">
      <c r="A204" s="11" t="s">
        <v>19169</v>
      </c>
      <c r="B204" s="9" t="s">
        <v>19170</v>
      </c>
      <c r="C204" s="9" t="s">
        <v>19171</v>
      </c>
      <c r="D204" s="9" t="s">
        <v>19172</v>
      </c>
      <c r="E204" s="9" t="s">
        <v>17740</v>
      </c>
      <c r="F204" s="9" t="s">
        <v>17741</v>
      </c>
      <c r="G204" s="9" t="s">
        <v>17740</v>
      </c>
      <c r="H204" s="11" t="s">
        <v>19173</v>
      </c>
      <c r="I204" s="11" t="s">
        <v>5212</v>
      </c>
      <c r="J204" s="11" t="s">
        <v>5212</v>
      </c>
      <c r="K204" s="9" t="s">
        <v>874</v>
      </c>
      <c r="L204" s="9" t="s">
        <v>17759</v>
      </c>
      <c r="M204" s="9" t="s">
        <v>17769</v>
      </c>
      <c r="N204" s="9" t="s">
        <v>17746</v>
      </c>
      <c r="O204" s="9" t="s">
        <v>19174</v>
      </c>
      <c r="P204" s="9" t="s">
        <v>17748</v>
      </c>
      <c r="Q204" s="11" t="s">
        <v>17819</v>
      </c>
      <c r="R204" s="11" t="s">
        <v>17819</v>
      </c>
      <c r="S204" s="11" t="s">
        <v>17750</v>
      </c>
    </row>
    <row r="205" spans="1:19" x14ac:dyDescent="0.2">
      <c r="A205" s="11" t="s">
        <v>19175</v>
      </c>
      <c r="B205" s="9" t="s">
        <v>19176</v>
      </c>
      <c r="C205" s="9" t="s">
        <v>19177</v>
      </c>
      <c r="D205" s="9" t="s">
        <v>19178</v>
      </c>
      <c r="E205" s="9" t="s">
        <v>17740</v>
      </c>
      <c r="F205" s="9" t="s">
        <v>19179</v>
      </c>
      <c r="G205" s="9" t="s">
        <v>17740</v>
      </c>
      <c r="H205" s="11" t="s">
        <v>6975</v>
      </c>
      <c r="I205" s="11" t="s">
        <v>6974</v>
      </c>
      <c r="J205" s="11" t="s">
        <v>6974</v>
      </c>
      <c r="K205" s="9" t="s">
        <v>19180</v>
      </c>
      <c r="L205" s="9" t="s">
        <v>17759</v>
      </c>
      <c r="M205" s="9" t="s">
        <v>19181</v>
      </c>
      <c r="N205" s="9" t="s">
        <v>17746</v>
      </c>
      <c r="O205" s="9" t="s">
        <v>19182</v>
      </c>
      <c r="P205" s="9" t="s">
        <v>17748</v>
      </c>
      <c r="Q205" s="11" t="s">
        <v>18201</v>
      </c>
      <c r="R205" s="11" t="s">
        <v>18201</v>
      </c>
      <c r="S205" s="11" t="s">
        <v>17750</v>
      </c>
    </row>
    <row r="206" spans="1:19" x14ac:dyDescent="0.2">
      <c r="A206" s="11" t="s">
        <v>19183</v>
      </c>
      <c r="B206" s="9" t="s">
        <v>19184</v>
      </c>
      <c r="C206" s="9" t="s">
        <v>19185</v>
      </c>
      <c r="D206" s="9" t="s">
        <v>19186</v>
      </c>
      <c r="E206" s="9" t="s">
        <v>17740</v>
      </c>
      <c r="F206" s="9" t="s">
        <v>17741</v>
      </c>
      <c r="G206" s="9" t="s">
        <v>17740</v>
      </c>
      <c r="H206" s="11" t="s">
        <v>17741</v>
      </c>
      <c r="I206" s="11" t="s">
        <v>19187</v>
      </c>
      <c r="J206" s="11" t="s">
        <v>19187</v>
      </c>
      <c r="K206" s="9" t="s">
        <v>19188</v>
      </c>
      <c r="L206" s="9" t="s">
        <v>17759</v>
      </c>
      <c r="M206" s="9" t="s">
        <v>19189</v>
      </c>
      <c r="N206" s="9" t="s">
        <v>17746</v>
      </c>
      <c r="O206" s="9" t="s">
        <v>19190</v>
      </c>
      <c r="P206" s="9" t="s">
        <v>17748</v>
      </c>
      <c r="Q206" s="11" t="s">
        <v>18059</v>
      </c>
      <c r="R206" s="11" t="s">
        <v>18059</v>
      </c>
      <c r="S206" s="11" t="s">
        <v>17750</v>
      </c>
    </row>
    <row r="207" spans="1:19" x14ac:dyDescent="0.2">
      <c r="A207" s="11" t="s">
        <v>19191</v>
      </c>
      <c r="B207" s="9" t="s">
        <v>19192</v>
      </c>
      <c r="C207" s="9" t="s">
        <v>19193</v>
      </c>
      <c r="D207" s="9" t="s">
        <v>19194</v>
      </c>
      <c r="E207" s="9" t="s">
        <v>17740</v>
      </c>
      <c r="F207" s="9" t="s">
        <v>17741</v>
      </c>
      <c r="G207" s="9" t="s">
        <v>17740</v>
      </c>
      <c r="H207" s="11" t="s">
        <v>17741</v>
      </c>
      <c r="I207" s="11" t="s">
        <v>7368</v>
      </c>
      <c r="J207" s="11" t="s">
        <v>7368</v>
      </c>
      <c r="K207" s="9" t="s">
        <v>19195</v>
      </c>
      <c r="L207" s="9" t="s">
        <v>17759</v>
      </c>
      <c r="M207" s="9" t="s">
        <v>19196</v>
      </c>
      <c r="N207" s="9" t="s">
        <v>17746</v>
      </c>
      <c r="O207" s="9" t="s">
        <v>19147</v>
      </c>
      <c r="P207" s="9" t="s">
        <v>17748</v>
      </c>
      <c r="Q207" s="11" t="s">
        <v>18080</v>
      </c>
      <c r="R207" s="11" t="s">
        <v>18080</v>
      </c>
      <c r="S207" s="11" t="s">
        <v>17750</v>
      </c>
    </row>
    <row r="208" spans="1:19" x14ac:dyDescent="0.2">
      <c r="A208" s="11" t="s">
        <v>19197</v>
      </c>
      <c r="B208" s="9" t="s">
        <v>19198</v>
      </c>
      <c r="C208" s="9" t="s">
        <v>19199</v>
      </c>
      <c r="D208" s="9" t="s">
        <v>19200</v>
      </c>
      <c r="E208" s="9" t="s">
        <v>17740</v>
      </c>
      <c r="F208" s="9" t="s">
        <v>19201</v>
      </c>
      <c r="G208" s="9" t="s">
        <v>17740</v>
      </c>
      <c r="H208" s="11" t="s">
        <v>4341</v>
      </c>
      <c r="I208" s="11" t="s">
        <v>4340</v>
      </c>
      <c r="J208" s="11" t="s">
        <v>4340</v>
      </c>
      <c r="K208" s="9" t="s">
        <v>19202</v>
      </c>
      <c r="L208" s="9" t="s">
        <v>17759</v>
      </c>
      <c r="M208" s="9" t="s">
        <v>19203</v>
      </c>
      <c r="N208" s="9" t="s">
        <v>17746</v>
      </c>
      <c r="O208" s="9" t="s">
        <v>19147</v>
      </c>
      <c r="P208" s="9" t="s">
        <v>17748</v>
      </c>
      <c r="Q208" s="11" t="s">
        <v>18364</v>
      </c>
      <c r="R208" s="11" t="s">
        <v>18364</v>
      </c>
      <c r="S208" s="11" t="s">
        <v>17750</v>
      </c>
    </row>
    <row r="209" spans="1:19" x14ac:dyDescent="0.2">
      <c r="A209" s="11" t="s">
        <v>19204</v>
      </c>
      <c r="B209" s="9" t="s">
        <v>19205</v>
      </c>
      <c r="C209" s="9" t="s">
        <v>19206</v>
      </c>
      <c r="D209" s="9" t="s">
        <v>19207</v>
      </c>
      <c r="E209" s="9" t="s">
        <v>17740</v>
      </c>
      <c r="F209" s="9" t="s">
        <v>17741</v>
      </c>
      <c r="G209" s="9" t="s">
        <v>17740</v>
      </c>
      <c r="H209" s="11" t="s">
        <v>19208</v>
      </c>
      <c r="I209" s="11" t="s">
        <v>8116</v>
      </c>
      <c r="J209" s="11" t="s">
        <v>8116</v>
      </c>
      <c r="K209" s="9" t="s">
        <v>19209</v>
      </c>
      <c r="L209" s="9" t="s">
        <v>18439</v>
      </c>
      <c r="M209" s="9" t="s">
        <v>17760</v>
      </c>
      <c r="N209" s="9" t="s">
        <v>17746</v>
      </c>
      <c r="O209" s="9" t="s">
        <v>19147</v>
      </c>
      <c r="P209" s="9" t="s">
        <v>17748</v>
      </c>
      <c r="Q209" s="11" t="s">
        <v>18356</v>
      </c>
      <c r="R209" s="11" t="s">
        <v>18356</v>
      </c>
      <c r="S209" s="11" t="s">
        <v>17750</v>
      </c>
    </row>
    <row r="210" spans="1:19" x14ac:dyDescent="0.2">
      <c r="A210" s="11" t="s">
        <v>19210</v>
      </c>
      <c r="B210" s="9" t="s">
        <v>19211</v>
      </c>
      <c r="C210" s="9" t="s">
        <v>19212</v>
      </c>
      <c r="D210" s="9" t="s">
        <v>19213</v>
      </c>
      <c r="E210" s="9" t="s">
        <v>17748</v>
      </c>
      <c r="F210" s="9" t="s">
        <v>19214</v>
      </c>
      <c r="G210" s="9" t="s">
        <v>17740</v>
      </c>
      <c r="H210" s="11" t="s">
        <v>7352</v>
      </c>
      <c r="I210" s="11" t="s">
        <v>7351</v>
      </c>
      <c r="J210" s="11" t="s">
        <v>7351</v>
      </c>
      <c r="K210" s="9" t="s">
        <v>18951</v>
      </c>
      <c r="L210" s="9" t="s">
        <v>17759</v>
      </c>
      <c r="M210" s="9" t="s">
        <v>19215</v>
      </c>
      <c r="N210" s="9" t="s">
        <v>17746</v>
      </c>
      <c r="O210" s="9" t="s">
        <v>19216</v>
      </c>
      <c r="P210" s="9" t="s">
        <v>17748</v>
      </c>
      <c r="Q210" s="11" t="s">
        <v>17792</v>
      </c>
      <c r="R210" s="11" t="s">
        <v>17792</v>
      </c>
      <c r="S210" s="11" t="s">
        <v>17750</v>
      </c>
    </row>
    <row r="211" spans="1:19" x14ac:dyDescent="0.2">
      <c r="A211" s="11" t="s">
        <v>19217</v>
      </c>
      <c r="B211" s="9" t="s">
        <v>19218</v>
      </c>
      <c r="C211" s="9" t="s">
        <v>19219</v>
      </c>
      <c r="D211" s="9" t="s">
        <v>19220</v>
      </c>
      <c r="E211" s="9" t="s">
        <v>17740</v>
      </c>
      <c r="F211" s="9" t="s">
        <v>17741</v>
      </c>
      <c r="G211" s="9" t="s">
        <v>17740</v>
      </c>
      <c r="H211" s="11" t="s">
        <v>40</v>
      </c>
      <c r="I211" s="11" t="s">
        <v>39</v>
      </c>
      <c r="J211" s="11" t="s">
        <v>39</v>
      </c>
      <c r="K211" s="9" t="s">
        <v>41</v>
      </c>
      <c r="L211" s="9" t="s">
        <v>17759</v>
      </c>
      <c r="M211" s="9" t="s">
        <v>19168</v>
      </c>
      <c r="N211" s="9" t="s">
        <v>17746</v>
      </c>
      <c r="O211" s="9" t="s">
        <v>19221</v>
      </c>
      <c r="P211" s="9" t="s">
        <v>17748</v>
      </c>
      <c r="Q211" s="11" t="s">
        <v>19222</v>
      </c>
      <c r="R211" s="11" t="s">
        <v>19222</v>
      </c>
      <c r="S211" s="11" t="s">
        <v>17750</v>
      </c>
    </row>
    <row r="212" spans="1:19" x14ac:dyDescent="0.2">
      <c r="A212" s="11" t="s">
        <v>19223</v>
      </c>
      <c r="B212" s="9" t="s">
        <v>19224</v>
      </c>
      <c r="C212" s="9" t="s">
        <v>19225</v>
      </c>
      <c r="D212" s="9" t="s">
        <v>19226</v>
      </c>
      <c r="E212" s="9" t="s">
        <v>17740</v>
      </c>
      <c r="F212" s="9" t="s">
        <v>19227</v>
      </c>
      <c r="G212" s="9" t="s">
        <v>17740</v>
      </c>
      <c r="H212" s="11" t="s">
        <v>397</v>
      </c>
      <c r="I212" s="11" t="s">
        <v>396</v>
      </c>
      <c r="J212" s="11" t="s">
        <v>396</v>
      </c>
      <c r="K212" s="9" t="s">
        <v>398</v>
      </c>
      <c r="L212" s="9" t="s">
        <v>17759</v>
      </c>
      <c r="M212" s="9" t="s">
        <v>17817</v>
      </c>
      <c r="N212" s="9" t="s">
        <v>17746</v>
      </c>
      <c r="O212" s="9" t="s">
        <v>3543</v>
      </c>
      <c r="P212" s="9" t="s">
        <v>17748</v>
      </c>
      <c r="Q212" s="11" t="s">
        <v>19026</v>
      </c>
      <c r="R212" s="11" t="s">
        <v>19026</v>
      </c>
      <c r="S212" s="11" t="s">
        <v>17750</v>
      </c>
    </row>
    <row r="213" spans="1:19" x14ac:dyDescent="0.2">
      <c r="A213" s="11" t="s">
        <v>19228</v>
      </c>
      <c r="B213" s="9" t="s">
        <v>19229</v>
      </c>
      <c r="C213" s="9" t="s">
        <v>19230</v>
      </c>
      <c r="D213" s="9" t="s">
        <v>19231</v>
      </c>
      <c r="E213" s="9" t="s">
        <v>17740</v>
      </c>
      <c r="F213" s="9" t="s">
        <v>19232</v>
      </c>
      <c r="G213" s="9" t="s">
        <v>17740</v>
      </c>
      <c r="H213" s="11" t="s">
        <v>19233</v>
      </c>
      <c r="I213" s="11" t="s">
        <v>19234</v>
      </c>
      <c r="J213" s="11" t="s">
        <v>19234</v>
      </c>
      <c r="K213" s="9" t="s">
        <v>7339</v>
      </c>
      <c r="L213" s="9" t="s">
        <v>17759</v>
      </c>
      <c r="M213" s="9" t="s">
        <v>17769</v>
      </c>
      <c r="N213" s="9" t="s">
        <v>17746</v>
      </c>
      <c r="O213" s="9" t="s">
        <v>19235</v>
      </c>
      <c r="P213" s="9" t="s">
        <v>17748</v>
      </c>
      <c r="Q213" s="11" t="s">
        <v>19236</v>
      </c>
      <c r="R213" s="11" t="s">
        <v>19236</v>
      </c>
      <c r="S213" s="11" t="s">
        <v>17750</v>
      </c>
    </row>
    <row r="214" spans="1:19" x14ac:dyDescent="0.2">
      <c r="A214" s="11" t="s">
        <v>19237</v>
      </c>
      <c r="B214" s="9" t="s">
        <v>19238</v>
      </c>
      <c r="C214" s="9" t="s">
        <v>19239</v>
      </c>
      <c r="D214" s="9" t="s">
        <v>19240</v>
      </c>
      <c r="E214" s="9" t="s">
        <v>17740</v>
      </c>
      <c r="F214" s="9" t="s">
        <v>19241</v>
      </c>
      <c r="G214" s="9" t="s">
        <v>17740</v>
      </c>
      <c r="H214" s="11" t="s">
        <v>19242</v>
      </c>
      <c r="I214" s="11" t="s">
        <v>19243</v>
      </c>
      <c r="J214" s="11" t="s">
        <v>19243</v>
      </c>
      <c r="K214" s="9" t="s">
        <v>19244</v>
      </c>
      <c r="L214" s="9" t="s">
        <v>18158</v>
      </c>
      <c r="M214" s="9" t="s">
        <v>18184</v>
      </c>
      <c r="N214" s="9" t="s">
        <v>18185</v>
      </c>
      <c r="O214" s="9" t="s">
        <v>4025</v>
      </c>
      <c r="P214" s="9" t="s">
        <v>17748</v>
      </c>
      <c r="Q214" s="11" t="s">
        <v>17771</v>
      </c>
      <c r="R214" s="11" t="s">
        <v>17771</v>
      </c>
      <c r="S214" s="11" t="s">
        <v>17750</v>
      </c>
    </row>
    <row r="215" spans="1:19" x14ac:dyDescent="0.2">
      <c r="A215" s="11" t="s">
        <v>19245</v>
      </c>
      <c r="B215" s="9" t="s">
        <v>19246</v>
      </c>
      <c r="C215" s="9" t="s">
        <v>19247</v>
      </c>
      <c r="D215" s="9" t="s">
        <v>19248</v>
      </c>
      <c r="E215" s="9" t="s">
        <v>17740</v>
      </c>
      <c r="F215" s="9" t="s">
        <v>17741</v>
      </c>
      <c r="G215" s="9" t="s">
        <v>17740</v>
      </c>
      <c r="H215" s="11" t="s">
        <v>17741</v>
      </c>
      <c r="I215" s="11" t="s">
        <v>19249</v>
      </c>
      <c r="J215" s="11" t="s">
        <v>19249</v>
      </c>
      <c r="K215" s="9" t="s">
        <v>19250</v>
      </c>
      <c r="L215" s="9" t="s">
        <v>19251</v>
      </c>
      <c r="M215" s="9" t="s">
        <v>17741</v>
      </c>
      <c r="N215" s="9" t="s">
        <v>19252</v>
      </c>
      <c r="O215" s="9" t="s">
        <v>18331</v>
      </c>
      <c r="P215" s="9" t="s">
        <v>17748</v>
      </c>
      <c r="Q215" s="11" t="s">
        <v>18314</v>
      </c>
      <c r="R215" s="11" t="s">
        <v>18314</v>
      </c>
      <c r="S215" s="11" t="s">
        <v>17750</v>
      </c>
    </row>
    <row r="216" spans="1:19" x14ac:dyDescent="0.2">
      <c r="A216" s="11" t="s">
        <v>19253</v>
      </c>
      <c r="B216" s="9" t="s">
        <v>19254</v>
      </c>
      <c r="C216" s="9" t="s">
        <v>19255</v>
      </c>
      <c r="D216" s="9" t="s">
        <v>19256</v>
      </c>
      <c r="E216" s="9" t="s">
        <v>17740</v>
      </c>
      <c r="F216" s="9" t="s">
        <v>19257</v>
      </c>
      <c r="G216" s="9" t="s">
        <v>17740</v>
      </c>
      <c r="H216" s="11" t="s">
        <v>17741</v>
      </c>
      <c r="I216" s="11" t="s">
        <v>19258</v>
      </c>
      <c r="J216" s="11" t="s">
        <v>19258</v>
      </c>
      <c r="K216" s="9" t="s">
        <v>19259</v>
      </c>
      <c r="L216" s="9" t="s">
        <v>17759</v>
      </c>
      <c r="M216" s="9" t="s">
        <v>17760</v>
      </c>
      <c r="N216" s="9" t="s">
        <v>17746</v>
      </c>
      <c r="O216" s="9" t="s">
        <v>17800</v>
      </c>
      <c r="P216" s="9" t="s">
        <v>17748</v>
      </c>
      <c r="Q216" s="11" t="s">
        <v>18847</v>
      </c>
      <c r="R216" s="11" t="s">
        <v>18847</v>
      </c>
      <c r="S216" s="11" t="s">
        <v>17750</v>
      </c>
    </row>
    <row r="217" spans="1:19" x14ac:dyDescent="0.2">
      <c r="A217" s="11" t="s">
        <v>19260</v>
      </c>
      <c r="B217" s="9" t="s">
        <v>19261</v>
      </c>
      <c r="C217" s="9" t="s">
        <v>19262</v>
      </c>
      <c r="D217" s="9" t="s">
        <v>19263</v>
      </c>
      <c r="E217" s="9" t="s">
        <v>17740</v>
      </c>
      <c r="F217" s="9" t="s">
        <v>17741</v>
      </c>
      <c r="G217" s="9" t="s">
        <v>17740</v>
      </c>
      <c r="H217" s="11" t="s">
        <v>17741</v>
      </c>
      <c r="I217" s="11" t="s">
        <v>19264</v>
      </c>
      <c r="J217" s="11" t="s">
        <v>19264</v>
      </c>
      <c r="K217" s="9" t="s">
        <v>19265</v>
      </c>
      <c r="L217" s="9" t="s">
        <v>17759</v>
      </c>
      <c r="M217" s="9" t="s">
        <v>19266</v>
      </c>
      <c r="N217" s="9" t="s">
        <v>17746</v>
      </c>
      <c r="O217" s="9" t="s">
        <v>17993</v>
      </c>
      <c r="P217" s="9" t="s">
        <v>17748</v>
      </c>
      <c r="Q217" s="11" t="s">
        <v>17943</v>
      </c>
      <c r="R217" s="11" t="s">
        <v>17943</v>
      </c>
      <c r="S217" s="11" t="s">
        <v>17750</v>
      </c>
    </row>
    <row r="218" spans="1:19" x14ac:dyDescent="0.2">
      <c r="A218" s="11" t="s">
        <v>19267</v>
      </c>
      <c r="B218" s="9" t="s">
        <v>19268</v>
      </c>
      <c r="C218" s="9" t="s">
        <v>19269</v>
      </c>
      <c r="D218" s="9" t="s">
        <v>19270</v>
      </c>
      <c r="E218" s="9" t="s">
        <v>17740</v>
      </c>
      <c r="F218" s="9" t="s">
        <v>19271</v>
      </c>
      <c r="G218" s="9" t="s">
        <v>17740</v>
      </c>
      <c r="H218" s="11" t="s">
        <v>17741</v>
      </c>
      <c r="I218" s="11" t="s">
        <v>19272</v>
      </c>
      <c r="J218" s="11" t="s">
        <v>19272</v>
      </c>
      <c r="K218" s="9" t="s">
        <v>19273</v>
      </c>
      <c r="L218" s="9" t="s">
        <v>17759</v>
      </c>
      <c r="M218" s="9" t="s">
        <v>19274</v>
      </c>
      <c r="N218" s="9" t="s">
        <v>17746</v>
      </c>
      <c r="O218" s="9" t="s">
        <v>19275</v>
      </c>
      <c r="P218" s="9" t="s">
        <v>17748</v>
      </c>
      <c r="Q218" s="11" t="s">
        <v>18178</v>
      </c>
      <c r="R218" s="11" t="s">
        <v>18178</v>
      </c>
      <c r="S218" s="11" t="s">
        <v>17750</v>
      </c>
    </row>
    <row r="219" spans="1:19" x14ac:dyDescent="0.2">
      <c r="A219" s="11" t="s">
        <v>19276</v>
      </c>
      <c r="B219" s="9" t="s">
        <v>19277</v>
      </c>
      <c r="C219" s="9" t="s">
        <v>19278</v>
      </c>
      <c r="D219" s="9" t="s">
        <v>19279</v>
      </c>
      <c r="E219" s="9" t="s">
        <v>17748</v>
      </c>
      <c r="F219" s="9" t="s">
        <v>19280</v>
      </c>
      <c r="G219" s="9" t="s">
        <v>17740</v>
      </c>
      <c r="H219" s="11" t="s">
        <v>17741</v>
      </c>
      <c r="I219" s="11" t="s">
        <v>19281</v>
      </c>
      <c r="J219" s="11" t="s">
        <v>19281</v>
      </c>
      <c r="K219" s="9" t="s">
        <v>19282</v>
      </c>
      <c r="L219" s="9" t="s">
        <v>18959</v>
      </c>
      <c r="M219" s="9" t="s">
        <v>19283</v>
      </c>
      <c r="N219" s="9" t="s">
        <v>17746</v>
      </c>
      <c r="O219" s="9" t="s">
        <v>17800</v>
      </c>
      <c r="P219" s="9" t="s">
        <v>17748</v>
      </c>
      <c r="Q219" s="11" t="s">
        <v>18798</v>
      </c>
      <c r="R219" s="11" t="s">
        <v>18798</v>
      </c>
      <c r="S219" s="11" t="s">
        <v>17750</v>
      </c>
    </row>
    <row r="220" spans="1:19" x14ac:dyDescent="0.2">
      <c r="A220" s="11" t="s">
        <v>19284</v>
      </c>
      <c r="B220" s="9" t="s">
        <v>19285</v>
      </c>
      <c r="C220" s="9" t="s">
        <v>19286</v>
      </c>
      <c r="D220" s="9" t="s">
        <v>429</v>
      </c>
      <c r="E220" s="9" t="s">
        <v>17740</v>
      </c>
      <c r="F220" s="9" t="s">
        <v>19287</v>
      </c>
      <c r="G220" s="9" t="s">
        <v>17740</v>
      </c>
      <c r="H220" s="11" t="s">
        <v>431</v>
      </c>
      <c r="I220" s="11" t="s">
        <v>430</v>
      </c>
      <c r="J220" s="11" t="s">
        <v>430</v>
      </c>
      <c r="K220" s="9" t="s">
        <v>18661</v>
      </c>
      <c r="L220" s="9" t="s">
        <v>17759</v>
      </c>
      <c r="M220" s="9" t="s">
        <v>19288</v>
      </c>
      <c r="N220" s="9" t="s">
        <v>17746</v>
      </c>
      <c r="O220" s="9" t="s">
        <v>18644</v>
      </c>
      <c r="P220" s="9" t="s">
        <v>17748</v>
      </c>
      <c r="Q220" s="11" t="s">
        <v>18341</v>
      </c>
      <c r="R220" s="11" t="s">
        <v>18341</v>
      </c>
      <c r="S220" s="11" t="s">
        <v>17750</v>
      </c>
    </row>
    <row r="221" spans="1:19" x14ac:dyDescent="0.2">
      <c r="A221" s="11" t="s">
        <v>19289</v>
      </c>
      <c r="B221" s="9" t="s">
        <v>19290</v>
      </c>
      <c r="C221" s="9" t="s">
        <v>19291</v>
      </c>
      <c r="D221" s="9" t="s">
        <v>19292</v>
      </c>
      <c r="E221" s="9" t="s">
        <v>17740</v>
      </c>
      <c r="F221" s="9" t="s">
        <v>19293</v>
      </c>
      <c r="G221" s="9" t="s">
        <v>17740</v>
      </c>
      <c r="H221" s="11" t="s">
        <v>422</v>
      </c>
      <c r="I221" s="11" t="s">
        <v>421</v>
      </c>
      <c r="J221" s="11" t="s">
        <v>421</v>
      </c>
      <c r="K221" s="9" t="s">
        <v>55</v>
      </c>
      <c r="L221" s="9" t="s">
        <v>17744</v>
      </c>
      <c r="M221" s="9" t="s">
        <v>17769</v>
      </c>
      <c r="N221" s="9" t="s">
        <v>17746</v>
      </c>
      <c r="O221" s="9" t="s">
        <v>18644</v>
      </c>
      <c r="P221" s="9" t="s">
        <v>17748</v>
      </c>
      <c r="Q221" s="11" t="s">
        <v>17978</v>
      </c>
      <c r="R221" s="11" t="s">
        <v>17978</v>
      </c>
      <c r="S221" s="11" t="s">
        <v>17750</v>
      </c>
    </row>
    <row r="222" spans="1:19" x14ac:dyDescent="0.2">
      <c r="A222" s="11" t="s">
        <v>19294</v>
      </c>
      <c r="B222" s="9" t="s">
        <v>19295</v>
      </c>
      <c r="C222" s="9" t="s">
        <v>19296</v>
      </c>
      <c r="D222" s="9" t="s">
        <v>19297</v>
      </c>
      <c r="E222" s="9" t="s">
        <v>17740</v>
      </c>
      <c r="F222" s="9" t="s">
        <v>17741</v>
      </c>
      <c r="G222" s="9" t="s">
        <v>17740</v>
      </c>
      <c r="H222" s="11" t="s">
        <v>17741</v>
      </c>
      <c r="I222" s="11" t="s">
        <v>19298</v>
      </c>
      <c r="J222" s="11" t="s">
        <v>19298</v>
      </c>
      <c r="K222" s="9" t="s">
        <v>55</v>
      </c>
      <c r="L222" s="9" t="s">
        <v>17744</v>
      </c>
      <c r="M222" s="9" t="s">
        <v>17942</v>
      </c>
      <c r="N222" s="9" t="s">
        <v>17746</v>
      </c>
      <c r="O222" s="9" t="s">
        <v>18644</v>
      </c>
      <c r="P222" s="9" t="s">
        <v>17748</v>
      </c>
      <c r="Q222" s="11" t="s">
        <v>18364</v>
      </c>
      <c r="R222" s="11" t="s">
        <v>18364</v>
      </c>
      <c r="S222" s="11" t="s">
        <v>17750</v>
      </c>
    </row>
    <row r="223" spans="1:19" x14ac:dyDescent="0.2">
      <c r="A223" s="11" t="s">
        <v>19299</v>
      </c>
      <c r="B223" s="9" t="s">
        <v>19300</v>
      </c>
      <c r="C223" s="9" t="s">
        <v>19301</v>
      </c>
      <c r="D223" s="9" t="s">
        <v>19302</v>
      </c>
      <c r="E223" s="9" t="s">
        <v>17748</v>
      </c>
      <c r="F223" s="9" t="s">
        <v>19303</v>
      </c>
      <c r="G223" s="9" t="s">
        <v>17740</v>
      </c>
      <c r="H223" s="11" t="s">
        <v>19304</v>
      </c>
      <c r="I223" s="11" t="s">
        <v>19305</v>
      </c>
      <c r="J223" s="11" t="s">
        <v>19305</v>
      </c>
      <c r="K223" s="9" t="s">
        <v>17741</v>
      </c>
      <c r="L223" s="9" t="s">
        <v>17759</v>
      </c>
      <c r="M223" s="9" t="s">
        <v>17760</v>
      </c>
      <c r="N223" s="9" t="s">
        <v>17746</v>
      </c>
      <c r="O223" s="9" t="s">
        <v>18644</v>
      </c>
      <c r="P223" s="9" t="s">
        <v>17748</v>
      </c>
      <c r="Q223" s="11" t="s">
        <v>17923</v>
      </c>
      <c r="R223" s="11" t="s">
        <v>17923</v>
      </c>
      <c r="S223" s="11" t="s">
        <v>17750</v>
      </c>
    </row>
    <row r="224" spans="1:19" x14ac:dyDescent="0.2">
      <c r="A224" s="11" t="s">
        <v>19306</v>
      </c>
      <c r="B224" s="9" t="s">
        <v>19307</v>
      </c>
      <c r="C224" s="9" t="s">
        <v>19308</v>
      </c>
      <c r="D224" s="9" t="s">
        <v>19309</v>
      </c>
      <c r="E224" s="9" t="s">
        <v>17740</v>
      </c>
      <c r="F224" s="9" t="s">
        <v>17741</v>
      </c>
      <c r="G224" s="9" t="s">
        <v>17740</v>
      </c>
      <c r="H224" s="11" t="s">
        <v>140</v>
      </c>
      <c r="I224" s="11" t="s">
        <v>139</v>
      </c>
      <c r="J224" s="11" t="s">
        <v>139</v>
      </c>
      <c r="K224" s="9" t="s">
        <v>970</v>
      </c>
      <c r="L224" s="9" t="s">
        <v>17744</v>
      </c>
      <c r="M224" s="9" t="s">
        <v>18109</v>
      </c>
      <c r="N224" s="9" t="s">
        <v>17746</v>
      </c>
      <c r="O224" s="9" t="s">
        <v>18644</v>
      </c>
      <c r="P224" s="9" t="s">
        <v>17748</v>
      </c>
      <c r="Q224" s="11" t="s">
        <v>18600</v>
      </c>
      <c r="R224" s="11" t="s">
        <v>18600</v>
      </c>
      <c r="S224" s="11" t="s">
        <v>17750</v>
      </c>
    </row>
    <row r="225" spans="1:19" x14ac:dyDescent="0.2">
      <c r="A225" s="11" t="s">
        <v>19310</v>
      </c>
      <c r="B225" s="9" t="s">
        <v>19311</v>
      </c>
      <c r="C225" s="9" t="s">
        <v>19312</v>
      </c>
      <c r="D225" s="9" t="s">
        <v>19313</v>
      </c>
      <c r="E225" s="9" t="s">
        <v>17740</v>
      </c>
      <c r="F225" s="9" t="s">
        <v>17741</v>
      </c>
      <c r="G225" s="9" t="s">
        <v>17740</v>
      </c>
      <c r="H225" s="11" t="s">
        <v>5026</v>
      </c>
      <c r="I225" s="11" t="s">
        <v>5025</v>
      </c>
      <c r="J225" s="11" t="s">
        <v>5025</v>
      </c>
      <c r="K225" s="9" t="s">
        <v>970</v>
      </c>
      <c r="L225" s="9" t="s">
        <v>17744</v>
      </c>
      <c r="M225" s="9" t="s">
        <v>19314</v>
      </c>
      <c r="N225" s="9" t="s">
        <v>17746</v>
      </c>
      <c r="O225" s="9" t="s">
        <v>19315</v>
      </c>
      <c r="P225" s="9" t="s">
        <v>17748</v>
      </c>
      <c r="Q225" s="11" t="s">
        <v>18364</v>
      </c>
      <c r="R225" s="11" t="s">
        <v>18364</v>
      </c>
      <c r="S225" s="11" t="s">
        <v>17750</v>
      </c>
    </row>
    <row r="226" spans="1:19" x14ac:dyDescent="0.2">
      <c r="A226" s="11" t="s">
        <v>19316</v>
      </c>
      <c r="B226" s="9" t="s">
        <v>19317</v>
      </c>
      <c r="C226" s="9" t="s">
        <v>19318</v>
      </c>
      <c r="D226" s="9" t="s">
        <v>19319</v>
      </c>
      <c r="E226" s="9" t="s">
        <v>17740</v>
      </c>
      <c r="F226" s="9" t="s">
        <v>19320</v>
      </c>
      <c r="G226" s="9" t="s">
        <v>17740</v>
      </c>
      <c r="H226" s="11" t="s">
        <v>17741</v>
      </c>
      <c r="I226" s="11" t="s">
        <v>19321</v>
      </c>
      <c r="J226" s="11" t="s">
        <v>19321</v>
      </c>
      <c r="K226" s="9" t="s">
        <v>601</v>
      </c>
      <c r="L226" s="9" t="s">
        <v>17759</v>
      </c>
      <c r="M226" s="9" t="s">
        <v>17942</v>
      </c>
      <c r="N226" s="9" t="s">
        <v>17746</v>
      </c>
      <c r="O226" s="9" t="s">
        <v>19322</v>
      </c>
      <c r="P226" s="9" t="s">
        <v>17748</v>
      </c>
      <c r="Q226" s="11" t="s">
        <v>18798</v>
      </c>
      <c r="R226" s="11" t="s">
        <v>18798</v>
      </c>
      <c r="S226" s="11" t="s">
        <v>17750</v>
      </c>
    </row>
    <row r="227" spans="1:19" x14ac:dyDescent="0.2">
      <c r="A227" s="11" t="s">
        <v>19323</v>
      </c>
      <c r="B227" s="9" t="s">
        <v>19324</v>
      </c>
      <c r="C227" s="9" t="s">
        <v>19325</v>
      </c>
      <c r="D227" s="9" t="s">
        <v>19326</v>
      </c>
      <c r="E227" s="9" t="s">
        <v>17740</v>
      </c>
      <c r="F227" s="9" t="s">
        <v>17741</v>
      </c>
      <c r="G227" s="9" t="s">
        <v>17740</v>
      </c>
      <c r="H227" s="11" t="s">
        <v>225</v>
      </c>
      <c r="I227" s="11" t="s">
        <v>224</v>
      </c>
      <c r="J227" s="11" t="s">
        <v>224</v>
      </c>
      <c r="K227" s="9" t="s">
        <v>18438</v>
      </c>
      <c r="L227" s="9" t="s">
        <v>18439</v>
      </c>
      <c r="M227" s="9" t="s">
        <v>17769</v>
      </c>
      <c r="N227" s="9" t="s">
        <v>18171</v>
      </c>
      <c r="O227" s="9" t="s">
        <v>18882</v>
      </c>
      <c r="P227" s="9" t="s">
        <v>17748</v>
      </c>
      <c r="Q227" s="11" t="s">
        <v>18243</v>
      </c>
      <c r="R227" s="11" t="s">
        <v>18243</v>
      </c>
      <c r="S227" s="11" t="s">
        <v>17750</v>
      </c>
    </row>
    <row r="228" spans="1:19" x14ac:dyDescent="0.2">
      <c r="A228" s="11" t="s">
        <v>19327</v>
      </c>
      <c r="B228" s="9" t="s">
        <v>19328</v>
      </c>
      <c r="C228" s="9" t="s">
        <v>19329</v>
      </c>
      <c r="D228" s="9" t="s">
        <v>19330</v>
      </c>
      <c r="E228" s="9" t="s">
        <v>17740</v>
      </c>
      <c r="F228" s="9" t="s">
        <v>17741</v>
      </c>
      <c r="G228" s="9" t="s">
        <v>17740</v>
      </c>
      <c r="H228" s="11" t="s">
        <v>7703</v>
      </c>
      <c r="I228" s="11" t="s">
        <v>7702</v>
      </c>
      <c r="J228" s="11" t="s">
        <v>7702</v>
      </c>
      <c r="K228" s="9" t="s">
        <v>634</v>
      </c>
      <c r="L228" s="9" t="s">
        <v>18242</v>
      </c>
      <c r="M228" s="9" t="s">
        <v>17760</v>
      </c>
      <c r="N228" s="9" t="s">
        <v>17746</v>
      </c>
      <c r="O228" s="9" t="s">
        <v>18882</v>
      </c>
      <c r="P228" s="9" t="s">
        <v>17748</v>
      </c>
      <c r="Q228" s="11" t="s">
        <v>18201</v>
      </c>
      <c r="R228" s="11" t="s">
        <v>18201</v>
      </c>
      <c r="S228" s="11" t="s">
        <v>17750</v>
      </c>
    </row>
    <row r="229" spans="1:19" x14ac:dyDescent="0.2">
      <c r="A229" s="11" t="s">
        <v>19331</v>
      </c>
      <c r="B229" s="9" t="s">
        <v>19332</v>
      </c>
      <c r="C229" s="9" t="s">
        <v>19333</v>
      </c>
      <c r="D229" s="9" t="s">
        <v>19332</v>
      </c>
      <c r="E229" s="9" t="s">
        <v>17740</v>
      </c>
      <c r="F229" s="9" t="s">
        <v>19334</v>
      </c>
      <c r="G229" s="9" t="s">
        <v>17740</v>
      </c>
      <c r="H229" s="11" t="s">
        <v>2844</v>
      </c>
      <c r="I229" s="11" t="s">
        <v>2843</v>
      </c>
      <c r="J229" s="11" t="s">
        <v>2843</v>
      </c>
      <c r="K229" s="9" t="s">
        <v>970</v>
      </c>
      <c r="L229" s="9" t="s">
        <v>18305</v>
      </c>
      <c r="M229" s="9" t="s">
        <v>17817</v>
      </c>
      <c r="N229" s="9" t="s">
        <v>17746</v>
      </c>
      <c r="O229" s="9" t="s">
        <v>18882</v>
      </c>
      <c r="P229" s="9" t="s">
        <v>17748</v>
      </c>
      <c r="Q229" s="11" t="s">
        <v>19335</v>
      </c>
      <c r="R229" s="11" t="s">
        <v>19335</v>
      </c>
      <c r="S229" s="11" t="s">
        <v>17750</v>
      </c>
    </row>
    <row r="230" spans="1:19" x14ac:dyDescent="0.2">
      <c r="A230" s="11" t="s">
        <v>19336</v>
      </c>
      <c r="B230" s="9" t="s">
        <v>19337</v>
      </c>
      <c r="C230" s="9" t="s">
        <v>19338</v>
      </c>
      <c r="D230" s="9" t="s">
        <v>19339</v>
      </c>
      <c r="E230" s="9" t="s">
        <v>17748</v>
      </c>
      <c r="F230" s="9" t="s">
        <v>19340</v>
      </c>
      <c r="G230" s="9" t="s">
        <v>17740</v>
      </c>
      <c r="H230" s="11" t="s">
        <v>6833</v>
      </c>
      <c r="I230" s="11" t="s">
        <v>6832</v>
      </c>
      <c r="J230" s="11" t="s">
        <v>6832</v>
      </c>
      <c r="K230" s="9" t="s">
        <v>19341</v>
      </c>
      <c r="L230" s="9" t="s">
        <v>17759</v>
      </c>
      <c r="M230" s="9" t="s">
        <v>17769</v>
      </c>
      <c r="N230" s="9" t="s">
        <v>17746</v>
      </c>
      <c r="O230" s="9" t="s">
        <v>19342</v>
      </c>
      <c r="P230" s="9" t="s">
        <v>17748</v>
      </c>
      <c r="Q230" s="11" t="s">
        <v>18201</v>
      </c>
      <c r="R230" s="11" t="s">
        <v>18201</v>
      </c>
      <c r="S230" s="11" t="s">
        <v>17750</v>
      </c>
    </row>
    <row r="231" spans="1:19" x14ac:dyDescent="0.2">
      <c r="A231" s="11" t="s">
        <v>19343</v>
      </c>
      <c r="B231" s="9" t="s">
        <v>19344</v>
      </c>
      <c r="C231" s="9" t="s">
        <v>19345</v>
      </c>
      <c r="D231" s="9" t="s">
        <v>19346</v>
      </c>
      <c r="E231" s="9" t="s">
        <v>17740</v>
      </c>
      <c r="F231" s="9" t="s">
        <v>17741</v>
      </c>
      <c r="G231" s="9" t="s">
        <v>17740</v>
      </c>
      <c r="H231" s="11" t="s">
        <v>17741</v>
      </c>
      <c r="I231" s="11" t="s">
        <v>19347</v>
      </c>
      <c r="J231" s="11" t="s">
        <v>19347</v>
      </c>
      <c r="K231" s="9" t="s">
        <v>19348</v>
      </c>
      <c r="L231" s="9" t="s">
        <v>17759</v>
      </c>
      <c r="M231" s="9" t="s">
        <v>17760</v>
      </c>
      <c r="N231" s="9" t="s">
        <v>17746</v>
      </c>
      <c r="O231" s="9" t="s">
        <v>18340</v>
      </c>
      <c r="P231" s="9" t="s">
        <v>17748</v>
      </c>
      <c r="Q231" s="11" t="s">
        <v>19349</v>
      </c>
      <c r="R231" s="11" t="s">
        <v>19349</v>
      </c>
      <c r="S231" s="11" t="s">
        <v>17750</v>
      </c>
    </row>
    <row r="232" spans="1:19" x14ac:dyDescent="0.2">
      <c r="A232" s="11" t="s">
        <v>19350</v>
      </c>
      <c r="B232" s="9" t="s">
        <v>19351</v>
      </c>
      <c r="C232" s="9" t="s">
        <v>19352</v>
      </c>
      <c r="D232" s="9" t="s">
        <v>19353</v>
      </c>
      <c r="E232" s="9" t="s">
        <v>17740</v>
      </c>
      <c r="F232" s="9" t="s">
        <v>17741</v>
      </c>
      <c r="G232" s="9" t="s">
        <v>17740</v>
      </c>
      <c r="H232" s="11" t="s">
        <v>17741</v>
      </c>
      <c r="I232" s="11" t="s">
        <v>7488</v>
      </c>
      <c r="J232" s="11" t="s">
        <v>7488</v>
      </c>
      <c r="K232" s="9" t="s">
        <v>7487</v>
      </c>
      <c r="L232" s="9" t="s">
        <v>17759</v>
      </c>
      <c r="M232" s="9" t="s">
        <v>19354</v>
      </c>
      <c r="N232" s="9" t="s">
        <v>17746</v>
      </c>
      <c r="O232" s="9" t="s">
        <v>18607</v>
      </c>
      <c r="P232" s="9" t="s">
        <v>17748</v>
      </c>
      <c r="Q232" s="11" t="s">
        <v>18201</v>
      </c>
      <c r="R232" s="11" t="s">
        <v>18201</v>
      </c>
      <c r="S232" s="11" t="s">
        <v>17750</v>
      </c>
    </row>
    <row r="233" spans="1:19" x14ac:dyDescent="0.2">
      <c r="A233" s="11" t="s">
        <v>19355</v>
      </c>
      <c r="B233" s="9" t="s">
        <v>19356</v>
      </c>
      <c r="C233" s="9" t="s">
        <v>19357</v>
      </c>
      <c r="D233" s="9" t="s">
        <v>19358</v>
      </c>
      <c r="E233" s="9" t="s">
        <v>17740</v>
      </c>
      <c r="F233" s="9" t="s">
        <v>17741</v>
      </c>
      <c r="G233" s="9" t="s">
        <v>17740</v>
      </c>
      <c r="H233" s="11" t="s">
        <v>17741</v>
      </c>
      <c r="I233" s="11" t="s">
        <v>19359</v>
      </c>
      <c r="J233" s="11" t="s">
        <v>19359</v>
      </c>
      <c r="K233" s="9" t="s">
        <v>19360</v>
      </c>
      <c r="L233" s="9" t="s">
        <v>17759</v>
      </c>
      <c r="M233" s="9" t="s">
        <v>17769</v>
      </c>
      <c r="N233" s="9" t="s">
        <v>17746</v>
      </c>
      <c r="O233" s="9" t="s">
        <v>18607</v>
      </c>
      <c r="P233" s="9" t="s">
        <v>17748</v>
      </c>
      <c r="Q233" s="11" t="s">
        <v>19361</v>
      </c>
      <c r="R233" s="11" t="s">
        <v>19361</v>
      </c>
      <c r="S233" s="11" t="s">
        <v>17750</v>
      </c>
    </row>
    <row r="234" spans="1:19" x14ac:dyDescent="0.2">
      <c r="A234" s="11" t="s">
        <v>19362</v>
      </c>
      <c r="B234" s="9" t="s">
        <v>19363</v>
      </c>
      <c r="C234" s="9" t="s">
        <v>19364</v>
      </c>
      <c r="D234" s="9" t="s">
        <v>19365</v>
      </c>
      <c r="E234" s="9" t="s">
        <v>17740</v>
      </c>
      <c r="F234" s="9" t="s">
        <v>19366</v>
      </c>
      <c r="G234" s="9" t="s">
        <v>17740</v>
      </c>
      <c r="H234" s="11" t="s">
        <v>17741</v>
      </c>
      <c r="I234" s="11" t="s">
        <v>7925</v>
      </c>
      <c r="J234" s="11" t="s">
        <v>7925</v>
      </c>
      <c r="K234" s="9" t="s">
        <v>19367</v>
      </c>
      <c r="L234" s="9" t="s">
        <v>17744</v>
      </c>
      <c r="M234" s="9" t="s">
        <v>19368</v>
      </c>
      <c r="N234" s="9" t="s">
        <v>17746</v>
      </c>
      <c r="O234" s="9" t="s">
        <v>19369</v>
      </c>
      <c r="P234" s="9" t="s">
        <v>17748</v>
      </c>
      <c r="Q234" s="11" t="s">
        <v>18433</v>
      </c>
      <c r="R234" s="11" t="s">
        <v>18433</v>
      </c>
      <c r="S234" s="11" t="s">
        <v>17750</v>
      </c>
    </row>
    <row r="235" spans="1:19" x14ac:dyDescent="0.2">
      <c r="A235" s="11" t="s">
        <v>19370</v>
      </c>
      <c r="B235" s="9" t="s">
        <v>19371</v>
      </c>
      <c r="C235" s="9" t="s">
        <v>19371</v>
      </c>
      <c r="D235" s="9" t="s">
        <v>19371</v>
      </c>
      <c r="E235" s="9" t="s">
        <v>17740</v>
      </c>
      <c r="F235" s="9" t="s">
        <v>19372</v>
      </c>
      <c r="G235" s="9" t="s">
        <v>17740</v>
      </c>
      <c r="H235" s="11" t="s">
        <v>17741</v>
      </c>
      <c r="I235" s="11" t="s">
        <v>9445</v>
      </c>
      <c r="J235" s="11" t="s">
        <v>9445</v>
      </c>
      <c r="K235" s="9" t="s">
        <v>19373</v>
      </c>
      <c r="L235" s="9" t="s">
        <v>18158</v>
      </c>
      <c r="M235" s="9" t="s">
        <v>17760</v>
      </c>
      <c r="N235" s="9" t="s">
        <v>17746</v>
      </c>
      <c r="O235" s="9" t="s">
        <v>19369</v>
      </c>
      <c r="P235" s="9" t="s">
        <v>17748</v>
      </c>
      <c r="Q235" s="11" t="s">
        <v>17808</v>
      </c>
      <c r="R235" s="11" t="s">
        <v>17808</v>
      </c>
      <c r="S235" s="11" t="s">
        <v>17750</v>
      </c>
    </row>
    <row r="236" spans="1:19" x14ac:dyDescent="0.2">
      <c r="A236" s="11" t="s">
        <v>19374</v>
      </c>
      <c r="B236" s="9" t="s">
        <v>19375</v>
      </c>
      <c r="C236" s="9" t="s">
        <v>19376</v>
      </c>
      <c r="D236" s="9" t="s">
        <v>19377</v>
      </c>
      <c r="E236" s="9" t="s">
        <v>17740</v>
      </c>
      <c r="F236" s="9" t="s">
        <v>17741</v>
      </c>
      <c r="G236" s="9" t="s">
        <v>17740</v>
      </c>
      <c r="H236" s="11" t="s">
        <v>19378</v>
      </c>
      <c r="I236" s="11" t="s">
        <v>4558</v>
      </c>
      <c r="J236" s="11" t="s">
        <v>4558</v>
      </c>
      <c r="K236" s="9" t="s">
        <v>17758</v>
      </c>
      <c r="L236" s="9" t="s">
        <v>17759</v>
      </c>
      <c r="M236" s="9" t="s">
        <v>17760</v>
      </c>
      <c r="N236" s="9" t="s">
        <v>17746</v>
      </c>
      <c r="O236" s="9" t="s">
        <v>19379</v>
      </c>
      <c r="P236" s="9" t="s">
        <v>17748</v>
      </c>
      <c r="Q236" s="11" t="s">
        <v>18364</v>
      </c>
      <c r="R236" s="11" t="s">
        <v>18364</v>
      </c>
      <c r="S236" s="11" t="s">
        <v>17750</v>
      </c>
    </row>
    <row r="237" spans="1:19" x14ac:dyDescent="0.2">
      <c r="A237" s="11" t="s">
        <v>19380</v>
      </c>
      <c r="B237" s="9" t="s">
        <v>19381</v>
      </c>
      <c r="C237" s="9" t="s">
        <v>19382</v>
      </c>
      <c r="D237" s="9" t="s">
        <v>19383</v>
      </c>
      <c r="E237" s="9" t="s">
        <v>17740</v>
      </c>
      <c r="F237" s="9" t="s">
        <v>17741</v>
      </c>
      <c r="G237" s="9" t="s">
        <v>17740</v>
      </c>
      <c r="H237" s="11" t="s">
        <v>11166</v>
      </c>
      <c r="I237" s="11" t="s">
        <v>11165</v>
      </c>
      <c r="J237" s="11" t="s">
        <v>11165</v>
      </c>
      <c r="K237" s="9" t="s">
        <v>19384</v>
      </c>
      <c r="L237" s="9" t="s">
        <v>17759</v>
      </c>
      <c r="M237" s="9" t="s">
        <v>17760</v>
      </c>
      <c r="N237" s="9" t="s">
        <v>17746</v>
      </c>
      <c r="O237" s="9" t="s">
        <v>19379</v>
      </c>
      <c r="P237" s="9" t="s">
        <v>17748</v>
      </c>
      <c r="Q237" s="11" t="s">
        <v>17984</v>
      </c>
      <c r="R237" s="11" t="s">
        <v>17984</v>
      </c>
      <c r="S237" s="11" t="s">
        <v>17750</v>
      </c>
    </row>
    <row r="238" spans="1:19" x14ac:dyDescent="0.2">
      <c r="A238" s="11" t="s">
        <v>19385</v>
      </c>
      <c r="B238" s="9" t="s">
        <v>19386</v>
      </c>
      <c r="C238" s="9" t="s">
        <v>19387</v>
      </c>
      <c r="D238" s="9" t="s">
        <v>19386</v>
      </c>
      <c r="E238" s="9" t="s">
        <v>17740</v>
      </c>
      <c r="F238" s="9" t="s">
        <v>17741</v>
      </c>
      <c r="G238" s="9" t="s">
        <v>17740</v>
      </c>
      <c r="H238" s="11" t="s">
        <v>19388</v>
      </c>
      <c r="I238" s="11" t="s">
        <v>19389</v>
      </c>
      <c r="J238" s="11" t="s">
        <v>19389</v>
      </c>
      <c r="K238" s="9" t="s">
        <v>19390</v>
      </c>
      <c r="L238" s="9" t="s">
        <v>18130</v>
      </c>
      <c r="M238" s="9" t="s">
        <v>18177</v>
      </c>
      <c r="N238" s="9" t="s">
        <v>17746</v>
      </c>
      <c r="O238" s="9" t="s">
        <v>19391</v>
      </c>
      <c r="P238" s="9" t="s">
        <v>17748</v>
      </c>
      <c r="Q238" s="11" t="s">
        <v>19082</v>
      </c>
      <c r="R238" s="11" t="s">
        <v>19082</v>
      </c>
      <c r="S238" s="11" t="s">
        <v>17750</v>
      </c>
    </row>
    <row r="239" spans="1:19" x14ac:dyDescent="0.2">
      <c r="A239" s="11" t="s">
        <v>19392</v>
      </c>
      <c r="B239" s="9" t="s">
        <v>19393</v>
      </c>
      <c r="C239" s="9" t="s">
        <v>19394</v>
      </c>
      <c r="D239" s="9" t="s">
        <v>19393</v>
      </c>
      <c r="E239" s="9" t="s">
        <v>17740</v>
      </c>
      <c r="F239" s="9" t="s">
        <v>17741</v>
      </c>
      <c r="G239" s="9" t="s">
        <v>17740</v>
      </c>
      <c r="H239" s="11" t="s">
        <v>17741</v>
      </c>
      <c r="I239" s="11" t="s">
        <v>19395</v>
      </c>
      <c r="J239" s="11" t="s">
        <v>19395</v>
      </c>
      <c r="K239" s="9" t="s">
        <v>19396</v>
      </c>
      <c r="L239" s="9" t="s">
        <v>17744</v>
      </c>
      <c r="M239" s="9" t="s">
        <v>19397</v>
      </c>
      <c r="N239" s="9" t="s">
        <v>17746</v>
      </c>
      <c r="O239" s="9" t="s">
        <v>19398</v>
      </c>
      <c r="P239" s="9" t="s">
        <v>17748</v>
      </c>
      <c r="Q239" s="11" t="s">
        <v>18493</v>
      </c>
      <c r="R239" s="11" t="s">
        <v>18493</v>
      </c>
      <c r="S239" s="11" t="s">
        <v>17750</v>
      </c>
    </row>
    <row r="240" spans="1:19" x14ac:dyDescent="0.2">
      <c r="A240" s="11" t="s">
        <v>19399</v>
      </c>
      <c r="B240" s="9" t="s">
        <v>19400</v>
      </c>
      <c r="C240" s="9" t="s">
        <v>19401</v>
      </c>
      <c r="D240" s="9" t="s">
        <v>19402</v>
      </c>
      <c r="E240" s="9" t="s">
        <v>17740</v>
      </c>
      <c r="F240" s="9" t="s">
        <v>19403</v>
      </c>
      <c r="G240" s="9" t="s">
        <v>17740</v>
      </c>
      <c r="H240" s="11" t="s">
        <v>17741</v>
      </c>
      <c r="I240" s="11" t="s">
        <v>19404</v>
      </c>
      <c r="J240" s="11" t="s">
        <v>19404</v>
      </c>
      <c r="K240" s="9" t="s">
        <v>19405</v>
      </c>
      <c r="L240" s="9" t="s">
        <v>17759</v>
      </c>
      <c r="M240" s="9" t="s">
        <v>18170</v>
      </c>
      <c r="N240" s="9" t="s">
        <v>17746</v>
      </c>
      <c r="O240" s="9" t="s">
        <v>19406</v>
      </c>
      <c r="P240" s="9" t="s">
        <v>17748</v>
      </c>
      <c r="Q240" s="11" t="s">
        <v>19407</v>
      </c>
      <c r="R240" s="11" t="s">
        <v>19407</v>
      </c>
      <c r="S240" s="11" t="s">
        <v>17750</v>
      </c>
    </row>
    <row r="241" spans="1:19" x14ac:dyDescent="0.2">
      <c r="A241" s="11" t="s">
        <v>19408</v>
      </c>
      <c r="B241" s="9" t="s">
        <v>19409</v>
      </c>
      <c r="C241" s="9" t="s">
        <v>19410</v>
      </c>
      <c r="D241" s="9" t="s">
        <v>19411</v>
      </c>
      <c r="E241" s="9" t="s">
        <v>17740</v>
      </c>
      <c r="F241" s="9" t="s">
        <v>17741</v>
      </c>
      <c r="G241" s="9" t="s">
        <v>17740</v>
      </c>
      <c r="H241" s="11" t="s">
        <v>17741</v>
      </c>
      <c r="I241" s="11" t="s">
        <v>19412</v>
      </c>
      <c r="J241" s="11" t="s">
        <v>19412</v>
      </c>
      <c r="K241" s="9" t="s">
        <v>19413</v>
      </c>
      <c r="L241" s="9" t="s">
        <v>17759</v>
      </c>
      <c r="M241" s="9" t="s">
        <v>19414</v>
      </c>
      <c r="N241" s="9" t="s">
        <v>17746</v>
      </c>
      <c r="O241" s="9" t="s">
        <v>17848</v>
      </c>
      <c r="P241" s="9" t="s">
        <v>17748</v>
      </c>
      <c r="Q241" s="11" t="s">
        <v>19415</v>
      </c>
      <c r="R241" s="11" t="s">
        <v>19415</v>
      </c>
      <c r="S241" s="11" t="s">
        <v>17750</v>
      </c>
    </row>
    <row r="242" spans="1:19" x14ac:dyDescent="0.2">
      <c r="A242" s="11" t="s">
        <v>19416</v>
      </c>
      <c r="B242" s="9" t="s">
        <v>19417</v>
      </c>
      <c r="C242" s="9" t="s">
        <v>19418</v>
      </c>
      <c r="D242" s="9" t="s">
        <v>19419</v>
      </c>
      <c r="E242" s="9" t="s">
        <v>17740</v>
      </c>
      <c r="F242" s="9" t="s">
        <v>19420</v>
      </c>
      <c r="G242" s="9" t="s">
        <v>17740</v>
      </c>
      <c r="H242" s="11" t="s">
        <v>208</v>
      </c>
      <c r="I242" s="11" t="s">
        <v>207</v>
      </c>
      <c r="J242" s="11" t="s">
        <v>207</v>
      </c>
      <c r="K242" s="9" t="s">
        <v>19421</v>
      </c>
      <c r="L242" s="9" t="s">
        <v>17759</v>
      </c>
      <c r="M242" s="9" t="s">
        <v>19422</v>
      </c>
      <c r="N242" s="9" t="s">
        <v>17746</v>
      </c>
      <c r="O242" s="9" t="s">
        <v>19423</v>
      </c>
      <c r="P242" s="9" t="s">
        <v>17748</v>
      </c>
      <c r="Q242" s="11" t="s">
        <v>18282</v>
      </c>
      <c r="R242" s="11" t="s">
        <v>18282</v>
      </c>
      <c r="S242" s="11" t="s">
        <v>17750</v>
      </c>
    </row>
    <row r="243" spans="1:19" x14ac:dyDescent="0.2">
      <c r="A243" s="11" t="s">
        <v>19424</v>
      </c>
      <c r="B243" s="9" t="s">
        <v>19425</v>
      </c>
      <c r="C243" s="9" t="s">
        <v>19426</v>
      </c>
      <c r="D243" s="9" t="s">
        <v>19427</v>
      </c>
      <c r="E243" s="9" t="s">
        <v>17740</v>
      </c>
      <c r="F243" s="9" t="s">
        <v>17741</v>
      </c>
      <c r="G243" s="9" t="s">
        <v>17740</v>
      </c>
      <c r="H243" s="11" t="s">
        <v>12373</v>
      </c>
      <c r="I243" s="11" t="s">
        <v>12372</v>
      </c>
      <c r="J243" s="11" t="s">
        <v>12372</v>
      </c>
      <c r="K243" s="9" t="s">
        <v>19428</v>
      </c>
      <c r="L243" s="9" t="s">
        <v>17744</v>
      </c>
      <c r="M243" s="9" t="s">
        <v>19429</v>
      </c>
      <c r="N243" s="9" t="s">
        <v>17746</v>
      </c>
      <c r="O243" s="9" t="s">
        <v>19430</v>
      </c>
      <c r="P243" s="9" t="s">
        <v>17748</v>
      </c>
      <c r="Q243" s="11" t="s">
        <v>17858</v>
      </c>
      <c r="R243" s="11" t="s">
        <v>17858</v>
      </c>
      <c r="S243" s="11" t="s">
        <v>17750</v>
      </c>
    </row>
    <row r="244" spans="1:19" x14ac:dyDescent="0.2">
      <c r="A244" s="11" t="s">
        <v>19431</v>
      </c>
      <c r="B244" s="9" t="s">
        <v>19432</v>
      </c>
      <c r="C244" s="9" t="s">
        <v>19433</v>
      </c>
      <c r="D244" s="9" t="s">
        <v>19434</v>
      </c>
      <c r="E244" s="9" t="s">
        <v>17740</v>
      </c>
      <c r="F244" s="9" t="s">
        <v>17741</v>
      </c>
      <c r="G244" s="9" t="s">
        <v>17740</v>
      </c>
      <c r="H244" s="11" t="s">
        <v>245</v>
      </c>
      <c r="I244" s="11" t="s">
        <v>244</v>
      </c>
      <c r="J244" s="11" t="s">
        <v>244</v>
      </c>
      <c r="K244" s="9" t="s">
        <v>18951</v>
      </c>
      <c r="L244" s="9" t="s">
        <v>17759</v>
      </c>
      <c r="M244" s="9" t="s">
        <v>17817</v>
      </c>
      <c r="N244" s="9" t="s">
        <v>17746</v>
      </c>
      <c r="O244" s="9" t="s">
        <v>18009</v>
      </c>
      <c r="P244" s="9" t="s">
        <v>17748</v>
      </c>
      <c r="Q244" s="11" t="s">
        <v>19435</v>
      </c>
      <c r="R244" s="11" t="s">
        <v>19435</v>
      </c>
      <c r="S244" s="11" t="s">
        <v>17750</v>
      </c>
    </row>
    <row r="245" spans="1:19" x14ac:dyDescent="0.2">
      <c r="A245" s="11" t="s">
        <v>19436</v>
      </c>
      <c r="B245" s="9" t="s">
        <v>19437</v>
      </c>
      <c r="C245" s="9" t="s">
        <v>19438</v>
      </c>
      <c r="D245" s="9" t="s">
        <v>19439</v>
      </c>
      <c r="E245" s="9" t="s">
        <v>17748</v>
      </c>
      <c r="F245" s="9" t="s">
        <v>17741</v>
      </c>
      <c r="G245" s="9" t="s">
        <v>17740</v>
      </c>
      <c r="H245" s="11" t="s">
        <v>19440</v>
      </c>
      <c r="I245" s="11" t="s">
        <v>17741</v>
      </c>
      <c r="J245" s="11" t="s">
        <v>19440</v>
      </c>
      <c r="K245" s="9" t="s">
        <v>19441</v>
      </c>
      <c r="L245" s="9" t="s">
        <v>17759</v>
      </c>
      <c r="M245" s="9" t="s">
        <v>18685</v>
      </c>
      <c r="N245" s="9" t="s">
        <v>17746</v>
      </c>
      <c r="O245" s="9" t="s">
        <v>18514</v>
      </c>
      <c r="P245" s="9" t="s">
        <v>17748</v>
      </c>
      <c r="Q245" s="11" t="s">
        <v>18356</v>
      </c>
      <c r="R245" s="11" t="s">
        <v>18356</v>
      </c>
      <c r="S245" s="11" t="s">
        <v>17750</v>
      </c>
    </row>
    <row r="246" spans="1:19" x14ac:dyDescent="0.2">
      <c r="A246" s="11" t="s">
        <v>19442</v>
      </c>
      <c r="B246" s="9" t="s">
        <v>19443</v>
      </c>
      <c r="C246" s="9" t="s">
        <v>19444</v>
      </c>
      <c r="D246" s="9" t="s">
        <v>19445</v>
      </c>
      <c r="E246" s="9" t="s">
        <v>17740</v>
      </c>
      <c r="F246" s="9" t="s">
        <v>19446</v>
      </c>
      <c r="G246" s="9" t="s">
        <v>17740</v>
      </c>
      <c r="H246" s="11" t="s">
        <v>8916</v>
      </c>
      <c r="I246" s="11" t="s">
        <v>8915</v>
      </c>
      <c r="J246" s="11" t="s">
        <v>8915</v>
      </c>
      <c r="K246" s="9" t="s">
        <v>19447</v>
      </c>
      <c r="L246" s="9" t="s">
        <v>17759</v>
      </c>
      <c r="M246" s="9" t="s">
        <v>19448</v>
      </c>
      <c r="N246" s="9" t="s">
        <v>17746</v>
      </c>
      <c r="O246" s="9" t="s">
        <v>3100</v>
      </c>
      <c r="P246" s="9" t="s">
        <v>17748</v>
      </c>
      <c r="Q246" s="11" t="s">
        <v>17784</v>
      </c>
      <c r="R246" s="11" t="s">
        <v>17784</v>
      </c>
      <c r="S246" s="11" t="s">
        <v>17750</v>
      </c>
    </row>
    <row r="247" spans="1:19" x14ac:dyDescent="0.2">
      <c r="A247" s="11" t="s">
        <v>19449</v>
      </c>
      <c r="B247" s="9" t="s">
        <v>19450</v>
      </c>
      <c r="C247" s="9" t="s">
        <v>19451</v>
      </c>
      <c r="D247" s="9" t="s">
        <v>19452</v>
      </c>
      <c r="E247" s="9" t="s">
        <v>17740</v>
      </c>
      <c r="F247" s="9" t="s">
        <v>17741</v>
      </c>
      <c r="G247" s="9" t="s">
        <v>17740</v>
      </c>
      <c r="H247" s="11" t="s">
        <v>19453</v>
      </c>
      <c r="I247" s="11" t="s">
        <v>19454</v>
      </c>
      <c r="J247" s="11" t="s">
        <v>19454</v>
      </c>
      <c r="K247" s="9" t="s">
        <v>19455</v>
      </c>
      <c r="L247" s="9" t="s">
        <v>17759</v>
      </c>
      <c r="M247" s="9" t="s">
        <v>19456</v>
      </c>
      <c r="N247" s="9" t="s">
        <v>17746</v>
      </c>
      <c r="O247" s="9" t="s">
        <v>19406</v>
      </c>
      <c r="P247" s="9" t="s">
        <v>17748</v>
      </c>
      <c r="Q247" s="11" t="s">
        <v>18080</v>
      </c>
      <c r="R247" s="11" t="s">
        <v>18080</v>
      </c>
      <c r="S247" s="11" t="s">
        <v>17750</v>
      </c>
    </row>
    <row r="248" spans="1:19" x14ac:dyDescent="0.2">
      <c r="A248" s="11" t="s">
        <v>19457</v>
      </c>
      <c r="B248" s="9" t="s">
        <v>19458</v>
      </c>
      <c r="C248" s="9" t="s">
        <v>19459</v>
      </c>
      <c r="D248" s="9" t="s">
        <v>19460</v>
      </c>
      <c r="E248" s="9" t="s">
        <v>17740</v>
      </c>
      <c r="F248" s="9" t="s">
        <v>17741</v>
      </c>
      <c r="G248" s="9" t="s">
        <v>17740</v>
      </c>
      <c r="H248" s="11" t="s">
        <v>19461</v>
      </c>
      <c r="I248" s="11" t="s">
        <v>19462</v>
      </c>
      <c r="J248" s="11" t="s">
        <v>19462</v>
      </c>
      <c r="K248" s="9" t="s">
        <v>291</v>
      </c>
      <c r="L248" s="9" t="s">
        <v>17744</v>
      </c>
      <c r="M248" s="9" t="s">
        <v>17760</v>
      </c>
      <c r="N248" s="9" t="s">
        <v>17746</v>
      </c>
      <c r="O248" s="9" t="s">
        <v>17874</v>
      </c>
      <c r="P248" s="9" t="s">
        <v>17748</v>
      </c>
      <c r="Q248" s="11" t="s">
        <v>18922</v>
      </c>
      <c r="R248" s="11" t="s">
        <v>18922</v>
      </c>
      <c r="S248" s="11" t="s">
        <v>17750</v>
      </c>
    </row>
    <row r="249" spans="1:19" x14ac:dyDescent="0.2">
      <c r="A249" s="11" t="s">
        <v>19463</v>
      </c>
      <c r="B249" s="9" t="s">
        <v>19464</v>
      </c>
      <c r="C249" s="9" t="s">
        <v>19465</v>
      </c>
      <c r="D249" s="9" t="s">
        <v>19466</v>
      </c>
      <c r="E249" s="9" t="s">
        <v>17740</v>
      </c>
      <c r="F249" s="9" t="s">
        <v>17741</v>
      </c>
      <c r="G249" s="9" t="s">
        <v>17740</v>
      </c>
      <c r="H249" s="11" t="s">
        <v>19467</v>
      </c>
      <c r="I249" s="11" t="s">
        <v>19468</v>
      </c>
      <c r="J249" s="11" t="s">
        <v>19468</v>
      </c>
      <c r="K249" s="9" t="s">
        <v>19469</v>
      </c>
      <c r="L249" s="9" t="s">
        <v>17759</v>
      </c>
      <c r="M249" s="9" t="s">
        <v>17817</v>
      </c>
      <c r="N249" s="9" t="s">
        <v>17746</v>
      </c>
      <c r="O249" s="9" t="s">
        <v>19470</v>
      </c>
      <c r="P249" s="9" t="s">
        <v>17748</v>
      </c>
      <c r="Q249" s="11" t="s">
        <v>19471</v>
      </c>
      <c r="R249" s="11" t="s">
        <v>19471</v>
      </c>
      <c r="S249" s="11" t="s">
        <v>17750</v>
      </c>
    </row>
    <row r="250" spans="1:19" x14ac:dyDescent="0.2">
      <c r="A250" s="11" t="s">
        <v>19472</v>
      </c>
      <c r="B250" s="9" t="s">
        <v>19473</v>
      </c>
      <c r="C250" s="9" t="s">
        <v>19474</v>
      </c>
      <c r="D250" s="9" t="s">
        <v>19475</v>
      </c>
      <c r="E250" s="9" t="s">
        <v>17740</v>
      </c>
      <c r="F250" s="9" t="s">
        <v>19476</v>
      </c>
      <c r="G250" s="9" t="s">
        <v>17740</v>
      </c>
      <c r="H250" s="11" t="s">
        <v>271</v>
      </c>
      <c r="I250" s="11" t="s">
        <v>270</v>
      </c>
      <c r="J250" s="11" t="s">
        <v>270</v>
      </c>
      <c r="K250" s="9" t="s">
        <v>6978</v>
      </c>
      <c r="L250" s="9" t="s">
        <v>17759</v>
      </c>
      <c r="M250" s="9" t="s">
        <v>19477</v>
      </c>
      <c r="N250" s="9" t="s">
        <v>17746</v>
      </c>
      <c r="O250" s="9" t="s">
        <v>18009</v>
      </c>
      <c r="P250" s="9" t="s">
        <v>17748</v>
      </c>
      <c r="Q250" s="11" t="s">
        <v>18805</v>
      </c>
      <c r="R250" s="11" t="s">
        <v>18805</v>
      </c>
      <c r="S250" s="11" t="s">
        <v>17750</v>
      </c>
    </row>
    <row r="251" spans="1:19" x14ac:dyDescent="0.2">
      <c r="A251" s="11" t="s">
        <v>19478</v>
      </c>
      <c r="B251" s="9" t="s">
        <v>19479</v>
      </c>
      <c r="C251" s="9" t="s">
        <v>19480</v>
      </c>
      <c r="D251" s="9" t="s">
        <v>19481</v>
      </c>
      <c r="E251" s="9" t="s">
        <v>17740</v>
      </c>
      <c r="F251" s="9" t="s">
        <v>17741</v>
      </c>
      <c r="G251" s="9" t="s">
        <v>17740</v>
      </c>
      <c r="H251" s="11" t="s">
        <v>8933</v>
      </c>
      <c r="I251" s="11" t="s">
        <v>8932</v>
      </c>
      <c r="J251" s="11" t="s">
        <v>8932</v>
      </c>
      <c r="K251" s="9" t="s">
        <v>19482</v>
      </c>
      <c r="L251" s="9" t="s">
        <v>19483</v>
      </c>
      <c r="M251" s="9" t="s">
        <v>18065</v>
      </c>
      <c r="N251" s="9" t="s">
        <v>17746</v>
      </c>
      <c r="O251" s="9" t="s">
        <v>19484</v>
      </c>
      <c r="P251" s="9" t="s">
        <v>17748</v>
      </c>
      <c r="Q251" s="11" t="s">
        <v>18922</v>
      </c>
      <c r="R251" s="11" t="s">
        <v>18922</v>
      </c>
      <c r="S251" s="11" t="s">
        <v>17750</v>
      </c>
    </row>
    <row r="252" spans="1:19" x14ac:dyDescent="0.2">
      <c r="A252" s="11" t="s">
        <v>19485</v>
      </c>
      <c r="B252" s="9" t="s">
        <v>19486</v>
      </c>
      <c r="C252" s="9" t="s">
        <v>19487</v>
      </c>
      <c r="D252" s="9" t="s">
        <v>19488</v>
      </c>
      <c r="E252" s="9" t="s">
        <v>17740</v>
      </c>
      <c r="F252" s="9" t="s">
        <v>19489</v>
      </c>
      <c r="G252" s="9" t="s">
        <v>17740</v>
      </c>
      <c r="H252" s="11" t="s">
        <v>17741</v>
      </c>
      <c r="I252" s="11" t="s">
        <v>274</v>
      </c>
      <c r="J252" s="11" t="s">
        <v>274</v>
      </c>
      <c r="K252" s="9" t="s">
        <v>19490</v>
      </c>
      <c r="L252" s="9" t="s">
        <v>19491</v>
      </c>
      <c r="M252" s="9" t="s">
        <v>19492</v>
      </c>
      <c r="N252" s="9" t="s">
        <v>17746</v>
      </c>
      <c r="O252" s="9" t="s">
        <v>18607</v>
      </c>
      <c r="P252" s="9" t="s">
        <v>17748</v>
      </c>
      <c r="Q252" s="11" t="s">
        <v>18251</v>
      </c>
      <c r="R252" s="11" t="s">
        <v>18251</v>
      </c>
      <c r="S252" s="11" t="s">
        <v>17750</v>
      </c>
    </row>
    <row r="253" spans="1:19" x14ac:dyDescent="0.2">
      <c r="A253" s="11" t="s">
        <v>19493</v>
      </c>
      <c r="B253" s="9" t="s">
        <v>19494</v>
      </c>
      <c r="C253" s="9" t="s">
        <v>19495</v>
      </c>
      <c r="D253" s="9" t="s">
        <v>19496</v>
      </c>
      <c r="E253" s="9" t="s">
        <v>17740</v>
      </c>
      <c r="F253" s="9" t="s">
        <v>17741</v>
      </c>
      <c r="G253" s="9" t="s">
        <v>17740</v>
      </c>
      <c r="H253" s="11" t="s">
        <v>17741</v>
      </c>
      <c r="I253" s="11" t="s">
        <v>8684</v>
      </c>
      <c r="J253" s="11" t="s">
        <v>8684</v>
      </c>
      <c r="K253" s="9" t="s">
        <v>19482</v>
      </c>
      <c r="L253" s="9" t="s">
        <v>19483</v>
      </c>
      <c r="M253" s="9" t="s">
        <v>17769</v>
      </c>
      <c r="N253" s="9" t="s">
        <v>17746</v>
      </c>
      <c r="O253" s="9" t="s">
        <v>5790</v>
      </c>
      <c r="P253" s="9" t="s">
        <v>17748</v>
      </c>
      <c r="Q253" s="11" t="s">
        <v>17784</v>
      </c>
      <c r="R253" s="11" t="s">
        <v>17784</v>
      </c>
      <c r="S253" s="11" t="s">
        <v>17750</v>
      </c>
    </row>
    <row r="254" spans="1:19" x14ac:dyDescent="0.2">
      <c r="A254" s="11" t="s">
        <v>19497</v>
      </c>
      <c r="B254" s="9" t="s">
        <v>19498</v>
      </c>
      <c r="C254" s="9" t="s">
        <v>19499</v>
      </c>
      <c r="D254" s="9" t="s">
        <v>19500</v>
      </c>
      <c r="E254" s="9" t="s">
        <v>17740</v>
      </c>
      <c r="F254" s="9" t="s">
        <v>17741</v>
      </c>
      <c r="G254" s="9" t="s">
        <v>17740</v>
      </c>
      <c r="H254" s="11" t="s">
        <v>17741</v>
      </c>
      <c r="I254" s="11" t="s">
        <v>19501</v>
      </c>
      <c r="J254" s="11" t="s">
        <v>19501</v>
      </c>
      <c r="K254" s="9" t="s">
        <v>19502</v>
      </c>
      <c r="L254" s="9" t="s">
        <v>17759</v>
      </c>
      <c r="M254" s="9" t="s">
        <v>17760</v>
      </c>
      <c r="N254" s="9" t="s">
        <v>17746</v>
      </c>
      <c r="O254" s="9" t="s">
        <v>19503</v>
      </c>
      <c r="P254" s="9" t="s">
        <v>17748</v>
      </c>
      <c r="Q254" s="11" t="s">
        <v>18805</v>
      </c>
      <c r="R254" s="11" t="s">
        <v>18805</v>
      </c>
      <c r="S254" s="11" t="s">
        <v>17750</v>
      </c>
    </row>
    <row r="255" spans="1:19" x14ac:dyDescent="0.2">
      <c r="A255" s="11" t="s">
        <v>19504</v>
      </c>
      <c r="B255" s="9" t="s">
        <v>19505</v>
      </c>
      <c r="C255" s="9" t="s">
        <v>19506</v>
      </c>
      <c r="D255" s="9" t="s">
        <v>19507</v>
      </c>
      <c r="E255" s="9" t="s">
        <v>17740</v>
      </c>
      <c r="F255" s="9" t="s">
        <v>19508</v>
      </c>
      <c r="G255" s="9" t="s">
        <v>17740</v>
      </c>
      <c r="H255" s="11" t="s">
        <v>279</v>
      </c>
      <c r="I255" s="11" t="s">
        <v>278</v>
      </c>
      <c r="J255" s="11" t="s">
        <v>278</v>
      </c>
      <c r="K255" s="9" t="s">
        <v>19509</v>
      </c>
      <c r="L255" s="9" t="s">
        <v>17759</v>
      </c>
      <c r="M255" s="9" t="s">
        <v>17817</v>
      </c>
      <c r="N255" s="9" t="s">
        <v>17746</v>
      </c>
      <c r="O255" s="9" t="s">
        <v>18543</v>
      </c>
      <c r="P255" s="9" t="s">
        <v>17748</v>
      </c>
      <c r="Q255" s="11" t="s">
        <v>17969</v>
      </c>
      <c r="R255" s="11" t="s">
        <v>17969</v>
      </c>
      <c r="S255" s="11" t="s">
        <v>17750</v>
      </c>
    </row>
    <row r="256" spans="1:19" x14ac:dyDescent="0.2">
      <c r="A256" s="11" t="s">
        <v>19510</v>
      </c>
      <c r="B256" s="9" t="s">
        <v>19511</v>
      </c>
      <c r="C256" s="9" t="s">
        <v>19512</v>
      </c>
      <c r="D256" s="9" t="s">
        <v>19513</v>
      </c>
      <c r="E256" s="9" t="s">
        <v>17740</v>
      </c>
      <c r="F256" s="9" t="s">
        <v>19514</v>
      </c>
      <c r="G256" s="9" t="s">
        <v>17740</v>
      </c>
      <c r="H256" s="11" t="s">
        <v>283</v>
      </c>
      <c r="I256" s="11" t="s">
        <v>282</v>
      </c>
      <c r="J256" s="11" t="s">
        <v>282</v>
      </c>
      <c r="K256" s="9" t="s">
        <v>17758</v>
      </c>
      <c r="L256" s="9" t="s">
        <v>17759</v>
      </c>
      <c r="M256" s="9" t="s">
        <v>17769</v>
      </c>
      <c r="N256" s="9" t="s">
        <v>17746</v>
      </c>
      <c r="O256" s="9" t="s">
        <v>18363</v>
      </c>
      <c r="P256" s="9" t="s">
        <v>17748</v>
      </c>
      <c r="Q256" s="11" t="s">
        <v>19515</v>
      </c>
      <c r="R256" s="11" t="s">
        <v>19515</v>
      </c>
      <c r="S256" s="11" t="s">
        <v>17750</v>
      </c>
    </row>
    <row r="257" spans="1:19" x14ac:dyDescent="0.2">
      <c r="A257" s="11" t="s">
        <v>19516</v>
      </c>
      <c r="B257" s="9" t="s">
        <v>19517</v>
      </c>
      <c r="C257" s="9" t="s">
        <v>19518</v>
      </c>
      <c r="D257" s="9" t="s">
        <v>19519</v>
      </c>
      <c r="E257" s="9" t="s">
        <v>17740</v>
      </c>
      <c r="F257" s="9" t="s">
        <v>17741</v>
      </c>
      <c r="G257" s="9" t="s">
        <v>17740</v>
      </c>
      <c r="H257" s="11" t="s">
        <v>286</v>
      </c>
      <c r="I257" s="11" t="s">
        <v>285</v>
      </c>
      <c r="J257" s="11" t="s">
        <v>285</v>
      </c>
      <c r="K257" s="9" t="s">
        <v>287</v>
      </c>
      <c r="L257" s="9" t="s">
        <v>17759</v>
      </c>
      <c r="M257" s="9" t="s">
        <v>19520</v>
      </c>
      <c r="N257" s="9" t="s">
        <v>17746</v>
      </c>
      <c r="O257" s="9" t="s">
        <v>19521</v>
      </c>
      <c r="P257" s="9" t="s">
        <v>17748</v>
      </c>
      <c r="Q257" s="11" t="s">
        <v>19522</v>
      </c>
      <c r="R257" s="11" t="s">
        <v>19522</v>
      </c>
      <c r="S257" s="11" t="s">
        <v>17750</v>
      </c>
    </row>
    <row r="258" spans="1:19" x14ac:dyDescent="0.2">
      <c r="A258" s="11" t="s">
        <v>19523</v>
      </c>
      <c r="B258" s="9" t="s">
        <v>19524</v>
      </c>
      <c r="C258" s="9" t="s">
        <v>19525</v>
      </c>
      <c r="D258" s="9" t="s">
        <v>19526</v>
      </c>
      <c r="E258" s="9" t="s">
        <v>17740</v>
      </c>
      <c r="F258" s="9" t="s">
        <v>17741</v>
      </c>
      <c r="G258" s="9" t="s">
        <v>17740</v>
      </c>
      <c r="H258" s="11" t="s">
        <v>19527</v>
      </c>
      <c r="I258" s="11" t="s">
        <v>19528</v>
      </c>
      <c r="J258" s="11" t="s">
        <v>19528</v>
      </c>
      <c r="K258" s="9" t="s">
        <v>18832</v>
      </c>
      <c r="L258" s="9" t="s">
        <v>17759</v>
      </c>
      <c r="M258" s="9" t="s">
        <v>17769</v>
      </c>
      <c r="N258" s="9" t="s">
        <v>17746</v>
      </c>
      <c r="O258" s="9" t="s">
        <v>18514</v>
      </c>
      <c r="P258" s="9" t="s">
        <v>17748</v>
      </c>
      <c r="Q258" s="11" t="s">
        <v>18243</v>
      </c>
      <c r="R258" s="11" t="s">
        <v>18243</v>
      </c>
      <c r="S258" s="11" t="s">
        <v>17750</v>
      </c>
    </row>
    <row r="259" spans="1:19" x14ac:dyDescent="0.2">
      <c r="A259" s="11" t="s">
        <v>19529</v>
      </c>
      <c r="B259" s="9" t="s">
        <v>19530</v>
      </c>
      <c r="C259" s="9" t="s">
        <v>19531</v>
      </c>
      <c r="D259" s="9" t="s">
        <v>19532</v>
      </c>
      <c r="E259" s="9" t="s">
        <v>17740</v>
      </c>
      <c r="F259" s="9" t="s">
        <v>17741</v>
      </c>
      <c r="G259" s="9" t="s">
        <v>17740</v>
      </c>
      <c r="H259" s="11" t="s">
        <v>19533</v>
      </c>
      <c r="I259" s="11" t="s">
        <v>19534</v>
      </c>
      <c r="J259" s="11" t="s">
        <v>19534</v>
      </c>
      <c r="K259" s="9" t="s">
        <v>19535</v>
      </c>
      <c r="L259" s="9" t="s">
        <v>17759</v>
      </c>
      <c r="M259" s="9" t="s">
        <v>18065</v>
      </c>
      <c r="N259" s="9" t="s">
        <v>17746</v>
      </c>
      <c r="O259" s="9" t="s">
        <v>17761</v>
      </c>
      <c r="P259" s="9" t="s">
        <v>17748</v>
      </c>
      <c r="Q259" s="11" t="s">
        <v>18147</v>
      </c>
      <c r="R259" s="11" t="s">
        <v>18147</v>
      </c>
      <c r="S259" s="11" t="s">
        <v>17750</v>
      </c>
    </row>
    <row r="260" spans="1:19" x14ac:dyDescent="0.2">
      <c r="A260" s="11" t="s">
        <v>19536</v>
      </c>
      <c r="B260" s="9" t="s">
        <v>19537</v>
      </c>
      <c r="C260" s="9" t="s">
        <v>19538</v>
      </c>
      <c r="D260" s="9" t="s">
        <v>19539</v>
      </c>
      <c r="E260" s="9" t="s">
        <v>17740</v>
      </c>
      <c r="F260" s="9" t="s">
        <v>17741</v>
      </c>
      <c r="G260" s="9" t="s">
        <v>17740</v>
      </c>
      <c r="H260" s="11" t="s">
        <v>17741</v>
      </c>
      <c r="I260" s="11" t="s">
        <v>19540</v>
      </c>
      <c r="J260" s="11" t="s">
        <v>19540</v>
      </c>
      <c r="K260" s="9" t="s">
        <v>19541</v>
      </c>
      <c r="L260" s="9" t="s">
        <v>17759</v>
      </c>
      <c r="M260" s="9" t="s">
        <v>18065</v>
      </c>
      <c r="N260" s="9" t="s">
        <v>17746</v>
      </c>
      <c r="O260" s="9" t="s">
        <v>18340</v>
      </c>
      <c r="P260" s="9" t="s">
        <v>17748</v>
      </c>
      <c r="Q260" s="11" t="s">
        <v>18678</v>
      </c>
      <c r="R260" s="11" t="s">
        <v>18678</v>
      </c>
      <c r="S260" s="11" t="s">
        <v>17750</v>
      </c>
    </row>
    <row r="261" spans="1:19" x14ac:dyDescent="0.2">
      <c r="A261" s="11" t="s">
        <v>19542</v>
      </c>
      <c r="B261" s="9" t="s">
        <v>19543</v>
      </c>
      <c r="C261" s="9" t="s">
        <v>19544</v>
      </c>
      <c r="D261" s="9" t="s">
        <v>19545</v>
      </c>
      <c r="E261" s="9" t="s">
        <v>17740</v>
      </c>
      <c r="F261" s="9" t="s">
        <v>17741</v>
      </c>
      <c r="G261" s="9" t="s">
        <v>17740</v>
      </c>
      <c r="H261" s="11" t="s">
        <v>299</v>
      </c>
      <c r="I261" s="11" t="s">
        <v>298</v>
      </c>
      <c r="J261" s="11" t="s">
        <v>298</v>
      </c>
      <c r="K261" s="9" t="s">
        <v>17758</v>
      </c>
      <c r="L261" s="9" t="s">
        <v>17759</v>
      </c>
      <c r="M261" s="9" t="s">
        <v>19546</v>
      </c>
      <c r="N261" s="9" t="s">
        <v>17746</v>
      </c>
      <c r="O261" s="9" t="s">
        <v>19547</v>
      </c>
      <c r="P261" s="9" t="s">
        <v>17748</v>
      </c>
      <c r="Q261" s="11" t="s">
        <v>18251</v>
      </c>
      <c r="R261" s="11" t="s">
        <v>18251</v>
      </c>
      <c r="S261" s="11" t="s">
        <v>17750</v>
      </c>
    </row>
    <row r="262" spans="1:19" x14ac:dyDescent="0.2">
      <c r="A262" s="11" t="s">
        <v>19548</v>
      </c>
      <c r="B262" s="9" t="s">
        <v>19549</v>
      </c>
      <c r="C262" s="9" t="s">
        <v>19550</v>
      </c>
      <c r="D262" s="9" t="s">
        <v>19551</v>
      </c>
      <c r="E262" s="9" t="s">
        <v>17740</v>
      </c>
      <c r="F262" s="9" t="s">
        <v>17741</v>
      </c>
      <c r="G262" s="9" t="s">
        <v>17740</v>
      </c>
      <c r="H262" s="11" t="s">
        <v>17741</v>
      </c>
      <c r="I262" s="11" t="s">
        <v>19552</v>
      </c>
      <c r="J262" s="11" t="s">
        <v>19552</v>
      </c>
      <c r="K262" s="9" t="s">
        <v>19553</v>
      </c>
      <c r="L262" s="9" t="s">
        <v>17759</v>
      </c>
      <c r="M262" s="9" t="s">
        <v>17769</v>
      </c>
      <c r="N262" s="9" t="s">
        <v>17746</v>
      </c>
      <c r="O262" s="9" t="s">
        <v>19554</v>
      </c>
      <c r="P262" s="9" t="s">
        <v>17748</v>
      </c>
      <c r="Q262" s="11" t="s">
        <v>17762</v>
      </c>
      <c r="R262" s="11" t="s">
        <v>17762</v>
      </c>
      <c r="S262" s="11" t="s">
        <v>17750</v>
      </c>
    </row>
    <row r="263" spans="1:19" x14ac:dyDescent="0.2">
      <c r="A263" s="11" t="s">
        <v>19555</v>
      </c>
      <c r="B263" s="9" t="s">
        <v>19556</v>
      </c>
      <c r="C263" s="9" t="s">
        <v>19557</v>
      </c>
      <c r="D263" s="9" t="s">
        <v>19558</v>
      </c>
      <c r="E263" s="9" t="s">
        <v>17740</v>
      </c>
      <c r="F263" s="9" t="s">
        <v>17741</v>
      </c>
      <c r="G263" s="9" t="s">
        <v>17740</v>
      </c>
      <c r="H263" s="11" t="s">
        <v>290</v>
      </c>
      <c r="I263" s="11" t="s">
        <v>289</v>
      </c>
      <c r="J263" s="11" t="s">
        <v>289</v>
      </c>
      <c r="K263" s="9" t="s">
        <v>291</v>
      </c>
      <c r="L263" s="9" t="s">
        <v>17744</v>
      </c>
      <c r="M263" s="9" t="s">
        <v>19559</v>
      </c>
      <c r="N263" s="9" t="s">
        <v>17746</v>
      </c>
      <c r="O263" s="9" t="s">
        <v>18644</v>
      </c>
      <c r="P263" s="9" t="s">
        <v>17748</v>
      </c>
      <c r="Q263" s="11" t="s">
        <v>17771</v>
      </c>
      <c r="R263" s="11" t="s">
        <v>17771</v>
      </c>
      <c r="S263" s="11" t="s">
        <v>17750</v>
      </c>
    </row>
    <row r="264" spans="1:19" x14ac:dyDescent="0.2">
      <c r="A264" s="11" t="s">
        <v>19560</v>
      </c>
      <c r="B264" s="9" t="s">
        <v>19561</v>
      </c>
      <c r="C264" s="9" t="s">
        <v>19562</v>
      </c>
      <c r="D264" s="9" t="s">
        <v>19563</v>
      </c>
      <c r="E264" s="9" t="s">
        <v>17740</v>
      </c>
      <c r="F264" s="9" t="s">
        <v>17741</v>
      </c>
      <c r="G264" s="9" t="s">
        <v>17740</v>
      </c>
      <c r="H264" s="11" t="s">
        <v>302</v>
      </c>
      <c r="I264" s="11" t="s">
        <v>301</v>
      </c>
      <c r="J264" s="11" t="s">
        <v>301</v>
      </c>
      <c r="K264" s="9" t="s">
        <v>19564</v>
      </c>
      <c r="L264" s="9" t="s">
        <v>17759</v>
      </c>
      <c r="M264" s="9" t="s">
        <v>19565</v>
      </c>
      <c r="N264" s="9" t="s">
        <v>17746</v>
      </c>
      <c r="O264" s="9" t="s">
        <v>17807</v>
      </c>
      <c r="P264" s="9" t="s">
        <v>17748</v>
      </c>
      <c r="Q264" s="11" t="s">
        <v>17978</v>
      </c>
      <c r="R264" s="11" t="s">
        <v>17978</v>
      </c>
      <c r="S264" s="11" t="s">
        <v>17750</v>
      </c>
    </row>
    <row r="265" spans="1:19" x14ac:dyDescent="0.2">
      <c r="A265" s="11" t="s">
        <v>19566</v>
      </c>
      <c r="B265" s="9" t="s">
        <v>19567</v>
      </c>
      <c r="C265" s="9" t="s">
        <v>19568</v>
      </c>
      <c r="D265" s="9" t="s">
        <v>19569</v>
      </c>
      <c r="E265" s="9" t="s">
        <v>17740</v>
      </c>
      <c r="F265" s="9" t="s">
        <v>19570</v>
      </c>
      <c r="G265" s="9" t="s">
        <v>17740</v>
      </c>
      <c r="H265" s="11" t="s">
        <v>306</v>
      </c>
      <c r="I265" s="11" t="s">
        <v>305</v>
      </c>
      <c r="J265" s="11" t="s">
        <v>305</v>
      </c>
      <c r="K265" s="9" t="s">
        <v>55</v>
      </c>
      <c r="L265" s="9" t="s">
        <v>17759</v>
      </c>
      <c r="M265" s="9" t="s">
        <v>19571</v>
      </c>
      <c r="N265" s="9" t="s">
        <v>17746</v>
      </c>
      <c r="O265" s="9" t="s">
        <v>5136</v>
      </c>
      <c r="P265" s="9" t="s">
        <v>17748</v>
      </c>
      <c r="Q265" s="11" t="s">
        <v>18072</v>
      </c>
      <c r="R265" s="11" t="s">
        <v>18072</v>
      </c>
      <c r="S265" s="11" t="s">
        <v>17750</v>
      </c>
    </row>
    <row r="266" spans="1:19" x14ac:dyDescent="0.2">
      <c r="A266" s="11" t="s">
        <v>19572</v>
      </c>
      <c r="B266" s="9" t="s">
        <v>19573</v>
      </c>
      <c r="C266" s="9" t="s">
        <v>19574</v>
      </c>
      <c r="D266" s="9" t="s">
        <v>19575</v>
      </c>
      <c r="E266" s="9" t="s">
        <v>17740</v>
      </c>
      <c r="F266" s="9" t="s">
        <v>17741</v>
      </c>
      <c r="G266" s="9" t="s">
        <v>17740</v>
      </c>
      <c r="H266" s="11" t="s">
        <v>19576</v>
      </c>
      <c r="I266" s="11" t="s">
        <v>19577</v>
      </c>
      <c r="J266" s="11" t="s">
        <v>19577</v>
      </c>
      <c r="K266" s="9" t="s">
        <v>17758</v>
      </c>
      <c r="L266" s="9" t="s">
        <v>17759</v>
      </c>
      <c r="M266" s="9" t="s">
        <v>17760</v>
      </c>
      <c r="N266" s="9" t="s">
        <v>17746</v>
      </c>
      <c r="O266" s="9" t="s">
        <v>19578</v>
      </c>
      <c r="P266" s="9" t="s">
        <v>17748</v>
      </c>
      <c r="Q266" s="11" t="s">
        <v>19222</v>
      </c>
      <c r="R266" s="11" t="s">
        <v>19222</v>
      </c>
      <c r="S266" s="11" t="s">
        <v>17750</v>
      </c>
    </row>
    <row r="267" spans="1:19" x14ac:dyDescent="0.2">
      <c r="A267" s="11" t="s">
        <v>19579</v>
      </c>
      <c r="B267" s="9" t="s">
        <v>19580</v>
      </c>
      <c r="C267" s="9" t="s">
        <v>19581</v>
      </c>
      <c r="D267" s="9" t="s">
        <v>19582</v>
      </c>
      <c r="E267" s="9" t="s">
        <v>17740</v>
      </c>
      <c r="F267" s="9" t="s">
        <v>19583</v>
      </c>
      <c r="G267" s="9" t="s">
        <v>17740</v>
      </c>
      <c r="H267" s="11" t="s">
        <v>314</v>
      </c>
      <c r="I267" s="11" t="s">
        <v>313</v>
      </c>
      <c r="J267" s="11" t="s">
        <v>313</v>
      </c>
      <c r="K267" s="9" t="s">
        <v>19584</v>
      </c>
      <c r="L267" s="9" t="s">
        <v>17759</v>
      </c>
      <c r="M267" s="9" t="s">
        <v>17817</v>
      </c>
      <c r="N267" s="9" t="s">
        <v>17746</v>
      </c>
      <c r="O267" s="9" t="s">
        <v>1675</v>
      </c>
      <c r="P267" s="9" t="s">
        <v>17748</v>
      </c>
      <c r="Q267" s="11" t="s">
        <v>17969</v>
      </c>
      <c r="R267" s="11" t="s">
        <v>17969</v>
      </c>
      <c r="S267" s="11" t="s">
        <v>17750</v>
      </c>
    </row>
    <row r="268" spans="1:19" x14ac:dyDescent="0.2">
      <c r="A268" s="11" t="s">
        <v>19585</v>
      </c>
      <c r="B268" s="9" t="s">
        <v>19586</v>
      </c>
      <c r="C268" s="9" t="s">
        <v>19587</v>
      </c>
      <c r="D268" s="9" t="s">
        <v>19588</v>
      </c>
      <c r="E268" s="9" t="s">
        <v>17740</v>
      </c>
      <c r="F268" s="9" t="s">
        <v>17741</v>
      </c>
      <c r="G268" s="9" t="s">
        <v>17740</v>
      </c>
      <c r="H268" s="11" t="s">
        <v>10081</v>
      </c>
      <c r="I268" s="11" t="s">
        <v>10080</v>
      </c>
      <c r="J268" s="11" t="s">
        <v>10081</v>
      </c>
      <c r="K268" s="9" t="s">
        <v>6978</v>
      </c>
      <c r="L268" s="9" t="s">
        <v>17759</v>
      </c>
      <c r="M268" s="9" t="s">
        <v>17760</v>
      </c>
      <c r="N268" s="9" t="s">
        <v>17746</v>
      </c>
      <c r="O268" s="9" t="s">
        <v>19589</v>
      </c>
      <c r="P268" s="9" t="s">
        <v>17748</v>
      </c>
      <c r="Q268" s="11" t="s">
        <v>17858</v>
      </c>
      <c r="R268" s="11" t="s">
        <v>17858</v>
      </c>
      <c r="S268" s="11" t="s">
        <v>17750</v>
      </c>
    </row>
    <row r="269" spans="1:19" x14ac:dyDescent="0.2">
      <c r="A269" s="11" t="s">
        <v>19590</v>
      </c>
      <c r="B269" s="9" t="s">
        <v>19591</v>
      </c>
      <c r="C269" s="9" t="s">
        <v>19592</v>
      </c>
      <c r="D269" s="9" t="s">
        <v>19593</v>
      </c>
      <c r="E269" s="9" t="s">
        <v>17740</v>
      </c>
      <c r="F269" s="9" t="s">
        <v>17741</v>
      </c>
      <c r="G269" s="9" t="s">
        <v>17740</v>
      </c>
      <c r="H269" s="11" t="s">
        <v>6122</v>
      </c>
      <c r="I269" s="11" t="s">
        <v>6121</v>
      </c>
      <c r="J269" s="11" t="s">
        <v>6121</v>
      </c>
      <c r="K269" s="9" t="s">
        <v>91</v>
      </c>
      <c r="L269" s="9" t="s">
        <v>17744</v>
      </c>
      <c r="M269" s="9" t="s">
        <v>17760</v>
      </c>
      <c r="N269" s="9" t="s">
        <v>17746</v>
      </c>
      <c r="O269" s="9" t="s">
        <v>19594</v>
      </c>
      <c r="P269" s="9" t="s">
        <v>17748</v>
      </c>
      <c r="Q269" s="11" t="s">
        <v>17792</v>
      </c>
      <c r="R269" s="11" t="s">
        <v>17792</v>
      </c>
      <c r="S269" s="11" t="s">
        <v>17750</v>
      </c>
    </row>
    <row r="270" spans="1:19" x14ac:dyDescent="0.2">
      <c r="A270" s="11" t="s">
        <v>19595</v>
      </c>
      <c r="B270" s="9" t="s">
        <v>19596</v>
      </c>
      <c r="C270" s="9" t="s">
        <v>19597</v>
      </c>
      <c r="D270" s="9" t="s">
        <v>19598</v>
      </c>
      <c r="E270" s="9" t="s">
        <v>17740</v>
      </c>
      <c r="F270" s="9" t="s">
        <v>19599</v>
      </c>
      <c r="G270" s="9" t="s">
        <v>17740</v>
      </c>
      <c r="H270" s="11" t="s">
        <v>19600</v>
      </c>
      <c r="I270" s="11" t="s">
        <v>19601</v>
      </c>
      <c r="J270" s="11" t="s">
        <v>19601</v>
      </c>
      <c r="K270" s="9" t="s">
        <v>19602</v>
      </c>
      <c r="L270" s="9" t="s">
        <v>17759</v>
      </c>
      <c r="M270" s="9" t="s">
        <v>17769</v>
      </c>
      <c r="N270" s="9" t="s">
        <v>17746</v>
      </c>
      <c r="O270" s="9" t="s">
        <v>19095</v>
      </c>
      <c r="P270" s="9" t="s">
        <v>17748</v>
      </c>
      <c r="Q270" s="11" t="s">
        <v>18201</v>
      </c>
      <c r="R270" s="11" t="s">
        <v>18201</v>
      </c>
      <c r="S270" s="11" t="s">
        <v>17750</v>
      </c>
    </row>
    <row r="271" spans="1:19" x14ac:dyDescent="0.2">
      <c r="A271" s="11" t="s">
        <v>19603</v>
      </c>
      <c r="B271" s="9" t="s">
        <v>19604</v>
      </c>
      <c r="C271" s="9" t="s">
        <v>19605</v>
      </c>
      <c r="D271" s="9" t="s">
        <v>19606</v>
      </c>
      <c r="E271" s="9" t="s">
        <v>17740</v>
      </c>
      <c r="F271" s="9" t="s">
        <v>19607</v>
      </c>
      <c r="G271" s="9" t="s">
        <v>17740</v>
      </c>
      <c r="H271" s="11" t="s">
        <v>17741</v>
      </c>
      <c r="I271" s="11" t="s">
        <v>19608</v>
      </c>
      <c r="J271" s="11" t="s">
        <v>19608</v>
      </c>
      <c r="K271" s="9" t="s">
        <v>19609</v>
      </c>
      <c r="L271" s="9" t="s">
        <v>17759</v>
      </c>
      <c r="M271" s="9" t="s">
        <v>19610</v>
      </c>
      <c r="N271" s="9" t="s">
        <v>17746</v>
      </c>
      <c r="O271" s="9" t="s">
        <v>3524</v>
      </c>
      <c r="P271" s="9" t="s">
        <v>17748</v>
      </c>
      <c r="Q271" s="11" t="s">
        <v>18059</v>
      </c>
      <c r="R271" s="11" t="s">
        <v>18059</v>
      </c>
      <c r="S271" s="11" t="s">
        <v>17750</v>
      </c>
    </row>
    <row r="272" spans="1:19" x14ac:dyDescent="0.2">
      <c r="A272" s="11" t="s">
        <v>19611</v>
      </c>
      <c r="B272" s="9" t="s">
        <v>19612</v>
      </c>
      <c r="C272" s="9" t="s">
        <v>19613</v>
      </c>
      <c r="D272" s="9" t="s">
        <v>19614</v>
      </c>
      <c r="E272" s="9" t="s">
        <v>17748</v>
      </c>
      <c r="F272" s="9" t="s">
        <v>19615</v>
      </c>
      <c r="G272" s="9" t="s">
        <v>17740</v>
      </c>
      <c r="H272" s="11" t="s">
        <v>6547</v>
      </c>
      <c r="I272" s="11" t="s">
        <v>6546</v>
      </c>
      <c r="J272" s="11" t="s">
        <v>6546</v>
      </c>
      <c r="K272" s="9" t="s">
        <v>19616</v>
      </c>
      <c r="L272" s="9" t="s">
        <v>17759</v>
      </c>
      <c r="M272" s="9" t="s">
        <v>19571</v>
      </c>
      <c r="N272" s="9" t="s">
        <v>17746</v>
      </c>
      <c r="O272" s="9" t="s">
        <v>19617</v>
      </c>
      <c r="P272" s="9" t="s">
        <v>17748</v>
      </c>
      <c r="Q272" s="11" t="s">
        <v>19361</v>
      </c>
      <c r="R272" s="11" t="s">
        <v>19361</v>
      </c>
      <c r="S272" s="11" t="s">
        <v>17750</v>
      </c>
    </row>
    <row r="273" spans="1:19" x14ac:dyDescent="0.2">
      <c r="A273" s="11" t="s">
        <v>19618</v>
      </c>
      <c r="B273" s="9" t="s">
        <v>19619</v>
      </c>
      <c r="C273" s="9" t="s">
        <v>19620</v>
      </c>
      <c r="D273" s="9" t="s">
        <v>19621</v>
      </c>
      <c r="E273" s="9" t="s">
        <v>17740</v>
      </c>
      <c r="F273" s="9" t="s">
        <v>17741</v>
      </c>
      <c r="G273" s="9" t="s">
        <v>17740</v>
      </c>
      <c r="H273" s="11" t="s">
        <v>319</v>
      </c>
      <c r="I273" s="11" t="s">
        <v>318</v>
      </c>
      <c r="J273" s="11" t="s">
        <v>318</v>
      </c>
      <c r="K273" s="9" t="s">
        <v>970</v>
      </c>
      <c r="L273" s="9" t="s">
        <v>17759</v>
      </c>
      <c r="M273" s="9" t="s">
        <v>17817</v>
      </c>
      <c r="N273" s="9" t="s">
        <v>17746</v>
      </c>
      <c r="O273" s="9" t="s">
        <v>7097</v>
      </c>
      <c r="P273" s="9" t="s">
        <v>17748</v>
      </c>
      <c r="Q273" s="11" t="s">
        <v>19026</v>
      </c>
      <c r="R273" s="11" t="s">
        <v>19026</v>
      </c>
      <c r="S273" s="11" t="s">
        <v>17750</v>
      </c>
    </row>
    <row r="274" spans="1:19" x14ac:dyDescent="0.2">
      <c r="A274" s="11" t="s">
        <v>19622</v>
      </c>
      <c r="B274" s="9" t="s">
        <v>19623</v>
      </c>
      <c r="C274" s="9" t="s">
        <v>19624</v>
      </c>
      <c r="D274" s="9" t="s">
        <v>19625</v>
      </c>
      <c r="E274" s="9" t="s">
        <v>17740</v>
      </c>
      <c r="F274" s="9" t="s">
        <v>19626</v>
      </c>
      <c r="G274" s="9" t="s">
        <v>17740</v>
      </c>
      <c r="H274" s="11" t="s">
        <v>19627</v>
      </c>
      <c r="I274" s="11" t="s">
        <v>19628</v>
      </c>
      <c r="J274" s="11" t="s">
        <v>19628</v>
      </c>
      <c r="K274" s="9" t="s">
        <v>19447</v>
      </c>
      <c r="L274" s="9" t="s">
        <v>17759</v>
      </c>
      <c r="M274" s="9" t="s">
        <v>17769</v>
      </c>
      <c r="N274" s="9" t="s">
        <v>17746</v>
      </c>
      <c r="O274" s="9" t="s">
        <v>19013</v>
      </c>
      <c r="P274" s="9" t="s">
        <v>17748</v>
      </c>
      <c r="Q274" s="11" t="s">
        <v>17749</v>
      </c>
      <c r="R274" s="11" t="s">
        <v>17749</v>
      </c>
      <c r="S274" s="11" t="s">
        <v>17750</v>
      </c>
    </row>
    <row r="275" spans="1:19" x14ac:dyDescent="0.2">
      <c r="A275" s="11" t="s">
        <v>19629</v>
      </c>
      <c r="B275" s="9" t="s">
        <v>19630</v>
      </c>
      <c r="C275" s="9" t="s">
        <v>19631</v>
      </c>
      <c r="D275" s="9" t="s">
        <v>19632</v>
      </c>
      <c r="E275" s="9" t="s">
        <v>17740</v>
      </c>
      <c r="F275" s="9" t="s">
        <v>17741</v>
      </c>
      <c r="G275" s="9" t="s">
        <v>17740</v>
      </c>
      <c r="H275" s="11" t="s">
        <v>19633</v>
      </c>
      <c r="I275" s="11" t="s">
        <v>19634</v>
      </c>
      <c r="J275" s="11" t="s">
        <v>19634</v>
      </c>
      <c r="K275" s="9" t="s">
        <v>970</v>
      </c>
      <c r="L275" s="9" t="s">
        <v>17759</v>
      </c>
      <c r="M275" s="9" t="s">
        <v>17769</v>
      </c>
      <c r="N275" s="9" t="s">
        <v>17746</v>
      </c>
      <c r="O275" s="9" t="s">
        <v>17977</v>
      </c>
      <c r="P275" s="9" t="s">
        <v>17748</v>
      </c>
      <c r="Q275" s="11" t="s">
        <v>17819</v>
      </c>
      <c r="R275" s="11" t="s">
        <v>17819</v>
      </c>
      <c r="S275" s="11" t="s">
        <v>17750</v>
      </c>
    </row>
    <row r="276" spans="1:19" x14ac:dyDescent="0.2">
      <c r="A276" s="11" t="s">
        <v>19635</v>
      </c>
      <c r="B276" s="9" t="s">
        <v>19636</v>
      </c>
      <c r="C276" s="9" t="s">
        <v>19637</v>
      </c>
      <c r="D276" s="9" t="s">
        <v>19638</v>
      </c>
      <c r="E276" s="9" t="s">
        <v>17740</v>
      </c>
      <c r="F276" s="9" t="s">
        <v>17741</v>
      </c>
      <c r="G276" s="9" t="s">
        <v>17740</v>
      </c>
      <c r="H276" s="11" t="s">
        <v>323</v>
      </c>
      <c r="I276" s="11" t="s">
        <v>322</v>
      </c>
      <c r="J276" s="11" t="s">
        <v>322</v>
      </c>
      <c r="K276" s="9" t="s">
        <v>7339</v>
      </c>
      <c r="L276" s="9" t="s">
        <v>17759</v>
      </c>
      <c r="M276" s="9" t="s">
        <v>19639</v>
      </c>
      <c r="N276" s="9" t="s">
        <v>17746</v>
      </c>
      <c r="O276" s="9" t="s">
        <v>18846</v>
      </c>
      <c r="P276" s="9" t="s">
        <v>17748</v>
      </c>
      <c r="Q276" s="11" t="s">
        <v>18440</v>
      </c>
      <c r="R276" s="11" t="s">
        <v>18440</v>
      </c>
      <c r="S276" s="11" t="s">
        <v>17750</v>
      </c>
    </row>
    <row r="277" spans="1:19" x14ac:dyDescent="0.2">
      <c r="A277" s="11" t="s">
        <v>19640</v>
      </c>
      <c r="B277" s="9" t="s">
        <v>19641</v>
      </c>
      <c r="C277" s="9" t="s">
        <v>19642</v>
      </c>
      <c r="D277" s="9" t="s">
        <v>19643</v>
      </c>
      <c r="E277" s="9" t="s">
        <v>17748</v>
      </c>
      <c r="F277" s="9" t="s">
        <v>19644</v>
      </c>
      <c r="G277" s="9" t="s">
        <v>17740</v>
      </c>
      <c r="H277" s="11" t="s">
        <v>4622</v>
      </c>
      <c r="I277" s="11" t="s">
        <v>4621</v>
      </c>
      <c r="J277" s="11" t="s">
        <v>4621</v>
      </c>
      <c r="K277" s="9" t="s">
        <v>55</v>
      </c>
      <c r="L277" s="9" t="s">
        <v>17759</v>
      </c>
      <c r="M277" s="9" t="s">
        <v>19645</v>
      </c>
      <c r="N277" s="9" t="s">
        <v>17746</v>
      </c>
      <c r="O277" s="9" t="s">
        <v>19646</v>
      </c>
      <c r="P277" s="9" t="s">
        <v>17748</v>
      </c>
      <c r="Q277" s="11" t="s">
        <v>18678</v>
      </c>
      <c r="R277" s="11" t="s">
        <v>18678</v>
      </c>
      <c r="S277" s="11" t="s">
        <v>17750</v>
      </c>
    </row>
    <row r="278" spans="1:19" x14ac:dyDescent="0.2">
      <c r="A278" s="11" t="s">
        <v>19647</v>
      </c>
      <c r="B278" s="9" t="s">
        <v>19648</v>
      </c>
      <c r="C278" s="9" t="s">
        <v>19649</v>
      </c>
      <c r="D278" s="9" t="s">
        <v>19650</v>
      </c>
      <c r="E278" s="9" t="s">
        <v>17740</v>
      </c>
      <c r="F278" s="9" t="s">
        <v>17741</v>
      </c>
      <c r="G278" s="9" t="s">
        <v>17740</v>
      </c>
      <c r="H278" s="11" t="s">
        <v>19651</v>
      </c>
      <c r="I278" s="11" t="s">
        <v>19652</v>
      </c>
      <c r="J278" s="11" t="s">
        <v>19652</v>
      </c>
      <c r="K278" s="9" t="s">
        <v>970</v>
      </c>
      <c r="L278" s="9" t="s">
        <v>17759</v>
      </c>
      <c r="M278" s="9" t="s">
        <v>18289</v>
      </c>
      <c r="N278" s="9" t="s">
        <v>17746</v>
      </c>
      <c r="O278" s="9" t="s">
        <v>19653</v>
      </c>
      <c r="P278" s="9" t="s">
        <v>17748</v>
      </c>
      <c r="Q278" s="11" t="s">
        <v>19222</v>
      </c>
      <c r="R278" s="11" t="s">
        <v>19222</v>
      </c>
      <c r="S278" s="11" t="s">
        <v>17750</v>
      </c>
    </row>
    <row r="279" spans="1:19" x14ac:dyDescent="0.2">
      <c r="A279" s="11" t="s">
        <v>19654</v>
      </c>
      <c r="B279" s="9" t="s">
        <v>19655</v>
      </c>
      <c r="C279" s="9" t="s">
        <v>19656</v>
      </c>
      <c r="D279" s="9" t="s">
        <v>19657</v>
      </c>
      <c r="E279" s="9" t="s">
        <v>17740</v>
      </c>
      <c r="F279" s="9" t="s">
        <v>17741</v>
      </c>
      <c r="G279" s="9" t="s">
        <v>17740</v>
      </c>
      <c r="H279" s="11" t="s">
        <v>327</v>
      </c>
      <c r="I279" s="11" t="s">
        <v>326</v>
      </c>
      <c r="J279" s="11" t="s">
        <v>326</v>
      </c>
      <c r="K279" s="9" t="s">
        <v>18951</v>
      </c>
      <c r="L279" s="9" t="s">
        <v>17759</v>
      </c>
      <c r="M279" s="9" t="s">
        <v>19658</v>
      </c>
      <c r="N279" s="9" t="s">
        <v>17746</v>
      </c>
      <c r="O279" s="9" t="s">
        <v>19659</v>
      </c>
      <c r="P279" s="9" t="s">
        <v>17748</v>
      </c>
      <c r="Q279" s="11" t="s">
        <v>19222</v>
      </c>
      <c r="R279" s="11" t="s">
        <v>19222</v>
      </c>
      <c r="S279" s="11" t="s">
        <v>17750</v>
      </c>
    </row>
    <row r="280" spans="1:19" x14ac:dyDescent="0.2">
      <c r="A280" s="11" t="s">
        <v>19660</v>
      </c>
      <c r="B280" s="9" t="s">
        <v>19661</v>
      </c>
      <c r="C280" s="9" t="s">
        <v>19662</v>
      </c>
      <c r="D280" s="9" t="s">
        <v>19663</v>
      </c>
      <c r="E280" s="9" t="s">
        <v>17740</v>
      </c>
      <c r="F280" s="9" t="s">
        <v>17741</v>
      </c>
      <c r="G280" s="9" t="s">
        <v>17740</v>
      </c>
      <c r="H280" s="11" t="s">
        <v>330</v>
      </c>
      <c r="I280" s="11" t="s">
        <v>329</v>
      </c>
      <c r="J280" s="11" t="s">
        <v>329</v>
      </c>
      <c r="K280" s="9" t="s">
        <v>303</v>
      </c>
      <c r="L280" s="9" t="s">
        <v>17759</v>
      </c>
      <c r="M280" s="9" t="s">
        <v>19664</v>
      </c>
      <c r="N280" s="9" t="s">
        <v>17746</v>
      </c>
      <c r="O280" s="9" t="s">
        <v>7269</v>
      </c>
      <c r="P280" s="9" t="s">
        <v>17748</v>
      </c>
      <c r="Q280" s="11" t="s">
        <v>18433</v>
      </c>
      <c r="R280" s="11" t="s">
        <v>18433</v>
      </c>
      <c r="S280" s="11" t="s">
        <v>17750</v>
      </c>
    </row>
    <row r="281" spans="1:19" x14ac:dyDescent="0.2">
      <c r="A281" s="11" t="s">
        <v>19665</v>
      </c>
      <c r="B281" s="9" t="s">
        <v>19666</v>
      </c>
      <c r="C281" s="9" t="s">
        <v>19667</v>
      </c>
      <c r="D281" s="9" t="s">
        <v>19668</v>
      </c>
      <c r="E281" s="9" t="s">
        <v>17740</v>
      </c>
      <c r="F281" s="9" t="s">
        <v>17741</v>
      </c>
      <c r="G281" s="9" t="s">
        <v>17740</v>
      </c>
      <c r="H281" s="11" t="s">
        <v>17741</v>
      </c>
      <c r="I281" s="11" t="s">
        <v>19669</v>
      </c>
      <c r="J281" s="11" t="s">
        <v>19669</v>
      </c>
      <c r="K281" s="9" t="s">
        <v>19670</v>
      </c>
      <c r="L281" s="9" t="s">
        <v>17759</v>
      </c>
      <c r="M281" s="9" t="s">
        <v>17760</v>
      </c>
      <c r="N281" s="9" t="s">
        <v>17746</v>
      </c>
      <c r="O281" s="9" t="s">
        <v>19671</v>
      </c>
      <c r="P281" s="9" t="s">
        <v>17748</v>
      </c>
      <c r="Q281" s="11" t="s">
        <v>18608</v>
      </c>
      <c r="R281" s="11" t="s">
        <v>18608</v>
      </c>
      <c r="S281" s="11" t="s">
        <v>17750</v>
      </c>
    </row>
    <row r="282" spans="1:19" x14ac:dyDescent="0.2">
      <c r="A282" s="11" t="s">
        <v>19672</v>
      </c>
      <c r="B282" s="9" t="s">
        <v>19673</v>
      </c>
      <c r="C282" s="9" t="s">
        <v>19674</v>
      </c>
      <c r="D282" s="9" t="s">
        <v>19675</v>
      </c>
      <c r="E282" s="9" t="s">
        <v>17740</v>
      </c>
      <c r="F282" s="9" t="s">
        <v>17741</v>
      </c>
      <c r="G282" s="9" t="s">
        <v>17740</v>
      </c>
      <c r="H282" s="11" t="s">
        <v>19676</v>
      </c>
      <c r="I282" s="11" t="s">
        <v>7461</v>
      </c>
      <c r="J282" s="11" t="s">
        <v>7461</v>
      </c>
      <c r="K282" s="9" t="s">
        <v>19677</v>
      </c>
      <c r="L282" s="9" t="s">
        <v>17759</v>
      </c>
      <c r="M282" s="9" t="s">
        <v>17817</v>
      </c>
      <c r="N282" s="9" t="s">
        <v>17746</v>
      </c>
      <c r="O282" s="9" t="s">
        <v>17848</v>
      </c>
      <c r="P282" s="9" t="s">
        <v>17748</v>
      </c>
      <c r="Q282" s="11" t="s">
        <v>19361</v>
      </c>
      <c r="R282" s="11" t="s">
        <v>19361</v>
      </c>
      <c r="S282" s="11" t="s">
        <v>17750</v>
      </c>
    </row>
    <row r="283" spans="1:19" x14ac:dyDescent="0.2">
      <c r="A283" s="11" t="s">
        <v>19678</v>
      </c>
      <c r="B283" s="9" t="s">
        <v>19679</v>
      </c>
      <c r="C283" s="9" t="s">
        <v>19680</v>
      </c>
      <c r="D283" s="9" t="s">
        <v>19681</v>
      </c>
      <c r="E283" s="9" t="s">
        <v>17748</v>
      </c>
      <c r="F283" s="9" t="s">
        <v>19682</v>
      </c>
      <c r="G283" s="9" t="s">
        <v>17740</v>
      </c>
      <c r="H283" s="11" t="s">
        <v>336</v>
      </c>
      <c r="I283" s="11" t="s">
        <v>335</v>
      </c>
      <c r="J283" s="11" t="s">
        <v>335</v>
      </c>
      <c r="K283" s="9" t="s">
        <v>970</v>
      </c>
      <c r="L283" s="9" t="s">
        <v>17759</v>
      </c>
      <c r="M283" s="9" t="s">
        <v>19683</v>
      </c>
      <c r="N283" s="9" t="s">
        <v>17746</v>
      </c>
      <c r="O283" s="9" t="s">
        <v>18846</v>
      </c>
      <c r="P283" s="9" t="s">
        <v>17748</v>
      </c>
      <c r="Q283" s="11" t="s">
        <v>17858</v>
      </c>
      <c r="R283" s="11" t="s">
        <v>17858</v>
      </c>
      <c r="S283" s="11" t="s">
        <v>17750</v>
      </c>
    </row>
    <row r="284" spans="1:19" x14ac:dyDescent="0.2">
      <c r="A284" s="11" t="s">
        <v>19684</v>
      </c>
      <c r="B284" s="9" t="s">
        <v>19685</v>
      </c>
      <c r="C284" s="9" t="s">
        <v>19686</v>
      </c>
      <c r="D284" s="9" t="s">
        <v>19687</v>
      </c>
      <c r="E284" s="9" t="s">
        <v>17748</v>
      </c>
      <c r="F284" s="9" t="s">
        <v>19682</v>
      </c>
      <c r="G284" s="9" t="s">
        <v>17740</v>
      </c>
      <c r="H284" s="11" t="s">
        <v>6492</v>
      </c>
      <c r="I284" s="11" t="s">
        <v>6491</v>
      </c>
      <c r="J284" s="11" t="s">
        <v>6491</v>
      </c>
      <c r="K284" s="9" t="s">
        <v>970</v>
      </c>
      <c r="L284" s="9" t="s">
        <v>17759</v>
      </c>
      <c r="M284" s="9" t="s">
        <v>19688</v>
      </c>
      <c r="N284" s="9" t="s">
        <v>17746</v>
      </c>
      <c r="O284" s="9" t="s">
        <v>19689</v>
      </c>
      <c r="P284" s="9" t="s">
        <v>17748</v>
      </c>
      <c r="Q284" s="11" t="s">
        <v>17858</v>
      </c>
      <c r="R284" s="11" t="s">
        <v>17858</v>
      </c>
      <c r="S284" s="11" t="s">
        <v>17750</v>
      </c>
    </row>
    <row r="285" spans="1:19" x14ac:dyDescent="0.2">
      <c r="A285" s="11" t="s">
        <v>19690</v>
      </c>
      <c r="B285" s="9" t="s">
        <v>19691</v>
      </c>
      <c r="C285" s="9" t="s">
        <v>19692</v>
      </c>
      <c r="D285" s="9" t="s">
        <v>19693</v>
      </c>
      <c r="E285" s="9" t="s">
        <v>17748</v>
      </c>
      <c r="F285" s="9" t="s">
        <v>19682</v>
      </c>
      <c r="G285" s="9" t="s">
        <v>17740</v>
      </c>
      <c r="H285" s="11" t="s">
        <v>8367</v>
      </c>
      <c r="I285" s="11" t="s">
        <v>8366</v>
      </c>
      <c r="J285" s="11" t="s">
        <v>8366</v>
      </c>
      <c r="K285" s="9" t="s">
        <v>970</v>
      </c>
      <c r="L285" s="9" t="s">
        <v>17759</v>
      </c>
      <c r="M285" s="9" t="s">
        <v>17760</v>
      </c>
      <c r="N285" s="9" t="s">
        <v>17746</v>
      </c>
      <c r="O285" s="9" t="s">
        <v>18846</v>
      </c>
      <c r="P285" s="9" t="s">
        <v>17748</v>
      </c>
      <c r="Q285" s="11" t="s">
        <v>17858</v>
      </c>
      <c r="R285" s="11" t="s">
        <v>17858</v>
      </c>
      <c r="S285" s="11" t="s">
        <v>17750</v>
      </c>
    </row>
    <row r="286" spans="1:19" x14ac:dyDescent="0.2">
      <c r="A286" s="11" t="s">
        <v>19694</v>
      </c>
      <c r="B286" s="9" t="s">
        <v>19695</v>
      </c>
      <c r="C286" s="9" t="s">
        <v>19696</v>
      </c>
      <c r="D286" s="9" t="s">
        <v>19697</v>
      </c>
      <c r="E286" s="9" t="s">
        <v>17740</v>
      </c>
      <c r="F286" s="9" t="s">
        <v>19698</v>
      </c>
      <c r="G286" s="9" t="s">
        <v>17740</v>
      </c>
      <c r="H286" s="11" t="s">
        <v>19699</v>
      </c>
      <c r="I286" s="11" t="s">
        <v>19700</v>
      </c>
      <c r="J286" s="11" t="s">
        <v>19700</v>
      </c>
      <c r="K286" s="9" t="s">
        <v>19447</v>
      </c>
      <c r="L286" s="9" t="s">
        <v>17759</v>
      </c>
      <c r="M286" s="9" t="s">
        <v>19701</v>
      </c>
      <c r="N286" s="9" t="s">
        <v>17746</v>
      </c>
      <c r="O286" s="9" t="s">
        <v>17848</v>
      </c>
      <c r="P286" s="9" t="s">
        <v>17748</v>
      </c>
      <c r="Q286" s="11" t="s">
        <v>18147</v>
      </c>
      <c r="R286" s="11" t="s">
        <v>18147</v>
      </c>
      <c r="S286" s="11" t="s">
        <v>17750</v>
      </c>
    </row>
    <row r="287" spans="1:19" x14ac:dyDescent="0.2">
      <c r="A287" s="11" t="s">
        <v>19702</v>
      </c>
      <c r="B287" s="9" t="s">
        <v>19703</v>
      </c>
      <c r="C287" s="9" t="s">
        <v>19704</v>
      </c>
      <c r="D287" s="9" t="s">
        <v>19705</v>
      </c>
      <c r="E287" s="9" t="s">
        <v>17740</v>
      </c>
      <c r="F287" s="9" t="s">
        <v>17741</v>
      </c>
      <c r="G287" s="9" t="s">
        <v>17740</v>
      </c>
      <c r="H287" s="11" t="s">
        <v>333</v>
      </c>
      <c r="I287" s="11" t="s">
        <v>332</v>
      </c>
      <c r="J287" s="11" t="s">
        <v>332</v>
      </c>
      <c r="K287" s="9" t="s">
        <v>6978</v>
      </c>
      <c r="L287" s="9" t="s">
        <v>17759</v>
      </c>
      <c r="M287" s="9" t="s">
        <v>19706</v>
      </c>
      <c r="N287" s="9" t="s">
        <v>17746</v>
      </c>
      <c r="O287" s="9" t="s">
        <v>17993</v>
      </c>
      <c r="P287" s="9" t="s">
        <v>17748</v>
      </c>
      <c r="Q287" s="11" t="s">
        <v>18010</v>
      </c>
      <c r="R287" s="11" t="s">
        <v>18010</v>
      </c>
      <c r="S287" s="11" t="s">
        <v>17750</v>
      </c>
    </row>
    <row r="288" spans="1:19" x14ac:dyDescent="0.2">
      <c r="A288" s="11" t="s">
        <v>19707</v>
      </c>
      <c r="B288" s="9" t="s">
        <v>19708</v>
      </c>
      <c r="C288" s="9" t="s">
        <v>19709</v>
      </c>
      <c r="D288" s="9" t="s">
        <v>19710</v>
      </c>
      <c r="E288" s="9" t="s">
        <v>17740</v>
      </c>
      <c r="F288" s="9" t="s">
        <v>17741</v>
      </c>
      <c r="G288" s="9" t="s">
        <v>17740</v>
      </c>
      <c r="H288" s="11" t="s">
        <v>19711</v>
      </c>
      <c r="I288" s="11" t="s">
        <v>19712</v>
      </c>
      <c r="J288" s="11" t="s">
        <v>19712</v>
      </c>
      <c r="K288" s="9" t="s">
        <v>19713</v>
      </c>
      <c r="L288" s="9" t="s">
        <v>17759</v>
      </c>
      <c r="M288" s="9" t="s">
        <v>19714</v>
      </c>
      <c r="N288" s="9" t="s">
        <v>17746</v>
      </c>
      <c r="O288" s="9" t="s">
        <v>19715</v>
      </c>
      <c r="P288" s="9" t="s">
        <v>17748</v>
      </c>
      <c r="Q288" s="11" t="s">
        <v>17917</v>
      </c>
      <c r="R288" s="11" t="s">
        <v>17917</v>
      </c>
      <c r="S288" s="11" t="s">
        <v>17750</v>
      </c>
    </row>
    <row r="289" spans="1:19" x14ac:dyDescent="0.2">
      <c r="A289" s="11" t="s">
        <v>19716</v>
      </c>
      <c r="B289" s="9" t="s">
        <v>19717</v>
      </c>
      <c r="C289" s="9" t="s">
        <v>19718</v>
      </c>
      <c r="D289" s="9" t="s">
        <v>19719</v>
      </c>
      <c r="E289" s="9" t="s">
        <v>17740</v>
      </c>
      <c r="F289" s="9" t="s">
        <v>17741</v>
      </c>
      <c r="G289" s="9" t="s">
        <v>17740</v>
      </c>
      <c r="H289" s="11" t="s">
        <v>342</v>
      </c>
      <c r="I289" s="11" t="s">
        <v>341</v>
      </c>
      <c r="J289" s="11" t="s">
        <v>341</v>
      </c>
      <c r="K289" s="9" t="s">
        <v>18122</v>
      </c>
      <c r="L289" s="9" t="s">
        <v>18123</v>
      </c>
      <c r="M289" s="9" t="s">
        <v>19720</v>
      </c>
      <c r="N289" s="9" t="s">
        <v>17746</v>
      </c>
      <c r="O289" s="9" t="s">
        <v>7269</v>
      </c>
      <c r="P289" s="9" t="s">
        <v>17748</v>
      </c>
      <c r="Q289" s="11" t="s">
        <v>18433</v>
      </c>
      <c r="R289" s="11" t="s">
        <v>18433</v>
      </c>
      <c r="S289" s="11" t="s">
        <v>17750</v>
      </c>
    </row>
    <row r="290" spans="1:19" x14ac:dyDescent="0.2">
      <c r="A290" s="11" t="s">
        <v>19721</v>
      </c>
      <c r="B290" s="9" t="s">
        <v>19722</v>
      </c>
      <c r="C290" s="9" t="s">
        <v>19723</v>
      </c>
      <c r="D290" s="9" t="s">
        <v>19724</v>
      </c>
      <c r="E290" s="9" t="s">
        <v>17740</v>
      </c>
      <c r="F290" s="9" t="s">
        <v>17741</v>
      </c>
      <c r="G290" s="9" t="s">
        <v>17740</v>
      </c>
      <c r="H290" s="11" t="s">
        <v>19725</v>
      </c>
      <c r="I290" s="11" t="s">
        <v>19726</v>
      </c>
      <c r="J290" s="11" t="s">
        <v>19726</v>
      </c>
      <c r="K290" s="9" t="s">
        <v>17758</v>
      </c>
      <c r="L290" s="9" t="s">
        <v>17759</v>
      </c>
      <c r="M290" s="9" t="s">
        <v>17817</v>
      </c>
      <c r="N290" s="9" t="s">
        <v>17746</v>
      </c>
      <c r="O290" s="9" t="s">
        <v>17800</v>
      </c>
      <c r="P290" s="9" t="s">
        <v>17748</v>
      </c>
      <c r="Q290" s="11" t="s">
        <v>19727</v>
      </c>
      <c r="R290" s="11" t="s">
        <v>19727</v>
      </c>
      <c r="S290" s="11" t="s">
        <v>17750</v>
      </c>
    </row>
    <row r="291" spans="1:19" x14ac:dyDescent="0.2">
      <c r="A291" s="11" t="s">
        <v>19728</v>
      </c>
      <c r="B291" s="9" t="s">
        <v>19729</v>
      </c>
      <c r="C291" s="9" t="s">
        <v>19730</v>
      </c>
      <c r="D291" s="9" t="s">
        <v>19731</v>
      </c>
      <c r="E291" s="9" t="s">
        <v>17740</v>
      </c>
      <c r="F291" s="9" t="s">
        <v>19732</v>
      </c>
      <c r="G291" s="9" t="s">
        <v>17740</v>
      </c>
      <c r="H291" s="11" t="s">
        <v>349</v>
      </c>
      <c r="I291" s="11" t="s">
        <v>348</v>
      </c>
      <c r="J291" s="11" t="s">
        <v>348</v>
      </c>
      <c r="K291" s="9" t="s">
        <v>91</v>
      </c>
      <c r="L291" s="9" t="s">
        <v>17759</v>
      </c>
      <c r="M291" s="9" t="s">
        <v>17817</v>
      </c>
      <c r="N291" s="9" t="s">
        <v>17746</v>
      </c>
      <c r="O291" s="9" t="s">
        <v>18331</v>
      </c>
      <c r="P291" s="9" t="s">
        <v>17748</v>
      </c>
      <c r="Q291" s="11" t="s">
        <v>18132</v>
      </c>
      <c r="R291" s="11" t="s">
        <v>18132</v>
      </c>
      <c r="S291" s="11" t="s">
        <v>17750</v>
      </c>
    </row>
    <row r="292" spans="1:19" x14ac:dyDescent="0.2">
      <c r="A292" s="11" t="s">
        <v>19733</v>
      </c>
      <c r="B292" s="9" t="s">
        <v>19734</v>
      </c>
      <c r="C292" s="9" t="s">
        <v>19735</v>
      </c>
      <c r="D292" s="9" t="s">
        <v>19736</v>
      </c>
      <c r="E292" s="9" t="s">
        <v>17740</v>
      </c>
      <c r="F292" s="9" t="s">
        <v>17741</v>
      </c>
      <c r="G292" s="9" t="s">
        <v>17740</v>
      </c>
      <c r="H292" s="11" t="s">
        <v>19737</v>
      </c>
      <c r="I292" s="11" t="s">
        <v>19738</v>
      </c>
      <c r="J292" s="11" t="s">
        <v>19738</v>
      </c>
      <c r="K292" s="9" t="s">
        <v>19739</v>
      </c>
      <c r="L292" s="9" t="s">
        <v>17759</v>
      </c>
      <c r="M292" s="9" t="s">
        <v>19701</v>
      </c>
      <c r="N292" s="9" t="s">
        <v>17746</v>
      </c>
      <c r="O292" s="9" t="s">
        <v>19740</v>
      </c>
      <c r="P292" s="9" t="s">
        <v>17748</v>
      </c>
      <c r="Q292" s="11" t="s">
        <v>18847</v>
      </c>
      <c r="R292" s="11" t="s">
        <v>18847</v>
      </c>
      <c r="S292" s="11" t="s">
        <v>17750</v>
      </c>
    </row>
    <row r="293" spans="1:19" x14ac:dyDescent="0.2">
      <c r="A293" s="11" t="s">
        <v>19741</v>
      </c>
      <c r="B293" s="9" t="s">
        <v>19742</v>
      </c>
      <c r="C293" s="9" t="s">
        <v>19743</v>
      </c>
      <c r="D293" s="9" t="s">
        <v>19744</v>
      </c>
      <c r="E293" s="9" t="s">
        <v>17740</v>
      </c>
      <c r="F293" s="9" t="s">
        <v>19745</v>
      </c>
      <c r="G293" s="9" t="s">
        <v>17740</v>
      </c>
      <c r="H293" s="11" t="s">
        <v>352</v>
      </c>
      <c r="I293" s="11" t="s">
        <v>351</v>
      </c>
      <c r="J293" s="11" t="s">
        <v>351</v>
      </c>
      <c r="K293" s="9" t="s">
        <v>18661</v>
      </c>
      <c r="L293" s="9" t="s">
        <v>17759</v>
      </c>
      <c r="M293" s="9" t="s">
        <v>17817</v>
      </c>
      <c r="N293" s="9" t="s">
        <v>17746</v>
      </c>
      <c r="O293" s="9" t="s">
        <v>3255</v>
      </c>
      <c r="P293" s="9" t="s">
        <v>17748</v>
      </c>
      <c r="Q293" s="11" t="s">
        <v>19746</v>
      </c>
      <c r="R293" s="11" t="s">
        <v>19746</v>
      </c>
      <c r="S293" s="11" t="s">
        <v>17750</v>
      </c>
    </row>
    <row r="294" spans="1:19" x14ac:dyDescent="0.2">
      <c r="A294" s="11" t="s">
        <v>19747</v>
      </c>
      <c r="B294" s="9" t="s">
        <v>19748</v>
      </c>
      <c r="C294" s="9" t="s">
        <v>19749</v>
      </c>
      <c r="D294" s="9" t="s">
        <v>19750</v>
      </c>
      <c r="E294" s="9" t="s">
        <v>17740</v>
      </c>
      <c r="F294" s="9" t="s">
        <v>19751</v>
      </c>
      <c r="G294" s="9" t="s">
        <v>17740</v>
      </c>
      <c r="H294" s="11" t="s">
        <v>19752</v>
      </c>
      <c r="I294" s="11" t="s">
        <v>19753</v>
      </c>
      <c r="J294" s="11" t="s">
        <v>19753</v>
      </c>
      <c r="K294" s="9" t="s">
        <v>91</v>
      </c>
      <c r="L294" s="9" t="s">
        <v>17759</v>
      </c>
      <c r="M294" s="9" t="s">
        <v>17817</v>
      </c>
      <c r="N294" s="9" t="s">
        <v>17746</v>
      </c>
      <c r="O294" s="9" t="s">
        <v>19754</v>
      </c>
      <c r="P294" s="9" t="s">
        <v>17748</v>
      </c>
      <c r="Q294" s="11" t="s">
        <v>18059</v>
      </c>
      <c r="R294" s="11" t="s">
        <v>18059</v>
      </c>
      <c r="S294" s="11" t="s">
        <v>17750</v>
      </c>
    </row>
    <row r="295" spans="1:19" x14ac:dyDescent="0.2">
      <c r="A295" s="11" t="s">
        <v>19755</v>
      </c>
      <c r="B295" s="9" t="s">
        <v>19756</v>
      </c>
      <c r="C295" s="9" t="s">
        <v>19757</v>
      </c>
      <c r="D295" s="9" t="s">
        <v>19758</v>
      </c>
      <c r="E295" s="9" t="s">
        <v>17748</v>
      </c>
      <c r="F295" s="9" t="s">
        <v>19759</v>
      </c>
      <c r="G295" s="9" t="s">
        <v>17740</v>
      </c>
      <c r="H295" s="11" t="s">
        <v>19760</v>
      </c>
      <c r="I295" s="11" t="s">
        <v>19761</v>
      </c>
      <c r="J295" s="11" t="s">
        <v>19761</v>
      </c>
      <c r="K295" s="9" t="s">
        <v>19762</v>
      </c>
      <c r="L295" s="9" t="s">
        <v>17759</v>
      </c>
      <c r="M295" s="9" t="s">
        <v>18289</v>
      </c>
      <c r="N295" s="9" t="s">
        <v>17746</v>
      </c>
      <c r="O295" s="9" t="s">
        <v>3276</v>
      </c>
      <c r="P295" s="9" t="s">
        <v>17748</v>
      </c>
      <c r="Q295" s="11" t="s">
        <v>19361</v>
      </c>
      <c r="R295" s="11" t="s">
        <v>19361</v>
      </c>
      <c r="S295" s="11" t="s">
        <v>17750</v>
      </c>
    </row>
    <row r="296" spans="1:19" x14ac:dyDescent="0.2">
      <c r="A296" s="11" t="s">
        <v>19763</v>
      </c>
      <c r="B296" s="9" t="s">
        <v>19764</v>
      </c>
      <c r="C296" s="9" t="s">
        <v>19765</v>
      </c>
      <c r="D296" s="9" t="s">
        <v>19766</v>
      </c>
      <c r="E296" s="9" t="s">
        <v>17740</v>
      </c>
      <c r="F296" s="9" t="s">
        <v>17741</v>
      </c>
      <c r="G296" s="9" t="s">
        <v>17740</v>
      </c>
      <c r="H296" s="11" t="s">
        <v>355</v>
      </c>
      <c r="I296" s="11" t="s">
        <v>354</v>
      </c>
      <c r="J296" s="11" t="s">
        <v>354</v>
      </c>
      <c r="K296" s="9" t="s">
        <v>19767</v>
      </c>
      <c r="L296" s="9" t="s">
        <v>17759</v>
      </c>
      <c r="M296" s="9" t="s">
        <v>19768</v>
      </c>
      <c r="N296" s="9" t="s">
        <v>17746</v>
      </c>
      <c r="O296" s="9" t="s">
        <v>19769</v>
      </c>
      <c r="P296" s="9" t="s">
        <v>17748</v>
      </c>
      <c r="Q296" s="11" t="s">
        <v>19770</v>
      </c>
      <c r="R296" s="11" t="s">
        <v>19770</v>
      </c>
      <c r="S296" s="11" t="s">
        <v>17750</v>
      </c>
    </row>
    <row r="297" spans="1:19" x14ac:dyDescent="0.2">
      <c r="A297" s="11" t="s">
        <v>19771</v>
      </c>
      <c r="B297" s="9" t="s">
        <v>19772</v>
      </c>
      <c r="C297" s="9" t="s">
        <v>19773</v>
      </c>
      <c r="D297" s="9" t="s">
        <v>19774</v>
      </c>
      <c r="E297" s="9" t="s">
        <v>17740</v>
      </c>
      <c r="F297" s="9" t="s">
        <v>17741</v>
      </c>
      <c r="G297" s="9" t="s">
        <v>17740</v>
      </c>
      <c r="H297" s="11" t="s">
        <v>360</v>
      </c>
      <c r="I297" s="11" t="s">
        <v>359</v>
      </c>
      <c r="J297" s="11" t="s">
        <v>359</v>
      </c>
      <c r="K297" s="9" t="s">
        <v>19775</v>
      </c>
      <c r="L297" s="9" t="s">
        <v>17759</v>
      </c>
      <c r="M297" s="9" t="s">
        <v>17769</v>
      </c>
      <c r="N297" s="9" t="s">
        <v>17746</v>
      </c>
      <c r="O297" s="9" t="s">
        <v>18418</v>
      </c>
      <c r="P297" s="9" t="s">
        <v>17748</v>
      </c>
      <c r="Q297" s="11" t="s">
        <v>18251</v>
      </c>
      <c r="R297" s="11" t="s">
        <v>18251</v>
      </c>
      <c r="S297" s="11" t="s">
        <v>17750</v>
      </c>
    </row>
    <row r="298" spans="1:19" x14ac:dyDescent="0.2">
      <c r="A298" s="11" t="s">
        <v>19776</v>
      </c>
      <c r="B298" s="9" t="s">
        <v>19777</v>
      </c>
      <c r="C298" s="9" t="s">
        <v>19778</v>
      </c>
      <c r="D298" s="9" t="s">
        <v>19779</v>
      </c>
      <c r="E298" s="9" t="s">
        <v>17740</v>
      </c>
      <c r="F298" s="9" t="s">
        <v>19780</v>
      </c>
      <c r="G298" s="9" t="s">
        <v>17740</v>
      </c>
      <c r="H298" s="11" t="s">
        <v>363</v>
      </c>
      <c r="I298" s="11" t="s">
        <v>362</v>
      </c>
      <c r="J298" s="11" t="s">
        <v>362</v>
      </c>
      <c r="K298" s="9" t="s">
        <v>91</v>
      </c>
      <c r="L298" s="9" t="s">
        <v>17759</v>
      </c>
      <c r="M298" s="9" t="s">
        <v>19781</v>
      </c>
      <c r="N298" s="9" t="s">
        <v>17746</v>
      </c>
      <c r="O298" s="9" t="s">
        <v>19521</v>
      </c>
      <c r="P298" s="9" t="s">
        <v>17748</v>
      </c>
      <c r="Q298" s="11" t="s">
        <v>19435</v>
      </c>
      <c r="R298" s="11" t="s">
        <v>19435</v>
      </c>
      <c r="S298" s="11" t="s">
        <v>17750</v>
      </c>
    </row>
    <row r="299" spans="1:19" x14ac:dyDescent="0.2">
      <c r="A299" s="11" t="s">
        <v>19782</v>
      </c>
      <c r="B299" s="9" t="s">
        <v>19783</v>
      </c>
      <c r="C299" s="9" t="s">
        <v>19784</v>
      </c>
      <c r="D299" s="9" t="s">
        <v>19785</v>
      </c>
      <c r="E299" s="9" t="s">
        <v>17740</v>
      </c>
      <c r="F299" s="9" t="s">
        <v>17741</v>
      </c>
      <c r="G299" s="9" t="s">
        <v>17740</v>
      </c>
      <c r="H299" s="11" t="s">
        <v>370</v>
      </c>
      <c r="I299" s="11" t="s">
        <v>369</v>
      </c>
      <c r="J299" s="11" t="s">
        <v>369</v>
      </c>
      <c r="K299" s="9" t="s">
        <v>19786</v>
      </c>
      <c r="L299" s="9" t="s">
        <v>17759</v>
      </c>
      <c r="M299" s="9" t="s">
        <v>19168</v>
      </c>
      <c r="N299" s="9" t="s">
        <v>17746</v>
      </c>
      <c r="O299" s="9" t="s">
        <v>8489</v>
      </c>
      <c r="P299" s="9" t="s">
        <v>17748</v>
      </c>
      <c r="Q299" s="11" t="s">
        <v>17978</v>
      </c>
      <c r="R299" s="11" t="s">
        <v>17978</v>
      </c>
      <c r="S299" s="11" t="s">
        <v>17750</v>
      </c>
    </row>
    <row r="300" spans="1:19" x14ac:dyDescent="0.2">
      <c r="A300" s="11" t="s">
        <v>19787</v>
      </c>
      <c r="B300" s="9" t="s">
        <v>19788</v>
      </c>
      <c r="C300" s="9" t="s">
        <v>19789</v>
      </c>
      <c r="D300" s="9" t="s">
        <v>19790</v>
      </c>
      <c r="E300" s="9" t="s">
        <v>17740</v>
      </c>
      <c r="F300" s="9" t="s">
        <v>19791</v>
      </c>
      <c r="G300" s="9" t="s">
        <v>17740</v>
      </c>
      <c r="H300" s="11" t="s">
        <v>19792</v>
      </c>
      <c r="I300" s="11" t="s">
        <v>19793</v>
      </c>
      <c r="J300" s="11" t="s">
        <v>19793</v>
      </c>
      <c r="K300" s="9" t="s">
        <v>19794</v>
      </c>
      <c r="L300" s="9" t="s">
        <v>17759</v>
      </c>
      <c r="M300" s="9" t="s">
        <v>17760</v>
      </c>
      <c r="N300" s="9" t="s">
        <v>17746</v>
      </c>
      <c r="O300" s="9" t="s">
        <v>19795</v>
      </c>
      <c r="P300" s="9" t="s">
        <v>17748</v>
      </c>
      <c r="Q300" s="11" t="s">
        <v>18493</v>
      </c>
      <c r="R300" s="11" t="s">
        <v>18493</v>
      </c>
      <c r="S300" s="11" t="s">
        <v>17750</v>
      </c>
    </row>
    <row r="301" spans="1:19" x14ac:dyDescent="0.2">
      <c r="A301" s="11" t="s">
        <v>19796</v>
      </c>
      <c r="B301" s="9" t="s">
        <v>19797</v>
      </c>
      <c r="C301" s="9" t="s">
        <v>19798</v>
      </c>
      <c r="D301" s="9" t="s">
        <v>19799</v>
      </c>
      <c r="E301" s="9" t="s">
        <v>17740</v>
      </c>
      <c r="F301" s="9" t="s">
        <v>17741</v>
      </c>
      <c r="G301" s="9" t="s">
        <v>17740</v>
      </c>
      <c r="H301" s="11" t="s">
        <v>381</v>
      </c>
      <c r="I301" s="11" t="s">
        <v>380</v>
      </c>
      <c r="J301" s="11" t="s">
        <v>380</v>
      </c>
      <c r="K301" s="9" t="s">
        <v>970</v>
      </c>
      <c r="L301" s="9" t="s">
        <v>17759</v>
      </c>
      <c r="M301" s="9" t="s">
        <v>17817</v>
      </c>
      <c r="N301" s="9" t="s">
        <v>17746</v>
      </c>
      <c r="O301" s="9" t="s">
        <v>19800</v>
      </c>
      <c r="P301" s="9" t="s">
        <v>17748</v>
      </c>
      <c r="Q301" s="11" t="s">
        <v>18419</v>
      </c>
      <c r="R301" s="11" t="s">
        <v>18419</v>
      </c>
      <c r="S301" s="11" t="s">
        <v>17750</v>
      </c>
    </row>
    <row r="302" spans="1:19" x14ac:dyDescent="0.2">
      <c r="A302" s="11" t="s">
        <v>19801</v>
      </c>
      <c r="B302" s="9" t="s">
        <v>19802</v>
      </c>
      <c r="C302" s="9" t="s">
        <v>19803</v>
      </c>
      <c r="D302" s="9" t="s">
        <v>19804</v>
      </c>
      <c r="E302" s="9" t="s">
        <v>17740</v>
      </c>
      <c r="F302" s="9" t="s">
        <v>19805</v>
      </c>
      <c r="G302" s="9" t="s">
        <v>17740</v>
      </c>
      <c r="H302" s="11" t="s">
        <v>19806</v>
      </c>
      <c r="I302" s="11" t="s">
        <v>19807</v>
      </c>
      <c r="J302" s="11" t="s">
        <v>19807</v>
      </c>
      <c r="K302" s="9" t="s">
        <v>17758</v>
      </c>
      <c r="L302" s="9" t="s">
        <v>17759</v>
      </c>
      <c r="M302" s="9" t="s">
        <v>19808</v>
      </c>
      <c r="N302" s="9" t="s">
        <v>17746</v>
      </c>
      <c r="O302" s="9" t="s">
        <v>19740</v>
      </c>
      <c r="P302" s="9" t="s">
        <v>17748</v>
      </c>
      <c r="Q302" s="11" t="s">
        <v>18678</v>
      </c>
      <c r="R302" s="11" t="s">
        <v>18678</v>
      </c>
      <c r="S302" s="11" t="s">
        <v>17750</v>
      </c>
    </row>
    <row r="303" spans="1:19" x14ac:dyDescent="0.2">
      <c r="A303" s="11" t="s">
        <v>19809</v>
      </c>
      <c r="B303" s="9" t="s">
        <v>19810</v>
      </c>
      <c r="C303" s="9" t="s">
        <v>19811</v>
      </c>
      <c r="D303" s="9" t="s">
        <v>19812</v>
      </c>
      <c r="E303" s="9" t="s">
        <v>17740</v>
      </c>
      <c r="F303" s="9" t="s">
        <v>17741</v>
      </c>
      <c r="G303" s="9" t="s">
        <v>17740</v>
      </c>
      <c r="H303" s="11" t="s">
        <v>366</v>
      </c>
      <c r="I303" s="11" t="s">
        <v>365</v>
      </c>
      <c r="J303" s="11" t="s">
        <v>365</v>
      </c>
      <c r="K303" s="9" t="s">
        <v>367</v>
      </c>
      <c r="L303" s="9" t="s">
        <v>17759</v>
      </c>
      <c r="M303" s="9" t="s">
        <v>19813</v>
      </c>
      <c r="N303" s="9" t="s">
        <v>17746</v>
      </c>
      <c r="O303" s="9" t="s">
        <v>19814</v>
      </c>
      <c r="P303" s="9" t="s">
        <v>17748</v>
      </c>
      <c r="Q303" s="11" t="s">
        <v>18600</v>
      </c>
      <c r="R303" s="11" t="s">
        <v>18600</v>
      </c>
      <c r="S303" s="11" t="s">
        <v>17750</v>
      </c>
    </row>
    <row r="304" spans="1:19" x14ac:dyDescent="0.2">
      <c r="A304" s="11" t="s">
        <v>19815</v>
      </c>
      <c r="B304" s="9" t="s">
        <v>19816</v>
      </c>
      <c r="C304" s="9" t="s">
        <v>19817</v>
      </c>
      <c r="D304" s="9" t="s">
        <v>19818</v>
      </c>
      <c r="E304" s="9" t="s">
        <v>17740</v>
      </c>
      <c r="F304" s="9" t="s">
        <v>19819</v>
      </c>
      <c r="G304" s="9" t="s">
        <v>17740</v>
      </c>
      <c r="H304" s="11" t="s">
        <v>375</v>
      </c>
      <c r="I304" s="11" t="s">
        <v>374</v>
      </c>
      <c r="J304" s="11" t="s">
        <v>374</v>
      </c>
      <c r="K304" s="9" t="s">
        <v>367</v>
      </c>
      <c r="L304" s="9" t="s">
        <v>17759</v>
      </c>
      <c r="M304" s="9" t="s">
        <v>19820</v>
      </c>
      <c r="N304" s="9" t="s">
        <v>17746</v>
      </c>
      <c r="O304" s="9" t="s">
        <v>19821</v>
      </c>
      <c r="P304" s="9" t="s">
        <v>17748</v>
      </c>
      <c r="Q304" s="11" t="s">
        <v>19222</v>
      </c>
      <c r="R304" s="11" t="s">
        <v>19222</v>
      </c>
      <c r="S304" s="11" t="s">
        <v>17750</v>
      </c>
    </row>
    <row r="305" spans="1:19" x14ac:dyDescent="0.2">
      <c r="A305" s="11" t="s">
        <v>19822</v>
      </c>
      <c r="B305" s="9" t="s">
        <v>19823</v>
      </c>
      <c r="C305" s="9" t="s">
        <v>19824</v>
      </c>
      <c r="D305" s="9" t="s">
        <v>19825</v>
      </c>
      <c r="E305" s="9" t="s">
        <v>17740</v>
      </c>
      <c r="F305" s="9" t="s">
        <v>19826</v>
      </c>
      <c r="G305" s="9" t="s">
        <v>17740</v>
      </c>
      <c r="H305" s="11" t="s">
        <v>575</v>
      </c>
      <c r="I305" s="11" t="s">
        <v>574</v>
      </c>
      <c r="J305" s="11" t="s">
        <v>574</v>
      </c>
      <c r="K305" s="9" t="s">
        <v>367</v>
      </c>
      <c r="L305" s="9" t="s">
        <v>17759</v>
      </c>
      <c r="M305" s="9" t="s">
        <v>19813</v>
      </c>
      <c r="N305" s="9" t="s">
        <v>17746</v>
      </c>
      <c r="O305" s="9" t="s">
        <v>19827</v>
      </c>
      <c r="P305" s="9" t="s">
        <v>17748</v>
      </c>
      <c r="Q305" s="11" t="s">
        <v>19222</v>
      </c>
      <c r="R305" s="11" t="s">
        <v>19222</v>
      </c>
      <c r="S305" s="11" t="s">
        <v>17750</v>
      </c>
    </row>
    <row r="306" spans="1:19" x14ac:dyDescent="0.2">
      <c r="A306" s="11" t="s">
        <v>19828</v>
      </c>
      <c r="B306" s="9" t="s">
        <v>19829</v>
      </c>
      <c r="C306" s="9" t="s">
        <v>19830</v>
      </c>
      <c r="D306" s="9" t="s">
        <v>19831</v>
      </c>
      <c r="E306" s="9" t="s">
        <v>17740</v>
      </c>
      <c r="F306" s="9" t="s">
        <v>17741</v>
      </c>
      <c r="G306" s="9" t="s">
        <v>17740</v>
      </c>
      <c r="H306" s="11" t="s">
        <v>384</v>
      </c>
      <c r="I306" s="11" t="s">
        <v>383</v>
      </c>
      <c r="J306" s="11" t="s">
        <v>383</v>
      </c>
      <c r="K306" s="9" t="s">
        <v>367</v>
      </c>
      <c r="L306" s="9" t="s">
        <v>17759</v>
      </c>
      <c r="M306" s="9" t="s">
        <v>19820</v>
      </c>
      <c r="N306" s="9" t="s">
        <v>17746</v>
      </c>
      <c r="O306" s="9" t="s">
        <v>18271</v>
      </c>
      <c r="P306" s="9" t="s">
        <v>17748</v>
      </c>
      <c r="Q306" s="11" t="s">
        <v>18600</v>
      </c>
      <c r="R306" s="11" t="s">
        <v>18600</v>
      </c>
      <c r="S306" s="11" t="s">
        <v>17750</v>
      </c>
    </row>
    <row r="307" spans="1:19" x14ac:dyDescent="0.2">
      <c r="A307" s="11" t="s">
        <v>19832</v>
      </c>
      <c r="B307" s="9" t="s">
        <v>19833</v>
      </c>
      <c r="C307" s="9" t="s">
        <v>19834</v>
      </c>
      <c r="D307" s="9" t="s">
        <v>19835</v>
      </c>
      <c r="E307" s="9" t="s">
        <v>17740</v>
      </c>
      <c r="F307" s="9" t="s">
        <v>17741</v>
      </c>
      <c r="G307" s="9" t="s">
        <v>17740</v>
      </c>
      <c r="H307" s="11" t="s">
        <v>4761</v>
      </c>
      <c r="I307" s="11" t="s">
        <v>4760</v>
      </c>
      <c r="J307" s="11" t="s">
        <v>4760</v>
      </c>
      <c r="K307" s="9" t="s">
        <v>367</v>
      </c>
      <c r="L307" s="9" t="s">
        <v>17759</v>
      </c>
      <c r="M307" s="9" t="s">
        <v>19813</v>
      </c>
      <c r="N307" s="9" t="s">
        <v>17746</v>
      </c>
      <c r="O307" s="9" t="s">
        <v>19836</v>
      </c>
      <c r="P307" s="9" t="s">
        <v>17748</v>
      </c>
      <c r="Q307" s="11" t="s">
        <v>17819</v>
      </c>
      <c r="R307" s="11" t="s">
        <v>17819</v>
      </c>
      <c r="S307" s="11" t="s">
        <v>17750</v>
      </c>
    </row>
    <row r="308" spans="1:19" x14ac:dyDescent="0.2">
      <c r="A308" s="11" t="s">
        <v>19837</v>
      </c>
      <c r="B308" s="9" t="s">
        <v>19838</v>
      </c>
      <c r="C308" s="9" t="s">
        <v>19839</v>
      </c>
      <c r="D308" s="9" t="s">
        <v>19840</v>
      </c>
      <c r="E308" s="9" t="s">
        <v>17740</v>
      </c>
      <c r="F308" s="9" t="s">
        <v>17741</v>
      </c>
      <c r="G308" s="9" t="s">
        <v>17740</v>
      </c>
      <c r="H308" s="11" t="s">
        <v>390</v>
      </c>
      <c r="I308" s="11" t="s">
        <v>389</v>
      </c>
      <c r="J308" s="11" t="s">
        <v>389</v>
      </c>
      <c r="K308" s="9" t="s">
        <v>367</v>
      </c>
      <c r="L308" s="9" t="s">
        <v>17759</v>
      </c>
      <c r="M308" s="9" t="s">
        <v>19813</v>
      </c>
      <c r="N308" s="9" t="s">
        <v>17746</v>
      </c>
      <c r="O308" s="9" t="s">
        <v>18481</v>
      </c>
      <c r="P308" s="9" t="s">
        <v>17748</v>
      </c>
      <c r="Q308" s="11" t="s">
        <v>18600</v>
      </c>
      <c r="R308" s="11" t="s">
        <v>18600</v>
      </c>
      <c r="S308" s="11" t="s">
        <v>17750</v>
      </c>
    </row>
    <row r="309" spans="1:19" x14ac:dyDescent="0.2">
      <c r="A309" s="11" t="s">
        <v>19841</v>
      </c>
      <c r="B309" s="9" t="s">
        <v>19842</v>
      </c>
      <c r="C309" s="9" t="s">
        <v>19843</v>
      </c>
      <c r="D309" s="9" t="s">
        <v>19844</v>
      </c>
      <c r="E309" s="9" t="s">
        <v>17740</v>
      </c>
      <c r="F309" s="9" t="s">
        <v>19845</v>
      </c>
      <c r="G309" s="9" t="s">
        <v>17740</v>
      </c>
      <c r="H309" s="11" t="s">
        <v>7417</v>
      </c>
      <c r="I309" s="11" t="s">
        <v>19846</v>
      </c>
      <c r="J309" s="11" t="s">
        <v>7417</v>
      </c>
      <c r="K309" s="9" t="s">
        <v>367</v>
      </c>
      <c r="L309" s="9" t="s">
        <v>17759</v>
      </c>
      <c r="M309" s="9" t="s">
        <v>19847</v>
      </c>
      <c r="N309" s="9" t="s">
        <v>17746</v>
      </c>
      <c r="O309" s="9" t="s">
        <v>19848</v>
      </c>
      <c r="P309" s="9" t="s">
        <v>17748</v>
      </c>
      <c r="Q309" s="11" t="s">
        <v>18272</v>
      </c>
      <c r="R309" s="11" t="s">
        <v>18272</v>
      </c>
      <c r="S309" s="11" t="s">
        <v>17750</v>
      </c>
    </row>
    <row r="310" spans="1:19" x14ac:dyDescent="0.2">
      <c r="A310" s="11" t="s">
        <v>19849</v>
      </c>
      <c r="B310" s="9" t="s">
        <v>19850</v>
      </c>
      <c r="C310" s="9" t="s">
        <v>19851</v>
      </c>
      <c r="D310" s="9" t="s">
        <v>19852</v>
      </c>
      <c r="E310" s="9" t="s">
        <v>17740</v>
      </c>
      <c r="F310" s="9" t="s">
        <v>17741</v>
      </c>
      <c r="G310" s="9" t="s">
        <v>17740</v>
      </c>
      <c r="H310" s="11" t="s">
        <v>378</v>
      </c>
      <c r="I310" s="11" t="s">
        <v>377</v>
      </c>
      <c r="J310" s="11" t="s">
        <v>377</v>
      </c>
      <c r="K310" s="9" t="s">
        <v>18661</v>
      </c>
      <c r="L310" s="9" t="s">
        <v>18001</v>
      </c>
      <c r="M310" s="9" t="s">
        <v>17769</v>
      </c>
      <c r="N310" s="9" t="s">
        <v>17746</v>
      </c>
      <c r="O310" s="9" t="s">
        <v>3524</v>
      </c>
      <c r="P310" s="9" t="s">
        <v>17748</v>
      </c>
      <c r="Q310" s="11" t="s">
        <v>18960</v>
      </c>
      <c r="R310" s="11" t="s">
        <v>18960</v>
      </c>
      <c r="S310" s="11" t="s">
        <v>17750</v>
      </c>
    </row>
    <row r="311" spans="1:19" x14ac:dyDescent="0.2">
      <c r="A311" s="11" t="s">
        <v>19853</v>
      </c>
      <c r="B311" s="9" t="s">
        <v>19854</v>
      </c>
      <c r="C311" s="9" t="s">
        <v>19855</v>
      </c>
      <c r="D311" s="9" t="s">
        <v>19856</v>
      </c>
      <c r="E311" s="9" t="s">
        <v>17740</v>
      </c>
      <c r="F311" s="9" t="s">
        <v>17741</v>
      </c>
      <c r="G311" s="9" t="s">
        <v>17740</v>
      </c>
      <c r="H311" s="11" t="s">
        <v>19857</v>
      </c>
      <c r="I311" s="11" t="s">
        <v>19858</v>
      </c>
      <c r="J311" s="11" t="s">
        <v>19858</v>
      </c>
      <c r="K311" s="9" t="s">
        <v>970</v>
      </c>
      <c r="L311" s="9" t="s">
        <v>17759</v>
      </c>
      <c r="M311" s="9" t="s">
        <v>18289</v>
      </c>
      <c r="N311" s="9" t="s">
        <v>17746</v>
      </c>
      <c r="O311" s="9" t="s">
        <v>19859</v>
      </c>
      <c r="P311" s="9" t="s">
        <v>17748</v>
      </c>
      <c r="Q311" s="11" t="s">
        <v>18433</v>
      </c>
      <c r="R311" s="11" t="s">
        <v>18433</v>
      </c>
      <c r="S311" s="11" t="s">
        <v>17750</v>
      </c>
    </row>
    <row r="312" spans="1:19" x14ac:dyDescent="0.2">
      <c r="A312" s="11" t="s">
        <v>19860</v>
      </c>
      <c r="B312" s="9" t="s">
        <v>19861</v>
      </c>
      <c r="C312" s="9" t="s">
        <v>19862</v>
      </c>
      <c r="D312" s="9" t="s">
        <v>19863</v>
      </c>
      <c r="E312" s="9" t="s">
        <v>17740</v>
      </c>
      <c r="F312" s="9" t="s">
        <v>19864</v>
      </c>
      <c r="G312" s="9" t="s">
        <v>17740</v>
      </c>
      <c r="H312" s="11" t="s">
        <v>393</v>
      </c>
      <c r="I312" s="11" t="s">
        <v>392</v>
      </c>
      <c r="J312" s="11" t="s">
        <v>392</v>
      </c>
      <c r="K312" s="9" t="s">
        <v>394</v>
      </c>
      <c r="L312" s="9" t="s">
        <v>17759</v>
      </c>
      <c r="M312" s="9" t="s">
        <v>19865</v>
      </c>
      <c r="N312" s="9" t="s">
        <v>17746</v>
      </c>
      <c r="O312" s="9" t="s">
        <v>17834</v>
      </c>
      <c r="P312" s="9" t="s">
        <v>17748</v>
      </c>
      <c r="Q312" s="11" t="s">
        <v>19866</v>
      </c>
      <c r="R312" s="11" t="s">
        <v>19866</v>
      </c>
      <c r="S312" s="11" t="s">
        <v>17750</v>
      </c>
    </row>
    <row r="313" spans="1:19" x14ac:dyDescent="0.2">
      <c r="A313" s="11" t="s">
        <v>19867</v>
      </c>
      <c r="B313" s="9" t="s">
        <v>19868</v>
      </c>
      <c r="C313" s="9" t="s">
        <v>19869</v>
      </c>
      <c r="D313" s="9" t="s">
        <v>19870</v>
      </c>
      <c r="E313" s="9" t="s">
        <v>17740</v>
      </c>
      <c r="F313" s="9" t="s">
        <v>17741</v>
      </c>
      <c r="G313" s="9" t="s">
        <v>17740</v>
      </c>
      <c r="H313" s="11" t="s">
        <v>19871</v>
      </c>
      <c r="I313" s="11" t="s">
        <v>19872</v>
      </c>
      <c r="J313" s="11" t="s">
        <v>19872</v>
      </c>
      <c r="K313" s="9" t="s">
        <v>19873</v>
      </c>
      <c r="L313" s="9" t="s">
        <v>17744</v>
      </c>
      <c r="M313" s="9" t="s">
        <v>17760</v>
      </c>
      <c r="N313" s="9" t="s">
        <v>17746</v>
      </c>
      <c r="O313" s="9" t="s">
        <v>17834</v>
      </c>
      <c r="P313" s="9" t="s">
        <v>17748</v>
      </c>
      <c r="Q313" s="11" t="s">
        <v>19874</v>
      </c>
      <c r="R313" s="11" t="s">
        <v>19874</v>
      </c>
      <c r="S313" s="11" t="s">
        <v>17750</v>
      </c>
    </row>
    <row r="314" spans="1:19" x14ac:dyDescent="0.2">
      <c r="A314" s="11" t="s">
        <v>19875</v>
      </c>
      <c r="B314" s="9" t="s">
        <v>19876</v>
      </c>
      <c r="C314" s="9" t="s">
        <v>19877</v>
      </c>
      <c r="D314" s="9" t="s">
        <v>19878</v>
      </c>
      <c r="E314" s="9" t="s">
        <v>17740</v>
      </c>
      <c r="F314" s="9" t="s">
        <v>17741</v>
      </c>
      <c r="G314" s="9" t="s">
        <v>17740</v>
      </c>
      <c r="H314" s="11" t="s">
        <v>19879</v>
      </c>
      <c r="I314" s="11" t="s">
        <v>19880</v>
      </c>
      <c r="J314" s="11" t="s">
        <v>19880</v>
      </c>
      <c r="K314" s="9" t="s">
        <v>19881</v>
      </c>
      <c r="L314" s="9" t="s">
        <v>17759</v>
      </c>
      <c r="M314" s="9" t="s">
        <v>17760</v>
      </c>
      <c r="N314" s="9" t="s">
        <v>17746</v>
      </c>
      <c r="O314" s="9" t="s">
        <v>18514</v>
      </c>
      <c r="P314" s="9" t="s">
        <v>17748</v>
      </c>
      <c r="Q314" s="11" t="s">
        <v>19882</v>
      </c>
      <c r="R314" s="11" t="s">
        <v>19882</v>
      </c>
      <c r="S314" s="11" t="s">
        <v>17750</v>
      </c>
    </row>
    <row r="315" spans="1:19" x14ac:dyDescent="0.2">
      <c r="A315" s="11" t="s">
        <v>19883</v>
      </c>
      <c r="B315" s="9" t="s">
        <v>19884</v>
      </c>
      <c r="C315" s="9" t="s">
        <v>19885</v>
      </c>
      <c r="D315" s="9" t="s">
        <v>19886</v>
      </c>
      <c r="E315" s="9" t="s">
        <v>17740</v>
      </c>
      <c r="F315" s="9" t="s">
        <v>19887</v>
      </c>
      <c r="G315" s="9" t="s">
        <v>17740</v>
      </c>
      <c r="H315" s="11" t="s">
        <v>17741</v>
      </c>
      <c r="I315" s="11" t="s">
        <v>19888</v>
      </c>
      <c r="J315" s="11" t="s">
        <v>19888</v>
      </c>
      <c r="K315" s="9" t="s">
        <v>19889</v>
      </c>
      <c r="L315" s="9" t="s">
        <v>17759</v>
      </c>
      <c r="M315" s="9" t="s">
        <v>17760</v>
      </c>
      <c r="N315" s="9" t="s">
        <v>17746</v>
      </c>
      <c r="O315" s="9" t="s">
        <v>19890</v>
      </c>
      <c r="P315" s="9" t="s">
        <v>17748</v>
      </c>
      <c r="Q315" s="11" t="s">
        <v>18847</v>
      </c>
      <c r="R315" s="11" t="s">
        <v>18847</v>
      </c>
      <c r="S315" s="11" t="s">
        <v>17750</v>
      </c>
    </row>
    <row r="316" spans="1:19" x14ac:dyDescent="0.2">
      <c r="A316" s="11" t="s">
        <v>19891</v>
      </c>
      <c r="B316" s="9" t="s">
        <v>19892</v>
      </c>
      <c r="C316" s="9" t="s">
        <v>19893</v>
      </c>
      <c r="D316" s="9" t="s">
        <v>19894</v>
      </c>
      <c r="E316" s="9" t="s">
        <v>17740</v>
      </c>
      <c r="F316" s="9" t="s">
        <v>19895</v>
      </c>
      <c r="G316" s="9" t="s">
        <v>17740</v>
      </c>
      <c r="H316" s="11" t="s">
        <v>19896</v>
      </c>
      <c r="I316" s="11" t="s">
        <v>19897</v>
      </c>
      <c r="J316" s="11" t="s">
        <v>19897</v>
      </c>
      <c r="K316" s="9" t="s">
        <v>19898</v>
      </c>
      <c r="L316" s="9" t="s">
        <v>17759</v>
      </c>
      <c r="M316" s="9" t="s">
        <v>17817</v>
      </c>
      <c r="N316" s="9" t="s">
        <v>17746</v>
      </c>
      <c r="O316" s="9" t="s">
        <v>3524</v>
      </c>
      <c r="P316" s="9" t="s">
        <v>17748</v>
      </c>
      <c r="Q316" s="11" t="s">
        <v>19899</v>
      </c>
      <c r="R316" s="11" t="s">
        <v>19899</v>
      </c>
      <c r="S316" s="11" t="s">
        <v>17750</v>
      </c>
    </row>
    <row r="317" spans="1:19" x14ac:dyDescent="0.2">
      <c r="A317" s="11" t="s">
        <v>19900</v>
      </c>
      <c r="B317" s="9" t="s">
        <v>19901</v>
      </c>
      <c r="C317" s="9" t="s">
        <v>19902</v>
      </c>
      <c r="D317" s="9" t="s">
        <v>19903</v>
      </c>
      <c r="E317" s="9" t="s">
        <v>17740</v>
      </c>
      <c r="F317" s="9" t="s">
        <v>19904</v>
      </c>
      <c r="G317" s="9" t="s">
        <v>17740</v>
      </c>
      <c r="H317" s="11" t="s">
        <v>34</v>
      </c>
      <c r="I317" s="11" t="s">
        <v>33</v>
      </c>
      <c r="J317" s="11" t="s">
        <v>33</v>
      </c>
      <c r="K317" s="9" t="s">
        <v>970</v>
      </c>
      <c r="L317" s="9" t="s">
        <v>18305</v>
      </c>
      <c r="M317" s="9" t="s">
        <v>17817</v>
      </c>
      <c r="N317" s="9" t="s">
        <v>17746</v>
      </c>
      <c r="O317" s="9" t="s">
        <v>19905</v>
      </c>
      <c r="P317" s="9" t="s">
        <v>17748</v>
      </c>
      <c r="Q317" s="11" t="s">
        <v>17819</v>
      </c>
      <c r="R317" s="11" t="s">
        <v>17819</v>
      </c>
      <c r="S317" s="11" t="s">
        <v>17750</v>
      </c>
    </row>
    <row r="318" spans="1:19" x14ac:dyDescent="0.2">
      <c r="A318" s="11" t="s">
        <v>19906</v>
      </c>
      <c r="B318" s="9" t="s">
        <v>19907</v>
      </c>
      <c r="C318" s="9" t="s">
        <v>19908</v>
      </c>
      <c r="D318" s="9" t="s">
        <v>19909</v>
      </c>
      <c r="E318" s="9" t="s">
        <v>17748</v>
      </c>
      <c r="F318" s="9" t="s">
        <v>19910</v>
      </c>
      <c r="G318" s="9" t="s">
        <v>17740</v>
      </c>
      <c r="H318" s="11" t="s">
        <v>6169</v>
      </c>
      <c r="I318" s="11" t="s">
        <v>6168</v>
      </c>
      <c r="J318" s="11" t="s">
        <v>6168</v>
      </c>
      <c r="K318" s="9" t="s">
        <v>6170</v>
      </c>
      <c r="L318" s="9" t="s">
        <v>17759</v>
      </c>
      <c r="M318" s="9" t="s">
        <v>19911</v>
      </c>
      <c r="N318" s="9" t="s">
        <v>17746</v>
      </c>
      <c r="O318" s="9" t="s">
        <v>19912</v>
      </c>
      <c r="P318" s="9" t="s">
        <v>17748</v>
      </c>
      <c r="Q318" s="11" t="s">
        <v>17808</v>
      </c>
      <c r="R318" s="11" t="s">
        <v>17808</v>
      </c>
      <c r="S318" s="11" t="s">
        <v>17750</v>
      </c>
    </row>
    <row r="319" spans="1:19" x14ac:dyDescent="0.2">
      <c r="A319" s="11" t="s">
        <v>19913</v>
      </c>
      <c r="B319" s="9" t="s">
        <v>19914</v>
      </c>
      <c r="C319" s="9" t="s">
        <v>19915</v>
      </c>
      <c r="D319" s="9" t="s">
        <v>19916</v>
      </c>
      <c r="E319" s="9" t="s">
        <v>17740</v>
      </c>
      <c r="F319" s="9" t="s">
        <v>17741</v>
      </c>
      <c r="G319" s="9" t="s">
        <v>17740</v>
      </c>
      <c r="H319" s="11" t="s">
        <v>8332</v>
      </c>
      <c r="I319" s="11" t="s">
        <v>8331</v>
      </c>
      <c r="J319" s="11" t="s">
        <v>8331</v>
      </c>
      <c r="K319" s="9" t="s">
        <v>6170</v>
      </c>
      <c r="L319" s="9" t="s">
        <v>17759</v>
      </c>
      <c r="M319" s="9" t="s">
        <v>17817</v>
      </c>
      <c r="N319" s="9" t="s">
        <v>17746</v>
      </c>
      <c r="O319" s="9" t="s">
        <v>19917</v>
      </c>
      <c r="P319" s="9" t="s">
        <v>17748</v>
      </c>
      <c r="Q319" s="11" t="s">
        <v>17819</v>
      </c>
      <c r="R319" s="11" t="s">
        <v>17819</v>
      </c>
      <c r="S319" s="11" t="s">
        <v>17750</v>
      </c>
    </row>
    <row r="320" spans="1:19" x14ac:dyDescent="0.2">
      <c r="A320" s="11" t="s">
        <v>19918</v>
      </c>
      <c r="B320" s="9" t="s">
        <v>19919</v>
      </c>
      <c r="C320" s="9" t="s">
        <v>19920</v>
      </c>
      <c r="D320" s="9" t="s">
        <v>19921</v>
      </c>
      <c r="E320" s="9" t="s">
        <v>17748</v>
      </c>
      <c r="F320" s="9" t="s">
        <v>19922</v>
      </c>
      <c r="G320" s="9" t="s">
        <v>17740</v>
      </c>
      <c r="H320" s="11" t="s">
        <v>13647</v>
      </c>
      <c r="I320" s="11" t="s">
        <v>13646</v>
      </c>
      <c r="J320" s="11" t="s">
        <v>13647</v>
      </c>
      <c r="K320" s="9" t="s">
        <v>19341</v>
      </c>
      <c r="L320" s="9" t="s">
        <v>17759</v>
      </c>
      <c r="M320" s="9" t="s">
        <v>17769</v>
      </c>
      <c r="N320" s="9" t="s">
        <v>17746</v>
      </c>
      <c r="O320" s="9" t="s">
        <v>19923</v>
      </c>
      <c r="P320" s="9" t="s">
        <v>17748</v>
      </c>
      <c r="Q320" s="11" t="s">
        <v>17825</v>
      </c>
      <c r="R320" s="11" t="s">
        <v>17825</v>
      </c>
      <c r="S320" s="11" t="s">
        <v>17750</v>
      </c>
    </row>
    <row r="321" spans="1:19" x14ac:dyDescent="0.2">
      <c r="A321" s="11" t="s">
        <v>19924</v>
      </c>
      <c r="B321" s="9" t="s">
        <v>19925</v>
      </c>
      <c r="C321" s="9" t="s">
        <v>19926</v>
      </c>
      <c r="D321" s="9" t="s">
        <v>19927</v>
      </c>
      <c r="E321" s="9" t="s">
        <v>17740</v>
      </c>
      <c r="F321" s="9" t="s">
        <v>17741</v>
      </c>
      <c r="G321" s="9" t="s">
        <v>17740</v>
      </c>
      <c r="H321" s="11" t="s">
        <v>19928</v>
      </c>
      <c r="I321" s="11" t="s">
        <v>19929</v>
      </c>
      <c r="J321" s="11" t="s">
        <v>19929</v>
      </c>
      <c r="K321" s="9" t="s">
        <v>19455</v>
      </c>
      <c r="L321" s="9" t="s">
        <v>17759</v>
      </c>
      <c r="M321" s="9" t="s">
        <v>17778</v>
      </c>
      <c r="N321" s="9" t="s">
        <v>17746</v>
      </c>
      <c r="O321" s="9" t="s">
        <v>19930</v>
      </c>
      <c r="P321" s="9" t="s">
        <v>17748</v>
      </c>
      <c r="Q321" s="11" t="s">
        <v>18080</v>
      </c>
      <c r="R321" s="11" t="s">
        <v>18080</v>
      </c>
      <c r="S321" s="11" t="s">
        <v>17750</v>
      </c>
    </row>
    <row r="322" spans="1:19" x14ac:dyDescent="0.2">
      <c r="A322" s="11" t="s">
        <v>19931</v>
      </c>
      <c r="B322" s="9" t="s">
        <v>19932</v>
      </c>
      <c r="C322" s="9" t="s">
        <v>19933</v>
      </c>
      <c r="D322" s="9" t="s">
        <v>19934</v>
      </c>
      <c r="E322" s="9" t="s">
        <v>17740</v>
      </c>
      <c r="F322" s="9" t="s">
        <v>19935</v>
      </c>
      <c r="G322" s="9" t="s">
        <v>17740</v>
      </c>
      <c r="H322" s="11" t="s">
        <v>19936</v>
      </c>
      <c r="I322" s="11" t="s">
        <v>19937</v>
      </c>
      <c r="J322" s="11" t="s">
        <v>19937</v>
      </c>
      <c r="K322" s="9" t="s">
        <v>19447</v>
      </c>
      <c r="L322" s="9" t="s">
        <v>17759</v>
      </c>
      <c r="M322" s="9" t="s">
        <v>19938</v>
      </c>
      <c r="N322" s="9" t="s">
        <v>17746</v>
      </c>
      <c r="O322" s="9" t="s">
        <v>19939</v>
      </c>
      <c r="P322" s="9" t="s">
        <v>17748</v>
      </c>
      <c r="Q322" s="11" t="s">
        <v>19026</v>
      </c>
      <c r="R322" s="11" t="s">
        <v>19026</v>
      </c>
      <c r="S322" s="11" t="s">
        <v>17750</v>
      </c>
    </row>
    <row r="323" spans="1:19" x14ac:dyDescent="0.2">
      <c r="A323" s="11" t="s">
        <v>19940</v>
      </c>
      <c r="B323" s="9" t="s">
        <v>19941</v>
      </c>
      <c r="C323" s="9" t="s">
        <v>19942</v>
      </c>
      <c r="D323" s="9" t="s">
        <v>19943</v>
      </c>
      <c r="E323" s="9" t="s">
        <v>17740</v>
      </c>
      <c r="F323" s="9" t="s">
        <v>19944</v>
      </c>
      <c r="G323" s="9" t="s">
        <v>17740</v>
      </c>
      <c r="H323" s="11" t="s">
        <v>401</v>
      </c>
      <c r="I323" s="11" t="s">
        <v>400</v>
      </c>
      <c r="J323" s="11" t="s">
        <v>400</v>
      </c>
      <c r="K323" s="9" t="s">
        <v>6978</v>
      </c>
      <c r="L323" s="9" t="s">
        <v>17759</v>
      </c>
      <c r="M323" s="9" t="s">
        <v>17817</v>
      </c>
      <c r="N323" s="9" t="s">
        <v>17746</v>
      </c>
      <c r="O323" s="9" t="s">
        <v>18035</v>
      </c>
      <c r="P323" s="9" t="s">
        <v>17748</v>
      </c>
      <c r="Q323" s="11" t="s">
        <v>19945</v>
      </c>
      <c r="R323" s="11" t="s">
        <v>19945</v>
      </c>
      <c r="S323" s="11" t="s">
        <v>17750</v>
      </c>
    </row>
    <row r="324" spans="1:19" x14ac:dyDescent="0.2">
      <c r="A324" s="11" t="s">
        <v>19946</v>
      </c>
      <c r="B324" s="9" t="s">
        <v>19947</v>
      </c>
      <c r="C324" s="9" t="s">
        <v>19948</v>
      </c>
      <c r="D324" s="9" t="s">
        <v>19949</v>
      </c>
      <c r="E324" s="9" t="s">
        <v>17740</v>
      </c>
      <c r="F324" s="9" t="s">
        <v>17741</v>
      </c>
      <c r="G324" s="9" t="s">
        <v>17740</v>
      </c>
      <c r="H324" s="11" t="s">
        <v>19950</v>
      </c>
      <c r="I324" s="11" t="s">
        <v>19951</v>
      </c>
      <c r="J324" s="11" t="s">
        <v>19951</v>
      </c>
      <c r="K324" s="9" t="s">
        <v>19952</v>
      </c>
      <c r="L324" s="9" t="s">
        <v>17759</v>
      </c>
      <c r="M324" s="9" t="s">
        <v>19953</v>
      </c>
      <c r="N324" s="9" t="s">
        <v>17746</v>
      </c>
      <c r="O324" s="9" t="s">
        <v>19954</v>
      </c>
      <c r="P324" s="9" t="s">
        <v>17748</v>
      </c>
      <c r="Q324" s="11" t="s">
        <v>18600</v>
      </c>
      <c r="R324" s="11" t="s">
        <v>18600</v>
      </c>
      <c r="S324" s="11" t="s">
        <v>17750</v>
      </c>
    </row>
    <row r="325" spans="1:19" x14ac:dyDescent="0.2">
      <c r="A325" s="11" t="s">
        <v>19955</v>
      </c>
      <c r="B325" s="9" t="s">
        <v>19956</v>
      </c>
      <c r="C325" s="9" t="s">
        <v>19957</v>
      </c>
      <c r="D325" s="9" t="s">
        <v>19958</v>
      </c>
      <c r="E325" s="9" t="s">
        <v>17740</v>
      </c>
      <c r="F325" s="9" t="s">
        <v>19959</v>
      </c>
      <c r="G325" s="9" t="s">
        <v>17740</v>
      </c>
      <c r="H325" s="11" t="s">
        <v>339</v>
      </c>
      <c r="I325" s="11" t="s">
        <v>338</v>
      </c>
      <c r="J325" s="11" t="s">
        <v>338</v>
      </c>
      <c r="K325" s="9" t="s">
        <v>17758</v>
      </c>
      <c r="L325" s="9" t="s">
        <v>17759</v>
      </c>
      <c r="M325" s="9" t="s">
        <v>17817</v>
      </c>
      <c r="N325" s="9" t="s">
        <v>17746</v>
      </c>
      <c r="O325" s="9" t="s">
        <v>17993</v>
      </c>
      <c r="P325" s="9" t="s">
        <v>17748</v>
      </c>
      <c r="Q325" s="11" t="s">
        <v>19960</v>
      </c>
      <c r="R325" s="11" t="s">
        <v>19960</v>
      </c>
      <c r="S325" s="11" t="s">
        <v>17750</v>
      </c>
    </row>
    <row r="326" spans="1:19" x14ac:dyDescent="0.2">
      <c r="A326" s="11" t="s">
        <v>19961</v>
      </c>
      <c r="B326" s="9" t="s">
        <v>19962</v>
      </c>
      <c r="C326" s="9" t="s">
        <v>19963</v>
      </c>
      <c r="D326" s="9" t="s">
        <v>19964</v>
      </c>
      <c r="E326" s="9" t="s">
        <v>17740</v>
      </c>
      <c r="F326" s="9" t="s">
        <v>17741</v>
      </c>
      <c r="G326" s="9" t="s">
        <v>17740</v>
      </c>
      <c r="H326" s="11" t="s">
        <v>6304</v>
      </c>
      <c r="I326" s="11" t="s">
        <v>6303</v>
      </c>
      <c r="J326" s="11" t="s">
        <v>6303</v>
      </c>
      <c r="K326" s="9" t="s">
        <v>17758</v>
      </c>
      <c r="L326" s="9" t="s">
        <v>17759</v>
      </c>
      <c r="M326" s="9" t="s">
        <v>19965</v>
      </c>
      <c r="N326" s="9" t="s">
        <v>17746</v>
      </c>
      <c r="O326" s="9" t="s">
        <v>19013</v>
      </c>
      <c r="P326" s="9" t="s">
        <v>17748</v>
      </c>
      <c r="Q326" s="11" t="s">
        <v>17808</v>
      </c>
      <c r="R326" s="11" t="s">
        <v>17808</v>
      </c>
      <c r="S326" s="11" t="s">
        <v>17750</v>
      </c>
    </row>
    <row r="327" spans="1:19" x14ac:dyDescent="0.2">
      <c r="A327" s="11" t="s">
        <v>19966</v>
      </c>
      <c r="B327" s="9" t="s">
        <v>19967</v>
      </c>
      <c r="C327" s="9" t="s">
        <v>19968</v>
      </c>
      <c r="D327" s="9" t="s">
        <v>19969</v>
      </c>
      <c r="E327" s="9" t="s">
        <v>17740</v>
      </c>
      <c r="F327" s="9" t="s">
        <v>17741</v>
      </c>
      <c r="G327" s="9" t="s">
        <v>17740</v>
      </c>
      <c r="H327" s="11" t="s">
        <v>8989</v>
      </c>
      <c r="I327" s="11" t="s">
        <v>8988</v>
      </c>
      <c r="J327" s="11" t="s">
        <v>8988</v>
      </c>
      <c r="K327" s="9" t="s">
        <v>19970</v>
      </c>
      <c r="L327" s="9" t="s">
        <v>17759</v>
      </c>
      <c r="M327" s="9" t="s">
        <v>19971</v>
      </c>
      <c r="N327" s="9" t="s">
        <v>17746</v>
      </c>
      <c r="O327" s="9" t="s">
        <v>3981</v>
      </c>
      <c r="P327" s="9" t="s">
        <v>17748</v>
      </c>
      <c r="Q327" s="11" t="s">
        <v>18922</v>
      </c>
      <c r="R327" s="11" t="s">
        <v>18922</v>
      </c>
      <c r="S327" s="11" t="s">
        <v>17750</v>
      </c>
    </row>
    <row r="328" spans="1:19" x14ac:dyDescent="0.2">
      <c r="A328" s="11" t="s">
        <v>19972</v>
      </c>
      <c r="B328" s="9" t="s">
        <v>19973</v>
      </c>
      <c r="C328" s="9" t="s">
        <v>19974</v>
      </c>
      <c r="D328" s="9" t="s">
        <v>19975</v>
      </c>
      <c r="E328" s="9" t="s">
        <v>17740</v>
      </c>
      <c r="F328" s="9" t="s">
        <v>19976</v>
      </c>
      <c r="G328" s="9" t="s">
        <v>17740</v>
      </c>
      <c r="H328" s="11" t="s">
        <v>19977</v>
      </c>
      <c r="I328" s="11" t="s">
        <v>403</v>
      </c>
      <c r="J328" s="11" t="s">
        <v>403</v>
      </c>
      <c r="K328" s="9" t="s">
        <v>404</v>
      </c>
      <c r="L328" s="9" t="s">
        <v>17759</v>
      </c>
      <c r="M328" s="9" t="s">
        <v>17817</v>
      </c>
      <c r="N328" s="9" t="s">
        <v>17746</v>
      </c>
      <c r="O328" s="9" t="s">
        <v>18548</v>
      </c>
      <c r="P328" s="9" t="s">
        <v>17748</v>
      </c>
      <c r="Q328" s="11" t="s">
        <v>19978</v>
      </c>
      <c r="R328" s="11" t="s">
        <v>19978</v>
      </c>
      <c r="S328" s="11" t="s">
        <v>17750</v>
      </c>
    </row>
    <row r="329" spans="1:19" x14ac:dyDescent="0.2">
      <c r="A329" s="11" t="s">
        <v>19979</v>
      </c>
      <c r="B329" s="9" t="s">
        <v>19980</v>
      </c>
      <c r="C329" s="9" t="s">
        <v>19981</v>
      </c>
      <c r="D329" s="9" t="s">
        <v>19982</v>
      </c>
      <c r="E329" s="9" t="s">
        <v>17740</v>
      </c>
      <c r="F329" s="9" t="s">
        <v>17741</v>
      </c>
      <c r="G329" s="9" t="s">
        <v>17740</v>
      </c>
      <c r="H329" s="11" t="s">
        <v>407</v>
      </c>
      <c r="I329" s="11" t="s">
        <v>406</v>
      </c>
      <c r="J329" s="11" t="s">
        <v>406</v>
      </c>
      <c r="K329" s="9" t="s">
        <v>408</v>
      </c>
      <c r="L329" s="9" t="s">
        <v>17759</v>
      </c>
      <c r="M329" s="9" t="s">
        <v>17817</v>
      </c>
      <c r="N329" s="9" t="s">
        <v>17746</v>
      </c>
      <c r="O329" s="9" t="s">
        <v>18563</v>
      </c>
      <c r="P329" s="9" t="s">
        <v>17748</v>
      </c>
      <c r="Q329" s="11" t="s">
        <v>19983</v>
      </c>
      <c r="R329" s="11" t="s">
        <v>19983</v>
      </c>
      <c r="S329" s="11" t="s">
        <v>17750</v>
      </c>
    </row>
    <row r="330" spans="1:19" x14ac:dyDescent="0.2">
      <c r="A330" s="11" t="s">
        <v>19984</v>
      </c>
      <c r="B330" s="9" t="s">
        <v>19985</v>
      </c>
      <c r="C330" s="9" t="s">
        <v>19986</v>
      </c>
      <c r="D330" s="9" t="s">
        <v>19987</v>
      </c>
      <c r="E330" s="9" t="s">
        <v>17740</v>
      </c>
      <c r="F330" s="9" t="s">
        <v>17741</v>
      </c>
      <c r="G330" s="9" t="s">
        <v>17740</v>
      </c>
      <c r="H330" s="11" t="s">
        <v>6119</v>
      </c>
      <c r="I330" s="11" t="s">
        <v>6118</v>
      </c>
      <c r="J330" s="11" t="s">
        <v>6118</v>
      </c>
      <c r="K330" s="9" t="s">
        <v>970</v>
      </c>
      <c r="L330" s="9" t="s">
        <v>17744</v>
      </c>
      <c r="M330" s="9" t="s">
        <v>19988</v>
      </c>
      <c r="N330" s="9" t="s">
        <v>17746</v>
      </c>
      <c r="O330" s="9" t="s">
        <v>18644</v>
      </c>
      <c r="P330" s="9" t="s">
        <v>17748</v>
      </c>
      <c r="Q330" s="11" t="s">
        <v>18147</v>
      </c>
      <c r="R330" s="11" t="s">
        <v>18147</v>
      </c>
      <c r="S330" s="11" t="s">
        <v>17750</v>
      </c>
    </row>
    <row r="331" spans="1:19" x14ac:dyDescent="0.2">
      <c r="A331" s="11" t="s">
        <v>19989</v>
      </c>
      <c r="B331" s="9" t="s">
        <v>19990</v>
      </c>
      <c r="C331" s="9" t="s">
        <v>19991</v>
      </c>
      <c r="D331" s="9" t="s">
        <v>19992</v>
      </c>
      <c r="E331" s="9" t="s">
        <v>17748</v>
      </c>
      <c r="F331" s="9" t="s">
        <v>19993</v>
      </c>
      <c r="G331" s="9" t="s">
        <v>17740</v>
      </c>
      <c r="H331" s="11" t="s">
        <v>19994</v>
      </c>
      <c r="I331" s="11" t="s">
        <v>19995</v>
      </c>
      <c r="J331" s="11" t="s">
        <v>19994</v>
      </c>
      <c r="K331" s="9" t="s">
        <v>19996</v>
      </c>
      <c r="L331" s="9" t="s">
        <v>17759</v>
      </c>
      <c r="M331" s="9" t="s">
        <v>17769</v>
      </c>
      <c r="N331" s="9" t="s">
        <v>17746</v>
      </c>
      <c r="O331" s="9" t="s">
        <v>17834</v>
      </c>
      <c r="P331" s="9" t="s">
        <v>17748</v>
      </c>
      <c r="Q331" s="11" t="s">
        <v>17825</v>
      </c>
      <c r="R331" s="11" t="s">
        <v>17825</v>
      </c>
      <c r="S331" s="11" t="s">
        <v>17750</v>
      </c>
    </row>
    <row r="332" spans="1:19" x14ac:dyDescent="0.2">
      <c r="A332" s="11" t="s">
        <v>19997</v>
      </c>
      <c r="B332" s="9" t="s">
        <v>19998</v>
      </c>
      <c r="C332" s="9" t="s">
        <v>19999</v>
      </c>
      <c r="D332" s="9" t="s">
        <v>20000</v>
      </c>
      <c r="E332" s="9" t="s">
        <v>17740</v>
      </c>
      <c r="F332" s="9" t="s">
        <v>17741</v>
      </c>
      <c r="G332" s="9" t="s">
        <v>17740</v>
      </c>
      <c r="H332" s="11" t="s">
        <v>20001</v>
      </c>
      <c r="I332" s="11" t="s">
        <v>20002</v>
      </c>
      <c r="J332" s="11" t="s">
        <v>20002</v>
      </c>
      <c r="K332" s="9" t="s">
        <v>7339</v>
      </c>
      <c r="L332" s="9" t="s">
        <v>17759</v>
      </c>
      <c r="M332" s="9" t="s">
        <v>20003</v>
      </c>
      <c r="N332" s="9" t="s">
        <v>17746</v>
      </c>
      <c r="O332" s="9" t="s">
        <v>20004</v>
      </c>
      <c r="P332" s="9" t="s">
        <v>17748</v>
      </c>
      <c r="Q332" s="11" t="s">
        <v>20005</v>
      </c>
      <c r="R332" s="11" t="s">
        <v>20005</v>
      </c>
      <c r="S332" s="11" t="s">
        <v>17750</v>
      </c>
    </row>
    <row r="333" spans="1:19" x14ac:dyDescent="0.2">
      <c r="A333" s="11" t="s">
        <v>20006</v>
      </c>
      <c r="B333" s="9" t="s">
        <v>20007</v>
      </c>
      <c r="C333" s="9" t="s">
        <v>20008</v>
      </c>
      <c r="D333" s="9" t="s">
        <v>20009</v>
      </c>
      <c r="E333" s="9" t="s">
        <v>17740</v>
      </c>
      <c r="F333" s="9" t="s">
        <v>20010</v>
      </c>
      <c r="G333" s="9" t="s">
        <v>17740</v>
      </c>
      <c r="H333" s="11" t="s">
        <v>17741</v>
      </c>
      <c r="I333" s="11" t="s">
        <v>20011</v>
      </c>
      <c r="J333" s="11" t="s">
        <v>20011</v>
      </c>
      <c r="K333" s="9" t="s">
        <v>20012</v>
      </c>
      <c r="L333" s="9" t="s">
        <v>17759</v>
      </c>
      <c r="M333" s="9" t="s">
        <v>18065</v>
      </c>
      <c r="N333" s="9" t="s">
        <v>17746</v>
      </c>
      <c r="O333" s="9" t="s">
        <v>17800</v>
      </c>
      <c r="P333" s="9" t="s">
        <v>17748</v>
      </c>
      <c r="Q333" s="11" t="s">
        <v>19082</v>
      </c>
      <c r="R333" s="11" t="s">
        <v>19082</v>
      </c>
      <c r="S333" s="11" t="s">
        <v>17750</v>
      </c>
    </row>
    <row r="334" spans="1:19" x14ac:dyDescent="0.2">
      <c r="A334" s="11" t="s">
        <v>20013</v>
      </c>
      <c r="B334" s="9" t="s">
        <v>20014</v>
      </c>
      <c r="C334" s="9" t="s">
        <v>20015</v>
      </c>
      <c r="D334" s="9" t="s">
        <v>20016</v>
      </c>
      <c r="E334" s="9" t="s">
        <v>17740</v>
      </c>
      <c r="F334" s="9" t="s">
        <v>17741</v>
      </c>
      <c r="G334" s="9" t="s">
        <v>17740</v>
      </c>
      <c r="H334" s="11" t="s">
        <v>20017</v>
      </c>
      <c r="I334" s="11" t="s">
        <v>20018</v>
      </c>
      <c r="J334" s="11" t="s">
        <v>20018</v>
      </c>
      <c r="K334" s="9" t="s">
        <v>20019</v>
      </c>
      <c r="L334" s="9" t="s">
        <v>17759</v>
      </c>
      <c r="M334" s="9" t="s">
        <v>18745</v>
      </c>
      <c r="N334" s="9" t="s">
        <v>17746</v>
      </c>
      <c r="O334" s="9" t="s">
        <v>20020</v>
      </c>
      <c r="P334" s="9" t="s">
        <v>17748</v>
      </c>
      <c r="Q334" s="11" t="s">
        <v>20021</v>
      </c>
      <c r="R334" s="11" t="s">
        <v>20021</v>
      </c>
      <c r="S334" s="11" t="s">
        <v>17750</v>
      </c>
    </row>
    <row r="335" spans="1:19" x14ac:dyDescent="0.2">
      <c r="A335" s="11" t="s">
        <v>20022</v>
      </c>
      <c r="B335" s="9" t="s">
        <v>20023</v>
      </c>
      <c r="C335" s="9" t="s">
        <v>20024</v>
      </c>
      <c r="D335" s="9" t="s">
        <v>20025</v>
      </c>
      <c r="E335" s="9" t="s">
        <v>17740</v>
      </c>
      <c r="F335" s="9" t="s">
        <v>17741</v>
      </c>
      <c r="G335" s="9" t="s">
        <v>17740</v>
      </c>
      <c r="H335" s="11" t="s">
        <v>20026</v>
      </c>
      <c r="I335" s="11" t="s">
        <v>20027</v>
      </c>
      <c r="J335" s="11" t="s">
        <v>20027</v>
      </c>
      <c r="K335" s="9" t="s">
        <v>19767</v>
      </c>
      <c r="L335" s="9" t="s">
        <v>17759</v>
      </c>
      <c r="M335" s="9" t="s">
        <v>17817</v>
      </c>
      <c r="N335" s="9" t="s">
        <v>17746</v>
      </c>
      <c r="O335" s="9" t="s">
        <v>18514</v>
      </c>
      <c r="P335" s="9" t="s">
        <v>17748</v>
      </c>
      <c r="Q335" s="11" t="s">
        <v>18010</v>
      </c>
      <c r="R335" s="11" t="s">
        <v>18010</v>
      </c>
      <c r="S335" s="11" t="s">
        <v>17750</v>
      </c>
    </row>
    <row r="336" spans="1:19" x14ac:dyDescent="0.2">
      <c r="A336" s="11" t="s">
        <v>20028</v>
      </c>
      <c r="B336" s="9" t="s">
        <v>20029</v>
      </c>
      <c r="C336" s="9" t="s">
        <v>20030</v>
      </c>
      <c r="D336" s="9" t="s">
        <v>20031</v>
      </c>
      <c r="E336" s="9" t="s">
        <v>17740</v>
      </c>
      <c r="F336" s="9" t="s">
        <v>17741</v>
      </c>
      <c r="G336" s="9" t="s">
        <v>17740</v>
      </c>
      <c r="H336" s="11" t="s">
        <v>20032</v>
      </c>
      <c r="I336" s="11" t="s">
        <v>20033</v>
      </c>
      <c r="J336" s="11" t="s">
        <v>20033</v>
      </c>
      <c r="K336" s="9" t="s">
        <v>2247</v>
      </c>
      <c r="L336" s="9" t="s">
        <v>17759</v>
      </c>
      <c r="M336" s="9" t="s">
        <v>18745</v>
      </c>
      <c r="N336" s="9" t="s">
        <v>17746</v>
      </c>
      <c r="O336" s="9" t="s">
        <v>18363</v>
      </c>
      <c r="P336" s="9" t="s">
        <v>17748</v>
      </c>
      <c r="Q336" s="11" t="s">
        <v>18856</v>
      </c>
      <c r="R336" s="11" t="s">
        <v>18856</v>
      </c>
      <c r="S336" s="11" t="s">
        <v>17750</v>
      </c>
    </row>
    <row r="337" spans="1:19" x14ac:dyDescent="0.2">
      <c r="A337" s="11" t="s">
        <v>20034</v>
      </c>
      <c r="B337" s="9" t="s">
        <v>20035</v>
      </c>
      <c r="C337" s="9" t="s">
        <v>20036</v>
      </c>
      <c r="D337" s="9" t="s">
        <v>20037</v>
      </c>
      <c r="E337" s="9" t="s">
        <v>17740</v>
      </c>
      <c r="F337" s="9" t="s">
        <v>20038</v>
      </c>
      <c r="G337" s="9" t="s">
        <v>17740</v>
      </c>
      <c r="H337" s="11" t="s">
        <v>20039</v>
      </c>
      <c r="I337" s="11" t="s">
        <v>471</v>
      </c>
      <c r="J337" s="11" t="s">
        <v>471</v>
      </c>
      <c r="K337" s="9" t="s">
        <v>472</v>
      </c>
      <c r="L337" s="9" t="s">
        <v>17759</v>
      </c>
      <c r="M337" s="9" t="s">
        <v>17817</v>
      </c>
      <c r="N337" s="9" t="s">
        <v>17746</v>
      </c>
      <c r="O337" s="9" t="s">
        <v>18035</v>
      </c>
      <c r="P337" s="9" t="s">
        <v>17748</v>
      </c>
      <c r="Q337" s="11" t="s">
        <v>20021</v>
      </c>
      <c r="R337" s="11" t="s">
        <v>20021</v>
      </c>
      <c r="S337" s="11" t="s">
        <v>17750</v>
      </c>
    </row>
    <row r="338" spans="1:19" x14ac:dyDescent="0.2">
      <c r="A338" s="11" t="s">
        <v>20040</v>
      </c>
      <c r="B338" s="9" t="s">
        <v>20041</v>
      </c>
      <c r="C338" s="9" t="s">
        <v>20042</v>
      </c>
      <c r="D338" s="9" t="s">
        <v>20043</v>
      </c>
      <c r="E338" s="9" t="s">
        <v>17740</v>
      </c>
      <c r="F338" s="9" t="s">
        <v>20044</v>
      </c>
      <c r="G338" s="9" t="s">
        <v>17740</v>
      </c>
      <c r="H338" s="11" t="s">
        <v>17741</v>
      </c>
      <c r="I338" s="11" t="s">
        <v>20045</v>
      </c>
      <c r="J338" s="11" t="s">
        <v>20045</v>
      </c>
      <c r="K338" s="9" t="s">
        <v>20046</v>
      </c>
      <c r="L338" s="9" t="s">
        <v>17759</v>
      </c>
      <c r="M338" s="9" t="s">
        <v>20047</v>
      </c>
      <c r="N338" s="9" t="s">
        <v>17746</v>
      </c>
      <c r="O338" s="9" t="s">
        <v>19275</v>
      </c>
      <c r="P338" s="9" t="s">
        <v>17748</v>
      </c>
      <c r="Q338" s="11" t="s">
        <v>17937</v>
      </c>
      <c r="R338" s="11" t="s">
        <v>17937</v>
      </c>
      <c r="S338" s="11" t="s">
        <v>17750</v>
      </c>
    </row>
    <row r="339" spans="1:19" x14ac:dyDescent="0.2">
      <c r="A339" s="11" t="s">
        <v>20048</v>
      </c>
      <c r="B339" s="9" t="s">
        <v>20049</v>
      </c>
      <c r="C339" s="9" t="s">
        <v>20050</v>
      </c>
      <c r="D339" s="9" t="s">
        <v>20051</v>
      </c>
      <c r="E339" s="9" t="s">
        <v>17748</v>
      </c>
      <c r="F339" s="9" t="s">
        <v>20052</v>
      </c>
      <c r="G339" s="9" t="s">
        <v>17740</v>
      </c>
      <c r="H339" s="11" t="s">
        <v>20053</v>
      </c>
      <c r="I339" s="11" t="s">
        <v>17741</v>
      </c>
      <c r="J339" s="11" t="s">
        <v>20054</v>
      </c>
      <c r="K339" s="9" t="s">
        <v>20055</v>
      </c>
      <c r="L339" s="9" t="s">
        <v>17759</v>
      </c>
      <c r="M339" s="9" t="s">
        <v>18745</v>
      </c>
      <c r="N339" s="9" t="s">
        <v>17746</v>
      </c>
      <c r="O339" s="9" t="s">
        <v>20056</v>
      </c>
      <c r="P339" s="9" t="s">
        <v>17748</v>
      </c>
      <c r="Q339" s="11" t="s">
        <v>17858</v>
      </c>
      <c r="R339" s="11" t="s">
        <v>17858</v>
      </c>
      <c r="S339" s="11" t="s">
        <v>17750</v>
      </c>
    </row>
    <row r="340" spans="1:19" x14ac:dyDescent="0.2">
      <c r="A340" s="11" t="s">
        <v>20057</v>
      </c>
      <c r="B340" s="9" t="s">
        <v>20058</v>
      </c>
      <c r="C340" s="9" t="s">
        <v>20059</v>
      </c>
      <c r="D340" s="9" t="s">
        <v>5696</v>
      </c>
      <c r="E340" s="9" t="s">
        <v>17740</v>
      </c>
      <c r="F340" s="9" t="s">
        <v>17741</v>
      </c>
      <c r="G340" s="9" t="s">
        <v>17740</v>
      </c>
      <c r="H340" s="11" t="s">
        <v>5698</v>
      </c>
      <c r="I340" s="11" t="s">
        <v>5697</v>
      </c>
      <c r="J340" s="11" t="s">
        <v>5697</v>
      </c>
      <c r="K340" s="9" t="s">
        <v>17089</v>
      </c>
      <c r="L340" s="9" t="s">
        <v>18288</v>
      </c>
      <c r="M340" s="9" t="s">
        <v>17908</v>
      </c>
      <c r="N340" s="9" t="s">
        <v>17746</v>
      </c>
      <c r="O340" s="9" t="s">
        <v>773</v>
      </c>
      <c r="P340" s="9" t="s">
        <v>17748</v>
      </c>
      <c r="Q340" s="11" t="s">
        <v>18080</v>
      </c>
      <c r="R340" s="11" t="s">
        <v>18080</v>
      </c>
      <c r="S340" s="11" t="s">
        <v>17750</v>
      </c>
    </row>
    <row r="341" spans="1:19" x14ac:dyDescent="0.2">
      <c r="A341" s="11" t="s">
        <v>20060</v>
      </c>
      <c r="B341" s="9" t="s">
        <v>20061</v>
      </c>
      <c r="C341" s="9" t="s">
        <v>20062</v>
      </c>
      <c r="D341" s="9" t="s">
        <v>7374</v>
      </c>
      <c r="E341" s="9" t="s">
        <v>17740</v>
      </c>
      <c r="F341" s="9" t="s">
        <v>17741</v>
      </c>
      <c r="G341" s="9" t="s">
        <v>17740</v>
      </c>
      <c r="H341" s="11" t="s">
        <v>7376</v>
      </c>
      <c r="I341" s="11" t="s">
        <v>7375</v>
      </c>
      <c r="J341" s="11" t="s">
        <v>7375</v>
      </c>
      <c r="K341" s="9" t="s">
        <v>291</v>
      </c>
      <c r="L341" s="9" t="s">
        <v>17744</v>
      </c>
      <c r="M341" s="9" t="s">
        <v>17760</v>
      </c>
      <c r="N341" s="9" t="s">
        <v>17746</v>
      </c>
      <c r="O341" s="9" t="s">
        <v>773</v>
      </c>
      <c r="P341" s="9" t="s">
        <v>17748</v>
      </c>
      <c r="Q341" s="11" t="s">
        <v>17808</v>
      </c>
      <c r="R341" s="11" t="s">
        <v>17808</v>
      </c>
      <c r="S341" s="11" t="s">
        <v>17750</v>
      </c>
    </row>
    <row r="342" spans="1:19" x14ac:dyDescent="0.2">
      <c r="A342" s="11" t="s">
        <v>20063</v>
      </c>
      <c r="B342" s="9" t="s">
        <v>20064</v>
      </c>
      <c r="C342" s="9" t="s">
        <v>20065</v>
      </c>
      <c r="D342" s="9" t="s">
        <v>20066</v>
      </c>
      <c r="E342" s="9" t="s">
        <v>17748</v>
      </c>
      <c r="F342" s="9" t="s">
        <v>20067</v>
      </c>
      <c r="G342" s="9" t="s">
        <v>17740</v>
      </c>
      <c r="H342" s="11" t="s">
        <v>4727</v>
      </c>
      <c r="I342" s="11" t="s">
        <v>4726</v>
      </c>
      <c r="J342" s="11" t="s">
        <v>17741</v>
      </c>
      <c r="K342" s="9" t="s">
        <v>291</v>
      </c>
      <c r="L342" s="9" t="s">
        <v>17744</v>
      </c>
      <c r="M342" s="9" t="s">
        <v>18177</v>
      </c>
      <c r="N342" s="9" t="s">
        <v>17746</v>
      </c>
      <c r="O342" s="9" t="s">
        <v>3100</v>
      </c>
      <c r="P342" s="9" t="s">
        <v>17748</v>
      </c>
      <c r="Q342" s="11" t="s">
        <v>18089</v>
      </c>
      <c r="R342" s="11" t="s">
        <v>18089</v>
      </c>
      <c r="S342" s="11" t="s">
        <v>17750</v>
      </c>
    </row>
    <row r="343" spans="1:19" x14ac:dyDescent="0.2">
      <c r="A343" s="11" t="s">
        <v>20068</v>
      </c>
      <c r="B343" s="9" t="s">
        <v>20069</v>
      </c>
      <c r="C343" s="9" t="s">
        <v>20070</v>
      </c>
      <c r="D343" s="9" t="s">
        <v>20071</v>
      </c>
      <c r="E343" s="9" t="s">
        <v>17740</v>
      </c>
      <c r="F343" s="9" t="s">
        <v>17741</v>
      </c>
      <c r="G343" s="9" t="s">
        <v>17740</v>
      </c>
      <c r="H343" s="11" t="s">
        <v>8868</v>
      </c>
      <c r="I343" s="11" t="s">
        <v>20072</v>
      </c>
      <c r="J343" s="11" t="s">
        <v>20072</v>
      </c>
      <c r="K343" s="9" t="s">
        <v>20073</v>
      </c>
      <c r="L343" s="9" t="s">
        <v>18396</v>
      </c>
      <c r="M343" s="9" t="s">
        <v>19032</v>
      </c>
      <c r="N343" s="9" t="s">
        <v>17746</v>
      </c>
      <c r="O343" s="9" t="s">
        <v>18009</v>
      </c>
      <c r="P343" s="9" t="s">
        <v>17748</v>
      </c>
      <c r="Q343" s="11" t="s">
        <v>18922</v>
      </c>
      <c r="R343" s="11" t="s">
        <v>18922</v>
      </c>
      <c r="S343" s="11" t="s">
        <v>17750</v>
      </c>
    </row>
    <row r="344" spans="1:19" x14ac:dyDescent="0.2">
      <c r="A344" s="11" t="s">
        <v>20074</v>
      </c>
      <c r="B344" s="9" t="s">
        <v>6750</v>
      </c>
      <c r="C344" s="9" t="s">
        <v>20075</v>
      </c>
      <c r="D344" s="9" t="s">
        <v>6750</v>
      </c>
      <c r="E344" s="9" t="s">
        <v>17740</v>
      </c>
      <c r="F344" s="9" t="s">
        <v>17741</v>
      </c>
      <c r="G344" s="9" t="s">
        <v>17740</v>
      </c>
      <c r="H344" s="11" t="s">
        <v>6752</v>
      </c>
      <c r="I344" s="11" t="s">
        <v>6751</v>
      </c>
      <c r="J344" s="11" t="s">
        <v>6751</v>
      </c>
      <c r="K344" s="9" t="s">
        <v>601</v>
      </c>
      <c r="L344" s="9" t="s">
        <v>17744</v>
      </c>
      <c r="M344" s="9" t="s">
        <v>17769</v>
      </c>
      <c r="N344" s="9" t="s">
        <v>17746</v>
      </c>
      <c r="O344" s="9" t="s">
        <v>18746</v>
      </c>
      <c r="P344" s="9" t="s">
        <v>17748</v>
      </c>
      <c r="Q344" s="11" t="s">
        <v>19361</v>
      </c>
      <c r="R344" s="11" t="s">
        <v>19361</v>
      </c>
      <c r="S344" s="11" t="s">
        <v>17750</v>
      </c>
    </row>
    <row r="345" spans="1:19" x14ac:dyDescent="0.2">
      <c r="A345" s="11" t="s">
        <v>20076</v>
      </c>
      <c r="B345" s="9" t="s">
        <v>473</v>
      </c>
      <c r="C345" s="9" t="s">
        <v>20077</v>
      </c>
      <c r="D345" s="9" t="s">
        <v>473</v>
      </c>
      <c r="E345" s="9" t="s">
        <v>17740</v>
      </c>
      <c r="F345" s="9" t="s">
        <v>17741</v>
      </c>
      <c r="G345" s="9" t="s">
        <v>17740</v>
      </c>
      <c r="H345" s="11" t="s">
        <v>475</v>
      </c>
      <c r="I345" s="11" t="s">
        <v>474</v>
      </c>
      <c r="J345" s="11" t="s">
        <v>474</v>
      </c>
      <c r="K345" s="9" t="s">
        <v>970</v>
      </c>
      <c r="L345" s="9" t="s">
        <v>17744</v>
      </c>
      <c r="M345" s="9" t="s">
        <v>17817</v>
      </c>
      <c r="N345" s="9" t="s">
        <v>17746</v>
      </c>
      <c r="O345" s="9" t="s">
        <v>487</v>
      </c>
      <c r="P345" s="9" t="s">
        <v>17748</v>
      </c>
      <c r="Q345" s="11" t="s">
        <v>18010</v>
      </c>
      <c r="R345" s="11" t="s">
        <v>18010</v>
      </c>
      <c r="S345" s="11" t="s">
        <v>17750</v>
      </c>
    </row>
    <row r="346" spans="1:19" x14ac:dyDescent="0.2">
      <c r="A346" s="11" t="s">
        <v>20078</v>
      </c>
      <c r="B346" s="9" t="s">
        <v>20079</v>
      </c>
      <c r="C346" s="9" t="s">
        <v>20080</v>
      </c>
      <c r="D346" s="9" t="s">
        <v>20081</v>
      </c>
      <c r="E346" s="9" t="s">
        <v>17740</v>
      </c>
      <c r="F346" s="9" t="s">
        <v>17741</v>
      </c>
      <c r="G346" s="9" t="s">
        <v>17740</v>
      </c>
      <c r="H346" s="11" t="s">
        <v>262</v>
      </c>
      <c r="I346" s="11" t="s">
        <v>261</v>
      </c>
      <c r="J346" s="11" t="s">
        <v>261</v>
      </c>
      <c r="K346" s="9" t="s">
        <v>263</v>
      </c>
      <c r="L346" s="9" t="s">
        <v>20082</v>
      </c>
      <c r="M346" s="9" t="s">
        <v>17769</v>
      </c>
      <c r="N346" s="9" t="s">
        <v>17746</v>
      </c>
      <c r="O346" s="9" t="s">
        <v>20083</v>
      </c>
      <c r="P346" s="9" t="s">
        <v>17748</v>
      </c>
      <c r="Q346" s="11" t="s">
        <v>19082</v>
      </c>
      <c r="R346" s="11" t="s">
        <v>19082</v>
      </c>
      <c r="S346" s="11" t="s">
        <v>17750</v>
      </c>
    </row>
    <row r="347" spans="1:19" x14ac:dyDescent="0.2">
      <c r="A347" s="11" t="s">
        <v>20084</v>
      </c>
      <c r="B347" s="9" t="s">
        <v>20085</v>
      </c>
      <c r="C347" s="9" t="s">
        <v>20086</v>
      </c>
      <c r="D347" s="9" t="s">
        <v>20087</v>
      </c>
      <c r="E347" s="9" t="s">
        <v>17740</v>
      </c>
      <c r="F347" s="9" t="s">
        <v>17741</v>
      </c>
      <c r="G347" s="9" t="s">
        <v>17740</v>
      </c>
      <c r="H347" s="11" t="s">
        <v>17182</v>
      </c>
      <c r="I347" s="11" t="s">
        <v>17181</v>
      </c>
      <c r="J347" s="11" t="s">
        <v>17181</v>
      </c>
      <c r="K347" s="9" t="s">
        <v>1462</v>
      </c>
      <c r="L347" s="9" t="s">
        <v>17967</v>
      </c>
      <c r="M347" s="9" t="s">
        <v>19768</v>
      </c>
      <c r="N347" s="9" t="s">
        <v>17746</v>
      </c>
      <c r="O347" s="9" t="s">
        <v>20083</v>
      </c>
      <c r="P347" s="9" t="s">
        <v>17748</v>
      </c>
      <c r="Q347" s="11" t="s">
        <v>18922</v>
      </c>
      <c r="R347" s="11" t="s">
        <v>18922</v>
      </c>
      <c r="S347" s="11" t="s">
        <v>17750</v>
      </c>
    </row>
    <row r="348" spans="1:19" x14ac:dyDescent="0.2">
      <c r="A348" s="11" t="s">
        <v>20088</v>
      </c>
      <c r="B348" s="9" t="s">
        <v>20089</v>
      </c>
      <c r="C348" s="9" t="s">
        <v>20090</v>
      </c>
      <c r="D348" s="9" t="s">
        <v>476</v>
      </c>
      <c r="E348" s="9" t="s">
        <v>17740</v>
      </c>
      <c r="F348" s="9" t="s">
        <v>17741</v>
      </c>
      <c r="G348" s="9" t="s">
        <v>17740</v>
      </c>
      <c r="H348" s="11" t="s">
        <v>478</v>
      </c>
      <c r="I348" s="11" t="s">
        <v>477</v>
      </c>
      <c r="J348" s="11" t="s">
        <v>477</v>
      </c>
      <c r="K348" s="9" t="s">
        <v>18727</v>
      </c>
      <c r="L348" s="9" t="s">
        <v>18158</v>
      </c>
      <c r="M348" s="9" t="s">
        <v>17817</v>
      </c>
      <c r="N348" s="9" t="s">
        <v>17746</v>
      </c>
      <c r="O348" s="9" t="s">
        <v>487</v>
      </c>
      <c r="P348" s="9" t="s">
        <v>17748</v>
      </c>
      <c r="Q348" s="11" t="s">
        <v>19978</v>
      </c>
      <c r="R348" s="11" t="s">
        <v>19978</v>
      </c>
      <c r="S348" s="11" t="s">
        <v>17750</v>
      </c>
    </row>
    <row r="349" spans="1:19" x14ac:dyDescent="0.2">
      <c r="A349" s="11" t="s">
        <v>20091</v>
      </c>
      <c r="B349" s="9" t="s">
        <v>20092</v>
      </c>
      <c r="C349" s="9" t="s">
        <v>20093</v>
      </c>
      <c r="D349" s="9" t="s">
        <v>20094</v>
      </c>
      <c r="E349" s="9" t="s">
        <v>17740</v>
      </c>
      <c r="F349" s="9" t="s">
        <v>20095</v>
      </c>
      <c r="G349" s="9" t="s">
        <v>17740</v>
      </c>
      <c r="H349" s="11" t="s">
        <v>73</v>
      </c>
      <c r="I349" s="11" t="s">
        <v>72</v>
      </c>
      <c r="J349" s="11" t="s">
        <v>72</v>
      </c>
      <c r="K349" s="9" t="s">
        <v>74</v>
      </c>
      <c r="L349" s="9" t="s">
        <v>18058</v>
      </c>
      <c r="M349" s="9" t="s">
        <v>17769</v>
      </c>
      <c r="N349" s="9" t="s">
        <v>17746</v>
      </c>
      <c r="O349" s="9" t="s">
        <v>5790</v>
      </c>
      <c r="P349" s="9" t="s">
        <v>17748</v>
      </c>
      <c r="Q349" s="11" t="s">
        <v>18306</v>
      </c>
      <c r="R349" s="11" t="s">
        <v>18306</v>
      </c>
      <c r="S349" s="11" t="s">
        <v>17750</v>
      </c>
    </row>
    <row r="350" spans="1:19" x14ac:dyDescent="0.2">
      <c r="A350" s="11" t="s">
        <v>20096</v>
      </c>
      <c r="B350" s="9" t="s">
        <v>20097</v>
      </c>
      <c r="C350" s="9" t="s">
        <v>20098</v>
      </c>
      <c r="D350" s="9" t="s">
        <v>20099</v>
      </c>
      <c r="E350" s="9" t="s">
        <v>17740</v>
      </c>
      <c r="F350" s="9" t="s">
        <v>17741</v>
      </c>
      <c r="G350" s="9" t="s">
        <v>17740</v>
      </c>
      <c r="H350" s="11" t="s">
        <v>20100</v>
      </c>
      <c r="I350" s="11" t="s">
        <v>20101</v>
      </c>
      <c r="J350" s="11" t="s">
        <v>20101</v>
      </c>
      <c r="K350" s="9" t="s">
        <v>20102</v>
      </c>
      <c r="L350" s="9" t="s">
        <v>18058</v>
      </c>
      <c r="M350" s="9" t="s">
        <v>17760</v>
      </c>
      <c r="N350" s="9" t="s">
        <v>17746</v>
      </c>
      <c r="O350" s="9" t="s">
        <v>3734</v>
      </c>
      <c r="P350" s="9" t="s">
        <v>17748</v>
      </c>
      <c r="Q350" s="11" t="s">
        <v>18139</v>
      </c>
      <c r="R350" s="11" t="s">
        <v>18139</v>
      </c>
      <c r="S350" s="11" t="s">
        <v>17750</v>
      </c>
    </row>
    <row r="351" spans="1:19" x14ac:dyDescent="0.2">
      <c r="A351" s="11" t="s">
        <v>20103</v>
      </c>
      <c r="B351" s="9" t="s">
        <v>20104</v>
      </c>
      <c r="C351" s="9" t="s">
        <v>20105</v>
      </c>
      <c r="D351" s="9" t="s">
        <v>20106</v>
      </c>
      <c r="E351" s="9" t="s">
        <v>17740</v>
      </c>
      <c r="F351" s="9" t="s">
        <v>17741</v>
      </c>
      <c r="G351" s="9" t="s">
        <v>17740</v>
      </c>
      <c r="H351" s="11" t="s">
        <v>17741</v>
      </c>
      <c r="I351" s="11" t="s">
        <v>20107</v>
      </c>
      <c r="J351" s="11" t="s">
        <v>20107</v>
      </c>
      <c r="K351" s="9" t="s">
        <v>20108</v>
      </c>
      <c r="L351" s="9" t="s">
        <v>18439</v>
      </c>
      <c r="M351" s="9" t="s">
        <v>17760</v>
      </c>
      <c r="N351" s="9" t="s">
        <v>18171</v>
      </c>
      <c r="O351" s="9" t="s">
        <v>17993</v>
      </c>
      <c r="P351" s="9" t="s">
        <v>17748</v>
      </c>
      <c r="Q351" s="11" t="s">
        <v>20109</v>
      </c>
      <c r="R351" s="11" t="s">
        <v>20109</v>
      </c>
      <c r="S351" s="11" t="s">
        <v>17750</v>
      </c>
    </row>
    <row r="352" spans="1:19" x14ac:dyDescent="0.2">
      <c r="A352" s="11" t="s">
        <v>20110</v>
      </c>
      <c r="B352" s="9" t="s">
        <v>20111</v>
      </c>
      <c r="C352" s="9" t="s">
        <v>20112</v>
      </c>
      <c r="D352" s="9" t="s">
        <v>20113</v>
      </c>
      <c r="E352" s="9" t="s">
        <v>17748</v>
      </c>
      <c r="F352" s="9" t="s">
        <v>20114</v>
      </c>
      <c r="G352" s="9" t="s">
        <v>17740</v>
      </c>
      <c r="H352" s="11" t="s">
        <v>9576</v>
      </c>
      <c r="I352" s="11" t="s">
        <v>9575</v>
      </c>
      <c r="J352" s="11" t="s">
        <v>9575</v>
      </c>
      <c r="K352" s="9" t="s">
        <v>18438</v>
      </c>
      <c r="L352" s="9" t="s">
        <v>18439</v>
      </c>
      <c r="M352" s="9" t="s">
        <v>17817</v>
      </c>
      <c r="N352" s="9" t="s">
        <v>18171</v>
      </c>
      <c r="O352" s="9" t="s">
        <v>3355</v>
      </c>
      <c r="P352" s="9" t="s">
        <v>17748</v>
      </c>
      <c r="Q352" s="11" t="s">
        <v>17858</v>
      </c>
      <c r="R352" s="11" t="s">
        <v>17858</v>
      </c>
      <c r="S352" s="11" t="s">
        <v>17750</v>
      </c>
    </row>
    <row r="353" spans="1:19" x14ac:dyDescent="0.2">
      <c r="A353" s="11" t="s">
        <v>20115</v>
      </c>
      <c r="B353" s="9" t="s">
        <v>20116</v>
      </c>
      <c r="C353" s="9" t="s">
        <v>20117</v>
      </c>
      <c r="D353" s="9" t="s">
        <v>20118</v>
      </c>
      <c r="E353" s="9" t="s">
        <v>17740</v>
      </c>
      <c r="F353" s="9" t="s">
        <v>17741</v>
      </c>
      <c r="G353" s="9" t="s">
        <v>17740</v>
      </c>
      <c r="H353" s="11" t="s">
        <v>17741</v>
      </c>
      <c r="I353" s="11" t="s">
        <v>7677</v>
      </c>
      <c r="J353" s="11" t="s">
        <v>7677</v>
      </c>
      <c r="K353" s="9" t="s">
        <v>20119</v>
      </c>
      <c r="L353" s="9" t="s">
        <v>18439</v>
      </c>
      <c r="M353" s="9" t="s">
        <v>17992</v>
      </c>
      <c r="N353" s="9" t="s">
        <v>18171</v>
      </c>
      <c r="O353" s="9" t="s">
        <v>3524</v>
      </c>
      <c r="P353" s="9" t="s">
        <v>17748</v>
      </c>
      <c r="Q353" s="11" t="s">
        <v>18272</v>
      </c>
      <c r="R353" s="11" t="s">
        <v>18272</v>
      </c>
      <c r="S353" s="11" t="s">
        <v>17750</v>
      </c>
    </row>
    <row r="354" spans="1:19" x14ac:dyDescent="0.2">
      <c r="A354" s="11" t="s">
        <v>20120</v>
      </c>
      <c r="B354" s="9" t="s">
        <v>20121</v>
      </c>
      <c r="C354" s="9" t="s">
        <v>20122</v>
      </c>
      <c r="D354" s="9" t="s">
        <v>20123</v>
      </c>
      <c r="E354" s="9" t="s">
        <v>17740</v>
      </c>
      <c r="F354" s="9" t="s">
        <v>20124</v>
      </c>
      <c r="G354" s="9" t="s">
        <v>17740</v>
      </c>
      <c r="H354" s="11" t="s">
        <v>17741</v>
      </c>
      <c r="I354" s="11" t="s">
        <v>20125</v>
      </c>
      <c r="J354" s="11" t="s">
        <v>20125</v>
      </c>
      <c r="K354" s="9" t="s">
        <v>20126</v>
      </c>
      <c r="L354" s="9" t="s">
        <v>18439</v>
      </c>
      <c r="M354" s="9" t="s">
        <v>17769</v>
      </c>
      <c r="N354" s="9" t="s">
        <v>18171</v>
      </c>
      <c r="O354" s="9" t="s">
        <v>18418</v>
      </c>
      <c r="P354" s="9" t="s">
        <v>17748</v>
      </c>
      <c r="Q354" s="11" t="s">
        <v>17771</v>
      </c>
      <c r="R354" s="11" t="s">
        <v>17771</v>
      </c>
      <c r="S354" s="11" t="s">
        <v>17750</v>
      </c>
    </row>
    <row r="355" spans="1:19" x14ac:dyDescent="0.2">
      <c r="A355" s="11" t="s">
        <v>20127</v>
      </c>
      <c r="B355" s="9" t="s">
        <v>20128</v>
      </c>
      <c r="C355" s="9" t="s">
        <v>20129</v>
      </c>
      <c r="D355" s="9" t="s">
        <v>20130</v>
      </c>
      <c r="E355" s="9" t="s">
        <v>17740</v>
      </c>
      <c r="F355" s="9" t="s">
        <v>17741</v>
      </c>
      <c r="G355" s="9" t="s">
        <v>17740</v>
      </c>
      <c r="H355" s="11" t="s">
        <v>20131</v>
      </c>
      <c r="I355" s="11" t="s">
        <v>20132</v>
      </c>
      <c r="J355" s="11" t="s">
        <v>20132</v>
      </c>
      <c r="K355" s="9" t="s">
        <v>6914</v>
      </c>
      <c r="L355" s="9" t="s">
        <v>17744</v>
      </c>
      <c r="M355" s="9" t="s">
        <v>20133</v>
      </c>
      <c r="N355" s="9" t="s">
        <v>17746</v>
      </c>
      <c r="O355" s="9" t="s">
        <v>18088</v>
      </c>
      <c r="P355" s="9" t="s">
        <v>17748</v>
      </c>
      <c r="Q355" s="11" t="s">
        <v>20134</v>
      </c>
      <c r="R355" s="11" t="s">
        <v>20134</v>
      </c>
      <c r="S355" s="11" t="s">
        <v>17750</v>
      </c>
    </row>
    <row r="356" spans="1:19" x14ac:dyDescent="0.2">
      <c r="A356" s="11" t="s">
        <v>20135</v>
      </c>
      <c r="B356" s="9" t="s">
        <v>20136</v>
      </c>
      <c r="C356" s="9" t="s">
        <v>20137</v>
      </c>
      <c r="D356" s="9" t="s">
        <v>20138</v>
      </c>
      <c r="E356" s="9" t="s">
        <v>17740</v>
      </c>
      <c r="F356" s="9" t="s">
        <v>17741</v>
      </c>
      <c r="G356" s="9" t="s">
        <v>17740</v>
      </c>
      <c r="H356" s="11" t="s">
        <v>90</v>
      </c>
      <c r="I356" s="11" t="s">
        <v>89</v>
      </c>
      <c r="J356" s="11" t="s">
        <v>89</v>
      </c>
      <c r="K356" s="9" t="s">
        <v>91</v>
      </c>
      <c r="L356" s="9" t="s">
        <v>18001</v>
      </c>
      <c r="M356" s="9" t="s">
        <v>20139</v>
      </c>
      <c r="N356" s="9" t="s">
        <v>17746</v>
      </c>
      <c r="O356" s="9" t="s">
        <v>18088</v>
      </c>
      <c r="P356" s="9" t="s">
        <v>17748</v>
      </c>
      <c r="Q356" s="11" t="s">
        <v>18847</v>
      </c>
      <c r="R356" s="11" t="s">
        <v>18847</v>
      </c>
      <c r="S356" s="11" t="s">
        <v>17750</v>
      </c>
    </row>
    <row r="357" spans="1:19" x14ac:dyDescent="0.2">
      <c r="A357" s="11" t="s">
        <v>20140</v>
      </c>
      <c r="B357" s="9" t="s">
        <v>20141</v>
      </c>
      <c r="C357" s="9" t="s">
        <v>20142</v>
      </c>
      <c r="D357" s="9" t="s">
        <v>20143</v>
      </c>
      <c r="E357" s="9" t="s">
        <v>17748</v>
      </c>
      <c r="F357" s="9" t="s">
        <v>20144</v>
      </c>
      <c r="G357" s="9" t="s">
        <v>17740</v>
      </c>
      <c r="H357" s="11" t="s">
        <v>20145</v>
      </c>
      <c r="I357" s="11" t="s">
        <v>20146</v>
      </c>
      <c r="J357" s="11" t="s">
        <v>17741</v>
      </c>
      <c r="K357" s="9" t="s">
        <v>17089</v>
      </c>
      <c r="L357" s="9" t="s">
        <v>18158</v>
      </c>
      <c r="M357" s="9" t="s">
        <v>20147</v>
      </c>
      <c r="N357" s="9" t="s">
        <v>17746</v>
      </c>
      <c r="O357" s="9" t="s">
        <v>18088</v>
      </c>
      <c r="P357" s="9" t="s">
        <v>17748</v>
      </c>
      <c r="Q357" s="11" t="s">
        <v>17994</v>
      </c>
      <c r="R357" s="11" t="s">
        <v>17994</v>
      </c>
      <c r="S357" s="11" t="s">
        <v>17750</v>
      </c>
    </row>
    <row r="358" spans="1:19" x14ac:dyDescent="0.2">
      <c r="A358" s="11" t="s">
        <v>20148</v>
      </c>
      <c r="B358" s="9" t="s">
        <v>20149</v>
      </c>
      <c r="C358" s="9" t="s">
        <v>20150</v>
      </c>
      <c r="D358" s="9" t="s">
        <v>20151</v>
      </c>
      <c r="E358" s="9" t="s">
        <v>17740</v>
      </c>
      <c r="F358" s="9" t="s">
        <v>20152</v>
      </c>
      <c r="G358" s="9" t="s">
        <v>17740</v>
      </c>
      <c r="H358" s="11" t="s">
        <v>17741</v>
      </c>
      <c r="I358" s="11" t="s">
        <v>606</v>
      </c>
      <c r="J358" s="11" t="s">
        <v>606</v>
      </c>
      <c r="K358" s="9" t="s">
        <v>20153</v>
      </c>
      <c r="L358" s="9" t="s">
        <v>17759</v>
      </c>
      <c r="M358" s="9" t="s">
        <v>17769</v>
      </c>
      <c r="N358" s="9" t="s">
        <v>17746</v>
      </c>
      <c r="O358" s="9" t="s">
        <v>20154</v>
      </c>
      <c r="P358" s="9" t="s">
        <v>17748</v>
      </c>
      <c r="Q358" s="11" t="s">
        <v>18960</v>
      </c>
      <c r="R358" s="11" t="s">
        <v>18960</v>
      </c>
      <c r="S358" s="11" t="s">
        <v>17750</v>
      </c>
    </row>
    <row r="359" spans="1:19" x14ac:dyDescent="0.2">
      <c r="A359" s="11" t="s">
        <v>20155</v>
      </c>
      <c r="B359" s="9" t="s">
        <v>20156</v>
      </c>
      <c r="C359" s="9" t="s">
        <v>20157</v>
      </c>
      <c r="D359" s="9" t="s">
        <v>20158</v>
      </c>
      <c r="E359" s="9" t="s">
        <v>17740</v>
      </c>
      <c r="F359" s="9" t="s">
        <v>17741</v>
      </c>
      <c r="G359" s="9" t="s">
        <v>17740</v>
      </c>
      <c r="H359" s="11" t="s">
        <v>481</v>
      </c>
      <c r="I359" s="11" t="s">
        <v>480</v>
      </c>
      <c r="J359" s="11" t="s">
        <v>480</v>
      </c>
      <c r="K359" s="9" t="s">
        <v>601</v>
      </c>
      <c r="L359" s="9" t="s">
        <v>17759</v>
      </c>
      <c r="M359" s="9" t="s">
        <v>19203</v>
      </c>
      <c r="N359" s="9" t="s">
        <v>17746</v>
      </c>
      <c r="O359" s="9" t="s">
        <v>773</v>
      </c>
      <c r="P359" s="9" t="s">
        <v>17748</v>
      </c>
      <c r="Q359" s="11" t="s">
        <v>18556</v>
      </c>
      <c r="R359" s="11" t="s">
        <v>18556</v>
      </c>
      <c r="S359" s="11" t="s">
        <v>17750</v>
      </c>
    </row>
    <row r="360" spans="1:19" x14ac:dyDescent="0.2">
      <c r="A360" s="11" t="s">
        <v>20159</v>
      </c>
      <c r="B360" s="9" t="s">
        <v>20160</v>
      </c>
      <c r="C360" s="9" t="s">
        <v>20161</v>
      </c>
      <c r="D360" s="9" t="s">
        <v>20162</v>
      </c>
      <c r="E360" s="9" t="s">
        <v>17748</v>
      </c>
      <c r="F360" s="9" t="s">
        <v>20163</v>
      </c>
      <c r="G360" s="9" t="s">
        <v>17740</v>
      </c>
      <c r="H360" s="11" t="s">
        <v>15381</v>
      </c>
      <c r="I360" s="11" t="s">
        <v>15380</v>
      </c>
      <c r="J360" s="11" t="s">
        <v>15380</v>
      </c>
      <c r="K360" s="9" t="s">
        <v>920</v>
      </c>
      <c r="L360" s="9" t="s">
        <v>18001</v>
      </c>
      <c r="M360" s="9" t="s">
        <v>17817</v>
      </c>
      <c r="N360" s="9" t="s">
        <v>17746</v>
      </c>
      <c r="O360" s="9" t="s">
        <v>20164</v>
      </c>
      <c r="P360" s="9" t="s">
        <v>17748</v>
      </c>
      <c r="Q360" s="11" t="s">
        <v>17900</v>
      </c>
      <c r="R360" s="11" t="s">
        <v>17900</v>
      </c>
      <c r="S360" s="11" t="s">
        <v>17750</v>
      </c>
    </row>
    <row r="361" spans="1:19" x14ac:dyDescent="0.2">
      <c r="A361" s="11" t="s">
        <v>20165</v>
      </c>
      <c r="B361" s="9" t="s">
        <v>20166</v>
      </c>
      <c r="C361" s="9" t="s">
        <v>20167</v>
      </c>
      <c r="D361" s="9" t="s">
        <v>20168</v>
      </c>
      <c r="E361" s="9" t="s">
        <v>17740</v>
      </c>
      <c r="F361" s="9" t="s">
        <v>20169</v>
      </c>
      <c r="G361" s="9" t="s">
        <v>17740</v>
      </c>
      <c r="H361" s="11" t="s">
        <v>20170</v>
      </c>
      <c r="I361" s="11" t="s">
        <v>20171</v>
      </c>
      <c r="J361" s="11" t="s">
        <v>20171</v>
      </c>
      <c r="K361" s="9" t="s">
        <v>17881</v>
      </c>
      <c r="L361" s="9" t="s">
        <v>17759</v>
      </c>
      <c r="M361" s="9" t="s">
        <v>20172</v>
      </c>
      <c r="N361" s="9" t="s">
        <v>17746</v>
      </c>
      <c r="O361" s="9" t="s">
        <v>18088</v>
      </c>
      <c r="P361" s="9" t="s">
        <v>17748</v>
      </c>
      <c r="Q361" s="11" t="s">
        <v>18847</v>
      </c>
      <c r="R361" s="11" t="s">
        <v>18847</v>
      </c>
      <c r="S361" s="11" t="s">
        <v>17750</v>
      </c>
    </row>
    <row r="362" spans="1:19" x14ac:dyDescent="0.2">
      <c r="A362" s="11" t="s">
        <v>20173</v>
      </c>
      <c r="B362" s="9" t="s">
        <v>20174</v>
      </c>
      <c r="C362" s="9" t="s">
        <v>20175</v>
      </c>
      <c r="D362" s="9" t="s">
        <v>20176</v>
      </c>
      <c r="E362" s="9" t="s">
        <v>17740</v>
      </c>
      <c r="F362" s="9" t="s">
        <v>17741</v>
      </c>
      <c r="G362" s="9" t="s">
        <v>17740</v>
      </c>
      <c r="H362" s="11" t="s">
        <v>20177</v>
      </c>
      <c r="I362" s="11" t="s">
        <v>20178</v>
      </c>
      <c r="J362" s="11" t="s">
        <v>20178</v>
      </c>
      <c r="K362" s="9" t="s">
        <v>20179</v>
      </c>
      <c r="L362" s="9" t="s">
        <v>18242</v>
      </c>
      <c r="M362" s="9" t="s">
        <v>18109</v>
      </c>
      <c r="N362" s="9" t="s">
        <v>17746</v>
      </c>
      <c r="O362" s="9" t="s">
        <v>18088</v>
      </c>
      <c r="P362" s="9" t="s">
        <v>17748</v>
      </c>
      <c r="Q362" s="11" t="s">
        <v>18960</v>
      </c>
      <c r="R362" s="11" t="s">
        <v>18960</v>
      </c>
      <c r="S362" s="11" t="s">
        <v>17750</v>
      </c>
    </row>
    <row r="363" spans="1:19" x14ac:dyDescent="0.2">
      <c r="A363" s="11" t="s">
        <v>20180</v>
      </c>
      <c r="B363" s="9" t="s">
        <v>20181</v>
      </c>
      <c r="C363" s="9" t="s">
        <v>20182</v>
      </c>
      <c r="D363" s="9" t="s">
        <v>20183</v>
      </c>
      <c r="E363" s="9" t="s">
        <v>17740</v>
      </c>
      <c r="F363" s="9" t="s">
        <v>20184</v>
      </c>
      <c r="G363" s="9" t="s">
        <v>17740</v>
      </c>
      <c r="H363" s="11" t="s">
        <v>5558</v>
      </c>
      <c r="I363" s="11" t="s">
        <v>5557</v>
      </c>
      <c r="J363" s="11" t="s">
        <v>5557</v>
      </c>
      <c r="K363" s="9" t="s">
        <v>19244</v>
      </c>
      <c r="L363" s="9" t="s">
        <v>18158</v>
      </c>
      <c r="M363" s="9" t="s">
        <v>20185</v>
      </c>
      <c r="N363" s="9" t="s">
        <v>18185</v>
      </c>
      <c r="O363" s="9" t="s">
        <v>20186</v>
      </c>
      <c r="P363" s="9" t="s">
        <v>17748</v>
      </c>
      <c r="Q363" s="11" t="s">
        <v>18080</v>
      </c>
      <c r="R363" s="11" t="s">
        <v>18080</v>
      </c>
      <c r="S363" s="11" t="s">
        <v>17750</v>
      </c>
    </row>
    <row r="364" spans="1:19" x14ac:dyDescent="0.2">
      <c r="A364" s="11" t="s">
        <v>20187</v>
      </c>
      <c r="B364" s="9" t="s">
        <v>20188</v>
      </c>
      <c r="C364" s="9" t="s">
        <v>20189</v>
      </c>
      <c r="D364" s="9" t="s">
        <v>20190</v>
      </c>
      <c r="E364" s="9" t="s">
        <v>17740</v>
      </c>
      <c r="F364" s="9" t="s">
        <v>20191</v>
      </c>
      <c r="G364" s="9" t="s">
        <v>17740</v>
      </c>
      <c r="H364" s="11" t="s">
        <v>20192</v>
      </c>
      <c r="I364" s="11" t="s">
        <v>20193</v>
      </c>
      <c r="J364" s="11" t="s">
        <v>20193</v>
      </c>
      <c r="K364" s="9" t="s">
        <v>970</v>
      </c>
      <c r="L364" s="9" t="s">
        <v>18158</v>
      </c>
      <c r="M364" s="9" t="s">
        <v>17760</v>
      </c>
      <c r="N364" s="9" t="s">
        <v>17746</v>
      </c>
      <c r="O364" s="9" t="s">
        <v>20194</v>
      </c>
      <c r="P364" s="9" t="s">
        <v>17748</v>
      </c>
      <c r="Q364" s="11" t="s">
        <v>18243</v>
      </c>
      <c r="R364" s="11" t="s">
        <v>18243</v>
      </c>
      <c r="S364" s="11" t="s">
        <v>17750</v>
      </c>
    </row>
    <row r="365" spans="1:19" x14ac:dyDescent="0.2">
      <c r="A365" s="11" t="s">
        <v>20195</v>
      </c>
      <c r="B365" s="9" t="s">
        <v>20196</v>
      </c>
      <c r="C365" s="9" t="s">
        <v>20197</v>
      </c>
      <c r="D365" s="9" t="s">
        <v>20198</v>
      </c>
      <c r="E365" s="9" t="s">
        <v>17748</v>
      </c>
      <c r="F365" s="9" t="s">
        <v>20199</v>
      </c>
      <c r="G365" s="9" t="s">
        <v>17740</v>
      </c>
      <c r="H365" s="11" t="s">
        <v>17741</v>
      </c>
      <c r="I365" s="11" t="s">
        <v>20200</v>
      </c>
      <c r="J365" s="11" t="s">
        <v>20200</v>
      </c>
      <c r="K365" s="9" t="s">
        <v>20201</v>
      </c>
      <c r="L365" s="9" t="s">
        <v>17759</v>
      </c>
      <c r="M365" s="9" t="s">
        <v>18745</v>
      </c>
      <c r="N365" s="9" t="s">
        <v>17746</v>
      </c>
      <c r="O365" s="9" t="s">
        <v>19521</v>
      </c>
      <c r="P365" s="9" t="s">
        <v>17748</v>
      </c>
      <c r="Q365" s="11" t="s">
        <v>18201</v>
      </c>
      <c r="R365" s="11" t="s">
        <v>18201</v>
      </c>
      <c r="S365" s="11" t="s">
        <v>17750</v>
      </c>
    </row>
    <row r="366" spans="1:19" x14ac:dyDescent="0.2">
      <c r="A366" s="11" t="s">
        <v>20202</v>
      </c>
      <c r="B366" s="9" t="s">
        <v>20203</v>
      </c>
      <c r="C366" s="9" t="s">
        <v>20204</v>
      </c>
      <c r="D366" s="9" t="s">
        <v>20205</v>
      </c>
      <c r="E366" s="9" t="s">
        <v>17748</v>
      </c>
      <c r="F366" s="9" t="s">
        <v>20206</v>
      </c>
      <c r="G366" s="9" t="s">
        <v>17740</v>
      </c>
      <c r="H366" s="11" t="s">
        <v>11764</v>
      </c>
      <c r="I366" s="11" t="s">
        <v>11763</v>
      </c>
      <c r="J366" s="11" t="s">
        <v>11763</v>
      </c>
      <c r="K366" s="9" t="s">
        <v>20207</v>
      </c>
      <c r="L366" s="9" t="s">
        <v>17759</v>
      </c>
      <c r="M366" s="9" t="s">
        <v>17817</v>
      </c>
      <c r="N366" s="9" t="s">
        <v>17746</v>
      </c>
      <c r="O366" s="9" t="s">
        <v>20208</v>
      </c>
      <c r="P366" s="9" t="s">
        <v>17748</v>
      </c>
      <c r="Q366" s="11" t="s">
        <v>17917</v>
      </c>
      <c r="R366" s="11" t="s">
        <v>17917</v>
      </c>
      <c r="S366" s="11" t="s">
        <v>17750</v>
      </c>
    </row>
    <row r="367" spans="1:19" x14ac:dyDescent="0.2">
      <c r="A367" s="11" t="s">
        <v>20209</v>
      </c>
      <c r="B367" s="9" t="s">
        <v>20210</v>
      </c>
      <c r="C367" s="9" t="s">
        <v>20211</v>
      </c>
      <c r="D367" s="9" t="s">
        <v>20212</v>
      </c>
      <c r="E367" s="9" t="s">
        <v>17740</v>
      </c>
      <c r="F367" s="9" t="s">
        <v>20213</v>
      </c>
      <c r="G367" s="9" t="s">
        <v>17740</v>
      </c>
      <c r="H367" s="11" t="s">
        <v>9519</v>
      </c>
      <c r="I367" s="11" t="s">
        <v>9518</v>
      </c>
      <c r="J367" s="11" t="s">
        <v>17741</v>
      </c>
      <c r="K367" s="9" t="s">
        <v>1808</v>
      </c>
      <c r="L367" s="9" t="s">
        <v>18242</v>
      </c>
      <c r="M367" s="9" t="s">
        <v>17760</v>
      </c>
      <c r="N367" s="9" t="s">
        <v>17746</v>
      </c>
      <c r="O367" s="9" t="s">
        <v>20208</v>
      </c>
      <c r="P367" s="9" t="s">
        <v>17748</v>
      </c>
      <c r="Q367" s="11" t="s">
        <v>17994</v>
      </c>
      <c r="R367" s="11" t="s">
        <v>17994</v>
      </c>
      <c r="S367" s="11" t="s">
        <v>17750</v>
      </c>
    </row>
    <row r="368" spans="1:19" x14ac:dyDescent="0.2">
      <c r="A368" s="11" t="s">
        <v>20214</v>
      </c>
      <c r="B368" s="9" t="s">
        <v>20215</v>
      </c>
      <c r="C368" s="9" t="s">
        <v>20216</v>
      </c>
      <c r="D368" s="9" t="s">
        <v>20217</v>
      </c>
      <c r="E368" s="9" t="s">
        <v>17740</v>
      </c>
      <c r="F368" s="9" t="s">
        <v>17741</v>
      </c>
      <c r="G368" s="9" t="s">
        <v>17740</v>
      </c>
      <c r="H368" s="11" t="s">
        <v>20218</v>
      </c>
      <c r="I368" s="11" t="s">
        <v>20219</v>
      </c>
      <c r="J368" s="11" t="s">
        <v>20219</v>
      </c>
      <c r="K368" s="9" t="s">
        <v>20220</v>
      </c>
      <c r="L368" s="9" t="s">
        <v>17759</v>
      </c>
      <c r="M368" s="9" t="s">
        <v>17769</v>
      </c>
      <c r="N368" s="9" t="s">
        <v>17746</v>
      </c>
      <c r="O368" s="9" t="s">
        <v>20221</v>
      </c>
      <c r="P368" s="9" t="s">
        <v>17748</v>
      </c>
      <c r="Q368" s="11" t="s">
        <v>17917</v>
      </c>
      <c r="R368" s="11" t="s">
        <v>17917</v>
      </c>
      <c r="S368" s="11" t="s">
        <v>17750</v>
      </c>
    </row>
    <row r="369" spans="1:19" x14ac:dyDescent="0.2">
      <c r="A369" s="11" t="s">
        <v>20222</v>
      </c>
      <c r="B369" s="9" t="s">
        <v>482</v>
      </c>
      <c r="C369" s="9" t="s">
        <v>20223</v>
      </c>
      <c r="D369" s="9" t="s">
        <v>482</v>
      </c>
      <c r="E369" s="9" t="s">
        <v>17740</v>
      </c>
      <c r="F369" s="9" t="s">
        <v>20224</v>
      </c>
      <c r="G369" s="9" t="s">
        <v>17740</v>
      </c>
      <c r="H369" s="11" t="s">
        <v>484</v>
      </c>
      <c r="I369" s="11" t="s">
        <v>483</v>
      </c>
      <c r="J369" s="11" t="s">
        <v>483</v>
      </c>
      <c r="K369" s="9" t="s">
        <v>20225</v>
      </c>
      <c r="L369" s="9" t="s">
        <v>18158</v>
      </c>
      <c r="M369" s="9" t="s">
        <v>17769</v>
      </c>
      <c r="N369" s="9" t="s">
        <v>17746</v>
      </c>
      <c r="O369" s="9" t="s">
        <v>20226</v>
      </c>
      <c r="P369" s="9" t="s">
        <v>17748</v>
      </c>
      <c r="Q369" s="11" t="s">
        <v>17771</v>
      </c>
      <c r="R369" s="11" t="s">
        <v>17771</v>
      </c>
      <c r="S369" s="11" t="s">
        <v>17750</v>
      </c>
    </row>
    <row r="370" spans="1:19" x14ac:dyDescent="0.2">
      <c r="A370" s="11" t="s">
        <v>20227</v>
      </c>
      <c r="B370" s="9" t="s">
        <v>17036</v>
      </c>
      <c r="C370" s="9" t="s">
        <v>20228</v>
      </c>
      <c r="D370" s="9" t="s">
        <v>17036</v>
      </c>
      <c r="E370" s="9" t="s">
        <v>17740</v>
      </c>
      <c r="F370" s="9" t="s">
        <v>20229</v>
      </c>
      <c r="G370" s="9" t="s">
        <v>17740</v>
      </c>
      <c r="H370" s="11" t="s">
        <v>17038</v>
      </c>
      <c r="I370" s="11" t="s">
        <v>17037</v>
      </c>
      <c r="J370" s="11" t="s">
        <v>17037</v>
      </c>
      <c r="K370" s="9" t="s">
        <v>970</v>
      </c>
      <c r="L370" s="9" t="s">
        <v>17744</v>
      </c>
      <c r="M370" s="9" t="s">
        <v>17769</v>
      </c>
      <c r="N370" s="9" t="s">
        <v>17746</v>
      </c>
      <c r="O370" s="9" t="s">
        <v>20226</v>
      </c>
      <c r="P370" s="9" t="s">
        <v>17748</v>
      </c>
      <c r="Q370" s="11" t="s">
        <v>18089</v>
      </c>
      <c r="R370" s="11" t="s">
        <v>18089</v>
      </c>
      <c r="S370" s="11" t="s">
        <v>17750</v>
      </c>
    </row>
    <row r="371" spans="1:19" x14ac:dyDescent="0.2">
      <c r="A371" s="11" t="s">
        <v>20230</v>
      </c>
      <c r="B371" s="9" t="s">
        <v>20231</v>
      </c>
      <c r="C371" s="9" t="s">
        <v>20232</v>
      </c>
      <c r="D371" s="9" t="s">
        <v>20233</v>
      </c>
      <c r="E371" s="9" t="s">
        <v>17740</v>
      </c>
      <c r="F371" s="9" t="s">
        <v>20234</v>
      </c>
      <c r="G371" s="9" t="s">
        <v>17740</v>
      </c>
      <c r="H371" s="11" t="s">
        <v>17741</v>
      </c>
      <c r="I371" s="11" t="s">
        <v>20235</v>
      </c>
      <c r="J371" s="11" t="s">
        <v>20235</v>
      </c>
      <c r="K371" s="9" t="s">
        <v>20236</v>
      </c>
      <c r="L371" s="9" t="s">
        <v>18854</v>
      </c>
      <c r="M371" s="9" t="s">
        <v>17769</v>
      </c>
      <c r="N371" s="9" t="s">
        <v>20237</v>
      </c>
      <c r="O371" s="9" t="s">
        <v>487</v>
      </c>
      <c r="P371" s="9" t="s">
        <v>17748</v>
      </c>
      <c r="Q371" s="11" t="s">
        <v>18600</v>
      </c>
      <c r="R371" s="11" t="s">
        <v>18600</v>
      </c>
      <c r="S371" s="11" t="s">
        <v>17750</v>
      </c>
    </row>
    <row r="372" spans="1:19" x14ac:dyDescent="0.2">
      <c r="A372" s="11" t="s">
        <v>20238</v>
      </c>
      <c r="B372" s="9" t="s">
        <v>20239</v>
      </c>
      <c r="C372" s="9" t="s">
        <v>20240</v>
      </c>
      <c r="D372" s="9" t="s">
        <v>20241</v>
      </c>
      <c r="E372" s="9" t="s">
        <v>17740</v>
      </c>
      <c r="F372" s="9" t="s">
        <v>20242</v>
      </c>
      <c r="G372" s="9" t="s">
        <v>17740</v>
      </c>
      <c r="H372" s="11" t="s">
        <v>27</v>
      </c>
      <c r="I372" s="11" t="s">
        <v>26</v>
      </c>
      <c r="J372" s="11" t="s">
        <v>26</v>
      </c>
      <c r="K372" s="9" t="s">
        <v>17758</v>
      </c>
      <c r="L372" s="9" t="s">
        <v>17759</v>
      </c>
      <c r="M372" s="9" t="s">
        <v>17817</v>
      </c>
      <c r="N372" s="9" t="s">
        <v>17746</v>
      </c>
      <c r="O372" s="9" t="s">
        <v>487</v>
      </c>
      <c r="P372" s="9" t="s">
        <v>17748</v>
      </c>
      <c r="Q372" s="11" t="s">
        <v>17937</v>
      </c>
      <c r="R372" s="11" t="s">
        <v>17937</v>
      </c>
      <c r="S372" s="11" t="s">
        <v>17750</v>
      </c>
    </row>
    <row r="373" spans="1:19" x14ac:dyDescent="0.2">
      <c r="A373" s="11" t="s">
        <v>20243</v>
      </c>
      <c r="B373" s="9" t="s">
        <v>20244</v>
      </c>
      <c r="C373" s="9" t="s">
        <v>20245</v>
      </c>
      <c r="D373" s="9" t="s">
        <v>20246</v>
      </c>
      <c r="E373" s="9" t="s">
        <v>17740</v>
      </c>
      <c r="F373" s="9" t="s">
        <v>20247</v>
      </c>
      <c r="G373" s="9" t="s">
        <v>17740</v>
      </c>
      <c r="H373" s="11" t="s">
        <v>17741</v>
      </c>
      <c r="I373" s="11" t="s">
        <v>20248</v>
      </c>
      <c r="J373" s="11" t="s">
        <v>20248</v>
      </c>
      <c r="K373" s="9" t="s">
        <v>20249</v>
      </c>
      <c r="L373" s="9" t="s">
        <v>17759</v>
      </c>
      <c r="M373" s="9" t="s">
        <v>17760</v>
      </c>
      <c r="N373" s="9" t="s">
        <v>17746</v>
      </c>
      <c r="O373" s="9" t="s">
        <v>20250</v>
      </c>
      <c r="P373" s="9" t="s">
        <v>17748</v>
      </c>
      <c r="Q373" s="11" t="s">
        <v>20251</v>
      </c>
      <c r="R373" s="11" t="s">
        <v>20251</v>
      </c>
      <c r="S373" s="11" t="s">
        <v>17750</v>
      </c>
    </row>
    <row r="374" spans="1:19" x14ac:dyDescent="0.2">
      <c r="A374" s="11" t="s">
        <v>20252</v>
      </c>
      <c r="B374" s="9" t="s">
        <v>487</v>
      </c>
      <c r="C374" s="9" t="s">
        <v>20253</v>
      </c>
      <c r="D374" s="9" t="s">
        <v>487</v>
      </c>
      <c r="E374" s="9" t="s">
        <v>17740</v>
      </c>
      <c r="F374" s="9" t="s">
        <v>17741</v>
      </c>
      <c r="G374" s="9" t="s">
        <v>17740</v>
      </c>
      <c r="H374" s="11" t="s">
        <v>489</v>
      </c>
      <c r="I374" s="11" t="s">
        <v>488</v>
      </c>
      <c r="J374" s="11" t="s">
        <v>488</v>
      </c>
      <c r="K374" s="9" t="s">
        <v>17758</v>
      </c>
      <c r="L374" s="9" t="s">
        <v>17759</v>
      </c>
      <c r="M374" s="9" t="s">
        <v>17817</v>
      </c>
      <c r="N374" s="9" t="s">
        <v>17746</v>
      </c>
      <c r="O374" s="9" t="s">
        <v>487</v>
      </c>
      <c r="P374" s="9" t="s">
        <v>17748</v>
      </c>
      <c r="Q374" s="11" t="s">
        <v>19983</v>
      </c>
      <c r="R374" s="11" t="s">
        <v>19983</v>
      </c>
      <c r="S374" s="11" t="s">
        <v>17750</v>
      </c>
    </row>
    <row r="375" spans="1:19" x14ac:dyDescent="0.2">
      <c r="A375" s="11" t="s">
        <v>20254</v>
      </c>
      <c r="B375" s="9" t="s">
        <v>20255</v>
      </c>
      <c r="C375" s="9" t="s">
        <v>20256</v>
      </c>
      <c r="D375" s="9" t="s">
        <v>20257</v>
      </c>
      <c r="E375" s="9" t="s">
        <v>17748</v>
      </c>
      <c r="F375" s="9" t="s">
        <v>20258</v>
      </c>
      <c r="G375" s="9" t="s">
        <v>17740</v>
      </c>
      <c r="H375" s="11" t="s">
        <v>17741</v>
      </c>
      <c r="I375" s="11" t="s">
        <v>11647</v>
      </c>
      <c r="J375" s="11" t="s">
        <v>11647</v>
      </c>
      <c r="K375" s="9" t="s">
        <v>20259</v>
      </c>
      <c r="L375" s="9" t="s">
        <v>17759</v>
      </c>
      <c r="M375" s="9" t="s">
        <v>17760</v>
      </c>
      <c r="N375" s="9" t="s">
        <v>17746</v>
      </c>
      <c r="O375" s="9" t="s">
        <v>487</v>
      </c>
      <c r="P375" s="9" t="s">
        <v>17748</v>
      </c>
      <c r="Q375" s="11" t="s">
        <v>17762</v>
      </c>
      <c r="R375" s="11" t="s">
        <v>17762</v>
      </c>
      <c r="S375" s="11" t="s">
        <v>17750</v>
      </c>
    </row>
    <row r="376" spans="1:19" x14ac:dyDescent="0.2">
      <c r="A376" s="11" t="s">
        <v>20260</v>
      </c>
      <c r="B376" s="9" t="s">
        <v>20261</v>
      </c>
      <c r="C376" s="9" t="s">
        <v>20262</v>
      </c>
      <c r="D376" s="9" t="s">
        <v>20263</v>
      </c>
      <c r="E376" s="9" t="s">
        <v>17740</v>
      </c>
      <c r="F376" s="9" t="s">
        <v>20264</v>
      </c>
      <c r="G376" s="9" t="s">
        <v>17740</v>
      </c>
      <c r="H376" s="11" t="s">
        <v>20265</v>
      </c>
      <c r="I376" s="11" t="s">
        <v>20266</v>
      </c>
      <c r="J376" s="11" t="s">
        <v>20266</v>
      </c>
      <c r="K376" s="9" t="s">
        <v>18712</v>
      </c>
      <c r="L376" s="9" t="s">
        <v>18158</v>
      </c>
      <c r="M376" s="9" t="s">
        <v>20267</v>
      </c>
      <c r="N376" s="9" t="s">
        <v>17746</v>
      </c>
      <c r="O376" s="9" t="s">
        <v>17882</v>
      </c>
      <c r="P376" s="9" t="s">
        <v>17748</v>
      </c>
      <c r="Q376" s="11" t="s">
        <v>18314</v>
      </c>
      <c r="R376" s="11" t="s">
        <v>18314</v>
      </c>
      <c r="S376" s="11" t="s">
        <v>17750</v>
      </c>
    </row>
    <row r="377" spans="1:19" x14ac:dyDescent="0.2">
      <c r="A377" s="11" t="s">
        <v>20268</v>
      </c>
      <c r="B377" s="9" t="s">
        <v>7545</v>
      </c>
      <c r="C377" s="9" t="s">
        <v>20269</v>
      </c>
      <c r="D377" s="9" t="s">
        <v>7545</v>
      </c>
      <c r="E377" s="9" t="s">
        <v>17740</v>
      </c>
      <c r="F377" s="9" t="s">
        <v>17741</v>
      </c>
      <c r="G377" s="9" t="s">
        <v>17740</v>
      </c>
      <c r="H377" s="11" t="s">
        <v>7547</v>
      </c>
      <c r="I377" s="11" t="s">
        <v>7546</v>
      </c>
      <c r="J377" s="11" t="s">
        <v>7546</v>
      </c>
      <c r="K377" s="9" t="s">
        <v>18876</v>
      </c>
      <c r="L377" s="9" t="s">
        <v>18001</v>
      </c>
      <c r="M377" s="9" t="s">
        <v>18065</v>
      </c>
      <c r="N377" s="9" t="s">
        <v>17746</v>
      </c>
      <c r="O377" s="9" t="s">
        <v>7097</v>
      </c>
      <c r="P377" s="9" t="s">
        <v>17748</v>
      </c>
      <c r="Q377" s="11" t="s">
        <v>18272</v>
      </c>
      <c r="R377" s="11" t="s">
        <v>18272</v>
      </c>
      <c r="S377" s="11" t="s">
        <v>17750</v>
      </c>
    </row>
    <row r="378" spans="1:19" x14ac:dyDescent="0.2">
      <c r="A378" s="11" t="s">
        <v>20270</v>
      </c>
      <c r="B378" s="9" t="s">
        <v>20271</v>
      </c>
      <c r="C378" s="9" t="s">
        <v>20272</v>
      </c>
      <c r="D378" s="9" t="s">
        <v>20273</v>
      </c>
      <c r="E378" s="9" t="s">
        <v>17740</v>
      </c>
      <c r="F378" s="9" t="s">
        <v>17741</v>
      </c>
      <c r="G378" s="9" t="s">
        <v>17740</v>
      </c>
      <c r="H378" s="11" t="s">
        <v>17741</v>
      </c>
      <c r="I378" s="11" t="s">
        <v>20274</v>
      </c>
      <c r="J378" s="11" t="s">
        <v>20274</v>
      </c>
      <c r="K378" s="9" t="s">
        <v>20275</v>
      </c>
      <c r="L378" s="9" t="s">
        <v>18854</v>
      </c>
      <c r="M378" s="9" t="s">
        <v>17760</v>
      </c>
      <c r="N378" s="9" t="s">
        <v>17746</v>
      </c>
      <c r="O378" s="9" t="s">
        <v>20276</v>
      </c>
      <c r="P378" s="9" t="s">
        <v>17748</v>
      </c>
      <c r="Q378" s="11" t="s">
        <v>19361</v>
      </c>
      <c r="R378" s="11" t="s">
        <v>19361</v>
      </c>
      <c r="S378" s="11" t="s">
        <v>17750</v>
      </c>
    </row>
    <row r="379" spans="1:19" x14ac:dyDescent="0.2">
      <c r="A379" s="11" t="s">
        <v>20277</v>
      </c>
      <c r="B379" s="9" t="s">
        <v>490</v>
      </c>
      <c r="C379" s="9" t="s">
        <v>20278</v>
      </c>
      <c r="D379" s="9" t="s">
        <v>490</v>
      </c>
      <c r="E379" s="9" t="s">
        <v>17740</v>
      </c>
      <c r="F379" s="9" t="s">
        <v>20279</v>
      </c>
      <c r="G379" s="9" t="s">
        <v>17740</v>
      </c>
      <c r="H379" s="11" t="s">
        <v>492</v>
      </c>
      <c r="I379" s="11" t="s">
        <v>491</v>
      </c>
      <c r="J379" s="11" t="s">
        <v>491</v>
      </c>
      <c r="K379" s="9" t="s">
        <v>19447</v>
      </c>
      <c r="L379" s="9" t="s">
        <v>17759</v>
      </c>
      <c r="M379" s="9" t="s">
        <v>20280</v>
      </c>
      <c r="N379" s="9" t="s">
        <v>17746</v>
      </c>
      <c r="O379" s="9" t="s">
        <v>19646</v>
      </c>
      <c r="P379" s="9" t="s">
        <v>17748</v>
      </c>
      <c r="Q379" s="11" t="s">
        <v>17931</v>
      </c>
      <c r="R379" s="11" t="s">
        <v>17931</v>
      </c>
      <c r="S379" s="11" t="s">
        <v>17750</v>
      </c>
    </row>
    <row r="380" spans="1:19" x14ac:dyDescent="0.2">
      <c r="A380" s="11" t="s">
        <v>20281</v>
      </c>
      <c r="B380" s="9" t="s">
        <v>20282</v>
      </c>
      <c r="C380" s="9" t="s">
        <v>20283</v>
      </c>
      <c r="D380" s="9" t="s">
        <v>20284</v>
      </c>
      <c r="E380" s="9" t="s">
        <v>17740</v>
      </c>
      <c r="F380" s="9" t="s">
        <v>17741</v>
      </c>
      <c r="G380" s="9" t="s">
        <v>17740</v>
      </c>
      <c r="H380" s="11" t="s">
        <v>20285</v>
      </c>
      <c r="I380" s="11" t="s">
        <v>20286</v>
      </c>
      <c r="J380" s="11" t="s">
        <v>20286</v>
      </c>
      <c r="K380" s="9" t="s">
        <v>20287</v>
      </c>
      <c r="L380" s="9" t="s">
        <v>17759</v>
      </c>
      <c r="M380" s="9" t="s">
        <v>18065</v>
      </c>
      <c r="N380" s="9" t="s">
        <v>17746</v>
      </c>
      <c r="O380" s="9" t="s">
        <v>19754</v>
      </c>
      <c r="P380" s="9" t="s">
        <v>17748</v>
      </c>
      <c r="Q380" s="11" t="s">
        <v>19522</v>
      </c>
      <c r="R380" s="11" t="s">
        <v>19522</v>
      </c>
      <c r="S380" s="11" t="s">
        <v>17750</v>
      </c>
    </row>
    <row r="381" spans="1:19" x14ac:dyDescent="0.2">
      <c r="A381" s="11" t="s">
        <v>20288</v>
      </c>
      <c r="B381" s="9" t="s">
        <v>20289</v>
      </c>
      <c r="C381" s="9" t="s">
        <v>20290</v>
      </c>
      <c r="D381" s="9" t="s">
        <v>20291</v>
      </c>
      <c r="E381" s="9" t="s">
        <v>17740</v>
      </c>
      <c r="F381" s="9" t="s">
        <v>20292</v>
      </c>
      <c r="G381" s="9" t="s">
        <v>17740</v>
      </c>
      <c r="H381" s="11" t="s">
        <v>20293</v>
      </c>
      <c r="I381" s="11" t="s">
        <v>20294</v>
      </c>
      <c r="J381" s="11" t="s">
        <v>20294</v>
      </c>
      <c r="K381" s="9" t="s">
        <v>724</v>
      </c>
      <c r="L381" s="9" t="s">
        <v>17744</v>
      </c>
      <c r="M381" s="9" t="s">
        <v>20295</v>
      </c>
      <c r="N381" s="9" t="s">
        <v>17746</v>
      </c>
      <c r="O381" s="9" t="s">
        <v>20296</v>
      </c>
      <c r="P381" s="9" t="s">
        <v>17748</v>
      </c>
      <c r="Q381" s="11" t="s">
        <v>17917</v>
      </c>
      <c r="R381" s="11" t="s">
        <v>17917</v>
      </c>
      <c r="S381" s="11" t="s">
        <v>17750</v>
      </c>
    </row>
    <row r="382" spans="1:19" x14ac:dyDescent="0.2">
      <c r="A382" s="11" t="s">
        <v>20297</v>
      </c>
      <c r="B382" s="9" t="s">
        <v>20298</v>
      </c>
      <c r="C382" s="9" t="s">
        <v>20299</v>
      </c>
      <c r="D382" s="9" t="s">
        <v>20300</v>
      </c>
      <c r="E382" s="9" t="s">
        <v>17740</v>
      </c>
      <c r="F382" s="9" t="s">
        <v>17741</v>
      </c>
      <c r="G382" s="9" t="s">
        <v>17740</v>
      </c>
      <c r="H382" s="11" t="s">
        <v>20301</v>
      </c>
      <c r="I382" s="11" t="s">
        <v>20302</v>
      </c>
      <c r="J382" s="11" t="s">
        <v>20302</v>
      </c>
      <c r="K382" s="9" t="s">
        <v>291</v>
      </c>
      <c r="L382" s="9" t="s">
        <v>17744</v>
      </c>
      <c r="M382" s="9" t="s">
        <v>20303</v>
      </c>
      <c r="N382" s="9" t="s">
        <v>17746</v>
      </c>
      <c r="O382" s="9" t="s">
        <v>20304</v>
      </c>
      <c r="P382" s="9" t="s">
        <v>17748</v>
      </c>
      <c r="Q382" s="11" t="s">
        <v>17749</v>
      </c>
      <c r="R382" s="11" t="s">
        <v>17749</v>
      </c>
      <c r="S382" s="11" t="s">
        <v>17750</v>
      </c>
    </row>
    <row r="383" spans="1:19" x14ac:dyDescent="0.2">
      <c r="A383" s="11" t="s">
        <v>20305</v>
      </c>
      <c r="B383" s="9" t="s">
        <v>20306</v>
      </c>
      <c r="C383" s="9" t="s">
        <v>20307</v>
      </c>
      <c r="D383" s="9" t="s">
        <v>20308</v>
      </c>
      <c r="E383" s="9" t="s">
        <v>17740</v>
      </c>
      <c r="F383" s="9" t="s">
        <v>17741</v>
      </c>
      <c r="G383" s="9" t="s">
        <v>17740</v>
      </c>
      <c r="H383" s="11" t="s">
        <v>20309</v>
      </c>
      <c r="I383" s="11" t="s">
        <v>20310</v>
      </c>
      <c r="J383" s="11" t="s">
        <v>20310</v>
      </c>
      <c r="K383" s="9" t="s">
        <v>17783</v>
      </c>
      <c r="L383" s="9" t="s">
        <v>18158</v>
      </c>
      <c r="M383" s="9" t="s">
        <v>18533</v>
      </c>
      <c r="N383" s="9" t="s">
        <v>17746</v>
      </c>
      <c r="O383" s="9" t="s">
        <v>18563</v>
      </c>
      <c r="P383" s="9" t="s">
        <v>17748</v>
      </c>
      <c r="Q383" s="11" t="s">
        <v>18798</v>
      </c>
      <c r="R383" s="11" t="s">
        <v>18798</v>
      </c>
      <c r="S383" s="11" t="s">
        <v>17750</v>
      </c>
    </row>
    <row r="384" spans="1:19" x14ac:dyDescent="0.2">
      <c r="A384" s="11" t="s">
        <v>20311</v>
      </c>
      <c r="B384" s="9" t="s">
        <v>20312</v>
      </c>
      <c r="C384" s="9" t="s">
        <v>20313</v>
      </c>
      <c r="D384" s="9" t="s">
        <v>20314</v>
      </c>
      <c r="E384" s="9" t="s">
        <v>17740</v>
      </c>
      <c r="F384" s="9" t="s">
        <v>20315</v>
      </c>
      <c r="G384" s="9" t="s">
        <v>17740</v>
      </c>
      <c r="H384" s="11" t="s">
        <v>20316</v>
      </c>
      <c r="I384" s="11" t="s">
        <v>20317</v>
      </c>
      <c r="J384" s="11" t="s">
        <v>20317</v>
      </c>
      <c r="K384" s="9" t="s">
        <v>970</v>
      </c>
      <c r="L384" s="9" t="s">
        <v>17744</v>
      </c>
      <c r="M384" s="9" t="s">
        <v>20318</v>
      </c>
      <c r="N384" s="9" t="s">
        <v>17746</v>
      </c>
      <c r="O384" s="9" t="s">
        <v>20319</v>
      </c>
      <c r="P384" s="9" t="s">
        <v>17748</v>
      </c>
      <c r="Q384" s="11" t="s">
        <v>18059</v>
      </c>
      <c r="R384" s="11" t="s">
        <v>18059</v>
      </c>
      <c r="S384" s="11" t="s">
        <v>17750</v>
      </c>
    </row>
    <row r="385" spans="1:19" x14ac:dyDescent="0.2">
      <c r="A385" s="11" t="s">
        <v>20320</v>
      </c>
      <c r="B385" s="9" t="s">
        <v>20321</v>
      </c>
      <c r="C385" s="9" t="s">
        <v>20322</v>
      </c>
      <c r="D385" s="9" t="s">
        <v>20323</v>
      </c>
      <c r="E385" s="9" t="s">
        <v>17740</v>
      </c>
      <c r="F385" s="9" t="s">
        <v>17741</v>
      </c>
      <c r="G385" s="9" t="s">
        <v>17740</v>
      </c>
      <c r="H385" s="11" t="s">
        <v>20324</v>
      </c>
      <c r="I385" s="11" t="s">
        <v>20325</v>
      </c>
      <c r="J385" s="11" t="s">
        <v>20325</v>
      </c>
      <c r="K385" s="9" t="s">
        <v>20326</v>
      </c>
      <c r="L385" s="9" t="s">
        <v>17744</v>
      </c>
      <c r="M385" s="9" t="s">
        <v>18211</v>
      </c>
      <c r="N385" s="9" t="s">
        <v>17746</v>
      </c>
      <c r="O385" s="9" t="s">
        <v>18563</v>
      </c>
      <c r="P385" s="9" t="s">
        <v>17748</v>
      </c>
      <c r="Q385" s="11" t="s">
        <v>17784</v>
      </c>
      <c r="R385" s="11" t="s">
        <v>17784</v>
      </c>
      <c r="S385" s="11" t="s">
        <v>17750</v>
      </c>
    </row>
    <row r="386" spans="1:19" x14ac:dyDescent="0.2">
      <c r="A386" s="11" t="s">
        <v>20327</v>
      </c>
      <c r="B386" s="9" t="s">
        <v>20328</v>
      </c>
      <c r="C386" s="9" t="s">
        <v>20329</v>
      </c>
      <c r="D386" s="9" t="s">
        <v>20330</v>
      </c>
      <c r="E386" s="9" t="s">
        <v>17740</v>
      </c>
      <c r="F386" s="9" t="s">
        <v>17741</v>
      </c>
      <c r="G386" s="9" t="s">
        <v>17740</v>
      </c>
      <c r="H386" s="11" t="s">
        <v>20331</v>
      </c>
      <c r="I386" s="11" t="s">
        <v>20332</v>
      </c>
      <c r="J386" s="11" t="s">
        <v>20332</v>
      </c>
      <c r="K386" s="9" t="s">
        <v>20333</v>
      </c>
      <c r="L386" s="9" t="s">
        <v>18001</v>
      </c>
      <c r="M386" s="9" t="s">
        <v>20334</v>
      </c>
      <c r="N386" s="9" t="s">
        <v>17746</v>
      </c>
      <c r="O386" s="9" t="s">
        <v>20335</v>
      </c>
      <c r="P386" s="9" t="s">
        <v>17748</v>
      </c>
      <c r="Q386" s="11" t="s">
        <v>19335</v>
      </c>
      <c r="R386" s="11" t="s">
        <v>19335</v>
      </c>
      <c r="S386" s="11" t="s">
        <v>17750</v>
      </c>
    </row>
    <row r="387" spans="1:19" x14ac:dyDescent="0.2">
      <c r="A387" s="11" t="s">
        <v>20336</v>
      </c>
      <c r="B387" s="9" t="s">
        <v>20337</v>
      </c>
      <c r="C387" s="9" t="s">
        <v>20338</v>
      </c>
      <c r="D387" s="9" t="s">
        <v>20339</v>
      </c>
      <c r="E387" s="9" t="s">
        <v>17740</v>
      </c>
      <c r="F387" s="9" t="s">
        <v>20340</v>
      </c>
      <c r="G387" s="9" t="s">
        <v>17740</v>
      </c>
      <c r="H387" s="11" t="s">
        <v>20341</v>
      </c>
      <c r="I387" s="11" t="s">
        <v>20342</v>
      </c>
      <c r="J387" s="11" t="s">
        <v>20342</v>
      </c>
      <c r="K387" s="9" t="s">
        <v>20343</v>
      </c>
      <c r="L387" s="9" t="s">
        <v>20082</v>
      </c>
      <c r="M387" s="9" t="s">
        <v>20344</v>
      </c>
      <c r="N387" s="9" t="s">
        <v>17746</v>
      </c>
      <c r="O387" s="9" t="s">
        <v>18563</v>
      </c>
      <c r="P387" s="9" t="s">
        <v>17748</v>
      </c>
      <c r="Q387" s="11" t="s">
        <v>18356</v>
      </c>
      <c r="R387" s="11" t="s">
        <v>18356</v>
      </c>
      <c r="S387" s="11" t="s">
        <v>17750</v>
      </c>
    </row>
    <row r="388" spans="1:19" x14ac:dyDescent="0.2">
      <c r="A388" s="11" t="s">
        <v>20345</v>
      </c>
      <c r="B388" s="9" t="s">
        <v>20346</v>
      </c>
      <c r="C388" s="9" t="s">
        <v>20347</v>
      </c>
      <c r="D388" s="9" t="s">
        <v>20348</v>
      </c>
      <c r="E388" s="9" t="s">
        <v>17740</v>
      </c>
      <c r="F388" s="9" t="s">
        <v>20349</v>
      </c>
      <c r="G388" s="9" t="s">
        <v>17740</v>
      </c>
      <c r="H388" s="11" t="s">
        <v>17741</v>
      </c>
      <c r="I388" s="11" t="s">
        <v>20350</v>
      </c>
      <c r="J388" s="11" t="s">
        <v>20350</v>
      </c>
      <c r="K388" s="9" t="s">
        <v>20351</v>
      </c>
      <c r="L388" s="9" t="s">
        <v>17967</v>
      </c>
      <c r="M388" s="9" t="s">
        <v>18745</v>
      </c>
      <c r="N388" s="9" t="s">
        <v>18492</v>
      </c>
      <c r="O388" s="9" t="s">
        <v>20352</v>
      </c>
      <c r="P388" s="9" t="s">
        <v>17748</v>
      </c>
      <c r="Q388" s="11" t="s">
        <v>17849</v>
      </c>
      <c r="R388" s="11" t="s">
        <v>17849</v>
      </c>
      <c r="S388" s="11" t="s">
        <v>17750</v>
      </c>
    </row>
    <row r="389" spans="1:19" x14ac:dyDescent="0.2">
      <c r="A389" s="11" t="s">
        <v>20353</v>
      </c>
      <c r="B389" s="9" t="s">
        <v>20354</v>
      </c>
      <c r="C389" s="9" t="s">
        <v>20355</v>
      </c>
      <c r="D389" s="9" t="s">
        <v>20356</v>
      </c>
      <c r="E389" s="9" t="s">
        <v>17740</v>
      </c>
      <c r="F389" s="9" t="s">
        <v>17741</v>
      </c>
      <c r="G389" s="9" t="s">
        <v>17740</v>
      </c>
      <c r="H389" s="11" t="s">
        <v>20357</v>
      </c>
      <c r="I389" s="11" t="s">
        <v>20358</v>
      </c>
      <c r="J389" s="11" t="s">
        <v>20358</v>
      </c>
      <c r="K389" s="9" t="s">
        <v>948</v>
      </c>
      <c r="L389" s="9" t="s">
        <v>20359</v>
      </c>
      <c r="M389" s="9" t="s">
        <v>20360</v>
      </c>
      <c r="N389" s="9" t="s">
        <v>18042</v>
      </c>
      <c r="O389" s="9" t="s">
        <v>17977</v>
      </c>
      <c r="P389" s="9" t="s">
        <v>17748</v>
      </c>
      <c r="Q389" s="11" t="s">
        <v>20361</v>
      </c>
      <c r="R389" s="11" t="s">
        <v>20361</v>
      </c>
      <c r="S389" s="11" t="s">
        <v>17750</v>
      </c>
    </row>
    <row r="390" spans="1:19" x14ac:dyDescent="0.2">
      <c r="A390" s="11" t="s">
        <v>20362</v>
      </c>
      <c r="B390" s="9" t="s">
        <v>20363</v>
      </c>
      <c r="C390" s="9" t="s">
        <v>20364</v>
      </c>
      <c r="D390" s="9" t="s">
        <v>20365</v>
      </c>
      <c r="E390" s="9" t="s">
        <v>17740</v>
      </c>
      <c r="F390" s="9" t="s">
        <v>20366</v>
      </c>
      <c r="G390" s="9" t="s">
        <v>17740</v>
      </c>
      <c r="H390" s="11" t="s">
        <v>84</v>
      </c>
      <c r="I390" s="11" t="s">
        <v>83</v>
      </c>
      <c r="J390" s="11" t="s">
        <v>83</v>
      </c>
      <c r="K390" s="9" t="s">
        <v>91</v>
      </c>
      <c r="L390" s="9" t="s">
        <v>20359</v>
      </c>
      <c r="M390" s="9" t="s">
        <v>20344</v>
      </c>
      <c r="N390" s="9" t="s">
        <v>18042</v>
      </c>
      <c r="O390" s="9" t="s">
        <v>20367</v>
      </c>
      <c r="P390" s="9" t="s">
        <v>17748</v>
      </c>
      <c r="Q390" s="11" t="s">
        <v>17883</v>
      </c>
      <c r="R390" s="11" t="s">
        <v>17883</v>
      </c>
      <c r="S390" s="11" t="s">
        <v>17750</v>
      </c>
    </row>
    <row r="391" spans="1:19" x14ac:dyDescent="0.2">
      <c r="A391" s="11" t="s">
        <v>20368</v>
      </c>
      <c r="B391" s="9" t="s">
        <v>20369</v>
      </c>
      <c r="C391" s="9" t="s">
        <v>20370</v>
      </c>
      <c r="D391" s="9" t="s">
        <v>20371</v>
      </c>
      <c r="E391" s="9" t="s">
        <v>17740</v>
      </c>
      <c r="F391" s="9" t="s">
        <v>20372</v>
      </c>
      <c r="G391" s="9" t="s">
        <v>17740</v>
      </c>
      <c r="H391" s="11" t="s">
        <v>20373</v>
      </c>
      <c r="I391" s="11" t="s">
        <v>20374</v>
      </c>
      <c r="J391" s="11" t="s">
        <v>20374</v>
      </c>
      <c r="K391" s="9" t="s">
        <v>91</v>
      </c>
      <c r="L391" s="9" t="s">
        <v>20359</v>
      </c>
      <c r="M391" s="9" t="s">
        <v>17769</v>
      </c>
      <c r="N391" s="9" t="s">
        <v>18042</v>
      </c>
      <c r="O391" s="9" t="s">
        <v>18035</v>
      </c>
      <c r="P391" s="9" t="s">
        <v>17748</v>
      </c>
      <c r="Q391" s="11" t="s">
        <v>17978</v>
      </c>
      <c r="R391" s="11" t="s">
        <v>17978</v>
      </c>
      <c r="S391" s="11" t="s">
        <v>17750</v>
      </c>
    </row>
    <row r="392" spans="1:19" x14ac:dyDescent="0.2">
      <c r="A392" s="11" t="s">
        <v>20375</v>
      </c>
      <c r="B392" s="9" t="s">
        <v>20376</v>
      </c>
      <c r="C392" s="9" t="s">
        <v>20377</v>
      </c>
      <c r="D392" s="9" t="s">
        <v>20378</v>
      </c>
      <c r="E392" s="9" t="s">
        <v>17740</v>
      </c>
      <c r="F392" s="9" t="s">
        <v>20379</v>
      </c>
      <c r="G392" s="9" t="s">
        <v>17740</v>
      </c>
      <c r="H392" s="11" t="s">
        <v>17741</v>
      </c>
      <c r="I392" s="11" t="s">
        <v>186</v>
      </c>
      <c r="J392" s="11" t="s">
        <v>186</v>
      </c>
      <c r="K392" s="9" t="s">
        <v>20380</v>
      </c>
      <c r="L392" s="9" t="s">
        <v>20359</v>
      </c>
      <c r="M392" s="9" t="s">
        <v>18289</v>
      </c>
      <c r="N392" s="9" t="s">
        <v>18042</v>
      </c>
      <c r="O392" s="9" t="s">
        <v>18131</v>
      </c>
      <c r="P392" s="9" t="s">
        <v>17748</v>
      </c>
      <c r="Q392" s="11" t="s">
        <v>18600</v>
      </c>
      <c r="R392" s="11" t="s">
        <v>18600</v>
      </c>
      <c r="S392" s="11" t="s">
        <v>17750</v>
      </c>
    </row>
    <row r="393" spans="1:19" x14ac:dyDescent="0.2">
      <c r="A393" s="11" t="s">
        <v>20381</v>
      </c>
      <c r="B393" s="9" t="s">
        <v>20382</v>
      </c>
      <c r="C393" s="9" t="s">
        <v>20383</v>
      </c>
      <c r="D393" s="9" t="s">
        <v>20384</v>
      </c>
      <c r="E393" s="9" t="s">
        <v>17740</v>
      </c>
      <c r="F393" s="9" t="s">
        <v>20385</v>
      </c>
      <c r="G393" s="9" t="s">
        <v>17740</v>
      </c>
      <c r="H393" s="11" t="s">
        <v>17741</v>
      </c>
      <c r="I393" s="11" t="s">
        <v>519</v>
      </c>
      <c r="J393" s="11" t="s">
        <v>519</v>
      </c>
      <c r="K393" s="9" t="s">
        <v>20386</v>
      </c>
      <c r="L393" s="9" t="s">
        <v>20359</v>
      </c>
      <c r="M393" s="9" t="s">
        <v>20387</v>
      </c>
      <c r="N393" s="9" t="s">
        <v>18042</v>
      </c>
      <c r="O393" s="9" t="s">
        <v>19521</v>
      </c>
      <c r="P393" s="9" t="s">
        <v>17748</v>
      </c>
      <c r="Q393" s="11" t="s">
        <v>18433</v>
      </c>
      <c r="R393" s="11" t="s">
        <v>18433</v>
      </c>
      <c r="S393" s="11" t="s">
        <v>17750</v>
      </c>
    </row>
    <row r="394" spans="1:19" x14ac:dyDescent="0.2">
      <c r="A394" s="11" t="s">
        <v>20388</v>
      </c>
      <c r="B394" s="9" t="s">
        <v>20389</v>
      </c>
      <c r="C394" s="9" t="s">
        <v>20390</v>
      </c>
      <c r="D394" s="9" t="s">
        <v>20391</v>
      </c>
      <c r="E394" s="9" t="s">
        <v>17740</v>
      </c>
      <c r="F394" s="9" t="s">
        <v>17741</v>
      </c>
      <c r="G394" s="9" t="s">
        <v>17740</v>
      </c>
      <c r="H394" s="11" t="s">
        <v>17741</v>
      </c>
      <c r="I394" s="11" t="s">
        <v>486</v>
      </c>
      <c r="J394" s="11" t="s">
        <v>486</v>
      </c>
      <c r="K394" s="9" t="s">
        <v>20380</v>
      </c>
      <c r="L394" s="9" t="s">
        <v>20359</v>
      </c>
      <c r="M394" s="9" t="s">
        <v>17769</v>
      </c>
      <c r="N394" s="9" t="s">
        <v>18042</v>
      </c>
      <c r="O394" s="9" t="s">
        <v>1535</v>
      </c>
      <c r="P394" s="9" t="s">
        <v>17748</v>
      </c>
      <c r="Q394" s="11" t="s">
        <v>18348</v>
      </c>
      <c r="R394" s="11" t="s">
        <v>18348</v>
      </c>
      <c r="S394" s="11" t="s">
        <v>17750</v>
      </c>
    </row>
    <row r="395" spans="1:19" x14ac:dyDescent="0.2">
      <c r="A395" s="11" t="s">
        <v>20392</v>
      </c>
      <c r="B395" s="9" t="s">
        <v>20393</v>
      </c>
      <c r="C395" s="9" t="s">
        <v>20394</v>
      </c>
      <c r="D395" s="9" t="s">
        <v>20395</v>
      </c>
      <c r="E395" s="9" t="s">
        <v>17740</v>
      </c>
      <c r="F395" s="9" t="s">
        <v>20396</v>
      </c>
      <c r="G395" s="9" t="s">
        <v>17740</v>
      </c>
      <c r="H395" s="11" t="s">
        <v>205</v>
      </c>
      <c r="I395" s="11" t="s">
        <v>204</v>
      </c>
      <c r="J395" s="11" t="s">
        <v>204</v>
      </c>
      <c r="K395" s="9" t="s">
        <v>91</v>
      </c>
      <c r="L395" s="9" t="s">
        <v>20359</v>
      </c>
      <c r="M395" s="9" t="s">
        <v>20397</v>
      </c>
      <c r="N395" s="9" t="s">
        <v>17746</v>
      </c>
      <c r="O395" s="9" t="s">
        <v>20083</v>
      </c>
      <c r="P395" s="9" t="s">
        <v>17748</v>
      </c>
      <c r="Q395" s="11" t="s">
        <v>19515</v>
      </c>
      <c r="R395" s="11" t="s">
        <v>19515</v>
      </c>
      <c r="S395" s="11" t="s">
        <v>17750</v>
      </c>
    </row>
    <row r="396" spans="1:19" x14ac:dyDescent="0.2">
      <c r="A396" s="11" t="s">
        <v>20398</v>
      </c>
      <c r="B396" s="9" t="s">
        <v>20399</v>
      </c>
      <c r="C396" s="9" t="s">
        <v>20400</v>
      </c>
      <c r="D396" s="9" t="s">
        <v>20401</v>
      </c>
      <c r="E396" s="9" t="s">
        <v>17740</v>
      </c>
      <c r="F396" s="9" t="s">
        <v>20402</v>
      </c>
      <c r="G396" s="9" t="s">
        <v>17740</v>
      </c>
      <c r="H396" s="11" t="s">
        <v>17741</v>
      </c>
      <c r="I396" s="11" t="s">
        <v>572</v>
      </c>
      <c r="J396" s="11" t="s">
        <v>572</v>
      </c>
      <c r="K396" s="9" t="s">
        <v>20403</v>
      </c>
      <c r="L396" s="9" t="s">
        <v>20359</v>
      </c>
      <c r="M396" s="9" t="s">
        <v>18065</v>
      </c>
      <c r="N396" s="9" t="s">
        <v>18042</v>
      </c>
      <c r="O396" s="9" t="s">
        <v>20404</v>
      </c>
      <c r="P396" s="9" t="s">
        <v>17748</v>
      </c>
      <c r="Q396" s="11" t="s">
        <v>20361</v>
      </c>
      <c r="R396" s="11" t="s">
        <v>20361</v>
      </c>
      <c r="S396" s="11" t="s">
        <v>17750</v>
      </c>
    </row>
    <row r="397" spans="1:19" x14ac:dyDescent="0.2">
      <c r="A397" s="11" t="s">
        <v>20405</v>
      </c>
      <c r="B397" s="9" t="s">
        <v>20406</v>
      </c>
      <c r="C397" s="9" t="s">
        <v>20407</v>
      </c>
      <c r="D397" s="9" t="s">
        <v>20408</v>
      </c>
      <c r="E397" s="9" t="s">
        <v>17740</v>
      </c>
      <c r="F397" s="9" t="s">
        <v>17741</v>
      </c>
      <c r="G397" s="9" t="s">
        <v>17740</v>
      </c>
      <c r="H397" s="11" t="s">
        <v>17741</v>
      </c>
      <c r="I397" s="11" t="s">
        <v>20409</v>
      </c>
      <c r="J397" s="11" t="s">
        <v>20409</v>
      </c>
      <c r="K397" s="9" t="s">
        <v>20410</v>
      </c>
      <c r="L397" s="9" t="s">
        <v>17967</v>
      </c>
      <c r="M397" s="9" t="s">
        <v>18745</v>
      </c>
      <c r="N397" s="9" t="s">
        <v>18492</v>
      </c>
      <c r="O397" s="9" t="s">
        <v>17993</v>
      </c>
      <c r="P397" s="9" t="s">
        <v>17748</v>
      </c>
      <c r="Q397" s="11" t="s">
        <v>18010</v>
      </c>
      <c r="R397" s="11" t="s">
        <v>18010</v>
      </c>
      <c r="S397" s="11" t="s">
        <v>17750</v>
      </c>
    </row>
    <row r="398" spans="1:19" x14ac:dyDescent="0.2">
      <c r="A398" s="11" t="s">
        <v>20411</v>
      </c>
      <c r="B398" s="9" t="s">
        <v>20412</v>
      </c>
      <c r="C398" s="9" t="s">
        <v>20413</v>
      </c>
      <c r="D398" s="9" t="s">
        <v>20414</v>
      </c>
      <c r="E398" s="9" t="s">
        <v>17740</v>
      </c>
      <c r="F398" s="9" t="s">
        <v>20415</v>
      </c>
      <c r="G398" s="9" t="s">
        <v>17740</v>
      </c>
      <c r="H398" s="11" t="s">
        <v>17741</v>
      </c>
      <c r="I398" s="11" t="s">
        <v>20416</v>
      </c>
      <c r="J398" s="11" t="s">
        <v>20416</v>
      </c>
      <c r="K398" s="9" t="s">
        <v>20417</v>
      </c>
      <c r="L398" s="9" t="s">
        <v>17991</v>
      </c>
      <c r="M398" s="9" t="s">
        <v>17760</v>
      </c>
      <c r="N398" s="9" t="s">
        <v>17746</v>
      </c>
      <c r="O398" s="9" t="s">
        <v>3524</v>
      </c>
      <c r="P398" s="9" t="s">
        <v>17748</v>
      </c>
      <c r="Q398" s="11" t="s">
        <v>18072</v>
      </c>
      <c r="R398" s="11" t="s">
        <v>18072</v>
      </c>
      <c r="S398" s="11" t="s">
        <v>17750</v>
      </c>
    </row>
    <row r="399" spans="1:19" x14ac:dyDescent="0.2">
      <c r="A399" s="11" t="s">
        <v>20418</v>
      </c>
      <c r="B399" s="9" t="s">
        <v>20419</v>
      </c>
      <c r="C399" s="9" t="s">
        <v>20420</v>
      </c>
      <c r="D399" s="9" t="s">
        <v>20421</v>
      </c>
      <c r="E399" s="9" t="s">
        <v>17740</v>
      </c>
      <c r="F399" s="9" t="s">
        <v>20422</v>
      </c>
      <c r="G399" s="9" t="s">
        <v>17740</v>
      </c>
      <c r="H399" s="11" t="s">
        <v>17741</v>
      </c>
      <c r="I399" s="11" t="s">
        <v>20423</v>
      </c>
      <c r="J399" s="11" t="s">
        <v>20423</v>
      </c>
      <c r="K399" s="9" t="s">
        <v>1185</v>
      </c>
      <c r="L399" s="9" t="s">
        <v>17991</v>
      </c>
      <c r="M399" s="9" t="s">
        <v>17769</v>
      </c>
      <c r="N399" s="9" t="s">
        <v>20424</v>
      </c>
      <c r="O399" s="9" t="s">
        <v>20425</v>
      </c>
      <c r="P399" s="9" t="s">
        <v>17748</v>
      </c>
      <c r="Q399" s="11" t="s">
        <v>17819</v>
      </c>
      <c r="R399" s="11" t="s">
        <v>17819</v>
      </c>
      <c r="S399" s="11" t="s">
        <v>17750</v>
      </c>
    </row>
    <row r="400" spans="1:19" x14ac:dyDescent="0.2">
      <c r="A400" s="11" t="s">
        <v>20426</v>
      </c>
      <c r="B400" s="9" t="s">
        <v>20427</v>
      </c>
      <c r="C400" s="9" t="s">
        <v>20428</v>
      </c>
      <c r="D400" s="9" t="s">
        <v>20429</v>
      </c>
      <c r="E400" s="9" t="s">
        <v>17740</v>
      </c>
      <c r="F400" s="9" t="s">
        <v>17741</v>
      </c>
      <c r="G400" s="9" t="s">
        <v>17740</v>
      </c>
      <c r="H400" s="11" t="s">
        <v>20430</v>
      </c>
      <c r="I400" s="11" t="s">
        <v>20431</v>
      </c>
      <c r="J400" s="11" t="s">
        <v>20431</v>
      </c>
      <c r="K400" s="9" t="s">
        <v>20432</v>
      </c>
      <c r="L400" s="9" t="s">
        <v>17991</v>
      </c>
      <c r="M400" s="9" t="s">
        <v>18065</v>
      </c>
      <c r="N400" s="9" t="s">
        <v>20424</v>
      </c>
      <c r="O400" s="9" t="s">
        <v>18035</v>
      </c>
      <c r="P400" s="9" t="s">
        <v>17748</v>
      </c>
      <c r="Q400" s="11" t="s">
        <v>20433</v>
      </c>
      <c r="R400" s="11" t="s">
        <v>20433</v>
      </c>
      <c r="S400" s="11" t="s">
        <v>17750</v>
      </c>
    </row>
    <row r="401" spans="1:19" x14ac:dyDescent="0.2">
      <c r="A401" s="11" t="s">
        <v>20434</v>
      </c>
      <c r="B401" s="9" t="s">
        <v>20435</v>
      </c>
      <c r="C401" s="9" t="s">
        <v>20436</v>
      </c>
      <c r="D401" s="9" t="s">
        <v>20437</v>
      </c>
      <c r="E401" s="9" t="s">
        <v>17748</v>
      </c>
      <c r="F401" s="9" t="s">
        <v>20438</v>
      </c>
      <c r="G401" s="9" t="s">
        <v>17740</v>
      </c>
      <c r="H401" s="11" t="s">
        <v>17741</v>
      </c>
      <c r="I401" s="11" t="s">
        <v>20439</v>
      </c>
      <c r="J401" s="11" t="s">
        <v>20439</v>
      </c>
      <c r="K401" s="9" t="s">
        <v>20440</v>
      </c>
      <c r="L401" s="9" t="s">
        <v>17759</v>
      </c>
      <c r="M401" s="9" t="s">
        <v>18745</v>
      </c>
      <c r="N401" s="9" t="s">
        <v>17746</v>
      </c>
      <c r="O401" s="9" t="s">
        <v>20441</v>
      </c>
      <c r="P401" s="9" t="s">
        <v>17748</v>
      </c>
      <c r="Q401" s="11" t="s">
        <v>18370</v>
      </c>
      <c r="R401" s="11" t="s">
        <v>18370</v>
      </c>
      <c r="S401" s="11" t="s">
        <v>17750</v>
      </c>
    </row>
    <row r="402" spans="1:19" x14ac:dyDescent="0.2">
      <c r="A402" s="11" t="s">
        <v>20442</v>
      </c>
      <c r="B402" s="9" t="s">
        <v>20443</v>
      </c>
      <c r="C402" s="9" t="s">
        <v>20444</v>
      </c>
      <c r="D402" s="9" t="s">
        <v>20445</v>
      </c>
      <c r="E402" s="9" t="s">
        <v>17740</v>
      </c>
      <c r="F402" s="9" t="s">
        <v>17741</v>
      </c>
      <c r="G402" s="9" t="s">
        <v>17740</v>
      </c>
      <c r="H402" s="11" t="s">
        <v>10633</v>
      </c>
      <c r="I402" s="11" t="s">
        <v>10632</v>
      </c>
      <c r="J402" s="11" t="s">
        <v>10633</v>
      </c>
      <c r="K402" s="9" t="s">
        <v>19057</v>
      </c>
      <c r="L402" s="9" t="s">
        <v>20446</v>
      </c>
      <c r="M402" s="9" t="s">
        <v>20447</v>
      </c>
      <c r="N402" s="9" t="s">
        <v>17746</v>
      </c>
      <c r="O402" s="9" t="s">
        <v>17993</v>
      </c>
      <c r="P402" s="9" t="s">
        <v>17748</v>
      </c>
      <c r="Q402" s="11" t="s">
        <v>20448</v>
      </c>
      <c r="R402" s="11" t="s">
        <v>20448</v>
      </c>
      <c r="S402" s="11" t="s">
        <v>17750</v>
      </c>
    </row>
    <row r="403" spans="1:19" x14ac:dyDescent="0.2">
      <c r="A403" s="11" t="s">
        <v>20449</v>
      </c>
      <c r="B403" s="9" t="s">
        <v>20450</v>
      </c>
      <c r="C403" s="9" t="s">
        <v>20451</v>
      </c>
      <c r="D403" s="9" t="s">
        <v>20452</v>
      </c>
      <c r="E403" s="9" t="s">
        <v>17740</v>
      </c>
      <c r="F403" s="9" t="s">
        <v>17741</v>
      </c>
      <c r="G403" s="9" t="s">
        <v>17740</v>
      </c>
      <c r="H403" s="11" t="s">
        <v>7665</v>
      </c>
      <c r="I403" s="11" t="s">
        <v>7664</v>
      </c>
      <c r="J403" s="11" t="s">
        <v>7664</v>
      </c>
      <c r="K403" s="9" t="s">
        <v>7666</v>
      </c>
      <c r="L403" s="9" t="s">
        <v>17967</v>
      </c>
      <c r="M403" s="9" t="s">
        <v>18051</v>
      </c>
      <c r="N403" s="9" t="s">
        <v>17746</v>
      </c>
      <c r="O403" s="9" t="s">
        <v>20453</v>
      </c>
      <c r="P403" s="9" t="s">
        <v>17748</v>
      </c>
      <c r="Q403" s="11" t="s">
        <v>17808</v>
      </c>
      <c r="R403" s="11" t="s">
        <v>17808</v>
      </c>
      <c r="S403" s="11" t="s">
        <v>17750</v>
      </c>
    </row>
    <row r="404" spans="1:19" x14ac:dyDescent="0.2">
      <c r="A404" s="11" t="s">
        <v>20454</v>
      </c>
      <c r="B404" s="9" t="s">
        <v>20455</v>
      </c>
      <c r="C404" s="9" t="s">
        <v>20456</v>
      </c>
      <c r="D404" s="9" t="s">
        <v>20457</v>
      </c>
      <c r="E404" s="9" t="s">
        <v>17748</v>
      </c>
      <c r="F404" s="9" t="s">
        <v>20458</v>
      </c>
      <c r="G404" s="9" t="s">
        <v>17740</v>
      </c>
      <c r="H404" s="11" t="s">
        <v>6639</v>
      </c>
      <c r="I404" s="11" t="s">
        <v>6638</v>
      </c>
      <c r="J404" s="11" t="s">
        <v>6638</v>
      </c>
      <c r="K404" s="9" t="s">
        <v>20459</v>
      </c>
      <c r="L404" s="9" t="s">
        <v>17759</v>
      </c>
      <c r="M404" s="9" t="s">
        <v>17817</v>
      </c>
      <c r="N404" s="9" t="s">
        <v>17746</v>
      </c>
      <c r="O404" s="9" t="s">
        <v>19342</v>
      </c>
      <c r="P404" s="9" t="s">
        <v>17748</v>
      </c>
      <c r="Q404" s="11" t="s">
        <v>19361</v>
      </c>
      <c r="R404" s="11" t="s">
        <v>19361</v>
      </c>
      <c r="S404" s="11" t="s">
        <v>17750</v>
      </c>
    </row>
    <row r="405" spans="1:19" x14ac:dyDescent="0.2">
      <c r="A405" s="11" t="s">
        <v>20460</v>
      </c>
      <c r="B405" s="9" t="s">
        <v>20461</v>
      </c>
      <c r="C405" s="9" t="s">
        <v>20462</v>
      </c>
      <c r="D405" s="9" t="s">
        <v>20463</v>
      </c>
      <c r="E405" s="9" t="s">
        <v>17748</v>
      </c>
      <c r="F405" s="9" t="s">
        <v>20464</v>
      </c>
      <c r="G405" s="9" t="s">
        <v>17740</v>
      </c>
      <c r="H405" s="11" t="s">
        <v>5871</v>
      </c>
      <c r="I405" s="11" t="s">
        <v>5870</v>
      </c>
      <c r="J405" s="11" t="s">
        <v>5870</v>
      </c>
      <c r="K405" s="9" t="s">
        <v>20465</v>
      </c>
      <c r="L405" s="9" t="s">
        <v>18158</v>
      </c>
      <c r="M405" s="9" t="s">
        <v>18065</v>
      </c>
      <c r="N405" s="9" t="s">
        <v>17746</v>
      </c>
      <c r="O405" s="9" t="s">
        <v>20208</v>
      </c>
      <c r="P405" s="9" t="s">
        <v>17748</v>
      </c>
      <c r="Q405" s="11" t="s">
        <v>18147</v>
      </c>
      <c r="R405" s="11" t="s">
        <v>18147</v>
      </c>
      <c r="S405" s="11" t="s">
        <v>17750</v>
      </c>
    </row>
    <row r="406" spans="1:19" x14ac:dyDescent="0.2">
      <c r="A406" s="11" t="s">
        <v>20466</v>
      </c>
      <c r="B406" s="9" t="s">
        <v>20467</v>
      </c>
      <c r="C406" s="9" t="s">
        <v>20468</v>
      </c>
      <c r="D406" s="9" t="s">
        <v>20469</v>
      </c>
      <c r="E406" s="9" t="s">
        <v>17740</v>
      </c>
      <c r="F406" s="9" t="s">
        <v>20470</v>
      </c>
      <c r="G406" s="9" t="s">
        <v>17740</v>
      </c>
      <c r="H406" s="11" t="s">
        <v>20471</v>
      </c>
      <c r="I406" s="11" t="s">
        <v>20472</v>
      </c>
      <c r="J406" s="11" t="s">
        <v>20472</v>
      </c>
      <c r="K406" s="9" t="s">
        <v>20473</v>
      </c>
      <c r="L406" s="9" t="s">
        <v>17759</v>
      </c>
      <c r="M406" s="9" t="s">
        <v>18065</v>
      </c>
      <c r="N406" s="9" t="s">
        <v>17746</v>
      </c>
      <c r="O406" s="9" t="s">
        <v>19095</v>
      </c>
      <c r="P406" s="9" t="s">
        <v>17748</v>
      </c>
      <c r="Q406" s="11" t="s">
        <v>18960</v>
      </c>
      <c r="R406" s="11" t="s">
        <v>18960</v>
      </c>
      <c r="S406" s="11" t="s">
        <v>17750</v>
      </c>
    </row>
    <row r="407" spans="1:19" x14ac:dyDescent="0.2">
      <c r="A407" s="11" t="s">
        <v>20474</v>
      </c>
      <c r="B407" s="9" t="s">
        <v>20475</v>
      </c>
      <c r="C407" s="9" t="s">
        <v>20476</v>
      </c>
      <c r="D407" s="9" t="s">
        <v>20477</v>
      </c>
      <c r="E407" s="9" t="s">
        <v>17740</v>
      </c>
      <c r="F407" s="9" t="s">
        <v>20478</v>
      </c>
      <c r="G407" s="9" t="s">
        <v>17740</v>
      </c>
      <c r="H407" s="11" t="s">
        <v>8036</v>
      </c>
      <c r="I407" s="11" t="s">
        <v>8035</v>
      </c>
      <c r="J407" s="11" t="s">
        <v>8035</v>
      </c>
      <c r="K407" s="9" t="s">
        <v>19161</v>
      </c>
      <c r="L407" s="9" t="s">
        <v>17759</v>
      </c>
      <c r="M407" s="9" t="s">
        <v>20397</v>
      </c>
      <c r="N407" s="9" t="s">
        <v>17746</v>
      </c>
      <c r="O407" s="9" t="s">
        <v>793</v>
      </c>
      <c r="P407" s="9" t="s">
        <v>17748</v>
      </c>
      <c r="Q407" s="11" t="s">
        <v>19082</v>
      </c>
      <c r="R407" s="11" t="s">
        <v>19082</v>
      </c>
      <c r="S407" s="11" t="s">
        <v>17750</v>
      </c>
    </row>
    <row r="408" spans="1:19" x14ac:dyDescent="0.2">
      <c r="A408" s="11" t="s">
        <v>20479</v>
      </c>
      <c r="B408" s="9" t="s">
        <v>20480</v>
      </c>
      <c r="C408" s="9" t="s">
        <v>20481</v>
      </c>
      <c r="D408" s="9" t="s">
        <v>20482</v>
      </c>
      <c r="E408" s="9" t="s">
        <v>17740</v>
      </c>
      <c r="F408" s="9" t="s">
        <v>17741</v>
      </c>
      <c r="G408" s="9" t="s">
        <v>17740</v>
      </c>
      <c r="H408" s="11" t="s">
        <v>20483</v>
      </c>
      <c r="I408" s="11" t="s">
        <v>20484</v>
      </c>
      <c r="J408" s="11" t="s">
        <v>20484</v>
      </c>
      <c r="K408" s="9" t="s">
        <v>55</v>
      </c>
      <c r="L408" s="9" t="s">
        <v>17744</v>
      </c>
      <c r="M408" s="9" t="s">
        <v>17817</v>
      </c>
      <c r="N408" s="9" t="s">
        <v>17746</v>
      </c>
      <c r="O408" s="9" t="s">
        <v>19470</v>
      </c>
      <c r="P408" s="9" t="s">
        <v>17748</v>
      </c>
      <c r="Q408" s="11" t="s">
        <v>19882</v>
      </c>
      <c r="R408" s="11" t="s">
        <v>19882</v>
      </c>
      <c r="S408" s="11" t="s">
        <v>17750</v>
      </c>
    </row>
    <row r="409" spans="1:19" x14ac:dyDescent="0.2">
      <c r="A409" s="11" t="s">
        <v>20485</v>
      </c>
      <c r="B409" s="9" t="s">
        <v>20486</v>
      </c>
      <c r="C409" s="9" t="s">
        <v>20487</v>
      </c>
      <c r="D409" s="9" t="s">
        <v>20488</v>
      </c>
      <c r="E409" s="9" t="s">
        <v>17740</v>
      </c>
      <c r="F409" s="9" t="s">
        <v>17741</v>
      </c>
      <c r="G409" s="9" t="s">
        <v>17740</v>
      </c>
      <c r="H409" s="11" t="s">
        <v>12930</v>
      </c>
      <c r="I409" s="11" t="s">
        <v>12929</v>
      </c>
      <c r="J409" s="11" t="s">
        <v>12929</v>
      </c>
      <c r="K409" s="9" t="s">
        <v>20489</v>
      </c>
      <c r="L409" s="9" t="s">
        <v>20446</v>
      </c>
      <c r="M409" s="9" t="s">
        <v>20490</v>
      </c>
      <c r="N409" s="9" t="s">
        <v>17746</v>
      </c>
      <c r="O409" s="9" t="s">
        <v>20491</v>
      </c>
      <c r="P409" s="9" t="s">
        <v>17748</v>
      </c>
      <c r="Q409" s="11" t="s">
        <v>18798</v>
      </c>
      <c r="R409" s="11" t="s">
        <v>18798</v>
      </c>
      <c r="S409" s="11" t="s">
        <v>17750</v>
      </c>
    </row>
    <row r="410" spans="1:19" x14ac:dyDescent="0.2">
      <c r="A410" s="11" t="s">
        <v>20492</v>
      </c>
      <c r="B410" s="9" t="s">
        <v>20493</v>
      </c>
      <c r="C410" s="9" t="s">
        <v>20494</v>
      </c>
      <c r="D410" s="9" t="s">
        <v>20495</v>
      </c>
      <c r="E410" s="9" t="s">
        <v>17740</v>
      </c>
      <c r="F410" s="9" t="s">
        <v>20496</v>
      </c>
      <c r="G410" s="9" t="s">
        <v>17740</v>
      </c>
      <c r="H410" s="11" t="s">
        <v>124</v>
      </c>
      <c r="I410" s="11" t="s">
        <v>123</v>
      </c>
      <c r="J410" s="11" t="s">
        <v>123</v>
      </c>
      <c r="K410" s="9" t="s">
        <v>20497</v>
      </c>
      <c r="L410" s="9" t="s">
        <v>17759</v>
      </c>
      <c r="M410" s="9" t="s">
        <v>18109</v>
      </c>
      <c r="N410" s="9" t="s">
        <v>17746</v>
      </c>
      <c r="O410" s="9" t="s">
        <v>20498</v>
      </c>
      <c r="P410" s="9" t="s">
        <v>17748</v>
      </c>
      <c r="Q410" s="11" t="s">
        <v>18243</v>
      </c>
      <c r="R410" s="11" t="s">
        <v>18243</v>
      </c>
      <c r="S410" s="11" t="s">
        <v>17750</v>
      </c>
    </row>
    <row r="411" spans="1:19" x14ac:dyDescent="0.2">
      <c r="A411" s="11" t="s">
        <v>20499</v>
      </c>
      <c r="B411" s="9" t="s">
        <v>20500</v>
      </c>
      <c r="C411" s="9" t="s">
        <v>20501</v>
      </c>
      <c r="D411" s="9" t="s">
        <v>20502</v>
      </c>
      <c r="E411" s="9" t="s">
        <v>17740</v>
      </c>
      <c r="F411" s="9" t="s">
        <v>20503</v>
      </c>
      <c r="G411" s="9" t="s">
        <v>17740</v>
      </c>
      <c r="H411" s="11" t="s">
        <v>96</v>
      </c>
      <c r="I411" s="11" t="s">
        <v>95</v>
      </c>
      <c r="J411" s="11" t="s">
        <v>95</v>
      </c>
      <c r="K411" s="9" t="s">
        <v>18520</v>
      </c>
      <c r="L411" s="9" t="s">
        <v>17744</v>
      </c>
      <c r="M411" s="9" t="s">
        <v>17769</v>
      </c>
      <c r="N411" s="9" t="s">
        <v>17746</v>
      </c>
      <c r="O411" s="9" t="s">
        <v>773</v>
      </c>
      <c r="P411" s="9" t="s">
        <v>17748</v>
      </c>
      <c r="Q411" s="11" t="s">
        <v>17867</v>
      </c>
      <c r="R411" s="11" t="s">
        <v>17867</v>
      </c>
      <c r="S411" s="11" t="s">
        <v>17750</v>
      </c>
    </row>
    <row r="412" spans="1:19" x14ac:dyDescent="0.2">
      <c r="A412" s="11" t="s">
        <v>20504</v>
      </c>
      <c r="B412" s="9" t="s">
        <v>20505</v>
      </c>
      <c r="C412" s="9" t="s">
        <v>20506</v>
      </c>
      <c r="D412" s="9" t="s">
        <v>20507</v>
      </c>
      <c r="E412" s="9" t="s">
        <v>17740</v>
      </c>
      <c r="F412" s="9" t="s">
        <v>17741</v>
      </c>
      <c r="G412" s="9" t="s">
        <v>17740</v>
      </c>
      <c r="H412" s="11" t="s">
        <v>9765</v>
      </c>
      <c r="I412" s="11" t="s">
        <v>17741</v>
      </c>
      <c r="J412" s="11" t="s">
        <v>9765</v>
      </c>
      <c r="K412" s="9" t="s">
        <v>18570</v>
      </c>
      <c r="L412" s="9" t="s">
        <v>17744</v>
      </c>
      <c r="M412" s="9" t="s">
        <v>17741</v>
      </c>
      <c r="N412" s="9" t="s">
        <v>17746</v>
      </c>
      <c r="O412" s="9" t="s">
        <v>20508</v>
      </c>
      <c r="P412" s="9" t="s">
        <v>17748</v>
      </c>
      <c r="Q412" s="11" t="s">
        <v>18856</v>
      </c>
      <c r="R412" s="11" t="s">
        <v>18856</v>
      </c>
      <c r="S412" s="11" t="s">
        <v>17750</v>
      </c>
    </row>
    <row r="413" spans="1:19" x14ac:dyDescent="0.2">
      <c r="A413" s="11" t="s">
        <v>20509</v>
      </c>
      <c r="B413" s="9" t="s">
        <v>20510</v>
      </c>
      <c r="C413" s="9" t="s">
        <v>20511</v>
      </c>
      <c r="D413" s="9" t="s">
        <v>20512</v>
      </c>
      <c r="E413" s="9" t="s">
        <v>17740</v>
      </c>
      <c r="F413" s="9" t="s">
        <v>17741</v>
      </c>
      <c r="G413" s="9" t="s">
        <v>17740</v>
      </c>
      <c r="H413" s="11" t="s">
        <v>4924</v>
      </c>
      <c r="I413" s="11" t="s">
        <v>4923</v>
      </c>
      <c r="J413" s="11" t="s">
        <v>4923</v>
      </c>
      <c r="K413" s="9" t="s">
        <v>20513</v>
      </c>
      <c r="L413" s="9" t="s">
        <v>17759</v>
      </c>
      <c r="M413" s="9" t="s">
        <v>17760</v>
      </c>
      <c r="N413" s="9" t="s">
        <v>17746</v>
      </c>
      <c r="O413" s="9" t="s">
        <v>17834</v>
      </c>
      <c r="P413" s="9" t="s">
        <v>17748</v>
      </c>
      <c r="Q413" s="11" t="s">
        <v>17819</v>
      </c>
      <c r="R413" s="11" t="s">
        <v>17819</v>
      </c>
      <c r="S413" s="11" t="s">
        <v>17750</v>
      </c>
    </row>
    <row r="414" spans="1:19" x14ac:dyDescent="0.2">
      <c r="A414" s="11" t="s">
        <v>20514</v>
      </c>
      <c r="B414" s="9" t="s">
        <v>20515</v>
      </c>
      <c r="C414" s="9" t="s">
        <v>20516</v>
      </c>
      <c r="D414" s="9" t="s">
        <v>20517</v>
      </c>
      <c r="E414" s="9" t="s">
        <v>17740</v>
      </c>
      <c r="F414" s="9" t="s">
        <v>17741</v>
      </c>
      <c r="G414" s="9" t="s">
        <v>17740</v>
      </c>
      <c r="H414" s="11" t="s">
        <v>8251</v>
      </c>
      <c r="I414" s="11" t="s">
        <v>8250</v>
      </c>
      <c r="J414" s="11" t="s">
        <v>8250</v>
      </c>
      <c r="K414" s="9" t="s">
        <v>18921</v>
      </c>
      <c r="L414" s="9" t="s">
        <v>17759</v>
      </c>
      <c r="M414" s="9" t="s">
        <v>17769</v>
      </c>
      <c r="N414" s="9" t="s">
        <v>17746</v>
      </c>
      <c r="O414" s="9" t="s">
        <v>19521</v>
      </c>
      <c r="P414" s="9" t="s">
        <v>17748</v>
      </c>
      <c r="Q414" s="11" t="s">
        <v>18272</v>
      </c>
      <c r="R414" s="11" t="s">
        <v>18272</v>
      </c>
      <c r="S414" s="11" t="s">
        <v>17750</v>
      </c>
    </row>
    <row r="415" spans="1:19" x14ac:dyDescent="0.2">
      <c r="A415" s="11" t="s">
        <v>20518</v>
      </c>
      <c r="B415" s="9" t="s">
        <v>20519</v>
      </c>
      <c r="C415" s="9" t="s">
        <v>20520</v>
      </c>
      <c r="D415" s="9" t="s">
        <v>20521</v>
      </c>
      <c r="E415" s="9" t="s">
        <v>17740</v>
      </c>
      <c r="F415" s="9" t="s">
        <v>20522</v>
      </c>
      <c r="G415" s="9" t="s">
        <v>17740</v>
      </c>
      <c r="H415" s="11" t="s">
        <v>20523</v>
      </c>
      <c r="I415" s="11" t="s">
        <v>20524</v>
      </c>
      <c r="J415" s="11" t="s">
        <v>20524</v>
      </c>
      <c r="K415" s="9" t="s">
        <v>20525</v>
      </c>
      <c r="L415" s="9" t="s">
        <v>17759</v>
      </c>
      <c r="M415" s="9" t="s">
        <v>20526</v>
      </c>
      <c r="N415" s="9" t="s">
        <v>17746</v>
      </c>
      <c r="O415" s="9" t="s">
        <v>3100</v>
      </c>
      <c r="P415" s="9" t="s">
        <v>17748</v>
      </c>
      <c r="Q415" s="11" t="s">
        <v>19515</v>
      </c>
      <c r="R415" s="11" t="s">
        <v>19515</v>
      </c>
      <c r="S415" s="11" t="s">
        <v>17750</v>
      </c>
    </row>
    <row r="416" spans="1:19" x14ac:dyDescent="0.2">
      <c r="A416" s="11" t="s">
        <v>20527</v>
      </c>
      <c r="B416" s="9" t="s">
        <v>20528</v>
      </c>
      <c r="C416" s="9" t="s">
        <v>20529</v>
      </c>
      <c r="D416" s="9" t="s">
        <v>20530</v>
      </c>
      <c r="E416" s="9" t="s">
        <v>17740</v>
      </c>
      <c r="F416" s="9" t="s">
        <v>20531</v>
      </c>
      <c r="G416" s="9" t="s">
        <v>17740</v>
      </c>
      <c r="H416" s="11" t="s">
        <v>193</v>
      </c>
      <c r="I416" s="11" t="s">
        <v>192</v>
      </c>
      <c r="J416" s="11" t="s">
        <v>192</v>
      </c>
      <c r="K416" s="9" t="s">
        <v>18951</v>
      </c>
      <c r="L416" s="9" t="s">
        <v>17759</v>
      </c>
      <c r="M416" s="9" t="s">
        <v>17817</v>
      </c>
      <c r="N416" s="9" t="s">
        <v>17746</v>
      </c>
      <c r="O416" s="9" t="s">
        <v>17807</v>
      </c>
      <c r="P416" s="9" t="s">
        <v>17748</v>
      </c>
      <c r="Q416" s="11" t="s">
        <v>19222</v>
      </c>
      <c r="R416" s="11" t="s">
        <v>19222</v>
      </c>
      <c r="S416" s="11" t="s">
        <v>17750</v>
      </c>
    </row>
    <row r="417" spans="1:19" x14ac:dyDescent="0.2">
      <c r="A417" s="11" t="s">
        <v>20532</v>
      </c>
      <c r="B417" s="9" t="s">
        <v>20533</v>
      </c>
      <c r="C417" s="9" t="s">
        <v>20534</v>
      </c>
      <c r="D417" s="9" t="s">
        <v>20535</v>
      </c>
      <c r="E417" s="9" t="s">
        <v>17740</v>
      </c>
      <c r="F417" s="9" t="s">
        <v>17741</v>
      </c>
      <c r="G417" s="9" t="s">
        <v>17740</v>
      </c>
      <c r="H417" s="11" t="s">
        <v>5414</v>
      </c>
      <c r="I417" s="11" t="s">
        <v>5413</v>
      </c>
      <c r="J417" s="11" t="s">
        <v>5413</v>
      </c>
      <c r="K417" s="9" t="s">
        <v>91</v>
      </c>
      <c r="L417" s="9" t="s">
        <v>17759</v>
      </c>
      <c r="M417" s="9" t="s">
        <v>20536</v>
      </c>
      <c r="N417" s="9" t="s">
        <v>17746</v>
      </c>
      <c r="O417" s="9" t="s">
        <v>5136</v>
      </c>
      <c r="P417" s="9" t="s">
        <v>17748</v>
      </c>
      <c r="Q417" s="11" t="s">
        <v>17749</v>
      </c>
      <c r="R417" s="11" t="s">
        <v>17749</v>
      </c>
      <c r="S417" s="11" t="s">
        <v>17750</v>
      </c>
    </row>
    <row r="418" spans="1:19" x14ac:dyDescent="0.2">
      <c r="A418" s="11" t="s">
        <v>20537</v>
      </c>
      <c r="B418" s="9" t="s">
        <v>20538</v>
      </c>
      <c r="C418" s="9" t="s">
        <v>20539</v>
      </c>
      <c r="D418" s="9" t="s">
        <v>20540</v>
      </c>
      <c r="E418" s="9" t="s">
        <v>17740</v>
      </c>
      <c r="F418" s="9" t="s">
        <v>17741</v>
      </c>
      <c r="G418" s="9" t="s">
        <v>17740</v>
      </c>
      <c r="H418" s="11" t="s">
        <v>20541</v>
      </c>
      <c r="I418" s="11" t="s">
        <v>20542</v>
      </c>
      <c r="J418" s="11" t="s">
        <v>20542</v>
      </c>
      <c r="K418" s="9" t="s">
        <v>20543</v>
      </c>
      <c r="L418" s="9" t="s">
        <v>17759</v>
      </c>
      <c r="M418" s="9" t="s">
        <v>17769</v>
      </c>
      <c r="N418" s="9" t="s">
        <v>17746</v>
      </c>
      <c r="O418" s="9" t="s">
        <v>19423</v>
      </c>
      <c r="P418" s="9" t="s">
        <v>17748</v>
      </c>
      <c r="Q418" s="11" t="s">
        <v>17858</v>
      </c>
      <c r="R418" s="11" t="s">
        <v>17858</v>
      </c>
      <c r="S418" s="11" t="s">
        <v>17750</v>
      </c>
    </row>
    <row r="419" spans="1:19" x14ac:dyDescent="0.2">
      <c r="A419" s="11" t="s">
        <v>20544</v>
      </c>
      <c r="B419" s="9" t="s">
        <v>20545</v>
      </c>
      <c r="C419" s="9" t="s">
        <v>20546</v>
      </c>
      <c r="D419" s="9" t="s">
        <v>20547</v>
      </c>
      <c r="E419" s="9" t="s">
        <v>17748</v>
      </c>
      <c r="F419" s="9" t="s">
        <v>20548</v>
      </c>
      <c r="G419" s="9" t="s">
        <v>17740</v>
      </c>
      <c r="H419" s="11" t="s">
        <v>20549</v>
      </c>
      <c r="I419" s="11" t="s">
        <v>17741</v>
      </c>
      <c r="J419" s="11" t="s">
        <v>17741</v>
      </c>
      <c r="K419" s="9" t="s">
        <v>17741</v>
      </c>
      <c r="L419" s="9" t="s">
        <v>17759</v>
      </c>
      <c r="M419" s="9" t="s">
        <v>20550</v>
      </c>
      <c r="N419" s="9" t="s">
        <v>17746</v>
      </c>
      <c r="O419" s="9" t="s">
        <v>17993</v>
      </c>
      <c r="P419" s="9" t="s">
        <v>17748</v>
      </c>
      <c r="Q419" s="11" t="s">
        <v>18089</v>
      </c>
      <c r="R419" s="11" t="s">
        <v>18089</v>
      </c>
      <c r="S419" s="11" t="s">
        <v>17750</v>
      </c>
    </row>
    <row r="420" spans="1:19" x14ac:dyDescent="0.2">
      <c r="A420" s="11" t="s">
        <v>20551</v>
      </c>
      <c r="B420" s="9" t="s">
        <v>20552</v>
      </c>
      <c r="C420" s="9" t="s">
        <v>20553</v>
      </c>
      <c r="D420" s="9" t="s">
        <v>20554</v>
      </c>
      <c r="E420" s="9" t="s">
        <v>17740</v>
      </c>
      <c r="F420" s="9" t="s">
        <v>17741</v>
      </c>
      <c r="G420" s="9" t="s">
        <v>17740</v>
      </c>
      <c r="H420" s="11" t="s">
        <v>17741</v>
      </c>
      <c r="I420" s="11" t="s">
        <v>20555</v>
      </c>
      <c r="J420" s="11" t="s">
        <v>17741</v>
      </c>
      <c r="K420" s="9" t="s">
        <v>20556</v>
      </c>
      <c r="L420" s="9" t="s">
        <v>17759</v>
      </c>
      <c r="M420" s="9" t="s">
        <v>18745</v>
      </c>
      <c r="N420" s="9" t="s">
        <v>17746</v>
      </c>
      <c r="O420" s="9" t="s">
        <v>20557</v>
      </c>
      <c r="P420" s="9" t="s">
        <v>17748</v>
      </c>
      <c r="Q420" s="11" t="s">
        <v>18147</v>
      </c>
      <c r="R420" s="11" t="s">
        <v>18147</v>
      </c>
      <c r="S420" s="11" t="s">
        <v>17750</v>
      </c>
    </row>
    <row r="421" spans="1:19" x14ac:dyDescent="0.2">
      <c r="A421" s="11" t="s">
        <v>20558</v>
      </c>
      <c r="B421" s="9" t="s">
        <v>20559</v>
      </c>
      <c r="C421" s="9" t="s">
        <v>20560</v>
      </c>
      <c r="D421" s="9" t="s">
        <v>20561</v>
      </c>
      <c r="E421" s="9" t="s">
        <v>17740</v>
      </c>
      <c r="F421" s="9" t="s">
        <v>20562</v>
      </c>
      <c r="G421" s="9" t="s">
        <v>17740</v>
      </c>
      <c r="H421" s="11" t="s">
        <v>5544</v>
      </c>
      <c r="I421" s="11" t="s">
        <v>5543</v>
      </c>
      <c r="J421" s="11" t="s">
        <v>5543</v>
      </c>
      <c r="K421" s="9" t="s">
        <v>167</v>
      </c>
      <c r="L421" s="9" t="s">
        <v>18158</v>
      </c>
      <c r="M421" s="9" t="s">
        <v>18289</v>
      </c>
      <c r="N421" s="9" t="s">
        <v>17746</v>
      </c>
      <c r="O421" s="9" t="s">
        <v>7097</v>
      </c>
      <c r="P421" s="9" t="s">
        <v>17748</v>
      </c>
      <c r="Q421" s="11" t="s">
        <v>18080</v>
      </c>
      <c r="R421" s="11" t="s">
        <v>18080</v>
      </c>
      <c r="S421" s="11" t="s">
        <v>17750</v>
      </c>
    </row>
    <row r="422" spans="1:19" x14ac:dyDescent="0.2">
      <c r="A422" s="11" t="s">
        <v>20563</v>
      </c>
      <c r="B422" s="9" t="s">
        <v>20564</v>
      </c>
      <c r="C422" s="9" t="s">
        <v>20565</v>
      </c>
      <c r="D422" s="9" t="s">
        <v>20566</v>
      </c>
      <c r="E422" s="9" t="s">
        <v>17740</v>
      </c>
      <c r="F422" s="9" t="s">
        <v>17741</v>
      </c>
      <c r="G422" s="9" t="s">
        <v>17740</v>
      </c>
      <c r="H422" s="11" t="s">
        <v>17741</v>
      </c>
      <c r="I422" s="11" t="s">
        <v>11307</v>
      </c>
      <c r="J422" s="11" t="s">
        <v>11307</v>
      </c>
      <c r="K422" s="9" t="s">
        <v>20567</v>
      </c>
      <c r="L422" s="9" t="s">
        <v>18411</v>
      </c>
      <c r="M422" s="9" t="s">
        <v>20568</v>
      </c>
      <c r="N422" s="9" t="s">
        <v>17746</v>
      </c>
      <c r="O422" s="9" t="s">
        <v>1675</v>
      </c>
      <c r="P422" s="9" t="s">
        <v>17748</v>
      </c>
      <c r="Q422" s="11" t="s">
        <v>17994</v>
      </c>
      <c r="R422" s="11" t="s">
        <v>17994</v>
      </c>
      <c r="S422" s="11" t="s">
        <v>17750</v>
      </c>
    </row>
    <row r="423" spans="1:19" x14ac:dyDescent="0.2">
      <c r="A423" s="11" t="s">
        <v>20569</v>
      </c>
      <c r="B423" s="9" t="s">
        <v>20570</v>
      </c>
      <c r="C423" s="9" t="s">
        <v>20571</v>
      </c>
      <c r="D423" s="9" t="s">
        <v>20572</v>
      </c>
      <c r="E423" s="9" t="s">
        <v>17740</v>
      </c>
      <c r="F423" s="9" t="s">
        <v>17741</v>
      </c>
      <c r="G423" s="9" t="s">
        <v>17740</v>
      </c>
      <c r="H423" s="11" t="s">
        <v>20573</v>
      </c>
      <c r="I423" s="11" t="s">
        <v>20574</v>
      </c>
      <c r="J423" s="11" t="s">
        <v>20574</v>
      </c>
      <c r="K423" s="9" t="s">
        <v>291</v>
      </c>
      <c r="L423" s="9" t="s">
        <v>17744</v>
      </c>
      <c r="M423" s="9" t="s">
        <v>17769</v>
      </c>
      <c r="N423" s="9" t="s">
        <v>17746</v>
      </c>
      <c r="O423" s="9" t="s">
        <v>17977</v>
      </c>
      <c r="P423" s="9" t="s">
        <v>17748</v>
      </c>
      <c r="Q423" s="11" t="s">
        <v>17771</v>
      </c>
      <c r="R423" s="11" t="s">
        <v>17771</v>
      </c>
      <c r="S423" s="11" t="s">
        <v>17750</v>
      </c>
    </row>
    <row r="424" spans="1:19" x14ac:dyDescent="0.2">
      <c r="A424" s="11" t="s">
        <v>20575</v>
      </c>
      <c r="B424" s="9" t="s">
        <v>20576</v>
      </c>
      <c r="C424" s="9" t="s">
        <v>20577</v>
      </c>
      <c r="D424" s="9" t="s">
        <v>20578</v>
      </c>
      <c r="E424" s="9" t="s">
        <v>17740</v>
      </c>
      <c r="F424" s="9" t="s">
        <v>20579</v>
      </c>
      <c r="G424" s="9" t="s">
        <v>17740</v>
      </c>
      <c r="H424" s="11" t="s">
        <v>500</v>
      </c>
      <c r="I424" s="11" t="s">
        <v>499</v>
      </c>
      <c r="J424" s="11" t="s">
        <v>499</v>
      </c>
      <c r="K424" s="9" t="s">
        <v>970</v>
      </c>
      <c r="L424" s="9" t="s">
        <v>17744</v>
      </c>
      <c r="M424" s="9" t="s">
        <v>20580</v>
      </c>
      <c r="N424" s="9" t="s">
        <v>17746</v>
      </c>
      <c r="O424" s="9" t="s">
        <v>18846</v>
      </c>
      <c r="P424" s="9" t="s">
        <v>17748</v>
      </c>
      <c r="Q424" s="11" t="s">
        <v>17969</v>
      </c>
      <c r="R424" s="11" t="s">
        <v>17969</v>
      </c>
      <c r="S424" s="11" t="s">
        <v>17750</v>
      </c>
    </row>
    <row r="425" spans="1:19" x14ac:dyDescent="0.2">
      <c r="A425" s="11" t="s">
        <v>20581</v>
      </c>
      <c r="B425" s="9" t="s">
        <v>20582</v>
      </c>
      <c r="C425" s="9" t="s">
        <v>20583</v>
      </c>
      <c r="D425" s="9" t="s">
        <v>20584</v>
      </c>
      <c r="E425" s="9" t="s">
        <v>17740</v>
      </c>
      <c r="F425" s="9" t="s">
        <v>20585</v>
      </c>
      <c r="G425" s="9" t="s">
        <v>17740</v>
      </c>
      <c r="H425" s="11" t="s">
        <v>258</v>
      </c>
      <c r="I425" s="11" t="s">
        <v>257</v>
      </c>
      <c r="J425" s="11" t="s">
        <v>257</v>
      </c>
      <c r="K425" s="9" t="s">
        <v>20586</v>
      </c>
      <c r="L425" s="9" t="s">
        <v>17759</v>
      </c>
      <c r="M425" s="9" t="s">
        <v>20587</v>
      </c>
      <c r="N425" s="9" t="s">
        <v>17746</v>
      </c>
      <c r="O425" s="9" t="s">
        <v>20588</v>
      </c>
      <c r="P425" s="9" t="s">
        <v>17748</v>
      </c>
      <c r="Q425" s="11" t="s">
        <v>20589</v>
      </c>
      <c r="R425" s="11" t="s">
        <v>20589</v>
      </c>
      <c r="S425" s="11" t="s">
        <v>17750</v>
      </c>
    </row>
    <row r="426" spans="1:19" x14ac:dyDescent="0.2">
      <c r="A426" s="11" t="s">
        <v>20590</v>
      </c>
      <c r="B426" s="9" t="s">
        <v>20591</v>
      </c>
      <c r="C426" s="9" t="s">
        <v>20592</v>
      </c>
      <c r="D426" s="9" t="s">
        <v>20593</v>
      </c>
      <c r="E426" s="9" t="s">
        <v>17748</v>
      </c>
      <c r="F426" s="9" t="s">
        <v>20594</v>
      </c>
      <c r="G426" s="9" t="s">
        <v>17740</v>
      </c>
      <c r="H426" s="11" t="s">
        <v>20595</v>
      </c>
      <c r="I426" s="11" t="s">
        <v>20596</v>
      </c>
      <c r="J426" s="11" t="s">
        <v>17741</v>
      </c>
      <c r="K426" s="9" t="s">
        <v>20597</v>
      </c>
      <c r="L426" s="9" t="s">
        <v>20598</v>
      </c>
      <c r="M426" s="9" t="s">
        <v>17769</v>
      </c>
      <c r="N426" s="9" t="s">
        <v>17746</v>
      </c>
      <c r="O426" s="9" t="s">
        <v>20498</v>
      </c>
      <c r="P426" s="9" t="s">
        <v>17748</v>
      </c>
      <c r="Q426" s="11" t="s">
        <v>17923</v>
      </c>
      <c r="R426" s="11" t="s">
        <v>17923</v>
      </c>
      <c r="S426" s="11" t="s">
        <v>17750</v>
      </c>
    </row>
    <row r="427" spans="1:19" x14ac:dyDescent="0.2">
      <c r="A427" s="11" t="s">
        <v>20599</v>
      </c>
      <c r="B427" s="9" t="s">
        <v>20600</v>
      </c>
      <c r="C427" s="9" t="s">
        <v>20601</v>
      </c>
      <c r="D427" s="9" t="s">
        <v>20602</v>
      </c>
      <c r="E427" s="9" t="s">
        <v>17740</v>
      </c>
      <c r="F427" s="9" t="s">
        <v>20603</v>
      </c>
      <c r="G427" s="9" t="s">
        <v>17740</v>
      </c>
      <c r="H427" s="11" t="s">
        <v>4628</v>
      </c>
      <c r="I427" s="11" t="s">
        <v>4627</v>
      </c>
      <c r="J427" s="11" t="s">
        <v>4627</v>
      </c>
      <c r="K427" s="9" t="s">
        <v>291</v>
      </c>
      <c r="L427" s="9" t="s">
        <v>17744</v>
      </c>
      <c r="M427" s="9" t="s">
        <v>20604</v>
      </c>
      <c r="N427" s="9" t="s">
        <v>17746</v>
      </c>
      <c r="O427" s="9" t="s">
        <v>17993</v>
      </c>
      <c r="P427" s="9" t="s">
        <v>17748</v>
      </c>
      <c r="Q427" s="11" t="s">
        <v>17819</v>
      </c>
      <c r="R427" s="11" t="s">
        <v>17819</v>
      </c>
      <c r="S427" s="11" t="s">
        <v>17750</v>
      </c>
    </row>
    <row r="428" spans="1:19" x14ac:dyDescent="0.2">
      <c r="A428" s="11" t="s">
        <v>20605</v>
      </c>
      <c r="B428" s="9" t="s">
        <v>20606</v>
      </c>
      <c r="C428" s="9" t="s">
        <v>20607</v>
      </c>
      <c r="D428" s="9" t="s">
        <v>20608</v>
      </c>
      <c r="E428" s="9" t="s">
        <v>17740</v>
      </c>
      <c r="F428" s="9" t="s">
        <v>17741</v>
      </c>
      <c r="G428" s="9" t="s">
        <v>17740</v>
      </c>
      <c r="H428" s="11" t="s">
        <v>516</v>
      </c>
      <c r="I428" s="11" t="s">
        <v>515</v>
      </c>
      <c r="J428" s="11" t="s">
        <v>515</v>
      </c>
      <c r="K428" s="9" t="s">
        <v>19094</v>
      </c>
      <c r="L428" s="9" t="s">
        <v>17759</v>
      </c>
      <c r="M428" s="9" t="s">
        <v>17817</v>
      </c>
      <c r="N428" s="9" t="s">
        <v>17746</v>
      </c>
      <c r="O428" s="9" t="s">
        <v>3100</v>
      </c>
      <c r="P428" s="9" t="s">
        <v>17748</v>
      </c>
      <c r="Q428" s="11" t="s">
        <v>18600</v>
      </c>
      <c r="R428" s="11" t="s">
        <v>18600</v>
      </c>
      <c r="S428" s="11" t="s">
        <v>17750</v>
      </c>
    </row>
    <row r="429" spans="1:19" x14ac:dyDescent="0.2">
      <c r="A429" s="11" t="s">
        <v>20609</v>
      </c>
      <c r="B429" s="9" t="s">
        <v>20610</v>
      </c>
      <c r="C429" s="9" t="s">
        <v>20611</v>
      </c>
      <c r="D429" s="9" t="s">
        <v>20612</v>
      </c>
      <c r="E429" s="9" t="s">
        <v>17740</v>
      </c>
      <c r="F429" s="9" t="s">
        <v>17741</v>
      </c>
      <c r="G429" s="9" t="s">
        <v>17740</v>
      </c>
      <c r="H429" s="11" t="s">
        <v>7028</v>
      </c>
      <c r="I429" s="11" t="s">
        <v>7027</v>
      </c>
      <c r="J429" s="11" t="s">
        <v>7027</v>
      </c>
      <c r="K429" s="9" t="s">
        <v>20613</v>
      </c>
      <c r="L429" s="9" t="s">
        <v>17759</v>
      </c>
      <c r="M429" s="9" t="s">
        <v>17760</v>
      </c>
      <c r="N429" s="9" t="s">
        <v>17746</v>
      </c>
      <c r="O429" s="9" t="s">
        <v>18009</v>
      </c>
      <c r="P429" s="9" t="s">
        <v>17748</v>
      </c>
      <c r="Q429" s="11" t="s">
        <v>18201</v>
      </c>
      <c r="R429" s="11" t="s">
        <v>18201</v>
      </c>
      <c r="S429" s="11" t="s">
        <v>17750</v>
      </c>
    </row>
    <row r="430" spans="1:19" x14ac:dyDescent="0.2">
      <c r="A430" s="11" t="s">
        <v>20614</v>
      </c>
      <c r="B430" s="9" t="s">
        <v>20615</v>
      </c>
      <c r="C430" s="9" t="s">
        <v>20616</v>
      </c>
      <c r="D430" s="9" t="s">
        <v>20617</v>
      </c>
      <c r="E430" s="9" t="s">
        <v>17740</v>
      </c>
      <c r="F430" s="9" t="s">
        <v>17741</v>
      </c>
      <c r="G430" s="9" t="s">
        <v>17740</v>
      </c>
      <c r="H430" s="11" t="s">
        <v>4521</v>
      </c>
      <c r="I430" s="11" t="s">
        <v>4520</v>
      </c>
      <c r="J430" s="11" t="s">
        <v>4520</v>
      </c>
      <c r="K430" s="9" t="s">
        <v>1808</v>
      </c>
      <c r="L430" s="9" t="s">
        <v>18242</v>
      </c>
      <c r="M430" s="9" t="s">
        <v>18521</v>
      </c>
      <c r="N430" s="9" t="s">
        <v>17746</v>
      </c>
      <c r="O430" s="9" t="s">
        <v>20618</v>
      </c>
      <c r="P430" s="9" t="s">
        <v>17748</v>
      </c>
      <c r="Q430" s="11" t="s">
        <v>18364</v>
      </c>
      <c r="R430" s="11" t="s">
        <v>18364</v>
      </c>
      <c r="S430" s="11" t="s">
        <v>17750</v>
      </c>
    </row>
    <row r="431" spans="1:19" x14ac:dyDescent="0.2">
      <c r="A431" s="11" t="s">
        <v>20619</v>
      </c>
      <c r="B431" s="9" t="s">
        <v>20620</v>
      </c>
      <c r="C431" s="9" t="s">
        <v>20621</v>
      </c>
      <c r="D431" s="9" t="s">
        <v>20622</v>
      </c>
      <c r="E431" s="9" t="s">
        <v>17740</v>
      </c>
      <c r="F431" s="9" t="s">
        <v>20623</v>
      </c>
      <c r="G431" s="9" t="s">
        <v>17740</v>
      </c>
      <c r="H431" s="11" t="s">
        <v>544</v>
      </c>
      <c r="I431" s="11" t="s">
        <v>543</v>
      </c>
      <c r="J431" s="11" t="s">
        <v>543</v>
      </c>
      <c r="K431" s="9" t="s">
        <v>18122</v>
      </c>
      <c r="L431" s="9" t="s">
        <v>18123</v>
      </c>
      <c r="M431" s="9" t="s">
        <v>20624</v>
      </c>
      <c r="N431" s="9" t="s">
        <v>17746</v>
      </c>
      <c r="O431" s="9" t="s">
        <v>20625</v>
      </c>
      <c r="P431" s="9" t="s">
        <v>17748</v>
      </c>
      <c r="Q431" s="11" t="s">
        <v>18433</v>
      </c>
      <c r="R431" s="11" t="s">
        <v>18433</v>
      </c>
      <c r="S431" s="11" t="s">
        <v>17750</v>
      </c>
    </row>
    <row r="432" spans="1:19" x14ac:dyDescent="0.2">
      <c r="A432" s="11" t="s">
        <v>20626</v>
      </c>
      <c r="B432" s="9" t="s">
        <v>20627</v>
      </c>
      <c r="C432" s="9" t="s">
        <v>20628</v>
      </c>
      <c r="D432" s="9" t="s">
        <v>20629</v>
      </c>
      <c r="E432" s="9" t="s">
        <v>17740</v>
      </c>
      <c r="F432" s="9" t="s">
        <v>17741</v>
      </c>
      <c r="G432" s="9" t="s">
        <v>17740</v>
      </c>
      <c r="H432" s="11" t="s">
        <v>20630</v>
      </c>
      <c r="I432" s="11" t="s">
        <v>20631</v>
      </c>
      <c r="J432" s="11" t="s">
        <v>20631</v>
      </c>
      <c r="K432" s="9" t="s">
        <v>55</v>
      </c>
      <c r="L432" s="9" t="s">
        <v>17744</v>
      </c>
      <c r="M432" s="9" t="s">
        <v>20632</v>
      </c>
      <c r="N432" s="9" t="s">
        <v>17746</v>
      </c>
      <c r="O432" s="9" t="s">
        <v>19653</v>
      </c>
      <c r="P432" s="9" t="s">
        <v>17748</v>
      </c>
      <c r="Q432" s="11" t="s">
        <v>18805</v>
      </c>
      <c r="R432" s="11" t="s">
        <v>18805</v>
      </c>
      <c r="S432" s="11" t="s">
        <v>17750</v>
      </c>
    </row>
    <row r="433" spans="1:19" x14ac:dyDescent="0.2">
      <c r="A433" s="11" t="s">
        <v>20633</v>
      </c>
      <c r="B433" s="9" t="s">
        <v>20634</v>
      </c>
      <c r="C433" s="9" t="s">
        <v>20635</v>
      </c>
      <c r="D433" s="9" t="s">
        <v>20636</v>
      </c>
      <c r="E433" s="9" t="s">
        <v>17740</v>
      </c>
      <c r="F433" s="9" t="s">
        <v>17741</v>
      </c>
      <c r="G433" s="9" t="s">
        <v>17740</v>
      </c>
      <c r="H433" s="11" t="s">
        <v>5168</v>
      </c>
      <c r="I433" s="11" t="s">
        <v>5167</v>
      </c>
      <c r="J433" s="11" t="s">
        <v>5167</v>
      </c>
      <c r="K433" s="9" t="s">
        <v>55</v>
      </c>
      <c r="L433" s="9" t="s">
        <v>17744</v>
      </c>
      <c r="M433" s="9" t="s">
        <v>18289</v>
      </c>
      <c r="N433" s="9" t="s">
        <v>17746</v>
      </c>
      <c r="O433" s="9" t="s">
        <v>18363</v>
      </c>
      <c r="P433" s="9" t="s">
        <v>17748</v>
      </c>
      <c r="Q433" s="11" t="s">
        <v>17749</v>
      </c>
      <c r="R433" s="11" t="s">
        <v>17749</v>
      </c>
      <c r="S433" s="11" t="s">
        <v>17750</v>
      </c>
    </row>
    <row r="434" spans="1:19" x14ac:dyDescent="0.2">
      <c r="A434" s="11" t="s">
        <v>20637</v>
      </c>
      <c r="B434" s="9" t="s">
        <v>20638</v>
      </c>
      <c r="C434" s="9" t="s">
        <v>20639</v>
      </c>
      <c r="D434" s="9" t="s">
        <v>20640</v>
      </c>
      <c r="E434" s="9" t="s">
        <v>17740</v>
      </c>
      <c r="F434" s="9" t="s">
        <v>17741</v>
      </c>
      <c r="G434" s="9" t="s">
        <v>17740</v>
      </c>
      <c r="H434" s="11" t="s">
        <v>17741</v>
      </c>
      <c r="I434" s="11" t="s">
        <v>20641</v>
      </c>
      <c r="J434" s="11" t="s">
        <v>20641</v>
      </c>
      <c r="K434" s="9" t="s">
        <v>20642</v>
      </c>
      <c r="L434" s="9" t="s">
        <v>17759</v>
      </c>
      <c r="M434" s="9" t="s">
        <v>17992</v>
      </c>
      <c r="N434" s="9" t="s">
        <v>17746</v>
      </c>
      <c r="O434" s="9" t="s">
        <v>18418</v>
      </c>
      <c r="P434" s="9" t="s">
        <v>17748</v>
      </c>
      <c r="Q434" s="11" t="s">
        <v>19899</v>
      </c>
      <c r="R434" s="11" t="s">
        <v>19899</v>
      </c>
      <c r="S434" s="11" t="s">
        <v>17750</v>
      </c>
    </row>
    <row r="435" spans="1:19" x14ac:dyDescent="0.2">
      <c r="A435" s="11" t="s">
        <v>20643</v>
      </c>
      <c r="B435" s="9" t="s">
        <v>20644</v>
      </c>
      <c r="C435" s="9" t="s">
        <v>20645</v>
      </c>
      <c r="D435" s="9" t="s">
        <v>20646</v>
      </c>
      <c r="E435" s="9" t="s">
        <v>17740</v>
      </c>
      <c r="F435" s="9" t="s">
        <v>20647</v>
      </c>
      <c r="G435" s="9" t="s">
        <v>17740</v>
      </c>
      <c r="H435" s="11" t="s">
        <v>20648</v>
      </c>
      <c r="I435" s="11" t="s">
        <v>560</v>
      </c>
      <c r="J435" s="11" t="s">
        <v>560</v>
      </c>
      <c r="K435" s="9" t="s">
        <v>20649</v>
      </c>
      <c r="L435" s="9" t="s">
        <v>17759</v>
      </c>
      <c r="M435" s="9" t="s">
        <v>17817</v>
      </c>
      <c r="N435" s="9" t="s">
        <v>17746</v>
      </c>
      <c r="O435" s="9" t="s">
        <v>18418</v>
      </c>
      <c r="P435" s="9" t="s">
        <v>17748</v>
      </c>
      <c r="Q435" s="11" t="s">
        <v>20650</v>
      </c>
      <c r="R435" s="11" t="s">
        <v>20650</v>
      </c>
      <c r="S435" s="11" t="s">
        <v>17750</v>
      </c>
    </row>
    <row r="436" spans="1:19" x14ac:dyDescent="0.2">
      <c r="A436" s="11" t="s">
        <v>20651</v>
      </c>
      <c r="B436" s="9" t="s">
        <v>20652</v>
      </c>
      <c r="C436" s="9" t="s">
        <v>20653</v>
      </c>
      <c r="D436" s="9" t="s">
        <v>20654</v>
      </c>
      <c r="E436" s="9" t="s">
        <v>17748</v>
      </c>
      <c r="F436" s="9" t="s">
        <v>20655</v>
      </c>
      <c r="G436" s="9" t="s">
        <v>17740</v>
      </c>
      <c r="H436" s="11" t="s">
        <v>17741</v>
      </c>
      <c r="I436" s="11" t="s">
        <v>20656</v>
      </c>
      <c r="J436" s="11" t="s">
        <v>20656</v>
      </c>
      <c r="K436" s="9" t="s">
        <v>20657</v>
      </c>
      <c r="L436" s="9" t="s">
        <v>17967</v>
      </c>
      <c r="M436" s="9" t="s">
        <v>17760</v>
      </c>
      <c r="N436" s="9" t="s">
        <v>17746</v>
      </c>
      <c r="O436" s="9" t="s">
        <v>3309</v>
      </c>
      <c r="P436" s="9" t="s">
        <v>17748</v>
      </c>
      <c r="Q436" s="11" t="s">
        <v>17923</v>
      </c>
      <c r="R436" s="11" t="s">
        <v>17923</v>
      </c>
      <c r="S436" s="11" t="s">
        <v>17750</v>
      </c>
    </row>
    <row r="437" spans="1:19" x14ac:dyDescent="0.2">
      <c r="A437" s="11" t="s">
        <v>20658</v>
      </c>
      <c r="B437" s="9" t="s">
        <v>20659</v>
      </c>
      <c r="C437" s="9" t="s">
        <v>20660</v>
      </c>
      <c r="D437" s="9" t="s">
        <v>20661</v>
      </c>
      <c r="E437" s="9" t="s">
        <v>17740</v>
      </c>
      <c r="F437" s="9" t="s">
        <v>20662</v>
      </c>
      <c r="G437" s="9" t="s">
        <v>17740</v>
      </c>
      <c r="H437" s="11" t="s">
        <v>5819</v>
      </c>
      <c r="I437" s="11" t="s">
        <v>5818</v>
      </c>
      <c r="J437" s="11" t="s">
        <v>5818</v>
      </c>
      <c r="K437" s="9" t="s">
        <v>18520</v>
      </c>
      <c r="L437" s="9" t="s">
        <v>17759</v>
      </c>
      <c r="M437" s="9" t="s">
        <v>20663</v>
      </c>
      <c r="N437" s="9" t="s">
        <v>17746</v>
      </c>
      <c r="O437" s="9" t="s">
        <v>17779</v>
      </c>
      <c r="P437" s="9" t="s">
        <v>17748</v>
      </c>
      <c r="Q437" s="11" t="s">
        <v>18147</v>
      </c>
      <c r="R437" s="11" t="s">
        <v>18147</v>
      </c>
      <c r="S437" s="11" t="s">
        <v>17750</v>
      </c>
    </row>
    <row r="438" spans="1:19" x14ac:dyDescent="0.2">
      <c r="A438" s="11" t="s">
        <v>20664</v>
      </c>
      <c r="B438" s="9" t="s">
        <v>20665</v>
      </c>
      <c r="C438" s="9" t="s">
        <v>20666</v>
      </c>
      <c r="D438" s="9" t="s">
        <v>20667</v>
      </c>
      <c r="E438" s="9" t="s">
        <v>17748</v>
      </c>
      <c r="F438" s="9" t="s">
        <v>20668</v>
      </c>
      <c r="G438" s="9" t="s">
        <v>17740</v>
      </c>
      <c r="H438" s="11" t="s">
        <v>12909</v>
      </c>
      <c r="I438" s="11" t="s">
        <v>12908</v>
      </c>
      <c r="J438" s="11" t="s">
        <v>12908</v>
      </c>
      <c r="K438" s="9" t="s">
        <v>20669</v>
      </c>
      <c r="L438" s="9" t="s">
        <v>18001</v>
      </c>
      <c r="M438" s="9" t="s">
        <v>20670</v>
      </c>
      <c r="N438" s="9" t="s">
        <v>17746</v>
      </c>
      <c r="O438" s="9" t="s">
        <v>19740</v>
      </c>
      <c r="P438" s="9" t="s">
        <v>17748</v>
      </c>
      <c r="Q438" s="11" t="s">
        <v>17825</v>
      </c>
      <c r="R438" s="11" t="s">
        <v>17825</v>
      </c>
      <c r="S438" s="11" t="s">
        <v>17750</v>
      </c>
    </row>
    <row r="439" spans="1:19" x14ac:dyDescent="0.2">
      <c r="A439" s="11" t="s">
        <v>20671</v>
      </c>
      <c r="B439" s="9" t="s">
        <v>20672</v>
      </c>
      <c r="C439" s="9" t="s">
        <v>20673</v>
      </c>
      <c r="D439" s="9" t="s">
        <v>20674</v>
      </c>
      <c r="E439" s="9" t="s">
        <v>17740</v>
      </c>
      <c r="F439" s="9" t="s">
        <v>17741</v>
      </c>
      <c r="G439" s="9" t="s">
        <v>17740</v>
      </c>
      <c r="H439" s="11" t="s">
        <v>20675</v>
      </c>
      <c r="I439" s="11" t="s">
        <v>20676</v>
      </c>
      <c r="J439" s="11" t="s">
        <v>20676</v>
      </c>
      <c r="K439" s="9" t="s">
        <v>20677</v>
      </c>
      <c r="L439" s="9" t="s">
        <v>17759</v>
      </c>
      <c r="M439" s="9" t="s">
        <v>17817</v>
      </c>
      <c r="N439" s="9" t="s">
        <v>17746</v>
      </c>
      <c r="O439" s="9" t="s">
        <v>18035</v>
      </c>
      <c r="P439" s="9" t="s">
        <v>17748</v>
      </c>
      <c r="Q439" s="11" t="s">
        <v>19335</v>
      </c>
      <c r="R439" s="11" t="s">
        <v>19335</v>
      </c>
      <c r="S439" s="11" t="s">
        <v>17750</v>
      </c>
    </row>
    <row r="440" spans="1:19" x14ac:dyDescent="0.2">
      <c r="A440" s="11" t="s">
        <v>20678</v>
      </c>
      <c r="B440" s="9" t="s">
        <v>20679</v>
      </c>
      <c r="C440" s="9" t="s">
        <v>20680</v>
      </c>
      <c r="D440" s="9" t="s">
        <v>20681</v>
      </c>
      <c r="E440" s="9" t="s">
        <v>17740</v>
      </c>
      <c r="F440" s="9" t="s">
        <v>20682</v>
      </c>
      <c r="G440" s="9" t="s">
        <v>17740</v>
      </c>
      <c r="H440" s="11" t="s">
        <v>4888</v>
      </c>
      <c r="I440" s="11" t="s">
        <v>4887</v>
      </c>
      <c r="J440" s="11" t="s">
        <v>4887</v>
      </c>
      <c r="K440" s="9" t="s">
        <v>4889</v>
      </c>
      <c r="L440" s="9" t="s">
        <v>20446</v>
      </c>
      <c r="M440" s="9" t="s">
        <v>20683</v>
      </c>
      <c r="N440" s="9" t="s">
        <v>17746</v>
      </c>
      <c r="O440" s="9" t="s">
        <v>17993</v>
      </c>
      <c r="P440" s="9" t="s">
        <v>17748</v>
      </c>
      <c r="Q440" s="11" t="s">
        <v>18960</v>
      </c>
      <c r="R440" s="11" t="s">
        <v>18960</v>
      </c>
      <c r="S440" s="11" t="s">
        <v>17750</v>
      </c>
    </row>
    <row r="441" spans="1:19" x14ac:dyDescent="0.2">
      <c r="A441" s="11" t="s">
        <v>20684</v>
      </c>
      <c r="B441" s="9" t="s">
        <v>20685</v>
      </c>
      <c r="C441" s="9" t="s">
        <v>20686</v>
      </c>
      <c r="D441" s="9" t="s">
        <v>20687</v>
      </c>
      <c r="E441" s="9" t="s">
        <v>17740</v>
      </c>
      <c r="F441" s="9" t="s">
        <v>17741</v>
      </c>
      <c r="G441" s="9" t="s">
        <v>17740</v>
      </c>
      <c r="H441" s="11" t="s">
        <v>17741</v>
      </c>
      <c r="I441" s="11" t="s">
        <v>20688</v>
      </c>
      <c r="J441" s="11" t="s">
        <v>20688</v>
      </c>
      <c r="K441" s="9" t="s">
        <v>18404</v>
      </c>
      <c r="L441" s="9" t="s">
        <v>17744</v>
      </c>
      <c r="M441" s="9" t="s">
        <v>20689</v>
      </c>
      <c r="N441" s="9" t="s">
        <v>17746</v>
      </c>
      <c r="O441" s="9" t="s">
        <v>20690</v>
      </c>
      <c r="P441" s="9" t="s">
        <v>17748</v>
      </c>
      <c r="Q441" s="11" t="s">
        <v>20691</v>
      </c>
      <c r="R441" s="11" t="s">
        <v>20691</v>
      </c>
      <c r="S441" s="11" t="s">
        <v>17750</v>
      </c>
    </row>
    <row r="442" spans="1:19" x14ac:dyDescent="0.2">
      <c r="A442" s="11" t="s">
        <v>20692</v>
      </c>
      <c r="B442" s="9" t="s">
        <v>20693</v>
      </c>
      <c r="C442" s="9" t="s">
        <v>20694</v>
      </c>
      <c r="D442" s="9" t="s">
        <v>20695</v>
      </c>
      <c r="E442" s="9" t="s">
        <v>17740</v>
      </c>
      <c r="F442" s="9" t="s">
        <v>17741</v>
      </c>
      <c r="G442" s="9" t="s">
        <v>17740</v>
      </c>
      <c r="H442" s="11" t="s">
        <v>533</v>
      </c>
      <c r="I442" s="11" t="s">
        <v>532</v>
      </c>
      <c r="J442" s="11" t="s">
        <v>532</v>
      </c>
      <c r="K442" s="9" t="s">
        <v>17758</v>
      </c>
      <c r="L442" s="9" t="s">
        <v>17759</v>
      </c>
      <c r="M442" s="9" t="s">
        <v>17817</v>
      </c>
      <c r="N442" s="9" t="s">
        <v>17746</v>
      </c>
      <c r="O442" s="9" t="s">
        <v>18035</v>
      </c>
      <c r="P442" s="9" t="s">
        <v>17748</v>
      </c>
      <c r="Q442" s="11" t="s">
        <v>20696</v>
      </c>
      <c r="R442" s="11" t="s">
        <v>20696</v>
      </c>
      <c r="S442" s="11" t="s">
        <v>17750</v>
      </c>
    </row>
    <row r="443" spans="1:19" x14ac:dyDescent="0.2">
      <c r="A443" s="11" t="s">
        <v>20697</v>
      </c>
      <c r="B443" s="9" t="s">
        <v>20698</v>
      </c>
      <c r="C443" s="9" t="s">
        <v>20699</v>
      </c>
      <c r="D443" s="9" t="s">
        <v>20700</v>
      </c>
      <c r="E443" s="9" t="s">
        <v>17740</v>
      </c>
      <c r="F443" s="9" t="s">
        <v>17741</v>
      </c>
      <c r="G443" s="9" t="s">
        <v>17740</v>
      </c>
      <c r="H443" s="11" t="s">
        <v>7600</v>
      </c>
      <c r="I443" s="11" t="s">
        <v>7599</v>
      </c>
      <c r="J443" s="11" t="s">
        <v>7599</v>
      </c>
      <c r="K443" s="9" t="s">
        <v>17783</v>
      </c>
      <c r="L443" s="9" t="s">
        <v>17759</v>
      </c>
      <c r="M443" s="9" t="s">
        <v>20397</v>
      </c>
      <c r="N443" s="9" t="s">
        <v>17746</v>
      </c>
      <c r="O443" s="9" t="s">
        <v>20701</v>
      </c>
      <c r="P443" s="9" t="s">
        <v>17748</v>
      </c>
      <c r="Q443" s="11" t="s">
        <v>17808</v>
      </c>
      <c r="R443" s="11" t="s">
        <v>17808</v>
      </c>
      <c r="S443" s="11" t="s">
        <v>17750</v>
      </c>
    </row>
    <row r="444" spans="1:19" x14ac:dyDescent="0.2">
      <c r="A444" s="11" t="s">
        <v>20702</v>
      </c>
      <c r="B444" s="9" t="s">
        <v>20703</v>
      </c>
      <c r="C444" s="9" t="s">
        <v>20704</v>
      </c>
      <c r="D444" s="9" t="s">
        <v>20705</v>
      </c>
      <c r="E444" s="9" t="s">
        <v>17740</v>
      </c>
      <c r="F444" s="9" t="s">
        <v>17741</v>
      </c>
      <c r="G444" s="9" t="s">
        <v>17740</v>
      </c>
      <c r="H444" s="11" t="s">
        <v>17741</v>
      </c>
      <c r="I444" s="11" t="s">
        <v>44</v>
      </c>
      <c r="J444" s="11" t="s">
        <v>44</v>
      </c>
      <c r="K444" s="9" t="s">
        <v>20706</v>
      </c>
      <c r="L444" s="9" t="s">
        <v>19491</v>
      </c>
      <c r="M444" s="9" t="s">
        <v>17769</v>
      </c>
      <c r="N444" s="9" t="s">
        <v>17746</v>
      </c>
      <c r="O444" s="9" t="s">
        <v>17993</v>
      </c>
      <c r="P444" s="9" t="s">
        <v>17748</v>
      </c>
      <c r="Q444" s="11" t="s">
        <v>19082</v>
      </c>
      <c r="R444" s="11" t="s">
        <v>19082</v>
      </c>
      <c r="S444" s="11" t="s">
        <v>17750</v>
      </c>
    </row>
    <row r="445" spans="1:19" x14ac:dyDescent="0.2">
      <c r="A445" s="11" t="s">
        <v>20707</v>
      </c>
      <c r="B445" s="9" t="s">
        <v>16785</v>
      </c>
      <c r="C445" s="9" t="s">
        <v>20708</v>
      </c>
      <c r="D445" s="9" t="s">
        <v>20709</v>
      </c>
      <c r="E445" s="9" t="s">
        <v>17748</v>
      </c>
      <c r="F445" s="9" t="s">
        <v>20710</v>
      </c>
      <c r="G445" s="9" t="s">
        <v>17740</v>
      </c>
      <c r="H445" s="11" t="s">
        <v>16786</v>
      </c>
      <c r="I445" s="11" t="s">
        <v>20711</v>
      </c>
      <c r="J445" s="11" t="s">
        <v>16786</v>
      </c>
      <c r="K445" s="9" t="s">
        <v>17741</v>
      </c>
      <c r="L445" s="9" t="s">
        <v>17759</v>
      </c>
      <c r="M445" s="9" t="s">
        <v>20712</v>
      </c>
      <c r="N445" s="9" t="s">
        <v>17746</v>
      </c>
      <c r="O445" s="9" t="s">
        <v>15733</v>
      </c>
      <c r="P445" s="9" t="s">
        <v>17748</v>
      </c>
      <c r="Q445" s="11" t="s">
        <v>18089</v>
      </c>
      <c r="R445" s="11" t="s">
        <v>18089</v>
      </c>
      <c r="S445" s="11" t="s">
        <v>17750</v>
      </c>
    </row>
    <row r="446" spans="1:19" x14ac:dyDescent="0.2">
      <c r="A446" s="11" t="s">
        <v>20713</v>
      </c>
      <c r="B446" s="9" t="s">
        <v>501</v>
      </c>
      <c r="C446" s="9" t="s">
        <v>20714</v>
      </c>
      <c r="D446" s="9" t="s">
        <v>20715</v>
      </c>
      <c r="E446" s="9" t="s">
        <v>17740</v>
      </c>
      <c r="F446" s="9" t="s">
        <v>20716</v>
      </c>
      <c r="G446" s="9" t="s">
        <v>17740</v>
      </c>
      <c r="H446" s="11" t="s">
        <v>503</v>
      </c>
      <c r="I446" s="11" t="s">
        <v>502</v>
      </c>
      <c r="J446" s="11" t="s">
        <v>502</v>
      </c>
      <c r="K446" s="9" t="s">
        <v>18520</v>
      </c>
      <c r="L446" s="9" t="s">
        <v>17744</v>
      </c>
      <c r="M446" s="9" t="s">
        <v>20717</v>
      </c>
      <c r="N446" s="9" t="s">
        <v>17746</v>
      </c>
      <c r="O446" s="9" t="s">
        <v>20453</v>
      </c>
      <c r="P446" s="9" t="s">
        <v>17748</v>
      </c>
      <c r="Q446" s="11" t="s">
        <v>18600</v>
      </c>
      <c r="R446" s="11" t="s">
        <v>18600</v>
      </c>
      <c r="S446" s="11" t="s">
        <v>17750</v>
      </c>
    </row>
    <row r="447" spans="1:19" x14ac:dyDescent="0.2">
      <c r="A447" s="11" t="s">
        <v>20718</v>
      </c>
      <c r="B447" s="9" t="s">
        <v>20719</v>
      </c>
      <c r="C447" s="9" t="s">
        <v>20720</v>
      </c>
      <c r="D447" s="9" t="s">
        <v>20721</v>
      </c>
      <c r="E447" s="9" t="s">
        <v>17748</v>
      </c>
      <c r="F447" s="9" t="s">
        <v>20722</v>
      </c>
      <c r="G447" s="9" t="s">
        <v>17740</v>
      </c>
      <c r="H447" s="11" t="s">
        <v>17741</v>
      </c>
      <c r="I447" s="11" t="s">
        <v>20723</v>
      </c>
      <c r="J447" s="11" t="s">
        <v>20723</v>
      </c>
      <c r="K447" s="9" t="s">
        <v>20724</v>
      </c>
      <c r="L447" s="9" t="s">
        <v>17759</v>
      </c>
      <c r="M447" s="9" t="s">
        <v>18745</v>
      </c>
      <c r="N447" s="9" t="s">
        <v>17746</v>
      </c>
      <c r="O447" s="9" t="s">
        <v>18340</v>
      </c>
      <c r="P447" s="9" t="s">
        <v>17748</v>
      </c>
      <c r="Q447" s="11" t="s">
        <v>17780</v>
      </c>
      <c r="R447" s="11" t="s">
        <v>17780</v>
      </c>
      <c r="S447" s="11" t="s">
        <v>17750</v>
      </c>
    </row>
    <row r="448" spans="1:19" x14ac:dyDescent="0.2">
      <c r="A448" s="11" t="s">
        <v>20725</v>
      </c>
      <c r="B448" s="9" t="s">
        <v>545</v>
      </c>
      <c r="C448" s="9" t="s">
        <v>20726</v>
      </c>
      <c r="D448" s="9" t="s">
        <v>20727</v>
      </c>
      <c r="E448" s="9" t="s">
        <v>17740</v>
      </c>
      <c r="F448" s="9" t="s">
        <v>20728</v>
      </c>
      <c r="G448" s="9" t="s">
        <v>17740</v>
      </c>
      <c r="H448" s="11" t="s">
        <v>547</v>
      </c>
      <c r="I448" s="11" t="s">
        <v>546</v>
      </c>
      <c r="J448" s="11" t="s">
        <v>546</v>
      </c>
      <c r="K448" s="9" t="s">
        <v>20729</v>
      </c>
      <c r="L448" s="9" t="s">
        <v>17759</v>
      </c>
      <c r="M448" s="9" t="s">
        <v>20730</v>
      </c>
      <c r="N448" s="9" t="s">
        <v>17746</v>
      </c>
      <c r="O448" s="9" t="s">
        <v>3734</v>
      </c>
      <c r="P448" s="9" t="s">
        <v>17748</v>
      </c>
      <c r="Q448" s="11" t="s">
        <v>20731</v>
      </c>
      <c r="R448" s="11" t="s">
        <v>20731</v>
      </c>
      <c r="S448" s="11" t="s">
        <v>17750</v>
      </c>
    </row>
    <row r="449" spans="1:19" x14ac:dyDescent="0.2">
      <c r="A449" s="11" t="s">
        <v>20732</v>
      </c>
      <c r="B449" s="9" t="s">
        <v>20733</v>
      </c>
      <c r="C449" s="9" t="s">
        <v>20734</v>
      </c>
      <c r="D449" s="9" t="s">
        <v>20735</v>
      </c>
      <c r="E449" s="9" t="s">
        <v>17748</v>
      </c>
      <c r="F449" s="9" t="s">
        <v>20736</v>
      </c>
      <c r="G449" s="9" t="s">
        <v>17740</v>
      </c>
      <c r="H449" s="11" t="s">
        <v>625</v>
      </c>
      <c r="I449" s="11" t="s">
        <v>624</v>
      </c>
      <c r="J449" s="11" t="s">
        <v>624</v>
      </c>
      <c r="K449" s="9" t="s">
        <v>20737</v>
      </c>
      <c r="L449" s="9" t="s">
        <v>17744</v>
      </c>
      <c r="M449" s="9" t="s">
        <v>20738</v>
      </c>
      <c r="N449" s="9" t="s">
        <v>17746</v>
      </c>
      <c r="O449" s="9" t="s">
        <v>18534</v>
      </c>
      <c r="P449" s="9" t="s">
        <v>17748</v>
      </c>
      <c r="Q449" s="11" t="s">
        <v>18348</v>
      </c>
      <c r="R449" s="11" t="s">
        <v>18348</v>
      </c>
      <c r="S449" s="11" t="s">
        <v>17750</v>
      </c>
    </row>
    <row r="450" spans="1:19" x14ac:dyDescent="0.2">
      <c r="A450" s="11" t="s">
        <v>20739</v>
      </c>
      <c r="B450" s="9" t="s">
        <v>20740</v>
      </c>
      <c r="C450" s="9" t="s">
        <v>20741</v>
      </c>
      <c r="D450" s="9" t="s">
        <v>20742</v>
      </c>
      <c r="E450" s="9" t="s">
        <v>17740</v>
      </c>
      <c r="F450" s="9" t="s">
        <v>20743</v>
      </c>
      <c r="G450" s="9" t="s">
        <v>17740</v>
      </c>
      <c r="H450" s="11" t="s">
        <v>17741</v>
      </c>
      <c r="I450" s="11" t="s">
        <v>20744</v>
      </c>
      <c r="J450" s="11" t="s">
        <v>20744</v>
      </c>
      <c r="K450" s="9" t="s">
        <v>20745</v>
      </c>
      <c r="L450" s="9" t="s">
        <v>20082</v>
      </c>
      <c r="M450" s="9" t="s">
        <v>17942</v>
      </c>
      <c r="N450" s="9" t="s">
        <v>17746</v>
      </c>
      <c r="O450" s="9" t="s">
        <v>20746</v>
      </c>
      <c r="P450" s="9" t="s">
        <v>17748</v>
      </c>
      <c r="Q450" s="11" t="s">
        <v>18600</v>
      </c>
      <c r="R450" s="11" t="s">
        <v>18600</v>
      </c>
      <c r="S450" s="11" t="s">
        <v>17750</v>
      </c>
    </row>
    <row r="451" spans="1:19" x14ac:dyDescent="0.2">
      <c r="A451" s="11" t="s">
        <v>20747</v>
      </c>
      <c r="B451" s="9" t="s">
        <v>20748</v>
      </c>
      <c r="C451" s="9" t="s">
        <v>20749</v>
      </c>
      <c r="D451" s="9" t="s">
        <v>20750</v>
      </c>
      <c r="E451" s="9" t="s">
        <v>17740</v>
      </c>
      <c r="F451" s="9" t="s">
        <v>17741</v>
      </c>
      <c r="G451" s="9" t="s">
        <v>17740</v>
      </c>
      <c r="H451" s="11" t="s">
        <v>20751</v>
      </c>
      <c r="I451" s="11" t="s">
        <v>20752</v>
      </c>
      <c r="J451" s="11" t="s">
        <v>20752</v>
      </c>
      <c r="K451" s="9" t="s">
        <v>20753</v>
      </c>
      <c r="L451" s="9" t="s">
        <v>17744</v>
      </c>
      <c r="M451" s="9" t="s">
        <v>17769</v>
      </c>
      <c r="N451" s="9" t="s">
        <v>17746</v>
      </c>
      <c r="O451" s="9" t="s">
        <v>18035</v>
      </c>
      <c r="P451" s="9" t="s">
        <v>17748</v>
      </c>
      <c r="Q451" s="11" t="s">
        <v>18847</v>
      </c>
      <c r="R451" s="11" t="s">
        <v>18847</v>
      </c>
      <c r="S451" s="11" t="s">
        <v>17750</v>
      </c>
    </row>
    <row r="452" spans="1:19" x14ac:dyDescent="0.2">
      <c r="A452" s="11" t="s">
        <v>20754</v>
      </c>
      <c r="B452" s="9" t="s">
        <v>20755</v>
      </c>
      <c r="C452" s="9" t="s">
        <v>20756</v>
      </c>
      <c r="D452" s="9" t="s">
        <v>20757</v>
      </c>
      <c r="E452" s="9" t="s">
        <v>17740</v>
      </c>
      <c r="F452" s="9" t="s">
        <v>17741</v>
      </c>
      <c r="G452" s="9" t="s">
        <v>17740</v>
      </c>
      <c r="H452" s="11" t="s">
        <v>20758</v>
      </c>
      <c r="I452" s="11" t="s">
        <v>20759</v>
      </c>
      <c r="J452" s="11" t="s">
        <v>20759</v>
      </c>
      <c r="K452" s="9" t="s">
        <v>20760</v>
      </c>
      <c r="L452" s="9" t="s">
        <v>18242</v>
      </c>
      <c r="M452" s="9" t="s">
        <v>18065</v>
      </c>
      <c r="N452" s="9" t="s">
        <v>17746</v>
      </c>
      <c r="O452" s="9" t="s">
        <v>20761</v>
      </c>
      <c r="P452" s="9" t="s">
        <v>17748</v>
      </c>
      <c r="Q452" s="11" t="s">
        <v>19361</v>
      </c>
      <c r="R452" s="11" t="s">
        <v>19361</v>
      </c>
      <c r="S452" s="11" t="s">
        <v>17750</v>
      </c>
    </row>
    <row r="453" spans="1:19" x14ac:dyDescent="0.2">
      <c r="A453" s="11" t="s">
        <v>20762</v>
      </c>
      <c r="B453" s="9" t="s">
        <v>20763</v>
      </c>
      <c r="C453" s="9" t="s">
        <v>20764</v>
      </c>
      <c r="D453" s="9" t="s">
        <v>20765</v>
      </c>
      <c r="E453" s="9" t="s">
        <v>17740</v>
      </c>
      <c r="F453" s="9" t="s">
        <v>17741</v>
      </c>
      <c r="G453" s="9" t="s">
        <v>17740</v>
      </c>
      <c r="H453" s="11" t="s">
        <v>672</v>
      </c>
      <c r="I453" s="11" t="s">
        <v>671</v>
      </c>
      <c r="J453" s="11" t="s">
        <v>671</v>
      </c>
      <c r="K453" s="9" t="s">
        <v>91</v>
      </c>
      <c r="L453" s="9" t="s">
        <v>18001</v>
      </c>
      <c r="M453" s="9" t="s">
        <v>17817</v>
      </c>
      <c r="N453" s="9" t="s">
        <v>17746</v>
      </c>
      <c r="O453" s="9" t="s">
        <v>20766</v>
      </c>
      <c r="P453" s="9" t="s">
        <v>17748</v>
      </c>
      <c r="Q453" s="11" t="s">
        <v>18072</v>
      </c>
      <c r="R453" s="11" t="s">
        <v>18072</v>
      </c>
      <c r="S453" s="11" t="s">
        <v>17750</v>
      </c>
    </row>
    <row r="454" spans="1:19" x14ac:dyDescent="0.2">
      <c r="A454" s="11" t="s">
        <v>20767</v>
      </c>
      <c r="B454" s="9" t="s">
        <v>20768</v>
      </c>
      <c r="C454" s="9" t="s">
        <v>20769</v>
      </c>
      <c r="D454" s="9" t="s">
        <v>20770</v>
      </c>
      <c r="E454" s="9" t="s">
        <v>17740</v>
      </c>
      <c r="F454" s="9" t="s">
        <v>17741</v>
      </c>
      <c r="G454" s="9" t="s">
        <v>17740</v>
      </c>
      <c r="H454" s="11" t="s">
        <v>20771</v>
      </c>
      <c r="I454" s="11" t="s">
        <v>13781</v>
      </c>
      <c r="J454" s="11" t="s">
        <v>13781</v>
      </c>
      <c r="K454" s="9" t="s">
        <v>20772</v>
      </c>
      <c r="L454" s="9" t="s">
        <v>17967</v>
      </c>
      <c r="M454" s="9" t="s">
        <v>17760</v>
      </c>
      <c r="N454" s="9" t="s">
        <v>17746</v>
      </c>
      <c r="O454" s="9" t="s">
        <v>3981</v>
      </c>
      <c r="P454" s="9" t="s">
        <v>17748</v>
      </c>
      <c r="Q454" s="11" t="s">
        <v>18201</v>
      </c>
      <c r="R454" s="11" t="s">
        <v>18201</v>
      </c>
      <c r="S454" s="11" t="s">
        <v>17750</v>
      </c>
    </row>
    <row r="455" spans="1:19" x14ac:dyDescent="0.2">
      <c r="A455" s="11" t="s">
        <v>20773</v>
      </c>
      <c r="B455" s="9" t="s">
        <v>20774</v>
      </c>
      <c r="C455" s="9" t="s">
        <v>20775</v>
      </c>
      <c r="D455" s="9" t="s">
        <v>20776</v>
      </c>
      <c r="E455" s="9" t="s">
        <v>17740</v>
      </c>
      <c r="F455" s="9" t="s">
        <v>17741</v>
      </c>
      <c r="G455" s="9" t="s">
        <v>17740</v>
      </c>
      <c r="H455" s="11" t="s">
        <v>5107</v>
      </c>
      <c r="I455" s="11" t="s">
        <v>5106</v>
      </c>
      <c r="J455" s="11" t="s">
        <v>5106</v>
      </c>
      <c r="K455" s="9" t="s">
        <v>91</v>
      </c>
      <c r="L455" s="9" t="s">
        <v>18001</v>
      </c>
      <c r="M455" s="9" t="s">
        <v>17769</v>
      </c>
      <c r="N455" s="9" t="s">
        <v>17746</v>
      </c>
      <c r="O455" s="9" t="s">
        <v>20777</v>
      </c>
      <c r="P455" s="9" t="s">
        <v>17748</v>
      </c>
      <c r="Q455" s="11" t="s">
        <v>18059</v>
      </c>
      <c r="R455" s="11" t="s">
        <v>18059</v>
      </c>
      <c r="S455" s="11" t="s">
        <v>17750</v>
      </c>
    </row>
    <row r="456" spans="1:19" x14ac:dyDescent="0.2">
      <c r="A456" s="11" t="s">
        <v>20778</v>
      </c>
      <c r="B456" s="9" t="s">
        <v>20779</v>
      </c>
      <c r="C456" s="9" t="s">
        <v>20780</v>
      </c>
      <c r="D456" s="9" t="s">
        <v>20781</v>
      </c>
      <c r="E456" s="9" t="s">
        <v>17740</v>
      </c>
      <c r="F456" s="9" t="s">
        <v>17741</v>
      </c>
      <c r="G456" s="9" t="s">
        <v>17740</v>
      </c>
      <c r="H456" s="11" t="s">
        <v>20782</v>
      </c>
      <c r="I456" s="11" t="s">
        <v>20783</v>
      </c>
      <c r="J456" s="11" t="s">
        <v>20783</v>
      </c>
      <c r="K456" s="9" t="s">
        <v>20784</v>
      </c>
      <c r="L456" s="9" t="s">
        <v>17759</v>
      </c>
      <c r="M456" s="9" t="s">
        <v>18745</v>
      </c>
      <c r="N456" s="9" t="s">
        <v>17746</v>
      </c>
      <c r="O456" s="9" t="s">
        <v>18088</v>
      </c>
      <c r="P456" s="9" t="s">
        <v>17748</v>
      </c>
      <c r="Q456" s="11" t="s">
        <v>18370</v>
      </c>
      <c r="R456" s="11" t="s">
        <v>18370</v>
      </c>
      <c r="S456" s="11" t="s">
        <v>17750</v>
      </c>
    </row>
    <row r="457" spans="1:19" x14ac:dyDescent="0.2">
      <c r="A457" s="11" t="s">
        <v>20785</v>
      </c>
      <c r="B457" s="9" t="s">
        <v>20786</v>
      </c>
      <c r="C457" s="9" t="s">
        <v>20787</v>
      </c>
      <c r="D457" s="9" t="s">
        <v>20788</v>
      </c>
      <c r="E457" s="9" t="s">
        <v>17740</v>
      </c>
      <c r="F457" s="9" t="s">
        <v>17741</v>
      </c>
      <c r="G457" s="9" t="s">
        <v>17740</v>
      </c>
      <c r="H457" s="11" t="s">
        <v>617</v>
      </c>
      <c r="I457" s="11" t="s">
        <v>616</v>
      </c>
      <c r="J457" s="11" t="s">
        <v>616</v>
      </c>
      <c r="K457" s="9" t="s">
        <v>20784</v>
      </c>
      <c r="L457" s="9" t="s">
        <v>17759</v>
      </c>
      <c r="M457" s="9" t="s">
        <v>18745</v>
      </c>
      <c r="N457" s="9" t="s">
        <v>17746</v>
      </c>
      <c r="O457" s="9" t="s">
        <v>773</v>
      </c>
      <c r="P457" s="9" t="s">
        <v>17748</v>
      </c>
      <c r="Q457" s="11" t="s">
        <v>20789</v>
      </c>
      <c r="R457" s="11" t="s">
        <v>20789</v>
      </c>
      <c r="S457" s="11" t="s">
        <v>17750</v>
      </c>
    </row>
    <row r="458" spans="1:19" x14ac:dyDescent="0.2">
      <c r="A458" s="11" t="s">
        <v>20790</v>
      </c>
      <c r="B458" s="9" t="s">
        <v>20791</v>
      </c>
      <c r="C458" s="9" t="s">
        <v>20792</v>
      </c>
      <c r="D458" s="9" t="s">
        <v>20793</v>
      </c>
      <c r="E458" s="9" t="s">
        <v>17740</v>
      </c>
      <c r="F458" s="9" t="s">
        <v>17741</v>
      </c>
      <c r="G458" s="9" t="s">
        <v>17740</v>
      </c>
      <c r="H458" s="11" t="s">
        <v>8488</v>
      </c>
      <c r="I458" s="11" t="s">
        <v>8487</v>
      </c>
      <c r="J458" s="11" t="s">
        <v>8487</v>
      </c>
      <c r="K458" s="9" t="s">
        <v>20784</v>
      </c>
      <c r="L458" s="9" t="s">
        <v>17759</v>
      </c>
      <c r="M458" s="9" t="s">
        <v>18745</v>
      </c>
      <c r="N458" s="9" t="s">
        <v>17746</v>
      </c>
      <c r="O458" s="9" t="s">
        <v>793</v>
      </c>
      <c r="P458" s="9" t="s">
        <v>17748</v>
      </c>
      <c r="Q458" s="11" t="s">
        <v>18356</v>
      </c>
      <c r="R458" s="11" t="s">
        <v>18356</v>
      </c>
      <c r="S458" s="11" t="s">
        <v>17750</v>
      </c>
    </row>
    <row r="459" spans="1:19" x14ac:dyDescent="0.2">
      <c r="A459" s="11" t="s">
        <v>20794</v>
      </c>
      <c r="B459" s="9" t="s">
        <v>20795</v>
      </c>
      <c r="C459" s="9" t="s">
        <v>20796</v>
      </c>
      <c r="D459" s="9" t="s">
        <v>20797</v>
      </c>
      <c r="E459" s="9" t="s">
        <v>17748</v>
      </c>
      <c r="F459" s="9" t="s">
        <v>20798</v>
      </c>
      <c r="G459" s="9" t="s">
        <v>17740</v>
      </c>
      <c r="H459" s="11" t="s">
        <v>12906</v>
      </c>
      <c r="I459" s="11" t="s">
        <v>12905</v>
      </c>
      <c r="J459" s="11" t="s">
        <v>12905</v>
      </c>
      <c r="K459" s="9" t="s">
        <v>20784</v>
      </c>
      <c r="L459" s="9" t="s">
        <v>17759</v>
      </c>
      <c r="M459" s="9" t="s">
        <v>18745</v>
      </c>
      <c r="N459" s="9" t="s">
        <v>17746</v>
      </c>
      <c r="O459" s="9" t="s">
        <v>20799</v>
      </c>
      <c r="P459" s="9" t="s">
        <v>17748</v>
      </c>
      <c r="Q459" s="11" t="s">
        <v>18370</v>
      </c>
      <c r="R459" s="11" t="s">
        <v>18370</v>
      </c>
      <c r="S459" s="11" t="s">
        <v>17750</v>
      </c>
    </row>
    <row r="460" spans="1:19" x14ac:dyDescent="0.2">
      <c r="A460" s="11" t="s">
        <v>20800</v>
      </c>
      <c r="B460" s="9" t="s">
        <v>20801</v>
      </c>
      <c r="C460" s="9" t="s">
        <v>20802</v>
      </c>
      <c r="D460" s="9" t="s">
        <v>20803</v>
      </c>
      <c r="E460" s="9" t="s">
        <v>17748</v>
      </c>
      <c r="F460" s="9" t="s">
        <v>20804</v>
      </c>
      <c r="G460" s="9" t="s">
        <v>17740</v>
      </c>
      <c r="H460" s="11" t="s">
        <v>6921</v>
      </c>
      <c r="I460" s="11" t="s">
        <v>6920</v>
      </c>
      <c r="J460" s="11" t="s">
        <v>6920</v>
      </c>
      <c r="K460" s="9" t="s">
        <v>20784</v>
      </c>
      <c r="L460" s="9" t="s">
        <v>17759</v>
      </c>
      <c r="M460" s="9" t="s">
        <v>18745</v>
      </c>
      <c r="N460" s="9" t="s">
        <v>17746</v>
      </c>
      <c r="O460" s="9" t="s">
        <v>20805</v>
      </c>
      <c r="P460" s="9" t="s">
        <v>17748</v>
      </c>
      <c r="Q460" s="11" t="s">
        <v>19361</v>
      </c>
      <c r="R460" s="11" t="s">
        <v>19361</v>
      </c>
      <c r="S460" s="11" t="s">
        <v>17750</v>
      </c>
    </row>
    <row r="461" spans="1:19" x14ac:dyDescent="0.2">
      <c r="A461" s="11" t="s">
        <v>20806</v>
      </c>
      <c r="B461" s="9" t="s">
        <v>20807</v>
      </c>
      <c r="C461" s="9" t="s">
        <v>20808</v>
      </c>
      <c r="D461" s="9" t="s">
        <v>20809</v>
      </c>
      <c r="E461" s="9" t="s">
        <v>17740</v>
      </c>
      <c r="F461" s="9" t="s">
        <v>17741</v>
      </c>
      <c r="G461" s="9" t="s">
        <v>17740</v>
      </c>
      <c r="H461" s="11" t="s">
        <v>20810</v>
      </c>
      <c r="I461" s="11" t="s">
        <v>20811</v>
      </c>
      <c r="J461" s="11" t="s">
        <v>20811</v>
      </c>
      <c r="K461" s="9" t="s">
        <v>20784</v>
      </c>
      <c r="L461" s="9" t="s">
        <v>17759</v>
      </c>
      <c r="M461" s="9" t="s">
        <v>18745</v>
      </c>
      <c r="N461" s="9" t="s">
        <v>17746</v>
      </c>
      <c r="O461" s="9" t="s">
        <v>18762</v>
      </c>
      <c r="P461" s="9" t="s">
        <v>17748</v>
      </c>
      <c r="Q461" s="11" t="s">
        <v>17900</v>
      </c>
      <c r="R461" s="11" t="s">
        <v>17900</v>
      </c>
      <c r="S461" s="11" t="s">
        <v>17750</v>
      </c>
    </row>
    <row r="462" spans="1:19" x14ac:dyDescent="0.2">
      <c r="A462" s="11" t="s">
        <v>20812</v>
      </c>
      <c r="B462" s="9" t="s">
        <v>20813</v>
      </c>
      <c r="C462" s="9" t="s">
        <v>20814</v>
      </c>
      <c r="D462" s="9" t="s">
        <v>20815</v>
      </c>
      <c r="E462" s="9" t="s">
        <v>17740</v>
      </c>
      <c r="F462" s="9" t="s">
        <v>17741</v>
      </c>
      <c r="G462" s="9" t="s">
        <v>17740</v>
      </c>
      <c r="H462" s="11" t="s">
        <v>10950</v>
      </c>
      <c r="I462" s="11" t="s">
        <v>10949</v>
      </c>
      <c r="J462" s="11" t="s">
        <v>10949</v>
      </c>
      <c r="K462" s="9" t="s">
        <v>20784</v>
      </c>
      <c r="L462" s="9" t="s">
        <v>17759</v>
      </c>
      <c r="M462" s="9" t="s">
        <v>18745</v>
      </c>
      <c r="N462" s="9" t="s">
        <v>17746</v>
      </c>
      <c r="O462" s="9" t="s">
        <v>18514</v>
      </c>
      <c r="P462" s="9" t="s">
        <v>17748</v>
      </c>
      <c r="Q462" s="11" t="s">
        <v>17984</v>
      </c>
      <c r="R462" s="11" t="s">
        <v>17984</v>
      </c>
      <c r="S462" s="11" t="s">
        <v>17750</v>
      </c>
    </row>
    <row r="463" spans="1:19" x14ac:dyDescent="0.2">
      <c r="A463" s="11" t="s">
        <v>20816</v>
      </c>
      <c r="B463" s="9" t="s">
        <v>20817</v>
      </c>
      <c r="C463" s="9" t="s">
        <v>20818</v>
      </c>
      <c r="D463" s="9" t="s">
        <v>20819</v>
      </c>
      <c r="E463" s="9" t="s">
        <v>17740</v>
      </c>
      <c r="F463" s="9" t="s">
        <v>17741</v>
      </c>
      <c r="G463" s="9" t="s">
        <v>17740</v>
      </c>
      <c r="H463" s="11" t="s">
        <v>20820</v>
      </c>
      <c r="I463" s="11" t="s">
        <v>20821</v>
      </c>
      <c r="J463" s="11" t="s">
        <v>20821</v>
      </c>
      <c r="K463" s="9" t="s">
        <v>20822</v>
      </c>
      <c r="L463" s="9" t="s">
        <v>17759</v>
      </c>
      <c r="M463" s="9" t="s">
        <v>18745</v>
      </c>
      <c r="N463" s="9" t="s">
        <v>17746</v>
      </c>
      <c r="O463" s="9" t="s">
        <v>19859</v>
      </c>
      <c r="P463" s="9" t="s">
        <v>17748</v>
      </c>
      <c r="Q463" s="11" t="s">
        <v>18234</v>
      </c>
      <c r="R463" s="11" t="s">
        <v>18234</v>
      </c>
      <c r="S463" s="11" t="s">
        <v>17750</v>
      </c>
    </row>
    <row r="464" spans="1:19" x14ac:dyDescent="0.2">
      <c r="A464" s="11" t="s">
        <v>20823</v>
      </c>
      <c r="B464" s="9" t="s">
        <v>20824</v>
      </c>
      <c r="C464" s="9" t="s">
        <v>20825</v>
      </c>
      <c r="D464" s="9" t="s">
        <v>20826</v>
      </c>
      <c r="E464" s="9" t="s">
        <v>17740</v>
      </c>
      <c r="F464" s="9" t="s">
        <v>17741</v>
      </c>
      <c r="G464" s="9" t="s">
        <v>17740</v>
      </c>
      <c r="H464" s="11" t="s">
        <v>20827</v>
      </c>
      <c r="I464" s="11" t="s">
        <v>20828</v>
      </c>
      <c r="J464" s="11" t="s">
        <v>20827</v>
      </c>
      <c r="K464" s="9" t="s">
        <v>20784</v>
      </c>
      <c r="L464" s="9" t="s">
        <v>17759</v>
      </c>
      <c r="M464" s="9" t="s">
        <v>18745</v>
      </c>
      <c r="N464" s="9" t="s">
        <v>17746</v>
      </c>
      <c r="O464" s="9" t="s">
        <v>20829</v>
      </c>
      <c r="P464" s="9" t="s">
        <v>17748</v>
      </c>
      <c r="Q464" s="11" t="s">
        <v>17900</v>
      </c>
      <c r="R464" s="11" t="s">
        <v>17900</v>
      </c>
      <c r="S464" s="11" t="s">
        <v>17750</v>
      </c>
    </row>
    <row r="465" spans="1:19" x14ac:dyDescent="0.2">
      <c r="A465" s="11" t="s">
        <v>20830</v>
      </c>
      <c r="B465" s="9" t="s">
        <v>20831</v>
      </c>
      <c r="C465" s="9" t="s">
        <v>20832</v>
      </c>
      <c r="D465" s="9" t="s">
        <v>20833</v>
      </c>
      <c r="E465" s="9" t="s">
        <v>17740</v>
      </c>
      <c r="F465" s="9" t="s">
        <v>17741</v>
      </c>
      <c r="G465" s="9" t="s">
        <v>17740</v>
      </c>
      <c r="H465" s="11" t="s">
        <v>4848</v>
      </c>
      <c r="I465" s="11" t="s">
        <v>4847</v>
      </c>
      <c r="J465" s="11" t="s">
        <v>4847</v>
      </c>
      <c r="K465" s="9" t="s">
        <v>20784</v>
      </c>
      <c r="L465" s="9" t="s">
        <v>17759</v>
      </c>
      <c r="M465" s="9" t="s">
        <v>18745</v>
      </c>
      <c r="N465" s="9" t="s">
        <v>17746</v>
      </c>
      <c r="O465" s="9" t="s">
        <v>1690</v>
      </c>
      <c r="P465" s="9" t="s">
        <v>17748</v>
      </c>
      <c r="Q465" s="11" t="s">
        <v>18813</v>
      </c>
      <c r="R465" s="11" t="s">
        <v>18813</v>
      </c>
      <c r="S465" s="11" t="s">
        <v>17750</v>
      </c>
    </row>
    <row r="466" spans="1:19" x14ac:dyDescent="0.2">
      <c r="A466" s="11" t="s">
        <v>20834</v>
      </c>
      <c r="B466" s="9" t="s">
        <v>20835</v>
      </c>
      <c r="C466" s="9" t="s">
        <v>20836</v>
      </c>
      <c r="D466" s="9" t="s">
        <v>20837</v>
      </c>
      <c r="E466" s="9" t="s">
        <v>17740</v>
      </c>
      <c r="F466" s="9" t="s">
        <v>17741</v>
      </c>
      <c r="G466" s="9" t="s">
        <v>17740</v>
      </c>
      <c r="H466" s="11" t="s">
        <v>8838</v>
      </c>
      <c r="I466" s="11" t="s">
        <v>8837</v>
      </c>
      <c r="J466" s="11" t="s">
        <v>8837</v>
      </c>
      <c r="K466" s="9" t="s">
        <v>20784</v>
      </c>
      <c r="L466" s="9" t="s">
        <v>17759</v>
      </c>
      <c r="M466" s="9" t="s">
        <v>18745</v>
      </c>
      <c r="N466" s="9" t="s">
        <v>17746</v>
      </c>
      <c r="O466" s="9" t="s">
        <v>20838</v>
      </c>
      <c r="P466" s="9" t="s">
        <v>17748</v>
      </c>
      <c r="Q466" s="11" t="s">
        <v>17784</v>
      </c>
      <c r="R466" s="11" t="s">
        <v>17784</v>
      </c>
      <c r="S466" s="11" t="s">
        <v>17750</v>
      </c>
    </row>
    <row r="467" spans="1:19" x14ac:dyDescent="0.2">
      <c r="A467" s="11" t="s">
        <v>20839</v>
      </c>
      <c r="B467" s="9" t="s">
        <v>20840</v>
      </c>
      <c r="C467" s="9" t="s">
        <v>20841</v>
      </c>
      <c r="D467" s="9" t="s">
        <v>20842</v>
      </c>
      <c r="E467" s="9" t="s">
        <v>17740</v>
      </c>
      <c r="F467" s="9" t="s">
        <v>17741</v>
      </c>
      <c r="G467" s="9" t="s">
        <v>17740</v>
      </c>
      <c r="H467" s="11" t="s">
        <v>4798</v>
      </c>
      <c r="I467" s="11" t="s">
        <v>4797</v>
      </c>
      <c r="J467" s="11" t="s">
        <v>4797</v>
      </c>
      <c r="K467" s="9" t="s">
        <v>618</v>
      </c>
      <c r="L467" s="9" t="s">
        <v>17759</v>
      </c>
      <c r="M467" s="9" t="s">
        <v>18745</v>
      </c>
      <c r="N467" s="9" t="s">
        <v>17746</v>
      </c>
      <c r="O467" s="9" t="s">
        <v>18882</v>
      </c>
      <c r="P467" s="9" t="s">
        <v>17748</v>
      </c>
      <c r="Q467" s="11" t="s">
        <v>17978</v>
      </c>
      <c r="R467" s="11" t="s">
        <v>17978</v>
      </c>
      <c r="S467" s="11" t="s">
        <v>17750</v>
      </c>
    </row>
    <row r="468" spans="1:19" x14ac:dyDescent="0.2">
      <c r="A468" s="11" t="s">
        <v>20843</v>
      </c>
      <c r="B468" s="9" t="s">
        <v>20844</v>
      </c>
      <c r="C468" s="9" t="s">
        <v>20845</v>
      </c>
      <c r="D468" s="9" t="s">
        <v>20846</v>
      </c>
      <c r="E468" s="9" t="s">
        <v>17740</v>
      </c>
      <c r="F468" s="9" t="s">
        <v>17741</v>
      </c>
      <c r="G468" s="9" t="s">
        <v>17740</v>
      </c>
      <c r="H468" s="11" t="s">
        <v>20847</v>
      </c>
      <c r="I468" s="11" t="s">
        <v>20848</v>
      </c>
      <c r="J468" s="11" t="s">
        <v>20847</v>
      </c>
      <c r="K468" s="9" t="s">
        <v>20784</v>
      </c>
      <c r="L468" s="9" t="s">
        <v>17759</v>
      </c>
      <c r="M468" s="9" t="s">
        <v>18745</v>
      </c>
      <c r="N468" s="9" t="s">
        <v>17746</v>
      </c>
      <c r="O468" s="9" t="s">
        <v>17977</v>
      </c>
      <c r="P468" s="9" t="s">
        <v>17748</v>
      </c>
      <c r="Q468" s="11" t="s">
        <v>17825</v>
      </c>
      <c r="R468" s="11" t="s">
        <v>17825</v>
      </c>
      <c r="S468" s="11" t="s">
        <v>17750</v>
      </c>
    </row>
    <row r="469" spans="1:19" x14ac:dyDescent="0.2">
      <c r="A469" s="11" t="s">
        <v>20849</v>
      </c>
      <c r="B469" s="9" t="s">
        <v>20850</v>
      </c>
      <c r="C469" s="9" t="s">
        <v>20851</v>
      </c>
      <c r="D469" s="9" t="s">
        <v>20852</v>
      </c>
      <c r="E469" s="9" t="s">
        <v>17740</v>
      </c>
      <c r="F469" s="9" t="s">
        <v>17741</v>
      </c>
      <c r="G469" s="9" t="s">
        <v>17740</v>
      </c>
      <c r="H469" s="11" t="s">
        <v>4743</v>
      </c>
      <c r="I469" s="11" t="s">
        <v>4742</v>
      </c>
      <c r="J469" s="11" t="s">
        <v>4742</v>
      </c>
      <c r="K469" s="9" t="s">
        <v>20784</v>
      </c>
      <c r="L469" s="9" t="s">
        <v>17759</v>
      </c>
      <c r="M469" s="9" t="s">
        <v>18745</v>
      </c>
      <c r="N469" s="9" t="s">
        <v>17746</v>
      </c>
      <c r="O469" s="9" t="s">
        <v>17993</v>
      </c>
      <c r="P469" s="9" t="s">
        <v>17748</v>
      </c>
      <c r="Q469" s="11" t="s">
        <v>17931</v>
      </c>
      <c r="R469" s="11" t="s">
        <v>17931</v>
      </c>
      <c r="S469" s="11" t="s">
        <v>17750</v>
      </c>
    </row>
    <row r="470" spans="1:19" x14ac:dyDescent="0.2">
      <c r="A470" s="11" t="s">
        <v>20853</v>
      </c>
      <c r="B470" s="9" t="s">
        <v>20854</v>
      </c>
      <c r="C470" s="9" t="s">
        <v>20855</v>
      </c>
      <c r="D470" s="9" t="s">
        <v>20856</v>
      </c>
      <c r="E470" s="9" t="s">
        <v>17740</v>
      </c>
      <c r="F470" s="9" t="s">
        <v>17741</v>
      </c>
      <c r="G470" s="9" t="s">
        <v>17740</v>
      </c>
      <c r="H470" s="11" t="s">
        <v>4845</v>
      </c>
      <c r="I470" s="11" t="s">
        <v>4844</v>
      </c>
      <c r="J470" s="11" t="s">
        <v>4844</v>
      </c>
      <c r="K470" s="9" t="s">
        <v>20784</v>
      </c>
      <c r="L470" s="9" t="s">
        <v>17759</v>
      </c>
      <c r="M470" s="9" t="s">
        <v>18745</v>
      </c>
      <c r="N470" s="9" t="s">
        <v>17746</v>
      </c>
      <c r="O470" s="9" t="s">
        <v>18746</v>
      </c>
      <c r="P470" s="9" t="s">
        <v>17748</v>
      </c>
      <c r="Q470" s="11" t="s">
        <v>18847</v>
      </c>
      <c r="R470" s="11" t="s">
        <v>18847</v>
      </c>
      <c r="S470" s="11" t="s">
        <v>17750</v>
      </c>
    </row>
    <row r="471" spans="1:19" x14ac:dyDescent="0.2">
      <c r="A471" s="11" t="s">
        <v>20857</v>
      </c>
      <c r="B471" s="9" t="s">
        <v>20858</v>
      </c>
      <c r="C471" s="9" t="s">
        <v>20859</v>
      </c>
      <c r="D471" s="9" t="s">
        <v>20860</v>
      </c>
      <c r="E471" s="9" t="s">
        <v>17740</v>
      </c>
      <c r="F471" s="9" t="s">
        <v>17741</v>
      </c>
      <c r="G471" s="9" t="s">
        <v>17740</v>
      </c>
      <c r="H471" s="11" t="s">
        <v>641</v>
      </c>
      <c r="I471" s="11" t="s">
        <v>640</v>
      </c>
      <c r="J471" s="11" t="s">
        <v>640</v>
      </c>
      <c r="K471" s="9" t="s">
        <v>20861</v>
      </c>
      <c r="L471" s="9" t="s">
        <v>17759</v>
      </c>
      <c r="M471" s="9" t="s">
        <v>18745</v>
      </c>
      <c r="N471" s="9" t="s">
        <v>17746</v>
      </c>
      <c r="O471" s="9" t="s">
        <v>3100</v>
      </c>
      <c r="P471" s="9" t="s">
        <v>17748</v>
      </c>
      <c r="Q471" s="11" t="s">
        <v>19335</v>
      </c>
      <c r="R471" s="11" t="s">
        <v>19335</v>
      </c>
      <c r="S471" s="11" t="s">
        <v>17750</v>
      </c>
    </row>
    <row r="472" spans="1:19" x14ac:dyDescent="0.2">
      <c r="A472" s="11" t="s">
        <v>20862</v>
      </c>
      <c r="B472" s="9" t="s">
        <v>20863</v>
      </c>
      <c r="C472" s="9" t="s">
        <v>20864</v>
      </c>
      <c r="D472" s="9" t="s">
        <v>20865</v>
      </c>
      <c r="E472" s="9" t="s">
        <v>17740</v>
      </c>
      <c r="F472" s="9" t="s">
        <v>17741</v>
      </c>
      <c r="G472" s="9" t="s">
        <v>17740</v>
      </c>
      <c r="H472" s="11" t="s">
        <v>17741</v>
      </c>
      <c r="I472" s="11" t="s">
        <v>20866</v>
      </c>
      <c r="J472" s="11" t="s">
        <v>20866</v>
      </c>
      <c r="K472" s="9" t="s">
        <v>20867</v>
      </c>
      <c r="L472" s="9" t="s">
        <v>17759</v>
      </c>
      <c r="M472" s="9" t="s">
        <v>18745</v>
      </c>
      <c r="N472" s="9" t="s">
        <v>17746</v>
      </c>
      <c r="O472" s="9" t="s">
        <v>17800</v>
      </c>
      <c r="P472" s="9" t="s">
        <v>17748</v>
      </c>
      <c r="Q472" s="11" t="s">
        <v>17978</v>
      </c>
      <c r="R472" s="11" t="s">
        <v>17978</v>
      </c>
      <c r="S472" s="11" t="s">
        <v>17750</v>
      </c>
    </row>
    <row r="473" spans="1:19" x14ac:dyDescent="0.2">
      <c r="A473" s="11" t="s">
        <v>20868</v>
      </c>
      <c r="B473" s="9" t="s">
        <v>20869</v>
      </c>
      <c r="C473" s="9" t="s">
        <v>20870</v>
      </c>
      <c r="D473" s="9" t="s">
        <v>20871</v>
      </c>
      <c r="E473" s="9" t="s">
        <v>17740</v>
      </c>
      <c r="F473" s="9" t="s">
        <v>17741</v>
      </c>
      <c r="G473" s="9" t="s">
        <v>17740</v>
      </c>
      <c r="H473" s="11" t="s">
        <v>4842</v>
      </c>
      <c r="I473" s="11" t="s">
        <v>4841</v>
      </c>
      <c r="J473" s="11" t="s">
        <v>4841</v>
      </c>
      <c r="K473" s="9" t="s">
        <v>20784</v>
      </c>
      <c r="L473" s="9" t="s">
        <v>17759</v>
      </c>
      <c r="M473" s="9" t="s">
        <v>18745</v>
      </c>
      <c r="N473" s="9" t="s">
        <v>17746</v>
      </c>
      <c r="O473" s="9" t="s">
        <v>18543</v>
      </c>
      <c r="P473" s="9" t="s">
        <v>17748</v>
      </c>
      <c r="Q473" s="11" t="s">
        <v>18433</v>
      </c>
      <c r="R473" s="11" t="s">
        <v>18433</v>
      </c>
      <c r="S473" s="11" t="s">
        <v>17750</v>
      </c>
    </row>
    <row r="474" spans="1:19" x14ac:dyDescent="0.2">
      <c r="A474" s="11" t="s">
        <v>20872</v>
      </c>
      <c r="B474" s="9" t="s">
        <v>20873</v>
      </c>
      <c r="C474" s="9" t="s">
        <v>20874</v>
      </c>
      <c r="D474" s="9" t="s">
        <v>20875</v>
      </c>
      <c r="E474" s="9" t="s">
        <v>17740</v>
      </c>
      <c r="F474" s="9" t="s">
        <v>17741</v>
      </c>
      <c r="G474" s="9" t="s">
        <v>17740</v>
      </c>
      <c r="H474" s="11" t="s">
        <v>10953</v>
      </c>
      <c r="I474" s="11" t="s">
        <v>10952</v>
      </c>
      <c r="J474" s="11" t="s">
        <v>10952</v>
      </c>
      <c r="K474" s="9" t="s">
        <v>20784</v>
      </c>
      <c r="L474" s="9" t="s">
        <v>17759</v>
      </c>
      <c r="M474" s="9" t="s">
        <v>18745</v>
      </c>
      <c r="N474" s="9" t="s">
        <v>17746</v>
      </c>
      <c r="O474" s="9" t="s">
        <v>19521</v>
      </c>
      <c r="P474" s="9" t="s">
        <v>17748</v>
      </c>
      <c r="Q474" s="11" t="s">
        <v>17762</v>
      </c>
      <c r="R474" s="11" t="s">
        <v>17762</v>
      </c>
      <c r="S474" s="11" t="s">
        <v>17750</v>
      </c>
    </row>
    <row r="475" spans="1:19" x14ac:dyDescent="0.2">
      <c r="A475" s="11" t="s">
        <v>20876</v>
      </c>
      <c r="B475" s="9" t="s">
        <v>20877</v>
      </c>
      <c r="C475" s="9" t="s">
        <v>20878</v>
      </c>
      <c r="D475" s="9" t="s">
        <v>20879</v>
      </c>
      <c r="E475" s="9" t="s">
        <v>17740</v>
      </c>
      <c r="F475" s="9" t="s">
        <v>20880</v>
      </c>
      <c r="G475" s="9" t="s">
        <v>17740</v>
      </c>
      <c r="H475" s="11" t="s">
        <v>654</v>
      </c>
      <c r="I475" s="11" t="s">
        <v>653</v>
      </c>
      <c r="J475" s="11" t="s">
        <v>653</v>
      </c>
      <c r="K475" s="9" t="s">
        <v>20784</v>
      </c>
      <c r="L475" s="9" t="s">
        <v>17759</v>
      </c>
      <c r="M475" s="9" t="s">
        <v>18745</v>
      </c>
      <c r="N475" s="9" t="s">
        <v>17746</v>
      </c>
      <c r="O475" s="9" t="s">
        <v>20881</v>
      </c>
      <c r="P475" s="9" t="s">
        <v>17748</v>
      </c>
      <c r="Q475" s="11" t="s">
        <v>19026</v>
      </c>
      <c r="R475" s="11" t="s">
        <v>19026</v>
      </c>
      <c r="S475" s="11" t="s">
        <v>17750</v>
      </c>
    </row>
    <row r="476" spans="1:19" x14ac:dyDescent="0.2">
      <c r="A476" s="11" t="s">
        <v>20882</v>
      </c>
      <c r="B476" s="9" t="s">
        <v>20883</v>
      </c>
      <c r="C476" s="9" t="s">
        <v>20884</v>
      </c>
      <c r="D476" s="9" t="s">
        <v>20885</v>
      </c>
      <c r="E476" s="9" t="s">
        <v>17740</v>
      </c>
      <c r="F476" s="9" t="s">
        <v>17741</v>
      </c>
      <c r="G476" s="9" t="s">
        <v>17740</v>
      </c>
      <c r="H476" s="11" t="s">
        <v>20886</v>
      </c>
      <c r="I476" s="11" t="s">
        <v>20887</v>
      </c>
      <c r="J476" s="11" t="s">
        <v>20887</v>
      </c>
      <c r="K476" s="9" t="s">
        <v>20784</v>
      </c>
      <c r="L476" s="9" t="s">
        <v>17759</v>
      </c>
      <c r="M476" s="9" t="s">
        <v>18745</v>
      </c>
      <c r="N476" s="9" t="s">
        <v>17746</v>
      </c>
      <c r="O476" s="9" t="s">
        <v>17882</v>
      </c>
      <c r="P476" s="9" t="s">
        <v>17748</v>
      </c>
      <c r="Q476" s="11" t="s">
        <v>17931</v>
      </c>
      <c r="R476" s="11" t="s">
        <v>17931</v>
      </c>
      <c r="S476" s="11" t="s">
        <v>17750</v>
      </c>
    </row>
    <row r="477" spans="1:19" x14ac:dyDescent="0.2">
      <c r="A477" s="11" t="s">
        <v>20888</v>
      </c>
      <c r="B477" s="9" t="s">
        <v>20889</v>
      </c>
      <c r="C477" s="9" t="s">
        <v>20890</v>
      </c>
      <c r="D477" s="9" t="s">
        <v>20891</v>
      </c>
      <c r="E477" s="9" t="s">
        <v>17740</v>
      </c>
      <c r="F477" s="9" t="s">
        <v>17741</v>
      </c>
      <c r="G477" s="9" t="s">
        <v>17740</v>
      </c>
      <c r="H477" s="11" t="s">
        <v>647</v>
      </c>
      <c r="I477" s="11" t="s">
        <v>646</v>
      </c>
      <c r="J477" s="11" t="s">
        <v>646</v>
      </c>
      <c r="K477" s="9" t="s">
        <v>20784</v>
      </c>
      <c r="L477" s="9" t="s">
        <v>17759</v>
      </c>
      <c r="M477" s="9" t="s">
        <v>18745</v>
      </c>
      <c r="N477" s="9" t="s">
        <v>17746</v>
      </c>
      <c r="O477" s="9" t="s">
        <v>18481</v>
      </c>
      <c r="P477" s="9" t="s">
        <v>17748</v>
      </c>
      <c r="Q477" s="11" t="s">
        <v>18348</v>
      </c>
      <c r="R477" s="11" t="s">
        <v>18348</v>
      </c>
      <c r="S477" s="11" t="s">
        <v>17750</v>
      </c>
    </row>
    <row r="478" spans="1:19" x14ac:dyDescent="0.2">
      <c r="A478" s="11" t="s">
        <v>20892</v>
      </c>
      <c r="B478" s="9" t="s">
        <v>20893</v>
      </c>
      <c r="C478" s="9" t="s">
        <v>20894</v>
      </c>
      <c r="D478" s="9" t="s">
        <v>20895</v>
      </c>
      <c r="E478" s="9" t="s">
        <v>17740</v>
      </c>
      <c r="F478" s="9" t="s">
        <v>17741</v>
      </c>
      <c r="G478" s="9" t="s">
        <v>17740</v>
      </c>
      <c r="H478" s="11" t="s">
        <v>17741</v>
      </c>
      <c r="I478" s="11" t="s">
        <v>20896</v>
      </c>
      <c r="J478" s="11" t="s">
        <v>20896</v>
      </c>
      <c r="K478" s="9" t="s">
        <v>20784</v>
      </c>
      <c r="L478" s="9" t="s">
        <v>17759</v>
      </c>
      <c r="M478" s="9" t="s">
        <v>18745</v>
      </c>
      <c r="N478" s="9" t="s">
        <v>17746</v>
      </c>
      <c r="O478" s="9" t="s">
        <v>19470</v>
      </c>
      <c r="P478" s="9" t="s">
        <v>17748</v>
      </c>
      <c r="Q478" s="11" t="s">
        <v>17849</v>
      </c>
      <c r="R478" s="11" t="s">
        <v>17849</v>
      </c>
      <c r="S478" s="11" t="s">
        <v>17750</v>
      </c>
    </row>
    <row r="479" spans="1:19" x14ac:dyDescent="0.2">
      <c r="A479" s="11" t="s">
        <v>20897</v>
      </c>
      <c r="B479" s="9" t="s">
        <v>20898</v>
      </c>
      <c r="C479" s="9" t="s">
        <v>20899</v>
      </c>
      <c r="D479" s="9" t="s">
        <v>20900</v>
      </c>
      <c r="E479" s="9" t="s">
        <v>17740</v>
      </c>
      <c r="F479" s="9" t="s">
        <v>20901</v>
      </c>
      <c r="G479" s="9" t="s">
        <v>17740</v>
      </c>
      <c r="H479" s="11" t="s">
        <v>20902</v>
      </c>
      <c r="I479" s="11" t="s">
        <v>20903</v>
      </c>
      <c r="J479" s="11" t="s">
        <v>20903</v>
      </c>
      <c r="K479" s="9" t="s">
        <v>618</v>
      </c>
      <c r="L479" s="9" t="s">
        <v>17759</v>
      </c>
      <c r="M479" s="9" t="s">
        <v>18745</v>
      </c>
      <c r="N479" s="9" t="s">
        <v>17746</v>
      </c>
      <c r="O479" s="9" t="s">
        <v>19470</v>
      </c>
      <c r="P479" s="9" t="s">
        <v>17748</v>
      </c>
      <c r="Q479" s="11" t="s">
        <v>17994</v>
      </c>
      <c r="R479" s="11" t="s">
        <v>17994</v>
      </c>
      <c r="S479" s="11" t="s">
        <v>17750</v>
      </c>
    </row>
    <row r="480" spans="1:19" x14ac:dyDescent="0.2">
      <c r="A480" s="11" t="s">
        <v>20904</v>
      </c>
      <c r="B480" s="9" t="s">
        <v>20905</v>
      </c>
      <c r="C480" s="9" t="s">
        <v>20906</v>
      </c>
      <c r="D480" s="9" t="s">
        <v>20907</v>
      </c>
      <c r="E480" s="9" t="s">
        <v>17740</v>
      </c>
      <c r="F480" s="9" t="s">
        <v>17741</v>
      </c>
      <c r="G480" s="9" t="s">
        <v>17740</v>
      </c>
      <c r="H480" s="11" t="s">
        <v>20908</v>
      </c>
      <c r="I480" s="11" t="s">
        <v>20909</v>
      </c>
      <c r="J480" s="11" t="s">
        <v>20909</v>
      </c>
      <c r="K480" s="9" t="s">
        <v>20784</v>
      </c>
      <c r="L480" s="9" t="s">
        <v>17759</v>
      </c>
      <c r="M480" s="9" t="s">
        <v>18745</v>
      </c>
      <c r="N480" s="9" t="s">
        <v>17746</v>
      </c>
      <c r="O480" s="9" t="s">
        <v>18514</v>
      </c>
      <c r="P480" s="9" t="s">
        <v>17748</v>
      </c>
      <c r="Q480" s="11" t="s">
        <v>17931</v>
      </c>
      <c r="R480" s="11" t="s">
        <v>17931</v>
      </c>
      <c r="S480" s="11" t="s">
        <v>17750</v>
      </c>
    </row>
    <row r="481" spans="1:19" x14ac:dyDescent="0.2">
      <c r="A481" s="11" t="s">
        <v>20910</v>
      </c>
      <c r="B481" s="9" t="s">
        <v>20911</v>
      </c>
      <c r="C481" s="9" t="s">
        <v>20912</v>
      </c>
      <c r="D481" s="9" t="s">
        <v>20913</v>
      </c>
      <c r="E481" s="9" t="s">
        <v>17740</v>
      </c>
      <c r="F481" s="9" t="s">
        <v>17741</v>
      </c>
      <c r="G481" s="9" t="s">
        <v>17740</v>
      </c>
      <c r="H481" s="11" t="s">
        <v>4746</v>
      </c>
      <c r="I481" s="11" t="s">
        <v>4745</v>
      </c>
      <c r="J481" s="11" t="s">
        <v>4745</v>
      </c>
      <c r="K481" s="9" t="s">
        <v>618</v>
      </c>
      <c r="L481" s="9" t="s">
        <v>17759</v>
      </c>
      <c r="M481" s="9" t="s">
        <v>18745</v>
      </c>
      <c r="N481" s="9" t="s">
        <v>17746</v>
      </c>
      <c r="O481" s="9" t="s">
        <v>3524</v>
      </c>
      <c r="P481" s="9" t="s">
        <v>17748</v>
      </c>
      <c r="Q481" s="11" t="s">
        <v>19222</v>
      </c>
      <c r="R481" s="11" t="s">
        <v>19222</v>
      </c>
      <c r="S481" s="11" t="s">
        <v>17750</v>
      </c>
    </row>
    <row r="482" spans="1:19" x14ac:dyDescent="0.2">
      <c r="A482" s="11" t="s">
        <v>20914</v>
      </c>
      <c r="B482" s="9" t="s">
        <v>20915</v>
      </c>
      <c r="C482" s="9" t="s">
        <v>20916</v>
      </c>
      <c r="D482" s="9" t="s">
        <v>20917</v>
      </c>
      <c r="E482" s="9" t="s">
        <v>17748</v>
      </c>
      <c r="F482" s="9" t="s">
        <v>20918</v>
      </c>
      <c r="G482" s="9" t="s">
        <v>17740</v>
      </c>
      <c r="H482" s="11" t="s">
        <v>20919</v>
      </c>
      <c r="I482" s="11" t="s">
        <v>20920</v>
      </c>
      <c r="J482" s="11" t="s">
        <v>20919</v>
      </c>
      <c r="K482" s="9" t="s">
        <v>20921</v>
      </c>
      <c r="L482" s="9" t="s">
        <v>17759</v>
      </c>
      <c r="M482" s="9" t="s">
        <v>18745</v>
      </c>
      <c r="N482" s="9" t="s">
        <v>17746</v>
      </c>
      <c r="O482" s="9" t="s">
        <v>20922</v>
      </c>
      <c r="P482" s="9" t="s">
        <v>17748</v>
      </c>
      <c r="Q482" s="11" t="s">
        <v>18147</v>
      </c>
      <c r="R482" s="11" t="s">
        <v>18147</v>
      </c>
      <c r="S482" s="11" t="s">
        <v>17750</v>
      </c>
    </row>
    <row r="483" spans="1:19" x14ac:dyDescent="0.2">
      <c r="A483" s="11" t="s">
        <v>20923</v>
      </c>
      <c r="B483" s="9" t="s">
        <v>20924</v>
      </c>
      <c r="C483" s="9" t="s">
        <v>20925</v>
      </c>
      <c r="D483" s="9" t="s">
        <v>20926</v>
      </c>
      <c r="E483" s="9" t="s">
        <v>17740</v>
      </c>
      <c r="F483" s="9" t="s">
        <v>17741</v>
      </c>
      <c r="G483" s="9" t="s">
        <v>17740</v>
      </c>
      <c r="H483" s="11" t="s">
        <v>20927</v>
      </c>
      <c r="I483" s="11" t="s">
        <v>20928</v>
      </c>
      <c r="J483" s="11" t="s">
        <v>20928</v>
      </c>
      <c r="K483" s="9" t="s">
        <v>17758</v>
      </c>
      <c r="L483" s="9" t="s">
        <v>17759</v>
      </c>
      <c r="M483" s="9" t="s">
        <v>17760</v>
      </c>
      <c r="N483" s="9" t="s">
        <v>17746</v>
      </c>
      <c r="O483" s="9" t="s">
        <v>17800</v>
      </c>
      <c r="P483" s="9" t="s">
        <v>17748</v>
      </c>
      <c r="Q483" s="11" t="s">
        <v>19335</v>
      </c>
      <c r="R483" s="11" t="s">
        <v>19335</v>
      </c>
      <c r="S483" s="11" t="s">
        <v>17750</v>
      </c>
    </row>
    <row r="484" spans="1:19" x14ac:dyDescent="0.2">
      <c r="A484" s="11" t="s">
        <v>20929</v>
      </c>
      <c r="B484" s="9" t="s">
        <v>20930</v>
      </c>
      <c r="C484" s="9" t="s">
        <v>20931</v>
      </c>
      <c r="D484" s="9" t="s">
        <v>20932</v>
      </c>
      <c r="E484" s="9" t="s">
        <v>17740</v>
      </c>
      <c r="F484" s="9" t="s">
        <v>20933</v>
      </c>
      <c r="G484" s="9" t="s">
        <v>17740</v>
      </c>
      <c r="H484" s="11" t="s">
        <v>17741</v>
      </c>
      <c r="I484" s="11" t="s">
        <v>20934</v>
      </c>
      <c r="J484" s="11" t="s">
        <v>20934</v>
      </c>
      <c r="K484" s="9" t="s">
        <v>20935</v>
      </c>
      <c r="L484" s="9" t="s">
        <v>18158</v>
      </c>
      <c r="M484" s="9" t="s">
        <v>17778</v>
      </c>
      <c r="N484" s="9" t="s">
        <v>18185</v>
      </c>
      <c r="O484" s="9" t="s">
        <v>19800</v>
      </c>
      <c r="P484" s="9" t="s">
        <v>17748</v>
      </c>
      <c r="Q484" s="11" t="s">
        <v>20936</v>
      </c>
      <c r="R484" s="11" t="s">
        <v>20936</v>
      </c>
      <c r="S484" s="11" t="s">
        <v>17750</v>
      </c>
    </row>
    <row r="485" spans="1:19" x14ac:dyDescent="0.2">
      <c r="A485" s="11" t="s">
        <v>20937</v>
      </c>
      <c r="B485" s="9" t="s">
        <v>20938</v>
      </c>
      <c r="C485" s="9" t="s">
        <v>20939</v>
      </c>
      <c r="D485" s="9" t="s">
        <v>20940</v>
      </c>
      <c r="E485" s="9" t="s">
        <v>17740</v>
      </c>
      <c r="F485" s="9" t="s">
        <v>20941</v>
      </c>
      <c r="G485" s="9" t="s">
        <v>17740</v>
      </c>
      <c r="H485" s="11" t="s">
        <v>7333</v>
      </c>
      <c r="I485" s="11" t="s">
        <v>7332</v>
      </c>
      <c r="J485" s="11" t="s">
        <v>7332</v>
      </c>
      <c r="K485" s="9" t="s">
        <v>20942</v>
      </c>
      <c r="L485" s="9" t="s">
        <v>17744</v>
      </c>
      <c r="M485" s="9" t="s">
        <v>17992</v>
      </c>
      <c r="N485" s="9" t="s">
        <v>17746</v>
      </c>
      <c r="O485" s="9" t="s">
        <v>20943</v>
      </c>
      <c r="P485" s="9" t="s">
        <v>17748</v>
      </c>
      <c r="Q485" s="11" t="s">
        <v>18272</v>
      </c>
      <c r="R485" s="11" t="s">
        <v>18272</v>
      </c>
      <c r="S485" s="11" t="s">
        <v>17750</v>
      </c>
    </row>
    <row r="486" spans="1:19" x14ac:dyDescent="0.2">
      <c r="A486" s="11" t="s">
        <v>20944</v>
      </c>
      <c r="B486" s="9" t="s">
        <v>20945</v>
      </c>
      <c r="C486" s="9" t="s">
        <v>20946</v>
      </c>
      <c r="D486" s="9" t="s">
        <v>20947</v>
      </c>
      <c r="E486" s="9" t="s">
        <v>17740</v>
      </c>
      <c r="F486" s="9" t="s">
        <v>20948</v>
      </c>
      <c r="G486" s="9" t="s">
        <v>17740</v>
      </c>
      <c r="H486" s="11" t="s">
        <v>17741</v>
      </c>
      <c r="I486" s="11" t="s">
        <v>20949</v>
      </c>
      <c r="J486" s="11" t="s">
        <v>20949</v>
      </c>
      <c r="K486" s="9" t="s">
        <v>20950</v>
      </c>
      <c r="L486" s="9" t="s">
        <v>18854</v>
      </c>
      <c r="M486" s="9" t="s">
        <v>17817</v>
      </c>
      <c r="N486" s="9" t="s">
        <v>20237</v>
      </c>
      <c r="O486" s="9" t="s">
        <v>15993</v>
      </c>
      <c r="P486" s="9" t="s">
        <v>17748</v>
      </c>
      <c r="Q486" s="11" t="s">
        <v>18678</v>
      </c>
      <c r="R486" s="11" t="s">
        <v>18678</v>
      </c>
      <c r="S486" s="11" t="s">
        <v>17750</v>
      </c>
    </row>
    <row r="487" spans="1:19" x14ac:dyDescent="0.2">
      <c r="A487" s="11" t="s">
        <v>20951</v>
      </c>
      <c r="B487" s="9" t="s">
        <v>20952</v>
      </c>
      <c r="C487" s="9" t="s">
        <v>20953</v>
      </c>
      <c r="D487" s="9" t="s">
        <v>20954</v>
      </c>
      <c r="E487" s="9" t="s">
        <v>17748</v>
      </c>
      <c r="F487" s="9" t="s">
        <v>20955</v>
      </c>
      <c r="G487" s="9" t="s">
        <v>17740</v>
      </c>
      <c r="H487" s="11" t="s">
        <v>10884</v>
      </c>
      <c r="I487" s="11" t="s">
        <v>10883</v>
      </c>
      <c r="J487" s="11" t="s">
        <v>10883</v>
      </c>
      <c r="K487" s="9" t="s">
        <v>20956</v>
      </c>
      <c r="L487" s="9" t="s">
        <v>18001</v>
      </c>
      <c r="M487" s="9" t="s">
        <v>20957</v>
      </c>
      <c r="N487" s="9" t="s">
        <v>17746</v>
      </c>
      <c r="O487" s="9" t="s">
        <v>20958</v>
      </c>
      <c r="P487" s="9" t="s">
        <v>17748</v>
      </c>
      <c r="Q487" s="11" t="s">
        <v>17762</v>
      </c>
      <c r="R487" s="11" t="s">
        <v>17762</v>
      </c>
      <c r="S487" s="11" t="s">
        <v>17750</v>
      </c>
    </row>
    <row r="488" spans="1:19" x14ac:dyDescent="0.2">
      <c r="A488" s="11" t="s">
        <v>20959</v>
      </c>
      <c r="B488" s="9" t="s">
        <v>20960</v>
      </c>
      <c r="C488" s="9" t="s">
        <v>20961</v>
      </c>
      <c r="D488" s="9" t="s">
        <v>20962</v>
      </c>
      <c r="E488" s="9" t="s">
        <v>17740</v>
      </c>
      <c r="F488" s="9" t="s">
        <v>17741</v>
      </c>
      <c r="G488" s="9" t="s">
        <v>17740</v>
      </c>
      <c r="H488" s="11" t="s">
        <v>5342</v>
      </c>
      <c r="I488" s="11" t="s">
        <v>5341</v>
      </c>
      <c r="J488" s="11" t="s">
        <v>5341</v>
      </c>
      <c r="K488" s="9" t="s">
        <v>17758</v>
      </c>
      <c r="L488" s="9" t="s">
        <v>17744</v>
      </c>
      <c r="M488" s="9" t="s">
        <v>19168</v>
      </c>
      <c r="N488" s="9" t="s">
        <v>17746</v>
      </c>
      <c r="O488" s="9" t="s">
        <v>20963</v>
      </c>
      <c r="P488" s="9" t="s">
        <v>17748</v>
      </c>
      <c r="Q488" s="11" t="s">
        <v>17749</v>
      </c>
      <c r="R488" s="11" t="s">
        <v>17749</v>
      </c>
      <c r="S488" s="11" t="s">
        <v>17750</v>
      </c>
    </row>
    <row r="489" spans="1:19" x14ac:dyDescent="0.2">
      <c r="A489" s="11" t="s">
        <v>20964</v>
      </c>
      <c r="B489" s="9" t="s">
        <v>20965</v>
      </c>
      <c r="C489" s="9" t="s">
        <v>20966</v>
      </c>
      <c r="D489" s="9" t="s">
        <v>20967</v>
      </c>
      <c r="E489" s="9" t="s">
        <v>17740</v>
      </c>
      <c r="F489" s="9" t="s">
        <v>17741</v>
      </c>
      <c r="G489" s="9" t="s">
        <v>17740</v>
      </c>
      <c r="H489" s="11" t="s">
        <v>20968</v>
      </c>
      <c r="I489" s="11" t="s">
        <v>535</v>
      </c>
      <c r="J489" s="11" t="s">
        <v>535</v>
      </c>
      <c r="K489" s="9" t="s">
        <v>536</v>
      </c>
      <c r="L489" s="9" t="s">
        <v>20969</v>
      </c>
      <c r="M489" s="9" t="s">
        <v>20970</v>
      </c>
      <c r="N489" s="9" t="s">
        <v>17746</v>
      </c>
      <c r="O489" s="9" t="s">
        <v>18363</v>
      </c>
      <c r="P489" s="9" t="s">
        <v>17748</v>
      </c>
      <c r="Q489" s="11" t="s">
        <v>18433</v>
      </c>
      <c r="R489" s="11" t="s">
        <v>18433</v>
      </c>
      <c r="S489" s="11" t="s">
        <v>17750</v>
      </c>
    </row>
    <row r="490" spans="1:19" x14ac:dyDescent="0.2">
      <c r="A490" s="11" t="s">
        <v>20971</v>
      </c>
      <c r="B490" s="9" t="s">
        <v>20972</v>
      </c>
      <c r="C490" s="9" t="s">
        <v>20973</v>
      </c>
      <c r="D490" s="9" t="s">
        <v>20974</v>
      </c>
      <c r="E490" s="9" t="s">
        <v>17740</v>
      </c>
      <c r="F490" s="9" t="s">
        <v>20975</v>
      </c>
      <c r="G490" s="9" t="s">
        <v>17740</v>
      </c>
      <c r="H490" s="11" t="s">
        <v>10912</v>
      </c>
      <c r="I490" s="11" t="s">
        <v>10911</v>
      </c>
      <c r="J490" s="11" t="s">
        <v>10911</v>
      </c>
      <c r="K490" s="9" t="s">
        <v>20956</v>
      </c>
      <c r="L490" s="9" t="s">
        <v>20976</v>
      </c>
      <c r="M490" s="9" t="s">
        <v>19714</v>
      </c>
      <c r="N490" s="9" t="s">
        <v>17746</v>
      </c>
      <c r="O490" s="9" t="s">
        <v>20977</v>
      </c>
      <c r="P490" s="9" t="s">
        <v>17748</v>
      </c>
      <c r="Q490" s="11" t="s">
        <v>17762</v>
      </c>
      <c r="R490" s="11" t="s">
        <v>17762</v>
      </c>
      <c r="S490" s="11" t="s">
        <v>17750</v>
      </c>
    </row>
    <row r="491" spans="1:19" x14ac:dyDescent="0.2">
      <c r="A491" s="11" t="s">
        <v>20978</v>
      </c>
      <c r="B491" s="9" t="s">
        <v>20979</v>
      </c>
      <c r="C491" s="9" t="s">
        <v>20980</v>
      </c>
      <c r="D491" s="9" t="s">
        <v>20981</v>
      </c>
      <c r="E491" s="9" t="s">
        <v>17740</v>
      </c>
      <c r="F491" s="9" t="s">
        <v>20982</v>
      </c>
      <c r="G491" s="9" t="s">
        <v>17740</v>
      </c>
      <c r="H491" s="11" t="s">
        <v>440</v>
      </c>
      <c r="I491" s="11" t="s">
        <v>439</v>
      </c>
      <c r="J491" s="11" t="s">
        <v>439</v>
      </c>
      <c r="K491" s="9" t="s">
        <v>441</v>
      </c>
      <c r="L491" s="9" t="s">
        <v>17759</v>
      </c>
      <c r="M491" s="9" t="s">
        <v>17817</v>
      </c>
      <c r="N491" s="9" t="s">
        <v>17746</v>
      </c>
      <c r="O491" s="9" t="s">
        <v>15993</v>
      </c>
      <c r="P491" s="9" t="s">
        <v>17748</v>
      </c>
      <c r="Q491" s="11" t="s">
        <v>19082</v>
      </c>
      <c r="R491" s="11" t="s">
        <v>19082</v>
      </c>
      <c r="S491" s="11" t="s">
        <v>17750</v>
      </c>
    </row>
    <row r="492" spans="1:19" x14ac:dyDescent="0.2">
      <c r="A492" s="11" t="s">
        <v>20983</v>
      </c>
      <c r="B492" s="9" t="s">
        <v>20984</v>
      </c>
      <c r="C492" s="9" t="s">
        <v>20985</v>
      </c>
      <c r="D492" s="9" t="s">
        <v>20986</v>
      </c>
      <c r="E492" s="9" t="s">
        <v>17740</v>
      </c>
      <c r="F492" s="9" t="s">
        <v>17741</v>
      </c>
      <c r="G492" s="9" t="s">
        <v>17740</v>
      </c>
      <c r="H492" s="11" t="s">
        <v>8238</v>
      </c>
      <c r="I492" s="11" t="s">
        <v>8237</v>
      </c>
      <c r="J492" s="11" t="s">
        <v>8237</v>
      </c>
      <c r="K492" s="9" t="s">
        <v>19180</v>
      </c>
      <c r="L492" s="9" t="s">
        <v>17759</v>
      </c>
      <c r="M492" s="9" t="s">
        <v>20987</v>
      </c>
      <c r="N492" s="9" t="s">
        <v>17746</v>
      </c>
      <c r="O492" s="9" t="s">
        <v>20988</v>
      </c>
      <c r="P492" s="9" t="s">
        <v>17748</v>
      </c>
      <c r="Q492" s="11" t="s">
        <v>18356</v>
      </c>
      <c r="R492" s="11" t="s">
        <v>18356</v>
      </c>
      <c r="S492" s="11" t="s">
        <v>17750</v>
      </c>
    </row>
    <row r="493" spans="1:19" x14ac:dyDescent="0.2">
      <c r="A493" s="11" t="s">
        <v>20989</v>
      </c>
      <c r="B493" s="9" t="s">
        <v>20990</v>
      </c>
      <c r="C493" s="9" t="s">
        <v>20991</v>
      </c>
      <c r="D493" s="9" t="s">
        <v>20992</v>
      </c>
      <c r="E493" s="9" t="s">
        <v>17740</v>
      </c>
      <c r="F493" s="9" t="s">
        <v>17741</v>
      </c>
      <c r="G493" s="9" t="s">
        <v>17740</v>
      </c>
      <c r="H493" s="11" t="s">
        <v>20993</v>
      </c>
      <c r="I493" s="11" t="s">
        <v>5103</v>
      </c>
      <c r="J493" s="11" t="s">
        <v>5103</v>
      </c>
      <c r="K493" s="9" t="s">
        <v>20994</v>
      </c>
      <c r="L493" s="9" t="s">
        <v>17744</v>
      </c>
      <c r="M493" s="9" t="s">
        <v>17769</v>
      </c>
      <c r="N493" s="9" t="s">
        <v>17746</v>
      </c>
      <c r="O493" s="9" t="s">
        <v>20995</v>
      </c>
      <c r="P493" s="9" t="s">
        <v>17748</v>
      </c>
      <c r="Q493" s="11" t="s">
        <v>17749</v>
      </c>
      <c r="R493" s="11" t="s">
        <v>17749</v>
      </c>
      <c r="S493" s="11" t="s">
        <v>17750</v>
      </c>
    </row>
    <row r="494" spans="1:19" x14ac:dyDescent="0.2">
      <c r="A494" s="11" t="s">
        <v>20996</v>
      </c>
      <c r="B494" s="9" t="s">
        <v>20997</v>
      </c>
      <c r="C494" s="9" t="s">
        <v>20998</v>
      </c>
      <c r="D494" s="9" t="s">
        <v>20999</v>
      </c>
      <c r="E494" s="9" t="s">
        <v>17740</v>
      </c>
      <c r="F494" s="9" t="s">
        <v>17741</v>
      </c>
      <c r="G494" s="9" t="s">
        <v>17740</v>
      </c>
      <c r="H494" s="11" t="s">
        <v>662</v>
      </c>
      <c r="I494" s="11" t="s">
        <v>661</v>
      </c>
      <c r="J494" s="11" t="s">
        <v>661</v>
      </c>
      <c r="K494" s="9" t="s">
        <v>91</v>
      </c>
      <c r="L494" s="9" t="s">
        <v>18001</v>
      </c>
      <c r="M494" s="9" t="s">
        <v>17817</v>
      </c>
      <c r="N494" s="9" t="s">
        <v>17746</v>
      </c>
      <c r="O494" s="9" t="s">
        <v>21000</v>
      </c>
      <c r="P494" s="9" t="s">
        <v>17748</v>
      </c>
      <c r="Q494" s="11" t="s">
        <v>18433</v>
      </c>
      <c r="R494" s="11" t="s">
        <v>18433</v>
      </c>
      <c r="S494" s="11" t="s">
        <v>17750</v>
      </c>
    </row>
    <row r="495" spans="1:19" x14ac:dyDescent="0.2">
      <c r="A495" s="11" t="s">
        <v>21001</v>
      </c>
      <c r="B495" s="9" t="s">
        <v>21002</v>
      </c>
      <c r="C495" s="9" t="s">
        <v>21003</v>
      </c>
      <c r="D495" s="9" t="s">
        <v>21004</v>
      </c>
      <c r="E495" s="9" t="s">
        <v>17740</v>
      </c>
      <c r="F495" s="9" t="s">
        <v>17741</v>
      </c>
      <c r="G495" s="9" t="s">
        <v>17740</v>
      </c>
      <c r="H495" s="11" t="s">
        <v>7067</v>
      </c>
      <c r="I495" s="11" t="s">
        <v>7066</v>
      </c>
      <c r="J495" s="11" t="s">
        <v>7066</v>
      </c>
      <c r="K495" s="9" t="s">
        <v>20994</v>
      </c>
      <c r="L495" s="9" t="s">
        <v>17744</v>
      </c>
      <c r="M495" s="9" t="s">
        <v>21005</v>
      </c>
      <c r="N495" s="9" t="s">
        <v>17746</v>
      </c>
      <c r="O495" s="9" t="s">
        <v>21000</v>
      </c>
      <c r="P495" s="9" t="s">
        <v>17748</v>
      </c>
      <c r="Q495" s="11" t="s">
        <v>18201</v>
      </c>
      <c r="R495" s="11" t="s">
        <v>18201</v>
      </c>
      <c r="S495" s="11" t="s">
        <v>17750</v>
      </c>
    </row>
    <row r="496" spans="1:19" x14ac:dyDescent="0.2">
      <c r="A496" s="11" t="s">
        <v>21006</v>
      </c>
      <c r="B496" s="9" t="s">
        <v>21007</v>
      </c>
      <c r="C496" s="9" t="s">
        <v>21008</v>
      </c>
      <c r="D496" s="9" t="s">
        <v>21009</v>
      </c>
      <c r="E496" s="9" t="s">
        <v>17740</v>
      </c>
      <c r="F496" s="9" t="s">
        <v>21010</v>
      </c>
      <c r="G496" s="9" t="s">
        <v>17740</v>
      </c>
      <c r="H496" s="11" t="s">
        <v>434</v>
      </c>
      <c r="I496" s="11" t="s">
        <v>433</v>
      </c>
      <c r="J496" s="11" t="s">
        <v>433</v>
      </c>
      <c r="K496" s="9" t="s">
        <v>21011</v>
      </c>
      <c r="L496" s="9" t="s">
        <v>18001</v>
      </c>
      <c r="M496" s="9" t="s">
        <v>18177</v>
      </c>
      <c r="N496" s="9" t="s">
        <v>17746</v>
      </c>
      <c r="O496" s="9" t="s">
        <v>18264</v>
      </c>
      <c r="P496" s="9" t="s">
        <v>17748</v>
      </c>
      <c r="Q496" s="11" t="s">
        <v>21012</v>
      </c>
      <c r="R496" s="11" t="s">
        <v>21012</v>
      </c>
      <c r="S496" s="11" t="s">
        <v>17750</v>
      </c>
    </row>
    <row r="497" spans="1:19" x14ac:dyDescent="0.2">
      <c r="A497" s="11" t="s">
        <v>21013</v>
      </c>
      <c r="B497" s="9" t="s">
        <v>21014</v>
      </c>
      <c r="C497" s="9" t="s">
        <v>21015</v>
      </c>
      <c r="D497" s="9" t="s">
        <v>21016</v>
      </c>
      <c r="E497" s="9" t="s">
        <v>17740</v>
      </c>
      <c r="F497" s="9" t="s">
        <v>21017</v>
      </c>
      <c r="G497" s="9" t="s">
        <v>17740</v>
      </c>
      <c r="H497" s="11" t="s">
        <v>21018</v>
      </c>
      <c r="I497" s="11" t="s">
        <v>21019</v>
      </c>
      <c r="J497" s="11" t="s">
        <v>21019</v>
      </c>
      <c r="K497" s="9" t="s">
        <v>291</v>
      </c>
      <c r="L497" s="9" t="s">
        <v>17744</v>
      </c>
      <c r="M497" s="9" t="s">
        <v>17778</v>
      </c>
      <c r="N497" s="9" t="s">
        <v>17746</v>
      </c>
      <c r="O497" s="9" t="s">
        <v>21020</v>
      </c>
      <c r="P497" s="9" t="s">
        <v>17748</v>
      </c>
      <c r="Q497" s="11" t="s">
        <v>18147</v>
      </c>
      <c r="R497" s="11" t="s">
        <v>18147</v>
      </c>
      <c r="S497" s="11" t="s">
        <v>17750</v>
      </c>
    </row>
    <row r="498" spans="1:19" x14ac:dyDescent="0.2">
      <c r="A498" s="11" t="s">
        <v>21021</v>
      </c>
      <c r="B498" s="9" t="s">
        <v>21022</v>
      </c>
      <c r="C498" s="9" t="s">
        <v>21023</v>
      </c>
      <c r="D498" s="9" t="s">
        <v>21024</v>
      </c>
      <c r="E498" s="9" t="s">
        <v>17748</v>
      </c>
      <c r="F498" s="9" t="s">
        <v>21025</v>
      </c>
      <c r="G498" s="9" t="s">
        <v>17740</v>
      </c>
      <c r="H498" s="11" t="s">
        <v>21026</v>
      </c>
      <c r="I498" s="11" t="s">
        <v>21027</v>
      </c>
      <c r="J498" s="11" t="s">
        <v>21027</v>
      </c>
      <c r="K498" s="9" t="s">
        <v>14618</v>
      </c>
      <c r="L498" s="9" t="s">
        <v>20082</v>
      </c>
      <c r="M498" s="9" t="s">
        <v>17817</v>
      </c>
      <c r="N498" s="9" t="s">
        <v>17746</v>
      </c>
      <c r="O498" s="9" t="s">
        <v>18035</v>
      </c>
      <c r="P498" s="9" t="s">
        <v>17748</v>
      </c>
      <c r="Q498" s="11" t="s">
        <v>18922</v>
      </c>
      <c r="R498" s="11" t="s">
        <v>18922</v>
      </c>
      <c r="S498" s="11" t="s">
        <v>17750</v>
      </c>
    </row>
    <row r="499" spans="1:19" x14ac:dyDescent="0.2">
      <c r="A499" s="11" t="s">
        <v>21028</v>
      </c>
      <c r="B499" s="9" t="s">
        <v>21029</v>
      </c>
      <c r="C499" s="9" t="s">
        <v>21030</v>
      </c>
      <c r="D499" s="9" t="s">
        <v>21031</v>
      </c>
      <c r="E499" s="9" t="s">
        <v>17740</v>
      </c>
      <c r="F499" s="9" t="s">
        <v>21032</v>
      </c>
      <c r="G499" s="9" t="s">
        <v>17740</v>
      </c>
      <c r="H499" s="11" t="s">
        <v>21033</v>
      </c>
      <c r="I499" s="11" t="s">
        <v>21034</v>
      </c>
      <c r="J499" s="11" t="s">
        <v>21034</v>
      </c>
      <c r="K499" s="9" t="s">
        <v>91</v>
      </c>
      <c r="L499" s="9" t="s">
        <v>17759</v>
      </c>
      <c r="M499" s="9" t="s">
        <v>21035</v>
      </c>
      <c r="N499" s="9" t="s">
        <v>17746</v>
      </c>
      <c r="O499" s="9" t="s">
        <v>17800</v>
      </c>
      <c r="P499" s="9" t="s">
        <v>17748</v>
      </c>
      <c r="Q499" s="11" t="s">
        <v>17849</v>
      </c>
      <c r="R499" s="11" t="s">
        <v>17849</v>
      </c>
      <c r="S499" s="11" t="s">
        <v>17750</v>
      </c>
    </row>
    <row r="500" spans="1:19" x14ac:dyDescent="0.2">
      <c r="A500" s="11" t="s">
        <v>21036</v>
      </c>
      <c r="B500" s="9" t="s">
        <v>21037</v>
      </c>
      <c r="C500" s="9" t="s">
        <v>21038</v>
      </c>
      <c r="D500" s="9" t="s">
        <v>4503</v>
      </c>
      <c r="E500" s="9" t="s">
        <v>17740</v>
      </c>
      <c r="F500" s="9" t="s">
        <v>21039</v>
      </c>
      <c r="G500" s="9" t="s">
        <v>17740</v>
      </c>
      <c r="H500" s="11" t="s">
        <v>4505</v>
      </c>
      <c r="I500" s="11" t="s">
        <v>4504</v>
      </c>
      <c r="J500" s="11" t="s">
        <v>4504</v>
      </c>
      <c r="K500" s="9" t="s">
        <v>21040</v>
      </c>
      <c r="L500" s="9" t="s">
        <v>18305</v>
      </c>
      <c r="M500" s="9" t="s">
        <v>17817</v>
      </c>
      <c r="N500" s="9" t="s">
        <v>17746</v>
      </c>
      <c r="O500" s="9" t="s">
        <v>21041</v>
      </c>
      <c r="P500" s="9" t="s">
        <v>17748</v>
      </c>
      <c r="Q500" s="11" t="s">
        <v>18678</v>
      </c>
      <c r="R500" s="11" t="s">
        <v>18678</v>
      </c>
      <c r="S500" s="11" t="s">
        <v>17750</v>
      </c>
    </row>
    <row r="501" spans="1:19" x14ac:dyDescent="0.2">
      <c r="A501" s="11" t="s">
        <v>21042</v>
      </c>
      <c r="B501" s="9" t="s">
        <v>21043</v>
      </c>
      <c r="C501" s="9" t="s">
        <v>21044</v>
      </c>
      <c r="D501" s="9" t="s">
        <v>21045</v>
      </c>
      <c r="E501" s="9" t="s">
        <v>17740</v>
      </c>
      <c r="F501" s="9" t="s">
        <v>21046</v>
      </c>
      <c r="G501" s="9" t="s">
        <v>17740</v>
      </c>
      <c r="H501" s="11" t="s">
        <v>21047</v>
      </c>
      <c r="I501" s="11" t="s">
        <v>21048</v>
      </c>
      <c r="J501" s="11" t="s">
        <v>21048</v>
      </c>
      <c r="K501" s="9" t="s">
        <v>21040</v>
      </c>
      <c r="L501" s="9" t="s">
        <v>18305</v>
      </c>
      <c r="M501" s="9" t="s">
        <v>19168</v>
      </c>
      <c r="N501" s="9" t="s">
        <v>17746</v>
      </c>
      <c r="O501" s="9" t="s">
        <v>21041</v>
      </c>
      <c r="P501" s="9" t="s">
        <v>17748</v>
      </c>
      <c r="Q501" s="11" t="s">
        <v>18678</v>
      </c>
      <c r="R501" s="11" t="s">
        <v>18678</v>
      </c>
      <c r="S501" s="11" t="s">
        <v>17750</v>
      </c>
    </row>
    <row r="502" spans="1:19" x14ac:dyDescent="0.2">
      <c r="A502" s="11" t="s">
        <v>21049</v>
      </c>
      <c r="B502" s="9" t="s">
        <v>21050</v>
      </c>
      <c r="C502" s="9" t="s">
        <v>21051</v>
      </c>
      <c r="D502" s="9" t="s">
        <v>7056</v>
      </c>
      <c r="E502" s="9" t="s">
        <v>17740</v>
      </c>
      <c r="F502" s="9" t="s">
        <v>17741</v>
      </c>
      <c r="G502" s="9" t="s">
        <v>17740</v>
      </c>
      <c r="H502" s="11" t="s">
        <v>7058</v>
      </c>
      <c r="I502" s="11" t="s">
        <v>7057</v>
      </c>
      <c r="J502" s="11" t="s">
        <v>7057</v>
      </c>
      <c r="K502" s="9" t="s">
        <v>17783</v>
      </c>
      <c r="L502" s="9" t="s">
        <v>18001</v>
      </c>
      <c r="M502" s="9" t="s">
        <v>17769</v>
      </c>
      <c r="N502" s="9" t="s">
        <v>17746</v>
      </c>
      <c r="O502" s="9" t="s">
        <v>18125</v>
      </c>
      <c r="P502" s="9" t="s">
        <v>17748</v>
      </c>
      <c r="Q502" s="11" t="s">
        <v>18201</v>
      </c>
      <c r="R502" s="11" t="s">
        <v>18201</v>
      </c>
      <c r="S502" s="11" t="s">
        <v>17750</v>
      </c>
    </row>
    <row r="503" spans="1:19" x14ac:dyDescent="0.2">
      <c r="A503" s="11" t="s">
        <v>21052</v>
      </c>
      <c r="B503" s="9" t="s">
        <v>598</v>
      </c>
      <c r="C503" s="9" t="s">
        <v>21053</v>
      </c>
      <c r="D503" s="9" t="s">
        <v>598</v>
      </c>
      <c r="E503" s="9" t="s">
        <v>17740</v>
      </c>
      <c r="F503" s="9" t="s">
        <v>17741</v>
      </c>
      <c r="G503" s="9" t="s">
        <v>17740</v>
      </c>
      <c r="H503" s="11" t="s">
        <v>600</v>
      </c>
      <c r="I503" s="11" t="s">
        <v>599</v>
      </c>
      <c r="J503" s="11" t="s">
        <v>599</v>
      </c>
      <c r="K503" s="9" t="s">
        <v>21054</v>
      </c>
      <c r="L503" s="9" t="s">
        <v>17744</v>
      </c>
      <c r="M503" s="9" t="s">
        <v>17769</v>
      </c>
      <c r="N503" s="9" t="s">
        <v>17746</v>
      </c>
      <c r="O503" s="9" t="s">
        <v>21055</v>
      </c>
      <c r="P503" s="9" t="s">
        <v>17748</v>
      </c>
      <c r="Q503" s="11" t="s">
        <v>19222</v>
      </c>
      <c r="R503" s="11" t="s">
        <v>19222</v>
      </c>
      <c r="S503" s="11" t="s">
        <v>17750</v>
      </c>
    </row>
    <row r="504" spans="1:19" x14ac:dyDescent="0.2">
      <c r="A504" s="11" t="s">
        <v>21056</v>
      </c>
      <c r="B504" s="9" t="s">
        <v>21057</v>
      </c>
      <c r="C504" s="9" t="s">
        <v>21058</v>
      </c>
      <c r="D504" s="9" t="s">
        <v>21059</v>
      </c>
      <c r="E504" s="9" t="s">
        <v>17740</v>
      </c>
      <c r="F504" s="9" t="s">
        <v>21060</v>
      </c>
      <c r="G504" s="9" t="s">
        <v>17740</v>
      </c>
      <c r="H504" s="11" t="s">
        <v>21061</v>
      </c>
      <c r="I504" s="11" t="s">
        <v>21062</v>
      </c>
      <c r="J504" s="11" t="s">
        <v>21062</v>
      </c>
      <c r="K504" s="9" t="s">
        <v>21063</v>
      </c>
      <c r="L504" s="9" t="s">
        <v>17759</v>
      </c>
      <c r="M504" s="9" t="s">
        <v>17817</v>
      </c>
      <c r="N504" s="9" t="s">
        <v>17746</v>
      </c>
      <c r="O504" s="9" t="s">
        <v>18746</v>
      </c>
      <c r="P504" s="9" t="s">
        <v>17748</v>
      </c>
      <c r="Q504" s="11" t="s">
        <v>19026</v>
      </c>
      <c r="R504" s="11" t="s">
        <v>19026</v>
      </c>
      <c r="S504" s="11" t="s">
        <v>17750</v>
      </c>
    </row>
    <row r="505" spans="1:19" x14ac:dyDescent="0.2">
      <c r="A505" s="11" t="s">
        <v>21064</v>
      </c>
      <c r="B505" s="9" t="s">
        <v>21065</v>
      </c>
      <c r="C505" s="9" t="s">
        <v>21066</v>
      </c>
      <c r="D505" s="9" t="s">
        <v>21067</v>
      </c>
      <c r="E505" s="9" t="s">
        <v>17740</v>
      </c>
      <c r="F505" s="9" t="s">
        <v>21068</v>
      </c>
      <c r="G505" s="9" t="s">
        <v>17740</v>
      </c>
      <c r="H505" s="11" t="s">
        <v>10792</v>
      </c>
      <c r="I505" s="11" t="s">
        <v>10791</v>
      </c>
      <c r="J505" s="11" t="s">
        <v>10791</v>
      </c>
      <c r="K505" s="9" t="s">
        <v>940</v>
      </c>
      <c r="L505" s="9" t="s">
        <v>17759</v>
      </c>
      <c r="M505" s="9" t="s">
        <v>21069</v>
      </c>
      <c r="N505" s="9" t="s">
        <v>17746</v>
      </c>
      <c r="O505" s="9" t="s">
        <v>18754</v>
      </c>
      <c r="P505" s="9" t="s">
        <v>17748</v>
      </c>
      <c r="Q505" s="11" t="s">
        <v>18433</v>
      </c>
      <c r="R505" s="11" t="s">
        <v>18433</v>
      </c>
      <c r="S505" s="11" t="s">
        <v>17750</v>
      </c>
    </row>
    <row r="506" spans="1:19" x14ac:dyDescent="0.2">
      <c r="A506" s="11" t="s">
        <v>21070</v>
      </c>
      <c r="B506" s="9" t="s">
        <v>21071</v>
      </c>
      <c r="C506" s="9" t="s">
        <v>21072</v>
      </c>
      <c r="D506" s="9" t="s">
        <v>21073</v>
      </c>
      <c r="E506" s="9" t="s">
        <v>17740</v>
      </c>
      <c r="F506" s="9" t="s">
        <v>17741</v>
      </c>
      <c r="G506" s="9" t="s">
        <v>17740</v>
      </c>
      <c r="H506" s="11" t="s">
        <v>21074</v>
      </c>
      <c r="I506" s="11" t="s">
        <v>17741</v>
      </c>
      <c r="J506" s="11" t="s">
        <v>17741</v>
      </c>
      <c r="K506" s="9" t="s">
        <v>21075</v>
      </c>
      <c r="L506" s="9" t="s">
        <v>18158</v>
      </c>
      <c r="M506" s="9" t="s">
        <v>21076</v>
      </c>
      <c r="N506" s="9" t="s">
        <v>17746</v>
      </c>
      <c r="O506" s="9" t="s">
        <v>20056</v>
      </c>
      <c r="P506" s="9" t="s">
        <v>17748</v>
      </c>
      <c r="Q506" s="11" t="s">
        <v>17825</v>
      </c>
      <c r="R506" s="11" t="s">
        <v>17825</v>
      </c>
      <c r="S506" s="11" t="s">
        <v>17750</v>
      </c>
    </row>
    <row r="507" spans="1:19" x14ac:dyDescent="0.2">
      <c r="A507" s="11" t="s">
        <v>21077</v>
      </c>
      <c r="B507" s="9" t="s">
        <v>21078</v>
      </c>
      <c r="C507" s="9" t="s">
        <v>21079</v>
      </c>
      <c r="D507" s="9" t="s">
        <v>21080</v>
      </c>
      <c r="E507" s="9" t="s">
        <v>17740</v>
      </c>
      <c r="F507" s="9" t="s">
        <v>17741</v>
      </c>
      <c r="G507" s="9" t="s">
        <v>17740</v>
      </c>
      <c r="H507" s="11" t="s">
        <v>202</v>
      </c>
      <c r="I507" s="11" t="s">
        <v>201</v>
      </c>
      <c r="J507" s="11" t="s">
        <v>201</v>
      </c>
      <c r="K507" s="9" t="s">
        <v>21081</v>
      </c>
      <c r="L507" s="9" t="s">
        <v>17744</v>
      </c>
      <c r="M507" s="9" t="s">
        <v>17769</v>
      </c>
      <c r="N507" s="9" t="s">
        <v>17746</v>
      </c>
      <c r="O507" s="9" t="s">
        <v>18514</v>
      </c>
      <c r="P507" s="9" t="s">
        <v>17748</v>
      </c>
      <c r="Q507" s="11" t="s">
        <v>17867</v>
      </c>
      <c r="R507" s="11" t="s">
        <v>17867</v>
      </c>
      <c r="S507" s="11" t="s">
        <v>17750</v>
      </c>
    </row>
    <row r="508" spans="1:19" x14ac:dyDescent="0.2">
      <c r="A508" s="11" t="s">
        <v>21082</v>
      </c>
      <c r="B508" s="9" t="s">
        <v>21083</v>
      </c>
      <c r="C508" s="9" t="s">
        <v>21084</v>
      </c>
      <c r="D508" s="9" t="s">
        <v>21085</v>
      </c>
      <c r="E508" s="9" t="s">
        <v>17740</v>
      </c>
      <c r="F508" s="9" t="s">
        <v>17741</v>
      </c>
      <c r="G508" s="9" t="s">
        <v>17740</v>
      </c>
      <c r="H508" s="11" t="s">
        <v>10023</v>
      </c>
      <c r="I508" s="11" t="s">
        <v>10022</v>
      </c>
      <c r="J508" s="11" t="s">
        <v>10022</v>
      </c>
      <c r="K508" s="9" t="s">
        <v>21086</v>
      </c>
      <c r="L508" s="9" t="s">
        <v>19483</v>
      </c>
      <c r="M508" s="9" t="s">
        <v>17760</v>
      </c>
      <c r="N508" s="9" t="s">
        <v>17746</v>
      </c>
      <c r="O508" s="9" t="s">
        <v>19715</v>
      </c>
      <c r="P508" s="9" t="s">
        <v>17748</v>
      </c>
      <c r="Q508" s="11" t="s">
        <v>17994</v>
      </c>
      <c r="R508" s="11" t="s">
        <v>17994</v>
      </c>
      <c r="S508" s="11" t="s">
        <v>17750</v>
      </c>
    </row>
    <row r="509" spans="1:19" x14ac:dyDescent="0.2">
      <c r="A509" s="11" t="s">
        <v>21087</v>
      </c>
      <c r="B509" s="9" t="s">
        <v>21088</v>
      </c>
      <c r="C509" s="9" t="s">
        <v>21089</v>
      </c>
      <c r="D509" s="9" t="s">
        <v>21090</v>
      </c>
      <c r="E509" s="9" t="s">
        <v>17740</v>
      </c>
      <c r="F509" s="9" t="s">
        <v>21091</v>
      </c>
      <c r="G509" s="9" t="s">
        <v>17740</v>
      </c>
      <c r="H509" s="11" t="s">
        <v>8633</v>
      </c>
      <c r="I509" s="11" t="s">
        <v>8632</v>
      </c>
      <c r="J509" s="11" t="s">
        <v>8633</v>
      </c>
      <c r="K509" s="9" t="s">
        <v>17758</v>
      </c>
      <c r="L509" s="9" t="s">
        <v>17759</v>
      </c>
      <c r="M509" s="9" t="s">
        <v>21092</v>
      </c>
      <c r="N509" s="9" t="s">
        <v>17746</v>
      </c>
      <c r="O509" s="9" t="s">
        <v>21093</v>
      </c>
      <c r="P509" s="9" t="s">
        <v>17748</v>
      </c>
      <c r="Q509" s="11" t="s">
        <v>18356</v>
      </c>
      <c r="R509" s="11" t="s">
        <v>18356</v>
      </c>
      <c r="S509" s="11" t="s">
        <v>17750</v>
      </c>
    </row>
    <row r="510" spans="1:19" x14ac:dyDescent="0.2">
      <c r="A510" s="11" t="s">
        <v>21094</v>
      </c>
      <c r="B510" s="9" t="s">
        <v>21095</v>
      </c>
      <c r="C510" s="9" t="s">
        <v>21096</v>
      </c>
      <c r="D510" s="9" t="s">
        <v>21097</v>
      </c>
      <c r="E510" s="9" t="s">
        <v>17740</v>
      </c>
      <c r="F510" s="9" t="s">
        <v>21098</v>
      </c>
      <c r="G510" s="9" t="s">
        <v>17740</v>
      </c>
      <c r="H510" s="11" t="s">
        <v>449</v>
      </c>
      <c r="I510" s="11" t="s">
        <v>448</v>
      </c>
      <c r="J510" s="11" t="s">
        <v>448</v>
      </c>
      <c r="K510" s="9" t="s">
        <v>167</v>
      </c>
      <c r="L510" s="9" t="s">
        <v>18158</v>
      </c>
      <c r="M510" s="9" t="s">
        <v>21099</v>
      </c>
      <c r="N510" s="9" t="s">
        <v>17746</v>
      </c>
      <c r="O510" s="9" t="s">
        <v>21100</v>
      </c>
      <c r="P510" s="9" t="s">
        <v>17748</v>
      </c>
      <c r="Q510" s="11" t="s">
        <v>18341</v>
      </c>
      <c r="R510" s="11" t="s">
        <v>18341</v>
      </c>
      <c r="S510" s="11" t="s">
        <v>17750</v>
      </c>
    </row>
    <row r="511" spans="1:19" x14ac:dyDescent="0.2">
      <c r="A511" s="11" t="s">
        <v>21101</v>
      </c>
      <c r="B511" s="9" t="s">
        <v>21102</v>
      </c>
      <c r="C511" s="9" t="s">
        <v>21103</v>
      </c>
      <c r="D511" s="9" t="s">
        <v>21104</v>
      </c>
      <c r="E511" s="9" t="s">
        <v>17748</v>
      </c>
      <c r="F511" s="9" t="s">
        <v>21105</v>
      </c>
      <c r="G511" s="9" t="s">
        <v>17740</v>
      </c>
      <c r="H511" s="11" t="s">
        <v>21106</v>
      </c>
      <c r="I511" s="11" t="s">
        <v>21107</v>
      </c>
      <c r="J511" s="11" t="s">
        <v>21107</v>
      </c>
      <c r="K511" s="9" t="s">
        <v>21108</v>
      </c>
      <c r="L511" s="9" t="s">
        <v>17759</v>
      </c>
      <c r="M511" s="9" t="s">
        <v>17760</v>
      </c>
      <c r="N511" s="9" t="s">
        <v>17746</v>
      </c>
      <c r="O511" s="9" t="s">
        <v>21109</v>
      </c>
      <c r="P511" s="9" t="s">
        <v>17748</v>
      </c>
      <c r="Q511" s="11" t="s">
        <v>17923</v>
      </c>
      <c r="R511" s="11" t="s">
        <v>17923</v>
      </c>
      <c r="S511" s="11" t="s">
        <v>17750</v>
      </c>
    </row>
    <row r="512" spans="1:19" x14ac:dyDescent="0.2">
      <c r="A512" s="11" t="s">
        <v>21110</v>
      </c>
      <c r="B512" s="9" t="s">
        <v>21111</v>
      </c>
      <c r="C512" s="9" t="s">
        <v>21112</v>
      </c>
      <c r="D512" s="9" t="s">
        <v>21113</v>
      </c>
      <c r="E512" s="9" t="s">
        <v>17740</v>
      </c>
      <c r="F512" s="9" t="s">
        <v>21105</v>
      </c>
      <c r="G512" s="9" t="s">
        <v>17740</v>
      </c>
      <c r="H512" s="11" t="s">
        <v>21114</v>
      </c>
      <c r="I512" s="11" t="s">
        <v>21115</v>
      </c>
      <c r="J512" s="11" t="s">
        <v>17741</v>
      </c>
      <c r="K512" s="9" t="s">
        <v>21108</v>
      </c>
      <c r="L512" s="9" t="s">
        <v>17759</v>
      </c>
      <c r="M512" s="9" t="s">
        <v>21116</v>
      </c>
      <c r="N512" s="9" t="s">
        <v>17746</v>
      </c>
      <c r="O512" s="9" t="s">
        <v>21117</v>
      </c>
      <c r="P512" s="9" t="s">
        <v>17748</v>
      </c>
      <c r="Q512" s="11" t="s">
        <v>17923</v>
      </c>
      <c r="R512" s="11" t="s">
        <v>17923</v>
      </c>
      <c r="S512" s="11" t="s">
        <v>17750</v>
      </c>
    </row>
    <row r="513" spans="1:19" x14ac:dyDescent="0.2">
      <c r="A513" s="11" t="s">
        <v>21118</v>
      </c>
      <c r="B513" s="9" t="s">
        <v>21119</v>
      </c>
      <c r="C513" s="9" t="s">
        <v>21120</v>
      </c>
      <c r="D513" s="9" t="s">
        <v>21121</v>
      </c>
      <c r="E513" s="9" t="s">
        <v>17740</v>
      </c>
      <c r="F513" s="9" t="s">
        <v>17741</v>
      </c>
      <c r="G513" s="9" t="s">
        <v>17740</v>
      </c>
      <c r="H513" s="11" t="s">
        <v>21122</v>
      </c>
      <c r="I513" s="11" t="s">
        <v>21123</v>
      </c>
      <c r="J513" s="11" t="s">
        <v>21123</v>
      </c>
      <c r="K513" s="9" t="s">
        <v>303</v>
      </c>
      <c r="L513" s="9" t="s">
        <v>17759</v>
      </c>
      <c r="M513" s="9" t="s">
        <v>17760</v>
      </c>
      <c r="N513" s="9" t="s">
        <v>17746</v>
      </c>
      <c r="O513" s="9" t="s">
        <v>17800</v>
      </c>
      <c r="P513" s="9" t="s">
        <v>17748</v>
      </c>
      <c r="Q513" s="11" t="s">
        <v>18678</v>
      </c>
      <c r="R513" s="11" t="s">
        <v>18678</v>
      </c>
      <c r="S513" s="11" t="s">
        <v>17750</v>
      </c>
    </row>
    <row r="514" spans="1:19" x14ac:dyDescent="0.2">
      <c r="A514" s="11" t="s">
        <v>21124</v>
      </c>
      <c r="B514" s="9" t="s">
        <v>21125</v>
      </c>
      <c r="C514" s="9" t="s">
        <v>21126</v>
      </c>
      <c r="D514" s="9" t="s">
        <v>21127</v>
      </c>
      <c r="E514" s="9" t="s">
        <v>17740</v>
      </c>
      <c r="F514" s="9" t="s">
        <v>17741</v>
      </c>
      <c r="G514" s="9" t="s">
        <v>17740</v>
      </c>
      <c r="H514" s="11" t="s">
        <v>21128</v>
      </c>
      <c r="I514" s="11" t="s">
        <v>21129</v>
      </c>
      <c r="J514" s="11" t="s">
        <v>21129</v>
      </c>
      <c r="K514" s="9" t="s">
        <v>16258</v>
      </c>
      <c r="L514" s="9" t="s">
        <v>17759</v>
      </c>
      <c r="M514" s="9" t="s">
        <v>21130</v>
      </c>
      <c r="N514" s="9" t="s">
        <v>17746</v>
      </c>
      <c r="O514" s="9" t="s">
        <v>3255</v>
      </c>
      <c r="P514" s="9" t="s">
        <v>17748</v>
      </c>
      <c r="Q514" s="11" t="s">
        <v>18314</v>
      </c>
      <c r="R514" s="11" t="s">
        <v>18314</v>
      </c>
      <c r="S514" s="11" t="s">
        <v>17750</v>
      </c>
    </row>
    <row r="515" spans="1:19" x14ac:dyDescent="0.2">
      <c r="A515" s="11" t="s">
        <v>21131</v>
      </c>
      <c r="B515" s="9" t="s">
        <v>21132</v>
      </c>
      <c r="C515" s="9" t="s">
        <v>21133</v>
      </c>
      <c r="D515" s="9" t="s">
        <v>21134</v>
      </c>
      <c r="E515" s="9" t="s">
        <v>17748</v>
      </c>
      <c r="F515" s="9" t="s">
        <v>21135</v>
      </c>
      <c r="G515" s="9" t="s">
        <v>17740</v>
      </c>
      <c r="H515" s="11" t="s">
        <v>21136</v>
      </c>
      <c r="I515" s="11" t="s">
        <v>21137</v>
      </c>
      <c r="J515" s="11" t="s">
        <v>17741</v>
      </c>
      <c r="K515" s="9" t="s">
        <v>21138</v>
      </c>
      <c r="L515" s="9" t="s">
        <v>18959</v>
      </c>
      <c r="M515" s="9" t="s">
        <v>17769</v>
      </c>
      <c r="N515" s="9" t="s">
        <v>17746</v>
      </c>
      <c r="O515" s="9" t="s">
        <v>21139</v>
      </c>
      <c r="P515" s="9" t="s">
        <v>17748</v>
      </c>
      <c r="Q515" s="11" t="s">
        <v>17762</v>
      </c>
      <c r="R515" s="11" t="s">
        <v>17762</v>
      </c>
      <c r="S515" s="11" t="s">
        <v>17750</v>
      </c>
    </row>
    <row r="516" spans="1:19" x14ac:dyDescent="0.2">
      <c r="A516" s="11" t="s">
        <v>21140</v>
      </c>
      <c r="B516" s="9" t="s">
        <v>21141</v>
      </c>
      <c r="C516" s="9" t="s">
        <v>21142</v>
      </c>
      <c r="D516" s="9" t="s">
        <v>21143</v>
      </c>
      <c r="E516" s="9" t="s">
        <v>17740</v>
      </c>
      <c r="F516" s="9" t="s">
        <v>17741</v>
      </c>
      <c r="G516" s="9" t="s">
        <v>17740</v>
      </c>
      <c r="H516" s="11" t="s">
        <v>21144</v>
      </c>
      <c r="I516" s="11" t="s">
        <v>21145</v>
      </c>
      <c r="J516" s="11" t="s">
        <v>21144</v>
      </c>
      <c r="K516" s="9" t="s">
        <v>21146</v>
      </c>
      <c r="L516" s="9" t="s">
        <v>17744</v>
      </c>
      <c r="M516" s="9" t="s">
        <v>18685</v>
      </c>
      <c r="N516" s="9" t="s">
        <v>17746</v>
      </c>
      <c r="O516" s="9" t="s">
        <v>21020</v>
      </c>
      <c r="P516" s="9" t="s">
        <v>17748</v>
      </c>
      <c r="Q516" s="11" t="s">
        <v>17825</v>
      </c>
      <c r="R516" s="11" t="s">
        <v>17825</v>
      </c>
      <c r="S516" s="11" t="s">
        <v>17750</v>
      </c>
    </row>
    <row r="517" spans="1:19" x14ac:dyDescent="0.2">
      <c r="A517" s="11" t="s">
        <v>21147</v>
      </c>
      <c r="B517" s="9" t="s">
        <v>21148</v>
      </c>
      <c r="C517" s="9" t="s">
        <v>21149</v>
      </c>
      <c r="D517" s="9" t="s">
        <v>21150</v>
      </c>
      <c r="E517" s="9" t="s">
        <v>17748</v>
      </c>
      <c r="F517" s="9" t="s">
        <v>21151</v>
      </c>
      <c r="G517" s="9" t="s">
        <v>17740</v>
      </c>
      <c r="H517" s="11" t="s">
        <v>21152</v>
      </c>
      <c r="I517" s="11" t="s">
        <v>21153</v>
      </c>
      <c r="J517" s="11" t="s">
        <v>21153</v>
      </c>
      <c r="K517" s="9" t="s">
        <v>18832</v>
      </c>
      <c r="L517" s="9" t="s">
        <v>17759</v>
      </c>
      <c r="M517" s="9" t="s">
        <v>17760</v>
      </c>
      <c r="N517" s="9" t="s">
        <v>17746</v>
      </c>
      <c r="O517" s="9" t="s">
        <v>21154</v>
      </c>
      <c r="P517" s="9" t="s">
        <v>17748</v>
      </c>
      <c r="Q517" s="11" t="s">
        <v>18272</v>
      </c>
      <c r="R517" s="11" t="s">
        <v>18272</v>
      </c>
      <c r="S517" s="11" t="s">
        <v>17750</v>
      </c>
    </row>
    <row r="518" spans="1:19" x14ac:dyDescent="0.2">
      <c r="A518" s="11" t="s">
        <v>21155</v>
      </c>
      <c r="B518" s="9" t="s">
        <v>21156</v>
      </c>
      <c r="C518" s="9" t="s">
        <v>21157</v>
      </c>
      <c r="D518" s="9" t="s">
        <v>21158</v>
      </c>
      <c r="E518" s="9" t="s">
        <v>17748</v>
      </c>
      <c r="F518" s="9" t="s">
        <v>21159</v>
      </c>
      <c r="G518" s="9" t="s">
        <v>17740</v>
      </c>
      <c r="H518" s="11" t="s">
        <v>638</v>
      </c>
      <c r="I518" s="11" t="s">
        <v>637</v>
      </c>
      <c r="J518" s="11" t="s">
        <v>637</v>
      </c>
      <c r="K518" s="9" t="s">
        <v>17865</v>
      </c>
      <c r="L518" s="9" t="s">
        <v>17744</v>
      </c>
      <c r="M518" s="9" t="s">
        <v>17817</v>
      </c>
      <c r="N518" s="9" t="s">
        <v>17746</v>
      </c>
      <c r="O518" s="9" t="s">
        <v>21160</v>
      </c>
      <c r="P518" s="9" t="s">
        <v>17748</v>
      </c>
      <c r="Q518" s="11" t="s">
        <v>17792</v>
      </c>
      <c r="R518" s="11" t="s">
        <v>17792</v>
      </c>
      <c r="S518" s="11" t="s">
        <v>17750</v>
      </c>
    </row>
    <row r="519" spans="1:19" x14ac:dyDescent="0.2">
      <c r="A519" s="11" t="s">
        <v>21161</v>
      </c>
      <c r="B519" s="9" t="s">
        <v>21162</v>
      </c>
      <c r="C519" s="9" t="s">
        <v>21163</v>
      </c>
      <c r="D519" s="9" t="s">
        <v>21164</v>
      </c>
      <c r="E519" s="9" t="s">
        <v>17740</v>
      </c>
      <c r="F519" s="9" t="s">
        <v>21165</v>
      </c>
      <c r="G519" s="9" t="s">
        <v>17740</v>
      </c>
      <c r="H519" s="11" t="s">
        <v>21166</v>
      </c>
      <c r="I519" s="11" t="s">
        <v>21167</v>
      </c>
      <c r="J519" s="11" t="s">
        <v>21167</v>
      </c>
      <c r="K519" s="9" t="s">
        <v>21168</v>
      </c>
      <c r="L519" s="9" t="s">
        <v>17759</v>
      </c>
      <c r="M519" s="9" t="s">
        <v>21169</v>
      </c>
      <c r="N519" s="9" t="s">
        <v>17746</v>
      </c>
      <c r="O519" s="9" t="s">
        <v>21170</v>
      </c>
      <c r="P519" s="9" t="s">
        <v>17748</v>
      </c>
      <c r="Q519" s="11" t="s">
        <v>20021</v>
      </c>
      <c r="R519" s="11" t="s">
        <v>20021</v>
      </c>
      <c r="S519" s="11" t="s">
        <v>17750</v>
      </c>
    </row>
    <row r="520" spans="1:19" x14ac:dyDescent="0.2">
      <c r="A520" s="11" t="s">
        <v>21171</v>
      </c>
      <c r="B520" s="9" t="s">
        <v>21172</v>
      </c>
      <c r="C520" s="9" t="s">
        <v>21173</v>
      </c>
      <c r="D520" s="9" t="s">
        <v>21174</v>
      </c>
      <c r="E520" s="9" t="s">
        <v>17740</v>
      </c>
      <c r="F520" s="9" t="s">
        <v>17741</v>
      </c>
      <c r="G520" s="9" t="s">
        <v>17740</v>
      </c>
      <c r="H520" s="11" t="s">
        <v>611</v>
      </c>
      <c r="I520" s="11" t="s">
        <v>610</v>
      </c>
      <c r="J520" s="11" t="s">
        <v>610</v>
      </c>
      <c r="K520" s="9" t="s">
        <v>21175</v>
      </c>
      <c r="L520" s="9" t="s">
        <v>18001</v>
      </c>
      <c r="M520" s="9" t="s">
        <v>21176</v>
      </c>
      <c r="N520" s="9" t="s">
        <v>17746</v>
      </c>
      <c r="O520" s="9" t="s">
        <v>21177</v>
      </c>
      <c r="P520" s="9" t="s">
        <v>17748</v>
      </c>
      <c r="Q520" s="11" t="s">
        <v>18433</v>
      </c>
      <c r="R520" s="11" t="s">
        <v>18433</v>
      </c>
      <c r="S520" s="11" t="s">
        <v>17750</v>
      </c>
    </row>
    <row r="521" spans="1:19" x14ac:dyDescent="0.2">
      <c r="A521" s="11" t="s">
        <v>21178</v>
      </c>
      <c r="B521" s="9" t="s">
        <v>21179</v>
      </c>
      <c r="C521" s="9" t="s">
        <v>21180</v>
      </c>
      <c r="D521" s="9" t="s">
        <v>21181</v>
      </c>
      <c r="E521" s="9" t="s">
        <v>17740</v>
      </c>
      <c r="F521" s="9" t="s">
        <v>17741</v>
      </c>
      <c r="G521" s="9" t="s">
        <v>17740</v>
      </c>
      <c r="H521" s="11" t="s">
        <v>13742</v>
      </c>
      <c r="I521" s="11" t="s">
        <v>13741</v>
      </c>
      <c r="J521" s="11" t="s">
        <v>13741</v>
      </c>
      <c r="K521" s="9" t="s">
        <v>91</v>
      </c>
      <c r="L521" s="9" t="s">
        <v>21182</v>
      </c>
      <c r="M521" s="9" t="s">
        <v>17760</v>
      </c>
      <c r="N521" s="9" t="s">
        <v>17746</v>
      </c>
      <c r="O521" s="9" t="s">
        <v>1675</v>
      </c>
      <c r="P521" s="9" t="s">
        <v>17748</v>
      </c>
      <c r="Q521" s="11" t="s">
        <v>17784</v>
      </c>
      <c r="R521" s="11" t="s">
        <v>17784</v>
      </c>
      <c r="S521" s="11" t="s">
        <v>17750</v>
      </c>
    </row>
    <row r="522" spans="1:19" x14ac:dyDescent="0.2">
      <c r="A522" s="11" t="s">
        <v>21183</v>
      </c>
      <c r="B522" s="9" t="s">
        <v>21184</v>
      </c>
      <c r="C522" s="9" t="s">
        <v>21185</v>
      </c>
      <c r="D522" s="9" t="s">
        <v>21186</v>
      </c>
      <c r="E522" s="9" t="s">
        <v>17740</v>
      </c>
      <c r="F522" s="9" t="s">
        <v>17741</v>
      </c>
      <c r="G522" s="9" t="s">
        <v>17740</v>
      </c>
      <c r="H522" s="11" t="s">
        <v>17741</v>
      </c>
      <c r="I522" s="11" t="s">
        <v>21187</v>
      </c>
      <c r="J522" s="11" t="s">
        <v>17741</v>
      </c>
      <c r="K522" s="9" t="s">
        <v>21188</v>
      </c>
      <c r="L522" s="9" t="s">
        <v>21189</v>
      </c>
      <c r="M522" s="9" t="s">
        <v>17741</v>
      </c>
      <c r="N522" s="9" t="s">
        <v>21190</v>
      </c>
      <c r="O522" s="9" t="s">
        <v>7269</v>
      </c>
      <c r="P522" s="9" t="s">
        <v>17748</v>
      </c>
      <c r="Q522" s="11" t="s">
        <v>18370</v>
      </c>
      <c r="R522" s="11" t="s">
        <v>18370</v>
      </c>
      <c r="S522" s="11" t="s">
        <v>17750</v>
      </c>
    </row>
    <row r="523" spans="1:19" x14ac:dyDescent="0.2">
      <c r="A523" s="11" t="s">
        <v>21191</v>
      </c>
      <c r="B523" s="9" t="s">
        <v>21192</v>
      </c>
      <c r="C523" s="9" t="s">
        <v>21193</v>
      </c>
      <c r="D523" s="9" t="s">
        <v>21194</v>
      </c>
      <c r="E523" s="9" t="s">
        <v>17748</v>
      </c>
      <c r="F523" s="9" t="s">
        <v>21195</v>
      </c>
      <c r="G523" s="9" t="s">
        <v>17740</v>
      </c>
      <c r="H523" s="11" t="s">
        <v>17741</v>
      </c>
      <c r="I523" s="11" t="s">
        <v>17741</v>
      </c>
      <c r="J523" s="11" t="s">
        <v>17741</v>
      </c>
      <c r="K523" s="9" t="s">
        <v>21196</v>
      </c>
      <c r="L523" s="9" t="s">
        <v>18158</v>
      </c>
      <c r="M523" s="9" t="s">
        <v>17942</v>
      </c>
      <c r="N523" s="9" t="s">
        <v>17746</v>
      </c>
      <c r="O523" s="9" t="s">
        <v>21197</v>
      </c>
      <c r="P523" s="9" t="s">
        <v>17748</v>
      </c>
      <c r="Q523" s="11" t="s">
        <v>17825</v>
      </c>
      <c r="R523" s="11" t="s">
        <v>17825</v>
      </c>
      <c r="S523" s="14" t="s">
        <v>21198</v>
      </c>
    </row>
    <row r="524" spans="1:19" x14ac:dyDescent="0.2">
      <c r="A524" s="11" t="s">
        <v>21199</v>
      </c>
      <c r="B524" s="9" t="s">
        <v>21200</v>
      </c>
      <c r="C524" s="9" t="s">
        <v>21201</v>
      </c>
      <c r="D524" s="9" t="s">
        <v>21202</v>
      </c>
      <c r="E524" s="9" t="s">
        <v>17740</v>
      </c>
      <c r="F524" s="9" t="s">
        <v>17741</v>
      </c>
      <c r="G524" s="9" t="s">
        <v>17740</v>
      </c>
      <c r="H524" s="11" t="s">
        <v>21203</v>
      </c>
      <c r="I524" s="11" t="s">
        <v>21204</v>
      </c>
      <c r="J524" s="11" t="s">
        <v>17741</v>
      </c>
      <c r="K524" s="9" t="s">
        <v>21205</v>
      </c>
      <c r="L524" s="9" t="s">
        <v>17759</v>
      </c>
      <c r="M524" s="9" t="s">
        <v>17741</v>
      </c>
      <c r="N524" s="9" t="s">
        <v>17746</v>
      </c>
      <c r="O524" s="9" t="s">
        <v>18746</v>
      </c>
      <c r="P524" s="9" t="s">
        <v>17748</v>
      </c>
      <c r="Q524" s="11" t="s">
        <v>17994</v>
      </c>
      <c r="R524" s="11" t="s">
        <v>17994</v>
      </c>
      <c r="S524" s="11" t="s">
        <v>17750</v>
      </c>
    </row>
    <row r="525" spans="1:19" x14ac:dyDescent="0.2">
      <c r="A525" s="11" t="s">
        <v>21206</v>
      </c>
      <c r="B525" s="9" t="s">
        <v>21207</v>
      </c>
      <c r="C525" s="9" t="s">
        <v>21208</v>
      </c>
      <c r="D525" s="9" t="s">
        <v>21209</v>
      </c>
      <c r="E525" s="9" t="s">
        <v>17740</v>
      </c>
      <c r="F525" s="9" t="s">
        <v>21210</v>
      </c>
      <c r="G525" s="9" t="s">
        <v>17740</v>
      </c>
      <c r="H525" s="11" t="s">
        <v>17741</v>
      </c>
      <c r="I525" s="11" t="s">
        <v>21211</v>
      </c>
      <c r="J525" s="11" t="s">
        <v>21211</v>
      </c>
      <c r="K525" s="9" t="s">
        <v>21212</v>
      </c>
      <c r="L525" s="9" t="s">
        <v>17759</v>
      </c>
      <c r="M525" s="9" t="s">
        <v>21213</v>
      </c>
      <c r="N525" s="9" t="s">
        <v>17746</v>
      </c>
      <c r="O525" s="9" t="s">
        <v>17857</v>
      </c>
      <c r="P525" s="9" t="s">
        <v>17748</v>
      </c>
      <c r="Q525" s="11" t="s">
        <v>21214</v>
      </c>
      <c r="R525" s="11" t="s">
        <v>21214</v>
      </c>
      <c r="S525" s="11" t="s">
        <v>17750</v>
      </c>
    </row>
    <row r="526" spans="1:19" x14ac:dyDescent="0.2">
      <c r="A526" s="11" t="s">
        <v>21215</v>
      </c>
      <c r="B526" s="9" t="s">
        <v>648</v>
      </c>
      <c r="C526" s="9" t="s">
        <v>21216</v>
      </c>
      <c r="D526" s="9" t="s">
        <v>21217</v>
      </c>
      <c r="E526" s="9" t="s">
        <v>17740</v>
      </c>
      <c r="F526" s="9" t="s">
        <v>21218</v>
      </c>
      <c r="G526" s="9" t="s">
        <v>17740</v>
      </c>
      <c r="H526" s="11" t="s">
        <v>650</v>
      </c>
      <c r="I526" s="11" t="s">
        <v>649</v>
      </c>
      <c r="J526" s="11" t="s">
        <v>649</v>
      </c>
      <c r="K526" s="9" t="s">
        <v>21219</v>
      </c>
      <c r="L526" s="9" t="s">
        <v>18158</v>
      </c>
      <c r="M526" s="9" t="s">
        <v>17817</v>
      </c>
      <c r="N526" s="9" t="s">
        <v>18185</v>
      </c>
      <c r="O526" s="9" t="s">
        <v>21220</v>
      </c>
      <c r="P526" s="9" t="s">
        <v>17748</v>
      </c>
      <c r="Q526" s="11" t="s">
        <v>19082</v>
      </c>
      <c r="R526" s="11" t="s">
        <v>19082</v>
      </c>
      <c r="S526" s="11" t="s">
        <v>17750</v>
      </c>
    </row>
    <row r="527" spans="1:19" x14ac:dyDescent="0.2">
      <c r="A527" s="11" t="s">
        <v>21221</v>
      </c>
      <c r="B527" s="9" t="s">
        <v>21222</v>
      </c>
      <c r="C527" s="9" t="s">
        <v>21223</v>
      </c>
      <c r="D527" s="9" t="s">
        <v>21224</v>
      </c>
      <c r="E527" s="9" t="s">
        <v>17740</v>
      </c>
      <c r="F527" s="9" t="s">
        <v>21225</v>
      </c>
      <c r="G527" s="9" t="s">
        <v>17740</v>
      </c>
      <c r="H527" s="11" t="s">
        <v>17741</v>
      </c>
      <c r="I527" s="11" t="s">
        <v>21226</v>
      </c>
      <c r="J527" s="11" t="s">
        <v>21226</v>
      </c>
      <c r="K527" s="9" t="s">
        <v>21227</v>
      </c>
      <c r="L527" s="9" t="s">
        <v>18158</v>
      </c>
      <c r="M527" s="9" t="s">
        <v>18289</v>
      </c>
      <c r="N527" s="9" t="s">
        <v>18185</v>
      </c>
      <c r="O527" s="9" t="s">
        <v>19275</v>
      </c>
      <c r="P527" s="9" t="s">
        <v>17748</v>
      </c>
      <c r="Q527" s="11" t="s">
        <v>19349</v>
      </c>
      <c r="R527" s="11" t="s">
        <v>19349</v>
      </c>
      <c r="S527" s="11" t="s">
        <v>17750</v>
      </c>
    </row>
    <row r="528" spans="1:19" x14ac:dyDescent="0.2">
      <c r="A528" s="11" t="s">
        <v>21228</v>
      </c>
      <c r="B528" s="9" t="s">
        <v>21229</v>
      </c>
      <c r="C528" s="9" t="s">
        <v>21230</v>
      </c>
      <c r="D528" s="9" t="s">
        <v>21231</v>
      </c>
      <c r="E528" s="9" t="s">
        <v>17740</v>
      </c>
      <c r="F528" s="9" t="s">
        <v>21232</v>
      </c>
      <c r="G528" s="9" t="s">
        <v>17740</v>
      </c>
      <c r="H528" s="11" t="s">
        <v>21233</v>
      </c>
      <c r="I528" s="11" t="s">
        <v>21234</v>
      </c>
      <c r="J528" s="11" t="s">
        <v>21234</v>
      </c>
      <c r="K528" s="9" t="s">
        <v>21235</v>
      </c>
      <c r="L528" s="9" t="s">
        <v>21236</v>
      </c>
      <c r="M528" s="9" t="s">
        <v>18051</v>
      </c>
      <c r="N528" s="9" t="s">
        <v>18042</v>
      </c>
      <c r="O528" s="9" t="s">
        <v>3524</v>
      </c>
      <c r="P528" s="9" t="s">
        <v>17748</v>
      </c>
      <c r="Q528" s="11" t="s">
        <v>17969</v>
      </c>
      <c r="R528" s="11" t="s">
        <v>17969</v>
      </c>
      <c r="S528" s="11" t="s">
        <v>17750</v>
      </c>
    </row>
    <row r="529" spans="1:19" x14ac:dyDescent="0.2">
      <c r="A529" s="11" t="s">
        <v>21237</v>
      </c>
      <c r="B529" s="9" t="s">
        <v>21238</v>
      </c>
      <c r="C529" s="9" t="s">
        <v>21239</v>
      </c>
      <c r="D529" s="9" t="s">
        <v>21240</v>
      </c>
      <c r="E529" s="9" t="s">
        <v>17740</v>
      </c>
      <c r="F529" s="9" t="s">
        <v>21241</v>
      </c>
      <c r="G529" s="9" t="s">
        <v>17740</v>
      </c>
      <c r="H529" s="11" t="s">
        <v>17741</v>
      </c>
      <c r="I529" s="11" t="s">
        <v>21242</v>
      </c>
      <c r="J529" s="11" t="s">
        <v>21242</v>
      </c>
      <c r="K529" s="9" t="s">
        <v>17741</v>
      </c>
      <c r="L529" s="9" t="s">
        <v>21243</v>
      </c>
      <c r="M529" s="9" t="s">
        <v>17760</v>
      </c>
      <c r="N529" s="9" t="s">
        <v>18042</v>
      </c>
      <c r="O529" s="9" t="s">
        <v>3524</v>
      </c>
      <c r="P529" s="9" t="s">
        <v>17748</v>
      </c>
      <c r="Q529" s="11" t="s">
        <v>21244</v>
      </c>
      <c r="R529" s="11" t="s">
        <v>21244</v>
      </c>
      <c r="S529" s="11" t="s">
        <v>17750</v>
      </c>
    </row>
    <row r="530" spans="1:19" x14ac:dyDescent="0.2">
      <c r="A530" s="11" t="s">
        <v>21245</v>
      </c>
      <c r="B530" s="9" t="s">
        <v>21246</v>
      </c>
      <c r="C530" s="9" t="s">
        <v>21247</v>
      </c>
      <c r="D530" s="9" t="s">
        <v>21248</v>
      </c>
      <c r="E530" s="9" t="s">
        <v>17748</v>
      </c>
      <c r="F530" s="9" t="s">
        <v>21249</v>
      </c>
      <c r="G530" s="9" t="s">
        <v>17740</v>
      </c>
      <c r="H530" s="11" t="s">
        <v>6185</v>
      </c>
      <c r="I530" s="11" t="s">
        <v>6184</v>
      </c>
      <c r="J530" s="11" t="s">
        <v>6184</v>
      </c>
      <c r="K530" s="9" t="s">
        <v>91</v>
      </c>
      <c r="L530" s="9" t="s">
        <v>20359</v>
      </c>
      <c r="M530" s="9" t="s">
        <v>18289</v>
      </c>
      <c r="N530" s="9" t="s">
        <v>18042</v>
      </c>
      <c r="O530" s="9" t="s">
        <v>3355</v>
      </c>
      <c r="P530" s="9" t="s">
        <v>17748</v>
      </c>
      <c r="Q530" s="11" t="s">
        <v>17808</v>
      </c>
      <c r="R530" s="11" t="s">
        <v>17808</v>
      </c>
      <c r="S530" s="11" t="s">
        <v>17750</v>
      </c>
    </row>
    <row r="531" spans="1:19" x14ac:dyDescent="0.2">
      <c r="A531" s="11" t="s">
        <v>21250</v>
      </c>
      <c r="B531" s="9" t="s">
        <v>21251</v>
      </c>
      <c r="C531" s="9" t="s">
        <v>21252</v>
      </c>
      <c r="D531" s="9" t="s">
        <v>21253</v>
      </c>
      <c r="E531" s="9" t="s">
        <v>17740</v>
      </c>
      <c r="F531" s="9" t="s">
        <v>21254</v>
      </c>
      <c r="G531" s="9" t="s">
        <v>17740</v>
      </c>
      <c r="H531" s="11" t="s">
        <v>17741</v>
      </c>
      <c r="I531" s="11" t="s">
        <v>21255</v>
      </c>
      <c r="J531" s="11" t="s">
        <v>21255</v>
      </c>
      <c r="K531" s="9" t="s">
        <v>21256</v>
      </c>
      <c r="L531" s="9" t="s">
        <v>20359</v>
      </c>
      <c r="M531" s="9" t="s">
        <v>18211</v>
      </c>
      <c r="N531" s="9" t="s">
        <v>18042</v>
      </c>
      <c r="O531" s="9" t="s">
        <v>17747</v>
      </c>
      <c r="P531" s="9" t="s">
        <v>17748</v>
      </c>
      <c r="Q531" s="11" t="s">
        <v>18847</v>
      </c>
      <c r="R531" s="11" t="s">
        <v>18847</v>
      </c>
      <c r="S531" s="11" t="s">
        <v>17750</v>
      </c>
    </row>
    <row r="532" spans="1:19" x14ac:dyDescent="0.2">
      <c r="A532" s="11" t="s">
        <v>21257</v>
      </c>
      <c r="B532" s="9" t="s">
        <v>21258</v>
      </c>
      <c r="C532" s="9" t="s">
        <v>21259</v>
      </c>
      <c r="D532" s="9" t="s">
        <v>21260</v>
      </c>
      <c r="E532" s="9" t="s">
        <v>17740</v>
      </c>
      <c r="F532" s="9" t="s">
        <v>17741</v>
      </c>
      <c r="G532" s="9" t="s">
        <v>17740</v>
      </c>
      <c r="H532" s="11" t="s">
        <v>17741</v>
      </c>
      <c r="I532" s="11" t="s">
        <v>21261</v>
      </c>
      <c r="J532" s="11" t="s">
        <v>21261</v>
      </c>
      <c r="K532" s="9" t="s">
        <v>21262</v>
      </c>
      <c r="L532" s="9" t="s">
        <v>17991</v>
      </c>
      <c r="M532" s="9" t="s">
        <v>17778</v>
      </c>
      <c r="N532" s="9" t="s">
        <v>18042</v>
      </c>
      <c r="O532" s="9" t="s">
        <v>17977</v>
      </c>
      <c r="P532" s="9" t="s">
        <v>17748</v>
      </c>
      <c r="Q532" s="11" t="s">
        <v>21263</v>
      </c>
      <c r="R532" s="11" t="s">
        <v>21263</v>
      </c>
      <c r="S532" s="11" t="s">
        <v>17750</v>
      </c>
    </row>
    <row r="533" spans="1:19" x14ac:dyDescent="0.2">
      <c r="A533" s="11" t="s">
        <v>21264</v>
      </c>
      <c r="B533" s="9" t="s">
        <v>21265</v>
      </c>
      <c r="C533" s="9" t="s">
        <v>21266</v>
      </c>
      <c r="D533" s="9" t="s">
        <v>21267</v>
      </c>
      <c r="E533" s="9" t="s">
        <v>17748</v>
      </c>
      <c r="F533" s="9" t="s">
        <v>21268</v>
      </c>
      <c r="G533" s="9" t="s">
        <v>17740</v>
      </c>
      <c r="H533" s="11" t="s">
        <v>21269</v>
      </c>
      <c r="I533" s="11" t="s">
        <v>21270</v>
      </c>
      <c r="J533" s="11" t="s">
        <v>21269</v>
      </c>
      <c r="K533" s="9" t="s">
        <v>18404</v>
      </c>
      <c r="L533" s="9" t="s">
        <v>17744</v>
      </c>
      <c r="M533" s="9" t="s">
        <v>17769</v>
      </c>
      <c r="N533" s="9" t="s">
        <v>17746</v>
      </c>
      <c r="O533" s="9" t="s">
        <v>21271</v>
      </c>
      <c r="P533" s="9" t="s">
        <v>17748</v>
      </c>
      <c r="Q533" s="11" t="s">
        <v>17780</v>
      </c>
      <c r="R533" s="11" t="s">
        <v>17780</v>
      </c>
      <c r="S533" s="11" t="s">
        <v>17750</v>
      </c>
    </row>
    <row r="534" spans="1:19" x14ac:dyDescent="0.2">
      <c r="A534" s="11" t="s">
        <v>21272</v>
      </c>
      <c r="B534" s="9" t="s">
        <v>21273</v>
      </c>
      <c r="C534" s="9" t="s">
        <v>21274</v>
      </c>
      <c r="D534" s="9" t="s">
        <v>21275</v>
      </c>
      <c r="E534" s="9" t="s">
        <v>17740</v>
      </c>
      <c r="F534" s="9" t="s">
        <v>21276</v>
      </c>
      <c r="G534" s="9" t="s">
        <v>17740</v>
      </c>
      <c r="H534" s="11" t="s">
        <v>59</v>
      </c>
      <c r="I534" s="11" t="s">
        <v>58</v>
      </c>
      <c r="J534" s="11" t="s">
        <v>58</v>
      </c>
      <c r="K534" s="9" t="s">
        <v>601</v>
      </c>
      <c r="L534" s="9" t="s">
        <v>17759</v>
      </c>
      <c r="M534" s="9" t="s">
        <v>21277</v>
      </c>
      <c r="N534" s="9" t="s">
        <v>17746</v>
      </c>
      <c r="O534" s="9" t="s">
        <v>17959</v>
      </c>
      <c r="P534" s="9" t="s">
        <v>17748</v>
      </c>
      <c r="Q534" s="11" t="s">
        <v>20021</v>
      </c>
      <c r="R534" s="11" t="s">
        <v>20021</v>
      </c>
      <c r="S534" s="11" t="s">
        <v>17750</v>
      </c>
    </row>
    <row r="535" spans="1:19" x14ac:dyDescent="0.2">
      <c r="A535" s="11" t="s">
        <v>21278</v>
      </c>
      <c r="B535" s="9" t="s">
        <v>21279</v>
      </c>
      <c r="C535" s="9" t="s">
        <v>21280</v>
      </c>
      <c r="D535" s="9" t="s">
        <v>21281</v>
      </c>
      <c r="E535" s="9" t="s">
        <v>17748</v>
      </c>
      <c r="F535" s="9" t="s">
        <v>21282</v>
      </c>
      <c r="G535" s="9" t="s">
        <v>17740</v>
      </c>
      <c r="H535" s="11" t="s">
        <v>12692</v>
      </c>
      <c r="I535" s="11" t="s">
        <v>12691</v>
      </c>
      <c r="J535" s="11" t="s">
        <v>12692</v>
      </c>
      <c r="K535" s="9" t="s">
        <v>20669</v>
      </c>
      <c r="L535" s="9" t="s">
        <v>18001</v>
      </c>
      <c r="M535" s="9" t="s">
        <v>17817</v>
      </c>
      <c r="N535" s="9" t="s">
        <v>17746</v>
      </c>
      <c r="O535" s="9" t="s">
        <v>20367</v>
      </c>
      <c r="P535" s="9" t="s">
        <v>17748</v>
      </c>
      <c r="Q535" s="11" t="s">
        <v>18370</v>
      </c>
      <c r="R535" s="11" t="s">
        <v>18370</v>
      </c>
      <c r="S535" s="11" t="s">
        <v>17750</v>
      </c>
    </row>
    <row r="536" spans="1:19" x14ac:dyDescent="0.2">
      <c r="A536" s="11" t="s">
        <v>21283</v>
      </c>
      <c r="B536" s="9" t="s">
        <v>21284</v>
      </c>
      <c r="C536" s="9" t="s">
        <v>21285</v>
      </c>
      <c r="D536" s="9" t="s">
        <v>21286</v>
      </c>
      <c r="E536" s="9" t="s">
        <v>17740</v>
      </c>
      <c r="F536" s="9" t="s">
        <v>17741</v>
      </c>
      <c r="G536" s="9" t="s">
        <v>17740</v>
      </c>
      <c r="H536" s="11" t="s">
        <v>21287</v>
      </c>
      <c r="I536" s="11" t="s">
        <v>21288</v>
      </c>
      <c r="J536" s="11" t="s">
        <v>21288</v>
      </c>
      <c r="K536" s="9" t="s">
        <v>55</v>
      </c>
      <c r="L536" s="9" t="s">
        <v>17759</v>
      </c>
      <c r="M536" s="9" t="s">
        <v>21289</v>
      </c>
      <c r="N536" s="9" t="s">
        <v>17746</v>
      </c>
      <c r="O536" s="9" t="s">
        <v>21109</v>
      </c>
      <c r="P536" s="9" t="s">
        <v>17748</v>
      </c>
      <c r="Q536" s="11" t="s">
        <v>18059</v>
      </c>
      <c r="R536" s="11" t="s">
        <v>18059</v>
      </c>
      <c r="S536" s="11" t="s">
        <v>17750</v>
      </c>
    </row>
    <row r="537" spans="1:19" x14ac:dyDescent="0.2">
      <c r="A537" s="11" t="s">
        <v>21290</v>
      </c>
      <c r="B537" s="9" t="s">
        <v>21291</v>
      </c>
      <c r="C537" s="9" t="s">
        <v>21292</v>
      </c>
      <c r="D537" s="9" t="s">
        <v>21293</v>
      </c>
      <c r="E537" s="9" t="s">
        <v>17740</v>
      </c>
      <c r="F537" s="9" t="s">
        <v>17741</v>
      </c>
      <c r="G537" s="9" t="s">
        <v>17740</v>
      </c>
      <c r="H537" s="11" t="s">
        <v>166</v>
      </c>
      <c r="I537" s="11" t="s">
        <v>165</v>
      </c>
      <c r="J537" s="11" t="s">
        <v>165</v>
      </c>
      <c r="K537" s="9" t="s">
        <v>167</v>
      </c>
      <c r="L537" s="9" t="s">
        <v>18158</v>
      </c>
      <c r="M537" s="9" t="s">
        <v>19658</v>
      </c>
      <c r="N537" s="9" t="s">
        <v>17746</v>
      </c>
      <c r="O537" s="9" t="s">
        <v>5790</v>
      </c>
      <c r="P537" s="9" t="s">
        <v>17748</v>
      </c>
      <c r="Q537" s="11" t="s">
        <v>19335</v>
      </c>
      <c r="R537" s="11" t="s">
        <v>19335</v>
      </c>
      <c r="S537" s="11" t="s">
        <v>17750</v>
      </c>
    </row>
    <row r="538" spans="1:19" x14ac:dyDescent="0.2">
      <c r="A538" s="11" t="s">
        <v>21294</v>
      </c>
      <c r="B538" s="9" t="s">
        <v>21295</v>
      </c>
      <c r="C538" s="9" t="s">
        <v>21296</v>
      </c>
      <c r="D538" s="9" t="s">
        <v>21297</v>
      </c>
      <c r="E538" s="9" t="s">
        <v>17740</v>
      </c>
      <c r="F538" s="9" t="s">
        <v>21298</v>
      </c>
      <c r="G538" s="9" t="s">
        <v>17740</v>
      </c>
      <c r="H538" s="11" t="s">
        <v>158</v>
      </c>
      <c r="I538" s="11" t="s">
        <v>157</v>
      </c>
      <c r="J538" s="11" t="s">
        <v>157</v>
      </c>
      <c r="K538" s="9" t="s">
        <v>21299</v>
      </c>
      <c r="L538" s="9" t="s">
        <v>17744</v>
      </c>
      <c r="M538" s="9" t="s">
        <v>18289</v>
      </c>
      <c r="N538" s="9" t="s">
        <v>17746</v>
      </c>
      <c r="O538" s="9" t="s">
        <v>3355</v>
      </c>
      <c r="P538" s="9" t="s">
        <v>17748</v>
      </c>
      <c r="Q538" s="11" t="s">
        <v>18332</v>
      </c>
      <c r="R538" s="11" t="s">
        <v>18332</v>
      </c>
      <c r="S538" s="11" t="s">
        <v>17750</v>
      </c>
    </row>
    <row r="539" spans="1:19" x14ac:dyDescent="0.2">
      <c r="A539" s="11" t="s">
        <v>21300</v>
      </c>
      <c r="B539" s="9" t="s">
        <v>21301</v>
      </c>
      <c r="C539" s="9" t="s">
        <v>21302</v>
      </c>
      <c r="D539" s="9" t="s">
        <v>21303</v>
      </c>
      <c r="E539" s="9" t="s">
        <v>17740</v>
      </c>
      <c r="F539" s="9" t="s">
        <v>17741</v>
      </c>
      <c r="G539" s="9" t="s">
        <v>17740</v>
      </c>
      <c r="H539" s="11" t="s">
        <v>10241</v>
      </c>
      <c r="I539" s="11" t="s">
        <v>10240</v>
      </c>
      <c r="J539" s="11" t="s">
        <v>10240</v>
      </c>
      <c r="K539" s="9" t="s">
        <v>18616</v>
      </c>
      <c r="L539" s="9" t="s">
        <v>17744</v>
      </c>
      <c r="M539" s="9" t="s">
        <v>17778</v>
      </c>
      <c r="N539" s="9" t="s">
        <v>17746</v>
      </c>
      <c r="O539" s="9" t="s">
        <v>3355</v>
      </c>
      <c r="P539" s="9" t="s">
        <v>17748</v>
      </c>
      <c r="Q539" s="11" t="s">
        <v>17780</v>
      </c>
      <c r="R539" s="11" t="s">
        <v>17780</v>
      </c>
      <c r="S539" s="11" t="s">
        <v>17750</v>
      </c>
    </row>
    <row r="540" spans="1:19" x14ac:dyDescent="0.2">
      <c r="A540" s="11" t="s">
        <v>21304</v>
      </c>
      <c r="B540" s="9" t="s">
        <v>21305</v>
      </c>
      <c r="C540" s="9" t="s">
        <v>21306</v>
      </c>
      <c r="D540" s="9" t="s">
        <v>21307</v>
      </c>
      <c r="E540" s="9" t="s">
        <v>17748</v>
      </c>
      <c r="F540" s="9" t="s">
        <v>21308</v>
      </c>
      <c r="G540" s="9" t="s">
        <v>17740</v>
      </c>
      <c r="H540" s="11" t="s">
        <v>7594</v>
      </c>
      <c r="I540" s="11" t="s">
        <v>7593</v>
      </c>
      <c r="J540" s="11" t="s">
        <v>7593</v>
      </c>
      <c r="K540" s="9" t="s">
        <v>21299</v>
      </c>
      <c r="L540" s="9" t="s">
        <v>17744</v>
      </c>
      <c r="M540" s="9" t="s">
        <v>21309</v>
      </c>
      <c r="N540" s="9" t="s">
        <v>17746</v>
      </c>
      <c r="O540" s="9" t="s">
        <v>21310</v>
      </c>
      <c r="P540" s="9" t="s">
        <v>17748</v>
      </c>
      <c r="Q540" s="11" t="s">
        <v>18678</v>
      </c>
      <c r="R540" s="11" t="s">
        <v>18678</v>
      </c>
      <c r="S540" s="11" t="s">
        <v>17750</v>
      </c>
    </row>
    <row r="541" spans="1:19" x14ac:dyDescent="0.2">
      <c r="A541" s="11" t="s">
        <v>21311</v>
      </c>
      <c r="B541" s="9" t="s">
        <v>21312</v>
      </c>
      <c r="C541" s="9" t="s">
        <v>21313</v>
      </c>
      <c r="D541" s="9" t="s">
        <v>21314</v>
      </c>
      <c r="E541" s="9" t="s">
        <v>17748</v>
      </c>
      <c r="F541" s="9" t="s">
        <v>21315</v>
      </c>
      <c r="G541" s="9" t="s">
        <v>17740</v>
      </c>
      <c r="H541" s="11" t="s">
        <v>17741</v>
      </c>
      <c r="I541" s="11" t="s">
        <v>21316</v>
      </c>
      <c r="J541" s="11" t="s">
        <v>21316</v>
      </c>
      <c r="K541" s="9" t="s">
        <v>17741</v>
      </c>
      <c r="L541" s="9" t="s">
        <v>17759</v>
      </c>
      <c r="M541" s="9" t="s">
        <v>21317</v>
      </c>
      <c r="N541" s="9" t="s">
        <v>17746</v>
      </c>
      <c r="O541" s="9" t="s">
        <v>21318</v>
      </c>
      <c r="P541" s="9" t="s">
        <v>17748</v>
      </c>
      <c r="Q541" s="11" t="s">
        <v>17984</v>
      </c>
      <c r="R541" s="11" t="s">
        <v>17984</v>
      </c>
      <c r="S541" s="11" t="s">
        <v>17750</v>
      </c>
    </row>
    <row r="542" spans="1:19" x14ac:dyDescent="0.2">
      <c r="A542" s="11" t="s">
        <v>21319</v>
      </c>
      <c r="B542" s="9" t="s">
        <v>21320</v>
      </c>
      <c r="C542" s="9" t="s">
        <v>21321</v>
      </c>
      <c r="D542" s="9" t="s">
        <v>21322</v>
      </c>
      <c r="E542" s="9" t="s">
        <v>17740</v>
      </c>
      <c r="F542" s="9" t="s">
        <v>17741</v>
      </c>
      <c r="G542" s="9" t="s">
        <v>17740</v>
      </c>
      <c r="H542" s="11" t="s">
        <v>189</v>
      </c>
      <c r="I542" s="11" t="s">
        <v>188</v>
      </c>
      <c r="J542" s="11" t="s">
        <v>188</v>
      </c>
      <c r="K542" s="9" t="s">
        <v>18727</v>
      </c>
      <c r="L542" s="9" t="s">
        <v>17759</v>
      </c>
      <c r="M542" s="9" t="s">
        <v>18177</v>
      </c>
      <c r="N542" s="9" t="s">
        <v>17746</v>
      </c>
      <c r="O542" s="9" t="s">
        <v>19391</v>
      </c>
      <c r="P542" s="9" t="s">
        <v>17748</v>
      </c>
      <c r="Q542" s="11" t="s">
        <v>18243</v>
      </c>
      <c r="R542" s="11" t="s">
        <v>18243</v>
      </c>
      <c r="S542" s="11" t="s">
        <v>17750</v>
      </c>
    </row>
    <row r="543" spans="1:19" x14ac:dyDescent="0.2">
      <c r="A543" s="11" t="s">
        <v>21323</v>
      </c>
      <c r="B543" s="9" t="s">
        <v>21324</v>
      </c>
      <c r="C543" s="9" t="s">
        <v>21325</v>
      </c>
      <c r="D543" s="9" t="s">
        <v>21326</v>
      </c>
      <c r="E543" s="9" t="s">
        <v>17740</v>
      </c>
      <c r="F543" s="9" t="s">
        <v>21327</v>
      </c>
      <c r="G543" s="9" t="s">
        <v>17740</v>
      </c>
      <c r="H543" s="11" t="s">
        <v>220</v>
      </c>
      <c r="I543" s="11" t="s">
        <v>219</v>
      </c>
      <c r="J543" s="11" t="s">
        <v>219</v>
      </c>
      <c r="K543" s="9" t="s">
        <v>21328</v>
      </c>
      <c r="L543" s="9" t="s">
        <v>18001</v>
      </c>
      <c r="M543" s="9" t="s">
        <v>21329</v>
      </c>
      <c r="N543" s="9" t="s">
        <v>17746</v>
      </c>
      <c r="O543" s="9" t="s">
        <v>18855</v>
      </c>
      <c r="P543" s="9" t="s">
        <v>17748</v>
      </c>
      <c r="Q543" s="11" t="s">
        <v>19515</v>
      </c>
      <c r="R543" s="11" t="s">
        <v>19515</v>
      </c>
      <c r="S543" s="11" t="s">
        <v>17750</v>
      </c>
    </row>
    <row r="544" spans="1:19" x14ac:dyDescent="0.2">
      <c r="A544" s="11" t="s">
        <v>21330</v>
      </c>
      <c r="B544" s="9" t="s">
        <v>21331</v>
      </c>
      <c r="C544" s="9" t="s">
        <v>21332</v>
      </c>
      <c r="D544" s="9" t="s">
        <v>21333</v>
      </c>
      <c r="E544" s="9" t="s">
        <v>17740</v>
      </c>
      <c r="F544" s="9" t="s">
        <v>21334</v>
      </c>
      <c r="G544" s="9" t="s">
        <v>17740</v>
      </c>
      <c r="H544" s="11" t="s">
        <v>4489</v>
      </c>
      <c r="I544" s="11" t="s">
        <v>4488</v>
      </c>
      <c r="J544" s="11" t="s">
        <v>4488</v>
      </c>
      <c r="K544" s="9" t="s">
        <v>167</v>
      </c>
      <c r="L544" s="9" t="s">
        <v>18158</v>
      </c>
      <c r="M544" s="9" t="s">
        <v>21335</v>
      </c>
      <c r="N544" s="9" t="s">
        <v>17746</v>
      </c>
      <c r="O544" s="9" t="s">
        <v>18331</v>
      </c>
      <c r="P544" s="9" t="s">
        <v>17748</v>
      </c>
      <c r="Q544" s="11" t="s">
        <v>18364</v>
      </c>
      <c r="R544" s="11" t="s">
        <v>18364</v>
      </c>
      <c r="S544" s="11" t="s">
        <v>17750</v>
      </c>
    </row>
    <row r="545" spans="1:19" x14ac:dyDescent="0.2">
      <c r="A545" s="11" t="s">
        <v>21336</v>
      </c>
      <c r="B545" s="9" t="s">
        <v>21337</v>
      </c>
      <c r="C545" s="9" t="s">
        <v>21338</v>
      </c>
      <c r="D545" s="9" t="s">
        <v>21339</v>
      </c>
      <c r="E545" s="9" t="s">
        <v>17740</v>
      </c>
      <c r="F545" s="9" t="s">
        <v>21340</v>
      </c>
      <c r="G545" s="9" t="s">
        <v>17740</v>
      </c>
      <c r="H545" s="11" t="s">
        <v>21341</v>
      </c>
      <c r="I545" s="11" t="s">
        <v>21342</v>
      </c>
      <c r="J545" s="11" t="s">
        <v>21342</v>
      </c>
      <c r="K545" s="9" t="s">
        <v>21343</v>
      </c>
      <c r="L545" s="9" t="s">
        <v>18242</v>
      </c>
      <c r="M545" s="9" t="s">
        <v>21344</v>
      </c>
      <c r="N545" s="9" t="s">
        <v>17746</v>
      </c>
      <c r="O545" s="9" t="s">
        <v>20154</v>
      </c>
      <c r="P545" s="9" t="s">
        <v>17748</v>
      </c>
      <c r="Q545" s="11" t="s">
        <v>18678</v>
      </c>
      <c r="R545" s="11" t="s">
        <v>18678</v>
      </c>
      <c r="S545" s="11" t="s">
        <v>17750</v>
      </c>
    </row>
    <row r="546" spans="1:19" x14ac:dyDescent="0.2">
      <c r="A546" s="11" t="s">
        <v>21345</v>
      </c>
      <c r="B546" s="9" t="s">
        <v>21346</v>
      </c>
      <c r="C546" s="9" t="s">
        <v>21347</v>
      </c>
      <c r="D546" s="9" t="s">
        <v>21348</v>
      </c>
      <c r="E546" s="9" t="s">
        <v>17740</v>
      </c>
      <c r="F546" s="9" t="s">
        <v>17741</v>
      </c>
      <c r="G546" s="9" t="s">
        <v>17740</v>
      </c>
      <c r="H546" s="11" t="s">
        <v>21349</v>
      </c>
      <c r="I546" s="11" t="s">
        <v>21350</v>
      </c>
      <c r="J546" s="11" t="s">
        <v>21350</v>
      </c>
      <c r="K546" s="9" t="s">
        <v>19094</v>
      </c>
      <c r="L546" s="9" t="s">
        <v>17759</v>
      </c>
      <c r="M546" s="9" t="s">
        <v>21169</v>
      </c>
      <c r="N546" s="9" t="s">
        <v>17746</v>
      </c>
      <c r="O546" s="9" t="s">
        <v>21351</v>
      </c>
      <c r="P546" s="9" t="s">
        <v>17748</v>
      </c>
      <c r="Q546" s="11" t="s">
        <v>17978</v>
      </c>
      <c r="R546" s="11" t="s">
        <v>17978</v>
      </c>
      <c r="S546" s="11" t="s">
        <v>17750</v>
      </c>
    </row>
    <row r="547" spans="1:19" x14ac:dyDescent="0.2">
      <c r="A547" s="11" t="s">
        <v>21352</v>
      </c>
      <c r="B547" s="9" t="s">
        <v>21353</v>
      </c>
      <c r="C547" s="9" t="s">
        <v>21354</v>
      </c>
      <c r="D547" s="9" t="s">
        <v>21355</v>
      </c>
      <c r="E547" s="9" t="s">
        <v>17740</v>
      </c>
      <c r="F547" s="9" t="s">
        <v>17741</v>
      </c>
      <c r="G547" s="9" t="s">
        <v>17740</v>
      </c>
      <c r="H547" s="11" t="s">
        <v>9132</v>
      </c>
      <c r="I547" s="11" t="s">
        <v>9131</v>
      </c>
      <c r="J547" s="11" t="s">
        <v>9131</v>
      </c>
      <c r="K547" s="9" t="s">
        <v>9133</v>
      </c>
      <c r="L547" s="9" t="s">
        <v>18232</v>
      </c>
      <c r="M547" s="9" t="s">
        <v>17908</v>
      </c>
      <c r="N547" s="9" t="s">
        <v>17746</v>
      </c>
      <c r="O547" s="9" t="s">
        <v>17993</v>
      </c>
      <c r="P547" s="9" t="s">
        <v>17748</v>
      </c>
      <c r="Q547" s="11" t="s">
        <v>18798</v>
      </c>
      <c r="R547" s="11" t="s">
        <v>18798</v>
      </c>
      <c r="S547" s="11" t="s">
        <v>17750</v>
      </c>
    </row>
    <row r="548" spans="1:19" x14ac:dyDescent="0.2">
      <c r="A548" s="11" t="s">
        <v>21356</v>
      </c>
      <c r="B548" s="9" t="s">
        <v>21357</v>
      </c>
      <c r="C548" s="9" t="s">
        <v>21358</v>
      </c>
      <c r="D548" s="9" t="s">
        <v>21359</v>
      </c>
      <c r="E548" s="9" t="s">
        <v>17748</v>
      </c>
      <c r="F548" s="9" t="s">
        <v>21360</v>
      </c>
      <c r="G548" s="9" t="s">
        <v>17740</v>
      </c>
      <c r="H548" s="11" t="s">
        <v>6012</v>
      </c>
      <c r="I548" s="11" t="s">
        <v>6011</v>
      </c>
      <c r="J548" s="11" t="s">
        <v>6011</v>
      </c>
      <c r="K548" s="9" t="s">
        <v>18661</v>
      </c>
      <c r="L548" s="9" t="s">
        <v>17759</v>
      </c>
      <c r="M548" s="9" t="s">
        <v>21361</v>
      </c>
      <c r="N548" s="9" t="s">
        <v>17746</v>
      </c>
      <c r="O548" s="9" t="s">
        <v>17993</v>
      </c>
      <c r="P548" s="9" t="s">
        <v>17748</v>
      </c>
      <c r="Q548" s="11" t="s">
        <v>18147</v>
      </c>
      <c r="R548" s="11" t="s">
        <v>18147</v>
      </c>
      <c r="S548" s="11" t="s">
        <v>17750</v>
      </c>
    </row>
    <row r="549" spans="1:19" x14ac:dyDescent="0.2">
      <c r="A549" s="11" t="s">
        <v>21362</v>
      </c>
      <c r="B549" s="9" t="s">
        <v>21363</v>
      </c>
      <c r="C549" s="9" t="s">
        <v>21364</v>
      </c>
      <c r="D549" s="9" t="s">
        <v>21365</v>
      </c>
      <c r="E549" s="9" t="s">
        <v>17748</v>
      </c>
      <c r="F549" s="9" t="s">
        <v>21366</v>
      </c>
      <c r="G549" s="9" t="s">
        <v>17740</v>
      </c>
      <c r="H549" s="11" t="s">
        <v>456</v>
      </c>
      <c r="I549" s="11" t="s">
        <v>455</v>
      </c>
      <c r="J549" s="11" t="s">
        <v>455</v>
      </c>
      <c r="K549" s="9" t="s">
        <v>18727</v>
      </c>
      <c r="L549" s="9" t="s">
        <v>18158</v>
      </c>
      <c r="M549" s="9" t="s">
        <v>17817</v>
      </c>
      <c r="N549" s="9" t="s">
        <v>17746</v>
      </c>
      <c r="O549" s="9" t="s">
        <v>18746</v>
      </c>
      <c r="P549" s="9" t="s">
        <v>17748</v>
      </c>
      <c r="Q549" s="11" t="s">
        <v>17771</v>
      </c>
      <c r="R549" s="11" t="s">
        <v>17771</v>
      </c>
      <c r="S549" s="11" t="s">
        <v>17750</v>
      </c>
    </row>
    <row r="550" spans="1:19" x14ac:dyDescent="0.2">
      <c r="A550" s="11" t="s">
        <v>21367</v>
      </c>
      <c r="B550" s="9" t="s">
        <v>21368</v>
      </c>
      <c r="C550" s="9" t="s">
        <v>21369</v>
      </c>
      <c r="D550" s="9" t="s">
        <v>21370</v>
      </c>
      <c r="E550" s="9" t="s">
        <v>17740</v>
      </c>
      <c r="F550" s="9" t="s">
        <v>17741</v>
      </c>
      <c r="G550" s="9" t="s">
        <v>17740</v>
      </c>
      <c r="H550" s="11" t="s">
        <v>21371</v>
      </c>
      <c r="I550" s="11" t="s">
        <v>21372</v>
      </c>
      <c r="J550" s="11" t="s">
        <v>21372</v>
      </c>
      <c r="K550" s="9" t="s">
        <v>17865</v>
      </c>
      <c r="L550" s="9" t="s">
        <v>17744</v>
      </c>
      <c r="M550" s="9" t="s">
        <v>17817</v>
      </c>
      <c r="N550" s="9" t="s">
        <v>17746</v>
      </c>
      <c r="O550" s="9" t="s">
        <v>18340</v>
      </c>
      <c r="P550" s="9" t="s">
        <v>17748</v>
      </c>
      <c r="Q550" s="11" t="s">
        <v>17943</v>
      </c>
      <c r="R550" s="11" t="s">
        <v>17943</v>
      </c>
      <c r="S550" s="11" t="s">
        <v>17750</v>
      </c>
    </row>
    <row r="551" spans="1:19" x14ac:dyDescent="0.2">
      <c r="A551" s="11" t="s">
        <v>21373</v>
      </c>
      <c r="B551" s="9" t="s">
        <v>21374</v>
      </c>
      <c r="C551" s="9" t="s">
        <v>21375</v>
      </c>
      <c r="D551" s="9" t="s">
        <v>21376</v>
      </c>
      <c r="E551" s="9" t="s">
        <v>17740</v>
      </c>
      <c r="F551" s="9" t="s">
        <v>21377</v>
      </c>
      <c r="G551" s="9" t="s">
        <v>17740</v>
      </c>
      <c r="H551" s="11" t="s">
        <v>5023</v>
      </c>
      <c r="I551" s="11" t="s">
        <v>5022</v>
      </c>
      <c r="J551" s="11" t="s">
        <v>5022</v>
      </c>
      <c r="K551" s="9" t="s">
        <v>167</v>
      </c>
      <c r="L551" s="9" t="s">
        <v>18158</v>
      </c>
      <c r="M551" s="9" t="s">
        <v>20295</v>
      </c>
      <c r="N551" s="9" t="s">
        <v>17746</v>
      </c>
      <c r="O551" s="9" t="s">
        <v>21378</v>
      </c>
      <c r="P551" s="9" t="s">
        <v>17748</v>
      </c>
      <c r="Q551" s="11" t="s">
        <v>17819</v>
      </c>
      <c r="R551" s="11" t="s">
        <v>17819</v>
      </c>
      <c r="S551" s="11" t="s">
        <v>17750</v>
      </c>
    </row>
    <row r="552" spans="1:19" x14ac:dyDescent="0.2">
      <c r="A552" s="11" t="s">
        <v>21379</v>
      </c>
      <c r="B552" s="9" t="s">
        <v>21380</v>
      </c>
      <c r="C552" s="9" t="s">
        <v>21381</v>
      </c>
      <c r="D552" s="9" t="s">
        <v>21382</v>
      </c>
      <c r="E552" s="9" t="s">
        <v>17740</v>
      </c>
      <c r="F552" s="9" t="s">
        <v>17741</v>
      </c>
      <c r="G552" s="9" t="s">
        <v>17740</v>
      </c>
      <c r="H552" s="11" t="s">
        <v>11734</v>
      </c>
      <c r="I552" s="11" t="s">
        <v>11733</v>
      </c>
      <c r="J552" s="11" t="s">
        <v>17741</v>
      </c>
      <c r="K552" s="9" t="s">
        <v>17783</v>
      </c>
      <c r="L552" s="9" t="s">
        <v>17744</v>
      </c>
      <c r="M552" s="9" t="s">
        <v>18745</v>
      </c>
      <c r="N552" s="9" t="s">
        <v>17746</v>
      </c>
      <c r="O552" s="9" t="s">
        <v>21383</v>
      </c>
      <c r="P552" s="9" t="s">
        <v>17748</v>
      </c>
      <c r="Q552" s="11" t="s">
        <v>17762</v>
      </c>
      <c r="R552" s="11" t="s">
        <v>17762</v>
      </c>
      <c r="S552" s="11" t="s">
        <v>17750</v>
      </c>
    </row>
    <row r="553" spans="1:19" x14ac:dyDescent="0.2">
      <c r="A553" s="11" t="s">
        <v>21384</v>
      </c>
      <c r="B553" s="9" t="s">
        <v>21385</v>
      </c>
      <c r="C553" s="9" t="s">
        <v>21386</v>
      </c>
      <c r="D553" s="9" t="s">
        <v>21387</v>
      </c>
      <c r="E553" s="9" t="s">
        <v>17740</v>
      </c>
      <c r="F553" s="9" t="s">
        <v>21388</v>
      </c>
      <c r="G553" s="9" t="s">
        <v>17740</v>
      </c>
      <c r="H553" s="11" t="s">
        <v>21389</v>
      </c>
      <c r="I553" s="11" t="s">
        <v>21390</v>
      </c>
      <c r="J553" s="11" t="s">
        <v>21390</v>
      </c>
      <c r="K553" s="9" t="s">
        <v>21391</v>
      </c>
      <c r="L553" s="9" t="s">
        <v>17759</v>
      </c>
      <c r="M553" s="9" t="s">
        <v>17817</v>
      </c>
      <c r="N553" s="9" t="s">
        <v>17746</v>
      </c>
      <c r="O553" s="9" t="s">
        <v>19521</v>
      </c>
      <c r="P553" s="9" t="s">
        <v>17748</v>
      </c>
      <c r="Q553" s="11" t="s">
        <v>19026</v>
      </c>
      <c r="R553" s="11" t="s">
        <v>19026</v>
      </c>
      <c r="S553" s="11" t="s">
        <v>17750</v>
      </c>
    </row>
    <row r="554" spans="1:19" x14ac:dyDescent="0.2">
      <c r="A554" s="11" t="s">
        <v>21392</v>
      </c>
      <c r="B554" s="9" t="s">
        <v>21393</v>
      </c>
      <c r="C554" s="9" t="s">
        <v>21394</v>
      </c>
      <c r="D554" s="9" t="s">
        <v>21395</v>
      </c>
      <c r="E554" s="9" t="s">
        <v>17740</v>
      </c>
      <c r="F554" s="9" t="s">
        <v>17741</v>
      </c>
      <c r="G554" s="9" t="s">
        <v>17740</v>
      </c>
      <c r="H554" s="11" t="s">
        <v>17741</v>
      </c>
      <c r="I554" s="11" t="s">
        <v>5149</v>
      </c>
      <c r="J554" s="11" t="s">
        <v>5149</v>
      </c>
      <c r="K554" s="9" t="s">
        <v>21396</v>
      </c>
      <c r="L554" s="9" t="s">
        <v>20598</v>
      </c>
      <c r="M554" s="9" t="s">
        <v>18065</v>
      </c>
      <c r="N554" s="9" t="s">
        <v>17746</v>
      </c>
      <c r="O554" s="9" t="s">
        <v>3391</v>
      </c>
      <c r="P554" s="9" t="s">
        <v>17748</v>
      </c>
      <c r="Q554" s="11" t="s">
        <v>19335</v>
      </c>
      <c r="R554" s="11" t="s">
        <v>19335</v>
      </c>
      <c r="S554" s="11" t="s">
        <v>17750</v>
      </c>
    </row>
    <row r="555" spans="1:19" x14ac:dyDescent="0.2">
      <c r="A555" s="11" t="s">
        <v>21397</v>
      </c>
      <c r="B555" s="9" t="s">
        <v>21398</v>
      </c>
      <c r="C555" s="9" t="s">
        <v>21399</v>
      </c>
      <c r="D555" s="9" t="s">
        <v>21400</v>
      </c>
      <c r="E555" s="9" t="s">
        <v>17740</v>
      </c>
      <c r="F555" s="9" t="s">
        <v>21401</v>
      </c>
      <c r="G555" s="9" t="s">
        <v>17740</v>
      </c>
      <c r="H555" s="11" t="s">
        <v>594</v>
      </c>
      <c r="I555" s="11" t="s">
        <v>593</v>
      </c>
      <c r="J555" s="11" t="s">
        <v>593</v>
      </c>
      <c r="K555" s="9" t="s">
        <v>303</v>
      </c>
      <c r="L555" s="9" t="s">
        <v>17759</v>
      </c>
      <c r="M555" s="9" t="s">
        <v>17817</v>
      </c>
      <c r="N555" s="9" t="s">
        <v>17746</v>
      </c>
      <c r="O555" s="9" t="s">
        <v>19740</v>
      </c>
      <c r="P555" s="9" t="s">
        <v>17748</v>
      </c>
      <c r="Q555" s="11" t="s">
        <v>18470</v>
      </c>
      <c r="R555" s="11" t="s">
        <v>18470</v>
      </c>
      <c r="S555" s="11" t="s">
        <v>17750</v>
      </c>
    </row>
    <row r="556" spans="1:19" x14ac:dyDescent="0.2">
      <c r="A556" s="11" t="s">
        <v>21402</v>
      </c>
      <c r="B556" s="9" t="s">
        <v>21403</v>
      </c>
      <c r="C556" s="9" t="s">
        <v>21404</v>
      </c>
      <c r="D556" s="9" t="s">
        <v>21405</v>
      </c>
      <c r="E556" s="9" t="s">
        <v>17748</v>
      </c>
      <c r="F556" s="9" t="s">
        <v>21406</v>
      </c>
      <c r="G556" s="9" t="s">
        <v>17740</v>
      </c>
      <c r="H556" s="11" t="s">
        <v>21407</v>
      </c>
      <c r="I556" s="11" t="s">
        <v>21408</v>
      </c>
      <c r="J556" s="11" t="s">
        <v>21408</v>
      </c>
      <c r="K556" s="9" t="s">
        <v>291</v>
      </c>
      <c r="L556" s="9" t="s">
        <v>17744</v>
      </c>
      <c r="M556" s="9" t="s">
        <v>18170</v>
      </c>
      <c r="N556" s="9" t="s">
        <v>17746</v>
      </c>
      <c r="O556" s="9" t="s">
        <v>21409</v>
      </c>
      <c r="P556" s="9" t="s">
        <v>17748</v>
      </c>
      <c r="Q556" s="11" t="s">
        <v>19361</v>
      </c>
      <c r="R556" s="11" t="s">
        <v>19361</v>
      </c>
      <c r="S556" s="11" t="s">
        <v>17750</v>
      </c>
    </row>
    <row r="557" spans="1:19" x14ac:dyDescent="0.2">
      <c r="A557" s="11" t="s">
        <v>21410</v>
      </c>
      <c r="B557" s="9" t="s">
        <v>21411</v>
      </c>
      <c r="C557" s="9" t="s">
        <v>21412</v>
      </c>
      <c r="D557" s="9" t="s">
        <v>21413</v>
      </c>
      <c r="E557" s="9" t="s">
        <v>17740</v>
      </c>
      <c r="F557" s="9" t="s">
        <v>17741</v>
      </c>
      <c r="G557" s="9" t="s">
        <v>17740</v>
      </c>
      <c r="H557" s="11" t="s">
        <v>21414</v>
      </c>
      <c r="I557" s="11" t="s">
        <v>21415</v>
      </c>
      <c r="J557" s="11" t="s">
        <v>21415</v>
      </c>
      <c r="K557" s="9" t="s">
        <v>303</v>
      </c>
      <c r="L557" s="9" t="s">
        <v>17759</v>
      </c>
      <c r="M557" s="9" t="s">
        <v>17769</v>
      </c>
      <c r="N557" s="9" t="s">
        <v>17746</v>
      </c>
      <c r="O557" s="9" t="s">
        <v>21416</v>
      </c>
      <c r="P557" s="9" t="s">
        <v>17748</v>
      </c>
      <c r="Q557" s="11" t="s">
        <v>18364</v>
      </c>
      <c r="R557" s="11" t="s">
        <v>18364</v>
      </c>
      <c r="S557" s="11" t="s">
        <v>17750</v>
      </c>
    </row>
    <row r="558" spans="1:19" x14ac:dyDescent="0.2">
      <c r="A558" s="11" t="s">
        <v>21417</v>
      </c>
      <c r="B558" s="9" t="s">
        <v>21418</v>
      </c>
      <c r="C558" s="9" t="s">
        <v>21419</v>
      </c>
      <c r="D558" s="9" t="s">
        <v>21420</v>
      </c>
      <c r="E558" s="9" t="s">
        <v>17740</v>
      </c>
      <c r="F558" s="9" t="s">
        <v>17741</v>
      </c>
      <c r="G558" s="9" t="s">
        <v>17740</v>
      </c>
      <c r="H558" s="11" t="s">
        <v>21421</v>
      </c>
      <c r="I558" s="11" t="s">
        <v>21422</v>
      </c>
      <c r="J558" s="11" t="s">
        <v>21422</v>
      </c>
      <c r="K558" s="9" t="s">
        <v>18832</v>
      </c>
      <c r="L558" s="9" t="s">
        <v>17759</v>
      </c>
      <c r="M558" s="9" t="s">
        <v>21423</v>
      </c>
      <c r="N558" s="9" t="s">
        <v>17746</v>
      </c>
      <c r="O558" s="9" t="s">
        <v>21424</v>
      </c>
      <c r="P558" s="9" t="s">
        <v>17748</v>
      </c>
      <c r="Q558" s="11" t="s">
        <v>19899</v>
      </c>
      <c r="R558" s="11" t="s">
        <v>19899</v>
      </c>
      <c r="S558" s="11" t="s">
        <v>17750</v>
      </c>
    </row>
    <row r="559" spans="1:19" x14ac:dyDescent="0.2">
      <c r="A559" s="11" t="s">
        <v>21425</v>
      </c>
      <c r="B559" s="9" t="s">
        <v>21426</v>
      </c>
      <c r="C559" s="9" t="s">
        <v>21427</v>
      </c>
      <c r="D559" s="9" t="s">
        <v>21428</v>
      </c>
      <c r="E559" s="9" t="s">
        <v>17740</v>
      </c>
      <c r="F559" s="9" t="s">
        <v>17741</v>
      </c>
      <c r="G559" s="9" t="s">
        <v>17740</v>
      </c>
      <c r="H559" s="11" t="s">
        <v>21429</v>
      </c>
      <c r="I559" s="11" t="s">
        <v>21430</v>
      </c>
      <c r="J559" s="11" t="s">
        <v>21430</v>
      </c>
      <c r="K559" s="9" t="s">
        <v>291</v>
      </c>
      <c r="L559" s="9" t="s">
        <v>17744</v>
      </c>
      <c r="M559" s="9" t="s">
        <v>17778</v>
      </c>
      <c r="N559" s="9" t="s">
        <v>17746</v>
      </c>
      <c r="O559" s="9" t="s">
        <v>19095</v>
      </c>
      <c r="P559" s="9" t="s">
        <v>17748</v>
      </c>
      <c r="Q559" s="11" t="s">
        <v>19361</v>
      </c>
      <c r="R559" s="11" t="s">
        <v>19361</v>
      </c>
      <c r="S559" s="11" t="s">
        <v>17750</v>
      </c>
    </row>
    <row r="560" spans="1:19" x14ac:dyDescent="0.2">
      <c r="A560" s="11" t="s">
        <v>21431</v>
      </c>
      <c r="B560" s="9" t="s">
        <v>21432</v>
      </c>
      <c r="C560" s="9" t="s">
        <v>21433</v>
      </c>
      <c r="D560" s="9" t="s">
        <v>21434</v>
      </c>
      <c r="E560" s="9" t="s">
        <v>17740</v>
      </c>
      <c r="F560" s="9" t="s">
        <v>21435</v>
      </c>
      <c r="G560" s="9" t="s">
        <v>17740</v>
      </c>
      <c r="H560" s="11" t="s">
        <v>665</v>
      </c>
      <c r="I560" s="11" t="s">
        <v>664</v>
      </c>
      <c r="J560" s="11" t="s">
        <v>664</v>
      </c>
      <c r="K560" s="9" t="s">
        <v>18727</v>
      </c>
      <c r="L560" s="9" t="s">
        <v>18158</v>
      </c>
      <c r="M560" s="9" t="s">
        <v>18289</v>
      </c>
      <c r="N560" s="9" t="s">
        <v>17746</v>
      </c>
      <c r="O560" s="9" t="s">
        <v>4009</v>
      </c>
      <c r="P560" s="9" t="s">
        <v>17748</v>
      </c>
      <c r="Q560" s="11" t="s">
        <v>17771</v>
      </c>
      <c r="R560" s="11" t="s">
        <v>17771</v>
      </c>
      <c r="S560" s="11" t="s">
        <v>17750</v>
      </c>
    </row>
    <row r="561" spans="1:19" x14ac:dyDescent="0.2">
      <c r="A561" s="11" t="s">
        <v>21436</v>
      </c>
      <c r="B561" s="9" t="s">
        <v>21437</v>
      </c>
      <c r="C561" s="9" t="s">
        <v>21438</v>
      </c>
      <c r="D561" s="9" t="s">
        <v>21439</v>
      </c>
      <c r="E561" s="9" t="s">
        <v>17740</v>
      </c>
      <c r="F561" s="9" t="s">
        <v>21440</v>
      </c>
      <c r="G561" s="9" t="s">
        <v>17740</v>
      </c>
      <c r="H561" s="11" t="s">
        <v>21441</v>
      </c>
      <c r="I561" s="11" t="s">
        <v>21442</v>
      </c>
      <c r="J561" s="11" t="s">
        <v>21442</v>
      </c>
      <c r="K561" s="9" t="s">
        <v>18727</v>
      </c>
      <c r="L561" s="9" t="s">
        <v>18288</v>
      </c>
      <c r="M561" s="9" t="s">
        <v>18289</v>
      </c>
      <c r="N561" s="9" t="s">
        <v>17746</v>
      </c>
      <c r="O561" s="9" t="s">
        <v>4048</v>
      </c>
      <c r="P561" s="9" t="s">
        <v>17748</v>
      </c>
      <c r="Q561" s="11" t="s">
        <v>18608</v>
      </c>
      <c r="R561" s="11" t="s">
        <v>18608</v>
      </c>
      <c r="S561" s="11" t="s">
        <v>17750</v>
      </c>
    </row>
    <row r="562" spans="1:19" x14ac:dyDescent="0.2">
      <c r="A562" s="11" t="s">
        <v>21443</v>
      </c>
      <c r="B562" s="9" t="s">
        <v>21444</v>
      </c>
      <c r="C562" s="9" t="s">
        <v>21445</v>
      </c>
      <c r="D562" s="9" t="s">
        <v>21446</v>
      </c>
      <c r="E562" s="9" t="s">
        <v>17740</v>
      </c>
      <c r="F562" s="9" t="s">
        <v>17741</v>
      </c>
      <c r="G562" s="9" t="s">
        <v>17740</v>
      </c>
      <c r="H562" s="11" t="s">
        <v>17741</v>
      </c>
      <c r="I562" s="11" t="s">
        <v>21447</v>
      </c>
      <c r="J562" s="11" t="s">
        <v>21447</v>
      </c>
      <c r="K562" s="9" t="s">
        <v>167</v>
      </c>
      <c r="L562" s="9" t="s">
        <v>18288</v>
      </c>
      <c r="M562" s="9" t="s">
        <v>17942</v>
      </c>
      <c r="N562" s="9" t="s">
        <v>17746</v>
      </c>
      <c r="O562" s="9" t="s">
        <v>4048</v>
      </c>
      <c r="P562" s="9" t="s">
        <v>17748</v>
      </c>
      <c r="Q562" s="11" t="s">
        <v>18080</v>
      </c>
      <c r="R562" s="11" t="s">
        <v>18080</v>
      </c>
      <c r="S562" s="11" t="s">
        <v>17750</v>
      </c>
    </row>
    <row r="563" spans="1:19" x14ac:dyDescent="0.2">
      <c r="A563" s="11" t="s">
        <v>21448</v>
      </c>
      <c r="B563" s="9" t="s">
        <v>21449</v>
      </c>
      <c r="C563" s="9" t="s">
        <v>21450</v>
      </c>
      <c r="D563" s="9" t="s">
        <v>21451</v>
      </c>
      <c r="E563" s="9" t="s">
        <v>17740</v>
      </c>
      <c r="F563" s="9" t="s">
        <v>17741</v>
      </c>
      <c r="G563" s="9" t="s">
        <v>17740</v>
      </c>
      <c r="H563" s="11" t="s">
        <v>8197</v>
      </c>
      <c r="I563" s="11" t="s">
        <v>8196</v>
      </c>
      <c r="J563" s="11" t="s">
        <v>17741</v>
      </c>
      <c r="K563" s="9" t="s">
        <v>17783</v>
      </c>
      <c r="L563" s="9" t="s">
        <v>18288</v>
      </c>
      <c r="M563" s="9" t="s">
        <v>17778</v>
      </c>
      <c r="N563" s="9" t="s">
        <v>17746</v>
      </c>
      <c r="O563" s="9" t="s">
        <v>21452</v>
      </c>
      <c r="P563" s="9" t="s">
        <v>17748</v>
      </c>
      <c r="Q563" s="11" t="s">
        <v>18798</v>
      </c>
      <c r="R563" s="11" t="s">
        <v>18798</v>
      </c>
      <c r="S563" s="11" t="s">
        <v>17750</v>
      </c>
    </row>
    <row r="564" spans="1:19" x14ac:dyDescent="0.2">
      <c r="A564" s="11" t="s">
        <v>21453</v>
      </c>
      <c r="B564" s="9" t="s">
        <v>21454</v>
      </c>
      <c r="C564" s="9" t="s">
        <v>21455</v>
      </c>
      <c r="D564" s="9" t="s">
        <v>21456</v>
      </c>
      <c r="E564" s="9" t="s">
        <v>17748</v>
      </c>
      <c r="F564" s="9" t="s">
        <v>21457</v>
      </c>
      <c r="G564" s="9" t="s">
        <v>17740</v>
      </c>
      <c r="H564" s="11" t="s">
        <v>6692</v>
      </c>
      <c r="I564" s="11" t="s">
        <v>6691</v>
      </c>
      <c r="J564" s="11" t="s">
        <v>6691</v>
      </c>
      <c r="K564" s="9" t="s">
        <v>21458</v>
      </c>
      <c r="L564" s="9" t="s">
        <v>17991</v>
      </c>
      <c r="M564" s="9" t="s">
        <v>18170</v>
      </c>
      <c r="N564" s="9" t="s">
        <v>20424</v>
      </c>
      <c r="O564" s="9" t="s">
        <v>21459</v>
      </c>
      <c r="P564" s="9" t="s">
        <v>17748</v>
      </c>
      <c r="Q564" s="11" t="s">
        <v>17792</v>
      </c>
      <c r="R564" s="11" t="s">
        <v>17792</v>
      </c>
      <c r="S564" s="11" t="s">
        <v>17750</v>
      </c>
    </row>
    <row r="565" spans="1:19" x14ac:dyDescent="0.2">
      <c r="A565" s="11" t="s">
        <v>21460</v>
      </c>
      <c r="B565" s="9" t="s">
        <v>21461</v>
      </c>
      <c r="C565" s="9" t="s">
        <v>21462</v>
      </c>
      <c r="D565" s="9" t="s">
        <v>21463</v>
      </c>
      <c r="E565" s="9" t="s">
        <v>17740</v>
      </c>
      <c r="F565" s="9" t="s">
        <v>21464</v>
      </c>
      <c r="G565" s="9" t="s">
        <v>17740</v>
      </c>
      <c r="H565" s="11" t="s">
        <v>236</v>
      </c>
      <c r="I565" s="11" t="s">
        <v>235</v>
      </c>
      <c r="J565" s="11" t="s">
        <v>235</v>
      </c>
      <c r="K565" s="9" t="s">
        <v>21465</v>
      </c>
      <c r="L565" s="9" t="s">
        <v>18169</v>
      </c>
      <c r="M565" s="9" t="s">
        <v>18065</v>
      </c>
      <c r="N565" s="9" t="s">
        <v>18171</v>
      </c>
      <c r="O565" s="9" t="s">
        <v>3355</v>
      </c>
      <c r="P565" s="9" t="s">
        <v>17748</v>
      </c>
      <c r="Q565" s="11" t="s">
        <v>19770</v>
      </c>
      <c r="R565" s="11" t="s">
        <v>19770</v>
      </c>
      <c r="S565" s="11" t="s">
        <v>17750</v>
      </c>
    </row>
    <row r="566" spans="1:19" x14ac:dyDescent="0.2">
      <c r="A566" s="11" t="s">
        <v>21466</v>
      </c>
      <c r="B566" s="9" t="s">
        <v>21467</v>
      </c>
      <c r="C566" s="9" t="s">
        <v>21468</v>
      </c>
      <c r="D566" s="9" t="s">
        <v>21469</v>
      </c>
      <c r="E566" s="9" t="s">
        <v>17740</v>
      </c>
      <c r="F566" s="9" t="s">
        <v>17741</v>
      </c>
      <c r="G566" s="9" t="s">
        <v>17740</v>
      </c>
      <c r="H566" s="11" t="s">
        <v>622</v>
      </c>
      <c r="I566" s="11" t="s">
        <v>621</v>
      </c>
      <c r="J566" s="11" t="s">
        <v>621</v>
      </c>
      <c r="K566" s="9" t="s">
        <v>18438</v>
      </c>
      <c r="L566" s="9" t="s">
        <v>18439</v>
      </c>
      <c r="M566" s="9" t="s">
        <v>19168</v>
      </c>
      <c r="N566" s="9" t="s">
        <v>18171</v>
      </c>
      <c r="O566" s="9" t="s">
        <v>15733</v>
      </c>
      <c r="P566" s="9" t="s">
        <v>17748</v>
      </c>
      <c r="Q566" s="11" t="s">
        <v>19236</v>
      </c>
      <c r="R566" s="11" t="s">
        <v>19236</v>
      </c>
      <c r="S566" s="11" t="s">
        <v>17750</v>
      </c>
    </row>
    <row r="567" spans="1:19" x14ac:dyDescent="0.2">
      <c r="A567" s="11" t="s">
        <v>21470</v>
      </c>
      <c r="B567" s="9" t="s">
        <v>21471</v>
      </c>
      <c r="C567" s="9" t="s">
        <v>21472</v>
      </c>
      <c r="D567" s="9" t="s">
        <v>21473</v>
      </c>
      <c r="E567" s="9" t="s">
        <v>17748</v>
      </c>
      <c r="F567" s="9" t="s">
        <v>21474</v>
      </c>
      <c r="G567" s="9" t="s">
        <v>17740</v>
      </c>
      <c r="H567" s="11" t="s">
        <v>17741</v>
      </c>
      <c r="I567" s="11" t="s">
        <v>8926</v>
      </c>
      <c r="J567" s="11" t="s">
        <v>17741</v>
      </c>
      <c r="K567" s="9" t="s">
        <v>21475</v>
      </c>
      <c r="L567" s="9" t="s">
        <v>18411</v>
      </c>
      <c r="M567" s="9" t="s">
        <v>17760</v>
      </c>
      <c r="N567" s="9" t="s">
        <v>17746</v>
      </c>
      <c r="O567" s="9" t="s">
        <v>18009</v>
      </c>
      <c r="P567" s="9" t="s">
        <v>17748</v>
      </c>
      <c r="Q567" s="11" t="s">
        <v>18922</v>
      </c>
      <c r="R567" s="11" t="s">
        <v>18922</v>
      </c>
      <c r="S567" s="11" t="s">
        <v>17750</v>
      </c>
    </row>
    <row r="568" spans="1:19" x14ac:dyDescent="0.2">
      <c r="A568" s="11" t="s">
        <v>21476</v>
      </c>
      <c r="B568" s="9" t="s">
        <v>21477</v>
      </c>
      <c r="C568" s="9" t="s">
        <v>21478</v>
      </c>
      <c r="D568" s="9" t="s">
        <v>21479</v>
      </c>
      <c r="E568" s="9" t="s">
        <v>17740</v>
      </c>
      <c r="F568" s="9" t="s">
        <v>21480</v>
      </c>
      <c r="G568" s="9" t="s">
        <v>17740</v>
      </c>
      <c r="H568" s="11" t="s">
        <v>21481</v>
      </c>
      <c r="I568" s="11" t="s">
        <v>21482</v>
      </c>
      <c r="J568" s="11" t="s">
        <v>21482</v>
      </c>
      <c r="K568" s="9" t="s">
        <v>175</v>
      </c>
      <c r="L568" s="9" t="s">
        <v>18439</v>
      </c>
      <c r="M568" s="9" t="s">
        <v>17817</v>
      </c>
      <c r="N568" s="9" t="s">
        <v>18171</v>
      </c>
      <c r="O568" s="9" t="s">
        <v>3255</v>
      </c>
      <c r="P568" s="9" t="s">
        <v>17748</v>
      </c>
      <c r="Q568" s="11" t="s">
        <v>19899</v>
      </c>
      <c r="R568" s="11" t="s">
        <v>19899</v>
      </c>
      <c r="S568" s="11" t="s">
        <v>17750</v>
      </c>
    </row>
    <row r="569" spans="1:19" x14ac:dyDescent="0.2">
      <c r="A569" s="11" t="s">
        <v>21483</v>
      </c>
      <c r="B569" s="9" t="s">
        <v>21484</v>
      </c>
      <c r="C569" s="9" t="s">
        <v>21485</v>
      </c>
      <c r="D569" s="9" t="s">
        <v>21486</v>
      </c>
      <c r="E569" s="9" t="s">
        <v>17740</v>
      </c>
      <c r="F569" s="9" t="s">
        <v>21487</v>
      </c>
      <c r="G569" s="9" t="s">
        <v>17740</v>
      </c>
      <c r="H569" s="11" t="s">
        <v>21488</v>
      </c>
      <c r="I569" s="11" t="s">
        <v>21489</v>
      </c>
      <c r="J569" s="11" t="s">
        <v>21489</v>
      </c>
      <c r="K569" s="9" t="s">
        <v>21490</v>
      </c>
      <c r="L569" s="9" t="s">
        <v>18439</v>
      </c>
      <c r="M569" s="9" t="s">
        <v>17760</v>
      </c>
      <c r="N569" s="9" t="s">
        <v>18171</v>
      </c>
      <c r="O569" s="9" t="s">
        <v>19653</v>
      </c>
      <c r="P569" s="9" t="s">
        <v>17748</v>
      </c>
      <c r="Q569" s="11" t="s">
        <v>18798</v>
      </c>
      <c r="R569" s="11" t="s">
        <v>18798</v>
      </c>
      <c r="S569" s="11" t="s">
        <v>17750</v>
      </c>
    </row>
    <row r="570" spans="1:19" x14ac:dyDescent="0.2">
      <c r="A570" s="11" t="s">
        <v>21491</v>
      </c>
      <c r="B570" s="9" t="s">
        <v>21492</v>
      </c>
      <c r="C570" s="9" t="s">
        <v>21493</v>
      </c>
      <c r="D570" s="9" t="s">
        <v>21494</v>
      </c>
      <c r="E570" s="9" t="s">
        <v>17740</v>
      </c>
      <c r="F570" s="9" t="s">
        <v>17741</v>
      </c>
      <c r="G570" s="9" t="s">
        <v>17740</v>
      </c>
      <c r="H570" s="11" t="s">
        <v>21495</v>
      </c>
      <c r="I570" s="11" t="s">
        <v>21496</v>
      </c>
      <c r="J570" s="11" t="s">
        <v>21496</v>
      </c>
      <c r="K570" s="9" t="s">
        <v>21497</v>
      </c>
      <c r="L570" s="9" t="s">
        <v>18439</v>
      </c>
      <c r="M570" s="9" t="s">
        <v>19168</v>
      </c>
      <c r="N570" s="9" t="s">
        <v>18171</v>
      </c>
      <c r="O570" s="9" t="s">
        <v>4025</v>
      </c>
      <c r="P570" s="9" t="s">
        <v>17748</v>
      </c>
      <c r="Q570" s="11" t="s">
        <v>18549</v>
      </c>
      <c r="R570" s="11" t="s">
        <v>18549</v>
      </c>
      <c r="S570" s="11" t="s">
        <v>17750</v>
      </c>
    </row>
    <row r="571" spans="1:19" x14ac:dyDescent="0.2">
      <c r="A571" s="11" t="s">
        <v>21498</v>
      </c>
      <c r="B571" s="9" t="s">
        <v>21499</v>
      </c>
      <c r="C571" s="9" t="s">
        <v>21500</v>
      </c>
      <c r="D571" s="9" t="s">
        <v>21501</v>
      </c>
      <c r="E571" s="9" t="s">
        <v>17740</v>
      </c>
      <c r="F571" s="9" t="s">
        <v>21502</v>
      </c>
      <c r="G571" s="9" t="s">
        <v>17740</v>
      </c>
      <c r="H571" s="11" t="s">
        <v>17741</v>
      </c>
      <c r="I571" s="11" t="s">
        <v>21503</v>
      </c>
      <c r="J571" s="11" t="s">
        <v>21503</v>
      </c>
      <c r="K571" s="9" t="s">
        <v>21504</v>
      </c>
      <c r="L571" s="9" t="s">
        <v>21505</v>
      </c>
      <c r="M571" s="9" t="s">
        <v>17760</v>
      </c>
      <c r="N571" s="9" t="s">
        <v>18171</v>
      </c>
      <c r="O571" s="9" t="s">
        <v>18543</v>
      </c>
      <c r="P571" s="9" t="s">
        <v>17748</v>
      </c>
      <c r="Q571" s="11" t="s">
        <v>20251</v>
      </c>
      <c r="R571" s="11" t="s">
        <v>20251</v>
      </c>
      <c r="S571" s="11" t="s">
        <v>17750</v>
      </c>
    </row>
    <row r="572" spans="1:19" x14ac:dyDescent="0.2">
      <c r="A572" s="11" t="s">
        <v>21506</v>
      </c>
      <c r="B572" s="9" t="s">
        <v>21507</v>
      </c>
      <c r="C572" s="9" t="s">
        <v>21508</v>
      </c>
      <c r="D572" s="9" t="s">
        <v>21509</v>
      </c>
      <c r="E572" s="9" t="s">
        <v>17740</v>
      </c>
      <c r="F572" s="9" t="s">
        <v>21510</v>
      </c>
      <c r="G572" s="9" t="s">
        <v>17740</v>
      </c>
      <c r="H572" s="11" t="s">
        <v>267</v>
      </c>
      <c r="I572" s="11" t="s">
        <v>266</v>
      </c>
      <c r="J572" s="11" t="s">
        <v>266</v>
      </c>
      <c r="K572" s="9" t="s">
        <v>21511</v>
      </c>
      <c r="L572" s="9" t="s">
        <v>18123</v>
      </c>
      <c r="M572" s="9" t="s">
        <v>17769</v>
      </c>
      <c r="N572" s="9" t="s">
        <v>17746</v>
      </c>
      <c r="O572" s="9" t="s">
        <v>18882</v>
      </c>
      <c r="P572" s="9" t="s">
        <v>17748</v>
      </c>
      <c r="Q572" s="11" t="s">
        <v>18314</v>
      </c>
      <c r="R572" s="11" t="s">
        <v>18314</v>
      </c>
      <c r="S572" s="11" t="s">
        <v>17750</v>
      </c>
    </row>
    <row r="573" spans="1:19" x14ac:dyDescent="0.2">
      <c r="A573" s="11" t="s">
        <v>21512</v>
      </c>
      <c r="B573" s="9" t="s">
        <v>21513</v>
      </c>
      <c r="C573" s="9" t="s">
        <v>21514</v>
      </c>
      <c r="D573" s="9" t="s">
        <v>21515</v>
      </c>
      <c r="E573" s="9" t="s">
        <v>17740</v>
      </c>
      <c r="F573" s="9" t="s">
        <v>21516</v>
      </c>
      <c r="G573" s="9" t="s">
        <v>17740</v>
      </c>
      <c r="H573" s="11" t="s">
        <v>17741</v>
      </c>
      <c r="I573" s="11" t="s">
        <v>21517</v>
      </c>
      <c r="J573" s="11" t="s">
        <v>21517</v>
      </c>
      <c r="K573" s="9" t="s">
        <v>21518</v>
      </c>
      <c r="L573" s="9" t="s">
        <v>17967</v>
      </c>
      <c r="M573" s="9" t="s">
        <v>17760</v>
      </c>
      <c r="N573" s="9" t="s">
        <v>18492</v>
      </c>
      <c r="O573" s="9" t="s">
        <v>4009</v>
      </c>
      <c r="P573" s="9" t="s">
        <v>17748</v>
      </c>
      <c r="Q573" s="11" t="s">
        <v>17883</v>
      </c>
      <c r="R573" s="11" t="s">
        <v>17883</v>
      </c>
      <c r="S573" s="11" t="s">
        <v>17750</v>
      </c>
    </row>
    <row r="574" spans="1:19" x14ac:dyDescent="0.2">
      <c r="A574" s="11" t="s">
        <v>21519</v>
      </c>
      <c r="B574" s="9" t="s">
        <v>21520</v>
      </c>
      <c r="C574" s="9" t="s">
        <v>21521</v>
      </c>
      <c r="D574" s="9" t="s">
        <v>21522</v>
      </c>
      <c r="E574" s="9" t="s">
        <v>17740</v>
      </c>
      <c r="F574" s="9" t="s">
        <v>17741</v>
      </c>
      <c r="G574" s="9" t="s">
        <v>17740</v>
      </c>
      <c r="H574" s="11" t="s">
        <v>633</v>
      </c>
      <c r="I574" s="11" t="s">
        <v>632</v>
      </c>
      <c r="J574" s="11" t="s">
        <v>632</v>
      </c>
      <c r="K574" s="9" t="s">
        <v>21523</v>
      </c>
      <c r="L574" s="9" t="s">
        <v>18242</v>
      </c>
      <c r="M574" s="9" t="s">
        <v>17817</v>
      </c>
      <c r="N574" s="9" t="s">
        <v>21524</v>
      </c>
      <c r="O574" s="9" t="s">
        <v>18882</v>
      </c>
      <c r="P574" s="9" t="s">
        <v>17748</v>
      </c>
      <c r="Q574" s="11" t="s">
        <v>19978</v>
      </c>
      <c r="R574" s="11" t="s">
        <v>19978</v>
      </c>
      <c r="S574" s="11" t="s">
        <v>17750</v>
      </c>
    </row>
    <row r="575" spans="1:19" x14ac:dyDescent="0.2">
      <c r="A575" s="11" t="s">
        <v>21525</v>
      </c>
      <c r="B575" s="9" t="s">
        <v>21526</v>
      </c>
      <c r="C575" s="9" t="s">
        <v>21527</v>
      </c>
      <c r="D575" s="9" t="s">
        <v>21528</v>
      </c>
      <c r="E575" s="9" t="s">
        <v>17740</v>
      </c>
      <c r="F575" s="9" t="s">
        <v>17741</v>
      </c>
      <c r="G575" s="9" t="s">
        <v>17740</v>
      </c>
      <c r="H575" s="11" t="s">
        <v>17741</v>
      </c>
      <c r="I575" s="11" t="s">
        <v>21529</v>
      </c>
      <c r="J575" s="11" t="s">
        <v>21529</v>
      </c>
      <c r="K575" s="9" t="s">
        <v>21530</v>
      </c>
      <c r="L575" s="9" t="s">
        <v>18001</v>
      </c>
      <c r="M575" s="9" t="s">
        <v>18051</v>
      </c>
      <c r="N575" s="9" t="s">
        <v>17930</v>
      </c>
      <c r="O575" s="9" t="s">
        <v>21531</v>
      </c>
      <c r="P575" s="9" t="s">
        <v>17748</v>
      </c>
      <c r="Q575" s="11" t="s">
        <v>17819</v>
      </c>
      <c r="R575" s="11" t="s">
        <v>17819</v>
      </c>
      <c r="S575" s="11" t="s">
        <v>17750</v>
      </c>
    </row>
    <row r="576" spans="1:19" x14ac:dyDescent="0.2">
      <c r="A576" s="11" t="s">
        <v>21532</v>
      </c>
      <c r="B576" s="9" t="s">
        <v>21533</v>
      </c>
      <c r="C576" s="9" t="s">
        <v>21534</v>
      </c>
      <c r="D576" s="9" t="s">
        <v>21535</v>
      </c>
      <c r="E576" s="9" t="s">
        <v>17740</v>
      </c>
      <c r="F576" s="9" t="s">
        <v>21536</v>
      </c>
      <c r="G576" s="9" t="s">
        <v>17740</v>
      </c>
      <c r="H576" s="11" t="s">
        <v>17741</v>
      </c>
      <c r="I576" s="11" t="s">
        <v>252</v>
      </c>
      <c r="J576" s="11" t="s">
        <v>252</v>
      </c>
      <c r="K576" s="9" t="s">
        <v>15267</v>
      </c>
      <c r="L576" s="9" t="s">
        <v>18079</v>
      </c>
      <c r="M576" s="9" t="s">
        <v>17778</v>
      </c>
      <c r="N576" s="9" t="s">
        <v>17746</v>
      </c>
      <c r="O576" s="9" t="s">
        <v>21537</v>
      </c>
      <c r="P576" s="9" t="s">
        <v>17748</v>
      </c>
      <c r="Q576" s="11" t="s">
        <v>18234</v>
      </c>
      <c r="R576" s="11" t="s">
        <v>18234</v>
      </c>
      <c r="S576" s="11" t="s">
        <v>17750</v>
      </c>
    </row>
    <row r="577" spans="1:19" x14ac:dyDescent="0.2">
      <c r="A577" s="11" t="s">
        <v>21538</v>
      </c>
      <c r="B577" s="9" t="s">
        <v>21539</v>
      </c>
      <c r="C577" s="9" t="s">
        <v>21540</v>
      </c>
      <c r="D577" s="9" t="s">
        <v>21541</v>
      </c>
      <c r="E577" s="9" t="s">
        <v>17740</v>
      </c>
      <c r="F577" s="9" t="s">
        <v>21542</v>
      </c>
      <c r="G577" s="9" t="s">
        <v>17740</v>
      </c>
      <c r="H577" s="11" t="s">
        <v>21543</v>
      </c>
      <c r="I577" s="11" t="s">
        <v>21544</v>
      </c>
      <c r="J577" s="11" t="s">
        <v>21544</v>
      </c>
      <c r="K577" s="9" t="s">
        <v>21545</v>
      </c>
      <c r="L577" s="9" t="s">
        <v>18854</v>
      </c>
      <c r="M577" s="9" t="s">
        <v>18065</v>
      </c>
      <c r="N577" s="9" t="s">
        <v>20237</v>
      </c>
      <c r="O577" s="9" t="s">
        <v>19521</v>
      </c>
      <c r="P577" s="9" t="s">
        <v>17748</v>
      </c>
      <c r="Q577" s="11" t="s">
        <v>18010</v>
      </c>
      <c r="R577" s="11" t="s">
        <v>18010</v>
      </c>
      <c r="S577" s="11" t="s">
        <v>17750</v>
      </c>
    </row>
    <row r="578" spans="1:19" x14ac:dyDescent="0.2">
      <c r="A578" s="11" t="s">
        <v>21546</v>
      </c>
      <c r="B578" s="9" t="s">
        <v>21547</v>
      </c>
      <c r="C578" s="9" t="s">
        <v>21548</v>
      </c>
      <c r="D578" s="9" t="s">
        <v>21549</v>
      </c>
      <c r="E578" s="9" t="s">
        <v>17740</v>
      </c>
      <c r="F578" s="9" t="s">
        <v>17741</v>
      </c>
      <c r="G578" s="9" t="s">
        <v>17740</v>
      </c>
      <c r="H578" s="11" t="s">
        <v>67</v>
      </c>
      <c r="I578" s="11" t="s">
        <v>66</v>
      </c>
      <c r="J578" s="11" t="s">
        <v>66</v>
      </c>
      <c r="K578" s="9" t="s">
        <v>21550</v>
      </c>
      <c r="L578" s="9" t="s">
        <v>18058</v>
      </c>
      <c r="M578" s="9" t="s">
        <v>17817</v>
      </c>
      <c r="N578" s="9" t="s">
        <v>21551</v>
      </c>
      <c r="O578" s="9" t="s">
        <v>18009</v>
      </c>
      <c r="P578" s="9" t="s">
        <v>17748</v>
      </c>
      <c r="Q578" s="11" t="s">
        <v>18178</v>
      </c>
      <c r="R578" s="11" t="s">
        <v>18178</v>
      </c>
      <c r="S578" s="11" t="s">
        <v>17750</v>
      </c>
    </row>
    <row r="579" spans="1:19" x14ac:dyDescent="0.2">
      <c r="A579" s="11" t="s">
        <v>21552</v>
      </c>
      <c r="B579" s="9" t="s">
        <v>21553</v>
      </c>
      <c r="C579" s="9" t="s">
        <v>21554</v>
      </c>
      <c r="D579" s="9" t="s">
        <v>21555</v>
      </c>
      <c r="E579" s="9" t="s">
        <v>17740</v>
      </c>
      <c r="F579" s="9" t="s">
        <v>17741</v>
      </c>
      <c r="G579" s="9" t="s">
        <v>17740</v>
      </c>
      <c r="H579" s="11" t="s">
        <v>17741</v>
      </c>
      <c r="I579" s="11" t="s">
        <v>21556</v>
      </c>
      <c r="J579" s="11" t="s">
        <v>21556</v>
      </c>
      <c r="K579" s="9" t="s">
        <v>21557</v>
      </c>
      <c r="L579" s="9" t="s">
        <v>18058</v>
      </c>
      <c r="M579" s="9" t="s">
        <v>17760</v>
      </c>
      <c r="N579" s="9" t="s">
        <v>17746</v>
      </c>
      <c r="O579" s="9" t="s">
        <v>21558</v>
      </c>
      <c r="P579" s="9" t="s">
        <v>17748</v>
      </c>
      <c r="Q579" s="11" t="s">
        <v>18059</v>
      </c>
      <c r="R579" s="11" t="s">
        <v>18059</v>
      </c>
      <c r="S579" s="11" t="s">
        <v>17750</v>
      </c>
    </row>
    <row r="580" spans="1:19" x14ac:dyDescent="0.2">
      <c r="A580" s="11" t="s">
        <v>21559</v>
      </c>
      <c r="B580" s="9" t="s">
        <v>21560</v>
      </c>
      <c r="C580" s="9" t="s">
        <v>21561</v>
      </c>
      <c r="D580" s="9" t="s">
        <v>21562</v>
      </c>
      <c r="E580" s="9" t="s">
        <v>17740</v>
      </c>
      <c r="F580" s="9" t="s">
        <v>21563</v>
      </c>
      <c r="G580" s="9" t="s">
        <v>17740</v>
      </c>
      <c r="H580" s="11" t="s">
        <v>21564</v>
      </c>
      <c r="I580" s="11" t="s">
        <v>21565</v>
      </c>
      <c r="J580" s="11" t="s">
        <v>21565</v>
      </c>
      <c r="K580" s="9" t="s">
        <v>21566</v>
      </c>
      <c r="L580" s="9" t="s">
        <v>18058</v>
      </c>
      <c r="M580" s="9" t="s">
        <v>21567</v>
      </c>
      <c r="N580" s="9" t="s">
        <v>17746</v>
      </c>
      <c r="O580" s="9" t="s">
        <v>21568</v>
      </c>
      <c r="P580" s="9" t="s">
        <v>17748</v>
      </c>
      <c r="Q580" s="11" t="s">
        <v>21569</v>
      </c>
      <c r="R580" s="11" t="s">
        <v>21569</v>
      </c>
      <c r="S580" s="11" t="s">
        <v>17750</v>
      </c>
    </row>
    <row r="581" spans="1:19" x14ac:dyDescent="0.2">
      <c r="A581" s="11" t="s">
        <v>21570</v>
      </c>
      <c r="B581" s="9" t="s">
        <v>21571</v>
      </c>
      <c r="C581" s="9" t="s">
        <v>21572</v>
      </c>
      <c r="D581" s="9" t="s">
        <v>21573</v>
      </c>
      <c r="E581" s="9" t="s">
        <v>17740</v>
      </c>
      <c r="F581" s="9" t="s">
        <v>21574</v>
      </c>
      <c r="G581" s="9" t="s">
        <v>17740</v>
      </c>
      <c r="H581" s="11" t="s">
        <v>21575</v>
      </c>
      <c r="I581" s="11" t="s">
        <v>21576</v>
      </c>
      <c r="J581" s="11" t="s">
        <v>21576</v>
      </c>
      <c r="K581" s="9" t="s">
        <v>21577</v>
      </c>
      <c r="L581" s="9" t="s">
        <v>18058</v>
      </c>
      <c r="M581" s="9" t="s">
        <v>17769</v>
      </c>
      <c r="N581" s="9" t="s">
        <v>21551</v>
      </c>
      <c r="O581" s="9" t="s">
        <v>3255</v>
      </c>
      <c r="P581" s="9" t="s">
        <v>17748</v>
      </c>
      <c r="Q581" s="11" t="s">
        <v>21578</v>
      </c>
      <c r="R581" s="11" t="s">
        <v>21578</v>
      </c>
      <c r="S581" s="11" t="s">
        <v>17750</v>
      </c>
    </row>
    <row r="582" spans="1:19" x14ac:dyDescent="0.2">
      <c r="A582" s="11" t="s">
        <v>21579</v>
      </c>
      <c r="B582" s="9" t="s">
        <v>21580</v>
      </c>
      <c r="C582" s="9" t="s">
        <v>21581</v>
      </c>
      <c r="D582" s="9" t="s">
        <v>21582</v>
      </c>
      <c r="E582" s="9" t="s">
        <v>17740</v>
      </c>
      <c r="F582" s="9" t="s">
        <v>17741</v>
      </c>
      <c r="G582" s="9" t="s">
        <v>17740</v>
      </c>
      <c r="H582" s="11" t="s">
        <v>657</v>
      </c>
      <c r="I582" s="11" t="s">
        <v>656</v>
      </c>
      <c r="J582" s="11" t="s">
        <v>656</v>
      </c>
      <c r="K582" s="9" t="s">
        <v>21583</v>
      </c>
      <c r="L582" s="9" t="s">
        <v>18058</v>
      </c>
      <c r="M582" s="9" t="s">
        <v>17760</v>
      </c>
      <c r="N582" s="9" t="s">
        <v>17746</v>
      </c>
      <c r="O582" s="9" t="s">
        <v>1675</v>
      </c>
      <c r="P582" s="9" t="s">
        <v>17748</v>
      </c>
      <c r="Q582" s="11" t="s">
        <v>19236</v>
      </c>
      <c r="R582" s="11" t="s">
        <v>19236</v>
      </c>
      <c r="S582" s="11" t="s">
        <v>17750</v>
      </c>
    </row>
    <row r="583" spans="1:19" x14ac:dyDescent="0.2">
      <c r="A583" s="11" t="s">
        <v>21584</v>
      </c>
      <c r="B583" s="9" t="s">
        <v>21585</v>
      </c>
      <c r="C583" s="9" t="s">
        <v>21586</v>
      </c>
      <c r="D583" s="9" t="s">
        <v>21587</v>
      </c>
      <c r="E583" s="9" t="s">
        <v>17740</v>
      </c>
      <c r="F583" s="9" t="s">
        <v>17741</v>
      </c>
      <c r="G583" s="9" t="s">
        <v>17740</v>
      </c>
      <c r="H583" s="11" t="s">
        <v>522</v>
      </c>
      <c r="I583" s="11" t="s">
        <v>521</v>
      </c>
      <c r="J583" s="11" t="s">
        <v>521</v>
      </c>
      <c r="K583" s="9" t="s">
        <v>21588</v>
      </c>
      <c r="L583" s="9" t="s">
        <v>18058</v>
      </c>
      <c r="M583" s="9" t="s">
        <v>17760</v>
      </c>
      <c r="N583" s="9" t="s">
        <v>21551</v>
      </c>
      <c r="O583" s="9" t="s">
        <v>19379</v>
      </c>
      <c r="P583" s="9" t="s">
        <v>17748</v>
      </c>
      <c r="Q583" s="11" t="s">
        <v>20361</v>
      </c>
      <c r="R583" s="11" t="s">
        <v>20361</v>
      </c>
      <c r="S583" s="11" t="s">
        <v>17750</v>
      </c>
    </row>
    <row r="584" spans="1:19" x14ac:dyDescent="0.2">
      <c r="A584" s="11" t="s">
        <v>21589</v>
      </c>
      <c r="B584" s="9" t="s">
        <v>21590</v>
      </c>
      <c r="C584" s="9" t="s">
        <v>21591</v>
      </c>
      <c r="D584" s="9" t="s">
        <v>21592</v>
      </c>
      <c r="E584" s="9" t="s">
        <v>17748</v>
      </c>
      <c r="F584" s="9" t="s">
        <v>21593</v>
      </c>
      <c r="G584" s="9" t="s">
        <v>17740</v>
      </c>
      <c r="H584" s="11" t="s">
        <v>6554</v>
      </c>
      <c r="I584" s="11" t="s">
        <v>6553</v>
      </c>
      <c r="J584" s="11" t="s">
        <v>6553</v>
      </c>
      <c r="K584" s="9" t="s">
        <v>17758</v>
      </c>
      <c r="L584" s="9" t="s">
        <v>17759</v>
      </c>
      <c r="M584" s="9" t="s">
        <v>17817</v>
      </c>
      <c r="N584" s="9" t="s">
        <v>17746</v>
      </c>
      <c r="O584" s="9" t="s">
        <v>19646</v>
      </c>
      <c r="P584" s="9" t="s">
        <v>17748</v>
      </c>
      <c r="Q584" s="11" t="s">
        <v>19361</v>
      </c>
      <c r="R584" s="11" t="s">
        <v>19361</v>
      </c>
      <c r="S584" s="11" t="s">
        <v>17750</v>
      </c>
    </row>
    <row r="585" spans="1:19" x14ac:dyDescent="0.2">
      <c r="A585" s="11" t="s">
        <v>21594</v>
      </c>
      <c r="B585" s="9" t="s">
        <v>21595</v>
      </c>
      <c r="C585" s="9" t="s">
        <v>21596</v>
      </c>
      <c r="D585" s="9" t="s">
        <v>21597</v>
      </c>
      <c r="E585" s="9" t="s">
        <v>17748</v>
      </c>
      <c r="F585" s="9" t="s">
        <v>21598</v>
      </c>
      <c r="G585" s="9" t="s">
        <v>17740</v>
      </c>
      <c r="H585" s="11" t="s">
        <v>17396</v>
      </c>
      <c r="I585" s="11" t="s">
        <v>17395</v>
      </c>
      <c r="J585" s="11" t="s">
        <v>17741</v>
      </c>
      <c r="K585" s="9" t="s">
        <v>17741</v>
      </c>
      <c r="L585" s="9" t="s">
        <v>17759</v>
      </c>
      <c r="M585" s="9" t="s">
        <v>17817</v>
      </c>
      <c r="N585" s="9" t="s">
        <v>17746</v>
      </c>
      <c r="O585" s="9" t="s">
        <v>18534</v>
      </c>
      <c r="P585" s="9" t="s">
        <v>17748</v>
      </c>
      <c r="Q585" s="11" t="s">
        <v>18096</v>
      </c>
      <c r="R585" s="11" t="s">
        <v>18096</v>
      </c>
      <c r="S585" s="11" t="s">
        <v>17750</v>
      </c>
    </row>
    <row r="586" spans="1:19" x14ac:dyDescent="0.2">
      <c r="A586" s="11" t="s">
        <v>21599</v>
      </c>
      <c r="B586" s="9" t="s">
        <v>21600</v>
      </c>
      <c r="C586" s="9" t="s">
        <v>21601</v>
      </c>
      <c r="D586" s="9" t="s">
        <v>21602</v>
      </c>
      <c r="E586" s="9" t="s">
        <v>17740</v>
      </c>
      <c r="F586" s="9" t="s">
        <v>21603</v>
      </c>
      <c r="G586" s="9" t="s">
        <v>17740</v>
      </c>
      <c r="H586" s="11" t="s">
        <v>4882</v>
      </c>
      <c r="I586" s="11" t="s">
        <v>4881</v>
      </c>
      <c r="J586" s="11" t="s">
        <v>4881</v>
      </c>
      <c r="K586" s="9" t="s">
        <v>20207</v>
      </c>
      <c r="L586" s="9" t="s">
        <v>17759</v>
      </c>
      <c r="M586" s="9" t="s">
        <v>17817</v>
      </c>
      <c r="N586" s="9" t="s">
        <v>17746</v>
      </c>
      <c r="O586" s="9" t="s">
        <v>18534</v>
      </c>
      <c r="P586" s="9" t="s">
        <v>17748</v>
      </c>
      <c r="Q586" s="11" t="s">
        <v>17900</v>
      </c>
      <c r="R586" s="11" t="s">
        <v>17900</v>
      </c>
      <c r="S586" s="11" t="s">
        <v>17750</v>
      </c>
    </row>
    <row r="587" spans="1:19" x14ac:dyDescent="0.2">
      <c r="A587" s="11" t="s">
        <v>21604</v>
      </c>
      <c r="B587" s="9" t="s">
        <v>21605</v>
      </c>
      <c r="C587" s="9" t="s">
        <v>21606</v>
      </c>
      <c r="D587" s="9" t="s">
        <v>21607</v>
      </c>
      <c r="E587" s="9" t="s">
        <v>17748</v>
      </c>
      <c r="F587" s="9" t="s">
        <v>21608</v>
      </c>
      <c r="G587" s="9" t="s">
        <v>17740</v>
      </c>
      <c r="H587" s="11" t="s">
        <v>9607</v>
      </c>
      <c r="I587" s="11" t="s">
        <v>9606</v>
      </c>
      <c r="J587" s="11" t="s">
        <v>9606</v>
      </c>
      <c r="K587" s="9" t="s">
        <v>18570</v>
      </c>
      <c r="L587" s="9" t="s">
        <v>17744</v>
      </c>
      <c r="M587" s="9" t="s">
        <v>17769</v>
      </c>
      <c r="N587" s="9" t="s">
        <v>17746</v>
      </c>
      <c r="O587" s="9" t="s">
        <v>18534</v>
      </c>
      <c r="P587" s="9" t="s">
        <v>17748</v>
      </c>
      <c r="Q587" s="11" t="s">
        <v>17858</v>
      </c>
      <c r="R587" s="11" t="s">
        <v>17858</v>
      </c>
      <c r="S587" s="11" t="s">
        <v>17750</v>
      </c>
    </row>
    <row r="588" spans="1:19" x14ac:dyDescent="0.2">
      <c r="A588" s="11" t="s">
        <v>21609</v>
      </c>
      <c r="B588" s="9" t="s">
        <v>21610</v>
      </c>
      <c r="C588" s="9" t="s">
        <v>21611</v>
      </c>
      <c r="D588" s="9" t="s">
        <v>21612</v>
      </c>
      <c r="E588" s="9" t="s">
        <v>17740</v>
      </c>
      <c r="F588" s="9" t="s">
        <v>21613</v>
      </c>
      <c r="G588" s="9" t="s">
        <v>17740</v>
      </c>
      <c r="H588" s="11" t="s">
        <v>8819</v>
      </c>
      <c r="I588" s="11" t="s">
        <v>8818</v>
      </c>
      <c r="J588" s="11" t="s">
        <v>8818</v>
      </c>
      <c r="K588" s="9" t="s">
        <v>21614</v>
      </c>
      <c r="L588" s="9" t="s">
        <v>17744</v>
      </c>
      <c r="M588" s="9" t="s">
        <v>17760</v>
      </c>
      <c r="N588" s="9" t="s">
        <v>17746</v>
      </c>
      <c r="O588" s="9" t="s">
        <v>19859</v>
      </c>
      <c r="P588" s="9" t="s">
        <v>17748</v>
      </c>
      <c r="Q588" s="11" t="s">
        <v>17784</v>
      </c>
      <c r="R588" s="11" t="s">
        <v>17784</v>
      </c>
      <c r="S588" s="11" t="s">
        <v>17750</v>
      </c>
    </row>
    <row r="589" spans="1:19" x14ac:dyDescent="0.2">
      <c r="A589" s="11" t="s">
        <v>21615</v>
      </c>
      <c r="B589" s="9" t="s">
        <v>21616</v>
      </c>
      <c r="C589" s="9" t="s">
        <v>21617</v>
      </c>
      <c r="D589" s="9" t="s">
        <v>21618</v>
      </c>
      <c r="E589" s="9" t="s">
        <v>17740</v>
      </c>
      <c r="F589" s="9" t="s">
        <v>17741</v>
      </c>
      <c r="G589" s="9" t="s">
        <v>17740</v>
      </c>
      <c r="H589" s="11" t="s">
        <v>9546</v>
      </c>
      <c r="I589" s="11" t="s">
        <v>9545</v>
      </c>
      <c r="J589" s="11" t="s">
        <v>9545</v>
      </c>
      <c r="K589" s="9" t="s">
        <v>18921</v>
      </c>
      <c r="L589" s="9" t="s">
        <v>17759</v>
      </c>
      <c r="M589" s="9" t="s">
        <v>21619</v>
      </c>
      <c r="N589" s="9" t="s">
        <v>17746</v>
      </c>
      <c r="O589" s="9" t="s">
        <v>3276</v>
      </c>
      <c r="P589" s="9" t="s">
        <v>17748</v>
      </c>
      <c r="Q589" s="11" t="s">
        <v>18960</v>
      </c>
      <c r="R589" s="11" t="s">
        <v>18960</v>
      </c>
      <c r="S589" s="11" t="s">
        <v>17750</v>
      </c>
    </row>
    <row r="590" spans="1:19" x14ac:dyDescent="0.2">
      <c r="A590" s="11" t="s">
        <v>21620</v>
      </c>
      <c r="B590" s="9" t="s">
        <v>21621</v>
      </c>
      <c r="C590" s="9" t="s">
        <v>21622</v>
      </c>
      <c r="D590" s="9" t="s">
        <v>21623</v>
      </c>
      <c r="E590" s="9" t="s">
        <v>17748</v>
      </c>
      <c r="F590" s="9" t="s">
        <v>21624</v>
      </c>
      <c r="G590" s="9" t="s">
        <v>17740</v>
      </c>
      <c r="H590" s="11" t="s">
        <v>4378</v>
      </c>
      <c r="I590" s="11" t="s">
        <v>4377</v>
      </c>
      <c r="J590" s="11" t="s">
        <v>17741</v>
      </c>
      <c r="K590" s="9" t="s">
        <v>17741</v>
      </c>
      <c r="L590" s="9" t="s">
        <v>17759</v>
      </c>
      <c r="M590" s="9" t="s">
        <v>21625</v>
      </c>
      <c r="N590" s="9" t="s">
        <v>17746</v>
      </c>
      <c r="O590" s="9" t="s">
        <v>21626</v>
      </c>
      <c r="P590" s="9" t="s">
        <v>17748</v>
      </c>
      <c r="Q590" s="11" t="s">
        <v>18089</v>
      </c>
      <c r="R590" s="11" t="s">
        <v>18089</v>
      </c>
      <c r="S590" s="11" t="s">
        <v>17750</v>
      </c>
    </row>
    <row r="591" spans="1:19" x14ac:dyDescent="0.2">
      <c r="A591" s="11" t="s">
        <v>21627</v>
      </c>
      <c r="B591" s="9" t="s">
        <v>21628</v>
      </c>
      <c r="C591" s="9" t="s">
        <v>21629</v>
      </c>
      <c r="D591" s="9" t="s">
        <v>21630</v>
      </c>
      <c r="E591" s="9" t="s">
        <v>17740</v>
      </c>
      <c r="F591" s="9" t="s">
        <v>17741</v>
      </c>
      <c r="G591" s="9" t="s">
        <v>17740</v>
      </c>
      <c r="H591" s="11" t="s">
        <v>15277</v>
      </c>
      <c r="I591" s="11" t="s">
        <v>15276</v>
      </c>
      <c r="J591" s="11" t="s">
        <v>15276</v>
      </c>
      <c r="K591" s="9" t="s">
        <v>10332</v>
      </c>
      <c r="L591" s="9" t="s">
        <v>17759</v>
      </c>
      <c r="M591" s="9" t="s">
        <v>17760</v>
      </c>
      <c r="N591" s="9" t="s">
        <v>17746</v>
      </c>
      <c r="O591" s="9" t="s">
        <v>18762</v>
      </c>
      <c r="P591" s="9" t="s">
        <v>17748</v>
      </c>
      <c r="Q591" s="11" t="s">
        <v>17900</v>
      </c>
      <c r="R591" s="11" t="s">
        <v>17900</v>
      </c>
      <c r="S591" s="11" t="s">
        <v>17750</v>
      </c>
    </row>
    <row r="592" spans="1:19" x14ac:dyDescent="0.2">
      <c r="A592" s="11" t="s">
        <v>21631</v>
      </c>
      <c r="B592" s="9" t="s">
        <v>21632</v>
      </c>
      <c r="C592" s="9" t="s">
        <v>21633</v>
      </c>
      <c r="D592" s="9" t="s">
        <v>21634</v>
      </c>
      <c r="E592" s="9" t="s">
        <v>17740</v>
      </c>
      <c r="F592" s="9" t="s">
        <v>17741</v>
      </c>
      <c r="G592" s="9" t="s">
        <v>17740</v>
      </c>
      <c r="H592" s="11" t="s">
        <v>5552</v>
      </c>
      <c r="I592" s="11" t="s">
        <v>5551</v>
      </c>
      <c r="J592" s="11" t="s">
        <v>5551</v>
      </c>
      <c r="K592" s="9" t="s">
        <v>21635</v>
      </c>
      <c r="L592" s="9" t="s">
        <v>18001</v>
      </c>
      <c r="M592" s="9" t="s">
        <v>18513</v>
      </c>
      <c r="N592" s="9" t="s">
        <v>17746</v>
      </c>
      <c r="O592" s="9" t="s">
        <v>20056</v>
      </c>
      <c r="P592" s="9" t="s">
        <v>17748</v>
      </c>
      <c r="Q592" s="11" t="s">
        <v>17819</v>
      </c>
      <c r="R592" s="11" t="s">
        <v>17819</v>
      </c>
      <c r="S592" s="11" t="s">
        <v>17750</v>
      </c>
    </row>
    <row r="593" spans="1:19" x14ac:dyDescent="0.2">
      <c r="A593" s="11" t="s">
        <v>21636</v>
      </c>
      <c r="B593" s="9" t="s">
        <v>21637</v>
      </c>
      <c r="C593" s="9" t="s">
        <v>21638</v>
      </c>
      <c r="D593" s="9" t="s">
        <v>21639</v>
      </c>
      <c r="E593" s="9" t="s">
        <v>17740</v>
      </c>
      <c r="F593" s="9" t="s">
        <v>17741</v>
      </c>
      <c r="G593" s="9" t="s">
        <v>17740</v>
      </c>
      <c r="H593" s="11" t="s">
        <v>21640</v>
      </c>
      <c r="I593" s="11" t="s">
        <v>21641</v>
      </c>
      <c r="J593" s="11" t="s">
        <v>21641</v>
      </c>
      <c r="K593" s="9" t="s">
        <v>21642</v>
      </c>
      <c r="L593" s="9" t="s">
        <v>17759</v>
      </c>
      <c r="M593" s="9" t="s">
        <v>17760</v>
      </c>
      <c r="N593" s="9" t="s">
        <v>17746</v>
      </c>
      <c r="O593" s="9" t="s">
        <v>17977</v>
      </c>
      <c r="P593" s="9" t="s">
        <v>17748</v>
      </c>
      <c r="Q593" s="11" t="s">
        <v>17808</v>
      </c>
      <c r="R593" s="11" t="s">
        <v>17808</v>
      </c>
      <c r="S593" s="11" t="s">
        <v>17750</v>
      </c>
    </row>
    <row r="594" spans="1:19" x14ac:dyDescent="0.2">
      <c r="A594" s="11" t="s">
        <v>21643</v>
      </c>
      <c r="B594" s="9" t="s">
        <v>21644</v>
      </c>
      <c r="C594" s="9" t="s">
        <v>21645</v>
      </c>
      <c r="D594" s="9" t="s">
        <v>21646</v>
      </c>
      <c r="E594" s="9" t="s">
        <v>17740</v>
      </c>
      <c r="F594" s="9" t="s">
        <v>17741</v>
      </c>
      <c r="G594" s="9" t="s">
        <v>17740</v>
      </c>
      <c r="H594" s="11" t="s">
        <v>644</v>
      </c>
      <c r="I594" s="11" t="s">
        <v>643</v>
      </c>
      <c r="J594" s="11" t="s">
        <v>643</v>
      </c>
      <c r="K594" s="9" t="s">
        <v>970</v>
      </c>
      <c r="L594" s="9" t="s">
        <v>17759</v>
      </c>
      <c r="M594" s="9" t="s">
        <v>17817</v>
      </c>
      <c r="N594" s="9" t="s">
        <v>17746</v>
      </c>
      <c r="O594" s="9" t="s">
        <v>3981</v>
      </c>
      <c r="P594" s="9" t="s">
        <v>17748</v>
      </c>
      <c r="Q594" s="11" t="s">
        <v>18600</v>
      </c>
      <c r="R594" s="11" t="s">
        <v>18600</v>
      </c>
      <c r="S594" s="11" t="s">
        <v>17750</v>
      </c>
    </row>
    <row r="595" spans="1:19" x14ac:dyDescent="0.2">
      <c r="A595" s="11" t="s">
        <v>21647</v>
      </c>
      <c r="B595" s="9" t="s">
        <v>21648</v>
      </c>
      <c r="C595" s="9" t="s">
        <v>21649</v>
      </c>
      <c r="D595" s="9" t="s">
        <v>21650</v>
      </c>
      <c r="E595" s="9" t="s">
        <v>17740</v>
      </c>
      <c r="F595" s="9" t="s">
        <v>21651</v>
      </c>
      <c r="G595" s="9" t="s">
        <v>17740</v>
      </c>
      <c r="H595" s="11" t="s">
        <v>5901</v>
      </c>
      <c r="I595" s="11" t="s">
        <v>5900</v>
      </c>
      <c r="J595" s="11" t="s">
        <v>5900</v>
      </c>
      <c r="K595" s="9" t="s">
        <v>17758</v>
      </c>
      <c r="L595" s="9" t="s">
        <v>17759</v>
      </c>
      <c r="M595" s="9" t="s">
        <v>17769</v>
      </c>
      <c r="N595" s="9" t="s">
        <v>17746</v>
      </c>
      <c r="O595" s="9" t="s">
        <v>3981</v>
      </c>
      <c r="P595" s="9" t="s">
        <v>17748</v>
      </c>
      <c r="Q595" s="11" t="s">
        <v>18147</v>
      </c>
      <c r="R595" s="11" t="s">
        <v>18147</v>
      </c>
      <c r="S595" s="11" t="s">
        <v>17750</v>
      </c>
    </row>
    <row r="596" spans="1:19" x14ac:dyDescent="0.2">
      <c r="A596" s="11" t="s">
        <v>21652</v>
      </c>
      <c r="B596" s="9" t="s">
        <v>21653</v>
      </c>
      <c r="C596" s="9" t="s">
        <v>21654</v>
      </c>
      <c r="D596" s="9" t="s">
        <v>21655</v>
      </c>
      <c r="E596" s="9" t="s">
        <v>17740</v>
      </c>
      <c r="F596" s="9" t="s">
        <v>21656</v>
      </c>
      <c r="G596" s="9" t="s">
        <v>17740</v>
      </c>
      <c r="H596" s="11" t="s">
        <v>21657</v>
      </c>
      <c r="I596" s="11" t="s">
        <v>21658</v>
      </c>
      <c r="J596" s="11" t="s">
        <v>21658</v>
      </c>
      <c r="K596" s="9" t="s">
        <v>21659</v>
      </c>
      <c r="L596" s="9" t="s">
        <v>20082</v>
      </c>
      <c r="M596" s="9" t="s">
        <v>17778</v>
      </c>
      <c r="N596" s="9" t="s">
        <v>17746</v>
      </c>
      <c r="O596" s="9" t="s">
        <v>18543</v>
      </c>
      <c r="P596" s="9" t="s">
        <v>17748</v>
      </c>
      <c r="Q596" s="11" t="s">
        <v>18147</v>
      </c>
      <c r="R596" s="11" t="s">
        <v>18147</v>
      </c>
      <c r="S596" s="11" t="s">
        <v>17750</v>
      </c>
    </row>
    <row r="597" spans="1:19" x14ac:dyDescent="0.2">
      <c r="A597" s="11" t="s">
        <v>21660</v>
      </c>
      <c r="B597" s="9" t="s">
        <v>21661</v>
      </c>
      <c r="C597" s="9" t="s">
        <v>21662</v>
      </c>
      <c r="D597" s="9" t="s">
        <v>21663</v>
      </c>
      <c r="E597" s="9" t="s">
        <v>17740</v>
      </c>
      <c r="F597" s="9" t="s">
        <v>17741</v>
      </c>
      <c r="G597" s="9" t="s">
        <v>17740</v>
      </c>
      <c r="H597" s="11" t="s">
        <v>7500</v>
      </c>
      <c r="I597" s="11" t="s">
        <v>7499</v>
      </c>
      <c r="J597" s="11" t="s">
        <v>7499</v>
      </c>
      <c r="K597" s="9" t="s">
        <v>18520</v>
      </c>
      <c r="L597" s="9" t="s">
        <v>17744</v>
      </c>
      <c r="M597" s="9" t="s">
        <v>17760</v>
      </c>
      <c r="N597" s="9" t="s">
        <v>17746</v>
      </c>
      <c r="O597" s="9" t="s">
        <v>21664</v>
      </c>
      <c r="P597" s="9" t="s">
        <v>17748</v>
      </c>
      <c r="Q597" s="11" t="s">
        <v>17792</v>
      </c>
      <c r="R597" s="11" t="s">
        <v>17792</v>
      </c>
      <c r="S597" s="11" t="s">
        <v>17750</v>
      </c>
    </row>
    <row r="598" spans="1:19" x14ac:dyDescent="0.2">
      <c r="A598" s="11" t="s">
        <v>21665</v>
      </c>
      <c r="B598" s="9" t="s">
        <v>21666</v>
      </c>
      <c r="C598" s="9" t="s">
        <v>21667</v>
      </c>
      <c r="D598" s="9" t="s">
        <v>21668</v>
      </c>
      <c r="E598" s="9" t="s">
        <v>17740</v>
      </c>
      <c r="F598" s="9" t="s">
        <v>17741</v>
      </c>
      <c r="G598" s="9" t="s">
        <v>17740</v>
      </c>
      <c r="H598" s="11" t="s">
        <v>8530</v>
      </c>
      <c r="I598" s="11" t="s">
        <v>8529</v>
      </c>
      <c r="J598" s="11" t="s">
        <v>8529</v>
      </c>
      <c r="K598" s="9" t="s">
        <v>315</v>
      </c>
      <c r="L598" s="9" t="s">
        <v>17958</v>
      </c>
      <c r="M598" s="9" t="s">
        <v>17760</v>
      </c>
      <c r="N598" s="9" t="s">
        <v>17746</v>
      </c>
      <c r="O598" s="9" t="s">
        <v>20226</v>
      </c>
      <c r="P598" s="9" t="s">
        <v>17748</v>
      </c>
      <c r="Q598" s="11" t="s">
        <v>18356</v>
      </c>
      <c r="R598" s="11" t="s">
        <v>18356</v>
      </c>
      <c r="S598" s="11" t="s">
        <v>17750</v>
      </c>
    </row>
    <row r="599" spans="1:19" x14ac:dyDescent="0.2">
      <c r="A599" s="11" t="s">
        <v>21669</v>
      </c>
      <c r="B599" s="9" t="s">
        <v>21670</v>
      </c>
      <c r="C599" s="9" t="s">
        <v>21671</v>
      </c>
      <c r="D599" s="9" t="s">
        <v>21672</v>
      </c>
      <c r="E599" s="9" t="s">
        <v>17740</v>
      </c>
      <c r="F599" s="9" t="s">
        <v>17741</v>
      </c>
      <c r="G599" s="9" t="s">
        <v>17740</v>
      </c>
      <c r="H599" s="11" t="s">
        <v>21673</v>
      </c>
      <c r="I599" s="11" t="s">
        <v>21674</v>
      </c>
      <c r="J599" s="11" t="s">
        <v>21674</v>
      </c>
      <c r="K599" s="9" t="s">
        <v>3029</v>
      </c>
      <c r="L599" s="9" t="s">
        <v>18242</v>
      </c>
      <c r="M599" s="9" t="s">
        <v>18685</v>
      </c>
      <c r="N599" s="9" t="s">
        <v>17746</v>
      </c>
      <c r="O599" s="9" t="s">
        <v>21675</v>
      </c>
      <c r="P599" s="9" t="s">
        <v>17748</v>
      </c>
      <c r="Q599" s="11" t="s">
        <v>18370</v>
      </c>
      <c r="R599" s="11" t="s">
        <v>18370</v>
      </c>
      <c r="S599" s="11" t="s">
        <v>17750</v>
      </c>
    </row>
    <row r="600" spans="1:19" x14ac:dyDescent="0.2">
      <c r="A600" s="11" t="s">
        <v>21676</v>
      </c>
      <c r="B600" s="9" t="s">
        <v>21677</v>
      </c>
      <c r="C600" s="9" t="s">
        <v>21678</v>
      </c>
      <c r="D600" s="9" t="s">
        <v>21679</v>
      </c>
      <c r="E600" s="9" t="s">
        <v>17740</v>
      </c>
      <c r="F600" s="9" t="s">
        <v>17741</v>
      </c>
      <c r="G600" s="9" t="s">
        <v>17740</v>
      </c>
      <c r="H600" s="11" t="s">
        <v>12884</v>
      </c>
      <c r="I600" s="11" t="s">
        <v>12883</v>
      </c>
      <c r="J600" s="11" t="s">
        <v>17741</v>
      </c>
      <c r="K600" s="9" t="s">
        <v>91</v>
      </c>
      <c r="L600" s="9" t="s">
        <v>18001</v>
      </c>
      <c r="M600" s="9" t="s">
        <v>21680</v>
      </c>
      <c r="N600" s="9" t="s">
        <v>17746</v>
      </c>
      <c r="O600" s="9" t="s">
        <v>17834</v>
      </c>
      <c r="P600" s="9" t="s">
        <v>17748</v>
      </c>
      <c r="Q600" s="11" t="s">
        <v>18370</v>
      </c>
      <c r="R600" s="11" t="s">
        <v>18370</v>
      </c>
      <c r="S600" s="11" t="s">
        <v>17750</v>
      </c>
    </row>
    <row r="601" spans="1:19" x14ac:dyDescent="0.2">
      <c r="A601" s="11" t="s">
        <v>21681</v>
      </c>
      <c r="B601" s="9" t="s">
        <v>21682</v>
      </c>
      <c r="C601" s="9" t="s">
        <v>21683</v>
      </c>
      <c r="D601" s="9" t="s">
        <v>21684</v>
      </c>
      <c r="E601" s="9" t="s">
        <v>17740</v>
      </c>
      <c r="F601" s="9" t="s">
        <v>21685</v>
      </c>
      <c r="G601" s="9" t="s">
        <v>17740</v>
      </c>
      <c r="H601" s="11" t="s">
        <v>21686</v>
      </c>
      <c r="I601" s="11" t="s">
        <v>21687</v>
      </c>
      <c r="J601" s="11" t="s">
        <v>21687</v>
      </c>
      <c r="K601" s="9" t="s">
        <v>21688</v>
      </c>
      <c r="L601" s="9" t="s">
        <v>17958</v>
      </c>
      <c r="M601" s="9" t="s">
        <v>17778</v>
      </c>
      <c r="N601" s="9" t="s">
        <v>17746</v>
      </c>
      <c r="O601" s="9" t="s">
        <v>18035</v>
      </c>
      <c r="P601" s="9" t="s">
        <v>17748</v>
      </c>
      <c r="Q601" s="11" t="s">
        <v>18678</v>
      </c>
      <c r="R601" s="11" t="s">
        <v>18678</v>
      </c>
      <c r="S601" s="11" t="s">
        <v>17750</v>
      </c>
    </row>
    <row r="602" spans="1:19" x14ac:dyDescent="0.2">
      <c r="A602" s="11" t="s">
        <v>21689</v>
      </c>
      <c r="B602" s="9" t="s">
        <v>21690</v>
      </c>
      <c r="C602" s="9" t="s">
        <v>21691</v>
      </c>
      <c r="D602" s="9" t="s">
        <v>21692</v>
      </c>
      <c r="E602" s="9" t="s">
        <v>17740</v>
      </c>
      <c r="F602" s="9" t="s">
        <v>17741</v>
      </c>
      <c r="G602" s="9" t="s">
        <v>17740</v>
      </c>
      <c r="H602" s="11" t="s">
        <v>17741</v>
      </c>
      <c r="I602" s="11" t="s">
        <v>587</v>
      </c>
      <c r="J602" s="11" t="s">
        <v>587</v>
      </c>
      <c r="K602" s="9" t="s">
        <v>589</v>
      </c>
      <c r="L602" s="9" t="s">
        <v>21693</v>
      </c>
      <c r="M602" s="9" t="s">
        <v>21694</v>
      </c>
      <c r="N602" s="9" t="s">
        <v>17746</v>
      </c>
      <c r="O602" s="9" t="s">
        <v>18882</v>
      </c>
      <c r="P602" s="9" t="s">
        <v>17748</v>
      </c>
      <c r="Q602" s="11" t="s">
        <v>17978</v>
      </c>
      <c r="R602" s="11" t="s">
        <v>17978</v>
      </c>
      <c r="S602" s="11" t="s">
        <v>17750</v>
      </c>
    </row>
    <row r="603" spans="1:19" x14ac:dyDescent="0.2">
      <c r="A603" s="11" t="s">
        <v>21695</v>
      </c>
      <c r="B603" s="9" t="s">
        <v>21696</v>
      </c>
      <c r="C603" s="9" t="s">
        <v>21697</v>
      </c>
      <c r="D603" s="9" t="s">
        <v>21698</v>
      </c>
      <c r="E603" s="9" t="s">
        <v>17740</v>
      </c>
      <c r="F603" s="9" t="s">
        <v>17741</v>
      </c>
      <c r="G603" s="9" t="s">
        <v>17740</v>
      </c>
      <c r="H603" s="11" t="s">
        <v>17741</v>
      </c>
      <c r="I603" s="11" t="s">
        <v>21699</v>
      </c>
      <c r="J603" s="11" t="s">
        <v>21699</v>
      </c>
      <c r="K603" s="9" t="s">
        <v>21700</v>
      </c>
      <c r="L603" s="9" t="s">
        <v>21693</v>
      </c>
      <c r="M603" s="9" t="s">
        <v>21701</v>
      </c>
      <c r="N603" s="9" t="s">
        <v>17746</v>
      </c>
      <c r="O603" s="9" t="s">
        <v>18363</v>
      </c>
      <c r="P603" s="9" t="s">
        <v>17748</v>
      </c>
      <c r="Q603" s="11" t="s">
        <v>17784</v>
      </c>
      <c r="R603" s="11" t="s">
        <v>17784</v>
      </c>
      <c r="S603" s="11" t="s">
        <v>17750</v>
      </c>
    </row>
    <row r="604" spans="1:19" x14ac:dyDescent="0.2">
      <c r="A604" s="11" t="s">
        <v>21702</v>
      </c>
      <c r="B604" s="9" t="s">
        <v>21703</v>
      </c>
      <c r="C604" s="9" t="s">
        <v>21704</v>
      </c>
      <c r="D604" s="9" t="s">
        <v>21705</v>
      </c>
      <c r="E604" s="9" t="s">
        <v>17740</v>
      </c>
      <c r="F604" s="9" t="s">
        <v>17741</v>
      </c>
      <c r="G604" s="9" t="s">
        <v>17740</v>
      </c>
      <c r="H604" s="11" t="s">
        <v>17741</v>
      </c>
      <c r="I604" s="11" t="s">
        <v>15546</v>
      </c>
      <c r="J604" s="11" t="s">
        <v>15546</v>
      </c>
      <c r="K604" s="9" t="s">
        <v>91</v>
      </c>
      <c r="L604" s="9" t="s">
        <v>17958</v>
      </c>
      <c r="M604" s="9" t="s">
        <v>21706</v>
      </c>
      <c r="N604" s="9" t="s">
        <v>17746</v>
      </c>
      <c r="O604" s="9" t="s">
        <v>18548</v>
      </c>
      <c r="P604" s="9" t="s">
        <v>17748</v>
      </c>
      <c r="Q604" s="11" t="s">
        <v>17909</v>
      </c>
      <c r="R604" s="11" t="s">
        <v>17909</v>
      </c>
      <c r="S604" s="11" t="s">
        <v>17750</v>
      </c>
    </row>
    <row r="605" spans="1:19" x14ac:dyDescent="0.2">
      <c r="A605" s="11" t="s">
        <v>21707</v>
      </c>
      <c r="B605" s="9" t="s">
        <v>21708</v>
      </c>
      <c r="C605" s="9" t="s">
        <v>21709</v>
      </c>
      <c r="D605" s="9" t="s">
        <v>21710</v>
      </c>
      <c r="E605" s="9" t="s">
        <v>17740</v>
      </c>
      <c r="F605" s="9" t="s">
        <v>17741</v>
      </c>
      <c r="G605" s="9" t="s">
        <v>17740</v>
      </c>
      <c r="H605" s="11" t="s">
        <v>17741</v>
      </c>
      <c r="I605" s="11" t="s">
        <v>14365</v>
      </c>
      <c r="J605" s="11" t="s">
        <v>17741</v>
      </c>
      <c r="K605" s="9" t="s">
        <v>91</v>
      </c>
      <c r="L605" s="9" t="s">
        <v>19491</v>
      </c>
      <c r="M605" s="9" t="s">
        <v>17983</v>
      </c>
      <c r="N605" s="9" t="s">
        <v>17746</v>
      </c>
      <c r="O605" s="9" t="s">
        <v>18548</v>
      </c>
      <c r="P605" s="9" t="s">
        <v>17748</v>
      </c>
      <c r="Q605" s="11" t="s">
        <v>18370</v>
      </c>
      <c r="R605" s="11" t="s">
        <v>18370</v>
      </c>
      <c r="S605" s="11" t="s">
        <v>17750</v>
      </c>
    </row>
    <row r="606" spans="1:19" x14ac:dyDescent="0.2">
      <c r="A606" s="11" t="s">
        <v>21711</v>
      </c>
      <c r="B606" s="9" t="s">
        <v>21712</v>
      </c>
      <c r="C606" s="9" t="s">
        <v>21713</v>
      </c>
      <c r="D606" s="9" t="s">
        <v>21714</v>
      </c>
      <c r="E606" s="9" t="s">
        <v>17740</v>
      </c>
      <c r="F606" s="9" t="s">
        <v>17741</v>
      </c>
      <c r="G606" s="9" t="s">
        <v>17740</v>
      </c>
      <c r="H606" s="11" t="s">
        <v>11052</v>
      </c>
      <c r="I606" s="11" t="s">
        <v>11051</v>
      </c>
      <c r="J606" s="11" t="s">
        <v>11051</v>
      </c>
      <c r="K606" s="9" t="s">
        <v>20343</v>
      </c>
      <c r="L606" s="9" t="s">
        <v>20082</v>
      </c>
      <c r="M606" s="9" t="s">
        <v>17760</v>
      </c>
      <c r="N606" s="9" t="s">
        <v>17746</v>
      </c>
      <c r="O606" s="9" t="s">
        <v>18363</v>
      </c>
      <c r="P606" s="9" t="s">
        <v>17748</v>
      </c>
      <c r="Q606" s="11" t="s">
        <v>17984</v>
      </c>
      <c r="R606" s="11" t="s">
        <v>17984</v>
      </c>
      <c r="S606" s="11" t="s">
        <v>17750</v>
      </c>
    </row>
    <row r="607" spans="1:19" x14ac:dyDescent="0.2">
      <c r="A607" s="11" t="s">
        <v>21715</v>
      </c>
      <c r="B607" s="9" t="s">
        <v>21716</v>
      </c>
      <c r="C607" s="9" t="s">
        <v>21717</v>
      </c>
      <c r="D607" s="9" t="s">
        <v>21718</v>
      </c>
      <c r="E607" s="9" t="s">
        <v>17740</v>
      </c>
      <c r="F607" s="9" t="s">
        <v>17741</v>
      </c>
      <c r="G607" s="9" t="s">
        <v>17740</v>
      </c>
      <c r="H607" s="11" t="s">
        <v>21719</v>
      </c>
      <c r="I607" s="11" t="s">
        <v>21720</v>
      </c>
      <c r="J607" s="11" t="s">
        <v>21720</v>
      </c>
      <c r="K607" s="9" t="s">
        <v>21721</v>
      </c>
      <c r="L607" s="9" t="s">
        <v>17958</v>
      </c>
      <c r="M607" s="9" t="s">
        <v>21722</v>
      </c>
      <c r="N607" s="9" t="s">
        <v>17746</v>
      </c>
      <c r="O607" s="9" t="s">
        <v>3524</v>
      </c>
      <c r="P607" s="9" t="s">
        <v>17748</v>
      </c>
      <c r="Q607" s="11" t="s">
        <v>18364</v>
      </c>
      <c r="R607" s="11" t="s">
        <v>18364</v>
      </c>
      <c r="S607" s="11" t="s">
        <v>17750</v>
      </c>
    </row>
    <row r="608" spans="1:19" x14ac:dyDescent="0.2">
      <c r="A608" s="11" t="s">
        <v>21723</v>
      </c>
      <c r="B608" s="9" t="s">
        <v>21724</v>
      </c>
      <c r="C608" s="9" t="s">
        <v>21725</v>
      </c>
      <c r="D608" s="9" t="s">
        <v>21726</v>
      </c>
      <c r="E608" s="9" t="s">
        <v>17740</v>
      </c>
      <c r="F608" s="9" t="s">
        <v>17741</v>
      </c>
      <c r="G608" s="9" t="s">
        <v>17740</v>
      </c>
      <c r="H608" s="11" t="s">
        <v>14182</v>
      </c>
      <c r="I608" s="11" t="s">
        <v>14181</v>
      </c>
      <c r="J608" s="11" t="s">
        <v>14181</v>
      </c>
      <c r="K608" s="9" t="s">
        <v>7004</v>
      </c>
      <c r="L608" s="9" t="s">
        <v>20082</v>
      </c>
      <c r="M608" s="9" t="s">
        <v>21727</v>
      </c>
      <c r="N608" s="9" t="s">
        <v>17746</v>
      </c>
      <c r="O608" s="9" t="s">
        <v>17834</v>
      </c>
      <c r="P608" s="9" t="s">
        <v>17748</v>
      </c>
      <c r="Q608" s="11" t="s">
        <v>17825</v>
      </c>
      <c r="R608" s="11" t="s">
        <v>17825</v>
      </c>
      <c r="S608" s="11" t="s">
        <v>17750</v>
      </c>
    </row>
    <row r="609" spans="1:19" x14ac:dyDescent="0.2">
      <c r="A609" s="11" t="s">
        <v>21728</v>
      </c>
      <c r="B609" s="9" t="s">
        <v>21729</v>
      </c>
      <c r="C609" s="9" t="s">
        <v>21730</v>
      </c>
      <c r="D609" s="9" t="s">
        <v>13958</v>
      </c>
      <c r="E609" s="9" t="s">
        <v>17740</v>
      </c>
      <c r="F609" s="9" t="s">
        <v>17741</v>
      </c>
      <c r="G609" s="9" t="s">
        <v>17740</v>
      </c>
      <c r="H609" s="11" t="s">
        <v>13959</v>
      </c>
      <c r="I609" s="11" t="s">
        <v>17741</v>
      </c>
      <c r="J609" s="11" t="s">
        <v>17741</v>
      </c>
      <c r="K609" s="9" t="s">
        <v>21731</v>
      </c>
      <c r="L609" s="9" t="s">
        <v>17744</v>
      </c>
      <c r="M609" s="9" t="s">
        <v>17741</v>
      </c>
      <c r="N609" s="9" t="s">
        <v>17746</v>
      </c>
      <c r="O609" s="9" t="s">
        <v>21732</v>
      </c>
      <c r="P609" s="9" t="s">
        <v>17748</v>
      </c>
      <c r="Q609" s="11" t="s">
        <v>17825</v>
      </c>
      <c r="R609" s="11" t="s">
        <v>17825</v>
      </c>
      <c r="S609" s="11" t="s">
        <v>17750</v>
      </c>
    </row>
    <row r="610" spans="1:19" x14ac:dyDescent="0.2">
      <c r="A610" s="11" t="s">
        <v>21733</v>
      </c>
      <c r="B610" s="9" t="s">
        <v>21734</v>
      </c>
      <c r="C610" s="9" t="s">
        <v>21735</v>
      </c>
      <c r="D610" s="9" t="s">
        <v>21736</v>
      </c>
      <c r="E610" s="9" t="s">
        <v>17740</v>
      </c>
      <c r="F610" s="9" t="s">
        <v>17741</v>
      </c>
      <c r="G610" s="9" t="s">
        <v>17740</v>
      </c>
      <c r="H610" s="11" t="s">
        <v>9837</v>
      </c>
      <c r="I610" s="11" t="s">
        <v>9836</v>
      </c>
      <c r="J610" s="11" t="s">
        <v>9836</v>
      </c>
      <c r="K610" s="9" t="s">
        <v>19180</v>
      </c>
      <c r="L610" s="9" t="s">
        <v>17759</v>
      </c>
      <c r="M610" s="9" t="s">
        <v>21737</v>
      </c>
      <c r="N610" s="9" t="s">
        <v>17746</v>
      </c>
      <c r="O610" s="9" t="s">
        <v>21738</v>
      </c>
      <c r="P610" s="9" t="s">
        <v>17748</v>
      </c>
      <c r="Q610" s="11" t="s">
        <v>17994</v>
      </c>
      <c r="R610" s="11" t="s">
        <v>17994</v>
      </c>
      <c r="S610" s="11" t="s">
        <v>17750</v>
      </c>
    </row>
    <row r="611" spans="1:19" x14ac:dyDescent="0.2">
      <c r="A611" s="11" t="s">
        <v>21739</v>
      </c>
      <c r="B611" s="9" t="s">
        <v>21740</v>
      </c>
      <c r="C611" s="9" t="s">
        <v>21741</v>
      </c>
      <c r="D611" s="9" t="s">
        <v>21740</v>
      </c>
      <c r="E611" s="9" t="s">
        <v>17740</v>
      </c>
      <c r="F611" s="9" t="s">
        <v>17741</v>
      </c>
      <c r="G611" s="9" t="s">
        <v>17740</v>
      </c>
      <c r="H611" s="11" t="s">
        <v>21742</v>
      </c>
      <c r="I611" s="11" t="s">
        <v>21743</v>
      </c>
      <c r="J611" s="11" t="s">
        <v>21743</v>
      </c>
      <c r="K611" s="9" t="s">
        <v>19447</v>
      </c>
      <c r="L611" s="9" t="s">
        <v>17759</v>
      </c>
      <c r="M611" s="9" t="s">
        <v>17760</v>
      </c>
      <c r="N611" s="9" t="s">
        <v>17746</v>
      </c>
      <c r="O611" s="9" t="s">
        <v>18514</v>
      </c>
      <c r="P611" s="9" t="s">
        <v>17748</v>
      </c>
      <c r="Q611" s="11" t="s">
        <v>17808</v>
      </c>
      <c r="R611" s="11" t="s">
        <v>17808</v>
      </c>
      <c r="S611" s="11" t="s">
        <v>17750</v>
      </c>
    </row>
    <row r="612" spans="1:19" x14ac:dyDescent="0.2">
      <c r="A612" s="11" t="s">
        <v>21744</v>
      </c>
      <c r="B612" s="9" t="s">
        <v>21745</v>
      </c>
      <c r="C612" s="9" t="s">
        <v>21746</v>
      </c>
      <c r="D612" s="9" t="s">
        <v>21747</v>
      </c>
      <c r="E612" s="9" t="s">
        <v>17748</v>
      </c>
      <c r="F612" s="9" t="s">
        <v>21748</v>
      </c>
      <c r="G612" s="9" t="s">
        <v>17740</v>
      </c>
      <c r="H612" s="11" t="s">
        <v>21749</v>
      </c>
      <c r="I612" s="11" t="s">
        <v>21750</v>
      </c>
      <c r="J612" s="11" t="s">
        <v>21750</v>
      </c>
      <c r="K612" s="9" t="s">
        <v>21751</v>
      </c>
      <c r="L612" s="9" t="s">
        <v>17991</v>
      </c>
      <c r="M612" s="9" t="s">
        <v>17760</v>
      </c>
      <c r="N612" s="9" t="s">
        <v>20424</v>
      </c>
      <c r="O612" s="9" t="s">
        <v>17800</v>
      </c>
      <c r="P612" s="9" t="s">
        <v>17748</v>
      </c>
      <c r="Q612" s="11" t="s">
        <v>18356</v>
      </c>
      <c r="R612" s="11" t="s">
        <v>18356</v>
      </c>
      <c r="S612" s="11" t="s">
        <v>17750</v>
      </c>
    </row>
    <row r="613" spans="1:19" x14ac:dyDescent="0.2">
      <c r="A613" s="11" t="s">
        <v>21752</v>
      </c>
      <c r="B613" s="9" t="s">
        <v>21753</v>
      </c>
      <c r="C613" s="9" t="s">
        <v>21754</v>
      </c>
      <c r="D613" s="9" t="s">
        <v>21755</v>
      </c>
      <c r="E613" s="9" t="s">
        <v>17740</v>
      </c>
      <c r="F613" s="9" t="s">
        <v>17741</v>
      </c>
      <c r="G613" s="9" t="s">
        <v>17740</v>
      </c>
      <c r="H613" s="11" t="s">
        <v>17741</v>
      </c>
      <c r="I613" s="11" t="s">
        <v>21756</v>
      </c>
      <c r="J613" s="11" t="s">
        <v>21756</v>
      </c>
      <c r="K613" s="9" t="s">
        <v>21757</v>
      </c>
      <c r="L613" s="9" t="s">
        <v>17759</v>
      </c>
      <c r="M613" s="9" t="s">
        <v>18051</v>
      </c>
      <c r="N613" s="9" t="s">
        <v>17746</v>
      </c>
      <c r="O613" s="9" t="s">
        <v>21758</v>
      </c>
      <c r="P613" s="9" t="s">
        <v>17748</v>
      </c>
      <c r="Q613" s="11" t="s">
        <v>17819</v>
      </c>
      <c r="R613" s="11" t="s">
        <v>17819</v>
      </c>
      <c r="S613" s="11" t="s">
        <v>17750</v>
      </c>
    </row>
    <row r="614" spans="1:19" x14ac:dyDescent="0.2">
      <c r="A614" s="11" t="s">
        <v>21759</v>
      </c>
      <c r="B614" s="9" t="s">
        <v>21760</v>
      </c>
      <c r="C614" s="9" t="s">
        <v>21761</v>
      </c>
      <c r="D614" s="9" t="s">
        <v>21760</v>
      </c>
      <c r="E614" s="9" t="s">
        <v>17740</v>
      </c>
      <c r="F614" s="9" t="s">
        <v>17741</v>
      </c>
      <c r="G614" s="9" t="s">
        <v>17740</v>
      </c>
      <c r="H614" s="11" t="s">
        <v>21762</v>
      </c>
      <c r="I614" s="11" t="s">
        <v>21763</v>
      </c>
      <c r="J614" s="11" t="s">
        <v>21762</v>
      </c>
      <c r="K614" s="9" t="s">
        <v>19180</v>
      </c>
      <c r="L614" s="9" t="s">
        <v>17759</v>
      </c>
      <c r="M614" s="9" t="s">
        <v>17908</v>
      </c>
      <c r="N614" s="9" t="s">
        <v>17746</v>
      </c>
      <c r="O614" s="9" t="s">
        <v>17977</v>
      </c>
      <c r="P614" s="9" t="s">
        <v>17748</v>
      </c>
      <c r="Q614" s="11" t="s">
        <v>18922</v>
      </c>
      <c r="R614" s="11" t="s">
        <v>18922</v>
      </c>
      <c r="S614" s="11" t="s">
        <v>17750</v>
      </c>
    </row>
    <row r="615" spans="1:19" x14ac:dyDescent="0.2">
      <c r="A615" s="11" t="s">
        <v>21764</v>
      </c>
      <c r="B615" s="9" t="s">
        <v>21765</v>
      </c>
      <c r="C615" s="9" t="s">
        <v>21766</v>
      </c>
      <c r="D615" s="9" t="s">
        <v>21767</v>
      </c>
      <c r="E615" s="9" t="s">
        <v>17740</v>
      </c>
      <c r="F615" s="9" t="s">
        <v>17741</v>
      </c>
      <c r="G615" s="9" t="s">
        <v>17740</v>
      </c>
      <c r="H615" s="11" t="s">
        <v>5032</v>
      </c>
      <c r="I615" s="11" t="s">
        <v>5031</v>
      </c>
      <c r="J615" s="11" t="s">
        <v>5031</v>
      </c>
      <c r="K615" s="9" t="s">
        <v>18438</v>
      </c>
      <c r="L615" s="9" t="s">
        <v>18439</v>
      </c>
      <c r="M615" s="9" t="s">
        <v>19203</v>
      </c>
      <c r="N615" s="9" t="s">
        <v>18171</v>
      </c>
      <c r="O615" s="9" t="s">
        <v>19423</v>
      </c>
      <c r="P615" s="9" t="s">
        <v>17748</v>
      </c>
      <c r="Q615" s="11" t="s">
        <v>17978</v>
      </c>
      <c r="R615" s="11" t="s">
        <v>17978</v>
      </c>
      <c r="S615" s="11" t="s">
        <v>17750</v>
      </c>
    </row>
    <row r="616" spans="1:19" x14ac:dyDescent="0.2">
      <c r="A616" s="11" t="s">
        <v>21768</v>
      </c>
      <c r="B616" s="9" t="s">
        <v>674</v>
      </c>
      <c r="C616" s="9" t="s">
        <v>21769</v>
      </c>
      <c r="D616" s="9" t="s">
        <v>674</v>
      </c>
      <c r="E616" s="9" t="s">
        <v>17740</v>
      </c>
      <c r="F616" s="9" t="s">
        <v>21770</v>
      </c>
      <c r="G616" s="9" t="s">
        <v>17740</v>
      </c>
      <c r="H616" s="11" t="s">
        <v>676</v>
      </c>
      <c r="I616" s="11" t="s">
        <v>675</v>
      </c>
      <c r="J616" s="11" t="s">
        <v>675</v>
      </c>
      <c r="K616" s="9" t="s">
        <v>91</v>
      </c>
      <c r="L616" s="9" t="s">
        <v>21771</v>
      </c>
      <c r="M616" s="9" t="s">
        <v>19203</v>
      </c>
      <c r="N616" s="9" t="s">
        <v>17746</v>
      </c>
      <c r="O616" s="9" t="s">
        <v>19646</v>
      </c>
      <c r="P616" s="9" t="s">
        <v>17748</v>
      </c>
      <c r="Q616" s="11" t="s">
        <v>18282</v>
      </c>
      <c r="R616" s="11" t="s">
        <v>18282</v>
      </c>
      <c r="S616" s="11" t="s">
        <v>17750</v>
      </c>
    </row>
    <row r="617" spans="1:19" x14ac:dyDescent="0.2">
      <c r="A617" s="11" t="s">
        <v>21772</v>
      </c>
      <c r="B617" s="9" t="s">
        <v>21773</v>
      </c>
      <c r="C617" s="9" t="s">
        <v>21774</v>
      </c>
      <c r="D617" s="9" t="s">
        <v>21775</v>
      </c>
      <c r="E617" s="9" t="s">
        <v>17740</v>
      </c>
      <c r="F617" s="9" t="s">
        <v>17741</v>
      </c>
      <c r="G617" s="9" t="s">
        <v>17740</v>
      </c>
      <c r="H617" s="11" t="s">
        <v>10066</v>
      </c>
      <c r="I617" s="11" t="s">
        <v>10065</v>
      </c>
      <c r="J617" s="11" t="s">
        <v>10065</v>
      </c>
      <c r="K617" s="9" t="s">
        <v>18661</v>
      </c>
      <c r="L617" s="9" t="s">
        <v>18001</v>
      </c>
      <c r="M617" s="9" t="s">
        <v>17942</v>
      </c>
      <c r="N617" s="9" t="s">
        <v>17746</v>
      </c>
      <c r="O617" s="9" t="s">
        <v>19646</v>
      </c>
      <c r="P617" s="9" t="s">
        <v>17748</v>
      </c>
      <c r="Q617" s="11" t="s">
        <v>17784</v>
      </c>
      <c r="R617" s="11" t="s">
        <v>17784</v>
      </c>
      <c r="S617" s="11" t="s">
        <v>17750</v>
      </c>
    </row>
    <row r="618" spans="1:19" x14ac:dyDescent="0.2">
      <c r="A618" s="11" t="s">
        <v>21776</v>
      </c>
      <c r="B618" s="9" t="s">
        <v>21777</v>
      </c>
      <c r="C618" s="9" t="s">
        <v>21778</v>
      </c>
      <c r="D618" s="9" t="s">
        <v>21779</v>
      </c>
      <c r="E618" s="9" t="s">
        <v>17740</v>
      </c>
      <c r="F618" s="9" t="s">
        <v>17741</v>
      </c>
      <c r="G618" s="9" t="s">
        <v>17740</v>
      </c>
      <c r="H618" s="11" t="s">
        <v>21780</v>
      </c>
      <c r="I618" s="11" t="s">
        <v>21781</v>
      </c>
      <c r="J618" s="11" t="s">
        <v>21781</v>
      </c>
      <c r="K618" s="9" t="s">
        <v>20259</v>
      </c>
      <c r="L618" s="9" t="s">
        <v>17759</v>
      </c>
      <c r="M618" s="9" t="s">
        <v>18051</v>
      </c>
      <c r="N618" s="9" t="s">
        <v>17746</v>
      </c>
      <c r="O618" s="9" t="s">
        <v>20746</v>
      </c>
      <c r="P618" s="9" t="s">
        <v>17748</v>
      </c>
      <c r="Q618" s="11" t="s">
        <v>17792</v>
      </c>
      <c r="R618" s="11" t="s">
        <v>17792</v>
      </c>
      <c r="S618" s="11" t="s">
        <v>17750</v>
      </c>
    </row>
    <row r="619" spans="1:19" x14ac:dyDescent="0.2">
      <c r="A619" s="11" t="s">
        <v>21782</v>
      </c>
      <c r="B619" s="9" t="s">
        <v>21783</v>
      </c>
      <c r="C619" s="9" t="s">
        <v>21784</v>
      </c>
      <c r="D619" s="9" t="s">
        <v>21785</v>
      </c>
      <c r="E619" s="9" t="s">
        <v>17740</v>
      </c>
      <c r="F619" s="9" t="s">
        <v>17741</v>
      </c>
      <c r="G619" s="9" t="s">
        <v>17740</v>
      </c>
      <c r="H619" s="11" t="s">
        <v>21786</v>
      </c>
      <c r="I619" s="11" t="s">
        <v>21787</v>
      </c>
      <c r="J619" s="11" t="s">
        <v>21787</v>
      </c>
      <c r="K619" s="9" t="s">
        <v>291</v>
      </c>
      <c r="L619" s="9" t="s">
        <v>17744</v>
      </c>
      <c r="M619" s="9" t="s">
        <v>21788</v>
      </c>
      <c r="N619" s="9" t="s">
        <v>17746</v>
      </c>
      <c r="O619" s="9" t="s">
        <v>18891</v>
      </c>
      <c r="P619" s="9" t="s">
        <v>17748</v>
      </c>
      <c r="Q619" s="11" t="s">
        <v>18356</v>
      </c>
      <c r="R619" s="11" t="s">
        <v>18356</v>
      </c>
      <c r="S619" s="11" t="s">
        <v>17750</v>
      </c>
    </row>
    <row r="620" spans="1:19" x14ac:dyDescent="0.2">
      <c r="A620" s="11" t="s">
        <v>21789</v>
      </c>
      <c r="B620" s="9" t="s">
        <v>21790</v>
      </c>
      <c r="C620" s="9" t="s">
        <v>21791</v>
      </c>
      <c r="D620" s="9" t="s">
        <v>21792</v>
      </c>
      <c r="E620" s="9" t="s">
        <v>17740</v>
      </c>
      <c r="F620" s="9" t="s">
        <v>17741</v>
      </c>
      <c r="G620" s="9" t="s">
        <v>17740</v>
      </c>
      <c r="H620" s="11" t="s">
        <v>15225</v>
      </c>
      <c r="I620" s="11" t="s">
        <v>15224</v>
      </c>
      <c r="J620" s="11" t="s">
        <v>15224</v>
      </c>
      <c r="K620" s="9" t="s">
        <v>21793</v>
      </c>
      <c r="L620" s="9" t="s">
        <v>18288</v>
      </c>
      <c r="M620" s="9" t="s">
        <v>21794</v>
      </c>
      <c r="N620" s="9" t="s">
        <v>17746</v>
      </c>
      <c r="O620" s="9" t="s">
        <v>17834</v>
      </c>
      <c r="P620" s="9" t="s">
        <v>17748</v>
      </c>
      <c r="Q620" s="11" t="s">
        <v>18370</v>
      </c>
      <c r="R620" s="11" t="s">
        <v>18370</v>
      </c>
      <c r="S620" s="11" t="s">
        <v>17750</v>
      </c>
    </row>
    <row r="621" spans="1:19" x14ac:dyDescent="0.2">
      <c r="A621" s="11" t="s">
        <v>21795</v>
      </c>
      <c r="B621" s="9" t="s">
        <v>21796</v>
      </c>
      <c r="C621" s="9" t="s">
        <v>21797</v>
      </c>
      <c r="D621" s="9" t="s">
        <v>21798</v>
      </c>
      <c r="E621" s="9" t="s">
        <v>17748</v>
      </c>
      <c r="F621" s="9" t="s">
        <v>21799</v>
      </c>
      <c r="G621" s="9" t="s">
        <v>17740</v>
      </c>
      <c r="H621" s="11" t="s">
        <v>21800</v>
      </c>
      <c r="I621" s="11" t="s">
        <v>21801</v>
      </c>
      <c r="J621" s="11" t="s">
        <v>21801</v>
      </c>
      <c r="K621" s="9" t="s">
        <v>17783</v>
      </c>
      <c r="L621" s="9" t="s">
        <v>17759</v>
      </c>
      <c r="M621" s="9" t="s">
        <v>18177</v>
      </c>
      <c r="N621" s="9" t="s">
        <v>17746</v>
      </c>
      <c r="O621" s="9" t="s">
        <v>21802</v>
      </c>
      <c r="P621" s="9" t="s">
        <v>17748</v>
      </c>
      <c r="Q621" s="11" t="s">
        <v>17825</v>
      </c>
      <c r="R621" s="11" t="s">
        <v>17825</v>
      </c>
      <c r="S621" s="11" t="s">
        <v>17750</v>
      </c>
    </row>
    <row r="622" spans="1:19" x14ac:dyDescent="0.2">
      <c r="A622" s="11" t="s">
        <v>21803</v>
      </c>
      <c r="B622" s="9" t="s">
        <v>21804</v>
      </c>
      <c r="C622" s="9" t="s">
        <v>21805</v>
      </c>
      <c r="D622" s="9" t="s">
        <v>21806</v>
      </c>
      <c r="E622" s="9" t="s">
        <v>17740</v>
      </c>
      <c r="F622" s="9" t="s">
        <v>17741</v>
      </c>
      <c r="G622" s="9" t="s">
        <v>17740</v>
      </c>
      <c r="H622" s="11" t="s">
        <v>21807</v>
      </c>
      <c r="I622" s="11" t="s">
        <v>21808</v>
      </c>
      <c r="J622" s="11" t="s">
        <v>21808</v>
      </c>
      <c r="K622" s="9" t="s">
        <v>18122</v>
      </c>
      <c r="L622" s="9" t="s">
        <v>18123</v>
      </c>
      <c r="M622" s="9" t="s">
        <v>18065</v>
      </c>
      <c r="N622" s="9" t="s">
        <v>17746</v>
      </c>
      <c r="O622" s="9" t="s">
        <v>21809</v>
      </c>
      <c r="P622" s="9" t="s">
        <v>17748</v>
      </c>
      <c r="Q622" s="11" t="s">
        <v>18201</v>
      </c>
      <c r="R622" s="11" t="s">
        <v>18201</v>
      </c>
      <c r="S622" s="11" t="s">
        <v>17750</v>
      </c>
    </row>
    <row r="623" spans="1:19" x14ac:dyDescent="0.2">
      <c r="A623" s="11" t="s">
        <v>21810</v>
      </c>
      <c r="B623" s="9" t="s">
        <v>21811</v>
      </c>
      <c r="C623" s="9" t="s">
        <v>21812</v>
      </c>
      <c r="D623" s="9" t="s">
        <v>21813</v>
      </c>
      <c r="E623" s="9" t="s">
        <v>17740</v>
      </c>
      <c r="F623" s="9" t="s">
        <v>17741</v>
      </c>
      <c r="G623" s="9" t="s">
        <v>17740</v>
      </c>
      <c r="H623" s="11" t="s">
        <v>21814</v>
      </c>
      <c r="I623" s="11" t="s">
        <v>21815</v>
      </c>
      <c r="J623" s="11" t="s">
        <v>21815</v>
      </c>
      <c r="K623" s="9" t="s">
        <v>291</v>
      </c>
      <c r="L623" s="9" t="s">
        <v>17744</v>
      </c>
      <c r="M623" s="9" t="s">
        <v>17760</v>
      </c>
      <c r="N623" s="9" t="s">
        <v>17746</v>
      </c>
      <c r="O623" s="9" t="s">
        <v>19930</v>
      </c>
      <c r="P623" s="9" t="s">
        <v>17748</v>
      </c>
      <c r="Q623" s="11" t="s">
        <v>18960</v>
      </c>
      <c r="R623" s="11" t="s">
        <v>18960</v>
      </c>
      <c r="S623" s="11" t="s">
        <v>17750</v>
      </c>
    </row>
    <row r="624" spans="1:19" x14ac:dyDescent="0.2">
      <c r="A624" s="11" t="s">
        <v>21816</v>
      </c>
      <c r="B624" s="9" t="s">
        <v>21817</v>
      </c>
      <c r="C624" s="9" t="s">
        <v>21818</v>
      </c>
      <c r="D624" s="9" t="s">
        <v>508</v>
      </c>
      <c r="E624" s="9" t="s">
        <v>17740</v>
      </c>
      <c r="F624" s="9" t="s">
        <v>17741</v>
      </c>
      <c r="G624" s="9" t="s">
        <v>17740</v>
      </c>
      <c r="H624" s="11" t="s">
        <v>510</v>
      </c>
      <c r="I624" s="11" t="s">
        <v>509</v>
      </c>
      <c r="J624" s="11" t="s">
        <v>509</v>
      </c>
      <c r="K624" s="9" t="s">
        <v>18661</v>
      </c>
      <c r="L624" s="9" t="s">
        <v>18001</v>
      </c>
      <c r="M624" s="9" t="s">
        <v>18533</v>
      </c>
      <c r="N624" s="9" t="s">
        <v>17746</v>
      </c>
      <c r="O624" s="9" t="s">
        <v>18418</v>
      </c>
      <c r="P624" s="9" t="s">
        <v>17748</v>
      </c>
      <c r="Q624" s="11" t="s">
        <v>18243</v>
      </c>
      <c r="R624" s="11" t="s">
        <v>18243</v>
      </c>
      <c r="S624" s="11" t="s">
        <v>17750</v>
      </c>
    </row>
    <row r="625" spans="1:19" x14ac:dyDescent="0.2">
      <c r="A625" s="11" t="s">
        <v>21819</v>
      </c>
      <c r="B625" s="9" t="s">
        <v>21820</v>
      </c>
      <c r="C625" s="9" t="s">
        <v>21821</v>
      </c>
      <c r="D625" s="9" t="s">
        <v>21822</v>
      </c>
      <c r="E625" s="9" t="s">
        <v>17740</v>
      </c>
      <c r="F625" s="9" t="s">
        <v>21823</v>
      </c>
      <c r="G625" s="9" t="s">
        <v>17740</v>
      </c>
      <c r="H625" s="11" t="s">
        <v>17741</v>
      </c>
      <c r="I625" s="11" t="s">
        <v>21824</v>
      </c>
      <c r="J625" s="11" t="s">
        <v>21824</v>
      </c>
      <c r="K625" s="9" t="s">
        <v>91</v>
      </c>
      <c r="L625" s="9" t="s">
        <v>18001</v>
      </c>
      <c r="M625" s="9" t="s">
        <v>17778</v>
      </c>
      <c r="N625" s="9" t="s">
        <v>17746</v>
      </c>
      <c r="O625" s="9" t="s">
        <v>18707</v>
      </c>
      <c r="P625" s="9" t="s">
        <v>17748</v>
      </c>
      <c r="Q625" s="11" t="s">
        <v>17984</v>
      </c>
      <c r="R625" s="11" t="s">
        <v>17984</v>
      </c>
      <c r="S625" s="11" t="s">
        <v>17750</v>
      </c>
    </row>
    <row r="626" spans="1:19" x14ac:dyDescent="0.2">
      <c r="A626" s="11" t="s">
        <v>21825</v>
      </c>
      <c r="B626" s="9" t="s">
        <v>21826</v>
      </c>
      <c r="C626" s="9" t="s">
        <v>21827</v>
      </c>
      <c r="D626" s="9" t="s">
        <v>21828</v>
      </c>
      <c r="E626" s="9" t="s">
        <v>17740</v>
      </c>
      <c r="F626" s="9" t="s">
        <v>21829</v>
      </c>
      <c r="G626" s="9" t="s">
        <v>17740</v>
      </c>
      <c r="H626" s="11" t="s">
        <v>295</v>
      </c>
      <c r="I626" s="11" t="s">
        <v>294</v>
      </c>
      <c r="J626" s="11" t="s">
        <v>294</v>
      </c>
      <c r="K626" s="9" t="s">
        <v>970</v>
      </c>
      <c r="L626" s="9" t="s">
        <v>20082</v>
      </c>
      <c r="M626" s="9" t="s">
        <v>17778</v>
      </c>
      <c r="N626" s="9" t="s">
        <v>17746</v>
      </c>
      <c r="O626" s="9" t="s">
        <v>5790</v>
      </c>
      <c r="P626" s="9" t="s">
        <v>17748</v>
      </c>
      <c r="Q626" s="11" t="s">
        <v>18813</v>
      </c>
      <c r="R626" s="11" t="s">
        <v>18813</v>
      </c>
      <c r="S626" s="11" t="s">
        <v>17750</v>
      </c>
    </row>
    <row r="627" spans="1:19" x14ac:dyDescent="0.2">
      <c r="A627" s="11" t="s">
        <v>21830</v>
      </c>
      <c r="B627" s="9" t="s">
        <v>21831</v>
      </c>
      <c r="C627" s="9" t="s">
        <v>21832</v>
      </c>
      <c r="D627" s="9" t="s">
        <v>21833</v>
      </c>
      <c r="E627" s="9" t="s">
        <v>17740</v>
      </c>
      <c r="F627" s="9" t="s">
        <v>21834</v>
      </c>
      <c r="G627" s="9" t="s">
        <v>17740</v>
      </c>
      <c r="H627" s="11" t="s">
        <v>21835</v>
      </c>
      <c r="I627" s="11" t="s">
        <v>21836</v>
      </c>
      <c r="J627" s="11" t="s">
        <v>21836</v>
      </c>
      <c r="K627" s="9" t="s">
        <v>21837</v>
      </c>
      <c r="L627" s="9" t="s">
        <v>20082</v>
      </c>
      <c r="M627" s="9" t="s">
        <v>17778</v>
      </c>
      <c r="N627" s="9" t="s">
        <v>17746</v>
      </c>
      <c r="O627" s="9" t="s">
        <v>18855</v>
      </c>
      <c r="P627" s="9" t="s">
        <v>17748</v>
      </c>
      <c r="Q627" s="11" t="s">
        <v>18798</v>
      </c>
      <c r="R627" s="11" t="s">
        <v>18798</v>
      </c>
      <c r="S627" s="11" t="s">
        <v>17750</v>
      </c>
    </row>
    <row r="628" spans="1:19" x14ac:dyDescent="0.2">
      <c r="A628" s="11" t="s">
        <v>21838</v>
      </c>
      <c r="B628" s="9" t="s">
        <v>21839</v>
      </c>
      <c r="C628" s="9" t="s">
        <v>21840</v>
      </c>
      <c r="D628" s="9" t="s">
        <v>21841</v>
      </c>
      <c r="E628" s="9" t="s">
        <v>17740</v>
      </c>
      <c r="F628" s="9" t="s">
        <v>17741</v>
      </c>
      <c r="G628" s="9" t="s">
        <v>17740</v>
      </c>
      <c r="H628" s="11" t="s">
        <v>21842</v>
      </c>
      <c r="I628" s="11" t="s">
        <v>8364</v>
      </c>
      <c r="J628" s="11" t="s">
        <v>8364</v>
      </c>
      <c r="K628" s="9" t="s">
        <v>17783</v>
      </c>
      <c r="L628" s="9" t="s">
        <v>18001</v>
      </c>
      <c r="M628" s="9" t="s">
        <v>17778</v>
      </c>
      <c r="N628" s="9" t="s">
        <v>17746</v>
      </c>
      <c r="O628" s="9" t="s">
        <v>21843</v>
      </c>
      <c r="P628" s="9" t="s">
        <v>17748</v>
      </c>
      <c r="Q628" s="11" t="s">
        <v>19222</v>
      </c>
      <c r="R628" s="11" t="s">
        <v>19222</v>
      </c>
      <c r="S628" s="11" t="s">
        <v>17750</v>
      </c>
    </row>
    <row r="629" spans="1:19" x14ac:dyDescent="0.2">
      <c r="A629" s="11" t="s">
        <v>21844</v>
      </c>
      <c r="B629" s="9" t="s">
        <v>21845</v>
      </c>
      <c r="C629" s="9" t="s">
        <v>21846</v>
      </c>
      <c r="D629" s="9" t="s">
        <v>21847</v>
      </c>
      <c r="E629" s="9" t="s">
        <v>17740</v>
      </c>
      <c r="F629" s="9" t="s">
        <v>17741</v>
      </c>
      <c r="G629" s="9" t="s">
        <v>17740</v>
      </c>
      <c r="H629" s="11" t="s">
        <v>7471</v>
      </c>
      <c r="I629" s="11" t="s">
        <v>7470</v>
      </c>
      <c r="J629" s="11" t="s">
        <v>7470</v>
      </c>
      <c r="K629" s="9" t="s">
        <v>18520</v>
      </c>
      <c r="L629" s="9" t="s">
        <v>17744</v>
      </c>
      <c r="M629" s="9" t="s">
        <v>21848</v>
      </c>
      <c r="N629" s="9" t="s">
        <v>17746</v>
      </c>
      <c r="O629" s="9" t="s">
        <v>17834</v>
      </c>
      <c r="P629" s="9" t="s">
        <v>17748</v>
      </c>
      <c r="Q629" s="11" t="s">
        <v>18080</v>
      </c>
      <c r="R629" s="11" t="s">
        <v>18080</v>
      </c>
      <c r="S629" s="11" t="s">
        <v>17750</v>
      </c>
    </row>
    <row r="630" spans="1:19" x14ac:dyDescent="0.2">
      <c r="A630" s="11" t="s">
        <v>21849</v>
      </c>
      <c r="B630" s="9" t="s">
        <v>21850</v>
      </c>
      <c r="C630" s="9" t="s">
        <v>21851</v>
      </c>
      <c r="D630" s="9" t="s">
        <v>21852</v>
      </c>
      <c r="E630" s="9" t="s">
        <v>17740</v>
      </c>
      <c r="F630" s="9" t="s">
        <v>17741</v>
      </c>
      <c r="G630" s="9" t="s">
        <v>17740</v>
      </c>
      <c r="H630" s="11" t="s">
        <v>696</v>
      </c>
      <c r="I630" s="11" t="s">
        <v>695</v>
      </c>
      <c r="J630" s="11" t="s">
        <v>695</v>
      </c>
      <c r="K630" s="9" t="s">
        <v>970</v>
      </c>
      <c r="L630" s="9" t="s">
        <v>20082</v>
      </c>
      <c r="M630" s="9" t="s">
        <v>18797</v>
      </c>
      <c r="N630" s="9" t="s">
        <v>17746</v>
      </c>
      <c r="O630" s="9" t="s">
        <v>18331</v>
      </c>
      <c r="P630" s="9" t="s">
        <v>17748</v>
      </c>
      <c r="Q630" s="11" t="s">
        <v>18306</v>
      </c>
      <c r="R630" s="11" t="s">
        <v>18306</v>
      </c>
      <c r="S630" s="11" t="s">
        <v>17750</v>
      </c>
    </row>
    <row r="631" spans="1:19" x14ac:dyDescent="0.2">
      <c r="A631" s="11" t="s">
        <v>21853</v>
      </c>
      <c r="B631" s="9" t="s">
        <v>21854</v>
      </c>
      <c r="C631" s="9" t="s">
        <v>21855</v>
      </c>
      <c r="D631" s="9" t="s">
        <v>21856</v>
      </c>
      <c r="E631" s="9" t="s">
        <v>17740</v>
      </c>
      <c r="F631" s="9" t="s">
        <v>17741</v>
      </c>
      <c r="G631" s="9" t="s">
        <v>17740</v>
      </c>
      <c r="H631" s="11" t="s">
        <v>551</v>
      </c>
      <c r="I631" s="11" t="s">
        <v>550</v>
      </c>
      <c r="J631" s="11" t="s">
        <v>550</v>
      </c>
      <c r="K631" s="9" t="s">
        <v>18520</v>
      </c>
      <c r="L631" s="9" t="s">
        <v>17744</v>
      </c>
      <c r="M631" s="9" t="s">
        <v>20397</v>
      </c>
      <c r="N631" s="9" t="s">
        <v>17746</v>
      </c>
      <c r="O631" s="9" t="s">
        <v>17834</v>
      </c>
      <c r="P631" s="9" t="s">
        <v>17748</v>
      </c>
      <c r="Q631" s="11" t="s">
        <v>18813</v>
      </c>
      <c r="R631" s="11" t="s">
        <v>18813</v>
      </c>
      <c r="S631" s="11" t="s">
        <v>17750</v>
      </c>
    </row>
    <row r="632" spans="1:19" x14ac:dyDescent="0.2">
      <c r="A632" s="11" t="s">
        <v>21857</v>
      </c>
      <c r="B632" s="9" t="s">
        <v>21858</v>
      </c>
      <c r="C632" s="9" t="s">
        <v>21859</v>
      </c>
      <c r="D632" s="9" t="s">
        <v>21860</v>
      </c>
      <c r="E632" s="9" t="s">
        <v>17748</v>
      </c>
      <c r="F632" s="9" t="s">
        <v>21861</v>
      </c>
      <c r="G632" s="9" t="s">
        <v>17740</v>
      </c>
      <c r="H632" s="11" t="s">
        <v>21862</v>
      </c>
      <c r="I632" s="11" t="s">
        <v>21863</v>
      </c>
      <c r="J632" s="11" t="s">
        <v>21863</v>
      </c>
      <c r="K632" s="9" t="s">
        <v>970</v>
      </c>
      <c r="L632" s="9" t="s">
        <v>20082</v>
      </c>
      <c r="M632" s="9" t="s">
        <v>18065</v>
      </c>
      <c r="N632" s="9" t="s">
        <v>17746</v>
      </c>
      <c r="O632" s="9" t="s">
        <v>3524</v>
      </c>
      <c r="P632" s="9" t="s">
        <v>17748</v>
      </c>
      <c r="Q632" s="11" t="s">
        <v>18201</v>
      </c>
      <c r="R632" s="11" t="s">
        <v>18201</v>
      </c>
      <c r="S632" s="11" t="s">
        <v>17750</v>
      </c>
    </row>
    <row r="633" spans="1:19" x14ac:dyDescent="0.2">
      <c r="A633" s="11" t="s">
        <v>21864</v>
      </c>
      <c r="B633" s="9" t="s">
        <v>21865</v>
      </c>
      <c r="C633" s="9" t="s">
        <v>21866</v>
      </c>
      <c r="D633" s="9" t="s">
        <v>21867</v>
      </c>
      <c r="E633" s="9" t="s">
        <v>17740</v>
      </c>
      <c r="F633" s="9" t="s">
        <v>21868</v>
      </c>
      <c r="G633" s="9" t="s">
        <v>17740</v>
      </c>
      <c r="H633" s="11" t="s">
        <v>17741</v>
      </c>
      <c r="I633" s="11" t="s">
        <v>21869</v>
      </c>
      <c r="J633" s="11" t="s">
        <v>21869</v>
      </c>
      <c r="K633" s="9" t="s">
        <v>21870</v>
      </c>
      <c r="L633" s="9" t="s">
        <v>20082</v>
      </c>
      <c r="M633" s="9" t="s">
        <v>17760</v>
      </c>
      <c r="N633" s="9" t="s">
        <v>17746</v>
      </c>
      <c r="O633" s="9" t="s">
        <v>17761</v>
      </c>
      <c r="P633" s="9" t="s">
        <v>17748</v>
      </c>
      <c r="Q633" s="11" t="s">
        <v>18147</v>
      </c>
      <c r="R633" s="11" t="s">
        <v>18147</v>
      </c>
      <c r="S633" s="11" t="s">
        <v>17750</v>
      </c>
    </row>
    <row r="634" spans="1:19" x14ac:dyDescent="0.2">
      <c r="A634" s="11" t="s">
        <v>21871</v>
      </c>
      <c r="B634" s="9" t="s">
        <v>21872</v>
      </c>
      <c r="C634" s="9" t="s">
        <v>21873</v>
      </c>
      <c r="D634" s="9" t="s">
        <v>21874</v>
      </c>
      <c r="E634" s="9" t="s">
        <v>17740</v>
      </c>
      <c r="F634" s="9" t="s">
        <v>21875</v>
      </c>
      <c r="G634" s="9" t="s">
        <v>17740</v>
      </c>
      <c r="H634" s="11" t="s">
        <v>21876</v>
      </c>
      <c r="I634" s="11" t="s">
        <v>21877</v>
      </c>
      <c r="J634" s="11" t="s">
        <v>21877</v>
      </c>
      <c r="K634" s="9" t="s">
        <v>21878</v>
      </c>
      <c r="L634" s="9" t="s">
        <v>20082</v>
      </c>
      <c r="M634" s="9" t="s">
        <v>21879</v>
      </c>
      <c r="N634" s="9" t="s">
        <v>17746</v>
      </c>
      <c r="O634" s="9" t="s">
        <v>18340</v>
      </c>
      <c r="P634" s="9" t="s">
        <v>17748</v>
      </c>
      <c r="Q634" s="11" t="s">
        <v>18234</v>
      </c>
      <c r="R634" s="11" t="s">
        <v>18234</v>
      </c>
      <c r="S634" s="11" t="s">
        <v>17750</v>
      </c>
    </row>
    <row r="635" spans="1:19" x14ac:dyDescent="0.2">
      <c r="A635" s="11" t="s">
        <v>21880</v>
      </c>
      <c r="B635" s="9" t="s">
        <v>21881</v>
      </c>
      <c r="C635" s="9" t="s">
        <v>21882</v>
      </c>
      <c r="D635" s="9" t="s">
        <v>21883</v>
      </c>
      <c r="E635" s="9" t="s">
        <v>17740</v>
      </c>
      <c r="F635" s="9" t="s">
        <v>21884</v>
      </c>
      <c r="G635" s="9" t="s">
        <v>17740</v>
      </c>
      <c r="H635" s="11" t="s">
        <v>21885</v>
      </c>
      <c r="I635" s="11" t="s">
        <v>21886</v>
      </c>
      <c r="J635" s="11" t="s">
        <v>21886</v>
      </c>
      <c r="K635" s="9" t="s">
        <v>14618</v>
      </c>
      <c r="L635" s="9" t="s">
        <v>20082</v>
      </c>
      <c r="M635" s="9" t="s">
        <v>17992</v>
      </c>
      <c r="N635" s="9" t="s">
        <v>17746</v>
      </c>
      <c r="O635" s="9" t="s">
        <v>18340</v>
      </c>
      <c r="P635" s="9" t="s">
        <v>17748</v>
      </c>
      <c r="Q635" s="11" t="s">
        <v>18798</v>
      </c>
      <c r="R635" s="11" t="s">
        <v>18798</v>
      </c>
      <c r="S635" s="11" t="s">
        <v>17750</v>
      </c>
    </row>
    <row r="636" spans="1:19" x14ac:dyDescent="0.2">
      <c r="A636" s="11" t="s">
        <v>21887</v>
      </c>
      <c r="B636" s="9" t="s">
        <v>21888</v>
      </c>
      <c r="C636" s="9" t="s">
        <v>21889</v>
      </c>
      <c r="D636" s="9" t="s">
        <v>21890</v>
      </c>
      <c r="E636" s="9" t="s">
        <v>17740</v>
      </c>
      <c r="F636" s="9" t="s">
        <v>21891</v>
      </c>
      <c r="G636" s="9" t="s">
        <v>17740</v>
      </c>
      <c r="H636" s="11" t="s">
        <v>17741</v>
      </c>
      <c r="I636" s="11" t="s">
        <v>21892</v>
      </c>
      <c r="J636" s="11" t="s">
        <v>21892</v>
      </c>
      <c r="K636" s="9" t="s">
        <v>21893</v>
      </c>
      <c r="L636" s="9" t="s">
        <v>20082</v>
      </c>
      <c r="M636" s="9" t="s">
        <v>17817</v>
      </c>
      <c r="N636" s="9" t="s">
        <v>17746</v>
      </c>
      <c r="O636" s="9" t="s">
        <v>19423</v>
      </c>
      <c r="P636" s="9" t="s">
        <v>17748</v>
      </c>
      <c r="Q636" s="11" t="s">
        <v>19082</v>
      </c>
      <c r="R636" s="11" t="s">
        <v>19082</v>
      </c>
      <c r="S636" s="11" t="s">
        <v>17750</v>
      </c>
    </row>
    <row r="637" spans="1:19" x14ac:dyDescent="0.2">
      <c r="A637" s="11" t="s">
        <v>21894</v>
      </c>
      <c r="B637" s="9" t="s">
        <v>21895</v>
      </c>
      <c r="C637" s="9" t="s">
        <v>21896</v>
      </c>
      <c r="D637" s="9" t="s">
        <v>21897</v>
      </c>
      <c r="E637" s="9" t="s">
        <v>17740</v>
      </c>
      <c r="F637" s="9" t="s">
        <v>17741</v>
      </c>
      <c r="G637" s="9" t="s">
        <v>17740</v>
      </c>
      <c r="H637" s="11" t="s">
        <v>21898</v>
      </c>
      <c r="I637" s="11" t="s">
        <v>21899</v>
      </c>
      <c r="J637" s="11" t="s">
        <v>21899</v>
      </c>
      <c r="K637" s="9" t="s">
        <v>21900</v>
      </c>
      <c r="L637" s="9" t="s">
        <v>20082</v>
      </c>
      <c r="M637" s="9" t="s">
        <v>21901</v>
      </c>
      <c r="N637" s="9" t="s">
        <v>17746</v>
      </c>
      <c r="O637" s="9" t="s">
        <v>21902</v>
      </c>
      <c r="P637" s="9" t="s">
        <v>17748</v>
      </c>
      <c r="Q637" s="11" t="s">
        <v>19335</v>
      </c>
      <c r="R637" s="11" t="s">
        <v>19335</v>
      </c>
      <c r="S637" s="11" t="s">
        <v>17750</v>
      </c>
    </row>
    <row r="638" spans="1:19" x14ac:dyDescent="0.2">
      <c r="A638" s="11" t="s">
        <v>21903</v>
      </c>
      <c r="B638" s="9" t="s">
        <v>21904</v>
      </c>
      <c r="C638" s="9" t="s">
        <v>21905</v>
      </c>
      <c r="D638" s="9" t="s">
        <v>21906</v>
      </c>
      <c r="E638" s="9" t="s">
        <v>17740</v>
      </c>
      <c r="F638" s="9" t="s">
        <v>17741</v>
      </c>
      <c r="G638" s="9" t="s">
        <v>17740</v>
      </c>
      <c r="H638" s="11" t="s">
        <v>21907</v>
      </c>
      <c r="I638" s="11" t="s">
        <v>21908</v>
      </c>
      <c r="J638" s="11" t="s">
        <v>21908</v>
      </c>
      <c r="K638" s="9" t="s">
        <v>21909</v>
      </c>
      <c r="L638" s="9" t="s">
        <v>20082</v>
      </c>
      <c r="M638" s="9" t="s">
        <v>17760</v>
      </c>
      <c r="N638" s="9" t="s">
        <v>17746</v>
      </c>
      <c r="O638" s="9" t="s">
        <v>17800</v>
      </c>
      <c r="P638" s="9" t="s">
        <v>17748</v>
      </c>
      <c r="Q638" s="11" t="s">
        <v>17978</v>
      </c>
      <c r="R638" s="11" t="s">
        <v>17978</v>
      </c>
      <c r="S638" s="11" t="s">
        <v>17750</v>
      </c>
    </row>
    <row r="639" spans="1:19" x14ac:dyDescent="0.2">
      <c r="A639" s="11" t="s">
        <v>21910</v>
      </c>
      <c r="B639" s="9" t="s">
        <v>21911</v>
      </c>
      <c r="C639" s="9" t="s">
        <v>21912</v>
      </c>
      <c r="D639" s="9" t="s">
        <v>21913</v>
      </c>
      <c r="E639" s="9" t="s">
        <v>17740</v>
      </c>
      <c r="F639" s="9" t="s">
        <v>21914</v>
      </c>
      <c r="G639" s="9" t="s">
        <v>17740</v>
      </c>
      <c r="H639" s="11" t="s">
        <v>9218</v>
      </c>
      <c r="I639" s="11" t="s">
        <v>9217</v>
      </c>
      <c r="J639" s="11" t="s">
        <v>9217</v>
      </c>
      <c r="K639" s="9" t="s">
        <v>21915</v>
      </c>
      <c r="L639" s="9" t="s">
        <v>20082</v>
      </c>
      <c r="M639" s="9" t="s">
        <v>17760</v>
      </c>
      <c r="N639" s="9" t="s">
        <v>17746</v>
      </c>
      <c r="O639" s="9" t="s">
        <v>19423</v>
      </c>
      <c r="P639" s="9" t="s">
        <v>17748</v>
      </c>
      <c r="Q639" s="11" t="s">
        <v>18922</v>
      </c>
      <c r="R639" s="11" t="s">
        <v>18922</v>
      </c>
      <c r="S639" s="11" t="s">
        <v>17750</v>
      </c>
    </row>
    <row r="640" spans="1:19" x14ac:dyDescent="0.2">
      <c r="A640" s="11" t="s">
        <v>21916</v>
      </c>
      <c r="B640" s="9" t="s">
        <v>21917</v>
      </c>
      <c r="C640" s="9" t="s">
        <v>21918</v>
      </c>
      <c r="D640" s="9" t="s">
        <v>21919</v>
      </c>
      <c r="E640" s="9" t="s">
        <v>17740</v>
      </c>
      <c r="F640" s="9" t="s">
        <v>17741</v>
      </c>
      <c r="G640" s="9" t="s">
        <v>17740</v>
      </c>
      <c r="H640" s="11" t="s">
        <v>21920</v>
      </c>
      <c r="I640" s="11" t="s">
        <v>21921</v>
      </c>
      <c r="J640" s="11" t="s">
        <v>21921</v>
      </c>
      <c r="K640" s="9" t="s">
        <v>14618</v>
      </c>
      <c r="L640" s="9" t="s">
        <v>20082</v>
      </c>
      <c r="M640" s="9" t="s">
        <v>21922</v>
      </c>
      <c r="N640" s="9" t="s">
        <v>17746</v>
      </c>
      <c r="O640" s="9" t="s">
        <v>21923</v>
      </c>
      <c r="P640" s="9" t="s">
        <v>17748</v>
      </c>
      <c r="Q640" s="11" t="s">
        <v>18147</v>
      </c>
      <c r="R640" s="11" t="s">
        <v>18147</v>
      </c>
      <c r="S640" s="11" t="s">
        <v>17750</v>
      </c>
    </row>
    <row r="641" spans="1:19" x14ac:dyDescent="0.2">
      <c r="A641" s="11" t="s">
        <v>21924</v>
      </c>
      <c r="B641" s="9" t="s">
        <v>21925</v>
      </c>
      <c r="C641" s="9" t="s">
        <v>21926</v>
      </c>
      <c r="D641" s="9" t="s">
        <v>21927</v>
      </c>
      <c r="E641" s="9" t="s">
        <v>17748</v>
      </c>
      <c r="F641" s="8" t="s">
        <v>21928</v>
      </c>
      <c r="G641" s="9" t="s">
        <v>17740</v>
      </c>
      <c r="H641" s="11" t="s">
        <v>17741</v>
      </c>
      <c r="I641" s="11" t="s">
        <v>21929</v>
      </c>
      <c r="J641" s="11" t="s">
        <v>21929</v>
      </c>
      <c r="K641" s="9" t="s">
        <v>21930</v>
      </c>
      <c r="L641" s="9" t="s">
        <v>20082</v>
      </c>
      <c r="M641" s="9" t="s">
        <v>21931</v>
      </c>
      <c r="N641" s="9" t="s">
        <v>17746</v>
      </c>
      <c r="O641" s="9" t="s">
        <v>17800</v>
      </c>
      <c r="P641" s="9" t="s">
        <v>17748</v>
      </c>
      <c r="Q641" s="11" t="s">
        <v>17792</v>
      </c>
      <c r="R641" s="11" t="s">
        <v>17792</v>
      </c>
      <c r="S641" s="14" t="s">
        <v>18089</v>
      </c>
    </row>
    <row r="642" spans="1:19" x14ac:dyDescent="0.2">
      <c r="A642" s="11" t="s">
        <v>21932</v>
      </c>
      <c r="B642" s="9" t="s">
        <v>21933</v>
      </c>
      <c r="C642" s="9" t="s">
        <v>21934</v>
      </c>
      <c r="D642" s="9" t="s">
        <v>21935</v>
      </c>
      <c r="E642" s="9" t="s">
        <v>17740</v>
      </c>
      <c r="F642" s="9" t="s">
        <v>21936</v>
      </c>
      <c r="G642" s="9" t="s">
        <v>17740</v>
      </c>
      <c r="H642" s="11" t="s">
        <v>21937</v>
      </c>
      <c r="I642" s="11" t="s">
        <v>21938</v>
      </c>
      <c r="J642" s="11" t="s">
        <v>21938</v>
      </c>
      <c r="K642" s="9" t="s">
        <v>21146</v>
      </c>
      <c r="L642" s="9" t="s">
        <v>20082</v>
      </c>
      <c r="M642" s="9" t="s">
        <v>17760</v>
      </c>
      <c r="N642" s="9" t="s">
        <v>17746</v>
      </c>
      <c r="O642" s="9" t="s">
        <v>19740</v>
      </c>
      <c r="P642" s="9" t="s">
        <v>17748</v>
      </c>
      <c r="Q642" s="11" t="s">
        <v>17849</v>
      </c>
      <c r="R642" s="11" t="s">
        <v>17849</v>
      </c>
      <c r="S642" s="11" t="s">
        <v>17750</v>
      </c>
    </row>
    <row r="643" spans="1:19" x14ac:dyDescent="0.2">
      <c r="A643" s="11" t="s">
        <v>21939</v>
      </c>
      <c r="B643" s="9" t="s">
        <v>21940</v>
      </c>
      <c r="C643" s="9" t="s">
        <v>21941</v>
      </c>
      <c r="D643" s="9" t="s">
        <v>21942</v>
      </c>
      <c r="E643" s="9" t="s">
        <v>17740</v>
      </c>
      <c r="F643" s="9" t="s">
        <v>17741</v>
      </c>
      <c r="G643" s="9" t="s">
        <v>17740</v>
      </c>
      <c r="H643" s="11" t="s">
        <v>17741</v>
      </c>
      <c r="I643" s="11" t="s">
        <v>21943</v>
      </c>
      <c r="J643" s="11" t="s">
        <v>21943</v>
      </c>
      <c r="K643" s="9" t="s">
        <v>21944</v>
      </c>
      <c r="L643" s="9" t="s">
        <v>20082</v>
      </c>
      <c r="M643" s="9" t="s">
        <v>17992</v>
      </c>
      <c r="N643" s="9" t="s">
        <v>17746</v>
      </c>
      <c r="O643" s="9" t="s">
        <v>19754</v>
      </c>
      <c r="P643" s="9" t="s">
        <v>17748</v>
      </c>
      <c r="Q643" s="11" t="s">
        <v>18813</v>
      </c>
      <c r="R643" s="11" t="s">
        <v>18813</v>
      </c>
      <c r="S643" s="11" t="s">
        <v>17750</v>
      </c>
    </row>
    <row r="644" spans="1:19" x14ac:dyDescent="0.2">
      <c r="A644" s="11" t="s">
        <v>21945</v>
      </c>
      <c r="B644" s="9" t="s">
        <v>21946</v>
      </c>
      <c r="C644" s="9" t="s">
        <v>21947</v>
      </c>
      <c r="D644" s="9" t="s">
        <v>21948</v>
      </c>
      <c r="E644" s="9" t="s">
        <v>17740</v>
      </c>
      <c r="F644" s="9" t="s">
        <v>21949</v>
      </c>
      <c r="G644" s="9" t="s">
        <v>17740</v>
      </c>
      <c r="H644" s="11" t="s">
        <v>21950</v>
      </c>
      <c r="I644" s="11" t="s">
        <v>21951</v>
      </c>
      <c r="J644" s="11" t="s">
        <v>21951</v>
      </c>
      <c r="K644" s="9" t="s">
        <v>18377</v>
      </c>
      <c r="L644" s="9" t="s">
        <v>17744</v>
      </c>
      <c r="M644" s="9" t="s">
        <v>17817</v>
      </c>
      <c r="N644" s="9" t="s">
        <v>17746</v>
      </c>
      <c r="O644" s="9" t="s">
        <v>18563</v>
      </c>
      <c r="P644" s="9" t="s">
        <v>17748</v>
      </c>
      <c r="Q644" s="11" t="s">
        <v>20589</v>
      </c>
      <c r="R644" s="11" t="s">
        <v>20589</v>
      </c>
      <c r="S644" s="11" t="s">
        <v>17750</v>
      </c>
    </row>
    <row r="645" spans="1:19" x14ac:dyDescent="0.2">
      <c r="A645" s="11" t="s">
        <v>21952</v>
      </c>
      <c r="B645" s="9" t="s">
        <v>21953</v>
      </c>
      <c r="C645" s="9" t="s">
        <v>21954</v>
      </c>
      <c r="D645" s="9" t="s">
        <v>7887</v>
      </c>
      <c r="E645" s="9" t="s">
        <v>17740</v>
      </c>
      <c r="F645" s="9" t="s">
        <v>17741</v>
      </c>
      <c r="G645" s="9" t="s">
        <v>17740</v>
      </c>
      <c r="H645" s="11" t="s">
        <v>7889</v>
      </c>
      <c r="I645" s="11" t="s">
        <v>7888</v>
      </c>
      <c r="J645" s="11" t="s">
        <v>7888</v>
      </c>
      <c r="K645" s="9" t="s">
        <v>21955</v>
      </c>
      <c r="L645" s="9" t="s">
        <v>17744</v>
      </c>
      <c r="M645" s="9" t="s">
        <v>17760</v>
      </c>
      <c r="N645" s="9" t="s">
        <v>17746</v>
      </c>
      <c r="O645" s="9" t="s">
        <v>19769</v>
      </c>
      <c r="P645" s="9" t="s">
        <v>17748</v>
      </c>
      <c r="Q645" s="11" t="s">
        <v>18272</v>
      </c>
      <c r="R645" s="11" t="s">
        <v>18272</v>
      </c>
      <c r="S645" s="11" t="s">
        <v>17750</v>
      </c>
    </row>
    <row r="646" spans="1:19" x14ac:dyDescent="0.2">
      <c r="A646" s="11" t="s">
        <v>21956</v>
      </c>
      <c r="B646" s="9" t="s">
        <v>21957</v>
      </c>
      <c r="C646" s="9" t="s">
        <v>21958</v>
      </c>
      <c r="D646" s="9" t="s">
        <v>21959</v>
      </c>
      <c r="E646" s="9" t="s">
        <v>17740</v>
      </c>
      <c r="F646" s="9" t="s">
        <v>17741</v>
      </c>
      <c r="G646" s="9" t="s">
        <v>17740</v>
      </c>
      <c r="H646" s="11" t="s">
        <v>12945</v>
      </c>
      <c r="I646" s="11" t="s">
        <v>12944</v>
      </c>
      <c r="J646" s="11" t="s">
        <v>12945</v>
      </c>
      <c r="K646" s="9" t="s">
        <v>21960</v>
      </c>
      <c r="L646" s="9" t="s">
        <v>17759</v>
      </c>
      <c r="M646" s="9" t="s">
        <v>17769</v>
      </c>
      <c r="N646" s="9" t="s">
        <v>17746</v>
      </c>
      <c r="O646" s="9" t="s">
        <v>17834</v>
      </c>
      <c r="P646" s="9" t="s">
        <v>17748</v>
      </c>
      <c r="Q646" s="11" t="s">
        <v>18370</v>
      </c>
      <c r="R646" s="11" t="s">
        <v>18370</v>
      </c>
      <c r="S646" s="11" t="s">
        <v>17750</v>
      </c>
    </row>
    <row r="647" spans="1:19" x14ac:dyDescent="0.2">
      <c r="A647" s="11" t="s">
        <v>21961</v>
      </c>
      <c r="B647" s="9" t="s">
        <v>4441</v>
      </c>
      <c r="C647" s="9" t="s">
        <v>21962</v>
      </c>
      <c r="D647" s="9" t="s">
        <v>4441</v>
      </c>
      <c r="E647" s="9" t="s">
        <v>17748</v>
      </c>
      <c r="F647" s="9" t="s">
        <v>17741</v>
      </c>
      <c r="G647" s="9" t="s">
        <v>17740</v>
      </c>
      <c r="H647" s="11" t="s">
        <v>4443</v>
      </c>
      <c r="I647" s="11" t="s">
        <v>4442</v>
      </c>
      <c r="J647" s="11" t="s">
        <v>4442</v>
      </c>
      <c r="K647" s="9" t="s">
        <v>291</v>
      </c>
      <c r="L647" s="9" t="s">
        <v>17744</v>
      </c>
      <c r="M647" s="9" t="s">
        <v>21963</v>
      </c>
      <c r="N647" s="9" t="s">
        <v>17746</v>
      </c>
      <c r="O647" s="9" t="s">
        <v>18882</v>
      </c>
      <c r="P647" s="9" t="s">
        <v>17748</v>
      </c>
      <c r="Q647" s="11" t="s">
        <v>18678</v>
      </c>
      <c r="R647" s="11" t="s">
        <v>18678</v>
      </c>
      <c r="S647" s="11" t="s">
        <v>17750</v>
      </c>
    </row>
    <row r="648" spans="1:19" x14ac:dyDescent="0.2">
      <c r="A648" s="11" t="s">
        <v>21964</v>
      </c>
      <c r="B648" s="9" t="s">
        <v>21965</v>
      </c>
      <c r="C648" s="9" t="s">
        <v>21966</v>
      </c>
      <c r="D648" s="9" t="s">
        <v>21967</v>
      </c>
      <c r="E648" s="9" t="s">
        <v>17740</v>
      </c>
      <c r="F648" s="9" t="s">
        <v>17741</v>
      </c>
      <c r="G648" s="9" t="s">
        <v>17740</v>
      </c>
      <c r="H648" s="11" t="s">
        <v>9416</v>
      </c>
      <c r="I648" s="11" t="s">
        <v>9415</v>
      </c>
      <c r="J648" s="11" t="s">
        <v>9415</v>
      </c>
      <c r="K648" s="9" t="s">
        <v>91</v>
      </c>
      <c r="L648" s="9" t="s">
        <v>18001</v>
      </c>
      <c r="M648" s="9" t="s">
        <v>17769</v>
      </c>
      <c r="N648" s="9" t="s">
        <v>17746</v>
      </c>
      <c r="O648" s="9" t="s">
        <v>18882</v>
      </c>
      <c r="P648" s="9" t="s">
        <v>17748</v>
      </c>
      <c r="Q648" s="11" t="s">
        <v>17994</v>
      </c>
      <c r="R648" s="11" t="s">
        <v>17994</v>
      </c>
      <c r="S648" s="11" t="s">
        <v>17750</v>
      </c>
    </row>
    <row r="649" spans="1:19" x14ac:dyDescent="0.2">
      <c r="A649" s="11" t="s">
        <v>21968</v>
      </c>
      <c r="B649" s="9" t="s">
        <v>21969</v>
      </c>
      <c r="C649" s="9" t="s">
        <v>21970</v>
      </c>
      <c r="D649" s="9" t="s">
        <v>21971</v>
      </c>
      <c r="E649" s="9" t="s">
        <v>17748</v>
      </c>
      <c r="F649" s="9" t="s">
        <v>21972</v>
      </c>
      <c r="G649" s="9" t="s">
        <v>17740</v>
      </c>
      <c r="H649" s="11" t="s">
        <v>9540</v>
      </c>
      <c r="I649" s="11" t="s">
        <v>9539</v>
      </c>
      <c r="J649" s="11" t="s">
        <v>9539</v>
      </c>
      <c r="K649" s="9" t="s">
        <v>20225</v>
      </c>
      <c r="L649" s="9" t="s">
        <v>17744</v>
      </c>
      <c r="M649" s="9" t="s">
        <v>21973</v>
      </c>
      <c r="N649" s="9" t="s">
        <v>17746</v>
      </c>
      <c r="O649" s="9" t="s">
        <v>21974</v>
      </c>
      <c r="P649" s="9" t="s">
        <v>17748</v>
      </c>
      <c r="Q649" s="11" t="s">
        <v>17994</v>
      </c>
      <c r="R649" s="11" t="s">
        <v>17994</v>
      </c>
      <c r="S649" s="11" t="s">
        <v>17750</v>
      </c>
    </row>
    <row r="650" spans="1:19" x14ac:dyDescent="0.2">
      <c r="A650" s="11" t="s">
        <v>21975</v>
      </c>
      <c r="B650" s="9" t="s">
        <v>21976</v>
      </c>
      <c r="C650" s="9" t="s">
        <v>21977</v>
      </c>
      <c r="D650" s="9" t="s">
        <v>21978</v>
      </c>
      <c r="E650" s="9" t="s">
        <v>17748</v>
      </c>
      <c r="F650" s="9" t="s">
        <v>21979</v>
      </c>
      <c r="G650" s="9" t="s">
        <v>17740</v>
      </c>
      <c r="H650" s="11" t="s">
        <v>8755</v>
      </c>
      <c r="I650" s="11" t="s">
        <v>8754</v>
      </c>
      <c r="J650" s="11" t="s">
        <v>8754</v>
      </c>
      <c r="K650" s="9" t="s">
        <v>91</v>
      </c>
      <c r="L650" s="9" t="s">
        <v>18001</v>
      </c>
      <c r="M650" s="9" t="s">
        <v>21980</v>
      </c>
      <c r="N650" s="9" t="s">
        <v>17746</v>
      </c>
      <c r="O650" s="9" t="s">
        <v>3100</v>
      </c>
      <c r="P650" s="9" t="s">
        <v>17748</v>
      </c>
      <c r="Q650" s="11" t="s">
        <v>17784</v>
      </c>
      <c r="R650" s="11" t="s">
        <v>17784</v>
      </c>
      <c r="S650" s="11" t="s">
        <v>17750</v>
      </c>
    </row>
    <row r="651" spans="1:19" x14ac:dyDescent="0.2">
      <c r="A651" s="11" t="s">
        <v>21981</v>
      </c>
      <c r="B651" s="9" t="s">
        <v>11246</v>
      </c>
      <c r="C651" s="9" t="s">
        <v>21982</v>
      </c>
      <c r="D651" s="9" t="s">
        <v>11246</v>
      </c>
      <c r="E651" s="9" t="s">
        <v>17740</v>
      </c>
      <c r="F651" s="9" t="s">
        <v>17741</v>
      </c>
      <c r="G651" s="9" t="s">
        <v>17740</v>
      </c>
      <c r="H651" s="11" t="s">
        <v>11248</v>
      </c>
      <c r="I651" s="11" t="s">
        <v>11247</v>
      </c>
      <c r="J651" s="11" t="s">
        <v>11247</v>
      </c>
      <c r="K651" s="9" t="s">
        <v>10332</v>
      </c>
      <c r="L651" s="9" t="s">
        <v>17759</v>
      </c>
      <c r="M651" s="9" t="s">
        <v>18233</v>
      </c>
      <c r="N651" s="9" t="s">
        <v>17746</v>
      </c>
      <c r="O651" s="9" t="s">
        <v>18125</v>
      </c>
      <c r="P651" s="9" t="s">
        <v>17748</v>
      </c>
      <c r="Q651" s="11" t="s">
        <v>17984</v>
      </c>
      <c r="R651" s="11" t="s">
        <v>17984</v>
      </c>
      <c r="S651" s="11" t="s">
        <v>17750</v>
      </c>
    </row>
    <row r="652" spans="1:19" x14ac:dyDescent="0.2">
      <c r="A652" s="11" t="s">
        <v>21983</v>
      </c>
      <c r="B652" s="9" t="s">
        <v>21984</v>
      </c>
      <c r="C652" s="9" t="s">
        <v>21985</v>
      </c>
      <c r="D652" s="9" t="s">
        <v>21986</v>
      </c>
      <c r="E652" s="9" t="s">
        <v>17748</v>
      </c>
      <c r="F652" s="9" t="s">
        <v>21987</v>
      </c>
      <c r="G652" s="9" t="s">
        <v>17740</v>
      </c>
      <c r="H652" s="11" t="s">
        <v>17741</v>
      </c>
      <c r="I652" s="11" t="s">
        <v>21988</v>
      </c>
      <c r="J652" s="11" t="s">
        <v>21988</v>
      </c>
      <c r="K652" s="9" t="s">
        <v>21989</v>
      </c>
      <c r="L652" s="9" t="s">
        <v>18854</v>
      </c>
      <c r="M652" s="9" t="s">
        <v>17769</v>
      </c>
      <c r="N652" s="9" t="s">
        <v>20237</v>
      </c>
      <c r="O652" s="9" t="s">
        <v>21990</v>
      </c>
      <c r="P652" s="9" t="s">
        <v>17748</v>
      </c>
      <c r="Q652" s="11" t="s">
        <v>18147</v>
      </c>
      <c r="R652" s="11" t="s">
        <v>18147</v>
      </c>
      <c r="S652" s="11" t="s">
        <v>17750</v>
      </c>
    </row>
    <row r="653" spans="1:19" x14ac:dyDescent="0.2">
      <c r="A653" s="11" t="s">
        <v>21991</v>
      </c>
      <c r="B653" s="9" t="s">
        <v>21992</v>
      </c>
      <c r="C653" s="9" t="s">
        <v>21993</v>
      </c>
      <c r="D653" s="9" t="s">
        <v>21994</v>
      </c>
      <c r="E653" s="9" t="s">
        <v>17740</v>
      </c>
      <c r="F653" s="9" t="s">
        <v>17741</v>
      </c>
      <c r="G653" s="9" t="s">
        <v>17740</v>
      </c>
      <c r="H653" s="11" t="s">
        <v>17741</v>
      </c>
      <c r="I653" s="11" t="s">
        <v>21995</v>
      </c>
      <c r="J653" s="11" t="s">
        <v>21995</v>
      </c>
      <c r="K653" s="9" t="s">
        <v>21996</v>
      </c>
      <c r="L653" s="9" t="s">
        <v>17759</v>
      </c>
      <c r="M653" s="9" t="s">
        <v>17778</v>
      </c>
      <c r="N653" s="9" t="s">
        <v>17746</v>
      </c>
      <c r="O653" s="9" t="s">
        <v>18563</v>
      </c>
      <c r="P653" s="9" t="s">
        <v>17748</v>
      </c>
      <c r="Q653" s="11" t="s">
        <v>17937</v>
      </c>
      <c r="R653" s="11" t="s">
        <v>17937</v>
      </c>
      <c r="S653" s="11" t="s">
        <v>17750</v>
      </c>
    </row>
    <row r="654" spans="1:19" x14ac:dyDescent="0.2">
      <c r="A654" s="11" t="s">
        <v>21997</v>
      </c>
      <c r="B654" s="9" t="s">
        <v>21998</v>
      </c>
      <c r="C654" s="9" t="s">
        <v>21999</v>
      </c>
      <c r="D654" s="9" t="s">
        <v>22000</v>
      </c>
      <c r="E654" s="9" t="s">
        <v>17740</v>
      </c>
      <c r="F654" s="9" t="s">
        <v>17741</v>
      </c>
      <c r="G654" s="9" t="s">
        <v>17740</v>
      </c>
      <c r="H654" s="11" t="s">
        <v>22001</v>
      </c>
      <c r="I654" s="11" t="s">
        <v>22002</v>
      </c>
      <c r="J654" s="11" t="s">
        <v>22002</v>
      </c>
      <c r="K654" s="9" t="s">
        <v>291</v>
      </c>
      <c r="L654" s="9" t="s">
        <v>17744</v>
      </c>
      <c r="M654" s="9" t="s">
        <v>21567</v>
      </c>
      <c r="N654" s="9" t="s">
        <v>17746</v>
      </c>
      <c r="O654" s="9" t="s">
        <v>20296</v>
      </c>
      <c r="P654" s="9" t="s">
        <v>17748</v>
      </c>
      <c r="Q654" s="11" t="s">
        <v>19082</v>
      </c>
      <c r="R654" s="11" t="s">
        <v>19082</v>
      </c>
      <c r="S654" s="11" t="s">
        <v>17750</v>
      </c>
    </row>
    <row r="655" spans="1:19" x14ac:dyDescent="0.2">
      <c r="A655" s="11" t="s">
        <v>22003</v>
      </c>
      <c r="B655" s="9" t="s">
        <v>22004</v>
      </c>
      <c r="C655" s="9" t="s">
        <v>22005</v>
      </c>
      <c r="D655" s="9" t="s">
        <v>22006</v>
      </c>
      <c r="E655" s="9" t="s">
        <v>17740</v>
      </c>
      <c r="F655" s="9" t="s">
        <v>22007</v>
      </c>
      <c r="G655" s="9" t="s">
        <v>17740</v>
      </c>
      <c r="H655" s="11" t="s">
        <v>17741</v>
      </c>
      <c r="I655" s="11" t="s">
        <v>22008</v>
      </c>
      <c r="J655" s="11" t="s">
        <v>22008</v>
      </c>
      <c r="K655" s="9" t="s">
        <v>22009</v>
      </c>
      <c r="L655" s="9" t="s">
        <v>17759</v>
      </c>
      <c r="M655" s="9" t="s">
        <v>17817</v>
      </c>
      <c r="N655" s="9" t="s">
        <v>17746</v>
      </c>
      <c r="O655" s="9" t="s">
        <v>21990</v>
      </c>
      <c r="P655" s="9" t="s">
        <v>17748</v>
      </c>
      <c r="Q655" s="11" t="s">
        <v>18608</v>
      </c>
      <c r="R655" s="11" t="s">
        <v>18608</v>
      </c>
      <c r="S655" s="11" t="s">
        <v>17750</v>
      </c>
    </row>
    <row r="656" spans="1:19" x14ac:dyDescent="0.2">
      <c r="A656" s="11" t="s">
        <v>22010</v>
      </c>
      <c r="B656" s="9" t="s">
        <v>22011</v>
      </c>
      <c r="C656" s="9" t="s">
        <v>22012</v>
      </c>
      <c r="D656" s="9" t="s">
        <v>22013</v>
      </c>
      <c r="E656" s="9" t="s">
        <v>17740</v>
      </c>
      <c r="F656" s="9" t="s">
        <v>22014</v>
      </c>
      <c r="G656" s="9" t="s">
        <v>17740</v>
      </c>
      <c r="H656" s="11" t="s">
        <v>17741</v>
      </c>
      <c r="I656" s="11" t="s">
        <v>22015</v>
      </c>
      <c r="J656" s="11" t="s">
        <v>22015</v>
      </c>
      <c r="K656" s="9" t="s">
        <v>22016</v>
      </c>
      <c r="L656" s="9" t="s">
        <v>22017</v>
      </c>
      <c r="M656" s="9" t="s">
        <v>17760</v>
      </c>
      <c r="N656" s="9" t="s">
        <v>22018</v>
      </c>
      <c r="O656" s="9" t="s">
        <v>22019</v>
      </c>
      <c r="P656" s="9" t="s">
        <v>17748</v>
      </c>
      <c r="Q656" s="11" t="s">
        <v>17749</v>
      </c>
      <c r="R656" s="11" t="s">
        <v>17749</v>
      </c>
      <c r="S656" s="11" t="s">
        <v>17750</v>
      </c>
    </row>
    <row r="657" spans="1:19" x14ac:dyDescent="0.2">
      <c r="A657" s="11" t="s">
        <v>22020</v>
      </c>
      <c r="B657" s="9" t="s">
        <v>22021</v>
      </c>
      <c r="C657" s="9" t="s">
        <v>22022</v>
      </c>
      <c r="D657" s="9" t="s">
        <v>22023</v>
      </c>
      <c r="E657" s="9" t="s">
        <v>17740</v>
      </c>
      <c r="F657" s="9" t="s">
        <v>17741</v>
      </c>
      <c r="G657" s="9" t="s">
        <v>17740</v>
      </c>
      <c r="H657" s="11" t="s">
        <v>17741</v>
      </c>
      <c r="I657" s="11" t="s">
        <v>883</v>
      </c>
      <c r="J657" s="11" t="s">
        <v>883</v>
      </c>
      <c r="K657" s="9" t="s">
        <v>884</v>
      </c>
      <c r="L657" s="9" t="s">
        <v>22024</v>
      </c>
      <c r="M657" s="9" t="s">
        <v>17992</v>
      </c>
      <c r="N657" s="9" t="s">
        <v>17746</v>
      </c>
      <c r="O657" s="9" t="s">
        <v>17993</v>
      </c>
      <c r="P657" s="9" t="s">
        <v>17748</v>
      </c>
      <c r="Q657" s="11" t="s">
        <v>18608</v>
      </c>
      <c r="R657" s="11" t="s">
        <v>18608</v>
      </c>
      <c r="S657" s="11" t="s">
        <v>17750</v>
      </c>
    </row>
    <row r="658" spans="1:19" x14ac:dyDescent="0.2">
      <c r="A658" s="11" t="s">
        <v>22025</v>
      </c>
      <c r="B658" s="9" t="s">
        <v>22026</v>
      </c>
      <c r="C658" s="9" t="s">
        <v>22027</v>
      </c>
      <c r="D658" s="9" t="s">
        <v>22028</v>
      </c>
      <c r="E658" s="9" t="s">
        <v>17748</v>
      </c>
      <c r="F658" s="9" t="s">
        <v>22029</v>
      </c>
      <c r="G658" s="9" t="s">
        <v>17740</v>
      </c>
      <c r="H658" s="11" t="s">
        <v>10174</v>
      </c>
      <c r="I658" s="11" t="s">
        <v>10173</v>
      </c>
      <c r="J658" s="11" t="s">
        <v>10173</v>
      </c>
      <c r="K658" s="9" t="s">
        <v>21146</v>
      </c>
      <c r="L658" s="9" t="s">
        <v>17744</v>
      </c>
      <c r="M658" s="9" t="s">
        <v>17817</v>
      </c>
      <c r="N658" s="9" t="s">
        <v>17746</v>
      </c>
      <c r="O658" s="9" t="s">
        <v>20881</v>
      </c>
      <c r="P658" s="9" t="s">
        <v>17748</v>
      </c>
      <c r="Q658" s="11" t="s">
        <v>17780</v>
      </c>
      <c r="R658" s="11" t="s">
        <v>17780</v>
      </c>
      <c r="S658" s="11" t="s">
        <v>17750</v>
      </c>
    </row>
    <row r="659" spans="1:19" x14ac:dyDescent="0.2">
      <c r="A659" s="11" t="s">
        <v>22030</v>
      </c>
      <c r="B659" s="9" t="s">
        <v>22031</v>
      </c>
      <c r="C659" s="9" t="s">
        <v>22032</v>
      </c>
      <c r="D659" s="9" t="s">
        <v>22033</v>
      </c>
      <c r="E659" s="9" t="s">
        <v>17740</v>
      </c>
      <c r="F659" s="9" t="s">
        <v>17741</v>
      </c>
      <c r="G659" s="9" t="s">
        <v>17740</v>
      </c>
      <c r="H659" s="11" t="s">
        <v>911</v>
      </c>
      <c r="I659" s="11" t="s">
        <v>910</v>
      </c>
      <c r="J659" s="11" t="s">
        <v>910</v>
      </c>
      <c r="K659" s="9" t="s">
        <v>22034</v>
      </c>
      <c r="L659" s="9" t="s">
        <v>18158</v>
      </c>
      <c r="M659" s="9" t="s">
        <v>17769</v>
      </c>
      <c r="N659" s="9" t="s">
        <v>17746</v>
      </c>
      <c r="O659" s="9" t="s">
        <v>18009</v>
      </c>
      <c r="P659" s="9" t="s">
        <v>17748</v>
      </c>
      <c r="Q659" s="11" t="s">
        <v>18243</v>
      </c>
      <c r="R659" s="11" t="s">
        <v>18243</v>
      </c>
      <c r="S659" s="11" t="s">
        <v>17750</v>
      </c>
    </row>
    <row r="660" spans="1:19" x14ac:dyDescent="0.2">
      <c r="A660" s="11" t="s">
        <v>22035</v>
      </c>
      <c r="B660" s="9" t="s">
        <v>22036</v>
      </c>
      <c r="C660" s="9" t="s">
        <v>22037</v>
      </c>
      <c r="D660" s="9" t="s">
        <v>22038</v>
      </c>
      <c r="E660" s="9" t="s">
        <v>17740</v>
      </c>
      <c r="F660" s="9" t="s">
        <v>17741</v>
      </c>
      <c r="G660" s="9" t="s">
        <v>17740</v>
      </c>
      <c r="H660" s="11" t="s">
        <v>17741</v>
      </c>
      <c r="I660" s="11" t="s">
        <v>22039</v>
      </c>
      <c r="J660" s="11" t="s">
        <v>22039</v>
      </c>
      <c r="K660" s="9" t="s">
        <v>22040</v>
      </c>
      <c r="L660" s="9" t="s">
        <v>17759</v>
      </c>
      <c r="M660" s="9" t="s">
        <v>22041</v>
      </c>
      <c r="N660" s="9" t="s">
        <v>17746</v>
      </c>
      <c r="O660" s="9" t="s">
        <v>17800</v>
      </c>
      <c r="P660" s="9" t="s">
        <v>17748</v>
      </c>
      <c r="Q660" s="11" t="s">
        <v>18433</v>
      </c>
      <c r="R660" s="11" t="s">
        <v>18433</v>
      </c>
      <c r="S660" s="11" t="s">
        <v>17750</v>
      </c>
    </row>
    <row r="661" spans="1:19" x14ac:dyDescent="0.2">
      <c r="A661" s="11" t="s">
        <v>22042</v>
      </c>
      <c r="B661" s="9" t="s">
        <v>22043</v>
      </c>
      <c r="C661" s="9" t="s">
        <v>22044</v>
      </c>
      <c r="D661" s="9" t="s">
        <v>22045</v>
      </c>
      <c r="E661" s="9" t="s">
        <v>17740</v>
      </c>
      <c r="F661" s="9" t="s">
        <v>17741</v>
      </c>
      <c r="G661" s="9" t="s">
        <v>17740</v>
      </c>
      <c r="H661" s="11" t="s">
        <v>766</v>
      </c>
      <c r="I661" s="11" t="s">
        <v>765</v>
      </c>
      <c r="J661" s="11" t="s">
        <v>765</v>
      </c>
      <c r="K661" s="9" t="s">
        <v>18832</v>
      </c>
      <c r="L661" s="9" t="s">
        <v>17759</v>
      </c>
      <c r="M661" s="9" t="s">
        <v>17769</v>
      </c>
      <c r="N661" s="9" t="s">
        <v>17746</v>
      </c>
      <c r="O661" s="9" t="s">
        <v>22046</v>
      </c>
      <c r="P661" s="9" t="s">
        <v>17748</v>
      </c>
      <c r="Q661" s="11" t="s">
        <v>18282</v>
      </c>
      <c r="R661" s="11" t="s">
        <v>18282</v>
      </c>
      <c r="S661" s="11" t="s">
        <v>17750</v>
      </c>
    </row>
    <row r="662" spans="1:19" x14ac:dyDescent="0.2">
      <c r="A662" s="11" t="s">
        <v>22047</v>
      </c>
      <c r="B662" s="9" t="s">
        <v>22048</v>
      </c>
      <c r="C662" s="9" t="s">
        <v>22049</v>
      </c>
      <c r="D662" s="9" t="s">
        <v>22050</v>
      </c>
      <c r="E662" s="9" t="s">
        <v>17740</v>
      </c>
      <c r="F662" s="9" t="s">
        <v>17741</v>
      </c>
      <c r="G662" s="9" t="s">
        <v>17740</v>
      </c>
      <c r="H662" s="11" t="s">
        <v>22051</v>
      </c>
      <c r="I662" s="11" t="s">
        <v>22052</v>
      </c>
      <c r="J662" s="11" t="s">
        <v>22052</v>
      </c>
      <c r="K662" s="9" t="s">
        <v>19447</v>
      </c>
      <c r="L662" s="9" t="s">
        <v>17759</v>
      </c>
      <c r="M662" s="9" t="s">
        <v>18184</v>
      </c>
      <c r="N662" s="9" t="s">
        <v>17746</v>
      </c>
      <c r="O662" s="9" t="s">
        <v>21424</v>
      </c>
      <c r="P662" s="9" t="s">
        <v>17748</v>
      </c>
      <c r="Q662" s="11" t="s">
        <v>18600</v>
      </c>
      <c r="R662" s="11" t="s">
        <v>18600</v>
      </c>
      <c r="S662" s="11" t="s">
        <v>17750</v>
      </c>
    </row>
    <row r="663" spans="1:19" x14ac:dyDescent="0.2">
      <c r="A663" s="11" t="s">
        <v>22053</v>
      </c>
      <c r="B663" s="9" t="s">
        <v>22054</v>
      </c>
      <c r="C663" s="9" t="s">
        <v>22055</v>
      </c>
      <c r="D663" s="9" t="s">
        <v>22056</v>
      </c>
      <c r="E663" s="9" t="s">
        <v>17748</v>
      </c>
      <c r="F663" s="9" t="s">
        <v>22057</v>
      </c>
      <c r="G663" s="9" t="s">
        <v>17740</v>
      </c>
      <c r="H663" s="11" t="s">
        <v>22058</v>
      </c>
      <c r="I663" s="11" t="s">
        <v>22059</v>
      </c>
      <c r="J663" s="11" t="s">
        <v>22059</v>
      </c>
      <c r="K663" s="9" t="s">
        <v>17783</v>
      </c>
      <c r="L663" s="9" t="s">
        <v>17759</v>
      </c>
      <c r="M663" s="9" t="s">
        <v>17760</v>
      </c>
      <c r="N663" s="9" t="s">
        <v>17746</v>
      </c>
      <c r="O663" s="9" t="s">
        <v>19095</v>
      </c>
      <c r="P663" s="9" t="s">
        <v>17748</v>
      </c>
      <c r="Q663" s="11" t="s">
        <v>17984</v>
      </c>
      <c r="R663" s="11" t="s">
        <v>17984</v>
      </c>
      <c r="S663" s="11" t="s">
        <v>17750</v>
      </c>
    </row>
    <row r="664" spans="1:19" x14ac:dyDescent="0.2">
      <c r="A664" s="11" t="s">
        <v>22060</v>
      </c>
      <c r="B664" s="9" t="s">
        <v>22061</v>
      </c>
      <c r="C664" s="9" t="s">
        <v>22062</v>
      </c>
      <c r="D664" s="9" t="s">
        <v>22063</v>
      </c>
      <c r="E664" s="9" t="s">
        <v>17740</v>
      </c>
      <c r="F664" s="9" t="s">
        <v>22064</v>
      </c>
      <c r="G664" s="9" t="s">
        <v>17740</v>
      </c>
      <c r="H664" s="11" t="s">
        <v>769</v>
      </c>
      <c r="I664" s="11" t="s">
        <v>768</v>
      </c>
      <c r="J664" s="11" t="s">
        <v>768</v>
      </c>
      <c r="K664" s="9" t="s">
        <v>91</v>
      </c>
      <c r="L664" s="9" t="s">
        <v>17744</v>
      </c>
      <c r="M664" s="9" t="s">
        <v>22065</v>
      </c>
      <c r="N664" s="9" t="s">
        <v>17746</v>
      </c>
      <c r="O664" s="9" t="s">
        <v>22066</v>
      </c>
      <c r="P664" s="9" t="s">
        <v>17748</v>
      </c>
      <c r="Q664" s="11" t="s">
        <v>18282</v>
      </c>
      <c r="R664" s="11" t="s">
        <v>18282</v>
      </c>
      <c r="S664" s="11" t="s">
        <v>17750</v>
      </c>
    </row>
    <row r="665" spans="1:19" x14ac:dyDescent="0.2">
      <c r="A665" s="11" t="s">
        <v>22067</v>
      </c>
      <c r="B665" s="9" t="s">
        <v>22068</v>
      </c>
      <c r="C665" s="9" t="s">
        <v>22069</v>
      </c>
      <c r="D665" s="9" t="s">
        <v>22070</v>
      </c>
      <c r="E665" s="9" t="s">
        <v>17740</v>
      </c>
      <c r="F665" s="9" t="s">
        <v>17741</v>
      </c>
      <c r="G665" s="9" t="s">
        <v>17740</v>
      </c>
      <c r="H665" s="11" t="s">
        <v>11031</v>
      </c>
      <c r="I665" s="11" t="s">
        <v>17741</v>
      </c>
      <c r="J665" s="11" t="s">
        <v>11031</v>
      </c>
      <c r="K665" s="9" t="s">
        <v>18570</v>
      </c>
      <c r="L665" s="9" t="s">
        <v>17744</v>
      </c>
      <c r="M665" s="9" t="s">
        <v>17741</v>
      </c>
      <c r="N665" s="9" t="s">
        <v>17746</v>
      </c>
      <c r="O665" s="9" t="s">
        <v>22071</v>
      </c>
      <c r="P665" s="9" t="s">
        <v>17748</v>
      </c>
      <c r="Q665" s="11" t="s">
        <v>17984</v>
      </c>
      <c r="R665" s="11" t="s">
        <v>17984</v>
      </c>
      <c r="S665" s="11" t="s">
        <v>17750</v>
      </c>
    </row>
    <row r="666" spans="1:19" x14ac:dyDescent="0.2">
      <c r="A666" s="11" t="s">
        <v>22072</v>
      </c>
      <c r="B666" s="9" t="s">
        <v>22073</v>
      </c>
      <c r="C666" s="9" t="s">
        <v>22074</v>
      </c>
      <c r="D666" s="9" t="s">
        <v>22075</v>
      </c>
      <c r="E666" s="9" t="s">
        <v>17740</v>
      </c>
      <c r="F666" s="9" t="s">
        <v>17741</v>
      </c>
      <c r="G666" s="9" t="s">
        <v>17740</v>
      </c>
      <c r="H666" s="11" t="s">
        <v>723</v>
      </c>
      <c r="I666" s="11" t="s">
        <v>722</v>
      </c>
      <c r="J666" s="11" t="s">
        <v>722</v>
      </c>
      <c r="K666" s="9" t="s">
        <v>22076</v>
      </c>
      <c r="L666" s="9" t="s">
        <v>17744</v>
      </c>
      <c r="M666" s="9" t="s">
        <v>17769</v>
      </c>
      <c r="N666" s="9" t="s">
        <v>17746</v>
      </c>
      <c r="O666" s="9" t="s">
        <v>22077</v>
      </c>
      <c r="P666" s="9" t="s">
        <v>17748</v>
      </c>
      <c r="Q666" s="11" t="s">
        <v>19335</v>
      </c>
      <c r="R666" s="11" t="s">
        <v>19335</v>
      </c>
      <c r="S666" s="11" t="s">
        <v>17750</v>
      </c>
    </row>
    <row r="667" spans="1:19" x14ac:dyDescent="0.2">
      <c r="A667" s="11" t="s">
        <v>22078</v>
      </c>
      <c r="B667" s="9" t="s">
        <v>22079</v>
      </c>
      <c r="C667" s="9" t="s">
        <v>22080</v>
      </c>
      <c r="D667" s="9" t="s">
        <v>22081</v>
      </c>
      <c r="E667" s="9" t="s">
        <v>17748</v>
      </c>
      <c r="F667" s="9" t="s">
        <v>22082</v>
      </c>
      <c r="G667" s="9" t="s">
        <v>17740</v>
      </c>
      <c r="H667" s="11" t="s">
        <v>22083</v>
      </c>
      <c r="I667" s="11" t="s">
        <v>22084</v>
      </c>
      <c r="J667" s="11" t="s">
        <v>22084</v>
      </c>
      <c r="K667" s="9" t="s">
        <v>22085</v>
      </c>
      <c r="L667" s="9" t="s">
        <v>17759</v>
      </c>
      <c r="M667" s="9" t="s">
        <v>20568</v>
      </c>
      <c r="N667" s="9" t="s">
        <v>17746</v>
      </c>
      <c r="O667" s="9" t="s">
        <v>17848</v>
      </c>
      <c r="P667" s="9" t="s">
        <v>17748</v>
      </c>
      <c r="Q667" s="11" t="s">
        <v>17762</v>
      </c>
      <c r="R667" s="11" t="s">
        <v>17762</v>
      </c>
      <c r="S667" s="11" t="s">
        <v>17750</v>
      </c>
    </row>
    <row r="668" spans="1:19" x14ac:dyDescent="0.2">
      <c r="A668" s="11" t="s">
        <v>22086</v>
      </c>
      <c r="B668" s="9" t="s">
        <v>22087</v>
      </c>
      <c r="C668" s="9" t="s">
        <v>22088</v>
      </c>
      <c r="D668" s="9" t="s">
        <v>22089</v>
      </c>
      <c r="E668" s="9" t="s">
        <v>17740</v>
      </c>
      <c r="F668" s="9" t="s">
        <v>22090</v>
      </c>
      <c r="G668" s="9" t="s">
        <v>17740</v>
      </c>
      <c r="H668" s="11" t="s">
        <v>17741</v>
      </c>
      <c r="I668" s="11" t="s">
        <v>4636</v>
      </c>
      <c r="J668" s="11" t="s">
        <v>4636</v>
      </c>
      <c r="K668" s="9" t="s">
        <v>17741</v>
      </c>
      <c r="L668" s="9" t="s">
        <v>17759</v>
      </c>
      <c r="M668" s="9" t="s">
        <v>17760</v>
      </c>
      <c r="N668" s="9" t="s">
        <v>17746</v>
      </c>
      <c r="O668" s="9" t="s">
        <v>21424</v>
      </c>
      <c r="P668" s="9" t="s">
        <v>17748</v>
      </c>
      <c r="Q668" s="11" t="s">
        <v>18678</v>
      </c>
      <c r="R668" s="11" t="s">
        <v>18678</v>
      </c>
      <c r="S668" s="11" t="s">
        <v>17750</v>
      </c>
    </row>
    <row r="669" spans="1:19" x14ac:dyDescent="0.2">
      <c r="A669" s="11" t="s">
        <v>22091</v>
      </c>
      <c r="B669" s="9" t="s">
        <v>22092</v>
      </c>
      <c r="C669" s="9" t="s">
        <v>22093</v>
      </c>
      <c r="D669" s="9" t="s">
        <v>22094</v>
      </c>
      <c r="E669" s="9" t="s">
        <v>17740</v>
      </c>
      <c r="F669" s="9" t="s">
        <v>22095</v>
      </c>
      <c r="G669" s="9" t="s">
        <v>17740</v>
      </c>
      <c r="H669" s="11" t="s">
        <v>760</v>
      </c>
      <c r="I669" s="11" t="s">
        <v>759</v>
      </c>
      <c r="J669" s="11" t="s">
        <v>759</v>
      </c>
      <c r="K669" s="9" t="s">
        <v>19767</v>
      </c>
      <c r="L669" s="9" t="s">
        <v>17759</v>
      </c>
      <c r="M669" s="9" t="s">
        <v>17769</v>
      </c>
      <c r="N669" s="9" t="s">
        <v>17746</v>
      </c>
      <c r="O669" s="9" t="s">
        <v>22096</v>
      </c>
      <c r="P669" s="9" t="s">
        <v>17748</v>
      </c>
      <c r="Q669" s="11" t="s">
        <v>17978</v>
      </c>
      <c r="R669" s="11" t="s">
        <v>17978</v>
      </c>
      <c r="S669" s="11" t="s">
        <v>17750</v>
      </c>
    </row>
    <row r="670" spans="1:19" x14ac:dyDescent="0.2">
      <c r="A670" s="11" t="s">
        <v>22097</v>
      </c>
      <c r="B670" s="9" t="s">
        <v>22098</v>
      </c>
      <c r="C670" s="9" t="s">
        <v>22099</v>
      </c>
      <c r="D670" s="9" t="s">
        <v>22100</v>
      </c>
      <c r="E670" s="9" t="s">
        <v>17740</v>
      </c>
      <c r="F670" s="9" t="s">
        <v>17741</v>
      </c>
      <c r="G670" s="9" t="s">
        <v>17740</v>
      </c>
      <c r="H670" s="11" t="s">
        <v>22101</v>
      </c>
      <c r="I670" s="11" t="s">
        <v>22102</v>
      </c>
      <c r="J670" s="11" t="s">
        <v>22102</v>
      </c>
      <c r="K670" s="9" t="s">
        <v>22103</v>
      </c>
      <c r="L670" s="9" t="s">
        <v>17759</v>
      </c>
      <c r="M670" s="9" t="s">
        <v>17760</v>
      </c>
      <c r="N670" s="9" t="s">
        <v>17746</v>
      </c>
      <c r="O670" s="9" t="s">
        <v>22104</v>
      </c>
      <c r="P670" s="9" t="s">
        <v>17748</v>
      </c>
      <c r="Q670" s="11" t="s">
        <v>17978</v>
      </c>
      <c r="R670" s="11" t="s">
        <v>17978</v>
      </c>
      <c r="S670" s="11" t="s">
        <v>17750</v>
      </c>
    </row>
    <row r="671" spans="1:19" x14ac:dyDescent="0.2">
      <c r="A671" s="11" t="s">
        <v>22105</v>
      </c>
      <c r="B671" s="9" t="s">
        <v>22106</v>
      </c>
      <c r="C671" s="9" t="s">
        <v>22107</v>
      </c>
      <c r="D671" s="9" t="s">
        <v>22108</v>
      </c>
      <c r="E671" s="9" t="s">
        <v>17740</v>
      </c>
      <c r="F671" s="9" t="s">
        <v>17741</v>
      </c>
      <c r="G671" s="9" t="s">
        <v>17740</v>
      </c>
      <c r="H671" s="11" t="s">
        <v>22109</v>
      </c>
      <c r="I671" s="11" t="s">
        <v>22110</v>
      </c>
      <c r="J671" s="11" t="s">
        <v>22110</v>
      </c>
      <c r="K671" s="9" t="s">
        <v>689</v>
      </c>
      <c r="L671" s="9" t="s">
        <v>17744</v>
      </c>
      <c r="M671" s="9" t="s">
        <v>22111</v>
      </c>
      <c r="N671" s="9" t="s">
        <v>17746</v>
      </c>
      <c r="O671" s="9" t="s">
        <v>21154</v>
      </c>
      <c r="P671" s="9" t="s">
        <v>17748</v>
      </c>
      <c r="Q671" s="11" t="s">
        <v>17858</v>
      </c>
      <c r="R671" s="11" t="s">
        <v>17858</v>
      </c>
      <c r="S671" s="11" t="s">
        <v>17750</v>
      </c>
    </row>
    <row r="672" spans="1:19" x14ac:dyDescent="0.2">
      <c r="A672" s="11" t="s">
        <v>22112</v>
      </c>
      <c r="B672" s="9" t="s">
        <v>22113</v>
      </c>
      <c r="C672" s="9" t="s">
        <v>22114</v>
      </c>
      <c r="D672" s="9" t="s">
        <v>22115</v>
      </c>
      <c r="E672" s="9" t="s">
        <v>17740</v>
      </c>
      <c r="F672" s="9" t="s">
        <v>17741</v>
      </c>
      <c r="G672" s="9" t="s">
        <v>17740</v>
      </c>
      <c r="H672" s="11" t="s">
        <v>933</v>
      </c>
      <c r="I672" s="11" t="s">
        <v>932</v>
      </c>
      <c r="J672" s="11" t="s">
        <v>932</v>
      </c>
      <c r="K672" s="9" t="s">
        <v>18661</v>
      </c>
      <c r="L672" s="9" t="s">
        <v>17744</v>
      </c>
      <c r="M672" s="9" t="s">
        <v>22116</v>
      </c>
      <c r="N672" s="9" t="s">
        <v>17746</v>
      </c>
      <c r="O672" s="9" t="s">
        <v>22066</v>
      </c>
      <c r="P672" s="9" t="s">
        <v>17748</v>
      </c>
      <c r="Q672" s="11" t="s">
        <v>17849</v>
      </c>
      <c r="R672" s="11" t="s">
        <v>17849</v>
      </c>
      <c r="S672" s="11" t="s">
        <v>17750</v>
      </c>
    </row>
    <row r="673" spans="1:19" x14ac:dyDescent="0.2">
      <c r="A673" s="11" t="s">
        <v>22117</v>
      </c>
      <c r="B673" s="9" t="s">
        <v>22118</v>
      </c>
      <c r="C673" s="9" t="s">
        <v>22119</v>
      </c>
      <c r="D673" s="9" t="s">
        <v>22120</v>
      </c>
      <c r="E673" s="9" t="s">
        <v>17740</v>
      </c>
      <c r="F673" s="9" t="s">
        <v>22121</v>
      </c>
      <c r="G673" s="9" t="s">
        <v>17740</v>
      </c>
      <c r="H673" s="11" t="s">
        <v>22122</v>
      </c>
      <c r="I673" s="11" t="s">
        <v>22123</v>
      </c>
      <c r="J673" s="11" t="s">
        <v>22123</v>
      </c>
      <c r="K673" s="9" t="s">
        <v>724</v>
      </c>
      <c r="L673" s="9" t="s">
        <v>17759</v>
      </c>
      <c r="M673" s="9" t="s">
        <v>17760</v>
      </c>
      <c r="N673" s="9" t="s">
        <v>17746</v>
      </c>
      <c r="O673" s="9" t="s">
        <v>21424</v>
      </c>
      <c r="P673" s="9" t="s">
        <v>17748</v>
      </c>
      <c r="Q673" s="11" t="s">
        <v>17792</v>
      </c>
      <c r="R673" s="11" t="s">
        <v>17792</v>
      </c>
      <c r="S673" s="11" t="s">
        <v>17750</v>
      </c>
    </row>
    <row r="674" spans="1:19" x14ac:dyDescent="0.2">
      <c r="A674" s="11" t="s">
        <v>22124</v>
      </c>
      <c r="B674" s="9" t="s">
        <v>22125</v>
      </c>
      <c r="C674" s="9" t="s">
        <v>22126</v>
      </c>
      <c r="D674" s="9" t="s">
        <v>22127</v>
      </c>
      <c r="E674" s="9" t="s">
        <v>17740</v>
      </c>
      <c r="F674" s="9" t="s">
        <v>17741</v>
      </c>
      <c r="G674" s="9" t="s">
        <v>17740</v>
      </c>
      <c r="H674" s="11" t="s">
        <v>720</v>
      </c>
      <c r="I674" s="11" t="s">
        <v>719</v>
      </c>
      <c r="J674" s="11" t="s">
        <v>719</v>
      </c>
      <c r="K674" s="9" t="s">
        <v>22128</v>
      </c>
      <c r="L674" s="9" t="s">
        <v>18001</v>
      </c>
      <c r="M674" s="9" t="s">
        <v>22129</v>
      </c>
      <c r="N674" s="9" t="s">
        <v>17746</v>
      </c>
      <c r="O674" s="9" t="s">
        <v>22071</v>
      </c>
      <c r="P674" s="9" t="s">
        <v>17748</v>
      </c>
      <c r="Q674" s="11" t="s">
        <v>19222</v>
      </c>
      <c r="R674" s="11" t="s">
        <v>19222</v>
      </c>
      <c r="S674" s="11" t="s">
        <v>17750</v>
      </c>
    </row>
    <row r="675" spans="1:19" x14ac:dyDescent="0.2">
      <c r="A675" s="11" t="s">
        <v>22130</v>
      </c>
      <c r="B675" s="9" t="s">
        <v>22131</v>
      </c>
      <c r="C675" s="9" t="s">
        <v>22132</v>
      </c>
      <c r="D675" s="9" t="s">
        <v>22133</v>
      </c>
      <c r="E675" s="9" t="s">
        <v>17740</v>
      </c>
      <c r="F675" s="9" t="s">
        <v>17741</v>
      </c>
      <c r="G675" s="9" t="s">
        <v>17740</v>
      </c>
      <c r="H675" s="11" t="s">
        <v>5746</v>
      </c>
      <c r="I675" s="11" t="s">
        <v>5745</v>
      </c>
      <c r="J675" s="11" t="s">
        <v>5745</v>
      </c>
      <c r="K675" s="9" t="s">
        <v>22134</v>
      </c>
      <c r="L675" s="9" t="s">
        <v>18001</v>
      </c>
      <c r="M675" s="9" t="s">
        <v>17760</v>
      </c>
      <c r="N675" s="9" t="s">
        <v>17746</v>
      </c>
      <c r="O675" s="9" t="s">
        <v>22096</v>
      </c>
      <c r="P675" s="9" t="s">
        <v>17748</v>
      </c>
      <c r="Q675" s="11" t="s">
        <v>18678</v>
      </c>
      <c r="R675" s="11" t="s">
        <v>18678</v>
      </c>
      <c r="S675" s="11" t="s">
        <v>17750</v>
      </c>
    </row>
    <row r="676" spans="1:19" x14ac:dyDescent="0.2">
      <c r="A676" s="11" t="s">
        <v>22135</v>
      </c>
      <c r="B676" s="9" t="s">
        <v>22136</v>
      </c>
      <c r="C676" s="9" t="s">
        <v>22137</v>
      </c>
      <c r="D676" s="9" t="s">
        <v>22138</v>
      </c>
      <c r="E676" s="9" t="s">
        <v>17740</v>
      </c>
      <c r="F676" s="9" t="s">
        <v>17741</v>
      </c>
      <c r="G676" s="9" t="s">
        <v>17740</v>
      </c>
      <c r="H676" s="11" t="s">
        <v>5740</v>
      </c>
      <c r="I676" s="11" t="s">
        <v>5739</v>
      </c>
      <c r="J676" s="11" t="s">
        <v>5739</v>
      </c>
      <c r="K676" s="9" t="s">
        <v>28</v>
      </c>
      <c r="L676" s="9" t="s">
        <v>17744</v>
      </c>
      <c r="M676" s="9" t="s">
        <v>22139</v>
      </c>
      <c r="N676" s="9" t="s">
        <v>17746</v>
      </c>
      <c r="O676" s="9" t="s">
        <v>22140</v>
      </c>
      <c r="P676" s="9" t="s">
        <v>17748</v>
      </c>
      <c r="Q676" s="11" t="s">
        <v>17819</v>
      </c>
      <c r="R676" s="11" t="s">
        <v>17819</v>
      </c>
      <c r="S676" s="11" t="s">
        <v>17750</v>
      </c>
    </row>
    <row r="677" spans="1:19" x14ac:dyDescent="0.2">
      <c r="A677" s="11" t="s">
        <v>22141</v>
      </c>
      <c r="B677" s="9" t="s">
        <v>22142</v>
      </c>
      <c r="C677" s="9" t="s">
        <v>22143</v>
      </c>
      <c r="D677" s="9" t="s">
        <v>22144</v>
      </c>
      <c r="E677" s="9" t="s">
        <v>17740</v>
      </c>
      <c r="F677" s="9" t="s">
        <v>17741</v>
      </c>
      <c r="G677" s="9" t="s">
        <v>17740</v>
      </c>
      <c r="H677" s="11" t="s">
        <v>902</v>
      </c>
      <c r="I677" s="11" t="s">
        <v>901</v>
      </c>
      <c r="J677" s="11" t="s">
        <v>901</v>
      </c>
      <c r="K677" s="9" t="s">
        <v>20333</v>
      </c>
      <c r="L677" s="9" t="s">
        <v>18001</v>
      </c>
      <c r="M677" s="9" t="s">
        <v>18289</v>
      </c>
      <c r="N677" s="9" t="s">
        <v>17746</v>
      </c>
      <c r="O677" s="9" t="s">
        <v>19095</v>
      </c>
      <c r="P677" s="9" t="s">
        <v>17748</v>
      </c>
      <c r="Q677" s="11" t="s">
        <v>19026</v>
      </c>
      <c r="R677" s="11" t="s">
        <v>19026</v>
      </c>
      <c r="S677" s="11" t="s">
        <v>17750</v>
      </c>
    </row>
    <row r="678" spans="1:19" x14ac:dyDescent="0.2">
      <c r="A678" s="11" t="s">
        <v>22145</v>
      </c>
      <c r="B678" s="9" t="s">
        <v>22146</v>
      </c>
      <c r="C678" s="9" t="s">
        <v>22147</v>
      </c>
      <c r="D678" s="9" t="s">
        <v>22148</v>
      </c>
      <c r="E678" s="9" t="s">
        <v>17740</v>
      </c>
      <c r="F678" s="9" t="s">
        <v>22149</v>
      </c>
      <c r="G678" s="9" t="s">
        <v>17740</v>
      </c>
      <c r="H678" s="11" t="s">
        <v>17741</v>
      </c>
      <c r="I678" s="11" t="s">
        <v>22150</v>
      </c>
      <c r="J678" s="11" t="s">
        <v>22150</v>
      </c>
      <c r="K678" s="9" t="s">
        <v>22151</v>
      </c>
      <c r="L678" s="9" t="s">
        <v>17958</v>
      </c>
      <c r="M678" s="9" t="s">
        <v>17769</v>
      </c>
      <c r="N678" s="9" t="s">
        <v>22152</v>
      </c>
      <c r="O678" s="9" t="s">
        <v>17993</v>
      </c>
      <c r="P678" s="9" t="s">
        <v>17748</v>
      </c>
      <c r="Q678" s="11" t="s">
        <v>18922</v>
      </c>
      <c r="R678" s="11" t="s">
        <v>18922</v>
      </c>
      <c r="S678" s="11" t="s">
        <v>17750</v>
      </c>
    </row>
    <row r="679" spans="1:19" x14ac:dyDescent="0.2">
      <c r="A679" s="11" t="s">
        <v>22153</v>
      </c>
      <c r="B679" s="9" t="s">
        <v>22154</v>
      </c>
      <c r="C679" s="9" t="s">
        <v>22155</v>
      </c>
      <c r="D679" s="9" t="s">
        <v>22156</v>
      </c>
      <c r="E679" s="9" t="s">
        <v>17740</v>
      </c>
      <c r="F679" s="9" t="s">
        <v>17741</v>
      </c>
      <c r="G679" s="9" t="s">
        <v>17740</v>
      </c>
      <c r="H679" s="11" t="s">
        <v>15089</v>
      </c>
      <c r="I679" s="11" t="s">
        <v>15088</v>
      </c>
      <c r="J679" s="11" t="s">
        <v>15088</v>
      </c>
      <c r="K679" s="9" t="s">
        <v>13355</v>
      </c>
      <c r="L679" s="9" t="s">
        <v>18001</v>
      </c>
      <c r="M679" s="9" t="s">
        <v>17760</v>
      </c>
      <c r="N679" s="9" t="s">
        <v>17746</v>
      </c>
      <c r="O679" s="9" t="s">
        <v>18746</v>
      </c>
      <c r="P679" s="9" t="s">
        <v>17748</v>
      </c>
      <c r="Q679" s="11" t="s">
        <v>17900</v>
      </c>
      <c r="R679" s="11" t="s">
        <v>17900</v>
      </c>
      <c r="S679" s="11" t="s">
        <v>17750</v>
      </c>
    </row>
    <row r="680" spans="1:19" x14ac:dyDescent="0.2">
      <c r="A680" s="11" t="s">
        <v>22157</v>
      </c>
      <c r="B680" s="9" t="s">
        <v>22158</v>
      </c>
      <c r="C680" s="9" t="s">
        <v>22159</v>
      </c>
      <c r="D680" s="9" t="s">
        <v>22160</v>
      </c>
      <c r="E680" s="9" t="s">
        <v>17740</v>
      </c>
      <c r="F680" s="9" t="s">
        <v>17741</v>
      </c>
      <c r="G680" s="9" t="s">
        <v>17740</v>
      </c>
      <c r="H680" s="11" t="s">
        <v>17741</v>
      </c>
      <c r="I680" s="11" t="s">
        <v>22161</v>
      </c>
      <c r="J680" s="11" t="s">
        <v>22161</v>
      </c>
      <c r="K680" s="9" t="s">
        <v>22162</v>
      </c>
      <c r="L680" s="9" t="s">
        <v>17759</v>
      </c>
      <c r="M680" s="9" t="s">
        <v>17778</v>
      </c>
      <c r="N680" s="9" t="s">
        <v>17746</v>
      </c>
      <c r="O680" s="9" t="s">
        <v>17848</v>
      </c>
      <c r="P680" s="9" t="s">
        <v>17748</v>
      </c>
      <c r="Q680" s="11" t="s">
        <v>18960</v>
      </c>
      <c r="R680" s="11" t="s">
        <v>18960</v>
      </c>
      <c r="S680" s="11" t="s">
        <v>17750</v>
      </c>
    </row>
    <row r="681" spans="1:19" x14ac:dyDescent="0.2">
      <c r="A681" s="11" t="s">
        <v>22163</v>
      </c>
      <c r="B681" s="9" t="s">
        <v>11490</v>
      </c>
      <c r="C681" s="9" t="s">
        <v>11490</v>
      </c>
      <c r="D681" s="9" t="s">
        <v>11490</v>
      </c>
      <c r="E681" s="9" t="s">
        <v>17748</v>
      </c>
      <c r="F681" s="9" t="s">
        <v>22164</v>
      </c>
      <c r="G681" s="9" t="s">
        <v>17740</v>
      </c>
      <c r="H681" s="11" t="s">
        <v>17741</v>
      </c>
      <c r="I681" s="11" t="s">
        <v>11491</v>
      </c>
      <c r="J681" s="11" t="s">
        <v>11491</v>
      </c>
      <c r="K681" s="9" t="s">
        <v>22165</v>
      </c>
      <c r="L681" s="9" t="s">
        <v>17929</v>
      </c>
      <c r="M681" s="9" t="s">
        <v>17760</v>
      </c>
      <c r="N681" s="9" t="s">
        <v>17746</v>
      </c>
      <c r="O681" s="9" t="s">
        <v>18418</v>
      </c>
      <c r="P681" s="9" t="s">
        <v>17748</v>
      </c>
      <c r="Q681" s="11" t="s">
        <v>17984</v>
      </c>
      <c r="R681" s="11" t="s">
        <v>17984</v>
      </c>
      <c r="S681" s="11" t="s">
        <v>17750</v>
      </c>
    </row>
    <row r="682" spans="1:19" x14ac:dyDescent="0.2">
      <c r="A682" s="11" t="s">
        <v>22166</v>
      </c>
      <c r="B682" s="9" t="s">
        <v>22167</v>
      </c>
      <c r="C682" s="9" t="s">
        <v>22168</v>
      </c>
      <c r="D682" s="9" t="s">
        <v>22169</v>
      </c>
      <c r="E682" s="9" t="s">
        <v>17740</v>
      </c>
      <c r="F682" s="9" t="s">
        <v>17741</v>
      </c>
      <c r="G682" s="9" t="s">
        <v>17740</v>
      </c>
      <c r="H682" s="11" t="s">
        <v>22170</v>
      </c>
      <c r="I682" s="11" t="s">
        <v>22171</v>
      </c>
      <c r="J682" s="11" t="s">
        <v>22171</v>
      </c>
      <c r="K682" s="9" t="s">
        <v>18712</v>
      </c>
      <c r="L682" s="9" t="s">
        <v>18158</v>
      </c>
      <c r="M682" s="9" t="s">
        <v>17778</v>
      </c>
      <c r="N682" s="9" t="s">
        <v>18185</v>
      </c>
      <c r="O682" s="9" t="s">
        <v>20690</v>
      </c>
      <c r="P682" s="9" t="s">
        <v>17748</v>
      </c>
      <c r="Q682" s="11" t="s">
        <v>19335</v>
      </c>
      <c r="R682" s="11" t="s">
        <v>19335</v>
      </c>
      <c r="S682" s="11" t="s">
        <v>17750</v>
      </c>
    </row>
    <row r="683" spans="1:19" x14ac:dyDescent="0.2">
      <c r="A683" s="11" t="s">
        <v>22172</v>
      </c>
      <c r="B683" s="9" t="s">
        <v>22173</v>
      </c>
      <c r="C683" s="9" t="s">
        <v>22174</v>
      </c>
      <c r="D683" s="9" t="s">
        <v>22175</v>
      </c>
      <c r="E683" s="9" t="s">
        <v>17740</v>
      </c>
      <c r="F683" s="9" t="s">
        <v>22176</v>
      </c>
      <c r="G683" s="9" t="s">
        <v>17740</v>
      </c>
      <c r="H683" s="11" t="s">
        <v>17741</v>
      </c>
      <c r="I683" s="11" t="s">
        <v>22177</v>
      </c>
      <c r="J683" s="11" t="s">
        <v>22177</v>
      </c>
      <c r="K683" s="9" t="s">
        <v>22178</v>
      </c>
      <c r="L683" s="9" t="s">
        <v>18158</v>
      </c>
      <c r="M683" s="9" t="s">
        <v>17769</v>
      </c>
      <c r="N683" s="9" t="s">
        <v>18185</v>
      </c>
      <c r="O683" s="9" t="s">
        <v>18563</v>
      </c>
      <c r="P683" s="9" t="s">
        <v>17748</v>
      </c>
      <c r="Q683" s="11" t="s">
        <v>21578</v>
      </c>
      <c r="R683" s="11" t="s">
        <v>21578</v>
      </c>
      <c r="S683" s="11" t="s">
        <v>17750</v>
      </c>
    </row>
    <row r="684" spans="1:19" x14ac:dyDescent="0.2">
      <c r="A684" s="11" t="s">
        <v>22179</v>
      </c>
      <c r="B684" s="9" t="s">
        <v>22180</v>
      </c>
      <c r="C684" s="9" t="s">
        <v>22181</v>
      </c>
      <c r="D684" s="9" t="s">
        <v>22182</v>
      </c>
      <c r="E684" s="9" t="s">
        <v>17740</v>
      </c>
      <c r="F684" s="9" t="s">
        <v>22183</v>
      </c>
      <c r="G684" s="9" t="s">
        <v>17740</v>
      </c>
      <c r="H684" s="11" t="s">
        <v>22184</v>
      </c>
      <c r="I684" s="11" t="s">
        <v>10126</v>
      </c>
      <c r="J684" s="11" t="s">
        <v>10126</v>
      </c>
      <c r="K684" s="9" t="s">
        <v>91</v>
      </c>
      <c r="L684" s="9" t="s">
        <v>18001</v>
      </c>
      <c r="M684" s="9" t="s">
        <v>17760</v>
      </c>
      <c r="N684" s="9" t="s">
        <v>17746</v>
      </c>
      <c r="O684" s="9" t="s">
        <v>487</v>
      </c>
      <c r="P684" s="9" t="s">
        <v>17748</v>
      </c>
      <c r="Q684" s="11" t="s">
        <v>18922</v>
      </c>
      <c r="R684" s="11" t="s">
        <v>18922</v>
      </c>
      <c r="S684" s="11" t="s">
        <v>17750</v>
      </c>
    </row>
    <row r="685" spans="1:19" x14ac:dyDescent="0.2">
      <c r="A685" s="11" t="s">
        <v>22185</v>
      </c>
      <c r="B685" s="9" t="s">
        <v>22186</v>
      </c>
      <c r="C685" s="9" t="s">
        <v>22187</v>
      </c>
      <c r="D685" s="9" t="s">
        <v>22188</v>
      </c>
      <c r="E685" s="9" t="s">
        <v>17748</v>
      </c>
      <c r="F685" s="9" t="s">
        <v>22189</v>
      </c>
      <c r="G685" s="9" t="s">
        <v>17740</v>
      </c>
      <c r="H685" s="11" t="s">
        <v>22190</v>
      </c>
      <c r="I685" s="11" t="s">
        <v>10120</v>
      </c>
      <c r="J685" s="11" t="s">
        <v>10120</v>
      </c>
      <c r="K685" s="9" t="s">
        <v>91</v>
      </c>
      <c r="L685" s="9" t="s">
        <v>18001</v>
      </c>
      <c r="M685" s="9" t="s">
        <v>21092</v>
      </c>
      <c r="N685" s="9" t="s">
        <v>17746</v>
      </c>
      <c r="O685" s="9" t="s">
        <v>21568</v>
      </c>
      <c r="P685" s="9" t="s">
        <v>17748</v>
      </c>
      <c r="Q685" s="11" t="s">
        <v>18922</v>
      </c>
      <c r="R685" s="11" t="s">
        <v>18922</v>
      </c>
      <c r="S685" s="11" t="s">
        <v>17750</v>
      </c>
    </row>
    <row r="686" spans="1:19" x14ac:dyDescent="0.2">
      <c r="A686" s="11" t="s">
        <v>22191</v>
      </c>
      <c r="B686" s="9" t="s">
        <v>22192</v>
      </c>
      <c r="C686" s="9" t="s">
        <v>22193</v>
      </c>
      <c r="D686" s="9" t="s">
        <v>22194</v>
      </c>
      <c r="E686" s="9" t="s">
        <v>17748</v>
      </c>
      <c r="F686" s="9" t="s">
        <v>22195</v>
      </c>
      <c r="G686" s="9" t="s">
        <v>17740</v>
      </c>
      <c r="H686" s="11" t="s">
        <v>10118</v>
      </c>
      <c r="I686" s="11" t="s">
        <v>10117</v>
      </c>
      <c r="J686" s="11" t="s">
        <v>10117</v>
      </c>
      <c r="K686" s="9" t="s">
        <v>91</v>
      </c>
      <c r="L686" s="9" t="s">
        <v>18001</v>
      </c>
      <c r="M686" s="9" t="s">
        <v>17769</v>
      </c>
      <c r="N686" s="9" t="s">
        <v>17746</v>
      </c>
      <c r="O686" s="9" t="s">
        <v>1675</v>
      </c>
      <c r="P686" s="9" t="s">
        <v>17748</v>
      </c>
      <c r="Q686" s="11" t="s">
        <v>18922</v>
      </c>
      <c r="R686" s="11" t="s">
        <v>18922</v>
      </c>
      <c r="S686" s="11" t="s">
        <v>17750</v>
      </c>
    </row>
    <row r="687" spans="1:19" x14ac:dyDescent="0.2">
      <c r="A687" s="11" t="s">
        <v>22196</v>
      </c>
      <c r="B687" s="9" t="s">
        <v>22197</v>
      </c>
      <c r="C687" s="9" t="s">
        <v>22198</v>
      </c>
      <c r="D687" s="9" t="s">
        <v>22199</v>
      </c>
      <c r="E687" s="9" t="s">
        <v>17748</v>
      </c>
      <c r="F687" s="9" t="s">
        <v>22200</v>
      </c>
      <c r="G687" s="9" t="s">
        <v>17740</v>
      </c>
      <c r="H687" s="11" t="s">
        <v>10124</v>
      </c>
      <c r="I687" s="11" t="s">
        <v>10123</v>
      </c>
      <c r="J687" s="11" t="s">
        <v>10123</v>
      </c>
      <c r="K687" s="9" t="s">
        <v>91</v>
      </c>
      <c r="L687" s="9" t="s">
        <v>18001</v>
      </c>
      <c r="M687" s="9" t="s">
        <v>17760</v>
      </c>
      <c r="N687" s="9" t="s">
        <v>17746</v>
      </c>
      <c r="O687" s="9" t="s">
        <v>7097</v>
      </c>
      <c r="P687" s="9" t="s">
        <v>17748</v>
      </c>
      <c r="Q687" s="11" t="s">
        <v>18922</v>
      </c>
      <c r="R687" s="11" t="s">
        <v>18922</v>
      </c>
      <c r="S687" s="11" t="s">
        <v>17750</v>
      </c>
    </row>
    <row r="688" spans="1:19" x14ac:dyDescent="0.2">
      <c r="A688" s="11" t="s">
        <v>22201</v>
      </c>
      <c r="B688" s="9" t="s">
        <v>22202</v>
      </c>
      <c r="C688" s="9" t="s">
        <v>22203</v>
      </c>
      <c r="D688" s="9" t="s">
        <v>22204</v>
      </c>
      <c r="E688" s="9" t="s">
        <v>17748</v>
      </c>
      <c r="F688" s="9" t="s">
        <v>22205</v>
      </c>
      <c r="G688" s="9" t="s">
        <v>17740</v>
      </c>
      <c r="H688" s="11" t="s">
        <v>10137</v>
      </c>
      <c r="I688" s="11" t="s">
        <v>10136</v>
      </c>
      <c r="J688" s="11" t="s">
        <v>10136</v>
      </c>
      <c r="K688" s="9" t="s">
        <v>91</v>
      </c>
      <c r="L688" s="9" t="s">
        <v>18001</v>
      </c>
      <c r="M688" s="9" t="s">
        <v>17769</v>
      </c>
      <c r="N688" s="9" t="s">
        <v>17746</v>
      </c>
      <c r="O688" s="9" t="s">
        <v>18331</v>
      </c>
      <c r="P688" s="9" t="s">
        <v>17748</v>
      </c>
      <c r="Q688" s="11" t="s">
        <v>18922</v>
      </c>
      <c r="R688" s="11" t="s">
        <v>18922</v>
      </c>
      <c r="S688" s="11" t="s">
        <v>17750</v>
      </c>
    </row>
    <row r="689" spans="1:19" x14ac:dyDescent="0.2">
      <c r="A689" s="11" t="s">
        <v>22206</v>
      </c>
      <c r="B689" s="9" t="s">
        <v>22207</v>
      </c>
      <c r="C689" s="9" t="s">
        <v>22208</v>
      </c>
      <c r="D689" s="9" t="s">
        <v>22209</v>
      </c>
      <c r="E689" s="9" t="s">
        <v>17748</v>
      </c>
      <c r="F689" s="9" t="s">
        <v>22210</v>
      </c>
      <c r="G689" s="9" t="s">
        <v>17740</v>
      </c>
      <c r="H689" s="11" t="s">
        <v>10130</v>
      </c>
      <c r="I689" s="11" t="s">
        <v>10129</v>
      </c>
      <c r="J689" s="11" t="s">
        <v>10129</v>
      </c>
      <c r="K689" s="9" t="s">
        <v>91</v>
      </c>
      <c r="L689" s="9" t="s">
        <v>18001</v>
      </c>
      <c r="M689" s="9" t="s">
        <v>18184</v>
      </c>
      <c r="N689" s="9" t="s">
        <v>17746</v>
      </c>
      <c r="O689" s="9" t="s">
        <v>18534</v>
      </c>
      <c r="P689" s="9" t="s">
        <v>17748</v>
      </c>
      <c r="Q689" s="11" t="s">
        <v>18922</v>
      </c>
      <c r="R689" s="11" t="s">
        <v>18922</v>
      </c>
      <c r="S689" s="11" t="s">
        <v>17750</v>
      </c>
    </row>
    <row r="690" spans="1:19" x14ac:dyDescent="0.2">
      <c r="A690" s="11" t="s">
        <v>22211</v>
      </c>
      <c r="B690" s="9" t="s">
        <v>22212</v>
      </c>
      <c r="C690" s="9" t="s">
        <v>22213</v>
      </c>
      <c r="D690" s="9" t="s">
        <v>22214</v>
      </c>
      <c r="E690" s="9" t="s">
        <v>17740</v>
      </c>
      <c r="F690" s="9" t="s">
        <v>17741</v>
      </c>
      <c r="G690" s="9" t="s">
        <v>17740</v>
      </c>
      <c r="H690" s="11" t="s">
        <v>17741</v>
      </c>
      <c r="I690" s="11" t="s">
        <v>22215</v>
      </c>
      <c r="J690" s="11" t="s">
        <v>22215</v>
      </c>
      <c r="K690" s="9" t="s">
        <v>22216</v>
      </c>
      <c r="L690" s="9" t="s">
        <v>17759</v>
      </c>
      <c r="M690" s="9" t="s">
        <v>17760</v>
      </c>
      <c r="N690" s="9" t="s">
        <v>17746</v>
      </c>
      <c r="O690" s="9" t="s">
        <v>22217</v>
      </c>
      <c r="P690" s="9" t="s">
        <v>17748</v>
      </c>
      <c r="Q690" s="11" t="s">
        <v>17749</v>
      </c>
      <c r="R690" s="11" t="s">
        <v>17749</v>
      </c>
      <c r="S690" s="11" t="s">
        <v>17750</v>
      </c>
    </row>
    <row r="691" spans="1:19" x14ac:dyDescent="0.2">
      <c r="A691" s="11" t="s">
        <v>22218</v>
      </c>
      <c r="B691" s="9" t="s">
        <v>22219</v>
      </c>
      <c r="C691" s="9" t="s">
        <v>22220</v>
      </c>
      <c r="D691" s="9" t="s">
        <v>22221</v>
      </c>
      <c r="E691" s="9" t="s">
        <v>17740</v>
      </c>
      <c r="F691" s="9" t="s">
        <v>17741</v>
      </c>
      <c r="G691" s="9" t="s">
        <v>17740</v>
      </c>
      <c r="H691" s="11" t="s">
        <v>17741</v>
      </c>
      <c r="I691" s="11" t="s">
        <v>22222</v>
      </c>
      <c r="J691" s="11" t="s">
        <v>22222</v>
      </c>
      <c r="K691" s="9" t="s">
        <v>22223</v>
      </c>
      <c r="L691" s="9" t="s">
        <v>17958</v>
      </c>
      <c r="M691" s="9" t="s">
        <v>22224</v>
      </c>
      <c r="N691" s="9" t="s">
        <v>22152</v>
      </c>
      <c r="O691" s="9" t="s">
        <v>4048</v>
      </c>
      <c r="P691" s="9" t="s">
        <v>17748</v>
      </c>
      <c r="Q691" s="11" t="s">
        <v>18960</v>
      </c>
      <c r="R691" s="11" t="s">
        <v>18960</v>
      </c>
      <c r="S691" s="11" t="s">
        <v>17750</v>
      </c>
    </row>
    <row r="692" spans="1:19" x14ac:dyDescent="0.2">
      <c r="A692" s="11" t="s">
        <v>22225</v>
      </c>
      <c r="B692" s="9" t="s">
        <v>22226</v>
      </c>
      <c r="C692" s="9" t="s">
        <v>22227</v>
      </c>
      <c r="D692" s="9" t="s">
        <v>22228</v>
      </c>
      <c r="E692" s="9" t="s">
        <v>17748</v>
      </c>
      <c r="F692" s="9" t="s">
        <v>22229</v>
      </c>
      <c r="G692" s="9" t="s">
        <v>17740</v>
      </c>
      <c r="H692" s="11" t="s">
        <v>15449</v>
      </c>
      <c r="I692" s="11" t="s">
        <v>15448</v>
      </c>
      <c r="J692" s="11" t="s">
        <v>17741</v>
      </c>
      <c r="K692" s="9" t="s">
        <v>22230</v>
      </c>
      <c r="L692" s="9" t="s">
        <v>17759</v>
      </c>
      <c r="M692" s="9" t="s">
        <v>17760</v>
      </c>
      <c r="N692" s="9" t="s">
        <v>17746</v>
      </c>
      <c r="O692" s="9" t="s">
        <v>3255</v>
      </c>
      <c r="P692" s="9" t="s">
        <v>17748</v>
      </c>
      <c r="Q692" s="11" t="s">
        <v>17909</v>
      </c>
      <c r="R692" s="11" t="s">
        <v>17909</v>
      </c>
      <c r="S692" s="11" t="s">
        <v>17750</v>
      </c>
    </row>
    <row r="693" spans="1:19" x14ac:dyDescent="0.2">
      <c r="A693" s="11" t="s">
        <v>22231</v>
      </c>
      <c r="B693" s="9" t="s">
        <v>22232</v>
      </c>
      <c r="C693" s="9" t="s">
        <v>22233</v>
      </c>
      <c r="D693" s="9" t="s">
        <v>22234</v>
      </c>
      <c r="E693" s="9" t="s">
        <v>17740</v>
      </c>
      <c r="F693" s="9" t="s">
        <v>22235</v>
      </c>
      <c r="G693" s="9" t="s">
        <v>17740</v>
      </c>
      <c r="H693" s="11" t="s">
        <v>936</v>
      </c>
      <c r="I693" s="11" t="s">
        <v>935</v>
      </c>
      <c r="J693" s="11" t="s">
        <v>935</v>
      </c>
      <c r="K693" s="9" t="s">
        <v>22236</v>
      </c>
      <c r="L693" s="9" t="s">
        <v>21771</v>
      </c>
      <c r="M693" s="9" t="s">
        <v>22237</v>
      </c>
      <c r="N693" s="9" t="s">
        <v>17746</v>
      </c>
      <c r="O693" s="9" t="s">
        <v>22238</v>
      </c>
      <c r="P693" s="9" t="s">
        <v>17748</v>
      </c>
      <c r="Q693" s="11" t="s">
        <v>17771</v>
      </c>
      <c r="R693" s="11" t="s">
        <v>17771</v>
      </c>
      <c r="S693" s="11" t="s">
        <v>17750</v>
      </c>
    </row>
    <row r="694" spans="1:19" x14ac:dyDescent="0.2">
      <c r="A694" s="11" t="s">
        <v>22239</v>
      </c>
      <c r="B694" s="9" t="s">
        <v>14759</v>
      </c>
      <c r="C694" s="9" t="s">
        <v>22240</v>
      </c>
      <c r="D694" s="9" t="s">
        <v>14759</v>
      </c>
      <c r="E694" s="9" t="s">
        <v>17740</v>
      </c>
      <c r="F694" s="9" t="s">
        <v>17741</v>
      </c>
      <c r="G694" s="9" t="s">
        <v>17740</v>
      </c>
      <c r="H694" s="11" t="s">
        <v>14761</v>
      </c>
      <c r="I694" s="11" t="s">
        <v>14760</v>
      </c>
      <c r="J694" s="11" t="s">
        <v>14760</v>
      </c>
      <c r="K694" s="9" t="s">
        <v>13972</v>
      </c>
      <c r="L694" s="9" t="s">
        <v>17744</v>
      </c>
      <c r="M694" s="9" t="s">
        <v>17817</v>
      </c>
      <c r="N694" s="9" t="s">
        <v>17746</v>
      </c>
      <c r="O694" s="9" t="s">
        <v>18088</v>
      </c>
      <c r="P694" s="9" t="s">
        <v>17748</v>
      </c>
      <c r="Q694" s="11" t="s">
        <v>17825</v>
      </c>
      <c r="R694" s="11" t="s">
        <v>17825</v>
      </c>
      <c r="S694" s="11" t="s">
        <v>17750</v>
      </c>
    </row>
    <row r="695" spans="1:19" x14ac:dyDescent="0.2">
      <c r="A695" s="11" t="s">
        <v>22241</v>
      </c>
      <c r="B695" s="9" t="s">
        <v>22242</v>
      </c>
      <c r="C695" s="9" t="s">
        <v>22243</v>
      </c>
      <c r="D695" s="9" t="s">
        <v>22242</v>
      </c>
      <c r="E695" s="9" t="s">
        <v>17740</v>
      </c>
      <c r="F695" s="9" t="s">
        <v>17741</v>
      </c>
      <c r="G695" s="9" t="s">
        <v>17740</v>
      </c>
      <c r="H695" s="11" t="s">
        <v>15903</v>
      </c>
      <c r="I695" s="11" t="s">
        <v>15902</v>
      </c>
      <c r="J695" s="11" t="s">
        <v>15902</v>
      </c>
      <c r="K695" s="9" t="s">
        <v>10332</v>
      </c>
      <c r="L695" s="9" t="s">
        <v>17759</v>
      </c>
      <c r="M695" s="9" t="s">
        <v>17741</v>
      </c>
      <c r="N695" s="9" t="s">
        <v>17746</v>
      </c>
      <c r="O695" s="9" t="s">
        <v>18125</v>
      </c>
      <c r="P695" s="9" t="s">
        <v>17748</v>
      </c>
      <c r="Q695" s="11" t="s">
        <v>17900</v>
      </c>
      <c r="R695" s="11" t="s">
        <v>17900</v>
      </c>
      <c r="S695" s="11" t="s">
        <v>17750</v>
      </c>
    </row>
    <row r="696" spans="1:19" x14ac:dyDescent="0.2">
      <c r="A696" s="11" t="s">
        <v>22244</v>
      </c>
      <c r="B696" s="9" t="s">
        <v>22245</v>
      </c>
      <c r="C696" s="9" t="s">
        <v>22246</v>
      </c>
      <c r="D696" s="9" t="s">
        <v>6224</v>
      </c>
      <c r="E696" s="9" t="s">
        <v>17748</v>
      </c>
      <c r="F696" s="9" t="s">
        <v>22247</v>
      </c>
      <c r="G696" s="9" t="s">
        <v>17740</v>
      </c>
      <c r="H696" s="11" t="s">
        <v>6226</v>
      </c>
      <c r="I696" s="11" t="s">
        <v>6225</v>
      </c>
      <c r="J696" s="11" t="s">
        <v>6225</v>
      </c>
      <c r="K696" s="9" t="s">
        <v>22248</v>
      </c>
      <c r="L696" s="9" t="s">
        <v>18169</v>
      </c>
      <c r="M696" s="9" t="s">
        <v>17992</v>
      </c>
      <c r="N696" s="9" t="s">
        <v>17746</v>
      </c>
      <c r="O696" s="9" t="s">
        <v>22249</v>
      </c>
      <c r="P696" s="9" t="s">
        <v>17748</v>
      </c>
      <c r="Q696" s="11" t="s">
        <v>17808</v>
      </c>
      <c r="R696" s="11" t="s">
        <v>17808</v>
      </c>
      <c r="S696" s="11" t="s">
        <v>17750</v>
      </c>
    </row>
    <row r="697" spans="1:19" x14ac:dyDescent="0.2">
      <c r="A697" s="11" t="s">
        <v>22250</v>
      </c>
      <c r="B697" s="9" t="s">
        <v>22251</v>
      </c>
      <c r="C697" s="9" t="s">
        <v>22252</v>
      </c>
      <c r="D697" s="9" t="s">
        <v>22253</v>
      </c>
      <c r="E697" s="9" t="s">
        <v>17740</v>
      </c>
      <c r="F697" s="9" t="s">
        <v>22254</v>
      </c>
      <c r="G697" s="9" t="s">
        <v>17740</v>
      </c>
      <c r="H697" s="11" t="s">
        <v>22255</v>
      </c>
      <c r="I697" s="11" t="s">
        <v>5930</v>
      </c>
      <c r="J697" s="11" t="s">
        <v>5930</v>
      </c>
      <c r="K697" s="9" t="s">
        <v>22256</v>
      </c>
      <c r="L697" s="9" t="s">
        <v>18079</v>
      </c>
      <c r="M697" s="9" t="s">
        <v>22257</v>
      </c>
      <c r="N697" s="9" t="s">
        <v>17746</v>
      </c>
      <c r="O697" s="9" t="s">
        <v>773</v>
      </c>
      <c r="P697" s="9" t="s">
        <v>17748</v>
      </c>
      <c r="Q697" s="11" t="s">
        <v>17792</v>
      </c>
      <c r="R697" s="11" t="s">
        <v>17792</v>
      </c>
      <c r="S697" s="11" t="s">
        <v>17750</v>
      </c>
    </row>
    <row r="698" spans="1:19" x14ac:dyDescent="0.2">
      <c r="A698" s="11" t="s">
        <v>22258</v>
      </c>
      <c r="B698" s="9" t="s">
        <v>22259</v>
      </c>
      <c r="C698" s="9" t="s">
        <v>22260</v>
      </c>
      <c r="D698" s="9" t="s">
        <v>22261</v>
      </c>
      <c r="E698" s="9" t="s">
        <v>17740</v>
      </c>
      <c r="F698" s="9" t="s">
        <v>22262</v>
      </c>
      <c r="G698" s="9" t="s">
        <v>17740</v>
      </c>
      <c r="H698" s="11" t="s">
        <v>717</v>
      </c>
      <c r="I698" s="11" t="s">
        <v>716</v>
      </c>
      <c r="J698" s="11" t="s">
        <v>716</v>
      </c>
      <c r="K698" s="9" t="s">
        <v>601</v>
      </c>
      <c r="L698" s="9" t="s">
        <v>17759</v>
      </c>
      <c r="M698" s="9" t="s">
        <v>22263</v>
      </c>
      <c r="N698" s="9" t="s">
        <v>17746</v>
      </c>
      <c r="O698" s="9" t="s">
        <v>17959</v>
      </c>
      <c r="P698" s="9" t="s">
        <v>17748</v>
      </c>
      <c r="Q698" s="11" t="s">
        <v>17943</v>
      </c>
      <c r="R698" s="11" t="s">
        <v>17943</v>
      </c>
      <c r="S698" s="11" t="s">
        <v>17750</v>
      </c>
    </row>
    <row r="699" spans="1:19" x14ac:dyDescent="0.2">
      <c r="A699" s="11" t="s">
        <v>22264</v>
      </c>
      <c r="B699" s="9" t="s">
        <v>22265</v>
      </c>
      <c r="C699" s="9" t="s">
        <v>22266</v>
      </c>
      <c r="D699" s="9" t="s">
        <v>22267</v>
      </c>
      <c r="E699" s="9" t="s">
        <v>17740</v>
      </c>
      <c r="F699" s="9" t="s">
        <v>17741</v>
      </c>
      <c r="G699" s="9" t="s">
        <v>17740</v>
      </c>
      <c r="H699" s="11" t="s">
        <v>786</v>
      </c>
      <c r="I699" s="11" t="s">
        <v>785</v>
      </c>
      <c r="J699" s="11" t="s">
        <v>785</v>
      </c>
      <c r="K699" s="9" t="s">
        <v>18832</v>
      </c>
      <c r="L699" s="9" t="s">
        <v>17759</v>
      </c>
      <c r="M699" s="9" t="s">
        <v>18289</v>
      </c>
      <c r="N699" s="9" t="s">
        <v>17746</v>
      </c>
      <c r="O699" s="9" t="s">
        <v>22268</v>
      </c>
      <c r="P699" s="9" t="s">
        <v>17748</v>
      </c>
      <c r="Q699" s="11" t="s">
        <v>18813</v>
      </c>
      <c r="R699" s="11" t="s">
        <v>18813</v>
      </c>
      <c r="S699" s="11" t="s">
        <v>17750</v>
      </c>
    </row>
    <row r="700" spans="1:19" x14ac:dyDescent="0.2">
      <c r="A700" s="11" t="s">
        <v>22269</v>
      </c>
      <c r="B700" s="9" t="s">
        <v>22270</v>
      </c>
      <c r="C700" s="9" t="s">
        <v>22271</v>
      </c>
      <c r="D700" s="9" t="s">
        <v>22272</v>
      </c>
      <c r="E700" s="9" t="s">
        <v>17740</v>
      </c>
      <c r="F700" s="9" t="s">
        <v>17741</v>
      </c>
      <c r="G700" s="9" t="s">
        <v>17740</v>
      </c>
      <c r="H700" s="11" t="s">
        <v>789</v>
      </c>
      <c r="I700" s="11" t="s">
        <v>788</v>
      </c>
      <c r="J700" s="11" t="s">
        <v>788</v>
      </c>
      <c r="K700" s="9" t="s">
        <v>22273</v>
      </c>
      <c r="L700" s="9" t="s">
        <v>17744</v>
      </c>
      <c r="M700" s="9" t="s">
        <v>22274</v>
      </c>
      <c r="N700" s="9" t="s">
        <v>17746</v>
      </c>
      <c r="O700" s="9" t="s">
        <v>773</v>
      </c>
      <c r="P700" s="9" t="s">
        <v>17748</v>
      </c>
      <c r="Q700" s="11" t="s">
        <v>22275</v>
      </c>
      <c r="R700" s="11" t="s">
        <v>22275</v>
      </c>
      <c r="S700" s="11" t="s">
        <v>17750</v>
      </c>
    </row>
    <row r="701" spans="1:19" x14ac:dyDescent="0.2">
      <c r="A701" s="11" t="s">
        <v>22276</v>
      </c>
      <c r="B701" s="9" t="s">
        <v>22277</v>
      </c>
      <c r="C701" s="9" t="s">
        <v>22278</v>
      </c>
      <c r="D701" s="9" t="s">
        <v>22279</v>
      </c>
      <c r="E701" s="9" t="s">
        <v>17740</v>
      </c>
      <c r="F701" s="9" t="s">
        <v>17741</v>
      </c>
      <c r="G701" s="9" t="s">
        <v>17740</v>
      </c>
      <c r="H701" s="11" t="s">
        <v>737</v>
      </c>
      <c r="I701" s="11" t="s">
        <v>736</v>
      </c>
      <c r="J701" s="11" t="s">
        <v>736</v>
      </c>
      <c r="K701" s="9" t="s">
        <v>18661</v>
      </c>
      <c r="L701" s="9" t="s">
        <v>17744</v>
      </c>
      <c r="M701" s="9" t="s">
        <v>22280</v>
      </c>
      <c r="N701" s="9" t="s">
        <v>17746</v>
      </c>
      <c r="O701" s="9" t="s">
        <v>22281</v>
      </c>
      <c r="P701" s="9" t="s">
        <v>17748</v>
      </c>
      <c r="Q701" s="11" t="s">
        <v>18805</v>
      </c>
      <c r="R701" s="11" t="s">
        <v>18805</v>
      </c>
      <c r="S701" s="11" t="s">
        <v>17750</v>
      </c>
    </row>
    <row r="702" spans="1:19" x14ac:dyDescent="0.2">
      <c r="A702" s="11" t="s">
        <v>22282</v>
      </c>
      <c r="B702" s="9" t="s">
        <v>22283</v>
      </c>
      <c r="C702" s="9" t="s">
        <v>22284</v>
      </c>
      <c r="D702" s="9" t="s">
        <v>22285</v>
      </c>
      <c r="E702" s="9" t="s">
        <v>17740</v>
      </c>
      <c r="F702" s="9" t="s">
        <v>17741</v>
      </c>
      <c r="G702" s="9" t="s">
        <v>17740</v>
      </c>
      <c r="H702" s="11" t="s">
        <v>22286</v>
      </c>
      <c r="I702" s="11" t="s">
        <v>22287</v>
      </c>
      <c r="J702" s="11" t="s">
        <v>22287</v>
      </c>
      <c r="K702" s="9" t="s">
        <v>21731</v>
      </c>
      <c r="L702" s="9" t="s">
        <v>17744</v>
      </c>
      <c r="M702" s="9" t="s">
        <v>17942</v>
      </c>
      <c r="N702" s="9" t="s">
        <v>17746</v>
      </c>
      <c r="O702" s="9" t="s">
        <v>773</v>
      </c>
      <c r="P702" s="9" t="s">
        <v>17748</v>
      </c>
      <c r="Q702" s="11" t="s">
        <v>18178</v>
      </c>
      <c r="R702" s="11" t="s">
        <v>18178</v>
      </c>
      <c r="S702" s="11" t="s">
        <v>17750</v>
      </c>
    </row>
    <row r="703" spans="1:19" x14ac:dyDescent="0.2">
      <c r="A703" s="11" t="s">
        <v>22288</v>
      </c>
      <c r="B703" s="9" t="s">
        <v>22289</v>
      </c>
      <c r="C703" s="9" t="s">
        <v>22290</v>
      </c>
      <c r="D703" s="9" t="s">
        <v>22291</v>
      </c>
      <c r="E703" s="9" t="s">
        <v>17740</v>
      </c>
      <c r="F703" s="9" t="s">
        <v>17741</v>
      </c>
      <c r="G703" s="9" t="s">
        <v>17740</v>
      </c>
      <c r="H703" s="11" t="s">
        <v>743</v>
      </c>
      <c r="I703" s="11" t="s">
        <v>742</v>
      </c>
      <c r="J703" s="11" t="s">
        <v>742</v>
      </c>
      <c r="K703" s="9" t="s">
        <v>22292</v>
      </c>
      <c r="L703" s="9" t="s">
        <v>17744</v>
      </c>
      <c r="M703" s="9" t="s">
        <v>17760</v>
      </c>
      <c r="N703" s="9" t="s">
        <v>17746</v>
      </c>
      <c r="O703" s="9" t="s">
        <v>773</v>
      </c>
      <c r="P703" s="9" t="s">
        <v>17748</v>
      </c>
      <c r="Q703" s="11" t="s">
        <v>18243</v>
      </c>
      <c r="R703" s="11" t="s">
        <v>18243</v>
      </c>
      <c r="S703" s="11" t="s">
        <v>17750</v>
      </c>
    </row>
    <row r="704" spans="1:19" x14ac:dyDescent="0.2">
      <c r="A704" s="11" t="s">
        <v>22293</v>
      </c>
      <c r="B704" s="9" t="s">
        <v>773</v>
      </c>
      <c r="C704" s="9" t="s">
        <v>22294</v>
      </c>
      <c r="D704" s="9" t="s">
        <v>773</v>
      </c>
      <c r="E704" s="9" t="s">
        <v>17740</v>
      </c>
      <c r="F704" s="9" t="s">
        <v>17741</v>
      </c>
      <c r="G704" s="9" t="s">
        <v>17740</v>
      </c>
      <c r="H704" s="11" t="s">
        <v>775</v>
      </c>
      <c r="I704" s="11" t="s">
        <v>774</v>
      </c>
      <c r="J704" s="11" t="s">
        <v>774</v>
      </c>
      <c r="K704" s="9" t="s">
        <v>17881</v>
      </c>
      <c r="L704" s="9" t="s">
        <v>17759</v>
      </c>
      <c r="M704" s="9" t="s">
        <v>22295</v>
      </c>
      <c r="N704" s="9" t="s">
        <v>17746</v>
      </c>
      <c r="O704" s="9" t="s">
        <v>773</v>
      </c>
      <c r="P704" s="9" t="s">
        <v>17748</v>
      </c>
      <c r="Q704" s="11" t="s">
        <v>18314</v>
      </c>
      <c r="R704" s="11" t="s">
        <v>18314</v>
      </c>
      <c r="S704" s="11" t="s">
        <v>17750</v>
      </c>
    </row>
    <row r="705" spans="1:19" x14ac:dyDescent="0.2">
      <c r="A705" s="11" t="s">
        <v>22296</v>
      </c>
      <c r="B705" s="9" t="s">
        <v>22297</v>
      </c>
      <c r="C705" s="9" t="s">
        <v>22298</v>
      </c>
      <c r="D705" s="9" t="s">
        <v>22299</v>
      </c>
      <c r="E705" s="9" t="s">
        <v>17740</v>
      </c>
      <c r="F705" s="9" t="s">
        <v>22300</v>
      </c>
      <c r="G705" s="9" t="s">
        <v>17740</v>
      </c>
      <c r="H705" s="11" t="s">
        <v>728</v>
      </c>
      <c r="I705" s="11" t="s">
        <v>727</v>
      </c>
      <c r="J705" s="11" t="s">
        <v>727</v>
      </c>
      <c r="K705" s="9" t="s">
        <v>21138</v>
      </c>
      <c r="L705" s="9" t="s">
        <v>18959</v>
      </c>
      <c r="M705" s="9" t="s">
        <v>22301</v>
      </c>
      <c r="N705" s="9" t="s">
        <v>17746</v>
      </c>
      <c r="O705" s="9" t="s">
        <v>22302</v>
      </c>
      <c r="P705" s="9" t="s">
        <v>17748</v>
      </c>
      <c r="Q705" s="11" t="s">
        <v>18059</v>
      </c>
      <c r="R705" s="11" t="s">
        <v>18059</v>
      </c>
      <c r="S705" s="11" t="s">
        <v>17750</v>
      </c>
    </row>
    <row r="706" spans="1:19" x14ac:dyDescent="0.2">
      <c r="A706" s="11" t="s">
        <v>22303</v>
      </c>
      <c r="B706" s="9" t="s">
        <v>22304</v>
      </c>
      <c r="C706" s="9" t="s">
        <v>22305</v>
      </c>
      <c r="D706" s="9" t="s">
        <v>22306</v>
      </c>
      <c r="E706" s="9" t="s">
        <v>17740</v>
      </c>
      <c r="F706" s="9" t="s">
        <v>22307</v>
      </c>
      <c r="G706" s="9" t="s">
        <v>17740</v>
      </c>
      <c r="H706" s="11" t="s">
        <v>22308</v>
      </c>
      <c r="I706" s="11" t="s">
        <v>22309</v>
      </c>
      <c r="J706" s="11" t="s">
        <v>22309</v>
      </c>
      <c r="K706" s="9" t="s">
        <v>22310</v>
      </c>
      <c r="L706" s="9" t="s">
        <v>17759</v>
      </c>
      <c r="M706" s="9" t="s">
        <v>18065</v>
      </c>
      <c r="N706" s="9" t="s">
        <v>17746</v>
      </c>
      <c r="O706" s="9" t="s">
        <v>22311</v>
      </c>
      <c r="P706" s="9" t="s">
        <v>17748</v>
      </c>
      <c r="Q706" s="11" t="s">
        <v>17784</v>
      </c>
      <c r="R706" s="11" t="s">
        <v>17784</v>
      </c>
      <c r="S706" s="11" t="s">
        <v>17750</v>
      </c>
    </row>
    <row r="707" spans="1:19" x14ac:dyDescent="0.2">
      <c r="A707" s="11" t="s">
        <v>22312</v>
      </c>
      <c r="B707" s="9" t="s">
        <v>22313</v>
      </c>
      <c r="C707" s="9" t="s">
        <v>22314</v>
      </c>
      <c r="D707" s="9" t="s">
        <v>22315</v>
      </c>
      <c r="E707" s="9" t="s">
        <v>17740</v>
      </c>
      <c r="F707" s="9" t="s">
        <v>17741</v>
      </c>
      <c r="G707" s="9" t="s">
        <v>17740</v>
      </c>
      <c r="H707" s="11" t="s">
        <v>22316</v>
      </c>
      <c r="I707" s="11" t="s">
        <v>22317</v>
      </c>
      <c r="J707" s="11" t="s">
        <v>22317</v>
      </c>
      <c r="K707" s="9" t="s">
        <v>22318</v>
      </c>
      <c r="L707" s="9" t="s">
        <v>17759</v>
      </c>
      <c r="M707" s="9" t="s">
        <v>17741</v>
      </c>
      <c r="N707" s="9" t="s">
        <v>17746</v>
      </c>
      <c r="O707" s="9" t="s">
        <v>773</v>
      </c>
      <c r="P707" s="9" t="s">
        <v>17748</v>
      </c>
      <c r="Q707" s="11" t="s">
        <v>18234</v>
      </c>
      <c r="R707" s="11" t="s">
        <v>18234</v>
      </c>
      <c r="S707" s="11" t="s">
        <v>17750</v>
      </c>
    </row>
    <row r="708" spans="1:19" x14ac:dyDescent="0.2">
      <c r="A708" s="11" t="s">
        <v>22319</v>
      </c>
      <c r="B708" s="9" t="s">
        <v>22320</v>
      </c>
      <c r="C708" s="9" t="s">
        <v>22321</v>
      </c>
      <c r="D708" s="9" t="s">
        <v>22322</v>
      </c>
      <c r="E708" s="9" t="s">
        <v>17740</v>
      </c>
      <c r="F708" s="9" t="s">
        <v>17741</v>
      </c>
      <c r="G708" s="9" t="s">
        <v>17740</v>
      </c>
      <c r="H708" s="11" t="s">
        <v>17741</v>
      </c>
      <c r="I708" s="11" t="s">
        <v>22323</v>
      </c>
      <c r="J708" s="11" t="s">
        <v>22323</v>
      </c>
      <c r="K708" s="9" t="s">
        <v>22324</v>
      </c>
      <c r="L708" s="9" t="s">
        <v>18001</v>
      </c>
      <c r="M708" s="9" t="s">
        <v>22325</v>
      </c>
      <c r="N708" s="9" t="s">
        <v>17746</v>
      </c>
      <c r="O708" s="9" t="s">
        <v>17959</v>
      </c>
      <c r="P708" s="9" t="s">
        <v>17748</v>
      </c>
      <c r="Q708" s="11" t="s">
        <v>18847</v>
      </c>
      <c r="R708" s="11" t="s">
        <v>18847</v>
      </c>
      <c r="S708" s="11" t="s">
        <v>17750</v>
      </c>
    </row>
    <row r="709" spans="1:19" x14ac:dyDescent="0.2">
      <c r="A709" s="11" t="s">
        <v>22326</v>
      </c>
      <c r="B709" s="9" t="s">
        <v>781</v>
      </c>
      <c r="C709" s="9" t="s">
        <v>22327</v>
      </c>
      <c r="D709" s="9" t="s">
        <v>781</v>
      </c>
      <c r="E709" s="9" t="s">
        <v>17740</v>
      </c>
      <c r="F709" s="9" t="s">
        <v>22328</v>
      </c>
      <c r="G709" s="9" t="s">
        <v>17740</v>
      </c>
      <c r="H709" s="11" t="s">
        <v>22329</v>
      </c>
      <c r="I709" s="11" t="s">
        <v>782</v>
      </c>
      <c r="J709" s="11" t="s">
        <v>782</v>
      </c>
      <c r="K709" s="9" t="s">
        <v>22330</v>
      </c>
      <c r="L709" s="9" t="s">
        <v>20359</v>
      </c>
      <c r="M709" s="9" t="s">
        <v>18289</v>
      </c>
      <c r="N709" s="9" t="s">
        <v>17746</v>
      </c>
      <c r="O709" s="9" t="s">
        <v>773</v>
      </c>
      <c r="P709" s="9" t="s">
        <v>17748</v>
      </c>
      <c r="Q709" s="11" t="s">
        <v>19899</v>
      </c>
      <c r="R709" s="11" t="s">
        <v>19899</v>
      </c>
      <c r="S709" s="11" t="s">
        <v>17750</v>
      </c>
    </row>
    <row r="710" spans="1:19" x14ac:dyDescent="0.2">
      <c r="A710" s="11" t="s">
        <v>22331</v>
      </c>
      <c r="B710" s="9" t="s">
        <v>22332</v>
      </c>
      <c r="C710" s="9" t="s">
        <v>22333</v>
      </c>
      <c r="D710" s="9" t="s">
        <v>22334</v>
      </c>
      <c r="E710" s="9" t="s">
        <v>17740</v>
      </c>
      <c r="F710" s="9" t="s">
        <v>17741</v>
      </c>
      <c r="G710" s="9" t="s">
        <v>17740</v>
      </c>
      <c r="H710" s="11" t="s">
        <v>6931</v>
      </c>
      <c r="I710" s="11" t="s">
        <v>6930</v>
      </c>
      <c r="J710" s="11" t="s">
        <v>6930</v>
      </c>
      <c r="K710" s="9" t="s">
        <v>776</v>
      </c>
      <c r="L710" s="9" t="s">
        <v>17759</v>
      </c>
      <c r="M710" s="9" t="s">
        <v>22335</v>
      </c>
      <c r="N710" s="9" t="s">
        <v>17746</v>
      </c>
      <c r="O710" s="9" t="s">
        <v>773</v>
      </c>
      <c r="P710" s="9" t="s">
        <v>17748</v>
      </c>
      <c r="Q710" s="11" t="s">
        <v>17749</v>
      </c>
      <c r="R710" s="11" t="s">
        <v>17749</v>
      </c>
      <c r="S710" s="11" t="s">
        <v>17750</v>
      </c>
    </row>
    <row r="711" spans="1:19" x14ac:dyDescent="0.2">
      <c r="A711" s="11" t="s">
        <v>22336</v>
      </c>
      <c r="B711" s="9" t="s">
        <v>22337</v>
      </c>
      <c r="C711" s="9" t="s">
        <v>22338</v>
      </c>
      <c r="D711" s="9" t="s">
        <v>22339</v>
      </c>
      <c r="E711" s="9" t="s">
        <v>17740</v>
      </c>
      <c r="F711" s="9" t="s">
        <v>17741</v>
      </c>
      <c r="G711" s="9" t="s">
        <v>17740</v>
      </c>
      <c r="H711" s="11" t="s">
        <v>7943</v>
      </c>
      <c r="I711" s="11" t="s">
        <v>7942</v>
      </c>
      <c r="J711" s="11" t="s">
        <v>7942</v>
      </c>
      <c r="K711" s="9" t="s">
        <v>22340</v>
      </c>
      <c r="L711" s="9" t="s">
        <v>18242</v>
      </c>
      <c r="M711" s="9" t="s">
        <v>22341</v>
      </c>
      <c r="N711" s="9" t="s">
        <v>17746</v>
      </c>
      <c r="O711" s="9" t="s">
        <v>18746</v>
      </c>
      <c r="P711" s="9" t="s">
        <v>17748</v>
      </c>
      <c r="Q711" s="11" t="s">
        <v>18201</v>
      </c>
      <c r="R711" s="11" t="s">
        <v>18201</v>
      </c>
      <c r="S711" s="11" t="s">
        <v>17750</v>
      </c>
    </row>
    <row r="712" spans="1:19" x14ac:dyDescent="0.2">
      <c r="A712" s="11" t="s">
        <v>22342</v>
      </c>
      <c r="B712" s="9" t="s">
        <v>22343</v>
      </c>
      <c r="C712" s="9" t="s">
        <v>22344</v>
      </c>
      <c r="D712" s="9" t="s">
        <v>22343</v>
      </c>
      <c r="E712" s="9" t="s">
        <v>17740</v>
      </c>
      <c r="F712" s="9" t="s">
        <v>17741</v>
      </c>
      <c r="G712" s="9" t="s">
        <v>17740</v>
      </c>
      <c r="H712" s="11" t="s">
        <v>22345</v>
      </c>
      <c r="I712" s="11" t="s">
        <v>22346</v>
      </c>
      <c r="J712" s="11" t="s">
        <v>22346</v>
      </c>
      <c r="K712" s="9" t="s">
        <v>18876</v>
      </c>
      <c r="L712" s="9" t="s">
        <v>18001</v>
      </c>
      <c r="M712" s="9" t="s">
        <v>20580</v>
      </c>
      <c r="N712" s="9" t="s">
        <v>17746</v>
      </c>
      <c r="O712" s="9" t="s">
        <v>22347</v>
      </c>
      <c r="P712" s="9" t="s">
        <v>17748</v>
      </c>
      <c r="Q712" s="11" t="s">
        <v>17749</v>
      </c>
      <c r="R712" s="11" t="s">
        <v>17749</v>
      </c>
      <c r="S712" s="11" t="s">
        <v>17750</v>
      </c>
    </row>
    <row r="713" spans="1:19" x14ac:dyDescent="0.2">
      <c r="A713" s="11" t="s">
        <v>22348</v>
      </c>
      <c r="B713" s="9" t="s">
        <v>22349</v>
      </c>
      <c r="C713" s="9" t="s">
        <v>22350</v>
      </c>
      <c r="D713" s="9" t="s">
        <v>22351</v>
      </c>
      <c r="E713" s="9" t="s">
        <v>17748</v>
      </c>
      <c r="F713" s="9" t="s">
        <v>22352</v>
      </c>
      <c r="G713" s="9" t="s">
        <v>17740</v>
      </c>
      <c r="H713" s="11" t="s">
        <v>22353</v>
      </c>
      <c r="I713" s="11" t="s">
        <v>22354</v>
      </c>
      <c r="J713" s="11" t="s">
        <v>22354</v>
      </c>
      <c r="K713" s="9" t="s">
        <v>689</v>
      </c>
      <c r="L713" s="9" t="s">
        <v>17759</v>
      </c>
      <c r="M713" s="9" t="s">
        <v>18211</v>
      </c>
      <c r="N713" s="9" t="s">
        <v>17746</v>
      </c>
      <c r="O713" s="9" t="s">
        <v>22355</v>
      </c>
      <c r="P713" s="9" t="s">
        <v>17748</v>
      </c>
      <c r="Q713" s="11" t="s">
        <v>18370</v>
      </c>
      <c r="R713" s="11" t="s">
        <v>18370</v>
      </c>
      <c r="S713" s="11" t="s">
        <v>17750</v>
      </c>
    </row>
    <row r="714" spans="1:19" x14ac:dyDescent="0.2">
      <c r="A714" s="11" t="s">
        <v>22356</v>
      </c>
      <c r="B714" s="9" t="s">
        <v>22357</v>
      </c>
      <c r="C714" s="9" t="s">
        <v>22358</v>
      </c>
      <c r="D714" s="9" t="s">
        <v>7292</v>
      </c>
      <c r="E714" s="9" t="s">
        <v>17740</v>
      </c>
      <c r="F714" s="9" t="s">
        <v>22359</v>
      </c>
      <c r="G714" s="9" t="s">
        <v>17740</v>
      </c>
      <c r="H714" s="11" t="s">
        <v>17741</v>
      </c>
      <c r="I714" s="11" t="s">
        <v>7293</v>
      </c>
      <c r="J714" s="11" t="s">
        <v>7293</v>
      </c>
      <c r="K714" s="9" t="s">
        <v>19482</v>
      </c>
      <c r="L714" s="9" t="s">
        <v>19483</v>
      </c>
      <c r="M714" s="9" t="s">
        <v>22360</v>
      </c>
      <c r="N714" s="9" t="s">
        <v>17746</v>
      </c>
      <c r="O714" s="9" t="s">
        <v>22361</v>
      </c>
      <c r="P714" s="9" t="s">
        <v>17748</v>
      </c>
      <c r="Q714" s="11" t="s">
        <v>18272</v>
      </c>
      <c r="R714" s="11" t="s">
        <v>18272</v>
      </c>
      <c r="S714" s="11" t="s">
        <v>17750</v>
      </c>
    </row>
    <row r="715" spans="1:19" x14ac:dyDescent="0.2">
      <c r="A715" s="11" t="s">
        <v>22362</v>
      </c>
      <c r="B715" s="9" t="s">
        <v>22363</v>
      </c>
      <c r="C715" s="9" t="s">
        <v>22364</v>
      </c>
      <c r="D715" s="9" t="s">
        <v>8814</v>
      </c>
      <c r="E715" s="9" t="s">
        <v>17748</v>
      </c>
      <c r="F715" s="9" t="s">
        <v>22365</v>
      </c>
      <c r="G715" s="9" t="s">
        <v>17740</v>
      </c>
      <c r="H715" s="11" t="s">
        <v>8816</v>
      </c>
      <c r="I715" s="11" t="s">
        <v>8815</v>
      </c>
      <c r="J715" s="11" t="s">
        <v>8815</v>
      </c>
      <c r="K715" s="9" t="s">
        <v>91</v>
      </c>
      <c r="L715" s="9" t="s">
        <v>18001</v>
      </c>
      <c r="M715" s="9" t="s">
        <v>18065</v>
      </c>
      <c r="N715" s="9" t="s">
        <v>17746</v>
      </c>
      <c r="O715" s="9" t="s">
        <v>773</v>
      </c>
      <c r="P715" s="9" t="s">
        <v>17748</v>
      </c>
      <c r="Q715" s="11" t="s">
        <v>17784</v>
      </c>
      <c r="R715" s="11" t="s">
        <v>17784</v>
      </c>
      <c r="S715" s="11" t="s">
        <v>17750</v>
      </c>
    </row>
    <row r="716" spans="1:19" x14ac:dyDescent="0.2">
      <c r="A716" s="11" t="s">
        <v>22366</v>
      </c>
      <c r="B716" s="9" t="s">
        <v>22367</v>
      </c>
      <c r="C716" s="9" t="s">
        <v>22368</v>
      </c>
      <c r="D716" s="9" t="s">
        <v>22367</v>
      </c>
      <c r="E716" s="9" t="s">
        <v>17740</v>
      </c>
      <c r="F716" s="9" t="s">
        <v>17741</v>
      </c>
      <c r="G716" s="9" t="s">
        <v>17740</v>
      </c>
      <c r="H716" s="11" t="s">
        <v>22369</v>
      </c>
      <c r="I716" s="11" t="s">
        <v>22370</v>
      </c>
      <c r="J716" s="11" t="s">
        <v>22370</v>
      </c>
      <c r="K716" s="9" t="s">
        <v>19094</v>
      </c>
      <c r="L716" s="9" t="s">
        <v>17759</v>
      </c>
      <c r="M716" s="9" t="s">
        <v>22371</v>
      </c>
      <c r="N716" s="9" t="s">
        <v>17746</v>
      </c>
      <c r="O716" s="9" t="s">
        <v>20799</v>
      </c>
      <c r="P716" s="9" t="s">
        <v>17748</v>
      </c>
      <c r="Q716" s="11" t="s">
        <v>19222</v>
      </c>
      <c r="R716" s="11" t="s">
        <v>19222</v>
      </c>
      <c r="S716" s="11" t="s">
        <v>17750</v>
      </c>
    </row>
    <row r="717" spans="1:19" x14ac:dyDescent="0.2">
      <c r="A717" s="11" t="s">
        <v>22372</v>
      </c>
      <c r="B717" s="9" t="s">
        <v>14582</v>
      </c>
      <c r="C717" s="9" t="s">
        <v>22373</v>
      </c>
      <c r="D717" s="9" t="s">
        <v>14582</v>
      </c>
      <c r="E717" s="9" t="s">
        <v>17748</v>
      </c>
      <c r="F717" s="9" t="s">
        <v>22374</v>
      </c>
      <c r="G717" s="9" t="s">
        <v>17740</v>
      </c>
      <c r="H717" s="11" t="s">
        <v>22375</v>
      </c>
      <c r="I717" s="11" t="s">
        <v>22376</v>
      </c>
      <c r="J717" s="11" t="s">
        <v>17741</v>
      </c>
      <c r="K717" s="9" t="s">
        <v>10332</v>
      </c>
      <c r="L717" s="9" t="s">
        <v>17759</v>
      </c>
      <c r="M717" s="9" t="s">
        <v>17769</v>
      </c>
      <c r="N717" s="9" t="s">
        <v>17746</v>
      </c>
      <c r="O717" s="9" t="s">
        <v>22377</v>
      </c>
      <c r="P717" s="9" t="s">
        <v>17748</v>
      </c>
      <c r="Q717" s="11" t="s">
        <v>17923</v>
      </c>
      <c r="R717" s="11" t="s">
        <v>17923</v>
      </c>
      <c r="S717" s="11" t="s">
        <v>17750</v>
      </c>
    </row>
    <row r="718" spans="1:19" x14ac:dyDescent="0.2">
      <c r="A718" s="11" t="s">
        <v>22378</v>
      </c>
      <c r="B718" s="9" t="s">
        <v>22379</v>
      </c>
      <c r="C718" s="9" t="s">
        <v>22380</v>
      </c>
      <c r="D718" s="9" t="s">
        <v>22381</v>
      </c>
      <c r="E718" s="9" t="s">
        <v>17740</v>
      </c>
      <c r="F718" s="9" t="s">
        <v>17741</v>
      </c>
      <c r="G718" s="9" t="s">
        <v>17740</v>
      </c>
      <c r="H718" s="11" t="s">
        <v>5842</v>
      </c>
      <c r="I718" s="11" t="s">
        <v>5841</v>
      </c>
      <c r="J718" s="11" t="s">
        <v>5841</v>
      </c>
      <c r="K718" s="9" t="s">
        <v>17805</v>
      </c>
      <c r="L718" s="9" t="s">
        <v>17759</v>
      </c>
      <c r="M718" s="9" t="s">
        <v>18289</v>
      </c>
      <c r="N718" s="9" t="s">
        <v>17746</v>
      </c>
      <c r="O718" s="9" t="s">
        <v>22382</v>
      </c>
      <c r="P718" s="9" t="s">
        <v>17748</v>
      </c>
      <c r="Q718" s="11" t="s">
        <v>18341</v>
      </c>
      <c r="R718" s="11" t="s">
        <v>18341</v>
      </c>
      <c r="S718" s="11" t="s">
        <v>17750</v>
      </c>
    </row>
    <row r="719" spans="1:19" x14ac:dyDescent="0.2">
      <c r="A719" s="11" t="s">
        <v>22383</v>
      </c>
      <c r="B719" s="9" t="s">
        <v>22384</v>
      </c>
      <c r="C719" s="9" t="s">
        <v>22385</v>
      </c>
      <c r="D719" s="9" t="s">
        <v>22384</v>
      </c>
      <c r="E719" s="9" t="s">
        <v>17740</v>
      </c>
      <c r="F719" s="9" t="s">
        <v>17741</v>
      </c>
      <c r="G719" s="9" t="s">
        <v>17740</v>
      </c>
      <c r="H719" s="11" t="s">
        <v>22386</v>
      </c>
      <c r="I719" s="11" t="s">
        <v>22387</v>
      </c>
      <c r="J719" s="11" t="s">
        <v>22387</v>
      </c>
      <c r="K719" s="9" t="s">
        <v>970</v>
      </c>
      <c r="L719" s="9" t="s">
        <v>17744</v>
      </c>
      <c r="M719" s="9" t="s">
        <v>22388</v>
      </c>
      <c r="N719" s="9" t="s">
        <v>17746</v>
      </c>
      <c r="O719" s="9" t="s">
        <v>17874</v>
      </c>
      <c r="P719" s="9" t="s">
        <v>17748</v>
      </c>
      <c r="Q719" s="11" t="s">
        <v>18364</v>
      </c>
      <c r="R719" s="11" t="s">
        <v>18364</v>
      </c>
      <c r="S719" s="11" t="s">
        <v>17750</v>
      </c>
    </row>
    <row r="720" spans="1:19" x14ac:dyDescent="0.2">
      <c r="A720" s="11" t="s">
        <v>22389</v>
      </c>
      <c r="B720" s="9" t="s">
        <v>22390</v>
      </c>
      <c r="C720" s="9" t="s">
        <v>22391</v>
      </c>
      <c r="D720" s="9" t="s">
        <v>22390</v>
      </c>
      <c r="E720" s="9" t="s">
        <v>17740</v>
      </c>
      <c r="F720" s="9" t="s">
        <v>17741</v>
      </c>
      <c r="G720" s="9" t="s">
        <v>17740</v>
      </c>
      <c r="H720" s="11" t="s">
        <v>22392</v>
      </c>
      <c r="I720" s="11" t="s">
        <v>22393</v>
      </c>
      <c r="J720" s="11" t="s">
        <v>22393</v>
      </c>
      <c r="K720" s="9" t="s">
        <v>22394</v>
      </c>
      <c r="L720" s="9" t="s">
        <v>17744</v>
      </c>
      <c r="M720" s="9" t="s">
        <v>17760</v>
      </c>
      <c r="N720" s="9" t="s">
        <v>17746</v>
      </c>
      <c r="O720" s="9" t="s">
        <v>22395</v>
      </c>
      <c r="P720" s="9" t="s">
        <v>17748</v>
      </c>
      <c r="Q720" s="11" t="s">
        <v>17825</v>
      </c>
      <c r="R720" s="11" t="s">
        <v>17825</v>
      </c>
      <c r="S720" s="11" t="s">
        <v>17750</v>
      </c>
    </row>
    <row r="721" spans="1:19" x14ac:dyDescent="0.2">
      <c r="A721" s="11" t="s">
        <v>22396</v>
      </c>
      <c r="B721" s="9" t="s">
        <v>22397</v>
      </c>
      <c r="C721" s="9" t="s">
        <v>22398</v>
      </c>
      <c r="D721" s="9" t="s">
        <v>22399</v>
      </c>
      <c r="E721" s="9" t="s">
        <v>17740</v>
      </c>
      <c r="F721" s="9" t="s">
        <v>17741</v>
      </c>
      <c r="G721" s="9" t="s">
        <v>17740</v>
      </c>
      <c r="H721" s="11" t="s">
        <v>4606</v>
      </c>
      <c r="I721" s="11" t="s">
        <v>4605</v>
      </c>
      <c r="J721" s="11" t="s">
        <v>4605</v>
      </c>
      <c r="K721" s="9" t="s">
        <v>22400</v>
      </c>
      <c r="L721" s="9" t="s">
        <v>18001</v>
      </c>
      <c r="M721" s="9" t="s">
        <v>18533</v>
      </c>
      <c r="N721" s="9" t="s">
        <v>17746</v>
      </c>
      <c r="O721" s="9" t="s">
        <v>773</v>
      </c>
      <c r="P721" s="9" t="s">
        <v>17748</v>
      </c>
      <c r="Q721" s="11" t="s">
        <v>18678</v>
      </c>
      <c r="R721" s="11" t="s">
        <v>18678</v>
      </c>
      <c r="S721" s="11" t="s">
        <v>17750</v>
      </c>
    </row>
    <row r="722" spans="1:19" x14ac:dyDescent="0.2">
      <c r="A722" s="11" t="s">
        <v>22401</v>
      </c>
      <c r="B722" s="9" t="s">
        <v>22402</v>
      </c>
      <c r="C722" s="9" t="s">
        <v>22403</v>
      </c>
      <c r="D722" s="9" t="s">
        <v>22402</v>
      </c>
      <c r="E722" s="9" t="s">
        <v>17740</v>
      </c>
      <c r="F722" s="9" t="s">
        <v>17741</v>
      </c>
      <c r="G722" s="9" t="s">
        <v>17740</v>
      </c>
      <c r="H722" s="11" t="s">
        <v>17741</v>
      </c>
      <c r="I722" s="11" t="s">
        <v>22404</v>
      </c>
      <c r="J722" s="11" t="s">
        <v>22404</v>
      </c>
      <c r="K722" s="9" t="s">
        <v>22405</v>
      </c>
      <c r="L722" s="9" t="s">
        <v>18854</v>
      </c>
      <c r="M722" s="9" t="s">
        <v>17769</v>
      </c>
      <c r="N722" s="9" t="s">
        <v>20237</v>
      </c>
      <c r="O722" s="9" t="s">
        <v>20799</v>
      </c>
      <c r="P722" s="9" t="s">
        <v>17748</v>
      </c>
      <c r="Q722" s="11" t="s">
        <v>18234</v>
      </c>
      <c r="R722" s="11" t="s">
        <v>18234</v>
      </c>
      <c r="S722" s="11" t="s">
        <v>17750</v>
      </c>
    </row>
    <row r="723" spans="1:19" x14ac:dyDescent="0.2">
      <c r="A723" s="11" t="s">
        <v>22406</v>
      </c>
      <c r="B723" s="9" t="s">
        <v>22407</v>
      </c>
      <c r="C723" s="9" t="s">
        <v>22408</v>
      </c>
      <c r="D723" s="9" t="s">
        <v>22407</v>
      </c>
      <c r="E723" s="9" t="s">
        <v>17740</v>
      </c>
      <c r="F723" s="9" t="s">
        <v>17741</v>
      </c>
      <c r="G723" s="9" t="s">
        <v>17740</v>
      </c>
      <c r="H723" s="11" t="s">
        <v>22409</v>
      </c>
      <c r="I723" s="11" t="s">
        <v>22410</v>
      </c>
      <c r="J723" s="11" t="s">
        <v>22410</v>
      </c>
      <c r="K723" s="9" t="s">
        <v>291</v>
      </c>
      <c r="L723" s="9" t="s">
        <v>17744</v>
      </c>
      <c r="M723" s="9" t="s">
        <v>22411</v>
      </c>
      <c r="N723" s="9" t="s">
        <v>17746</v>
      </c>
      <c r="O723" s="9" t="s">
        <v>17977</v>
      </c>
      <c r="P723" s="9" t="s">
        <v>17748</v>
      </c>
      <c r="Q723" s="11" t="s">
        <v>18678</v>
      </c>
      <c r="R723" s="11" t="s">
        <v>18678</v>
      </c>
      <c r="S723" s="11" t="s">
        <v>17750</v>
      </c>
    </row>
    <row r="724" spans="1:19" x14ac:dyDescent="0.2">
      <c r="A724" s="11" t="s">
        <v>22412</v>
      </c>
      <c r="B724" s="9" t="s">
        <v>8539</v>
      </c>
      <c r="C724" s="9" t="s">
        <v>22413</v>
      </c>
      <c r="D724" s="9" t="s">
        <v>8539</v>
      </c>
      <c r="E724" s="9" t="s">
        <v>17740</v>
      </c>
      <c r="F724" s="9" t="s">
        <v>17741</v>
      </c>
      <c r="G724" s="9" t="s">
        <v>17740</v>
      </c>
      <c r="H724" s="11" t="s">
        <v>8541</v>
      </c>
      <c r="I724" s="11" t="s">
        <v>8540</v>
      </c>
      <c r="J724" s="11" t="s">
        <v>8540</v>
      </c>
      <c r="K724" s="9" t="s">
        <v>21011</v>
      </c>
      <c r="L724" s="9" t="s">
        <v>18001</v>
      </c>
      <c r="M724" s="9" t="s">
        <v>17760</v>
      </c>
      <c r="N724" s="9" t="s">
        <v>17746</v>
      </c>
      <c r="O724" s="9" t="s">
        <v>18855</v>
      </c>
      <c r="P724" s="9" t="s">
        <v>17748</v>
      </c>
      <c r="Q724" s="11" t="s">
        <v>17784</v>
      </c>
      <c r="R724" s="11" t="s">
        <v>17784</v>
      </c>
      <c r="S724" s="11" t="s">
        <v>17750</v>
      </c>
    </row>
    <row r="725" spans="1:19" x14ac:dyDescent="0.2">
      <c r="A725" s="11" t="s">
        <v>22414</v>
      </c>
      <c r="B725" s="9" t="s">
        <v>22415</v>
      </c>
      <c r="C725" s="9" t="s">
        <v>22416</v>
      </c>
      <c r="D725" s="9" t="s">
        <v>22417</v>
      </c>
      <c r="E725" s="9" t="s">
        <v>17748</v>
      </c>
      <c r="F725" s="9" t="s">
        <v>22418</v>
      </c>
      <c r="G725" s="9" t="s">
        <v>17740</v>
      </c>
      <c r="H725" s="11" t="s">
        <v>22419</v>
      </c>
      <c r="I725" s="11" t="s">
        <v>22420</v>
      </c>
      <c r="J725" s="11" t="s">
        <v>22420</v>
      </c>
      <c r="K725" s="9" t="s">
        <v>55</v>
      </c>
      <c r="L725" s="9" t="s">
        <v>17744</v>
      </c>
      <c r="M725" s="9" t="s">
        <v>22421</v>
      </c>
      <c r="N725" s="9" t="s">
        <v>17746</v>
      </c>
      <c r="O725" s="9" t="s">
        <v>22422</v>
      </c>
      <c r="P725" s="9" t="s">
        <v>17748</v>
      </c>
      <c r="Q725" s="11" t="s">
        <v>18798</v>
      </c>
      <c r="R725" s="11" t="s">
        <v>18798</v>
      </c>
      <c r="S725" s="11" t="s">
        <v>17750</v>
      </c>
    </row>
    <row r="726" spans="1:19" x14ac:dyDescent="0.2">
      <c r="A726" s="11" t="s">
        <v>22423</v>
      </c>
      <c r="B726" s="9" t="s">
        <v>22424</v>
      </c>
      <c r="C726" s="9" t="s">
        <v>22425</v>
      </c>
      <c r="D726" s="9" t="s">
        <v>22426</v>
      </c>
      <c r="E726" s="9" t="s">
        <v>17740</v>
      </c>
      <c r="F726" s="9" t="s">
        <v>17741</v>
      </c>
      <c r="G726" s="9" t="s">
        <v>17740</v>
      </c>
      <c r="H726" s="11" t="s">
        <v>22427</v>
      </c>
      <c r="I726" s="11" t="s">
        <v>22428</v>
      </c>
      <c r="J726" s="11" t="s">
        <v>22428</v>
      </c>
      <c r="K726" s="9" t="s">
        <v>10223</v>
      </c>
      <c r="L726" s="9" t="s">
        <v>17744</v>
      </c>
      <c r="M726" s="9" t="s">
        <v>17760</v>
      </c>
      <c r="N726" s="9" t="s">
        <v>17746</v>
      </c>
      <c r="O726" s="9" t="s">
        <v>22429</v>
      </c>
      <c r="P726" s="9" t="s">
        <v>17748</v>
      </c>
      <c r="Q726" s="11" t="s">
        <v>17762</v>
      </c>
      <c r="R726" s="11" t="s">
        <v>17762</v>
      </c>
      <c r="S726" s="11" t="s">
        <v>17750</v>
      </c>
    </row>
    <row r="727" spans="1:19" x14ac:dyDescent="0.2">
      <c r="A727" s="11" t="s">
        <v>22430</v>
      </c>
      <c r="B727" s="9" t="s">
        <v>22431</v>
      </c>
      <c r="C727" s="9" t="s">
        <v>22432</v>
      </c>
      <c r="D727" s="9" t="s">
        <v>22431</v>
      </c>
      <c r="E727" s="9" t="s">
        <v>17740</v>
      </c>
      <c r="F727" s="9" t="s">
        <v>17741</v>
      </c>
      <c r="G727" s="9" t="s">
        <v>17740</v>
      </c>
      <c r="H727" s="11" t="s">
        <v>22433</v>
      </c>
      <c r="I727" s="11" t="s">
        <v>22434</v>
      </c>
      <c r="J727" s="11" t="s">
        <v>22433</v>
      </c>
      <c r="K727" s="9" t="s">
        <v>22435</v>
      </c>
      <c r="L727" s="9" t="s">
        <v>17759</v>
      </c>
      <c r="M727" s="9" t="s">
        <v>17760</v>
      </c>
      <c r="N727" s="9" t="s">
        <v>17746</v>
      </c>
      <c r="O727" s="9" t="s">
        <v>17890</v>
      </c>
      <c r="P727" s="9" t="s">
        <v>17748</v>
      </c>
      <c r="Q727" s="11" t="s">
        <v>17762</v>
      </c>
      <c r="R727" s="11" t="s">
        <v>17762</v>
      </c>
      <c r="S727" s="11" t="s">
        <v>17750</v>
      </c>
    </row>
    <row r="728" spans="1:19" x14ac:dyDescent="0.2">
      <c r="A728" s="11" t="s">
        <v>22436</v>
      </c>
      <c r="B728" s="9" t="s">
        <v>22437</v>
      </c>
      <c r="C728" s="9" t="s">
        <v>22438</v>
      </c>
      <c r="D728" s="9" t="s">
        <v>22439</v>
      </c>
      <c r="E728" s="9" t="s">
        <v>17748</v>
      </c>
      <c r="F728" s="9" t="s">
        <v>22440</v>
      </c>
      <c r="G728" s="9" t="s">
        <v>17740</v>
      </c>
      <c r="H728" s="11" t="s">
        <v>6080</v>
      </c>
      <c r="I728" s="11" t="s">
        <v>6079</v>
      </c>
      <c r="J728" s="11" t="s">
        <v>6079</v>
      </c>
      <c r="K728" s="9" t="s">
        <v>1253</v>
      </c>
      <c r="L728" s="9" t="s">
        <v>18242</v>
      </c>
      <c r="M728" s="9" t="s">
        <v>17817</v>
      </c>
      <c r="N728" s="9" t="s">
        <v>17746</v>
      </c>
      <c r="O728" s="9" t="s">
        <v>22281</v>
      </c>
      <c r="P728" s="9" t="s">
        <v>17748</v>
      </c>
      <c r="Q728" s="11" t="s">
        <v>17792</v>
      </c>
      <c r="R728" s="11" t="s">
        <v>17792</v>
      </c>
      <c r="S728" s="11" t="s">
        <v>17750</v>
      </c>
    </row>
    <row r="729" spans="1:19" x14ac:dyDescent="0.2">
      <c r="A729" s="11" t="s">
        <v>22441</v>
      </c>
      <c r="B729" s="9" t="s">
        <v>22442</v>
      </c>
      <c r="C729" s="9" t="s">
        <v>22443</v>
      </c>
      <c r="D729" s="9" t="s">
        <v>22444</v>
      </c>
      <c r="E729" s="9" t="s">
        <v>17740</v>
      </c>
      <c r="F729" s="9" t="s">
        <v>22445</v>
      </c>
      <c r="G729" s="9" t="s">
        <v>17740</v>
      </c>
      <c r="H729" s="11" t="s">
        <v>22446</v>
      </c>
      <c r="I729" s="11" t="s">
        <v>22447</v>
      </c>
      <c r="J729" s="11" t="s">
        <v>22447</v>
      </c>
      <c r="K729" s="9" t="s">
        <v>22448</v>
      </c>
      <c r="L729" s="9" t="s">
        <v>17759</v>
      </c>
      <c r="M729" s="9" t="s">
        <v>17769</v>
      </c>
      <c r="N729" s="9" t="s">
        <v>17746</v>
      </c>
      <c r="O729" s="9" t="s">
        <v>17977</v>
      </c>
      <c r="P729" s="9" t="s">
        <v>17748</v>
      </c>
      <c r="Q729" s="11" t="s">
        <v>22449</v>
      </c>
      <c r="R729" s="11" t="s">
        <v>22449</v>
      </c>
      <c r="S729" s="11" t="s">
        <v>17750</v>
      </c>
    </row>
    <row r="730" spans="1:19" x14ac:dyDescent="0.2">
      <c r="A730" s="11" t="s">
        <v>22450</v>
      </c>
      <c r="B730" s="9" t="s">
        <v>22451</v>
      </c>
      <c r="C730" s="9" t="s">
        <v>22452</v>
      </c>
      <c r="D730" s="9" t="s">
        <v>22453</v>
      </c>
      <c r="E730" s="9" t="s">
        <v>17748</v>
      </c>
      <c r="F730" s="9" t="s">
        <v>22454</v>
      </c>
      <c r="G730" s="9" t="s">
        <v>17740</v>
      </c>
      <c r="H730" s="11" t="s">
        <v>7187</v>
      </c>
      <c r="I730" s="11" t="s">
        <v>7186</v>
      </c>
      <c r="J730" s="11" t="s">
        <v>7186</v>
      </c>
      <c r="K730" s="9" t="s">
        <v>22455</v>
      </c>
      <c r="L730" s="9" t="s">
        <v>18158</v>
      </c>
      <c r="M730" s="9" t="s">
        <v>17817</v>
      </c>
      <c r="N730" s="9" t="s">
        <v>17746</v>
      </c>
      <c r="O730" s="9" t="s">
        <v>773</v>
      </c>
      <c r="P730" s="9" t="s">
        <v>17748</v>
      </c>
      <c r="Q730" s="11" t="s">
        <v>18201</v>
      </c>
      <c r="R730" s="11" t="s">
        <v>18201</v>
      </c>
      <c r="S730" s="11" t="s">
        <v>17750</v>
      </c>
    </row>
    <row r="731" spans="1:19" x14ac:dyDescent="0.2">
      <c r="A731" s="11" t="s">
        <v>22456</v>
      </c>
      <c r="B731" s="9" t="s">
        <v>22457</v>
      </c>
      <c r="C731" s="9" t="s">
        <v>22458</v>
      </c>
      <c r="D731" s="9" t="s">
        <v>22459</v>
      </c>
      <c r="E731" s="9" t="s">
        <v>17740</v>
      </c>
      <c r="F731" s="9" t="s">
        <v>22460</v>
      </c>
      <c r="G731" s="9" t="s">
        <v>17740</v>
      </c>
      <c r="H731" s="11" t="s">
        <v>22461</v>
      </c>
      <c r="I731" s="11" t="s">
        <v>22462</v>
      </c>
      <c r="J731" s="11" t="s">
        <v>22462</v>
      </c>
      <c r="K731" s="9" t="s">
        <v>167</v>
      </c>
      <c r="L731" s="9" t="s">
        <v>18158</v>
      </c>
      <c r="M731" s="9" t="s">
        <v>18289</v>
      </c>
      <c r="N731" s="9" t="s">
        <v>18185</v>
      </c>
      <c r="O731" s="9" t="s">
        <v>22463</v>
      </c>
      <c r="P731" s="9" t="s">
        <v>17748</v>
      </c>
      <c r="Q731" s="11" t="s">
        <v>18608</v>
      </c>
      <c r="R731" s="11" t="s">
        <v>18608</v>
      </c>
      <c r="S731" s="11" t="s">
        <v>17750</v>
      </c>
    </row>
    <row r="732" spans="1:19" x14ac:dyDescent="0.2">
      <c r="A732" s="11" t="s">
        <v>22464</v>
      </c>
      <c r="B732" s="9" t="s">
        <v>22465</v>
      </c>
      <c r="C732" s="9" t="s">
        <v>22466</v>
      </c>
      <c r="D732" s="9" t="s">
        <v>22467</v>
      </c>
      <c r="E732" s="9" t="s">
        <v>17740</v>
      </c>
      <c r="F732" s="9" t="s">
        <v>22468</v>
      </c>
      <c r="G732" s="9" t="s">
        <v>17740</v>
      </c>
      <c r="H732" s="11" t="s">
        <v>798</v>
      </c>
      <c r="I732" s="11" t="s">
        <v>797</v>
      </c>
      <c r="J732" s="11" t="s">
        <v>797</v>
      </c>
      <c r="K732" s="9" t="s">
        <v>91</v>
      </c>
      <c r="L732" s="9" t="s">
        <v>17759</v>
      </c>
      <c r="M732" s="9" t="s">
        <v>22469</v>
      </c>
      <c r="N732" s="9" t="s">
        <v>17746</v>
      </c>
      <c r="O732" s="9" t="s">
        <v>22470</v>
      </c>
      <c r="P732" s="9" t="s">
        <v>17748</v>
      </c>
      <c r="Q732" s="11" t="s">
        <v>17867</v>
      </c>
      <c r="R732" s="11" t="s">
        <v>17867</v>
      </c>
      <c r="S732" s="11" t="s">
        <v>17750</v>
      </c>
    </row>
    <row r="733" spans="1:19" x14ac:dyDescent="0.2">
      <c r="A733" s="11" t="s">
        <v>22471</v>
      </c>
      <c r="B733" s="9" t="s">
        <v>22472</v>
      </c>
      <c r="C733" s="9" t="s">
        <v>22473</v>
      </c>
      <c r="D733" s="9" t="s">
        <v>22474</v>
      </c>
      <c r="E733" s="9" t="s">
        <v>17740</v>
      </c>
      <c r="F733" s="9" t="s">
        <v>17741</v>
      </c>
      <c r="G733" s="9" t="s">
        <v>17740</v>
      </c>
      <c r="H733" s="11" t="s">
        <v>867</v>
      </c>
      <c r="I733" s="11" t="s">
        <v>866</v>
      </c>
      <c r="J733" s="11" t="s">
        <v>866</v>
      </c>
      <c r="K733" s="9" t="s">
        <v>22475</v>
      </c>
      <c r="L733" s="9" t="s">
        <v>18001</v>
      </c>
      <c r="M733" s="9" t="s">
        <v>18513</v>
      </c>
      <c r="N733" s="9" t="s">
        <v>17746</v>
      </c>
      <c r="O733" s="9" t="s">
        <v>22476</v>
      </c>
      <c r="P733" s="9" t="s">
        <v>17748</v>
      </c>
      <c r="Q733" s="11" t="s">
        <v>18243</v>
      </c>
      <c r="R733" s="11" t="s">
        <v>18243</v>
      </c>
      <c r="S733" s="11" t="s">
        <v>17750</v>
      </c>
    </row>
    <row r="734" spans="1:19" x14ac:dyDescent="0.2">
      <c r="A734" s="11" t="s">
        <v>22477</v>
      </c>
      <c r="B734" s="9" t="s">
        <v>22478</v>
      </c>
      <c r="C734" s="9" t="s">
        <v>22479</v>
      </c>
      <c r="D734" s="9" t="s">
        <v>22480</v>
      </c>
      <c r="E734" s="9" t="s">
        <v>17748</v>
      </c>
      <c r="F734" s="9" t="s">
        <v>22481</v>
      </c>
      <c r="G734" s="9" t="s">
        <v>17740</v>
      </c>
      <c r="H734" s="11" t="s">
        <v>22482</v>
      </c>
      <c r="I734" s="11" t="s">
        <v>22483</v>
      </c>
      <c r="J734" s="11" t="s">
        <v>22483</v>
      </c>
      <c r="K734" s="9" t="s">
        <v>22484</v>
      </c>
      <c r="L734" s="9" t="s">
        <v>17744</v>
      </c>
      <c r="M734" s="9" t="s">
        <v>17760</v>
      </c>
      <c r="N734" s="9" t="s">
        <v>17746</v>
      </c>
      <c r="O734" s="9" t="s">
        <v>17977</v>
      </c>
      <c r="P734" s="9" t="s">
        <v>17748</v>
      </c>
      <c r="Q734" s="11" t="s">
        <v>18147</v>
      </c>
      <c r="R734" s="11" t="s">
        <v>18147</v>
      </c>
      <c r="S734" s="11" t="s">
        <v>17750</v>
      </c>
    </row>
    <row r="735" spans="1:19" x14ac:dyDescent="0.2">
      <c r="A735" s="11" t="s">
        <v>22485</v>
      </c>
      <c r="B735" s="9" t="s">
        <v>22486</v>
      </c>
      <c r="C735" s="9" t="s">
        <v>22487</v>
      </c>
      <c r="D735" s="9" t="s">
        <v>22488</v>
      </c>
      <c r="E735" s="9" t="s">
        <v>17740</v>
      </c>
      <c r="F735" s="9" t="s">
        <v>17741</v>
      </c>
      <c r="G735" s="9" t="s">
        <v>17740</v>
      </c>
      <c r="H735" s="11" t="s">
        <v>22489</v>
      </c>
      <c r="I735" s="11" t="s">
        <v>22490</v>
      </c>
      <c r="J735" s="11" t="s">
        <v>22490</v>
      </c>
      <c r="K735" s="9" t="s">
        <v>19713</v>
      </c>
      <c r="L735" s="9" t="s">
        <v>17759</v>
      </c>
      <c r="M735" s="9" t="s">
        <v>17760</v>
      </c>
      <c r="N735" s="9" t="s">
        <v>17746</v>
      </c>
      <c r="O735" s="9" t="s">
        <v>22491</v>
      </c>
      <c r="P735" s="9" t="s">
        <v>17748</v>
      </c>
      <c r="Q735" s="11" t="s">
        <v>18356</v>
      </c>
      <c r="R735" s="11" t="s">
        <v>18356</v>
      </c>
      <c r="S735" s="11" t="s">
        <v>17750</v>
      </c>
    </row>
    <row r="736" spans="1:19" x14ac:dyDescent="0.2">
      <c r="A736" s="11" t="s">
        <v>22492</v>
      </c>
      <c r="B736" s="9" t="s">
        <v>22493</v>
      </c>
      <c r="C736" s="9" t="s">
        <v>22494</v>
      </c>
      <c r="D736" s="9" t="s">
        <v>22495</v>
      </c>
      <c r="E736" s="9" t="s">
        <v>17740</v>
      </c>
      <c r="F736" s="9" t="s">
        <v>22496</v>
      </c>
      <c r="G736" s="9" t="s">
        <v>17740</v>
      </c>
      <c r="H736" s="11" t="s">
        <v>22497</v>
      </c>
      <c r="I736" s="11" t="s">
        <v>22498</v>
      </c>
      <c r="J736" s="11" t="s">
        <v>22499</v>
      </c>
      <c r="K736" s="9" t="s">
        <v>22500</v>
      </c>
      <c r="L736" s="9" t="s">
        <v>17744</v>
      </c>
      <c r="M736" s="9" t="s">
        <v>17760</v>
      </c>
      <c r="N736" s="9" t="s">
        <v>17746</v>
      </c>
      <c r="O736" s="9" t="s">
        <v>17977</v>
      </c>
      <c r="P736" s="9" t="s">
        <v>17748</v>
      </c>
      <c r="Q736" s="11" t="s">
        <v>18002</v>
      </c>
      <c r="R736" s="11" t="s">
        <v>18002</v>
      </c>
      <c r="S736" s="11" t="s">
        <v>17750</v>
      </c>
    </row>
    <row r="737" spans="1:19" x14ac:dyDescent="0.2">
      <c r="A737" s="11" t="s">
        <v>22501</v>
      </c>
      <c r="B737" s="9" t="s">
        <v>22502</v>
      </c>
      <c r="C737" s="9" t="s">
        <v>22503</v>
      </c>
      <c r="D737" s="9" t="s">
        <v>22504</v>
      </c>
      <c r="E737" s="9" t="s">
        <v>17740</v>
      </c>
      <c r="F737" s="9" t="s">
        <v>17741</v>
      </c>
      <c r="G737" s="9" t="s">
        <v>17740</v>
      </c>
      <c r="H737" s="11" t="s">
        <v>939</v>
      </c>
      <c r="I737" s="11" t="s">
        <v>938</v>
      </c>
      <c r="J737" s="11" t="s">
        <v>938</v>
      </c>
      <c r="K737" s="9" t="s">
        <v>22505</v>
      </c>
      <c r="L737" s="9" t="s">
        <v>17759</v>
      </c>
      <c r="M737" s="9" t="s">
        <v>19146</v>
      </c>
      <c r="N737" s="9" t="s">
        <v>17746</v>
      </c>
      <c r="O737" s="9" t="s">
        <v>22506</v>
      </c>
      <c r="P737" s="9" t="s">
        <v>17748</v>
      </c>
      <c r="Q737" s="11" t="s">
        <v>18251</v>
      </c>
      <c r="R737" s="11" t="s">
        <v>18251</v>
      </c>
      <c r="S737" s="11" t="s">
        <v>17750</v>
      </c>
    </row>
    <row r="738" spans="1:19" x14ac:dyDescent="0.2">
      <c r="A738" s="11" t="s">
        <v>22507</v>
      </c>
      <c r="B738" s="9" t="s">
        <v>22508</v>
      </c>
      <c r="C738" s="9" t="s">
        <v>22509</v>
      </c>
      <c r="D738" s="9" t="s">
        <v>5430</v>
      </c>
      <c r="E738" s="9" t="s">
        <v>17740</v>
      </c>
      <c r="F738" s="9" t="s">
        <v>22510</v>
      </c>
      <c r="G738" s="9" t="s">
        <v>17740</v>
      </c>
      <c r="H738" s="11" t="s">
        <v>5432</v>
      </c>
      <c r="I738" s="11" t="s">
        <v>5431</v>
      </c>
      <c r="J738" s="11" t="s">
        <v>5431</v>
      </c>
      <c r="K738" s="9" t="s">
        <v>601</v>
      </c>
      <c r="L738" s="9" t="s">
        <v>17744</v>
      </c>
      <c r="M738" s="9" t="s">
        <v>18533</v>
      </c>
      <c r="N738" s="9" t="s">
        <v>17746</v>
      </c>
      <c r="O738" s="9" t="s">
        <v>22511</v>
      </c>
      <c r="P738" s="9" t="s">
        <v>17748</v>
      </c>
      <c r="Q738" s="11" t="s">
        <v>17749</v>
      </c>
      <c r="R738" s="11" t="s">
        <v>17749</v>
      </c>
      <c r="S738" s="11" t="s">
        <v>17750</v>
      </c>
    </row>
    <row r="739" spans="1:19" x14ac:dyDescent="0.2">
      <c r="A739" s="11" t="s">
        <v>22512</v>
      </c>
      <c r="B739" s="9" t="s">
        <v>22513</v>
      </c>
      <c r="C739" s="9" t="s">
        <v>22514</v>
      </c>
      <c r="D739" s="9" t="s">
        <v>22515</v>
      </c>
      <c r="E739" s="9" t="s">
        <v>17748</v>
      </c>
      <c r="F739" s="9" t="s">
        <v>22516</v>
      </c>
      <c r="G739" s="9" t="s">
        <v>17740</v>
      </c>
      <c r="H739" s="11" t="s">
        <v>22517</v>
      </c>
      <c r="I739" s="11" t="s">
        <v>22518</v>
      </c>
      <c r="J739" s="11" t="s">
        <v>22518</v>
      </c>
      <c r="K739" s="9" t="s">
        <v>22519</v>
      </c>
      <c r="L739" s="9" t="s">
        <v>20359</v>
      </c>
      <c r="M739" s="9" t="s">
        <v>17760</v>
      </c>
      <c r="N739" s="9" t="s">
        <v>18042</v>
      </c>
      <c r="O739" s="9" t="s">
        <v>17977</v>
      </c>
      <c r="P739" s="9" t="s">
        <v>17748</v>
      </c>
      <c r="Q739" s="11" t="s">
        <v>17900</v>
      </c>
      <c r="R739" s="11" t="s">
        <v>17900</v>
      </c>
      <c r="S739" s="11" t="s">
        <v>17750</v>
      </c>
    </row>
    <row r="740" spans="1:19" x14ac:dyDescent="0.2">
      <c r="A740" s="11" t="s">
        <v>22520</v>
      </c>
      <c r="B740" s="9" t="s">
        <v>22521</v>
      </c>
      <c r="C740" s="9" t="s">
        <v>22522</v>
      </c>
      <c r="D740" s="9" t="s">
        <v>22523</v>
      </c>
      <c r="E740" s="9" t="s">
        <v>17740</v>
      </c>
      <c r="F740" s="9" t="s">
        <v>22524</v>
      </c>
      <c r="G740" s="9" t="s">
        <v>17740</v>
      </c>
      <c r="H740" s="11" t="s">
        <v>17741</v>
      </c>
      <c r="I740" s="11" t="s">
        <v>22525</v>
      </c>
      <c r="J740" s="11" t="s">
        <v>22525</v>
      </c>
      <c r="K740" s="9" t="s">
        <v>22526</v>
      </c>
      <c r="L740" s="9" t="s">
        <v>17744</v>
      </c>
      <c r="M740" s="9" t="s">
        <v>22527</v>
      </c>
      <c r="N740" s="9" t="s">
        <v>17746</v>
      </c>
      <c r="O740" s="9" t="s">
        <v>17977</v>
      </c>
      <c r="P740" s="9" t="s">
        <v>17748</v>
      </c>
      <c r="Q740" s="11" t="s">
        <v>17867</v>
      </c>
      <c r="R740" s="11" t="s">
        <v>17867</v>
      </c>
      <c r="S740" s="11" t="s">
        <v>17750</v>
      </c>
    </row>
    <row r="741" spans="1:19" x14ac:dyDescent="0.2">
      <c r="A741" s="11" t="s">
        <v>22528</v>
      </c>
      <c r="B741" s="9" t="s">
        <v>22529</v>
      </c>
      <c r="C741" s="9" t="s">
        <v>22530</v>
      </c>
      <c r="D741" s="9" t="s">
        <v>22531</v>
      </c>
      <c r="E741" s="9" t="s">
        <v>17740</v>
      </c>
      <c r="F741" s="9" t="s">
        <v>17741</v>
      </c>
      <c r="G741" s="9" t="s">
        <v>17740</v>
      </c>
      <c r="H741" s="11" t="s">
        <v>22532</v>
      </c>
      <c r="I741" s="11" t="s">
        <v>17741</v>
      </c>
      <c r="J741" s="11" t="s">
        <v>22532</v>
      </c>
      <c r="K741" s="9" t="s">
        <v>18570</v>
      </c>
      <c r="L741" s="9" t="s">
        <v>17744</v>
      </c>
      <c r="M741" s="9" t="s">
        <v>17741</v>
      </c>
      <c r="N741" s="9" t="s">
        <v>17746</v>
      </c>
      <c r="O741" s="9" t="s">
        <v>17977</v>
      </c>
      <c r="P741" s="9" t="s">
        <v>17748</v>
      </c>
      <c r="Q741" s="11" t="s">
        <v>17762</v>
      </c>
      <c r="R741" s="11" t="s">
        <v>17762</v>
      </c>
      <c r="S741" s="11" t="s">
        <v>17750</v>
      </c>
    </row>
    <row r="742" spans="1:19" x14ac:dyDescent="0.2">
      <c r="A742" s="11" t="s">
        <v>22533</v>
      </c>
      <c r="B742" s="9" t="s">
        <v>22534</v>
      </c>
      <c r="C742" s="9" t="s">
        <v>22535</v>
      </c>
      <c r="D742" s="9" t="s">
        <v>22536</v>
      </c>
      <c r="E742" s="9" t="s">
        <v>17740</v>
      </c>
      <c r="F742" s="9" t="s">
        <v>22537</v>
      </c>
      <c r="G742" s="9" t="s">
        <v>17740</v>
      </c>
      <c r="H742" s="11" t="s">
        <v>22538</v>
      </c>
      <c r="I742" s="11" t="s">
        <v>22539</v>
      </c>
      <c r="J742" s="11" t="s">
        <v>22539</v>
      </c>
      <c r="K742" s="9" t="s">
        <v>22540</v>
      </c>
      <c r="L742" s="9" t="s">
        <v>17744</v>
      </c>
      <c r="M742" s="9" t="s">
        <v>18065</v>
      </c>
      <c r="N742" s="9" t="s">
        <v>17746</v>
      </c>
      <c r="O742" s="9" t="s">
        <v>17977</v>
      </c>
      <c r="P742" s="9" t="s">
        <v>17748</v>
      </c>
      <c r="Q742" s="11" t="s">
        <v>17984</v>
      </c>
      <c r="R742" s="11" t="s">
        <v>17984</v>
      </c>
      <c r="S742" s="11" t="s">
        <v>17750</v>
      </c>
    </row>
    <row r="743" spans="1:19" x14ac:dyDescent="0.2">
      <c r="A743" s="11" t="s">
        <v>22541</v>
      </c>
      <c r="B743" s="9" t="s">
        <v>22542</v>
      </c>
      <c r="C743" s="9" t="s">
        <v>22543</v>
      </c>
      <c r="D743" s="9" t="s">
        <v>22544</v>
      </c>
      <c r="E743" s="9" t="s">
        <v>17740</v>
      </c>
      <c r="F743" s="9" t="s">
        <v>17741</v>
      </c>
      <c r="G743" s="9" t="s">
        <v>17740</v>
      </c>
      <c r="H743" s="11" t="s">
        <v>8538</v>
      </c>
      <c r="I743" s="11" t="s">
        <v>8537</v>
      </c>
      <c r="J743" s="11" t="s">
        <v>8537</v>
      </c>
      <c r="K743" s="9" t="s">
        <v>22545</v>
      </c>
      <c r="L743" s="9" t="s">
        <v>17759</v>
      </c>
      <c r="M743" s="9" t="s">
        <v>22546</v>
      </c>
      <c r="N743" s="9" t="s">
        <v>17746</v>
      </c>
      <c r="O743" s="9" t="s">
        <v>22547</v>
      </c>
      <c r="P743" s="9" t="s">
        <v>17748</v>
      </c>
      <c r="Q743" s="11" t="s">
        <v>19361</v>
      </c>
      <c r="R743" s="11" t="s">
        <v>19361</v>
      </c>
      <c r="S743" s="11" t="s">
        <v>17750</v>
      </c>
    </row>
    <row r="744" spans="1:19" x14ac:dyDescent="0.2">
      <c r="A744" s="11" t="s">
        <v>22548</v>
      </c>
      <c r="B744" s="9" t="s">
        <v>22549</v>
      </c>
      <c r="C744" s="9" t="s">
        <v>22550</v>
      </c>
      <c r="D744" s="9" t="s">
        <v>22551</v>
      </c>
      <c r="E744" s="9" t="s">
        <v>17740</v>
      </c>
      <c r="F744" s="9" t="s">
        <v>17741</v>
      </c>
      <c r="G744" s="9" t="s">
        <v>17740</v>
      </c>
      <c r="H744" s="11" t="s">
        <v>807</v>
      </c>
      <c r="I744" s="11" t="s">
        <v>806</v>
      </c>
      <c r="J744" s="11" t="s">
        <v>806</v>
      </c>
      <c r="K744" s="9" t="s">
        <v>808</v>
      </c>
      <c r="L744" s="9" t="s">
        <v>17759</v>
      </c>
      <c r="M744" s="9" t="s">
        <v>17817</v>
      </c>
      <c r="N744" s="9" t="s">
        <v>17746</v>
      </c>
      <c r="O744" s="9" t="s">
        <v>19067</v>
      </c>
      <c r="P744" s="9" t="s">
        <v>17748</v>
      </c>
      <c r="Q744" s="11" t="s">
        <v>17867</v>
      </c>
      <c r="R744" s="11" t="s">
        <v>17867</v>
      </c>
      <c r="S744" s="11" t="s">
        <v>17750</v>
      </c>
    </row>
    <row r="745" spans="1:19" x14ac:dyDescent="0.2">
      <c r="A745" s="11" t="s">
        <v>22552</v>
      </c>
      <c r="B745" s="9" t="s">
        <v>22553</v>
      </c>
      <c r="C745" s="9" t="s">
        <v>22554</v>
      </c>
      <c r="D745" s="9" t="s">
        <v>22555</v>
      </c>
      <c r="E745" s="9" t="s">
        <v>17740</v>
      </c>
      <c r="F745" s="9" t="s">
        <v>22556</v>
      </c>
      <c r="G745" s="9" t="s">
        <v>17740</v>
      </c>
      <c r="H745" s="11" t="s">
        <v>734</v>
      </c>
      <c r="I745" s="11" t="s">
        <v>733</v>
      </c>
      <c r="J745" s="11" t="s">
        <v>733</v>
      </c>
      <c r="K745" s="9" t="s">
        <v>970</v>
      </c>
      <c r="L745" s="9" t="s">
        <v>17744</v>
      </c>
      <c r="M745" s="9" t="s">
        <v>18417</v>
      </c>
      <c r="N745" s="9" t="s">
        <v>17746</v>
      </c>
      <c r="O745" s="9" t="s">
        <v>18125</v>
      </c>
      <c r="P745" s="9" t="s">
        <v>17748</v>
      </c>
      <c r="Q745" s="11" t="s">
        <v>18433</v>
      </c>
      <c r="R745" s="11" t="s">
        <v>18433</v>
      </c>
      <c r="S745" s="11" t="s">
        <v>17750</v>
      </c>
    </row>
    <row r="746" spans="1:19" x14ac:dyDescent="0.2">
      <c r="A746" s="11" t="s">
        <v>22557</v>
      </c>
      <c r="B746" s="9" t="s">
        <v>8657</v>
      </c>
      <c r="C746" s="9" t="s">
        <v>22558</v>
      </c>
      <c r="D746" s="9" t="s">
        <v>8657</v>
      </c>
      <c r="E746" s="9" t="s">
        <v>17740</v>
      </c>
      <c r="F746" s="9" t="s">
        <v>17741</v>
      </c>
      <c r="G746" s="9" t="s">
        <v>17740</v>
      </c>
      <c r="H746" s="11" t="s">
        <v>8659</v>
      </c>
      <c r="I746" s="11" t="s">
        <v>8658</v>
      </c>
      <c r="J746" s="11" t="s">
        <v>8658</v>
      </c>
      <c r="K746" s="9" t="s">
        <v>776</v>
      </c>
      <c r="L746" s="9" t="s">
        <v>17759</v>
      </c>
      <c r="M746" s="9" t="s">
        <v>22559</v>
      </c>
      <c r="N746" s="9" t="s">
        <v>17746</v>
      </c>
      <c r="O746" s="9" t="s">
        <v>18762</v>
      </c>
      <c r="P746" s="9" t="s">
        <v>17748</v>
      </c>
      <c r="Q746" s="11" t="s">
        <v>17784</v>
      </c>
      <c r="R746" s="11" t="s">
        <v>17784</v>
      </c>
      <c r="S746" s="11" t="s">
        <v>17750</v>
      </c>
    </row>
    <row r="747" spans="1:19" x14ac:dyDescent="0.2">
      <c r="A747" s="11" t="s">
        <v>22560</v>
      </c>
      <c r="B747" s="9" t="s">
        <v>22561</v>
      </c>
      <c r="C747" s="9" t="s">
        <v>22562</v>
      </c>
      <c r="D747" s="9" t="s">
        <v>7361</v>
      </c>
      <c r="E747" s="9" t="s">
        <v>17740</v>
      </c>
      <c r="F747" s="9" t="s">
        <v>17741</v>
      </c>
      <c r="G747" s="9" t="s">
        <v>17740</v>
      </c>
      <c r="H747" s="11" t="s">
        <v>7363</v>
      </c>
      <c r="I747" s="11" t="s">
        <v>7362</v>
      </c>
      <c r="J747" s="11" t="s">
        <v>7362</v>
      </c>
      <c r="K747" s="9" t="s">
        <v>291</v>
      </c>
      <c r="L747" s="9" t="s">
        <v>17744</v>
      </c>
      <c r="M747" s="9" t="s">
        <v>17769</v>
      </c>
      <c r="N747" s="9" t="s">
        <v>17746</v>
      </c>
      <c r="O747" s="9" t="s">
        <v>773</v>
      </c>
      <c r="P747" s="9" t="s">
        <v>17748</v>
      </c>
      <c r="Q747" s="11" t="s">
        <v>18201</v>
      </c>
      <c r="R747" s="11" t="s">
        <v>18201</v>
      </c>
      <c r="S747" s="11" t="s">
        <v>17750</v>
      </c>
    </row>
    <row r="748" spans="1:19" x14ac:dyDescent="0.2">
      <c r="A748" s="11" t="s">
        <v>22563</v>
      </c>
      <c r="B748" s="9" t="s">
        <v>22564</v>
      </c>
      <c r="C748" s="9" t="s">
        <v>22565</v>
      </c>
      <c r="D748" s="9" t="s">
        <v>22566</v>
      </c>
      <c r="E748" s="9" t="s">
        <v>17740</v>
      </c>
      <c r="F748" s="9" t="s">
        <v>17741</v>
      </c>
      <c r="G748" s="9" t="s">
        <v>17740</v>
      </c>
      <c r="H748" s="11" t="s">
        <v>12331</v>
      </c>
      <c r="I748" s="11" t="s">
        <v>12330</v>
      </c>
      <c r="J748" s="11" t="s">
        <v>12330</v>
      </c>
      <c r="K748" s="9" t="s">
        <v>22567</v>
      </c>
      <c r="L748" s="9" t="s">
        <v>17744</v>
      </c>
      <c r="M748" s="9" t="s">
        <v>18065</v>
      </c>
      <c r="N748" s="9" t="s">
        <v>17746</v>
      </c>
      <c r="O748" s="9" t="s">
        <v>22568</v>
      </c>
      <c r="P748" s="9" t="s">
        <v>17748</v>
      </c>
      <c r="Q748" s="11" t="s">
        <v>17917</v>
      </c>
      <c r="R748" s="11" t="s">
        <v>17917</v>
      </c>
      <c r="S748" s="11" t="s">
        <v>17750</v>
      </c>
    </row>
    <row r="749" spans="1:19" x14ac:dyDescent="0.2">
      <c r="A749" s="11" t="s">
        <v>22569</v>
      </c>
      <c r="B749" s="9" t="s">
        <v>790</v>
      </c>
      <c r="C749" s="9" t="s">
        <v>22570</v>
      </c>
      <c r="D749" s="9" t="s">
        <v>790</v>
      </c>
      <c r="E749" s="9" t="s">
        <v>17740</v>
      </c>
      <c r="F749" s="9" t="s">
        <v>22571</v>
      </c>
      <c r="G749" s="9" t="s">
        <v>17740</v>
      </c>
      <c r="H749" s="11" t="s">
        <v>792</v>
      </c>
      <c r="I749" s="11" t="s">
        <v>791</v>
      </c>
      <c r="J749" s="11" t="s">
        <v>791</v>
      </c>
      <c r="K749" s="9" t="s">
        <v>18661</v>
      </c>
      <c r="L749" s="9" t="s">
        <v>18001</v>
      </c>
      <c r="M749" s="9" t="s">
        <v>20172</v>
      </c>
      <c r="N749" s="9" t="s">
        <v>17746</v>
      </c>
      <c r="O749" s="9" t="s">
        <v>793</v>
      </c>
      <c r="P749" s="9" t="s">
        <v>17748</v>
      </c>
      <c r="Q749" s="11" t="s">
        <v>19222</v>
      </c>
      <c r="R749" s="11" t="s">
        <v>19222</v>
      </c>
      <c r="S749" s="11" t="s">
        <v>17750</v>
      </c>
    </row>
    <row r="750" spans="1:19" x14ac:dyDescent="0.2">
      <c r="A750" s="11" t="s">
        <v>22572</v>
      </c>
      <c r="B750" s="9" t="s">
        <v>22573</v>
      </c>
      <c r="C750" s="9" t="s">
        <v>22574</v>
      </c>
      <c r="D750" s="9" t="s">
        <v>22573</v>
      </c>
      <c r="E750" s="9" t="s">
        <v>17740</v>
      </c>
      <c r="F750" s="9" t="s">
        <v>17741</v>
      </c>
      <c r="G750" s="9" t="s">
        <v>17740</v>
      </c>
      <c r="H750" s="11" t="s">
        <v>16840</v>
      </c>
      <c r="I750" s="11" t="s">
        <v>16839</v>
      </c>
      <c r="J750" s="11" t="s">
        <v>16839</v>
      </c>
      <c r="K750" s="9" t="s">
        <v>10332</v>
      </c>
      <c r="L750" s="9" t="s">
        <v>17759</v>
      </c>
      <c r="M750" s="9" t="s">
        <v>17760</v>
      </c>
      <c r="N750" s="9" t="s">
        <v>17746</v>
      </c>
      <c r="O750" s="9" t="s">
        <v>17890</v>
      </c>
      <c r="P750" s="9" t="s">
        <v>17748</v>
      </c>
      <c r="Q750" s="11" t="s">
        <v>17909</v>
      </c>
      <c r="R750" s="11" t="s">
        <v>17909</v>
      </c>
      <c r="S750" s="11" t="s">
        <v>17750</v>
      </c>
    </row>
    <row r="751" spans="1:19" x14ac:dyDescent="0.2">
      <c r="A751" s="11" t="s">
        <v>22575</v>
      </c>
      <c r="B751" s="9" t="s">
        <v>22576</v>
      </c>
      <c r="C751" s="9" t="s">
        <v>22577</v>
      </c>
      <c r="D751" s="9" t="s">
        <v>22578</v>
      </c>
      <c r="E751" s="9" t="s">
        <v>17740</v>
      </c>
      <c r="F751" s="9" t="s">
        <v>17741</v>
      </c>
      <c r="G751" s="9" t="s">
        <v>17740</v>
      </c>
      <c r="H751" s="11" t="s">
        <v>9923</v>
      </c>
      <c r="I751" s="11" t="s">
        <v>9922</v>
      </c>
      <c r="J751" s="11" t="s">
        <v>9923</v>
      </c>
      <c r="K751" s="9" t="s">
        <v>17783</v>
      </c>
      <c r="L751" s="9" t="s">
        <v>18158</v>
      </c>
      <c r="M751" s="9" t="s">
        <v>18065</v>
      </c>
      <c r="N751" s="9" t="s">
        <v>17746</v>
      </c>
      <c r="O751" s="9" t="s">
        <v>793</v>
      </c>
      <c r="P751" s="9" t="s">
        <v>17748</v>
      </c>
      <c r="Q751" s="11" t="s">
        <v>17994</v>
      </c>
      <c r="R751" s="11" t="s">
        <v>17994</v>
      </c>
      <c r="S751" s="11" t="s">
        <v>17750</v>
      </c>
    </row>
    <row r="752" spans="1:19" x14ac:dyDescent="0.2">
      <c r="A752" s="11" t="s">
        <v>22579</v>
      </c>
      <c r="B752" s="9" t="s">
        <v>22580</v>
      </c>
      <c r="C752" s="9" t="s">
        <v>22581</v>
      </c>
      <c r="D752" s="9" t="s">
        <v>22582</v>
      </c>
      <c r="E752" s="9" t="s">
        <v>17748</v>
      </c>
      <c r="F752" s="9" t="s">
        <v>22583</v>
      </c>
      <c r="G752" s="9" t="s">
        <v>17740</v>
      </c>
      <c r="H752" s="11" t="s">
        <v>16541</v>
      </c>
      <c r="I752" s="11" t="s">
        <v>16540</v>
      </c>
      <c r="J752" s="11" t="s">
        <v>17741</v>
      </c>
      <c r="K752" s="9" t="s">
        <v>22584</v>
      </c>
      <c r="L752" s="9" t="s">
        <v>17759</v>
      </c>
      <c r="M752" s="9" t="s">
        <v>17741</v>
      </c>
      <c r="N752" s="9" t="s">
        <v>17746</v>
      </c>
      <c r="O752" s="9" t="s">
        <v>22585</v>
      </c>
      <c r="P752" s="9" t="s">
        <v>17748</v>
      </c>
      <c r="Q752" s="11" t="s">
        <v>17923</v>
      </c>
      <c r="R752" s="11" t="s">
        <v>17923</v>
      </c>
      <c r="S752" s="11" t="s">
        <v>17750</v>
      </c>
    </row>
    <row r="753" spans="1:19" x14ac:dyDescent="0.2">
      <c r="A753" s="11" t="s">
        <v>22586</v>
      </c>
      <c r="B753" s="9" t="s">
        <v>22587</v>
      </c>
      <c r="C753" s="9" t="s">
        <v>22588</v>
      </c>
      <c r="D753" s="9" t="s">
        <v>22589</v>
      </c>
      <c r="E753" s="9" t="s">
        <v>17740</v>
      </c>
      <c r="F753" s="9" t="s">
        <v>17741</v>
      </c>
      <c r="G753" s="9" t="s">
        <v>17740</v>
      </c>
      <c r="H753" s="11" t="s">
        <v>17741</v>
      </c>
      <c r="I753" s="11" t="s">
        <v>22590</v>
      </c>
      <c r="J753" s="11" t="s">
        <v>22590</v>
      </c>
      <c r="K753" s="9" t="s">
        <v>13637</v>
      </c>
      <c r="L753" s="9" t="s">
        <v>22591</v>
      </c>
      <c r="M753" s="9" t="s">
        <v>17760</v>
      </c>
      <c r="N753" s="9" t="s">
        <v>18171</v>
      </c>
      <c r="O753" s="9" t="s">
        <v>17993</v>
      </c>
      <c r="P753" s="9" t="s">
        <v>17748</v>
      </c>
      <c r="Q753" s="11" t="s">
        <v>18433</v>
      </c>
      <c r="R753" s="11" t="s">
        <v>18433</v>
      </c>
      <c r="S753" s="11" t="s">
        <v>17750</v>
      </c>
    </row>
    <row r="754" spans="1:19" x14ac:dyDescent="0.2">
      <c r="A754" s="11" t="s">
        <v>22592</v>
      </c>
      <c r="B754" s="9" t="s">
        <v>22593</v>
      </c>
      <c r="C754" s="9" t="s">
        <v>22594</v>
      </c>
      <c r="D754" s="9" t="s">
        <v>22595</v>
      </c>
      <c r="E754" s="9" t="s">
        <v>17740</v>
      </c>
      <c r="F754" s="9" t="s">
        <v>17741</v>
      </c>
      <c r="G754" s="9" t="s">
        <v>17740</v>
      </c>
      <c r="H754" s="11" t="s">
        <v>17741</v>
      </c>
      <c r="I754" s="11" t="s">
        <v>22596</v>
      </c>
      <c r="J754" s="11" t="s">
        <v>22596</v>
      </c>
      <c r="K754" s="9" t="s">
        <v>601</v>
      </c>
      <c r="L754" s="9" t="s">
        <v>17759</v>
      </c>
      <c r="M754" s="9" t="s">
        <v>17760</v>
      </c>
      <c r="N754" s="9" t="s">
        <v>17746</v>
      </c>
      <c r="O754" s="9" t="s">
        <v>20453</v>
      </c>
      <c r="P754" s="9" t="s">
        <v>17748</v>
      </c>
      <c r="Q754" s="11" t="s">
        <v>18678</v>
      </c>
      <c r="R754" s="11" t="s">
        <v>18678</v>
      </c>
      <c r="S754" s="11" t="s">
        <v>17750</v>
      </c>
    </row>
    <row r="755" spans="1:19" x14ac:dyDescent="0.2">
      <c r="A755" s="11" t="s">
        <v>22597</v>
      </c>
      <c r="B755" s="9" t="s">
        <v>22598</v>
      </c>
      <c r="C755" s="9" t="s">
        <v>22599</v>
      </c>
      <c r="D755" s="9" t="s">
        <v>22600</v>
      </c>
      <c r="E755" s="9" t="s">
        <v>17740</v>
      </c>
      <c r="F755" s="9" t="s">
        <v>17741</v>
      </c>
      <c r="G755" s="9" t="s">
        <v>17740</v>
      </c>
      <c r="H755" s="11" t="s">
        <v>4155</v>
      </c>
      <c r="I755" s="11" t="s">
        <v>4154</v>
      </c>
      <c r="J755" s="11" t="s">
        <v>4154</v>
      </c>
      <c r="K755" s="9" t="s">
        <v>17805</v>
      </c>
      <c r="L755" s="9" t="s">
        <v>17744</v>
      </c>
      <c r="M755" s="9" t="s">
        <v>22601</v>
      </c>
      <c r="N755" s="9" t="s">
        <v>17746</v>
      </c>
      <c r="O755" s="9" t="s">
        <v>18088</v>
      </c>
      <c r="P755" s="9" t="s">
        <v>17748</v>
      </c>
      <c r="Q755" s="11" t="s">
        <v>18059</v>
      </c>
      <c r="R755" s="11" t="s">
        <v>18059</v>
      </c>
      <c r="S755" s="11" t="s">
        <v>17750</v>
      </c>
    </row>
    <row r="756" spans="1:19" x14ac:dyDescent="0.2">
      <c r="A756" s="11" t="s">
        <v>22602</v>
      </c>
      <c r="B756" s="9" t="s">
        <v>22603</v>
      </c>
      <c r="C756" s="9" t="s">
        <v>22604</v>
      </c>
      <c r="D756" s="9" t="s">
        <v>22605</v>
      </c>
      <c r="E756" s="9" t="s">
        <v>17740</v>
      </c>
      <c r="F756" s="9" t="s">
        <v>17741</v>
      </c>
      <c r="G756" s="9" t="s">
        <v>17740</v>
      </c>
      <c r="H756" s="11" t="s">
        <v>9767</v>
      </c>
      <c r="I756" s="11" t="s">
        <v>17741</v>
      </c>
      <c r="J756" s="11" t="s">
        <v>9767</v>
      </c>
      <c r="K756" s="9" t="s">
        <v>18570</v>
      </c>
      <c r="L756" s="9" t="s">
        <v>17744</v>
      </c>
      <c r="M756" s="9" t="s">
        <v>17741</v>
      </c>
      <c r="N756" s="9" t="s">
        <v>17746</v>
      </c>
      <c r="O756" s="9" t="s">
        <v>793</v>
      </c>
      <c r="P756" s="9" t="s">
        <v>17748</v>
      </c>
      <c r="Q756" s="11" t="s">
        <v>17994</v>
      </c>
      <c r="R756" s="11" t="s">
        <v>17994</v>
      </c>
      <c r="S756" s="11" t="s">
        <v>17750</v>
      </c>
    </row>
    <row r="757" spans="1:19" x14ac:dyDescent="0.2">
      <c r="A757" s="11" t="s">
        <v>22606</v>
      </c>
      <c r="B757" s="9" t="s">
        <v>22607</v>
      </c>
      <c r="C757" s="9" t="s">
        <v>22608</v>
      </c>
      <c r="D757" s="9" t="s">
        <v>22609</v>
      </c>
      <c r="E757" s="9" t="s">
        <v>17740</v>
      </c>
      <c r="F757" s="9" t="s">
        <v>22610</v>
      </c>
      <c r="G757" s="9" t="s">
        <v>17740</v>
      </c>
      <c r="H757" s="11" t="s">
        <v>17741</v>
      </c>
      <c r="I757" s="11" t="s">
        <v>4790</v>
      </c>
      <c r="J757" s="11" t="s">
        <v>4790</v>
      </c>
      <c r="K757" s="9" t="s">
        <v>22611</v>
      </c>
      <c r="L757" s="9" t="s">
        <v>17759</v>
      </c>
      <c r="M757" s="9" t="s">
        <v>17769</v>
      </c>
      <c r="N757" s="9" t="s">
        <v>17746</v>
      </c>
      <c r="O757" s="9" t="s">
        <v>793</v>
      </c>
      <c r="P757" s="9" t="s">
        <v>17748</v>
      </c>
      <c r="Q757" s="11" t="s">
        <v>17819</v>
      </c>
      <c r="R757" s="11" t="s">
        <v>17819</v>
      </c>
      <c r="S757" s="11" t="s">
        <v>17750</v>
      </c>
    </row>
    <row r="758" spans="1:19" x14ac:dyDescent="0.2">
      <c r="A758" s="11" t="s">
        <v>22612</v>
      </c>
      <c r="B758" s="9" t="s">
        <v>22613</v>
      </c>
      <c r="C758" s="9" t="s">
        <v>22614</v>
      </c>
      <c r="D758" s="9" t="s">
        <v>22615</v>
      </c>
      <c r="E758" s="9" t="s">
        <v>17748</v>
      </c>
      <c r="F758" s="9" t="s">
        <v>22616</v>
      </c>
      <c r="G758" s="9" t="s">
        <v>17740</v>
      </c>
      <c r="H758" s="11" t="s">
        <v>22617</v>
      </c>
      <c r="I758" s="11" t="s">
        <v>17146</v>
      </c>
      <c r="J758" s="11" t="s">
        <v>17146</v>
      </c>
      <c r="K758" s="9" t="s">
        <v>20489</v>
      </c>
      <c r="L758" s="9" t="s">
        <v>20446</v>
      </c>
      <c r="M758" s="9" t="s">
        <v>17769</v>
      </c>
      <c r="N758" s="9" t="s">
        <v>17746</v>
      </c>
      <c r="O758" s="9" t="s">
        <v>17993</v>
      </c>
      <c r="P758" s="9" t="s">
        <v>17748</v>
      </c>
      <c r="Q758" s="11" t="s">
        <v>17923</v>
      </c>
      <c r="R758" s="11" t="s">
        <v>17923</v>
      </c>
      <c r="S758" s="11" t="s">
        <v>17750</v>
      </c>
    </row>
    <row r="759" spans="1:19" x14ac:dyDescent="0.2">
      <c r="A759" s="11" t="s">
        <v>22618</v>
      </c>
      <c r="B759" s="9" t="s">
        <v>22619</v>
      </c>
      <c r="C759" s="9" t="s">
        <v>22620</v>
      </c>
      <c r="D759" s="9" t="s">
        <v>22621</v>
      </c>
      <c r="E759" s="9" t="s">
        <v>17740</v>
      </c>
      <c r="F759" s="9" t="s">
        <v>17741</v>
      </c>
      <c r="G759" s="9" t="s">
        <v>17740</v>
      </c>
      <c r="H759" s="11" t="s">
        <v>11417</v>
      </c>
      <c r="I759" s="11" t="s">
        <v>11416</v>
      </c>
      <c r="J759" s="11" t="s">
        <v>11416</v>
      </c>
      <c r="K759" s="9" t="s">
        <v>22622</v>
      </c>
      <c r="L759" s="9" t="s">
        <v>17744</v>
      </c>
      <c r="M759" s="9" t="s">
        <v>18533</v>
      </c>
      <c r="N759" s="9" t="s">
        <v>17746</v>
      </c>
      <c r="O759" s="9" t="s">
        <v>793</v>
      </c>
      <c r="P759" s="9" t="s">
        <v>17748</v>
      </c>
      <c r="Q759" s="11" t="s">
        <v>17762</v>
      </c>
      <c r="R759" s="11" t="s">
        <v>17762</v>
      </c>
      <c r="S759" s="11" t="s">
        <v>17750</v>
      </c>
    </row>
    <row r="760" spans="1:19" x14ac:dyDescent="0.2">
      <c r="A760" s="11" t="s">
        <v>22623</v>
      </c>
      <c r="B760" s="9" t="s">
        <v>22624</v>
      </c>
      <c r="C760" s="9" t="s">
        <v>22625</v>
      </c>
      <c r="D760" s="9" t="s">
        <v>22626</v>
      </c>
      <c r="E760" s="9" t="s">
        <v>17740</v>
      </c>
      <c r="F760" s="9" t="s">
        <v>17741</v>
      </c>
      <c r="G760" s="9" t="s">
        <v>17740</v>
      </c>
      <c r="H760" s="11" t="s">
        <v>22627</v>
      </c>
      <c r="I760" s="11" t="s">
        <v>7544</v>
      </c>
      <c r="J760" s="11" t="s">
        <v>7544</v>
      </c>
      <c r="K760" s="9" t="s">
        <v>920</v>
      </c>
      <c r="L760" s="9" t="s">
        <v>18001</v>
      </c>
      <c r="M760" s="9" t="s">
        <v>20580</v>
      </c>
      <c r="N760" s="9" t="s">
        <v>17746</v>
      </c>
      <c r="O760" s="9" t="s">
        <v>17890</v>
      </c>
      <c r="P760" s="9" t="s">
        <v>17748</v>
      </c>
      <c r="Q760" s="11" t="s">
        <v>18080</v>
      </c>
      <c r="R760" s="11" t="s">
        <v>18080</v>
      </c>
      <c r="S760" s="11" t="s">
        <v>17750</v>
      </c>
    </row>
    <row r="761" spans="1:19" x14ac:dyDescent="0.2">
      <c r="A761" s="11" t="s">
        <v>22628</v>
      </c>
      <c r="B761" s="9" t="s">
        <v>22629</v>
      </c>
      <c r="C761" s="9" t="s">
        <v>22630</v>
      </c>
      <c r="D761" s="9" t="s">
        <v>22631</v>
      </c>
      <c r="E761" s="9" t="s">
        <v>17740</v>
      </c>
      <c r="F761" s="9" t="s">
        <v>17741</v>
      </c>
      <c r="G761" s="9" t="s">
        <v>17740</v>
      </c>
      <c r="H761" s="11" t="s">
        <v>8449</v>
      </c>
      <c r="I761" s="11" t="s">
        <v>8448</v>
      </c>
      <c r="J761" s="11" t="s">
        <v>8448</v>
      </c>
      <c r="K761" s="9" t="s">
        <v>18876</v>
      </c>
      <c r="L761" s="9" t="s">
        <v>17759</v>
      </c>
      <c r="M761" s="9" t="s">
        <v>18065</v>
      </c>
      <c r="N761" s="9" t="s">
        <v>17746</v>
      </c>
      <c r="O761" s="9" t="s">
        <v>793</v>
      </c>
      <c r="P761" s="9" t="s">
        <v>17748</v>
      </c>
      <c r="Q761" s="11" t="s">
        <v>18798</v>
      </c>
      <c r="R761" s="11" t="s">
        <v>18798</v>
      </c>
      <c r="S761" s="11" t="s">
        <v>17750</v>
      </c>
    </row>
    <row r="762" spans="1:19" x14ac:dyDescent="0.2">
      <c r="A762" s="11" t="s">
        <v>22632</v>
      </c>
      <c r="B762" s="9" t="s">
        <v>22633</v>
      </c>
      <c r="C762" s="9" t="s">
        <v>22634</v>
      </c>
      <c r="D762" s="9" t="s">
        <v>22635</v>
      </c>
      <c r="E762" s="9" t="s">
        <v>17740</v>
      </c>
      <c r="F762" s="9" t="s">
        <v>22636</v>
      </c>
      <c r="G762" s="9" t="s">
        <v>17740</v>
      </c>
      <c r="H762" s="11" t="s">
        <v>17741</v>
      </c>
      <c r="I762" s="11" t="s">
        <v>22637</v>
      </c>
      <c r="J762" s="11" t="s">
        <v>22637</v>
      </c>
      <c r="K762" s="9" t="s">
        <v>22638</v>
      </c>
      <c r="L762" s="9" t="s">
        <v>18025</v>
      </c>
      <c r="M762" s="9" t="s">
        <v>22639</v>
      </c>
      <c r="N762" s="9" t="s">
        <v>18026</v>
      </c>
      <c r="O762" s="9" t="s">
        <v>17993</v>
      </c>
      <c r="P762" s="9" t="s">
        <v>17748</v>
      </c>
      <c r="Q762" s="11" t="s">
        <v>18960</v>
      </c>
      <c r="R762" s="11" t="s">
        <v>18960</v>
      </c>
      <c r="S762" s="11" t="s">
        <v>17750</v>
      </c>
    </row>
    <row r="763" spans="1:19" x14ac:dyDescent="0.2">
      <c r="A763" s="11" t="s">
        <v>22640</v>
      </c>
      <c r="B763" s="9" t="s">
        <v>22641</v>
      </c>
      <c r="C763" s="9" t="s">
        <v>22642</v>
      </c>
      <c r="D763" s="9" t="s">
        <v>22643</v>
      </c>
      <c r="E763" s="9" t="s">
        <v>17740</v>
      </c>
      <c r="F763" s="9" t="s">
        <v>17741</v>
      </c>
      <c r="G763" s="9" t="s">
        <v>17740</v>
      </c>
      <c r="H763" s="11" t="s">
        <v>915</v>
      </c>
      <c r="I763" s="11" t="s">
        <v>914</v>
      </c>
      <c r="J763" s="11" t="s">
        <v>914</v>
      </c>
      <c r="K763" s="9" t="s">
        <v>916</v>
      </c>
      <c r="L763" s="9" t="s">
        <v>18242</v>
      </c>
      <c r="M763" s="9" t="s">
        <v>18065</v>
      </c>
      <c r="N763" s="9" t="s">
        <v>17746</v>
      </c>
      <c r="O763" s="9" t="s">
        <v>17993</v>
      </c>
      <c r="P763" s="9" t="s">
        <v>17748</v>
      </c>
      <c r="Q763" s="11" t="s">
        <v>19222</v>
      </c>
      <c r="R763" s="11" t="s">
        <v>19222</v>
      </c>
      <c r="S763" s="11" t="s">
        <v>17750</v>
      </c>
    </row>
    <row r="764" spans="1:19" x14ac:dyDescent="0.2">
      <c r="A764" s="11" t="s">
        <v>22644</v>
      </c>
      <c r="B764" s="9" t="s">
        <v>22645</v>
      </c>
      <c r="C764" s="9" t="s">
        <v>22646</v>
      </c>
      <c r="D764" s="9" t="s">
        <v>22647</v>
      </c>
      <c r="E764" s="9" t="s">
        <v>17740</v>
      </c>
      <c r="F764" s="9" t="s">
        <v>17741</v>
      </c>
      <c r="G764" s="9" t="s">
        <v>17740</v>
      </c>
      <c r="H764" s="11" t="s">
        <v>17741</v>
      </c>
      <c r="I764" s="11" t="s">
        <v>887</v>
      </c>
      <c r="J764" s="11" t="s">
        <v>887</v>
      </c>
      <c r="K764" s="9" t="s">
        <v>22648</v>
      </c>
      <c r="L764" s="9" t="s">
        <v>17759</v>
      </c>
      <c r="M764" s="9" t="s">
        <v>18745</v>
      </c>
      <c r="N764" s="9" t="s">
        <v>17746</v>
      </c>
      <c r="O764" s="9" t="s">
        <v>793</v>
      </c>
      <c r="P764" s="9" t="s">
        <v>17748</v>
      </c>
      <c r="Q764" s="11" t="s">
        <v>17849</v>
      </c>
      <c r="R764" s="11" t="s">
        <v>17849</v>
      </c>
      <c r="S764" s="11" t="s">
        <v>17750</v>
      </c>
    </row>
    <row r="765" spans="1:19" x14ac:dyDescent="0.2">
      <c r="A765" s="11" t="s">
        <v>22649</v>
      </c>
      <c r="B765" s="9" t="s">
        <v>22650</v>
      </c>
      <c r="C765" s="9" t="s">
        <v>22651</v>
      </c>
      <c r="D765" s="9" t="s">
        <v>22652</v>
      </c>
      <c r="E765" s="9" t="s">
        <v>17740</v>
      </c>
      <c r="F765" s="9" t="s">
        <v>22653</v>
      </c>
      <c r="G765" s="9" t="s">
        <v>17740</v>
      </c>
      <c r="H765" s="11" t="s">
        <v>801</v>
      </c>
      <c r="I765" s="11" t="s">
        <v>800</v>
      </c>
      <c r="J765" s="11" t="s">
        <v>800</v>
      </c>
      <c r="K765" s="9" t="s">
        <v>22330</v>
      </c>
      <c r="L765" s="9" t="s">
        <v>20359</v>
      </c>
      <c r="M765" s="9" t="s">
        <v>19168</v>
      </c>
      <c r="N765" s="9" t="s">
        <v>17746</v>
      </c>
      <c r="O765" s="9" t="s">
        <v>22654</v>
      </c>
      <c r="P765" s="9" t="s">
        <v>17748</v>
      </c>
      <c r="Q765" s="11" t="s">
        <v>19515</v>
      </c>
      <c r="R765" s="11" t="s">
        <v>19515</v>
      </c>
      <c r="S765" s="11" t="s">
        <v>17750</v>
      </c>
    </row>
    <row r="766" spans="1:19" x14ac:dyDescent="0.2">
      <c r="A766" s="11" t="s">
        <v>22655</v>
      </c>
      <c r="B766" s="9" t="s">
        <v>22656</v>
      </c>
      <c r="C766" s="9" t="s">
        <v>22657</v>
      </c>
      <c r="D766" s="9" t="s">
        <v>22658</v>
      </c>
      <c r="E766" s="9" t="s">
        <v>17748</v>
      </c>
      <c r="F766" s="9" t="s">
        <v>22659</v>
      </c>
      <c r="G766" s="9" t="s">
        <v>17740</v>
      </c>
      <c r="H766" s="11" t="s">
        <v>17741</v>
      </c>
      <c r="I766" s="11" t="s">
        <v>17741</v>
      </c>
      <c r="J766" s="11" t="s">
        <v>17741</v>
      </c>
      <c r="K766" s="9" t="s">
        <v>22660</v>
      </c>
      <c r="L766" s="9" t="s">
        <v>18854</v>
      </c>
      <c r="M766" s="9" t="s">
        <v>18065</v>
      </c>
      <c r="N766" s="9" t="s">
        <v>20237</v>
      </c>
      <c r="O766" s="9" t="s">
        <v>773</v>
      </c>
      <c r="P766" s="9" t="s">
        <v>17748</v>
      </c>
      <c r="Q766" s="11" t="s">
        <v>17858</v>
      </c>
      <c r="R766" s="11" t="s">
        <v>17858</v>
      </c>
      <c r="S766" s="11" t="s">
        <v>17750</v>
      </c>
    </row>
    <row r="767" spans="1:19" x14ac:dyDescent="0.2">
      <c r="A767" s="11" t="s">
        <v>22661</v>
      </c>
      <c r="B767" s="9" t="s">
        <v>22662</v>
      </c>
      <c r="C767" s="9" t="s">
        <v>22663</v>
      </c>
      <c r="D767" s="9" t="s">
        <v>22664</v>
      </c>
      <c r="E767" s="9" t="s">
        <v>17740</v>
      </c>
      <c r="F767" s="9" t="s">
        <v>22665</v>
      </c>
      <c r="G767" s="9" t="s">
        <v>17740</v>
      </c>
      <c r="H767" s="11" t="s">
        <v>22666</v>
      </c>
      <c r="I767" s="11" t="s">
        <v>22667</v>
      </c>
      <c r="J767" s="11" t="s">
        <v>22667</v>
      </c>
      <c r="K767" s="9" t="s">
        <v>22668</v>
      </c>
      <c r="L767" s="9" t="s">
        <v>18158</v>
      </c>
      <c r="M767" s="9" t="s">
        <v>19988</v>
      </c>
      <c r="N767" s="9" t="s">
        <v>17746</v>
      </c>
      <c r="O767" s="9" t="s">
        <v>793</v>
      </c>
      <c r="P767" s="9" t="s">
        <v>17748</v>
      </c>
      <c r="Q767" s="11" t="s">
        <v>19899</v>
      </c>
      <c r="R767" s="11" t="s">
        <v>19899</v>
      </c>
      <c r="S767" s="11" t="s">
        <v>17750</v>
      </c>
    </row>
    <row r="768" spans="1:19" x14ac:dyDescent="0.2">
      <c r="A768" s="11" t="s">
        <v>22669</v>
      </c>
      <c r="B768" s="9" t="s">
        <v>22670</v>
      </c>
      <c r="C768" s="9" t="s">
        <v>22671</v>
      </c>
      <c r="D768" s="9" t="s">
        <v>22672</v>
      </c>
      <c r="E768" s="9" t="s">
        <v>17740</v>
      </c>
      <c r="F768" s="9" t="s">
        <v>22673</v>
      </c>
      <c r="G768" s="9" t="s">
        <v>17740</v>
      </c>
      <c r="H768" s="11" t="s">
        <v>5970</v>
      </c>
      <c r="I768" s="11" t="s">
        <v>5969</v>
      </c>
      <c r="J768" s="11" t="s">
        <v>5969</v>
      </c>
      <c r="K768" s="9" t="s">
        <v>18876</v>
      </c>
      <c r="L768" s="9" t="s">
        <v>18001</v>
      </c>
      <c r="M768" s="9" t="s">
        <v>18184</v>
      </c>
      <c r="N768" s="9" t="s">
        <v>17746</v>
      </c>
      <c r="O768" s="9" t="s">
        <v>773</v>
      </c>
      <c r="P768" s="9" t="s">
        <v>17748</v>
      </c>
      <c r="Q768" s="11" t="s">
        <v>18147</v>
      </c>
      <c r="R768" s="11" t="s">
        <v>18147</v>
      </c>
      <c r="S768" s="11" t="s">
        <v>17750</v>
      </c>
    </row>
    <row r="769" spans="1:19" x14ac:dyDescent="0.2">
      <c r="A769" s="11" t="s">
        <v>22674</v>
      </c>
      <c r="B769" s="9" t="s">
        <v>22675</v>
      </c>
      <c r="C769" s="9" t="s">
        <v>22676</v>
      </c>
      <c r="D769" s="9" t="s">
        <v>22677</v>
      </c>
      <c r="E769" s="9" t="s">
        <v>17740</v>
      </c>
      <c r="F769" s="9" t="s">
        <v>22678</v>
      </c>
      <c r="G769" s="9" t="s">
        <v>17740</v>
      </c>
      <c r="H769" s="11" t="s">
        <v>22679</v>
      </c>
      <c r="I769" s="11" t="s">
        <v>22680</v>
      </c>
      <c r="J769" s="11" t="s">
        <v>22680</v>
      </c>
      <c r="K769" s="9" t="s">
        <v>21219</v>
      </c>
      <c r="L769" s="9" t="s">
        <v>18158</v>
      </c>
      <c r="M769" s="9" t="s">
        <v>22681</v>
      </c>
      <c r="N769" s="9" t="s">
        <v>17746</v>
      </c>
      <c r="O769" s="9" t="s">
        <v>22682</v>
      </c>
      <c r="P769" s="9" t="s">
        <v>17748</v>
      </c>
      <c r="Q769" s="11" t="s">
        <v>18600</v>
      </c>
      <c r="R769" s="11" t="s">
        <v>18600</v>
      </c>
      <c r="S769" s="11" t="s">
        <v>17750</v>
      </c>
    </row>
    <row r="770" spans="1:19" x14ac:dyDescent="0.2">
      <c r="A770" s="11" t="s">
        <v>22683</v>
      </c>
      <c r="B770" s="9" t="s">
        <v>22684</v>
      </c>
      <c r="C770" s="9" t="s">
        <v>22685</v>
      </c>
      <c r="D770" s="9" t="s">
        <v>22684</v>
      </c>
      <c r="E770" s="9" t="s">
        <v>17740</v>
      </c>
      <c r="F770" s="9" t="s">
        <v>17741</v>
      </c>
      <c r="G770" s="9" t="s">
        <v>17740</v>
      </c>
      <c r="H770" s="11" t="s">
        <v>22686</v>
      </c>
      <c r="I770" s="11" t="s">
        <v>22687</v>
      </c>
      <c r="J770" s="11" t="s">
        <v>22687</v>
      </c>
      <c r="K770" s="9" t="s">
        <v>22688</v>
      </c>
      <c r="L770" s="9" t="s">
        <v>17759</v>
      </c>
      <c r="M770" s="9" t="s">
        <v>17760</v>
      </c>
      <c r="N770" s="9" t="s">
        <v>17746</v>
      </c>
      <c r="O770" s="9" t="s">
        <v>22682</v>
      </c>
      <c r="P770" s="9" t="s">
        <v>17748</v>
      </c>
      <c r="Q770" s="11" t="s">
        <v>22689</v>
      </c>
      <c r="R770" s="11" t="s">
        <v>22689</v>
      </c>
      <c r="S770" s="11" t="s">
        <v>17750</v>
      </c>
    </row>
    <row r="771" spans="1:19" x14ac:dyDescent="0.2">
      <c r="A771" s="11" t="s">
        <v>22690</v>
      </c>
      <c r="B771" s="9" t="s">
        <v>22691</v>
      </c>
      <c r="C771" s="9" t="s">
        <v>22692</v>
      </c>
      <c r="D771" s="9" t="s">
        <v>22693</v>
      </c>
      <c r="E771" s="9" t="s">
        <v>17740</v>
      </c>
      <c r="F771" s="9" t="s">
        <v>17741</v>
      </c>
      <c r="G771" s="9" t="s">
        <v>17740</v>
      </c>
      <c r="H771" s="11" t="s">
        <v>22694</v>
      </c>
      <c r="I771" s="11" t="s">
        <v>22695</v>
      </c>
      <c r="J771" s="11" t="s">
        <v>17741</v>
      </c>
      <c r="K771" s="9" t="s">
        <v>17783</v>
      </c>
      <c r="L771" s="9" t="s">
        <v>18001</v>
      </c>
      <c r="M771" s="9" t="s">
        <v>18211</v>
      </c>
      <c r="N771" s="9" t="s">
        <v>17746</v>
      </c>
      <c r="O771" s="9" t="s">
        <v>22696</v>
      </c>
      <c r="P771" s="9" t="s">
        <v>17748</v>
      </c>
      <c r="Q771" s="11" t="s">
        <v>17917</v>
      </c>
      <c r="R771" s="11" t="s">
        <v>17917</v>
      </c>
      <c r="S771" s="11" t="s">
        <v>17750</v>
      </c>
    </row>
    <row r="772" spans="1:19" x14ac:dyDescent="0.2">
      <c r="A772" s="11" t="s">
        <v>22697</v>
      </c>
      <c r="B772" s="9" t="s">
        <v>22698</v>
      </c>
      <c r="C772" s="9" t="s">
        <v>22699</v>
      </c>
      <c r="D772" s="9" t="s">
        <v>22700</v>
      </c>
      <c r="E772" s="9" t="s">
        <v>17740</v>
      </c>
      <c r="F772" s="9" t="s">
        <v>17741</v>
      </c>
      <c r="G772" s="9" t="s">
        <v>17740</v>
      </c>
      <c r="H772" s="11" t="s">
        <v>6276</v>
      </c>
      <c r="I772" s="11" t="s">
        <v>6275</v>
      </c>
      <c r="J772" s="11" t="s">
        <v>6275</v>
      </c>
      <c r="K772" s="9" t="s">
        <v>18661</v>
      </c>
      <c r="L772" s="9" t="s">
        <v>17744</v>
      </c>
      <c r="M772" s="9" t="s">
        <v>18289</v>
      </c>
      <c r="N772" s="9" t="s">
        <v>17746</v>
      </c>
      <c r="O772" s="9" t="s">
        <v>22701</v>
      </c>
      <c r="P772" s="9" t="s">
        <v>17748</v>
      </c>
      <c r="Q772" s="11" t="s">
        <v>17792</v>
      </c>
      <c r="R772" s="11" t="s">
        <v>17792</v>
      </c>
      <c r="S772" s="11" t="s">
        <v>17750</v>
      </c>
    </row>
    <row r="773" spans="1:19" x14ac:dyDescent="0.2">
      <c r="A773" s="11" t="s">
        <v>22702</v>
      </c>
      <c r="B773" s="9" t="s">
        <v>22703</v>
      </c>
      <c r="C773" s="9" t="s">
        <v>22704</v>
      </c>
      <c r="D773" s="9" t="s">
        <v>22705</v>
      </c>
      <c r="E773" s="9" t="s">
        <v>17740</v>
      </c>
      <c r="F773" s="9" t="s">
        <v>17741</v>
      </c>
      <c r="G773" s="9" t="s">
        <v>17740</v>
      </c>
      <c r="H773" s="11" t="s">
        <v>5583</v>
      </c>
      <c r="I773" s="11" t="s">
        <v>5582</v>
      </c>
      <c r="J773" s="11" t="s">
        <v>5582</v>
      </c>
      <c r="K773" s="9" t="s">
        <v>22706</v>
      </c>
      <c r="L773" s="9" t="s">
        <v>17744</v>
      </c>
      <c r="M773" s="9" t="s">
        <v>22707</v>
      </c>
      <c r="N773" s="9" t="s">
        <v>17746</v>
      </c>
      <c r="O773" s="9" t="s">
        <v>22701</v>
      </c>
      <c r="P773" s="9" t="s">
        <v>17748</v>
      </c>
      <c r="Q773" s="11" t="s">
        <v>18080</v>
      </c>
      <c r="R773" s="11" t="s">
        <v>18080</v>
      </c>
      <c r="S773" s="11" t="s">
        <v>17750</v>
      </c>
    </row>
    <row r="774" spans="1:19" x14ac:dyDescent="0.2">
      <c r="A774" s="11" t="s">
        <v>22708</v>
      </c>
      <c r="B774" s="9" t="s">
        <v>22709</v>
      </c>
      <c r="C774" s="9" t="s">
        <v>22710</v>
      </c>
      <c r="D774" s="9" t="s">
        <v>22711</v>
      </c>
      <c r="E774" s="9" t="s">
        <v>17740</v>
      </c>
      <c r="F774" s="9" t="s">
        <v>17741</v>
      </c>
      <c r="G774" s="9" t="s">
        <v>17740</v>
      </c>
      <c r="H774" s="11" t="s">
        <v>892</v>
      </c>
      <c r="I774" s="11" t="s">
        <v>891</v>
      </c>
      <c r="J774" s="11" t="s">
        <v>891</v>
      </c>
      <c r="K774" s="9" t="s">
        <v>91</v>
      </c>
      <c r="L774" s="9" t="s">
        <v>17759</v>
      </c>
      <c r="M774" s="9" t="s">
        <v>22712</v>
      </c>
      <c r="N774" s="9" t="s">
        <v>17746</v>
      </c>
      <c r="O774" s="9" t="s">
        <v>22701</v>
      </c>
      <c r="P774" s="9" t="s">
        <v>17748</v>
      </c>
      <c r="Q774" s="11" t="s">
        <v>19899</v>
      </c>
      <c r="R774" s="11" t="s">
        <v>19899</v>
      </c>
      <c r="S774" s="11" t="s">
        <v>17750</v>
      </c>
    </row>
    <row r="775" spans="1:19" x14ac:dyDescent="0.2">
      <c r="A775" s="11" t="s">
        <v>22713</v>
      </c>
      <c r="B775" s="9" t="s">
        <v>22714</v>
      </c>
      <c r="C775" s="9" t="s">
        <v>22715</v>
      </c>
      <c r="D775" s="9" t="s">
        <v>22716</v>
      </c>
      <c r="E775" s="9" t="s">
        <v>17740</v>
      </c>
      <c r="F775" s="9" t="s">
        <v>17741</v>
      </c>
      <c r="G775" s="9" t="s">
        <v>17740</v>
      </c>
      <c r="H775" s="11" t="s">
        <v>17741</v>
      </c>
      <c r="I775" s="11" t="s">
        <v>22717</v>
      </c>
      <c r="J775" s="11" t="s">
        <v>22717</v>
      </c>
      <c r="K775" s="9" t="s">
        <v>22718</v>
      </c>
      <c r="L775" s="9" t="s">
        <v>18854</v>
      </c>
      <c r="M775" s="9" t="s">
        <v>22559</v>
      </c>
      <c r="N775" s="9" t="s">
        <v>20237</v>
      </c>
      <c r="O775" s="9" t="s">
        <v>18762</v>
      </c>
      <c r="P775" s="9" t="s">
        <v>17748</v>
      </c>
      <c r="Q775" s="11" t="s">
        <v>18608</v>
      </c>
      <c r="R775" s="11" t="s">
        <v>18608</v>
      </c>
      <c r="S775" s="11" t="s">
        <v>17750</v>
      </c>
    </row>
    <row r="776" spans="1:19" x14ac:dyDescent="0.2">
      <c r="A776" s="11" t="s">
        <v>22719</v>
      </c>
      <c r="B776" s="9" t="s">
        <v>22720</v>
      </c>
      <c r="C776" s="9" t="s">
        <v>22721</v>
      </c>
      <c r="D776" s="9" t="s">
        <v>22722</v>
      </c>
      <c r="E776" s="9" t="s">
        <v>17740</v>
      </c>
      <c r="F776" s="9" t="s">
        <v>17741</v>
      </c>
      <c r="G776" s="9" t="s">
        <v>17740</v>
      </c>
      <c r="H776" s="11" t="s">
        <v>750</v>
      </c>
      <c r="I776" s="11" t="s">
        <v>749</v>
      </c>
      <c r="J776" s="11" t="s">
        <v>749</v>
      </c>
      <c r="K776" s="9" t="s">
        <v>17805</v>
      </c>
      <c r="L776" s="9" t="s">
        <v>17744</v>
      </c>
      <c r="M776" s="9" t="s">
        <v>18513</v>
      </c>
      <c r="N776" s="9" t="s">
        <v>17746</v>
      </c>
      <c r="O776" s="9" t="s">
        <v>3391</v>
      </c>
      <c r="P776" s="9" t="s">
        <v>17748</v>
      </c>
      <c r="Q776" s="11" t="s">
        <v>18251</v>
      </c>
      <c r="R776" s="11" t="s">
        <v>18251</v>
      </c>
      <c r="S776" s="11" t="s">
        <v>17750</v>
      </c>
    </row>
    <row r="777" spans="1:19" x14ac:dyDescent="0.2">
      <c r="A777" s="11" t="s">
        <v>22723</v>
      </c>
      <c r="B777" s="9" t="s">
        <v>22724</v>
      </c>
      <c r="C777" s="9" t="s">
        <v>22725</v>
      </c>
      <c r="D777" s="9" t="s">
        <v>22726</v>
      </c>
      <c r="E777" s="9" t="s">
        <v>17740</v>
      </c>
      <c r="F777" s="9" t="s">
        <v>17741</v>
      </c>
      <c r="G777" s="9" t="s">
        <v>17740</v>
      </c>
      <c r="H777" s="11" t="s">
        <v>780</v>
      </c>
      <c r="I777" s="11" t="s">
        <v>779</v>
      </c>
      <c r="J777" s="11" t="s">
        <v>779</v>
      </c>
      <c r="K777" s="9" t="s">
        <v>22475</v>
      </c>
      <c r="L777" s="9" t="s">
        <v>18001</v>
      </c>
      <c r="M777" s="9" t="s">
        <v>22727</v>
      </c>
      <c r="N777" s="9" t="s">
        <v>17746</v>
      </c>
      <c r="O777" s="9" t="s">
        <v>17959</v>
      </c>
      <c r="P777" s="9" t="s">
        <v>17748</v>
      </c>
      <c r="Q777" s="11" t="s">
        <v>18243</v>
      </c>
      <c r="R777" s="11" t="s">
        <v>18243</v>
      </c>
      <c r="S777" s="11" t="s">
        <v>17750</v>
      </c>
    </row>
    <row r="778" spans="1:19" x14ac:dyDescent="0.2">
      <c r="A778" s="11" t="s">
        <v>22728</v>
      </c>
      <c r="B778" s="9" t="s">
        <v>22729</v>
      </c>
      <c r="C778" s="9" t="s">
        <v>22730</v>
      </c>
      <c r="D778" s="9" t="s">
        <v>22731</v>
      </c>
      <c r="E778" s="9" t="s">
        <v>17740</v>
      </c>
      <c r="F778" s="9" t="s">
        <v>17741</v>
      </c>
      <c r="G778" s="9" t="s">
        <v>17740</v>
      </c>
      <c r="H778" s="11" t="s">
        <v>22732</v>
      </c>
      <c r="I778" s="11" t="s">
        <v>22733</v>
      </c>
      <c r="J778" s="11" t="s">
        <v>22733</v>
      </c>
      <c r="K778" s="9" t="s">
        <v>324</v>
      </c>
      <c r="L778" s="9" t="s">
        <v>17759</v>
      </c>
      <c r="M778" s="9" t="s">
        <v>22734</v>
      </c>
      <c r="N778" s="9" t="s">
        <v>17746</v>
      </c>
      <c r="O778" s="9" t="s">
        <v>20799</v>
      </c>
      <c r="P778" s="9" t="s">
        <v>17748</v>
      </c>
      <c r="Q778" s="11" t="s">
        <v>18556</v>
      </c>
      <c r="R778" s="11" t="s">
        <v>18556</v>
      </c>
      <c r="S778" s="11" t="s">
        <v>17750</v>
      </c>
    </row>
    <row r="779" spans="1:19" x14ac:dyDescent="0.2">
      <c r="A779" s="11" t="s">
        <v>22735</v>
      </c>
      <c r="B779" s="9" t="s">
        <v>802</v>
      </c>
      <c r="C779" s="9" t="s">
        <v>22736</v>
      </c>
      <c r="D779" s="9" t="s">
        <v>802</v>
      </c>
      <c r="E779" s="9" t="s">
        <v>17740</v>
      </c>
      <c r="F779" s="9" t="s">
        <v>22737</v>
      </c>
      <c r="G779" s="9" t="s">
        <v>17740</v>
      </c>
      <c r="H779" s="11" t="s">
        <v>804</v>
      </c>
      <c r="I779" s="11" t="s">
        <v>803</v>
      </c>
      <c r="J779" s="11" t="s">
        <v>803</v>
      </c>
      <c r="K779" s="9" t="s">
        <v>18827</v>
      </c>
      <c r="L779" s="9" t="s">
        <v>17759</v>
      </c>
      <c r="M779" s="9" t="s">
        <v>22738</v>
      </c>
      <c r="N779" s="9" t="s">
        <v>17746</v>
      </c>
      <c r="O779" s="9" t="s">
        <v>773</v>
      </c>
      <c r="P779" s="9" t="s">
        <v>17748</v>
      </c>
      <c r="Q779" s="11" t="s">
        <v>17849</v>
      </c>
      <c r="R779" s="11" t="s">
        <v>17849</v>
      </c>
      <c r="S779" s="11" t="s">
        <v>17750</v>
      </c>
    </row>
    <row r="780" spans="1:19" x14ac:dyDescent="0.2">
      <c r="A780" s="11" t="s">
        <v>22739</v>
      </c>
      <c r="B780" s="9" t="s">
        <v>22740</v>
      </c>
      <c r="C780" s="9" t="s">
        <v>22741</v>
      </c>
      <c r="D780" s="9" t="s">
        <v>22742</v>
      </c>
      <c r="E780" s="9" t="s">
        <v>17740</v>
      </c>
      <c r="F780" s="9" t="s">
        <v>22743</v>
      </c>
      <c r="G780" s="9" t="s">
        <v>17740</v>
      </c>
      <c r="H780" s="11" t="s">
        <v>8835</v>
      </c>
      <c r="I780" s="11" t="s">
        <v>8834</v>
      </c>
      <c r="J780" s="11" t="s">
        <v>8834</v>
      </c>
      <c r="K780" s="9" t="s">
        <v>17089</v>
      </c>
      <c r="L780" s="9" t="s">
        <v>18158</v>
      </c>
      <c r="M780" s="9" t="s">
        <v>18065</v>
      </c>
      <c r="N780" s="9" t="s">
        <v>17746</v>
      </c>
      <c r="O780" s="9" t="s">
        <v>17890</v>
      </c>
      <c r="P780" s="9" t="s">
        <v>17748</v>
      </c>
      <c r="Q780" s="11" t="s">
        <v>18922</v>
      </c>
      <c r="R780" s="11" t="s">
        <v>18922</v>
      </c>
      <c r="S780" s="11" t="s">
        <v>17750</v>
      </c>
    </row>
    <row r="781" spans="1:19" x14ac:dyDescent="0.2">
      <c r="A781" s="11" t="s">
        <v>22744</v>
      </c>
      <c r="B781" s="9" t="s">
        <v>22745</v>
      </c>
      <c r="C781" s="9" t="s">
        <v>22746</v>
      </c>
      <c r="D781" s="9" t="s">
        <v>22747</v>
      </c>
      <c r="E781" s="9" t="s">
        <v>17740</v>
      </c>
      <c r="F781" s="9" t="s">
        <v>22748</v>
      </c>
      <c r="G781" s="9" t="s">
        <v>17740</v>
      </c>
      <c r="H781" s="11" t="s">
        <v>5549</v>
      </c>
      <c r="I781" s="11" t="s">
        <v>5548</v>
      </c>
      <c r="J781" s="11" t="s">
        <v>5548</v>
      </c>
      <c r="K781" s="9" t="s">
        <v>22749</v>
      </c>
      <c r="L781" s="9" t="s">
        <v>17744</v>
      </c>
      <c r="M781" s="9" t="s">
        <v>22750</v>
      </c>
      <c r="N781" s="9" t="s">
        <v>17746</v>
      </c>
      <c r="O781" s="9" t="s">
        <v>18713</v>
      </c>
      <c r="P781" s="9" t="s">
        <v>17748</v>
      </c>
      <c r="Q781" s="11" t="s">
        <v>18080</v>
      </c>
      <c r="R781" s="11" t="s">
        <v>18080</v>
      </c>
      <c r="S781" s="11" t="s">
        <v>17750</v>
      </c>
    </row>
    <row r="782" spans="1:19" x14ac:dyDescent="0.2">
      <c r="A782" s="11" t="s">
        <v>22751</v>
      </c>
      <c r="B782" s="9" t="s">
        <v>917</v>
      </c>
      <c r="C782" s="9" t="s">
        <v>22752</v>
      </c>
      <c r="D782" s="9" t="s">
        <v>917</v>
      </c>
      <c r="E782" s="9" t="s">
        <v>17740</v>
      </c>
      <c r="F782" s="9" t="s">
        <v>17741</v>
      </c>
      <c r="G782" s="9" t="s">
        <v>17740</v>
      </c>
      <c r="H782" s="11" t="s">
        <v>919</v>
      </c>
      <c r="I782" s="11" t="s">
        <v>918</v>
      </c>
      <c r="J782" s="11" t="s">
        <v>918</v>
      </c>
      <c r="K782" s="9" t="s">
        <v>920</v>
      </c>
      <c r="L782" s="9" t="s">
        <v>18001</v>
      </c>
      <c r="M782" s="9" t="s">
        <v>17769</v>
      </c>
      <c r="N782" s="9" t="s">
        <v>17746</v>
      </c>
      <c r="O782" s="9" t="s">
        <v>20799</v>
      </c>
      <c r="P782" s="9" t="s">
        <v>17748</v>
      </c>
      <c r="Q782" s="11" t="s">
        <v>18314</v>
      </c>
      <c r="R782" s="11" t="s">
        <v>18314</v>
      </c>
      <c r="S782" s="11" t="s">
        <v>17750</v>
      </c>
    </row>
    <row r="783" spans="1:19" x14ac:dyDescent="0.2">
      <c r="A783" s="11" t="s">
        <v>22753</v>
      </c>
      <c r="B783" s="9" t="s">
        <v>22754</v>
      </c>
      <c r="C783" s="9" t="s">
        <v>22755</v>
      </c>
      <c r="D783" s="9" t="s">
        <v>22756</v>
      </c>
      <c r="E783" s="9" t="s">
        <v>17740</v>
      </c>
      <c r="F783" s="9" t="s">
        <v>17741</v>
      </c>
      <c r="G783" s="9" t="s">
        <v>17740</v>
      </c>
      <c r="H783" s="11" t="s">
        <v>927</v>
      </c>
      <c r="I783" s="11" t="s">
        <v>926</v>
      </c>
      <c r="J783" s="11" t="s">
        <v>926</v>
      </c>
      <c r="K783" s="9" t="s">
        <v>22757</v>
      </c>
      <c r="L783" s="9" t="s">
        <v>17759</v>
      </c>
      <c r="M783" s="9" t="s">
        <v>17769</v>
      </c>
      <c r="N783" s="9" t="s">
        <v>17746</v>
      </c>
      <c r="O783" s="9" t="s">
        <v>19917</v>
      </c>
      <c r="P783" s="9" t="s">
        <v>17748</v>
      </c>
      <c r="Q783" s="11" t="s">
        <v>18433</v>
      </c>
      <c r="R783" s="11" t="s">
        <v>18433</v>
      </c>
      <c r="S783" s="11" t="s">
        <v>17750</v>
      </c>
    </row>
    <row r="784" spans="1:19" x14ac:dyDescent="0.2">
      <c r="A784" s="11" t="s">
        <v>22758</v>
      </c>
      <c r="B784" s="9" t="s">
        <v>22759</v>
      </c>
      <c r="C784" s="9" t="s">
        <v>22760</v>
      </c>
      <c r="D784" s="9" t="s">
        <v>22761</v>
      </c>
      <c r="E784" s="9" t="s">
        <v>17740</v>
      </c>
      <c r="F784" s="9" t="s">
        <v>17741</v>
      </c>
      <c r="G784" s="9" t="s">
        <v>17740</v>
      </c>
      <c r="H784" s="11" t="s">
        <v>22762</v>
      </c>
      <c r="I784" s="11" t="s">
        <v>22763</v>
      </c>
      <c r="J784" s="11" t="s">
        <v>22763</v>
      </c>
      <c r="K784" s="9" t="s">
        <v>22764</v>
      </c>
      <c r="L784" s="9" t="s">
        <v>18242</v>
      </c>
      <c r="M784" s="9" t="s">
        <v>17769</v>
      </c>
      <c r="N784" s="9" t="s">
        <v>17746</v>
      </c>
      <c r="O784" s="9" t="s">
        <v>17977</v>
      </c>
      <c r="P784" s="9" t="s">
        <v>17748</v>
      </c>
      <c r="Q784" s="11" t="s">
        <v>17917</v>
      </c>
      <c r="R784" s="11" t="s">
        <v>17917</v>
      </c>
      <c r="S784" s="11" t="s">
        <v>17750</v>
      </c>
    </row>
    <row r="785" spans="1:19" x14ac:dyDescent="0.2">
      <c r="A785" s="11" t="s">
        <v>22765</v>
      </c>
      <c r="B785" s="9" t="s">
        <v>22766</v>
      </c>
      <c r="C785" s="9" t="s">
        <v>22767</v>
      </c>
      <c r="D785" s="9" t="s">
        <v>22768</v>
      </c>
      <c r="E785" s="9" t="s">
        <v>17740</v>
      </c>
      <c r="F785" s="9" t="s">
        <v>22769</v>
      </c>
      <c r="G785" s="9" t="s">
        <v>17740</v>
      </c>
      <c r="H785" s="11" t="s">
        <v>22770</v>
      </c>
      <c r="I785" s="11" t="s">
        <v>22771</v>
      </c>
      <c r="J785" s="11" t="s">
        <v>22771</v>
      </c>
      <c r="K785" s="9" t="s">
        <v>18404</v>
      </c>
      <c r="L785" s="9" t="s">
        <v>17744</v>
      </c>
      <c r="M785" s="9" t="s">
        <v>17817</v>
      </c>
      <c r="N785" s="9" t="s">
        <v>17746</v>
      </c>
      <c r="O785" s="9" t="s">
        <v>18754</v>
      </c>
      <c r="P785" s="9" t="s">
        <v>17748</v>
      </c>
      <c r="Q785" s="11" t="s">
        <v>18147</v>
      </c>
      <c r="R785" s="11" t="s">
        <v>18147</v>
      </c>
      <c r="S785" s="11" t="s">
        <v>17750</v>
      </c>
    </row>
    <row r="786" spans="1:19" x14ac:dyDescent="0.2">
      <c r="A786" s="11" t="s">
        <v>22772</v>
      </c>
      <c r="B786" s="9" t="s">
        <v>22773</v>
      </c>
      <c r="C786" s="9" t="s">
        <v>22774</v>
      </c>
      <c r="D786" s="9" t="s">
        <v>22775</v>
      </c>
      <c r="E786" s="9" t="s">
        <v>17740</v>
      </c>
      <c r="F786" s="9" t="s">
        <v>17741</v>
      </c>
      <c r="G786" s="9" t="s">
        <v>17740</v>
      </c>
      <c r="H786" s="11" t="s">
        <v>22776</v>
      </c>
      <c r="I786" s="11" t="s">
        <v>22777</v>
      </c>
      <c r="J786" s="11" t="s">
        <v>22777</v>
      </c>
      <c r="K786" s="9" t="s">
        <v>19202</v>
      </c>
      <c r="L786" s="9" t="s">
        <v>17759</v>
      </c>
      <c r="M786" s="9" t="s">
        <v>17760</v>
      </c>
      <c r="N786" s="9" t="s">
        <v>17746</v>
      </c>
      <c r="O786" s="9" t="s">
        <v>22778</v>
      </c>
      <c r="P786" s="9" t="s">
        <v>17748</v>
      </c>
      <c r="Q786" s="11" t="s">
        <v>17858</v>
      </c>
      <c r="R786" s="11" t="s">
        <v>17858</v>
      </c>
      <c r="S786" s="11" t="s">
        <v>17750</v>
      </c>
    </row>
    <row r="787" spans="1:19" x14ac:dyDescent="0.2">
      <c r="A787" s="11" t="s">
        <v>22779</v>
      </c>
      <c r="B787" s="9" t="s">
        <v>22780</v>
      </c>
      <c r="C787" s="9" t="s">
        <v>22781</v>
      </c>
      <c r="D787" s="9" t="s">
        <v>22782</v>
      </c>
      <c r="E787" s="9" t="s">
        <v>17740</v>
      </c>
      <c r="F787" s="9" t="s">
        <v>22783</v>
      </c>
      <c r="G787" s="9" t="s">
        <v>17740</v>
      </c>
      <c r="H787" s="11" t="s">
        <v>5157</v>
      </c>
      <c r="I787" s="11" t="s">
        <v>5156</v>
      </c>
      <c r="J787" s="11" t="s">
        <v>5156</v>
      </c>
      <c r="K787" s="9" t="s">
        <v>22784</v>
      </c>
      <c r="L787" s="9" t="s">
        <v>17744</v>
      </c>
      <c r="M787" s="9" t="s">
        <v>18289</v>
      </c>
      <c r="N787" s="9" t="s">
        <v>17746</v>
      </c>
      <c r="O787" s="9" t="s">
        <v>22395</v>
      </c>
      <c r="P787" s="9" t="s">
        <v>17748</v>
      </c>
      <c r="Q787" s="11" t="s">
        <v>17749</v>
      </c>
      <c r="R787" s="11" t="s">
        <v>17749</v>
      </c>
      <c r="S787" s="11" t="s">
        <v>17750</v>
      </c>
    </row>
    <row r="788" spans="1:19" x14ac:dyDescent="0.2">
      <c r="A788" s="11" t="s">
        <v>22785</v>
      </c>
      <c r="B788" s="9" t="s">
        <v>22786</v>
      </c>
      <c r="C788" s="9" t="s">
        <v>22787</v>
      </c>
      <c r="D788" s="9" t="s">
        <v>22788</v>
      </c>
      <c r="E788" s="9" t="s">
        <v>17740</v>
      </c>
      <c r="F788" s="9" t="s">
        <v>17741</v>
      </c>
      <c r="G788" s="9" t="s">
        <v>17740</v>
      </c>
      <c r="H788" s="11" t="s">
        <v>22789</v>
      </c>
      <c r="I788" s="11" t="s">
        <v>22790</v>
      </c>
      <c r="J788" s="11" t="s">
        <v>22790</v>
      </c>
      <c r="K788" s="9" t="s">
        <v>55</v>
      </c>
      <c r="L788" s="9" t="s">
        <v>17744</v>
      </c>
      <c r="M788" s="9" t="s">
        <v>17760</v>
      </c>
      <c r="N788" s="9" t="s">
        <v>17746</v>
      </c>
      <c r="O788" s="9" t="s">
        <v>22682</v>
      </c>
      <c r="P788" s="9" t="s">
        <v>17748</v>
      </c>
      <c r="Q788" s="11" t="s">
        <v>17784</v>
      </c>
      <c r="R788" s="11" t="s">
        <v>17784</v>
      </c>
      <c r="S788" s="11" t="s">
        <v>17750</v>
      </c>
    </row>
    <row r="789" spans="1:19" x14ac:dyDescent="0.2">
      <c r="A789" s="11" t="s">
        <v>22791</v>
      </c>
      <c r="B789" s="9" t="s">
        <v>22792</v>
      </c>
      <c r="C789" s="9" t="s">
        <v>22793</v>
      </c>
      <c r="D789" s="9" t="s">
        <v>22794</v>
      </c>
      <c r="E789" s="9" t="s">
        <v>17740</v>
      </c>
      <c r="F789" s="9" t="s">
        <v>22795</v>
      </c>
      <c r="G789" s="9" t="s">
        <v>17740</v>
      </c>
      <c r="H789" s="11" t="s">
        <v>22796</v>
      </c>
      <c r="I789" s="11" t="s">
        <v>22797</v>
      </c>
      <c r="J789" s="11" t="s">
        <v>22797</v>
      </c>
      <c r="K789" s="9" t="s">
        <v>291</v>
      </c>
      <c r="L789" s="9" t="s">
        <v>17744</v>
      </c>
      <c r="M789" s="9" t="s">
        <v>17769</v>
      </c>
      <c r="N789" s="9" t="s">
        <v>17746</v>
      </c>
      <c r="O789" s="9" t="s">
        <v>22798</v>
      </c>
      <c r="P789" s="9" t="s">
        <v>17748</v>
      </c>
      <c r="Q789" s="11" t="s">
        <v>18080</v>
      </c>
      <c r="R789" s="11" t="s">
        <v>18080</v>
      </c>
      <c r="S789" s="11" t="s">
        <v>17750</v>
      </c>
    </row>
    <row r="790" spans="1:19" x14ac:dyDescent="0.2">
      <c r="A790" s="11" t="s">
        <v>22799</v>
      </c>
      <c r="B790" s="9" t="s">
        <v>941</v>
      </c>
      <c r="C790" s="9" t="s">
        <v>22800</v>
      </c>
      <c r="D790" s="9" t="s">
        <v>22801</v>
      </c>
      <c r="E790" s="9" t="s">
        <v>17740</v>
      </c>
      <c r="F790" s="9" t="s">
        <v>17741</v>
      </c>
      <c r="G790" s="9" t="s">
        <v>17740</v>
      </c>
      <c r="H790" s="11" t="s">
        <v>943</v>
      </c>
      <c r="I790" s="11" t="s">
        <v>942</v>
      </c>
      <c r="J790" s="11" t="s">
        <v>942</v>
      </c>
      <c r="K790" s="9" t="s">
        <v>22802</v>
      </c>
      <c r="L790" s="9" t="s">
        <v>17744</v>
      </c>
      <c r="M790" s="9" t="s">
        <v>17817</v>
      </c>
      <c r="N790" s="9" t="s">
        <v>17746</v>
      </c>
      <c r="O790" s="9" t="s">
        <v>22395</v>
      </c>
      <c r="P790" s="9" t="s">
        <v>17748</v>
      </c>
      <c r="Q790" s="11" t="s">
        <v>17978</v>
      </c>
      <c r="R790" s="11" t="s">
        <v>17978</v>
      </c>
      <c r="S790" s="11" t="s">
        <v>17750</v>
      </c>
    </row>
    <row r="791" spans="1:19" x14ac:dyDescent="0.2">
      <c r="A791" s="11" t="s">
        <v>22803</v>
      </c>
      <c r="B791" s="9" t="s">
        <v>22804</v>
      </c>
      <c r="C791" s="9" t="s">
        <v>22805</v>
      </c>
      <c r="D791" s="9" t="s">
        <v>22806</v>
      </c>
      <c r="E791" s="9" t="s">
        <v>17740</v>
      </c>
      <c r="F791" s="9" t="s">
        <v>17741</v>
      </c>
      <c r="G791" s="9" t="s">
        <v>17740</v>
      </c>
      <c r="H791" s="11" t="s">
        <v>22807</v>
      </c>
      <c r="I791" s="11" t="s">
        <v>7656</v>
      </c>
      <c r="J791" s="11" t="s">
        <v>7656</v>
      </c>
      <c r="K791" s="9" t="s">
        <v>18404</v>
      </c>
      <c r="L791" s="9" t="s">
        <v>17744</v>
      </c>
      <c r="M791" s="9" t="s">
        <v>18745</v>
      </c>
      <c r="N791" s="9" t="s">
        <v>17746</v>
      </c>
      <c r="O791" s="9" t="s">
        <v>22808</v>
      </c>
      <c r="P791" s="9" t="s">
        <v>17748</v>
      </c>
      <c r="Q791" s="11" t="s">
        <v>18341</v>
      </c>
      <c r="R791" s="11" t="s">
        <v>18341</v>
      </c>
      <c r="S791" s="11" t="s">
        <v>17750</v>
      </c>
    </row>
    <row r="792" spans="1:19" x14ac:dyDescent="0.2">
      <c r="A792" s="11" t="s">
        <v>22809</v>
      </c>
      <c r="B792" s="9" t="s">
        <v>22810</v>
      </c>
      <c r="C792" s="9" t="s">
        <v>22811</v>
      </c>
      <c r="D792" s="9" t="s">
        <v>22812</v>
      </c>
      <c r="E792" s="9" t="s">
        <v>17740</v>
      </c>
      <c r="F792" s="9" t="s">
        <v>17741</v>
      </c>
      <c r="G792" s="9" t="s">
        <v>17740</v>
      </c>
      <c r="H792" s="11" t="s">
        <v>22813</v>
      </c>
      <c r="I792" s="11" t="s">
        <v>22814</v>
      </c>
      <c r="J792" s="11" t="s">
        <v>22814</v>
      </c>
      <c r="K792" s="9" t="s">
        <v>18661</v>
      </c>
      <c r="L792" s="9" t="s">
        <v>17744</v>
      </c>
      <c r="M792" s="9" t="s">
        <v>22815</v>
      </c>
      <c r="N792" s="9" t="s">
        <v>17746</v>
      </c>
      <c r="O792" s="9" t="s">
        <v>22395</v>
      </c>
      <c r="P792" s="9" t="s">
        <v>17748</v>
      </c>
      <c r="Q792" s="11" t="s">
        <v>17978</v>
      </c>
      <c r="R792" s="11" t="s">
        <v>17978</v>
      </c>
      <c r="S792" s="11" t="s">
        <v>17750</v>
      </c>
    </row>
    <row r="793" spans="1:19" x14ac:dyDescent="0.2">
      <c r="A793" s="11" t="s">
        <v>22816</v>
      </c>
      <c r="B793" s="9" t="s">
        <v>22817</v>
      </c>
      <c r="C793" s="9" t="s">
        <v>22818</v>
      </c>
      <c r="D793" s="9" t="s">
        <v>22819</v>
      </c>
      <c r="E793" s="9" t="s">
        <v>17740</v>
      </c>
      <c r="F793" s="9" t="s">
        <v>22820</v>
      </c>
      <c r="G793" s="9" t="s">
        <v>17740</v>
      </c>
      <c r="H793" s="11" t="s">
        <v>699</v>
      </c>
      <c r="I793" s="11" t="s">
        <v>698</v>
      </c>
      <c r="J793" s="11" t="s">
        <v>698</v>
      </c>
      <c r="K793" s="9" t="s">
        <v>970</v>
      </c>
      <c r="L793" s="9" t="s">
        <v>17759</v>
      </c>
      <c r="M793" s="9" t="s">
        <v>19714</v>
      </c>
      <c r="N793" s="9" t="s">
        <v>17746</v>
      </c>
      <c r="O793" s="9" t="s">
        <v>18754</v>
      </c>
      <c r="P793" s="9" t="s">
        <v>17748</v>
      </c>
      <c r="Q793" s="11" t="s">
        <v>18059</v>
      </c>
      <c r="R793" s="11" t="s">
        <v>18059</v>
      </c>
      <c r="S793" s="11" t="s">
        <v>17750</v>
      </c>
    </row>
    <row r="794" spans="1:19" x14ac:dyDescent="0.2">
      <c r="A794" s="11" t="s">
        <v>22821</v>
      </c>
      <c r="B794" s="9" t="s">
        <v>22822</v>
      </c>
      <c r="C794" s="9" t="s">
        <v>22823</v>
      </c>
      <c r="D794" s="9" t="s">
        <v>22824</v>
      </c>
      <c r="E794" s="9" t="s">
        <v>17740</v>
      </c>
      <c r="F794" s="9" t="s">
        <v>22825</v>
      </c>
      <c r="G794" s="9" t="s">
        <v>17740</v>
      </c>
      <c r="H794" s="11" t="s">
        <v>772</v>
      </c>
      <c r="I794" s="11" t="s">
        <v>771</v>
      </c>
      <c r="J794" s="11" t="s">
        <v>771</v>
      </c>
      <c r="K794" s="9" t="s">
        <v>17805</v>
      </c>
      <c r="L794" s="9" t="s">
        <v>17759</v>
      </c>
      <c r="M794" s="9" t="s">
        <v>22826</v>
      </c>
      <c r="N794" s="9" t="s">
        <v>17746</v>
      </c>
      <c r="O794" s="9" t="s">
        <v>17890</v>
      </c>
      <c r="P794" s="9" t="s">
        <v>17748</v>
      </c>
      <c r="Q794" s="11" t="s">
        <v>18314</v>
      </c>
      <c r="R794" s="11" t="s">
        <v>18314</v>
      </c>
      <c r="S794" s="11" t="s">
        <v>17750</v>
      </c>
    </row>
    <row r="795" spans="1:19" x14ac:dyDescent="0.2">
      <c r="A795" s="11" t="s">
        <v>22827</v>
      </c>
      <c r="B795" s="9" t="s">
        <v>22828</v>
      </c>
      <c r="C795" s="9" t="s">
        <v>22829</v>
      </c>
      <c r="D795" s="9" t="s">
        <v>22830</v>
      </c>
      <c r="E795" s="9" t="s">
        <v>17740</v>
      </c>
      <c r="F795" s="9" t="s">
        <v>17741</v>
      </c>
      <c r="G795" s="9" t="s">
        <v>17740</v>
      </c>
      <c r="H795" s="11" t="s">
        <v>11779</v>
      </c>
      <c r="I795" s="11" t="s">
        <v>11778</v>
      </c>
      <c r="J795" s="11" t="s">
        <v>11778</v>
      </c>
      <c r="K795" s="9" t="s">
        <v>651</v>
      </c>
      <c r="L795" s="9" t="s">
        <v>18158</v>
      </c>
      <c r="M795" s="9" t="s">
        <v>17817</v>
      </c>
      <c r="N795" s="9" t="s">
        <v>17746</v>
      </c>
      <c r="O795" s="9" t="s">
        <v>22395</v>
      </c>
      <c r="P795" s="9" t="s">
        <v>17748</v>
      </c>
      <c r="Q795" s="11" t="s">
        <v>17762</v>
      </c>
      <c r="R795" s="11" t="s">
        <v>17762</v>
      </c>
      <c r="S795" s="11" t="s">
        <v>17750</v>
      </c>
    </row>
    <row r="796" spans="1:19" x14ac:dyDescent="0.2">
      <c r="A796" s="11" t="s">
        <v>22831</v>
      </c>
      <c r="B796" s="9" t="s">
        <v>22832</v>
      </c>
      <c r="C796" s="9" t="s">
        <v>22833</v>
      </c>
      <c r="D796" s="9" t="s">
        <v>22834</v>
      </c>
      <c r="E796" s="9" t="s">
        <v>17740</v>
      </c>
      <c r="F796" s="9" t="s">
        <v>22835</v>
      </c>
      <c r="G796" s="9" t="s">
        <v>17740</v>
      </c>
      <c r="H796" s="11" t="s">
        <v>22836</v>
      </c>
      <c r="I796" s="11" t="s">
        <v>22837</v>
      </c>
      <c r="J796" s="11" t="s">
        <v>22837</v>
      </c>
      <c r="K796" s="9" t="s">
        <v>18876</v>
      </c>
      <c r="L796" s="9" t="s">
        <v>18001</v>
      </c>
      <c r="M796" s="9" t="s">
        <v>22838</v>
      </c>
      <c r="N796" s="9" t="s">
        <v>17746</v>
      </c>
      <c r="O796" s="9" t="s">
        <v>22395</v>
      </c>
      <c r="P796" s="9" t="s">
        <v>17748</v>
      </c>
      <c r="Q796" s="11" t="s">
        <v>18251</v>
      </c>
      <c r="R796" s="11" t="s">
        <v>18251</v>
      </c>
      <c r="S796" s="11" t="s">
        <v>17750</v>
      </c>
    </row>
    <row r="797" spans="1:19" x14ac:dyDescent="0.2">
      <c r="A797" s="11" t="s">
        <v>22839</v>
      </c>
      <c r="B797" s="9" t="s">
        <v>22840</v>
      </c>
      <c r="C797" s="9" t="s">
        <v>22841</v>
      </c>
      <c r="D797" s="9" t="s">
        <v>22842</v>
      </c>
      <c r="E797" s="9" t="s">
        <v>17740</v>
      </c>
      <c r="F797" s="9" t="s">
        <v>17741</v>
      </c>
      <c r="G797" s="9" t="s">
        <v>17740</v>
      </c>
      <c r="H797" s="11" t="s">
        <v>22843</v>
      </c>
      <c r="I797" s="11" t="s">
        <v>22844</v>
      </c>
      <c r="J797" s="11" t="s">
        <v>22843</v>
      </c>
      <c r="K797" s="9" t="s">
        <v>970</v>
      </c>
      <c r="L797" s="9" t="s">
        <v>17759</v>
      </c>
      <c r="M797" s="9" t="s">
        <v>22845</v>
      </c>
      <c r="N797" s="9" t="s">
        <v>17746</v>
      </c>
      <c r="O797" s="9" t="s">
        <v>22395</v>
      </c>
      <c r="P797" s="9" t="s">
        <v>17748</v>
      </c>
      <c r="Q797" s="11" t="s">
        <v>18960</v>
      </c>
      <c r="R797" s="11" t="s">
        <v>18960</v>
      </c>
      <c r="S797" s="11" t="s">
        <v>17750</v>
      </c>
    </row>
    <row r="798" spans="1:19" x14ac:dyDescent="0.2">
      <c r="A798" s="11" t="s">
        <v>22846</v>
      </c>
      <c r="B798" s="9" t="s">
        <v>22847</v>
      </c>
      <c r="C798" s="9" t="s">
        <v>22848</v>
      </c>
      <c r="D798" s="9" t="s">
        <v>22849</v>
      </c>
      <c r="E798" s="9" t="s">
        <v>17740</v>
      </c>
      <c r="F798" s="9" t="s">
        <v>17741</v>
      </c>
      <c r="G798" s="9" t="s">
        <v>17740</v>
      </c>
      <c r="H798" s="11" t="s">
        <v>8462</v>
      </c>
      <c r="I798" s="11" t="s">
        <v>8461</v>
      </c>
      <c r="J798" s="11" t="s">
        <v>8461</v>
      </c>
      <c r="K798" s="9" t="s">
        <v>22850</v>
      </c>
      <c r="L798" s="9" t="s">
        <v>18305</v>
      </c>
      <c r="M798" s="9" t="s">
        <v>22559</v>
      </c>
      <c r="N798" s="9" t="s">
        <v>17746</v>
      </c>
      <c r="O798" s="9" t="s">
        <v>17834</v>
      </c>
      <c r="P798" s="9" t="s">
        <v>17748</v>
      </c>
      <c r="Q798" s="11" t="s">
        <v>18356</v>
      </c>
      <c r="R798" s="11" t="s">
        <v>18356</v>
      </c>
      <c r="S798" s="11" t="s">
        <v>17750</v>
      </c>
    </row>
    <row r="799" spans="1:19" x14ac:dyDescent="0.2">
      <c r="A799" s="11" t="s">
        <v>22851</v>
      </c>
      <c r="B799" s="9" t="s">
        <v>22852</v>
      </c>
      <c r="C799" s="9" t="s">
        <v>22853</v>
      </c>
      <c r="D799" s="9" t="s">
        <v>22854</v>
      </c>
      <c r="E799" s="9" t="s">
        <v>17740</v>
      </c>
      <c r="F799" s="9" t="s">
        <v>22855</v>
      </c>
      <c r="G799" s="9" t="s">
        <v>17740</v>
      </c>
      <c r="H799" s="11" t="s">
        <v>22856</v>
      </c>
      <c r="I799" s="11" t="s">
        <v>22857</v>
      </c>
      <c r="J799" s="11" t="s">
        <v>22857</v>
      </c>
      <c r="K799" s="9" t="s">
        <v>970</v>
      </c>
      <c r="L799" s="9" t="s">
        <v>17759</v>
      </c>
      <c r="M799" s="9" t="s">
        <v>17760</v>
      </c>
      <c r="N799" s="9" t="s">
        <v>17746</v>
      </c>
      <c r="O799" s="9" t="s">
        <v>22858</v>
      </c>
      <c r="P799" s="9" t="s">
        <v>17748</v>
      </c>
      <c r="Q799" s="11" t="s">
        <v>19515</v>
      </c>
      <c r="R799" s="11" t="s">
        <v>19515</v>
      </c>
      <c r="S799" s="11" t="s">
        <v>17750</v>
      </c>
    </row>
    <row r="800" spans="1:19" x14ac:dyDescent="0.2">
      <c r="A800" s="11" t="s">
        <v>22859</v>
      </c>
      <c r="B800" s="9" t="s">
        <v>22860</v>
      </c>
      <c r="C800" s="9" t="s">
        <v>22861</v>
      </c>
      <c r="D800" s="9" t="s">
        <v>22862</v>
      </c>
      <c r="E800" s="9" t="s">
        <v>17748</v>
      </c>
      <c r="F800" s="9" t="s">
        <v>22863</v>
      </c>
      <c r="G800" s="9" t="s">
        <v>17740</v>
      </c>
      <c r="H800" s="11" t="s">
        <v>9823</v>
      </c>
      <c r="I800" s="11" t="s">
        <v>9822</v>
      </c>
      <c r="J800" s="11" t="s">
        <v>9822</v>
      </c>
      <c r="K800" s="9" t="s">
        <v>19094</v>
      </c>
      <c r="L800" s="9" t="s">
        <v>17759</v>
      </c>
      <c r="M800" s="9" t="s">
        <v>17817</v>
      </c>
      <c r="N800" s="9" t="s">
        <v>17746</v>
      </c>
      <c r="O800" s="9" t="s">
        <v>22864</v>
      </c>
      <c r="P800" s="9" t="s">
        <v>17748</v>
      </c>
      <c r="Q800" s="11" t="s">
        <v>17858</v>
      </c>
      <c r="R800" s="11" t="s">
        <v>17858</v>
      </c>
      <c r="S800" s="11" t="s">
        <v>17750</v>
      </c>
    </row>
    <row r="801" spans="1:19" x14ac:dyDescent="0.2">
      <c r="A801" s="11" t="s">
        <v>22865</v>
      </c>
      <c r="B801" s="9" t="s">
        <v>22866</v>
      </c>
      <c r="C801" s="9" t="s">
        <v>22867</v>
      </c>
      <c r="D801" s="9" t="s">
        <v>22868</v>
      </c>
      <c r="E801" s="9" t="s">
        <v>17748</v>
      </c>
      <c r="F801" s="9" t="s">
        <v>22869</v>
      </c>
      <c r="G801" s="9" t="s">
        <v>17740</v>
      </c>
      <c r="H801" s="11" t="s">
        <v>9826</v>
      </c>
      <c r="I801" s="11" t="s">
        <v>9825</v>
      </c>
      <c r="J801" s="11" t="s">
        <v>9825</v>
      </c>
      <c r="K801" s="9" t="s">
        <v>19094</v>
      </c>
      <c r="L801" s="9" t="s">
        <v>17759</v>
      </c>
      <c r="M801" s="9" t="s">
        <v>17769</v>
      </c>
      <c r="N801" s="9" t="s">
        <v>17746</v>
      </c>
      <c r="O801" s="9" t="s">
        <v>22870</v>
      </c>
      <c r="P801" s="9" t="s">
        <v>17748</v>
      </c>
      <c r="Q801" s="11" t="s">
        <v>17858</v>
      </c>
      <c r="R801" s="11" t="s">
        <v>17858</v>
      </c>
      <c r="S801" s="11" t="s">
        <v>17750</v>
      </c>
    </row>
    <row r="802" spans="1:19" x14ac:dyDescent="0.2">
      <c r="A802" s="11" t="s">
        <v>22871</v>
      </c>
      <c r="B802" s="9" t="s">
        <v>22872</v>
      </c>
      <c r="C802" s="9" t="s">
        <v>22873</v>
      </c>
      <c r="D802" s="9" t="s">
        <v>22874</v>
      </c>
      <c r="E802" s="9" t="s">
        <v>17748</v>
      </c>
      <c r="F802" s="9" t="s">
        <v>17741</v>
      </c>
      <c r="G802" s="9" t="s">
        <v>17740</v>
      </c>
      <c r="H802" s="11" t="s">
        <v>9829</v>
      </c>
      <c r="I802" s="11" t="s">
        <v>9828</v>
      </c>
      <c r="J802" s="11" t="s">
        <v>9828</v>
      </c>
      <c r="K802" s="9" t="s">
        <v>19094</v>
      </c>
      <c r="L802" s="9" t="s">
        <v>17759</v>
      </c>
      <c r="M802" s="9" t="s">
        <v>17760</v>
      </c>
      <c r="N802" s="9" t="s">
        <v>17746</v>
      </c>
      <c r="O802" s="9" t="s">
        <v>22875</v>
      </c>
      <c r="P802" s="9" t="s">
        <v>17748</v>
      </c>
      <c r="Q802" s="11" t="s">
        <v>17858</v>
      </c>
      <c r="R802" s="11" t="s">
        <v>17858</v>
      </c>
      <c r="S802" s="11" t="s">
        <v>17750</v>
      </c>
    </row>
    <row r="803" spans="1:19" x14ac:dyDescent="0.2">
      <c r="A803" s="11" t="s">
        <v>22876</v>
      </c>
      <c r="B803" s="9" t="s">
        <v>22877</v>
      </c>
      <c r="C803" s="9" t="s">
        <v>22878</v>
      </c>
      <c r="D803" s="9" t="s">
        <v>22879</v>
      </c>
      <c r="E803" s="9" t="s">
        <v>17748</v>
      </c>
      <c r="F803" s="9" t="s">
        <v>22880</v>
      </c>
      <c r="G803" s="9" t="s">
        <v>17740</v>
      </c>
      <c r="H803" s="11" t="s">
        <v>9348</v>
      </c>
      <c r="I803" s="11" t="s">
        <v>9347</v>
      </c>
      <c r="J803" s="11" t="s">
        <v>9347</v>
      </c>
      <c r="K803" s="9" t="s">
        <v>970</v>
      </c>
      <c r="L803" s="9" t="s">
        <v>17744</v>
      </c>
      <c r="M803" s="9" t="s">
        <v>17817</v>
      </c>
      <c r="N803" s="9" t="s">
        <v>17746</v>
      </c>
      <c r="O803" s="9" t="s">
        <v>18331</v>
      </c>
      <c r="P803" s="9" t="s">
        <v>17748</v>
      </c>
      <c r="Q803" s="11" t="s">
        <v>17784</v>
      </c>
      <c r="R803" s="11" t="s">
        <v>17784</v>
      </c>
      <c r="S803" s="11" t="s">
        <v>17750</v>
      </c>
    </row>
    <row r="804" spans="1:19" x14ac:dyDescent="0.2">
      <c r="A804" s="11" t="s">
        <v>22881</v>
      </c>
      <c r="B804" s="9" t="s">
        <v>22882</v>
      </c>
      <c r="C804" s="9" t="s">
        <v>22883</v>
      </c>
      <c r="D804" s="9" t="s">
        <v>22884</v>
      </c>
      <c r="E804" s="9" t="s">
        <v>17740</v>
      </c>
      <c r="F804" s="9" t="s">
        <v>22885</v>
      </c>
      <c r="G804" s="9" t="s">
        <v>17740</v>
      </c>
      <c r="H804" s="11" t="s">
        <v>17741</v>
      </c>
      <c r="I804" s="11" t="s">
        <v>22886</v>
      </c>
      <c r="J804" s="11" t="s">
        <v>22886</v>
      </c>
      <c r="K804" s="9" t="s">
        <v>22887</v>
      </c>
      <c r="L804" s="9" t="s">
        <v>17744</v>
      </c>
      <c r="M804" s="9" t="s">
        <v>17942</v>
      </c>
      <c r="N804" s="9" t="s">
        <v>17746</v>
      </c>
      <c r="O804" s="9" t="s">
        <v>3543</v>
      </c>
      <c r="P804" s="9" t="s">
        <v>17748</v>
      </c>
      <c r="Q804" s="11" t="s">
        <v>17819</v>
      </c>
      <c r="R804" s="11" t="s">
        <v>17819</v>
      </c>
      <c r="S804" s="11" t="s">
        <v>17750</v>
      </c>
    </row>
    <row r="805" spans="1:19" x14ac:dyDescent="0.2">
      <c r="A805" s="11" t="s">
        <v>22888</v>
      </c>
      <c r="B805" s="9" t="s">
        <v>22889</v>
      </c>
      <c r="C805" s="9" t="s">
        <v>22890</v>
      </c>
      <c r="D805" s="9" t="s">
        <v>22891</v>
      </c>
      <c r="E805" s="9" t="s">
        <v>17748</v>
      </c>
      <c r="F805" s="9" t="s">
        <v>22892</v>
      </c>
      <c r="G805" s="9" t="s">
        <v>17740</v>
      </c>
      <c r="H805" s="11" t="s">
        <v>8065</v>
      </c>
      <c r="I805" s="11" t="s">
        <v>8064</v>
      </c>
      <c r="J805" s="11" t="s">
        <v>8064</v>
      </c>
      <c r="K805" s="9" t="s">
        <v>22893</v>
      </c>
      <c r="L805" s="9" t="s">
        <v>17744</v>
      </c>
      <c r="M805" s="9" t="s">
        <v>22894</v>
      </c>
      <c r="N805" s="9" t="s">
        <v>17746</v>
      </c>
      <c r="O805" s="9" t="s">
        <v>4025</v>
      </c>
      <c r="P805" s="9" t="s">
        <v>17748</v>
      </c>
      <c r="Q805" s="11" t="s">
        <v>18356</v>
      </c>
      <c r="R805" s="11" t="s">
        <v>18356</v>
      </c>
      <c r="S805" s="11" t="s">
        <v>17750</v>
      </c>
    </row>
    <row r="806" spans="1:19" x14ac:dyDescent="0.2">
      <c r="A806" s="11" t="s">
        <v>22895</v>
      </c>
      <c r="B806" s="9" t="s">
        <v>858</v>
      </c>
      <c r="C806" s="9" t="s">
        <v>22896</v>
      </c>
      <c r="D806" s="9" t="s">
        <v>858</v>
      </c>
      <c r="E806" s="9" t="s">
        <v>17740</v>
      </c>
      <c r="F806" s="9" t="s">
        <v>17741</v>
      </c>
      <c r="G806" s="9" t="s">
        <v>17740</v>
      </c>
      <c r="H806" s="11" t="s">
        <v>860</v>
      </c>
      <c r="I806" s="11" t="s">
        <v>859</v>
      </c>
      <c r="J806" s="11" t="s">
        <v>859</v>
      </c>
      <c r="K806" s="9" t="s">
        <v>861</v>
      </c>
      <c r="L806" s="9" t="s">
        <v>17759</v>
      </c>
      <c r="M806" s="9" t="s">
        <v>22897</v>
      </c>
      <c r="N806" s="9" t="s">
        <v>17746</v>
      </c>
      <c r="O806" s="9" t="s">
        <v>7097</v>
      </c>
      <c r="P806" s="9" t="s">
        <v>17748</v>
      </c>
      <c r="Q806" s="11" t="s">
        <v>18010</v>
      </c>
      <c r="R806" s="11" t="s">
        <v>18010</v>
      </c>
      <c r="S806" s="11" t="s">
        <v>17750</v>
      </c>
    </row>
    <row r="807" spans="1:19" x14ac:dyDescent="0.2">
      <c r="A807" s="11" t="s">
        <v>22898</v>
      </c>
      <c r="B807" s="9" t="s">
        <v>22899</v>
      </c>
      <c r="C807" s="9" t="s">
        <v>22900</v>
      </c>
      <c r="D807" s="9" t="s">
        <v>22901</v>
      </c>
      <c r="E807" s="9" t="s">
        <v>17748</v>
      </c>
      <c r="F807" s="9" t="s">
        <v>22902</v>
      </c>
      <c r="G807" s="9" t="s">
        <v>17740</v>
      </c>
      <c r="H807" s="11" t="s">
        <v>6458</v>
      </c>
      <c r="I807" s="11" t="s">
        <v>6457</v>
      </c>
      <c r="J807" s="11" t="s">
        <v>6457</v>
      </c>
      <c r="K807" s="9" t="s">
        <v>601</v>
      </c>
      <c r="L807" s="9" t="s">
        <v>17759</v>
      </c>
      <c r="M807" s="9" t="s">
        <v>19108</v>
      </c>
      <c r="N807" s="9" t="s">
        <v>17746</v>
      </c>
      <c r="O807" s="9" t="s">
        <v>7097</v>
      </c>
      <c r="P807" s="9" t="s">
        <v>17748</v>
      </c>
      <c r="Q807" s="11" t="s">
        <v>19361</v>
      </c>
      <c r="R807" s="11" t="s">
        <v>19361</v>
      </c>
      <c r="S807" s="11" t="s">
        <v>17750</v>
      </c>
    </row>
    <row r="808" spans="1:19" x14ac:dyDescent="0.2">
      <c r="A808" s="11" t="s">
        <v>22903</v>
      </c>
      <c r="B808" s="9" t="s">
        <v>22904</v>
      </c>
      <c r="C808" s="9" t="s">
        <v>22905</v>
      </c>
      <c r="D808" s="9" t="s">
        <v>22906</v>
      </c>
      <c r="E808" s="9" t="s">
        <v>17740</v>
      </c>
      <c r="F808" s="9" t="s">
        <v>17741</v>
      </c>
      <c r="G808" s="9" t="s">
        <v>17740</v>
      </c>
      <c r="H808" s="11" t="s">
        <v>5305</v>
      </c>
      <c r="I808" s="11" t="s">
        <v>5304</v>
      </c>
      <c r="J808" s="11" t="s">
        <v>5304</v>
      </c>
      <c r="K808" s="9" t="s">
        <v>22907</v>
      </c>
      <c r="L808" s="9" t="s">
        <v>17744</v>
      </c>
      <c r="M808" s="9" t="s">
        <v>22139</v>
      </c>
      <c r="N808" s="9" t="s">
        <v>17746</v>
      </c>
      <c r="O808" s="9" t="s">
        <v>22908</v>
      </c>
      <c r="P808" s="9" t="s">
        <v>17748</v>
      </c>
      <c r="Q808" s="11" t="s">
        <v>17749</v>
      </c>
      <c r="R808" s="11" t="s">
        <v>17749</v>
      </c>
      <c r="S808" s="11" t="s">
        <v>17750</v>
      </c>
    </row>
    <row r="809" spans="1:19" x14ac:dyDescent="0.2">
      <c r="A809" s="11" t="s">
        <v>22909</v>
      </c>
      <c r="B809" s="9" t="s">
        <v>22910</v>
      </c>
      <c r="C809" s="9" t="s">
        <v>22911</v>
      </c>
      <c r="D809" s="9" t="s">
        <v>22912</v>
      </c>
      <c r="E809" s="9" t="s">
        <v>17740</v>
      </c>
      <c r="F809" s="9" t="s">
        <v>22913</v>
      </c>
      <c r="G809" s="9" t="s">
        <v>17740</v>
      </c>
      <c r="H809" s="11" t="s">
        <v>5913</v>
      </c>
      <c r="I809" s="11" t="s">
        <v>5912</v>
      </c>
      <c r="J809" s="11" t="s">
        <v>5912</v>
      </c>
      <c r="K809" s="9" t="s">
        <v>291</v>
      </c>
      <c r="L809" s="9" t="s">
        <v>17744</v>
      </c>
      <c r="M809" s="9" t="s">
        <v>17799</v>
      </c>
      <c r="N809" s="9" t="s">
        <v>17746</v>
      </c>
      <c r="O809" s="9" t="s">
        <v>19646</v>
      </c>
      <c r="P809" s="9" t="s">
        <v>17748</v>
      </c>
      <c r="Q809" s="11" t="s">
        <v>18147</v>
      </c>
      <c r="R809" s="11" t="s">
        <v>18147</v>
      </c>
      <c r="S809" s="11" t="s">
        <v>17750</v>
      </c>
    </row>
    <row r="810" spans="1:19" x14ac:dyDescent="0.2">
      <c r="A810" s="11" t="s">
        <v>22914</v>
      </c>
      <c r="B810" s="9" t="s">
        <v>22915</v>
      </c>
      <c r="C810" s="9" t="s">
        <v>22916</v>
      </c>
      <c r="D810" s="9" t="s">
        <v>22917</v>
      </c>
      <c r="E810" s="9" t="s">
        <v>17740</v>
      </c>
      <c r="F810" s="9" t="s">
        <v>17741</v>
      </c>
      <c r="G810" s="9" t="s">
        <v>17740</v>
      </c>
      <c r="H810" s="11" t="s">
        <v>7061</v>
      </c>
      <c r="I810" s="11" t="s">
        <v>7060</v>
      </c>
      <c r="J810" s="11" t="s">
        <v>7060</v>
      </c>
      <c r="K810" s="9" t="s">
        <v>17758</v>
      </c>
      <c r="L810" s="9" t="s">
        <v>17744</v>
      </c>
      <c r="M810" s="9" t="s">
        <v>17769</v>
      </c>
      <c r="N810" s="9" t="s">
        <v>17746</v>
      </c>
      <c r="O810" s="9" t="s">
        <v>19646</v>
      </c>
      <c r="P810" s="9" t="s">
        <v>17748</v>
      </c>
      <c r="Q810" s="11" t="s">
        <v>18201</v>
      </c>
      <c r="R810" s="11" t="s">
        <v>18201</v>
      </c>
      <c r="S810" s="11" t="s">
        <v>17750</v>
      </c>
    </row>
    <row r="811" spans="1:19" x14ac:dyDescent="0.2">
      <c r="A811" s="11" t="s">
        <v>22918</v>
      </c>
      <c r="B811" s="9" t="s">
        <v>22919</v>
      </c>
      <c r="C811" s="9" t="s">
        <v>22920</v>
      </c>
      <c r="D811" s="9" t="s">
        <v>22921</v>
      </c>
      <c r="E811" s="9" t="s">
        <v>17740</v>
      </c>
      <c r="F811" s="9" t="s">
        <v>17741</v>
      </c>
      <c r="G811" s="9" t="s">
        <v>17740</v>
      </c>
      <c r="H811" s="11" t="s">
        <v>864</v>
      </c>
      <c r="I811" s="11" t="s">
        <v>863</v>
      </c>
      <c r="J811" s="11" t="s">
        <v>863</v>
      </c>
      <c r="K811" s="9" t="s">
        <v>22922</v>
      </c>
      <c r="L811" s="9" t="s">
        <v>18123</v>
      </c>
      <c r="M811" s="9" t="s">
        <v>22923</v>
      </c>
      <c r="N811" s="9" t="s">
        <v>17746</v>
      </c>
      <c r="O811" s="9" t="s">
        <v>7097</v>
      </c>
      <c r="P811" s="9" t="s">
        <v>17748</v>
      </c>
      <c r="Q811" s="11" t="s">
        <v>17978</v>
      </c>
      <c r="R811" s="11" t="s">
        <v>17978</v>
      </c>
      <c r="S811" s="11" t="s">
        <v>17750</v>
      </c>
    </row>
    <row r="812" spans="1:19" x14ac:dyDescent="0.2">
      <c r="A812" s="11" t="s">
        <v>22924</v>
      </c>
      <c r="B812" s="9" t="s">
        <v>22925</v>
      </c>
      <c r="C812" s="9" t="s">
        <v>22926</v>
      </c>
      <c r="D812" s="9" t="s">
        <v>22927</v>
      </c>
      <c r="E812" s="9" t="s">
        <v>17740</v>
      </c>
      <c r="F812" s="9" t="s">
        <v>17741</v>
      </c>
      <c r="G812" s="9" t="s">
        <v>17740</v>
      </c>
      <c r="H812" s="11" t="s">
        <v>4495</v>
      </c>
      <c r="I812" s="11" t="s">
        <v>4494</v>
      </c>
      <c r="J812" s="11" t="s">
        <v>4494</v>
      </c>
      <c r="K812" s="9" t="s">
        <v>91</v>
      </c>
      <c r="L812" s="9" t="s">
        <v>17744</v>
      </c>
      <c r="M812" s="9" t="s">
        <v>17778</v>
      </c>
      <c r="N812" s="9" t="s">
        <v>17746</v>
      </c>
      <c r="O812" s="9" t="s">
        <v>7097</v>
      </c>
      <c r="P812" s="9" t="s">
        <v>17748</v>
      </c>
      <c r="Q812" s="11" t="s">
        <v>18364</v>
      </c>
      <c r="R812" s="11" t="s">
        <v>18364</v>
      </c>
      <c r="S812" s="11" t="s">
        <v>17750</v>
      </c>
    </row>
    <row r="813" spans="1:19" x14ac:dyDescent="0.2">
      <c r="A813" s="11" t="s">
        <v>22928</v>
      </c>
      <c r="B813" s="9" t="s">
        <v>22929</v>
      </c>
      <c r="C813" s="9" t="s">
        <v>22930</v>
      </c>
      <c r="D813" s="9" t="s">
        <v>22931</v>
      </c>
      <c r="E813" s="9" t="s">
        <v>17740</v>
      </c>
      <c r="F813" s="9" t="s">
        <v>22932</v>
      </c>
      <c r="G813" s="9" t="s">
        <v>17740</v>
      </c>
      <c r="H813" s="11" t="s">
        <v>17741</v>
      </c>
      <c r="I813" s="11" t="s">
        <v>12271</v>
      </c>
      <c r="J813" s="11" t="s">
        <v>12271</v>
      </c>
      <c r="K813" s="9" t="s">
        <v>22933</v>
      </c>
      <c r="L813" s="9" t="s">
        <v>17991</v>
      </c>
      <c r="M813" s="9" t="s">
        <v>17760</v>
      </c>
      <c r="N813" s="9" t="s">
        <v>17746</v>
      </c>
      <c r="O813" s="9" t="s">
        <v>7097</v>
      </c>
      <c r="P813" s="9" t="s">
        <v>17748</v>
      </c>
      <c r="Q813" s="11" t="s">
        <v>17858</v>
      </c>
      <c r="R813" s="11" t="s">
        <v>17858</v>
      </c>
      <c r="S813" s="11" t="s">
        <v>17750</v>
      </c>
    </row>
    <row r="814" spans="1:19" x14ac:dyDescent="0.2">
      <c r="A814" s="11" t="s">
        <v>22934</v>
      </c>
      <c r="B814" s="9" t="s">
        <v>22935</v>
      </c>
      <c r="C814" s="9" t="s">
        <v>22936</v>
      </c>
      <c r="D814" s="9" t="s">
        <v>22937</v>
      </c>
      <c r="E814" s="9" t="s">
        <v>17748</v>
      </c>
      <c r="F814" s="9" t="s">
        <v>22938</v>
      </c>
      <c r="G814" s="9" t="s">
        <v>17740</v>
      </c>
      <c r="H814" s="11" t="s">
        <v>22939</v>
      </c>
      <c r="I814" s="11" t="s">
        <v>22940</v>
      </c>
      <c r="J814" s="11" t="s">
        <v>22940</v>
      </c>
      <c r="K814" s="9" t="s">
        <v>22941</v>
      </c>
      <c r="L814" s="9" t="s">
        <v>20598</v>
      </c>
      <c r="M814" s="9" t="s">
        <v>17817</v>
      </c>
      <c r="N814" s="9" t="s">
        <v>17746</v>
      </c>
      <c r="O814" s="9" t="s">
        <v>18762</v>
      </c>
      <c r="P814" s="9" t="s">
        <v>17748</v>
      </c>
      <c r="Q814" s="11" t="s">
        <v>18370</v>
      </c>
      <c r="R814" s="11" t="s">
        <v>18370</v>
      </c>
      <c r="S814" s="11" t="s">
        <v>17750</v>
      </c>
    </row>
    <row r="815" spans="1:19" x14ac:dyDescent="0.2">
      <c r="A815" s="11" t="s">
        <v>22942</v>
      </c>
      <c r="B815" s="9" t="s">
        <v>22943</v>
      </c>
      <c r="C815" s="9" t="s">
        <v>22944</v>
      </c>
      <c r="D815" s="9" t="s">
        <v>22945</v>
      </c>
      <c r="E815" s="9" t="s">
        <v>17740</v>
      </c>
      <c r="F815" s="9" t="s">
        <v>17741</v>
      </c>
      <c r="G815" s="9" t="s">
        <v>17740</v>
      </c>
      <c r="H815" s="11" t="s">
        <v>9638</v>
      </c>
      <c r="I815" s="11" t="s">
        <v>17741</v>
      </c>
      <c r="J815" s="11" t="s">
        <v>9638</v>
      </c>
      <c r="K815" s="9" t="s">
        <v>18570</v>
      </c>
      <c r="L815" s="9" t="s">
        <v>17744</v>
      </c>
      <c r="M815" s="9" t="s">
        <v>17741</v>
      </c>
      <c r="N815" s="9" t="s">
        <v>17746</v>
      </c>
      <c r="O815" s="9" t="s">
        <v>773</v>
      </c>
      <c r="P815" s="9" t="s">
        <v>17748</v>
      </c>
      <c r="Q815" s="11" t="s">
        <v>17784</v>
      </c>
      <c r="R815" s="11" t="s">
        <v>17784</v>
      </c>
      <c r="S815" s="11" t="s">
        <v>17750</v>
      </c>
    </row>
    <row r="816" spans="1:19" x14ac:dyDescent="0.2">
      <c r="A816" s="11" t="s">
        <v>22946</v>
      </c>
      <c r="B816" s="9" t="s">
        <v>22947</v>
      </c>
      <c r="C816" s="9" t="s">
        <v>22948</v>
      </c>
      <c r="D816" s="9" t="s">
        <v>22949</v>
      </c>
      <c r="E816" s="9" t="s">
        <v>17740</v>
      </c>
      <c r="F816" s="9" t="s">
        <v>17741</v>
      </c>
      <c r="G816" s="9" t="s">
        <v>17740</v>
      </c>
      <c r="H816" s="11" t="s">
        <v>22950</v>
      </c>
      <c r="I816" s="11" t="s">
        <v>17741</v>
      </c>
      <c r="J816" s="11" t="s">
        <v>22950</v>
      </c>
      <c r="K816" s="9" t="s">
        <v>18570</v>
      </c>
      <c r="L816" s="9" t="s">
        <v>17744</v>
      </c>
      <c r="M816" s="9" t="s">
        <v>17741</v>
      </c>
      <c r="N816" s="9" t="s">
        <v>17746</v>
      </c>
      <c r="O816" s="9" t="s">
        <v>22422</v>
      </c>
      <c r="P816" s="9" t="s">
        <v>17748</v>
      </c>
      <c r="Q816" s="11" t="s">
        <v>17784</v>
      </c>
      <c r="R816" s="11" t="s">
        <v>17784</v>
      </c>
      <c r="S816" s="11" t="s">
        <v>17750</v>
      </c>
    </row>
    <row r="817" spans="1:19" x14ac:dyDescent="0.2">
      <c r="A817" s="11" t="s">
        <v>22951</v>
      </c>
      <c r="B817" s="9" t="s">
        <v>22952</v>
      </c>
      <c r="C817" s="9" t="s">
        <v>22953</v>
      </c>
      <c r="D817" s="9" t="s">
        <v>22954</v>
      </c>
      <c r="E817" s="9" t="s">
        <v>17740</v>
      </c>
      <c r="F817" s="9" t="s">
        <v>22955</v>
      </c>
      <c r="G817" s="9" t="s">
        <v>17740</v>
      </c>
      <c r="H817" s="11" t="s">
        <v>22956</v>
      </c>
      <c r="I817" s="11" t="s">
        <v>17741</v>
      </c>
      <c r="J817" s="11" t="s">
        <v>22956</v>
      </c>
      <c r="K817" s="9" t="s">
        <v>18570</v>
      </c>
      <c r="L817" s="9" t="s">
        <v>17744</v>
      </c>
      <c r="M817" s="9" t="s">
        <v>17741</v>
      </c>
      <c r="N817" s="9" t="s">
        <v>17746</v>
      </c>
      <c r="O817" s="9" t="s">
        <v>17977</v>
      </c>
      <c r="P817" s="9" t="s">
        <v>17748</v>
      </c>
      <c r="Q817" s="11" t="s">
        <v>17858</v>
      </c>
      <c r="R817" s="11" t="s">
        <v>17858</v>
      </c>
      <c r="S817" s="11" t="s">
        <v>17750</v>
      </c>
    </row>
    <row r="818" spans="1:19" x14ac:dyDescent="0.2">
      <c r="A818" s="11" t="s">
        <v>22957</v>
      </c>
      <c r="B818" s="9" t="s">
        <v>22958</v>
      </c>
      <c r="C818" s="9" t="s">
        <v>22959</v>
      </c>
      <c r="D818" s="9" t="s">
        <v>22960</v>
      </c>
      <c r="E818" s="9" t="s">
        <v>17740</v>
      </c>
      <c r="F818" s="9" t="s">
        <v>17741</v>
      </c>
      <c r="G818" s="9" t="s">
        <v>17740</v>
      </c>
      <c r="H818" s="11" t="s">
        <v>9710</v>
      </c>
      <c r="I818" s="11" t="s">
        <v>17741</v>
      </c>
      <c r="J818" s="11" t="s">
        <v>9710</v>
      </c>
      <c r="K818" s="9" t="s">
        <v>18570</v>
      </c>
      <c r="L818" s="9" t="s">
        <v>17744</v>
      </c>
      <c r="M818" s="9" t="s">
        <v>17741</v>
      </c>
      <c r="N818" s="9" t="s">
        <v>17746</v>
      </c>
      <c r="O818" s="9" t="s">
        <v>22395</v>
      </c>
      <c r="P818" s="9" t="s">
        <v>17748</v>
      </c>
      <c r="Q818" s="11" t="s">
        <v>18922</v>
      </c>
      <c r="R818" s="11" t="s">
        <v>18922</v>
      </c>
      <c r="S818" s="11" t="s">
        <v>17750</v>
      </c>
    </row>
    <row r="819" spans="1:19" x14ac:dyDescent="0.2">
      <c r="A819" s="11" t="s">
        <v>22961</v>
      </c>
      <c r="B819" s="9" t="s">
        <v>22962</v>
      </c>
      <c r="C819" s="9" t="s">
        <v>22963</v>
      </c>
      <c r="D819" s="9" t="s">
        <v>9713</v>
      </c>
      <c r="E819" s="9" t="s">
        <v>17740</v>
      </c>
      <c r="F819" s="9" t="s">
        <v>17741</v>
      </c>
      <c r="G819" s="9" t="s">
        <v>17740</v>
      </c>
      <c r="H819" s="11" t="s">
        <v>9714</v>
      </c>
      <c r="I819" s="11" t="s">
        <v>17741</v>
      </c>
      <c r="J819" s="11" t="s">
        <v>9714</v>
      </c>
      <c r="K819" s="9" t="s">
        <v>18570</v>
      </c>
      <c r="L819" s="9" t="s">
        <v>17744</v>
      </c>
      <c r="M819" s="9" t="s">
        <v>17741</v>
      </c>
      <c r="N819" s="9" t="s">
        <v>17746</v>
      </c>
      <c r="O819" s="9" t="s">
        <v>18363</v>
      </c>
      <c r="P819" s="9" t="s">
        <v>17748</v>
      </c>
      <c r="Q819" s="11" t="s">
        <v>18922</v>
      </c>
      <c r="R819" s="11" t="s">
        <v>18922</v>
      </c>
      <c r="S819" s="11" t="s">
        <v>17750</v>
      </c>
    </row>
    <row r="820" spans="1:19" x14ac:dyDescent="0.2">
      <c r="A820" s="11" t="s">
        <v>22964</v>
      </c>
      <c r="B820" s="9" t="s">
        <v>22965</v>
      </c>
      <c r="C820" s="9" t="s">
        <v>22966</v>
      </c>
      <c r="D820" s="9" t="s">
        <v>22967</v>
      </c>
      <c r="E820" s="9" t="s">
        <v>17740</v>
      </c>
      <c r="F820" s="9" t="s">
        <v>17741</v>
      </c>
      <c r="G820" s="9" t="s">
        <v>17740</v>
      </c>
      <c r="H820" s="11" t="s">
        <v>10086</v>
      </c>
      <c r="I820" s="11" t="s">
        <v>17741</v>
      </c>
      <c r="J820" s="11" t="s">
        <v>10086</v>
      </c>
      <c r="K820" s="9" t="s">
        <v>18570</v>
      </c>
      <c r="L820" s="9" t="s">
        <v>17744</v>
      </c>
      <c r="M820" s="9" t="s">
        <v>17741</v>
      </c>
      <c r="N820" s="9" t="s">
        <v>17746</v>
      </c>
      <c r="O820" s="9" t="s">
        <v>20367</v>
      </c>
      <c r="P820" s="9" t="s">
        <v>17748</v>
      </c>
      <c r="Q820" s="11" t="s">
        <v>18922</v>
      </c>
      <c r="R820" s="11" t="s">
        <v>18922</v>
      </c>
      <c r="S820" s="11" t="s">
        <v>17750</v>
      </c>
    </row>
    <row r="821" spans="1:19" x14ac:dyDescent="0.2">
      <c r="A821" s="11" t="s">
        <v>22968</v>
      </c>
      <c r="B821" s="9" t="s">
        <v>22969</v>
      </c>
      <c r="C821" s="9" t="s">
        <v>22970</v>
      </c>
      <c r="D821" s="9" t="s">
        <v>22971</v>
      </c>
      <c r="E821" s="9" t="s">
        <v>17740</v>
      </c>
      <c r="F821" s="9" t="s">
        <v>17741</v>
      </c>
      <c r="G821" s="9" t="s">
        <v>17740</v>
      </c>
      <c r="H821" s="11" t="s">
        <v>9612</v>
      </c>
      <c r="I821" s="11" t="s">
        <v>17741</v>
      </c>
      <c r="J821" s="11" t="s">
        <v>9612</v>
      </c>
      <c r="K821" s="9" t="s">
        <v>18570</v>
      </c>
      <c r="L821" s="9" t="s">
        <v>17744</v>
      </c>
      <c r="M821" s="9" t="s">
        <v>17741</v>
      </c>
      <c r="N821" s="9" t="s">
        <v>17746</v>
      </c>
      <c r="O821" s="9" t="s">
        <v>18125</v>
      </c>
      <c r="P821" s="9" t="s">
        <v>17748</v>
      </c>
      <c r="Q821" s="11" t="s">
        <v>17784</v>
      </c>
      <c r="R821" s="11" t="s">
        <v>17784</v>
      </c>
      <c r="S821" s="11" t="s">
        <v>17750</v>
      </c>
    </row>
    <row r="822" spans="1:19" x14ac:dyDescent="0.2">
      <c r="A822" s="11" t="s">
        <v>22972</v>
      </c>
      <c r="B822" s="9" t="s">
        <v>22973</v>
      </c>
      <c r="C822" s="9" t="s">
        <v>22974</v>
      </c>
      <c r="D822" s="9" t="s">
        <v>22975</v>
      </c>
      <c r="E822" s="9" t="s">
        <v>17740</v>
      </c>
      <c r="F822" s="9" t="s">
        <v>17741</v>
      </c>
      <c r="G822" s="9" t="s">
        <v>17740</v>
      </c>
      <c r="H822" s="11" t="s">
        <v>9670</v>
      </c>
      <c r="I822" s="11" t="s">
        <v>17741</v>
      </c>
      <c r="J822" s="11" t="s">
        <v>9670</v>
      </c>
      <c r="K822" s="9" t="s">
        <v>18570</v>
      </c>
      <c r="L822" s="9" t="s">
        <v>17744</v>
      </c>
      <c r="M822" s="9" t="s">
        <v>17741</v>
      </c>
      <c r="N822" s="9" t="s">
        <v>17746</v>
      </c>
      <c r="O822" s="9" t="s">
        <v>18607</v>
      </c>
      <c r="P822" s="9" t="s">
        <v>17748</v>
      </c>
      <c r="Q822" s="11" t="s">
        <v>18922</v>
      </c>
      <c r="R822" s="11" t="s">
        <v>18922</v>
      </c>
      <c r="S822" s="11" t="s">
        <v>17750</v>
      </c>
    </row>
    <row r="823" spans="1:19" x14ac:dyDescent="0.2">
      <c r="A823" s="11" t="s">
        <v>22976</v>
      </c>
      <c r="B823" s="9" t="s">
        <v>22977</v>
      </c>
      <c r="C823" s="9" t="s">
        <v>22978</v>
      </c>
      <c r="D823" s="9" t="s">
        <v>22979</v>
      </c>
      <c r="E823" s="9" t="s">
        <v>17740</v>
      </c>
      <c r="F823" s="9" t="s">
        <v>17741</v>
      </c>
      <c r="G823" s="9" t="s">
        <v>17740</v>
      </c>
      <c r="H823" s="11" t="s">
        <v>9672</v>
      </c>
      <c r="I823" s="11" t="s">
        <v>17741</v>
      </c>
      <c r="J823" s="11" t="s">
        <v>9672</v>
      </c>
      <c r="K823" s="9" t="s">
        <v>18570</v>
      </c>
      <c r="L823" s="9" t="s">
        <v>17744</v>
      </c>
      <c r="M823" s="9" t="s">
        <v>17741</v>
      </c>
      <c r="N823" s="9" t="s">
        <v>17746</v>
      </c>
      <c r="O823" s="9" t="s">
        <v>5790</v>
      </c>
      <c r="P823" s="9" t="s">
        <v>17748</v>
      </c>
      <c r="Q823" s="11" t="s">
        <v>18922</v>
      </c>
      <c r="R823" s="11" t="s">
        <v>18922</v>
      </c>
      <c r="S823" s="11" t="s">
        <v>17750</v>
      </c>
    </row>
    <row r="824" spans="1:19" x14ac:dyDescent="0.2">
      <c r="A824" s="11" t="s">
        <v>22980</v>
      </c>
      <c r="B824" s="9" t="s">
        <v>22981</v>
      </c>
      <c r="C824" s="9" t="s">
        <v>22982</v>
      </c>
      <c r="D824" s="9" t="s">
        <v>22983</v>
      </c>
      <c r="E824" s="9" t="s">
        <v>17740</v>
      </c>
      <c r="F824" s="9" t="s">
        <v>17741</v>
      </c>
      <c r="G824" s="9" t="s">
        <v>17740</v>
      </c>
      <c r="H824" s="11" t="s">
        <v>22984</v>
      </c>
      <c r="I824" s="11" t="s">
        <v>17741</v>
      </c>
      <c r="J824" s="11" t="s">
        <v>22984</v>
      </c>
      <c r="K824" s="9" t="s">
        <v>18570</v>
      </c>
      <c r="L824" s="9" t="s">
        <v>17744</v>
      </c>
      <c r="M824" s="9" t="s">
        <v>17741</v>
      </c>
      <c r="N824" s="9" t="s">
        <v>17746</v>
      </c>
      <c r="O824" s="9" t="s">
        <v>22985</v>
      </c>
      <c r="P824" s="9" t="s">
        <v>17748</v>
      </c>
      <c r="Q824" s="11" t="s">
        <v>18922</v>
      </c>
      <c r="R824" s="11" t="s">
        <v>18922</v>
      </c>
      <c r="S824" s="11" t="s">
        <v>17750</v>
      </c>
    </row>
    <row r="825" spans="1:19" x14ac:dyDescent="0.2">
      <c r="A825" s="11" t="s">
        <v>22986</v>
      </c>
      <c r="B825" s="9" t="s">
        <v>22987</v>
      </c>
      <c r="C825" s="9" t="s">
        <v>22988</v>
      </c>
      <c r="D825" s="9" t="s">
        <v>22989</v>
      </c>
      <c r="E825" s="9" t="s">
        <v>17740</v>
      </c>
      <c r="F825" s="9" t="s">
        <v>17741</v>
      </c>
      <c r="G825" s="9" t="s">
        <v>17740</v>
      </c>
      <c r="H825" s="11" t="s">
        <v>22990</v>
      </c>
      <c r="I825" s="11" t="s">
        <v>17741</v>
      </c>
      <c r="J825" s="11" t="s">
        <v>22990</v>
      </c>
      <c r="K825" s="9" t="s">
        <v>18570</v>
      </c>
      <c r="L825" s="9" t="s">
        <v>17744</v>
      </c>
      <c r="M825" s="9" t="s">
        <v>17741</v>
      </c>
      <c r="N825" s="9" t="s">
        <v>17746</v>
      </c>
      <c r="O825" s="9" t="s">
        <v>20453</v>
      </c>
      <c r="P825" s="9" t="s">
        <v>17748</v>
      </c>
      <c r="Q825" s="11" t="s">
        <v>18922</v>
      </c>
      <c r="R825" s="11" t="s">
        <v>18922</v>
      </c>
      <c r="S825" s="11" t="s">
        <v>17750</v>
      </c>
    </row>
    <row r="826" spans="1:19" x14ac:dyDescent="0.2">
      <c r="A826" s="11" t="s">
        <v>22991</v>
      </c>
      <c r="B826" s="9" t="s">
        <v>22992</v>
      </c>
      <c r="C826" s="9" t="s">
        <v>22993</v>
      </c>
      <c r="D826" s="9" t="s">
        <v>22994</v>
      </c>
      <c r="E826" s="9" t="s">
        <v>17740</v>
      </c>
      <c r="F826" s="9" t="s">
        <v>17741</v>
      </c>
      <c r="G826" s="9" t="s">
        <v>17740</v>
      </c>
      <c r="H826" s="11" t="s">
        <v>9674</v>
      </c>
      <c r="I826" s="11" t="s">
        <v>17741</v>
      </c>
      <c r="J826" s="11" t="s">
        <v>9674</v>
      </c>
      <c r="K826" s="9" t="s">
        <v>18570</v>
      </c>
      <c r="L826" s="9" t="s">
        <v>17744</v>
      </c>
      <c r="M826" s="9" t="s">
        <v>17741</v>
      </c>
      <c r="N826" s="9" t="s">
        <v>17746</v>
      </c>
      <c r="O826" s="9" t="s">
        <v>17807</v>
      </c>
      <c r="P826" s="9" t="s">
        <v>17748</v>
      </c>
      <c r="Q826" s="11" t="s">
        <v>18922</v>
      </c>
      <c r="R826" s="11" t="s">
        <v>18922</v>
      </c>
      <c r="S826" s="11" t="s">
        <v>17750</v>
      </c>
    </row>
    <row r="827" spans="1:19" x14ac:dyDescent="0.2">
      <c r="A827" s="11" t="s">
        <v>22995</v>
      </c>
      <c r="B827" s="9" t="s">
        <v>22996</v>
      </c>
      <c r="C827" s="9" t="s">
        <v>22997</v>
      </c>
      <c r="D827" s="9" t="s">
        <v>22998</v>
      </c>
      <c r="E827" s="9" t="s">
        <v>17740</v>
      </c>
      <c r="F827" s="9" t="s">
        <v>17741</v>
      </c>
      <c r="G827" s="9" t="s">
        <v>17740</v>
      </c>
      <c r="H827" s="11" t="s">
        <v>22999</v>
      </c>
      <c r="I827" s="11" t="s">
        <v>17741</v>
      </c>
      <c r="J827" s="11" t="s">
        <v>22999</v>
      </c>
      <c r="K827" s="9" t="s">
        <v>18570</v>
      </c>
      <c r="L827" s="9" t="s">
        <v>17744</v>
      </c>
      <c r="M827" s="9" t="s">
        <v>17741</v>
      </c>
      <c r="N827" s="9" t="s">
        <v>17746</v>
      </c>
      <c r="O827" s="9" t="s">
        <v>17977</v>
      </c>
      <c r="P827" s="9" t="s">
        <v>17748</v>
      </c>
      <c r="Q827" s="11" t="s">
        <v>18922</v>
      </c>
      <c r="R827" s="11" t="s">
        <v>18922</v>
      </c>
      <c r="S827" s="11" t="s">
        <v>17750</v>
      </c>
    </row>
    <row r="828" spans="1:19" x14ac:dyDescent="0.2">
      <c r="A828" s="11" t="s">
        <v>23000</v>
      </c>
      <c r="B828" s="9" t="s">
        <v>23001</v>
      </c>
      <c r="C828" s="9" t="s">
        <v>23002</v>
      </c>
      <c r="D828" s="9" t="s">
        <v>23003</v>
      </c>
      <c r="E828" s="9" t="s">
        <v>17740</v>
      </c>
      <c r="F828" s="9" t="s">
        <v>17741</v>
      </c>
      <c r="G828" s="9" t="s">
        <v>17740</v>
      </c>
      <c r="H828" s="11" t="s">
        <v>23004</v>
      </c>
      <c r="I828" s="11" t="s">
        <v>17741</v>
      </c>
      <c r="J828" s="11" t="s">
        <v>23004</v>
      </c>
      <c r="K828" s="9" t="s">
        <v>18570</v>
      </c>
      <c r="L828" s="9" t="s">
        <v>17744</v>
      </c>
      <c r="M828" s="9" t="s">
        <v>17741</v>
      </c>
      <c r="N828" s="9" t="s">
        <v>17746</v>
      </c>
      <c r="O828" s="9" t="s">
        <v>19423</v>
      </c>
      <c r="P828" s="9" t="s">
        <v>17748</v>
      </c>
      <c r="Q828" s="11" t="s">
        <v>17784</v>
      </c>
      <c r="R828" s="11" t="s">
        <v>17784</v>
      </c>
      <c r="S828" s="11" t="s">
        <v>17750</v>
      </c>
    </row>
    <row r="829" spans="1:19" x14ac:dyDescent="0.2">
      <c r="A829" s="11" t="s">
        <v>23005</v>
      </c>
      <c r="B829" s="9" t="s">
        <v>23006</v>
      </c>
      <c r="C829" s="9" t="s">
        <v>23007</v>
      </c>
      <c r="D829" s="9" t="s">
        <v>23008</v>
      </c>
      <c r="E829" s="9" t="s">
        <v>17740</v>
      </c>
      <c r="F829" s="9" t="s">
        <v>17741</v>
      </c>
      <c r="G829" s="9" t="s">
        <v>17740</v>
      </c>
      <c r="H829" s="11" t="s">
        <v>9678</v>
      </c>
      <c r="I829" s="11" t="s">
        <v>17741</v>
      </c>
      <c r="J829" s="11" t="s">
        <v>9678</v>
      </c>
      <c r="K829" s="9" t="s">
        <v>18570</v>
      </c>
      <c r="L829" s="9" t="s">
        <v>17744</v>
      </c>
      <c r="M829" s="9" t="s">
        <v>17741</v>
      </c>
      <c r="N829" s="9" t="s">
        <v>17746</v>
      </c>
      <c r="O829" s="9" t="s">
        <v>1675</v>
      </c>
      <c r="P829" s="9" t="s">
        <v>17748</v>
      </c>
      <c r="Q829" s="11" t="s">
        <v>18922</v>
      </c>
      <c r="R829" s="11" t="s">
        <v>18922</v>
      </c>
      <c r="S829" s="11" t="s">
        <v>17750</v>
      </c>
    </row>
    <row r="830" spans="1:19" x14ac:dyDescent="0.2">
      <c r="A830" s="11" t="s">
        <v>23009</v>
      </c>
      <c r="B830" s="9" t="s">
        <v>23010</v>
      </c>
      <c r="C830" s="9" t="s">
        <v>23011</v>
      </c>
      <c r="D830" s="9" t="s">
        <v>23012</v>
      </c>
      <c r="E830" s="9" t="s">
        <v>17740</v>
      </c>
      <c r="F830" s="9" t="s">
        <v>17741</v>
      </c>
      <c r="G830" s="9" t="s">
        <v>17740</v>
      </c>
      <c r="H830" s="11" t="s">
        <v>9680</v>
      </c>
      <c r="I830" s="11" t="s">
        <v>17741</v>
      </c>
      <c r="J830" s="11" t="s">
        <v>9680</v>
      </c>
      <c r="K830" s="9" t="s">
        <v>18570</v>
      </c>
      <c r="L830" s="9" t="s">
        <v>17744</v>
      </c>
      <c r="M830" s="9" t="s">
        <v>17741</v>
      </c>
      <c r="N830" s="9" t="s">
        <v>17746</v>
      </c>
      <c r="O830" s="9" t="s">
        <v>17922</v>
      </c>
      <c r="P830" s="9" t="s">
        <v>17748</v>
      </c>
      <c r="Q830" s="11" t="s">
        <v>17784</v>
      </c>
      <c r="R830" s="11" t="s">
        <v>17784</v>
      </c>
      <c r="S830" s="11" t="s">
        <v>17750</v>
      </c>
    </row>
    <row r="831" spans="1:19" x14ac:dyDescent="0.2">
      <c r="A831" s="11" t="s">
        <v>23013</v>
      </c>
      <c r="B831" s="9" t="s">
        <v>23014</v>
      </c>
      <c r="C831" s="9" t="s">
        <v>23015</v>
      </c>
      <c r="D831" s="9" t="s">
        <v>9681</v>
      </c>
      <c r="E831" s="9" t="s">
        <v>17740</v>
      </c>
      <c r="F831" s="9" t="s">
        <v>17741</v>
      </c>
      <c r="G831" s="9" t="s">
        <v>17740</v>
      </c>
      <c r="H831" s="11" t="s">
        <v>9682</v>
      </c>
      <c r="I831" s="11" t="s">
        <v>17741</v>
      </c>
      <c r="J831" s="11" t="s">
        <v>9682</v>
      </c>
      <c r="K831" s="9" t="s">
        <v>18570</v>
      </c>
      <c r="L831" s="9" t="s">
        <v>17744</v>
      </c>
      <c r="M831" s="9" t="s">
        <v>17741</v>
      </c>
      <c r="N831" s="9" t="s">
        <v>17746</v>
      </c>
      <c r="O831" s="9" t="s">
        <v>1690</v>
      </c>
      <c r="P831" s="9" t="s">
        <v>17748</v>
      </c>
      <c r="Q831" s="11" t="s">
        <v>17784</v>
      </c>
      <c r="R831" s="11" t="s">
        <v>17784</v>
      </c>
      <c r="S831" s="11" t="s">
        <v>17750</v>
      </c>
    </row>
    <row r="832" spans="1:19" x14ac:dyDescent="0.2">
      <c r="A832" s="11" t="s">
        <v>23016</v>
      </c>
      <c r="B832" s="9" t="s">
        <v>23017</v>
      </c>
      <c r="C832" s="9" t="s">
        <v>23018</v>
      </c>
      <c r="D832" s="9" t="s">
        <v>23019</v>
      </c>
      <c r="E832" s="9" t="s">
        <v>17740</v>
      </c>
      <c r="F832" s="9" t="s">
        <v>17741</v>
      </c>
      <c r="G832" s="9" t="s">
        <v>17740</v>
      </c>
      <c r="H832" s="11" t="s">
        <v>23020</v>
      </c>
      <c r="I832" s="11" t="s">
        <v>17741</v>
      </c>
      <c r="J832" s="11" t="s">
        <v>23020</v>
      </c>
      <c r="K832" s="9" t="s">
        <v>18570</v>
      </c>
      <c r="L832" s="9" t="s">
        <v>17744</v>
      </c>
      <c r="M832" s="9" t="s">
        <v>17741</v>
      </c>
      <c r="N832" s="9" t="s">
        <v>17746</v>
      </c>
      <c r="O832" s="9" t="s">
        <v>18855</v>
      </c>
      <c r="P832" s="9" t="s">
        <v>17748</v>
      </c>
      <c r="Q832" s="11" t="s">
        <v>18922</v>
      </c>
      <c r="R832" s="11" t="s">
        <v>18922</v>
      </c>
      <c r="S832" s="11" t="s">
        <v>17750</v>
      </c>
    </row>
    <row r="833" spans="1:19" x14ac:dyDescent="0.2">
      <c r="A833" s="11" t="s">
        <v>23021</v>
      </c>
      <c r="B833" s="9" t="s">
        <v>23022</v>
      </c>
      <c r="C833" s="9" t="s">
        <v>23023</v>
      </c>
      <c r="D833" s="9" t="s">
        <v>23024</v>
      </c>
      <c r="E833" s="9" t="s">
        <v>17740</v>
      </c>
      <c r="F833" s="9" t="s">
        <v>17741</v>
      </c>
      <c r="G833" s="9" t="s">
        <v>17740</v>
      </c>
      <c r="H833" s="11" t="s">
        <v>23025</v>
      </c>
      <c r="I833" s="11" t="s">
        <v>17741</v>
      </c>
      <c r="J833" s="11" t="s">
        <v>23025</v>
      </c>
      <c r="K833" s="9" t="s">
        <v>18570</v>
      </c>
      <c r="L833" s="9" t="s">
        <v>17744</v>
      </c>
      <c r="M833" s="9" t="s">
        <v>17741</v>
      </c>
      <c r="N833" s="9" t="s">
        <v>17746</v>
      </c>
      <c r="O833" s="9" t="s">
        <v>1802</v>
      </c>
      <c r="P833" s="9" t="s">
        <v>17748</v>
      </c>
      <c r="Q833" s="11" t="s">
        <v>18922</v>
      </c>
      <c r="R833" s="11" t="s">
        <v>18922</v>
      </c>
      <c r="S833" s="11" t="s">
        <v>17750</v>
      </c>
    </row>
    <row r="834" spans="1:19" x14ac:dyDescent="0.2">
      <c r="A834" s="11" t="s">
        <v>23026</v>
      </c>
      <c r="B834" s="9" t="s">
        <v>23027</v>
      </c>
      <c r="C834" s="9" t="s">
        <v>23028</v>
      </c>
      <c r="D834" s="9" t="s">
        <v>23029</v>
      </c>
      <c r="E834" s="9" t="s">
        <v>17740</v>
      </c>
      <c r="F834" s="9" t="s">
        <v>17741</v>
      </c>
      <c r="G834" s="9" t="s">
        <v>17740</v>
      </c>
      <c r="H834" s="11" t="s">
        <v>9684</v>
      </c>
      <c r="I834" s="11" t="s">
        <v>17741</v>
      </c>
      <c r="J834" s="11" t="s">
        <v>9684</v>
      </c>
      <c r="K834" s="9" t="s">
        <v>18570</v>
      </c>
      <c r="L834" s="9" t="s">
        <v>17744</v>
      </c>
      <c r="M834" s="9" t="s">
        <v>17741</v>
      </c>
      <c r="N834" s="9" t="s">
        <v>17746</v>
      </c>
      <c r="O834" s="9" t="s">
        <v>18882</v>
      </c>
      <c r="P834" s="9" t="s">
        <v>17748</v>
      </c>
      <c r="Q834" s="11" t="s">
        <v>17784</v>
      </c>
      <c r="R834" s="11" t="s">
        <v>17784</v>
      </c>
      <c r="S834" s="11" t="s">
        <v>17750</v>
      </c>
    </row>
    <row r="835" spans="1:19" x14ac:dyDescent="0.2">
      <c r="A835" s="11" t="s">
        <v>23030</v>
      </c>
      <c r="B835" s="9" t="s">
        <v>23031</v>
      </c>
      <c r="C835" s="9" t="s">
        <v>23032</v>
      </c>
      <c r="D835" s="9" t="s">
        <v>23033</v>
      </c>
      <c r="E835" s="9" t="s">
        <v>17740</v>
      </c>
      <c r="F835" s="9" t="s">
        <v>17741</v>
      </c>
      <c r="G835" s="9" t="s">
        <v>17740</v>
      </c>
      <c r="H835" s="11" t="s">
        <v>9614</v>
      </c>
      <c r="I835" s="11" t="s">
        <v>17741</v>
      </c>
      <c r="J835" s="11" t="s">
        <v>9614</v>
      </c>
      <c r="K835" s="9" t="s">
        <v>18570</v>
      </c>
      <c r="L835" s="9" t="s">
        <v>17744</v>
      </c>
      <c r="M835" s="9" t="s">
        <v>17741</v>
      </c>
      <c r="N835" s="9" t="s">
        <v>17746</v>
      </c>
      <c r="O835" s="9" t="s">
        <v>19659</v>
      </c>
      <c r="P835" s="9" t="s">
        <v>17748</v>
      </c>
      <c r="Q835" s="11" t="s">
        <v>18922</v>
      </c>
      <c r="R835" s="11" t="s">
        <v>18922</v>
      </c>
      <c r="S835" s="11" t="s">
        <v>17750</v>
      </c>
    </row>
    <row r="836" spans="1:19" x14ac:dyDescent="0.2">
      <c r="A836" s="11" t="s">
        <v>23034</v>
      </c>
      <c r="B836" s="9" t="s">
        <v>23035</v>
      </c>
      <c r="C836" s="9" t="s">
        <v>23036</v>
      </c>
      <c r="D836" s="9" t="s">
        <v>23037</v>
      </c>
      <c r="E836" s="9" t="s">
        <v>17740</v>
      </c>
      <c r="F836" s="9" t="s">
        <v>17741</v>
      </c>
      <c r="G836" s="9" t="s">
        <v>17740</v>
      </c>
      <c r="H836" s="11" t="s">
        <v>9644</v>
      </c>
      <c r="I836" s="11" t="s">
        <v>17741</v>
      </c>
      <c r="J836" s="11" t="s">
        <v>9644</v>
      </c>
      <c r="K836" s="9" t="s">
        <v>18570</v>
      </c>
      <c r="L836" s="9" t="s">
        <v>17744</v>
      </c>
      <c r="M836" s="9" t="s">
        <v>17741</v>
      </c>
      <c r="N836" s="9" t="s">
        <v>17746</v>
      </c>
      <c r="O836" s="9" t="s">
        <v>19715</v>
      </c>
      <c r="P836" s="9" t="s">
        <v>17748</v>
      </c>
      <c r="Q836" s="11" t="s">
        <v>18922</v>
      </c>
      <c r="R836" s="11" t="s">
        <v>18922</v>
      </c>
      <c r="S836" s="11" t="s">
        <v>17750</v>
      </c>
    </row>
    <row r="837" spans="1:19" x14ac:dyDescent="0.2">
      <c r="A837" s="11" t="s">
        <v>23038</v>
      </c>
      <c r="B837" s="9" t="s">
        <v>23039</v>
      </c>
      <c r="C837" s="9" t="s">
        <v>23040</v>
      </c>
      <c r="D837" s="9" t="s">
        <v>23041</v>
      </c>
      <c r="E837" s="9" t="s">
        <v>17740</v>
      </c>
      <c r="F837" s="9" t="s">
        <v>17741</v>
      </c>
      <c r="G837" s="9" t="s">
        <v>17740</v>
      </c>
      <c r="H837" s="11" t="s">
        <v>23042</v>
      </c>
      <c r="I837" s="11" t="s">
        <v>17741</v>
      </c>
      <c r="J837" s="11" t="s">
        <v>23042</v>
      </c>
      <c r="K837" s="9" t="s">
        <v>18570</v>
      </c>
      <c r="L837" s="9" t="s">
        <v>17744</v>
      </c>
      <c r="M837" s="9" t="s">
        <v>17741</v>
      </c>
      <c r="N837" s="9" t="s">
        <v>17746</v>
      </c>
      <c r="O837" s="9" t="s">
        <v>17818</v>
      </c>
      <c r="P837" s="9" t="s">
        <v>17748</v>
      </c>
      <c r="Q837" s="11" t="s">
        <v>18922</v>
      </c>
      <c r="R837" s="11" t="s">
        <v>18922</v>
      </c>
      <c r="S837" s="11" t="s">
        <v>17750</v>
      </c>
    </row>
    <row r="838" spans="1:19" x14ac:dyDescent="0.2">
      <c r="A838" s="11" t="s">
        <v>23043</v>
      </c>
      <c r="B838" s="9" t="s">
        <v>23044</v>
      </c>
      <c r="C838" s="9" t="s">
        <v>23045</v>
      </c>
      <c r="D838" s="9" t="s">
        <v>23046</v>
      </c>
      <c r="E838" s="9" t="s">
        <v>17740</v>
      </c>
      <c r="F838" s="9" t="s">
        <v>17741</v>
      </c>
      <c r="G838" s="9" t="s">
        <v>17740</v>
      </c>
      <c r="H838" s="11" t="s">
        <v>23047</v>
      </c>
      <c r="I838" s="11" t="s">
        <v>17741</v>
      </c>
      <c r="J838" s="11" t="s">
        <v>23047</v>
      </c>
      <c r="K838" s="9" t="s">
        <v>18570</v>
      </c>
      <c r="L838" s="9" t="s">
        <v>17744</v>
      </c>
      <c r="M838" s="9" t="s">
        <v>17741</v>
      </c>
      <c r="N838" s="9" t="s">
        <v>17746</v>
      </c>
      <c r="O838" s="9" t="s">
        <v>17874</v>
      </c>
      <c r="P838" s="9" t="s">
        <v>17748</v>
      </c>
      <c r="Q838" s="11" t="s">
        <v>17784</v>
      </c>
      <c r="R838" s="11" t="s">
        <v>17784</v>
      </c>
      <c r="S838" s="11" t="s">
        <v>17750</v>
      </c>
    </row>
    <row r="839" spans="1:19" x14ac:dyDescent="0.2">
      <c r="A839" s="11" t="s">
        <v>23048</v>
      </c>
      <c r="B839" s="9" t="s">
        <v>23049</v>
      </c>
      <c r="C839" s="9" t="s">
        <v>23050</v>
      </c>
      <c r="D839" s="9" t="s">
        <v>23051</v>
      </c>
      <c r="E839" s="9" t="s">
        <v>17740</v>
      </c>
      <c r="F839" s="9" t="s">
        <v>17741</v>
      </c>
      <c r="G839" s="9" t="s">
        <v>17740</v>
      </c>
      <c r="H839" s="11" t="s">
        <v>9686</v>
      </c>
      <c r="I839" s="11" t="s">
        <v>17741</v>
      </c>
      <c r="J839" s="11" t="s">
        <v>9686</v>
      </c>
      <c r="K839" s="9" t="s">
        <v>18570</v>
      </c>
      <c r="L839" s="9" t="s">
        <v>17744</v>
      </c>
      <c r="M839" s="9" t="s">
        <v>17741</v>
      </c>
      <c r="N839" s="9" t="s">
        <v>17746</v>
      </c>
      <c r="O839" s="9" t="s">
        <v>18846</v>
      </c>
      <c r="P839" s="9" t="s">
        <v>17748</v>
      </c>
      <c r="Q839" s="11" t="s">
        <v>17784</v>
      </c>
      <c r="R839" s="11" t="s">
        <v>17784</v>
      </c>
      <c r="S839" s="11" t="s">
        <v>17750</v>
      </c>
    </row>
    <row r="840" spans="1:19" x14ac:dyDescent="0.2">
      <c r="A840" s="11" t="s">
        <v>23052</v>
      </c>
      <c r="B840" s="9" t="s">
        <v>23053</v>
      </c>
      <c r="C840" s="9" t="s">
        <v>23054</v>
      </c>
      <c r="D840" s="9" t="s">
        <v>23055</v>
      </c>
      <c r="E840" s="9" t="s">
        <v>17740</v>
      </c>
      <c r="F840" s="9" t="s">
        <v>17741</v>
      </c>
      <c r="G840" s="9" t="s">
        <v>17740</v>
      </c>
      <c r="H840" s="11" t="s">
        <v>12999</v>
      </c>
      <c r="I840" s="11" t="s">
        <v>17741</v>
      </c>
      <c r="J840" s="11" t="s">
        <v>12999</v>
      </c>
      <c r="K840" s="9" t="s">
        <v>18570</v>
      </c>
      <c r="L840" s="9" t="s">
        <v>17744</v>
      </c>
      <c r="M840" s="9" t="s">
        <v>17741</v>
      </c>
      <c r="N840" s="9" t="s">
        <v>17746</v>
      </c>
      <c r="O840" s="9" t="s">
        <v>18846</v>
      </c>
      <c r="P840" s="9" t="s">
        <v>17748</v>
      </c>
      <c r="Q840" s="11" t="s">
        <v>18370</v>
      </c>
      <c r="R840" s="11" t="s">
        <v>18370</v>
      </c>
      <c r="S840" s="11" t="s">
        <v>17750</v>
      </c>
    </row>
    <row r="841" spans="1:19" x14ac:dyDescent="0.2">
      <c r="A841" s="11" t="s">
        <v>23056</v>
      </c>
      <c r="B841" s="9" t="s">
        <v>23057</v>
      </c>
      <c r="C841" s="9" t="s">
        <v>23058</v>
      </c>
      <c r="D841" s="9" t="s">
        <v>23059</v>
      </c>
      <c r="E841" s="9" t="s">
        <v>17740</v>
      </c>
      <c r="F841" s="9" t="s">
        <v>17741</v>
      </c>
      <c r="G841" s="9" t="s">
        <v>17740</v>
      </c>
      <c r="H841" s="11" t="s">
        <v>23060</v>
      </c>
      <c r="I841" s="11" t="s">
        <v>17741</v>
      </c>
      <c r="J841" s="11" t="s">
        <v>23060</v>
      </c>
      <c r="K841" s="9" t="s">
        <v>18570</v>
      </c>
      <c r="L841" s="9" t="s">
        <v>17744</v>
      </c>
      <c r="M841" s="9" t="s">
        <v>17741</v>
      </c>
      <c r="N841" s="9" t="s">
        <v>17746</v>
      </c>
      <c r="O841" s="9" t="s">
        <v>23061</v>
      </c>
      <c r="P841" s="9" t="s">
        <v>17748</v>
      </c>
      <c r="Q841" s="11" t="s">
        <v>18922</v>
      </c>
      <c r="R841" s="11" t="s">
        <v>18922</v>
      </c>
      <c r="S841" s="11" t="s">
        <v>17750</v>
      </c>
    </row>
    <row r="842" spans="1:19" x14ac:dyDescent="0.2">
      <c r="A842" s="11" t="s">
        <v>23062</v>
      </c>
      <c r="B842" s="9" t="s">
        <v>23063</v>
      </c>
      <c r="C842" s="9" t="s">
        <v>23064</v>
      </c>
      <c r="D842" s="9" t="s">
        <v>23065</v>
      </c>
      <c r="E842" s="9" t="s">
        <v>17740</v>
      </c>
      <c r="F842" s="9" t="s">
        <v>17741</v>
      </c>
      <c r="G842" s="9" t="s">
        <v>17740</v>
      </c>
      <c r="H842" s="11" t="s">
        <v>23066</v>
      </c>
      <c r="I842" s="11" t="s">
        <v>17741</v>
      </c>
      <c r="J842" s="11" t="s">
        <v>23066</v>
      </c>
      <c r="K842" s="9" t="s">
        <v>18570</v>
      </c>
      <c r="L842" s="9" t="s">
        <v>17744</v>
      </c>
      <c r="M842" s="9" t="s">
        <v>17741</v>
      </c>
      <c r="N842" s="9" t="s">
        <v>17746</v>
      </c>
      <c r="O842" s="9" t="s">
        <v>20056</v>
      </c>
      <c r="P842" s="9" t="s">
        <v>17748</v>
      </c>
      <c r="Q842" s="11" t="s">
        <v>18922</v>
      </c>
      <c r="R842" s="11" t="s">
        <v>18922</v>
      </c>
      <c r="S842" s="11" t="s">
        <v>17750</v>
      </c>
    </row>
    <row r="843" spans="1:19" x14ac:dyDescent="0.2">
      <c r="A843" s="11" t="s">
        <v>23067</v>
      </c>
      <c r="B843" s="9" t="s">
        <v>23068</v>
      </c>
      <c r="C843" s="9" t="s">
        <v>23069</v>
      </c>
      <c r="D843" s="9" t="s">
        <v>23070</v>
      </c>
      <c r="E843" s="9" t="s">
        <v>17740</v>
      </c>
      <c r="F843" s="9" t="s">
        <v>17741</v>
      </c>
      <c r="G843" s="9" t="s">
        <v>17740</v>
      </c>
      <c r="H843" s="11" t="s">
        <v>23071</v>
      </c>
      <c r="I843" s="11" t="s">
        <v>17741</v>
      </c>
      <c r="J843" s="11" t="s">
        <v>23071</v>
      </c>
      <c r="K843" s="9" t="s">
        <v>18570</v>
      </c>
      <c r="L843" s="9" t="s">
        <v>17744</v>
      </c>
      <c r="M843" s="9" t="s">
        <v>17741</v>
      </c>
      <c r="N843" s="9" t="s">
        <v>17746</v>
      </c>
      <c r="O843" s="9" t="s">
        <v>17993</v>
      </c>
      <c r="P843" s="9" t="s">
        <v>17748</v>
      </c>
      <c r="Q843" s="11" t="s">
        <v>18922</v>
      </c>
      <c r="R843" s="11" t="s">
        <v>18922</v>
      </c>
      <c r="S843" s="11" t="s">
        <v>17750</v>
      </c>
    </row>
    <row r="844" spans="1:19" x14ac:dyDescent="0.2">
      <c r="A844" s="11" t="s">
        <v>23072</v>
      </c>
      <c r="B844" s="9" t="s">
        <v>23073</v>
      </c>
      <c r="C844" s="9" t="s">
        <v>23074</v>
      </c>
      <c r="D844" s="9" t="s">
        <v>23075</v>
      </c>
      <c r="E844" s="9" t="s">
        <v>17740</v>
      </c>
      <c r="F844" s="9" t="s">
        <v>17741</v>
      </c>
      <c r="G844" s="9" t="s">
        <v>17740</v>
      </c>
      <c r="H844" s="11" t="s">
        <v>10251</v>
      </c>
      <c r="I844" s="11" t="s">
        <v>17741</v>
      </c>
      <c r="J844" s="11" t="s">
        <v>10251</v>
      </c>
      <c r="K844" s="9" t="s">
        <v>18570</v>
      </c>
      <c r="L844" s="9" t="s">
        <v>17744</v>
      </c>
      <c r="M844" s="9" t="s">
        <v>17741</v>
      </c>
      <c r="N844" s="9" t="s">
        <v>17746</v>
      </c>
      <c r="O844" s="9" t="s">
        <v>17993</v>
      </c>
      <c r="P844" s="9" t="s">
        <v>17748</v>
      </c>
      <c r="Q844" s="11" t="s">
        <v>17858</v>
      </c>
      <c r="R844" s="11" t="s">
        <v>17858</v>
      </c>
      <c r="S844" s="11" t="s">
        <v>17750</v>
      </c>
    </row>
    <row r="845" spans="1:19" x14ac:dyDescent="0.2">
      <c r="A845" s="11" t="s">
        <v>23076</v>
      </c>
      <c r="B845" s="9" t="s">
        <v>23077</v>
      </c>
      <c r="C845" s="9" t="s">
        <v>23078</v>
      </c>
      <c r="D845" s="9" t="s">
        <v>23079</v>
      </c>
      <c r="E845" s="9" t="s">
        <v>17740</v>
      </c>
      <c r="F845" s="9" t="s">
        <v>17741</v>
      </c>
      <c r="G845" s="9" t="s">
        <v>17740</v>
      </c>
      <c r="H845" s="11" t="s">
        <v>9650</v>
      </c>
      <c r="I845" s="11" t="s">
        <v>17741</v>
      </c>
      <c r="J845" s="11" t="s">
        <v>9650</v>
      </c>
      <c r="K845" s="9" t="s">
        <v>18570</v>
      </c>
      <c r="L845" s="9" t="s">
        <v>17744</v>
      </c>
      <c r="M845" s="9" t="s">
        <v>17741</v>
      </c>
      <c r="N845" s="9" t="s">
        <v>17746</v>
      </c>
      <c r="O845" s="9" t="s">
        <v>18746</v>
      </c>
      <c r="P845" s="9" t="s">
        <v>17748</v>
      </c>
      <c r="Q845" s="11" t="s">
        <v>18922</v>
      </c>
      <c r="R845" s="11" t="s">
        <v>18922</v>
      </c>
      <c r="S845" s="11" t="s">
        <v>17750</v>
      </c>
    </row>
    <row r="846" spans="1:19" x14ac:dyDescent="0.2">
      <c r="A846" s="11" t="s">
        <v>23080</v>
      </c>
      <c r="B846" s="9" t="s">
        <v>23081</v>
      </c>
      <c r="C846" s="9" t="s">
        <v>23082</v>
      </c>
      <c r="D846" s="9" t="s">
        <v>23083</v>
      </c>
      <c r="E846" s="9" t="s">
        <v>17740</v>
      </c>
      <c r="F846" s="9" t="s">
        <v>17741</v>
      </c>
      <c r="G846" s="9" t="s">
        <v>17740</v>
      </c>
      <c r="H846" s="11" t="s">
        <v>9688</v>
      </c>
      <c r="I846" s="11" t="s">
        <v>17741</v>
      </c>
      <c r="J846" s="11" t="s">
        <v>9688</v>
      </c>
      <c r="K846" s="9" t="s">
        <v>18570</v>
      </c>
      <c r="L846" s="9" t="s">
        <v>17744</v>
      </c>
      <c r="M846" s="9" t="s">
        <v>17741</v>
      </c>
      <c r="N846" s="9" t="s">
        <v>17746</v>
      </c>
      <c r="O846" s="9" t="s">
        <v>22268</v>
      </c>
      <c r="P846" s="9" t="s">
        <v>17748</v>
      </c>
      <c r="Q846" s="11" t="s">
        <v>17784</v>
      </c>
      <c r="R846" s="11" t="s">
        <v>17784</v>
      </c>
      <c r="S846" s="11" t="s">
        <v>17750</v>
      </c>
    </row>
    <row r="847" spans="1:19" x14ac:dyDescent="0.2">
      <c r="A847" s="11" t="s">
        <v>23084</v>
      </c>
      <c r="B847" s="9" t="s">
        <v>23085</v>
      </c>
      <c r="C847" s="9" t="s">
        <v>23086</v>
      </c>
      <c r="D847" s="9" t="s">
        <v>23087</v>
      </c>
      <c r="E847" s="9" t="s">
        <v>17740</v>
      </c>
      <c r="F847" s="9" t="s">
        <v>17741</v>
      </c>
      <c r="G847" s="9" t="s">
        <v>17740</v>
      </c>
      <c r="H847" s="11" t="s">
        <v>9652</v>
      </c>
      <c r="I847" s="11" t="s">
        <v>17741</v>
      </c>
      <c r="J847" s="11" t="s">
        <v>9652</v>
      </c>
      <c r="K847" s="9" t="s">
        <v>18570</v>
      </c>
      <c r="L847" s="9" t="s">
        <v>17744</v>
      </c>
      <c r="M847" s="9" t="s">
        <v>17741</v>
      </c>
      <c r="N847" s="9" t="s">
        <v>17746</v>
      </c>
      <c r="O847" s="9" t="s">
        <v>23088</v>
      </c>
      <c r="P847" s="9" t="s">
        <v>17748</v>
      </c>
      <c r="Q847" s="11" t="s">
        <v>17784</v>
      </c>
      <c r="R847" s="11" t="s">
        <v>17784</v>
      </c>
      <c r="S847" s="11" t="s">
        <v>17750</v>
      </c>
    </row>
    <row r="848" spans="1:19" x14ac:dyDescent="0.2">
      <c r="A848" s="11" t="s">
        <v>23089</v>
      </c>
      <c r="B848" s="9" t="s">
        <v>23090</v>
      </c>
      <c r="C848" s="9" t="s">
        <v>23091</v>
      </c>
      <c r="D848" s="9" t="s">
        <v>23092</v>
      </c>
      <c r="E848" s="9" t="s">
        <v>17740</v>
      </c>
      <c r="F848" s="9" t="s">
        <v>17741</v>
      </c>
      <c r="G848" s="9" t="s">
        <v>17740</v>
      </c>
      <c r="H848" s="11" t="s">
        <v>9654</v>
      </c>
      <c r="I848" s="11" t="s">
        <v>17741</v>
      </c>
      <c r="J848" s="11" t="s">
        <v>9654</v>
      </c>
      <c r="K848" s="9" t="s">
        <v>18570</v>
      </c>
      <c r="L848" s="9" t="s">
        <v>17744</v>
      </c>
      <c r="M848" s="9" t="s">
        <v>17741</v>
      </c>
      <c r="N848" s="9" t="s">
        <v>17746</v>
      </c>
      <c r="O848" s="9" t="s">
        <v>7269</v>
      </c>
      <c r="P848" s="9" t="s">
        <v>17748</v>
      </c>
      <c r="Q848" s="11" t="s">
        <v>17784</v>
      </c>
      <c r="R848" s="11" t="s">
        <v>17784</v>
      </c>
      <c r="S848" s="11" t="s">
        <v>17750</v>
      </c>
    </row>
    <row r="849" spans="1:19" x14ac:dyDescent="0.2">
      <c r="A849" s="11" t="s">
        <v>23093</v>
      </c>
      <c r="B849" s="9" t="s">
        <v>23094</v>
      </c>
      <c r="C849" s="9" t="s">
        <v>23095</v>
      </c>
      <c r="D849" s="9" t="s">
        <v>23096</v>
      </c>
      <c r="E849" s="9" t="s">
        <v>17740</v>
      </c>
      <c r="F849" s="9" t="s">
        <v>17741</v>
      </c>
      <c r="G849" s="9" t="s">
        <v>17740</v>
      </c>
      <c r="H849" s="11" t="s">
        <v>9690</v>
      </c>
      <c r="I849" s="11" t="s">
        <v>17741</v>
      </c>
      <c r="J849" s="11" t="s">
        <v>9690</v>
      </c>
      <c r="K849" s="9" t="s">
        <v>18570</v>
      </c>
      <c r="L849" s="9" t="s">
        <v>17744</v>
      </c>
      <c r="M849" s="9" t="s">
        <v>17741</v>
      </c>
      <c r="N849" s="9" t="s">
        <v>17746</v>
      </c>
      <c r="O849" s="9" t="s">
        <v>3100</v>
      </c>
      <c r="P849" s="9" t="s">
        <v>17748</v>
      </c>
      <c r="Q849" s="11" t="s">
        <v>18922</v>
      </c>
      <c r="R849" s="11" t="s">
        <v>18922</v>
      </c>
      <c r="S849" s="11" t="s">
        <v>17750</v>
      </c>
    </row>
    <row r="850" spans="1:19" x14ac:dyDescent="0.2">
      <c r="A850" s="11" t="s">
        <v>23097</v>
      </c>
      <c r="B850" s="9" t="s">
        <v>23098</v>
      </c>
      <c r="C850" s="9" t="s">
        <v>23099</v>
      </c>
      <c r="D850" s="9" t="s">
        <v>23100</v>
      </c>
      <c r="E850" s="9" t="s">
        <v>17740</v>
      </c>
      <c r="F850" s="9" t="s">
        <v>17741</v>
      </c>
      <c r="G850" s="9" t="s">
        <v>17740</v>
      </c>
      <c r="H850" s="11" t="s">
        <v>9692</v>
      </c>
      <c r="I850" s="11" t="s">
        <v>17741</v>
      </c>
      <c r="J850" s="11" t="s">
        <v>9692</v>
      </c>
      <c r="K850" s="9" t="s">
        <v>18570</v>
      </c>
      <c r="L850" s="9" t="s">
        <v>17744</v>
      </c>
      <c r="M850" s="9" t="s">
        <v>17741</v>
      </c>
      <c r="N850" s="9" t="s">
        <v>17746</v>
      </c>
      <c r="O850" s="9" t="s">
        <v>3100</v>
      </c>
      <c r="P850" s="9" t="s">
        <v>17748</v>
      </c>
      <c r="Q850" s="11" t="s">
        <v>17784</v>
      </c>
      <c r="R850" s="11" t="s">
        <v>17784</v>
      </c>
      <c r="S850" s="11" t="s">
        <v>17750</v>
      </c>
    </row>
    <row r="851" spans="1:19" x14ac:dyDescent="0.2">
      <c r="A851" s="11" t="s">
        <v>23101</v>
      </c>
      <c r="B851" s="9" t="s">
        <v>23102</v>
      </c>
      <c r="C851" s="9" t="s">
        <v>23103</v>
      </c>
      <c r="D851" s="9" t="s">
        <v>23104</v>
      </c>
      <c r="E851" s="9" t="s">
        <v>17740</v>
      </c>
      <c r="F851" s="9" t="s">
        <v>17741</v>
      </c>
      <c r="G851" s="9" t="s">
        <v>17740</v>
      </c>
      <c r="H851" s="11" t="s">
        <v>23105</v>
      </c>
      <c r="I851" s="11" t="s">
        <v>17741</v>
      </c>
      <c r="J851" s="11" t="s">
        <v>23105</v>
      </c>
      <c r="K851" s="9" t="s">
        <v>18570</v>
      </c>
      <c r="L851" s="9" t="s">
        <v>17744</v>
      </c>
      <c r="M851" s="9" t="s">
        <v>17741</v>
      </c>
      <c r="N851" s="9" t="s">
        <v>17746</v>
      </c>
      <c r="O851" s="9" t="s">
        <v>3255</v>
      </c>
      <c r="P851" s="9" t="s">
        <v>17748</v>
      </c>
      <c r="Q851" s="11" t="s">
        <v>18922</v>
      </c>
      <c r="R851" s="11" t="s">
        <v>18922</v>
      </c>
      <c r="S851" s="11" t="s">
        <v>17750</v>
      </c>
    </row>
    <row r="852" spans="1:19" x14ac:dyDescent="0.2">
      <c r="A852" s="11" t="s">
        <v>23106</v>
      </c>
      <c r="B852" s="9" t="s">
        <v>23107</v>
      </c>
      <c r="C852" s="9" t="s">
        <v>23108</v>
      </c>
      <c r="D852" s="9" t="s">
        <v>23109</v>
      </c>
      <c r="E852" s="9" t="s">
        <v>17740</v>
      </c>
      <c r="F852" s="9" t="s">
        <v>17741</v>
      </c>
      <c r="G852" s="9" t="s">
        <v>17740</v>
      </c>
      <c r="H852" s="11" t="s">
        <v>23110</v>
      </c>
      <c r="I852" s="11" t="s">
        <v>17741</v>
      </c>
      <c r="J852" s="11" t="s">
        <v>23110</v>
      </c>
      <c r="K852" s="9" t="s">
        <v>18570</v>
      </c>
      <c r="L852" s="9" t="s">
        <v>17744</v>
      </c>
      <c r="M852" s="9" t="s">
        <v>17741</v>
      </c>
      <c r="N852" s="9" t="s">
        <v>17746</v>
      </c>
      <c r="O852" s="9" t="s">
        <v>18340</v>
      </c>
      <c r="P852" s="9" t="s">
        <v>17748</v>
      </c>
      <c r="Q852" s="11" t="s">
        <v>18922</v>
      </c>
      <c r="R852" s="11" t="s">
        <v>18922</v>
      </c>
      <c r="S852" s="11" t="s">
        <v>17750</v>
      </c>
    </row>
    <row r="853" spans="1:19" x14ac:dyDescent="0.2">
      <c r="A853" s="11" t="s">
        <v>23111</v>
      </c>
      <c r="B853" s="9" t="s">
        <v>23112</v>
      </c>
      <c r="C853" s="9" t="s">
        <v>23113</v>
      </c>
      <c r="D853" s="9" t="s">
        <v>23114</v>
      </c>
      <c r="E853" s="9" t="s">
        <v>17740</v>
      </c>
      <c r="F853" s="9" t="s">
        <v>17741</v>
      </c>
      <c r="G853" s="9" t="s">
        <v>17740</v>
      </c>
      <c r="H853" s="11" t="s">
        <v>9694</v>
      </c>
      <c r="I853" s="11" t="s">
        <v>17741</v>
      </c>
      <c r="J853" s="11" t="s">
        <v>9694</v>
      </c>
      <c r="K853" s="9" t="s">
        <v>18570</v>
      </c>
      <c r="L853" s="9" t="s">
        <v>17744</v>
      </c>
      <c r="M853" s="9" t="s">
        <v>17741</v>
      </c>
      <c r="N853" s="9" t="s">
        <v>17746</v>
      </c>
      <c r="O853" s="9" t="s">
        <v>3355</v>
      </c>
      <c r="P853" s="9" t="s">
        <v>17748</v>
      </c>
      <c r="Q853" s="11" t="s">
        <v>18922</v>
      </c>
      <c r="R853" s="11" t="s">
        <v>18922</v>
      </c>
      <c r="S853" s="11" t="s">
        <v>17750</v>
      </c>
    </row>
    <row r="854" spans="1:19" x14ac:dyDescent="0.2">
      <c r="A854" s="11" t="s">
        <v>23115</v>
      </c>
      <c r="B854" s="9" t="s">
        <v>23116</v>
      </c>
      <c r="C854" s="9" t="s">
        <v>23117</v>
      </c>
      <c r="D854" s="9" t="s">
        <v>23118</v>
      </c>
      <c r="E854" s="9" t="s">
        <v>17748</v>
      </c>
      <c r="F854" s="9" t="s">
        <v>23119</v>
      </c>
      <c r="G854" s="9" t="s">
        <v>17740</v>
      </c>
      <c r="H854" s="11" t="s">
        <v>17062</v>
      </c>
      <c r="I854" s="11" t="s">
        <v>17741</v>
      </c>
      <c r="J854" s="11" t="s">
        <v>17062</v>
      </c>
      <c r="K854" s="9" t="s">
        <v>18570</v>
      </c>
      <c r="L854" s="9" t="s">
        <v>17744</v>
      </c>
      <c r="M854" s="9" t="s">
        <v>17741</v>
      </c>
      <c r="N854" s="9" t="s">
        <v>17746</v>
      </c>
      <c r="O854" s="9" t="s">
        <v>20881</v>
      </c>
      <c r="P854" s="9" t="s">
        <v>17748</v>
      </c>
      <c r="Q854" s="11" t="s">
        <v>17923</v>
      </c>
      <c r="R854" s="11" t="s">
        <v>17923</v>
      </c>
      <c r="S854" s="11" t="s">
        <v>17750</v>
      </c>
    </row>
    <row r="855" spans="1:19" x14ac:dyDescent="0.2">
      <c r="A855" s="11" t="s">
        <v>23120</v>
      </c>
      <c r="B855" s="9" t="s">
        <v>23121</v>
      </c>
      <c r="C855" s="9" t="s">
        <v>23122</v>
      </c>
      <c r="D855" s="9" t="s">
        <v>23123</v>
      </c>
      <c r="E855" s="9" t="s">
        <v>17740</v>
      </c>
      <c r="F855" s="9" t="s">
        <v>17741</v>
      </c>
      <c r="G855" s="9" t="s">
        <v>17740</v>
      </c>
      <c r="H855" s="11" t="s">
        <v>23124</v>
      </c>
      <c r="I855" s="11" t="s">
        <v>17741</v>
      </c>
      <c r="J855" s="11" t="s">
        <v>23124</v>
      </c>
      <c r="K855" s="9" t="s">
        <v>18570</v>
      </c>
      <c r="L855" s="9" t="s">
        <v>17744</v>
      </c>
      <c r="M855" s="9" t="s">
        <v>17741</v>
      </c>
      <c r="N855" s="9" t="s">
        <v>17746</v>
      </c>
      <c r="O855" s="9" t="s">
        <v>18481</v>
      </c>
      <c r="P855" s="9" t="s">
        <v>17748</v>
      </c>
      <c r="Q855" s="11" t="s">
        <v>18922</v>
      </c>
      <c r="R855" s="11" t="s">
        <v>18922</v>
      </c>
      <c r="S855" s="11" t="s">
        <v>17750</v>
      </c>
    </row>
    <row r="856" spans="1:19" x14ac:dyDescent="0.2">
      <c r="A856" s="11" t="s">
        <v>23125</v>
      </c>
      <c r="B856" s="9" t="s">
        <v>23126</v>
      </c>
      <c r="C856" s="9" t="s">
        <v>23127</v>
      </c>
      <c r="D856" s="9" t="s">
        <v>23128</v>
      </c>
      <c r="E856" s="9" t="s">
        <v>17740</v>
      </c>
      <c r="F856" s="9" t="s">
        <v>17741</v>
      </c>
      <c r="G856" s="9" t="s">
        <v>17740</v>
      </c>
      <c r="H856" s="11" t="s">
        <v>23129</v>
      </c>
      <c r="I856" s="11" t="s">
        <v>17741</v>
      </c>
      <c r="J856" s="11" t="s">
        <v>23129</v>
      </c>
      <c r="K856" s="9" t="s">
        <v>18570</v>
      </c>
      <c r="L856" s="9" t="s">
        <v>17744</v>
      </c>
      <c r="M856" s="9" t="s">
        <v>17741</v>
      </c>
      <c r="N856" s="9" t="s">
        <v>17746</v>
      </c>
      <c r="O856" s="9" t="s">
        <v>19470</v>
      </c>
      <c r="P856" s="9" t="s">
        <v>17748</v>
      </c>
      <c r="Q856" s="11" t="s">
        <v>18922</v>
      </c>
      <c r="R856" s="11" t="s">
        <v>18922</v>
      </c>
      <c r="S856" s="11" t="s">
        <v>17750</v>
      </c>
    </row>
    <row r="857" spans="1:19" x14ac:dyDescent="0.2">
      <c r="A857" s="11" t="s">
        <v>23130</v>
      </c>
      <c r="B857" s="9" t="s">
        <v>23131</v>
      </c>
      <c r="C857" s="9" t="s">
        <v>23132</v>
      </c>
      <c r="D857" s="9" t="s">
        <v>23133</v>
      </c>
      <c r="E857" s="9" t="s">
        <v>17740</v>
      </c>
      <c r="F857" s="9" t="s">
        <v>17741</v>
      </c>
      <c r="G857" s="9" t="s">
        <v>17740</v>
      </c>
      <c r="H857" s="11" t="s">
        <v>9696</v>
      </c>
      <c r="I857" s="11" t="s">
        <v>17741</v>
      </c>
      <c r="J857" s="11" t="s">
        <v>9696</v>
      </c>
      <c r="K857" s="9" t="s">
        <v>18570</v>
      </c>
      <c r="L857" s="9" t="s">
        <v>17744</v>
      </c>
      <c r="M857" s="9" t="s">
        <v>17741</v>
      </c>
      <c r="N857" s="9" t="s">
        <v>17746</v>
      </c>
      <c r="O857" s="9" t="s">
        <v>22858</v>
      </c>
      <c r="P857" s="9" t="s">
        <v>17748</v>
      </c>
      <c r="Q857" s="11" t="s">
        <v>18922</v>
      </c>
      <c r="R857" s="11" t="s">
        <v>18922</v>
      </c>
      <c r="S857" s="11" t="s">
        <v>17750</v>
      </c>
    </row>
    <row r="858" spans="1:19" x14ac:dyDescent="0.2">
      <c r="A858" s="11" t="s">
        <v>23134</v>
      </c>
      <c r="B858" s="9" t="s">
        <v>23135</v>
      </c>
      <c r="C858" s="9" t="s">
        <v>23136</v>
      </c>
      <c r="D858" s="9" t="s">
        <v>9697</v>
      </c>
      <c r="E858" s="9" t="s">
        <v>17740</v>
      </c>
      <c r="F858" s="9" t="s">
        <v>17741</v>
      </c>
      <c r="G858" s="9" t="s">
        <v>17740</v>
      </c>
      <c r="H858" s="11" t="s">
        <v>9698</v>
      </c>
      <c r="I858" s="11" t="s">
        <v>17741</v>
      </c>
      <c r="J858" s="11" t="s">
        <v>9698</v>
      </c>
      <c r="K858" s="9" t="s">
        <v>18570</v>
      </c>
      <c r="L858" s="9" t="s">
        <v>17744</v>
      </c>
      <c r="M858" s="9" t="s">
        <v>17741</v>
      </c>
      <c r="N858" s="9" t="s">
        <v>17746</v>
      </c>
      <c r="O858" s="9" t="s">
        <v>17834</v>
      </c>
      <c r="P858" s="9" t="s">
        <v>17748</v>
      </c>
      <c r="Q858" s="11" t="s">
        <v>18922</v>
      </c>
      <c r="R858" s="11" t="s">
        <v>18922</v>
      </c>
      <c r="S858" s="11" t="s">
        <v>17750</v>
      </c>
    </row>
    <row r="859" spans="1:19" x14ac:dyDescent="0.2">
      <c r="A859" s="11" t="s">
        <v>23137</v>
      </c>
      <c r="B859" s="9" t="s">
        <v>23138</v>
      </c>
      <c r="C859" s="9" t="s">
        <v>23139</v>
      </c>
      <c r="D859" s="9" t="s">
        <v>23140</v>
      </c>
      <c r="E859" s="9" t="s">
        <v>17740</v>
      </c>
      <c r="F859" s="9" t="s">
        <v>17741</v>
      </c>
      <c r="G859" s="9" t="s">
        <v>17740</v>
      </c>
      <c r="H859" s="11" t="s">
        <v>23141</v>
      </c>
      <c r="I859" s="11" t="s">
        <v>17741</v>
      </c>
      <c r="J859" s="11" t="s">
        <v>23141</v>
      </c>
      <c r="K859" s="9" t="s">
        <v>18570</v>
      </c>
      <c r="L859" s="9" t="s">
        <v>17744</v>
      </c>
      <c r="M859" s="9" t="s">
        <v>17741</v>
      </c>
      <c r="N859" s="9" t="s">
        <v>17746</v>
      </c>
      <c r="O859" s="9" t="s">
        <v>3524</v>
      </c>
      <c r="P859" s="9" t="s">
        <v>17748</v>
      </c>
      <c r="Q859" s="11" t="s">
        <v>18922</v>
      </c>
      <c r="R859" s="11" t="s">
        <v>18922</v>
      </c>
      <c r="S859" s="11" t="s">
        <v>17750</v>
      </c>
    </row>
    <row r="860" spans="1:19" x14ac:dyDescent="0.2">
      <c r="A860" s="11" t="s">
        <v>23142</v>
      </c>
      <c r="B860" s="9" t="s">
        <v>23143</v>
      </c>
      <c r="C860" s="9" t="s">
        <v>23144</v>
      </c>
      <c r="D860" s="9" t="s">
        <v>23145</v>
      </c>
      <c r="E860" s="9" t="s">
        <v>17740</v>
      </c>
      <c r="F860" s="9" t="s">
        <v>17741</v>
      </c>
      <c r="G860" s="9" t="s">
        <v>17740</v>
      </c>
      <c r="H860" s="11" t="s">
        <v>9700</v>
      </c>
      <c r="I860" s="11" t="s">
        <v>17741</v>
      </c>
      <c r="J860" s="11" t="s">
        <v>9700</v>
      </c>
      <c r="K860" s="9" t="s">
        <v>18570</v>
      </c>
      <c r="L860" s="9" t="s">
        <v>17744</v>
      </c>
      <c r="M860" s="9" t="s">
        <v>17741</v>
      </c>
      <c r="N860" s="9" t="s">
        <v>17746</v>
      </c>
      <c r="O860" s="9" t="s">
        <v>15733</v>
      </c>
      <c r="P860" s="9" t="s">
        <v>17748</v>
      </c>
      <c r="Q860" s="11" t="s">
        <v>18922</v>
      </c>
      <c r="R860" s="11" t="s">
        <v>18922</v>
      </c>
      <c r="S860" s="11" t="s">
        <v>17750</v>
      </c>
    </row>
    <row r="861" spans="1:19" x14ac:dyDescent="0.2">
      <c r="A861" s="11" t="s">
        <v>23146</v>
      </c>
      <c r="B861" s="9" t="s">
        <v>23147</v>
      </c>
      <c r="C861" s="9" t="s">
        <v>23148</v>
      </c>
      <c r="D861" s="9" t="s">
        <v>23149</v>
      </c>
      <c r="E861" s="9" t="s">
        <v>17740</v>
      </c>
      <c r="F861" s="9" t="s">
        <v>17741</v>
      </c>
      <c r="G861" s="9" t="s">
        <v>17740</v>
      </c>
      <c r="H861" s="11" t="s">
        <v>23150</v>
      </c>
      <c r="I861" s="11" t="s">
        <v>17741</v>
      </c>
      <c r="J861" s="11" t="s">
        <v>23150</v>
      </c>
      <c r="K861" s="9" t="s">
        <v>23151</v>
      </c>
      <c r="L861" s="9" t="s">
        <v>17744</v>
      </c>
      <c r="M861" s="9" t="s">
        <v>17741</v>
      </c>
      <c r="N861" s="9" t="s">
        <v>17746</v>
      </c>
      <c r="O861" s="9" t="s">
        <v>18833</v>
      </c>
      <c r="P861" s="9" t="s">
        <v>17748</v>
      </c>
      <c r="Q861" s="11" t="s">
        <v>18370</v>
      </c>
      <c r="R861" s="11" t="s">
        <v>18370</v>
      </c>
      <c r="S861" s="11" t="s">
        <v>17750</v>
      </c>
    </row>
    <row r="862" spans="1:19" x14ac:dyDescent="0.2">
      <c r="A862" s="11" t="s">
        <v>23152</v>
      </c>
      <c r="B862" s="9" t="s">
        <v>23153</v>
      </c>
      <c r="C862" s="9" t="s">
        <v>23154</v>
      </c>
      <c r="D862" s="9" t="s">
        <v>23155</v>
      </c>
      <c r="E862" s="9" t="s">
        <v>17740</v>
      </c>
      <c r="F862" s="9" t="s">
        <v>17741</v>
      </c>
      <c r="G862" s="9" t="s">
        <v>17740</v>
      </c>
      <c r="H862" s="11" t="s">
        <v>9646</v>
      </c>
      <c r="I862" s="11" t="s">
        <v>17741</v>
      </c>
      <c r="J862" s="11" t="s">
        <v>9646</v>
      </c>
      <c r="K862" s="9" t="s">
        <v>18570</v>
      </c>
      <c r="L862" s="9" t="s">
        <v>17744</v>
      </c>
      <c r="M862" s="9" t="s">
        <v>17741</v>
      </c>
      <c r="N862" s="9" t="s">
        <v>17746</v>
      </c>
      <c r="O862" s="9" t="s">
        <v>18762</v>
      </c>
      <c r="P862" s="9" t="s">
        <v>17748</v>
      </c>
      <c r="Q862" s="11" t="s">
        <v>18922</v>
      </c>
      <c r="R862" s="11" t="s">
        <v>18922</v>
      </c>
      <c r="S862" s="11" t="s">
        <v>17750</v>
      </c>
    </row>
    <row r="863" spans="1:19" x14ac:dyDescent="0.2">
      <c r="A863" s="11" t="s">
        <v>23156</v>
      </c>
      <c r="B863" s="9" t="s">
        <v>23157</v>
      </c>
      <c r="C863" s="9" t="s">
        <v>23158</v>
      </c>
      <c r="D863" s="9" t="s">
        <v>23159</v>
      </c>
      <c r="E863" s="9" t="s">
        <v>17740</v>
      </c>
      <c r="F863" s="9" t="s">
        <v>17741</v>
      </c>
      <c r="G863" s="9" t="s">
        <v>17740</v>
      </c>
      <c r="H863" s="11" t="s">
        <v>23160</v>
      </c>
      <c r="I863" s="11" t="s">
        <v>17741</v>
      </c>
      <c r="J863" s="11" t="s">
        <v>23160</v>
      </c>
      <c r="K863" s="9" t="s">
        <v>18570</v>
      </c>
      <c r="L863" s="9" t="s">
        <v>17744</v>
      </c>
      <c r="M863" s="9" t="s">
        <v>17741</v>
      </c>
      <c r="N863" s="9" t="s">
        <v>17746</v>
      </c>
      <c r="O863" s="9" t="s">
        <v>18035</v>
      </c>
      <c r="P863" s="9" t="s">
        <v>17748</v>
      </c>
      <c r="Q863" s="11" t="s">
        <v>18922</v>
      </c>
      <c r="R863" s="11" t="s">
        <v>18922</v>
      </c>
      <c r="S863" s="11" t="s">
        <v>17750</v>
      </c>
    </row>
    <row r="864" spans="1:19" x14ac:dyDescent="0.2">
      <c r="A864" s="11" t="s">
        <v>23161</v>
      </c>
      <c r="B864" s="9" t="s">
        <v>23162</v>
      </c>
      <c r="C864" s="9" t="s">
        <v>23163</v>
      </c>
      <c r="D864" s="9" t="s">
        <v>23164</v>
      </c>
      <c r="E864" s="9" t="s">
        <v>17740</v>
      </c>
      <c r="F864" s="9" t="s">
        <v>17741</v>
      </c>
      <c r="G864" s="9" t="s">
        <v>17740</v>
      </c>
      <c r="H864" s="11" t="s">
        <v>23165</v>
      </c>
      <c r="I864" s="11" t="s">
        <v>17741</v>
      </c>
      <c r="J864" s="11" t="s">
        <v>23165</v>
      </c>
      <c r="K864" s="9" t="s">
        <v>18570</v>
      </c>
      <c r="L864" s="9" t="s">
        <v>17744</v>
      </c>
      <c r="M864" s="9" t="s">
        <v>23166</v>
      </c>
      <c r="N864" s="9" t="s">
        <v>17746</v>
      </c>
      <c r="O864" s="9" t="s">
        <v>22422</v>
      </c>
      <c r="P864" s="9" t="s">
        <v>17748</v>
      </c>
      <c r="Q864" s="11" t="s">
        <v>17917</v>
      </c>
      <c r="R864" s="11" t="s">
        <v>17917</v>
      </c>
      <c r="S864" s="11" t="s">
        <v>17750</v>
      </c>
    </row>
    <row r="865" spans="1:19" x14ac:dyDescent="0.2">
      <c r="A865" s="11" t="s">
        <v>23167</v>
      </c>
      <c r="B865" s="9" t="s">
        <v>23168</v>
      </c>
      <c r="C865" s="9" t="s">
        <v>23169</v>
      </c>
      <c r="D865" s="9" t="s">
        <v>23170</v>
      </c>
      <c r="E865" s="9" t="s">
        <v>17740</v>
      </c>
      <c r="F865" s="9" t="s">
        <v>17741</v>
      </c>
      <c r="G865" s="9" t="s">
        <v>17740</v>
      </c>
      <c r="H865" s="11" t="s">
        <v>9648</v>
      </c>
      <c r="I865" s="11" t="s">
        <v>17741</v>
      </c>
      <c r="J865" s="11" t="s">
        <v>9648</v>
      </c>
      <c r="K865" s="9" t="s">
        <v>18570</v>
      </c>
      <c r="L865" s="9" t="s">
        <v>17744</v>
      </c>
      <c r="M865" s="9" t="s">
        <v>17741</v>
      </c>
      <c r="N865" s="9" t="s">
        <v>17746</v>
      </c>
      <c r="O865" s="9" t="s">
        <v>4025</v>
      </c>
      <c r="P865" s="9" t="s">
        <v>17748</v>
      </c>
      <c r="Q865" s="11" t="s">
        <v>18922</v>
      </c>
      <c r="R865" s="11" t="s">
        <v>18922</v>
      </c>
      <c r="S865" s="11" t="s">
        <v>17750</v>
      </c>
    </row>
    <row r="866" spans="1:19" x14ac:dyDescent="0.2">
      <c r="A866" s="11" t="s">
        <v>23171</v>
      </c>
      <c r="B866" s="9" t="s">
        <v>23172</v>
      </c>
      <c r="C866" s="9" t="s">
        <v>23173</v>
      </c>
      <c r="D866" s="9" t="s">
        <v>23174</v>
      </c>
      <c r="E866" s="9" t="s">
        <v>17740</v>
      </c>
      <c r="F866" s="9" t="s">
        <v>17741</v>
      </c>
      <c r="G866" s="9" t="s">
        <v>17740</v>
      </c>
      <c r="H866" s="11" t="s">
        <v>23175</v>
      </c>
      <c r="I866" s="11" t="s">
        <v>17741</v>
      </c>
      <c r="J866" s="11" t="s">
        <v>23175</v>
      </c>
      <c r="K866" s="9" t="s">
        <v>18570</v>
      </c>
      <c r="L866" s="9" t="s">
        <v>17744</v>
      </c>
      <c r="M866" s="9" t="s">
        <v>17741</v>
      </c>
      <c r="N866" s="9" t="s">
        <v>17746</v>
      </c>
      <c r="O866" s="9" t="s">
        <v>18563</v>
      </c>
      <c r="P866" s="9" t="s">
        <v>17748</v>
      </c>
      <c r="Q866" s="11" t="s">
        <v>17984</v>
      </c>
      <c r="R866" s="11" t="s">
        <v>17984</v>
      </c>
      <c r="S866" s="11" t="s">
        <v>17750</v>
      </c>
    </row>
    <row r="867" spans="1:19" x14ac:dyDescent="0.2">
      <c r="A867" s="11" t="s">
        <v>23176</v>
      </c>
      <c r="B867" s="9" t="s">
        <v>23177</v>
      </c>
      <c r="C867" s="9" t="s">
        <v>23178</v>
      </c>
      <c r="D867" s="9" t="s">
        <v>23179</v>
      </c>
      <c r="E867" s="9" t="s">
        <v>17740</v>
      </c>
      <c r="F867" s="9" t="s">
        <v>17741</v>
      </c>
      <c r="G867" s="9" t="s">
        <v>17740</v>
      </c>
      <c r="H867" s="11" t="s">
        <v>9702</v>
      </c>
      <c r="I867" s="11" t="s">
        <v>17741</v>
      </c>
      <c r="J867" s="11" t="s">
        <v>9702</v>
      </c>
      <c r="K867" s="9" t="s">
        <v>18570</v>
      </c>
      <c r="L867" s="9" t="s">
        <v>17744</v>
      </c>
      <c r="M867" s="9" t="s">
        <v>17741</v>
      </c>
      <c r="N867" s="9" t="s">
        <v>17746</v>
      </c>
      <c r="O867" s="9" t="s">
        <v>11197</v>
      </c>
      <c r="P867" s="9" t="s">
        <v>17748</v>
      </c>
      <c r="Q867" s="11" t="s">
        <v>18922</v>
      </c>
      <c r="R867" s="11" t="s">
        <v>18922</v>
      </c>
      <c r="S867" s="11" t="s">
        <v>17750</v>
      </c>
    </row>
    <row r="868" spans="1:19" x14ac:dyDescent="0.2">
      <c r="A868" s="11" t="s">
        <v>23180</v>
      </c>
      <c r="B868" s="9" t="s">
        <v>23181</v>
      </c>
      <c r="C868" s="9" t="s">
        <v>23182</v>
      </c>
      <c r="D868" s="9" t="s">
        <v>20737</v>
      </c>
      <c r="E868" s="9" t="s">
        <v>17740</v>
      </c>
      <c r="F868" s="9" t="s">
        <v>23183</v>
      </c>
      <c r="G868" s="9" t="s">
        <v>17740</v>
      </c>
      <c r="H868" s="11" t="s">
        <v>880</v>
      </c>
      <c r="I868" s="11" t="s">
        <v>23184</v>
      </c>
      <c r="J868" s="11" t="s">
        <v>23185</v>
      </c>
      <c r="K868" s="9" t="s">
        <v>21299</v>
      </c>
      <c r="L868" s="9" t="s">
        <v>17744</v>
      </c>
      <c r="M868" s="9" t="s">
        <v>23186</v>
      </c>
      <c r="N868" s="9" t="s">
        <v>17746</v>
      </c>
      <c r="O868" s="9" t="s">
        <v>17993</v>
      </c>
      <c r="P868" s="9" t="s">
        <v>17748</v>
      </c>
      <c r="Q868" s="11" t="s">
        <v>18678</v>
      </c>
      <c r="R868" s="11" t="s">
        <v>18678</v>
      </c>
      <c r="S868" s="11" t="s">
        <v>17750</v>
      </c>
    </row>
    <row r="869" spans="1:19" x14ac:dyDescent="0.2">
      <c r="A869" s="11" t="s">
        <v>23187</v>
      </c>
      <c r="B869" s="9" t="s">
        <v>23188</v>
      </c>
      <c r="C869" s="9" t="s">
        <v>23189</v>
      </c>
      <c r="D869" s="9" t="s">
        <v>23190</v>
      </c>
      <c r="E869" s="9" t="s">
        <v>17740</v>
      </c>
      <c r="F869" s="9" t="s">
        <v>17741</v>
      </c>
      <c r="G869" s="9" t="s">
        <v>17740</v>
      </c>
      <c r="H869" s="11" t="s">
        <v>14860</v>
      </c>
      <c r="I869" s="11" t="s">
        <v>17741</v>
      </c>
      <c r="J869" s="11" t="s">
        <v>17741</v>
      </c>
      <c r="K869" s="9" t="s">
        <v>18616</v>
      </c>
      <c r="L869" s="9" t="s">
        <v>17744</v>
      </c>
      <c r="M869" s="9" t="s">
        <v>17741</v>
      </c>
      <c r="N869" s="9" t="s">
        <v>17746</v>
      </c>
      <c r="O869" s="9" t="s">
        <v>17993</v>
      </c>
      <c r="P869" s="9" t="s">
        <v>17748</v>
      </c>
      <c r="Q869" s="11" t="s">
        <v>18370</v>
      </c>
      <c r="R869" s="11" t="s">
        <v>18370</v>
      </c>
      <c r="S869" s="11" t="s">
        <v>17750</v>
      </c>
    </row>
    <row r="870" spans="1:19" x14ac:dyDescent="0.2">
      <c r="A870" s="11" t="s">
        <v>23191</v>
      </c>
      <c r="B870" s="9" t="s">
        <v>23192</v>
      </c>
      <c r="C870" s="9" t="s">
        <v>23193</v>
      </c>
      <c r="D870" s="9" t="s">
        <v>23194</v>
      </c>
      <c r="E870" s="9" t="s">
        <v>17748</v>
      </c>
      <c r="F870" s="9" t="s">
        <v>23195</v>
      </c>
      <c r="G870" s="9" t="s">
        <v>17740</v>
      </c>
      <c r="H870" s="11" t="s">
        <v>23196</v>
      </c>
      <c r="I870" s="11" t="s">
        <v>15405</v>
      </c>
      <c r="J870" s="11" t="s">
        <v>15405</v>
      </c>
      <c r="K870" s="9" t="s">
        <v>18616</v>
      </c>
      <c r="L870" s="9" t="s">
        <v>17744</v>
      </c>
      <c r="M870" s="9" t="s">
        <v>17817</v>
      </c>
      <c r="N870" s="9" t="s">
        <v>17746</v>
      </c>
      <c r="O870" s="9" t="s">
        <v>18869</v>
      </c>
      <c r="P870" s="9" t="s">
        <v>17748</v>
      </c>
      <c r="Q870" s="11" t="s">
        <v>17909</v>
      </c>
      <c r="R870" s="11" t="s">
        <v>17909</v>
      </c>
      <c r="S870" s="11" t="s">
        <v>17750</v>
      </c>
    </row>
    <row r="871" spans="1:19" x14ac:dyDescent="0.2">
      <c r="A871" s="11" t="s">
        <v>23197</v>
      </c>
      <c r="B871" s="9" t="s">
        <v>23198</v>
      </c>
      <c r="C871" s="9" t="s">
        <v>23199</v>
      </c>
      <c r="D871" s="9" t="s">
        <v>23200</v>
      </c>
      <c r="E871" s="9" t="s">
        <v>17740</v>
      </c>
      <c r="F871" s="9" t="s">
        <v>17741</v>
      </c>
      <c r="G871" s="9" t="s">
        <v>17740</v>
      </c>
      <c r="H871" s="11" t="s">
        <v>23201</v>
      </c>
      <c r="I871" s="11" t="s">
        <v>23202</v>
      </c>
      <c r="J871" s="11" t="s">
        <v>23202</v>
      </c>
      <c r="K871" s="9" t="s">
        <v>17741</v>
      </c>
      <c r="L871" s="9" t="s">
        <v>17744</v>
      </c>
      <c r="M871" s="9" t="s">
        <v>17760</v>
      </c>
      <c r="N871" s="9" t="s">
        <v>17746</v>
      </c>
      <c r="O871" s="9" t="s">
        <v>23203</v>
      </c>
      <c r="P871" s="9" t="s">
        <v>17748</v>
      </c>
      <c r="Q871" s="11" t="s">
        <v>17909</v>
      </c>
      <c r="R871" s="11" t="s">
        <v>17909</v>
      </c>
      <c r="S871" s="11" t="s">
        <v>17750</v>
      </c>
    </row>
    <row r="872" spans="1:19" x14ac:dyDescent="0.2">
      <c r="A872" s="11" t="s">
        <v>23204</v>
      </c>
      <c r="B872" s="9" t="s">
        <v>23205</v>
      </c>
      <c r="C872" s="9" t="s">
        <v>23206</v>
      </c>
      <c r="D872" s="9" t="s">
        <v>23207</v>
      </c>
      <c r="E872" s="9" t="s">
        <v>17740</v>
      </c>
      <c r="F872" s="9" t="s">
        <v>17741</v>
      </c>
      <c r="G872" s="9" t="s">
        <v>17740</v>
      </c>
      <c r="H872" s="11" t="s">
        <v>23208</v>
      </c>
      <c r="I872" s="11" t="s">
        <v>23209</v>
      </c>
      <c r="J872" s="11" t="s">
        <v>23209</v>
      </c>
      <c r="K872" s="9" t="s">
        <v>91</v>
      </c>
      <c r="L872" s="9" t="s">
        <v>18001</v>
      </c>
      <c r="M872" s="9" t="s">
        <v>17760</v>
      </c>
      <c r="N872" s="9" t="s">
        <v>17746</v>
      </c>
      <c r="O872" s="9" t="s">
        <v>18514</v>
      </c>
      <c r="P872" s="9" t="s">
        <v>17748</v>
      </c>
      <c r="Q872" s="11" t="s">
        <v>17780</v>
      </c>
      <c r="R872" s="11" t="s">
        <v>17780</v>
      </c>
      <c r="S872" s="11" t="s">
        <v>17750</v>
      </c>
    </row>
    <row r="873" spans="1:19" x14ac:dyDescent="0.2">
      <c r="A873" s="11" t="s">
        <v>23210</v>
      </c>
      <c r="B873" s="9" t="s">
        <v>23211</v>
      </c>
      <c r="C873" s="9" t="s">
        <v>23212</v>
      </c>
      <c r="D873" s="9" t="s">
        <v>23213</v>
      </c>
      <c r="E873" s="9" t="s">
        <v>17740</v>
      </c>
      <c r="F873" s="9" t="s">
        <v>17741</v>
      </c>
      <c r="G873" s="9" t="s">
        <v>17740</v>
      </c>
      <c r="H873" s="11" t="s">
        <v>17741</v>
      </c>
      <c r="I873" s="11" t="s">
        <v>23214</v>
      </c>
      <c r="J873" s="11" t="s">
        <v>23214</v>
      </c>
      <c r="K873" s="9" t="s">
        <v>23215</v>
      </c>
      <c r="L873" s="9" t="s">
        <v>23216</v>
      </c>
      <c r="M873" s="9" t="s">
        <v>23217</v>
      </c>
      <c r="N873" s="9" t="s">
        <v>17746</v>
      </c>
      <c r="O873" s="9" t="s">
        <v>17993</v>
      </c>
      <c r="P873" s="9" t="s">
        <v>17748</v>
      </c>
      <c r="Q873" s="11" t="s">
        <v>23218</v>
      </c>
      <c r="R873" s="11" t="s">
        <v>23218</v>
      </c>
      <c r="S873" s="11" t="s">
        <v>17750</v>
      </c>
    </row>
    <row r="874" spans="1:19" x14ac:dyDescent="0.2">
      <c r="A874" s="11" t="s">
        <v>23219</v>
      </c>
      <c r="B874" s="9" t="s">
        <v>23220</v>
      </c>
      <c r="C874" s="9" t="s">
        <v>23221</v>
      </c>
      <c r="D874" s="9" t="s">
        <v>23222</v>
      </c>
      <c r="E874" s="9" t="s">
        <v>17740</v>
      </c>
      <c r="F874" s="9" t="s">
        <v>23223</v>
      </c>
      <c r="G874" s="9" t="s">
        <v>17740</v>
      </c>
      <c r="H874" s="11" t="s">
        <v>17741</v>
      </c>
      <c r="I874" s="11" t="s">
        <v>23224</v>
      </c>
      <c r="J874" s="11" t="s">
        <v>23224</v>
      </c>
      <c r="K874" s="9" t="s">
        <v>23225</v>
      </c>
      <c r="L874" s="9" t="s">
        <v>17991</v>
      </c>
      <c r="M874" s="9" t="s">
        <v>23226</v>
      </c>
      <c r="N874" s="9" t="s">
        <v>20424</v>
      </c>
      <c r="O874" s="9" t="s">
        <v>23227</v>
      </c>
      <c r="P874" s="9" t="s">
        <v>17748</v>
      </c>
      <c r="Q874" s="11" t="s">
        <v>23228</v>
      </c>
      <c r="R874" s="11" t="s">
        <v>23228</v>
      </c>
      <c r="S874" s="11" t="s">
        <v>17750</v>
      </c>
    </row>
    <row r="875" spans="1:19" x14ac:dyDescent="0.2">
      <c r="A875" s="11" t="s">
        <v>23229</v>
      </c>
      <c r="B875" s="9" t="s">
        <v>893</v>
      </c>
      <c r="C875" s="9" t="s">
        <v>23230</v>
      </c>
      <c r="D875" s="9" t="s">
        <v>893</v>
      </c>
      <c r="E875" s="9" t="s">
        <v>17740</v>
      </c>
      <c r="F875" s="9" t="s">
        <v>23231</v>
      </c>
      <c r="G875" s="9" t="s">
        <v>17740</v>
      </c>
      <c r="H875" s="11" t="s">
        <v>23232</v>
      </c>
      <c r="I875" s="11" t="s">
        <v>894</v>
      </c>
      <c r="J875" s="11" t="s">
        <v>23232</v>
      </c>
      <c r="K875" s="9" t="s">
        <v>18661</v>
      </c>
      <c r="L875" s="9" t="s">
        <v>17759</v>
      </c>
      <c r="M875" s="9" t="s">
        <v>17769</v>
      </c>
      <c r="N875" s="9" t="s">
        <v>17746</v>
      </c>
      <c r="O875" s="9" t="s">
        <v>21383</v>
      </c>
      <c r="P875" s="9" t="s">
        <v>17748</v>
      </c>
      <c r="Q875" s="11" t="s">
        <v>18960</v>
      </c>
      <c r="R875" s="11" t="s">
        <v>18960</v>
      </c>
      <c r="S875" s="11" t="s">
        <v>17750</v>
      </c>
    </row>
    <row r="876" spans="1:19" x14ac:dyDescent="0.2">
      <c r="A876" s="11" t="s">
        <v>23233</v>
      </c>
      <c r="B876" s="9" t="s">
        <v>23234</v>
      </c>
      <c r="C876" s="9" t="s">
        <v>23235</v>
      </c>
      <c r="D876" s="9" t="s">
        <v>23236</v>
      </c>
      <c r="E876" s="9" t="s">
        <v>17748</v>
      </c>
      <c r="F876" s="9" t="s">
        <v>23237</v>
      </c>
      <c r="G876" s="9" t="s">
        <v>17740</v>
      </c>
      <c r="H876" s="11" t="s">
        <v>17054</v>
      </c>
      <c r="I876" s="11" t="s">
        <v>23238</v>
      </c>
      <c r="J876" s="11" t="s">
        <v>17741</v>
      </c>
      <c r="K876" s="9" t="s">
        <v>23239</v>
      </c>
      <c r="L876" s="9" t="s">
        <v>17744</v>
      </c>
      <c r="M876" s="9" t="s">
        <v>17817</v>
      </c>
      <c r="N876" s="9" t="s">
        <v>17746</v>
      </c>
      <c r="O876" s="9" t="s">
        <v>23240</v>
      </c>
      <c r="P876" s="9" t="s">
        <v>17748</v>
      </c>
      <c r="Q876" s="11" t="s">
        <v>18089</v>
      </c>
      <c r="R876" s="11" t="s">
        <v>18089</v>
      </c>
      <c r="S876" s="11" t="s">
        <v>17750</v>
      </c>
    </row>
    <row r="877" spans="1:19" x14ac:dyDescent="0.2">
      <c r="A877" s="11" t="s">
        <v>23241</v>
      </c>
      <c r="B877" s="9" t="s">
        <v>23242</v>
      </c>
      <c r="C877" s="9" t="s">
        <v>23243</v>
      </c>
      <c r="D877" s="9" t="s">
        <v>23244</v>
      </c>
      <c r="E877" s="9" t="s">
        <v>17740</v>
      </c>
      <c r="F877" s="9" t="s">
        <v>17741</v>
      </c>
      <c r="G877" s="9" t="s">
        <v>17740</v>
      </c>
      <c r="H877" s="11" t="s">
        <v>4269</v>
      </c>
      <c r="I877" s="11" t="s">
        <v>4268</v>
      </c>
      <c r="J877" s="11" t="s">
        <v>4268</v>
      </c>
      <c r="K877" s="9" t="s">
        <v>315</v>
      </c>
      <c r="L877" s="9" t="s">
        <v>17744</v>
      </c>
      <c r="M877" s="9" t="s">
        <v>23245</v>
      </c>
      <c r="N877" s="9" t="s">
        <v>17746</v>
      </c>
      <c r="O877" s="9" t="s">
        <v>3981</v>
      </c>
      <c r="P877" s="9" t="s">
        <v>17748</v>
      </c>
      <c r="Q877" s="11" t="s">
        <v>18059</v>
      </c>
      <c r="R877" s="11" t="s">
        <v>18059</v>
      </c>
      <c r="S877" s="11" t="s">
        <v>17750</v>
      </c>
    </row>
    <row r="878" spans="1:19" x14ac:dyDescent="0.2">
      <c r="A878" s="11" t="s">
        <v>23246</v>
      </c>
      <c r="B878" s="9" t="s">
        <v>23247</v>
      </c>
      <c r="C878" s="9" t="s">
        <v>23248</v>
      </c>
      <c r="D878" s="9" t="s">
        <v>23249</v>
      </c>
      <c r="E878" s="9" t="s">
        <v>17740</v>
      </c>
      <c r="F878" s="9" t="s">
        <v>17741</v>
      </c>
      <c r="G878" s="9" t="s">
        <v>17740</v>
      </c>
      <c r="H878" s="11" t="s">
        <v>23250</v>
      </c>
      <c r="I878" s="11" t="s">
        <v>23251</v>
      </c>
      <c r="J878" s="11" t="s">
        <v>23251</v>
      </c>
      <c r="K878" s="9" t="s">
        <v>23252</v>
      </c>
      <c r="L878" s="9" t="s">
        <v>18210</v>
      </c>
      <c r="M878" s="9" t="s">
        <v>17760</v>
      </c>
      <c r="N878" s="9" t="s">
        <v>17746</v>
      </c>
      <c r="O878" s="9" t="s">
        <v>17993</v>
      </c>
      <c r="P878" s="9" t="s">
        <v>17748</v>
      </c>
      <c r="Q878" s="11" t="s">
        <v>18798</v>
      </c>
      <c r="R878" s="11" t="s">
        <v>18798</v>
      </c>
      <c r="S878" s="11" t="s">
        <v>17750</v>
      </c>
    </row>
    <row r="879" spans="1:19" x14ac:dyDescent="0.2">
      <c r="A879" s="11" t="s">
        <v>23253</v>
      </c>
      <c r="B879" s="9" t="s">
        <v>9355</v>
      </c>
      <c r="C879" s="9" t="s">
        <v>23254</v>
      </c>
      <c r="D879" s="9" t="s">
        <v>9355</v>
      </c>
      <c r="E879" s="9" t="s">
        <v>17740</v>
      </c>
      <c r="F879" s="9" t="s">
        <v>17741</v>
      </c>
      <c r="G879" s="9" t="s">
        <v>17740</v>
      </c>
      <c r="H879" s="11" t="s">
        <v>9357</v>
      </c>
      <c r="I879" s="11" t="s">
        <v>9356</v>
      </c>
      <c r="J879" s="11" t="s">
        <v>9356</v>
      </c>
      <c r="K879" s="9" t="s">
        <v>23255</v>
      </c>
      <c r="L879" s="9" t="s">
        <v>17759</v>
      </c>
      <c r="M879" s="9" t="s">
        <v>17778</v>
      </c>
      <c r="N879" s="9" t="s">
        <v>17746</v>
      </c>
      <c r="O879" s="9" t="s">
        <v>23256</v>
      </c>
      <c r="P879" s="9" t="s">
        <v>17748</v>
      </c>
      <c r="Q879" s="11" t="s">
        <v>17994</v>
      </c>
      <c r="R879" s="11" t="s">
        <v>17994</v>
      </c>
      <c r="S879" s="11" t="s">
        <v>17750</v>
      </c>
    </row>
    <row r="880" spans="1:19" x14ac:dyDescent="0.2">
      <c r="A880" s="11" t="s">
        <v>23257</v>
      </c>
      <c r="B880" s="9" t="s">
        <v>23258</v>
      </c>
      <c r="C880" s="9" t="s">
        <v>23259</v>
      </c>
      <c r="D880" s="9" t="s">
        <v>23260</v>
      </c>
      <c r="E880" s="9" t="s">
        <v>17740</v>
      </c>
      <c r="F880" s="9" t="s">
        <v>23261</v>
      </c>
      <c r="G880" s="9" t="s">
        <v>17740</v>
      </c>
      <c r="H880" s="11" t="s">
        <v>754</v>
      </c>
      <c r="I880" s="11" t="s">
        <v>753</v>
      </c>
      <c r="J880" s="11" t="s">
        <v>753</v>
      </c>
      <c r="K880" s="9" t="s">
        <v>91</v>
      </c>
      <c r="L880" s="9" t="s">
        <v>18001</v>
      </c>
      <c r="M880" s="9" t="s">
        <v>18521</v>
      </c>
      <c r="N880" s="9" t="s">
        <v>17746</v>
      </c>
      <c r="O880" s="9" t="s">
        <v>23262</v>
      </c>
      <c r="P880" s="9" t="s">
        <v>17748</v>
      </c>
      <c r="Q880" s="11" t="s">
        <v>18251</v>
      </c>
      <c r="R880" s="11" t="s">
        <v>18251</v>
      </c>
      <c r="S880" s="11" t="s">
        <v>17750</v>
      </c>
    </row>
    <row r="881" spans="1:19" x14ac:dyDescent="0.2">
      <c r="A881" s="11" t="s">
        <v>23263</v>
      </c>
      <c r="B881" s="9" t="s">
        <v>23264</v>
      </c>
      <c r="C881" s="9" t="s">
        <v>23265</v>
      </c>
      <c r="D881" s="9" t="s">
        <v>903</v>
      </c>
      <c r="E881" s="9" t="s">
        <v>17740</v>
      </c>
      <c r="F881" s="9" t="s">
        <v>17741</v>
      </c>
      <c r="G881" s="9" t="s">
        <v>17740</v>
      </c>
      <c r="H881" s="11" t="s">
        <v>905</v>
      </c>
      <c r="I881" s="11" t="s">
        <v>904</v>
      </c>
      <c r="J881" s="11" t="s">
        <v>904</v>
      </c>
      <c r="K881" s="9" t="s">
        <v>55</v>
      </c>
      <c r="L881" s="9" t="s">
        <v>17744</v>
      </c>
      <c r="M881" s="9" t="s">
        <v>23266</v>
      </c>
      <c r="N881" s="9" t="s">
        <v>17746</v>
      </c>
      <c r="O881" s="9" t="s">
        <v>23267</v>
      </c>
      <c r="P881" s="9" t="s">
        <v>17748</v>
      </c>
      <c r="Q881" s="11" t="s">
        <v>23268</v>
      </c>
      <c r="R881" s="11" t="s">
        <v>23268</v>
      </c>
      <c r="S881" s="11" t="s">
        <v>17750</v>
      </c>
    </row>
    <row r="882" spans="1:19" x14ac:dyDescent="0.2">
      <c r="A882" s="11" t="s">
        <v>23269</v>
      </c>
      <c r="B882" s="9" t="s">
        <v>23270</v>
      </c>
      <c r="C882" s="9" t="s">
        <v>23271</v>
      </c>
      <c r="D882" s="9" t="s">
        <v>23272</v>
      </c>
      <c r="E882" s="9" t="s">
        <v>17740</v>
      </c>
      <c r="F882" s="9" t="s">
        <v>17741</v>
      </c>
      <c r="G882" s="9" t="s">
        <v>17740</v>
      </c>
      <c r="H882" s="11" t="s">
        <v>6820</v>
      </c>
      <c r="I882" s="11" t="s">
        <v>6819</v>
      </c>
      <c r="J882" s="11" t="s">
        <v>6819</v>
      </c>
      <c r="K882" s="9" t="s">
        <v>601</v>
      </c>
      <c r="L882" s="9" t="s">
        <v>17759</v>
      </c>
      <c r="M882" s="9" t="s">
        <v>18513</v>
      </c>
      <c r="N882" s="9" t="s">
        <v>17746</v>
      </c>
      <c r="O882" s="9" t="s">
        <v>23273</v>
      </c>
      <c r="P882" s="9" t="s">
        <v>17748</v>
      </c>
      <c r="Q882" s="11" t="s">
        <v>19515</v>
      </c>
      <c r="R882" s="11" t="s">
        <v>19515</v>
      </c>
      <c r="S882" s="11" t="s">
        <v>17750</v>
      </c>
    </row>
    <row r="883" spans="1:19" x14ac:dyDescent="0.2">
      <c r="A883" s="11" t="s">
        <v>23274</v>
      </c>
      <c r="B883" s="9" t="s">
        <v>23275</v>
      </c>
      <c r="C883" s="9" t="s">
        <v>23276</v>
      </c>
      <c r="D883" s="9" t="s">
        <v>23277</v>
      </c>
      <c r="E883" s="9" t="s">
        <v>17740</v>
      </c>
      <c r="F883" s="9" t="s">
        <v>17741</v>
      </c>
      <c r="G883" s="9" t="s">
        <v>17740</v>
      </c>
      <c r="H883" s="11" t="s">
        <v>924</v>
      </c>
      <c r="I883" s="11" t="s">
        <v>923</v>
      </c>
      <c r="J883" s="11" t="s">
        <v>923</v>
      </c>
      <c r="K883" s="9" t="s">
        <v>601</v>
      </c>
      <c r="L883" s="9" t="s">
        <v>17759</v>
      </c>
      <c r="M883" s="9" t="s">
        <v>18699</v>
      </c>
      <c r="N883" s="9" t="s">
        <v>17746</v>
      </c>
      <c r="O883" s="9" t="s">
        <v>23278</v>
      </c>
      <c r="P883" s="9" t="s">
        <v>17748</v>
      </c>
      <c r="Q883" s="11" t="s">
        <v>17771</v>
      </c>
      <c r="R883" s="11" t="s">
        <v>17771</v>
      </c>
      <c r="S883" s="11" t="s">
        <v>17750</v>
      </c>
    </row>
    <row r="884" spans="1:19" x14ac:dyDescent="0.2">
      <c r="A884" s="11" t="s">
        <v>23279</v>
      </c>
      <c r="B884" s="9" t="s">
        <v>23280</v>
      </c>
      <c r="C884" s="9" t="s">
        <v>23281</v>
      </c>
      <c r="D884" s="9" t="s">
        <v>23282</v>
      </c>
      <c r="E884" s="9" t="s">
        <v>17748</v>
      </c>
      <c r="F884" s="9" t="s">
        <v>23283</v>
      </c>
      <c r="G884" s="9" t="s">
        <v>17740</v>
      </c>
      <c r="H884" s="11" t="s">
        <v>23284</v>
      </c>
      <c r="I884" s="11" t="s">
        <v>3144</v>
      </c>
      <c r="J884" s="11" t="s">
        <v>3144</v>
      </c>
      <c r="K884" s="9" t="s">
        <v>23285</v>
      </c>
      <c r="L884" s="9" t="s">
        <v>18242</v>
      </c>
      <c r="M884" s="9" t="s">
        <v>17817</v>
      </c>
      <c r="N884" s="9" t="s">
        <v>21524</v>
      </c>
      <c r="O884" s="9" t="s">
        <v>23267</v>
      </c>
      <c r="P884" s="9" t="s">
        <v>17748</v>
      </c>
      <c r="Q884" s="11" t="s">
        <v>17917</v>
      </c>
      <c r="R884" s="11" t="s">
        <v>17917</v>
      </c>
      <c r="S884" s="11" t="s">
        <v>17750</v>
      </c>
    </row>
    <row r="885" spans="1:19" x14ac:dyDescent="0.2">
      <c r="A885" s="11" t="s">
        <v>23286</v>
      </c>
      <c r="B885" s="9" t="s">
        <v>23287</v>
      </c>
      <c r="C885" s="9" t="s">
        <v>23288</v>
      </c>
      <c r="D885" s="9" t="s">
        <v>23289</v>
      </c>
      <c r="E885" s="9" t="s">
        <v>17740</v>
      </c>
      <c r="F885" s="9" t="s">
        <v>17741</v>
      </c>
      <c r="G885" s="9" t="s">
        <v>17740</v>
      </c>
      <c r="H885" s="11" t="s">
        <v>15759</v>
      </c>
      <c r="I885" s="11" t="s">
        <v>15758</v>
      </c>
      <c r="J885" s="11" t="s">
        <v>17741</v>
      </c>
      <c r="K885" s="9" t="s">
        <v>19180</v>
      </c>
      <c r="L885" s="9" t="s">
        <v>17759</v>
      </c>
      <c r="M885" s="9" t="s">
        <v>17769</v>
      </c>
      <c r="N885" s="9" t="s">
        <v>17746</v>
      </c>
      <c r="O885" s="9" t="s">
        <v>23267</v>
      </c>
      <c r="P885" s="9" t="s">
        <v>17748</v>
      </c>
      <c r="Q885" s="11" t="s">
        <v>17909</v>
      </c>
      <c r="R885" s="11" t="s">
        <v>17909</v>
      </c>
      <c r="S885" s="11" t="s">
        <v>17750</v>
      </c>
    </row>
    <row r="886" spans="1:19" x14ac:dyDescent="0.2">
      <c r="A886" s="11" t="s">
        <v>23290</v>
      </c>
      <c r="B886" s="9" t="s">
        <v>23291</v>
      </c>
      <c r="C886" s="9" t="s">
        <v>23292</v>
      </c>
      <c r="D886" s="9" t="s">
        <v>23293</v>
      </c>
      <c r="E886" s="9" t="s">
        <v>17740</v>
      </c>
      <c r="F886" s="9" t="s">
        <v>17741</v>
      </c>
      <c r="G886" s="9" t="s">
        <v>17740</v>
      </c>
      <c r="H886" s="11" t="s">
        <v>11725</v>
      </c>
      <c r="I886" s="11" t="s">
        <v>11724</v>
      </c>
      <c r="J886" s="11" t="s">
        <v>11724</v>
      </c>
      <c r="K886" s="9" t="s">
        <v>17783</v>
      </c>
      <c r="L886" s="9" t="s">
        <v>17759</v>
      </c>
      <c r="M886" s="9" t="s">
        <v>17760</v>
      </c>
      <c r="N886" s="9" t="s">
        <v>17746</v>
      </c>
      <c r="O886" s="9" t="s">
        <v>23294</v>
      </c>
      <c r="P886" s="9" t="s">
        <v>17748</v>
      </c>
      <c r="Q886" s="11" t="s">
        <v>17917</v>
      </c>
      <c r="R886" s="11" t="s">
        <v>17917</v>
      </c>
      <c r="S886" s="11" t="s">
        <v>17750</v>
      </c>
    </row>
    <row r="887" spans="1:19" x14ac:dyDescent="0.2">
      <c r="A887" s="11" t="s">
        <v>23295</v>
      </c>
      <c r="B887" s="9" t="s">
        <v>23296</v>
      </c>
      <c r="C887" s="9" t="s">
        <v>23297</v>
      </c>
      <c r="D887" s="9" t="s">
        <v>23298</v>
      </c>
      <c r="E887" s="9" t="s">
        <v>17740</v>
      </c>
      <c r="F887" s="9" t="s">
        <v>17741</v>
      </c>
      <c r="G887" s="9" t="s">
        <v>17740</v>
      </c>
      <c r="H887" s="11" t="s">
        <v>4524</v>
      </c>
      <c r="I887" s="11" t="s">
        <v>4523</v>
      </c>
      <c r="J887" s="11" t="s">
        <v>4523</v>
      </c>
      <c r="K887" s="9" t="s">
        <v>291</v>
      </c>
      <c r="L887" s="9" t="s">
        <v>17744</v>
      </c>
      <c r="M887" s="9" t="s">
        <v>23299</v>
      </c>
      <c r="N887" s="9" t="s">
        <v>17746</v>
      </c>
      <c r="O887" s="9" t="s">
        <v>903</v>
      </c>
      <c r="P887" s="9" t="s">
        <v>17748</v>
      </c>
      <c r="Q887" s="11" t="s">
        <v>18364</v>
      </c>
      <c r="R887" s="11" t="s">
        <v>18364</v>
      </c>
      <c r="S887" s="11" t="s">
        <v>17750</v>
      </c>
    </row>
    <row r="888" spans="1:19" x14ac:dyDescent="0.2">
      <c r="A888" s="11" t="s">
        <v>23300</v>
      </c>
      <c r="B888" s="9" t="s">
        <v>23301</v>
      </c>
      <c r="C888" s="9" t="s">
        <v>23302</v>
      </c>
      <c r="D888" s="9" t="s">
        <v>23303</v>
      </c>
      <c r="E888" s="9" t="s">
        <v>17740</v>
      </c>
      <c r="F888" s="9" t="s">
        <v>17741</v>
      </c>
      <c r="G888" s="9" t="s">
        <v>17740</v>
      </c>
      <c r="H888" s="11" t="s">
        <v>5883</v>
      </c>
      <c r="I888" s="11" t="s">
        <v>5882</v>
      </c>
      <c r="J888" s="11" t="s">
        <v>5882</v>
      </c>
      <c r="K888" s="9" t="s">
        <v>23304</v>
      </c>
      <c r="L888" s="9" t="s">
        <v>18123</v>
      </c>
      <c r="M888" s="9" t="s">
        <v>17760</v>
      </c>
      <c r="N888" s="9" t="s">
        <v>17746</v>
      </c>
      <c r="O888" s="9" t="s">
        <v>23305</v>
      </c>
      <c r="P888" s="9" t="s">
        <v>17748</v>
      </c>
      <c r="Q888" s="11" t="s">
        <v>17749</v>
      </c>
      <c r="R888" s="11" t="s">
        <v>17749</v>
      </c>
      <c r="S888" s="11" t="s">
        <v>17750</v>
      </c>
    </row>
    <row r="889" spans="1:19" x14ac:dyDescent="0.2">
      <c r="A889" s="11" t="s">
        <v>23306</v>
      </c>
      <c r="B889" s="9" t="s">
        <v>23307</v>
      </c>
      <c r="C889" s="9" t="s">
        <v>23308</v>
      </c>
      <c r="D889" s="9" t="s">
        <v>23309</v>
      </c>
      <c r="E889" s="9" t="s">
        <v>17740</v>
      </c>
      <c r="F889" s="9" t="s">
        <v>23310</v>
      </c>
      <c r="G889" s="9" t="s">
        <v>17740</v>
      </c>
      <c r="H889" s="11" t="s">
        <v>930</v>
      </c>
      <c r="I889" s="11" t="s">
        <v>929</v>
      </c>
      <c r="J889" s="11" t="s">
        <v>929</v>
      </c>
      <c r="K889" s="9" t="s">
        <v>22128</v>
      </c>
      <c r="L889" s="9" t="s">
        <v>18001</v>
      </c>
      <c r="M889" s="9" t="s">
        <v>23311</v>
      </c>
      <c r="N889" s="9" t="s">
        <v>17746</v>
      </c>
      <c r="O889" s="9" t="s">
        <v>903</v>
      </c>
      <c r="P889" s="9" t="s">
        <v>17748</v>
      </c>
      <c r="Q889" s="11" t="s">
        <v>20251</v>
      </c>
      <c r="R889" s="11" t="s">
        <v>20251</v>
      </c>
      <c r="S889" s="11" t="s">
        <v>17750</v>
      </c>
    </row>
    <row r="890" spans="1:19" x14ac:dyDescent="0.2">
      <c r="A890" s="11" t="s">
        <v>23312</v>
      </c>
      <c r="B890" s="9" t="s">
        <v>23313</v>
      </c>
      <c r="C890" s="9" t="s">
        <v>23314</v>
      </c>
      <c r="D890" s="9" t="s">
        <v>23315</v>
      </c>
      <c r="E890" s="9" t="s">
        <v>17740</v>
      </c>
      <c r="F890" s="9" t="s">
        <v>17741</v>
      </c>
      <c r="G890" s="9" t="s">
        <v>17740</v>
      </c>
      <c r="H890" s="11" t="s">
        <v>908</v>
      </c>
      <c r="I890" s="11" t="s">
        <v>907</v>
      </c>
      <c r="J890" s="11" t="s">
        <v>907</v>
      </c>
      <c r="K890" s="9" t="s">
        <v>18661</v>
      </c>
      <c r="L890" s="9" t="s">
        <v>17759</v>
      </c>
      <c r="M890" s="9" t="s">
        <v>19203</v>
      </c>
      <c r="N890" s="9" t="s">
        <v>17746</v>
      </c>
      <c r="O890" s="9" t="s">
        <v>903</v>
      </c>
      <c r="P890" s="9" t="s">
        <v>17748</v>
      </c>
      <c r="Q890" s="11" t="s">
        <v>19026</v>
      </c>
      <c r="R890" s="11" t="s">
        <v>19026</v>
      </c>
      <c r="S890" s="11" t="s">
        <v>17750</v>
      </c>
    </row>
    <row r="891" spans="1:19" x14ac:dyDescent="0.2">
      <c r="A891" s="11" t="s">
        <v>23316</v>
      </c>
      <c r="B891" s="9" t="s">
        <v>23317</v>
      </c>
      <c r="C891" s="9" t="s">
        <v>23318</v>
      </c>
      <c r="D891" s="9" t="s">
        <v>23319</v>
      </c>
      <c r="E891" s="9" t="s">
        <v>17740</v>
      </c>
      <c r="F891" s="9" t="s">
        <v>17741</v>
      </c>
      <c r="G891" s="9" t="s">
        <v>17740</v>
      </c>
      <c r="H891" s="11" t="s">
        <v>17741</v>
      </c>
      <c r="I891" s="11" t="s">
        <v>12676</v>
      </c>
      <c r="J891" s="11" t="s">
        <v>17741</v>
      </c>
      <c r="K891" s="9" t="s">
        <v>91</v>
      </c>
      <c r="L891" s="9" t="s">
        <v>17759</v>
      </c>
      <c r="M891" s="9" t="s">
        <v>17760</v>
      </c>
      <c r="N891" s="9" t="s">
        <v>17746</v>
      </c>
      <c r="O891" s="9" t="s">
        <v>903</v>
      </c>
      <c r="P891" s="9" t="s">
        <v>17748</v>
      </c>
      <c r="Q891" s="11" t="s">
        <v>18370</v>
      </c>
      <c r="R891" s="11" t="s">
        <v>18370</v>
      </c>
      <c r="S891" s="11" t="s">
        <v>17750</v>
      </c>
    </row>
    <row r="892" spans="1:19" x14ac:dyDescent="0.2">
      <c r="A892" s="11" t="s">
        <v>23320</v>
      </c>
      <c r="B892" s="9" t="s">
        <v>23321</v>
      </c>
      <c r="C892" s="9" t="s">
        <v>23322</v>
      </c>
      <c r="D892" s="9" t="s">
        <v>23323</v>
      </c>
      <c r="E892" s="9" t="s">
        <v>17748</v>
      </c>
      <c r="F892" s="9" t="s">
        <v>23324</v>
      </c>
      <c r="G892" s="9" t="s">
        <v>17740</v>
      </c>
      <c r="H892" s="11" t="s">
        <v>12075</v>
      </c>
      <c r="I892" s="11" t="s">
        <v>12074</v>
      </c>
      <c r="J892" s="11" t="s">
        <v>12074</v>
      </c>
      <c r="K892" s="9" t="s">
        <v>17089</v>
      </c>
      <c r="L892" s="9" t="s">
        <v>18158</v>
      </c>
      <c r="M892" s="9" t="s">
        <v>23325</v>
      </c>
      <c r="N892" s="9" t="s">
        <v>17746</v>
      </c>
      <c r="O892" s="9" t="s">
        <v>903</v>
      </c>
      <c r="P892" s="9" t="s">
        <v>17748</v>
      </c>
      <c r="Q892" s="11" t="s">
        <v>17917</v>
      </c>
      <c r="R892" s="11" t="s">
        <v>17917</v>
      </c>
      <c r="S892" s="11" t="s">
        <v>17750</v>
      </c>
    </row>
    <row r="893" spans="1:19" x14ac:dyDescent="0.2">
      <c r="A893" s="11" t="s">
        <v>23326</v>
      </c>
      <c r="B893" s="9" t="s">
        <v>23327</v>
      </c>
      <c r="C893" s="9" t="s">
        <v>23328</v>
      </c>
      <c r="D893" s="9" t="s">
        <v>23329</v>
      </c>
      <c r="E893" s="9" t="s">
        <v>17740</v>
      </c>
      <c r="F893" s="9" t="s">
        <v>17741</v>
      </c>
      <c r="G893" s="9" t="s">
        <v>17740</v>
      </c>
      <c r="H893" s="11" t="s">
        <v>4860</v>
      </c>
      <c r="I893" s="11" t="s">
        <v>4859</v>
      </c>
      <c r="J893" s="11" t="s">
        <v>4859</v>
      </c>
      <c r="K893" s="9" t="s">
        <v>18832</v>
      </c>
      <c r="L893" s="9" t="s">
        <v>17759</v>
      </c>
      <c r="M893" s="9" t="s">
        <v>17760</v>
      </c>
      <c r="N893" s="9" t="s">
        <v>17746</v>
      </c>
      <c r="O893" s="9" t="s">
        <v>903</v>
      </c>
      <c r="P893" s="9" t="s">
        <v>17748</v>
      </c>
      <c r="Q893" s="11" t="s">
        <v>18678</v>
      </c>
      <c r="R893" s="11" t="s">
        <v>18678</v>
      </c>
      <c r="S893" s="11" t="s">
        <v>17750</v>
      </c>
    </row>
    <row r="894" spans="1:19" x14ac:dyDescent="0.2">
      <c r="A894" s="11" t="s">
        <v>23330</v>
      </c>
      <c r="B894" s="9" t="s">
        <v>23331</v>
      </c>
      <c r="C894" s="9" t="s">
        <v>23332</v>
      </c>
      <c r="D894" s="9" t="s">
        <v>23333</v>
      </c>
      <c r="E894" s="9" t="s">
        <v>17748</v>
      </c>
      <c r="F894" s="9" t="s">
        <v>23334</v>
      </c>
      <c r="G894" s="9" t="s">
        <v>17740</v>
      </c>
      <c r="H894" s="11" t="s">
        <v>7669</v>
      </c>
      <c r="I894" s="11" t="s">
        <v>7668</v>
      </c>
      <c r="J894" s="11" t="s">
        <v>7668</v>
      </c>
      <c r="K894" s="9" t="s">
        <v>23335</v>
      </c>
      <c r="L894" s="9" t="s">
        <v>18242</v>
      </c>
      <c r="M894" s="9" t="s">
        <v>23336</v>
      </c>
      <c r="N894" s="9" t="s">
        <v>17746</v>
      </c>
      <c r="O894" s="9" t="s">
        <v>23337</v>
      </c>
      <c r="P894" s="9" t="s">
        <v>17748</v>
      </c>
      <c r="Q894" s="11" t="s">
        <v>18272</v>
      </c>
      <c r="R894" s="11" t="s">
        <v>18272</v>
      </c>
      <c r="S894" s="11" t="s">
        <v>17750</v>
      </c>
    </row>
    <row r="895" spans="1:19" x14ac:dyDescent="0.2">
      <c r="A895" s="11" t="s">
        <v>23338</v>
      </c>
      <c r="B895" s="9" t="s">
        <v>23339</v>
      </c>
      <c r="C895" s="9" t="s">
        <v>23340</v>
      </c>
      <c r="D895" s="9" t="s">
        <v>23341</v>
      </c>
      <c r="E895" s="9" t="s">
        <v>17740</v>
      </c>
      <c r="F895" s="9" t="s">
        <v>17741</v>
      </c>
      <c r="G895" s="9" t="s">
        <v>17740</v>
      </c>
      <c r="H895" s="11" t="s">
        <v>23342</v>
      </c>
      <c r="I895" s="11" t="s">
        <v>23343</v>
      </c>
      <c r="J895" s="11" t="s">
        <v>23343</v>
      </c>
      <c r="K895" s="9" t="s">
        <v>18176</v>
      </c>
      <c r="L895" s="9" t="s">
        <v>18123</v>
      </c>
      <c r="M895" s="9" t="s">
        <v>23344</v>
      </c>
      <c r="N895" s="9" t="s">
        <v>17746</v>
      </c>
      <c r="O895" s="9" t="s">
        <v>23345</v>
      </c>
      <c r="P895" s="9" t="s">
        <v>17748</v>
      </c>
      <c r="Q895" s="11" t="s">
        <v>17883</v>
      </c>
      <c r="R895" s="11" t="s">
        <v>17883</v>
      </c>
      <c r="S895" s="11" t="s">
        <v>17750</v>
      </c>
    </row>
    <row r="896" spans="1:19" x14ac:dyDescent="0.2">
      <c r="A896" s="11" t="s">
        <v>23346</v>
      </c>
      <c r="B896" s="9" t="s">
        <v>23347</v>
      </c>
      <c r="C896" s="9" t="s">
        <v>23348</v>
      </c>
      <c r="D896" s="9" t="s">
        <v>23349</v>
      </c>
      <c r="E896" s="9" t="s">
        <v>17740</v>
      </c>
      <c r="F896" s="9" t="s">
        <v>17741</v>
      </c>
      <c r="G896" s="9" t="s">
        <v>17740</v>
      </c>
      <c r="H896" s="11" t="s">
        <v>5095</v>
      </c>
      <c r="I896" s="11" t="s">
        <v>5094</v>
      </c>
      <c r="J896" s="11" t="s">
        <v>5094</v>
      </c>
      <c r="K896" s="9" t="s">
        <v>601</v>
      </c>
      <c r="L896" s="9" t="s">
        <v>17759</v>
      </c>
      <c r="M896" s="9" t="s">
        <v>22360</v>
      </c>
      <c r="N896" s="9" t="s">
        <v>17746</v>
      </c>
      <c r="O896" s="9" t="s">
        <v>23350</v>
      </c>
      <c r="P896" s="9" t="s">
        <v>17748</v>
      </c>
      <c r="Q896" s="11" t="s">
        <v>18364</v>
      </c>
      <c r="R896" s="11" t="s">
        <v>18364</v>
      </c>
      <c r="S896" s="11" t="s">
        <v>17750</v>
      </c>
    </row>
    <row r="897" spans="1:19" x14ac:dyDescent="0.2">
      <c r="A897" s="11" t="s">
        <v>23351</v>
      </c>
      <c r="B897" s="9" t="s">
        <v>23352</v>
      </c>
      <c r="C897" s="9" t="s">
        <v>23353</v>
      </c>
      <c r="D897" s="9" t="s">
        <v>23354</v>
      </c>
      <c r="E897" s="9" t="s">
        <v>17740</v>
      </c>
      <c r="F897" s="9" t="s">
        <v>17741</v>
      </c>
      <c r="G897" s="9" t="s">
        <v>17740</v>
      </c>
      <c r="H897" s="11" t="s">
        <v>17741</v>
      </c>
      <c r="I897" s="11" t="s">
        <v>23355</v>
      </c>
      <c r="J897" s="11" t="s">
        <v>23355</v>
      </c>
      <c r="K897" s="9" t="s">
        <v>23356</v>
      </c>
      <c r="L897" s="9" t="s">
        <v>18577</v>
      </c>
      <c r="M897" s="9" t="s">
        <v>18289</v>
      </c>
      <c r="N897" s="9" t="s">
        <v>17746</v>
      </c>
      <c r="O897" s="9" t="s">
        <v>17993</v>
      </c>
      <c r="P897" s="9" t="s">
        <v>17748</v>
      </c>
      <c r="Q897" s="11" t="s">
        <v>19866</v>
      </c>
      <c r="R897" s="11" t="s">
        <v>19866</v>
      </c>
      <c r="S897" s="11" t="s">
        <v>17750</v>
      </c>
    </row>
    <row r="898" spans="1:19" x14ac:dyDescent="0.2">
      <c r="A898" s="11" t="s">
        <v>23357</v>
      </c>
      <c r="B898" s="9" t="s">
        <v>23358</v>
      </c>
      <c r="C898" s="9" t="s">
        <v>23359</v>
      </c>
      <c r="D898" s="9" t="s">
        <v>23360</v>
      </c>
      <c r="E898" s="9" t="s">
        <v>17740</v>
      </c>
      <c r="F898" s="9" t="s">
        <v>17741</v>
      </c>
      <c r="G898" s="9" t="s">
        <v>17740</v>
      </c>
      <c r="H898" s="11" t="s">
        <v>23361</v>
      </c>
      <c r="I898" s="11" t="s">
        <v>23362</v>
      </c>
      <c r="J898" s="11" t="s">
        <v>23362</v>
      </c>
      <c r="K898" s="9" t="s">
        <v>23363</v>
      </c>
      <c r="L898" s="9" t="s">
        <v>18058</v>
      </c>
      <c r="M898" s="9" t="s">
        <v>23364</v>
      </c>
      <c r="N898" s="9" t="s">
        <v>17746</v>
      </c>
      <c r="O898" s="9" t="s">
        <v>18340</v>
      </c>
      <c r="P898" s="9" t="s">
        <v>17748</v>
      </c>
      <c r="Q898" s="11" t="s">
        <v>17749</v>
      </c>
      <c r="R898" s="11" t="s">
        <v>17749</v>
      </c>
      <c r="S898" s="11" t="s">
        <v>17750</v>
      </c>
    </row>
    <row r="899" spans="1:19" x14ac:dyDescent="0.2">
      <c r="A899" s="11" t="s">
        <v>23365</v>
      </c>
      <c r="B899" s="9" t="s">
        <v>23366</v>
      </c>
      <c r="C899" s="9" t="s">
        <v>23367</v>
      </c>
      <c r="D899" s="9" t="s">
        <v>23368</v>
      </c>
      <c r="E899" s="9" t="s">
        <v>17740</v>
      </c>
      <c r="F899" s="9" t="s">
        <v>17741</v>
      </c>
      <c r="G899" s="9" t="s">
        <v>17740</v>
      </c>
      <c r="H899" s="11" t="s">
        <v>23369</v>
      </c>
      <c r="I899" s="11" t="s">
        <v>17741</v>
      </c>
      <c r="J899" s="11" t="s">
        <v>17741</v>
      </c>
      <c r="K899" s="9" t="s">
        <v>17741</v>
      </c>
      <c r="L899" s="9" t="s">
        <v>18058</v>
      </c>
      <c r="M899" s="9" t="s">
        <v>17769</v>
      </c>
      <c r="N899" s="9" t="s">
        <v>17746</v>
      </c>
      <c r="O899" s="9" t="s">
        <v>487</v>
      </c>
      <c r="P899" s="9" t="s">
        <v>17748</v>
      </c>
      <c r="Q899" s="11" t="s">
        <v>18089</v>
      </c>
      <c r="R899" s="11" t="s">
        <v>18089</v>
      </c>
      <c r="S899" s="11" t="s">
        <v>17750</v>
      </c>
    </row>
    <row r="900" spans="1:19" x14ac:dyDescent="0.2">
      <c r="A900" s="11" t="s">
        <v>23370</v>
      </c>
      <c r="B900" s="9" t="s">
        <v>23371</v>
      </c>
      <c r="C900" s="9" t="s">
        <v>23372</v>
      </c>
      <c r="D900" s="9" t="s">
        <v>23373</v>
      </c>
      <c r="E900" s="9" t="s">
        <v>17748</v>
      </c>
      <c r="F900" s="9" t="s">
        <v>23374</v>
      </c>
      <c r="G900" s="9" t="s">
        <v>17740</v>
      </c>
      <c r="H900" s="11" t="s">
        <v>23375</v>
      </c>
      <c r="I900" s="11" t="s">
        <v>23376</v>
      </c>
      <c r="J900" s="11" t="s">
        <v>23376</v>
      </c>
      <c r="K900" s="9" t="s">
        <v>23377</v>
      </c>
      <c r="L900" s="9" t="s">
        <v>18058</v>
      </c>
      <c r="M900" s="9" t="s">
        <v>17760</v>
      </c>
      <c r="N900" s="9" t="s">
        <v>17746</v>
      </c>
      <c r="O900" s="9" t="s">
        <v>17977</v>
      </c>
      <c r="P900" s="9" t="s">
        <v>17748</v>
      </c>
      <c r="Q900" s="11" t="s">
        <v>17784</v>
      </c>
      <c r="R900" s="11" t="s">
        <v>17784</v>
      </c>
      <c r="S900" s="11" t="s">
        <v>17750</v>
      </c>
    </row>
    <row r="901" spans="1:19" x14ac:dyDescent="0.2">
      <c r="A901" s="11" t="s">
        <v>23378</v>
      </c>
      <c r="B901" s="9" t="s">
        <v>23379</v>
      </c>
      <c r="C901" s="9" t="s">
        <v>23380</v>
      </c>
      <c r="D901" s="9" t="s">
        <v>23381</v>
      </c>
      <c r="E901" s="9" t="s">
        <v>17740</v>
      </c>
      <c r="F901" s="9" t="s">
        <v>17741</v>
      </c>
      <c r="G901" s="9" t="s">
        <v>17740</v>
      </c>
      <c r="H901" s="11" t="s">
        <v>8866</v>
      </c>
      <c r="I901" s="11" t="s">
        <v>8865</v>
      </c>
      <c r="J901" s="11" t="s">
        <v>8865</v>
      </c>
      <c r="K901" s="9" t="s">
        <v>23382</v>
      </c>
      <c r="L901" s="9" t="s">
        <v>18058</v>
      </c>
      <c r="M901" s="9" t="s">
        <v>17769</v>
      </c>
      <c r="N901" s="9" t="s">
        <v>17746</v>
      </c>
      <c r="O901" s="9" t="s">
        <v>19659</v>
      </c>
      <c r="P901" s="9" t="s">
        <v>17748</v>
      </c>
      <c r="Q901" s="11" t="s">
        <v>18272</v>
      </c>
      <c r="R901" s="11" t="s">
        <v>18272</v>
      </c>
      <c r="S901" s="11" t="s">
        <v>17750</v>
      </c>
    </row>
    <row r="902" spans="1:19" x14ac:dyDescent="0.2">
      <c r="A902" s="11" t="s">
        <v>23383</v>
      </c>
      <c r="B902" s="9" t="s">
        <v>23384</v>
      </c>
      <c r="C902" s="9" t="s">
        <v>23385</v>
      </c>
      <c r="D902" s="9" t="s">
        <v>23386</v>
      </c>
      <c r="E902" s="9" t="s">
        <v>17740</v>
      </c>
      <c r="F902" s="9" t="s">
        <v>23387</v>
      </c>
      <c r="G902" s="9" t="s">
        <v>17740</v>
      </c>
      <c r="H902" s="11" t="s">
        <v>23388</v>
      </c>
      <c r="I902" s="11" t="s">
        <v>3565</v>
      </c>
      <c r="J902" s="11" t="s">
        <v>3565</v>
      </c>
      <c r="K902" s="9" t="s">
        <v>23389</v>
      </c>
      <c r="L902" s="9" t="s">
        <v>18058</v>
      </c>
      <c r="M902" s="9" t="s">
        <v>17817</v>
      </c>
      <c r="N902" s="9" t="s">
        <v>17746</v>
      </c>
      <c r="O902" s="9" t="s">
        <v>18833</v>
      </c>
      <c r="P902" s="9" t="s">
        <v>17748</v>
      </c>
      <c r="Q902" s="11" t="s">
        <v>18433</v>
      </c>
      <c r="R902" s="11" t="s">
        <v>18433</v>
      </c>
      <c r="S902" s="11" t="s">
        <v>17750</v>
      </c>
    </row>
    <row r="903" spans="1:19" x14ac:dyDescent="0.2">
      <c r="A903" s="11" t="s">
        <v>23390</v>
      </c>
      <c r="B903" s="9" t="s">
        <v>23391</v>
      </c>
      <c r="C903" s="9" t="s">
        <v>23392</v>
      </c>
      <c r="D903" s="9" t="s">
        <v>23393</v>
      </c>
      <c r="E903" s="9" t="s">
        <v>17740</v>
      </c>
      <c r="F903" s="9" t="s">
        <v>23394</v>
      </c>
      <c r="G903" s="9" t="s">
        <v>17740</v>
      </c>
      <c r="H903" s="11" t="s">
        <v>23395</v>
      </c>
      <c r="I903" s="11" t="s">
        <v>23396</v>
      </c>
      <c r="J903" s="11" t="s">
        <v>23396</v>
      </c>
      <c r="K903" s="9" t="s">
        <v>23397</v>
      </c>
      <c r="L903" s="9" t="s">
        <v>18058</v>
      </c>
      <c r="M903" s="9" t="s">
        <v>17760</v>
      </c>
      <c r="N903" s="9" t="s">
        <v>17746</v>
      </c>
      <c r="O903" s="9" t="s">
        <v>18746</v>
      </c>
      <c r="P903" s="9" t="s">
        <v>17748</v>
      </c>
      <c r="Q903" s="11" t="s">
        <v>23398</v>
      </c>
      <c r="R903" s="11" t="s">
        <v>23398</v>
      </c>
      <c r="S903" s="11" t="s">
        <v>17750</v>
      </c>
    </row>
    <row r="904" spans="1:19" x14ac:dyDescent="0.2">
      <c r="A904" s="11" t="s">
        <v>23399</v>
      </c>
      <c r="B904" s="9" t="s">
        <v>23400</v>
      </c>
      <c r="C904" s="9" t="s">
        <v>23401</v>
      </c>
      <c r="D904" s="9" t="s">
        <v>23402</v>
      </c>
      <c r="E904" s="9" t="s">
        <v>17740</v>
      </c>
      <c r="F904" s="9" t="s">
        <v>17741</v>
      </c>
      <c r="G904" s="9" t="s">
        <v>17740</v>
      </c>
      <c r="H904" s="11" t="s">
        <v>23403</v>
      </c>
      <c r="I904" s="11" t="s">
        <v>23404</v>
      </c>
      <c r="J904" s="11" t="s">
        <v>23403</v>
      </c>
      <c r="K904" s="9" t="s">
        <v>23405</v>
      </c>
      <c r="L904" s="9" t="s">
        <v>18058</v>
      </c>
      <c r="M904" s="9" t="s">
        <v>17769</v>
      </c>
      <c r="N904" s="9" t="s">
        <v>17746</v>
      </c>
      <c r="O904" s="9" t="s">
        <v>18418</v>
      </c>
      <c r="P904" s="9" t="s">
        <v>17748</v>
      </c>
      <c r="Q904" s="11" t="s">
        <v>17784</v>
      </c>
      <c r="R904" s="11" t="s">
        <v>17784</v>
      </c>
      <c r="S904" s="11" t="s">
        <v>17750</v>
      </c>
    </row>
    <row r="905" spans="1:19" x14ac:dyDescent="0.2">
      <c r="A905" s="11" t="s">
        <v>23406</v>
      </c>
      <c r="B905" s="9" t="s">
        <v>23407</v>
      </c>
      <c r="C905" s="9" t="s">
        <v>23408</v>
      </c>
      <c r="D905" s="9" t="s">
        <v>23409</v>
      </c>
      <c r="E905" s="9" t="s">
        <v>17748</v>
      </c>
      <c r="F905" s="9" t="s">
        <v>23410</v>
      </c>
      <c r="G905" s="9" t="s">
        <v>17740</v>
      </c>
      <c r="H905" s="11" t="s">
        <v>23411</v>
      </c>
      <c r="I905" s="11" t="s">
        <v>23412</v>
      </c>
      <c r="J905" s="11" t="s">
        <v>17741</v>
      </c>
      <c r="K905" s="9" t="s">
        <v>17741</v>
      </c>
      <c r="L905" s="9" t="s">
        <v>18058</v>
      </c>
      <c r="M905" s="9" t="s">
        <v>17769</v>
      </c>
      <c r="N905" s="9" t="s">
        <v>17746</v>
      </c>
      <c r="O905" s="9" t="s">
        <v>19740</v>
      </c>
      <c r="P905" s="9" t="s">
        <v>17748</v>
      </c>
      <c r="Q905" s="11" t="s">
        <v>18089</v>
      </c>
      <c r="R905" s="11" t="s">
        <v>18089</v>
      </c>
      <c r="S905" s="11" t="s">
        <v>17750</v>
      </c>
    </row>
    <row r="906" spans="1:19" x14ac:dyDescent="0.2">
      <c r="A906" s="11" t="s">
        <v>23413</v>
      </c>
      <c r="B906" s="9" t="s">
        <v>23414</v>
      </c>
      <c r="C906" s="9" t="s">
        <v>23415</v>
      </c>
      <c r="D906" s="9" t="s">
        <v>23416</v>
      </c>
      <c r="E906" s="9" t="s">
        <v>17748</v>
      </c>
      <c r="F906" s="9" t="s">
        <v>23417</v>
      </c>
      <c r="G906" s="9" t="s">
        <v>17740</v>
      </c>
      <c r="H906" s="11" t="s">
        <v>23418</v>
      </c>
      <c r="I906" s="11" t="s">
        <v>23419</v>
      </c>
      <c r="J906" s="11" t="s">
        <v>23419</v>
      </c>
      <c r="K906" s="9" t="s">
        <v>23420</v>
      </c>
      <c r="L906" s="9" t="s">
        <v>18058</v>
      </c>
      <c r="M906" s="9" t="s">
        <v>17760</v>
      </c>
      <c r="N906" s="9" t="s">
        <v>17746</v>
      </c>
      <c r="O906" s="9" t="s">
        <v>18340</v>
      </c>
      <c r="P906" s="9" t="s">
        <v>17748</v>
      </c>
      <c r="Q906" s="11" t="s">
        <v>17780</v>
      </c>
      <c r="R906" s="11" t="s">
        <v>17780</v>
      </c>
      <c r="S906" s="11" t="s">
        <v>17750</v>
      </c>
    </row>
    <row r="907" spans="1:19" x14ac:dyDescent="0.2">
      <c r="A907" s="11" t="s">
        <v>23421</v>
      </c>
      <c r="B907" s="9" t="s">
        <v>23422</v>
      </c>
      <c r="C907" s="9" t="s">
        <v>23423</v>
      </c>
      <c r="D907" s="9" t="s">
        <v>5866</v>
      </c>
      <c r="E907" s="9" t="s">
        <v>17740</v>
      </c>
      <c r="F907" s="9" t="s">
        <v>17741</v>
      </c>
      <c r="G907" s="9" t="s">
        <v>17740</v>
      </c>
      <c r="H907" s="11" t="s">
        <v>5868</v>
      </c>
      <c r="I907" s="11" t="s">
        <v>5867</v>
      </c>
      <c r="J907" s="11" t="s">
        <v>5867</v>
      </c>
      <c r="K907" s="9" t="s">
        <v>91</v>
      </c>
      <c r="L907" s="9" t="s">
        <v>18001</v>
      </c>
      <c r="M907" s="9" t="s">
        <v>17769</v>
      </c>
      <c r="N907" s="9" t="s">
        <v>17746</v>
      </c>
      <c r="O907" s="9" t="s">
        <v>23424</v>
      </c>
      <c r="P907" s="9" t="s">
        <v>17748</v>
      </c>
      <c r="Q907" s="11" t="s">
        <v>18147</v>
      </c>
      <c r="R907" s="11" t="s">
        <v>18147</v>
      </c>
      <c r="S907" s="11" t="s">
        <v>17750</v>
      </c>
    </row>
    <row r="908" spans="1:19" x14ac:dyDescent="0.2">
      <c r="A908" s="11" t="s">
        <v>23425</v>
      </c>
      <c r="B908" s="9" t="s">
        <v>23426</v>
      </c>
      <c r="C908" s="9" t="s">
        <v>23427</v>
      </c>
      <c r="D908" s="9" t="s">
        <v>12965</v>
      </c>
      <c r="E908" s="9" t="s">
        <v>17740</v>
      </c>
      <c r="F908" s="9" t="s">
        <v>17741</v>
      </c>
      <c r="G908" s="9" t="s">
        <v>17740</v>
      </c>
      <c r="H908" s="11" t="s">
        <v>12967</v>
      </c>
      <c r="I908" s="11" t="s">
        <v>12966</v>
      </c>
      <c r="J908" s="11" t="s">
        <v>12966</v>
      </c>
      <c r="K908" s="9" t="s">
        <v>23428</v>
      </c>
      <c r="L908" s="9" t="s">
        <v>18242</v>
      </c>
      <c r="M908" s="9" t="s">
        <v>17760</v>
      </c>
      <c r="N908" s="9" t="s">
        <v>17746</v>
      </c>
      <c r="O908" s="9" t="s">
        <v>18363</v>
      </c>
      <c r="P908" s="9" t="s">
        <v>17748</v>
      </c>
      <c r="Q908" s="11" t="s">
        <v>17808</v>
      </c>
      <c r="R908" s="11" t="s">
        <v>17808</v>
      </c>
      <c r="S908" s="11" t="s">
        <v>17750</v>
      </c>
    </row>
    <row r="909" spans="1:19" x14ac:dyDescent="0.2">
      <c r="A909" s="11" t="s">
        <v>23429</v>
      </c>
      <c r="B909" s="9" t="s">
        <v>23430</v>
      </c>
      <c r="C909" s="9" t="s">
        <v>23431</v>
      </c>
      <c r="D909" s="9" t="s">
        <v>23432</v>
      </c>
      <c r="E909" s="9" t="s">
        <v>17740</v>
      </c>
      <c r="F909" s="9" t="s">
        <v>17741</v>
      </c>
      <c r="G909" s="9" t="s">
        <v>17740</v>
      </c>
      <c r="H909" s="11" t="s">
        <v>8432</v>
      </c>
      <c r="I909" s="11" t="s">
        <v>8431</v>
      </c>
      <c r="J909" s="11" t="s">
        <v>8431</v>
      </c>
      <c r="K909" s="9" t="s">
        <v>23433</v>
      </c>
      <c r="L909" s="9" t="s">
        <v>17744</v>
      </c>
      <c r="M909" s="9" t="s">
        <v>17769</v>
      </c>
      <c r="N909" s="9" t="s">
        <v>17746</v>
      </c>
      <c r="O909" s="9" t="s">
        <v>18363</v>
      </c>
      <c r="P909" s="9" t="s">
        <v>17748</v>
      </c>
      <c r="Q909" s="11" t="s">
        <v>18356</v>
      </c>
      <c r="R909" s="11" t="s">
        <v>18356</v>
      </c>
      <c r="S909" s="11" t="s">
        <v>17750</v>
      </c>
    </row>
    <row r="910" spans="1:19" x14ac:dyDescent="0.2">
      <c r="A910" s="11" t="s">
        <v>23434</v>
      </c>
      <c r="B910" s="9" t="s">
        <v>23435</v>
      </c>
      <c r="C910" s="9" t="s">
        <v>23436</v>
      </c>
      <c r="D910" s="9" t="s">
        <v>23437</v>
      </c>
      <c r="E910" s="9" t="s">
        <v>17740</v>
      </c>
      <c r="F910" s="9" t="s">
        <v>17741</v>
      </c>
      <c r="G910" s="9" t="s">
        <v>17740</v>
      </c>
      <c r="H910" s="11" t="s">
        <v>747</v>
      </c>
      <c r="I910" s="11" t="s">
        <v>746</v>
      </c>
      <c r="J910" s="11" t="s">
        <v>746</v>
      </c>
      <c r="K910" s="9" t="s">
        <v>21011</v>
      </c>
      <c r="L910" s="9" t="s">
        <v>18001</v>
      </c>
      <c r="M910" s="9" t="s">
        <v>19203</v>
      </c>
      <c r="N910" s="9" t="s">
        <v>17746</v>
      </c>
      <c r="O910" s="9" t="s">
        <v>18363</v>
      </c>
      <c r="P910" s="9" t="s">
        <v>17748</v>
      </c>
      <c r="Q910" s="11" t="s">
        <v>18433</v>
      </c>
      <c r="R910" s="11" t="s">
        <v>18433</v>
      </c>
      <c r="S910" s="11" t="s">
        <v>17750</v>
      </c>
    </row>
    <row r="911" spans="1:19" x14ac:dyDescent="0.2">
      <c r="A911" s="11" t="s">
        <v>23438</v>
      </c>
      <c r="B911" s="9" t="s">
        <v>23439</v>
      </c>
      <c r="C911" s="9" t="s">
        <v>23440</v>
      </c>
      <c r="D911" s="9" t="s">
        <v>23441</v>
      </c>
      <c r="E911" s="9" t="s">
        <v>17740</v>
      </c>
      <c r="F911" s="9" t="s">
        <v>17741</v>
      </c>
      <c r="G911" s="9" t="s">
        <v>17740</v>
      </c>
      <c r="H911" s="11" t="s">
        <v>4465</v>
      </c>
      <c r="I911" s="11" t="s">
        <v>4464</v>
      </c>
      <c r="J911" s="11" t="s">
        <v>4464</v>
      </c>
      <c r="K911" s="9" t="s">
        <v>920</v>
      </c>
      <c r="L911" s="9" t="s">
        <v>18001</v>
      </c>
      <c r="M911" s="9" t="s">
        <v>23442</v>
      </c>
      <c r="N911" s="9" t="s">
        <v>17746</v>
      </c>
      <c r="O911" s="9" t="s">
        <v>23443</v>
      </c>
      <c r="P911" s="9" t="s">
        <v>17748</v>
      </c>
      <c r="Q911" s="11" t="s">
        <v>18364</v>
      </c>
      <c r="R911" s="11" t="s">
        <v>18364</v>
      </c>
      <c r="S911" s="11" t="s">
        <v>17750</v>
      </c>
    </row>
    <row r="912" spans="1:19" x14ac:dyDescent="0.2">
      <c r="A912" s="11" t="s">
        <v>23444</v>
      </c>
      <c r="B912" s="9" t="s">
        <v>23445</v>
      </c>
      <c r="C912" s="9" t="s">
        <v>23446</v>
      </c>
      <c r="D912" s="9" t="s">
        <v>23447</v>
      </c>
      <c r="E912" s="9" t="s">
        <v>17740</v>
      </c>
      <c r="F912" s="9" t="s">
        <v>17741</v>
      </c>
      <c r="G912" s="9" t="s">
        <v>17740</v>
      </c>
      <c r="H912" s="11" t="s">
        <v>7049</v>
      </c>
      <c r="I912" s="11" t="s">
        <v>7048</v>
      </c>
      <c r="J912" s="11" t="s">
        <v>7048</v>
      </c>
      <c r="K912" s="9" t="s">
        <v>22893</v>
      </c>
      <c r="L912" s="9" t="s">
        <v>17759</v>
      </c>
      <c r="M912" s="9" t="s">
        <v>17769</v>
      </c>
      <c r="N912" s="9" t="s">
        <v>17746</v>
      </c>
      <c r="O912" s="9" t="s">
        <v>18363</v>
      </c>
      <c r="P912" s="9" t="s">
        <v>17748</v>
      </c>
      <c r="Q912" s="11" t="s">
        <v>19361</v>
      </c>
      <c r="R912" s="11" t="s">
        <v>19361</v>
      </c>
      <c r="S912" s="11" t="s">
        <v>17750</v>
      </c>
    </row>
    <row r="913" spans="1:19" x14ac:dyDescent="0.2">
      <c r="A913" s="11" t="s">
        <v>23448</v>
      </c>
      <c r="B913" s="9" t="s">
        <v>23449</v>
      </c>
      <c r="C913" s="9" t="s">
        <v>23450</v>
      </c>
      <c r="D913" s="9" t="s">
        <v>23451</v>
      </c>
      <c r="E913" s="9" t="s">
        <v>17740</v>
      </c>
      <c r="F913" s="9" t="s">
        <v>17741</v>
      </c>
      <c r="G913" s="9" t="s">
        <v>17740</v>
      </c>
      <c r="H913" s="11" t="s">
        <v>11782</v>
      </c>
      <c r="I913" s="11" t="s">
        <v>11781</v>
      </c>
      <c r="J913" s="11" t="s">
        <v>11781</v>
      </c>
      <c r="K913" s="9" t="s">
        <v>19202</v>
      </c>
      <c r="L913" s="9" t="s">
        <v>17759</v>
      </c>
      <c r="M913" s="9" t="s">
        <v>17760</v>
      </c>
      <c r="N913" s="9" t="s">
        <v>17746</v>
      </c>
      <c r="O913" s="9" t="s">
        <v>18543</v>
      </c>
      <c r="P913" s="9" t="s">
        <v>17748</v>
      </c>
      <c r="Q913" s="11" t="s">
        <v>17762</v>
      </c>
      <c r="R913" s="11" t="s">
        <v>17762</v>
      </c>
      <c r="S913" s="11" t="s">
        <v>17750</v>
      </c>
    </row>
    <row r="914" spans="1:19" x14ac:dyDescent="0.2">
      <c r="A914" s="11" t="s">
        <v>23452</v>
      </c>
      <c r="B914" s="9" t="s">
        <v>23453</v>
      </c>
      <c r="C914" s="9" t="s">
        <v>23454</v>
      </c>
      <c r="D914" s="9" t="s">
        <v>23455</v>
      </c>
      <c r="E914" s="9" t="s">
        <v>17740</v>
      </c>
      <c r="F914" s="9" t="s">
        <v>17741</v>
      </c>
      <c r="G914" s="9" t="s">
        <v>17740</v>
      </c>
      <c r="H914" s="11" t="s">
        <v>17741</v>
      </c>
      <c r="I914" s="11" t="s">
        <v>23456</v>
      </c>
      <c r="J914" s="11" t="s">
        <v>23456</v>
      </c>
      <c r="K914" s="9" t="s">
        <v>23457</v>
      </c>
      <c r="L914" s="9" t="s">
        <v>20082</v>
      </c>
      <c r="M914" s="9" t="s">
        <v>23458</v>
      </c>
      <c r="N914" s="9" t="s">
        <v>17746</v>
      </c>
      <c r="O914" s="9" t="s">
        <v>18543</v>
      </c>
      <c r="P914" s="9" t="s">
        <v>17748</v>
      </c>
      <c r="Q914" s="11" t="s">
        <v>19515</v>
      </c>
      <c r="R914" s="11" t="s">
        <v>19515</v>
      </c>
      <c r="S914" s="11" t="s">
        <v>17750</v>
      </c>
    </row>
    <row r="915" spans="1:19" x14ac:dyDescent="0.2">
      <c r="A915" s="11" t="s">
        <v>23459</v>
      </c>
      <c r="B915" s="9" t="s">
        <v>23460</v>
      </c>
      <c r="C915" s="9" t="s">
        <v>23461</v>
      </c>
      <c r="D915" s="9" t="s">
        <v>23462</v>
      </c>
      <c r="E915" s="9" t="s">
        <v>17740</v>
      </c>
      <c r="F915" s="9" t="s">
        <v>17741</v>
      </c>
      <c r="G915" s="9" t="s">
        <v>17740</v>
      </c>
      <c r="H915" s="11" t="s">
        <v>23463</v>
      </c>
      <c r="I915" s="11" t="s">
        <v>23464</v>
      </c>
      <c r="J915" s="11" t="s">
        <v>23464</v>
      </c>
      <c r="K915" s="9" t="s">
        <v>23465</v>
      </c>
      <c r="L915" s="9" t="s">
        <v>17744</v>
      </c>
      <c r="M915" s="9" t="s">
        <v>17760</v>
      </c>
      <c r="N915" s="9" t="s">
        <v>17746</v>
      </c>
      <c r="O915" s="9" t="s">
        <v>22422</v>
      </c>
      <c r="P915" s="9" t="s">
        <v>17748</v>
      </c>
      <c r="Q915" s="11" t="s">
        <v>17784</v>
      </c>
      <c r="R915" s="11" t="s">
        <v>17784</v>
      </c>
      <c r="S915" s="11" t="s">
        <v>17750</v>
      </c>
    </row>
    <row r="916" spans="1:19" x14ac:dyDescent="0.2">
      <c r="A916" s="11" t="s">
        <v>23466</v>
      </c>
      <c r="B916" s="9" t="s">
        <v>23467</v>
      </c>
      <c r="C916" s="9" t="s">
        <v>23468</v>
      </c>
      <c r="D916" s="9" t="s">
        <v>23469</v>
      </c>
      <c r="E916" s="9" t="s">
        <v>17748</v>
      </c>
      <c r="F916" s="9" t="s">
        <v>23470</v>
      </c>
      <c r="G916" s="9" t="s">
        <v>17740</v>
      </c>
      <c r="H916" s="11" t="s">
        <v>15359</v>
      </c>
      <c r="I916" s="11" t="s">
        <v>15358</v>
      </c>
      <c r="J916" s="11" t="s">
        <v>15358</v>
      </c>
      <c r="K916" s="9" t="s">
        <v>55</v>
      </c>
      <c r="L916" s="9" t="s">
        <v>17744</v>
      </c>
      <c r="M916" s="9" t="s">
        <v>23471</v>
      </c>
      <c r="N916" s="9" t="s">
        <v>17746</v>
      </c>
      <c r="O916" s="9" t="s">
        <v>1690</v>
      </c>
      <c r="P916" s="9" t="s">
        <v>17748</v>
      </c>
      <c r="Q916" s="11" t="s">
        <v>17900</v>
      </c>
      <c r="R916" s="11" t="s">
        <v>17900</v>
      </c>
      <c r="S916" s="11" t="s">
        <v>17750</v>
      </c>
    </row>
    <row r="917" spans="1:19" x14ac:dyDescent="0.2">
      <c r="A917" s="11" t="s">
        <v>23472</v>
      </c>
      <c r="B917" s="9" t="s">
        <v>23473</v>
      </c>
      <c r="C917" s="9" t="s">
        <v>23474</v>
      </c>
      <c r="D917" s="9" t="s">
        <v>23475</v>
      </c>
      <c r="E917" s="9" t="s">
        <v>17740</v>
      </c>
      <c r="F917" s="9" t="s">
        <v>23476</v>
      </c>
      <c r="G917" s="9" t="s">
        <v>17740</v>
      </c>
      <c r="H917" s="11" t="s">
        <v>23477</v>
      </c>
      <c r="I917" s="11" t="s">
        <v>23478</v>
      </c>
      <c r="J917" s="11" t="s">
        <v>23478</v>
      </c>
      <c r="K917" s="9" t="s">
        <v>23479</v>
      </c>
      <c r="L917" s="9" t="s">
        <v>17744</v>
      </c>
      <c r="M917" s="9" t="s">
        <v>23480</v>
      </c>
      <c r="N917" s="9" t="s">
        <v>17746</v>
      </c>
      <c r="O917" s="9" t="s">
        <v>18340</v>
      </c>
      <c r="P917" s="9" t="s">
        <v>17748</v>
      </c>
      <c r="Q917" s="11" t="s">
        <v>23218</v>
      </c>
      <c r="R917" s="11" t="s">
        <v>23218</v>
      </c>
      <c r="S917" s="11" t="s">
        <v>17750</v>
      </c>
    </row>
    <row r="918" spans="1:19" x14ac:dyDescent="0.2">
      <c r="A918" s="11" t="s">
        <v>23481</v>
      </c>
      <c r="B918" s="9" t="s">
        <v>23482</v>
      </c>
      <c r="C918" s="9" t="s">
        <v>23483</v>
      </c>
      <c r="D918" s="9" t="s">
        <v>23484</v>
      </c>
      <c r="E918" s="9" t="s">
        <v>17740</v>
      </c>
      <c r="F918" s="9" t="s">
        <v>17741</v>
      </c>
      <c r="G918" s="9" t="s">
        <v>17740</v>
      </c>
      <c r="H918" s="11" t="s">
        <v>23485</v>
      </c>
      <c r="I918" s="11" t="s">
        <v>23486</v>
      </c>
      <c r="J918" s="11" t="s">
        <v>23486</v>
      </c>
      <c r="K918" s="9" t="s">
        <v>724</v>
      </c>
      <c r="L918" s="9" t="s">
        <v>17744</v>
      </c>
      <c r="M918" s="9" t="s">
        <v>23487</v>
      </c>
      <c r="N918" s="9" t="s">
        <v>17746</v>
      </c>
      <c r="O918" s="9" t="s">
        <v>20690</v>
      </c>
      <c r="P918" s="9" t="s">
        <v>17748</v>
      </c>
      <c r="Q918" s="11" t="s">
        <v>18314</v>
      </c>
      <c r="R918" s="11" t="s">
        <v>18314</v>
      </c>
      <c r="S918" s="11" t="s">
        <v>17750</v>
      </c>
    </row>
    <row r="919" spans="1:19" x14ac:dyDescent="0.2">
      <c r="A919" s="11" t="s">
        <v>23488</v>
      </c>
      <c r="B919" s="9" t="s">
        <v>23489</v>
      </c>
      <c r="C919" s="9" t="s">
        <v>23490</v>
      </c>
      <c r="D919" s="9" t="s">
        <v>23491</v>
      </c>
      <c r="E919" s="9" t="s">
        <v>17740</v>
      </c>
      <c r="F919" s="9" t="s">
        <v>17741</v>
      </c>
      <c r="G919" s="9" t="s">
        <v>17740</v>
      </c>
      <c r="H919" s="11" t="s">
        <v>812</v>
      </c>
      <c r="I919" s="11" t="s">
        <v>811</v>
      </c>
      <c r="J919" s="11" t="s">
        <v>811</v>
      </c>
      <c r="K919" s="9" t="s">
        <v>55</v>
      </c>
      <c r="L919" s="9" t="s">
        <v>17744</v>
      </c>
      <c r="M919" s="9" t="s">
        <v>17817</v>
      </c>
      <c r="N919" s="9" t="s">
        <v>17746</v>
      </c>
      <c r="O919" s="9" t="s">
        <v>487</v>
      </c>
      <c r="P919" s="9" t="s">
        <v>17748</v>
      </c>
      <c r="Q919" s="11" t="s">
        <v>21244</v>
      </c>
      <c r="R919" s="11" t="s">
        <v>21244</v>
      </c>
      <c r="S919" s="11" t="s">
        <v>17750</v>
      </c>
    </row>
    <row r="920" spans="1:19" x14ac:dyDescent="0.2">
      <c r="A920" s="11" t="s">
        <v>23492</v>
      </c>
      <c r="B920" s="9" t="s">
        <v>23493</v>
      </c>
      <c r="C920" s="9" t="s">
        <v>23494</v>
      </c>
      <c r="D920" s="9" t="s">
        <v>23495</v>
      </c>
      <c r="E920" s="9" t="s">
        <v>17748</v>
      </c>
      <c r="F920" s="9" t="s">
        <v>23496</v>
      </c>
      <c r="G920" s="9" t="s">
        <v>17740</v>
      </c>
      <c r="H920" s="11" t="s">
        <v>17741</v>
      </c>
      <c r="I920" s="11" t="s">
        <v>6033</v>
      </c>
      <c r="J920" s="11" t="s">
        <v>6033</v>
      </c>
      <c r="K920" s="9" t="s">
        <v>23497</v>
      </c>
      <c r="L920" s="9" t="s">
        <v>17744</v>
      </c>
      <c r="M920" s="9" t="s">
        <v>17760</v>
      </c>
      <c r="N920" s="9" t="s">
        <v>17746</v>
      </c>
      <c r="O920" s="9" t="s">
        <v>23498</v>
      </c>
      <c r="P920" s="9" t="s">
        <v>17748</v>
      </c>
      <c r="Q920" s="11" t="s">
        <v>17792</v>
      </c>
      <c r="R920" s="11" t="s">
        <v>17792</v>
      </c>
      <c r="S920" s="11" t="s">
        <v>17750</v>
      </c>
    </row>
    <row r="921" spans="1:19" x14ac:dyDescent="0.2">
      <c r="A921" s="11" t="s">
        <v>23499</v>
      </c>
      <c r="B921" s="9" t="s">
        <v>23500</v>
      </c>
      <c r="C921" s="9" t="s">
        <v>23501</v>
      </c>
      <c r="D921" s="9" t="s">
        <v>23502</v>
      </c>
      <c r="E921" s="9" t="s">
        <v>17740</v>
      </c>
      <c r="F921" s="9" t="s">
        <v>17741</v>
      </c>
      <c r="G921" s="9" t="s">
        <v>17740</v>
      </c>
      <c r="H921" s="11" t="s">
        <v>815</v>
      </c>
      <c r="I921" s="11" t="s">
        <v>814</v>
      </c>
      <c r="J921" s="11" t="s">
        <v>814</v>
      </c>
      <c r="K921" s="9" t="s">
        <v>23503</v>
      </c>
      <c r="L921" s="9" t="s">
        <v>17744</v>
      </c>
      <c r="M921" s="9" t="s">
        <v>19571</v>
      </c>
      <c r="N921" s="9" t="s">
        <v>17746</v>
      </c>
      <c r="O921" s="9" t="s">
        <v>18363</v>
      </c>
      <c r="P921" s="9" t="s">
        <v>17748</v>
      </c>
      <c r="Q921" s="11" t="s">
        <v>18847</v>
      </c>
      <c r="R921" s="11" t="s">
        <v>18847</v>
      </c>
      <c r="S921" s="11" t="s">
        <v>17750</v>
      </c>
    </row>
    <row r="922" spans="1:19" x14ac:dyDescent="0.2">
      <c r="A922" s="11" t="s">
        <v>23504</v>
      </c>
      <c r="B922" s="9" t="s">
        <v>23505</v>
      </c>
      <c r="C922" s="9" t="s">
        <v>23506</v>
      </c>
      <c r="D922" s="9" t="s">
        <v>23507</v>
      </c>
      <c r="E922" s="9" t="s">
        <v>17740</v>
      </c>
      <c r="F922" s="9" t="s">
        <v>17741</v>
      </c>
      <c r="G922" s="9" t="s">
        <v>17740</v>
      </c>
      <c r="H922" s="11" t="s">
        <v>740</v>
      </c>
      <c r="I922" s="11" t="s">
        <v>739</v>
      </c>
      <c r="J922" s="11" t="s">
        <v>739</v>
      </c>
      <c r="K922" s="9" t="s">
        <v>970</v>
      </c>
      <c r="L922" s="9" t="s">
        <v>17744</v>
      </c>
      <c r="M922" s="9" t="s">
        <v>17817</v>
      </c>
      <c r="N922" s="9" t="s">
        <v>17746</v>
      </c>
      <c r="O922" s="9" t="s">
        <v>3391</v>
      </c>
      <c r="P922" s="9" t="s">
        <v>17748</v>
      </c>
      <c r="Q922" s="11" t="s">
        <v>17771</v>
      </c>
      <c r="R922" s="11" t="s">
        <v>17771</v>
      </c>
      <c r="S922" s="11" t="s">
        <v>17750</v>
      </c>
    </row>
    <row r="923" spans="1:19" x14ac:dyDescent="0.2">
      <c r="A923" s="11" t="s">
        <v>23508</v>
      </c>
      <c r="B923" s="9" t="s">
        <v>23509</v>
      </c>
      <c r="C923" s="9" t="s">
        <v>23510</v>
      </c>
      <c r="D923" s="9" t="s">
        <v>23511</v>
      </c>
      <c r="E923" s="9" t="s">
        <v>17740</v>
      </c>
      <c r="F923" s="9" t="s">
        <v>23512</v>
      </c>
      <c r="G923" s="9" t="s">
        <v>17740</v>
      </c>
      <c r="H923" s="11" t="s">
        <v>17741</v>
      </c>
      <c r="I923" s="11" t="s">
        <v>23513</v>
      </c>
      <c r="J923" s="11" t="s">
        <v>23513</v>
      </c>
      <c r="K923" s="9" t="s">
        <v>970</v>
      </c>
      <c r="L923" s="9" t="s">
        <v>17744</v>
      </c>
      <c r="M923" s="9" t="s">
        <v>17760</v>
      </c>
      <c r="N923" s="9" t="s">
        <v>17746</v>
      </c>
      <c r="O923" s="9" t="s">
        <v>18514</v>
      </c>
      <c r="P923" s="9" t="s">
        <v>17748</v>
      </c>
      <c r="Q923" s="11" t="s">
        <v>18433</v>
      </c>
      <c r="R923" s="11" t="s">
        <v>18433</v>
      </c>
      <c r="S923" s="11" t="s">
        <v>17750</v>
      </c>
    </row>
    <row r="924" spans="1:19" x14ac:dyDescent="0.2">
      <c r="A924" s="11" t="s">
        <v>23514</v>
      </c>
      <c r="B924" s="9" t="s">
        <v>23515</v>
      </c>
      <c r="C924" s="9" t="s">
        <v>23516</v>
      </c>
      <c r="D924" s="9" t="s">
        <v>23517</v>
      </c>
      <c r="E924" s="9" t="s">
        <v>17740</v>
      </c>
      <c r="F924" s="9" t="s">
        <v>23518</v>
      </c>
      <c r="G924" s="9" t="s">
        <v>17740</v>
      </c>
      <c r="H924" s="11" t="s">
        <v>17741</v>
      </c>
      <c r="I924" s="11" t="s">
        <v>23519</v>
      </c>
      <c r="J924" s="11" t="s">
        <v>23519</v>
      </c>
      <c r="K924" s="9" t="s">
        <v>23520</v>
      </c>
      <c r="L924" s="9" t="s">
        <v>17744</v>
      </c>
      <c r="M924" s="9" t="s">
        <v>23521</v>
      </c>
      <c r="N924" s="9" t="s">
        <v>17746</v>
      </c>
      <c r="O924" s="9" t="s">
        <v>17800</v>
      </c>
      <c r="P924" s="9" t="s">
        <v>17748</v>
      </c>
      <c r="Q924" s="11" t="s">
        <v>23398</v>
      </c>
      <c r="R924" s="11" t="s">
        <v>23398</v>
      </c>
      <c r="S924" s="11" t="s">
        <v>17750</v>
      </c>
    </row>
    <row r="925" spans="1:19" x14ac:dyDescent="0.2">
      <c r="A925" s="11" t="s">
        <v>23522</v>
      </c>
      <c r="B925" s="9" t="s">
        <v>23523</v>
      </c>
      <c r="C925" s="9" t="s">
        <v>23524</v>
      </c>
      <c r="D925" s="9" t="s">
        <v>23525</v>
      </c>
      <c r="E925" s="9" t="s">
        <v>17740</v>
      </c>
      <c r="F925" s="9" t="s">
        <v>23526</v>
      </c>
      <c r="G925" s="9" t="s">
        <v>17740</v>
      </c>
      <c r="H925" s="11" t="s">
        <v>818</v>
      </c>
      <c r="I925" s="11" t="s">
        <v>817</v>
      </c>
      <c r="J925" s="11" t="s">
        <v>817</v>
      </c>
      <c r="K925" s="9" t="s">
        <v>23527</v>
      </c>
      <c r="L925" s="9" t="s">
        <v>17744</v>
      </c>
      <c r="M925" s="9" t="s">
        <v>17817</v>
      </c>
      <c r="N925" s="9" t="s">
        <v>17746</v>
      </c>
      <c r="O925" s="9" t="s">
        <v>5790</v>
      </c>
      <c r="P925" s="9" t="s">
        <v>17748</v>
      </c>
      <c r="Q925" s="11" t="s">
        <v>20021</v>
      </c>
      <c r="R925" s="11" t="s">
        <v>20021</v>
      </c>
      <c r="S925" s="11" t="s">
        <v>17750</v>
      </c>
    </row>
    <row r="926" spans="1:19" x14ac:dyDescent="0.2">
      <c r="A926" s="11" t="s">
        <v>23528</v>
      </c>
      <c r="B926" s="9" t="s">
        <v>23529</v>
      </c>
      <c r="C926" s="9" t="s">
        <v>23530</v>
      </c>
      <c r="D926" s="9" t="s">
        <v>23531</v>
      </c>
      <c r="E926" s="9" t="s">
        <v>17740</v>
      </c>
      <c r="F926" s="9" t="s">
        <v>17741</v>
      </c>
      <c r="G926" s="9" t="s">
        <v>17740</v>
      </c>
      <c r="H926" s="11" t="s">
        <v>23532</v>
      </c>
      <c r="I926" s="11" t="s">
        <v>23533</v>
      </c>
      <c r="J926" s="11" t="s">
        <v>23533</v>
      </c>
      <c r="K926" s="9" t="s">
        <v>970</v>
      </c>
      <c r="L926" s="9" t="s">
        <v>17744</v>
      </c>
      <c r="M926" s="9" t="s">
        <v>17778</v>
      </c>
      <c r="N926" s="9" t="s">
        <v>17746</v>
      </c>
      <c r="O926" s="9" t="s">
        <v>23534</v>
      </c>
      <c r="P926" s="9" t="s">
        <v>17748</v>
      </c>
      <c r="Q926" s="11" t="s">
        <v>17978</v>
      </c>
      <c r="R926" s="11" t="s">
        <v>17978</v>
      </c>
      <c r="S926" s="11" t="s">
        <v>17750</v>
      </c>
    </row>
    <row r="927" spans="1:19" x14ac:dyDescent="0.2">
      <c r="A927" s="11" t="s">
        <v>23535</v>
      </c>
      <c r="B927" s="9" t="s">
        <v>23536</v>
      </c>
      <c r="C927" s="9" t="s">
        <v>23537</v>
      </c>
      <c r="D927" s="9" t="s">
        <v>23538</v>
      </c>
      <c r="E927" s="9" t="s">
        <v>17740</v>
      </c>
      <c r="F927" s="9" t="s">
        <v>23539</v>
      </c>
      <c r="G927" s="9" t="s">
        <v>17740</v>
      </c>
      <c r="H927" s="11" t="s">
        <v>23540</v>
      </c>
      <c r="I927" s="11" t="s">
        <v>23541</v>
      </c>
      <c r="J927" s="11" t="s">
        <v>23541</v>
      </c>
      <c r="K927" s="9" t="s">
        <v>970</v>
      </c>
      <c r="L927" s="9" t="s">
        <v>17744</v>
      </c>
      <c r="M927" s="9" t="s">
        <v>23542</v>
      </c>
      <c r="N927" s="9" t="s">
        <v>17746</v>
      </c>
      <c r="O927" s="9" t="s">
        <v>23543</v>
      </c>
      <c r="P927" s="9" t="s">
        <v>17748</v>
      </c>
      <c r="Q927" s="11" t="s">
        <v>19522</v>
      </c>
      <c r="R927" s="11" t="s">
        <v>19522</v>
      </c>
      <c r="S927" s="11" t="s">
        <v>17750</v>
      </c>
    </row>
    <row r="928" spans="1:19" x14ac:dyDescent="0.2">
      <c r="A928" s="11" t="s">
        <v>23544</v>
      </c>
      <c r="B928" s="9" t="s">
        <v>23545</v>
      </c>
      <c r="C928" s="9" t="s">
        <v>23546</v>
      </c>
      <c r="D928" s="9" t="s">
        <v>23547</v>
      </c>
      <c r="E928" s="9" t="s">
        <v>17740</v>
      </c>
      <c r="F928" s="9" t="s">
        <v>23548</v>
      </c>
      <c r="G928" s="9" t="s">
        <v>17740</v>
      </c>
      <c r="H928" s="11" t="s">
        <v>23549</v>
      </c>
      <c r="I928" s="11" t="s">
        <v>5363</v>
      </c>
      <c r="J928" s="11" t="s">
        <v>5363</v>
      </c>
      <c r="K928" s="9" t="s">
        <v>5364</v>
      </c>
      <c r="L928" s="9" t="s">
        <v>17744</v>
      </c>
      <c r="M928" s="9" t="s">
        <v>17817</v>
      </c>
      <c r="N928" s="9" t="s">
        <v>17746</v>
      </c>
      <c r="O928" s="9" t="s">
        <v>19423</v>
      </c>
      <c r="P928" s="9" t="s">
        <v>17748</v>
      </c>
      <c r="Q928" s="11" t="s">
        <v>17749</v>
      </c>
      <c r="R928" s="11" t="s">
        <v>17749</v>
      </c>
      <c r="S928" s="11" t="s">
        <v>17750</v>
      </c>
    </row>
    <row r="929" spans="1:19" x14ac:dyDescent="0.2">
      <c r="A929" s="11" t="s">
        <v>23550</v>
      </c>
      <c r="B929" s="9" t="s">
        <v>23551</v>
      </c>
      <c r="C929" s="9" t="s">
        <v>23552</v>
      </c>
      <c r="D929" s="9" t="s">
        <v>23553</v>
      </c>
      <c r="E929" s="9" t="s">
        <v>17740</v>
      </c>
      <c r="F929" s="9" t="s">
        <v>17741</v>
      </c>
      <c r="G929" s="9" t="s">
        <v>17740</v>
      </c>
      <c r="H929" s="11" t="s">
        <v>821</v>
      </c>
      <c r="I929" s="11" t="s">
        <v>820</v>
      </c>
      <c r="J929" s="11" t="s">
        <v>820</v>
      </c>
      <c r="K929" s="9" t="s">
        <v>970</v>
      </c>
      <c r="L929" s="9" t="s">
        <v>17744</v>
      </c>
      <c r="M929" s="9" t="s">
        <v>23554</v>
      </c>
      <c r="N929" s="9" t="s">
        <v>17746</v>
      </c>
      <c r="O929" s="9" t="s">
        <v>7097</v>
      </c>
      <c r="P929" s="9" t="s">
        <v>17748</v>
      </c>
      <c r="Q929" s="11" t="s">
        <v>21569</v>
      </c>
      <c r="R929" s="11" t="s">
        <v>21569</v>
      </c>
      <c r="S929" s="11" t="s">
        <v>17750</v>
      </c>
    </row>
    <row r="930" spans="1:19" x14ac:dyDescent="0.2">
      <c r="A930" s="11" t="s">
        <v>23555</v>
      </c>
      <c r="B930" s="9" t="s">
        <v>23556</v>
      </c>
      <c r="C930" s="9" t="s">
        <v>23557</v>
      </c>
      <c r="D930" s="9" t="s">
        <v>23558</v>
      </c>
      <c r="E930" s="9" t="s">
        <v>17740</v>
      </c>
      <c r="F930" s="9" t="s">
        <v>23559</v>
      </c>
      <c r="G930" s="9" t="s">
        <v>17740</v>
      </c>
      <c r="H930" s="11" t="s">
        <v>23560</v>
      </c>
      <c r="I930" s="11" t="s">
        <v>23561</v>
      </c>
      <c r="J930" s="11" t="s">
        <v>23561</v>
      </c>
      <c r="K930" s="9" t="s">
        <v>970</v>
      </c>
      <c r="L930" s="9" t="s">
        <v>17744</v>
      </c>
      <c r="M930" s="9" t="s">
        <v>17778</v>
      </c>
      <c r="N930" s="9" t="s">
        <v>17746</v>
      </c>
      <c r="O930" s="9" t="s">
        <v>18514</v>
      </c>
      <c r="P930" s="9" t="s">
        <v>17748</v>
      </c>
      <c r="Q930" s="11" t="s">
        <v>18201</v>
      </c>
      <c r="R930" s="11" t="s">
        <v>18201</v>
      </c>
      <c r="S930" s="11" t="s">
        <v>17750</v>
      </c>
    </row>
    <row r="931" spans="1:19" x14ac:dyDescent="0.2">
      <c r="A931" s="11" t="s">
        <v>23562</v>
      </c>
      <c r="B931" s="9" t="s">
        <v>23563</v>
      </c>
      <c r="C931" s="9" t="s">
        <v>23564</v>
      </c>
      <c r="D931" s="9" t="s">
        <v>23565</v>
      </c>
      <c r="E931" s="9" t="s">
        <v>17748</v>
      </c>
      <c r="F931" s="9" t="s">
        <v>23566</v>
      </c>
      <c r="G931" s="9" t="s">
        <v>17740</v>
      </c>
      <c r="H931" s="11" t="s">
        <v>17741</v>
      </c>
      <c r="I931" s="11" t="s">
        <v>23567</v>
      </c>
      <c r="J931" s="11" t="s">
        <v>23567</v>
      </c>
      <c r="K931" s="9" t="s">
        <v>23568</v>
      </c>
      <c r="L931" s="9" t="s">
        <v>17744</v>
      </c>
      <c r="M931" s="9" t="s">
        <v>17817</v>
      </c>
      <c r="N931" s="9" t="s">
        <v>17746</v>
      </c>
      <c r="O931" s="9" t="s">
        <v>23569</v>
      </c>
      <c r="P931" s="9" t="s">
        <v>17748</v>
      </c>
      <c r="Q931" s="11" t="s">
        <v>17984</v>
      </c>
      <c r="R931" s="11" t="s">
        <v>17984</v>
      </c>
      <c r="S931" s="11" t="s">
        <v>17750</v>
      </c>
    </row>
    <row r="932" spans="1:19" x14ac:dyDescent="0.2">
      <c r="A932" s="11" t="s">
        <v>23570</v>
      </c>
      <c r="B932" s="9" t="s">
        <v>23571</v>
      </c>
      <c r="C932" s="9" t="s">
        <v>23572</v>
      </c>
      <c r="D932" s="9" t="s">
        <v>23573</v>
      </c>
      <c r="E932" s="9" t="s">
        <v>17740</v>
      </c>
      <c r="F932" s="9" t="s">
        <v>23574</v>
      </c>
      <c r="G932" s="9" t="s">
        <v>17740</v>
      </c>
      <c r="H932" s="11" t="s">
        <v>23575</v>
      </c>
      <c r="I932" s="11" t="s">
        <v>23576</v>
      </c>
      <c r="J932" s="11" t="s">
        <v>23576</v>
      </c>
      <c r="K932" s="9" t="s">
        <v>970</v>
      </c>
      <c r="L932" s="9" t="s">
        <v>17744</v>
      </c>
      <c r="M932" s="9" t="s">
        <v>23577</v>
      </c>
      <c r="N932" s="9" t="s">
        <v>17746</v>
      </c>
      <c r="O932" s="9" t="s">
        <v>23578</v>
      </c>
      <c r="P932" s="9" t="s">
        <v>17748</v>
      </c>
      <c r="Q932" s="11" t="s">
        <v>18072</v>
      </c>
      <c r="R932" s="11" t="s">
        <v>18072</v>
      </c>
      <c r="S932" s="11" t="s">
        <v>17750</v>
      </c>
    </row>
    <row r="933" spans="1:19" x14ac:dyDescent="0.2">
      <c r="A933" s="11" t="s">
        <v>23579</v>
      </c>
      <c r="B933" s="9" t="s">
        <v>23580</v>
      </c>
      <c r="C933" s="9" t="s">
        <v>23581</v>
      </c>
      <c r="D933" s="9" t="s">
        <v>23582</v>
      </c>
      <c r="E933" s="9" t="s">
        <v>17740</v>
      </c>
      <c r="F933" s="9" t="s">
        <v>17741</v>
      </c>
      <c r="G933" s="9" t="s">
        <v>17740</v>
      </c>
      <c r="H933" s="11" t="s">
        <v>4515</v>
      </c>
      <c r="I933" s="11" t="s">
        <v>4514</v>
      </c>
      <c r="J933" s="11" t="s">
        <v>4514</v>
      </c>
      <c r="K933" s="9" t="s">
        <v>291</v>
      </c>
      <c r="L933" s="9" t="s">
        <v>17744</v>
      </c>
      <c r="M933" s="9" t="s">
        <v>21329</v>
      </c>
      <c r="N933" s="9" t="s">
        <v>17746</v>
      </c>
      <c r="O933" s="9" t="s">
        <v>3176</v>
      </c>
      <c r="P933" s="9" t="s">
        <v>17748</v>
      </c>
      <c r="Q933" s="11" t="s">
        <v>18364</v>
      </c>
      <c r="R933" s="11" t="s">
        <v>18364</v>
      </c>
      <c r="S933" s="11" t="s">
        <v>17750</v>
      </c>
    </row>
    <row r="934" spans="1:19" x14ac:dyDescent="0.2">
      <c r="A934" s="11" t="s">
        <v>23583</v>
      </c>
      <c r="B934" s="9" t="s">
        <v>23584</v>
      </c>
      <c r="C934" s="9" t="s">
        <v>23585</v>
      </c>
      <c r="D934" s="9" t="s">
        <v>23586</v>
      </c>
      <c r="E934" s="9" t="s">
        <v>17740</v>
      </c>
      <c r="F934" s="9" t="s">
        <v>23587</v>
      </c>
      <c r="G934" s="9" t="s">
        <v>17740</v>
      </c>
      <c r="H934" s="11" t="s">
        <v>17741</v>
      </c>
      <c r="I934" s="11" t="s">
        <v>23588</v>
      </c>
      <c r="J934" s="11" t="s">
        <v>23588</v>
      </c>
      <c r="K934" s="9" t="s">
        <v>23568</v>
      </c>
      <c r="L934" s="9" t="s">
        <v>17744</v>
      </c>
      <c r="M934" s="9" t="s">
        <v>23589</v>
      </c>
      <c r="N934" s="9" t="s">
        <v>17746</v>
      </c>
      <c r="O934" s="9" t="s">
        <v>17800</v>
      </c>
      <c r="P934" s="9" t="s">
        <v>17748</v>
      </c>
      <c r="Q934" s="11" t="s">
        <v>18147</v>
      </c>
      <c r="R934" s="11" t="s">
        <v>18147</v>
      </c>
      <c r="S934" s="11" t="s">
        <v>17750</v>
      </c>
    </row>
    <row r="935" spans="1:19" x14ac:dyDescent="0.2">
      <c r="A935" s="11" t="s">
        <v>23590</v>
      </c>
      <c r="B935" s="9" t="s">
        <v>23591</v>
      </c>
      <c r="C935" s="9" t="s">
        <v>23592</v>
      </c>
      <c r="D935" s="9" t="s">
        <v>23593</v>
      </c>
      <c r="E935" s="9" t="s">
        <v>17740</v>
      </c>
      <c r="F935" s="9" t="s">
        <v>17741</v>
      </c>
      <c r="G935" s="9" t="s">
        <v>17740</v>
      </c>
      <c r="H935" s="11" t="s">
        <v>824</v>
      </c>
      <c r="I935" s="11" t="s">
        <v>823</v>
      </c>
      <c r="J935" s="11" t="s">
        <v>823</v>
      </c>
      <c r="K935" s="9" t="s">
        <v>23594</v>
      </c>
      <c r="L935" s="9" t="s">
        <v>17744</v>
      </c>
      <c r="M935" s="9" t="s">
        <v>23595</v>
      </c>
      <c r="N935" s="9" t="s">
        <v>17746</v>
      </c>
      <c r="O935" s="9" t="s">
        <v>18543</v>
      </c>
      <c r="P935" s="9" t="s">
        <v>17748</v>
      </c>
      <c r="Q935" s="11" t="s">
        <v>18847</v>
      </c>
      <c r="R935" s="11" t="s">
        <v>18847</v>
      </c>
      <c r="S935" s="11" t="s">
        <v>17750</v>
      </c>
    </row>
    <row r="936" spans="1:19" x14ac:dyDescent="0.2">
      <c r="A936" s="11" t="s">
        <v>23596</v>
      </c>
      <c r="B936" s="9" t="s">
        <v>23597</v>
      </c>
      <c r="C936" s="9" t="s">
        <v>23598</v>
      </c>
      <c r="D936" s="9" t="s">
        <v>23599</v>
      </c>
      <c r="E936" s="9" t="s">
        <v>17740</v>
      </c>
      <c r="F936" s="9" t="s">
        <v>23600</v>
      </c>
      <c r="G936" s="9" t="s">
        <v>17740</v>
      </c>
      <c r="H936" s="11" t="s">
        <v>827</v>
      </c>
      <c r="I936" s="11" t="s">
        <v>826</v>
      </c>
      <c r="J936" s="11" t="s">
        <v>826</v>
      </c>
      <c r="K936" s="9" t="s">
        <v>18616</v>
      </c>
      <c r="L936" s="9" t="s">
        <v>17744</v>
      </c>
      <c r="M936" s="9" t="s">
        <v>17817</v>
      </c>
      <c r="N936" s="9" t="s">
        <v>17746</v>
      </c>
      <c r="O936" s="9" t="s">
        <v>3255</v>
      </c>
      <c r="P936" s="9" t="s">
        <v>17748</v>
      </c>
      <c r="Q936" s="11" t="s">
        <v>23601</v>
      </c>
      <c r="R936" s="11" t="s">
        <v>23601</v>
      </c>
      <c r="S936" s="11" t="s">
        <v>17750</v>
      </c>
    </row>
    <row r="937" spans="1:19" x14ac:dyDescent="0.2">
      <c r="A937" s="11" t="s">
        <v>23602</v>
      </c>
      <c r="B937" s="9" t="s">
        <v>23603</v>
      </c>
      <c r="C937" s="9" t="s">
        <v>23604</v>
      </c>
      <c r="D937" s="9" t="s">
        <v>23605</v>
      </c>
      <c r="E937" s="9" t="s">
        <v>17740</v>
      </c>
      <c r="F937" s="9" t="s">
        <v>23606</v>
      </c>
      <c r="G937" s="9" t="s">
        <v>17740</v>
      </c>
      <c r="H937" s="11" t="s">
        <v>830</v>
      </c>
      <c r="I937" s="11" t="s">
        <v>829</v>
      </c>
      <c r="J937" s="11" t="s">
        <v>829</v>
      </c>
      <c r="K937" s="9" t="s">
        <v>831</v>
      </c>
      <c r="L937" s="9" t="s">
        <v>23607</v>
      </c>
      <c r="M937" s="9" t="s">
        <v>18065</v>
      </c>
      <c r="N937" s="9" t="s">
        <v>17746</v>
      </c>
      <c r="O937" s="9" t="s">
        <v>20746</v>
      </c>
      <c r="P937" s="9" t="s">
        <v>17748</v>
      </c>
      <c r="Q937" s="11" t="s">
        <v>18341</v>
      </c>
      <c r="R937" s="11" t="s">
        <v>18341</v>
      </c>
      <c r="S937" s="11" t="s">
        <v>17750</v>
      </c>
    </row>
    <row r="938" spans="1:19" x14ac:dyDescent="0.2">
      <c r="A938" s="11" t="s">
        <v>23608</v>
      </c>
      <c r="B938" s="9" t="s">
        <v>23609</v>
      </c>
      <c r="C938" s="9" t="s">
        <v>23610</v>
      </c>
      <c r="D938" s="9" t="s">
        <v>23611</v>
      </c>
      <c r="E938" s="9" t="s">
        <v>17740</v>
      </c>
      <c r="F938" s="9" t="s">
        <v>23612</v>
      </c>
      <c r="G938" s="9" t="s">
        <v>17740</v>
      </c>
      <c r="H938" s="11" t="s">
        <v>834</v>
      </c>
      <c r="I938" s="11" t="s">
        <v>833</v>
      </c>
      <c r="J938" s="11" t="s">
        <v>833</v>
      </c>
      <c r="K938" s="9" t="s">
        <v>17805</v>
      </c>
      <c r="L938" s="9" t="s">
        <v>17744</v>
      </c>
      <c r="M938" s="9" t="s">
        <v>20172</v>
      </c>
      <c r="N938" s="9" t="s">
        <v>17746</v>
      </c>
      <c r="O938" s="9" t="s">
        <v>3391</v>
      </c>
      <c r="P938" s="9" t="s">
        <v>17748</v>
      </c>
      <c r="Q938" s="11" t="s">
        <v>17883</v>
      </c>
      <c r="R938" s="11" t="s">
        <v>17883</v>
      </c>
      <c r="S938" s="11" t="s">
        <v>17750</v>
      </c>
    </row>
    <row r="939" spans="1:19" x14ac:dyDescent="0.2">
      <c r="A939" s="11" t="s">
        <v>23613</v>
      </c>
      <c r="B939" s="9" t="s">
        <v>23614</v>
      </c>
      <c r="C939" s="9" t="s">
        <v>23615</v>
      </c>
      <c r="D939" s="9" t="s">
        <v>23616</v>
      </c>
      <c r="E939" s="9" t="s">
        <v>17740</v>
      </c>
      <c r="F939" s="9" t="s">
        <v>17741</v>
      </c>
      <c r="G939" s="9" t="s">
        <v>17740</v>
      </c>
      <c r="H939" s="11" t="s">
        <v>840</v>
      </c>
      <c r="I939" s="11" t="s">
        <v>839</v>
      </c>
      <c r="J939" s="11" t="s">
        <v>839</v>
      </c>
      <c r="K939" s="9" t="s">
        <v>23617</v>
      </c>
      <c r="L939" s="9" t="s">
        <v>17744</v>
      </c>
      <c r="M939" s="9" t="s">
        <v>17817</v>
      </c>
      <c r="N939" s="9" t="s">
        <v>17746</v>
      </c>
      <c r="O939" s="9" t="s">
        <v>17834</v>
      </c>
      <c r="P939" s="9" t="s">
        <v>17748</v>
      </c>
      <c r="Q939" s="11" t="s">
        <v>17849</v>
      </c>
      <c r="R939" s="11" t="s">
        <v>17849</v>
      </c>
      <c r="S939" s="11" t="s">
        <v>17750</v>
      </c>
    </row>
    <row r="940" spans="1:19" x14ac:dyDescent="0.2">
      <c r="A940" s="11" t="s">
        <v>23618</v>
      </c>
      <c r="B940" s="9" t="s">
        <v>23619</v>
      </c>
      <c r="C940" s="9" t="s">
        <v>23620</v>
      </c>
      <c r="D940" s="9" t="s">
        <v>23621</v>
      </c>
      <c r="E940" s="9" t="s">
        <v>17740</v>
      </c>
      <c r="F940" s="9" t="s">
        <v>17741</v>
      </c>
      <c r="G940" s="9" t="s">
        <v>17740</v>
      </c>
      <c r="H940" s="11" t="s">
        <v>17741</v>
      </c>
      <c r="I940" s="11" t="s">
        <v>23622</v>
      </c>
      <c r="J940" s="11" t="s">
        <v>23622</v>
      </c>
      <c r="K940" s="9" t="s">
        <v>841</v>
      </c>
      <c r="L940" s="9" t="s">
        <v>17744</v>
      </c>
      <c r="M940" s="9" t="s">
        <v>17942</v>
      </c>
      <c r="N940" s="9" t="s">
        <v>17746</v>
      </c>
      <c r="O940" s="9" t="s">
        <v>17834</v>
      </c>
      <c r="P940" s="9" t="s">
        <v>17748</v>
      </c>
      <c r="Q940" s="11" t="s">
        <v>18678</v>
      </c>
      <c r="R940" s="11" t="s">
        <v>18678</v>
      </c>
      <c r="S940" s="11" t="s">
        <v>17750</v>
      </c>
    </row>
    <row r="941" spans="1:19" x14ac:dyDescent="0.2">
      <c r="A941" s="11" t="s">
        <v>23623</v>
      </c>
      <c r="B941" s="9" t="s">
        <v>23624</v>
      </c>
      <c r="C941" s="9" t="s">
        <v>23625</v>
      </c>
      <c r="D941" s="9" t="s">
        <v>23626</v>
      </c>
      <c r="E941" s="9" t="s">
        <v>17740</v>
      </c>
      <c r="F941" s="9" t="s">
        <v>23627</v>
      </c>
      <c r="G941" s="9" t="s">
        <v>17740</v>
      </c>
      <c r="H941" s="11" t="s">
        <v>17741</v>
      </c>
      <c r="I941" s="11" t="s">
        <v>23628</v>
      </c>
      <c r="J941" s="11" t="s">
        <v>23628</v>
      </c>
      <c r="K941" s="9" t="s">
        <v>970</v>
      </c>
      <c r="L941" s="9" t="s">
        <v>17744</v>
      </c>
      <c r="M941" s="9" t="s">
        <v>17760</v>
      </c>
      <c r="N941" s="9" t="s">
        <v>17746</v>
      </c>
      <c r="O941" s="9" t="s">
        <v>18514</v>
      </c>
      <c r="P941" s="9" t="s">
        <v>17748</v>
      </c>
      <c r="Q941" s="11" t="s">
        <v>18470</v>
      </c>
      <c r="R941" s="11" t="s">
        <v>18470</v>
      </c>
      <c r="S941" s="11" t="s">
        <v>17750</v>
      </c>
    </row>
    <row r="942" spans="1:19" x14ac:dyDescent="0.2">
      <c r="A942" s="11" t="s">
        <v>23629</v>
      </c>
      <c r="B942" s="9" t="s">
        <v>23630</v>
      </c>
      <c r="C942" s="9" t="s">
        <v>23631</v>
      </c>
      <c r="D942" s="9" t="s">
        <v>23632</v>
      </c>
      <c r="E942" s="9" t="s">
        <v>17740</v>
      </c>
      <c r="F942" s="9" t="s">
        <v>23633</v>
      </c>
      <c r="G942" s="9" t="s">
        <v>17740</v>
      </c>
      <c r="H942" s="11" t="s">
        <v>23634</v>
      </c>
      <c r="I942" s="11" t="s">
        <v>843</v>
      </c>
      <c r="J942" s="11" t="s">
        <v>843</v>
      </c>
      <c r="K942" s="9" t="s">
        <v>23635</v>
      </c>
      <c r="L942" s="9" t="s">
        <v>17744</v>
      </c>
      <c r="M942" s="9" t="s">
        <v>17817</v>
      </c>
      <c r="N942" s="9" t="s">
        <v>17746</v>
      </c>
      <c r="O942" s="9" t="s">
        <v>3543</v>
      </c>
      <c r="P942" s="9" t="s">
        <v>17748</v>
      </c>
      <c r="Q942" s="11" t="s">
        <v>23636</v>
      </c>
      <c r="R942" s="11" t="s">
        <v>23636</v>
      </c>
      <c r="S942" s="11" t="s">
        <v>17750</v>
      </c>
    </row>
    <row r="943" spans="1:19" x14ac:dyDescent="0.2">
      <c r="A943" s="11" t="s">
        <v>23637</v>
      </c>
      <c r="B943" s="9" t="s">
        <v>23638</v>
      </c>
      <c r="C943" s="9" t="s">
        <v>23639</v>
      </c>
      <c r="D943" s="9" t="s">
        <v>23640</v>
      </c>
      <c r="E943" s="9" t="s">
        <v>17740</v>
      </c>
      <c r="F943" s="9" t="s">
        <v>23641</v>
      </c>
      <c r="G943" s="9" t="s">
        <v>17740</v>
      </c>
      <c r="H943" s="11" t="s">
        <v>23642</v>
      </c>
      <c r="I943" s="11" t="s">
        <v>23643</v>
      </c>
      <c r="J943" s="11" t="s">
        <v>23643</v>
      </c>
      <c r="K943" s="9" t="s">
        <v>970</v>
      </c>
      <c r="L943" s="9" t="s">
        <v>17744</v>
      </c>
      <c r="M943" s="9" t="s">
        <v>17760</v>
      </c>
      <c r="N943" s="9" t="s">
        <v>17746</v>
      </c>
      <c r="O943" s="9" t="s">
        <v>18514</v>
      </c>
      <c r="P943" s="9" t="s">
        <v>17748</v>
      </c>
      <c r="Q943" s="11" t="s">
        <v>18433</v>
      </c>
      <c r="R943" s="11" t="s">
        <v>18433</v>
      </c>
      <c r="S943" s="11" t="s">
        <v>17750</v>
      </c>
    </row>
    <row r="944" spans="1:19" x14ac:dyDescent="0.2">
      <c r="A944" s="11" t="s">
        <v>23644</v>
      </c>
      <c r="B944" s="9" t="s">
        <v>23645</v>
      </c>
      <c r="C944" s="9" t="s">
        <v>23646</v>
      </c>
      <c r="D944" s="9" t="s">
        <v>23647</v>
      </c>
      <c r="E944" s="9" t="s">
        <v>17740</v>
      </c>
      <c r="F944" s="9" t="s">
        <v>17741</v>
      </c>
      <c r="G944" s="9" t="s">
        <v>17740</v>
      </c>
      <c r="H944" s="11" t="s">
        <v>23648</v>
      </c>
      <c r="I944" s="11" t="s">
        <v>23649</v>
      </c>
      <c r="J944" s="11" t="s">
        <v>23649</v>
      </c>
      <c r="K944" s="9" t="s">
        <v>23650</v>
      </c>
      <c r="L944" s="9" t="s">
        <v>17744</v>
      </c>
      <c r="M944" s="9" t="s">
        <v>17760</v>
      </c>
      <c r="N944" s="9" t="s">
        <v>17746</v>
      </c>
      <c r="O944" s="9" t="s">
        <v>23651</v>
      </c>
      <c r="P944" s="9" t="s">
        <v>17748</v>
      </c>
      <c r="Q944" s="11" t="s">
        <v>17931</v>
      </c>
      <c r="R944" s="11" t="s">
        <v>17931</v>
      </c>
      <c r="S944" s="11" t="s">
        <v>17750</v>
      </c>
    </row>
    <row r="945" spans="1:19" x14ac:dyDescent="0.2">
      <c r="A945" s="11" t="s">
        <v>23652</v>
      </c>
      <c r="B945" s="9" t="s">
        <v>23653</v>
      </c>
      <c r="C945" s="9" t="s">
        <v>23654</v>
      </c>
      <c r="D945" s="9" t="s">
        <v>23655</v>
      </c>
      <c r="E945" s="9" t="s">
        <v>17740</v>
      </c>
      <c r="F945" s="9" t="s">
        <v>23656</v>
      </c>
      <c r="G945" s="9" t="s">
        <v>17740</v>
      </c>
      <c r="H945" s="11" t="s">
        <v>23657</v>
      </c>
      <c r="I945" s="11" t="s">
        <v>23658</v>
      </c>
      <c r="J945" s="11" t="s">
        <v>23658</v>
      </c>
      <c r="K945" s="9" t="s">
        <v>159</v>
      </c>
      <c r="L945" s="9" t="s">
        <v>17744</v>
      </c>
      <c r="M945" s="9" t="s">
        <v>19701</v>
      </c>
      <c r="N945" s="9" t="s">
        <v>17746</v>
      </c>
      <c r="O945" s="9" t="s">
        <v>19939</v>
      </c>
      <c r="P945" s="9" t="s">
        <v>17748</v>
      </c>
      <c r="Q945" s="11" t="s">
        <v>17867</v>
      </c>
      <c r="R945" s="11" t="s">
        <v>17867</v>
      </c>
      <c r="S945" s="11" t="s">
        <v>17750</v>
      </c>
    </row>
    <row r="946" spans="1:19" x14ac:dyDescent="0.2">
      <c r="A946" s="11" t="s">
        <v>23659</v>
      </c>
      <c r="B946" s="9" t="s">
        <v>23660</v>
      </c>
      <c r="C946" s="9" t="s">
        <v>23661</v>
      </c>
      <c r="D946" s="9" t="s">
        <v>23662</v>
      </c>
      <c r="E946" s="9" t="s">
        <v>17740</v>
      </c>
      <c r="F946" s="9" t="s">
        <v>23663</v>
      </c>
      <c r="G946" s="9" t="s">
        <v>17740</v>
      </c>
      <c r="H946" s="11" t="s">
        <v>23664</v>
      </c>
      <c r="I946" s="11" t="s">
        <v>23665</v>
      </c>
      <c r="J946" s="11" t="s">
        <v>23665</v>
      </c>
      <c r="K946" s="9" t="s">
        <v>17805</v>
      </c>
      <c r="L946" s="9" t="s">
        <v>17744</v>
      </c>
      <c r="M946" s="9" t="s">
        <v>17817</v>
      </c>
      <c r="N946" s="9" t="s">
        <v>17746</v>
      </c>
      <c r="O946" s="9" t="s">
        <v>18035</v>
      </c>
      <c r="P946" s="9" t="s">
        <v>17748</v>
      </c>
      <c r="Q946" s="11" t="s">
        <v>23666</v>
      </c>
      <c r="R946" s="11" t="s">
        <v>23666</v>
      </c>
      <c r="S946" s="11" t="s">
        <v>17750</v>
      </c>
    </row>
    <row r="947" spans="1:19" x14ac:dyDescent="0.2">
      <c r="A947" s="11" t="s">
        <v>23667</v>
      </c>
      <c r="B947" s="9" t="s">
        <v>23668</v>
      </c>
      <c r="C947" s="9" t="s">
        <v>23669</v>
      </c>
      <c r="D947" s="9" t="s">
        <v>23670</v>
      </c>
      <c r="E947" s="9" t="s">
        <v>17740</v>
      </c>
      <c r="F947" s="9" t="s">
        <v>17741</v>
      </c>
      <c r="G947" s="9" t="s">
        <v>17740</v>
      </c>
      <c r="H947" s="11" t="s">
        <v>870</v>
      </c>
      <c r="I947" s="11" t="s">
        <v>869</v>
      </c>
      <c r="J947" s="11" t="s">
        <v>869</v>
      </c>
      <c r="K947" s="9" t="s">
        <v>55</v>
      </c>
      <c r="L947" s="9" t="s">
        <v>17744</v>
      </c>
      <c r="M947" s="9" t="s">
        <v>23671</v>
      </c>
      <c r="N947" s="9" t="s">
        <v>17746</v>
      </c>
      <c r="O947" s="9" t="s">
        <v>17993</v>
      </c>
      <c r="P947" s="9" t="s">
        <v>17748</v>
      </c>
      <c r="Q947" s="11" t="s">
        <v>20361</v>
      </c>
      <c r="R947" s="11" t="s">
        <v>20361</v>
      </c>
      <c r="S947" s="11" t="s">
        <v>17750</v>
      </c>
    </row>
    <row r="948" spans="1:19" x14ac:dyDescent="0.2">
      <c r="A948" s="11" t="s">
        <v>23672</v>
      </c>
      <c r="B948" s="9" t="s">
        <v>23673</v>
      </c>
      <c r="C948" s="9" t="s">
        <v>23674</v>
      </c>
      <c r="D948" s="9" t="s">
        <v>23675</v>
      </c>
      <c r="E948" s="9" t="s">
        <v>17740</v>
      </c>
      <c r="F948" s="9" t="s">
        <v>17741</v>
      </c>
      <c r="G948" s="9" t="s">
        <v>17740</v>
      </c>
      <c r="H948" s="11" t="s">
        <v>23676</v>
      </c>
      <c r="I948" s="11" t="s">
        <v>23677</v>
      </c>
      <c r="J948" s="11" t="s">
        <v>23677</v>
      </c>
      <c r="K948" s="9" t="s">
        <v>291</v>
      </c>
      <c r="L948" s="9" t="s">
        <v>17744</v>
      </c>
      <c r="M948" s="9" t="s">
        <v>23678</v>
      </c>
      <c r="N948" s="9" t="s">
        <v>17746</v>
      </c>
      <c r="O948" s="9" t="s">
        <v>18563</v>
      </c>
      <c r="P948" s="9" t="s">
        <v>17748</v>
      </c>
      <c r="Q948" s="11" t="s">
        <v>18556</v>
      </c>
      <c r="R948" s="11" t="s">
        <v>18556</v>
      </c>
      <c r="S948" s="11" t="s">
        <v>17750</v>
      </c>
    </row>
    <row r="949" spans="1:19" x14ac:dyDescent="0.2">
      <c r="A949" s="11" t="s">
        <v>23679</v>
      </c>
      <c r="B949" s="9" t="s">
        <v>23680</v>
      </c>
      <c r="C949" s="9" t="s">
        <v>23681</v>
      </c>
      <c r="D949" s="9" t="s">
        <v>23682</v>
      </c>
      <c r="E949" s="9" t="s">
        <v>17740</v>
      </c>
      <c r="F949" s="9" t="s">
        <v>17741</v>
      </c>
      <c r="G949" s="9" t="s">
        <v>17740</v>
      </c>
      <c r="H949" s="11" t="s">
        <v>17741</v>
      </c>
      <c r="I949" s="11" t="s">
        <v>23683</v>
      </c>
      <c r="J949" s="11" t="s">
        <v>23683</v>
      </c>
      <c r="K949" s="9" t="s">
        <v>23684</v>
      </c>
      <c r="L949" s="9" t="s">
        <v>18001</v>
      </c>
      <c r="M949" s="9" t="s">
        <v>17942</v>
      </c>
      <c r="N949" s="9" t="s">
        <v>17930</v>
      </c>
      <c r="O949" s="9" t="s">
        <v>23685</v>
      </c>
      <c r="P949" s="9" t="s">
        <v>17748</v>
      </c>
      <c r="Q949" s="11" t="s">
        <v>20021</v>
      </c>
      <c r="R949" s="11" t="s">
        <v>20021</v>
      </c>
      <c r="S949" s="11" t="s">
        <v>17750</v>
      </c>
    </row>
    <row r="950" spans="1:19" x14ac:dyDescent="0.2">
      <c r="A950" s="11" t="s">
        <v>23686</v>
      </c>
      <c r="B950" s="9" t="s">
        <v>23687</v>
      </c>
      <c r="C950" s="9" t="s">
        <v>23688</v>
      </c>
      <c r="D950" s="9" t="s">
        <v>23689</v>
      </c>
      <c r="E950" s="9" t="s">
        <v>17740</v>
      </c>
      <c r="F950" s="9" t="s">
        <v>17741</v>
      </c>
      <c r="G950" s="9" t="s">
        <v>17740</v>
      </c>
      <c r="H950" s="11" t="s">
        <v>17741</v>
      </c>
      <c r="I950" s="11" t="s">
        <v>23690</v>
      </c>
      <c r="J950" s="11" t="s">
        <v>23690</v>
      </c>
      <c r="K950" s="9" t="s">
        <v>23691</v>
      </c>
      <c r="L950" s="9" t="s">
        <v>17929</v>
      </c>
      <c r="M950" s="9" t="s">
        <v>23692</v>
      </c>
      <c r="N950" s="9" t="s">
        <v>18042</v>
      </c>
      <c r="O950" s="9" t="s">
        <v>3255</v>
      </c>
      <c r="P950" s="9" t="s">
        <v>17748</v>
      </c>
      <c r="Q950" s="11" t="s">
        <v>23693</v>
      </c>
      <c r="R950" s="11" t="s">
        <v>23693</v>
      </c>
      <c r="S950" s="11" t="s">
        <v>17750</v>
      </c>
    </row>
    <row r="951" spans="1:19" x14ac:dyDescent="0.2">
      <c r="A951" s="11" t="s">
        <v>23694</v>
      </c>
      <c r="B951" s="9" t="s">
        <v>23695</v>
      </c>
      <c r="C951" s="9" t="s">
        <v>23696</v>
      </c>
      <c r="D951" s="9" t="s">
        <v>23697</v>
      </c>
      <c r="E951" s="9" t="s">
        <v>17740</v>
      </c>
      <c r="F951" s="9" t="s">
        <v>23698</v>
      </c>
      <c r="G951" s="9" t="s">
        <v>17740</v>
      </c>
      <c r="H951" s="11" t="s">
        <v>17741</v>
      </c>
      <c r="I951" s="11" t="s">
        <v>23699</v>
      </c>
      <c r="J951" s="11" t="s">
        <v>23699</v>
      </c>
      <c r="K951" s="9" t="s">
        <v>17783</v>
      </c>
      <c r="L951" s="9" t="s">
        <v>20359</v>
      </c>
      <c r="M951" s="9" t="s">
        <v>18170</v>
      </c>
      <c r="N951" s="9" t="s">
        <v>18042</v>
      </c>
      <c r="O951" s="9" t="s">
        <v>18548</v>
      </c>
      <c r="P951" s="9" t="s">
        <v>17748</v>
      </c>
      <c r="Q951" s="11" t="s">
        <v>17749</v>
      </c>
      <c r="R951" s="11" t="s">
        <v>17749</v>
      </c>
      <c r="S951" s="11" t="s">
        <v>17750</v>
      </c>
    </row>
    <row r="952" spans="1:19" x14ac:dyDescent="0.2">
      <c r="A952" s="11" t="s">
        <v>23700</v>
      </c>
      <c r="B952" s="9" t="s">
        <v>23701</v>
      </c>
      <c r="C952" s="9" t="s">
        <v>23702</v>
      </c>
      <c r="D952" s="9" t="s">
        <v>23703</v>
      </c>
      <c r="E952" s="9" t="s">
        <v>17740</v>
      </c>
      <c r="F952" s="9" t="s">
        <v>17741</v>
      </c>
      <c r="G952" s="9" t="s">
        <v>17740</v>
      </c>
      <c r="H952" s="11" t="s">
        <v>17741</v>
      </c>
      <c r="I952" s="11" t="s">
        <v>23704</v>
      </c>
      <c r="J952" s="11" t="s">
        <v>23704</v>
      </c>
      <c r="K952" s="9" t="s">
        <v>23705</v>
      </c>
      <c r="L952" s="9" t="s">
        <v>23706</v>
      </c>
      <c r="M952" s="9" t="s">
        <v>18051</v>
      </c>
      <c r="N952" s="9" t="s">
        <v>17746</v>
      </c>
      <c r="O952" s="9" t="s">
        <v>17993</v>
      </c>
      <c r="P952" s="9" t="s">
        <v>17748</v>
      </c>
      <c r="Q952" s="11" t="s">
        <v>23707</v>
      </c>
      <c r="R952" s="11" t="s">
        <v>23707</v>
      </c>
      <c r="S952" s="11" t="s">
        <v>17750</v>
      </c>
    </row>
    <row r="953" spans="1:19" x14ac:dyDescent="0.2">
      <c r="A953" s="11" t="s">
        <v>23708</v>
      </c>
      <c r="B953" s="9" t="s">
        <v>23709</v>
      </c>
      <c r="C953" s="9" t="s">
        <v>23710</v>
      </c>
      <c r="D953" s="9" t="s">
        <v>23711</v>
      </c>
      <c r="E953" s="9" t="s">
        <v>17740</v>
      </c>
      <c r="F953" s="9" t="s">
        <v>23712</v>
      </c>
      <c r="G953" s="9" t="s">
        <v>17740</v>
      </c>
      <c r="H953" s="11" t="s">
        <v>17741</v>
      </c>
      <c r="I953" s="11" t="s">
        <v>23713</v>
      </c>
      <c r="J953" s="11" t="s">
        <v>23713</v>
      </c>
      <c r="K953" s="9" t="s">
        <v>91</v>
      </c>
      <c r="L953" s="9" t="s">
        <v>18001</v>
      </c>
      <c r="M953" s="9" t="s">
        <v>18513</v>
      </c>
      <c r="N953" s="9" t="s">
        <v>18042</v>
      </c>
      <c r="O953" s="9" t="s">
        <v>17993</v>
      </c>
      <c r="P953" s="9" t="s">
        <v>17748</v>
      </c>
      <c r="Q953" s="11" t="s">
        <v>18847</v>
      </c>
      <c r="R953" s="11" t="s">
        <v>18847</v>
      </c>
      <c r="S953" s="11" t="s">
        <v>17750</v>
      </c>
    </row>
    <row r="954" spans="1:19" x14ac:dyDescent="0.2">
      <c r="A954" s="11" t="s">
        <v>23714</v>
      </c>
      <c r="B954" s="9" t="s">
        <v>23715</v>
      </c>
      <c r="C954" s="9" t="s">
        <v>23716</v>
      </c>
      <c r="D954" s="9" t="s">
        <v>23717</v>
      </c>
      <c r="E954" s="9" t="s">
        <v>17740</v>
      </c>
      <c r="F954" s="9" t="s">
        <v>23718</v>
      </c>
      <c r="G954" s="9" t="s">
        <v>17740</v>
      </c>
      <c r="H954" s="11" t="s">
        <v>947</v>
      </c>
      <c r="I954" s="11" t="s">
        <v>946</v>
      </c>
      <c r="J954" s="11" t="s">
        <v>946</v>
      </c>
      <c r="K954" s="9" t="s">
        <v>948</v>
      </c>
      <c r="L954" s="9" t="s">
        <v>20359</v>
      </c>
      <c r="M954" s="9" t="s">
        <v>23719</v>
      </c>
      <c r="N954" s="9" t="s">
        <v>18042</v>
      </c>
      <c r="O954" s="9" t="s">
        <v>18363</v>
      </c>
      <c r="P954" s="9" t="s">
        <v>17748</v>
      </c>
      <c r="Q954" s="11" t="s">
        <v>20251</v>
      </c>
      <c r="R954" s="11" t="s">
        <v>20251</v>
      </c>
      <c r="S954" s="11" t="s">
        <v>17750</v>
      </c>
    </row>
    <row r="955" spans="1:19" x14ac:dyDescent="0.2">
      <c r="A955" s="11" t="s">
        <v>23720</v>
      </c>
      <c r="B955" s="9" t="s">
        <v>23721</v>
      </c>
      <c r="C955" s="9" t="s">
        <v>23722</v>
      </c>
      <c r="D955" s="9" t="s">
        <v>23723</v>
      </c>
      <c r="E955" s="9" t="s">
        <v>17740</v>
      </c>
      <c r="F955" s="9" t="s">
        <v>17741</v>
      </c>
      <c r="G955" s="9" t="s">
        <v>17740</v>
      </c>
      <c r="H955" s="11" t="s">
        <v>23724</v>
      </c>
      <c r="I955" s="11" t="s">
        <v>23725</v>
      </c>
      <c r="J955" s="11" t="s">
        <v>23725</v>
      </c>
      <c r="K955" s="9" t="s">
        <v>23726</v>
      </c>
      <c r="L955" s="9" t="s">
        <v>17929</v>
      </c>
      <c r="M955" s="9" t="s">
        <v>17760</v>
      </c>
      <c r="N955" s="9" t="s">
        <v>17746</v>
      </c>
      <c r="O955" s="9" t="s">
        <v>18340</v>
      </c>
      <c r="P955" s="9" t="s">
        <v>17748</v>
      </c>
      <c r="Q955" s="11" t="s">
        <v>19026</v>
      </c>
      <c r="R955" s="11" t="s">
        <v>19026</v>
      </c>
      <c r="S955" s="11" t="s">
        <v>17750</v>
      </c>
    </row>
    <row r="956" spans="1:19" x14ac:dyDescent="0.2">
      <c r="A956" s="11" t="s">
        <v>23727</v>
      </c>
      <c r="B956" s="9" t="s">
        <v>23728</v>
      </c>
      <c r="C956" s="9" t="s">
        <v>23729</v>
      </c>
      <c r="D956" s="9" t="s">
        <v>23730</v>
      </c>
      <c r="E956" s="9" t="s">
        <v>17740</v>
      </c>
      <c r="F956" s="9" t="s">
        <v>23731</v>
      </c>
      <c r="G956" s="9" t="s">
        <v>17740</v>
      </c>
      <c r="H956" s="11" t="s">
        <v>17741</v>
      </c>
      <c r="I956" s="11" t="s">
        <v>23732</v>
      </c>
      <c r="J956" s="11" t="s">
        <v>23732</v>
      </c>
      <c r="K956" s="9" t="s">
        <v>23733</v>
      </c>
      <c r="L956" s="9" t="s">
        <v>17929</v>
      </c>
      <c r="M956" s="9" t="s">
        <v>18289</v>
      </c>
      <c r="N956" s="9" t="s">
        <v>18042</v>
      </c>
      <c r="O956" s="9" t="s">
        <v>17993</v>
      </c>
      <c r="P956" s="9" t="s">
        <v>17748</v>
      </c>
      <c r="Q956" s="11" t="s">
        <v>18608</v>
      </c>
      <c r="R956" s="11" t="s">
        <v>18608</v>
      </c>
      <c r="S956" s="11" t="s">
        <v>17750</v>
      </c>
    </row>
    <row r="957" spans="1:19" x14ac:dyDescent="0.2">
      <c r="A957" s="11" t="s">
        <v>23734</v>
      </c>
      <c r="B957" s="9" t="s">
        <v>23735</v>
      </c>
      <c r="C957" s="9" t="s">
        <v>23736</v>
      </c>
      <c r="D957" s="9" t="s">
        <v>23737</v>
      </c>
      <c r="E957" s="9" t="s">
        <v>17740</v>
      </c>
      <c r="F957" s="9" t="s">
        <v>23738</v>
      </c>
      <c r="G957" s="9" t="s">
        <v>17740</v>
      </c>
      <c r="H957" s="11" t="s">
        <v>17741</v>
      </c>
      <c r="I957" s="11" t="s">
        <v>23739</v>
      </c>
      <c r="J957" s="11" t="s">
        <v>23739</v>
      </c>
      <c r="K957" s="9" t="s">
        <v>23740</v>
      </c>
      <c r="L957" s="9" t="s">
        <v>17759</v>
      </c>
      <c r="M957" s="9" t="s">
        <v>17760</v>
      </c>
      <c r="N957" s="9" t="s">
        <v>17746</v>
      </c>
      <c r="O957" s="9" t="s">
        <v>23741</v>
      </c>
      <c r="P957" s="9" t="s">
        <v>17748</v>
      </c>
      <c r="Q957" s="11" t="s">
        <v>19361</v>
      </c>
      <c r="R957" s="11" t="s">
        <v>19361</v>
      </c>
      <c r="S957" s="11" t="s">
        <v>17750</v>
      </c>
    </row>
    <row r="958" spans="1:19" x14ac:dyDescent="0.2">
      <c r="A958" s="11" t="s">
        <v>23742</v>
      </c>
      <c r="B958" s="9" t="s">
        <v>23743</v>
      </c>
      <c r="C958" s="9" t="s">
        <v>23744</v>
      </c>
      <c r="D958" s="9" t="s">
        <v>23745</v>
      </c>
      <c r="E958" s="9" t="s">
        <v>17740</v>
      </c>
      <c r="F958" s="9" t="s">
        <v>17741</v>
      </c>
      <c r="G958" s="9" t="s">
        <v>17740</v>
      </c>
      <c r="H958" s="11" t="s">
        <v>23746</v>
      </c>
      <c r="I958" s="11" t="s">
        <v>23747</v>
      </c>
      <c r="J958" s="11" t="s">
        <v>23747</v>
      </c>
      <c r="K958" s="9" t="s">
        <v>23748</v>
      </c>
      <c r="L958" s="9" t="s">
        <v>17744</v>
      </c>
      <c r="M958" s="9" t="s">
        <v>18065</v>
      </c>
      <c r="N958" s="9" t="s">
        <v>17746</v>
      </c>
      <c r="O958" s="9" t="s">
        <v>19859</v>
      </c>
      <c r="P958" s="9" t="s">
        <v>17748</v>
      </c>
      <c r="Q958" s="11" t="s">
        <v>23749</v>
      </c>
      <c r="R958" s="11" t="s">
        <v>23749</v>
      </c>
      <c r="S958" s="11" t="s">
        <v>17750</v>
      </c>
    </row>
    <row r="959" spans="1:19" x14ac:dyDescent="0.2">
      <c r="A959" s="11" t="s">
        <v>23750</v>
      </c>
      <c r="B959" s="9" t="s">
        <v>23751</v>
      </c>
      <c r="C959" s="9" t="s">
        <v>23752</v>
      </c>
      <c r="D959" s="9" t="s">
        <v>23753</v>
      </c>
      <c r="E959" s="9" t="s">
        <v>17740</v>
      </c>
      <c r="F959" s="9" t="s">
        <v>17741</v>
      </c>
      <c r="G959" s="9" t="s">
        <v>17740</v>
      </c>
      <c r="H959" s="11" t="s">
        <v>23754</v>
      </c>
      <c r="I959" s="11" t="s">
        <v>23755</v>
      </c>
      <c r="J959" s="11" t="s">
        <v>23755</v>
      </c>
      <c r="K959" s="9" t="s">
        <v>167</v>
      </c>
      <c r="L959" s="9" t="s">
        <v>17759</v>
      </c>
      <c r="M959" s="9" t="s">
        <v>17817</v>
      </c>
      <c r="N959" s="9" t="s">
        <v>17746</v>
      </c>
      <c r="O959" s="9" t="s">
        <v>19391</v>
      </c>
      <c r="P959" s="9" t="s">
        <v>17748</v>
      </c>
      <c r="Q959" s="11" t="s">
        <v>20251</v>
      </c>
      <c r="R959" s="11" t="s">
        <v>20251</v>
      </c>
      <c r="S959" s="11" t="s">
        <v>17750</v>
      </c>
    </row>
    <row r="960" spans="1:19" x14ac:dyDescent="0.2">
      <c r="A960" s="11" t="s">
        <v>23756</v>
      </c>
      <c r="B960" s="9" t="s">
        <v>23757</v>
      </c>
      <c r="C960" s="9" t="s">
        <v>23758</v>
      </c>
      <c r="D960" s="9" t="s">
        <v>23759</v>
      </c>
      <c r="E960" s="9" t="s">
        <v>17740</v>
      </c>
      <c r="F960" s="9" t="s">
        <v>17741</v>
      </c>
      <c r="G960" s="9" t="s">
        <v>17740</v>
      </c>
      <c r="H960" s="11" t="s">
        <v>763</v>
      </c>
      <c r="I960" s="11" t="s">
        <v>762</v>
      </c>
      <c r="J960" s="11" t="s">
        <v>762</v>
      </c>
      <c r="K960" s="9" t="s">
        <v>17783</v>
      </c>
      <c r="L960" s="9" t="s">
        <v>17759</v>
      </c>
      <c r="M960" s="9" t="s">
        <v>17817</v>
      </c>
      <c r="N960" s="9" t="s">
        <v>17746</v>
      </c>
      <c r="O960" s="9" t="s">
        <v>18833</v>
      </c>
      <c r="P960" s="9" t="s">
        <v>17748</v>
      </c>
      <c r="Q960" s="11" t="s">
        <v>18234</v>
      </c>
      <c r="R960" s="11" t="s">
        <v>18234</v>
      </c>
      <c r="S960" s="11" t="s">
        <v>17750</v>
      </c>
    </row>
    <row r="961" spans="1:19" x14ac:dyDescent="0.2">
      <c r="A961" s="11" t="s">
        <v>23760</v>
      </c>
      <c r="B961" s="9" t="s">
        <v>23761</v>
      </c>
      <c r="C961" s="9" t="s">
        <v>23762</v>
      </c>
      <c r="D961" s="9" t="s">
        <v>23763</v>
      </c>
      <c r="E961" s="9" t="s">
        <v>17740</v>
      </c>
      <c r="F961" s="9" t="s">
        <v>23764</v>
      </c>
      <c r="G961" s="9" t="s">
        <v>17740</v>
      </c>
      <c r="H961" s="11" t="s">
        <v>23765</v>
      </c>
      <c r="I961" s="11" t="s">
        <v>23766</v>
      </c>
      <c r="J961" s="11" t="s">
        <v>23766</v>
      </c>
      <c r="K961" s="9" t="s">
        <v>17783</v>
      </c>
      <c r="L961" s="9" t="s">
        <v>17759</v>
      </c>
      <c r="M961" s="9" t="s">
        <v>23767</v>
      </c>
      <c r="N961" s="9" t="s">
        <v>17746</v>
      </c>
      <c r="O961" s="9" t="s">
        <v>23768</v>
      </c>
      <c r="P961" s="9" t="s">
        <v>17748</v>
      </c>
      <c r="Q961" s="11" t="s">
        <v>18243</v>
      </c>
      <c r="R961" s="11" t="s">
        <v>18243</v>
      </c>
      <c r="S961" s="11" t="s">
        <v>17750</v>
      </c>
    </row>
    <row r="962" spans="1:19" x14ac:dyDescent="0.2">
      <c r="A962" s="11" t="s">
        <v>23769</v>
      </c>
      <c r="B962" s="9" t="s">
        <v>23770</v>
      </c>
      <c r="C962" s="9" t="s">
        <v>23771</v>
      </c>
      <c r="D962" s="9" t="s">
        <v>23772</v>
      </c>
      <c r="E962" s="9" t="s">
        <v>17740</v>
      </c>
      <c r="F962" s="9" t="s">
        <v>17741</v>
      </c>
      <c r="G962" s="9" t="s">
        <v>17740</v>
      </c>
      <c r="H962" s="11" t="s">
        <v>17741</v>
      </c>
      <c r="I962" s="11" t="s">
        <v>23773</v>
      </c>
      <c r="J962" s="11" t="s">
        <v>23773</v>
      </c>
      <c r="K962" s="9" t="s">
        <v>23774</v>
      </c>
      <c r="L962" s="9" t="s">
        <v>17759</v>
      </c>
      <c r="M962" s="9" t="s">
        <v>17817</v>
      </c>
      <c r="N962" s="9" t="s">
        <v>17746</v>
      </c>
      <c r="O962" s="9" t="s">
        <v>23775</v>
      </c>
      <c r="P962" s="9" t="s">
        <v>17748</v>
      </c>
      <c r="Q962" s="11" t="s">
        <v>19349</v>
      </c>
      <c r="R962" s="11" t="s">
        <v>19349</v>
      </c>
      <c r="S962" s="11" t="s">
        <v>17750</v>
      </c>
    </row>
    <row r="963" spans="1:19" x14ac:dyDescent="0.2">
      <c r="A963" s="11" t="s">
        <v>23776</v>
      </c>
      <c r="B963" s="9" t="s">
        <v>23777</v>
      </c>
      <c r="C963" s="9" t="s">
        <v>23778</v>
      </c>
      <c r="D963" s="9" t="s">
        <v>23779</v>
      </c>
      <c r="E963" s="9" t="s">
        <v>17740</v>
      </c>
      <c r="F963" s="9" t="s">
        <v>23780</v>
      </c>
      <c r="G963" s="9" t="s">
        <v>17740</v>
      </c>
      <c r="H963" s="11" t="s">
        <v>23781</v>
      </c>
      <c r="I963" s="11" t="s">
        <v>23782</v>
      </c>
      <c r="J963" s="11" t="s">
        <v>23782</v>
      </c>
      <c r="K963" s="9" t="s">
        <v>23783</v>
      </c>
      <c r="L963" s="9" t="s">
        <v>17759</v>
      </c>
      <c r="M963" s="9" t="s">
        <v>17760</v>
      </c>
      <c r="N963" s="9" t="s">
        <v>17746</v>
      </c>
      <c r="O963" s="9" t="s">
        <v>17747</v>
      </c>
      <c r="P963" s="9" t="s">
        <v>17748</v>
      </c>
      <c r="Q963" s="11" t="s">
        <v>18348</v>
      </c>
      <c r="R963" s="11" t="s">
        <v>18348</v>
      </c>
      <c r="S963" s="11" t="s">
        <v>17750</v>
      </c>
    </row>
    <row r="964" spans="1:19" x14ac:dyDescent="0.2">
      <c r="A964" s="11" t="s">
        <v>23784</v>
      </c>
      <c r="B964" s="9" t="s">
        <v>23785</v>
      </c>
      <c r="C964" s="9" t="s">
        <v>23786</v>
      </c>
      <c r="D964" s="9" t="s">
        <v>23787</v>
      </c>
      <c r="E964" s="9" t="s">
        <v>17748</v>
      </c>
      <c r="F964" s="9" t="s">
        <v>23788</v>
      </c>
      <c r="G964" s="9" t="s">
        <v>17740</v>
      </c>
      <c r="H964" s="11" t="s">
        <v>23789</v>
      </c>
      <c r="I964" s="11" t="s">
        <v>23790</v>
      </c>
      <c r="J964" s="11" t="s">
        <v>23790</v>
      </c>
      <c r="K964" s="9" t="s">
        <v>17741</v>
      </c>
      <c r="L964" s="9" t="s">
        <v>17759</v>
      </c>
      <c r="M964" s="9" t="s">
        <v>17760</v>
      </c>
      <c r="N964" s="9" t="s">
        <v>17746</v>
      </c>
      <c r="O964" s="9" t="s">
        <v>23791</v>
      </c>
      <c r="P964" s="9" t="s">
        <v>17748</v>
      </c>
      <c r="Q964" s="11" t="s">
        <v>18089</v>
      </c>
      <c r="R964" s="11" t="s">
        <v>18089</v>
      </c>
      <c r="S964" s="11" t="s">
        <v>17750</v>
      </c>
    </row>
    <row r="965" spans="1:19" x14ac:dyDescent="0.2">
      <c r="A965" s="11" t="s">
        <v>23792</v>
      </c>
      <c r="B965" s="9" t="s">
        <v>871</v>
      </c>
      <c r="C965" s="9" t="s">
        <v>23793</v>
      </c>
      <c r="D965" s="9" t="s">
        <v>23794</v>
      </c>
      <c r="E965" s="9" t="s">
        <v>17740</v>
      </c>
      <c r="F965" s="9" t="s">
        <v>17741</v>
      </c>
      <c r="G965" s="9" t="s">
        <v>17740</v>
      </c>
      <c r="H965" s="11" t="s">
        <v>873</v>
      </c>
      <c r="I965" s="11" t="s">
        <v>872</v>
      </c>
      <c r="J965" s="11" t="s">
        <v>872</v>
      </c>
      <c r="K965" s="9" t="s">
        <v>23795</v>
      </c>
      <c r="L965" s="9" t="s">
        <v>17759</v>
      </c>
      <c r="M965" s="9" t="s">
        <v>23796</v>
      </c>
      <c r="N965" s="9" t="s">
        <v>17746</v>
      </c>
      <c r="O965" s="9" t="s">
        <v>17834</v>
      </c>
      <c r="P965" s="9" t="s">
        <v>17748</v>
      </c>
      <c r="Q965" s="11" t="s">
        <v>20691</v>
      </c>
      <c r="R965" s="11" t="s">
        <v>20691</v>
      </c>
      <c r="S965" s="11" t="s">
        <v>17750</v>
      </c>
    </row>
    <row r="966" spans="1:19" x14ac:dyDescent="0.2">
      <c r="A966" s="11" t="s">
        <v>23797</v>
      </c>
      <c r="B966" s="9" t="s">
        <v>952</v>
      </c>
      <c r="C966" s="9" t="s">
        <v>23798</v>
      </c>
      <c r="D966" s="9" t="s">
        <v>23799</v>
      </c>
      <c r="E966" s="9" t="s">
        <v>17740</v>
      </c>
      <c r="F966" s="9" t="s">
        <v>23800</v>
      </c>
      <c r="G966" s="9" t="s">
        <v>17740</v>
      </c>
      <c r="H966" s="11" t="s">
        <v>954</v>
      </c>
      <c r="I966" s="11" t="s">
        <v>953</v>
      </c>
      <c r="J966" s="11" t="s">
        <v>953</v>
      </c>
      <c r="K966" s="9" t="s">
        <v>955</v>
      </c>
      <c r="L966" s="9" t="s">
        <v>18123</v>
      </c>
      <c r="M966" s="9" t="s">
        <v>18109</v>
      </c>
      <c r="N966" s="9" t="s">
        <v>17746</v>
      </c>
      <c r="O966" s="9" t="s">
        <v>3524</v>
      </c>
      <c r="P966" s="9" t="s">
        <v>17748</v>
      </c>
      <c r="Q966" s="11" t="s">
        <v>18847</v>
      </c>
      <c r="R966" s="11" t="s">
        <v>18847</v>
      </c>
      <c r="S966" s="11" t="s">
        <v>17750</v>
      </c>
    </row>
    <row r="967" spans="1:19" x14ac:dyDescent="0.2">
      <c r="A967" s="11" t="s">
        <v>23801</v>
      </c>
      <c r="B967" s="9" t="s">
        <v>23802</v>
      </c>
      <c r="C967" s="9" t="s">
        <v>23803</v>
      </c>
      <c r="D967" s="9" t="s">
        <v>23804</v>
      </c>
      <c r="E967" s="9" t="s">
        <v>17740</v>
      </c>
      <c r="F967" s="9" t="s">
        <v>23805</v>
      </c>
      <c r="G967" s="9" t="s">
        <v>17740</v>
      </c>
      <c r="H967" s="11" t="s">
        <v>17741</v>
      </c>
      <c r="I967" s="11" t="s">
        <v>23806</v>
      </c>
      <c r="J967" s="11" t="s">
        <v>23806</v>
      </c>
      <c r="K967" s="9" t="s">
        <v>23807</v>
      </c>
      <c r="L967" s="9" t="s">
        <v>18242</v>
      </c>
      <c r="M967" s="9" t="s">
        <v>17778</v>
      </c>
      <c r="N967" s="9" t="s">
        <v>17746</v>
      </c>
      <c r="O967" s="9" t="s">
        <v>18340</v>
      </c>
      <c r="P967" s="9" t="s">
        <v>17748</v>
      </c>
      <c r="Q967" s="11" t="s">
        <v>18556</v>
      </c>
      <c r="R967" s="11" t="s">
        <v>18556</v>
      </c>
      <c r="S967" s="11" t="s">
        <v>17750</v>
      </c>
    </row>
    <row r="968" spans="1:19" x14ac:dyDescent="0.2">
      <c r="A968" s="11" t="s">
        <v>23808</v>
      </c>
      <c r="B968" s="9" t="s">
        <v>23809</v>
      </c>
      <c r="C968" s="9" t="s">
        <v>23810</v>
      </c>
      <c r="D968" s="9" t="s">
        <v>23811</v>
      </c>
      <c r="E968" s="9" t="s">
        <v>17740</v>
      </c>
      <c r="F968" s="9" t="s">
        <v>17741</v>
      </c>
      <c r="G968" s="9" t="s">
        <v>17740</v>
      </c>
      <c r="H968" s="11" t="s">
        <v>17741</v>
      </c>
      <c r="I968" s="11" t="s">
        <v>23812</v>
      </c>
      <c r="J968" s="11" t="s">
        <v>23812</v>
      </c>
      <c r="K968" s="9" t="s">
        <v>23813</v>
      </c>
      <c r="L968" s="9" t="s">
        <v>17759</v>
      </c>
      <c r="M968" s="9" t="s">
        <v>18051</v>
      </c>
      <c r="N968" s="9" t="s">
        <v>17746</v>
      </c>
      <c r="O968" s="9" t="s">
        <v>18644</v>
      </c>
      <c r="P968" s="9" t="s">
        <v>17748</v>
      </c>
      <c r="Q968" s="11" t="s">
        <v>18440</v>
      </c>
      <c r="R968" s="11" t="s">
        <v>18440</v>
      </c>
      <c r="S968" s="11" t="s">
        <v>17750</v>
      </c>
    </row>
    <row r="969" spans="1:19" x14ac:dyDescent="0.2">
      <c r="A969" s="11" t="s">
        <v>23814</v>
      </c>
      <c r="B969" s="9" t="s">
        <v>23815</v>
      </c>
      <c r="C969" s="9" t="s">
        <v>23816</v>
      </c>
      <c r="D969" s="9" t="s">
        <v>23817</v>
      </c>
      <c r="E969" s="9" t="s">
        <v>17740</v>
      </c>
      <c r="F969" s="9" t="s">
        <v>23818</v>
      </c>
      <c r="G969" s="9" t="s">
        <v>17740</v>
      </c>
      <c r="H969" s="11" t="s">
        <v>23819</v>
      </c>
      <c r="I969" s="11" t="s">
        <v>23820</v>
      </c>
      <c r="J969" s="11" t="s">
        <v>17741</v>
      </c>
      <c r="K969" s="9" t="s">
        <v>17783</v>
      </c>
      <c r="L969" s="9" t="s">
        <v>18158</v>
      </c>
      <c r="M969" s="9" t="s">
        <v>17817</v>
      </c>
      <c r="N969" s="9" t="s">
        <v>18185</v>
      </c>
      <c r="O969" s="9" t="s">
        <v>3524</v>
      </c>
      <c r="P969" s="9" t="s">
        <v>17748</v>
      </c>
      <c r="Q969" s="11" t="s">
        <v>18356</v>
      </c>
      <c r="R969" s="11" t="s">
        <v>18356</v>
      </c>
      <c r="S969" s="11" t="s">
        <v>17750</v>
      </c>
    </row>
    <row r="970" spans="1:19" x14ac:dyDescent="0.2">
      <c r="A970" s="11" t="s">
        <v>23821</v>
      </c>
      <c r="B970" s="9" t="s">
        <v>23822</v>
      </c>
      <c r="C970" s="9" t="s">
        <v>23823</v>
      </c>
      <c r="D970" s="9" t="s">
        <v>949</v>
      </c>
      <c r="E970" s="9" t="s">
        <v>17740</v>
      </c>
      <c r="F970" s="9" t="s">
        <v>23824</v>
      </c>
      <c r="G970" s="9" t="s">
        <v>17740</v>
      </c>
      <c r="H970" s="11" t="s">
        <v>951</v>
      </c>
      <c r="I970" s="11" t="s">
        <v>950</v>
      </c>
      <c r="J970" s="11" t="s">
        <v>950</v>
      </c>
      <c r="K970" s="9" t="s">
        <v>91</v>
      </c>
      <c r="L970" s="9" t="s">
        <v>18001</v>
      </c>
      <c r="M970" s="9" t="s">
        <v>18177</v>
      </c>
      <c r="N970" s="9" t="s">
        <v>17746</v>
      </c>
      <c r="O970" s="9" t="s">
        <v>17866</v>
      </c>
      <c r="P970" s="9" t="s">
        <v>17748</v>
      </c>
      <c r="Q970" s="11" t="s">
        <v>17819</v>
      </c>
      <c r="R970" s="11" t="s">
        <v>17819</v>
      </c>
      <c r="S970" s="11" t="s">
        <v>17750</v>
      </c>
    </row>
    <row r="971" spans="1:19" x14ac:dyDescent="0.2">
      <c r="A971" s="11" t="s">
        <v>23825</v>
      </c>
      <c r="B971" s="9" t="s">
        <v>23826</v>
      </c>
      <c r="C971" s="9" t="s">
        <v>23827</v>
      </c>
      <c r="D971" s="9" t="s">
        <v>23828</v>
      </c>
      <c r="E971" s="9" t="s">
        <v>17740</v>
      </c>
      <c r="F971" s="9" t="s">
        <v>17741</v>
      </c>
      <c r="G971" s="9" t="s">
        <v>17740</v>
      </c>
      <c r="H971" s="11" t="s">
        <v>969</v>
      </c>
      <c r="I971" s="11" t="s">
        <v>968</v>
      </c>
      <c r="J971" s="11" t="s">
        <v>968</v>
      </c>
      <c r="K971" s="9" t="s">
        <v>17805</v>
      </c>
      <c r="L971" s="9" t="s">
        <v>17759</v>
      </c>
      <c r="M971" s="9" t="s">
        <v>17769</v>
      </c>
      <c r="N971" s="9" t="s">
        <v>17746</v>
      </c>
      <c r="O971" s="9" t="s">
        <v>18363</v>
      </c>
      <c r="P971" s="9" t="s">
        <v>17748</v>
      </c>
      <c r="Q971" s="11" t="s">
        <v>17931</v>
      </c>
      <c r="R971" s="11" t="s">
        <v>17931</v>
      </c>
      <c r="S971" s="11" t="s">
        <v>17750</v>
      </c>
    </row>
    <row r="972" spans="1:19" x14ac:dyDescent="0.2">
      <c r="A972" s="11" t="s">
        <v>23829</v>
      </c>
      <c r="B972" s="9" t="s">
        <v>23830</v>
      </c>
      <c r="C972" s="9" t="s">
        <v>23831</v>
      </c>
      <c r="D972" s="9" t="s">
        <v>23832</v>
      </c>
      <c r="E972" s="9" t="s">
        <v>17740</v>
      </c>
      <c r="F972" s="9" t="s">
        <v>17741</v>
      </c>
      <c r="G972" s="9" t="s">
        <v>17740</v>
      </c>
      <c r="H972" s="11" t="s">
        <v>23833</v>
      </c>
      <c r="I972" s="11" t="s">
        <v>23834</v>
      </c>
      <c r="J972" s="11" t="s">
        <v>23834</v>
      </c>
      <c r="K972" s="9" t="s">
        <v>23835</v>
      </c>
      <c r="L972" s="9" t="s">
        <v>18058</v>
      </c>
      <c r="M972" s="9" t="s">
        <v>23836</v>
      </c>
      <c r="N972" s="9" t="s">
        <v>21551</v>
      </c>
      <c r="O972" s="9" t="s">
        <v>3524</v>
      </c>
      <c r="P972" s="9" t="s">
        <v>17748</v>
      </c>
      <c r="Q972" s="11" t="s">
        <v>18960</v>
      </c>
      <c r="R972" s="11" t="s">
        <v>18960</v>
      </c>
      <c r="S972" s="11" t="s">
        <v>17750</v>
      </c>
    </row>
    <row r="973" spans="1:19" x14ac:dyDescent="0.2">
      <c r="A973" s="11" t="s">
        <v>23837</v>
      </c>
      <c r="B973" s="9" t="s">
        <v>23838</v>
      </c>
      <c r="C973" s="9" t="s">
        <v>23839</v>
      </c>
      <c r="D973" s="9" t="s">
        <v>23840</v>
      </c>
      <c r="E973" s="9" t="s">
        <v>17740</v>
      </c>
      <c r="F973" s="9" t="s">
        <v>17741</v>
      </c>
      <c r="G973" s="9" t="s">
        <v>17740</v>
      </c>
      <c r="H973" s="11" t="s">
        <v>17741</v>
      </c>
      <c r="I973" s="11" t="s">
        <v>23841</v>
      </c>
      <c r="J973" s="11" t="s">
        <v>23841</v>
      </c>
      <c r="K973" s="9" t="s">
        <v>23842</v>
      </c>
      <c r="L973" s="9" t="s">
        <v>20359</v>
      </c>
      <c r="M973" s="9" t="s">
        <v>17760</v>
      </c>
      <c r="N973" s="9" t="s">
        <v>18042</v>
      </c>
      <c r="O973" s="9" t="s">
        <v>23843</v>
      </c>
      <c r="P973" s="9" t="s">
        <v>17748</v>
      </c>
      <c r="Q973" s="11" t="s">
        <v>18306</v>
      </c>
      <c r="R973" s="11" t="s">
        <v>18306</v>
      </c>
      <c r="S973" s="11" t="s">
        <v>17750</v>
      </c>
    </row>
    <row r="974" spans="1:19" x14ac:dyDescent="0.2">
      <c r="A974" s="11" t="s">
        <v>23844</v>
      </c>
      <c r="B974" s="9" t="s">
        <v>23845</v>
      </c>
      <c r="C974" s="9" t="s">
        <v>23846</v>
      </c>
      <c r="D974" s="9" t="s">
        <v>23847</v>
      </c>
      <c r="E974" s="9" t="s">
        <v>17740</v>
      </c>
      <c r="F974" s="9" t="s">
        <v>23848</v>
      </c>
      <c r="G974" s="9" t="s">
        <v>17740</v>
      </c>
      <c r="H974" s="11" t="s">
        <v>1316</v>
      </c>
      <c r="I974" s="11" t="s">
        <v>1315</v>
      </c>
      <c r="J974" s="11" t="s">
        <v>1315</v>
      </c>
      <c r="K974" s="9" t="s">
        <v>167</v>
      </c>
      <c r="L974" s="9" t="s">
        <v>17759</v>
      </c>
      <c r="M974" s="9" t="s">
        <v>18289</v>
      </c>
      <c r="N974" s="9" t="s">
        <v>17746</v>
      </c>
      <c r="O974" s="9" t="s">
        <v>19521</v>
      </c>
      <c r="P974" s="9" t="s">
        <v>17748</v>
      </c>
      <c r="Q974" s="11" t="s">
        <v>18251</v>
      </c>
      <c r="R974" s="11" t="s">
        <v>18251</v>
      </c>
      <c r="S974" s="11" t="s">
        <v>17750</v>
      </c>
    </row>
    <row r="975" spans="1:19" x14ac:dyDescent="0.2">
      <c r="A975" s="11" t="s">
        <v>23849</v>
      </c>
      <c r="B975" s="9" t="s">
        <v>23850</v>
      </c>
      <c r="C975" s="9" t="s">
        <v>23851</v>
      </c>
      <c r="D975" s="9" t="s">
        <v>23852</v>
      </c>
      <c r="E975" s="9" t="s">
        <v>17740</v>
      </c>
      <c r="F975" s="9" t="s">
        <v>17741</v>
      </c>
      <c r="G975" s="9" t="s">
        <v>17740</v>
      </c>
      <c r="H975" s="11" t="s">
        <v>23853</v>
      </c>
      <c r="I975" s="11" t="s">
        <v>23854</v>
      </c>
      <c r="J975" s="11" t="s">
        <v>23854</v>
      </c>
      <c r="K975" s="9" t="s">
        <v>724</v>
      </c>
      <c r="L975" s="9" t="s">
        <v>17759</v>
      </c>
      <c r="M975" s="9" t="s">
        <v>17778</v>
      </c>
      <c r="N975" s="9" t="s">
        <v>17746</v>
      </c>
      <c r="O975" s="9" t="s">
        <v>17874</v>
      </c>
      <c r="P975" s="9" t="s">
        <v>17748</v>
      </c>
      <c r="Q975" s="11" t="s">
        <v>18147</v>
      </c>
      <c r="R975" s="11" t="s">
        <v>18147</v>
      </c>
      <c r="S975" s="11" t="s">
        <v>17750</v>
      </c>
    </row>
    <row r="976" spans="1:19" x14ac:dyDescent="0.2">
      <c r="A976" s="11" t="s">
        <v>23855</v>
      </c>
      <c r="B976" s="9" t="s">
        <v>23856</v>
      </c>
      <c r="C976" s="9" t="s">
        <v>23857</v>
      </c>
      <c r="D976" s="9" t="s">
        <v>23858</v>
      </c>
      <c r="E976" s="9" t="s">
        <v>17748</v>
      </c>
      <c r="F976" s="9" t="s">
        <v>23859</v>
      </c>
      <c r="G976" s="9" t="s">
        <v>17740</v>
      </c>
      <c r="H976" s="11" t="s">
        <v>23860</v>
      </c>
      <c r="I976" s="11" t="s">
        <v>23861</v>
      </c>
      <c r="J976" s="11" t="s">
        <v>23861</v>
      </c>
      <c r="K976" s="9" t="s">
        <v>23862</v>
      </c>
      <c r="L976" s="9" t="s">
        <v>18959</v>
      </c>
      <c r="M976" s="9" t="s">
        <v>19571</v>
      </c>
      <c r="N976" s="9" t="s">
        <v>17746</v>
      </c>
      <c r="O976" s="9" t="s">
        <v>23863</v>
      </c>
      <c r="P976" s="9" t="s">
        <v>17748</v>
      </c>
      <c r="Q976" s="11" t="s">
        <v>18147</v>
      </c>
      <c r="R976" s="11" t="s">
        <v>18147</v>
      </c>
      <c r="S976" s="11" t="s">
        <v>17750</v>
      </c>
    </row>
    <row r="977" spans="1:19" x14ac:dyDescent="0.2">
      <c r="A977" s="11" t="s">
        <v>23864</v>
      </c>
      <c r="B977" s="9" t="s">
        <v>23865</v>
      </c>
      <c r="C977" s="9" t="s">
        <v>23866</v>
      </c>
      <c r="D977" s="9" t="s">
        <v>23867</v>
      </c>
      <c r="E977" s="9" t="s">
        <v>17740</v>
      </c>
      <c r="F977" s="9" t="s">
        <v>17741</v>
      </c>
      <c r="G977" s="9" t="s">
        <v>17740</v>
      </c>
      <c r="H977" s="11" t="s">
        <v>17741</v>
      </c>
      <c r="I977" s="11" t="s">
        <v>17741</v>
      </c>
      <c r="J977" s="11" t="s">
        <v>17741</v>
      </c>
      <c r="K977" s="9" t="s">
        <v>23868</v>
      </c>
      <c r="L977" s="9" t="s">
        <v>18959</v>
      </c>
      <c r="M977" s="9" t="s">
        <v>23186</v>
      </c>
      <c r="N977" s="9" t="s">
        <v>17746</v>
      </c>
      <c r="O977" s="9" t="s">
        <v>23863</v>
      </c>
      <c r="P977" s="9" t="s">
        <v>17748</v>
      </c>
      <c r="Q977" s="11" t="s">
        <v>18370</v>
      </c>
      <c r="R977" s="11" t="s">
        <v>18370</v>
      </c>
      <c r="S977" s="11" t="s">
        <v>17750</v>
      </c>
    </row>
    <row r="978" spans="1:19" x14ac:dyDescent="0.2">
      <c r="A978" s="11" t="s">
        <v>23869</v>
      </c>
      <c r="B978" s="9" t="s">
        <v>23870</v>
      </c>
      <c r="C978" s="9" t="s">
        <v>23871</v>
      </c>
      <c r="D978" s="9" t="s">
        <v>23872</v>
      </c>
      <c r="E978" s="9" t="s">
        <v>17740</v>
      </c>
      <c r="F978" s="9" t="s">
        <v>17741</v>
      </c>
      <c r="G978" s="9" t="s">
        <v>17740</v>
      </c>
      <c r="H978" s="11" t="s">
        <v>2190</v>
      </c>
      <c r="I978" s="11" t="s">
        <v>2189</v>
      </c>
      <c r="J978" s="11" t="s">
        <v>2189</v>
      </c>
      <c r="K978" s="9" t="s">
        <v>23873</v>
      </c>
      <c r="L978" s="9" t="s">
        <v>18959</v>
      </c>
      <c r="M978" s="9" t="s">
        <v>23874</v>
      </c>
      <c r="N978" s="9" t="s">
        <v>17746</v>
      </c>
      <c r="O978" s="9" t="s">
        <v>3543</v>
      </c>
      <c r="P978" s="9" t="s">
        <v>17748</v>
      </c>
      <c r="Q978" s="11" t="s">
        <v>18059</v>
      </c>
      <c r="R978" s="11" t="s">
        <v>18059</v>
      </c>
      <c r="S978" s="11" t="s">
        <v>17750</v>
      </c>
    </row>
    <row r="979" spans="1:19" x14ac:dyDescent="0.2">
      <c r="A979" s="11" t="s">
        <v>23875</v>
      </c>
      <c r="B979" s="9" t="s">
        <v>23876</v>
      </c>
      <c r="C979" s="9" t="s">
        <v>23877</v>
      </c>
      <c r="D979" s="9" t="s">
        <v>23878</v>
      </c>
      <c r="E979" s="9" t="s">
        <v>17748</v>
      </c>
      <c r="F979" s="9" t="s">
        <v>23879</v>
      </c>
      <c r="G979" s="9" t="s">
        <v>17740</v>
      </c>
      <c r="H979" s="11" t="s">
        <v>17741</v>
      </c>
      <c r="I979" s="11" t="s">
        <v>23880</v>
      </c>
      <c r="J979" s="11" t="s">
        <v>23880</v>
      </c>
      <c r="K979" s="9" t="s">
        <v>23881</v>
      </c>
      <c r="L979" s="9" t="s">
        <v>18959</v>
      </c>
      <c r="M979" s="9" t="s">
        <v>23882</v>
      </c>
      <c r="N979" s="9" t="s">
        <v>17746</v>
      </c>
      <c r="O979" s="9" t="s">
        <v>17747</v>
      </c>
      <c r="P979" s="9" t="s">
        <v>17748</v>
      </c>
      <c r="Q979" s="11" t="s">
        <v>18364</v>
      </c>
      <c r="R979" s="11" t="s">
        <v>18364</v>
      </c>
      <c r="S979" s="11" t="s">
        <v>17750</v>
      </c>
    </row>
    <row r="980" spans="1:19" x14ac:dyDescent="0.2">
      <c r="A980" s="11" t="s">
        <v>23883</v>
      </c>
      <c r="B980" s="9" t="s">
        <v>23884</v>
      </c>
      <c r="C980" s="9" t="s">
        <v>23885</v>
      </c>
      <c r="D980" s="9" t="s">
        <v>23886</v>
      </c>
      <c r="E980" s="9" t="s">
        <v>17740</v>
      </c>
      <c r="F980" s="9" t="s">
        <v>23887</v>
      </c>
      <c r="G980" s="9" t="s">
        <v>17740</v>
      </c>
      <c r="H980" s="11" t="s">
        <v>23888</v>
      </c>
      <c r="I980" s="11" t="s">
        <v>4332</v>
      </c>
      <c r="J980" s="11" t="s">
        <v>4332</v>
      </c>
      <c r="K980" s="9" t="s">
        <v>4333</v>
      </c>
      <c r="L980" s="9" t="s">
        <v>18959</v>
      </c>
      <c r="M980" s="9" t="s">
        <v>17817</v>
      </c>
      <c r="N980" s="9" t="s">
        <v>17746</v>
      </c>
      <c r="O980" s="9" t="s">
        <v>19423</v>
      </c>
      <c r="P980" s="9" t="s">
        <v>17748</v>
      </c>
      <c r="Q980" s="11" t="s">
        <v>18813</v>
      </c>
      <c r="R980" s="11" t="s">
        <v>18813</v>
      </c>
      <c r="S980" s="11" t="s">
        <v>17750</v>
      </c>
    </row>
    <row r="981" spans="1:19" x14ac:dyDescent="0.2">
      <c r="A981" s="11" t="s">
        <v>23889</v>
      </c>
      <c r="B981" s="9" t="s">
        <v>23890</v>
      </c>
      <c r="C981" s="9" t="s">
        <v>23891</v>
      </c>
      <c r="D981" s="9" t="s">
        <v>23892</v>
      </c>
      <c r="E981" s="9" t="s">
        <v>17748</v>
      </c>
      <c r="F981" s="9" t="s">
        <v>23893</v>
      </c>
      <c r="G981" s="9" t="s">
        <v>17740</v>
      </c>
      <c r="H981" s="11" t="s">
        <v>4318</v>
      </c>
      <c r="I981" s="11" t="s">
        <v>4317</v>
      </c>
      <c r="J981" s="11" t="s">
        <v>4317</v>
      </c>
      <c r="K981" s="9" t="s">
        <v>190</v>
      </c>
      <c r="L981" s="9" t="s">
        <v>17759</v>
      </c>
      <c r="M981" s="9" t="s">
        <v>23894</v>
      </c>
      <c r="N981" s="9" t="s">
        <v>17746</v>
      </c>
      <c r="O981" s="9" t="s">
        <v>487</v>
      </c>
      <c r="P981" s="9" t="s">
        <v>17748</v>
      </c>
      <c r="Q981" s="11" t="s">
        <v>18364</v>
      </c>
      <c r="R981" s="11" t="s">
        <v>18364</v>
      </c>
      <c r="S981" s="11" t="s">
        <v>17750</v>
      </c>
    </row>
    <row r="982" spans="1:19" x14ac:dyDescent="0.2">
      <c r="A982" s="11" t="s">
        <v>23895</v>
      </c>
      <c r="B982" s="9" t="s">
        <v>23896</v>
      </c>
      <c r="C982" s="9" t="s">
        <v>23897</v>
      </c>
      <c r="D982" s="9" t="s">
        <v>23898</v>
      </c>
      <c r="E982" s="9" t="s">
        <v>17740</v>
      </c>
      <c r="F982" s="9" t="s">
        <v>17741</v>
      </c>
      <c r="G982" s="9" t="s">
        <v>17740</v>
      </c>
      <c r="H982" s="11" t="s">
        <v>23899</v>
      </c>
      <c r="I982" s="11" t="s">
        <v>1099</v>
      </c>
      <c r="J982" s="11" t="s">
        <v>1099</v>
      </c>
      <c r="K982" s="9" t="s">
        <v>91</v>
      </c>
      <c r="L982" s="9" t="s">
        <v>17744</v>
      </c>
      <c r="M982" s="9" t="s">
        <v>17983</v>
      </c>
      <c r="N982" s="9" t="s">
        <v>17746</v>
      </c>
      <c r="O982" s="9" t="s">
        <v>18009</v>
      </c>
      <c r="P982" s="9" t="s">
        <v>17748</v>
      </c>
      <c r="Q982" s="11" t="s">
        <v>18960</v>
      </c>
      <c r="R982" s="11" t="s">
        <v>18960</v>
      </c>
      <c r="S982" s="11" t="s">
        <v>17750</v>
      </c>
    </row>
    <row r="983" spans="1:19" x14ac:dyDescent="0.2">
      <c r="A983" s="11" t="s">
        <v>23900</v>
      </c>
      <c r="B983" s="9" t="s">
        <v>23901</v>
      </c>
      <c r="C983" s="9" t="s">
        <v>23902</v>
      </c>
      <c r="D983" s="9" t="s">
        <v>23903</v>
      </c>
      <c r="E983" s="9" t="s">
        <v>17740</v>
      </c>
      <c r="F983" s="9" t="s">
        <v>23904</v>
      </c>
      <c r="G983" s="9" t="s">
        <v>17740</v>
      </c>
      <c r="H983" s="11" t="s">
        <v>17741</v>
      </c>
      <c r="I983" s="11" t="s">
        <v>23905</v>
      </c>
      <c r="J983" s="11" t="s">
        <v>23905</v>
      </c>
      <c r="K983" s="9" t="s">
        <v>23906</v>
      </c>
      <c r="L983" s="9" t="s">
        <v>18959</v>
      </c>
      <c r="M983" s="9" t="s">
        <v>17760</v>
      </c>
      <c r="N983" s="9" t="s">
        <v>17746</v>
      </c>
      <c r="O983" s="9" t="s">
        <v>23907</v>
      </c>
      <c r="P983" s="9" t="s">
        <v>17748</v>
      </c>
      <c r="Q983" s="11" t="s">
        <v>17819</v>
      </c>
      <c r="R983" s="11" t="s">
        <v>17819</v>
      </c>
      <c r="S983" s="11" t="s">
        <v>17750</v>
      </c>
    </row>
    <row r="984" spans="1:19" x14ac:dyDescent="0.2">
      <c r="A984" s="11" t="s">
        <v>23908</v>
      </c>
      <c r="B984" s="9" t="s">
        <v>23909</v>
      </c>
      <c r="C984" s="9" t="s">
        <v>23910</v>
      </c>
      <c r="D984" s="9" t="s">
        <v>23911</v>
      </c>
      <c r="E984" s="9" t="s">
        <v>17740</v>
      </c>
      <c r="F984" s="9" t="s">
        <v>17741</v>
      </c>
      <c r="G984" s="9" t="s">
        <v>17740</v>
      </c>
      <c r="H984" s="11" t="s">
        <v>17741</v>
      </c>
      <c r="I984" s="11" t="s">
        <v>23912</v>
      </c>
      <c r="J984" s="11" t="s">
        <v>23912</v>
      </c>
      <c r="K984" s="9" t="s">
        <v>23913</v>
      </c>
      <c r="L984" s="9" t="s">
        <v>18959</v>
      </c>
      <c r="M984" s="9" t="s">
        <v>18051</v>
      </c>
      <c r="N984" s="9" t="s">
        <v>17746</v>
      </c>
      <c r="O984" s="9" t="s">
        <v>18677</v>
      </c>
      <c r="P984" s="9" t="s">
        <v>17748</v>
      </c>
      <c r="Q984" s="11" t="s">
        <v>19515</v>
      </c>
      <c r="R984" s="11" t="s">
        <v>19515</v>
      </c>
      <c r="S984" s="11" t="s">
        <v>17750</v>
      </c>
    </row>
    <row r="985" spans="1:19" x14ac:dyDescent="0.2">
      <c r="A985" s="11" t="s">
        <v>23914</v>
      </c>
      <c r="B985" s="9" t="s">
        <v>23915</v>
      </c>
      <c r="C985" s="9" t="s">
        <v>23916</v>
      </c>
      <c r="D985" s="9" t="s">
        <v>23917</v>
      </c>
      <c r="E985" s="9" t="s">
        <v>17740</v>
      </c>
      <c r="F985" s="9" t="s">
        <v>23918</v>
      </c>
      <c r="G985" s="9" t="s">
        <v>17740</v>
      </c>
      <c r="H985" s="11" t="s">
        <v>17741</v>
      </c>
      <c r="I985" s="11" t="s">
        <v>9359</v>
      </c>
      <c r="J985" s="11" t="s">
        <v>9359</v>
      </c>
      <c r="K985" s="9" t="s">
        <v>23919</v>
      </c>
      <c r="L985" s="9" t="s">
        <v>18959</v>
      </c>
      <c r="M985" s="9" t="s">
        <v>17760</v>
      </c>
      <c r="N985" s="9" t="s">
        <v>17746</v>
      </c>
      <c r="O985" s="9" t="s">
        <v>1535</v>
      </c>
      <c r="P985" s="9" t="s">
        <v>17748</v>
      </c>
      <c r="Q985" s="11" t="s">
        <v>17994</v>
      </c>
      <c r="R985" s="11" t="s">
        <v>17994</v>
      </c>
      <c r="S985" s="11" t="s">
        <v>17750</v>
      </c>
    </row>
    <row r="986" spans="1:19" x14ac:dyDescent="0.2">
      <c r="A986" s="11" t="s">
        <v>23920</v>
      </c>
      <c r="B986" s="9" t="s">
        <v>23921</v>
      </c>
      <c r="C986" s="9" t="s">
        <v>23922</v>
      </c>
      <c r="D986" s="9" t="s">
        <v>23923</v>
      </c>
      <c r="E986" s="9" t="s">
        <v>17740</v>
      </c>
      <c r="F986" s="9" t="s">
        <v>23924</v>
      </c>
      <c r="G986" s="9" t="s">
        <v>17740</v>
      </c>
      <c r="H986" s="11" t="s">
        <v>17741</v>
      </c>
      <c r="I986" s="11" t="s">
        <v>23925</v>
      </c>
      <c r="J986" s="11" t="s">
        <v>23925</v>
      </c>
      <c r="K986" s="9" t="s">
        <v>23926</v>
      </c>
      <c r="L986" s="9" t="s">
        <v>18959</v>
      </c>
      <c r="M986" s="9" t="s">
        <v>17760</v>
      </c>
      <c r="N986" s="9" t="s">
        <v>17746</v>
      </c>
      <c r="O986" s="9" t="s">
        <v>18543</v>
      </c>
      <c r="P986" s="9" t="s">
        <v>17748</v>
      </c>
      <c r="Q986" s="11" t="s">
        <v>18798</v>
      </c>
      <c r="R986" s="11" t="s">
        <v>18798</v>
      </c>
      <c r="S986" s="11" t="s">
        <v>17750</v>
      </c>
    </row>
    <row r="987" spans="1:19" x14ac:dyDescent="0.2">
      <c r="A987" s="11" t="s">
        <v>23927</v>
      </c>
      <c r="B987" s="9" t="s">
        <v>23928</v>
      </c>
      <c r="C987" s="9" t="s">
        <v>23929</v>
      </c>
      <c r="D987" s="9" t="s">
        <v>23930</v>
      </c>
      <c r="E987" s="9" t="s">
        <v>17748</v>
      </c>
      <c r="F987" s="9" t="s">
        <v>23931</v>
      </c>
      <c r="G987" s="9" t="s">
        <v>17740</v>
      </c>
      <c r="H987" s="11" t="s">
        <v>23932</v>
      </c>
      <c r="I987" s="11" t="s">
        <v>23933</v>
      </c>
      <c r="J987" s="11" t="s">
        <v>23933</v>
      </c>
      <c r="K987" s="9" t="s">
        <v>23934</v>
      </c>
      <c r="L987" s="9" t="s">
        <v>18959</v>
      </c>
      <c r="M987" s="9" t="s">
        <v>17760</v>
      </c>
      <c r="N987" s="9" t="s">
        <v>17746</v>
      </c>
      <c r="O987" s="9" t="s">
        <v>18514</v>
      </c>
      <c r="P987" s="9" t="s">
        <v>17748</v>
      </c>
      <c r="Q987" s="11" t="s">
        <v>17792</v>
      </c>
      <c r="R987" s="11" t="s">
        <v>17792</v>
      </c>
      <c r="S987" s="11" t="s">
        <v>17750</v>
      </c>
    </row>
    <row r="988" spans="1:19" x14ac:dyDescent="0.2">
      <c r="A988" s="11" t="s">
        <v>23935</v>
      </c>
      <c r="B988" s="9" t="s">
        <v>23936</v>
      </c>
      <c r="C988" s="9" t="s">
        <v>23937</v>
      </c>
      <c r="D988" s="9" t="s">
        <v>23938</v>
      </c>
      <c r="E988" s="9" t="s">
        <v>17748</v>
      </c>
      <c r="F988" s="9" t="s">
        <v>23939</v>
      </c>
      <c r="G988" s="9" t="s">
        <v>17740</v>
      </c>
      <c r="H988" s="11" t="s">
        <v>23940</v>
      </c>
      <c r="I988" s="11" t="s">
        <v>23941</v>
      </c>
      <c r="J988" s="11" t="s">
        <v>17741</v>
      </c>
      <c r="K988" s="9" t="s">
        <v>17741</v>
      </c>
      <c r="L988" s="9" t="s">
        <v>18959</v>
      </c>
      <c r="M988" s="9" t="s">
        <v>17741</v>
      </c>
      <c r="N988" s="9" t="s">
        <v>17746</v>
      </c>
      <c r="O988" s="9" t="s">
        <v>1675</v>
      </c>
      <c r="P988" s="9" t="s">
        <v>17748</v>
      </c>
      <c r="Q988" s="11" t="s">
        <v>18096</v>
      </c>
      <c r="R988" s="11" t="s">
        <v>18096</v>
      </c>
      <c r="S988" s="11" t="s">
        <v>17750</v>
      </c>
    </row>
    <row r="989" spans="1:19" x14ac:dyDescent="0.2">
      <c r="A989" s="11" t="s">
        <v>23942</v>
      </c>
      <c r="B989" s="9" t="s">
        <v>23943</v>
      </c>
      <c r="C989" s="9" t="s">
        <v>23944</v>
      </c>
      <c r="D989" s="9" t="s">
        <v>23945</v>
      </c>
      <c r="E989" s="9" t="s">
        <v>17740</v>
      </c>
      <c r="F989" s="9" t="s">
        <v>17741</v>
      </c>
      <c r="G989" s="9" t="s">
        <v>17740</v>
      </c>
      <c r="H989" s="11" t="s">
        <v>1107</v>
      </c>
      <c r="I989" s="11" t="s">
        <v>1106</v>
      </c>
      <c r="J989" s="11" t="s">
        <v>1106</v>
      </c>
      <c r="K989" s="9" t="s">
        <v>21138</v>
      </c>
      <c r="L989" s="9" t="s">
        <v>18959</v>
      </c>
      <c r="M989" s="9" t="s">
        <v>23946</v>
      </c>
      <c r="N989" s="9" t="s">
        <v>17746</v>
      </c>
      <c r="O989" s="9" t="s">
        <v>18746</v>
      </c>
      <c r="P989" s="9" t="s">
        <v>17748</v>
      </c>
      <c r="Q989" s="11" t="s">
        <v>17969</v>
      </c>
      <c r="R989" s="11" t="s">
        <v>17969</v>
      </c>
      <c r="S989" s="11" t="s">
        <v>17750</v>
      </c>
    </row>
    <row r="990" spans="1:19" x14ac:dyDescent="0.2">
      <c r="A990" s="11" t="s">
        <v>23947</v>
      </c>
      <c r="B990" s="9" t="s">
        <v>23948</v>
      </c>
      <c r="C990" s="9" t="s">
        <v>23949</v>
      </c>
      <c r="D990" s="9" t="s">
        <v>23950</v>
      </c>
      <c r="E990" s="9" t="s">
        <v>17740</v>
      </c>
      <c r="F990" s="9" t="s">
        <v>17741</v>
      </c>
      <c r="G990" s="9" t="s">
        <v>17740</v>
      </c>
      <c r="H990" s="11" t="s">
        <v>17741</v>
      </c>
      <c r="I990" s="11" t="s">
        <v>1109</v>
      </c>
      <c r="J990" s="11" t="s">
        <v>1109</v>
      </c>
      <c r="K990" s="9" t="s">
        <v>1108</v>
      </c>
      <c r="L990" s="9" t="s">
        <v>18959</v>
      </c>
      <c r="M990" s="9" t="s">
        <v>18533</v>
      </c>
      <c r="N990" s="9" t="s">
        <v>17746</v>
      </c>
      <c r="O990" s="9" t="s">
        <v>3100</v>
      </c>
      <c r="P990" s="9" t="s">
        <v>17748</v>
      </c>
      <c r="Q990" s="11" t="s">
        <v>17771</v>
      </c>
      <c r="R990" s="11" t="s">
        <v>17771</v>
      </c>
      <c r="S990" s="11" t="s">
        <v>17750</v>
      </c>
    </row>
    <row r="991" spans="1:19" x14ac:dyDescent="0.2">
      <c r="A991" s="11" t="s">
        <v>23951</v>
      </c>
      <c r="B991" s="9" t="s">
        <v>23952</v>
      </c>
      <c r="C991" s="9" t="s">
        <v>23953</v>
      </c>
      <c r="D991" s="9" t="s">
        <v>23954</v>
      </c>
      <c r="E991" s="9" t="s">
        <v>17748</v>
      </c>
      <c r="F991" s="9" t="s">
        <v>23955</v>
      </c>
      <c r="G991" s="9" t="s">
        <v>17740</v>
      </c>
      <c r="H991" s="11" t="s">
        <v>17741</v>
      </c>
      <c r="I991" s="11" t="s">
        <v>23956</v>
      </c>
      <c r="J991" s="11" t="s">
        <v>23956</v>
      </c>
      <c r="K991" s="9" t="s">
        <v>23957</v>
      </c>
      <c r="L991" s="9" t="s">
        <v>18959</v>
      </c>
      <c r="M991" s="9" t="s">
        <v>17760</v>
      </c>
      <c r="N991" s="9" t="s">
        <v>17746</v>
      </c>
      <c r="O991" s="9" t="s">
        <v>23958</v>
      </c>
      <c r="P991" s="9" t="s">
        <v>17748</v>
      </c>
      <c r="Q991" s="11" t="s">
        <v>17917</v>
      </c>
      <c r="R991" s="11" t="s">
        <v>17917</v>
      </c>
      <c r="S991" s="11" t="s">
        <v>17750</v>
      </c>
    </row>
    <row r="992" spans="1:19" x14ac:dyDescent="0.2">
      <c r="A992" s="11" t="s">
        <v>23959</v>
      </c>
      <c r="B992" s="9" t="s">
        <v>23960</v>
      </c>
      <c r="C992" s="9" t="s">
        <v>23961</v>
      </c>
      <c r="D992" s="9" t="s">
        <v>23962</v>
      </c>
      <c r="E992" s="9" t="s">
        <v>17740</v>
      </c>
      <c r="F992" s="9" t="s">
        <v>23963</v>
      </c>
      <c r="G992" s="9" t="s">
        <v>17740</v>
      </c>
      <c r="H992" s="11" t="s">
        <v>17741</v>
      </c>
      <c r="I992" s="11" t="s">
        <v>23964</v>
      </c>
      <c r="J992" s="11" t="s">
        <v>23964</v>
      </c>
      <c r="K992" s="9" t="s">
        <v>23965</v>
      </c>
      <c r="L992" s="9" t="s">
        <v>18959</v>
      </c>
      <c r="M992" s="9" t="s">
        <v>17760</v>
      </c>
      <c r="N992" s="9" t="s">
        <v>17746</v>
      </c>
      <c r="O992" s="9" t="s">
        <v>17800</v>
      </c>
      <c r="P992" s="9" t="s">
        <v>17748</v>
      </c>
      <c r="Q992" s="11" t="s">
        <v>18678</v>
      </c>
      <c r="R992" s="11" t="s">
        <v>18678</v>
      </c>
      <c r="S992" s="11" t="s">
        <v>17750</v>
      </c>
    </row>
    <row r="993" spans="1:19" x14ac:dyDescent="0.2">
      <c r="A993" s="11" t="s">
        <v>23966</v>
      </c>
      <c r="B993" s="9" t="s">
        <v>23967</v>
      </c>
      <c r="C993" s="9" t="s">
        <v>23968</v>
      </c>
      <c r="D993" s="9" t="s">
        <v>23969</v>
      </c>
      <c r="E993" s="9" t="s">
        <v>17740</v>
      </c>
      <c r="F993" s="9" t="s">
        <v>23970</v>
      </c>
      <c r="G993" s="9" t="s">
        <v>17740</v>
      </c>
      <c r="H993" s="11" t="s">
        <v>23971</v>
      </c>
      <c r="I993" s="11" t="s">
        <v>23972</v>
      </c>
      <c r="J993" s="11" t="s">
        <v>23972</v>
      </c>
      <c r="K993" s="9" t="s">
        <v>23973</v>
      </c>
      <c r="L993" s="9" t="s">
        <v>17759</v>
      </c>
      <c r="M993" s="9" t="s">
        <v>23974</v>
      </c>
      <c r="N993" s="9" t="s">
        <v>17746</v>
      </c>
      <c r="O993" s="9" t="s">
        <v>19740</v>
      </c>
      <c r="P993" s="9" t="s">
        <v>17748</v>
      </c>
      <c r="Q993" s="11" t="s">
        <v>18348</v>
      </c>
      <c r="R993" s="11" t="s">
        <v>18348</v>
      </c>
      <c r="S993" s="11" t="s">
        <v>17750</v>
      </c>
    </row>
    <row r="994" spans="1:19" x14ac:dyDescent="0.2">
      <c r="A994" s="11" t="s">
        <v>23975</v>
      </c>
      <c r="B994" s="9" t="s">
        <v>23976</v>
      </c>
      <c r="C994" s="9" t="s">
        <v>23977</v>
      </c>
      <c r="D994" s="9" t="s">
        <v>23978</v>
      </c>
      <c r="E994" s="9" t="s">
        <v>17740</v>
      </c>
      <c r="F994" s="9" t="s">
        <v>17741</v>
      </c>
      <c r="G994" s="9" t="s">
        <v>17740</v>
      </c>
      <c r="H994" s="11" t="s">
        <v>17741</v>
      </c>
      <c r="I994" s="11" t="s">
        <v>963</v>
      </c>
      <c r="J994" s="11" t="s">
        <v>963</v>
      </c>
      <c r="K994" s="9" t="s">
        <v>91</v>
      </c>
      <c r="L994" s="9" t="s">
        <v>17744</v>
      </c>
      <c r="M994" s="9" t="s">
        <v>23979</v>
      </c>
      <c r="N994" s="9" t="s">
        <v>17746</v>
      </c>
      <c r="O994" s="9" t="s">
        <v>3255</v>
      </c>
      <c r="P994" s="9" t="s">
        <v>17748</v>
      </c>
      <c r="Q994" s="11" t="s">
        <v>20251</v>
      </c>
      <c r="R994" s="11" t="s">
        <v>20251</v>
      </c>
      <c r="S994" s="11" t="s">
        <v>17750</v>
      </c>
    </row>
    <row r="995" spans="1:19" x14ac:dyDescent="0.2">
      <c r="A995" s="11" t="s">
        <v>23980</v>
      </c>
      <c r="B995" s="9" t="s">
        <v>23981</v>
      </c>
      <c r="C995" s="9" t="s">
        <v>23982</v>
      </c>
      <c r="D995" s="9" t="s">
        <v>23983</v>
      </c>
      <c r="E995" s="9" t="s">
        <v>17740</v>
      </c>
      <c r="F995" s="9" t="s">
        <v>23984</v>
      </c>
      <c r="G995" s="9" t="s">
        <v>17740</v>
      </c>
      <c r="H995" s="11" t="s">
        <v>1119</v>
      </c>
      <c r="I995" s="11" t="s">
        <v>1118</v>
      </c>
      <c r="J995" s="11" t="s">
        <v>1118</v>
      </c>
      <c r="K995" s="9" t="s">
        <v>21138</v>
      </c>
      <c r="L995" s="9" t="s">
        <v>18959</v>
      </c>
      <c r="M995" s="9" t="s">
        <v>23985</v>
      </c>
      <c r="N995" s="9" t="s">
        <v>17746</v>
      </c>
      <c r="O995" s="9" t="s">
        <v>23986</v>
      </c>
      <c r="P995" s="9" t="s">
        <v>17748</v>
      </c>
      <c r="Q995" s="11" t="s">
        <v>19236</v>
      </c>
      <c r="R995" s="11" t="s">
        <v>19236</v>
      </c>
      <c r="S995" s="11" t="s">
        <v>17750</v>
      </c>
    </row>
    <row r="996" spans="1:19" x14ac:dyDescent="0.2">
      <c r="A996" s="11" t="s">
        <v>23987</v>
      </c>
      <c r="B996" s="9" t="s">
        <v>23988</v>
      </c>
      <c r="C996" s="9" t="s">
        <v>23989</v>
      </c>
      <c r="D996" s="9" t="s">
        <v>23990</v>
      </c>
      <c r="E996" s="9" t="s">
        <v>17740</v>
      </c>
      <c r="F996" s="9" t="s">
        <v>23991</v>
      </c>
      <c r="G996" s="9" t="s">
        <v>17740</v>
      </c>
      <c r="H996" s="11" t="s">
        <v>1122</v>
      </c>
      <c r="I996" s="11" t="s">
        <v>1121</v>
      </c>
      <c r="J996" s="11" t="s">
        <v>1121</v>
      </c>
      <c r="K996" s="9" t="s">
        <v>23992</v>
      </c>
      <c r="L996" s="9" t="s">
        <v>18959</v>
      </c>
      <c r="M996" s="9" t="s">
        <v>23993</v>
      </c>
      <c r="N996" s="9" t="s">
        <v>17746</v>
      </c>
      <c r="O996" s="9" t="s">
        <v>17834</v>
      </c>
      <c r="P996" s="9" t="s">
        <v>17748</v>
      </c>
      <c r="Q996" s="11" t="s">
        <v>18251</v>
      </c>
      <c r="R996" s="11" t="s">
        <v>18251</v>
      </c>
      <c r="S996" s="11" t="s">
        <v>17750</v>
      </c>
    </row>
    <row r="997" spans="1:19" x14ac:dyDescent="0.2">
      <c r="A997" s="11" t="s">
        <v>23994</v>
      </c>
      <c r="B997" s="9" t="s">
        <v>23995</v>
      </c>
      <c r="C997" s="9" t="s">
        <v>23996</v>
      </c>
      <c r="D997" s="9" t="s">
        <v>23997</v>
      </c>
      <c r="E997" s="9" t="s">
        <v>17740</v>
      </c>
      <c r="F997" s="9" t="s">
        <v>23998</v>
      </c>
      <c r="G997" s="9" t="s">
        <v>17740</v>
      </c>
      <c r="H997" s="11" t="s">
        <v>23999</v>
      </c>
      <c r="I997" s="11" t="s">
        <v>24000</v>
      </c>
      <c r="J997" s="11" t="s">
        <v>24000</v>
      </c>
      <c r="K997" s="9" t="s">
        <v>24001</v>
      </c>
      <c r="L997" s="9" t="s">
        <v>18959</v>
      </c>
      <c r="M997" s="9" t="s">
        <v>17769</v>
      </c>
      <c r="N997" s="9" t="s">
        <v>17746</v>
      </c>
      <c r="O997" s="9" t="s">
        <v>3524</v>
      </c>
      <c r="P997" s="9" t="s">
        <v>17748</v>
      </c>
      <c r="Q997" s="11" t="s">
        <v>20361</v>
      </c>
      <c r="R997" s="11" t="s">
        <v>20361</v>
      </c>
      <c r="S997" s="11" t="s">
        <v>17750</v>
      </c>
    </row>
    <row r="998" spans="1:19" x14ac:dyDescent="0.2">
      <c r="A998" s="11" t="s">
        <v>24002</v>
      </c>
      <c r="B998" s="9" t="s">
        <v>24003</v>
      </c>
      <c r="C998" s="9" t="s">
        <v>24004</v>
      </c>
      <c r="D998" s="9" t="s">
        <v>24005</v>
      </c>
      <c r="E998" s="9" t="s">
        <v>17740</v>
      </c>
      <c r="F998" s="9" t="s">
        <v>17741</v>
      </c>
      <c r="G998" s="9" t="s">
        <v>17740</v>
      </c>
      <c r="H998" s="11" t="s">
        <v>24006</v>
      </c>
      <c r="I998" s="11" t="s">
        <v>24007</v>
      </c>
      <c r="J998" s="11" t="s">
        <v>24007</v>
      </c>
      <c r="K998" s="9" t="s">
        <v>24008</v>
      </c>
      <c r="L998" s="9" t="s">
        <v>18959</v>
      </c>
      <c r="M998" s="9" t="s">
        <v>17760</v>
      </c>
      <c r="N998" s="9" t="s">
        <v>17746</v>
      </c>
      <c r="O998" s="9" t="s">
        <v>17993</v>
      </c>
      <c r="P998" s="9" t="s">
        <v>17748</v>
      </c>
      <c r="Q998" s="11" t="s">
        <v>18201</v>
      </c>
      <c r="R998" s="11" t="s">
        <v>18201</v>
      </c>
      <c r="S998" s="11" t="s">
        <v>17750</v>
      </c>
    </row>
    <row r="999" spans="1:19" x14ac:dyDescent="0.2">
      <c r="A999" s="11" t="s">
        <v>24009</v>
      </c>
      <c r="B999" s="9" t="s">
        <v>24010</v>
      </c>
      <c r="C999" s="9" t="s">
        <v>24011</v>
      </c>
      <c r="D999" s="9" t="s">
        <v>24012</v>
      </c>
      <c r="E999" s="9" t="s">
        <v>17740</v>
      </c>
      <c r="F999" s="9" t="s">
        <v>17741</v>
      </c>
      <c r="G999" s="9" t="s">
        <v>17740</v>
      </c>
      <c r="H999" s="11" t="s">
        <v>24013</v>
      </c>
      <c r="I999" s="11" t="s">
        <v>24014</v>
      </c>
      <c r="J999" s="11" t="s">
        <v>24014</v>
      </c>
      <c r="K999" s="9" t="s">
        <v>1193</v>
      </c>
      <c r="L999" s="9" t="s">
        <v>18959</v>
      </c>
      <c r="M999" s="9" t="s">
        <v>17769</v>
      </c>
      <c r="N999" s="9" t="s">
        <v>17746</v>
      </c>
      <c r="O999" s="9" t="s">
        <v>18035</v>
      </c>
      <c r="P999" s="9" t="s">
        <v>17748</v>
      </c>
      <c r="Q999" s="11" t="s">
        <v>17937</v>
      </c>
      <c r="R999" s="11" t="s">
        <v>17937</v>
      </c>
      <c r="S999" s="11" t="s">
        <v>17750</v>
      </c>
    </row>
    <row r="1000" spans="1:19" x14ac:dyDescent="0.2">
      <c r="A1000" s="11" t="s">
        <v>24015</v>
      </c>
      <c r="B1000" s="9" t="s">
        <v>24016</v>
      </c>
      <c r="C1000" s="9" t="s">
        <v>24017</v>
      </c>
      <c r="D1000" s="9" t="s">
        <v>24018</v>
      </c>
      <c r="E1000" s="9" t="s">
        <v>17740</v>
      </c>
      <c r="F1000" s="9" t="s">
        <v>17741</v>
      </c>
      <c r="G1000" s="9" t="s">
        <v>17740</v>
      </c>
      <c r="H1000" s="11" t="s">
        <v>17741</v>
      </c>
      <c r="I1000" s="11" t="s">
        <v>24019</v>
      </c>
      <c r="J1000" s="11" t="s">
        <v>24019</v>
      </c>
      <c r="K1000" s="9" t="s">
        <v>24020</v>
      </c>
      <c r="L1000" s="9" t="s">
        <v>18959</v>
      </c>
      <c r="M1000" s="9" t="s">
        <v>17769</v>
      </c>
      <c r="N1000" s="9" t="s">
        <v>17746</v>
      </c>
      <c r="O1000" s="9" t="s">
        <v>4025</v>
      </c>
      <c r="P1000" s="9" t="s">
        <v>17748</v>
      </c>
      <c r="Q1000" s="11" t="s">
        <v>17808</v>
      </c>
      <c r="R1000" s="11" t="s">
        <v>17808</v>
      </c>
      <c r="S1000" s="11" t="s">
        <v>17750</v>
      </c>
    </row>
    <row r="1001" spans="1:19" x14ac:dyDescent="0.2">
      <c r="A1001" s="11" t="s">
        <v>24021</v>
      </c>
      <c r="B1001" s="9" t="s">
        <v>24022</v>
      </c>
      <c r="C1001" s="9" t="s">
        <v>24023</v>
      </c>
      <c r="D1001" s="9" t="s">
        <v>24024</v>
      </c>
      <c r="E1001" s="9" t="s">
        <v>17748</v>
      </c>
      <c r="F1001" s="9" t="s">
        <v>17741</v>
      </c>
      <c r="G1001" s="9" t="s">
        <v>17740</v>
      </c>
      <c r="H1001" s="11" t="s">
        <v>17741</v>
      </c>
      <c r="I1001" s="11" t="s">
        <v>1125</v>
      </c>
      <c r="J1001" s="11" t="s">
        <v>1125</v>
      </c>
      <c r="K1001" s="9" t="s">
        <v>24025</v>
      </c>
      <c r="L1001" s="9" t="s">
        <v>18959</v>
      </c>
      <c r="M1001" s="9" t="s">
        <v>17760</v>
      </c>
      <c r="N1001" s="9" t="s">
        <v>17746</v>
      </c>
      <c r="O1001" s="9" t="s">
        <v>18563</v>
      </c>
      <c r="P1001" s="9" t="s">
        <v>17748</v>
      </c>
      <c r="Q1001" s="11" t="s">
        <v>18059</v>
      </c>
      <c r="R1001" s="11" t="s">
        <v>18059</v>
      </c>
      <c r="S1001" s="11" t="s">
        <v>17750</v>
      </c>
    </row>
    <row r="1002" spans="1:19" x14ac:dyDescent="0.2">
      <c r="A1002" s="11" t="s">
        <v>24026</v>
      </c>
      <c r="B1002" s="9" t="s">
        <v>24027</v>
      </c>
      <c r="C1002" s="9" t="s">
        <v>24028</v>
      </c>
      <c r="D1002" s="9" t="s">
        <v>24029</v>
      </c>
      <c r="E1002" s="9" t="s">
        <v>17740</v>
      </c>
      <c r="F1002" s="9" t="s">
        <v>17741</v>
      </c>
      <c r="G1002" s="9" t="s">
        <v>17740</v>
      </c>
      <c r="H1002" s="11" t="s">
        <v>24030</v>
      </c>
      <c r="I1002" s="11" t="s">
        <v>24031</v>
      </c>
      <c r="J1002" s="11" t="s">
        <v>24031</v>
      </c>
      <c r="K1002" s="9" t="s">
        <v>24032</v>
      </c>
      <c r="L1002" s="9" t="s">
        <v>18959</v>
      </c>
      <c r="M1002" s="9" t="s">
        <v>17760</v>
      </c>
      <c r="N1002" s="9" t="s">
        <v>17746</v>
      </c>
      <c r="O1002" s="9" t="s">
        <v>18855</v>
      </c>
      <c r="P1002" s="9" t="s">
        <v>17748</v>
      </c>
      <c r="Q1002" s="11" t="s">
        <v>19515</v>
      </c>
      <c r="R1002" s="11" t="s">
        <v>19515</v>
      </c>
      <c r="S1002" s="11" t="s">
        <v>17750</v>
      </c>
    </row>
    <row r="1003" spans="1:19" x14ac:dyDescent="0.2">
      <c r="A1003" s="11" t="s">
        <v>24033</v>
      </c>
      <c r="B1003" s="9" t="s">
        <v>24034</v>
      </c>
      <c r="C1003" s="9" t="s">
        <v>24035</v>
      </c>
      <c r="D1003" s="9" t="s">
        <v>24036</v>
      </c>
      <c r="E1003" s="9" t="s">
        <v>17740</v>
      </c>
      <c r="F1003" s="9" t="s">
        <v>24037</v>
      </c>
      <c r="G1003" s="9" t="s">
        <v>17740</v>
      </c>
      <c r="H1003" s="11" t="s">
        <v>17741</v>
      </c>
      <c r="I1003" s="11" t="s">
        <v>24038</v>
      </c>
      <c r="J1003" s="11" t="s">
        <v>24038</v>
      </c>
      <c r="K1003" s="9" t="s">
        <v>24039</v>
      </c>
      <c r="L1003" s="9" t="s">
        <v>18959</v>
      </c>
      <c r="M1003" s="9" t="s">
        <v>17936</v>
      </c>
      <c r="N1003" s="9" t="s">
        <v>17746</v>
      </c>
      <c r="O1003" s="9" t="s">
        <v>17800</v>
      </c>
      <c r="P1003" s="9" t="s">
        <v>17748</v>
      </c>
      <c r="Q1003" s="11" t="s">
        <v>20936</v>
      </c>
      <c r="R1003" s="11" t="s">
        <v>20936</v>
      </c>
      <c r="S1003" s="11" t="s">
        <v>17750</v>
      </c>
    </row>
    <row r="1004" spans="1:19" x14ac:dyDescent="0.2">
      <c r="A1004" s="11" t="s">
        <v>24040</v>
      </c>
      <c r="B1004" s="9" t="s">
        <v>24041</v>
      </c>
      <c r="C1004" s="9" t="s">
        <v>24042</v>
      </c>
      <c r="D1004" s="9" t="s">
        <v>24043</v>
      </c>
      <c r="E1004" s="9" t="s">
        <v>17740</v>
      </c>
      <c r="F1004" s="9" t="s">
        <v>17741</v>
      </c>
      <c r="G1004" s="9" t="s">
        <v>17740</v>
      </c>
      <c r="H1004" s="11" t="s">
        <v>17741</v>
      </c>
      <c r="I1004" s="11" t="s">
        <v>24044</v>
      </c>
      <c r="J1004" s="11" t="s">
        <v>24044</v>
      </c>
      <c r="K1004" s="9" t="s">
        <v>24045</v>
      </c>
      <c r="L1004" s="9" t="s">
        <v>18959</v>
      </c>
      <c r="M1004" s="9" t="s">
        <v>17760</v>
      </c>
      <c r="N1004" s="9" t="s">
        <v>17746</v>
      </c>
      <c r="O1004" s="9" t="s">
        <v>24046</v>
      </c>
      <c r="P1004" s="9" t="s">
        <v>17748</v>
      </c>
      <c r="Q1004" s="11" t="s">
        <v>18080</v>
      </c>
      <c r="R1004" s="11" t="s">
        <v>18080</v>
      </c>
      <c r="S1004" s="11" t="s">
        <v>17750</v>
      </c>
    </row>
    <row r="1005" spans="1:19" x14ac:dyDescent="0.2">
      <c r="A1005" s="11" t="s">
        <v>24047</v>
      </c>
      <c r="B1005" s="9" t="s">
        <v>24048</v>
      </c>
      <c r="C1005" s="9" t="s">
        <v>24049</v>
      </c>
      <c r="D1005" s="9" t="s">
        <v>24050</v>
      </c>
      <c r="E1005" s="9" t="s">
        <v>17740</v>
      </c>
      <c r="F1005" s="9" t="s">
        <v>17741</v>
      </c>
      <c r="G1005" s="9" t="s">
        <v>17740</v>
      </c>
      <c r="H1005" s="11" t="s">
        <v>24051</v>
      </c>
      <c r="I1005" s="11" t="s">
        <v>6597</v>
      </c>
      <c r="J1005" s="11" t="s">
        <v>6597</v>
      </c>
      <c r="K1005" s="9" t="s">
        <v>1100</v>
      </c>
      <c r="L1005" s="9" t="s">
        <v>18959</v>
      </c>
      <c r="M1005" s="9" t="s">
        <v>24052</v>
      </c>
      <c r="N1005" s="9" t="s">
        <v>17746</v>
      </c>
      <c r="O1005" s="9" t="s">
        <v>15733</v>
      </c>
      <c r="P1005" s="9" t="s">
        <v>17748</v>
      </c>
      <c r="Q1005" s="11" t="s">
        <v>17808</v>
      </c>
      <c r="R1005" s="11" t="s">
        <v>17808</v>
      </c>
      <c r="S1005" s="11" t="s">
        <v>17750</v>
      </c>
    </row>
    <row r="1006" spans="1:19" x14ac:dyDescent="0.2">
      <c r="A1006" s="11" t="s">
        <v>24053</v>
      </c>
      <c r="B1006" s="9" t="s">
        <v>24054</v>
      </c>
      <c r="C1006" s="9" t="s">
        <v>24055</v>
      </c>
      <c r="D1006" s="9" t="s">
        <v>24056</v>
      </c>
      <c r="E1006" s="9" t="s">
        <v>17748</v>
      </c>
      <c r="F1006" s="9" t="s">
        <v>24057</v>
      </c>
      <c r="G1006" s="9" t="s">
        <v>17740</v>
      </c>
      <c r="H1006" s="11" t="s">
        <v>24058</v>
      </c>
      <c r="I1006" s="11" t="s">
        <v>24059</v>
      </c>
      <c r="J1006" s="11" t="s">
        <v>24059</v>
      </c>
      <c r="K1006" s="9" t="s">
        <v>20225</v>
      </c>
      <c r="L1006" s="9" t="s">
        <v>17759</v>
      </c>
      <c r="M1006" s="9" t="s">
        <v>17760</v>
      </c>
      <c r="N1006" s="9" t="s">
        <v>17746</v>
      </c>
      <c r="O1006" s="9" t="s">
        <v>19235</v>
      </c>
      <c r="P1006" s="9" t="s">
        <v>17748</v>
      </c>
      <c r="Q1006" s="11" t="s">
        <v>18370</v>
      </c>
      <c r="R1006" s="11" t="s">
        <v>18370</v>
      </c>
      <c r="S1006" s="11" t="s">
        <v>17750</v>
      </c>
    </row>
    <row r="1007" spans="1:19" x14ac:dyDescent="0.2">
      <c r="A1007" s="11" t="s">
        <v>24060</v>
      </c>
      <c r="B1007" s="9" t="s">
        <v>24061</v>
      </c>
      <c r="C1007" s="9" t="s">
        <v>24062</v>
      </c>
      <c r="D1007" s="9" t="s">
        <v>24063</v>
      </c>
      <c r="E1007" s="9" t="s">
        <v>17740</v>
      </c>
      <c r="F1007" s="9" t="s">
        <v>17741</v>
      </c>
      <c r="G1007" s="9" t="s">
        <v>17740</v>
      </c>
      <c r="H1007" s="11" t="s">
        <v>17741</v>
      </c>
      <c r="I1007" s="11" t="s">
        <v>24064</v>
      </c>
      <c r="J1007" s="11" t="s">
        <v>24064</v>
      </c>
      <c r="K1007" s="9" t="s">
        <v>24025</v>
      </c>
      <c r="L1007" s="9" t="s">
        <v>18959</v>
      </c>
      <c r="M1007" s="9" t="s">
        <v>17817</v>
      </c>
      <c r="N1007" s="9" t="s">
        <v>17746</v>
      </c>
      <c r="O1007" s="9" t="s">
        <v>18563</v>
      </c>
      <c r="P1007" s="9" t="s">
        <v>17748</v>
      </c>
      <c r="Q1007" s="11" t="s">
        <v>18556</v>
      </c>
      <c r="R1007" s="11" t="s">
        <v>18556</v>
      </c>
      <c r="S1007" s="11" t="s">
        <v>17750</v>
      </c>
    </row>
    <row r="1008" spans="1:19" x14ac:dyDescent="0.2">
      <c r="A1008" s="11" t="s">
        <v>24065</v>
      </c>
      <c r="B1008" s="9" t="s">
        <v>971</v>
      </c>
      <c r="C1008" s="9" t="s">
        <v>24066</v>
      </c>
      <c r="D1008" s="9" t="s">
        <v>971</v>
      </c>
      <c r="E1008" s="9" t="s">
        <v>17740</v>
      </c>
      <c r="F1008" s="9" t="s">
        <v>17741</v>
      </c>
      <c r="G1008" s="9" t="s">
        <v>17740</v>
      </c>
      <c r="H1008" s="11" t="s">
        <v>973</v>
      </c>
      <c r="I1008" s="11" t="s">
        <v>972</v>
      </c>
      <c r="J1008" s="11" t="s">
        <v>972</v>
      </c>
      <c r="K1008" s="9" t="s">
        <v>17805</v>
      </c>
      <c r="L1008" s="9" t="s">
        <v>17759</v>
      </c>
      <c r="M1008" s="9" t="s">
        <v>23595</v>
      </c>
      <c r="N1008" s="9" t="s">
        <v>17746</v>
      </c>
      <c r="O1008" s="9" t="s">
        <v>18363</v>
      </c>
      <c r="P1008" s="9" t="s">
        <v>17748</v>
      </c>
      <c r="Q1008" s="11" t="s">
        <v>18178</v>
      </c>
      <c r="R1008" s="11" t="s">
        <v>18178</v>
      </c>
      <c r="S1008" s="11" t="s">
        <v>17750</v>
      </c>
    </row>
    <row r="1009" spans="1:19" x14ac:dyDescent="0.2">
      <c r="A1009" s="11" t="s">
        <v>24067</v>
      </c>
      <c r="B1009" s="9" t="s">
        <v>24068</v>
      </c>
      <c r="C1009" s="9" t="s">
        <v>24069</v>
      </c>
      <c r="D1009" s="9" t="s">
        <v>24070</v>
      </c>
      <c r="E1009" s="9" t="s">
        <v>17740</v>
      </c>
      <c r="F1009" s="9" t="s">
        <v>17741</v>
      </c>
      <c r="G1009" s="9" t="s">
        <v>17740</v>
      </c>
      <c r="H1009" s="11" t="s">
        <v>10331</v>
      </c>
      <c r="I1009" s="11" t="s">
        <v>10330</v>
      </c>
      <c r="J1009" s="11" t="s">
        <v>10330</v>
      </c>
      <c r="K1009" s="9" t="s">
        <v>10332</v>
      </c>
      <c r="L1009" s="9" t="s">
        <v>17759</v>
      </c>
      <c r="M1009" s="9" t="s">
        <v>24071</v>
      </c>
      <c r="N1009" s="9" t="s">
        <v>17746</v>
      </c>
      <c r="O1009" s="9" t="s">
        <v>24072</v>
      </c>
      <c r="P1009" s="9" t="s">
        <v>17748</v>
      </c>
      <c r="Q1009" s="11" t="s">
        <v>17994</v>
      </c>
      <c r="R1009" s="11" t="s">
        <v>17994</v>
      </c>
      <c r="S1009" s="11" t="s">
        <v>17750</v>
      </c>
    </row>
    <row r="1010" spans="1:19" x14ac:dyDescent="0.2">
      <c r="A1010" s="11" t="s">
        <v>24073</v>
      </c>
      <c r="B1010" s="9" t="s">
        <v>24074</v>
      </c>
      <c r="C1010" s="9" t="s">
        <v>24075</v>
      </c>
      <c r="D1010" s="9" t="s">
        <v>24076</v>
      </c>
      <c r="E1010" s="9" t="s">
        <v>17740</v>
      </c>
      <c r="F1010" s="9" t="s">
        <v>17741</v>
      </c>
      <c r="G1010" s="9" t="s">
        <v>17740</v>
      </c>
      <c r="H1010" s="11" t="s">
        <v>11787</v>
      </c>
      <c r="I1010" s="11" t="s">
        <v>11786</v>
      </c>
      <c r="J1010" s="11" t="s">
        <v>11786</v>
      </c>
      <c r="K1010" s="9" t="s">
        <v>920</v>
      </c>
      <c r="L1010" s="9" t="s">
        <v>18001</v>
      </c>
      <c r="M1010" s="9" t="s">
        <v>18065</v>
      </c>
      <c r="N1010" s="9" t="s">
        <v>17746</v>
      </c>
      <c r="O1010" s="9" t="s">
        <v>24077</v>
      </c>
      <c r="P1010" s="9" t="s">
        <v>17748</v>
      </c>
      <c r="Q1010" s="11" t="s">
        <v>17984</v>
      </c>
      <c r="R1010" s="11" t="s">
        <v>17984</v>
      </c>
      <c r="S1010" s="11" t="s">
        <v>17750</v>
      </c>
    </row>
    <row r="1011" spans="1:19" x14ac:dyDescent="0.2">
      <c r="A1011" s="11" t="s">
        <v>24078</v>
      </c>
      <c r="B1011" s="9" t="s">
        <v>24079</v>
      </c>
      <c r="C1011" s="9" t="s">
        <v>24080</v>
      </c>
      <c r="D1011" s="9" t="s">
        <v>24081</v>
      </c>
      <c r="E1011" s="9" t="s">
        <v>17740</v>
      </c>
      <c r="F1011" s="9" t="s">
        <v>24082</v>
      </c>
      <c r="G1011" s="9" t="s">
        <v>17740</v>
      </c>
      <c r="H1011" s="11" t="s">
        <v>7010</v>
      </c>
      <c r="I1011" s="11" t="s">
        <v>7009</v>
      </c>
      <c r="J1011" s="11" t="s">
        <v>7009</v>
      </c>
      <c r="K1011" s="9" t="s">
        <v>19180</v>
      </c>
      <c r="L1011" s="9" t="s">
        <v>17759</v>
      </c>
      <c r="M1011" s="9" t="s">
        <v>17769</v>
      </c>
      <c r="N1011" s="9" t="s">
        <v>17746</v>
      </c>
      <c r="O1011" s="9" t="s">
        <v>24083</v>
      </c>
      <c r="P1011" s="9" t="s">
        <v>17748</v>
      </c>
      <c r="Q1011" s="11" t="s">
        <v>18201</v>
      </c>
      <c r="R1011" s="11" t="s">
        <v>18201</v>
      </c>
      <c r="S1011" s="11" t="s">
        <v>17750</v>
      </c>
    </row>
    <row r="1012" spans="1:19" x14ac:dyDescent="0.2">
      <c r="A1012" s="11" t="s">
        <v>24084</v>
      </c>
      <c r="B1012" s="9" t="s">
        <v>24085</v>
      </c>
      <c r="C1012" s="9" t="s">
        <v>24086</v>
      </c>
      <c r="D1012" s="9" t="s">
        <v>24087</v>
      </c>
      <c r="E1012" s="9" t="s">
        <v>17740</v>
      </c>
      <c r="F1012" s="9" t="s">
        <v>17741</v>
      </c>
      <c r="G1012" s="9" t="s">
        <v>17740</v>
      </c>
      <c r="H1012" s="11" t="s">
        <v>5429</v>
      </c>
      <c r="I1012" s="11" t="s">
        <v>5428</v>
      </c>
      <c r="J1012" s="11" t="s">
        <v>5428</v>
      </c>
      <c r="K1012" s="9" t="s">
        <v>18876</v>
      </c>
      <c r="L1012" s="9" t="s">
        <v>18001</v>
      </c>
      <c r="M1012" s="9" t="s">
        <v>24088</v>
      </c>
      <c r="N1012" s="9" t="s">
        <v>17746</v>
      </c>
      <c r="O1012" s="9" t="s">
        <v>24089</v>
      </c>
      <c r="P1012" s="9" t="s">
        <v>17748</v>
      </c>
      <c r="Q1012" s="11" t="s">
        <v>17749</v>
      </c>
      <c r="R1012" s="11" t="s">
        <v>17749</v>
      </c>
      <c r="S1012" s="11" t="s">
        <v>17750</v>
      </c>
    </row>
    <row r="1013" spans="1:19" x14ac:dyDescent="0.2">
      <c r="A1013" s="11" t="s">
        <v>24090</v>
      </c>
      <c r="B1013" s="9" t="s">
        <v>24091</v>
      </c>
      <c r="C1013" s="9" t="s">
        <v>24092</v>
      </c>
      <c r="D1013" s="9" t="s">
        <v>9303</v>
      </c>
      <c r="E1013" s="9" t="s">
        <v>17740</v>
      </c>
      <c r="F1013" s="9" t="s">
        <v>17741</v>
      </c>
      <c r="G1013" s="9" t="s">
        <v>17740</v>
      </c>
      <c r="H1013" s="11" t="s">
        <v>9305</v>
      </c>
      <c r="I1013" s="11" t="s">
        <v>9304</v>
      </c>
      <c r="J1013" s="11" t="s">
        <v>9304</v>
      </c>
      <c r="K1013" s="9" t="s">
        <v>324</v>
      </c>
      <c r="L1013" s="9" t="s">
        <v>17759</v>
      </c>
      <c r="M1013" s="9" t="s">
        <v>17817</v>
      </c>
      <c r="N1013" s="9" t="s">
        <v>17746</v>
      </c>
      <c r="O1013" s="9" t="s">
        <v>18363</v>
      </c>
      <c r="P1013" s="9" t="s">
        <v>17748</v>
      </c>
      <c r="Q1013" s="11" t="s">
        <v>17994</v>
      </c>
      <c r="R1013" s="11" t="s">
        <v>17994</v>
      </c>
      <c r="S1013" s="11" t="s">
        <v>17750</v>
      </c>
    </row>
    <row r="1014" spans="1:19" x14ac:dyDescent="0.2">
      <c r="A1014" s="11" t="s">
        <v>24093</v>
      </c>
      <c r="B1014" s="9" t="s">
        <v>24094</v>
      </c>
      <c r="C1014" s="9" t="s">
        <v>24095</v>
      </c>
      <c r="D1014" s="9" t="s">
        <v>24096</v>
      </c>
      <c r="E1014" s="9" t="s">
        <v>17740</v>
      </c>
      <c r="F1014" s="9" t="s">
        <v>17741</v>
      </c>
      <c r="G1014" s="9" t="s">
        <v>17740</v>
      </c>
      <c r="H1014" s="11" t="s">
        <v>1015</v>
      </c>
      <c r="I1014" s="11" t="s">
        <v>1014</v>
      </c>
      <c r="J1014" s="11" t="s">
        <v>1014</v>
      </c>
      <c r="K1014" s="9" t="s">
        <v>167</v>
      </c>
      <c r="L1014" s="9" t="s">
        <v>18158</v>
      </c>
      <c r="M1014" s="9" t="s">
        <v>17817</v>
      </c>
      <c r="N1014" s="9" t="s">
        <v>17746</v>
      </c>
      <c r="O1014" s="9" t="s">
        <v>24097</v>
      </c>
      <c r="P1014" s="9" t="s">
        <v>17748</v>
      </c>
      <c r="Q1014" s="11" t="s">
        <v>19335</v>
      </c>
      <c r="R1014" s="11" t="s">
        <v>19335</v>
      </c>
      <c r="S1014" s="11" t="s">
        <v>17750</v>
      </c>
    </row>
    <row r="1015" spans="1:19" x14ac:dyDescent="0.2">
      <c r="A1015" s="11" t="s">
        <v>24098</v>
      </c>
      <c r="B1015" s="9" t="s">
        <v>24099</v>
      </c>
      <c r="C1015" s="9" t="s">
        <v>24100</v>
      </c>
      <c r="D1015" s="9" t="s">
        <v>6330</v>
      </c>
      <c r="E1015" s="9" t="s">
        <v>17740</v>
      </c>
      <c r="F1015" s="9" t="s">
        <v>17741</v>
      </c>
      <c r="G1015" s="9" t="s">
        <v>17740</v>
      </c>
      <c r="H1015" s="11" t="s">
        <v>6332</v>
      </c>
      <c r="I1015" s="11" t="s">
        <v>6331</v>
      </c>
      <c r="J1015" s="11" t="s">
        <v>6331</v>
      </c>
      <c r="K1015" s="9" t="s">
        <v>6333</v>
      </c>
      <c r="L1015" s="9" t="s">
        <v>17759</v>
      </c>
      <c r="M1015" s="9" t="s">
        <v>18065</v>
      </c>
      <c r="N1015" s="9" t="s">
        <v>17746</v>
      </c>
      <c r="O1015" s="9" t="s">
        <v>18363</v>
      </c>
      <c r="P1015" s="9" t="s">
        <v>17748</v>
      </c>
      <c r="Q1015" s="11" t="s">
        <v>17808</v>
      </c>
      <c r="R1015" s="11" t="s">
        <v>17808</v>
      </c>
      <c r="S1015" s="11" t="s">
        <v>17750</v>
      </c>
    </row>
    <row r="1016" spans="1:19" x14ac:dyDescent="0.2">
      <c r="A1016" s="11" t="s">
        <v>24101</v>
      </c>
      <c r="B1016" s="9" t="s">
        <v>24102</v>
      </c>
      <c r="C1016" s="9" t="s">
        <v>24103</v>
      </c>
      <c r="D1016" s="9" t="s">
        <v>24104</v>
      </c>
      <c r="E1016" s="9" t="s">
        <v>17740</v>
      </c>
      <c r="F1016" s="9" t="s">
        <v>17741</v>
      </c>
      <c r="G1016" s="9" t="s">
        <v>17740</v>
      </c>
      <c r="H1016" s="11" t="s">
        <v>16513</v>
      </c>
      <c r="I1016" s="11" t="s">
        <v>24105</v>
      </c>
      <c r="J1016" s="11" t="s">
        <v>24105</v>
      </c>
      <c r="K1016" s="9" t="s">
        <v>970</v>
      </c>
      <c r="L1016" s="9" t="s">
        <v>17759</v>
      </c>
      <c r="M1016" s="9" t="s">
        <v>17769</v>
      </c>
      <c r="N1016" s="9" t="s">
        <v>17746</v>
      </c>
      <c r="O1016" s="9" t="s">
        <v>18363</v>
      </c>
      <c r="P1016" s="9" t="s">
        <v>17748</v>
      </c>
      <c r="Q1016" s="11" t="s">
        <v>17900</v>
      </c>
      <c r="R1016" s="11" t="s">
        <v>17900</v>
      </c>
      <c r="S1016" s="11" t="s">
        <v>17750</v>
      </c>
    </row>
    <row r="1017" spans="1:19" x14ac:dyDescent="0.2">
      <c r="A1017" s="11" t="s">
        <v>24106</v>
      </c>
      <c r="B1017" s="9" t="s">
        <v>24107</v>
      </c>
      <c r="C1017" s="9" t="s">
        <v>24108</v>
      </c>
      <c r="D1017" s="9" t="s">
        <v>24109</v>
      </c>
      <c r="E1017" s="9" t="s">
        <v>17740</v>
      </c>
      <c r="F1017" s="9" t="s">
        <v>17741</v>
      </c>
      <c r="G1017" s="9" t="s">
        <v>17740</v>
      </c>
      <c r="H1017" s="11" t="s">
        <v>16261</v>
      </c>
      <c r="I1017" s="11" t="s">
        <v>16260</v>
      </c>
      <c r="J1017" s="11" t="s">
        <v>16260</v>
      </c>
      <c r="K1017" s="9" t="s">
        <v>24110</v>
      </c>
      <c r="L1017" s="9" t="s">
        <v>17759</v>
      </c>
      <c r="M1017" s="9" t="s">
        <v>17817</v>
      </c>
      <c r="N1017" s="9" t="s">
        <v>17746</v>
      </c>
      <c r="O1017" s="9" t="s">
        <v>18363</v>
      </c>
      <c r="P1017" s="9" t="s">
        <v>17748</v>
      </c>
      <c r="Q1017" s="11" t="s">
        <v>17909</v>
      </c>
      <c r="R1017" s="11" t="s">
        <v>17909</v>
      </c>
      <c r="S1017" s="11" t="s">
        <v>17750</v>
      </c>
    </row>
    <row r="1018" spans="1:19" x14ac:dyDescent="0.2">
      <c r="A1018" s="11" t="s">
        <v>24111</v>
      </c>
      <c r="B1018" s="9" t="s">
        <v>24112</v>
      </c>
      <c r="C1018" s="9" t="s">
        <v>24113</v>
      </c>
      <c r="D1018" s="9" t="s">
        <v>24114</v>
      </c>
      <c r="E1018" s="9" t="s">
        <v>17748</v>
      </c>
      <c r="F1018" s="9" t="s">
        <v>24115</v>
      </c>
      <c r="G1018" s="9" t="s">
        <v>17740</v>
      </c>
      <c r="H1018" s="11" t="s">
        <v>13396</v>
      </c>
      <c r="I1018" s="11" t="s">
        <v>13395</v>
      </c>
      <c r="J1018" s="11" t="s">
        <v>13395</v>
      </c>
      <c r="K1018" s="9" t="s">
        <v>91</v>
      </c>
      <c r="L1018" s="9" t="s">
        <v>18001</v>
      </c>
      <c r="M1018" s="9" t="s">
        <v>18065</v>
      </c>
      <c r="N1018" s="9" t="s">
        <v>17746</v>
      </c>
      <c r="O1018" s="9" t="s">
        <v>24089</v>
      </c>
      <c r="P1018" s="9" t="s">
        <v>17748</v>
      </c>
      <c r="Q1018" s="11" t="s">
        <v>17825</v>
      </c>
      <c r="R1018" s="11" t="s">
        <v>17825</v>
      </c>
      <c r="S1018" s="11" t="s">
        <v>17750</v>
      </c>
    </row>
    <row r="1019" spans="1:19" x14ac:dyDescent="0.2">
      <c r="A1019" s="11" t="s">
        <v>24116</v>
      </c>
      <c r="B1019" s="9" t="s">
        <v>24117</v>
      </c>
      <c r="C1019" s="9" t="s">
        <v>24118</v>
      </c>
      <c r="D1019" s="9" t="s">
        <v>24119</v>
      </c>
      <c r="E1019" s="9" t="s">
        <v>17740</v>
      </c>
      <c r="F1019" s="9" t="s">
        <v>17741</v>
      </c>
      <c r="G1019" s="9" t="s">
        <v>17740</v>
      </c>
      <c r="H1019" s="11" t="s">
        <v>24120</v>
      </c>
      <c r="I1019" s="11" t="s">
        <v>5663</v>
      </c>
      <c r="J1019" s="11" t="s">
        <v>5663</v>
      </c>
      <c r="K1019" s="9" t="s">
        <v>24110</v>
      </c>
      <c r="L1019" s="9" t="s">
        <v>17759</v>
      </c>
      <c r="M1019" s="9" t="s">
        <v>17817</v>
      </c>
      <c r="N1019" s="9" t="s">
        <v>17746</v>
      </c>
      <c r="O1019" s="9" t="s">
        <v>24121</v>
      </c>
      <c r="P1019" s="9" t="s">
        <v>17748</v>
      </c>
      <c r="Q1019" s="11" t="s">
        <v>18080</v>
      </c>
      <c r="R1019" s="11" t="s">
        <v>18080</v>
      </c>
      <c r="S1019" s="11" t="s">
        <v>17750</v>
      </c>
    </row>
    <row r="1020" spans="1:19" x14ac:dyDescent="0.2">
      <c r="A1020" s="11" t="s">
        <v>24122</v>
      </c>
      <c r="B1020" s="9" t="s">
        <v>24123</v>
      </c>
      <c r="C1020" s="9" t="s">
        <v>24124</v>
      </c>
      <c r="D1020" s="9" t="s">
        <v>24125</v>
      </c>
      <c r="E1020" s="9" t="s">
        <v>17740</v>
      </c>
      <c r="F1020" s="9" t="s">
        <v>17741</v>
      </c>
      <c r="G1020" s="9" t="s">
        <v>17740</v>
      </c>
      <c r="H1020" s="11" t="s">
        <v>7330</v>
      </c>
      <c r="I1020" s="11" t="s">
        <v>7329</v>
      </c>
      <c r="J1020" s="11" t="s">
        <v>7329</v>
      </c>
      <c r="K1020" s="9" t="s">
        <v>315</v>
      </c>
      <c r="L1020" s="9" t="s">
        <v>17744</v>
      </c>
      <c r="M1020" s="9" t="s">
        <v>18330</v>
      </c>
      <c r="N1020" s="9" t="s">
        <v>17746</v>
      </c>
      <c r="O1020" s="9" t="s">
        <v>24126</v>
      </c>
      <c r="P1020" s="9" t="s">
        <v>17748</v>
      </c>
      <c r="Q1020" s="11" t="s">
        <v>17808</v>
      </c>
      <c r="R1020" s="11" t="s">
        <v>17808</v>
      </c>
      <c r="S1020" s="11" t="s">
        <v>17750</v>
      </c>
    </row>
    <row r="1021" spans="1:19" x14ac:dyDescent="0.2">
      <c r="A1021" s="11" t="s">
        <v>24127</v>
      </c>
      <c r="B1021" s="9" t="s">
        <v>24128</v>
      </c>
      <c r="C1021" s="9" t="s">
        <v>24129</v>
      </c>
      <c r="D1021" s="9" t="s">
        <v>24130</v>
      </c>
      <c r="E1021" s="9" t="s">
        <v>17748</v>
      </c>
      <c r="F1021" s="9" t="s">
        <v>24131</v>
      </c>
      <c r="G1021" s="9" t="s">
        <v>17740</v>
      </c>
      <c r="H1021" s="11" t="s">
        <v>17741</v>
      </c>
      <c r="I1021" s="11" t="s">
        <v>15410</v>
      </c>
      <c r="J1021" s="11" t="s">
        <v>17741</v>
      </c>
      <c r="K1021" s="9" t="s">
        <v>91</v>
      </c>
      <c r="L1021" s="9" t="s">
        <v>17759</v>
      </c>
      <c r="M1021" s="9" t="s">
        <v>17741</v>
      </c>
      <c r="N1021" s="9" t="s">
        <v>17746</v>
      </c>
      <c r="O1021" s="9" t="s">
        <v>24132</v>
      </c>
      <c r="P1021" s="9" t="s">
        <v>17748</v>
      </c>
      <c r="Q1021" s="11" t="s">
        <v>17909</v>
      </c>
      <c r="R1021" s="11" t="s">
        <v>17909</v>
      </c>
      <c r="S1021" s="11" t="s">
        <v>17750</v>
      </c>
    </row>
    <row r="1022" spans="1:19" x14ac:dyDescent="0.2">
      <c r="A1022" s="11" t="s">
        <v>24133</v>
      </c>
      <c r="B1022" s="9" t="s">
        <v>24134</v>
      </c>
      <c r="C1022" s="9" t="s">
        <v>24135</v>
      </c>
      <c r="D1022" s="9" t="s">
        <v>24136</v>
      </c>
      <c r="E1022" s="9" t="s">
        <v>17740</v>
      </c>
      <c r="F1022" s="9" t="s">
        <v>17741</v>
      </c>
      <c r="G1022" s="9" t="s">
        <v>17740</v>
      </c>
      <c r="H1022" s="11" t="s">
        <v>10318</v>
      </c>
      <c r="I1022" s="11" t="s">
        <v>10317</v>
      </c>
      <c r="J1022" s="11" t="s">
        <v>10317</v>
      </c>
      <c r="K1022" s="9" t="s">
        <v>536</v>
      </c>
      <c r="L1022" s="9" t="s">
        <v>20969</v>
      </c>
      <c r="M1022" s="9" t="s">
        <v>17769</v>
      </c>
      <c r="N1022" s="9" t="s">
        <v>17746</v>
      </c>
      <c r="O1022" s="9" t="s">
        <v>24137</v>
      </c>
      <c r="P1022" s="9" t="s">
        <v>17748</v>
      </c>
      <c r="Q1022" s="11" t="s">
        <v>17780</v>
      </c>
      <c r="R1022" s="11" t="s">
        <v>17780</v>
      </c>
      <c r="S1022" s="11" t="s">
        <v>17750</v>
      </c>
    </row>
    <row r="1023" spans="1:19" x14ac:dyDescent="0.2">
      <c r="A1023" s="11" t="s">
        <v>24138</v>
      </c>
      <c r="B1023" s="9" t="s">
        <v>24139</v>
      </c>
      <c r="C1023" s="9" t="s">
        <v>24140</v>
      </c>
      <c r="D1023" s="9" t="s">
        <v>11788</v>
      </c>
      <c r="E1023" s="9" t="s">
        <v>17740</v>
      </c>
      <c r="F1023" s="9" t="s">
        <v>17741</v>
      </c>
      <c r="G1023" s="9" t="s">
        <v>17740</v>
      </c>
      <c r="H1023" s="11" t="s">
        <v>11789</v>
      </c>
      <c r="I1023" s="11" t="s">
        <v>24141</v>
      </c>
      <c r="J1023" s="11" t="s">
        <v>11789</v>
      </c>
      <c r="K1023" s="9" t="s">
        <v>24142</v>
      </c>
      <c r="L1023" s="9" t="s">
        <v>17744</v>
      </c>
      <c r="M1023" s="9" t="s">
        <v>18051</v>
      </c>
      <c r="N1023" s="9" t="s">
        <v>17746</v>
      </c>
      <c r="O1023" s="9" t="s">
        <v>24143</v>
      </c>
      <c r="P1023" s="9" t="s">
        <v>17748</v>
      </c>
      <c r="Q1023" s="11" t="s">
        <v>17784</v>
      </c>
      <c r="R1023" s="11" t="s">
        <v>17784</v>
      </c>
      <c r="S1023" s="11" t="s">
        <v>17750</v>
      </c>
    </row>
    <row r="1024" spans="1:19" x14ac:dyDescent="0.2">
      <c r="A1024" s="11" t="s">
        <v>24144</v>
      </c>
      <c r="B1024" s="9" t="s">
        <v>24145</v>
      </c>
      <c r="C1024" s="9" t="s">
        <v>24146</v>
      </c>
      <c r="D1024" s="9" t="s">
        <v>24147</v>
      </c>
      <c r="E1024" s="9" t="s">
        <v>17740</v>
      </c>
      <c r="F1024" s="9" t="s">
        <v>17741</v>
      </c>
      <c r="G1024" s="9" t="s">
        <v>17740</v>
      </c>
      <c r="H1024" s="11" t="s">
        <v>10144</v>
      </c>
      <c r="I1024" s="11" t="s">
        <v>17741</v>
      </c>
      <c r="J1024" s="11" t="s">
        <v>10144</v>
      </c>
      <c r="K1024" s="9" t="s">
        <v>4002</v>
      </c>
      <c r="L1024" s="9" t="s">
        <v>17759</v>
      </c>
      <c r="M1024" s="9" t="s">
        <v>17741</v>
      </c>
      <c r="N1024" s="9" t="s">
        <v>17746</v>
      </c>
      <c r="O1024" s="9" t="s">
        <v>24148</v>
      </c>
      <c r="P1024" s="9" t="s">
        <v>17748</v>
      </c>
      <c r="Q1024" s="11" t="s">
        <v>18922</v>
      </c>
      <c r="R1024" s="11" t="s">
        <v>18922</v>
      </c>
      <c r="S1024" s="11" t="s">
        <v>17750</v>
      </c>
    </row>
    <row r="1025" spans="1:19" x14ac:dyDescent="0.2">
      <c r="A1025" s="11" t="s">
        <v>24149</v>
      </c>
      <c r="B1025" s="9" t="s">
        <v>24150</v>
      </c>
      <c r="C1025" s="9" t="s">
        <v>24151</v>
      </c>
      <c r="D1025" s="9" t="s">
        <v>24152</v>
      </c>
      <c r="E1025" s="9" t="s">
        <v>17740</v>
      </c>
      <c r="F1025" s="9" t="s">
        <v>24153</v>
      </c>
      <c r="G1025" s="9" t="s">
        <v>17740</v>
      </c>
      <c r="H1025" s="11" t="s">
        <v>1082</v>
      </c>
      <c r="I1025" s="11" t="s">
        <v>1081</v>
      </c>
      <c r="J1025" s="11" t="s">
        <v>1081</v>
      </c>
      <c r="K1025" s="9" t="s">
        <v>167</v>
      </c>
      <c r="L1025" s="9" t="s">
        <v>18158</v>
      </c>
      <c r="M1025" s="9" t="s">
        <v>18289</v>
      </c>
      <c r="N1025" s="9" t="s">
        <v>17746</v>
      </c>
      <c r="O1025" s="9" t="s">
        <v>24154</v>
      </c>
      <c r="P1025" s="9" t="s">
        <v>17748</v>
      </c>
      <c r="Q1025" s="11" t="s">
        <v>19515</v>
      </c>
      <c r="R1025" s="11" t="s">
        <v>19515</v>
      </c>
      <c r="S1025" s="11" t="s">
        <v>17750</v>
      </c>
    </row>
    <row r="1026" spans="1:19" x14ac:dyDescent="0.2">
      <c r="A1026" s="11" t="s">
        <v>24155</v>
      </c>
      <c r="B1026" s="9" t="s">
        <v>24156</v>
      </c>
      <c r="C1026" s="9" t="s">
        <v>24157</v>
      </c>
      <c r="D1026" s="9" t="s">
        <v>24158</v>
      </c>
      <c r="E1026" s="9" t="s">
        <v>17740</v>
      </c>
      <c r="F1026" s="9" t="s">
        <v>17741</v>
      </c>
      <c r="G1026" s="9" t="s">
        <v>17740</v>
      </c>
      <c r="H1026" s="11" t="s">
        <v>24159</v>
      </c>
      <c r="I1026" s="11" t="s">
        <v>1087</v>
      </c>
      <c r="J1026" s="11" t="s">
        <v>1087</v>
      </c>
      <c r="K1026" s="9" t="s">
        <v>291</v>
      </c>
      <c r="L1026" s="9" t="s">
        <v>17744</v>
      </c>
      <c r="M1026" s="9" t="s">
        <v>21005</v>
      </c>
      <c r="N1026" s="9" t="s">
        <v>17746</v>
      </c>
      <c r="O1026" s="9" t="s">
        <v>18363</v>
      </c>
      <c r="P1026" s="9" t="s">
        <v>17748</v>
      </c>
      <c r="Q1026" s="11" t="s">
        <v>17978</v>
      </c>
      <c r="R1026" s="11" t="s">
        <v>17978</v>
      </c>
      <c r="S1026" s="11" t="s">
        <v>17750</v>
      </c>
    </row>
    <row r="1027" spans="1:19" x14ac:dyDescent="0.2">
      <c r="A1027" s="11" t="s">
        <v>24160</v>
      </c>
      <c r="B1027" s="9" t="s">
        <v>24161</v>
      </c>
      <c r="C1027" s="9" t="s">
        <v>24162</v>
      </c>
      <c r="D1027" s="9" t="s">
        <v>24163</v>
      </c>
      <c r="E1027" s="9" t="s">
        <v>17748</v>
      </c>
      <c r="F1027" s="9" t="s">
        <v>24164</v>
      </c>
      <c r="G1027" s="9" t="s">
        <v>17740</v>
      </c>
      <c r="H1027" s="11" t="s">
        <v>8597</v>
      </c>
      <c r="I1027" s="11" t="s">
        <v>8596</v>
      </c>
      <c r="J1027" s="11" t="s">
        <v>8596</v>
      </c>
      <c r="K1027" s="9" t="s">
        <v>17758</v>
      </c>
      <c r="L1027" s="9" t="s">
        <v>17759</v>
      </c>
      <c r="M1027" s="9" t="s">
        <v>17769</v>
      </c>
      <c r="N1027" s="9" t="s">
        <v>17746</v>
      </c>
      <c r="O1027" s="9" t="s">
        <v>18363</v>
      </c>
      <c r="P1027" s="9" t="s">
        <v>17748</v>
      </c>
      <c r="Q1027" s="11" t="s">
        <v>17784</v>
      </c>
      <c r="R1027" s="11" t="s">
        <v>17784</v>
      </c>
      <c r="S1027" s="11" t="s">
        <v>17750</v>
      </c>
    </row>
    <row r="1028" spans="1:19" x14ac:dyDescent="0.2">
      <c r="A1028" s="11" t="s">
        <v>24165</v>
      </c>
      <c r="B1028" s="9" t="s">
        <v>24166</v>
      </c>
      <c r="C1028" s="9" t="s">
        <v>24167</v>
      </c>
      <c r="D1028" s="9" t="s">
        <v>24168</v>
      </c>
      <c r="E1028" s="9" t="s">
        <v>17740</v>
      </c>
      <c r="F1028" s="9" t="s">
        <v>17741</v>
      </c>
      <c r="G1028" s="9" t="s">
        <v>17740</v>
      </c>
      <c r="H1028" s="11" t="s">
        <v>966</v>
      </c>
      <c r="I1028" s="11" t="s">
        <v>965</v>
      </c>
      <c r="J1028" s="11" t="s">
        <v>965</v>
      </c>
      <c r="K1028" s="9" t="s">
        <v>22236</v>
      </c>
      <c r="L1028" s="9" t="s">
        <v>21771</v>
      </c>
      <c r="M1028" s="9" t="s">
        <v>24169</v>
      </c>
      <c r="N1028" s="9" t="s">
        <v>17746</v>
      </c>
      <c r="O1028" s="9" t="s">
        <v>18363</v>
      </c>
      <c r="P1028" s="9" t="s">
        <v>17748</v>
      </c>
      <c r="Q1028" s="11" t="s">
        <v>18608</v>
      </c>
      <c r="R1028" s="11" t="s">
        <v>18608</v>
      </c>
      <c r="S1028" s="11" t="s">
        <v>17750</v>
      </c>
    </row>
    <row r="1029" spans="1:19" x14ac:dyDescent="0.2">
      <c r="A1029" s="11" t="s">
        <v>24170</v>
      </c>
      <c r="B1029" s="9" t="s">
        <v>24171</v>
      </c>
      <c r="C1029" s="9" t="s">
        <v>24172</v>
      </c>
      <c r="D1029" s="9" t="s">
        <v>24173</v>
      </c>
      <c r="E1029" s="9" t="s">
        <v>17740</v>
      </c>
      <c r="F1029" s="9" t="s">
        <v>17741</v>
      </c>
      <c r="G1029" s="9" t="s">
        <v>17740</v>
      </c>
      <c r="H1029" s="11" t="s">
        <v>16674</v>
      </c>
      <c r="I1029" s="11" t="s">
        <v>17741</v>
      </c>
      <c r="J1029" s="11" t="s">
        <v>16674</v>
      </c>
      <c r="K1029" s="9" t="s">
        <v>24174</v>
      </c>
      <c r="L1029" s="9" t="s">
        <v>17759</v>
      </c>
      <c r="M1029" s="9" t="s">
        <v>17741</v>
      </c>
      <c r="N1029" s="9" t="s">
        <v>17746</v>
      </c>
      <c r="O1029" s="9" t="s">
        <v>18363</v>
      </c>
      <c r="P1029" s="9" t="s">
        <v>17748</v>
      </c>
      <c r="Q1029" s="11" t="s">
        <v>17923</v>
      </c>
      <c r="R1029" s="11" t="s">
        <v>17923</v>
      </c>
      <c r="S1029" s="11" t="s">
        <v>17750</v>
      </c>
    </row>
    <row r="1030" spans="1:19" x14ac:dyDescent="0.2">
      <c r="A1030" s="11" t="s">
        <v>24175</v>
      </c>
      <c r="B1030" s="9" t="s">
        <v>24176</v>
      </c>
      <c r="C1030" s="9" t="s">
        <v>24177</v>
      </c>
      <c r="D1030" s="9" t="s">
        <v>24178</v>
      </c>
      <c r="E1030" s="9" t="s">
        <v>17740</v>
      </c>
      <c r="F1030" s="9" t="s">
        <v>17741</v>
      </c>
      <c r="G1030" s="9" t="s">
        <v>17740</v>
      </c>
      <c r="H1030" s="11" t="s">
        <v>4866</v>
      </c>
      <c r="I1030" s="11" t="s">
        <v>4865</v>
      </c>
      <c r="J1030" s="11" t="s">
        <v>4865</v>
      </c>
      <c r="K1030" s="9" t="s">
        <v>21011</v>
      </c>
      <c r="L1030" s="9" t="s">
        <v>18001</v>
      </c>
      <c r="M1030" s="9" t="s">
        <v>17760</v>
      </c>
      <c r="N1030" s="9" t="s">
        <v>17746</v>
      </c>
      <c r="O1030" s="9" t="s">
        <v>18363</v>
      </c>
      <c r="P1030" s="9" t="s">
        <v>17748</v>
      </c>
      <c r="Q1030" s="11" t="s">
        <v>19515</v>
      </c>
      <c r="R1030" s="11" t="s">
        <v>19515</v>
      </c>
      <c r="S1030" s="11" t="s">
        <v>17750</v>
      </c>
    </row>
    <row r="1031" spans="1:19" x14ac:dyDescent="0.2">
      <c r="A1031" s="11" t="s">
        <v>24179</v>
      </c>
      <c r="B1031" s="9" t="s">
        <v>24180</v>
      </c>
      <c r="C1031" s="9" t="s">
        <v>24181</v>
      </c>
      <c r="D1031" s="9" t="s">
        <v>24182</v>
      </c>
      <c r="E1031" s="9" t="s">
        <v>17740</v>
      </c>
      <c r="F1031" s="9" t="s">
        <v>17741</v>
      </c>
      <c r="G1031" s="9" t="s">
        <v>17740</v>
      </c>
      <c r="H1031" s="11" t="s">
        <v>4689</v>
      </c>
      <c r="I1031" s="11" t="s">
        <v>4688</v>
      </c>
      <c r="J1031" s="11" t="s">
        <v>4688</v>
      </c>
      <c r="K1031" s="9" t="s">
        <v>17758</v>
      </c>
      <c r="L1031" s="9" t="s">
        <v>17759</v>
      </c>
      <c r="M1031" s="9" t="s">
        <v>17769</v>
      </c>
      <c r="N1031" s="9" t="s">
        <v>17746</v>
      </c>
      <c r="O1031" s="9" t="s">
        <v>24046</v>
      </c>
      <c r="P1031" s="9" t="s">
        <v>17748</v>
      </c>
      <c r="Q1031" s="11" t="s">
        <v>19335</v>
      </c>
      <c r="R1031" s="11" t="s">
        <v>19335</v>
      </c>
      <c r="S1031" s="11" t="s">
        <v>17750</v>
      </c>
    </row>
    <row r="1032" spans="1:19" x14ac:dyDescent="0.2">
      <c r="A1032" s="11" t="s">
        <v>24183</v>
      </c>
      <c r="B1032" s="9" t="s">
        <v>24184</v>
      </c>
      <c r="C1032" s="9" t="s">
        <v>24185</v>
      </c>
      <c r="D1032" s="9" t="s">
        <v>24186</v>
      </c>
      <c r="E1032" s="9" t="s">
        <v>17740</v>
      </c>
      <c r="F1032" s="9" t="s">
        <v>17741</v>
      </c>
      <c r="G1032" s="9" t="s">
        <v>17740</v>
      </c>
      <c r="H1032" s="11" t="s">
        <v>13111</v>
      </c>
      <c r="I1032" s="11" t="s">
        <v>13110</v>
      </c>
      <c r="J1032" s="11" t="s">
        <v>13111</v>
      </c>
      <c r="K1032" s="9" t="s">
        <v>24110</v>
      </c>
      <c r="L1032" s="9" t="s">
        <v>17759</v>
      </c>
      <c r="M1032" s="9" t="s">
        <v>23595</v>
      </c>
      <c r="N1032" s="9" t="s">
        <v>17746</v>
      </c>
      <c r="O1032" s="9" t="s">
        <v>18363</v>
      </c>
      <c r="P1032" s="9" t="s">
        <v>17748</v>
      </c>
      <c r="Q1032" s="11" t="s">
        <v>18370</v>
      </c>
      <c r="R1032" s="11" t="s">
        <v>18370</v>
      </c>
      <c r="S1032" s="11" t="s">
        <v>17750</v>
      </c>
    </row>
    <row r="1033" spans="1:19" x14ac:dyDescent="0.2">
      <c r="A1033" s="11" t="s">
        <v>24187</v>
      </c>
      <c r="B1033" s="9" t="s">
        <v>24188</v>
      </c>
      <c r="C1033" s="9" t="s">
        <v>24189</v>
      </c>
      <c r="D1033" s="9" t="s">
        <v>24190</v>
      </c>
      <c r="E1033" s="9" t="s">
        <v>17748</v>
      </c>
      <c r="F1033" s="9" t="s">
        <v>24191</v>
      </c>
      <c r="G1033" s="9" t="s">
        <v>17740</v>
      </c>
      <c r="H1033" s="11" t="s">
        <v>7454</v>
      </c>
      <c r="I1033" s="11" t="s">
        <v>7453</v>
      </c>
      <c r="J1033" s="11" t="s">
        <v>7453</v>
      </c>
      <c r="K1033" s="9" t="s">
        <v>91</v>
      </c>
      <c r="L1033" s="9" t="s">
        <v>20359</v>
      </c>
      <c r="M1033" s="9" t="s">
        <v>21005</v>
      </c>
      <c r="N1033" s="9" t="s">
        <v>18042</v>
      </c>
      <c r="O1033" s="9" t="s">
        <v>24192</v>
      </c>
      <c r="P1033" s="9" t="s">
        <v>17748</v>
      </c>
      <c r="Q1033" s="11" t="s">
        <v>18272</v>
      </c>
      <c r="R1033" s="11" t="s">
        <v>18272</v>
      </c>
      <c r="S1033" s="11" t="s">
        <v>17750</v>
      </c>
    </row>
    <row r="1034" spans="1:19" x14ac:dyDescent="0.2">
      <c r="A1034" s="11" t="s">
        <v>24193</v>
      </c>
      <c r="B1034" s="9" t="s">
        <v>24194</v>
      </c>
      <c r="C1034" s="9" t="s">
        <v>24195</v>
      </c>
      <c r="D1034" s="9" t="s">
        <v>24196</v>
      </c>
      <c r="E1034" s="9" t="s">
        <v>17740</v>
      </c>
      <c r="F1034" s="9" t="s">
        <v>24197</v>
      </c>
      <c r="G1034" s="9" t="s">
        <v>17740</v>
      </c>
      <c r="H1034" s="11" t="s">
        <v>1223</v>
      </c>
      <c r="I1034" s="11" t="s">
        <v>1222</v>
      </c>
      <c r="J1034" s="11" t="s">
        <v>1222</v>
      </c>
      <c r="K1034" s="9" t="s">
        <v>24110</v>
      </c>
      <c r="L1034" s="9" t="s">
        <v>17759</v>
      </c>
      <c r="M1034" s="9" t="s">
        <v>24198</v>
      </c>
      <c r="N1034" s="9" t="s">
        <v>17746</v>
      </c>
      <c r="O1034" s="9" t="s">
        <v>18363</v>
      </c>
      <c r="P1034" s="9" t="s">
        <v>17748</v>
      </c>
      <c r="Q1034" s="11" t="s">
        <v>19874</v>
      </c>
      <c r="R1034" s="11" t="s">
        <v>19874</v>
      </c>
      <c r="S1034" s="11" t="s">
        <v>17750</v>
      </c>
    </row>
    <row r="1035" spans="1:19" x14ac:dyDescent="0.2">
      <c r="A1035" s="11" t="s">
        <v>24199</v>
      </c>
      <c r="B1035" s="9" t="s">
        <v>24200</v>
      </c>
      <c r="C1035" s="9" t="s">
        <v>24201</v>
      </c>
      <c r="D1035" s="9" t="s">
        <v>24202</v>
      </c>
      <c r="E1035" s="9" t="s">
        <v>17748</v>
      </c>
      <c r="F1035" s="9" t="s">
        <v>24203</v>
      </c>
      <c r="G1035" s="9" t="s">
        <v>17740</v>
      </c>
      <c r="H1035" s="11" t="s">
        <v>9581</v>
      </c>
      <c r="I1035" s="11" t="s">
        <v>9580</v>
      </c>
      <c r="J1035" s="11" t="s">
        <v>9580</v>
      </c>
      <c r="K1035" s="9" t="s">
        <v>296</v>
      </c>
      <c r="L1035" s="9" t="s">
        <v>17744</v>
      </c>
      <c r="M1035" s="9" t="s">
        <v>17817</v>
      </c>
      <c r="N1035" s="9" t="s">
        <v>17746</v>
      </c>
      <c r="O1035" s="9" t="s">
        <v>18363</v>
      </c>
      <c r="P1035" s="9" t="s">
        <v>17748</v>
      </c>
      <c r="Q1035" s="11" t="s">
        <v>17858</v>
      </c>
      <c r="R1035" s="11" t="s">
        <v>17858</v>
      </c>
      <c r="S1035" s="11" t="s">
        <v>17750</v>
      </c>
    </row>
    <row r="1036" spans="1:19" x14ac:dyDescent="0.2">
      <c r="A1036" s="11" t="s">
        <v>24204</v>
      </c>
      <c r="B1036" s="9" t="s">
        <v>24205</v>
      </c>
      <c r="C1036" s="9" t="s">
        <v>24206</v>
      </c>
      <c r="D1036" s="9" t="s">
        <v>24207</v>
      </c>
      <c r="E1036" s="9" t="s">
        <v>17740</v>
      </c>
      <c r="F1036" s="9" t="s">
        <v>17741</v>
      </c>
      <c r="G1036" s="9" t="s">
        <v>17740</v>
      </c>
      <c r="H1036" s="11" t="s">
        <v>17741</v>
      </c>
      <c r="I1036" s="11" t="s">
        <v>13227</v>
      </c>
      <c r="J1036" s="11" t="s">
        <v>13227</v>
      </c>
      <c r="K1036" s="9" t="s">
        <v>17783</v>
      </c>
      <c r="L1036" s="9" t="s">
        <v>17759</v>
      </c>
      <c r="M1036" s="9" t="s">
        <v>17942</v>
      </c>
      <c r="N1036" s="9" t="s">
        <v>17746</v>
      </c>
      <c r="O1036" s="9" t="s">
        <v>24072</v>
      </c>
      <c r="P1036" s="9" t="s">
        <v>17748</v>
      </c>
      <c r="Q1036" s="11" t="s">
        <v>18433</v>
      </c>
      <c r="R1036" s="11" t="s">
        <v>18433</v>
      </c>
      <c r="S1036" s="11" t="s">
        <v>17750</v>
      </c>
    </row>
    <row r="1037" spans="1:19" x14ac:dyDescent="0.2">
      <c r="A1037" s="11" t="s">
        <v>24208</v>
      </c>
      <c r="B1037" s="9" t="s">
        <v>24209</v>
      </c>
      <c r="C1037" s="9" t="s">
        <v>24210</v>
      </c>
      <c r="D1037" s="9" t="s">
        <v>24211</v>
      </c>
      <c r="E1037" s="9" t="s">
        <v>17740</v>
      </c>
      <c r="F1037" s="9" t="s">
        <v>17741</v>
      </c>
      <c r="G1037" s="9" t="s">
        <v>17740</v>
      </c>
      <c r="H1037" s="11" t="s">
        <v>1319</v>
      </c>
      <c r="I1037" s="11" t="s">
        <v>1318</v>
      </c>
      <c r="J1037" s="11" t="s">
        <v>1318</v>
      </c>
      <c r="K1037" s="9" t="s">
        <v>91</v>
      </c>
      <c r="L1037" s="9" t="s">
        <v>18001</v>
      </c>
      <c r="M1037" s="9" t="s">
        <v>18065</v>
      </c>
      <c r="N1037" s="9" t="s">
        <v>17746</v>
      </c>
      <c r="O1037" s="9" t="s">
        <v>24097</v>
      </c>
      <c r="P1037" s="9" t="s">
        <v>17748</v>
      </c>
      <c r="Q1037" s="11" t="s">
        <v>17771</v>
      </c>
      <c r="R1037" s="11" t="s">
        <v>17771</v>
      </c>
      <c r="S1037" s="11" t="s">
        <v>17750</v>
      </c>
    </row>
    <row r="1038" spans="1:19" x14ac:dyDescent="0.2">
      <c r="A1038" s="11" t="s">
        <v>24212</v>
      </c>
      <c r="B1038" s="9" t="s">
        <v>24213</v>
      </c>
      <c r="C1038" s="9" t="s">
        <v>24214</v>
      </c>
      <c r="D1038" s="9" t="s">
        <v>24215</v>
      </c>
      <c r="E1038" s="9" t="s">
        <v>17748</v>
      </c>
      <c r="F1038" s="9" t="s">
        <v>24216</v>
      </c>
      <c r="G1038" s="9" t="s">
        <v>17740</v>
      </c>
      <c r="H1038" s="11" t="s">
        <v>17741</v>
      </c>
      <c r="I1038" s="11" t="s">
        <v>24217</v>
      </c>
      <c r="J1038" s="11" t="s">
        <v>24217</v>
      </c>
      <c r="K1038" s="9" t="s">
        <v>23957</v>
      </c>
      <c r="L1038" s="9" t="s">
        <v>18959</v>
      </c>
      <c r="M1038" s="9" t="s">
        <v>17760</v>
      </c>
      <c r="N1038" s="9" t="s">
        <v>17746</v>
      </c>
      <c r="O1038" s="9" t="s">
        <v>17800</v>
      </c>
      <c r="P1038" s="9" t="s">
        <v>17748</v>
      </c>
      <c r="Q1038" s="11" t="s">
        <v>18201</v>
      </c>
      <c r="R1038" s="11" t="s">
        <v>18201</v>
      </c>
      <c r="S1038" s="11" t="s">
        <v>17750</v>
      </c>
    </row>
    <row r="1039" spans="1:19" x14ac:dyDescent="0.2">
      <c r="A1039" s="11" t="s">
        <v>24218</v>
      </c>
      <c r="B1039" s="9" t="s">
        <v>24219</v>
      </c>
      <c r="C1039" s="9" t="s">
        <v>24220</v>
      </c>
      <c r="D1039" s="9" t="s">
        <v>24221</v>
      </c>
      <c r="E1039" s="9" t="s">
        <v>17740</v>
      </c>
      <c r="F1039" s="9" t="s">
        <v>17741</v>
      </c>
      <c r="G1039" s="9" t="s">
        <v>17740</v>
      </c>
      <c r="H1039" s="11" t="s">
        <v>17741</v>
      </c>
      <c r="I1039" s="11" t="s">
        <v>24222</v>
      </c>
      <c r="J1039" s="11" t="s">
        <v>24222</v>
      </c>
      <c r="K1039" s="9" t="s">
        <v>24223</v>
      </c>
      <c r="L1039" s="9" t="s">
        <v>17759</v>
      </c>
      <c r="M1039" s="9" t="s">
        <v>17817</v>
      </c>
      <c r="N1039" s="9" t="s">
        <v>17746</v>
      </c>
      <c r="O1039" s="9" t="s">
        <v>17848</v>
      </c>
      <c r="P1039" s="9" t="s">
        <v>17748</v>
      </c>
      <c r="Q1039" s="11" t="s">
        <v>18856</v>
      </c>
      <c r="R1039" s="11" t="s">
        <v>18856</v>
      </c>
      <c r="S1039" s="11" t="s">
        <v>17750</v>
      </c>
    </row>
    <row r="1040" spans="1:19" x14ac:dyDescent="0.2">
      <c r="A1040" s="11" t="s">
        <v>24224</v>
      </c>
      <c r="B1040" s="9" t="s">
        <v>24225</v>
      </c>
      <c r="C1040" s="9" t="s">
        <v>24226</v>
      </c>
      <c r="D1040" s="9" t="s">
        <v>24227</v>
      </c>
      <c r="E1040" s="9" t="s">
        <v>17740</v>
      </c>
      <c r="F1040" s="9" t="s">
        <v>17741</v>
      </c>
      <c r="G1040" s="9" t="s">
        <v>17740</v>
      </c>
      <c r="H1040" s="11" t="s">
        <v>24228</v>
      </c>
      <c r="I1040" s="11" t="s">
        <v>24229</v>
      </c>
      <c r="J1040" s="11" t="s">
        <v>24229</v>
      </c>
      <c r="K1040" s="9" t="s">
        <v>24230</v>
      </c>
      <c r="L1040" s="9" t="s">
        <v>17744</v>
      </c>
      <c r="M1040" s="9" t="s">
        <v>17760</v>
      </c>
      <c r="N1040" s="9" t="s">
        <v>17746</v>
      </c>
      <c r="O1040" s="9" t="s">
        <v>773</v>
      </c>
      <c r="P1040" s="9" t="s">
        <v>17748</v>
      </c>
      <c r="Q1040" s="11" t="s">
        <v>18433</v>
      </c>
      <c r="R1040" s="11" t="s">
        <v>18433</v>
      </c>
      <c r="S1040" s="11" t="s">
        <v>17750</v>
      </c>
    </row>
    <row r="1041" spans="1:19" x14ac:dyDescent="0.2">
      <c r="A1041" s="11" t="s">
        <v>24231</v>
      </c>
      <c r="B1041" s="9" t="s">
        <v>24232</v>
      </c>
      <c r="C1041" s="9" t="s">
        <v>24233</v>
      </c>
      <c r="D1041" s="9" t="s">
        <v>24234</v>
      </c>
      <c r="E1041" s="9" t="s">
        <v>17740</v>
      </c>
      <c r="F1041" s="9" t="s">
        <v>17741</v>
      </c>
      <c r="G1041" s="9" t="s">
        <v>17740</v>
      </c>
      <c r="H1041" s="11" t="s">
        <v>5441</v>
      </c>
      <c r="I1041" s="11" t="s">
        <v>5440</v>
      </c>
      <c r="J1041" s="11" t="s">
        <v>5440</v>
      </c>
      <c r="K1041" s="9" t="s">
        <v>91</v>
      </c>
      <c r="L1041" s="9" t="s">
        <v>18001</v>
      </c>
      <c r="M1041" s="9" t="s">
        <v>24235</v>
      </c>
      <c r="N1041" s="9" t="s">
        <v>17746</v>
      </c>
      <c r="O1041" s="9" t="s">
        <v>24236</v>
      </c>
      <c r="P1041" s="9" t="s">
        <v>17748</v>
      </c>
      <c r="Q1041" s="11" t="s">
        <v>18072</v>
      </c>
      <c r="R1041" s="11" t="s">
        <v>18072</v>
      </c>
      <c r="S1041" s="11" t="s">
        <v>17750</v>
      </c>
    </row>
    <row r="1042" spans="1:19" x14ac:dyDescent="0.2">
      <c r="A1042" s="11" t="s">
        <v>24237</v>
      </c>
      <c r="B1042" s="9" t="s">
        <v>1280</v>
      </c>
      <c r="C1042" s="9" t="s">
        <v>24238</v>
      </c>
      <c r="D1042" s="9" t="s">
        <v>1280</v>
      </c>
      <c r="E1042" s="9" t="s">
        <v>17740</v>
      </c>
      <c r="F1042" s="9" t="s">
        <v>17741</v>
      </c>
      <c r="G1042" s="9" t="s">
        <v>17740</v>
      </c>
      <c r="H1042" s="11" t="s">
        <v>1282</v>
      </c>
      <c r="I1042" s="11" t="s">
        <v>1281</v>
      </c>
      <c r="J1042" s="11" t="s">
        <v>1281</v>
      </c>
      <c r="K1042" s="9" t="s">
        <v>24239</v>
      </c>
      <c r="L1042" s="9" t="s">
        <v>17744</v>
      </c>
      <c r="M1042" s="9" t="s">
        <v>17817</v>
      </c>
      <c r="N1042" s="9" t="s">
        <v>17746</v>
      </c>
      <c r="O1042" s="9" t="s">
        <v>18363</v>
      </c>
      <c r="P1042" s="9" t="s">
        <v>17748</v>
      </c>
      <c r="Q1042" s="11" t="s">
        <v>19222</v>
      </c>
      <c r="R1042" s="11" t="s">
        <v>19222</v>
      </c>
      <c r="S1042" s="11" t="s">
        <v>17750</v>
      </c>
    </row>
    <row r="1043" spans="1:19" x14ac:dyDescent="0.2">
      <c r="A1043" s="11" t="s">
        <v>24240</v>
      </c>
      <c r="B1043" s="9" t="s">
        <v>18009</v>
      </c>
      <c r="C1043" s="9" t="s">
        <v>24241</v>
      </c>
      <c r="D1043" s="9" t="s">
        <v>18009</v>
      </c>
      <c r="E1043" s="9" t="s">
        <v>17740</v>
      </c>
      <c r="F1043" s="9" t="s">
        <v>24242</v>
      </c>
      <c r="G1043" s="9" t="s">
        <v>17740</v>
      </c>
      <c r="H1043" s="11" t="s">
        <v>961</v>
      </c>
      <c r="I1043" s="11" t="s">
        <v>960</v>
      </c>
      <c r="J1043" s="11" t="s">
        <v>960</v>
      </c>
      <c r="K1043" s="9" t="s">
        <v>18176</v>
      </c>
      <c r="L1043" s="9" t="s">
        <v>18123</v>
      </c>
      <c r="M1043" s="9" t="s">
        <v>18289</v>
      </c>
      <c r="N1043" s="9" t="s">
        <v>17746</v>
      </c>
      <c r="O1043" s="9" t="s">
        <v>18009</v>
      </c>
      <c r="P1043" s="9" t="s">
        <v>17748</v>
      </c>
      <c r="Q1043" s="11" t="s">
        <v>18282</v>
      </c>
      <c r="R1043" s="11" t="s">
        <v>18282</v>
      </c>
      <c r="S1043" s="11" t="s">
        <v>17750</v>
      </c>
    </row>
    <row r="1044" spans="1:19" x14ac:dyDescent="0.2">
      <c r="A1044" s="11" t="s">
        <v>24243</v>
      </c>
      <c r="B1044" s="9" t="s">
        <v>24244</v>
      </c>
      <c r="C1044" s="9" t="s">
        <v>24245</v>
      </c>
      <c r="D1044" s="9" t="s">
        <v>24246</v>
      </c>
      <c r="E1044" s="9" t="s">
        <v>17740</v>
      </c>
      <c r="F1044" s="9" t="s">
        <v>17741</v>
      </c>
      <c r="G1044" s="9" t="s">
        <v>17740</v>
      </c>
      <c r="H1044" s="11" t="s">
        <v>958</v>
      </c>
      <c r="I1044" s="11" t="s">
        <v>957</v>
      </c>
      <c r="J1044" s="11" t="s">
        <v>957</v>
      </c>
      <c r="K1044" s="9" t="s">
        <v>91</v>
      </c>
      <c r="L1044" s="9" t="s">
        <v>18001</v>
      </c>
      <c r="M1044" s="9" t="s">
        <v>17778</v>
      </c>
      <c r="N1044" s="9" t="s">
        <v>17746</v>
      </c>
      <c r="O1044" s="9" t="s">
        <v>18009</v>
      </c>
      <c r="P1044" s="9" t="s">
        <v>17748</v>
      </c>
      <c r="Q1044" s="11" t="s">
        <v>17978</v>
      </c>
      <c r="R1044" s="11" t="s">
        <v>17978</v>
      </c>
      <c r="S1044" s="11" t="s">
        <v>17750</v>
      </c>
    </row>
    <row r="1045" spans="1:19" x14ac:dyDescent="0.2">
      <c r="A1045" s="11" t="s">
        <v>24247</v>
      </c>
      <c r="B1045" s="9" t="s">
        <v>24248</v>
      </c>
      <c r="C1045" s="9" t="s">
        <v>24249</v>
      </c>
      <c r="D1045" s="9" t="s">
        <v>24250</v>
      </c>
      <c r="E1045" s="9" t="s">
        <v>17740</v>
      </c>
      <c r="F1045" s="9" t="s">
        <v>17741</v>
      </c>
      <c r="G1045" s="9" t="s">
        <v>17740</v>
      </c>
      <c r="H1045" s="11" t="s">
        <v>5910</v>
      </c>
      <c r="I1045" s="11" t="s">
        <v>5909</v>
      </c>
      <c r="J1045" s="11" t="s">
        <v>5909</v>
      </c>
      <c r="K1045" s="9" t="s">
        <v>17758</v>
      </c>
      <c r="L1045" s="9" t="s">
        <v>17759</v>
      </c>
      <c r="M1045" s="9" t="s">
        <v>17769</v>
      </c>
      <c r="N1045" s="9" t="s">
        <v>17746</v>
      </c>
      <c r="O1045" s="9" t="s">
        <v>20367</v>
      </c>
      <c r="P1045" s="9" t="s">
        <v>17748</v>
      </c>
      <c r="Q1045" s="11" t="s">
        <v>17792</v>
      </c>
      <c r="R1045" s="11" t="s">
        <v>17792</v>
      </c>
      <c r="S1045" s="11" t="s">
        <v>17750</v>
      </c>
    </row>
    <row r="1046" spans="1:19" x14ac:dyDescent="0.2">
      <c r="A1046" s="11" t="s">
        <v>24251</v>
      </c>
      <c r="B1046" s="9" t="s">
        <v>24252</v>
      </c>
      <c r="C1046" s="9" t="s">
        <v>24253</v>
      </c>
      <c r="D1046" s="9" t="s">
        <v>24254</v>
      </c>
      <c r="E1046" s="9" t="s">
        <v>17740</v>
      </c>
      <c r="F1046" s="9" t="s">
        <v>17741</v>
      </c>
      <c r="G1046" s="9" t="s">
        <v>17740</v>
      </c>
      <c r="H1046" s="11" t="s">
        <v>8477</v>
      </c>
      <c r="I1046" s="11" t="s">
        <v>8476</v>
      </c>
      <c r="J1046" s="11" t="s">
        <v>8476</v>
      </c>
      <c r="K1046" s="9" t="s">
        <v>724</v>
      </c>
      <c r="L1046" s="9" t="s">
        <v>17744</v>
      </c>
      <c r="M1046" s="9" t="s">
        <v>19701</v>
      </c>
      <c r="N1046" s="9" t="s">
        <v>17746</v>
      </c>
      <c r="O1046" s="9" t="s">
        <v>24255</v>
      </c>
      <c r="P1046" s="9" t="s">
        <v>17748</v>
      </c>
      <c r="Q1046" s="11" t="s">
        <v>18080</v>
      </c>
      <c r="R1046" s="11" t="s">
        <v>18080</v>
      </c>
      <c r="S1046" s="11" t="s">
        <v>17750</v>
      </c>
    </row>
    <row r="1047" spans="1:19" x14ac:dyDescent="0.2">
      <c r="A1047" s="11" t="s">
        <v>24256</v>
      </c>
      <c r="B1047" s="9" t="s">
        <v>24257</v>
      </c>
      <c r="C1047" s="9" t="s">
        <v>24258</v>
      </c>
      <c r="D1047" s="9" t="s">
        <v>24259</v>
      </c>
      <c r="E1047" s="9" t="s">
        <v>17740</v>
      </c>
      <c r="F1047" s="9" t="s">
        <v>24260</v>
      </c>
      <c r="G1047" s="9" t="s">
        <v>17740</v>
      </c>
      <c r="H1047" s="11" t="s">
        <v>12256</v>
      </c>
      <c r="I1047" s="11" t="s">
        <v>17741</v>
      </c>
      <c r="J1047" s="11" t="s">
        <v>12257</v>
      </c>
      <c r="K1047" s="9" t="s">
        <v>1462</v>
      </c>
      <c r="L1047" s="9" t="s">
        <v>17967</v>
      </c>
      <c r="M1047" s="9" t="s">
        <v>18065</v>
      </c>
      <c r="N1047" s="9" t="s">
        <v>17746</v>
      </c>
      <c r="O1047" s="9" t="s">
        <v>18009</v>
      </c>
      <c r="P1047" s="9" t="s">
        <v>17748</v>
      </c>
      <c r="Q1047" s="11" t="s">
        <v>17917</v>
      </c>
      <c r="R1047" s="11" t="s">
        <v>17917</v>
      </c>
      <c r="S1047" s="11" t="s">
        <v>17750</v>
      </c>
    </row>
    <row r="1048" spans="1:19" x14ac:dyDescent="0.2">
      <c r="A1048" s="11" t="s">
        <v>24261</v>
      </c>
      <c r="B1048" s="9" t="s">
        <v>24262</v>
      </c>
      <c r="C1048" s="9" t="s">
        <v>24263</v>
      </c>
      <c r="D1048" s="9" t="s">
        <v>24264</v>
      </c>
      <c r="E1048" s="9" t="s">
        <v>17748</v>
      </c>
      <c r="F1048" s="9" t="s">
        <v>24265</v>
      </c>
      <c r="G1048" s="9" t="s">
        <v>17740</v>
      </c>
      <c r="H1048" s="11" t="s">
        <v>10887</v>
      </c>
      <c r="I1048" s="11" t="s">
        <v>10886</v>
      </c>
      <c r="J1048" s="11" t="s">
        <v>10886</v>
      </c>
      <c r="K1048" s="9" t="s">
        <v>20956</v>
      </c>
      <c r="L1048" s="9" t="s">
        <v>18001</v>
      </c>
      <c r="M1048" s="9" t="s">
        <v>17760</v>
      </c>
      <c r="N1048" s="9" t="s">
        <v>17746</v>
      </c>
      <c r="O1048" s="9" t="s">
        <v>24266</v>
      </c>
      <c r="P1048" s="9" t="s">
        <v>17748</v>
      </c>
      <c r="Q1048" s="11" t="s">
        <v>17762</v>
      </c>
      <c r="R1048" s="11" t="s">
        <v>17762</v>
      </c>
      <c r="S1048" s="11" t="s">
        <v>17750</v>
      </c>
    </row>
    <row r="1049" spans="1:19" x14ac:dyDescent="0.2">
      <c r="A1049" s="11" t="s">
        <v>24267</v>
      </c>
      <c r="B1049" s="9" t="s">
        <v>24268</v>
      </c>
      <c r="C1049" s="9" t="s">
        <v>24269</v>
      </c>
      <c r="D1049" s="9" t="s">
        <v>24270</v>
      </c>
      <c r="E1049" s="9" t="s">
        <v>17748</v>
      </c>
      <c r="F1049" s="9" t="s">
        <v>24271</v>
      </c>
      <c r="G1049" s="9" t="s">
        <v>17740</v>
      </c>
      <c r="H1049" s="11" t="s">
        <v>24272</v>
      </c>
      <c r="I1049" s="11" t="s">
        <v>10892</v>
      </c>
      <c r="J1049" s="11" t="s">
        <v>10892</v>
      </c>
      <c r="K1049" s="9" t="s">
        <v>20956</v>
      </c>
      <c r="L1049" s="9" t="s">
        <v>18001</v>
      </c>
      <c r="M1049" s="9" t="s">
        <v>18065</v>
      </c>
      <c r="N1049" s="9" t="s">
        <v>17746</v>
      </c>
      <c r="O1049" s="9" t="s">
        <v>24273</v>
      </c>
      <c r="P1049" s="9" t="s">
        <v>17748</v>
      </c>
      <c r="Q1049" s="11" t="s">
        <v>17762</v>
      </c>
      <c r="R1049" s="11" t="s">
        <v>17762</v>
      </c>
      <c r="S1049" s="11" t="s">
        <v>17750</v>
      </c>
    </row>
    <row r="1050" spans="1:19" x14ac:dyDescent="0.2">
      <c r="A1050" s="11" t="s">
        <v>24274</v>
      </c>
      <c r="B1050" s="9" t="s">
        <v>24275</v>
      </c>
      <c r="C1050" s="9" t="s">
        <v>24276</v>
      </c>
      <c r="D1050" s="9" t="s">
        <v>24277</v>
      </c>
      <c r="E1050" s="9" t="s">
        <v>17740</v>
      </c>
      <c r="F1050" s="9" t="s">
        <v>24278</v>
      </c>
      <c r="G1050" s="9" t="s">
        <v>17740</v>
      </c>
      <c r="H1050" s="11" t="s">
        <v>976</v>
      </c>
      <c r="I1050" s="11" t="s">
        <v>975</v>
      </c>
      <c r="J1050" s="11" t="s">
        <v>975</v>
      </c>
      <c r="K1050" s="9" t="s">
        <v>167</v>
      </c>
      <c r="L1050" s="9" t="s">
        <v>17759</v>
      </c>
      <c r="M1050" s="9" t="s">
        <v>17769</v>
      </c>
      <c r="N1050" s="9" t="s">
        <v>17746</v>
      </c>
      <c r="O1050" s="9" t="s">
        <v>24279</v>
      </c>
      <c r="P1050" s="9" t="s">
        <v>17748</v>
      </c>
      <c r="Q1050" s="11" t="s">
        <v>19222</v>
      </c>
      <c r="R1050" s="11" t="s">
        <v>19222</v>
      </c>
      <c r="S1050" s="11" t="s">
        <v>17750</v>
      </c>
    </row>
    <row r="1051" spans="1:19" x14ac:dyDescent="0.2">
      <c r="A1051" s="11" t="s">
        <v>24280</v>
      </c>
      <c r="B1051" s="9" t="s">
        <v>24281</v>
      </c>
      <c r="C1051" s="9" t="s">
        <v>24282</v>
      </c>
      <c r="D1051" s="9" t="s">
        <v>24283</v>
      </c>
      <c r="E1051" s="9" t="s">
        <v>17740</v>
      </c>
      <c r="F1051" s="9" t="s">
        <v>17741</v>
      </c>
      <c r="G1051" s="9" t="s">
        <v>17740</v>
      </c>
      <c r="H1051" s="11" t="s">
        <v>9706</v>
      </c>
      <c r="I1051" s="11" t="s">
        <v>17741</v>
      </c>
      <c r="J1051" s="11" t="s">
        <v>9706</v>
      </c>
      <c r="K1051" s="9" t="s">
        <v>18570</v>
      </c>
      <c r="L1051" s="9" t="s">
        <v>17744</v>
      </c>
      <c r="M1051" s="9" t="s">
        <v>17741</v>
      </c>
      <c r="N1051" s="9" t="s">
        <v>17746</v>
      </c>
      <c r="O1051" s="9" t="s">
        <v>24284</v>
      </c>
      <c r="P1051" s="9" t="s">
        <v>17748</v>
      </c>
      <c r="Q1051" s="11" t="s">
        <v>17994</v>
      </c>
      <c r="R1051" s="11" t="s">
        <v>17994</v>
      </c>
      <c r="S1051" s="11" t="s">
        <v>17750</v>
      </c>
    </row>
    <row r="1052" spans="1:19" x14ac:dyDescent="0.2">
      <c r="A1052" s="11" t="s">
        <v>24285</v>
      </c>
      <c r="B1052" s="9" t="s">
        <v>24286</v>
      </c>
      <c r="C1052" s="9" t="s">
        <v>24287</v>
      </c>
      <c r="D1052" s="9" t="s">
        <v>24288</v>
      </c>
      <c r="E1052" s="9" t="s">
        <v>17740</v>
      </c>
      <c r="F1052" s="9" t="s">
        <v>17741</v>
      </c>
      <c r="G1052" s="9" t="s">
        <v>17740</v>
      </c>
      <c r="H1052" s="11" t="s">
        <v>4246</v>
      </c>
      <c r="I1052" s="11" t="s">
        <v>4245</v>
      </c>
      <c r="J1052" s="11" t="s">
        <v>4245</v>
      </c>
      <c r="K1052" s="9" t="s">
        <v>24289</v>
      </c>
      <c r="L1052" s="9" t="s">
        <v>17759</v>
      </c>
      <c r="M1052" s="9" t="s">
        <v>18065</v>
      </c>
      <c r="N1052" s="9" t="s">
        <v>17746</v>
      </c>
      <c r="O1052" s="9" t="s">
        <v>19484</v>
      </c>
      <c r="P1052" s="9" t="s">
        <v>17748</v>
      </c>
      <c r="Q1052" s="11" t="s">
        <v>18364</v>
      </c>
      <c r="R1052" s="11" t="s">
        <v>18364</v>
      </c>
      <c r="S1052" s="11" t="s">
        <v>17750</v>
      </c>
    </row>
    <row r="1053" spans="1:19" x14ac:dyDescent="0.2">
      <c r="A1053" s="11" t="s">
        <v>24290</v>
      </c>
      <c r="B1053" s="9" t="s">
        <v>24291</v>
      </c>
      <c r="C1053" s="9" t="s">
        <v>24292</v>
      </c>
      <c r="D1053" s="9" t="s">
        <v>24293</v>
      </c>
      <c r="E1053" s="9" t="s">
        <v>17740</v>
      </c>
      <c r="F1053" s="9" t="s">
        <v>17741</v>
      </c>
      <c r="G1053" s="9" t="s">
        <v>17740</v>
      </c>
      <c r="H1053" s="11" t="s">
        <v>24294</v>
      </c>
      <c r="I1053" s="11" t="s">
        <v>24295</v>
      </c>
      <c r="J1053" s="11" t="s">
        <v>24295</v>
      </c>
      <c r="K1053" s="9" t="s">
        <v>19161</v>
      </c>
      <c r="L1053" s="9" t="s">
        <v>18001</v>
      </c>
      <c r="M1053" s="9" t="s">
        <v>17760</v>
      </c>
      <c r="N1053" s="9" t="s">
        <v>17746</v>
      </c>
      <c r="O1053" s="9" t="s">
        <v>24296</v>
      </c>
      <c r="P1053" s="9" t="s">
        <v>17748</v>
      </c>
      <c r="Q1053" s="11" t="s">
        <v>18922</v>
      </c>
      <c r="R1053" s="11" t="s">
        <v>18922</v>
      </c>
      <c r="S1053" s="11" t="s">
        <v>17750</v>
      </c>
    </row>
    <row r="1054" spans="1:19" x14ac:dyDescent="0.2">
      <c r="A1054" s="11" t="s">
        <v>24297</v>
      </c>
      <c r="B1054" s="9" t="s">
        <v>24298</v>
      </c>
      <c r="C1054" s="9" t="s">
        <v>24299</v>
      </c>
      <c r="D1054" s="9" t="s">
        <v>24300</v>
      </c>
      <c r="E1054" s="9" t="s">
        <v>17740</v>
      </c>
      <c r="F1054" s="9" t="s">
        <v>24301</v>
      </c>
      <c r="G1054" s="9" t="s">
        <v>17740</v>
      </c>
      <c r="H1054" s="11" t="s">
        <v>15790</v>
      </c>
      <c r="I1054" s="11" t="s">
        <v>15789</v>
      </c>
      <c r="J1054" s="11" t="s">
        <v>17741</v>
      </c>
      <c r="K1054" s="9" t="s">
        <v>17783</v>
      </c>
      <c r="L1054" s="9" t="s">
        <v>18242</v>
      </c>
      <c r="M1054" s="9" t="s">
        <v>17992</v>
      </c>
      <c r="N1054" s="9" t="s">
        <v>17746</v>
      </c>
      <c r="O1054" s="9" t="s">
        <v>24302</v>
      </c>
      <c r="P1054" s="9" t="s">
        <v>17748</v>
      </c>
      <c r="Q1054" s="11" t="s">
        <v>17900</v>
      </c>
      <c r="R1054" s="11" t="s">
        <v>17900</v>
      </c>
      <c r="S1054" s="11" t="s">
        <v>17750</v>
      </c>
    </row>
    <row r="1055" spans="1:19" x14ac:dyDescent="0.2">
      <c r="A1055" s="11" t="s">
        <v>24303</v>
      </c>
      <c r="B1055" s="9" t="s">
        <v>24304</v>
      </c>
      <c r="C1055" s="9" t="s">
        <v>24305</v>
      </c>
      <c r="D1055" s="9" t="s">
        <v>24306</v>
      </c>
      <c r="E1055" s="9" t="s">
        <v>17748</v>
      </c>
      <c r="F1055" s="9" t="s">
        <v>24307</v>
      </c>
      <c r="G1055" s="9" t="s">
        <v>17740</v>
      </c>
      <c r="H1055" s="11" t="s">
        <v>24308</v>
      </c>
      <c r="I1055" s="11" t="s">
        <v>12656</v>
      </c>
      <c r="J1055" s="11" t="s">
        <v>24309</v>
      </c>
      <c r="K1055" s="9" t="s">
        <v>24310</v>
      </c>
      <c r="L1055" s="9" t="s">
        <v>24311</v>
      </c>
      <c r="M1055" s="9" t="s">
        <v>24312</v>
      </c>
      <c r="N1055" s="9" t="s">
        <v>17746</v>
      </c>
      <c r="O1055" s="9" t="s">
        <v>20367</v>
      </c>
      <c r="P1055" s="9" t="s">
        <v>17748</v>
      </c>
      <c r="Q1055" s="11" t="s">
        <v>17917</v>
      </c>
      <c r="R1055" s="11" t="s">
        <v>17917</v>
      </c>
      <c r="S1055" s="11" t="s">
        <v>17750</v>
      </c>
    </row>
    <row r="1056" spans="1:19" x14ac:dyDescent="0.2">
      <c r="A1056" s="11" t="s">
        <v>24313</v>
      </c>
      <c r="B1056" s="9" t="s">
        <v>24314</v>
      </c>
      <c r="C1056" s="9" t="s">
        <v>24315</v>
      </c>
      <c r="D1056" s="9" t="s">
        <v>24316</v>
      </c>
      <c r="E1056" s="9" t="s">
        <v>17740</v>
      </c>
      <c r="F1056" s="9" t="s">
        <v>17741</v>
      </c>
      <c r="G1056" s="9" t="s">
        <v>17740</v>
      </c>
      <c r="H1056" s="11" t="s">
        <v>6055</v>
      </c>
      <c r="I1056" s="11" t="s">
        <v>6054</v>
      </c>
      <c r="J1056" s="11" t="s">
        <v>6054</v>
      </c>
      <c r="K1056" s="9" t="s">
        <v>24317</v>
      </c>
      <c r="L1056" s="9" t="s">
        <v>17759</v>
      </c>
      <c r="M1056" s="9" t="s">
        <v>20580</v>
      </c>
      <c r="N1056" s="9" t="s">
        <v>17746</v>
      </c>
      <c r="O1056" s="9" t="s">
        <v>24318</v>
      </c>
      <c r="P1056" s="9" t="s">
        <v>17748</v>
      </c>
      <c r="Q1056" s="11" t="s">
        <v>18147</v>
      </c>
      <c r="R1056" s="11" t="s">
        <v>18147</v>
      </c>
      <c r="S1056" s="11" t="s">
        <v>17750</v>
      </c>
    </row>
    <row r="1057" spans="1:19" x14ac:dyDescent="0.2">
      <c r="A1057" s="11" t="s">
        <v>24319</v>
      </c>
      <c r="B1057" s="9" t="s">
        <v>24320</v>
      </c>
      <c r="C1057" s="9" t="s">
        <v>24321</v>
      </c>
      <c r="D1057" s="9" t="s">
        <v>24322</v>
      </c>
      <c r="E1057" s="9" t="s">
        <v>17740</v>
      </c>
      <c r="F1057" s="9" t="s">
        <v>17741</v>
      </c>
      <c r="G1057" s="9" t="s">
        <v>17740</v>
      </c>
      <c r="H1057" s="11" t="s">
        <v>1331</v>
      </c>
      <c r="I1057" s="11" t="s">
        <v>1330</v>
      </c>
      <c r="J1057" s="11" t="s">
        <v>1330</v>
      </c>
      <c r="K1057" s="9" t="s">
        <v>24323</v>
      </c>
      <c r="L1057" s="9" t="s">
        <v>17744</v>
      </c>
      <c r="M1057" s="9" t="s">
        <v>24324</v>
      </c>
      <c r="N1057" s="9" t="s">
        <v>17746</v>
      </c>
      <c r="O1057" s="9" t="s">
        <v>20367</v>
      </c>
      <c r="P1057" s="9" t="s">
        <v>17748</v>
      </c>
      <c r="Q1057" s="11" t="s">
        <v>18813</v>
      </c>
      <c r="R1057" s="11" t="s">
        <v>18813</v>
      </c>
      <c r="S1057" s="11" t="s">
        <v>17750</v>
      </c>
    </row>
    <row r="1058" spans="1:19" x14ac:dyDescent="0.2">
      <c r="A1058" s="11" t="s">
        <v>24325</v>
      </c>
      <c r="B1058" s="9" t="s">
        <v>24326</v>
      </c>
      <c r="C1058" s="9" t="s">
        <v>24327</v>
      </c>
      <c r="D1058" s="9" t="s">
        <v>24328</v>
      </c>
      <c r="E1058" s="9" t="s">
        <v>17748</v>
      </c>
      <c r="F1058" s="9" t="s">
        <v>24329</v>
      </c>
      <c r="G1058" s="9" t="s">
        <v>17740</v>
      </c>
      <c r="H1058" s="11" t="s">
        <v>10754</v>
      </c>
      <c r="I1058" s="11" t="s">
        <v>10753</v>
      </c>
      <c r="J1058" s="11" t="s">
        <v>10754</v>
      </c>
      <c r="K1058" s="9" t="s">
        <v>91</v>
      </c>
      <c r="L1058" s="9" t="s">
        <v>17759</v>
      </c>
      <c r="M1058" s="9" t="s">
        <v>17760</v>
      </c>
      <c r="N1058" s="9" t="s">
        <v>17746</v>
      </c>
      <c r="O1058" s="9" t="s">
        <v>20367</v>
      </c>
      <c r="P1058" s="9" t="s">
        <v>17748</v>
      </c>
      <c r="Q1058" s="11" t="s">
        <v>17984</v>
      </c>
      <c r="R1058" s="11" t="s">
        <v>17984</v>
      </c>
      <c r="S1058" s="11" t="s">
        <v>17750</v>
      </c>
    </row>
    <row r="1059" spans="1:19" x14ac:dyDescent="0.2">
      <c r="A1059" s="11" t="s">
        <v>24330</v>
      </c>
      <c r="B1059" s="9" t="s">
        <v>24331</v>
      </c>
      <c r="C1059" s="9" t="s">
        <v>24332</v>
      </c>
      <c r="D1059" s="9" t="s">
        <v>24333</v>
      </c>
      <c r="E1059" s="9" t="s">
        <v>17748</v>
      </c>
      <c r="F1059" s="9" t="s">
        <v>24334</v>
      </c>
      <c r="G1059" s="9" t="s">
        <v>17740</v>
      </c>
      <c r="H1059" s="11" t="s">
        <v>12759</v>
      </c>
      <c r="I1059" s="11" t="s">
        <v>12758</v>
      </c>
      <c r="J1059" s="11" t="s">
        <v>12758</v>
      </c>
      <c r="K1059" s="9" t="s">
        <v>970</v>
      </c>
      <c r="L1059" s="9" t="s">
        <v>17744</v>
      </c>
      <c r="M1059" s="9" t="s">
        <v>17778</v>
      </c>
      <c r="N1059" s="9" t="s">
        <v>17746</v>
      </c>
      <c r="O1059" s="9" t="s">
        <v>24302</v>
      </c>
      <c r="P1059" s="9" t="s">
        <v>17748</v>
      </c>
      <c r="Q1059" s="11" t="s">
        <v>18370</v>
      </c>
      <c r="R1059" s="11" t="s">
        <v>18370</v>
      </c>
      <c r="S1059" s="11" t="s">
        <v>17750</v>
      </c>
    </row>
    <row r="1060" spans="1:19" x14ac:dyDescent="0.2">
      <c r="A1060" s="11" t="s">
        <v>24335</v>
      </c>
      <c r="B1060" s="9" t="s">
        <v>24336</v>
      </c>
      <c r="C1060" s="9" t="s">
        <v>24337</v>
      </c>
      <c r="D1060" s="9" t="s">
        <v>24338</v>
      </c>
      <c r="E1060" s="9" t="s">
        <v>17740</v>
      </c>
      <c r="F1060" s="9" t="s">
        <v>17741</v>
      </c>
      <c r="G1060" s="9" t="s">
        <v>17740</v>
      </c>
      <c r="H1060" s="11" t="s">
        <v>9299</v>
      </c>
      <c r="I1060" s="11" t="s">
        <v>9298</v>
      </c>
      <c r="J1060" s="11" t="s">
        <v>9298</v>
      </c>
      <c r="K1060" s="9" t="s">
        <v>940</v>
      </c>
      <c r="L1060" s="9" t="s">
        <v>17759</v>
      </c>
      <c r="M1060" s="9" t="s">
        <v>17778</v>
      </c>
      <c r="N1060" s="9" t="s">
        <v>17746</v>
      </c>
      <c r="O1060" s="9" t="s">
        <v>24339</v>
      </c>
      <c r="P1060" s="9" t="s">
        <v>17748</v>
      </c>
      <c r="Q1060" s="11" t="s">
        <v>18922</v>
      </c>
      <c r="R1060" s="11" t="s">
        <v>18922</v>
      </c>
      <c r="S1060" s="11" t="s">
        <v>17750</v>
      </c>
    </row>
    <row r="1061" spans="1:19" x14ac:dyDescent="0.2">
      <c r="A1061" s="11" t="s">
        <v>24340</v>
      </c>
      <c r="B1061" s="9" t="s">
        <v>24341</v>
      </c>
      <c r="C1061" s="9" t="s">
        <v>24342</v>
      </c>
      <c r="D1061" s="9" t="s">
        <v>24343</v>
      </c>
      <c r="E1061" s="9" t="s">
        <v>17740</v>
      </c>
      <c r="F1061" s="9" t="s">
        <v>17741</v>
      </c>
      <c r="G1061" s="9" t="s">
        <v>17740</v>
      </c>
      <c r="H1061" s="11" t="s">
        <v>9668</v>
      </c>
      <c r="I1061" s="11" t="s">
        <v>17741</v>
      </c>
      <c r="J1061" s="11" t="s">
        <v>9668</v>
      </c>
      <c r="K1061" s="9" t="s">
        <v>18570</v>
      </c>
      <c r="L1061" s="9" t="s">
        <v>17744</v>
      </c>
      <c r="M1061" s="9" t="s">
        <v>17942</v>
      </c>
      <c r="N1061" s="9" t="s">
        <v>17746</v>
      </c>
      <c r="O1061" s="9" t="s">
        <v>24344</v>
      </c>
      <c r="P1061" s="9" t="s">
        <v>17748</v>
      </c>
      <c r="Q1061" s="11" t="s">
        <v>17858</v>
      </c>
      <c r="R1061" s="11" t="s">
        <v>17858</v>
      </c>
      <c r="S1061" s="11" t="s">
        <v>17750</v>
      </c>
    </row>
    <row r="1062" spans="1:19" x14ac:dyDescent="0.2">
      <c r="A1062" s="11" t="s">
        <v>24345</v>
      </c>
      <c r="B1062" s="9" t="s">
        <v>24346</v>
      </c>
      <c r="C1062" s="9" t="s">
        <v>24347</v>
      </c>
      <c r="D1062" s="9" t="s">
        <v>24348</v>
      </c>
      <c r="E1062" s="9" t="s">
        <v>17748</v>
      </c>
      <c r="F1062" s="9" t="s">
        <v>24349</v>
      </c>
      <c r="G1062" s="9" t="s">
        <v>17740</v>
      </c>
      <c r="H1062" s="11" t="s">
        <v>17741</v>
      </c>
      <c r="I1062" s="11" t="s">
        <v>24350</v>
      </c>
      <c r="J1062" s="11" t="s">
        <v>17741</v>
      </c>
      <c r="K1062" s="9" t="s">
        <v>20867</v>
      </c>
      <c r="L1062" s="9" t="s">
        <v>17759</v>
      </c>
      <c r="M1062" s="9" t="s">
        <v>17760</v>
      </c>
      <c r="N1062" s="9" t="s">
        <v>17746</v>
      </c>
      <c r="O1062" s="9" t="s">
        <v>24351</v>
      </c>
      <c r="P1062" s="9" t="s">
        <v>17748</v>
      </c>
      <c r="Q1062" s="11" t="s">
        <v>18356</v>
      </c>
      <c r="R1062" s="11" t="s">
        <v>18356</v>
      </c>
      <c r="S1062" s="11" t="s">
        <v>17750</v>
      </c>
    </row>
    <row r="1063" spans="1:19" x14ac:dyDescent="0.2">
      <c r="A1063" s="11" t="s">
        <v>24352</v>
      </c>
      <c r="B1063" s="9" t="s">
        <v>24353</v>
      </c>
      <c r="C1063" s="9" t="s">
        <v>24354</v>
      </c>
      <c r="D1063" s="9" t="s">
        <v>24355</v>
      </c>
      <c r="E1063" s="9" t="s">
        <v>17740</v>
      </c>
      <c r="F1063" s="9" t="s">
        <v>17741</v>
      </c>
      <c r="G1063" s="9" t="s">
        <v>17740</v>
      </c>
      <c r="H1063" s="11" t="s">
        <v>24356</v>
      </c>
      <c r="I1063" s="11" t="s">
        <v>24357</v>
      </c>
      <c r="J1063" s="11" t="s">
        <v>24357</v>
      </c>
      <c r="K1063" s="9" t="s">
        <v>18176</v>
      </c>
      <c r="L1063" s="9" t="s">
        <v>18123</v>
      </c>
      <c r="M1063" s="9" t="s">
        <v>17769</v>
      </c>
      <c r="N1063" s="9" t="s">
        <v>17746</v>
      </c>
      <c r="O1063" s="9" t="s">
        <v>18340</v>
      </c>
      <c r="P1063" s="9" t="s">
        <v>17748</v>
      </c>
      <c r="Q1063" s="11" t="s">
        <v>18813</v>
      </c>
      <c r="R1063" s="11" t="s">
        <v>18813</v>
      </c>
      <c r="S1063" s="11" t="s">
        <v>17750</v>
      </c>
    </row>
    <row r="1064" spans="1:19" x14ac:dyDescent="0.2">
      <c r="A1064" s="11" t="s">
        <v>24358</v>
      </c>
      <c r="B1064" s="9" t="s">
        <v>24359</v>
      </c>
      <c r="C1064" s="9" t="s">
        <v>24360</v>
      </c>
      <c r="D1064" s="9" t="s">
        <v>24361</v>
      </c>
      <c r="E1064" s="9" t="s">
        <v>17740</v>
      </c>
      <c r="F1064" s="9" t="s">
        <v>17741</v>
      </c>
      <c r="G1064" s="9" t="s">
        <v>17740</v>
      </c>
      <c r="H1064" s="11" t="s">
        <v>17741</v>
      </c>
      <c r="I1064" s="11" t="s">
        <v>24362</v>
      </c>
      <c r="J1064" s="11" t="s">
        <v>24362</v>
      </c>
      <c r="K1064" s="9" t="s">
        <v>24363</v>
      </c>
      <c r="L1064" s="9" t="s">
        <v>17759</v>
      </c>
      <c r="M1064" s="9" t="s">
        <v>17817</v>
      </c>
      <c r="N1064" s="9" t="s">
        <v>17746</v>
      </c>
      <c r="O1064" s="9" t="s">
        <v>17848</v>
      </c>
      <c r="P1064" s="9" t="s">
        <v>17748</v>
      </c>
      <c r="Q1064" s="11" t="s">
        <v>19515</v>
      </c>
      <c r="R1064" s="11" t="s">
        <v>19515</v>
      </c>
      <c r="S1064" s="11" t="s">
        <v>17750</v>
      </c>
    </row>
    <row r="1065" spans="1:19" x14ac:dyDescent="0.2">
      <c r="A1065" s="11" t="s">
        <v>24364</v>
      </c>
      <c r="B1065" s="9" t="s">
        <v>24365</v>
      </c>
      <c r="C1065" s="9" t="s">
        <v>24366</v>
      </c>
      <c r="D1065" s="9" t="s">
        <v>24367</v>
      </c>
      <c r="E1065" s="9" t="s">
        <v>17740</v>
      </c>
      <c r="F1065" s="9" t="s">
        <v>17741</v>
      </c>
      <c r="G1065" s="9" t="s">
        <v>17740</v>
      </c>
      <c r="H1065" s="11" t="s">
        <v>17741</v>
      </c>
      <c r="I1065" s="11" t="s">
        <v>24368</v>
      </c>
      <c r="J1065" s="11" t="s">
        <v>24368</v>
      </c>
      <c r="K1065" s="9" t="s">
        <v>24369</v>
      </c>
      <c r="L1065" s="9" t="s">
        <v>18025</v>
      </c>
      <c r="M1065" s="9" t="s">
        <v>20172</v>
      </c>
      <c r="N1065" s="9" t="s">
        <v>18026</v>
      </c>
      <c r="O1065" s="9" t="s">
        <v>17993</v>
      </c>
      <c r="P1065" s="9" t="s">
        <v>17748</v>
      </c>
      <c r="Q1065" s="11" t="s">
        <v>24370</v>
      </c>
      <c r="R1065" s="11" t="s">
        <v>24370</v>
      </c>
      <c r="S1065" s="11" t="s">
        <v>17750</v>
      </c>
    </row>
    <row r="1066" spans="1:19" x14ac:dyDescent="0.2">
      <c r="A1066" s="11" t="s">
        <v>24371</v>
      </c>
      <c r="B1066" s="9" t="s">
        <v>24372</v>
      </c>
      <c r="C1066" s="9" t="s">
        <v>24373</v>
      </c>
      <c r="D1066" s="9" t="s">
        <v>24374</v>
      </c>
      <c r="E1066" s="9" t="s">
        <v>17748</v>
      </c>
      <c r="F1066" s="9" t="s">
        <v>24375</v>
      </c>
      <c r="G1066" s="9" t="s">
        <v>17740</v>
      </c>
      <c r="H1066" s="11" t="s">
        <v>8159</v>
      </c>
      <c r="I1066" s="11" t="s">
        <v>8158</v>
      </c>
      <c r="J1066" s="11" t="s">
        <v>8158</v>
      </c>
      <c r="K1066" s="9" t="s">
        <v>19094</v>
      </c>
      <c r="L1066" s="9" t="s">
        <v>17759</v>
      </c>
      <c r="M1066" s="9" t="s">
        <v>17817</v>
      </c>
      <c r="N1066" s="9" t="s">
        <v>17746</v>
      </c>
      <c r="O1066" s="9" t="s">
        <v>18009</v>
      </c>
      <c r="P1066" s="9" t="s">
        <v>17748</v>
      </c>
      <c r="Q1066" s="11" t="s">
        <v>18356</v>
      </c>
      <c r="R1066" s="11" t="s">
        <v>18356</v>
      </c>
      <c r="S1066" s="11" t="s">
        <v>17750</v>
      </c>
    </row>
    <row r="1067" spans="1:19" x14ac:dyDescent="0.2">
      <c r="A1067" s="11" t="s">
        <v>24376</v>
      </c>
      <c r="B1067" s="9" t="s">
        <v>24377</v>
      </c>
      <c r="C1067" s="9" t="s">
        <v>24378</v>
      </c>
      <c r="D1067" s="9" t="s">
        <v>24379</v>
      </c>
      <c r="E1067" s="9" t="s">
        <v>17748</v>
      </c>
      <c r="F1067" s="9" t="s">
        <v>24380</v>
      </c>
      <c r="G1067" s="9" t="s">
        <v>17740</v>
      </c>
      <c r="H1067" s="11" t="s">
        <v>24381</v>
      </c>
      <c r="I1067" s="11" t="s">
        <v>17741</v>
      </c>
      <c r="J1067" s="11" t="s">
        <v>24381</v>
      </c>
      <c r="K1067" s="9" t="s">
        <v>5891</v>
      </c>
      <c r="L1067" s="9" t="s">
        <v>17759</v>
      </c>
      <c r="M1067" s="9" t="s">
        <v>17760</v>
      </c>
      <c r="N1067" s="9" t="s">
        <v>17746</v>
      </c>
      <c r="O1067" s="9" t="s">
        <v>24382</v>
      </c>
      <c r="P1067" s="9" t="s">
        <v>17748</v>
      </c>
      <c r="Q1067" s="11" t="s">
        <v>17762</v>
      </c>
      <c r="R1067" s="11" t="s">
        <v>17762</v>
      </c>
      <c r="S1067" s="11" t="s">
        <v>17750</v>
      </c>
    </row>
    <row r="1068" spans="1:19" x14ac:dyDescent="0.2">
      <c r="A1068" s="11" t="s">
        <v>24383</v>
      </c>
      <c r="B1068" s="9" t="s">
        <v>24384</v>
      </c>
      <c r="C1068" s="9" t="s">
        <v>24385</v>
      </c>
      <c r="D1068" s="9" t="s">
        <v>24386</v>
      </c>
      <c r="E1068" s="9" t="s">
        <v>17740</v>
      </c>
      <c r="F1068" s="9" t="s">
        <v>24387</v>
      </c>
      <c r="G1068" s="9" t="s">
        <v>17740</v>
      </c>
      <c r="H1068" s="11" t="s">
        <v>17741</v>
      </c>
      <c r="I1068" s="11" t="s">
        <v>24388</v>
      </c>
      <c r="J1068" s="11" t="s">
        <v>24388</v>
      </c>
      <c r="K1068" s="9" t="s">
        <v>24389</v>
      </c>
      <c r="L1068" s="9" t="s">
        <v>17759</v>
      </c>
      <c r="M1068" s="9" t="s">
        <v>24390</v>
      </c>
      <c r="N1068" s="9" t="s">
        <v>17746</v>
      </c>
      <c r="O1068" s="9" t="s">
        <v>18340</v>
      </c>
      <c r="P1068" s="9" t="s">
        <v>17748</v>
      </c>
      <c r="Q1068" s="11" t="s">
        <v>18243</v>
      </c>
      <c r="R1068" s="11" t="s">
        <v>18243</v>
      </c>
      <c r="S1068" s="11" t="s">
        <v>17750</v>
      </c>
    </row>
    <row r="1069" spans="1:19" x14ac:dyDescent="0.2">
      <c r="A1069" s="11" t="s">
        <v>24391</v>
      </c>
      <c r="B1069" s="9" t="s">
        <v>1028</v>
      </c>
      <c r="C1069" s="9" t="s">
        <v>24392</v>
      </c>
      <c r="D1069" s="9" t="s">
        <v>1028</v>
      </c>
      <c r="E1069" s="9" t="s">
        <v>17740</v>
      </c>
      <c r="F1069" s="9" t="s">
        <v>17741</v>
      </c>
      <c r="G1069" s="9" t="s">
        <v>17740</v>
      </c>
      <c r="H1069" s="11" t="s">
        <v>1030</v>
      </c>
      <c r="I1069" s="11" t="s">
        <v>1029</v>
      </c>
      <c r="J1069" s="11" t="s">
        <v>1029</v>
      </c>
      <c r="K1069" s="9" t="s">
        <v>324</v>
      </c>
      <c r="L1069" s="9" t="s">
        <v>17759</v>
      </c>
      <c r="M1069" s="9" t="s">
        <v>19189</v>
      </c>
      <c r="N1069" s="9" t="s">
        <v>17746</v>
      </c>
      <c r="O1069" s="9" t="s">
        <v>18125</v>
      </c>
      <c r="P1069" s="9" t="s">
        <v>17748</v>
      </c>
      <c r="Q1069" s="11" t="s">
        <v>17771</v>
      </c>
      <c r="R1069" s="11" t="s">
        <v>17771</v>
      </c>
      <c r="S1069" s="11" t="s">
        <v>17750</v>
      </c>
    </row>
    <row r="1070" spans="1:19" x14ac:dyDescent="0.2">
      <c r="A1070" s="11" t="s">
        <v>24393</v>
      </c>
      <c r="B1070" s="9" t="s">
        <v>24394</v>
      </c>
      <c r="C1070" s="9" t="s">
        <v>24395</v>
      </c>
      <c r="D1070" s="9" t="s">
        <v>24396</v>
      </c>
      <c r="E1070" s="9" t="s">
        <v>17740</v>
      </c>
      <c r="F1070" s="9" t="s">
        <v>17741</v>
      </c>
      <c r="G1070" s="9" t="s">
        <v>17740</v>
      </c>
      <c r="H1070" s="11" t="s">
        <v>13349</v>
      </c>
      <c r="I1070" s="11" t="s">
        <v>13348</v>
      </c>
      <c r="J1070" s="11" t="s">
        <v>13348</v>
      </c>
      <c r="K1070" s="9" t="s">
        <v>10332</v>
      </c>
      <c r="L1070" s="9" t="s">
        <v>17759</v>
      </c>
      <c r="M1070" s="9" t="s">
        <v>21794</v>
      </c>
      <c r="N1070" s="9" t="s">
        <v>17746</v>
      </c>
      <c r="O1070" s="9" t="s">
        <v>18125</v>
      </c>
      <c r="P1070" s="9" t="s">
        <v>17748</v>
      </c>
      <c r="Q1070" s="11" t="s">
        <v>17917</v>
      </c>
      <c r="R1070" s="11" t="s">
        <v>17917</v>
      </c>
      <c r="S1070" s="11" t="s">
        <v>17750</v>
      </c>
    </row>
    <row r="1071" spans="1:19" x14ac:dyDescent="0.2">
      <c r="A1071" s="11" t="s">
        <v>24397</v>
      </c>
      <c r="B1071" s="9" t="s">
        <v>24398</v>
      </c>
      <c r="C1071" s="9" t="s">
        <v>24399</v>
      </c>
      <c r="D1071" s="9" t="s">
        <v>24400</v>
      </c>
      <c r="E1071" s="9" t="s">
        <v>17740</v>
      </c>
      <c r="F1071" s="9" t="s">
        <v>17741</v>
      </c>
      <c r="G1071" s="9" t="s">
        <v>17740</v>
      </c>
      <c r="H1071" s="11" t="s">
        <v>24401</v>
      </c>
      <c r="I1071" s="11" t="s">
        <v>24402</v>
      </c>
      <c r="J1071" s="11" t="s">
        <v>24402</v>
      </c>
      <c r="K1071" s="9" t="s">
        <v>18876</v>
      </c>
      <c r="L1071" s="9" t="s">
        <v>18001</v>
      </c>
      <c r="M1071" s="9" t="s">
        <v>17778</v>
      </c>
      <c r="N1071" s="9" t="s">
        <v>17746</v>
      </c>
      <c r="O1071" s="9" t="s">
        <v>24403</v>
      </c>
      <c r="P1071" s="9" t="s">
        <v>17748</v>
      </c>
      <c r="Q1071" s="11" t="s">
        <v>17784</v>
      </c>
      <c r="R1071" s="11" t="s">
        <v>17784</v>
      </c>
      <c r="S1071" s="11" t="s">
        <v>17750</v>
      </c>
    </row>
    <row r="1072" spans="1:19" x14ac:dyDescent="0.2">
      <c r="A1072" s="11" t="s">
        <v>24404</v>
      </c>
      <c r="B1072" s="9" t="s">
        <v>24405</v>
      </c>
      <c r="C1072" s="9" t="s">
        <v>24406</v>
      </c>
      <c r="D1072" s="9" t="s">
        <v>24407</v>
      </c>
      <c r="E1072" s="9" t="s">
        <v>17748</v>
      </c>
      <c r="F1072" s="9" t="s">
        <v>24408</v>
      </c>
      <c r="G1072" s="9" t="s">
        <v>17740</v>
      </c>
      <c r="H1072" s="11" t="s">
        <v>1322</v>
      </c>
      <c r="I1072" s="11" t="s">
        <v>1321</v>
      </c>
      <c r="J1072" s="11" t="s">
        <v>1321</v>
      </c>
      <c r="K1072" s="9" t="s">
        <v>18727</v>
      </c>
      <c r="L1072" s="9" t="s">
        <v>18158</v>
      </c>
      <c r="M1072" s="9" t="s">
        <v>17817</v>
      </c>
      <c r="N1072" s="9" t="s">
        <v>17746</v>
      </c>
      <c r="O1072" s="9" t="s">
        <v>20154</v>
      </c>
      <c r="P1072" s="9" t="s">
        <v>17748</v>
      </c>
      <c r="Q1072" s="11" t="s">
        <v>17771</v>
      </c>
      <c r="R1072" s="11" t="s">
        <v>17771</v>
      </c>
      <c r="S1072" s="11" t="s">
        <v>17750</v>
      </c>
    </row>
    <row r="1073" spans="1:19" x14ac:dyDescent="0.2">
      <c r="A1073" s="11" t="s">
        <v>24409</v>
      </c>
      <c r="B1073" s="9" t="s">
        <v>24410</v>
      </c>
      <c r="C1073" s="9" t="s">
        <v>24411</v>
      </c>
      <c r="D1073" s="9" t="s">
        <v>24412</v>
      </c>
      <c r="E1073" s="9" t="s">
        <v>17748</v>
      </c>
      <c r="F1073" s="9" t="s">
        <v>24413</v>
      </c>
      <c r="G1073" s="9" t="s">
        <v>17740</v>
      </c>
      <c r="H1073" s="11" t="s">
        <v>24414</v>
      </c>
      <c r="I1073" s="11" t="s">
        <v>24415</v>
      </c>
      <c r="J1073" s="11" t="s">
        <v>24415</v>
      </c>
      <c r="K1073" s="9" t="s">
        <v>940</v>
      </c>
      <c r="L1073" s="9" t="s">
        <v>17759</v>
      </c>
      <c r="M1073" s="9" t="s">
        <v>18065</v>
      </c>
      <c r="N1073" s="9" t="s">
        <v>17746</v>
      </c>
      <c r="O1073" s="9" t="s">
        <v>24416</v>
      </c>
      <c r="P1073" s="9" t="s">
        <v>17748</v>
      </c>
      <c r="Q1073" s="11" t="s">
        <v>18201</v>
      </c>
      <c r="R1073" s="11" t="s">
        <v>18201</v>
      </c>
      <c r="S1073" s="11" t="s">
        <v>17750</v>
      </c>
    </row>
    <row r="1074" spans="1:19" x14ac:dyDescent="0.2">
      <c r="A1074" s="11" t="s">
        <v>24417</v>
      </c>
      <c r="B1074" s="9" t="s">
        <v>24418</v>
      </c>
      <c r="C1074" s="9" t="s">
        <v>24419</v>
      </c>
      <c r="D1074" s="9" t="s">
        <v>24420</v>
      </c>
      <c r="E1074" s="9" t="s">
        <v>17740</v>
      </c>
      <c r="F1074" s="9" t="s">
        <v>17741</v>
      </c>
      <c r="G1074" s="9" t="s">
        <v>17740</v>
      </c>
      <c r="H1074" s="11" t="s">
        <v>982</v>
      </c>
      <c r="I1074" s="11" t="s">
        <v>981</v>
      </c>
      <c r="J1074" s="11" t="s">
        <v>981</v>
      </c>
      <c r="K1074" s="9" t="s">
        <v>970</v>
      </c>
      <c r="L1074" s="9" t="s">
        <v>17744</v>
      </c>
      <c r="M1074" s="9" t="s">
        <v>18177</v>
      </c>
      <c r="N1074" s="9" t="s">
        <v>17746</v>
      </c>
      <c r="O1074" s="9" t="s">
        <v>22302</v>
      </c>
      <c r="P1074" s="9" t="s">
        <v>17748</v>
      </c>
      <c r="Q1074" s="11" t="s">
        <v>17978</v>
      </c>
      <c r="R1074" s="11" t="s">
        <v>17978</v>
      </c>
      <c r="S1074" s="11" t="s">
        <v>17750</v>
      </c>
    </row>
    <row r="1075" spans="1:19" x14ac:dyDescent="0.2">
      <c r="A1075" s="11" t="s">
        <v>24421</v>
      </c>
      <c r="B1075" s="9" t="s">
        <v>24422</v>
      </c>
      <c r="C1075" s="9" t="s">
        <v>24423</v>
      </c>
      <c r="D1075" s="9" t="s">
        <v>24424</v>
      </c>
      <c r="E1075" s="9" t="s">
        <v>17740</v>
      </c>
      <c r="F1075" s="9" t="s">
        <v>17741</v>
      </c>
      <c r="G1075" s="9" t="s">
        <v>17740</v>
      </c>
      <c r="H1075" s="11" t="s">
        <v>994</v>
      </c>
      <c r="I1075" s="11" t="s">
        <v>993</v>
      </c>
      <c r="J1075" s="11" t="s">
        <v>993</v>
      </c>
      <c r="K1075" s="9" t="s">
        <v>18876</v>
      </c>
      <c r="L1075" s="9" t="s">
        <v>18001</v>
      </c>
      <c r="M1075" s="9" t="s">
        <v>18065</v>
      </c>
      <c r="N1075" s="9" t="s">
        <v>17746</v>
      </c>
      <c r="O1075" s="9" t="s">
        <v>24425</v>
      </c>
      <c r="P1075" s="9" t="s">
        <v>17748</v>
      </c>
      <c r="Q1075" s="11" t="s">
        <v>18341</v>
      </c>
      <c r="R1075" s="11" t="s">
        <v>18341</v>
      </c>
      <c r="S1075" s="11" t="s">
        <v>17750</v>
      </c>
    </row>
    <row r="1076" spans="1:19" x14ac:dyDescent="0.2">
      <c r="A1076" s="11" t="s">
        <v>24426</v>
      </c>
      <c r="B1076" s="9" t="s">
        <v>24427</v>
      </c>
      <c r="C1076" s="9" t="s">
        <v>24428</v>
      </c>
      <c r="D1076" s="9" t="s">
        <v>24429</v>
      </c>
      <c r="E1076" s="9" t="s">
        <v>17748</v>
      </c>
      <c r="F1076" s="9" t="s">
        <v>24430</v>
      </c>
      <c r="G1076" s="9" t="s">
        <v>17740</v>
      </c>
      <c r="H1076" s="11" t="s">
        <v>6037</v>
      </c>
      <c r="I1076" s="11" t="s">
        <v>6036</v>
      </c>
      <c r="J1076" s="11" t="s">
        <v>6036</v>
      </c>
      <c r="K1076" s="9" t="s">
        <v>24431</v>
      </c>
      <c r="L1076" s="9" t="s">
        <v>17744</v>
      </c>
      <c r="M1076" s="9" t="s">
        <v>17817</v>
      </c>
      <c r="N1076" s="9" t="s">
        <v>17746</v>
      </c>
      <c r="O1076" s="9" t="s">
        <v>18125</v>
      </c>
      <c r="P1076" s="9" t="s">
        <v>17748</v>
      </c>
      <c r="Q1076" s="11" t="s">
        <v>17792</v>
      </c>
      <c r="R1076" s="11" t="s">
        <v>17792</v>
      </c>
      <c r="S1076" s="11" t="s">
        <v>17750</v>
      </c>
    </row>
    <row r="1077" spans="1:19" x14ac:dyDescent="0.2">
      <c r="A1077" s="11" t="s">
        <v>24432</v>
      </c>
      <c r="B1077" s="9" t="s">
        <v>24433</v>
      </c>
      <c r="C1077" s="9" t="s">
        <v>24434</v>
      </c>
      <c r="D1077" s="9" t="s">
        <v>1022</v>
      </c>
      <c r="E1077" s="9" t="s">
        <v>17740</v>
      </c>
      <c r="F1077" s="9" t="s">
        <v>17741</v>
      </c>
      <c r="G1077" s="9" t="s">
        <v>17740</v>
      </c>
      <c r="H1077" s="11" t="s">
        <v>1024</v>
      </c>
      <c r="I1077" s="11" t="s">
        <v>1023</v>
      </c>
      <c r="J1077" s="11" t="s">
        <v>1023</v>
      </c>
      <c r="K1077" s="9" t="s">
        <v>91</v>
      </c>
      <c r="L1077" s="9" t="s">
        <v>18001</v>
      </c>
      <c r="M1077" s="9" t="s">
        <v>17817</v>
      </c>
      <c r="N1077" s="9" t="s">
        <v>17746</v>
      </c>
      <c r="O1077" s="9" t="s">
        <v>24435</v>
      </c>
      <c r="P1077" s="9" t="s">
        <v>17748</v>
      </c>
      <c r="Q1077" s="11" t="s">
        <v>19222</v>
      </c>
      <c r="R1077" s="11" t="s">
        <v>19222</v>
      </c>
      <c r="S1077" s="11" t="s">
        <v>17750</v>
      </c>
    </row>
    <row r="1078" spans="1:19" x14ac:dyDescent="0.2">
      <c r="A1078" s="11" t="s">
        <v>24436</v>
      </c>
      <c r="B1078" s="9" t="s">
        <v>24437</v>
      </c>
      <c r="C1078" s="9" t="s">
        <v>24438</v>
      </c>
      <c r="D1078" s="9" t="s">
        <v>24439</v>
      </c>
      <c r="E1078" s="9" t="s">
        <v>17748</v>
      </c>
      <c r="F1078" s="9" t="s">
        <v>24440</v>
      </c>
      <c r="G1078" s="9" t="s">
        <v>17740</v>
      </c>
      <c r="H1078" s="11" t="s">
        <v>9351</v>
      </c>
      <c r="I1078" s="11" t="s">
        <v>9350</v>
      </c>
      <c r="J1078" s="11" t="s">
        <v>9351</v>
      </c>
      <c r="K1078" s="9" t="s">
        <v>291</v>
      </c>
      <c r="L1078" s="9" t="s">
        <v>17744</v>
      </c>
      <c r="M1078" s="9" t="s">
        <v>21625</v>
      </c>
      <c r="N1078" s="9" t="s">
        <v>17746</v>
      </c>
      <c r="O1078" s="9" t="s">
        <v>18125</v>
      </c>
      <c r="P1078" s="9" t="s">
        <v>17748</v>
      </c>
      <c r="Q1078" s="11" t="s">
        <v>18922</v>
      </c>
      <c r="R1078" s="11" t="s">
        <v>18922</v>
      </c>
      <c r="S1078" s="11" t="s">
        <v>17750</v>
      </c>
    </row>
    <row r="1079" spans="1:19" x14ac:dyDescent="0.2">
      <c r="A1079" s="11" t="s">
        <v>24441</v>
      </c>
      <c r="B1079" s="9" t="s">
        <v>24442</v>
      </c>
      <c r="C1079" s="9" t="s">
        <v>24443</v>
      </c>
      <c r="D1079" s="9" t="s">
        <v>24444</v>
      </c>
      <c r="E1079" s="9" t="s">
        <v>17740</v>
      </c>
      <c r="F1079" s="9" t="s">
        <v>17741</v>
      </c>
      <c r="G1079" s="9" t="s">
        <v>17740</v>
      </c>
      <c r="H1079" s="11" t="s">
        <v>11041</v>
      </c>
      <c r="I1079" s="11" t="s">
        <v>17741</v>
      </c>
      <c r="J1079" s="11" t="s">
        <v>11041</v>
      </c>
      <c r="K1079" s="9" t="s">
        <v>24445</v>
      </c>
      <c r="L1079" s="9" t="s">
        <v>17744</v>
      </c>
      <c r="M1079" s="9" t="s">
        <v>17741</v>
      </c>
      <c r="N1079" s="9" t="s">
        <v>17746</v>
      </c>
      <c r="O1079" s="9" t="s">
        <v>22302</v>
      </c>
      <c r="P1079" s="9" t="s">
        <v>17748</v>
      </c>
      <c r="Q1079" s="11" t="s">
        <v>17858</v>
      </c>
      <c r="R1079" s="11" t="s">
        <v>17858</v>
      </c>
      <c r="S1079" s="11" t="s">
        <v>17750</v>
      </c>
    </row>
    <row r="1080" spans="1:19" x14ac:dyDescent="0.2">
      <c r="A1080" s="11" t="s">
        <v>24446</v>
      </c>
      <c r="B1080" s="9" t="s">
        <v>24447</v>
      </c>
      <c r="C1080" s="9" t="s">
        <v>24448</v>
      </c>
      <c r="D1080" s="9" t="s">
        <v>10370</v>
      </c>
      <c r="E1080" s="9" t="s">
        <v>17740</v>
      </c>
      <c r="F1080" s="9" t="s">
        <v>17741</v>
      </c>
      <c r="G1080" s="9" t="s">
        <v>17740</v>
      </c>
      <c r="H1080" s="11" t="s">
        <v>10372</v>
      </c>
      <c r="I1080" s="11" t="s">
        <v>10371</v>
      </c>
      <c r="J1080" s="11" t="s">
        <v>10372</v>
      </c>
      <c r="K1080" s="9" t="s">
        <v>10332</v>
      </c>
      <c r="L1080" s="9" t="s">
        <v>17759</v>
      </c>
      <c r="M1080" s="9" t="s">
        <v>20397</v>
      </c>
      <c r="N1080" s="9" t="s">
        <v>17746</v>
      </c>
      <c r="O1080" s="9" t="s">
        <v>18125</v>
      </c>
      <c r="P1080" s="9" t="s">
        <v>17748</v>
      </c>
      <c r="Q1080" s="11" t="s">
        <v>17994</v>
      </c>
      <c r="R1080" s="11" t="s">
        <v>17994</v>
      </c>
      <c r="S1080" s="11" t="s">
        <v>17750</v>
      </c>
    </row>
    <row r="1081" spans="1:19" x14ac:dyDescent="0.2">
      <c r="A1081" s="11" t="s">
        <v>24449</v>
      </c>
      <c r="B1081" s="9" t="s">
        <v>24450</v>
      </c>
      <c r="C1081" s="9" t="s">
        <v>24451</v>
      </c>
      <c r="D1081" s="9" t="s">
        <v>24452</v>
      </c>
      <c r="E1081" s="9" t="s">
        <v>17740</v>
      </c>
      <c r="F1081" s="9" t="s">
        <v>17741</v>
      </c>
      <c r="G1081" s="9" t="s">
        <v>17740</v>
      </c>
      <c r="H1081" s="11" t="s">
        <v>14589</v>
      </c>
      <c r="I1081" s="11" t="s">
        <v>17741</v>
      </c>
      <c r="J1081" s="11" t="s">
        <v>17741</v>
      </c>
      <c r="K1081" s="9" t="s">
        <v>19584</v>
      </c>
      <c r="L1081" s="9" t="s">
        <v>17744</v>
      </c>
      <c r="M1081" s="9" t="s">
        <v>17817</v>
      </c>
      <c r="N1081" s="9" t="s">
        <v>17746</v>
      </c>
      <c r="O1081" s="9" t="s">
        <v>24453</v>
      </c>
      <c r="P1081" s="9" t="s">
        <v>17748</v>
      </c>
      <c r="Q1081" s="11" t="s">
        <v>17900</v>
      </c>
      <c r="R1081" s="11" t="s">
        <v>17900</v>
      </c>
      <c r="S1081" s="11" t="s">
        <v>17750</v>
      </c>
    </row>
    <row r="1082" spans="1:19" x14ac:dyDescent="0.2">
      <c r="A1082" s="11" t="s">
        <v>24454</v>
      </c>
      <c r="B1082" s="9" t="s">
        <v>24455</v>
      </c>
      <c r="C1082" s="9" t="s">
        <v>24456</v>
      </c>
      <c r="D1082" s="9" t="s">
        <v>24457</v>
      </c>
      <c r="E1082" s="9" t="s">
        <v>17740</v>
      </c>
      <c r="F1082" s="9" t="s">
        <v>17741</v>
      </c>
      <c r="G1082" s="9" t="s">
        <v>17740</v>
      </c>
      <c r="H1082" s="11" t="s">
        <v>6850</v>
      </c>
      <c r="I1082" s="11" t="s">
        <v>6849</v>
      </c>
      <c r="J1082" s="11" t="s">
        <v>6849</v>
      </c>
      <c r="K1082" s="9" t="s">
        <v>315</v>
      </c>
      <c r="L1082" s="9" t="s">
        <v>17744</v>
      </c>
      <c r="M1082" s="9" t="s">
        <v>18289</v>
      </c>
      <c r="N1082" s="9" t="s">
        <v>17746</v>
      </c>
      <c r="O1082" s="9" t="s">
        <v>18125</v>
      </c>
      <c r="P1082" s="9" t="s">
        <v>17748</v>
      </c>
      <c r="Q1082" s="11" t="s">
        <v>17808</v>
      </c>
      <c r="R1082" s="11" t="s">
        <v>17808</v>
      </c>
      <c r="S1082" s="11" t="s">
        <v>17750</v>
      </c>
    </row>
    <row r="1083" spans="1:19" x14ac:dyDescent="0.2">
      <c r="A1083" s="11" t="s">
        <v>24458</v>
      </c>
      <c r="B1083" s="9" t="s">
        <v>24459</v>
      </c>
      <c r="C1083" s="9" t="s">
        <v>24460</v>
      </c>
      <c r="D1083" s="9" t="s">
        <v>24461</v>
      </c>
      <c r="E1083" s="9" t="s">
        <v>17740</v>
      </c>
      <c r="F1083" s="9" t="s">
        <v>17741</v>
      </c>
      <c r="G1083" s="9" t="s">
        <v>17740</v>
      </c>
      <c r="H1083" s="11" t="s">
        <v>12055</v>
      </c>
      <c r="I1083" s="11" t="s">
        <v>12054</v>
      </c>
      <c r="J1083" s="11" t="s">
        <v>12054</v>
      </c>
      <c r="K1083" s="9" t="s">
        <v>324</v>
      </c>
      <c r="L1083" s="9" t="s">
        <v>17759</v>
      </c>
      <c r="M1083" s="9" t="s">
        <v>17817</v>
      </c>
      <c r="N1083" s="9" t="s">
        <v>17746</v>
      </c>
      <c r="O1083" s="9" t="s">
        <v>18746</v>
      </c>
      <c r="P1083" s="9" t="s">
        <v>17748</v>
      </c>
      <c r="Q1083" s="11" t="s">
        <v>17917</v>
      </c>
      <c r="R1083" s="11" t="s">
        <v>17917</v>
      </c>
      <c r="S1083" s="11" t="s">
        <v>17750</v>
      </c>
    </row>
    <row r="1084" spans="1:19" x14ac:dyDescent="0.2">
      <c r="A1084" s="11" t="s">
        <v>24462</v>
      </c>
      <c r="B1084" s="9" t="s">
        <v>24463</v>
      </c>
      <c r="C1084" s="9" t="s">
        <v>24464</v>
      </c>
      <c r="D1084" s="9" t="s">
        <v>24465</v>
      </c>
      <c r="E1084" s="9" t="s">
        <v>17740</v>
      </c>
      <c r="F1084" s="9" t="s">
        <v>17741</v>
      </c>
      <c r="G1084" s="9" t="s">
        <v>17740</v>
      </c>
      <c r="H1084" s="11" t="s">
        <v>11063</v>
      </c>
      <c r="I1084" s="11" t="s">
        <v>11062</v>
      </c>
      <c r="J1084" s="11" t="s">
        <v>11062</v>
      </c>
      <c r="K1084" s="9" t="s">
        <v>324</v>
      </c>
      <c r="L1084" s="9" t="s">
        <v>17759</v>
      </c>
      <c r="M1084" s="9" t="s">
        <v>17817</v>
      </c>
      <c r="N1084" s="9" t="s">
        <v>17746</v>
      </c>
      <c r="O1084" s="9" t="s">
        <v>24435</v>
      </c>
      <c r="P1084" s="9" t="s">
        <v>17748</v>
      </c>
      <c r="Q1084" s="11" t="s">
        <v>17984</v>
      </c>
      <c r="R1084" s="11" t="s">
        <v>17984</v>
      </c>
      <c r="S1084" s="11" t="s">
        <v>17750</v>
      </c>
    </row>
    <row r="1085" spans="1:19" x14ac:dyDescent="0.2">
      <c r="A1085" s="11" t="s">
        <v>24466</v>
      </c>
      <c r="B1085" s="9" t="s">
        <v>24467</v>
      </c>
      <c r="C1085" s="9" t="s">
        <v>24468</v>
      </c>
      <c r="D1085" s="9" t="s">
        <v>24469</v>
      </c>
      <c r="E1085" s="9" t="s">
        <v>17740</v>
      </c>
      <c r="F1085" s="9" t="s">
        <v>24470</v>
      </c>
      <c r="G1085" s="9" t="s">
        <v>17740</v>
      </c>
      <c r="H1085" s="11" t="s">
        <v>5438</v>
      </c>
      <c r="I1085" s="11" t="s">
        <v>5437</v>
      </c>
      <c r="J1085" s="11" t="s">
        <v>5437</v>
      </c>
      <c r="K1085" s="9" t="s">
        <v>24471</v>
      </c>
      <c r="L1085" s="9" t="s">
        <v>17744</v>
      </c>
      <c r="M1085" s="9" t="s">
        <v>17769</v>
      </c>
      <c r="N1085" s="9" t="s">
        <v>17746</v>
      </c>
      <c r="O1085" s="9" t="s">
        <v>18125</v>
      </c>
      <c r="P1085" s="9" t="s">
        <v>17748</v>
      </c>
      <c r="Q1085" s="11" t="s">
        <v>18080</v>
      </c>
      <c r="R1085" s="11" t="s">
        <v>18080</v>
      </c>
      <c r="S1085" s="11" t="s">
        <v>17750</v>
      </c>
    </row>
    <row r="1086" spans="1:19" x14ac:dyDescent="0.2">
      <c r="A1086" s="11" t="s">
        <v>24472</v>
      </c>
      <c r="B1086" s="9" t="s">
        <v>24473</v>
      </c>
      <c r="C1086" s="9" t="s">
        <v>24474</v>
      </c>
      <c r="D1086" s="9" t="s">
        <v>24475</v>
      </c>
      <c r="E1086" s="9" t="s">
        <v>17740</v>
      </c>
      <c r="F1086" s="9" t="s">
        <v>17741</v>
      </c>
      <c r="G1086" s="9" t="s">
        <v>17740</v>
      </c>
      <c r="H1086" s="11" t="s">
        <v>16001</v>
      </c>
      <c r="I1086" s="11" t="s">
        <v>17741</v>
      </c>
      <c r="J1086" s="11" t="s">
        <v>17741</v>
      </c>
      <c r="K1086" s="9" t="s">
        <v>324</v>
      </c>
      <c r="L1086" s="9" t="s">
        <v>17759</v>
      </c>
      <c r="M1086" s="9" t="s">
        <v>17817</v>
      </c>
      <c r="N1086" s="9" t="s">
        <v>17746</v>
      </c>
      <c r="O1086" s="9" t="s">
        <v>19917</v>
      </c>
      <c r="P1086" s="9" t="s">
        <v>17748</v>
      </c>
      <c r="Q1086" s="11" t="s">
        <v>17923</v>
      </c>
      <c r="R1086" s="11" t="s">
        <v>17923</v>
      </c>
      <c r="S1086" s="11" t="s">
        <v>17750</v>
      </c>
    </row>
    <row r="1087" spans="1:19" x14ac:dyDescent="0.2">
      <c r="A1087" s="11" t="s">
        <v>24476</v>
      </c>
      <c r="B1087" s="9" t="s">
        <v>24477</v>
      </c>
      <c r="C1087" s="9" t="s">
        <v>24478</v>
      </c>
      <c r="D1087" s="9" t="s">
        <v>24479</v>
      </c>
      <c r="E1087" s="9" t="s">
        <v>17740</v>
      </c>
      <c r="F1087" s="9" t="s">
        <v>17741</v>
      </c>
      <c r="G1087" s="9" t="s">
        <v>17740</v>
      </c>
      <c r="H1087" s="11" t="s">
        <v>24480</v>
      </c>
      <c r="I1087" s="11" t="s">
        <v>24481</v>
      </c>
      <c r="J1087" s="11" t="s">
        <v>24481</v>
      </c>
      <c r="K1087" s="9" t="s">
        <v>315</v>
      </c>
      <c r="L1087" s="9" t="s">
        <v>17744</v>
      </c>
      <c r="M1087" s="9" t="s">
        <v>18417</v>
      </c>
      <c r="N1087" s="9" t="s">
        <v>17746</v>
      </c>
      <c r="O1087" s="9" t="s">
        <v>18125</v>
      </c>
      <c r="P1087" s="9" t="s">
        <v>17748</v>
      </c>
      <c r="Q1087" s="11" t="s">
        <v>17749</v>
      </c>
      <c r="R1087" s="11" t="s">
        <v>17749</v>
      </c>
      <c r="S1087" s="11" t="s">
        <v>17750</v>
      </c>
    </row>
    <row r="1088" spans="1:19" x14ac:dyDescent="0.2">
      <c r="A1088" s="11" t="s">
        <v>24482</v>
      </c>
      <c r="B1088" s="9" t="s">
        <v>24483</v>
      </c>
      <c r="C1088" s="9" t="s">
        <v>24484</v>
      </c>
      <c r="D1088" s="9" t="s">
        <v>12056</v>
      </c>
      <c r="E1088" s="9" t="s">
        <v>17740</v>
      </c>
      <c r="F1088" s="9" t="s">
        <v>17741</v>
      </c>
      <c r="G1088" s="9" t="s">
        <v>17740</v>
      </c>
      <c r="H1088" s="11" t="s">
        <v>12058</v>
      </c>
      <c r="I1088" s="11" t="s">
        <v>12057</v>
      </c>
      <c r="J1088" s="11" t="s">
        <v>17741</v>
      </c>
      <c r="K1088" s="9" t="s">
        <v>324</v>
      </c>
      <c r="L1088" s="9" t="s">
        <v>17759</v>
      </c>
      <c r="M1088" s="9" t="s">
        <v>17817</v>
      </c>
      <c r="N1088" s="9" t="s">
        <v>17746</v>
      </c>
      <c r="O1088" s="9" t="s">
        <v>18125</v>
      </c>
      <c r="P1088" s="9" t="s">
        <v>17748</v>
      </c>
      <c r="Q1088" s="11" t="s">
        <v>17917</v>
      </c>
      <c r="R1088" s="11" t="s">
        <v>17917</v>
      </c>
      <c r="S1088" s="11" t="s">
        <v>17750</v>
      </c>
    </row>
    <row r="1089" spans="1:19" x14ac:dyDescent="0.2">
      <c r="A1089" s="11" t="s">
        <v>24485</v>
      </c>
      <c r="B1089" s="9" t="s">
        <v>24486</v>
      </c>
      <c r="C1089" s="9" t="s">
        <v>24487</v>
      </c>
      <c r="D1089" s="9" t="s">
        <v>24488</v>
      </c>
      <c r="E1089" s="9" t="s">
        <v>17740</v>
      </c>
      <c r="F1089" s="9" t="s">
        <v>17741</v>
      </c>
      <c r="G1089" s="9" t="s">
        <v>17740</v>
      </c>
      <c r="H1089" s="11" t="s">
        <v>7152</v>
      </c>
      <c r="I1089" s="11" t="s">
        <v>7151</v>
      </c>
      <c r="J1089" s="11" t="s">
        <v>7151</v>
      </c>
      <c r="K1089" s="9" t="s">
        <v>17783</v>
      </c>
      <c r="L1089" s="9" t="s">
        <v>18001</v>
      </c>
      <c r="M1089" s="9" t="s">
        <v>18533</v>
      </c>
      <c r="N1089" s="9" t="s">
        <v>17746</v>
      </c>
      <c r="O1089" s="9" t="s">
        <v>18125</v>
      </c>
      <c r="P1089" s="9" t="s">
        <v>17748</v>
      </c>
      <c r="Q1089" s="11" t="s">
        <v>18201</v>
      </c>
      <c r="R1089" s="11" t="s">
        <v>18201</v>
      </c>
      <c r="S1089" s="11" t="s">
        <v>17750</v>
      </c>
    </row>
    <row r="1090" spans="1:19" x14ac:dyDescent="0.2">
      <c r="A1090" s="11" t="s">
        <v>24489</v>
      </c>
      <c r="B1090" s="9" t="s">
        <v>24490</v>
      </c>
      <c r="C1090" s="9" t="s">
        <v>24491</v>
      </c>
      <c r="D1090" s="9" t="s">
        <v>24492</v>
      </c>
      <c r="E1090" s="9" t="s">
        <v>17740</v>
      </c>
      <c r="F1090" s="9" t="s">
        <v>17741</v>
      </c>
      <c r="G1090" s="9" t="s">
        <v>17740</v>
      </c>
      <c r="H1090" s="11" t="s">
        <v>1303</v>
      </c>
      <c r="I1090" s="11" t="s">
        <v>1302</v>
      </c>
      <c r="J1090" s="11" t="s">
        <v>1302</v>
      </c>
      <c r="K1090" s="9" t="s">
        <v>1304</v>
      </c>
      <c r="L1090" s="9" t="s">
        <v>18242</v>
      </c>
      <c r="M1090" s="9" t="s">
        <v>24493</v>
      </c>
      <c r="N1090" s="9" t="s">
        <v>17746</v>
      </c>
      <c r="O1090" s="9" t="s">
        <v>18125</v>
      </c>
      <c r="P1090" s="9" t="s">
        <v>17748</v>
      </c>
      <c r="Q1090" s="11" t="s">
        <v>18608</v>
      </c>
      <c r="R1090" s="11" t="s">
        <v>18608</v>
      </c>
      <c r="S1090" s="11" t="s">
        <v>17750</v>
      </c>
    </row>
    <row r="1091" spans="1:19" x14ac:dyDescent="0.2">
      <c r="A1091" s="11" t="s">
        <v>24494</v>
      </c>
      <c r="B1091" s="9" t="s">
        <v>24495</v>
      </c>
      <c r="C1091" s="9" t="s">
        <v>24496</v>
      </c>
      <c r="D1091" s="9" t="s">
        <v>24497</v>
      </c>
      <c r="E1091" s="9" t="s">
        <v>17740</v>
      </c>
      <c r="F1091" s="9" t="s">
        <v>17741</v>
      </c>
      <c r="G1091" s="9" t="s">
        <v>17740</v>
      </c>
      <c r="H1091" s="11" t="s">
        <v>24498</v>
      </c>
      <c r="I1091" s="11" t="s">
        <v>5765</v>
      </c>
      <c r="J1091" s="11" t="s">
        <v>5765</v>
      </c>
      <c r="K1091" s="9" t="s">
        <v>24499</v>
      </c>
      <c r="L1091" s="9" t="s">
        <v>17759</v>
      </c>
      <c r="M1091" s="9" t="s">
        <v>17769</v>
      </c>
      <c r="N1091" s="9" t="s">
        <v>17746</v>
      </c>
      <c r="O1091" s="9" t="s">
        <v>24500</v>
      </c>
      <c r="P1091" s="9" t="s">
        <v>17748</v>
      </c>
      <c r="Q1091" s="11" t="s">
        <v>18147</v>
      </c>
      <c r="R1091" s="11" t="s">
        <v>18147</v>
      </c>
      <c r="S1091" s="11" t="s">
        <v>17750</v>
      </c>
    </row>
    <row r="1092" spans="1:19" x14ac:dyDescent="0.2">
      <c r="A1092" s="11" t="s">
        <v>24501</v>
      </c>
      <c r="B1092" s="9" t="s">
        <v>24502</v>
      </c>
      <c r="C1092" s="9" t="s">
        <v>24503</v>
      </c>
      <c r="D1092" s="9" t="s">
        <v>8117</v>
      </c>
      <c r="E1092" s="9" t="s">
        <v>17748</v>
      </c>
      <c r="F1092" s="9" t="s">
        <v>24504</v>
      </c>
      <c r="G1092" s="9" t="s">
        <v>17740</v>
      </c>
      <c r="H1092" s="11" t="s">
        <v>8119</v>
      </c>
      <c r="I1092" s="11" t="s">
        <v>8118</v>
      </c>
      <c r="J1092" s="11" t="s">
        <v>8118</v>
      </c>
      <c r="K1092" s="9" t="s">
        <v>18122</v>
      </c>
      <c r="L1092" s="9" t="s">
        <v>18123</v>
      </c>
      <c r="M1092" s="9" t="s">
        <v>24505</v>
      </c>
      <c r="N1092" s="9" t="s">
        <v>17746</v>
      </c>
      <c r="O1092" s="9" t="s">
        <v>24506</v>
      </c>
      <c r="P1092" s="9" t="s">
        <v>17748</v>
      </c>
      <c r="Q1092" s="11" t="s">
        <v>18356</v>
      </c>
      <c r="R1092" s="11" t="s">
        <v>18356</v>
      </c>
      <c r="S1092" s="11" t="s">
        <v>17750</v>
      </c>
    </row>
    <row r="1093" spans="1:19" x14ac:dyDescent="0.2">
      <c r="A1093" s="11" t="s">
        <v>24507</v>
      </c>
      <c r="B1093" s="9" t="s">
        <v>24508</v>
      </c>
      <c r="C1093" s="9" t="s">
        <v>24509</v>
      </c>
      <c r="D1093" s="9" t="s">
        <v>24510</v>
      </c>
      <c r="E1093" s="9" t="s">
        <v>17740</v>
      </c>
      <c r="F1093" s="9" t="s">
        <v>17741</v>
      </c>
      <c r="G1093" s="9" t="s">
        <v>17740</v>
      </c>
      <c r="H1093" s="11" t="s">
        <v>7654</v>
      </c>
      <c r="I1093" s="11" t="s">
        <v>7653</v>
      </c>
      <c r="J1093" s="11" t="s">
        <v>7653</v>
      </c>
      <c r="K1093" s="9" t="s">
        <v>15267</v>
      </c>
      <c r="L1093" s="9" t="s">
        <v>17967</v>
      </c>
      <c r="M1093" s="9" t="s">
        <v>17760</v>
      </c>
      <c r="N1093" s="9" t="s">
        <v>17746</v>
      </c>
      <c r="O1093" s="9" t="s">
        <v>19917</v>
      </c>
      <c r="P1093" s="9" t="s">
        <v>17748</v>
      </c>
      <c r="Q1093" s="11" t="s">
        <v>18201</v>
      </c>
      <c r="R1093" s="11" t="s">
        <v>18201</v>
      </c>
      <c r="S1093" s="11" t="s">
        <v>17750</v>
      </c>
    </row>
    <row r="1094" spans="1:19" x14ac:dyDescent="0.2">
      <c r="A1094" s="11" t="s">
        <v>24511</v>
      </c>
      <c r="B1094" s="9" t="s">
        <v>24512</v>
      </c>
      <c r="C1094" s="9" t="s">
        <v>24513</v>
      </c>
      <c r="D1094" s="9" t="s">
        <v>24514</v>
      </c>
      <c r="E1094" s="9" t="s">
        <v>17740</v>
      </c>
      <c r="F1094" s="9" t="s">
        <v>17741</v>
      </c>
      <c r="G1094" s="9" t="s">
        <v>17740</v>
      </c>
      <c r="H1094" s="11" t="s">
        <v>24515</v>
      </c>
      <c r="I1094" s="11" t="s">
        <v>13761</v>
      </c>
      <c r="J1094" s="11" t="s">
        <v>13761</v>
      </c>
      <c r="K1094" s="9" t="s">
        <v>13762</v>
      </c>
      <c r="L1094" s="9" t="s">
        <v>17958</v>
      </c>
      <c r="M1094" s="9" t="s">
        <v>17769</v>
      </c>
      <c r="N1094" s="9" t="s">
        <v>17746</v>
      </c>
      <c r="O1094" s="9" t="s">
        <v>18882</v>
      </c>
      <c r="P1094" s="9" t="s">
        <v>17748</v>
      </c>
      <c r="Q1094" s="11" t="s">
        <v>17780</v>
      </c>
      <c r="R1094" s="11" t="s">
        <v>17780</v>
      </c>
      <c r="S1094" s="11" t="s">
        <v>17750</v>
      </c>
    </row>
    <row r="1095" spans="1:19" x14ac:dyDescent="0.2">
      <c r="A1095" s="11" t="s">
        <v>24516</v>
      </c>
      <c r="B1095" s="9" t="s">
        <v>24517</v>
      </c>
      <c r="C1095" s="9" t="s">
        <v>24518</v>
      </c>
      <c r="D1095" s="9" t="s">
        <v>24519</v>
      </c>
      <c r="E1095" s="9" t="s">
        <v>17740</v>
      </c>
      <c r="F1095" s="9" t="s">
        <v>17741</v>
      </c>
      <c r="G1095" s="9" t="s">
        <v>17740</v>
      </c>
      <c r="H1095" s="11" t="s">
        <v>1197</v>
      </c>
      <c r="I1095" s="11" t="s">
        <v>1196</v>
      </c>
      <c r="J1095" s="11" t="s">
        <v>1196</v>
      </c>
      <c r="K1095" s="9" t="s">
        <v>24520</v>
      </c>
      <c r="L1095" s="9" t="s">
        <v>20359</v>
      </c>
      <c r="M1095" s="9" t="s">
        <v>18177</v>
      </c>
      <c r="N1095" s="9" t="s">
        <v>17746</v>
      </c>
      <c r="O1095" s="9" t="s">
        <v>19917</v>
      </c>
      <c r="P1095" s="9" t="s">
        <v>17748</v>
      </c>
      <c r="Q1095" s="11" t="s">
        <v>18147</v>
      </c>
      <c r="R1095" s="11" t="s">
        <v>18147</v>
      </c>
      <c r="S1095" s="11" t="s">
        <v>17750</v>
      </c>
    </row>
    <row r="1096" spans="1:19" x14ac:dyDescent="0.2">
      <c r="A1096" s="11" t="s">
        <v>24521</v>
      </c>
      <c r="B1096" s="9" t="s">
        <v>24522</v>
      </c>
      <c r="C1096" s="9" t="s">
        <v>24523</v>
      </c>
      <c r="D1096" s="9" t="s">
        <v>24524</v>
      </c>
      <c r="E1096" s="9" t="s">
        <v>17748</v>
      </c>
      <c r="F1096" s="9" t="s">
        <v>24525</v>
      </c>
      <c r="G1096" s="9" t="s">
        <v>17740</v>
      </c>
      <c r="H1096" s="11" t="s">
        <v>7448</v>
      </c>
      <c r="I1096" s="11" t="s">
        <v>7447</v>
      </c>
      <c r="J1096" s="11" t="s">
        <v>7447</v>
      </c>
      <c r="K1096" s="9" t="s">
        <v>24526</v>
      </c>
      <c r="L1096" s="9" t="s">
        <v>18123</v>
      </c>
      <c r="M1096" s="9" t="s">
        <v>19706</v>
      </c>
      <c r="N1096" s="9" t="s">
        <v>17746</v>
      </c>
      <c r="O1096" s="9" t="s">
        <v>19917</v>
      </c>
      <c r="P1096" s="9" t="s">
        <v>17748</v>
      </c>
      <c r="Q1096" s="11" t="s">
        <v>18272</v>
      </c>
      <c r="R1096" s="11" t="s">
        <v>18272</v>
      </c>
      <c r="S1096" s="11" t="s">
        <v>17750</v>
      </c>
    </row>
    <row r="1097" spans="1:19" x14ac:dyDescent="0.2">
      <c r="A1097" s="11" t="s">
        <v>24527</v>
      </c>
      <c r="B1097" s="9" t="s">
        <v>24528</v>
      </c>
      <c r="C1097" s="9" t="s">
        <v>24529</v>
      </c>
      <c r="D1097" s="9" t="s">
        <v>24530</v>
      </c>
      <c r="E1097" s="9" t="s">
        <v>17740</v>
      </c>
      <c r="F1097" s="9" t="s">
        <v>17741</v>
      </c>
      <c r="G1097" s="9" t="s">
        <v>17740</v>
      </c>
      <c r="H1097" s="11" t="s">
        <v>1203</v>
      </c>
      <c r="I1097" s="11" t="s">
        <v>1202</v>
      </c>
      <c r="J1097" s="11" t="s">
        <v>1202</v>
      </c>
      <c r="K1097" s="9" t="s">
        <v>18832</v>
      </c>
      <c r="L1097" s="9" t="s">
        <v>17759</v>
      </c>
      <c r="M1097" s="9" t="s">
        <v>17769</v>
      </c>
      <c r="N1097" s="9" t="s">
        <v>17746</v>
      </c>
      <c r="O1097" s="9" t="s">
        <v>24531</v>
      </c>
      <c r="P1097" s="9" t="s">
        <v>17748</v>
      </c>
      <c r="Q1097" s="11" t="s">
        <v>18433</v>
      </c>
      <c r="R1097" s="11" t="s">
        <v>18433</v>
      </c>
      <c r="S1097" s="11" t="s">
        <v>17750</v>
      </c>
    </row>
    <row r="1098" spans="1:19" x14ac:dyDescent="0.2">
      <c r="A1098" s="11" t="s">
        <v>24532</v>
      </c>
      <c r="B1098" s="9" t="s">
        <v>24533</v>
      </c>
      <c r="C1098" s="9" t="s">
        <v>24534</v>
      </c>
      <c r="D1098" s="9" t="s">
        <v>24535</v>
      </c>
      <c r="E1098" s="9" t="s">
        <v>17740</v>
      </c>
      <c r="F1098" s="9" t="s">
        <v>17741</v>
      </c>
      <c r="G1098" s="9" t="s">
        <v>17740</v>
      </c>
      <c r="H1098" s="11" t="s">
        <v>1154</v>
      </c>
      <c r="I1098" s="11" t="s">
        <v>1153</v>
      </c>
      <c r="J1098" s="11" t="s">
        <v>1153</v>
      </c>
      <c r="K1098" s="9" t="s">
        <v>601</v>
      </c>
      <c r="L1098" s="9" t="s">
        <v>17759</v>
      </c>
      <c r="M1098" s="9" t="s">
        <v>24536</v>
      </c>
      <c r="N1098" s="9" t="s">
        <v>17746</v>
      </c>
      <c r="O1098" s="9" t="s">
        <v>24537</v>
      </c>
      <c r="P1098" s="9" t="s">
        <v>17748</v>
      </c>
      <c r="Q1098" s="11" t="s">
        <v>18282</v>
      </c>
      <c r="R1098" s="11" t="s">
        <v>18282</v>
      </c>
      <c r="S1098" s="11" t="s">
        <v>17750</v>
      </c>
    </row>
    <row r="1099" spans="1:19" x14ac:dyDescent="0.2">
      <c r="A1099" s="11" t="s">
        <v>24538</v>
      </c>
      <c r="B1099" s="9" t="s">
        <v>24539</v>
      </c>
      <c r="C1099" s="9" t="s">
        <v>24540</v>
      </c>
      <c r="D1099" s="9" t="s">
        <v>24541</v>
      </c>
      <c r="E1099" s="9" t="s">
        <v>17740</v>
      </c>
      <c r="F1099" s="9" t="s">
        <v>17741</v>
      </c>
      <c r="G1099" s="9" t="s">
        <v>17740</v>
      </c>
      <c r="H1099" s="11" t="s">
        <v>8327</v>
      </c>
      <c r="I1099" s="11" t="s">
        <v>8326</v>
      </c>
      <c r="J1099" s="11" t="s">
        <v>8326</v>
      </c>
      <c r="K1099" s="9" t="s">
        <v>970</v>
      </c>
      <c r="L1099" s="9" t="s">
        <v>17744</v>
      </c>
      <c r="M1099" s="9" t="s">
        <v>24542</v>
      </c>
      <c r="N1099" s="9" t="s">
        <v>17746</v>
      </c>
      <c r="O1099" s="9" t="s">
        <v>24543</v>
      </c>
      <c r="P1099" s="9" t="s">
        <v>17748</v>
      </c>
      <c r="Q1099" s="11" t="s">
        <v>18356</v>
      </c>
      <c r="R1099" s="11" t="s">
        <v>18356</v>
      </c>
      <c r="S1099" s="11" t="s">
        <v>17750</v>
      </c>
    </row>
    <row r="1100" spans="1:19" x14ac:dyDescent="0.2">
      <c r="A1100" s="11" t="s">
        <v>24544</v>
      </c>
      <c r="B1100" s="9" t="s">
        <v>24545</v>
      </c>
      <c r="C1100" s="9" t="s">
        <v>24546</v>
      </c>
      <c r="D1100" s="9" t="s">
        <v>24547</v>
      </c>
      <c r="E1100" s="9" t="s">
        <v>17740</v>
      </c>
      <c r="F1100" s="9" t="s">
        <v>24548</v>
      </c>
      <c r="G1100" s="9" t="s">
        <v>17740</v>
      </c>
      <c r="H1100" s="11" t="s">
        <v>16509</v>
      </c>
      <c r="I1100" s="11" t="s">
        <v>16508</v>
      </c>
      <c r="J1100" s="11" t="s">
        <v>17741</v>
      </c>
      <c r="K1100" s="9" t="s">
        <v>17783</v>
      </c>
      <c r="L1100" s="9" t="s">
        <v>18001</v>
      </c>
      <c r="M1100" s="9" t="s">
        <v>17769</v>
      </c>
      <c r="N1100" s="9" t="s">
        <v>17746</v>
      </c>
      <c r="O1100" s="9" t="s">
        <v>20164</v>
      </c>
      <c r="P1100" s="9" t="s">
        <v>17748</v>
      </c>
      <c r="Q1100" s="11" t="s">
        <v>17909</v>
      </c>
      <c r="R1100" s="11" t="s">
        <v>17909</v>
      </c>
      <c r="S1100" s="11" t="s">
        <v>17750</v>
      </c>
    </row>
    <row r="1101" spans="1:19" x14ac:dyDescent="0.2">
      <c r="A1101" s="11" t="s">
        <v>24549</v>
      </c>
      <c r="B1101" s="9" t="s">
        <v>24550</v>
      </c>
      <c r="C1101" s="9" t="s">
        <v>24551</v>
      </c>
      <c r="D1101" s="9" t="s">
        <v>24552</v>
      </c>
      <c r="E1101" s="9" t="s">
        <v>17740</v>
      </c>
      <c r="F1101" s="9" t="s">
        <v>17741</v>
      </c>
      <c r="G1101" s="9" t="s">
        <v>17740</v>
      </c>
      <c r="H1101" s="11" t="s">
        <v>5291</v>
      </c>
      <c r="I1101" s="11" t="s">
        <v>5290</v>
      </c>
      <c r="J1101" s="11" t="s">
        <v>5290</v>
      </c>
      <c r="K1101" s="9" t="s">
        <v>22922</v>
      </c>
      <c r="L1101" s="9" t="s">
        <v>18123</v>
      </c>
      <c r="M1101" s="9" t="s">
        <v>18065</v>
      </c>
      <c r="N1101" s="9" t="s">
        <v>17746</v>
      </c>
      <c r="O1101" s="9" t="s">
        <v>24553</v>
      </c>
      <c r="P1101" s="9" t="s">
        <v>17748</v>
      </c>
      <c r="Q1101" s="11" t="s">
        <v>18080</v>
      </c>
      <c r="R1101" s="11" t="s">
        <v>18080</v>
      </c>
      <c r="S1101" s="11" t="s">
        <v>17750</v>
      </c>
    </row>
    <row r="1102" spans="1:19" x14ac:dyDescent="0.2">
      <c r="A1102" s="11" t="s">
        <v>24554</v>
      </c>
      <c r="B1102" s="9" t="s">
        <v>24555</v>
      </c>
      <c r="C1102" s="9" t="s">
        <v>24556</v>
      </c>
      <c r="D1102" s="9" t="s">
        <v>24557</v>
      </c>
      <c r="E1102" s="9" t="s">
        <v>17748</v>
      </c>
      <c r="F1102" s="9" t="s">
        <v>24558</v>
      </c>
      <c r="G1102" s="9" t="s">
        <v>17740</v>
      </c>
      <c r="H1102" s="11" t="s">
        <v>14687</v>
      </c>
      <c r="I1102" s="11" t="s">
        <v>14686</v>
      </c>
      <c r="J1102" s="11" t="s">
        <v>17741</v>
      </c>
      <c r="K1102" s="9" t="s">
        <v>19180</v>
      </c>
      <c r="L1102" s="9" t="s">
        <v>17759</v>
      </c>
      <c r="M1102" s="9" t="s">
        <v>17769</v>
      </c>
      <c r="N1102" s="9" t="s">
        <v>17746</v>
      </c>
      <c r="O1102" s="9" t="s">
        <v>18125</v>
      </c>
      <c r="P1102" s="9" t="s">
        <v>17748</v>
      </c>
      <c r="Q1102" s="11" t="s">
        <v>17900</v>
      </c>
      <c r="R1102" s="11" t="s">
        <v>17900</v>
      </c>
      <c r="S1102" s="11" t="s">
        <v>17750</v>
      </c>
    </row>
    <row r="1103" spans="1:19" x14ac:dyDescent="0.2">
      <c r="A1103" s="11" t="s">
        <v>24559</v>
      </c>
      <c r="B1103" s="9" t="s">
        <v>24560</v>
      </c>
      <c r="C1103" s="9" t="s">
        <v>24561</v>
      </c>
      <c r="D1103" s="9" t="s">
        <v>24562</v>
      </c>
      <c r="E1103" s="9" t="s">
        <v>17740</v>
      </c>
      <c r="F1103" s="9" t="s">
        <v>17741</v>
      </c>
      <c r="G1103" s="9" t="s">
        <v>17740</v>
      </c>
      <c r="H1103" s="11" t="s">
        <v>4857</v>
      </c>
      <c r="I1103" s="11" t="s">
        <v>4856</v>
      </c>
      <c r="J1103" s="11" t="s">
        <v>4856</v>
      </c>
      <c r="K1103" s="9" t="s">
        <v>22706</v>
      </c>
      <c r="L1103" s="9" t="s">
        <v>17744</v>
      </c>
      <c r="M1103" s="9" t="s">
        <v>18109</v>
      </c>
      <c r="N1103" s="9" t="s">
        <v>17746</v>
      </c>
      <c r="O1103" s="9" t="s">
        <v>18125</v>
      </c>
      <c r="P1103" s="9" t="s">
        <v>17748</v>
      </c>
      <c r="Q1103" s="11" t="s">
        <v>17819</v>
      </c>
      <c r="R1103" s="11" t="s">
        <v>17819</v>
      </c>
      <c r="S1103" s="11" t="s">
        <v>17750</v>
      </c>
    </row>
    <row r="1104" spans="1:19" x14ac:dyDescent="0.2">
      <c r="A1104" s="11" t="s">
        <v>24563</v>
      </c>
      <c r="B1104" s="9" t="s">
        <v>24564</v>
      </c>
      <c r="C1104" s="9" t="s">
        <v>24565</v>
      </c>
      <c r="D1104" s="9" t="s">
        <v>24566</v>
      </c>
      <c r="E1104" s="9" t="s">
        <v>17740</v>
      </c>
      <c r="F1104" s="9" t="s">
        <v>17741</v>
      </c>
      <c r="G1104" s="9" t="s">
        <v>17740</v>
      </c>
      <c r="H1104" s="11" t="s">
        <v>17741</v>
      </c>
      <c r="I1104" s="11" t="s">
        <v>24567</v>
      </c>
      <c r="J1104" s="11" t="s">
        <v>24567</v>
      </c>
      <c r="K1104" s="9" t="s">
        <v>24568</v>
      </c>
      <c r="L1104" s="9" t="s">
        <v>24569</v>
      </c>
      <c r="M1104" s="9" t="s">
        <v>17817</v>
      </c>
      <c r="N1104" s="9" t="s">
        <v>17746</v>
      </c>
      <c r="O1104" s="9" t="s">
        <v>19050</v>
      </c>
      <c r="P1104" s="9" t="s">
        <v>17748</v>
      </c>
      <c r="Q1104" s="11" t="s">
        <v>21569</v>
      </c>
      <c r="R1104" s="11" t="s">
        <v>21569</v>
      </c>
      <c r="S1104" s="11" t="s">
        <v>17750</v>
      </c>
    </row>
    <row r="1105" spans="1:19" x14ac:dyDescent="0.2">
      <c r="A1105" s="11" t="s">
        <v>24570</v>
      </c>
      <c r="B1105" s="9" t="s">
        <v>24571</v>
      </c>
      <c r="C1105" s="9" t="s">
        <v>24572</v>
      </c>
      <c r="D1105" s="9" t="s">
        <v>24573</v>
      </c>
      <c r="E1105" s="9" t="s">
        <v>17748</v>
      </c>
      <c r="F1105" s="9" t="s">
        <v>24574</v>
      </c>
      <c r="G1105" s="9" t="s">
        <v>17740</v>
      </c>
      <c r="H1105" s="11" t="s">
        <v>17741</v>
      </c>
      <c r="I1105" s="11" t="s">
        <v>24575</v>
      </c>
      <c r="J1105" s="11" t="s">
        <v>24575</v>
      </c>
      <c r="K1105" s="9" t="s">
        <v>24576</v>
      </c>
      <c r="L1105" s="9" t="s">
        <v>18025</v>
      </c>
      <c r="M1105" s="9" t="s">
        <v>17778</v>
      </c>
      <c r="N1105" s="9" t="s">
        <v>17746</v>
      </c>
      <c r="O1105" s="9" t="s">
        <v>24577</v>
      </c>
      <c r="P1105" s="9" t="s">
        <v>17748</v>
      </c>
      <c r="Q1105" s="11" t="s">
        <v>17792</v>
      </c>
      <c r="R1105" s="11" t="s">
        <v>17792</v>
      </c>
      <c r="S1105" s="11" t="s">
        <v>17750</v>
      </c>
    </row>
    <row r="1106" spans="1:19" x14ac:dyDescent="0.2">
      <c r="A1106" s="11" t="s">
        <v>24578</v>
      </c>
      <c r="B1106" s="9" t="s">
        <v>24579</v>
      </c>
      <c r="C1106" s="9" t="s">
        <v>24580</v>
      </c>
      <c r="D1106" s="9" t="s">
        <v>24581</v>
      </c>
      <c r="E1106" s="9" t="s">
        <v>17740</v>
      </c>
      <c r="F1106" s="9" t="s">
        <v>24582</v>
      </c>
      <c r="G1106" s="9" t="s">
        <v>17740</v>
      </c>
      <c r="H1106" s="11" t="s">
        <v>10918</v>
      </c>
      <c r="I1106" s="11" t="s">
        <v>10917</v>
      </c>
      <c r="J1106" s="11" t="s">
        <v>10917</v>
      </c>
      <c r="K1106" s="9" t="s">
        <v>20956</v>
      </c>
      <c r="L1106" s="9" t="s">
        <v>18001</v>
      </c>
      <c r="M1106" s="9" t="s">
        <v>24583</v>
      </c>
      <c r="N1106" s="9" t="s">
        <v>17746</v>
      </c>
      <c r="O1106" s="9" t="s">
        <v>24584</v>
      </c>
      <c r="P1106" s="9" t="s">
        <v>17748</v>
      </c>
      <c r="Q1106" s="11" t="s">
        <v>17762</v>
      </c>
      <c r="R1106" s="11" t="s">
        <v>17762</v>
      </c>
      <c r="S1106" s="11" t="s">
        <v>17750</v>
      </c>
    </row>
    <row r="1107" spans="1:19" x14ac:dyDescent="0.2">
      <c r="A1107" s="11" t="s">
        <v>24585</v>
      </c>
      <c r="B1107" s="9" t="s">
        <v>24586</v>
      </c>
      <c r="C1107" s="9" t="s">
        <v>24587</v>
      </c>
      <c r="D1107" s="9" t="s">
        <v>1034</v>
      </c>
      <c r="E1107" s="9" t="s">
        <v>17740</v>
      </c>
      <c r="F1107" s="9" t="s">
        <v>17741</v>
      </c>
      <c r="G1107" s="9" t="s">
        <v>17740</v>
      </c>
      <c r="H1107" s="11" t="s">
        <v>1036</v>
      </c>
      <c r="I1107" s="11" t="s">
        <v>1035</v>
      </c>
      <c r="J1107" s="11" t="s">
        <v>1035</v>
      </c>
      <c r="K1107" s="9" t="s">
        <v>17741</v>
      </c>
      <c r="L1107" s="9" t="s">
        <v>17744</v>
      </c>
      <c r="M1107" s="9" t="s">
        <v>24588</v>
      </c>
      <c r="N1107" s="9" t="s">
        <v>17746</v>
      </c>
      <c r="O1107" s="9" t="s">
        <v>19127</v>
      </c>
      <c r="P1107" s="9" t="s">
        <v>17748</v>
      </c>
      <c r="Q1107" s="11" t="s">
        <v>18433</v>
      </c>
      <c r="R1107" s="11" t="s">
        <v>18433</v>
      </c>
      <c r="S1107" s="11" t="s">
        <v>17750</v>
      </c>
    </row>
    <row r="1108" spans="1:19" x14ac:dyDescent="0.2">
      <c r="A1108" s="11" t="s">
        <v>24589</v>
      </c>
      <c r="B1108" s="9" t="s">
        <v>24590</v>
      </c>
      <c r="C1108" s="9" t="s">
        <v>24591</v>
      </c>
      <c r="D1108" s="9" t="s">
        <v>9306</v>
      </c>
      <c r="E1108" s="9" t="s">
        <v>17740</v>
      </c>
      <c r="F1108" s="9" t="s">
        <v>17741</v>
      </c>
      <c r="G1108" s="9" t="s">
        <v>17740</v>
      </c>
      <c r="H1108" s="11" t="s">
        <v>9308</v>
      </c>
      <c r="I1108" s="11" t="s">
        <v>9307</v>
      </c>
      <c r="J1108" s="11" t="s">
        <v>9307</v>
      </c>
      <c r="K1108" s="9" t="s">
        <v>17783</v>
      </c>
      <c r="L1108" s="9" t="s">
        <v>17759</v>
      </c>
      <c r="M1108" s="9" t="s">
        <v>21680</v>
      </c>
      <c r="N1108" s="9" t="s">
        <v>17746</v>
      </c>
      <c r="O1108" s="9" t="s">
        <v>903</v>
      </c>
      <c r="P1108" s="9" t="s">
        <v>17748</v>
      </c>
      <c r="Q1108" s="11" t="s">
        <v>17994</v>
      </c>
      <c r="R1108" s="11" t="s">
        <v>17994</v>
      </c>
      <c r="S1108" s="11" t="s">
        <v>17750</v>
      </c>
    </row>
    <row r="1109" spans="1:19" x14ac:dyDescent="0.2">
      <c r="A1109" s="11" t="s">
        <v>24592</v>
      </c>
      <c r="B1109" s="9" t="s">
        <v>24593</v>
      </c>
      <c r="C1109" s="9" t="s">
        <v>24594</v>
      </c>
      <c r="D1109" s="9" t="s">
        <v>24595</v>
      </c>
      <c r="E1109" s="9" t="s">
        <v>17740</v>
      </c>
      <c r="F1109" s="9" t="s">
        <v>17741</v>
      </c>
      <c r="G1109" s="9" t="s">
        <v>17740</v>
      </c>
      <c r="H1109" s="11" t="s">
        <v>5836</v>
      </c>
      <c r="I1109" s="11" t="s">
        <v>5835</v>
      </c>
      <c r="J1109" s="11" t="s">
        <v>5835</v>
      </c>
      <c r="K1109" s="9" t="s">
        <v>55</v>
      </c>
      <c r="L1109" s="9" t="s">
        <v>17759</v>
      </c>
      <c r="M1109" s="9" t="s">
        <v>18177</v>
      </c>
      <c r="N1109" s="9" t="s">
        <v>17746</v>
      </c>
      <c r="O1109" s="9" t="s">
        <v>903</v>
      </c>
      <c r="P1109" s="9" t="s">
        <v>17748</v>
      </c>
      <c r="Q1109" s="11" t="s">
        <v>18080</v>
      </c>
      <c r="R1109" s="11" t="s">
        <v>18080</v>
      </c>
      <c r="S1109" s="11" t="s">
        <v>17750</v>
      </c>
    </row>
    <row r="1110" spans="1:19" x14ac:dyDescent="0.2">
      <c r="A1110" s="11" t="s">
        <v>24596</v>
      </c>
      <c r="B1110" s="9" t="s">
        <v>24597</v>
      </c>
      <c r="C1110" s="9" t="s">
        <v>24598</v>
      </c>
      <c r="D1110" s="9" t="s">
        <v>24599</v>
      </c>
      <c r="E1110" s="9" t="s">
        <v>17740</v>
      </c>
      <c r="F1110" s="9" t="s">
        <v>17741</v>
      </c>
      <c r="G1110" s="9" t="s">
        <v>17740</v>
      </c>
      <c r="H1110" s="11" t="s">
        <v>5294</v>
      </c>
      <c r="I1110" s="11" t="s">
        <v>5293</v>
      </c>
      <c r="J1110" s="11" t="s">
        <v>5293</v>
      </c>
      <c r="K1110" s="9" t="s">
        <v>18122</v>
      </c>
      <c r="L1110" s="9" t="s">
        <v>18123</v>
      </c>
      <c r="M1110" s="9" t="s">
        <v>24600</v>
      </c>
      <c r="N1110" s="9" t="s">
        <v>17746</v>
      </c>
      <c r="O1110" s="9" t="s">
        <v>24601</v>
      </c>
      <c r="P1110" s="9" t="s">
        <v>17748</v>
      </c>
      <c r="Q1110" s="11" t="s">
        <v>18080</v>
      </c>
      <c r="R1110" s="11" t="s">
        <v>18080</v>
      </c>
      <c r="S1110" s="11" t="s">
        <v>17750</v>
      </c>
    </row>
    <row r="1111" spans="1:19" x14ac:dyDescent="0.2">
      <c r="A1111" s="11" t="s">
        <v>24602</v>
      </c>
      <c r="B1111" s="9" t="s">
        <v>24603</v>
      </c>
      <c r="C1111" s="9" t="s">
        <v>24604</v>
      </c>
      <c r="D1111" s="9" t="s">
        <v>24605</v>
      </c>
      <c r="E1111" s="9" t="s">
        <v>17748</v>
      </c>
      <c r="F1111" s="9" t="s">
        <v>24606</v>
      </c>
      <c r="G1111" s="9" t="s">
        <v>17740</v>
      </c>
      <c r="H1111" s="11" t="s">
        <v>17741</v>
      </c>
      <c r="I1111" s="11" t="s">
        <v>6312</v>
      </c>
      <c r="J1111" s="11" t="s">
        <v>6312</v>
      </c>
      <c r="K1111" s="9" t="s">
        <v>24607</v>
      </c>
      <c r="L1111" s="9" t="s">
        <v>18025</v>
      </c>
      <c r="M1111" s="9" t="s">
        <v>17769</v>
      </c>
      <c r="N1111" s="9" t="s">
        <v>18026</v>
      </c>
      <c r="O1111" s="9" t="s">
        <v>20404</v>
      </c>
      <c r="P1111" s="9" t="s">
        <v>17748</v>
      </c>
      <c r="Q1111" s="11" t="s">
        <v>17808</v>
      </c>
      <c r="R1111" s="11" t="s">
        <v>17808</v>
      </c>
      <c r="S1111" s="11" t="s">
        <v>17750</v>
      </c>
    </row>
    <row r="1112" spans="1:19" x14ac:dyDescent="0.2">
      <c r="A1112" s="11" t="s">
        <v>24608</v>
      </c>
      <c r="B1112" s="9" t="s">
        <v>24609</v>
      </c>
      <c r="C1112" s="9" t="s">
        <v>24610</v>
      </c>
      <c r="D1112" s="9" t="s">
        <v>24611</v>
      </c>
      <c r="E1112" s="9" t="s">
        <v>17748</v>
      </c>
      <c r="F1112" s="9" t="s">
        <v>24612</v>
      </c>
      <c r="G1112" s="9" t="s">
        <v>17740</v>
      </c>
      <c r="H1112" s="11" t="s">
        <v>24613</v>
      </c>
      <c r="I1112" s="11" t="s">
        <v>24614</v>
      </c>
      <c r="J1112" s="11" t="s">
        <v>24614</v>
      </c>
      <c r="K1112" s="9" t="s">
        <v>24615</v>
      </c>
      <c r="L1112" s="9" t="s">
        <v>18025</v>
      </c>
      <c r="M1112" s="9" t="s">
        <v>17769</v>
      </c>
      <c r="N1112" s="9" t="s">
        <v>18026</v>
      </c>
      <c r="O1112" s="9" t="s">
        <v>3255</v>
      </c>
      <c r="P1112" s="9" t="s">
        <v>17748</v>
      </c>
      <c r="Q1112" s="11" t="s">
        <v>19361</v>
      </c>
      <c r="R1112" s="11" t="s">
        <v>19361</v>
      </c>
      <c r="S1112" s="11" t="s">
        <v>17750</v>
      </c>
    </row>
    <row r="1113" spans="1:19" x14ac:dyDescent="0.2">
      <c r="A1113" s="11" t="s">
        <v>24616</v>
      </c>
      <c r="B1113" s="9" t="s">
        <v>24617</v>
      </c>
      <c r="C1113" s="9" t="s">
        <v>24618</v>
      </c>
      <c r="D1113" s="9" t="s">
        <v>24619</v>
      </c>
      <c r="E1113" s="9" t="s">
        <v>17748</v>
      </c>
      <c r="F1113" s="9" t="s">
        <v>24620</v>
      </c>
      <c r="G1113" s="9" t="s">
        <v>17740</v>
      </c>
      <c r="H1113" s="11" t="s">
        <v>17741</v>
      </c>
      <c r="I1113" s="11" t="s">
        <v>24621</v>
      </c>
      <c r="J1113" s="11" t="s">
        <v>24621</v>
      </c>
      <c r="K1113" s="9" t="s">
        <v>24622</v>
      </c>
      <c r="L1113" s="9" t="s">
        <v>18025</v>
      </c>
      <c r="M1113" s="9" t="s">
        <v>18065</v>
      </c>
      <c r="N1113" s="9" t="s">
        <v>18026</v>
      </c>
      <c r="O1113" s="9" t="s">
        <v>23443</v>
      </c>
      <c r="P1113" s="9" t="s">
        <v>17748</v>
      </c>
      <c r="Q1113" s="11" t="s">
        <v>17808</v>
      </c>
      <c r="R1113" s="11" t="s">
        <v>17808</v>
      </c>
      <c r="S1113" s="11" t="s">
        <v>17750</v>
      </c>
    </row>
    <row r="1114" spans="1:19" x14ac:dyDescent="0.2">
      <c r="A1114" s="11" t="s">
        <v>24623</v>
      </c>
      <c r="B1114" s="9" t="s">
        <v>24624</v>
      </c>
      <c r="C1114" s="9" t="s">
        <v>24625</v>
      </c>
      <c r="D1114" s="9" t="s">
        <v>24626</v>
      </c>
      <c r="E1114" s="9" t="s">
        <v>17740</v>
      </c>
      <c r="F1114" s="9" t="s">
        <v>17741</v>
      </c>
      <c r="G1114" s="9" t="s">
        <v>17740</v>
      </c>
      <c r="H1114" s="11" t="s">
        <v>17741</v>
      </c>
      <c r="I1114" s="11" t="s">
        <v>24627</v>
      </c>
      <c r="J1114" s="11" t="s">
        <v>24627</v>
      </c>
      <c r="K1114" s="9" t="s">
        <v>24628</v>
      </c>
      <c r="L1114" s="9" t="s">
        <v>18025</v>
      </c>
      <c r="M1114" s="9" t="s">
        <v>17778</v>
      </c>
      <c r="N1114" s="9" t="s">
        <v>18026</v>
      </c>
      <c r="O1114" s="9" t="s">
        <v>18481</v>
      </c>
      <c r="P1114" s="9" t="s">
        <v>17748</v>
      </c>
      <c r="Q1114" s="11" t="s">
        <v>19978</v>
      </c>
      <c r="R1114" s="11" t="s">
        <v>19978</v>
      </c>
      <c r="S1114" s="11" t="s">
        <v>17750</v>
      </c>
    </row>
    <row r="1115" spans="1:19" x14ac:dyDescent="0.2">
      <c r="A1115" s="11" t="s">
        <v>24629</v>
      </c>
      <c r="B1115" s="9" t="s">
        <v>24630</v>
      </c>
      <c r="C1115" s="9" t="s">
        <v>24631</v>
      </c>
      <c r="D1115" s="9" t="s">
        <v>24632</v>
      </c>
      <c r="E1115" s="9" t="s">
        <v>17740</v>
      </c>
      <c r="F1115" s="9" t="s">
        <v>17741</v>
      </c>
      <c r="G1115" s="9" t="s">
        <v>17740</v>
      </c>
      <c r="H1115" s="11" t="s">
        <v>17741</v>
      </c>
      <c r="I1115" s="11" t="s">
        <v>24633</v>
      </c>
      <c r="J1115" s="11" t="s">
        <v>24633</v>
      </c>
      <c r="K1115" s="9" t="s">
        <v>24634</v>
      </c>
      <c r="L1115" s="9" t="s">
        <v>18025</v>
      </c>
      <c r="M1115" s="9" t="s">
        <v>17778</v>
      </c>
      <c r="N1115" s="9" t="s">
        <v>18026</v>
      </c>
      <c r="O1115" s="9" t="s">
        <v>19521</v>
      </c>
      <c r="P1115" s="9" t="s">
        <v>17748</v>
      </c>
      <c r="Q1115" s="11" t="s">
        <v>18072</v>
      </c>
      <c r="R1115" s="11" t="s">
        <v>18072</v>
      </c>
      <c r="S1115" s="11" t="s">
        <v>17750</v>
      </c>
    </row>
    <row r="1116" spans="1:19" x14ac:dyDescent="0.2">
      <c r="A1116" s="11" t="s">
        <v>24635</v>
      </c>
      <c r="B1116" s="9" t="s">
        <v>24636</v>
      </c>
      <c r="C1116" s="9" t="s">
        <v>24637</v>
      </c>
      <c r="D1116" s="9" t="s">
        <v>24638</v>
      </c>
      <c r="E1116" s="9" t="s">
        <v>17740</v>
      </c>
      <c r="F1116" s="9" t="s">
        <v>24639</v>
      </c>
      <c r="G1116" s="9" t="s">
        <v>17740</v>
      </c>
      <c r="H1116" s="11" t="s">
        <v>17741</v>
      </c>
      <c r="I1116" s="11" t="s">
        <v>24640</v>
      </c>
      <c r="J1116" s="11" t="s">
        <v>24640</v>
      </c>
      <c r="K1116" s="9" t="s">
        <v>24641</v>
      </c>
      <c r="L1116" s="9" t="s">
        <v>24642</v>
      </c>
      <c r="M1116" s="9" t="s">
        <v>17760</v>
      </c>
      <c r="N1116" s="9" t="s">
        <v>17746</v>
      </c>
      <c r="O1116" s="9" t="s">
        <v>17993</v>
      </c>
      <c r="P1116" s="9" t="s">
        <v>17748</v>
      </c>
      <c r="Q1116" s="11" t="s">
        <v>19978</v>
      </c>
      <c r="R1116" s="11" t="s">
        <v>19978</v>
      </c>
      <c r="S1116" s="11" t="s">
        <v>17750</v>
      </c>
    </row>
    <row r="1117" spans="1:19" x14ac:dyDescent="0.2">
      <c r="A1117" s="11" t="s">
        <v>24643</v>
      </c>
      <c r="B1117" s="9" t="s">
        <v>24644</v>
      </c>
      <c r="C1117" s="9" t="s">
        <v>24645</v>
      </c>
      <c r="D1117" s="9" t="s">
        <v>24646</v>
      </c>
      <c r="E1117" s="9" t="s">
        <v>17740</v>
      </c>
      <c r="F1117" s="9" t="s">
        <v>17741</v>
      </c>
      <c r="G1117" s="9" t="s">
        <v>17740</v>
      </c>
      <c r="H1117" s="11" t="s">
        <v>13142</v>
      </c>
      <c r="I1117" s="11" t="s">
        <v>13141</v>
      </c>
      <c r="J1117" s="11" t="s">
        <v>13141</v>
      </c>
      <c r="K1117" s="9" t="s">
        <v>10332</v>
      </c>
      <c r="L1117" s="9" t="s">
        <v>17759</v>
      </c>
      <c r="M1117" s="9" t="s">
        <v>17769</v>
      </c>
      <c r="N1117" s="9" t="s">
        <v>17746</v>
      </c>
      <c r="O1117" s="9" t="s">
        <v>773</v>
      </c>
      <c r="P1117" s="9" t="s">
        <v>17748</v>
      </c>
      <c r="Q1117" s="11" t="s">
        <v>17917</v>
      </c>
      <c r="R1117" s="11" t="s">
        <v>17917</v>
      </c>
      <c r="S1117" s="11" t="s">
        <v>17750</v>
      </c>
    </row>
    <row r="1118" spans="1:19" x14ac:dyDescent="0.2">
      <c r="A1118" s="11" t="s">
        <v>24647</v>
      </c>
      <c r="B1118" s="9" t="s">
        <v>24648</v>
      </c>
      <c r="C1118" s="9" t="s">
        <v>24649</v>
      </c>
      <c r="D1118" s="9" t="s">
        <v>24650</v>
      </c>
      <c r="E1118" s="9" t="s">
        <v>17740</v>
      </c>
      <c r="F1118" s="9" t="s">
        <v>17741</v>
      </c>
      <c r="G1118" s="9" t="s">
        <v>17740</v>
      </c>
      <c r="H1118" s="11" t="s">
        <v>24651</v>
      </c>
      <c r="I1118" s="11" t="s">
        <v>24652</v>
      </c>
      <c r="J1118" s="11" t="s">
        <v>24652</v>
      </c>
      <c r="K1118" s="9" t="s">
        <v>24653</v>
      </c>
      <c r="L1118" s="9" t="s">
        <v>17759</v>
      </c>
      <c r="M1118" s="9" t="s">
        <v>17760</v>
      </c>
      <c r="N1118" s="9" t="s">
        <v>17746</v>
      </c>
      <c r="O1118" s="9" t="s">
        <v>3734</v>
      </c>
      <c r="P1118" s="9" t="s">
        <v>17748</v>
      </c>
      <c r="Q1118" s="11" t="s">
        <v>18080</v>
      </c>
      <c r="R1118" s="11" t="s">
        <v>18080</v>
      </c>
      <c r="S1118" s="11" t="s">
        <v>17750</v>
      </c>
    </row>
    <row r="1119" spans="1:19" x14ac:dyDescent="0.2">
      <c r="A1119" s="11" t="s">
        <v>24654</v>
      </c>
      <c r="B1119" s="9" t="s">
        <v>24655</v>
      </c>
      <c r="C1119" s="9" t="s">
        <v>24656</v>
      </c>
      <c r="D1119" s="9" t="s">
        <v>24657</v>
      </c>
      <c r="E1119" s="9" t="s">
        <v>17740</v>
      </c>
      <c r="F1119" s="9" t="s">
        <v>17741</v>
      </c>
      <c r="G1119" s="9" t="s">
        <v>17740</v>
      </c>
      <c r="H1119" s="11" t="s">
        <v>9064</v>
      </c>
      <c r="I1119" s="11" t="s">
        <v>9063</v>
      </c>
      <c r="J1119" s="11" t="s">
        <v>9063</v>
      </c>
      <c r="K1119" s="9" t="s">
        <v>651</v>
      </c>
      <c r="L1119" s="9" t="s">
        <v>18158</v>
      </c>
      <c r="M1119" s="9" t="s">
        <v>24658</v>
      </c>
      <c r="N1119" s="9" t="s">
        <v>17746</v>
      </c>
      <c r="O1119" s="9" t="s">
        <v>773</v>
      </c>
      <c r="P1119" s="9" t="s">
        <v>17748</v>
      </c>
      <c r="Q1119" s="11" t="s">
        <v>17784</v>
      </c>
      <c r="R1119" s="11" t="s">
        <v>17784</v>
      </c>
      <c r="S1119" s="11" t="s">
        <v>17750</v>
      </c>
    </row>
    <row r="1120" spans="1:19" x14ac:dyDescent="0.2">
      <c r="A1120" s="11" t="s">
        <v>24659</v>
      </c>
      <c r="B1120" s="9" t="s">
        <v>24660</v>
      </c>
      <c r="C1120" s="9" t="s">
        <v>24661</v>
      </c>
      <c r="D1120" s="9" t="s">
        <v>24662</v>
      </c>
      <c r="E1120" s="9" t="s">
        <v>17740</v>
      </c>
      <c r="F1120" s="9" t="s">
        <v>24663</v>
      </c>
      <c r="G1120" s="9" t="s">
        <v>17740</v>
      </c>
      <c r="H1120" s="11" t="s">
        <v>1252</v>
      </c>
      <c r="I1120" s="11" t="s">
        <v>1251</v>
      </c>
      <c r="J1120" s="11" t="s">
        <v>1251</v>
      </c>
      <c r="K1120" s="9" t="s">
        <v>24664</v>
      </c>
      <c r="L1120" s="9" t="s">
        <v>18242</v>
      </c>
      <c r="M1120" s="9" t="s">
        <v>17817</v>
      </c>
      <c r="N1120" s="9" t="s">
        <v>17746</v>
      </c>
      <c r="O1120" s="9" t="s">
        <v>23227</v>
      </c>
      <c r="P1120" s="9" t="s">
        <v>17748</v>
      </c>
      <c r="Q1120" s="11" t="s">
        <v>18805</v>
      </c>
      <c r="R1120" s="11" t="s">
        <v>18805</v>
      </c>
      <c r="S1120" s="11" t="s">
        <v>17750</v>
      </c>
    </row>
    <row r="1121" spans="1:19" x14ac:dyDescent="0.2">
      <c r="A1121" s="11" t="s">
        <v>24665</v>
      </c>
      <c r="B1121" s="9" t="s">
        <v>24666</v>
      </c>
      <c r="C1121" s="9" t="s">
        <v>24667</v>
      </c>
      <c r="D1121" s="9" t="s">
        <v>24668</v>
      </c>
      <c r="E1121" s="9" t="s">
        <v>17748</v>
      </c>
      <c r="F1121" s="9" t="s">
        <v>24669</v>
      </c>
      <c r="G1121" s="9" t="s">
        <v>17740</v>
      </c>
      <c r="H1121" s="11" t="s">
        <v>11467</v>
      </c>
      <c r="I1121" s="11" t="s">
        <v>11466</v>
      </c>
      <c r="J1121" s="11" t="s">
        <v>11466</v>
      </c>
      <c r="K1121" s="9" t="s">
        <v>970</v>
      </c>
      <c r="L1121" s="9" t="s">
        <v>17744</v>
      </c>
      <c r="M1121" s="9" t="s">
        <v>17817</v>
      </c>
      <c r="N1121" s="9" t="s">
        <v>17746</v>
      </c>
      <c r="O1121" s="9" t="s">
        <v>22281</v>
      </c>
      <c r="P1121" s="9" t="s">
        <v>17748</v>
      </c>
      <c r="Q1121" s="11" t="s">
        <v>17762</v>
      </c>
      <c r="R1121" s="11" t="s">
        <v>17762</v>
      </c>
      <c r="S1121" s="11" t="s">
        <v>17750</v>
      </c>
    </row>
    <row r="1122" spans="1:19" x14ac:dyDescent="0.2">
      <c r="A1122" s="11" t="s">
        <v>24670</v>
      </c>
      <c r="B1122" s="9" t="s">
        <v>24671</v>
      </c>
      <c r="C1122" s="9" t="s">
        <v>24672</v>
      </c>
      <c r="D1122" s="9" t="s">
        <v>24673</v>
      </c>
      <c r="E1122" s="9" t="s">
        <v>17740</v>
      </c>
      <c r="F1122" s="9" t="s">
        <v>24674</v>
      </c>
      <c r="G1122" s="9" t="s">
        <v>17740</v>
      </c>
      <c r="H1122" s="11" t="s">
        <v>6913</v>
      </c>
      <c r="I1122" s="11" t="s">
        <v>6912</v>
      </c>
      <c r="J1122" s="11" t="s">
        <v>6912</v>
      </c>
      <c r="K1122" s="9" t="s">
        <v>6914</v>
      </c>
      <c r="L1122" s="9" t="s">
        <v>17744</v>
      </c>
      <c r="M1122" s="9" t="s">
        <v>19571</v>
      </c>
      <c r="N1122" s="9" t="s">
        <v>17746</v>
      </c>
      <c r="O1122" s="9" t="s">
        <v>17882</v>
      </c>
      <c r="P1122" s="9" t="s">
        <v>17748</v>
      </c>
      <c r="Q1122" s="11" t="s">
        <v>18201</v>
      </c>
      <c r="R1122" s="11" t="s">
        <v>18201</v>
      </c>
      <c r="S1122" s="11" t="s">
        <v>17750</v>
      </c>
    </row>
    <row r="1123" spans="1:19" x14ac:dyDescent="0.2">
      <c r="A1123" s="11" t="s">
        <v>24675</v>
      </c>
      <c r="B1123" s="9" t="s">
        <v>24676</v>
      </c>
      <c r="C1123" s="9" t="s">
        <v>24677</v>
      </c>
      <c r="D1123" s="9" t="s">
        <v>24678</v>
      </c>
      <c r="E1123" s="9" t="s">
        <v>17748</v>
      </c>
      <c r="F1123" s="9" t="s">
        <v>24679</v>
      </c>
      <c r="G1123" s="9" t="s">
        <v>17740</v>
      </c>
      <c r="H1123" s="11" t="s">
        <v>9634</v>
      </c>
      <c r="I1123" s="11" t="s">
        <v>9633</v>
      </c>
      <c r="J1123" s="11" t="s">
        <v>24680</v>
      </c>
      <c r="K1123" s="9" t="s">
        <v>18122</v>
      </c>
      <c r="L1123" s="9" t="s">
        <v>18123</v>
      </c>
      <c r="M1123" s="9" t="s">
        <v>17741</v>
      </c>
      <c r="N1123" s="9" t="s">
        <v>17746</v>
      </c>
      <c r="O1123" s="9" t="s">
        <v>24681</v>
      </c>
      <c r="P1123" s="9" t="s">
        <v>17748</v>
      </c>
      <c r="Q1123" s="11" t="s">
        <v>17858</v>
      </c>
      <c r="R1123" s="11" t="s">
        <v>17858</v>
      </c>
      <c r="S1123" s="11" t="s">
        <v>17750</v>
      </c>
    </row>
    <row r="1124" spans="1:19" x14ac:dyDescent="0.2">
      <c r="A1124" s="11" t="s">
        <v>24682</v>
      </c>
      <c r="B1124" s="9" t="s">
        <v>24683</v>
      </c>
      <c r="C1124" s="9" t="s">
        <v>24684</v>
      </c>
      <c r="D1124" s="9" t="s">
        <v>24685</v>
      </c>
      <c r="E1124" s="9" t="s">
        <v>17740</v>
      </c>
      <c r="F1124" s="9" t="s">
        <v>17741</v>
      </c>
      <c r="G1124" s="9" t="s">
        <v>17740</v>
      </c>
      <c r="H1124" s="11" t="s">
        <v>24686</v>
      </c>
      <c r="I1124" s="11" t="s">
        <v>24687</v>
      </c>
      <c r="J1124" s="11" t="s">
        <v>24686</v>
      </c>
      <c r="K1124" s="9" t="s">
        <v>17805</v>
      </c>
      <c r="L1124" s="9" t="s">
        <v>17759</v>
      </c>
      <c r="M1124" s="9" t="s">
        <v>24688</v>
      </c>
      <c r="N1124" s="9" t="s">
        <v>17746</v>
      </c>
      <c r="O1124" s="9" t="s">
        <v>17882</v>
      </c>
      <c r="P1124" s="9" t="s">
        <v>17748</v>
      </c>
      <c r="Q1124" s="11" t="s">
        <v>18922</v>
      </c>
      <c r="R1124" s="11" t="s">
        <v>18922</v>
      </c>
      <c r="S1124" s="11" t="s">
        <v>17750</v>
      </c>
    </row>
    <row r="1125" spans="1:19" x14ac:dyDescent="0.2">
      <c r="A1125" s="11" t="s">
        <v>24689</v>
      </c>
      <c r="B1125" s="9" t="s">
        <v>24690</v>
      </c>
      <c r="C1125" s="9" t="s">
        <v>24691</v>
      </c>
      <c r="D1125" s="9" t="s">
        <v>24692</v>
      </c>
      <c r="E1125" s="9" t="s">
        <v>17740</v>
      </c>
      <c r="F1125" s="9" t="s">
        <v>17741</v>
      </c>
      <c r="G1125" s="9" t="s">
        <v>17740</v>
      </c>
      <c r="H1125" s="11" t="s">
        <v>4603</v>
      </c>
      <c r="I1125" s="11" t="s">
        <v>4602</v>
      </c>
      <c r="J1125" s="11" t="s">
        <v>4602</v>
      </c>
      <c r="K1125" s="9" t="s">
        <v>776</v>
      </c>
      <c r="L1125" s="9" t="s">
        <v>17759</v>
      </c>
      <c r="M1125" s="9" t="s">
        <v>18289</v>
      </c>
      <c r="N1125" s="9" t="s">
        <v>17746</v>
      </c>
      <c r="O1125" s="9" t="s">
        <v>4009</v>
      </c>
      <c r="P1125" s="9" t="s">
        <v>17748</v>
      </c>
      <c r="Q1125" s="11" t="s">
        <v>18678</v>
      </c>
      <c r="R1125" s="11" t="s">
        <v>18678</v>
      </c>
      <c r="S1125" s="11" t="s">
        <v>17750</v>
      </c>
    </row>
    <row r="1126" spans="1:19" x14ac:dyDescent="0.2">
      <c r="A1126" s="11" t="s">
        <v>24693</v>
      </c>
      <c r="B1126" s="9" t="s">
        <v>24694</v>
      </c>
      <c r="C1126" s="9" t="s">
        <v>24695</v>
      </c>
      <c r="D1126" s="9" t="s">
        <v>24696</v>
      </c>
      <c r="E1126" s="9" t="s">
        <v>17740</v>
      </c>
      <c r="F1126" s="9" t="s">
        <v>17741</v>
      </c>
      <c r="G1126" s="9" t="s">
        <v>17740</v>
      </c>
      <c r="H1126" s="11" t="s">
        <v>24697</v>
      </c>
      <c r="I1126" s="11" t="s">
        <v>24698</v>
      </c>
      <c r="J1126" s="11" t="s">
        <v>24698</v>
      </c>
      <c r="K1126" s="9" t="s">
        <v>776</v>
      </c>
      <c r="L1126" s="9" t="s">
        <v>17759</v>
      </c>
      <c r="M1126" s="9" t="s">
        <v>24699</v>
      </c>
      <c r="N1126" s="9" t="s">
        <v>17746</v>
      </c>
      <c r="O1126" s="9" t="s">
        <v>17882</v>
      </c>
      <c r="P1126" s="9" t="s">
        <v>17748</v>
      </c>
      <c r="Q1126" s="11" t="s">
        <v>20936</v>
      </c>
      <c r="R1126" s="11" t="s">
        <v>20936</v>
      </c>
      <c r="S1126" s="11" t="s">
        <v>17750</v>
      </c>
    </row>
    <row r="1127" spans="1:19" x14ac:dyDescent="0.2">
      <c r="A1127" s="11" t="s">
        <v>24700</v>
      </c>
      <c r="B1127" s="9" t="s">
        <v>24701</v>
      </c>
      <c r="C1127" s="9" t="s">
        <v>24702</v>
      </c>
      <c r="D1127" s="9" t="s">
        <v>24703</v>
      </c>
      <c r="E1127" s="9" t="s">
        <v>17740</v>
      </c>
      <c r="F1127" s="9" t="s">
        <v>24704</v>
      </c>
      <c r="G1127" s="9" t="s">
        <v>17740</v>
      </c>
      <c r="H1127" s="11" t="s">
        <v>1073</v>
      </c>
      <c r="I1127" s="11" t="s">
        <v>1072</v>
      </c>
      <c r="J1127" s="11" t="s">
        <v>1072</v>
      </c>
      <c r="K1127" s="9" t="s">
        <v>55</v>
      </c>
      <c r="L1127" s="9" t="s">
        <v>17744</v>
      </c>
      <c r="M1127" s="9" t="s">
        <v>24705</v>
      </c>
      <c r="N1127" s="9" t="s">
        <v>17746</v>
      </c>
      <c r="O1127" s="9" t="s">
        <v>773</v>
      </c>
      <c r="P1127" s="9" t="s">
        <v>17748</v>
      </c>
      <c r="Q1127" s="11" t="s">
        <v>19222</v>
      </c>
      <c r="R1127" s="11" t="s">
        <v>19222</v>
      </c>
      <c r="S1127" s="11" t="s">
        <v>17750</v>
      </c>
    </row>
    <row r="1128" spans="1:19" x14ac:dyDescent="0.2">
      <c r="A1128" s="11" t="s">
        <v>24706</v>
      </c>
      <c r="B1128" s="9" t="s">
        <v>24707</v>
      </c>
      <c r="C1128" s="9" t="s">
        <v>24708</v>
      </c>
      <c r="D1128" s="9" t="s">
        <v>24709</v>
      </c>
      <c r="E1128" s="9" t="s">
        <v>17740</v>
      </c>
      <c r="F1128" s="9" t="s">
        <v>24710</v>
      </c>
      <c r="G1128" s="9" t="s">
        <v>17740</v>
      </c>
      <c r="H1128" s="11" t="s">
        <v>24711</v>
      </c>
      <c r="I1128" s="11" t="s">
        <v>24712</v>
      </c>
      <c r="J1128" s="11" t="s">
        <v>24712</v>
      </c>
      <c r="K1128" s="9" t="s">
        <v>24713</v>
      </c>
      <c r="L1128" s="9" t="s">
        <v>17744</v>
      </c>
      <c r="M1128" s="9" t="s">
        <v>18994</v>
      </c>
      <c r="N1128" s="9" t="s">
        <v>17746</v>
      </c>
      <c r="O1128" s="9" t="s">
        <v>17882</v>
      </c>
      <c r="P1128" s="9" t="s">
        <v>17748</v>
      </c>
      <c r="Q1128" s="11" t="s">
        <v>19082</v>
      </c>
      <c r="R1128" s="11" t="s">
        <v>19082</v>
      </c>
      <c r="S1128" s="11" t="s">
        <v>17750</v>
      </c>
    </row>
    <row r="1129" spans="1:19" x14ac:dyDescent="0.2">
      <c r="A1129" s="11" t="s">
        <v>24714</v>
      </c>
      <c r="B1129" s="9" t="s">
        <v>24715</v>
      </c>
      <c r="C1129" s="9" t="s">
        <v>24716</v>
      </c>
      <c r="D1129" s="9" t="s">
        <v>24717</v>
      </c>
      <c r="E1129" s="9" t="s">
        <v>17740</v>
      </c>
      <c r="F1129" s="9" t="s">
        <v>17741</v>
      </c>
      <c r="G1129" s="9" t="s">
        <v>17740</v>
      </c>
      <c r="H1129" s="11" t="s">
        <v>985</v>
      </c>
      <c r="I1129" s="11" t="s">
        <v>984</v>
      </c>
      <c r="J1129" s="11" t="s">
        <v>984</v>
      </c>
      <c r="K1129" s="9" t="s">
        <v>91</v>
      </c>
      <c r="L1129" s="9" t="s">
        <v>21771</v>
      </c>
      <c r="M1129" s="9" t="s">
        <v>19203</v>
      </c>
      <c r="N1129" s="9" t="s">
        <v>17746</v>
      </c>
      <c r="O1129" s="9" t="s">
        <v>22281</v>
      </c>
      <c r="P1129" s="9" t="s">
        <v>17748</v>
      </c>
      <c r="Q1129" s="11" t="s">
        <v>17867</v>
      </c>
      <c r="R1129" s="11" t="s">
        <v>17867</v>
      </c>
      <c r="S1129" s="11" t="s">
        <v>17750</v>
      </c>
    </row>
    <row r="1130" spans="1:19" x14ac:dyDescent="0.2">
      <c r="A1130" s="11" t="s">
        <v>24718</v>
      </c>
      <c r="B1130" s="9" t="s">
        <v>24719</v>
      </c>
      <c r="C1130" s="9" t="s">
        <v>24720</v>
      </c>
      <c r="D1130" s="9" t="s">
        <v>24721</v>
      </c>
      <c r="E1130" s="9" t="s">
        <v>17740</v>
      </c>
      <c r="F1130" s="9" t="s">
        <v>17741</v>
      </c>
      <c r="G1130" s="9" t="s">
        <v>17740</v>
      </c>
      <c r="H1130" s="11" t="s">
        <v>10644</v>
      </c>
      <c r="I1130" s="11" t="s">
        <v>10643</v>
      </c>
      <c r="J1130" s="11" t="s">
        <v>10643</v>
      </c>
      <c r="K1130" s="9" t="s">
        <v>24722</v>
      </c>
      <c r="L1130" s="9" t="s">
        <v>18123</v>
      </c>
      <c r="M1130" s="9" t="s">
        <v>17817</v>
      </c>
      <c r="N1130" s="9" t="s">
        <v>17746</v>
      </c>
      <c r="O1130" s="9" t="s">
        <v>22701</v>
      </c>
      <c r="P1130" s="9" t="s">
        <v>17748</v>
      </c>
      <c r="Q1130" s="11" t="s">
        <v>17780</v>
      </c>
      <c r="R1130" s="11" t="s">
        <v>17780</v>
      </c>
      <c r="S1130" s="11" t="s">
        <v>17750</v>
      </c>
    </row>
    <row r="1131" spans="1:19" x14ac:dyDescent="0.2">
      <c r="A1131" s="11" t="s">
        <v>24723</v>
      </c>
      <c r="B1131" s="9" t="s">
        <v>24724</v>
      </c>
      <c r="C1131" s="9" t="s">
        <v>24725</v>
      </c>
      <c r="D1131" s="9" t="s">
        <v>24726</v>
      </c>
      <c r="E1131" s="9" t="s">
        <v>17740</v>
      </c>
      <c r="F1131" s="9" t="s">
        <v>17741</v>
      </c>
      <c r="G1131" s="9" t="s">
        <v>17740</v>
      </c>
      <c r="H1131" s="11" t="s">
        <v>24727</v>
      </c>
      <c r="I1131" s="11" t="s">
        <v>6580</v>
      </c>
      <c r="J1131" s="11" t="s">
        <v>6580</v>
      </c>
      <c r="K1131" s="9" t="s">
        <v>91</v>
      </c>
      <c r="L1131" s="9" t="s">
        <v>17759</v>
      </c>
      <c r="M1131" s="9" t="s">
        <v>17817</v>
      </c>
      <c r="N1131" s="9" t="s">
        <v>17746</v>
      </c>
      <c r="O1131" s="9" t="s">
        <v>24728</v>
      </c>
      <c r="P1131" s="9" t="s">
        <v>17748</v>
      </c>
      <c r="Q1131" s="11" t="s">
        <v>17808</v>
      </c>
      <c r="R1131" s="11" t="s">
        <v>17808</v>
      </c>
      <c r="S1131" s="11" t="s">
        <v>17750</v>
      </c>
    </row>
    <row r="1132" spans="1:19" x14ac:dyDescent="0.2">
      <c r="A1132" s="11" t="s">
        <v>24729</v>
      </c>
      <c r="B1132" s="9" t="s">
        <v>24730</v>
      </c>
      <c r="C1132" s="9" t="s">
        <v>24731</v>
      </c>
      <c r="D1132" s="9" t="s">
        <v>17882</v>
      </c>
      <c r="E1132" s="9" t="s">
        <v>17740</v>
      </c>
      <c r="F1132" s="9" t="s">
        <v>24732</v>
      </c>
      <c r="G1132" s="9" t="s">
        <v>17740</v>
      </c>
      <c r="H1132" s="11" t="s">
        <v>24733</v>
      </c>
      <c r="I1132" s="11" t="s">
        <v>24734</v>
      </c>
      <c r="J1132" s="11" t="s">
        <v>24734</v>
      </c>
      <c r="K1132" s="9" t="s">
        <v>17741</v>
      </c>
      <c r="L1132" s="9" t="s">
        <v>18158</v>
      </c>
      <c r="M1132" s="9" t="s">
        <v>24735</v>
      </c>
      <c r="N1132" s="9" t="s">
        <v>17746</v>
      </c>
      <c r="O1132" s="9" t="s">
        <v>17882</v>
      </c>
      <c r="P1132" s="9" t="s">
        <v>17748</v>
      </c>
      <c r="Q1132" s="11" t="s">
        <v>19361</v>
      </c>
      <c r="R1132" s="11" t="s">
        <v>19361</v>
      </c>
      <c r="S1132" s="11" t="s">
        <v>17750</v>
      </c>
    </row>
    <row r="1133" spans="1:19" x14ac:dyDescent="0.2">
      <c r="A1133" s="11" t="s">
        <v>24736</v>
      </c>
      <c r="B1133" s="9" t="s">
        <v>24737</v>
      </c>
      <c r="C1133" s="9" t="s">
        <v>24738</v>
      </c>
      <c r="D1133" s="9" t="s">
        <v>24739</v>
      </c>
      <c r="E1133" s="9" t="s">
        <v>17740</v>
      </c>
      <c r="F1133" s="9" t="s">
        <v>17741</v>
      </c>
      <c r="G1133" s="9" t="s">
        <v>17740</v>
      </c>
      <c r="H1133" s="11" t="s">
        <v>1263</v>
      </c>
      <c r="I1133" s="11" t="s">
        <v>1262</v>
      </c>
      <c r="J1133" s="11" t="s">
        <v>1262</v>
      </c>
      <c r="K1133" s="9" t="s">
        <v>24740</v>
      </c>
      <c r="L1133" s="9" t="s">
        <v>21771</v>
      </c>
      <c r="M1133" s="9" t="s">
        <v>24741</v>
      </c>
      <c r="N1133" s="9" t="s">
        <v>17746</v>
      </c>
      <c r="O1133" s="9" t="s">
        <v>773</v>
      </c>
      <c r="P1133" s="9" t="s">
        <v>17748</v>
      </c>
      <c r="Q1133" s="11" t="s">
        <v>20251</v>
      </c>
      <c r="R1133" s="11" t="s">
        <v>20251</v>
      </c>
      <c r="S1133" s="11" t="s">
        <v>17750</v>
      </c>
    </row>
    <row r="1134" spans="1:19" x14ac:dyDescent="0.2">
      <c r="A1134" s="11" t="s">
        <v>24742</v>
      </c>
      <c r="B1134" s="9" t="s">
        <v>24743</v>
      </c>
      <c r="C1134" s="9" t="s">
        <v>24744</v>
      </c>
      <c r="D1134" s="9" t="s">
        <v>24745</v>
      </c>
      <c r="E1134" s="9" t="s">
        <v>17740</v>
      </c>
      <c r="F1134" s="9" t="s">
        <v>17741</v>
      </c>
      <c r="G1134" s="9" t="s">
        <v>17740</v>
      </c>
      <c r="H1134" s="11" t="s">
        <v>24746</v>
      </c>
      <c r="I1134" s="11" t="s">
        <v>24747</v>
      </c>
      <c r="J1134" s="11" t="s">
        <v>24746</v>
      </c>
      <c r="K1134" s="9" t="s">
        <v>18712</v>
      </c>
      <c r="L1134" s="9" t="s">
        <v>18158</v>
      </c>
      <c r="M1134" s="9" t="s">
        <v>17817</v>
      </c>
      <c r="N1134" s="9" t="s">
        <v>17746</v>
      </c>
      <c r="O1134" s="9" t="s">
        <v>17882</v>
      </c>
      <c r="P1134" s="9" t="s">
        <v>17748</v>
      </c>
      <c r="Q1134" s="11" t="s">
        <v>17762</v>
      </c>
      <c r="R1134" s="11" t="s">
        <v>17762</v>
      </c>
      <c r="S1134" s="11" t="s">
        <v>17750</v>
      </c>
    </row>
    <row r="1135" spans="1:19" x14ac:dyDescent="0.2">
      <c r="A1135" s="11" t="s">
        <v>24748</v>
      </c>
      <c r="B1135" s="9" t="s">
        <v>11443</v>
      </c>
      <c r="C1135" s="9" t="s">
        <v>24749</v>
      </c>
      <c r="D1135" s="9" t="s">
        <v>11443</v>
      </c>
      <c r="E1135" s="9" t="s">
        <v>17740</v>
      </c>
      <c r="F1135" s="9" t="s">
        <v>24750</v>
      </c>
      <c r="G1135" s="9" t="s">
        <v>17740</v>
      </c>
      <c r="H1135" s="11" t="s">
        <v>11445</v>
      </c>
      <c r="I1135" s="11" t="s">
        <v>11444</v>
      </c>
      <c r="J1135" s="11" t="s">
        <v>11444</v>
      </c>
      <c r="K1135" s="9" t="s">
        <v>18712</v>
      </c>
      <c r="L1135" s="9" t="s">
        <v>18158</v>
      </c>
      <c r="M1135" s="9" t="s">
        <v>17817</v>
      </c>
      <c r="N1135" s="9" t="s">
        <v>17746</v>
      </c>
      <c r="O1135" s="9" t="s">
        <v>23227</v>
      </c>
      <c r="P1135" s="9" t="s">
        <v>17748</v>
      </c>
      <c r="Q1135" s="11" t="s">
        <v>17762</v>
      </c>
      <c r="R1135" s="11" t="s">
        <v>17762</v>
      </c>
      <c r="S1135" s="11" t="s">
        <v>17750</v>
      </c>
    </row>
    <row r="1136" spans="1:19" x14ac:dyDescent="0.2">
      <c r="A1136" s="11" t="s">
        <v>24751</v>
      </c>
      <c r="B1136" s="9" t="s">
        <v>1210</v>
      </c>
      <c r="C1136" s="9" t="s">
        <v>24752</v>
      </c>
      <c r="D1136" s="9" t="s">
        <v>1210</v>
      </c>
      <c r="E1136" s="9" t="s">
        <v>17740</v>
      </c>
      <c r="F1136" s="9" t="s">
        <v>17741</v>
      </c>
      <c r="G1136" s="9" t="s">
        <v>17740</v>
      </c>
      <c r="H1136" s="11" t="s">
        <v>1212</v>
      </c>
      <c r="I1136" s="11" t="s">
        <v>1211</v>
      </c>
      <c r="J1136" s="11" t="s">
        <v>1211</v>
      </c>
      <c r="K1136" s="9" t="s">
        <v>22706</v>
      </c>
      <c r="L1136" s="9" t="s">
        <v>17744</v>
      </c>
      <c r="M1136" s="9" t="s">
        <v>24753</v>
      </c>
      <c r="N1136" s="9" t="s">
        <v>17746</v>
      </c>
      <c r="O1136" s="9" t="s">
        <v>24754</v>
      </c>
      <c r="P1136" s="9" t="s">
        <v>17748</v>
      </c>
      <c r="Q1136" s="11" t="s">
        <v>19082</v>
      </c>
      <c r="R1136" s="11" t="s">
        <v>19082</v>
      </c>
      <c r="S1136" s="11" t="s">
        <v>17750</v>
      </c>
    </row>
    <row r="1137" spans="1:19" x14ac:dyDescent="0.2">
      <c r="A1137" s="11" t="s">
        <v>24755</v>
      </c>
      <c r="B1137" s="9" t="s">
        <v>1074</v>
      </c>
      <c r="C1137" s="9" t="s">
        <v>24756</v>
      </c>
      <c r="D1137" s="9" t="s">
        <v>1074</v>
      </c>
      <c r="E1137" s="9" t="s">
        <v>17740</v>
      </c>
      <c r="F1137" s="9" t="s">
        <v>24757</v>
      </c>
      <c r="G1137" s="9" t="s">
        <v>17740</v>
      </c>
      <c r="H1137" s="11" t="s">
        <v>1076</v>
      </c>
      <c r="I1137" s="11" t="s">
        <v>1075</v>
      </c>
      <c r="J1137" s="11" t="s">
        <v>1075</v>
      </c>
      <c r="K1137" s="9" t="s">
        <v>18176</v>
      </c>
      <c r="L1137" s="9" t="s">
        <v>18123</v>
      </c>
      <c r="M1137" s="9" t="s">
        <v>17769</v>
      </c>
      <c r="N1137" s="9" t="s">
        <v>17746</v>
      </c>
      <c r="O1137" s="9" t="s">
        <v>24758</v>
      </c>
      <c r="P1137" s="9" t="s">
        <v>17748</v>
      </c>
      <c r="Q1137" s="11" t="s">
        <v>17883</v>
      </c>
      <c r="R1137" s="11" t="s">
        <v>17883</v>
      </c>
      <c r="S1137" s="11" t="s">
        <v>17750</v>
      </c>
    </row>
    <row r="1138" spans="1:19" x14ac:dyDescent="0.2">
      <c r="A1138" s="11" t="s">
        <v>24759</v>
      </c>
      <c r="B1138" s="9" t="s">
        <v>24760</v>
      </c>
      <c r="C1138" s="9" t="s">
        <v>24761</v>
      </c>
      <c r="D1138" s="9" t="s">
        <v>24762</v>
      </c>
      <c r="E1138" s="9" t="s">
        <v>17740</v>
      </c>
      <c r="F1138" s="9" t="s">
        <v>24763</v>
      </c>
      <c r="G1138" s="9" t="s">
        <v>17740</v>
      </c>
      <c r="H1138" s="11" t="s">
        <v>24764</v>
      </c>
      <c r="I1138" s="11" t="s">
        <v>24765</v>
      </c>
      <c r="J1138" s="11" t="s">
        <v>24765</v>
      </c>
      <c r="K1138" s="9" t="s">
        <v>651</v>
      </c>
      <c r="L1138" s="9" t="s">
        <v>18158</v>
      </c>
      <c r="M1138" s="9" t="s">
        <v>24766</v>
      </c>
      <c r="N1138" s="9" t="s">
        <v>17746</v>
      </c>
      <c r="O1138" s="9" t="s">
        <v>18721</v>
      </c>
      <c r="P1138" s="9" t="s">
        <v>17748</v>
      </c>
      <c r="Q1138" s="11" t="s">
        <v>17784</v>
      </c>
      <c r="R1138" s="11" t="s">
        <v>17784</v>
      </c>
      <c r="S1138" s="11" t="s">
        <v>17750</v>
      </c>
    </row>
    <row r="1139" spans="1:19" x14ac:dyDescent="0.2">
      <c r="A1139" s="11" t="s">
        <v>24767</v>
      </c>
      <c r="B1139" s="9" t="s">
        <v>24768</v>
      </c>
      <c r="C1139" s="9" t="s">
        <v>24769</v>
      </c>
      <c r="D1139" s="9" t="s">
        <v>24768</v>
      </c>
      <c r="E1139" s="9" t="s">
        <v>17748</v>
      </c>
      <c r="F1139" s="9" t="s">
        <v>24770</v>
      </c>
      <c r="G1139" s="9" t="s">
        <v>17740</v>
      </c>
      <c r="H1139" s="11" t="s">
        <v>24771</v>
      </c>
      <c r="I1139" s="11" t="s">
        <v>24772</v>
      </c>
      <c r="J1139" s="11" t="s">
        <v>24772</v>
      </c>
      <c r="K1139" s="9" t="s">
        <v>18712</v>
      </c>
      <c r="L1139" s="9" t="s">
        <v>18158</v>
      </c>
      <c r="M1139" s="9" t="s">
        <v>17817</v>
      </c>
      <c r="N1139" s="9" t="s">
        <v>17746</v>
      </c>
      <c r="O1139" s="9" t="s">
        <v>24773</v>
      </c>
      <c r="P1139" s="9" t="s">
        <v>17748</v>
      </c>
      <c r="Q1139" s="11" t="s">
        <v>18370</v>
      </c>
      <c r="R1139" s="11" t="s">
        <v>18370</v>
      </c>
      <c r="S1139" s="11" t="s">
        <v>17750</v>
      </c>
    </row>
    <row r="1140" spans="1:19" x14ac:dyDescent="0.2">
      <c r="A1140" s="11" t="s">
        <v>24774</v>
      </c>
      <c r="B1140" s="9" t="s">
        <v>1059</v>
      </c>
      <c r="C1140" s="9" t="s">
        <v>24775</v>
      </c>
      <c r="D1140" s="9" t="s">
        <v>1059</v>
      </c>
      <c r="E1140" s="9" t="s">
        <v>17740</v>
      </c>
      <c r="F1140" s="9" t="s">
        <v>24776</v>
      </c>
      <c r="G1140" s="9" t="s">
        <v>17740</v>
      </c>
      <c r="H1140" s="11" t="s">
        <v>1061</v>
      </c>
      <c r="I1140" s="11" t="s">
        <v>1060</v>
      </c>
      <c r="J1140" s="11" t="s">
        <v>1060</v>
      </c>
      <c r="K1140" s="9" t="s">
        <v>1062</v>
      </c>
      <c r="L1140" s="9" t="s">
        <v>17759</v>
      </c>
      <c r="M1140" s="9" t="s">
        <v>17817</v>
      </c>
      <c r="N1140" s="9" t="s">
        <v>17746</v>
      </c>
      <c r="O1140" s="9" t="s">
        <v>15733</v>
      </c>
      <c r="P1140" s="9" t="s">
        <v>17748</v>
      </c>
      <c r="Q1140" s="11" t="s">
        <v>18282</v>
      </c>
      <c r="R1140" s="11" t="s">
        <v>18282</v>
      </c>
      <c r="S1140" s="11" t="s">
        <v>17750</v>
      </c>
    </row>
    <row r="1141" spans="1:19" x14ac:dyDescent="0.2">
      <c r="A1141" s="11" t="s">
        <v>24777</v>
      </c>
      <c r="B1141" s="9" t="s">
        <v>24778</v>
      </c>
      <c r="C1141" s="9" t="s">
        <v>24779</v>
      </c>
      <c r="D1141" s="9" t="s">
        <v>24780</v>
      </c>
      <c r="E1141" s="9" t="s">
        <v>17740</v>
      </c>
      <c r="F1141" s="9" t="s">
        <v>17741</v>
      </c>
      <c r="G1141" s="9" t="s">
        <v>17740</v>
      </c>
      <c r="H1141" s="11" t="s">
        <v>4217</v>
      </c>
      <c r="I1141" s="11" t="s">
        <v>4216</v>
      </c>
      <c r="J1141" s="11" t="s">
        <v>4216</v>
      </c>
      <c r="K1141" s="9" t="s">
        <v>24781</v>
      </c>
      <c r="L1141" s="9" t="s">
        <v>17744</v>
      </c>
      <c r="M1141" s="9" t="s">
        <v>17817</v>
      </c>
      <c r="N1141" s="9" t="s">
        <v>17746</v>
      </c>
      <c r="O1141" s="9" t="s">
        <v>3355</v>
      </c>
      <c r="P1141" s="9" t="s">
        <v>17748</v>
      </c>
      <c r="Q1141" s="11" t="s">
        <v>18600</v>
      </c>
      <c r="R1141" s="11" t="s">
        <v>18600</v>
      </c>
      <c r="S1141" s="11" t="s">
        <v>17750</v>
      </c>
    </row>
    <row r="1142" spans="1:19" x14ac:dyDescent="0.2">
      <c r="A1142" s="11" t="s">
        <v>24782</v>
      </c>
      <c r="B1142" s="9" t="s">
        <v>24783</v>
      </c>
      <c r="C1142" s="9" t="s">
        <v>24784</v>
      </c>
      <c r="D1142" s="9" t="s">
        <v>24785</v>
      </c>
      <c r="E1142" s="9" t="s">
        <v>17740</v>
      </c>
      <c r="F1142" s="9" t="s">
        <v>17741</v>
      </c>
      <c r="G1142" s="9" t="s">
        <v>17740</v>
      </c>
      <c r="H1142" s="11" t="s">
        <v>6329</v>
      </c>
      <c r="I1142" s="11" t="s">
        <v>6328</v>
      </c>
      <c r="J1142" s="11" t="s">
        <v>6328</v>
      </c>
      <c r="K1142" s="9" t="s">
        <v>24786</v>
      </c>
      <c r="L1142" s="9" t="s">
        <v>17759</v>
      </c>
      <c r="M1142" s="9" t="s">
        <v>17760</v>
      </c>
      <c r="N1142" s="9" t="s">
        <v>17746</v>
      </c>
      <c r="O1142" s="9" t="s">
        <v>24787</v>
      </c>
      <c r="P1142" s="9" t="s">
        <v>17748</v>
      </c>
      <c r="Q1142" s="11" t="s">
        <v>18147</v>
      </c>
      <c r="R1142" s="11" t="s">
        <v>18147</v>
      </c>
      <c r="S1142" s="11" t="s">
        <v>17750</v>
      </c>
    </row>
    <row r="1143" spans="1:19" x14ac:dyDescent="0.2">
      <c r="A1143" s="11" t="s">
        <v>24788</v>
      </c>
      <c r="B1143" s="9" t="s">
        <v>24789</v>
      </c>
      <c r="C1143" s="9" t="s">
        <v>24790</v>
      </c>
      <c r="D1143" s="9" t="s">
        <v>24791</v>
      </c>
      <c r="E1143" s="9" t="s">
        <v>17740</v>
      </c>
      <c r="F1143" s="9" t="s">
        <v>17741</v>
      </c>
      <c r="G1143" s="9" t="s">
        <v>17740</v>
      </c>
      <c r="H1143" s="11" t="s">
        <v>24792</v>
      </c>
      <c r="I1143" s="11" t="s">
        <v>24793</v>
      </c>
      <c r="J1143" s="11" t="s">
        <v>24793</v>
      </c>
      <c r="K1143" s="9" t="s">
        <v>24794</v>
      </c>
      <c r="L1143" s="9" t="s">
        <v>17759</v>
      </c>
      <c r="M1143" s="9" t="s">
        <v>23979</v>
      </c>
      <c r="N1143" s="9" t="s">
        <v>17746</v>
      </c>
      <c r="O1143" s="9" t="s">
        <v>3355</v>
      </c>
      <c r="P1143" s="9" t="s">
        <v>17748</v>
      </c>
      <c r="Q1143" s="11" t="s">
        <v>19770</v>
      </c>
      <c r="R1143" s="11" t="s">
        <v>19770</v>
      </c>
      <c r="S1143" s="11" t="s">
        <v>17750</v>
      </c>
    </row>
    <row r="1144" spans="1:19" x14ac:dyDescent="0.2">
      <c r="A1144" s="11" t="s">
        <v>24795</v>
      </c>
      <c r="B1144" s="9" t="s">
        <v>24796</v>
      </c>
      <c r="C1144" s="9" t="s">
        <v>24797</v>
      </c>
      <c r="D1144" s="9" t="s">
        <v>24798</v>
      </c>
      <c r="E1144" s="9" t="s">
        <v>17740</v>
      </c>
      <c r="F1144" s="9" t="s">
        <v>17741</v>
      </c>
      <c r="G1144" s="9" t="s">
        <v>17740</v>
      </c>
      <c r="H1144" s="11" t="s">
        <v>17741</v>
      </c>
      <c r="I1144" s="11" t="s">
        <v>24799</v>
      </c>
      <c r="J1144" s="11" t="s">
        <v>24799</v>
      </c>
      <c r="K1144" s="9" t="s">
        <v>24800</v>
      </c>
      <c r="L1144" s="9" t="s">
        <v>17759</v>
      </c>
      <c r="M1144" s="9" t="s">
        <v>19168</v>
      </c>
      <c r="N1144" s="9" t="s">
        <v>17746</v>
      </c>
      <c r="O1144" s="9" t="s">
        <v>3355</v>
      </c>
      <c r="P1144" s="9" t="s">
        <v>17748</v>
      </c>
      <c r="Q1144" s="11" t="s">
        <v>17978</v>
      </c>
      <c r="R1144" s="11" t="s">
        <v>17978</v>
      </c>
      <c r="S1144" s="11" t="s">
        <v>17750</v>
      </c>
    </row>
    <row r="1145" spans="1:19" x14ac:dyDescent="0.2">
      <c r="A1145" s="11" t="s">
        <v>24801</v>
      </c>
      <c r="B1145" s="9" t="s">
        <v>24802</v>
      </c>
      <c r="C1145" s="9" t="s">
        <v>24803</v>
      </c>
      <c r="D1145" s="9" t="s">
        <v>24804</v>
      </c>
      <c r="E1145" s="9" t="s">
        <v>17740</v>
      </c>
      <c r="F1145" s="9" t="s">
        <v>17741</v>
      </c>
      <c r="G1145" s="9" t="s">
        <v>17740</v>
      </c>
      <c r="H1145" s="11" t="s">
        <v>24805</v>
      </c>
      <c r="I1145" s="11" t="s">
        <v>24806</v>
      </c>
      <c r="J1145" s="11" t="s">
        <v>24806</v>
      </c>
      <c r="K1145" s="9" t="s">
        <v>19713</v>
      </c>
      <c r="L1145" s="9" t="s">
        <v>17759</v>
      </c>
      <c r="M1145" s="9" t="s">
        <v>17760</v>
      </c>
      <c r="N1145" s="9" t="s">
        <v>17746</v>
      </c>
      <c r="O1145" s="9" t="s">
        <v>3355</v>
      </c>
      <c r="P1145" s="9" t="s">
        <v>17748</v>
      </c>
      <c r="Q1145" s="11" t="s">
        <v>18201</v>
      </c>
      <c r="R1145" s="11" t="s">
        <v>18201</v>
      </c>
      <c r="S1145" s="11" t="s">
        <v>17750</v>
      </c>
    </row>
    <row r="1146" spans="1:19" x14ac:dyDescent="0.2">
      <c r="A1146" s="11" t="s">
        <v>24807</v>
      </c>
      <c r="B1146" s="9" t="s">
        <v>24808</v>
      </c>
      <c r="C1146" s="9" t="s">
        <v>24809</v>
      </c>
      <c r="D1146" s="9" t="s">
        <v>24810</v>
      </c>
      <c r="E1146" s="9" t="s">
        <v>17740</v>
      </c>
      <c r="F1146" s="9" t="s">
        <v>17741</v>
      </c>
      <c r="G1146" s="9" t="s">
        <v>17740</v>
      </c>
      <c r="H1146" s="11" t="s">
        <v>24811</v>
      </c>
      <c r="I1146" s="11" t="s">
        <v>24812</v>
      </c>
      <c r="J1146" s="11" t="s">
        <v>24812</v>
      </c>
      <c r="K1146" s="9" t="s">
        <v>291</v>
      </c>
      <c r="L1146" s="9" t="s">
        <v>17744</v>
      </c>
      <c r="M1146" s="9" t="s">
        <v>24813</v>
      </c>
      <c r="N1146" s="9" t="s">
        <v>17746</v>
      </c>
      <c r="O1146" s="9" t="s">
        <v>21109</v>
      </c>
      <c r="P1146" s="9" t="s">
        <v>17748</v>
      </c>
      <c r="Q1146" s="11" t="s">
        <v>19361</v>
      </c>
      <c r="R1146" s="11" t="s">
        <v>19361</v>
      </c>
      <c r="S1146" s="11" t="s">
        <v>17750</v>
      </c>
    </row>
    <row r="1147" spans="1:19" x14ac:dyDescent="0.2">
      <c r="A1147" s="11" t="s">
        <v>24814</v>
      </c>
      <c r="B1147" s="9" t="s">
        <v>24815</v>
      </c>
      <c r="C1147" s="9" t="s">
        <v>24816</v>
      </c>
      <c r="D1147" s="9" t="s">
        <v>24817</v>
      </c>
      <c r="E1147" s="9" t="s">
        <v>17740</v>
      </c>
      <c r="F1147" s="9" t="s">
        <v>17741</v>
      </c>
      <c r="G1147" s="9" t="s">
        <v>17740</v>
      </c>
      <c r="H1147" s="11" t="s">
        <v>24818</v>
      </c>
      <c r="I1147" s="11" t="s">
        <v>24819</v>
      </c>
      <c r="J1147" s="11" t="s">
        <v>24819</v>
      </c>
      <c r="K1147" s="9" t="s">
        <v>18832</v>
      </c>
      <c r="L1147" s="9" t="s">
        <v>17759</v>
      </c>
      <c r="M1147" s="9" t="s">
        <v>17778</v>
      </c>
      <c r="N1147" s="9" t="s">
        <v>17746</v>
      </c>
      <c r="O1147" s="9" t="s">
        <v>24787</v>
      </c>
      <c r="P1147" s="9" t="s">
        <v>17748</v>
      </c>
      <c r="Q1147" s="11" t="s">
        <v>18282</v>
      </c>
      <c r="R1147" s="11" t="s">
        <v>18282</v>
      </c>
      <c r="S1147" s="11" t="s">
        <v>17750</v>
      </c>
    </row>
    <row r="1148" spans="1:19" x14ac:dyDescent="0.2">
      <c r="A1148" s="11" t="s">
        <v>24820</v>
      </c>
      <c r="B1148" s="9" t="s">
        <v>24821</v>
      </c>
      <c r="C1148" s="9" t="s">
        <v>24822</v>
      </c>
      <c r="D1148" s="9" t="s">
        <v>24823</v>
      </c>
      <c r="E1148" s="9" t="s">
        <v>17740</v>
      </c>
      <c r="F1148" s="9" t="s">
        <v>24824</v>
      </c>
      <c r="G1148" s="9" t="s">
        <v>17740</v>
      </c>
      <c r="H1148" s="11" t="s">
        <v>17741</v>
      </c>
      <c r="I1148" s="11" t="s">
        <v>24825</v>
      </c>
      <c r="J1148" s="11" t="s">
        <v>24825</v>
      </c>
      <c r="K1148" s="9" t="s">
        <v>24826</v>
      </c>
      <c r="L1148" s="9" t="s">
        <v>17759</v>
      </c>
      <c r="M1148" s="9" t="s">
        <v>17769</v>
      </c>
      <c r="N1148" s="9" t="s">
        <v>17746</v>
      </c>
      <c r="O1148" s="9" t="s">
        <v>24827</v>
      </c>
      <c r="P1148" s="9" t="s">
        <v>17748</v>
      </c>
      <c r="Q1148" s="11" t="s">
        <v>18178</v>
      </c>
      <c r="R1148" s="11" t="s">
        <v>18178</v>
      </c>
      <c r="S1148" s="11" t="s">
        <v>17750</v>
      </c>
    </row>
    <row r="1149" spans="1:19" x14ac:dyDescent="0.2">
      <c r="A1149" s="11" t="s">
        <v>24828</v>
      </c>
      <c r="B1149" s="9" t="s">
        <v>24829</v>
      </c>
      <c r="C1149" s="9" t="s">
        <v>24830</v>
      </c>
      <c r="D1149" s="9" t="s">
        <v>24831</v>
      </c>
      <c r="E1149" s="9" t="s">
        <v>17740</v>
      </c>
      <c r="F1149" s="9" t="s">
        <v>24832</v>
      </c>
      <c r="G1149" s="9" t="s">
        <v>17740</v>
      </c>
      <c r="H1149" s="11" t="s">
        <v>24833</v>
      </c>
      <c r="I1149" s="11" t="s">
        <v>24834</v>
      </c>
      <c r="J1149" s="11" t="s">
        <v>24834</v>
      </c>
      <c r="K1149" s="9" t="s">
        <v>24835</v>
      </c>
      <c r="L1149" s="9" t="s">
        <v>17744</v>
      </c>
      <c r="M1149" s="9" t="s">
        <v>17769</v>
      </c>
      <c r="N1149" s="9" t="s">
        <v>17746</v>
      </c>
      <c r="O1149" s="9" t="s">
        <v>3355</v>
      </c>
      <c r="P1149" s="9" t="s">
        <v>17748</v>
      </c>
      <c r="Q1149" s="11" t="s">
        <v>18608</v>
      </c>
      <c r="R1149" s="11" t="s">
        <v>18608</v>
      </c>
      <c r="S1149" s="11" t="s">
        <v>17750</v>
      </c>
    </row>
    <row r="1150" spans="1:19" x14ac:dyDescent="0.2">
      <c r="A1150" s="11" t="s">
        <v>24836</v>
      </c>
      <c r="B1150" s="9" t="s">
        <v>24837</v>
      </c>
      <c r="C1150" s="9" t="s">
        <v>24838</v>
      </c>
      <c r="D1150" s="9" t="s">
        <v>24839</v>
      </c>
      <c r="E1150" s="9" t="s">
        <v>17740</v>
      </c>
      <c r="F1150" s="9" t="s">
        <v>24840</v>
      </c>
      <c r="G1150" s="9" t="s">
        <v>17740</v>
      </c>
      <c r="H1150" s="11" t="s">
        <v>24841</v>
      </c>
      <c r="I1150" s="11" t="s">
        <v>24842</v>
      </c>
      <c r="J1150" s="11" t="s">
        <v>24842</v>
      </c>
      <c r="K1150" s="9" t="s">
        <v>19202</v>
      </c>
      <c r="L1150" s="9" t="s">
        <v>17759</v>
      </c>
      <c r="M1150" s="9" t="s">
        <v>17769</v>
      </c>
      <c r="N1150" s="9" t="s">
        <v>17746</v>
      </c>
      <c r="O1150" s="9" t="s">
        <v>24843</v>
      </c>
      <c r="P1150" s="9" t="s">
        <v>17748</v>
      </c>
      <c r="Q1150" s="11" t="s">
        <v>17900</v>
      </c>
      <c r="R1150" s="11" t="s">
        <v>17900</v>
      </c>
      <c r="S1150" s="11" t="s">
        <v>17750</v>
      </c>
    </row>
    <row r="1151" spans="1:19" x14ac:dyDescent="0.2">
      <c r="A1151" s="11" t="s">
        <v>24844</v>
      </c>
      <c r="B1151" s="9" t="s">
        <v>24845</v>
      </c>
      <c r="C1151" s="9" t="s">
        <v>24846</v>
      </c>
      <c r="D1151" s="9" t="s">
        <v>24847</v>
      </c>
      <c r="E1151" s="9" t="s">
        <v>17740</v>
      </c>
      <c r="F1151" s="9" t="s">
        <v>24848</v>
      </c>
      <c r="G1151" s="9" t="s">
        <v>17740</v>
      </c>
      <c r="H1151" s="11" t="s">
        <v>1227</v>
      </c>
      <c r="I1151" s="11" t="s">
        <v>1226</v>
      </c>
      <c r="J1151" s="11" t="s">
        <v>1226</v>
      </c>
      <c r="K1151" s="9" t="s">
        <v>167</v>
      </c>
      <c r="L1151" s="9" t="s">
        <v>18158</v>
      </c>
      <c r="M1151" s="9" t="s">
        <v>18289</v>
      </c>
      <c r="N1151" s="9" t="s">
        <v>17746</v>
      </c>
      <c r="O1151" s="9" t="s">
        <v>24849</v>
      </c>
      <c r="P1151" s="9" t="s">
        <v>17748</v>
      </c>
      <c r="Q1151" s="11" t="s">
        <v>18960</v>
      </c>
      <c r="R1151" s="11" t="s">
        <v>18960</v>
      </c>
      <c r="S1151" s="11" t="s">
        <v>17750</v>
      </c>
    </row>
    <row r="1152" spans="1:19" x14ac:dyDescent="0.2">
      <c r="A1152" s="11" t="s">
        <v>24850</v>
      </c>
      <c r="B1152" s="9" t="s">
        <v>15322</v>
      </c>
      <c r="C1152" s="9" t="s">
        <v>24851</v>
      </c>
      <c r="D1152" s="9" t="s">
        <v>15322</v>
      </c>
      <c r="E1152" s="9" t="s">
        <v>17740</v>
      </c>
      <c r="F1152" s="9" t="s">
        <v>17741</v>
      </c>
      <c r="G1152" s="9" t="s">
        <v>17740</v>
      </c>
      <c r="H1152" s="11" t="s">
        <v>15324</v>
      </c>
      <c r="I1152" s="11" t="s">
        <v>15323</v>
      </c>
      <c r="J1152" s="11" t="s">
        <v>15324</v>
      </c>
      <c r="K1152" s="9" t="s">
        <v>10332</v>
      </c>
      <c r="L1152" s="9" t="s">
        <v>17759</v>
      </c>
      <c r="M1152" s="9" t="s">
        <v>17760</v>
      </c>
      <c r="N1152" s="9" t="s">
        <v>17746</v>
      </c>
      <c r="O1152" s="9" t="s">
        <v>24852</v>
      </c>
      <c r="P1152" s="9" t="s">
        <v>17748</v>
      </c>
      <c r="Q1152" s="11" t="s">
        <v>17900</v>
      </c>
      <c r="R1152" s="11" t="s">
        <v>17900</v>
      </c>
      <c r="S1152" s="11" t="s">
        <v>17750</v>
      </c>
    </row>
    <row r="1153" spans="1:19" x14ac:dyDescent="0.2">
      <c r="A1153" s="11" t="s">
        <v>24853</v>
      </c>
      <c r="B1153" s="9" t="s">
        <v>24854</v>
      </c>
      <c r="C1153" s="9" t="s">
        <v>24855</v>
      </c>
      <c r="D1153" s="9" t="s">
        <v>24856</v>
      </c>
      <c r="E1153" s="9" t="s">
        <v>17740</v>
      </c>
      <c r="F1153" s="9" t="s">
        <v>24857</v>
      </c>
      <c r="G1153" s="9" t="s">
        <v>17740</v>
      </c>
      <c r="H1153" s="11" t="s">
        <v>17741</v>
      </c>
      <c r="I1153" s="11" t="s">
        <v>24858</v>
      </c>
      <c r="J1153" s="11" t="s">
        <v>24858</v>
      </c>
      <c r="K1153" s="9" t="s">
        <v>24859</v>
      </c>
      <c r="L1153" s="9" t="s">
        <v>18123</v>
      </c>
      <c r="M1153" s="9" t="s">
        <v>17817</v>
      </c>
      <c r="N1153" s="9" t="s">
        <v>18185</v>
      </c>
      <c r="O1153" s="9" t="s">
        <v>17882</v>
      </c>
      <c r="P1153" s="9" t="s">
        <v>17748</v>
      </c>
      <c r="Q1153" s="11" t="s">
        <v>18847</v>
      </c>
      <c r="R1153" s="11" t="s">
        <v>18847</v>
      </c>
      <c r="S1153" s="11" t="s">
        <v>17750</v>
      </c>
    </row>
    <row r="1154" spans="1:19" x14ac:dyDescent="0.2">
      <c r="A1154" s="11" t="s">
        <v>24860</v>
      </c>
      <c r="B1154" s="9" t="s">
        <v>24861</v>
      </c>
      <c r="C1154" s="9" t="s">
        <v>24862</v>
      </c>
      <c r="D1154" s="9" t="s">
        <v>24863</v>
      </c>
      <c r="E1154" s="9" t="s">
        <v>17748</v>
      </c>
      <c r="F1154" s="9" t="s">
        <v>17741</v>
      </c>
      <c r="G1154" s="9" t="s">
        <v>17740</v>
      </c>
      <c r="H1154" s="11" t="s">
        <v>13145</v>
      </c>
      <c r="I1154" s="11" t="s">
        <v>13144</v>
      </c>
      <c r="J1154" s="11" t="s">
        <v>13145</v>
      </c>
      <c r="K1154" s="9" t="s">
        <v>24864</v>
      </c>
      <c r="L1154" s="9" t="s">
        <v>17958</v>
      </c>
      <c r="M1154" s="9" t="s">
        <v>17817</v>
      </c>
      <c r="N1154" s="9" t="s">
        <v>17746</v>
      </c>
      <c r="O1154" s="9" t="s">
        <v>18363</v>
      </c>
      <c r="P1154" s="9" t="s">
        <v>17748</v>
      </c>
      <c r="Q1154" s="11" t="s">
        <v>18370</v>
      </c>
      <c r="R1154" s="11" t="s">
        <v>18370</v>
      </c>
      <c r="S1154" s="11" t="s">
        <v>17750</v>
      </c>
    </row>
    <row r="1155" spans="1:19" x14ac:dyDescent="0.2">
      <c r="A1155" s="11" t="s">
        <v>24865</v>
      </c>
      <c r="B1155" s="9" t="s">
        <v>24866</v>
      </c>
      <c r="C1155" s="9" t="s">
        <v>24867</v>
      </c>
      <c r="D1155" s="9" t="s">
        <v>24868</v>
      </c>
      <c r="E1155" s="9" t="s">
        <v>17740</v>
      </c>
      <c r="F1155" s="9" t="s">
        <v>17741</v>
      </c>
      <c r="G1155" s="9" t="s">
        <v>17740</v>
      </c>
      <c r="H1155" s="11" t="s">
        <v>17741</v>
      </c>
      <c r="I1155" s="11" t="s">
        <v>24869</v>
      </c>
      <c r="J1155" s="11" t="s">
        <v>24869</v>
      </c>
      <c r="K1155" s="9" t="s">
        <v>24870</v>
      </c>
      <c r="L1155" s="9" t="s">
        <v>17744</v>
      </c>
      <c r="M1155" s="9" t="s">
        <v>17760</v>
      </c>
      <c r="N1155" s="9" t="s">
        <v>17746</v>
      </c>
      <c r="O1155" s="9" t="s">
        <v>18340</v>
      </c>
      <c r="P1155" s="9" t="s">
        <v>17748</v>
      </c>
      <c r="Q1155" s="11" t="s">
        <v>18798</v>
      </c>
      <c r="R1155" s="11" t="s">
        <v>18798</v>
      </c>
      <c r="S1155" s="11" t="s">
        <v>17750</v>
      </c>
    </row>
    <row r="1156" spans="1:19" x14ac:dyDescent="0.2">
      <c r="A1156" s="11" t="s">
        <v>24871</v>
      </c>
      <c r="B1156" s="9" t="s">
        <v>24872</v>
      </c>
      <c r="C1156" s="9" t="s">
        <v>24873</v>
      </c>
      <c r="D1156" s="9" t="s">
        <v>24874</v>
      </c>
      <c r="E1156" s="9" t="s">
        <v>17740</v>
      </c>
      <c r="F1156" s="9" t="s">
        <v>24875</v>
      </c>
      <c r="G1156" s="9" t="s">
        <v>17740</v>
      </c>
      <c r="H1156" s="11" t="s">
        <v>17741</v>
      </c>
      <c r="I1156" s="11" t="s">
        <v>10352</v>
      </c>
      <c r="J1156" s="11" t="s">
        <v>10352</v>
      </c>
      <c r="K1156" s="9" t="s">
        <v>10354</v>
      </c>
      <c r="L1156" s="9" t="s">
        <v>17958</v>
      </c>
      <c r="M1156" s="9" t="s">
        <v>17760</v>
      </c>
      <c r="N1156" s="9" t="s">
        <v>22152</v>
      </c>
      <c r="O1156" s="9" t="s">
        <v>18607</v>
      </c>
      <c r="P1156" s="9" t="s">
        <v>17748</v>
      </c>
      <c r="Q1156" s="11" t="s">
        <v>17858</v>
      </c>
      <c r="R1156" s="11" t="s">
        <v>17858</v>
      </c>
      <c r="S1156" s="11" t="s">
        <v>17750</v>
      </c>
    </row>
    <row r="1157" spans="1:19" x14ac:dyDescent="0.2">
      <c r="A1157" s="11" t="s">
        <v>24876</v>
      </c>
      <c r="B1157" s="9" t="s">
        <v>24877</v>
      </c>
      <c r="C1157" s="9" t="s">
        <v>24878</v>
      </c>
      <c r="D1157" s="9" t="s">
        <v>24879</v>
      </c>
      <c r="E1157" s="9" t="s">
        <v>17740</v>
      </c>
      <c r="F1157" s="9" t="s">
        <v>17741</v>
      </c>
      <c r="G1157" s="9" t="s">
        <v>17740</v>
      </c>
      <c r="H1157" s="11" t="s">
        <v>9983</v>
      </c>
      <c r="I1157" s="11" t="s">
        <v>24880</v>
      </c>
      <c r="J1157" s="11" t="s">
        <v>24880</v>
      </c>
      <c r="K1157" s="9" t="s">
        <v>6433</v>
      </c>
      <c r="L1157" s="9" t="s">
        <v>17958</v>
      </c>
      <c r="M1157" s="9" t="s">
        <v>24881</v>
      </c>
      <c r="N1157" s="9" t="s">
        <v>17746</v>
      </c>
      <c r="O1157" s="9" t="s">
        <v>18607</v>
      </c>
      <c r="P1157" s="9" t="s">
        <v>17748</v>
      </c>
      <c r="Q1157" s="11" t="s">
        <v>17858</v>
      </c>
      <c r="R1157" s="11" t="s">
        <v>17858</v>
      </c>
      <c r="S1157" s="11" t="s">
        <v>17750</v>
      </c>
    </row>
    <row r="1158" spans="1:19" x14ac:dyDescent="0.2">
      <c r="A1158" s="11" t="s">
        <v>24882</v>
      </c>
      <c r="B1158" s="9" t="s">
        <v>24883</v>
      </c>
      <c r="C1158" s="9" t="s">
        <v>24884</v>
      </c>
      <c r="D1158" s="9" t="s">
        <v>24885</v>
      </c>
      <c r="E1158" s="9" t="s">
        <v>17740</v>
      </c>
      <c r="F1158" s="9" t="s">
        <v>24886</v>
      </c>
      <c r="G1158" s="9" t="s">
        <v>17740</v>
      </c>
      <c r="H1158" s="11" t="s">
        <v>17741</v>
      </c>
      <c r="I1158" s="11" t="s">
        <v>1114</v>
      </c>
      <c r="J1158" s="11" t="s">
        <v>1114</v>
      </c>
      <c r="K1158" s="9" t="s">
        <v>24887</v>
      </c>
      <c r="L1158" s="9" t="s">
        <v>17950</v>
      </c>
      <c r="M1158" s="9" t="s">
        <v>17760</v>
      </c>
      <c r="N1158" s="9" t="s">
        <v>17746</v>
      </c>
      <c r="O1158" s="9" t="s">
        <v>18481</v>
      </c>
      <c r="P1158" s="9" t="s">
        <v>17748</v>
      </c>
      <c r="Q1158" s="11" t="s">
        <v>18556</v>
      </c>
      <c r="R1158" s="11" t="s">
        <v>18556</v>
      </c>
      <c r="S1158" s="11" t="s">
        <v>17750</v>
      </c>
    </row>
    <row r="1159" spans="1:19" x14ac:dyDescent="0.2">
      <c r="A1159" s="11" t="s">
        <v>24888</v>
      </c>
      <c r="B1159" s="9" t="s">
        <v>24889</v>
      </c>
      <c r="C1159" s="9" t="s">
        <v>24890</v>
      </c>
      <c r="D1159" s="9" t="s">
        <v>24891</v>
      </c>
      <c r="E1159" s="9" t="s">
        <v>17740</v>
      </c>
      <c r="F1159" s="9" t="s">
        <v>17741</v>
      </c>
      <c r="G1159" s="9" t="s">
        <v>17740</v>
      </c>
      <c r="H1159" s="11" t="s">
        <v>17741</v>
      </c>
      <c r="I1159" s="11" t="s">
        <v>9279</v>
      </c>
      <c r="J1159" s="11" t="s">
        <v>9279</v>
      </c>
      <c r="K1159" s="9" t="s">
        <v>24892</v>
      </c>
      <c r="L1159" s="9" t="s">
        <v>17958</v>
      </c>
      <c r="M1159" s="9" t="s">
        <v>24893</v>
      </c>
      <c r="N1159" s="9" t="s">
        <v>17746</v>
      </c>
      <c r="O1159" s="9" t="s">
        <v>24894</v>
      </c>
      <c r="P1159" s="9" t="s">
        <v>17748</v>
      </c>
      <c r="Q1159" s="11" t="s">
        <v>18798</v>
      </c>
      <c r="R1159" s="11" t="s">
        <v>18798</v>
      </c>
      <c r="S1159" s="11" t="s">
        <v>17750</v>
      </c>
    </row>
    <row r="1160" spans="1:19" x14ac:dyDescent="0.2">
      <c r="A1160" s="11" t="s">
        <v>24895</v>
      </c>
      <c r="B1160" s="9" t="s">
        <v>24896</v>
      </c>
      <c r="C1160" s="9" t="s">
        <v>24897</v>
      </c>
      <c r="D1160" s="9" t="s">
        <v>24898</v>
      </c>
      <c r="E1160" s="9" t="s">
        <v>17740</v>
      </c>
      <c r="F1160" s="9" t="s">
        <v>17741</v>
      </c>
      <c r="G1160" s="9" t="s">
        <v>17740</v>
      </c>
      <c r="H1160" s="11" t="s">
        <v>17741</v>
      </c>
      <c r="I1160" s="11" t="s">
        <v>1200</v>
      </c>
      <c r="J1160" s="11" t="s">
        <v>1200</v>
      </c>
      <c r="K1160" s="9" t="s">
        <v>24899</v>
      </c>
      <c r="L1160" s="9" t="s">
        <v>17958</v>
      </c>
      <c r="M1160" s="9" t="s">
        <v>17817</v>
      </c>
      <c r="N1160" s="9" t="s">
        <v>17746</v>
      </c>
      <c r="O1160" s="9" t="s">
        <v>18607</v>
      </c>
      <c r="P1160" s="9" t="s">
        <v>17748</v>
      </c>
      <c r="Q1160" s="11" t="s">
        <v>18608</v>
      </c>
      <c r="R1160" s="11" t="s">
        <v>18608</v>
      </c>
      <c r="S1160" s="11" t="s">
        <v>17750</v>
      </c>
    </row>
    <row r="1161" spans="1:19" x14ac:dyDescent="0.2">
      <c r="A1161" s="11" t="s">
        <v>24900</v>
      </c>
      <c r="B1161" s="9" t="s">
        <v>24901</v>
      </c>
      <c r="C1161" s="9" t="s">
        <v>24902</v>
      </c>
      <c r="D1161" s="9" t="s">
        <v>24903</v>
      </c>
      <c r="E1161" s="9" t="s">
        <v>17740</v>
      </c>
      <c r="F1161" s="9" t="s">
        <v>24904</v>
      </c>
      <c r="G1161" s="9" t="s">
        <v>17740</v>
      </c>
      <c r="H1161" s="11" t="s">
        <v>17741</v>
      </c>
      <c r="I1161" s="11" t="s">
        <v>5468</v>
      </c>
      <c r="J1161" s="11" t="s">
        <v>5468</v>
      </c>
      <c r="K1161" s="9" t="s">
        <v>1006</v>
      </c>
      <c r="L1161" s="9" t="s">
        <v>17958</v>
      </c>
      <c r="M1161" s="9" t="s">
        <v>17760</v>
      </c>
      <c r="N1161" s="9" t="s">
        <v>17746</v>
      </c>
      <c r="O1161" s="9" t="s">
        <v>18607</v>
      </c>
      <c r="P1161" s="9" t="s">
        <v>17748</v>
      </c>
      <c r="Q1161" s="11" t="s">
        <v>18080</v>
      </c>
      <c r="R1161" s="11" t="s">
        <v>18080</v>
      </c>
      <c r="S1161" s="11" t="s">
        <v>17750</v>
      </c>
    </row>
    <row r="1162" spans="1:19" x14ac:dyDescent="0.2">
      <c r="A1162" s="11" t="s">
        <v>24905</v>
      </c>
      <c r="B1162" s="9" t="s">
        <v>4861</v>
      </c>
      <c r="C1162" s="9" t="s">
        <v>24906</v>
      </c>
      <c r="D1162" s="9" t="s">
        <v>4861</v>
      </c>
      <c r="E1162" s="9" t="s">
        <v>17740</v>
      </c>
      <c r="F1162" s="9" t="s">
        <v>17741</v>
      </c>
      <c r="G1162" s="9" t="s">
        <v>17740</v>
      </c>
      <c r="H1162" s="11" t="s">
        <v>4863</v>
      </c>
      <c r="I1162" s="11" t="s">
        <v>4862</v>
      </c>
      <c r="J1162" s="11" t="s">
        <v>4862</v>
      </c>
      <c r="K1162" s="9" t="s">
        <v>19094</v>
      </c>
      <c r="L1162" s="9" t="s">
        <v>17759</v>
      </c>
      <c r="M1162" s="9" t="s">
        <v>24907</v>
      </c>
      <c r="N1162" s="9" t="s">
        <v>17746</v>
      </c>
      <c r="O1162" s="9" t="s">
        <v>24908</v>
      </c>
      <c r="P1162" s="9" t="s">
        <v>17748</v>
      </c>
      <c r="Q1162" s="11" t="s">
        <v>17819</v>
      </c>
      <c r="R1162" s="11" t="s">
        <v>17819</v>
      </c>
      <c r="S1162" s="11" t="s">
        <v>17750</v>
      </c>
    </row>
    <row r="1163" spans="1:19" x14ac:dyDescent="0.2">
      <c r="A1163" s="11" t="s">
        <v>24909</v>
      </c>
      <c r="B1163" s="9" t="s">
        <v>24910</v>
      </c>
      <c r="C1163" s="9" t="s">
        <v>24911</v>
      </c>
      <c r="D1163" s="9" t="s">
        <v>24912</v>
      </c>
      <c r="E1163" s="9" t="s">
        <v>17740</v>
      </c>
      <c r="F1163" s="9" t="s">
        <v>17741</v>
      </c>
      <c r="G1163" s="9" t="s">
        <v>17740</v>
      </c>
      <c r="H1163" s="11" t="s">
        <v>24913</v>
      </c>
      <c r="I1163" s="11" t="s">
        <v>24914</v>
      </c>
      <c r="J1163" s="11" t="s">
        <v>24914</v>
      </c>
      <c r="K1163" s="9" t="s">
        <v>167</v>
      </c>
      <c r="L1163" s="9" t="s">
        <v>18158</v>
      </c>
      <c r="M1163" s="9" t="s">
        <v>17817</v>
      </c>
      <c r="N1163" s="9" t="s">
        <v>18185</v>
      </c>
      <c r="O1163" s="9" t="s">
        <v>18035</v>
      </c>
      <c r="P1163" s="9" t="s">
        <v>17748</v>
      </c>
      <c r="Q1163" s="11" t="s">
        <v>23636</v>
      </c>
      <c r="R1163" s="11" t="s">
        <v>23636</v>
      </c>
      <c r="S1163" s="11" t="s">
        <v>17750</v>
      </c>
    </row>
    <row r="1164" spans="1:19" x14ac:dyDescent="0.2">
      <c r="A1164" s="11" t="s">
        <v>24915</v>
      </c>
      <c r="B1164" s="9" t="s">
        <v>24916</v>
      </c>
      <c r="C1164" s="9" t="s">
        <v>24917</v>
      </c>
      <c r="D1164" s="9" t="s">
        <v>24918</v>
      </c>
      <c r="E1164" s="9" t="s">
        <v>17740</v>
      </c>
      <c r="F1164" s="9" t="s">
        <v>24919</v>
      </c>
      <c r="G1164" s="9" t="s">
        <v>17740</v>
      </c>
      <c r="H1164" s="11" t="s">
        <v>17741</v>
      </c>
      <c r="I1164" s="11" t="s">
        <v>24920</v>
      </c>
      <c r="J1164" s="11" t="s">
        <v>24920</v>
      </c>
      <c r="K1164" s="9" t="s">
        <v>24921</v>
      </c>
      <c r="L1164" s="9" t="s">
        <v>22017</v>
      </c>
      <c r="M1164" s="9" t="s">
        <v>18065</v>
      </c>
      <c r="N1164" s="9" t="s">
        <v>22018</v>
      </c>
      <c r="O1164" s="9" t="s">
        <v>18035</v>
      </c>
      <c r="P1164" s="9" t="s">
        <v>17748</v>
      </c>
      <c r="Q1164" s="11" t="s">
        <v>17749</v>
      </c>
      <c r="R1164" s="11" t="s">
        <v>17749</v>
      </c>
      <c r="S1164" s="11" t="s">
        <v>17750</v>
      </c>
    </row>
    <row r="1165" spans="1:19" x14ac:dyDescent="0.2">
      <c r="A1165" s="11" t="s">
        <v>24922</v>
      </c>
      <c r="B1165" s="9" t="s">
        <v>24923</v>
      </c>
      <c r="C1165" s="9" t="s">
        <v>24924</v>
      </c>
      <c r="D1165" s="9" t="s">
        <v>24925</v>
      </c>
      <c r="E1165" s="9" t="s">
        <v>17748</v>
      </c>
      <c r="F1165" s="9" t="s">
        <v>24926</v>
      </c>
      <c r="G1165" s="9" t="s">
        <v>17740</v>
      </c>
      <c r="H1165" s="11" t="s">
        <v>8409</v>
      </c>
      <c r="I1165" s="11" t="s">
        <v>8408</v>
      </c>
      <c r="J1165" s="11" t="s">
        <v>8408</v>
      </c>
      <c r="K1165" s="9" t="s">
        <v>24927</v>
      </c>
      <c r="L1165" s="9" t="s">
        <v>20359</v>
      </c>
      <c r="M1165" s="9" t="s">
        <v>24928</v>
      </c>
      <c r="N1165" s="9" t="s">
        <v>17746</v>
      </c>
      <c r="O1165" s="9" t="s">
        <v>18035</v>
      </c>
      <c r="P1165" s="9" t="s">
        <v>17748</v>
      </c>
      <c r="Q1165" s="11" t="s">
        <v>17784</v>
      </c>
      <c r="R1165" s="11" t="s">
        <v>17784</v>
      </c>
      <c r="S1165" s="11" t="s">
        <v>17750</v>
      </c>
    </row>
    <row r="1166" spans="1:19" x14ac:dyDescent="0.2">
      <c r="A1166" s="11" t="s">
        <v>24929</v>
      </c>
      <c r="B1166" s="9" t="s">
        <v>1067</v>
      </c>
      <c r="C1166" s="9" t="s">
        <v>24930</v>
      </c>
      <c r="D1166" s="9" t="s">
        <v>1067</v>
      </c>
      <c r="E1166" s="9" t="s">
        <v>17740</v>
      </c>
      <c r="F1166" s="9" t="s">
        <v>24931</v>
      </c>
      <c r="G1166" s="9" t="s">
        <v>17740</v>
      </c>
      <c r="H1166" s="11" t="s">
        <v>1069</v>
      </c>
      <c r="I1166" s="11" t="s">
        <v>1068</v>
      </c>
      <c r="J1166" s="11" t="s">
        <v>1068</v>
      </c>
      <c r="K1166" s="9" t="s">
        <v>17089</v>
      </c>
      <c r="L1166" s="9" t="s">
        <v>18158</v>
      </c>
      <c r="M1166" s="9" t="s">
        <v>24932</v>
      </c>
      <c r="N1166" s="9" t="s">
        <v>17746</v>
      </c>
      <c r="O1166" s="9" t="s">
        <v>22268</v>
      </c>
      <c r="P1166" s="9" t="s">
        <v>17748</v>
      </c>
      <c r="Q1166" s="11" t="s">
        <v>18847</v>
      </c>
      <c r="R1166" s="11" t="s">
        <v>18847</v>
      </c>
      <c r="S1166" s="11" t="s">
        <v>17750</v>
      </c>
    </row>
    <row r="1167" spans="1:19" x14ac:dyDescent="0.2">
      <c r="A1167" s="11" t="s">
        <v>24933</v>
      </c>
      <c r="B1167" s="9" t="s">
        <v>24934</v>
      </c>
      <c r="C1167" s="9" t="s">
        <v>24935</v>
      </c>
      <c r="D1167" s="9" t="s">
        <v>24936</v>
      </c>
      <c r="E1167" s="9" t="s">
        <v>17740</v>
      </c>
      <c r="F1167" s="9" t="s">
        <v>17741</v>
      </c>
      <c r="G1167" s="9" t="s">
        <v>17740</v>
      </c>
      <c r="H1167" s="11" t="s">
        <v>6046</v>
      </c>
      <c r="I1167" s="11" t="s">
        <v>6045</v>
      </c>
      <c r="J1167" s="11" t="s">
        <v>6045</v>
      </c>
      <c r="K1167" s="9" t="s">
        <v>18876</v>
      </c>
      <c r="L1167" s="9" t="s">
        <v>18001</v>
      </c>
      <c r="M1167" s="9" t="s">
        <v>18177</v>
      </c>
      <c r="N1167" s="9" t="s">
        <v>17746</v>
      </c>
      <c r="O1167" s="9" t="s">
        <v>22268</v>
      </c>
      <c r="P1167" s="9" t="s">
        <v>17748</v>
      </c>
      <c r="Q1167" s="11" t="s">
        <v>17792</v>
      </c>
      <c r="R1167" s="11" t="s">
        <v>17792</v>
      </c>
      <c r="S1167" s="11" t="s">
        <v>17750</v>
      </c>
    </row>
    <row r="1168" spans="1:19" x14ac:dyDescent="0.2">
      <c r="A1168" s="11" t="s">
        <v>24937</v>
      </c>
      <c r="B1168" s="9" t="s">
        <v>24938</v>
      </c>
      <c r="C1168" s="9" t="s">
        <v>24939</v>
      </c>
      <c r="D1168" s="9" t="s">
        <v>24940</v>
      </c>
      <c r="E1168" s="9" t="s">
        <v>17748</v>
      </c>
      <c r="F1168" s="9" t="s">
        <v>24941</v>
      </c>
      <c r="G1168" s="9" t="s">
        <v>17740</v>
      </c>
      <c r="H1168" s="11" t="s">
        <v>24942</v>
      </c>
      <c r="I1168" s="11" t="s">
        <v>24943</v>
      </c>
      <c r="J1168" s="11" t="s">
        <v>24943</v>
      </c>
      <c r="K1168" s="9" t="s">
        <v>23868</v>
      </c>
      <c r="L1168" s="9" t="s">
        <v>18959</v>
      </c>
      <c r="M1168" s="9" t="s">
        <v>17760</v>
      </c>
      <c r="N1168" s="9" t="s">
        <v>17746</v>
      </c>
      <c r="O1168" s="9" t="s">
        <v>24944</v>
      </c>
      <c r="P1168" s="9" t="s">
        <v>17748</v>
      </c>
      <c r="Q1168" s="11" t="s">
        <v>17909</v>
      </c>
      <c r="R1168" s="11" t="s">
        <v>17909</v>
      </c>
      <c r="S1168" s="11" t="s">
        <v>17750</v>
      </c>
    </row>
    <row r="1169" spans="1:19" x14ac:dyDescent="0.2">
      <c r="A1169" s="11" t="s">
        <v>24945</v>
      </c>
      <c r="B1169" s="9" t="s">
        <v>24946</v>
      </c>
      <c r="C1169" s="9" t="s">
        <v>24947</v>
      </c>
      <c r="D1169" s="9" t="s">
        <v>24948</v>
      </c>
      <c r="E1169" s="9" t="s">
        <v>17740</v>
      </c>
      <c r="F1169" s="9" t="s">
        <v>17741</v>
      </c>
      <c r="G1169" s="9" t="s">
        <v>17740</v>
      </c>
      <c r="H1169" s="11" t="s">
        <v>11277</v>
      </c>
      <c r="I1169" s="11" t="s">
        <v>11276</v>
      </c>
      <c r="J1169" s="11" t="s">
        <v>11276</v>
      </c>
      <c r="K1169" s="9" t="s">
        <v>19447</v>
      </c>
      <c r="L1169" s="9" t="s">
        <v>17759</v>
      </c>
      <c r="M1169" s="9" t="s">
        <v>17760</v>
      </c>
      <c r="N1169" s="9" t="s">
        <v>17746</v>
      </c>
      <c r="O1169" s="9" t="s">
        <v>17993</v>
      </c>
      <c r="P1169" s="9" t="s">
        <v>17748</v>
      </c>
      <c r="Q1169" s="11" t="s">
        <v>17984</v>
      </c>
      <c r="R1169" s="11" t="s">
        <v>17984</v>
      </c>
      <c r="S1169" s="11" t="s">
        <v>17750</v>
      </c>
    </row>
    <row r="1170" spans="1:19" x14ac:dyDescent="0.2">
      <c r="A1170" s="11" t="s">
        <v>24949</v>
      </c>
      <c r="B1170" s="9" t="s">
        <v>24950</v>
      </c>
      <c r="C1170" s="9" t="s">
        <v>24951</v>
      </c>
      <c r="D1170" s="9" t="s">
        <v>24952</v>
      </c>
      <c r="E1170" s="9" t="s">
        <v>17740</v>
      </c>
      <c r="F1170" s="9" t="s">
        <v>17741</v>
      </c>
      <c r="G1170" s="9" t="s">
        <v>17740</v>
      </c>
      <c r="H1170" s="11" t="s">
        <v>10559</v>
      </c>
      <c r="I1170" s="11" t="s">
        <v>10558</v>
      </c>
      <c r="J1170" s="11" t="s">
        <v>10558</v>
      </c>
      <c r="K1170" s="9" t="s">
        <v>21721</v>
      </c>
      <c r="L1170" s="9" t="s">
        <v>17744</v>
      </c>
      <c r="M1170" s="9" t="s">
        <v>17778</v>
      </c>
      <c r="N1170" s="9" t="s">
        <v>17746</v>
      </c>
      <c r="O1170" s="9" t="s">
        <v>15733</v>
      </c>
      <c r="P1170" s="9" t="s">
        <v>17748</v>
      </c>
      <c r="Q1170" s="11" t="s">
        <v>17780</v>
      </c>
      <c r="R1170" s="11" t="s">
        <v>17780</v>
      </c>
      <c r="S1170" s="11" t="s">
        <v>17750</v>
      </c>
    </row>
    <row r="1171" spans="1:19" x14ac:dyDescent="0.2">
      <c r="A1171" s="11" t="s">
        <v>24953</v>
      </c>
      <c r="B1171" s="9" t="s">
        <v>24954</v>
      </c>
      <c r="C1171" s="9" t="s">
        <v>24955</v>
      </c>
      <c r="D1171" s="9" t="s">
        <v>24956</v>
      </c>
      <c r="E1171" s="9" t="s">
        <v>17740</v>
      </c>
      <c r="F1171" s="9" t="s">
        <v>17741</v>
      </c>
      <c r="G1171" s="9" t="s">
        <v>17740</v>
      </c>
      <c r="H1171" s="11" t="s">
        <v>24957</v>
      </c>
      <c r="I1171" s="11" t="s">
        <v>24958</v>
      </c>
      <c r="J1171" s="11" t="s">
        <v>24958</v>
      </c>
      <c r="K1171" s="9" t="s">
        <v>291</v>
      </c>
      <c r="L1171" s="9" t="s">
        <v>17744</v>
      </c>
      <c r="M1171" s="9" t="s">
        <v>17769</v>
      </c>
      <c r="N1171" s="9" t="s">
        <v>17746</v>
      </c>
      <c r="O1171" s="9" t="s">
        <v>18481</v>
      </c>
      <c r="P1171" s="9" t="s">
        <v>17748</v>
      </c>
      <c r="Q1171" s="11" t="s">
        <v>18341</v>
      </c>
      <c r="R1171" s="11" t="s">
        <v>18341</v>
      </c>
      <c r="S1171" s="11" t="s">
        <v>17750</v>
      </c>
    </row>
    <row r="1172" spans="1:19" x14ac:dyDescent="0.2">
      <c r="A1172" s="11" t="s">
        <v>24959</v>
      </c>
      <c r="B1172" s="9" t="s">
        <v>24960</v>
      </c>
      <c r="C1172" s="9" t="s">
        <v>24961</v>
      </c>
      <c r="D1172" s="9" t="s">
        <v>24962</v>
      </c>
      <c r="E1172" s="9" t="s">
        <v>17740</v>
      </c>
      <c r="F1172" s="9" t="s">
        <v>17741</v>
      </c>
      <c r="G1172" s="9" t="s">
        <v>17740</v>
      </c>
      <c r="H1172" s="11" t="s">
        <v>17741</v>
      </c>
      <c r="I1172" s="11" t="s">
        <v>24963</v>
      </c>
      <c r="J1172" s="11" t="s">
        <v>24963</v>
      </c>
      <c r="K1172" s="9" t="s">
        <v>24964</v>
      </c>
      <c r="L1172" s="9" t="s">
        <v>18242</v>
      </c>
      <c r="M1172" s="9" t="s">
        <v>17760</v>
      </c>
      <c r="N1172" s="9" t="s">
        <v>21524</v>
      </c>
      <c r="O1172" s="9" t="s">
        <v>4009</v>
      </c>
      <c r="P1172" s="9" t="s">
        <v>17748</v>
      </c>
      <c r="Q1172" s="11" t="s">
        <v>18364</v>
      </c>
      <c r="R1172" s="11" t="s">
        <v>18364</v>
      </c>
      <c r="S1172" s="11" t="s">
        <v>17750</v>
      </c>
    </row>
    <row r="1173" spans="1:19" x14ac:dyDescent="0.2">
      <c r="A1173" s="11" t="s">
        <v>24965</v>
      </c>
      <c r="B1173" s="9" t="s">
        <v>24966</v>
      </c>
      <c r="C1173" s="9" t="s">
        <v>24967</v>
      </c>
      <c r="D1173" s="9" t="s">
        <v>24968</v>
      </c>
      <c r="E1173" s="9" t="s">
        <v>17740</v>
      </c>
      <c r="F1173" s="9" t="s">
        <v>17741</v>
      </c>
      <c r="G1173" s="9" t="s">
        <v>17740</v>
      </c>
      <c r="H1173" s="11" t="s">
        <v>24969</v>
      </c>
      <c r="I1173" s="11" t="s">
        <v>24970</v>
      </c>
      <c r="J1173" s="11" t="s">
        <v>24970</v>
      </c>
      <c r="K1173" s="9" t="s">
        <v>24971</v>
      </c>
      <c r="L1173" s="9" t="s">
        <v>18058</v>
      </c>
      <c r="M1173" s="9" t="s">
        <v>24972</v>
      </c>
      <c r="N1173" s="9" t="s">
        <v>17746</v>
      </c>
      <c r="O1173" s="9" t="s">
        <v>3524</v>
      </c>
      <c r="P1173" s="9" t="s">
        <v>17748</v>
      </c>
      <c r="Q1173" s="11" t="s">
        <v>18201</v>
      </c>
      <c r="R1173" s="11" t="s">
        <v>18201</v>
      </c>
      <c r="S1173" s="11" t="s">
        <v>17750</v>
      </c>
    </row>
    <row r="1174" spans="1:19" x14ac:dyDescent="0.2">
      <c r="A1174" s="11" t="s">
        <v>24973</v>
      </c>
      <c r="B1174" s="9" t="s">
        <v>1088</v>
      </c>
      <c r="C1174" s="9" t="s">
        <v>24974</v>
      </c>
      <c r="D1174" s="9" t="s">
        <v>1088</v>
      </c>
      <c r="E1174" s="9" t="s">
        <v>17740</v>
      </c>
      <c r="F1174" s="9" t="s">
        <v>17741</v>
      </c>
      <c r="G1174" s="9" t="s">
        <v>17740</v>
      </c>
      <c r="H1174" s="11" t="s">
        <v>1090</v>
      </c>
      <c r="I1174" s="11" t="s">
        <v>1089</v>
      </c>
      <c r="J1174" s="11" t="s">
        <v>1089</v>
      </c>
      <c r="K1174" s="9" t="s">
        <v>17758</v>
      </c>
      <c r="L1174" s="9" t="s">
        <v>17759</v>
      </c>
      <c r="M1174" s="9" t="s">
        <v>24975</v>
      </c>
      <c r="N1174" s="9" t="s">
        <v>17746</v>
      </c>
      <c r="O1174" s="9" t="s">
        <v>20367</v>
      </c>
      <c r="P1174" s="9" t="s">
        <v>17748</v>
      </c>
      <c r="Q1174" s="11" t="s">
        <v>17931</v>
      </c>
      <c r="R1174" s="11" t="s">
        <v>17931</v>
      </c>
      <c r="S1174" s="11" t="s">
        <v>17750</v>
      </c>
    </row>
    <row r="1175" spans="1:19" x14ac:dyDescent="0.2">
      <c r="A1175" s="11" t="s">
        <v>24976</v>
      </c>
      <c r="B1175" s="9" t="s">
        <v>24977</v>
      </c>
      <c r="C1175" s="9" t="s">
        <v>24978</v>
      </c>
      <c r="D1175" s="9" t="s">
        <v>24979</v>
      </c>
      <c r="E1175" s="9" t="s">
        <v>17748</v>
      </c>
      <c r="F1175" s="9" t="s">
        <v>24980</v>
      </c>
      <c r="G1175" s="9" t="s">
        <v>17740</v>
      </c>
      <c r="H1175" s="11" t="s">
        <v>9254</v>
      </c>
      <c r="I1175" s="11" t="s">
        <v>9253</v>
      </c>
      <c r="J1175" s="11" t="s">
        <v>9253</v>
      </c>
      <c r="K1175" s="9" t="s">
        <v>9255</v>
      </c>
      <c r="L1175" s="9" t="s">
        <v>18242</v>
      </c>
      <c r="M1175" s="9" t="s">
        <v>17817</v>
      </c>
      <c r="N1175" s="9" t="s">
        <v>17746</v>
      </c>
      <c r="O1175" s="9" t="s">
        <v>20367</v>
      </c>
      <c r="P1175" s="9" t="s">
        <v>17748</v>
      </c>
      <c r="Q1175" s="11" t="s">
        <v>17994</v>
      </c>
      <c r="R1175" s="11" t="s">
        <v>17994</v>
      </c>
      <c r="S1175" s="11" t="s">
        <v>17750</v>
      </c>
    </row>
    <row r="1176" spans="1:19" x14ac:dyDescent="0.2">
      <c r="A1176" s="11" t="s">
        <v>24981</v>
      </c>
      <c r="B1176" s="9" t="s">
        <v>24982</v>
      </c>
      <c r="C1176" s="9" t="s">
        <v>24983</v>
      </c>
      <c r="D1176" s="9" t="s">
        <v>24984</v>
      </c>
      <c r="E1176" s="9" t="s">
        <v>17740</v>
      </c>
      <c r="F1176" s="9" t="s">
        <v>17741</v>
      </c>
      <c r="G1176" s="9" t="s">
        <v>17740</v>
      </c>
      <c r="H1176" s="11" t="s">
        <v>1093</v>
      </c>
      <c r="I1176" s="11" t="s">
        <v>1092</v>
      </c>
      <c r="J1176" s="11" t="s">
        <v>1092</v>
      </c>
      <c r="K1176" s="9" t="s">
        <v>17758</v>
      </c>
      <c r="L1176" s="9" t="s">
        <v>17759</v>
      </c>
      <c r="M1176" s="9" t="s">
        <v>24985</v>
      </c>
      <c r="N1176" s="9" t="s">
        <v>17746</v>
      </c>
      <c r="O1176" s="9" t="s">
        <v>20367</v>
      </c>
      <c r="P1176" s="9" t="s">
        <v>17748</v>
      </c>
      <c r="Q1176" s="11" t="s">
        <v>18470</v>
      </c>
      <c r="R1176" s="11" t="s">
        <v>18470</v>
      </c>
      <c r="S1176" s="11" t="s">
        <v>17750</v>
      </c>
    </row>
    <row r="1177" spans="1:19" x14ac:dyDescent="0.2">
      <c r="A1177" s="11" t="s">
        <v>24986</v>
      </c>
      <c r="B1177" s="9" t="s">
        <v>24987</v>
      </c>
      <c r="C1177" s="9" t="s">
        <v>24988</v>
      </c>
      <c r="D1177" s="9" t="s">
        <v>24989</v>
      </c>
      <c r="E1177" s="9" t="s">
        <v>17740</v>
      </c>
      <c r="F1177" s="9" t="s">
        <v>17741</v>
      </c>
      <c r="G1177" s="9" t="s">
        <v>17740</v>
      </c>
      <c r="H1177" s="11" t="s">
        <v>13096</v>
      </c>
      <c r="I1177" s="11" t="s">
        <v>13095</v>
      </c>
      <c r="J1177" s="11" t="s">
        <v>13096</v>
      </c>
      <c r="K1177" s="9" t="s">
        <v>17758</v>
      </c>
      <c r="L1177" s="9" t="s">
        <v>17759</v>
      </c>
      <c r="M1177" s="9" t="s">
        <v>17769</v>
      </c>
      <c r="N1177" s="9" t="s">
        <v>17746</v>
      </c>
      <c r="O1177" s="9" t="s">
        <v>20367</v>
      </c>
      <c r="P1177" s="9" t="s">
        <v>17748</v>
      </c>
      <c r="Q1177" s="11" t="s">
        <v>18370</v>
      </c>
      <c r="R1177" s="11" t="s">
        <v>18370</v>
      </c>
      <c r="S1177" s="11" t="s">
        <v>17750</v>
      </c>
    </row>
    <row r="1178" spans="1:19" x14ac:dyDescent="0.2">
      <c r="A1178" s="11" t="s">
        <v>24990</v>
      </c>
      <c r="B1178" s="9" t="s">
        <v>24991</v>
      </c>
      <c r="C1178" s="9" t="s">
        <v>24992</v>
      </c>
      <c r="D1178" s="9" t="s">
        <v>24993</v>
      </c>
      <c r="E1178" s="9" t="s">
        <v>17740</v>
      </c>
      <c r="F1178" s="9" t="s">
        <v>17741</v>
      </c>
      <c r="G1178" s="9" t="s">
        <v>17740</v>
      </c>
      <c r="H1178" s="11" t="s">
        <v>13723</v>
      </c>
      <c r="I1178" s="11" t="s">
        <v>13722</v>
      </c>
      <c r="J1178" s="11" t="s">
        <v>13723</v>
      </c>
      <c r="K1178" s="9" t="s">
        <v>17758</v>
      </c>
      <c r="L1178" s="9" t="s">
        <v>17759</v>
      </c>
      <c r="M1178" s="9" t="s">
        <v>17769</v>
      </c>
      <c r="N1178" s="9" t="s">
        <v>17746</v>
      </c>
      <c r="O1178" s="9" t="s">
        <v>24994</v>
      </c>
      <c r="P1178" s="9" t="s">
        <v>17748</v>
      </c>
      <c r="Q1178" s="11" t="s">
        <v>18370</v>
      </c>
      <c r="R1178" s="11" t="s">
        <v>18370</v>
      </c>
      <c r="S1178" s="11" t="s">
        <v>17750</v>
      </c>
    </row>
    <row r="1179" spans="1:19" x14ac:dyDescent="0.2">
      <c r="A1179" s="11" t="s">
        <v>24995</v>
      </c>
      <c r="B1179" s="9" t="s">
        <v>24996</v>
      </c>
      <c r="C1179" s="9" t="s">
        <v>24997</v>
      </c>
      <c r="D1179" s="9" t="s">
        <v>24998</v>
      </c>
      <c r="E1179" s="9" t="s">
        <v>17740</v>
      </c>
      <c r="F1179" s="9" t="s">
        <v>17741</v>
      </c>
      <c r="G1179" s="9" t="s">
        <v>17740</v>
      </c>
      <c r="H1179" s="11" t="s">
        <v>13423</v>
      </c>
      <c r="I1179" s="11" t="s">
        <v>13422</v>
      </c>
      <c r="J1179" s="11" t="s">
        <v>13422</v>
      </c>
      <c r="K1179" s="9" t="s">
        <v>17758</v>
      </c>
      <c r="L1179" s="9" t="s">
        <v>17759</v>
      </c>
      <c r="M1179" s="9" t="s">
        <v>17769</v>
      </c>
      <c r="N1179" s="9" t="s">
        <v>17746</v>
      </c>
      <c r="O1179" s="9" t="s">
        <v>24344</v>
      </c>
      <c r="P1179" s="9" t="s">
        <v>17748</v>
      </c>
      <c r="Q1179" s="11" t="s">
        <v>18370</v>
      </c>
      <c r="R1179" s="11" t="s">
        <v>18370</v>
      </c>
      <c r="S1179" s="11" t="s">
        <v>17750</v>
      </c>
    </row>
    <row r="1180" spans="1:19" x14ac:dyDescent="0.2">
      <c r="A1180" s="11" t="s">
        <v>24999</v>
      </c>
      <c r="B1180" s="9" t="s">
        <v>25000</v>
      </c>
      <c r="C1180" s="9" t="s">
        <v>25001</v>
      </c>
      <c r="D1180" s="9" t="s">
        <v>25002</v>
      </c>
      <c r="E1180" s="9" t="s">
        <v>17740</v>
      </c>
      <c r="F1180" s="9" t="s">
        <v>17741</v>
      </c>
      <c r="G1180" s="9" t="s">
        <v>17740</v>
      </c>
      <c r="H1180" s="11" t="s">
        <v>13426</v>
      </c>
      <c r="I1180" s="11" t="s">
        <v>13425</v>
      </c>
      <c r="J1180" s="11" t="s">
        <v>13425</v>
      </c>
      <c r="K1180" s="9" t="s">
        <v>17758</v>
      </c>
      <c r="L1180" s="9" t="s">
        <v>17759</v>
      </c>
      <c r="M1180" s="9" t="s">
        <v>17769</v>
      </c>
      <c r="N1180" s="9" t="s">
        <v>17746</v>
      </c>
      <c r="O1180" s="9" t="s">
        <v>20367</v>
      </c>
      <c r="P1180" s="9" t="s">
        <v>17748</v>
      </c>
      <c r="Q1180" s="11" t="s">
        <v>18370</v>
      </c>
      <c r="R1180" s="11" t="s">
        <v>18370</v>
      </c>
      <c r="S1180" s="11" t="s">
        <v>17750</v>
      </c>
    </row>
    <row r="1181" spans="1:19" x14ac:dyDescent="0.2">
      <c r="A1181" s="11" t="s">
        <v>25003</v>
      </c>
      <c r="B1181" s="9" t="s">
        <v>25004</v>
      </c>
      <c r="C1181" s="9" t="s">
        <v>25005</v>
      </c>
      <c r="D1181" s="9" t="s">
        <v>25006</v>
      </c>
      <c r="E1181" s="9" t="s">
        <v>17740</v>
      </c>
      <c r="F1181" s="9" t="s">
        <v>17741</v>
      </c>
      <c r="G1181" s="9" t="s">
        <v>17740</v>
      </c>
      <c r="H1181" s="11" t="s">
        <v>13726</v>
      </c>
      <c r="I1181" s="11" t="s">
        <v>13725</v>
      </c>
      <c r="J1181" s="11" t="s">
        <v>13725</v>
      </c>
      <c r="K1181" s="9" t="s">
        <v>17758</v>
      </c>
      <c r="L1181" s="9" t="s">
        <v>17759</v>
      </c>
      <c r="M1181" s="9" t="s">
        <v>17769</v>
      </c>
      <c r="N1181" s="9" t="s">
        <v>17746</v>
      </c>
      <c r="O1181" s="9" t="s">
        <v>20367</v>
      </c>
      <c r="P1181" s="9" t="s">
        <v>17748</v>
      </c>
      <c r="Q1181" s="11" t="s">
        <v>18370</v>
      </c>
      <c r="R1181" s="11" t="s">
        <v>18370</v>
      </c>
      <c r="S1181" s="11" t="s">
        <v>17750</v>
      </c>
    </row>
    <row r="1182" spans="1:19" x14ac:dyDescent="0.2">
      <c r="A1182" s="11" t="s">
        <v>25007</v>
      </c>
      <c r="B1182" s="9" t="s">
        <v>25008</v>
      </c>
      <c r="C1182" s="9" t="s">
        <v>25009</v>
      </c>
      <c r="D1182" s="9" t="s">
        <v>25010</v>
      </c>
      <c r="E1182" s="9" t="s">
        <v>17740</v>
      </c>
      <c r="F1182" s="9" t="s">
        <v>17741</v>
      </c>
      <c r="G1182" s="9" t="s">
        <v>17740</v>
      </c>
      <c r="H1182" s="11" t="s">
        <v>13065</v>
      </c>
      <c r="I1182" s="11" t="s">
        <v>13064</v>
      </c>
      <c r="J1182" s="11" t="s">
        <v>13064</v>
      </c>
      <c r="K1182" s="9" t="s">
        <v>17758</v>
      </c>
      <c r="L1182" s="9" t="s">
        <v>17759</v>
      </c>
      <c r="M1182" s="9" t="s">
        <v>17769</v>
      </c>
      <c r="N1182" s="9" t="s">
        <v>17746</v>
      </c>
      <c r="O1182" s="9" t="s">
        <v>20367</v>
      </c>
      <c r="P1182" s="9" t="s">
        <v>17748</v>
      </c>
      <c r="Q1182" s="11" t="s">
        <v>18370</v>
      </c>
      <c r="R1182" s="11" t="s">
        <v>18370</v>
      </c>
      <c r="S1182" s="11" t="s">
        <v>17750</v>
      </c>
    </row>
    <row r="1183" spans="1:19" x14ac:dyDescent="0.2">
      <c r="A1183" s="11" t="s">
        <v>25011</v>
      </c>
      <c r="B1183" s="9" t="s">
        <v>25012</v>
      </c>
      <c r="C1183" s="9" t="s">
        <v>25013</v>
      </c>
      <c r="D1183" s="9" t="s">
        <v>25014</v>
      </c>
      <c r="E1183" s="9" t="s">
        <v>17740</v>
      </c>
      <c r="F1183" s="9" t="s">
        <v>25015</v>
      </c>
      <c r="G1183" s="9" t="s">
        <v>17740</v>
      </c>
      <c r="H1183" s="11" t="s">
        <v>25016</v>
      </c>
      <c r="I1183" s="11" t="s">
        <v>25017</v>
      </c>
      <c r="J1183" s="11" t="s">
        <v>25017</v>
      </c>
      <c r="K1183" s="9" t="s">
        <v>18438</v>
      </c>
      <c r="L1183" s="9" t="s">
        <v>18439</v>
      </c>
      <c r="M1183" s="9" t="s">
        <v>25018</v>
      </c>
      <c r="N1183" s="9" t="s">
        <v>18171</v>
      </c>
      <c r="O1183" s="9" t="s">
        <v>18035</v>
      </c>
      <c r="P1183" s="9" t="s">
        <v>17748</v>
      </c>
      <c r="Q1183" s="11" t="s">
        <v>18282</v>
      </c>
      <c r="R1183" s="11" t="s">
        <v>18282</v>
      </c>
      <c r="S1183" s="11" t="s">
        <v>17750</v>
      </c>
    </row>
    <row r="1184" spans="1:19" x14ac:dyDescent="0.2">
      <c r="A1184" s="11" t="s">
        <v>25019</v>
      </c>
      <c r="B1184" s="9" t="s">
        <v>25020</v>
      </c>
      <c r="C1184" s="9" t="s">
        <v>25021</v>
      </c>
      <c r="D1184" s="9" t="s">
        <v>25022</v>
      </c>
      <c r="E1184" s="9" t="s">
        <v>17740</v>
      </c>
      <c r="F1184" s="9" t="s">
        <v>17741</v>
      </c>
      <c r="G1184" s="9" t="s">
        <v>17740</v>
      </c>
      <c r="H1184" s="11" t="s">
        <v>17741</v>
      </c>
      <c r="I1184" s="11" t="s">
        <v>25023</v>
      </c>
      <c r="J1184" s="11" t="s">
        <v>25023</v>
      </c>
      <c r="K1184" s="9" t="s">
        <v>25024</v>
      </c>
      <c r="L1184" s="9" t="s">
        <v>18439</v>
      </c>
      <c r="M1184" s="9" t="s">
        <v>17760</v>
      </c>
      <c r="N1184" s="9" t="s">
        <v>18171</v>
      </c>
      <c r="O1184" s="9" t="s">
        <v>19059</v>
      </c>
      <c r="P1184" s="9" t="s">
        <v>17748</v>
      </c>
      <c r="Q1184" s="11" t="s">
        <v>18678</v>
      </c>
      <c r="R1184" s="11" t="s">
        <v>18678</v>
      </c>
      <c r="S1184" s="11" t="s">
        <v>17750</v>
      </c>
    </row>
    <row r="1185" spans="1:19" x14ac:dyDescent="0.2">
      <c r="A1185" s="11" t="s">
        <v>25025</v>
      </c>
      <c r="B1185" s="9" t="s">
        <v>25026</v>
      </c>
      <c r="C1185" s="9" t="s">
        <v>25027</v>
      </c>
      <c r="D1185" s="9" t="s">
        <v>25028</v>
      </c>
      <c r="E1185" s="9" t="s">
        <v>17740</v>
      </c>
      <c r="F1185" s="9" t="s">
        <v>17741</v>
      </c>
      <c r="G1185" s="9" t="s">
        <v>17740</v>
      </c>
      <c r="H1185" s="11" t="s">
        <v>17741</v>
      </c>
      <c r="I1185" s="11" t="s">
        <v>25029</v>
      </c>
      <c r="J1185" s="11" t="s">
        <v>25029</v>
      </c>
      <c r="K1185" s="9" t="s">
        <v>25030</v>
      </c>
      <c r="L1185" s="9" t="s">
        <v>18411</v>
      </c>
      <c r="M1185" s="9" t="s">
        <v>17769</v>
      </c>
      <c r="N1185" s="9" t="s">
        <v>18171</v>
      </c>
      <c r="O1185" s="9" t="s">
        <v>18035</v>
      </c>
      <c r="P1185" s="9" t="s">
        <v>17748</v>
      </c>
      <c r="Q1185" s="11" t="s">
        <v>25031</v>
      </c>
      <c r="R1185" s="11" t="s">
        <v>25031</v>
      </c>
      <c r="S1185" s="11" t="s">
        <v>17750</v>
      </c>
    </row>
    <row r="1186" spans="1:19" x14ac:dyDescent="0.2">
      <c r="A1186" s="11" t="s">
        <v>25032</v>
      </c>
      <c r="B1186" s="9" t="s">
        <v>25033</v>
      </c>
      <c r="C1186" s="9" t="s">
        <v>25033</v>
      </c>
      <c r="D1186" s="9" t="s">
        <v>25033</v>
      </c>
      <c r="E1186" s="9" t="s">
        <v>17740</v>
      </c>
      <c r="F1186" s="9" t="s">
        <v>17741</v>
      </c>
      <c r="G1186" s="9" t="s">
        <v>17740</v>
      </c>
      <c r="H1186" s="11" t="s">
        <v>17741</v>
      </c>
      <c r="I1186" s="11" t="s">
        <v>9978</v>
      </c>
      <c r="J1186" s="11" t="s">
        <v>9978</v>
      </c>
      <c r="K1186" s="9" t="s">
        <v>25034</v>
      </c>
      <c r="L1186" s="9" t="s">
        <v>17759</v>
      </c>
      <c r="M1186" s="9" t="s">
        <v>20344</v>
      </c>
      <c r="N1186" s="9" t="s">
        <v>17746</v>
      </c>
      <c r="O1186" s="9" t="s">
        <v>17807</v>
      </c>
      <c r="P1186" s="9" t="s">
        <v>17748</v>
      </c>
      <c r="Q1186" s="11" t="s">
        <v>18356</v>
      </c>
      <c r="R1186" s="11" t="s">
        <v>18356</v>
      </c>
      <c r="S1186" s="11" t="s">
        <v>17750</v>
      </c>
    </row>
    <row r="1187" spans="1:19" x14ac:dyDescent="0.2">
      <c r="A1187" s="11" t="s">
        <v>25035</v>
      </c>
      <c r="B1187" s="9" t="s">
        <v>25036</v>
      </c>
      <c r="C1187" s="9" t="s">
        <v>25037</v>
      </c>
      <c r="D1187" s="9" t="s">
        <v>25038</v>
      </c>
      <c r="E1187" s="9" t="s">
        <v>17740</v>
      </c>
      <c r="F1187" s="9" t="s">
        <v>25039</v>
      </c>
      <c r="G1187" s="9" t="s">
        <v>17740</v>
      </c>
      <c r="H1187" s="11" t="s">
        <v>5586</v>
      </c>
      <c r="I1187" s="11" t="s">
        <v>5585</v>
      </c>
      <c r="J1187" s="11" t="s">
        <v>5585</v>
      </c>
      <c r="K1187" s="9" t="s">
        <v>25040</v>
      </c>
      <c r="L1187" s="9" t="s">
        <v>17759</v>
      </c>
      <c r="M1187" s="9" t="s">
        <v>17769</v>
      </c>
      <c r="N1187" s="9" t="s">
        <v>17746</v>
      </c>
      <c r="O1187" s="9" t="s">
        <v>20746</v>
      </c>
      <c r="P1187" s="9" t="s">
        <v>17748</v>
      </c>
      <c r="Q1187" s="11" t="s">
        <v>18080</v>
      </c>
      <c r="R1187" s="11" t="s">
        <v>18080</v>
      </c>
      <c r="S1187" s="11" t="s">
        <v>17750</v>
      </c>
    </row>
    <row r="1188" spans="1:19" x14ac:dyDescent="0.2">
      <c r="A1188" s="11" t="s">
        <v>25041</v>
      </c>
      <c r="B1188" s="9" t="s">
        <v>25042</v>
      </c>
      <c r="C1188" s="9" t="s">
        <v>25043</v>
      </c>
      <c r="D1188" s="9" t="s">
        <v>25044</v>
      </c>
      <c r="E1188" s="9" t="s">
        <v>17740</v>
      </c>
      <c r="F1188" s="9" t="s">
        <v>25045</v>
      </c>
      <c r="G1188" s="9" t="s">
        <v>17740</v>
      </c>
      <c r="H1188" s="11" t="s">
        <v>25046</v>
      </c>
      <c r="I1188" s="11" t="s">
        <v>25047</v>
      </c>
      <c r="J1188" s="11" t="s">
        <v>25047</v>
      </c>
      <c r="K1188" s="9" t="s">
        <v>25048</v>
      </c>
      <c r="L1188" s="9" t="s">
        <v>17759</v>
      </c>
      <c r="M1188" s="9" t="s">
        <v>18330</v>
      </c>
      <c r="N1188" s="9" t="s">
        <v>17746</v>
      </c>
      <c r="O1188" s="9" t="s">
        <v>17993</v>
      </c>
      <c r="P1188" s="9" t="s">
        <v>17748</v>
      </c>
      <c r="Q1188" s="11" t="s">
        <v>18364</v>
      </c>
      <c r="R1188" s="11" t="s">
        <v>18364</v>
      </c>
      <c r="S1188" s="11" t="s">
        <v>17750</v>
      </c>
    </row>
    <row r="1189" spans="1:19" x14ac:dyDescent="0.2">
      <c r="A1189" s="11" t="s">
        <v>25049</v>
      </c>
      <c r="B1189" s="9" t="s">
        <v>25050</v>
      </c>
      <c r="C1189" s="9" t="s">
        <v>25051</v>
      </c>
      <c r="D1189" s="9" t="s">
        <v>7836</v>
      </c>
      <c r="E1189" s="9" t="s">
        <v>17740</v>
      </c>
      <c r="F1189" s="9" t="s">
        <v>17741</v>
      </c>
      <c r="G1189" s="9" t="s">
        <v>17740</v>
      </c>
      <c r="H1189" s="11" t="s">
        <v>7838</v>
      </c>
      <c r="I1189" s="11" t="s">
        <v>7837</v>
      </c>
      <c r="J1189" s="11" t="s">
        <v>7837</v>
      </c>
      <c r="K1189" s="9" t="s">
        <v>291</v>
      </c>
      <c r="L1189" s="9" t="s">
        <v>17744</v>
      </c>
      <c r="M1189" s="9" t="s">
        <v>17760</v>
      </c>
      <c r="N1189" s="9" t="s">
        <v>17746</v>
      </c>
      <c r="O1189" s="9" t="s">
        <v>23443</v>
      </c>
      <c r="P1189" s="9" t="s">
        <v>17748</v>
      </c>
      <c r="Q1189" s="11" t="s">
        <v>18798</v>
      </c>
      <c r="R1189" s="11" t="s">
        <v>18798</v>
      </c>
      <c r="S1189" s="11" t="s">
        <v>17750</v>
      </c>
    </row>
    <row r="1190" spans="1:19" x14ac:dyDescent="0.2">
      <c r="A1190" s="11" t="s">
        <v>25052</v>
      </c>
      <c r="B1190" s="9" t="s">
        <v>25053</v>
      </c>
      <c r="C1190" s="9" t="s">
        <v>25054</v>
      </c>
      <c r="D1190" s="9" t="s">
        <v>25055</v>
      </c>
      <c r="E1190" s="9" t="s">
        <v>17740</v>
      </c>
      <c r="F1190" s="9" t="s">
        <v>17741</v>
      </c>
      <c r="G1190" s="9" t="s">
        <v>17740</v>
      </c>
      <c r="H1190" s="11" t="s">
        <v>997</v>
      </c>
      <c r="I1190" s="11" t="s">
        <v>996</v>
      </c>
      <c r="J1190" s="11" t="s">
        <v>996</v>
      </c>
      <c r="K1190" s="9" t="s">
        <v>25056</v>
      </c>
      <c r="L1190" s="9" t="s">
        <v>18001</v>
      </c>
      <c r="M1190" s="9" t="s">
        <v>24741</v>
      </c>
      <c r="N1190" s="9" t="s">
        <v>17746</v>
      </c>
      <c r="O1190" s="9" t="s">
        <v>18804</v>
      </c>
      <c r="P1190" s="9" t="s">
        <v>17748</v>
      </c>
      <c r="Q1190" s="11" t="s">
        <v>18234</v>
      </c>
      <c r="R1190" s="11" t="s">
        <v>18234</v>
      </c>
      <c r="S1190" s="11" t="s">
        <v>17750</v>
      </c>
    </row>
    <row r="1191" spans="1:19" x14ac:dyDescent="0.2">
      <c r="A1191" s="11" t="s">
        <v>25057</v>
      </c>
      <c r="B1191" s="9" t="s">
        <v>25058</v>
      </c>
      <c r="C1191" s="9" t="s">
        <v>25059</v>
      </c>
      <c r="D1191" s="9" t="s">
        <v>25060</v>
      </c>
      <c r="E1191" s="9" t="s">
        <v>17740</v>
      </c>
      <c r="F1191" s="9" t="s">
        <v>17741</v>
      </c>
      <c r="G1191" s="9" t="s">
        <v>17740</v>
      </c>
      <c r="H1191" s="11" t="s">
        <v>11799</v>
      </c>
      <c r="I1191" s="11" t="s">
        <v>11798</v>
      </c>
      <c r="J1191" s="11" t="s">
        <v>11798</v>
      </c>
      <c r="K1191" s="9" t="s">
        <v>25061</v>
      </c>
      <c r="L1191" s="9" t="s">
        <v>18439</v>
      </c>
      <c r="M1191" s="9" t="s">
        <v>19965</v>
      </c>
      <c r="N1191" s="9" t="s">
        <v>18171</v>
      </c>
      <c r="O1191" s="9" t="s">
        <v>19646</v>
      </c>
      <c r="P1191" s="9" t="s">
        <v>17748</v>
      </c>
      <c r="Q1191" s="11" t="s">
        <v>17819</v>
      </c>
      <c r="R1191" s="11" t="s">
        <v>17819</v>
      </c>
      <c r="S1191" s="11" t="s">
        <v>17750</v>
      </c>
    </row>
    <row r="1192" spans="1:19" x14ac:dyDescent="0.2">
      <c r="A1192" s="11" t="s">
        <v>25062</v>
      </c>
      <c r="B1192" s="9" t="s">
        <v>25063</v>
      </c>
      <c r="C1192" s="9" t="s">
        <v>25064</v>
      </c>
      <c r="D1192" s="9" t="s">
        <v>25065</v>
      </c>
      <c r="E1192" s="9" t="s">
        <v>17740</v>
      </c>
      <c r="F1192" s="9" t="s">
        <v>17741</v>
      </c>
      <c r="G1192" s="9" t="s">
        <v>17740</v>
      </c>
      <c r="H1192" s="11" t="s">
        <v>1184</v>
      </c>
      <c r="I1192" s="11" t="s">
        <v>1183</v>
      </c>
      <c r="J1192" s="11" t="s">
        <v>1183</v>
      </c>
      <c r="K1192" s="9" t="s">
        <v>1185</v>
      </c>
      <c r="L1192" s="9" t="s">
        <v>17991</v>
      </c>
      <c r="M1192" s="9" t="s">
        <v>17769</v>
      </c>
      <c r="N1192" s="9" t="s">
        <v>20424</v>
      </c>
      <c r="O1192" s="9" t="s">
        <v>25066</v>
      </c>
      <c r="P1192" s="9" t="s">
        <v>17748</v>
      </c>
      <c r="Q1192" s="11" t="s">
        <v>20021</v>
      </c>
      <c r="R1192" s="11" t="s">
        <v>20021</v>
      </c>
      <c r="S1192" s="11" t="s">
        <v>17750</v>
      </c>
    </row>
    <row r="1193" spans="1:19" x14ac:dyDescent="0.2">
      <c r="A1193" s="11" t="s">
        <v>25067</v>
      </c>
      <c r="B1193" s="9" t="s">
        <v>25068</v>
      </c>
      <c r="C1193" s="9" t="s">
        <v>25069</v>
      </c>
      <c r="D1193" s="9" t="s">
        <v>25070</v>
      </c>
      <c r="E1193" s="9" t="s">
        <v>17740</v>
      </c>
      <c r="F1193" s="9" t="s">
        <v>17741</v>
      </c>
      <c r="G1193" s="9" t="s">
        <v>17740</v>
      </c>
      <c r="H1193" s="11" t="s">
        <v>1046</v>
      </c>
      <c r="I1193" s="11" t="s">
        <v>1045</v>
      </c>
      <c r="J1193" s="11" t="s">
        <v>1045</v>
      </c>
      <c r="K1193" s="9" t="s">
        <v>18876</v>
      </c>
      <c r="L1193" s="9" t="s">
        <v>18001</v>
      </c>
      <c r="M1193" s="9" t="s">
        <v>25071</v>
      </c>
      <c r="N1193" s="9" t="s">
        <v>17746</v>
      </c>
      <c r="O1193" s="9" t="s">
        <v>18363</v>
      </c>
      <c r="P1193" s="9" t="s">
        <v>17748</v>
      </c>
      <c r="Q1193" s="11" t="s">
        <v>17978</v>
      </c>
      <c r="R1193" s="11" t="s">
        <v>17978</v>
      </c>
      <c r="S1193" s="11" t="s">
        <v>17750</v>
      </c>
    </row>
    <row r="1194" spans="1:19" x14ac:dyDescent="0.2">
      <c r="A1194" s="11" t="s">
        <v>25072</v>
      </c>
      <c r="B1194" s="9" t="s">
        <v>25073</v>
      </c>
      <c r="C1194" s="9" t="s">
        <v>25074</v>
      </c>
      <c r="D1194" s="9" t="s">
        <v>25075</v>
      </c>
      <c r="E1194" s="9" t="s">
        <v>17748</v>
      </c>
      <c r="F1194" s="9" t="s">
        <v>25076</v>
      </c>
      <c r="G1194" s="9" t="s">
        <v>17740</v>
      </c>
      <c r="H1194" s="11" t="s">
        <v>8594</v>
      </c>
      <c r="I1194" s="11" t="s">
        <v>8593</v>
      </c>
      <c r="J1194" s="11" t="s">
        <v>8593</v>
      </c>
      <c r="K1194" s="9" t="s">
        <v>25077</v>
      </c>
      <c r="L1194" s="9" t="s">
        <v>20082</v>
      </c>
      <c r="M1194" s="9" t="s">
        <v>17769</v>
      </c>
      <c r="N1194" s="9" t="s">
        <v>17746</v>
      </c>
      <c r="O1194" s="9" t="s">
        <v>3255</v>
      </c>
      <c r="P1194" s="9" t="s">
        <v>17748</v>
      </c>
      <c r="Q1194" s="11" t="s">
        <v>17784</v>
      </c>
      <c r="R1194" s="11" t="s">
        <v>17784</v>
      </c>
      <c r="S1194" s="11" t="s">
        <v>17750</v>
      </c>
    </row>
    <row r="1195" spans="1:19" x14ac:dyDescent="0.2">
      <c r="A1195" s="11" t="s">
        <v>25078</v>
      </c>
      <c r="B1195" s="9" t="s">
        <v>25079</v>
      </c>
      <c r="C1195" s="9" t="s">
        <v>25080</v>
      </c>
      <c r="D1195" s="9" t="s">
        <v>25081</v>
      </c>
      <c r="E1195" s="9" t="s">
        <v>17740</v>
      </c>
      <c r="F1195" s="9" t="s">
        <v>25082</v>
      </c>
      <c r="G1195" s="9" t="s">
        <v>17740</v>
      </c>
      <c r="H1195" s="11" t="s">
        <v>25083</v>
      </c>
      <c r="I1195" s="11" t="s">
        <v>25084</v>
      </c>
      <c r="J1195" s="11" t="s">
        <v>25084</v>
      </c>
      <c r="K1195" s="9" t="s">
        <v>970</v>
      </c>
      <c r="L1195" s="9" t="s">
        <v>20082</v>
      </c>
      <c r="M1195" s="9" t="s">
        <v>17769</v>
      </c>
      <c r="N1195" s="9" t="s">
        <v>17746</v>
      </c>
      <c r="O1195" s="9" t="s">
        <v>25085</v>
      </c>
      <c r="P1195" s="9" t="s">
        <v>17748</v>
      </c>
      <c r="Q1195" s="11" t="s">
        <v>18059</v>
      </c>
      <c r="R1195" s="11" t="s">
        <v>18059</v>
      </c>
      <c r="S1195" s="11" t="s">
        <v>17750</v>
      </c>
    </row>
    <row r="1196" spans="1:19" x14ac:dyDescent="0.2">
      <c r="A1196" s="11" t="s">
        <v>25086</v>
      </c>
      <c r="B1196" s="9" t="s">
        <v>25087</v>
      </c>
      <c r="C1196" s="9" t="s">
        <v>25088</v>
      </c>
      <c r="D1196" s="9" t="s">
        <v>25089</v>
      </c>
      <c r="E1196" s="9" t="s">
        <v>17740</v>
      </c>
      <c r="F1196" s="9" t="s">
        <v>25090</v>
      </c>
      <c r="G1196" s="9" t="s">
        <v>17740</v>
      </c>
      <c r="H1196" s="11" t="s">
        <v>11126</v>
      </c>
      <c r="I1196" s="11" t="s">
        <v>11125</v>
      </c>
      <c r="J1196" s="11" t="s">
        <v>11125</v>
      </c>
      <c r="K1196" s="9" t="s">
        <v>17741</v>
      </c>
      <c r="L1196" s="9" t="s">
        <v>17991</v>
      </c>
      <c r="M1196" s="9" t="s">
        <v>21931</v>
      </c>
      <c r="N1196" s="9" t="s">
        <v>17746</v>
      </c>
      <c r="O1196" s="9" t="s">
        <v>18363</v>
      </c>
      <c r="P1196" s="9" t="s">
        <v>17748</v>
      </c>
      <c r="Q1196" s="11" t="s">
        <v>17984</v>
      </c>
      <c r="R1196" s="11" t="s">
        <v>17984</v>
      </c>
      <c r="S1196" s="11" t="s">
        <v>17750</v>
      </c>
    </row>
    <row r="1197" spans="1:19" x14ac:dyDescent="0.2">
      <c r="A1197" s="11" t="s">
        <v>25091</v>
      </c>
      <c r="B1197" s="9" t="s">
        <v>25092</v>
      </c>
      <c r="C1197" s="9" t="s">
        <v>25093</v>
      </c>
      <c r="D1197" s="9" t="s">
        <v>25094</v>
      </c>
      <c r="E1197" s="9" t="s">
        <v>17740</v>
      </c>
      <c r="F1197" s="9" t="s">
        <v>17741</v>
      </c>
      <c r="G1197" s="9" t="s">
        <v>17740</v>
      </c>
      <c r="H1197" s="11" t="s">
        <v>17741</v>
      </c>
      <c r="I1197" s="11" t="s">
        <v>10646</v>
      </c>
      <c r="J1197" s="11" t="s">
        <v>10646</v>
      </c>
      <c r="K1197" s="9" t="s">
        <v>25095</v>
      </c>
      <c r="L1197" s="9" t="s">
        <v>17759</v>
      </c>
      <c r="M1197" s="9" t="s">
        <v>17817</v>
      </c>
      <c r="N1197" s="9" t="s">
        <v>17746</v>
      </c>
      <c r="O1197" s="9" t="s">
        <v>25096</v>
      </c>
      <c r="P1197" s="9" t="s">
        <v>17748</v>
      </c>
      <c r="Q1197" s="11" t="s">
        <v>17858</v>
      </c>
      <c r="R1197" s="11" t="s">
        <v>17858</v>
      </c>
      <c r="S1197" s="11" t="s">
        <v>17750</v>
      </c>
    </row>
    <row r="1198" spans="1:19" x14ac:dyDescent="0.2">
      <c r="A1198" s="11" t="s">
        <v>25097</v>
      </c>
      <c r="B1198" s="9" t="s">
        <v>25098</v>
      </c>
      <c r="C1198" s="9" t="s">
        <v>25099</v>
      </c>
      <c r="D1198" s="9" t="s">
        <v>25100</v>
      </c>
      <c r="E1198" s="9" t="s">
        <v>17740</v>
      </c>
      <c r="F1198" s="9" t="s">
        <v>17741</v>
      </c>
      <c r="G1198" s="9" t="s">
        <v>17740</v>
      </c>
      <c r="H1198" s="11" t="s">
        <v>17741</v>
      </c>
      <c r="I1198" s="11" t="s">
        <v>25101</v>
      </c>
      <c r="J1198" s="11" t="s">
        <v>25101</v>
      </c>
      <c r="K1198" s="9" t="s">
        <v>291</v>
      </c>
      <c r="L1198" s="9" t="s">
        <v>17759</v>
      </c>
      <c r="M1198" s="9" t="s">
        <v>17942</v>
      </c>
      <c r="N1198" s="9" t="s">
        <v>17746</v>
      </c>
      <c r="O1198" s="9" t="s">
        <v>18882</v>
      </c>
      <c r="P1198" s="9" t="s">
        <v>17748</v>
      </c>
      <c r="Q1198" s="11" t="s">
        <v>17808</v>
      </c>
      <c r="R1198" s="11" t="s">
        <v>17808</v>
      </c>
      <c r="S1198" s="11" t="s">
        <v>17750</v>
      </c>
    </row>
    <row r="1199" spans="1:19" x14ac:dyDescent="0.2">
      <c r="A1199" s="11" t="s">
        <v>25102</v>
      </c>
      <c r="B1199" s="9" t="s">
        <v>25103</v>
      </c>
      <c r="C1199" s="9" t="s">
        <v>25104</v>
      </c>
      <c r="D1199" s="9" t="s">
        <v>25105</v>
      </c>
      <c r="E1199" s="9" t="s">
        <v>17740</v>
      </c>
      <c r="F1199" s="9" t="s">
        <v>17741</v>
      </c>
      <c r="G1199" s="9" t="s">
        <v>17740</v>
      </c>
      <c r="H1199" s="11" t="s">
        <v>4696</v>
      </c>
      <c r="I1199" s="11" t="s">
        <v>4695</v>
      </c>
      <c r="J1199" s="11" t="s">
        <v>4695</v>
      </c>
      <c r="K1199" s="9" t="s">
        <v>25106</v>
      </c>
      <c r="L1199" s="9" t="s">
        <v>17759</v>
      </c>
      <c r="M1199" s="9" t="s">
        <v>19938</v>
      </c>
      <c r="N1199" s="9" t="s">
        <v>17746</v>
      </c>
      <c r="O1199" s="9" t="s">
        <v>20208</v>
      </c>
      <c r="P1199" s="9" t="s">
        <v>17748</v>
      </c>
      <c r="Q1199" s="11" t="s">
        <v>18678</v>
      </c>
      <c r="R1199" s="11" t="s">
        <v>18678</v>
      </c>
      <c r="S1199" s="11" t="s">
        <v>17750</v>
      </c>
    </row>
    <row r="1200" spans="1:19" x14ac:dyDescent="0.2">
      <c r="A1200" s="11" t="s">
        <v>25107</v>
      </c>
      <c r="B1200" s="9" t="s">
        <v>25108</v>
      </c>
      <c r="C1200" s="9" t="s">
        <v>25109</v>
      </c>
      <c r="D1200" s="9" t="s">
        <v>25110</v>
      </c>
      <c r="E1200" s="9" t="s">
        <v>17740</v>
      </c>
      <c r="F1200" s="9" t="s">
        <v>17741</v>
      </c>
      <c r="G1200" s="9" t="s">
        <v>17740</v>
      </c>
      <c r="H1200" s="11" t="s">
        <v>7043</v>
      </c>
      <c r="I1200" s="11" t="s">
        <v>7042</v>
      </c>
      <c r="J1200" s="11" t="s">
        <v>7042</v>
      </c>
      <c r="K1200" s="9" t="s">
        <v>19447</v>
      </c>
      <c r="L1200" s="9" t="s">
        <v>17759</v>
      </c>
      <c r="M1200" s="9" t="s">
        <v>17760</v>
      </c>
      <c r="N1200" s="9" t="s">
        <v>17746</v>
      </c>
      <c r="O1200" s="9" t="s">
        <v>19646</v>
      </c>
      <c r="P1200" s="9" t="s">
        <v>17748</v>
      </c>
      <c r="Q1200" s="11" t="s">
        <v>19361</v>
      </c>
      <c r="R1200" s="11" t="s">
        <v>19361</v>
      </c>
      <c r="S1200" s="11" t="s">
        <v>17750</v>
      </c>
    </row>
    <row r="1201" spans="1:19" x14ac:dyDescent="0.2">
      <c r="A1201" s="11" t="s">
        <v>25111</v>
      </c>
      <c r="B1201" s="9" t="s">
        <v>25112</v>
      </c>
      <c r="C1201" s="9" t="s">
        <v>25113</v>
      </c>
      <c r="D1201" s="9" t="s">
        <v>25114</v>
      </c>
      <c r="E1201" s="9" t="s">
        <v>17740</v>
      </c>
      <c r="F1201" s="9" t="s">
        <v>25115</v>
      </c>
      <c r="G1201" s="9" t="s">
        <v>17740</v>
      </c>
      <c r="H1201" s="11" t="s">
        <v>4779</v>
      </c>
      <c r="I1201" s="11" t="s">
        <v>4778</v>
      </c>
      <c r="J1201" s="11" t="s">
        <v>4778</v>
      </c>
      <c r="K1201" s="9" t="s">
        <v>23527</v>
      </c>
      <c r="L1201" s="9" t="s">
        <v>17744</v>
      </c>
      <c r="M1201" s="9" t="s">
        <v>18289</v>
      </c>
      <c r="N1201" s="9" t="s">
        <v>17746</v>
      </c>
      <c r="O1201" s="9" t="s">
        <v>18882</v>
      </c>
      <c r="P1201" s="9" t="s">
        <v>17748</v>
      </c>
      <c r="Q1201" s="11" t="s">
        <v>17819</v>
      </c>
      <c r="R1201" s="11" t="s">
        <v>17819</v>
      </c>
      <c r="S1201" s="11" t="s">
        <v>17750</v>
      </c>
    </row>
    <row r="1202" spans="1:19" x14ac:dyDescent="0.2">
      <c r="A1202" s="11" t="s">
        <v>25116</v>
      </c>
      <c r="B1202" s="9" t="s">
        <v>25117</v>
      </c>
      <c r="C1202" s="9" t="s">
        <v>25118</v>
      </c>
      <c r="D1202" s="9" t="s">
        <v>25119</v>
      </c>
      <c r="E1202" s="9" t="s">
        <v>17740</v>
      </c>
      <c r="F1202" s="9" t="s">
        <v>25120</v>
      </c>
      <c r="G1202" s="9" t="s">
        <v>17740</v>
      </c>
      <c r="H1202" s="11" t="s">
        <v>1027</v>
      </c>
      <c r="I1202" s="11" t="s">
        <v>1026</v>
      </c>
      <c r="J1202" s="11" t="s">
        <v>1026</v>
      </c>
      <c r="K1202" s="9" t="s">
        <v>24835</v>
      </c>
      <c r="L1202" s="9" t="s">
        <v>17744</v>
      </c>
      <c r="M1202" s="9" t="s">
        <v>18797</v>
      </c>
      <c r="N1202" s="9" t="s">
        <v>17746</v>
      </c>
      <c r="O1202" s="9" t="s">
        <v>5790</v>
      </c>
      <c r="P1202" s="9" t="s">
        <v>17748</v>
      </c>
      <c r="Q1202" s="11" t="s">
        <v>19026</v>
      </c>
      <c r="R1202" s="11" t="s">
        <v>19026</v>
      </c>
      <c r="S1202" s="11" t="s">
        <v>17750</v>
      </c>
    </row>
    <row r="1203" spans="1:19" x14ac:dyDescent="0.2">
      <c r="A1203" s="11" t="s">
        <v>25121</v>
      </c>
      <c r="B1203" s="9" t="s">
        <v>25122</v>
      </c>
      <c r="C1203" s="9" t="s">
        <v>25123</v>
      </c>
      <c r="D1203" s="9" t="s">
        <v>25124</v>
      </c>
      <c r="E1203" s="9" t="s">
        <v>17748</v>
      </c>
      <c r="F1203" s="9" t="s">
        <v>25125</v>
      </c>
      <c r="G1203" s="9" t="s">
        <v>17740</v>
      </c>
      <c r="H1203" s="11" t="s">
        <v>6077</v>
      </c>
      <c r="I1203" s="11" t="s">
        <v>6076</v>
      </c>
      <c r="J1203" s="11" t="s">
        <v>6076</v>
      </c>
      <c r="K1203" s="9" t="s">
        <v>291</v>
      </c>
      <c r="L1203" s="9" t="s">
        <v>17744</v>
      </c>
      <c r="M1203" s="9" t="s">
        <v>22139</v>
      </c>
      <c r="N1203" s="9" t="s">
        <v>17746</v>
      </c>
      <c r="O1203" s="9" t="s">
        <v>19646</v>
      </c>
      <c r="P1203" s="9" t="s">
        <v>17748</v>
      </c>
      <c r="Q1203" s="11" t="s">
        <v>17792</v>
      </c>
      <c r="R1203" s="11" t="s">
        <v>17792</v>
      </c>
      <c r="S1203" s="11" t="s">
        <v>17750</v>
      </c>
    </row>
    <row r="1204" spans="1:19" x14ac:dyDescent="0.2">
      <c r="A1204" s="11" t="s">
        <v>25126</v>
      </c>
      <c r="B1204" s="9" t="s">
        <v>25127</v>
      </c>
      <c r="C1204" s="9" t="s">
        <v>25128</v>
      </c>
      <c r="D1204" s="9" t="s">
        <v>25129</v>
      </c>
      <c r="E1204" s="9" t="s">
        <v>17740</v>
      </c>
      <c r="F1204" s="9" t="s">
        <v>17741</v>
      </c>
      <c r="G1204" s="9" t="s">
        <v>17740</v>
      </c>
      <c r="H1204" s="11" t="s">
        <v>1043</v>
      </c>
      <c r="I1204" s="11" t="s">
        <v>1042</v>
      </c>
      <c r="J1204" s="11" t="s">
        <v>1042</v>
      </c>
      <c r="K1204" s="9" t="s">
        <v>23527</v>
      </c>
      <c r="L1204" s="9" t="s">
        <v>17744</v>
      </c>
      <c r="M1204" s="9" t="s">
        <v>17817</v>
      </c>
      <c r="N1204" s="9" t="s">
        <v>17746</v>
      </c>
      <c r="O1204" s="9" t="s">
        <v>18882</v>
      </c>
      <c r="P1204" s="9" t="s">
        <v>17748</v>
      </c>
      <c r="Q1204" s="11" t="s">
        <v>20251</v>
      </c>
      <c r="R1204" s="11" t="s">
        <v>20251</v>
      </c>
      <c r="S1204" s="11" t="s">
        <v>17750</v>
      </c>
    </row>
    <row r="1205" spans="1:19" x14ac:dyDescent="0.2">
      <c r="A1205" s="11" t="s">
        <v>25130</v>
      </c>
      <c r="B1205" s="9" t="s">
        <v>25131</v>
      </c>
      <c r="C1205" s="9" t="s">
        <v>25132</v>
      </c>
      <c r="D1205" s="9" t="s">
        <v>25133</v>
      </c>
      <c r="E1205" s="9" t="s">
        <v>17748</v>
      </c>
      <c r="F1205" s="9" t="s">
        <v>25134</v>
      </c>
      <c r="G1205" s="9" t="s">
        <v>17740</v>
      </c>
      <c r="H1205" s="11" t="s">
        <v>8910</v>
      </c>
      <c r="I1205" s="11" t="s">
        <v>8909</v>
      </c>
      <c r="J1205" s="11" t="s">
        <v>8909</v>
      </c>
      <c r="K1205" s="9" t="s">
        <v>25135</v>
      </c>
      <c r="L1205" s="9" t="s">
        <v>17991</v>
      </c>
      <c r="M1205" s="9" t="s">
        <v>17778</v>
      </c>
      <c r="N1205" s="9" t="s">
        <v>17746</v>
      </c>
      <c r="O1205" s="9" t="s">
        <v>17993</v>
      </c>
      <c r="P1205" s="9" t="s">
        <v>17748</v>
      </c>
      <c r="Q1205" s="11" t="s">
        <v>18922</v>
      </c>
      <c r="R1205" s="11" t="s">
        <v>18922</v>
      </c>
      <c r="S1205" s="11" t="s">
        <v>17750</v>
      </c>
    </row>
    <row r="1206" spans="1:19" x14ac:dyDescent="0.2">
      <c r="A1206" s="11" t="s">
        <v>25136</v>
      </c>
      <c r="B1206" s="9" t="s">
        <v>25137</v>
      </c>
      <c r="C1206" s="9" t="s">
        <v>25138</v>
      </c>
      <c r="D1206" s="9" t="s">
        <v>25139</v>
      </c>
      <c r="E1206" s="9" t="s">
        <v>17740</v>
      </c>
      <c r="F1206" s="9" t="s">
        <v>17741</v>
      </c>
      <c r="G1206" s="9" t="s">
        <v>17740</v>
      </c>
      <c r="H1206" s="11" t="s">
        <v>7819</v>
      </c>
      <c r="I1206" s="11" t="s">
        <v>7818</v>
      </c>
      <c r="J1206" s="11" t="s">
        <v>7818</v>
      </c>
      <c r="K1206" s="9" t="s">
        <v>17783</v>
      </c>
      <c r="L1206" s="9" t="s">
        <v>18242</v>
      </c>
      <c r="M1206" s="9" t="s">
        <v>17760</v>
      </c>
      <c r="N1206" s="9" t="s">
        <v>17746</v>
      </c>
      <c r="O1206" s="9" t="s">
        <v>7269</v>
      </c>
      <c r="P1206" s="9" t="s">
        <v>17748</v>
      </c>
      <c r="Q1206" s="11" t="s">
        <v>18272</v>
      </c>
      <c r="R1206" s="11" t="s">
        <v>18272</v>
      </c>
      <c r="S1206" s="11" t="s">
        <v>17750</v>
      </c>
    </row>
    <row r="1207" spans="1:19" x14ac:dyDescent="0.2">
      <c r="A1207" s="11" t="s">
        <v>25140</v>
      </c>
      <c r="B1207" s="9" t="s">
        <v>25141</v>
      </c>
      <c r="C1207" s="9" t="s">
        <v>25142</v>
      </c>
      <c r="D1207" s="9" t="s">
        <v>25143</v>
      </c>
      <c r="E1207" s="9" t="s">
        <v>17740</v>
      </c>
      <c r="F1207" s="9" t="s">
        <v>17741</v>
      </c>
      <c r="G1207" s="9" t="s">
        <v>17740</v>
      </c>
      <c r="H1207" s="11" t="s">
        <v>17741</v>
      </c>
      <c r="I1207" s="11" t="s">
        <v>1032</v>
      </c>
      <c r="J1207" s="11" t="s">
        <v>1032</v>
      </c>
      <c r="K1207" s="9" t="s">
        <v>25144</v>
      </c>
      <c r="L1207" s="9" t="s">
        <v>17991</v>
      </c>
      <c r="M1207" s="9" t="s">
        <v>17778</v>
      </c>
      <c r="N1207" s="9" t="s">
        <v>17746</v>
      </c>
      <c r="O1207" s="9" t="s">
        <v>18331</v>
      </c>
      <c r="P1207" s="9" t="s">
        <v>17748</v>
      </c>
      <c r="Q1207" s="11" t="s">
        <v>17771</v>
      </c>
      <c r="R1207" s="11" t="s">
        <v>17771</v>
      </c>
      <c r="S1207" s="11" t="s">
        <v>17750</v>
      </c>
    </row>
    <row r="1208" spans="1:19" x14ac:dyDescent="0.2">
      <c r="A1208" s="11" t="s">
        <v>25145</v>
      </c>
      <c r="B1208" s="9" t="s">
        <v>25146</v>
      </c>
      <c r="C1208" s="9" t="s">
        <v>25147</v>
      </c>
      <c r="D1208" s="9" t="s">
        <v>25148</v>
      </c>
      <c r="E1208" s="9" t="s">
        <v>17740</v>
      </c>
      <c r="F1208" s="9" t="s">
        <v>25149</v>
      </c>
      <c r="G1208" s="9" t="s">
        <v>17740</v>
      </c>
      <c r="H1208" s="11" t="s">
        <v>1049</v>
      </c>
      <c r="I1208" s="11" t="s">
        <v>1048</v>
      </c>
      <c r="J1208" s="11" t="s">
        <v>1048</v>
      </c>
      <c r="K1208" s="9" t="s">
        <v>970</v>
      </c>
      <c r="L1208" s="9" t="s">
        <v>20082</v>
      </c>
      <c r="M1208" s="9" t="s">
        <v>17817</v>
      </c>
      <c r="N1208" s="9" t="s">
        <v>17746</v>
      </c>
      <c r="O1208" s="9" t="s">
        <v>23986</v>
      </c>
      <c r="P1208" s="9" t="s">
        <v>17748</v>
      </c>
      <c r="Q1208" s="11" t="s">
        <v>17771</v>
      </c>
      <c r="R1208" s="11" t="s">
        <v>17771</v>
      </c>
      <c r="S1208" s="11" t="s">
        <v>17750</v>
      </c>
    </row>
    <row r="1209" spans="1:19" x14ac:dyDescent="0.2">
      <c r="A1209" s="11" t="s">
        <v>25150</v>
      </c>
      <c r="B1209" s="9" t="s">
        <v>25151</v>
      </c>
      <c r="C1209" s="9" t="s">
        <v>25152</v>
      </c>
      <c r="D1209" s="9" t="s">
        <v>25153</v>
      </c>
      <c r="E1209" s="9" t="s">
        <v>17740</v>
      </c>
      <c r="F1209" s="9" t="s">
        <v>17741</v>
      </c>
      <c r="G1209" s="9" t="s">
        <v>17740</v>
      </c>
      <c r="H1209" s="11" t="s">
        <v>17741</v>
      </c>
      <c r="I1209" s="11" t="s">
        <v>1038</v>
      </c>
      <c r="J1209" s="11" t="s">
        <v>1038</v>
      </c>
      <c r="K1209" s="9" t="s">
        <v>25154</v>
      </c>
      <c r="L1209" s="9" t="s">
        <v>17991</v>
      </c>
      <c r="M1209" s="9" t="s">
        <v>17769</v>
      </c>
      <c r="N1209" s="9" t="s">
        <v>17746</v>
      </c>
      <c r="O1209" s="9" t="s">
        <v>18534</v>
      </c>
      <c r="P1209" s="9" t="s">
        <v>17748</v>
      </c>
      <c r="Q1209" s="11" t="s">
        <v>17978</v>
      </c>
      <c r="R1209" s="11" t="s">
        <v>17978</v>
      </c>
      <c r="S1209" s="11" t="s">
        <v>17750</v>
      </c>
    </row>
    <row r="1210" spans="1:19" x14ac:dyDescent="0.2">
      <c r="A1210" s="11" t="s">
        <v>25155</v>
      </c>
      <c r="B1210" s="9" t="s">
        <v>25156</v>
      </c>
      <c r="C1210" s="9" t="s">
        <v>25157</v>
      </c>
      <c r="D1210" s="9" t="s">
        <v>25158</v>
      </c>
      <c r="E1210" s="9" t="s">
        <v>17740</v>
      </c>
      <c r="F1210" s="9" t="s">
        <v>17741</v>
      </c>
      <c r="G1210" s="9" t="s">
        <v>17740</v>
      </c>
      <c r="H1210" s="11" t="s">
        <v>25159</v>
      </c>
      <c r="I1210" s="11" t="s">
        <v>25160</v>
      </c>
      <c r="J1210" s="11" t="s">
        <v>25160</v>
      </c>
      <c r="K1210" s="9" t="s">
        <v>25161</v>
      </c>
      <c r="L1210" s="9" t="s">
        <v>18959</v>
      </c>
      <c r="M1210" s="9" t="s">
        <v>17769</v>
      </c>
      <c r="N1210" s="9" t="s">
        <v>17746</v>
      </c>
      <c r="O1210" s="9" t="s">
        <v>17993</v>
      </c>
      <c r="P1210" s="9" t="s">
        <v>17748</v>
      </c>
      <c r="Q1210" s="11" t="s">
        <v>19335</v>
      </c>
      <c r="R1210" s="11" t="s">
        <v>19335</v>
      </c>
      <c r="S1210" s="11" t="s">
        <v>17750</v>
      </c>
    </row>
    <row r="1211" spans="1:19" x14ac:dyDescent="0.2">
      <c r="A1211" s="11" t="s">
        <v>25162</v>
      </c>
      <c r="B1211" s="9" t="s">
        <v>25163</v>
      </c>
      <c r="C1211" s="9" t="s">
        <v>25164</v>
      </c>
      <c r="D1211" s="9" t="s">
        <v>25165</v>
      </c>
      <c r="E1211" s="9" t="s">
        <v>17748</v>
      </c>
      <c r="F1211" s="9" t="s">
        <v>25166</v>
      </c>
      <c r="G1211" s="9" t="s">
        <v>17740</v>
      </c>
      <c r="H1211" s="11" t="s">
        <v>25167</v>
      </c>
      <c r="I1211" s="11" t="s">
        <v>25168</v>
      </c>
      <c r="J1211" s="11" t="s">
        <v>25168</v>
      </c>
      <c r="K1211" s="9" t="s">
        <v>25169</v>
      </c>
      <c r="L1211" s="9" t="s">
        <v>20598</v>
      </c>
      <c r="M1211" s="9" t="s">
        <v>17760</v>
      </c>
      <c r="N1211" s="9" t="s">
        <v>17746</v>
      </c>
      <c r="O1211" s="9" t="s">
        <v>1675</v>
      </c>
      <c r="P1211" s="9" t="s">
        <v>17748</v>
      </c>
      <c r="Q1211" s="11" t="s">
        <v>17923</v>
      </c>
      <c r="R1211" s="11" t="s">
        <v>17923</v>
      </c>
      <c r="S1211" s="11" t="s">
        <v>17750</v>
      </c>
    </row>
    <row r="1212" spans="1:19" x14ac:dyDescent="0.2">
      <c r="A1212" s="11" t="s">
        <v>25170</v>
      </c>
      <c r="B1212" s="9" t="s">
        <v>25171</v>
      </c>
      <c r="C1212" s="9" t="s">
        <v>25172</v>
      </c>
      <c r="D1212" s="9" t="s">
        <v>25173</v>
      </c>
      <c r="E1212" s="9" t="s">
        <v>17740</v>
      </c>
      <c r="F1212" s="9" t="s">
        <v>17741</v>
      </c>
      <c r="G1212" s="9" t="s">
        <v>17740</v>
      </c>
      <c r="H1212" s="11" t="s">
        <v>12377</v>
      </c>
      <c r="I1212" s="11" t="s">
        <v>12376</v>
      </c>
      <c r="J1212" s="11" t="s">
        <v>17741</v>
      </c>
      <c r="K1212" s="9" t="s">
        <v>25174</v>
      </c>
      <c r="L1212" s="9" t="s">
        <v>17759</v>
      </c>
      <c r="M1212" s="9" t="s">
        <v>18790</v>
      </c>
      <c r="N1212" s="9" t="s">
        <v>17746</v>
      </c>
      <c r="O1212" s="9" t="s">
        <v>17993</v>
      </c>
      <c r="P1212" s="9" t="s">
        <v>17748</v>
      </c>
      <c r="Q1212" s="11" t="s">
        <v>18370</v>
      </c>
      <c r="R1212" s="11" t="s">
        <v>18370</v>
      </c>
      <c r="S1212" s="11" t="s">
        <v>17750</v>
      </c>
    </row>
    <row r="1213" spans="1:19" x14ac:dyDescent="0.2">
      <c r="A1213" s="11" t="s">
        <v>25175</v>
      </c>
      <c r="B1213" s="9" t="s">
        <v>25176</v>
      </c>
      <c r="C1213" s="9" t="s">
        <v>25177</v>
      </c>
      <c r="D1213" s="9" t="s">
        <v>25178</v>
      </c>
      <c r="E1213" s="9" t="s">
        <v>17748</v>
      </c>
      <c r="F1213" s="9" t="s">
        <v>25179</v>
      </c>
      <c r="G1213" s="9" t="s">
        <v>17740</v>
      </c>
      <c r="H1213" s="11" t="s">
        <v>11433</v>
      </c>
      <c r="I1213" s="11" t="s">
        <v>11432</v>
      </c>
      <c r="J1213" s="11" t="s">
        <v>11433</v>
      </c>
      <c r="K1213" s="9" t="s">
        <v>441</v>
      </c>
      <c r="L1213" s="9" t="s">
        <v>17759</v>
      </c>
      <c r="M1213" s="9" t="s">
        <v>17817</v>
      </c>
      <c r="N1213" s="9" t="s">
        <v>17746</v>
      </c>
      <c r="O1213" s="9" t="s">
        <v>25180</v>
      </c>
      <c r="P1213" s="9" t="s">
        <v>17748</v>
      </c>
      <c r="Q1213" s="11" t="s">
        <v>17762</v>
      </c>
      <c r="R1213" s="11" t="s">
        <v>17762</v>
      </c>
      <c r="S1213" s="11" t="s">
        <v>17750</v>
      </c>
    </row>
    <row r="1214" spans="1:19" x14ac:dyDescent="0.2">
      <c r="A1214" s="11" t="s">
        <v>25181</v>
      </c>
      <c r="B1214" s="9" t="s">
        <v>25182</v>
      </c>
      <c r="C1214" s="9" t="s">
        <v>25183</v>
      </c>
      <c r="D1214" s="9" t="s">
        <v>25184</v>
      </c>
      <c r="E1214" s="9" t="s">
        <v>17740</v>
      </c>
      <c r="F1214" s="9" t="s">
        <v>17741</v>
      </c>
      <c r="G1214" s="9" t="s">
        <v>17740</v>
      </c>
      <c r="H1214" s="11" t="s">
        <v>5457</v>
      </c>
      <c r="I1214" s="11" t="s">
        <v>5456</v>
      </c>
      <c r="J1214" s="11" t="s">
        <v>5456</v>
      </c>
      <c r="K1214" s="9" t="s">
        <v>25185</v>
      </c>
      <c r="L1214" s="9" t="s">
        <v>18158</v>
      </c>
      <c r="M1214" s="9" t="s">
        <v>18676</v>
      </c>
      <c r="N1214" s="9" t="s">
        <v>17746</v>
      </c>
      <c r="O1214" s="9" t="s">
        <v>3100</v>
      </c>
      <c r="P1214" s="9" t="s">
        <v>17748</v>
      </c>
      <c r="Q1214" s="11" t="s">
        <v>18080</v>
      </c>
      <c r="R1214" s="11" t="s">
        <v>18080</v>
      </c>
      <c r="S1214" s="11" t="s">
        <v>17750</v>
      </c>
    </row>
    <row r="1215" spans="1:19" x14ac:dyDescent="0.2">
      <c r="A1215" s="11" t="s">
        <v>25186</v>
      </c>
      <c r="B1215" s="9" t="s">
        <v>25187</v>
      </c>
      <c r="C1215" s="9" t="s">
        <v>25188</v>
      </c>
      <c r="D1215" s="9" t="s">
        <v>25189</v>
      </c>
      <c r="E1215" s="9" t="s">
        <v>17740</v>
      </c>
      <c r="F1215" s="9" t="s">
        <v>17741</v>
      </c>
      <c r="G1215" s="9" t="s">
        <v>17740</v>
      </c>
      <c r="H1215" s="11" t="s">
        <v>1135</v>
      </c>
      <c r="I1215" s="11" t="s">
        <v>1134</v>
      </c>
      <c r="J1215" s="11" t="s">
        <v>1134</v>
      </c>
      <c r="K1215" s="9" t="s">
        <v>18661</v>
      </c>
      <c r="L1215" s="9" t="s">
        <v>17759</v>
      </c>
      <c r="M1215" s="9" t="s">
        <v>18177</v>
      </c>
      <c r="N1215" s="9" t="s">
        <v>17746</v>
      </c>
      <c r="O1215" s="9" t="s">
        <v>773</v>
      </c>
      <c r="P1215" s="9" t="s">
        <v>17748</v>
      </c>
      <c r="Q1215" s="11" t="s">
        <v>18813</v>
      </c>
      <c r="R1215" s="11" t="s">
        <v>18813</v>
      </c>
      <c r="S1215" s="11" t="s">
        <v>17750</v>
      </c>
    </row>
    <row r="1216" spans="1:19" x14ac:dyDescent="0.2">
      <c r="A1216" s="11" t="s">
        <v>25190</v>
      </c>
      <c r="B1216" s="9" t="s">
        <v>25191</v>
      </c>
      <c r="C1216" s="9" t="s">
        <v>25192</v>
      </c>
      <c r="D1216" s="9" t="s">
        <v>25193</v>
      </c>
      <c r="E1216" s="9" t="s">
        <v>17740</v>
      </c>
      <c r="F1216" s="9" t="s">
        <v>17741</v>
      </c>
      <c r="G1216" s="9" t="s">
        <v>17740</v>
      </c>
      <c r="H1216" s="11" t="s">
        <v>1138</v>
      </c>
      <c r="I1216" s="11" t="s">
        <v>1137</v>
      </c>
      <c r="J1216" s="11" t="s">
        <v>1137</v>
      </c>
      <c r="K1216" s="9" t="s">
        <v>18661</v>
      </c>
      <c r="L1216" s="9" t="s">
        <v>17744</v>
      </c>
      <c r="M1216" s="9" t="s">
        <v>25194</v>
      </c>
      <c r="N1216" s="9" t="s">
        <v>17746</v>
      </c>
      <c r="O1216" s="9" t="s">
        <v>18355</v>
      </c>
      <c r="P1216" s="9" t="s">
        <v>17748</v>
      </c>
      <c r="Q1216" s="11" t="s">
        <v>18059</v>
      </c>
      <c r="R1216" s="11" t="s">
        <v>18059</v>
      </c>
      <c r="S1216" s="11" t="s">
        <v>17750</v>
      </c>
    </row>
    <row r="1217" spans="1:19" x14ac:dyDescent="0.2">
      <c r="A1217" s="11" t="s">
        <v>25195</v>
      </c>
      <c r="B1217" s="9" t="s">
        <v>25196</v>
      </c>
      <c r="C1217" s="9" t="s">
        <v>25197</v>
      </c>
      <c r="D1217" s="9" t="s">
        <v>25198</v>
      </c>
      <c r="E1217" s="9" t="s">
        <v>17740</v>
      </c>
      <c r="F1217" s="9" t="s">
        <v>17741</v>
      </c>
      <c r="G1217" s="9" t="s">
        <v>17740</v>
      </c>
      <c r="H1217" s="11" t="s">
        <v>8810</v>
      </c>
      <c r="I1217" s="11" t="s">
        <v>8809</v>
      </c>
      <c r="J1217" s="11" t="s">
        <v>8809</v>
      </c>
      <c r="K1217" s="9" t="s">
        <v>91</v>
      </c>
      <c r="L1217" s="9" t="s">
        <v>17759</v>
      </c>
      <c r="M1217" s="9" t="s">
        <v>25199</v>
      </c>
      <c r="N1217" s="9" t="s">
        <v>17746</v>
      </c>
      <c r="O1217" s="9" t="s">
        <v>18363</v>
      </c>
      <c r="P1217" s="9" t="s">
        <v>17748</v>
      </c>
      <c r="Q1217" s="11" t="s">
        <v>17784</v>
      </c>
      <c r="R1217" s="11" t="s">
        <v>17784</v>
      </c>
      <c r="S1217" s="11" t="s">
        <v>17750</v>
      </c>
    </row>
    <row r="1218" spans="1:19" x14ac:dyDescent="0.2">
      <c r="A1218" s="11" t="s">
        <v>25200</v>
      </c>
      <c r="B1218" s="9" t="s">
        <v>25201</v>
      </c>
      <c r="C1218" s="9" t="s">
        <v>25202</v>
      </c>
      <c r="D1218" s="9" t="s">
        <v>25203</v>
      </c>
      <c r="E1218" s="9" t="s">
        <v>17740</v>
      </c>
      <c r="F1218" s="9" t="s">
        <v>17741</v>
      </c>
      <c r="G1218" s="9" t="s">
        <v>17740</v>
      </c>
      <c r="H1218" s="11" t="s">
        <v>17741</v>
      </c>
      <c r="I1218" s="11" t="s">
        <v>25204</v>
      </c>
      <c r="J1218" s="11" t="s">
        <v>25204</v>
      </c>
      <c r="K1218" s="9" t="s">
        <v>25205</v>
      </c>
      <c r="L1218" s="9" t="s">
        <v>18242</v>
      </c>
      <c r="M1218" s="9" t="s">
        <v>17817</v>
      </c>
      <c r="N1218" s="9" t="s">
        <v>21524</v>
      </c>
      <c r="O1218" s="9" t="s">
        <v>20988</v>
      </c>
      <c r="P1218" s="9" t="s">
        <v>17748</v>
      </c>
      <c r="Q1218" s="11" t="s">
        <v>18080</v>
      </c>
      <c r="R1218" s="11" t="s">
        <v>18080</v>
      </c>
      <c r="S1218" s="11" t="s">
        <v>17750</v>
      </c>
    </row>
    <row r="1219" spans="1:19" x14ac:dyDescent="0.2">
      <c r="A1219" s="11" t="s">
        <v>25206</v>
      </c>
      <c r="B1219" s="9" t="s">
        <v>25207</v>
      </c>
      <c r="C1219" s="9" t="s">
        <v>25208</v>
      </c>
      <c r="D1219" s="9" t="s">
        <v>25209</v>
      </c>
      <c r="E1219" s="9" t="s">
        <v>17740</v>
      </c>
      <c r="F1219" s="9" t="s">
        <v>17741</v>
      </c>
      <c r="G1219" s="9" t="s">
        <v>17740</v>
      </c>
      <c r="H1219" s="11" t="s">
        <v>17741</v>
      </c>
      <c r="I1219" s="11" t="s">
        <v>6611</v>
      </c>
      <c r="J1219" s="11" t="s">
        <v>6611</v>
      </c>
      <c r="K1219" s="9" t="s">
        <v>19282</v>
      </c>
      <c r="L1219" s="9" t="s">
        <v>17759</v>
      </c>
      <c r="M1219" s="9" t="s">
        <v>25210</v>
      </c>
      <c r="N1219" s="9" t="s">
        <v>17746</v>
      </c>
      <c r="O1219" s="9" t="s">
        <v>18363</v>
      </c>
      <c r="P1219" s="9" t="s">
        <v>17748</v>
      </c>
      <c r="Q1219" s="11" t="s">
        <v>19361</v>
      </c>
      <c r="R1219" s="11" t="s">
        <v>19361</v>
      </c>
      <c r="S1219" s="11" t="s">
        <v>17750</v>
      </c>
    </row>
    <row r="1220" spans="1:19" x14ac:dyDescent="0.2">
      <c r="A1220" s="11" t="s">
        <v>25211</v>
      </c>
      <c r="B1220" s="9" t="s">
        <v>25212</v>
      </c>
      <c r="C1220" s="9" t="s">
        <v>25213</v>
      </c>
      <c r="D1220" s="9" t="s">
        <v>25214</v>
      </c>
      <c r="E1220" s="9" t="s">
        <v>17740</v>
      </c>
      <c r="F1220" s="9" t="s">
        <v>17741</v>
      </c>
      <c r="G1220" s="9" t="s">
        <v>17740</v>
      </c>
      <c r="H1220" s="11" t="s">
        <v>1141</v>
      </c>
      <c r="I1220" s="11" t="s">
        <v>1140</v>
      </c>
      <c r="J1220" s="11" t="s">
        <v>1140</v>
      </c>
      <c r="K1220" s="9" t="s">
        <v>25215</v>
      </c>
      <c r="L1220" s="9" t="s">
        <v>17759</v>
      </c>
      <c r="M1220" s="9" t="s">
        <v>17817</v>
      </c>
      <c r="N1220" s="9" t="s">
        <v>17746</v>
      </c>
      <c r="O1220" s="9" t="s">
        <v>18009</v>
      </c>
      <c r="P1220" s="9" t="s">
        <v>17748</v>
      </c>
      <c r="Q1220" s="11" t="s">
        <v>19335</v>
      </c>
      <c r="R1220" s="11" t="s">
        <v>19335</v>
      </c>
      <c r="S1220" s="11" t="s">
        <v>17750</v>
      </c>
    </row>
    <row r="1221" spans="1:19" x14ac:dyDescent="0.2">
      <c r="A1221" s="11" t="s">
        <v>25216</v>
      </c>
      <c r="B1221" s="9" t="s">
        <v>25217</v>
      </c>
      <c r="C1221" s="9" t="s">
        <v>25218</v>
      </c>
      <c r="D1221" s="9" t="s">
        <v>25219</v>
      </c>
      <c r="E1221" s="9" t="s">
        <v>17740</v>
      </c>
      <c r="F1221" s="9" t="s">
        <v>25220</v>
      </c>
      <c r="G1221" s="9" t="s">
        <v>17740</v>
      </c>
      <c r="H1221" s="11" t="s">
        <v>1144</v>
      </c>
      <c r="I1221" s="11" t="s">
        <v>1143</v>
      </c>
      <c r="J1221" s="11" t="s">
        <v>1143</v>
      </c>
      <c r="K1221" s="9" t="s">
        <v>25221</v>
      </c>
      <c r="L1221" s="9" t="s">
        <v>17759</v>
      </c>
      <c r="M1221" s="9" t="s">
        <v>25222</v>
      </c>
      <c r="N1221" s="9" t="s">
        <v>17746</v>
      </c>
      <c r="O1221" s="9" t="s">
        <v>18804</v>
      </c>
      <c r="P1221" s="9" t="s">
        <v>17748</v>
      </c>
      <c r="Q1221" s="11" t="s">
        <v>21569</v>
      </c>
      <c r="R1221" s="11" t="s">
        <v>21569</v>
      </c>
      <c r="S1221" s="11" t="s">
        <v>17750</v>
      </c>
    </row>
    <row r="1222" spans="1:19" x14ac:dyDescent="0.2">
      <c r="A1222" s="11" t="s">
        <v>25223</v>
      </c>
      <c r="B1222" s="9" t="s">
        <v>25224</v>
      </c>
      <c r="C1222" s="9" t="s">
        <v>25225</v>
      </c>
      <c r="D1222" s="9" t="s">
        <v>25226</v>
      </c>
      <c r="E1222" s="9" t="s">
        <v>17748</v>
      </c>
      <c r="F1222" s="9" t="s">
        <v>25227</v>
      </c>
      <c r="G1222" s="9" t="s">
        <v>17740</v>
      </c>
      <c r="H1222" s="11" t="s">
        <v>17741</v>
      </c>
      <c r="I1222" s="11" t="s">
        <v>7728</v>
      </c>
      <c r="J1222" s="11" t="s">
        <v>7728</v>
      </c>
      <c r="K1222" s="9" t="s">
        <v>22455</v>
      </c>
      <c r="L1222" s="9" t="s">
        <v>18158</v>
      </c>
      <c r="M1222" s="9" t="s">
        <v>17817</v>
      </c>
      <c r="N1222" s="9" t="s">
        <v>17746</v>
      </c>
      <c r="O1222" s="9" t="s">
        <v>25228</v>
      </c>
      <c r="P1222" s="9" t="s">
        <v>17748</v>
      </c>
      <c r="Q1222" s="11" t="s">
        <v>18798</v>
      </c>
      <c r="R1222" s="11" t="s">
        <v>18798</v>
      </c>
      <c r="S1222" s="11" t="s">
        <v>17750</v>
      </c>
    </row>
    <row r="1223" spans="1:19" x14ac:dyDescent="0.2">
      <c r="A1223" s="11" t="s">
        <v>25229</v>
      </c>
      <c r="B1223" s="9" t="s">
        <v>25230</v>
      </c>
      <c r="C1223" s="9" t="s">
        <v>25231</v>
      </c>
      <c r="D1223" s="9" t="s">
        <v>25232</v>
      </c>
      <c r="E1223" s="9" t="s">
        <v>17740</v>
      </c>
      <c r="F1223" s="9" t="s">
        <v>17741</v>
      </c>
      <c r="G1223" s="9" t="s">
        <v>17740</v>
      </c>
      <c r="H1223" s="11" t="s">
        <v>25233</v>
      </c>
      <c r="I1223" s="11" t="s">
        <v>25234</v>
      </c>
      <c r="J1223" s="11" t="s">
        <v>25234</v>
      </c>
      <c r="K1223" s="9" t="s">
        <v>17783</v>
      </c>
      <c r="L1223" s="9" t="s">
        <v>17759</v>
      </c>
      <c r="M1223" s="9" t="s">
        <v>17760</v>
      </c>
      <c r="N1223" s="9" t="s">
        <v>17746</v>
      </c>
      <c r="O1223" s="9" t="s">
        <v>23534</v>
      </c>
      <c r="P1223" s="9" t="s">
        <v>17748</v>
      </c>
      <c r="Q1223" s="11" t="s">
        <v>18798</v>
      </c>
      <c r="R1223" s="11" t="s">
        <v>18798</v>
      </c>
      <c r="S1223" s="11" t="s">
        <v>17750</v>
      </c>
    </row>
    <row r="1224" spans="1:19" x14ac:dyDescent="0.2">
      <c r="A1224" s="11" t="s">
        <v>25235</v>
      </c>
      <c r="B1224" s="9" t="s">
        <v>25236</v>
      </c>
      <c r="C1224" s="9" t="s">
        <v>25237</v>
      </c>
      <c r="D1224" s="9" t="s">
        <v>25238</v>
      </c>
      <c r="E1224" s="9" t="s">
        <v>17740</v>
      </c>
      <c r="F1224" s="9" t="s">
        <v>17741</v>
      </c>
      <c r="G1224" s="9" t="s">
        <v>17740</v>
      </c>
      <c r="H1224" s="11" t="s">
        <v>25239</v>
      </c>
      <c r="I1224" s="11" t="s">
        <v>25240</v>
      </c>
      <c r="J1224" s="11" t="s">
        <v>25240</v>
      </c>
      <c r="K1224" s="9" t="s">
        <v>19447</v>
      </c>
      <c r="L1224" s="9" t="s">
        <v>17744</v>
      </c>
      <c r="M1224" s="9" t="s">
        <v>17760</v>
      </c>
      <c r="N1224" s="9" t="s">
        <v>17746</v>
      </c>
      <c r="O1224" s="9" t="s">
        <v>25241</v>
      </c>
      <c r="P1224" s="9" t="s">
        <v>17748</v>
      </c>
      <c r="Q1224" s="11" t="s">
        <v>18201</v>
      </c>
      <c r="R1224" s="11" t="s">
        <v>18201</v>
      </c>
      <c r="S1224" s="11" t="s">
        <v>17750</v>
      </c>
    </row>
    <row r="1225" spans="1:19" x14ac:dyDescent="0.2">
      <c r="A1225" s="11" t="s">
        <v>25242</v>
      </c>
      <c r="B1225" s="9" t="s">
        <v>25243</v>
      </c>
      <c r="C1225" s="9" t="s">
        <v>25244</v>
      </c>
      <c r="D1225" s="9" t="s">
        <v>25245</v>
      </c>
      <c r="E1225" s="9" t="s">
        <v>17740</v>
      </c>
      <c r="F1225" s="9" t="s">
        <v>17741</v>
      </c>
      <c r="G1225" s="9" t="s">
        <v>17740</v>
      </c>
      <c r="H1225" s="11" t="s">
        <v>9114</v>
      </c>
      <c r="I1225" s="11" t="s">
        <v>9113</v>
      </c>
      <c r="J1225" s="11" t="s">
        <v>9113</v>
      </c>
      <c r="K1225" s="9" t="s">
        <v>17741</v>
      </c>
      <c r="L1225" s="9" t="s">
        <v>17759</v>
      </c>
      <c r="M1225" s="9" t="s">
        <v>17760</v>
      </c>
      <c r="N1225" s="9" t="s">
        <v>17746</v>
      </c>
      <c r="O1225" s="9" t="s">
        <v>25246</v>
      </c>
      <c r="P1225" s="9" t="s">
        <v>17748</v>
      </c>
      <c r="Q1225" s="11" t="s">
        <v>18922</v>
      </c>
      <c r="R1225" s="11" t="s">
        <v>18922</v>
      </c>
      <c r="S1225" s="11" t="s">
        <v>17750</v>
      </c>
    </row>
    <row r="1226" spans="1:19" x14ac:dyDescent="0.2">
      <c r="A1226" s="11" t="s">
        <v>25247</v>
      </c>
      <c r="B1226" s="9" t="s">
        <v>25248</v>
      </c>
      <c r="C1226" s="9" t="s">
        <v>25249</v>
      </c>
      <c r="D1226" s="9" t="s">
        <v>25250</v>
      </c>
      <c r="E1226" s="9" t="s">
        <v>17740</v>
      </c>
      <c r="F1226" s="9" t="s">
        <v>17741</v>
      </c>
      <c r="G1226" s="9" t="s">
        <v>17740</v>
      </c>
      <c r="H1226" s="11" t="s">
        <v>17741</v>
      </c>
      <c r="I1226" s="11" t="s">
        <v>25251</v>
      </c>
      <c r="J1226" s="11" t="s">
        <v>17741</v>
      </c>
      <c r="K1226" s="9" t="s">
        <v>6978</v>
      </c>
      <c r="L1226" s="9" t="s">
        <v>17759</v>
      </c>
      <c r="M1226" s="9" t="s">
        <v>17769</v>
      </c>
      <c r="N1226" s="9" t="s">
        <v>17746</v>
      </c>
      <c r="O1226" s="9" t="s">
        <v>25252</v>
      </c>
      <c r="P1226" s="9" t="s">
        <v>17748</v>
      </c>
      <c r="Q1226" s="11" t="s">
        <v>18798</v>
      </c>
      <c r="R1226" s="11" t="s">
        <v>18798</v>
      </c>
      <c r="S1226" s="11" t="s">
        <v>17750</v>
      </c>
    </row>
    <row r="1227" spans="1:19" x14ac:dyDescent="0.2">
      <c r="A1227" s="11" t="s">
        <v>25253</v>
      </c>
      <c r="B1227" s="9" t="s">
        <v>25254</v>
      </c>
      <c r="C1227" s="9" t="s">
        <v>25255</v>
      </c>
      <c r="D1227" s="9" t="s">
        <v>25256</v>
      </c>
      <c r="E1227" s="9" t="s">
        <v>17740</v>
      </c>
      <c r="F1227" s="9" t="s">
        <v>25257</v>
      </c>
      <c r="G1227" s="9" t="s">
        <v>17740</v>
      </c>
      <c r="H1227" s="11" t="s">
        <v>6518</v>
      </c>
      <c r="I1227" s="11" t="s">
        <v>6517</v>
      </c>
      <c r="J1227" s="11" t="s">
        <v>6517</v>
      </c>
      <c r="K1227" s="9" t="s">
        <v>19482</v>
      </c>
      <c r="L1227" s="9" t="s">
        <v>19483</v>
      </c>
      <c r="M1227" s="9" t="s">
        <v>17817</v>
      </c>
      <c r="N1227" s="9" t="s">
        <v>17746</v>
      </c>
      <c r="O1227" s="9" t="s">
        <v>17779</v>
      </c>
      <c r="P1227" s="9" t="s">
        <v>17748</v>
      </c>
      <c r="Q1227" s="11" t="s">
        <v>19361</v>
      </c>
      <c r="R1227" s="11" t="s">
        <v>19361</v>
      </c>
      <c r="S1227" s="11" t="s">
        <v>17750</v>
      </c>
    </row>
    <row r="1228" spans="1:19" x14ac:dyDescent="0.2">
      <c r="A1228" s="11" t="s">
        <v>25258</v>
      </c>
      <c r="B1228" s="9" t="s">
        <v>25259</v>
      </c>
      <c r="C1228" s="9" t="s">
        <v>25260</v>
      </c>
      <c r="D1228" s="9" t="s">
        <v>25261</v>
      </c>
      <c r="E1228" s="9" t="s">
        <v>17740</v>
      </c>
      <c r="F1228" s="9" t="s">
        <v>17741</v>
      </c>
      <c r="G1228" s="9" t="s">
        <v>17740</v>
      </c>
      <c r="H1228" s="11" t="s">
        <v>5675</v>
      </c>
      <c r="I1228" s="11" t="s">
        <v>5674</v>
      </c>
      <c r="J1228" s="11" t="s">
        <v>5674</v>
      </c>
      <c r="K1228" s="9" t="s">
        <v>17758</v>
      </c>
      <c r="L1228" s="9" t="s">
        <v>17744</v>
      </c>
      <c r="M1228" s="9" t="s">
        <v>17760</v>
      </c>
      <c r="N1228" s="9" t="s">
        <v>17746</v>
      </c>
      <c r="O1228" s="9" t="s">
        <v>22864</v>
      </c>
      <c r="P1228" s="9" t="s">
        <v>17748</v>
      </c>
      <c r="Q1228" s="11" t="s">
        <v>18147</v>
      </c>
      <c r="R1228" s="11" t="s">
        <v>18147</v>
      </c>
      <c r="S1228" s="11" t="s">
        <v>17750</v>
      </c>
    </row>
    <row r="1229" spans="1:19" x14ac:dyDescent="0.2">
      <c r="A1229" s="11" t="s">
        <v>25262</v>
      </c>
      <c r="B1229" s="9" t="s">
        <v>25263</v>
      </c>
      <c r="C1229" s="9" t="s">
        <v>25264</v>
      </c>
      <c r="D1229" s="9" t="s">
        <v>25265</v>
      </c>
      <c r="E1229" s="9" t="s">
        <v>17748</v>
      </c>
      <c r="F1229" s="9" t="s">
        <v>25266</v>
      </c>
      <c r="G1229" s="9" t="s">
        <v>17740</v>
      </c>
      <c r="H1229" s="11" t="s">
        <v>17741</v>
      </c>
      <c r="I1229" s="11" t="s">
        <v>10170</v>
      </c>
      <c r="J1229" s="11" t="s">
        <v>10170</v>
      </c>
      <c r="K1229" s="9" t="s">
        <v>19447</v>
      </c>
      <c r="L1229" s="9" t="s">
        <v>17759</v>
      </c>
      <c r="M1229" s="9" t="s">
        <v>17760</v>
      </c>
      <c r="N1229" s="9" t="s">
        <v>17746</v>
      </c>
      <c r="O1229" s="9" t="s">
        <v>23267</v>
      </c>
      <c r="P1229" s="9" t="s">
        <v>17748</v>
      </c>
      <c r="Q1229" s="11" t="s">
        <v>17780</v>
      </c>
      <c r="R1229" s="11" t="s">
        <v>17780</v>
      </c>
      <c r="S1229" s="11" t="s">
        <v>17750</v>
      </c>
    </row>
    <row r="1230" spans="1:19" x14ac:dyDescent="0.2">
      <c r="A1230" s="11" t="s">
        <v>25267</v>
      </c>
      <c r="B1230" s="9" t="s">
        <v>25268</v>
      </c>
      <c r="C1230" s="9" t="s">
        <v>25269</v>
      </c>
      <c r="D1230" s="9" t="s">
        <v>25270</v>
      </c>
      <c r="E1230" s="9" t="s">
        <v>17740</v>
      </c>
      <c r="F1230" s="9" t="s">
        <v>17741</v>
      </c>
      <c r="G1230" s="9" t="s">
        <v>17740</v>
      </c>
      <c r="H1230" s="11" t="s">
        <v>1148</v>
      </c>
      <c r="I1230" s="11" t="s">
        <v>1147</v>
      </c>
      <c r="J1230" s="11" t="s">
        <v>1147</v>
      </c>
      <c r="K1230" s="9" t="s">
        <v>296</v>
      </c>
      <c r="L1230" s="9" t="s">
        <v>17744</v>
      </c>
      <c r="M1230" s="9" t="s">
        <v>17817</v>
      </c>
      <c r="N1230" s="9" t="s">
        <v>17746</v>
      </c>
      <c r="O1230" s="9" t="s">
        <v>1535</v>
      </c>
      <c r="P1230" s="9" t="s">
        <v>17748</v>
      </c>
      <c r="Q1230" s="11" t="s">
        <v>19082</v>
      </c>
      <c r="R1230" s="11" t="s">
        <v>19082</v>
      </c>
      <c r="S1230" s="11" t="s">
        <v>17750</v>
      </c>
    </row>
    <row r="1231" spans="1:19" x14ac:dyDescent="0.2">
      <c r="A1231" s="11" t="s">
        <v>25271</v>
      </c>
      <c r="B1231" s="9" t="s">
        <v>25272</v>
      </c>
      <c r="C1231" s="9" t="s">
        <v>25273</v>
      </c>
      <c r="D1231" s="9" t="s">
        <v>25274</v>
      </c>
      <c r="E1231" s="9" t="s">
        <v>17748</v>
      </c>
      <c r="F1231" s="9" t="s">
        <v>25275</v>
      </c>
      <c r="G1231" s="9" t="s">
        <v>17740</v>
      </c>
      <c r="H1231" s="11" t="s">
        <v>25276</v>
      </c>
      <c r="I1231" s="11" t="s">
        <v>17741</v>
      </c>
      <c r="J1231" s="11" t="s">
        <v>25277</v>
      </c>
      <c r="K1231" s="9" t="s">
        <v>18616</v>
      </c>
      <c r="L1231" s="9" t="s">
        <v>17744</v>
      </c>
      <c r="M1231" s="9" t="s">
        <v>17741</v>
      </c>
      <c r="N1231" s="9" t="s">
        <v>17746</v>
      </c>
      <c r="O1231" s="9" t="s">
        <v>5938</v>
      </c>
      <c r="P1231" s="9" t="s">
        <v>17748</v>
      </c>
      <c r="Q1231" s="11" t="s">
        <v>17762</v>
      </c>
      <c r="R1231" s="11" t="s">
        <v>17762</v>
      </c>
      <c r="S1231" s="11" t="s">
        <v>17750</v>
      </c>
    </row>
    <row r="1232" spans="1:19" x14ac:dyDescent="0.2">
      <c r="A1232" s="11" t="s">
        <v>25278</v>
      </c>
      <c r="B1232" s="9" t="s">
        <v>25279</v>
      </c>
      <c r="C1232" s="9" t="s">
        <v>25280</v>
      </c>
      <c r="D1232" s="9" t="s">
        <v>25281</v>
      </c>
      <c r="E1232" s="9" t="s">
        <v>17740</v>
      </c>
      <c r="F1232" s="9" t="s">
        <v>17741</v>
      </c>
      <c r="G1232" s="9" t="s">
        <v>17740</v>
      </c>
      <c r="H1232" s="11" t="s">
        <v>25282</v>
      </c>
      <c r="I1232" s="11" t="s">
        <v>9817</v>
      </c>
      <c r="J1232" s="11" t="s">
        <v>9817</v>
      </c>
      <c r="K1232" s="9" t="s">
        <v>25283</v>
      </c>
      <c r="L1232" s="9" t="s">
        <v>17759</v>
      </c>
      <c r="M1232" s="9" t="s">
        <v>24588</v>
      </c>
      <c r="N1232" s="9" t="s">
        <v>17746</v>
      </c>
      <c r="O1232" s="9" t="s">
        <v>1675</v>
      </c>
      <c r="P1232" s="9" t="s">
        <v>17748</v>
      </c>
      <c r="Q1232" s="11" t="s">
        <v>17858</v>
      </c>
      <c r="R1232" s="11" t="s">
        <v>17858</v>
      </c>
      <c r="S1232" s="11" t="s">
        <v>17750</v>
      </c>
    </row>
    <row r="1233" spans="1:19" x14ac:dyDescent="0.2">
      <c r="A1233" s="11" t="s">
        <v>25284</v>
      </c>
      <c r="B1233" s="9" t="s">
        <v>25285</v>
      </c>
      <c r="C1233" s="9" t="s">
        <v>25286</v>
      </c>
      <c r="D1233" s="9" t="s">
        <v>25287</v>
      </c>
      <c r="E1233" s="9" t="s">
        <v>17740</v>
      </c>
      <c r="F1233" s="9" t="s">
        <v>17741</v>
      </c>
      <c r="G1233" s="9" t="s">
        <v>17740</v>
      </c>
      <c r="H1233" s="11" t="s">
        <v>1151</v>
      </c>
      <c r="I1233" s="11" t="s">
        <v>1150</v>
      </c>
      <c r="J1233" s="11" t="s">
        <v>1150</v>
      </c>
      <c r="K1233" s="9" t="s">
        <v>25288</v>
      </c>
      <c r="L1233" s="9" t="s">
        <v>18305</v>
      </c>
      <c r="M1233" s="9" t="s">
        <v>17817</v>
      </c>
      <c r="N1233" s="9" t="s">
        <v>17746</v>
      </c>
      <c r="O1233" s="9" t="s">
        <v>18846</v>
      </c>
      <c r="P1233" s="9" t="s">
        <v>17748</v>
      </c>
      <c r="Q1233" s="11" t="s">
        <v>18282</v>
      </c>
      <c r="R1233" s="11" t="s">
        <v>18282</v>
      </c>
      <c r="S1233" s="11" t="s">
        <v>17750</v>
      </c>
    </row>
    <row r="1234" spans="1:19" x14ac:dyDescent="0.2">
      <c r="A1234" s="11" t="s">
        <v>25289</v>
      </c>
      <c r="B1234" s="9" t="s">
        <v>25290</v>
      </c>
      <c r="C1234" s="9" t="s">
        <v>25291</v>
      </c>
      <c r="D1234" s="9" t="s">
        <v>25292</v>
      </c>
      <c r="E1234" s="9" t="s">
        <v>17748</v>
      </c>
      <c r="F1234" s="9" t="s">
        <v>25293</v>
      </c>
      <c r="G1234" s="9" t="s">
        <v>17740</v>
      </c>
      <c r="H1234" s="11" t="s">
        <v>11442</v>
      </c>
      <c r="I1234" s="11" t="s">
        <v>11441</v>
      </c>
      <c r="J1234" s="11" t="s">
        <v>11441</v>
      </c>
      <c r="K1234" s="9" t="s">
        <v>91</v>
      </c>
      <c r="L1234" s="9" t="s">
        <v>17759</v>
      </c>
      <c r="M1234" s="9" t="s">
        <v>17760</v>
      </c>
      <c r="N1234" s="9" t="s">
        <v>17746</v>
      </c>
      <c r="O1234" s="9" t="s">
        <v>25294</v>
      </c>
      <c r="P1234" s="9" t="s">
        <v>17748</v>
      </c>
      <c r="Q1234" s="11" t="s">
        <v>17984</v>
      </c>
      <c r="R1234" s="11" t="s">
        <v>17984</v>
      </c>
      <c r="S1234" s="11" t="s">
        <v>17750</v>
      </c>
    </row>
    <row r="1235" spans="1:19" x14ac:dyDescent="0.2">
      <c r="A1235" s="11" t="s">
        <v>25295</v>
      </c>
      <c r="B1235" s="9" t="s">
        <v>25296</v>
      </c>
      <c r="C1235" s="9" t="s">
        <v>25297</v>
      </c>
      <c r="D1235" s="9" t="s">
        <v>25298</v>
      </c>
      <c r="E1235" s="9" t="s">
        <v>17740</v>
      </c>
      <c r="F1235" s="9" t="s">
        <v>25299</v>
      </c>
      <c r="G1235" s="9" t="s">
        <v>17740</v>
      </c>
      <c r="H1235" s="11" t="s">
        <v>7476</v>
      </c>
      <c r="I1235" s="11" t="s">
        <v>7475</v>
      </c>
      <c r="J1235" s="11" t="s">
        <v>7475</v>
      </c>
      <c r="K1235" s="9" t="s">
        <v>22400</v>
      </c>
      <c r="L1235" s="9" t="s">
        <v>18001</v>
      </c>
      <c r="M1235" s="9" t="s">
        <v>25300</v>
      </c>
      <c r="N1235" s="9" t="s">
        <v>17746</v>
      </c>
      <c r="O1235" s="9" t="s">
        <v>22908</v>
      </c>
      <c r="P1235" s="9" t="s">
        <v>17748</v>
      </c>
      <c r="Q1235" s="11" t="s">
        <v>18272</v>
      </c>
      <c r="R1235" s="11" t="s">
        <v>18272</v>
      </c>
      <c r="S1235" s="11" t="s">
        <v>17750</v>
      </c>
    </row>
    <row r="1236" spans="1:19" x14ac:dyDescent="0.2">
      <c r="A1236" s="11" t="s">
        <v>25301</v>
      </c>
      <c r="B1236" s="9" t="s">
        <v>25302</v>
      </c>
      <c r="C1236" s="9" t="s">
        <v>25303</v>
      </c>
      <c r="D1236" s="9" t="s">
        <v>25304</v>
      </c>
      <c r="E1236" s="9" t="s">
        <v>17740</v>
      </c>
      <c r="F1236" s="9" t="s">
        <v>25305</v>
      </c>
      <c r="G1236" s="9" t="s">
        <v>17740</v>
      </c>
      <c r="H1236" s="11" t="s">
        <v>4879</v>
      </c>
      <c r="I1236" s="11" t="s">
        <v>4878</v>
      </c>
      <c r="J1236" s="11" t="s">
        <v>4878</v>
      </c>
      <c r="K1236" s="9" t="s">
        <v>91</v>
      </c>
      <c r="L1236" s="9" t="s">
        <v>17759</v>
      </c>
      <c r="M1236" s="9" t="s">
        <v>17760</v>
      </c>
      <c r="N1236" s="9" t="s">
        <v>17746</v>
      </c>
      <c r="O1236" s="9" t="s">
        <v>23061</v>
      </c>
      <c r="P1236" s="9" t="s">
        <v>17748</v>
      </c>
      <c r="Q1236" s="11" t="s">
        <v>17819</v>
      </c>
      <c r="R1236" s="11" t="s">
        <v>17819</v>
      </c>
      <c r="S1236" s="11" t="s">
        <v>17750</v>
      </c>
    </row>
    <row r="1237" spans="1:19" x14ac:dyDescent="0.2">
      <c r="A1237" s="11" t="s">
        <v>25306</v>
      </c>
      <c r="B1237" s="9" t="s">
        <v>25307</v>
      </c>
      <c r="C1237" s="9" t="s">
        <v>25308</v>
      </c>
      <c r="D1237" s="9" t="s">
        <v>25309</v>
      </c>
      <c r="E1237" s="9" t="s">
        <v>17748</v>
      </c>
      <c r="F1237" s="9" t="s">
        <v>25310</v>
      </c>
      <c r="G1237" s="9" t="s">
        <v>17740</v>
      </c>
      <c r="H1237" s="11" t="s">
        <v>8098</v>
      </c>
      <c r="I1237" s="11" t="s">
        <v>8097</v>
      </c>
      <c r="J1237" s="11" t="s">
        <v>8097</v>
      </c>
      <c r="K1237" s="9" t="s">
        <v>601</v>
      </c>
      <c r="L1237" s="9" t="s">
        <v>17759</v>
      </c>
      <c r="M1237" s="9" t="s">
        <v>17817</v>
      </c>
      <c r="N1237" s="9" t="s">
        <v>17746</v>
      </c>
      <c r="O1237" s="9" t="s">
        <v>18882</v>
      </c>
      <c r="P1237" s="9" t="s">
        <v>17748</v>
      </c>
      <c r="Q1237" s="11" t="s">
        <v>18356</v>
      </c>
      <c r="R1237" s="11" t="s">
        <v>18356</v>
      </c>
      <c r="S1237" s="11" t="s">
        <v>17750</v>
      </c>
    </row>
    <row r="1238" spans="1:19" x14ac:dyDescent="0.2">
      <c r="A1238" s="11" t="s">
        <v>25311</v>
      </c>
      <c r="B1238" s="9" t="s">
        <v>25312</v>
      </c>
      <c r="C1238" s="9" t="s">
        <v>25313</v>
      </c>
      <c r="D1238" s="9" t="s">
        <v>25314</v>
      </c>
      <c r="E1238" s="9" t="s">
        <v>17740</v>
      </c>
      <c r="F1238" s="9" t="s">
        <v>17741</v>
      </c>
      <c r="G1238" s="9" t="s">
        <v>17740</v>
      </c>
      <c r="H1238" s="11" t="s">
        <v>25315</v>
      </c>
      <c r="I1238" s="11" t="s">
        <v>25316</v>
      </c>
      <c r="J1238" s="11" t="s">
        <v>25316</v>
      </c>
      <c r="K1238" s="9" t="s">
        <v>25317</v>
      </c>
      <c r="L1238" s="9" t="s">
        <v>18959</v>
      </c>
      <c r="M1238" s="9" t="s">
        <v>17760</v>
      </c>
      <c r="N1238" s="9" t="s">
        <v>17746</v>
      </c>
      <c r="O1238" s="9" t="s">
        <v>18340</v>
      </c>
      <c r="P1238" s="9" t="s">
        <v>17748</v>
      </c>
      <c r="Q1238" s="11" t="s">
        <v>18356</v>
      </c>
      <c r="R1238" s="11" t="s">
        <v>18356</v>
      </c>
      <c r="S1238" s="11" t="s">
        <v>17750</v>
      </c>
    </row>
    <row r="1239" spans="1:19" x14ac:dyDescent="0.2">
      <c r="A1239" s="11" t="s">
        <v>25318</v>
      </c>
      <c r="B1239" s="9" t="s">
        <v>25319</v>
      </c>
      <c r="C1239" s="9" t="s">
        <v>25320</v>
      </c>
      <c r="D1239" s="9" t="s">
        <v>25321</v>
      </c>
      <c r="E1239" s="9" t="s">
        <v>17740</v>
      </c>
      <c r="F1239" s="9" t="s">
        <v>25322</v>
      </c>
      <c r="G1239" s="9" t="s">
        <v>17740</v>
      </c>
      <c r="H1239" s="11" t="s">
        <v>5759</v>
      </c>
      <c r="I1239" s="11" t="s">
        <v>5758</v>
      </c>
      <c r="J1239" s="11" t="s">
        <v>5758</v>
      </c>
      <c r="K1239" s="9" t="s">
        <v>55</v>
      </c>
      <c r="L1239" s="9" t="s">
        <v>17759</v>
      </c>
      <c r="M1239" s="9" t="s">
        <v>25323</v>
      </c>
      <c r="N1239" s="9" t="s">
        <v>17746</v>
      </c>
      <c r="O1239" s="9" t="s">
        <v>19659</v>
      </c>
      <c r="P1239" s="9" t="s">
        <v>17748</v>
      </c>
      <c r="Q1239" s="11" t="s">
        <v>18147</v>
      </c>
      <c r="R1239" s="11" t="s">
        <v>18147</v>
      </c>
      <c r="S1239" s="11" t="s">
        <v>17750</v>
      </c>
    </row>
    <row r="1240" spans="1:19" x14ac:dyDescent="0.2">
      <c r="A1240" s="11" t="s">
        <v>25324</v>
      </c>
      <c r="B1240" s="9" t="s">
        <v>25325</v>
      </c>
      <c r="C1240" s="9" t="s">
        <v>25326</v>
      </c>
      <c r="D1240" s="9" t="s">
        <v>25327</v>
      </c>
      <c r="E1240" s="9" t="s">
        <v>17740</v>
      </c>
      <c r="F1240" s="9" t="s">
        <v>17741</v>
      </c>
      <c r="G1240" s="9" t="s">
        <v>17740</v>
      </c>
      <c r="H1240" s="11" t="s">
        <v>12230</v>
      </c>
      <c r="I1240" s="11" t="s">
        <v>12229</v>
      </c>
      <c r="J1240" s="11" t="s">
        <v>12229</v>
      </c>
      <c r="K1240" s="9" t="s">
        <v>25328</v>
      </c>
      <c r="L1240" s="9" t="s">
        <v>19483</v>
      </c>
      <c r="M1240" s="9" t="s">
        <v>17778</v>
      </c>
      <c r="N1240" s="9" t="s">
        <v>17746</v>
      </c>
      <c r="O1240" s="9" t="s">
        <v>18855</v>
      </c>
      <c r="P1240" s="9" t="s">
        <v>17748</v>
      </c>
      <c r="Q1240" s="11" t="s">
        <v>17762</v>
      </c>
      <c r="R1240" s="11" t="s">
        <v>17762</v>
      </c>
      <c r="S1240" s="11" t="s">
        <v>17750</v>
      </c>
    </row>
    <row r="1241" spans="1:19" x14ac:dyDescent="0.2">
      <c r="A1241" s="11" t="s">
        <v>25329</v>
      </c>
      <c r="B1241" s="9" t="s">
        <v>25330</v>
      </c>
      <c r="C1241" s="9" t="s">
        <v>25331</v>
      </c>
      <c r="D1241" s="9" t="s">
        <v>25332</v>
      </c>
      <c r="E1241" s="9" t="s">
        <v>17740</v>
      </c>
      <c r="F1241" s="9" t="s">
        <v>17741</v>
      </c>
      <c r="G1241" s="9" t="s">
        <v>17740</v>
      </c>
      <c r="H1241" s="11" t="s">
        <v>25333</v>
      </c>
      <c r="I1241" s="11" t="s">
        <v>25334</v>
      </c>
      <c r="J1241" s="11" t="s">
        <v>25334</v>
      </c>
      <c r="K1241" s="9" t="s">
        <v>25335</v>
      </c>
      <c r="L1241" s="9" t="s">
        <v>17759</v>
      </c>
      <c r="M1241" s="9" t="s">
        <v>18250</v>
      </c>
      <c r="N1241" s="9" t="s">
        <v>17746</v>
      </c>
      <c r="O1241" s="9" t="s">
        <v>24046</v>
      </c>
      <c r="P1241" s="9" t="s">
        <v>17748</v>
      </c>
      <c r="Q1241" s="11" t="s">
        <v>18272</v>
      </c>
      <c r="R1241" s="11" t="s">
        <v>18272</v>
      </c>
      <c r="S1241" s="11" t="s">
        <v>17750</v>
      </c>
    </row>
    <row r="1242" spans="1:19" x14ac:dyDescent="0.2">
      <c r="A1242" s="11" t="s">
        <v>25336</v>
      </c>
      <c r="B1242" s="9" t="s">
        <v>25337</v>
      </c>
      <c r="C1242" s="9" t="s">
        <v>25338</v>
      </c>
      <c r="D1242" s="9" t="s">
        <v>25339</v>
      </c>
      <c r="E1242" s="9" t="s">
        <v>17740</v>
      </c>
      <c r="F1242" s="9" t="s">
        <v>17741</v>
      </c>
      <c r="G1242" s="9" t="s">
        <v>17740</v>
      </c>
      <c r="H1242" s="11" t="s">
        <v>1112</v>
      </c>
      <c r="I1242" s="11" t="s">
        <v>1111</v>
      </c>
      <c r="J1242" s="11" t="s">
        <v>1111</v>
      </c>
      <c r="K1242" s="9" t="s">
        <v>17758</v>
      </c>
      <c r="L1242" s="9" t="s">
        <v>17759</v>
      </c>
      <c r="M1242" s="9" t="s">
        <v>18513</v>
      </c>
      <c r="N1242" s="9" t="s">
        <v>17746</v>
      </c>
      <c r="O1242" s="9" t="s">
        <v>19127</v>
      </c>
      <c r="P1242" s="9" t="s">
        <v>17748</v>
      </c>
      <c r="Q1242" s="11" t="s">
        <v>18960</v>
      </c>
      <c r="R1242" s="11" t="s">
        <v>18960</v>
      </c>
      <c r="S1242" s="11" t="s">
        <v>17750</v>
      </c>
    </row>
    <row r="1243" spans="1:19" x14ac:dyDescent="0.2">
      <c r="A1243" s="11" t="s">
        <v>25340</v>
      </c>
      <c r="B1243" s="9" t="s">
        <v>25341</v>
      </c>
      <c r="C1243" s="9" t="s">
        <v>25342</v>
      </c>
      <c r="D1243" s="9" t="s">
        <v>25343</v>
      </c>
      <c r="E1243" s="9" t="s">
        <v>17740</v>
      </c>
      <c r="F1243" s="9" t="s">
        <v>17741</v>
      </c>
      <c r="G1243" s="9" t="s">
        <v>17740</v>
      </c>
      <c r="H1243" s="11" t="s">
        <v>5370</v>
      </c>
      <c r="I1243" s="11" t="s">
        <v>5369</v>
      </c>
      <c r="J1243" s="11" t="s">
        <v>5369</v>
      </c>
      <c r="K1243" s="9" t="s">
        <v>19952</v>
      </c>
      <c r="L1243" s="9" t="s">
        <v>17759</v>
      </c>
      <c r="M1243" s="9" t="s">
        <v>22360</v>
      </c>
      <c r="N1243" s="9" t="s">
        <v>17746</v>
      </c>
      <c r="O1243" s="9" t="s">
        <v>19939</v>
      </c>
      <c r="P1243" s="9" t="s">
        <v>17748</v>
      </c>
      <c r="Q1243" s="11" t="s">
        <v>18080</v>
      </c>
      <c r="R1243" s="11" t="s">
        <v>18080</v>
      </c>
      <c r="S1243" s="11" t="s">
        <v>17750</v>
      </c>
    </row>
    <row r="1244" spans="1:19" x14ac:dyDescent="0.2">
      <c r="A1244" s="11" t="s">
        <v>25344</v>
      </c>
      <c r="B1244" s="9" t="s">
        <v>25345</v>
      </c>
      <c r="C1244" s="9" t="s">
        <v>25346</v>
      </c>
      <c r="D1244" s="9" t="s">
        <v>25347</v>
      </c>
      <c r="E1244" s="9" t="s">
        <v>17740</v>
      </c>
      <c r="F1244" s="9" t="s">
        <v>17741</v>
      </c>
      <c r="G1244" s="9" t="s">
        <v>17740</v>
      </c>
      <c r="H1244" s="11" t="s">
        <v>12296</v>
      </c>
      <c r="I1244" s="11" t="s">
        <v>12295</v>
      </c>
      <c r="J1244" s="11" t="s">
        <v>12295</v>
      </c>
      <c r="K1244" s="9" t="s">
        <v>5339</v>
      </c>
      <c r="L1244" s="9" t="s">
        <v>17759</v>
      </c>
      <c r="M1244" s="9" t="s">
        <v>20970</v>
      </c>
      <c r="N1244" s="9" t="s">
        <v>17746</v>
      </c>
      <c r="O1244" s="9" t="s">
        <v>7269</v>
      </c>
      <c r="P1244" s="9" t="s">
        <v>17748</v>
      </c>
      <c r="Q1244" s="11" t="s">
        <v>17762</v>
      </c>
      <c r="R1244" s="11" t="s">
        <v>17762</v>
      </c>
      <c r="S1244" s="11" t="s">
        <v>17750</v>
      </c>
    </row>
    <row r="1245" spans="1:19" x14ac:dyDescent="0.2">
      <c r="A1245" s="11" t="s">
        <v>25348</v>
      </c>
      <c r="B1245" s="9" t="s">
        <v>25349</v>
      </c>
      <c r="C1245" s="9" t="s">
        <v>25350</v>
      </c>
      <c r="D1245" s="9" t="s">
        <v>25351</v>
      </c>
      <c r="E1245" s="9" t="s">
        <v>17740</v>
      </c>
      <c r="F1245" s="9" t="s">
        <v>25352</v>
      </c>
      <c r="G1245" s="9" t="s">
        <v>17740</v>
      </c>
      <c r="H1245" s="11" t="s">
        <v>17741</v>
      </c>
      <c r="I1245" s="11" t="s">
        <v>7450</v>
      </c>
      <c r="J1245" s="11" t="s">
        <v>7450</v>
      </c>
      <c r="K1245" s="9" t="s">
        <v>25353</v>
      </c>
      <c r="L1245" s="9" t="s">
        <v>18158</v>
      </c>
      <c r="M1245" s="9" t="s">
        <v>18250</v>
      </c>
      <c r="N1245" s="9" t="s">
        <v>17746</v>
      </c>
      <c r="O1245" s="9" t="s">
        <v>20498</v>
      </c>
      <c r="P1245" s="9" t="s">
        <v>17748</v>
      </c>
      <c r="Q1245" s="11" t="s">
        <v>18272</v>
      </c>
      <c r="R1245" s="11" t="s">
        <v>18272</v>
      </c>
      <c r="S1245" s="11" t="s">
        <v>17750</v>
      </c>
    </row>
    <row r="1246" spans="1:19" x14ac:dyDescent="0.2">
      <c r="A1246" s="11" t="s">
        <v>25354</v>
      </c>
      <c r="B1246" s="9" t="s">
        <v>25355</v>
      </c>
      <c r="C1246" s="9" t="s">
        <v>25356</v>
      </c>
      <c r="D1246" s="9" t="s">
        <v>25357</v>
      </c>
      <c r="E1246" s="9" t="s">
        <v>17740</v>
      </c>
      <c r="F1246" s="9" t="s">
        <v>25358</v>
      </c>
      <c r="G1246" s="9" t="s">
        <v>17740</v>
      </c>
      <c r="H1246" s="11" t="s">
        <v>25359</v>
      </c>
      <c r="I1246" s="11" t="s">
        <v>25360</v>
      </c>
      <c r="J1246" s="11" t="s">
        <v>25360</v>
      </c>
      <c r="K1246" s="9" t="s">
        <v>25361</v>
      </c>
      <c r="L1246" s="9" t="s">
        <v>17759</v>
      </c>
      <c r="M1246" s="9" t="s">
        <v>17769</v>
      </c>
      <c r="N1246" s="9" t="s">
        <v>17746</v>
      </c>
      <c r="O1246" s="9" t="s">
        <v>25362</v>
      </c>
      <c r="P1246" s="9" t="s">
        <v>17748</v>
      </c>
      <c r="Q1246" s="11" t="s">
        <v>18678</v>
      </c>
      <c r="R1246" s="11" t="s">
        <v>18678</v>
      </c>
      <c r="S1246" s="11" t="s">
        <v>17750</v>
      </c>
    </row>
    <row r="1247" spans="1:19" x14ac:dyDescent="0.2">
      <c r="A1247" s="11" t="s">
        <v>25363</v>
      </c>
      <c r="B1247" s="9" t="s">
        <v>25364</v>
      </c>
      <c r="C1247" s="9" t="s">
        <v>25365</v>
      </c>
      <c r="D1247" s="9" t="s">
        <v>25366</v>
      </c>
      <c r="E1247" s="9" t="s">
        <v>17748</v>
      </c>
      <c r="F1247" s="9" t="s">
        <v>25367</v>
      </c>
      <c r="G1247" s="9" t="s">
        <v>17740</v>
      </c>
      <c r="H1247" s="11" t="s">
        <v>25368</v>
      </c>
      <c r="I1247" s="11" t="s">
        <v>25369</v>
      </c>
      <c r="J1247" s="11" t="s">
        <v>25369</v>
      </c>
      <c r="K1247" s="9" t="s">
        <v>25370</v>
      </c>
      <c r="L1247" s="9" t="s">
        <v>17759</v>
      </c>
      <c r="M1247" s="9" t="s">
        <v>17769</v>
      </c>
      <c r="N1247" s="9" t="s">
        <v>17746</v>
      </c>
      <c r="O1247" s="9" t="s">
        <v>17848</v>
      </c>
      <c r="P1247" s="9" t="s">
        <v>17748</v>
      </c>
      <c r="Q1247" s="11" t="s">
        <v>17784</v>
      </c>
      <c r="R1247" s="11" t="s">
        <v>17784</v>
      </c>
      <c r="S1247" s="11" t="s">
        <v>17750</v>
      </c>
    </row>
    <row r="1248" spans="1:19" x14ac:dyDescent="0.2">
      <c r="A1248" s="11" t="s">
        <v>25371</v>
      </c>
      <c r="B1248" s="9" t="s">
        <v>25372</v>
      </c>
      <c r="C1248" s="9" t="s">
        <v>25373</v>
      </c>
      <c r="D1248" s="9" t="s">
        <v>25374</v>
      </c>
      <c r="E1248" s="9" t="s">
        <v>17740</v>
      </c>
      <c r="F1248" s="9" t="s">
        <v>25375</v>
      </c>
      <c r="G1248" s="9" t="s">
        <v>17740</v>
      </c>
      <c r="H1248" s="11" t="s">
        <v>25376</v>
      </c>
      <c r="I1248" s="11" t="s">
        <v>25377</v>
      </c>
      <c r="J1248" s="11" t="s">
        <v>25377</v>
      </c>
      <c r="K1248" s="9" t="s">
        <v>291</v>
      </c>
      <c r="L1248" s="9" t="s">
        <v>17744</v>
      </c>
      <c r="M1248" s="9" t="s">
        <v>25378</v>
      </c>
      <c r="N1248" s="9" t="s">
        <v>17746</v>
      </c>
      <c r="O1248" s="9" t="s">
        <v>19930</v>
      </c>
      <c r="P1248" s="9" t="s">
        <v>17748</v>
      </c>
      <c r="Q1248" s="11" t="s">
        <v>18364</v>
      </c>
      <c r="R1248" s="11" t="s">
        <v>18364</v>
      </c>
      <c r="S1248" s="11" t="s">
        <v>17750</v>
      </c>
    </row>
    <row r="1249" spans="1:19" x14ac:dyDescent="0.2">
      <c r="A1249" s="11" t="s">
        <v>25379</v>
      </c>
      <c r="B1249" s="9" t="s">
        <v>25380</v>
      </c>
      <c r="C1249" s="9" t="s">
        <v>25381</v>
      </c>
      <c r="D1249" s="9" t="s">
        <v>25382</v>
      </c>
      <c r="E1249" s="9" t="s">
        <v>17740</v>
      </c>
      <c r="F1249" s="9" t="s">
        <v>17741</v>
      </c>
      <c r="G1249" s="9" t="s">
        <v>17740</v>
      </c>
      <c r="H1249" s="11" t="s">
        <v>8813</v>
      </c>
      <c r="I1249" s="11" t="s">
        <v>8812</v>
      </c>
      <c r="J1249" s="11" t="s">
        <v>8812</v>
      </c>
      <c r="K1249" s="9" t="s">
        <v>91</v>
      </c>
      <c r="L1249" s="9" t="s">
        <v>17759</v>
      </c>
      <c r="M1249" s="9" t="s">
        <v>25383</v>
      </c>
      <c r="N1249" s="9" t="s">
        <v>17746</v>
      </c>
      <c r="O1249" s="9" t="s">
        <v>25384</v>
      </c>
      <c r="P1249" s="9" t="s">
        <v>17748</v>
      </c>
      <c r="Q1249" s="11" t="s">
        <v>18356</v>
      </c>
      <c r="R1249" s="11" t="s">
        <v>18356</v>
      </c>
      <c r="S1249" s="11" t="s">
        <v>17750</v>
      </c>
    </row>
    <row r="1250" spans="1:19" x14ac:dyDescent="0.2">
      <c r="A1250" s="11" t="s">
        <v>25385</v>
      </c>
      <c r="B1250" s="9" t="s">
        <v>25386</v>
      </c>
      <c r="C1250" s="9" t="s">
        <v>25387</v>
      </c>
      <c r="D1250" s="9" t="s">
        <v>25388</v>
      </c>
      <c r="E1250" s="9" t="s">
        <v>17748</v>
      </c>
      <c r="F1250" s="9" t="s">
        <v>25389</v>
      </c>
      <c r="G1250" s="9" t="s">
        <v>17740</v>
      </c>
      <c r="H1250" s="11" t="s">
        <v>15354</v>
      </c>
      <c r="I1250" s="11" t="s">
        <v>15353</v>
      </c>
      <c r="J1250" s="11" t="s">
        <v>15354</v>
      </c>
      <c r="K1250" s="9" t="s">
        <v>91</v>
      </c>
      <c r="L1250" s="9" t="s">
        <v>17759</v>
      </c>
      <c r="M1250" s="9" t="s">
        <v>17769</v>
      </c>
      <c r="N1250" s="9" t="s">
        <v>17746</v>
      </c>
      <c r="O1250" s="9" t="s">
        <v>18363</v>
      </c>
      <c r="P1250" s="9" t="s">
        <v>17748</v>
      </c>
      <c r="Q1250" s="11" t="s">
        <v>17900</v>
      </c>
      <c r="R1250" s="11" t="s">
        <v>17900</v>
      </c>
      <c r="S1250" s="11" t="s">
        <v>17750</v>
      </c>
    </row>
    <row r="1251" spans="1:19" x14ac:dyDescent="0.2">
      <c r="A1251" s="11" t="s">
        <v>25390</v>
      </c>
      <c r="B1251" s="9" t="s">
        <v>25391</v>
      </c>
      <c r="C1251" s="9" t="s">
        <v>25392</v>
      </c>
      <c r="D1251" s="9" t="s">
        <v>25393</v>
      </c>
      <c r="E1251" s="9" t="s">
        <v>17740</v>
      </c>
      <c r="F1251" s="9" t="s">
        <v>25394</v>
      </c>
      <c r="G1251" s="9" t="s">
        <v>17740</v>
      </c>
      <c r="H1251" s="11" t="s">
        <v>11280</v>
      </c>
      <c r="I1251" s="11" t="s">
        <v>11279</v>
      </c>
      <c r="J1251" s="11" t="s">
        <v>11279</v>
      </c>
      <c r="K1251" s="9" t="s">
        <v>11281</v>
      </c>
      <c r="L1251" s="9" t="s">
        <v>17759</v>
      </c>
      <c r="M1251" s="9" t="s">
        <v>17760</v>
      </c>
      <c r="N1251" s="9" t="s">
        <v>17746</v>
      </c>
      <c r="O1251" s="9" t="s">
        <v>17993</v>
      </c>
      <c r="P1251" s="9" t="s">
        <v>17748</v>
      </c>
      <c r="Q1251" s="11" t="s">
        <v>17858</v>
      </c>
      <c r="R1251" s="11" t="s">
        <v>17858</v>
      </c>
      <c r="S1251" s="11" t="s">
        <v>17750</v>
      </c>
    </row>
    <row r="1252" spans="1:19" x14ac:dyDescent="0.2">
      <c r="A1252" s="11" t="s">
        <v>25395</v>
      </c>
      <c r="B1252" s="9" t="s">
        <v>25396</v>
      </c>
      <c r="C1252" s="9" t="s">
        <v>25397</v>
      </c>
      <c r="D1252" s="9" t="s">
        <v>25398</v>
      </c>
      <c r="E1252" s="9" t="s">
        <v>17748</v>
      </c>
      <c r="F1252" s="9" t="s">
        <v>25399</v>
      </c>
      <c r="G1252" s="9" t="s">
        <v>17740</v>
      </c>
      <c r="H1252" s="11" t="s">
        <v>17741</v>
      </c>
      <c r="I1252" s="11" t="s">
        <v>8848</v>
      </c>
      <c r="J1252" s="11" t="s">
        <v>8848</v>
      </c>
      <c r="K1252" s="9" t="s">
        <v>25400</v>
      </c>
      <c r="L1252" s="9" t="s">
        <v>17744</v>
      </c>
      <c r="M1252" s="9" t="s">
        <v>17769</v>
      </c>
      <c r="N1252" s="9" t="s">
        <v>17746</v>
      </c>
      <c r="O1252" s="9" t="s">
        <v>17993</v>
      </c>
      <c r="P1252" s="9" t="s">
        <v>17748</v>
      </c>
      <c r="Q1252" s="11" t="s">
        <v>18922</v>
      </c>
      <c r="R1252" s="11" t="s">
        <v>18922</v>
      </c>
      <c r="S1252" s="11" t="s">
        <v>17750</v>
      </c>
    </row>
    <row r="1253" spans="1:19" x14ac:dyDescent="0.2">
      <c r="A1253" s="11" t="s">
        <v>25401</v>
      </c>
      <c r="B1253" s="9" t="s">
        <v>25402</v>
      </c>
      <c r="C1253" s="9" t="s">
        <v>25403</v>
      </c>
      <c r="D1253" s="9" t="s">
        <v>25404</v>
      </c>
      <c r="E1253" s="9" t="s">
        <v>17740</v>
      </c>
      <c r="F1253" s="9" t="s">
        <v>17741</v>
      </c>
      <c r="G1253" s="9" t="s">
        <v>17740</v>
      </c>
      <c r="H1253" s="11" t="s">
        <v>7234</v>
      </c>
      <c r="I1253" s="11" t="s">
        <v>7233</v>
      </c>
      <c r="J1253" s="11" t="s">
        <v>7233</v>
      </c>
      <c r="K1253" s="9" t="s">
        <v>22893</v>
      </c>
      <c r="L1253" s="9" t="s">
        <v>20359</v>
      </c>
      <c r="M1253" s="9" t="s">
        <v>19314</v>
      </c>
      <c r="N1253" s="9" t="s">
        <v>17746</v>
      </c>
      <c r="O1253" s="9" t="s">
        <v>25405</v>
      </c>
      <c r="P1253" s="9" t="s">
        <v>17748</v>
      </c>
      <c r="Q1253" s="11" t="s">
        <v>19361</v>
      </c>
      <c r="R1253" s="11" t="s">
        <v>19361</v>
      </c>
      <c r="S1253" s="11" t="s">
        <v>17750</v>
      </c>
    </row>
    <row r="1254" spans="1:19" x14ac:dyDescent="0.2">
      <c r="A1254" s="11" t="s">
        <v>25406</v>
      </c>
      <c r="B1254" s="9" t="s">
        <v>25407</v>
      </c>
      <c r="C1254" s="9" t="s">
        <v>25408</v>
      </c>
      <c r="D1254" s="9" t="s">
        <v>25409</v>
      </c>
      <c r="E1254" s="9" t="s">
        <v>17740</v>
      </c>
      <c r="F1254" s="9" t="s">
        <v>17741</v>
      </c>
      <c r="G1254" s="9" t="s">
        <v>17740</v>
      </c>
      <c r="H1254" s="11" t="s">
        <v>4561</v>
      </c>
      <c r="I1254" s="11" t="s">
        <v>4560</v>
      </c>
      <c r="J1254" s="11" t="s">
        <v>4560</v>
      </c>
      <c r="K1254" s="9" t="s">
        <v>25410</v>
      </c>
      <c r="L1254" s="9" t="s">
        <v>17759</v>
      </c>
      <c r="M1254" s="9" t="s">
        <v>17760</v>
      </c>
      <c r="N1254" s="9" t="s">
        <v>17746</v>
      </c>
      <c r="O1254" s="9" t="s">
        <v>18746</v>
      </c>
      <c r="P1254" s="9" t="s">
        <v>17748</v>
      </c>
      <c r="Q1254" s="11" t="s">
        <v>18678</v>
      </c>
      <c r="R1254" s="11" t="s">
        <v>18678</v>
      </c>
      <c r="S1254" s="11" t="s">
        <v>17750</v>
      </c>
    </row>
    <row r="1255" spans="1:19" x14ac:dyDescent="0.2">
      <c r="A1255" s="11" t="s">
        <v>25411</v>
      </c>
      <c r="B1255" s="9" t="s">
        <v>25412</v>
      </c>
      <c r="C1255" s="9" t="s">
        <v>25413</v>
      </c>
      <c r="D1255" s="9" t="s">
        <v>25414</v>
      </c>
      <c r="E1255" s="9" t="s">
        <v>17740</v>
      </c>
      <c r="F1255" s="9" t="s">
        <v>17741</v>
      </c>
      <c r="G1255" s="9" t="s">
        <v>17740</v>
      </c>
      <c r="H1255" s="11" t="s">
        <v>17741</v>
      </c>
      <c r="I1255" s="11" t="s">
        <v>1162</v>
      </c>
      <c r="J1255" s="11" t="s">
        <v>1162</v>
      </c>
      <c r="K1255" s="9" t="s">
        <v>25415</v>
      </c>
      <c r="L1255" s="9" t="s">
        <v>18158</v>
      </c>
      <c r="M1255" s="9" t="s">
        <v>17817</v>
      </c>
      <c r="N1255" s="9" t="s">
        <v>17746</v>
      </c>
      <c r="O1255" s="9" t="s">
        <v>7269</v>
      </c>
      <c r="P1255" s="9" t="s">
        <v>17748</v>
      </c>
      <c r="Q1255" s="11" t="s">
        <v>18243</v>
      </c>
      <c r="R1255" s="11" t="s">
        <v>18243</v>
      </c>
      <c r="S1255" s="11" t="s">
        <v>17750</v>
      </c>
    </row>
    <row r="1256" spans="1:19" x14ac:dyDescent="0.2">
      <c r="A1256" s="11" t="s">
        <v>25416</v>
      </c>
      <c r="B1256" s="9" t="s">
        <v>25417</v>
      </c>
      <c r="C1256" s="9" t="s">
        <v>25418</v>
      </c>
      <c r="D1256" s="9" t="s">
        <v>25419</v>
      </c>
      <c r="E1256" s="9" t="s">
        <v>17740</v>
      </c>
      <c r="F1256" s="9" t="s">
        <v>25420</v>
      </c>
      <c r="G1256" s="9" t="s">
        <v>17740</v>
      </c>
      <c r="H1256" s="11" t="s">
        <v>1220</v>
      </c>
      <c r="I1256" s="11" t="s">
        <v>1219</v>
      </c>
      <c r="J1256" s="11" t="s">
        <v>1219</v>
      </c>
      <c r="K1256" s="9" t="s">
        <v>91</v>
      </c>
      <c r="L1256" s="9" t="s">
        <v>18001</v>
      </c>
      <c r="M1256" s="9" t="s">
        <v>17760</v>
      </c>
      <c r="N1256" s="9" t="s">
        <v>17746</v>
      </c>
      <c r="O1256" s="9" t="s">
        <v>25421</v>
      </c>
      <c r="P1256" s="9" t="s">
        <v>17748</v>
      </c>
      <c r="Q1256" s="11" t="s">
        <v>17771</v>
      </c>
      <c r="R1256" s="11" t="s">
        <v>17771</v>
      </c>
      <c r="S1256" s="11" t="s">
        <v>17750</v>
      </c>
    </row>
    <row r="1257" spans="1:19" x14ac:dyDescent="0.2">
      <c r="A1257" s="11" t="s">
        <v>25422</v>
      </c>
      <c r="B1257" s="9" t="s">
        <v>25423</v>
      </c>
      <c r="C1257" s="9" t="s">
        <v>25424</v>
      </c>
      <c r="D1257" s="9" t="s">
        <v>25425</v>
      </c>
      <c r="E1257" s="9" t="s">
        <v>17740</v>
      </c>
      <c r="F1257" s="9" t="s">
        <v>17741</v>
      </c>
      <c r="G1257" s="9" t="s">
        <v>17740</v>
      </c>
      <c r="H1257" s="11" t="s">
        <v>17741</v>
      </c>
      <c r="I1257" s="11" t="s">
        <v>1164</v>
      </c>
      <c r="J1257" s="11" t="s">
        <v>1164</v>
      </c>
      <c r="K1257" s="9" t="s">
        <v>25426</v>
      </c>
      <c r="L1257" s="9" t="s">
        <v>18158</v>
      </c>
      <c r="M1257" s="9" t="s">
        <v>17769</v>
      </c>
      <c r="N1257" s="9" t="s">
        <v>17746</v>
      </c>
      <c r="O1257" s="9" t="s">
        <v>25427</v>
      </c>
      <c r="P1257" s="9" t="s">
        <v>17748</v>
      </c>
      <c r="Q1257" s="11" t="s">
        <v>19515</v>
      </c>
      <c r="R1257" s="11" t="s">
        <v>19515</v>
      </c>
      <c r="S1257" s="11" t="s">
        <v>17750</v>
      </c>
    </row>
    <row r="1258" spans="1:19" x14ac:dyDescent="0.2">
      <c r="A1258" s="11" t="s">
        <v>25428</v>
      </c>
      <c r="B1258" s="9" t="s">
        <v>25429</v>
      </c>
      <c r="C1258" s="9" t="s">
        <v>25430</v>
      </c>
      <c r="D1258" s="9" t="s">
        <v>25431</v>
      </c>
      <c r="E1258" s="9" t="s">
        <v>17740</v>
      </c>
      <c r="F1258" s="9" t="s">
        <v>17741</v>
      </c>
      <c r="G1258" s="9" t="s">
        <v>17740</v>
      </c>
      <c r="H1258" s="11" t="s">
        <v>1160</v>
      </c>
      <c r="I1258" s="11" t="s">
        <v>1159</v>
      </c>
      <c r="J1258" s="11" t="s">
        <v>1159</v>
      </c>
      <c r="K1258" s="9" t="s">
        <v>17758</v>
      </c>
      <c r="L1258" s="9" t="s">
        <v>17759</v>
      </c>
      <c r="M1258" s="9" t="s">
        <v>18065</v>
      </c>
      <c r="N1258" s="9" t="s">
        <v>17746</v>
      </c>
      <c r="O1258" s="9" t="s">
        <v>3475</v>
      </c>
      <c r="P1258" s="9" t="s">
        <v>17748</v>
      </c>
      <c r="Q1258" s="11" t="s">
        <v>19026</v>
      </c>
      <c r="R1258" s="11" t="s">
        <v>19026</v>
      </c>
      <c r="S1258" s="11" t="s">
        <v>17750</v>
      </c>
    </row>
    <row r="1259" spans="1:19" x14ac:dyDescent="0.2">
      <c r="A1259" s="11" t="s">
        <v>25432</v>
      </c>
      <c r="B1259" s="9" t="s">
        <v>25433</v>
      </c>
      <c r="C1259" s="9" t="s">
        <v>25434</v>
      </c>
      <c r="D1259" s="9" t="s">
        <v>25435</v>
      </c>
      <c r="E1259" s="9" t="s">
        <v>17748</v>
      </c>
      <c r="F1259" s="9" t="s">
        <v>25436</v>
      </c>
      <c r="G1259" s="9" t="s">
        <v>17740</v>
      </c>
      <c r="H1259" s="11" t="s">
        <v>8062</v>
      </c>
      <c r="I1259" s="11" t="s">
        <v>8061</v>
      </c>
      <c r="J1259" s="11" t="s">
        <v>8061</v>
      </c>
      <c r="K1259" s="9" t="s">
        <v>91</v>
      </c>
      <c r="L1259" s="9" t="s">
        <v>18001</v>
      </c>
      <c r="M1259" s="9" t="s">
        <v>25437</v>
      </c>
      <c r="N1259" s="9" t="s">
        <v>17746</v>
      </c>
      <c r="O1259" s="9" t="s">
        <v>19127</v>
      </c>
      <c r="P1259" s="9" t="s">
        <v>17748</v>
      </c>
      <c r="Q1259" s="11" t="s">
        <v>18356</v>
      </c>
      <c r="R1259" s="11" t="s">
        <v>18356</v>
      </c>
      <c r="S1259" s="11" t="s">
        <v>17750</v>
      </c>
    </row>
    <row r="1260" spans="1:19" x14ac:dyDescent="0.2">
      <c r="A1260" s="11" t="s">
        <v>25438</v>
      </c>
      <c r="B1260" s="9" t="s">
        <v>25439</v>
      </c>
      <c r="C1260" s="9" t="s">
        <v>25440</v>
      </c>
      <c r="D1260" s="9" t="s">
        <v>25441</v>
      </c>
      <c r="E1260" s="9" t="s">
        <v>17740</v>
      </c>
      <c r="F1260" s="9" t="s">
        <v>17741</v>
      </c>
      <c r="G1260" s="9" t="s">
        <v>17740</v>
      </c>
      <c r="H1260" s="11" t="s">
        <v>25442</v>
      </c>
      <c r="I1260" s="11" t="s">
        <v>25443</v>
      </c>
      <c r="J1260" s="11" t="s">
        <v>25443</v>
      </c>
      <c r="K1260" s="9" t="s">
        <v>25444</v>
      </c>
      <c r="L1260" s="9" t="s">
        <v>17744</v>
      </c>
      <c r="M1260" s="9" t="s">
        <v>19546</v>
      </c>
      <c r="N1260" s="9" t="s">
        <v>17746</v>
      </c>
      <c r="O1260" s="9" t="s">
        <v>21109</v>
      </c>
      <c r="P1260" s="9" t="s">
        <v>17748</v>
      </c>
      <c r="Q1260" s="11" t="s">
        <v>18364</v>
      </c>
      <c r="R1260" s="11" t="s">
        <v>18364</v>
      </c>
      <c r="S1260" s="11" t="s">
        <v>17750</v>
      </c>
    </row>
    <row r="1261" spans="1:19" x14ac:dyDescent="0.2">
      <c r="A1261" s="11" t="s">
        <v>25445</v>
      </c>
      <c r="B1261" s="9" t="s">
        <v>25446</v>
      </c>
      <c r="C1261" s="9" t="s">
        <v>25447</v>
      </c>
      <c r="D1261" s="9" t="s">
        <v>25448</v>
      </c>
      <c r="E1261" s="9" t="s">
        <v>17748</v>
      </c>
      <c r="F1261" s="9" t="s">
        <v>25449</v>
      </c>
      <c r="G1261" s="9" t="s">
        <v>17740</v>
      </c>
      <c r="H1261" s="11" t="s">
        <v>12047</v>
      </c>
      <c r="I1261" s="11" t="s">
        <v>12046</v>
      </c>
      <c r="J1261" s="11" t="s">
        <v>12046</v>
      </c>
      <c r="K1261" s="9" t="s">
        <v>25450</v>
      </c>
      <c r="L1261" s="9" t="s">
        <v>18158</v>
      </c>
      <c r="M1261" s="9" t="s">
        <v>17760</v>
      </c>
      <c r="N1261" s="9" t="s">
        <v>17746</v>
      </c>
      <c r="O1261" s="9" t="s">
        <v>19221</v>
      </c>
      <c r="P1261" s="9" t="s">
        <v>17748</v>
      </c>
      <c r="Q1261" s="11" t="s">
        <v>17900</v>
      </c>
      <c r="R1261" s="11" t="s">
        <v>17900</v>
      </c>
      <c r="S1261" s="11" t="s">
        <v>17750</v>
      </c>
    </row>
    <row r="1262" spans="1:19" x14ac:dyDescent="0.2">
      <c r="A1262" s="11" t="s">
        <v>25451</v>
      </c>
      <c r="B1262" s="9" t="s">
        <v>25452</v>
      </c>
      <c r="C1262" s="9" t="s">
        <v>25453</v>
      </c>
      <c r="D1262" s="9" t="s">
        <v>25454</v>
      </c>
      <c r="E1262" s="9" t="s">
        <v>17740</v>
      </c>
      <c r="F1262" s="9" t="s">
        <v>17741</v>
      </c>
      <c r="G1262" s="9" t="s">
        <v>17740</v>
      </c>
      <c r="H1262" s="11" t="s">
        <v>17741</v>
      </c>
      <c r="I1262" s="11" t="s">
        <v>13322</v>
      </c>
      <c r="J1262" s="11" t="s">
        <v>13322</v>
      </c>
      <c r="K1262" s="9" t="s">
        <v>25455</v>
      </c>
      <c r="L1262" s="9" t="s">
        <v>17759</v>
      </c>
      <c r="M1262" s="9" t="s">
        <v>18745</v>
      </c>
      <c r="N1262" s="9" t="s">
        <v>17746</v>
      </c>
      <c r="O1262" s="9" t="s">
        <v>3176</v>
      </c>
      <c r="P1262" s="9" t="s">
        <v>17748</v>
      </c>
      <c r="Q1262" s="11" t="s">
        <v>18470</v>
      </c>
      <c r="R1262" s="11" t="s">
        <v>18470</v>
      </c>
      <c r="S1262" s="11" t="s">
        <v>17750</v>
      </c>
    </row>
    <row r="1263" spans="1:19" x14ac:dyDescent="0.2">
      <c r="A1263" s="11" t="s">
        <v>25456</v>
      </c>
      <c r="B1263" s="9" t="s">
        <v>25457</v>
      </c>
      <c r="C1263" s="9" t="s">
        <v>25458</v>
      </c>
      <c r="D1263" s="9" t="s">
        <v>25459</v>
      </c>
      <c r="E1263" s="9" t="s">
        <v>17740</v>
      </c>
      <c r="F1263" s="9" t="s">
        <v>17741</v>
      </c>
      <c r="G1263" s="9" t="s">
        <v>17740</v>
      </c>
      <c r="H1263" s="11" t="s">
        <v>1217</v>
      </c>
      <c r="I1263" s="11" t="s">
        <v>1216</v>
      </c>
      <c r="J1263" s="11" t="s">
        <v>1216</v>
      </c>
      <c r="K1263" s="9" t="s">
        <v>25460</v>
      </c>
      <c r="L1263" s="9" t="s">
        <v>17759</v>
      </c>
      <c r="M1263" s="9" t="s">
        <v>17817</v>
      </c>
      <c r="N1263" s="9" t="s">
        <v>17746</v>
      </c>
      <c r="O1263" s="9" t="s">
        <v>20618</v>
      </c>
      <c r="P1263" s="9" t="s">
        <v>17748</v>
      </c>
      <c r="Q1263" s="11" t="s">
        <v>19026</v>
      </c>
      <c r="R1263" s="11" t="s">
        <v>19026</v>
      </c>
      <c r="S1263" s="11" t="s">
        <v>17750</v>
      </c>
    </row>
    <row r="1264" spans="1:19" x14ac:dyDescent="0.2">
      <c r="A1264" s="11" t="s">
        <v>25461</v>
      </c>
      <c r="B1264" s="9" t="s">
        <v>25462</v>
      </c>
      <c r="C1264" s="9" t="s">
        <v>25463</v>
      </c>
      <c r="D1264" s="9" t="s">
        <v>25464</v>
      </c>
      <c r="E1264" s="9" t="s">
        <v>17740</v>
      </c>
      <c r="F1264" s="9" t="s">
        <v>17741</v>
      </c>
      <c r="G1264" s="9" t="s">
        <v>17740</v>
      </c>
      <c r="H1264" s="11" t="s">
        <v>25465</v>
      </c>
      <c r="I1264" s="11" t="s">
        <v>25466</v>
      </c>
      <c r="J1264" s="11" t="s">
        <v>25466</v>
      </c>
      <c r="K1264" s="9" t="s">
        <v>17758</v>
      </c>
      <c r="L1264" s="9" t="s">
        <v>17759</v>
      </c>
      <c r="M1264" s="9" t="s">
        <v>17769</v>
      </c>
      <c r="N1264" s="9" t="s">
        <v>17746</v>
      </c>
      <c r="O1264" s="9" t="s">
        <v>17800</v>
      </c>
      <c r="P1264" s="9" t="s">
        <v>17748</v>
      </c>
      <c r="Q1264" s="11" t="s">
        <v>18364</v>
      </c>
      <c r="R1264" s="11" t="s">
        <v>18364</v>
      </c>
      <c r="S1264" s="11" t="s">
        <v>17750</v>
      </c>
    </row>
    <row r="1265" spans="1:19" x14ac:dyDescent="0.2">
      <c r="A1265" s="11" t="s">
        <v>25467</v>
      </c>
      <c r="B1265" s="9" t="s">
        <v>25468</v>
      </c>
      <c r="C1265" s="9" t="s">
        <v>25469</v>
      </c>
      <c r="D1265" s="9" t="s">
        <v>25470</v>
      </c>
      <c r="E1265" s="9" t="s">
        <v>17740</v>
      </c>
      <c r="F1265" s="9" t="s">
        <v>17741</v>
      </c>
      <c r="G1265" s="9" t="s">
        <v>17740</v>
      </c>
      <c r="H1265" s="11" t="s">
        <v>25471</v>
      </c>
      <c r="I1265" s="11" t="s">
        <v>25472</v>
      </c>
      <c r="J1265" s="11" t="s">
        <v>25472</v>
      </c>
      <c r="K1265" s="9" t="s">
        <v>25473</v>
      </c>
      <c r="L1265" s="9" t="s">
        <v>17759</v>
      </c>
      <c r="M1265" s="9" t="s">
        <v>17760</v>
      </c>
      <c r="N1265" s="9" t="s">
        <v>17746</v>
      </c>
      <c r="O1265" s="9" t="s">
        <v>17800</v>
      </c>
      <c r="P1265" s="9" t="s">
        <v>17748</v>
      </c>
      <c r="Q1265" s="11" t="s">
        <v>18147</v>
      </c>
      <c r="R1265" s="11" t="s">
        <v>18147</v>
      </c>
      <c r="S1265" s="11" t="s">
        <v>17750</v>
      </c>
    </row>
    <row r="1266" spans="1:19" x14ac:dyDescent="0.2">
      <c r="A1266" s="11" t="s">
        <v>25474</v>
      </c>
      <c r="B1266" s="9" t="s">
        <v>25475</v>
      </c>
      <c r="C1266" s="9" t="s">
        <v>25476</v>
      </c>
      <c r="D1266" s="9" t="s">
        <v>25477</v>
      </c>
      <c r="E1266" s="9" t="s">
        <v>17740</v>
      </c>
      <c r="F1266" s="9" t="s">
        <v>17741</v>
      </c>
      <c r="G1266" s="9" t="s">
        <v>17740</v>
      </c>
      <c r="H1266" s="11" t="s">
        <v>1167</v>
      </c>
      <c r="I1266" s="11" t="s">
        <v>1166</v>
      </c>
      <c r="J1266" s="11" t="s">
        <v>1166</v>
      </c>
      <c r="K1266" s="9" t="s">
        <v>91</v>
      </c>
      <c r="L1266" s="9" t="s">
        <v>17744</v>
      </c>
      <c r="M1266" s="9" t="s">
        <v>21329</v>
      </c>
      <c r="N1266" s="9" t="s">
        <v>17746</v>
      </c>
      <c r="O1266" s="9" t="s">
        <v>18543</v>
      </c>
      <c r="P1266" s="9" t="s">
        <v>17748</v>
      </c>
      <c r="Q1266" s="11" t="s">
        <v>19515</v>
      </c>
      <c r="R1266" s="11" t="s">
        <v>19515</v>
      </c>
      <c r="S1266" s="11" t="s">
        <v>17750</v>
      </c>
    </row>
    <row r="1267" spans="1:19" x14ac:dyDescent="0.2">
      <c r="A1267" s="11" t="s">
        <v>25478</v>
      </c>
      <c r="B1267" s="9" t="s">
        <v>25479</v>
      </c>
      <c r="C1267" s="9" t="s">
        <v>25480</v>
      </c>
      <c r="D1267" s="9" t="s">
        <v>25481</v>
      </c>
      <c r="E1267" s="9" t="s">
        <v>17740</v>
      </c>
      <c r="F1267" s="9" t="s">
        <v>17741</v>
      </c>
      <c r="G1267" s="9" t="s">
        <v>17740</v>
      </c>
      <c r="H1267" s="11" t="s">
        <v>1233</v>
      </c>
      <c r="I1267" s="11" t="s">
        <v>1232</v>
      </c>
      <c r="J1267" s="11" t="s">
        <v>1232</v>
      </c>
      <c r="K1267" s="9" t="s">
        <v>17758</v>
      </c>
      <c r="L1267" s="9" t="s">
        <v>17759</v>
      </c>
      <c r="M1267" s="9" t="s">
        <v>17760</v>
      </c>
      <c r="N1267" s="9" t="s">
        <v>17746</v>
      </c>
      <c r="O1267" s="9" t="s">
        <v>18331</v>
      </c>
      <c r="P1267" s="9" t="s">
        <v>17748</v>
      </c>
      <c r="Q1267" s="11" t="s">
        <v>18805</v>
      </c>
      <c r="R1267" s="11" t="s">
        <v>18805</v>
      </c>
      <c r="S1267" s="11" t="s">
        <v>17750</v>
      </c>
    </row>
    <row r="1268" spans="1:19" x14ac:dyDescent="0.2">
      <c r="A1268" s="11" t="s">
        <v>25482</v>
      </c>
      <c r="B1268" s="9" t="s">
        <v>25483</v>
      </c>
      <c r="C1268" s="9" t="s">
        <v>25484</v>
      </c>
      <c r="D1268" s="9" t="s">
        <v>25485</v>
      </c>
      <c r="E1268" s="9" t="s">
        <v>17740</v>
      </c>
      <c r="F1268" s="9" t="s">
        <v>17741</v>
      </c>
      <c r="G1268" s="9" t="s">
        <v>17740</v>
      </c>
      <c r="H1268" s="11" t="s">
        <v>5308</v>
      </c>
      <c r="I1268" s="11" t="s">
        <v>5307</v>
      </c>
      <c r="J1268" s="11" t="s">
        <v>5307</v>
      </c>
      <c r="K1268" s="9" t="s">
        <v>303</v>
      </c>
      <c r="L1268" s="9" t="s">
        <v>17744</v>
      </c>
      <c r="M1268" s="9" t="s">
        <v>18521</v>
      </c>
      <c r="N1268" s="9" t="s">
        <v>17746</v>
      </c>
      <c r="O1268" s="9" t="s">
        <v>18363</v>
      </c>
      <c r="P1268" s="9" t="s">
        <v>17748</v>
      </c>
      <c r="Q1268" s="11" t="s">
        <v>17819</v>
      </c>
      <c r="R1268" s="11" t="s">
        <v>17819</v>
      </c>
      <c r="S1268" s="11" t="s">
        <v>17750</v>
      </c>
    </row>
    <row r="1269" spans="1:19" x14ac:dyDescent="0.2">
      <c r="A1269" s="11" t="s">
        <v>25486</v>
      </c>
      <c r="B1269" s="9" t="s">
        <v>25487</v>
      </c>
      <c r="C1269" s="9" t="s">
        <v>25488</v>
      </c>
      <c r="D1269" s="9" t="s">
        <v>25489</v>
      </c>
      <c r="E1269" s="9" t="s">
        <v>17740</v>
      </c>
      <c r="F1269" s="9" t="s">
        <v>17741</v>
      </c>
      <c r="G1269" s="9" t="s">
        <v>17740</v>
      </c>
      <c r="H1269" s="11" t="s">
        <v>25490</v>
      </c>
      <c r="I1269" s="11" t="s">
        <v>25491</v>
      </c>
      <c r="J1269" s="11" t="s">
        <v>25491</v>
      </c>
      <c r="K1269" s="9" t="s">
        <v>21040</v>
      </c>
      <c r="L1269" s="9" t="s">
        <v>18305</v>
      </c>
      <c r="M1269" s="9" t="s">
        <v>19012</v>
      </c>
      <c r="N1269" s="9" t="s">
        <v>17746</v>
      </c>
      <c r="O1269" s="9" t="s">
        <v>20746</v>
      </c>
      <c r="P1269" s="9" t="s">
        <v>17748</v>
      </c>
      <c r="Q1269" s="11" t="s">
        <v>17749</v>
      </c>
      <c r="R1269" s="11" t="s">
        <v>17749</v>
      </c>
      <c r="S1269" s="11" t="s">
        <v>17750</v>
      </c>
    </row>
    <row r="1270" spans="1:19" x14ac:dyDescent="0.2">
      <c r="A1270" s="11" t="s">
        <v>25492</v>
      </c>
      <c r="B1270" s="9" t="s">
        <v>25493</v>
      </c>
      <c r="C1270" s="9" t="s">
        <v>25494</v>
      </c>
      <c r="D1270" s="9" t="s">
        <v>25495</v>
      </c>
      <c r="E1270" s="9" t="s">
        <v>17740</v>
      </c>
      <c r="F1270" s="9" t="s">
        <v>17741</v>
      </c>
      <c r="G1270" s="9" t="s">
        <v>17740</v>
      </c>
      <c r="H1270" s="11" t="s">
        <v>25496</v>
      </c>
      <c r="I1270" s="11" t="s">
        <v>25497</v>
      </c>
      <c r="J1270" s="11" t="s">
        <v>25497</v>
      </c>
      <c r="K1270" s="9" t="s">
        <v>17089</v>
      </c>
      <c r="L1270" s="9" t="s">
        <v>18158</v>
      </c>
      <c r="M1270" s="9" t="s">
        <v>17778</v>
      </c>
      <c r="N1270" s="9" t="s">
        <v>17746</v>
      </c>
      <c r="O1270" s="9" t="s">
        <v>18340</v>
      </c>
      <c r="P1270" s="9" t="s">
        <v>17748</v>
      </c>
      <c r="Q1270" s="11" t="s">
        <v>18272</v>
      </c>
      <c r="R1270" s="11" t="s">
        <v>18272</v>
      </c>
      <c r="S1270" s="11" t="s">
        <v>17750</v>
      </c>
    </row>
    <row r="1271" spans="1:19" x14ac:dyDescent="0.2">
      <c r="A1271" s="11" t="s">
        <v>25498</v>
      </c>
      <c r="B1271" s="9" t="s">
        <v>25499</v>
      </c>
      <c r="C1271" s="9" t="s">
        <v>25500</v>
      </c>
      <c r="D1271" s="9" t="s">
        <v>25501</v>
      </c>
      <c r="E1271" s="9" t="s">
        <v>17740</v>
      </c>
      <c r="F1271" s="9" t="s">
        <v>25502</v>
      </c>
      <c r="G1271" s="9" t="s">
        <v>17740</v>
      </c>
      <c r="H1271" s="11" t="s">
        <v>1242</v>
      </c>
      <c r="I1271" s="11" t="s">
        <v>1241</v>
      </c>
      <c r="J1271" s="11" t="s">
        <v>1241</v>
      </c>
      <c r="K1271" s="9" t="s">
        <v>17783</v>
      </c>
      <c r="L1271" s="9" t="s">
        <v>17759</v>
      </c>
      <c r="M1271" s="9" t="s">
        <v>25503</v>
      </c>
      <c r="N1271" s="9" t="s">
        <v>17746</v>
      </c>
      <c r="O1271" s="9" t="s">
        <v>3276</v>
      </c>
      <c r="P1271" s="9" t="s">
        <v>17748</v>
      </c>
      <c r="Q1271" s="11" t="s">
        <v>17849</v>
      </c>
      <c r="R1271" s="11" t="s">
        <v>17849</v>
      </c>
      <c r="S1271" s="11" t="s">
        <v>17750</v>
      </c>
    </row>
    <row r="1272" spans="1:19" x14ac:dyDescent="0.2">
      <c r="A1272" s="11" t="s">
        <v>25504</v>
      </c>
      <c r="B1272" s="9" t="s">
        <v>25505</v>
      </c>
      <c r="C1272" s="9" t="s">
        <v>25506</v>
      </c>
      <c r="D1272" s="9" t="s">
        <v>25507</v>
      </c>
      <c r="E1272" s="9" t="s">
        <v>17748</v>
      </c>
      <c r="F1272" s="9" t="s">
        <v>25508</v>
      </c>
      <c r="G1272" s="9" t="s">
        <v>17740</v>
      </c>
      <c r="H1272" s="11" t="s">
        <v>10745</v>
      </c>
      <c r="I1272" s="11" t="s">
        <v>10744</v>
      </c>
      <c r="J1272" s="11" t="s">
        <v>10744</v>
      </c>
      <c r="K1272" s="9" t="s">
        <v>23527</v>
      </c>
      <c r="L1272" s="9" t="s">
        <v>17744</v>
      </c>
      <c r="M1272" s="9" t="s">
        <v>17769</v>
      </c>
      <c r="N1272" s="9" t="s">
        <v>17746</v>
      </c>
      <c r="O1272" s="9" t="s">
        <v>18418</v>
      </c>
      <c r="P1272" s="9" t="s">
        <v>17748</v>
      </c>
      <c r="Q1272" s="11" t="s">
        <v>17984</v>
      </c>
      <c r="R1272" s="11" t="s">
        <v>17984</v>
      </c>
      <c r="S1272" s="11" t="s">
        <v>17750</v>
      </c>
    </row>
    <row r="1273" spans="1:19" x14ac:dyDescent="0.2">
      <c r="A1273" s="11" t="s">
        <v>25509</v>
      </c>
      <c r="B1273" s="9" t="s">
        <v>25510</v>
      </c>
      <c r="C1273" s="9" t="s">
        <v>25511</v>
      </c>
      <c r="D1273" s="9" t="s">
        <v>25512</v>
      </c>
      <c r="E1273" s="9" t="s">
        <v>17740</v>
      </c>
      <c r="F1273" s="9" t="s">
        <v>25513</v>
      </c>
      <c r="G1273" s="9" t="s">
        <v>17740</v>
      </c>
      <c r="H1273" s="11" t="s">
        <v>1256</v>
      </c>
      <c r="I1273" s="11" t="s">
        <v>1255</v>
      </c>
      <c r="J1273" s="11" t="s">
        <v>1255</v>
      </c>
      <c r="K1273" s="9" t="s">
        <v>19447</v>
      </c>
      <c r="L1273" s="9" t="s">
        <v>17759</v>
      </c>
      <c r="M1273" s="9" t="s">
        <v>25514</v>
      </c>
      <c r="N1273" s="9" t="s">
        <v>17746</v>
      </c>
      <c r="O1273" s="9" t="s">
        <v>3355</v>
      </c>
      <c r="P1273" s="9" t="s">
        <v>17748</v>
      </c>
      <c r="Q1273" s="11" t="s">
        <v>18314</v>
      </c>
      <c r="R1273" s="11" t="s">
        <v>18314</v>
      </c>
      <c r="S1273" s="11" t="s">
        <v>17750</v>
      </c>
    </row>
    <row r="1274" spans="1:19" x14ac:dyDescent="0.2">
      <c r="A1274" s="11" t="s">
        <v>25515</v>
      </c>
      <c r="B1274" s="9" t="s">
        <v>25516</v>
      </c>
      <c r="C1274" s="9" t="s">
        <v>25517</v>
      </c>
      <c r="D1274" s="9" t="s">
        <v>25518</v>
      </c>
      <c r="E1274" s="9" t="s">
        <v>17740</v>
      </c>
      <c r="F1274" s="9" t="s">
        <v>17741</v>
      </c>
      <c r="G1274" s="9" t="s">
        <v>17740</v>
      </c>
      <c r="H1274" s="11" t="s">
        <v>17741</v>
      </c>
      <c r="I1274" s="11" t="s">
        <v>1258</v>
      </c>
      <c r="J1274" s="11" t="s">
        <v>1258</v>
      </c>
      <c r="K1274" s="9" t="s">
        <v>19482</v>
      </c>
      <c r="L1274" s="9" t="s">
        <v>19483</v>
      </c>
      <c r="M1274" s="9" t="s">
        <v>25519</v>
      </c>
      <c r="N1274" s="9" t="s">
        <v>17746</v>
      </c>
      <c r="O1274" s="9" t="s">
        <v>3391</v>
      </c>
      <c r="P1274" s="9" t="s">
        <v>17748</v>
      </c>
      <c r="Q1274" s="11" t="s">
        <v>19026</v>
      </c>
      <c r="R1274" s="11" t="s">
        <v>19026</v>
      </c>
      <c r="S1274" s="11" t="s">
        <v>17750</v>
      </c>
    </row>
    <row r="1275" spans="1:19" x14ac:dyDescent="0.2">
      <c r="A1275" s="11" t="s">
        <v>25520</v>
      </c>
      <c r="B1275" s="9" t="s">
        <v>25521</v>
      </c>
      <c r="C1275" s="9" t="s">
        <v>25522</v>
      </c>
      <c r="D1275" s="9" t="s">
        <v>25523</v>
      </c>
      <c r="E1275" s="9" t="s">
        <v>17740</v>
      </c>
      <c r="F1275" s="9" t="s">
        <v>17741</v>
      </c>
      <c r="G1275" s="9" t="s">
        <v>17740</v>
      </c>
      <c r="H1275" s="11" t="s">
        <v>1173</v>
      </c>
      <c r="I1275" s="11" t="s">
        <v>1172</v>
      </c>
      <c r="J1275" s="11" t="s">
        <v>1172</v>
      </c>
      <c r="K1275" s="9" t="s">
        <v>19584</v>
      </c>
      <c r="L1275" s="9" t="s">
        <v>17759</v>
      </c>
      <c r="M1275" s="9" t="s">
        <v>17817</v>
      </c>
      <c r="N1275" s="9" t="s">
        <v>17746</v>
      </c>
      <c r="O1275" s="9" t="s">
        <v>17779</v>
      </c>
      <c r="P1275" s="9" t="s">
        <v>17748</v>
      </c>
      <c r="Q1275" s="11" t="s">
        <v>18556</v>
      </c>
      <c r="R1275" s="11" t="s">
        <v>18556</v>
      </c>
      <c r="S1275" s="11" t="s">
        <v>17750</v>
      </c>
    </row>
    <row r="1276" spans="1:19" x14ac:dyDescent="0.2">
      <c r="A1276" s="11" t="s">
        <v>25524</v>
      </c>
      <c r="B1276" s="9" t="s">
        <v>25525</v>
      </c>
      <c r="C1276" s="9" t="s">
        <v>25526</v>
      </c>
      <c r="D1276" s="9" t="s">
        <v>25527</v>
      </c>
      <c r="E1276" s="9" t="s">
        <v>17748</v>
      </c>
      <c r="F1276" s="9" t="s">
        <v>25528</v>
      </c>
      <c r="G1276" s="9" t="s">
        <v>17740</v>
      </c>
      <c r="H1276" s="11" t="s">
        <v>9258</v>
      </c>
      <c r="I1276" s="11" t="s">
        <v>9257</v>
      </c>
      <c r="J1276" s="11" t="s">
        <v>9257</v>
      </c>
      <c r="K1276" s="9" t="s">
        <v>21146</v>
      </c>
      <c r="L1276" s="9" t="s">
        <v>17744</v>
      </c>
      <c r="M1276" s="9" t="s">
        <v>17769</v>
      </c>
      <c r="N1276" s="9" t="s">
        <v>17746</v>
      </c>
      <c r="O1276" s="9" t="s">
        <v>25529</v>
      </c>
      <c r="P1276" s="9" t="s">
        <v>17748</v>
      </c>
      <c r="Q1276" s="11" t="s">
        <v>17994</v>
      </c>
      <c r="R1276" s="11" t="s">
        <v>17994</v>
      </c>
      <c r="S1276" s="11" t="s">
        <v>17750</v>
      </c>
    </row>
    <row r="1277" spans="1:19" x14ac:dyDescent="0.2">
      <c r="A1277" s="11" t="s">
        <v>25530</v>
      </c>
      <c r="B1277" s="9" t="s">
        <v>25531</v>
      </c>
      <c r="C1277" s="9" t="s">
        <v>25532</v>
      </c>
      <c r="D1277" s="9" t="s">
        <v>25533</v>
      </c>
      <c r="E1277" s="9" t="s">
        <v>17740</v>
      </c>
      <c r="F1277" s="9" t="s">
        <v>17741</v>
      </c>
      <c r="G1277" s="9" t="s">
        <v>17740</v>
      </c>
      <c r="H1277" s="11" t="s">
        <v>17741</v>
      </c>
      <c r="I1277" s="11" t="s">
        <v>17741</v>
      </c>
      <c r="J1277" s="11" t="s">
        <v>17741</v>
      </c>
      <c r="K1277" s="9" t="s">
        <v>25534</v>
      </c>
      <c r="L1277" s="9" t="s">
        <v>17759</v>
      </c>
      <c r="M1277" s="9" t="s">
        <v>17741</v>
      </c>
      <c r="N1277" s="9" t="s">
        <v>17746</v>
      </c>
      <c r="O1277" s="9" t="s">
        <v>1802</v>
      </c>
      <c r="P1277" s="9" t="s">
        <v>17748</v>
      </c>
      <c r="Q1277" s="11" t="s">
        <v>18856</v>
      </c>
      <c r="R1277" s="11" t="s">
        <v>18856</v>
      </c>
      <c r="S1277" s="11" t="s">
        <v>17750</v>
      </c>
    </row>
    <row r="1278" spans="1:19" x14ac:dyDescent="0.2">
      <c r="A1278" s="11" t="s">
        <v>25535</v>
      </c>
      <c r="B1278" s="9" t="s">
        <v>25536</v>
      </c>
      <c r="C1278" s="9" t="s">
        <v>25537</v>
      </c>
      <c r="D1278" s="9" t="s">
        <v>25538</v>
      </c>
      <c r="E1278" s="9" t="s">
        <v>17740</v>
      </c>
      <c r="F1278" s="9" t="s">
        <v>17741</v>
      </c>
      <c r="G1278" s="9" t="s">
        <v>17740</v>
      </c>
      <c r="H1278" s="11" t="s">
        <v>25539</v>
      </c>
      <c r="I1278" s="11" t="s">
        <v>25540</v>
      </c>
      <c r="J1278" s="11" t="s">
        <v>25540</v>
      </c>
      <c r="K1278" s="9" t="s">
        <v>20207</v>
      </c>
      <c r="L1278" s="9" t="s">
        <v>17744</v>
      </c>
      <c r="M1278" s="9" t="s">
        <v>21922</v>
      </c>
      <c r="N1278" s="9" t="s">
        <v>17746</v>
      </c>
      <c r="O1278" s="9" t="s">
        <v>25541</v>
      </c>
      <c r="P1278" s="9" t="s">
        <v>17748</v>
      </c>
      <c r="Q1278" s="11" t="s">
        <v>17792</v>
      </c>
      <c r="R1278" s="11" t="s">
        <v>17792</v>
      </c>
      <c r="S1278" s="11" t="s">
        <v>17750</v>
      </c>
    </row>
    <row r="1279" spans="1:19" x14ac:dyDescent="0.2">
      <c r="A1279" s="11" t="s">
        <v>25542</v>
      </c>
      <c r="B1279" s="9" t="s">
        <v>25543</v>
      </c>
      <c r="C1279" s="9" t="s">
        <v>25544</v>
      </c>
      <c r="D1279" s="9" t="s">
        <v>25545</v>
      </c>
      <c r="E1279" s="9" t="s">
        <v>17740</v>
      </c>
      <c r="F1279" s="9" t="s">
        <v>17741</v>
      </c>
      <c r="G1279" s="9" t="s">
        <v>17740</v>
      </c>
      <c r="H1279" s="11" t="s">
        <v>1266</v>
      </c>
      <c r="I1279" s="11" t="s">
        <v>1265</v>
      </c>
      <c r="J1279" s="11" t="s">
        <v>1265</v>
      </c>
      <c r="K1279" s="9" t="s">
        <v>18661</v>
      </c>
      <c r="L1279" s="9" t="s">
        <v>17759</v>
      </c>
      <c r="M1279" s="9" t="s">
        <v>18177</v>
      </c>
      <c r="N1279" s="9" t="s">
        <v>17746</v>
      </c>
      <c r="O1279" s="9" t="s">
        <v>18514</v>
      </c>
      <c r="P1279" s="9" t="s">
        <v>17748</v>
      </c>
      <c r="Q1279" s="11" t="s">
        <v>18433</v>
      </c>
      <c r="R1279" s="11" t="s">
        <v>18433</v>
      </c>
      <c r="S1279" s="11" t="s">
        <v>17750</v>
      </c>
    </row>
    <row r="1280" spans="1:19" x14ac:dyDescent="0.2">
      <c r="A1280" s="11" t="s">
        <v>25546</v>
      </c>
      <c r="B1280" s="9" t="s">
        <v>25547</v>
      </c>
      <c r="C1280" s="9" t="s">
        <v>25548</v>
      </c>
      <c r="D1280" s="9" t="s">
        <v>25549</v>
      </c>
      <c r="E1280" s="9" t="s">
        <v>17740</v>
      </c>
      <c r="F1280" s="9" t="s">
        <v>25550</v>
      </c>
      <c r="G1280" s="9" t="s">
        <v>17740</v>
      </c>
      <c r="H1280" s="11" t="s">
        <v>1176</v>
      </c>
      <c r="I1280" s="11" t="s">
        <v>1175</v>
      </c>
      <c r="J1280" s="11" t="s">
        <v>1175</v>
      </c>
      <c r="K1280" s="9" t="s">
        <v>25551</v>
      </c>
      <c r="L1280" s="9" t="s">
        <v>17744</v>
      </c>
      <c r="M1280" s="9" t="s">
        <v>17817</v>
      </c>
      <c r="N1280" s="9" t="s">
        <v>17746</v>
      </c>
      <c r="O1280" s="9" t="s">
        <v>3543</v>
      </c>
      <c r="P1280" s="9" t="s">
        <v>17748</v>
      </c>
      <c r="Q1280" s="11" t="s">
        <v>18556</v>
      </c>
      <c r="R1280" s="11" t="s">
        <v>18556</v>
      </c>
      <c r="S1280" s="11" t="s">
        <v>17750</v>
      </c>
    </row>
    <row r="1281" spans="1:19" x14ac:dyDescent="0.2">
      <c r="A1281" s="11" t="s">
        <v>25552</v>
      </c>
      <c r="B1281" s="9" t="s">
        <v>25553</v>
      </c>
      <c r="C1281" s="9" t="s">
        <v>25554</v>
      </c>
      <c r="D1281" s="9" t="s">
        <v>25555</v>
      </c>
      <c r="E1281" s="9" t="s">
        <v>17740</v>
      </c>
      <c r="F1281" s="9" t="s">
        <v>17741</v>
      </c>
      <c r="G1281" s="9" t="s">
        <v>17740</v>
      </c>
      <c r="H1281" s="11" t="s">
        <v>25556</v>
      </c>
      <c r="I1281" s="11" t="s">
        <v>25557</v>
      </c>
      <c r="J1281" s="11" t="s">
        <v>25557</v>
      </c>
      <c r="K1281" s="9" t="s">
        <v>21721</v>
      </c>
      <c r="L1281" s="9" t="s">
        <v>17744</v>
      </c>
      <c r="M1281" s="9" t="s">
        <v>20604</v>
      </c>
      <c r="N1281" s="9" t="s">
        <v>17746</v>
      </c>
      <c r="O1281" s="9" t="s">
        <v>19740</v>
      </c>
      <c r="P1281" s="9" t="s">
        <v>17748</v>
      </c>
      <c r="Q1281" s="11" t="s">
        <v>18364</v>
      </c>
      <c r="R1281" s="11" t="s">
        <v>18364</v>
      </c>
      <c r="S1281" s="11" t="s">
        <v>17750</v>
      </c>
    </row>
    <row r="1282" spans="1:19" x14ac:dyDescent="0.2">
      <c r="A1282" s="11" t="s">
        <v>25558</v>
      </c>
      <c r="B1282" s="9" t="s">
        <v>25559</v>
      </c>
      <c r="C1282" s="9" t="s">
        <v>25560</v>
      </c>
      <c r="D1282" s="9" t="s">
        <v>25561</v>
      </c>
      <c r="E1282" s="9" t="s">
        <v>17748</v>
      </c>
      <c r="F1282" s="9" t="s">
        <v>25562</v>
      </c>
      <c r="G1282" s="9" t="s">
        <v>17740</v>
      </c>
      <c r="H1282" s="11" t="s">
        <v>10906</v>
      </c>
      <c r="I1282" s="11" t="s">
        <v>10905</v>
      </c>
      <c r="J1282" s="11" t="s">
        <v>10905</v>
      </c>
      <c r="K1282" s="9" t="s">
        <v>17741</v>
      </c>
      <c r="L1282" s="9" t="s">
        <v>18158</v>
      </c>
      <c r="M1282" s="9" t="s">
        <v>17817</v>
      </c>
      <c r="N1282" s="9" t="s">
        <v>17746</v>
      </c>
      <c r="O1282" s="9" t="s">
        <v>18009</v>
      </c>
      <c r="P1282" s="9" t="s">
        <v>17748</v>
      </c>
      <c r="Q1282" s="11" t="s">
        <v>17762</v>
      </c>
      <c r="R1282" s="11" t="s">
        <v>17762</v>
      </c>
      <c r="S1282" s="11" t="s">
        <v>17750</v>
      </c>
    </row>
    <row r="1283" spans="1:19" x14ac:dyDescent="0.2">
      <c r="A1283" s="11" t="s">
        <v>25563</v>
      </c>
      <c r="B1283" s="9" t="s">
        <v>25564</v>
      </c>
      <c r="C1283" s="9" t="s">
        <v>25565</v>
      </c>
      <c r="D1283" s="9" t="s">
        <v>25566</v>
      </c>
      <c r="E1283" s="9" t="s">
        <v>17740</v>
      </c>
      <c r="F1283" s="9" t="s">
        <v>17741</v>
      </c>
      <c r="G1283" s="9" t="s">
        <v>17740</v>
      </c>
      <c r="H1283" s="11" t="s">
        <v>16524</v>
      </c>
      <c r="I1283" s="11" t="s">
        <v>16523</v>
      </c>
      <c r="J1283" s="11" t="s">
        <v>16523</v>
      </c>
      <c r="K1283" s="9" t="s">
        <v>25567</v>
      </c>
      <c r="L1283" s="9" t="s">
        <v>18158</v>
      </c>
      <c r="M1283" s="9" t="s">
        <v>17741</v>
      </c>
      <c r="N1283" s="9" t="s">
        <v>17746</v>
      </c>
      <c r="O1283" s="9" t="s">
        <v>18009</v>
      </c>
      <c r="P1283" s="9" t="s">
        <v>17748</v>
      </c>
      <c r="Q1283" s="11" t="s">
        <v>17762</v>
      </c>
      <c r="R1283" s="11" t="s">
        <v>17762</v>
      </c>
      <c r="S1283" s="11" t="s">
        <v>17750</v>
      </c>
    </row>
    <row r="1284" spans="1:19" x14ac:dyDescent="0.2">
      <c r="A1284" s="11" t="s">
        <v>25568</v>
      </c>
      <c r="B1284" s="9" t="s">
        <v>25569</v>
      </c>
      <c r="C1284" s="9" t="s">
        <v>25570</v>
      </c>
      <c r="D1284" s="9" t="s">
        <v>25571</v>
      </c>
      <c r="E1284" s="9" t="s">
        <v>17740</v>
      </c>
      <c r="F1284" s="9" t="s">
        <v>17741</v>
      </c>
      <c r="G1284" s="9" t="s">
        <v>17740</v>
      </c>
      <c r="H1284" s="11" t="s">
        <v>13020</v>
      </c>
      <c r="I1284" s="11" t="s">
        <v>13019</v>
      </c>
      <c r="J1284" s="11" t="s">
        <v>13019</v>
      </c>
      <c r="K1284" s="9" t="s">
        <v>296</v>
      </c>
      <c r="L1284" s="9" t="s">
        <v>17744</v>
      </c>
      <c r="M1284" s="9" t="s">
        <v>25572</v>
      </c>
      <c r="N1284" s="9" t="s">
        <v>17746</v>
      </c>
      <c r="O1284" s="9" t="s">
        <v>15733</v>
      </c>
      <c r="P1284" s="9" t="s">
        <v>17748</v>
      </c>
      <c r="Q1284" s="11" t="s">
        <v>17917</v>
      </c>
      <c r="R1284" s="11" t="s">
        <v>17917</v>
      </c>
      <c r="S1284" s="11" t="s">
        <v>17750</v>
      </c>
    </row>
    <row r="1285" spans="1:19" x14ac:dyDescent="0.2">
      <c r="A1285" s="11" t="s">
        <v>25573</v>
      </c>
      <c r="B1285" s="9" t="s">
        <v>25574</v>
      </c>
      <c r="C1285" s="9" t="s">
        <v>25575</v>
      </c>
      <c r="D1285" s="9" t="s">
        <v>25576</v>
      </c>
      <c r="E1285" s="9" t="s">
        <v>17748</v>
      </c>
      <c r="F1285" s="9" t="s">
        <v>25577</v>
      </c>
      <c r="G1285" s="9" t="s">
        <v>17740</v>
      </c>
      <c r="H1285" s="11" t="s">
        <v>7228</v>
      </c>
      <c r="I1285" s="11" t="s">
        <v>7227</v>
      </c>
      <c r="J1285" s="11" t="s">
        <v>7227</v>
      </c>
      <c r="K1285" s="9" t="s">
        <v>940</v>
      </c>
      <c r="L1285" s="9" t="s">
        <v>17759</v>
      </c>
      <c r="M1285" s="9" t="s">
        <v>25578</v>
      </c>
      <c r="N1285" s="9" t="s">
        <v>17746</v>
      </c>
      <c r="O1285" s="9" t="s">
        <v>18882</v>
      </c>
      <c r="P1285" s="9" t="s">
        <v>17748</v>
      </c>
      <c r="Q1285" s="11" t="s">
        <v>19361</v>
      </c>
      <c r="R1285" s="11" t="s">
        <v>19361</v>
      </c>
      <c r="S1285" s="11" t="s">
        <v>17750</v>
      </c>
    </row>
    <row r="1286" spans="1:19" x14ac:dyDescent="0.2">
      <c r="A1286" s="11" t="s">
        <v>25579</v>
      </c>
      <c r="B1286" s="9" t="s">
        <v>25580</v>
      </c>
      <c r="C1286" s="9" t="s">
        <v>25581</v>
      </c>
      <c r="D1286" s="9" t="s">
        <v>25582</v>
      </c>
      <c r="E1286" s="9" t="s">
        <v>17740</v>
      </c>
      <c r="F1286" s="9" t="s">
        <v>25583</v>
      </c>
      <c r="G1286" s="9" t="s">
        <v>17740</v>
      </c>
      <c r="H1286" s="11" t="s">
        <v>1180</v>
      </c>
      <c r="I1286" s="11" t="s">
        <v>1179</v>
      </c>
      <c r="J1286" s="11" t="s">
        <v>1179</v>
      </c>
      <c r="K1286" s="9" t="s">
        <v>17783</v>
      </c>
      <c r="L1286" s="9" t="s">
        <v>18158</v>
      </c>
      <c r="M1286" s="9" t="s">
        <v>18289</v>
      </c>
      <c r="N1286" s="9" t="s">
        <v>17746</v>
      </c>
      <c r="O1286" s="9" t="s">
        <v>18534</v>
      </c>
      <c r="P1286" s="9" t="s">
        <v>17748</v>
      </c>
      <c r="Q1286" s="11" t="s">
        <v>19515</v>
      </c>
      <c r="R1286" s="11" t="s">
        <v>19515</v>
      </c>
      <c r="S1286" s="11" t="s">
        <v>17750</v>
      </c>
    </row>
    <row r="1287" spans="1:19" x14ac:dyDescent="0.2">
      <c r="A1287" s="11" t="s">
        <v>25584</v>
      </c>
      <c r="B1287" s="9" t="s">
        <v>25585</v>
      </c>
      <c r="C1287" s="9" t="s">
        <v>25586</v>
      </c>
      <c r="D1287" s="9" t="s">
        <v>25587</v>
      </c>
      <c r="E1287" s="9" t="s">
        <v>17740</v>
      </c>
      <c r="F1287" s="9" t="s">
        <v>17741</v>
      </c>
      <c r="G1287" s="9" t="s">
        <v>17740</v>
      </c>
      <c r="H1287" s="11" t="s">
        <v>25588</v>
      </c>
      <c r="I1287" s="11" t="s">
        <v>12624</v>
      </c>
      <c r="J1287" s="11" t="s">
        <v>12624</v>
      </c>
      <c r="K1287" s="9" t="s">
        <v>25589</v>
      </c>
      <c r="L1287" s="9" t="s">
        <v>17759</v>
      </c>
      <c r="M1287" s="9" t="s">
        <v>17760</v>
      </c>
      <c r="N1287" s="9" t="s">
        <v>17746</v>
      </c>
      <c r="O1287" s="9" t="s">
        <v>17834</v>
      </c>
      <c r="P1287" s="9" t="s">
        <v>17748</v>
      </c>
      <c r="Q1287" s="11" t="s">
        <v>17917</v>
      </c>
      <c r="R1287" s="11" t="s">
        <v>17917</v>
      </c>
      <c r="S1287" s="11" t="s">
        <v>17750</v>
      </c>
    </row>
    <row r="1288" spans="1:19" x14ac:dyDescent="0.2">
      <c r="A1288" s="11" t="s">
        <v>25590</v>
      </c>
      <c r="B1288" s="9" t="s">
        <v>25591</v>
      </c>
      <c r="C1288" s="9" t="s">
        <v>25592</v>
      </c>
      <c r="D1288" s="9" t="s">
        <v>25593</v>
      </c>
      <c r="E1288" s="9" t="s">
        <v>17740</v>
      </c>
      <c r="F1288" s="9" t="s">
        <v>25594</v>
      </c>
      <c r="G1288" s="9" t="s">
        <v>17740</v>
      </c>
      <c r="H1288" s="11" t="s">
        <v>25595</v>
      </c>
      <c r="I1288" s="11" t="s">
        <v>1300</v>
      </c>
      <c r="J1288" s="11" t="s">
        <v>1300</v>
      </c>
      <c r="K1288" s="9" t="s">
        <v>25596</v>
      </c>
      <c r="L1288" s="9" t="s">
        <v>17744</v>
      </c>
      <c r="M1288" s="9" t="s">
        <v>17817</v>
      </c>
      <c r="N1288" s="9" t="s">
        <v>17746</v>
      </c>
      <c r="O1288" s="9" t="s">
        <v>25597</v>
      </c>
      <c r="P1288" s="9" t="s">
        <v>17748</v>
      </c>
      <c r="Q1288" s="11" t="s">
        <v>18251</v>
      </c>
      <c r="R1288" s="11" t="s">
        <v>18251</v>
      </c>
      <c r="S1288" s="11" t="s">
        <v>17750</v>
      </c>
    </row>
    <row r="1289" spans="1:19" x14ac:dyDescent="0.2">
      <c r="A1289" s="11" t="s">
        <v>25598</v>
      </c>
      <c r="B1289" s="9" t="s">
        <v>25599</v>
      </c>
      <c r="C1289" s="9" t="s">
        <v>25600</v>
      </c>
      <c r="D1289" s="9" t="s">
        <v>25601</v>
      </c>
      <c r="E1289" s="9" t="s">
        <v>17740</v>
      </c>
      <c r="F1289" s="9" t="s">
        <v>17741</v>
      </c>
      <c r="G1289" s="9" t="s">
        <v>17740</v>
      </c>
      <c r="H1289" s="11" t="s">
        <v>25602</v>
      </c>
      <c r="I1289" s="11" t="s">
        <v>25603</v>
      </c>
      <c r="J1289" s="11" t="s">
        <v>25603</v>
      </c>
      <c r="K1289" s="9" t="s">
        <v>20225</v>
      </c>
      <c r="L1289" s="9" t="s">
        <v>17744</v>
      </c>
      <c r="M1289" s="9" t="s">
        <v>22065</v>
      </c>
      <c r="N1289" s="9" t="s">
        <v>17746</v>
      </c>
      <c r="O1289" s="9" t="s">
        <v>17818</v>
      </c>
      <c r="P1289" s="9" t="s">
        <v>17748</v>
      </c>
      <c r="Q1289" s="11" t="s">
        <v>17780</v>
      </c>
      <c r="R1289" s="11" t="s">
        <v>17780</v>
      </c>
      <c r="S1289" s="11" t="s">
        <v>17750</v>
      </c>
    </row>
    <row r="1290" spans="1:19" x14ac:dyDescent="0.2">
      <c r="A1290" s="11" t="s">
        <v>25604</v>
      </c>
      <c r="B1290" s="9" t="s">
        <v>25605</v>
      </c>
      <c r="C1290" s="9" t="s">
        <v>25606</v>
      </c>
      <c r="D1290" s="9" t="s">
        <v>25607</v>
      </c>
      <c r="E1290" s="9" t="s">
        <v>17740</v>
      </c>
      <c r="F1290" s="9" t="s">
        <v>17741</v>
      </c>
      <c r="G1290" s="9" t="s">
        <v>17740</v>
      </c>
      <c r="H1290" s="11" t="s">
        <v>1188</v>
      </c>
      <c r="I1290" s="11" t="s">
        <v>1187</v>
      </c>
      <c r="J1290" s="11" t="s">
        <v>1187</v>
      </c>
      <c r="K1290" s="9" t="s">
        <v>6978</v>
      </c>
      <c r="L1290" s="9" t="s">
        <v>17759</v>
      </c>
      <c r="M1290" s="9" t="s">
        <v>24699</v>
      </c>
      <c r="N1290" s="9" t="s">
        <v>17746</v>
      </c>
      <c r="O1290" s="9" t="s">
        <v>25066</v>
      </c>
      <c r="P1290" s="9" t="s">
        <v>17748</v>
      </c>
      <c r="Q1290" s="11" t="s">
        <v>18600</v>
      </c>
      <c r="R1290" s="11" t="s">
        <v>18600</v>
      </c>
      <c r="S1290" s="11" t="s">
        <v>17750</v>
      </c>
    </row>
    <row r="1291" spans="1:19" x14ac:dyDescent="0.2">
      <c r="A1291" s="11" t="s">
        <v>25608</v>
      </c>
      <c r="B1291" s="9" t="s">
        <v>25609</v>
      </c>
      <c r="C1291" s="9" t="s">
        <v>25610</v>
      </c>
      <c r="D1291" s="9" t="s">
        <v>25611</v>
      </c>
      <c r="E1291" s="9" t="s">
        <v>17748</v>
      </c>
      <c r="F1291" s="9" t="s">
        <v>25612</v>
      </c>
      <c r="G1291" s="9" t="s">
        <v>17740</v>
      </c>
      <c r="H1291" s="11" t="s">
        <v>10772</v>
      </c>
      <c r="I1291" s="11" t="s">
        <v>10771</v>
      </c>
      <c r="J1291" s="11" t="s">
        <v>10771</v>
      </c>
      <c r="K1291" s="9" t="s">
        <v>291</v>
      </c>
      <c r="L1291" s="9" t="s">
        <v>17744</v>
      </c>
      <c r="M1291" s="9" t="s">
        <v>25613</v>
      </c>
      <c r="N1291" s="9" t="s">
        <v>17746</v>
      </c>
      <c r="O1291" s="9" t="s">
        <v>4009</v>
      </c>
      <c r="P1291" s="9" t="s">
        <v>17748</v>
      </c>
      <c r="Q1291" s="11" t="s">
        <v>17984</v>
      </c>
      <c r="R1291" s="11" t="s">
        <v>17984</v>
      </c>
      <c r="S1291" s="11" t="s">
        <v>17750</v>
      </c>
    </row>
    <row r="1292" spans="1:19" x14ac:dyDescent="0.2">
      <c r="A1292" s="11" t="s">
        <v>25614</v>
      </c>
      <c r="B1292" s="9" t="s">
        <v>25615</v>
      </c>
      <c r="C1292" s="9" t="s">
        <v>25616</v>
      </c>
      <c r="D1292" s="9" t="s">
        <v>25617</v>
      </c>
      <c r="E1292" s="9" t="s">
        <v>17740</v>
      </c>
      <c r="F1292" s="9" t="s">
        <v>17741</v>
      </c>
      <c r="G1292" s="9" t="s">
        <v>17740</v>
      </c>
      <c r="H1292" s="11" t="s">
        <v>4915</v>
      </c>
      <c r="I1292" s="11" t="s">
        <v>4914</v>
      </c>
      <c r="J1292" s="11" t="s">
        <v>4914</v>
      </c>
      <c r="K1292" s="9" t="s">
        <v>21040</v>
      </c>
      <c r="L1292" s="9" t="s">
        <v>18305</v>
      </c>
      <c r="M1292" s="9" t="s">
        <v>17769</v>
      </c>
      <c r="N1292" s="9" t="s">
        <v>17746</v>
      </c>
      <c r="O1292" s="9" t="s">
        <v>3981</v>
      </c>
      <c r="P1292" s="9" t="s">
        <v>17748</v>
      </c>
      <c r="Q1292" s="11" t="s">
        <v>18364</v>
      </c>
      <c r="R1292" s="11" t="s">
        <v>18364</v>
      </c>
      <c r="S1292" s="11" t="s">
        <v>17750</v>
      </c>
    </row>
    <row r="1293" spans="1:19" x14ac:dyDescent="0.2">
      <c r="A1293" s="11" t="s">
        <v>25618</v>
      </c>
      <c r="B1293" s="9" t="s">
        <v>25619</v>
      </c>
      <c r="C1293" s="9" t="s">
        <v>25620</v>
      </c>
      <c r="D1293" s="9" t="s">
        <v>25621</v>
      </c>
      <c r="E1293" s="9" t="s">
        <v>17740</v>
      </c>
      <c r="F1293" s="9" t="s">
        <v>25622</v>
      </c>
      <c r="G1293" s="9" t="s">
        <v>17740</v>
      </c>
      <c r="H1293" s="11" t="s">
        <v>17741</v>
      </c>
      <c r="I1293" s="11" t="s">
        <v>25623</v>
      </c>
      <c r="J1293" s="11" t="s">
        <v>25623</v>
      </c>
      <c r="K1293" s="9" t="s">
        <v>25624</v>
      </c>
      <c r="L1293" s="9" t="s">
        <v>17759</v>
      </c>
      <c r="M1293" s="9" t="s">
        <v>18745</v>
      </c>
      <c r="N1293" s="9" t="s">
        <v>17746</v>
      </c>
      <c r="O1293" s="9" t="s">
        <v>3981</v>
      </c>
      <c r="P1293" s="9" t="s">
        <v>17748</v>
      </c>
      <c r="Q1293" s="11" t="s">
        <v>18059</v>
      </c>
      <c r="R1293" s="11" t="s">
        <v>18059</v>
      </c>
      <c r="S1293" s="11" t="s">
        <v>17750</v>
      </c>
    </row>
    <row r="1294" spans="1:19" x14ac:dyDescent="0.2">
      <c r="A1294" s="11" t="s">
        <v>25625</v>
      </c>
      <c r="B1294" s="9" t="s">
        <v>25626</v>
      </c>
      <c r="C1294" s="9" t="s">
        <v>25627</v>
      </c>
      <c r="D1294" s="9" t="s">
        <v>25628</v>
      </c>
      <c r="E1294" s="9" t="s">
        <v>17740</v>
      </c>
      <c r="F1294" s="9" t="s">
        <v>25629</v>
      </c>
      <c r="G1294" s="9" t="s">
        <v>17740</v>
      </c>
      <c r="H1294" s="11" t="s">
        <v>10565</v>
      </c>
      <c r="I1294" s="11" t="s">
        <v>10564</v>
      </c>
      <c r="J1294" s="11" t="s">
        <v>10564</v>
      </c>
      <c r="K1294" s="9" t="s">
        <v>21721</v>
      </c>
      <c r="L1294" s="9" t="s">
        <v>17744</v>
      </c>
      <c r="M1294" s="9" t="s">
        <v>17769</v>
      </c>
      <c r="N1294" s="9" t="s">
        <v>17746</v>
      </c>
      <c r="O1294" s="9" t="s">
        <v>25630</v>
      </c>
      <c r="P1294" s="9" t="s">
        <v>17748</v>
      </c>
      <c r="Q1294" s="11" t="s">
        <v>17780</v>
      </c>
      <c r="R1294" s="11" t="s">
        <v>17780</v>
      </c>
      <c r="S1294" s="11" t="s">
        <v>17750</v>
      </c>
    </row>
    <row r="1295" spans="1:19" x14ac:dyDescent="0.2">
      <c r="A1295" s="11" t="s">
        <v>25631</v>
      </c>
      <c r="B1295" s="9" t="s">
        <v>25632</v>
      </c>
      <c r="C1295" s="9" t="s">
        <v>25633</v>
      </c>
      <c r="D1295" s="9" t="s">
        <v>25634</v>
      </c>
      <c r="E1295" s="9" t="s">
        <v>17748</v>
      </c>
      <c r="F1295" s="9" t="s">
        <v>25635</v>
      </c>
      <c r="G1295" s="9" t="s">
        <v>17740</v>
      </c>
      <c r="H1295" s="11" t="s">
        <v>25636</v>
      </c>
      <c r="I1295" s="11" t="s">
        <v>25637</v>
      </c>
      <c r="J1295" s="11" t="s">
        <v>25637</v>
      </c>
      <c r="K1295" s="9" t="s">
        <v>25638</v>
      </c>
      <c r="L1295" s="9" t="s">
        <v>18058</v>
      </c>
      <c r="M1295" s="9" t="s">
        <v>20970</v>
      </c>
      <c r="N1295" s="9" t="s">
        <v>17746</v>
      </c>
      <c r="O1295" s="9" t="s">
        <v>17993</v>
      </c>
      <c r="P1295" s="9" t="s">
        <v>17748</v>
      </c>
      <c r="Q1295" s="11" t="s">
        <v>17984</v>
      </c>
      <c r="R1295" s="11" t="s">
        <v>17984</v>
      </c>
      <c r="S1295" s="11" t="s">
        <v>17750</v>
      </c>
    </row>
    <row r="1296" spans="1:19" x14ac:dyDescent="0.2">
      <c r="A1296" s="11" t="s">
        <v>25639</v>
      </c>
      <c r="B1296" s="9" t="s">
        <v>25640</v>
      </c>
      <c r="C1296" s="9" t="s">
        <v>25641</v>
      </c>
      <c r="D1296" s="9" t="s">
        <v>25642</v>
      </c>
      <c r="E1296" s="9" t="s">
        <v>17748</v>
      </c>
      <c r="F1296" s="9" t="s">
        <v>25643</v>
      </c>
      <c r="G1296" s="9" t="s">
        <v>17740</v>
      </c>
      <c r="H1296" s="11" t="s">
        <v>15408</v>
      </c>
      <c r="I1296" s="11" t="s">
        <v>15407</v>
      </c>
      <c r="J1296" s="11" t="s">
        <v>15407</v>
      </c>
      <c r="K1296" s="9" t="s">
        <v>20669</v>
      </c>
      <c r="L1296" s="9" t="s">
        <v>20359</v>
      </c>
      <c r="M1296" s="9" t="s">
        <v>17817</v>
      </c>
      <c r="N1296" s="9" t="s">
        <v>17746</v>
      </c>
      <c r="O1296" s="9" t="s">
        <v>1675</v>
      </c>
      <c r="P1296" s="9" t="s">
        <v>17748</v>
      </c>
      <c r="Q1296" s="11" t="s">
        <v>17909</v>
      </c>
      <c r="R1296" s="11" t="s">
        <v>17909</v>
      </c>
      <c r="S1296" s="11" t="s">
        <v>17750</v>
      </c>
    </row>
    <row r="1297" spans="1:19" x14ac:dyDescent="0.2">
      <c r="A1297" s="11" t="s">
        <v>25644</v>
      </c>
      <c r="B1297" s="9" t="s">
        <v>25645</v>
      </c>
      <c r="C1297" s="9" t="s">
        <v>25646</v>
      </c>
      <c r="D1297" s="9" t="s">
        <v>25647</v>
      </c>
      <c r="E1297" s="9" t="s">
        <v>17740</v>
      </c>
      <c r="F1297" s="9" t="s">
        <v>17741</v>
      </c>
      <c r="G1297" s="9" t="s">
        <v>17740</v>
      </c>
      <c r="H1297" s="11" t="s">
        <v>1003</v>
      </c>
      <c r="I1297" s="11" t="s">
        <v>1002</v>
      </c>
      <c r="J1297" s="11" t="s">
        <v>1002</v>
      </c>
      <c r="K1297" s="9" t="s">
        <v>25648</v>
      </c>
      <c r="L1297" s="9" t="s">
        <v>17759</v>
      </c>
      <c r="M1297" s="9" t="s">
        <v>17778</v>
      </c>
      <c r="N1297" s="9" t="s">
        <v>17746</v>
      </c>
      <c r="O1297" s="9" t="s">
        <v>15733</v>
      </c>
      <c r="P1297" s="9" t="s">
        <v>17748</v>
      </c>
      <c r="Q1297" s="11" t="s">
        <v>19222</v>
      </c>
      <c r="R1297" s="11" t="s">
        <v>19222</v>
      </c>
      <c r="S1297" s="11" t="s">
        <v>17750</v>
      </c>
    </row>
    <row r="1298" spans="1:19" x14ac:dyDescent="0.2">
      <c r="A1298" s="11" t="s">
        <v>25649</v>
      </c>
      <c r="B1298" s="9" t="s">
        <v>25650</v>
      </c>
      <c r="C1298" s="9" t="s">
        <v>25651</v>
      </c>
      <c r="D1298" s="9" t="s">
        <v>25652</v>
      </c>
      <c r="E1298" s="9" t="s">
        <v>17740</v>
      </c>
      <c r="F1298" s="9" t="s">
        <v>17741</v>
      </c>
      <c r="G1298" s="9" t="s">
        <v>17740</v>
      </c>
      <c r="H1298" s="11" t="s">
        <v>4895</v>
      </c>
      <c r="I1298" s="11" t="s">
        <v>4894</v>
      </c>
      <c r="J1298" s="11" t="s">
        <v>4894</v>
      </c>
      <c r="K1298" s="9" t="s">
        <v>91</v>
      </c>
      <c r="L1298" s="9" t="s">
        <v>17759</v>
      </c>
      <c r="M1298" s="9" t="s">
        <v>25653</v>
      </c>
      <c r="N1298" s="9" t="s">
        <v>17746</v>
      </c>
      <c r="O1298" s="9" t="s">
        <v>5790</v>
      </c>
      <c r="P1298" s="9" t="s">
        <v>17748</v>
      </c>
      <c r="Q1298" s="11" t="s">
        <v>17978</v>
      </c>
      <c r="R1298" s="11" t="s">
        <v>17978</v>
      </c>
      <c r="S1298" s="11" t="s">
        <v>17750</v>
      </c>
    </row>
    <row r="1299" spans="1:19" x14ac:dyDescent="0.2">
      <c r="A1299" s="11" t="s">
        <v>25654</v>
      </c>
      <c r="B1299" s="9" t="s">
        <v>25655</v>
      </c>
      <c r="C1299" s="9" t="s">
        <v>25656</v>
      </c>
      <c r="D1299" s="9" t="s">
        <v>25657</v>
      </c>
      <c r="E1299" s="9" t="s">
        <v>17740</v>
      </c>
      <c r="F1299" s="9" t="s">
        <v>17741</v>
      </c>
      <c r="G1299" s="9" t="s">
        <v>17740</v>
      </c>
      <c r="H1299" s="11" t="s">
        <v>1055</v>
      </c>
      <c r="I1299" s="11" t="s">
        <v>1054</v>
      </c>
      <c r="J1299" s="11" t="s">
        <v>1054</v>
      </c>
      <c r="K1299" s="9" t="s">
        <v>25648</v>
      </c>
      <c r="L1299" s="9" t="s">
        <v>17759</v>
      </c>
      <c r="M1299" s="9" t="s">
        <v>17760</v>
      </c>
      <c r="N1299" s="9" t="s">
        <v>17746</v>
      </c>
      <c r="O1299" s="9" t="s">
        <v>18855</v>
      </c>
      <c r="P1299" s="9" t="s">
        <v>17748</v>
      </c>
      <c r="Q1299" s="11" t="s">
        <v>18960</v>
      </c>
      <c r="R1299" s="11" t="s">
        <v>18960</v>
      </c>
      <c r="S1299" s="11" t="s">
        <v>17750</v>
      </c>
    </row>
    <row r="1300" spans="1:19" x14ac:dyDescent="0.2">
      <c r="A1300" s="11" t="s">
        <v>25658</v>
      </c>
      <c r="B1300" s="9" t="s">
        <v>25659</v>
      </c>
      <c r="C1300" s="9" t="s">
        <v>25660</v>
      </c>
      <c r="D1300" s="9" t="s">
        <v>25661</v>
      </c>
      <c r="E1300" s="9" t="s">
        <v>17740</v>
      </c>
      <c r="F1300" s="9" t="s">
        <v>17741</v>
      </c>
      <c r="G1300" s="9" t="s">
        <v>17740</v>
      </c>
      <c r="H1300" s="11" t="s">
        <v>1157</v>
      </c>
      <c r="I1300" s="11" t="s">
        <v>1156</v>
      </c>
      <c r="J1300" s="11" t="s">
        <v>1156</v>
      </c>
      <c r="K1300" s="9" t="s">
        <v>25648</v>
      </c>
      <c r="L1300" s="9" t="s">
        <v>17759</v>
      </c>
      <c r="M1300" s="9" t="s">
        <v>17760</v>
      </c>
      <c r="N1300" s="9" t="s">
        <v>17746</v>
      </c>
      <c r="O1300" s="9" t="s">
        <v>20498</v>
      </c>
      <c r="P1300" s="9" t="s">
        <v>17748</v>
      </c>
      <c r="Q1300" s="11" t="s">
        <v>18433</v>
      </c>
      <c r="R1300" s="11" t="s">
        <v>18433</v>
      </c>
      <c r="S1300" s="11" t="s">
        <v>17750</v>
      </c>
    </row>
    <row r="1301" spans="1:19" x14ac:dyDescent="0.2">
      <c r="A1301" s="11" t="s">
        <v>25662</v>
      </c>
      <c r="B1301" s="9" t="s">
        <v>25663</v>
      </c>
      <c r="C1301" s="9" t="s">
        <v>25664</v>
      </c>
      <c r="D1301" s="9" t="s">
        <v>25665</v>
      </c>
      <c r="E1301" s="9" t="s">
        <v>17740</v>
      </c>
      <c r="F1301" s="9" t="s">
        <v>17741</v>
      </c>
      <c r="G1301" s="9" t="s">
        <v>17740</v>
      </c>
      <c r="H1301" s="11" t="s">
        <v>7629</v>
      </c>
      <c r="I1301" s="11" t="s">
        <v>7628</v>
      </c>
      <c r="J1301" s="11" t="s">
        <v>7628</v>
      </c>
      <c r="K1301" s="9" t="s">
        <v>25648</v>
      </c>
      <c r="L1301" s="9" t="s">
        <v>17759</v>
      </c>
      <c r="M1301" s="9" t="s">
        <v>17760</v>
      </c>
      <c r="N1301" s="9" t="s">
        <v>17746</v>
      </c>
      <c r="O1301" s="9" t="s">
        <v>1675</v>
      </c>
      <c r="P1301" s="9" t="s">
        <v>17748</v>
      </c>
      <c r="Q1301" s="11" t="s">
        <v>18272</v>
      </c>
      <c r="R1301" s="11" t="s">
        <v>18272</v>
      </c>
      <c r="S1301" s="11" t="s">
        <v>17750</v>
      </c>
    </row>
    <row r="1302" spans="1:19" x14ac:dyDescent="0.2">
      <c r="A1302" s="11" t="s">
        <v>25666</v>
      </c>
      <c r="B1302" s="9" t="s">
        <v>25667</v>
      </c>
      <c r="C1302" s="9" t="s">
        <v>25668</v>
      </c>
      <c r="D1302" s="9" t="s">
        <v>25669</v>
      </c>
      <c r="E1302" s="9" t="s">
        <v>17740</v>
      </c>
      <c r="F1302" s="9" t="s">
        <v>17741</v>
      </c>
      <c r="G1302" s="9" t="s">
        <v>17740</v>
      </c>
      <c r="H1302" s="11" t="s">
        <v>14680</v>
      </c>
      <c r="I1302" s="11" t="s">
        <v>14679</v>
      </c>
      <c r="J1302" s="11" t="s">
        <v>14679</v>
      </c>
      <c r="K1302" s="9" t="s">
        <v>14681</v>
      </c>
      <c r="L1302" s="9" t="s">
        <v>20598</v>
      </c>
      <c r="M1302" s="9" t="s">
        <v>17760</v>
      </c>
      <c r="N1302" s="9" t="s">
        <v>17746</v>
      </c>
      <c r="O1302" s="9" t="s">
        <v>3276</v>
      </c>
      <c r="P1302" s="9" t="s">
        <v>17748</v>
      </c>
      <c r="Q1302" s="11" t="s">
        <v>17825</v>
      </c>
      <c r="R1302" s="11" t="s">
        <v>17825</v>
      </c>
      <c r="S1302" s="11" t="s">
        <v>17750</v>
      </c>
    </row>
    <row r="1303" spans="1:19" x14ac:dyDescent="0.2">
      <c r="A1303" s="11" t="s">
        <v>25670</v>
      </c>
      <c r="B1303" s="9" t="s">
        <v>25671</v>
      </c>
      <c r="C1303" s="9" t="s">
        <v>25672</v>
      </c>
      <c r="D1303" s="9" t="s">
        <v>25673</v>
      </c>
      <c r="E1303" s="9" t="s">
        <v>17740</v>
      </c>
      <c r="F1303" s="9" t="s">
        <v>17741</v>
      </c>
      <c r="G1303" s="9" t="s">
        <v>17740</v>
      </c>
      <c r="H1303" s="11" t="s">
        <v>1170</v>
      </c>
      <c r="I1303" s="11" t="s">
        <v>1169</v>
      </c>
      <c r="J1303" s="11" t="s">
        <v>1169</v>
      </c>
      <c r="K1303" s="9" t="s">
        <v>25648</v>
      </c>
      <c r="L1303" s="9" t="s">
        <v>17759</v>
      </c>
      <c r="M1303" s="9" t="s">
        <v>17760</v>
      </c>
      <c r="N1303" s="9" t="s">
        <v>17746</v>
      </c>
      <c r="O1303" s="9" t="s">
        <v>8489</v>
      </c>
      <c r="P1303" s="9" t="s">
        <v>17748</v>
      </c>
      <c r="Q1303" s="11" t="s">
        <v>17771</v>
      </c>
      <c r="R1303" s="11" t="s">
        <v>17771</v>
      </c>
      <c r="S1303" s="11" t="s">
        <v>17750</v>
      </c>
    </row>
    <row r="1304" spans="1:19" x14ac:dyDescent="0.2">
      <c r="A1304" s="11" t="s">
        <v>25674</v>
      </c>
      <c r="B1304" s="9" t="s">
        <v>25675</v>
      </c>
      <c r="C1304" s="9" t="s">
        <v>25676</v>
      </c>
      <c r="D1304" s="9" t="s">
        <v>25677</v>
      </c>
      <c r="E1304" s="9" t="s">
        <v>17740</v>
      </c>
      <c r="F1304" s="9" t="s">
        <v>17741</v>
      </c>
      <c r="G1304" s="9" t="s">
        <v>17740</v>
      </c>
      <c r="H1304" s="11" t="s">
        <v>1272</v>
      </c>
      <c r="I1304" s="11" t="s">
        <v>1271</v>
      </c>
      <c r="J1304" s="11" t="s">
        <v>1271</v>
      </c>
      <c r="K1304" s="9" t="s">
        <v>19564</v>
      </c>
      <c r="L1304" s="9" t="s">
        <v>17759</v>
      </c>
      <c r="M1304" s="9" t="s">
        <v>17760</v>
      </c>
      <c r="N1304" s="9" t="s">
        <v>17746</v>
      </c>
      <c r="O1304" s="9" t="s">
        <v>18035</v>
      </c>
      <c r="P1304" s="9" t="s">
        <v>17748</v>
      </c>
      <c r="Q1304" s="11" t="s">
        <v>17771</v>
      </c>
      <c r="R1304" s="11" t="s">
        <v>17771</v>
      </c>
      <c r="S1304" s="11" t="s">
        <v>17750</v>
      </c>
    </row>
    <row r="1305" spans="1:19" x14ac:dyDescent="0.2">
      <c r="A1305" s="11" t="s">
        <v>25678</v>
      </c>
      <c r="B1305" s="9" t="s">
        <v>25679</v>
      </c>
      <c r="C1305" s="9" t="s">
        <v>25680</v>
      </c>
      <c r="D1305" s="9" t="s">
        <v>25681</v>
      </c>
      <c r="E1305" s="9" t="s">
        <v>17748</v>
      </c>
      <c r="F1305" s="9" t="s">
        <v>25682</v>
      </c>
      <c r="G1305" s="9" t="s">
        <v>17740</v>
      </c>
      <c r="H1305" s="11" t="s">
        <v>1275</v>
      </c>
      <c r="I1305" s="11" t="s">
        <v>1274</v>
      </c>
      <c r="J1305" s="11" t="s">
        <v>1274</v>
      </c>
      <c r="K1305" s="9" t="s">
        <v>25648</v>
      </c>
      <c r="L1305" s="9" t="s">
        <v>17759</v>
      </c>
      <c r="M1305" s="9" t="s">
        <v>17760</v>
      </c>
      <c r="N1305" s="9" t="s">
        <v>17746</v>
      </c>
      <c r="O1305" s="9" t="s">
        <v>25683</v>
      </c>
      <c r="P1305" s="9" t="s">
        <v>17748</v>
      </c>
      <c r="Q1305" s="11" t="s">
        <v>18059</v>
      </c>
      <c r="R1305" s="11" t="s">
        <v>18059</v>
      </c>
      <c r="S1305" s="11" t="s">
        <v>17750</v>
      </c>
    </row>
    <row r="1306" spans="1:19" x14ac:dyDescent="0.2">
      <c r="A1306" s="11" t="s">
        <v>25684</v>
      </c>
      <c r="B1306" s="9" t="s">
        <v>25685</v>
      </c>
      <c r="C1306" s="9" t="s">
        <v>25686</v>
      </c>
      <c r="D1306" s="9" t="s">
        <v>25687</v>
      </c>
      <c r="E1306" s="9" t="s">
        <v>17740</v>
      </c>
      <c r="F1306" s="9" t="s">
        <v>17741</v>
      </c>
      <c r="G1306" s="9" t="s">
        <v>17740</v>
      </c>
      <c r="H1306" s="11" t="s">
        <v>4170</v>
      </c>
      <c r="I1306" s="11" t="s">
        <v>4169</v>
      </c>
      <c r="J1306" s="11" t="s">
        <v>4169</v>
      </c>
      <c r="K1306" s="9" t="s">
        <v>91</v>
      </c>
      <c r="L1306" s="9" t="s">
        <v>17759</v>
      </c>
      <c r="M1306" s="9" t="s">
        <v>25688</v>
      </c>
      <c r="N1306" s="9" t="s">
        <v>17746</v>
      </c>
      <c r="O1306" s="9" t="s">
        <v>19939</v>
      </c>
      <c r="P1306" s="9" t="s">
        <v>17748</v>
      </c>
      <c r="Q1306" s="11" t="s">
        <v>19515</v>
      </c>
      <c r="R1306" s="11" t="s">
        <v>19515</v>
      </c>
      <c r="S1306" s="11" t="s">
        <v>17750</v>
      </c>
    </row>
    <row r="1307" spans="1:19" x14ac:dyDescent="0.2">
      <c r="A1307" s="11" t="s">
        <v>25689</v>
      </c>
      <c r="B1307" s="9" t="s">
        <v>25690</v>
      </c>
      <c r="C1307" s="9" t="s">
        <v>25691</v>
      </c>
      <c r="D1307" s="9" t="s">
        <v>25692</v>
      </c>
      <c r="E1307" s="9" t="s">
        <v>17740</v>
      </c>
      <c r="F1307" s="9" t="s">
        <v>17741</v>
      </c>
      <c r="G1307" s="9" t="s">
        <v>17740</v>
      </c>
      <c r="H1307" s="11" t="s">
        <v>17741</v>
      </c>
      <c r="I1307" s="11" t="s">
        <v>25693</v>
      </c>
      <c r="J1307" s="11" t="s">
        <v>25693</v>
      </c>
      <c r="K1307" s="9" t="s">
        <v>25694</v>
      </c>
      <c r="L1307" s="9" t="s">
        <v>18001</v>
      </c>
      <c r="M1307" s="9" t="s">
        <v>17942</v>
      </c>
      <c r="N1307" s="9" t="s">
        <v>17746</v>
      </c>
      <c r="O1307" s="9" t="s">
        <v>17747</v>
      </c>
      <c r="P1307" s="9" t="s">
        <v>17748</v>
      </c>
      <c r="Q1307" s="11" t="s">
        <v>18072</v>
      </c>
      <c r="R1307" s="11" t="s">
        <v>18072</v>
      </c>
      <c r="S1307" s="11" t="s">
        <v>17750</v>
      </c>
    </row>
    <row r="1308" spans="1:19" x14ac:dyDescent="0.2">
      <c r="A1308" s="11" t="s">
        <v>25695</v>
      </c>
      <c r="B1308" s="9" t="s">
        <v>25696</v>
      </c>
      <c r="C1308" s="9" t="s">
        <v>25697</v>
      </c>
      <c r="D1308" s="9" t="s">
        <v>1190</v>
      </c>
      <c r="E1308" s="9" t="s">
        <v>17748</v>
      </c>
      <c r="F1308" s="9" t="s">
        <v>25698</v>
      </c>
      <c r="G1308" s="9" t="s">
        <v>17740</v>
      </c>
      <c r="H1308" s="11" t="s">
        <v>1192</v>
      </c>
      <c r="I1308" s="11" t="s">
        <v>1191</v>
      </c>
      <c r="J1308" s="11" t="s">
        <v>1191</v>
      </c>
      <c r="K1308" s="9" t="s">
        <v>1193</v>
      </c>
      <c r="L1308" s="9" t="s">
        <v>18959</v>
      </c>
      <c r="M1308" s="9" t="s">
        <v>19189</v>
      </c>
      <c r="N1308" s="9" t="s">
        <v>17746</v>
      </c>
      <c r="O1308" s="9" t="s">
        <v>17993</v>
      </c>
      <c r="P1308" s="9" t="s">
        <v>17748</v>
      </c>
      <c r="Q1308" s="11" t="s">
        <v>18960</v>
      </c>
      <c r="R1308" s="11" t="s">
        <v>18960</v>
      </c>
      <c r="S1308" s="11" t="s">
        <v>17750</v>
      </c>
    </row>
    <row r="1309" spans="1:19" x14ac:dyDescent="0.2">
      <c r="A1309" s="11" t="s">
        <v>25699</v>
      </c>
      <c r="B1309" s="9" t="s">
        <v>25700</v>
      </c>
      <c r="C1309" s="9" t="s">
        <v>25701</v>
      </c>
      <c r="D1309" s="9" t="s">
        <v>25702</v>
      </c>
      <c r="E1309" s="9" t="s">
        <v>17748</v>
      </c>
      <c r="F1309" s="9" t="s">
        <v>25703</v>
      </c>
      <c r="G1309" s="9" t="s">
        <v>17740</v>
      </c>
      <c r="H1309" s="11" t="s">
        <v>10897</v>
      </c>
      <c r="I1309" s="11" t="s">
        <v>10896</v>
      </c>
      <c r="J1309" s="11" t="s">
        <v>10896</v>
      </c>
      <c r="K1309" s="9" t="s">
        <v>20956</v>
      </c>
      <c r="L1309" s="9" t="s">
        <v>20976</v>
      </c>
      <c r="M1309" s="9" t="s">
        <v>19988</v>
      </c>
      <c r="N1309" s="9" t="s">
        <v>17746</v>
      </c>
      <c r="O1309" s="9" t="s">
        <v>25704</v>
      </c>
      <c r="P1309" s="9" t="s">
        <v>17748</v>
      </c>
      <c r="Q1309" s="11" t="s">
        <v>17762</v>
      </c>
      <c r="R1309" s="11" t="s">
        <v>17762</v>
      </c>
      <c r="S1309" s="11" t="s">
        <v>17750</v>
      </c>
    </row>
    <row r="1310" spans="1:19" x14ac:dyDescent="0.2">
      <c r="A1310" s="11" t="s">
        <v>25705</v>
      </c>
      <c r="B1310" s="9" t="s">
        <v>25706</v>
      </c>
      <c r="C1310" s="9" t="s">
        <v>25707</v>
      </c>
      <c r="D1310" s="9" t="s">
        <v>6378</v>
      </c>
      <c r="E1310" s="9" t="s">
        <v>17740</v>
      </c>
      <c r="F1310" s="9" t="s">
        <v>17741</v>
      </c>
      <c r="G1310" s="9" t="s">
        <v>17740</v>
      </c>
      <c r="H1310" s="11" t="s">
        <v>17741</v>
      </c>
      <c r="I1310" s="11" t="s">
        <v>6379</v>
      </c>
      <c r="J1310" s="11" t="s">
        <v>6379</v>
      </c>
      <c r="K1310" s="9" t="s">
        <v>19482</v>
      </c>
      <c r="L1310" s="9" t="s">
        <v>19483</v>
      </c>
      <c r="M1310" s="9" t="s">
        <v>17817</v>
      </c>
      <c r="N1310" s="9" t="s">
        <v>17746</v>
      </c>
      <c r="O1310" s="9" t="s">
        <v>25708</v>
      </c>
      <c r="P1310" s="9" t="s">
        <v>17748</v>
      </c>
      <c r="Q1310" s="11" t="s">
        <v>17808</v>
      </c>
      <c r="R1310" s="11" t="s">
        <v>17808</v>
      </c>
      <c r="S1310" s="11" t="s">
        <v>17750</v>
      </c>
    </row>
    <row r="1311" spans="1:19" x14ac:dyDescent="0.2">
      <c r="A1311" s="11" t="s">
        <v>25709</v>
      </c>
      <c r="B1311" s="9" t="s">
        <v>25710</v>
      </c>
      <c r="C1311" s="9" t="s">
        <v>25711</v>
      </c>
      <c r="D1311" s="9" t="s">
        <v>25712</v>
      </c>
      <c r="E1311" s="9" t="s">
        <v>17748</v>
      </c>
      <c r="F1311" s="9" t="s">
        <v>25713</v>
      </c>
      <c r="G1311" s="9" t="s">
        <v>17740</v>
      </c>
      <c r="H1311" s="11" t="s">
        <v>12756</v>
      </c>
      <c r="I1311" s="11" t="s">
        <v>12755</v>
      </c>
      <c r="J1311" s="11" t="s">
        <v>12755</v>
      </c>
      <c r="K1311" s="9" t="s">
        <v>970</v>
      </c>
      <c r="L1311" s="9" t="s">
        <v>17744</v>
      </c>
      <c r="M1311" s="9" t="s">
        <v>17760</v>
      </c>
      <c r="N1311" s="9" t="s">
        <v>17746</v>
      </c>
      <c r="O1311" s="9" t="s">
        <v>25714</v>
      </c>
      <c r="P1311" s="9" t="s">
        <v>17748</v>
      </c>
      <c r="Q1311" s="11" t="s">
        <v>18370</v>
      </c>
      <c r="R1311" s="11" t="s">
        <v>18370</v>
      </c>
      <c r="S1311" s="11" t="s">
        <v>17750</v>
      </c>
    </row>
    <row r="1312" spans="1:19" x14ac:dyDescent="0.2">
      <c r="A1312" s="11" t="s">
        <v>25715</v>
      </c>
      <c r="B1312" s="9" t="s">
        <v>25716</v>
      </c>
      <c r="C1312" s="9" t="s">
        <v>25717</v>
      </c>
      <c r="D1312" s="9" t="s">
        <v>25718</v>
      </c>
      <c r="E1312" s="9" t="s">
        <v>17740</v>
      </c>
      <c r="F1312" s="9" t="s">
        <v>17741</v>
      </c>
      <c r="G1312" s="9" t="s">
        <v>17740</v>
      </c>
      <c r="H1312" s="11" t="s">
        <v>17741</v>
      </c>
      <c r="I1312" s="11" t="s">
        <v>7851</v>
      </c>
      <c r="J1312" s="11" t="s">
        <v>7851</v>
      </c>
      <c r="K1312" s="9" t="s">
        <v>724</v>
      </c>
      <c r="L1312" s="9" t="s">
        <v>17759</v>
      </c>
      <c r="M1312" s="9" t="s">
        <v>18109</v>
      </c>
      <c r="N1312" s="9" t="s">
        <v>17746</v>
      </c>
      <c r="O1312" s="9" t="s">
        <v>19379</v>
      </c>
      <c r="P1312" s="9" t="s">
        <v>17748</v>
      </c>
      <c r="Q1312" s="11" t="s">
        <v>18201</v>
      </c>
      <c r="R1312" s="11" t="s">
        <v>18201</v>
      </c>
      <c r="S1312" s="11" t="s">
        <v>17750</v>
      </c>
    </row>
    <row r="1313" spans="1:19" x14ac:dyDescent="0.2">
      <c r="A1313" s="11" t="s">
        <v>25719</v>
      </c>
      <c r="B1313" s="9" t="s">
        <v>25720</v>
      </c>
      <c r="C1313" s="9" t="s">
        <v>25721</v>
      </c>
      <c r="D1313" s="9" t="s">
        <v>25722</v>
      </c>
      <c r="E1313" s="9" t="s">
        <v>17740</v>
      </c>
      <c r="F1313" s="9" t="s">
        <v>17741</v>
      </c>
      <c r="G1313" s="9" t="s">
        <v>17740</v>
      </c>
      <c r="H1313" s="11" t="s">
        <v>25723</v>
      </c>
      <c r="I1313" s="11" t="s">
        <v>25724</v>
      </c>
      <c r="J1313" s="11" t="s">
        <v>25724</v>
      </c>
      <c r="K1313" s="9" t="s">
        <v>19396</v>
      </c>
      <c r="L1313" s="9" t="s">
        <v>17744</v>
      </c>
      <c r="M1313" s="9" t="s">
        <v>25725</v>
      </c>
      <c r="N1313" s="9" t="s">
        <v>17746</v>
      </c>
      <c r="O1313" s="9" t="s">
        <v>19406</v>
      </c>
      <c r="P1313" s="9" t="s">
        <v>17748</v>
      </c>
      <c r="Q1313" s="11" t="s">
        <v>17784</v>
      </c>
      <c r="R1313" s="11" t="s">
        <v>17784</v>
      </c>
      <c r="S1313" s="11" t="s">
        <v>17750</v>
      </c>
    </row>
    <row r="1314" spans="1:19" x14ac:dyDescent="0.2">
      <c r="A1314" s="11" t="s">
        <v>25726</v>
      </c>
      <c r="B1314" s="9" t="s">
        <v>25727</v>
      </c>
      <c r="C1314" s="9" t="s">
        <v>25728</v>
      </c>
      <c r="D1314" s="9" t="s">
        <v>25729</v>
      </c>
      <c r="E1314" s="9" t="s">
        <v>17740</v>
      </c>
      <c r="F1314" s="9" t="s">
        <v>17741</v>
      </c>
      <c r="G1314" s="9" t="s">
        <v>17740</v>
      </c>
      <c r="H1314" s="11" t="s">
        <v>25730</v>
      </c>
      <c r="I1314" s="11" t="s">
        <v>17741</v>
      </c>
      <c r="J1314" s="11" t="s">
        <v>25731</v>
      </c>
      <c r="K1314" s="9" t="s">
        <v>17805</v>
      </c>
      <c r="L1314" s="9" t="s">
        <v>17744</v>
      </c>
      <c r="M1314" s="9" t="s">
        <v>17760</v>
      </c>
      <c r="N1314" s="9" t="s">
        <v>17746</v>
      </c>
      <c r="O1314" s="9" t="s">
        <v>25732</v>
      </c>
      <c r="P1314" s="9" t="s">
        <v>17748</v>
      </c>
      <c r="Q1314" s="11" t="s">
        <v>23398</v>
      </c>
      <c r="R1314" s="11" t="s">
        <v>23398</v>
      </c>
      <c r="S1314" s="11" t="s">
        <v>17750</v>
      </c>
    </row>
    <row r="1315" spans="1:19" x14ac:dyDescent="0.2">
      <c r="A1315" s="11" t="s">
        <v>25733</v>
      </c>
      <c r="B1315" s="9" t="s">
        <v>25734</v>
      </c>
      <c r="C1315" s="9" t="s">
        <v>25735</v>
      </c>
      <c r="D1315" s="9" t="s">
        <v>25736</v>
      </c>
      <c r="E1315" s="9" t="s">
        <v>17748</v>
      </c>
      <c r="F1315" s="9" t="s">
        <v>25737</v>
      </c>
      <c r="G1315" s="9" t="s">
        <v>17740</v>
      </c>
      <c r="H1315" s="11" t="s">
        <v>25738</v>
      </c>
      <c r="I1315" s="11" t="s">
        <v>17741</v>
      </c>
      <c r="J1315" s="11" t="s">
        <v>25738</v>
      </c>
      <c r="K1315" s="9" t="s">
        <v>17741</v>
      </c>
      <c r="L1315" s="9" t="s">
        <v>18058</v>
      </c>
      <c r="M1315" s="9" t="s">
        <v>17769</v>
      </c>
      <c r="N1315" s="9" t="s">
        <v>17746</v>
      </c>
      <c r="O1315" s="9" t="s">
        <v>25739</v>
      </c>
      <c r="P1315" s="9" t="s">
        <v>17748</v>
      </c>
      <c r="Q1315" s="11" t="s">
        <v>18089</v>
      </c>
      <c r="R1315" s="11" t="s">
        <v>18089</v>
      </c>
      <c r="S1315" s="11" t="s">
        <v>17750</v>
      </c>
    </row>
    <row r="1316" spans="1:19" x14ac:dyDescent="0.2">
      <c r="A1316" s="11" t="s">
        <v>25740</v>
      </c>
      <c r="B1316" s="9" t="s">
        <v>7898</v>
      </c>
      <c r="C1316" s="9" t="s">
        <v>25741</v>
      </c>
      <c r="D1316" s="9" t="s">
        <v>7898</v>
      </c>
      <c r="E1316" s="9" t="s">
        <v>17740</v>
      </c>
      <c r="F1316" s="9" t="s">
        <v>17741</v>
      </c>
      <c r="G1316" s="9" t="s">
        <v>17740</v>
      </c>
      <c r="H1316" s="11" t="s">
        <v>7900</v>
      </c>
      <c r="I1316" s="11" t="s">
        <v>7899</v>
      </c>
      <c r="J1316" s="11" t="s">
        <v>7899</v>
      </c>
      <c r="K1316" s="9" t="s">
        <v>91</v>
      </c>
      <c r="L1316" s="9" t="s">
        <v>18001</v>
      </c>
      <c r="M1316" s="9" t="s">
        <v>25742</v>
      </c>
      <c r="N1316" s="9" t="s">
        <v>17746</v>
      </c>
      <c r="O1316" s="9" t="s">
        <v>18514</v>
      </c>
      <c r="P1316" s="9" t="s">
        <v>17748</v>
      </c>
      <c r="Q1316" s="11" t="s">
        <v>19082</v>
      </c>
      <c r="R1316" s="11" t="s">
        <v>19082</v>
      </c>
      <c r="S1316" s="11" t="s">
        <v>17750</v>
      </c>
    </row>
    <row r="1317" spans="1:19" x14ac:dyDescent="0.2">
      <c r="A1317" s="11" t="s">
        <v>25743</v>
      </c>
      <c r="B1317" s="9" t="s">
        <v>25744</v>
      </c>
      <c r="C1317" s="9" t="s">
        <v>25745</v>
      </c>
      <c r="D1317" s="9" t="s">
        <v>25746</v>
      </c>
      <c r="E1317" s="9" t="s">
        <v>17740</v>
      </c>
      <c r="F1317" s="9" t="s">
        <v>17741</v>
      </c>
      <c r="G1317" s="9" t="s">
        <v>17740</v>
      </c>
      <c r="H1317" s="11" t="s">
        <v>8279</v>
      </c>
      <c r="I1317" s="11" t="s">
        <v>8278</v>
      </c>
      <c r="J1317" s="11" t="s">
        <v>8278</v>
      </c>
      <c r="K1317" s="9" t="s">
        <v>25444</v>
      </c>
      <c r="L1317" s="9" t="s">
        <v>17744</v>
      </c>
      <c r="M1317" s="9" t="s">
        <v>19938</v>
      </c>
      <c r="N1317" s="9" t="s">
        <v>17746</v>
      </c>
      <c r="O1317" s="9" t="s">
        <v>18514</v>
      </c>
      <c r="P1317" s="9" t="s">
        <v>17748</v>
      </c>
      <c r="Q1317" s="11" t="s">
        <v>18364</v>
      </c>
      <c r="R1317" s="11" t="s">
        <v>18364</v>
      </c>
      <c r="S1317" s="11" t="s">
        <v>17750</v>
      </c>
    </row>
    <row r="1318" spans="1:19" x14ac:dyDescent="0.2">
      <c r="A1318" s="11" t="s">
        <v>25747</v>
      </c>
      <c r="B1318" s="9" t="s">
        <v>25748</v>
      </c>
      <c r="C1318" s="9" t="s">
        <v>25749</v>
      </c>
      <c r="D1318" s="9" t="s">
        <v>25750</v>
      </c>
      <c r="E1318" s="9" t="s">
        <v>17748</v>
      </c>
      <c r="F1318" s="9" t="s">
        <v>25751</v>
      </c>
      <c r="G1318" s="9" t="s">
        <v>17740</v>
      </c>
      <c r="H1318" s="11" t="s">
        <v>25752</v>
      </c>
      <c r="I1318" s="11" t="s">
        <v>9806</v>
      </c>
      <c r="J1318" s="11" t="s">
        <v>9806</v>
      </c>
      <c r="K1318" s="9" t="s">
        <v>17758</v>
      </c>
      <c r="L1318" s="9" t="s">
        <v>17759</v>
      </c>
      <c r="M1318" s="9" t="s">
        <v>17760</v>
      </c>
      <c r="N1318" s="9" t="s">
        <v>17746</v>
      </c>
      <c r="O1318" s="9" t="s">
        <v>25753</v>
      </c>
      <c r="P1318" s="9" t="s">
        <v>17748</v>
      </c>
      <c r="Q1318" s="11" t="s">
        <v>17858</v>
      </c>
      <c r="R1318" s="11" t="s">
        <v>17858</v>
      </c>
      <c r="S1318" s="11" t="s">
        <v>17750</v>
      </c>
    </row>
    <row r="1319" spans="1:19" x14ac:dyDescent="0.2">
      <c r="A1319" s="11" t="s">
        <v>25754</v>
      </c>
      <c r="B1319" s="9" t="s">
        <v>25755</v>
      </c>
      <c r="C1319" s="9" t="s">
        <v>25756</v>
      </c>
      <c r="D1319" s="9" t="s">
        <v>25757</v>
      </c>
      <c r="E1319" s="9" t="s">
        <v>17740</v>
      </c>
      <c r="F1319" s="9" t="s">
        <v>25758</v>
      </c>
      <c r="G1319" s="9" t="s">
        <v>17740</v>
      </c>
      <c r="H1319" s="11" t="s">
        <v>25759</v>
      </c>
      <c r="I1319" s="11" t="s">
        <v>25760</v>
      </c>
      <c r="J1319" s="11" t="s">
        <v>25760</v>
      </c>
      <c r="K1319" s="9" t="s">
        <v>291</v>
      </c>
      <c r="L1319" s="9" t="s">
        <v>17744</v>
      </c>
      <c r="M1319" s="9" t="s">
        <v>17760</v>
      </c>
      <c r="N1319" s="9" t="s">
        <v>17746</v>
      </c>
      <c r="O1319" s="9" t="s">
        <v>22066</v>
      </c>
      <c r="P1319" s="9" t="s">
        <v>17748</v>
      </c>
      <c r="Q1319" s="11" t="s">
        <v>17994</v>
      </c>
      <c r="R1319" s="11" t="s">
        <v>17994</v>
      </c>
      <c r="S1319" s="11" t="s">
        <v>17750</v>
      </c>
    </row>
    <row r="1320" spans="1:19" x14ac:dyDescent="0.2">
      <c r="A1320" s="11" t="s">
        <v>25761</v>
      </c>
      <c r="B1320" s="9" t="s">
        <v>25762</v>
      </c>
      <c r="C1320" s="9" t="s">
        <v>25763</v>
      </c>
      <c r="D1320" s="9" t="s">
        <v>25764</v>
      </c>
      <c r="E1320" s="9" t="s">
        <v>17740</v>
      </c>
      <c r="F1320" s="9" t="s">
        <v>17741</v>
      </c>
      <c r="G1320" s="9" t="s">
        <v>17740</v>
      </c>
      <c r="H1320" s="11" t="s">
        <v>8076</v>
      </c>
      <c r="I1320" s="11" t="s">
        <v>8075</v>
      </c>
      <c r="J1320" s="11" t="s">
        <v>8075</v>
      </c>
      <c r="K1320" s="9" t="s">
        <v>291</v>
      </c>
      <c r="L1320" s="9" t="s">
        <v>17744</v>
      </c>
      <c r="M1320" s="9" t="s">
        <v>25765</v>
      </c>
      <c r="N1320" s="9" t="s">
        <v>17746</v>
      </c>
      <c r="O1320" s="9" t="s">
        <v>19379</v>
      </c>
      <c r="P1320" s="9" t="s">
        <v>17748</v>
      </c>
      <c r="Q1320" s="11" t="s">
        <v>23398</v>
      </c>
      <c r="R1320" s="11" t="s">
        <v>23398</v>
      </c>
      <c r="S1320" s="11" t="s">
        <v>17750</v>
      </c>
    </row>
    <row r="1321" spans="1:19" x14ac:dyDescent="0.2">
      <c r="A1321" s="11" t="s">
        <v>25766</v>
      </c>
      <c r="B1321" s="9" t="s">
        <v>25767</v>
      </c>
      <c r="C1321" s="9" t="s">
        <v>25768</v>
      </c>
      <c r="D1321" s="9" t="s">
        <v>25769</v>
      </c>
      <c r="E1321" s="9" t="s">
        <v>17740</v>
      </c>
      <c r="F1321" s="9" t="s">
        <v>17741</v>
      </c>
      <c r="G1321" s="9" t="s">
        <v>17740</v>
      </c>
      <c r="H1321" s="11" t="s">
        <v>25770</v>
      </c>
      <c r="I1321" s="11" t="s">
        <v>25771</v>
      </c>
      <c r="J1321" s="11" t="s">
        <v>25771</v>
      </c>
      <c r="K1321" s="9" t="s">
        <v>291</v>
      </c>
      <c r="L1321" s="9" t="s">
        <v>17744</v>
      </c>
      <c r="M1321" s="9" t="s">
        <v>18177</v>
      </c>
      <c r="N1321" s="9" t="s">
        <v>17746</v>
      </c>
      <c r="O1321" s="9" t="s">
        <v>21109</v>
      </c>
      <c r="P1321" s="9" t="s">
        <v>17748</v>
      </c>
      <c r="Q1321" s="11" t="s">
        <v>18341</v>
      </c>
      <c r="R1321" s="11" t="s">
        <v>18341</v>
      </c>
      <c r="S1321" s="11" t="s">
        <v>17750</v>
      </c>
    </row>
    <row r="1322" spans="1:19" x14ac:dyDescent="0.2">
      <c r="A1322" s="11" t="s">
        <v>25772</v>
      </c>
      <c r="B1322" s="9" t="s">
        <v>25773</v>
      </c>
      <c r="C1322" s="9" t="s">
        <v>25774</v>
      </c>
      <c r="D1322" s="9" t="s">
        <v>25775</v>
      </c>
      <c r="E1322" s="9" t="s">
        <v>17740</v>
      </c>
      <c r="F1322" s="9" t="s">
        <v>17741</v>
      </c>
      <c r="G1322" s="9" t="s">
        <v>17740</v>
      </c>
      <c r="H1322" s="11" t="s">
        <v>14753</v>
      </c>
      <c r="I1322" s="11" t="s">
        <v>14752</v>
      </c>
      <c r="J1322" s="11" t="s">
        <v>14752</v>
      </c>
      <c r="K1322" s="9" t="s">
        <v>25444</v>
      </c>
      <c r="L1322" s="9" t="s">
        <v>17744</v>
      </c>
      <c r="M1322" s="9" t="s">
        <v>17741</v>
      </c>
      <c r="N1322" s="9" t="s">
        <v>17746</v>
      </c>
      <c r="O1322" s="9" t="s">
        <v>21109</v>
      </c>
      <c r="P1322" s="9" t="s">
        <v>17748</v>
      </c>
      <c r="Q1322" s="11" t="s">
        <v>17900</v>
      </c>
      <c r="R1322" s="11" t="s">
        <v>17900</v>
      </c>
      <c r="S1322" s="11" t="s">
        <v>17750</v>
      </c>
    </row>
    <row r="1323" spans="1:19" x14ac:dyDescent="0.2">
      <c r="A1323" s="11" t="s">
        <v>25776</v>
      </c>
      <c r="B1323" s="9" t="s">
        <v>25777</v>
      </c>
      <c r="C1323" s="9" t="s">
        <v>25778</v>
      </c>
      <c r="D1323" s="9" t="s">
        <v>25779</v>
      </c>
      <c r="E1323" s="9" t="s">
        <v>17740</v>
      </c>
      <c r="F1323" s="9" t="s">
        <v>17741</v>
      </c>
      <c r="G1323" s="9" t="s">
        <v>17740</v>
      </c>
      <c r="H1323" s="11" t="s">
        <v>10585</v>
      </c>
      <c r="I1323" s="11" t="s">
        <v>10584</v>
      </c>
      <c r="J1323" s="11" t="s">
        <v>17741</v>
      </c>
      <c r="K1323" s="9" t="s">
        <v>167</v>
      </c>
      <c r="L1323" s="9" t="s">
        <v>18158</v>
      </c>
      <c r="M1323" s="9" t="s">
        <v>17760</v>
      </c>
      <c r="N1323" s="9" t="s">
        <v>17746</v>
      </c>
      <c r="O1323" s="9" t="s">
        <v>18514</v>
      </c>
      <c r="P1323" s="9" t="s">
        <v>17748</v>
      </c>
      <c r="Q1323" s="11" t="s">
        <v>17784</v>
      </c>
      <c r="R1323" s="11" t="s">
        <v>17784</v>
      </c>
      <c r="S1323" s="11" t="s">
        <v>17750</v>
      </c>
    </row>
    <row r="1324" spans="1:19" x14ac:dyDescent="0.2">
      <c r="A1324" s="11" t="s">
        <v>25780</v>
      </c>
      <c r="B1324" s="9" t="s">
        <v>25781</v>
      </c>
      <c r="C1324" s="9" t="s">
        <v>25782</v>
      </c>
      <c r="D1324" s="9" t="s">
        <v>25783</v>
      </c>
      <c r="E1324" s="9" t="s">
        <v>17740</v>
      </c>
      <c r="F1324" s="9" t="s">
        <v>17741</v>
      </c>
      <c r="G1324" s="9" t="s">
        <v>17740</v>
      </c>
      <c r="H1324" s="11" t="s">
        <v>25784</v>
      </c>
      <c r="I1324" s="11" t="s">
        <v>25785</v>
      </c>
      <c r="J1324" s="11" t="s">
        <v>25785</v>
      </c>
      <c r="K1324" s="9" t="s">
        <v>601</v>
      </c>
      <c r="L1324" s="9" t="s">
        <v>17759</v>
      </c>
      <c r="M1324" s="9" t="s">
        <v>18177</v>
      </c>
      <c r="N1324" s="9" t="s">
        <v>17746</v>
      </c>
      <c r="O1324" s="9" t="s">
        <v>18514</v>
      </c>
      <c r="P1324" s="9" t="s">
        <v>17748</v>
      </c>
      <c r="Q1324" s="11" t="s">
        <v>18282</v>
      </c>
      <c r="R1324" s="11" t="s">
        <v>18282</v>
      </c>
      <c r="S1324" s="11" t="s">
        <v>17750</v>
      </c>
    </row>
    <row r="1325" spans="1:19" x14ac:dyDescent="0.2">
      <c r="A1325" s="11" t="s">
        <v>25786</v>
      </c>
      <c r="B1325" s="9" t="s">
        <v>25787</v>
      </c>
      <c r="C1325" s="9" t="s">
        <v>25788</v>
      </c>
      <c r="D1325" s="9" t="s">
        <v>25789</v>
      </c>
      <c r="E1325" s="9" t="s">
        <v>17740</v>
      </c>
      <c r="F1325" s="9" t="s">
        <v>25790</v>
      </c>
      <c r="G1325" s="9" t="s">
        <v>17740</v>
      </c>
      <c r="H1325" s="11" t="s">
        <v>25791</v>
      </c>
      <c r="I1325" s="11" t="s">
        <v>25792</v>
      </c>
      <c r="J1325" s="11" t="s">
        <v>25792</v>
      </c>
      <c r="K1325" s="9" t="s">
        <v>970</v>
      </c>
      <c r="L1325" s="9" t="s">
        <v>17759</v>
      </c>
      <c r="M1325" s="9" t="s">
        <v>19546</v>
      </c>
      <c r="N1325" s="9" t="s">
        <v>17746</v>
      </c>
      <c r="O1325" s="9" t="s">
        <v>18514</v>
      </c>
      <c r="P1325" s="9" t="s">
        <v>17748</v>
      </c>
      <c r="Q1325" s="11" t="s">
        <v>18600</v>
      </c>
      <c r="R1325" s="11" t="s">
        <v>18600</v>
      </c>
      <c r="S1325" s="11" t="s">
        <v>17750</v>
      </c>
    </row>
    <row r="1326" spans="1:19" x14ac:dyDescent="0.2">
      <c r="A1326" s="11" t="s">
        <v>25793</v>
      </c>
      <c r="B1326" s="9" t="s">
        <v>25794</v>
      </c>
      <c r="C1326" s="9" t="s">
        <v>25795</v>
      </c>
      <c r="D1326" s="9" t="s">
        <v>25796</v>
      </c>
      <c r="E1326" s="9" t="s">
        <v>17740</v>
      </c>
      <c r="F1326" s="9" t="s">
        <v>25797</v>
      </c>
      <c r="G1326" s="9" t="s">
        <v>17740</v>
      </c>
      <c r="H1326" s="11" t="s">
        <v>25798</v>
      </c>
      <c r="I1326" s="11" t="s">
        <v>25799</v>
      </c>
      <c r="J1326" s="11" t="s">
        <v>25799</v>
      </c>
      <c r="K1326" s="9" t="s">
        <v>17783</v>
      </c>
      <c r="L1326" s="9" t="s">
        <v>17759</v>
      </c>
      <c r="M1326" s="9" t="s">
        <v>17760</v>
      </c>
      <c r="N1326" s="9" t="s">
        <v>17746</v>
      </c>
      <c r="O1326" s="9" t="s">
        <v>22096</v>
      </c>
      <c r="P1326" s="9" t="s">
        <v>17748</v>
      </c>
      <c r="Q1326" s="11" t="s">
        <v>18922</v>
      </c>
      <c r="R1326" s="11" t="s">
        <v>18922</v>
      </c>
      <c r="S1326" s="11" t="s">
        <v>17750</v>
      </c>
    </row>
    <row r="1327" spans="1:19" x14ac:dyDescent="0.2">
      <c r="A1327" s="11" t="s">
        <v>25800</v>
      </c>
      <c r="B1327" s="9" t="s">
        <v>25801</v>
      </c>
      <c r="C1327" s="9" t="s">
        <v>25802</v>
      </c>
      <c r="D1327" s="9" t="s">
        <v>25803</v>
      </c>
      <c r="E1327" s="9" t="s">
        <v>17740</v>
      </c>
      <c r="F1327" s="9" t="s">
        <v>17741</v>
      </c>
      <c r="G1327" s="9" t="s">
        <v>17740</v>
      </c>
      <c r="H1327" s="11" t="s">
        <v>25804</v>
      </c>
      <c r="I1327" s="11" t="s">
        <v>17741</v>
      </c>
      <c r="J1327" s="11" t="s">
        <v>17741</v>
      </c>
      <c r="K1327" s="9" t="s">
        <v>1307</v>
      </c>
      <c r="L1327" s="9" t="s">
        <v>17759</v>
      </c>
      <c r="M1327" s="9" t="s">
        <v>17817</v>
      </c>
      <c r="N1327" s="9" t="s">
        <v>17746</v>
      </c>
      <c r="O1327" s="9" t="s">
        <v>17977</v>
      </c>
      <c r="P1327" s="9" t="s">
        <v>17748</v>
      </c>
      <c r="Q1327" s="11" t="s">
        <v>17825</v>
      </c>
      <c r="R1327" s="11" t="s">
        <v>17825</v>
      </c>
      <c r="S1327" s="11" t="s">
        <v>17750</v>
      </c>
    </row>
    <row r="1328" spans="1:19" x14ac:dyDescent="0.2">
      <c r="A1328" s="11" t="s">
        <v>25805</v>
      </c>
      <c r="B1328" s="9" t="s">
        <v>25806</v>
      </c>
      <c r="C1328" s="9" t="s">
        <v>25807</v>
      </c>
      <c r="D1328" s="9" t="s">
        <v>25808</v>
      </c>
      <c r="E1328" s="9" t="s">
        <v>17740</v>
      </c>
      <c r="F1328" s="9" t="s">
        <v>17741</v>
      </c>
      <c r="G1328" s="9" t="s">
        <v>17740</v>
      </c>
      <c r="H1328" s="11" t="s">
        <v>17079</v>
      </c>
      <c r="I1328" s="11" t="s">
        <v>17741</v>
      </c>
      <c r="J1328" s="11" t="s">
        <v>17741</v>
      </c>
      <c r="K1328" s="9" t="s">
        <v>1307</v>
      </c>
      <c r="L1328" s="9" t="s">
        <v>17759</v>
      </c>
      <c r="M1328" s="9" t="s">
        <v>17817</v>
      </c>
      <c r="N1328" s="9" t="s">
        <v>17746</v>
      </c>
      <c r="O1328" s="9" t="s">
        <v>17993</v>
      </c>
      <c r="P1328" s="9" t="s">
        <v>17748</v>
      </c>
      <c r="Q1328" s="11" t="s">
        <v>17909</v>
      </c>
      <c r="R1328" s="11" t="s">
        <v>17909</v>
      </c>
      <c r="S1328" s="11" t="s">
        <v>17750</v>
      </c>
    </row>
    <row r="1329" spans="1:19" x14ac:dyDescent="0.2">
      <c r="A1329" s="11" t="s">
        <v>25809</v>
      </c>
      <c r="B1329" s="9" t="s">
        <v>25810</v>
      </c>
      <c r="C1329" s="9" t="s">
        <v>25811</v>
      </c>
      <c r="D1329" s="9" t="s">
        <v>25812</v>
      </c>
      <c r="E1329" s="9" t="s">
        <v>17740</v>
      </c>
      <c r="F1329" s="9" t="s">
        <v>25813</v>
      </c>
      <c r="G1329" s="9" t="s">
        <v>17740</v>
      </c>
      <c r="H1329" s="11" t="s">
        <v>12237</v>
      </c>
      <c r="I1329" s="11" t="s">
        <v>12236</v>
      </c>
      <c r="J1329" s="11" t="s">
        <v>12237</v>
      </c>
      <c r="K1329" s="9" t="s">
        <v>1307</v>
      </c>
      <c r="L1329" s="9" t="s">
        <v>17759</v>
      </c>
      <c r="M1329" s="9" t="s">
        <v>17817</v>
      </c>
      <c r="N1329" s="9" t="s">
        <v>17746</v>
      </c>
      <c r="O1329" s="9" t="s">
        <v>20498</v>
      </c>
      <c r="P1329" s="9" t="s">
        <v>17748</v>
      </c>
      <c r="Q1329" s="11" t="s">
        <v>17825</v>
      </c>
      <c r="R1329" s="11" t="s">
        <v>17825</v>
      </c>
      <c r="S1329" s="11" t="s">
        <v>17750</v>
      </c>
    </row>
    <row r="1330" spans="1:19" x14ac:dyDescent="0.2">
      <c r="A1330" s="11" t="s">
        <v>25814</v>
      </c>
      <c r="B1330" s="9" t="s">
        <v>25815</v>
      </c>
      <c r="C1330" s="9" t="s">
        <v>25816</v>
      </c>
      <c r="D1330" s="9" t="s">
        <v>25817</v>
      </c>
      <c r="E1330" s="9" t="s">
        <v>17740</v>
      </c>
      <c r="F1330" s="9" t="s">
        <v>17741</v>
      </c>
      <c r="G1330" s="9" t="s">
        <v>17740</v>
      </c>
      <c r="H1330" s="11" t="s">
        <v>25818</v>
      </c>
      <c r="I1330" s="11" t="s">
        <v>1306</v>
      </c>
      <c r="J1330" s="11" t="s">
        <v>1306</v>
      </c>
      <c r="K1330" s="9" t="s">
        <v>1307</v>
      </c>
      <c r="L1330" s="9" t="s">
        <v>17759</v>
      </c>
      <c r="M1330" s="9" t="s">
        <v>18745</v>
      </c>
      <c r="N1330" s="9" t="s">
        <v>17746</v>
      </c>
      <c r="O1330" s="9" t="s">
        <v>17977</v>
      </c>
      <c r="P1330" s="9" t="s">
        <v>17748</v>
      </c>
      <c r="Q1330" s="11" t="s">
        <v>25031</v>
      </c>
      <c r="R1330" s="11" t="s">
        <v>25031</v>
      </c>
      <c r="S1330" s="11" t="s">
        <v>17750</v>
      </c>
    </row>
    <row r="1331" spans="1:19" x14ac:dyDescent="0.2">
      <c r="A1331" s="11" t="s">
        <v>25819</v>
      </c>
      <c r="B1331" s="9" t="s">
        <v>25820</v>
      </c>
      <c r="C1331" s="9" t="s">
        <v>25821</v>
      </c>
      <c r="D1331" s="9" t="s">
        <v>25822</v>
      </c>
      <c r="E1331" s="9" t="s">
        <v>17740</v>
      </c>
      <c r="F1331" s="9" t="s">
        <v>17741</v>
      </c>
      <c r="G1331" s="9" t="s">
        <v>17740</v>
      </c>
      <c r="H1331" s="11" t="s">
        <v>17741</v>
      </c>
      <c r="I1331" s="11" t="s">
        <v>25823</v>
      </c>
      <c r="J1331" s="11" t="s">
        <v>25823</v>
      </c>
      <c r="K1331" s="9" t="s">
        <v>25824</v>
      </c>
      <c r="L1331" s="9" t="s">
        <v>20082</v>
      </c>
      <c r="M1331" s="9" t="s">
        <v>17778</v>
      </c>
      <c r="N1331" s="9" t="s">
        <v>17746</v>
      </c>
      <c r="O1331" s="9" t="s">
        <v>17800</v>
      </c>
      <c r="P1331" s="9" t="s">
        <v>17748</v>
      </c>
      <c r="Q1331" s="11" t="s">
        <v>17808</v>
      </c>
      <c r="R1331" s="11" t="s">
        <v>17808</v>
      </c>
      <c r="S1331" s="11" t="s">
        <v>17750</v>
      </c>
    </row>
    <row r="1332" spans="1:19" x14ac:dyDescent="0.2">
      <c r="A1332" s="11" t="s">
        <v>25825</v>
      </c>
      <c r="B1332" s="9" t="s">
        <v>25826</v>
      </c>
      <c r="C1332" s="9" t="s">
        <v>25827</v>
      </c>
      <c r="D1332" s="9" t="s">
        <v>25828</v>
      </c>
      <c r="E1332" s="9" t="s">
        <v>17740</v>
      </c>
      <c r="F1332" s="9" t="s">
        <v>17741</v>
      </c>
      <c r="G1332" s="9" t="s">
        <v>17740</v>
      </c>
      <c r="H1332" s="11" t="s">
        <v>17741</v>
      </c>
      <c r="I1332" s="11" t="s">
        <v>25829</v>
      </c>
      <c r="J1332" s="11" t="s">
        <v>25829</v>
      </c>
      <c r="K1332" s="9" t="s">
        <v>25830</v>
      </c>
      <c r="L1332" s="9" t="s">
        <v>18079</v>
      </c>
      <c r="M1332" s="9" t="s">
        <v>18211</v>
      </c>
      <c r="N1332" s="9" t="s">
        <v>17746</v>
      </c>
      <c r="O1332" s="9" t="s">
        <v>20943</v>
      </c>
      <c r="P1332" s="9" t="s">
        <v>17748</v>
      </c>
      <c r="Q1332" s="11" t="s">
        <v>18600</v>
      </c>
      <c r="R1332" s="11" t="s">
        <v>18600</v>
      </c>
      <c r="S1332" s="11" t="s">
        <v>17750</v>
      </c>
    </row>
    <row r="1333" spans="1:19" x14ac:dyDescent="0.2">
      <c r="A1333" s="11" t="s">
        <v>25831</v>
      </c>
      <c r="B1333" s="9" t="s">
        <v>25832</v>
      </c>
      <c r="C1333" s="9" t="s">
        <v>25833</v>
      </c>
      <c r="D1333" s="9" t="s">
        <v>25834</v>
      </c>
      <c r="E1333" s="9" t="s">
        <v>17740</v>
      </c>
      <c r="F1333" s="9" t="s">
        <v>25835</v>
      </c>
      <c r="G1333" s="9" t="s">
        <v>17740</v>
      </c>
      <c r="H1333" s="11" t="s">
        <v>6761</v>
      </c>
      <c r="I1333" s="11" t="s">
        <v>6760</v>
      </c>
      <c r="J1333" s="11" t="s">
        <v>6760</v>
      </c>
      <c r="K1333" s="9" t="s">
        <v>91</v>
      </c>
      <c r="L1333" s="9" t="s">
        <v>18001</v>
      </c>
      <c r="M1333" s="9" t="s">
        <v>25836</v>
      </c>
      <c r="N1333" s="9" t="s">
        <v>17746</v>
      </c>
      <c r="O1333" s="9" t="s">
        <v>17882</v>
      </c>
      <c r="P1333" s="9" t="s">
        <v>17748</v>
      </c>
      <c r="Q1333" s="11" t="s">
        <v>17792</v>
      </c>
      <c r="R1333" s="11" t="s">
        <v>17792</v>
      </c>
      <c r="S1333" s="11" t="s">
        <v>17750</v>
      </c>
    </row>
    <row r="1334" spans="1:19" x14ac:dyDescent="0.2">
      <c r="A1334" s="11" t="s">
        <v>25837</v>
      </c>
      <c r="B1334" s="9" t="s">
        <v>25838</v>
      </c>
      <c r="C1334" s="9" t="s">
        <v>25839</v>
      </c>
      <c r="D1334" s="9" t="s">
        <v>25840</v>
      </c>
      <c r="E1334" s="9" t="s">
        <v>17740</v>
      </c>
      <c r="F1334" s="9" t="s">
        <v>25841</v>
      </c>
      <c r="G1334" s="9" t="s">
        <v>17740</v>
      </c>
      <c r="H1334" s="11" t="s">
        <v>17741</v>
      </c>
      <c r="I1334" s="11" t="s">
        <v>25842</v>
      </c>
      <c r="J1334" s="11" t="s">
        <v>25842</v>
      </c>
      <c r="K1334" s="9" t="s">
        <v>25843</v>
      </c>
      <c r="L1334" s="9" t="s">
        <v>17759</v>
      </c>
      <c r="M1334" s="9" t="s">
        <v>17778</v>
      </c>
      <c r="N1334" s="9" t="s">
        <v>17746</v>
      </c>
      <c r="O1334" s="9" t="s">
        <v>17800</v>
      </c>
      <c r="P1334" s="9" t="s">
        <v>17748</v>
      </c>
      <c r="Q1334" s="11" t="s">
        <v>18960</v>
      </c>
      <c r="R1334" s="11" t="s">
        <v>18960</v>
      </c>
      <c r="S1334" s="11" t="s">
        <v>17750</v>
      </c>
    </row>
    <row r="1335" spans="1:19" x14ac:dyDescent="0.2">
      <c r="A1335" s="11" t="s">
        <v>25844</v>
      </c>
      <c r="B1335" s="9" t="s">
        <v>25845</v>
      </c>
      <c r="C1335" s="9" t="s">
        <v>25846</v>
      </c>
      <c r="D1335" s="9" t="s">
        <v>25847</v>
      </c>
      <c r="E1335" s="9" t="s">
        <v>17740</v>
      </c>
      <c r="F1335" s="9" t="s">
        <v>17741</v>
      </c>
      <c r="G1335" s="9" t="s">
        <v>17740</v>
      </c>
      <c r="H1335" s="11" t="s">
        <v>8047</v>
      </c>
      <c r="I1335" s="11" t="s">
        <v>8046</v>
      </c>
      <c r="J1335" s="11" t="s">
        <v>8046</v>
      </c>
      <c r="K1335" s="9" t="s">
        <v>25848</v>
      </c>
      <c r="L1335" s="9" t="s">
        <v>17744</v>
      </c>
      <c r="M1335" s="9" t="s">
        <v>17769</v>
      </c>
      <c r="N1335" s="9" t="s">
        <v>17746</v>
      </c>
      <c r="O1335" s="9" t="s">
        <v>1675</v>
      </c>
      <c r="P1335" s="9" t="s">
        <v>17748</v>
      </c>
      <c r="Q1335" s="11" t="s">
        <v>18356</v>
      </c>
      <c r="R1335" s="11" t="s">
        <v>18356</v>
      </c>
      <c r="S1335" s="11" t="s">
        <v>17750</v>
      </c>
    </row>
    <row r="1336" spans="1:19" x14ac:dyDescent="0.2">
      <c r="A1336" s="11" t="s">
        <v>25849</v>
      </c>
      <c r="B1336" s="9" t="s">
        <v>25850</v>
      </c>
      <c r="C1336" s="9" t="s">
        <v>25851</v>
      </c>
      <c r="D1336" s="9" t="s">
        <v>25852</v>
      </c>
      <c r="E1336" s="9" t="s">
        <v>17740</v>
      </c>
      <c r="F1336" s="9" t="s">
        <v>17741</v>
      </c>
      <c r="G1336" s="9" t="s">
        <v>17740</v>
      </c>
      <c r="H1336" s="11" t="s">
        <v>7805</v>
      </c>
      <c r="I1336" s="11" t="s">
        <v>7804</v>
      </c>
      <c r="J1336" s="11" t="s">
        <v>7804</v>
      </c>
      <c r="K1336" s="9" t="s">
        <v>20956</v>
      </c>
      <c r="L1336" s="9" t="s">
        <v>18001</v>
      </c>
      <c r="M1336" s="9" t="s">
        <v>24600</v>
      </c>
      <c r="N1336" s="9" t="s">
        <v>17746</v>
      </c>
      <c r="O1336" s="9" t="s">
        <v>24908</v>
      </c>
      <c r="P1336" s="9" t="s">
        <v>17748</v>
      </c>
      <c r="Q1336" s="11" t="s">
        <v>18798</v>
      </c>
      <c r="R1336" s="11" t="s">
        <v>18798</v>
      </c>
      <c r="S1336" s="11" t="s">
        <v>17750</v>
      </c>
    </row>
    <row r="1337" spans="1:19" x14ac:dyDescent="0.2">
      <c r="A1337" s="11" t="s">
        <v>25853</v>
      </c>
      <c r="B1337" s="9" t="s">
        <v>25854</v>
      </c>
      <c r="C1337" s="9" t="s">
        <v>25855</v>
      </c>
      <c r="D1337" s="9" t="s">
        <v>25856</v>
      </c>
      <c r="E1337" s="9" t="s">
        <v>17748</v>
      </c>
      <c r="F1337" s="9" t="s">
        <v>25857</v>
      </c>
      <c r="G1337" s="9" t="s">
        <v>17740</v>
      </c>
      <c r="H1337" s="11" t="s">
        <v>17741</v>
      </c>
      <c r="I1337" s="11" t="s">
        <v>25858</v>
      </c>
      <c r="J1337" s="11" t="s">
        <v>25858</v>
      </c>
      <c r="K1337" s="9" t="s">
        <v>25859</v>
      </c>
      <c r="L1337" s="9" t="s">
        <v>20082</v>
      </c>
      <c r="M1337" s="9" t="s">
        <v>17760</v>
      </c>
      <c r="N1337" s="9" t="s">
        <v>17746</v>
      </c>
      <c r="O1337" s="9" t="s">
        <v>19659</v>
      </c>
      <c r="P1337" s="9" t="s">
        <v>17748</v>
      </c>
      <c r="Q1337" s="11" t="s">
        <v>18922</v>
      </c>
      <c r="R1337" s="11" t="s">
        <v>18922</v>
      </c>
      <c r="S1337" s="11" t="s">
        <v>17750</v>
      </c>
    </row>
    <row r="1338" spans="1:19" x14ac:dyDescent="0.2">
      <c r="A1338" s="11" t="s">
        <v>25860</v>
      </c>
      <c r="B1338" s="9" t="s">
        <v>25861</v>
      </c>
      <c r="C1338" s="9" t="s">
        <v>25862</v>
      </c>
      <c r="D1338" s="9" t="s">
        <v>25863</v>
      </c>
      <c r="E1338" s="9" t="s">
        <v>17740</v>
      </c>
      <c r="F1338" s="9" t="s">
        <v>17741</v>
      </c>
      <c r="G1338" s="9" t="s">
        <v>17740</v>
      </c>
      <c r="H1338" s="11" t="s">
        <v>17741</v>
      </c>
      <c r="I1338" s="11" t="s">
        <v>25864</v>
      </c>
      <c r="J1338" s="11" t="s">
        <v>25864</v>
      </c>
      <c r="K1338" s="9" t="s">
        <v>25865</v>
      </c>
      <c r="L1338" s="9" t="s">
        <v>17759</v>
      </c>
      <c r="M1338" s="9" t="s">
        <v>18745</v>
      </c>
      <c r="N1338" s="9" t="s">
        <v>17746</v>
      </c>
      <c r="O1338" s="9" t="s">
        <v>17800</v>
      </c>
      <c r="P1338" s="9" t="s">
        <v>17748</v>
      </c>
      <c r="Q1338" s="11" t="s">
        <v>17883</v>
      </c>
      <c r="R1338" s="11" t="s">
        <v>17883</v>
      </c>
      <c r="S1338" s="11" t="s">
        <v>17750</v>
      </c>
    </row>
    <row r="1339" spans="1:19" x14ac:dyDescent="0.2">
      <c r="A1339" s="11" t="s">
        <v>25866</v>
      </c>
      <c r="B1339" s="9" t="s">
        <v>25867</v>
      </c>
      <c r="C1339" s="9" t="s">
        <v>25868</v>
      </c>
      <c r="D1339" s="9" t="s">
        <v>25869</v>
      </c>
      <c r="E1339" s="9" t="s">
        <v>17740</v>
      </c>
      <c r="F1339" s="9" t="s">
        <v>17741</v>
      </c>
      <c r="G1339" s="9" t="s">
        <v>17740</v>
      </c>
      <c r="H1339" s="11" t="s">
        <v>25870</v>
      </c>
      <c r="I1339" s="11" t="s">
        <v>25871</v>
      </c>
      <c r="J1339" s="11" t="s">
        <v>25871</v>
      </c>
      <c r="K1339" s="9" t="s">
        <v>25872</v>
      </c>
      <c r="L1339" s="9" t="s">
        <v>17744</v>
      </c>
      <c r="M1339" s="9" t="s">
        <v>18051</v>
      </c>
      <c r="N1339" s="9" t="s">
        <v>17746</v>
      </c>
      <c r="O1339" s="9" t="s">
        <v>19041</v>
      </c>
      <c r="P1339" s="9" t="s">
        <v>17748</v>
      </c>
      <c r="Q1339" s="11" t="s">
        <v>17780</v>
      </c>
      <c r="R1339" s="11" t="s">
        <v>17780</v>
      </c>
      <c r="S1339" s="11" t="s">
        <v>17750</v>
      </c>
    </row>
    <row r="1340" spans="1:19" x14ac:dyDescent="0.2">
      <c r="A1340" s="11" t="s">
        <v>25873</v>
      </c>
      <c r="B1340" s="9" t="s">
        <v>25874</v>
      </c>
      <c r="C1340" s="9" t="s">
        <v>25875</v>
      </c>
      <c r="D1340" s="9" t="s">
        <v>25876</v>
      </c>
      <c r="E1340" s="9" t="s">
        <v>17748</v>
      </c>
      <c r="F1340" s="9" t="s">
        <v>25877</v>
      </c>
      <c r="G1340" s="9" t="s">
        <v>17740</v>
      </c>
      <c r="H1340" s="11" t="s">
        <v>17741</v>
      </c>
      <c r="I1340" s="11" t="s">
        <v>25878</v>
      </c>
      <c r="J1340" s="11" t="s">
        <v>25878</v>
      </c>
      <c r="K1340" s="9" t="s">
        <v>25879</v>
      </c>
      <c r="L1340" s="9" t="s">
        <v>17929</v>
      </c>
      <c r="M1340" s="9" t="s">
        <v>17760</v>
      </c>
      <c r="N1340" s="9" t="s">
        <v>17746</v>
      </c>
      <c r="O1340" s="9" t="s">
        <v>25880</v>
      </c>
      <c r="P1340" s="9" t="s">
        <v>17748</v>
      </c>
      <c r="Q1340" s="11" t="s">
        <v>17858</v>
      </c>
      <c r="R1340" s="11" t="s">
        <v>17858</v>
      </c>
      <c r="S1340" s="11" t="s">
        <v>17750</v>
      </c>
    </row>
    <row r="1341" spans="1:19" x14ac:dyDescent="0.2">
      <c r="A1341" s="11" t="s">
        <v>25881</v>
      </c>
      <c r="B1341" s="9" t="s">
        <v>25882</v>
      </c>
      <c r="C1341" s="9" t="s">
        <v>25883</v>
      </c>
      <c r="D1341" s="9" t="s">
        <v>25884</v>
      </c>
      <c r="E1341" s="9" t="s">
        <v>17740</v>
      </c>
      <c r="F1341" s="9" t="s">
        <v>17741</v>
      </c>
      <c r="G1341" s="9" t="s">
        <v>17740</v>
      </c>
      <c r="H1341" s="11" t="s">
        <v>17741</v>
      </c>
      <c r="I1341" s="11" t="s">
        <v>25885</v>
      </c>
      <c r="J1341" s="11" t="s">
        <v>25885</v>
      </c>
      <c r="K1341" s="9" t="s">
        <v>25886</v>
      </c>
      <c r="L1341" s="9" t="s">
        <v>17744</v>
      </c>
      <c r="M1341" s="9" t="s">
        <v>25887</v>
      </c>
      <c r="N1341" s="9" t="s">
        <v>17746</v>
      </c>
      <c r="O1341" s="9" t="s">
        <v>25888</v>
      </c>
      <c r="P1341" s="9" t="s">
        <v>17748</v>
      </c>
      <c r="Q1341" s="11" t="s">
        <v>18341</v>
      </c>
      <c r="R1341" s="11" t="s">
        <v>18341</v>
      </c>
      <c r="S1341" s="11" t="s">
        <v>17750</v>
      </c>
    </row>
    <row r="1342" spans="1:19" x14ac:dyDescent="0.2">
      <c r="A1342" s="11" t="s">
        <v>25889</v>
      </c>
      <c r="B1342" s="9" t="s">
        <v>25890</v>
      </c>
      <c r="C1342" s="9" t="s">
        <v>25891</v>
      </c>
      <c r="D1342" s="9" t="s">
        <v>25892</v>
      </c>
      <c r="E1342" s="9" t="s">
        <v>17740</v>
      </c>
      <c r="F1342" s="9" t="s">
        <v>17741</v>
      </c>
      <c r="G1342" s="9" t="s">
        <v>17740</v>
      </c>
      <c r="H1342" s="11" t="s">
        <v>25893</v>
      </c>
      <c r="I1342" s="11" t="s">
        <v>25894</v>
      </c>
      <c r="J1342" s="11" t="s">
        <v>25894</v>
      </c>
      <c r="K1342" s="9" t="s">
        <v>25895</v>
      </c>
      <c r="L1342" s="9" t="s">
        <v>18305</v>
      </c>
      <c r="M1342" s="9" t="s">
        <v>17769</v>
      </c>
      <c r="N1342" s="9" t="s">
        <v>17746</v>
      </c>
      <c r="O1342" s="9" t="s">
        <v>25896</v>
      </c>
      <c r="P1342" s="9" t="s">
        <v>17748</v>
      </c>
      <c r="Q1342" s="11" t="s">
        <v>18243</v>
      </c>
      <c r="R1342" s="11" t="s">
        <v>18243</v>
      </c>
      <c r="S1342" s="11" t="s">
        <v>17750</v>
      </c>
    </row>
    <row r="1343" spans="1:19" x14ac:dyDescent="0.2">
      <c r="A1343" s="11" t="s">
        <v>25897</v>
      </c>
      <c r="B1343" s="9" t="s">
        <v>25898</v>
      </c>
      <c r="C1343" s="9" t="s">
        <v>25899</v>
      </c>
      <c r="D1343" s="9" t="s">
        <v>25900</v>
      </c>
      <c r="E1343" s="9" t="s">
        <v>17740</v>
      </c>
      <c r="F1343" s="9" t="s">
        <v>17741</v>
      </c>
      <c r="G1343" s="9" t="s">
        <v>17740</v>
      </c>
      <c r="H1343" s="11" t="s">
        <v>25901</v>
      </c>
      <c r="I1343" s="11" t="s">
        <v>25902</v>
      </c>
      <c r="J1343" s="11" t="s">
        <v>25902</v>
      </c>
      <c r="K1343" s="9" t="s">
        <v>18832</v>
      </c>
      <c r="L1343" s="9" t="s">
        <v>17759</v>
      </c>
      <c r="M1343" s="9" t="s">
        <v>17769</v>
      </c>
      <c r="N1343" s="9" t="s">
        <v>17746</v>
      </c>
      <c r="O1343" s="9" t="s">
        <v>18514</v>
      </c>
      <c r="P1343" s="9" t="s">
        <v>17748</v>
      </c>
      <c r="Q1343" s="11" t="s">
        <v>18072</v>
      </c>
      <c r="R1343" s="11" t="s">
        <v>18072</v>
      </c>
      <c r="S1343" s="11" t="s">
        <v>17750</v>
      </c>
    </row>
    <row r="1344" spans="1:19" x14ac:dyDescent="0.2">
      <c r="A1344" s="11" t="s">
        <v>25903</v>
      </c>
      <c r="B1344" s="9" t="s">
        <v>25904</v>
      </c>
      <c r="C1344" s="9" t="s">
        <v>25905</v>
      </c>
      <c r="D1344" s="9" t="s">
        <v>25906</v>
      </c>
      <c r="E1344" s="9" t="s">
        <v>17748</v>
      </c>
      <c r="F1344" s="9" t="s">
        <v>25907</v>
      </c>
      <c r="G1344" s="9" t="s">
        <v>17740</v>
      </c>
      <c r="H1344" s="11" t="s">
        <v>17741</v>
      </c>
      <c r="I1344" s="11" t="s">
        <v>25908</v>
      </c>
      <c r="J1344" s="11" t="s">
        <v>25908</v>
      </c>
      <c r="K1344" s="9" t="s">
        <v>25909</v>
      </c>
      <c r="L1344" s="9" t="s">
        <v>17744</v>
      </c>
      <c r="M1344" s="9" t="s">
        <v>17817</v>
      </c>
      <c r="N1344" s="9" t="s">
        <v>17746</v>
      </c>
      <c r="O1344" s="9" t="s">
        <v>17800</v>
      </c>
      <c r="P1344" s="9" t="s">
        <v>17748</v>
      </c>
      <c r="Q1344" s="11" t="s">
        <v>18798</v>
      </c>
      <c r="R1344" s="11" t="s">
        <v>18798</v>
      </c>
      <c r="S1344" s="11" t="s">
        <v>17750</v>
      </c>
    </row>
    <row r="1345" spans="1:19" x14ac:dyDescent="0.2">
      <c r="A1345" s="11" t="s">
        <v>25910</v>
      </c>
      <c r="B1345" s="9" t="s">
        <v>25911</v>
      </c>
      <c r="C1345" s="9" t="s">
        <v>25912</v>
      </c>
      <c r="D1345" s="9" t="s">
        <v>25913</v>
      </c>
      <c r="E1345" s="9" t="s">
        <v>17748</v>
      </c>
      <c r="F1345" s="9" t="s">
        <v>25914</v>
      </c>
      <c r="G1345" s="9" t="s">
        <v>17740</v>
      </c>
      <c r="H1345" s="11" t="s">
        <v>7744</v>
      </c>
      <c r="I1345" s="11" t="s">
        <v>7743</v>
      </c>
      <c r="J1345" s="11" t="s">
        <v>7743</v>
      </c>
      <c r="K1345" s="9" t="s">
        <v>18661</v>
      </c>
      <c r="L1345" s="9" t="s">
        <v>17759</v>
      </c>
      <c r="M1345" s="9" t="s">
        <v>17817</v>
      </c>
      <c r="N1345" s="9" t="s">
        <v>17746</v>
      </c>
      <c r="O1345" s="9" t="s">
        <v>25915</v>
      </c>
      <c r="P1345" s="9" t="s">
        <v>17748</v>
      </c>
      <c r="Q1345" s="11" t="s">
        <v>18798</v>
      </c>
      <c r="R1345" s="11" t="s">
        <v>18798</v>
      </c>
      <c r="S1345" s="11" t="s">
        <v>17750</v>
      </c>
    </row>
    <row r="1346" spans="1:19" x14ac:dyDescent="0.2">
      <c r="A1346" s="11" t="s">
        <v>25916</v>
      </c>
      <c r="B1346" s="9" t="s">
        <v>25917</v>
      </c>
      <c r="C1346" s="9" t="s">
        <v>25918</v>
      </c>
      <c r="D1346" s="9" t="s">
        <v>25919</v>
      </c>
      <c r="E1346" s="9" t="s">
        <v>17748</v>
      </c>
      <c r="F1346" s="9" t="s">
        <v>25920</v>
      </c>
      <c r="G1346" s="9" t="s">
        <v>17740</v>
      </c>
      <c r="H1346" s="11" t="s">
        <v>991</v>
      </c>
      <c r="I1346" s="11" t="s">
        <v>990</v>
      </c>
      <c r="J1346" s="11" t="s">
        <v>990</v>
      </c>
      <c r="K1346" s="9" t="s">
        <v>25921</v>
      </c>
      <c r="L1346" s="9" t="s">
        <v>17744</v>
      </c>
      <c r="M1346" s="9" t="s">
        <v>17817</v>
      </c>
      <c r="N1346" s="9" t="s">
        <v>17746</v>
      </c>
      <c r="O1346" s="9" t="s">
        <v>18762</v>
      </c>
      <c r="P1346" s="9" t="s">
        <v>17748</v>
      </c>
      <c r="Q1346" s="11" t="s">
        <v>17808</v>
      </c>
      <c r="R1346" s="11" t="s">
        <v>17808</v>
      </c>
      <c r="S1346" s="11" t="s">
        <v>17750</v>
      </c>
    </row>
    <row r="1347" spans="1:19" x14ac:dyDescent="0.2">
      <c r="A1347" s="11" t="s">
        <v>25922</v>
      </c>
      <c r="B1347" s="9" t="s">
        <v>25923</v>
      </c>
      <c r="C1347" s="9" t="s">
        <v>25924</v>
      </c>
      <c r="D1347" s="9" t="s">
        <v>25925</v>
      </c>
      <c r="E1347" s="9" t="s">
        <v>17740</v>
      </c>
      <c r="F1347" s="9" t="s">
        <v>17741</v>
      </c>
      <c r="G1347" s="9" t="s">
        <v>17740</v>
      </c>
      <c r="H1347" s="11" t="s">
        <v>11169</v>
      </c>
      <c r="I1347" s="11" t="s">
        <v>11168</v>
      </c>
      <c r="J1347" s="11" t="s">
        <v>11168</v>
      </c>
      <c r="K1347" s="9" t="s">
        <v>91</v>
      </c>
      <c r="L1347" s="9" t="s">
        <v>18001</v>
      </c>
      <c r="M1347" s="9" t="s">
        <v>17760</v>
      </c>
      <c r="N1347" s="9" t="s">
        <v>17746</v>
      </c>
      <c r="O1347" s="9" t="s">
        <v>25926</v>
      </c>
      <c r="P1347" s="9" t="s">
        <v>17748</v>
      </c>
      <c r="Q1347" s="11" t="s">
        <v>17762</v>
      </c>
      <c r="R1347" s="11" t="s">
        <v>17762</v>
      </c>
      <c r="S1347" s="11" t="s">
        <v>17750</v>
      </c>
    </row>
    <row r="1348" spans="1:19" x14ac:dyDescent="0.2">
      <c r="A1348" s="11" t="s">
        <v>25927</v>
      </c>
      <c r="B1348" s="9" t="s">
        <v>25928</v>
      </c>
      <c r="C1348" s="9" t="s">
        <v>25929</v>
      </c>
      <c r="D1348" s="9" t="s">
        <v>25930</v>
      </c>
      <c r="E1348" s="9" t="s">
        <v>17748</v>
      </c>
      <c r="F1348" s="9" t="s">
        <v>25931</v>
      </c>
      <c r="G1348" s="9" t="s">
        <v>17740</v>
      </c>
      <c r="H1348" s="11" t="s">
        <v>17741</v>
      </c>
      <c r="I1348" s="11" t="s">
        <v>8886</v>
      </c>
      <c r="J1348" s="11" t="s">
        <v>8886</v>
      </c>
      <c r="K1348" s="9" t="s">
        <v>18661</v>
      </c>
      <c r="L1348" s="9" t="s">
        <v>17759</v>
      </c>
      <c r="M1348" s="9" t="s">
        <v>17817</v>
      </c>
      <c r="N1348" s="9" t="s">
        <v>17746</v>
      </c>
      <c r="O1348" s="9" t="s">
        <v>20881</v>
      </c>
      <c r="P1348" s="9" t="s">
        <v>17748</v>
      </c>
      <c r="Q1348" s="11" t="s">
        <v>17784</v>
      </c>
      <c r="R1348" s="11" t="s">
        <v>17784</v>
      </c>
      <c r="S1348" s="11" t="s">
        <v>17750</v>
      </c>
    </row>
    <row r="1349" spans="1:19" x14ac:dyDescent="0.2">
      <c r="A1349" s="11" t="s">
        <v>25932</v>
      </c>
      <c r="B1349" s="9" t="s">
        <v>25933</v>
      </c>
      <c r="C1349" s="9" t="s">
        <v>25934</v>
      </c>
      <c r="D1349" s="9" t="s">
        <v>25935</v>
      </c>
      <c r="E1349" s="9" t="s">
        <v>17740</v>
      </c>
      <c r="F1349" s="9" t="s">
        <v>17741</v>
      </c>
      <c r="G1349" s="9" t="s">
        <v>17740</v>
      </c>
      <c r="H1349" s="11" t="s">
        <v>1085</v>
      </c>
      <c r="I1349" s="11" t="s">
        <v>1084</v>
      </c>
      <c r="J1349" s="11" t="s">
        <v>1084</v>
      </c>
      <c r="K1349" s="9" t="s">
        <v>22706</v>
      </c>
      <c r="L1349" s="9" t="s">
        <v>17744</v>
      </c>
      <c r="M1349" s="9" t="s">
        <v>22360</v>
      </c>
      <c r="N1349" s="9" t="s">
        <v>17746</v>
      </c>
      <c r="O1349" s="9" t="s">
        <v>25936</v>
      </c>
      <c r="P1349" s="9" t="s">
        <v>17748</v>
      </c>
      <c r="Q1349" s="11" t="s">
        <v>19335</v>
      </c>
      <c r="R1349" s="11" t="s">
        <v>19335</v>
      </c>
      <c r="S1349" s="11" t="s">
        <v>17750</v>
      </c>
    </row>
    <row r="1350" spans="1:19" x14ac:dyDescent="0.2">
      <c r="A1350" s="11" t="s">
        <v>25937</v>
      </c>
      <c r="B1350" s="9" t="s">
        <v>25938</v>
      </c>
      <c r="C1350" s="9" t="s">
        <v>25939</v>
      </c>
      <c r="D1350" s="9" t="s">
        <v>25940</v>
      </c>
      <c r="E1350" s="9" t="s">
        <v>17748</v>
      </c>
      <c r="F1350" s="9" t="s">
        <v>25941</v>
      </c>
      <c r="G1350" s="9" t="s">
        <v>17740</v>
      </c>
      <c r="H1350" s="11" t="s">
        <v>17741</v>
      </c>
      <c r="I1350" s="11" t="s">
        <v>8383</v>
      </c>
      <c r="J1350" s="11" t="s">
        <v>8383</v>
      </c>
      <c r="K1350" s="9" t="s">
        <v>8384</v>
      </c>
      <c r="L1350" s="9" t="s">
        <v>17759</v>
      </c>
      <c r="M1350" s="9" t="s">
        <v>18065</v>
      </c>
      <c r="N1350" s="9" t="s">
        <v>17746</v>
      </c>
      <c r="O1350" s="9" t="s">
        <v>25942</v>
      </c>
      <c r="P1350" s="9" t="s">
        <v>17748</v>
      </c>
      <c r="Q1350" s="11" t="s">
        <v>17784</v>
      </c>
      <c r="R1350" s="11" t="s">
        <v>17784</v>
      </c>
      <c r="S1350" s="11" t="s">
        <v>17750</v>
      </c>
    </row>
    <row r="1351" spans="1:19" x14ac:dyDescent="0.2">
      <c r="A1351" s="11" t="s">
        <v>25943</v>
      </c>
      <c r="B1351" s="9" t="s">
        <v>25944</v>
      </c>
      <c r="C1351" s="9" t="s">
        <v>25945</v>
      </c>
      <c r="D1351" s="9" t="s">
        <v>25946</v>
      </c>
      <c r="E1351" s="9" t="s">
        <v>17740</v>
      </c>
      <c r="F1351" s="9" t="s">
        <v>25947</v>
      </c>
      <c r="G1351" s="9" t="s">
        <v>17740</v>
      </c>
      <c r="H1351" s="11" t="s">
        <v>25948</v>
      </c>
      <c r="I1351" s="11" t="s">
        <v>25949</v>
      </c>
      <c r="J1351" s="11" t="s">
        <v>25949</v>
      </c>
      <c r="K1351" s="9" t="s">
        <v>25950</v>
      </c>
      <c r="L1351" s="9" t="s">
        <v>17759</v>
      </c>
      <c r="M1351" s="9" t="s">
        <v>17817</v>
      </c>
      <c r="N1351" s="9" t="s">
        <v>17746</v>
      </c>
      <c r="O1351" s="9" t="s">
        <v>18563</v>
      </c>
      <c r="P1351" s="9" t="s">
        <v>17748</v>
      </c>
      <c r="Q1351" s="11" t="s">
        <v>17762</v>
      </c>
      <c r="R1351" s="11" t="s">
        <v>17762</v>
      </c>
      <c r="S1351" s="11" t="s">
        <v>17750</v>
      </c>
    </row>
    <row r="1352" spans="1:19" x14ac:dyDescent="0.2">
      <c r="A1352" s="11" t="s">
        <v>25951</v>
      </c>
      <c r="B1352" s="9" t="s">
        <v>25952</v>
      </c>
      <c r="C1352" s="9" t="s">
        <v>25953</v>
      </c>
      <c r="D1352" s="9" t="s">
        <v>25954</v>
      </c>
      <c r="E1352" s="9" t="s">
        <v>17748</v>
      </c>
      <c r="F1352" s="9" t="s">
        <v>25955</v>
      </c>
      <c r="G1352" s="9" t="s">
        <v>17740</v>
      </c>
      <c r="H1352" s="11" t="s">
        <v>25956</v>
      </c>
      <c r="I1352" s="11" t="s">
        <v>25957</v>
      </c>
      <c r="J1352" s="11" t="s">
        <v>25957</v>
      </c>
      <c r="K1352" s="9" t="s">
        <v>25958</v>
      </c>
      <c r="L1352" s="9" t="s">
        <v>17759</v>
      </c>
      <c r="M1352" s="9" t="s">
        <v>25959</v>
      </c>
      <c r="N1352" s="9" t="s">
        <v>17746</v>
      </c>
      <c r="O1352" s="9" t="s">
        <v>25960</v>
      </c>
      <c r="P1352" s="9" t="s">
        <v>17748</v>
      </c>
      <c r="Q1352" s="11" t="s">
        <v>19361</v>
      </c>
      <c r="R1352" s="11" t="s">
        <v>19361</v>
      </c>
      <c r="S1352" s="11" t="s">
        <v>17750</v>
      </c>
    </row>
    <row r="1353" spans="1:19" x14ac:dyDescent="0.2">
      <c r="A1353" s="11" t="s">
        <v>25961</v>
      </c>
      <c r="B1353" s="9" t="s">
        <v>25962</v>
      </c>
      <c r="C1353" s="9" t="s">
        <v>25963</v>
      </c>
      <c r="D1353" s="9" t="s">
        <v>25964</v>
      </c>
      <c r="E1353" s="9" t="s">
        <v>17748</v>
      </c>
      <c r="F1353" s="9" t="s">
        <v>25965</v>
      </c>
      <c r="G1353" s="9" t="s">
        <v>17740</v>
      </c>
      <c r="H1353" s="11" t="s">
        <v>25966</v>
      </c>
      <c r="I1353" s="11" t="s">
        <v>25967</v>
      </c>
      <c r="J1353" s="11" t="s">
        <v>25967</v>
      </c>
      <c r="K1353" s="9" t="s">
        <v>91</v>
      </c>
      <c r="L1353" s="9" t="s">
        <v>17744</v>
      </c>
      <c r="M1353" s="9" t="s">
        <v>17760</v>
      </c>
      <c r="N1353" s="9" t="s">
        <v>17746</v>
      </c>
      <c r="O1353" s="9" t="s">
        <v>25968</v>
      </c>
      <c r="P1353" s="9" t="s">
        <v>17748</v>
      </c>
      <c r="Q1353" s="11" t="s">
        <v>17984</v>
      </c>
      <c r="R1353" s="11" t="s">
        <v>17984</v>
      </c>
      <c r="S1353" s="11" t="s">
        <v>17750</v>
      </c>
    </row>
    <row r="1354" spans="1:19" x14ac:dyDescent="0.2">
      <c r="A1354" s="11" t="s">
        <v>25969</v>
      </c>
      <c r="B1354" s="9" t="s">
        <v>25970</v>
      </c>
      <c r="C1354" s="9" t="s">
        <v>25971</v>
      </c>
      <c r="D1354" s="9" t="s">
        <v>25972</v>
      </c>
      <c r="E1354" s="9" t="s">
        <v>17740</v>
      </c>
      <c r="F1354" s="9" t="s">
        <v>25973</v>
      </c>
      <c r="G1354" s="9" t="s">
        <v>17740</v>
      </c>
      <c r="H1354" s="11" t="s">
        <v>6101</v>
      </c>
      <c r="I1354" s="11" t="s">
        <v>6100</v>
      </c>
      <c r="J1354" s="11" t="s">
        <v>6100</v>
      </c>
      <c r="K1354" s="9" t="s">
        <v>91</v>
      </c>
      <c r="L1354" s="9" t="s">
        <v>23607</v>
      </c>
      <c r="M1354" s="9" t="s">
        <v>18065</v>
      </c>
      <c r="N1354" s="9" t="s">
        <v>17746</v>
      </c>
      <c r="O1354" s="9" t="s">
        <v>18607</v>
      </c>
      <c r="P1354" s="9" t="s">
        <v>17748</v>
      </c>
      <c r="Q1354" s="11" t="s">
        <v>17792</v>
      </c>
      <c r="R1354" s="11" t="s">
        <v>17792</v>
      </c>
      <c r="S1354" s="11" t="s">
        <v>17750</v>
      </c>
    </row>
    <row r="1355" spans="1:19" x14ac:dyDescent="0.2">
      <c r="A1355" s="11" t="s">
        <v>25974</v>
      </c>
      <c r="B1355" s="9" t="s">
        <v>25975</v>
      </c>
      <c r="C1355" s="9" t="s">
        <v>25976</v>
      </c>
      <c r="D1355" s="9" t="s">
        <v>25977</v>
      </c>
      <c r="E1355" s="9" t="s">
        <v>17740</v>
      </c>
      <c r="F1355" s="9" t="s">
        <v>17741</v>
      </c>
      <c r="G1355" s="9" t="s">
        <v>17740</v>
      </c>
      <c r="H1355" s="11" t="s">
        <v>25978</v>
      </c>
      <c r="I1355" s="11" t="s">
        <v>17741</v>
      </c>
      <c r="J1355" s="11" t="s">
        <v>25978</v>
      </c>
      <c r="K1355" s="9" t="s">
        <v>25979</v>
      </c>
      <c r="L1355" s="9" t="s">
        <v>17759</v>
      </c>
      <c r="M1355" s="9" t="s">
        <v>25980</v>
      </c>
      <c r="N1355" s="9" t="s">
        <v>17746</v>
      </c>
      <c r="O1355" s="9" t="s">
        <v>18481</v>
      </c>
      <c r="P1355" s="9" t="s">
        <v>17748</v>
      </c>
      <c r="Q1355" s="11" t="s">
        <v>17909</v>
      </c>
      <c r="R1355" s="11" t="s">
        <v>17909</v>
      </c>
      <c r="S1355" s="11" t="s">
        <v>17750</v>
      </c>
    </row>
    <row r="1356" spans="1:19" x14ac:dyDescent="0.2">
      <c r="A1356" s="11" t="s">
        <v>25981</v>
      </c>
      <c r="B1356" s="9" t="s">
        <v>25982</v>
      </c>
      <c r="C1356" s="9" t="s">
        <v>25983</v>
      </c>
      <c r="D1356" s="9" t="s">
        <v>25984</v>
      </c>
      <c r="E1356" s="9" t="s">
        <v>17740</v>
      </c>
      <c r="F1356" s="9" t="s">
        <v>17741</v>
      </c>
      <c r="G1356" s="9" t="s">
        <v>17740</v>
      </c>
      <c r="H1356" s="11" t="s">
        <v>1236</v>
      </c>
      <c r="I1356" s="11" t="s">
        <v>1235</v>
      </c>
      <c r="J1356" s="11" t="s">
        <v>1235</v>
      </c>
      <c r="K1356" s="9" t="s">
        <v>303</v>
      </c>
      <c r="L1356" s="9" t="s">
        <v>17759</v>
      </c>
      <c r="M1356" s="9" t="s">
        <v>17769</v>
      </c>
      <c r="N1356" s="9" t="s">
        <v>17746</v>
      </c>
      <c r="O1356" s="9" t="s">
        <v>17834</v>
      </c>
      <c r="P1356" s="9" t="s">
        <v>17748</v>
      </c>
      <c r="Q1356" s="11" t="s">
        <v>18556</v>
      </c>
      <c r="R1356" s="11" t="s">
        <v>18556</v>
      </c>
      <c r="S1356" s="11" t="s">
        <v>17750</v>
      </c>
    </row>
    <row r="1357" spans="1:19" x14ac:dyDescent="0.2">
      <c r="A1357" s="11" t="s">
        <v>25985</v>
      </c>
      <c r="B1357" s="9" t="s">
        <v>25986</v>
      </c>
      <c r="C1357" s="9" t="s">
        <v>25987</v>
      </c>
      <c r="D1357" s="9" t="s">
        <v>25988</v>
      </c>
      <c r="E1357" s="9" t="s">
        <v>17748</v>
      </c>
      <c r="F1357" s="9" t="s">
        <v>25989</v>
      </c>
      <c r="G1357" s="9" t="s">
        <v>17740</v>
      </c>
      <c r="H1357" s="11" t="s">
        <v>9342</v>
      </c>
      <c r="I1357" s="11" t="s">
        <v>9341</v>
      </c>
      <c r="J1357" s="11" t="s">
        <v>9341</v>
      </c>
      <c r="K1357" s="9" t="s">
        <v>91</v>
      </c>
      <c r="L1357" s="9" t="s">
        <v>20359</v>
      </c>
      <c r="M1357" s="9" t="s">
        <v>17817</v>
      </c>
      <c r="N1357" s="9" t="s">
        <v>17746</v>
      </c>
      <c r="O1357" s="9" t="s">
        <v>17977</v>
      </c>
      <c r="P1357" s="9" t="s">
        <v>17748</v>
      </c>
      <c r="Q1357" s="11" t="s">
        <v>17994</v>
      </c>
      <c r="R1357" s="11" t="s">
        <v>17994</v>
      </c>
      <c r="S1357" s="11" t="s">
        <v>17750</v>
      </c>
    </row>
    <row r="1358" spans="1:19" x14ac:dyDescent="0.2">
      <c r="A1358" s="11" t="s">
        <v>25990</v>
      </c>
      <c r="B1358" s="9" t="s">
        <v>25991</v>
      </c>
      <c r="C1358" s="9" t="s">
        <v>25992</v>
      </c>
      <c r="D1358" s="9" t="s">
        <v>25993</v>
      </c>
      <c r="E1358" s="9" t="s">
        <v>17740</v>
      </c>
      <c r="F1358" s="9" t="s">
        <v>25994</v>
      </c>
      <c r="G1358" s="9" t="s">
        <v>17740</v>
      </c>
      <c r="H1358" s="11" t="s">
        <v>11533</v>
      </c>
      <c r="I1358" s="11" t="s">
        <v>11532</v>
      </c>
      <c r="J1358" s="11" t="s">
        <v>11532</v>
      </c>
      <c r="K1358" s="9" t="s">
        <v>22134</v>
      </c>
      <c r="L1358" s="9" t="s">
        <v>17759</v>
      </c>
      <c r="M1358" s="9" t="s">
        <v>17760</v>
      </c>
      <c r="N1358" s="9" t="s">
        <v>17746</v>
      </c>
      <c r="O1358" s="9" t="s">
        <v>20056</v>
      </c>
      <c r="P1358" s="9" t="s">
        <v>17748</v>
      </c>
      <c r="Q1358" s="11" t="s">
        <v>17762</v>
      </c>
      <c r="R1358" s="11" t="s">
        <v>17762</v>
      </c>
      <c r="S1358" s="11" t="s">
        <v>17750</v>
      </c>
    </row>
    <row r="1359" spans="1:19" x14ac:dyDescent="0.2">
      <c r="A1359" s="11" t="s">
        <v>25995</v>
      </c>
      <c r="B1359" s="9" t="s">
        <v>25996</v>
      </c>
      <c r="C1359" s="9" t="s">
        <v>25997</v>
      </c>
      <c r="D1359" s="9" t="s">
        <v>25998</v>
      </c>
      <c r="E1359" s="9" t="s">
        <v>17748</v>
      </c>
      <c r="F1359" s="9" t="s">
        <v>25999</v>
      </c>
      <c r="G1359" s="9" t="s">
        <v>17740</v>
      </c>
      <c r="H1359" s="11" t="s">
        <v>26000</v>
      </c>
      <c r="I1359" s="11" t="s">
        <v>26001</v>
      </c>
      <c r="J1359" s="11" t="s">
        <v>26001</v>
      </c>
      <c r="K1359" s="9" t="s">
        <v>91</v>
      </c>
      <c r="L1359" s="9" t="s">
        <v>17744</v>
      </c>
      <c r="M1359" s="9" t="s">
        <v>17769</v>
      </c>
      <c r="N1359" s="9" t="s">
        <v>17746</v>
      </c>
      <c r="O1359" s="9" t="s">
        <v>26002</v>
      </c>
      <c r="P1359" s="9" t="s">
        <v>17748</v>
      </c>
      <c r="Q1359" s="11" t="s">
        <v>17858</v>
      </c>
      <c r="R1359" s="11" t="s">
        <v>17858</v>
      </c>
      <c r="S1359" s="11" t="s">
        <v>17750</v>
      </c>
    </row>
    <row r="1360" spans="1:19" x14ac:dyDescent="0.2">
      <c r="A1360" s="11" t="s">
        <v>26003</v>
      </c>
      <c r="B1360" s="9" t="s">
        <v>26004</v>
      </c>
      <c r="C1360" s="9" t="s">
        <v>26005</v>
      </c>
      <c r="D1360" s="9" t="s">
        <v>26006</v>
      </c>
      <c r="E1360" s="9" t="s">
        <v>17740</v>
      </c>
      <c r="F1360" s="9" t="s">
        <v>17741</v>
      </c>
      <c r="G1360" s="9" t="s">
        <v>17740</v>
      </c>
      <c r="H1360" s="11" t="s">
        <v>26007</v>
      </c>
      <c r="I1360" s="11" t="s">
        <v>26008</v>
      </c>
      <c r="J1360" s="11" t="s">
        <v>17741</v>
      </c>
      <c r="K1360" s="9" t="s">
        <v>26009</v>
      </c>
      <c r="L1360" s="9" t="s">
        <v>17759</v>
      </c>
      <c r="M1360" s="9" t="s">
        <v>17741</v>
      </c>
      <c r="N1360" s="9" t="s">
        <v>17746</v>
      </c>
      <c r="O1360" s="9" t="s">
        <v>26010</v>
      </c>
      <c r="P1360" s="9" t="s">
        <v>17748</v>
      </c>
      <c r="Q1360" s="11" t="s">
        <v>17762</v>
      </c>
      <c r="R1360" s="11" t="s">
        <v>17762</v>
      </c>
      <c r="S1360" s="11" t="s">
        <v>17750</v>
      </c>
    </row>
    <row r="1361" spans="1:19" x14ac:dyDescent="0.2">
      <c r="A1361" s="11" t="s">
        <v>26011</v>
      </c>
      <c r="B1361" s="9" t="s">
        <v>26012</v>
      </c>
      <c r="C1361" s="9" t="s">
        <v>26013</v>
      </c>
      <c r="D1361" s="9" t="s">
        <v>26014</v>
      </c>
      <c r="E1361" s="9" t="s">
        <v>17748</v>
      </c>
      <c r="F1361" s="9" t="s">
        <v>26015</v>
      </c>
      <c r="G1361" s="9" t="s">
        <v>17740</v>
      </c>
      <c r="H1361" s="11" t="s">
        <v>17741</v>
      </c>
      <c r="I1361" s="11" t="s">
        <v>26016</v>
      </c>
      <c r="J1361" s="11" t="s">
        <v>26016</v>
      </c>
      <c r="K1361" s="9" t="s">
        <v>26017</v>
      </c>
      <c r="L1361" s="9" t="s">
        <v>17759</v>
      </c>
      <c r="M1361" s="9" t="s">
        <v>18745</v>
      </c>
      <c r="N1361" s="9" t="s">
        <v>17746</v>
      </c>
      <c r="O1361" s="9" t="s">
        <v>22422</v>
      </c>
      <c r="P1361" s="9" t="s">
        <v>17748</v>
      </c>
      <c r="Q1361" s="11" t="s">
        <v>17762</v>
      </c>
      <c r="R1361" s="11" t="s">
        <v>17762</v>
      </c>
      <c r="S1361" s="11" t="s">
        <v>17750</v>
      </c>
    </row>
    <row r="1362" spans="1:19" x14ac:dyDescent="0.2">
      <c r="A1362" s="11" t="s">
        <v>26018</v>
      </c>
      <c r="B1362" s="9" t="s">
        <v>26019</v>
      </c>
      <c r="C1362" s="9" t="s">
        <v>26020</v>
      </c>
      <c r="D1362" s="9" t="s">
        <v>26021</v>
      </c>
      <c r="E1362" s="9" t="s">
        <v>17748</v>
      </c>
      <c r="F1362" s="9" t="s">
        <v>26022</v>
      </c>
      <c r="G1362" s="9" t="s">
        <v>17740</v>
      </c>
      <c r="H1362" s="11" t="s">
        <v>26023</v>
      </c>
      <c r="I1362" s="11" t="s">
        <v>26024</v>
      </c>
      <c r="J1362" s="11" t="s">
        <v>26024</v>
      </c>
      <c r="K1362" s="9" t="s">
        <v>291</v>
      </c>
      <c r="L1362" s="9" t="s">
        <v>17744</v>
      </c>
      <c r="M1362" s="9" t="s">
        <v>17769</v>
      </c>
      <c r="N1362" s="9" t="s">
        <v>17746</v>
      </c>
      <c r="O1362" s="9" t="s">
        <v>18035</v>
      </c>
      <c r="P1362" s="9" t="s">
        <v>17748</v>
      </c>
      <c r="Q1362" s="11" t="s">
        <v>18272</v>
      </c>
      <c r="R1362" s="11" t="s">
        <v>18272</v>
      </c>
      <c r="S1362" s="11" t="s">
        <v>17750</v>
      </c>
    </row>
    <row r="1363" spans="1:19" x14ac:dyDescent="0.2">
      <c r="A1363" s="11" t="s">
        <v>26025</v>
      </c>
      <c r="B1363" s="9" t="s">
        <v>26026</v>
      </c>
      <c r="C1363" s="9" t="s">
        <v>26027</v>
      </c>
      <c r="D1363" s="9" t="s">
        <v>26028</v>
      </c>
      <c r="E1363" s="9" t="s">
        <v>17740</v>
      </c>
      <c r="F1363" s="9" t="s">
        <v>26029</v>
      </c>
      <c r="G1363" s="9" t="s">
        <v>17740</v>
      </c>
      <c r="H1363" s="11" t="s">
        <v>1206</v>
      </c>
      <c r="I1363" s="11" t="s">
        <v>1205</v>
      </c>
      <c r="J1363" s="11" t="s">
        <v>1205</v>
      </c>
      <c r="K1363" s="9" t="s">
        <v>26030</v>
      </c>
      <c r="L1363" s="9" t="s">
        <v>21771</v>
      </c>
      <c r="M1363" s="9" t="s">
        <v>18513</v>
      </c>
      <c r="N1363" s="9" t="s">
        <v>17746</v>
      </c>
      <c r="O1363" s="9" t="s">
        <v>20056</v>
      </c>
      <c r="P1363" s="9" t="s">
        <v>17748</v>
      </c>
      <c r="Q1363" s="11" t="s">
        <v>18960</v>
      </c>
      <c r="R1363" s="11" t="s">
        <v>18960</v>
      </c>
      <c r="S1363" s="11" t="s">
        <v>17750</v>
      </c>
    </row>
    <row r="1364" spans="1:19" x14ac:dyDescent="0.2">
      <c r="A1364" s="11" t="s">
        <v>26031</v>
      </c>
      <c r="B1364" s="9" t="s">
        <v>26032</v>
      </c>
      <c r="C1364" s="9" t="s">
        <v>26033</v>
      </c>
      <c r="D1364" s="9" t="s">
        <v>26034</v>
      </c>
      <c r="E1364" s="9" t="s">
        <v>17740</v>
      </c>
      <c r="F1364" s="9" t="s">
        <v>17741</v>
      </c>
      <c r="G1364" s="9" t="s">
        <v>17740</v>
      </c>
      <c r="H1364" s="11" t="s">
        <v>12912</v>
      </c>
      <c r="I1364" s="11" t="s">
        <v>12911</v>
      </c>
      <c r="J1364" s="11" t="s">
        <v>12911</v>
      </c>
      <c r="K1364" s="9" t="s">
        <v>291</v>
      </c>
      <c r="L1364" s="9" t="s">
        <v>17744</v>
      </c>
      <c r="M1364" s="9" t="s">
        <v>22388</v>
      </c>
      <c r="N1364" s="9" t="s">
        <v>17746</v>
      </c>
      <c r="O1364" s="9" t="s">
        <v>18355</v>
      </c>
      <c r="P1364" s="9" t="s">
        <v>17748</v>
      </c>
      <c r="Q1364" s="11" t="s">
        <v>18272</v>
      </c>
      <c r="R1364" s="11" t="s">
        <v>18272</v>
      </c>
      <c r="S1364" s="11" t="s">
        <v>17750</v>
      </c>
    </row>
    <row r="1365" spans="1:19" x14ac:dyDescent="0.2">
      <c r="A1365" s="11" t="s">
        <v>26035</v>
      </c>
      <c r="B1365" s="9" t="s">
        <v>26036</v>
      </c>
      <c r="C1365" s="9" t="s">
        <v>26037</v>
      </c>
      <c r="D1365" s="9" t="s">
        <v>26038</v>
      </c>
      <c r="E1365" s="9" t="s">
        <v>17740</v>
      </c>
      <c r="F1365" s="9" t="s">
        <v>26039</v>
      </c>
      <c r="G1365" s="9" t="s">
        <v>17740</v>
      </c>
      <c r="H1365" s="11" t="s">
        <v>4600</v>
      </c>
      <c r="I1365" s="11" t="s">
        <v>4599</v>
      </c>
      <c r="J1365" s="11" t="s">
        <v>4599</v>
      </c>
      <c r="K1365" s="9" t="s">
        <v>18661</v>
      </c>
      <c r="L1365" s="9" t="s">
        <v>17759</v>
      </c>
      <c r="M1365" s="9" t="s">
        <v>17769</v>
      </c>
      <c r="N1365" s="9" t="s">
        <v>17746</v>
      </c>
      <c r="O1365" s="9" t="s">
        <v>23061</v>
      </c>
      <c r="P1365" s="9" t="s">
        <v>17748</v>
      </c>
      <c r="Q1365" s="11" t="s">
        <v>18678</v>
      </c>
      <c r="R1365" s="11" t="s">
        <v>18678</v>
      </c>
      <c r="S1365" s="11" t="s">
        <v>17750</v>
      </c>
    </row>
    <row r="1366" spans="1:19" x14ac:dyDescent="0.2">
      <c r="A1366" s="11" t="s">
        <v>26040</v>
      </c>
      <c r="B1366" s="9" t="s">
        <v>26041</v>
      </c>
      <c r="C1366" s="9" t="s">
        <v>26042</v>
      </c>
      <c r="D1366" s="9" t="s">
        <v>26043</v>
      </c>
      <c r="E1366" s="9" t="s">
        <v>17740</v>
      </c>
      <c r="F1366" s="9" t="s">
        <v>17741</v>
      </c>
      <c r="G1366" s="9" t="s">
        <v>17740</v>
      </c>
      <c r="H1366" s="11" t="s">
        <v>988</v>
      </c>
      <c r="I1366" s="11" t="s">
        <v>987</v>
      </c>
      <c r="J1366" s="11" t="s">
        <v>987</v>
      </c>
      <c r="K1366" s="9" t="s">
        <v>91</v>
      </c>
      <c r="L1366" s="9" t="s">
        <v>17759</v>
      </c>
      <c r="M1366" s="9" t="s">
        <v>17769</v>
      </c>
      <c r="N1366" s="9" t="s">
        <v>17746</v>
      </c>
      <c r="O1366" s="9" t="s">
        <v>26044</v>
      </c>
      <c r="P1366" s="9" t="s">
        <v>17748</v>
      </c>
      <c r="Q1366" s="11" t="s">
        <v>18282</v>
      </c>
      <c r="R1366" s="11" t="s">
        <v>18282</v>
      </c>
      <c r="S1366" s="11" t="s">
        <v>17750</v>
      </c>
    </row>
    <row r="1367" spans="1:19" x14ac:dyDescent="0.2">
      <c r="A1367" s="11" t="s">
        <v>26045</v>
      </c>
      <c r="B1367" s="9" t="s">
        <v>26046</v>
      </c>
      <c r="C1367" s="9" t="s">
        <v>26047</v>
      </c>
      <c r="D1367" s="9" t="s">
        <v>26048</v>
      </c>
      <c r="E1367" s="9" t="s">
        <v>17748</v>
      </c>
      <c r="F1367" s="9" t="s">
        <v>26049</v>
      </c>
      <c r="G1367" s="9" t="s">
        <v>17740</v>
      </c>
      <c r="H1367" s="11" t="s">
        <v>26050</v>
      </c>
      <c r="I1367" s="11" t="s">
        <v>26051</v>
      </c>
      <c r="J1367" s="11" t="s">
        <v>26051</v>
      </c>
      <c r="K1367" s="9" t="s">
        <v>17758</v>
      </c>
      <c r="L1367" s="9" t="s">
        <v>17759</v>
      </c>
      <c r="M1367" s="9" t="s">
        <v>17769</v>
      </c>
      <c r="N1367" s="9" t="s">
        <v>17746</v>
      </c>
      <c r="O1367" s="9" t="s">
        <v>26052</v>
      </c>
      <c r="P1367" s="9" t="s">
        <v>17748</v>
      </c>
      <c r="Q1367" s="11" t="s">
        <v>17994</v>
      </c>
      <c r="R1367" s="11" t="s">
        <v>17994</v>
      </c>
      <c r="S1367" s="11" t="s">
        <v>17750</v>
      </c>
    </row>
    <row r="1368" spans="1:19" x14ac:dyDescent="0.2">
      <c r="A1368" s="11" t="s">
        <v>26053</v>
      </c>
      <c r="B1368" s="9" t="s">
        <v>26054</v>
      </c>
      <c r="C1368" s="9" t="s">
        <v>26055</v>
      </c>
      <c r="D1368" s="9" t="s">
        <v>26056</v>
      </c>
      <c r="E1368" s="9" t="s">
        <v>17740</v>
      </c>
      <c r="F1368" s="9" t="s">
        <v>26057</v>
      </c>
      <c r="G1368" s="9" t="s">
        <v>17740</v>
      </c>
      <c r="H1368" s="11" t="s">
        <v>17741</v>
      </c>
      <c r="I1368" s="11" t="s">
        <v>26058</v>
      </c>
      <c r="J1368" s="11" t="s">
        <v>26058</v>
      </c>
      <c r="K1368" s="9" t="s">
        <v>26059</v>
      </c>
      <c r="L1368" s="9" t="s">
        <v>17759</v>
      </c>
      <c r="M1368" s="9" t="s">
        <v>18745</v>
      </c>
      <c r="N1368" s="9" t="s">
        <v>17746</v>
      </c>
      <c r="O1368" s="9" t="s">
        <v>793</v>
      </c>
      <c r="P1368" s="9" t="s">
        <v>17748</v>
      </c>
      <c r="Q1368" s="11" t="s">
        <v>17780</v>
      </c>
      <c r="R1368" s="11" t="s">
        <v>17780</v>
      </c>
      <c r="S1368" s="11" t="s">
        <v>17750</v>
      </c>
    </row>
    <row r="1369" spans="1:19" x14ac:dyDescent="0.2">
      <c r="A1369" s="11" t="s">
        <v>26060</v>
      </c>
      <c r="B1369" s="9" t="s">
        <v>26061</v>
      </c>
      <c r="C1369" s="9" t="s">
        <v>26062</v>
      </c>
      <c r="D1369" s="9" t="s">
        <v>26063</v>
      </c>
      <c r="E1369" s="9" t="s">
        <v>17740</v>
      </c>
      <c r="F1369" s="9" t="s">
        <v>26064</v>
      </c>
      <c r="G1369" s="9" t="s">
        <v>17740</v>
      </c>
      <c r="H1369" s="11" t="s">
        <v>3766</v>
      </c>
      <c r="I1369" s="11" t="s">
        <v>3765</v>
      </c>
      <c r="J1369" s="11" t="s">
        <v>3765</v>
      </c>
      <c r="K1369" s="9" t="s">
        <v>7004</v>
      </c>
      <c r="L1369" s="9" t="s">
        <v>20082</v>
      </c>
      <c r="M1369" s="9" t="s">
        <v>17760</v>
      </c>
      <c r="N1369" s="9" t="s">
        <v>17746</v>
      </c>
      <c r="O1369" s="9" t="s">
        <v>22864</v>
      </c>
      <c r="P1369" s="9" t="s">
        <v>17748</v>
      </c>
      <c r="Q1369" s="11" t="s">
        <v>18364</v>
      </c>
      <c r="R1369" s="11" t="s">
        <v>18364</v>
      </c>
      <c r="S1369" s="11" t="s">
        <v>17750</v>
      </c>
    </row>
    <row r="1370" spans="1:19" x14ac:dyDescent="0.2">
      <c r="A1370" s="11" t="s">
        <v>26065</v>
      </c>
      <c r="B1370" s="9" t="s">
        <v>26066</v>
      </c>
      <c r="C1370" s="9" t="s">
        <v>26067</v>
      </c>
      <c r="D1370" s="9" t="s">
        <v>26068</v>
      </c>
      <c r="E1370" s="9" t="s">
        <v>17740</v>
      </c>
      <c r="F1370" s="9" t="s">
        <v>17741</v>
      </c>
      <c r="G1370" s="9" t="s">
        <v>17740</v>
      </c>
      <c r="H1370" s="11" t="s">
        <v>11049</v>
      </c>
      <c r="I1370" s="11" t="s">
        <v>11048</v>
      </c>
      <c r="J1370" s="11" t="s">
        <v>11048</v>
      </c>
      <c r="K1370" s="9" t="s">
        <v>20225</v>
      </c>
      <c r="L1370" s="9" t="s">
        <v>17759</v>
      </c>
      <c r="M1370" s="9" t="s">
        <v>18065</v>
      </c>
      <c r="N1370" s="9" t="s">
        <v>17746</v>
      </c>
      <c r="O1370" s="9" t="s">
        <v>18009</v>
      </c>
      <c r="P1370" s="9" t="s">
        <v>17748</v>
      </c>
      <c r="Q1370" s="11" t="s">
        <v>17762</v>
      </c>
      <c r="R1370" s="11" t="s">
        <v>17762</v>
      </c>
      <c r="S1370" s="11" t="s">
        <v>17750</v>
      </c>
    </row>
    <row r="1371" spans="1:19" x14ac:dyDescent="0.2">
      <c r="A1371" s="11" t="s">
        <v>26069</v>
      </c>
      <c r="B1371" s="9" t="s">
        <v>26070</v>
      </c>
      <c r="C1371" s="9" t="s">
        <v>26071</v>
      </c>
      <c r="D1371" s="9" t="s">
        <v>26072</v>
      </c>
      <c r="E1371" s="9" t="s">
        <v>17740</v>
      </c>
      <c r="F1371" s="9" t="s">
        <v>26073</v>
      </c>
      <c r="G1371" s="9" t="s">
        <v>17740</v>
      </c>
      <c r="H1371" s="11" t="s">
        <v>26074</v>
      </c>
      <c r="I1371" s="11" t="s">
        <v>26075</v>
      </c>
      <c r="J1371" s="11" t="s">
        <v>26075</v>
      </c>
      <c r="K1371" s="9" t="s">
        <v>26076</v>
      </c>
      <c r="L1371" s="9" t="s">
        <v>17759</v>
      </c>
      <c r="M1371" s="9" t="s">
        <v>17769</v>
      </c>
      <c r="N1371" s="9" t="s">
        <v>17746</v>
      </c>
      <c r="O1371" s="9" t="s">
        <v>18009</v>
      </c>
      <c r="P1371" s="9" t="s">
        <v>17748</v>
      </c>
      <c r="Q1371" s="11" t="s">
        <v>18272</v>
      </c>
      <c r="R1371" s="11" t="s">
        <v>18272</v>
      </c>
      <c r="S1371" s="11" t="s">
        <v>17750</v>
      </c>
    </row>
    <row r="1372" spans="1:19" x14ac:dyDescent="0.2">
      <c r="A1372" s="11" t="s">
        <v>26077</v>
      </c>
      <c r="B1372" s="9" t="s">
        <v>26078</v>
      </c>
      <c r="C1372" s="9" t="s">
        <v>26079</v>
      </c>
      <c r="D1372" s="9" t="s">
        <v>26080</v>
      </c>
      <c r="E1372" s="9" t="s">
        <v>17740</v>
      </c>
      <c r="F1372" s="9" t="s">
        <v>26081</v>
      </c>
      <c r="G1372" s="9" t="s">
        <v>17740</v>
      </c>
      <c r="H1372" s="11" t="s">
        <v>17741</v>
      </c>
      <c r="I1372" s="11" t="s">
        <v>26082</v>
      </c>
      <c r="J1372" s="11" t="s">
        <v>26082</v>
      </c>
      <c r="K1372" s="9" t="s">
        <v>26083</v>
      </c>
      <c r="L1372" s="9" t="s">
        <v>17759</v>
      </c>
      <c r="M1372" s="9" t="s">
        <v>17817</v>
      </c>
      <c r="N1372" s="9" t="s">
        <v>17746</v>
      </c>
      <c r="O1372" s="9" t="s">
        <v>17993</v>
      </c>
      <c r="P1372" s="9" t="s">
        <v>17748</v>
      </c>
      <c r="Q1372" s="11" t="s">
        <v>18805</v>
      </c>
      <c r="R1372" s="11" t="s">
        <v>18805</v>
      </c>
      <c r="S1372" s="11" t="s">
        <v>17750</v>
      </c>
    </row>
    <row r="1373" spans="1:19" x14ac:dyDescent="0.2">
      <c r="A1373" s="11" t="s">
        <v>26084</v>
      </c>
      <c r="B1373" s="9" t="s">
        <v>26085</v>
      </c>
      <c r="C1373" s="9" t="s">
        <v>26086</v>
      </c>
      <c r="D1373" s="9" t="s">
        <v>26087</v>
      </c>
      <c r="E1373" s="9" t="s">
        <v>17740</v>
      </c>
      <c r="F1373" s="9" t="s">
        <v>17741</v>
      </c>
      <c r="G1373" s="9" t="s">
        <v>17740</v>
      </c>
      <c r="H1373" s="11" t="s">
        <v>1334</v>
      </c>
      <c r="I1373" s="11" t="s">
        <v>1333</v>
      </c>
      <c r="J1373" s="11" t="s">
        <v>1333</v>
      </c>
      <c r="K1373" s="9" t="s">
        <v>291</v>
      </c>
      <c r="L1373" s="9" t="s">
        <v>17744</v>
      </c>
      <c r="M1373" s="9" t="s">
        <v>18170</v>
      </c>
      <c r="N1373" s="9" t="s">
        <v>17746</v>
      </c>
      <c r="O1373" s="9" t="s">
        <v>18534</v>
      </c>
      <c r="P1373" s="9" t="s">
        <v>17748</v>
      </c>
      <c r="Q1373" s="11" t="s">
        <v>19082</v>
      </c>
      <c r="R1373" s="11" t="s">
        <v>19082</v>
      </c>
      <c r="S1373" s="11" t="s">
        <v>17750</v>
      </c>
    </row>
    <row r="1374" spans="1:19" x14ac:dyDescent="0.2">
      <c r="A1374" s="11" t="s">
        <v>26088</v>
      </c>
      <c r="B1374" s="9" t="s">
        <v>26089</v>
      </c>
      <c r="C1374" s="9" t="s">
        <v>26090</v>
      </c>
      <c r="D1374" s="9" t="s">
        <v>26091</v>
      </c>
      <c r="E1374" s="9" t="s">
        <v>17740</v>
      </c>
      <c r="F1374" s="9" t="s">
        <v>17741</v>
      </c>
      <c r="G1374" s="9" t="s">
        <v>17740</v>
      </c>
      <c r="H1374" s="11" t="s">
        <v>8507</v>
      </c>
      <c r="I1374" s="11" t="s">
        <v>8506</v>
      </c>
      <c r="J1374" s="11" t="s">
        <v>8506</v>
      </c>
      <c r="K1374" s="9" t="s">
        <v>601</v>
      </c>
      <c r="L1374" s="9" t="s">
        <v>17759</v>
      </c>
      <c r="M1374" s="9" t="s">
        <v>17760</v>
      </c>
      <c r="N1374" s="9" t="s">
        <v>17746</v>
      </c>
      <c r="O1374" s="9" t="s">
        <v>21802</v>
      </c>
      <c r="P1374" s="9" t="s">
        <v>17748</v>
      </c>
      <c r="Q1374" s="11" t="s">
        <v>18147</v>
      </c>
      <c r="R1374" s="11" t="s">
        <v>18147</v>
      </c>
      <c r="S1374" s="11" t="s">
        <v>17750</v>
      </c>
    </row>
    <row r="1375" spans="1:19" x14ac:dyDescent="0.2">
      <c r="A1375" s="11" t="s">
        <v>26092</v>
      </c>
      <c r="B1375" s="9" t="s">
        <v>26093</v>
      </c>
      <c r="C1375" s="9" t="s">
        <v>26094</v>
      </c>
      <c r="D1375" s="9" t="s">
        <v>26095</v>
      </c>
      <c r="E1375" s="9" t="s">
        <v>17740</v>
      </c>
      <c r="F1375" s="9" t="s">
        <v>17741</v>
      </c>
      <c r="G1375" s="9" t="s">
        <v>17740</v>
      </c>
      <c r="H1375" s="11" t="s">
        <v>26096</v>
      </c>
      <c r="I1375" s="11" t="s">
        <v>26097</v>
      </c>
      <c r="J1375" s="11" t="s">
        <v>26097</v>
      </c>
      <c r="K1375" s="9" t="s">
        <v>26098</v>
      </c>
      <c r="L1375" s="9" t="s">
        <v>17759</v>
      </c>
      <c r="M1375" s="9" t="s">
        <v>26099</v>
      </c>
      <c r="N1375" s="9" t="s">
        <v>17746</v>
      </c>
      <c r="O1375" s="9" t="s">
        <v>20453</v>
      </c>
      <c r="P1375" s="9" t="s">
        <v>17748</v>
      </c>
      <c r="Q1375" s="11" t="s">
        <v>18364</v>
      </c>
      <c r="R1375" s="11" t="s">
        <v>18364</v>
      </c>
      <c r="S1375" s="11" t="s">
        <v>17750</v>
      </c>
    </row>
    <row r="1376" spans="1:19" x14ac:dyDescent="0.2">
      <c r="A1376" s="11" t="s">
        <v>26100</v>
      </c>
      <c r="B1376" s="9" t="s">
        <v>26101</v>
      </c>
      <c r="C1376" s="9" t="s">
        <v>26102</v>
      </c>
      <c r="D1376" s="9" t="s">
        <v>26103</v>
      </c>
      <c r="E1376" s="9" t="s">
        <v>17740</v>
      </c>
      <c r="F1376" s="9" t="s">
        <v>17741</v>
      </c>
      <c r="G1376" s="9" t="s">
        <v>17740</v>
      </c>
      <c r="H1376" s="11" t="s">
        <v>17741</v>
      </c>
      <c r="I1376" s="11" t="s">
        <v>9430</v>
      </c>
      <c r="J1376" s="11" t="s">
        <v>9430</v>
      </c>
      <c r="K1376" s="9" t="s">
        <v>9431</v>
      </c>
      <c r="L1376" s="9" t="s">
        <v>17759</v>
      </c>
      <c r="M1376" s="9" t="s">
        <v>26104</v>
      </c>
      <c r="N1376" s="9" t="s">
        <v>17746</v>
      </c>
      <c r="O1376" s="9" t="s">
        <v>21220</v>
      </c>
      <c r="P1376" s="9" t="s">
        <v>17748</v>
      </c>
      <c r="Q1376" s="11" t="s">
        <v>18059</v>
      </c>
      <c r="R1376" s="11" t="s">
        <v>18059</v>
      </c>
      <c r="S1376" s="11" t="s">
        <v>17750</v>
      </c>
    </row>
    <row r="1377" spans="1:19" x14ac:dyDescent="0.2">
      <c r="A1377" s="11" t="s">
        <v>26105</v>
      </c>
      <c r="B1377" s="9" t="s">
        <v>26106</v>
      </c>
      <c r="C1377" s="9" t="s">
        <v>26107</v>
      </c>
      <c r="D1377" s="9" t="s">
        <v>26108</v>
      </c>
      <c r="E1377" s="9" t="s">
        <v>17740</v>
      </c>
      <c r="F1377" s="9" t="s">
        <v>26109</v>
      </c>
      <c r="G1377" s="9" t="s">
        <v>17740</v>
      </c>
      <c r="H1377" s="11" t="s">
        <v>17741</v>
      </c>
      <c r="I1377" s="11" t="s">
        <v>26110</v>
      </c>
      <c r="J1377" s="11" t="s">
        <v>26110</v>
      </c>
      <c r="K1377" s="9" t="s">
        <v>26111</v>
      </c>
      <c r="L1377" s="9" t="s">
        <v>17759</v>
      </c>
      <c r="M1377" s="9" t="s">
        <v>17817</v>
      </c>
      <c r="N1377" s="9" t="s">
        <v>17746</v>
      </c>
      <c r="O1377" s="9" t="s">
        <v>26112</v>
      </c>
      <c r="P1377" s="9" t="s">
        <v>17748</v>
      </c>
      <c r="Q1377" s="11" t="s">
        <v>18952</v>
      </c>
      <c r="R1377" s="11" t="s">
        <v>18952</v>
      </c>
      <c r="S1377" s="11" t="s">
        <v>17750</v>
      </c>
    </row>
    <row r="1378" spans="1:19" x14ac:dyDescent="0.2">
      <c r="A1378" s="11" t="s">
        <v>26113</v>
      </c>
      <c r="B1378" s="9" t="s">
        <v>26114</v>
      </c>
      <c r="C1378" s="9" t="s">
        <v>26115</v>
      </c>
      <c r="D1378" s="9" t="s">
        <v>1228</v>
      </c>
      <c r="E1378" s="9" t="s">
        <v>17740</v>
      </c>
      <c r="F1378" s="9" t="s">
        <v>17741</v>
      </c>
      <c r="G1378" s="9" t="s">
        <v>17740</v>
      </c>
      <c r="H1378" s="11" t="s">
        <v>1230</v>
      </c>
      <c r="I1378" s="11" t="s">
        <v>1229</v>
      </c>
      <c r="J1378" s="11" t="s">
        <v>1229</v>
      </c>
      <c r="K1378" s="9" t="s">
        <v>17805</v>
      </c>
      <c r="L1378" s="9" t="s">
        <v>17744</v>
      </c>
      <c r="M1378" s="9" t="s">
        <v>26116</v>
      </c>
      <c r="N1378" s="9" t="s">
        <v>17746</v>
      </c>
      <c r="O1378" s="9" t="s">
        <v>5790</v>
      </c>
      <c r="P1378" s="9" t="s">
        <v>17748</v>
      </c>
      <c r="Q1378" s="11" t="s">
        <v>18608</v>
      </c>
      <c r="R1378" s="11" t="s">
        <v>18608</v>
      </c>
      <c r="S1378" s="11" t="s">
        <v>17750</v>
      </c>
    </row>
    <row r="1379" spans="1:19" x14ac:dyDescent="0.2">
      <c r="A1379" s="11" t="s">
        <v>26117</v>
      </c>
      <c r="B1379" s="9" t="s">
        <v>26118</v>
      </c>
      <c r="C1379" s="9" t="s">
        <v>26119</v>
      </c>
      <c r="D1379" s="9" t="s">
        <v>26120</v>
      </c>
      <c r="E1379" s="9" t="s">
        <v>17740</v>
      </c>
      <c r="F1379" s="9" t="s">
        <v>26121</v>
      </c>
      <c r="G1379" s="9" t="s">
        <v>17740</v>
      </c>
      <c r="H1379" s="11" t="s">
        <v>8564</v>
      </c>
      <c r="I1379" s="11" t="s">
        <v>8563</v>
      </c>
      <c r="J1379" s="11" t="s">
        <v>8563</v>
      </c>
      <c r="K1379" s="9" t="s">
        <v>91</v>
      </c>
      <c r="L1379" s="9" t="s">
        <v>17744</v>
      </c>
      <c r="M1379" s="9" t="s">
        <v>26122</v>
      </c>
      <c r="N1379" s="9" t="s">
        <v>17746</v>
      </c>
      <c r="O1379" s="9" t="s">
        <v>25085</v>
      </c>
      <c r="P1379" s="9" t="s">
        <v>17748</v>
      </c>
      <c r="Q1379" s="11" t="s">
        <v>18272</v>
      </c>
      <c r="R1379" s="11" t="s">
        <v>18272</v>
      </c>
      <c r="S1379" s="11" t="s">
        <v>17750</v>
      </c>
    </row>
    <row r="1380" spans="1:19" x14ac:dyDescent="0.2">
      <c r="A1380" s="11" t="s">
        <v>26123</v>
      </c>
      <c r="B1380" s="9" t="s">
        <v>26124</v>
      </c>
      <c r="C1380" s="9" t="s">
        <v>26125</v>
      </c>
      <c r="D1380" s="9" t="s">
        <v>26126</v>
      </c>
      <c r="E1380" s="9" t="s">
        <v>17748</v>
      </c>
      <c r="F1380" s="9" t="s">
        <v>26127</v>
      </c>
      <c r="G1380" s="9" t="s">
        <v>17740</v>
      </c>
      <c r="H1380" s="11" t="s">
        <v>10760</v>
      </c>
      <c r="I1380" s="11" t="s">
        <v>10759</v>
      </c>
      <c r="J1380" s="11" t="s">
        <v>10759</v>
      </c>
      <c r="K1380" s="9" t="s">
        <v>91</v>
      </c>
      <c r="L1380" s="9" t="s">
        <v>17759</v>
      </c>
      <c r="M1380" s="9" t="s">
        <v>17769</v>
      </c>
      <c r="N1380" s="9" t="s">
        <v>17746</v>
      </c>
      <c r="O1380" s="9" t="s">
        <v>25630</v>
      </c>
      <c r="P1380" s="9" t="s">
        <v>17748</v>
      </c>
      <c r="Q1380" s="11" t="s">
        <v>17984</v>
      </c>
      <c r="R1380" s="11" t="s">
        <v>17984</v>
      </c>
      <c r="S1380" s="11" t="s">
        <v>17750</v>
      </c>
    </row>
    <row r="1381" spans="1:19" x14ac:dyDescent="0.2">
      <c r="A1381" s="11" t="s">
        <v>26128</v>
      </c>
      <c r="B1381" s="9" t="s">
        <v>26129</v>
      </c>
      <c r="C1381" s="9" t="s">
        <v>26130</v>
      </c>
      <c r="D1381" s="9" t="s">
        <v>26131</v>
      </c>
      <c r="E1381" s="9" t="s">
        <v>17740</v>
      </c>
      <c r="F1381" s="9" t="s">
        <v>17741</v>
      </c>
      <c r="G1381" s="9" t="s">
        <v>17740</v>
      </c>
      <c r="H1381" s="11" t="s">
        <v>17741</v>
      </c>
      <c r="I1381" s="11" t="s">
        <v>26132</v>
      </c>
      <c r="J1381" s="11" t="s">
        <v>26132</v>
      </c>
      <c r="K1381" s="9" t="s">
        <v>26133</v>
      </c>
      <c r="L1381" s="9" t="s">
        <v>20082</v>
      </c>
      <c r="M1381" s="9" t="s">
        <v>26134</v>
      </c>
      <c r="N1381" s="9" t="s">
        <v>17746</v>
      </c>
      <c r="O1381" s="9" t="s">
        <v>17800</v>
      </c>
      <c r="P1381" s="9" t="s">
        <v>17748</v>
      </c>
      <c r="Q1381" s="11" t="s">
        <v>18147</v>
      </c>
      <c r="R1381" s="11" t="s">
        <v>18147</v>
      </c>
      <c r="S1381" s="11" t="s">
        <v>17750</v>
      </c>
    </row>
    <row r="1382" spans="1:19" x14ac:dyDescent="0.2">
      <c r="A1382" s="11" t="s">
        <v>26135</v>
      </c>
      <c r="B1382" s="9" t="s">
        <v>26136</v>
      </c>
      <c r="C1382" s="9" t="s">
        <v>26137</v>
      </c>
      <c r="D1382" s="9" t="s">
        <v>26138</v>
      </c>
      <c r="E1382" s="9" t="s">
        <v>17740</v>
      </c>
      <c r="F1382" s="9" t="s">
        <v>17741</v>
      </c>
      <c r="G1382" s="9" t="s">
        <v>17740</v>
      </c>
      <c r="H1382" s="11" t="s">
        <v>11269</v>
      </c>
      <c r="I1382" s="11" t="s">
        <v>11268</v>
      </c>
      <c r="J1382" s="11" t="s">
        <v>11268</v>
      </c>
      <c r="K1382" s="9" t="s">
        <v>17758</v>
      </c>
      <c r="L1382" s="9" t="s">
        <v>17759</v>
      </c>
      <c r="M1382" s="9" t="s">
        <v>18065</v>
      </c>
      <c r="N1382" s="9" t="s">
        <v>17746</v>
      </c>
      <c r="O1382" s="9" t="s">
        <v>3100</v>
      </c>
      <c r="P1382" s="9" t="s">
        <v>17748</v>
      </c>
      <c r="Q1382" s="11" t="s">
        <v>17808</v>
      </c>
      <c r="R1382" s="11" t="s">
        <v>17808</v>
      </c>
      <c r="S1382" s="11" t="s">
        <v>17750</v>
      </c>
    </row>
    <row r="1383" spans="1:19" x14ac:dyDescent="0.2">
      <c r="A1383" s="11" t="s">
        <v>26139</v>
      </c>
      <c r="B1383" s="9" t="s">
        <v>1016</v>
      </c>
      <c r="C1383" s="9" t="s">
        <v>26140</v>
      </c>
      <c r="D1383" s="9" t="s">
        <v>1016</v>
      </c>
      <c r="E1383" s="9" t="s">
        <v>17740</v>
      </c>
      <c r="F1383" s="9" t="s">
        <v>17741</v>
      </c>
      <c r="G1383" s="9" t="s">
        <v>17740</v>
      </c>
      <c r="H1383" s="11" t="s">
        <v>1018</v>
      </c>
      <c r="I1383" s="11" t="s">
        <v>1017</v>
      </c>
      <c r="J1383" s="11" t="s">
        <v>1017</v>
      </c>
      <c r="K1383" s="9" t="s">
        <v>91</v>
      </c>
      <c r="L1383" s="9" t="s">
        <v>17759</v>
      </c>
      <c r="M1383" s="9" t="s">
        <v>17817</v>
      </c>
      <c r="N1383" s="9" t="s">
        <v>17746</v>
      </c>
      <c r="O1383" s="9" t="s">
        <v>19067</v>
      </c>
      <c r="P1383" s="9" t="s">
        <v>17748</v>
      </c>
      <c r="Q1383" s="11" t="s">
        <v>18282</v>
      </c>
      <c r="R1383" s="11" t="s">
        <v>18282</v>
      </c>
      <c r="S1383" s="11" t="s">
        <v>17750</v>
      </c>
    </row>
    <row r="1384" spans="1:19" x14ac:dyDescent="0.2">
      <c r="A1384" s="11" t="s">
        <v>26141</v>
      </c>
      <c r="B1384" s="9" t="s">
        <v>26142</v>
      </c>
      <c r="C1384" s="9" t="s">
        <v>26143</v>
      </c>
      <c r="D1384" s="9" t="s">
        <v>26144</v>
      </c>
      <c r="E1384" s="9" t="s">
        <v>17740</v>
      </c>
      <c r="F1384" s="9" t="s">
        <v>17741</v>
      </c>
      <c r="G1384" s="9" t="s">
        <v>17740</v>
      </c>
      <c r="H1384" s="11" t="s">
        <v>11804</v>
      </c>
      <c r="I1384" s="11" t="s">
        <v>11803</v>
      </c>
      <c r="J1384" s="11" t="s">
        <v>11803</v>
      </c>
      <c r="K1384" s="9" t="s">
        <v>970</v>
      </c>
      <c r="L1384" s="9" t="s">
        <v>17759</v>
      </c>
      <c r="M1384" s="9" t="s">
        <v>17769</v>
      </c>
      <c r="N1384" s="9" t="s">
        <v>17746</v>
      </c>
      <c r="O1384" s="9" t="s">
        <v>23061</v>
      </c>
      <c r="P1384" s="9" t="s">
        <v>17748</v>
      </c>
      <c r="Q1384" s="11" t="s">
        <v>17762</v>
      </c>
      <c r="R1384" s="11" t="s">
        <v>17762</v>
      </c>
      <c r="S1384" s="11" t="s">
        <v>17750</v>
      </c>
    </row>
    <row r="1385" spans="1:19" x14ac:dyDescent="0.2">
      <c r="A1385" s="11" t="s">
        <v>26145</v>
      </c>
      <c r="B1385" s="9" t="s">
        <v>26146</v>
      </c>
      <c r="C1385" s="9" t="s">
        <v>26147</v>
      </c>
      <c r="D1385" s="9" t="s">
        <v>26148</v>
      </c>
      <c r="E1385" s="9" t="s">
        <v>17740</v>
      </c>
      <c r="F1385" s="9" t="s">
        <v>26149</v>
      </c>
      <c r="G1385" s="9" t="s">
        <v>17740</v>
      </c>
      <c r="H1385" s="11" t="s">
        <v>26150</v>
      </c>
      <c r="I1385" s="11" t="s">
        <v>26151</v>
      </c>
      <c r="J1385" s="11" t="s">
        <v>26151</v>
      </c>
      <c r="K1385" s="9" t="s">
        <v>18122</v>
      </c>
      <c r="L1385" s="9" t="s">
        <v>18123</v>
      </c>
      <c r="M1385" s="9" t="s">
        <v>17942</v>
      </c>
      <c r="N1385" s="9" t="s">
        <v>17746</v>
      </c>
      <c r="O1385" s="9" t="s">
        <v>18746</v>
      </c>
      <c r="P1385" s="9" t="s">
        <v>17748</v>
      </c>
      <c r="Q1385" s="11" t="s">
        <v>18798</v>
      </c>
      <c r="R1385" s="11" t="s">
        <v>18798</v>
      </c>
      <c r="S1385" s="11" t="s">
        <v>17750</v>
      </c>
    </row>
    <row r="1386" spans="1:19" x14ac:dyDescent="0.2">
      <c r="A1386" s="11" t="s">
        <v>26152</v>
      </c>
      <c r="B1386" s="9" t="s">
        <v>26153</v>
      </c>
      <c r="C1386" s="9" t="s">
        <v>26154</v>
      </c>
      <c r="D1386" s="9" t="s">
        <v>26155</v>
      </c>
      <c r="E1386" s="9" t="s">
        <v>17740</v>
      </c>
      <c r="F1386" s="9" t="s">
        <v>17741</v>
      </c>
      <c r="G1386" s="9" t="s">
        <v>17740</v>
      </c>
      <c r="H1386" s="11" t="s">
        <v>26156</v>
      </c>
      <c r="I1386" s="11" t="s">
        <v>26157</v>
      </c>
      <c r="J1386" s="11" t="s">
        <v>26157</v>
      </c>
      <c r="K1386" s="9" t="s">
        <v>18176</v>
      </c>
      <c r="L1386" s="9" t="s">
        <v>18123</v>
      </c>
      <c r="M1386" s="9" t="s">
        <v>17942</v>
      </c>
      <c r="N1386" s="9" t="s">
        <v>17746</v>
      </c>
      <c r="O1386" s="9" t="s">
        <v>7269</v>
      </c>
      <c r="P1386" s="9" t="s">
        <v>17748</v>
      </c>
      <c r="Q1386" s="11" t="s">
        <v>18608</v>
      </c>
      <c r="R1386" s="11" t="s">
        <v>18608</v>
      </c>
      <c r="S1386" s="11" t="s">
        <v>17750</v>
      </c>
    </row>
    <row r="1387" spans="1:19" x14ac:dyDescent="0.2">
      <c r="A1387" s="11" t="s">
        <v>26158</v>
      </c>
      <c r="B1387" s="9" t="s">
        <v>26159</v>
      </c>
      <c r="C1387" s="9" t="s">
        <v>26159</v>
      </c>
      <c r="D1387" s="9" t="s">
        <v>26159</v>
      </c>
      <c r="E1387" s="9" t="s">
        <v>17740</v>
      </c>
      <c r="F1387" s="9" t="s">
        <v>17741</v>
      </c>
      <c r="G1387" s="9" t="s">
        <v>17740</v>
      </c>
      <c r="H1387" s="11" t="s">
        <v>10397</v>
      </c>
      <c r="I1387" s="11" t="s">
        <v>10396</v>
      </c>
      <c r="J1387" s="11" t="s">
        <v>10397</v>
      </c>
      <c r="K1387" s="9" t="s">
        <v>291</v>
      </c>
      <c r="L1387" s="9" t="s">
        <v>17744</v>
      </c>
      <c r="M1387" s="9" t="s">
        <v>26160</v>
      </c>
      <c r="N1387" s="9" t="s">
        <v>17746</v>
      </c>
      <c r="O1387" s="9" t="s">
        <v>15733</v>
      </c>
      <c r="P1387" s="9" t="s">
        <v>17748</v>
      </c>
      <c r="Q1387" s="11" t="s">
        <v>17780</v>
      </c>
      <c r="R1387" s="11" t="s">
        <v>17780</v>
      </c>
      <c r="S1387" s="11" t="s">
        <v>17750</v>
      </c>
    </row>
    <row r="1388" spans="1:19" x14ac:dyDescent="0.2">
      <c r="A1388" s="11" t="s">
        <v>26161</v>
      </c>
      <c r="B1388" s="9" t="s">
        <v>1237</v>
      </c>
      <c r="C1388" s="9" t="s">
        <v>26162</v>
      </c>
      <c r="D1388" s="9" t="s">
        <v>1237</v>
      </c>
      <c r="E1388" s="9" t="s">
        <v>17740</v>
      </c>
      <c r="F1388" s="9" t="s">
        <v>17741</v>
      </c>
      <c r="G1388" s="9" t="s">
        <v>17740</v>
      </c>
      <c r="H1388" s="11" t="s">
        <v>1239</v>
      </c>
      <c r="I1388" s="11" t="s">
        <v>1238</v>
      </c>
      <c r="J1388" s="11" t="s">
        <v>1238</v>
      </c>
      <c r="K1388" s="9" t="s">
        <v>17758</v>
      </c>
      <c r="L1388" s="9" t="s">
        <v>17759</v>
      </c>
      <c r="M1388" s="9" t="s">
        <v>26163</v>
      </c>
      <c r="N1388" s="9" t="s">
        <v>17746</v>
      </c>
      <c r="O1388" s="9" t="s">
        <v>3255</v>
      </c>
      <c r="P1388" s="9" t="s">
        <v>17748</v>
      </c>
      <c r="Q1388" s="11" t="s">
        <v>19515</v>
      </c>
      <c r="R1388" s="11" t="s">
        <v>19515</v>
      </c>
      <c r="S1388" s="11" t="s">
        <v>17750</v>
      </c>
    </row>
    <row r="1389" spans="1:19" x14ac:dyDescent="0.2">
      <c r="A1389" s="11" t="s">
        <v>26164</v>
      </c>
      <c r="B1389" s="9" t="s">
        <v>26165</v>
      </c>
      <c r="C1389" s="9" t="s">
        <v>26166</v>
      </c>
      <c r="D1389" s="9" t="s">
        <v>26167</v>
      </c>
      <c r="E1389" s="9" t="s">
        <v>17740</v>
      </c>
      <c r="F1389" s="9" t="s">
        <v>17741</v>
      </c>
      <c r="G1389" s="9" t="s">
        <v>17740</v>
      </c>
      <c r="H1389" s="11" t="s">
        <v>17741</v>
      </c>
      <c r="I1389" s="11" t="s">
        <v>26168</v>
      </c>
      <c r="J1389" s="11" t="s">
        <v>26168</v>
      </c>
      <c r="K1389" s="9" t="s">
        <v>26169</v>
      </c>
      <c r="L1389" s="9" t="s">
        <v>17759</v>
      </c>
      <c r="M1389" s="9" t="s">
        <v>18211</v>
      </c>
      <c r="N1389" s="9" t="s">
        <v>17746</v>
      </c>
      <c r="O1389" s="9" t="s">
        <v>20557</v>
      </c>
      <c r="P1389" s="9" t="s">
        <v>17748</v>
      </c>
      <c r="Q1389" s="11" t="s">
        <v>18147</v>
      </c>
      <c r="R1389" s="11" t="s">
        <v>18147</v>
      </c>
      <c r="S1389" s="11" t="s">
        <v>17750</v>
      </c>
    </row>
    <row r="1390" spans="1:19" x14ac:dyDescent="0.2">
      <c r="A1390" s="11" t="s">
        <v>26170</v>
      </c>
      <c r="B1390" s="9" t="s">
        <v>26171</v>
      </c>
      <c r="C1390" s="9" t="s">
        <v>26172</v>
      </c>
      <c r="D1390" s="9" t="s">
        <v>26173</v>
      </c>
      <c r="E1390" s="9" t="s">
        <v>17740</v>
      </c>
      <c r="F1390" s="9" t="s">
        <v>26174</v>
      </c>
      <c r="G1390" s="9" t="s">
        <v>17740</v>
      </c>
      <c r="H1390" s="11" t="s">
        <v>17741</v>
      </c>
      <c r="I1390" s="11" t="s">
        <v>26175</v>
      </c>
      <c r="J1390" s="11" t="s">
        <v>26175</v>
      </c>
      <c r="K1390" s="9" t="s">
        <v>26176</v>
      </c>
      <c r="L1390" s="9" t="s">
        <v>17759</v>
      </c>
      <c r="M1390" s="9" t="s">
        <v>17769</v>
      </c>
      <c r="N1390" s="9" t="s">
        <v>17746</v>
      </c>
      <c r="O1390" s="9" t="s">
        <v>26177</v>
      </c>
      <c r="P1390" s="9" t="s">
        <v>17748</v>
      </c>
      <c r="Q1390" s="11" t="s">
        <v>18813</v>
      </c>
      <c r="R1390" s="11" t="s">
        <v>18813</v>
      </c>
      <c r="S1390" s="11" t="s">
        <v>17750</v>
      </c>
    </row>
    <row r="1391" spans="1:19" x14ac:dyDescent="0.2">
      <c r="A1391" s="11" t="s">
        <v>26178</v>
      </c>
      <c r="B1391" s="9" t="s">
        <v>26179</v>
      </c>
      <c r="C1391" s="9" t="s">
        <v>26180</v>
      </c>
      <c r="D1391" s="9" t="s">
        <v>26181</v>
      </c>
      <c r="E1391" s="9" t="s">
        <v>17740</v>
      </c>
      <c r="F1391" s="9" t="s">
        <v>17741</v>
      </c>
      <c r="G1391" s="9" t="s">
        <v>17740</v>
      </c>
      <c r="H1391" s="11" t="s">
        <v>5204</v>
      </c>
      <c r="I1391" s="11" t="s">
        <v>5203</v>
      </c>
      <c r="J1391" s="11" t="s">
        <v>5203</v>
      </c>
      <c r="K1391" s="9" t="s">
        <v>17758</v>
      </c>
      <c r="L1391" s="9" t="s">
        <v>17744</v>
      </c>
      <c r="M1391" s="9" t="s">
        <v>26182</v>
      </c>
      <c r="N1391" s="9" t="s">
        <v>17746</v>
      </c>
      <c r="O1391" s="9" t="s">
        <v>20367</v>
      </c>
      <c r="P1391" s="9" t="s">
        <v>17748</v>
      </c>
      <c r="Q1391" s="11" t="s">
        <v>17749</v>
      </c>
      <c r="R1391" s="11" t="s">
        <v>17749</v>
      </c>
      <c r="S1391" s="11" t="s">
        <v>17750</v>
      </c>
    </row>
    <row r="1392" spans="1:19" x14ac:dyDescent="0.2">
      <c r="A1392" s="11" t="s">
        <v>26183</v>
      </c>
      <c r="B1392" s="9" t="s">
        <v>26184</v>
      </c>
      <c r="C1392" s="9" t="s">
        <v>26185</v>
      </c>
      <c r="D1392" s="9" t="s">
        <v>1286</v>
      </c>
      <c r="E1392" s="9" t="s">
        <v>17740</v>
      </c>
      <c r="F1392" s="9" t="s">
        <v>17741</v>
      </c>
      <c r="G1392" s="9" t="s">
        <v>17740</v>
      </c>
      <c r="H1392" s="11" t="s">
        <v>1288</v>
      </c>
      <c r="I1392" s="11" t="s">
        <v>1287</v>
      </c>
      <c r="J1392" s="11" t="s">
        <v>1287</v>
      </c>
      <c r="K1392" s="9" t="s">
        <v>20386</v>
      </c>
      <c r="L1392" s="9" t="s">
        <v>17991</v>
      </c>
      <c r="M1392" s="9" t="s">
        <v>26186</v>
      </c>
      <c r="N1392" s="9" t="s">
        <v>17746</v>
      </c>
      <c r="O1392" s="9" t="s">
        <v>26187</v>
      </c>
      <c r="P1392" s="9" t="s">
        <v>17748</v>
      </c>
      <c r="Q1392" s="11" t="s">
        <v>19236</v>
      </c>
      <c r="R1392" s="11" t="s">
        <v>19236</v>
      </c>
      <c r="S1392" s="11" t="s">
        <v>17750</v>
      </c>
    </row>
    <row r="1393" spans="1:19" x14ac:dyDescent="0.2">
      <c r="A1393" s="11" t="s">
        <v>26188</v>
      </c>
      <c r="B1393" s="9" t="s">
        <v>26189</v>
      </c>
      <c r="C1393" s="9" t="s">
        <v>26190</v>
      </c>
      <c r="D1393" s="9" t="s">
        <v>26191</v>
      </c>
      <c r="E1393" s="9" t="s">
        <v>17740</v>
      </c>
      <c r="F1393" s="9" t="s">
        <v>26192</v>
      </c>
      <c r="G1393" s="9" t="s">
        <v>17740</v>
      </c>
      <c r="H1393" s="11" t="s">
        <v>17741</v>
      </c>
      <c r="I1393" s="11" t="s">
        <v>26193</v>
      </c>
      <c r="J1393" s="11" t="s">
        <v>26193</v>
      </c>
      <c r="K1393" s="9" t="s">
        <v>26194</v>
      </c>
      <c r="L1393" s="9" t="s">
        <v>17759</v>
      </c>
      <c r="M1393" s="9" t="s">
        <v>17760</v>
      </c>
      <c r="N1393" s="9" t="s">
        <v>17746</v>
      </c>
      <c r="O1393" s="9" t="s">
        <v>18340</v>
      </c>
      <c r="P1393" s="9" t="s">
        <v>17748</v>
      </c>
      <c r="Q1393" s="11" t="s">
        <v>18960</v>
      </c>
      <c r="R1393" s="11" t="s">
        <v>18960</v>
      </c>
      <c r="S1393" s="11" t="s">
        <v>17750</v>
      </c>
    </row>
    <row r="1394" spans="1:19" x14ac:dyDescent="0.2">
      <c r="A1394" s="11" t="s">
        <v>26195</v>
      </c>
      <c r="B1394" s="9" t="s">
        <v>26196</v>
      </c>
      <c r="C1394" s="9" t="s">
        <v>26197</v>
      </c>
      <c r="D1394" s="9" t="s">
        <v>26198</v>
      </c>
      <c r="E1394" s="9" t="s">
        <v>17740</v>
      </c>
      <c r="F1394" s="9" t="s">
        <v>26199</v>
      </c>
      <c r="G1394" s="9" t="s">
        <v>17740</v>
      </c>
      <c r="H1394" s="11" t="s">
        <v>17741</v>
      </c>
      <c r="I1394" s="11" t="s">
        <v>26200</v>
      </c>
      <c r="J1394" s="11" t="s">
        <v>26200</v>
      </c>
      <c r="K1394" s="9" t="s">
        <v>26201</v>
      </c>
      <c r="L1394" s="9" t="s">
        <v>17759</v>
      </c>
      <c r="M1394" s="9" t="s">
        <v>17769</v>
      </c>
      <c r="N1394" s="9" t="s">
        <v>17746</v>
      </c>
      <c r="O1394" s="9" t="s">
        <v>17800</v>
      </c>
      <c r="P1394" s="9" t="s">
        <v>17748</v>
      </c>
      <c r="Q1394" s="11" t="s">
        <v>17808</v>
      </c>
      <c r="R1394" s="11" t="s">
        <v>17808</v>
      </c>
      <c r="S1394" s="11" t="s">
        <v>17750</v>
      </c>
    </row>
    <row r="1395" spans="1:19" x14ac:dyDescent="0.2">
      <c r="A1395" s="11" t="s">
        <v>26202</v>
      </c>
      <c r="B1395" s="9" t="s">
        <v>26203</v>
      </c>
      <c r="C1395" s="9" t="s">
        <v>26204</v>
      </c>
      <c r="D1395" s="9" t="s">
        <v>26205</v>
      </c>
      <c r="E1395" s="9" t="s">
        <v>17740</v>
      </c>
      <c r="F1395" s="9" t="s">
        <v>17741</v>
      </c>
      <c r="G1395" s="9" t="s">
        <v>17740</v>
      </c>
      <c r="H1395" s="11" t="s">
        <v>5822</v>
      </c>
      <c r="I1395" s="11" t="s">
        <v>5821</v>
      </c>
      <c r="J1395" s="11" t="s">
        <v>5821</v>
      </c>
      <c r="K1395" s="9" t="s">
        <v>26206</v>
      </c>
      <c r="L1395" s="9" t="s">
        <v>17744</v>
      </c>
      <c r="M1395" s="9" t="s">
        <v>26207</v>
      </c>
      <c r="N1395" s="9" t="s">
        <v>17746</v>
      </c>
      <c r="O1395" s="9" t="s">
        <v>21020</v>
      </c>
      <c r="P1395" s="9" t="s">
        <v>17748</v>
      </c>
      <c r="Q1395" s="11" t="s">
        <v>18080</v>
      </c>
      <c r="R1395" s="11" t="s">
        <v>18080</v>
      </c>
      <c r="S1395" s="11" t="s">
        <v>17750</v>
      </c>
    </row>
    <row r="1396" spans="1:19" x14ac:dyDescent="0.2">
      <c r="A1396" s="11" t="s">
        <v>26208</v>
      </c>
      <c r="B1396" s="9" t="s">
        <v>26209</v>
      </c>
      <c r="C1396" s="9" t="s">
        <v>26210</v>
      </c>
      <c r="D1396" s="9" t="s">
        <v>26209</v>
      </c>
      <c r="E1396" s="9" t="s">
        <v>17740</v>
      </c>
      <c r="F1396" s="9" t="s">
        <v>17741</v>
      </c>
      <c r="G1396" s="9" t="s">
        <v>17740</v>
      </c>
      <c r="H1396" s="11" t="s">
        <v>17741</v>
      </c>
      <c r="I1396" s="11" t="s">
        <v>26211</v>
      </c>
      <c r="J1396" s="11" t="s">
        <v>26211</v>
      </c>
      <c r="K1396" s="9" t="s">
        <v>26212</v>
      </c>
      <c r="L1396" s="9" t="s">
        <v>18959</v>
      </c>
      <c r="M1396" s="9" t="s">
        <v>17778</v>
      </c>
      <c r="N1396" s="9" t="s">
        <v>17746</v>
      </c>
      <c r="O1396" s="9" t="s">
        <v>19095</v>
      </c>
      <c r="P1396" s="9" t="s">
        <v>17748</v>
      </c>
      <c r="Q1396" s="11" t="s">
        <v>19222</v>
      </c>
      <c r="R1396" s="11" t="s">
        <v>19222</v>
      </c>
      <c r="S1396" s="11" t="s">
        <v>17750</v>
      </c>
    </row>
    <row r="1397" spans="1:19" x14ac:dyDescent="0.2">
      <c r="A1397" s="11" t="s">
        <v>26213</v>
      </c>
      <c r="B1397" s="9" t="s">
        <v>26214</v>
      </c>
      <c r="C1397" s="9" t="s">
        <v>26215</v>
      </c>
      <c r="D1397" s="9" t="s">
        <v>26216</v>
      </c>
      <c r="E1397" s="9" t="s">
        <v>17740</v>
      </c>
      <c r="F1397" s="9" t="s">
        <v>17741</v>
      </c>
      <c r="G1397" s="9" t="s">
        <v>17740</v>
      </c>
      <c r="H1397" s="11" t="s">
        <v>7319</v>
      </c>
      <c r="I1397" s="11" t="s">
        <v>7318</v>
      </c>
      <c r="J1397" s="11" t="s">
        <v>7318</v>
      </c>
      <c r="K1397" s="9" t="s">
        <v>23433</v>
      </c>
      <c r="L1397" s="9" t="s">
        <v>17744</v>
      </c>
      <c r="M1397" s="9" t="s">
        <v>17769</v>
      </c>
      <c r="N1397" s="9" t="s">
        <v>17746</v>
      </c>
      <c r="O1397" s="9" t="s">
        <v>7317</v>
      </c>
      <c r="P1397" s="9" t="s">
        <v>17748</v>
      </c>
      <c r="Q1397" s="11" t="s">
        <v>18272</v>
      </c>
      <c r="R1397" s="11" t="s">
        <v>18272</v>
      </c>
      <c r="S1397" s="11" t="s">
        <v>17750</v>
      </c>
    </row>
    <row r="1398" spans="1:19" x14ac:dyDescent="0.2">
      <c r="A1398" s="11" t="s">
        <v>26217</v>
      </c>
      <c r="B1398" s="9" t="s">
        <v>26218</v>
      </c>
      <c r="C1398" s="9" t="s">
        <v>26219</v>
      </c>
      <c r="D1398" s="9" t="s">
        <v>26220</v>
      </c>
      <c r="E1398" s="9" t="s">
        <v>17740</v>
      </c>
      <c r="F1398" s="9" t="s">
        <v>17741</v>
      </c>
      <c r="G1398" s="9" t="s">
        <v>17740</v>
      </c>
      <c r="H1398" s="11" t="s">
        <v>17741</v>
      </c>
      <c r="I1398" s="11" t="s">
        <v>26221</v>
      </c>
      <c r="J1398" s="11" t="s">
        <v>26221</v>
      </c>
      <c r="K1398" s="9" t="s">
        <v>26222</v>
      </c>
      <c r="L1398" s="9" t="s">
        <v>20082</v>
      </c>
      <c r="M1398" s="9" t="s">
        <v>17760</v>
      </c>
      <c r="N1398" s="9" t="s">
        <v>17746</v>
      </c>
      <c r="O1398" s="9" t="s">
        <v>7317</v>
      </c>
      <c r="P1398" s="9" t="s">
        <v>17748</v>
      </c>
      <c r="Q1398" s="11" t="s">
        <v>18356</v>
      </c>
      <c r="R1398" s="11" t="s">
        <v>18356</v>
      </c>
      <c r="S1398" s="11" t="s">
        <v>17750</v>
      </c>
    </row>
    <row r="1399" spans="1:19" x14ac:dyDescent="0.2">
      <c r="A1399" s="11" t="s">
        <v>26223</v>
      </c>
      <c r="B1399" s="9" t="s">
        <v>26224</v>
      </c>
      <c r="C1399" s="9" t="s">
        <v>26225</v>
      </c>
      <c r="D1399" s="9" t="s">
        <v>26226</v>
      </c>
      <c r="E1399" s="9" t="s">
        <v>17740</v>
      </c>
      <c r="F1399" s="9" t="s">
        <v>17741</v>
      </c>
      <c r="G1399" s="9" t="s">
        <v>17740</v>
      </c>
      <c r="H1399" s="11" t="s">
        <v>1000</v>
      </c>
      <c r="I1399" s="11" t="s">
        <v>999</v>
      </c>
      <c r="J1399" s="11" t="s">
        <v>999</v>
      </c>
      <c r="K1399" s="9" t="s">
        <v>25648</v>
      </c>
      <c r="L1399" s="9" t="s">
        <v>17759</v>
      </c>
      <c r="M1399" s="9" t="s">
        <v>17760</v>
      </c>
      <c r="N1399" s="9" t="s">
        <v>17746</v>
      </c>
      <c r="O1399" s="9" t="s">
        <v>7317</v>
      </c>
      <c r="P1399" s="9" t="s">
        <v>17748</v>
      </c>
      <c r="Q1399" s="11" t="s">
        <v>18960</v>
      </c>
      <c r="R1399" s="11" t="s">
        <v>18960</v>
      </c>
      <c r="S1399" s="11" t="s">
        <v>17750</v>
      </c>
    </row>
    <row r="1400" spans="1:19" x14ac:dyDescent="0.2">
      <c r="A1400" s="11" t="s">
        <v>26227</v>
      </c>
      <c r="B1400" s="9" t="s">
        <v>26228</v>
      </c>
      <c r="C1400" s="9" t="s">
        <v>26229</v>
      </c>
      <c r="D1400" s="9" t="s">
        <v>26230</v>
      </c>
      <c r="E1400" s="9" t="s">
        <v>17740</v>
      </c>
      <c r="F1400" s="9" t="s">
        <v>17741</v>
      </c>
      <c r="G1400" s="9" t="s">
        <v>17740</v>
      </c>
      <c r="H1400" s="11" t="s">
        <v>1012</v>
      </c>
      <c r="I1400" s="11" t="s">
        <v>1011</v>
      </c>
      <c r="J1400" s="11" t="s">
        <v>1011</v>
      </c>
      <c r="K1400" s="9" t="s">
        <v>17758</v>
      </c>
      <c r="L1400" s="9" t="s">
        <v>17759</v>
      </c>
      <c r="M1400" s="9" t="s">
        <v>17817</v>
      </c>
      <c r="N1400" s="9" t="s">
        <v>17746</v>
      </c>
      <c r="O1400" s="9" t="s">
        <v>7317</v>
      </c>
      <c r="P1400" s="9" t="s">
        <v>17748</v>
      </c>
      <c r="Q1400" s="11" t="s">
        <v>18243</v>
      </c>
      <c r="R1400" s="11" t="s">
        <v>18243</v>
      </c>
      <c r="S1400" s="11" t="s">
        <v>17750</v>
      </c>
    </row>
    <row r="1401" spans="1:19" x14ac:dyDescent="0.2">
      <c r="A1401" s="11" t="s">
        <v>26231</v>
      </c>
      <c r="B1401" s="9" t="s">
        <v>26232</v>
      </c>
      <c r="C1401" s="9" t="s">
        <v>26233</v>
      </c>
      <c r="D1401" s="9" t="s">
        <v>26234</v>
      </c>
      <c r="E1401" s="9" t="s">
        <v>17740</v>
      </c>
      <c r="F1401" s="9" t="s">
        <v>17741</v>
      </c>
      <c r="G1401" s="9" t="s">
        <v>17740</v>
      </c>
      <c r="H1401" s="11" t="s">
        <v>26235</v>
      </c>
      <c r="I1401" s="11" t="s">
        <v>26236</v>
      </c>
      <c r="J1401" s="11" t="s">
        <v>26236</v>
      </c>
      <c r="K1401" s="9" t="s">
        <v>26237</v>
      </c>
      <c r="L1401" s="9" t="s">
        <v>17759</v>
      </c>
      <c r="M1401" s="9" t="s">
        <v>17769</v>
      </c>
      <c r="N1401" s="9" t="s">
        <v>17746</v>
      </c>
      <c r="O1401" s="9" t="s">
        <v>17761</v>
      </c>
      <c r="P1401" s="9" t="s">
        <v>17748</v>
      </c>
      <c r="Q1401" s="11" t="s">
        <v>19222</v>
      </c>
      <c r="R1401" s="11" t="s">
        <v>19222</v>
      </c>
      <c r="S1401" s="11" t="s">
        <v>17750</v>
      </c>
    </row>
    <row r="1402" spans="1:19" x14ac:dyDescent="0.2">
      <c r="A1402" s="11" t="s">
        <v>26238</v>
      </c>
      <c r="B1402" s="9" t="s">
        <v>26239</v>
      </c>
      <c r="C1402" s="9" t="s">
        <v>26240</v>
      </c>
      <c r="D1402" s="9" t="s">
        <v>26241</v>
      </c>
      <c r="E1402" s="9" t="s">
        <v>17740</v>
      </c>
      <c r="F1402" s="9" t="s">
        <v>17741</v>
      </c>
      <c r="G1402" s="9" t="s">
        <v>17740</v>
      </c>
      <c r="H1402" s="11" t="s">
        <v>26242</v>
      </c>
      <c r="I1402" s="11" t="s">
        <v>26243</v>
      </c>
      <c r="J1402" s="11" t="s">
        <v>26243</v>
      </c>
      <c r="K1402" s="9" t="s">
        <v>25648</v>
      </c>
      <c r="L1402" s="9" t="s">
        <v>17759</v>
      </c>
      <c r="M1402" s="9" t="s">
        <v>17760</v>
      </c>
      <c r="N1402" s="9" t="s">
        <v>17746</v>
      </c>
      <c r="O1402" s="9" t="s">
        <v>17761</v>
      </c>
      <c r="P1402" s="9" t="s">
        <v>17748</v>
      </c>
      <c r="Q1402" s="11" t="s">
        <v>17819</v>
      </c>
      <c r="R1402" s="11" t="s">
        <v>17819</v>
      </c>
      <c r="S1402" s="11" t="s">
        <v>17750</v>
      </c>
    </row>
    <row r="1403" spans="1:19" x14ac:dyDescent="0.2">
      <c r="A1403" s="11" t="s">
        <v>26244</v>
      </c>
      <c r="B1403" s="9" t="s">
        <v>26245</v>
      </c>
      <c r="C1403" s="9" t="s">
        <v>26246</v>
      </c>
      <c r="D1403" s="9" t="s">
        <v>26247</v>
      </c>
      <c r="E1403" s="9" t="s">
        <v>17740</v>
      </c>
      <c r="F1403" s="9" t="s">
        <v>26248</v>
      </c>
      <c r="G1403" s="9" t="s">
        <v>17740</v>
      </c>
      <c r="H1403" s="11" t="s">
        <v>4393</v>
      </c>
      <c r="I1403" s="11" t="s">
        <v>4392</v>
      </c>
      <c r="J1403" s="11" t="s">
        <v>4392</v>
      </c>
      <c r="K1403" s="9" t="s">
        <v>17758</v>
      </c>
      <c r="L1403" s="9" t="s">
        <v>17759</v>
      </c>
      <c r="M1403" s="9" t="s">
        <v>17760</v>
      </c>
      <c r="N1403" s="9" t="s">
        <v>17746</v>
      </c>
      <c r="O1403" s="9" t="s">
        <v>17761</v>
      </c>
      <c r="P1403" s="9" t="s">
        <v>17748</v>
      </c>
      <c r="Q1403" s="11" t="s">
        <v>18364</v>
      </c>
      <c r="R1403" s="11" t="s">
        <v>18364</v>
      </c>
      <c r="S1403" s="11" t="s">
        <v>17750</v>
      </c>
    </row>
    <row r="1404" spans="1:19" x14ac:dyDescent="0.2">
      <c r="A1404" s="11" t="s">
        <v>26249</v>
      </c>
      <c r="B1404" s="9" t="s">
        <v>26250</v>
      </c>
      <c r="C1404" s="9" t="s">
        <v>26251</v>
      </c>
      <c r="D1404" s="9" t="s">
        <v>26252</v>
      </c>
      <c r="E1404" s="9" t="s">
        <v>17740</v>
      </c>
      <c r="F1404" s="9" t="s">
        <v>17741</v>
      </c>
      <c r="G1404" s="9" t="s">
        <v>17740</v>
      </c>
      <c r="H1404" s="11" t="s">
        <v>9510</v>
      </c>
      <c r="I1404" s="11" t="s">
        <v>9509</v>
      </c>
      <c r="J1404" s="11" t="s">
        <v>9510</v>
      </c>
      <c r="K1404" s="9" t="s">
        <v>26253</v>
      </c>
      <c r="L1404" s="9" t="s">
        <v>17759</v>
      </c>
      <c r="M1404" s="9" t="s">
        <v>17760</v>
      </c>
      <c r="N1404" s="9" t="s">
        <v>17746</v>
      </c>
      <c r="O1404" s="9" t="s">
        <v>18009</v>
      </c>
      <c r="P1404" s="9" t="s">
        <v>17748</v>
      </c>
      <c r="Q1404" s="11" t="s">
        <v>17994</v>
      </c>
      <c r="R1404" s="11" t="s">
        <v>17994</v>
      </c>
      <c r="S1404" s="11" t="s">
        <v>17750</v>
      </c>
    </row>
    <row r="1405" spans="1:19" x14ac:dyDescent="0.2">
      <c r="A1405" s="11" t="s">
        <v>26254</v>
      </c>
      <c r="B1405" s="9" t="s">
        <v>26255</v>
      </c>
      <c r="C1405" s="9" t="s">
        <v>26256</v>
      </c>
      <c r="D1405" s="9" t="s">
        <v>26257</v>
      </c>
      <c r="E1405" s="9" t="s">
        <v>17740</v>
      </c>
      <c r="F1405" s="9" t="s">
        <v>26258</v>
      </c>
      <c r="G1405" s="9" t="s">
        <v>17740</v>
      </c>
      <c r="H1405" s="11" t="s">
        <v>5069</v>
      </c>
      <c r="I1405" s="11" t="s">
        <v>5068</v>
      </c>
      <c r="J1405" s="11" t="s">
        <v>5068</v>
      </c>
      <c r="K1405" s="9" t="s">
        <v>291</v>
      </c>
      <c r="L1405" s="9" t="s">
        <v>17744</v>
      </c>
      <c r="M1405" s="9" t="s">
        <v>17769</v>
      </c>
      <c r="N1405" s="9" t="s">
        <v>17746</v>
      </c>
      <c r="O1405" s="9" t="s">
        <v>18762</v>
      </c>
      <c r="P1405" s="9" t="s">
        <v>17748</v>
      </c>
      <c r="Q1405" s="11" t="s">
        <v>17819</v>
      </c>
      <c r="R1405" s="11" t="s">
        <v>17819</v>
      </c>
      <c r="S1405" s="11" t="s">
        <v>17750</v>
      </c>
    </row>
    <row r="1406" spans="1:19" x14ac:dyDescent="0.2">
      <c r="A1406" s="11" t="s">
        <v>26259</v>
      </c>
      <c r="B1406" s="9" t="s">
        <v>26260</v>
      </c>
      <c r="C1406" s="9" t="s">
        <v>26261</v>
      </c>
      <c r="D1406" s="9" t="s">
        <v>26262</v>
      </c>
      <c r="E1406" s="9" t="s">
        <v>17740</v>
      </c>
      <c r="F1406" s="9" t="s">
        <v>26263</v>
      </c>
      <c r="G1406" s="9" t="s">
        <v>17740</v>
      </c>
      <c r="H1406" s="11" t="s">
        <v>26264</v>
      </c>
      <c r="I1406" s="11" t="s">
        <v>1277</v>
      </c>
      <c r="J1406" s="11" t="s">
        <v>1277</v>
      </c>
      <c r="K1406" s="9" t="s">
        <v>26265</v>
      </c>
      <c r="L1406" s="9" t="s">
        <v>17759</v>
      </c>
      <c r="M1406" s="9" t="s">
        <v>26266</v>
      </c>
      <c r="N1406" s="9" t="s">
        <v>17746</v>
      </c>
      <c r="O1406" s="9" t="s">
        <v>793</v>
      </c>
      <c r="P1406" s="9" t="s">
        <v>17748</v>
      </c>
      <c r="Q1406" s="11" t="s">
        <v>18433</v>
      </c>
      <c r="R1406" s="11" t="s">
        <v>18433</v>
      </c>
      <c r="S1406" s="11" t="s">
        <v>17750</v>
      </c>
    </row>
    <row r="1407" spans="1:19" x14ac:dyDescent="0.2">
      <c r="A1407" s="11" t="s">
        <v>26267</v>
      </c>
      <c r="B1407" s="9" t="s">
        <v>26268</v>
      </c>
      <c r="C1407" s="9" t="s">
        <v>26269</v>
      </c>
      <c r="D1407" s="9" t="s">
        <v>26270</v>
      </c>
      <c r="E1407" s="9" t="s">
        <v>17740</v>
      </c>
      <c r="F1407" s="9" t="s">
        <v>17741</v>
      </c>
      <c r="G1407" s="9" t="s">
        <v>17740</v>
      </c>
      <c r="H1407" s="11" t="s">
        <v>7614</v>
      </c>
      <c r="I1407" s="11" t="s">
        <v>7613</v>
      </c>
      <c r="J1407" s="11" t="s">
        <v>7613</v>
      </c>
      <c r="K1407" s="9" t="s">
        <v>291</v>
      </c>
      <c r="L1407" s="9" t="s">
        <v>17744</v>
      </c>
      <c r="M1407" s="9" t="s">
        <v>17760</v>
      </c>
      <c r="N1407" s="9" t="s">
        <v>17746</v>
      </c>
      <c r="O1407" s="9" t="s">
        <v>22395</v>
      </c>
      <c r="P1407" s="9" t="s">
        <v>17748</v>
      </c>
      <c r="Q1407" s="11" t="s">
        <v>17978</v>
      </c>
      <c r="R1407" s="11" t="s">
        <v>17978</v>
      </c>
      <c r="S1407" s="11" t="s">
        <v>17750</v>
      </c>
    </row>
    <row r="1408" spans="1:19" x14ac:dyDescent="0.2">
      <c r="A1408" s="11" t="s">
        <v>26271</v>
      </c>
      <c r="B1408" s="9" t="s">
        <v>26272</v>
      </c>
      <c r="C1408" s="9" t="s">
        <v>26273</v>
      </c>
      <c r="D1408" s="9" t="s">
        <v>26274</v>
      </c>
      <c r="E1408" s="9" t="s">
        <v>17740</v>
      </c>
      <c r="F1408" s="9" t="s">
        <v>26275</v>
      </c>
      <c r="G1408" s="9" t="s">
        <v>17740</v>
      </c>
      <c r="H1408" s="11" t="s">
        <v>4749</v>
      </c>
      <c r="I1408" s="11" t="s">
        <v>4748</v>
      </c>
      <c r="J1408" s="11" t="s">
        <v>4748</v>
      </c>
      <c r="K1408" s="9" t="s">
        <v>291</v>
      </c>
      <c r="L1408" s="9" t="s">
        <v>17744</v>
      </c>
      <c r="M1408" s="9" t="s">
        <v>26099</v>
      </c>
      <c r="N1408" s="9" t="s">
        <v>17746</v>
      </c>
      <c r="O1408" s="9" t="s">
        <v>20498</v>
      </c>
      <c r="P1408" s="9" t="s">
        <v>17748</v>
      </c>
      <c r="Q1408" s="11" t="s">
        <v>19222</v>
      </c>
      <c r="R1408" s="11" t="s">
        <v>19222</v>
      </c>
      <c r="S1408" s="11" t="s">
        <v>17750</v>
      </c>
    </row>
    <row r="1409" spans="1:19" x14ac:dyDescent="0.2">
      <c r="A1409" s="11" t="s">
        <v>26276</v>
      </c>
      <c r="B1409" s="9" t="s">
        <v>26277</v>
      </c>
      <c r="C1409" s="9" t="s">
        <v>26278</v>
      </c>
      <c r="D1409" s="9" t="s">
        <v>26279</v>
      </c>
      <c r="E1409" s="9" t="s">
        <v>17740</v>
      </c>
      <c r="F1409" s="9" t="s">
        <v>17741</v>
      </c>
      <c r="G1409" s="9" t="s">
        <v>17740</v>
      </c>
      <c r="H1409" s="11" t="s">
        <v>17741</v>
      </c>
      <c r="I1409" s="11" t="s">
        <v>5185</v>
      </c>
      <c r="J1409" s="11" t="s">
        <v>5185</v>
      </c>
      <c r="K1409" s="9" t="s">
        <v>26265</v>
      </c>
      <c r="L1409" s="9" t="s">
        <v>17759</v>
      </c>
      <c r="M1409" s="9" t="s">
        <v>17760</v>
      </c>
      <c r="N1409" s="9" t="s">
        <v>17746</v>
      </c>
      <c r="O1409" s="9" t="s">
        <v>17922</v>
      </c>
      <c r="P1409" s="9" t="s">
        <v>17748</v>
      </c>
      <c r="Q1409" s="11" t="s">
        <v>17749</v>
      </c>
      <c r="R1409" s="11" t="s">
        <v>17749</v>
      </c>
      <c r="S1409" s="11" t="s">
        <v>17750</v>
      </c>
    </row>
    <row r="1410" spans="1:19" x14ac:dyDescent="0.2">
      <c r="A1410" s="11" t="s">
        <v>26280</v>
      </c>
      <c r="B1410" s="9" t="s">
        <v>26281</v>
      </c>
      <c r="C1410" s="9" t="s">
        <v>26282</v>
      </c>
      <c r="D1410" s="9" t="s">
        <v>26283</v>
      </c>
      <c r="E1410" s="9" t="s">
        <v>17740</v>
      </c>
      <c r="F1410" s="9" t="s">
        <v>26284</v>
      </c>
      <c r="G1410" s="9" t="s">
        <v>17740</v>
      </c>
      <c r="H1410" s="11" t="s">
        <v>26285</v>
      </c>
      <c r="I1410" s="11" t="s">
        <v>26286</v>
      </c>
      <c r="J1410" s="11" t="s">
        <v>26286</v>
      </c>
      <c r="K1410" s="9" t="s">
        <v>291</v>
      </c>
      <c r="L1410" s="9" t="s">
        <v>17744</v>
      </c>
      <c r="M1410" s="9" t="s">
        <v>19701</v>
      </c>
      <c r="N1410" s="9" t="s">
        <v>17746</v>
      </c>
      <c r="O1410" s="9" t="s">
        <v>18543</v>
      </c>
      <c r="P1410" s="9" t="s">
        <v>17748</v>
      </c>
      <c r="Q1410" s="11" t="s">
        <v>19222</v>
      </c>
      <c r="R1410" s="11" t="s">
        <v>19222</v>
      </c>
      <c r="S1410" s="11" t="s">
        <v>17750</v>
      </c>
    </row>
    <row r="1411" spans="1:19" x14ac:dyDescent="0.2">
      <c r="A1411" s="11" t="s">
        <v>26287</v>
      </c>
      <c r="B1411" s="9" t="s">
        <v>26288</v>
      </c>
      <c r="C1411" s="9" t="s">
        <v>26289</v>
      </c>
      <c r="D1411" s="9" t="s">
        <v>26290</v>
      </c>
      <c r="E1411" s="9" t="s">
        <v>17740</v>
      </c>
      <c r="F1411" s="9" t="s">
        <v>26291</v>
      </c>
      <c r="G1411" s="9" t="s">
        <v>17740</v>
      </c>
      <c r="H1411" s="11" t="s">
        <v>17741</v>
      </c>
      <c r="I1411" s="11" t="s">
        <v>4800</v>
      </c>
      <c r="J1411" s="11" t="s">
        <v>4800</v>
      </c>
      <c r="K1411" s="9" t="s">
        <v>26265</v>
      </c>
      <c r="L1411" s="9" t="s">
        <v>17759</v>
      </c>
      <c r="M1411" s="9" t="s">
        <v>18065</v>
      </c>
      <c r="N1411" s="9" t="s">
        <v>17746</v>
      </c>
      <c r="O1411" s="9" t="s">
        <v>18882</v>
      </c>
      <c r="P1411" s="9" t="s">
        <v>17748</v>
      </c>
      <c r="Q1411" s="11" t="s">
        <v>19222</v>
      </c>
      <c r="R1411" s="11" t="s">
        <v>19222</v>
      </c>
      <c r="S1411" s="11" t="s">
        <v>17750</v>
      </c>
    </row>
    <row r="1412" spans="1:19" x14ac:dyDescent="0.2">
      <c r="A1412" s="11" t="s">
        <v>26292</v>
      </c>
      <c r="B1412" s="9" t="s">
        <v>26293</v>
      </c>
      <c r="C1412" s="9" t="s">
        <v>26294</v>
      </c>
      <c r="D1412" s="9" t="s">
        <v>26295</v>
      </c>
      <c r="E1412" s="9" t="s">
        <v>17740</v>
      </c>
      <c r="F1412" s="9" t="s">
        <v>26296</v>
      </c>
      <c r="G1412" s="9" t="s">
        <v>17740</v>
      </c>
      <c r="H1412" s="11" t="s">
        <v>1295</v>
      </c>
      <c r="I1412" s="11" t="s">
        <v>1294</v>
      </c>
      <c r="J1412" s="11" t="s">
        <v>1294</v>
      </c>
      <c r="K1412" s="9" t="s">
        <v>291</v>
      </c>
      <c r="L1412" s="9" t="s">
        <v>17744</v>
      </c>
      <c r="M1412" s="9" t="s">
        <v>17778</v>
      </c>
      <c r="N1412" s="9" t="s">
        <v>17746</v>
      </c>
      <c r="O1412" s="9" t="s">
        <v>18746</v>
      </c>
      <c r="P1412" s="9" t="s">
        <v>17748</v>
      </c>
      <c r="Q1412" s="11" t="s">
        <v>19222</v>
      </c>
      <c r="R1412" s="11" t="s">
        <v>19222</v>
      </c>
      <c r="S1412" s="11" t="s">
        <v>17750</v>
      </c>
    </row>
    <row r="1413" spans="1:19" x14ac:dyDescent="0.2">
      <c r="A1413" s="11" t="s">
        <v>26297</v>
      </c>
      <c r="B1413" s="9" t="s">
        <v>26298</v>
      </c>
      <c r="C1413" s="9" t="s">
        <v>26299</v>
      </c>
      <c r="D1413" s="9" t="s">
        <v>26300</v>
      </c>
      <c r="E1413" s="9" t="s">
        <v>17740</v>
      </c>
      <c r="F1413" s="9" t="s">
        <v>17741</v>
      </c>
      <c r="G1413" s="9" t="s">
        <v>17740</v>
      </c>
      <c r="H1413" s="11" t="s">
        <v>17741</v>
      </c>
      <c r="I1413" s="11" t="s">
        <v>5645</v>
      </c>
      <c r="J1413" s="11" t="s">
        <v>5645</v>
      </c>
      <c r="K1413" s="9" t="s">
        <v>26265</v>
      </c>
      <c r="L1413" s="9" t="s">
        <v>17759</v>
      </c>
      <c r="M1413" s="9" t="s">
        <v>21694</v>
      </c>
      <c r="N1413" s="9" t="s">
        <v>17746</v>
      </c>
      <c r="O1413" s="9" t="s">
        <v>18363</v>
      </c>
      <c r="P1413" s="9" t="s">
        <v>17748</v>
      </c>
      <c r="Q1413" s="11" t="s">
        <v>17819</v>
      </c>
      <c r="R1413" s="11" t="s">
        <v>17819</v>
      </c>
      <c r="S1413" s="11" t="s">
        <v>17750</v>
      </c>
    </row>
    <row r="1414" spans="1:19" x14ac:dyDescent="0.2">
      <c r="A1414" s="11" t="s">
        <v>26301</v>
      </c>
      <c r="B1414" s="9" t="s">
        <v>26302</v>
      </c>
      <c r="C1414" s="9" t="s">
        <v>26303</v>
      </c>
      <c r="D1414" s="9" t="s">
        <v>26304</v>
      </c>
      <c r="E1414" s="9" t="s">
        <v>17740</v>
      </c>
      <c r="F1414" s="9" t="s">
        <v>17741</v>
      </c>
      <c r="G1414" s="9" t="s">
        <v>17740</v>
      </c>
      <c r="H1414" s="11" t="s">
        <v>1021</v>
      </c>
      <c r="I1414" s="11" t="s">
        <v>1020</v>
      </c>
      <c r="J1414" s="11" t="s">
        <v>1020</v>
      </c>
      <c r="K1414" s="9" t="s">
        <v>26030</v>
      </c>
      <c r="L1414" s="9" t="s">
        <v>18001</v>
      </c>
      <c r="M1414" s="9" t="s">
        <v>18289</v>
      </c>
      <c r="N1414" s="9" t="s">
        <v>17746</v>
      </c>
      <c r="O1414" s="9" t="s">
        <v>25096</v>
      </c>
      <c r="P1414" s="9" t="s">
        <v>17748</v>
      </c>
      <c r="Q1414" s="11" t="s">
        <v>17978</v>
      </c>
      <c r="R1414" s="11" t="s">
        <v>17978</v>
      </c>
      <c r="S1414" s="11" t="s">
        <v>17750</v>
      </c>
    </row>
    <row r="1415" spans="1:19" x14ac:dyDescent="0.2">
      <c r="A1415" s="11" t="s">
        <v>26305</v>
      </c>
      <c r="B1415" s="9" t="s">
        <v>26306</v>
      </c>
      <c r="C1415" s="9" t="s">
        <v>26307</v>
      </c>
      <c r="D1415" s="9" t="s">
        <v>26308</v>
      </c>
      <c r="E1415" s="9" t="s">
        <v>17740</v>
      </c>
      <c r="F1415" s="9" t="s">
        <v>17741</v>
      </c>
      <c r="G1415" s="9" t="s">
        <v>17740</v>
      </c>
      <c r="H1415" s="11" t="s">
        <v>1285</v>
      </c>
      <c r="I1415" s="11" t="s">
        <v>1284</v>
      </c>
      <c r="J1415" s="11" t="s">
        <v>1284</v>
      </c>
      <c r="K1415" s="9" t="s">
        <v>26265</v>
      </c>
      <c r="L1415" s="9" t="s">
        <v>17759</v>
      </c>
      <c r="M1415" s="9" t="s">
        <v>21567</v>
      </c>
      <c r="N1415" s="9" t="s">
        <v>17746</v>
      </c>
      <c r="O1415" s="9" t="s">
        <v>24758</v>
      </c>
      <c r="P1415" s="9" t="s">
        <v>17748</v>
      </c>
      <c r="Q1415" s="11" t="s">
        <v>18341</v>
      </c>
      <c r="R1415" s="11" t="s">
        <v>18341</v>
      </c>
      <c r="S1415" s="11" t="s">
        <v>17750</v>
      </c>
    </row>
    <row r="1416" spans="1:19" x14ac:dyDescent="0.2">
      <c r="A1416" s="11" t="s">
        <v>26309</v>
      </c>
      <c r="B1416" s="9" t="s">
        <v>26310</v>
      </c>
      <c r="C1416" s="9" t="s">
        <v>26311</v>
      </c>
      <c r="D1416" s="9" t="s">
        <v>26312</v>
      </c>
      <c r="E1416" s="9" t="s">
        <v>17740</v>
      </c>
      <c r="F1416" s="9" t="s">
        <v>26313</v>
      </c>
      <c r="G1416" s="9" t="s">
        <v>17740</v>
      </c>
      <c r="H1416" s="11" t="s">
        <v>1292</v>
      </c>
      <c r="I1416" s="11" t="s">
        <v>1291</v>
      </c>
      <c r="J1416" s="11" t="s">
        <v>1291</v>
      </c>
      <c r="K1416" s="9" t="s">
        <v>291</v>
      </c>
      <c r="L1416" s="9" t="s">
        <v>17744</v>
      </c>
      <c r="M1416" s="9" t="s">
        <v>17769</v>
      </c>
      <c r="N1416" s="9" t="s">
        <v>17746</v>
      </c>
      <c r="O1416" s="9" t="s">
        <v>4009</v>
      </c>
      <c r="P1416" s="9" t="s">
        <v>17748</v>
      </c>
      <c r="Q1416" s="11" t="s">
        <v>19222</v>
      </c>
      <c r="R1416" s="11" t="s">
        <v>19222</v>
      </c>
      <c r="S1416" s="11" t="s">
        <v>17750</v>
      </c>
    </row>
    <row r="1417" spans="1:19" x14ac:dyDescent="0.2">
      <c r="A1417" s="11" t="s">
        <v>26314</v>
      </c>
      <c r="B1417" s="9" t="s">
        <v>26315</v>
      </c>
      <c r="C1417" s="9" t="s">
        <v>26316</v>
      </c>
      <c r="D1417" s="9" t="s">
        <v>26317</v>
      </c>
      <c r="E1417" s="9" t="s">
        <v>17740</v>
      </c>
      <c r="F1417" s="9" t="s">
        <v>26318</v>
      </c>
      <c r="G1417" s="9" t="s">
        <v>17740</v>
      </c>
      <c r="H1417" s="11" t="s">
        <v>5776</v>
      </c>
      <c r="I1417" s="11" t="s">
        <v>5775</v>
      </c>
      <c r="J1417" s="11" t="s">
        <v>5775</v>
      </c>
      <c r="K1417" s="9" t="s">
        <v>26319</v>
      </c>
      <c r="L1417" s="9" t="s">
        <v>18079</v>
      </c>
      <c r="M1417" s="9" t="s">
        <v>22559</v>
      </c>
      <c r="N1417" s="9" t="s">
        <v>17746</v>
      </c>
      <c r="O1417" s="9" t="s">
        <v>17993</v>
      </c>
      <c r="P1417" s="9" t="s">
        <v>17748</v>
      </c>
      <c r="Q1417" s="11" t="s">
        <v>18147</v>
      </c>
      <c r="R1417" s="11" t="s">
        <v>18147</v>
      </c>
      <c r="S1417" s="11" t="s">
        <v>17750</v>
      </c>
    </row>
    <row r="1418" spans="1:19" x14ac:dyDescent="0.2">
      <c r="A1418" s="11" t="s">
        <v>26320</v>
      </c>
      <c r="B1418" s="9" t="s">
        <v>26321</v>
      </c>
      <c r="C1418" s="9" t="s">
        <v>26322</v>
      </c>
      <c r="D1418" s="9" t="s">
        <v>26323</v>
      </c>
      <c r="E1418" s="9" t="s">
        <v>17740</v>
      </c>
      <c r="F1418" s="9" t="s">
        <v>17741</v>
      </c>
      <c r="G1418" s="9" t="s">
        <v>17740</v>
      </c>
      <c r="H1418" s="11" t="s">
        <v>17741</v>
      </c>
      <c r="I1418" s="11" t="s">
        <v>26324</v>
      </c>
      <c r="J1418" s="11" t="s">
        <v>26324</v>
      </c>
      <c r="K1418" s="9" t="s">
        <v>26325</v>
      </c>
      <c r="L1418" s="9" t="s">
        <v>17744</v>
      </c>
      <c r="M1418" s="9" t="s">
        <v>17769</v>
      </c>
      <c r="N1418" s="9" t="s">
        <v>17746</v>
      </c>
      <c r="O1418" s="9" t="s">
        <v>19322</v>
      </c>
      <c r="P1418" s="9" t="s">
        <v>17748</v>
      </c>
      <c r="Q1418" s="11" t="s">
        <v>18251</v>
      </c>
      <c r="R1418" s="11" t="s">
        <v>18251</v>
      </c>
      <c r="S1418" s="11" t="s">
        <v>17750</v>
      </c>
    </row>
    <row r="1419" spans="1:19" x14ac:dyDescent="0.2">
      <c r="A1419" s="11" t="s">
        <v>26326</v>
      </c>
      <c r="B1419" s="9" t="s">
        <v>1296</v>
      </c>
      <c r="C1419" s="9" t="s">
        <v>26327</v>
      </c>
      <c r="D1419" s="9" t="s">
        <v>1296</v>
      </c>
      <c r="E1419" s="9" t="s">
        <v>17740</v>
      </c>
      <c r="F1419" s="9" t="s">
        <v>17741</v>
      </c>
      <c r="G1419" s="9" t="s">
        <v>17740</v>
      </c>
      <c r="H1419" s="11" t="s">
        <v>1298</v>
      </c>
      <c r="I1419" s="11" t="s">
        <v>1297</v>
      </c>
      <c r="J1419" s="11" t="s">
        <v>1297</v>
      </c>
      <c r="K1419" s="9" t="s">
        <v>601</v>
      </c>
      <c r="L1419" s="9" t="s">
        <v>17759</v>
      </c>
      <c r="M1419" s="9" t="s">
        <v>22360</v>
      </c>
      <c r="N1419" s="9" t="s">
        <v>17746</v>
      </c>
      <c r="O1419" s="9" t="s">
        <v>17977</v>
      </c>
      <c r="P1419" s="9" t="s">
        <v>17748</v>
      </c>
      <c r="Q1419" s="11" t="s">
        <v>19236</v>
      </c>
      <c r="R1419" s="11" t="s">
        <v>19236</v>
      </c>
      <c r="S1419" s="11" t="s">
        <v>17750</v>
      </c>
    </row>
    <row r="1420" spans="1:19" x14ac:dyDescent="0.2">
      <c r="A1420" s="11" t="s">
        <v>26328</v>
      </c>
      <c r="B1420" s="9" t="s">
        <v>26329</v>
      </c>
      <c r="C1420" s="9" t="s">
        <v>26330</v>
      </c>
      <c r="D1420" s="9" t="s">
        <v>26331</v>
      </c>
      <c r="E1420" s="9" t="s">
        <v>17740</v>
      </c>
      <c r="F1420" s="9" t="s">
        <v>17741</v>
      </c>
      <c r="G1420" s="9" t="s">
        <v>17740</v>
      </c>
      <c r="H1420" s="11" t="s">
        <v>17741</v>
      </c>
      <c r="I1420" s="11" t="s">
        <v>26332</v>
      </c>
      <c r="J1420" s="11" t="s">
        <v>26332</v>
      </c>
      <c r="K1420" s="9" t="s">
        <v>26333</v>
      </c>
      <c r="L1420" s="9" t="s">
        <v>18439</v>
      </c>
      <c r="M1420" s="9" t="s">
        <v>18628</v>
      </c>
      <c r="N1420" s="9" t="s">
        <v>17746</v>
      </c>
      <c r="O1420" s="9" t="s">
        <v>17874</v>
      </c>
      <c r="P1420" s="9" t="s">
        <v>17748</v>
      </c>
      <c r="Q1420" s="11" t="s">
        <v>17749</v>
      </c>
      <c r="R1420" s="11" t="s">
        <v>17749</v>
      </c>
      <c r="S1420" s="11" t="s">
        <v>17750</v>
      </c>
    </row>
    <row r="1421" spans="1:19" x14ac:dyDescent="0.2">
      <c r="A1421" s="11" t="s">
        <v>26334</v>
      </c>
      <c r="B1421" s="9" t="s">
        <v>26335</v>
      </c>
      <c r="C1421" s="9" t="s">
        <v>26336</v>
      </c>
      <c r="D1421" s="9" t="s">
        <v>26337</v>
      </c>
      <c r="E1421" s="9" t="s">
        <v>17748</v>
      </c>
      <c r="F1421" s="9" t="s">
        <v>26338</v>
      </c>
      <c r="G1421" s="9" t="s">
        <v>17740</v>
      </c>
      <c r="H1421" s="11" t="s">
        <v>17741</v>
      </c>
      <c r="I1421" s="11" t="s">
        <v>8138</v>
      </c>
      <c r="J1421" s="11" t="s">
        <v>26339</v>
      </c>
      <c r="K1421" s="9" t="s">
        <v>26340</v>
      </c>
      <c r="L1421" s="9" t="s">
        <v>17759</v>
      </c>
      <c r="M1421" s="9" t="s">
        <v>17760</v>
      </c>
      <c r="N1421" s="9" t="s">
        <v>17746</v>
      </c>
      <c r="O1421" s="9" t="s">
        <v>26341</v>
      </c>
      <c r="P1421" s="9" t="s">
        <v>17748</v>
      </c>
      <c r="Q1421" s="11" t="s">
        <v>18356</v>
      </c>
      <c r="R1421" s="11" t="s">
        <v>18356</v>
      </c>
      <c r="S1421" s="11" t="s">
        <v>17750</v>
      </c>
    </row>
    <row r="1422" spans="1:19" x14ac:dyDescent="0.2">
      <c r="A1422" s="11" t="s">
        <v>26342</v>
      </c>
      <c r="B1422" s="9" t="s">
        <v>26343</v>
      </c>
      <c r="C1422" s="9" t="s">
        <v>26344</v>
      </c>
      <c r="D1422" s="9" t="s">
        <v>26345</v>
      </c>
      <c r="E1422" s="9" t="s">
        <v>17740</v>
      </c>
      <c r="F1422" s="9" t="s">
        <v>17741</v>
      </c>
      <c r="G1422" s="9" t="s">
        <v>17740</v>
      </c>
      <c r="H1422" s="11" t="s">
        <v>26346</v>
      </c>
      <c r="I1422" s="11" t="s">
        <v>26347</v>
      </c>
      <c r="J1422" s="11" t="s">
        <v>26347</v>
      </c>
      <c r="K1422" s="9" t="s">
        <v>291</v>
      </c>
      <c r="L1422" s="9" t="s">
        <v>17744</v>
      </c>
      <c r="M1422" s="9" t="s">
        <v>26348</v>
      </c>
      <c r="N1422" s="9" t="s">
        <v>17746</v>
      </c>
      <c r="O1422" s="9" t="s">
        <v>18891</v>
      </c>
      <c r="P1422" s="9" t="s">
        <v>17748</v>
      </c>
      <c r="Q1422" s="11" t="s">
        <v>18356</v>
      </c>
      <c r="R1422" s="11" t="s">
        <v>18356</v>
      </c>
      <c r="S1422" s="11" t="s">
        <v>17750</v>
      </c>
    </row>
    <row r="1423" spans="1:19" x14ac:dyDescent="0.2">
      <c r="A1423" s="11" t="s">
        <v>26349</v>
      </c>
      <c r="B1423" s="9" t="s">
        <v>26350</v>
      </c>
      <c r="C1423" s="9" t="s">
        <v>26351</v>
      </c>
      <c r="D1423" s="9" t="s">
        <v>26352</v>
      </c>
      <c r="E1423" s="9" t="s">
        <v>17740</v>
      </c>
      <c r="F1423" s="9" t="s">
        <v>17741</v>
      </c>
      <c r="G1423" s="9" t="s">
        <v>17740</v>
      </c>
      <c r="H1423" s="11" t="s">
        <v>26353</v>
      </c>
      <c r="I1423" s="11" t="s">
        <v>26354</v>
      </c>
      <c r="J1423" s="11" t="s">
        <v>26354</v>
      </c>
      <c r="K1423" s="9" t="s">
        <v>21011</v>
      </c>
      <c r="L1423" s="9" t="s">
        <v>18001</v>
      </c>
      <c r="M1423" s="9" t="s">
        <v>17760</v>
      </c>
      <c r="N1423" s="9" t="s">
        <v>17746</v>
      </c>
      <c r="O1423" s="9" t="s">
        <v>26355</v>
      </c>
      <c r="P1423" s="9" t="s">
        <v>17748</v>
      </c>
      <c r="Q1423" s="11" t="s">
        <v>18600</v>
      </c>
      <c r="R1423" s="11" t="s">
        <v>18600</v>
      </c>
      <c r="S1423" s="11" t="s">
        <v>17750</v>
      </c>
    </row>
    <row r="1424" spans="1:19" x14ac:dyDescent="0.2">
      <c r="A1424" s="11" t="s">
        <v>26356</v>
      </c>
      <c r="B1424" s="9" t="s">
        <v>26357</v>
      </c>
      <c r="C1424" s="9" t="s">
        <v>26358</v>
      </c>
      <c r="D1424" s="9" t="s">
        <v>26357</v>
      </c>
      <c r="E1424" s="9" t="s">
        <v>17740</v>
      </c>
      <c r="F1424" s="9" t="s">
        <v>26359</v>
      </c>
      <c r="G1424" s="9" t="s">
        <v>17740</v>
      </c>
      <c r="H1424" s="11" t="s">
        <v>26360</v>
      </c>
      <c r="I1424" s="11" t="s">
        <v>26361</v>
      </c>
      <c r="J1424" s="11" t="s">
        <v>26361</v>
      </c>
      <c r="K1424" s="9" t="s">
        <v>26362</v>
      </c>
      <c r="L1424" s="9" t="s">
        <v>24311</v>
      </c>
      <c r="M1424" s="9" t="s">
        <v>26363</v>
      </c>
      <c r="N1424" s="9" t="s">
        <v>26364</v>
      </c>
      <c r="O1424" s="9" t="s">
        <v>17800</v>
      </c>
      <c r="P1424" s="9" t="s">
        <v>17748</v>
      </c>
      <c r="Q1424" s="11" t="s">
        <v>19335</v>
      </c>
      <c r="R1424" s="11" t="s">
        <v>19335</v>
      </c>
      <c r="S1424" s="11" t="s">
        <v>17750</v>
      </c>
    </row>
    <row r="1425" spans="1:19" x14ac:dyDescent="0.2">
      <c r="A1425" s="11" t="s">
        <v>26365</v>
      </c>
      <c r="B1425" s="9" t="s">
        <v>26366</v>
      </c>
      <c r="C1425" s="9" t="s">
        <v>26367</v>
      </c>
      <c r="D1425" s="9" t="s">
        <v>26368</v>
      </c>
      <c r="E1425" s="9" t="s">
        <v>17740</v>
      </c>
      <c r="F1425" s="9" t="s">
        <v>17741</v>
      </c>
      <c r="G1425" s="9" t="s">
        <v>17740</v>
      </c>
      <c r="H1425" s="11" t="s">
        <v>12939</v>
      </c>
      <c r="I1425" s="11" t="s">
        <v>12938</v>
      </c>
      <c r="J1425" s="11" t="s">
        <v>17741</v>
      </c>
      <c r="K1425" s="9" t="s">
        <v>20956</v>
      </c>
      <c r="L1425" s="9" t="s">
        <v>20976</v>
      </c>
      <c r="M1425" s="9" t="s">
        <v>26369</v>
      </c>
      <c r="N1425" s="9" t="s">
        <v>17746</v>
      </c>
      <c r="O1425" s="9" t="s">
        <v>18855</v>
      </c>
      <c r="P1425" s="9" t="s">
        <v>17748</v>
      </c>
      <c r="Q1425" s="11" t="s">
        <v>18370</v>
      </c>
      <c r="R1425" s="11" t="s">
        <v>18370</v>
      </c>
      <c r="S1425" s="11" t="s">
        <v>17750</v>
      </c>
    </row>
    <row r="1426" spans="1:19" x14ac:dyDescent="0.2">
      <c r="A1426" s="11" t="s">
        <v>26370</v>
      </c>
      <c r="B1426" s="9" t="s">
        <v>26371</v>
      </c>
      <c r="C1426" s="9" t="s">
        <v>26372</v>
      </c>
      <c r="D1426" s="9" t="s">
        <v>26373</v>
      </c>
      <c r="E1426" s="9" t="s">
        <v>17740</v>
      </c>
      <c r="F1426" s="9" t="s">
        <v>26374</v>
      </c>
      <c r="G1426" s="9" t="s">
        <v>17740</v>
      </c>
      <c r="H1426" s="11" t="s">
        <v>9721</v>
      </c>
      <c r="I1426" s="11" t="s">
        <v>9720</v>
      </c>
      <c r="J1426" s="11" t="s">
        <v>9720</v>
      </c>
      <c r="K1426" s="9" t="s">
        <v>9967</v>
      </c>
      <c r="L1426" s="9" t="s">
        <v>17759</v>
      </c>
      <c r="M1426" s="9" t="s">
        <v>17769</v>
      </c>
      <c r="N1426" s="9" t="s">
        <v>17746</v>
      </c>
      <c r="O1426" s="9" t="s">
        <v>19342</v>
      </c>
      <c r="P1426" s="9" t="s">
        <v>17748</v>
      </c>
      <c r="Q1426" s="11" t="s">
        <v>18922</v>
      </c>
      <c r="R1426" s="11" t="s">
        <v>18922</v>
      </c>
      <c r="S1426" s="11" t="s">
        <v>17750</v>
      </c>
    </row>
    <row r="1427" spans="1:19" x14ac:dyDescent="0.2">
      <c r="A1427" s="11" t="s">
        <v>26375</v>
      </c>
      <c r="B1427" s="9" t="s">
        <v>26376</v>
      </c>
      <c r="C1427" s="9" t="s">
        <v>26377</v>
      </c>
      <c r="D1427" s="9" t="s">
        <v>26378</v>
      </c>
      <c r="E1427" s="9" t="s">
        <v>17740</v>
      </c>
      <c r="F1427" s="9" t="s">
        <v>17741</v>
      </c>
      <c r="G1427" s="9" t="s">
        <v>17740</v>
      </c>
      <c r="H1427" s="11" t="s">
        <v>10417</v>
      </c>
      <c r="I1427" s="11" t="s">
        <v>10416</v>
      </c>
      <c r="J1427" s="11" t="s">
        <v>10416</v>
      </c>
      <c r="K1427" s="9" t="s">
        <v>20956</v>
      </c>
      <c r="L1427" s="9" t="s">
        <v>20976</v>
      </c>
      <c r="M1427" s="9" t="s">
        <v>18065</v>
      </c>
      <c r="N1427" s="9" t="s">
        <v>17746</v>
      </c>
      <c r="O1427" s="9" t="s">
        <v>3100</v>
      </c>
      <c r="P1427" s="9" t="s">
        <v>17748</v>
      </c>
      <c r="Q1427" s="11" t="s">
        <v>17780</v>
      </c>
      <c r="R1427" s="11" t="s">
        <v>17780</v>
      </c>
      <c r="S1427" s="11" t="s">
        <v>17750</v>
      </c>
    </row>
    <row r="1428" spans="1:19" x14ac:dyDescent="0.2">
      <c r="A1428" s="11" t="s">
        <v>26379</v>
      </c>
      <c r="B1428" s="9" t="s">
        <v>26380</v>
      </c>
      <c r="C1428" s="9" t="s">
        <v>26381</v>
      </c>
      <c r="D1428" s="9" t="s">
        <v>26382</v>
      </c>
      <c r="E1428" s="9" t="s">
        <v>17740</v>
      </c>
      <c r="F1428" s="9" t="s">
        <v>26383</v>
      </c>
      <c r="G1428" s="9" t="s">
        <v>17740</v>
      </c>
      <c r="H1428" s="11" t="s">
        <v>26384</v>
      </c>
      <c r="I1428" s="11" t="s">
        <v>26385</v>
      </c>
      <c r="J1428" s="11" t="s">
        <v>26385</v>
      </c>
      <c r="K1428" s="9" t="s">
        <v>26386</v>
      </c>
      <c r="L1428" s="9" t="s">
        <v>17759</v>
      </c>
      <c r="M1428" s="9" t="s">
        <v>18170</v>
      </c>
      <c r="N1428" s="9" t="s">
        <v>17746</v>
      </c>
      <c r="O1428" s="9" t="s">
        <v>26387</v>
      </c>
      <c r="P1428" s="9" t="s">
        <v>17748</v>
      </c>
      <c r="Q1428" s="11" t="s">
        <v>18556</v>
      </c>
      <c r="R1428" s="11" t="s">
        <v>18556</v>
      </c>
      <c r="S1428" s="11" t="s">
        <v>17750</v>
      </c>
    </row>
    <row r="1429" spans="1:19" x14ac:dyDescent="0.2">
      <c r="A1429" s="11" t="s">
        <v>26388</v>
      </c>
      <c r="B1429" s="9" t="s">
        <v>26389</v>
      </c>
      <c r="C1429" s="9" t="s">
        <v>26390</v>
      </c>
      <c r="D1429" s="9" t="s">
        <v>26391</v>
      </c>
      <c r="E1429" s="9" t="s">
        <v>17740</v>
      </c>
      <c r="F1429" s="9" t="s">
        <v>17741</v>
      </c>
      <c r="G1429" s="9" t="s">
        <v>17740</v>
      </c>
      <c r="H1429" s="11" t="s">
        <v>9724</v>
      </c>
      <c r="I1429" s="11" t="s">
        <v>9723</v>
      </c>
      <c r="J1429" s="11" t="s">
        <v>9723</v>
      </c>
      <c r="K1429" s="9" t="s">
        <v>26392</v>
      </c>
      <c r="L1429" s="9" t="s">
        <v>17759</v>
      </c>
      <c r="M1429" s="9" t="s">
        <v>17769</v>
      </c>
      <c r="N1429" s="9" t="s">
        <v>17746</v>
      </c>
      <c r="O1429" s="9" t="s">
        <v>19646</v>
      </c>
      <c r="P1429" s="9" t="s">
        <v>17748</v>
      </c>
      <c r="Q1429" s="11" t="s">
        <v>18356</v>
      </c>
      <c r="R1429" s="11" t="s">
        <v>18356</v>
      </c>
      <c r="S1429" s="11" t="s">
        <v>17750</v>
      </c>
    </row>
    <row r="1430" spans="1:19" x14ac:dyDescent="0.2">
      <c r="A1430" s="11" t="s">
        <v>26393</v>
      </c>
      <c r="B1430" s="9" t="s">
        <v>26394</v>
      </c>
      <c r="C1430" s="9" t="s">
        <v>26395</v>
      </c>
      <c r="D1430" s="9" t="s">
        <v>26396</v>
      </c>
      <c r="E1430" s="9" t="s">
        <v>17740</v>
      </c>
      <c r="F1430" s="9" t="s">
        <v>17741</v>
      </c>
      <c r="G1430" s="9" t="s">
        <v>17740</v>
      </c>
      <c r="H1430" s="11" t="s">
        <v>26397</v>
      </c>
      <c r="I1430" s="11" t="s">
        <v>26398</v>
      </c>
      <c r="J1430" s="11" t="s">
        <v>26398</v>
      </c>
      <c r="K1430" s="9" t="s">
        <v>324</v>
      </c>
      <c r="L1430" s="9" t="s">
        <v>17744</v>
      </c>
      <c r="M1430" s="9" t="s">
        <v>26399</v>
      </c>
      <c r="N1430" s="9" t="s">
        <v>17746</v>
      </c>
      <c r="O1430" s="9" t="s">
        <v>17977</v>
      </c>
      <c r="P1430" s="9" t="s">
        <v>17748</v>
      </c>
      <c r="Q1430" s="11" t="s">
        <v>18080</v>
      </c>
      <c r="R1430" s="11" t="s">
        <v>18080</v>
      </c>
      <c r="S1430" s="11" t="s">
        <v>17750</v>
      </c>
    </row>
    <row r="1431" spans="1:19" x14ac:dyDescent="0.2">
      <c r="A1431" s="11" t="s">
        <v>26400</v>
      </c>
      <c r="B1431" s="9" t="s">
        <v>26401</v>
      </c>
      <c r="C1431" s="9" t="s">
        <v>26402</v>
      </c>
      <c r="D1431" s="9" t="s">
        <v>26403</v>
      </c>
      <c r="E1431" s="9" t="s">
        <v>17740</v>
      </c>
      <c r="F1431" s="9" t="s">
        <v>17741</v>
      </c>
      <c r="G1431" s="9" t="s">
        <v>17740</v>
      </c>
      <c r="H1431" s="11" t="s">
        <v>9045</v>
      </c>
      <c r="I1431" s="11" t="s">
        <v>9044</v>
      </c>
      <c r="J1431" s="11" t="s">
        <v>9044</v>
      </c>
      <c r="K1431" s="9" t="s">
        <v>20956</v>
      </c>
      <c r="L1431" s="9" t="s">
        <v>18001</v>
      </c>
      <c r="M1431" s="9" t="s">
        <v>19938</v>
      </c>
      <c r="N1431" s="9" t="s">
        <v>17746</v>
      </c>
      <c r="O1431" s="9" t="s">
        <v>24097</v>
      </c>
      <c r="P1431" s="9" t="s">
        <v>17748</v>
      </c>
      <c r="Q1431" s="11" t="s">
        <v>18922</v>
      </c>
      <c r="R1431" s="11" t="s">
        <v>18922</v>
      </c>
      <c r="S1431" s="11" t="s">
        <v>17750</v>
      </c>
    </row>
    <row r="1432" spans="1:19" x14ac:dyDescent="0.2">
      <c r="A1432" s="11" t="s">
        <v>26404</v>
      </c>
      <c r="B1432" s="9" t="s">
        <v>26405</v>
      </c>
      <c r="C1432" s="9" t="s">
        <v>26406</v>
      </c>
      <c r="D1432" s="9" t="s">
        <v>26407</v>
      </c>
      <c r="E1432" s="9" t="s">
        <v>17740</v>
      </c>
      <c r="F1432" s="9" t="s">
        <v>17741</v>
      </c>
      <c r="G1432" s="9" t="s">
        <v>17740</v>
      </c>
      <c r="H1432" s="11" t="s">
        <v>9727</v>
      </c>
      <c r="I1432" s="11" t="s">
        <v>9726</v>
      </c>
      <c r="J1432" s="11" t="s">
        <v>9726</v>
      </c>
      <c r="K1432" s="9" t="s">
        <v>26392</v>
      </c>
      <c r="L1432" s="9" t="s">
        <v>17759</v>
      </c>
      <c r="M1432" s="9" t="s">
        <v>17769</v>
      </c>
      <c r="N1432" s="9" t="s">
        <v>17746</v>
      </c>
      <c r="O1432" s="9" t="s">
        <v>18009</v>
      </c>
      <c r="P1432" s="9" t="s">
        <v>17748</v>
      </c>
      <c r="Q1432" s="11" t="s">
        <v>18356</v>
      </c>
      <c r="R1432" s="11" t="s">
        <v>18356</v>
      </c>
      <c r="S1432" s="11" t="s">
        <v>17750</v>
      </c>
    </row>
    <row r="1433" spans="1:19" x14ac:dyDescent="0.2">
      <c r="A1433" s="11" t="s">
        <v>26408</v>
      </c>
      <c r="B1433" s="9" t="s">
        <v>26409</v>
      </c>
      <c r="C1433" s="9" t="s">
        <v>26410</v>
      </c>
      <c r="D1433" s="9" t="s">
        <v>26411</v>
      </c>
      <c r="E1433" s="9" t="s">
        <v>17740</v>
      </c>
      <c r="F1433" s="9" t="s">
        <v>17741</v>
      </c>
      <c r="G1433" s="9" t="s">
        <v>17740</v>
      </c>
      <c r="H1433" s="11" t="s">
        <v>10979</v>
      </c>
      <c r="I1433" s="11" t="s">
        <v>10978</v>
      </c>
      <c r="J1433" s="11" t="s">
        <v>10978</v>
      </c>
      <c r="K1433" s="9" t="s">
        <v>20956</v>
      </c>
      <c r="L1433" s="9" t="s">
        <v>20976</v>
      </c>
      <c r="M1433" s="9" t="s">
        <v>26412</v>
      </c>
      <c r="N1433" s="9" t="s">
        <v>17746</v>
      </c>
      <c r="O1433" s="9" t="s">
        <v>18009</v>
      </c>
      <c r="P1433" s="9" t="s">
        <v>17748</v>
      </c>
      <c r="Q1433" s="11" t="s">
        <v>17984</v>
      </c>
      <c r="R1433" s="11" t="s">
        <v>17984</v>
      </c>
      <c r="S1433" s="11" t="s">
        <v>17750</v>
      </c>
    </row>
    <row r="1434" spans="1:19" x14ac:dyDescent="0.2">
      <c r="A1434" s="11" t="s">
        <v>26413</v>
      </c>
      <c r="B1434" s="9" t="s">
        <v>26414</v>
      </c>
      <c r="C1434" s="9" t="s">
        <v>26415</v>
      </c>
      <c r="D1434" s="9" t="s">
        <v>26416</v>
      </c>
      <c r="E1434" s="9" t="s">
        <v>17740</v>
      </c>
      <c r="F1434" s="9" t="s">
        <v>17741</v>
      </c>
      <c r="G1434" s="9" t="s">
        <v>17740</v>
      </c>
      <c r="H1434" s="11" t="s">
        <v>26417</v>
      </c>
      <c r="I1434" s="11" t="s">
        <v>11811</v>
      </c>
      <c r="J1434" s="11" t="s">
        <v>11811</v>
      </c>
      <c r="K1434" s="9" t="s">
        <v>26418</v>
      </c>
      <c r="L1434" s="9" t="s">
        <v>20976</v>
      </c>
      <c r="M1434" s="9" t="s">
        <v>17992</v>
      </c>
      <c r="N1434" s="9" t="s">
        <v>17746</v>
      </c>
      <c r="O1434" s="9" t="s">
        <v>3391</v>
      </c>
      <c r="P1434" s="9" t="s">
        <v>17748</v>
      </c>
      <c r="Q1434" s="11" t="s">
        <v>17762</v>
      </c>
      <c r="R1434" s="11" t="s">
        <v>17762</v>
      </c>
      <c r="S1434" s="11" t="s">
        <v>17750</v>
      </c>
    </row>
    <row r="1435" spans="1:19" x14ac:dyDescent="0.2">
      <c r="A1435" s="11" t="s">
        <v>26419</v>
      </c>
      <c r="B1435" s="9" t="s">
        <v>26420</v>
      </c>
      <c r="C1435" s="9" t="s">
        <v>26421</v>
      </c>
      <c r="D1435" s="9" t="s">
        <v>26422</v>
      </c>
      <c r="E1435" s="9" t="s">
        <v>17740</v>
      </c>
      <c r="F1435" s="9" t="s">
        <v>17741</v>
      </c>
      <c r="G1435" s="9" t="s">
        <v>17740</v>
      </c>
      <c r="H1435" s="11" t="s">
        <v>10982</v>
      </c>
      <c r="I1435" s="11" t="s">
        <v>10981</v>
      </c>
      <c r="J1435" s="11" t="s">
        <v>10981</v>
      </c>
      <c r="K1435" s="9" t="s">
        <v>20956</v>
      </c>
      <c r="L1435" s="9" t="s">
        <v>20976</v>
      </c>
      <c r="M1435" s="9" t="s">
        <v>17760</v>
      </c>
      <c r="N1435" s="9" t="s">
        <v>17746</v>
      </c>
      <c r="O1435" s="9" t="s">
        <v>26423</v>
      </c>
      <c r="P1435" s="9" t="s">
        <v>17748</v>
      </c>
      <c r="Q1435" s="11" t="s">
        <v>17984</v>
      </c>
      <c r="R1435" s="11" t="s">
        <v>17984</v>
      </c>
      <c r="S1435" s="11" t="s">
        <v>17750</v>
      </c>
    </row>
    <row r="1436" spans="1:19" x14ac:dyDescent="0.2">
      <c r="A1436" s="11" t="s">
        <v>26424</v>
      </c>
      <c r="B1436" s="9" t="s">
        <v>26425</v>
      </c>
      <c r="C1436" s="9" t="s">
        <v>26426</v>
      </c>
      <c r="D1436" s="9" t="s">
        <v>26427</v>
      </c>
      <c r="E1436" s="9" t="s">
        <v>17740</v>
      </c>
      <c r="F1436" s="9" t="s">
        <v>17741</v>
      </c>
      <c r="G1436" s="9" t="s">
        <v>17740</v>
      </c>
      <c r="H1436" s="11" t="s">
        <v>9730</v>
      </c>
      <c r="I1436" s="11" t="s">
        <v>9729</v>
      </c>
      <c r="J1436" s="11" t="s">
        <v>9729</v>
      </c>
      <c r="K1436" s="9" t="s">
        <v>26392</v>
      </c>
      <c r="L1436" s="9" t="s">
        <v>17759</v>
      </c>
      <c r="M1436" s="9" t="s">
        <v>17769</v>
      </c>
      <c r="N1436" s="9" t="s">
        <v>17746</v>
      </c>
      <c r="O1436" s="9" t="s">
        <v>1535</v>
      </c>
      <c r="P1436" s="9" t="s">
        <v>17748</v>
      </c>
      <c r="Q1436" s="11" t="s">
        <v>18922</v>
      </c>
      <c r="R1436" s="11" t="s">
        <v>18922</v>
      </c>
      <c r="S1436" s="11" t="s">
        <v>17750</v>
      </c>
    </row>
    <row r="1437" spans="1:19" x14ac:dyDescent="0.2">
      <c r="A1437" s="11" t="s">
        <v>26428</v>
      </c>
      <c r="B1437" s="9" t="s">
        <v>26429</v>
      </c>
      <c r="C1437" s="9" t="s">
        <v>26430</v>
      </c>
      <c r="D1437" s="9" t="s">
        <v>26431</v>
      </c>
      <c r="E1437" s="9" t="s">
        <v>17740</v>
      </c>
      <c r="F1437" s="9" t="s">
        <v>17741</v>
      </c>
      <c r="G1437" s="9" t="s">
        <v>17740</v>
      </c>
      <c r="H1437" s="11" t="s">
        <v>10985</v>
      </c>
      <c r="I1437" s="11" t="s">
        <v>10984</v>
      </c>
      <c r="J1437" s="11" t="s">
        <v>10984</v>
      </c>
      <c r="K1437" s="9" t="s">
        <v>20956</v>
      </c>
      <c r="L1437" s="9" t="s">
        <v>20976</v>
      </c>
      <c r="M1437" s="9" t="s">
        <v>24583</v>
      </c>
      <c r="N1437" s="9" t="s">
        <v>17746</v>
      </c>
      <c r="O1437" s="9" t="s">
        <v>1535</v>
      </c>
      <c r="P1437" s="9" t="s">
        <v>17748</v>
      </c>
      <c r="Q1437" s="11" t="s">
        <v>17984</v>
      </c>
      <c r="R1437" s="11" t="s">
        <v>17984</v>
      </c>
      <c r="S1437" s="11" t="s">
        <v>17750</v>
      </c>
    </row>
    <row r="1438" spans="1:19" x14ac:dyDescent="0.2">
      <c r="A1438" s="11" t="s">
        <v>26432</v>
      </c>
      <c r="B1438" s="9" t="s">
        <v>26433</v>
      </c>
      <c r="C1438" s="9" t="s">
        <v>26434</v>
      </c>
      <c r="D1438" s="9" t="s">
        <v>26435</v>
      </c>
      <c r="E1438" s="9" t="s">
        <v>17740</v>
      </c>
      <c r="F1438" s="9" t="s">
        <v>17741</v>
      </c>
      <c r="G1438" s="9" t="s">
        <v>17740</v>
      </c>
      <c r="H1438" s="11" t="s">
        <v>12736</v>
      </c>
      <c r="I1438" s="11" t="s">
        <v>12735</v>
      </c>
      <c r="J1438" s="11" t="s">
        <v>12735</v>
      </c>
      <c r="K1438" s="9" t="s">
        <v>18122</v>
      </c>
      <c r="L1438" s="9" t="s">
        <v>18123</v>
      </c>
      <c r="M1438" s="9" t="s">
        <v>17741</v>
      </c>
      <c r="N1438" s="9" t="s">
        <v>17746</v>
      </c>
      <c r="O1438" s="9" t="s">
        <v>18882</v>
      </c>
      <c r="P1438" s="9" t="s">
        <v>17748</v>
      </c>
      <c r="Q1438" s="11" t="s">
        <v>18356</v>
      </c>
      <c r="R1438" s="11" t="s">
        <v>18356</v>
      </c>
      <c r="S1438" s="11" t="s">
        <v>17750</v>
      </c>
    </row>
    <row r="1439" spans="1:19" x14ac:dyDescent="0.2">
      <c r="A1439" s="11" t="s">
        <v>26436</v>
      </c>
      <c r="B1439" s="9" t="s">
        <v>26437</v>
      </c>
      <c r="C1439" s="9" t="s">
        <v>26438</v>
      </c>
      <c r="D1439" s="9" t="s">
        <v>26439</v>
      </c>
      <c r="E1439" s="9" t="s">
        <v>17740</v>
      </c>
      <c r="F1439" s="9" t="s">
        <v>17741</v>
      </c>
      <c r="G1439" s="9" t="s">
        <v>17740</v>
      </c>
      <c r="H1439" s="11" t="s">
        <v>12942</v>
      </c>
      <c r="I1439" s="11" t="s">
        <v>12941</v>
      </c>
      <c r="J1439" s="11" t="s">
        <v>12941</v>
      </c>
      <c r="K1439" s="9" t="s">
        <v>20956</v>
      </c>
      <c r="L1439" s="9" t="s">
        <v>20976</v>
      </c>
      <c r="M1439" s="9" t="s">
        <v>26369</v>
      </c>
      <c r="N1439" s="9" t="s">
        <v>17746</v>
      </c>
      <c r="O1439" s="9" t="s">
        <v>18644</v>
      </c>
      <c r="P1439" s="9" t="s">
        <v>17748</v>
      </c>
      <c r="Q1439" s="11" t="s">
        <v>18370</v>
      </c>
      <c r="R1439" s="11" t="s">
        <v>18370</v>
      </c>
      <c r="S1439" s="11" t="s">
        <v>17750</v>
      </c>
    </row>
    <row r="1440" spans="1:19" x14ac:dyDescent="0.2">
      <c r="A1440" s="11" t="s">
        <v>26440</v>
      </c>
      <c r="B1440" s="9" t="s">
        <v>26441</v>
      </c>
      <c r="C1440" s="9" t="s">
        <v>26442</v>
      </c>
      <c r="D1440" s="9" t="s">
        <v>26443</v>
      </c>
      <c r="E1440" s="9" t="s">
        <v>17740</v>
      </c>
      <c r="F1440" s="9" t="s">
        <v>17741</v>
      </c>
      <c r="G1440" s="9" t="s">
        <v>17740</v>
      </c>
      <c r="H1440" s="11" t="s">
        <v>10408</v>
      </c>
      <c r="I1440" s="11" t="s">
        <v>10407</v>
      </c>
      <c r="J1440" s="11" t="s">
        <v>10407</v>
      </c>
      <c r="K1440" s="9" t="s">
        <v>20956</v>
      </c>
      <c r="L1440" s="9" t="s">
        <v>20976</v>
      </c>
      <c r="M1440" s="9" t="s">
        <v>26444</v>
      </c>
      <c r="N1440" s="9" t="s">
        <v>17746</v>
      </c>
      <c r="O1440" s="9" t="s">
        <v>17779</v>
      </c>
      <c r="P1440" s="9" t="s">
        <v>17748</v>
      </c>
      <c r="Q1440" s="11" t="s">
        <v>17780</v>
      </c>
      <c r="R1440" s="11" t="s">
        <v>17780</v>
      </c>
      <c r="S1440" s="11" t="s">
        <v>17750</v>
      </c>
    </row>
    <row r="1441" spans="1:19" x14ac:dyDescent="0.2">
      <c r="A1441" s="11" t="s">
        <v>26445</v>
      </c>
      <c r="B1441" s="9" t="s">
        <v>26446</v>
      </c>
      <c r="C1441" s="9" t="s">
        <v>26447</v>
      </c>
      <c r="D1441" s="9" t="s">
        <v>26448</v>
      </c>
      <c r="E1441" s="9" t="s">
        <v>17740</v>
      </c>
      <c r="F1441" s="9" t="s">
        <v>17741</v>
      </c>
      <c r="G1441" s="9" t="s">
        <v>17740</v>
      </c>
      <c r="H1441" s="11" t="s">
        <v>10403</v>
      </c>
      <c r="I1441" s="11" t="s">
        <v>10402</v>
      </c>
      <c r="J1441" s="11" t="s">
        <v>10402</v>
      </c>
      <c r="K1441" s="9" t="s">
        <v>20956</v>
      </c>
      <c r="L1441" s="9" t="s">
        <v>20976</v>
      </c>
      <c r="M1441" s="9" t="s">
        <v>17778</v>
      </c>
      <c r="N1441" s="9" t="s">
        <v>17746</v>
      </c>
      <c r="O1441" s="9" t="s">
        <v>3391</v>
      </c>
      <c r="P1441" s="9" t="s">
        <v>17748</v>
      </c>
      <c r="Q1441" s="11" t="s">
        <v>17780</v>
      </c>
      <c r="R1441" s="11" t="s">
        <v>17780</v>
      </c>
      <c r="S1441" s="11" t="s">
        <v>17750</v>
      </c>
    </row>
    <row r="1442" spans="1:19" x14ac:dyDescent="0.2">
      <c r="A1442" s="11" t="s">
        <v>26449</v>
      </c>
      <c r="B1442" s="9" t="s">
        <v>26450</v>
      </c>
      <c r="C1442" s="9" t="s">
        <v>26451</v>
      </c>
      <c r="D1442" s="9" t="s">
        <v>26452</v>
      </c>
      <c r="E1442" s="9" t="s">
        <v>17740</v>
      </c>
      <c r="F1442" s="9" t="s">
        <v>17741</v>
      </c>
      <c r="G1442" s="9" t="s">
        <v>17740</v>
      </c>
      <c r="H1442" s="11" t="s">
        <v>8700</v>
      </c>
      <c r="I1442" s="11" t="s">
        <v>8699</v>
      </c>
      <c r="J1442" s="11" t="s">
        <v>8699</v>
      </c>
      <c r="K1442" s="9" t="s">
        <v>20956</v>
      </c>
      <c r="L1442" s="9" t="s">
        <v>18001</v>
      </c>
      <c r="M1442" s="9" t="s">
        <v>26453</v>
      </c>
      <c r="N1442" s="9" t="s">
        <v>17746</v>
      </c>
      <c r="O1442" s="9" t="s">
        <v>26454</v>
      </c>
      <c r="P1442" s="9" t="s">
        <v>17748</v>
      </c>
      <c r="Q1442" s="11" t="s">
        <v>17784</v>
      </c>
      <c r="R1442" s="11" t="s">
        <v>17784</v>
      </c>
      <c r="S1442" s="11" t="s">
        <v>17750</v>
      </c>
    </row>
    <row r="1443" spans="1:19" x14ac:dyDescent="0.2">
      <c r="A1443" s="11" t="s">
        <v>26455</v>
      </c>
      <c r="B1443" s="9" t="s">
        <v>26456</v>
      </c>
      <c r="C1443" s="9" t="s">
        <v>26457</v>
      </c>
      <c r="D1443" s="9" t="s">
        <v>26458</v>
      </c>
      <c r="E1443" s="9" t="s">
        <v>17740</v>
      </c>
      <c r="F1443" s="9" t="s">
        <v>17741</v>
      </c>
      <c r="G1443" s="9" t="s">
        <v>17740</v>
      </c>
      <c r="H1443" s="11" t="s">
        <v>26459</v>
      </c>
      <c r="I1443" s="11" t="s">
        <v>11813</v>
      </c>
      <c r="J1443" s="11" t="s">
        <v>11813</v>
      </c>
      <c r="K1443" s="9" t="s">
        <v>26460</v>
      </c>
      <c r="L1443" s="9" t="s">
        <v>20976</v>
      </c>
      <c r="M1443" s="9" t="s">
        <v>26461</v>
      </c>
      <c r="N1443" s="9" t="s">
        <v>17746</v>
      </c>
      <c r="O1443" s="9" t="s">
        <v>17779</v>
      </c>
      <c r="P1443" s="9" t="s">
        <v>17748</v>
      </c>
      <c r="Q1443" s="11" t="s">
        <v>17762</v>
      </c>
      <c r="R1443" s="11" t="s">
        <v>17762</v>
      </c>
      <c r="S1443" s="11" t="s">
        <v>17750</v>
      </c>
    </row>
    <row r="1444" spans="1:19" x14ac:dyDescent="0.2">
      <c r="A1444" s="11" t="s">
        <v>26462</v>
      </c>
      <c r="B1444" s="9" t="s">
        <v>26463</v>
      </c>
      <c r="C1444" s="9" t="s">
        <v>26464</v>
      </c>
      <c r="D1444" s="9" t="s">
        <v>26465</v>
      </c>
      <c r="E1444" s="9" t="s">
        <v>17740</v>
      </c>
      <c r="F1444" s="9" t="s">
        <v>17741</v>
      </c>
      <c r="G1444" s="9" t="s">
        <v>17740</v>
      </c>
      <c r="H1444" s="11" t="s">
        <v>8703</v>
      </c>
      <c r="I1444" s="11" t="s">
        <v>8702</v>
      </c>
      <c r="J1444" s="11" t="s">
        <v>8702</v>
      </c>
      <c r="K1444" s="9" t="s">
        <v>20956</v>
      </c>
      <c r="L1444" s="9" t="s">
        <v>18001</v>
      </c>
      <c r="M1444" s="9" t="s">
        <v>17769</v>
      </c>
      <c r="N1444" s="9" t="s">
        <v>17746</v>
      </c>
      <c r="O1444" s="9" t="s">
        <v>24758</v>
      </c>
      <c r="P1444" s="9" t="s">
        <v>17748</v>
      </c>
      <c r="Q1444" s="11" t="s">
        <v>17784</v>
      </c>
      <c r="R1444" s="11" t="s">
        <v>17784</v>
      </c>
      <c r="S1444" s="11" t="s">
        <v>17750</v>
      </c>
    </row>
    <row r="1445" spans="1:19" x14ac:dyDescent="0.2">
      <c r="A1445" s="11" t="s">
        <v>26466</v>
      </c>
      <c r="B1445" s="9" t="s">
        <v>26467</v>
      </c>
      <c r="C1445" s="9" t="s">
        <v>26468</v>
      </c>
      <c r="D1445" s="9" t="s">
        <v>26469</v>
      </c>
      <c r="E1445" s="9" t="s">
        <v>17740</v>
      </c>
      <c r="F1445" s="9" t="s">
        <v>17741</v>
      </c>
      <c r="G1445" s="9" t="s">
        <v>17740</v>
      </c>
      <c r="H1445" s="11" t="s">
        <v>1052</v>
      </c>
      <c r="I1445" s="11" t="s">
        <v>1051</v>
      </c>
      <c r="J1445" s="11" t="s">
        <v>1051</v>
      </c>
      <c r="K1445" s="9" t="s">
        <v>291</v>
      </c>
      <c r="L1445" s="9" t="s">
        <v>17744</v>
      </c>
      <c r="M1445" s="9" t="s">
        <v>26470</v>
      </c>
      <c r="N1445" s="9" t="s">
        <v>17746</v>
      </c>
      <c r="O1445" s="9" t="s">
        <v>3255</v>
      </c>
      <c r="P1445" s="9" t="s">
        <v>17748</v>
      </c>
      <c r="Q1445" s="11" t="s">
        <v>18433</v>
      </c>
      <c r="R1445" s="11" t="s">
        <v>18433</v>
      </c>
      <c r="S1445" s="11" t="s">
        <v>17750</v>
      </c>
    </row>
    <row r="1446" spans="1:19" x14ac:dyDescent="0.2">
      <c r="A1446" s="11" t="s">
        <v>26471</v>
      </c>
      <c r="B1446" s="9" t="s">
        <v>26472</v>
      </c>
      <c r="C1446" s="9" t="s">
        <v>26473</v>
      </c>
      <c r="D1446" s="9" t="s">
        <v>26474</v>
      </c>
      <c r="E1446" s="9" t="s">
        <v>17740</v>
      </c>
      <c r="F1446" s="9" t="s">
        <v>17741</v>
      </c>
      <c r="G1446" s="9" t="s">
        <v>17740</v>
      </c>
      <c r="H1446" s="11" t="s">
        <v>9733</v>
      </c>
      <c r="I1446" s="11" t="s">
        <v>9732</v>
      </c>
      <c r="J1446" s="11" t="s">
        <v>9732</v>
      </c>
      <c r="K1446" s="9" t="s">
        <v>9967</v>
      </c>
      <c r="L1446" s="9" t="s">
        <v>17759</v>
      </c>
      <c r="M1446" s="9" t="s">
        <v>17769</v>
      </c>
      <c r="N1446" s="9" t="s">
        <v>17746</v>
      </c>
      <c r="O1446" s="9" t="s">
        <v>1675</v>
      </c>
      <c r="P1446" s="9" t="s">
        <v>17748</v>
      </c>
      <c r="Q1446" s="11" t="s">
        <v>18356</v>
      </c>
      <c r="R1446" s="11" t="s">
        <v>18356</v>
      </c>
      <c r="S1446" s="11" t="s">
        <v>17750</v>
      </c>
    </row>
    <row r="1447" spans="1:19" x14ac:dyDescent="0.2">
      <c r="A1447" s="11" t="s">
        <v>26475</v>
      </c>
      <c r="B1447" s="9" t="s">
        <v>26476</v>
      </c>
      <c r="C1447" s="9" t="s">
        <v>26477</v>
      </c>
      <c r="D1447" s="9" t="s">
        <v>26478</v>
      </c>
      <c r="E1447" s="9" t="s">
        <v>17740</v>
      </c>
      <c r="F1447" s="9" t="s">
        <v>17741</v>
      </c>
      <c r="G1447" s="9" t="s">
        <v>17740</v>
      </c>
      <c r="H1447" s="11" t="s">
        <v>9795</v>
      </c>
      <c r="I1447" s="11" t="s">
        <v>9794</v>
      </c>
      <c r="J1447" s="11" t="s">
        <v>9794</v>
      </c>
      <c r="K1447" s="9" t="s">
        <v>20956</v>
      </c>
      <c r="L1447" s="9" t="s">
        <v>18001</v>
      </c>
      <c r="M1447" s="9" t="s">
        <v>17769</v>
      </c>
      <c r="N1447" s="9" t="s">
        <v>17746</v>
      </c>
      <c r="O1447" s="9" t="s">
        <v>26479</v>
      </c>
      <c r="P1447" s="9" t="s">
        <v>17748</v>
      </c>
      <c r="Q1447" s="11" t="s">
        <v>18922</v>
      </c>
      <c r="R1447" s="11" t="s">
        <v>18922</v>
      </c>
      <c r="S1447" s="11" t="s">
        <v>17750</v>
      </c>
    </row>
    <row r="1448" spans="1:19" x14ac:dyDescent="0.2">
      <c r="A1448" s="11" t="s">
        <v>26480</v>
      </c>
      <c r="B1448" s="9" t="s">
        <v>26481</v>
      </c>
      <c r="C1448" s="9" t="s">
        <v>26482</v>
      </c>
      <c r="D1448" s="9" t="s">
        <v>26483</v>
      </c>
      <c r="E1448" s="9" t="s">
        <v>17740</v>
      </c>
      <c r="F1448" s="9" t="s">
        <v>17741</v>
      </c>
      <c r="G1448" s="9" t="s">
        <v>17740</v>
      </c>
      <c r="H1448" s="11" t="s">
        <v>1325</v>
      </c>
      <c r="I1448" s="11" t="s">
        <v>1324</v>
      </c>
      <c r="J1448" s="11" t="s">
        <v>1324</v>
      </c>
      <c r="K1448" s="9" t="s">
        <v>17790</v>
      </c>
      <c r="L1448" s="9" t="s">
        <v>17759</v>
      </c>
      <c r="M1448" s="9" t="s">
        <v>20295</v>
      </c>
      <c r="N1448" s="9" t="s">
        <v>17746</v>
      </c>
      <c r="O1448" s="9" t="s">
        <v>1690</v>
      </c>
      <c r="P1448" s="9" t="s">
        <v>17748</v>
      </c>
      <c r="Q1448" s="11" t="s">
        <v>18251</v>
      </c>
      <c r="R1448" s="11" t="s">
        <v>18251</v>
      </c>
      <c r="S1448" s="11" t="s">
        <v>17750</v>
      </c>
    </row>
    <row r="1449" spans="1:19" x14ac:dyDescent="0.2">
      <c r="A1449" s="11" t="s">
        <v>26484</v>
      </c>
      <c r="B1449" s="9" t="s">
        <v>26485</v>
      </c>
      <c r="C1449" s="9" t="s">
        <v>26486</v>
      </c>
      <c r="D1449" s="9" t="s">
        <v>26487</v>
      </c>
      <c r="E1449" s="9" t="s">
        <v>17740</v>
      </c>
      <c r="F1449" s="9" t="s">
        <v>17741</v>
      </c>
      <c r="G1449" s="9" t="s">
        <v>17740</v>
      </c>
      <c r="H1449" s="11" t="s">
        <v>11093</v>
      </c>
      <c r="I1449" s="11" t="s">
        <v>11092</v>
      </c>
      <c r="J1449" s="11" t="s">
        <v>11092</v>
      </c>
      <c r="K1449" s="9" t="s">
        <v>26392</v>
      </c>
      <c r="L1449" s="9" t="s">
        <v>17759</v>
      </c>
      <c r="M1449" s="9" t="s">
        <v>17760</v>
      </c>
      <c r="N1449" s="9" t="s">
        <v>17746</v>
      </c>
      <c r="O1449" s="9" t="s">
        <v>18009</v>
      </c>
      <c r="P1449" s="9" t="s">
        <v>17748</v>
      </c>
      <c r="Q1449" s="11" t="s">
        <v>17780</v>
      </c>
      <c r="R1449" s="11" t="s">
        <v>17780</v>
      </c>
      <c r="S1449" s="11" t="s">
        <v>17750</v>
      </c>
    </row>
    <row r="1450" spans="1:19" x14ac:dyDescent="0.2">
      <c r="A1450" s="11" t="s">
        <v>26488</v>
      </c>
      <c r="B1450" s="9" t="s">
        <v>26489</v>
      </c>
      <c r="C1450" s="9" t="s">
        <v>26490</v>
      </c>
      <c r="D1450" s="9" t="s">
        <v>26491</v>
      </c>
      <c r="E1450" s="9" t="s">
        <v>17740</v>
      </c>
      <c r="F1450" s="9" t="s">
        <v>17741</v>
      </c>
      <c r="G1450" s="9" t="s">
        <v>17740</v>
      </c>
      <c r="H1450" s="11" t="s">
        <v>11580</v>
      </c>
      <c r="I1450" s="11" t="s">
        <v>11579</v>
      </c>
      <c r="J1450" s="11" t="s">
        <v>11579</v>
      </c>
      <c r="K1450" s="9" t="s">
        <v>26392</v>
      </c>
      <c r="L1450" s="9" t="s">
        <v>17759</v>
      </c>
      <c r="M1450" s="9" t="s">
        <v>17760</v>
      </c>
      <c r="N1450" s="9" t="s">
        <v>17746</v>
      </c>
      <c r="O1450" s="9" t="s">
        <v>25096</v>
      </c>
      <c r="P1450" s="9" t="s">
        <v>17748</v>
      </c>
      <c r="Q1450" s="11" t="s">
        <v>17762</v>
      </c>
      <c r="R1450" s="11" t="s">
        <v>17762</v>
      </c>
      <c r="S1450" s="11" t="s">
        <v>17750</v>
      </c>
    </row>
    <row r="1451" spans="1:19" x14ac:dyDescent="0.2">
      <c r="A1451" s="11" t="s">
        <v>26492</v>
      </c>
      <c r="B1451" s="9" t="s">
        <v>26493</v>
      </c>
      <c r="C1451" s="9" t="s">
        <v>26494</v>
      </c>
      <c r="D1451" s="9" t="s">
        <v>26495</v>
      </c>
      <c r="E1451" s="9" t="s">
        <v>17740</v>
      </c>
      <c r="F1451" s="9" t="s">
        <v>17741</v>
      </c>
      <c r="G1451" s="9" t="s">
        <v>17740</v>
      </c>
      <c r="H1451" s="11" t="s">
        <v>9780</v>
      </c>
      <c r="I1451" s="11" t="s">
        <v>9779</v>
      </c>
      <c r="J1451" s="11" t="s">
        <v>9779</v>
      </c>
      <c r="K1451" s="9" t="s">
        <v>20956</v>
      </c>
      <c r="L1451" s="9" t="s">
        <v>18001</v>
      </c>
      <c r="M1451" s="9" t="s">
        <v>17760</v>
      </c>
      <c r="N1451" s="9" t="s">
        <v>17746</v>
      </c>
      <c r="O1451" s="9" t="s">
        <v>19147</v>
      </c>
      <c r="P1451" s="9" t="s">
        <v>17748</v>
      </c>
      <c r="Q1451" s="11" t="s">
        <v>17858</v>
      </c>
      <c r="R1451" s="11" t="s">
        <v>17858</v>
      </c>
      <c r="S1451" s="11" t="s">
        <v>17750</v>
      </c>
    </row>
    <row r="1452" spans="1:19" x14ac:dyDescent="0.2">
      <c r="A1452" s="11" t="s">
        <v>26496</v>
      </c>
      <c r="B1452" s="9" t="s">
        <v>26497</v>
      </c>
      <c r="C1452" s="9" t="s">
        <v>26498</v>
      </c>
      <c r="D1452" s="9" t="s">
        <v>26499</v>
      </c>
      <c r="E1452" s="9" t="s">
        <v>17740</v>
      </c>
      <c r="F1452" s="9" t="s">
        <v>17741</v>
      </c>
      <c r="G1452" s="9" t="s">
        <v>17740</v>
      </c>
      <c r="H1452" s="11" t="s">
        <v>11099</v>
      </c>
      <c r="I1452" s="11" t="s">
        <v>11098</v>
      </c>
      <c r="J1452" s="11" t="s">
        <v>11098</v>
      </c>
      <c r="K1452" s="9" t="s">
        <v>26392</v>
      </c>
      <c r="L1452" s="9" t="s">
        <v>17759</v>
      </c>
      <c r="M1452" s="9" t="s">
        <v>17760</v>
      </c>
      <c r="N1452" s="9" t="s">
        <v>17746</v>
      </c>
      <c r="O1452" s="9" t="s">
        <v>19147</v>
      </c>
      <c r="P1452" s="9" t="s">
        <v>17748</v>
      </c>
      <c r="Q1452" s="11" t="s">
        <v>17780</v>
      </c>
      <c r="R1452" s="11" t="s">
        <v>17780</v>
      </c>
      <c r="S1452" s="11" t="s">
        <v>17750</v>
      </c>
    </row>
    <row r="1453" spans="1:19" x14ac:dyDescent="0.2">
      <c r="A1453" s="11" t="s">
        <v>26500</v>
      </c>
      <c r="B1453" s="9" t="s">
        <v>26501</v>
      </c>
      <c r="C1453" s="9" t="s">
        <v>26502</v>
      </c>
      <c r="D1453" s="9" t="s">
        <v>26503</v>
      </c>
      <c r="E1453" s="9" t="s">
        <v>17740</v>
      </c>
      <c r="F1453" s="9" t="s">
        <v>17741</v>
      </c>
      <c r="G1453" s="9" t="s">
        <v>17740</v>
      </c>
      <c r="H1453" s="11" t="s">
        <v>9736</v>
      </c>
      <c r="I1453" s="11" t="s">
        <v>9735</v>
      </c>
      <c r="J1453" s="11" t="s">
        <v>9735</v>
      </c>
      <c r="K1453" s="9" t="s">
        <v>26504</v>
      </c>
      <c r="L1453" s="9" t="s">
        <v>17759</v>
      </c>
      <c r="M1453" s="9" t="s">
        <v>17769</v>
      </c>
      <c r="N1453" s="9" t="s">
        <v>17746</v>
      </c>
      <c r="O1453" s="9" t="s">
        <v>19646</v>
      </c>
      <c r="P1453" s="9" t="s">
        <v>17748</v>
      </c>
      <c r="Q1453" s="11" t="s">
        <v>18356</v>
      </c>
      <c r="R1453" s="11" t="s">
        <v>18356</v>
      </c>
      <c r="S1453" s="11" t="s">
        <v>17750</v>
      </c>
    </row>
    <row r="1454" spans="1:19" x14ac:dyDescent="0.2">
      <c r="A1454" s="11" t="s">
        <v>26505</v>
      </c>
      <c r="B1454" s="9" t="s">
        <v>26506</v>
      </c>
      <c r="C1454" s="9" t="s">
        <v>26507</v>
      </c>
      <c r="D1454" s="9" t="s">
        <v>26508</v>
      </c>
      <c r="E1454" s="9" t="s">
        <v>17740</v>
      </c>
      <c r="F1454" s="9" t="s">
        <v>17741</v>
      </c>
      <c r="G1454" s="9" t="s">
        <v>17740</v>
      </c>
      <c r="H1454" s="11" t="s">
        <v>10991</v>
      </c>
      <c r="I1454" s="11" t="s">
        <v>10990</v>
      </c>
      <c r="J1454" s="11" t="s">
        <v>10990</v>
      </c>
      <c r="K1454" s="9" t="s">
        <v>20956</v>
      </c>
      <c r="L1454" s="9" t="s">
        <v>20976</v>
      </c>
      <c r="M1454" s="9" t="s">
        <v>17992</v>
      </c>
      <c r="N1454" s="9" t="s">
        <v>17746</v>
      </c>
      <c r="O1454" s="9" t="s">
        <v>19646</v>
      </c>
      <c r="P1454" s="9" t="s">
        <v>17748</v>
      </c>
      <c r="Q1454" s="11" t="s">
        <v>17984</v>
      </c>
      <c r="R1454" s="11" t="s">
        <v>17984</v>
      </c>
      <c r="S1454" s="11" t="s">
        <v>17750</v>
      </c>
    </row>
    <row r="1455" spans="1:19" x14ac:dyDescent="0.2">
      <c r="A1455" s="11" t="s">
        <v>26509</v>
      </c>
      <c r="B1455" s="9" t="s">
        <v>26510</v>
      </c>
      <c r="C1455" s="9" t="s">
        <v>26511</v>
      </c>
      <c r="D1455" s="9" t="s">
        <v>26512</v>
      </c>
      <c r="E1455" s="9" t="s">
        <v>17740</v>
      </c>
      <c r="F1455" s="9" t="s">
        <v>26513</v>
      </c>
      <c r="G1455" s="9" t="s">
        <v>17740</v>
      </c>
      <c r="H1455" s="11" t="s">
        <v>26514</v>
      </c>
      <c r="I1455" s="11" t="s">
        <v>8454</v>
      </c>
      <c r="J1455" s="11" t="s">
        <v>8454</v>
      </c>
      <c r="K1455" s="9" t="s">
        <v>8455</v>
      </c>
      <c r="L1455" s="9" t="s">
        <v>17744</v>
      </c>
      <c r="M1455" s="9" t="s">
        <v>20526</v>
      </c>
      <c r="N1455" s="9" t="s">
        <v>17746</v>
      </c>
      <c r="O1455" s="9" t="s">
        <v>22268</v>
      </c>
      <c r="P1455" s="9" t="s">
        <v>17748</v>
      </c>
      <c r="Q1455" s="11" t="s">
        <v>18356</v>
      </c>
      <c r="R1455" s="11" t="s">
        <v>18356</v>
      </c>
      <c r="S1455" s="11" t="s">
        <v>17750</v>
      </c>
    </row>
    <row r="1456" spans="1:19" x14ac:dyDescent="0.2">
      <c r="A1456" s="11" t="s">
        <v>26515</v>
      </c>
      <c r="B1456" s="9" t="s">
        <v>26516</v>
      </c>
      <c r="C1456" s="9" t="s">
        <v>26517</v>
      </c>
      <c r="D1456" s="9" t="s">
        <v>26518</v>
      </c>
      <c r="E1456" s="9" t="s">
        <v>17740</v>
      </c>
      <c r="F1456" s="9" t="s">
        <v>17741</v>
      </c>
      <c r="G1456" s="9" t="s">
        <v>17740</v>
      </c>
      <c r="H1456" s="11" t="s">
        <v>1209</v>
      </c>
      <c r="I1456" s="11" t="s">
        <v>1208</v>
      </c>
      <c r="J1456" s="11" t="s">
        <v>1208</v>
      </c>
      <c r="K1456" s="9" t="s">
        <v>291</v>
      </c>
      <c r="L1456" s="9" t="s">
        <v>17744</v>
      </c>
      <c r="M1456" s="9" t="s">
        <v>20604</v>
      </c>
      <c r="N1456" s="9" t="s">
        <v>17746</v>
      </c>
      <c r="O1456" s="9" t="s">
        <v>17993</v>
      </c>
      <c r="P1456" s="9" t="s">
        <v>17748</v>
      </c>
      <c r="Q1456" s="11" t="s">
        <v>19082</v>
      </c>
      <c r="R1456" s="11" t="s">
        <v>19082</v>
      </c>
      <c r="S1456" s="11" t="s">
        <v>17750</v>
      </c>
    </row>
    <row r="1457" spans="1:19" x14ac:dyDescent="0.2">
      <c r="A1457" s="11" t="s">
        <v>26519</v>
      </c>
      <c r="B1457" s="9" t="s">
        <v>26520</v>
      </c>
      <c r="C1457" s="9" t="s">
        <v>26521</v>
      </c>
      <c r="D1457" s="9" t="s">
        <v>26522</v>
      </c>
      <c r="E1457" s="9" t="s">
        <v>17740</v>
      </c>
      <c r="F1457" s="9" t="s">
        <v>17741</v>
      </c>
      <c r="G1457" s="9" t="s">
        <v>17740</v>
      </c>
      <c r="H1457" s="11" t="s">
        <v>6404</v>
      </c>
      <c r="I1457" s="11" t="s">
        <v>6403</v>
      </c>
      <c r="J1457" s="11" t="s">
        <v>6403</v>
      </c>
      <c r="K1457" s="9" t="s">
        <v>20956</v>
      </c>
      <c r="L1457" s="9" t="s">
        <v>18001</v>
      </c>
      <c r="M1457" s="9" t="s">
        <v>26523</v>
      </c>
      <c r="N1457" s="9" t="s">
        <v>17746</v>
      </c>
      <c r="O1457" s="9" t="s">
        <v>17882</v>
      </c>
      <c r="P1457" s="9" t="s">
        <v>17748</v>
      </c>
      <c r="Q1457" s="11" t="s">
        <v>17808</v>
      </c>
      <c r="R1457" s="11" t="s">
        <v>17808</v>
      </c>
      <c r="S1457" s="11" t="s">
        <v>17750</v>
      </c>
    </row>
    <row r="1458" spans="1:19" x14ac:dyDescent="0.2">
      <c r="A1458" s="11" t="s">
        <v>26524</v>
      </c>
      <c r="B1458" s="9" t="s">
        <v>26525</v>
      </c>
      <c r="C1458" s="9" t="s">
        <v>26526</v>
      </c>
      <c r="D1458" s="9" t="s">
        <v>26527</v>
      </c>
      <c r="E1458" s="9" t="s">
        <v>17740</v>
      </c>
      <c r="F1458" s="9" t="s">
        <v>17741</v>
      </c>
      <c r="G1458" s="9" t="s">
        <v>17740</v>
      </c>
      <c r="H1458" s="11" t="s">
        <v>1328</v>
      </c>
      <c r="I1458" s="11" t="s">
        <v>1327</v>
      </c>
      <c r="J1458" s="11" t="s">
        <v>1327</v>
      </c>
      <c r="K1458" s="9" t="s">
        <v>26528</v>
      </c>
      <c r="L1458" s="9" t="s">
        <v>17759</v>
      </c>
      <c r="M1458" s="9" t="s">
        <v>17817</v>
      </c>
      <c r="N1458" s="9" t="s">
        <v>17746</v>
      </c>
      <c r="O1458" s="9" t="s">
        <v>18746</v>
      </c>
      <c r="P1458" s="9" t="s">
        <v>17748</v>
      </c>
      <c r="Q1458" s="11" t="s">
        <v>19335</v>
      </c>
      <c r="R1458" s="11" t="s">
        <v>19335</v>
      </c>
      <c r="S1458" s="11" t="s">
        <v>17750</v>
      </c>
    </row>
    <row r="1459" spans="1:19" x14ac:dyDescent="0.2">
      <c r="A1459" s="11" t="s">
        <v>26529</v>
      </c>
      <c r="B1459" s="9" t="s">
        <v>26530</v>
      </c>
      <c r="C1459" s="9" t="s">
        <v>26531</v>
      </c>
      <c r="D1459" s="9" t="s">
        <v>26532</v>
      </c>
      <c r="E1459" s="9" t="s">
        <v>17740</v>
      </c>
      <c r="F1459" s="9" t="s">
        <v>17741</v>
      </c>
      <c r="G1459" s="9" t="s">
        <v>17740</v>
      </c>
      <c r="H1459" s="11" t="s">
        <v>8992</v>
      </c>
      <c r="I1459" s="11" t="s">
        <v>8991</v>
      </c>
      <c r="J1459" s="11" t="s">
        <v>8991</v>
      </c>
      <c r="K1459" s="9" t="s">
        <v>20956</v>
      </c>
      <c r="L1459" s="9" t="s">
        <v>18001</v>
      </c>
      <c r="M1459" s="9" t="s">
        <v>26533</v>
      </c>
      <c r="N1459" s="9" t="s">
        <v>17746</v>
      </c>
      <c r="O1459" s="9" t="s">
        <v>22268</v>
      </c>
      <c r="P1459" s="9" t="s">
        <v>17748</v>
      </c>
      <c r="Q1459" s="11" t="s">
        <v>18922</v>
      </c>
      <c r="R1459" s="11" t="s">
        <v>18922</v>
      </c>
      <c r="S1459" s="11" t="s">
        <v>17750</v>
      </c>
    </row>
    <row r="1460" spans="1:19" x14ac:dyDescent="0.2">
      <c r="A1460" s="11" t="s">
        <v>26534</v>
      </c>
      <c r="B1460" s="9" t="s">
        <v>26535</v>
      </c>
      <c r="C1460" s="9" t="s">
        <v>26536</v>
      </c>
      <c r="D1460" s="9" t="s">
        <v>26537</v>
      </c>
      <c r="E1460" s="9" t="s">
        <v>17740</v>
      </c>
      <c r="F1460" s="9" t="s">
        <v>17741</v>
      </c>
      <c r="G1460" s="9" t="s">
        <v>17740</v>
      </c>
      <c r="H1460" s="11" t="s">
        <v>12997</v>
      </c>
      <c r="I1460" s="11" t="s">
        <v>12996</v>
      </c>
      <c r="J1460" s="11" t="s">
        <v>12996</v>
      </c>
      <c r="K1460" s="9" t="s">
        <v>20956</v>
      </c>
      <c r="L1460" s="9" t="s">
        <v>20976</v>
      </c>
      <c r="M1460" s="9" t="s">
        <v>26369</v>
      </c>
      <c r="N1460" s="9" t="s">
        <v>17746</v>
      </c>
      <c r="O1460" s="9" t="s">
        <v>3391</v>
      </c>
      <c r="P1460" s="9" t="s">
        <v>17748</v>
      </c>
      <c r="Q1460" s="11" t="s">
        <v>18370</v>
      </c>
      <c r="R1460" s="11" t="s">
        <v>18370</v>
      </c>
      <c r="S1460" s="11" t="s">
        <v>17750</v>
      </c>
    </row>
    <row r="1461" spans="1:19" x14ac:dyDescent="0.2">
      <c r="A1461" s="11" t="s">
        <v>26538</v>
      </c>
      <c r="B1461" s="9" t="s">
        <v>26539</v>
      </c>
      <c r="C1461" s="9" t="s">
        <v>26540</v>
      </c>
      <c r="D1461" s="9" t="s">
        <v>26541</v>
      </c>
      <c r="E1461" s="9" t="s">
        <v>17740</v>
      </c>
      <c r="F1461" s="9" t="s">
        <v>17741</v>
      </c>
      <c r="G1461" s="9" t="s">
        <v>17740</v>
      </c>
      <c r="H1461" s="11" t="s">
        <v>9717</v>
      </c>
      <c r="I1461" s="11" t="s">
        <v>9716</v>
      </c>
      <c r="J1461" s="11" t="s">
        <v>9716</v>
      </c>
      <c r="K1461" s="9" t="s">
        <v>9967</v>
      </c>
      <c r="L1461" s="9" t="s">
        <v>17759</v>
      </c>
      <c r="M1461" s="9" t="s">
        <v>17769</v>
      </c>
      <c r="N1461" s="9" t="s">
        <v>17746</v>
      </c>
      <c r="O1461" s="9" t="s">
        <v>3100</v>
      </c>
      <c r="P1461" s="9" t="s">
        <v>17748</v>
      </c>
      <c r="Q1461" s="11" t="s">
        <v>17784</v>
      </c>
      <c r="R1461" s="11" t="s">
        <v>17784</v>
      </c>
      <c r="S1461" s="11" t="s">
        <v>17750</v>
      </c>
    </row>
    <row r="1462" spans="1:19" x14ac:dyDescent="0.2">
      <c r="A1462" s="11" t="s">
        <v>26542</v>
      </c>
      <c r="B1462" s="9" t="s">
        <v>26543</v>
      </c>
      <c r="C1462" s="9" t="s">
        <v>26544</v>
      </c>
      <c r="D1462" s="9" t="s">
        <v>26545</v>
      </c>
      <c r="E1462" s="9" t="s">
        <v>17740</v>
      </c>
      <c r="F1462" s="9" t="s">
        <v>17741</v>
      </c>
      <c r="G1462" s="9" t="s">
        <v>17740</v>
      </c>
      <c r="H1462" s="11" t="s">
        <v>10414</v>
      </c>
      <c r="I1462" s="11" t="s">
        <v>10413</v>
      </c>
      <c r="J1462" s="11" t="s">
        <v>10413</v>
      </c>
      <c r="K1462" s="9" t="s">
        <v>20956</v>
      </c>
      <c r="L1462" s="9" t="s">
        <v>18001</v>
      </c>
      <c r="M1462" s="9" t="s">
        <v>18170</v>
      </c>
      <c r="N1462" s="9" t="s">
        <v>17746</v>
      </c>
      <c r="O1462" s="9" t="s">
        <v>26546</v>
      </c>
      <c r="P1462" s="9" t="s">
        <v>17748</v>
      </c>
      <c r="Q1462" s="11" t="s">
        <v>17780</v>
      </c>
      <c r="R1462" s="11" t="s">
        <v>17780</v>
      </c>
      <c r="S1462" s="11" t="s">
        <v>17750</v>
      </c>
    </row>
    <row r="1463" spans="1:19" x14ac:dyDescent="0.2">
      <c r="A1463" s="11" t="s">
        <v>26547</v>
      </c>
      <c r="B1463" s="9" t="s">
        <v>26548</v>
      </c>
      <c r="C1463" s="9" t="s">
        <v>26549</v>
      </c>
      <c r="D1463" s="9" t="s">
        <v>26550</v>
      </c>
      <c r="E1463" s="9" t="s">
        <v>17740</v>
      </c>
      <c r="F1463" s="9" t="s">
        <v>17741</v>
      </c>
      <c r="G1463" s="9" t="s">
        <v>17740</v>
      </c>
      <c r="H1463" s="11" t="s">
        <v>9742</v>
      </c>
      <c r="I1463" s="11" t="s">
        <v>9741</v>
      </c>
      <c r="J1463" s="11" t="s">
        <v>9741</v>
      </c>
      <c r="K1463" s="9" t="s">
        <v>26392</v>
      </c>
      <c r="L1463" s="9" t="s">
        <v>17759</v>
      </c>
      <c r="M1463" s="9" t="s">
        <v>17769</v>
      </c>
      <c r="N1463" s="9" t="s">
        <v>17746</v>
      </c>
      <c r="O1463" s="9" t="s">
        <v>18363</v>
      </c>
      <c r="P1463" s="9" t="s">
        <v>17748</v>
      </c>
      <c r="Q1463" s="11" t="s">
        <v>18356</v>
      </c>
      <c r="R1463" s="11" t="s">
        <v>18356</v>
      </c>
      <c r="S1463" s="11" t="s">
        <v>17750</v>
      </c>
    </row>
    <row r="1464" spans="1:19" x14ac:dyDescent="0.2">
      <c r="A1464" s="11" t="s">
        <v>26551</v>
      </c>
      <c r="B1464" s="9" t="s">
        <v>26552</v>
      </c>
      <c r="C1464" s="9" t="s">
        <v>26553</v>
      </c>
      <c r="D1464" s="9" t="s">
        <v>26554</v>
      </c>
      <c r="E1464" s="9" t="s">
        <v>17740</v>
      </c>
      <c r="F1464" s="9" t="s">
        <v>17741</v>
      </c>
      <c r="G1464" s="9" t="s">
        <v>17740</v>
      </c>
      <c r="H1464" s="11" t="s">
        <v>8936</v>
      </c>
      <c r="I1464" s="11" t="s">
        <v>8935</v>
      </c>
      <c r="J1464" s="11" t="s">
        <v>8936</v>
      </c>
      <c r="K1464" s="9" t="s">
        <v>17758</v>
      </c>
      <c r="L1464" s="9" t="s">
        <v>17759</v>
      </c>
      <c r="M1464" s="9" t="s">
        <v>17769</v>
      </c>
      <c r="N1464" s="9" t="s">
        <v>17746</v>
      </c>
      <c r="O1464" s="9" t="s">
        <v>18882</v>
      </c>
      <c r="P1464" s="9" t="s">
        <v>17748</v>
      </c>
      <c r="Q1464" s="11" t="s">
        <v>18922</v>
      </c>
      <c r="R1464" s="11" t="s">
        <v>18922</v>
      </c>
      <c r="S1464" s="11" t="s">
        <v>17750</v>
      </c>
    </row>
    <row r="1465" spans="1:19" x14ac:dyDescent="0.2">
      <c r="A1465" s="11" t="s">
        <v>26555</v>
      </c>
      <c r="B1465" s="9" t="s">
        <v>26556</v>
      </c>
      <c r="C1465" s="9" t="s">
        <v>26557</v>
      </c>
      <c r="D1465" s="9" t="s">
        <v>26558</v>
      </c>
      <c r="E1465" s="9" t="s">
        <v>17740</v>
      </c>
      <c r="F1465" s="9" t="s">
        <v>17741</v>
      </c>
      <c r="G1465" s="9" t="s">
        <v>17740</v>
      </c>
      <c r="H1465" s="11" t="s">
        <v>5807</v>
      </c>
      <c r="I1465" s="11" t="s">
        <v>5806</v>
      </c>
      <c r="J1465" s="11" t="s">
        <v>5806</v>
      </c>
      <c r="K1465" s="9" t="s">
        <v>17758</v>
      </c>
      <c r="L1465" s="9" t="s">
        <v>17759</v>
      </c>
      <c r="M1465" s="9" t="s">
        <v>17769</v>
      </c>
      <c r="N1465" s="9" t="s">
        <v>17746</v>
      </c>
      <c r="O1465" s="9" t="s">
        <v>487</v>
      </c>
      <c r="P1465" s="9" t="s">
        <v>17748</v>
      </c>
      <c r="Q1465" s="11" t="s">
        <v>18678</v>
      </c>
      <c r="R1465" s="11" t="s">
        <v>18678</v>
      </c>
      <c r="S1465" s="11" t="s">
        <v>17750</v>
      </c>
    </row>
    <row r="1466" spans="1:19" x14ac:dyDescent="0.2">
      <c r="A1466" s="11" t="s">
        <v>26559</v>
      </c>
      <c r="B1466" s="9" t="s">
        <v>26560</v>
      </c>
      <c r="C1466" s="9" t="s">
        <v>26561</v>
      </c>
      <c r="D1466" s="9" t="s">
        <v>26562</v>
      </c>
      <c r="E1466" s="9" t="s">
        <v>17740</v>
      </c>
      <c r="F1466" s="9" t="s">
        <v>17741</v>
      </c>
      <c r="G1466" s="9" t="s">
        <v>17740</v>
      </c>
      <c r="H1466" s="11" t="s">
        <v>5233</v>
      </c>
      <c r="I1466" s="11" t="s">
        <v>5232</v>
      </c>
      <c r="J1466" s="11" t="s">
        <v>5232</v>
      </c>
      <c r="K1466" s="9" t="s">
        <v>26563</v>
      </c>
      <c r="L1466" s="9" t="s">
        <v>17744</v>
      </c>
      <c r="M1466" s="9" t="s">
        <v>17769</v>
      </c>
      <c r="N1466" s="9" t="s">
        <v>17746</v>
      </c>
      <c r="O1466" s="9" t="s">
        <v>22395</v>
      </c>
      <c r="P1466" s="9" t="s">
        <v>17748</v>
      </c>
      <c r="Q1466" s="11" t="s">
        <v>17749</v>
      </c>
      <c r="R1466" s="11" t="s">
        <v>17749</v>
      </c>
      <c r="S1466" s="11" t="s">
        <v>17750</v>
      </c>
    </row>
    <row r="1467" spans="1:19" x14ac:dyDescent="0.2">
      <c r="A1467" s="11" t="s">
        <v>26564</v>
      </c>
      <c r="B1467" s="9" t="s">
        <v>26565</v>
      </c>
      <c r="C1467" s="9" t="s">
        <v>26566</v>
      </c>
      <c r="D1467" s="9" t="s">
        <v>26567</v>
      </c>
      <c r="E1467" s="9" t="s">
        <v>17740</v>
      </c>
      <c r="F1467" s="9" t="s">
        <v>17741</v>
      </c>
      <c r="G1467" s="9" t="s">
        <v>17740</v>
      </c>
      <c r="H1467" s="11" t="s">
        <v>4381</v>
      </c>
      <c r="I1467" s="11" t="s">
        <v>4380</v>
      </c>
      <c r="J1467" s="11" t="s">
        <v>4380</v>
      </c>
      <c r="K1467" s="9" t="s">
        <v>28</v>
      </c>
      <c r="L1467" s="9" t="s">
        <v>17759</v>
      </c>
      <c r="M1467" s="9" t="s">
        <v>18065</v>
      </c>
      <c r="N1467" s="9" t="s">
        <v>17746</v>
      </c>
      <c r="O1467" s="9" t="s">
        <v>18009</v>
      </c>
      <c r="P1467" s="9" t="s">
        <v>17748</v>
      </c>
      <c r="Q1467" s="11" t="s">
        <v>18059</v>
      </c>
      <c r="R1467" s="11" t="s">
        <v>18059</v>
      </c>
      <c r="S1467" s="11" t="s">
        <v>17750</v>
      </c>
    </row>
    <row r="1468" spans="1:19" x14ac:dyDescent="0.2">
      <c r="A1468" s="11" t="s">
        <v>26568</v>
      </c>
      <c r="B1468" s="9" t="s">
        <v>26569</v>
      </c>
      <c r="C1468" s="9" t="s">
        <v>26570</v>
      </c>
      <c r="D1468" s="9" t="s">
        <v>26571</v>
      </c>
      <c r="E1468" s="9" t="s">
        <v>17740</v>
      </c>
      <c r="F1468" s="9" t="s">
        <v>17741</v>
      </c>
      <c r="G1468" s="9" t="s">
        <v>17740</v>
      </c>
      <c r="H1468" s="11" t="s">
        <v>4814</v>
      </c>
      <c r="I1468" s="11" t="s">
        <v>4813</v>
      </c>
      <c r="J1468" s="11" t="s">
        <v>4813</v>
      </c>
      <c r="K1468" s="9" t="s">
        <v>91</v>
      </c>
      <c r="L1468" s="9" t="s">
        <v>17744</v>
      </c>
      <c r="M1468" s="9" t="s">
        <v>17769</v>
      </c>
      <c r="N1468" s="9" t="s">
        <v>17746</v>
      </c>
      <c r="O1468" s="9" t="s">
        <v>18125</v>
      </c>
      <c r="P1468" s="9" t="s">
        <v>17748</v>
      </c>
      <c r="Q1468" s="11" t="s">
        <v>17819</v>
      </c>
      <c r="R1468" s="11" t="s">
        <v>17819</v>
      </c>
      <c r="S1468" s="11" t="s">
        <v>17750</v>
      </c>
    </row>
    <row r="1469" spans="1:19" x14ac:dyDescent="0.2">
      <c r="A1469" s="11" t="s">
        <v>26572</v>
      </c>
      <c r="B1469" s="9" t="s">
        <v>26573</v>
      </c>
      <c r="C1469" s="9" t="s">
        <v>26574</v>
      </c>
      <c r="D1469" s="9" t="s">
        <v>26575</v>
      </c>
      <c r="E1469" s="9" t="s">
        <v>17740</v>
      </c>
      <c r="F1469" s="9" t="s">
        <v>17741</v>
      </c>
      <c r="G1469" s="9" t="s">
        <v>17740</v>
      </c>
      <c r="H1469" s="11" t="s">
        <v>7512</v>
      </c>
      <c r="I1469" s="11" t="s">
        <v>7511</v>
      </c>
      <c r="J1469" s="11" t="s">
        <v>7511</v>
      </c>
      <c r="K1469" s="9" t="s">
        <v>91</v>
      </c>
      <c r="L1469" s="9" t="s">
        <v>17744</v>
      </c>
      <c r="M1469" s="9" t="s">
        <v>17769</v>
      </c>
      <c r="N1469" s="9" t="s">
        <v>17746</v>
      </c>
      <c r="O1469" s="9" t="s">
        <v>773</v>
      </c>
      <c r="P1469" s="9" t="s">
        <v>17748</v>
      </c>
      <c r="Q1469" s="11" t="s">
        <v>18272</v>
      </c>
      <c r="R1469" s="11" t="s">
        <v>18272</v>
      </c>
      <c r="S1469" s="11" t="s">
        <v>17750</v>
      </c>
    </row>
    <row r="1470" spans="1:19" x14ac:dyDescent="0.2">
      <c r="A1470" s="11" t="s">
        <v>26576</v>
      </c>
      <c r="B1470" s="9" t="s">
        <v>26577</v>
      </c>
      <c r="C1470" s="9" t="s">
        <v>26578</v>
      </c>
      <c r="D1470" s="9" t="s">
        <v>26579</v>
      </c>
      <c r="E1470" s="9" t="s">
        <v>17740</v>
      </c>
      <c r="F1470" s="9" t="s">
        <v>17741</v>
      </c>
      <c r="G1470" s="9" t="s">
        <v>17740</v>
      </c>
      <c r="H1470" s="11" t="s">
        <v>8257</v>
      </c>
      <c r="I1470" s="11" t="s">
        <v>8256</v>
      </c>
      <c r="J1470" s="11" t="s">
        <v>8256</v>
      </c>
      <c r="K1470" s="9" t="s">
        <v>17758</v>
      </c>
      <c r="L1470" s="9" t="s">
        <v>17744</v>
      </c>
      <c r="M1470" s="9" t="s">
        <v>17769</v>
      </c>
      <c r="N1470" s="9" t="s">
        <v>17746</v>
      </c>
      <c r="O1470" s="9" t="s">
        <v>20625</v>
      </c>
      <c r="P1470" s="9" t="s">
        <v>17748</v>
      </c>
      <c r="Q1470" s="11" t="s">
        <v>18798</v>
      </c>
      <c r="R1470" s="11" t="s">
        <v>18798</v>
      </c>
      <c r="S1470" s="11" t="s">
        <v>17750</v>
      </c>
    </row>
    <row r="1471" spans="1:19" x14ac:dyDescent="0.2">
      <c r="A1471" s="11" t="s">
        <v>26580</v>
      </c>
      <c r="B1471" s="9" t="s">
        <v>26581</v>
      </c>
      <c r="C1471" s="9" t="s">
        <v>26582</v>
      </c>
      <c r="D1471" s="9" t="s">
        <v>26583</v>
      </c>
      <c r="E1471" s="9" t="s">
        <v>17740</v>
      </c>
      <c r="F1471" s="9" t="s">
        <v>17741</v>
      </c>
      <c r="G1471" s="9" t="s">
        <v>17740</v>
      </c>
      <c r="H1471" s="11" t="s">
        <v>8260</v>
      </c>
      <c r="I1471" s="11" t="s">
        <v>8259</v>
      </c>
      <c r="J1471" s="11" t="s">
        <v>8259</v>
      </c>
      <c r="K1471" s="9" t="s">
        <v>17758</v>
      </c>
      <c r="L1471" s="9" t="s">
        <v>17759</v>
      </c>
      <c r="M1471" s="9" t="s">
        <v>17769</v>
      </c>
      <c r="N1471" s="9" t="s">
        <v>17746</v>
      </c>
      <c r="O1471" s="9" t="s">
        <v>7317</v>
      </c>
      <c r="P1471" s="9" t="s">
        <v>17748</v>
      </c>
      <c r="Q1471" s="11" t="s">
        <v>19361</v>
      </c>
      <c r="R1471" s="11" t="s">
        <v>19361</v>
      </c>
      <c r="S1471" s="11" t="s">
        <v>17750</v>
      </c>
    </row>
    <row r="1472" spans="1:19" x14ac:dyDescent="0.2">
      <c r="A1472" s="11" t="s">
        <v>26584</v>
      </c>
      <c r="B1472" s="9" t="s">
        <v>26585</v>
      </c>
      <c r="C1472" s="9" t="s">
        <v>26586</v>
      </c>
      <c r="D1472" s="9" t="s">
        <v>26587</v>
      </c>
      <c r="E1472" s="9" t="s">
        <v>17740</v>
      </c>
      <c r="F1472" s="9" t="s">
        <v>26588</v>
      </c>
      <c r="G1472" s="9" t="s">
        <v>17740</v>
      </c>
      <c r="H1472" s="11" t="s">
        <v>12041</v>
      </c>
      <c r="I1472" s="11" t="s">
        <v>12040</v>
      </c>
      <c r="J1472" s="11" t="s">
        <v>12040</v>
      </c>
      <c r="K1472" s="9" t="s">
        <v>26253</v>
      </c>
      <c r="L1472" s="9" t="s">
        <v>17744</v>
      </c>
      <c r="M1472" s="9" t="s">
        <v>17769</v>
      </c>
      <c r="N1472" s="9" t="s">
        <v>17746</v>
      </c>
      <c r="O1472" s="9" t="s">
        <v>21568</v>
      </c>
      <c r="P1472" s="9" t="s">
        <v>17748</v>
      </c>
      <c r="Q1472" s="11" t="s">
        <v>17917</v>
      </c>
      <c r="R1472" s="11" t="s">
        <v>17917</v>
      </c>
      <c r="S1472" s="11" t="s">
        <v>17750</v>
      </c>
    </row>
    <row r="1473" spans="1:19" x14ac:dyDescent="0.2">
      <c r="A1473" s="11" t="s">
        <v>26589</v>
      </c>
      <c r="B1473" s="9" t="s">
        <v>26590</v>
      </c>
      <c r="C1473" s="9" t="s">
        <v>26591</v>
      </c>
      <c r="D1473" s="9" t="s">
        <v>26592</v>
      </c>
      <c r="E1473" s="9" t="s">
        <v>17740</v>
      </c>
      <c r="F1473" s="9" t="s">
        <v>17741</v>
      </c>
      <c r="G1473" s="9" t="s">
        <v>17740</v>
      </c>
      <c r="H1473" s="11" t="s">
        <v>4449</v>
      </c>
      <c r="I1473" s="11" t="s">
        <v>4448</v>
      </c>
      <c r="J1473" s="11" t="s">
        <v>4448</v>
      </c>
      <c r="K1473" s="9" t="s">
        <v>17758</v>
      </c>
      <c r="L1473" s="9" t="s">
        <v>17759</v>
      </c>
      <c r="M1473" s="9" t="s">
        <v>17769</v>
      </c>
      <c r="N1473" s="9" t="s">
        <v>17746</v>
      </c>
      <c r="O1473" s="9" t="s">
        <v>1675</v>
      </c>
      <c r="P1473" s="9" t="s">
        <v>17748</v>
      </c>
      <c r="Q1473" s="11" t="s">
        <v>18960</v>
      </c>
      <c r="R1473" s="11" t="s">
        <v>18960</v>
      </c>
      <c r="S1473" s="11" t="s">
        <v>17750</v>
      </c>
    </row>
    <row r="1474" spans="1:19" x14ac:dyDescent="0.2">
      <c r="A1474" s="11" t="s">
        <v>26593</v>
      </c>
      <c r="B1474" s="9" t="s">
        <v>26594</v>
      </c>
      <c r="C1474" s="9" t="s">
        <v>26595</v>
      </c>
      <c r="D1474" s="9" t="s">
        <v>26596</v>
      </c>
      <c r="E1474" s="9" t="s">
        <v>17740</v>
      </c>
      <c r="F1474" s="9" t="s">
        <v>17741</v>
      </c>
      <c r="G1474" s="9" t="s">
        <v>17740</v>
      </c>
      <c r="H1474" s="11" t="s">
        <v>5242</v>
      </c>
      <c r="I1474" s="11" t="s">
        <v>5241</v>
      </c>
      <c r="J1474" s="11" t="s">
        <v>5241</v>
      </c>
      <c r="K1474" s="9" t="s">
        <v>91</v>
      </c>
      <c r="L1474" s="9" t="s">
        <v>17744</v>
      </c>
      <c r="M1474" s="9" t="s">
        <v>17769</v>
      </c>
      <c r="N1474" s="9" t="s">
        <v>17746</v>
      </c>
      <c r="O1474" s="9" t="s">
        <v>1690</v>
      </c>
      <c r="P1474" s="9" t="s">
        <v>17748</v>
      </c>
      <c r="Q1474" s="11" t="s">
        <v>18080</v>
      </c>
      <c r="R1474" s="11" t="s">
        <v>18080</v>
      </c>
      <c r="S1474" s="11" t="s">
        <v>17750</v>
      </c>
    </row>
    <row r="1475" spans="1:19" x14ac:dyDescent="0.2">
      <c r="A1475" s="11" t="s">
        <v>26597</v>
      </c>
      <c r="B1475" s="9" t="s">
        <v>26598</v>
      </c>
      <c r="C1475" s="9" t="s">
        <v>26599</v>
      </c>
      <c r="D1475" s="9" t="s">
        <v>26600</v>
      </c>
      <c r="E1475" s="9" t="s">
        <v>17740</v>
      </c>
      <c r="F1475" s="9" t="s">
        <v>17741</v>
      </c>
      <c r="G1475" s="9" t="s">
        <v>17740</v>
      </c>
      <c r="H1475" s="11" t="s">
        <v>6827</v>
      </c>
      <c r="I1475" s="11" t="s">
        <v>6826</v>
      </c>
      <c r="J1475" s="11" t="s">
        <v>6826</v>
      </c>
      <c r="K1475" s="9" t="s">
        <v>22907</v>
      </c>
      <c r="L1475" s="9" t="s">
        <v>17759</v>
      </c>
      <c r="M1475" s="9" t="s">
        <v>17769</v>
      </c>
      <c r="N1475" s="9" t="s">
        <v>17746</v>
      </c>
      <c r="O1475" s="9" t="s">
        <v>7097</v>
      </c>
      <c r="P1475" s="9" t="s">
        <v>17748</v>
      </c>
      <c r="Q1475" s="11" t="s">
        <v>17792</v>
      </c>
      <c r="R1475" s="11" t="s">
        <v>17792</v>
      </c>
      <c r="S1475" s="11" t="s">
        <v>17750</v>
      </c>
    </row>
    <row r="1476" spans="1:19" x14ac:dyDescent="0.2">
      <c r="A1476" s="11" t="s">
        <v>26601</v>
      </c>
      <c r="B1476" s="9" t="s">
        <v>26602</v>
      </c>
      <c r="C1476" s="9" t="s">
        <v>26603</v>
      </c>
      <c r="D1476" s="9" t="s">
        <v>26604</v>
      </c>
      <c r="E1476" s="9" t="s">
        <v>17740</v>
      </c>
      <c r="F1476" s="9" t="s">
        <v>17741</v>
      </c>
      <c r="G1476" s="9" t="s">
        <v>17740</v>
      </c>
      <c r="H1476" s="11" t="s">
        <v>11819</v>
      </c>
      <c r="I1476" s="11" t="s">
        <v>11818</v>
      </c>
      <c r="J1476" s="11" t="s">
        <v>11818</v>
      </c>
      <c r="K1476" s="9" t="s">
        <v>17758</v>
      </c>
      <c r="L1476" s="9" t="s">
        <v>17759</v>
      </c>
      <c r="M1476" s="9" t="s">
        <v>17769</v>
      </c>
      <c r="N1476" s="9" t="s">
        <v>17746</v>
      </c>
      <c r="O1476" s="9" t="s">
        <v>19147</v>
      </c>
      <c r="P1476" s="9" t="s">
        <v>17748</v>
      </c>
      <c r="Q1476" s="11" t="s">
        <v>17762</v>
      </c>
      <c r="R1476" s="11" t="s">
        <v>17762</v>
      </c>
      <c r="S1476" s="11" t="s">
        <v>17750</v>
      </c>
    </row>
    <row r="1477" spans="1:19" x14ac:dyDescent="0.2">
      <c r="A1477" s="11" t="s">
        <v>26605</v>
      </c>
      <c r="B1477" s="9" t="s">
        <v>26606</v>
      </c>
      <c r="C1477" s="9" t="s">
        <v>26607</v>
      </c>
      <c r="D1477" s="9" t="s">
        <v>26608</v>
      </c>
      <c r="E1477" s="9" t="s">
        <v>17740</v>
      </c>
      <c r="F1477" s="9" t="s">
        <v>17741</v>
      </c>
      <c r="G1477" s="9" t="s">
        <v>17740</v>
      </c>
      <c r="H1477" s="11" t="s">
        <v>4755</v>
      </c>
      <c r="I1477" s="11" t="s">
        <v>4754</v>
      </c>
      <c r="J1477" s="11" t="s">
        <v>4754</v>
      </c>
      <c r="K1477" s="9" t="s">
        <v>91</v>
      </c>
      <c r="L1477" s="9" t="s">
        <v>17744</v>
      </c>
      <c r="M1477" s="9" t="s">
        <v>17769</v>
      </c>
      <c r="N1477" s="9" t="s">
        <v>17746</v>
      </c>
      <c r="O1477" s="9" t="s">
        <v>18882</v>
      </c>
      <c r="P1477" s="9" t="s">
        <v>17748</v>
      </c>
      <c r="Q1477" s="11" t="s">
        <v>18678</v>
      </c>
      <c r="R1477" s="11" t="s">
        <v>18678</v>
      </c>
      <c r="S1477" s="11" t="s">
        <v>17750</v>
      </c>
    </row>
    <row r="1478" spans="1:19" x14ac:dyDescent="0.2">
      <c r="A1478" s="11" t="s">
        <v>26609</v>
      </c>
      <c r="B1478" s="9" t="s">
        <v>26610</v>
      </c>
      <c r="C1478" s="9" t="s">
        <v>26611</v>
      </c>
      <c r="D1478" s="9" t="s">
        <v>26612</v>
      </c>
      <c r="E1478" s="9" t="s">
        <v>17740</v>
      </c>
      <c r="F1478" s="9" t="s">
        <v>17741</v>
      </c>
      <c r="G1478" s="9" t="s">
        <v>17740</v>
      </c>
      <c r="H1478" s="11" t="s">
        <v>4676</v>
      </c>
      <c r="I1478" s="11" t="s">
        <v>4675</v>
      </c>
      <c r="J1478" s="11" t="s">
        <v>4675</v>
      </c>
      <c r="K1478" s="9" t="s">
        <v>17758</v>
      </c>
      <c r="L1478" s="9" t="s">
        <v>17759</v>
      </c>
      <c r="M1478" s="9" t="s">
        <v>17769</v>
      </c>
      <c r="N1478" s="9" t="s">
        <v>17746</v>
      </c>
      <c r="O1478" s="9" t="s">
        <v>19659</v>
      </c>
      <c r="P1478" s="9" t="s">
        <v>17748</v>
      </c>
      <c r="Q1478" s="11" t="s">
        <v>18678</v>
      </c>
      <c r="R1478" s="11" t="s">
        <v>18678</v>
      </c>
      <c r="S1478" s="11" t="s">
        <v>17750</v>
      </c>
    </row>
    <row r="1479" spans="1:19" x14ac:dyDescent="0.2">
      <c r="A1479" s="11" t="s">
        <v>26613</v>
      </c>
      <c r="B1479" s="9" t="s">
        <v>26614</v>
      </c>
      <c r="C1479" s="9" t="s">
        <v>26615</v>
      </c>
      <c r="D1479" s="9" t="s">
        <v>26616</v>
      </c>
      <c r="E1479" s="9" t="s">
        <v>17740</v>
      </c>
      <c r="F1479" s="9" t="s">
        <v>17741</v>
      </c>
      <c r="G1479" s="9" t="s">
        <v>17740</v>
      </c>
      <c r="H1479" s="11" t="s">
        <v>5207</v>
      </c>
      <c r="I1479" s="11" t="s">
        <v>5206</v>
      </c>
      <c r="J1479" s="11" t="s">
        <v>5206</v>
      </c>
      <c r="K1479" s="9" t="s">
        <v>17758</v>
      </c>
      <c r="L1479" s="9" t="s">
        <v>17744</v>
      </c>
      <c r="M1479" s="9" t="s">
        <v>17769</v>
      </c>
      <c r="N1479" s="9" t="s">
        <v>17746</v>
      </c>
      <c r="O1479" s="9" t="s">
        <v>773</v>
      </c>
      <c r="P1479" s="9" t="s">
        <v>17748</v>
      </c>
      <c r="Q1479" s="11" t="s">
        <v>17749</v>
      </c>
      <c r="R1479" s="11" t="s">
        <v>17749</v>
      </c>
      <c r="S1479" s="11" t="s">
        <v>17750</v>
      </c>
    </row>
    <row r="1480" spans="1:19" x14ac:dyDescent="0.2">
      <c r="A1480" s="11" t="s">
        <v>26617</v>
      </c>
      <c r="B1480" s="9" t="s">
        <v>26618</v>
      </c>
      <c r="C1480" s="9" t="s">
        <v>26619</v>
      </c>
      <c r="D1480" s="9" t="s">
        <v>26620</v>
      </c>
      <c r="E1480" s="9" t="s">
        <v>17740</v>
      </c>
      <c r="F1480" s="9" t="s">
        <v>17741</v>
      </c>
      <c r="G1480" s="9" t="s">
        <v>17740</v>
      </c>
      <c r="H1480" s="11" t="s">
        <v>7802</v>
      </c>
      <c r="I1480" s="11" t="s">
        <v>7801</v>
      </c>
      <c r="J1480" s="11" t="s">
        <v>7801</v>
      </c>
      <c r="K1480" s="9" t="s">
        <v>26563</v>
      </c>
      <c r="L1480" s="9" t="s">
        <v>17744</v>
      </c>
      <c r="M1480" s="9" t="s">
        <v>17769</v>
      </c>
      <c r="N1480" s="9" t="s">
        <v>17746</v>
      </c>
      <c r="O1480" s="9" t="s">
        <v>18746</v>
      </c>
      <c r="P1480" s="9" t="s">
        <v>17748</v>
      </c>
      <c r="Q1480" s="11" t="s">
        <v>18798</v>
      </c>
      <c r="R1480" s="11" t="s">
        <v>18798</v>
      </c>
      <c r="S1480" s="11" t="s">
        <v>17750</v>
      </c>
    </row>
    <row r="1481" spans="1:19" x14ac:dyDescent="0.2">
      <c r="A1481" s="11" t="s">
        <v>26621</v>
      </c>
      <c r="B1481" s="9" t="s">
        <v>26622</v>
      </c>
      <c r="C1481" s="9" t="s">
        <v>26623</v>
      </c>
      <c r="D1481" s="9" t="s">
        <v>26624</v>
      </c>
      <c r="E1481" s="9" t="s">
        <v>17740</v>
      </c>
      <c r="F1481" s="9" t="s">
        <v>17741</v>
      </c>
      <c r="G1481" s="9" t="s">
        <v>17740</v>
      </c>
      <c r="H1481" s="11" t="s">
        <v>6372</v>
      </c>
      <c r="I1481" s="11" t="s">
        <v>6371</v>
      </c>
      <c r="J1481" s="11" t="s">
        <v>6371</v>
      </c>
      <c r="K1481" s="9" t="s">
        <v>17758</v>
      </c>
      <c r="L1481" s="9" t="s">
        <v>17744</v>
      </c>
      <c r="M1481" s="9" t="s">
        <v>18065</v>
      </c>
      <c r="N1481" s="9" t="s">
        <v>17746</v>
      </c>
      <c r="O1481" s="9" t="s">
        <v>26625</v>
      </c>
      <c r="P1481" s="9" t="s">
        <v>17748</v>
      </c>
      <c r="Q1481" s="11" t="s">
        <v>18147</v>
      </c>
      <c r="R1481" s="11" t="s">
        <v>18147</v>
      </c>
      <c r="S1481" s="11" t="s">
        <v>17750</v>
      </c>
    </row>
    <row r="1482" spans="1:19" x14ac:dyDescent="0.2">
      <c r="A1482" s="11" t="s">
        <v>26626</v>
      </c>
      <c r="B1482" s="9" t="s">
        <v>26627</v>
      </c>
      <c r="C1482" s="9" t="s">
        <v>26628</v>
      </c>
      <c r="D1482" s="9" t="s">
        <v>26629</v>
      </c>
      <c r="E1482" s="9" t="s">
        <v>17740</v>
      </c>
      <c r="F1482" s="9" t="s">
        <v>17741</v>
      </c>
      <c r="G1482" s="9" t="s">
        <v>17740</v>
      </c>
      <c r="H1482" s="11" t="s">
        <v>5239</v>
      </c>
      <c r="I1482" s="11" t="s">
        <v>5238</v>
      </c>
      <c r="J1482" s="11" t="s">
        <v>5238</v>
      </c>
      <c r="K1482" s="9" t="s">
        <v>26563</v>
      </c>
      <c r="L1482" s="9" t="s">
        <v>17744</v>
      </c>
      <c r="M1482" s="9" t="s">
        <v>17769</v>
      </c>
      <c r="N1482" s="9" t="s">
        <v>17746</v>
      </c>
      <c r="O1482" s="9" t="s">
        <v>18281</v>
      </c>
      <c r="P1482" s="9" t="s">
        <v>17748</v>
      </c>
      <c r="Q1482" s="11" t="s">
        <v>18080</v>
      </c>
      <c r="R1482" s="11" t="s">
        <v>18080</v>
      </c>
      <c r="S1482" s="11" t="s">
        <v>17750</v>
      </c>
    </row>
    <row r="1483" spans="1:19" x14ac:dyDescent="0.2">
      <c r="A1483" s="11" t="s">
        <v>26630</v>
      </c>
      <c r="B1483" s="9" t="s">
        <v>26631</v>
      </c>
      <c r="C1483" s="9" t="s">
        <v>26632</v>
      </c>
      <c r="D1483" s="9" t="s">
        <v>26633</v>
      </c>
      <c r="E1483" s="9" t="s">
        <v>17748</v>
      </c>
      <c r="F1483" s="9" t="s">
        <v>26634</v>
      </c>
      <c r="G1483" s="9" t="s">
        <v>17740</v>
      </c>
      <c r="H1483" s="11" t="s">
        <v>6220</v>
      </c>
      <c r="I1483" s="11" t="s">
        <v>6219</v>
      </c>
      <c r="J1483" s="11" t="s">
        <v>6219</v>
      </c>
      <c r="K1483" s="9" t="s">
        <v>17758</v>
      </c>
      <c r="L1483" s="9" t="s">
        <v>17744</v>
      </c>
      <c r="M1483" s="9" t="s">
        <v>17769</v>
      </c>
      <c r="N1483" s="9" t="s">
        <v>17746</v>
      </c>
      <c r="O1483" s="9" t="s">
        <v>3100</v>
      </c>
      <c r="P1483" s="9" t="s">
        <v>17748</v>
      </c>
      <c r="Q1483" s="11" t="s">
        <v>17792</v>
      </c>
      <c r="R1483" s="11" t="s">
        <v>17792</v>
      </c>
      <c r="S1483" s="11" t="s">
        <v>17750</v>
      </c>
    </row>
    <row r="1484" spans="1:19" x14ac:dyDescent="0.2">
      <c r="A1484" s="11" t="s">
        <v>26635</v>
      </c>
      <c r="B1484" s="9" t="s">
        <v>26636</v>
      </c>
      <c r="C1484" s="9" t="s">
        <v>26637</v>
      </c>
      <c r="D1484" s="9" t="s">
        <v>26638</v>
      </c>
      <c r="E1484" s="9" t="s">
        <v>17740</v>
      </c>
      <c r="F1484" s="9" t="s">
        <v>17741</v>
      </c>
      <c r="G1484" s="9" t="s">
        <v>17740</v>
      </c>
      <c r="H1484" s="11" t="s">
        <v>5282</v>
      </c>
      <c r="I1484" s="11" t="s">
        <v>5281</v>
      </c>
      <c r="J1484" s="11" t="s">
        <v>5281</v>
      </c>
      <c r="K1484" s="9" t="s">
        <v>17758</v>
      </c>
      <c r="L1484" s="9" t="s">
        <v>17744</v>
      </c>
      <c r="M1484" s="9" t="s">
        <v>17769</v>
      </c>
      <c r="N1484" s="9" t="s">
        <v>17746</v>
      </c>
      <c r="O1484" s="9" t="s">
        <v>18331</v>
      </c>
      <c r="P1484" s="9" t="s">
        <v>17748</v>
      </c>
      <c r="Q1484" s="11" t="s">
        <v>17819</v>
      </c>
      <c r="R1484" s="11" t="s">
        <v>17819</v>
      </c>
      <c r="S1484" s="11" t="s">
        <v>17750</v>
      </c>
    </row>
    <row r="1485" spans="1:19" x14ac:dyDescent="0.2">
      <c r="A1485" s="11" t="s">
        <v>26639</v>
      </c>
      <c r="B1485" s="9" t="s">
        <v>26640</v>
      </c>
      <c r="C1485" s="9" t="s">
        <v>26641</v>
      </c>
      <c r="D1485" s="9" t="s">
        <v>26642</v>
      </c>
      <c r="E1485" s="9" t="s">
        <v>17740</v>
      </c>
      <c r="F1485" s="9" t="s">
        <v>17741</v>
      </c>
      <c r="G1485" s="9" t="s">
        <v>17740</v>
      </c>
      <c r="H1485" s="11" t="s">
        <v>5332</v>
      </c>
      <c r="I1485" s="11" t="s">
        <v>5331</v>
      </c>
      <c r="J1485" s="11" t="s">
        <v>5331</v>
      </c>
      <c r="K1485" s="9" t="s">
        <v>17758</v>
      </c>
      <c r="L1485" s="9" t="s">
        <v>17759</v>
      </c>
      <c r="M1485" s="9" t="s">
        <v>17769</v>
      </c>
      <c r="N1485" s="9" t="s">
        <v>17746</v>
      </c>
      <c r="O1485" s="9" t="s">
        <v>18363</v>
      </c>
      <c r="P1485" s="9" t="s">
        <v>17748</v>
      </c>
      <c r="Q1485" s="11" t="s">
        <v>17819</v>
      </c>
      <c r="R1485" s="11" t="s">
        <v>17819</v>
      </c>
      <c r="S1485" s="11" t="s">
        <v>17750</v>
      </c>
    </row>
    <row r="1486" spans="1:19" x14ac:dyDescent="0.2">
      <c r="A1486" s="11" t="s">
        <v>26643</v>
      </c>
      <c r="B1486" s="9" t="s">
        <v>26644</v>
      </c>
      <c r="C1486" s="9" t="s">
        <v>26645</v>
      </c>
      <c r="D1486" s="9" t="s">
        <v>26646</v>
      </c>
      <c r="E1486" s="9" t="s">
        <v>17740</v>
      </c>
      <c r="F1486" s="9" t="s">
        <v>17741</v>
      </c>
      <c r="G1486" s="9" t="s">
        <v>17740</v>
      </c>
      <c r="H1486" s="11" t="s">
        <v>5329</v>
      </c>
      <c r="I1486" s="11" t="s">
        <v>5328</v>
      </c>
      <c r="J1486" s="11" t="s">
        <v>5328</v>
      </c>
      <c r="K1486" s="9" t="s">
        <v>17758</v>
      </c>
      <c r="L1486" s="9" t="s">
        <v>17759</v>
      </c>
      <c r="M1486" s="9" t="s">
        <v>17769</v>
      </c>
      <c r="N1486" s="9" t="s">
        <v>17746</v>
      </c>
      <c r="O1486" s="9" t="s">
        <v>3255</v>
      </c>
      <c r="P1486" s="9" t="s">
        <v>17748</v>
      </c>
      <c r="Q1486" s="11" t="s">
        <v>17749</v>
      </c>
      <c r="R1486" s="11" t="s">
        <v>17749</v>
      </c>
      <c r="S1486" s="11" t="s">
        <v>17750</v>
      </c>
    </row>
    <row r="1487" spans="1:19" x14ac:dyDescent="0.2">
      <c r="A1487" s="11" t="s">
        <v>26647</v>
      </c>
      <c r="B1487" s="9" t="s">
        <v>26648</v>
      </c>
      <c r="C1487" s="9" t="s">
        <v>26649</v>
      </c>
      <c r="D1487" s="9" t="s">
        <v>26650</v>
      </c>
      <c r="E1487" s="9" t="s">
        <v>17740</v>
      </c>
      <c r="F1487" s="9" t="s">
        <v>17741</v>
      </c>
      <c r="G1487" s="9" t="s">
        <v>17740</v>
      </c>
      <c r="H1487" s="11" t="s">
        <v>8606</v>
      </c>
      <c r="I1487" s="11" t="s">
        <v>8605</v>
      </c>
      <c r="J1487" s="11" t="s">
        <v>8605</v>
      </c>
      <c r="K1487" s="9" t="s">
        <v>17758</v>
      </c>
      <c r="L1487" s="9" t="s">
        <v>17759</v>
      </c>
      <c r="M1487" s="9" t="s">
        <v>19988</v>
      </c>
      <c r="N1487" s="9" t="s">
        <v>17746</v>
      </c>
      <c r="O1487" s="9" t="s">
        <v>3981</v>
      </c>
      <c r="P1487" s="9" t="s">
        <v>17748</v>
      </c>
      <c r="Q1487" s="11" t="s">
        <v>23398</v>
      </c>
      <c r="R1487" s="11" t="s">
        <v>23398</v>
      </c>
      <c r="S1487" s="11" t="s">
        <v>17750</v>
      </c>
    </row>
    <row r="1488" spans="1:19" x14ac:dyDescent="0.2">
      <c r="A1488" s="11" t="s">
        <v>26651</v>
      </c>
      <c r="B1488" s="9" t="s">
        <v>26652</v>
      </c>
      <c r="C1488" s="9" t="s">
        <v>26653</v>
      </c>
      <c r="D1488" s="9" t="s">
        <v>26654</v>
      </c>
      <c r="E1488" s="9" t="s">
        <v>17740</v>
      </c>
      <c r="F1488" s="9" t="s">
        <v>17741</v>
      </c>
      <c r="G1488" s="9" t="s">
        <v>17740</v>
      </c>
      <c r="H1488" s="11" t="s">
        <v>6270</v>
      </c>
      <c r="I1488" s="11" t="s">
        <v>6269</v>
      </c>
      <c r="J1488" s="11" t="s">
        <v>6269</v>
      </c>
      <c r="K1488" s="9" t="s">
        <v>17758</v>
      </c>
      <c r="L1488" s="9" t="s">
        <v>17759</v>
      </c>
      <c r="M1488" s="9" t="s">
        <v>17769</v>
      </c>
      <c r="N1488" s="9" t="s">
        <v>17746</v>
      </c>
      <c r="O1488" s="9" t="s">
        <v>18418</v>
      </c>
      <c r="P1488" s="9" t="s">
        <v>17748</v>
      </c>
      <c r="Q1488" s="11" t="s">
        <v>17792</v>
      </c>
      <c r="R1488" s="11" t="s">
        <v>17792</v>
      </c>
      <c r="S1488" s="11" t="s">
        <v>17750</v>
      </c>
    </row>
    <row r="1489" spans="1:19" x14ac:dyDescent="0.2">
      <c r="A1489" s="11" t="s">
        <v>26655</v>
      </c>
      <c r="B1489" s="9" t="s">
        <v>26656</v>
      </c>
      <c r="C1489" s="9" t="s">
        <v>26657</v>
      </c>
      <c r="D1489" s="9" t="s">
        <v>26658</v>
      </c>
      <c r="E1489" s="9" t="s">
        <v>17740</v>
      </c>
      <c r="F1489" s="9" t="s">
        <v>17741</v>
      </c>
      <c r="G1489" s="9" t="s">
        <v>17740</v>
      </c>
      <c r="H1489" s="11" t="s">
        <v>5183</v>
      </c>
      <c r="I1489" s="11" t="s">
        <v>5182</v>
      </c>
      <c r="J1489" s="11" t="s">
        <v>5182</v>
      </c>
      <c r="K1489" s="9" t="s">
        <v>28</v>
      </c>
      <c r="L1489" s="9" t="s">
        <v>17759</v>
      </c>
      <c r="M1489" s="9" t="s">
        <v>17769</v>
      </c>
      <c r="N1489" s="9" t="s">
        <v>17746</v>
      </c>
      <c r="O1489" s="9" t="s">
        <v>3355</v>
      </c>
      <c r="P1489" s="9" t="s">
        <v>17748</v>
      </c>
      <c r="Q1489" s="11" t="s">
        <v>17819</v>
      </c>
      <c r="R1489" s="11" t="s">
        <v>17819</v>
      </c>
      <c r="S1489" s="11" t="s">
        <v>17750</v>
      </c>
    </row>
    <row r="1490" spans="1:19" x14ac:dyDescent="0.2">
      <c r="A1490" s="11" t="s">
        <v>26659</v>
      </c>
      <c r="B1490" s="9" t="s">
        <v>26660</v>
      </c>
      <c r="C1490" s="9" t="s">
        <v>26661</v>
      </c>
      <c r="D1490" s="9" t="s">
        <v>26662</v>
      </c>
      <c r="E1490" s="9" t="s">
        <v>17740</v>
      </c>
      <c r="F1490" s="9" t="s">
        <v>17741</v>
      </c>
      <c r="G1490" s="9" t="s">
        <v>17740</v>
      </c>
      <c r="H1490" s="11" t="s">
        <v>9070</v>
      </c>
      <c r="I1490" s="11" t="s">
        <v>9069</v>
      </c>
      <c r="J1490" s="11" t="s">
        <v>9069</v>
      </c>
      <c r="K1490" s="9" t="s">
        <v>21614</v>
      </c>
      <c r="L1490" s="9" t="s">
        <v>17744</v>
      </c>
      <c r="M1490" s="9" t="s">
        <v>17769</v>
      </c>
      <c r="N1490" s="9" t="s">
        <v>17746</v>
      </c>
      <c r="O1490" s="9" t="s">
        <v>3391</v>
      </c>
      <c r="P1490" s="9" t="s">
        <v>17748</v>
      </c>
      <c r="Q1490" s="11" t="s">
        <v>18922</v>
      </c>
      <c r="R1490" s="11" t="s">
        <v>18922</v>
      </c>
      <c r="S1490" s="11" t="s">
        <v>17750</v>
      </c>
    </row>
    <row r="1491" spans="1:19" x14ac:dyDescent="0.2">
      <c r="A1491" s="11" t="s">
        <v>26663</v>
      </c>
      <c r="B1491" s="9" t="s">
        <v>26664</v>
      </c>
      <c r="C1491" s="9" t="s">
        <v>26665</v>
      </c>
      <c r="D1491" s="9" t="s">
        <v>26666</v>
      </c>
      <c r="E1491" s="9" t="s">
        <v>17740</v>
      </c>
      <c r="F1491" s="9" t="s">
        <v>17741</v>
      </c>
      <c r="G1491" s="9" t="s">
        <v>17740</v>
      </c>
      <c r="H1491" s="11" t="s">
        <v>26667</v>
      </c>
      <c r="I1491" s="11" t="s">
        <v>26668</v>
      </c>
      <c r="J1491" s="11" t="s">
        <v>26668</v>
      </c>
      <c r="K1491" s="9" t="s">
        <v>26669</v>
      </c>
      <c r="L1491" s="9" t="s">
        <v>17744</v>
      </c>
      <c r="M1491" s="9" t="s">
        <v>17769</v>
      </c>
      <c r="N1491" s="9" t="s">
        <v>17746</v>
      </c>
      <c r="O1491" s="9" t="s">
        <v>19470</v>
      </c>
      <c r="P1491" s="9" t="s">
        <v>17748</v>
      </c>
      <c r="Q1491" s="11" t="s">
        <v>18798</v>
      </c>
      <c r="R1491" s="11" t="s">
        <v>18798</v>
      </c>
      <c r="S1491" s="11" t="s">
        <v>17750</v>
      </c>
    </row>
    <row r="1492" spans="1:19" x14ac:dyDescent="0.2">
      <c r="A1492" s="11" t="s">
        <v>26670</v>
      </c>
      <c r="B1492" s="9" t="s">
        <v>26671</v>
      </c>
      <c r="C1492" s="9" t="s">
        <v>26672</v>
      </c>
      <c r="D1492" s="9" t="s">
        <v>26673</v>
      </c>
      <c r="E1492" s="9" t="s">
        <v>17740</v>
      </c>
      <c r="F1492" s="9" t="s">
        <v>17741</v>
      </c>
      <c r="G1492" s="9" t="s">
        <v>17740</v>
      </c>
      <c r="H1492" s="11" t="s">
        <v>4683</v>
      </c>
      <c r="I1492" s="11" t="s">
        <v>4682</v>
      </c>
      <c r="J1492" s="11" t="s">
        <v>4682</v>
      </c>
      <c r="K1492" s="9" t="s">
        <v>26674</v>
      </c>
      <c r="L1492" s="9" t="s">
        <v>17759</v>
      </c>
      <c r="M1492" s="9" t="s">
        <v>18065</v>
      </c>
      <c r="N1492" s="9" t="s">
        <v>17746</v>
      </c>
      <c r="O1492" s="9" t="s">
        <v>17834</v>
      </c>
      <c r="P1492" s="9" t="s">
        <v>17748</v>
      </c>
      <c r="Q1492" s="11" t="s">
        <v>18678</v>
      </c>
      <c r="R1492" s="11" t="s">
        <v>18678</v>
      </c>
      <c r="S1492" s="11" t="s">
        <v>17750</v>
      </c>
    </row>
    <row r="1493" spans="1:19" x14ac:dyDescent="0.2">
      <c r="A1493" s="11" t="s">
        <v>26675</v>
      </c>
      <c r="B1493" s="9" t="s">
        <v>26676</v>
      </c>
      <c r="C1493" s="9" t="s">
        <v>26677</v>
      </c>
      <c r="D1493" s="9" t="s">
        <v>26678</v>
      </c>
      <c r="E1493" s="9" t="s">
        <v>17740</v>
      </c>
      <c r="F1493" s="9" t="s">
        <v>17741</v>
      </c>
      <c r="G1493" s="9" t="s">
        <v>17740</v>
      </c>
      <c r="H1493" s="11" t="s">
        <v>8254</v>
      </c>
      <c r="I1493" s="11" t="s">
        <v>8253</v>
      </c>
      <c r="J1493" s="11" t="s">
        <v>8253</v>
      </c>
      <c r="K1493" s="9" t="s">
        <v>17758</v>
      </c>
      <c r="L1493" s="9" t="s">
        <v>17759</v>
      </c>
      <c r="M1493" s="9" t="s">
        <v>17769</v>
      </c>
      <c r="N1493" s="9" t="s">
        <v>17746</v>
      </c>
      <c r="O1493" s="9" t="s">
        <v>15733</v>
      </c>
      <c r="P1493" s="9" t="s">
        <v>17748</v>
      </c>
      <c r="Q1493" s="11" t="s">
        <v>19361</v>
      </c>
      <c r="R1493" s="11" t="s">
        <v>19361</v>
      </c>
      <c r="S1493" s="11" t="s">
        <v>17750</v>
      </c>
    </row>
    <row r="1494" spans="1:19" x14ac:dyDescent="0.2">
      <c r="A1494" s="11" t="s">
        <v>26679</v>
      </c>
      <c r="B1494" s="9" t="s">
        <v>26680</v>
      </c>
      <c r="C1494" s="9" t="s">
        <v>26681</v>
      </c>
      <c r="D1494" s="9" t="s">
        <v>26682</v>
      </c>
      <c r="E1494" s="9" t="s">
        <v>17740</v>
      </c>
      <c r="F1494" s="9" t="s">
        <v>17741</v>
      </c>
      <c r="G1494" s="9" t="s">
        <v>17740</v>
      </c>
      <c r="H1494" s="11" t="s">
        <v>5035</v>
      </c>
      <c r="I1494" s="11" t="s">
        <v>5034</v>
      </c>
      <c r="J1494" s="11" t="s">
        <v>5034</v>
      </c>
      <c r="K1494" s="9" t="s">
        <v>22907</v>
      </c>
      <c r="L1494" s="9" t="s">
        <v>17759</v>
      </c>
      <c r="M1494" s="9" t="s">
        <v>17769</v>
      </c>
      <c r="N1494" s="9" t="s">
        <v>17746</v>
      </c>
      <c r="O1494" s="9" t="s">
        <v>18534</v>
      </c>
      <c r="P1494" s="9" t="s">
        <v>17748</v>
      </c>
      <c r="Q1494" s="11" t="s">
        <v>17819</v>
      </c>
      <c r="R1494" s="11" t="s">
        <v>17819</v>
      </c>
      <c r="S1494" s="11" t="s">
        <v>17750</v>
      </c>
    </row>
    <row r="1495" spans="1:19" x14ac:dyDescent="0.2">
      <c r="A1495" s="11" t="s">
        <v>26683</v>
      </c>
      <c r="B1495" s="9" t="s">
        <v>26684</v>
      </c>
      <c r="C1495" s="9" t="s">
        <v>26685</v>
      </c>
      <c r="D1495" s="9" t="s">
        <v>26686</v>
      </c>
      <c r="E1495" s="9" t="s">
        <v>17740</v>
      </c>
      <c r="F1495" s="9" t="s">
        <v>17741</v>
      </c>
      <c r="G1495" s="9" t="s">
        <v>17740</v>
      </c>
      <c r="H1495" s="11" t="s">
        <v>5236</v>
      </c>
      <c r="I1495" s="11" t="s">
        <v>5235</v>
      </c>
      <c r="J1495" s="11" t="s">
        <v>5235</v>
      </c>
      <c r="K1495" s="9" t="s">
        <v>18661</v>
      </c>
      <c r="L1495" s="9" t="s">
        <v>17744</v>
      </c>
      <c r="M1495" s="9" t="s">
        <v>17769</v>
      </c>
      <c r="N1495" s="9" t="s">
        <v>17746</v>
      </c>
      <c r="O1495" s="9" t="s">
        <v>18762</v>
      </c>
      <c r="P1495" s="9" t="s">
        <v>17748</v>
      </c>
      <c r="Q1495" s="11" t="s">
        <v>18080</v>
      </c>
      <c r="R1495" s="11" t="s">
        <v>18080</v>
      </c>
      <c r="S1495" s="11" t="s">
        <v>17750</v>
      </c>
    </row>
    <row r="1496" spans="1:19" x14ac:dyDescent="0.2">
      <c r="A1496" s="11" t="s">
        <v>26687</v>
      </c>
      <c r="B1496" s="9" t="s">
        <v>26688</v>
      </c>
      <c r="C1496" s="9" t="s">
        <v>26689</v>
      </c>
      <c r="D1496" s="9" t="s">
        <v>26690</v>
      </c>
      <c r="E1496" s="9" t="s">
        <v>17740</v>
      </c>
      <c r="F1496" s="9" t="s">
        <v>17741</v>
      </c>
      <c r="G1496" s="9" t="s">
        <v>17740</v>
      </c>
      <c r="H1496" s="11" t="s">
        <v>26691</v>
      </c>
      <c r="I1496" s="11" t="s">
        <v>26692</v>
      </c>
      <c r="J1496" s="11" t="s">
        <v>26692</v>
      </c>
      <c r="K1496" s="9" t="s">
        <v>17758</v>
      </c>
      <c r="L1496" s="9" t="s">
        <v>17759</v>
      </c>
      <c r="M1496" s="9" t="s">
        <v>17760</v>
      </c>
      <c r="N1496" s="9" t="s">
        <v>17746</v>
      </c>
      <c r="O1496" s="9" t="s">
        <v>19013</v>
      </c>
      <c r="P1496" s="9" t="s">
        <v>17748</v>
      </c>
      <c r="Q1496" s="11" t="s">
        <v>17917</v>
      </c>
      <c r="R1496" s="11" t="s">
        <v>17917</v>
      </c>
      <c r="S1496" s="11" t="s">
        <v>17750</v>
      </c>
    </row>
    <row r="1497" spans="1:19" x14ac:dyDescent="0.2">
      <c r="A1497" s="11" t="s">
        <v>26693</v>
      </c>
      <c r="B1497" s="9" t="s">
        <v>26694</v>
      </c>
      <c r="C1497" s="9" t="s">
        <v>26695</v>
      </c>
      <c r="D1497" s="9" t="s">
        <v>26696</v>
      </c>
      <c r="E1497" s="9" t="s">
        <v>17740</v>
      </c>
      <c r="F1497" s="9" t="s">
        <v>17741</v>
      </c>
      <c r="G1497" s="9" t="s">
        <v>17740</v>
      </c>
      <c r="H1497" s="11" t="s">
        <v>5707</v>
      </c>
      <c r="I1497" s="11" t="s">
        <v>5706</v>
      </c>
      <c r="J1497" s="11" t="s">
        <v>5706</v>
      </c>
      <c r="K1497" s="9" t="s">
        <v>17758</v>
      </c>
      <c r="L1497" s="9" t="s">
        <v>17759</v>
      </c>
      <c r="M1497" s="9" t="s">
        <v>17769</v>
      </c>
      <c r="N1497" s="9" t="s">
        <v>17746</v>
      </c>
      <c r="O1497" s="9" t="s">
        <v>4025</v>
      </c>
      <c r="P1497" s="9" t="s">
        <v>17748</v>
      </c>
      <c r="Q1497" s="11" t="s">
        <v>18080</v>
      </c>
      <c r="R1497" s="11" t="s">
        <v>18080</v>
      </c>
      <c r="S1497" s="11" t="s">
        <v>17750</v>
      </c>
    </row>
    <row r="1498" spans="1:19" x14ac:dyDescent="0.2">
      <c r="A1498" s="11" t="s">
        <v>26697</v>
      </c>
      <c r="B1498" s="9" t="s">
        <v>26698</v>
      </c>
      <c r="C1498" s="9" t="s">
        <v>26699</v>
      </c>
      <c r="D1498" s="9" t="s">
        <v>26700</v>
      </c>
      <c r="E1498" s="9" t="s">
        <v>17740</v>
      </c>
      <c r="F1498" s="9" t="s">
        <v>17741</v>
      </c>
      <c r="G1498" s="9" t="s">
        <v>17740</v>
      </c>
      <c r="H1498" s="11" t="s">
        <v>26701</v>
      </c>
      <c r="I1498" s="11" t="s">
        <v>15471</v>
      </c>
      <c r="J1498" s="11" t="s">
        <v>17741</v>
      </c>
      <c r="K1498" s="9" t="s">
        <v>91</v>
      </c>
      <c r="L1498" s="9" t="s">
        <v>18001</v>
      </c>
      <c r="M1498" s="9" t="s">
        <v>18065</v>
      </c>
      <c r="N1498" s="9" t="s">
        <v>17746</v>
      </c>
      <c r="O1498" s="9" t="s">
        <v>4048</v>
      </c>
      <c r="P1498" s="9" t="s">
        <v>17748</v>
      </c>
      <c r="Q1498" s="11" t="s">
        <v>17909</v>
      </c>
      <c r="R1498" s="11" t="s">
        <v>17909</v>
      </c>
      <c r="S1498" s="11" t="s">
        <v>17750</v>
      </c>
    </row>
    <row r="1499" spans="1:19" x14ac:dyDescent="0.2">
      <c r="A1499" s="11" t="s">
        <v>26702</v>
      </c>
      <c r="B1499" s="9" t="s">
        <v>26703</v>
      </c>
      <c r="C1499" s="9" t="s">
        <v>26704</v>
      </c>
      <c r="D1499" s="9" t="s">
        <v>26705</v>
      </c>
      <c r="E1499" s="9" t="s">
        <v>17740</v>
      </c>
      <c r="F1499" s="9" t="s">
        <v>17741</v>
      </c>
      <c r="G1499" s="9" t="s">
        <v>17740</v>
      </c>
      <c r="H1499" s="11" t="s">
        <v>11102</v>
      </c>
      <c r="I1499" s="11" t="s">
        <v>11101</v>
      </c>
      <c r="J1499" s="11" t="s">
        <v>11101</v>
      </c>
      <c r="K1499" s="9" t="s">
        <v>26392</v>
      </c>
      <c r="L1499" s="9" t="s">
        <v>17759</v>
      </c>
      <c r="M1499" s="9" t="s">
        <v>17760</v>
      </c>
      <c r="N1499" s="9" t="s">
        <v>17746</v>
      </c>
      <c r="O1499" s="9" t="s">
        <v>21383</v>
      </c>
      <c r="P1499" s="9" t="s">
        <v>17748</v>
      </c>
      <c r="Q1499" s="11" t="s">
        <v>17858</v>
      </c>
      <c r="R1499" s="11" t="s">
        <v>17858</v>
      </c>
      <c r="S1499" s="11" t="s">
        <v>17750</v>
      </c>
    </row>
    <row r="1500" spans="1:19" x14ac:dyDescent="0.2">
      <c r="A1500" s="11" t="s">
        <v>26706</v>
      </c>
      <c r="B1500" s="9" t="s">
        <v>26707</v>
      </c>
      <c r="C1500" s="9" t="s">
        <v>26708</v>
      </c>
      <c r="D1500" s="9" t="s">
        <v>26709</v>
      </c>
      <c r="E1500" s="9" t="s">
        <v>17748</v>
      </c>
      <c r="F1500" s="9" t="s">
        <v>26710</v>
      </c>
      <c r="G1500" s="9" t="s">
        <v>17740</v>
      </c>
      <c r="H1500" s="11" t="s">
        <v>9745</v>
      </c>
      <c r="I1500" s="11" t="s">
        <v>9744</v>
      </c>
      <c r="J1500" s="11" t="s">
        <v>9745</v>
      </c>
      <c r="K1500" s="9" t="s">
        <v>9967</v>
      </c>
      <c r="L1500" s="9" t="s">
        <v>17759</v>
      </c>
      <c r="M1500" s="9" t="s">
        <v>17769</v>
      </c>
      <c r="N1500" s="9" t="s">
        <v>17746</v>
      </c>
      <c r="O1500" s="9" t="s">
        <v>19127</v>
      </c>
      <c r="P1500" s="9" t="s">
        <v>17748</v>
      </c>
      <c r="Q1500" s="11" t="s">
        <v>18922</v>
      </c>
      <c r="R1500" s="11" t="s">
        <v>18922</v>
      </c>
      <c r="S1500" s="11" t="s">
        <v>17750</v>
      </c>
    </row>
    <row r="1501" spans="1:19" x14ac:dyDescent="0.2">
      <c r="A1501" s="11" t="s">
        <v>26711</v>
      </c>
      <c r="B1501" s="9" t="s">
        <v>26712</v>
      </c>
      <c r="C1501" s="9" t="s">
        <v>26713</v>
      </c>
      <c r="D1501" s="9" t="s">
        <v>26714</v>
      </c>
      <c r="E1501" s="9" t="s">
        <v>17740</v>
      </c>
      <c r="F1501" s="9" t="s">
        <v>17741</v>
      </c>
      <c r="G1501" s="9" t="s">
        <v>17740</v>
      </c>
      <c r="H1501" s="11" t="s">
        <v>8697</v>
      </c>
      <c r="I1501" s="11" t="s">
        <v>8696</v>
      </c>
      <c r="J1501" s="11" t="s">
        <v>8696</v>
      </c>
      <c r="K1501" s="9" t="s">
        <v>20956</v>
      </c>
      <c r="L1501" s="9" t="s">
        <v>18001</v>
      </c>
      <c r="M1501" s="9" t="s">
        <v>18233</v>
      </c>
      <c r="N1501" s="9" t="s">
        <v>17746</v>
      </c>
      <c r="O1501" s="9" t="s">
        <v>26715</v>
      </c>
      <c r="P1501" s="9" t="s">
        <v>17748</v>
      </c>
      <c r="Q1501" s="11" t="s">
        <v>17784</v>
      </c>
      <c r="R1501" s="11" t="s">
        <v>17784</v>
      </c>
      <c r="S1501" s="11" t="s">
        <v>17750</v>
      </c>
    </row>
    <row r="1502" spans="1:19" x14ac:dyDescent="0.2">
      <c r="A1502" s="11" t="s">
        <v>26716</v>
      </c>
      <c r="B1502" s="9" t="s">
        <v>26717</v>
      </c>
      <c r="C1502" s="9" t="s">
        <v>26718</v>
      </c>
      <c r="D1502" s="9" t="s">
        <v>26719</v>
      </c>
      <c r="E1502" s="9" t="s">
        <v>17740</v>
      </c>
      <c r="F1502" s="9" t="s">
        <v>17741</v>
      </c>
      <c r="G1502" s="9" t="s">
        <v>17740</v>
      </c>
      <c r="H1502" s="11" t="s">
        <v>6749</v>
      </c>
      <c r="I1502" s="11" t="s">
        <v>6748</v>
      </c>
      <c r="J1502" s="11" t="s">
        <v>6748</v>
      </c>
      <c r="K1502" s="9" t="s">
        <v>20956</v>
      </c>
      <c r="L1502" s="9" t="s">
        <v>18001</v>
      </c>
      <c r="M1502" s="9" t="s">
        <v>26720</v>
      </c>
      <c r="N1502" s="9" t="s">
        <v>17746</v>
      </c>
      <c r="O1502" s="9" t="s">
        <v>3391</v>
      </c>
      <c r="P1502" s="9" t="s">
        <v>17748</v>
      </c>
      <c r="Q1502" s="11" t="s">
        <v>19361</v>
      </c>
      <c r="R1502" s="11" t="s">
        <v>19361</v>
      </c>
      <c r="S1502" s="11" t="s">
        <v>17750</v>
      </c>
    </row>
    <row r="1503" spans="1:19" x14ac:dyDescent="0.2">
      <c r="A1503" s="11" t="s">
        <v>26721</v>
      </c>
      <c r="B1503" s="9" t="s">
        <v>26722</v>
      </c>
      <c r="C1503" s="9" t="s">
        <v>26723</v>
      </c>
      <c r="D1503" s="9" t="s">
        <v>26724</v>
      </c>
      <c r="E1503" s="9" t="s">
        <v>17740</v>
      </c>
      <c r="F1503" s="9" t="s">
        <v>17741</v>
      </c>
      <c r="G1503" s="9" t="s">
        <v>17740</v>
      </c>
      <c r="H1503" s="11" t="s">
        <v>8235</v>
      </c>
      <c r="I1503" s="11" t="s">
        <v>8234</v>
      </c>
      <c r="J1503" s="11" t="s">
        <v>8234</v>
      </c>
      <c r="K1503" s="9" t="s">
        <v>18951</v>
      </c>
      <c r="L1503" s="9" t="s">
        <v>17759</v>
      </c>
      <c r="M1503" s="9" t="s">
        <v>17769</v>
      </c>
      <c r="N1503" s="9" t="s">
        <v>17746</v>
      </c>
      <c r="O1503" s="9" t="s">
        <v>18363</v>
      </c>
      <c r="P1503" s="9" t="s">
        <v>17748</v>
      </c>
      <c r="Q1503" s="11" t="s">
        <v>19026</v>
      </c>
      <c r="R1503" s="11" t="s">
        <v>19026</v>
      </c>
      <c r="S1503" s="11" t="s">
        <v>17750</v>
      </c>
    </row>
    <row r="1504" spans="1:19" x14ac:dyDescent="0.2">
      <c r="A1504" s="11" t="s">
        <v>26725</v>
      </c>
      <c r="B1504" s="9" t="s">
        <v>26726</v>
      </c>
      <c r="C1504" s="9" t="s">
        <v>26727</v>
      </c>
      <c r="D1504" s="9" t="s">
        <v>26728</v>
      </c>
      <c r="E1504" s="9" t="s">
        <v>17740</v>
      </c>
      <c r="F1504" s="9" t="s">
        <v>17741</v>
      </c>
      <c r="G1504" s="9" t="s">
        <v>17740</v>
      </c>
      <c r="H1504" s="11" t="s">
        <v>4161</v>
      </c>
      <c r="I1504" s="11" t="s">
        <v>4160</v>
      </c>
      <c r="J1504" s="11" t="s">
        <v>4160</v>
      </c>
      <c r="K1504" s="9" t="s">
        <v>26729</v>
      </c>
      <c r="L1504" s="9" t="s">
        <v>17759</v>
      </c>
      <c r="M1504" s="9" t="s">
        <v>17817</v>
      </c>
      <c r="N1504" s="9" t="s">
        <v>17746</v>
      </c>
      <c r="O1504" s="9" t="s">
        <v>18009</v>
      </c>
      <c r="P1504" s="9" t="s">
        <v>17748</v>
      </c>
      <c r="Q1504" s="11" t="s">
        <v>19026</v>
      </c>
      <c r="R1504" s="11" t="s">
        <v>19026</v>
      </c>
      <c r="S1504" s="11" t="s">
        <v>17750</v>
      </c>
    </row>
    <row r="1505" spans="1:19" x14ac:dyDescent="0.2">
      <c r="A1505" s="11" t="s">
        <v>26730</v>
      </c>
      <c r="B1505" s="9" t="s">
        <v>26731</v>
      </c>
      <c r="C1505" s="9" t="s">
        <v>26732</v>
      </c>
      <c r="D1505" s="9" t="s">
        <v>26733</v>
      </c>
      <c r="E1505" s="9" t="s">
        <v>17740</v>
      </c>
      <c r="F1505" s="9" t="s">
        <v>26734</v>
      </c>
      <c r="G1505" s="9" t="s">
        <v>17740</v>
      </c>
      <c r="H1505" s="11" t="s">
        <v>10862</v>
      </c>
      <c r="I1505" s="11" t="s">
        <v>10861</v>
      </c>
      <c r="J1505" s="11" t="s">
        <v>10861</v>
      </c>
      <c r="K1505" s="9" t="s">
        <v>18176</v>
      </c>
      <c r="L1505" s="9" t="s">
        <v>18123</v>
      </c>
      <c r="M1505" s="9" t="s">
        <v>17942</v>
      </c>
      <c r="N1505" s="9" t="s">
        <v>17746</v>
      </c>
      <c r="O1505" s="9" t="s">
        <v>5790</v>
      </c>
      <c r="P1505" s="9" t="s">
        <v>17748</v>
      </c>
      <c r="Q1505" s="11" t="s">
        <v>17883</v>
      </c>
      <c r="R1505" s="11" t="s">
        <v>17883</v>
      </c>
      <c r="S1505" s="11" t="s">
        <v>17750</v>
      </c>
    </row>
    <row r="1506" spans="1:19" x14ac:dyDescent="0.2">
      <c r="A1506" s="11" t="s">
        <v>26735</v>
      </c>
      <c r="B1506" s="9" t="s">
        <v>26736</v>
      </c>
      <c r="C1506" s="9" t="s">
        <v>26737</v>
      </c>
      <c r="D1506" s="9" t="s">
        <v>26738</v>
      </c>
      <c r="E1506" s="9" t="s">
        <v>17740</v>
      </c>
      <c r="F1506" s="9" t="s">
        <v>26739</v>
      </c>
      <c r="G1506" s="9" t="s">
        <v>17740</v>
      </c>
      <c r="H1506" s="11" t="s">
        <v>4164</v>
      </c>
      <c r="I1506" s="11" t="s">
        <v>4163</v>
      </c>
      <c r="J1506" s="11" t="s">
        <v>4163</v>
      </c>
      <c r="K1506" s="9" t="s">
        <v>18951</v>
      </c>
      <c r="L1506" s="9" t="s">
        <v>17759</v>
      </c>
      <c r="M1506" s="9" t="s">
        <v>17769</v>
      </c>
      <c r="N1506" s="9" t="s">
        <v>17746</v>
      </c>
      <c r="O1506" s="9" t="s">
        <v>3543</v>
      </c>
      <c r="P1506" s="9" t="s">
        <v>17748</v>
      </c>
      <c r="Q1506" s="11" t="s">
        <v>19026</v>
      </c>
      <c r="R1506" s="11" t="s">
        <v>19026</v>
      </c>
      <c r="S1506" s="11" t="s">
        <v>17750</v>
      </c>
    </row>
    <row r="1507" spans="1:19" x14ac:dyDescent="0.2">
      <c r="A1507" s="11" t="s">
        <v>26740</v>
      </c>
      <c r="B1507" s="9" t="s">
        <v>26741</v>
      </c>
      <c r="C1507" s="9" t="s">
        <v>26742</v>
      </c>
      <c r="D1507" s="9" t="s">
        <v>26743</v>
      </c>
      <c r="E1507" s="9" t="s">
        <v>17748</v>
      </c>
      <c r="F1507" s="9" t="s">
        <v>26744</v>
      </c>
      <c r="G1507" s="9" t="s">
        <v>17740</v>
      </c>
      <c r="H1507" s="11" t="s">
        <v>9437</v>
      </c>
      <c r="I1507" s="11" t="s">
        <v>9436</v>
      </c>
      <c r="J1507" s="11" t="s">
        <v>9437</v>
      </c>
      <c r="K1507" s="9" t="s">
        <v>18951</v>
      </c>
      <c r="L1507" s="9" t="s">
        <v>17759</v>
      </c>
      <c r="M1507" s="9" t="s">
        <v>26745</v>
      </c>
      <c r="N1507" s="9" t="s">
        <v>17746</v>
      </c>
      <c r="O1507" s="9" t="s">
        <v>24827</v>
      </c>
      <c r="P1507" s="9" t="s">
        <v>17748</v>
      </c>
      <c r="Q1507" s="11" t="s">
        <v>18922</v>
      </c>
      <c r="R1507" s="11" t="s">
        <v>18922</v>
      </c>
      <c r="S1507" s="11" t="s">
        <v>17750</v>
      </c>
    </row>
    <row r="1508" spans="1:19" x14ac:dyDescent="0.2">
      <c r="A1508" s="11" t="s">
        <v>26746</v>
      </c>
      <c r="B1508" s="9" t="s">
        <v>26747</v>
      </c>
      <c r="C1508" s="9" t="s">
        <v>26748</v>
      </c>
      <c r="D1508" s="9" t="s">
        <v>26749</v>
      </c>
      <c r="E1508" s="9" t="s">
        <v>17740</v>
      </c>
      <c r="F1508" s="9" t="s">
        <v>17741</v>
      </c>
      <c r="G1508" s="9" t="s">
        <v>17740</v>
      </c>
      <c r="H1508" s="11" t="s">
        <v>1269</v>
      </c>
      <c r="I1508" s="11" t="s">
        <v>1268</v>
      </c>
      <c r="J1508" s="11" t="s">
        <v>1268</v>
      </c>
      <c r="K1508" s="9" t="s">
        <v>18951</v>
      </c>
      <c r="L1508" s="9" t="s">
        <v>17759</v>
      </c>
      <c r="M1508" s="9" t="s">
        <v>17817</v>
      </c>
      <c r="N1508" s="9" t="s">
        <v>17746</v>
      </c>
      <c r="O1508" s="9" t="s">
        <v>18035</v>
      </c>
      <c r="P1508" s="9" t="s">
        <v>17748</v>
      </c>
      <c r="Q1508" s="11" t="s">
        <v>19236</v>
      </c>
      <c r="R1508" s="11" t="s">
        <v>19236</v>
      </c>
      <c r="S1508" s="11" t="s">
        <v>17750</v>
      </c>
    </row>
    <row r="1509" spans="1:19" x14ac:dyDescent="0.2">
      <c r="A1509" s="11" t="s">
        <v>26750</v>
      </c>
      <c r="B1509" s="9" t="s">
        <v>26751</v>
      </c>
      <c r="C1509" s="9" t="s">
        <v>26752</v>
      </c>
      <c r="D1509" s="9" t="s">
        <v>26753</v>
      </c>
      <c r="E1509" s="9" t="s">
        <v>17740</v>
      </c>
      <c r="F1509" s="9" t="s">
        <v>17741</v>
      </c>
      <c r="G1509" s="9" t="s">
        <v>17740</v>
      </c>
      <c r="H1509" s="11" t="s">
        <v>8709</v>
      </c>
      <c r="I1509" s="11" t="s">
        <v>8708</v>
      </c>
      <c r="J1509" s="11" t="s">
        <v>8708</v>
      </c>
      <c r="K1509" s="9" t="s">
        <v>20956</v>
      </c>
      <c r="L1509" s="9" t="s">
        <v>18001</v>
      </c>
      <c r="M1509" s="9" t="s">
        <v>17769</v>
      </c>
      <c r="N1509" s="9" t="s">
        <v>17746</v>
      </c>
      <c r="O1509" s="9" t="s">
        <v>773</v>
      </c>
      <c r="P1509" s="9" t="s">
        <v>17748</v>
      </c>
      <c r="Q1509" s="11" t="s">
        <v>17784</v>
      </c>
      <c r="R1509" s="11" t="s">
        <v>17784</v>
      </c>
      <c r="S1509" s="11" t="s">
        <v>17750</v>
      </c>
    </row>
    <row r="1510" spans="1:19" x14ac:dyDescent="0.2">
      <c r="A1510" s="11" t="s">
        <v>26754</v>
      </c>
      <c r="B1510" s="9" t="s">
        <v>26755</v>
      </c>
      <c r="C1510" s="9" t="s">
        <v>26756</v>
      </c>
      <c r="D1510" s="9" t="s">
        <v>26757</v>
      </c>
      <c r="E1510" s="9" t="s">
        <v>17740</v>
      </c>
      <c r="F1510" s="9" t="s">
        <v>17741</v>
      </c>
      <c r="G1510" s="9" t="s">
        <v>17740</v>
      </c>
      <c r="H1510" s="11" t="s">
        <v>12531</v>
      </c>
      <c r="I1510" s="11" t="s">
        <v>12530</v>
      </c>
      <c r="J1510" s="11" t="s">
        <v>12530</v>
      </c>
      <c r="K1510" s="9" t="s">
        <v>20207</v>
      </c>
      <c r="L1510" s="9" t="s">
        <v>17759</v>
      </c>
      <c r="M1510" s="9" t="s">
        <v>26758</v>
      </c>
      <c r="N1510" s="9" t="s">
        <v>17746</v>
      </c>
      <c r="O1510" s="9" t="s">
        <v>22422</v>
      </c>
      <c r="P1510" s="9" t="s">
        <v>17748</v>
      </c>
      <c r="Q1510" s="11" t="s">
        <v>17994</v>
      </c>
      <c r="R1510" s="11" t="s">
        <v>17994</v>
      </c>
      <c r="S1510" s="11" t="s">
        <v>17750</v>
      </c>
    </row>
    <row r="1511" spans="1:19" x14ac:dyDescent="0.2">
      <c r="A1511" s="11" t="s">
        <v>26759</v>
      </c>
      <c r="B1511" s="9" t="s">
        <v>26760</v>
      </c>
      <c r="C1511" s="9" t="s">
        <v>26761</v>
      </c>
      <c r="D1511" s="9" t="s">
        <v>26762</v>
      </c>
      <c r="E1511" s="9" t="s">
        <v>17740</v>
      </c>
      <c r="F1511" s="9" t="s">
        <v>17741</v>
      </c>
      <c r="G1511" s="9" t="s">
        <v>17740</v>
      </c>
      <c r="H1511" s="11" t="s">
        <v>12534</v>
      </c>
      <c r="I1511" s="11" t="s">
        <v>12533</v>
      </c>
      <c r="J1511" s="11" t="s">
        <v>12534</v>
      </c>
      <c r="K1511" s="9" t="s">
        <v>26763</v>
      </c>
      <c r="L1511" s="9" t="s">
        <v>17759</v>
      </c>
      <c r="M1511" s="9" t="s">
        <v>17741</v>
      </c>
      <c r="N1511" s="9" t="s">
        <v>17746</v>
      </c>
      <c r="O1511" s="9" t="s">
        <v>18125</v>
      </c>
      <c r="P1511" s="9" t="s">
        <v>17748</v>
      </c>
      <c r="Q1511" s="11" t="s">
        <v>18922</v>
      </c>
      <c r="R1511" s="11" t="s">
        <v>18922</v>
      </c>
      <c r="S1511" s="11" t="s">
        <v>17750</v>
      </c>
    </row>
    <row r="1512" spans="1:19" x14ac:dyDescent="0.2">
      <c r="A1512" s="11" t="s">
        <v>26764</v>
      </c>
      <c r="B1512" s="9" t="s">
        <v>26765</v>
      </c>
      <c r="C1512" s="9" t="s">
        <v>26766</v>
      </c>
      <c r="D1512" s="9" t="s">
        <v>26767</v>
      </c>
      <c r="E1512" s="9" t="s">
        <v>17740</v>
      </c>
      <c r="F1512" s="9" t="s">
        <v>17741</v>
      </c>
      <c r="G1512" s="9" t="s">
        <v>17740</v>
      </c>
      <c r="H1512" s="11" t="s">
        <v>26768</v>
      </c>
      <c r="I1512" s="11" t="s">
        <v>17741</v>
      </c>
      <c r="J1512" s="11" t="s">
        <v>26768</v>
      </c>
      <c r="K1512" s="9" t="s">
        <v>21960</v>
      </c>
      <c r="L1512" s="9" t="s">
        <v>17759</v>
      </c>
      <c r="M1512" s="9" t="s">
        <v>17760</v>
      </c>
      <c r="N1512" s="9" t="s">
        <v>17746</v>
      </c>
      <c r="O1512" s="9" t="s">
        <v>26769</v>
      </c>
      <c r="P1512" s="9" t="s">
        <v>17748</v>
      </c>
      <c r="Q1512" s="11" t="s">
        <v>17825</v>
      </c>
      <c r="R1512" s="11" t="s">
        <v>17825</v>
      </c>
      <c r="S1512" s="11" t="s">
        <v>17750</v>
      </c>
    </row>
    <row r="1513" spans="1:19" x14ac:dyDescent="0.2">
      <c r="A1513" s="11" t="s">
        <v>26770</v>
      </c>
      <c r="B1513" s="9" t="s">
        <v>26771</v>
      </c>
      <c r="C1513" s="9" t="s">
        <v>26772</v>
      </c>
      <c r="D1513" s="9" t="s">
        <v>26773</v>
      </c>
      <c r="E1513" s="9" t="s">
        <v>17740</v>
      </c>
      <c r="F1513" s="9" t="s">
        <v>17741</v>
      </c>
      <c r="G1513" s="9" t="s">
        <v>17740</v>
      </c>
      <c r="H1513" s="11" t="s">
        <v>12537</v>
      </c>
      <c r="I1513" s="11" t="s">
        <v>12536</v>
      </c>
      <c r="J1513" s="11" t="s">
        <v>12536</v>
      </c>
      <c r="K1513" s="9" t="s">
        <v>17805</v>
      </c>
      <c r="L1513" s="9" t="s">
        <v>17759</v>
      </c>
      <c r="M1513" s="9" t="s">
        <v>25980</v>
      </c>
      <c r="N1513" s="9" t="s">
        <v>17746</v>
      </c>
      <c r="O1513" s="9" t="s">
        <v>18125</v>
      </c>
      <c r="P1513" s="9" t="s">
        <v>17748</v>
      </c>
      <c r="Q1513" s="11" t="s">
        <v>18798</v>
      </c>
      <c r="R1513" s="11" t="s">
        <v>18798</v>
      </c>
      <c r="S1513" s="11" t="s">
        <v>17750</v>
      </c>
    </row>
    <row r="1514" spans="1:19" x14ac:dyDescent="0.2">
      <c r="A1514" s="11" t="s">
        <v>26774</v>
      </c>
      <c r="B1514" s="9" t="s">
        <v>26775</v>
      </c>
      <c r="C1514" s="9" t="s">
        <v>26776</v>
      </c>
      <c r="D1514" s="9" t="s">
        <v>26777</v>
      </c>
      <c r="E1514" s="9" t="s">
        <v>17740</v>
      </c>
      <c r="F1514" s="9" t="s">
        <v>17741</v>
      </c>
      <c r="G1514" s="9" t="s">
        <v>17740</v>
      </c>
      <c r="H1514" s="11" t="s">
        <v>12540</v>
      </c>
      <c r="I1514" s="11" t="s">
        <v>12539</v>
      </c>
      <c r="J1514" s="11" t="s">
        <v>12540</v>
      </c>
      <c r="K1514" s="9" t="s">
        <v>26763</v>
      </c>
      <c r="L1514" s="9" t="s">
        <v>17759</v>
      </c>
      <c r="M1514" s="9" t="s">
        <v>26758</v>
      </c>
      <c r="N1514" s="9" t="s">
        <v>17746</v>
      </c>
      <c r="O1514" s="9" t="s">
        <v>1690</v>
      </c>
      <c r="P1514" s="9" t="s">
        <v>17748</v>
      </c>
      <c r="Q1514" s="11" t="s">
        <v>18922</v>
      </c>
      <c r="R1514" s="11" t="s">
        <v>18922</v>
      </c>
      <c r="S1514" s="11" t="s">
        <v>17750</v>
      </c>
    </row>
    <row r="1515" spans="1:19" x14ac:dyDescent="0.2">
      <c r="A1515" s="11" t="s">
        <v>26778</v>
      </c>
      <c r="B1515" s="9" t="s">
        <v>26779</v>
      </c>
      <c r="C1515" s="9" t="s">
        <v>26780</v>
      </c>
      <c r="D1515" s="9" t="s">
        <v>26781</v>
      </c>
      <c r="E1515" s="9" t="s">
        <v>17740</v>
      </c>
      <c r="F1515" s="9" t="s">
        <v>17741</v>
      </c>
      <c r="G1515" s="9" t="s">
        <v>17740</v>
      </c>
      <c r="H1515" s="11" t="s">
        <v>12543</v>
      </c>
      <c r="I1515" s="11" t="s">
        <v>12542</v>
      </c>
      <c r="J1515" s="11" t="s">
        <v>12542</v>
      </c>
      <c r="K1515" s="9" t="s">
        <v>26782</v>
      </c>
      <c r="L1515" s="9" t="s">
        <v>17759</v>
      </c>
      <c r="M1515" s="9" t="s">
        <v>26783</v>
      </c>
      <c r="N1515" s="9" t="s">
        <v>17746</v>
      </c>
      <c r="O1515" s="9" t="s">
        <v>18882</v>
      </c>
      <c r="P1515" s="9" t="s">
        <v>17748</v>
      </c>
      <c r="Q1515" s="11" t="s">
        <v>18147</v>
      </c>
      <c r="R1515" s="11" t="s">
        <v>18147</v>
      </c>
      <c r="S1515" s="11" t="s">
        <v>17750</v>
      </c>
    </row>
    <row r="1516" spans="1:19" x14ac:dyDescent="0.2">
      <c r="A1516" s="11" t="s">
        <v>26784</v>
      </c>
      <c r="B1516" s="9" t="s">
        <v>26785</v>
      </c>
      <c r="C1516" s="9" t="s">
        <v>26786</v>
      </c>
      <c r="D1516" s="9" t="s">
        <v>26787</v>
      </c>
      <c r="E1516" s="9" t="s">
        <v>17740</v>
      </c>
      <c r="F1516" s="9" t="s">
        <v>17741</v>
      </c>
      <c r="G1516" s="9" t="s">
        <v>17740</v>
      </c>
      <c r="H1516" s="11" t="s">
        <v>12546</v>
      </c>
      <c r="I1516" s="11" t="s">
        <v>12545</v>
      </c>
      <c r="J1516" s="11" t="s">
        <v>17741</v>
      </c>
      <c r="K1516" s="9" t="s">
        <v>26763</v>
      </c>
      <c r="L1516" s="9" t="s">
        <v>17759</v>
      </c>
      <c r="M1516" s="9" t="s">
        <v>25980</v>
      </c>
      <c r="N1516" s="9" t="s">
        <v>17746</v>
      </c>
      <c r="O1516" s="9" t="s">
        <v>18746</v>
      </c>
      <c r="P1516" s="9" t="s">
        <v>17748</v>
      </c>
      <c r="Q1516" s="11" t="s">
        <v>17984</v>
      </c>
      <c r="R1516" s="11" t="s">
        <v>17984</v>
      </c>
      <c r="S1516" s="11" t="s">
        <v>17750</v>
      </c>
    </row>
    <row r="1517" spans="1:19" x14ac:dyDescent="0.2">
      <c r="A1517" s="11" t="s">
        <v>26788</v>
      </c>
      <c r="B1517" s="9" t="s">
        <v>26789</v>
      </c>
      <c r="C1517" s="9" t="s">
        <v>26790</v>
      </c>
      <c r="D1517" s="9" t="s">
        <v>26791</v>
      </c>
      <c r="E1517" s="9" t="s">
        <v>17740</v>
      </c>
      <c r="F1517" s="9" t="s">
        <v>17741</v>
      </c>
      <c r="G1517" s="9" t="s">
        <v>17740</v>
      </c>
      <c r="H1517" s="11" t="s">
        <v>12549</v>
      </c>
      <c r="I1517" s="11" t="s">
        <v>12548</v>
      </c>
      <c r="J1517" s="11" t="s">
        <v>12549</v>
      </c>
      <c r="K1517" s="9" t="s">
        <v>26792</v>
      </c>
      <c r="L1517" s="9" t="s">
        <v>17759</v>
      </c>
      <c r="M1517" s="9" t="s">
        <v>25980</v>
      </c>
      <c r="N1517" s="9" t="s">
        <v>17746</v>
      </c>
      <c r="O1517" s="9" t="s">
        <v>22268</v>
      </c>
      <c r="P1517" s="9" t="s">
        <v>17748</v>
      </c>
      <c r="Q1517" s="11" t="s">
        <v>18678</v>
      </c>
      <c r="R1517" s="11" t="s">
        <v>18678</v>
      </c>
      <c r="S1517" s="11" t="s">
        <v>17750</v>
      </c>
    </row>
    <row r="1518" spans="1:19" x14ac:dyDescent="0.2">
      <c r="A1518" s="11" t="s">
        <v>26793</v>
      </c>
      <c r="B1518" s="9" t="s">
        <v>26794</v>
      </c>
      <c r="C1518" s="9" t="s">
        <v>26795</v>
      </c>
      <c r="D1518" s="9" t="s">
        <v>26796</v>
      </c>
      <c r="E1518" s="9" t="s">
        <v>17740</v>
      </c>
      <c r="F1518" s="9" t="s">
        <v>17741</v>
      </c>
      <c r="G1518" s="9" t="s">
        <v>17740</v>
      </c>
      <c r="H1518" s="11" t="s">
        <v>12564</v>
      </c>
      <c r="I1518" s="11" t="s">
        <v>12563</v>
      </c>
      <c r="J1518" s="11" t="s">
        <v>12564</v>
      </c>
      <c r="K1518" s="9" t="s">
        <v>26797</v>
      </c>
      <c r="L1518" s="9" t="s">
        <v>17759</v>
      </c>
      <c r="M1518" s="9" t="s">
        <v>26758</v>
      </c>
      <c r="N1518" s="9" t="s">
        <v>17746</v>
      </c>
      <c r="O1518" s="9" t="s">
        <v>3100</v>
      </c>
      <c r="P1518" s="9" t="s">
        <v>17748</v>
      </c>
      <c r="Q1518" s="11" t="s">
        <v>18922</v>
      </c>
      <c r="R1518" s="11" t="s">
        <v>18922</v>
      </c>
      <c r="S1518" s="11" t="s">
        <v>17750</v>
      </c>
    </row>
    <row r="1519" spans="1:19" x14ac:dyDescent="0.2">
      <c r="A1519" s="11" t="s">
        <v>26798</v>
      </c>
      <c r="B1519" s="9" t="s">
        <v>26799</v>
      </c>
      <c r="C1519" s="9" t="s">
        <v>26800</v>
      </c>
      <c r="D1519" s="9" t="s">
        <v>26801</v>
      </c>
      <c r="E1519" s="9" t="s">
        <v>17740</v>
      </c>
      <c r="F1519" s="9" t="s">
        <v>17741</v>
      </c>
      <c r="G1519" s="9" t="s">
        <v>17740</v>
      </c>
      <c r="H1519" s="11" t="s">
        <v>12552</v>
      </c>
      <c r="I1519" s="11" t="s">
        <v>12551</v>
      </c>
      <c r="J1519" s="11" t="s">
        <v>12551</v>
      </c>
      <c r="K1519" s="9" t="s">
        <v>17805</v>
      </c>
      <c r="L1519" s="9" t="s">
        <v>17759</v>
      </c>
      <c r="M1519" s="9" t="s">
        <v>26758</v>
      </c>
      <c r="N1519" s="9" t="s">
        <v>17746</v>
      </c>
      <c r="O1519" s="9" t="s">
        <v>26769</v>
      </c>
      <c r="P1519" s="9" t="s">
        <v>17748</v>
      </c>
      <c r="Q1519" s="11" t="s">
        <v>17784</v>
      </c>
      <c r="R1519" s="11" t="s">
        <v>17784</v>
      </c>
      <c r="S1519" s="11" t="s">
        <v>17750</v>
      </c>
    </row>
    <row r="1520" spans="1:19" x14ac:dyDescent="0.2">
      <c r="A1520" s="11" t="s">
        <v>26802</v>
      </c>
      <c r="B1520" s="9" t="s">
        <v>26803</v>
      </c>
      <c r="C1520" s="9" t="s">
        <v>26804</v>
      </c>
      <c r="D1520" s="9" t="s">
        <v>26805</v>
      </c>
      <c r="E1520" s="9" t="s">
        <v>17740</v>
      </c>
      <c r="F1520" s="9" t="s">
        <v>17741</v>
      </c>
      <c r="G1520" s="9" t="s">
        <v>17740</v>
      </c>
      <c r="H1520" s="11" t="s">
        <v>12567</v>
      </c>
      <c r="I1520" s="11" t="s">
        <v>12566</v>
      </c>
      <c r="J1520" s="11" t="s">
        <v>12566</v>
      </c>
      <c r="K1520" s="9" t="s">
        <v>17805</v>
      </c>
      <c r="L1520" s="9" t="s">
        <v>17759</v>
      </c>
      <c r="M1520" s="9" t="s">
        <v>25980</v>
      </c>
      <c r="N1520" s="9" t="s">
        <v>17746</v>
      </c>
      <c r="O1520" s="9" t="s">
        <v>3391</v>
      </c>
      <c r="P1520" s="9" t="s">
        <v>17748</v>
      </c>
      <c r="Q1520" s="11" t="s">
        <v>18922</v>
      </c>
      <c r="R1520" s="11" t="s">
        <v>18922</v>
      </c>
      <c r="S1520" s="11" t="s">
        <v>17750</v>
      </c>
    </row>
    <row r="1521" spans="1:19" x14ac:dyDescent="0.2">
      <c r="A1521" s="11" t="s">
        <v>26806</v>
      </c>
      <c r="B1521" s="9" t="s">
        <v>26807</v>
      </c>
      <c r="C1521" s="9" t="s">
        <v>26808</v>
      </c>
      <c r="D1521" s="9" t="s">
        <v>26809</v>
      </c>
      <c r="E1521" s="9" t="s">
        <v>17740</v>
      </c>
      <c r="F1521" s="9" t="s">
        <v>17741</v>
      </c>
      <c r="G1521" s="9" t="s">
        <v>17740</v>
      </c>
      <c r="H1521" s="11" t="s">
        <v>12555</v>
      </c>
      <c r="I1521" s="11" t="s">
        <v>12554</v>
      </c>
      <c r="J1521" s="11" t="s">
        <v>12554</v>
      </c>
      <c r="K1521" s="9" t="s">
        <v>18827</v>
      </c>
      <c r="L1521" s="9" t="s">
        <v>17759</v>
      </c>
      <c r="M1521" s="9" t="s">
        <v>26758</v>
      </c>
      <c r="N1521" s="9" t="s">
        <v>17746</v>
      </c>
      <c r="O1521" s="9" t="s">
        <v>773</v>
      </c>
      <c r="P1521" s="9" t="s">
        <v>17748</v>
      </c>
      <c r="Q1521" s="11" t="s">
        <v>18922</v>
      </c>
      <c r="R1521" s="11" t="s">
        <v>18922</v>
      </c>
      <c r="S1521" s="11" t="s">
        <v>17750</v>
      </c>
    </row>
    <row r="1522" spans="1:19" x14ac:dyDescent="0.2">
      <c r="A1522" s="11" t="s">
        <v>26810</v>
      </c>
      <c r="B1522" s="9" t="s">
        <v>26811</v>
      </c>
      <c r="C1522" s="9" t="s">
        <v>26812</v>
      </c>
      <c r="D1522" s="9" t="s">
        <v>26813</v>
      </c>
      <c r="E1522" s="9" t="s">
        <v>17740</v>
      </c>
      <c r="F1522" s="9" t="s">
        <v>17741</v>
      </c>
      <c r="G1522" s="9" t="s">
        <v>17740</v>
      </c>
      <c r="H1522" s="11" t="s">
        <v>12558</v>
      </c>
      <c r="I1522" s="11" t="s">
        <v>12557</v>
      </c>
      <c r="J1522" s="11" t="s">
        <v>12558</v>
      </c>
      <c r="K1522" s="9" t="s">
        <v>20207</v>
      </c>
      <c r="L1522" s="9" t="s">
        <v>17759</v>
      </c>
      <c r="M1522" s="9" t="s">
        <v>26814</v>
      </c>
      <c r="N1522" s="9" t="s">
        <v>17746</v>
      </c>
      <c r="O1522" s="9" t="s">
        <v>18125</v>
      </c>
      <c r="P1522" s="9" t="s">
        <v>17748</v>
      </c>
      <c r="Q1522" s="11" t="s">
        <v>17917</v>
      </c>
      <c r="R1522" s="11" t="s">
        <v>17917</v>
      </c>
      <c r="S1522" s="11" t="s">
        <v>17750</v>
      </c>
    </row>
    <row r="1523" spans="1:19" x14ac:dyDescent="0.2">
      <c r="A1523" s="11" t="s">
        <v>26815</v>
      </c>
      <c r="B1523" s="9" t="s">
        <v>26816</v>
      </c>
      <c r="C1523" s="9" t="s">
        <v>26817</v>
      </c>
      <c r="D1523" s="9" t="s">
        <v>26818</v>
      </c>
      <c r="E1523" s="9" t="s">
        <v>17740</v>
      </c>
      <c r="F1523" s="9" t="s">
        <v>17741</v>
      </c>
      <c r="G1523" s="9" t="s">
        <v>17740</v>
      </c>
      <c r="H1523" s="11" t="s">
        <v>12561</v>
      </c>
      <c r="I1523" s="11" t="s">
        <v>12560</v>
      </c>
      <c r="J1523" s="11" t="s">
        <v>12560</v>
      </c>
      <c r="K1523" s="9" t="s">
        <v>25979</v>
      </c>
      <c r="L1523" s="9" t="s">
        <v>17759</v>
      </c>
      <c r="M1523" s="9" t="s">
        <v>25980</v>
      </c>
      <c r="N1523" s="9" t="s">
        <v>17746</v>
      </c>
      <c r="O1523" s="9" t="s">
        <v>4009</v>
      </c>
      <c r="P1523" s="9" t="s">
        <v>17748</v>
      </c>
      <c r="Q1523" s="11" t="s">
        <v>18356</v>
      </c>
      <c r="R1523" s="11" t="s">
        <v>18356</v>
      </c>
      <c r="S1523" s="11" t="s">
        <v>17750</v>
      </c>
    </row>
    <row r="1524" spans="1:19" x14ac:dyDescent="0.2">
      <c r="A1524" s="11" t="s">
        <v>26819</v>
      </c>
      <c r="B1524" s="9" t="s">
        <v>26820</v>
      </c>
      <c r="C1524" s="9" t="s">
        <v>26821</v>
      </c>
      <c r="D1524" s="9" t="s">
        <v>26822</v>
      </c>
      <c r="E1524" s="9" t="s">
        <v>17740</v>
      </c>
      <c r="F1524" s="9" t="s">
        <v>17741</v>
      </c>
      <c r="G1524" s="9" t="s">
        <v>17740</v>
      </c>
      <c r="H1524" s="11" t="s">
        <v>9748</v>
      </c>
      <c r="I1524" s="11" t="s">
        <v>9747</v>
      </c>
      <c r="J1524" s="11" t="s">
        <v>9747</v>
      </c>
      <c r="K1524" s="9" t="s">
        <v>26392</v>
      </c>
      <c r="L1524" s="9" t="s">
        <v>17759</v>
      </c>
      <c r="M1524" s="9" t="s">
        <v>17769</v>
      </c>
      <c r="N1524" s="9" t="s">
        <v>17746</v>
      </c>
      <c r="O1524" s="9" t="s">
        <v>17834</v>
      </c>
      <c r="P1524" s="9" t="s">
        <v>17748</v>
      </c>
      <c r="Q1524" s="11" t="s">
        <v>18356</v>
      </c>
      <c r="R1524" s="11" t="s">
        <v>18356</v>
      </c>
      <c r="S1524" s="11" t="s">
        <v>17750</v>
      </c>
    </row>
    <row r="1525" spans="1:19" x14ac:dyDescent="0.2">
      <c r="A1525" s="11" t="s">
        <v>26823</v>
      </c>
      <c r="B1525" s="9" t="s">
        <v>26824</v>
      </c>
      <c r="C1525" s="9" t="s">
        <v>26825</v>
      </c>
      <c r="D1525" s="9" t="s">
        <v>26826</v>
      </c>
      <c r="E1525" s="9" t="s">
        <v>17740</v>
      </c>
      <c r="F1525" s="9" t="s">
        <v>17741</v>
      </c>
      <c r="G1525" s="9" t="s">
        <v>17740</v>
      </c>
      <c r="H1525" s="11" t="s">
        <v>12994</v>
      </c>
      <c r="I1525" s="11" t="s">
        <v>12993</v>
      </c>
      <c r="J1525" s="11" t="s">
        <v>12993</v>
      </c>
      <c r="K1525" s="9" t="s">
        <v>20956</v>
      </c>
      <c r="L1525" s="9" t="s">
        <v>20976</v>
      </c>
      <c r="M1525" s="9" t="s">
        <v>26369</v>
      </c>
      <c r="N1525" s="9" t="s">
        <v>17746</v>
      </c>
      <c r="O1525" s="9" t="s">
        <v>26827</v>
      </c>
      <c r="P1525" s="9" t="s">
        <v>17748</v>
      </c>
      <c r="Q1525" s="11" t="s">
        <v>18370</v>
      </c>
      <c r="R1525" s="11" t="s">
        <v>18370</v>
      </c>
      <c r="S1525" s="11" t="s">
        <v>17750</v>
      </c>
    </row>
    <row r="1526" spans="1:19" x14ac:dyDescent="0.2">
      <c r="A1526" s="11" t="s">
        <v>26828</v>
      </c>
      <c r="B1526" s="9" t="s">
        <v>26829</v>
      </c>
      <c r="C1526" s="9" t="s">
        <v>26830</v>
      </c>
      <c r="D1526" s="9" t="s">
        <v>26831</v>
      </c>
      <c r="E1526" s="9" t="s">
        <v>17740</v>
      </c>
      <c r="F1526" s="9" t="s">
        <v>17741</v>
      </c>
      <c r="G1526" s="9" t="s">
        <v>17740</v>
      </c>
      <c r="H1526" s="11" t="s">
        <v>11108</v>
      </c>
      <c r="I1526" s="11" t="s">
        <v>11107</v>
      </c>
      <c r="J1526" s="11" t="s">
        <v>11107</v>
      </c>
      <c r="K1526" s="9" t="s">
        <v>26392</v>
      </c>
      <c r="L1526" s="9" t="s">
        <v>17759</v>
      </c>
      <c r="M1526" s="9" t="s">
        <v>17769</v>
      </c>
      <c r="N1526" s="9" t="s">
        <v>17746</v>
      </c>
      <c r="O1526" s="9" t="s">
        <v>18534</v>
      </c>
      <c r="P1526" s="9" t="s">
        <v>17748</v>
      </c>
      <c r="Q1526" s="11" t="s">
        <v>18356</v>
      </c>
      <c r="R1526" s="11" t="s">
        <v>18356</v>
      </c>
      <c r="S1526" s="11" t="s">
        <v>17750</v>
      </c>
    </row>
    <row r="1527" spans="1:19" x14ac:dyDescent="0.2">
      <c r="A1527" s="11" t="s">
        <v>26832</v>
      </c>
      <c r="B1527" s="9" t="s">
        <v>26833</v>
      </c>
      <c r="C1527" s="9" t="s">
        <v>26834</v>
      </c>
      <c r="D1527" s="9" t="s">
        <v>26835</v>
      </c>
      <c r="E1527" s="9" t="s">
        <v>17740</v>
      </c>
      <c r="F1527" s="9" t="s">
        <v>17741</v>
      </c>
      <c r="G1527" s="9" t="s">
        <v>17740</v>
      </c>
      <c r="H1527" s="11" t="s">
        <v>11111</v>
      </c>
      <c r="I1527" s="11" t="s">
        <v>11110</v>
      </c>
      <c r="J1527" s="11" t="s">
        <v>11110</v>
      </c>
      <c r="K1527" s="9" t="s">
        <v>9967</v>
      </c>
      <c r="L1527" s="9" t="s">
        <v>17759</v>
      </c>
      <c r="M1527" s="9" t="s">
        <v>17769</v>
      </c>
      <c r="N1527" s="9" t="s">
        <v>17746</v>
      </c>
      <c r="O1527" s="9" t="s">
        <v>19939</v>
      </c>
      <c r="P1527" s="9" t="s">
        <v>17748</v>
      </c>
      <c r="Q1527" s="11" t="s">
        <v>17994</v>
      </c>
      <c r="R1527" s="11" t="s">
        <v>17994</v>
      </c>
      <c r="S1527" s="11" t="s">
        <v>17750</v>
      </c>
    </row>
    <row r="1528" spans="1:19" x14ac:dyDescent="0.2">
      <c r="A1528" s="11" t="s">
        <v>26836</v>
      </c>
      <c r="B1528" s="9" t="s">
        <v>26837</v>
      </c>
      <c r="C1528" s="9" t="s">
        <v>26838</v>
      </c>
      <c r="D1528" s="9" t="s">
        <v>26839</v>
      </c>
      <c r="E1528" s="9" t="s">
        <v>17740</v>
      </c>
      <c r="F1528" s="9" t="s">
        <v>17741</v>
      </c>
      <c r="G1528" s="9" t="s">
        <v>17740</v>
      </c>
      <c r="H1528" s="11" t="s">
        <v>17741</v>
      </c>
      <c r="I1528" s="11" t="s">
        <v>11823</v>
      </c>
      <c r="J1528" s="11" t="s">
        <v>17741</v>
      </c>
      <c r="K1528" s="9" t="s">
        <v>20956</v>
      </c>
      <c r="L1528" s="9" t="s">
        <v>20976</v>
      </c>
      <c r="M1528" s="9" t="s">
        <v>17992</v>
      </c>
      <c r="N1528" s="9" t="s">
        <v>17746</v>
      </c>
      <c r="O1528" s="9" t="s">
        <v>26840</v>
      </c>
      <c r="P1528" s="9" t="s">
        <v>17748</v>
      </c>
      <c r="Q1528" s="11" t="s">
        <v>17762</v>
      </c>
      <c r="R1528" s="11" t="s">
        <v>17762</v>
      </c>
      <c r="S1528" s="11" t="s">
        <v>17750</v>
      </c>
    </row>
    <row r="1529" spans="1:19" x14ac:dyDescent="0.2">
      <c r="A1529" s="11" t="s">
        <v>26841</v>
      </c>
      <c r="B1529" s="9" t="s">
        <v>26842</v>
      </c>
      <c r="C1529" s="9" t="s">
        <v>26843</v>
      </c>
      <c r="D1529" s="9" t="s">
        <v>26844</v>
      </c>
      <c r="E1529" s="9" t="s">
        <v>17740</v>
      </c>
      <c r="F1529" s="9" t="s">
        <v>17741</v>
      </c>
      <c r="G1529" s="9" t="s">
        <v>17740</v>
      </c>
      <c r="H1529" s="11" t="s">
        <v>16122</v>
      </c>
      <c r="I1529" s="11" t="s">
        <v>16121</v>
      </c>
      <c r="J1529" s="11" t="s">
        <v>16121</v>
      </c>
      <c r="K1529" s="9" t="s">
        <v>17783</v>
      </c>
      <c r="L1529" s="9" t="s">
        <v>18158</v>
      </c>
      <c r="M1529" s="9" t="s">
        <v>17741</v>
      </c>
      <c r="N1529" s="9" t="s">
        <v>17746</v>
      </c>
      <c r="O1529" s="9" t="s">
        <v>22096</v>
      </c>
      <c r="P1529" s="9" t="s">
        <v>17748</v>
      </c>
      <c r="Q1529" s="11" t="s">
        <v>17825</v>
      </c>
      <c r="R1529" s="11" t="s">
        <v>17825</v>
      </c>
      <c r="S1529" s="11" t="s">
        <v>17750</v>
      </c>
    </row>
    <row r="1530" spans="1:19" x14ac:dyDescent="0.2">
      <c r="A1530" s="11" t="s">
        <v>26845</v>
      </c>
      <c r="B1530" s="9" t="s">
        <v>26846</v>
      </c>
      <c r="C1530" s="9" t="s">
        <v>26847</v>
      </c>
      <c r="D1530" s="9" t="s">
        <v>26848</v>
      </c>
      <c r="E1530" s="9" t="s">
        <v>17740</v>
      </c>
      <c r="F1530" s="9" t="s">
        <v>17741</v>
      </c>
      <c r="G1530" s="9" t="s">
        <v>17740</v>
      </c>
      <c r="H1530" s="11" t="s">
        <v>26849</v>
      </c>
      <c r="I1530" s="11" t="s">
        <v>26850</v>
      </c>
      <c r="J1530" s="11" t="s">
        <v>26850</v>
      </c>
      <c r="K1530" s="9" t="s">
        <v>91</v>
      </c>
      <c r="L1530" s="9" t="s">
        <v>17759</v>
      </c>
      <c r="M1530" s="9" t="s">
        <v>26851</v>
      </c>
      <c r="N1530" s="9" t="s">
        <v>17746</v>
      </c>
      <c r="O1530" s="9" t="s">
        <v>22985</v>
      </c>
      <c r="P1530" s="9" t="s">
        <v>17748</v>
      </c>
      <c r="Q1530" s="11" t="s">
        <v>20251</v>
      </c>
      <c r="R1530" s="11" t="s">
        <v>20251</v>
      </c>
      <c r="S1530" s="11" t="s">
        <v>17750</v>
      </c>
    </row>
    <row r="1531" spans="1:19" x14ac:dyDescent="0.2">
      <c r="A1531" s="11" t="s">
        <v>26852</v>
      </c>
      <c r="B1531" s="9" t="s">
        <v>26853</v>
      </c>
      <c r="C1531" s="9" t="s">
        <v>26854</v>
      </c>
      <c r="D1531" s="9" t="s">
        <v>26855</v>
      </c>
      <c r="E1531" s="9" t="s">
        <v>17740</v>
      </c>
      <c r="F1531" s="9" t="s">
        <v>17741</v>
      </c>
      <c r="G1531" s="9" t="s">
        <v>17740</v>
      </c>
      <c r="H1531" s="11" t="s">
        <v>9789</v>
      </c>
      <c r="I1531" s="11" t="s">
        <v>9788</v>
      </c>
      <c r="J1531" s="11" t="s">
        <v>9788</v>
      </c>
      <c r="K1531" s="9" t="s">
        <v>20956</v>
      </c>
      <c r="L1531" s="9" t="s">
        <v>18001</v>
      </c>
      <c r="M1531" s="9" t="s">
        <v>24505</v>
      </c>
      <c r="N1531" s="9" t="s">
        <v>17746</v>
      </c>
      <c r="O1531" s="9" t="s">
        <v>17882</v>
      </c>
      <c r="P1531" s="9" t="s">
        <v>17748</v>
      </c>
      <c r="Q1531" s="11" t="s">
        <v>18922</v>
      </c>
      <c r="R1531" s="11" t="s">
        <v>18922</v>
      </c>
      <c r="S1531" s="11" t="s">
        <v>17750</v>
      </c>
    </row>
    <row r="1532" spans="1:19" x14ac:dyDescent="0.2">
      <c r="A1532" s="11" t="s">
        <v>26856</v>
      </c>
      <c r="B1532" s="9" t="s">
        <v>26857</v>
      </c>
      <c r="C1532" s="9" t="s">
        <v>26858</v>
      </c>
      <c r="D1532" s="9" t="s">
        <v>26859</v>
      </c>
      <c r="E1532" s="9" t="s">
        <v>17740</v>
      </c>
      <c r="F1532" s="9" t="s">
        <v>26860</v>
      </c>
      <c r="G1532" s="9" t="s">
        <v>17740</v>
      </c>
      <c r="H1532" s="11" t="s">
        <v>17741</v>
      </c>
      <c r="I1532" s="11" t="s">
        <v>26861</v>
      </c>
      <c r="J1532" s="11" t="s">
        <v>26861</v>
      </c>
      <c r="K1532" s="9" t="s">
        <v>601</v>
      </c>
      <c r="L1532" s="9" t="s">
        <v>17759</v>
      </c>
      <c r="M1532" s="9" t="s">
        <v>17942</v>
      </c>
      <c r="N1532" s="9" t="s">
        <v>17746</v>
      </c>
      <c r="O1532" s="9" t="s">
        <v>22302</v>
      </c>
      <c r="P1532" s="9" t="s">
        <v>17748</v>
      </c>
      <c r="Q1532" s="11" t="s">
        <v>18080</v>
      </c>
      <c r="R1532" s="11" t="s">
        <v>18080</v>
      </c>
      <c r="S1532" s="11" t="s">
        <v>17750</v>
      </c>
    </row>
    <row r="1533" spans="1:19" x14ac:dyDescent="0.2">
      <c r="A1533" s="11" t="s">
        <v>26862</v>
      </c>
      <c r="B1533" s="9" t="s">
        <v>26863</v>
      </c>
      <c r="C1533" s="9" t="s">
        <v>26864</v>
      </c>
      <c r="D1533" s="9" t="s">
        <v>26865</v>
      </c>
      <c r="E1533" s="9" t="s">
        <v>17740</v>
      </c>
      <c r="F1533" s="9" t="s">
        <v>26866</v>
      </c>
      <c r="G1533" s="9" t="s">
        <v>17740</v>
      </c>
      <c r="H1533" s="11" t="s">
        <v>17741</v>
      </c>
      <c r="I1533" s="11" t="s">
        <v>4802</v>
      </c>
      <c r="J1533" s="11" t="s">
        <v>4802</v>
      </c>
      <c r="K1533" s="9" t="s">
        <v>167</v>
      </c>
      <c r="L1533" s="9" t="s">
        <v>18158</v>
      </c>
      <c r="M1533" s="9" t="s">
        <v>17992</v>
      </c>
      <c r="N1533" s="9" t="s">
        <v>17746</v>
      </c>
      <c r="O1533" s="9" t="s">
        <v>18264</v>
      </c>
      <c r="P1533" s="9" t="s">
        <v>17748</v>
      </c>
      <c r="Q1533" s="11" t="s">
        <v>18813</v>
      </c>
      <c r="R1533" s="11" t="s">
        <v>18813</v>
      </c>
      <c r="S1533" s="11" t="s">
        <v>17750</v>
      </c>
    </row>
    <row r="1534" spans="1:19" x14ac:dyDescent="0.2">
      <c r="A1534" s="11" t="s">
        <v>26867</v>
      </c>
      <c r="B1534" s="9" t="s">
        <v>26868</v>
      </c>
      <c r="C1534" s="9" t="s">
        <v>26869</v>
      </c>
      <c r="D1534" s="9" t="s">
        <v>26870</v>
      </c>
      <c r="E1534" s="9" t="s">
        <v>17740</v>
      </c>
      <c r="F1534" s="9" t="s">
        <v>17741</v>
      </c>
      <c r="G1534" s="9" t="s">
        <v>17740</v>
      </c>
      <c r="H1534" s="11" t="s">
        <v>9963</v>
      </c>
      <c r="I1534" s="11" t="s">
        <v>9962</v>
      </c>
      <c r="J1534" s="11" t="s">
        <v>9963</v>
      </c>
      <c r="K1534" s="9" t="s">
        <v>26504</v>
      </c>
      <c r="L1534" s="9" t="s">
        <v>17759</v>
      </c>
      <c r="M1534" s="9" t="s">
        <v>17769</v>
      </c>
      <c r="N1534" s="9" t="s">
        <v>17746</v>
      </c>
      <c r="O1534" s="9" t="s">
        <v>18363</v>
      </c>
      <c r="P1534" s="9" t="s">
        <v>17748</v>
      </c>
      <c r="Q1534" s="11" t="s">
        <v>17784</v>
      </c>
      <c r="R1534" s="11" t="s">
        <v>17784</v>
      </c>
      <c r="S1534" s="11" t="s">
        <v>17750</v>
      </c>
    </row>
    <row r="1535" spans="1:19" x14ac:dyDescent="0.2">
      <c r="A1535" s="11" t="s">
        <v>26871</v>
      </c>
      <c r="B1535" s="9" t="s">
        <v>26872</v>
      </c>
      <c r="C1535" s="9" t="s">
        <v>26873</v>
      </c>
      <c r="D1535" s="9" t="s">
        <v>26874</v>
      </c>
      <c r="E1535" s="9" t="s">
        <v>17740</v>
      </c>
      <c r="F1535" s="9" t="s">
        <v>17741</v>
      </c>
      <c r="G1535" s="9" t="s">
        <v>17740</v>
      </c>
      <c r="H1535" s="11" t="s">
        <v>11114</v>
      </c>
      <c r="I1535" s="11" t="s">
        <v>11113</v>
      </c>
      <c r="J1535" s="11" t="s">
        <v>11113</v>
      </c>
      <c r="K1535" s="9" t="s">
        <v>26392</v>
      </c>
      <c r="L1535" s="9" t="s">
        <v>17759</v>
      </c>
      <c r="M1535" s="9" t="s">
        <v>17769</v>
      </c>
      <c r="N1535" s="9" t="s">
        <v>17746</v>
      </c>
      <c r="O1535" s="9" t="s">
        <v>4025</v>
      </c>
      <c r="P1535" s="9" t="s">
        <v>17748</v>
      </c>
      <c r="Q1535" s="11" t="s">
        <v>17784</v>
      </c>
      <c r="R1535" s="11" t="s">
        <v>17784</v>
      </c>
      <c r="S1535" s="11" t="s">
        <v>17750</v>
      </c>
    </row>
    <row r="1536" spans="1:19" x14ac:dyDescent="0.2">
      <c r="A1536" s="11" t="s">
        <v>26875</v>
      </c>
      <c r="B1536" s="9" t="s">
        <v>26876</v>
      </c>
      <c r="C1536" s="9" t="s">
        <v>26877</v>
      </c>
      <c r="D1536" s="9" t="s">
        <v>26878</v>
      </c>
      <c r="E1536" s="9" t="s">
        <v>17740</v>
      </c>
      <c r="F1536" s="9" t="s">
        <v>17741</v>
      </c>
      <c r="G1536" s="9" t="s">
        <v>17740</v>
      </c>
      <c r="H1536" s="11" t="s">
        <v>9783</v>
      </c>
      <c r="I1536" s="11" t="s">
        <v>9782</v>
      </c>
      <c r="J1536" s="11" t="s">
        <v>9782</v>
      </c>
      <c r="K1536" s="9" t="s">
        <v>20956</v>
      </c>
      <c r="L1536" s="9" t="s">
        <v>20976</v>
      </c>
      <c r="M1536" s="9" t="s">
        <v>17992</v>
      </c>
      <c r="N1536" s="9" t="s">
        <v>17746</v>
      </c>
      <c r="O1536" s="9" t="s">
        <v>26879</v>
      </c>
      <c r="P1536" s="9" t="s">
        <v>17748</v>
      </c>
      <c r="Q1536" s="11" t="s">
        <v>17858</v>
      </c>
      <c r="R1536" s="11" t="s">
        <v>17858</v>
      </c>
      <c r="S1536" s="11" t="s">
        <v>17750</v>
      </c>
    </row>
    <row r="1537" spans="1:19" x14ac:dyDescent="0.2">
      <c r="A1537" s="11" t="s">
        <v>26880</v>
      </c>
      <c r="B1537" s="9" t="s">
        <v>26881</v>
      </c>
      <c r="C1537" s="9" t="s">
        <v>26882</v>
      </c>
      <c r="D1537" s="9" t="s">
        <v>26883</v>
      </c>
      <c r="E1537" s="9" t="s">
        <v>17740</v>
      </c>
      <c r="F1537" s="9" t="s">
        <v>26884</v>
      </c>
      <c r="G1537" s="9" t="s">
        <v>17740</v>
      </c>
      <c r="H1537" s="11" t="s">
        <v>10778</v>
      </c>
      <c r="I1537" s="11" t="s">
        <v>10777</v>
      </c>
      <c r="J1537" s="11" t="s">
        <v>10777</v>
      </c>
      <c r="K1537" s="9" t="s">
        <v>291</v>
      </c>
      <c r="L1537" s="9" t="s">
        <v>17744</v>
      </c>
      <c r="M1537" s="9" t="s">
        <v>17760</v>
      </c>
      <c r="N1537" s="9" t="s">
        <v>17746</v>
      </c>
      <c r="O1537" s="9" t="s">
        <v>26885</v>
      </c>
      <c r="P1537" s="9" t="s">
        <v>17748</v>
      </c>
      <c r="Q1537" s="11" t="s">
        <v>17984</v>
      </c>
      <c r="R1537" s="11" t="s">
        <v>17984</v>
      </c>
      <c r="S1537" s="11" t="s">
        <v>17750</v>
      </c>
    </row>
    <row r="1538" spans="1:19" x14ac:dyDescent="0.2">
      <c r="A1538" s="11" t="s">
        <v>26886</v>
      </c>
      <c r="B1538" s="9" t="s">
        <v>26887</v>
      </c>
      <c r="C1538" s="9" t="s">
        <v>26888</v>
      </c>
      <c r="D1538" s="9" t="s">
        <v>26887</v>
      </c>
      <c r="E1538" s="9" t="s">
        <v>17740</v>
      </c>
      <c r="F1538" s="9" t="s">
        <v>17741</v>
      </c>
      <c r="G1538" s="9" t="s">
        <v>17740</v>
      </c>
      <c r="H1538" s="11" t="s">
        <v>26889</v>
      </c>
      <c r="I1538" s="11" t="s">
        <v>26890</v>
      </c>
      <c r="J1538" s="11" t="s">
        <v>26890</v>
      </c>
      <c r="K1538" s="9" t="s">
        <v>20513</v>
      </c>
      <c r="L1538" s="9" t="s">
        <v>17759</v>
      </c>
      <c r="M1538" s="9" t="s">
        <v>17817</v>
      </c>
      <c r="N1538" s="9" t="s">
        <v>17746</v>
      </c>
      <c r="O1538" s="9" t="s">
        <v>5790</v>
      </c>
      <c r="P1538" s="9" t="s">
        <v>17748</v>
      </c>
      <c r="Q1538" s="11" t="s">
        <v>18072</v>
      </c>
      <c r="R1538" s="11" t="s">
        <v>18072</v>
      </c>
      <c r="S1538" s="11" t="s">
        <v>17750</v>
      </c>
    </row>
    <row r="1539" spans="1:19" x14ac:dyDescent="0.2">
      <c r="A1539" s="11" t="s">
        <v>26891</v>
      </c>
      <c r="B1539" s="9" t="s">
        <v>26892</v>
      </c>
      <c r="C1539" s="9" t="s">
        <v>26893</v>
      </c>
      <c r="D1539" s="9" t="s">
        <v>26894</v>
      </c>
      <c r="E1539" s="9" t="s">
        <v>17748</v>
      </c>
      <c r="F1539" s="9" t="s">
        <v>26895</v>
      </c>
      <c r="G1539" s="9" t="s">
        <v>17740</v>
      </c>
      <c r="H1539" s="11" t="s">
        <v>26896</v>
      </c>
      <c r="I1539" s="11" t="s">
        <v>26897</v>
      </c>
      <c r="J1539" s="11" t="s">
        <v>17741</v>
      </c>
      <c r="K1539" s="9" t="s">
        <v>19180</v>
      </c>
      <c r="L1539" s="9" t="s">
        <v>17759</v>
      </c>
      <c r="M1539" s="9" t="s">
        <v>17769</v>
      </c>
      <c r="N1539" s="9" t="s">
        <v>17746</v>
      </c>
      <c r="O1539" s="9" t="s">
        <v>21020</v>
      </c>
      <c r="P1539" s="9" t="s">
        <v>17748</v>
      </c>
      <c r="Q1539" s="11" t="s">
        <v>17900</v>
      </c>
      <c r="R1539" s="11" t="s">
        <v>17900</v>
      </c>
      <c r="S1539" s="11" t="s">
        <v>17750</v>
      </c>
    </row>
    <row r="1540" spans="1:19" x14ac:dyDescent="0.2">
      <c r="A1540" s="11" t="s">
        <v>26898</v>
      </c>
      <c r="B1540" s="9" t="s">
        <v>26899</v>
      </c>
      <c r="C1540" s="9" t="s">
        <v>26900</v>
      </c>
      <c r="D1540" s="9" t="s">
        <v>26901</v>
      </c>
      <c r="E1540" s="9" t="s">
        <v>17748</v>
      </c>
      <c r="F1540" s="9" t="s">
        <v>26902</v>
      </c>
      <c r="G1540" s="9" t="s">
        <v>17740</v>
      </c>
      <c r="H1540" s="11" t="s">
        <v>9896</v>
      </c>
      <c r="I1540" s="11" t="s">
        <v>9895</v>
      </c>
      <c r="J1540" s="11" t="s">
        <v>9895</v>
      </c>
      <c r="K1540" s="9" t="s">
        <v>22922</v>
      </c>
      <c r="L1540" s="9" t="s">
        <v>18123</v>
      </c>
      <c r="M1540" s="9" t="s">
        <v>18812</v>
      </c>
      <c r="N1540" s="9" t="s">
        <v>17746</v>
      </c>
      <c r="O1540" s="9" t="s">
        <v>1690</v>
      </c>
      <c r="P1540" s="9" t="s">
        <v>17748</v>
      </c>
      <c r="Q1540" s="11" t="s">
        <v>17994</v>
      </c>
      <c r="R1540" s="11" t="s">
        <v>17994</v>
      </c>
      <c r="S1540" s="11" t="s">
        <v>17750</v>
      </c>
    </row>
    <row r="1541" spans="1:19" x14ac:dyDescent="0.2">
      <c r="A1541" s="11" t="s">
        <v>26903</v>
      </c>
      <c r="B1541" s="9" t="s">
        <v>5315</v>
      </c>
      <c r="C1541" s="9" t="s">
        <v>26904</v>
      </c>
      <c r="D1541" s="9" t="s">
        <v>5315</v>
      </c>
      <c r="E1541" s="9" t="s">
        <v>17740</v>
      </c>
      <c r="F1541" s="9" t="s">
        <v>17741</v>
      </c>
      <c r="G1541" s="9" t="s">
        <v>17740</v>
      </c>
      <c r="H1541" s="11" t="s">
        <v>5317</v>
      </c>
      <c r="I1541" s="11" t="s">
        <v>5316</v>
      </c>
      <c r="J1541" s="11" t="s">
        <v>5316</v>
      </c>
      <c r="K1541" s="9" t="s">
        <v>601</v>
      </c>
      <c r="L1541" s="9" t="s">
        <v>17759</v>
      </c>
      <c r="M1541" s="9" t="s">
        <v>17817</v>
      </c>
      <c r="N1541" s="9" t="s">
        <v>17746</v>
      </c>
      <c r="O1541" s="9" t="s">
        <v>18882</v>
      </c>
      <c r="P1541" s="9" t="s">
        <v>17748</v>
      </c>
      <c r="Q1541" s="11" t="s">
        <v>17819</v>
      </c>
      <c r="R1541" s="11" t="s">
        <v>17819</v>
      </c>
      <c r="S1541" s="11" t="s">
        <v>17750</v>
      </c>
    </row>
    <row r="1542" spans="1:19" x14ac:dyDescent="0.2">
      <c r="A1542" s="11" t="s">
        <v>26905</v>
      </c>
      <c r="B1542" s="9" t="s">
        <v>26906</v>
      </c>
      <c r="C1542" s="9" t="s">
        <v>26907</v>
      </c>
      <c r="D1542" s="9" t="s">
        <v>26908</v>
      </c>
      <c r="E1542" s="9" t="s">
        <v>17748</v>
      </c>
      <c r="F1542" s="9" t="s">
        <v>26909</v>
      </c>
      <c r="G1542" s="9" t="s">
        <v>17740</v>
      </c>
      <c r="H1542" s="11" t="s">
        <v>7007</v>
      </c>
      <c r="I1542" s="11" t="s">
        <v>7006</v>
      </c>
      <c r="J1542" s="11" t="s">
        <v>7006</v>
      </c>
      <c r="K1542" s="9" t="s">
        <v>18661</v>
      </c>
      <c r="L1542" s="9" t="s">
        <v>17744</v>
      </c>
      <c r="M1542" s="9" t="s">
        <v>22360</v>
      </c>
      <c r="N1542" s="9" t="s">
        <v>17746</v>
      </c>
      <c r="O1542" s="9" t="s">
        <v>24681</v>
      </c>
      <c r="P1542" s="9" t="s">
        <v>17748</v>
      </c>
      <c r="Q1542" s="11" t="s">
        <v>18201</v>
      </c>
      <c r="R1542" s="11" t="s">
        <v>18201</v>
      </c>
      <c r="S1542" s="11" t="s">
        <v>17750</v>
      </c>
    </row>
    <row r="1543" spans="1:19" x14ac:dyDescent="0.2">
      <c r="A1543" s="11" t="s">
        <v>26910</v>
      </c>
      <c r="B1543" s="9" t="s">
        <v>26911</v>
      </c>
      <c r="C1543" s="9" t="s">
        <v>26912</v>
      </c>
      <c r="D1543" s="9" t="s">
        <v>26913</v>
      </c>
      <c r="E1543" s="9" t="s">
        <v>17748</v>
      </c>
      <c r="F1543" s="9" t="s">
        <v>26914</v>
      </c>
      <c r="G1543" s="9" t="s">
        <v>17740</v>
      </c>
      <c r="H1543" s="11" t="s">
        <v>26915</v>
      </c>
      <c r="I1543" s="11" t="s">
        <v>26916</v>
      </c>
      <c r="J1543" s="11" t="s">
        <v>26916</v>
      </c>
      <c r="K1543" s="9" t="s">
        <v>19094</v>
      </c>
      <c r="L1543" s="9" t="s">
        <v>17759</v>
      </c>
      <c r="M1543" s="9" t="s">
        <v>17817</v>
      </c>
      <c r="N1543" s="9" t="s">
        <v>17746</v>
      </c>
      <c r="O1543" s="9" t="s">
        <v>18125</v>
      </c>
      <c r="P1543" s="9" t="s">
        <v>17748</v>
      </c>
      <c r="Q1543" s="11" t="s">
        <v>17858</v>
      </c>
      <c r="R1543" s="11" t="s">
        <v>17858</v>
      </c>
      <c r="S1543" s="11" t="s">
        <v>17750</v>
      </c>
    </row>
    <row r="1544" spans="1:19" x14ac:dyDescent="0.2">
      <c r="A1544" s="11" t="s">
        <v>26917</v>
      </c>
      <c r="B1544" s="9" t="s">
        <v>26918</v>
      </c>
      <c r="C1544" s="9" t="s">
        <v>26919</v>
      </c>
      <c r="D1544" s="9" t="s">
        <v>26920</v>
      </c>
      <c r="E1544" s="9" t="s">
        <v>17748</v>
      </c>
      <c r="F1544" s="9" t="s">
        <v>26914</v>
      </c>
      <c r="G1544" s="9" t="s">
        <v>17740</v>
      </c>
      <c r="H1544" s="11" t="s">
        <v>9840</v>
      </c>
      <c r="I1544" s="11" t="s">
        <v>9839</v>
      </c>
      <c r="J1544" s="11" t="s">
        <v>9839</v>
      </c>
      <c r="K1544" s="9" t="s">
        <v>19094</v>
      </c>
      <c r="L1544" s="9" t="s">
        <v>17759</v>
      </c>
      <c r="M1544" s="9" t="s">
        <v>17769</v>
      </c>
      <c r="N1544" s="9" t="s">
        <v>17746</v>
      </c>
      <c r="O1544" s="9" t="s">
        <v>18125</v>
      </c>
      <c r="P1544" s="9" t="s">
        <v>17748</v>
      </c>
      <c r="Q1544" s="11" t="s">
        <v>17858</v>
      </c>
      <c r="R1544" s="11" t="s">
        <v>17858</v>
      </c>
      <c r="S1544" s="11" t="s">
        <v>17750</v>
      </c>
    </row>
    <row r="1545" spans="1:19" x14ac:dyDescent="0.2">
      <c r="A1545" s="11" t="s">
        <v>26921</v>
      </c>
      <c r="B1545" s="9" t="s">
        <v>26922</v>
      </c>
      <c r="C1545" s="9" t="s">
        <v>26923</v>
      </c>
      <c r="D1545" s="9" t="s">
        <v>5090</v>
      </c>
      <c r="E1545" s="9" t="s">
        <v>17740</v>
      </c>
      <c r="F1545" s="9" t="s">
        <v>17741</v>
      </c>
      <c r="G1545" s="9" t="s">
        <v>17740</v>
      </c>
      <c r="H1545" s="11" t="s">
        <v>5092</v>
      </c>
      <c r="I1545" s="11" t="s">
        <v>5091</v>
      </c>
      <c r="J1545" s="11" t="s">
        <v>5091</v>
      </c>
      <c r="K1545" s="9" t="s">
        <v>23527</v>
      </c>
      <c r="L1545" s="9" t="s">
        <v>17744</v>
      </c>
      <c r="M1545" s="9" t="s">
        <v>17769</v>
      </c>
      <c r="N1545" s="9" t="s">
        <v>17746</v>
      </c>
      <c r="O1545" s="9" t="s">
        <v>26924</v>
      </c>
      <c r="P1545" s="9" t="s">
        <v>17748</v>
      </c>
      <c r="Q1545" s="11" t="s">
        <v>17749</v>
      </c>
      <c r="R1545" s="11" t="s">
        <v>17749</v>
      </c>
      <c r="S1545" s="11" t="s">
        <v>17750</v>
      </c>
    </row>
    <row r="1546" spans="1:19" x14ac:dyDescent="0.2">
      <c r="A1546" s="11" t="s">
        <v>26925</v>
      </c>
      <c r="B1546" s="9" t="s">
        <v>26926</v>
      </c>
      <c r="C1546" s="9" t="s">
        <v>26927</v>
      </c>
      <c r="D1546" s="9" t="s">
        <v>26928</v>
      </c>
      <c r="E1546" s="9" t="s">
        <v>17748</v>
      </c>
      <c r="F1546" s="9" t="s">
        <v>26929</v>
      </c>
      <c r="G1546" s="9" t="s">
        <v>17740</v>
      </c>
      <c r="H1546" s="11" t="s">
        <v>13889</v>
      </c>
      <c r="I1546" s="11" t="s">
        <v>13888</v>
      </c>
      <c r="J1546" s="11" t="s">
        <v>17741</v>
      </c>
      <c r="K1546" s="9" t="s">
        <v>19094</v>
      </c>
      <c r="L1546" s="9" t="s">
        <v>17759</v>
      </c>
      <c r="M1546" s="9" t="s">
        <v>17817</v>
      </c>
      <c r="N1546" s="9" t="s">
        <v>17746</v>
      </c>
      <c r="O1546" s="9" t="s">
        <v>18125</v>
      </c>
      <c r="P1546" s="9" t="s">
        <v>17748</v>
      </c>
      <c r="Q1546" s="11" t="s">
        <v>17900</v>
      </c>
      <c r="R1546" s="11" t="s">
        <v>17900</v>
      </c>
      <c r="S1546" s="11" t="s">
        <v>17750</v>
      </c>
    </row>
    <row r="1547" spans="1:19" x14ac:dyDescent="0.2">
      <c r="A1547" s="11" t="s">
        <v>26930</v>
      </c>
      <c r="B1547" s="9" t="s">
        <v>8213</v>
      </c>
      <c r="C1547" s="9" t="s">
        <v>26931</v>
      </c>
      <c r="D1547" s="9" t="s">
        <v>8213</v>
      </c>
      <c r="E1547" s="9" t="s">
        <v>17740</v>
      </c>
      <c r="F1547" s="9" t="s">
        <v>26932</v>
      </c>
      <c r="G1547" s="9" t="s">
        <v>17740</v>
      </c>
      <c r="H1547" s="11" t="s">
        <v>8215</v>
      </c>
      <c r="I1547" s="11" t="s">
        <v>8214</v>
      </c>
      <c r="J1547" s="11" t="s">
        <v>8214</v>
      </c>
      <c r="K1547" s="9" t="s">
        <v>91</v>
      </c>
      <c r="L1547" s="9" t="s">
        <v>17744</v>
      </c>
      <c r="M1547" s="9" t="s">
        <v>26933</v>
      </c>
      <c r="N1547" s="9" t="s">
        <v>17746</v>
      </c>
      <c r="O1547" s="9" t="s">
        <v>26840</v>
      </c>
      <c r="P1547" s="9" t="s">
        <v>17748</v>
      </c>
      <c r="Q1547" s="11" t="s">
        <v>18356</v>
      </c>
      <c r="R1547" s="11" t="s">
        <v>18356</v>
      </c>
      <c r="S1547" s="11" t="s">
        <v>17750</v>
      </c>
    </row>
    <row r="1548" spans="1:19" x14ac:dyDescent="0.2">
      <c r="A1548" s="11" t="s">
        <v>26934</v>
      </c>
      <c r="B1548" s="9" t="s">
        <v>26935</v>
      </c>
      <c r="C1548" s="9" t="s">
        <v>26936</v>
      </c>
      <c r="D1548" s="9" t="s">
        <v>26937</v>
      </c>
      <c r="E1548" s="9" t="s">
        <v>17740</v>
      </c>
      <c r="F1548" s="9" t="s">
        <v>26938</v>
      </c>
      <c r="G1548" s="9" t="s">
        <v>17740</v>
      </c>
      <c r="H1548" s="11" t="s">
        <v>17741</v>
      </c>
      <c r="I1548" s="11" t="s">
        <v>26939</v>
      </c>
      <c r="J1548" s="11" t="s">
        <v>26939</v>
      </c>
      <c r="K1548" s="9" t="s">
        <v>26940</v>
      </c>
      <c r="L1548" s="9" t="s">
        <v>26941</v>
      </c>
      <c r="M1548" s="9" t="s">
        <v>18211</v>
      </c>
      <c r="N1548" s="9" t="s">
        <v>18042</v>
      </c>
      <c r="O1548" s="9" t="s">
        <v>19050</v>
      </c>
      <c r="P1548" s="9" t="s">
        <v>17748</v>
      </c>
      <c r="Q1548" s="11" t="s">
        <v>18251</v>
      </c>
      <c r="R1548" s="11" t="s">
        <v>18251</v>
      </c>
      <c r="S1548" s="11" t="s">
        <v>17750</v>
      </c>
    </row>
    <row r="1549" spans="1:19" x14ac:dyDescent="0.2">
      <c r="A1549" s="11" t="s">
        <v>26942</v>
      </c>
      <c r="B1549" s="9" t="s">
        <v>26943</v>
      </c>
      <c r="C1549" s="9" t="s">
        <v>26944</v>
      </c>
      <c r="D1549" s="9" t="s">
        <v>26945</v>
      </c>
      <c r="E1549" s="9" t="s">
        <v>17740</v>
      </c>
      <c r="F1549" s="9" t="s">
        <v>26946</v>
      </c>
      <c r="G1549" s="9" t="s">
        <v>17740</v>
      </c>
      <c r="H1549" s="11" t="s">
        <v>26947</v>
      </c>
      <c r="I1549" s="11" t="s">
        <v>26948</v>
      </c>
      <c r="J1549" s="11" t="s">
        <v>26948</v>
      </c>
      <c r="K1549" s="9" t="s">
        <v>6914</v>
      </c>
      <c r="L1549" s="9" t="s">
        <v>17744</v>
      </c>
      <c r="M1549" s="9" t="s">
        <v>26949</v>
      </c>
      <c r="N1549" s="9" t="s">
        <v>17746</v>
      </c>
      <c r="O1549" s="9" t="s">
        <v>17882</v>
      </c>
      <c r="P1549" s="9" t="s">
        <v>17748</v>
      </c>
      <c r="Q1549" s="11" t="s">
        <v>17858</v>
      </c>
      <c r="R1549" s="11" t="s">
        <v>17858</v>
      </c>
      <c r="S1549" s="11" t="s">
        <v>17750</v>
      </c>
    </row>
    <row r="1550" spans="1:19" x14ac:dyDescent="0.2">
      <c r="A1550" s="11" t="s">
        <v>26950</v>
      </c>
      <c r="B1550" s="9" t="s">
        <v>26951</v>
      </c>
      <c r="C1550" s="9" t="s">
        <v>26952</v>
      </c>
      <c r="D1550" s="9" t="s">
        <v>26953</v>
      </c>
      <c r="E1550" s="9" t="s">
        <v>17748</v>
      </c>
      <c r="F1550" s="9" t="s">
        <v>26954</v>
      </c>
      <c r="G1550" s="9" t="s">
        <v>17740</v>
      </c>
      <c r="H1550" s="11" t="s">
        <v>16296</v>
      </c>
      <c r="I1550" s="11" t="s">
        <v>17741</v>
      </c>
      <c r="J1550" s="11" t="s">
        <v>16296</v>
      </c>
      <c r="K1550" s="9" t="s">
        <v>16297</v>
      </c>
      <c r="L1550" s="9" t="s">
        <v>18305</v>
      </c>
      <c r="M1550" s="9" t="s">
        <v>17817</v>
      </c>
      <c r="N1550" s="9" t="s">
        <v>17746</v>
      </c>
      <c r="O1550" s="9" t="s">
        <v>17993</v>
      </c>
      <c r="P1550" s="9" t="s">
        <v>17748</v>
      </c>
      <c r="Q1550" s="11" t="s">
        <v>17923</v>
      </c>
      <c r="R1550" s="11" t="s">
        <v>17923</v>
      </c>
      <c r="S1550" s="11" t="s">
        <v>17750</v>
      </c>
    </row>
    <row r="1551" spans="1:19" x14ac:dyDescent="0.2">
      <c r="A1551" s="11" t="s">
        <v>26955</v>
      </c>
      <c r="B1551" s="9" t="s">
        <v>26956</v>
      </c>
      <c r="C1551" s="9" t="s">
        <v>26957</v>
      </c>
      <c r="D1551" s="9" t="s">
        <v>26958</v>
      </c>
      <c r="E1551" s="9" t="s">
        <v>17740</v>
      </c>
      <c r="F1551" s="9" t="s">
        <v>26959</v>
      </c>
      <c r="G1551" s="9" t="s">
        <v>17740</v>
      </c>
      <c r="H1551" s="11" t="s">
        <v>17741</v>
      </c>
      <c r="I1551" s="11" t="s">
        <v>26960</v>
      </c>
      <c r="J1551" s="11" t="s">
        <v>26960</v>
      </c>
      <c r="K1551" s="9" t="s">
        <v>26961</v>
      </c>
      <c r="L1551" s="9" t="s">
        <v>18305</v>
      </c>
      <c r="M1551" s="9" t="s">
        <v>18745</v>
      </c>
      <c r="N1551" s="9" t="s">
        <v>26962</v>
      </c>
      <c r="O1551" s="9" t="s">
        <v>17747</v>
      </c>
      <c r="P1551" s="9" t="s">
        <v>17748</v>
      </c>
      <c r="Q1551" s="11" t="s">
        <v>19082</v>
      </c>
      <c r="R1551" s="11" t="s">
        <v>19082</v>
      </c>
      <c r="S1551" s="11" t="s">
        <v>17750</v>
      </c>
    </row>
    <row r="1552" spans="1:19" x14ac:dyDescent="0.2">
      <c r="A1552" s="11" t="s">
        <v>26963</v>
      </c>
      <c r="B1552" s="9" t="s">
        <v>26964</v>
      </c>
      <c r="C1552" s="9" t="s">
        <v>26965</v>
      </c>
      <c r="D1552" s="9" t="s">
        <v>26966</v>
      </c>
      <c r="E1552" s="9" t="s">
        <v>17740</v>
      </c>
      <c r="F1552" s="9" t="s">
        <v>17741</v>
      </c>
      <c r="G1552" s="9" t="s">
        <v>17740</v>
      </c>
      <c r="H1552" s="11" t="s">
        <v>17741</v>
      </c>
      <c r="I1552" s="11" t="s">
        <v>17741</v>
      </c>
      <c r="J1552" s="11" t="s">
        <v>17741</v>
      </c>
      <c r="K1552" s="9" t="s">
        <v>26967</v>
      </c>
      <c r="L1552" s="9" t="s">
        <v>17759</v>
      </c>
      <c r="M1552" s="9" t="s">
        <v>17741</v>
      </c>
      <c r="N1552" s="9" t="s">
        <v>17746</v>
      </c>
      <c r="O1552" s="9" t="s">
        <v>1802</v>
      </c>
      <c r="P1552" s="9" t="s">
        <v>17748</v>
      </c>
      <c r="Q1552" s="11" t="s">
        <v>18272</v>
      </c>
      <c r="R1552" s="11" t="s">
        <v>18272</v>
      </c>
      <c r="S1552" s="11" t="s">
        <v>17750</v>
      </c>
    </row>
    <row r="1553" spans="1:19" x14ac:dyDescent="0.2">
      <c r="A1553" s="11" t="s">
        <v>26968</v>
      </c>
      <c r="B1553" s="9" t="s">
        <v>26969</v>
      </c>
      <c r="C1553" s="9" t="s">
        <v>26970</v>
      </c>
      <c r="D1553" s="9" t="s">
        <v>26971</v>
      </c>
      <c r="E1553" s="9" t="s">
        <v>17740</v>
      </c>
      <c r="F1553" s="9" t="s">
        <v>17741</v>
      </c>
      <c r="G1553" s="9" t="s">
        <v>17740</v>
      </c>
      <c r="H1553" s="11" t="s">
        <v>26972</v>
      </c>
      <c r="I1553" s="11" t="s">
        <v>17741</v>
      </c>
      <c r="J1553" s="11" t="s">
        <v>17741</v>
      </c>
      <c r="K1553" s="9" t="s">
        <v>24323</v>
      </c>
      <c r="L1553" s="9" t="s">
        <v>17744</v>
      </c>
      <c r="M1553" s="9" t="s">
        <v>17741</v>
      </c>
      <c r="N1553" s="9" t="s">
        <v>17746</v>
      </c>
      <c r="O1553" s="9" t="s">
        <v>22422</v>
      </c>
      <c r="P1553" s="9" t="s">
        <v>17748</v>
      </c>
      <c r="Q1553" s="11" t="s">
        <v>17825</v>
      </c>
      <c r="R1553" s="11" t="s">
        <v>17825</v>
      </c>
      <c r="S1553" s="11" t="s">
        <v>17750</v>
      </c>
    </row>
    <row r="1554" spans="1:19" x14ac:dyDescent="0.2">
      <c r="A1554" s="11" t="s">
        <v>26973</v>
      </c>
      <c r="B1554" s="9" t="s">
        <v>26974</v>
      </c>
      <c r="C1554" s="9" t="s">
        <v>26975</v>
      </c>
      <c r="D1554" s="9" t="s">
        <v>26976</v>
      </c>
      <c r="E1554" s="9" t="s">
        <v>17740</v>
      </c>
      <c r="F1554" s="9" t="s">
        <v>26977</v>
      </c>
      <c r="G1554" s="9" t="s">
        <v>17740</v>
      </c>
      <c r="H1554" s="11" t="s">
        <v>26978</v>
      </c>
      <c r="I1554" s="11" t="s">
        <v>26979</v>
      </c>
      <c r="J1554" s="11" t="s">
        <v>26979</v>
      </c>
      <c r="K1554" s="9" t="s">
        <v>10487</v>
      </c>
      <c r="L1554" s="9" t="s">
        <v>17759</v>
      </c>
      <c r="M1554" s="9" t="s">
        <v>26980</v>
      </c>
      <c r="N1554" s="9" t="s">
        <v>17746</v>
      </c>
      <c r="O1554" s="9" t="s">
        <v>18677</v>
      </c>
      <c r="P1554" s="9" t="s">
        <v>17748</v>
      </c>
      <c r="Q1554" s="11" t="s">
        <v>18960</v>
      </c>
      <c r="R1554" s="11" t="s">
        <v>18960</v>
      </c>
      <c r="S1554" s="11" t="s">
        <v>17750</v>
      </c>
    </row>
    <row r="1555" spans="1:19" x14ac:dyDescent="0.2">
      <c r="A1555" s="11" t="s">
        <v>26981</v>
      </c>
      <c r="B1555" s="9" t="s">
        <v>26982</v>
      </c>
      <c r="C1555" s="9" t="s">
        <v>26983</v>
      </c>
      <c r="D1555" s="9" t="s">
        <v>26984</v>
      </c>
      <c r="E1555" s="9" t="s">
        <v>17740</v>
      </c>
      <c r="F1555" s="9" t="s">
        <v>26985</v>
      </c>
      <c r="G1555" s="9" t="s">
        <v>17740</v>
      </c>
      <c r="H1555" s="11" t="s">
        <v>17741</v>
      </c>
      <c r="I1555" s="11" t="s">
        <v>26986</v>
      </c>
      <c r="J1555" s="11" t="s">
        <v>26986</v>
      </c>
      <c r="K1555" s="9" t="s">
        <v>26987</v>
      </c>
      <c r="L1555" s="9" t="s">
        <v>17759</v>
      </c>
      <c r="M1555" s="9" t="s">
        <v>17817</v>
      </c>
      <c r="N1555" s="9" t="s">
        <v>17746</v>
      </c>
      <c r="O1555" s="9" t="s">
        <v>17993</v>
      </c>
      <c r="P1555" s="9" t="s">
        <v>17748</v>
      </c>
      <c r="Q1555" s="11" t="s">
        <v>18556</v>
      </c>
      <c r="R1555" s="11" t="s">
        <v>18556</v>
      </c>
      <c r="S1555" s="11" t="s">
        <v>17750</v>
      </c>
    </row>
    <row r="1556" spans="1:19" x14ac:dyDescent="0.2">
      <c r="A1556" s="11" t="s">
        <v>26988</v>
      </c>
      <c r="B1556" s="9" t="s">
        <v>26989</v>
      </c>
      <c r="C1556" s="9" t="s">
        <v>26990</v>
      </c>
      <c r="D1556" s="9" t="s">
        <v>26991</v>
      </c>
      <c r="E1556" s="9" t="s">
        <v>17740</v>
      </c>
      <c r="F1556" s="9" t="s">
        <v>17741</v>
      </c>
      <c r="G1556" s="9" t="s">
        <v>17740</v>
      </c>
      <c r="H1556" s="11" t="s">
        <v>26992</v>
      </c>
      <c r="I1556" s="11" t="s">
        <v>26993</v>
      </c>
      <c r="J1556" s="11" t="s">
        <v>26993</v>
      </c>
      <c r="K1556" s="9" t="s">
        <v>18520</v>
      </c>
      <c r="L1556" s="9" t="s">
        <v>17744</v>
      </c>
      <c r="M1556" s="9" t="s">
        <v>26994</v>
      </c>
      <c r="N1556" s="9" t="s">
        <v>17746</v>
      </c>
      <c r="O1556" s="9" t="s">
        <v>17834</v>
      </c>
      <c r="P1556" s="9" t="s">
        <v>17748</v>
      </c>
      <c r="Q1556" s="11" t="s">
        <v>17994</v>
      </c>
      <c r="R1556" s="11" t="s">
        <v>17994</v>
      </c>
      <c r="S1556" s="11" t="s">
        <v>17750</v>
      </c>
    </row>
    <row r="1557" spans="1:19" x14ac:dyDescent="0.2">
      <c r="A1557" s="11" t="s">
        <v>26995</v>
      </c>
      <c r="B1557" s="9" t="s">
        <v>26996</v>
      </c>
      <c r="C1557" s="9" t="s">
        <v>26997</v>
      </c>
      <c r="D1557" s="9" t="s">
        <v>26998</v>
      </c>
      <c r="E1557" s="9" t="s">
        <v>17748</v>
      </c>
      <c r="F1557" s="9" t="s">
        <v>26999</v>
      </c>
      <c r="G1557" s="9" t="s">
        <v>17740</v>
      </c>
      <c r="H1557" s="11" t="s">
        <v>7262</v>
      </c>
      <c r="I1557" s="11" t="s">
        <v>7261</v>
      </c>
      <c r="J1557" s="11" t="s">
        <v>7261</v>
      </c>
      <c r="K1557" s="9" t="s">
        <v>18122</v>
      </c>
      <c r="L1557" s="9" t="s">
        <v>18123</v>
      </c>
      <c r="M1557" s="9" t="s">
        <v>21335</v>
      </c>
      <c r="N1557" s="9" t="s">
        <v>17746</v>
      </c>
      <c r="O1557" s="9" t="s">
        <v>27000</v>
      </c>
      <c r="P1557" s="9" t="s">
        <v>17748</v>
      </c>
      <c r="Q1557" s="11" t="s">
        <v>18272</v>
      </c>
      <c r="R1557" s="11" t="s">
        <v>18272</v>
      </c>
      <c r="S1557" s="11" t="s">
        <v>17750</v>
      </c>
    </row>
    <row r="1558" spans="1:19" x14ac:dyDescent="0.2">
      <c r="A1558" s="11" t="s">
        <v>27001</v>
      </c>
      <c r="B1558" s="9" t="s">
        <v>27002</v>
      </c>
      <c r="C1558" s="9" t="s">
        <v>27003</v>
      </c>
      <c r="D1558" s="9" t="s">
        <v>27002</v>
      </c>
      <c r="E1558" s="9" t="s">
        <v>17740</v>
      </c>
      <c r="F1558" s="9" t="s">
        <v>17741</v>
      </c>
      <c r="G1558" s="9" t="s">
        <v>17740</v>
      </c>
      <c r="H1558" s="11" t="s">
        <v>27004</v>
      </c>
      <c r="I1558" s="11" t="s">
        <v>27005</v>
      </c>
      <c r="J1558" s="11" t="s">
        <v>27005</v>
      </c>
      <c r="K1558" s="9" t="s">
        <v>27006</v>
      </c>
      <c r="L1558" s="9" t="s">
        <v>17759</v>
      </c>
      <c r="M1558" s="9" t="s">
        <v>17760</v>
      </c>
      <c r="N1558" s="9" t="s">
        <v>17746</v>
      </c>
      <c r="O1558" s="9" t="s">
        <v>27007</v>
      </c>
      <c r="P1558" s="9" t="s">
        <v>17748</v>
      </c>
      <c r="Q1558" s="11" t="s">
        <v>19236</v>
      </c>
      <c r="R1558" s="11" t="s">
        <v>19236</v>
      </c>
      <c r="S1558" s="11" t="s">
        <v>17750</v>
      </c>
    </row>
    <row r="1559" spans="1:19" x14ac:dyDescent="0.2">
      <c r="A1559" s="11" t="s">
        <v>27008</v>
      </c>
      <c r="B1559" s="9" t="s">
        <v>27009</v>
      </c>
      <c r="C1559" s="9" t="s">
        <v>27010</v>
      </c>
      <c r="D1559" s="9" t="s">
        <v>27011</v>
      </c>
      <c r="E1559" s="9" t="s">
        <v>17748</v>
      </c>
      <c r="F1559" s="9" t="s">
        <v>27012</v>
      </c>
      <c r="G1559" s="9" t="s">
        <v>17740</v>
      </c>
      <c r="H1559" s="11" t="s">
        <v>17741</v>
      </c>
      <c r="I1559" s="11" t="s">
        <v>27013</v>
      </c>
      <c r="J1559" s="11" t="s">
        <v>27013</v>
      </c>
      <c r="K1559" s="9" t="s">
        <v>19282</v>
      </c>
      <c r="L1559" s="9" t="s">
        <v>17759</v>
      </c>
      <c r="M1559" s="9" t="s">
        <v>17769</v>
      </c>
      <c r="N1559" s="9" t="s">
        <v>17746</v>
      </c>
      <c r="O1559" s="9" t="s">
        <v>18340</v>
      </c>
      <c r="P1559" s="9" t="s">
        <v>17748</v>
      </c>
      <c r="Q1559" s="11" t="s">
        <v>17808</v>
      </c>
      <c r="R1559" s="11" t="s">
        <v>17808</v>
      </c>
      <c r="S1559" s="11" t="s">
        <v>17750</v>
      </c>
    </row>
    <row r="1560" spans="1:19" x14ac:dyDescent="0.2">
      <c r="A1560" s="11" t="s">
        <v>27014</v>
      </c>
      <c r="B1560" s="9" t="s">
        <v>27015</v>
      </c>
      <c r="C1560" s="9" t="s">
        <v>27016</v>
      </c>
      <c r="D1560" s="9" t="s">
        <v>27017</v>
      </c>
      <c r="E1560" s="9" t="s">
        <v>17740</v>
      </c>
      <c r="F1560" s="9" t="s">
        <v>17741</v>
      </c>
      <c r="G1560" s="9" t="s">
        <v>17740</v>
      </c>
      <c r="H1560" s="11" t="s">
        <v>27018</v>
      </c>
      <c r="I1560" s="11" t="s">
        <v>27019</v>
      </c>
      <c r="J1560" s="11" t="s">
        <v>27019</v>
      </c>
      <c r="K1560" s="9" t="s">
        <v>25648</v>
      </c>
      <c r="L1560" s="9" t="s">
        <v>17759</v>
      </c>
      <c r="M1560" s="9" t="s">
        <v>17760</v>
      </c>
      <c r="N1560" s="9" t="s">
        <v>17746</v>
      </c>
      <c r="O1560" s="9" t="s">
        <v>18340</v>
      </c>
      <c r="P1560" s="9" t="s">
        <v>17748</v>
      </c>
      <c r="Q1560" s="11" t="s">
        <v>17937</v>
      </c>
      <c r="R1560" s="11" t="s">
        <v>17937</v>
      </c>
      <c r="S1560" s="11" t="s">
        <v>17750</v>
      </c>
    </row>
    <row r="1561" spans="1:19" x14ac:dyDescent="0.2">
      <c r="A1561" s="11" t="s">
        <v>27020</v>
      </c>
      <c r="B1561" s="9" t="s">
        <v>27021</v>
      </c>
      <c r="C1561" s="9" t="s">
        <v>27022</v>
      </c>
      <c r="D1561" s="9" t="s">
        <v>27023</v>
      </c>
      <c r="E1561" s="9" t="s">
        <v>17740</v>
      </c>
      <c r="F1561" s="9" t="s">
        <v>27024</v>
      </c>
      <c r="G1561" s="9" t="s">
        <v>17740</v>
      </c>
      <c r="H1561" s="11" t="s">
        <v>17741</v>
      </c>
      <c r="I1561" s="11" t="s">
        <v>27025</v>
      </c>
      <c r="J1561" s="11" t="s">
        <v>27025</v>
      </c>
      <c r="K1561" s="9" t="s">
        <v>27026</v>
      </c>
      <c r="L1561" s="9" t="s">
        <v>17744</v>
      </c>
      <c r="M1561" s="9" t="s">
        <v>18051</v>
      </c>
      <c r="N1561" s="9" t="s">
        <v>17746</v>
      </c>
      <c r="O1561" s="9" t="s">
        <v>18340</v>
      </c>
      <c r="P1561" s="9" t="s">
        <v>17748</v>
      </c>
      <c r="Q1561" s="11" t="s">
        <v>18960</v>
      </c>
      <c r="R1561" s="11" t="s">
        <v>18960</v>
      </c>
      <c r="S1561" s="11" t="s">
        <v>17750</v>
      </c>
    </row>
    <row r="1562" spans="1:19" x14ac:dyDescent="0.2">
      <c r="A1562" s="11" t="s">
        <v>27027</v>
      </c>
      <c r="B1562" s="9" t="s">
        <v>27028</v>
      </c>
      <c r="C1562" s="9" t="s">
        <v>27029</v>
      </c>
      <c r="D1562" s="9" t="s">
        <v>27030</v>
      </c>
      <c r="E1562" s="9" t="s">
        <v>17740</v>
      </c>
      <c r="F1562" s="9" t="s">
        <v>17741</v>
      </c>
      <c r="G1562" s="9" t="s">
        <v>17740</v>
      </c>
      <c r="H1562" s="11" t="s">
        <v>17741</v>
      </c>
      <c r="I1562" s="11" t="s">
        <v>27031</v>
      </c>
      <c r="J1562" s="11" t="s">
        <v>27032</v>
      </c>
      <c r="K1562" s="9" t="s">
        <v>19154</v>
      </c>
      <c r="L1562" s="9" t="s">
        <v>17759</v>
      </c>
      <c r="M1562" s="9" t="s">
        <v>17817</v>
      </c>
      <c r="N1562" s="9" t="s">
        <v>17746</v>
      </c>
      <c r="O1562" s="9" t="s">
        <v>20746</v>
      </c>
      <c r="P1562" s="9" t="s">
        <v>17748</v>
      </c>
      <c r="Q1562" s="11" t="s">
        <v>17749</v>
      </c>
      <c r="R1562" s="11" t="s">
        <v>17749</v>
      </c>
      <c r="S1562" s="11" t="s">
        <v>17750</v>
      </c>
    </row>
    <row r="1563" spans="1:19" x14ac:dyDescent="0.2">
      <c r="A1563" s="11" t="s">
        <v>27033</v>
      </c>
      <c r="B1563" s="9" t="s">
        <v>27034</v>
      </c>
      <c r="C1563" s="9" t="s">
        <v>27035</v>
      </c>
      <c r="D1563" s="9" t="s">
        <v>27036</v>
      </c>
      <c r="E1563" s="9" t="s">
        <v>17740</v>
      </c>
      <c r="F1563" s="9" t="s">
        <v>17741</v>
      </c>
      <c r="G1563" s="9" t="s">
        <v>17740</v>
      </c>
      <c r="H1563" s="11" t="s">
        <v>27037</v>
      </c>
      <c r="I1563" s="11" t="s">
        <v>27038</v>
      </c>
      <c r="J1563" s="11" t="s">
        <v>27038</v>
      </c>
      <c r="K1563" s="9" t="s">
        <v>18661</v>
      </c>
      <c r="L1563" s="9" t="s">
        <v>17744</v>
      </c>
      <c r="M1563" s="9" t="s">
        <v>17769</v>
      </c>
      <c r="N1563" s="9" t="s">
        <v>17746</v>
      </c>
      <c r="O1563" s="9" t="s">
        <v>18340</v>
      </c>
      <c r="P1563" s="9" t="s">
        <v>17748</v>
      </c>
      <c r="Q1563" s="11" t="s">
        <v>18960</v>
      </c>
      <c r="R1563" s="11" t="s">
        <v>18960</v>
      </c>
      <c r="S1563" s="11" t="s">
        <v>17750</v>
      </c>
    </row>
    <row r="1564" spans="1:19" x14ac:dyDescent="0.2">
      <c r="A1564" s="11" t="s">
        <v>27039</v>
      </c>
      <c r="B1564" s="9" t="s">
        <v>27040</v>
      </c>
      <c r="C1564" s="9" t="s">
        <v>27041</v>
      </c>
      <c r="D1564" s="9" t="s">
        <v>27042</v>
      </c>
      <c r="E1564" s="9" t="s">
        <v>17740</v>
      </c>
      <c r="F1564" s="9" t="s">
        <v>17741</v>
      </c>
      <c r="G1564" s="9" t="s">
        <v>17740</v>
      </c>
      <c r="H1564" s="11" t="s">
        <v>27043</v>
      </c>
      <c r="I1564" s="11" t="s">
        <v>27044</v>
      </c>
      <c r="J1564" s="11" t="s">
        <v>27044</v>
      </c>
      <c r="K1564" s="9" t="s">
        <v>27045</v>
      </c>
      <c r="L1564" s="9" t="s">
        <v>18242</v>
      </c>
      <c r="M1564" s="9" t="s">
        <v>27046</v>
      </c>
      <c r="N1564" s="9" t="s">
        <v>17746</v>
      </c>
      <c r="O1564" s="9" t="s">
        <v>18340</v>
      </c>
      <c r="P1564" s="9" t="s">
        <v>17748</v>
      </c>
      <c r="Q1564" s="11" t="s">
        <v>19515</v>
      </c>
      <c r="R1564" s="11" t="s">
        <v>19515</v>
      </c>
      <c r="S1564" s="11" t="s">
        <v>17750</v>
      </c>
    </row>
    <row r="1565" spans="1:19" x14ac:dyDescent="0.2">
      <c r="A1565" s="11" t="s">
        <v>27047</v>
      </c>
      <c r="B1565" s="9" t="s">
        <v>27048</v>
      </c>
      <c r="C1565" s="9" t="s">
        <v>27049</v>
      </c>
      <c r="D1565" s="9" t="s">
        <v>27050</v>
      </c>
      <c r="E1565" s="9" t="s">
        <v>17740</v>
      </c>
      <c r="F1565" s="9" t="s">
        <v>27051</v>
      </c>
      <c r="G1565" s="9" t="s">
        <v>17740</v>
      </c>
      <c r="H1565" s="11" t="s">
        <v>27052</v>
      </c>
      <c r="I1565" s="11" t="s">
        <v>27053</v>
      </c>
      <c r="J1565" s="11" t="s">
        <v>27053</v>
      </c>
      <c r="K1565" s="9" t="s">
        <v>27054</v>
      </c>
      <c r="L1565" s="9" t="s">
        <v>18058</v>
      </c>
      <c r="M1565" s="9" t="s">
        <v>17769</v>
      </c>
      <c r="N1565" s="9" t="s">
        <v>21551</v>
      </c>
      <c r="O1565" s="9" t="s">
        <v>27055</v>
      </c>
      <c r="P1565" s="9" t="s">
        <v>17748</v>
      </c>
      <c r="Q1565" s="11" t="s">
        <v>17900</v>
      </c>
      <c r="R1565" s="11" t="s">
        <v>17900</v>
      </c>
      <c r="S1565" s="11" t="s">
        <v>17750</v>
      </c>
    </row>
    <row r="1566" spans="1:19" x14ac:dyDescent="0.2">
      <c r="A1566" s="11" t="s">
        <v>27056</v>
      </c>
      <c r="B1566" s="9" t="s">
        <v>27057</v>
      </c>
      <c r="C1566" s="9" t="s">
        <v>27058</v>
      </c>
      <c r="D1566" s="9" t="s">
        <v>27059</v>
      </c>
      <c r="E1566" s="9" t="s">
        <v>17748</v>
      </c>
      <c r="F1566" s="9" t="s">
        <v>27060</v>
      </c>
      <c r="G1566" s="9" t="s">
        <v>17740</v>
      </c>
      <c r="H1566" s="11" t="s">
        <v>27061</v>
      </c>
      <c r="I1566" s="11" t="s">
        <v>27062</v>
      </c>
      <c r="J1566" s="11" t="s">
        <v>27062</v>
      </c>
      <c r="K1566" s="9" t="s">
        <v>21040</v>
      </c>
      <c r="L1566" s="9" t="s">
        <v>18305</v>
      </c>
      <c r="M1566" s="9" t="s">
        <v>17769</v>
      </c>
      <c r="N1566" s="9" t="s">
        <v>17746</v>
      </c>
      <c r="O1566" s="9" t="s">
        <v>27063</v>
      </c>
      <c r="P1566" s="9" t="s">
        <v>17748</v>
      </c>
      <c r="Q1566" s="11" t="s">
        <v>18922</v>
      </c>
      <c r="R1566" s="11" t="s">
        <v>18922</v>
      </c>
      <c r="S1566" s="11" t="s">
        <v>17750</v>
      </c>
    </row>
    <row r="1567" spans="1:19" x14ac:dyDescent="0.2">
      <c r="A1567" s="11" t="s">
        <v>27064</v>
      </c>
      <c r="B1567" s="9" t="s">
        <v>27065</v>
      </c>
      <c r="C1567" s="9" t="s">
        <v>27066</v>
      </c>
      <c r="D1567" s="9" t="s">
        <v>27067</v>
      </c>
      <c r="E1567" s="9" t="s">
        <v>17740</v>
      </c>
      <c r="F1567" s="9" t="s">
        <v>17741</v>
      </c>
      <c r="G1567" s="9" t="s">
        <v>17740</v>
      </c>
      <c r="H1567" s="11" t="s">
        <v>17741</v>
      </c>
      <c r="I1567" s="11" t="s">
        <v>27068</v>
      </c>
      <c r="J1567" s="11" t="s">
        <v>27068</v>
      </c>
      <c r="K1567" s="9" t="s">
        <v>27069</v>
      </c>
      <c r="L1567" s="9" t="s">
        <v>17744</v>
      </c>
      <c r="M1567" s="9" t="s">
        <v>19168</v>
      </c>
      <c r="N1567" s="9" t="s">
        <v>17746</v>
      </c>
      <c r="O1567" s="9" t="s">
        <v>18340</v>
      </c>
      <c r="P1567" s="9" t="s">
        <v>17748</v>
      </c>
      <c r="Q1567" s="11" t="s">
        <v>17771</v>
      </c>
      <c r="R1567" s="11" t="s">
        <v>17771</v>
      </c>
      <c r="S1567" s="11" t="s">
        <v>17750</v>
      </c>
    </row>
    <row r="1568" spans="1:19" x14ac:dyDescent="0.2">
      <c r="A1568" s="11" t="s">
        <v>27070</v>
      </c>
      <c r="B1568" s="9" t="s">
        <v>27071</v>
      </c>
      <c r="C1568" s="9" t="s">
        <v>27072</v>
      </c>
      <c r="D1568" s="9" t="s">
        <v>27073</v>
      </c>
      <c r="E1568" s="9" t="s">
        <v>17740</v>
      </c>
      <c r="F1568" s="9" t="s">
        <v>17741</v>
      </c>
      <c r="G1568" s="9" t="s">
        <v>17740</v>
      </c>
      <c r="H1568" s="11" t="s">
        <v>17741</v>
      </c>
      <c r="I1568" s="11" t="s">
        <v>27074</v>
      </c>
      <c r="J1568" s="11" t="s">
        <v>27074</v>
      </c>
      <c r="K1568" s="9" t="s">
        <v>27075</v>
      </c>
      <c r="L1568" s="9" t="s">
        <v>17759</v>
      </c>
      <c r="M1568" s="9" t="s">
        <v>17817</v>
      </c>
      <c r="N1568" s="9" t="s">
        <v>17746</v>
      </c>
      <c r="O1568" s="9" t="s">
        <v>18340</v>
      </c>
      <c r="P1568" s="9" t="s">
        <v>17748</v>
      </c>
      <c r="Q1568" s="11" t="s">
        <v>19222</v>
      </c>
      <c r="R1568" s="11" t="s">
        <v>19222</v>
      </c>
      <c r="S1568" s="11" t="s">
        <v>17750</v>
      </c>
    </row>
    <row r="1569" spans="1:19" x14ac:dyDescent="0.2">
      <c r="A1569" s="11" t="s">
        <v>27076</v>
      </c>
      <c r="B1569" s="9" t="s">
        <v>27077</v>
      </c>
      <c r="C1569" s="9" t="s">
        <v>27078</v>
      </c>
      <c r="D1569" s="9" t="s">
        <v>27079</v>
      </c>
      <c r="E1569" s="9" t="s">
        <v>17740</v>
      </c>
      <c r="F1569" s="9" t="s">
        <v>17741</v>
      </c>
      <c r="G1569" s="9" t="s">
        <v>17740</v>
      </c>
      <c r="H1569" s="11" t="s">
        <v>27080</v>
      </c>
      <c r="I1569" s="11" t="s">
        <v>27081</v>
      </c>
      <c r="J1569" s="11" t="s">
        <v>27081</v>
      </c>
      <c r="K1569" s="9" t="s">
        <v>844</v>
      </c>
      <c r="L1569" s="9" t="s">
        <v>17744</v>
      </c>
      <c r="M1569" s="9" t="s">
        <v>27082</v>
      </c>
      <c r="N1569" s="9" t="s">
        <v>17746</v>
      </c>
      <c r="O1569" s="9" t="s">
        <v>27083</v>
      </c>
      <c r="P1569" s="9" t="s">
        <v>17748</v>
      </c>
      <c r="Q1569" s="11" t="s">
        <v>19082</v>
      </c>
      <c r="R1569" s="11" t="s">
        <v>19082</v>
      </c>
      <c r="S1569" s="11" t="s">
        <v>17750</v>
      </c>
    </row>
    <row r="1570" spans="1:19" x14ac:dyDescent="0.2">
      <c r="A1570" s="11" t="s">
        <v>27084</v>
      </c>
      <c r="B1570" s="9" t="s">
        <v>27085</v>
      </c>
      <c r="C1570" s="9" t="s">
        <v>27086</v>
      </c>
      <c r="D1570" s="9" t="s">
        <v>27087</v>
      </c>
      <c r="E1570" s="9" t="s">
        <v>17748</v>
      </c>
      <c r="F1570" s="9" t="s">
        <v>27088</v>
      </c>
      <c r="G1570" s="9" t="s">
        <v>17740</v>
      </c>
      <c r="H1570" s="11" t="s">
        <v>7313</v>
      </c>
      <c r="I1570" s="11" t="s">
        <v>7312</v>
      </c>
      <c r="J1570" s="11" t="s">
        <v>7312</v>
      </c>
      <c r="K1570" s="9" t="s">
        <v>19094</v>
      </c>
      <c r="L1570" s="9" t="s">
        <v>17759</v>
      </c>
      <c r="M1570" s="9" t="s">
        <v>18177</v>
      </c>
      <c r="N1570" s="9" t="s">
        <v>17746</v>
      </c>
      <c r="O1570" s="9" t="s">
        <v>17834</v>
      </c>
      <c r="P1570" s="9" t="s">
        <v>17748</v>
      </c>
      <c r="Q1570" s="11" t="s">
        <v>18272</v>
      </c>
      <c r="R1570" s="11" t="s">
        <v>18272</v>
      </c>
      <c r="S1570" s="11" t="s">
        <v>17750</v>
      </c>
    </row>
    <row r="1571" spans="1:19" x14ac:dyDescent="0.2">
      <c r="A1571" s="11" t="s">
        <v>27089</v>
      </c>
      <c r="B1571" s="9" t="s">
        <v>27090</v>
      </c>
      <c r="C1571" s="9" t="s">
        <v>27091</v>
      </c>
      <c r="D1571" s="9" t="s">
        <v>10228</v>
      </c>
      <c r="E1571" s="9" t="s">
        <v>17748</v>
      </c>
      <c r="F1571" s="9" t="s">
        <v>27092</v>
      </c>
      <c r="G1571" s="9" t="s">
        <v>17740</v>
      </c>
      <c r="H1571" s="11" t="s">
        <v>17741</v>
      </c>
      <c r="I1571" s="11" t="s">
        <v>10229</v>
      </c>
      <c r="J1571" s="11" t="s">
        <v>10229</v>
      </c>
      <c r="K1571" s="9" t="s">
        <v>17758</v>
      </c>
      <c r="L1571" s="9" t="s">
        <v>17759</v>
      </c>
      <c r="M1571" s="9" t="s">
        <v>26122</v>
      </c>
      <c r="N1571" s="9" t="s">
        <v>17746</v>
      </c>
      <c r="O1571" s="9" t="s">
        <v>5790</v>
      </c>
      <c r="P1571" s="9" t="s">
        <v>17748</v>
      </c>
      <c r="Q1571" s="11" t="s">
        <v>17780</v>
      </c>
      <c r="R1571" s="11" t="s">
        <v>17780</v>
      </c>
      <c r="S1571" s="11" t="s">
        <v>17750</v>
      </c>
    </row>
    <row r="1572" spans="1:19" x14ac:dyDescent="0.2">
      <c r="A1572" s="11" t="s">
        <v>27093</v>
      </c>
      <c r="B1572" s="9" t="s">
        <v>27094</v>
      </c>
      <c r="C1572" s="9" t="s">
        <v>27095</v>
      </c>
      <c r="D1572" s="9" t="s">
        <v>27096</v>
      </c>
      <c r="E1572" s="9" t="s">
        <v>17740</v>
      </c>
      <c r="F1572" s="9" t="s">
        <v>17741</v>
      </c>
      <c r="G1572" s="9" t="s">
        <v>17740</v>
      </c>
      <c r="H1572" s="11" t="s">
        <v>1442</v>
      </c>
      <c r="I1572" s="11" t="s">
        <v>1441</v>
      </c>
      <c r="J1572" s="11" t="s">
        <v>1441</v>
      </c>
      <c r="K1572" s="9" t="s">
        <v>25648</v>
      </c>
      <c r="L1572" s="9" t="s">
        <v>17759</v>
      </c>
      <c r="M1572" s="9" t="s">
        <v>17760</v>
      </c>
      <c r="N1572" s="9" t="s">
        <v>17746</v>
      </c>
      <c r="O1572" s="9" t="s">
        <v>5790</v>
      </c>
      <c r="P1572" s="9" t="s">
        <v>17748</v>
      </c>
      <c r="Q1572" s="11" t="s">
        <v>17978</v>
      </c>
      <c r="R1572" s="11" t="s">
        <v>17978</v>
      </c>
      <c r="S1572" s="11" t="s">
        <v>17750</v>
      </c>
    </row>
    <row r="1573" spans="1:19" x14ac:dyDescent="0.2">
      <c r="A1573" s="11" t="s">
        <v>27097</v>
      </c>
      <c r="B1573" s="9" t="s">
        <v>27098</v>
      </c>
      <c r="C1573" s="9" t="s">
        <v>27099</v>
      </c>
      <c r="D1573" s="9" t="s">
        <v>27100</v>
      </c>
      <c r="E1573" s="9" t="s">
        <v>17748</v>
      </c>
      <c r="F1573" s="9" t="s">
        <v>27101</v>
      </c>
      <c r="G1573" s="9" t="s">
        <v>17740</v>
      </c>
      <c r="H1573" s="11" t="s">
        <v>6495</v>
      </c>
      <c r="I1573" s="11" t="s">
        <v>6494</v>
      </c>
      <c r="J1573" s="11" t="s">
        <v>6494</v>
      </c>
      <c r="K1573" s="9" t="s">
        <v>22893</v>
      </c>
      <c r="L1573" s="9" t="s">
        <v>17759</v>
      </c>
      <c r="M1573" s="9" t="s">
        <v>17817</v>
      </c>
      <c r="N1573" s="9" t="s">
        <v>17746</v>
      </c>
      <c r="O1573" s="9" t="s">
        <v>27102</v>
      </c>
      <c r="P1573" s="9" t="s">
        <v>17748</v>
      </c>
      <c r="Q1573" s="11" t="s">
        <v>19361</v>
      </c>
      <c r="R1573" s="11" t="s">
        <v>19361</v>
      </c>
      <c r="S1573" s="11" t="s">
        <v>17750</v>
      </c>
    </row>
    <row r="1574" spans="1:19" x14ac:dyDescent="0.2">
      <c r="A1574" s="11" t="s">
        <v>27103</v>
      </c>
      <c r="B1574" s="9" t="s">
        <v>27104</v>
      </c>
      <c r="C1574" s="9" t="s">
        <v>27105</v>
      </c>
      <c r="D1574" s="9" t="s">
        <v>27106</v>
      </c>
      <c r="E1574" s="9" t="s">
        <v>17740</v>
      </c>
      <c r="F1574" s="9" t="s">
        <v>17741</v>
      </c>
      <c r="G1574" s="9" t="s">
        <v>17740</v>
      </c>
      <c r="H1574" s="11" t="s">
        <v>7494</v>
      </c>
      <c r="I1574" s="11" t="s">
        <v>7493</v>
      </c>
      <c r="J1574" s="11" t="s">
        <v>7493</v>
      </c>
      <c r="K1574" s="9" t="s">
        <v>970</v>
      </c>
      <c r="L1574" s="9" t="s">
        <v>17759</v>
      </c>
      <c r="M1574" s="9" t="s">
        <v>18184</v>
      </c>
      <c r="N1574" s="9" t="s">
        <v>17746</v>
      </c>
      <c r="O1574" s="9" t="s">
        <v>5790</v>
      </c>
      <c r="P1574" s="9" t="s">
        <v>17748</v>
      </c>
      <c r="Q1574" s="11" t="s">
        <v>18201</v>
      </c>
      <c r="R1574" s="11" t="s">
        <v>18201</v>
      </c>
      <c r="S1574" s="11" t="s">
        <v>17750</v>
      </c>
    </row>
    <row r="1575" spans="1:19" x14ac:dyDescent="0.2">
      <c r="A1575" s="11" t="s">
        <v>27107</v>
      </c>
      <c r="B1575" s="9" t="s">
        <v>27108</v>
      </c>
      <c r="C1575" s="9" t="s">
        <v>27109</v>
      </c>
      <c r="D1575" s="9" t="s">
        <v>5790</v>
      </c>
      <c r="E1575" s="9" t="s">
        <v>17740</v>
      </c>
      <c r="F1575" s="9" t="s">
        <v>27110</v>
      </c>
      <c r="G1575" s="9" t="s">
        <v>17740</v>
      </c>
      <c r="H1575" s="11" t="s">
        <v>5792</v>
      </c>
      <c r="I1575" s="11" t="s">
        <v>5791</v>
      </c>
      <c r="J1575" s="11" t="s">
        <v>5791</v>
      </c>
      <c r="K1575" s="9" t="s">
        <v>18122</v>
      </c>
      <c r="L1575" s="9" t="s">
        <v>18123</v>
      </c>
      <c r="M1575" s="9" t="s">
        <v>18177</v>
      </c>
      <c r="N1575" s="9" t="s">
        <v>17746</v>
      </c>
      <c r="O1575" s="9" t="s">
        <v>5790</v>
      </c>
      <c r="P1575" s="9" t="s">
        <v>17748</v>
      </c>
      <c r="Q1575" s="11" t="s">
        <v>18147</v>
      </c>
      <c r="R1575" s="11" t="s">
        <v>18147</v>
      </c>
      <c r="S1575" s="11" t="s">
        <v>17750</v>
      </c>
    </row>
    <row r="1576" spans="1:19" x14ac:dyDescent="0.2">
      <c r="A1576" s="11" t="s">
        <v>27111</v>
      </c>
      <c r="B1576" s="9" t="s">
        <v>27112</v>
      </c>
      <c r="C1576" s="9" t="s">
        <v>27113</v>
      </c>
      <c r="D1576" s="9" t="s">
        <v>27114</v>
      </c>
      <c r="E1576" s="9" t="s">
        <v>17740</v>
      </c>
      <c r="F1576" s="9" t="s">
        <v>17741</v>
      </c>
      <c r="G1576" s="9" t="s">
        <v>17740</v>
      </c>
      <c r="H1576" s="11" t="s">
        <v>10139</v>
      </c>
      <c r="I1576" s="11" t="s">
        <v>17741</v>
      </c>
      <c r="J1576" s="11" t="s">
        <v>10139</v>
      </c>
      <c r="K1576" s="9" t="s">
        <v>27115</v>
      </c>
      <c r="L1576" s="9" t="s">
        <v>17759</v>
      </c>
      <c r="M1576" s="9" t="s">
        <v>19012</v>
      </c>
      <c r="N1576" s="9" t="s">
        <v>17746</v>
      </c>
      <c r="O1576" s="9" t="s">
        <v>5790</v>
      </c>
      <c r="P1576" s="9" t="s">
        <v>17748</v>
      </c>
      <c r="Q1576" s="11" t="s">
        <v>19361</v>
      </c>
      <c r="R1576" s="11" t="s">
        <v>19361</v>
      </c>
      <c r="S1576" s="11" t="s">
        <v>17750</v>
      </c>
    </row>
    <row r="1577" spans="1:19" x14ac:dyDescent="0.2">
      <c r="A1577" s="11" t="s">
        <v>27116</v>
      </c>
      <c r="B1577" s="9" t="s">
        <v>27117</v>
      </c>
      <c r="C1577" s="9" t="s">
        <v>27118</v>
      </c>
      <c r="D1577" s="9" t="s">
        <v>27119</v>
      </c>
      <c r="E1577" s="9" t="s">
        <v>17740</v>
      </c>
      <c r="F1577" s="9" t="s">
        <v>27120</v>
      </c>
      <c r="G1577" s="9" t="s">
        <v>17740</v>
      </c>
      <c r="H1577" s="11" t="s">
        <v>1430</v>
      </c>
      <c r="I1577" s="11" t="s">
        <v>1429</v>
      </c>
      <c r="J1577" s="11" t="s">
        <v>1429</v>
      </c>
      <c r="K1577" s="9" t="s">
        <v>27121</v>
      </c>
      <c r="L1577" s="9" t="s">
        <v>18158</v>
      </c>
      <c r="M1577" s="9" t="s">
        <v>17741</v>
      </c>
      <c r="N1577" s="9" t="s">
        <v>18185</v>
      </c>
      <c r="O1577" s="9" t="s">
        <v>17993</v>
      </c>
      <c r="P1577" s="9" t="s">
        <v>17748</v>
      </c>
      <c r="Q1577" s="11" t="s">
        <v>18010</v>
      </c>
      <c r="R1577" s="11" t="s">
        <v>18010</v>
      </c>
      <c r="S1577" s="11" t="s">
        <v>17750</v>
      </c>
    </row>
    <row r="1578" spans="1:19" x14ac:dyDescent="0.2">
      <c r="A1578" s="11" t="s">
        <v>27122</v>
      </c>
      <c r="B1578" s="9" t="s">
        <v>27123</v>
      </c>
      <c r="C1578" s="9" t="s">
        <v>27124</v>
      </c>
      <c r="D1578" s="9" t="s">
        <v>27125</v>
      </c>
      <c r="E1578" s="9" t="s">
        <v>17740</v>
      </c>
      <c r="F1578" s="9" t="s">
        <v>17741</v>
      </c>
      <c r="G1578" s="9" t="s">
        <v>17740</v>
      </c>
      <c r="H1578" s="11" t="s">
        <v>17369</v>
      </c>
      <c r="I1578" s="11" t="s">
        <v>17741</v>
      </c>
      <c r="J1578" s="11" t="s">
        <v>17369</v>
      </c>
      <c r="K1578" s="9" t="s">
        <v>27126</v>
      </c>
      <c r="L1578" s="9" t="s">
        <v>18158</v>
      </c>
      <c r="M1578" s="9" t="s">
        <v>23186</v>
      </c>
      <c r="N1578" s="9" t="s">
        <v>17746</v>
      </c>
      <c r="O1578" s="9" t="s">
        <v>27127</v>
      </c>
      <c r="P1578" s="9" t="s">
        <v>17748</v>
      </c>
      <c r="Q1578" s="11" t="s">
        <v>17762</v>
      </c>
      <c r="R1578" s="11" t="s">
        <v>17762</v>
      </c>
      <c r="S1578" s="11" t="s">
        <v>17750</v>
      </c>
    </row>
    <row r="1579" spans="1:19" x14ac:dyDescent="0.2">
      <c r="A1579" s="11" t="s">
        <v>27128</v>
      </c>
      <c r="B1579" s="9" t="s">
        <v>27129</v>
      </c>
      <c r="C1579" s="9" t="s">
        <v>27130</v>
      </c>
      <c r="D1579" s="9" t="s">
        <v>27131</v>
      </c>
      <c r="E1579" s="9" t="s">
        <v>17740</v>
      </c>
      <c r="F1579" s="9" t="s">
        <v>17741</v>
      </c>
      <c r="G1579" s="9" t="s">
        <v>17740</v>
      </c>
      <c r="H1579" s="11" t="s">
        <v>27132</v>
      </c>
      <c r="I1579" s="11" t="s">
        <v>27133</v>
      </c>
      <c r="J1579" s="11" t="s">
        <v>27133</v>
      </c>
      <c r="K1579" s="9" t="s">
        <v>21146</v>
      </c>
      <c r="L1579" s="9" t="s">
        <v>17744</v>
      </c>
      <c r="M1579" s="9" t="s">
        <v>27134</v>
      </c>
      <c r="N1579" s="9" t="s">
        <v>17746</v>
      </c>
      <c r="O1579" s="9" t="s">
        <v>17874</v>
      </c>
      <c r="P1579" s="9" t="s">
        <v>17748</v>
      </c>
      <c r="Q1579" s="11" t="s">
        <v>18922</v>
      </c>
      <c r="R1579" s="11" t="s">
        <v>18922</v>
      </c>
      <c r="S1579" s="11" t="s">
        <v>17750</v>
      </c>
    </row>
    <row r="1580" spans="1:19" x14ac:dyDescent="0.2">
      <c r="A1580" s="11" t="s">
        <v>27135</v>
      </c>
      <c r="B1580" s="9" t="s">
        <v>27136</v>
      </c>
      <c r="C1580" s="9" t="s">
        <v>27137</v>
      </c>
      <c r="D1580" s="9" t="s">
        <v>27138</v>
      </c>
      <c r="E1580" s="9" t="s">
        <v>17740</v>
      </c>
      <c r="F1580" s="9" t="s">
        <v>27139</v>
      </c>
      <c r="G1580" s="9" t="s">
        <v>17740</v>
      </c>
      <c r="H1580" s="11" t="s">
        <v>4324</v>
      </c>
      <c r="I1580" s="11" t="s">
        <v>4323</v>
      </c>
      <c r="J1580" s="11" t="s">
        <v>4323</v>
      </c>
      <c r="K1580" s="9" t="s">
        <v>27140</v>
      </c>
      <c r="L1580" s="9" t="s">
        <v>17744</v>
      </c>
      <c r="M1580" s="9" t="s">
        <v>20172</v>
      </c>
      <c r="N1580" s="9" t="s">
        <v>17746</v>
      </c>
      <c r="O1580" s="9" t="s">
        <v>27141</v>
      </c>
      <c r="P1580" s="9" t="s">
        <v>17748</v>
      </c>
      <c r="Q1580" s="11" t="s">
        <v>18364</v>
      </c>
      <c r="R1580" s="11" t="s">
        <v>18364</v>
      </c>
      <c r="S1580" s="11" t="s">
        <v>17750</v>
      </c>
    </row>
    <row r="1581" spans="1:19" x14ac:dyDescent="0.2">
      <c r="A1581" s="11" t="s">
        <v>27142</v>
      </c>
      <c r="B1581" s="9" t="s">
        <v>27143</v>
      </c>
      <c r="C1581" s="9" t="s">
        <v>27144</v>
      </c>
      <c r="D1581" s="9" t="s">
        <v>27145</v>
      </c>
      <c r="E1581" s="9" t="s">
        <v>17740</v>
      </c>
      <c r="F1581" s="9" t="s">
        <v>17741</v>
      </c>
      <c r="G1581" s="9" t="s">
        <v>17740</v>
      </c>
      <c r="H1581" s="11" t="s">
        <v>27146</v>
      </c>
      <c r="I1581" s="11" t="s">
        <v>27147</v>
      </c>
      <c r="J1581" s="11" t="s">
        <v>27147</v>
      </c>
      <c r="K1581" s="9" t="s">
        <v>724</v>
      </c>
      <c r="L1581" s="9" t="s">
        <v>17759</v>
      </c>
      <c r="M1581" s="9" t="s">
        <v>17760</v>
      </c>
      <c r="N1581" s="9" t="s">
        <v>17746</v>
      </c>
      <c r="O1581" s="9" t="s">
        <v>19769</v>
      </c>
      <c r="P1581" s="9" t="s">
        <v>17748</v>
      </c>
      <c r="Q1581" s="11" t="s">
        <v>17819</v>
      </c>
      <c r="R1581" s="11" t="s">
        <v>17819</v>
      </c>
      <c r="S1581" s="11" t="s">
        <v>17750</v>
      </c>
    </row>
    <row r="1582" spans="1:19" x14ac:dyDescent="0.2">
      <c r="A1582" s="11" t="s">
        <v>27148</v>
      </c>
      <c r="B1582" s="9" t="s">
        <v>27149</v>
      </c>
      <c r="C1582" s="9" t="s">
        <v>27150</v>
      </c>
      <c r="D1582" s="9" t="s">
        <v>27151</v>
      </c>
      <c r="E1582" s="9" t="s">
        <v>17740</v>
      </c>
      <c r="F1582" s="9" t="s">
        <v>27152</v>
      </c>
      <c r="G1582" s="9" t="s">
        <v>17740</v>
      </c>
      <c r="H1582" s="11" t="s">
        <v>7136</v>
      </c>
      <c r="I1582" s="11" t="s">
        <v>7135</v>
      </c>
      <c r="J1582" s="11" t="s">
        <v>7135</v>
      </c>
      <c r="K1582" s="9" t="s">
        <v>17089</v>
      </c>
      <c r="L1582" s="9" t="s">
        <v>18158</v>
      </c>
      <c r="M1582" s="9" t="s">
        <v>27153</v>
      </c>
      <c r="N1582" s="9" t="s">
        <v>17746</v>
      </c>
      <c r="O1582" s="9" t="s">
        <v>27141</v>
      </c>
      <c r="P1582" s="9" t="s">
        <v>17748</v>
      </c>
      <c r="Q1582" s="11" t="s">
        <v>18201</v>
      </c>
      <c r="R1582" s="11" t="s">
        <v>18201</v>
      </c>
      <c r="S1582" s="11" t="s">
        <v>17750</v>
      </c>
    </row>
    <row r="1583" spans="1:19" x14ac:dyDescent="0.2">
      <c r="A1583" s="11" t="s">
        <v>27154</v>
      </c>
      <c r="B1583" s="9" t="s">
        <v>27155</v>
      </c>
      <c r="C1583" s="9" t="s">
        <v>27156</v>
      </c>
      <c r="D1583" s="9" t="s">
        <v>27157</v>
      </c>
      <c r="E1583" s="9" t="s">
        <v>17740</v>
      </c>
      <c r="F1583" s="9" t="s">
        <v>27158</v>
      </c>
      <c r="G1583" s="9" t="s">
        <v>17740</v>
      </c>
      <c r="H1583" s="11" t="s">
        <v>1379</v>
      </c>
      <c r="I1583" s="11" t="s">
        <v>1378</v>
      </c>
      <c r="J1583" s="11" t="s">
        <v>1378</v>
      </c>
      <c r="K1583" s="9" t="s">
        <v>27159</v>
      </c>
      <c r="L1583" s="9" t="s">
        <v>18242</v>
      </c>
      <c r="M1583" s="9" t="s">
        <v>17769</v>
      </c>
      <c r="N1583" s="9" t="s">
        <v>17746</v>
      </c>
      <c r="O1583" s="9" t="s">
        <v>27141</v>
      </c>
      <c r="P1583" s="9" t="s">
        <v>17748</v>
      </c>
      <c r="Q1583" s="11" t="s">
        <v>17867</v>
      </c>
      <c r="R1583" s="11" t="s">
        <v>17867</v>
      </c>
      <c r="S1583" s="11" t="s">
        <v>17750</v>
      </c>
    </row>
    <row r="1584" spans="1:19" x14ac:dyDescent="0.2">
      <c r="A1584" s="11" t="s">
        <v>27160</v>
      </c>
      <c r="B1584" s="9" t="s">
        <v>27161</v>
      </c>
      <c r="C1584" s="9" t="s">
        <v>27162</v>
      </c>
      <c r="D1584" s="9" t="s">
        <v>27163</v>
      </c>
      <c r="E1584" s="9" t="s">
        <v>17740</v>
      </c>
      <c r="F1584" s="9" t="s">
        <v>17741</v>
      </c>
      <c r="G1584" s="9" t="s">
        <v>17740</v>
      </c>
      <c r="H1584" s="11" t="s">
        <v>27164</v>
      </c>
      <c r="I1584" s="11" t="s">
        <v>1351</v>
      </c>
      <c r="J1584" s="11" t="s">
        <v>1351</v>
      </c>
      <c r="K1584" s="9" t="s">
        <v>18661</v>
      </c>
      <c r="L1584" s="9" t="s">
        <v>17759</v>
      </c>
      <c r="M1584" s="9" t="s">
        <v>27165</v>
      </c>
      <c r="N1584" s="9" t="s">
        <v>17746</v>
      </c>
      <c r="O1584" s="9" t="s">
        <v>18882</v>
      </c>
      <c r="P1584" s="9" t="s">
        <v>17748</v>
      </c>
      <c r="Q1584" s="11" t="s">
        <v>18600</v>
      </c>
      <c r="R1584" s="11" t="s">
        <v>18600</v>
      </c>
      <c r="S1584" s="11" t="s">
        <v>17750</v>
      </c>
    </row>
    <row r="1585" spans="1:19" x14ac:dyDescent="0.2">
      <c r="A1585" s="11" t="s">
        <v>27166</v>
      </c>
      <c r="B1585" s="9" t="s">
        <v>27167</v>
      </c>
      <c r="C1585" s="9" t="s">
        <v>27168</v>
      </c>
      <c r="D1585" s="9" t="s">
        <v>27169</v>
      </c>
      <c r="E1585" s="9" t="s">
        <v>17740</v>
      </c>
      <c r="F1585" s="9" t="s">
        <v>17741</v>
      </c>
      <c r="G1585" s="9" t="s">
        <v>17740</v>
      </c>
      <c r="H1585" s="11" t="s">
        <v>1366</v>
      </c>
      <c r="I1585" s="11" t="s">
        <v>1365</v>
      </c>
      <c r="J1585" s="11" t="s">
        <v>1365</v>
      </c>
      <c r="K1585" s="9" t="s">
        <v>91</v>
      </c>
      <c r="L1585" s="9" t="s">
        <v>17759</v>
      </c>
      <c r="M1585" s="9" t="s">
        <v>20172</v>
      </c>
      <c r="N1585" s="9" t="s">
        <v>17746</v>
      </c>
      <c r="O1585" s="9" t="s">
        <v>27141</v>
      </c>
      <c r="P1585" s="9" t="s">
        <v>17748</v>
      </c>
      <c r="Q1585" s="11" t="s">
        <v>17943</v>
      </c>
      <c r="R1585" s="11" t="s">
        <v>17943</v>
      </c>
      <c r="S1585" s="11" t="s">
        <v>17750</v>
      </c>
    </row>
    <row r="1586" spans="1:19" x14ac:dyDescent="0.2">
      <c r="A1586" s="11" t="s">
        <v>27170</v>
      </c>
      <c r="B1586" s="9" t="s">
        <v>27171</v>
      </c>
      <c r="C1586" s="9" t="s">
        <v>27172</v>
      </c>
      <c r="D1586" s="9" t="s">
        <v>27173</v>
      </c>
      <c r="E1586" s="9" t="s">
        <v>17740</v>
      </c>
      <c r="F1586" s="9" t="s">
        <v>17741</v>
      </c>
      <c r="G1586" s="9" t="s">
        <v>17740</v>
      </c>
      <c r="H1586" s="11" t="s">
        <v>17741</v>
      </c>
      <c r="I1586" s="11" t="s">
        <v>17741</v>
      </c>
      <c r="J1586" s="11" t="s">
        <v>17741</v>
      </c>
      <c r="K1586" s="9" t="s">
        <v>18934</v>
      </c>
      <c r="L1586" s="9" t="s">
        <v>17759</v>
      </c>
      <c r="M1586" s="9" t="s">
        <v>18745</v>
      </c>
      <c r="N1586" s="9" t="s">
        <v>17746</v>
      </c>
      <c r="O1586" s="9" t="s">
        <v>27141</v>
      </c>
      <c r="P1586" s="9" t="s">
        <v>17748</v>
      </c>
      <c r="Q1586" s="11" t="s">
        <v>18960</v>
      </c>
      <c r="R1586" s="11" t="s">
        <v>18960</v>
      </c>
      <c r="S1586" s="11" t="s">
        <v>17750</v>
      </c>
    </row>
    <row r="1587" spans="1:19" x14ac:dyDescent="0.2">
      <c r="A1587" s="11" t="s">
        <v>27174</v>
      </c>
      <c r="B1587" s="9" t="s">
        <v>27175</v>
      </c>
      <c r="C1587" s="9" t="s">
        <v>27176</v>
      </c>
      <c r="D1587" s="9" t="s">
        <v>27177</v>
      </c>
      <c r="E1587" s="9" t="s">
        <v>17740</v>
      </c>
      <c r="F1587" s="9" t="s">
        <v>17741</v>
      </c>
      <c r="G1587" s="9" t="s">
        <v>17740</v>
      </c>
      <c r="H1587" s="11" t="s">
        <v>9073</v>
      </c>
      <c r="I1587" s="11" t="s">
        <v>9072</v>
      </c>
      <c r="J1587" s="11" t="s">
        <v>9072</v>
      </c>
      <c r="K1587" s="9" t="s">
        <v>324</v>
      </c>
      <c r="L1587" s="9" t="s">
        <v>17759</v>
      </c>
      <c r="M1587" s="9" t="s">
        <v>17817</v>
      </c>
      <c r="N1587" s="9" t="s">
        <v>17746</v>
      </c>
      <c r="O1587" s="9" t="s">
        <v>27178</v>
      </c>
      <c r="P1587" s="9" t="s">
        <v>17748</v>
      </c>
      <c r="Q1587" s="11" t="s">
        <v>18922</v>
      </c>
      <c r="R1587" s="11" t="s">
        <v>18922</v>
      </c>
      <c r="S1587" s="11" t="s">
        <v>17750</v>
      </c>
    </row>
    <row r="1588" spans="1:19" x14ac:dyDescent="0.2">
      <c r="A1588" s="11" t="s">
        <v>27179</v>
      </c>
      <c r="B1588" s="9" t="s">
        <v>27180</v>
      </c>
      <c r="C1588" s="9" t="s">
        <v>27181</v>
      </c>
      <c r="D1588" s="9" t="s">
        <v>27182</v>
      </c>
      <c r="E1588" s="9" t="s">
        <v>17740</v>
      </c>
      <c r="F1588" s="9" t="s">
        <v>17741</v>
      </c>
      <c r="G1588" s="9" t="s">
        <v>17740</v>
      </c>
      <c r="H1588" s="11" t="s">
        <v>14713</v>
      </c>
      <c r="I1588" s="11" t="s">
        <v>14712</v>
      </c>
      <c r="J1588" s="11" t="s">
        <v>14712</v>
      </c>
      <c r="K1588" s="9" t="s">
        <v>91</v>
      </c>
      <c r="L1588" s="9" t="s">
        <v>18001</v>
      </c>
      <c r="M1588" s="9" t="s">
        <v>27183</v>
      </c>
      <c r="N1588" s="9" t="s">
        <v>17746</v>
      </c>
      <c r="O1588" s="9" t="s">
        <v>19127</v>
      </c>
      <c r="P1588" s="9" t="s">
        <v>17748</v>
      </c>
      <c r="Q1588" s="11" t="s">
        <v>17909</v>
      </c>
      <c r="R1588" s="11" t="s">
        <v>17909</v>
      </c>
      <c r="S1588" s="11" t="s">
        <v>17750</v>
      </c>
    </row>
    <row r="1589" spans="1:19" x14ac:dyDescent="0.2">
      <c r="A1589" s="11" t="s">
        <v>27184</v>
      </c>
      <c r="B1589" s="9" t="s">
        <v>27185</v>
      </c>
      <c r="C1589" s="9" t="s">
        <v>27186</v>
      </c>
      <c r="D1589" s="9" t="s">
        <v>27187</v>
      </c>
      <c r="E1589" s="9" t="s">
        <v>17748</v>
      </c>
      <c r="F1589" s="9" t="s">
        <v>27188</v>
      </c>
      <c r="G1589" s="9" t="s">
        <v>17740</v>
      </c>
      <c r="H1589" s="11" t="s">
        <v>12753</v>
      </c>
      <c r="I1589" s="11" t="s">
        <v>27189</v>
      </c>
      <c r="J1589" s="11" t="s">
        <v>12753</v>
      </c>
      <c r="K1589" s="9" t="s">
        <v>970</v>
      </c>
      <c r="L1589" s="9" t="s">
        <v>17759</v>
      </c>
      <c r="M1589" s="9" t="s">
        <v>21794</v>
      </c>
      <c r="N1589" s="9" t="s">
        <v>17746</v>
      </c>
      <c r="O1589" s="9" t="s">
        <v>17834</v>
      </c>
      <c r="P1589" s="9" t="s">
        <v>17748</v>
      </c>
      <c r="Q1589" s="11" t="s">
        <v>18370</v>
      </c>
      <c r="R1589" s="11" t="s">
        <v>18370</v>
      </c>
      <c r="S1589" s="11" t="s">
        <v>17750</v>
      </c>
    </row>
    <row r="1590" spans="1:19" x14ac:dyDescent="0.2">
      <c r="A1590" s="11" t="s">
        <v>27190</v>
      </c>
      <c r="B1590" s="9" t="s">
        <v>27191</v>
      </c>
      <c r="C1590" s="9" t="s">
        <v>27192</v>
      </c>
      <c r="D1590" s="9" t="s">
        <v>27193</v>
      </c>
      <c r="E1590" s="9" t="s">
        <v>17740</v>
      </c>
      <c r="F1590" s="9" t="s">
        <v>27194</v>
      </c>
      <c r="G1590" s="9" t="s">
        <v>17740</v>
      </c>
      <c r="H1590" s="11" t="s">
        <v>5669</v>
      </c>
      <c r="I1590" s="11" t="s">
        <v>5668</v>
      </c>
      <c r="J1590" s="11" t="s">
        <v>5668</v>
      </c>
      <c r="K1590" s="9" t="s">
        <v>19094</v>
      </c>
      <c r="L1590" s="9" t="s">
        <v>17759</v>
      </c>
      <c r="M1590" s="9" t="s">
        <v>17817</v>
      </c>
      <c r="N1590" s="9" t="s">
        <v>17746</v>
      </c>
      <c r="O1590" s="9" t="s">
        <v>20208</v>
      </c>
      <c r="P1590" s="9" t="s">
        <v>17748</v>
      </c>
      <c r="Q1590" s="11" t="s">
        <v>18147</v>
      </c>
      <c r="R1590" s="11" t="s">
        <v>18147</v>
      </c>
      <c r="S1590" s="11" t="s">
        <v>17750</v>
      </c>
    </row>
    <row r="1591" spans="1:19" x14ac:dyDescent="0.2">
      <c r="A1591" s="11" t="s">
        <v>27195</v>
      </c>
      <c r="B1591" s="9" t="s">
        <v>27196</v>
      </c>
      <c r="C1591" s="9" t="s">
        <v>27197</v>
      </c>
      <c r="D1591" s="9" t="s">
        <v>27198</v>
      </c>
      <c r="E1591" s="9" t="s">
        <v>17740</v>
      </c>
      <c r="F1591" s="9" t="s">
        <v>27199</v>
      </c>
      <c r="G1591" s="9" t="s">
        <v>17740</v>
      </c>
      <c r="H1591" s="11" t="s">
        <v>1416</v>
      </c>
      <c r="I1591" s="11" t="s">
        <v>1415</v>
      </c>
      <c r="J1591" s="11" t="s">
        <v>1415</v>
      </c>
      <c r="K1591" s="9" t="s">
        <v>21146</v>
      </c>
      <c r="L1591" s="9" t="s">
        <v>17744</v>
      </c>
      <c r="M1591" s="9" t="s">
        <v>26182</v>
      </c>
      <c r="N1591" s="9" t="s">
        <v>17746</v>
      </c>
      <c r="O1591" s="9" t="s">
        <v>24849</v>
      </c>
      <c r="P1591" s="9" t="s">
        <v>17748</v>
      </c>
      <c r="Q1591" s="11" t="s">
        <v>18314</v>
      </c>
      <c r="R1591" s="11" t="s">
        <v>18314</v>
      </c>
      <c r="S1591" s="11" t="s">
        <v>17750</v>
      </c>
    </row>
    <row r="1592" spans="1:19" x14ac:dyDescent="0.2">
      <c r="A1592" s="11" t="s">
        <v>27200</v>
      </c>
      <c r="B1592" s="9" t="s">
        <v>27201</v>
      </c>
      <c r="C1592" s="9" t="s">
        <v>27202</v>
      </c>
      <c r="D1592" s="9" t="s">
        <v>27203</v>
      </c>
      <c r="E1592" s="9" t="s">
        <v>17748</v>
      </c>
      <c r="F1592" s="9" t="s">
        <v>27204</v>
      </c>
      <c r="G1592" s="9" t="s">
        <v>17740</v>
      </c>
      <c r="H1592" s="11" t="s">
        <v>27205</v>
      </c>
      <c r="I1592" s="11" t="s">
        <v>12098</v>
      </c>
      <c r="J1592" s="11" t="s">
        <v>12098</v>
      </c>
      <c r="K1592" s="9" t="s">
        <v>27206</v>
      </c>
      <c r="L1592" s="9" t="s">
        <v>17759</v>
      </c>
      <c r="M1592" s="9" t="s">
        <v>27207</v>
      </c>
      <c r="N1592" s="9" t="s">
        <v>17746</v>
      </c>
      <c r="O1592" s="9" t="s">
        <v>18281</v>
      </c>
      <c r="P1592" s="9" t="s">
        <v>17748</v>
      </c>
      <c r="Q1592" s="11" t="s">
        <v>17917</v>
      </c>
      <c r="R1592" s="11" t="s">
        <v>17917</v>
      </c>
      <c r="S1592" s="11" t="s">
        <v>17750</v>
      </c>
    </row>
    <row r="1593" spans="1:19" x14ac:dyDescent="0.2">
      <c r="A1593" s="11" t="s">
        <v>27208</v>
      </c>
      <c r="B1593" s="9" t="s">
        <v>27209</v>
      </c>
      <c r="C1593" s="9" t="s">
        <v>27210</v>
      </c>
      <c r="D1593" s="9" t="s">
        <v>27211</v>
      </c>
      <c r="E1593" s="9" t="s">
        <v>17740</v>
      </c>
      <c r="F1593" s="9" t="s">
        <v>17741</v>
      </c>
      <c r="G1593" s="9" t="s">
        <v>17740</v>
      </c>
      <c r="H1593" s="11" t="s">
        <v>27212</v>
      </c>
      <c r="I1593" s="11" t="s">
        <v>27213</v>
      </c>
      <c r="J1593" s="11" t="s">
        <v>27212</v>
      </c>
      <c r="K1593" s="9" t="s">
        <v>291</v>
      </c>
      <c r="L1593" s="9" t="s">
        <v>17744</v>
      </c>
      <c r="M1593" s="9" t="s">
        <v>19032</v>
      </c>
      <c r="N1593" s="9" t="s">
        <v>17746</v>
      </c>
      <c r="O1593" s="9" t="s">
        <v>21109</v>
      </c>
      <c r="P1593" s="9" t="s">
        <v>17748</v>
      </c>
      <c r="Q1593" s="11" t="s">
        <v>18960</v>
      </c>
      <c r="R1593" s="11" t="s">
        <v>18960</v>
      </c>
      <c r="S1593" s="11" t="s">
        <v>17750</v>
      </c>
    </row>
    <row r="1594" spans="1:19" x14ac:dyDescent="0.2">
      <c r="A1594" s="11" t="s">
        <v>27214</v>
      </c>
      <c r="B1594" s="9" t="s">
        <v>27215</v>
      </c>
      <c r="C1594" s="9" t="s">
        <v>27216</v>
      </c>
      <c r="D1594" s="9" t="s">
        <v>27217</v>
      </c>
      <c r="E1594" s="9" t="s">
        <v>17748</v>
      </c>
      <c r="F1594" s="9" t="s">
        <v>27218</v>
      </c>
      <c r="G1594" s="9" t="s">
        <v>17740</v>
      </c>
      <c r="H1594" s="11" t="s">
        <v>11761</v>
      </c>
      <c r="I1594" s="11" t="s">
        <v>11760</v>
      </c>
      <c r="J1594" s="11" t="s">
        <v>11760</v>
      </c>
      <c r="K1594" s="9" t="s">
        <v>291</v>
      </c>
      <c r="L1594" s="9" t="s">
        <v>17744</v>
      </c>
      <c r="M1594" s="9" t="s">
        <v>18065</v>
      </c>
      <c r="N1594" s="9" t="s">
        <v>17746</v>
      </c>
      <c r="O1594" s="9" t="s">
        <v>27219</v>
      </c>
      <c r="P1594" s="9" t="s">
        <v>17748</v>
      </c>
      <c r="Q1594" s="11" t="s">
        <v>17917</v>
      </c>
      <c r="R1594" s="11" t="s">
        <v>17917</v>
      </c>
      <c r="S1594" s="11" t="s">
        <v>17750</v>
      </c>
    </row>
    <row r="1595" spans="1:19" x14ac:dyDescent="0.2">
      <c r="A1595" s="11" t="s">
        <v>27220</v>
      </c>
      <c r="B1595" s="9" t="s">
        <v>27221</v>
      </c>
      <c r="C1595" s="9" t="s">
        <v>27222</v>
      </c>
      <c r="D1595" s="9" t="s">
        <v>27223</v>
      </c>
      <c r="E1595" s="9" t="s">
        <v>17740</v>
      </c>
      <c r="F1595" s="9" t="s">
        <v>17741</v>
      </c>
      <c r="G1595" s="9" t="s">
        <v>17740</v>
      </c>
      <c r="H1595" s="11" t="s">
        <v>1369</v>
      </c>
      <c r="I1595" s="11" t="s">
        <v>1368</v>
      </c>
      <c r="J1595" s="11" t="s">
        <v>1368</v>
      </c>
      <c r="K1595" s="9" t="s">
        <v>18176</v>
      </c>
      <c r="L1595" s="9" t="s">
        <v>18123</v>
      </c>
      <c r="M1595" s="9" t="s">
        <v>17769</v>
      </c>
      <c r="N1595" s="9" t="s">
        <v>17746</v>
      </c>
      <c r="O1595" s="9" t="s">
        <v>3100</v>
      </c>
      <c r="P1595" s="9" t="s">
        <v>17748</v>
      </c>
      <c r="Q1595" s="11" t="s">
        <v>19335</v>
      </c>
      <c r="R1595" s="11" t="s">
        <v>19335</v>
      </c>
      <c r="S1595" s="11" t="s">
        <v>17750</v>
      </c>
    </row>
    <row r="1596" spans="1:19" x14ac:dyDescent="0.2">
      <c r="A1596" s="11" t="s">
        <v>27224</v>
      </c>
      <c r="B1596" s="9" t="s">
        <v>27225</v>
      </c>
      <c r="C1596" s="9" t="s">
        <v>27226</v>
      </c>
      <c r="D1596" s="9" t="s">
        <v>27227</v>
      </c>
      <c r="E1596" s="9" t="s">
        <v>17740</v>
      </c>
      <c r="F1596" s="9" t="s">
        <v>17741</v>
      </c>
      <c r="G1596" s="9" t="s">
        <v>17740</v>
      </c>
      <c r="H1596" s="11" t="s">
        <v>27228</v>
      </c>
      <c r="I1596" s="11" t="s">
        <v>27229</v>
      </c>
      <c r="J1596" s="11" t="s">
        <v>27229</v>
      </c>
      <c r="K1596" s="9" t="s">
        <v>18827</v>
      </c>
      <c r="L1596" s="9" t="s">
        <v>17759</v>
      </c>
      <c r="M1596" s="9" t="s">
        <v>18289</v>
      </c>
      <c r="N1596" s="9" t="s">
        <v>17746</v>
      </c>
      <c r="O1596" s="9" t="s">
        <v>27230</v>
      </c>
      <c r="P1596" s="9" t="s">
        <v>17748</v>
      </c>
      <c r="Q1596" s="11" t="s">
        <v>17883</v>
      </c>
      <c r="R1596" s="11" t="s">
        <v>17883</v>
      </c>
      <c r="S1596" s="11" t="s">
        <v>17750</v>
      </c>
    </row>
    <row r="1597" spans="1:19" x14ac:dyDescent="0.2">
      <c r="A1597" s="11" t="s">
        <v>27231</v>
      </c>
      <c r="B1597" s="9" t="s">
        <v>27232</v>
      </c>
      <c r="C1597" s="9" t="s">
        <v>27233</v>
      </c>
      <c r="D1597" s="9" t="s">
        <v>27234</v>
      </c>
      <c r="E1597" s="9" t="s">
        <v>17740</v>
      </c>
      <c r="F1597" s="9" t="s">
        <v>17741</v>
      </c>
      <c r="G1597" s="9" t="s">
        <v>17740</v>
      </c>
      <c r="H1597" s="11" t="s">
        <v>27235</v>
      </c>
      <c r="I1597" s="11" t="s">
        <v>27236</v>
      </c>
      <c r="J1597" s="11" t="s">
        <v>27236</v>
      </c>
      <c r="K1597" s="9" t="s">
        <v>19767</v>
      </c>
      <c r="L1597" s="9" t="s">
        <v>17759</v>
      </c>
      <c r="M1597" s="9" t="s">
        <v>27237</v>
      </c>
      <c r="N1597" s="9" t="s">
        <v>17746</v>
      </c>
      <c r="O1597" s="9" t="s">
        <v>23534</v>
      </c>
      <c r="P1597" s="9" t="s">
        <v>17748</v>
      </c>
      <c r="Q1597" s="11" t="s">
        <v>17867</v>
      </c>
      <c r="R1597" s="11" t="s">
        <v>17867</v>
      </c>
      <c r="S1597" s="11" t="s">
        <v>17750</v>
      </c>
    </row>
    <row r="1598" spans="1:19" x14ac:dyDescent="0.2">
      <c r="A1598" s="11" t="s">
        <v>27238</v>
      </c>
      <c r="B1598" s="9" t="s">
        <v>27239</v>
      </c>
      <c r="C1598" s="9" t="s">
        <v>27240</v>
      </c>
      <c r="D1598" s="9" t="s">
        <v>27241</v>
      </c>
      <c r="E1598" s="9" t="s">
        <v>17740</v>
      </c>
      <c r="F1598" s="9" t="s">
        <v>17741</v>
      </c>
      <c r="G1598" s="9" t="s">
        <v>17740</v>
      </c>
      <c r="H1598" s="11" t="s">
        <v>27242</v>
      </c>
      <c r="I1598" s="11" t="s">
        <v>27243</v>
      </c>
      <c r="J1598" s="11" t="s">
        <v>27243</v>
      </c>
      <c r="K1598" s="9" t="s">
        <v>24794</v>
      </c>
      <c r="L1598" s="9" t="s">
        <v>17744</v>
      </c>
      <c r="M1598" s="9" t="s">
        <v>22224</v>
      </c>
      <c r="N1598" s="9" t="s">
        <v>17746</v>
      </c>
      <c r="O1598" s="9" t="s">
        <v>18514</v>
      </c>
      <c r="P1598" s="9" t="s">
        <v>17748</v>
      </c>
      <c r="Q1598" s="11" t="s">
        <v>18798</v>
      </c>
      <c r="R1598" s="11" t="s">
        <v>18798</v>
      </c>
      <c r="S1598" s="11" t="s">
        <v>17750</v>
      </c>
    </row>
    <row r="1599" spans="1:19" x14ac:dyDescent="0.2">
      <c r="A1599" s="11" t="s">
        <v>27244</v>
      </c>
      <c r="B1599" s="9" t="s">
        <v>27245</v>
      </c>
      <c r="C1599" s="9" t="s">
        <v>27246</v>
      </c>
      <c r="D1599" s="9" t="s">
        <v>27247</v>
      </c>
      <c r="E1599" s="9" t="s">
        <v>17748</v>
      </c>
      <c r="F1599" s="9" t="s">
        <v>27248</v>
      </c>
      <c r="G1599" s="9" t="s">
        <v>17740</v>
      </c>
      <c r="H1599" s="11" t="s">
        <v>10829</v>
      </c>
      <c r="I1599" s="11" t="s">
        <v>10828</v>
      </c>
      <c r="J1599" s="11" t="s">
        <v>10828</v>
      </c>
      <c r="K1599" s="9" t="s">
        <v>18122</v>
      </c>
      <c r="L1599" s="9" t="s">
        <v>18123</v>
      </c>
      <c r="M1599" s="9" t="s">
        <v>17942</v>
      </c>
      <c r="N1599" s="9" t="s">
        <v>17746</v>
      </c>
      <c r="O1599" s="9" t="s">
        <v>22511</v>
      </c>
      <c r="P1599" s="9" t="s">
        <v>17748</v>
      </c>
      <c r="Q1599" s="11" t="s">
        <v>17784</v>
      </c>
      <c r="R1599" s="11" t="s">
        <v>17784</v>
      </c>
      <c r="S1599" s="11" t="s">
        <v>17750</v>
      </c>
    </row>
    <row r="1600" spans="1:19" x14ac:dyDescent="0.2">
      <c r="A1600" s="11" t="s">
        <v>27249</v>
      </c>
      <c r="B1600" s="9" t="s">
        <v>27250</v>
      </c>
      <c r="C1600" s="9" t="s">
        <v>27251</v>
      </c>
      <c r="D1600" s="9" t="s">
        <v>27252</v>
      </c>
      <c r="E1600" s="9" t="s">
        <v>17740</v>
      </c>
      <c r="F1600" s="9" t="s">
        <v>17741</v>
      </c>
      <c r="G1600" s="9" t="s">
        <v>17740</v>
      </c>
      <c r="H1600" s="11" t="s">
        <v>17741</v>
      </c>
      <c r="I1600" s="11" t="s">
        <v>27253</v>
      </c>
      <c r="J1600" s="11" t="s">
        <v>27253</v>
      </c>
      <c r="K1600" s="9" t="s">
        <v>18876</v>
      </c>
      <c r="L1600" s="9" t="s">
        <v>18001</v>
      </c>
      <c r="M1600" s="9" t="s">
        <v>17942</v>
      </c>
      <c r="N1600" s="9" t="s">
        <v>17746</v>
      </c>
      <c r="O1600" s="9" t="s">
        <v>19715</v>
      </c>
      <c r="P1600" s="9" t="s">
        <v>17748</v>
      </c>
      <c r="Q1600" s="11" t="s">
        <v>18147</v>
      </c>
      <c r="R1600" s="11" t="s">
        <v>18147</v>
      </c>
      <c r="S1600" s="11" t="s">
        <v>17750</v>
      </c>
    </row>
    <row r="1601" spans="1:19" x14ac:dyDescent="0.2">
      <c r="A1601" s="11" t="s">
        <v>27254</v>
      </c>
      <c r="B1601" s="9" t="s">
        <v>27255</v>
      </c>
      <c r="C1601" s="9" t="s">
        <v>27256</v>
      </c>
      <c r="D1601" s="9" t="s">
        <v>27257</v>
      </c>
      <c r="E1601" s="9" t="s">
        <v>17740</v>
      </c>
      <c r="F1601" s="9" t="s">
        <v>27258</v>
      </c>
      <c r="G1601" s="9" t="s">
        <v>17740</v>
      </c>
      <c r="H1601" s="11" t="s">
        <v>27259</v>
      </c>
      <c r="I1601" s="11" t="s">
        <v>27260</v>
      </c>
      <c r="J1601" s="11" t="s">
        <v>27260</v>
      </c>
      <c r="K1601" s="9" t="s">
        <v>18122</v>
      </c>
      <c r="L1601" s="9" t="s">
        <v>18123</v>
      </c>
      <c r="M1601" s="9" t="s">
        <v>18745</v>
      </c>
      <c r="N1601" s="9" t="s">
        <v>17746</v>
      </c>
      <c r="O1601" s="9" t="s">
        <v>3255</v>
      </c>
      <c r="P1601" s="9" t="s">
        <v>17748</v>
      </c>
      <c r="Q1601" s="11" t="s">
        <v>18433</v>
      </c>
      <c r="R1601" s="11" t="s">
        <v>18433</v>
      </c>
      <c r="S1601" s="11" t="s">
        <v>17750</v>
      </c>
    </row>
    <row r="1602" spans="1:19" x14ac:dyDescent="0.2">
      <c r="A1602" s="11" t="s">
        <v>27261</v>
      </c>
      <c r="B1602" s="9" t="s">
        <v>1386</v>
      </c>
      <c r="C1602" s="9" t="s">
        <v>27262</v>
      </c>
      <c r="D1602" s="9" t="s">
        <v>1386</v>
      </c>
      <c r="E1602" s="9" t="s">
        <v>17740</v>
      </c>
      <c r="F1602" s="9" t="s">
        <v>27263</v>
      </c>
      <c r="G1602" s="9" t="s">
        <v>17740</v>
      </c>
      <c r="H1602" s="11" t="s">
        <v>1388</v>
      </c>
      <c r="I1602" s="11" t="s">
        <v>1387</v>
      </c>
      <c r="J1602" s="11" t="s">
        <v>1387</v>
      </c>
      <c r="K1602" s="9" t="s">
        <v>27264</v>
      </c>
      <c r="L1602" s="9" t="s">
        <v>17759</v>
      </c>
      <c r="M1602" s="9" t="s">
        <v>27265</v>
      </c>
      <c r="N1602" s="9" t="s">
        <v>17746</v>
      </c>
      <c r="O1602" s="9" t="s">
        <v>1535</v>
      </c>
      <c r="P1602" s="9" t="s">
        <v>17748</v>
      </c>
      <c r="Q1602" s="11" t="s">
        <v>19978</v>
      </c>
      <c r="R1602" s="11" t="s">
        <v>19978</v>
      </c>
      <c r="S1602" s="11" t="s">
        <v>17750</v>
      </c>
    </row>
    <row r="1603" spans="1:19" x14ac:dyDescent="0.2">
      <c r="A1603" s="11" t="s">
        <v>27266</v>
      </c>
      <c r="B1603" s="9" t="s">
        <v>27267</v>
      </c>
      <c r="C1603" s="9" t="s">
        <v>27268</v>
      </c>
      <c r="D1603" s="9" t="s">
        <v>27269</v>
      </c>
      <c r="E1603" s="9" t="s">
        <v>17740</v>
      </c>
      <c r="F1603" s="9" t="s">
        <v>17741</v>
      </c>
      <c r="G1603" s="9" t="s">
        <v>17740</v>
      </c>
      <c r="H1603" s="11" t="s">
        <v>12070</v>
      </c>
      <c r="I1603" s="11" t="s">
        <v>12069</v>
      </c>
      <c r="J1603" s="11" t="s">
        <v>12069</v>
      </c>
      <c r="K1603" s="9" t="s">
        <v>27270</v>
      </c>
      <c r="L1603" s="9" t="s">
        <v>18001</v>
      </c>
      <c r="M1603" s="9" t="s">
        <v>17760</v>
      </c>
      <c r="N1603" s="9" t="s">
        <v>17746</v>
      </c>
      <c r="O1603" s="9" t="s">
        <v>21568</v>
      </c>
      <c r="P1603" s="9" t="s">
        <v>17748</v>
      </c>
      <c r="Q1603" s="11" t="s">
        <v>17917</v>
      </c>
      <c r="R1603" s="11" t="s">
        <v>17917</v>
      </c>
      <c r="S1603" s="11" t="s">
        <v>17750</v>
      </c>
    </row>
    <row r="1604" spans="1:19" x14ac:dyDescent="0.2">
      <c r="A1604" s="11" t="s">
        <v>27271</v>
      </c>
      <c r="B1604" s="9" t="s">
        <v>27272</v>
      </c>
      <c r="C1604" s="9" t="s">
        <v>27273</v>
      </c>
      <c r="D1604" s="9" t="s">
        <v>27274</v>
      </c>
      <c r="E1604" s="9" t="s">
        <v>17748</v>
      </c>
      <c r="F1604" s="9" t="s">
        <v>27275</v>
      </c>
      <c r="G1604" s="9" t="s">
        <v>17740</v>
      </c>
      <c r="H1604" s="11" t="s">
        <v>7124</v>
      </c>
      <c r="I1604" s="11" t="s">
        <v>7123</v>
      </c>
      <c r="J1604" s="11" t="s">
        <v>7123</v>
      </c>
      <c r="K1604" s="9" t="s">
        <v>20386</v>
      </c>
      <c r="L1604" s="9" t="s">
        <v>20359</v>
      </c>
      <c r="M1604" s="9" t="s">
        <v>17769</v>
      </c>
      <c r="N1604" s="9" t="s">
        <v>17746</v>
      </c>
      <c r="O1604" s="9" t="s">
        <v>21568</v>
      </c>
      <c r="P1604" s="9" t="s">
        <v>17748</v>
      </c>
      <c r="Q1604" s="11" t="s">
        <v>18201</v>
      </c>
      <c r="R1604" s="11" t="s">
        <v>18201</v>
      </c>
      <c r="S1604" s="11" t="s">
        <v>17750</v>
      </c>
    </row>
    <row r="1605" spans="1:19" x14ac:dyDescent="0.2">
      <c r="A1605" s="11" t="s">
        <v>27276</v>
      </c>
      <c r="B1605" s="9" t="s">
        <v>27277</v>
      </c>
      <c r="C1605" s="9" t="s">
        <v>27278</v>
      </c>
      <c r="D1605" s="9" t="s">
        <v>27279</v>
      </c>
      <c r="E1605" s="9" t="s">
        <v>17740</v>
      </c>
      <c r="F1605" s="9" t="s">
        <v>17741</v>
      </c>
      <c r="G1605" s="9" t="s">
        <v>17740</v>
      </c>
      <c r="H1605" s="11" t="s">
        <v>10605</v>
      </c>
      <c r="I1605" s="11" t="s">
        <v>10604</v>
      </c>
      <c r="J1605" s="11" t="s">
        <v>10604</v>
      </c>
      <c r="K1605" s="9" t="s">
        <v>19447</v>
      </c>
      <c r="L1605" s="9" t="s">
        <v>17744</v>
      </c>
      <c r="M1605" s="9" t="s">
        <v>17760</v>
      </c>
      <c r="N1605" s="9" t="s">
        <v>17746</v>
      </c>
      <c r="O1605" s="9" t="s">
        <v>27280</v>
      </c>
      <c r="P1605" s="9" t="s">
        <v>17748</v>
      </c>
      <c r="Q1605" s="11" t="s">
        <v>17780</v>
      </c>
      <c r="R1605" s="11" t="s">
        <v>17780</v>
      </c>
      <c r="S1605" s="11" t="s">
        <v>17750</v>
      </c>
    </row>
    <row r="1606" spans="1:19" x14ac:dyDescent="0.2">
      <c r="A1606" s="11" t="s">
        <v>27281</v>
      </c>
      <c r="B1606" s="9" t="s">
        <v>27282</v>
      </c>
      <c r="C1606" s="9" t="s">
        <v>27283</v>
      </c>
      <c r="D1606" s="9" t="s">
        <v>1390</v>
      </c>
      <c r="E1606" s="9" t="s">
        <v>17740</v>
      </c>
      <c r="F1606" s="9" t="s">
        <v>17741</v>
      </c>
      <c r="G1606" s="9" t="s">
        <v>17740</v>
      </c>
      <c r="H1606" s="11" t="s">
        <v>1392</v>
      </c>
      <c r="I1606" s="11" t="s">
        <v>1391</v>
      </c>
      <c r="J1606" s="11" t="s">
        <v>1391</v>
      </c>
      <c r="K1606" s="9" t="s">
        <v>27264</v>
      </c>
      <c r="L1606" s="9" t="s">
        <v>17759</v>
      </c>
      <c r="M1606" s="9" t="s">
        <v>17817</v>
      </c>
      <c r="N1606" s="9" t="s">
        <v>17746</v>
      </c>
      <c r="O1606" s="9" t="s">
        <v>1535</v>
      </c>
      <c r="P1606" s="9" t="s">
        <v>17748</v>
      </c>
      <c r="Q1606" s="11" t="s">
        <v>19335</v>
      </c>
      <c r="R1606" s="11" t="s">
        <v>19335</v>
      </c>
      <c r="S1606" s="11" t="s">
        <v>17750</v>
      </c>
    </row>
    <row r="1607" spans="1:19" x14ac:dyDescent="0.2">
      <c r="A1607" s="11" t="s">
        <v>27284</v>
      </c>
      <c r="B1607" s="9" t="s">
        <v>27285</v>
      </c>
      <c r="C1607" s="9" t="s">
        <v>27286</v>
      </c>
      <c r="D1607" s="9" t="s">
        <v>27287</v>
      </c>
      <c r="E1607" s="9" t="s">
        <v>17740</v>
      </c>
      <c r="F1607" s="9" t="s">
        <v>17741</v>
      </c>
      <c r="G1607" s="9" t="s">
        <v>17740</v>
      </c>
      <c r="H1607" s="11" t="s">
        <v>27288</v>
      </c>
      <c r="I1607" s="11" t="s">
        <v>27289</v>
      </c>
      <c r="J1607" s="11" t="s">
        <v>27289</v>
      </c>
      <c r="K1607" s="9" t="s">
        <v>27290</v>
      </c>
      <c r="L1607" s="9" t="s">
        <v>17759</v>
      </c>
      <c r="M1607" s="9" t="s">
        <v>20683</v>
      </c>
      <c r="N1607" s="9" t="s">
        <v>17746</v>
      </c>
      <c r="O1607" s="9" t="s">
        <v>27291</v>
      </c>
      <c r="P1607" s="9" t="s">
        <v>17748</v>
      </c>
      <c r="Q1607" s="11" t="s">
        <v>18608</v>
      </c>
      <c r="R1607" s="11" t="s">
        <v>18608</v>
      </c>
      <c r="S1607" s="11" t="s">
        <v>17750</v>
      </c>
    </row>
    <row r="1608" spans="1:19" x14ac:dyDescent="0.2">
      <c r="A1608" s="11" t="s">
        <v>27292</v>
      </c>
      <c r="B1608" s="9" t="s">
        <v>27293</v>
      </c>
      <c r="C1608" s="9" t="s">
        <v>27294</v>
      </c>
      <c r="D1608" s="9" t="s">
        <v>27295</v>
      </c>
      <c r="E1608" s="9" t="s">
        <v>17740</v>
      </c>
      <c r="F1608" s="9" t="s">
        <v>27296</v>
      </c>
      <c r="G1608" s="9" t="s">
        <v>17740</v>
      </c>
      <c r="H1608" s="11" t="s">
        <v>17741</v>
      </c>
      <c r="I1608" s="11" t="s">
        <v>27297</v>
      </c>
      <c r="J1608" s="11" t="s">
        <v>27297</v>
      </c>
      <c r="K1608" s="9" t="s">
        <v>27264</v>
      </c>
      <c r="L1608" s="9" t="s">
        <v>17759</v>
      </c>
      <c r="M1608" s="9" t="s">
        <v>17817</v>
      </c>
      <c r="N1608" s="9" t="s">
        <v>17746</v>
      </c>
      <c r="O1608" s="9" t="s">
        <v>1535</v>
      </c>
      <c r="P1608" s="9" t="s">
        <v>17748</v>
      </c>
      <c r="Q1608" s="11" t="s">
        <v>17771</v>
      </c>
      <c r="R1608" s="11" t="s">
        <v>17771</v>
      </c>
      <c r="S1608" s="11" t="s">
        <v>17750</v>
      </c>
    </row>
    <row r="1609" spans="1:19" x14ac:dyDescent="0.2">
      <c r="A1609" s="11" t="s">
        <v>27298</v>
      </c>
      <c r="B1609" s="9" t="s">
        <v>27299</v>
      </c>
      <c r="C1609" s="9" t="s">
        <v>27300</v>
      </c>
      <c r="D1609" s="9" t="s">
        <v>27301</v>
      </c>
      <c r="E1609" s="9" t="s">
        <v>17740</v>
      </c>
      <c r="F1609" s="9" t="s">
        <v>17741</v>
      </c>
      <c r="G1609" s="9" t="s">
        <v>17740</v>
      </c>
      <c r="H1609" s="11" t="s">
        <v>1436</v>
      </c>
      <c r="I1609" s="11" t="s">
        <v>1435</v>
      </c>
      <c r="J1609" s="11" t="s">
        <v>1435</v>
      </c>
      <c r="K1609" s="9" t="s">
        <v>26030</v>
      </c>
      <c r="L1609" s="9" t="s">
        <v>21771</v>
      </c>
      <c r="M1609" s="9" t="s">
        <v>27302</v>
      </c>
      <c r="N1609" s="9" t="s">
        <v>17746</v>
      </c>
      <c r="O1609" s="9" t="s">
        <v>1535</v>
      </c>
      <c r="P1609" s="9" t="s">
        <v>17748</v>
      </c>
      <c r="Q1609" s="11" t="s">
        <v>18960</v>
      </c>
      <c r="R1609" s="11" t="s">
        <v>18960</v>
      </c>
      <c r="S1609" s="11" t="s">
        <v>17750</v>
      </c>
    </row>
    <row r="1610" spans="1:19" x14ac:dyDescent="0.2">
      <c r="A1610" s="11" t="s">
        <v>27303</v>
      </c>
      <c r="B1610" s="9" t="s">
        <v>27304</v>
      </c>
      <c r="C1610" s="9" t="s">
        <v>27305</v>
      </c>
      <c r="D1610" s="9" t="s">
        <v>27306</v>
      </c>
      <c r="E1610" s="9" t="s">
        <v>17740</v>
      </c>
      <c r="F1610" s="9" t="s">
        <v>17741</v>
      </c>
      <c r="G1610" s="9" t="s">
        <v>17740</v>
      </c>
      <c r="H1610" s="11" t="s">
        <v>17741</v>
      </c>
      <c r="I1610" s="11" t="s">
        <v>27307</v>
      </c>
      <c r="J1610" s="11" t="s">
        <v>27307</v>
      </c>
      <c r="K1610" s="9" t="s">
        <v>27308</v>
      </c>
      <c r="L1610" s="9" t="s">
        <v>17759</v>
      </c>
      <c r="M1610" s="9" t="s">
        <v>27309</v>
      </c>
      <c r="N1610" s="9" t="s">
        <v>17746</v>
      </c>
      <c r="O1610" s="9" t="s">
        <v>1535</v>
      </c>
      <c r="P1610" s="9" t="s">
        <v>17748</v>
      </c>
      <c r="Q1610" s="11" t="s">
        <v>17978</v>
      </c>
      <c r="R1610" s="11" t="s">
        <v>17978</v>
      </c>
      <c r="S1610" s="11" t="s">
        <v>17750</v>
      </c>
    </row>
    <row r="1611" spans="1:19" x14ac:dyDescent="0.2">
      <c r="A1611" s="11" t="s">
        <v>27310</v>
      </c>
      <c r="B1611" s="9" t="s">
        <v>27311</v>
      </c>
      <c r="C1611" s="9" t="s">
        <v>27312</v>
      </c>
      <c r="D1611" s="9" t="s">
        <v>27313</v>
      </c>
      <c r="E1611" s="9" t="s">
        <v>17740</v>
      </c>
      <c r="F1611" s="9" t="s">
        <v>17741</v>
      </c>
      <c r="G1611" s="9" t="s">
        <v>17740</v>
      </c>
      <c r="H1611" s="11" t="s">
        <v>8044</v>
      </c>
      <c r="I1611" s="11" t="s">
        <v>8043</v>
      </c>
      <c r="J1611" s="11" t="s">
        <v>8043</v>
      </c>
      <c r="K1611" s="9" t="s">
        <v>19180</v>
      </c>
      <c r="L1611" s="9" t="s">
        <v>17759</v>
      </c>
      <c r="M1611" s="9" t="s">
        <v>20957</v>
      </c>
      <c r="N1611" s="9" t="s">
        <v>17746</v>
      </c>
      <c r="O1611" s="9" t="s">
        <v>27314</v>
      </c>
      <c r="P1611" s="9" t="s">
        <v>17748</v>
      </c>
      <c r="Q1611" s="11" t="s">
        <v>18356</v>
      </c>
      <c r="R1611" s="11" t="s">
        <v>18356</v>
      </c>
      <c r="S1611" s="11" t="s">
        <v>17750</v>
      </c>
    </row>
    <row r="1612" spans="1:19" x14ac:dyDescent="0.2">
      <c r="A1612" s="11" t="s">
        <v>27315</v>
      </c>
      <c r="B1612" s="9" t="s">
        <v>27316</v>
      </c>
      <c r="C1612" s="9" t="s">
        <v>27317</v>
      </c>
      <c r="D1612" s="9" t="s">
        <v>27318</v>
      </c>
      <c r="E1612" s="9" t="s">
        <v>17740</v>
      </c>
      <c r="F1612" s="9" t="s">
        <v>17741</v>
      </c>
      <c r="G1612" s="9" t="s">
        <v>17740</v>
      </c>
      <c r="H1612" s="11" t="s">
        <v>8168</v>
      </c>
      <c r="I1612" s="11" t="s">
        <v>8167</v>
      </c>
      <c r="J1612" s="11" t="s">
        <v>8167</v>
      </c>
      <c r="K1612" s="9" t="s">
        <v>22893</v>
      </c>
      <c r="L1612" s="9" t="s">
        <v>17744</v>
      </c>
      <c r="M1612" s="9" t="s">
        <v>27319</v>
      </c>
      <c r="N1612" s="9" t="s">
        <v>17746</v>
      </c>
      <c r="O1612" s="9" t="s">
        <v>21568</v>
      </c>
      <c r="P1612" s="9" t="s">
        <v>17748</v>
      </c>
      <c r="Q1612" s="11" t="s">
        <v>18356</v>
      </c>
      <c r="R1612" s="11" t="s">
        <v>18356</v>
      </c>
      <c r="S1612" s="11" t="s">
        <v>17750</v>
      </c>
    </row>
    <row r="1613" spans="1:19" x14ac:dyDescent="0.2">
      <c r="A1613" s="11" t="s">
        <v>27320</v>
      </c>
      <c r="B1613" s="9" t="s">
        <v>27321</v>
      </c>
      <c r="C1613" s="9" t="s">
        <v>27322</v>
      </c>
      <c r="D1613" s="9" t="s">
        <v>27323</v>
      </c>
      <c r="E1613" s="9" t="s">
        <v>17748</v>
      </c>
      <c r="F1613" s="9" t="s">
        <v>27324</v>
      </c>
      <c r="G1613" s="9" t="s">
        <v>17740</v>
      </c>
      <c r="H1613" s="11" t="s">
        <v>8145</v>
      </c>
      <c r="I1613" s="11" t="s">
        <v>8144</v>
      </c>
      <c r="J1613" s="11" t="s">
        <v>8144</v>
      </c>
      <c r="K1613" s="9" t="s">
        <v>970</v>
      </c>
      <c r="L1613" s="9" t="s">
        <v>17744</v>
      </c>
      <c r="M1613" s="9" t="s">
        <v>17769</v>
      </c>
      <c r="N1613" s="9" t="s">
        <v>17746</v>
      </c>
      <c r="O1613" s="9" t="s">
        <v>21568</v>
      </c>
      <c r="P1613" s="9" t="s">
        <v>17748</v>
      </c>
      <c r="Q1613" s="11" t="s">
        <v>18356</v>
      </c>
      <c r="R1613" s="11" t="s">
        <v>18356</v>
      </c>
      <c r="S1613" s="11" t="s">
        <v>17750</v>
      </c>
    </row>
    <row r="1614" spans="1:19" x14ac:dyDescent="0.2">
      <c r="A1614" s="11" t="s">
        <v>27325</v>
      </c>
      <c r="B1614" s="9" t="s">
        <v>27326</v>
      </c>
      <c r="C1614" s="9" t="s">
        <v>27327</v>
      </c>
      <c r="D1614" s="9" t="s">
        <v>27328</v>
      </c>
      <c r="E1614" s="9" t="s">
        <v>17740</v>
      </c>
      <c r="F1614" s="9" t="s">
        <v>17741</v>
      </c>
      <c r="G1614" s="9" t="s">
        <v>17740</v>
      </c>
      <c r="H1614" s="11" t="s">
        <v>1401</v>
      </c>
      <c r="I1614" s="11" t="s">
        <v>1400</v>
      </c>
      <c r="J1614" s="11" t="s">
        <v>1400</v>
      </c>
      <c r="K1614" s="9" t="s">
        <v>22893</v>
      </c>
      <c r="L1614" s="9" t="s">
        <v>17744</v>
      </c>
      <c r="M1614" s="9" t="s">
        <v>27329</v>
      </c>
      <c r="N1614" s="9" t="s">
        <v>17746</v>
      </c>
      <c r="O1614" s="9" t="s">
        <v>1535</v>
      </c>
      <c r="P1614" s="9" t="s">
        <v>17748</v>
      </c>
      <c r="Q1614" s="11" t="s">
        <v>18341</v>
      </c>
      <c r="R1614" s="11" t="s">
        <v>18341</v>
      </c>
      <c r="S1614" s="11" t="s">
        <v>17750</v>
      </c>
    </row>
    <row r="1615" spans="1:19" x14ac:dyDescent="0.2">
      <c r="A1615" s="11" t="s">
        <v>27330</v>
      </c>
      <c r="B1615" s="9" t="s">
        <v>1347</v>
      </c>
      <c r="C1615" s="9" t="s">
        <v>27331</v>
      </c>
      <c r="D1615" s="9" t="s">
        <v>1347</v>
      </c>
      <c r="E1615" s="9" t="s">
        <v>17740</v>
      </c>
      <c r="F1615" s="9" t="s">
        <v>17741</v>
      </c>
      <c r="G1615" s="9" t="s">
        <v>17740</v>
      </c>
      <c r="H1615" s="11" t="s">
        <v>1349</v>
      </c>
      <c r="I1615" s="11" t="s">
        <v>1348</v>
      </c>
      <c r="J1615" s="11" t="s">
        <v>1348</v>
      </c>
      <c r="K1615" s="9" t="s">
        <v>167</v>
      </c>
      <c r="L1615" s="9" t="s">
        <v>18158</v>
      </c>
      <c r="M1615" s="9" t="s">
        <v>17817</v>
      </c>
      <c r="N1615" s="9" t="s">
        <v>18185</v>
      </c>
      <c r="O1615" s="9" t="s">
        <v>1535</v>
      </c>
      <c r="P1615" s="9" t="s">
        <v>17748</v>
      </c>
      <c r="Q1615" s="11" t="s">
        <v>18072</v>
      </c>
      <c r="R1615" s="11" t="s">
        <v>18072</v>
      </c>
      <c r="S1615" s="11" t="s">
        <v>17750</v>
      </c>
    </row>
    <row r="1616" spans="1:19" x14ac:dyDescent="0.2">
      <c r="A1616" s="11" t="s">
        <v>27332</v>
      </c>
      <c r="B1616" s="9" t="s">
        <v>27333</v>
      </c>
      <c r="C1616" s="9" t="s">
        <v>27334</v>
      </c>
      <c r="D1616" s="9" t="s">
        <v>27335</v>
      </c>
      <c r="E1616" s="9" t="s">
        <v>17748</v>
      </c>
      <c r="F1616" s="9" t="s">
        <v>17741</v>
      </c>
      <c r="G1616" s="9" t="s">
        <v>17740</v>
      </c>
      <c r="H1616" s="11" t="s">
        <v>27336</v>
      </c>
      <c r="I1616" s="11" t="s">
        <v>17741</v>
      </c>
      <c r="J1616" s="11" t="s">
        <v>17741</v>
      </c>
      <c r="K1616" s="9" t="s">
        <v>20669</v>
      </c>
      <c r="L1616" s="9" t="s">
        <v>20359</v>
      </c>
      <c r="M1616" s="9" t="s">
        <v>27337</v>
      </c>
      <c r="N1616" s="9" t="s">
        <v>17746</v>
      </c>
      <c r="O1616" s="9" t="s">
        <v>27338</v>
      </c>
      <c r="P1616" s="9" t="s">
        <v>17748</v>
      </c>
      <c r="Q1616" s="11" t="s">
        <v>17923</v>
      </c>
      <c r="R1616" s="11" t="s">
        <v>17923</v>
      </c>
      <c r="S1616" s="11" t="s">
        <v>17750</v>
      </c>
    </row>
    <row r="1617" spans="1:19" x14ac:dyDescent="0.2">
      <c r="A1617" s="11" t="s">
        <v>27339</v>
      </c>
      <c r="B1617" s="9" t="s">
        <v>27340</v>
      </c>
      <c r="C1617" s="9" t="s">
        <v>27341</v>
      </c>
      <c r="D1617" s="9" t="s">
        <v>27342</v>
      </c>
      <c r="E1617" s="9" t="s">
        <v>17748</v>
      </c>
      <c r="F1617" s="9" t="s">
        <v>27343</v>
      </c>
      <c r="G1617" s="9" t="s">
        <v>17740</v>
      </c>
      <c r="H1617" s="11" t="s">
        <v>10520</v>
      </c>
      <c r="I1617" s="11" t="s">
        <v>10519</v>
      </c>
      <c r="J1617" s="11" t="s">
        <v>10519</v>
      </c>
      <c r="K1617" s="9" t="s">
        <v>27344</v>
      </c>
      <c r="L1617" s="9" t="s">
        <v>18396</v>
      </c>
      <c r="M1617" s="9" t="s">
        <v>20568</v>
      </c>
      <c r="N1617" s="9" t="s">
        <v>17746</v>
      </c>
      <c r="O1617" s="9" t="s">
        <v>27338</v>
      </c>
      <c r="P1617" s="9" t="s">
        <v>17748</v>
      </c>
      <c r="Q1617" s="11" t="s">
        <v>17984</v>
      </c>
      <c r="R1617" s="11" t="s">
        <v>17984</v>
      </c>
      <c r="S1617" s="11" t="s">
        <v>17750</v>
      </c>
    </row>
    <row r="1618" spans="1:19" x14ac:dyDescent="0.2">
      <c r="A1618" s="11" t="s">
        <v>27345</v>
      </c>
      <c r="B1618" s="9" t="s">
        <v>27346</v>
      </c>
      <c r="C1618" s="9" t="s">
        <v>27347</v>
      </c>
      <c r="D1618" s="9" t="s">
        <v>27348</v>
      </c>
      <c r="E1618" s="9" t="s">
        <v>17740</v>
      </c>
      <c r="F1618" s="9" t="s">
        <v>17741</v>
      </c>
      <c r="G1618" s="9" t="s">
        <v>17740</v>
      </c>
      <c r="H1618" s="11" t="s">
        <v>4705</v>
      </c>
      <c r="I1618" s="11" t="s">
        <v>4704</v>
      </c>
      <c r="J1618" s="11" t="s">
        <v>4705</v>
      </c>
      <c r="K1618" s="9" t="s">
        <v>19094</v>
      </c>
      <c r="L1618" s="9" t="s">
        <v>17759</v>
      </c>
      <c r="M1618" s="9" t="s">
        <v>17817</v>
      </c>
      <c r="N1618" s="9" t="s">
        <v>17746</v>
      </c>
      <c r="O1618" s="9" t="s">
        <v>26924</v>
      </c>
      <c r="P1618" s="9" t="s">
        <v>17748</v>
      </c>
      <c r="Q1618" s="11" t="s">
        <v>18960</v>
      </c>
      <c r="R1618" s="11" t="s">
        <v>18960</v>
      </c>
      <c r="S1618" s="11" t="s">
        <v>17750</v>
      </c>
    </row>
    <row r="1619" spans="1:19" x14ac:dyDescent="0.2">
      <c r="A1619" s="11" t="s">
        <v>27349</v>
      </c>
      <c r="B1619" s="9" t="s">
        <v>27350</v>
      </c>
      <c r="C1619" s="9" t="s">
        <v>27351</v>
      </c>
      <c r="D1619" s="9" t="s">
        <v>27352</v>
      </c>
      <c r="E1619" s="9" t="s">
        <v>17740</v>
      </c>
      <c r="F1619" s="9" t="s">
        <v>17741</v>
      </c>
      <c r="G1619" s="9" t="s">
        <v>17740</v>
      </c>
      <c r="H1619" s="11" t="s">
        <v>1424</v>
      </c>
      <c r="I1619" s="11" t="s">
        <v>1423</v>
      </c>
      <c r="J1619" s="11" t="s">
        <v>1423</v>
      </c>
      <c r="K1619" s="9" t="s">
        <v>27353</v>
      </c>
      <c r="L1619" s="9" t="s">
        <v>17759</v>
      </c>
      <c r="M1619" s="9" t="s">
        <v>17817</v>
      </c>
      <c r="N1619" s="9" t="s">
        <v>17746</v>
      </c>
      <c r="O1619" s="9" t="s">
        <v>25405</v>
      </c>
      <c r="P1619" s="9" t="s">
        <v>17748</v>
      </c>
      <c r="Q1619" s="11" t="s">
        <v>17978</v>
      </c>
      <c r="R1619" s="11" t="s">
        <v>17978</v>
      </c>
      <c r="S1619" s="11" t="s">
        <v>17750</v>
      </c>
    </row>
    <row r="1620" spans="1:19" x14ac:dyDescent="0.2">
      <c r="A1620" s="11" t="s">
        <v>27354</v>
      </c>
      <c r="B1620" s="9" t="s">
        <v>27355</v>
      </c>
      <c r="C1620" s="9" t="s">
        <v>27356</v>
      </c>
      <c r="D1620" s="9" t="s">
        <v>27357</v>
      </c>
      <c r="E1620" s="9" t="s">
        <v>17740</v>
      </c>
      <c r="F1620" s="9" t="s">
        <v>17741</v>
      </c>
      <c r="G1620" s="9" t="s">
        <v>17740</v>
      </c>
      <c r="H1620" s="11" t="s">
        <v>5485</v>
      </c>
      <c r="I1620" s="11" t="s">
        <v>5484</v>
      </c>
      <c r="J1620" s="11" t="s">
        <v>5484</v>
      </c>
      <c r="K1620" s="9" t="s">
        <v>19952</v>
      </c>
      <c r="L1620" s="9" t="s">
        <v>17759</v>
      </c>
      <c r="M1620" s="9" t="s">
        <v>17769</v>
      </c>
      <c r="N1620" s="9" t="s">
        <v>17746</v>
      </c>
      <c r="O1620" s="9" t="s">
        <v>27358</v>
      </c>
      <c r="P1620" s="9" t="s">
        <v>17748</v>
      </c>
      <c r="Q1620" s="11" t="s">
        <v>18147</v>
      </c>
      <c r="R1620" s="11" t="s">
        <v>18147</v>
      </c>
      <c r="S1620" s="11" t="s">
        <v>17750</v>
      </c>
    </row>
    <row r="1621" spans="1:19" x14ac:dyDescent="0.2">
      <c r="A1621" s="11" t="s">
        <v>27359</v>
      </c>
      <c r="B1621" s="9" t="s">
        <v>27360</v>
      </c>
      <c r="C1621" s="9" t="s">
        <v>27361</v>
      </c>
      <c r="D1621" s="9" t="s">
        <v>27362</v>
      </c>
      <c r="E1621" s="9" t="s">
        <v>17740</v>
      </c>
      <c r="F1621" s="9" t="s">
        <v>17741</v>
      </c>
      <c r="G1621" s="9" t="s">
        <v>17740</v>
      </c>
      <c r="H1621" s="11" t="s">
        <v>27363</v>
      </c>
      <c r="I1621" s="11" t="s">
        <v>17741</v>
      </c>
      <c r="J1621" s="11" t="s">
        <v>27363</v>
      </c>
      <c r="K1621" s="9" t="s">
        <v>18570</v>
      </c>
      <c r="L1621" s="9" t="s">
        <v>17744</v>
      </c>
      <c r="M1621" s="9" t="s">
        <v>17741</v>
      </c>
      <c r="N1621" s="9" t="s">
        <v>17746</v>
      </c>
      <c r="O1621" s="9" t="s">
        <v>19521</v>
      </c>
      <c r="P1621" s="9" t="s">
        <v>17748</v>
      </c>
      <c r="Q1621" s="11" t="s">
        <v>17762</v>
      </c>
      <c r="R1621" s="11" t="s">
        <v>17762</v>
      </c>
      <c r="S1621" s="11" t="s">
        <v>17750</v>
      </c>
    </row>
    <row r="1622" spans="1:19" x14ac:dyDescent="0.2">
      <c r="A1622" s="11" t="s">
        <v>27364</v>
      </c>
      <c r="B1622" s="9" t="s">
        <v>27365</v>
      </c>
      <c r="C1622" s="9" t="s">
        <v>27366</v>
      </c>
      <c r="D1622" s="9" t="s">
        <v>27367</v>
      </c>
      <c r="E1622" s="9" t="s">
        <v>17740</v>
      </c>
      <c r="F1622" s="9" t="s">
        <v>17741</v>
      </c>
      <c r="G1622" s="9" t="s">
        <v>17740</v>
      </c>
      <c r="H1622" s="11" t="s">
        <v>27368</v>
      </c>
      <c r="I1622" s="11" t="s">
        <v>9390</v>
      </c>
      <c r="J1622" s="11" t="s">
        <v>9390</v>
      </c>
      <c r="K1622" s="9" t="s">
        <v>27369</v>
      </c>
      <c r="L1622" s="9" t="s">
        <v>20359</v>
      </c>
      <c r="M1622" s="9" t="s">
        <v>17760</v>
      </c>
      <c r="N1622" s="9" t="s">
        <v>17746</v>
      </c>
      <c r="O1622" s="9" t="s">
        <v>3100</v>
      </c>
      <c r="P1622" s="9" t="s">
        <v>17748</v>
      </c>
      <c r="Q1622" s="11" t="s">
        <v>18356</v>
      </c>
      <c r="R1622" s="11" t="s">
        <v>18356</v>
      </c>
      <c r="S1622" s="11" t="s">
        <v>17750</v>
      </c>
    </row>
    <row r="1623" spans="1:19" x14ac:dyDescent="0.2">
      <c r="A1623" s="11" t="s">
        <v>27370</v>
      </c>
      <c r="B1623" s="9" t="s">
        <v>27371</v>
      </c>
      <c r="C1623" s="9" t="s">
        <v>27372</v>
      </c>
      <c r="D1623" s="9" t="s">
        <v>1374</v>
      </c>
      <c r="E1623" s="9" t="s">
        <v>17740</v>
      </c>
      <c r="F1623" s="9" t="s">
        <v>17741</v>
      </c>
      <c r="G1623" s="9" t="s">
        <v>17740</v>
      </c>
      <c r="H1623" s="11" t="s">
        <v>1376</v>
      </c>
      <c r="I1623" s="11" t="s">
        <v>1375</v>
      </c>
      <c r="J1623" s="11" t="s">
        <v>1375</v>
      </c>
      <c r="K1623" s="9" t="s">
        <v>91</v>
      </c>
      <c r="L1623" s="9" t="s">
        <v>17744</v>
      </c>
      <c r="M1623" s="9" t="s">
        <v>19168</v>
      </c>
      <c r="N1623" s="9" t="s">
        <v>17746</v>
      </c>
      <c r="O1623" s="9" t="s">
        <v>27178</v>
      </c>
      <c r="P1623" s="9" t="s">
        <v>17748</v>
      </c>
      <c r="Q1623" s="11" t="s">
        <v>18243</v>
      </c>
      <c r="R1623" s="11" t="s">
        <v>18243</v>
      </c>
      <c r="S1623" s="11" t="s">
        <v>17750</v>
      </c>
    </row>
    <row r="1624" spans="1:19" x14ac:dyDescent="0.2">
      <c r="A1624" s="11" t="s">
        <v>27373</v>
      </c>
      <c r="B1624" s="9" t="s">
        <v>1396</v>
      </c>
      <c r="C1624" s="9" t="s">
        <v>27374</v>
      </c>
      <c r="D1624" s="9" t="s">
        <v>1396</v>
      </c>
      <c r="E1624" s="9" t="s">
        <v>17740</v>
      </c>
      <c r="F1624" s="9" t="s">
        <v>27375</v>
      </c>
      <c r="G1624" s="9" t="s">
        <v>17740</v>
      </c>
      <c r="H1624" s="11" t="s">
        <v>1398</v>
      </c>
      <c r="I1624" s="11" t="s">
        <v>1397</v>
      </c>
      <c r="J1624" s="11" t="s">
        <v>1397</v>
      </c>
      <c r="K1624" s="9" t="s">
        <v>18176</v>
      </c>
      <c r="L1624" s="9" t="s">
        <v>18123</v>
      </c>
      <c r="M1624" s="9" t="s">
        <v>27376</v>
      </c>
      <c r="N1624" s="9" t="s">
        <v>17746</v>
      </c>
      <c r="O1624" s="9" t="s">
        <v>1675</v>
      </c>
      <c r="P1624" s="9" t="s">
        <v>17748</v>
      </c>
      <c r="Q1624" s="11" t="s">
        <v>17883</v>
      </c>
      <c r="R1624" s="11" t="s">
        <v>17883</v>
      </c>
      <c r="S1624" s="11" t="s">
        <v>17750</v>
      </c>
    </row>
    <row r="1625" spans="1:19" x14ac:dyDescent="0.2">
      <c r="A1625" s="11" t="s">
        <v>27377</v>
      </c>
      <c r="B1625" s="9" t="s">
        <v>27378</v>
      </c>
      <c r="C1625" s="9" t="s">
        <v>27379</v>
      </c>
      <c r="D1625" s="9" t="s">
        <v>27380</v>
      </c>
      <c r="E1625" s="9" t="s">
        <v>17748</v>
      </c>
      <c r="F1625" s="9" t="s">
        <v>27381</v>
      </c>
      <c r="G1625" s="9" t="s">
        <v>17740</v>
      </c>
      <c r="H1625" s="11" t="s">
        <v>8388</v>
      </c>
      <c r="I1625" s="11" t="s">
        <v>8387</v>
      </c>
      <c r="J1625" s="11" t="s">
        <v>8387</v>
      </c>
      <c r="K1625" s="9" t="s">
        <v>91</v>
      </c>
      <c r="L1625" s="9" t="s">
        <v>18001</v>
      </c>
      <c r="M1625" s="9" t="s">
        <v>19971</v>
      </c>
      <c r="N1625" s="9" t="s">
        <v>17746</v>
      </c>
      <c r="O1625" s="9" t="s">
        <v>1675</v>
      </c>
      <c r="P1625" s="9" t="s">
        <v>17748</v>
      </c>
      <c r="Q1625" s="11" t="s">
        <v>17784</v>
      </c>
      <c r="R1625" s="11" t="s">
        <v>17784</v>
      </c>
      <c r="S1625" s="11" t="s">
        <v>17750</v>
      </c>
    </row>
    <row r="1626" spans="1:19" x14ac:dyDescent="0.2">
      <c r="A1626" s="11" t="s">
        <v>27382</v>
      </c>
      <c r="B1626" s="9" t="s">
        <v>27383</v>
      </c>
      <c r="C1626" s="9" t="s">
        <v>27384</v>
      </c>
      <c r="D1626" s="9" t="s">
        <v>27385</v>
      </c>
      <c r="E1626" s="9" t="s">
        <v>17740</v>
      </c>
      <c r="F1626" s="9" t="s">
        <v>27386</v>
      </c>
      <c r="G1626" s="9" t="s">
        <v>17740</v>
      </c>
      <c r="H1626" s="11" t="s">
        <v>5311</v>
      </c>
      <c r="I1626" s="11" t="s">
        <v>5310</v>
      </c>
      <c r="J1626" s="11" t="s">
        <v>5310</v>
      </c>
      <c r="K1626" s="9" t="s">
        <v>22922</v>
      </c>
      <c r="L1626" s="9" t="s">
        <v>18123</v>
      </c>
      <c r="M1626" s="9" t="s">
        <v>27387</v>
      </c>
      <c r="N1626" s="9" t="s">
        <v>17746</v>
      </c>
      <c r="O1626" s="9" t="s">
        <v>1675</v>
      </c>
      <c r="P1626" s="9" t="s">
        <v>17748</v>
      </c>
      <c r="Q1626" s="11" t="s">
        <v>18059</v>
      </c>
      <c r="R1626" s="11" t="s">
        <v>18059</v>
      </c>
      <c r="S1626" s="11" t="s">
        <v>17750</v>
      </c>
    </row>
    <row r="1627" spans="1:19" x14ac:dyDescent="0.2">
      <c r="A1627" s="11" t="s">
        <v>27388</v>
      </c>
      <c r="B1627" s="9" t="s">
        <v>27389</v>
      </c>
      <c r="C1627" s="9" t="s">
        <v>27390</v>
      </c>
      <c r="D1627" s="9" t="s">
        <v>27391</v>
      </c>
      <c r="E1627" s="9" t="s">
        <v>17740</v>
      </c>
      <c r="F1627" s="9" t="s">
        <v>27392</v>
      </c>
      <c r="G1627" s="9" t="s">
        <v>17740</v>
      </c>
      <c r="H1627" s="11" t="s">
        <v>1363</v>
      </c>
      <c r="I1627" s="11" t="s">
        <v>1362</v>
      </c>
      <c r="J1627" s="11" t="s">
        <v>1362</v>
      </c>
      <c r="K1627" s="9" t="s">
        <v>19161</v>
      </c>
      <c r="L1627" s="9" t="s">
        <v>17759</v>
      </c>
      <c r="M1627" s="9" t="s">
        <v>17817</v>
      </c>
      <c r="N1627" s="9" t="s">
        <v>17746</v>
      </c>
      <c r="O1627" s="9" t="s">
        <v>1675</v>
      </c>
      <c r="P1627" s="9" t="s">
        <v>17748</v>
      </c>
      <c r="Q1627" s="11" t="s">
        <v>18251</v>
      </c>
      <c r="R1627" s="11" t="s">
        <v>18251</v>
      </c>
      <c r="S1627" s="11" t="s">
        <v>17750</v>
      </c>
    </row>
    <row r="1628" spans="1:19" x14ac:dyDescent="0.2">
      <c r="A1628" s="11" t="s">
        <v>27393</v>
      </c>
      <c r="B1628" s="9" t="s">
        <v>27394</v>
      </c>
      <c r="C1628" s="9" t="s">
        <v>27395</v>
      </c>
      <c r="D1628" s="9" t="s">
        <v>27396</v>
      </c>
      <c r="E1628" s="9" t="s">
        <v>17740</v>
      </c>
      <c r="F1628" s="9" t="s">
        <v>17741</v>
      </c>
      <c r="G1628" s="9" t="s">
        <v>17740</v>
      </c>
      <c r="H1628" s="11" t="s">
        <v>5180</v>
      </c>
      <c r="I1628" s="11" t="s">
        <v>5179</v>
      </c>
      <c r="J1628" s="11" t="s">
        <v>5179</v>
      </c>
      <c r="K1628" s="9" t="s">
        <v>27397</v>
      </c>
      <c r="L1628" s="9" t="s">
        <v>20082</v>
      </c>
      <c r="M1628" s="9" t="s">
        <v>27387</v>
      </c>
      <c r="N1628" s="9" t="s">
        <v>17746</v>
      </c>
      <c r="O1628" s="9" t="s">
        <v>27398</v>
      </c>
      <c r="P1628" s="9" t="s">
        <v>17748</v>
      </c>
      <c r="Q1628" s="11" t="s">
        <v>17819</v>
      </c>
      <c r="R1628" s="11" t="s">
        <v>17819</v>
      </c>
      <c r="S1628" s="11" t="s">
        <v>17750</v>
      </c>
    </row>
    <row r="1629" spans="1:19" x14ac:dyDescent="0.2">
      <c r="A1629" s="11" t="s">
        <v>27399</v>
      </c>
      <c r="B1629" s="9" t="s">
        <v>27400</v>
      </c>
      <c r="C1629" s="9" t="s">
        <v>27401</v>
      </c>
      <c r="D1629" s="9" t="s">
        <v>27402</v>
      </c>
      <c r="E1629" s="9" t="s">
        <v>17740</v>
      </c>
      <c r="F1629" s="9" t="s">
        <v>27403</v>
      </c>
      <c r="G1629" s="9" t="s">
        <v>17740</v>
      </c>
      <c r="H1629" s="11" t="s">
        <v>27404</v>
      </c>
      <c r="I1629" s="11" t="s">
        <v>27405</v>
      </c>
      <c r="J1629" s="11" t="s">
        <v>27405</v>
      </c>
      <c r="K1629" s="9" t="s">
        <v>22922</v>
      </c>
      <c r="L1629" s="9" t="s">
        <v>18123</v>
      </c>
      <c r="M1629" s="9" t="s">
        <v>20387</v>
      </c>
      <c r="N1629" s="9" t="s">
        <v>17746</v>
      </c>
      <c r="O1629" s="9" t="s">
        <v>21558</v>
      </c>
      <c r="P1629" s="9" t="s">
        <v>17748</v>
      </c>
      <c r="Q1629" s="11" t="s">
        <v>18341</v>
      </c>
      <c r="R1629" s="11" t="s">
        <v>18341</v>
      </c>
      <c r="S1629" s="11" t="s">
        <v>17750</v>
      </c>
    </row>
    <row r="1630" spans="1:19" x14ac:dyDescent="0.2">
      <c r="A1630" s="11" t="s">
        <v>27406</v>
      </c>
      <c r="B1630" s="9" t="s">
        <v>27407</v>
      </c>
      <c r="C1630" s="9" t="s">
        <v>27408</v>
      </c>
      <c r="D1630" s="9" t="s">
        <v>27409</v>
      </c>
      <c r="E1630" s="9" t="s">
        <v>17740</v>
      </c>
      <c r="F1630" s="9" t="s">
        <v>17741</v>
      </c>
      <c r="G1630" s="9" t="s">
        <v>17740</v>
      </c>
      <c r="H1630" s="11" t="s">
        <v>27410</v>
      </c>
      <c r="I1630" s="11" t="s">
        <v>17741</v>
      </c>
      <c r="J1630" s="11" t="s">
        <v>27410</v>
      </c>
      <c r="K1630" s="9" t="s">
        <v>27411</v>
      </c>
      <c r="L1630" s="9" t="s">
        <v>17759</v>
      </c>
      <c r="M1630" s="9" t="s">
        <v>23186</v>
      </c>
      <c r="N1630" s="9" t="s">
        <v>17746</v>
      </c>
      <c r="O1630" s="9" t="s">
        <v>3255</v>
      </c>
      <c r="P1630" s="9" t="s">
        <v>17748</v>
      </c>
      <c r="Q1630" s="11" t="s">
        <v>19361</v>
      </c>
      <c r="R1630" s="11" t="s">
        <v>19361</v>
      </c>
      <c r="S1630" s="11" t="s">
        <v>17750</v>
      </c>
    </row>
    <row r="1631" spans="1:19" x14ac:dyDescent="0.2">
      <c r="A1631" s="11" t="s">
        <v>27412</v>
      </c>
      <c r="B1631" s="9" t="s">
        <v>27413</v>
      </c>
      <c r="C1631" s="9" t="s">
        <v>27414</v>
      </c>
      <c r="D1631" s="9" t="s">
        <v>27415</v>
      </c>
      <c r="E1631" s="9" t="s">
        <v>17740</v>
      </c>
      <c r="F1631" s="9" t="s">
        <v>17741</v>
      </c>
      <c r="G1631" s="9" t="s">
        <v>17740</v>
      </c>
      <c r="H1631" s="11" t="s">
        <v>27416</v>
      </c>
      <c r="I1631" s="11" t="s">
        <v>27417</v>
      </c>
      <c r="J1631" s="11" t="s">
        <v>27417</v>
      </c>
      <c r="K1631" s="9" t="s">
        <v>17758</v>
      </c>
      <c r="L1631" s="9" t="s">
        <v>17759</v>
      </c>
      <c r="M1631" s="9" t="s">
        <v>18065</v>
      </c>
      <c r="N1631" s="9" t="s">
        <v>17746</v>
      </c>
      <c r="O1631" s="9" t="s">
        <v>17761</v>
      </c>
      <c r="P1631" s="9" t="s">
        <v>17748</v>
      </c>
      <c r="Q1631" s="11" t="s">
        <v>19515</v>
      </c>
      <c r="R1631" s="11" t="s">
        <v>19515</v>
      </c>
      <c r="S1631" s="11" t="s">
        <v>17750</v>
      </c>
    </row>
    <row r="1632" spans="1:19" x14ac:dyDescent="0.2">
      <c r="A1632" s="11" t="s">
        <v>27418</v>
      </c>
      <c r="B1632" s="9" t="s">
        <v>27419</v>
      </c>
      <c r="C1632" s="9" t="s">
        <v>27420</v>
      </c>
      <c r="D1632" s="9" t="s">
        <v>27421</v>
      </c>
      <c r="E1632" s="9" t="s">
        <v>17740</v>
      </c>
      <c r="F1632" s="9" t="s">
        <v>27422</v>
      </c>
      <c r="G1632" s="9" t="s">
        <v>17740</v>
      </c>
      <c r="H1632" s="11" t="s">
        <v>17741</v>
      </c>
      <c r="I1632" s="11" t="s">
        <v>27423</v>
      </c>
      <c r="J1632" s="11" t="s">
        <v>27423</v>
      </c>
      <c r="K1632" s="9" t="s">
        <v>19282</v>
      </c>
      <c r="L1632" s="9" t="s">
        <v>17759</v>
      </c>
      <c r="M1632" s="9" t="s">
        <v>17760</v>
      </c>
      <c r="N1632" s="9" t="s">
        <v>17746</v>
      </c>
      <c r="O1632" s="9" t="s">
        <v>17800</v>
      </c>
      <c r="P1632" s="9" t="s">
        <v>17748</v>
      </c>
      <c r="Q1632" s="11" t="s">
        <v>17792</v>
      </c>
      <c r="R1632" s="11" t="s">
        <v>17792</v>
      </c>
      <c r="S1632" s="11" t="s">
        <v>17750</v>
      </c>
    </row>
    <row r="1633" spans="1:19" x14ac:dyDescent="0.2">
      <c r="A1633" s="11" t="s">
        <v>27424</v>
      </c>
      <c r="B1633" s="9" t="s">
        <v>27425</v>
      </c>
      <c r="C1633" s="9" t="s">
        <v>27426</v>
      </c>
      <c r="D1633" s="9" t="s">
        <v>27427</v>
      </c>
      <c r="E1633" s="9" t="s">
        <v>17740</v>
      </c>
      <c r="F1633" s="9" t="s">
        <v>17741</v>
      </c>
      <c r="G1633" s="9" t="s">
        <v>17740</v>
      </c>
      <c r="H1633" s="11" t="s">
        <v>17741</v>
      </c>
      <c r="I1633" s="11" t="s">
        <v>12703</v>
      </c>
      <c r="J1633" s="11" t="s">
        <v>17741</v>
      </c>
      <c r="K1633" s="9" t="s">
        <v>91</v>
      </c>
      <c r="L1633" s="9" t="s">
        <v>17759</v>
      </c>
      <c r="M1633" s="9" t="s">
        <v>17760</v>
      </c>
      <c r="N1633" s="9" t="s">
        <v>17746</v>
      </c>
      <c r="O1633" s="9" t="s">
        <v>27428</v>
      </c>
      <c r="P1633" s="9" t="s">
        <v>17748</v>
      </c>
      <c r="Q1633" s="11" t="s">
        <v>18370</v>
      </c>
      <c r="R1633" s="11" t="s">
        <v>18370</v>
      </c>
      <c r="S1633" s="11" t="s">
        <v>17750</v>
      </c>
    </row>
    <row r="1634" spans="1:19" x14ac:dyDescent="0.2">
      <c r="A1634" s="11" t="s">
        <v>27429</v>
      </c>
      <c r="B1634" s="9" t="s">
        <v>27430</v>
      </c>
      <c r="C1634" s="9" t="s">
        <v>27431</v>
      </c>
      <c r="D1634" s="9" t="s">
        <v>27432</v>
      </c>
      <c r="E1634" s="9" t="s">
        <v>17740</v>
      </c>
      <c r="F1634" s="9" t="s">
        <v>27433</v>
      </c>
      <c r="G1634" s="9" t="s">
        <v>17740</v>
      </c>
      <c r="H1634" s="11" t="s">
        <v>27434</v>
      </c>
      <c r="I1634" s="11" t="s">
        <v>27435</v>
      </c>
      <c r="J1634" s="11" t="s">
        <v>27435</v>
      </c>
      <c r="K1634" s="9" t="s">
        <v>291</v>
      </c>
      <c r="L1634" s="9" t="s">
        <v>17744</v>
      </c>
      <c r="M1634" s="9" t="s">
        <v>27436</v>
      </c>
      <c r="N1634" s="9" t="s">
        <v>17746</v>
      </c>
      <c r="O1634" s="9" t="s">
        <v>19740</v>
      </c>
      <c r="P1634" s="9" t="s">
        <v>17748</v>
      </c>
      <c r="Q1634" s="11" t="s">
        <v>18147</v>
      </c>
      <c r="R1634" s="11" t="s">
        <v>18147</v>
      </c>
      <c r="S1634" s="11" t="s">
        <v>17750</v>
      </c>
    </row>
    <row r="1635" spans="1:19" x14ac:dyDescent="0.2">
      <c r="A1635" s="11" t="s">
        <v>27437</v>
      </c>
      <c r="B1635" s="9" t="s">
        <v>27438</v>
      </c>
      <c r="C1635" s="9" t="s">
        <v>27439</v>
      </c>
      <c r="D1635" s="9" t="s">
        <v>27440</v>
      </c>
      <c r="E1635" s="9" t="s">
        <v>17740</v>
      </c>
      <c r="F1635" s="9" t="s">
        <v>17741</v>
      </c>
      <c r="G1635" s="9" t="s">
        <v>17740</v>
      </c>
      <c r="H1635" s="11" t="s">
        <v>27441</v>
      </c>
      <c r="I1635" s="11" t="s">
        <v>27442</v>
      </c>
      <c r="J1635" s="11" t="s">
        <v>27442</v>
      </c>
      <c r="K1635" s="9" t="s">
        <v>291</v>
      </c>
      <c r="L1635" s="9" t="s">
        <v>17744</v>
      </c>
      <c r="M1635" s="9" t="s">
        <v>27443</v>
      </c>
      <c r="N1635" s="9" t="s">
        <v>17746</v>
      </c>
      <c r="O1635" s="9" t="s">
        <v>19740</v>
      </c>
      <c r="P1635" s="9" t="s">
        <v>17748</v>
      </c>
      <c r="Q1635" s="11" t="s">
        <v>17762</v>
      </c>
      <c r="R1635" s="11" t="s">
        <v>17762</v>
      </c>
      <c r="S1635" s="11" t="s">
        <v>17750</v>
      </c>
    </row>
    <row r="1636" spans="1:19" x14ac:dyDescent="0.2">
      <c r="A1636" s="11" t="s">
        <v>27444</v>
      </c>
      <c r="B1636" s="9" t="s">
        <v>27445</v>
      </c>
      <c r="C1636" s="9" t="s">
        <v>27446</v>
      </c>
      <c r="D1636" s="9" t="s">
        <v>27447</v>
      </c>
      <c r="E1636" s="9" t="s">
        <v>17740</v>
      </c>
      <c r="F1636" s="9" t="s">
        <v>17741</v>
      </c>
      <c r="G1636" s="9" t="s">
        <v>17740</v>
      </c>
      <c r="H1636" s="11" t="s">
        <v>27448</v>
      </c>
      <c r="I1636" s="11" t="s">
        <v>27449</v>
      </c>
      <c r="J1636" s="11" t="s">
        <v>27449</v>
      </c>
      <c r="K1636" s="9" t="s">
        <v>724</v>
      </c>
      <c r="L1636" s="9" t="s">
        <v>17744</v>
      </c>
      <c r="M1636" s="9" t="s">
        <v>17760</v>
      </c>
      <c r="N1636" s="9" t="s">
        <v>17746</v>
      </c>
      <c r="O1636" s="9" t="s">
        <v>27450</v>
      </c>
      <c r="P1636" s="9" t="s">
        <v>17748</v>
      </c>
      <c r="Q1636" s="11" t="s">
        <v>17917</v>
      </c>
      <c r="R1636" s="11" t="s">
        <v>17917</v>
      </c>
      <c r="S1636" s="11" t="s">
        <v>17750</v>
      </c>
    </row>
    <row r="1637" spans="1:19" x14ac:dyDescent="0.2">
      <c r="A1637" s="11" t="s">
        <v>27451</v>
      </c>
      <c r="B1637" s="9" t="s">
        <v>27452</v>
      </c>
      <c r="C1637" s="9" t="s">
        <v>27453</v>
      </c>
      <c r="D1637" s="9" t="s">
        <v>27452</v>
      </c>
      <c r="E1637" s="9" t="s">
        <v>17740</v>
      </c>
      <c r="F1637" s="9" t="s">
        <v>17741</v>
      </c>
      <c r="G1637" s="9" t="s">
        <v>17740</v>
      </c>
      <c r="H1637" s="11" t="s">
        <v>27454</v>
      </c>
      <c r="I1637" s="11" t="s">
        <v>27455</v>
      </c>
      <c r="J1637" s="11" t="s">
        <v>27455</v>
      </c>
      <c r="K1637" s="9" t="s">
        <v>21146</v>
      </c>
      <c r="L1637" s="9" t="s">
        <v>17744</v>
      </c>
      <c r="M1637" s="9" t="s">
        <v>17760</v>
      </c>
      <c r="N1637" s="9" t="s">
        <v>17746</v>
      </c>
      <c r="O1637" s="9" t="s">
        <v>19554</v>
      </c>
      <c r="P1637" s="9" t="s">
        <v>17748</v>
      </c>
      <c r="Q1637" s="11" t="s">
        <v>18600</v>
      </c>
      <c r="R1637" s="11" t="s">
        <v>18600</v>
      </c>
      <c r="S1637" s="11" t="s">
        <v>17750</v>
      </c>
    </row>
    <row r="1638" spans="1:19" x14ac:dyDescent="0.2">
      <c r="A1638" s="11" t="s">
        <v>27456</v>
      </c>
      <c r="B1638" s="9" t="s">
        <v>27457</v>
      </c>
      <c r="C1638" s="9" t="s">
        <v>27458</v>
      </c>
      <c r="D1638" s="9" t="s">
        <v>27459</v>
      </c>
      <c r="E1638" s="9" t="s">
        <v>17740</v>
      </c>
      <c r="F1638" s="9" t="s">
        <v>17741</v>
      </c>
      <c r="G1638" s="9" t="s">
        <v>17740</v>
      </c>
      <c r="H1638" s="11" t="s">
        <v>17174</v>
      </c>
      <c r="I1638" s="11" t="s">
        <v>17173</v>
      </c>
      <c r="J1638" s="11" t="s">
        <v>17173</v>
      </c>
      <c r="K1638" s="9" t="s">
        <v>27457</v>
      </c>
      <c r="L1638" s="9" t="s">
        <v>17759</v>
      </c>
      <c r="M1638" s="9" t="s">
        <v>17983</v>
      </c>
      <c r="N1638" s="9" t="s">
        <v>17746</v>
      </c>
      <c r="O1638" s="9" t="s">
        <v>17993</v>
      </c>
      <c r="P1638" s="9" t="s">
        <v>17748</v>
      </c>
      <c r="Q1638" s="11" t="s">
        <v>18922</v>
      </c>
      <c r="R1638" s="11" t="s">
        <v>18922</v>
      </c>
      <c r="S1638" s="11" t="s">
        <v>17750</v>
      </c>
    </row>
    <row r="1639" spans="1:19" x14ac:dyDescent="0.2">
      <c r="A1639" s="11" t="s">
        <v>27460</v>
      </c>
      <c r="B1639" s="9" t="s">
        <v>27461</v>
      </c>
      <c r="C1639" s="9" t="s">
        <v>27462</v>
      </c>
      <c r="D1639" s="9" t="s">
        <v>27463</v>
      </c>
      <c r="E1639" s="9" t="s">
        <v>17740</v>
      </c>
      <c r="F1639" s="9" t="s">
        <v>17741</v>
      </c>
      <c r="G1639" s="9" t="s">
        <v>17740</v>
      </c>
      <c r="H1639" s="11" t="s">
        <v>1411</v>
      </c>
      <c r="I1639" s="11" t="s">
        <v>1410</v>
      </c>
      <c r="J1639" s="11" t="s">
        <v>1410</v>
      </c>
      <c r="K1639" s="9" t="s">
        <v>920</v>
      </c>
      <c r="L1639" s="9" t="s">
        <v>17759</v>
      </c>
      <c r="M1639" s="9" t="s">
        <v>27464</v>
      </c>
      <c r="N1639" s="9" t="s">
        <v>17746</v>
      </c>
      <c r="O1639" s="9" t="s">
        <v>773</v>
      </c>
      <c r="P1639" s="9" t="s">
        <v>17748</v>
      </c>
      <c r="Q1639" s="11" t="s">
        <v>17978</v>
      </c>
      <c r="R1639" s="11" t="s">
        <v>17978</v>
      </c>
      <c r="S1639" s="11" t="s">
        <v>17750</v>
      </c>
    </row>
    <row r="1640" spans="1:19" x14ac:dyDescent="0.2">
      <c r="A1640" s="11" t="s">
        <v>27465</v>
      </c>
      <c r="B1640" s="9" t="s">
        <v>27466</v>
      </c>
      <c r="C1640" s="9" t="s">
        <v>27467</v>
      </c>
      <c r="D1640" s="9" t="s">
        <v>27468</v>
      </c>
      <c r="E1640" s="9" t="s">
        <v>17740</v>
      </c>
      <c r="F1640" s="9" t="s">
        <v>17741</v>
      </c>
      <c r="G1640" s="9" t="s">
        <v>17740</v>
      </c>
      <c r="H1640" s="11" t="s">
        <v>13459</v>
      </c>
      <c r="I1640" s="11" t="s">
        <v>13458</v>
      </c>
      <c r="J1640" s="11" t="s">
        <v>13458</v>
      </c>
      <c r="K1640" s="9" t="s">
        <v>27469</v>
      </c>
      <c r="L1640" s="9" t="s">
        <v>17744</v>
      </c>
      <c r="M1640" s="9" t="s">
        <v>27470</v>
      </c>
      <c r="N1640" s="9" t="s">
        <v>17746</v>
      </c>
      <c r="O1640" s="9" t="s">
        <v>17993</v>
      </c>
      <c r="P1640" s="9" t="s">
        <v>17748</v>
      </c>
      <c r="Q1640" s="11" t="s">
        <v>18370</v>
      </c>
      <c r="R1640" s="11" t="s">
        <v>18370</v>
      </c>
      <c r="S1640" s="11" t="s">
        <v>17750</v>
      </c>
    </row>
    <row r="1641" spans="1:19" x14ac:dyDescent="0.2">
      <c r="A1641" s="11" t="s">
        <v>27471</v>
      </c>
      <c r="B1641" s="9" t="s">
        <v>27472</v>
      </c>
      <c r="C1641" s="9" t="s">
        <v>27473</v>
      </c>
      <c r="D1641" s="9" t="s">
        <v>27474</v>
      </c>
      <c r="E1641" s="9" t="s">
        <v>17740</v>
      </c>
      <c r="F1641" s="9" t="s">
        <v>17741</v>
      </c>
      <c r="G1641" s="9" t="s">
        <v>17740</v>
      </c>
      <c r="H1641" s="11" t="s">
        <v>1404</v>
      </c>
      <c r="I1641" s="11" t="s">
        <v>1403</v>
      </c>
      <c r="J1641" s="11" t="s">
        <v>1403</v>
      </c>
      <c r="K1641" s="9" t="s">
        <v>18951</v>
      </c>
      <c r="L1641" s="9" t="s">
        <v>17759</v>
      </c>
      <c r="M1641" s="9" t="s">
        <v>17817</v>
      </c>
      <c r="N1641" s="9" t="s">
        <v>17746</v>
      </c>
      <c r="O1641" s="9" t="s">
        <v>17993</v>
      </c>
      <c r="P1641" s="9" t="s">
        <v>17748</v>
      </c>
      <c r="Q1641" s="11" t="s">
        <v>17969</v>
      </c>
      <c r="R1641" s="11" t="s">
        <v>17969</v>
      </c>
      <c r="S1641" s="11" t="s">
        <v>17750</v>
      </c>
    </row>
    <row r="1642" spans="1:19" x14ac:dyDescent="0.2">
      <c r="A1642" s="11" t="s">
        <v>27475</v>
      </c>
      <c r="B1642" s="9" t="s">
        <v>27476</v>
      </c>
      <c r="C1642" s="9" t="s">
        <v>27477</v>
      </c>
      <c r="D1642" s="9" t="s">
        <v>27478</v>
      </c>
      <c r="E1642" s="9" t="s">
        <v>17740</v>
      </c>
      <c r="F1642" s="9" t="s">
        <v>17741</v>
      </c>
      <c r="G1642" s="9" t="s">
        <v>17740</v>
      </c>
      <c r="H1642" s="11" t="s">
        <v>27479</v>
      </c>
      <c r="I1642" s="11" t="s">
        <v>27480</v>
      </c>
      <c r="J1642" s="11" t="s">
        <v>27480</v>
      </c>
      <c r="K1642" s="9" t="s">
        <v>27481</v>
      </c>
      <c r="L1642" s="9" t="s">
        <v>18158</v>
      </c>
      <c r="M1642" s="9" t="s">
        <v>27482</v>
      </c>
      <c r="N1642" s="9" t="s">
        <v>17746</v>
      </c>
      <c r="O1642" s="9" t="s">
        <v>27483</v>
      </c>
      <c r="P1642" s="9" t="s">
        <v>17748</v>
      </c>
      <c r="Q1642" s="11" t="s">
        <v>18960</v>
      </c>
      <c r="R1642" s="11" t="s">
        <v>18960</v>
      </c>
      <c r="S1642" s="11" t="s">
        <v>17750</v>
      </c>
    </row>
    <row r="1643" spans="1:19" x14ac:dyDescent="0.2">
      <c r="A1643" s="11" t="s">
        <v>27484</v>
      </c>
      <c r="B1643" s="9" t="s">
        <v>27485</v>
      </c>
      <c r="C1643" s="9" t="s">
        <v>27486</v>
      </c>
      <c r="D1643" s="9" t="s">
        <v>27487</v>
      </c>
      <c r="E1643" s="9" t="s">
        <v>17740</v>
      </c>
      <c r="F1643" s="9" t="s">
        <v>17741</v>
      </c>
      <c r="G1643" s="9" t="s">
        <v>17740</v>
      </c>
      <c r="H1643" s="11" t="s">
        <v>1395</v>
      </c>
      <c r="I1643" s="11" t="s">
        <v>1394</v>
      </c>
      <c r="J1643" s="11" t="s">
        <v>1394</v>
      </c>
      <c r="K1643" s="9" t="s">
        <v>27488</v>
      </c>
      <c r="L1643" s="9" t="s">
        <v>17759</v>
      </c>
      <c r="M1643" s="9" t="s">
        <v>17817</v>
      </c>
      <c r="N1643" s="9" t="s">
        <v>17746</v>
      </c>
      <c r="O1643" s="9" t="s">
        <v>1675</v>
      </c>
      <c r="P1643" s="9" t="s">
        <v>17748</v>
      </c>
      <c r="Q1643" s="11" t="s">
        <v>18805</v>
      </c>
      <c r="R1643" s="11" t="s">
        <v>18805</v>
      </c>
      <c r="S1643" s="11" t="s">
        <v>17750</v>
      </c>
    </row>
    <row r="1644" spans="1:19" x14ac:dyDescent="0.2">
      <c r="A1644" s="11" t="s">
        <v>27489</v>
      </c>
      <c r="B1644" s="9" t="s">
        <v>27490</v>
      </c>
      <c r="C1644" s="9" t="s">
        <v>27491</v>
      </c>
      <c r="D1644" s="9" t="s">
        <v>27492</v>
      </c>
      <c r="E1644" s="9" t="s">
        <v>17740</v>
      </c>
      <c r="F1644" s="9" t="s">
        <v>27493</v>
      </c>
      <c r="G1644" s="9" t="s">
        <v>17740</v>
      </c>
      <c r="H1644" s="11" t="s">
        <v>4665</v>
      </c>
      <c r="I1644" s="11" t="s">
        <v>4664</v>
      </c>
      <c r="J1644" s="11" t="s">
        <v>4664</v>
      </c>
      <c r="K1644" s="9" t="s">
        <v>970</v>
      </c>
      <c r="L1644" s="9" t="s">
        <v>17759</v>
      </c>
      <c r="M1644" s="9" t="s">
        <v>27494</v>
      </c>
      <c r="N1644" s="9" t="s">
        <v>17746</v>
      </c>
      <c r="O1644" s="9" t="s">
        <v>1675</v>
      </c>
      <c r="P1644" s="9" t="s">
        <v>17748</v>
      </c>
      <c r="Q1644" s="11" t="s">
        <v>18678</v>
      </c>
      <c r="R1644" s="11" t="s">
        <v>18678</v>
      </c>
      <c r="S1644" s="11" t="s">
        <v>17750</v>
      </c>
    </row>
    <row r="1645" spans="1:19" x14ac:dyDescent="0.2">
      <c r="A1645" s="11" t="s">
        <v>27495</v>
      </c>
      <c r="B1645" s="9" t="s">
        <v>27496</v>
      </c>
      <c r="C1645" s="9" t="s">
        <v>27497</v>
      </c>
      <c r="D1645" s="9" t="s">
        <v>27498</v>
      </c>
      <c r="E1645" s="9" t="s">
        <v>17740</v>
      </c>
      <c r="F1645" s="9" t="s">
        <v>27499</v>
      </c>
      <c r="G1645" s="9" t="s">
        <v>17740</v>
      </c>
      <c r="H1645" s="11" t="s">
        <v>17741</v>
      </c>
      <c r="I1645" s="11" t="s">
        <v>11487</v>
      </c>
      <c r="J1645" s="11" t="s">
        <v>11487</v>
      </c>
      <c r="K1645" s="9" t="s">
        <v>11488</v>
      </c>
      <c r="L1645" s="9" t="s">
        <v>20082</v>
      </c>
      <c r="M1645" s="9" t="s">
        <v>17760</v>
      </c>
      <c r="N1645" s="9" t="s">
        <v>17746</v>
      </c>
      <c r="O1645" s="9" t="s">
        <v>27500</v>
      </c>
      <c r="P1645" s="9" t="s">
        <v>17748</v>
      </c>
      <c r="Q1645" s="11" t="s">
        <v>17762</v>
      </c>
      <c r="R1645" s="11" t="s">
        <v>17762</v>
      </c>
      <c r="S1645" s="11" t="s">
        <v>17750</v>
      </c>
    </row>
    <row r="1646" spans="1:19" x14ac:dyDescent="0.2">
      <c r="A1646" s="11" t="s">
        <v>27501</v>
      </c>
      <c r="B1646" s="9" t="s">
        <v>27502</v>
      </c>
      <c r="C1646" s="9" t="s">
        <v>27503</v>
      </c>
      <c r="D1646" s="9" t="s">
        <v>27504</v>
      </c>
      <c r="E1646" s="9" t="s">
        <v>17740</v>
      </c>
      <c r="F1646" s="9" t="s">
        <v>27505</v>
      </c>
      <c r="G1646" s="9" t="s">
        <v>17740</v>
      </c>
      <c r="H1646" s="11" t="s">
        <v>5245</v>
      </c>
      <c r="I1646" s="11" t="s">
        <v>5244</v>
      </c>
      <c r="J1646" s="11" t="s">
        <v>5244</v>
      </c>
      <c r="K1646" s="9" t="s">
        <v>19202</v>
      </c>
      <c r="L1646" s="9" t="s">
        <v>17759</v>
      </c>
      <c r="M1646" s="9" t="s">
        <v>17817</v>
      </c>
      <c r="N1646" s="9" t="s">
        <v>17746</v>
      </c>
      <c r="O1646" s="9" t="s">
        <v>19917</v>
      </c>
      <c r="P1646" s="9" t="s">
        <v>17748</v>
      </c>
      <c r="Q1646" s="11" t="s">
        <v>17749</v>
      </c>
      <c r="R1646" s="11" t="s">
        <v>17749</v>
      </c>
      <c r="S1646" s="11" t="s">
        <v>17750</v>
      </c>
    </row>
    <row r="1647" spans="1:19" x14ac:dyDescent="0.2">
      <c r="A1647" s="11" t="s">
        <v>27506</v>
      </c>
      <c r="B1647" s="9" t="s">
        <v>27507</v>
      </c>
      <c r="C1647" s="9" t="s">
        <v>27508</v>
      </c>
      <c r="D1647" s="9" t="s">
        <v>27509</v>
      </c>
      <c r="E1647" s="9" t="s">
        <v>17740</v>
      </c>
      <c r="F1647" s="9" t="s">
        <v>27510</v>
      </c>
      <c r="G1647" s="9" t="s">
        <v>17740</v>
      </c>
      <c r="H1647" s="11" t="s">
        <v>9251</v>
      </c>
      <c r="I1647" s="11" t="s">
        <v>9250</v>
      </c>
      <c r="J1647" s="11" t="s">
        <v>9251</v>
      </c>
      <c r="K1647" s="9" t="s">
        <v>91</v>
      </c>
      <c r="L1647" s="9" t="s">
        <v>18001</v>
      </c>
      <c r="M1647" s="9" t="s">
        <v>17817</v>
      </c>
      <c r="N1647" s="9" t="s">
        <v>17746</v>
      </c>
      <c r="O1647" s="9" t="s">
        <v>18762</v>
      </c>
      <c r="P1647" s="9" t="s">
        <v>17748</v>
      </c>
      <c r="Q1647" s="11" t="s">
        <v>17994</v>
      </c>
      <c r="R1647" s="11" t="s">
        <v>17994</v>
      </c>
      <c r="S1647" s="11" t="s">
        <v>17750</v>
      </c>
    </row>
    <row r="1648" spans="1:19" x14ac:dyDescent="0.2">
      <c r="A1648" s="11" t="s">
        <v>27511</v>
      </c>
      <c r="B1648" s="9" t="s">
        <v>27512</v>
      </c>
      <c r="C1648" s="9" t="s">
        <v>27513</v>
      </c>
      <c r="D1648" s="9" t="s">
        <v>27514</v>
      </c>
      <c r="E1648" s="9" t="s">
        <v>17740</v>
      </c>
      <c r="F1648" s="9" t="s">
        <v>17741</v>
      </c>
      <c r="G1648" s="9" t="s">
        <v>17740</v>
      </c>
      <c r="H1648" s="11" t="s">
        <v>7659</v>
      </c>
      <c r="I1648" s="11" t="s">
        <v>7658</v>
      </c>
      <c r="J1648" s="11" t="s">
        <v>7658</v>
      </c>
      <c r="K1648" s="9" t="s">
        <v>55</v>
      </c>
      <c r="L1648" s="9" t="s">
        <v>17744</v>
      </c>
      <c r="M1648" s="9" t="s">
        <v>18065</v>
      </c>
      <c r="N1648" s="9" t="s">
        <v>17746</v>
      </c>
      <c r="O1648" s="9" t="s">
        <v>27515</v>
      </c>
      <c r="P1648" s="9" t="s">
        <v>17748</v>
      </c>
      <c r="Q1648" s="11" t="s">
        <v>17808</v>
      </c>
      <c r="R1648" s="11" t="s">
        <v>17808</v>
      </c>
      <c r="S1648" s="11" t="s">
        <v>17750</v>
      </c>
    </row>
    <row r="1649" spans="1:19" x14ac:dyDescent="0.2">
      <c r="A1649" s="11" t="s">
        <v>27516</v>
      </c>
      <c r="B1649" s="9" t="s">
        <v>27517</v>
      </c>
      <c r="C1649" s="9" t="s">
        <v>27518</v>
      </c>
      <c r="D1649" s="9" t="s">
        <v>27519</v>
      </c>
      <c r="E1649" s="9" t="s">
        <v>17740</v>
      </c>
      <c r="F1649" s="9" t="s">
        <v>17741</v>
      </c>
      <c r="G1649" s="9" t="s">
        <v>17740</v>
      </c>
      <c r="H1649" s="11" t="s">
        <v>1433</v>
      </c>
      <c r="I1649" s="11" t="s">
        <v>1432</v>
      </c>
      <c r="J1649" s="11" t="s">
        <v>1432</v>
      </c>
      <c r="K1649" s="9" t="s">
        <v>27520</v>
      </c>
      <c r="L1649" s="9" t="s">
        <v>18001</v>
      </c>
      <c r="M1649" s="9" t="s">
        <v>18065</v>
      </c>
      <c r="N1649" s="9" t="s">
        <v>17746</v>
      </c>
      <c r="O1649" s="9" t="s">
        <v>3255</v>
      </c>
      <c r="P1649" s="9" t="s">
        <v>17748</v>
      </c>
      <c r="Q1649" s="11" t="s">
        <v>21578</v>
      </c>
      <c r="R1649" s="11" t="s">
        <v>21578</v>
      </c>
      <c r="S1649" s="11" t="s">
        <v>17750</v>
      </c>
    </row>
    <row r="1650" spans="1:19" x14ac:dyDescent="0.2">
      <c r="A1650" s="11" t="s">
        <v>27521</v>
      </c>
      <c r="B1650" s="9" t="s">
        <v>27522</v>
      </c>
      <c r="C1650" s="9" t="s">
        <v>27523</v>
      </c>
      <c r="D1650" s="9" t="s">
        <v>27524</v>
      </c>
      <c r="E1650" s="9" t="s">
        <v>17740</v>
      </c>
      <c r="F1650" s="9" t="s">
        <v>27525</v>
      </c>
      <c r="G1650" s="9" t="s">
        <v>17740</v>
      </c>
      <c r="H1650" s="11" t="s">
        <v>27526</v>
      </c>
      <c r="I1650" s="11" t="s">
        <v>27527</v>
      </c>
      <c r="J1650" s="11" t="s">
        <v>27527</v>
      </c>
      <c r="K1650" s="9" t="s">
        <v>27528</v>
      </c>
      <c r="L1650" s="9" t="s">
        <v>17759</v>
      </c>
      <c r="M1650" s="9" t="s">
        <v>17769</v>
      </c>
      <c r="N1650" s="9" t="s">
        <v>17746</v>
      </c>
      <c r="O1650" s="9" t="s">
        <v>17977</v>
      </c>
      <c r="P1650" s="9" t="s">
        <v>17748</v>
      </c>
      <c r="Q1650" s="11" t="s">
        <v>19236</v>
      </c>
      <c r="R1650" s="11" t="s">
        <v>19236</v>
      </c>
      <c r="S1650" s="11" t="s">
        <v>17750</v>
      </c>
    </row>
    <row r="1651" spans="1:19" x14ac:dyDescent="0.2">
      <c r="A1651" s="11" t="s">
        <v>27529</v>
      </c>
      <c r="B1651" s="9" t="s">
        <v>27530</v>
      </c>
      <c r="C1651" s="9" t="s">
        <v>27531</v>
      </c>
      <c r="D1651" s="9" t="s">
        <v>27532</v>
      </c>
      <c r="E1651" s="9" t="s">
        <v>17748</v>
      </c>
      <c r="F1651" s="9" t="s">
        <v>27533</v>
      </c>
      <c r="G1651" s="9" t="s">
        <v>17740</v>
      </c>
      <c r="H1651" s="11" t="s">
        <v>27534</v>
      </c>
      <c r="I1651" s="11" t="s">
        <v>27535</v>
      </c>
      <c r="J1651" s="11" t="s">
        <v>27535</v>
      </c>
      <c r="K1651" s="9" t="s">
        <v>27536</v>
      </c>
      <c r="L1651" s="9" t="s">
        <v>18854</v>
      </c>
      <c r="M1651" s="9" t="s">
        <v>17769</v>
      </c>
      <c r="N1651" s="9" t="s">
        <v>17746</v>
      </c>
      <c r="O1651" s="9" t="s">
        <v>17959</v>
      </c>
      <c r="P1651" s="9" t="s">
        <v>17748</v>
      </c>
      <c r="Q1651" s="11" t="s">
        <v>18922</v>
      </c>
      <c r="R1651" s="11" t="s">
        <v>18922</v>
      </c>
      <c r="S1651" s="11" t="s">
        <v>17750</v>
      </c>
    </row>
    <row r="1652" spans="1:19" x14ac:dyDescent="0.2">
      <c r="A1652" s="11" t="s">
        <v>27537</v>
      </c>
      <c r="B1652" s="9" t="s">
        <v>27538</v>
      </c>
      <c r="C1652" s="9" t="s">
        <v>27539</v>
      </c>
      <c r="D1652" s="9" t="s">
        <v>27540</v>
      </c>
      <c r="E1652" s="9" t="s">
        <v>17740</v>
      </c>
      <c r="F1652" s="9" t="s">
        <v>17741</v>
      </c>
      <c r="G1652" s="9" t="s">
        <v>17740</v>
      </c>
      <c r="H1652" s="11" t="s">
        <v>27541</v>
      </c>
      <c r="I1652" s="11" t="s">
        <v>27542</v>
      </c>
      <c r="J1652" s="11" t="s">
        <v>27542</v>
      </c>
      <c r="K1652" s="9" t="s">
        <v>91</v>
      </c>
      <c r="L1652" s="9" t="s">
        <v>17759</v>
      </c>
      <c r="M1652" s="9" t="s">
        <v>17760</v>
      </c>
      <c r="N1652" s="9" t="s">
        <v>17746</v>
      </c>
      <c r="O1652" s="9" t="s">
        <v>27543</v>
      </c>
      <c r="P1652" s="9" t="s">
        <v>17748</v>
      </c>
      <c r="Q1652" s="11" t="s">
        <v>18341</v>
      </c>
      <c r="R1652" s="11" t="s">
        <v>18341</v>
      </c>
      <c r="S1652" s="11" t="s">
        <v>17750</v>
      </c>
    </row>
    <row r="1653" spans="1:19" x14ac:dyDescent="0.2">
      <c r="A1653" s="11" t="s">
        <v>27544</v>
      </c>
      <c r="B1653" s="9" t="s">
        <v>27545</v>
      </c>
      <c r="C1653" s="9" t="s">
        <v>27546</v>
      </c>
      <c r="D1653" s="9" t="s">
        <v>27547</v>
      </c>
      <c r="E1653" s="9" t="s">
        <v>17740</v>
      </c>
      <c r="F1653" s="9" t="s">
        <v>17741</v>
      </c>
      <c r="G1653" s="9" t="s">
        <v>17740</v>
      </c>
      <c r="H1653" s="11" t="s">
        <v>17741</v>
      </c>
      <c r="I1653" s="11" t="s">
        <v>27548</v>
      </c>
      <c r="J1653" s="11" t="s">
        <v>27548</v>
      </c>
      <c r="K1653" s="9" t="s">
        <v>27549</v>
      </c>
      <c r="L1653" s="9" t="s">
        <v>17958</v>
      </c>
      <c r="M1653" s="9" t="s">
        <v>19965</v>
      </c>
      <c r="N1653" s="9" t="s">
        <v>22152</v>
      </c>
      <c r="O1653" s="9" t="s">
        <v>20296</v>
      </c>
      <c r="P1653" s="9" t="s">
        <v>17748</v>
      </c>
      <c r="Q1653" s="11" t="s">
        <v>19222</v>
      </c>
      <c r="R1653" s="11" t="s">
        <v>19222</v>
      </c>
      <c r="S1653" s="11" t="s">
        <v>17750</v>
      </c>
    </row>
    <row r="1654" spans="1:19" x14ac:dyDescent="0.2">
      <c r="A1654" s="11" t="s">
        <v>27550</v>
      </c>
      <c r="B1654" s="9" t="s">
        <v>27551</v>
      </c>
      <c r="C1654" s="9" t="s">
        <v>27552</v>
      </c>
      <c r="D1654" s="9" t="s">
        <v>27553</v>
      </c>
      <c r="E1654" s="9" t="s">
        <v>17740</v>
      </c>
      <c r="F1654" s="9" t="s">
        <v>17741</v>
      </c>
      <c r="G1654" s="9" t="s">
        <v>17740</v>
      </c>
      <c r="H1654" s="11" t="s">
        <v>27554</v>
      </c>
      <c r="I1654" s="11" t="s">
        <v>27555</v>
      </c>
      <c r="J1654" s="11" t="s">
        <v>27555</v>
      </c>
      <c r="K1654" s="9" t="s">
        <v>27556</v>
      </c>
      <c r="L1654" s="9" t="s">
        <v>17744</v>
      </c>
      <c r="M1654" s="9" t="s">
        <v>17992</v>
      </c>
      <c r="N1654" s="9" t="s">
        <v>17746</v>
      </c>
      <c r="O1654" s="9" t="s">
        <v>17834</v>
      </c>
      <c r="P1654" s="9" t="s">
        <v>17748</v>
      </c>
      <c r="Q1654" s="11" t="s">
        <v>17792</v>
      </c>
      <c r="R1654" s="11" t="s">
        <v>17792</v>
      </c>
      <c r="S1654" s="11" t="s">
        <v>17750</v>
      </c>
    </row>
    <row r="1655" spans="1:19" x14ac:dyDescent="0.2">
      <c r="A1655" s="11" t="s">
        <v>27557</v>
      </c>
      <c r="B1655" s="9" t="s">
        <v>27558</v>
      </c>
      <c r="C1655" s="9" t="s">
        <v>27559</v>
      </c>
      <c r="D1655" s="9" t="s">
        <v>27560</v>
      </c>
      <c r="E1655" s="9" t="s">
        <v>17740</v>
      </c>
      <c r="F1655" s="9" t="s">
        <v>17741</v>
      </c>
      <c r="G1655" s="9" t="s">
        <v>17740</v>
      </c>
      <c r="H1655" s="11" t="s">
        <v>1340</v>
      </c>
      <c r="I1655" s="11" t="s">
        <v>1339</v>
      </c>
      <c r="J1655" s="11" t="s">
        <v>1339</v>
      </c>
      <c r="K1655" s="9" t="s">
        <v>91</v>
      </c>
      <c r="L1655" s="9" t="s">
        <v>21771</v>
      </c>
      <c r="M1655" s="9" t="s">
        <v>27561</v>
      </c>
      <c r="N1655" s="9" t="s">
        <v>17746</v>
      </c>
      <c r="O1655" s="9" t="s">
        <v>18644</v>
      </c>
      <c r="P1655" s="9" t="s">
        <v>17748</v>
      </c>
      <c r="Q1655" s="11" t="s">
        <v>18608</v>
      </c>
      <c r="R1655" s="11" t="s">
        <v>18608</v>
      </c>
      <c r="S1655" s="11" t="s">
        <v>17750</v>
      </c>
    </row>
    <row r="1656" spans="1:19" x14ac:dyDescent="0.2">
      <c r="A1656" s="11" t="s">
        <v>27562</v>
      </c>
      <c r="B1656" s="9" t="s">
        <v>27563</v>
      </c>
      <c r="C1656" s="9" t="s">
        <v>27564</v>
      </c>
      <c r="D1656" s="9" t="s">
        <v>27565</v>
      </c>
      <c r="E1656" s="9" t="s">
        <v>17740</v>
      </c>
      <c r="F1656" s="9" t="s">
        <v>27566</v>
      </c>
      <c r="G1656" s="9" t="s">
        <v>17740</v>
      </c>
      <c r="H1656" s="11" t="s">
        <v>27567</v>
      </c>
      <c r="I1656" s="11" t="s">
        <v>27568</v>
      </c>
      <c r="J1656" s="11" t="s">
        <v>27568</v>
      </c>
      <c r="K1656" s="9" t="s">
        <v>970</v>
      </c>
      <c r="L1656" s="9" t="s">
        <v>20082</v>
      </c>
      <c r="M1656" s="9" t="s">
        <v>22224</v>
      </c>
      <c r="N1656" s="9" t="s">
        <v>17746</v>
      </c>
      <c r="O1656" s="9" t="s">
        <v>18644</v>
      </c>
      <c r="P1656" s="9" t="s">
        <v>17748</v>
      </c>
      <c r="Q1656" s="11" t="s">
        <v>17749</v>
      </c>
      <c r="R1656" s="11" t="s">
        <v>17749</v>
      </c>
      <c r="S1656" s="11" t="s">
        <v>17750</v>
      </c>
    </row>
    <row r="1657" spans="1:19" x14ac:dyDescent="0.2">
      <c r="A1657" s="11" t="s">
        <v>27569</v>
      </c>
      <c r="B1657" s="9" t="s">
        <v>27570</v>
      </c>
      <c r="C1657" s="9" t="s">
        <v>27571</v>
      </c>
      <c r="D1657" s="9" t="s">
        <v>27572</v>
      </c>
      <c r="E1657" s="9" t="s">
        <v>17740</v>
      </c>
      <c r="F1657" s="9" t="s">
        <v>17741</v>
      </c>
      <c r="G1657" s="9" t="s">
        <v>17740</v>
      </c>
      <c r="H1657" s="11" t="s">
        <v>1354</v>
      </c>
      <c r="I1657" s="11" t="s">
        <v>1353</v>
      </c>
      <c r="J1657" s="11" t="s">
        <v>1353</v>
      </c>
      <c r="K1657" s="9" t="s">
        <v>291</v>
      </c>
      <c r="L1657" s="9" t="s">
        <v>17744</v>
      </c>
      <c r="M1657" s="9" t="s">
        <v>27573</v>
      </c>
      <c r="N1657" s="9" t="s">
        <v>17746</v>
      </c>
      <c r="O1657" s="9" t="s">
        <v>4009</v>
      </c>
      <c r="P1657" s="9" t="s">
        <v>17748</v>
      </c>
      <c r="Q1657" s="11" t="s">
        <v>18600</v>
      </c>
      <c r="R1657" s="11" t="s">
        <v>18600</v>
      </c>
      <c r="S1657" s="11" t="s">
        <v>17750</v>
      </c>
    </row>
    <row r="1658" spans="1:19" x14ac:dyDescent="0.2">
      <c r="A1658" s="11" t="s">
        <v>27574</v>
      </c>
      <c r="B1658" s="9" t="s">
        <v>27575</v>
      </c>
      <c r="C1658" s="9" t="s">
        <v>27576</v>
      </c>
      <c r="D1658" s="9" t="s">
        <v>27577</v>
      </c>
      <c r="E1658" s="9" t="s">
        <v>17740</v>
      </c>
      <c r="F1658" s="9" t="s">
        <v>27578</v>
      </c>
      <c r="G1658" s="9" t="s">
        <v>17740</v>
      </c>
      <c r="H1658" s="11" t="s">
        <v>1445</v>
      </c>
      <c r="I1658" s="11" t="s">
        <v>1444</v>
      </c>
      <c r="J1658" s="11" t="s">
        <v>1444</v>
      </c>
      <c r="K1658" s="9" t="s">
        <v>18616</v>
      </c>
      <c r="L1658" s="9" t="s">
        <v>17744</v>
      </c>
      <c r="M1658" s="9" t="s">
        <v>17817</v>
      </c>
      <c r="N1658" s="9" t="s">
        <v>17746</v>
      </c>
      <c r="O1658" s="9" t="s">
        <v>17779</v>
      </c>
      <c r="P1658" s="9" t="s">
        <v>17748</v>
      </c>
      <c r="Q1658" s="11" t="s">
        <v>17849</v>
      </c>
      <c r="R1658" s="11" t="s">
        <v>17849</v>
      </c>
      <c r="S1658" s="11" t="s">
        <v>17750</v>
      </c>
    </row>
    <row r="1659" spans="1:19" x14ac:dyDescent="0.2">
      <c r="A1659" s="11" t="s">
        <v>27579</v>
      </c>
      <c r="B1659" s="9" t="s">
        <v>27580</v>
      </c>
      <c r="C1659" s="9" t="s">
        <v>27581</v>
      </c>
      <c r="D1659" s="9" t="s">
        <v>27582</v>
      </c>
      <c r="E1659" s="9" t="s">
        <v>17740</v>
      </c>
      <c r="F1659" s="9" t="s">
        <v>17741</v>
      </c>
      <c r="G1659" s="9" t="s">
        <v>17740</v>
      </c>
      <c r="H1659" s="11" t="s">
        <v>6344</v>
      </c>
      <c r="I1659" s="11" t="s">
        <v>6343</v>
      </c>
      <c r="J1659" s="11" t="s">
        <v>6343</v>
      </c>
      <c r="K1659" s="9" t="s">
        <v>291</v>
      </c>
      <c r="L1659" s="9" t="s">
        <v>17744</v>
      </c>
      <c r="M1659" s="9" t="s">
        <v>23678</v>
      </c>
      <c r="N1659" s="9" t="s">
        <v>17746</v>
      </c>
      <c r="O1659" s="9" t="s">
        <v>17779</v>
      </c>
      <c r="P1659" s="9" t="s">
        <v>17748</v>
      </c>
      <c r="Q1659" s="11" t="s">
        <v>17792</v>
      </c>
      <c r="R1659" s="11" t="s">
        <v>17792</v>
      </c>
      <c r="S1659" s="11" t="s">
        <v>17750</v>
      </c>
    </row>
    <row r="1660" spans="1:19" x14ac:dyDescent="0.2">
      <c r="A1660" s="11" t="s">
        <v>27583</v>
      </c>
      <c r="B1660" s="9" t="s">
        <v>27584</v>
      </c>
      <c r="C1660" s="9" t="s">
        <v>27585</v>
      </c>
      <c r="D1660" s="9" t="s">
        <v>27586</v>
      </c>
      <c r="E1660" s="9" t="s">
        <v>17740</v>
      </c>
      <c r="F1660" s="9" t="s">
        <v>17741</v>
      </c>
      <c r="G1660" s="9" t="s">
        <v>17740</v>
      </c>
      <c r="H1660" s="11" t="s">
        <v>13702</v>
      </c>
      <c r="I1660" s="11" t="s">
        <v>17741</v>
      </c>
      <c r="J1660" s="11" t="s">
        <v>13702</v>
      </c>
      <c r="K1660" s="9" t="s">
        <v>27587</v>
      </c>
      <c r="L1660" s="9" t="s">
        <v>19483</v>
      </c>
      <c r="M1660" s="9" t="s">
        <v>17741</v>
      </c>
      <c r="N1660" s="9" t="s">
        <v>17746</v>
      </c>
      <c r="O1660" s="9" t="s">
        <v>17779</v>
      </c>
      <c r="P1660" s="9" t="s">
        <v>17748</v>
      </c>
      <c r="Q1660" s="11" t="s">
        <v>17917</v>
      </c>
      <c r="R1660" s="11" t="s">
        <v>17917</v>
      </c>
      <c r="S1660" s="11" t="s">
        <v>17750</v>
      </c>
    </row>
    <row r="1661" spans="1:19" x14ac:dyDescent="0.2">
      <c r="A1661" s="11" t="s">
        <v>27588</v>
      </c>
      <c r="B1661" s="9" t="s">
        <v>27589</v>
      </c>
      <c r="C1661" s="9" t="s">
        <v>27590</v>
      </c>
      <c r="D1661" s="9" t="s">
        <v>27591</v>
      </c>
      <c r="E1661" s="9" t="s">
        <v>17740</v>
      </c>
      <c r="F1661" s="9" t="s">
        <v>27592</v>
      </c>
      <c r="G1661" s="9" t="s">
        <v>17740</v>
      </c>
      <c r="H1661" s="11" t="s">
        <v>1357</v>
      </c>
      <c r="I1661" s="11" t="s">
        <v>1356</v>
      </c>
      <c r="J1661" s="11" t="s">
        <v>1356</v>
      </c>
      <c r="K1661" s="9" t="s">
        <v>291</v>
      </c>
      <c r="L1661" s="9" t="s">
        <v>17744</v>
      </c>
      <c r="M1661" s="9" t="s">
        <v>27593</v>
      </c>
      <c r="N1661" s="9" t="s">
        <v>17746</v>
      </c>
      <c r="O1661" s="9" t="s">
        <v>20404</v>
      </c>
      <c r="P1661" s="9" t="s">
        <v>17748</v>
      </c>
      <c r="Q1661" s="11" t="s">
        <v>18600</v>
      </c>
      <c r="R1661" s="11" t="s">
        <v>18600</v>
      </c>
      <c r="S1661" s="11" t="s">
        <v>17750</v>
      </c>
    </row>
    <row r="1662" spans="1:19" x14ac:dyDescent="0.2">
      <c r="A1662" s="11" t="s">
        <v>27594</v>
      </c>
      <c r="B1662" s="9" t="s">
        <v>27595</v>
      </c>
      <c r="C1662" s="9" t="s">
        <v>27596</v>
      </c>
      <c r="D1662" s="9" t="s">
        <v>27597</v>
      </c>
      <c r="E1662" s="9" t="s">
        <v>17740</v>
      </c>
      <c r="F1662" s="9" t="s">
        <v>17741</v>
      </c>
      <c r="G1662" s="9" t="s">
        <v>17740</v>
      </c>
      <c r="H1662" s="11" t="s">
        <v>16746</v>
      </c>
      <c r="I1662" s="11" t="s">
        <v>16745</v>
      </c>
      <c r="J1662" s="11" t="s">
        <v>16745</v>
      </c>
      <c r="K1662" s="9" t="s">
        <v>27598</v>
      </c>
      <c r="L1662" s="9" t="s">
        <v>18242</v>
      </c>
      <c r="M1662" s="9" t="s">
        <v>17769</v>
      </c>
      <c r="N1662" s="9" t="s">
        <v>17746</v>
      </c>
      <c r="O1662" s="9" t="s">
        <v>17779</v>
      </c>
      <c r="P1662" s="9" t="s">
        <v>17748</v>
      </c>
      <c r="Q1662" s="11" t="s">
        <v>17917</v>
      </c>
      <c r="R1662" s="11" t="s">
        <v>17917</v>
      </c>
      <c r="S1662" s="11" t="s">
        <v>17750</v>
      </c>
    </row>
    <row r="1663" spans="1:19" x14ac:dyDescent="0.2">
      <c r="A1663" s="11" t="s">
        <v>27599</v>
      </c>
      <c r="B1663" s="9" t="s">
        <v>27600</v>
      </c>
      <c r="C1663" s="9" t="s">
        <v>27601</v>
      </c>
      <c r="D1663" s="9" t="s">
        <v>27602</v>
      </c>
      <c r="E1663" s="9" t="s">
        <v>17740</v>
      </c>
      <c r="F1663" s="9" t="s">
        <v>17741</v>
      </c>
      <c r="G1663" s="9" t="s">
        <v>17740</v>
      </c>
      <c r="H1663" s="11" t="s">
        <v>7025</v>
      </c>
      <c r="I1663" s="11" t="s">
        <v>7024</v>
      </c>
      <c r="J1663" s="11" t="s">
        <v>7024</v>
      </c>
      <c r="K1663" s="9" t="s">
        <v>21614</v>
      </c>
      <c r="L1663" s="9" t="s">
        <v>17744</v>
      </c>
      <c r="M1663" s="9" t="s">
        <v>27603</v>
      </c>
      <c r="N1663" s="9" t="s">
        <v>17746</v>
      </c>
      <c r="O1663" s="9" t="s">
        <v>17779</v>
      </c>
      <c r="P1663" s="9" t="s">
        <v>17748</v>
      </c>
      <c r="Q1663" s="11" t="s">
        <v>18201</v>
      </c>
      <c r="R1663" s="11" t="s">
        <v>18201</v>
      </c>
      <c r="S1663" s="11" t="s">
        <v>17750</v>
      </c>
    </row>
    <row r="1664" spans="1:19" x14ac:dyDescent="0.2">
      <c r="A1664" s="11" t="s">
        <v>27604</v>
      </c>
      <c r="B1664" s="9" t="s">
        <v>27605</v>
      </c>
      <c r="C1664" s="9" t="s">
        <v>27606</v>
      </c>
      <c r="D1664" s="9" t="s">
        <v>27607</v>
      </c>
      <c r="E1664" s="9" t="s">
        <v>17740</v>
      </c>
      <c r="F1664" s="9" t="s">
        <v>17741</v>
      </c>
      <c r="G1664" s="9" t="s">
        <v>17740</v>
      </c>
      <c r="H1664" s="11" t="s">
        <v>10571</v>
      </c>
      <c r="I1664" s="11" t="s">
        <v>17741</v>
      </c>
      <c r="J1664" s="11" t="s">
        <v>10571</v>
      </c>
      <c r="K1664" s="9" t="s">
        <v>91</v>
      </c>
      <c r="L1664" s="9" t="s">
        <v>17744</v>
      </c>
      <c r="M1664" s="9" t="s">
        <v>17760</v>
      </c>
      <c r="N1664" s="9" t="s">
        <v>17746</v>
      </c>
      <c r="O1664" s="9" t="s">
        <v>17779</v>
      </c>
      <c r="P1664" s="9" t="s">
        <v>17748</v>
      </c>
      <c r="Q1664" s="11" t="s">
        <v>17780</v>
      </c>
      <c r="R1664" s="11" t="s">
        <v>17780</v>
      </c>
      <c r="S1664" s="11" t="s">
        <v>17750</v>
      </c>
    </row>
    <row r="1665" spans="1:19" x14ac:dyDescent="0.2">
      <c r="A1665" s="11" t="s">
        <v>27608</v>
      </c>
      <c r="B1665" s="9" t="s">
        <v>27609</v>
      </c>
      <c r="C1665" s="9" t="s">
        <v>27610</v>
      </c>
      <c r="D1665" s="9" t="s">
        <v>27611</v>
      </c>
      <c r="E1665" s="9" t="s">
        <v>17740</v>
      </c>
      <c r="F1665" s="9" t="s">
        <v>17741</v>
      </c>
      <c r="G1665" s="9" t="s">
        <v>17740</v>
      </c>
      <c r="H1665" s="11" t="s">
        <v>1419</v>
      </c>
      <c r="I1665" s="11" t="s">
        <v>1418</v>
      </c>
      <c r="J1665" s="11" t="s">
        <v>1418</v>
      </c>
      <c r="K1665" s="9" t="s">
        <v>27612</v>
      </c>
      <c r="L1665" s="9" t="s">
        <v>17759</v>
      </c>
      <c r="M1665" s="9" t="s">
        <v>17817</v>
      </c>
      <c r="N1665" s="9" t="s">
        <v>17746</v>
      </c>
      <c r="O1665" s="9" t="s">
        <v>3391</v>
      </c>
      <c r="P1665" s="9" t="s">
        <v>17748</v>
      </c>
      <c r="Q1665" s="11" t="s">
        <v>18243</v>
      </c>
      <c r="R1665" s="11" t="s">
        <v>18243</v>
      </c>
      <c r="S1665" s="11" t="s">
        <v>17750</v>
      </c>
    </row>
    <row r="1666" spans="1:19" x14ac:dyDescent="0.2">
      <c r="A1666" s="11" t="s">
        <v>27613</v>
      </c>
      <c r="B1666" s="9" t="s">
        <v>27614</v>
      </c>
      <c r="C1666" s="9" t="s">
        <v>27615</v>
      </c>
      <c r="D1666" s="9" t="s">
        <v>27616</v>
      </c>
      <c r="E1666" s="9" t="s">
        <v>17740</v>
      </c>
      <c r="F1666" s="9" t="s">
        <v>27617</v>
      </c>
      <c r="G1666" s="9" t="s">
        <v>17740</v>
      </c>
      <c r="H1666" s="11" t="s">
        <v>27618</v>
      </c>
      <c r="I1666" s="11" t="s">
        <v>5006</v>
      </c>
      <c r="J1666" s="11" t="s">
        <v>5006</v>
      </c>
      <c r="K1666" s="9" t="s">
        <v>27619</v>
      </c>
      <c r="L1666" s="9" t="s">
        <v>18158</v>
      </c>
      <c r="M1666" s="9" t="s">
        <v>17760</v>
      </c>
      <c r="N1666" s="9" t="s">
        <v>17746</v>
      </c>
      <c r="O1666" s="9" t="s">
        <v>3391</v>
      </c>
      <c r="P1666" s="9" t="s">
        <v>17748</v>
      </c>
      <c r="Q1666" s="11" t="s">
        <v>18678</v>
      </c>
      <c r="R1666" s="11" t="s">
        <v>18678</v>
      </c>
      <c r="S1666" s="11" t="s">
        <v>17750</v>
      </c>
    </row>
    <row r="1667" spans="1:19" x14ac:dyDescent="0.2">
      <c r="A1667" s="11" t="s">
        <v>27620</v>
      </c>
      <c r="B1667" s="9" t="s">
        <v>27621</v>
      </c>
      <c r="C1667" s="9" t="s">
        <v>27622</v>
      </c>
      <c r="D1667" s="9" t="s">
        <v>27623</v>
      </c>
      <c r="E1667" s="9" t="s">
        <v>17740</v>
      </c>
      <c r="F1667" s="9" t="s">
        <v>27624</v>
      </c>
      <c r="G1667" s="9" t="s">
        <v>17740</v>
      </c>
      <c r="H1667" s="11" t="s">
        <v>12878</v>
      </c>
      <c r="I1667" s="11" t="s">
        <v>12877</v>
      </c>
      <c r="J1667" s="11" t="s">
        <v>12877</v>
      </c>
      <c r="K1667" s="9" t="s">
        <v>12879</v>
      </c>
      <c r="L1667" s="9" t="s">
        <v>18242</v>
      </c>
      <c r="M1667" s="9" t="s">
        <v>17769</v>
      </c>
      <c r="N1667" s="9" t="s">
        <v>17746</v>
      </c>
      <c r="O1667" s="9" t="s">
        <v>27625</v>
      </c>
      <c r="P1667" s="9" t="s">
        <v>17748</v>
      </c>
      <c r="Q1667" s="11" t="s">
        <v>17994</v>
      </c>
      <c r="R1667" s="11" t="s">
        <v>17994</v>
      </c>
      <c r="S1667" s="11" t="s">
        <v>17750</v>
      </c>
    </row>
    <row r="1668" spans="1:19" x14ac:dyDescent="0.2">
      <c r="A1668" s="11" t="s">
        <v>27626</v>
      </c>
      <c r="B1668" s="9" t="s">
        <v>27627</v>
      </c>
      <c r="C1668" s="9" t="s">
        <v>27628</v>
      </c>
      <c r="D1668" s="9" t="s">
        <v>27629</v>
      </c>
      <c r="E1668" s="9" t="s">
        <v>17740</v>
      </c>
      <c r="F1668" s="9" t="s">
        <v>17741</v>
      </c>
      <c r="G1668" s="9" t="s">
        <v>17740</v>
      </c>
      <c r="H1668" s="11" t="s">
        <v>27630</v>
      </c>
      <c r="I1668" s="11" t="s">
        <v>12318</v>
      </c>
      <c r="J1668" s="11" t="s">
        <v>12318</v>
      </c>
      <c r="K1668" s="9" t="s">
        <v>20956</v>
      </c>
      <c r="L1668" s="9" t="s">
        <v>20976</v>
      </c>
      <c r="M1668" s="9" t="s">
        <v>17778</v>
      </c>
      <c r="N1668" s="9" t="s">
        <v>17746</v>
      </c>
      <c r="O1668" s="9" t="s">
        <v>27625</v>
      </c>
      <c r="P1668" s="9" t="s">
        <v>17748</v>
      </c>
      <c r="Q1668" s="11" t="s">
        <v>17917</v>
      </c>
      <c r="R1668" s="11" t="s">
        <v>17917</v>
      </c>
      <c r="S1668" s="11" t="s">
        <v>17750</v>
      </c>
    </row>
    <row r="1669" spans="1:19" x14ac:dyDescent="0.2">
      <c r="A1669" s="11" t="s">
        <v>27631</v>
      </c>
      <c r="B1669" s="9" t="s">
        <v>27632</v>
      </c>
      <c r="C1669" s="9" t="s">
        <v>27633</v>
      </c>
      <c r="D1669" s="9" t="s">
        <v>27634</v>
      </c>
      <c r="E1669" s="9" t="s">
        <v>17740</v>
      </c>
      <c r="F1669" s="9" t="s">
        <v>17741</v>
      </c>
      <c r="G1669" s="9" t="s">
        <v>17740</v>
      </c>
      <c r="H1669" s="11" t="s">
        <v>1427</v>
      </c>
      <c r="I1669" s="11" t="s">
        <v>1426</v>
      </c>
      <c r="J1669" s="11" t="s">
        <v>1426</v>
      </c>
      <c r="K1669" s="9" t="s">
        <v>291</v>
      </c>
      <c r="L1669" s="9" t="s">
        <v>17744</v>
      </c>
      <c r="M1669" s="9" t="s">
        <v>17760</v>
      </c>
      <c r="N1669" s="9" t="s">
        <v>17746</v>
      </c>
      <c r="O1669" s="9" t="s">
        <v>3391</v>
      </c>
      <c r="P1669" s="9" t="s">
        <v>17748</v>
      </c>
      <c r="Q1669" s="11" t="s">
        <v>19082</v>
      </c>
      <c r="R1669" s="11" t="s">
        <v>19082</v>
      </c>
      <c r="S1669" s="11" t="s">
        <v>17750</v>
      </c>
    </row>
    <row r="1670" spans="1:19" x14ac:dyDescent="0.2">
      <c r="A1670" s="11" t="s">
        <v>27635</v>
      </c>
      <c r="B1670" s="9" t="s">
        <v>27636</v>
      </c>
      <c r="C1670" s="9" t="s">
        <v>27637</v>
      </c>
      <c r="D1670" s="9" t="s">
        <v>27638</v>
      </c>
      <c r="E1670" s="9" t="s">
        <v>17740</v>
      </c>
      <c r="F1670" s="9" t="s">
        <v>17741</v>
      </c>
      <c r="G1670" s="9" t="s">
        <v>17740</v>
      </c>
      <c r="H1670" s="11" t="s">
        <v>27639</v>
      </c>
      <c r="I1670" s="11" t="s">
        <v>27640</v>
      </c>
      <c r="J1670" s="11" t="s">
        <v>27640</v>
      </c>
      <c r="K1670" s="9" t="s">
        <v>27641</v>
      </c>
      <c r="L1670" s="9" t="s">
        <v>17759</v>
      </c>
      <c r="M1670" s="9" t="s">
        <v>19168</v>
      </c>
      <c r="N1670" s="9" t="s">
        <v>17746</v>
      </c>
      <c r="O1670" s="9" t="s">
        <v>3391</v>
      </c>
      <c r="P1670" s="9" t="s">
        <v>17748</v>
      </c>
      <c r="Q1670" s="11" t="s">
        <v>18678</v>
      </c>
      <c r="R1670" s="11" t="s">
        <v>18678</v>
      </c>
      <c r="S1670" s="11" t="s">
        <v>17750</v>
      </c>
    </row>
    <row r="1671" spans="1:19" x14ac:dyDescent="0.2">
      <c r="A1671" s="11" t="s">
        <v>27642</v>
      </c>
      <c r="B1671" s="9" t="s">
        <v>27643</v>
      </c>
      <c r="C1671" s="9" t="s">
        <v>27644</v>
      </c>
      <c r="D1671" s="9" t="s">
        <v>27645</v>
      </c>
      <c r="E1671" s="9" t="s">
        <v>17748</v>
      </c>
      <c r="F1671" s="9" t="s">
        <v>27646</v>
      </c>
      <c r="G1671" s="9" t="s">
        <v>17740</v>
      </c>
      <c r="H1671" s="11" t="s">
        <v>27647</v>
      </c>
      <c r="I1671" s="11" t="s">
        <v>17040</v>
      </c>
      <c r="J1671" s="11" t="s">
        <v>17040</v>
      </c>
      <c r="K1671" s="9" t="s">
        <v>19244</v>
      </c>
      <c r="L1671" s="9" t="s">
        <v>18158</v>
      </c>
      <c r="M1671" s="9" t="s">
        <v>17817</v>
      </c>
      <c r="N1671" s="9" t="s">
        <v>17746</v>
      </c>
      <c r="O1671" s="9" t="s">
        <v>17779</v>
      </c>
      <c r="P1671" s="9" t="s">
        <v>17748</v>
      </c>
      <c r="Q1671" s="11" t="s">
        <v>18089</v>
      </c>
      <c r="R1671" s="11" t="s">
        <v>18089</v>
      </c>
      <c r="S1671" s="11" t="s">
        <v>17750</v>
      </c>
    </row>
    <row r="1672" spans="1:19" x14ac:dyDescent="0.2">
      <c r="A1672" s="11" t="s">
        <v>27648</v>
      </c>
      <c r="B1672" s="9" t="s">
        <v>27649</v>
      </c>
      <c r="C1672" s="9" t="s">
        <v>27650</v>
      </c>
      <c r="D1672" s="9" t="s">
        <v>27651</v>
      </c>
      <c r="E1672" s="9" t="s">
        <v>17740</v>
      </c>
      <c r="F1672" s="9" t="s">
        <v>17741</v>
      </c>
      <c r="G1672" s="9" t="s">
        <v>17740</v>
      </c>
      <c r="H1672" s="11" t="s">
        <v>7825</v>
      </c>
      <c r="I1672" s="11" t="s">
        <v>7824</v>
      </c>
      <c r="J1672" s="11" t="s">
        <v>7824</v>
      </c>
      <c r="K1672" s="9" t="s">
        <v>831</v>
      </c>
      <c r="L1672" s="9" t="s">
        <v>23607</v>
      </c>
      <c r="M1672" s="9" t="s">
        <v>18065</v>
      </c>
      <c r="N1672" s="9" t="s">
        <v>17746</v>
      </c>
      <c r="O1672" s="9" t="s">
        <v>27652</v>
      </c>
      <c r="P1672" s="9" t="s">
        <v>17748</v>
      </c>
      <c r="Q1672" s="11" t="s">
        <v>18798</v>
      </c>
      <c r="R1672" s="11" t="s">
        <v>18798</v>
      </c>
      <c r="S1672" s="11" t="s">
        <v>17750</v>
      </c>
    </row>
    <row r="1673" spans="1:19" x14ac:dyDescent="0.2">
      <c r="A1673" s="11" t="s">
        <v>27653</v>
      </c>
      <c r="B1673" s="9" t="s">
        <v>27654</v>
      </c>
      <c r="C1673" s="9" t="s">
        <v>27655</v>
      </c>
      <c r="D1673" s="9" t="s">
        <v>27656</v>
      </c>
      <c r="E1673" s="9" t="s">
        <v>17740</v>
      </c>
      <c r="F1673" s="9" t="s">
        <v>27657</v>
      </c>
      <c r="G1673" s="9" t="s">
        <v>17740</v>
      </c>
      <c r="H1673" s="11" t="s">
        <v>17741</v>
      </c>
      <c r="I1673" s="11" t="s">
        <v>5071</v>
      </c>
      <c r="J1673" s="11" t="s">
        <v>5071</v>
      </c>
      <c r="K1673" s="9" t="s">
        <v>19482</v>
      </c>
      <c r="L1673" s="9" t="s">
        <v>19483</v>
      </c>
      <c r="M1673" s="9" t="s">
        <v>27658</v>
      </c>
      <c r="N1673" s="9" t="s">
        <v>17746</v>
      </c>
      <c r="O1673" s="9" t="s">
        <v>27659</v>
      </c>
      <c r="P1673" s="9" t="s">
        <v>17748</v>
      </c>
      <c r="Q1673" s="11" t="s">
        <v>17749</v>
      </c>
      <c r="R1673" s="11" t="s">
        <v>17749</v>
      </c>
      <c r="S1673" s="11" t="s">
        <v>17750</v>
      </c>
    </row>
    <row r="1674" spans="1:19" x14ac:dyDescent="0.2">
      <c r="A1674" s="11" t="s">
        <v>27660</v>
      </c>
      <c r="B1674" s="9" t="s">
        <v>27661</v>
      </c>
      <c r="C1674" s="9" t="s">
        <v>27662</v>
      </c>
      <c r="D1674" s="9" t="s">
        <v>27663</v>
      </c>
      <c r="E1674" s="9" t="s">
        <v>17740</v>
      </c>
      <c r="F1674" s="9" t="s">
        <v>17741</v>
      </c>
      <c r="G1674" s="9" t="s">
        <v>17740</v>
      </c>
      <c r="H1674" s="11" t="s">
        <v>13667</v>
      </c>
      <c r="I1674" s="11" t="s">
        <v>13666</v>
      </c>
      <c r="J1674" s="11" t="s">
        <v>17741</v>
      </c>
      <c r="K1674" s="9" t="s">
        <v>20207</v>
      </c>
      <c r="L1674" s="9" t="s">
        <v>17744</v>
      </c>
      <c r="M1674" s="9" t="s">
        <v>27664</v>
      </c>
      <c r="N1674" s="9" t="s">
        <v>17746</v>
      </c>
      <c r="O1674" s="9" t="s">
        <v>21738</v>
      </c>
      <c r="P1674" s="9" t="s">
        <v>17748</v>
      </c>
      <c r="Q1674" s="11" t="s">
        <v>17825</v>
      </c>
      <c r="R1674" s="11" t="s">
        <v>17825</v>
      </c>
      <c r="S1674" s="11" t="s">
        <v>17750</v>
      </c>
    </row>
    <row r="1675" spans="1:19" x14ac:dyDescent="0.2">
      <c r="A1675" s="11" t="s">
        <v>27665</v>
      </c>
      <c r="B1675" s="9" t="s">
        <v>1446</v>
      </c>
      <c r="C1675" s="9" t="s">
        <v>27666</v>
      </c>
      <c r="D1675" s="9" t="s">
        <v>1446</v>
      </c>
      <c r="E1675" s="9" t="s">
        <v>17740</v>
      </c>
      <c r="F1675" s="9" t="s">
        <v>17741</v>
      </c>
      <c r="G1675" s="9" t="s">
        <v>17740</v>
      </c>
      <c r="H1675" s="11" t="s">
        <v>17741</v>
      </c>
      <c r="I1675" s="11" t="s">
        <v>1447</v>
      </c>
      <c r="J1675" s="11" t="s">
        <v>1447</v>
      </c>
      <c r="K1675" s="9" t="s">
        <v>19482</v>
      </c>
      <c r="L1675" s="9" t="s">
        <v>19483</v>
      </c>
      <c r="M1675" s="9" t="s">
        <v>27667</v>
      </c>
      <c r="N1675" s="9" t="s">
        <v>17746</v>
      </c>
      <c r="O1675" s="9" t="s">
        <v>17779</v>
      </c>
      <c r="P1675" s="9" t="s">
        <v>17748</v>
      </c>
      <c r="Q1675" s="11" t="s">
        <v>19899</v>
      </c>
      <c r="R1675" s="11" t="s">
        <v>19899</v>
      </c>
      <c r="S1675" s="11" t="s">
        <v>17750</v>
      </c>
    </row>
    <row r="1676" spans="1:19" x14ac:dyDescent="0.2">
      <c r="A1676" s="11" t="s">
        <v>27668</v>
      </c>
      <c r="B1676" s="9" t="s">
        <v>27669</v>
      </c>
      <c r="C1676" s="9" t="s">
        <v>27670</v>
      </c>
      <c r="D1676" s="9" t="s">
        <v>27671</v>
      </c>
      <c r="E1676" s="9" t="s">
        <v>17740</v>
      </c>
      <c r="F1676" s="9" t="s">
        <v>17741</v>
      </c>
      <c r="G1676" s="9" t="s">
        <v>17740</v>
      </c>
      <c r="H1676" s="11" t="s">
        <v>17741</v>
      </c>
      <c r="I1676" s="11" t="s">
        <v>5404</v>
      </c>
      <c r="J1676" s="11" t="s">
        <v>5404</v>
      </c>
      <c r="K1676" s="9" t="s">
        <v>19482</v>
      </c>
      <c r="L1676" s="9" t="s">
        <v>19483</v>
      </c>
      <c r="M1676" s="9" t="s">
        <v>27672</v>
      </c>
      <c r="N1676" s="9" t="s">
        <v>17746</v>
      </c>
      <c r="O1676" s="9" t="s">
        <v>19589</v>
      </c>
      <c r="P1676" s="9" t="s">
        <v>17748</v>
      </c>
      <c r="Q1676" s="11" t="s">
        <v>18080</v>
      </c>
      <c r="R1676" s="11" t="s">
        <v>18080</v>
      </c>
      <c r="S1676" s="11" t="s">
        <v>17750</v>
      </c>
    </row>
    <row r="1677" spans="1:19" x14ac:dyDescent="0.2">
      <c r="A1677" s="11" t="s">
        <v>27673</v>
      </c>
      <c r="B1677" s="9" t="s">
        <v>27674</v>
      </c>
      <c r="C1677" s="9" t="s">
        <v>27675</v>
      </c>
      <c r="D1677" s="9" t="s">
        <v>27676</v>
      </c>
      <c r="E1677" s="9" t="s">
        <v>17740</v>
      </c>
      <c r="F1677" s="9" t="s">
        <v>17741</v>
      </c>
      <c r="G1677" s="9" t="s">
        <v>17740</v>
      </c>
      <c r="H1677" s="11" t="s">
        <v>8103</v>
      </c>
      <c r="I1677" s="11" t="s">
        <v>8102</v>
      </c>
      <c r="J1677" s="11" t="s">
        <v>8102</v>
      </c>
      <c r="K1677" s="9" t="s">
        <v>19482</v>
      </c>
      <c r="L1677" s="9" t="s">
        <v>19483</v>
      </c>
      <c r="M1677" s="9" t="s">
        <v>27677</v>
      </c>
      <c r="N1677" s="9" t="s">
        <v>17746</v>
      </c>
      <c r="O1677" s="9" t="s">
        <v>17779</v>
      </c>
      <c r="P1677" s="9" t="s">
        <v>17748</v>
      </c>
      <c r="Q1677" s="11" t="s">
        <v>18356</v>
      </c>
      <c r="R1677" s="11" t="s">
        <v>18356</v>
      </c>
      <c r="S1677" s="11" t="s">
        <v>17750</v>
      </c>
    </row>
    <row r="1678" spans="1:19" x14ac:dyDescent="0.2">
      <c r="A1678" s="11" t="s">
        <v>27678</v>
      </c>
      <c r="B1678" s="9" t="s">
        <v>27679</v>
      </c>
      <c r="C1678" s="9" t="s">
        <v>27680</v>
      </c>
      <c r="D1678" s="9" t="s">
        <v>27681</v>
      </c>
      <c r="E1678" s="9" t="s">
        <v>17748</v>
      </c>
      <c r="F1678" s="9" t="s">
        <v>27682</v>
      </c>
      <c r="G1678" s="9" t="s">
        <v>17740</v>
      </c>
      <c r="H1678" s="11" t="s">
        <v>2912</v>
      </c>
      <c r="I1678" s="11" t="s">
        <v>2911</v>
      </c>
      <c r="J1678" s="11" t="s">
        <v>2911</v>
      </c>
      <c r="K1678" s="9" t="s">
        <v>27641</v>
      </c>
      <c r="L1678" s="9" t="s">
        <v>17759</v>
      </c>
      <c r="M1678" s="9" t="s">
        <v>17817</v>
      </c>
      <c r="N1678" s="9" t="s">
        <v>17746</v>
      </c>
      <c r="O1678" s="9" t="s">
        <v>24758</v>
      </c>
      <c r="P1678" s="9" t="s">
        <v>17748</v>
      </c>
      <c r="Q1678" s="11" t="s">
        <v>18798</v>
      </c>
      <c r="R1678" s="11" t="s">
        <v>18798</v>
      </c>
      <c r="S1678" s="11" t="s">
        <v>17750</v>
      </c>
    </row>
    <row r="1679" spans="1:19" x14ac:dyDescent="0.2">
      <c r="A1679" s="11" t="s">
        <v>27683</v>
      </c>
      <c r="B1679" s="9" t="s">
        <v>27684</v>
      </c>
      <c r="C1679" s="9" t="s">
        <v>27685</v>
      </c>
      <c r="D1679" s="9" t="s">
        <v>27686</v>
      </c>
      <c r="E1679" s="9" t="s">
        <v>17740</v>
      </c>
      <c r="F1679" s="9" t="s">
        <v>27687</v>
      </c>
      <c r="G1679" s="9" t="s">
        <v>17740</v>
      </c>
      <c r="H1679" s="11" t="s">
        <v>17741</v>
      </c>
      <c r="I1679" s="11" t="s">
        <v>27688</v>
      </c>
      <c r="J1679" s="11" t="s">
        <v>27688</v>
      </c>
      <c r="K1679" s="9" t="s">
        <v>27689</v>
      </c>
      <c r="L1679" s="9" t="s">
        <v>18158</v>
      </c>
      <c r="M1679" s="9" t="s">
        <v>18289</v>
      </c>
      <c r="N1679" s="9" t="s">
        <v>18185</v>
      </c>
      <c r="O1679" s="9" t="s">
        <v>18563</v>
      </c>
      <c r="P1679" s="9" t="s">
        <v>17748</v>
      </c>
      <c r="Q1679" s="11" t="s">
        <v>19899</v>
      </c>
      <c r="R1679" s="11" t="s">
        <v>19899</v>
      </c>
      <c r="S1679" s="11" t="s">
        <v>17750</v>
      </c>
    </row>
    <row r="1680" spans="1:19" x14ac:dyDescent="0.2">
      <c r="A1680" s="11" t="s">
        <v>27690</v>
      </c>
      <c r="B1680" s="9" t="s">
        <v>27691</v>
      </c>
      <c r="C1680" s="9" t="s">
        <v>27692</v>
      </c>
      <c r="D1680" s="9" t="s">
        <v>27693</v>
      </c>
      <c r="E1680" s="9" t="s">
        <v>17740</v>
      </c>
      <c r="F1680" s="9" t="s">
        <v>27694</v>
      </c>
      <c r="G1680" s="9" t="s">
        <v>17740</v>
      </c>
      <c r="H1680" s="11" t="s">
        <v>17741</v>
      </c>
      <c r="I1680" s="11" t="s">
        <v>27695</v>
      </c>
      <c r="J1680" s="11" t="s">
        <v>27695</v>
      </c>
      <c r="K1680" s="9" t="s">
        <v>27696</v>
      </c>
      <c r="L1680" s="9" t="s">
        <v>17759</v>
      </c>
      <c r="M1680" s="9" t="s">
        <v>18065</v>
      </c>
      <c r="N1680" s="9" t="s">
        <v>17746</v>
      </c>
      <c r="O1680" s="9" t="s">
        <v>19275</v>
      </c>
      <c r="P1680" s="9" t="s">
        <v>17748</v>
      </c>
      <c r="Q1680" s="11" t="s">
        <v>17937</v>
      </c>
      <c r="R1680" s="11" t="s">
        <v>17937</v>
      </c>
      <c r="S1680" s="11" t="s">
        <v>17750</v>
      </c>
    </row>
    <row r="1681" spans="1:19" x14ac:dyDescent="0.2">
      <c r="A1681" s="11" t="s">
        <v>27697</v>
      </c>
      <c r="B1681" s="9" t="s">
        <v>27698</v>
      </c>
      <c r="C1681" s="9" t="s">
        <v>27699</v>
      </c>
      <c r="D1681" s="9" t="s">
        <v>27700</v>
      </c>
      <c r="E1681" s="9" t="s">
        <v>17748</v>
      </c>
      <c r="F1681" s="9" t="s">
        <v>27701</v>
      </c>
      <c r="G1681" s="9" t="s">
        <v>17740</v>
      </c>
      <c r="H1681" s="11" t="s">
        <v>17741</v>
      </c>
      <c r="I1681" s="11" t="s">
        <v>27702</v>
      </c>
      <c r="J1681" s="11" t="s">
        <v>27702</v>
      </c>
      <c r="K1681" s="9" t="s">
        <v>27703</v>
      </c>
      <c r="L1681" s="9" t="s">
        <v>17759</v>
      </c>
      <c r="M1681" s="9" t="s">
        <v>17817</v>
      </c>
      <c r="N1681" s="9" t="s">
        <v>17746</v>
      </c>
      <c r="O1681" s="9" t="s">
        <v>17993</v>
      </c>
      <c r="P1681" s="9" t="s">
        <v>17748</v>
      </c>
      <c r="Q1681" s="11" t="s">
        <v>17762</v>
      </c>
      <c r="R1681" s="11" t="s">
        <v>17762</v>
      </c>
      <c r="S1681" s="11" t="s">
        <v>17750</v>
      </c>
    </row>
    <row r="1682" spans="1:19" x14ac:dyDescent="0.2">
      <c r="A1682" s="11" t="s">
        <v>27704</v>
      </c>
      <c r="B1682" s="9" t="s">
        <v>27705</v>
      </c>
      <c r="C1682" s="9" t="s">
        <v>27706</v>
      </c>
      <c r="D1682" s="9" t="s">
        <v>27707</v>
      </c>
      <c r="E1682" s="9" t="s">
        <v>17740</v>
      </c>
      <c r="F1682" s="9" t="s">
        <v>17741</v>
      </c>
      <c r="G1682" s="9" t="s">
        <v>17740</v>
      </c>
      <c r="H1682" s="11" t="s">
        <v>17741</v>
      </c>
      <c r="I1682" s="11" t="s">
        <v>27708</v>
      </c>
      <c r="J1682" s="11" t="s">
        <v>27708</v>
      </c>
      <c r="K1682" s="9" t="s">
        <v>27709</v>
      </c>
      <c r="L1682" s="9" t="s">
        <v>27710</v>
      </c>
      <c r="M1682" s="9" t="s">
        <v>19571</v>
      </c>
      <c r="N1682" s="9" t="s">
        <v>27711</v>
      </c>
      <c r="O1682" s="9" t="s">
        <v>17993</v>
      </c>
      <c r="P1682" s="9" t="s">
        <v>17748</v>
      </c>
      <c r="Q1682" s="11" t="s">
        <v>20696</v>
      </c>
      <c r="R1682" s="11" t="s">
        <v>20696</v>
      </c>
      <c r="S1682" s="11" t="s">
        <v>17750</v>
      </c>
    </row>
    <row r="1683" spans="1:19" x14ac:dyDescent="0.2">
      <c r="A1683" s="11" t="s">
        <v>27712</v>
      </c>
      <c r="B1683" s="9" t="s">
        <v>27713</v>
      </c>
      <c r="C1683" s="9" t="s">
        <v>27714</v>
      </c>
      <c r="D1683" s="9" t="s">
        <v>27715</v>
      </c>
      <c r="E1683" s="9" t="s">
        <v>17748</v>
      </c>
      <c r="F1683" s="9" t="s">
        <v>27716</v>
      </c>
      <c r="G1683" s="9" t="s">
        <v>17740</v>
      </c>
      <c r="H1683" s="11" t="s">
        <v>17741</v>
      </c>
      <c r="I1683" s="11" t="s">
        <v>27717</v>
      </c>
      <c r="J1683" s="11" t="s">
        <v>27717</v>
      </c>
      <c r="K1683" s="9" t="s">
        <v>23957</v>
      </c>
      <c r="L1683" s="9" t="s">
        <v>18959</v>
      </c>
      <c r="M1683" s="9" t="s">
        <v>17760</v>
      </c>
      <c r="N1683" s="9" t="s">
        <v>17746</v>
      </c>
      <c r="O1683" s="9" t="s">
        <v>17800</v>
      </c>
      <c r="P1683" s="9" t="s">
        <v>17748</v>
      </c>
      <c r="Q1683" s="11" t="s">
        <v>17784</v>
      </c>
      <c r="R1683" s="11" t="s">
        <v>17784</v>
      </c>
      <c r="S1683" s="11" t="s">
        <v>17750</v>
      </c>
    </row>
    <row r="1684" spans="1:19" x14ac:dyDescent="0.2">
      <c r="A1684" s="11" t="s">
        <v>27718</v>
      </c>
      <c r="B1684" s="9" t="s">
        <v>27719</v>
      </c>
      <c r="C1684" s="9" t="s">
        <v>27720</v>
      </c>
      <c r="D1684" s="9" t="s">
        <v>27721</v>
      </c>
      <c r="E1684" s="9" t="s">
        <v>17740</v>
      </c>
      <c r="F1684" s="9" t="s">
        <v>17741</v>
      </c>
      <c r="G1684" s="9" t="s">
        <v>17740</v>
      </c>
      <c r="H1684" s="11" t="s">
        <v>17741</v>
      </c>
      <c r="I1684" s="11" t="s">
        <v>27722</v>
      </c>
      <c r="J1684" s="11" t="s">
        <v>27722</v>
      </c>
      <c r="K1684" s="9" t="s">
        <v>27723</v>
      </c>
      <c r="L1684" s="9" t="s">
        <v>18439</v>
      </c>
      <c r="M1684" s="9" t="s">
        <v>18745</v>
      </c>
      <c r="N1684" s="9" t="s">
        <v>17746</v>
      </c>
      <c r="O1684" s="9" t="s">
        <v>17747</v>
      </c>
      <c r="P1684" s="9" t="s">
        <v>17748</v>
      </c>
      <c r="Q1684" s="11" t="s">
        <v>18433</v>
      </c>
      <c r="R1684" s="11" t="s">
        <v>18433</v>
      </c>
      <c r="S1684" s="11" t="s">
        <v>17750</v>
      </c>
    </row>
    <row r="1685" spans="1:19" x14ac:dyDescent="0.2">
      <c r="A1685" s="11" t="s">
        <v>27724</v>
      </c>
      <c r="B1685" s="9" t="s">
        <v>27725</v>
      </c>
      <c r="C1685" s="9" t="s">
        <v>27726</v>
      </c>
      <c r="D1685" s="9" t="s">
        <v>8589</v>
      </c>
      <c r="E1685" s="9" t="s">
        <v>17740</v>
      </c>
      <c r="F1685" s="9" t="s">
        <v>17741</v>
      </c>
      <c r="G1685" s="9" t="s">
        <v>17740</v>
      </c>
      <c r="H1685" s="11" t="s">
        <v>8591</v>
      </c>
      <c r="I1685" s="11" t="s">
        <v>8590</v>
      </c>
      <c r="J1685" s="11" t="s">
        <v>8590</v>
      </c>
      <c r="K1685" s="9" t="s">
        <v>20207</v>
      </c>
      <c r="L1685" s="9" t="s">
        <v>17744</v>
      </c>
      <c r="M1685" s="9" t="s">
        <v>27727</v>
      </c>
      <c r="N1685" s="9" t="s">
        <v>17746</v>
      </c>
      <c r="O1685" s="9" t="s">
        <v>3100</v>
      </c>
      <c r="P1685" s="9" t="s">
        <v>17748</v>
      </c>
      <c r="Q1685" s="11" t="s">
        <v>19361</v>
      </c>
      <c r="R1685" s="11" t="s">
        <v>19361</v>
      </c>
      <c r="S1685" s="11" t="s">
        <v>17750</v>
      </c>
    </row>
    <row r="1686" spans="1:19" x14ac:dyDescent="0.2">
      <c r="A1686" s="11" t="s">
        <v>27728</v>
      </c>
      <c r="B1686" s="9" t="s">
        <v>4388</v>
      </c>
      <c r="C1686" s="9" t="s">
        <v>27729</v>
      </c>
      <c r="D1686" s="9" t="s">
        <v>4388</v>
      </c>
      <c r="E1686" s="9" t="s">
        <v>17740</v>
      </c>
      <c r="F1686" s="9" t="s">
        <v>17741</v>
      </c>
      <c r="G1686" s="9" t="s">
        <v>17740</v>
      </c>
      <c r="H1686" s="11" t="s">
        <v>4390</v>
      </c>
      <c r="I1686" s="11" t="s">
        <v>4389</v>
      </c>
      <c r="J1686" s="11" t="s">
        <v>4389</v>
      </c>
      <c r="K1686" s="9" t="s">
        <v>17089</v>
      </c>
      <c r="L1686" s="9" t="s">
        <v>17759</v>
      </c>
      <c r="M1686" s="9" t="s">
        <v>17778</v>
      </c>
      <c r="N1686" s="9" t="s">
        <v>17746</v>
      </c>
      <c r="O1686" s="9" t="s">
        <v>1675</v>
      </c>
      <c r="P1686" s="9" t="s">
        <v>17748</v>
      </c>
      <c r="Q1686" s="11" t="s">
        <v>18059</v>
      </c>
      <c r="R1686" s="11" t="s">
        <v>18059</v>
      </c>
      <c r="S1686" s="11" t="s">
        <v>17750</v>
      </c>
    </row>
    <row r="1687" spans="1:19" x14ac:dyDescent="0.2">
      <c r="A1687" s="11" t="s">
        <v>27730</v>
      </c>
      <c r="B1687" s="9" t="s">
        <v>27731</v>
      </c>
      <c r="C1687" s="9" t="s">
        <v>27732</v>
      </c>
      <c r="D1687" s="9" t="s">
        <v>27733</v>
      </c>
      <c r="E1687" s="9" t="s">
        <v>17740</v>
      </c>
      <c r="F1687" s="9" t="s">
        <v>27734</v>
      </c>
      <c r="G1687" s="9" t="s">
        <v>17740</v>
      </c>
      <c r="H1687" s="11" t="s">
        <v>27735</v>
      </c>
      <c r="I1687" s="11" t="s">
        <v>27736</v>
      </c>
      <c r="J1687" s="11" t="s">
        <v>27736</v>
      </c>
      <c r="K1687" s="9" t="s">
        <v>25455</v>
      </c>
      <c r="L1687" s="9" t="s">
        <v>17759</v>
      </c>
      <c r="M1687" s="9" t="s">
        <v>17769</v>
      </c>
      <c r="N1687" s="9" t="s">
        <v>17746</v>
      </c>
      <c r="O1687" s="9" t="s">
        <v>19406</v>
      </c>
      <c r="P1687" s="9" t="s">
        <v>17748</v>
      </c>
      <c r="Q1687" s="11" t="s">
        <v>19222</v>
      </c>
      <c r="R1687" s="11" t="s">
        <v>19222</v>
      </c>
      <c r="S1687" s="11" t="s">
        <v>17750</v>
      </c>
    </row>
    <row r="1688" spans="1:19" x14ac:dyDescent="0.2">
      <c r="A1688" s="11" t="s">
        <v>27737</v>
      </c>
      <c r="B1688" s="9" t="s">
        <v>27738</v>
      </c>
      <c r="C1688" s="9" t="s">
        <v>27739</v>
      </c>
      <c r="D1688" s="9" t="s">
        <v>27740</v>
      </c>
      <c r="E1688" s="9" t="s">
        <v>17740</v>
      </c>
      <c r="F1688" s="9" t="s">
        <v>27741</v>
      </c>
      <c r="G1688" s="9" t="s">
        <v>17740</v>
      </c>
      <c r="H1688" s="11" t="s">
        <v>27742</v>
      </c>
      <c r="I1688" s="11" t="s">
        <v>1542</v>
      </c>
      <c r="J1688" s="11" t="s">
        <v>1542</v>
      </c>
      <c r="K1688" s="9" t="s">
        <v>27743</v>
      </c>
      <c r="L1688" s="9" t="s">
        <v>17759</v>
      </c>
      <c r="M1688" s="9" t="s">
        <v>21737</v>
      </c>
      <c r="N1688" s="9" t="s">
        <v>17746</v>
      </c>
      <c r="O1688" s="9" t="s">
        <v>18418</v>
      </c>
      <c r="P1688" s="9" t="s">
        <v>17748</v>
      </c>
      <c r="Q1688" s="11" t="s">
        <v>19026</v>
      </c>
      <c r="R1688" s="11" t="s">
        <v>19026</v>
      </c>
      <c r="S1688" s="11" t="s">
        <v>17750</v>
      </c>
    </row>
    <row r="1689" spans="1:19" x14ac:dyDescent="0.2">
      <c r="A1689" s="11" t="s">
        <v>27744</v>
      </c>
      <c r="B1689" s="9" t="s">
        <v>27745</v>
      </c>
      <c r="C1689" s="9" t="s">
        <v>27746</v>
      </c>
      <c r="D1689" s="9" t="s">
        <v>27747</v>
      </c>
      <c r="E1689" s="9" t="s">
        <v>17740</v>
      </c>
      <c r="F1689" s="9" t="s">
        <v>17741</v>
      </c>
      <c r="G1689" s="9" t="s">
        <v>17740</v>
      </c>
      <c r="H1689" s="11" t="s">
        <v>1469</v>
      </c>
      <c r="I1689" s="11" t="s">
        <v>1468</v>
      </c>
      <c r="J1689" s="11" t="s">
        <v>1468</v>
      </c>
      <c r="K1689" s="9" t="s">
        <v>91</v>
      </c>
      <c r="L1689" s="9" t="s">
        <v>21771</v>
      </c>
      <c r="M1689" s="9" t="s">
        <v>27748</v>
      </c>
      <c r="N1689" s="9" t="s">
        <v>17746</v>
      </c>
      <c r="O1689" s="9" t="s">
        <v>27749</v>
      </c>
      <c r="P1689" s="9" t="s">
        <v>17748</v>
      </c>
      <c r="Q1689" s="11" t="s">
        <v>18600</v>
      </c>
      <c r="R1689" s="11" t="s">
        <v>18600</v>
      </c>
      <c r="S1689" s="11" t="s">
        <v>17750</v>
      </c>
    </row>
    <row r="1690" spans="1:19" x14ac:dyDescent="0.2">
      <c r="A1690" s="11" t="s">
        <v>27750</v>
      </c>
      <c r="B1690" s="9" t="s">
        <v>27751</v>
      </c>
      <c r="C1690" s="9" t="s">
        <v>27752</v>
      </c>
      <c r="D1690" s="9" t="s">
        <v>27753</v>
      </c>
      <c r="E1690" s="9" t="s">
        <v>17740</v>
      </c>
      <c r="F1690" s="9" t="s">
        <v>17741</v>
      </c>
      <c r="G1690" s="9" t="s">
        <v>17740</v>
      </c>
      <c r="H1690" s="11" t="s">
        <v>12380</v>
      </c>
      <c r="I1690" s="11" t="s">
        <v>12379</v>
      </c>
      <c r="J1690" s="11" t="s">
        <v>12379</v>
      </c>
      <c r="K1690" s="9" t="s">
        <v>20225</v>
      </c>
      <c r="L1690" s="9" t="s">
        <v>20082</v>
      </c>
      <c r="M1690" s="9" t="s">
        <v>17760</v>
      </c>
      <c r="N1690" s="9" t="s">
        <v>17746</v>
      </c>
      <c r="O1690" s="9" t="s">
        <v>17834</v>
      </c>
      <c r="P1690" s="9" t="s">
        <v>17748</v>
      </c>
      <c r="Q1690" s="11" t="s">
        <v>17917</v>
      </c>
      <c r="R1690" s="11" t="s">
        <v>17917</v>
      </c>
      <c r="S1690" s="11" t="s">
        <v>17750</v>
      </c>
    </row>
    <row r="1691" spans="1:19" x14ac:dyDescent="0.2">
      <c r="A1691" s="11" t="s">
        <v>27754</v>
      </c>
      <c r="B1691" s="9" t="s">
        <v>27755</v>
      </c>
      <c r="C1691" s="9" t="s">
        <v>27756</v>
      </c>
      <c r="D1691" s="9" t="s">
        <v>27757</v>
      </c>
      <c r="E1691" s="9" t="s">
        <v>17740</v>
      </c>
      <c r="F1691" s="9" t="s">
        <v>17741</v>
      </c>
      <c r="G1691" s="9" t="s">
        <v>17740</v>
      </c>
      <c r="H1691" s="11" t="s">
        <v>17741</v>
      </c>
      <c r="I1691" s="11" t="s">
        <v>27758</v>
      </c>
      <c r="J1691" s="11" t="s">
        <v>27758</v>
      </c>
      <c r="K1691" s="9" t="s">
        <v>27759</v>
      </c>
      <c r="L1691" s="9" t="s">
        <v>18001</v>
      </c>
      <c r="M1691" s="9" t="s">
        <v>17778</v>
      </c>
      <c r="N1691" s="9" t="s">
        <v>17746</v>
      </c>
      <c r="O1691" s="9" t="s">
        <v>20690</v>
      </c>
      <c r="P1691" s="9" t="s">
        <v>17748</v>
      </c>
      <c r="Q1691" s="11" t="s">
        <v>18201</v>
      </c>
      <c r="R1691" s="11" t="s">
        <v>18201</v>
      </c>
      <c r="S1691" s="11" t="s">
        <v>17750</v>
      </c>
    </row>
    <row r="1692" spans="1:19" x14ac:dyDescent="0.2">
      <c r="A1692" s="11" t="s">
        <v>27760</v>
      </c>
      <c r="B1692" s="9" t="s">
        <v>27761</v>
      </c>
      <c r="C1692" s="9" t="s">
        <v>27762</v>
      </c>
      <c r="D1692" s="9" t="s">
        <v>27763</v>
      </c>
      <c r="E1692" s="9" t="s">
        <v>17740</v>
      </c>
      <c r="F1692" s="9" t="s">
        <v>17741</v>
      </c>
      <c r="G1692" s="9" t="s">
        <v>17740</v>
      </c>
      <c r="H1692" s="11" t="s">
        <v>17741</v>
      </c>
      <c r="I1692" s="11" t="s">
        <v>27764</v>
      </c>
      <c r="J1692" s="11" t="s">
        <v>27764</v>
      </c>
      <c r="K1692" s="9" t="s">
        <v>27765</v>
      </c>
      <c r="L1692" s="9" t="s">
        <v>27766</v>
      </c>
      <c r="M1692" s="9" t="s">
        <v>27767</v>
      </c>
      <c r="N1692" s="9" t="s">
        <v>17746</v>
      </c>
      <c r="O1692" s="9" t="s">
        <v>3524</v>
      </c>
      <c r="P1692" s="9" t="s">
        <v>17748</v>
      </c>
      <c r="Q1692" s="11" t="s">
        <v>17780</v>
      </c>
      <c r="R1692" s="11" t="s">
        <v>17780</v>
      </c>
      <c r="S1692" s="11" t="s">
        <v>17750</v>
      </c>
    </row>
    <row r="1693" spans="1:19" x14ac:dyDescent="0.2">
      <c r="A1693" s="11" t="s">
        <v>27768</v>
      </c>
      <c r="B1693" s="9" t="s">
        <v>27769</v>
      </c>
      <c r="C1693" s="9" t="s">
        <v>27770</v>
      </c>
      <c r="D1693" s="9" t="s">
        <v>27771</v>
      </c>
      <c r="E1693" s="9" t="s">
        <v>17740</v>
      </c>
      <c r="F1693" s="9" t="s">
        <v>27772</v>
      </c>
      <c r="G1693" s="9" t="s">
        <v>17740</v>
      </c>
      <c r="H1693" s="11" t="s">
        <v>17741</v>
      </c>
      <c r="I1693" s="11" t="s">
        <v>27773</v>
      </c>
      <c r="J1693" s="11" t="s">
        <v>27773</v>
      </c>
      <c r="K1693" s="9" t="s">
        <v>27774</v>
      </c>
      <c r="L1693" s="9" t="s">
        <v>27775</v>
      </c>
      <c r="M1693" s="9" t="s">
        <v>17817</v>
      </c>
      <c r="N1693" s="9" t="s">
        <v>17746</v>
      </c>
      <c r="O1693" s="9" t="s">
        <v>19050</v>
      </c>
      <c r="P1693" s="9" t="s">
        <v>17748</v>
      </c>
      <c r="Q1693" s="11" t="s">
        <v>20789</v>
      </c>
      <c r="R1693" s="11" t="s">
        <v>20789</v>
      </c>
      <c r="S1693" s="11" t="s">
        <v>17750</v>
      </c>
    </row>
    <row r="1694" spans="1:19" x14ac:dyDescent="0.2">
      <c r="A1694" s="11" t="s">
        <v>27776</v>
      </c>
      <c r="B1694" s="9" t="s">
        <v>27777</v>
      </c>
      <c r="C1694" s="9" t="s">
        <v>27778</v>
      </c>
      <c r="D1694" s="9" t="s">
        <v>27779</v>
      </c>
      <c r="E1694" s="9" t="s">
        <v>17740</v>
      </c>
      <c r="F1694" s="9" t="s">
        <v>27780</v>
      </c>
      <c r="G1694" s="9" t="s">
        <v>17740</v>
      </c>
      <c r="H1694" s="11" t="s">
        <v>27781</v>
      </c>
      <c r="I1694" s="11" t="s">
        <v>7239</v>
      </c>
      <c r="J1694" s="11" t="s">
        <v>7239</v>
      </c>
      <c r="K1694" s="9" t="s">
        <v>6894</v>
      </c>
      <c r="L1694" s="9" t="s">
        <v>17958</v>
      </c>
      <c r="M1694" s="9" t="s">
        <v>17760</v>
      </c>
      <c r="N1694" s="9" t="s">
        <v>22152</v>
      </c>
      <c r="O1694" s="9" t="s">
        <v>17834</v>
      </c>
      <c r="P1694" s="9" t="s">
        <v>17748</v>
      </c>
      <c r="Q1694" s="11" t="s">
        <v>17900</v>
      </c>
      <c r="R1694" s="11" t="s">
        <v>17900</v>
      </c>
      <c r="S1694" s="11" t="s">
        <v>17750</v>
      </c>
    </row>
    <row r="1695" spans="1:19" x14ac:dyDescent="0.2">
      <c r="A1695" s="11" t="s">
        <v>27782</v>
      </c>
      <c r="B1695" s="9" t="s">
        <v>27783</v>
      </c>
      <c r="C1695" s="9" t="s">
        <v>27784</v>
      </c>
      <c r="D1695" s="9" t="s">
        <v>27785</v>
      </c>
      <c r="E1695" s="9" t="s">
        <v>17740</v>
      </c>
      <c r="F1695" s="9" t="s">
        <v>27786</v>
      </c>
      <c r="G1695" s="9" t="s">
        <v>17740</v>
      </c>
      <c r="H1695" s="11" t="s">
        <v>27787</v>
      </c>
      <c r="I1695" s="11" t="s">
        <v>8666</v>
      </c>
      <c r="J1695" s="11" t="s">
        <v>8666</v>
      </c>
      <c r="K1695" s="9" t="s">
        <v>27788</v>
      </c>
      <c r="L1695" s="9" t="s">
        <v>21182</v>
      </c>
      <c r="M1695" s="9" t="s">
        <v>17983</v>
      </c>
      <c r="N1695" s="9" t="s">
        <v>21190</v>
      </c>
      <c r="O1695" s="9" t="s">
        <v>17993</v>
      </c>
      <c r="P1695" s="9" t="s">
        <v>17748</v>
      </c>
      <c r="Q1695" s="11" t="s">
        <v>19361</v>
      </c>
      <c r="R1695" s="11" t="s">
        <v>19361</v>
      </c>
      <c r="S1695" s="11" t="s">
        <v>17750</v>
      </c>
    </row>
    <row r="1696" spans="1:19" x14ac:dyDescent="0.2">
      <c r="A1696" s="11" t="s">
        <v>27789</v>
      </c>
      <c r="B1696" s="9" t="s">
        <v>27790</v>
      </c>
      <c r="C1696" s="9" t="s">
        <v>27791</v>
      </c>
      <c r="D1696" s="9" t="s">
        <v>27792</v>
      </c>
      <c r="E1696" s="9" t="s">
        <v>17740</v>
      </c>
      <c r="F1696" s="9" t="s">
        <v>17741</v>
      </c>
      <c r="G1696" s="9" t="s">
        <v>17740</v>
      </c>
      <c r="H1696" s="11" t="s">
        <v>9960</v>
      </c>
      <c r="I1696" s="11" t="s">
        <v>9959</v>
      </c>
      <c r="J1696" s="11" t="s">
        <v>9959</v>
      </c>
      <c r="K1696" s="9" t="s">
        <v>27793</v>
      </c>
      <c r="L1696" s="9" t="s">
        <v>17991</v>
      </c>
      <c r="M1696" s="9" t="s">
        <v>17760</v>
      </c>
      <c r="N1696" s="9" t="s">
        <v>17746</v>
      </c>
      <c r="O1696" s="9" t="s">
        <v>27794</v>
      </c>
      <c r="P1696" s="9" t="s">
        <v>17748</v>
      </c>
      <c r="Q1696" s="11" t="s">
        <v>18201</v>
      </c>
      <c r="R1696" s="11" t="s">
        <v>18201</v>
      </c>
      <c r="S1696" s="11" t="s">
        <v>17750</v>
      </c>
    </row>
    <row r="1697" spans="1:19" x14ac:dyDescent="0.2">
      <c r="A1697" s="11" t="s">
        <v>27795</v>
      </c>
      <c r="B1697" s="9" t="s">
        <v>27796</v>
      </c>
      <c r="C1697" s="9" t="s">
        <v>27797</v>
      </c>
      <c r="D1697" s="9" t="s">
        <v>27798</v>
      </c>
      <c r="E1697" s="9" t="s">
        <v>17740</v>
      </c>
      <c r="F1697" s="9" t="s">
        <v>17741</v>
      </c>
      <c r="G1697" s="9" t="s">
        <v>17740</v>
      </c>
      <c r="H1697" s="11" t="s">
        <v>9006</v>
      </c>
      <c r="I1697" s="11" t="s">
        <v>9005</v>
      </c>
      <c r="J1697" s="11" t="s">
        <v>9005</v>
      </c>
      <c r="K1697" s="9" t="s">
        <v>25921</v>
      </c>
      <c r="L1697" s="9" t="s">
        <v>17759</v>
      </c>
      <c r="M1697" s="9" t="s">
        <v>27799</v>
      </c>
      <c r="N1697" s="9" t="s">
        <v>17746</v>
      </c>
      <c r="O1697" s="9" t="s">
        <v>21055</v>
      </c>
      <c r="P1697" s="9" t="s">
        <v>17748</v>
      </c>
      <c r="Q1697" s="11" t="s">
        <v>17784</v>
      </c>
      <c r="R1697" s="11" t="s">
        <v>17784</v>
      </c>
      <c r="S1697" s="11" t="s">
        <v>17750</v>
      </c>
    </row>
    <row r="1698" spans="1:19" x14ac:dyDescent="0.2">
      <c r="A1698" s="11" t="s">
        <v>27800</v>
      </c>
      <c r="B1698" s="9" t="s">
        <v>27801</v>
      </c>
      <c r="C1698" s="9" t="s">
        <v>27802</v>
      </c>
      <c r="D1698" s="9" t="s">
        <v>27803</v>
      </c>
      <c r="E1698" s="9" t="s">
        <v>17740</v>
      </c>
      <c r="F1698" s="9" t="s">
        <v>17741</v>
      </c>
      <c r="G1698" s="9" t="s">
        <v>17740</v>
      </c>
      <c r="H1698" s="11" t="s">
        <v>8627</v>
      </c>
      <c r="I1698" s="11" t="s">
        <v>8626</v>
      </c>
      <c r="J1698" s="11" t="s">
        <v>8626</v>
      </c>
      <c r="K1698" s="9" t="s">
        <v>291</v>
      </c>
      <c r="L1698" s="9" t="s">
        <v>17744</v>
      </c>
      <c r="M1698" s="9" t="s">
        <v>25765</v>
      </c>
      <c r="N1698" s="9" t="s">
        <v>17746</v>
      </c>
      <c r="O1698" s="9" t="s">
        <v>18543</v>
      </c>
      <c r="P1698" s="9" t="s">
        <v>17748</v>
      </c>
      <c r="Q1698" s="11" t="s">
        <v>17792</v>
      </c>
      <c r="R1698" s="11" t="s">
        <v>17792</v>
      </c>
      <c r="S1698" s="11" t="s">
        <v>17750</v>
      </c>
    </row>
    <row r="1699" spans="1:19" x14ac:dyDescent="0.2">
      <c r="A1699" s="11" t="s">
        <v>27804</v>
      </c>
      <c r="B1699" s="9" t="s">
        <v>27805</v>
      </c>
      <c r="C1699" s="9" t="s">
        <v>27806</v>
      </c>
      <c r="D1699" s="9" t="s">
        <v>27807</v>
      </c>
      <c r="E1699" s="9" t="s">
        <v>17740</v>
      </c>
      <c r="F1699" s="9" t="s">
        <v>17741</v>
      </c>
      <c r="G1699" s="9" t="s">
        <v>17740</v>
      </c>
      <c r="H1699" s="11" t="s">
        <v>17741</v>
      </c>
      <c r="I1699" s="11" t="s">
        <v>27808</v>
      </c>
      <c r="J1699" s="11" t="s">
        <v>27808</v>
      </c>
      <c r="K1699" s="9" t="s">
        <v>27809</v>
      </c>
      <c r="L1699" s="9" t="s">
        <v>17759</v>
      </c>
      <c r="M1699" s="9" t="s">
        <v>17817</v>
      </c>
      <c r="N1699" s="9" t="s">
        <v>17746</v>
      </c>
      <c r="O1699" s="9" t="s">
        <v>27810</v>
      </c>
      <c r="P1699" s="9" t="s">
        <v>17748</v>
      </c>
      <c r="Q1699" s="11" t="s">
        <v>18856</v>
      </c>
      <c r="R1699" s="11" t="s">
        <v>18856</v>
      </c>
      <c r="S1699" s="11" t="s">
        <v>17750</v>
      </c>
    </row>
    <row r="1700" spans="1:19" x14ac:dyDescent="0.2">
      <c r="A1700" s="11" t="s">
        <v>27811</v>
      </c>
      <c r="B1700" s="9" t="s">
        <v>27812</v>
      </c>
      <c r="C1700" s="9" t="s">
        <v>27813</v>
      </c>
      <c r="D1700" s="9" t="s">
        <v>1454</v>
      </c>
      <c r="E1700" s="9" t="s">
        <v>17740</v>
      </c>
      <c r="F1700" s="9" t="s">
        <v>17741</v>
      </c>
      <c r="G1700" s="9" t="s">
        <v>17740</v>
      </c>
      <c r="H1700" s="11" t="s">
        <v>1456</v>
      </c>
      <c r="I1700" s="11" t="s">
        <v>1455</v>
      </c>
      <c r="J1700" s="11" t="s">
        <v>1455</v>
      </c>
      <c r="K1700" s="9" t="s">
        <v>27814</v>
      </c>
      <c r="L1700" s="9" t="s">
        <v>17759</v>
      </c>
      <c r="M1700" s="9" t="s">
        <v>19658</v>
      </c>
      <c r="N1700" s="9" t="s">
        <v>17746</v>
      </c>
      <c r="O1700" s="9" t="s">
        <v>27815</v>
      </c>
      <c r="P1700" s="9" t="s">
        <v>17748</v>
      </c>
      <c r="Q1700" s="11" t="s">
        <v>18341</v>
      </c>
      <c r="R1700" s="11" t="s">
        <v>18341</v>
      </c>
      <c r="S1700" s="11" t="s">
        <v>17750</v>
      </c>
    </row>
    <row r="1701" spans="1:19" x14ac:dyDescent="0.2">
      <c r="A1701" s="11" t="s">
        <v>27816</v>
      </c>
      <c r="B1701" s="9" t="s">
        <v>27817</v>
      </c>
      <c r="C1701" s="9" t="s">
        <v>27818</v>
      </c>
      <c r="D1701" s="9" t="s">
        <v>27819</v>
      </c>
      <c r="E1701" s="9" t="s">
        <v>17740</v>
      </c>
      <c r="F1701" s="9" t="s">
        <v>27820</v>
      </c>
      <c r="G1701" s="9" t="s">
        <v>17740</v>
      </c>
      <c r="H1701" s="11" t="s">
        <v>27821</v>
      </c>
      <c r="I1701" s="11" t="s">
        <v>27822</v>
      </c>
      <c r="J1701" s="11" t="s">
        <v>27822</v>
      </c>
      <c r="K1701" s="9" t="s">
        <v>17783</v>
      </c>
      <c r="L1701" s="9" t="s">
        <v>17759</v>
      </c>
      <c r="M1701" s="9" t="s">
        <v>17760</v>
      </c>
      <c r="N1701" s="9" t="s">
        <v>17746</v>
      </c>
      <c r="O1701" s="9" t="s">
        <v>20453</v>
      </c>
      <c r="P1701" s="9" t="s">
        <v>17748</v>
      </c>
      <c r="Q1701" s="11" t="s">
        <v>17780</v>
      </c>
      <c r="R1701" s="11" t="s">
        <v>17780</v>
      </c>
      <c r="S1701" s="11" t="s">
        <v>17750</v>
      </c>
    </row>
    <row r="1702" spans="1:19" x14ac:dyDescent="0.2">
      <c r="A1702" s="11" t="s">
        <v>27823</v>
      </c>
      <c r="B1702" s="9" t="s">
        <v>27824</v>
      </c>
      <c r="C1702" s="9" t="s">
        <v>27825</v>
      </c>
      <c r="D1702" s="9" t="s">
        <v>27826</v>
      </c>
      <c r="E1702" s="9" t="s">
        <v>17740</v>
      </c>
      <c r="F1702" s="9" t="s">
        <v>17741</v>
      </c>
      <c r="G1702" s="9" t="s">
        <v>17740</v>
      </c>
      <c r="H1702" s="11" t="s">
        <v>17741</v>
      </c>
      <c r="I1702" s="11" t="s">
        <v>27827</v>
      </c>
      <c r="J1702" s="11" t="s">
        <v>27827</v>
      </c>
      <c r="K1702" s="9" t="s">
        <v>27828</v>
      </c>
      <c r="L1702" s="9" t="s">
        <v>17759</v>
      </c>
      <c r="M1702" s="9" t="s">
        <v>21922</v>
      </c>
      <c r="N1702" s="9" t="s">
        <v>17746</v>
      </c>
      <c r="O1702" s="9" t="s">
        <v>20453</v>
      </c>
      <c r="P1702" s="9" t="s">
        <v>17748</v>
      </c>
      <c r="Q1702" s="11" t="s">
        <v>18080</v>
      </c>
      <c r="R1702" s="11" t="s">
        <v>18080</v>
      </c>
      <c r="S1702" s="11" t="s">
        <v>17750</v>
      </c>
    </row>
    <row r="1703" spans="1:19" x14ac:dyDescent="0.2">
      <c r="A1703" s="11" t="s">
        <v>27829</v>
      </c>
      <c r="B1703" s="9" t="s">
        <v>27830</v>
      </c>
      <c r="C1703" s="9" t="s">
        <v>27831</v>
      </c>
      <c r="D1703" s="9" t="s">
        <v>27830</v>
      </c>
      <c r="E1703" s="9" t="s">
        <v>17740</v>
      </c>
      <c r="F1703" s="9" t="s">
        <v>27832</v>
      </c>
      <c r="G1703" s="9" t="s">
        <v>17740</v>
      </c>
      <c r="H1703" s="11" t="s">
        <v>17741</v>
      </c>
      <c r="I1703" s="11" t="s">
        <v>27833</v>
      </c>
      <c r="J1703" s="11" t="s">
        <v>27833</v>
      </c>
      <c r="K1703" s="9" t="s">
        <v>27828</v>
      </c>
      <c r="L1703" s="9" t="s">
        <v>17759</v>
      </c>
      <c r="M1703" s="9" t="s">
        <v>19196</v>
      </c>
      <c r="N1703" s="9" t="s">
        <v>17746</v>
      </c>
      <c r="O1703" s="9" t="s">
        <v>20453</v>
      </c>
      <c r="P1703" s="9" t="s">
        <v>17748</v>
      </c>
      <c r="Q1703" s="11" t="s">
        <v>18132</v>
      </c>
      <c r="R1703" s="11" t="s">
        <v>18132</v>
      </c>
      <c r="S1703" s="11" t="s">
        <v>17750</v>
      </c>
    </row>
    <row r="1704" spans="1:19" x14ac:dyDescent="0.2">
      <c r="A1704" s="11" t="s">
        <v>27834</v>
      </c>
      <c r="B1704" s="9" t="s">
        <v>27835</v>
      </c>
      <c r="C1704" s="9" t="s">
        <v>27836</v>
      </c>
      <c r="D1704" s="9" t="s">
        <v>27837</v>
      </c>
      <c r="E1704" s="9" t="s">
        <v>17740</v>
      </c>
      <c r="F1704" s="9" t="s">
        <v>17741</v>
      </c>
      <c r="G1704" s="9" t="s">
        <v>17740</v>
      </c>
      <c r="H1704" s="11" t="s">
        <v>27838</v>
      </c>
      <c r="I1704" s="11" t="s">
        <v>27839</v>
      </c>
      <c r="J1704" s="11" t="s">
        <v>27839</v>
      </c>
      <c r="K1704" s="9" t="s">
        <v>296</v>
      </c>
      <c r="L1704" s="9" t="s">
        <v>17744</v>
      </c>
      <c r="M1704" s="9" t="s">
        <v>27840</v>
      </c>
      <c r="N1704" s="9" t="s">
        <v>17746</v>
      </c>
      <c r="O1704" s="9" t="s">
        <v>20453</v>
      </c>
      <c r="P1704" s="9" t="s">
        <v>17748</v>
      </c>
      <c r="Q1704" s="11" t="s">
        <v>18798</v>
      </c>
      <c r="R1704" s="11" t="s">
        <v>18798</v>
      </c>
      <c r="S1704" s="11" t="s">
        <v>17750</v>
      </c>
    </row>
    <row r="1705" spans="1:19" x14ac:dyDescent="0.2">
      <c r="A1705" s="11" t="s">
        <v>27841</v>
      </c>
      <c r="B1705" s="9" t="s">
        <v>27842</v>
      </c>
      <c r="C1705" s="9" t="s">
        <v>27843</v>
      </c>
      <c r="D1705" s="9" t="s">
        <v>27844</v>
      </c>
      <c r="E1705" s="9" t="s">
        <v>17740</v>
      </c>
      <c r="F1705" s="9" t="s">
        <v>17741</v>
      </c>
      <c r="G1705" s="9" t="s">
        <v>17740</v>
      </c>
      <c r="H1705" s="11" t="s">
        <v>27845</v>
      </c>
      <c r="I1705" s="11" t="s">
        <v>27846</v>
      </c>
      <c r="J1705" s="11" t="s">
        <v>27846</v>
      </c>
      <c r="K1705" s="9" t="s">
        <v>18404</v>
      </c>
      <c r="L1705" s="9" t="s">
        <v>17759</v>
      </c>
      <c r="M1705" s="9" t="s">
        <v>21922</v>
      </c>
      <c r="N1705" s="9" t="s">
        <v>17746</v>
      </c>
      <c r="O1705" s="9" t="s">
        <v>18543</v>
      </c>
      <c r="P1705" s="9" t="s">
        <v>17748</v>
      </c>
      <c r="Q1705" s="11" t="s">
        <v>19899</v>
      </c>
      <c r="R1705" s="11" t="s">
        <v>19899</v>
      </c>
      <c r="S1705" s="11" t="s">
        <v>17750</v>
      </c>
    </row>
    <row r="1706" spans="1:19" x14ac:dyDescent="0.2">
      <c r="A1706" s="11" t="s">
        <v>27847</v>
      </c>
      <c r="B1706" s="9" t="s">
        <v>27848</v>
      </c>
      <c r="C1706" s="9" t="s">
        <v>27849</v>
      </c>
      <c r="D1706" s="9" t="s">
        <v>27850</v>
      </c>
      <c r="E1706" s="9" t="s">
        <v>17740</v>
      </c>
      <c r="F1706" s="9" t="s">
        <v>17741</v>
      </c>
      <c r="G1706" s="9" t="s">
        <v>17740</v>
      </c>
      <c r="H1706" s="11" t="s">
        <v>10006</v>
      </c>
      <c r="I1706" s="11" t="s">
        <v>10005</v>
      </c>
      <c r="J1706" s="11" t="s">
        <v>10005</v>
      </c>
      <c r="K1706" s="9" t="s">
        <v>18661</v>
      </c>
      <c r="L1706" s="9" t="s">
        <v>18001</v>
      </c>
      <c r="M1706" s="9" t="s">
        <v>17992</v>
      </c>
      <c r="N1706" s="9" t="s">
        <v>17746</v>
      </c>
      <c r="O1706" s="9" t="s">
        <v>27851</v>
      </c>
      <c r="P1706" s="9" t="s">
        <v>17748</v>
      </c>
      <c r="Q1706" s="11" t="s">
        <v>17858</v>
      </c>
      <c r="R1706" s="11" t="s">
        <v>17858</v>
      </c>
      <c r="S1706" s="11" t="s">
        <v>17750</v>
      </c>
    </row>
    <row r="1707" spans="1:19" x14ac:dyDescent="0.2">
      <c r="A1707" s="11" t="s">
        <v>27852</v>
      </c>
      <c r="B1707" s="9" t="s">
        <v>27853</v>
      </c>
      <c r="C1707" s="9" t="s">
        <v>27854</v>
      </c>
      <c r="D1707" s="9" t="s">
        <v>6047</v>
      </c>
      <c r="E1707" s="9" t="s">
        <v>17740</v>
      </c>
      <c r="F1707" s="9" t="s">
        <v>17741</v>
      </c>
      <c r="G1707" s="9" t="s">
        <v>17740</v>
      </c>
      <c r="H1707" s="11" t="s">
        <v>6049</v>
      </c>
      <c r="I1707" s="11" t="s">
        <v>6048</v>
      </c>
      <c r="J1707" s="11" t="s">
        <v>6048</v>
      </c>
      <c r="K1707" s="9" t="s">
        <v>18876</v>
      </c>
      <c r="L1707" s="9" t="s">
        <v>17759</v>
      </c>
      <c r="M1707" s="9" t="s">
        <v>21737</v>
      </c>
      <c r="N1707" s="9" t="s">
        <v>17746</v>
      </c>
      <c r="O1707" s="9" t="s">
        <v>19391</v>
      </c>
      <c r="P1707" s="9" t="s">
        <v>17748</v>
      </c>
      <c r="Q1707" s="11" t="s">
        <v>18147</v>
      </c>
      <c r="R1707" s="11" t="s">
        <v>18147</v>
      </c>
      <c r="S1707" s="11" t="s">
        <v>17750</v>
      </c>
    </row>
    <row r="1708" spans="1:19" x14ac:dyDescent="0.2">
      <c r="A1708" s="11" t="s">
        <v>27855</v>
      </c>
      <c r="B1708" s="9" t="s">
        <v>27856</v>
      </c>
      <c r="C1708" s="9" t="s">
        <v>27857</v>
      </c>
      <c r="D1708" s="9" t="s">
        <v>27858</v>
      </c>
      <c r="E1708" s="9" t="s">
        <v>17740</v>
      </c>
      <c r="F1708" s="9" t="s">
        <v>17741</v>
      </c>
      <c r="G1708" s="9" t="s">
        <v>17740</v>
      </c>
      <c r="H1708" s="11" t="s">
        <v>1466</v>
      </c>
      <c r="I1708" s="11" t="s">
        <v>1465</v>
      </c>
      <c r="J1708" s="11" t="s">
        <v>1465</v>
      </c>
      <c r="K1708" s="9" t="s">
        <v>601</v>
      </c>
      <c r="L1708" s="9" t="s">
        <v>17759</v>
      </c>
      <c r="M1708" s="9" t="s">
        <v>19546</v>
      </c>
      <c r="N1708" s="9" t="s">
        <v>17746</v>
      </c>
      <c r="O1708" s="9" t="s">
        <v>19391</v>
      </c>
      <c r="P1708" s="9" t="s">
        <v>17748</v>
      </c>
      <c r="Q1708" s="11" t="s">
        <v>18600</v>
      </c>
      <c r="R1708" s="11" t="s">
        <v>18600</v>
      </c>
      <c r="S1708" s="11" t="s">
        <v>17750</v>
      </c>
    </row>
    <row r="1709" spans="1:19" x14ac:dyDescent="0.2">
      <c r="A1709" s="11" t="s">
        <v>27859</v>
      </c>
      <c r="B1709" s="9" t="s">
        <v>27860</v>
      </c>
      <c r="C1709" s="9" t="s">
        <v>27861</v>
      </c>
      <c r="D1709" s="9" t="s">
        <v>27862</v>
      </c>
      <c r="E1709" s="9" t="s">
        <v>17740</v>
      </c>
      <c r="F1709" s="9" t="s">
        <v>17741</v>
      </c>
      <c r="G1709" s="9" t="s">
        <v>17740</v>
      </c>
      <c r="H1709" s="11" t="s">
        <v>17741</v>
      </c>
      <c r="I1709" s="11" t="s">
        <v>27863</v>
      </c>
      <c r="J1709" s="11" t="s">
        <v>27863</v>
      </c>
      <c r="K1709" s="9" t="s">
        <v>19154</v>
      </c>
      <c r="L1709" s="9" t="s">
        <v>17759</v>
      </c>
      <c r="M1709" s="9" t="s">
        <v>17817</v>
      </c>
      <c r="N1709" s="9" t="s">
        <v>17746</v>
      </c>
      <c r="O1709" s="9" t="s">
        <v>27864</v>
      </c>
      <c r="P1709" s="9" t="s">
        <v>17748</v>
      </c>
      <c r="Q1709" s="11" t="s">
        <v>17819</v>
      </c>
      <c r="R1709" s="11" t="s">
        <v>17819</v>
      </c>
      <c r="S1709" s="11" t="s">
        <v>17750</v>
      </c>
    </row>
    <row r="1710" spans="1:19" x14ac:dyDescent="0.2">
      <c r="A1710" s="11" t="s">
        <v>27865</v>
      </c>
      <c r="B1710" s="9" t="s">
        <v>27866</v>
      </c>
      <c r="C1710" s="9" t="s">
        <v>27867</v>
      </c>
      <c r="D1710" s="9" t="s">
        <v>27868</v>
      </c>
      <c r="E1710" s="9" t="s">
        <v>17740</v>
      </c>
      <c r="F1710" s="9" t="s">
        <v>27869</v>
      </c>
      <c r="G1710" s="9" t="s">
        <v>17740</v>
      </c>
      <c r="H1710" s="11" t="s">
        <v>27870</v>
      </c>
      <c r="I1710" s="11" t="s">
        <v>27871</v>
      </c>
      <c r="J1710" s="11" t="s">
        <v>27871</v>
      </c>
      <c r="K1710" s="9" t="s">
        <v>27872</v>
      </c>
      <c r="L1710" s="9" t="s">
        <v>20446</v>
      </c>
      <c r="M1710" s="9" t="s">
        <v>17992</v>
      </c>
      <c r="N1710" s="9" t="s">
        <v>17746</v>
      </c>
      <c r="O1710" s="9" t="s">
        <v>27873</v>
      </c>
      <c r="P1710" s="9" t="s">
        <v>17748</v>
      </c>
      <c r="Q1710" s="11" t="s">
        <v>18201</v>
      </c>
      <c r="R1710" s="11" t="s">
        <v>18201</v>
      </c>
      <c r="S1710" s="11" t="s">
        <v>17750</v>
      </c>
    </row>
    <row r="1711" spans="1:19" x14ac:dyDescent="0.2">
      <c r="A1711" s="11" t="s">
        <v>27874</v>
      </c>
      <c r="B1711" s="9" t="s">
        <v>27875</v>
      </c>
      <c r="C1711" s="9" t="s">
        <v>27876</v>
      </c>
      <c r="D1711" s="9" t="s">
        <v>27877</v>
      </c>
      <c r="E1711" s="9" t="s">
        <v>17740</v>
      </c>
      <c r="F1711" s="9" t="s">
        <v>27878</v>
      </c>
      <c r="G1711" s="9" t="s">
        <v>17740</v>
      </c>
      <c r="H1711" s="11" t="s">
        <v>27879</v>
      </c>
      <c r="I1711" s="11" t="s">
        <v>27880</v>
      </c>
      <c r="J1711" s="11" t="s">
        <v>27880</v>
      </c>
      <c r="K1711" s="9" t="s">
        <v>27881</v>
      </c>
      <c r="L1711" s="9" t="s">
        <v>17744</v>
      </c>
      <c r="M1711" s="9" t="s">
        <v>17778</v>
      </c>
      <c r="N1711" s="9" t="s">
        <v>17746</v>
      </c>
      <c r="O1711" s="9" t="s">
        <v>27882</v>
      </c>
      <c r="P1711" s="9" t="s">
        <v>17748</v>
      </c>
      <c r="Q1711" s="11" t="s">
        <v>18922</v>
      </c>
      <c r="R1711" s="11" t="s">
        <v>18922</v>
      </c>
      <c r="S1711" s="11" t="s">
        <v>17750</v>
      </c>
    </row>
    <row r="1712" spans="1:19" x14ac:dyDescent="0.2">
      <c r="A1712" s="11" t="s">
        <v>27883</v>
      </c>
      <c r="B1712" s="9" t="s">
        <v>27884</v>
      </c>
      <c r="C1712" s="9" t="s">
        <v>27885</v>
      </c>
      <c r="D1712" s="9" t="s">
        <v>27886</v>
      </c>
      <c r="E1712" s="9" t="s">
        <v>17740</v>
      </c>
      <c r="F1712" s="9" t="s">
        <v>17741</v>
      </c>
      <c r="G1712" s="9" t="s">
        <v>17740</v>
      </c>
      <c r="H1712" s="11" t="s">
        <v>17741</v>
      </c>
      <c r="I1712" s="11" t="s">
        <v>27887</v>
      </c>
      <c r="J1712" s="11" t="s">
        <v>17741</v>
      </c>
      <c r="K1712" s="9" t="s">
        <v>27888</v>
      </c>
      <c r="L1712" s="9" t="s">
        <v>21182</v>
      </c>
      <c r="M1712" s="9" t="s">
        <v>18211</v>
      </c>
      <c r="N1712" s="9" t="s">
        <v>17746</v>
      </c>
      <c r="O1712" s="9" t="s">
        <v>18882</v>
      </c>
      <c r="P1712" s="9" t="s">
        <v>17748</v>
      </c>
      <c r="Q1712" s="11" t="s">
        <v>23398</v>
      </c>
      <c r="R1712" s="11" t="s">
        <v>23398</v>
      </c>
      <c r="S1712" s="11" t="s">
        <v>17750</v>
      </c>
    </row>
    <row r="1713" spans="1:19" x14ac:dyDescent="0.2">
      <c r="A1713" s="11" t="s">
        <v>27889</v>
      </c>
      <c r="B1713" s="9" t="s">
        <v>27890</v>
      </c>
      <c r="C1713" s="9" t="s">
        <v>27891</v>
      </c>
      <c r="D1713" s="9" t="s">
        <v>27892</v>
      </c>
      <c r="E1713" s="9" t="s">
        <v>17740</v>
      </c>
      <c r="F1713" s="9" t="s">
        <v>17741</v>
      </c>
      <c r="G1713" s="9" t="s">
        <v>17740</v>
      </c>
      <c r="H1713" s="11" t="s">
        <v>27893</v>
      </c>
      <c r="I1713" s="11" t="s">
        <v>27894</v>
      </c>
      <c r="J1713" s="11" t="s">
        <v>27894</v>
      </c>
      <c r="K1713" s="9" t="s">
        <v>27895</v>
      </c>
      <c r="L1713" s="9" t="s">
        <v>18058</v>
      </c>
      <c r="M1713" s="9" t="s">
        <v>17760</v>
      </c>
      <c r="N1713" s="9" t="s">
        <v>17746</v>
      </c>
      <c r="O1713" s="9" t="s">
        <v>17993</v>
      </c>
      <c r="P1713" s="9" t="s">
        <v>17748</v>
      </c>
      <c r="Q1713" s="11" t="s">
        <v>17858</v>
      </c>
      <c r="R1713" s="11" t="s">
        <v>17858</v>
      </c>
      <c r="S1713" s="11" t="s">
        <v>17750</v>
      </c>
    </row>
    <row r="1714" spans="1:19" x14ac:dyDescent="0.2">
      <c r="A1714" s="11" t="s">
        <v>27896</v>
      </c>
      <c r="B1714" s="9" t="s">
        <v>27897</v>
      </c>
      <c r="C1714" s="9" t="s">
        <v>27898</v>
      </c>
      <c r="D1714" s="9" t="s">
        <v>27899</v>
      </c>
      <c r="E1714" s="9" t="s">
        <v>17740</v>
      </c>
      <c r="F1714" s="9" t="s">
        <v>27900</v>
      </c>
      <c r="G1714" s="9" t="s">
        <v>17740</v>
      </c>
      <c r="H1714" s="11" t="s">
        <v>27901</v>
      </c>
      <c r="I1714" s="11" t="s">
        <v>27902</v>
      </c>
      <c r="J1714" s="11" t="s">
        <v>17741</v>
      </c>
      <c r="K1714" s="9" t="s">
        <v>27903</v>
      </c>
      <c r="L1714" s="9" t="s">
        <v>18396</v>
      </c>
      <c r="M1714" s="9" t="s">
        <v>17992</v>
      </c>
      <c r="N1714" s="9" t="s">
        <v>17746</v>
      </c>
      <c r="O1714" s="9" t="s">
        <v>3276</v>
      </c>
      <c r="P1714" s="9" t="s">
        <v>17748</v>
      </c>
      <c r="Q1714" s="11" t="s">
        <v>17984</v>
      </c>
      <c r="R1714" s="11" t="s">
        <v>17984</v>
      </c>
      <c r="S1714" s="11" t="s">
        <v>17750</v>
      </c>
    </row>
    <row r="1715" spans="1:19" x14ac:dyDescent="0.2">
      <c r="A1715" s="11" t="s">
        <v>27904</v>
      </c>
      <c r="B1715" s="9" t="s">
        <v>27905</v>
      </c>
      <c r="C1715" s="9" t="s">
        <v>27906</v>
      </c>
      <c r="D1715" s="9" t="s">
        <v>27907</v>
      </c>
      <c r="E1715" s="9" t="s">
        <v>17740</v>
      </c>
      <c r="F1715" s="9" t="s">
        <v>17741</v>
      </c>
      <c r="G1715" s="9" t="s">
        <v>17740</v>
      </c>
      <c r="H1715" s="11" t="s">
        <v>17741</v>
      </c>
      <c r="I1715" s="11" t="s">
        <v>9626</v>
      </c>
      <c r="J1715" s="11" t="s">
        <v>9626</v>
      </c>
      <c r="K1715" s="9" t="s">
        <v>27908</v>
      </c>
      <c r="L1715" s="9" t="s">
        <v>18854</v>
      </c>
      <c r="M1715" s="9" t="s">
        <v>17769</v>
      </c>
      <c r="N1715" s="9" t="s">
        <v>20237</v>
      </c>
      <c r="O1715" s="9" t="s">
        <v>3391</v>
      </c>
      <c r="P1715" s="9" t="s">
        <v>17748</v>
      </c>
      <c r="Q1715" s="11" t="s">
        <v>18147</v>
      </c>
      <c r="R1715" s="11" t="s">
        <v>18147</v>
      </c>
      <c r="S1715" s="11" t="s">
        <v>17750</v>
      </c>
    </row>
    <row r="1716" spans="1:19" x14ac:dyDescent="0.2">
      <c r="A1716" s="11" t="s">
        <v>27909</v>
      </c>
      <c r="B1716" s="9" t="s">
        <v>27910</v>
      </c>
      <c r="C1716" s="9" t="s">
        <v>27911</v>
      </c>
      <c r="D1716" s="9" t="s">
        <v>27912</v>
      </c>
      <c r="E1716" s="9" t="s">
        <v>17748</v>
      </c>
      <c r="F1716" s="9" t="s">
        <v>27913</v>
      </c>
      <c r="G1716" s="9" t="s">
        <v>17740</v>
      </c>
      <c r="H1716" s="11" t="s">
        <v>17741</v>
      </c>
      <c r="I1716" s="11" t="s">
        <v>27914</v>
      </c>
      <c r="J1716" s="11" t="s">
        <v>27914</v>
      </c>
      <c r="K1716" s="9" t="s">
        <v>27915</v>
      </c>
      <c r="L1716" s="9" t="s">
        <v>18854</v>
      </c>
      <c r="M1716" s="9" t="s">
        <v>17760</v>
      </c>
      <c r="N1716" s="9" t="s">
        <v>20237</v>
      </c>
      <c r="O1716" s="9" t="s">
        <v>1675</v>
      </c>
      <c r="P1716" s="9" t="s">
        <v>17748</v>
      </c>
      <c r="Q1716" s="11" t="s">
        <v>17994</v>
      </c>
      <c r="R1716" s="11" t="s">
        <v>17994</v>
      </c>
      <c r="S1716" s="11" t="s">
        <v>17750</v>
      </c>
    </row>
    <row r="1717" spans="1:19" x14ac:dyDescent="0.2">
      <c r="A1717" s="11" t="s">
        <v>27916</v>
      </c>
      <c r="B1717" s="9" t="s">
        <v>27917</v>
      </c>
      <c r="C1717" s="9" t="s">
        <v>27918</v>
      </c>
      <c r="D1717" s="9" t="s">
        <v>27919</v>
      </c>
      <c r="E1717" s="9" t="s">
        <v>17740</v>
      </c>
      <c r="F1717" s="9" t="s">
        <v>27920</v>
      </c>
      <c r="G1717" s="9" t="s">
        <v>17740</v>
      </c>
      <c r="H1717" s="11" t="s">
        <v>27921</v>
      </c>
      <c r="I1717" s="11" t="s">
        <v>27922</v>
      </c>
      <c r="J1717" s="11" t="s">
        <v>27921</v>
      </c>
      <c r="K1717" s="9" t="s">
        <v>291</v>
      </c>
      <c r="L1717" s="9" t="s">
        <v>17744</v>
      </c>
      <c r="M1717" s="9" t="s">
        <v>18685</v>
      </c>
      <c r="N1717" s="9" t="s">
        <v>17746</v>
      </c>
      <c r="O1717" s="9" t="s">
        <v>27923</v>
      </c>
      <c r="P1717" s="9" t="s">
        <v>17748</v>
      </c>
      <c r="Q1717" s="11" t="s">
        <v>17994</v>
      </c>
      <c r="R1717" s="11" t="s">
        <v>17994</v>
      </c>
      <c r="S1717" s="11" t="s">
        <v>17750</v>
      </c>
    </row>
    <row r="1718" spans="1:19" x14ac:dyDescent="0.2">
      <c r="A1718" s="11" t="s">
        <v>27924</v>
      </c>
      <c r="B1718" s="9" t="s">
        <v>27925</v>
      </c>
      <c r="C1718" s="9" t="s">
        <v>27926</v>
      </c>
      <c r="D1718" s="9" t="s">
        <v>27927</v>
      </c>
      <c r="E1718" s="9" t="s">
        <v>17740</v>
      </c>
      <c r="F1718" s="9" t="s">
        <v>27928</v>
      </c>
      <c r="G1718" s="9" t="s">
        <v>17740</v>
      </c>
      <c r="H1718" s="11" t="s">
        <v>17741</v>
      </c>
      <c r="I1718" s="11" t="s">
        <v>27929</v>
      </c>
      <c r="J1718" s="11" t="s">
        <v>27929</v>
      </c>
      <c r="K1718" s="9" t="s">
        <v>27930</v>
      </c>
      <c r="L1718" s="9" t="s">
        <v>17929</v>
      </c>
      <c r="M1718" s="9" t="s">
        <v>18177</v>
      </c>
      <c r="N1718" s="9" t="s">
        <v>17746</v>
      </c>
      <c r="O1718" s="9" t="s">
        <v>22463</v>
      </c>
      <c r="P1718" s="9" t="s">
        <v>17748</v>
      </c>
      <c r="Q1718" s="11" t="s">
        <v>19082</v>
      </c>
      <c r="R1718" s="11" t="s">
        <v>19082</v>
      </c>
      <c r="S1718" s="11" t="s">
        <v>17750</v>
      </c>
    </row>
    <row r="1719" spans="1:19" x14ac:dyDescent="0.2">
      <c r="A1719" s="11" t="s">
        <v>27931</v>
      </c>
      <c r="B1719" s="9" t="s">
        <v>1512</v>
      </c>
      <c r="C1719" s="9" t="s">
        <v>27932</v>
      </c>
      <c r="D1719" s="9" t="s">
        <v>1512</v>
      </c>
      <c r="E1719" s="9" t="s">
        <v>17740</v>
      </c>
      <c r="F1719" s="9" t="s">
        <v>17741</v>
      </c>
      <c r="G1719" s="9" t="s">
        <v>17740</v>
      </c>
      <c r="H1719" s="11" t="s">
        <v>1514</v>
      </c>
      <c r="I1719" s="11" t="s">
        <v>1513</v>
      </c>
      <c r="J1719" s="11" t="s">
        <v>1513</v>
      </c>
      <c r="K1719" s="9" t="s">
        <v>18712</v>
      </c>
      <c r="L1719" s="9" t="s">
        <v>18158</v>
      </c>
      <c r="M1719" s="9" t="s">
        <v>27933</v>
      </c>
      <c r="N1719" s="9" t="s">
        <v>17746</v>
      </c>
      <c r="O1719" s="9" t="s">
        <v>18088</v>
      </c>
      <c r="P1719" s="9" t="s">
        <v>17748</v>
      </c>
      <c r="Q1719" s="11" t="s">
        <v>19222</v>
      </c>
      <c r="R1719" s="11" t="s">
        <v>19222</v>
      </c>
      <c r="S1719" s="11" t="s">
        <v>17750</v>
      </c>
    </row>
    <row r="1720" spans="1:19" x14ac:dyDescent="0.2">
      <c r="A1720" s="11" t="s">
        <v>27934</v>
      </c>
      <c r="B1720" s="9" t="s">
        <v>27935</v>
      </c>
      <c r="C1720" s="9" t="s">
        <v>27936</v>
      </c>
      <c r="D1720" s="9" t="s">
        <v>27937</v>
      </c>
      <c r="E1720" s="9" t="s">
        <v>17740</v>
      </c>
      <c r="F1720" s="9" t="s">
        <v>17741</v>
      </c>
      <c r="G1720" s="9" t="s">
        <v>17740</v>
      </c>
      <c r="H1720" s="11" t="s">
        <v>4176</v>
      </c>
      <c r="I1720" s="11" t="s">
        <v>4175</v>
      </c>
      <c r="J1720" s="11" t="s">
        <v>4175</v>
      </c>
      <c r="K1720" s="9" t="s">
        <v>3029</v>
      </c>
      <c r="L1720" s="9" t="s">
        <v>17744</v>
      </c>
      <c r="M1720" s="9" t="s">
        <v>22707</v>
      </c>
      <c r="N1720" s="9" t="s">
        <v>17746</v>
      </c>
      <c r="O1720" s="9" t="s">
        <v>17922</v>
      </c>
      <c r="P1720" s="9" t="s">
        <v>17748</v>
      </c>
      <c r="Q1720" s="11" t="s">
        <v>19515</v>
      </c>
      <c r="R1720" s="11" t="s">
        <v>19515</v>
      </c>
      <c r="S1720" s="11" t="s">
        <v>17750</v>
      </c>
    </row>
    <row r="1721" spans="1:19" x14ac:dyDescent="0.2">
      <c r="A1721" s="11" t="s">
        <v>27938</v>
      </c>
      <c r="B1721" s="9" t="s">
        <v>27939</v>
      </c>
      <c r="C1721" s="9" t="s">
        <v>27940</v>
      </c>
      <c r="D1721" s="9" t="s">
        <v>27941</v>
      </c>
      <c r="E1721" s="9" t="s">
        <v>17740</v>
      </c>
      <c r="F1721" s="9" t="s">
        <v>17741</v>
      </c>
      <c r="G1721" s="9" t="s">
        <v>17740</v>
      </c>
      <c r="H1721" s="11" t="s">
        <v>13910</v>
      </c>
      <c r="I1721" s="11" t="s">
        <v>13909</v>
      </c>
      <c r="J1721" s="11" t="s">
        <v>13909</v>
      </c>
      <c r="K1721" s="9" t="s">
        <v>970</v>
      </c>
      <c r="L1721" s="9" t="s">
        <v>17744</v>
      </c>
      <c r="M1721" s="9" t="s">
        <v>18289</v>
      </c>
      <c r="N1721" s="9" t="s">
        <v>17746</v>
      </c>
      <c r="O1721" s="9" t="s">
        <v>22268</v>
      </c>
      <c r="P1721" s="9" t="s">
        <v>17748</v>
      </c>
      <c r="Q1721" s="11" t="s">
        <v>17825</v>
      </c>
      <c r="R1721" s="11" t="s">
        <v>17825</v>
      </c>
      <c r="S1721" s="11" t="s">
        <v>17750</v>
      </c>
    </row>
    <row r="1722" spans="1:19" x14ac:dyDescent="0.2">
      <c r="A1722" s="11" t="s">
        <v>27942</v>
      </c>
      <c r="B1722" s="9" t="s">
        <v>27943</v>
      </c>
      <c r="C1722" s="9" t="s">
        <v>27944</v>
      </c>
      <c r="D1722" s="9" t="s">
        <v>27945</v>
      </c>
      <c r="E1722" s="9" t="s">
        <v>17740</v>
      </c>
      <c r="F1722" s="9" t="s">
        <v>17741</v>
      </c>
      <c r="G1722" s="9" t="s">
        <v>17740</v>
      </c>
      <c r="H1722" s="11" t="s">
        <v>8691</v>
      </c>
      <c r="I1722" s="11" t="s">
        <v>8690</v>
      </c>
      <c r="J1722" s="11" t="s">
        <v>8690</v>
      </c>
      <c r="K1722" s="9" t="s">
        <v>3029</v>
      </c>
      <c r="L1722" s="9" t="s">
        <v>17744</v>
      </c>
      <c r="M1722" s="9" t="s">
        <v>17817</v>
      </c>
      <c r="N1722" s="9" t="s">
        <v>17746</v>
      </c>
      <c r="O1722" s="9" t="s">
        <v>22268</v>
      </c>
      <c r="P1722" s="9" t="s">
        <v>17748</v>
      </c>
      <c r="Q1722" s="11" t="s">
        <v>17784</v>
      </c>
      <c r="R1722" s="11" t="s">
        <v>17784</v>
      </c>
      <c r="S1722" s="11" t="s">
        <v>17750</v>
      </c>
    </row>
    <row r="1723" spans="1:19" x14ac:dyDescent="0.2">
      <c r="A1723" s="11" t="s">
        <v>27946</v>
      </c>
      <c r="B1723" s="9" t="s">
        <v>27947</v>
      </c>
      <c r="C1723" s="9" t="s">
        <v>27948</v>
      </c>
      <c r="D1723" s="9" t="s">
        <v>27949</v>
      </c>
      <c r="E1723" s="9" t="s">
        <v>17748</v>
      </c>
      <c r="F1723" s="9" t="s">
        <v>27950</v>
      </c>
      <c r="G1723" s="9" t="s">
        <v>17740</v>
      </c>
      <c r="H1723" s="11" t="s">
        <v>10195</v>
      </c>
      <c r="I1723" s="11" t="s">
        <v>10194</v>
      </c>
      <c r="J1723" s="11" t="s">
        <v>10195</v>
      </c>
      <c r="K1723" s="9" t="s">
        <v>20225</v>
      </c>
      <c r="L1723" s="9" t="s">
        <v>20082</v>
      </c>
      <c r="M1723" s="9" t="s">
        <v>18170</v>
      </c>
      <c r="N1723" s="9" t="s">
        <v>17746</v>
      </c>
      <c r="O1723" s="9" t="s">
        <v>17807</v>
      </c>
      <c r="P1723" s="9" t="s">
        <v>17748</v>
      </c>
      <c r="Q1723" s="11" t="s">
        <v>17780</v>
      </c>
      <c r="R1723" s="11" t="s">
        <v>17780</v>
      </c>
      <c r="S1723" s="11" t="s">
        <v>17750</v>
      </c>
    </row>
    <row r="1724" spans="1:19" x14ac:dyDescent="0.2">
      <c r="A1724" s="11" t="s">
        <v>27951</v>
      </c>
      <c r="B1724" s="9" t="s">
        <v>27952</v>
      </c>
      <c r="C1724" s="9" t="s">
        <v>27953</v>
      </c>
      <c r="D1724" s="9" t="s">
        <v>27954</v>
      </c>
      <c r="E1724" s="9" t="s">
        <v>17740</v>
      </c>
      <c r="F1724" s="9" t="s">
        <v>17741</v>
      </c>
      <c r="G1724" s="9" t="s">
        <v>17740</v>
      </c>
      <c r="H1724" s="11" t="s">
        <v>27955</v>
      </c>
      <c r="I1724" s="11" t="s">
        <v>1519</v>
      </c>
      <c r="J1724" s="11" t="s">
        <v>1519</v>
      </c>
      <c r="K1724" s="9" t="s">
        <v>25648</v>
      </c>
      <c r="L1724" s="9" t="s">
        <v>17759</v>
      </c>
      <c r="M1724" s="9" t="s">
        <v>17760</v>
      </c>
      <c r="N1724" s="9" t="s">
        <v>17746</v>
      </c>
      <c r="O1724" s="9" t="s">
        <v>17807</v>
      </c>
      <c r="P1724" s="9" t="s">
        <v>17748</v>
      </c>
      <c r="Q1724" s="11" t="s">
        <v>17978</v>
      </c>
      <c r="R1724" s="11" t="s">
        <v>17978</v>
      </c>
      <c r="S1724" s="11" t="s">
        <v>17750</v>
      </c>
    </row>
    <row r="1725" spans="1:19" x14ac:dyDescent="0.2">
      <c r="A1725" s="11" t="s">
        <v>27956</v>
      </c>
      <c r="B1725" s="9" t="s">
        <v>27957</v>
      </c>
      <c r="C1725" s="9" t="s">
        <v>27958</v>
      </c>
      <c r="D1725" s="9" t="s">
        <v>27959</v>
      </c>
      <c r="E1725" s="9" t="s">
        <v>17748</v>
      </c>
      <c r="F1725" s="9" t="s">
        <v>27960</v>
      </c>
      <c r="G1725" s="9" t="s">
        <v>17740</v>
      </c>
      <c r="H1725" s="11" t="s">
        <v>8846</v>
      </c>
      <c r="I1725" s="11" t="s">
        <v>8845</v>
      </c>
      <c r="J1725" s="11" t="s">
        <v>8845</v>
      </c>
      <c r="K1725" s="9" t="s">
        <v>18616</v>
      </c>
      <c r="L1725" s="9" t="s">
        <v>17744</v>
      </c>
      <c r="M1725" s="9" t="s">
        <v>17769</v>
      </c>
      <c r="N1725" s="9" t="s">
        <v>17746</v>
      </c>
      <c r="O1725" s="9" t="s">
        <v>17807</v>
      </c>
      <c r="P1725" s="9" t="s">
        <v>17748</v>
      </c>
      <c r="Q1725" s="11" t="s">
        <v>18922</v>
      </c>
      <c r="R1725" s="11" t="s">
        <v>18922</v>
      </c>
      <c r="S1725" s="11" t="s">
        <v>17750</v>
      </c>
    </row>
    <row r="1726" spans="1:19" x14ac:dyDescent="0.2">
      <c r="A1726" s="11" t="s">
        <v>27961</v>
      </c>
      <c r="B1726" s="9" t="s">
        <v>27962</v>
      </c>
      <c r="C1726" s="9" t="s">
        <v>27963</v>
      </c>
      <c r="D1726" s="9" t="s">
        <v>27964</v>
      </c>
      <c r="E1726" s="9" t="s">
        <v>17740</v>
      </c>
      <c r="F1726" s="9" t="s">
        <v>17741</v>
      </c>
      <c r="G1726" s="9" t="s">
        <v>17740</v>
      </c>
      <c r="H1726" s="11" t="s">
        <v>27965</v>
      </c>
      <c r="I1726" s="11" t="s">
        <v>27966</v>
      </c>
      <c r="J1726" s="11" t="s">
        <v>27966</v>
      </c>
      <c r="K1726" s="9" t="s">
        <v>27967</v>
      </c>
      <c r="L1726" s="9" t="s">
        <v>17759</v>
      </c>
      <c r="M1726" s="9" t="s">
        <v>17817</v>
      </c>
      <c r="N1726" s="9" t="s">
        <v>17746</v>
      </c>
      <c r="O1726" s="9" t="s">
        <v>17807</v>
      </c>
      <c r="P1726" s="9" t="s">
        <v>17748</v>
      </c>
      <c r="Q1726" s="11" t="s">
        <v>18356</v>
      </c>
      <c r="R1726" s="11" t="s">
        <v>18356</v>
      </c>
      <c r="S1726" s="11" t="s">
        <v>17750</v>
      </c>
    </row>
    <row r="1727" spans="1:19" x14ac:dyDescent="0.2">
      <c r="A1727" s="11" t="s">
        <v>27968</v>
      </c>
      <c r="B1727" s="9" t="s">
        <v>27969</v>
      </c>
      <c r="C1727" s="9" t="s">
        <v>27970</v>
      </c>
      <c r="D1727" s="9" t="s">
        <v>27971</v>
      </c>
      <c r="E1727" s="9" t="s">
        <v>17740</v>
      </c>
      <c r="F1727" s="9" t="s">
        <v>17741</v>
      </c>
      <c r="G1727" s="9" t="s">
        <v>17740</v>
      </c>
      <c r="H1727" s="11" t="s">
        <v>17741</v>
      </c>
      <c r="I1727" s="11" t="s">
        <v>27972</v>
      </c>
      <c r="J1727" s="11" t="s">
        <v>27972</v>
      </c>
      <c r="K1727" s="9" t="s">
        <v>27973</v>
      </c>
      <c r="L1727" s="9" t="s">
        <v>17744</v>
      </c>
      <c r="M1727" s="9" t="s">
        <v>19168</v>
      </c>
      <c r="N1727" s="9" t="s">
        <v>17746</v>
      </c>
      <c r="O1727" s="9" t="s">
        <v>27974</v>
      </c>
      <c r="P1727" s="9" t="s">
        <v>17748</v>
      </c>
      <c r="Q1727" s="11" t="s">
        <v>18147</v>
      </c>
      <c r="R1727" s="11" t="s">
        <v>18147</v>
      </c>
      <c r="S1727" s="11" t="s">
        <v>17750</v>
      </c>
    </row>
    <row r="1728" spans="1:19" x14ac:dyDescent="0.2">
      <c r="A1728" s="11" t="s">
        <v>27975</v>
      </c>
      <c r="B1728" s="9" t="s">
        <v>27976</v>
      </c>
      <c r="C1728" s="9" t="s">
        <v>27977</v>
      </c>
      <c r="D1728" s="9" t="s">
        <v>27978</v>
      </c>
      <c r="E1728" s="9" t="s">
        <v>17740</v>
      </c>
      <c r="F1728" s="9" t="s">
        <v>17741</v>
      </c>
      <c r="G1728" s="9" t="s">
        <v>17740</v>
      </c>
      <c r="H1728" s="11" t="s">
        <v>6477</v>
      </c>
      <c r="I1728" s="11" t="s">
        <v>6476</v>
      </c>
      <c r="J1728" s="11" t="s">
        <v>6476</v>
      </c>
      <c r="K1728" s="9" t="s">
        <v>27979</v>
      </c>
      <c r="L1728" s="9" t="s">
        <v>17759</v>
      </c>
      <c r="M1728" s="9" t="s">
        <v>17769</v>
      </c>
      <c r="N1728" s="9" t="s">
        <v>17746</v>
      </c>
      <c r="O1728" s="9" t="s">
        <v>27980</v>
      </c>
      <c r="P1728" s="9" t="s">
        <v>17748</v>
      </c>
      <c r="Q1728" s="11" t="s">
        <v>17808</v>
      </c>
      <c r="R1728" s="11" t="s">
        <v>17808</v>
      </c>
      <c r="S1728" s="11" t="s">
        <v>17750</v>
      </c>
    </row>
    <row r="1729" spans="1:19" x14ac:dyDescent="0.2">
      <c r="A1729" s="11" t="s">
        <v>27981</v>
      </c>
      <c r="B1729" s="9" t="s">
        <v>27982</v>
      </c>
      <c r="C1729" s="9" t="s">
        <v>27983</v>
      </c>
      <c r="D1729" s="9" t="s">
        <v>27984</v>
      </c>
      <c r="E1729" s="9" t="s">
        <v>17740</v>
      </c>
      <c r="F1729" s="9" t="s">
        <v>17741</v>
      </c>
      <c r="G1729" s="9" t="s">
        <v>17740</v>
      </c>
      <c r="H1729" s="11" t="s">
        <v>14431</v>
      </c>
      <c r="I1729" s="11" t="s">
        <v>17741</v>
      </c>
      <c r="J1729" s="11" t="s">
        <v>14431</v>
      </c>
      <c r="K1729" s="9" t="s">
        <v>27985</v>
      </c>
      <c r="L1729" s="9" t="s">
        <v>18130</v>
      </c>
      <c r="M1729" s="9" t="s">
        <v>27986</v>
      </c>
      <c r="N1729" s="9" t="s">
        <v>17746</v>
      </c>
      <c r="O1729" s="9" t="s">
        <v>27987</v>
      </c>
      <c r="P1729" s="9" t="s">
        <v>17748</v>
      </c>
      <c r="Q1729" s="11" t="s">
        <v>18370</v>
      </c>
      <c r="R1729" s="11" t="s">
        <v>18370</v>
      </c>
      <c r="S1729" s="11" t="s">
        <v>17750</v>
      </c>
    </row>
    <row r="1730" spans="1:19" x14ac:dyDescent="0.2">
      <c r="A1730" s="11" t="s">
        <v>27988</v>
      </c>
      <c r="B1730" s="9" t="s">
        <v>27989</v>
      </c>
      <c r="C1730" s="9" t="s">
        <v>27990</v>
      </c>
      <c r="D1730" s="9" t="s">
        <v>27991</v>
      </c>
      <c r="E1730" s="9" t="s">
        <v>17740</v>
      </c>
      <c r="F1730" s="9" t="s">
        <v>17741</v>
      </c>
      <c r="G1730" s="9" t="s">
        <v>17740</v>
      </c>
      <c r="H1730" s="11" t="s">
        <v>7372</v>
      </c>
      <c r="I1730" s="11" t="s">
        <v>7371</v>
      </c>
      <c r="J1730" s="11" t="s">
        <v>7371</v>
      </c>
      <c r="K1730" s="9" t="s">
        <v>27992</v>
      </c>
      <c r="L1730" s="9" t="s">
        <v>17759</v>
      </c>
      <c r="M1730" s="9" t="s">
        <v>19701</v>
      </c>
      <c r="N1730" s="9" t="s">
        <v>17746</v>
      </c>
      <c r="O1730" s="9" t="s">
        <v>19659</v>
      </c>
      <c r="P1730" s="9" t="s">
        <v>17748</v>
      </c>
      <c r="Q1730" s="11" t="s">
        <v>19361</v>
      </c>
      <c r="R1730" s="11" t="s">
        <v>19361</v>
      </c>
      <c r="S1730" s="11" t="s">
        <v>17750</v>
      </c>
    </row>
    <row r="1731" spans="1:19" x14ac:dyDescent="0.2">
      <c r="A1731" s="11" t="s">
        <v>27993</v>
      </c>
      <c r="B1731" s="9" t="s">
        <v>27994</v>
      </c>
      <c r="C1731" s="9" t="s">
        <v>27995</v>
      </c>
      <c r="D1731" s="9" t="s">
        <v>9271</v>
      </c>
      <c r="E1731" s="9" t="s">
        <v>17740</v>
      </c>
      <c r="F1731" s="9" t="s">
        <v>17741</v>
      </c>
      <c r="G1731" s="9" t="s">
        <v>17740</v>
      </c>
      <c r="H1731" s="11" t="s">
        <v>9273</v>
      </c>
      <c r="I1731" s="11" t="s">
        <v>9272</v>
      </c>
      <c r="J1731" s="11" t="s">
        <v>9272</v>
      </c>
      <c r="K1731" s="9" t="s">
        <v>19767</v>
      </c>
      <c r="L1731" s="9" t="s">
        <v>17759</v>
      </c>
      <c r="M1731" s="9" t="s">
        <v>17760</v>
      </c>
      <c r="N1731" s="9" t="s">
        <v>17746</v>
      </c>
      <c r="O1731" s="9" t="s">
        <v>18514</v>
      </c>
      <c r="P1731" s="9" t="s">
        <v>17748</v>
      </c>
      <c r="Q1731" s="11" t="s">
        <v>18922</v>
      </c>
      <c r="R1731" s="11" t="s">
        <v>18922</v>
      </c>
      <c r="S1731" s="11" t="s">
        <v>17750</v>
      </c>
    </row>
    <row r="1732" spans="1:19" x14ac:dyDescent="0.2">
      <c r="A1732" s="11" t="s">
        <v>27996</v>
      </c>
      <c r="B1732" s="9" t="s">
        <v>27997</v>
      </c>
      <c r="C1732" s="9" t="s">
        <v>27998</v>
      </c>
      <c r="D1732" s="9" t="s">
        <v>27999</v>
      </c>
      <c r="E1732" s="9" t="s">
        <v>17748</v>
      </c>
      <c r="F1732" s="9" t="s">
        <v>28000</v>
      </c>
      <c r="G1732" s="9" t="s">
        <v>17740</v>
      </c>
      <c r="H1732" s="11" t="s">
        <v>17741</v>
      </c>
      <c r="I1732" s="11" t="s">
        <v>17741</v>
      </c>
      <c r="J1732" s="11" t="s">
        <v>17741</v>
      </c>
      <c r="K1732" s="9" t="s">
        <v>28001</v>
      </c>
      <c r="L1732" s="9" t="s">
        <v>17759</v>
      </c>
      <c r="M1732" s="9" t="s">
        <v>17817</v>
      </c>
      <c r="N1732" s="9" t="s">
        <v>17746</v>
      </c>
      <c r="O1732" s="9" t="s">
        <v>27864</v>
      </c>
      <c r="P1732" s="9" t="s">
        <v>17748</v>
      </c>
      <c r="Q1732" s="11" t="s">
        <v>17900</v>
      </c>
      <c r="R1732" s="11" t="s">
        <v>17900</v>
      </c>
      <c r="S1732" s="11" t="s">
        <v>17750</v>
      </c>
    </row>
    <row r="1733" spans="1:19" x14ac:dyDescent="0.2">
      <c r="A1733" s="11" t="s">
        <v>28002</v>
      </c>
      <c r="B1733" s="9" t="s">
        <v>28003</v>
      </c>
      <c r="C1733" s="9" t="s">
        <v>28004</v>
      </c>
      <c r="D1733" s="9" t="s">
        <v>1530</v>
      </c>
      <c r="E1733" s="9" t="s">
        <v>17740</v>
      </c>
      <c r="F1733" s="9" t="s">
        <v>17741</v>
      </c>
      <c r="G1733" s="9" t="s">
        <v>17740</v>
      </c>
      <c r="H1733" s="11" t="s">
        <v>17741</v>
      </c>
      <c r="I1733" s="11" t="s">
        <v>1531</v>
      </c>
      <c r="J1733" s="11" t="s">
        <v>1531</v>
      </c>
      <c r="K1733" s="9" t="s">
        <v>20386</v>
      </c>
      <c r="L1733" s="9" t="s">
        <v>20359</v>
      </c>
      <c r="M1733" s="9" t="s">
        <v>28005</v>
      </c>
      <c r="N1733" s="9" t="s">
        <v>18042</v>
      </c>
      <c r="O1733" s="9" t="s">
        <v>903</v>
      </c>
      <c r="P1733" s="9" t="s">
        <v>17748</v>
      </c>
      <c r="Q1733" s="11" t="s">
        <v>22275</v>
      </c>
      <c r="R1733" s="11" t="s">
        <v>22275</v>
      </c>
      <c r="S1733" s="11" t="s">
        <v>17750</v>
      </c>
    </row>
    <row r="1734" spans="1:19" x14ac:dyDescent="0.2">
      <c r="A1734" s="11" t="s">
        <v>28006</v>
      </c>
      <c r="B1734" s="9" t="s">
        <v>28007</v>
      </c>
      <c r="C1734" s="9" t="s">
        <v>28008</v>
      </c>
      <c r="D1734" s="9" t="s">
        <v>28007</v>
      </c>
      <c r="E1734" s="9" t="s">
        <v>17740</v>
      </c>
      <c r="F1734" s="9" t="s">
        <v>17741</v>
      </c>
      <c r="G1734" s="9" t="s">
        <v>17740</v>
      </c>
      <c r="H1734" s="11" t="s">
        <v>28009</v>
      </c>
      <c r="I1734" s="11" t="s">
        <v>28010</v>
      </c>
      <c r="J1734" s="11" t="s">
        <v>28010</v>
      </c>
      <c r="K1734" s="9" t="s">
        <v>17865</v>
      </c>
      <c r="L1734" s="9" t="s">
        <v>17744</v>
      </c>
      <c r="M1734" s="9" t="s">
        <v>17760</v>
      </c>
      <c r="N1734" s="9" t="s">
        <v>17746</v>
      </c>
      <c r="O1734" s="9" t="s">
        <v>3734</v>
      </c>
      <c r="P1734" s="9" t="s">
        <v>17748</v>
      </c>
      <c r="Q1734" s="11" t="s">
        <v>18952</v>
      </c>
      <c r="R1734" s="11" t="s">
        <v>18952</v>
      </c>
      <c r="S1734" s="11" t="s">
        <v>17750</v>
      </c>
    </row>
    <row r="1735" spans="1:19" x14ac:dyDescent="0.2">
      <c r="A1735" s="11" t="s">
        <v>28011</v>
      </c>
      <c r="B1735" s="9" t="s">
        <v>6358</v>
      </c>
      <c r="C1735" s="9" t="s">
        <v>28012</v>
      </c>
      <c r="D1735" s="9" t="s">
        <v>6358</v>
      </c>
      <c r="E1735" s="9" t="s">
        <v>17740</v>
      </c>
      <c r="F1735" s="9" t="s">
        <v>28013</v>
      </c>
      <c r="G1735" s="9" t="s">
        <v>17740</v>
      </c>
      <c r="H1735" s="11" t="s">
        <v>6360</v>
      </c>
      <c r="I1735" s="11" t="s">
        <v>6359</v>
      </c>
      <c r="J1735" s="11" t="s">
        <v>6359</v>
      </c>
      <c r="K1735" s="9" t="s">
        <v>940</v>
      </c>
      <c r="L1735" s="9" t="s">
        <v>17759</v>
      </c>
      <c r="M1735" s="9" t="s">
        <v>21619</v>
      </c>
      <c r="N1735" s="9" t="s">
        <v>17746</v>
      </c>
      <c r="O1735" s="9" t="s">
        <v>1535</v>
      </c>
      <c r="P1735" s="9" t="s">
        <v>17748</v>
      </c>
      <c r="Q1735" s="11" t="s">
        <v>17808</v>
      </c>
      <c r="R1735" s="11" t="s">
        <v>17808</v>
      </c>
      <c r="S1735" s="11" t="s">
        <v>17750</v>
      </c>
    </row>
    <row r="1736" spans="1:19" x14ac:dyDescent="0.2">
      <c r="A1736" s="11" t="s">
        <v>28014</v>
      </c>
      <c r="B1736" s="9" t="s">
        <v>28015</v>
      </c>
      <c r="C1736" s="9" t="s">
        <v>28016</v>
      </c>
      <c r="D1736" s="9" t="s">
        <v>28017</v>
      </c>
      <c r="E1736" s="9" t="s">
        <v>17740</v>
      </c>
      <c r="F1736" s="9" t="s">
        <v>17741</v>
      </c>
      <c r="G1736" s="9" t="s">
        <v>17740</v>
      </c>
      <c r="H1736" s="11" t="s">
        <v>12739</v>
      </c>
      <c r="I1736" s="11" t="s">
        <v>12738</v>
      </c>
      <c r="J1736" s="11" t="s">
        <v>12738</v>
      </c>
      <c r="K1736" s="9" t="s">
        <v>18122</v>
      </c>
      <c r="L1736" s="9" t="s">
        <v>18123</v>
      </c>
      <c r="M1736" s="9" t="s">
        <v>17741</v>
      </c>
      <c r="N1736" s="9" t="s">
        <v>17746</v>
      </c>
      <c r="O1736" s="9" t="s">
        <v>1535</v>
      </c>
      <c r="P1736" s="9" t="s">
        <v>17748</v>
      </c>
      <c r="Q1736" s="11" t="s">
        <v>18356</v>
      </c>
      <c r="R1736" s="11" t="s">
        <v>18356</v>
      </c>
      <c r="S1736" s="11" t="s">
        <v>17750</v>
      </c>
    </row>
    <row r="1737" spans="1:19" x14ac:dyDescent="0.2">
      <c r="A1737" s="11" t="s">
        <v>28018</v>
      </c>
      <c r="B1737" s="9" t="s">
        <v>28019</v>
      </c>
      <c r="C1737" s="9" t="s">
        <v>28020</v>
      </c>
      <c r="D1737" s="9" t="s">
        <v>28021</v>
      </c>
      <c r="E1737" s="9" t="s">
        <v>17748</v>
      </c>
      <c r="F1737" s="9" t="s">
        <v>28022</v>
      </c>
      <c r="G1737" s="9" t="s">
        <v>17740</v>
      </c>
      <c r="H1737" s="11" t="s">
        <v>6131</v>
      </c>
      <c r="I1737" s="11" t="s">
        <v>6130</v>
      </c>
      <c r="J1737" s="11" t="s">
        <v>6130</v>
      </c>
      <c r="K1737" s="9" t="s">
        <v>6132</v>
      </c>
      <c r="L1737" s="9" t="s">
        <v>18242</v>
      </c>
      <c r="M1737" s="9" t="s">
        <v>28023</v>
      </c>
      <c r="N1737" s="9" t="s">
        <v>17746</v>
      </c>
      <c r="O1737" s="9" t="s">
        <v>1535</v>
      </c>
      <c r="P1737" s="9" t="s">
        <v>17748</v>
      </c>
      <c r="Q1737" s="11" t="s">
        <v>17792</v>
      </c>
      <c r="R1737" s="11" t="s">
        <v>17792</v>
      </c>
      <c r="S1737" s="11" t="s">
        <v>17750</v>
      </c>
    </row>
    <row r="1738" spans="1:19" x14ac:dyDescent="0.2">
      <c r="A1738" s="11" t="s">
        <v>28024</v>
      </c>
      <c r="B1738" s="9" t="s">
        <v>28025</v>
      </c>
      <c r="C1738" s="9" t="s">
        <v>28026</v>
      </c>
      <c r="D1738" s="9" t="s">
        <v>28027</v>
      </c>
      <c r="E1738" s="9" t="s">
        <v>17740</v>
      </c>
      <c r="F1738" s="9" t="s">
        <v>17741</v>
      </c>
      <c r="G1738" s="9" t="s">
        <v>17740</v>
      </c>
      <c r="H1738" s="11" t="s">
        <v>7623</v>
      </c>
      <c r="I1738" s="11" t="s">
        <v>7622</v>
      </c>
      <c r="J1738" s="11" t="s">
        <v>7622</v>
      </c>
      <c r="K1738" s="9" t="s">
        <v>940</v>
      </c>
      <c r="L1738" s="9" t="s">
        <v>17759</v>
      </c>
      <c r="M1738" s="9" t="s">
        <v>17760</v>
      </c>
      <c r="N1738" s="9" t="s">
        <v>17746</v>
      </c>
      <c r="O1738" s="9" t="s">
        <v>28028</v>
      </c>
      <c r="P1738" s="9" t="s">
        <v>17748</v>
      </c>
      <c r="Q1738" s="11" t="s">
        <v>17749</v>
      </c>
      <c r="R1738" s="11" t="s">
        <v>17749</v>
      </c>
      <c r="S1738" s="11" t="s">
        <v>17750</v>
      </c>
    </row>
    <row r="1739" spans="1:19" x14ac:dyDescent="0.2">
      <c r="A1739" s="11" t="s">
        <v>28029</v>
      </c>
      <c r="B1739" s="9" t="s">
        <v>28030</v>
      </c>
      <c r="C1739" s="9" t="s">
        <v>28031</v>
      </c>
      <c r="D1739" s="9" t="s">
        <v>28032</v>
      </c>
      <c r="E1739" s="9" t="s">
        <v>17740</v>
      </c>
      <c r="F1739" s="9" t="s">
        <v>17741</v>
      </c>
      <c r="G1739" s="9" t="s">
        <v>17740</v>
      </c>
      <c r="H1739" s="11" t="s">
        <v>8465</v>
      </c>
      <c r="I1739" s="11" t="s">
        <v>8464</v>
      </c>
      <c r="J1739" s="11" t="s">
        <v>8464</v>
      </c>
      <c r="K1739" s="9" t="s">
        <v>28033</v>
      </c>
      <c r="L1739" s="9" t="s">
        <v>17759</v>
      </c>
      <c r="M1739" s="9" t="s">
        <v>17769</v>
      </c>
      <c r="N1739" s="9" t="s">
        <v>17746</v>
      </c>
      <c r="O1739" s="9" t="s">
        <v>1535</v>
      </c>
      <c r="P1739" s="9" t="s">
        <v>17748</v>
      </c>
      <c r="Q1739" s="11" t="s">
        <v>19361</v>
      </c>
      <c r="R1739" s="11" t="s">
        <v>19361</v>
      </c>
      <c r="S1739" s="11" t="s">
        <v>17750</v>
      </c>
    </row>
    <row r="1740" spans="1:19" x14ac:dyDescent="0.2">
      <c r="A1740" s="11" t="s">
        <v>28034</v>
      </c>
      <c r="B1740" s="9" t="s">
        <v>28035</v>
      </c>
      <c r="C1740" s="9" t="s">
        <v>28036</v>
      </c>
      <c r="D1740" s="9" t="s">
        <v>28037</v>
      </c>
      <c r="E1740" s="9" t="s">
        <v>17740</v>
      </c>
      <c r="F1740" s="9" t="s">
        <v>28038</v>
      </c>
      <c r="G1740" s="9" t="s">
        <v>17740</v>
      </c>
      <c r="H1740" s="11" t="s">
        <v>5632</v>
      </c>
      <c r="I1740" s="11" t="s">
        <v>5631</v>
      </c>
      <c r="J1740" s="11" t="s">
        <v>5631</v>
      </c>
      <c r="K1740" s="9" t="s">
        <v>18576</v>
      </c>
      <c r="L1740" s="9" t="s">
        <v>18577</v>
      </c>
      <c r="M1740" s="9" t="s">
        <v>17760</v>
      </c>
      <c r="N1740" s="9" t="s">
        <v>17746</v>
      </c>
      <c r="O1740" s="9" t="s">
        <v>1535</v>
      </c>
      <c r="P1740" s="9" t="s">
        <v>17748</v>
      </c>
      <c r="Q1740" s="11" t="s">
        <v>18080</v>
      </c>
      <c r="R1740" s="11" t="s">
        <v>18080</v>
      </c>
      <c r="S1740" s="11" t="s">
        <v>17750</v>
      </c>
    </row>
    <row r="1741" spans="1:19" x14ac:dyDescent="0.2">
      <c r="A1741" s="11" t="s">
        <v>28039</v>
      </c>
      <c r="B1741" s="9" t="s">
        <v>28040</v>
      </c>
      <c r="C1741" s="9" t="s">
        <v>28041</v>
      </c>
      <c r="D1741" s="9" t="s">
        <v>28042</v>
      </c>
      <c r="E1741" s="9" t="s">
        <v>17740</v>
      </c>
      <c r="F1741" s="9" t="s">
        <v>28043</v>
      </c>
      <c r="G1741" s="9" t="s">
        <v>17740</v>
      </c>
      <c r="H1741" s="11" t="s">
        <v>28044</v>
      </c>
      <c r="I1741" s="11" t="s">
        <v>1540</v>
      </c>
      <c r="J1741" s="11" t="s">
        <v>1540</v>
      </c>
      <c r="K1741" s="9" t="s">
        <v>291</v>
      </c>
      <c r="L1741" s="9" t="s">
        <v>17744</v>
      </c>
      <c r="M1741" s="9" t="s">
        <v>17760</v>
      </c>
      <c r="N1741" s="9" t="s">
        <v>17746</v>
      </c>
      <c r="O1741" s="9" t="s">
        <v>1535</v>
      </c>
      <c r="P1741" s="9" t="s">
        <v>17748</v>
      </c>
      <c r="Q1741" s="11" t="s">
        <v>18341</v>
      </c>
      <c r="R1741" s="11" t="s">
        <v>18341</v>
      </c>
      <c r="S1741" s="11" t="s">
        <v>17750</v>
      </c>
    </row>
    <row r="1742" spans="1:19" x14ac:dyDescent="0.2">
      <c r="A1742" s="11" t="s">
        <v>28045</v>
      </c>
      <c r="B1742" s="9" t="s">
        <v>28046</v>
      </c>
      <c r="C1742" s="9" t="s">
        <v>28047</v>
      </c>
      <c r="D1742" s="9" t="s">
        <v>28048</v>
      </c>
      <c r="E1742" s="9" t="s">
        <v>17740</v>
      </c>
      <c r="F1742" s="9" t="s">
        <v>28049</v>
      </c>
      <c r="G1742" s="9" t="s">
        <v>17740</v>
      </c>
      <c r="H1742" s="11" t="s">
        <v>28050</v>
      </c>
      <c r="I1742" s="11" t="s">
        <v>1560</v>
      </c>
      <c r="J1742" s="11" t="s">
        <v>1560</v>
      </c>
      <c r="K1742" s="9" t="s">
        <v>1538</v>
      </c>
      <c r="L1742" s="9" t="s">
        <v>17759</v>
      </c>
      <c r="M1742" s="9" t="s">
        <v>21309</v>
      </c>
      <c r="N1742" s="9" t="s">
        <v>17746</v>
      </c>
      <c r="O1742" s="9" t="s">
        <v>1535</v>
      </c>
      <c r="P1742" s="9" t="s">
        <v>17748</v>
      </c>
      <c r="Q1742" s="11" t="s">
        <v>19222</v>
      </c>
      <c r="R1742" s="11" t="s">
        <v>19222</v>
      </c>
      <c r="S1742" s="11" t="s">
        <v>17750</v>
      </c>
    </row>
    <row r="1743" spans="1:19" x14ac:dyDescent="0.2">
      <c r="A1743" s="11" t="s">
        <v>28051</v>
      </c>
      <c r="B1743" s="9" t="s">
        <v>28052</v>
      </c>
      <c r="C1743" s="9" t="s">
        <v>28053</v>
      </c>
      <c r="D1743" s="9" t="s">
        <v>28054</v>
      </c>
      <c r="E1743" s="9" t="s">
        <v>17748</v>
      </c>
      <c r="F1743" s="9" t="s">
        <v>28055</v>
      </c>
      <c r="G1743" s="9" t="s">
        <v>17740</v>
      </c>
      <c r="H1743" s="11" t="s">
        <v>10890</v>
      </c>
      <c r="I1743" s="11" t="s">
        <v>10889</v>
      </c>
      <c r="J1743" s="11" t="s">
        <v>10889</v>
      </c>
      <c r="K1743" s="9" t="s">
        <v>20956</v>
      </c>
      <c r="L1743" s="9" t="s">
        <v>20976</v>
      </c>
      <c r="M1743" s="9" t="s">
        <v>17778</v>
      </c>
      <c r="N1743" s="9" t="s">
        <v>17746</v>
      </c>
      <c r="O1743" s="9" t="s">
        <v>28056</v>
      </c>
      <c r="P1743" s="9" t="s">
        <v>17748</v>
      </c>
      <c r="Q1743" s="11" t="s">
        <v>17762</v>
      </c>
      <c r="R1743" s="11" t="s">
        <v>17762</v>
      </c>
      <c r="S1743" s="11" t="s">
        <v>17750</v>
      </c>
    </row>
    <row r="1744" spans="1:19" x14ac:dyDescent="0.2">
      <c r="A1744" s="11" t="s">
        <v>28057</v>
      </c>
      <c r="B1744" s="9" t="s">
        <v>28058</v>
      </c>
      <c r="C1744" s="9" t="s">
        <v>28059</v>
      </c>
      <c r="D1744" s="9" t="s">
        <v>28060</v>
      </c>
      <c r="E1744" s="9" t="s">
        <v>17740</v>
      </c>
      <c r="F1744" s="9" t="s">
        <v>28061</v>
      </c>
      <c r="G1744" s="9" t="s">
        <v>17740</v>
      </c>
      <c r="H1744" s="11" t="s">
        <v>6251</v>
      </c>
      <c r="I1744" s="11" t="s">
        <v>6250</v>
      </c>
      <c r="J1744" s="11" t="s">
        <v>6250</v>
      </c>
      <c r="K1744" s="9" t="s">
        <v>28062</v>
      </c>
      <c r="L1744" s="9" t="s">
        <v>17744</v>
      </c>
      <c r="M1744" s="9" t="s">
        <v>17760</v>
      </c>
      <c r="N1744" s="9" t="s">
        <v>17746</v>
      </c>
      <c r="O1744" s="9" t="s">
        <v>23424</v>
      </c>
      <c r="P1744" s="9" t="s">
        <v>17748</v>
      </c>
      <c r="Q1744" s="11" t="s">
        <v>17808</v>
      </c>
      <c r="R1744" s="11" t="s">
        <v>17808</v>
      </c>
      <c r="S1744" s="11" t="s">
        <v>17750</v>
      </c>
    </row>
    <row r="1745" spans="1:19" x14ac:dyDescent="0.2">
      <c r="A1745" s="11" t="s">
        <v>28063</v>
      </c>
      <c r="B1745" s="9" t="s">
        <v>28064</v>
      </c>
      <c r="C1745" s="9" t="s">
        <v>28065</v>
      </c>
      <c r="D1745" s="9" t="s">
        <v>28066</v>
      </c>
      <c r="E1745" s="9" t="s">
        <v>17740</v>
      </c>
      <c r="F1745" s="9" t="s">
        <v>28067</v>
      </c>
      <c r="G1745" s="9" t="s">
        <v>17740</v>
      </c>
      <c r="H1745" s="11" t="s">
        <v>8354</v>
      </c>
      <c r="I1745" s="11" t="s">
        <v>8353</v>
      </c>
      <c r="J1745" s="11" t="s">
        <v>8353</v>
      </c>
      <c r="K1745" s="9" t="s">
        <v>17741</v>
      </c>
      <c r="L1745" s="9" t="s">
        <v>18439</v>
      </c>
      <c r="M1745" s="9" t="s">
        <v>19168</v>
      </c>
      <c r="N1745" s="9" t="s">
        <v>18171</v>
      </c>
      <c r="O1745" s="9" t="s">
        <v>28068</v>
      </c>
      <c r="P1745" s="9" t="s">
        <v>17748</v>
      </c>
      <c r="Q1745" s="11" t="s">
        <v>18356</v>
      </c>
      <c r="R1745" s="11" t="s">
        <v>18356</v>
      </c>
      <c r="S1745" s="11" t="s">
        <v>17750</v>
      </c>
    </row>
    <row r="1746" spans="1:19" x14ac:dyDescent="0.2">
      <c r="A1746" s="11" t="s">
        <v>28069</v>
      </c>
      <c r="B1746" s="9" t="s">
        <v>1535</v>
      </c>
      <c r="C1746" s="9" t="s">
        <v>28070</v>
      </c>
      <c r="D1746" s="9" t="s">
        <v>1535</v>
      </c>
      <c r="E1746" s="9" t="s">
        <v>17740</v>
      </c>
      <c r="F1746" s="9" t="s">
        <v>28071</v>
      </c>
      <c r="G1746" s="9" t="s">
        <v>17740</v>
      </c>
      <c r="H1746" s="11" t="s">
        <v>1537</v>
      </c>
      <c r="I1746" s="11" t="s">
        <v>1536</v>
      </c>
      <c r="J1746" s="11" t="s">
        <v>1536</v>
      </c>
      <c r="K1746" s="9" t="s">
        <v>1538</v>
      </c>
      <c r="L1746" s="9" t="s">
        <v>17759</v>
      </c>
      <c r="M1746" s="9" t="s">
        <v>17817</v>
      </c>
      <c r="N1746" s="9" t="s">
        <v>17746</v>
      </c>
      <c r="O1746" s="9" t="s">
        <v>1535</v>
      </c>
      <c r="P1746" s="9" t="s">
        <v>17748</v>
      </c>
      <c r="Q1746" s="11" t="s">
        <v>23601</v>
      </c>
      <c r="R1746" s="11" t="s">
        <v>23601</v>
      </c>
      <c r="S1746" s="11" t="s">
        <v>17750</v>
      </c>
    </row>
    <row r="1747" spans="1:19" x14ac:dyDescent="0.2">
      <c r="A1747" s="11" t="s">
        <v>28072</v>
      </c>
      <c r="B1747" s="9" t="s">
        <v>28073</v>
      </c>
      <c r="C1747" s="9" t="s">
        <v>28074</v>
      </c>
      <c r="D1747" s="9" t="s">
        <v>28075</v>
      </c>
      <c r="E1747" s="9" t="s">
        <v>17740</v>
      </c>
      <c r="F1747" s="9" t="s">
        <v>28076</v>
      </c>
      <c r="G1747" s="9" t="s">
        <v>17740</v>
      </c>
      <c r="H1747" s="11" t="s">
        <v>4529</v>
      </c>
      <c r="I1747" s="11" t="s">
        <v>4528</v>
      </c>
      <c r="J1747" s="11" t="s">
        <v>4528</v>
      </c>
      <c r="K1747" s="9" t="s">
        <v>303</v>
      </c>
      <c r="L1747" s="9" t="s">
        <v>17759</v>
      </c>
      <c r="M1747" s="9" t="s">
        <v>17760</v>
      </c>
      <c r="N1747" s="9" t="s">
        <v>17746</v>
      </c>
      <c r="O1747" s="9" t="s">
        <v>21568</v>
      </c>
      <c r="P1747" s="9" t="s">
        <v>17748</v>
      </c>
      <c r="Q1747" s="11" t="s">
        <v>18364</v>
      </c>
      <c r="R1747" s="11" t="s">
        <v>18364</v>
      </c>
      <c r="S1747" s="11" t="s">
        <v>17750</v>
      </c>
    </row>
    <row r="1748" spans="1:19" x14ac:dyDescent="0.2">
      <c r="A1748" s="11" t="s">
        <v>28077</v>
      </c>
      <c r="B1748" s="9" t="s">
        <v>1460</v>
      </c>
      <c r="C1748" s="9" t="s">
        <v>28078</v>
      </c>
      <c r="D1748" s="9" t="s">
        <v>28079</v>
      </c>
      <c r="E1748" s="9" t="s">
        <v>17740</v>
      </c>
      <c r="F1748" s="9" t="s">
        <v>17741</v>
      </c>
      <c r="G1748" s="9" t="s">
        <v>17740</v>
      </c>
      <c r="H1748" s="11" t="s">
        <v>17741</v>
      </c>
      <c r="I1748" s="11" t="s">
        <v>1461</v>
      </c>
      <c r="J1748" s="11" t="s">
        <v>1461</v>
      </c>
      <c r="K1748" s="9" t="s">
        <v>28080</v>
      </c>
      <c r="L1748" s="9" t="s">
        <v>17967</v>
      </c>
      <c r="M1748" s="9" t="s">
        <v>18797</v>
      </c>
      <c r="N1748" s="9" t="s">
        <v>17746</v>
      </c>
      <c r="O1748" s="9" t="s">
        <v>1535</v>
      </c>
      <c r="P1748" s="9" t="s">
        <v>17748</v>
      </c>
      <c r="Q1748" s="11" t="s">
        <v>17931</v>
      </c>
      <c r="R1748" s="11" t="s">
        <v>17931</v>
      </c>
      <c r="S1748" s="11" t="s">
        <v>17750</v>
      </c>
    </row>
    <row r="1749" spans="1:19" x14ac:dyDescent="0.2">
      <c r="A1749" s="11" t="s">
        <v>28081</v>
      </c>
      <c r="B1749" s="9" t="s">
        <v>1532</v>
      </c>
      <c r="C1749" s="9" t="s">
        <v>28082</v>
      </c>
      <c r="D1749" s="9" t="s">
        <v>1532</v>
      </c>
      <c r="E1749" s="9" t="s">
        <v>17740</v>
      </c>
      <c r="F1749" s="9" t="s">
        <v>17741</v>
      </c>
      <c r="G1749" s="9" t="s">
        <v>17740</v>
      </c>
      <c r="H1749" s="11" t="s">
        <v>1534</v>
      </c>
      <c r="I1749" s="11" t="s">
        <v>1533</v>
      </c>
      <c r="J1749" s="11" t="s">
        <v>1533</v>
      </c>
      <c r="K1749" s="9" t="s">
        <v>412</v>
      </c>
      <c r="L1749" s="9" t="s">
        <v>18158</v>
      </c>
      <c r="M1749" s="9" t="s">
        <v>18330</v>
      </c>
      <c r="N1749" s="9" t="s">
        <v>17746</v>
      </c>
      <c r="O1749" s="9" t="s">
        <v>28083</v>
      </c>
      <c r="P1749" s="9" t="s">
        <v>17748</v>
      </c>
      <c r="Q1749" s="11" t="s">
        <v>17867</v>
      </c>
      <c r="R1749" s="11" t="s">
        <v>17867</v>
      </c>
      <c r="S1749" s="11" t="s">
        <v>17750</v>
      </c>
    </row>
    <row r="1750" spans="1:19" x14ac:dyDescent="0.2">
      <c r="A1750" s="11" t="s">
        <v>28084</v>
      </c>
      <c r="B1750" s="9" t="s">
        <v>28085</v>
      </c>
      <c r="C1750" s="9" t="s">
        <v>28086</v>
      </c>
      <c r="D1750" s="9" t="s">
        <v>28087</v>
      </c>
      <c r="E1750" s="9" t="s">
        <v>17740</v>
      </c>
      <c r="F1750" s="9" t="s">
        <v>28088</v>
      </c>
      <c r="G1750" s="9" t="s">
        <v>17740</v>
      </c>
      <c r="H1750" s="11" t="s">
        <v>4387</v>
      </c>
      <c r="I1750" s="11" t="s">
        <v>4386</v>
      </c>
      <c r="J1750" s="11" t="s">
        <v>4386</v>
      </c>
      <c r="K1750" s="9" t="s">
        <v>18438</v>
      </c>
      <c r="L1750" s="9" t="s">
        <v>18439</v>
      </c>
      <c r="M1750" s="9" t="s">
        <v>19168</v>
      </c>
      <c r="N1750" s="9" t="s">
        <v>18171</v>
      </c>
      <c r="O1750" s="9" t="s">
        <v>25405</v>
      </c>
      <c r="P1750" s="9" t="s">
        <v>17748</v>
      </c>
      <c r="Q1750" s="11" t="s">
        <v>18341</v>
      </c>
      <c r="R1750" s="11" t="s">
        <v>18341</v>
      </c>
      <c r="S1750" s="11" t="s">
        <v>17750</v>
      </c>
    </row>
    <row r="1751" spans="1:19" x14ac:dyDescent="0.2">
      <c r="A1751" s="11" t="s">
        <v>28089</v>
      </c>
      <c r="B1751" s="9" t="s">
        <v>28090</v>
      </c>
      <c r="C1751" s="9" t="s">
        <v>28091</v>
      </c>
      <c r="D1751" s="9" t="s">
        <v>28092</v>
      </c>
      <c r="E1751" s="9" t="s">
        <v>17740</v>
      </c>
      <c r="F1751" s="9" t="s">
        <v>17741</v>
      </c>
      <c r="G1751" s="9" t="s">
        <v>17740</v>
      </c>
      <c r="H1751" s="11" t="s">
        <v>28093</v>
      </c>
      <c r="I1751" s="11" t="s">
        <v>28094</v>
      </c>
      <c r="J1751" s="11" t="s">
        <v>28094</v>
      </c>
      <c r="K1751" s="9" t="s">
        <v>18438</v>
      </c>
      <c r="L1751" s="9" t="s">
        <v>18439</v>
      </c>
      <c r="M1751" s="9" t="s">
        <v>17769</v>
      </c>
      <c r="N1751" s="9" t="s">
        <v>18171</v>
      </c>
      <c r="O1751" s="9" t="s">
        <v>28095</v>
      </c>
      <c r="P1751" s="9" t="s">
        <v>17748</v>
      </c>
      <c r="Q1751" s="11" t="s">
        <v>18080</v>
      </c>
      <c r="R1751" s="11" t="s">
        <v>18080</v>
      </c>
      <c r="S1751" s="11" t="s">
        <v>17750</v>
      </c>
    </row>
    <row r="1752" spans="1:19" x14ac:dyDescent="0.2">
      <c r="A1752" s="11" t="s">
        <v>28096</v>
      </c>
      <c r="B1752" s="9" t="s">
        <v>28097</v>
      </c>
      <c r="C1752" s="9" t="s">
        <v>28098</v>
      </c>
      <c r="D1752" s="9" t="s">
        <v>28099</v>
      </c>
      <c r="E1752" s="9" t="s">
        <v>17740</v>
      </c>
      <c r="F1752" s="9" t="s">
        <v>17741</v>
      </c>
      <c r="G1752" s="9" t="s">
        <v>17740</v>
      </c>
      <c r="H1752" s="11" t="s">
        <v>28100</v>
      </c>
      <c r="I1752" s="11" t="s">
        <v>28101</v>
      </c>
      <c r="J1752" s="11" t="s">
        <v>28101</v>
      </c>
      <c r="K1752" s="9" t="s">
        <v>18438</v>
      </c>
      <c r="L1752" s="9" t="s">
        <v>18439</v>
      </c>
      <c r="M1752" s="9" t="s">
        <v>17778</v>
      </c>
      <c r="N1752" s="9" t="s">
        <v>18171</v>
      </c>
      <c r="O1752" s="9" t="s">
        <v>17761</v>
      </c>
      <c r="P1752" s="9" t="s">
        <v>17748</v>
      </c>
      <c r="Q1752" s="11" t="s">
        <v>18678</v>
      </c>
      <c r="R1752" s="11" t="s">
        <v>18678</v>
      </c>
      <c r="S1752" s="11" t="s">
        <v>17750</v>
      </c>
    </row>
    <row r="1753" spans="1:19" x14ac:dyDescent="0.2">
      <c r="A1753" s="11" t="s">
        <v>28102</v>
      </c>
      <c r="B1753" s="9" t="s">
        <v>28103</v>
      </c>
      <c r="C1753" s="9" t="s">
        <v>28104</v>
      </c>
      <c r="D1753" s="9" t="s">
        <v>28105</v>
      </c>
      <c r="E1753" s="9" t="s">
        <v>17740</v>
      </c>
      <c r="F1753" s="9" t="s">
        <v>17741</v>
      </c>
      <c r="G1753" s="9" t="s">
        <v>17740</v>
      </c>
      <c r="H1753" s="11" t="s">
        <v>1546</v>
      </c>
      <c r="I1753" s="11" t="s">
        <v>1545</v>
      </c>
      <c r="J1753" s="11" t="s">
        <v>1545</v>
      </c>
      <c r="K1753" s="9" t="s">
        <v>18661</v>
      </c>
      <c r="L1753" s="9" t="s">
        <v>18001</v>
      </c>
      <c r="M1753" s="9" t="s">
        <v>18177</v>
      </c>
      <c r="N1753" s="9" t="s">
        <v>17746</v>
      </c>
      <c r="O1753" s="9" t="s">
        <v>19391</v>
      </c>
      <c r="P1753" s="9" t="s">
        <v>17748</v>
      </c>
      <c r="Q1753" s="11" t="s">
        <v>19335</v>
      </c>
      <c r="R1753" s="11" t="s">
        <v>19335</v>
      </c>
      <c r="S1753" s="11" t="s">
        <v>17750</v>
      </c>
    </row>
    <row r="1754" spans="1:19" x14ac:dyDescent="0.2">
      <c r="A1754" s="11" t="s">
        <v>28106</v>
      </c>
      <c r="B1754" s="9" t="s">
        <v>28107</v>
      </c>
      <c r="C1754" s="9" t="s">
        <v>28108</v>
      </c>
      <c r="D1754" s="9" t="s">
        <v>28109</v>
      </c>
      <c r="E1754" s="9" t="s">
        <v>17740</v>
      </c>
      <c r="F1754" s="9" t="s">
        <v>28110</v>
      </c>
      <c r="G1754" s="9" t="s">
        <v>17740</v>
      </c>
      <c r="H1754" s="11" t="s">
        <v>4437</v>
      </c>
      <c r="I1754" s="11" t="s">
        <v>4436</v>
      </c>
      <c r="J1754" s="11" t="s">
        <v>4436</v>
      </c>
      <c r="K1754" s="9" t="s">
        <v>19094</v>
      </c>
      <c r="L1754" s="9" t="s">
        <v>17759</v>
      </c>
      <c r="M1754" s="9" t="s">
        <v>18177</v>
      </c>
      <c r="N1754" s="9" t="s">
        <v>17746</v>
      </c>
      <c r="O1754" s="9" t="s">
        <v>28111</v>
      </c>
      <c r="P1754" s="9" t="s">
        <v>17748</v>
      </c>
      <c r="Q1754" s="11" t="s">
        <v>18364</v>
      </c>
      <c r="R1754" s="11" t="s">
        <v>18364</v>
      </c>
      <c r="S1754" s="11" t="s">
        <v>17750</v>
      </c>
    </row>
    <row r="1755" spans="1:19" x14ac:dyDescent="0.2">
      <c r="A1755" s="11" t="s">
        <v>28112</v>
      </c>
      <c r="B1755" s="9" t="s">
        <v>28113</v>
      </c>
      <c r="C1755" s="9" t="s">
        <v>28114</v>
      </c>
      <c r="D1755" s="9" t="s">
        <v>28115</v>
      </c>
      <c r="E1755" s="9" t="s">
        <v>17740</v>
      </c>
      <c r="F1755" s="9" t="s">
        <v>17741</v>
      </c>
      <c r="G1755" s="9" t="s">
        <v>17740</v>
      </c>
      <c r="H1755" s="11" t="s">
        <v>28116</v>
      </c>
      <c r="I1755" s="11" t="s">
        <v>28117</v>
      </c>
      <c r="J1755" s="11" t="s">
        <v>28117</v>
      </c>
      <c r="K1755" s="9" t="s">
        <v>28118</v>
      </c>
      <c r="L1755" s="9" t="s">
        <v>17759</v>
      </c>
      <c r="M1755" s="9" t="s">
        <v>17769</v>
      </c>
      <c r="N1755" s="9" t="s">
        <v>17746</v>
      </c>
      <c r="O1755" s="9" t="s">
        <v>19859</v>
      </c>
      <c r="P1755" s="9" t="s">
        <v>17748</v>
      </c>
      <c r="Q1755" s="11" t="s">
        <v>19082</v>
      </c>
      <c r="R1755" s="11" t="s">
        <v>19082</v>
      </c>
      <c r="S1755" s="11" t="s">
        <v>17750</v>
      </c>
    </row>
    <row r="1756" spans="1:19" x14ac:dyDescent="0.2">
      <c r="A1756" s="11" t="s">
        <v>28119</v>
      </c>
      <c r="B1756" s="9" t="s">
        <v>28120</v>
      </c>
      <c r="C1756" s="9" t="s">
        <v>28121</v>
      </c>
      <c r="D1756" s="9" t="s">
        <v>28122</v>
      </c>
      <c r="E1756" s="9" t="s">
        <v>17740</v>
      </c>
      <c r="F1756" s="9" t="s">
        <v>28123</v>
      </c>
      <c r="G1756" s="9" t="s">
        <v>17740</v>
      </c>
      <c r="H1756" s="11" t="s">
        <v>28124</v>
      </c>
      <c r="I1756" s="11" t="s">
        <v>28125</v>
      </c>
      <c r="J1756" s="11" t="s">
        <v>28125</v>
      </c>
      <c r="K1756" s="9" t="s">
        <v>18876</v>
      </c>
      <c r="L1756" s="9" t="s">
        <v>18001</v>
      </c>
      <c r="M1756" s="9" t="s">
        <v>17760</v>
      </c>
      <c r="N1756" s="9" t="s">
        <v>17746</v>
      </c>
      <c r="O1756" s="9" t="s">
        <v>28126</v>
      </c>
      <c r="P1756" s="9" t="s">
        <v>17748</v>
      </c>
      <c r="Q1756" s="11" t="s">
        <v>18960</v>
      </c>
      <c r="R1756" s="11" t="s">
        <v>18960</v>
      </c>
      <c r="S1756" s="11" t="s">
        <v>17750</v>
      </c>
    </row>
    <row r="1757" spans="1:19" x14ac:dyDescent="0.2">
      <c r="A1757" s="11" t="s">
        <v>28127</v>
      </c>
      <c r="B1757" s="9" t="s">
        <v>28128</v>
      </c>
      <c r="C1757" s="9" t="s">
        <v>28129</v>
      </c>
      <c r="D1757" s="9" t="s">
        <v>28130</v>
      </c>
      <c r="E1757" s="9" t="s">
        <v>17740</v>
      </c>
      <c r="F1757" s="9" t="s">
        <v>17741</v>
      </c>
      <c r="G1757" s="9" t="s">
        <v>17740</v>
      </c>
      <c r="H1757" s="11" t="s">
        <v>9656</v>
      </c>
      <c r="I1757" s="11" t="s">
        <v>17741</v>
      </c>
      <c r="J1757" s="11" t="s">
        <v>9656</v>
      </c>
      <c r="K1757" s="9" t="s">
        <v>18570</v>
      </c>
      <c r="L1757" s="9" t="s">
        <v>17744</v>
      </c>
      <c r="M1757" s="9" t="s">
        <v>17741</v>
      </c>
      <c r="N1757" s="9" t="s">
        <v>17746</v>
      </c>
      <c r="O1757" s="9" t="s">
        <v>20453</v>
      </c>
      <c r="P1757" s="9" t="s">
        <v>17748</v>
      </c>
      <c r="Q1757" s="11" t="s">
        <v>17994</v>
      </c>
      <c r="R1757" s="11" t="s">
        <v>17994</v>
      </c>
      <c r="S1757" s="11" t="s">
        <v>17750</v>
      </c>
    </row>
    <row r="1758" spans="1:19" x14ac:dyDescent="0.2">
      <c r="A1758" s="11" t="s">
        <v>28131</v>
      </c>
      <c r="B1758" s="9" t="s">
        <v>28132</v>
      </c>
      <c r="C1758" s="9" t="s">
        <v>28133</v>
      </c>
      <c r="D1758" s="9" t="s">
        <v>28134</v>
      </c>
      <c r="E1758" s="9" t="s">
        <v>17740</v>
      </c>
      <c r="F1758" s="9" t="s">
        <v>17741</v>
      </c>
      <c r="G1758" s="9" t="s">
        <v>17740</v>
      </c>
      <c r="H1758" s="11" t="s">
        <v>7192</v>
      </c>
      <c r="I1758" s="11" t="s">
        <v>7191</v>
      </c>
      <c r="J1758" s="11" t="s">
        <v>7191</v>
      </c>
      <c r="K1758" s="9" t="s">
        <v>1808</v>
      </c>
      <c r="L1758" s="9" t="s">
        <v>18242</v>
      </c>
      <c r="M1758" s="9" t="s">
        <v>20344</v>
      </c>
      <c r="N1758" s="9" t="s">
        <v>17746</v>
      </c>
      <c r="O1758" s="9" t="s">
        <v>28135</v>
      </c>
      <c r="P1758" s="9" t="s">
        <v>17748</v>
      </c>
      <c r="Q1758" s="11" t="s">
        <v>18201</v>
      </c>
      <c r="R1758" s="11" t="s">
        <v>18201</v>
      </c>
      <c r="S1758" s="11" t="s">
        <v>17750</v>
      </c>
    </row>
    <row r="1759" spans="1:19" x14ac:dyDescent="0.2">
      <c r="A1759" s="11" t="s">
        <v>28136</v>
      </c>
      <c r="B1759" s="9" t="s">
        <v>28137</v>
      </c>
      <c r="C1759" s="9" t="s">
        <v>28138</v>
      </c>
      <c r="D1759" s="9" t="s">
        <v>28139</v>
      </c>
      <c r="E1759" s="9" t="s">
        <v>17740</v>
      </c>
      <c r="F1759" s="9" t="s">
        <v>28140</v>
      </c>
      <c r="G1759" s="9" t="s">
        <v>17740</v>
      </c>
      <c r="H1759" s="11" t="s">
        <v>1579</v>
      </c>
      <c r="I1759" s="11" t="s">
        <v>1578</v>
      </c>
      <c r="J1759" s="11" t="s">
        <v>1578</v>
      </c>
      <c r="K1759" s="9" t="s">
        <v>28141</v>
      </c>
      <c r="L1759" s="9" t="s">
        <v>17759</v>
      </c>
      <c r="M1759" s="9" t="s">
        <v>28142</v>
      </c>
      <c r="N1759" s="9" t="s">
        <v>17746</v>
      </c>
      <c r="O1759" s="9" t="s">
        <v>20453</v>
      </c>
      <c r="P1759" s="9" t="s">
        <v>17748</v>
      </c>
      <c r="Q1759" s="11" t="s">
        <v>19082</v>
      </c>
      <c r="R1759" s="11" t="s">
        <v>19082</v>
      </c>
      <c r="S1759" s="11" t="s">
        <v>17750</v>
      </c>
    </row>
    <row r="1760" spans="1:19" x14ac:dyDescent="0.2">
      <c r="A1760" s="11" t="s">
        <v>28143</v>
      </c>
      <c r="B1760" s="9" t="s">
        <v>28144</v>
      </c>
      <c r="C1760" s="9" t="s">
        <v>28145</v>
      </c>
      <c r="D1760" s="9" t="s">
        <v>28146</v>
      </c>
      <c r="E1760" s="9" t="s">
        <v>17740</v>
      </c>
      <c r="F1760" s="9" t="s">
        <v>17741</v>
      </c>
      <c r="G1760" s="9" t="s">
        <v>17740</v>
      </c>
      <c r="H1760" s="11" t="s">
        <v>1526</v>
      </c>
      <c r="I1760" s="11" t="s">
        <v>1525</v>
      </c>
      <c r="J1760" s="11" t="s">
        <v>1525</v>
      </c>
      <c r="K1760" s="9" t="s">
        <v>167</v>
      </c>
      <c r="L1760" s="9" t="s">
        <v>17759</v>
      </c>
      <c r="M1760" s="9" t="s">
        <v>19196</v>
      </c>
      <c r="N1760" s="9" t="s">
        <v>17746</v>
      </c>
      <c r="O1760" s="9" t="s">
        <v>19391</v>
      </c>
      <c r="P1760" s="9" t="s">
        <v>17748</v>
      </c>
      <c r="Q1760" s="11" t="s">
        <v>19026</v>
      </c>
      <c r="R1760" s="11" t="s">
        <v>19026</v>
      </c>
      <c r="S1760" s="11" t="s">
        <v>17750</v>
      </c>
    </row>
    <row r="1761" spans="1:19" x14ac:dyDescent="0.2">
      <c r="A1761" s="11" t="s">
        <v>28147</v>
      </c>
      <c r="B1761" s="9" t="s">
        <v>28148</v>
      </c>
      <c r="C1761" s="9" t="s">
        <v>28149</v>
      </c>
      <c r="D1761" s="9" t="s">
        <v>28150</v>
      </c>
      <c r="E1761" s="9" t="s">
        <v>17740</v>
      </c>
      <c r="F1761" s="9" t="s">
        <v>17741</v>
      </c>
      <c r="G1761" s="9" t="s">
        <v>17740</v>
      </c>
      <c r="H1761" s="11" t="s">
        <v>28151</v>
      </c>
      <c r="I1761" s="11" t="s">
        <v>28152</v>
      </c>
      <c r="J1761" s="11" t="s">
        <v>28152</v>
      </c>
      <c r="K1761" s="9" t="s">
        <v>22893</v>
      </c>
      <c r="L1761" s="9" t="s">
        <v>17744</v>
      </c>
      <c r="M1761" s="9" t="s">
        <v>24542</v>
      </c>
      <c r="N1761" s="9" t="s">
        <v>17746</v>
      </c>
      <c r="O1761" s="9" t="s">
        <v>28153</v>
      </c>
      <c r="P1761" s="9" t="s">
        <v>17748</v>
      </c>
      <c r="Q1761" s="11" t="s">
        <v>18356</v>
      </c>
      <c r="R1761" s="11" t="s">
        <v>18356</v>
      </c>
      <c r="S1761" s="11" t="s">
        <v>17750</v>
      </c>
    </row>
    <row r="1762" spans="1:19" x14ac:dyDescent="0.2">
      <c r="A1762" s="11" t="s">
        <v>28154</v>
      </c>
      <c r="B1762" s="9" t="s">
        <v>28155</v>
      </c>
      <c r="C1762" s="9" t="s">
        <v>28156</v>
      </c>
      <c r="D1762" s="9" t="s">
        <v>28157</v>
      </c>
      <c r="E1762" s="9" t="s">
        <v>17740</v>
      </c>
      <c r="F1762" s="9" t="s">
        <v>17741</v>
      </c>
      <c r="G1762" s="9" t="s">
        <v>17740</v>
      </c>
      <c r="H1762" s="11" t="s">
        <v>28158</v>
      </c>
      <c r="I1762" s="11" t="s">
        <v>17741</v>
      </c>
      <c r="J1762" s="11" t="s">
        <v>28158</v>
      </c>
      <c r="K1762" s="9" t="s">
        <v>28159</v>
      </c>
      <c r="L1762" s="9" t="s">
        <v>17759</v>
      </c>
      <c r="M1762" s="9" t="s">
        <v>18790</v>
      </c>
      <c r="N1762" s="9" t="s">
        <v>17746</v>
      </c>
      <c r="O1762" s="9" t="s">
        <v>28153</v>
      </c>
      <c r="P1762" s="9" t="s">
        <v>17748</v>
      </c>
      <c r="Q1762" s="11" t="s">
        <v>17825</v>
      </c>
      <c r="R1762" s="11" t="s">
        <v>17825</v>
      </c>
      <c r="S1762" s="11" t="s">
        <v>17750</v>
      </c>
    </row>
    <row r="1763" spans="1:19" x14ac:dyDescent="0.2">
      <c r="A1763" s="11" t="s">
        <v>28160</v>
      </c>
      <c r="B1763" s="9" t="s">
        <v>28161</v>
      </c>
      <c r="C1763" s="9" t="s">
        <v>28162</v>
      </c>
      <c r="D1763" s="9" t="s">
        <v>28163</v>
      </c>
      <c r="E1763" s="9" t="s">
        <v>17740</v>
      </c>
      <c r="F1763" s="9" t="s">
        <v>17741</v>
      </c>
      <c r="G1763" s="9" t="s">
        <v>17740</v>
      </c>
      <c r="H1763" s="11" t="s">
        <v>1517</v>
      </c>
      <c r="I1763" s="11" t="s">
        <v>1516</v>
      </c>
      <c r="J1763" s="11" t="s">
        <v>1516</v>
      </c>
      <c r="K1763" s="9" t="s">
        <v>17783</v>
      </c>
      <c r="L1763" s="9" t="s">
        <v>18001</v>
      </c>
      <c r="M1763" s="9" t="s">
        <v>28164</v>
      </c>
      <c r="N1763" s="9" t="s">
        <v>17746</v>
      </c>
      <c r="O1763" s="9" t="s">
        <v>20453</v>
      </c>
      <c r="P1763" s="9" t="s">
        <v>17748</v>
      </c>
      <c r="Q1763" s="11" t="s">
        <v>18433</v>
      </c>
      <c r="R1763" s="11" t="s">
        <v>18433</v>
      </c>
      <c r="S1763" s="11" t="s">
        <v>17750</v>
      </c>
    </row>
    <row r="1764" spans="1:19" x14ac:dyDescent="0.2">
      <c r="A1764" s="11" t="s">
        <v>28165</v>
      </c>
      <c r="B1764" s="9" t="s">
        <v>28166</v>
      </c>
      <c r="C1764" s="9" t="s">
        <v>28167</v>
      </c>
      <c r="D1764" s="9" t="s">
        <v>28168</v>
      </c>
      <c r="E1764" s="9" t="s">
        <v>17740</v>
      </c>
      <c r="F1764" s="9" t="s">
        <v>28169</v>
      </c>
      <c r="G1764" s="9" t="s">
        <v>17740</v>
      </c>
      <c r="H1764" s="11" t="s">
        <v>4327</v>
      </c>
      <c r="I1764" s="11" t="s">
        <v>4326</v>
      </c>
      <c r="J1764" s="11" t="s">
        <v>4326</v>
      </c>
      <c r="K1764" s="9" t="s">
        <v>24230</v>
      </c>
      <c r="L1764" s="9" t="s">
        <v>17744</v>
      </c>
      <c r="M1764" s="9" t="s">
        <v>28170</v>
      </c>
      <c r="N1764" s="9" t="s">
        <v>17746</v>
      </c>
      <c r="O1764" s="9" t="s">
        <v>20453</v>
      </c>
      <c r="P1764" s="9" t="s">
        <v>17748</v>
      </c>
      <c r="Q1764" s="11" t="s">
        <v>18364</v>
      </c>
      <c r="R1764" s="11" t="s">
        <v>18364</v>
      </c>
      <c r="S1764" s="11" t="s">
        <v>17750</v>
      </c>
    </row>
    <row r="1765" spans="1:19" x14ac:dyDescent="0.2">
      <c r="A1765" s="11" t="s">
        <v>28171</v>
      </c>
      <c r="B1765" s="9" t="s">
        <v>28172</v>
      </c>
      <c r="C1765" s="9" t="s">
        <v>28173</v>
      </c>
      <c r="D1765" s="9" t="s">
        <v>28174</v>
      </c>
      <c r="E1765" s="9" t="s">
        <v>17740</v>
      </c>
      <c r="F1765" s="9" t="s">
        <v>17741</v>
      </c>
      <c r="G1765" s="9" t="s">
        <v>17740</v>
      </c>
      <c r="H1765" s="11" t="s">
        <v>1549</v>
      </c>
      <c r="I1765" s="11" t="s">
        <v>1548</v>
      </c>
      <c r="J1765" s="11" t="s">
        <v>1548</v>
      </c>
      <c r="K1765" s="9" t="s">
        <v>601</v>
      </c>
      <c r="L1765" s="9" t="s">
        <v>17759</v>
      </c>
      <c r="M1765" s="9" t="s">
        <v>28175</v>
      </c>
      <c r="N1765" s="9" t="s">
        <v>17746</v>
      </c>
      <c r="O1765" s="9" t="s">
        <v>20453</v>
      </c>
      <c r="P1765" s="9" t="s">
        <v>17748</v>
      </c>
      <c r="Q1765" s="11" t="s">
        <v>18813</v>
      </c>
      <c r="R1765" s="11" t="s">
        <v>18813</v>
      </c>
      <c r="S1765" s="11" t="s">
        <v>17750</v>
      </c>
    </row>
    <row r="1766" spans="1:19" x14ac:dyDescent="0.2">
      <c r="A1766" s="11" t="s">
        <v>28176</v>
      </c>
      <c r="B1766" s="9" t="s">
        <v>28177</v>
      </c>
      <c r="C1766" s="9" t="s">
        <v>28178</v>
      </c>
      <c r="D1766" s="9" t="s">
        <v>28179</v>
      </c>
      <c r="E1766" s="9" t="s">
        <v>17740</v>
      </c>
      <c r="F1766" s="9" t="s">
        <v>28180</v>
      </c>
      <c r="G1766" s="9" t="s">
        <v>17740</v>
      </c>
      <c r="H1766" s="11" t="s">
        <v>1563</v>
      </c>
      <c r="I1766" s="11" t="s">
        <v>1562</v>
      </c>
      <c r="J1766" s="11" t="s">
        <v>1562</v>
      </c>
      <c r="K1766" s="9" t="s">
        <v>776</v>
      </c>
      <c r="L1766" s="9" t="s">
        <v>17759</v>
      </c>
      <c r="M1766" s="9" t="s">
        <v>28181</v>
      </c>
      <c r="N1766" s="9" t="s">
        <v>17746</v>
      </c>
      <c r="O1766" s="9" t="s">
        <v>20453</v>
      </c>
      <c r="P1766" s="9" t="s">
        <v>17748</v>
      </c>
      <c r="Q1766" s="11" t="s">
        <v>18813</v>
      </c>
      <c r="R1766" s="11" t="s">
        <v>18813</v>
      </c>
      <c r="S1766" s="11" t="s">
        <v>17750</v>
      </c>
    </row>
    <row r="1767" spans="1:19" x14ac:dyDescent="0.2">
      <c r="A1767" s="11" t="s">
        <v>28182</v>
      </c>
      <c r="B1767" s="9" t="s">
        <v>28183</v>
      </c>
      <c r="C1767" s="9" t="s">
        <v>28184</v>
      </c>
      <c r="D1767" s="9" t="s">
        <v>28185</v>
      </c>
      <c r="E1767" s="9" t="s">
        <v>17740</v>
      </c>
      <c r="F1767" s="9" t="s">
        <v>17741</v>
      </c>
      <c r="G1767" s="9" t="s">
        <v>17740</v>
      </c>
      <c r="H1767" s="11" t="s">
        <v>28186</v>
      </c>
      <c r="I1767" s="11" t="s">
        <v>28187</v>
      </c>
      <c r="J1767" s="11" t="s">
        <v>28187</v>
      </c>
      <c r="K1767" s="9" t="s">
        <v>28188</v>
      </c>
      <c r="L1767" s="9" t="s">
        <v>18158</v>
      </c>
      <c r="M1767" s="9" t="s">
        <v>28189</v>
      </c>
      <c r="N1767" s="9" t="s">
        <v>17746</v>
      </c>
      <c r="O1767" s="9" t="s">
        <v>19391</v>
      </c>
      <c r="P1767" s="9" t="s">
        <v>17748</v>
      </c>
      <c r="Q1767" s="11" t="s">
        <v>17808</v>
      </c>
      <c r="R1767" s="11" t="s">
        <v>17808</v>
      </c>
      <c r="S1767" s="11" t="s">
        <v>17750</v>
      </c>
    </row>
    <row r="1768" spans="1:19" x14ac:dyDescent="0.2">
      <c r="A1768" s="11" t="s">
        <v>28190</v>
      </c>
      <c r="B1768" s="9" t="s">
        <v>28191</v>
      </c>
      <c r="C1768" s="9" t="s">
        <v>28192</v>
      </c>
      <c r="D1768" s="9" t="s">
        <v>28193</v>
      </c>
      <c r="E1768" s="9" t="s">
        <v>17748</v>
      </c>
      <c r="F1768" s="9" t="s">
        <v>28194</v>
      </c>
      <c r="G1768" s="9" t="s">
        <v>17740</v>
      </c>
      <c r="H1768" s="11" t="s">
        <v>16392</v>
      </c>
      <c r="I1768" s="11" t="s">
        <v>16391</v>
      </c>
      <c r="J1768" s="11" t="s">
        <v>16391</v>
      </c>
      <c r="K1768" s="9" t="s">
        <v>6914</v>
      </c>
      <c r="L1768" s="9" t="s">
        <v>17744</v>
      </c>
      <c r="M1768" s="9" t="s">
        <v>17741</v>
      </c>
      <c r="N1768" s="9" t="s">
        <v>17746</v>
      </c>
      <c r="O1768" s="9" t="s">
        <v>20453</v>
      </c>
      <c r="P1768" s="9" t="s">
        <v>17748</v>
      </c>
      <c r="Q1768" s="11" t="s">
        <v>18089</v>
      </c>
      <c r="R1768" s="11" t="s">
        <v>18089</v>
      </c>
      <c r="S1768" s="11" t="s">
        <v>17750</v>
      </c>
    </row>
    <row r="1769" spans="1:19" x14ac:dyDescent="0.2">
      <c r="A1769" s="11" t="s">
        <v>28195</v>
      </c>
      <c r="B1769" s="9" t="s">
        <v>28196</v>
      </c>
      <c r="C1769" s="9" t="s">
        <v>28197</v>
      </c>
      <c r="D1769" s="9" t="s">
        <v>28198</v>
      </c>
      <c r="E1769" s="9" t="s">
        <v>17740</v>
      </c>
      <c r="F1769" s="9" t="s">
        <v>28199</v>
      </c>
      <c r="G1769" s="9" t="s">
        <v>17740</v>
      </c>
      <c r="H1769" s="11" t="s">
        <v>17741</v>
      </c>
      <c r="I1769" s="11" t="s">
        <v>5298</v>
      </c>
      <c r="J1769" s="11" t="s">
        <v>5298</v>
      </c>
      <c r="K1769" s="9" t="s">
        <v>28200</v>
      </c>
      <c r="L1769" s="9" t="s">
        <v>17744</v>
      </c>
      <c r="M1769" s="9" t="s">
        <v>28201</v>
      </c>
      <c r="N1769" s="9" t="s">
        <v>17746</v>
      </c>
      <c r="O1769" s="9" t="s">
        <v>28202</v>
      </c>
      <c r="P1769" s="9" t="s">
        <v>17748</v>
      </c>
      <c r="Q1769" s="11" t="s">
        <v>17749</v>
      </c>
      <c r="R1769" s="11" t="s">
        <v>17749</v>
      </c>
      <c r="S1769" s="11" t="s">
        <v>17750</v>
      </c>
    </row>
    <row r="1770" spans="1:19" x14ac:dyDescent="0.2">
      <c r="A1770" s="11" t="s">
        <v>28203</v>
      </c>
      <c r="B1770" s="9" t="s">
        <v>28204</v>
      </c>
      <c r="C1770" s="9" t="s">
        <v>28205</v>
      </c>
      <c r="D1770" s="9" t="s">
        <v>28206</v>
      </c>
      <c r="E1770" s="9" t="s">
        <v>17740</v>
      </c>
      <c r="F1770" s="9" t="s">
        <v>28207</v>
      </c>
      <c r="G1770" s="9" t="s">
        <v>17740</v>
      </c>
      <c r="H1770" s="11" t="s">
        <v>8089</v>
      </c>
      <c r="I1770" s="11" t="s">
        <v>8088</v>
      </c>
      <c r="J1770" s="11" t="s">
        <v>8088</v>
      </c>
      <c r="K1770" s="9" t="s">
        <v>20207</v>
      </c>
      <c r="L1770" s="9" t="s">
        <v>17759</v>
      </c>
      <c r="M1770" s="9" t="s">
        <v>22388</v>
      </c>
      <c r="N1770" s="9" t="s">
        <v>17746</v>
      </c>
      <c r="O1770" s="9" t="s">
        <v>19391</v>
      </c>
      <c r="P1770" s="9" t="s">
        <v>17748</v>
      </c>
      <c r="Q1770" s="11" t="s">
        <v>18356</v>
      </c>
      <c r="R1770" s="11" t="s">
        <v>18356</v>
      </c>
      <c r="S1770" s="11" t="s">
        <v>17750</v>
      </c>
    </row>
    <row r="1771" spans="1:19" x14ac:dyDescent="0.2">
      <c r="A1771" s="11" t="s">
        <v>28208</v>
      </c>
      <c r="B1771" s="9" t="s">
        <v>28209</v>
      </c>
      <c r="C1771" s="9" t="s">
        <v>28210</v>
      </c>
      <c r="D1771" s="9" t="s">
        <v>28211</v>
      </c>
      <c r="E1771" s="9" t="s">
        <v>17740</v>
      </c>
      <c r="F1771" s="9" t="s">
        <v>17741</v>
      </c>
      <c r="G1771" s="9" t="s">
        <v>17740</v>
      </c>
      <c r="H1771" s="11" t="s">
        <v>1566</v>
      </c>
      <c r="I1771" s="11" t="s">
        <v>1565</v>
      </c>
      <c r="J1771" s="11" t="s">
        <v>1565</v>
      </c>
      <c r="K1771" s="9" t="s">
        <v>1567</v>
      </c>
      <c r="L1771" s="9" t="s">
        <v>17759</v>
      </c>
      <c r="M1771" s="9" t="s">
        <v>17817</v>
      </c>
      <c r="N1771" s="9" t="s">
        <v>17746</v>
      </c>
      <c r="O1771" s="9" t="s">
        <v>28212</v>
      </c>
      <c r="P1771" s="9" t="s">
        <v>17748</v>
      </c>
      <c r="Q1771" s="11" t="s">
        <v>19515</v>
      </c>
      <c r="R1771" s="11" t="s">
        <v>19515</v>
      </c>
      <c r="S1771" s="11" t="s">
        <v>17750</v>
      </c>
    </row>
    <row r="1772" spans="1:19" x14ac:dyDescent="0.2">
      <c r="A1772" s="11" t="s">
        <v>28213</v>
      </c>
      <c r="B1772" s="9" t="s">
        <v>28214</v>
      </c>
      <c r="C1772" s="9" t="s">
        <v>28215</v>
      </c>
      <c r="D1772" s="9" t="s">
        <v>28216</v>
      </c>
      <c r="E1772" s="9" t="s">
        <v>17740</v>
      </c>
      <c r="F1772" s="9" t="s">
        <v>28217</v>
      </c>
      <c r="G1772" s="9" t="s">
        <v>17740</v>
      </c>
      <c r="H1772" s="11" t="s">
        <v>6918</v>
      </c>
      <c r="I1772" s="11" t="s">
        <v>6917</v>
      </c>
      <c r="J1772" s="11" t="s">
        <v>6917</v>
      </c>
      <c r="K1772" s="9" t="s">
        <v>1249</v>
      </c>
      <c r="L1772" s="9" t="s">
        <v>18001</v>
      </c>
      <c r="M1772" s="9" t="s">
        <v>22388</v>
      </c>
      <c r="N1772" s="9" t="s">
        <v>17746</v>
      </c>
      <c r="O1772" s="9" t="s">
        <v>28218</v>
      </c>
      <c r="P1772" s="9" t="s">
        <v>17748</v>
      </c>
      <c r="Q1772" s="11" t="s">
        <v>18201</v>
      </c>
      <c r="R1772" s="11" t="s">
        <v>18201</v>
      </c>
      <c r="S1772" s="11" t="s">
        <v>17750</v>
      </c>
    </row>
    <row r="1773" spans="1:19" x14ac:dyDescent="0.2">
      <c r="A1773" s="11" t="s">
        <v>28219</v>
      </c>
      <c r="B1773" s="9" t="s">
        <v>28220</v>
      </c>
      <c r="C1773" s="9" t="s">
        <v>28221</v>
      </c>
      <c r="D1773" s="9" t="s">
        <v>28222</v>
      </c>
      <c r="E1773" s="9" t="s">
        <v>17740</v>
      </c>
      <c r="F1773" s="9" t="s">
        <v>17741</v>
      </c>
      <c r="G1773" s="9" t="s">
        <v>17740</v>
      </c>
      <c r="H1773" s="11" t="s">
        <v>1529</v>
      </c>
      <c r="I1773" s="11" t="s">
        <v>1528</v>
      </c>
      <c r="J1773" s="11" t="s">
        <v>1528</v>
      </c>
      <c r="K1773" s="9" t="s">
        <v>91</v>
      </c>
      <c r="L1773" s="9" t="s">
        <v>17759</v>
      </c>
      <c r="M1773" s="9" t="s">
        <v>19971</v>
      </c>
      <c r="N1773" s="9" t="s">
        <v>17746</v>
      </c>
      <c r="O1773" s="9" t="s">
        <v>28223</v>
      </c>
      <c r="P1773" s="9" t="s">
        <v>17748</v>
      </c>
      <c r="Q1773" s="11" t="s">
        <v>18251</v>
      </c>
      <c r="R1773" s="11" t="s">
        <v>18251</v>
      </c>
      <c r="S1773" s="11" t="s">
        <v>17750</v>
      </c>
    </row>
    <row r="1774" spans="1:19" x14ac:dyDescent="0.2">
      <c r="A1774" s="11" t="s">
        <v>28224</v>
      </c>
      <c r="B1774" s="9" t="s">
        <v>13303</v>
      </c>
      <c r="C1774" s="9" t="s">
        <v>28225</v>
      </c>
      <c r="D1774" s="9" t="s">
        <v>13303</v>
      </c>
      <c r="E1774" s="9" t="s">
        <v>17740</v>
      </c>
      <c r="F1774" s="9" t="s">
        <v>17741</v>
      </c>
      <c r="G1774" s="9" t="s">
        <v>17740</v>
      </c>
      <c r="H1774" s="11" t="s">
        <v>13305</v>
      </c>
      <c r="I1774" s="11" t="s">
        <v>13304</v>
      </c>
      <c r="J1774" s="11" t="s">
        <v>13305</v>
      </c>
      <c r="K1774" s="9" t="s">
        <v>91</v>
      </c>
      <c r="L1774" s="9" t="s">
        <v>18001</v>
      </c>
      <c r="M1774" s="9" t="s">
        <v>17760</v>
      </c>
      <c r="N1774" s="9" t="s">
        <v>17746</v>
      </c>
      <c r="O1774" s="9" t="s">
        <v>5136</v>
      </c>
      <c r="P1774" s="9" t="s">
        <v>17748</v>
      </c>
      <c r="Q1774" s="11" t="s">
        <v>17825</v>
      </c>
      <c r="R1774" s="11" t="s">
        <v>17825</v>
      </c>
      <c r="S1774" s="11" t="s">
        <v>17750</v>
      </c>
    </row>
    <row r="1775" spans="1:19" x14ac:dyDescent="0.2">
      <c r="A1775" s="11" t="s">
        <v>28226</v>
      </c>
      <c r="B1775" s="9" t="s">
        <v>28227</v>
      </c>
      <c r="C1775" s="9" t="s">
        <v>28228</v>
      </c>
      <c r="D1775" s="9" t="s">
        <v>28229</v>
      </c>
      <c r="E1775" s="9" t="s">
        <v>17740</v>
      </c>
      <c r="F1775" s="9" t="s">
        <v>17741</v>
      </c>
      <c r="G1775" s="9" t="s">
        <v>17740</v>
      </c>
      <c r="H1775" s="11" t="s">
        <v>17741</v>
      </c>
      <c r="I1775" s="11" t="s">
        <v>28230</v>
      </c>
      <c r="J1775" s="11" t="s">
        <v>28230</v>
      </c>
      <c r="K1775" s="9" t="s">
        <v>28231</v>
      </c>
      <c r="L1775" s="9" t="s">
        <v>17991</v>
      </c>
      <c r="M1775" s="9" t="s">
        <v>17760</v>
      </c>
      <c r="N1775" s="9" t="s">
        <v>20424</v>
      </c>
      <c r="O1775" s="9" t="s">
        <v>5136</v>
      </c>
      <c r="P1775" s="9" t="s">
        <v>17748</v>
      </c>
      <c r="Q1775" s="11" t="s">
        <v>19026</v>
      </c>
      <c r="R1775" s="11" t="s">
        <v>19026</v>
      </c>
      <c r="S1775" s="11" t="s">
        <v>17750</v>
      </c>
    </row>
    <row r="1776" spans="1:19" x14ac:dyDescent="0.2">
      <c r="A1776" s="11" t="s">
        <v>28232</v>
      </c>
      <c r="B1776" s="9" t="s">
        <v>28233</v>
      </c>
      <c r="C1776" s="9" t="s">
        <v>28234</v>
      </c>
      <c r="D1776" s="9" t="s">
        <v>28235</v>
      </c>
      <c r="E1776" s="9" t="s">
        <v>17740</v>
      </c>
      <c r="F1776" s="9" t="s">
        <v>17741</v>
      </c>
      <c r="G1776" s="9" t="s">
        <v>17740</v>
      </c>
      <c r="H1776" s="11" t="s">
        <v>1558</v>
      </c>
      <c r="I1776" s="11" t="s">
        <v>1557</v>
      </c>
      <c r="J1776" s="11" t="s">
        <v>1557</v>
      </c>
      <c r="K1776" s="9" t="s">
        <v>28236</v>
      </c>
      <c r="L1776" s="9" t="s">
        <v>17759</v>
      </c>
      <c r="M1776" s="9" t="s">
        <v>28237</v>
      </c>
      <c r="N1776" s="9" t="s">
        <v>17746</v>
      </c>
      <c r="O1776" s="9" t="s">
        <v>5136</v>
      </c>
      <c r="P1776" s="9" t="s">
        <v>17748</v>
      </c>
      <c r="Q1776" s="11" t="s">
        <v>18251</v>
      </c>
      <c r="R1776" s="11" t="s">
        <v>18251</v>
      </c>
      <c r="S1776" s="11" t="s">
        <v>17750</v>
      </c>
    </row>
    <row r="1777" spans="1:19" x14ac:dyDescent="0.2">
      <c r="A1777" s="11" t="s">
        <v>28238</v>
      </c>
      <c r="B1777" s="9" t="s">
        <v>28239</v>
      </c>
      <c r="C1777" s="9" t="s">
        <v>28240</v>
      </c>
      <c r="D1777" s="9" t="s">
        <v>28241</v>
      </c>
      <c r="E1777" s="9" t="s">
        <v>17740</v>
      </c>
      <c r="F1777" s="9" t="s">
        <v>28242</v>
      </c>
      <c r="G1777" s="9" t="s">
        <v>17740</v>
      </c>
      <c r="H1777" s="11" t="s">
        <v>17741</v>
      </c>
      <c r="I1777" s="11" t="s">
        <v>28243</v>
      </c>
      <c r="J1777" s="11" t="s">
        <v>28243</v>
      </c>
      <c r="K1777" s="9" t="s">
        <v>28244</v>
      </c>
      <c r="L1777" s="9" t="s">
        <v>17759</v>
      </c>
      <c r="M1777" s="9" t="s">
        <v>17760</v>
      </c>
      <c r="N1777" s="9" t="s">
        <v>17746</v>
      </c>
      <c r="O1777" s="9" t="s">
        <v>5136</v>
      </c>
      <c r="P1777" s="9" t="s">
        <v>17748</v>
      </c>
      <c r="Q1777" s="11" t="s">
        <v>19222</v>
      </c>
      <c r="R1777" s="11" t="s">
        <v>19222</v>
      </c>
      <c r="S1777" s="11" t="s">
        <v>17750</v>
      </c>
    </row>
    <row r="1778" spans="1:19" x14ac:dyDescent="0.2">
      <c r="A1778" s="11" t="s">
        <v>28245</v>
      </c>
      <c r="B1778" s="9" t="s">
        <v>28246</v>
      </c>
      <c r="C1778" s="9" t="s">
        <v>28247</v>
      </c>
      <c r="D1778" s="9" t="s">
        <v>28248</v>
      </c>
      <c r="E1778" s="9" t="s">
        <v>17748</v>
      </c>
      <c r="F1778" s="9" t="s">
        <v>28249</v>
      </c>
      <c r="G1778" s="9" t="s">
        <v>17740</v>
      </c>
      <c r="H1778" s="11" t="s">
        <v>17741</v>
      </c>
      <c r="I1778" s="11" t="s">
        <v>8794</v>
      </c>
      <c r="J1778" s="11" t="s">
        <v>8794</v>
      </c>
      <c r="K1778" s="9" t="s">
        <v>28250</v>
      </c>
      <c r="L1778" s="9" t="s">
        <v>18025</v>
      </c>
      <c r="M1778" s="9" t="s">
        <v>17778</v>
      </c>
      <c r="N1778" s="9" t="s">
        <v>18026</v>
      </c>
      <c r="O1778" s="9" t="s">
        <v>28251</v>
      </c>
      <c r="P1778" s="9" t="s">
        <v>17748</v>
      </c>
      <c r="Q1778" s="11" t="s">
        <v>17808</v>
      </c>
      <c r="R1778" s="11" t="s">
        <v>17808</v>
      </c>
      <c r="S1778" s="11" t="s">
        <v>17750</v>
      </c>
    </row>
    <row r="1779" spans="1:19" x14ac:dyDescent="0.2">
      <c r="A1779" s="11" t="s">
        <v>28252</v>
      </c>
      <c r="B1779" s="9" t="s">
        <v>28253</v>
      </c>
      <c r="C1779" s="9" t="s">
        <v>28254</v>
      </c>
      <c r="D1779" s="9" t="s">
        <v>5136</v>
      </c>
      <c r="E1779" s="9" t="s">
        <v>17740</v>
      </c>
      <c r="F1779" s="9" t="s">
        <v>17741</v>
      </c>
      <c r="G1779" s="9" t="s">
        <v>17740</v>
      </c>
      <c r="H1779" s="11" t="s">
        <v>5138</v>
      </c>
      <c r="I1779" s="11" t="s">
        <v>5137</v>
      </c>
      <c r="J1779" s="11" t="s">
        <v>5137</v>
      </c>
      <c r="K1779" s="9" t="s">
        <v>17758</v>
      </c>
      <c r="L1779" s="9" t="s">
        <v>17759</v>
      </c>
      <c r="M1779" s="9" t="s">
        <v>18065</v>
      </c>
      <c r="N1779" s="9" t="s">
        <v>17746</v>
      </c>
      <c r="O1779" s="9" t="s">
        <v>5136</v>
      </c>
      <c r="P1779" s="9" t="s">
        <v>17748</v>
      </c>
      <c r="Q1779" s="11" t="s">
        <v>17749</v>
      </c>
      <c r="R1779" s="11" t="s">
        <v>17749</v>
      </c>
      <c r="S1779" s="11" t="s">
        <v>17750</v>
      </c>
    </row>
    <row r="1780" spans="1:19" x14ac:dyDescent="0.2">
      <c r="A1780" s="11" t="s">
        <v>28255</v>
      </c>
      <c r="B1780" s="9" t="s">
        <v>28256</v>
      </c>
      <c r="C1780" s="9" t="s">
        <v>28257</v>
      </c>
      <c r="D1780" s="9" t="s">
        <v>28258</v>
      </c>
      <c r="E1780" s="9" t="s">
        <v>17740</v>
      </c>
      <c r="F1780" s="9" t="s">
        <v>28259</v>
      </c>
      <c r="G1780" s="9" t="s">
        <v>17740</v>
      </c>
      <c r="H1780" s="11" t="s">
        <v>4405</v>
      </c>
      <c r="I1780" s="11" t="s">
        <v>4404</v>
      </c>
      <c r="J1780" s="11" t="s">
        <v>4404</v>
      </c>
      <c r="K1780" s="9" t="s">
        <v>724</v>
      </c>
      <c r="L1780" s="9" t="s">
        <v>17744</v>
      </c>
      <c r="M1780" s="9" t="s">
        <v>20295</v>
      </c>
      <c r="N1780" s="9" t="s">
        <v>17746</v>
      </c>
      <c r="O1780" s="9" t="s">
        <v>23863</v>
      </c>
      <c r="P1780" s="9" t="s">
        <v>17748</v>
      </c>
      <c r="Q1780" s="11" t="s">
        <v>18364</v>
      </c>
      <c r="R1780" s="11" t="s">
        <v>18364</v>
      </c>
      <c r="S1780" s="11" t="s">
        <v>17750</v>
      </c>
    </row>
    <row r="1781" spans="1:19" x14ac:dyDescent="0.2">
      <c r="A1781" s="11" t="s">
        <v>28260</v>
      </c>
      <c r="B1781" s="9" t="s">
        <v>28261</v>
      </c>
      <c r="C1781" s="9" t="s">
        <v>28262</v>
      </c>
      <c r="D1781" s="9" t="s">
        <v>28263</v>
      </c>
      <c r="E1781" s="9" t="s">
        <v>17748</v>
      </c>
      <c r="F1781" s="9" t="s">
        <v>28264</v>
      </c>
      <c r="G1781" s="9" t="s">
        <v>17740</v>
      </c>
      <c r="H1781" s="11" t="s">
        <v>17741</v>
      </c>
      <c r="I1781" s="11" t="s">
        <v>15399</v>
      </c>
      <c r="J1781" s="11" t="s">
        <v>17741</v>
      </c>
      <c r="K1781" s="9" t="s">
        <v>724</v>
      </c>
      <c r="L1781" s="9" t="s">
        <v>17744</v>
      </c>
      <c r="M1781" s="9" t="s">
        <v>17760</v>
      </c>
      <c r="N1781" s="9" t="s">
        <v>17746</v>
      </c>
      <c r="O1781" s="9" t="s">
        <v>28265</v>
      </c>
      <c r="P1781" s="9" t="s">
        <v>17748</v>
      </c>
      <c r="Q1781" s="11" t="s">
        <v>17909</v>
      </c>
      <c r="R1781" s="11" t="s">
        <v>17909</v>
      </c>
      <c r="S1781" s="11" t="s">
        <v>17750</v>
      </c>
    </row>
    <row r="1782" spans="1:19" x14ac:dyDescent="0.2">
      <c r="A1782" s="11" t="s">
        <v>28266</v>
      </c>
      <c r="B1782" s="9" t="s">
        <v>28267</v>
      </c>
      <c r="C1782" s="9" t="s">
        <v>28268</v>
      </c>
      <c r="D1782" s="9" t="s">
        <v>11831</v>
      </c>
      <c r="E1782" s="9" t="s">
        <v>17740</v>
      </c>
      <c r="F1782" s="9" t="s">
        <v>17741</v>
      </c>
      <c r="G1782" s="9" t="s">
        <v>17740</v>
      </c>
      <c r="H1782" s="11" t="s">
        <v>11833</v>
      </c>
      <c r="I1782" s="11" t="s">
        <v>11832</v>
      </c>
      <c r="J1782" s="11" t="s">
        <v>11832</v>
      </c>
      <c r="K1782" s="9" t="s">
        <v>10332</v>
      </c>
      <c r="L1782" s="9" t="s">
        <v>17759</v>
      </c>
      <c r="M1782" s="9" t="s">
        <v>18289</v>
      </c>
      <c r="N1782" s="9" t="s">
        <v>17746</v>
      </c>
      <c r="O1782" s="9" t="s">
        <v>1690</v>
      </c>
      <c r="P1782" s="9" t="s">
        <v>17748</v>
      </c>
      <c r="Q1782" s="11" t="s">
        <v>17762</v>
      </c>
      <c r="R1782" s="11" t="s">
        <v>17762</v>
      </c>
      <c r="S1782" s="11" t="s">
        <v>17750</v>
      </c>
    </row>
    <row r="1783" spans="1:19" x14ac:dyDescent="0.2">
      <c r="A1783" s="11" t="s">
        <v>28269</v>
      </c>
      <c r="B1783" s="9" t="s">
        <v>14388</v>
      </c>
      <c r="C1783" s="9" t="s">
        <v>28270</v>
      </c>
      <c r="D1783" s="9" t="s">
        <v>14388</v>
      </c>
      <c r="E1783" s="9" t="s">
        <v>17740</v>
      </c>
      <c r="F1783" s="9" t="s">
        <v>17741</v>
      </c>
      <c r="G1783" s="9" t="s">
        <v>17740</v>
      </c>
      <c r="H1783" s="11" t="s">
        <v>14390</v>
      </c>
      <c r="I1783" s="11" t="s">
        <v>14389</v>
      </c>
      <c r="J1783" s="11" t="s">
        <v>14390</v>
      </c>
      <c r="K1783" s="9" t="s">
        <v>22567</v>
      </c>
      <c r="L1783" s="9" t="s">
        <v>17744</v>
      </c>
      <c r="M1783" s="9" t="s">
        <v>17769</v>
      </c>
      <c r="N1783" s="9" t="s">
        <v>17746</v>
      </c>
      <c r="O1783" s="9" t="s">
        <v>1690</v>
      </c>
      <c r="P1783" s="9" t="s">
        <v>17748</v>
      </c>
      <c r="Q1783" s="11" t="s">
        <v>17825</v>
      </c>
      <c r="R1783" s="11" t="s">
        <v>17825</v>
      </c>
      <c r="S1783" s="11" t="s">
        <v>17750</v>
      </c>
    </row>
    <row r="1784" spans="1:19" x14ac:dyDescent="0.2">
      <c r="A1784" s="11" t="s">
        <v>28271</v>
      </c>
      <c r="B1784" s="9" t="s">
        <v>1553</v>
      </c>
      <c r="C1784" s="9" t="s">
        <v>28272</v>
      </c>
      <c r="D1784" s="9" t="s">
        <v>1553</v>
      </c>
      <c r="E1784" s="9" t="s">
        <v>17740</v>
      </c>
      <c r="F1784" s="9" t="s">
        <v>17741</v>
      </c>
      <c r="G1784" s="9" t="s">
        <v>17740</v>
      </c>
      <c r="H1784" s="11" t="s">
        <v>1555</v>
      </c>
      <c r="I1784" s="11" t="s">
        <v>1554</v>
      </c>
      <c r="J1784" s="11" t="s">
        <v>1554</v>
      </c>
      <c r="K1784" s="9" t="s">
        <v>22893</v>
      </c>
      <c r="L1784" s="9" t="s">
        <v>17759</v>
      </c>
      <c r="M1784" s="9" t="s">
        <v>17817</v>
      </c>
      <c r="N1784" s="9" t="s">
        <v>17746</v>
      </c>
      <c r="O1784" s="9" t="s">
        <v>23267</v>
      </c>
      <c r="P1784" s="9" t="s">
        <v>17748</v>
      </c>
      <c r="Q1784" s="11" t="s">
        <v>18584</v>
      </c>
      <c r="R1784" s="11" t="s">
        <v>18584</v>
      </c>
      <c r="S1784" s="11" t="s">
        <v>17750</v>
      </c>
    </row>
    <row r="1785" spans="1:19" x14ac:dyDescent="0.2">
      <c r="A1785" s="11" t="s">
        <v>28273</v>
      </c>
      <c r="B1785" s="9" t="s">
        <v>28274</v>
      </c>
      <c r="C1785" s="9" t="s">
        <v>28275</v>
      </c>
      <c r="D1785" s="9" t="s">
        <v>28276</v>
      </c>
      <c r="E1785" s="9" t="s">
        <v>17740</v>
      </c>
      <c r="F1785" s="9" t="s">
        <v>17741</v>
      </c>
      <c r="G1785" s="9" t="s">
        <v>17740</v>
      </c>
      <c r="H1785" s="11" t="s">
        <v>8501</v>
      </c>
      <c r="I1785" s="11" t="s">
        <v>8500</v>
      </c>
      <c r="J1785" s="11" t="s">
        <v>8500</v>
      </c>
      <c r="K1785" s="9" t="s">
        <v>601</v>
      </c>
      <c r="L1785" s="9" t="s">
        <v>17759</v>
      </c>
      <c r="M1785" s="9" t="s">
        <v>17769</v>
      </c>
      <c r="N1785" s="9" t="s">
        <v>17746</v>
      </c>
      <c r="O1785" s="9" t="s">
        <v>22096</v>
      </c>
      <c r="P1785" s="9" t="s">
        <v>17748</v>
      </c>
      <c r="Q1785" s="11" t="s">
        <v>17784</v>
      </c>
      <c r="R1785" s="11" t="s">
        <v>17784</v>
      </c>
      <c r="S1785" s="11" t="s">
        <v>17750</v>
      </c>
    </row>
    <row r="1786" spans="1:19" x14ac:dyDescent="0.2">
      <c r="A1786" s="11" t="s">
        <v>28277</v>
      </c>
      <c r="B1786" s="9" t="s">
        <v>28278</v>
      </c>
      <c r="C1786" s="9" t="s">
        <v>28279</v>
      </c>
      <c r="D1786" s="9" t="s">
        <v>28280</v>
      </c>
      <c r="E1786" s="9" t="s">
        <v>17740</v>
      </c>
      <c r="F1786" s="9" t="s">
        <v>28281</v>
      </c>
      <c r="G1786" s="9" t="s">
        <v>17740</v>
      </c>
      <c r="H1786" s="11" t="s">
        <v>4304</v>
      </c>
      <c r="I1786" s="11" t="s">
        <v>4303</v>
      </c>
      <c r="J1786" s="11" t="s">
        <v>4303</v>
      </c>
      <c r="K1786" s="9" t="s">
        <v>28282</v>
      </c>
      <c r="L1786" s="9" t="s">
        <v>18001</v>
      </c>
      <c r="M1786" s="9" t="s">
        <v>28283</v>
      </c>
      <c r="N1786" s="9" t="s">
        <v>17746</v>
      </c>
      <c r="O1786" s="9" t="s">
        <v>23267</v>
      </c>
      <c r="P1786" s="9" t="s">
        <v>17748</v>
      </c>
      <c r="Q1786" s="11" t="s">
        <v>18364</v>
      </c>
      <c r="R1786" s="11" t="s">
        <v>18364</v>
      </c>
      <c r="S1786" s="11" t="s">
        <v>17750</v>
      </c>
    </row>
    <row r="1787" spans="1:19" x14ac:dyDescent="0.2">
      <c r="A1787" s="11" t="s">
        <v>28284</v>
      </c>
      <c r="B1787" s="9" t="s">
        <v>28285</v>
      </c>
      <c r="C1787" s="9" t="s">
        <v>28286</v>
      </c>
      <c r="D1787" s="9" t="s">
        <v>28287</v>
      </c>
      <c r="E1787" s="9" t="s">
        <v>17740</v>
      </c>
      <c r="F1787" s="9" t="s">
        <v>17741</v>
      </c>
      <c r="G1787" s="9" t="s">
        <v>17740</v>
      </c>
      <c r="H1787" s="11" t="s">
        <v>8162</v>
      </c>
      <c r="I1787" s="11" t="s">
        <v>8161</v>
      </c>
      <c r="J1787" s="11" t="s">
        <v>8161</v>
      </c>
      <c r="K1787" s="9" t="s">
        <v>948</v>
      </c>
      <c r="L1787" s="9" t="s">
        <v>20359</v>
      </c>
      <c r="M1787" s="9" t="s">
        <v>17760</v>
      </c>
      <c r="N1787" s="9" t="s">
        <v>17746</v>
      </c>
      <c r="O1787" s="9" t="s">
        <v>23267</v>
      </c>
      <c r="P1787" s="9" t="s">
        <v>17748</v>
      </c>
      <c r="Q1787" s="11" t="s">
        <v>18356</v>
      </c>
      <c r="R1787" s="11" t="s">
        <v>18356</v>
      </c>
      <c r="S1787" s="11" t="s">
        <v>17750</v>
      </c>
    </row>
    <row r="1788" spans="1:19" x14ac:dyDescent="0.2">
      <c r="A1788" s="11" t="s">
        <v>28288</v>
      </c>
      <c r="B1788" s="9" t="s">
        <v>28289</v>
      </c>
      <c r="C1788" s="9" t="s">
        <v>28290</v>
      </c>
      <c r="D1788" s="9" t="s">
        <v>28291</v>
      </c>
      <c r="E1788" s="9" t="s">
        <v>17740</v>
      </c>
      <c r="F1788" s="9" t="s">
        <v>17741</v>
      </c>
      <c r="G1788" s="9" t="s">
        <v>17740</v>
      </c>
      <c r="H1788" s="11" t="s">
        <v>28292</v>
      </c>
      <c r="I1788" s="11" t="s">
        <v>28293</v>
      </c>
      <c r="J1788" s="11" t="s">
        <v>28293</v>
      </c>
      <c r="K1788" s="9" t="s">
        <v>17805</v>
      </c>
      <c r="L1788" s="9" t="s">
        <v>17759</v>
      </c>
      <c r="M1788" s="9" t="s">
        <v>28294</v>
      </c>
      <c r="N1788" s="9" t="s">
        <v>17746</v>
      </c>
      <c r="O1788" s="9" t="s">
        <v>18563</v>
      </c>
      <c r="P1788" s="9" t="s">
        <v>17748</v>
      </c>
      <c r="Q1788" s="11" t="s">
        <v>17883</v>
      </c>
      <c r="R1788" s="11" t="s">
        <v>17883</v>
      </c>
      <c r="S1788" s="11" t="s">
        <v>17750</v>
      </c>
    </row>
    <row r="1789" spans="1:19" x14ac:dyDescent="0.2">
      <c r="A1789" s="11" t="s">
        <v>28295</v>
      </c>
      <c r="B1789" s="9" t="s">
        <v>28296</v>
      </c>
      <c r="C1789" s="9" t="s">
        <v>28297</v>
      </c>
      <c r="D1789" s="9" t="s">
        <v>28298</v>
      </c>
      <c r="E1789" s="9" t="s">
        <v>17740</v>
      </c>
      <c r="F1789" s="9" t="s">
        <v>17741</v>
      </c>
      <c r="G1789" s="9" t="s">
        <v>17740</v>
      </c>
      <c r="H1789" s="11" t="s">
        <v>17741</v>
      </c>
      <c r="I1789" s="11" t="s">
        <v>17741</v>
      </c>
      <c r="J1789" s="11" t="s">
        <v>17741</v>
      </c>
      <c r="K1789" s="9" t="s">
        <v>17805</v>
      </c>
      <c r="L1789" s="9" t="s">
        <v>17759</v>
      </c>
      <c r="M1789" s="9" t="s">
        <v>17942</v>
      </c>
      <c r="N1789" s="9" t="s">
        <v>17746</v>
      </c>
      <c r="O1789" s="9" t="s">
        <v>18563</v>
      </c>
      <c r="P1789" s="9" t="s">
        <v>17748</v>
      </c>
      <c r="Q1789" s="11" t="s">
        <v>17978</v>
      </c>
      <c r="R1789" s="11" t="s">
        <v>17978</v>
      </c>
      <c r="S1789" s="11" t="s">
        <v>17750</v>
      </c>
    </row>
    <row r="1790" spans="1:19" x14ac:dyDescent="0.2">
      <c r="A1790" s="11" t="s">
        <v>28299</v>
      </c>
      <c r="B1790" s="9" t="s">
        <v>28300</v>
      </c>
      <c r="C1790" s="9" t="s">
        <v>28301</v>
      </c>
      <c r="D1790" s="9" t="s">
        <v>28300</v>
      </c>
      <c r="E1790" s="9" t="s">
        <v>17740</v>
      </c>
      <c r="F1790" s="9" t="s">
        <v>17741</v>
      </c>
      <c r="G1790" s="9" t="s">
        <v>17740</v>
      </c>
      <c r="H1790" s="11" t="s">
        <v>28302</v>
      </c>
      <c r="I1790" s="11" t="s">
        <v>28303</v>
      </c>
      <c r="J1790" s="11" t="s">
        <v>28303</v>
      </c>
      <c r="K1790" s="9" t="s">
        <v>291</v>
      </c>
      <c r="L1790" s="9" t="s">
        <v>17744</v>
      </c>
      <c r="M1790" s="9" t="s">
        <v>28304</v>
      </c>
      <c r="N1790" s="9" t="s">
        <v>17746</v>
      </c>
      <c r="O1790" s="9" t="s">
        <v>18514</v>
      </c>
      <c r="P1790" s="9" t="s">
        <v>17748</v>
      </c>
      <c r="Q1790" s="11" t="s">
        <v>17937</v>
      </c>
      <c r="R1790" s="11" t="s">
        <v>17937</v>
      </c>
      <c r="S1790" s="11" t="s">
        <v>17750</v>
      </c>
    </row>
    <row r="1791" spans="1:19" x14ac:dyDescent="0.2">
      <c r="A1791" s="11" t="s">
        <v>28305</v>
      </c>
      <c r="B1791" s="9" t="s">
        <v>28306</v>
      </c>
      <c r="C1791" s="9" t="s">
        <v>28307</v>
      </c>
      <c r="D1791" s="9" t="s">
        <v>28308</v>
      </c>
      <c r="E1791" s="9" t="s">
        <v>17748</v>
      </c>
      <c r="F1791" s="9" t="s">
        <v>28309</v>
      </c>
      <c r="G1791" s="9" t="s">
        <v>17740</v>
      </c>
      <c r="H1791" s="11" t="s">
        <v>28310</v>
      </c>
      <c r="I1791" s="11" t="s">
        <v>28311</v>
      </c>
      <c r="J1791" s="11" t="s">
        <v>28312</v>
      </c>
      <c r="K1791" s="9" t="s">
        <v>17089</v>
      </c>
      <c r="L1791" s="9" t="s">
        <v>18158</v>
      </c>
      <c r="M1791" s="9" t="s">
        <v>17741</v>
      </c>
      <c r="N1791" s="9" t="s">
        <v>17746</v>
      </c>
      <c r="O1791" s="9" t="s">
        <v>17993</v>
      </c>
      <c r="P1791" s="9" t="s">
        <v>17748</v>
      </c>
      <c r="Q1791" s="11" t="s">
        <v>17917</v>
      </c>
      <c r="R1791" s="11" t="s">
        <v>17917</v>
      </c>
      <c r="S1791" s="11" t="s">
        <v>17750</v>
      </c>
    </row>
    <row r="1792" spans="1:19" x14ac:dyDescent="0.2">
      <c r="A1792" s="11" t="s">
        <v>28313</v>
      </c>
      <c r="B1792" s="9" t="s">
        <v>28314</v>
      </c>
      <c r="C1792" s="9" t="s">
        <v>28315</v>
      </c>
      <c r="D1792" s="9" t="s">
        <v>28316</v>
      </c>
      <c r="E1792" s="9" t="s">
        <v>17740</v>
      </c>
      <c r="F1792" s="9" t="s">
        <v>17741</v>
      </c>
      <c r="G1792" s="9" t="s">
        <v>17740</v>
      </c>
      <c r="H1792" s="11" t="s">
        <v>28317</v>
      </c>
      <c r="I1792" s="11" t="s">
        <v>28318</v>
      </c>
      <c r="J1792" s="11" t="s">
        <v>28318</v>
      </c>
      <c r="K1792" s="9" t="s">
        <v>28319</v>
      </c>
      <c r="L1792" s="9" t="s">
        <v>17744</v>
      </c>
      <c r="M1792" s="9" t="s">
        <v>18745</v>
      </c>
      <c r="N1792" s="9" t="s">
        <v>17746</v>
      </c>
      <c r="O1792" s="9" t="s">
        <v>773</v>
      </c>
      <c r="P1792" s="9" t="s">
        <v>17748</v>
      </c>
      <c r="Q1792" s="11" t="s">
        <v>18072</v>
      </c>
      <c r="R1792" s="11" t="s">
        <v>18072</v>
      </c>
      <c r="S1792" s="11" t="s">
        <v>17750</v>
      </c>
    </row>
    <row r="1793" spans="1:19" x14ac:dyDescent="0.2">
      <c r="A1793" s="11" t="s">
        <v>28320</v>
      </c>
      <c r="B1793" s="9" t="s">
        <v>28321</v>
      </c>
      <c r="C1793" s="9" t="s">
        <v>28322</v>
      </c>
      <c r="D1793" s="9" t="s">
        <v>28323</v>
      </c>
      <c r="E1793" s="9" t="s">
        <v>17740</v>
      </c>
      <c r="F1793" s="9" t="s">
        <v>28324</v>
      </c>
      <c r="G1793" s="9" t="s">
        <v>17740</v>
      </c>
      <c r="H1793" s="11" t="s">
        <v>17741</v>
      </c>
      <c r="I1793" s="11" t="s">
        <v>28325</v>
      </c>
      <c r="J1793" s="11" t="s">
        <v>28325</v>
      </c>
      <c r="K1793" s="9" t="s">
        <v>28326</v>
      </c>
      <c r="L1793" s="9" t="s">
        <v>17759</v>
      </c>
      <c r="M1793" s="9" t="s">
        <v>28327</v>
      </c>
      <c r="N1793" s="9" t="s">
        <v>17746</v>
      </c>
      <c r="O1793" s="9" t="s">
        <v>3475</v>
      </c>
      <c r="P1793" s="9" t="s">
        <v>17748</v>
      </c>
      <c r="Q1793" s="11" t="s">
        <v>18201</v>
      </c>
      <c r="R1793" s="11" t="s">
        <v>18201</v>
      </c>
      <c r="S1793" s="11" t="s">
        <v>17750</v>
      </c>
    </row>
    <row r="1794" spans="1:19" x14ac:dyDescent="0.2">
      <c r="A1794" s="11" t="s">
        <v>28328</v>
      </c>
      <c r="B1794" s="9" t="s">
        <v>28329</v>
      </c>
      <c r="C1794" s="9" t="s">
        <v>28330</v>
      </c>
      <c r="D1794" s="9" t="s">
        <v>28331</v>
      </c>
      <c r="E1794" s="9" t="s">
        <v>17740</v>
      </c>
      <c r="F1794" s="9" t="s">
        <v>28332</v>
      </c>
      <c r="G1794" s="9" t="s">
        <v>17740</v>
      </c>
      <c r="H1794" s="11" t="s">
        <v>17741</v>
      </c>
      <c r="I1794" s="11" t="s">
        <v>28333</v>
      </c>
      <c r="J1794" s="11" t="s">
        <v>28333</v>
      </c>
      <c r="K1794" s="9" t="s">
        <v>28334</v>
      </c>
      <c r="L1794" s="9" t="s">
        <v>28335</v>
      </c>
      <c r="M1794" s="9" t="s">
        <v>18211</v>
      </c>
      <c r="N1794" s="9" t="s">
        <v>17746</v>
      </c>
      <c r="O1794" s="9" t="s">
        <v>27127</v>
      </c>
      <c r="P1794" s="9" t="s">
        <v>17748</v>
      </c>
      <c r="Q1794" s="11" t="s">
        <v>18798</v>
      </c>
      <c r="R1794" s="11" t="s">
        <v>18798</v>
      </c>
      <c r="S1794" s="11" t="s">
        <v>17750</v>
      </c>
    </row>
    <row r="1795" spans="1:19" x14ac:dyDescent="0.2">
      <c r="A1795" s="11" t="s">
        <v>28336</v>
      </c>
      <c r="B1795" s="9" t="s">
        <v>28337</v>
      </c>
      <c r="C1795" s="9" t="s">
        <v>28338</v>
      </c>
      <c r="D1795" s="9" t="s">
        <v>28339</v>
      </c>
      <c r="E1795" s="9" t="s">
        <v>17740</v>
      </c>
      <c r="F1795" s="9" t="s">
        <v>17741</v>
      </c>
      <c r="G1795" s="9" t="s">
        <v>17740</v>
      </c>
      <c r="H1795" s="11" t="s">
        <v>17741</v>
      </c>
      <c r="I1795" s="11" t="s">
        <v>28340</v>
      </c>
      <c r="J1795" s="11" t="s">
        <v>28340</v>
      </c>
      <c r="K1795" s="9" t="s">
        <v>28341</v>
      </c>
      <c r="L1795" s="9" t="s">
        <v>28335</v>
      </c>
      <c r="M1795" s="9" t="s">
        <v>17760</v>
      </c>
      <c r="N1795" s="9" t="s">
        <v>17746</v>
      </c>
      <c r="O1795" s="9" t="s">
        <v>19050</v>
      </c>
      <c r="P1795" s="9" t="s">
        <v>17748</v>
      </c>
      <c r="Q1795" s="11" t="s">
        <v>18314</v>
      </c>
      <c r="R1795" s="11" t="s">
        <v>18314</v>
      </c>
      <c r="S1795" s="11" t="s">
        <v>17750</v>
      </c>
    </row>
    <row r="1796" spans="1:19" x14ac:dyDescent="0.2">
      <c r="A1796" s="11" t="s">
        <v>28342</v>
      </c>
      <c r="B1796" s="9" t="s">
        <v>28343</v>
      </c>
      <c r="C1796" s="9" t="s">
        <v>28344</v>
      </c>
      <c r="D1796" s="9" t="s">
        <v>28345</v>
      </c>
      <c r="E1796" s="9" t="s">
        <v>17740</v>
      </c>
      <c r="F1796" s="9" t="s">
        <v>17741</v>
      </c>
      <c r="G1796" s="9" t="s">
        <v>17740</v>
      </c>
      <c r="H1796" s="11" t="s">
        <v>17741</v>
      </c>
      <c r="I1796" s="11" t="s">
        <v>9116</v>
      </c>
      <c r="J1796" s="11" t="s">
        <v>9116</v>
      </c>
      <c r="K1796" s="9" t="s">
        <v>28346</v>
      </c>
      <c r="L1796" s="9" t="s">
        <v>17759</v>
      </c>
      <c r="M1796" s="9" t="s">
        <v>17760</v>
      </c>
      <c r="N1796" s="9" t="s">
        <v>17746</v>
      </c>
      <c r="O1796" s="9" t="s">
        <v>28347</v>
      </c>
      <c r="P1796" s="9" t="s">
        <v>17748</v>
      </c>
      <c r="Q1796" s="11" t="s">
        <v>18080</v>
      </c>
      <c r="R1796" s="11" t="s">
        <v>18080</v>
      </c>
      <c r="S1796" s="11" t="s">
        <v>17750</v>
      </c>
    </row>
    <row r="1797" spans="1:19" x14ac:dyDescent="0.2">
      <c r="A1797" s="11" t="s">
        <v>28348</v>
      </c>
      <c r="B1797" s="9" t="s">
        <v>28349</v>
      </c>
      <c r="C1797" s="9" t="s">
        <v>28350</v>
      </c>
      <c r="D1797" s="9" t="s">
        <v>28351</v>
      </c>
      <c r="E1797" s="9" t="s">
        <v>17740</v>
      </c>
      <c r="F1797" s="9" t="s">
        <v>17741</v>
      </c>
      <c r="G1797" s="9" t="s">
        <v>17740</v>
      </c>
      <c r="H1797" s="11" t="s">
        <v>28352</v>
      </c>
      <c r="I1797" s="11" t="s">
        <v>28353</v>
      </c>
      <c r="J1797" s="11" t="s">
        <v>28353</v>
      </c>
      <c r="K1797" s="9" t="s">
        <v>291</v>
      </c>
      <c r="L1797" s="9" t="s">
        <v>17744</v>
      </c>
      <c r="M1797" s="9" t="s">
        <v>18065</v>
      </c>
      <c r="N1797" s="9" t="s">
        <v>17746</v>
      </c>
      <c r="O1797" s="9" t="s">
        <v>28347</v>
      </c>
      <c r="P1797" s="9" t="s">
        <v>17748</v>
      </c>
      <c r="Q1797" s="11" t="s">
        <v>18201</v>
      </c>
      <c r="R1797" s="11" t="s">
        <v>18201</v>
      </c>
      <c r="S1797" s="11" t="s">
        <v>17750</v>
      </c>
    </row>
    <row r="1798" spans="1:19" x14ac:dyDescent="0.2">
      <c r="A1798" s="11" t="s">
        <v>28354</v>
      </c>
      <c r="B1798" s="9" t="s">
        <v>28355</v>
      </c>
      <c r="C1798" s="9" t="s">
        <v>28356</v>
      </c>
      <c r="D1798" s="9" t="s">
        <v>28357</v>
      </c>
      <c r="E1798" s="9" t="s">
        <v>17740</v>
      </c>
      <c r="F1798" s="9" t="s">
        <v>17741</v>
      </c>
      <c r="G1798" s="9" t="s">
        <v>17740</v>
      </c>
      <c r="H1798" s="11" t="s">
        <v>28358</v>
      </c>
      <c r="I1798" s="11" t="s">
        <v>28359</v>
      </c>
      <c r="J1798" s="11" t="s">
        <v>28358</v>
      </c>
      <c r="K1798" s="9" t="s">
        <v>441</v>
      </c>
      <c r="L1798" s="9" t="s">
        <v>17759</v>
      </c>
      <c r="M1798" s="9" t="s">
        <v>17769</v>
      </c>
      <c r="N1798" s="9" t="s">
        <v>17746</v>
      </c>
      <c r="O1798" s="9" t="s">
        <v>22268</v>
      </c>
      <c r="P1798" s="9" t="s">
        <v>17748</v>
      </c>
      <c r="Q1798" s="11" t="s">
        <v>17994</v>
      </c>
      <c r="R1798" s="11" t="s">
        <v>17994</v>
      </c>
      <c r="S1798" s="11" t="s">
        <v>17750</v>
      </c>
    </row>
    <row r="1799" spans="1:19" x14ac:dyDescent="0.2">
      <c r="A1799" s="11" t="s">
        <v>28360</v>
      </c>
      <c r="B1799" s="9" t="s">
        <v>28361</v>
      </c>
      <c r="C1799" s="9" t="s">
        <v>28362</v>
      </c>
      <c r="D1799" s="9" t="s">
        <v>28363</v>
      </c>
      <c r="E1799" s="9" t="s">
        <v>17740</v>
      </c>
      <c r="F1799" s="9" t="s">
        <v>17741</v>
      </c>
      <c r="G1799" s="9" t="s">
        <v>17740</v>
      </c>
      <c r="H1799" s="11" t="s">
        <v>14370</v>
      </c>
      <c r="I1799" s="11" t="s">
        <v>14369</v>
      </c>
      <c r="J1799" s="11" t="s">
        <v>14369</v>
      </c>
      <c r="K1799" s="9" t="s">
        <v>14371</v>
      </c>
      <c r="L1799" s="9" t="s">
        <v>18130</v>
      </c>
      <c r="M1799" s="9" t="s">
        <v>28364</v>
      </c>
      <c r="N1799" s="9" t="s">
        <v>17746</v>
      </c>
      <c r="O1799" s="9" t="s">
        <v>19659</v>
      </c>
      <c r="P1799" s="9" t="s">
        <v>17748</v>
      </c>
      <c r="Q1799" s="11" t="s">
        <v>19361</v>
      </c>
      <c r="R1799" s="11" t="s">
        <v>19361</v>
      </c>
      <c r="S1799" s="11" t="s">
        <v>17750</v>
      </c>
    </row>
    <row r="1800" spans="1:19" x14ac:dyDescent="0.2">
      <c r="A1800" s="11" t="s">
        <v>28365</v>
      </c>
      <c r="B1800" s="9" t="s">
        <v>28366</v>
      </c>
      <c r="C1800" s="9" t="s">
        <v>28367</v>
      </c>
      <c r="D1800" s="9" t="s">
        <v>13027</v>
      </c>
      <c r="E1800" s="9" t="s">
        <v>17740</v>
      </c>
      <c r="F1800" s="9" t="s">
        <v>17741</v>
      </c>
      <c r="G1800" s="9" t="s">
        <v>17740</v>
      </c>
      <c r="H1800" s="11" t="s">
        <v>13029</v>
      </c>
      <c r="I1800" s="11" t="s">
        <v>13028</v>
      </c>
      <c r="J1800" s="11" t="s">
        <v>13028</v>
      </c>
      <c r="K1800" s="9" t="s">
        <v>28368</v>
      </c>
      <c r="L1800" s="9" t="s">
        <v>20359</v>
      </c>
      <c r="M1800" s="9" t="s">
        <v>17760</v>
      </c>
      <c r="N1800" s="9" t="s">
        <v>17746</v>
      </c>
      <c r="O1800" s="9" t="s">
        <v>24302</v>
      </c>
      <c r="P1800" s="9" t="s">
        <v>17748</v>
      </c>
      <c r="Q1800" s="11" t="s">
        <v>17984</v>
      </c>
      <c r="R1800" s="11" t="s">
        <v>17984</v>
      </c>
      <c r="S1800" s="11" t="s">
        <v>17750</v>
      </c>
    </row>
    <row r="1801" spans="1:19" x14ac:dyDescent="0.2">
      <c r="A1801" s="11" t="s">
        <v>28369</v>
      </c>
      <c r="B1801" s="9" t="s">
        <v>28370</v>
      </c>
      <c r="C1801" s="9" t="s">
        <v>28371</v>
      </c>
      <c r="D1801" s="9" t="s">
        <v>8692</v>
      </c>
      <c r="E1801" s="9" t="s">
        <v>17740</v>
      </c>
      <c r="F1801" s="9" t="s">
        <v>17741</v>
      </c>
      <c r="G1801" s="9" t="s">
        <v>17740</v>
      </c>
      <c r="H1801" s="11" t="s">
        <v>8694</v>
      </c>
      <c r="I1801" s="11" t="s">
        <v>8693</v>
      </c>
      <c r="J1801" s="11" t="s">
        <v>8693</v>
      </c>
      <c r="K1801" s="9" t="s">
        <v>55</v>
      </c>
      <c r="L1801" s="9" t="s">
        <v>17744</v>
      </c>
      <c r="M1801" s="9" t="s">
        <v>28372</v>
      </c>
      <c r="N1801" s="9" t="s">
        <v>17746</v>
      </c>
      <c r="O1801" s="9" t="s">
        <v>18271</v>
      </c>
      <c r="P1801" s="9" t="s">
        <v>17748</v>
      </c>
      <c r="Q1801" s="11" t="s">
        <v>18356</v>
      </c>
      <c r="R1801" s="11" t="s">
        <v>18356</v>
      </c>
      <c r="S1801" s="11" t="s">
        <v>17750</v>
      </c>
    </row>
    <row r="1802" spans="1:19" x14ac:dyDescent="0.2">
      <c r="A1802" s="11" t="s">
        <v>28373</v>
      </c>
      <c r="B1802" s="9" t="s">
        <v>28374</v>
      </c>
      <c r="C1802" s="9" t="s">
        <v>28375</v>
      </c>
      <c r="D1802" s="9" t="s">
        <v>28376</v>
      </c>
      <c r="E1802" s="9" t="s">
        <v>17740</v>
      </c>
      <c r="F1802" s="9" t="s">
        <v>17741</v>
      </c>
      <c r="G1802" s="9" t="s">
        <v>17740</v>
      </c>
      <c r="H1802" s="11" t="s">
        <v>6575</v>
      </c>
      <c r="I1802" s="11" t="s">
        <v>6574</v>
      </c>
      <c r="J1802" s="11" t="s">
        <v>6574</v>
      </c>
      <c r="K1802" s="9" t="s">
        <v>18122</v>
      </c>
      <c r="L1802" s="9" t="s">
        <v>18123</v>
      </c>
      <c r="M1802" s="9" t="s">
        <v>27470</v>
      </c>
      <c r="N1802" s="9" t="s">
        <v>17746</v>
      </c>
      <c r="O1802" s="9" t="s">
        <v>18644</v>
      </c>
      <c r="P1802" s="9" t="s">
        <v>17748</v>
      </c>
      <c r="Q1802" s="11" t="s">
        <v>19361</v>
      </c>
      <c r="R1802" s="11" t="s">
        <v>19361</v>
      </c>
      <c r="S1802" s="11" t="s">
        <v>17750</v>
      </c>
    </row>
    <row r="1803" spans="1:19" x14ac:dyDescent="0.2">
      <c r="A1803" s="11" t="s">
        <v>28377</v>
      </c>
      <c r="B1803" s="9" t="s">
        <v>28378</v>
      </c>
      <c r="C1803" s="9" t="s">
        <v>28379</v>
      </c>
      <c r="D1803" s="9" t="s">
        <v>28380</v>
      </c>
      <c r="E1803" s="9" t="s">
        <v>17748</v>
      </c>
      <c r="F1803" s="9" t="s">
        <v>28381</v>
      </c>
      <c r="G1803" s="9" t="s">
        <v>17740</v>
      </c>
      <c r="H1803" s="11" t="s">
        <v>17741</v>
      </c>
      <c r="I1803" s="11" t="s">
        <v>9586</v>
      </c>
      <c r="J1803" s="11" t="s">
        <v>9586</v>
      </c>
      <c r="K1803" s="9" t="s">
        <v>17990</v>
      </c>
      <c r="L1803" s="9" t="s">
        <v>17991</v>
      </c>
      <c r="M1803" s="9" t="s">
        <v>18065</v>
      </c>
      <c r="N1803" s="9" t="s">
        <v>17746</v>
      </c>
      <c r="O1803" s="9" t="s">
        <v>18882</v>
      </c>
      <c r="P1803" s="9" t="s">
        <v>17748</v>
      </c>
      <c r="Q1803" s="11" t="s">
        <v>17858</v>
      </c>
      <c r="R1803" s="11" t="s">
        <v>17858</v>
      </c>
      <c r="S1803" s="11" t="s">
        <v>17750</v>
      </c>
    </row>
    <row r="1804" spans="1:19" x14ac:dyDescent="0.2">
      <c r="A1804" s="11" t="s">
        <v>28382</v>
      </c>
      <c r="B1804" s="9" t="s">
        <v>28383</v>
      </c>
      <c r="C1804" s="9" t="s">
        <v>28384</v>
      </c>
      <c r="D1804" s="9" t="s">
        <v>28385</v>
      </c>
      <c r="E1804" s="9" t="s">
        <v>17748</v>
      </c>
      <c r="F1804" s="9" t="s">
        <v>28386</v>
      </c>
      <c r="G1804" s="9" t="s">
        <v>17740</v>
      </c>
      <c r="H1804" s="11" t="s">
        <v>14525</v>
      </c>
      <c r="I1804" s="11" t="s">
        <v>17741</v>
      </c>
      <c r="J1804" s="11" t="s">
        <v>17741</v>
      </c>
      <c r="K1804" s="9" t="s">
        <v>85</v>
      </c>
      <c r="L1804" s="9" t="s">
        <v>20359</v>
      </c>
      <c r="M1804" s="9" t="s">
        <v>28387</v>
      </c>
      <c r="N1804" s="9" t="s">
        <v>17746</v>
      </c>
      <c r="O1804" s="9" t="s">
        <v>18418</v>
      </c>
      <c r="P1804" s="9" t="s">
        <v>17748</v>
      </c>
      <c r="Q1804" s="11" t="s">
        <v>17900</v>
      </c>
      <c r="R1804" s="11" t="s">
        <v>17900</v>
      </c>
      <c r="S1804" s="11" t="s">
        <v>17750</v>
      </c>
    </row>
    <row r="1805" spans="1:19" x14ac:dyDescent="0.2">
      <c r="A1805" s="11" t="s">
        <v>28388</v>
      </c>
      <c r="B1805" s="9" t="s">
        <v>28389</v>
      </c>
      <c r="C1805" s="9" t="s">
        <v>28390</v>
      </c>
      <c r="D1805" s="9" t="s">
        <v>28391</v>
      </c>
      <c r="E1805" s="9" t="s">
        <v>17748</v>
      </c>
      <c r="F1805" s="9" t="s">
        <v>28392</v>
      </c>
      <c r="G1805" s="9" t="s">
        <v>17740</v>
      </c>
      <c r="H1805" s="11" t="s">
        <v>5191</v>
      </c>
      <c r="I1805" s="11" t="s">
        <v>5190</v>
      </c>
      <c r="J1805" s="11" t="s">
        <v>5190</v>
      </c>
      <c r="K1805" s="9" t="s">
        <v>17790</v>
      </c>
      <c r="L1805" s="9" t="s">
        <v>18158</v>
      </c>
      <c r="M1805" s="9" t="s">
        <v>25519</v>
      </c>
      <c r="N1805" s="9" t="s">
        <v>17746</v>
      </c>
      <c r="O1805" s="9" t="s">
        <v>18418</v>
      </c>
      <c r="P1805" s="9" t="s">
        <v>17748</v>
      </c>
      <c r="Q1805" s="11" t="s">
        <v>17749</v>
      </c>
      <c r="R1805" s="11" t="s">
        <v>17749</v>
      </c>
      <c r="S1805" s="11" t="s">
        <v>17750</v>
      </c>
    </row>
    <row r="1806" spans="1:19" x14ac:dyDescent="0.2">
      <c r="A1806" s="11" t="s">
        <v>28393</v>
      </c>
      <c r="B1806" s="9" t="s">
        <v>28394</v>
      </c>
      <c r="C1806" s="9" t="s">
        <v>28395</v>
      </c>
      <c r="D1806" s="9" t="s">
        <v>28396</v>
      </c>
      <c r="E1806" s="9" t="s">
        <v>17740</v>
      </c>
      <c r="F1806" s="9" t="s">
        <v>28397</v>
      </c>
      <c r="G1806" s="9" t="s">
        <v>17740</v>
      </c>
      <c r="H1806" s="11" t="s">
        <v>17741</v>
      </c>
      <c r="I1806" s="11" t="s">
        <v>28398</v>
      </c>
      <c r="J1806" s="11" t="s">
        <v>28398</v>
      </c>
      <c r="K1806" s="9" t="s">
        <v>28399</v>
      </c>
      <c r="L1806" s="9" t="s">
        <v>17744</v>
      </c>
      <c r="M1806" s="9" t="s">
        <v>17760</v>
      </c>
      <c r="N1806" s="9" t="s">
        <v>17746</v>
      </c>
      <c r="O1806" s="9" t="s">
        <v>28400</v>
      </c>
      <c r="P1806" s="9" t="s">
        <v>17748</v>
      </c>
      <c r="Q1806" s="11" t="s">
        <v>17762</v>
      </c>
      <c r="R1806" s="11" t="s">
        <v>17762</v>
      </c>
      <c r="S1806" s="11" t="s">
        <v>17750</v>
      </c>
    </row>
    <row r="1807" spans="1:19" x14ac:dyDescent="0.2">
      <c r="A1807" s="11" t="s">
        <v>28401</v>
      </c>
      <c r="B1807" s="9" t="s">
        <v>28402</v>
      </c>
      <c r="C1807" s="9" t="s">
        <v>28403</v>
      </c>
      <c r="D1807" s="9" t="s">
        <v>28404</v>
      </c>
      <c r="E1807" s="9" t="s">
        <v>17748</v>
      </c>
      <c r="F1807" s="9" t="s">
        <v>28405</v>
      </c>
      <c r="G1807" s="9" t="s">
        <v>17740</v>
      </c>
      <c r="H1807" s="11" t="s">
        <v>5471</v>
      </c>
      <c r="I1807" s="11" t="s">
        <v>5470</v>
      </c>
      <c r="J1807" s="11" t="s">
        <v>5470</v>
      </c>
      <c r="K1807" s="9" t="s">
        <v>167</v>
      </c>
      <c r="L1807" s="9" t="s">
        <v>18158</v>
      </c>
      <c r="M1807" s="9" t="s">
        <v>21361</v>
      </c>
      <c r="N1807" s="9" t="s">
        <v>17746</v>
      </c>
      <c r="O1807" s="9" t="s">
        <v>19379</v>
      </c>
      <c r="P1807" s="9" t="s">
        <v>17748</v>
      </c>
      <c r="Q1807" s="11" t="s">
        <v>17749</v>
      </c>
      <c r="R1807" s="11" t="s">
        <v>17749</v>
      </c>
      <c r="S1807" s="11" t="s">
        <v>17750</v>
      </c>
    </row>
    <row r="1808" spans="1:19" x14ac:dyDescent="0.2">
      <c r="A1808" s="11" t="s">
        <v>28406</v>
      </c>
      <c r="B1808" s="9" t="s">
        <v>28407</v>
      </c>
      <c r="C1808" s="9" t="s">
        <v>28408</v>
      </c>
      <c r="D1808" s="9" t="s">
        <v>28409</v>
      </c>
      <c r="E1808" s="9" t="s">
        <v>17740</v>
      </c>
      <c r="F1808" s="9" t="s">
        <v>28410</v>
      </c>
      <c r="G1808" s="9" t="s">
        <v>17740</v>
      </c>
      <c r="H1808" s="11" t="s">
        <v>28411</v>
      </c>
      <c r="I1808" s="11" t="s">
        <v>1453</v>
      </c>
      <c r="J1808" s="11" t="s">
        <v>1453</v>
      </c>
      <c r="K1808" s="9" t="s">
        <v>28412</v>
      </c>
      <c r="L1808" s="9" t="s">
        <v>18158</v>
      </c>
      <c r="M1808" s="9" t="s">
        <v>21567</v>
      </c>
      <c r="N1808" s="9" t="s">
        <v>17746</v>
      </c>
      <c r="O1808" s="9" t="s">
        <v>20799</v>
      </c>
      <c r="P1808" s="9" t="s">
        <v>17748</v>
      </c>
      <c r="Q1808" s="11" t="s">
        <v>18341</v>
      </c>
      <c r="R1808" s="11" t="s">
        <v>18341</v>
      </c>
      <c r="S1808" s="11" t="s">
        <v>17750</v>
      </c>
    </row>
    <row r="1809" spans="1:19" x14ac:dyDescent="0.2">
      <c r="A1809" s="11" t="s">
        <v>28413</v>
      </c>
      <c r="B1809" s="9" t="s">
        <v>28414</v>
      </c>
      <c r="C1809" s="9" t="s">
        <v>28415</v>
      </c>
      <c r="D1809" s="9" t="s">
        <v>28416</v>
      </c>
      <c r="E1809" s="9" t="s">
        <v>17740</v>
      </c>
      <c r="F1809" s="9" t="s">
        <v>17741</v>
      </c>
      <c r="G1809" s="9" t="s">
        <v>17740</v>
      </c>
      <c r="H1809" s="11" t="s">
        <v>10149</v>
      </c>
      <c r="I1809" s="11" t="s">
        <v>17741</v>
      </c>
      <c r="J1809" s="11" t="s">
        <v>10149</v>
      </c>
      <c r="K1809" s="9" t="s">
        <v>10150</v>
      </c>
      <c r="L1809" s="9" t="s">
        <v>23607</v>
      </c>
      <c r="M1809" s="9" t="s">
        <v>18211</v>
      </c>
      <c r="N1809" s="9" t="s">
        <v>17746</v>
      </c>
      <c r="O1809" s="9" t="s">
        <v>18125</v>
      </c>
      <c r="P1809" s="9" t="s">
        <v>17748</v>
      </c>
      <c r="Q1809" s="11" t="s">
        <v>18922</v>
      </c>
      <c r="R1809" s="11" t="s">
        <v>18922</v>
      </c>
      <c r="S1809" s="11" t="s">
        <v>17750</v>
      </c>
    </row>
    <row r="1810" spans="1:19" x14ac:dyDescent="0.2">
      <c r="A1810" s="11" t="s">
        <v>28417</v>
      </c>
      <c r="B1810" s="9" t="s">
        <v>28418</v>
      </c>
      <c r="C1810" s="9" t="s">
        <v>28419</v>
      </c>
      <c r="D1810" s="9" t="s">
        <v>28420</v>
      </c>
      <c r="E1810" s="9" t="s">
        <v>17740</v>
      </c>
      <c r="F1810" s="9" t="s">
        <v>17741</v>
      </c>
      <c r="G1810" s="9" t="s">
        <v>17740</v>
      </c>
      <c r="H1810" s="11" t="s">
        <v>6176</v>
      </c>
      <c r="I1810" s="11" t="s">
        <v>6175</v>
      </c>
      <c r="J1810" s="11" t="s">
        <v>6175</v>
      </c>
      <c r="K1810" s="9" t="s">
        <v>17741</v>
      </c>
      <c r="L1810" s="9" t="s">
        <v>18158</v>
      </c>
      <c r="M1810" s="9" t="s">
        <v>20970</v>
      </c>
      <c r="N1810" s="9" t="s">
        <v>17746</v>
      </c>
      <c r="O1810" s="9" t="s">
        <v>24787</v>
      </c>
      <c r="P1810" s="9" t="s">
        <v>17748</v>
      </c>
      <c r="Q1810" s="11" t="s">
        <v>18147</v>
      </c>
      <c r="R1810" s="11" t="s">
        <v>18147</v>
      </c>
      <c r="S1810" s="11" t="s">
        <v>17750</v>
      </c>
    </row>
    <row r="1811" spans="1:19" x14ac:dyDescent="0.2">
      <c r="A1811" s="11" t="s">
        <v>28421</v>
      </c>
      <c r="B1811" s="9" t="s">
        <v>28422</v>
      </c>
      <c r="C1811" s="9" t="s">
        <v>28423</v>
      </c>
      <c r="D1811" s="9" t="s">
        <v>28424</v>
      </c>
      <c r="E1811" s="9" t="s">
        <v>17740</v>
      </c>
      <c r="F1811" s="9" t="s">
        <v>17741</v>
      </c>
      <c r="G1811" s="9" t="s">
        <v>17740</v>
      </c>
      <c r="H1811" s="11" t="s">
        <v>28425</v>
      </c>
      <c r="I1811" s="11" t="s">
        <v>5692</v>
      </c>
      <c r="J1811" s="11" t="s">
        <v>5692</v>
      </c>
      <c r="K1811" s="9" t="s">
        <v>28426</v>
      </c>
      <c r="L1811" s="9" t="s">
        <v>20359</v>
      </c>
      <c r="M1811" s="9" t="s">
        <v>17760</v>
      </c>
      <c r="N1811" s="9" t="s">
        <v>17746</v>
      </c>
      <c r="O1811" s="9" t="s">
        <v>18882</v>
      </c>
      <c r="P1811" s="9" t="s">
        <v>17748</v>
      </c>
      <c r="Q1811" s="11" t="s">
        <v>17749</v>
      </c>
      <c r="R1811" s="11" t="s">
        <v>17749</v>
      </c>
      <c r="S1811" s="11" t="s">
        <v>17750</v>
      </c>
    </row>
    <row r="1812" spans="1:19" x14ac:dyDescent="0.2">
      <c r="A1812" s="11" t="s">
        <v>28427</v>
      </c>
      <c r="B1812" s="9" t="s">
        <v>28428</v>
      </c>
      <c r="C1812" s="9" t="s">
        <v>28429</v>
      </c>
      <c r="D1812" s="9" t="s">
        <v>28430</v>
      </c>
      <c r="E1812" s="9" t="s">
        <v>17740</v>
      </c>
      <c r="F1812" s="9" t="s">
        <v>28431</v>
      </c>
      <c r="G1812" s="9" t="s">
        <v>17740</v>
      </c>
      <c r="H1812" s="11" t="s">
        <v>6217</v>
      </c>
      <c r="I1812" s="11" t="s">
        <v>6216</v>
      </c>
      <c r="J1812" s="11" t="s">
        <v>6216</v>
      </c>
      <c r="K1812" s="9" t="s">
        <v>17805</v>
      </c>
      <c r="L1812" s="9" t="s">
        <v>17744</v>
      </c>
      <c r="M1812" s="9" t="s">
        <v>22388</v>
      </c>
      <c r="N1812" s="9" t="s">
        <v>17746</v>
      </c>
      <c r="O1812" s="9" t="s">
        <v>18543</v>
      </c>
      <c r="P1812" s="9" t="s">
        <v>17748</v>
      </c>
      <c r="Q1812" s="11" t="s">
        <v>17792</v>
      </c>
      <c r="R1812" s="11" t="s">
        <v>17792</v>
      </c>
      <c r="S1812" s="11" t="s">
        <v>17750</v>
      </c>
    </row>
    <row r="1813" spans="1:19" x14ac:dyDescent="0.2">
      <c r="A1813" s="11" t="s">
        <v>28432</v>
      </c>
      <c r="B1813" s="9" t="s">
        <v>28433</v>
      </c>
      <c r="C1813" s="9" t="s">
        <v>28434</v>
      </c>
      <c r="D1813" s="9" t="s">
        <v>28435</v>
      </c>
      <c r="E1813" s="9" t="s">
        <v>17740</v>
      </c>
      <c r="F1813" s="9" t="s">
        <v>17741</v>
      </c>
      <c r="G1813" s="9" t="s">
        <v>17740</v>
      </c>
      <c r="H1813" s="11" t="s">
        <v>1472</v>
      </c>
      <c r="I1813" s="11" t="s">
        <v>1471</v>
      </c>
      <c r="J1813" s="11" t="s">
        <v>1471</v>
      </c>
      <c r="K1813" s="9" t="s">
        <v>55</v>
      </c>
      <c r="L1813" s="9" t="s">
        <v>17744</v>
      </c>
      <c r="M1813" s="9" t="s">
        <v>28436</v>
      </c>
      <c r="N1813" s="9" t="s">
        <v>17746</v>
      </c>
      <c r="O1813" s="9" t="s">
        <v>18009</v>
      </c>
      <c r="P1813" s="9" t="s">
        <v>17748</v>
      </c>
      <c r="Q1813" s="11" t="s">
        <v>19222</v>
      </c>
      <c r="R1813" s="11" t="s">
        <v>19222</v>
      </c>
      <c r="S1813" s="11" t="s">
        <v>17750</v>
      </c>
    </row>
    <row r="1814" spans="1:19" x14ac:dyDescent="0.2">
      <c r="A1814" s="11" t="s">
        <v>28437</v>
      </c>
      <c r="B1814" s="9" t="s">
        <v>28438</v>
      </c>
      <c r="C1814" s="9" t="s">
        <v>28439</v>
      </c>
      <c r="D1814" s="9" t="s">
        <v>28440</v>
      </c>
      <c r="E1814" s="9" t="s">
        <v>17748</v>
      </c>
      <c r="F1814" s="9" t="s">
        <v>28441</v>
      </c>
      <c r="G1814" s="9" t="s">
        <v>17740</v>
      </c>
      <c r="H1814" s="11" t="s">
        <v>28442</v>
      </c>
      <c r="I1814" s="11" t="s">
        <v>16248</v>
      </c>
      <c r="J1814" s="11" t="s">
        <v>17741</v>
      </c>
      <c r="K1814" s="9" t="s">
        <v>55</v>
      </c>
      <c r="L1814" s="9" t="s">
        <v>17744</v>
      </c>
      <c r="M1814" s="9" t="s">
        <v>17741</v>
      </c>
      <c r="N1814" s="9" t="s">
        <v>17746</v>
      </c>
      <c r="O1814" s="9" t="s">
        <v>27815</v>
      </c>
      <c r="P1814" s="9" t="s">
        <v>17748</v>
      </c>
      <c r="Q1814" s="11" t="s">
        <v>17923</v>
      </c>
      <c r="R1814" s="11" t="s">
        <v>17923</v>
      </c>
      <c r="S1814" s="11" t="s">
        <v>17750</v>
      </c>
    </row>
    <row r="1815" spans="1:19" x14ac:dyDescent="0.2">
      <c r="A1815" s="11" t="s">
        <v>28443</v>
      </c>
      <c r="B1815" s="9" t="s">
        <v>28444</v>
      </c>
      <c r="C1815" s="9" t="s">
        <v>28445</v>
      </c>
      <c r="D1815" s="9" t="s">
        <v>28446</v>
      </c>
      <c r="E1815" s="9" t="s">
        <v>17740</v>
      </c>
      <c r="F1815" s="9" t="s">
        <v>17741</v>
      </c>
      <c r="G1815" s="9" t="s">
        <v>17740</v>
      </c>
      <c r="H1815" s="11" t="s">
        <v>16442</v>
      </c>
      <c r="I1815" s="11" t="s">
        <v>16441</v>
      </c>
      <c r="J1815" s="11" t="s">
        <v>16441</v>
      </c>
      <c r="K1815" s="9" t="s">
        <v>21721</v>
      </c>
      <c r="L1815" s="9" t="s">
        <v>17744</v>
      </c>
      <c r="M1815" s="9" t="s">
        <v>17760</v>
      </c>
      <c r="N1815" s="9" t="s">
        <v>17746</v>
      </c>
      <c r="O1815" s="9" t="s">
        <v>18009</v>
      </c>
      <c r="P1815" s="9" t="s">
        <v>17748</v>
      </c>
      <c r="Q1815" s="11" t="s">
        <v>17923</v>
      </c>
      <c r="R1815" s="11" t="s">
        <v>17923</v>
      </c>
      <c r="S1815" s="11" t="s">
        <v>17750</v>
      </c>
    </row>
    <row r="1816" spans="1:19" s="6" customFormat="1" x14ac:dyDescent="0.2">
      <c r="A1816" s="11" t="s">
        <v>28447</v>
      </c>
      <c r="B1816" s="9" t="s">
        <v>28448</v>
      </c>
      <c r="C1816" s="9" t="s">
        <v>28449</v>
      </c>
      <c r="D1816" s="9" t="s">
        <v>28450</v>
      </c>
      <c r="E1816" s="9" t="s">
        <v>17740</v>
      </c>
      <c r="F1816" s="9" t="s">
        <v>17741</v>
      </c>
      <c r="G1816" s="9" t="s">
        <v>17740</v>
      </c>
      <c r="H1816" s="11" t="s">
        <v>1475</v>
      </c>
      <c r="I1816" s="11" t="s">
        <v>1474</v>
      </c>
      <c r="J1816" s="11" t="s">
        <v>1474</v>
      </c>
      <c r="K1816" s="9" t="s">
        <v>28451</v>
      </c>
      <c r="L1816" s="9" t="s">
        <v>17744</v>
      </c>
      <c r="M1816" s="9" t="s">
        <v>28452</v>
      </c>
      <c r="N1816" s="9" t="s">
        <v>17746</v>
      </c>
      <c r="O1816" s="9" t="s">
        <v>487</v>
      </c>
      <c r="P1816" s="9" t="s">
        <v>17748</v>
      </c>
      <c r="Q1816" s="11" t="s">
        <v>18341</v>
      </c>
      <c r="R1816" s="11" t="s">
        <v>18341</v>
      </c>
      <c r="S1816" s="11" t="s">
        <v>17750</v>
      </c>
    </row>
    <row r="1817" spans="1:19" s="6" customFormat="1" x14ac:dyDescent="0.2">
      <c r="A1817" s="11" t="s">
        <v>28453</v>
      </c>
      <c r="B1817" s="9" t="s">
        <v>28454</v>
      </c>
      <c r="C1817" s="9" t="s">
        <v>28455</v>
      </c>
      <c r="D1817" s="9" t="s">
        <v>28456</v>
      </c>
      <c r="E1817" s="9" t="s">
        <v>17740</v>
      </c>
      <c r="F1817" s="9" t="s">
        <v>17741</v>
      </c>
      <c r="G1817" s="9" t="s">
        <v>17740</v>
      </c>
      <c r="H1817" s="11" t="s">
        <v>17741</v>
      </c>
      <c r="I1817" s="11" t="s">
        <v>5127</v>
      </c>
      <c r="J1817" s="11" t="s">
        <v>5127</v>
      </c>
      <c r="K1817" s="9" t="s">
        <v>17758</v>
      </c>
      <c r="L1817" s="9" t="s">
        <v>17744</v>
      </c>
      <c r="M1817" s="9" t="s">
        <v>17942</v>
      </c>
      <c r="N1817" s="9" t="s">
        <v>17746</v>
      </c>
      <c r="O1817" s="9" t="s">
        <v>487</v>
      </c>
      <c r="P1817" s="9" t="s">
        <v>17748</v>
      </c>
      <c r="Q1817" s="11" t="s">
        <v>18364</v>
      </c>
      <c r="R1817" s="11" t="s">
        <v>18364</v>
      </c>
      <c r="S1817" s="11" t="s">
        <v>17750</v>
      </c>
    </row>
    <row r="1818" spans="1:19" x14ac:dyDescent="0.2">
      <c r="A1818" s="11" t="s">
        <v>28457</v>
      </c>
      <c r="B1818" s="9" t="s">
        <v>28458</v>
      </c>
      <c r="C1818" s="9" t="s">
        <v>28459</v>
      </c>
      <c r="D1818" s="9" t="s">
        <v>28460</v>
      </c>
      <c r="E1818" s="9" t="s">
        <v>17748</v>
      </c>
      <c r="F1818" s="9" t="s">
        <v>28461</v>
      </c>
      <c r="G1818" s="9" t="s">
        <v>17740</v>
      </c>
      <c r="H1818" s="11" t="s">
        <v>28462</v>
      </c>
      <c r="I1818" s="11" t="s">
        <v>28463</v>
      </c>
      <c r="J1818" s="11" t="s">
        <v>28463</v>
      </c>
      <c r="K1818" s="9" t="s">
        <v>17089</v>
      </c>
      <c r="L1818" s="9" t="s">
        <v>18158</v>
      </c>
      <c r="M1818" s="9" t="s">
        <v>28464</v>
      </c>
      <c r="N1818" s="9" t="s">
        <v>17746</v>
      </c>
      <c r="O1818" s="9" t="s">
        <v>18481</v>
      </c>
      <c r="P1818" s="9" t="s">
        <v>17748</v>
      </c>
      <c r="Q1818" s="11" t="s">
        <v>17784</v>
      </c>
      <c r="R1818" s="11" t="s">
        <v>17784</v>
      </c>
      <c r="S1818" s="11" t="s">
        <v>17750</v>
      </c>
    </row>
    <row r="1819" spans="1:19" x14ac:dyDescent="0.2">
      <c r="A1819" s="11" t="s">
        <v>28465</v>
      </c>
      <c r="B1819" s="9" t="s">
        <v>28466</v>
      </c>
      <c r="C1819" s="9" t="s">
        <v>28467</v>
      </c>
      <c r="D1819" s="9" t="s">
        <v>28468</v>
      </c>
      <c r="E1819" s="9" t="s">
        <v>17740</v>
      </c>
      <c r="F1819" s="9" t="s">
        <v>28469</v>
      </c>
      <c r="G1819" s="9" t="s">
        <v>17740</v>
      </c>
      <c r="H1819" s="11" t="s">
        <v>7716</v>
      </c>
      <c r="I1819" s="11" t="s">
        <v>7715</v>
      </c>
      <c r="J1819" s="11" t="s">
        <v>7715</v>
      </c>
      <c r="K1819" s="9" t="s">
        <v>22706</v>
      </c>
      <c r="L1819" s="9" t="s">
        <v>17744</v>
      </c>
      <c r="M1819" s="9" t="s">
        <v>28470</v>
      </c>
      <c r="N1819" s="9" t="s">
        <v>17746</v>
      </c>
      <c r="O1819" s="9" t="s">
        <v>18363</v>
      </c>
      <c r="P1819" s="9" t="s">
        <v>17748</v>
      </c>
      <c r="Q1819" s="11" t="s">
        <v>17749</v>
      </c>
      <c r="R1819" s="11" t="s">
        <v>17749</v>
      </c>
      <c r="S1819" s="11" t="s">
        <v>17750</v>
      </c>
    </row>
    <row r="1820" spans="1:19" x14ac:dyDescent="0.2">
      <c r="A1820" s="11" t="s">
        <v>28471</v>
      </c>
      <c r="B1820" s="9" t="s">
        <v>28472</v>
      </c>
      <c r="C1820" s="9" t="s">
        <v>28473</v>
      </c>
      <c r="D1820" s="9" t="s">
        <v>28474</v>
      </c>
      <c r="E1820" s="9" t="s">
        <v>17740</v>
      </c>
      <c r="F1820" s="9" t="s">
        <v>17741</v>
      </c>
      <c r="G1820" s="9" t="s">
        <v>17740</v>
      </c>
      <c r="H1820" s="11" t="s">
        <v>28475</v>
      </c>
      <c r="I1820" s="11" t="s">
        <v>28476</v>
      </c>
      <c r="J1820" s="11" t="s">
        <v>28476</v>
      </c>
      <c r="K1820" s="9" t="s">
        <v>23527</v>
      </c>
      <c r="L1820" s="9" t="s">
        <v>17744</v>
      </c>
      <c r="M1820" s="9" t="s">
        <v>28477</v>
      </c>
      <c r="N1820" s="9" t="s">
        <v>17746</v>
      </c>
      <c r="O1820" s="9" t="s">
        <v>24046</v>
      </c>
      <c r="P1820" s="9" t="s">
        <v>17748</v>
      </c>
      <c r="Q1820" s="11" t="s">
        <v>18080</v>
      </c>
      <c r="R1820" s="11" t="s">
        <v>18080</v>
      </c>
      <c r="S1820" s="11" t="s">
        <v>17750</v>
      </c>
    </row>
    <row r="1821" spans="1:19" x14ac:dyDescent="0.2">
      <c r="A1821" s="11" t="s">
        <v>28478</v>
      </c>
      <c r="B1821" s="9" t="s">
        <v>28479</v>
      </c>
      <c r="C1821" s="9" t="s">
        <v>28480</v>
      </c>
      <c r="D1821" s="9" t="s">
        <v>28481</v>
      </c>
      <c r="E1821" s="9" t="s">
        <v>17740</v>
      </c>
      <c r="F1821" s="9" t="s">
        <v>17741</v>
      </c>
      <c r="G1821" s="9" t="s">
        <v>17740</v>
      </c>
      <c r="H1821" s="11" t="s">
        <v>5928</v>
      </c>
      <c r="I1821" s="11" t="s">
        <v>5927</v>
      </c>
      <c r="J1821" s="11" t="s">
        <v>5927</v>
      </c>
      <c r="K1821" s="9" t="s">
        <v>17758</v>
      </c>
      <c r="L1821" s="9" t="s">
        <v>17744</v>
      </c>
      <c r="M1821" s="9" t="s">
        <v>17769</v>
      </c>
      <c r="N1821" s="9" t="s">
        <v>17746</v>
      </c>
      <c r="O1821" s="9" t="s">
        <v>28482</v>
      </c>
      <c r="P1821" s="9" t="s">
        <v>17748</v>
      </c>
      <c r="Q1821" s="11" t="s">
        <v>18080</v>
      </c>
      <c r="R1821" s="11" t="s">
        <v>18080</v>
      </c>
      <c r="S1821" s="11" t="s">
        <v>17750</v>
      </c>
    </row>
    <row r="1822" spans="1:19" x14ac:dyDescent="0.2">
      <c r="A1822" s="11" t="s">
        <v>28483</v>
      </c>
      <c r="B1822" s="9" t="s">
        <v>28484</v>
      </c>
      <c r="C1822" s="9" t="s">
        <v>28485</v>
      </c>
      <c r="D1822" s="9" t="s">
        <v>28486</v>
      </c>
      <c r="E1822" s="9" t="s">
        <v>17740</v>
      </c>
      <c r="F1822" s="9" t="s">
        <v>17741</v>
      </c>
      <c r="G1822" s="9" t="s">
        <v>17740</v>
      </c>
      <c r="H1822" s="11" t="s">
        <v>7274</v>
      </c>
      <c r="I1822" s="11" t="s">
        <v>7273</v>
      </c>
      <c r="J1822" s="11" t="s">
        <v>7273</v>
      </c>
      <c r="K1822" s="9" t="s">
        <v>18661</v>
      </c>
      <c r="L1822" s="9" t="s">
        <v>18158</v>
      </c>
      <c r="M1822" s="9" t="s">
        <v>17817</v>
      </c>
      <c r="N1822" s="9" t="s">
        <v>17746</v>
      </c>
      <c r="O1822" s="9" t="s">
        <v>28487</v>
      </c>
      <c r="P1822" s="9" t="s">
        <v>17748</v>
      </c>
      <c r="Q1822" s="11" t="s">
        <v>18364</v>
      </c>
      <c r="R1822" s="11" t="s">
        <v>18364</v>
      </c>
      <c r="S1822" s="11" t="s">
        <v>17750</v>
      </c>
    </row>
    <row r="1823" spans="1:19" x14ac:dyDescent="0.2">
      <c r="A1823" s="11" t="s">
        <v>28488</v>
      </c>
      <c r="B1823" s="9" t="s">
        <v>28489</v>
      </c>
      <c r="C1823" s="9" t="s">
        <v>28490</v>
      </c>
      <c r="D1823" s="9" t="s">
        <v>28491</v>
      </c>
      <c r="E1823" s="9" t="s">
        <v>17740</v>
      </c>
      <c r="F1823" s="9" t="s">
        <v>17741</v>
      </c>
      <c r="G1823" s="9" t="s">
        <v>17740</v>
      </c>
      <c r="H1823" s="11" t="s">
        <v>9425</v>
      </c>
      <c r="I1823" s="11" t="s">
        <v>9424</v>
      </c>
      <c r="J1823" s="11" t="s">
        <v>9424</v>
      </c>
      <c r="K1823" s="9" t="s">
        <v>18520</v>
      </c>
      <c r="L1823" s="9" t="s">
        <v>17744</v>
      </c>
      <c r="M1823" s="9" t="s">
        <v>26994</v>
      </c>
      <c r="N1823" s="9" t="s">
        <v>17746</v>
      </c>
      <c r="O1823" s="9" t="s">
        <v>28492</v>
      </c>
      <c r="P1823" s="9" t="s">
        <v>17748</v>
      </c>
      <c r="Q1823" s="11" t="s">
        <v>17994</v>
      </c>
      <c r="R1823" s="11" t="s">
        <v>17994</v>
      </c>
      <c r="S1823" s="11" t="s">
        <v>17750</v>
      </c>
    </row>
    <row r="1824" spans="1:19" x14ac:dyDescent="0.2">
      <c r="A1824" s="11" t="s">
        <v>28493</v>
      </c>
      <c r="B1824" s="9" t="s">
        <v>28494</v>
      </c>
      <c r="C1824" s="9" t="s">
        <v>28495</v>
      </c>
      <c r="D1824" s="9" t="s">
        <v>28496</v>
      </c>
      <c r="E1824" s="9" t="s">
        <v>17748</v>
      </c>
      <c r="F1824" s="9" t="s">
        <v>28497</v>
      </c>
      <c r="G1824" s="9" t="s">
        <v>17740</v>
      </c>
      <c r="H1824" s="11" t="s">
        <v>1478</v>
      </c>
      <c r="I1824" s="11" t="s">
        <v>1477</v>
      </c>
      <c r="J1824" s="11" t="s">
        <v>1477</v>
      </c>
      <c r="K1824" s="9" t="s">
        <v>91</v>
      </c>
      <c r="L1824" s="9" t="s">
        <v>18158</v>
      </c>
      <c r="M1824" s="9" t="s">
        <v>17817</v>
      </c>
      <c r="N1824" s="9" t="s">
        <v>17746</v>
      </c>
      <c r="O1824" s="9" t="s">
        <v>18125</v>
      </c>
      <c r="P1824" s="9" t="s">
        <v>17748</v>
      </c>
      <c r="Q1824" s="11" t="s">
        <v>18251</v>
      </c>
      <c r="R1824" s="11" t="s">
        <v>18251</v>
      </c>
      <c r="S1824" s="11" t="s">
        <v>17750</v>
      </c>
    </row>
    <row r="1825" spans="1:19" x14ac:dyDescent="0.2">
      <c r="A1825" s="11" t="s">
        <v>28498</v>
      </c>
      <c r="B1825" s="9" t="s">
        <v>28499</v>
      </c>
      <c r="C1825" s="9" t="s">
        <v>28500</v>
      </c>
      <c r="D1825" s="9" t="s">
        <v>28501</v>
      </c>
      <c r="E1825" s="9" t="s">
        <v>17740</v>
      </c>
      <c r="F1825" s="9" t="s">
        <v>17741</v>
      </c>
      <c r="G1825" s="9" t="s">
        <v>17740</v>
      </c>
      <c r="H1825" s="11" t="s">
        <v>17741</v>
      </c>
      <c r="I1825" s="11" t="s">
        <v>28502</v>
      </c>
      <c r="J1825" s="11" t="s">
        <v>28502</v>
      </c>
      <c r="K1825" s="9" t="s">
        <v>28503</v>
      </c>
      <c r="L1825" s="9" t="s">
        <v>18158</v>
      </c>
      <c r="M1825" s="9" t="s">
        <v>17942</v>
      </c>
      <c r="N1825" s="9" t="s">
        <v>17746</v>
      </c>
      <c r="O1825" s="9" t="s">
        <v>18125</v>
      </c>
      <c r="P1825" s="9" t="s">
        <v>17748</v>
      </c>
      <c r="Q1825" s="11" t="s">
        <v>17978</v>
      </c>
      <c r="R1825" s="11" t="s">
        <v>17978</v>
      </c>
      <c r="S1825" s="11" t="s">
        <v>17750</v>
      </c>
    </row>
    <row r="1826" spans="1:19" x14ac:dyDescent="0.2">
      <c r="A1826" s="11" t="s">
        <v>28504</v>
      </c>
      <c r="B1826" s="9" t="s">
        <v>28505</v>
      </c>
      <c r="C1826" s="9" t="s">
        <v>28506</v>
      </c>
      <c r="D1826" s="9" t="s">
        <v>28507</v>
      </c>
      <c r="E1826" s="9" t="s">
        <v>17740</v>
      </c>
      <c r="F1826" s="9" t="s">
        <v>28508</v>
      </c>
      <c r="G1826" s="9" t="s">
        <v>17740</v>
      </c>
      <c r="H1826" s="11" t="s">
        <v>1482</v>
      </c>
      <c r="I1826" s="11" t="s">
        <v>1481</v>
      </c>
      <c r="J1826" s="11" t="s">
        <v>1481</v>
      </c>
      <c r="K1826" s="9" t="s">
        <v>23527</v>
      </c>
      <c r="L1826" s="9" t="s">
        <v>17744</v>
      </c>
      <c r="M1826" s="9" t="s">
        <v>18289</v>
      </c>
      <c r="N1826" s="9" t="s">
        <v>17746</v>
      </c>
      <c r="O1826" s="9" t="s">
        <v>17993</v>
      </c>
      <c r="P1826" s="9" t="s">
        <v>17748</v>
      </c>
      <c r="Q1826" s="11" t="s">
        <v>18282</v>
      </c>
      <c r="R1826" s="11" t="s">
        <v>18282</v>
      </c>
      <c r="S1826" s="11" t="s">
        <v>17750</v>
      </c>
    </row>
    <row r="1827" spans="1:19" x14ac:dyDescent="0.2">
      <c r="A1827" s="11" t="s">
        <v>28509</v>
      </c>
      <c r="B1827" s="9" t="s">
        <v>28510</v>
      </c>
      <c r="C1827" s="9" t="s">
        <v>28511</v>
      </c>
      <c r="D1827" s="9" t="s">
        <v>28512</v>
      </c>
      <c r="E1827" s="9" t="s">
        <v>17740</v>
      </c>
      <c r="F1827" s="9" t="s">
        <v>28513</v>
      </c>
      <c r="G1827" s="9" t="s">
        <v>17740</v>
      </c>
      <c r="H1827" s="11" t="s">
        <v>4650</v>
      </c>
      <c r="I1827" s="11" t="s">
        <v>4649</v>
      </c>
      <c r="J1827" s="11" t="s">
        <v>4649</v>
      </c>
      <c r="K1827" s="9" t="s">
        <v>17783</v>
      </c>
      <c r="L1827" s="9" t="s">
        <v>18158</v>
      </c>
      <c r="M1827" s="9" t="s">
        <v>18289</v>
      </c>
      <c r="N1827" s="9" t="s">
        <v>17746</v>
      </c>
      <c r="O1827" s="9" t="s">
        <v>25405</v>
      </c>
      <c r="P1827" s="9" t="s">
        <v>17748</v>
      </c>
      <c r="Q1827" s="11" t="s">
        <v>18678</v>
      </c>
      <c r="R1827" s="11" t="s">
        <v>18678</v>
      </c>
      <c r="S1827" s="11" t="s">
        <v>17750</v>
      </c>
    </row>
    <row r="1828" spans="1:19" x14ac:dyDescent="0.2">
      <c r="A1828" s="11" t="s">
        <v>28514</v>
      </c>
      <c r="B1828" s="9" t="s">
        <v>28515</v>
      </c>
      <c r="C1828" s="9" t="s">
        <v>28516</v>
      </c>
      <c r="D1828" s="9" t="s">
        <v>28517</v>
      </c>
      <c r="E1828" s="9" t="s">
        <v>17740</v>
      </c>
      <c r="F1828" s="9" t="s">
        <v>28518</v>
      </c>
      <c r="G1828" s="9" t="s">
        <v>17740</v>
      </c>
      <c r="H1828" s="11" t="s">
        <v>4594</v>
      </c>
      <c r="I1828" s="11" t="s">
        <v>4593</v>
      </c>
      <c r="J1828" s="11" t="s">
        <v>4593</v>
      </c>
      <c r="K1828" s="9" t="s">
        <v>315</v>
      </c>
      <c r="L1828" s="9" t="s">
        <v>17744</v>
      </c>
      <c r="M1828" s="9" t="s">
        <v>17817</v>
      </c>
      <c r="N1828" s="9" t="s">
        <v>17746</v>
      </c>
      <c r="O1828" s="9" t="s">
        <v>18543</v>
      </c>
      <c r="P1828" s="9" t="s">
        <v>17748</v>
      </c>
      <c r="Q1828" s="11" t="s">
        <v>18678</v>
      </c>
      <c r="R1828" s="11" t="s">
        <v>18678</v>
      </c>
      <c r="S1828" s="11" t="s">
        <v>17750</v>
      </c>
    </row>
    <row r="1829" spans="1:19" x14ac:dyDescent="0.2">
      <c r="A1829" s="11" t="s">
        <v>28519</v>
      </c>
      <c r="B1829" s="9" t="s">
        <v>28520</v>
      </c>
      <c r="C1829" s="9" t="s">
        <v>28521</v>
      </c>
      <c r="D1829" s="9" t="s">
        <v>28522</v>
      </c>
      <c r="E1829" s="9" t="s">
        <v>17740</v>
      </c>
      <c r="F1829" s="9" t="s">
        <v>28523</v>
      </c>
      <c r="G1829" s="9" t="s">
        <v>17740</v>
      </c>
      <c r="H1829" s="11" t="s">
        <v>1485</v>
      </c>
      <c r="I1829" s="11" t="s">
        <v>1484</v>
      </c>
      <c r="J1829" s="11" t="s">
        <v>1484</v>
      </c>
      <c r="K1829" s="9" t="s">
        <v>167</v>
      </c>
      <c r="L1829" s="9" t="s">
        <v>18158</v>
      </c>
      <c r="M1829" s="9" t="s">
        <v>18289</v>
      </c>
      <c r="N1829" s="9" t="s">
        <v>17746</v>
      </c>
      <c r="O1829" s="9" t="s">
        <v>17779</v>
      </c>
      <c r="P1829" s="9" t="s">
        <v>17748</v>
      </c>
      <c r="Q1829" s="11" t="s">
        <v>18282</v>
      </c>
      <c r="R1829" s="11" t="s">
        <v>18282</v>
      </c>
      <c r="S1829" s="11" t="s">
        <v>17750</v>
      </c>
    </row>
    <row r="1830" spans="1:19" x14ac:dyDescent="0.2">
      <c r="A1830" s="11" t="s">
        <v>28524</v>
      </c>
      <c r="B1830" s="9" t="s">
        <v>28525</v>
      </c>
      <c r="C1830" s="9" t="s">
        <v>28526</v>
      </c>
      <c r="D1830" s="9" t="s">
        <v>28527</v>
      </c>
      <c r="E1830" s="9" t="s">
        <v>17740</v>
      </c>
      <c r="F1830" s="9" t="s">
        <v>17741</v>
      </c>
      <c r="G1830" s="9" t="s">
        <v>17740</v>
      </c>
      <c r="H1830" s="11" t="s">
        <v>7741</v>
      </c>
      <c r="I1830" s="11" t="s">
        <v>7740</v>
      </c>
      <c r="J1830" s="11" t="s">
        <v>7740</v>
      </c>
      <c r="K1830" s="9" t="s">
        <v>291</v>
      </c>
      <c r="L1830" s="9" t="s">
        <v>17744</v>
      </c>
      <c r="M1830" s="9" t="s">
        <v>18533</v>
      </c>
      <c r="N1830" s="9" t="s">
        <v>17746</v>
      </c>
      <c r="O1830" s="9" t="s">
        <v>28528</v>
      </c>
      <c r="P1830" s="9" t="s">
        <v>17748</v>
      </c>
      <c r="Q1830" s="11" t="s">
        <v>18201</v>
      </c>
      <c r="R1830" s="11" t="s">
        <v>18201</v>
      </c>
      <c r="S1830" s="11" t="s">
        <v>17750</v>
      </c>
    </row>
    <row r="1831" spans="1:19" x14ac:dyDescent="0.2">
      <c r="A1831" s="11" t="s">
        <v>28529</v>
      </c>
      <c r="B1831" s="9" t="s">
        <v>28530</v>
      </c>
      <c r="C1831" s="9" t="s">
        <v>28531</v>
      </c>
      <c r="D1831" s="9" t="s">
        <v>28532</v>
      </c>
      <c r="E1831" s="9" t="s">
        <v>17740</v>
      </c>
      <c r="F1831" s="9" t="s">
        <v>17741</v>
      </c>
      <c r="G1831" s="9" t="s">
        <v>17740</v>
      </c>
      <c r="H1831" s="11" t="s">
        <v>28533</v>
      </c>
      <c r="I1831" s="11" t="s">
        <v>28534</v>
      </c>
      <c r="J1831" s="11" t="s">
        <v>28534</v>
      </c>
      <c r="K1831" s="9" t="s">
        <v>970</v>
      </c>
      <c r="L1831" s="9" t="s">
        <v>17744</v>
      </c>
      <c r="M1831" s="9" t="s">
        <v>17778</v>
      </c>
      <c r="N1831" s="9" t="s">
        <v>17746</v>
      </c>
      <c r="O1831" s="9" t="s">
        <v>25960</v>
      </c>
      <c r="P1831" s="9" t="s">
        <v>17748</v>
      </c>
      <c r="Q1831" s="11" t="s">
        <v>18272</v>
      </c>
      <c r="R1831" s="11" t="s">
        <v>18272</v>
      </c>
      <c r="S1831" s="11" t="s">
        <v>17750</v>
      </c>
    </row>
    <row r="1832" spans="1:19" x14ac:dyDescent="0.2">
      <c r="A1832" s="11" t="s">
        <v>28535</v>
      </c>
      <c r="B1832" s="9" t="s">
        <v>28536</v>
      </c>
      <c r="C1832" s="9" t="s">
        <v>28537</v>
      </c>
      <c r="D1832" s="9" t="s">
        <v>28538</v>
      </c>
      <c r="E1832" s="9" t="s">
        <v>17740</v>
      </c>
      <c r="F1832" s="9" t="s">
        <v>17741</v>
      </c>
      <c r="G1832" s="9" t="s">
        <v>17740</v>
      </c>
      <c r="H1832" s="11" t="s">
        <v>5695</v>
      </c>
      <c r="I1832" s="11" t="s">
        <v>5694</v>
      </c>
      <c r="J1832" s="11" t="s">
        <v>5694</v>
      </c>
      <c r="K1832" s="9" t="s">
        <v>948</v>
      </c>
      <c r="L1832" s="9" t="s">
        <v>20359</v>
      </c>
      <c r="M1832" s="9" t="s">
        <v>22388</v>
      </c>
      <c r="N1832" s="9" t="s">
        <v>17746</v>
      </c>
      <c r="O1832" s="9" t="s">
        <v>5790</v>
      </c>
      <c r="P1832" s="9" t="s">
        <v>17748</v>
      </c>
      <c r="Q1832" s="11" t="s">
        <v>18080</v>
      </c>
      <c r="R1832" s="11" t="s">
        <v>18080</v>
      </c>
      <c r="S1832" s="11" t="s">
        <v>17750</v>
      </c>
    </row>
    <row r="1833" spans="1:19" x14ac:dyDescent="0.2">
      <c r="A1833" s="11" t="s">
        <v>28539</v>
      </c>
      <c r="B1833" s="9" t="s">
        <v>28540</v>
      </c>
      <c r="C1833" s="9" t="s">
        <v>28541</v>
      </c>
      <c r="D1833" s="9" t="s">
        <v>28542</v>
      </c>
      <c r="E1833" s="9" t="s">
        <v>17740</v>
      </c>
      <c r="F1833" s="9" t="s">
        <v>17741</v>
      </c>
      <c r="G1833" s="9" t="s">
        <v>17740</v>
      </c>
      <c r="H1833" s="11" t="s">
        <v>1488</v>
      </c>
      <c r="I1833" s="11" t="s">
        <v>1487</v>
      </c>
      <c r="J1833" s="11" t="s">
        <v>1487</v>
      </c>
      <c r="K1833" s="9" t="s">
        <v>28543</v>
      </c>
      <c r="L1833" s="9" t="s">
        <v>20359</v>
      </c>
      <c r="M1833" s="9" t="s">
        <v>17760</v>
      </c>
      <c r="N1833" s="9" t="s">
        <v>17746</v>
      </c>
      <c r="O1833" s="9" t="s">
        <v>3391</v>
      </c>
      <c r="P1833" s="9" t="s">
        <v>17748</v>
      </c>
      <c r="Q1833" s="11" t="s">
        <v>19026</v>
      </c>
      <c r="R1833" s="11" t="s">
        <v>19026</v>
      </c>
      <c r="S1833" s="11" t="s">
        <v>17750</v>
      </c>
    </row>
    <row r="1834" spans="1:19" x14ac:dyDescent="0.2">
      <c r="A1834" s="11" t="s">
        <v>28544</v>
      </c>
      <c r="B1834" s="9" t="s">
        <v>28545</v>
      </c>
      <c r="C1834" s="9" t="s">
        <v>28546</v>
      </c>
      <c r="D1834" s="9" t="s">
        <v>28547</v>
      </c>
      <c r="E1834" s="9" t="s">
        <v>17740</v>
      </c>
      <c r="F1834" s="9" t="s">
        <v>17741</v>
      </c>
      <c r="G1834" s="9" t="s">
        <v>17740</v>
      </c>
      <c r="H1834" s="11" t="s">
        <v>11263</v>
      </c>
      <c r="I1834" s="11" t="s">
        <v>11262</v>
      </c>
      <c r="J1834" s="11" t="s">
        <v>11262</v>
      </c>
      <c r="K1834" s="9" t="s">
        <v>17758</v>
      </c>
      <c r="L1834" s="9" t="s">
        <v>17744</v>
      </c>
      <c r="M1834" s="9" t="s">
        <v>17760</v>
      </c>
      <c r="N1834" s="9" t="s">
        <v>17746</v>
      </c>
      <c r="O1834" s="9" t="s">
        <v>17807</v>
      </c>
      <c r="P1834" s="9" t="s">
        <v>17748</v>
      </c>
      <c r="Q1834" s="11" t="s">
        <v>17808</v>
      </c>
      <c r="R1834" s="11" t="s">
        <v>17808</v>
      </c>
      <c r="S1834" s="11" t="s">
        <v>17750</v>
      </c>
    </row>
    <row r="1835" spans="1:19" x14ac:dyDescent="0.2">
      <c r="A1835" s="11" t="s">
        <v>28548</v>
      </c>
      <c r="B1835" s="9" t="s">
        <v>28549</v>
      </c>
      <c r="C1835" s="9" t="s">
        <v>28550</v>
      </c>
      <c r="D1835" s="9" t="s">
        <v>28551</v>
      </c>
      <c r="E1835" s="9" t="s">
        <v>17748</v>
      </c>
      <c r="F1835" s="9" t="s">
        <v>28552</v>
      </c>
      <c r="G1835" s="9" t="s">
        <v>17740</v>
      </c>
      <c r="H1835" s="11" t="s">
        <v>6197</v>
      </c>
      <c r="I1835" s="11" t="s">
        <v>6196</v>
      </c>
      <c r="J1835" s="11" t="s">
        <v>6196</v>
      </c>
      <c r="K1835" s="9" t="s">
        <v>2559</v>
      </c>
      <c r="L1835" s="9" t="s">
        <v>17744</v>
      </c>
      <c r="M1835" s="9" t="s">
        <v>17817</v>
      </c>
      <c r="N1835" s="9" t="s">
        <v>17746</v>
      </c>
      <c r="O1835" s="9" t="s">
        <v>1535</v>
      </c>
      <c r="P1835" s="9" t="s">
        <v>17748</v>
      </c>
      <c r="Q1835" s="11" t="s">
        <v>17808</v>
      </c>
      <c r="R1835" s="11" t="s">
        <v>17808</v>
      </c>
      <c r="S1835" s="11" t="s">
        <v>17750</v>
      </c>
    </row>
    <row r="1836" spans="1:19" x14ac:dyDescent="0.2">
      <c r="A1836" s="11" t="s">
        <v>28553</v>
      </c>
      <c r="B1836" s="9" t="s">
        <v>28554</v>
      </c>
      <c r="C1836" s="9" t="s">
        <v>28555</v>
      </c>
      <c r="D1836" s="9" t="s">
        <v>28556</v>
      </c>
      <c r="E1836" s="9" t="s">
        <v>17740</v>
      </c>
      <c r="F1836" s="9" t="s">
        <v>17741</v>
      </c>
      <c r="G1836" s="9" t="s">
        <v>17740</v>
      </c>
      <c r="H1836" s="11" t="s">
        <v>1491</v>
      </c>
      <c r="I1836" s="11" t="s">
        <v>1490</v>
      </c>
      <c r="J1836" s="11" t="s">
        <v>1490</v>
      </c>
      <c r="K1836" s="9" t="s">
        <v>18876</v>
      </c>
      <c r="L1836" s="9" t="s">
        <v>18001</v>
      </c>
      <c r="M1836" s="9" t="s">
        <v>18330</v>
      </c>
      <c r="N1836" s="9" t="s">
        <v>17746</v>
      </c>
      <c r="O1836" s="9" t="s">
        <v>5136</v>
      </c>
      <c r="P1836" s="9" t="s">
        <v>17748</v>
      </c>
      <c r="Q1836" s="11" t="s">
        <v>18960</v>
      </c>
      <c r="R1836" s="11" t="s">
        <v>18960</v>
      </c>
      <c r="S1836" s="11" t="s">
        <v>17750</v>
      </c>
    </row>
    <row r="1837" spans="1:19" x14ac:dyDescent="0.2">
      <c r="A1837" s="11" t="s">
        <v>28557</v>
      </c>
      <c r="B1837" s="9" t="s">
        <v>28558</v>
      </c>
      <c r="C1837" s="9" t="s">
        <v>28559</v>
      </c>
      <c r="D1837" s="9" t="s">
        <v>28560</v>
      </c>
      <c r="E1837" s="9" t="s">
        <v>17740</v>
      </c>
      <c r="F1837" s="8" t="s">
        <v>28561</v>
      </c>
      <c r="G1837" s="9" t="s">
        <v>17740</v>
      </c>
      <c r="H1837" s="11" t="s">
        <v>28562</v>
      </c>
      <c r="I1837" s="11" t="s">
        <v>28563</v>
      </c>
      <c r="J1837" s="11" t="s">
        <v>28563</v>
      </c>
      <c r="K1837" s="9" t="s">
        <v>24870</v>
      </c>
      <c r="L1837" s="9" t="s">
        <v>18158</v>
      </c>
      <c r="M1837" s="9" t="s">
        <v>17760</v>
      </c>
      <c r="N1837" s="9" t="s">
        <v>17746</v>
      </c>
      <c r="O1837" s="9" t="s">
        <v>18340</v>
      </c>
      <c r="P1837" s="9" t="s">
        <v>17748</v>
      </c>
      <c r="Q1837" s="11" t="s">
        <v>17762</v>
      </c>
      <c r="R1837" s="11" t="s">
        <v>17762</v>
      </c>
      <c r="S1837" s="11" t="s">
        <v>17750</v>
      </c>
    </row>
    <row r="1838" spans="1:19" x14ac:dyDescent="0.2">
      <c r="A1838" s="11" t="s">
        <v>28564</v>
      </c>
      <c r="B1838" s="9" t="s">
        <v>28565</v>
      </c>
      <c r="C1838" s="9" t="s">
        <v>28566</v>
      </c>
      <c r="D1838" s="9" t="s">
        <v>28567</v>
      </c>
      <c r="E1838" s="9" t="s">
        <v>17740</v>
      </c>
      <c r="F1838" s="9" t="s">
        <v>17741</v>
      </c>
      <c r="G1838" s="9" t="s">
        <v>17740</v>
      </c>
      <c r="H1838" s="11" t="s">
        <v>5087</v>
      </c>
      <c r="I1838" s="11" t="s">
        <v>5086</v>
      </c>
      <c r="J1838" s="11" t="s">
        <v>5086</v>
      </c>
      <c r="K1838" s="9" t="s">
        <v>22907</v>
      </c>
      <c r="L1838" s="9" t="s">
        <v>17744</v>
      </c>
      <c r="M1838" s="9" t="s">
        <v>17817</v>
      </c>
      <c r="N1838" s="9" t="s">
        <v>17746</v>
      </c>
      <c r="O1838" s="9" t="s">
        <v>1675</v>
      </c>
      <c r="P1838" s="9" t="s">
        <v>17748</v>
      </c>
      <c r="Q1838" s="11" t="s">
        <v>17819</v>
      </c>
      <c r="R1838" s="11" t="s">
        <v>17819</v>
      </c>
      <c r="S1838" s="11" t="s">
        <v>17750</v>
      </c>
    </row>
    <row r="1839" spans="1:19" x14ac:dyDescent="0.2">
      <c r="A1839" s="11" t="s">
        <v>28568</v>
      </c>
      <c r="B1839" s="9" t="s">
        <v>28569</v>
      </c>
      <c r="C1839" s="9" t="s">
        <v>28570</v>
      </c>
      <c r="D1839" s="9" t="s">
        <v>28571</v>
      </c>
      <c r="E1839" s="9" t="s">
        <v>17740</v>
      </c>
      <c r="F1839" s="9" t="s">
        <v>17741</v>
      </c>
      <c r="G1839" s="9" t="s">
        <v>17740</v>
      </c>
      <c r="H1839" s="11" t="s">
        <v>8200</v>
      </c>
      <c r="I1839" s="11" t="s">
        <v>8199</v>
      </c>
      <c r="J1839" s="11" t="s">
        <v>8199</v>
      </c>
      <c r="K1839" s="9" t="s">
        <v>291</v>
      </c>
      <c r="L1839" s="9" t="s">
        <v>17744</v>
      </c>
      <c r="M1839" s="9" t="s">
        <v>17760</v>
      </c>
      <c r="N1839" s="9" t="s">
        <v>17746</v>
      </c>
      <c r="O1839" s="9" t="s">
        <v>19423</v>
      </c>
      <c r="P1839" s="9" t="s">
        <v>17748</v>
      </c>
      <c r="Q1839" s="11" t="s">
        <v>19361</v>
      </c>
      <c r="R1839" s="11" t="s">
        <v>19361</v>
      </c>
      <c r="S1839" s="11" t="s">
        <v>17750</v>
      </c>
    </row>
    <row r="1840" spans="1:19" x14ac:dyDescent="0.2">
      <c r="A1840" s="11" t="s">
        <v>28572</v>
      </c>
      <c r="B1840" s="9" t="s">
        <v>28573</v>
      </c>
      <c r="C1840" s="9" t="s">
        <v>28574</v>
      </c>
      <c r="D1840" s="9" t="s">
        <v>28575</v>
      </c>
      <c r="E1840" s="9" t="s">
        <v>17740</v>
      </c>
      <c r="F1840" s="9" t="s">
        <v>17741</v>
      </c>
      <c r="G1840" s="9" t="s">
        <v>17740</v>
      </c>
      <c r="H1840" s="11" t="s">
        <v>17741</v>
      </c>
      <c r="I1840" s="11" t="s">
        <v>1493</v>
      </c>
      <c r="J1840" s="11" t="s">
        <v>1493</v>
      </c>
      <c r="K1840" s="9" t="s">
        <v>28576</v>
      </c>
      <c r="L1840" s="9" t="s">
        <v>17991</v>
      </c>
      <c r="M1840" s="9" t="s">
        <v>17769</v>
      </c>
      <c r="N1840" s="9" t="s">
        <v>17746</v>
      </c>
      <c r="O1840" s="9" t="s">
        <v>28577</v>
      </c>
      <c r="P1840" s="9" t="s">
        <v>17748</v>
      </c>
      <c r="Q1840" s="11" t="s">
        <v>19222</v>
      </c>
      <c r="R1840" s="11" t="s">
        <v>19222</v>
      </c>
      <c r="S1840" s="11" t="s">
        <v>17750</v>
      </c>
    </row>
    <row r="1841" spans="1:19" x14ac:dyDescent="0.2">
      <c r="A1841" s="11" t="s">
        <v>28578</v>
      </c>
      <c r="B1841" s="9" t="s">
        <v>28579</v>
      </c>
      <c r="C1841" s="9" t="s">
        <v>28580</v>
      </c>
      <c r="D1841" s="9" t="s">
        <v>28581</v>
      </c>
      <c r="E1841" s="9" t="s">
        <v>17740</v>
      </c>
      <c r="F1841" s="9" t="s">
        <v>17741</v>
      </c>
      <c r="G1841" s="9" t="s">
        <v>17740</v>
      </c>
      <c r="H1841" s="11" t="s">
        <v>4396</v>
      </c>
      <c r="I1841" s="11" t="s">
        <v>4395</v>
      </c>
      <c r="J1841" s="11" t="s">
        <v>4395</v>
      </c>
      <c r="K1841" s="9" t="s">
        <v>21146</v>
      </c>
      <c r="L1841" s="9" t="s">
        <v>17744</v>
      </c>
      <c r="M1841" s="9" t="s">
        <v>19168</v>
      </c>
      <c r="N1841" s="9" t="s">
        <v>17746</v>
      </c>
      <c r="O1841" s="9" t="s">
        <v>7097</v>
      </c>
      <c r="P1841" s="9" t="s">
        <v>17748</v>
      </c>
      <c r="Q1841" s="11" t="s">
        <v>18364</v>
      </c>
      <c r="R1841" s="11" t="s">
        <v>18364</v>
      </c>
      <c r="S1841" s="11" t="s">
        <v>17750</v>
      </c>
    </row>
    <row r="1842" spans="1:19" x14ac:dyDescent="0.2">
      <c r="A1842" s="11" t="s">
        <v>28582</v>
      </c>
      <c r="B1842" s="9" t="s">
        <v>28583</v>
      </c>
      <c r="C1842" s="9" t="s">
        <v>28584</v>
      </c>
      <c r="D1842" s="9" t="s">
        <v>28585</v>
      </c>
      <c r="E1842" s="9" t="s">
        <v>17748</v>
      </c>
      <c r="F1842" s="9" t="s">
        <v>17741</v>
      </c>
      <c r="G1842" s="9" t="s">
        <v>17740</v>
      </c>
      <c r="H1842" s="11" t="s">
        <v>17741</v>
      </c>
      <c r="I1842" s="11" t="s">
        <v>28586</v>
      </c>
      <c r="J1842" s="11" t="s">
        <v>28586</v>
      </c>
      <c r="K1842" s="9" t="s">
        <v>50</v>
      </c>
      <c r="L1842" s="9" t="s">
        <v>17744</v>
      </c>
      <c r="M1842" s="9" t="s">
        <v>17942</v>
      </c>
      <c r="N1842" s="9" t="s">
        <v>17746</v>
      </c>
      <c r="O1842" s="9" t="s">
        <v>7097</v>
      </c>
      <c r="P1842" s="9" t="s">
        <v>17748</v>
      </c>
      <c r="Q1842" s="11" t="s">
        <v>18364</v>
      </c>
      <c r="R1842" s="11" t="s">
        <v>18364</v>
      </c>
      <c r="S1842" s="11" t="s">
        <v>17750</v>
      </c>
    </row>
    <row r="1843" spans="1:19" x14ac:dyDescent="0.2">
      <c r="A1843" s="11" t="s">
        <v>28587</v>
      </c>
      <c r="B1843" s="9" t="s">
        <v>28588</v>
      </c>
      <c r="C1843" s="9" t="s">
        <v>28589</v>
      </c>
      <c r="D1843" s="9" t="s">
        <v>28590</v>
      </c>
      <c r="E1843" s="9" t="s">
        <v>17740</v>
      </c>
      <c r="F1843" s="9" t="s">
        <v>28591</v>
      </c>
      <c r="G1843" s="9" t="s">
        <v>17740</v>
      </c>
      <c r="H1843" s="11" t="s">
        <v>9549</v>
      </c>
      <c r="I1843" s="11" t="s">
        <v>9548</v>
      </c>
      <c r="J1843" s="11" t="s">
        <v>9548</v>
      </c>
      <c r="K1843" s="9" t="s">
        <v>17089</v>
      </c>
      <c r="L1843" s="9" t="s">
        <v>18158</v>
      </c>
      <c r="M1843" s="9" t="s">
        <v>19283</v>
      </c>
      <c r="N1843" s="9" t="s">
        <v>17746</v>
      </c>
      <c r="O1843" s="9" t="s">
        <v>19715</v>
      </c>
      <c r="P1843" s="9" t="s">
        <v>17748</v>
      </c>
      <c r="Q1843" s="11" t="s">
        <v>18922</v>
      </c>
      <c r="R1843" s="11" t="s">
        <v>18922</v>
      </c>
      <c r="S1843" s="11" t="s">
        <v>17750</v>
      </c>
    </row>
    <row r="1844" spans="1:19" x14ac:dyDescent="0.2">
      <c r="A1844" s="11" t="s">
        <v>28592</v>
      </c>
      <c r="B1844" s="9" t="s">
        <v>28593</v>
      </c>
      <c r="C1844" s="9" t="s">
        <v>28594</v>
      </c>
      <c r="D1844" s="9" t="s">
        <v>28595</v>
      </c>
      <c r="E1844" s="9" t="s">
        <v>17740</v>
      </c>
      <c r="F1844" s="9" t="s">
        <v>17741</v>
      </c>
      <c r="G1844" s="9" t="s">
        <v>17740</v>
      </c>
      <c r="H1844" s="11" t="s">
        <v>17741</v>
      </c>
      <c r="I1844" s="11" t="s">
        <v>28596</v>
      </c>
      <c r="J1844" s="11" t="s">
        <v>28596</v>
      </c>
      <c r="K1844" s="9" t="s">
        <v>28597</v>
      </c>
      <c r="L1844" s="9" t="s">
        <v>18001</v>
      </c>
      <c r="M1844" s="9" t="s">
        <v>26461</v>
      </c>
      <c r="N1844" s="9" t="s">
        <v>17746</v>
      </c>
      <c r="O1844" s="9" t="s">
        <v>20557</v>
      </c>
      <c r="P1844" s="9" t="s">
        <v>17748</v>
      </c>
      <c r="Q1844" s="11" t="s">
        <v>17808</v>
      </c>
      <c r="R1844" s="11" t="s">
        <v>17808</v>
      </c>
      <c r="S1844" s="11" t="s">
        <v>17750</v>
      </c>
    </row>
    <row r="1845" spans="1:19" x14ac:dyDescent="0.2">
      <c r="A1845" s="11" t="s">
        <v>28598</v>
      </c>
      <c r="B1845" s="9" t="s">
        <v>28599</v>
      </c>
      <c r="C1845" s="9" t="s">
        <v>28600</v>
      </c>
      <c r="D1845" s="9" t="s">
        <v>28601</v>
      </c>
      <c r="E1845" s="9" t="s">
        <v>17740</v>
      </c>
      <c r="F1845" s="9" t="s">
        <v>17741</v>
      </c>
      <c r="G1845" s="9" t="s">
        <v>17740</v>
      </c>
      <c r="H1845" s="11" t="s">
        <v>8111</v>
      </c>
      <c r="I1845" s="11" t="s">
        <v>8110</v>
      </c>
      <c r="J1845" s="11" t="s">
        <v>8110</v>
      </c>
      <c r="K1845" s="9" t="s">
        <v>17805</v>
      </c>
      <c r="L1845" s="9" t="s">
        <v>17744</v>
      </c>
      <c r="M1845" s="9" t="s">
        <v>28602</v>
      </c>
      <c r="N1845" s="9" t="s">
        <v>17746</v>
      </c>
      <c r="O1845" s="9" t="s">
        <v>18009</v>
      </c>
      <c r="P1845" s="9" t="s">
        <v>17748</v>
      </c>
      <c r="Q1845" s="11" t="s">
        <v>18356</v>
      </c>
      <c r="R1845" s="11" t="s">
        <v>18356</v>
      </c>
      <c r="S1845" s="11" t="s">
        <v>17750</v>
      </c>
    </row>
    <row r="1846" spans="1:19" x14ac:dyDescent="0.2">
      <c r="A1846" s="11" t="s">
        <v>28603</v>
      </c>
      <c r="B1846" s="9" t="s">
        <v>28604</v>
      </c>
      <c r="C1846" s="9" t="s">
        <v>28605</v>
      </c>
      <c r="D1846" s="9" t="s">
        <v>28606</v>
      </c>
      <c r="E1846" s="9" t="s">
        <v>17740</v>
      </c>
      <c r="F1846" s="9" t="s">
        <v>28607</v>
      </c>
      <c r="G1846" s="9" t="s">
        <v>17740</v>
      </c>
      <c r="H1846" s="11" t="s">
        <v>28608</v>
      </c>
      <c r="I1846" s="11" t="s">
        <v>28609</v>
      </c>
      <c r="J1846" s="11" t="s">
        <v>28609</v>
      </c>
      <c r="K1846" s="9" t="s">
        <v>28610</v>
      </c>
      <c r="L1846" s="9" t="s">
        <v>17991</v>
      </c>
      <c r="M1846" s="9" t="s">
        <v>17760</v>
      </c>
      <c r="N1846" s="9" t="s">
        <v>17746</v>
      </c>
      <c r="O1846" s="9" t="s">
        <v>18186</v>
      </c>
      <c r="P1846" s="9" t="s">
        <v>17748</v>
      </c>
      <c r="Q1846" s="11" t="s">
        <v>18147</v>
      </c>
      <c r="R1846" s="11" t="s">
        <v>18147</v>
      </c>
      <c r="S1846" s="11" t="s">
        <v>17750</v>
      </c>
    </row>
    <row r="1847" spans="1:19" x14ac:dyDescent="0.2">
      <c r="A1847" s="11" t="s">
        <v>28611</v>
      </c>
      <c r="B1847" s="9" t="s">
        <v>28612</v>
      </c>
      <c r="C1847" s="9" t="s">
        <v>28613</v>
      </c>
      <c r="D1847" s="9" t="s">
        <v>28614</v>
      </c>
      <c r="E1847" s="9" t="s">
        <v>17740</v>
      </c>
      <c r="F1847" s="9" t="s">
        <v>17741</v>
      </c>
      <c r="G1847" s="9" t="s">
        <v>17740</v>
      </c>
      <c r="H1847" s="11" t="s">
        <v>6002</v>
      </c>
      <c r="I1847" s="11" t="s">
        <v>6001</v>
      </c>
      <c r="J1847" s="11" t="s">
        <v>6001</v>
      </c>
      <c r="K1847" s="9" t="s">
        <v>315</v>
      </c>
      <c r="L1847" s="9" t="s">
        <v>17744</v>
      </c>
      <c r="M1847" s="9" t="s">
        <v>28615</v>
      </c>
      <c r="N1847" s="9" t="s">
        <v>17746</v>
      </c>
      <c r="O1847" s="9" t="s">
        <v>18846</v>
      </c>
      <c r="P1847" s="9" t="s">
        <v>17748</v>
      </c>
      <c r="Q1847" s="11" t="s">
        <v>18147</v>
      </c>
      <c r="R1847" s="11" t="s">
        <v>18147</v>
      </c>
      <c r="S1847" s="11" t="s">
        <v>17750</v>
      </c>
    </row>
    <row r="1848" spans="1:19" x14ac:dyDescent="0.2">
      <c r="A1848" s="11" t="s">
        <v>28616</v>
      </c>
      <c r="B1848" s="9" t="s">
        <v>28617</v>
      </c>
      <c r="C1848" s="9" t="s">
        <v>28618</v>
      </c>
      <c r="D1848" s="9" t="s">
        <v>28619</v>
      </c>
      <c r="E1848" s="9" t="s">
        <v>17740</v>
      </c>
      <c r="F1848" s="9" t="s">
        <v>17741</v>
      </c>
      <c r="G1848" s="9" t="s">
        <v>17740</v>
      </c>
      <c r="H1848" s="11" t="s">
        <v>1496</v>
      </c>
      <c r="I1848" s="11" t="s">
        <v>1495</v>
      </c>
      <c r="J1848" s="11" t="s">
        <v>1495</v>
      </c>
      <c r="K1848" s="9" t="s">
        <v>18712</v>
      </c>
      <c r="L1848" s="9" t="s">
        <v>18158</v>
      </c>
      <c r="M1848" s="9" t="s">
        <v>17817</v>
      </c>
      <c r="N1848" s="9" t="s">
        <v>17746</v>
      </c>
      <c r="O1848" s="9" t="s">
        <v>18882</v>
      </c>
      <c r="P1848" s="9" t="s">
        <v>17748</v>
      </c>
      <c r="Q1848" s="11" t="s">
        <v>19899</v>
      </c>
      <c r="R1848" s="11" t="s">
        <v>19899</v>
      </c>
      <c r="S1848" s="11" t="s">
        <v>17750</v>
      </c>
    </row>
    <row r="1849" spans="1:19" x14ac:dyDescent="0.2">
      <c r="A1849" s="11" t="s">
        <v>28620</v>
      </c>
      <c r="B1849" s="9" t="s">
        <v>28621</v>
      </c>
      <c r="C1849" s="9" t="s">
        <v>28622</v>
      </c>
      <c r="D1849" s="9" t="s">
        <v>28623</v>
      </c>
      <c r="E1849" s="9" t="s">
        <v>17740</v>
      </c>
      <c r="F1849" s="9" t="s">
        <v>17741</v>
      </c>
      <c r="G1849" s="9" t="s">
        <v>17740</v>
      </c>
      <c r="H1849" s="11" t="s">
        <v>4776</v>
      </c>
      <c r="I1849" s="11" t="s">
        <v>4775</v>
      </c>
      <c r="J1849" s="11" t="s">
        <v>4775</v>
      </c>
      <c r="K1849" s="9" t="s">
        <v>18661</v>
      </c>
      <c r="L1849" s="9" t="s">
        <v>18001</v>
      </c>
      <c r="M1849" s="9" t="s">
        <v>21922</v>
      </c>
      <c r="N1849" s="9" t="s">
        <v>17746</v>
      </c>
      <c r="O1849" s="9" t="s">
        <v>5938</v>
      </c>
      <c r="P1849" s="9" t="s">
        <v>17748</v>
      </c>
      <c r="Q1849" s="11" t="s">
        <v>17819</v>
      </c>
      <c r="R1849" s="11" t="s">
        <v>17819</v>
      </c>
      <c r="S1849" s="11" t="s">
        <v>17750</v>
      </c>
    </row>
    <row r="1850" spans="1:19" x14ac:dyDescent="0.2">
      <c r="A1850" s="11" t="s">
        <v>28624</v>
      </c>
      <c r="B1850" s="9" t="s">
        <v>28625</v>
      </c>
      <c r="C1850" s="9" t="s">
        <v>28626</v>
      </c>
      <c r="D1850" s="9" t="s">
        <v>28627</v>
      </c>
      <c r="E1850" s="9" t="s">
        <v>17740</v>
      </c>
      <c r="F1850" s="9" t="s">
        <v>28628</v>
      </c>
      <c r="G1850" s="9" t="s">
        <v>17740</v>
      </c>
      <c r="H1850" s="11" t="s">
        <v>28629</v>
      </c>
      <c r="I1850" s="11" t="s">
        <v>28630</v>
      </c>
      <c r="J1850" s="11" t="s">
        <v>28630</v>
      </c>
      <c r="K1850" s="9" t="s">
        <v>28631</v>
      </c>
      <c r="L1850" s="9" t="s">
        <v>17744</v>
      </c>
      <c r="M1850" s="9" t="s">
        <v>17769</v>
      </c>
      <c r="N1850" s="9" t="s">
        <v>17746</v>
      </c>
      <c r="O1850" s="9" t="s">
        <v>18088</v>
      </c>
      <c r="P1850" s="9" t="s">
        <v>17748</v>
      </c>
      <c r="Q1850" s="11" t="s">
        <v>17784</v>
      </c>
      <c r="R1850" s="11" t="s">
        <v>17784</v>
      </c>
      <c r="S1850" s="11" t="s">
        <v>17750</v>
      </c>
    </row>
    <row r="1851" spans="1:19" x14ac:dyDescent="0.2">
      <c r="A1851" s="11" t="s">
        <v>28632</v>
      </c>
      <c r="B1851" s="9" t="s">
        <v>28633</v>
      </c>
      <c r="C1851" s="9" t="s">
        <v>28634</v>
      </c>
      <c r="D1851" s="9" t="s">
        <v>28635</v>
      </c>
      <c r="E1851" s="9" t="s">
        <v>17748</v>
      </c>
      <c r="F1851" s="9" t="s">
        <v>28636</v>
      </c>
      <c r="G1851" s="9" t="s">
        <v>17740</v>
      </c>
      <c r="H1851" s="11" t="s">
        <v>10757</v>
      </c>
      <c r="I1851" s="11" t="s">
        <v>10756</v>
      </c>
      <c r="J1851" s="11" t="s">
        <v>10756</v>
      </c>
      <c r="K1851" s="9" t="s">
        <v>91</v>
      </c>
      <c r="L1851" s="9" t="s">
        <v>18001</v>
      </c>
      <c r="M1851" s="9" t="s">
        <v>17760</v>
      </c>
      <c r="N1851" s="9" t="s">
        <v>17746</v>
      </c>
      <c r="O1851" s="9" t="s">
        <v>18846</v>
      </c>
      <c r="P1851" s="9" t="s">
        <v>17748</v>
      </c>
      <c r="Q1851" s="11" t="s">
        <v>17984</v>
      </c>
      <c r="R1851" s="11" t="s">
        <v>17984</v>
      </c>
      <c r="S1851" s="11" t="s">
        <v>17750</v>
      </c>
    </row>
    <row r="1852" spans="1:19" x14ac:dyDescent="0.2">
      <c r="A1852" s="11" t="s">
        <v>28637</v>
      </c>
      <c r="B1852" s="9" t="s">
        <v>28638</v>
      </c>
      <c r="C1852" s="9" t="s">
        <v>28639</v>
      </c>
      <c r="D1852" s="9" t="s">
        <v>28640</v>
      </c>
      <c r="E1852" s="9" t="s">
        <v>17740</v>
      </c>
      <c r="F1852" s="9" t="s">
        <v>17741</v>
      </c>
      <c r="G1852" s="9" t="s">
        <v>17740</v>
      </c>
      <c r="H1852" s="11" t="s">
        <v>10473</v>
      </c>
      <c r="I1852" s="11" t="s">
        <v>10472</v>
      </c>
      <c r="J1852" s="11" t="s">
        <v>10472</v>
      </c>
      <c r="K1852" s="9" t="s">
        <v>18570</v>
      </c>
      <c r="L1852" s="9" t="s">
        <v>17744</v>
      </c>
      <c r="M1852" s="9" t="s">
        <v>17817</v>
      </c>
      <c r="N1852" s="9" t="s">
        <v>17746</v>
      </c>
      <c r="O1852" s="9" t="s">
        <v>17993</v>
      </c>
      <c r="P1852" s="9" t="s">
        <v>17748</v>
      </c>
      <c r="Q1852" s="11" t="s">
        <v>19361</v>
      </c>
      <c r="R1852" s="11" t="s">
        <v>19361</v>
      </c>
      <c r="S1852" s="11" t="s">
        <v>17750</v>
      </c>
    </row>
    <row r="1853" spans="1:19" x14ac:dyDescent="0.2">
      <c r="A1853" s="11" t="s">
        <v>28641</v>
      </c>
      <c r="B1853" s="9" t="s">
        <v>28642</v>
      </c>
      <c r="C1853" s="9" t="s">
        <v>28643</v>
      </c>
      <c r="D1853" s="9" t="s">
        <v>28644</v>
      </c>
      <c r="E1853" s="9" t="s">
        <v>17740</v>
      </c>
      <c r="F1853" s="9" t="s">
        <v>28645</v>
      </c>
      <c r="G1853" s="9" t="s">
        <v>17740</v>
      </c>
      <c r="H1853" s="11" t="s">
        <v>1499</v>
      </c>
      <c r="I1853" s="11" t="s">
        <v>1498</v>
      </c>
      <c r="J1853" s="11" t="s">
        <v>1498</v>
      </c>
      <c r="K1853" s="9" t="s">
        <v>22330</v>
      </c>
      <c r="L1853" s="9" t="s">
        <v>20359</v>
      </c>
      <c r="M1853" s="9" t="s">
        <v>18289</v>
      </c>
      <c r="N1853" s="9" t="s">
        <v>17746</v>
      </c>
      <c r="O1853" s="9" t="s">
        <v>17882</v>
      </c>
      <c r="P1853" s="9" t="s">
        <v>17748</v>
      </c>
      <c r="Q1853" s="11" t="s">
        <v>17771</v>
      </c>
      <c r="R1853" s="11" t="s">
        <v>17771</v>
      </c>
      <c r="S1853" s="11" t="s">
        <v>17750</v>
      </c>
    </row>
    <row r="1854" spans="1:19" x14ac:dyDescent="0.2">
      <c r="A1854" s="11" t="s">
        <v>28646</v>
      </c>
      <c r="B1854" s="9" t="s">
        <v>28647</v>
      </c>
      <c r="C1854" s="9" t="s">
        <v>28648</v>
      </c>
      <c r="D1854" s="9" t="s">
        <v>28649</v>
      </c>
      <c r="E1854" s="9" t="s">
        <v>17740</v>
      </c>
      <c r="F1854" s="9" t="s">
        <v>17741</v>
      </c>
      <c r="G1854" s="9" t="s">
        <v>17740</v>
      </c>
      <c r="H1854" s="11" t="s">
        <v>6539</v>
      </c>
      <c r="I1854" s="11" t="s">
        <v>6538</v>
      </c>
      <c r="J1854" s="11" t="s">
        <v>6538</v>
      </c>
      <c r="K1854" s="9" t="s">
        <v>22893</v>
      </c>
      <c r="L1854" s="9" t="s">
        <v>17744</v>
      </c>
      <c r="M1854" s="9" t="s">
        <v>20397</v>
      </c>
      <c r="N1854" s="9" t="s">
        <v>17746</v>
      </c>
      <c r="O1854" s="9" t="s">
        <v>3100</v>
      </c>
      <c r="P1854" s="9" t="s">
        <v>17748</v>
      </c>
      <c r="Q1854" s="11" t="s">
        <v>17808</v>
      </c>
      <c r="R1854" s="11" t="s">
        <v>17808</v>
      </c>
      <c r="S1854" s="11" t="s">
        <v>17750</v>
      </c>
    </row>
    <row r="1855" spans="1:19" x14ac:dyDescent="0.2">
      <c r="A1855" s="11" t="s">
        <v>28650</v>
      </c>
      <c r="B1855" s="9" t="s">
        <v>28651</v>
      </c>
      <c r="C1855" s="9" t="s">
        <v>28652</v>
      </c>
      <c r="D1855" s="9" t="s">
        <v>28653</v>
      </c>
      <c r="E1855" s="9" t="s">
        <v>17740</v>
      </c>
      <c r="F1855" s="9" t="s">
        <v>17741</v>
      </c>
      <c r="G1855" s="9" t="s">
        <v>17740</v>
      </c>
      <c r="H1855" s="11" t="s">
        <v>4892</v>
      </c>
      <c r="I1855" s="11" t="s">
        <v>4891</v>
      </c>
      <c r="J1855" s="11" t="s">
        <v>4891</v>
      </c>
      <c r="K1855" s="9" t="s">
        <v>970</v>
      </c>
      <c r="L1855" s="9" t="s">
        <v>20359</v>
      </c>
      <c r="M1855" s="9" t="s">
        <v>27603</v>
      </c>
      <c r="N1855" s="9" t="s">
        <v>17746</v>
      </c>
      <c r="O1855" s="9" t="s">
        <v>3100</v>
      </c>
      <c r="P1855" s="9" t="s">
        <v>17748</v>
      </c>
      <c r="Q1855" s="11" t="s">
        <v>17819</v>
      </c>
      <c r="R1855" s="11" t="s">
        <v>17819</v>
      </c>
      <c r="S1855" s="11" t="s">
        <v>17750</v>
      </c>
    </row>
    <row r="1856" spans="1:19" x14ac:dyDescent="0.2">
      <c r="A1856" s="11" t="s">
        <v>28654</v>
      </c>
      <c r="B1856" s="9" t="s">
        <v>28655</v>
      </c>
      <c r="C1856" s="9" t="s">
        <v>28656</v>
      </c>
      <c r="D1856" s="9" t="s">
        <v>28657</v>
      </c>
      <c r="E1856" s="9" t="s">
        <v>17748</v>
      </c>
      <c r="F1856" s="9" t="s">
        <v>28658</v>
      </c>
      <c r="G1856" s="9" t="s">
        <v>17740</v>
      </c>
      <c r="H1856" s="11" t="s">
        <v>9553</v>
      </c>
      <c r="I1856" s="11" t="s">
        <v>9552</v>
      </c>
      <c r="J1856" s="11" t="s">
        <v>9552</v>
      </c>
      <c r="K1856" s="9" t="s">
        <v>28659</v>
      </c>
      <c r="L1856" s="9" t="s">
        <v>18158</v>
      </c>
      <c r="M1856" s="9" t="s">
        <v>17817</v>
      </c>
      <c r="N1856" s="9" t="s">
        <v>17746</v>
      </c>
      <c r="O1856" s="9" t="s">
        <v>20618</v>
      </c>
      <c r="P1856" s="9" t="s">
        <v>17748</v>
      </c>
      <c r="Q1856" s="11" t="s">
        <v>17994</v>
      </c>
      <c r="R1856" s="11" t="s">
        <v>17994</v>
      </c>
      <c r="S1856" s="11" t="s">
        <v>17750</v>
      </c>
    </row>
    <row r="1857" spans="1:19" x14ac:dyDescent="0.2">
      <c r="A1857" s="11" t="s">
        <v>28660</v>
      </c>
      <c r="B1857" s="9" t="s">
        <v>28661</v>
      </c>
      <c r="C1857" s="9" t="s">
        <v>28662</v>
      </c>
      <c r="D1857" s="9" t="s">
        <v>28663</v>
      </c>
      <c r="E1857" s="9" t="s">
        <v>17748</v>
      </c>
      <c r="F1857" s="9" t="s">
        <v>28664</v>
      </c>
      <c r="G1857" s="9" t="s">
        <v>17740</v>
      </c>
      <c r="H1857" s="11" t="s">
        <v>8148</v>
      </c>
      <c r="I1857" s="11" t="s">
        <v>8147</v>
      </c>
      <c r="J1857" s="11" t="s">
        <v>8147</v>
      </c>
      <c r="K1857" s="9" t="s">
        <v>25185</v>
      </c>
      <c r="L1857" s="9" t="s">
        <v>18158</v>
      </c>
      <c r="M1857" s="9" t="s">
        <v>21005</v>
      </c>
      <c r="N1857" s="9" t="s">
        <v>17746</v>
      </c>
      <c r="O1857" s="9" t="s">
        <v>18543</v>
      </c>
      <c r="P1857" s="9" t="s">
        <v>17748</v>
      </c>
      <c r="Q1857" s="11" t="s">
        <v>18356</v>
      </c>
      <c r="R1857" s="11" t="s">
        <v>18356</v>
      </c>
      <c r="S1857" s="11" t="s">
        <v>17750</v>
      </c>
    </row>
    <row r="1858" spans="1:19" x14ac:dyDescent="0.2">
      <c r="A1858" s="11" t="s">
        <v>28665</v>
      </c>
      <c r="B1858" s="9" t="s">
        <v>28666</v>
      </c>
      <c r="C1858" s="9" t="s">
        <v>28667</v>
      </c>
      <c r="D1858" s="9" t="s">
        <v>28668</v>
      </c>
      <c r="E1858" s="9" t="s">
        <v>17740</v>
      </c>
      <c r="F1858" s="9" t="s">
        <v>28669</v>
      </c>
      <c r="G1858" s="9" t="s">
        <v>17740</v>
      </c>
      <c r="H1858" s="11" t="s">
        <v>1552</v>
      </c>
      <c r="I1858" s="11" t="s">
        <v>1551</v>
      </c>
      <c r="J1858" s="11" t="s">
        <v>1551</v>
      </c>
      <c r="K1858" s="9" t="s">
        <v>26030</v>
      </c>
      <c r="L1858" s="9" t="s">
        <v>21771</v>
      </c>
      <c r="M1858" s="9" t="s">
        <v>18289</v>
      </c>
      <c r="N1858" s="9" t="s">
        <v>17746</v>
      </c>
      <c r="O1858" s="9" t="s">
        <v>28670</v>
      </c>
      <c r="P1858" s="9" t="s">
        <v>17748</v>
      </c>
      <c r="Q1858" s="11" t="s">
        <v>18243</v>
      </c>
      <c r="R1858" s="11" t="s">
        <v>18243</v>
      </c>
      <c r="S1858" s="11" t="s">
        <v>17750</v>
      </c>
    </row>
    <row r="1859" spans="1:19" x14ac:dyDescent="0.2">
      <c r="A1859" s="11" t="s">
        <v>28671</v>
      </c>
      <c r="B1859" s="9" t="s">
        <v>28672</v>
      </c>
      <c r="C1859" s="9" t="s">
        <v>28673</v>
      </c>
      <c r="D1859" s="9" t="s">
        <v>28674</v>
      </c>
      <c r="E1859" s="9" t="s">
        <v>17740</v>
      </c>
      <c r="F1859" s="9" t="s">
        <v>28675</v>
      </c>
      <c r="G1859" s="9" t="s">
        <v>17740</v>
      </c>
      <c r="H1859" s="11" t="s">
        <v>28676</v>
      </c>
      <c r="I1859" s="11" t="s">
        <v>28677</v>
      </c>
      <c r="J1859" s="11" t="s">
        <v>28677</v>
      </c>
      <c r="K1859" s="9" t="s">
        <v>831</v>
      </c>
      <c r="L1859" s="9" t="s">
        <v>23607</v>
      </c>
      <c r="M1859" s="9" t="s">
        <v>28678</v>
      </c>
      <c r="N1859" s="9" t="s">
        <v>17746</v>
      </c>
      <c r="O1859" s="9" t="s">
        <v>24046</v>
      </c>
      <c r="P1859" s="9" t="s">
        <v>17748</v>
      </c>
      <c r="Q1859" s="11" t="s">
        <v>18798</v>
      </c>
      <c r="R1859" s="11" t="s">
        <v>18798</v>
      </c>
      <c r="S1859" s="11" t="s">
        <v>17750</v>
      </c>
    </row>
    <row r="1860" spans="1:19" x14ac:dyDescent="0.2">
      <c r="A1860" s="11" t="s">
        <v>28679</v>
      </c>
      <c r="B1860" s="9" t="s">
        <v>28680</v>
      </c>
      <c r="C1860" s="9" t="s">
        <v>28681</v>
      </c>
      <c r="D1860" s="9" t="s">
        <v>28682</v>
      </c>
      <c r="E1860" s="9" t="s">
        <v>17740</v>
      </c>
      <c r="F1860" s="9" t="s">
        <v>17741</v>
      </c>
      <c r="G1860" s="9" t="s">
        <v>17740</v>
      </c>
      <c r="H1860" s="11" t="s">
        <v>28683</v>
      </c>
      <c r="I1860" s="11" t="s">
        <v>5690</v>
      </c>
      <c r="J1860" s="11" t="s">
        <v>5690</v>
      </c>
      <c r="K1860" s="9" t="s">
        <v>28684</v>
      </c>
      <c r="L1860" s="9" t="s">
        <v>17991</v>
      </c>
      <c r="M1860" s="9" t="s">
        <v>20344</v>
      </c>
      <c r="N1860" s="9" t="s">
        <v>17746</v>
      </c>
      <c r="O1860" s="9" t="s">
        <v>3255</v>
      </c>
      <c r="P1860" s="9" t="s">
        <v>17748</v>
      </c>
      <c r="Q1860" s="11" t="s">
        <v>18080</v>
      </c>
      <c r="R1860" s="11" t="s">
        <v>18080</v>
      </c>
      <c r="S1860" s="11" t="s">
        <v>17750</v>
      </c>
    </row>
    <row r="1861" spans="1:19" x14ac:dyDescent="0.2">
      <c r="A1861" s="11" t="s">
        <v>28685</v>
      </c>
      <c r="B1861" s="9" t="s">
        <v>28686</v>
      </c>
      <c r="C1861" s="9" t="s">
        <v>28687</v>
      </c>
      <c r="D1861" s="9" t="s">
        <v>28688</v>
      </c>
      <c r="E1861" s="9" t="s">
        <v>17740</v>
      </c>
      <c r="F1861" s="9" t="s">
        <v>17741</v>
      </c>
      <c r="G1861" s="9" t="s">
        <v>17740</v>
      </c>
      <c r="H1861" s="11" t="s">
        <v>28689</v>
      </c>
      <c r="I1861" s="11" t="s">
        <v>28690</v>
      </c>
      <c r="J1861" s="11" t="s">
        <v>28690</v>
      </c>
      <c r="K1861" s="9" t="s">
        <v>28691</v>
      </c>
      <c r="L1861" s="9" t="s">
        <v>17744</v>
      </c>
      <c r="M1861" s="9" t="s">
        <v>17760</v>
      </c>
      <c r="N1861" s="9" t="s">
        <v>17746</v>
      </c>
      <c r="O1861" s="9" t="s">
        <v>18340</v>
      </c>
      <c r="P1861" s="9" t="s">
        <v>17748</v>
      </c>
      <c r="Q1861" s="11" t="s">
        <v>18370</v>
      </c>
      <c r="R1861" s="11" t="s">
        <v>18370</v>
      </c>
      <c r="S1861" s="11" t="s">
        <v>17750</v>
      </c>
    </row>
    <row r="1862" spans="1:19" x14ac:dyDescent="0.2">
      <c r="A1862" s="11" t="s">
        <v>28692</v>
      </c>
      <c r="B1862" s="9" t="s">
        <v>28693</v>
      </c>
      <c r="C1862" s="9" t="s">
        <v>28694</v>
      </c>
      <c r="D1862" s="9" t="s">
        <v>28695</v>
      </c>
      <c r="E1862" s="9" t="s">
        <v>17748</v>
      </c>
      <c r="F1862" s="9" t="s">
        <v>28696</v>
      </c>
      <c r="G1862" s="9" t="s">
        <v>17740</v>
      </c>
      <c r="H1862" s="11" t="s">
        <v>28697</v>
      </c>
      <c r="I1862" s="11" t="s">
        <v>28698</v>
      </c>
      <c r="J1862" s="11" t="s">
        <v>28698</v>
      </c>
      <c r="K1862" s="9" t="s">
        <v>970</v>
      </c>
      <c r="L1862" s="9" t="s">
        <v>17744</v>
      </c>
      <c r="M1862" s="9" t="s">
        <v>17769</v>
      </c>
      <c r="N1862" s="9" t="s">
        <v>17746</v>
      </c>
      <c r="O1862" s="9" t="s">
        <v>18340</v>
      </c>
      <c r="P1862" s="9" t="s">
        <v>17748</v>
      </c>
      <c r="Q1862" s="11" t="s">
        <v>19361</v>
      </c>
      <c r="R1862" s="11" t="s">
        <v>19361</v>
      </c>
      <c r="S1862" s="11" t="s">
        <v>17750</v>
      </c>
    </row>
    <row r="1863" spans="1:19" x14ac:dyDescent="0.2">
      <c r="A1863" s="11" t="s">
        <v>28699</v>
      </c>
      <c r="B1863" s="9" t="s">
        <v>28700</v>
      </c>
      <c r="C1863" s="9" t="s">
        <v>28701</v>
      </c>
      <c r="D1863" s="9" t="s">
        <v>28702</v>
      </c>
      <c r="E1863" s="9" t="s">
        <v>17740</v>
      </c>
      <c r="F1863" s="9" t="s">
        <v>17741</v>
      </c>
      <c r="G1863" s="9" t="s">
        <v>17740</v>
      </c>
      <c r="H1863" s="11" t="s">
        <v>28703</v>
      </c>
      <c r="I1863" s="11" t="s">
        <v>28704</v>
      </c>
      <c r="J1863" s="11" t="s">
        <v>28704</v>
      </c>
      <c r="K1863" s="9" t="s">
        <v>55</v>
      </c>
      <c r="L1863" s="9" t="s">
        <v>17744</v>
      </c>
      <c r="M1863" s="9" t="s">
        <v>17769</v>
      </c>
      <c r="N1863" s="9" t="s">
        <v>17746</v>
      </c>
      <c r="O1863" s="9" t="s">
        <v>19754</v>
      </c>
      <c r="P1863" s="9" t="s">
        <v>17748</v>
      </c>
      <c r="Q1863" s="11" t="s">
        <v>18251</v>
      </c>
      <c r="R1863" s="11" t="s">
        <v>18251</v>
      </c>
      <c r="S1863" s="11" t="s">
        <v>17750</v>
      </c>
    </row>
    <row r="1864" spans="1:19" x14ac:dyDescent="0.2">
      <c r="A1864" s="11" t="s">
        <v>28705</v>
      </c>
      <c r="B1864" s="9" t="s">
        <v>28706</v>
      </c>
      <c r="C1864" s="9" t="s">
        <v>28707</v>
      </c>
      <c r="D1864" s="9" t="s">
        <v>28708</v>
      </c>
      <c r="E1864" s="9" t="s">
        <v>17740</v>
      </c>
      <c r="F1864" s="9" t="s">
        <v>28709</v>
      </c>
      <c r="G1864" s="9" t="s">
        <v>17740</v>
      </c>
      <c r="H1864" s="11" t="s">
        <v>17741</v>
      </c>
      <c r="I1864" s="11" t="s">
        <v>8217</v>
      </c>
      <c r="J1864" s="11" t="s">
        <v>8217</v>
      </c>
      <c r="K1864" s="9" t="s">
        <v>11245</v>
      </c>
      <c r="L1864" s="9" t="s">
        <v>20359</v>
      </c>
      <c r="M1864" s="9" t="s">
        <v>26134</v>
      </c>
      <c r="N1864" s="9" t="s">
        <v>17746</v>
      </c>
      <c r="O1864" s="9" t="s">
        <v>18027</v>
      </c>
      <c r="P1864" s="9" t="s">
        <v>17748</v>
      </c>
      <c r="Q1864" s="11" t="s">
        <v>19361</v>
      </c>
      <c r="R1864" s="11" t="s">
        <v>19361</v>
      </c>
      <c r="S1864" s="11" t="s">
        <v>17750</v>
      </c>
    </row>
    <row r="1865" spans="1:19" x14ac:dyDescent="0.2">
      <c r="A1865" s="11" t="s">
        <v>28710</v>
      </c>
      <c r="B1865" s="9" t="s">
        <v>28711</v>
      </c>
      <c r="C1865" s="9" t="s">
        <v>28712</v>
      </c>
      <c r="D1865" s="9" t="s">
        <v>28713</v>
      </c>
      <c r="E1865" s="9" t="s">
        <v>17740</v>
      </c>
      <c r="F1865" s="9" t="s">
        <v>28714</v>
      </c>
      <c r="G1865" s="9" t="s">
        <v>17740</v>
      </c>
      <c r="H1865" s="11" t="s">
        <v>17741</v>
      </c>
      <c r="I1865" s="11" t="s">
        <v>28715</v>
      </c>
      <c r="J1865" s="11" t="s">
        <v>28715</v>
      </c>
      <c r="K1865" s="9" t="s">
        <v>28716</v>
      </c>
      <c r="L1865" s="9" t="s">
        <v>17991</v>
      </c>
      <c r="M1865" s="9" t="s">
        <v>17760</v>
      </c>
      <c r="N1865" s="9" t="s">
        <v>17746</v>
      </c>
      <c r="O1865" s="9" t="s">
        <v>28400</v>
      </c>
      <c r="P1865" s="9" t="s">
        <v>17748</v>
      </c>
      <c r="Q1865" s="11" t="s">
        <v>17784</v>
      </c>
      <c r="R1865" s="11" t="s">
        <v>17784</v>
      </c>
      <c r="S1865" s="11" t="s">
        <v>17750</v>
      </c>
    </row>
    <row r="1866" spans="1:19" x14ac:dyDescent="0.2">
      <c r="A1866" s="11" t="s">
        <v>28717</v>
      </c>
      <c r="B1866" s="9" t="s">
        <v>28718</v>
      </c>
      <c r="C1866" s="9" t="s">
        <v>28719</v>
      </c>
      <c r="D1866" s="9" t="s">
        <v>28720</v>
      </c>
      <c r="E1866" s="9" t="s">
        <v>17740</v>
      </c>
      <c r="F1866" s="9" t="s">
        <v>17741</v>
      </c>
      <c r="G1866" s="9" t="s">
        <v>17740</v>
      </c>
      <c r="H1866" s="11" t="s">
        <v>7397</v>
      </c>
      <c r="I1866" s="11" t="s">
        <v>7396</v>
      </c>
      <c r="J1866" s="11" t="s">
        <v>7396</v>
      </c>
      <c r="K1866" s="9" t="s">
        <v>20259</v>
      </c>
      <c r="L1866" s="9" t="s">
        <v>17744</v>
      </c>
      <c r="M1866" s="9" t="s">
        <v>17769</v>
      </c>
      <c r="N1866" s="9" t="s">
        <v>17746</v>
      </c>
      <c r="O1866" s="9" t="s">
        <v>24849</v>
      </c>
      <c r="P1866" s="9" t="s">
        <v>17748</v>
      </c>
      <c r="Q1866" s="11" t="s">
        <v>18272</v>
      </c>
      <c r="R1866" s="11" t="s">
        <v>18272</v>
      </c>
      <c r="S1866" s="11" t="s">
        <v>17750</v>
      </c>
    </row>
    <row r="1867" spans="1:19" x14ac:dyDescent="0.2">
      <c r="A1867" s="11" t="s">
        <v>28721</v>
      </c>
      <c r="B1867" s="9" t="s">
        <v>28722</v>
      </c>
      <c r="C1867" s="9" t="s">
        <v>28723</v>
      </c>
      <c r="D1867" s="9" t="s">
        <v>28724</v>
      </c>
      <c r="E1867" s="9" t="s">
        <v>17740</v>
      </c>
      <c r="F1867" s="9" t="s">
        <v>17741</v>
      </c>
      <c r="G1867" s="9" t="s">
        <v>17740</v>
      </c>
      <c r="H1867" s="11" t="s">
        <v>7531</v>
      </c>
      <c r="I1867" s="11" t="s">
        <v>7530</v>
      </c>
      <c r="J1867" s="11" t="s">
        <v>7530</v>
      </c>
      <c r="K1867" s="9" t="s">
        <v>17805</v>
      </c>
      <c r="L1867" s="9" t="s">
        <v>17744</v>
      </c>
      <c r="M1867" s="9" t="s">
        <v>28725</v>
      </c>
      <c r="N1867" s="9" t="s">
        <v>17746</v>
      </c>
      <c r="O1867" s="9" t="s">
        <v>19127</v>
      </c>
      <c r="P1867" s="9" t="s">
        <v>17748</v>
      </c>
      <c r="Q1867" s="11" t="s">
        <v>18272</v>
      </c>
      <c r="R1867" s="11" t="s">
        <v>18272</v>
      </c>
      <c r="S1867" s="11" t="s">
        <v>17750</v>
      </c>
    </row>
    <row r="1868" spans="1:19" x14ac:dyDescent="0.2">
      <c r="A1868" s="11" t="s">
        <v>28726</v>
      </c>
      <c r="B1868" s="9" t="s">
        <v>28727</v>
      </c>
      <c r="C1868" s="9" t="s">
        <v>28728</v>
      </c>
      <c r="D1868" s="9" t="s">
        <v>28729</v>
      </c>
      <c r="E1868" s="9" t="s">
        <v>17740</v>
      </c>
      <c r="F1868" s="9" t="s">
        <v>28730</v>
      </c>
      <c r="G1868" s="9" t="s">
        <v>17740</v>
      </c>
      <c r="H1868" s="11" t="s">
        <v>5503</v>
      </c>
      <c r="I1868" s="11" t="s">
        <v>5502</v>
      </c>
      <c r="J1868" s="11" t="s">
        <v>5502</v>
      </c>
      <c r="K1868" s="9" t="s">
        <v>19244</v>
      </c>
      <c r="L1868" s="9" t="s">
        <v>17759</v>
      </c>
      <c r="M1868" s="9" t="s">
        <v>18065</v>
      </c>
      <c r="N1868" s="9" t="s">
        <v>17746</v>
      </c>
      <c r="O1868" s="9" t="s">
        <v>19059</v>
      </c>
      <c r="P1868" s="9" t="s">
        <v>17748</v>
      </c>
      <c r="Q1868" s="11" t="s">
        <v>18080</v>
      </c>
      <c r="R1868" s="11" t="s">
        <v>18080</v>
      </c>
      <c r="S1868" s="11" t="s">
        <v>17750</v>
      </c>
    </row>
    <row r="1869" spans="1:19" x14ac:dyDescent="0.2">
      <c r="A1869" s="11" t="s">
        <v>28731</v>
      </c>
      <c r="B1869" s="9" t="s">
        <v>28732</v>
      </c>
      <c r="C1869" s="9" t="s">
        <v>28733</v>
      </c>
      <c r="D1869" s="9" t="s">
        <v>28734</v>
      </c>
      <c r="E1869" s="9" t="s">
        <v>17740</v>
      </c>
      <c r="F1869" s="9" t="s">
        <v>28735</v>
      </c>
      <c r="G1869" s="9" t="s">
        <v>17740</v>
      </c>
      <c r="H1869" s="11" t="s">
        <v>1502</v>
      </c>
      <c r="I1869" s="11" t="s">
        <v>1501</v>
      </c>
      <c r="J1869" s="11" t="s">
        <v>1501</v>
      </c>
      <c r="K1869" s="9" t="s">
        <v>167</v>
      </c>
      <c r="L1869" s="9" t="s">
        <v>18158</v>
      </c>
      <c r="M1869" s="9" t="s">
        <v>18289</v>
      </c>
      <c r="N1869" s="9" t="s">
        <v>17746</v>
      </c>
      <c r="O1869" s="9" t="s">
        <v>3355</v>
      </c>
      <c r="P1869" s="9" t="s">
        <v>17748</v>
      </c>
      <c r="Q1869" s="11" t="s">
        <v>18608</v>
      </c>
      <c r="R1869" s="11" t="s">
        <v>18608</v>
      </c>
      <c r="S1869" s="11" t="s">
        <v>17750</v>
      </c>
    </row>
    <row r="1870" spans="1:19" x14ac:dyDescent="0.2">
      <c r="A1870" s="11" t="s">
        <v>28736</v>
      </c>
      <c r="B1870" s="9" t="s">
        <v>28737</v>
      </c>
      <c r="C1870" s="9" t="s">
        <v>28738</v>
      </c>
      <c r="D1870" s="9" t="s">
        <v>28739</v>
      </c>
      <c r="E1870" s="9" t="s">
        <v>17740</v>
      </c>
      <c r="F1870" s="9" t="s">
        <v>28740</v>
      </c>
      <c r="G1870" s="9" t="s">
        <v>17740</v>
      </c>
      <c r="H1870" s="11" t="s">
        <v>5976</v>
      </c>
      <c r="I1870" s="11" t="s">
        <v>5975</v>
      </c>
      <c r="J1870" s="11" t="s">
        <v>5975</v>
      </c>
      <c r="K1870" s="9" t="s">
        <v>22475</v>
      </c>
      <c r="L1870" s="9" t="s">
        <v>18001</v>
      </c>
      <c r="M1870" s="9" t="s">
        <v>27658</v>
      </c>
      <c r="N1870" s="9" t="s">
        <v>17746</v>
      </c>
      <c r="O1870" s="9" t="s">
        <v>23227</v>
      </c>
      <c r="P1870" s="9" t="s">
        <v>17748</v>
      </c>
      <c r="Q1870" s="11" t="s">
        <v>17792</v>
      </c>
      <c r="R1870" s="11" t="s">
        <v>17792</v>
      </c>
      <c r="S1870" s="11" t="s">
        <v>17750</v>
      </c>
    </row>
    <row r="1871" spans="1:19" x14ac:dyDescent="0.2">
      <c r="A1871" s="11" t="s">
        <v>28741</v>
      </c>
      <c r="B1871" s="9" t="s">
        <v>28742</v>
      </c>
      <c r="C1871" s="9" t="s">
        <v>28743</v>
      </c>
      <c r="D1871" s="9" t="s">
        <v>28744</v>
      </c>
      <c r="E1871" s="9" t="s">
        <v>17740</v>
      </c>
      <c r="F1871" s="9" t="s">
        <v>28745</v>
      </c>
      <c r="G1871" s="9" t="s">
        <v>17740</v>
      </c>
      <c r="H1871" s="11" t="s">
        <v>5561</v>
      </c>
      <c r="I1871" s="11" t="s">
        <v>5560</v>
      </c>
      <c r="J1871" s="11" t="s">
        <v>5560</v>
      </c>
      <c r="K1871" s="9" t="s">
        <v>18661</v>
      </c>
      <c r="L1871" s="9" t="s">
        <v>18001</v>
      </c>
      <c r="M1871" s="9" t="s">
        <v>17769</v>
      </c>
      <c r="N1871" s="9" t="s">
        <v>17746</v>
      </c>
      <c r="O1871" s="9" t="s">
        <v>3391</v>
      </c>
      <c r="P1871" s="9" t="s">
        <v>17748</v>
      </c>
      <c r="Q1871" s="11" t="s">
        <v>18080</v>
      </c>
      <c r="R1871" s="11" t="s">
        <v>18080</v>
      </c>
      <c r="S1871" s="11" t="s">
        <v>17750</v>
      </c>
    </row>
    <row r="1872" spans="1:19" x14ac:dyDescent="0.2">
      <c r="A1872" s="11" t="s">
        <v>28746</v>
      </c>
      <c r="B1872" s="9" t="s">
        <v>28747</v>
      </c>
      <c r="C1872" s="9" t="s">
        <v>28748</v>
      </c>
      <c r="D1872" s="9" t="s">
        <v>28749</v>
      </c>
      <c r="E1872" s="9" t="s">
        <v>17740</v>
      </c>
      <c r="F1872" s="9" t="s">
        <v>28750</v>
      </c>
      <c r="G1872" s="9" t="s">
        <v>17740</v>
      </c>
      <c r="H1872" s="11" t="s">
        <v>1505</v>
      </c>
      <c r="I1872" s="11" t="s">
        <v>1504</v>
      </c>
      <c r="J1872" s="11" t="s">
        <v>1504</v>
      </c>
      <c r="K1872" s="9" t="s">
        <v>18661</v>
      </c>
      <c r="L1872" s="9" t="s">
        <v>18001</v>
      </c>
      <c r="M1872" s="9" t="s">
        <v>28751</v>
      </c>
      <c r="N1872" s="9" t="s">
        <v>17746</v>
      </c>
      <c r="O1872" s="9" t="s">
        <v>3391</v>
      </c>
      <c r="P1872" s="9" t="s">
        <v>17748</v>
      </c>
      <c r="Q1872" s="11" t="s">
        <v>18813</v>
      </c>
      <c r="R1872" s="11" t="s">
        <v>18813</v>
      </c>
      <c r="S1872" s="11" t="s">
        <v>17750</v>
      </c>
    </row>
    <row r="1873" spans="1:19" x14ac:dyDescent="0.2">
      <c r="A1873" s="11" t="s">
        <v>28752</v>
      </c>
      <c r="B1873" s="9" t="s">
        <v>28753</v>
      </c>
      <c r="C1873" s="9" t="s">
        <v>28754</v>
      </c>
      <c r="D1873" s="9" t="s">
        <v>28755</v>
      </c>
      <c r="E1873" s="9" t="s">
        <v>17748</v>
      </c>
      <c r="F1873" s="9" t="s">
        <v>28756</v>
      </c>
      <c r="G1873" s="9" t="s">
        <v>17740</v>
      </c>
      <c r="H1873" s="11" t="s">
        <v>28757</v>
      </c>
      <c r="I1873" s="11" t="s">
        <v>28758</v>
      </c>
      <c r="J1873" s="11" t="s">
        <v>28758</v>
      </c>
      <c r="K1873" s="9" t="s">
        <v>1708</v>
      </c>
      <c r="L1873" s="9" t="s">
        <v>17991</v>
      </c>
      <c r="M1873" s="9" t="s">
        <v>26994</v>
      </c>
      <c r="N1873" s="9" t="s">
        <v>17746</v>
      </c>
      <c r="O1873" s="9" t="s">
        <v>19740</v>
      </c>
      <c r="P1873" s="9" t="s">
        <v>17748</v>
      </c>
      <c r="Q1873" s="11" t="s">
        <v>18370</v>
      </c>
      <c r="R1873" s="11" t="s">
        <v>18370</v>
      </c>
      <c r="S1873" s="11" t="s">
        <v>17750</v>
      </c>
    </row>
    <row r="1874" spans="1:19" x14ac:dyDescent="0.2">
      <c r="A1874" s="11" t="s">
        <v>28759</v>
      </c>
      <c r="B1874" s="9" t="s">
        <v>28760</v>
      </c>
      <c r="C1874" s="9" t="s">
        <v>28761</v>
      </c>
      <c r="D1874" s="9" t="s">
        <v>28762</v>
      </c>
      <c r="E1874" s="9" t="s">
        <v>17748</v>
      </c>
      <c r="F1874" s="9" t="s">
        <v>28763</v>
      </c>
      <c r="G1874" s="9" t="s">
        <v>17740</v>
      </c>
      <c r="H1874" s="11" t="s">
        <v>28764</v>
      </c>
      <c r="I1874" s="11" t="s">
        <v>16299</v>
      </c>
      <c r="J1874" s="11" t="s">
        <v>16299</v>
      </c>
      <c r="K1874" s="9" t="s">
        <v>18520</v>
      </c>
      <c r="L1874" s="9" t="s">
        <v>17744</v>
      </c>
      <c r="M1874" s="9" t="s">
        <v>17769</v>
      </c>
      <c r="N1874" s="9" t="s">
        <v>17746</v>
      </c>
      <c r="O1874" s="9" t="s">
        <v>20367</v>
      </c>
      <c r="P1874" s="9" t="s">
        <v>17748</v>
      </c>
      <c r="Q1874" s="11" t="s">
        <v>17923</v>
      </c>
      <c r="R1874" s="11" t="s">
        <v>17923</v>
      </c>
      <c r="S1874" s="11" t="s">
        <v>17750</v>
      </c>
    </row>
    <row r="1875" spans="1:19" x14ac:dyDescent="0.2">
      <c r="A1875" s="11" t="s">
        <v>28765</v>
      </c>
      <c r="B1875" s="9" t="s">
        <v>28766</v>
      </c>
      <c r="C1875" s="9" t="s">
        <v>28767</v>
      </c>
      <c r="D1875" s="9" t="s">
        <v>28768</v>
      </c>
      <c r="E1875" s="9" t="s">
        <v>17748</v>
      </c>
      <c r="F1875" s="9" t="s">
        <v>28769</v>
      </c>
      <c r="G1875" s="9" t="s">
        <v>17740</v>
      </c>
      <c r="H1875" s="11" t="s">
        <v>17741</v>
      </c>
      <c r="I1875" s="11" t="s">
        <v>28770</v>
      </c>
      <c r="J1875" s="11" t="s">
        <v>28770</v>
      </c>
      <c r="K1875" s="9" t="s">
        <v>28771</v>
      </c>
      <c r="L1875" s="9" t="s">
        <v>20446</v>
      </c>
      <c r="M1875" s="9" t="s">
        <v>18065</v>
      </c>
      <c r="N1875" s="9" t="s">
        <v>17746</v>
      </c>
      <c r="O1875" s="9" t="s">
        <v>18340</v>
      </c>
      <c r="P1875" s="9" t="s">
        <v>17748</v>
      </c>
      <c r="Q1875" s="11" t="s">
        <v>18147</v>
      </c>
      <c r="R1875" s="11" t="s">
        <v>18147</v>
      </c>
      <c r="S1875" s="11" t="s">
        <v>17750</v>
      </c>
    </row>
    <row r="1876" spans="1:19" x14ac:dyDescent="0.2">
      <c r="A1876" s="11" t="s">
        <v>28772</v>
      </c>
      <c r="B1876" s="9" t="s">
        <v>28773</v>
      </c>
      <c r="C1876" s="9" t="s">
        <v>28774</v>
      </c>
      <c r="D1876" s="9" t="s">
        <v>28775</v>
      </c>
      <c r="E1876" s="9" t="s">
        <v>17740</v>
      </c>
      <c r="F1876" s="9" t="s">
        <v>28776</v>
      </c>
      <c r="G1876" s="9" t="s">
        <v>17740</v>
      </c>
      <c r="H1876" s="11" t="s">
        <v>28777</v>
      </c>
      <c r="I1876" s="11" t="s">
        <v>28778</v>
      </c>
      <c r="J1876" s="11" t="s">
        <v>28778</v>
      </c>
      <c r="K1876" s="9" t="s">
        <v>18183</v>
      </c>
      <c r="L1876" s="9" t="s">
        <v>18158</v>
      </c>
      <c r="M1876" s="9" t="s">
        <v>17760</v>
      </c>
      <c r="N1876" s="9" t="s">
        <v>17746</v>
      </c>
      <c r="O1876" s="9" t="s">
        <v>17977</v>
      </c>
      <c r="P1876" s="9" t="s">
        <v>17748</v>
      </c>
      <c r="Q1876" s="11" t="s">
        <v>18364</v>
      </c>
      <c r="R1876" s="11" t="s">
        <v>18364</v>
      </c>
      <c r="S1876" s="11" t="s">
        <v>17750</v>
      </c>
    </row>
    <row r="1877" spans="1:19" x14ac:dyDescent="0.2">
      <c r="A1877" s="11" t="s">
        <v>28779</v>
      </c>
      <c r="B1877" s="9" t="s">
        <v>28780</v>
      </c>
      <c r="C1877" s="9" t="s">
        <v>28781</v>
      </c>
      <c r="D1877" s="9" t="s">
        <v>28782</v>
      </c>
      <c r="E1877" s="9" t="s">
        <v>17740</v>
      </c>
      <c r="F1877" s="9" t="s">
        <v>17741</v>
      </c>
      <c r="G1877" s="9" t="s">
        <v>17740</v>
      </c>
      <c r="H1877" s="11" t="s">
        <v>28783</v>
      </c>
      <c r="I1877" s="11" t="s">
        <v>28784</v>
      </c>
      <c r="J1877" s="11" t="s">
        <v>28784</v>
      </c>
      <c r="K1877" s="9" t="s">
        <v>55</v>
      </c>
      <c r="L1877" s="9" t="s">
        <v>17744</v>
      </c>
      <c r="M1877" s="9" t="s">
        <v>24928</v>
      </c>
      <c r="N1877" s="9" t="s">
        <v>17746</v>
      </c>
      <c r="O1877" s="9" t="s">
        <v>24577</v>
      </c>
      <c r="P1877" s="9" t="s">
        <v>17748</v>
      </c>
      <c r="Q1877" s="11" t="s">
        <v>18080</v>
      </c>
      <c r="R1877" s="11" t="s">
        <v>18080</v>
      </c>
      <c r="S1877" s="11" t="s">
        <v>17750</v>
      </c>
    </row>
    <row r="1878" spans="1:19" x14ac:dyDescent="0.2">
      <c r="A1878" s="11" t="s">
        <v>28785</v>
      </c>
      <c r="B1878" s="9" t="s">
        <v>28786</v>
      </c>
      <c r="C1878" s="9" t="s">
        <v>28787</v>
      </c>
      <c r="D1878" s="9" t="s">
        <v>28788</v>
      </c>
      <c r="E1878" s="9" t="s">
        <v>17740</v>
      </c>
      <c r="F1878" s="9" t="s">
        <v>28789</v>
      </c>
      <c r="G1878" s="9" t="s">
        <v>17740</v>
      </c>
      <c r="H1878" s="11" t="s">
        <v>1508</v>
      </c>
      <c r="I1878" s="11" t="s">
        <v>1507</v>
      </c>
      <c r="J1878" s="11" t="s">
        <v>1507</v>
      </c>
      <c r="K1878" s="9" t="s">
        <v>24740</v>
      </c>
      <c r="L1878" s="9" t="s">
        <v>21771</v>
      </c>
      <c r="M1878" s="9" t="s">
        <v>19314</v>
      </c>
      <c r="N1878" s="9" t="s">
        <v>17746</v>
      </c>
      <c r="O1878" s="9" t="s">
        <v>3543</v>
      </c>
      <c r="P1878" s="9" t="s">
        <v>17748</v>
      </c>
      <c r="Q1878" s="11" t="s">
        <v>18433</v>
      </c>
      <c r="R1878" s="11" t="s">
        <v>18433</v>
      </c>
      <c r="S1878" s="11" t="s">
        <v>17750</v>
      </c>
    </row>
    <row r="1879" spans="1:19" x14ac:dyDescent="0.2">
      <c r="A1879" s="11" t="s">
        <v>28790</v>
      </c>
      <c r="B1879" s="9" t="s">
        <v>28791</v>
      </c>
      <c r="C1879" s="9" t="s">
        <v>28792</v>
      </c>
      <c r="D1879" s="9" t="s">
        <v>28793</v>
      </c>
      <c r="E1879" s="9" t="s">
        <v>17740</v>
      </c>
      <c r="F1879" s="9" t="s">
        <v>17741</v>
      </c>
      <c r="G1879" s="9" t="s">
        <v>17740</v>
      </c>
      <c r="H1879" s="11" t="s">
        <v>28794</v>
      </c>
      <c r="I1879" s="11" t="s">
        <v>28795</v>
      </c>
      <c r="J1879" s="11" t="s">
        <v>28794</v>
      </c>
      <c r="K1879" s="9" t="s">
        <v>28796</v>
      </c>
      <c r="L1879" s="9" t="s">
        <v>17744</v>
      </c>
      <c r="M1879" s="9" t="s">
        <v>17769</v>
      </c>
      <c r="N1879" s="9" t="s">
        <v>17746</v>
      </c>
      <c r="O1879" s="9" t="s">
        <v>18636</v>
      </c>
      <c r="P1879" s="9" t="s">
        <v>17748</v>
      </c>
      <c r="Q1879" s="11" t="s">
        <v>18922</v>
      </c>
      <c r="R1879" s="11" t="s">
        <v>18922</v>
      </c>
      <c r="S1879" s="11" t="s">
        <v>17750</v>
      </c>
    </row>
    <row r="1880" spans="1:19" x14ac:dyDescent="0.2">
      <c r="A1880" s="11" t="s">
        <v>28797</v>
      </c>
      <c r="B1880" s="9" t="s">
        <v>28798</v>
      </c>
      <c r="C1880" s="9" t="s">
        <v>28799</v>
      </c>
      <c r="D1880" s="9" t="s">
        <v>28800</v>
      </c>
      <c r="E1880" s="9" t="s">
        <v>17740</v>
      </c>
      <c r="F1880" s="9" t="s">
        <v>28801</v>
      </c>
      <c r="G1880" s="9" t="s">
        <v>17740</v>
      </c>
      <c r="H1880" s="11" t="s">
        <v>1511</v>
      </c>
      <c r="I1880" s="11" t="s">
        <v>1510</v>
      </c>
      <c r="J1880" s="11" t="s">
        <v>1510</v>
      </c>
      <c r="K1880" s="9" t="s">
        <v>91</v>
      </c>
      <c r="L1880" s="9" t="s">
        <v>17744</v>
      </c>
      <c r="M1880" s="9" t="s">
        <v>19012</v>
      </c>
      <c r="N1880" s="9" t="s">
        <v>17746</v>
      </c>
      <c r="O1880" s="9" t="s">
        <v>20701</v>
      </c>
      <c r="P1880" s="9" t="s">
        <v>17748</v>
      </c>
      <c r="Q1880" s="11" t="s">
        <v>18960</v>
      </c>
      <c r="R1880" s="11" t="s">
        <v>18960</v>
      </c>
      <c r="S1880" s="11" t="s">
        <v>17750</v>
      </c>
    </row>
    <row r="1881" spans="1:19" x14ac:dyDescent="0.2">
      <c r="A1881" s="11" t="s">
        <v>28802</v>
      </c>
      <c r="B1881" s="9" t="s">
        <v>28803</v>
      </c>
      <c r="C1881" s="9" t="s">
        <v>28804</v>
      </c>
      <c r="D1881" s="9" t="s">
        <v>28805</v>
      </c>
      <c r="E1881" s="9" t="s">
        <v>17748</v>
      </c>
      <c r="F1881" s="9" t="s">
        <v>28806</v>
      </c>
      <c r="G1881" s="9" t="s">
        <v>17740</v>
      </c>
      <c r="H1881" s="11" t="s">
        <v>6504</v>
      </c>
      <c r="I1881" s="11" t="s">
        <v>6503</v>
      </c>
      <c r="J1881" s="11" t="s">
        <v>6503</v>
      </c>
      <c r="K1881" s="9" t="s">
        <v>91</v>
      </c>
      <c r="L1881" s="9" t="s">
        <v>17744</v>
      </c>
      <c r="M1881" s="9" t="s">
        <v>23266</v>
      </c>
      <c r="N1881" s="9" t="s">
        <v>17746</v>
      </c>
      <c r="O1881" s="9" t="s">
        <v>20777</v>
      </c>
      <c r="P1881" s="9" t="s">
        <v>17748</v>
      </c>
      <c r="Q1881" s="11" t="s">
        <v>19361</v>
      </c>
      <c r="R1881" s="11" t="s">
        <v>19361</v>
      </c>
      <c r="S1881" s="11" t="s">
        <v>17750</v>
      </c>
    </row>
    <row r="1882" spans="1:19" x14ac:dyDescent="0.2">
      <c r="A1882" s="11" t="s">
        <v>28807</v>
      </c>
      <c r="B1882" s="9" t="s">
        <v>28808</v>
      </c>
      <c r="C1882" s="9" t="s">
        <v>28809</v>
      </c>
      <c r="D1882" s="9" t="s">
        <v>28810</v>
      </c>
      <c r="E1882" s="9" t="s">
        <v>17740</v>
      </c>
      <c r="F1882" s="9" t="s">
        <v>28811</v>
      </c>
      <c r="G1882" s="9" t="s">
        <v>17740</v>
      </c>
      <c r="H1882" s="11" t="s">
        <v>1570</v>
      </c>
      <c r="I1882" s="11" t="s">
        <v>1569</v>
      </c>
      <c r="J1882" s="11" t="s">
        <v>1569</v>
      </c>
      <c r="K1882" s="9" t="s">
        <v>18176</v>
      </c>
      <c r="L1882" s="9" t="s">
        <v>18123</v>
      </c>
      <c r="M1882" s="9" t="s">
        <v>18289</v>
      </c>
      <c r="N1882" s="9" t="s">
        <v>17746</v>
      </c>
      <c r="O1882" s="9" t="s">
        <v>3100</v>
      </c>
      <c r="P1882" s="9" t="s">
        <v>17748</v>
      </c>
      <c r="Q1882" s="11" t="s">
        <v>17883</v>
      </c>
      <c r="R1882" s="11" t="s">
        <v>17883</v>
      </c>
      <c r="S1882" s="11" t="s">
        <v>17750</v>
      </c>
    </row>
    <row r="1883" spans="1:19" x14ac:dyDescent="0.2">
      <c r="A1883" s="11" t="s">
        <v>28812</v>
      </c>
      <c r="B1883" s="9" t="s">
        <v>28813</v>
      </c>
      <c r="C1883" s="9" t="s">
        <v>28814</v>
      </c>
      <c r="D1883" s="9" t="s">
        <v>28815</v>
      </c>
      <c r="E1883" s="9" t="s">
        <v>17740</v>
      </c>
      <c r="F1883" s="9" t="s">
        <v>17741</v>
      </c>
      <c r="G1883" s="9" t="s">
        <v>17740</v>
      </c>
      <c r="H1883" s="11" t="s">
        <v>5839</v>
      </c>
      <c r="I1883" s="11" t="s">
        <v>5838</v>
      </c>
      <c r="J1883" s="11" t="s">
        <v>5838</v>
      </c>
      <c r="K1883" s="9" t="s">
        <v>91</v>
      </c>
      <c r="L1883" s="9" t="s">
        <v>18001</v>
      </c>
      <c r="M1883" s="9" t="s">
        <v>22041</v>
      </c>
      <c r="N1883" s="9" t="s">
        <v>17746</v>
      </c>
      <c r="O1883" s="9" t="s">
        <v>3475</v>
      </c>
      <c r="P1883" s="9" t="s">
        <v>17748</v>
      </c>
      <c r="Q1883" s="11" t="s">
        <v>17749</v>
      </c>
      <c r="R1883" s="11" t="s">
        <v>17749</v>
      </c>
      <c r="S1883" s="11" t="s">
        <v>17750</v>
      </c>
    </row>
    <row r="1884" spans="1:19" x14ac:dyDescent="0.2">
      <c r="A1884" s="11" t="s">
        <v>28816</v>
      </c>
      <c r="B1884" s="9" t="s">
        <v>28817</v>
      </c>
      <c r="C1884" s="9" t="s">
        <v>28818</v>
      </c>
      <c r="D1884" s="9" t="s">
        <v>28819</v>
      </c>
      <c r="E1884" s="9" t="s">
        <v>17740</v>
      </c>
      <c r="F1884" s="9" t="s">
        <v>28820</v>
      </c>
      <c r="G1884" s="9" t="s">
        <v>17740</v>
      </c>
      <c r="H1884" s="11" t="s">
        <v>28821</v>
      </c>
      <c r="I1884" s="11" t="s">
        <v>28822</v>
      </c>
      <c r="J1884" s="11" t="s">
        <v>28822</v>
      </c>
      <c r="K1884" s="9" t="s">
        <v>3916</v>
      </c>
      <c r="L1884" s="9" t="s">
        <v>20359</v>
      </c>
      <c r="M1884" s="9" t="s">
        <v>17817</v>
      </c>
      <c r="N1884" s="9" t="s">
        <v>17746</v>
      </c>
      <c r="O1884" s="9" t="s">
        <v>20799</v>
      </c>
      <c r="P1884" s="9" t="s">
        <v>17748</v>
      </c>
      <c r="Q1884" s="11" t="s">
        <v>17784</v>
      </c>
      <c r="R1884" s="11" t="s">
        <v>17784</v>
      </c>
      <c r="S1884" s="11" t="s">
        <v>17750</v>
      </c>
    </row>
    <row r="1885" spans="1:19" x14ac:dyDescent="0.2">
      <c r="A1885" s="11" t="s">
        <v>28823</v>
      </c>
      <c r="B1885" s="9" t="s">
        <v>28824</v>
      </c>
      <c r="C1885" s="9" t="s">
        <v>28825</v>
      </c>
      <c r="D1885" s="9" t="s">
        <v>28826</v>
      </c>
      <c r="E1885" s="9" t="s">
        <v>17740</v>
      </c>
      <c r="F1885" s="9" t="s">
        <v>28827</v>
      </c>
      <c r="G1885" s="9" t="s">
        <v>17740</v>
      </c>
      <c r="H1885" s="11" t="s">
        <v>5577</v>
      </c>
      <c r="I1885" s="11" t="s">
        <v>5576</v>
      </c>
      <c r="J1885" s="11" t="s">
        <v>5576</v>
      </c>
      <c r="K1885" s="9" t="s">
        <v>28828</v>
      </c>
      <c r="L1885" s="9" t="s">
        <v>20359</v>
      </c>
      <c r="M1885" s="9" t="s">
        <v>18177</v>
      </c>
      <c r="N1885" s="9" t="s">
        <v>17746</v>
      </c>
      <c r="O1885" s="9" t="s">
        <v>17834</v>
      </c>
      <c r="P1885" s="9" t="s">
        <v>17748</v>
      </c>
      <c r="Q1885" s="11" t="s">
        <v>18080</v>
      </c>
      <c r="R1885" s="11" t="s">
        <v>18080</v>
      </c>
      <c r="S1885" s="11" t="s">
        <v>17750</v>
      </c>
    </row>
    <row r="1886" spans="1:19" x14ac:dyDescent="0.2">
      <c r="A1886" s="11" t="s">
        <v>28829</v>
      </c>
      <c r="B1886" s="9" t="s">
        <v>28830</v>
      </c>
      <c r="C1886" s="9" t="s">
        <v>28831</v>
      </c>
      <c r="D1886" s="9" t="s">
        <v>28832</v>
      </c>
      <c r="E1886" s="9" t="s">
        <v>17740</v>
      </c>
      <c r="F1886" s="9" t="s">
        <v>28833</v>
      </c>
      <c r="G1886" s="9" t="s">
        <v>17740</v>
      </c>
      <c r="H1886" s="11" t="s">
        <v>8301</v>
      </c>
      <c r="I1886" s="11" t="s">
        <v>8300</v>
      </c>
      <c r="J1886" s="11" t="s">
        <v>8300</v>
      </c>
      <c r="K1886" s="9" t="s">
        <v>17790</v>
      </c>
      <c r="L1886" s="9" t="s">
        <v>18158</v>
      </c>
      <c r="M1886" s="9" t="s">
        <v>18699</v>
      </c>
      <c r="N1886" s="9" t="s">
        <v>17746</v>
      </c>
      <c r="O1886" s="9" t="s">
        <v>3543</v>
      </c>
      <c r="P1886" s="9" t="s">
        <v>17748</v>
      </c>
      <c r="Q1886" s="11" t="s">
        <v>18080</v>
      </c>
      <c r="R1886" s="11" t="s">
        <v>18080</v>
      </c>
      <c r="S1886" s="11" t="s">
        <v>17750</v>
      </c>
    </row>
    <row r="1887" spans="1:19" x14ac:dyDescent="0.2">
      <c r="A1887" s="11" t="s">
        <v>28834</v>
      </c>
      <c r="B1887" s="9" t="s">
        <v>28835</v>
      </c>
      <c r="C1887" s="9" t="s">
        <v>28836</v>
      </c>
      <c r="D1887" s="9" t="s">
        <v>28837</v>
      </c>
      <c r="E1887" s="9" t="s">
        <v>17740</v>
      </c>
      <c r="F1887" s="9" t="s">
        <v>28838</v>
      </c>
      <c r="G1887" s="9" t="s">
        <v>17740</v>
      </c>
      <c r="H1887" s="11" t="s">
        <v>4501</v>
      </c>
      <c r="I1887" s="11" t="s">
        <v>4500</v>
      </c>
      <c r="J1887" s="11" t="s">
        <v>4500</v>
      </c>
      <c r="K1887" s="9" t="s">
        <v>4502</v>
      </c>
      <c r="L1887" s="9" t="s">
        <v>17744</v>
      </c>
      <c r="M1887" s="9" t="s">
        <v>17817</v>
      </c>
      <c r="N1887" s="9" t="s">
        <v>17746</v>
      </c>
      <c r="O1887" s="9" t="s">
        <v>15733</v>
      </c>
      <c r="P1887" s="9" t="s">
        <v>17748</v>
      </c>
      <c r="Q1887" s="11" t="s">
        <v>18678</v>
      </c>
      <c r="R1887" s="11" t="s">
        <v>18678</v>
      </c>
      <c r="S1887" s="11" t="s">
        <v>17750</v>
      </c>
    </row>
    <row r="1888" spans="1:19" x14ac:dyDescent="0.2">
      <c r="A1888" s="11" t="s">
        <v>28839</v>
      </c>
      <c r="B1888" s="9" t="s">
        <v>28840</v>
      </c>
      <c r="C1888" s="9" t="s">
        <v>28841</v>
      </c>
      <c r="D1888" s="9" t="s">
        <v>28842</v>
      </c>
      <c r="E1888" s="9" t="s">
        <v>17740</v>
      </c>
      <c r="F1888" s="9" t="s">
        <v>17741</v>
      </c>
      <c r="G1888" s="9" t="s">
        <v>17740</v>
      </c>
      <c r="H1888" s="11" t="s">
        <v>5611</v>
      </c>
      <c r="I1888" s="11" t="s">
        <v>5610</v>
      </c>
      <c r="J1888" s="11" t="s">
        <v>5610</v>
      </c>
      <c r="K1888" s="9" t="s">
        <v>4502</v>
      </c>
      <c r="L1888" s="9" t="s">
        <v>17744</v>
      </c>
      <c r="M1888" s="9" t="s">
        <v>24583</v>
      </c>
      <c r="N1888" s="9" t="s">
        <v>17746</v>
      </c>
      <c r="O1888" s="9" t="s">
        <v>15733</v>
      </c>
      <c r="P1888" s="9" t="s">
        <v>17748</v>
      </c>
      <c r="Q1888" s="11" t="s">
        <v>18080</v>
      </c>
      <c r="R1888" s="11" t="s">
        <v>18080</v>
      </c>
      <c r="S1888" s="11" t="s">
        <v>17750</v>
      </c>
    </row>
    <row r="1889" spans="1:19" x14ac:dyDescent="0.2">
      <c r="A1889" s="11" t="s">
        <v>28843</v>
      </c>
      <c r="B1889" s="9" t="s">
        <v>28844</v>
      </c>
      <c r="C1889" s="9" t="s">
        <v>28845</v>
      </c>
      <c r="D1889" s="9" t="s">
        <v>28846</v>
      </c>
      <c r="E1889" s="9" t="s">
        <v>17748</v>
      </c>
      <c r="F1889" s="9" t="s">
        <v>28847</v>
      </c>
      <c r="G1889" s="9" t="s">
        <v>17740</v>
      </c>
      <c r="H1889" s="11" t="s">
        <v>17741</v>
      </c>
      <c r="I1889" s="11" t="s">
        <v>3618</v>
      </c>
      <c r="J1889" s="11" t="s">
        <v>3618</v>
      </c>
      <c r="K1889" s="9" t="s">
        <v>28848</v>
      </c>
      <c r="L1889" s="9" t="s">
        <v>17991</v>
      </c>
      <c r="M1889" s="9" t="s">
        <v>28849</v>
      </c>
      <c r="N1889" s="9" t="s">
        <v>17746</v>
      </c>
      <c r="O1889" s="9" t="s">
        <v>20881</v>
      </c>
      <c r="P1889" s="9" t="s">
        <v>17748</v>
      </c>
      <c r="Q1889" s="11" t="s">
        <v>18272</v>
      </c>
      <c r="R1889" s="11" t="s">
        <v>18272</v>
      </c>
      <c r="S1889" s="11" t="s">
        <v>17750</v>
      </c>
    </row>
    <row r="1890" spans="1:19" x14ac:dyDescent="0.2">
      <c r="A1890" s="11" t="s">
        <v>28850</v>
      </c>
      <c r="B1890" s="9" t="s">
        <v>28851</v>
      </c>
      <c r="C1890" s="9" t="s">
        <v>28852</v>
      </c>
      <c r="D1890" s="9" t="s">
        <v>28853</v>
      </c>
      <c r="E1890" s="9" t="s">
        <v>17740</v>
      </c>
      <c r="F1890" s="9" t="s">
        <v>17741</v>
      </c>
      <c r="G1890" s="9" t="s">
        <v>17740</v>
      </c>
      <c r="H1890" s="11" t="s">
        <v>5947</v>
      </c>
      <c r="I1890" s="11" t="s">
        <v>5946</v>
      </c>
      <c r="J1890" s="11" t="s">
        <v>5946</v>
      </c>
      <c r="K1890" s="9" t="s">
        <v>17089</v>
      </c>
      <c r="L1890" s="9" t="s">
        <v>18158</v>
      </c>
      <c r="M1890" s="9" t="s">
        <v>19938</v>
      </c>
      <c r="N1890" s="9" t="s">
        <v>17746</v>
      </c>
      <c r="O1890" s="9" t="s">
        <v>3276</v>
      </c>
      <c r="P1890" s="9" t="s">
        <v>17748</v>
      </c>
      <c r="Q1890" s="11" t="s">
        <v>18147</v>
      </c>
      <c r="R1890" s="11" t="s">
        <v>18147</v>
      </c>
      <c r="S1890" s="11" t="s">
        <v>17750</v>
      </c>
    </row>
    <row r="1891" spans="1:19" x14ac:dyDescent="0.2">
      <c r="A1891" s="11" t="s">
        <v>28854</v>
      </c>
      <c r="B1891" s="9" t="s">
        <v>28855</v>
      </c>
      <c r="C1891" s="9" t="s">
        <v>28856</v>
      </c>
      <c r="D1891" s="9" t="s">
        <v>28857</v>
      </c>
      <c r="E1891" s="9" t="s">
        <v>17740</v>
      </c>
      <c r="F1891" s="9" t="s">
        <v>17741</v>
      </c>
      <c r="G1891" s="9" t="s">
        <v>17740</v>
      </c>
      <c r="H1891" s="11" t="s">
        <v>1573</v>
      </c>
      <c r="I1891" s="11" t="s">
        <v>1572</v>
      </c>
      <c r="J1891" s="11" t="s">
        <v>1572</v>
      </c>
      <c r="K1891" s="9" t="s">
        <v>18176</v>
      </c>
      <c r="L1891" s="9" t="s">
        <v>18123</v>
      </c>
      <c r="M1891" s="9" t="s">
        <v>18177</v>
      </c>
      <c r="N1891" s="9" t="s">
        <v>17746</v>
      </c>
      <c r="O1891" s="9" t="s">
        <v>18035</v>
      </c>
      <c r="P1891" s="9" t="s">
        <v>17748</v>
      </c>
      <c r="Q1891" s="11" t="s">
        <v>17867</v>
      </c>
      <c r="R1891" s="11" t="s">
        <v>17867</v>
      </c>
      <c r="S1891" s="11" t="s">
        <v>17750</v>
      </c>
    </row>
    <row r="1892" spans="1:19" x14ac:dyDescent="0.2">
      <c r="A1892" s="11" t="s">
        <v>28858</v>
      </c>
      <c r="B1892" s="9" t="s">
        <v>28859</v>
      </c>
      <c r="C1892" s="9" t="s">
        <v>28860</v>
      </c>
      <c r="D1892" s="9" t="s">
        <v>28861</v>
      </c>
      <c r="E1892" s="9" t="s">
        <v>17740</v>
      </c>
      <c r="F1892" s="9" t="s">
        <v>17741</v>
      </c>
      <c r="G1892" s="9" t="s">
        <v>17740</v>
      </c>
      <c r="H1892" s="11" t="s">
        <v>1576</v>
      </c>
      <c r="I1892" s="11" t="s">
        <v>1575</v>
      </c>
      <c r="J1892" s="11" t="s">
        <v>1575</v>
      </c>
      <c r="K1892" s="9" t="s">
        <v>18661</v>
      </c>
      <c r="L1892" s="9" t="s">
        <v>18123</v>
      </c>
      <c r="M1892" s="9" t="s">
        <v>28862</v>
      </c>
      <c r="N1892" s="9" t="s">
        <v>17746</v>
      </c>
      <c r="O1892" s="9" t="s">
        <v>4025</v>
      </c>
      <c r="P1892" s="9" t="s">
        <v>17748</v>
      </c>
      <c r="Q1892" s="11" t="s">
        <v>18608</v>
      </c>
      <c r="R1892" s="11" t="s">
        <v>18608</v>
      </c>
      <c r="S1892" s="11" t="s">
        <v>17750</v>
      </c>
    </row>
    <row r="1893" spans="1:19" x14ac:dyDescent="0.2">
      <c r="A1893" s="11" t="s">
        <v>28863</v>
      </c>
      <c r="B1893" s="9" t="s">
        <v>28864</v>
      </c>
      <c r="C1893" s="9" t="s">
        <v>28865</v>
      </c>
      <c r="D1893" s="9" t="s">
        <v>28866</v>
      </c>
      <c r="E1893" s="9" t="s">
        <v>17740</v>
      </c>
      <c r="F1893" s="9" t="s">
        <v>17741</v>
      </c>
      <c r="G1893" s="9" t="s">
        <v>17740</v>
      </c>
      <c r="H1893" s="11" t="s">
        <v>28867</v>
      </c>
      <c r="I1893" s="11" t="s">
        <v>28868</v>
      </c>
      <c r="J1893" s="11" t="s">
        <v>28868</v>
      </c>
      <c r="K1893" s="9" t="s">
        <v>19447</v>
      </c>
      <c r="L1893" s="9" t="s">
        <v>17759</v>
      </c>
      <c r="M1893" s="9" t="s">
        <v>17760</v>
      </c>
      <c r="N1893" s="9" t="s">
        <v>17746</v>
      </c>
      <c r="O1893" s="9" t="s">
        <v>1802</v>
      </c>
      <c r="P1893" s="9" t="s">
        <v>17748</v>
      </c>
      <c r="Q1893" s="11" t="s">
        <v>19335</v>
      </c>
      <c r="R1893" s="11" t="s">
        <v>19335</v>
      </c>
      <c r="S1893" s="11" t="s">
        <v>17750</v>
      </c>
    </row>
    <row r="1894" spans="1:19" x14ac:dyDescent="0.2">
      <c r="A1894" s="11" t="s">
        <v>28869</v>
      </c>
      <c r="B1894" s="9" t="s">
        <v>28870</v>
      </c>
      <c r="C1894" s="9" t="s">
        <v>28871</v>
      </c>
      <c r="D1894" s="9" t="s">
        <v>28872</v>
      </c>
      <c r="E1894" s="9" t="s">
        <v>17740</v>
      </c>
      <c r="F1894" s="9" t="s">
        <v>17741</v>
      </c>
      <c r="G1894" s="9" t="s">
        <v>17740</v>
      </c>
      <c r="H1894" s="11" t="s">
        <v>28873</v>
      </c>
      <c r="I1894" s="11" t="s">
        <v>28874</v>
      </c>
      <c r="J1894" s="11" t="s">
        <v>28874</v>
      </c>
      <c r="K1894" s="9" t="s">
        <v>91</v>
      </c>
      <c r="L1894" s="9" t="s">
        <v>17744</v>
      </c>
      <c r="M1894" s="9" t="s">
        <v>21680</v>
      </c>
      <c r="N1894" s="9" t="s">
        <v>17746</v>
      </c>
      <c r="O1894" s="9" t="s">
        <v>1802</v>
      </c>
      <c r="P1894" s="9" t="s">
        <v>17748</v>
      </c>
      <c r="Q1894" s="11" t="s">
        <v>19335</v>
      </c>
      <c r="R1894" s="11" t="s">
        <v>19335</v>
      </c>
      <c r="S1894" s="11" t="s">
        <v>17750</v>
      </c>
    </row>
    <row r="1895" spans="1:19" x14ac:dyDescent="0.2">
      <c r="A1895" s="11" t="s">
        <v>28875</v>
      </c>
      <c r="B1895" s="9" t="s">
        <v>28876</v>
      </c>
      <c r="C1895" s="9" t="s">
        <v>28877</v>
      </c>
      <c r="D1895" s="9" t="s">
        <v>28878</v>
      </c>
      <c r="E1895" s="9" t="s">
        <v>17740</v>
      </c>
      <c r="F1895" s="9" t="s">
        <v>28879</v>
      </c>
      <c r="G1895" s="9" t="s">
        <v>17740</v>
      </c>
      <c r="H1895" s="11" t="s">
        <v>28880</v>
      </c>
      <c r="I1895" s="11" t="s">
        <v>28881</v>
      </c>
      <c r="J1895" s="11" t="s">
        <v>28881</v>
      </c>
      <c r="K1895" s="9" t="s">
        <v>19447</v>
      </c>
      <c r="L1895" s="9" t="s">
        <v>17759</v>
      </c>
      <c r="M1895" s="9" t="s">
        <v>18065</v>
      </c>
      <c r="N1895" s="9" t="s">
        <v>17746</v>
      </c>
      <c r="O1895" s="9" t="s">
        <v>1802</v>
      </c>
      <c r="P1895" s="9" t="s">
        <v>17748</v>
      </c>
      <c r="Q1895" s="11" t="s">
        <v>19222</v>
      </c>
      <c r="R1895" s="11" t="s">
        <v>19222</v>
      </c>
      <c r="S1895" s="11" t="s">
        <v>17750</v>
      </c>
    </row>
    <row r="1896" spans="1:19" x14ac:dyDescent="0.2">
      <c r="A1896" s="11" t="s">
        <v>28882</v>
      </c>
      <c r="B1896" s="9" t="s">
        <v>28883</v>
      </c>
      <c r="C1896" s="9" t="s">
        <v>28884</v>
      </c>
      <c r="D1896" s="9" t="s">
        <v>28885</v>
      </c>
      <c r="E1896" s="9" t="s">
        <v>17740</v>
      </c>
      <c r="F1896" s="9" t="s">
        <v>17741</v>
      </c>
      <c r="G1896" s="9" t="s">
        <v>17740</v>
      </c>
      <c r="H1896" s="11" t="s">
        <v>17741</v>
      </c>
      <c r="I1896" s="11" t="s">
        <v>28886</v>
      </c>
      <c r="J1896" s="11" t="s">
        <v>28886</v>
      </c>
      <c r="K1896" s="9" t="s">
        <v>28887</v>
      </c>
      <c r="L1896" s="9" t="s">
        <v>17759</v>
      </c>
      <c r="M1896" s="9" t="s">
        <v>17741</v>
      </c>
      <c r="N1896" s="9" t="s">
        <v>17746</v>
      </c>
      <c r="O1896" s="9" t="s">
        <v>28888</v>
      </c>
      <c r="P1896" s="9" t="s">
        <v>17748</v>
      </c>
      <c r="Q1896" s="11" t="s">
        <v>18356</v>
      </c>
      <c r="R1896" s="11" t="s">
        <v>18356</v>
      </c>
      <c r="S1896" s="11" t="s">
        <v>17750</v>
      </c>
    </row>
    <row r="1897" spans="1:19" x14ac:dyDescent="0.2">
      <c r="A1897" s="11" t="s">
        <v>28889</v>
      </c>
      <c r="B1897" s="9" t="s">
        <v>28890</v>
      </c>
      <c r="C1897" s="9" t="s">
        <v>28891</v>
      </c>
      <c r="D1897" s="9" t="s">
        <v>28892</v>
      </c>
      <c r="E1897" s="9" t="s">
        <v>17740</v>
      </c>
      <c r="F1897" s="9" t="s">
        <v>17741</v>
      </c>
      <c r="G1897" s="9" t="s">
        <v>17740</v>
      </c>
      <c r="H1897" s="11" t="s">
        <v>16301</v>
      </c>
      <c r="I1897" s="11" t="s">
        <v>17741</v>
      </c>
      <c r="J1897" s="11" t="s">
        <v>16301</v>
      </c>
      <c r="K1897" s="9" t="s">
        <v>20207</v>
      </c>
      <c r="L1897" s="9" t="s">
        <v>17744</v>
      </c>
      <c r="M1897" s="9" t="s">
        <v>17760</v>
      </c>
      <c r="N1897" s="9" t="s">
        <v>17746</v>
      </c>
      <c r="O1897" s="9" t="s">
        <v>3355</v>
      </c>
      <c r="P1897" s="9" t="s">
        <v>17748</v>
      </c>
      <c r="Q1897" s="11" t="s">
        <v>17762</v>
      </c>
      <c r="R1897" s="11" t="s">
        <v>17762</v>
      </c>
      <c r="S1897" s="11" t="s">
        <v>17750</v>
      </c>
    </row>
    <row r="1898" spans="1:19" x14ac:dyDescent="0.2">
      <c r="A1898" s="11" t="s">
        <v>28893</v>
      </c>
      <c r="B1898" s="9" t="s">
        <v>28894</v>
      </c>
      <c r="C1898" s="9" t="s">
        <v>28895</v>
      </c>
      <c r="D1898" s="9" t="s">
        <v>28896</v>
      </c>
      <c r="E1898" s="9" t="s">
        <v>17740</v>
      </c>
      <c r="F1898" s="9" t="s">
        <v>17741</v>
      </c>
      <c r="G1898" s="9" t="s">
        <v>17740</v>
      </c>
      <c r="H1898" s="11" t="s">
        <v>28897</v>
      </c>
      <c r="I1898" s="11" t="s">
        <v>28898</v>
      </c>
      <c r="J1898" s="11" t="s">
        <v>28898</v>
      </c>
      <c r="K1898" s="9" t="s">
        <v>315</v>
      </c>
      <c r="L1898" s="9" t="s">
        <v>17744</v>
      </c>
      <c r="M1898" s="9" t="s">
        <v>17769</v>
      </c>
      <c r="N1898" s="9" t="s">
        <v>17746</v>
      </c>
      <c r="O1898" s="9" t="s">
        <v>18340</v>
      </c>
      <c r="P1898" s="9" t="s">
        <v>17748</v>
      </c>
      <c r="Q1898" s="11" t="s">
        <v>18798</v>
      </c>
      <c r="R1898" s="11" t="s">
        <v>18798</v>
      </c>
      <c r="S1898" s="11" t="s">
        <v>17750</v>
      </c>
    </row>
    <row r="1899" spans="1:19" x14ac:dyDescent="0.2">
      <c r="A1899" s="11" t="s">
        <v>28899</v>
      </c>
      <c r="B1899" s="9" t="s">
        <v>28900</v>
      </c>
      <c r="C1899" s="9" t="s">
        <v>28901</v>
      </c>
      <c r="D1899" s="9" t="s">
        <v>28902</v>
      </c>
      <c r="E1899" s="9" t="s">
        <v>17740</v>
      </c>
      <c r="F1899" s="9" t="s">
        <v>28903</v>
      </c>
      <c r="G1899" s="9" t="s">
        <v>17740</v>
      </c>
      <c r="H1899" s="11" t="s">
        <v>7268</v>
      </c>
      <c r="I1899" s="11" t="s">
        <v>7267</v>
      </c>
      <c r="J1899" s="11" t="s">
        <v>7267</v>
      </c>
      <c r="K1899" s="9" t="s">
        <v>159</v>
      </c>
      <c r="L1899" s="9" t="s">
        <v>17744</v>
      </c>
      <c r="M1899" s="9" t="s">
        <v>17769</v>
      </c>
      <c r="N1899" s="9" t="s">
        <v>17746</v>
      </c>
      <c r="O1899" s="9" t="s">
        <v>17993</v>
      </c>
      <c r="P1899" s="9" t="s">
        <v>17748</v>
      </c>
      <c r="Q1899" s="11" t="s">
        <v>19361</v>
      </c>
      <c r="R1899" s="11" t="s">
        <v>19361</v>
      </c>
      <c r="S1899" s="11" t="s">
        <v>17750</v>
      </c>
    </row>
    <row r="1900" spans="1:19" x14ac:dyDescent="0.2">
      <c r="A1900" s="11" t="s">
        <v>28904</v>
      </c>
      <c r="B1900" s="9" t="s">
        <v>28905</v>
      </c>
      <c r="C1900" s="9" t="s">
        <v>28906</v>
      </c>
      <c r="D1900" s="9" t="s">
        <v>28907</v>
      </c>
      <c r="E1900" s="9" t="s">
        <v>17740</v>
      </c>
      <c r="F1900" s="9" t="s">
        <v>17741</v>
      </c>
      <c r="G1900" s="9" t="s">
        <v>17740</v>
      </c>
      <c r="H1900" s="11" t="s">
        <v>28908</v>
      </c>
      <c r="I1900" s="11" t="s">
        <v>28909</v>
      </c>
      <c r="J1900" s="11" t="s">
        <v>28909</v>
      </c>
      <c r="K1900" s="9" t="s">
        <v>18616</v>
      </c>
      <c r="L1900" s="9" t="s">
        <v>17744</v>
      </c>
      <c r="M1900" s="9" t="s">
        <v>17760</v>
      </c>
      <c r="N1900" s="9" t="s">
        <v>17746</v>
      </c>
      <c r="O1900" s="9" t="s">
        <v>18514</v>
      </c>
      <c r="P1900" s="9" t="s">
        <v>17748</v>
      </c>
      <c r="Q1900" s="11" t="s">
        <v>18798</v>
      </c>
      <c r="R1900" s="11" t="s">
        <v>18798</v>
      </c>
      <c r="S1900" s="11" t="s">
        <v>17750</v>
      </c>
    </row>
    <row r="1901" spans="1:19" x14ac:dyDescent="0.2">
      <c r="A1901" s="11" t="s">
        <v>28910</v>
      </c>
      <c r="B1901" s="9" t="s">
        <v>28911</v>
      </c>
      <c r="C1901" s="9" t="s">
        <v>28912</v>
      </c>
      <c r="D1901" s="9" t="s">
        <v>28913</v>
      </c>
      <c r="E1901" s="9" t="s">
        <v>17740</v>
      </c>
      <c r="F1901" s="9" t="s">
        <v>17741</v>
      </c>
      <c r="G1901" s="9" t="s">
        <v>17740</v>
      </c>
      <c r="H1901" s="11" t="s">
        <v>28914</v>
      </c>
      <c r="I1901" s="11" t="s">
        <v>28915</v>
      </c>
      <c r="J1901" s="11" t="s">
        <v>28915</v>
      </c>
      <c r="K1901" s="9" t="s">
        <v>28916</v>
      </c>
      <c r="L1901" s="9" t="s">
        <v>17744</v>
      </c>
      <c r="M1901" s="9" t="s">
        <v>17760</v>
      </c>
      <c r="N1901" s="9" t="s">
        <v>17746</v>
      </c>
      <c r="O1901" s="9" t="s">
        <v>28917</v>
      </c>
      <c r="P1901" s="9" t="s">
        <v>17748</v>
      </c>
      <c r="Q1901" s="11" t="s">
        <v>18798</v>
      </c>
      <c r="R1901" s="11" t="s">
        <v>18798</v>
      </c>
      <c r="S1901" s="11" t="s">
        <v>17750</v>
      </c>
    </row>
    <row r="1902" spans="1:19" x14ac:dyDescent="0.2">
      <c r="A1902" s="11" t="s">
        <v>28918</v>
      </c>
      <c r="B1902" s="9" t="s">
        <v>28919</v>
      </c>
      <c r="C1902" s="9" t="s">
        <v>28920</v>
      </c>
      <c r="D1902" s="9" t="s">
        <v>28921</v>
      </c>
      <c r="E1902" s="9" t="s">
        <v>17740</v>
      </c>
      <c r="F1902" s="9" t="s">
        <v>17741</v>
      </c>
      <c r="G1902" s="9" t="s">
        <v>17740</v>
      </c>
      <c r="H1902" s="11" t="s">
        <v>28922</v>
      </c>
      <c r="I1902" s="11" t="s">
        <v>28923</v>
      </c>
      <c r="J1902" s="11" t="s">
        <v>28923</v>
      </c>
      <c r="K1902" s="9" t="s">
        <v>22893</v>
      </c>
      <c r="L1902" s="9" t="s">
        <v>17759</v>
      </c>
      <c r="M1902" s="9" t="s">
        <v>17769</v>
      </c>
      <c r="N1902" s="9" t="s">
        <v>17746</v>
      </c>
      <c r="O1902" s="9" t="s">
        <v>28924</v>
      </c>
      <c r="P1902" s="9" t="s">
        <v>17748</v>
      </c>
      <c r="Q1902" s="11" t="s">
        <v>18356</v>
      </c>
      <c r="R1902" s="11" t="s">
        <v>18356</v>
      </c>
      <c r="S1902" s="11" t="s">
        <v>17750</v>
      </c>
    </row>
    <row r="1903" spans="1:19" x14ac:dyDescent="0.2">
      <c r="A1903" s="11" t="s">
        <v>28925</v>
      </c>
      <c r="B1903" s="9" t="s">
        <v>28926</v>
      </c>
      <c r="C1903" s="9" t="s">
        <v>28927</v>
      </c>
      <c r="D1903" s="9" t="s">
        <v>28928</v>
      </c>
      <c r="E1903" s="9" t="s">
        <v>17740</v>
      </c>
      <c r="F1903" s="9" t="s">
        <v>17741</v>
      </c>
      <c r="G1903" s="9" t="s">
        <v>17740</v>
      </c>
      <c r="H1903" s="11" t="s">
        <v>28929</v>
      </c>
      <c r="I1903" s="11" t="s">
        <v>28930</v>
      </c>
      <c r="J1903" s="11" t="s">
        <v>28930</v>
      </c>
      <c r="K1903" s="9" t="s">
        <v>970</v>
      </c>
      <c r="L1903" s="9" t="s">
        <v>17759</v>
      </c>
      <c r="M1903" s="9" t="s">
        <v>24658</v>
      </c>
      <c r="N1903" s="9" t="s">
        <v>17746</v>
      </c>
      <c r="O1903" s="9" t="s">
        <v>17977</v>
      </c>
      <c r="P1903" s="9" t="s">
        <v>17748</v>
      </c>
      <c r="Q1903" s="11" t="s">
        <v>18847</v>
      </c>
      <c r="R1903" s="11" t="s">
        <v>18847</v>
      </c>
      <c r="S1903" s="11" t="s">
        <v>17750</v>
      </c>
    </row>
    <row r="1904" spans="1:19" x14ac:dyDescent="0.2">
      <c r="A1904" s="11" t="s">
        <v>28931</v>
      </c>
      <c r="B1904" s="9" t="s">
        <v>28932</v>
      </c>
      <c r="C1904" s="9" t="s">
        <v>28933</v>
      </c>
      <c r="D1904" s="9" t="s">
        <v>28934</v>
      </c>
      <c r="E1904" s="9" t="s">
        <v>17740</v>
      </c>
      <c r="F1904" s="9" t="s">
        <v>17741</v>
      </c>
      <c r="G1904" s="9" t="s">
        <v>17740</v>
      </c>
      <c r="H1904" s="11" t="s">
        <v>28935</v>
      </c>
      <c r="I1904" s="11" t="s">
        <v>28936</v>
      </c>
      <c r="J1904" s="11" t="s">
        <v>28936</v>
      </c>
      <c r="K1904" s="9" t="s">
        <v>19094</v>
      </c>
      <c r="L1904" s="9" t="s">
        <v>17759</v>
      </c>
      <c r="M1904" s="9" t="s">
        <v>17769</v>
      </c>
      <c r="N1904" s="9" t="s">
        <v>17746</v>
      </c>
      <c r="O1904" s="9" t="s">
        <v>19800</v>
      </c>
      <c r="P1904" s="9" t="s">
        <v>17748</v>
      </c>
      <c r="Q1904" s="11" t="s">
        <v>18147</v>
      </c>
      <c r="R1904" s="11" t="s">
        <v>18147</v>
      </c>
      <c r="S1904" s="11" t="s">
        <v>17750</v>
      </c>
    </row>
    <row r="1905" spans="1:19" x14ac:dyDescent="0.2">
      <c r="A1905" s="11" t="s">
        <v>28937</v>
      </c>
      <c r="B1905" s="9" t="s">
        <v>28938</v>
      </c>
      <c r="C1905" s="9" t="s">
        <v>28939</v>
      </c>
      <c r="D1905" s="9" t="s">
        <v>28940</v>
      </c>
      <c r="E1905" s="9" t="s">
        <v>17740</v>
      </c>
      <c r="F1905" s="9" t="s">
        <v>17741</v>
      </c>
      <c r="G1905" s="9" t="s">
        <v>17740</v>
      </c>
      <c r="H1905" s="11" t="s">
        <v>28941</v>
      </c>
      <c r="I1905" s="11" t="s">
        <v>28942</v>
      </c>
      <c r="J1905" s="11" t="s">
        <v>28942</v>
      </c>
      <c r="K1905" s="9" t="s">
        <v>21642</v>
      </c>
      <c r="L1905" s="9" t="s">
        <v>17759</v>
      </c>
      <c r="M1905" s="9" t="s">
        <v>17760</v>
      </c>
      <c r="N1905" s="9" t="s">
        <v>17746</v>
      </c>
      <c r="O1905" s="9" t="s">
        <v>23768</v>
      </c>
      <c r="P1905" s="9" t="s">
        <v>17748</v>
      </c>
      <c r="Q1905" s="11" t="s">
        <v>17792</v>
      </c>
      <c r="R1905" s="11" t="s">
        <v>17792</v>
      </c>
      <c r="S1905" s="11" t="s">
        <v>17750</v>
      </c>
    </row>
    <row r="1906" spans="1:19" x14ac:dyDescent="0.2">
      <c r="A1906" s="11" t="s">
        <v>28943</v>
      </c>
      <c r="B1906" s="9" t="s">
        <v>28944</v>
      </c>
      <c r="C1906" s="9" t="s">
        <v>28945</v>
      </c>
      <c r="D1906" s="9" t="s">
        <v>28946</v>
      </c>
      <c r="E1906" s="9" t="s">
        <v>17740</v>
      </c>
      <c r="F1906" s="9" t="s">
        <v>17741</v>
      </c>
      <c r="G1906" s="9" t="s">
        <v>17740</v>
      </c>
      <c r="H1906" s="11" t="s">
        <v>28947</v>
      </c>
      <c r="I1906" s="11" t="s">
        <v>17741</v>
      </c>
      <c r="J1906" s="11" t="s">
        <v>28947</v>
      </c>
      <c r="K1906" s="9" t="s">
        <v>28948</v>
      </c>
      <c r="L1906" s="9" t="s">
        <v>17744</v>
      </c>
      <c r="M1906" s="9" t="s">
        <v>21317</v>
      </c>
      <c r="N1906" s="9" t="s">
        <v>17746</v>
      </c>
      <c r="O1906" s="9" t="s">
        <v>28949</v>
      </c>
      <c r="P1906" s="9" t="s">
        <v>17748</v>
      </c>
      <c r="Q1906" s="11" t="s">
        <v>17858</v>
      </c>
      <c r="R1906" s="11" t="s">
        <v>17858</v>
      </c>
      <c r="S1906" s="11" t="s">
        <v>17750</v>
      </c>
    </row>
    <row r="1907" spans="1:19" x14ac:dyDescent="0.2">
      <c r="A1907" s="11" t="s">
        <v>28950</v>
      </c>
      <c r="B1907" s="9" t="s">
        <v>28951</v>
      </c>
      <c r="C1907" s="9" t="s">
        <v>28952</v>
      </c>
      <c r="D1907" s="9" t="s">
        <v>28953</v>
      </c>
      <c r="E1907" s="9" t="s">
        <v>17740</v>
      </c>
      <c r="F1907" s="9" t="s">
        <v>17741</v>
      </c>
      <c r="G1907" s="9" t="s">
        <v>17740</v>
      </c>
      <c r="H1907" s="11" t="s">
        <v>28954</v>
      </c>
      <c r="I1907" s="11" t="s">
        <v>28955</v>
      </c>
      <c r="J1907" s="11" t="s">
        <v>28955</v>
      </c>
      <c r="K1907" s="9" t="s">
        <v>17758</v>
      </c>
      <c r="L1907" s="9" t="s">
        <v>17759</v>
      </c>
      <c r="M1907" s="9" t="s">
        <v>24893</v>
      </c>
      <c r="N1907" s="9" t="s">
        <v>17746</v>
      </c>
      <c r="O1907" s="9" t="s">
        <v>19939</v>
      </c>
      <c r="P1907" s="9" t="s">
        <v>17748</v>
      </c>
      <c r="Q1907" s="11" t="s">
        <v>18243</v>
      </c>
      <c r="R1907" s="11" t="s">
        <v>18243</v>
      </c>
      <c r="S1907" s="11" t="s">
        <v>17750</v>
      </c>
    </row>
    <row r="1908" spans="1:19" x14ac:dyDescent="0.2">
      <c r="A1908" s="11" t="s">
        <v>28956</v>
      </c>
      <c r="B1908" s="9" t="s">
        <v>28957</v>
      </c>
      <c r="C1908" s="9" t="s">
        <v>28958</v>
      </c>
      <c r="D1908" s="9" t="s">
        <v>28959</v>
      </c>
      <c r="E1908" s="9" t="s">
        <v>17740</v>
      </c>
      <c r="F1908" s="9" t="s">
        <v>17741</v>
      </c>
      <c r="G1908" s="9" t="s">
        <v>17740</v>
      </c>
      <c r="H1908" s="11" t="s">
        <v>17741</v>
      </c>
      <c r="I1908" s="11" t="s">
        <v>6822</v>
      </c>
      <c r="J1908" s="11" t="s">
        <v>6822</v>
      </c>
      <c r="K1908" s="9" t="s">
        <v>28960</v>
      </c>
      <c r="L1908" s="9" t="s">
        <v>18158</v>
      </c>
      <c r="M1908" s="9" t="s">
        <v>18745</v>
      </c>
      <c r="N1908" s="9" t="s">
        <v>17746</v>
      </c>
      <c r="O1908" s="9" t="s">
        <v>18882</v>
      </c>
      <c r="P1908" s="9" t="s">
        <v>17748</v>
      </c>
      <c r="Q1908" s="11" t="s">
        <v>19361</v>
      </c>
      <c r="R1908" s="11" t="s">
        <v>19361</v>
      </c>
      <c r="S1908" s="11" t="s">
        <v>17750</v>
      </c>
    </row>
    <row r="1909" spans="1:19" x14ac:dyDescent="0.2">
      <c r="A1909" s="11" t="s">
        <v>28961</v>
      </c>
      <c r="B1909" s="9" t="s">
        <v>28962</v>
      </c>
      <c r="C1909" s="9" t="s">
        <v>28963</v>
      </c>
      <c r="D1909" s="9" t="s">
        <v>28964</v>
      </c>
      <c r="E1909" s="9" t="s">
        <v>17740</v>
      </c>
      <c r="F1909" s="9" t="s">
        <v>17741</v>
      </c>
      <c r="G1909" s="9" t="s">
        <v>17740</v>
      </c>
      <c r="H1909" s="11" t="s">
        <v>28965</v>
      </c>
      <c r="I1909" s="11" t="s">
        <v>28966</v>
      </c>
      <c r="J1909" s="11" t="s">
        <v>28966</v>
      </c>
      <c r="K1909" s="9" t="s">
        <v>18876</v>
      </c>
      <c r="L1909" s="9" t="s">
        <v>18001</v>
      </c>
      <c r="M1909" s="9" t="s">
        <v>18289</v>
      </c>
      <c r="N1909" s="9" t="s">
        <v>17746</v>
      </c>
      <c r="O1909" s="9" t="s">
        <v>28967</v>
      </c>
      <c r="P1909" s="9" t="s">
        <v>17748</v>
      </c>
      <c r="Q1909" s="11" t="s">
        <v>18960</v>
      </c>
      <c r="R1909" s="11" t="s">
        <v>18960</v>
      </c>
      <c r="S1909" s="11" t="s">
        <v>17750</v>
      </c>
    </row>
    <row r="1910" spans="1:19" x14ac:dyDescent="0.2">
      <c r="A1910" s="11" t="s">
        <v>28968</v>
      </c>
      <c r="B1910" s="9" t="s">
        <v>28969</v>
      </c>
      <c r="C1910" s="9" t="s">
        <v>28970</v>
      </c>
      <c r="D1910" s="9" t="s">
        <v>28971</v>
      </c>
      <c r="E1910" s="9" t="s">
        <v>17740</v>
      </c>
      <c r="F1910" s="9" t="s">
        <v>28972</v>
      </c>
      <c r="G1910" s="9" t="s">
        <v>17740</v>
      </c>
      <c r="H1910" s="11" t="s">
        <v>6928</v>
      </c>
      <c r="I1910" s="11" t="s">
        <v>6927</v>
      </c>
      <c r="J1910" s="11" t="s">
        <v>6927</v>
      </c>
      <c r="K1910" s="9" t="s">
        <v>315</v>
      </c>
      <c r="L1910" s="9" t="s">
        <v>17759</v>
      </c>
      <c r="M1910" s="9" t="s">
        <v>20970</v>
      </c>
      <c r="N1910" s="9" t="s">
        <v>17746</v>
      </c>
      <c r="O1910" s="9" t="s">
        <v>18762</v>
      </c>
      <c r="P1910" s="9" t="s">
        <v>17748</v>
      </c>
      <c r="Q1910" s="11" t="s">
        <v>18201</v>
      </c>
      <c r="R1910" s="11" t="s">
        <v>18201</v>
      </c>
      <c r="S1910" s="11" t="s">
        <v>17750</v>
      </c>
    </row>
    <row r="1911" spans="1:19" x14ac:dyDescent="0.2">
      <c r="A1911" s="11" t="s">
        <v>28973</v>
      </c>
      <c r="B1911" s="9" t="s">
        <v>28974</v>
      </c>
      <c r="C1911" s="9" t="s">
        <v>28975</v>
      </c>
      <c r="D1911" s="9" t="s">
        <v>28976</v>
      </c>
      <c r="E1911" s="9" t="s">
        <v>17740</v>
      </c>
      <c r="F1911" s="9" t="s">
        <v>17741</v>
      </c>
      <c r="G1911" s="9" t="s">
        <v>17740</v>
      </c>
      <c r="H1911" s="11" t="s">
        <v>28977</v>
      </c>
      <c r="I1911" s="11" t="s">
        <v>28978</v>
      </c>
      <c r="J1911" s="11" t="s">
        <v>28978</v>
      </c>
      <c r="K1911" s="9" t="s">
        <v>689</v>
      </c>
      <c r="L1911" s="9" t="s">
        <v>17759</v>
      </c>
      <c r="M1911" s="9" t="s">
        <v>28979</v>
      </c>
      <c r="N1911" s="9" t="s">
        <v>17746</v>
      </c>
      <c r="O1911" s="9" t="s">
        <v>18855</v>
      </c>
      <c r="P1911" s="9" t="s">
        <v>17748</v>
      </c>
      <c r="Q1911" s="11" t="s">
        <v>18608</v>
      </c>
      <c r="R1911" s="11" t="s">
        <v>18608</v>
      </c>
      <c r="S1911" s="11" t="s">
        <v>17750</v>
      </c>
    </row>
    <row r="1912" spans="1:19" x14ac:dyDescent="0.2">
      <c r="A1912" s="11" t="s">
        <v>28980</v>
      </c>
      <c r="B1912" s="9" t="s">
        <v>28981</v>
      </c>
      <c r="C1912" s="9" t="s">
        <v>28982</v>
      </c>
      <c r="D1912" s="9" t="s">
        <v>28983</v>
      </c>
      <c r="E1912" s="9" t="s">
        <v>17748</v>
      </c>
      <c r="F1912" s="9" t="s">
        <v>28984</v>
      </c>
      <c r="G1912" s="9" t="s">
        <v>17740</v>
      </c>
      <c r="H1912" s="11" t="s">
        <v>6630</v>
      </c>
      <c r="I1912" s="11" t="s">
        <v>6629</v>
      </c>
      <c r="J1912" s="11" t="s">
        <v>6629</v>
      </c>
      <c r="K1912" s="9" t="s">
        <v>28985</v>
      </c>
      <c r="L1912" s="9" t="s">
        <v>18158</v>
      </c>
      <c r="M1912" s="9" t="s">
        <v>21289</v>
      </c>
      <c r="N1912" s="9" t="s">
        <v>17746</v>
      </c>
      <c r="O1912" s="9" t="s">
        <v>1535</v>
      </c>
      <c r="P1912" s="9" t="s">
        <v>17748</v>
      </c>
      <c r="Q1912" s="11" t="s">
        <v>19361</v>
      </c>
      <c r="R1912" s="11" t="s">
        <v>19361</v>
      </c>
      <c r="S1912" s="11" t="s">
        <v>17750</v>
      </c>
    </row>
    <row r="1913" spans="1:19" x14ac:dyDescent="0.2">
      <c r="A1913" s="11" t="s">
        <v>28986</v>
      </c>
      <c r="B1913" s="9" t="s">
        <v>28987</v>
      </c>
      <c r="C1913" s="9" t="s">
        <v>28988</v>
      </c>
      <c r="D1913" s="9" t="s">
        <v>28989</v>
      </c>
      <c r="E1913" s="9" t="s">
        <v>17740</v>
      </c>
      <c r="F1913" s="9" t="s">
        <v>17741</v>
      </c>
      <c r="G1913" s="9" t="s">
        <v>17740</v>
      </c>
      <c r="H1913" s="11" t="s">
        <v>6125</v>
      </c>
      <c r="I1913" s="11" t="s">
        <v>6124</v>
      </c>
      <c r="J1913" s="11" t="s">
        <v>6124</v>
      </c>
      <c r="K1913" s="9" t="s">
        <v>19767</v>
      </c>
      <c r="L1913" s="9" t="s">
        <v>17759</v>
      </c>
      <c r="M1913" s="9" t="s">
        <v>28990</v>
      </c>
      <c r="N1913" s="9" t="s">
        <v>17746</v>
      </c>
      <c r="O1913" s="9" t="s">
        <v>3475</v>
      </c>
      <c r="P1913" s="9" t="s">
        <v>17748</v>
      </c>
      <c r="Q1913" s="11" t="s">
        <v>17792</v>
      </c>
      <c r="R1913" s="11" t="s">
        <v>17792</v>
      </c>
      <c r="S1913" s="11" t="s">
        <v>17750</v>
      </c>
    </row>
    <row r="1914" spans="1:19" x14ac:dyDescent="0.2">
      <c r="A1914" s="11" t="s">
        <v>28991</v>
      </c>
      <c r="B1914" s="9" t="s">
        <v>28992</v>
      </c>
      <c r="C1914" s="9" t="s">
        <v>28993</v>
      </c>
      <c r="D1914" s="9" t="s">
        <v>28994</v>
      </c>
      <c r="E1914" s="9" t="s">
        <v>17740</v>
      </c>
      <c r="F1914" s="9" t="s">
        <v>17741</v>
      </c>
      <c r="G1914" s="9" t="s">
        <v>17740</v>
      </c>
      <c r="H1914" s="11" t="s">
        <v>28995</v>
      </c>
      <c r="I1914" s="11" t="s">
        <v>10972</v>
      </c>
      <c r="J1914" s="11" t="s">
        <v>10972</v>
      </c>
      <c r="K1914" s="9" t="s">
        <v>28996</v>
      </c>
      <c r="L1914" s="9" t="s">
        <v>18396</v>
      </c>
      <c r="M1914" s="9" t="s">
        <v>17760</v>
      </c>
      <c r="N1914" s="9" t="s">
        <v>17746</v>
      </c>
      <c r="O1914" s="9" t="s">
        <v>3981</v>
      </c>
      <c r="P1914" s="9" t="s">
        <v>17748</v>
      </c>
      <c r="Q1914" s="11" t="s">
        <v>17858</v>
      </c>
      <c r="R1914" s="11" t="s">
        <v>17858</v>
      </c>
      <c r="S1914" s="11" t="s">
        <v>17750</v>
      </c>
    </row>
    <row r="1915" spans="1:19" x14ac:dyDescent="0.2">
      <c r="A1915" s="11" t="s">
        <v>28997</v>
      </c>
      <c r="B1915" s="9" t="s">
        <v>28998</v>
      </c>
      <c r="C1915" s="9" t="s">
        <v>28999</v>
      </c>
      <c r="D1915" s="9" t="s">
        <v>29000</v>
      </c>
      <c r="E1915" s="9" t="s">
        <v>17740</v>
      </c>
      <c r="F1915" s="9" t="s">
        <v>17741</v>
      </c>
      <c r="G1915" s="9" t="s">
        <v>17740</v>
      </c>
      <c r="H1915" s="11" t="s">
        <v>1602</v>
      </c>
      <c r="I1915" s="11" t="s">
        <v>1601</v>
      </c>
      <c r="J1915" s="11" t="s">
        <v>1601</v>
      </c>
      <c r="K1915" s="9" t="s">
        <v>601</v>
      </c>
      <c r="L1915" s="9" t="s">
        <v>17759</v>
      </c>
      <c r="M1915" s="9" t="s">
        <v>17769</v>
      </c>
      <c r="N1915" s="9" t="s">
        <v>17746</v>
      </c>
      <c r="O1915" s="9" t="s">
        <v>27358</v>
      </c>
      <c r="P1915" s="9" t="s">
        <v>17748</v>
      </c>
      <c r="Q1915" s="11" t="s">
        <v>18314</v>
      </c>
      <c r="R1915" s="11" t="s">
        <v>18314</v>
      </c>
      <c r="S1915" s="11" t="s">
        <v>17750</v>
      </c>
    </row>
    <row r="1916" spans="1:19" x14ac:dyDescent="0.2">
      <c r="A1916" s="11" t="s">
        <v>29001</v>
      </c>
      <c r="B1916" s="9" t="s">
        <v>29002</v>
      </c>
      <c r="C1916" s="9" t="s">
        <v>29003</v>
      </c>
      <c r="D1916" s="9" t="s">
        <v>29004</v>
      </c>
      <c r="E1916" s="9" t="s">
        <v>17740</v>
      </c>
      <c r="F1916" s="9" t="s">
        <v>29005</v>
      </c>
      <c r="G1916" s="9" t="s">
        <v>17740</v>
      </c>
      <c r="H1916" s="11" t="s">
        <v>5714</v>
      </c>
      <c r="I1916" s="11" t="s">
        <v>5713</v>
      </c>
      <c r="J1916" s="11" t="s">
        <v>5713</v>
      </c>
      <c r="K1916" s="9" t="s">
        <v>29006</v>
      </c>
      <c r="L1916" s="9" t="s">
        <v>18158</v>
      </c>
      <c r="M1916" s="9" t="s">
        <v>18065</v>
      </c>
      <c r="N1916" s="9" t="s">
        <v>17746</v>
      </c>
      <c r="O1916" s="9" t="s">
        <v>29007</v>
      </c>
      <c r="P1916" s="9" t="s">
        <v>17748</v>
      </c>
      <c r="Q1916" s="11" t="s">
        <v>18147</v>
      </c>
      <c r="R1916" s="11" t="s">
        <v>18147</v>
      </c>
      <c r="S1916" s="11" t="s">
        <v>17750</v>
      </c>
    </row>
    <row r="1917" spans="1:19" x14ac:dyDescent="0.2">
      <c r="A1917" s="11" t="s">
        <v>29008</v>
      </c>
      <c r="B1917" s="9" t="s">
        <v>29009</v>
      </c>
      <c r="C1917" s="9" t="s">
        <v>29010</v>
      </c>
      <c r="D1917" s="9" t="s">
        <v>29011</v>
      </c>
      <c r="E1917" s="9" t="s">
        <v>17748</v>
      </c>
      <c r="F1917" s="9" t="s">
        <v>29012</v>
      </c>
      <c r="G1917" s="9" t="s">
        <v>17740</v>
      </c>
      <c r="H1917" s="11" t="s">
        <v>29013</v>
      </c>
      <c r="I1917" s="11" t="s">
        <v>9448</v>
      </c>
      <c r="J1917" s="11" t="s">
        <v>9448</v>
      </c>
      <c r="K1917" s="9" t="s">
        <v>29014</v>
      </c>
      <c r="L1917" s="9" t="s">
        <v>18242</v>
      </c>
      <c r="M1917" s="9" t="s">
        <v>29015</v>
      </c>
      <c r="N1917" s="9" t="s">
        <v>17746</v>
      </c>
      <c r="O1917" s="9" t="s">
        <v>19369</v>
      </c>
      <c r="P1917" s="9" t="s">
        <v>17748</v>
      </c>
      <c r="Q1917" s="11" t="s">
        <v>19361</v>
      </c>
      <c r="R1917" s="11" t="s">
        <v>19361</v>
      </c>
      <c r="S1917" s="11" t="s">
        <v>17750</v>
      </c>
    </row>
    <row r="1918" spans="1:19" x14ac:dyDescent="0.2">
      <c r="A1918" s="11" t="s">
        <v>29016</v>
      </c>
      <c r="B1918" s="9" t="s">
        <v>29017</v>
      </c>
      <c r="C1918" s="9" t="s">
        <v>29018</v>
      </c>
      <c r="D1918" s="9" t="s">
        <v>29019</v>
      </c>
      <c r="E1918" s="9" t="s">
        <v>17748</v>
      </c>
      <c r="F1918" s="9" t="s">
        <v>29020</v>
      </c>
      <c r="G1918" s="9" t="s">
        <v>17740</v>
      </c>
      <c r="H1918" s="11" t="s">
        <v>8930</v>
      </c>
      <c r="I1918" s="11" t="s">
        <v>8929</v>
      </c>
      <c r="J1918" s="11" t="s">
        <v>8930</v>
      </c>
      <c r="K1918" s="9" t="s">
        <v>18520</v>
      </c>
      <c r="L1918" s="9" t="s">
        <v>17744</v>
      </c>
      <c r="M1918" s="9" t="s">
        <v>19012</v>
      </c>
      <c r="N1918" s="9" t="s">
        <v>17746</v>
      </c>
      <c r="O1918" s="9" t="s">
        <v>29021</v>
      </c>
      <c r="P1918" s="9" t="s">
        <v>17748</v>
      </c>
      <c r="Q1918" s="11" t="s">
        <v>18922</v>
      </c>
      <c r="R1918" s="11" t="s">
        <v>18922</v>
      </c>
      <c r="S1918" s="11" t="s">
        <v>17750</v>
      </c>
    </row>
    <row r="1919" spans="1:19" x14ac:dyDescent="0.2">
      <c r="A1919" s="11" t="s">
        <v>29022</v>
      </c>
      <c r="B1919" s="9" t="s">
        <v>29023</v>
      </c>
      <c r="C1919" s="9" t="s">
        <v>29024</v>
      </c>
      <c r="D1919" s="9" t="s">
        <v>29025</v>
      </c>
      <c r="E1919" s="9" t="s">
        <v>17740</v>
      </c>
      <c r="F1919" s="9" t="s">
        <v>17741</v>
      </c>
      <c r="G1919" s="9" t="s">
        <v>17740</v>
      </c>
      <c r="H1919" s="11" t="s">
        <v>1587</v>
      </c>
      <c r="I1919" s="11" t="s">
        <v>1586</v>
      </c>
      <c r="J1919" s="11" t="s">
        <v>1586</v>
      </c>
      <c r="K1919" s="9" t="s">
        <v>167</v>
      </c>
      <c r="L1919" s="9" t="s">
        <v>18158</v>
      </c>
      <c r="M1919" s="9" t="s">
        <v>20172</v>
      </c>
      <c r="N1919" s="9" t="s">
        <v>17746</v>
      </c>
      <c r="O1919" s="9" t="s">
        <v>903</v>
      </c>
      <c r="P1919" s="9" t="s">
        <v>17748</v>
      </c>
      <c r="Q1919" s="11" t="s">
        <v>20251</v>
      </c>
      <c r="R1919" s="11" t="s">
        <v>20251</v>
      </c>
      <c r="S1919" s="11" t="s">
        <v>17750</v>
      </c>
    </row>
    <row r="1920" spans="1:19" x14ac:dyDescent="0.2">
      <c r="A1920" s="11" t="s">
        <v>29026</v>
      </c>
      <c r="B1920" s="9" t="s">
        <v>29027</v>
      </c>
      <c r="C1920" s="9" t="s">
        <v>29028</v>
      </c>
      <c r="D1920" s="9" t="s">
        <v>29029</v>
      </c>
      <c r="E1920" s="9" t="s">
        <v>17740</v>
      </c>
      <c r="F1920" s="9" t="s">
        <v>17741</v>
      </c>
      <c r="G1920" s="9" t="s">
        <v>17740</v>
      </c>
      <c r="H1920" s="11" t="s">
        <v>1459</v>
      </c>
      <c r="I1920" s="11" t="s">
        <v>1458</v>
      </c>
      <c r="J1920" s="11" t="s">
        <v>1458</v>
      </c>
      <c r="K1920" s="9" t="s">
        <v>601</v>
      </c>
      <c r="L1920" s="9" t="s">
        <v>17759</v>
      </c>
      <c r="M1920" s="9" t="s">
        <v>29030</v>
      </c>
      <c r="N1920" s="9" t="s">
        <v>17746</v>
      </c>
      <c r="O1920" s="9" t="s">
        <v>18125</v>
      </c>
      <c r="P1920" s="9" t="s">
        <v>17748</v>
      </c>
      <c r="Q1920" s="11" t="s">
        <v>17931</v>
      </c>
      <c r="R1920" s="11" t="s">
        <v>17931</v>
      </c>
      <c r="S1920" s="11" t="s">
        <v>17750</v>
      </c>
    </row>
    <row r="1921" spans="1:19" x14ac:dyDescent="0.2">
      <c r="A1921" s="11" t="s">
        <v>29031</v>
      </c>
      <c r="B1921" s="9" t="s">
        <v>29032</v>
      </c>
      <c r="C1921" s="9" t="s">
        <v>29033</v>
      </c>
      <c r="D1921" s="9" t="s">
        <v>29034</v>
      </c>
      <c r="E1921" s="9" t="s">
        <v>17740</v>
      </c>
      <c r="F1921" s="9" t="s">
        <v>17741</v>
      </c>
      <c r="G1921" s="9" t="s">
        <v>17740</v>
      </c>
      <c r="H1921" s="11" t="s">
        <v>5961</v>
      </c>
      <c r="I1921" s="11" t="s">
        <v>5960</v>
      </c>
      <c r="J1921" s="11" t="s">
        <v>5960</v>
      </c>
      <c r="K1921" s="9" t="s">
        <v>21040</v>
      </c>
      <c r="L1921" s="9" t="s">
        <v>18305</v>
      </c>
      <c r="M1921" s="9" t="s">
        <v>20397</v>
      </c>
      <c r="N1921" s="9" t="s">
        <v>17746</v>
      </c>
      <c r="O1921" s="9" t="s">
        <v>5790</v>
      </c>
      <c r="P1921" s="9" t="s">
        <v>17748</v>
      </c>
      <c r="Q1921" s="11" t="s">
        <v>18147</v>
      </c>
      <c r="R1921" s="11" t="s">
        <v>18147</v>
      </c>
      <c r="S1921" s="11" t="s">
        <v>17750</v>
      </c>
    </row>
    <row r="1922" spans="1:19" x14ac:dyDescent="0.2">
      <c r="A1922" s="11" t="s">
        <v>29035</v>
      </c>
      <c r="B1922" s="9" t="s">
        <v>29036</v>
      </c>
      <c r="C1922" s="9" t="s">
        <v>29037</v>
      </c>
      <c r="D1922" s="9" t="s">
        <v>29038</v>
      </c>
      <c r="E1922" s="9" t="s">
        <v>17740</v>
      </c>
      <c r="F1922" s="9" t="s">
        <v>17741</v>
      </c>
      <c r="G1922" s="9" t="s">
        <v>17740</v>
      </c>
      <c r="H1922" s="11" t="s">
        <v>1590</v>
      </c>
      <c r="I1922" s="11" t="s">
        <v>1589</v>
      </c>
      <c r="J1922" s="11" t="s">
        <v>1589</v>
      </c>
      <c r="K1922" s="9" t="s">
        <v>601</v>
      </c>
      <c r="L1922" s="9" t="s">
        <v>17744</v>
      </c>
      <c r="M1922" s="9" t="s">
        <v>17817</v>
      </c>
      <c r="N1922" s="9" t="s">
        <v>17746</v>
      </c>
      <c r="O1922" s="9" t="s">
        <v>3255</v>
      </c>
      <c r="P1922" s="9" t="s">
        <v>17748</v>
      </c>
      <c r="Q1922" s="11" t="s">
        <v>18306</v>
      </c>
      <c r="R1922" s="11" t="s">
        <v>18306</v>
      </c>
      <c r="S1922" s="11" t="s">
        <v>17750</v>
      </c>
    </row>
    <row r="1923" spans="1:19" x14ac:dyDescent="0.2">
      <c r="A1923" s="11" t="s">
        <v>29039</v>
      </c>
      <c r="B1923" s="9" t="s">
        <v>29040</v>
      </c>
      <c r="C1923" s="9" t="s">
        <v>29041</v>
      </c>
      <c r="D1923" s="9" t="s">
        <v>29042</v>
      </c>
      <c r="E1923" s="9" t="s">
        <v>17740</v>
      </c>
      <c r="F1923" s="9" t="s">
        <v>17741</v>
      </c>
      <c r="G1923" s="9" t="s">
        <v>17740</v>
      </c>
      <c r="H1923" s="11" t="s">
        <v>1593</v>
      </c>
      <c r="I1923" s="11" t="s">
        <v>1592</v>
      </c>
      <c r="J1923" s="11" t="s">
        <v>1592</v>
      </c>
      <c r="K1923" s="9" t="s">
        <v>18661</v>
      </c>
      <c r="L1923" s="9" t="s">
        <v>17744</v>
      </c>
      <c r="M1923" s="9" t="s">
        <v>18330</v>
      </c>
      <c r="N1923" s="9" t="s">
        <v>17746</v>
      </c>
      <c r="O1923" s="9" t="s">
        <v>18855</v>
      </c>
      <c r="P1923" s="9" t="s">
        <v>17748</v>
      </c>
      <c r="Q1923" s="11" t="s">
        <v>19236</v>
      </c>
      <c r="R1923" s="11" t="s">
        <v>19236</v>
      </c>
      <c r="S1923" s="11" t="s">
        <v>17750</v>
      </c>
    </row>
    <row r="1924" spans="1:19" x14ac:dyDescent="0.2">
      <c r="A1924" s="11" t="s">
        <v>29043</v>
      </c>
      <c r="B1924" s="9" t="s">
        <v>29044</v>
      </c>
      <c r="C1924" s="9" t="s">
        <v>29045</v>
      </c>
      <c r="D1924" s="9" t="s">
        <v>29046</v>
      </c>
      <c r="E1924" s="9" t="s">
        <v>17740</v>
      </c>
      <c r="F1924" s="9" t="s">
        <v>29047</v>
      </c>
      <c r="G1924" s="9" t="s">
        <v>17740</v>
      </c>
      <c r="H1924" s="11" t="s">
        <v>1596</v>
      </c>
      <c r="I1924" s="11" t="s">
        <v>1595</v>
      </c>
      <c r="J1924" s="11" t="s">
        <v>1595</v>
      </c>
      <c r="K1924" s="9" t="s">
        <v>29048</v>
      </c>
      <c r="L1924" s="9" t="s">
        <v>18001</v>
      </c>
      <c r="M1924" s="9" t="s">
        <v>28452</v>
      </c>
      <c r="N1924" s="9" t="s">
        <v>17746</v>
      </c>
      <c r="O1924" s="9" t="s">
        <v>7097</v>
      </c>
      <c r="P1924" s="9" t="s">
        <v>17748</v>
      </c>
      <c r="Q1924" s="11" t="s">
        <v>18243</v>
      </c>
      <c r="R1924" s="11" t="s">
        <v>18243</v>
      </c>
      <c r="S1924" s="11" t="s">
        <v>17750</v>
      </c>
    </row>
    <row r="1925" spans="1:19" x14ac:dyDescent="0.2">
      <c r="A1925" s="11" t="s">
        <v>29049</v>
      </c>
      <c r="B1925" s="9" t="s">
        <v>29050</v>
      </c>
      <c r="C1925" s="9" t="s">
        <v>29051</v>
      </c>
      <c r="D1925" s="9" t="s">
        <v>29052</v>
      </c>
      <c r="E1925" s="9" t="s">
        <v>17740</v>
      </c>
      <c r="F1925" s="9" t="s">
        <v>17741</v>
      </c>
      <c r="G1925" s="9" t="s">
        <v>17740</v>
      </c>
      <c r="H1925" s="11" t="s">
        <v>1599</v>
      </c>
      <c r="I1925" s="11" t="s">
        <v>1598</v>
      </c>
      <c r="J1925" s="11" t="s">
        <v>1598</v>
      </c>
      <c r="K1925" s="9" t="s">
        <v>291</v>
      </c>
      <c r="L1925" s="9" t="s">
        <v>17744</v>
      </c>
      <c r="M1925" s="9" t="s">
        <v>29053</v>
      </c>
      <c r="N1925" s="9" t="s">
        <v>17746</v>
      </c>
      <c r="O1925" s="9" t="s">
        <v>15733</v>
      </c>
      <c r="P1925" s="9" t="s">
        <v>17748</v>
      </c>
      <c r="Q1925" s="11" t="s">
        <v>19222</v>
      </c>
      <c r="R1925" s="11" t="s">
        <v>19222</v>
      </c>
      <c r="S1925" s="11" t="s">
        <v>17750</v>
      </c>
    </row>
    <row r="1926" spans="1:19" x14ac:dyDescent="0.2">
      <c r="A1926" s="11" t="s">
        <v>29054</v>
      </c>
      <c r="B1926" s="9" t="s">
        <v>29055</v>
      </c>
      <c r="C1926" s="9" t="s">
        <v>29056</v>
      </c>
      <c r="D1926" s="9" t="s">
        <v>29057</v>
      </c>
      <c r="E1926" s="9" t="s">
        <v>17740</v>
      </c>
      <c r="F1926" s="9" t="s">
        <v>17741</v>
      </c>
      <c r="G1926" s="9" t="s">
        <v>17740</v>
      </c>
      <c r="H1926" s="11" t="s">
        <v>1605</v>
      </c>
      <c r="I1926" s="11" t="s">
        <v>1604</v>
      </c>
      <c r="J1926" s="11" t="s">
        <v>1604</v>
      </c>
      <c r="K1926" s="9" t="s">
        <v>601</v>
      </c>
      <c r="L1926" s="9" t="s">
        <v>17759</v>
      </c>
      <c r="M1926" s="9" t="s">
        <v>17817</v>
      </c>
      <c r="N1926" s="9" t="s">
        <v>17746</v>
      </c>
      <c r="O1926" s="9" t="s">
        <v>3100</v>
      </c>
      <c r="P1926" s="9" t="s">
        <v>17748</v>
      </c>
      <c r="Q1926" s="11" t="s">
        <v>17943</v>
      </c>
      <c r="R1926" s="11" t="s">
        <v>17943</v>
      </c>
      <c r="S1926" s="11" t="s">
        <v>17750</v>
      </c>
    </row>
    <row r="1927" spans="1:19" x14ac:dyDescent="0.2">
      <c r="A1927" s="11" t="s">
        <v>29058</v>
      </c>
      <c r="B1927" s="9" t="s">
        <v>29059</v>
      </c>
      <c r="C1927" s="9" t="s">
        <v>29060</v>
      </c>
      <c r="D1927" s="9" t="s">
        <v>29061</v>
      </c>
      <c r="E1927" s="9" t="s">
        <v>17748</v>
      </c>
      <c r="F1927" s="9" t="s">
        <v>29062</v>
      </c>
      <c r="G1927" s="9" t="s">
        <v>17740</v>
      </c>
      <c r="H1927" s="11" t="s">
        <v>17741</v>
      </c>
      <c r="I1927" s="11" t="s">
        <v>7280</v>
      </c>
      <c r="J1927" s="11" t="s">
        <v>7280</v>
      </c>
      <c r="K1927" s="9" t="s">
        <v>29063</v>
      </c>
      <c r="L1927" s="9" t="s">
        <v>29064</v>
      </c>
      <c r="M1927" s="9" t="s">
        <v>17760</v>
      </c>
      <c r="N1927" s="9" t="s">
        <v>17746</v>
      </c>
      <c r="O1927" s="9" t="s">
        <v>18363</v>
      </c>
      <c r="P1927" s="9" t="s">
        <v>17748</v>
      </c>
      <c r="Q1927" s="11" t="s">
        <v>17780</v>
      </c>
      <c r="R1927" s="11" t="s">
        <v>17780</v>
      </c>
      <c r="S1927" s="11" t="s">
        <v>17750</v>
      </c>
    </row>
    <row r="1928" spans="1:19" x14ac:dyDescent="0.2">
      <c r="A1928" s="11" t="s">
        <v>29065</v>
      </c>
      <c r="B1928" s="9" t="s">
        <v>29066</v>
      </c>
      <c r="C1928" s="9" t="s">
        <v>29067</v>
      </c>
      <c r="D1928" s="9" t="s">
        <v>29068</v>
      </c>
      <c r="E1928" s="9" t="s">
        <v>17740</v>
      </c>
      <c r="F1928" s="9" t="s">
        <v>17741</v>
      </c>
      <c r="G1928" s="9" t="s">
        <v>17740</v>
      </c>
      <c r="H1928" s="11" t="s">
        <v>1608</v>
      </c>
      <c r="I1928" s="11" t="s">
        <v>1607</v>
      </c>
      <c r="J1928" s="11" t="s">
        <v>1607</v>
      </c>
      <c r="K1928" s="9" t="s">
        <v>601</v>
      </c>
      <c r="L1928" s="9" t="s">
        <v>17759</v>
      </c>
      <c r="M1928" s="9" t="s">
        <v>18109</v>
      </c>
      <c r="N1928" s="9" t="s">
        <v>17746</v>
      </c>
      <c r="O1928" s="9" t="s">
        <v>3309</v>
      </c>
      <c r="P1928" s="9" t="s">
        <v>17748</v>
      </c>
      <c r="Q1928" s="11" t="s">
        <v>20021</v>
      </c>
      <c r="R1928" s="11" t="s">
        <v>20021</v>
      </c>
      <c r="S1928" s="11" t="s">
        <v>17750</v>
      </c>
    </row>
    <row r="1929" spans="1:19" x14ac:dyDescent="0.2">
      <c r="A1929" s="11" t="s">
        <v>29069</v>
      </c>
      <c r="B1929" s="9" t="s">
        <v>29070</v>
      </c>
      <c r="C1929" s="9" t="s">
        <v>29071</v>
      </c>
      <c r="D1929" s="9" t="s">
        <v>29072</v>
      </c>
      <c r="E1929" s="9" t="s">
        <v>17740</v>
      </c>
      <c r="F1929" s="9" t="s">
        <v>17741</v>
      </c>
      <c r="G1929" s="9" t="s">
        <v>17740</v>
      </c>
      <c r="H1929" s="11" t="s">
        <v>5201</v>
      </c>
      <c r="I1929" s="11" t="s">
        <v>5200</v>
      </c>
      <c r="J1929" s="11" t="s">
        <v>5200</v>
      </c>
      <c r="K1929" s="9" t="s">
        <v>970</v>
      </c>
      <c r="L1929" s="9" t="s">
        <v>17744</v>
      </c>
      <c r="M1929" s="9" t="s">
        <v>17769</v>
      </c>
      <c r="N1929" s="9" t="s">
        <v>17746</v>
      </c>
      <c r="O1929" s="9" t="s">
        <v>18481</v>
      </c>
      <c r="P1929" s="9" t="s">
        <v>17748</v>
      </c>
      <c r="Q1929" s="11" t="s">
        <v>17749</v>
      </c>
      <c r="R1929" s="11" t="s">
        <v>17749</v>
      </c>
      <c r="S1929" s="11" t="s">
        <v>17750</v>
      </c>
    </row>
    <row r="1930" spans="1:19" x14ac:dyDescent="0.2">
      <c r="A1930" s="11" t="s">
        <v>29073</v>
      </c>
      <c r="B1930" s="9" t="s">
        <v>29074</v>
      </c>
      <c r="C1930" s="9" t="s">
        <v>29075</v>
      </c>
      <c r="D1930" s="9" t="s">
        <v>29076</v>
      </c>
      <c r="E1930" s="9" t="s">
        <v>17748</v>
      </c>
      <c r="F1930" s="9" t="s">
        <v>29077</v>
      </c>
      <c r="G1930" s="9" t="s">
        <v>17740</v>
      </c>
      <c r="H1930" s="11" t="s">
        <v>17741</v>
      </c>
      <c r="I1930" s="11" t="s">
        <v>29078</v>
      </c>
      <c r="J1930" s="11" t="s">
        <v>29078</v>
      </c>
      <c r="K1930" s="9" t="s">
        <v>29079</v>
      </c>
      <c r="L1930" s="9" t="s">
        <v>18158</v>
      </c>
      <c r="M1930" s="9" t="s">
        <v>17778</v>
      </c>
      <c r="N1930" s="9" t="s">
        <v>17746</v>
      </c>
      <c r="O1930" s="9" t="s">
        <v>18514</v>
      </c>
      <c r="P1930" s="9" t="s">
        <v>17748</v>
      </c>
      <c r="Q1930" s="11" t="s">
        <v>17994</v>
      </c>
      <c r="R1930" s="11" t="s">
        <v>17994</v>
      </c>
      <c r="S1930" s="11" t="s">
        <v>17750</v>
      </c>
    </row>
    <row r="1931" spans="1:19" x14ac:dyDescent="0.2">
      <c r="A1931" s="11" t="s">
        <v>29080</v>
      </c>
      <c r="B1931" s="9" t="s">
        <v>29081</v>
      </c>
      <c r="C1931" s="9" t="s">
        <v>29082</v>
      </c>
      <c r="D1931" s="9" t="s">
        <v>29083</v>
      </c>
      <c r="E1931" s="9" t="s">
        <v>17740</v>
      </c>
      <c r="F1931" s="9" t="s">
        <v>17741</v>
      </c>
      <c r="G1931" s="9" t="s">
        <v>17740</v>
      </c>
      <c r="H1931" s="11" t="s">
        <v>29084</v>
      </c>
      <c r="I1931" s="11" t="s">
        <v>9035</v>
      </c>
      <c r="J1931" s="11" t="s">
        <v>9035</v>
      </c>
      <c r="K1931" s="9" t="s">
        <v>291</v>
      </c>
      <c r="L1931" s="9" t="s">
        <v>17744</v>
      </c>
      <c r="M1931" s="9" t="s">
        <v>17769</v>
      </c>
      <c r="N1931" s="9" t="s">
        <v>17746</v>
      </c>
      <c r="O1931" s="9" t="s">
        <v>29085</v>
      </c>
      <c r="P1931" s="9" t="s">
        <v>17748</v>
      </c>
      <c r="Q1931" s="11" t="s">
        <v>18922</v>
      </c>
      <c r="R1931" s="11" t="s">
        <v>18922</v>
      </c>
      <c r="S1931" s="11" t="s">
        <v>17750</v>
      </c>
    </row>
    <row r="1932" spans="1:19" x14ac:dyDescent="0.2">
      <c r="A1932" s="11" t="s">
        <v>29086</v>
      </c>
      <c r="B1932" s="9" t="s">
        <v>29087</v>
      </c>
      <c r="C1932" s="9" t="s">
        <v>29088</v>
      </c>
      <c r="D1932" s="9" t="s">
        <v>29089</v>
      </c>
      <c r="E1932" s="9" t="s">
        <v>17740</v>
      </c>
      <c r="F1932" s="9" t="s">
        <v>17741</v>
      </c>
      <c r="G1932" s="9" t="s">
        <v>17740</v>
      </c>
      <c r="H1932" s="11" t="s">
        <v>10542</v>
      </c>
      <c r="I1932" s="11" t="s">
        <v>10541</v>
      </c>
      <c r="J1932" s="11" t="s">
        <v>10541</v>
      </c>
      <c r="K1932" s="9" t="s">
        <v>291</v>
      </c>
      <c r="L1932" s="9" t="s">
        <v>17744</v>
      </c>
      <c r="M1932" s="9" t="s">
        <v>17769</v>
      </c>
      <c r="N1932" s="9" t="s">
        <v>17746</v>
      </c>
      <c r="O1932" s="9" t="s">
        <v>17779</v>
      </c>
      <c r="P1932" s="9" t="s">
        <v>17748</v>
      </c>
      <c r="Q1932" s="11" t="s">
        <v>17780</v>
      </c>
      <c r="R1932" s="11" t="s">
        <v>17780</v>
      </c>
      <c r="S1932" s="11" t="s">
        <v>17750</v>
      </c>
    </row>
    <row r="1933" spans="1:19" x14ac:dyDescent="0.2">
      <c r="A1933" s="11" t="s">
        <v>29090</v>
      </c>
      <c r="B1933" s="9" t="s">
        <v>29091</v>
      </c>
      <c r="C1933" s="9" t="s">
        <v>29092</v>
      </c>
      <c r="D1933" s="9" t="s">
        <v>29093</v>
      </c>
      <c r="E1933" s="9" t="s">
        <v>17740</v>
      </c>
      <c r="F1933" s="9" t="s">
        <v>17741</v>
      </c>
      <c r="G1933" s="9" t="s">
        <v>17740</v>
      </c>
      <c r="H1933" s="11" t="s">
        <v>11838</v>
      </c>
      <c r="I1933" s="11" t="s">
        <v>11837</v>
      </c>
      <c r="J1933" s="11" t="s">
        <v>11837</v>
      </c>
      <c r="K1933" s="9" t="s">
        <v>291</v>
      </c>
      <c r="L1933" s="9" t="s">
        <v>17744</v>
      </c>
      <c r="M1933" s="9" t="s">
        <v>17817</v>
      </c>
      <c r="N1933" s="9" t="s">
        <v>17746</v>
      </c>
      <c r="O1933" s="9" t="s">
        <v>21738</v>
      </c>
      <c r="P1933" s="9" t="s">
        <v>17748</v>
      </c>
      <c r="Q1933" s="11" t="s">
        <v>17762</v>
      </c>
      <c r="R1933" s="11" t="s">
        <v>17762</v>
      </c>
      <c r="S1933" s="11" t="s">
        <v>17750</v>
      </c>
    </row>
    <row r="1934" spans="1:19" x14ac:dyDescent="0.2">
      <c r="A1934" s="11" t="s">
        <v>29094</v>
      </c>
      <c r="B1934" s="9" t="s">
        <v>29095</v>
      </c>
      <c r="C1934" s="9" t="s">
        <v>29096</v>
      </c>
      <c r="D1934" s="9" t="s">
        <v>29097</v>
      </c>
      <c r="E1934" s="9" t="s">
        <v>17740</v>
      </c>
      <c r="F1934" s="9" t="s">
        <v>17741</v>
      </c>
      <c r="G1934" s="9" t="s">
        <v>17740</v>
      </c>
      <c r="H1934" s="11" t="s">
        <v>10956</v>
      </c>
      <c r="I1934" s="11" t="s">
        <v>10955</v>
      </c>
      <c r="J1934" s="11" t="s">
        <v>10955</v>
      </c>
      <c r="K1934" s="9" t="s">
        <v>291</v>
      </c>
      <c r="L1934" s="9" t="s">
        <v>17744</v>
      </c>
      <c r="M1934" s="9" t="s">
        <v>17769</v>
      </c>
      <c r="N1934" s="9" t="s">
        <v>17746</v>
      </c>
      <c r="O1934" s="9" t="s">
        <v>29098</v>
      </c>
      <c r="P1934" s="9" t="s">
        <v>17748</v>
      </c>
      <c r="Q1934" s="11" t="s">
        <v>17984</v>
      </c>
      <c r="R1934" s="11" t="s">
        <v>17984</v>
      </c>
      <c r="S1934" s="11" t="s">
        <v>17750</v>
      </c>
    </row>
    <row r="1935" spans="1:19" x14ac:dyDescent="0.2">
      <c r="A1935" s="11" t="s">
        <v>29099</v>
      </c>
      <c r="B1935" s="9" t="s">
        <v>29100</v>
      </c>
      <c r="C1935" s="9" t="s">
        <v>29101</v>
      </c>
      <c r="D1935" s="9" t="s">
        <v>29102</v>
      </c>
      <c r="E1935" s="9" t="s">
        <v>17740</v>
      </c>
      <c r="F1935" s="9" t="s">
        <v>17741</v>
      </c>
      <c r="G1935" s="9" t="s">
        <v>17740</v>
      </c>
      <c r="H1935" s="11" t="s">
        <v>10020</v>
      </c>
      <c r="I1935" s="11" t="s">
        <v>10019</v>
      </c>
      <c r="J1935" s="11" t="s">
        <v>10019</v>
      </c>
      <c r="K1935" s="9" t="s">
        <v>291</v>
      </c>
      <c r="L1935" s="9" t="s">
        <v>17744</v>
      </c>
      <c r="M1935" s="9" t="s">
        <v>17769</v>
      </c>
      <c r="N1935" s="9" t="s">
        <v>17746</v>
      </c>
      <c r="O1935" s="9" t="s">
        <v>17779</v>
      </c>
      <c r="P1935" s="9" t="s">
        <v>17748</v>
      </c>
      <c r="Q1935" s="11" t="s">
        <v>17994</v>
      </c>
      <c r="R1935" s="11" t="s">
        <v>17994</v>
      </c>
      <c r="S1935" s="11" t="s">
        <v>17750</v>
      </c>
    </row>
    <row r="1936" spans="1:19" x14ac:dyDescent="0.2">
      <c r="A1936" s="11" t="s">
        <v>29103</v>
      </c>
      <c r="B1936" s="9" t="s">
        <v>29104</v>
      </c>
      <c r="C1936" s="9" t="s">
        <v>29105</v>
      </c>
      <c r="D1936" s="9" t="s">
        <v>29106</v>
      </c>
      <c r="E1936" s="9" t="s">
        <v>17740</v>
      </c>
      <c r="F1936" s="9" t="s">
        <v>29107</v>
      </c>
      <c r="G1936" s="9" t="s">
        <v>17740</v>
      </c>
      <c r="H1936" s="11" t="s">
        <v>29108</v>
      </c>
      <c r="I1936" s="11" t="s">
        <v>9220</v>
      </c>
      <c r="J1936" s="11" t="s">
        <v>9220</v>
      </c>
      <c r="K1936" s="9" t="s">
        <v>291</v>
      </c>
      <c r="L1936" s="9" t="s">
        <v>17744</v>
      </c>
      <c r="M1936" s="9" t="s">
        <v>18211</v>
      </c>
      <c r="N1936" s="9" t="s">
        <v>17746</v>
      </c>
      <c r="O1936" s="9" t="s">
        <v>24758</v>
      </c>
      <c r="P1936" s="9" t="s">
        <v>17748</v>
      </c>
      <c r="Q1936" s="11" t="s">
        <v>18922</v>
      </c>
      <c r="R1936" s="11" t="s">
        <v>18922</v>
      </c>
      <c r="S1936" s="11" t="s">
        <v>17750</v>
      </c>
    </row>
    <row r="1937" spans="1:19" x14ac:dyDescent="0.2">
      <c r="A1937" s="11" t="s">
        <v>29109</v>
      </c>
      <c r="B1937" s="9" t="s">
        <v>29110</v>
      </c>
      <c r="C1937" s="9" t="s">
        <v>29111</v>
      </c>
      <c r="D1937" s="9" t="s">
        <v>29112</v>
      </c>
      <c r="E1937" s="9" t="s">
        <v>17740</v>
      </c>
      <c r="F1937" s="9" t="s">
        <v>29113</v>
      </c>
      <c r="G1937" s="9" t="s">
        <v>17740</v>
      </c>
      <c r="H1937" s="11" t="s">
        <v>6292</v>
      </c>
      <c r="I1937" s="11" t="s">
        <v>6291</v>
      </c>
      <c r="J1937" s="11" t="s">
        <v>6291</v>
      </c>
      <c r="K1937" s="9" t="s">
        <v>291</v>
      </c>
      <c r="L1937" s="9" t="s">
        <v>17744</v>
      </c>
      <c r="M1937" s="9" t="s">
        <v>17817</v>
      </c>
      <c r="N1937" s="9" t="s">
        <v>17746</v>
      </c>
      <c r="O1937" s="9" t="s">
        <v>24758</v>
      </c>
      <c r="P1937" s="9" t="s">
        <v>17748</v>
      </c>
      <c r="Q1937" s="11" t="s">
        <v>17808</v>
      </c>
      <c r="R1937" s="11" t="s">
        <v>17808</v>
      </c>
      <c r="S1937" s="11" t="s">
        <v>17750</v>
      </c>
    </row>
    <row r="1938" spans="1:19" x14ac:dyDescent="0.2">
      <c r="A1938" s="11" t="s">
        <v>29114</v>
      </c>
      <c r="B1938" s="9" t="s">
        <v>29115</v>
      </c>
      <c r="C1938" s="9" t="s">
        <v>29116</v>
      </c>
      <c r="D1938" s="9" t="s">
        <v>29117</v>
      </c>
      <c r="E1938" s="9" t="s">
        <v>17740</v>
      </c>
      <c r="F1938" s="9" t="s">
        <v>17741</v>
      </c>
      <c r="G1938" s="9" t="s">
        <v>17740</v>
      </c>
      <c r="H1938" s="11" t="s">
        <v>12606</v>
      </c>
      <c r="I1938" s="11" t="s">
        <v>12605</v>
      </c>
      <c r="J1938" s="11" t="s">
        <v>12605</v>
      </c>
      <c r="K1938" s="9" t="s">
        <v>291</v>
      </c>
      <c r="L1938" s="9" t="s">
        <v>17744</v>
      </c>
      <c r="M1938" s="9" t="s">
        <v>18790</v>
      </c>
      <c r="N1938" s="9" t="s">
        <v>17746</v>
      </c>
      <c r="O1938" s="9" t="s">
        <v>29118</v>
      </c>
      <c r="P1938" s="9" t="s">
        <v>17748</v>
      </c>
      <c r="Q1938" s="11" t="s">
        <v>17917</v>
      </c>
      <c r="R1938" s="11" t="s">
        <v>17917</v>
      </c>
      <c r="S1938" s="11" t="s">
        <v>17750</v>
      </c>
    </row>
    <row r="1939" spans="1:19" x14ac:dyDescent="0.2">
      <c r="A1939" s="11" t="s">
        <v>29119</v>
      </c>
      <c r="B1939" s="9" t="s">
        <v>29120</v>
      </c>
      <c r="C1939" s="9" t="s">
        <v>29121</v>
      </c>
      <c r="D1939" s="9" t="s">
        <v>29122</v>
      </c>
      <c r="E1939" s="9" t="s">
        <v>17740</v>
      </c>
      <c r="F1939" s="9" t="s">
        <v>17741</v>
      </c>
      <c r="G1939" s="9" t="s">
        <v>17740</v>
      </c>
      <c r="H1939" s="11" t="s">
        <v>8438</v>
      </c>
      <c r="I1939" s="11" t="s">
        <v>8437</v>
      </c>
      <c r="J1939" s="11" t="s">
        <v>8437</v>
      </c>
      <c r="K1939" s="9" t="s">
        <v>291</v>
      </c>
      <c r="L1939" s="9" t="s">
        <v>17744</v>
      </c>
      <c r="M1939" s="9" t="s">
        <v>29123</v>
      </c>
      <c r="N1939" s="9" t="s">
        <v>17746</v>
      </c>
      <c r="O1939" s="9" t="s">
        <v>3391</v>
      </c>
      <c r="P1939" s="9" t="s">
        <v>17748</v>
      </c>
      <c r="Q1939" s="11" t="s">
        <v>18356</v>
      </c>
      <c r="R1939" s="11" t="s">
        <v>18356</v>
      </c>
      <c r="S1939" s="11" t="s">
        <v>17750</v>
      </c>
    </row>
    <row r="1940" spans="1:19" x14ac:dyDescent="0.2">
      <c r="A1940" s="11" t="s">
        <v>29124</v>
      </c>
      <c r="B1940" s="9" t="s">
        <v>29125</v>
      </c>
      <c r="C1940" s="9" t="s">
        <v>29126</v>
      </c>
      <c r="D1940" s="9" t="s">
        <v>29127</v>
      </c>
      <c r="E1940" s="9" t="s">
        <v>17740</v>
      </c>
      <c r="F1940" s="9" t="s">
        <v>29128</v>
      </c>
      <c r="G1940" s="9" t="s">
        <v>17740</v>
      </c>
      <c r="H1940" s="11" t="s">
        <v>6318</v>
      </c>
      <c r="I1940" s="11" t="s">
        <v>6317</v>
      </c>
      <c r="J1940" s="11" t="s">
        <v>6317</v>
      </c>
      <c r="K1940" s="9" t="s">
        <v>291</v>
      </c>
      <c r="L1940" s="9" t="s">
        <v>17744</v>
      </c>
      <c r="M1940" s="9" t="s">
        <v>17817</v>
      </c>
      <c r="N1940" s="9" t="s">
        <v>17746</v>
      </c>
      <c r="O1940" s="9" t="s">
        <v>19013</v>
      </c>
      <c r="P1940" s="9" t="s">
        <v>17748</v>
      </c>
      <c r="Q1940" s="11" t="s">
        <v>17808</v>
      </c>
      <c r="R1940" s="11" t="s">
        <v>17808</v>
      </c>
      <c r="S1940" s="11" t="s">
        <v>17750</v>
      </c>
    </row>
    <row r="1941" spans="1:19" x14ac:dyDescent="0.2">
      <c r="A1941" s="11" t="s">
        <v>29129</v>
      </c>
      <c r="B1941" s="9" t="s">
        <v>29130</v>
      </c>
      <c r="C1941" s="9" t="s">
        <v>29131</v>
      </c>
      <c r="D1941" s="9" t="s">
        <v>29132</v>
      </c>
      <c r="E1941" s="9" t="s">
        <v>17740</v>
      </c>
      <c r="F1941" s="9" t="s">
        <v>29133</v>
      </c>
      <c r="G1941" s="9" t="s">
        <v>17740</v>
      </c>
      <c r="H1941" s="11" t="s">
        <v>9033</v>
      </c>
      <c r="I1941" s="11" t="s">
        <v>9032</v>
      </c>
      <c r="J1941" s="11" t="s">
        <v>9032</v>
      </c>
      <c r="K1941" s="9" t="s">
        <v>291</v>
      </c>
      <c r="L1941" s="9" t="s">
        <v>17744</v>
      </c>
      <c r="M1941" s="9" t="s">
        <v>18289</v>
      </c>
      <c r="N1941" s="9" t="s">
        <v>17746</v>
      </c>
      <c r="O1941" s="9" t="s">
        <v>19013</v>
      </c>
      <c r="P1941" s="9" t="s">
        <v>17748</v>
      </c>
      <c r="Q1941" s="11" t="s">
        <v>18922</v>
      </c>
      <c r="R1941" s="11" t="s">
        <v>18922</v>
      </c>
      <c r="S1941" s="11" t="s">
        <v>17750</v>
      </c>
    </row>
    <row r="1942" spans="1:19" x14ac:dyDescent="0.2">
      <c r="A1942" s="11" t="s">
        <v>29134</v>
      </c>
      <c r="B1942" s="9" t="s">
        <v>29135</v>
      </c>
      <c r="C1942" s="9" t="s">
        <v>29136</v>
      </c>
      <c r="D1942" s="9" t="s">
        <v>29137</v>
      </c>
      <c r="E1942" s="9" t="s">
        <v>17740</v>
      </c>
      <c r="F1942" s="9" t="s">
        <v>17741</v>
      </c>
      <c r="G1942" s="9" t="s">
        <v>17740</v>
      </c>
      <c r="H1942" s="11" t="s">
        <v>9038</v>
      </c>
      <c r="I1942" s="11" t="s">
        <v>9037</v>
      </c>
      <c r="J1942" s="11" t="s">
        <v>9037</v>
      </c>
      <c r="K1942" s="9" t="s">
        <v>291</v>
      </c>
      <c r="L1942" s="9" t="s">
        <v>17744</v>
      </c>
      <c r="M1942" s="9" t="s">
        <v>28372</v>
      </c>
      <c r="N1942" s="9" t="s">
        <v>17746</v>
      </c>
      <c r="O1942" s="9" t="s">
        <v>24072</v>
      </c>
      <c r="P1942" s="9" t="s">
        <v>17748</v>
      </c>
      <c r="Q1942" s="11" t="s">
        <v>18922</v>
      </c>
      <c r="R1942" s="11" t="s">
        <v>18922</v>
      </c>
      <c r="S1942" s="11" t="s">
        <v>17750</v>
      </c>
    </row>
    <row r="1943" spans="1:19" x14ac:dyDescent="0.2">
      <c r="A1943" s="11" t="s">
        <v>29138</v>
      </c>
      <c r="B1943" s="9" t="s">
        <v>29139</v>
      </c>
      <c r="C1943" s="9" t="s">
        <v>29140</v>
      </c>
      <c r="D1943" s="9" t="s">
        <v>29141</v>
      </c>
      <c r="E1943" s="9" t="s">
        <v>17740</v>
      </c>
      <c r="F1943" s="9" t="s">
        <v>17741</v>
      </c>
      <c r="G1943" s="9" t="s">
        <v>17740</v>
      </c>
      <c r="H1943" s="11" t="s">
        <v>9912</v>
      </c>
      <c r="I1943" s="11" t="s">
        <v>9911</v>
      </c>
      <c r="J1943" s="11" t="s">
        <v>9911</v>
      </c>
      <c r="K1943" s="9" t="s">
        <v>291</v>
      </c>
      <c r="L1943" s="9" t="s">
        <v>17744</v>
      </c>
      <c r="M1943" s="9" t="s">
        <v>17983</v>
      </c>
      <c r="N1943" s="9" t="s">
        <v>17746</v>
      </c>
      <c r="O1943" s="9" t="s">
        <v>29142</v>
      </c>
      <c r="P1943" s="9" t="s">
        <v>17748</v>
      </c>
      <c r="Q1943" s="11" t="s">
        <v>17858</v>
      </c>
      <c r="R1943" s="11" t="s">
        <v>17858</v>
      </c>
      <c r="S1943" s="11" t="s">
        <v>17750</v>
      </c>
    </row>
    <row r="1944" spans="1:19" x14ac:dyDescent="0.2">
      <c r="A1944" s="11" t="s">
        <v>29143</v>
      </c>
      <c r="B1944" s="9" t="s">
        <v>29144</v>
      </c>
      <c r="C1944" s="9" t="s">
        <v>29145</v>
      </c>
      <c r="D1944" s="9" t="s">
        <v>29146</v>
      </c>
      <c r="E1944" s="9" t="s">
        <v>17740</v>
      </c>
      <c r="F1944" s="9" t="s">
        <v>17741</v>
      </c>
      <c r="G1944" s="9" t="s">
        <v>17740</v>
      </c>
      <c r="H1944" s="11" t="s">
        <v>9915</v>
      </c>
      <c r="I1944" s="11" t="s">
        <v>9914</v>
      </c>
      <c r="J1944" s="11" t="s">
        <v>9914</v>
      </c>
      <c r="K1944" s="9" t="s">
        <v>291</v>
      </c>
      <c r="L1944" s="9" t="s">
        <v>17744</v>
      </c>
      <c r="M1944" s="9" t="s">
        <v>29147</v>
      </c>
      <c r="N1944" s="9" t="s">
        <v>17746</v>
      </c>
      <c r="O1944" s="9" t="s">
        <v>24302</v>
      </c>
      <c r="P1944" s="9" t="s">
        <v>17748</v>
      </c>
      <c r="Q1944" s="11" t="s">
        <v>17858</v>
      </c>
      <c r="R1944" s="11" t="s">
        <v>17858</v>
      </c>
      <c r="S1944" s="11" t="s">
        <v>17750</v>
      </c>
    </row>
    <row r="1945" spans="1:19" x14ac:dyDescent="0.2">
      <c r="A1945" s="11" t="s">
        <v>29148</v>
      </c>
      <c r="B1945" s="9" t="s">
        <v>29149</v>
      </c>
      <c r="C1945" s="9" t="s">
        <v>29150</v>
      </c>
      <c r="D1945" s="9" t="s">
        <v>29151</v>
      </c>
      <c r="E1945" s="9" t="s">
        <v>17740</v>
      </c>
      <c r="F1945" s="9" t="s">
        <v>17741</v>
      </c>
      <c r="G1945" s="9" t="s">
        <v>17740</v>
      </c>
      <c r="H1945" s="11" t="s">
        <v>11184</v>
      </c>
      <c r="I1945" s="11" t="s">
        <v>11183</v>
      </c>
      <c r="J1945" s="11" t="s">
        <v>11183</v>
      </c>
      <c r="K1945" s="9" t="s">
        <v>291</v>
      </c>
      <c r="L1945" s="9" t="s">
        <v>17744</v>
      </c>
      <c r="M1945" s="9" t="s">
        <v>19988</v>
      </c>
      <c r="N1945" s="9" t="s">
        <v>17746</v>
      </c>
      <c r="O1945" s="9" t="s">
        <v>18882</v>
      </c>
      <c r="P1945" s="9" t="s">
        <v>17748</v>
      </c>
      <c r="Q1945" s="11" t="s">
        <v>17984</v>
      </c>
      <c r="R1945" s="11" t="s">
        <v>17984</v>
      </c>
      <c r="S1945" s="11" t="s">
        <v>17750</v>
      </c>
    </row>
    <row r="1946" spans="1:19" x14ac:dyDescent="0.2">
      <c r="A1946" s="11" t="s">
        <v>29152</v>
      </c>
      <c r="B1946" s="9" t="s">
        <v>29153</v>
      </c>
      <c r="C1946" s="9" t="s">
        <v>29154</v>
      </c>
      <c r="D1946" s="9" t="s">
        <v>29155</v>
      </c>
      <c r="E1946" s="9" t="s">
        <v>17740</v>
      </c>
      <c r="F1946" s="9" t="s">
        <v>17741</v>
      </c>
      <c r="G1946" s="9" t="s">
        <v>17740</v>
      </c>
      <c r="H1946" s="11" t="s">
        <v>12581</v>
      </c>
      <c r="I1946" s="11" t="s">
        <v>12580</v>
      </c>
      <c r="J1946" s="11" t="s">
        <v>12580</v>
      </c>
      <c r="K1946" s="9" t="s">
        <v>291</v>
      </c>
      <c r="L1946" s="9" t="s">
        <v>17744</v>
      </c>
      <c r="M1946" s="9" t="s">
        <v>18065</v>
      </c>
      <c r="N1946" s="9" t="s">
        <v>17746</v>
      </c>
      <c r="O1946" s="9" t="s">
        <v>3391</v>
      </c>
      <c r="P1946" s="9" t="s">
        <v>17748</v>
      </c>
      <c r="Q1946" s="11" t="s">
        <v>17917</v>
      </c>
      <c r="R1946" s="11" t="s">
        <v>17917</v>
      </c>
      <c r="S1946" s="11" t="s">
        <v>17750</v>
      </c>
    </row>
    <row r="1947" spans="1:19" x14ac:dyDescent="0.2">
      <c r="A1947" s="11" t="s">
        <v>29156</v>
      </c>
      <c r="B1947" s="9" t="s">
        <v>29157</v>
      </c>
      <c r="C1947" s="9" t="s">
        <v>29158</v>
      </c>
      <c r="D1947" s="9" t="s">
        <v>29159</v>
      </c>
      <c r="E1947" s="9" t="s">
        <v>17740</v>
      </c>
      <c r="F1947" s="9" t="s">
        <v>17741</v>
      </c>
      <c r="G1947" s="9" t="s">
        <v>17740</v>
      </c>
      <c r="H1947" s="11" t="s">
        <v>12584</v>
      </c>
      <c r="I1947" s="11" t="s">
        <v>12583</v>
      </c>
      <c r="J1947" s="11" t="s">
        <v>12583</v>
      </c>
      <c r="K1947" s="9" t="s">
        <v>291</v>
      </c>
      <c r="L1947" s="9" t="s">
        <v>17744</v>
      </c>
      <c r="M1947" s="9" t="s">
        <v>18065</v>
      </c>
      <c r="N1947" s="9" t="s">
        <v>17746</v>
      </c>
      <c r="O1947" s="9" t="s">
        <v>1675</v>
      </c>
      <c r="P1947" s="9" t="s">
        <v>17748</v>
      </c>
      <c r="Q1947" s="11" t="s">
        <v>17917</v>
      </c>
      <c r="R1947" s="11" t="s">
        <v>17917</v>
      </c>
      <c r="S1947" s="11" t="s">
        <v>17750</v>
      </c>
    </row>
    <row r="1948" spans="1:19" x14ac:dyDescent="0.2">
      <c r="A1948" s="11" t="s">
        <v>29160</v>
      </c>
      <c r="B1948" s="9" t="s">
        <v>29161</v>
      </c>
      <c r="C1948" s="9" t="s">
        <v>29162</v>
      </c>
      <c r="D1948" s="9" t="s">
        <v>29163</v>
      </c>
      <c r="E1948" s="9" t="s">
        <v>17740</v>
      </c>
      <c r="F1948" s="9" t="s">
        <v>17741</v>
      </c>
      <c r="G1948" s="9" t="s">
        <v>17740</v>
      </c>
      <c r="H1948" s="11" t="s">
        <v>13898</v>
      </c>
      <c r="I1948" s="11" t="s">
        <v>13897</v>
      </c>
      <c r="J1948" s="11" t="s">
        <v>13898</v>
      </c>
      <c r="K1948" s="9" t="s">
        <v>291</v>
      </c>
      <c r="L1948" s="9" t="s">
        <v>17744</v>
      </c>
      <c r="M1948" s="9" t="s">
        <v>17769</v>
      </c>
      <c r="N1948" s="9" t="s">
        <v>17746</v>
      </c>
      <c r="O1948" s="9" t="s">
        <v>7097</v>
      </c>
      <c r="P1948" s="9" t="s">
        <v>17748</v>
      </c>
      <c r="Q1948" s="11" t="s">
        <v>18370</v>
      </c>
      <c r="R1948" s="11" t="s">
        <v>18370</v>
      </c>
      <c r="S1948" s="11" t="s">
        <v>17750</v>
      </c>
    </row>
    <row r="1949" spans="1:19" x14ac:dyDescent="0.2">
      <c r="A1949" s="11" t="s">
        <v>29164</v>
      </c>
      <c r="B1949" s="9" t="s">
        <v>29165</v>
      </c>
      <c r="C1949" s="9" t="s">
        <v>29166</v>
      </c>
      <c r="D1949" s="9" t="s">
        <v>29167</v>
      </c>
      <c r="E1949" s="9" t="s">
        <v>17740</v>
      </c>
      <c r="F1949" s="9" t="s">
        <v>17741</v>
      </c>
      <c r="G1949" s="9" t="s">
        <v>17740</v>
      </c>
      <c r="H1949" s="11" t="s">
        <v>10562</v>
      </c>
      <c r="I1949" s="11" t="s">
        <v>10561</v>
      </c>
      <c r="J1949" s="11" t="s">
        <v>10561</v>
      </c>
      <c r="K1949" s="9" t="s">
        <v>291</v>
      </c>
      <c r="L1949" s="9" t="s">
        <v>17744</v>
      </c>
      <c r="M1949" s="9" t="s">
        <v>17769</v>
      </c>
      <c r="N1949" s="9" t="s">
        <v>17746</v>
      </c>
      <c r="O1949" s="9" t="s">
        <v>28083</v>
      </c>
      <c r="P1949" s="9" t="s">
        <v>17748</v>
      </c>
      <c r="Q1949" s="11" t="s">
        <v>17780</v>
      </c>
      <c r="R1949" s="11" t="s">
        <v>17780</v>
      </c>
      <c r="S1949" s="11" t="s">
        <v>17750</v>
      </c>
    </row>
    <row r="1950" spans="1:19" x14ac:dyDescent="0.2">
      <c r="A1950" s="11" t="s">
        <v>29168</v>
      </c>
      <c r="B1950" s="9" t="s">
        <v>29169</v>
      </c>
      <c r="C1950" s="9" t="s">
        <v>29170</v>
      </c>
      <c r="D1950" s="9" t="s">
        <v>29171</v>
      </c>
      <c r="E1950" s="9" t="s">
        <v>17740</v>
      </c>
      <c r="F1950" s="9" t="s">
        <v>17741</v>
      </c>
      <c r="G1950" s="9" t="s">
        <v>17740</v>
      </c>
      <c r="H1950" s="11" t="s">
        <v>9042</v>
      </c>
      <c r="I1950" s="11" t="s">
        <v>9041</v>
      </c>
      <c r="J1950" s="11" t="s">
        <v>9041</v>
      </c>
      <c r="K1950" s="9" t="s">
        <v>291</v>
      </c>
      <c r="L1950" s="9" t="s">
        <v>17744</v>
      </c>
      <c r="M1950" s="9" t="s">
        <v>17769</v>
      </c>
      <c r="N1950" s="9" t="s">
        <v>17746</v>
      </c>
      <c r="O1950" s="9" t="s">
        <v>22268</v>
      </c>
      <c r="P1950" s="9" t="s">
        <v>17748</v>
      </c>
      <c r="Q1950" s="11" t="s">
        <v>18922</v>
      </c>
      <c r="R1950" s="11" t="s">
        <v>18922</v>
      </c>
      <c r="S1950" s="11" t="s">
        <v>17750</v>
      </c>
    </row>
    <row r="1951" spans="1:19" x14ac:dyDescent="0.2">
      <c r="A1951" s="11" t="s">
        <v>29172</v>
      </c>
      <c r="B1951" s="9" t="s">
        <v>29173</v>
      </c>
      <c r="C1951" s="9" t="s">
        <v>29174</v>
      </c>
      <c r="D1951" s="9" t="s">
        <v>29175</v>
      </c>
      <c r="E1951" s="9" t="s">
        <v>17740</v>
      </c>
      <c r="F1951" s="9" t="s">
        <v>17741</v>
      </c>
      <c r="G1951" s="9" t="s">
        <v>17740</v>
      </c>
      <c r="H1951" s="11" t="s">
        <v>9164</v>
      </c>
      <c r="I1951" s="11" t="s">
        <v>9163</v>
      </c>
      <c r="J1951" s="11" t="s">
        <v>9163</v>
      </c>
      <c r="K1951" s="9" t="s">
        <v>291</v>
      </c>
      <c r="L1951" s="9" t="s">
        <v>17744</v>
      </c>
      <c r="M1951" s="9" t="s">
        <v>17769</v>
      </c>
      <c r="N1951" s="9" t="s">
        <v>17746</v>
      </c>
      <c r="O1951" s="9" t="s">
        <v>25714</v>
      </c>
      <c r="P1951" s="9" t="s">
        <v>17748</v>
      </c>
      <c r="Q1951" s="11" t="s">
        <v>18922</v>
      </c>
      <c r="R1951" s="11" t="s">
        <v>18922</v>
      </c>
      <c r="S1951" s="11" t="s">
        <v>17750</v>
      </c>
    </row>
    <row r="1952" spans="1:19" x14ac:dyDescent="0.2">
      <c r="A1952" s="11" t="s">
        <v>29176</v>
      </c>
      <c r="B1952" s="9" t="s">
        <v>29177</v>
      </c>
      <c r="C1952" s="9" t="s">
        <v>29178</v>
      </c>
      <c r="D1952" s="9" t="s">
        <v>29179</v>
      </c>
      <c r="E1952" s="9" t="s">
        <v>17740</v>
      </c>
      <c r="F1952" s="9" t="s">
        <v>17741</v>
      </c>
      <c r="G1952" s="9" t="s">
        <v>17740</v>
      </c>
      <c r="H1952" s="11" t="s">
        <v>9167</v>
      </c>
      <c r="I1952" s="11" t="s">
        <v>9166</v>
      </c>
      <c r="J1952" s="11" t="s">
        <v>9166</v>
      </c>
      <c r="K1952" s="9" t="s">
        <v>291</v>
      </c>
      <c r="L1952" s="9" t="s">
        <v>17744</v>
      </c>
      <c r="M1952" s="9" t="s">
        <v>17769</v>
      </c>
      <c r="N1952" s="9" t="s">
        <v>17746</v>
      </c>
      <c r="O1952" s="9" t="s">
        <v>3391</v>
      </c>
      <c r="P1952" s="9" t="s">
        <v>17748</v>
      </c>
      <c r="Q1952" s="11" t="s">
        <v>18922</v>
      </c>
      <c r="R1952" s="11" t="s">
        <v>18922</v>
      </c>
      <c r="S1952" s="11" t="s">
        <v>17750</v>
      </c>
    </row>
    <row r="1953" spans="1:19" x14ac:dyDescent="0.2">
      <c r="A1953" s="11" t="s">
        <v>29180</v>
      </c>
      <c r="B1953" s="9" t="s">
        <v>29181</v>
      </c>
      <c r="C1953" s="9" t="s">
        <v>29182</v>
      </c>
      <c r="D1953" s="9" t="s">
        <v>29183</v>
      </c>
      <c r="E1953" s="9" t="s">
        <v>17740</v>
      </c>
      <c r="F1953" s="9" t="s">
        <v>17741</v>
      </c>
      <c r="G1953" s="9" t="s">
        <v>17740</v>
      </c>
      <c r="H1953" s="11" t="s">
        <v>10431</v>
      </c>
      <c r="I1953" s="11" t="s">
        <v>10430</v>
      </c>
      <c r="J1953" s="11" t="s">
        <v>10430</v>
      </c>
      <c r="K1953" s="9" t="s">
        <v>291</v>
      </c>
      <c r="L1953" s="9" t="s">
        <v>17744</v>
      </c>
      <c r="M1953" s="9" t="s">
        <v>17769</v>
      </c>
      <c r="N1953" s="9" t="s">
        <v>17746</v>
      </c>
      <c r="O1953" s="9" t="s">
        <v>773</v>
      </c>
      <c r="P1953" s="9" t="s">
        <v>17748</v>
      </c>
      <c r="Q1953" s="11" t="s">
        <v>17780</v>
      </c>
      <c r="R1953" s="11" t="s">
        <v>17780</v>
      </c>
      <c r="S1953" s="11" t="s">
        <v>17750</v>
      </c>
    </row>
    <row r="1954" spans="1:19" x14ac:dyDescent="0.2">
      <c r="A1954" s="11" t="s">
        <v>29184</v>
      </c>
      <c r="B1954" s="9" t="s">
        <v>29185</v>
      </c>
      <c r="C1954" s="9" t="s">
        <v>29186</v>
      </c>
      <c r="D1954" s="9" t="s">
        <v>29187</v>
      </c>
      <c r="E1954" s="9" t="s">
        <v>17740</v>
      </c>
      <c r="F1954" s="9" t="s">
        <v>17741</v>
      </c>
      <c r="G1954" s="9" t="s">
        <v>17740</v>
      </c>
      <c r="H1954" s="11" t="s">
        <v>12593</v>
      </c>
      <c r="I1954" s="11" t="s">
        <v>12592</v>
      </c>
      <c r="J1954" s="11" t="s">
        <v>12592</v>
      </c>
      <c r="K1954" s="9" t="s">
        <v>291</v>
      </c>
      <c r="L1954" s="9" t="s">
        <v>17744</v>
      </c>
      <c r="M1954" s="9" t="s">
        <v>17769</v>
      </c>
      <c r="N1954" s="9" t="s">
        <v>17746</v>
      </c>
      <c r="O1954" s="9" t="s">
        <v>15733</v>
      </c>
      <c r="P1954" s="9" t="s">
        <v>17748</v>
      </c>
      <c r="Q1954" s="11" t="s">
        <v>17917</v>
      </c>
      <c r="R1954" s="11" t="s">
        <v>17917</v>
      </c>
      <c r="S1954" s="11" t="s">
        <v>17750</v>
      </c>
    </row>
    <row r="1955" spans="1:19" x14ac:dyDescent="0.2">
      <c r="A1955" s="11" t="s">
        <v>29188</v>
      </c>
      <c r="B1955" s="9" t="s">
        <v>29189</v>
      </c>
      <c r="C1955" s="9" t="s">
        <v>29190</v>
      </c>
      <c r="D1955" s="9" t="s">
        <v>29191</v>
      </c>
      <c r="E1955" s="9" t="s">
        <v>17740</v>
      </c>
      <c r="F1955" s="9" t="s">
        <v>17741</v>
      </c>
      <c r="G1955" s="9" t="s">
        <v>17740</v>
      </c>
      <c r="H1955" s="11" t="s">
        <v>9327</v>
      </c>
      <c r="I1955" s="11" t="s">
        <v>9326</v>
      </c>
      <c r="J1955" s="11" t="s">
        <v>9326</v>
      </c>
      <c r="K1955" s="9" t="s">
        <v>291</v>
      </c>
      <c r="L1955" s="9" t="s">
        <v>17744</v>
      </c>
      <c r="M1955" s="9" t="s">
        <v>29192</v>
      </c>
      <c r="N1955" s="9" t="s">
        <v>17746</v>
      </c>
      <c r="O1955" s="9" t="s">
        <v>18882</v>
      </c>
      <c r="P1955" s="9" t="s">
        <v>17748</v>
      </c>
      <c r="Q1955" s="11" t="s">
        <v>17994</v>
      </c>
      <c r="R1955" s="11" t="s">
        <v>17994</v>
      </c>
      <c r="S1955" s="11" t="s">
        <v>17750</v>
      </c>
    </row>
    <row r="1956" spans="1:19" x14ac:dyDescent="0.2">
      <c r="A1956" s="11" t="s">
        <v>29193</v>
      </c>
      <c r="B1956" s="9" t="s">
        <v>29194</v>
      </c>
      <c r="C1956" s="9" t="s">
        <v>29195</v>
      </c>
      <c r="D1956" s="9" t="s">
        <v>29196</v>
      </c>
      <c r="E1956" s="9" t="s">
        <v>17740</v>
      </c>
      <c r="F1956" s="9" t="s">
        <v>17741</v>
      </c>
      <c r="G1956" s="9" t="s">
        <v>17740</v>
      </c>
      <c r="H1956" s="11" t="s">
        <v>9771</v>
      </c>
      <c r="I1956" s="11" t="s">
        <v>17741</v>
      </c>
      <c r="J1956" s="11" t="s">
        <v>9771</v>
      </c>
      <c r="K1956" s="9" t="s">
        <v>29197</v>
      </c>
      <c r="L1956" s="9" t="s">
        <v>17744</v>
      </c>
      <c r="M1956" s="9" t="s">
        <v>17741</v>
      </c>
      <c r="N1956" s="9" t="s">
        <v>17746</v>
      </c>
      <c r="O1956" s="9" t="s">
        <v>22268</v>
      </c>
      <c r="P1956" s="9" t="s">
        <v>17748</v>
      </c>
      <c r="Q1956" s="11" t="s">
        <v>18272</v>
      </c>
      <c r="R1956" s="11" t="s">
        <v>18272</v>
      </c>
      <c r="S1956" s="11" t="s">
        <v>17750</v>
      </c>
    </row>
    <row r="1957" spans="1:19" x14ac:dyDescent="0.2">
      <c r="A1957" s="11" t="s">
        <v>29198</v>
      </c>
      <c r="B1957" s="9" t="s">
        <v>29199</v>
      </c>
      <c r="C1957" s="9" t="s">
        <v>29200</v>
      </c>
      <c r="D1957" s="9" t="s">
        <v>29201</v>
      </c>
      <c r="E1957" s="9" t="s">
        <v>17740</v>
      </c>
      <c r="F1957" s="9" t="s">
        <v>17741</v>
      </c>
      <c r="G1957" s="9" t="s">
        <v>17740</v>
      </c>
      <c r="H1957" s="11" t="s">
        <v>11163</v>
      </c>
      <c r="I1957" s="11" t="s">
        <v>11162</v>
      </c>
      <c r="J1957" s="11" t="s">
        <v>11162</v>
      </c>
      <c r="K1957" s="9" t="s">
        <v>91</v>
      </c>
      <c r="L1957" s="9" t="s">
        <v>17759</v>
      </c>
      <c r="M1957" s="9" t="s">
        <v>17769</v>
      </c>
      <c r="N1957" s="9" t="s">
        <v>17746</v>
      </c>
      <c r="O1957" s="9" t="s">
        <v>18607</v>
      </c>
      <c r="P1957" s="9" t="s">
        <v>17748</v>
      </c>
      <c r="Q1957" s="11" t="s">
        <v>17984</v>
      </c>
      <c r="R1957" s="11" t="s">
        <v>17984</v>
      </c>
      <c r="S1957" s="11" t="s">
        <v>17750</v>
      </c>
    </row>
    <row r="1958" spans="1:19" x14ac:dyDescent="0.2">
      <c r="A1958" s="11" t="s">
        <v>29202</v>
      </c>
      <c r="B1958" s="9" t="s">
        <v>29203</v>
      </c>
      <c r="C1958" s="9" t="s">
        <v>29203</v>
      </c>
      <c r="D1958" s="9" t="s">
        <v>29203</v>
      </c>
      <c r="E1958" s="9" t="s">
        <v>17740</v>
      </c>
      <c r="F1958" s="9" t="s">
        <v>29204</v>
      </c>
      <c r="G1958" s="9" t="s">
        <v>17740</v>
      </c>
      <c r="H1958" s="11" t="s">
        <v>17741</v>
      </c>
      <c r="I1958" s="11" t="s">
        <v>29205</v>
      </c>
      <c r="J1958" s="11" t="s">
        <v>29205</v>
      </c>
      <c r="K1958" s="9" t="s">
        <v>29206</v>
      </c>
      <c r="L1958" s="9" t="s">
        <v>18123</v>
      </c>
      <c r="M1958" s="9" t="s">
        <v>17942</v>
      </c>
      <c r="N1958" s="9" t="s">
        <v>17746</v>
      </c>
      <c r="O1958" s="9" t="s">
        <v>3734</v>
      </c>
      <c r="P1958" s="9" t="s">
        <v>17748</v>
      </c>
      <c r="Q1958" s="11" t="s">
        <v>17819</v>
      </c>
      <c r="R1958" s="11" t="s">
        <v>17819</v>
      </c>
      <c r="S1958" s="11" t="s">
        <v>17750</v>
      </c>
    </row>
    <row r="1959" spans="1:19" x14ac:dyDescent="0.2">
      <c r="A1959" s="11" t="s">
        <v>29207</v>
      </c>
      <c r="B1959" s="9" t="s">
        <v>29208</v>
      </c>
      <c r="C1959" s="9" t="s">
        <v>29209</v>
      </c>
      <c r="D1959" s="9" t="s">
        <v>29210</v>
      </c>
      <c r="E1959" s="9" t="s">
        <v>17740</v>
      </c>
      <c r="F1959" s="9" t="s">
        <v>17741</v>
      </c>
      <c r="G1959" s="9" t="s">
        <v>17740</v>
      </c>
      <c r="H1959" s="11" t="s">
        <v>29211</v>
      </c>
      <c r="I1959" s="11" t="s">
        <v>29212</v>
      </c>
      <c r="J1959" s="11" t="s">
        <v>29212</v>
      </c>
      <c r="K1959" s="9" t="s">
        <v>17783</v>
      </c>
      <c r="L1959" s="9" t="s">
        <v>18158</v>
      </c>
      <c r="M1959" s="9" t="s">
        <v>18250</v>
      </c>
      <c r="N1959" s="9" t="s">
        <v>17746</v>
      </c>
      <c r="O1959" s="9" t="s">
        <v>17977</v>
      </c>
      <c r="P1959" s="9" t="s">
        <v>17748</v>
      </c>
      <c r="Q1959" s="11" t="s">
        <v>18272</v>
      </c>
      <c r="R1959" s="11" t="s">
        <v>18272</v>
      </c>
      <c r="S1959" s="11" t="s">
        <v>17750</v>
      </c>
    </row>
    <row r="1960" spans="1:19" x14ac:dyDescent="0.2">
      <c r="A1960" s="11" t="s">
        <v>29213</v>
      </c>
      <c r="B1960" s="9" t="s">
        <v>29214</v>
      </c>
      <c r="C1960" s="9" t="s">
        <v>29215</v>
      </c>
      <c r="D1960" s="9" t="s">
        <v>29216</v>
      </c>
      <c r="E1960" s="9" t="s">
        <v>17748</v>
      </c>
      <c r="F1960" s="9" t="s">
        <v>29217</v>
      </c>
      <c r="G1960" s="9" t="s">
        <v>17740</v>
      </c>
      <c r="H1960" s="11" t="s">
        <v>9893</v>
      </c>
      <c r="I1960" s="11" t="s">
        <v>9892</v>
      </c>
      <c r="J1960" s="11" t="s">
        <v>9892</v>
      </c>
      <c r="K1960" s="9" t="s">
        <v>17758</v>
      </c>
      <c r="L1960" s="9" t="s">
        <v>17759</v>
      </c>
      <c r="M1960" s="9" t="s">
        <v>24928</v>
      </c>
      <c r="N1960" s="9" t="s">
        <v>17746</v>
      </c>
      <c r="O1960" s="9" t="s">
        <v>3255</v>
      </c>
      <c r="P1960" s="9" t="s">
        <v>17748</v>
      </c>
      <c r="Q1960" s="11" t="s">
        <v>17858</v>
      </c>
      <c r="R1960" s="11" t="s">
        <v>17858</v>
      </c>
      <c r="S1960" s="11" t="s">
        <v>17750</v>
      </c>
    </row>
    <row r="1961" spans="1:19" x14ac:dyDescent="0.2">
      <c r="A1961" s="11" t="s">
        <v>29218</v>
      </c>
      <c r="B1961" s="9" t="s">
        <v>29219</v>
      </c>
      <c r="C1961" s="9" t="s">
        <v>29220</v>
      </c>
      <c r="D1961" s="9" t="s">
        <v>29221</v>
      </c>
      <c r="E1961" s="9" t="s">
        <v>17740</v>
      </c>
      <c r="F1961" s="9" t="s">
        <v>29222</v>
      </c>
      <c r="G1961" s="9" t="s">
        <v>17740</v>
      </c>
      <c r="H1961" s="11" t="s">
        <v>4399</v>
      </c>
      <c r="I1961" s="11" t="s">
        <v>4398</v>
      </c>
      <c r="J1961" s="11" t="s">
        <v>4398</v>
      </c>
      <c r="K1961" s="9" t="s">
        <v>315</v>
      </c>
      <c r="L1961" s="9" t="s">
        <v>17744</v>
      </c>
      <c r="M1961" s="9" t="s">
        <v>17769</v>
      </c>
      <c r="N1961" s="9" t="s">
        <v>17746</v>
      </c>
      <c r="O1961" s="9" t="s">
        <v>3255</v>
      </c>
      <c r="P1961" s="9" t="s">
        <v>17748</v>
      </c>
      <c r="Q1961" s="11" t="s">
        <v>18364</v>
      </c>
      <c r="R1961" s="11" t="s">
        <v>18364</v>
      </c>
      <c r="S1961" s="11" t="s">
        <v>17750</v>
      </c>
    </row>
    <row r="1962" spans="1:19" x14ac:dyDescent="0.2">
      <c r="A1962" s="11" t="s">
        <v>29223</v>
      </c>
      <c r="B1962" s="9" t="s">
        <v>29224</v>
      </c>
      <c r="C1962" s="9" t="s">
        <v>29225</v>
      </c>
      <c r="D1962" s="9" t="s">
        <v>29226</v>
      </c>
      <c r="E1962" s="9" t="s">
        <v>17748</v>
      </c>
      <c r="F1962" s="9" t="s">
        <v>29227</v>
      </c>
      <c r="G1962" s="9" t="s">
        <v>17740</v>
      </c>
      <c r="H1962" s="11" t="s">
        <v>17741</v>
      </c>
      <c r="I1962" s="11" t="s">
        <v>17741</v>
      </c>
      <c r="J1962" s="11" t="s">
        <v>17741</v>
      </c>
      <c r="K1962" s="9" t="s">
        <v>29228</v>
      </c>
      <c r="L1962" s="9" t="s">
        <v>17958</v>
      </c>
      <c r="M1962" s="9" t="s">
        <v>17760</v>
      </c>
      <c r="N1962" s="9" t="s">
        <v>17746</v>
      </c>
      <c r="O1962" s="9" t="s">
        <v>3255</v>
      </c>
      <c r="P1962" s="9" t="s">
        <v>17748</v>
      </c>
      <c r="Q1962" s="11" t="s">
        <v>17909</v>
      </c>
      <c r="R1962" s="11" t="s">
        <v>17909</v>
      </c>
      <c r="S1962" s="11" t="s">
        <v>17750</v>
      </c>
    </row>
    <row r="1963" spans="1:19" x14ac:dyDescent="0.2">
      <c r="A1963" s="11" t="s">
        <v>29229</v>
      </c>
      <c r="B1963" s="9" t="s">
        <v>29230</v>
      </c>
      <c r="C1963" s="9" t="s">
        <v>29231</v>
      </c>
      <c r="D1963" s="9" t="s">
        <v>29232</v>
      </c>
      <c r="E1963" s="9" t="s">
        <v>17740</v>
      </c>
      <c r="F1963" s="9" t="s">
        <v>17741</v>
      </c>
      <c r="G1963" s="9" t="s">
        <v>17740</v>
      </c>
      <c r="H1963" s="11" t="s">
        <v>17741</v>
      </c>
      <c r="I1963" s="11" t="s">
        <v>29233</v>
      </c>
      <c r="J1963" s="11" t="s">
        <v>29233</v>
      </c>
      <c r="K1963" s="9" t="s">
        <v>29234</v>
      </c>
      <c r="L1963" s="9" t="s">
        <v>17958</v>
      </c>
      <c r="M1963" s="9" t="s">
        <v>17760</v>
      </c>
      <c r="N1963" s="9" t="s">
        <v>22152</v>
      </c>
      <c r="O1963" s="9" t="s">
        <v>19275</v>
      </c>
      <c r="P1963" s="9" t="s">
        <v>17748</v>
      </c>
      <c r="Q1963" s="11" t="s">
        <v>18960</v>
      </c>
      <c r="R1963" s="11" t="s">
        <v>18960</v>
      </c>
      <c r="S1963" s="11" t="s">
        <v>17750</v>
      </c>
    </row>
    <row r="1964" spans="1:19" x14ac:dyDescent="0.2">
      <c r="A1964" s="11" t="s">
        <v>29235</v>
      </c>
      <c r="B1964" s="9" t="s">
        <v>29236</v>
      </c>
      <c r="C1964" s="9" t="s">
        <v>29237</v>
      </c>
      <c r="D1964" s="9" t="s">
        <v>29238</v>
      </c>
      <c r="E1964" s="9" t="s">
        <v>17740</v>
      </c>
      <c r="F1964" s="9" t="s">
        <v>17741</v>
      </c>
      <c r="G1964" s="9" t="s">
        <v>17740</v>
      </c>
      <c r="H1964" s="11" t="s">
        <v>29239</v>
      </c>
      <c r="I1964" s="11" t="s">
        <v>29240</v>
      </c>
      <c r="J1964" s="11" t="s">
        <v>29240</v>
      </c>
      <c r="K1964" s="9" t="s">
        <v>19786</v>
      </c>
      <c r="L1964" s="9" t="s">
        <v>17759</v>
      </c>
      <c r="M1964" s="9" t="s">
        <v>26444</v>
      </c>
      <c r="N1964" s="9" t="s">
        <v>17746</v>
      </c>
      <c r="O1964" s="9" t="s">
        <v>20746</v>
      </c>
      <c r="P1964" s="9" t="s">
        <v>17748</v>
      </c>
      <c r="Q1964" s="11" t="s">
        <v>17978</v>
      </c>
      <c r="R1964" s="11" t="s">
        <v>17978</v>
      </c>
      <c r="S1964" s="11" t="s">
        <v>17750</v>
      </c>
    </row>
    <row r="1965" spans="1:19" x14ac:dyDescent="0.2">
      <c r="A1965" s="11" t="s">
        <v>29241</v>
      </c>
      <c r="B1965" s="9" t="s">
        <v>29242</v>
      </c>
      <c r="C1965" s="9" t="s">
        <v>29243</v>
      </c>
      <c r="D1965" s="9" t="s">
        <v>29244</v>
      </c>
      <c r="E1965" s="9" t="s">
        <v>17740</v>
      </c>
      <c r="F1965" s="9" t="s">
        <v>17741</v>
      </c>
      <c r="G1965" s="9" t="s">
        <v>17740</v>
      </c>
      <c r="H1965" s="11" t="s">
        <v>9015</v>
      </c>
      <c r="I1965" s="11" t="s">
        <v>9014</v>
      </c>
      <c r="J1965" s="11" t="s">
        <v>9014</v>
      </c>
      <c r="K1965" s="9" t="s">
        <v>25648</v>
      </c>
      <c r="L1965" s="9" t="s">
        <v>17759</v>
      </c>
      <c r="M1965" s="9" t="s">
        <v>17760</v>
      </c>
      <c r="N1965" s="9" t="s">
        <v>17746</v>
      </c>
      <c r="O1965" s="9" t="s">
        <v>18035</v>
      </c>
      <c r="P1965" s="9" t="s">
        <v>17748</v>
      </c>
      <c r="Q1965" s="11" t="s">
        <v>17792</v>
      </c>
      <c r="R1965" s="11" t="s">
        <v>17792</v>
      </c>
      <c r="S1965" s="11" t="s">
        <v>17750</v>
      </c>
    </row>
    <row r="1966" spans="1:19" x14ac:dyDescent="0.2">
      <c r="A1966" s="11" t="s">
        <v>29245</v>
      </c>
      <c r="B1966" s="9" t="s">
        <v>29246</v>
      </c>
      <c r="C1966" s="9" t="s">
        <v>29247</v>
      </c>
      <c r="D1966" s="9" t="s">
        <v>29248</v>
      </c>
      <c r="E1966" s="9" t="s">
        <v>17740</v>
      </c>
      <c r="F1966" s="9" t="s">
        <v>17741</v>
      </c>
      <c r="G1966" s="9" t="s">
        <v>17740</v>
      </c>
      <c r="H1966" s="11" t="s">
        <v>9111</v>
      </c>
      <c r="I1966" s="11" t="s">
        <v>9110</v>
      </c>
      <c r="J1966" s="11" t="s">
        <v>9110</v>
      </c>
      <c r="K1966" s="9" t="s">
        <v>17783</v>
      </c>
      <c r="L1966" s="9" t="s">
        <v>18001</v>
      </c>
      <c r="M1966" s="9" t="s">
        <v>17760</v>
      </c>
      <c r="N1966" s="9" t="s">
        <v>17746</v>
      </c>
      <c r="O1966" s="9" t="s">
        <v>18363</v>
      </c>
      <c r="P1966" s="9" t="s">
        <v>17748</v>
      </c>
      <c r="Q1966" s="11" t="s">
        <v>17784</v>
      </c>
      <c r="R1966" s="11" t="s">
        <v>17784</v>
      </c>
      <c r="S1966" s="11" t="s">
        <v>17750</v>
      </c>
    </row>
    <row r="1967" spans="1:19" x14ac:dyDescent="0.2">
      <c r="A1967" s="11" t="s">
        <v>29249</v>
      </c>
      <c r="B1967" s="9" t="s">
        <v>29250</v>
      </c>
      <c r="C1967" s="9" t="s">
        <v>29251</v>
      </c>
      <c r="D1967" s="9" t="s">
        <v>29252</v>
      </c>
      <c r="E1967" s="9" t="s">
        <v>17740</v>
      </c>
      <c r="F1967" s="9" t="s">
        <v>29253</v>
      </c>
      <c r="G1967" s="9" t="s">
        <v>17740</v>
      </c>
      <c r="H1967" s="11" t="s">
        <v>29254</v>
      </c>
      <c r="I1967" s="11" t="s">
        <v>29255</v>
      </c>
      <c r="J1967" s="11" t="s">
        <v>29255</v>
      </c>
      <c r="K1967" s="9" t="s">
        <v>29256</v>
      </c>
      <c r="L1967" s="9" t="s">
        <v>17759</v>
      </c>
      <c r="M1967" s="9" t="s">
        <v>17760</v>
      </c>
      <c r="N1967" s="9" t="s">
        <v>17746</v>
      </c>
      <c r="O1967" s="9" t="s">
        <v>29257</v>
      </c>
      <c r="P1967" s="9" t="s">
        <v>17748</v>
      </c>
      <c r="Q1967" s="11" t="s">
        <v>18201</v>
      </c>
      <c r="R1967" s="11" t="s">
        <v>18201</v>
      </c>
      <c r="S1967" s="11" t="s">
        <v>17750</v>
      </c>
    </row>
    <row r="1968" spans="1:19" x14ac:dyDescent="0.2">
      <c r="A1968" s="11" t="s">
        <v>29258</v>
      </c>
      <c r="B1968" s="9" t="s">
        <v>29259</v>
      </c>
      <c r="C1968" s="9" t="s">
        <v>29260</v>
      </c>
      <c r="D1968" s="9" t="s">
        <v>29261</v>
      </c>
      <c r="E1968" s="9" t="s">
        <v>17740</v>
      </c>
      <c r="F1968" s="9" t="s">
        <v>17741</v>
      </c>
      <c r="G1968" s="9" t="s">
        <v>17740</v>
      </c>
      <c r="H1968" s="11" t="s">
        <v>29262</v>
      </c>
      <c r="I1968" s="11" t="s">
        <v>29263</v>
      </c>
      <c r="J1968" s="11" t="s">
        <v>29263</v>
      </c>
      <c r="K1968" s="9" t="s">
        <v>17758</v>
      </c>
      <c r="L1968" s="9" t="s">
        <v>17759</v>
      </c>
      <c r="M1968" s="9" t="s">
        <v>17760</v>
      </c>
      <c r="N1968" s="9" t="s">
        <v>17746</v>
      </c>
      <c r="O1968" s="9" t="s">
        <v>19715</v>
      </c>
      <c r="P1968" s="9" t="s">
        <v>17748</v>
      </c>
      <c r="Q1968" s="11" t="s">
        <v>19335</v>
      </c>
      <c r="R1968" s="11" t="s">
        <v>19335</v>
      </c>
      <c r="S1968" s="11" t="s">
        <v>17750</v>
      </c>
    </row>
    <row r="1969" spans="1:19" x14ac:dyDescent="0.2">
      <c r="A1969" s="11" t="s">
        <v>29264</v>
      </c>
      <c r="B1969" s="9" t="s">
        <v>29265</v>
      </c>
      <c r="C1969" s="9" t="s">
        <v>29266</v>
      </c>
      <c r="D1969" s="9" t="s">
        <v>29267</v>
      </c>
      <c r="E1969" s="9" t="s">
        <v>17740</v>
      </c>
      <c r="F1969" s="9" t="s">
        <v>29268</v>
      </c>
      <c r="G1969" s="9" t="s">
        <v>17740</v>
      </c>
      <c r="H1969" s="11" t="s">
        <v>29269</v>
      </c>
      <c r="I1969" s="11" t="s">
        <v>29270</v>
      </c>
      <c r="J1969" s="11" t="s">
        <v>29270</v>
      </c>
      <c r="K1969" s="9" t="s">
        <v>29271</v>
      </c>
      <c r="L1969" s="9" t="s">
        <v>17759</v>
      </c>
      <c r="M1969" s="9" t="s">
        <v>29272</v>
      </c>
      <c r="N1969" s="9" t="s">
        <v>17746</v>
      </c>
      <c r="O1969" s="9" t="s">
        <v>19423</v>
      </c>
      <c r="P1969" s="9" t="s">
        <v>17748</v>
      </c>
      <c r="Q1969" s="11" t="s">
        <v>18433</v>
      </c>
      <c r="R1969" s="11" t="s">
        <v>18433</v>
      </c>
      <c r="S1969" s="11" t="s">
        <v>17750</v>
      </c>
    </row>
    <row r="1970" spans="1:19" x14ac:dyDescent="0.2">
      <c r="A1970" s="11" t="s">
        <v>29273</v>
      </c>
      <c r="B1970" s="9" t="s">
        <v>29274</v>
      </c>
      <c r="C1970" s="9" t="s">
        <v>29275</v>
      </c>
      <c r="D1970" s="9" t="s">
        <v>29276</v>
      </c>
      <c r="E1970" s="9" t="s">
        <v>17740</v>
      </c>
      <c r="F1970" s="9" t="s">
        <v>17741</v>
      </c>
      <c r="G1970" s="9" t="s">
        <v>17740</v>
      </c>
      <c r="H1970" s="11" t="s">
        <v>1615</v>
      </c>
      <c r="I1970" s="11" t="s">
        <v>1614</v>
      </c>
      <c r="J1970" s="11" t="s">
        <v>1614</v>
      </c>
      <c r="K1970" s="9" t="s">
        <v>55</v>
      </c>
      <c r="L1970" s="9" t="s">
        <v>17744</v>
      </c>
      <c r="M1970" s="9" t="s">
        <v>18065</v>
      </c>
      <c r="N1970" s="9" t="s">
        <v>17746</v>
      </c>
      <c r="O1970" s="9" t="s">
        <v>19423</v>
      </c>
      <c r="P1970" s="9" t="s">
        <v>17748</v>
      </c>
      <c r="Q1970" s="11" t="s">
        <v>18341</v>
      </c>
      <c r="R1970" s="11" t="s">
        <v>18341</v>
      </c>
      <c r="S1970" s="11" t="s">
        <v>17750</v>
      </c>
    </row>
    <row r="1971" spans="1:19" x14ac:dyDescent="0.2">
      <c r="A1971" s="11" t="s">
        <v>29277</v>
      </c>
      <c r="B1971" s="9" t="s">
        <v>29278</v>
      </c>
      <c r="C1971" s="9" t="s">
        <v>29279</v>
      </c>
      <c r="D1971" s="9" t="s">
        <v>29280</v>
      </c>
      <c r="E1971" s="9" t="s">
        <v>17740</v>
      </c>
      <c r="F1971" s="9" t="s">
        <v>17741</v>
      </c>
      <c r="G1971" s="9" t="s">
        <v>17740</v>
      </c>
      <c r="H1971" s="11" t="s">
        <v>29281</v>
      </c>
      <c r="I1971" s="11" t="s">
        <v>29282</v>
      </c>
      <c r="J1971" s="11" t="s">
        <v>29282</v>
      </c>
      <c r="K1971" s="9" t="s">
        <v>29283</v>
      </c>
      <c r="L1971" s="9" t="s">
        <v>17759</v>
      </c>
      <c r="M1971" s="9" t="s">
        <v>19168</v>
      </c>
      <c r="N1971" s="9" t="s">
        <v>17746</v>
      </c>
      <c r="O1971" s="9" t="s">
        <v>19423</v>
      </c>
      <c r="P1971" s="9" t="s">
        <v>17748</v>
      </c>
      <c r="Q1971" s="11" t="s">
        <v>17792</v>
      </c>
      <c r="R1971" s="11" t="s">
        <v>17792</v>
      </c>
      <c r="S1971" s="11" t="s">
        <v>17750</v>
      </c>
    </row>
    <row r="1972" spans="1:19" x14ac:dyDescent="0.2">
      <c r="A1972" s="11" t="s">
        <v>29284</v>
      </c>
      <c r="B1972" s="9" t="s">
        <v>29285</v>
      </c>
      <c r="C1972" s="9" t="s">
        <v>29286</v>
      </c>
      <c r="D1972" s="9" t="s">
        <v>29287</v>
      </c>
      <c r="E1972" s="9" t="s">
        <v>17740</v>
      </c>
      <c r="F1972" s="9" t="s">
        <v>17741</v>
      </c>
      <c r="G1972" s="9" t="s">
        <v>17740</v>
      </c>
      <c r="H1972" s="11" t="s">
        <v>29288</v>
      </c>
      <c r="I1972" s="11" t="s">
        <v>29289</v>
      </c>
      <c r="J1972" s="11" t="s">
        <v>29289</v>
      </c>
      <c r="K1972" s="9" t="s">
        <v>29290</v>
      </c>
      <c r="L1972" s="9" t="s">
        <v>17759</v>
      </c>
      <c r="M1972" s="9" t="s">
        <v>17760</v>
      </c>
      <c r="N1972" s="9" t="s">
        <v>17746</v>
      </c>
      <c r="O1972" s="9" t="s">
        <v>29291</v>
      </c>
      <c r="P1972" s="9" t="s">
        <v>17748</v>
      </c>
      <c r="Q1972" s="11" t="s">
        <v>18314</v>
      </c>
      <c r="R1972" s="11" t="s">
        <v>18314</v>
      </c>
      <c r="S1972" s="11" t="s">
        <v>17750</v>
      </c>
    </row>
    <row r="1973" spans="1:19" x14ac:dyDescent="0.2">
      <c r="A1973" s="11" t="s">
        <v>29292</v>
      </c>
      <c r="B1973" s="9" t="s">
        <v>29293</v>
      </c>
      <c r="C1973" s="9" t="s">
        <v>29294</v>
      </c>
      <c r="D1973" s="9" t="s">
        <v>29295</v>
      </c>
      <c r="E1973" s="9" t="s">
        <v>17740</v>
      </c>
      <c r="F1973" s="9" t="s">
        <v>17741</v>
      </c>
      <c r="G1973" s="9" t="s">
        <v>17740</v>
      </c>
      <c r="H1973" s="11" t="s">
        <v>17741</v>
      </c>
      <c r="I1973" s="11" t="s">
        <v>29296</v>
      </c>
      <c r="J1973" s="11" t="s">
        <v>29296</v>
      </c>
      <c r="K1973" s="9" t="s">
        <v>29297</v>
      </c>
      <c r="L1973" s="9" t="s">
        <v>17991</v>
      </c>
      <c r="M1973" s="9" t="s">
        <v>17942</v>
      </c>
      <c r="N1973" s="9" t="s">
        <v>17746</v>
      </c>
      <c r="O1973" s="9" t="s">
        <v>18543</v>
      </c>
      <c r="P1973" s="9" t="s">
        <v>17748</v>
      </c>
      <c r="Q1973" s="11" t="s">
        <v>18600</v>
      </c>
      <c r="R1973" s="11" t="s">
        <v>18600</v>
      </c>
      <c r="S1973" s="11" t="s">
        <v>17750</v>
      </c>
    </row>
    <row r="1974" spans="1:19" x14ac:dyDescent="0.2">
      <c r="A1974" s="11" t="s">
        <v>29298</v>
      </c>
      <c r="B1974" s="9" t="s">
        <v>29299</v>
      </c>
      <c r="C1974" s="9" t="s">
        <v>29300</v>
      </c>
      <c r="D1974" s="9" t="s">
        <v>29301</v>
      </c>
      <c r="E1974" s="9" t="s">
        <v>17740</v>
      </c>
      <c r="F1974" s="9" t="s">
        <v>29302</v>
      </c>
      <c r="G1974" s="9" t="s">
        <v>17740</v>
      </c>
      <c r="H1974" s="11" t="s">
        <v>17741</v>
      </c>
      <c r="I1974" s="11" t="s">
        <v>29303</v>
      </c>
      <c r="J1974" s="11" t="s">
        <v>29303</v>
      </c>
      <c r="K1974" s="9" t="s">
        <v>29304</v>
      </c>
      <c r="L1974" s="9" t="s">
        <v>17744</v>
      </c>
      <c r="M1974" s="9" t="s">
        <v>17992</v>
      </c>
      <c r="N1974" s="9" t="s">
        <v>17746</v>
      </c>
      <c r="O1974" s="9" t="s">
        <v>17882</v>
      </c>
      <c r="P1974" s="9" t="s">
        <v>17748</v>
      </c>
      <c r="Q1974" s="11" t="s">
        <v>18080</v>
      </c>
      <c r="R1974" s="11" t="s">
        <v>18080</v>
      </c>
      <c r="S1974" s="11" t="s">
        <v>17750</v>
      </c>
    </row>
    <row r="1975" spans="1:19" x14ac:dyDescent="0.2">
      <c r="A1975" s="11" t="s">
        <v>29305</v>
      </c>
      <c r="B1975" s="9" t="s">
        <v>29306</v>
      </c>
      <c r="C1975" s="9" t="s">
        <v>29307</v>
      </c>
      <c r="D1975" s="9" t="s">
        <v>29308</v>
      </c>
      <c r="E1975" s="9" t="s">
        <v>17740</v>
      </c>
      <c r="F1975" s="9" t="s">
        <v>29309</v>
      </c>
      <c r="G1975" s="9" t="s">
        <v>17740</v>
      </c>
      <c r="H1975" s="11" t="s">
        <v>29310</v>
      </c>
      <c r="I1975" s="11" t="s">
        <v>5378</v>
      </c>
      <c r="J1975" s="11" t="s">
        <v>5378</v>
      </c>
      <c r="K1975" s="9" t="s">
        <v>29311</v>
      </c>
      <c r="L1975" s="9" t="s">
        <v>18439</v>
      </c>
      <c r="M1975" s="9" t="s">
        <v>17769</v>
      </c>
      <c r="N1975" s="9" t="s">
        <v>18171</v>
      </c>
      <c r="O1975" s="9" t="s">
        <v>19617</v>
      </c>
      <c r="P1975" s="9" t="s">
        <v>17748</v>
      </c>
      <c r="Q1975" s="11" t="s">
        <v>17749</v>
      </c>
      <c r="R1975" s="11" t="s">
        <v>17749</v>
      </c>
      <c r="S1975" s="11" t="s">
        <v>17750</v>
      </c>
    </row>
    <row r="1976" spans="1:19" x14ac:dyDescent="0.2">
      <c r="A1976" s="11" t="s">
        <v>29312</v>
      </c>
      <c r="B1976" s="9" t="s">
        <v>29313</v>
      </c>
      <c r="C1976" s="9" t="s">
        <v>29314</v>
      </c>
      <c r="D1976" s="9" t="s">
        <v>29315</v>
      </c>
      <c r="E1976" s="9" t="s">
        <v>17740</v>
      </c>
      <c r="F1976" s="9" t="s">
        <v>29316</v>
      </c>
      <c r="G1976" s="9" t="s">
        <v>17740</v>
      </c>
      <c r="H1976" s="11" t="s">
        <v>4476</v>
      </c>
      <c r="I1976" s="11" t="s">
        <v>29317</v>
      </c>
      <c r="J1976" s="11" t="s">
        <v>29317</v>
      </c>
      <c r="K1976" s="9" t="s">
        <v>29318</v>
      </c>
      <c r="L1976" s="9" t="s">
        <v>17759</v>
      </c>
      <c r="M1976" s="9" t="s">
        <v>19012</v>
      </c>
      <c r="N1976" s="9" t="s">
        <v>17746</v>
      </c>
      <c r="O1976" s="9" t="s">
        <v>27923</v>
      </c>
      <c r="P1976" s="9" t="s">
        <v>17748</v>
      </c>
      <c r="Q1976" s="11" t="s">
        <v>18364</v>
      </c>
      <c r="R1976" s="11" t="s">
        <v>18364</v>
      </c>
      <c r="S1976" s="11" t="s">
        <v>17750</v>
      </c>
    </row>
    <row r="1977" spans="1:19" x14ac:dyDescent="0.2">
      <c r="A1977" s="11" t="s">
        <v>29319</v>
      </c>
      <c r="B1977" s="9" t="s">
        <v>29320</v>
      </c>
      <c r="C1977" s="9" t="s">
        <v>29321</v>
      </c>
      <c r="D1977" s="9" t="s">
        <v>29322</v>
      </c>
      <c r="E1977" s="9" t="s">
        <v>17748</v>
      </c>
      <c r="F1977" s="9" t="s">
        <v>29323</v>
      </c>
      <c r="G1977" s="9" t="s">
        <v>17740</v>
      </c>
      <c r="H1977" s="11" t="s">
        <v>10713</v>
      </c>
      <c r="I1977" s="11" t="s">
        <v>10712</v>
      </c>
      <c r="J1977" s="11" t="s">
        <v>10712</v>
      </c>
      <c r="K1977" s="9" t="s">
        <v>29324</v>
      </c>
      <c r="L1977" s="9" t="s">
        <v>17744</v>
      </c>
      <c r="M1977" s="9" t="s">
        <v>20172</v>
      </c>
      <c r="N1977" s="9" t="s">
        <v>17746</v>
      </c>
      <c r="O1977" s="9" t="s">
        <v>773</v>
      </c>
      <c r="P1977" s="9" t="s">
        <v>17748</v>
      </c>
      <c r="Q1977" s="11" t="s">
        <v>17984</v>
      </c>
      <c r="R1977" s="11" t="s">
        <v>17984</v>
      </c>
      <c r="S1977" s="11" t="s">
        <v>17750</v>
      </c>
    </row>
    <row r="1978" spans="1:19" x14ac:dyDescent="0.2">
      <c r="A1978" s="11" t="s">
        <v>29325</v>
      </c>
      <c r="B1978" s="9" t="s">
        <v>29326</v>
      </c>
      <c r="C1978" s="9" t="s">
        <v>29327</v>
      </c>
      <c r="D1978" s="9" t="s">
        <v>29328</v>
      </c>
      <c r="E1978" s="9" t="s">
        <v>17740</v>
      </c>
      <c r="F1978" s="9" t="s">
        <v>17741</v>
      </c>
      <c r="G1978" s="9" t="s">
        <v>17740</v>
      </c>
      <c r="H1978" s="11" t="s">
        <v>1623</v>
      </c>
      <c r="I1978" s="11" t="s">
        <v>1622</v>
      </c>
      <c r="J1978" s="11" t="s">
        <v>1622</v>
      </c>
      <c r="K1978" s="9" t="s">
        <v>22475</v>
      </c>
      <c r="L1978" s="9" t="s">
        <v>18001</v>
      </c>
      <c r="M1978" s="9" t="s">
        <v>29329</v>
      </c>
      <c r="N1978" s="9" t="s">
        <v>17746</v>
      </c>
      <c r="O1978" s="9" t="s">
        <v>773</v>
      </c>
      <c r="P1978" s="9" t="s">
        <v>17748</v>
      </c>
      <c r="Q1978" s="11" t="s">
        <v>17883</v>
      </c>
      <c r="R1978" s="11" t="s">
        <v>17883</v>
      </c>
      <c r="S1978" s="11" t="s">
        <v>17750</v>
      </c>
    </row>
    <row r="1979" spans="1:19" x14ac:dyDescent="0.2">
      <c r="A1979" s="11" t="s">
        <v>29330</v>
      </c>
      <c r="B1979" s="9" t="s">
        <v>29331</v>
      </c>
      <c r="C1979" s="9" t="s">
        <v>29332</v>
      </c>
      <c r="D1979" s="9" t="s">
        <v>29333</v>
      </c>
      <c r="E1979" s="9" t="s">
        <v>17740</v>
      </c>
      <c r="F1979" s="9" t="s">
        <v>17741</v>
      </c>
      <c r="G1979" s="9" t="s">
        <v>17740</v>
      </c>
      <c r="H1979" s="11" t="s">
        <v>17741</v>
      </c>
      <c r="I1979" s="11" t="s">
        <v>29334</v>
      </c>
      <c r="J1979" s="11" t="s">
        <v>29334</v>
      </c>
      <c r="K1979" s="9" t="s">
        <v>29335</v>
      </c>
      <c r="L1979" s="9" t="s">
        <v>17759</v>
      </c>
      <c r="M1979" s="9" t="s">
        <v>29336</v>
      </c>
      <c r="N1979" s="9" t="s">
        <v>17746</v>
      </c>
      <c r="O1979" s="9" t="s">
        <v>19275</v>
      </c>
      <c r="P1979" s="9" t="s">
        <v>17748</v>
      </c>
      <c r="Q1979" s="11" t="s">
        <v>20691</v>
      </c>
      <c r="R1979" s="11" t="s">
        <v>20691</v>
      </c>
      <c r="S1979" s="11" t="s">
        <v>17750</v>
      </c>
    </row>
    <row r="1980" spans="1:19" x14ac:dyDescent="0.2">
      <c r="A1980" s="11" t="s">
        <v>29337</v>
      </c>
      <c r="B1980" s="9" t="s">
        <v>29338</v>
      </c>
      <c r="C1980" s="9" t="s">
        <v>29339</v>
      </c>
      <c r="D1980" s="9" t="s">
        <v>29340</v>
      </c>
      <c r="E1980" s="9" t="s">
        <v>17740</v>
      </c>
      <c r="F1980" s="9" t="s">
        <v>29341</v>
      </c>
      <c r="G1980" s="9" t="s">
        <v>17740</v>
      </c>
      <c r="H1980" s="11" t="s">
        <v>29342</v>
      </c>
      <c r="I1980" s="11" t="s">
        <v>29343</v>
      </c>
      <c r="J1980" s="11" t="s">
        <v>29343</v>
      </c>
      <c r="K1980" s="9" t="s">
        <v>17758</v>
      </c>
      <c r="L1980" s="9" t="s">
        <v>17759</v>
      </c>
      <c r="M1980" s="9" t="s">
        <v>17769</v>
      </c>
      <c r="N1980" s="9" t="s">
        <v>17746</v>
      </c>
      <c r="O1980" s="9" t="s">
        <v>29344</v>
      </c>
      <c r="P1980" s="9" t="s">
        <v>17748</v>
      </c>
      <c r="Q1980" s="11" t="s">
        <v>17900</v>
      </c>
      <c r="R1980" s="11" t="s">
        <v>17900</v>
      </c>
      <c r="S1980" s="11" t="s">
        <v>17750</v>
      </c>
    </row>
    <row r="1981" spans="1:19" x14ac:dyDescent="0.2">
      <c r="A1981" s="11" t="s">
        <v>29345</v>
      </c>
      <c r="B1981" s="9" t="s">
        <v>29346</v>
      </c>
      <c r="C1981" s="9" t="s">
        <v>29347</v>
      </c>
      <c r="D1981" s="9" t="s">
        <v>29348</v>
      </c>
      <c r="E1981" s="9" t="s">
        <v>17740</v>
      </c>
      <c r="F1981" s="9" t="s">
        <v>17741</v>
      </c>
      <c r="G1981" s="9" t="s">
        <v>17740</v>
      </c>
      <c r="H1981" s="11" t="s">
        <v>29349</v>
      </c>
      <c r="I1981" s="11" t="s">
        <v>29350</v>
      </c>
      <c r="J1981" s="11" t="s">
        <v>29350</v>
      </c>
      <c r="K1981" s="9" t="s">
        <v>20225</v>
      </c>
      <c r="L1981" s="9" t="s">
        <v>17744</v>
      </c>
      <c r="M1981" s="9" t="s">
        <v>29351</v>
      </c>
      <c r="N1981" s="9" t="s">
        <v>17746</v>
      </c>
      <c r="O1981" s="9" t="s">
        <v>28153</v>
      </c>
      <c r="P1981" s="9" t="s">
        <v>17748</v>
      </c>
      <c r="Q1981" s="11" t="s">
        <v>18960</v>
      </c>
      <c r="R1981" s="11" t="s">
        <v>18960</v>
      </c>
      <c r="S1981" s="11" t="s">
        <v>17750</v>
      </c>
    </row>
    <row r="1982" spans="1:19" x14ac:dyDescent="0.2">
      <c r="A1982" s="11" t="s">
        <v>29352</v>
      </c>
      <c r="B1982" s="9" t="s">
        <v>29353</v>
      </c>
      <c r="C1982" s="9" t="s">
        <v>29354</v>
      </c>
      <c r="D1982" s="9" t="s">
        <v>29355</v>
      </c>
      <c r="E1982" s="9" t="s">
        <v>17740</v>
      </c>
      <c r="F1982" s="9" t="s">
        <v>17741</v>
      </c>
      <c r="G1982" s="9" t="s">
        <v>17740</v>
      </c>
      <c r="H1982" s="11" t="s">
        <v>1638</v>
      </c>
      <c r="I1982" s="11" t="s">
        <v>1637</v>
      </c>
      <c r="J1982" s="11" t="s">
        <v>1637</v>
      </c>
      <c r="K1982" s="9" t="s">
        <v>20225</v>
      </c>
      <c r="L1982" s="9" t="s">
        <v>17744</v>
      </c>
      <c r="M1982" s="9" t="s">
        <v>29356</v>
      </c>
      <c r="N1982" s="9" t="s">
        <v>17746</v>
      </c>
      <c r="O1982" s="9" t="s">
        <v>18746</v>
      </c>
      <c r="P1982" s="9" t="s">
        <v>17748</v>
      </c>
      <c r="Q1982" s="11" t="s">
        <v>18600</v>
      </c>
      <c r="R1982" s="11" t="s">
        <v>18600</v>
      </c>
      <c r="S1982" s="11" t="s">
        <v>17750</v>
      </c>
    </row>
    <row r="1983" spans="1:19" x14ac:dyDescent="0.2">
      <c r="A1983" s="11" t="s">
        <v>29357</v>
      </c>
      <c r="B1983" s="9" t="s">
        <v>29358</v>
      </c>
      <c r="C1983" s="9" t="s">
        <v>29359</v>
      </c>
      <c r="D1983" s="9" t="s">
        <v>29360</v>
      </c>
      <c r="E1983" s="9" t="s">
        <v>17740</v>
      </c>
      <c r="F1983" s="9" t="s">
        <v>17741</v>
      </c>
      <c r="G1983" s="9" t="s">
        <v>17740</v>
      </c>
      <c r="H1983" s="11" t="s">
        <v>1641</v>
      </c>
      <c r="I1983" s="11" t="s">
        <v>1640</v>
      </c>
      <c r="J1983" s="11" t="s">
        <v>1640</v>
      </c>
      <c r="K1983" s="9" t="s">
        <v>20225</v>
      </c>
      <c r="L1983" s="9" t="s">
        <v>17744</v>
      </c>
      <c r="M1983" s="9" t="s">
        <v>18170</v>
      </c>
      <c r="N1983" s="9" t="s">
        <v>17746</v>
      </c>
      <c r="O1983" s="9" t="s">
        <v>18746</v>
      </c>
      <c r="P1983" s="9" t="s">
        <v>17748</v>
      </c>
      <c r="Q1983" s="11" t="s">
        <v>18960</v>
      </c>
      <c r="R1983" s="11" t="s">
        <v>18960</v>
      </c>
      <c r="S1983" s="11" t="s">
        <v>17750</v>
      </c>
    </row>
    <row r="1984" spans="1:19" x14ac:dyDescent="0.2">
      <c r="A1984" s="11" t="s">
        <v>29361</v>
      </c>
      <c r="B1984" s="9" t="s">
        <v>29362</v>
      </c>
      <c r="C1984" s="9" t="s">
        <v>29363</v>
      </c>
      <c r="D1984" s="9" t="s">
        <v>29364</v>
      </c>
      <c r="E1984" s="9" t="s">
        <v>17740</v>
      </c>
      <c r="F1984" s="9" t="s">
        <v>17741</v>
      </c>
      <c r="G1984" s="9" t="s">
        <v>17740</v>
      </c>
      <c r="H1984" s="11" t="s">
        <v>8841</v>
      </c>
      <c r="I1984" s="11" t="s">
        <v>8840</v>
      </c>
      <c r="J1984" s="11" t="s">
        <v>8840</v>
      </c>
      <c r="K1984" s="9" t="s">
        <v>20225</v>
      </c>
      <c r="L1984" s="9" t="s">
        <v>17744</v>
      </c>
      <c r="M1984" s="9" t="s">
        <v>17760</v>
      </c>
      <c r="N1984" s="9" t="s">
        <v>17746</v>
      </c>
      <c r="O1984" s="9" t="s">
        <v>18746</v>
      </c>
      <c r="P1984" s="9" t="s">
        <v>17748</v>
      </c>
      <c r="Q1984" s="11" t="s">
        <v>18922</v>
      </c>
      <c r="R1984" s="11" t="s">
        <v>18922</v>
      </c>
      <c r="S1984" s="11" t="s">
        <v>17750</v>
      </c>
    </row>
    <row r="1985" spans="1:19" x14ac:dyDescent="0.2">
      <c r="A1985" s="11" t="s">
        <v>29365</v>
      </c>
      <c r="B1985" s="9" t="s">
        <v>29366</v>
      </c>
      <c r="C1985" s="9" t="s">
        <v>29367</v>
      </c>
      <c r="D1985" s="9" t="s">
        <v>29368</v>
      </c>
      <c r="E1985" s="9" t="s">
        <v>17740</v>
      </c>
      <c r="F1985" s="9" t="s">
        <v>17741</v>
      </c>
      <c r="G1985" s="9" t="s">
        <v>17740</v>
      </c>
      <c r="H1985" s="11" t="s">
        <v>1629</v>
      </c>
      <c r="I1985" s="11" t="s">
        <v>1628</v>
      </c>
      <c r="J1985" s="11" t="s">
        <v>1628</v>
      </c>
      <c r="K1985" s="9" t="s">
        <v>29369</v>
      </c>
      <c r="L1985" s="9" t="s">
        <v>17759</v>
      </c>
      <c r="M1985" s="9" t="s">
        <v>17817</v>
      </c>
      <c r="N1985" s="9" t="s">
        <v>17746</v>
      </c>
      <c r="O1985" s="9" t="s">
        <v>19067</v>
      </c>
      <c r="P1985" s="9" t="s">
        <v>17748</v>
      </c>
      <c r="Q1985" s="11" t="s">
        <v>17931</v>
      </c>
      <c r="R1985" s="11" t="s">
        <v>17931</v>
      </c>
      <c r="S1985" s="11" t="s">
        <v>17750</v>
      </c>
    </row>
    <row r="1986" spans="1:19" x14ac:dyDescent="0.2">
      <c r="A1986" s="11" t="s">
        <v>29370</v>
      </c>
      <c r="B1986" s="9" t="s">
        <v>29371</v>
      </c>
      <c r="C1986" s="9" t="s">
        <v>29372</v>
      </c>
      <c r="D1986" s="9" t="s">
        <v>29373</v>
      </c>
      <c r="E1986" s="9" t="s">
        <v>17748</v>
      </c>
      <c r="F1986" s="9" t="s">
        <v>29374</v>
      </c>
      <c r="G1986" s="9" t="s">
        <v>17740</v>
      </c>
      <c r="H1986" s="11" t="s">
        <v>10726</v>
      </c>
      <c r="I1986" s="11" t="s">
        <v>10725</v>
      </c>
      <c r="J1986" s="11" t="s">
        <v>10725</v>
      </c>
      <c r="K1986" s="9" t="s">
        <v>291</v>
      </c>
      <c r="L1986" s="9" t="s">
        <v>17744</v>
      </c>
      <c r="M1986" s="9" t="s">
        <v>17769</v>
      </c>
      <c r="N1986" s="9" t="s">
        <v>17746</v>
      </c>
      <c r="O1986" s="9" t="s">
        <v>29375</v>
      </c>
      <c r="P1986" s="9" t="s">
        <v>17748</v>
      </c>
      <c r="Q1986" s="11" t="s">
        <v>17780</v>
      </c>
      <c r="R1986" s="11" t="s">
        <v>17780</v>
      </c>
      <c r="S1986" s="11" t="s">
        <v>17750</v>
      </c>
    </row>
    <row r="1987" spans="1:19" x14ac:dyDescent="0.2">
      <c r="A1987" s="11" t="s">
        <v>29376</v>
      </c>
      <c r="B1987" s="9" t="s">
        <v>29377</v>
      </c>
      <c r="C1987" s="9" t="s">
        <v>29378</v>
      </c>
      <c r="D1987" s="9" t="s">
        <v>29379</v>
      </c>
      <c r="E1987" s="9" t="s">
        <v>17740</v>
      </c>
      <c r="F1987" s="9" t="s">
        <v>29380</v>
      </c>
      <c r="G1987" s="9" t="s">
        <v>17740</v>
      </c>
      <c r="H1987" s="11" t="s">
        <v>5081</v>
      </c>
      <c r="I1987" s="11" t="s">
        <v>5080</v>
      </c>
      <c r="J1987" s="11" t="s">
        <v>5080</v>
      </c>
      <c r="K1987" s="9" t="s">
        <v>22922</v>
      </c>
      <c r="L1987" s="9" t="s">
        <v>18123</v>
      </c>
      <c r="M1987" s="9" t="s">
        <v>26933</v>
      </c>
      <c r="N1987" s="9" t="s">
        <v>17746</v>
      </c>
      <c r="O1987" s="9" t="s">
        <v>29381</v>
      </c>
      <c r="P1987" s="9" t="s">
        <v>17748</v>
      </c>
      <c r="Q1987" s="11" t="s">
        <v>17749</v>
      </c>
      <c r="R1987" s="11" t="s">
        <v>17749</v>
      </c>
      <c r="S1987" s="11" t="s">
        <v>17750</v>
      </c>
    </row>
    <row r="1988" spans="1:19" x14ac:dyDescent="0.2">
      <c r="A1988" s="11" t="s">
        <v>29382</v>
      </c>
      <c r="B1988" s="9" t="s">
        <v>29383</v>
      </c>
      <c r="C1988" s="9" t="s">
        <v>29384</v>
      </c>
      <c r="D1988" s="9" t="s">
        <v>29385</v>
      </c>
      <c r="E1988" s="9" t="s">
        <v>17740</v>
      </c>
      <c r="F1988" s="9" t="s">
        <v>17741</v>
      </c>
      <c r="G1988" s="9" t="s">
        <v>17740</v>
      </c>
      <c r="H1988" s="11" t="s">
        <v>29386</v>
      </c>
      <c r="I1988" s="11" t="s">
        <v>17741</v>
      </c>
      <c r="J1988" s="11" t="s">
        <v>29386</v>
      </c>
      <c r="K1988" s="9" t="s">
        <v>29387</v>
      </c>
      <c r="L1988" s="9" t="s">
        <v>17759</v>
      </c>
      <c r="M1988" s="9" t="s">
        <v>29388</v>
      </c>
      <c r="N1988" s="9" t="s">
        <v>17746</v>
      </c>
      <c r="O1988" s="9" t="s">
        <v>1802</v>
      </c>
      <c r="P1988" s="9" t="s">
        <v>17748</v>
      </c>
      <c r="Q1988" s="11" t="s">
        <v>18201</v>
      </c>
      <c r="R1988" s="11" t="s">
        <v>18201</v>
      </c>
      <c r="S1988" s="11" t="s">
        <v>17750</v>
      </c>
    </row>
    <row r="1989" spans="1:19" x14ac:dyDescent="0.2">
      <c r="A1989" s="11" t="s">
        <v>29389</v>
      </c>
      <c r="B1989" s="9" t="s">
        <v>29390</v>
      </c>
      <c r="C1989" s="9" t="s">
        <v>29391</v>
      </c>
      <c r="D1989" s="9" t="s">
        <v>29392</v>
      </c>
      <c r="E1989" s="9" t="s">
        <v>17740</v>
      </c>
      <c r="F1989" s="9" t="s">
        <v>17741</v>
      </c>
      <c r="G1989" s="9" t="s">
        <v>17740</v>
      </c>
      <c r="H1989" s="11" t="s">
        <v>29393</v>
      </c>
      <c r="I1989" s="11" t="s">
        <v>29394</v>
      </c>
      <c r="J1989" s="11" t="s">
        <v>29394</v>
      </c>
      <c r="K1989" s="9" t="s">
        <v>601</v>
      </c>
      <c r="L1989" s="9" t="s">
        <v>17744</v>
      </c>
      <c r="M1989" s="9" t="s">
        <v>18177</v>
      </c>
      <c r="N1989" s="9" t="s">
        <v>17746</v>
      </c>
      <c r="O1989" s="9" t="s">
        <v>29395</v>
      </c>
      <c r="P1989" s="9" t="s">
        <v>17748</v>
      </c>
      <c r="Q1989" s="11" t="s">
        <v>18080</v>
      </c>
      <c r="R1989" s="11" t="s">
        <v>18080</v>
      </c>
      <c r="S1989" s="11" t="s">
        <v>17750</v>
      </c>
    </row>
    <row r="1990" spans="1:19" x14ac:dyDescent="0.2">
      <c r="A1990" s="11" t="s">
        <v>29396</v>
      </c>
      <c r="B1990" s="9" t="s">
        <v>29397</v>
      </c>
      <c r="C1990" s="9" t="s">
        <v>29398</v>
      </c>
      <c r="D1990" s="9" t="s">
        <v>29399</v>
      </c>
      <c r="E1990" s="9" t="s">
        <v>17740</v>
      </c>
      <c r="F1990" s="9" t="s">
        <v>17741</v>
      </c>
      <c r="G1990" s="9" t="s">
        <v>17740</v>
      </c>
      <c r="H1990" s="11" t="s">
        <v>29400</v>
      </c>
      <c r="I1990" s="11" t="s">
        <v>29401</v>
      </c>
      <c r="J1990" s="11" t="s">
        <v>29401</v>
      </c>
      <c r="K1990" s="9" t="s">
        <v>18876</v>
      </c>
      <c r="L1990" s="9" t="s">
        <v>18001</v>
      </c>
      <c r="M1990" s="9" t="s">
        <v>21973</v>
      </c>
      <c r="N1990" s="9" t="s">
        <v>17746</v>
      </c>
      <c r="O1990" s="9" t="s">
        <v>29402</v>
      </c>
      <c r="P1990" s="9" t="s">
        <v>17748</v>
      </c>
      <c r="Q1990" s="11" t="s">
        <v>18059</v>
      </c>
      <c r="R1990" s="11" t="s">
        <v>18059</v>
      </c>
      <c r="S1990" s="11" t="s">
        <v>17750</v>
      </c>
    </row>
    <row r="1991" spans="1:19" x14ac:dyDescent="0.2">
      <c r="A1991" s="11" t="s">
        <v>29403</v>
      </c>
      <c r="B1991" s="9" t="s">
        <v>1666</v>
      </c>
      <c r="C1991" s="9" t="s">
        <v>29404</v>
      </c>
      <c r="D1991" s="9" t="s">
        <v>1666</v>
      </c>
      <c r="E1991" s="9" t="s">
        <v>17740</v>
      </c>
      <c r="F1991" s="9" t="s">
        <v>29405</v>
      </c>
      <c r="G1991" s="9" t="s">
        <v>17740</v>
      </c>
      <c r="H1991" s="11" t="s">
        <v>1668</v>
      </c>
      <c r="I1991" s="11" t="s">
        <v>1667</v>
      </c>
      <c r="J1991" s="11" t="s">
        <v>1667</v>
      </c>
      <c r="K1991" s="9" t="s">
        <v>91</v>
      </c>
      <c r="L1991" s="9" t="s">
        <v>18001</v>
      </c>
      <c r="M1991" s="9" t="s">
        <v>18065</v>
      </c>
      <c r="N1991" s="9" t="s">
        <v>17746</v>
      </c>
      <c r="O1991" s="9" t="s">
        <v>18607</v>
      </c>
      <c r="P1991" s="9" t="s">
        <v>17748</v>
      </c>
      <c r="Q1991" s="11" t="s">
        <v>18847</v>
      </c>
      <c r="R1991" s="11" t="s">
        <v>18847</v>
      </c>
      <c r="S1991" s="11" t="s">
        <v>17750</v>
      </c>
    </row>
    <row r="1992" spans="1:19" x14ac:dyDescent="0.2">
      <c r="A1992" s="11" t="s">
        <v>29406</v>
      </c>
      <c r="B1992" s="9" t="s">
        <v>29407</v>
      </c>
      <c r="C1992" s="9" t="s">
        <v>29408</v>
      </c>
      <c r="D1992" s="9" t="s">
        <v>29409</v>
      </c>
      <c r="E1992" s="9" t="s">
        <v>17740</v>
      </c>
      <c r="F1992" s="9" t="s">
        <v>17741</v>
      </c>
      <c r="G1992" s="9" t="s">
        <v>17740</v>
      </c>
      <c r="H1992" s="11" t="s">
        <v>17741</v>
      </c>
      <c r="I1992" s="11" t="s">
        <v>29410</v>
      </c>
      <c r="J1992" s="11" t="s">
        <v>29410</v>
      </c>
      <c r="K1992" s="9" t="s">
        <v>29411</v>
      </c>
      <c r="L1992" s="9" t="s">
        <v>18854</v>
      </c>
      <c r="M1992" s="9" t="s">
        <v>17769</v>
      </c>
      <c r="N1992" s="9" t="s">
        <v>20237</v>
      </c>
      <c r="O1992" s="9" t="s">
        <v>18481</v>
      </c>
      <c r="P1992" s="9" t="s">
        <v>17748</v>
      </c>
      <c r="Q1992" s="11" t="s">
        <v>18608</v>
      </c>
      <c r="R1992" s="11" t="s">
        <v>18608</v>
      </c>
      <c r="S1992" s="11" t="s">
        <v>17750</v>
      </c>
    </row>
    <row r="1993" spans="1:19" x14ac:dyDescent="0.2">
      <c r="A1993" s="11" t="s">
        <v>29412</v>
      </c>
      <c r="B1993" s="9" t="s">
        <v>29413</v>
      </c>
      <c r="C1993" s="9" t="s">
        <v>29414</v>
      </c>
      <c r="D1993" s="9" t="s">
        <v>29415</v>
      </c>
      <c r="E1993" s="9" t="s">
        <v>17748</v>
      </c>
      <c r="F1993" s="9" t="s">
        <v>29416</v>
      </c>
      <c r="G1993" s="9" t="s">
        <v>17740</v>
      </c>
      <c r="H1993" s="11" t="s">
        <v>17741</v>
      </c>
      <c r="I1993" s="11" t="s">
        <v>17741</v>
      </c>
      <c r="J1993" s="11" t="s">
        <v>17741</v>
      </c>
      <c r="K1993" s="9" t="s">
        <v>29417</v>
      </c>
      <c r="L1993" s="9" t="s">
        <v>29064</v>
      </c>
      <c r="M1993" s="9" t="s">
        <v>17769</v>
      </c>
      <c r="N1993" s="9" t="s">
        <v>29418</v>
      </c>
      <c r="O1993" s="9" t="s">
        <v>18481</v>
      </c>
      <c r="P1993" s="9" t="s">
        <v>17748</v>
      </c>
      <c r="Q1993" s="11" t="s">
        <v>17808</v>
      </c>
      <c r="R1993" s="11" t="s">
        <v>17808</v>
      </c>
      <c r="S1993" s="11" t="s">
        <v>17750</v>
      </c>
    </row>
    <row r="1994" spans="1:19" x14ac:dyDescent="0.2">
      <c r="A1994" s="11" t="s">
        <v>29419</v>
      </c>
      <c r="B1994" s="9" t="s">
        <v>29420</v>
      </c>
      <c r="C1994" s="9" t="s">
        <v>29421</v>
      </c>
      <c r="D1994" s="9" t="s">
        <v>29422</v>
      </c>
      <c r="E1994" s="9" t="s">
        <v>17740</v>
      </c>
      <c r="F1994" s="9" t="s">
        <v>29423</v>
      </c>
      <c r="G1994" s="9" t="s">
        <v>17740</v>
      </c>
      <c r="H1994" s="11" t="s">
        <v>17741</v>
      </c>
      <c r="I1994" s="11" t="s">
        <v>29424</v>
      </c>
      <c r="J1994" s="11" t="s">
        <v>29424</v>
      </c>
      <c r="K1994" s="9" t="s">
        <v>29425</v>
      </c>
      <c r="L1994" s="9" t="s">
        <v>17759</v>
      </c>
      <c r="M1994" s="9" t="s">
        <v>29426</v>
      </c>
      <c r="N1994" s="9" t="s">
        <v>17746</v>
      </c>
      <c r="O1994" s="9" t="s">
        <v>17800</v>
      </c>
      <c r="P1994" s="9" t="s">
        <v>17748</v>
      </c>
      <c r="Q1994" s="11" t="s">
        <v>21569</v>
      </c>
      <c r="R1994" s="11" t="s">
        <v>21569</v>
      </c>
      <c r="S1994" s="11" t="s">
        <v>17750</v>
      </c>
    </row>
    <row r="1995" spans="1:19" x14ac:dyDescent="0.2">
      <c r="A1995" s="11" t="s">
        <v>29427</v>
      </c>
      <c r="B1995" s="9" t="s">
        <v>29428</v>
      </c>
      <c r="C1995" s="9" t="s">
        <v>29429</v>
      </c>
      <c r="D1995" s="9" t="s">
        <v>29430</v>
      </c>
      <c r="E1995" s="9" t="s">
        <v>17740</v>
      </c>
      <c r="F1995" s="9" t="s">
        <v>17741</v>
      </c>
      <c r="G1995" s="9" t="s">
        <v>17740</v>
      </c>
      <c r="H1995" s="11" t="s">
        <v>29431</v>
      </c>
      <c r="I1995" s="11" t="s">
        <v>29432</v>
      </c>
      <c r="J1995" s="11" t="s">
        <v>29432</v>
      </c>
      <c r="K1995" s="9" t="s">
        <v>10332</v>
      </c>
      <c r="L1995" s="9" t="s">
        <v>17759</v>
      </c>
      <c r="M1995" s="9" t="s">
        <v>21794</v>
      </c>
      <c r="N1995" s="9" t="s">
        <v>17746</v>
      </c>
      <c r="O1995" s="9" t="s">
        <v>19859</v>
      </c>
      <c r="P1995" s="9" t="s">
        <v>17748</v>
      </c>
      <c r="Q1995" s="11" t="s">
        <v>17917</v>
      </c>
      <c r="R1995" s="11" t="s">
        <v>17917</v>
      </c>
      <c r="S1995" s="11" t="s">
        <v>17750</v>
      </c>
    </row>
    <row r="1996" spans="1:19" x14ac:dyDescent="0.2">
      <c r="A1996" s="11" t="s">
        <v>29433</v>
      </c>
      <c r="B1996" s="9" t="s">
        <v>29434</v>
      </c>
      <c r="C1996" s="9" t="s">
        <v>29435</v>
      </c>
      <c r="D1996" s="9" t="s">
        <v>29436</v>
      </c>
      <c r="E1996" s="9" t="s">
        <v>17740</v>
      </c>
      <c r="F1996" s="9" t="s">
        <v>17741</v>
      </c>
      <c r="G1996" s="9" t="s">
        <v>17740</v>
      </c>
      <c r="H1996" s="11" t="s">
        <v>17741</v>
      </c>
      <c r="I1996" s="11" t="s">
        <v>29437</v>
      </c>
      <c r="J1996" s="11" t="s">
        <v>29437</v>
      </c>
      <c r="K1996" s="9" t="s">
        <v>29438</v>
      </c>
      <c r="L1996" s="9" t="s">
        <v>17759</v>
      </c>
      <c r="M1996" s="9" t="s">
        <v>29439</v>
      </c>
      <c r="N1996" s="9" t="s">
        <v>17746</v>
      </c>
      <c r="O1996" s="9" t="s">
        <v>19147</v>
      </c>
      <c r="P1996" s="9" t="s">
        <v>17748</v>
      </c>
      <c r="Q1996" s="11" t="s">
        <v>18960</v>
      </c>
      <c r="R1996" s="11" t="s">
        <v>18960</v>
      </c>
      <c r="S1996" s="11" t="s">
        <v>17750</v>
      </c>
    </row>
    <row r="1997" spans="1:19" x14ac:dyDescent="0.2">
      <c r="A1997" s="11" t="s">
        <v>29440</v>
      </c>
      <c r="B1997" s="9" t="s">
        <v>29441</v>
      </c>
      <c r="C1997" s="9" t="s">
        <v>29442</v>
      </c>
      <c r="D1997" s="9" t="s">
        <v>29443</v>
      </c>
      <c r="E1997" s="9" t="s">
        <v>17740</v>
      </c>
      <c r="F1997" s="9" t="s">
        <v>29444</v>
      </c>
      <c r="G1997" s="9" t="s">
        <v>17740</v>
      </c>
      <c r="H1997" s="11" t="s">
        <v>17741</v>
      </c>
      <c r="I1997" s="11" t="s">
        <v>29445</v>
      </c>
      <c r="J1997" s="11" t="s">
        <v>29445</v>
      </c>
      <c r="K1997" s="9" t="s">
        <v>29446</v>
      </c>
      <c r="L1997" s="9" t="s">
        <v>17976</v>
      </c>
      <c r="M1997" s="9" t="s">
        <v>17817</v>
      </c>
      <c r="N1997" s="9" t="s">
        <v>18469</v>
      </c>
      <c r="O1997" s="9" t="s">
        <v>18340</v>
      </c>
      <c r="P1997" s="9" t="s">
        <v>17748</v>
      </c>
      <c r="Q1997" s="11" t="s">
        <v>29447</v>
      </c>
      <c r="R1997" s="11" t="s">
        <v>29447</v>
      </c>
      <c r="S1997" s="11" t="s">
        <v>17750</v>
      </c>
    </row>
    <row r="1998" spans="1:19" x14ac:dyDescent="0.2">
      <c r="A1998" s="11" t="s">
        <v>29448</v>
      </c>
      <c r="B1998" s="9" t="s">
        <v>29449</v>
      </c>
      <c r="C1998" s="9" t="s">
        <v>29450</v>
      </c>
      <c r="D1998" s="9" t="s">
        <v>29451</v>
      </c>
      <c r="E1998" s="9" t="s">
        <v>17740</v>
      </c>
      <c r="F1998" s="9" t="s">
        <v>29452</v>
      </c>
      <c r="G1998" s="9" t="s">
        <v>17740</v>
      </c>
      <c r="H1998" s="11" t="s">
        <v>17741</v>
      </c>
      <c r="I1998" s="11" t="s">
        <v>1651</v>
      </c>
      <c r="J1998" s="11" t="s">
        <v>1651</v>
      </c>
      <c r="K1998" s="9" t="s">
        <v>29453</v>
      </c>
      <c r="L1998" s="9" t="s">
        <v>18025</v>
      </c>
      <c r="M1998" s="9" t="s">
        <v>17769</v>
      </c>
      <c r="N1998" s="9" t="s">
        <v>17746</v>
      </c>
      <c r="O1998" s="9" t="s">
        <v>17977</v>
      </c>
      <c r="P1998" s="9" t="s">
        <v>17748</v>
      </c>
      <c r="Q1998" s="11" t="s">
        <v>21569</v>
      </c>
      <c r="R1998" s="11" t="s">
        <v>21569</v>
      </c>
      <c r="S1998" s="11" t="s">
        <v>17750</v>
      </c>
    </row>
    <row r="1999" spans="1:19" x14ac:dyDescent="0.2">
      <c r="A1999" s="11" t="s">
        <v>29454</v>
      </c>
      <c r="B1999" s="9" t="s">
        <v>29449</v>
      </c>
      <c r="C1999" s="9" t="s">
        <v>29450</v>
      </c>
      <c r="D1999" s="9" t="s">
        <v>29455</v>
      </c>
      <c r="E1999" s="9" t="s">
        <v>17740</v>
      </c>
      <c r="F1999" s="9" t="s">
        <v>17741</v>
      </c>
      <c r="G1999" s="9" t="s">
        <v>17740</v>
      </c>
      <c r="H1999" s="11" t="s">
        <v>17741</v>
      </c>
      <c r="I1999" s="11" t="s">
        <v>29456</v>
      </c>
      <c r="J1999" s="11" t="s">
        <v>29456</v>
      </c>
      <c r="K1999" s="9" t="s">
        <v>29457</v>
      </c>
      <c r="L1999" s="9" t="s">
        <v>17967</v>
      </c>
      <c r="M1999" s="9" t="s">
        <v>17760</v>
      </c>
      <c r="N1999" s="9" t="s">
        <v>17746</v>
      </c>
      <c r="O1999" s="9" t="s">
        <v>17977</v>
      </c>
      <c r="P1999" s="9" t="s">
        <v>17748</v>
      </c>
      <c r="Q1999" s="11" t="s">
        <v>18470</v>
      </c>
      <c r="R1999" s="11" t="s">
        <v>18470</v>
      </c>
      <c r="S1999" s="11" t="s">
        <v>17750</v>
      </c>
    </row>
    <row r="2000" spans="1:19" x14ac:dyDescent="0.2">
      <c r="A2000" s="11" t="s">
        <v>29458</v>
      </c>
      <c r="B2000" s="9" t="s">
        <v>29459</v>
      </c>
      <c r="C2000" s="9" t="s">
        <v>29460</v>
      </c>
      <c r="D2000" s="9" t="s">
        <v>29461</v>
      </c>
      <c r="E2000" s="9" t="s">
        <v>17740</v>
      </c>
      <c r="F2000" s="9" t="s">
        <v>29462</v>
      </c>
      <c r="G2000" s="9" t="s">
        <v>17740</v>
      </c>
      <c r="H2000" s="11" t="s">
        <v>1635</v>
      </c>
      <c r="I2000" s="11" t="s">
        <v>1634</v>
      </c>
      <c r="J2000" s="11" t="s">
        <v>1634</v>
      </c>
      <c r="K2000" s="9" t="s">
        <v>29463</v>
      </c>
      <c r="L2000" s="9" t="s">
        <v>17967</v>
      </c>
      <c r="M2000" s="9" t="s">
        <v>17760</v>
      </c>
      <c r="N2000" s="9" t="s">
        <v>17746</v>
      </c>
      <c r="O2000" s="9" t="s">
        <v>29464</v>
      </c>
      <c r="P2000" s="9" t="s">
        <v>17748</v>
      </c>
      <c r="Q2000" s="11" t="s">
        <v>18341</v>
      </c>
      <c r="R2000" s="11" t="s">
        <v>18341</v>
      </c>
      <c r="S2000" s="11" t="s">
        <v>17750</v>
      </c>
    </row>
    <row r="2001" spans="1:19" x14ac:dyDescent="0.2">
      <c r="A2001" s="11" t="s">
        <v>29465</v>
      </c>
      <c r="B2001" s="9" t="s">
        <v>29466</v>
      </c>
      <c r="C2001" s="9" t="s">
        <v>29467</v>
      </c>
      <c r="D2001" s="9" t="s">
        <v>29468</v>
      </c>
      <c r="E2001" s="9" t="s">
        <v>17740</v>
      </c>
      <c r="F2001" s="9" t="s">
        <v>17741</v>
      </c>
      <c r="G2001" s="9" t="s">
        <v>17740</v>
      </c>
      <c r="H2001" s="11" t="s">
        <v>29469</v>
      </c>
      <c r="I2001" s="11" t="s">
        <v>29470</v>
      </c>
      <c r="J2001" s="11" t="s">
        <v>29470</v>
      </c>
      <c r="K2001" s="9" t="s">
        <v>29471</v>
      </c>
      <c r="L2001" s="9" t="s">
        <v>19251</v>
      </c>
      <c r="M2001" s="9" t="s">
        <v>17760</v>
      </c>
      <c r="N2001" s="9" t="s">
        <v>17968</v>
      </c>
      <c r="O2001" s="9" t="s">
        <v>17993</v>
      </c>
      <c r="P2001" s="9" t="s">
        <v>17748</v>
      </c>
      <c r="Q2001" s="11" t="s">
        <v>17943</v>
      </c>
      <c r="R2001" s="11" t="s">
        <v>17943</v>
      </c>
      <c r="S2001" s="11" t="s">
        <v>17750</v>
      </c>
    </row>
    <row r="2002" spans="1:19" x14ac:dyDescent="0.2">
      <c r="A2002" s="11" t="s">
        <v>29472</v>
      </c>
      <c r="B2002" s="9" t="s">
        <v>29473</v>
      </c>
      <c r="C2002" s="9" t="s">
        <v>29474</v>
      </c>
      <c r="D2002" s="9" t="s">
        <v>29475</v>
      </c>
      <c r="E2002" s="9" t="s">
        <v>17740</v>
      </c>
      <c r="F2002" s="9" t="s">
        <v>17741</v>
      </c>
      <c r="G2002" s="9" t="s">
        <v>17740</v>
      </c>
      <c r="H2002" s="11" t="s">
        <v>17741</v>
      </c>
      <c r="I2002" s="11" t="s">
        <v>29476</v>
      </c>
      <c r="J2002" s="11" t="s">
        <v>29476</v>
      </c>
      <c r="K2002" s="9" t="s">
        <v>17966</v>
      </c>
      <c r="L2002" s="9" t="s">
        <v>17967</v>
      </c>
      <c r="M2002" s="9" t="s">
        <v>17778</v>
      </c>
      <c r="N2002" s="9" t="s">
        <v>18492</v>
      </c>
      <c r="O2002" s="9" t="s">
        <v>17993</v>
      </c>
      <c r="P2002" s="9" t="s">
        <v>17748</v>
      </c>
      <c r="Q2002" s="11" t="s">
        <v>17943</v>
      </c>
      <c r="R2002" s="11" t="s">
        <v>17943</v>
      </c>
      <c r="S2002" s="11" t="s">
        <v>17750</v>
      </c>
    </row>
    <row r="2003" spans="1:19" x14ac:dyDescent="0.2">
      <c r="A2003" s="11" t="s">
        <v>29477</v>
      </c>
      <c r="B2003" s="9" t="s">
        <v>29478</v>
      </c>
      <c r="C2003" s="9" t="s">
        <v>29479</v>
      </c>
      <c r="D2003" s="9" t="s">
        <v>29480</v>
      </c>
      <c r="E2003" s="9" t="s">
        <v>17740</v>
      </c>
      <c r="F2003" s="9" t="s">
        <v>29481</v>
      </c>
      <c r="G2003" s="9" t="s">
        <v>17740</v>
      </c>
      <c r="H2003" s="11" t="s">
        <v>29482</v>
      </c>
      <c r="I2003" s="11" t="s">
        <v>29483</v>
      </c>
      <c r="J2003" s="11" t="s">
        <v>29483</v>
      </c>
      <c r="K2003" s="9" t="s">
        <v>17783</v>
      </c>
      <c r="L2003" s="9" t="s">
        <v>17759</v>
      </c>
      <c r="M2003" s="9" t="s">
        <v>17769</v>
      </c>
      <c r="N2003" s="9" t="s">
        <v>17746</v>
      </c>
      <c r="O2003" s="9" t="s">
        <v>18746</v>
      </c>
      <c r="P2003" s="9" t="s">
        <v>17748</v>
      </c>
      <c r="Q2003" s="11" t="s">
        <v>17943</v>
      </c>
      <c r="R2003" s="11" t="s">
        <v>17943</v>
      </c>
      <c r="S2003" s="11" t="s">
        <v>17750</v>
      </c>
    </row>
    <row r="2004" spans="1:19" x14ac:dyDescent="0.2">
      <c r="A2004" s="11" t="s">
        <v>29484</v>
      </c>
      <c r="B2004" s="9" t="s">
        <v>29485</v>
      </c>
      <c r="C2004" s="9" t="s">
        <v>29486</v>
      </c>
      <c r="D2004" s="9" t="s">
        <v>29487</v>
      </c>
      <c r="E2004" s="9" t="s">
        <v>17740</v>
      </c>
      <c r="F2004" s="9" t="s">
        <v>17741</v>
      </c>
      <c r="G2004" s="9" t="s">
        <v>17740</v>
      </c>
      <c r="H2004" s="11" t="s">
        <v>17741</v>
      </c>
      <c r="I2004" s="11" t="s">
        <v>29488</v>
      </c>
      <c r="J2004" s="11" t="s">
        <v>29488</v>
      </c>
      <c r="K2004" s="9" t="s">
        <v>1462</v>
      </c>
      <c r="L2004" s="9" t="s">
        <v>17967</v>
      </c>
      <c r="M2004" s="9" t="s">
        <v>17760</v>
      </c>
      <c r="N2004" s="9" t="s">
        <v>18492</v>
      </c>
      <c r="O2004" s="9" t="s">
        <v>20208</v>
      </c>
      <c r="P2004" s="9" t="s">
        <v>17748</v>
      </c>
      <c r="Q2004" s="11" t="s">
        <v>18139</v>
      </c>
      <c r="R2004" s="11" t="s">
        <v>18139</v>
      </c>
      <c r="S2004" s="11" t="s">
        <v>17750</v>
      </c>
    </row>
    <row r="2005" spans="1:19" x14ac:dyDescent="0.2">
      <c r="A2005" s="11" t="s">
        <v>29489</v>
      </c>
      <c r="B2005" s="9" t="s">
        <v>29490</v>
      </c>
      <c r="C2005" s="9" t="s">
        <v>29491</v>
      </c>
      <c r="D2005" s="9" t="s">
        <v>29492</v>
      </c>
      <c r="E2005" s="9" t="s">
        <v>17748</v>
      </c>
      <c r="F2005" s="9" t="s">
        <v>29493</v>
      </c>
      <c r="G2005" s="9" t="s">
        <v>17740</v>
      </c>
      <c r="H2005" s="11" t="s">
        <v>29494</v>
      </c>
      <c r="I2005" s="11" t="s">
        <v>8311</v>
      </c>
      <c r="J2005" s="11" t="s">
        <v>29494</v>
      </c>
      <c r="K2005" s="9" t="s">
        <v>29495</v>
      </c>
      <c r="L2005" s="9" t="s">
        <v>17967</v>
      </c>
      <c r="M2005" s="9" t="s">
        <v>17760</v>
      </c>
      <c r="N2005" s="9" t="s">
        <v>17746</v>
      </c>
      <c r="O2005" s="9" t="s">
        <v>25427</v>
      </c>
      <c r="P2005" s="9" t="s">
        <v>17748</v>
      </c>
      <c r="Q2005" s="11" t="s">
        <v>17808</v>
      </c>
      <c r="R2005" s="11" t="s">
        <v>17808</v>
      </c>
      <c r="S2005" s="11" t="s">
        <v>17750</v>
      </c>
    </row>
    <row r="2006" spans="1:19" x14ac:dyDescent="0.2">
      <c r="A2006" s="11" t="s">
        <v>29496</v>
      </c>
      <c r="B2006" s="9" t="s">
        <v>29497</v>
      </c>
      <c r="C2006" s="9" t="s">
        <v>29498</v>
      </c>
      <c r="D2006" s="9" t="s">
        <v>29499</v>
      </c>
      <c r="E2006" s="9" t="s">
        <v>17740</v>
      </c>
      <c r="F2006" s="9" t="s">
        <v>29500</v>
      </c>
      <c r="G2006" s="9" t="s">
        <v>17740</v>
      </c>
      <c r="H2006" s="11" t="s">
        <v>17741</v>
      </c>
      <c r="I2006" s="11" t="s">
        <v>29501</v>
      </c>
      <c r="J2006" s="11" t="s">
        <v>29501</v>
      </c>
      <c r="K2006" s="9" t="s">
        <v>29502</v>
      </c>
      <c r="L2006" s="9" t="s">
        <v>18025</v>
      </c>
      <c r="M2006" s="9" t="s">
        <v>17760</v>
      </c>
      <c r="N2006" s="9" t="s">
        <v>17746</v>
      </c>
      <c r="O2006" s="9" t="s">
        <v>3309</v>
      </c>
      <c r="P2006" s="9" t="s">
        <v>17748</v>
      </c>
      <c r="Q2006" s="11" t="s">
        <v>20251</v>
      </c>
      <c r="R2006" s="11" t="s">
        <v>20251</v>
      </c>
      <c r="S2006" s="11" t="s">
        <v>17750</v>
      </c>
    </row>
    <row r="2007" spans="1:19" x14ac:dyDescent="0.2">
      <c r="A2007" s="11" t="s">
        <v>29503</v>
      </c>
      <c r="B2007" s="9" t="s">
        <v>29504</v>
      </c>
      <c r="C2007" s="9" t="s">
        <v>29505</v>
      </c>
      <c r="D2007" s="9" t="s">
        <v>29506</v>
      </c>
      <c r="E2007" s="9" t="s">
        <v>17748</v>
      </c>
      <c r="F2007" s="9" t="s">
        <v>29507</v>
      </c>
      <c r="G2007" s="9" t="s">
        <v>17740</v>
      </c>
      <c r="H2007" s="11" t="s">
        <v>29508</v>
      </c>
      <c r="I2007" s="11" t="s">
        <v>29509</v>
      </c>
      <c r="J2007" s="11" t="s">
        <v>29509</v>
      </c>
      <c r="K2007" s="9" t="s">
        <v>18122</v>
      </c>
      <c r="L2007" s="9" t="s">
        <v>18123</v>
      </c>
      <c r="M2007" s="9" t="s">
        <v>17769</v>
      </c>
      <c r="N2007" s="9" t="s">
        <v>17746</v>
      </c>
      <c r="O2007" s="9" t="s">
        <v>19930</v>
      </c>
      <c r="P2007" s="9" t="s">
        <v>17748</v>
      </c>
      <c r="Q2007" s="11" t="s">
        <v>17808</v>
      </c>
      <c r="R2007" s="11" t="s">
        <v>17808</v>
      </c>
      <c r="S2007" s="11" t="s">
        <v>17750</v>
      </c>
    </row>
    <row r="2008" spans="1:19" x14ac:dyDescent="0.2">
      <c r="A2008" s="11" t="s">
        <v>29510</v>
      </c>
      <c r="B2008" s="9" t="s">
        <v>29511</v>
      </c>
      <c r="C2008" s="9" t="s">
        <v>29512</v>
      </c>
      <c r="D2008" s="9" t="s">
        <v>29513</v>
      </c>
      <c r="E2008" s="9" t="s">
        <v>17740</v>
      </c>
      <c r="F2008" s="9" t="s">
        <v>17741</v>
      </c>
      <c r="G2008" s="9" t="s">
        <v>17740</v>
      </c>
      <c r="H2008" s="11" t="s">
        <v>29514</v>
      </c>
      <c r="I2008" s="11" t="s">
        <v>29515</v>
      </c>
      <c r="J2008" s="11" t="s">
        <v>29515</v>
      </c>
      <c r="K2008" s="9" t="s">
        <v>18122</v>
      </c>
      <c r="L2008" s="9" t="s">
        <v>18123</v>
      </c>
      <c r="M2008" s="9" t="s">
        <v>18065</v>
      </c>
      <c r="N2008" s="9" t="s">
        <v>20424</v>
      </c>
      <c r="O2008" s="9" t="s">
        <v>19859</v>
      </c>
      <c r="P2008" s="9" t="s">
        <v>17748</v>
      </c>
      <c r="Q2008" s="11" t="s">
        <v>17849</v>
      </c>
      <c r="R2008" s="11" t="s">
        <v>17849</v>
      </c>
      <c r="S2008" s="11" t="s">
        <v>17750</v>
      </c>
    </row>
    <row r="2009" spans="1:19" x14ac:dyDescent="0.2">
      <c r="A2009" s="11" t="s">
        <v>29516</v>
      </c>
      <c r="B2009" s="9" t="s">
        <v>29517</v>
      </c>
      <c r="C2009" s="9" t="s">
        <v>29518</v>
      </c>
      <c r="D2009" s="9" t="s">
        <v>29519</v>
      </c>
      <c r="E2009" s="9" t="s">
        <v>17740</v>
      </c>
      <c r="F2009" s="9" t="s">
        <v>17741</v>
      </c>
      <c r="G2009" s="9" t="s">
        <v>17740</v>
      </c>
      <c r="H2009" s="11" t="s">
        <v>29520</v>
      </c>
      <c r="I2009" s="11" t="s">
        <v>29521</v>
      </c>
      <c r="J2009" s="11" t="s">
        <v>29521</v>
      </c>
      <c r="K2009" s="9" t="s">
        <v>6914</v>
      </c>
      <c r="L2009" s="9" t="s">
        <v>17744</v>
      </c>
      <c r="M2009" s="9" t="s">
        <v>17817</v>
      </c>
      <c r="N2009" s="9" t="s">
        <v>17746</v>
      </c>
      <c r="O2009" s="9" t="s">
        <v>29522</v>
      </c>
      <c r="P2009" s="9" t="s">
        <v>17748</v>
      </c>
      <c r="Q2009" s="11" t="s">
        <v>17900</v>
      </c>
      <c r="R2009" s="11" t="s">
        <v>17900</v>
      </c>
      <c r="S2009" s="11" t="s">
        <v>17750</v>
      </c>
    </row>
    <row r="2010" spans="1:19" x14ac:dyDescent="0.2">
      <c r="A2010" s="11" t="s">
        <v>29523</v>
      </c>
      <c r="B2010" s="9" t="s">
        <v>29524</v>
      </c>
      <c r="C2010" s="9" t="s">
        <v>29525</v>
      </c>
      <c r="D2010" s="9" t="s">
        <v>29526</v>
      </c>
      <c r="E2010" s="9" t="s">
        <v>17748</v>
      </c>
      <c r="F2010" s="9" t="s">
        <v>29527</v>
      </c>
      <c r="G2010" s="9" t="s">
        <v>17740</v>
      </c>
      <c r="H2010" s="11" t="s">
        <v>29528</v>
      </c>
      <c r="I2010" s="11" t="s">
        <v>12858</v>
      </c>
      <c r="J2010" s="11" t="s">
        <v>29528</v>
      </c>
      <c r="K2010" s="9" t="s">
        <v>291</v>
      </c>
      <c r="L2010" s="9" t="s">
        <v>17744</v>
      </c>
      <c r="M2010" s="9" t="s">
        <v>17817</v>
      </c>
      <c r="N2010" s="9" t="s">
        <v>17746</v>
      </c>
      <c r="O2010" s="9" t="s">
        <v>18543</v>
      </c>
      <c r="P2010" s="9" t="s">
        <v>17748</v>
      </c>
      <c r="Q2010" s="11" t="s">
        <v>18370</v>
      </c>
      <c r="R2010" s="11" t="s">
        <v>18370</v>
      </c>
      <c r="S2010" s="11" t="s">
        <v>17750</v>
      </c>
    </row>
    <row r="2011" spans="1:19" x14ac:dyDescent="0.2">
      <c r="A2011" s="11" t="s">
        <v>29529</v>
      </c>
      <c r="B2011" s="9" t="s">
        <v>29530</v>
      </c>
      <c r="C2011" s="9" t="s">
        <v>29531</v>
      </c>
      <c r="D2011" s="9" t="s">
        <v>29532</v>
      </c>
      <c r="E2011" s="9" t="s">
        <v>17748</v>
      </c>
      <c r="F2011" s="9" t="s">
        <v>29527</v>
      </c>
      <c r="G2011" s="9" t="s">
        <v>17740</v>
      </c>
      <c r="H2011" s="11" t="s">
        <v>29533</v>
      </c>
      <c r="I2011" s="11" t="s">
        <v>29534</v>
      </c>
      <c r="J2011" s="11" t="s">
        <v>17741</v>
      </c>
      <c r="K2011" s="9" t="s">
        <v>18404</v>
      </c>
      <c r="L2011" s="9" t="s">
        <v>17744</v>
      </c>
      <c r="M2011" s="9" t="s">
        <v>17817</v>
      </c>
      <c r="N2011" s="9" t="s">
        <v>17746</v>
      </c>
      <c r="O2011" s="9" t="s">
        <v>18543</v>
      </c>
      <c r="P2011" s="9" t="s">
        <v>17748</v>
      </c>
      <c r="Q2011" s="11" t="s">
        <v>18370</v>
      </c>
      <c r="R2011" s="11" t="s">
        <v>18370</v>
      </c>
      <c r="S2011" s="11" t="s">
        <v>17750</v>
      </c>
    </row>
    <row r="2012" spans="1:19" x14ac:dyDescent="0.2">
      <c r="A2012" s="11" t="s">
        <v>29535</v>
      </c>
      <c r="B2012" s="9" t="s">
        <v>29536</v>
      </c>
      <c r="C2012" s="9" t="s">
        <v>29537</v>
      </c>
      <c r="D2012" s="9" t="s">
        <v>29538</v>
      </c>
      <c r="E2012" s="9" t="s">
        <v>17748</v>
      </c>
      <c r="F2012" s="9" t="s">
        <v>29539</v>
      </c>
      <c r="G2012" s="9" t="s">
        <v>17740</v>
      </c>
      <c r="H2012" s="11" t="s">
        <v>1620</v>
      </c>
      <c r="I2012" s="11" t="s">
        <v>1619</v>
      </c>
      <c r="J2012" s="11" t="s">
        <v>1619</v>
      </c>
      <c r="K2012" s="9" t="s">
        <v>22706</v>
      </c>
      <c r="L2012" s="9" t="s">
        <v>17744</v>
      </c>
      <c r="M2012" s="9" t="s">
        <v>17817</v>
      </c>
      <c r="N2012" s="9" t="s">
        <v>17746</v>
      </c>
      <c r="O2012" s="9" t="s">
        <v>29540</v>
      </c>
      <c r="P2012" s="9" t="s">
        <v>17748</v>
      </c>
      <c r="Q2012" s="11" t="s">
        <v>19515</v>
      </c>
      <c r="R2012" s="11" t="s">
        <v>19515</v>
      </c>
      <c r="S2012" s="11" t="s">
        <v>17750</v>
      </c>
    </row>
    <row r="2013" spans="1:19" x14ac:dyDescent="0.2">
      <c r="A2013" s="11" t="s">
        <v>29541</v>
      </c>
      <c r="B2013" s="9" t="s">
        <v>29542</v>
      </c>
      <c r="C2013" s="9" t="s">
        <v>29543</v>
      </c>
      <c r="D2013" s="9" t="s">
        <v>29544</v>
      </c>
      <c r="E2013" s="9" t="s">
        <v>17740</v>
      </c>
      <c r="F2013" s="9" t="s">
        <v>29545</v>
      </c>
      <c r="G2013" s="9" t="s">
        <v>17740</v>
      </c>
      <c r="H2013" s="11" t="s">
        <v>17741</v>
      </c>
      <c r="I2013" s="11" t="s">
        <v>6103</v>
      </c>
      <c r="J2013" s="11" t="s">
        <v>6103</v>
      </c>
      <c r="K2013" s="9" t="s">
        <v>6104</v>
      </c>
      <c r="L2013" s="9" t="s">
        <v>17759</v>
      </c>
      <c r="M2013" s="9" t="s">
        <v>29546</v>
      </c>
      <c r="N2013" s="9" t="s">
        <v>17746</v>
      </c>
      <c r="O2013" s="9" t="s">
        <v>29547</v>
      </c>
      <c r="P2013" s="9" t="s">
        <v>17748</v>
      </c>
      <c r="Q2013" s="11" t="s">
        <v>18147</v>
      </c>
      <c r="R2013" s="11" t="s">
        <v>18147</v>
      </c>
      <c r="S2013" s="11" t="s">
        <v>17750</v>
      </c>
    </row>
    <row r="2014" spans="1:19" x14ac:dyDescent="0.2">
      <c r="A2014" s="11" t="s">
        <v>29548</v>
      </c>
      <c r="B2014" s="9" t="s">
        <v>29549</v>
      </c>
      <c r="C2014" s="9" t="s">
        <v>29550</v>
      </c>
      <c r="D2014" s="9" t="s">
        <v>29551</v>
      </c>
      <c r="E2014" s="9" t="s">
        <v>17740</v>
      </c>
      <c r="F2014" s="9" t="s">
        <v>17741</v>
      </c>
      <c r="G2014" s="9" t="s">
        <v>17740</v>
      </c>
      <c r="H2014" s="11" t="s">
        <v>14395</v>
      </c>
      <c r="I2014" s="11" t="s">
        <v>14394</v>
      </c>
      <c r="J2014" s="11" t="s">
        <v>17741</v>
      </c>
      <c r="K2014" s="9" t="s">
        <v>17783</v>
      </c>
      <c r="L2014" s="9" t="s">
        <v>17759</v>
      </c>
      <c r="M2014" s="9" t="s">
        <v>17760</v>
      </c>
      <c r="N2014" s="9" t="s">
        <v>17746</v>
      </c>
      <c r="O2014" s="9" t="s">
        <v>29552</v>
      </c>
      <c r="P2014" s="9" t="s">
        <v>17748</v>
      </c>
      <c r="Q2014" s="11" t="s">
        <v>17825</v>
      </c>
      <c r="R2014" s="11" t="s">
        <v>17825</v>
      </c>
      <c r="S2014" s="11" t="s">
        <v>17750</v>
      </c>
    </row>
    <row r="2015" spans="1:19" x14ac:dyDescent="0.2">
      <c r="A2015" s="11" t="s">
        <v>29553</v>
      </c>
      <c r="B2015" s="9" t="s">
        <v>29554</v>
      </c>
      <c r="C2015" s="9" t="s">
        <v>29555</v>
      </c>
      <c r="D2015" s="9" t="s">
        <v>29556</v>
      </c>
      <c r="E2015" s="9" t="s">
        <v>17740</v>
      </c>
      <c r="F2015" s="9" t="s">
        <v>29557</v>
      </c>
      <c r="G2015" s="9" t="s">
        <v>17740</v>
      </c>
      <c r="H2015" s="11" t="s">
        <v>17741</v>
      </c>
      <c r="I2015" s="11" t="s">
        <v>29558</v>
      </c>
      <c r="J2015" s="11" t="s">
        <v>29558</v>
      </c>
      <c r="K2015" s="9" t="s">
        <v>29559</v>
      </c>
      <c r="L2015" s="9" t="s">
        <v>18242</v>
      </c>
      <c r="M2015" s="9" t="s">
        <v>17760</v>
      </c>
      <c r="N2015" s="9" t="s">
        <v>17746</v>
      </c>
      <c r="O2015" s="9" t="s">
        <v>18543</v>
      </c>
      <c r="P2015" s="9" t="s">
        <v>17748</v>
      </c>
      <c r="Q2015" s="11" t="s">
        <v>19335</v>
      </c>
      <c r="R2015" s="11" t="s">
        <v>19335</v>
      </c>
      <c r="S2015" s="11" t="s">
        <v>17750</v>
      </c>
    </row>
    <row r="2016" spans="1:19" x14ac:dyDescent="0.2">
      <c r="A2016" s="11" t="s">
        <v>29560</v>
      </c>
      <c r="B2016" s="9" t="s">
        <v>29561</v>
      </c>
      <c r="C2016" s="9" t="s">
        <v>29562</v>
      </c>
      <c r="D2016" s="9" t="s">
        <v>29563</v>
      </c>
      <c r="E2016" s="9" t="s">
        <v>17740</v>
      </c>
      <c r="F2016" s="9" t="s">
        <v>17741</v>
      </c>
      <c r="G2016" s="9" t="s">
        <v>17740</v>
      </c>
      <c r="H2016" s="11" t="s">
        <v>17741</v>
      </c>
      <c r="I2016" s="11" t="s">
        <v>1655</v>
      </c>
      <c r="J2016" s="11" t="s">
        <v>1655</v>
      </c>
      <c r="K2016" s="9" t="s">
        <v>24230</v>
      </c>
      <c r="L2016" s="9" t="s">
        <v>17744</v>
      </c>
      <c r="M2016" s="9" t="s">
        <v>25836</v>
      </c>
      <c r="N2016" s="9" t="s">
        <v>17746</v>
      </c>
      <c r="O2016" s="9" t="s">
        <v>29564</v>
      </c>
      <c r="P2016" s="9" t="s">
        <v>17748</v>
      </c>
      <c r="Q2016" s="11" t="s">
        <v>19026</v>
      </c>
      <c r="R2016" s="11" t="s">
        <v>19026</v>
      </c>
      <c r="S2016" s="11" t="s">
        <v>17750</v>
      </c>
    </row>
    <row r="2017" spans="1:19" x14ac:dyDescent="0.2">
      <c r="A2017" s="11" t="s">
        <v>29565</v>
      </c>
      <c r="B2017" s="9" t="s">
        <v>29566</v>
      </c>
      <c r="C2017" s="9" t="s">
        <v>29567</v>
      </c>
      <c r="D2017" s="9" t="s">
        <v>29568</v>
      </c>
      <c r="E2017" s="9" t="s">
        <v>17740</v>
      </c>
      <c r="F2017" s="9" t="s">
        <v>17741</v>
      </c>
      <c r="G2017" s="9" t="s">
        <v>17740</v>
      </c>
      <c r="H2017" s="11" t="s">
        <v>29569</v>
      </c>
      <c r="I2017" s="11" t="s">
        <v>29570</v>
      </c>
      <c r="J2017" s="11" t="s">
        <v>29570</v>
      </c>
      <c r="K2017" s="9" t="s">
        <v>91</v>
      </c>
      <c r="L2017" s="9" t="s">
        <v>17744</v>
      </c>
      <c r="M2017" s="9" t="s">
        <v>21361</v>
      </c>
      <c r="N2017" s="9" t="s">
        <v>17746</v>
      </c>
      <c r="O2017" s="9" t="s">
        <v>29571</v>
      </c>
      <c r="P2017" s="9" t="s">
        <v>17748</v>
      </c>
      <c r="Q2017" s="11" t="s">
        <v>18341</v>
      </c>
      <c r="R2017" s="11" t="s">
        <v>18341</v>
      </c>
      <c r="S2017" s="11" t="s">
        <v>17750</v>
      </c>
    </row>
    <row r="2018" spans="1:19" x14ac:dyDescent="0.2">
      <c r="A2018" s="11" t="s">
        <v>29572</v>
      </c>
      <c r="B2018" s="9" t="s">
        <v>29573</v>
      </c>
      <c r="C2018" s="9" t="s">
        <v>29574</v>
      </c>
      <c r="D2018" s="9" t="s">
        <v>29575</v>
      </c>
      <c r="E2018" s="9" t="s">
        <v>17740</v>
      </c>
      <c r="F2018" s="9" t="s">
        <v>29576</v>
      </c>
      <c r="G2018" s="9" t="s">
        <v>17740</v>
      </c>
      <c r="H2018" s="11" t="s">
        <v>29577</v>
      </c>
      <c r="I2018" s="11" t="s">
        <v>29578</v>
      </c>
      <c r="J2018" s="11" t="s">
        <v>29578</v>
      </c>
      <c r="K2018" s="9" t="s">
        <v>19447</v>
      </c>
      <c r="L2018" s="9" t="s">
        <v>17759</v>
      </c>
      <c r="M2018" s="9" t="s">
        <v>29579</v>
      </c>
      <c r="N2018" s="9" t="s">
        <v>17746</v>
      </c>
      <c r="O2018" s="9" t="s">
        <v>18543</v>
      </c>
      <c r="P2018" s="9" t="s">
        <v>17748</v>
      </c>
      <c r="Q2018" s="11" t="s">
        <v>19361</v>
      </c>
      <c r="R2018" s="11" t="s">
        <v>19361</v>
      </c>
      <c r="S2018" s="11" t="s">
        <v>17750</v>
      </c>
    </row>
    <row r="2019" spans="1:19" x14ac:dyDescent="0.2">
      <c r="A2019" s="11" t="s">
        <v>29580</v>
      </c>
      <c r="B2019" s="9" t="s">
        <v>29581</v>
      </c>
      <c r="C2019" s="9" t="s">
        <v>29582</v>
      </c>
      <c r="D2019" s="9" t="s">
        <v>29583</v>
      </c>
      <c r="E2019" s="9" t="s">
        <v>17740</v>
      </c>
      <c r="F2019" s="9" t="s">
        <v>17741</v>
      </c>
      <c r="G2019" s="9" t="s">
        <v>17740</v>
      </c>
      <c r="H2019" s="11" t="s">
        <v>10344</v>
      </c>
      <c r="I2019" s="11" t="s">
        <v>10343</v>
      </c>
      <c r="J2019" s="11" t="s">
        <v>10343</v>
      </c>
      <c r="K2019" s="9" t="s">
        <v>19180</v>
      </c>
      <c r="L2019" s="9" t="s">
        <v>17759</v>
      </c>
      <c r="M2019" s="9" t="s">
        <v>17983</v>
      </c>
      <c r="N2019" s="9" t="s">
        <v>17746</v>
      </c>
      <c r="O2019" s="9" t="s">
        <v>29584</v>
      </c>
      <c r="P2019" s="9" t="s">
        <v>17748</v>
      </c>
      <c r="Q2019" s="11" t="s">
        <v>17780</v>
      </c>
      <c r="R2019" s="11" t="s">
        <v>17780</v>
      </c>
      <c r="S2019" s="11" t="s">
        <v>17750</v>
      </c>
    </row>
    <row r="2020" spans="1:19" x14ac:dyDescent="0.2">
      <c r="A2020" s="11" t="s">
        <v>29585</v>
      </c>
      <c r="B2020" s="9" t="s">
        <v>29586</v>
      </c>
      <c r="C2020" s="9" t="s">
        <v>29587</v>
      </c>
      <c r="D2020" s="9" t="s">
        <v>29588</v>
      </c>
      <c r="E2020" s="9" t="s">
        <v>17748</v>
      </c>
      <c r="F2020" s="9" t="s">
        <v>29589</v>
      </c>
      <c r="G2020" s="9" t="s">
        <v>17740</v>
      </c>
      <c r="H2020" s="11" t="s">
        <v>6254</v>
      </c>
      <c r="I2020" s="11" t="s">
        <v>6253</v>
      </c>
      <c r="J2020" s="11" t="s">
        <v>6253</v>
      </c>
      <c r="K2020" s="9" t="s">
        <v>19447</v>
      </c>
      <c r="L2020" s="9" t="s">
        <v>17759</v>
      </c>
      <c r="M2020" s="9" t="s">
        <v>17817</v>
      </c>
      <c r="N2020" s="9" t="s">
        <v>17746</v>
      </c>
      <c r="O2020" s="9" t="s">
        <v>3276</v>
      </c>
      <c r="P2020" s="9" t="s">
        <v>17748</v>
      </c>
      <c r="Q2020" s="11" t="s">
        <v>17808</v>
      </c>
      <c r="R2020" s="11" t="s">
        <v>17808</v>
      </c>
      <c r="S2020" s="11" t="s">
        <v>17750</v>
      </c>
    </row>
    <row r="2021" spans="1:19" x14ac:dyDescent="0.2">
      <c r="A2021" s="11" t="s">
        <v>29590</v>
      </c>
      <c r="B2021" s="9" t="s">
        <v>29591</v>
      </c>
      <c r="C2021" s="9" t="s">
        <v>29592</v>
      </c>
      <c r="D2021" s="9" t="s">
        <v>29593</v>
      </c>
      <c r="E2021" s="9" t="s">
        <v>17740</v>
      </c>
      <c r="F2021" s="9" t="s">
        <v>17741</v>
      </c>
      <c r="G2021" s="9" t="s">
        <v>17740</v>
      </c>
      <c r="H2021" s="11" t="s">
        <v>29594</v>
      </c>
      <c r="I2021" s="11" t="s">
        <v>29595</v>
      </c>
      <c r="J2021" s="11" t="s">
        <v>29595</v>
      </c>
      <c r="K2021" s="9" t="s">
        <v>19447</v>
      </c>
      <c r="L2021" s="9" t="s">
        <v>17759</v>
      </c>
      <c r="M2021" s="9" t="s">
        <v>17769</v>
      </c>
      <c r="N2021" s="9" t="s">
        <v>17746</v>
      </c>
      <c r="O2021" s="9" t="s">
        <v>29596</v>
      </c>
      <c r="P2021" s="9" t="s">
        <v>17748</v>
      </c>
      <c r="Q2021" s="11" t="s">
        <v>18370</v>
      </c>
      <c r="R2021" s="11" t="s">
        <v>18370</v>
      </c>
      <c r="S2021" s="11" t="s">
        <v>17750</v>
      </c>
    </row>
    <row r="2022" spans="1:19" x14ac:dyDescent="0.2">
      <c r="A2022" s="11" t="s">
        <v>29597</v>
      </c>
      <c r="B2022" s="9" t="s">
        <v>29598</v>
      </c>
      <c r="C2022" s="9" t="s">
        <v>29599</v>
      </c>
      <c r="D2022" s="9" t="s">
        <v>29600</v>
      </c>
      <c r="E2022" s="9" t="s">
        <v>17740</v>
      </c>
      <c r="F2022" s="9" t="s">
        <v>17741</v>
      </c>
      <c r="G2022" s="9" t="s">
        <v>17740</v>
      </c>
      <c r="H2022" s="11" t="s">
        <v>5865</v>
      </c>
      <c r="I2022" s="11" t="s">
        <v>5864</v>
      </c>
      <c r="J2022" s="11" t="s">
        <v>5864</v>
      </c>
      <c r="K2022" s="9" t="s">
        <v>831</v>
      </c>
      <c r="L2022" s="9" t="s">
        <v>23607</v>
      </c>
      <c r="M2022" s="9" t="s">
        <v>17760</v>
      </c>
      <c r="N2022" s="9" t="s">
        <v>17746</v>
      </c>
      <c r="O2022" s="9" t="s">
        <v>3276</v>
      </c>
      <c r="P2022" s="9" t="s">
        <v>17748</v>
      </c>
      <c r="Q2022" s="11" t="s">
        <v>18080</v>
      </c>
      <c r="R2022" s="11" t="s">
        <v>18080</v>
      </c>
      <c r="S2022" s="11" t="s">
        <v>17750</v>
      </c>
    </row>
    <row r="2023" spans="1:19" x14ac:dyDescent="0.2">
      <c r="A2023" s="11" t="s">
        <v>29601</v>
      </c>
      <c r="B2023" s="9" t="s">
        <v>29602</v>
      </c>
      <c r="C2023" s="9" t="s">
        <v>29603</v>
      </c>
      <c r="D2023" s="9" t="s">
        <v>29604</v>
      </c>
      <c r="E2023" s="9" t="s">
        <v>17740</v>
      </c>
      <c r="F2023" s="9" t="s">
        <v>17741</v>
      </c>
      <c r="G2023" s="9" t="s">
        <v>17740</v>
      </c>
      <c r="H2023" s="11" t="s">
        <v>29605</v>
      </c>
      <c r="I2023" s="11" t="s">
        <v>29606</v>
      </c>
      <c r="J2023" s="11" t="s">
        <v>29606</v>
      </c>
      <c r="K2023" s="9" t="s">
        <v>303</v>
      </c>
      <c r="L2023" s="9" t="s">
        <v>17759</v>
      </c>
      <c r="M2023" s="9" t="s">
        <v>17760</v>
      </c>
      <c r="N2023" s="9" t="s">
        <v>17746</v>
      </c>
      <c r="O2023" s="9" t="s">
        <v>3276</v>
      </c>
      <c r="P2023" s="9" t="s">
        <v>17748</v>
      </c>
      <c r="Q2023" s="11" t="s">
        <v>18201</v>
      </c>
      <c r="R2023" s="11" t="s">
        <v>18201</v>
      </c>
      <c r="S2023" s="11" t="s">
        <v>17750</v>
      </c>
    </row>
    <row r="2024" spans="1:19" x14ac:dyDescent="0.2">
      <c r="A2024" s="11" t="s">
        <v>29607</v>
      </c>
      <c r="B2024" s="9" t="s">
        <v>29608</v>
      </c>
      <c r="C2024" s="9" t="s">
        <v>29609</v>
      </c>
      <c r="D2024" s="9" t="s">
        <v>29610</v>
      </c>
      <c r="E2024" s="9" t="s">
        <v>17740</v>
      </c>
      <c r="F2024" s="9" t="s">
        <v>29611</v>
      </c>
      <c r="G2024" s="9" t="s">
        <v>17740</v>
      </c>
      <c r="H2024" s="11" t="s">
        <v>6994</v>
      </c>
      <c r="I2024" s="11" t="s">
        <v>6993</v>
      </c>
      <c r="J2024" s="11" t="s">
        <v>6993</v>
      </c>
      <c r="K2024" s="9" t="s">
        <v>29612</v>
      </c>
      <c r="L2024" s="9" t="s">
        <v>20359</v>
      </c>
      <c r="M2024" s="9" t="s">
        <v>17760</v>
      </c>
      <c r="N2024" s="9" t="s">
        <v>17746</v>
      </c>
      <c r="O2024" s="9" t="s">
        <v>3276</v>
      </c>
      <c r="P2024" s="9" t="s">
        <v>17748</v>
      </c>
      <c r="Q2024" s="11" t="s">
        <v>18201</v>
      </c>
      <c r="R2024" s="11" t="s">
        <v>18201</v>
      </c>
      <c r="S2024" s="11" t="s">
        <v>17750</v>
      </c>
    </row>
    <row r="2025" spans="1:19" x14ac:dyDescent="0.2">
      <c r="A2025" s="11" t="s">
        <v>29613</v>
      </c>
      <c r="B2025" s="9" t="s">
        <v>29614</v>
      </c>
      <c r="C2025" s="9" t="s">
        <v>29615</v>
      </c>
      <c r="D2025" s="9" t="s">
        <v>29616</v>
      </c>
      <c r="E2025" s="9" t="s">
        <v>17740</v>
      </c>
      <c r="F2025" s="9" t="s">
        <v>17741</v>
      </c>
      <c r="G2025" s="9" t="s">
        <v>17740</v>
      </c>
      <c r="H2025" s="11" t="s">
        <v>17741</v>
      </c>
      <c r="I2025" s="11" t="s">
        <v>29617</v>
      </c>
      <c r="J2025" s="11" t="s">
        <v>29617</v>
      </c>
      <c r="K2025" s="9" t="s">
        <v>29618</v>
      </c>
      <c r="L2025" s="9" t="s">
        <v>17759</v>
      </c>
      <c r="M2025" s="9" t="s">
        <v>29619</v>
      </c>
      <c r="N2025" s="9" t="s">
        <v>17746</v>
      </c>
      <c r="O2025" s="9" t="s">
        <v>26177</v>
      </c>
      <c r="P2025" s="9" t="s">
        <v>17748</v>
      </c>
      <c r="Q2025" s="11" t="s">
        <v>19471</v>
      </c>
      <c r="R2025" s="11" t="s">
        <v>19471</v>
      </c>
      <c r="S2025" s="11" t="s">
        <v>17750</v>
      </c>
    </row>
    <row r="2026" spans="1:19" x14ac:dyDescent="0.2">
      <c r="A2026" s="11" t="s">
        <v>29620</v>
      </c>
      <c r="B2026" s="9" t="s">
        <v>29621</v>
      </c>
      <c r="C2026" s="9" t="s">
        <v>29622</v>
      </c>
      <c r="D2026" s="9" t="s">
        <v>29623</v>
      </c>
      <c r="E2026" s="9" t="s">
        <v>17740</v>
      </c>
      <c r="F2026" s="9" t="s">
        <v>29624</v>
      </c>
      <c r="G2026" s="9" t="s">
        <v>17740</v>
      </c>
      <c r="H2026" s="11" t="s">
        <v>1665</v>
      </c>
      <c r="I2026" s="11" t="s">
        <v>1664</v>
      </c>
      <c r="J2026" s="11" t="s">
        <v>1664</v>
      </c>
      <c r="K2026" s="9" t="s">
        <v>22236</v>
      </c>
      <c r="L2026" s="9" t="s">
        <v>21771</v>
      </c>
      <c r="M2026" s="9" t="s">
        <v>29625</v>
      </c>
      <c r="N2026" s="9" t="s">
        <v>17746</v>
      </c>
      <c r="O2026" s="9" t="s">
        <v>19275</v>
      </c>
      <c r="P2026" s="9" t="s">
        <v>17748</v>
      </c>
      <c r="Q2026" s="11" t="s">
        <v>19335</v>
      </c>
      <c r="R2026" s="11" t="s">
        <v>19335</v>
      </c>
      <c r="S2026" s="11" t="s">
        <v>17750</v>
      </c>
    </row>
    <row r="2027" spans="1:19" x14ac:dyDescent="0.2">
      <c r="A2027" s="11" t="s">
        <v>29626</v>
      </c>
      <c r="B2027" s="9" t="s">
        <v>29627</v>
      </c>
      <c r="C2027" s="9" t="s">
        <v>29628</v>
      </c>
      <c r="D2027" s="9" t="s">
        <v>29629</v>
      </c>
      <c r="E2027" s="9" t="s">
        <v>17740</v>
      </c>
      <c r="F2027" s="9" t="s">
        <v>17741</v>
      </c>
      <c r="G2027" s="9" t="s">
        <v>17740</v>
      </c>
      <c r="H2027" s="11" t="s">
        <v>12067</v>
      </c>
      <c r="I2027" s="11" t="s">
        <v>12066</v>
      </c>
      <c r="J2027" s="11" t="s">
        <v>12066</v>
      </c>
      <c r="K2027" s="9" t="s">
        <v>91</v>
      </c>
      <c r="L2027" s="9" t="s">
        <v>18001</v>
      </c>
      <c r="M2027" s="9" t="s">
        <v>26444</v>
      </c>
      <c r="N2027" s="9" t="s">
        <v>17746</v>
      </c>
      <c r="O2027" s="9" t="s">
        <v>29630</v>
      </c>
      <c r="P2027" s="9" t="s">
        <v>17748</v>
      </c>
      <c r="Q2027" s="11" t="s">
        <v>17917</v>
      </c>
      <c r="R2027" s="11" t="s">
        <v>17917</v>
      </c>
      <c r="S2027" s="11" t="s">
        <v>17750</v>
      </c>
    </row>
    <row r="2028" spans="1:19" x14ac:dyDescent="0.2">
      <c r="A2028" s="11" t="s">
        <v>29631</v>
      </c>
      <c r="B2028" s="9" t="s">
        <v>29632</v>
      </c>
      <c r="C2028" s="9" t="s">
        <v>29633</v>
      </c>
      <c r="D2028" s="9" t="s">
        <v>29634</v>
      </c>
      <c r="E2028" s="9" t="s">
        <v>17740</v>
      </c>
      <c r="F2028" s="9" t="s">
        <v>17741</v>
      </c>
      <c r="G2028" s="9" t="s">
        <v>17740</v>
      </c>
      <c r="H2028" s="11" t="s">
        <v>29635</v>
      </c>
      <c r="I2028" s="11" t="s">
        <v>29636</v>
      </c>
      <c r="J2028" s="11" t="s">
        <v>29636</v>
      </c>
      <c r="K2028" s="9" t="s">
        <v>940</v>
      </c>
      <c r="L2028" s="9" t="s">
        <v>17759</v>
      </c>
      <c r="M2028" s="9" t="s">
        <v>17760</v>
      </c>
      <c r="N2028" s="9" t="s">
        <v>17746</v>
      </c>
      <c r="O2028" s="9" t="s">
        <v>29637</v>
      </c>
      <c r="P2028" s="9" t="s">
        <v>17748</v>
      </c>
      <c r="Q2028" s="11" t="s">
        <v>17984</v>
      </c>
      <c r="R2028" s="11" t="s">
        <v>17984</v>
      </c>
      <c r="S2028" s="11" t="s">
        <v>17750</v>
      </c>
    </row>
    <row r="2029" spans="1:19" x14ac:dyDescent="0.2">
      <c r="A2029" s="11" t="s">
        <v>29638</v>
      </c>
      <c r="B2029" s="9" t="s">
        <v>29639</v>
      </c>
      <c r="C2029" s="9" t="s">
        <v>29640</v>
      </c>
      <c r="D2029" s="9" t="s">
        <v>29641</v>
      </c>
      <c r="E2029" s="9" t="s">
        <v>17748</v>
      </c>
      <c r="F2029" s="9" t="s">
        <v>29642</v>
      </c>
      <c r="G2029" s="9" t="s">
        <v>17740</v>
      </c>
      <c r="H2029" s="11" t="s">
        <v>29643</v>
      </c>
      <c r="I2029" s="11" t="s">
        <v>29644</v>
      </c>
      <c r="J2029" s="11" t="s">
        <v>29644</v>
      </c>
      <c r="K2029" s="9" t="s">
        <v>18122</v>
      </c>
      <c r="L2029" s="9" t="s">
        <v>18123</v>
      </c>
      <c r="M2029" s="9" t="s">
        <v>17769</v>
      </c>
      <c r="N2029" s="9" t="s">
        <v>17746</v>
      </c>
      <c r="O2029" s="9" t="s">
        <v>18607</v>
      </c>
      <c r="P2029" s="9" t="s">
        <v>17748</v>
      </c>
      <c r="Q2029" s="11" t="s">
        <v>17762</v>
      </c>
      <c r="R2029" s="11" t="s">
        <v>17762</v>
      </c>
      <c r="S2029" s="11" t="s">
        <v>17750</v>
      </c>
    </row>
    <row r="2030" spans="1:19" x14ac:dyDescent="0.2">
      <c r="A2030" s="11" t="s">
        <v>29645</v>
      </c>
      <c r="B2030" s="9" t="s">
        <v>29646</v>
      </c>
      <c r="C2030" s="9" t="s">
        <v>29647</v>
      </c>
      <c r="D2030" s="9" t="s">
        <v>29648</v>
      </c>
      <c r="E2030" s="9" t="s">
        <v>17740</v>
      </c>
      <c r="F2030" s="9" t="s">
        <v>17741</v>
      </c>
      <c r="G2030" s="9" t="s">
        <v>17740</v>
      </c>
      <c r="H2030" s="11" t="s">
        <v>17741</v>
      </c>
      <c r="I2030" s="11" t="s">
        <v>17741</v>
      </c>
      <c r="J2030" s="11" t="s">
        <v>17741</v>
      </c>
      <c r="K2030" s="9" t="s">
        <v>29649</v>
      </c>
      <c r="L2030" s="9" t="s">
        <v>18158</v>
      </c>
      <c r="M2030" s="9" t="s">
        <v>17778</v>
      </c>
      <c r="N2030" s="9" t="s">
        <v>18185</v>
      </c>
      <c r="O2030" s="9" t="s">
        <v>17993</v>
      </c>
      <c r="P2030" s="9" t="s">
        <v>17748</v>
      </c>
      <c r="Q2030" s="11" t="s">
        <v>23398</v>
      </c>
      <c r="R2030" s="11" t="s">
        <v>23398</v>
      </c>
      <c r="S2030" s="11" t="s">
        <v>17750</v>
      </c>
    </row>
    <row r="2031" spans="1:19" x14ac:dyDescent="0.2">
      <c r="A2031" s="11" t="s">
        <v>29650</v>
      </c>
      <c r="B2031" s="9" t="s">
        <v>29651</v>
      </c>
      <c r="C2031" s="9" t="s">
        <v>29652</v>
      </c>
      <c r="D2031" s="9" t="s">
        <v>29653</v>
      </c>
      <c r="E2031" s="9" t="s">
        <v>17748</v>
      </c>
      <c r="F2031" s="9" t="s">
        <v>29654</v>
      </c>
      <c r="G2031" s="9" t="s">
        <v>17740</v>
      </c>
      <c r="H2031" s="11" t="s">
        <v>1649</v>
      </c>
      <c r="I2031" s="11" t="s">
        <v>1648</v>
      </c>
      <c r="J2031" s="11" t="s">
        <v>1648</v>
      </c>
      <c r="K2031" s="9" t="s">
        <v>19244</v>
      </c>
      <c r="L2031" s="9" t="s">
        <v>18158</v>
      </c>
      <c r="M2031" s="9" t="s">
        <v>17817</v>
      </c>
      <c r="N2031" s="9" t="s">
        <v>18185</v>
      </c>
      <c r="O2031" s="9" t="s">
        <v>19379</v>
      </c>
      <c r="P2031" s="9" t="s">
        <v>17748</v>
      </c>
      <c r="Q2031" s="11" t="s">
        <v>18433</v>
      </c>
      <c r="R2031" s="11" t="s">
        <v>18433</v>
      </c>
      <c r="S2031" s="11" t="s">
        <v>17750</v>
      </c>
    </row>
    <row r="2032" spans="1:19" x14ac:dyDescent="0.2">
      <c r="A2032" s="11" t="s">
        <v>29655</v>
      </c>
      <c r="B2032" s="9" t="s">
        <v>29656</v>
      </c>
      <c r="C2032" s="9" t="s">
        <v>29657</v>
      </c>
      <c r="D2032" s="9" t="s">
        <v>29656</v>
      </c>
      <c r="E2032" s="9" t="s">
        <v>17740</v>
      </c>
      <c r="F2032" s="9" t="s">
        <v>17741</v>
      </c>
      <c r="G2032" s="9" t="s">
        <v>17740</v>
      </c>
      <c r="H2032" s="11" t="s">
        <v>17741</v>
      </c>
      <c r="I2032" s="11" t="s">
        <v>29658</v>
      </c>
      <c r="J2032" s="11" t="s">
        <v>29658</v>
      </c>
      <c r="K2032" s="9" t="s">
        <v>29659</v>
      </c>
      <c r="L2032" s="9" t="s">
        <v>17759</v>
      </c>
      <c r="M2032" s="9" t="s">
        <v>29660</v>
      </c>
      <c r="N2032" s="9" t="s">
        <v>17746</v>
      </c>
      <c r="O2032" s="9" t="s">
        <v>17848</v>
      </c>
      <c r="P2032" s="9" t="s">
        <v>17748</v>
      </c>
      <c r="Q2032" s="11" t="s">
        <v>19770</v>
      </c>
      <c r="R2032" s="11" t="s">
        <v>19770</v>
      </c>
      <c r="S2032" s="11" t="s">
        <v>17750</v>
      </c>
    </row>
    <row r="2033" spans="1:19" x14ac:dyDescent="0.2">
      <c r="A2033" s="11" t="s">
        <v>29661</v>
      </c>
      <c r="B2033" s="9" t="s">
        <v>29662</v>
      </c>
      <c r="C2033" s="9" t="s">
        <v>29663</v>
      </c>
      <c r="D2033" s="9" t="s">
        <v>29664</v>
      </c>
      <c r="E2033" s="9" t="s">
        <v>17740</v>
      </c>
      <c r="F2033" s="9" t="s">
        <v>29665</v>
      </c>
      <c r="G2033" s="9" t="s">
        <v>17740</v>
      </c>
      <c r="H2033" s="11" t="s">
        <v>29666</v>
      </c>
      <c r="I2033" s="11" t="s">
        <v>29667</v>
      </c>
      <c r="J2033" s="11" t="s">
        <v>29667</v>
      </c>
      <c r="K2033" s="9" t="s">
        <v>209</v>
      </c>
      <c r="L2033" s="9" t="s">
        <v>17759</v>
      </c>
      <c r="M2033" s="9" t="s">
        <v>17817</v>
      </c>
      <c r="N2033" s="9" t="s">
        <v>17746</v>
      </c>
      <c r="O2033" s="9" t="s">
        <v>19423</v>
      </c>
      <c r="P2033" s="9" t="s">
        <v>17748</v>
      </c>
      <c r="Q2033" s="11" t="s">
        <v>17858</v>
      </c>
      <c r="R2033" s="11" t="s">
        <v>17858</v>
      </c>
      <c r="S2033" s="11" t="s">
        <v>17750</v>
      </c>
    </row>
    <row r="2034" spans="1:19" x14ac:dyDescent="0.2">
      <c r="A2034" s="11" t="s">
        <v>29668</v>
      </c>
      <c r="B2034" s="9" t="s">
        <v>29669</v>
      </c>
      <c r="C2034" s="9" t="s">
        <v>29670</v>
      </c>
      <c r="D2034" s="9" t="s">
        <v>29671</v>
      </c>
      <c r="E2034" s="9" t="s">
        <v>17740</v>
      </c>
      <c r="F2034" s="9" t="s">
        <v>29672</v>
      </c>
      <c r="G2034" s="9" t="s">
        <v>17740</v>
      </c>
      <c r="H2034" s="11" t="s">
        <v>4190</v>
      </c>
      <c r="I2034" s="11" t="s">
        <v>4189</v>
      </c>
      <c r="J2034" s="11" t="s">
        <v>4189</v>
      </c>
      <c r="K2034" s="9" t="s">
        <v>18661</v>
      </c>
      <c r="L2034" s="9" t="s">
        <v>17759</v>
      </c>
      <c r="M2034" s="9" t="s">
        <v>29673</v>
      </c>
      <c r="N2034" s="9" t="s">
        <v>17746</v>
      </c>
      <c r="O2034" s="9" t="s">
        <v>22568</v>
      </c>
      <c r="P2034" s="9" t="s">
        <v>17748</v>
      </c>
      <c r="Q2034" s="11" t="s">
        <v>18364</v>
      </c>
      <c r="R2034" s="11" t="s">
        <v>18364</v>
      </c>
      <c r="S2034" s="11" t="s">
        <v>17750</v>
      </c>
    </row>
    <row r="2035" spans="1:19" x14ac:dyDescent="0.2">
      <c r="A2035" s="11" t="s">
        <v>29674</v>
      </c>
      <c r="B2035" s="9" t="s">
        <v>29675</v>
      </c>
      <c r="C2035" s="9" t="s">
        <v>29676</v>
      </c>
      <c r="D2035" s="9" t="s">
        <v>29677</v>
      </c>
      <c r="E2035" s="9" t="s">
        <v>17748</v>
      </c>
      <c r="F2035" s="9" t="s">
        <v>29678</v>
      </c>
      <c r="G2035" s="9" t="s">
        <v>17740</v>
      </c>
      <c r="H2035" s="11" t="s">
        <v>6242</v>
      </c>
      <c r="I2035" s="11" t="s">
        <v>6241</v>
      </c>
      <c r="J2035" s="11" t="s">
        <v>6242</v>
      </c>
      <c r="K2035" s="9" t="s">
        <v>291</v>
      </c>
      <c r="L2035" s="9" t="s">
        <v>17744</v>
      </c>
      <c r="M2035" s="9" t="s">
        <v>23678</v>
      </c>
      <c r="N2035" s="9" t="s">
        <v>17746</v>
      </c>
      <c r="O2035" s="9" t="s">
        <v>773</v>
      </c>
      <c r="P2035" s="9" t="s">
        <v>17748</v>
      </c>
      <c r="Q2035" s="11" t="s">
        <v>17808</v>
      </c>
      <c r="R2035" s="11" t="s">
        <v>17808</v>
      </c>
      <c r="S2035" s="11" t="s">
        <v>17750</v>
      </c>
    </row>
    <row r="2036" spans="1:19" x14ac:dyDescent="0.2">
      <c r="A2036" s="11" t="s">
        <v>29679</v>
      </c>
      <c r="B2036" s="9" t="s">
        <v>29680</v>
      </c>
      <c r="C2036" s="9" t="s">
        <v>29681</v>
      </c>
      <c r="D2036" s="9" t="s">
        <v>29682</v>
      </c>
      <c r="E2036" s="9" t="s">
        <v>17740</v>
      </c>
      <c r="F2036" s="9" t="s">
        <v>29683</v>
      </c>
      <c r="G2036" s="9" t="s">
        <v>17740</v>
      </c>
      <c r="H2036" s="11" t="s">
        <v>17160</v>
      </c>
      <c r="I2036" s="11" t="s">
        <v>17159</v>
      </c>
      <c r="J2036" s="11" t="s">
        <v>17159</v>
      </c>
      <c r="K2036" s="9" t="s">
        <v>29684</v>
      </c>
      <c r="L2036" s="9" t="s">
        <v>17759</v>
      </c>
      <c r="M2036" s="9" t="s">
        <v>18745</v>
      </c>
      <c r="N2036" s="9" t="s">
        <v>17746</v>
      </c>
      <c r="O2036" s="9" t="s">
        <v>17977</v>
      </c>
      <c r="P2036" s="9" t="s">
        <v>17748</v>
      </c>
      <c r="Q2036" s="11" t="s">
        <v>17825</v>
      </c>
      <c r="R2036" s="11" t="s">
        <v>17825</v>
      </c>
      <c r="S2036" s="11" t="s">
        <v>17750</v>
      </c>
    </row>
    <row r="2037" spans="1:19" x14ac:dyDescent="0.2">
      <c r="A2037" s="11" t="s">
        <v>29685</v>
      </c>
      <c r="B2037" s="9" t="s">
        <v>29686</v>
      </c>
      <c r="C2037" s="9" t="s">
        <v>29687</v>
      </c>
      <c r="D2037" s="9" t="s">
        <v>29688</v>
      </c>
      <c r="E2037" s="9" t="s">
        <v>17748</v>
      </c>
      <c r="F2037" s="9" t="s">
        <v>29689</v>
      </c>
      <c r="G2037" s="9" t="s">
        <v>17740</v>
      </c>
      <c r="H2037" s="11" t="s">
        <v>29690</v>
      </c>
      <c r="I2037" s="11" t="s">
        <v>17741</v>
      </c>
      <c r="J2037" s="11" t="s">
        <v>29690</v>
      </c>
      <c r="K2037" s="9" t="s">
        <v>17157</v>
      </c>
      <c r="L2037" s="9" t="s">
        <v>17759</v>
      </c>
      <c r="M2037" s="9" t="s">
        <v>17942</v>
      </c>
      <c r="N2037" s="9" t="s">
        <v>17746</v>
      </c>
      <c r="O2037" s="9" t="s">
        <v>17977</v>
      </c>
      <c r="P2037" s="9" t="s">
        <v>17748</v>
      </c>
      <c r="Q2037" s="11" t="s">
        <v>17825</v>
      </c>
      <c r="R2037" s="11" t="s">
        <v>17825</v>
      </c>
      <c r="S2037" s="11" t="s">
        <v>17750</v>
      </c>
    </row>
    <row r="2038" spans="1:19" x14ac:dyDescent="0.2">
      <c r="A2038" s="11" t="s">
        <v>29691</v>
      </c>
      <c r="B2038" s="9" t="s">
        <v>29692</v>
      </c>
      <c r="C2038" s="9" t="s">
        <v>29693</v>
      </c>
      <c r="D2038" s="9" t="s">
        <v>29694</v>
      </c>
      <c r="E2038" s="9" t="s">
        <v>17740</v>
      </c>
      <c r="F2038" s="9" t="s">
        <v>29683</v>
      </c>
      <c r="G2038" s="9" t="s">
        <v>17740</v>
      </c>
      <c r="H2038" s="11" t="s">
        <v>17156</v>
      </c>
      <c r="I2038" s="11" t="s">
        <v>17155</v>
      </c>
      <c r="J2038" s="11" t="s">
        <v>17155</v>
      </c>
      <c r="K2038" s="9" t="s">
        <v>29684</v>
      </c>
      <c r="L2038" s="9" t="s">
        <v>17759</v>
      </c>
      <c r="M2038" s="9" t="s">
        <v>18745</v>
      </c>
      <c r="N2038" s="9" t="s">
        <v>17746</v>
      </c>
      <c r="O2038" s="9" t="s">
        <v>17977</v>
      </c>
      <c r="P2038" s="9" t="s">
        <v>17748</v>
      </c>
      <c r="Q2038" s="11" t="s">
        <v>17825</v>
      </c>
      <c r="R2038" s="11" t="s">
        <v>17825</v>
      </c>
      <c r="S2038" s="11" t="s">
        <v>17750</v>
      </c>
    </row>
    <row r="2039" spans="1:19" x14ac:dyDescent="0.2">
      <c r="A2039" s="11" t="s">
        <v>29695</v>
      </c>
      <c r="B2039" s="9" t="s">
        <v>29696</v>
      </c>
      <c r="C2039" s="9" t="s">
        <v>29697</v>
      </c>
      <c r="D2039" s="9" t="s">
        <v>29698</v>
      </c>
      <c r="E2039" s="9" t="s">
        <v>17740</v>
      </c>
      <c r="F2039" s="9" t="s">
        <v>17741</v>
      </c>
      <c r="G2039" s="9" t="s">
        <v>17740</v>
      </c>
      <c r="H2039" s="11" t="s">
        <v>17292</v>
      </c>
      <c r="I2039" s="11" t="s">
        <v>17741</v>
      </c>
      <c r="J2039" s="11" t="s">
        <v>17292</v>
      </c>
      <c r="K2039" s="9" t="s">
        <v>15614</v>
      </c>
      <c r="L2039" s="9" t="s">
        <v>18123</v>
      </c>
      <c r="M2039" s="9" t="s">
        <v>17741</v>
      </c>
      <c r="N2039" s="9" t="s">
        <v>17746</v>
      </c>
      <c r="O2039" s="9" t="s">
        <v>29699</v>
      </c>
      <c r="P2039" s="9" t="s">
        <v>17748</v>
      </c>
      <c r="Q2039" s="11" t="s">
        <v>17909</v>
      </c>
      <c r="R2039" s="11" t="s">
        <v>17909</v>
      </c>
      <c r="S2039" s="11" t="s">
        <v>17750</v>
      </c>
    </row>
    <row r="2040" spans="1:19" x14ac:dyDescent="0.2">
      <c r="A2040" s="11" t="s">
        <v>29700</v>
      </c>
      <c r="B2040" s="9" t="s">
        <v>29701</v>
      </c>
      <c r="C2040" s="9" t="s">
        <v>29702</v>
      </c>
      <c r="D2040" s="9" t="s">
        <v>29703</v>
      </c>
      <c r="E2040" s="9" t="s">
        <v>17740</v>
      </c>
      <c r="F2040" s="9" t="s">
        <v>17741</v>
      </c>
      <c r="G2040" s="9" t="s">
        <v>17740</v>
      </c>
      <c r="H2040" s="11" t="s">
        <v>14230</v>
      </c>
      <c r="I2040" s="11" t="s">
        <v>17741</v>
      </c>
      <c r="J2040" s="11" t="s">
        <v>14230</v>
      </c>
      <c r="K2040" s="9" t="s">
        <v>14216</v>
      </c>
      <c r="L2040" s="9" t="s">
        <v>18123</v>
      </c>
      <c r="M2040" s="9" t="s">
        <v>17741</v>
      </c>
      <c r="N2040" s="9" t="s">
        <v>17746</v>
      </c>
      <c r="O2040" s="9" t="s">
        <v>23267</v>
      </c>
      <c r="P2040" s="9" t="s">
        <v>17748</v>
      </c>
      <c r="Q2040" s="11" t="s">
        <v>17917</v>
      </c>
      <c r="R2040" s="11" t="s">
        <v>17917</v>
      </c>
      <c r="S2040" s="11" t="s">
        <v>17750</v>
      </c>
    </row>
    <row r="2041" spans="1:19" x14ac:dyDescent="0.2">
      <c r="A2041" s="11" t="s">
        <v>29704</v>
      </c>
      <c r="B2041" s="9" t="s">
        <v>29705</v>
      </c>
      <c r="C2041" s="9" t="s">
        <v>29706</v>
      </c>
      <c r="D2041" s="9" t="s">
        <v>29707</v>
      </c>
      <c r="E2041" s="9" t="s">
        <v>17740</v>
      </c>
      <c r="F2041" s="9" t="s">
        <v>17741</v>
      </c>
      <c r="G2041" s="9" t="s">
        <v>17740</v>
      </c>
      <c r="H2041" s="11" t="s">
        <v>5302</v>
      </c>
      <c r="I2041" s="11" t="s">
        <v>5301</v>
      </c>
      <c r="J2041" s="11" t="s">
        <v>5301</v>
      </c>
      <c r="K2041" s="9" t="s">
        <v>601</v>
      </c>
      <c r="L2041" s="9" t="s">
        <v>17759</v>
      </c>
      <c r="M2041" s="9" t="s">
        <v>17760</v>
      </c>
      <c r="N2041" s="9" t="s">
        <v>17746</v>
      </c>
      <c r="O2041" s="9" t="s">
        <v>29708</v>
      </c>
      <c r="P2041" s="9" t="s">
        <v>17748</v>
      </c>
      <c r="Q2041" s="11" t="s">
        <v>17867</v>
      </c>
      <c r="R2041" s="11" t="s">
        <v>17867</v>
      </c>
      <c r="S2041" s="11" t="s">
        <v>17750</v>
      </c>
    </row>
    <row r="2042" spans="1:19" x14ac:dyDescent="0.2">
      <c r="A2042" s="11" t="s">
        <v>29709</v>
      </c>
      <c r="B2042" s="9" t="s">
        <v>29710</v>
      </c>
      <c r="C2042" s="9" t="s">
        <v>29711</v>
      </c>
      <c r="D2042" s="9" t="s">
        <v>29712</v>
      </c>
      <c r="E2042" s="9" t="s">
        <v>17740</v>
      </c>
      <c r="F2042" s="9" t="s">
        <v>17741</v>
      </c>
      <c r="G2042" s="9" t="s">
        <v>17740</v>
      </c>
      <c r="H2042" s="11" t="s">
        <v>17741</v>
      </c>
      <c r="I2042" s="11" t="s">
        <v>29713</v>
      </c>
      <c r="J2042" s="11" t="s">
        <v>29713</v>
      </c>
      <c r="K2042" s="9" t="s">
        <v>29714</v>
      </c>
      <c r="L2042" s="9" t="s">
        <v>17759</v>
      </c>
      <c r="M2042" s="9" t="s">
        <v>17760</v>
      </c>
      <c r="N2042" s="9" t="s">
        <v>17746</v>
      </c>
      <c r="O2042" s="9" t="s">
        <v>17848</v>
      </c>
      <c r="P2042" s="9" t="s">
        <v>17748</v>
      </c>
      <c r="Q2042" s="11" t="s">
        <v>18341</v>
      </c>
      <c r="R2042" s="11" t="s">
        <v>18341</v>
      </c>
      <c r="S2042" s="11" t="s">
        <v>17750</v>
      </c>
    </row>
    <row r="2043" spans="1:19" x14ac:dyDescent="0.2">
      <c r="A2043" s="11" t="s">
        <v>29715</v>
      </c>
      <c r="B2043" s="9" t="s">
        <v>29716</v>
      </c>
      <c r="C2043" s="9" t="s">
        <v>29717</v>
      </c>
      <c r="D2043" s="9" t="s">
        <v>29718</v>
      </c>
      <c r="E2043" s="9" t="s">
        <v>17740</v>
      </c>
      <c r="F2043" s="9" t="s">
        <v>17741</v>
      </c>
      <c r="G2043" s="9" t="s">
        <v>17740</v>
      </c>
      <c r="H2043" s="11" t="s">
        <v>10835</v>
      </c>
      <c r="I2043" s="11" t="s">
        <v>10834</v>
      </c>
      <c r="J2043" s="11" t="s">
        <v>10834</v>
      </c>
      <c r="K2043" s="9" t="s">
        <v>18176</v>
      </c>
      <c r="L2043" s="9" t="s">
        <v>18123</v>
      </c>
      <c r="M2043" s="9" t="s">
        <v>18745</v>
      </c>
      <c r="N2043" s="9" t="s">
        <v>17746</v>
      </c>
      <c r="O2043" s="9" t="s">
        <v>1535</v>
      </c>
      <c r="P2043" s="9" t="s">
        <v>17748</v>
      </c>
      <c r="Q2043" s="11" t="s">
        <v>19082</v>
      </c>
      <c r="R2043" s="11" t="s">
        <v>19082</v>
      </c>
      <c r="S2043" s="11" t="s">
        <v>17750</v>
      </c>
    </row>
    <row r="2044" spans="1:19" x14ac:dyDescent="0.2">
      <c r="A2044" s="11" t="s">
        <v>29719</v>
      </c>
      <c r="B2044" s="9" t="s">
        <v>29720</v>
      </c>
      <c r="C2044" s="9" t="s">
        <v>29721</v>
      </c>
      <c r="D2044" s="9" t="s">
        <v>29722</v>
      </c>
      <c r="E2044" s="9" t="s">
        <v>17748</v>
      </c>
      <c r="F2044" s="9" t="s">
        <v>29723</v>
      </c>
      <c r="G2044" s="9" t="s">
        <v>17740</v>
      </c>
      <c r="H2044" s="11" t="s">
        <v>29724</v>
      </c>
      <c r="I2044" s="11" t="s">
        <v>29725</v>
      </c>
      <c r="J2044" s="11" t="s">
        <v>17741</v>
      </c>
      <c r="K2044" s="9" t="s">
        <v>15202</v>
      </c>
      <c r="L2044" s="9" t="s">
        <v>17958</v>
      </c>
      <c r="M2044" s="9" t="s">
        <v>17741</v>
      </c>
      <c r="N2044" s="9" t="s">
        <v>17746</v>
      </c>
      <c r="O2044" s="9" t="s">
        <v>17993</v>
      </c>
      <c r="P2044" s="9" t="s">
        <v>17748</v>
      </c>
      <c r="Q2044" s="11" t="s">
        <v>17909</v>
      </c>
      <c r="R2044" s="11" t="s">
        <v>17909</v>
      </c>
      <c r="S2044" s="11" t="s">
        <v>17750</v>
      </c>
    </row>
    <row r="2045" spans="1:19" x14ac:dyDescent="0.2">
      <c r="A2045" s="11" t="s">
        <v>29726</v>
      </c>
      <c r="B2045" s="9" t="s">
        <v>29727</v>
      </c>
      <c r="C2045" s="9" t="s">
        <v>29728</v>
      </c>
      <c r="D2045" s="9" t="s">
        <v>29729</v>
      </c>
      <c r="E2045" s="9" t="s">
        <v>17740</v>
      </c>
      <c r="F2045" s="9" t="s">
        <v>29730</v>
      </c>
      <c r="G2045" s="9" t="s">
        <v>17740</v>
      </c>
      <c r="H2045" s="11" t="s">
        <v>13093</v>
      </c>
      <c r="I2045" s="11" t="s">
        <v>13092</v>
      </c>
      <c r="J2045" s="11" t="s">
        <v>29731</v>
      </c>
      <c r="K2045" s="9" t="s">
        <v>18122</v>
      </c>
      <c r="L2045" s="9" t="s">
        <v>18123</v>
      </c>
      <c r="M2045" s="9" t="s">
        <v>18745</v>
      </c>
      <c r="N2045" s="9" t="s">
        <v>17746</v>
      </c>
      <c r="O2045" s="9" t="s">
        <v>3100</v>
      </c>
      <c r="P2045" s="9" t="s">
        <v>17748</v>
      </c>
      <c r="Q2045" s="11" t="s">
        <v>17984</v>
      </c>
      <c r="R2045" s="11" t="s">
        <v>17984</v>
      </c>
      <c r="S2045" s="11" t="s">
        <v>17750</v>
      </c>
    </row>
    <row r="2046" spans="1:19" x14ac:dyDescent="0.2">
      <c r="A2046" s="11" t="s">
        <v>29732</v>
      </c>
      <c r="B2046" s="9" t="s">
        <v>29733</v>
      </c>
      <c r="C2046" s="9" t="s">
        <v>29734</v>
      </c>
      <c r="D2046" s="9" t="s">
        <v>29735</v>
      </c>
      <c r="E2046" s="9" t="s">
        <v>17740</v>
      </c>
      <c r="F2046" s="9" t="s">
        <v>29736</v>
      </c>
      <c r="G2046" s="9" t="s">
        <v>17740</v>
      </c>
      <c r="H2046" s="11" t="s">
        <v>29737</v>
      </c>
      <c r="I2046" s="11" t="s">
        <v>29738</v>
      </c>
      <c r="J2046" s="11" t="s">
        <v>29739</v>
      </c>
      <c r="K2046" s="9" t="s">
        <v>18122</v>
      </c>
      <c r="L2046" s="9" t="s">
        <v>18123</v>
      </c>
      <c r="M2046" s="9" t="s">
        <v>17942</v>
      </c>
      <c r="N2046" s="9" t="s">
        <v>17746</v>
      </c>
      <c r="O2046" s="9" t="s">
        <v>18340</v>
      </c>
      <c r="P2046" s="9" t="s">
        <v>17748</v>
      </c>
      <c r="Q2046" s="11" t="s">
        <v>18798</v>
      </c>
      <c r="R2046" s="11" t="s">
        <v>18798</v>
      </c>
      <c r="S2046" s="11" t="s">
        <v>17750</v>
      </c>
    </row>
    <row r="2047" spans="1:19" x14ac:dyDescent="0.2">
      <c r="A2047" s="11" t="s">
        <v>29740</v>
      </c>
      <c r="B2047" s="9" t="s">
        <v>29741</v>
      </c>
      <c r="C2047" s="9" t="s">
        <v>29742</v>
      </c>
      <c r="D2047" s="9" t="s">
        <v>29743</v>
      </c>
      <c r="E2047" s="9" t="s">
        <v>17740</v>
      </c>
      <c r="F2047" s="9" t="s">
        <v>17741</v>
      </c>
      <c r="G2047" s="9" t="s">
        <v>17740</v>
      </c>
      <c r="H2047" s="11" t="s">
        <v>10838</v>
      </c>
      <c r="I2047" s="11" t="s">
        <v>10837</v>
      </c>
      <c r="J2047" s="11" t="s">
        <v>10837</v>
      </c>
      <c r="K2047" s="9" t="s">
        <v>18176</v>
      </c>
      <c r="L2047" s="9" t="s">
        <v>18123</v>
      </c>
      <c r="M2047" s="9" t="s">
        <v>18051</v>
      </c>
      <c r="N2047" s="9" t="s">
        <v>17746</v>
      </c>
      <c r="O2047" s="9" t="s">
        <v>24192</v>
      </c>
      <c r="P2047" s="9" t="s">
        <v>17748</v>
      </c>
      <c r="Q2047" s="11" t="s">
        <v>17883</v>
      </c>
      <c r="R2047" s="11" t="s">
        <v>17883</v>
      </c>
      <c r="S2047" s="11" t="s">
        <v>17750</v>
      </c>
    </row>
    <row r="2048" spans="1:19" x14ac:dyDescent="0.2">
      <c r="A2048" s="11" t="s">
        <v>29744</v>
      </c>
      <c r="B2048" s="9" t="s">
        <v>29745</v>
      </c>
      <c r="C2048" s="9" t="s">
        <v>29746</v>
      </c>
      <c r="D2048" s="9" t="s">
        <v>29747</v>
      </c>
      <c r="E2048" s="9" t="s">
        <v>17740</v>
      </c>
      <c r="F2048" s="9" t="s">
        <v>29748</v>
      </c>
      <c r="G2048" s="9" t="s">
        <v>17740</v>
      </c>
      <c r="H2048" s="11" t="s">
        <v>17741</v>
      </c>
      <c r="I2048" s="11" t="s">
        <v>29749</v>
      </c>
      <c r="J2048" s="11" t="s">
        <v>29749</v>
      </c>
      <c r="K2048" s="9" t="s">
        <v>29750</v>
      </c>
      <c r="L2048" s="9" t="s">
        <v>18242</v>
      </c>
      <c r="M2048" s="9" t="s">
        <v>17817</v>
      </c>
      <c r="N2048" s="9" t="s">
        <v>21524</v>
      </c>
      <c r="O2048" s="9" t="s">
        <v>17993</v>
      </c>
      <c r="P2048" s="9" t="s">
        <v>17748</v>
      </c>
      <c r="Q2048" s="11" t="s">
        <v>19983</v>
      </c>
      <c r="R2048" s="11" t="s">
        <v>19983</v>
      </c>
      <c r="S2048" s="11" t="s">
        <v>17750</v>
      </c>
    </row>
    <row r="2049" spans="1:19" x14ac:dyDescent="0.2">
      <c r="A2049" s="11" t="s">
        <v>29751</v>
      </c>
      <c r="B2049" s="9" t="s">
        <v>29752</v>
      </c>
      <c r="C2049" s="9" t="s">
        <v>29753</v>
      </c>
      <c r="D2049" s="9" t="s">
        <v>29754</v>
      </c>
      <c r="E2049" s="9" t="s">
        <v>17740</v>
      </c>
      <c r="F2049" s="9" t="s">
        <v>17741</v>
      </c>
      <c r="G2049" s="9" t="s">
        <v>17740</v>
      </c>
      <c r="H2049" s="11" t="s">
        <v>29755</v>
      </c>
      <c r="I2049" s="11" t="s">
        <v>29756</v>
      </c>
      <c r="J2049" s="11" t="s">
        <v>29756</v>
      </c>
      <c r="K2049" s="9" t="s">
        <v>29757</v>
      </c>
      <c r="L2049" s="9" t="s">
        <v>18242</v>
      </c>
      <c r="M2049" s="9" t="s">
        <v>18211</v>
      </c>
      <c r="N2049" s="9" t="s">
        <v>17746</v>
      </c>
      <c r="O2049" s="9" t="s">
        <v>17993</v>
      </c>
      <c r="P2049" s="9" t="s">
        <v>17748</v>
      </c>
      <c r="Q2049" s="11" t="s">
        <v>17969</v>
      </c>
      <c r="R2049" s="11" t="s">
        <v>17969</v>
      </c>
      <c r="S2049" s="11" t="s">
        <v>17750</v>
      </c>
    </row>
    <row r="2050" spans="1:19" x14ac:dyDescent="0.2">
      <c r="A2050" s="11" t="s">
        <v>29758</v>
      </c>
      <c r="B2050" s="9" t="s">
        <v>29759</v>
      </c>
      <c r="C2050" s="9" t="s">
        <v>29760</v>
      </c>
      <c r="D2050" s="9" t="s">
        <v>29761</v>
      </c>
      <c r="E2050" s="9" t="s">
        <v>17740</v>
      </c>
      <c r="F2050" s="9" t="s">
        <v>17741</v>
      </c>
      <c r="G2050" s="9" t="s">
        <v>17740</v>
      </c>
      <c r="H2050" s="11" t="s">
        <v>8561</v>
      </c>
      <c r="I2050" s="11" t="s">
        <v>8560</v>
      </c>
      <c r="J2050" s="11" t="s">
        <v>8560</v>
      </c>
      <c r="K2050" s="9" t="s">
        <v>17783</v>
      </c>
      <c r="L2050" s="9" t="s">
        <v>18158</v>
      </c>
      <c r="M2050" s="9" t="s">
        <v>18065</v>
      </c>
      <c r="N2050" s="9" t="s">
        <v>17746</v>
      </c>
      <c r="O2050" s="9" t="s">
        <v>27515</v>
      </c>
      <c r="P2050" s="9" t="s">
        <v>17748</v>
      </c>
      <c r="Q2050" s="11" t="s">
        <v>17784</v>
      </c>
      <c r="R2050" s="11" t="s">
        <v>17784</v>
      </c>
      <c r="S2050" s="11" t="s">
        <v>17750</v>
      </c>
    </row>
    <row r="2051" spans="1:19" x14ac:dyDescent="0.2">
      <c r="A2051" s="11" t="s">
        <v>29762</v>
      </c>
      <c r="B2051" s="9" t="s">
        <v>29763</v>
      </c>
      <c r="C2051" s="9" t="s">
        <v>29764</v>
      </c>
      <c r="D2051" s="9" t="s">
        <v>29765</v>
      </c>
      <c r="E2051" s="9" t="s">
        <v>17740</v>
      </c>
      <c r="F2051" s="9" t="s">
        <v>17741</v>
      </c>
      <c r="G2051" s="9" t="s">
        <v>17740</v>
      </c>
      <c r="H2051" s="11" t="s">
        <v>4258</v>
      </c>
      <c r="I2051" s="11" t="s">
        <v>4257</v>
      </c>
      <c r="J2051" s="11" t="s">
        <v>4257</v>
      </c>
      <c r="K2051" s="9" t="s">
        <v>29766</v>
      </c>
      <c r="L2051" s="9" t="s">
        <v>17991</v>
      </c>
      <c r="M2051" s="9" t="s">
        <v>29767</v>
      </c>
      <c r="N2051" s="9" t="s">
        <v>17746</v>
      </c>
      <c r="O2051" s="9" t="s">
        <v>3100</v>
      </c>
      <c r="P2051" s="9" t="s">
        <v>17748</v>
      </c>
      <c r="Q2051" s="11" t="s">
        <v>18059</v>
      </c>
      <c r="R2051" s="11" t="s">
        <v>18059</v>
      </c>
      <c r="S2051" s="11" t="s">
        <v>17750</v>
      </c>
    </row>
    <row r="2052" spans="1:19" x14ac:dyDescent="0.2">
      <c r="A2052" s="11" t="s">
        <v>29768</v>
      </c>
      <c r="B2052" s="9" t="s">
        <v>29769</v>
      </c>
      <c r="C2052" s="9" t="s">
        <v>29770</v>
      </c>
      <c r="D2052" s="9" t="s">
        <v>29771</v>
      </c>
      <c r="E2052" s="9" t="s">
        <v>17740</v>
      </c>
      <c r="F2052" s="9" t="s">
        <v>17741</v>
      </c>
      <c r="G2052" s="9" t="s">
        <v>17740</v>
      </c>
      <c r="H2052" s="11" t="s">
        <v>17741</v>
      </c>
      <c r="I2052" s="11" t="s">
        <v>29772</v>
      </c>
      <c r="J2052" s="11" t="s">
        <v>29772</v>
      </c>
      <c r="K2052" s="9" t="s">
        <v>29773</v>
      </c>
      <c r="L2052" s="9" t="s">
        <v>17759</v>
      </c>
      <c r="M2052" s="9" t="s">
        <v>29774</v>
      </c>
      <c r="N2052" s="9" t="s">
        <v>17746</v>
      </c>
      <c r="O2052" s="9" t="s">
        <v>17848</v>
      </c>
      <c r="P2052" s="9" t="s">
        <v>17748</v>
      </c>
      <c r="Q2052" s="11" t="s">
        <v>17867</v>
      </c>
      <c r="R2052" s="11" t="s">
        <v>17867</v>
      </c>
      <c r="S2052" s="11" t="s">
        <v>17750</v>
      </c>
    </row>
    <row r="2053" spans="1:19" x14ac:dyDescent="0.2">
      <c r="A2053" s="11" t="s">
        <v>29775</v>
      </c>
      <c r="B2053" s="9" t="s">
        <v>29776</v>
      </c>
      <c r="C2053" s="9" t="s">
        <v>29777</v>
      </c>
      <c r="D2053" s="9" t="s">
        <v>29778</v>
      </c>
      <c r="E2053" s="9" t="s">
        <v>17740</v>
      </c>
      <c r="F2053" s="9" t="s">
        <v>29779</v>
      </c>
      <c r="G2053" s="9" t="s">
        <v>17740</v>
      </c>
      <c r="H2053" s="11" t="s">
        <v>4281</v>
      </c>
      <c r="I2053" s="11" t="s">
        <v>4280</v>
      </c>
      <c r="J2053" s="11" t="s">
        <v>4280</v>
      </c>
      <c r="K2053" s="9" t="s">
        <v>22893</v>
      </c>
      <c r="L2053" s="9" t="s">
        <v>17744</v>
      </c>
      <c r="M2053" s="9" t="s">
        <v>20387</v>
      </c>
      <c r="N2053" s="9" t="s">
        <v>17746</v>
      </c>
      <c r="O2053" s="9" t="s">
        <v>3391</v>
      </c>
      <c r="P2053" s="9" t="s">
        <v>17748</v>
      </c>
      <c r="Q2053" s="11" t="s">
        <v>18364</v>
      </c>
      <c r="R2053" s="11" t="s">
        <v>18364</v>
      </c>
      <c r="S2053" s="11" t="s">
        <v>17750</v>
      </c>
    </row>
    <row r="2054" spans="1:19" x14ac:dyDescent="0.2">
      <c r="A2054" s="11" t="s">
        <v>29780</v>
      </c>
      <c r="B2054" s="9" t="s">
        <v>29781</v>
      </c>
      <c r="C2054" s="9" t="s">
        <v>29782</v>
      </c>
      <c r="D2054" s="9" t="s">
        <v>29783</v>
      </c>
      <c r="E2054" s="9" t="s">
        <v>17748</v>
      </c>
      <c r="F2054" s="9" t="s">
        <v>29784</v>
      </c>
      <c r="G2054" s="9" t="s">
        <v>17740</v>
      </c>
      <c r="H2054" s="11" t="s">
        <v>17741</v>
      </c>
      <c r="I2054" s="11" t="s">
        <v>29785</v>
      </c>
      <c r="J2054" s="11" t="s">
        <v>17741</v>
      </c>
      <c r="K2054" s="9" t="s">
        <v>29786</v>
      </c>
      <c r="L2054" s="9" t="s">
        <v>18001</v>
      </c>
      <c r="M2054" s="9" t="s">
        <v>17817</v>
      </c>
      <c r="N2054" s="9" t="s">
        <v>17746</v>
      </c>
      <c r="O2054" s="9" t="s">
        <v>18746</v>
      </c>
      <c r="P2054" s="9" t="s">
        <v>17748</v>
      </c>
      <c r="Q2054" s="11" t="s">
        <v>17900</v>
      </c>
      <c r="R2054" s="11" t="s">
        <v>17900</v>
      </c>
      <c r="S2054" s="11" t="s">
        <v>17750</v>
      </c>
    </row>
    <row r="2055" spans="1:19" x14ac:dyDescent="0.2">
      <c r="A2055" s="11" t="s">
        <v>29787</v>
      </c>
      <c r="B2055" s="9" t="s">
        <v>29788</v>
      </c>
      <c r="C2055" s="9" t="s">
        <v>29789</v>
      </c>
      <c r="D2055" s="9" t="s">
        <v>29790</v>
      </c>
      <c r="E2055" s="9" t="s">
        <v>17748</v>
      </c>
      <c r="F2055" s="9" t="s">
        <v>29791</v>
      </c>
      <c r="G2055" s="9" t="s">
        <v>17740</v>
      </c>
      <c r="H2055" s="11" t="s">
        <v>7031</v>
      </c>
      <c r="I2055" s="11" t="s">
        <v>7030</v>
      </c>
      <c r="J2055" s="11" t="s">
        <v>7030</v>
      </c>
      <c r="K2055" s="9" t="s">
        <v>601</v>
      </c>
      <c r="L2055" s="9" t="s">
        <v>17759</v>
      </c>
      <c r="M2055" s="9" t="s">
        <v>24588</v>
      </c>
      <c r="N2055" s="9" t="s">
        <v>17746</v>
      </c>
      <c r="O2055" s="9" t="s">
        <v>29792</v>
      </c>
      <c r="P2055" s="9" t="s">
        <v>17748</v>
      </c>
      <c r="Q2055" s="11" t="s">
        <v>18201</v>
      </c>
      <c r="R2055" s="11" t="s">
        <v>18201</v>
      </c>
      <c r="S2055" s="11" t="s">
        <v>17750</v>
      </c>
    </row>
    <row r="2056" spans="1:19" x14ac:dyDescent="0.2">
      <c r="A2056" s="11" t="s">
        <v>29793</v>
      </c>
      <c r="B2056" s="9" t="s">
        <v>29794</v>
      </c>
      <c r="C2056" s="9" t="s">
        <v>29795</v>
      </c>
      <c r="D2056" s="9" t="s">
        <v>29796</v>
      </c>
      <c r="E2056" s="9" t="s">
        <v>17740</v>
      </c>
      <c r="F2056" s="9" t="s">
        <v>17741</v>
      </c>
      <c r="G2056" s="9" t="s">
        <v>17740</v>
      </c>
      <c r="H2056" s="11" t="s">
        <v>11193</v>
      </c>
      <c r="I2056" s="11" t="s">
        <v>11192</v>
      </c>
      <c r="J2056" s="11" t="s">
        <v>11192</v>
      </c>
      <c r="K2056" s="9" t="s">
        <v>22567</v>
      </c>
      <c r="L2056" s="9" t="s">
        <v>17744</v>
      </c>
      <c r="M2056" s="9" t="s">
        <v>17769</v>
      </c>
      <c r="N2056" s="9" t="s">
        <v>17746</v>
      </c>
      <c r="O2056" s="9" t="s">
        <v>18009</v>
      </c>
      <c r="P2056" s="9" t="s">
        <v>17748</v>
      </c>
      <c r="Q2056" s="11" t="s">
        <v>17984</v>
      </c>
      <c r="R2056" s="11" t="s">
        <v>17984</v>
      </c>
      <c r="S2056" s="11" t="s">
        <v>17750</v>
      </c>
    </row>
    <row r="2057" spans="1:19" x14ac:dyDescent="0.2">
      <c r="A2057" s="11" t="s">
        <v>29797</v>
      </c>
      <c r="B2057" s="9" t="s">
        <v>29798</v>
      </c>
      <c r="C2057" s="9" t="s">
        <v>29799</v>
      </c>
      <c r="D2057" s="9" t="s">
        <v>29800</v>
      </c>
      <c r="E2057" s="9" t="s">
        <v>17740</v>
      </c>
      <c r="F2057" s="9" t="s">
        <v>17741</v>
      </c>
      <c r="G2057" s="9" t="s">
        <v>17740</v>
      </c>
      <c r="H2057" s="11" t="s">
        <v>13971</v>
      </c>
      <c r="I2057" s="11" t="s">
        <v>13970</v>
      </c>
      <c r="J2057" s="11" t="s">
        <v>13970</v>
      </c>
      <c r="K2057" s="9" t="s">
        <v>13972</v>
      </c>
      <c r="L2057" s="9" t="s">
        <v>17744</v>
      </c>
      <c r="M2057" s="9" t="s">
        <v>29801</v>
      </c>
      <c r="N2057" s="9" t="s">
        <v>17746</v>
      </c>
      <c r="O2057" s="9" t="s">
        <v>29802</v>
      </c>
      <c r="P2057" s="9" t="s">
        <v>17748</v>
      </c>
      <c r="Q2057" s="11" t="s">
        <v>17825</v>
      </c>
      <c r="R2057" s="11" t="s">
        <v>17825</v>
      </c>
      <c r="S2057" s="11" t="s">
        <v>17750</v>
      </c>
    </row>
    <row r="2058" spans="1:19" x14ac:dyDescent="0.2">
      <c r="A2058" s="11" t="s">
        <v>29803</v>
      </c>
      <c r="B2058" s="9" t="s">
        <v>29804</v>
      </c>
      <c r="C2058" s="9" t="s">
        <v>29805</v>
      </c>
      <c r="D2058" s="9" t="s">
        <v>29806</v>
      </c>
      <c r="E2058" s="9" t="s">
        <v>17740</v>
      </c>
      <c r="F2058" s="9" t="s">
        <v>17741</v>
      </c>
      <c r="G2058" s="9" t="s">
        <v>17740</v>
      </c>
      <c r="H2058" s="11" t="s">
        <v>11849</v>
      </c>
      <c r="I2058" s="11" t="s">
        <v>11848</v>
      </c>
      <c r="J2058" s="11" t="s">
        <v>11848</v>
      </c>
      <c r="K2058" s="9" t="s">
        <v>22567</v>
      </c>
      <c r="L2058" s="9" t="s">
        <v>17744</v>
      </c>
      <c r="M2058" s="9" t="s">
        <v>26163</v>
      </c>
      <c r="N2058" s="9" t="s">
        <v>17746</v>
      </c>
      <c r="O2058" s="9" t="s">
        <v>18746</v>
      </c>
      <c r="P2058" s="9" t="s">
        <v>17748</v>
      </c>
      <c r="Q2058" s="11" t="s">
        <v>17762</v>
      </c>
      <c r="R2058" s="11" t="s">
        <v>17762</v>
      </c>
      <c r="S2058" s="11" t="s">
        <v>17750</v>
      </c>
    </row>
    <row r="2059" spans="1:19" x14ac:dyDescent="0.2">
      <c r="A2059" s="11" t="s">
        <v>29807</v>
      </c>
      <c r="B2059" s="9" t="s">
        <v>29808</v>
      </c>
      <c r="C2059" s="9" t="s">
        <v>29809</v>
      </c>
      <c r="D2059" s="9" t="s">
        <v>29810</v>
      </c>
      <c r="E2059" s="9" t="s">
        <v>17740</v>
      </c>
      <c r="F2059" s="9" t="s">
        <v>17741</v>
      </c>
      <c r="G2059" s="9" t="s">
        <v>17740</v>
      </c>
      <c r="H2059" s="11" t="s">
        <v>29811</v>
      </c>
      <c r="I2059" s="11" t="s">
        <v>29812</v>
      </c>
      <c r="J2059" s="11" t="s">
        <v>29812</v>
      </c>
      <c r="K2059" s="9" t="s">
        <v>29813</v>
      </c>
      <c r="L2059" s="9" t="s">
        <v>17759</v>
      </c>
      <c r="M2059" s="9" t="s">
        <v>29814</v>
      </c>
      <c r="N2059" s="9" t="s">
        <v>17746</v>
      </c>
      <c r="O2059" s="9" t="s">
        <v>24827</v>
      </c>
      <c r="P2059" s="9" t="s">
        <v>17748</v>
      </c>
      <c r="Q2059" s="11" t="s">
        <v>18080</v>
      </c>
      <c r="R2059" s="11" t="s">
        <v>18080</v>
      </c>
      <c r="S2059" s="11" t="s">
        <v>17750</v>
      </c>
    </row>
    <row r="2060" spans="1:19" x14ac:dyDescent="0.2">
      <c r="A2060" s="11" t="s">
        <v>29815</v>
      </c>
      <c r="B2060" s="9" t="s">
        <v>29816</v>
      </c>
      <c r="C2060" s="9" t="s">
        <v>29817</v>
      </c>
      <c r="D2060" s="9" t="s">
        <v>29818</v>
      </c>
      <c r="E2060" s="9" t="s">
        <v>17740</v>
      </c>
      <c r="F2060" s="9" t="s">
        <v>17741</v>
      </c>
      <c r="G2060" s="9" t="s">
        <v>17740</v>
      </c>
      <c r="H2060" s="11" t="s">
        <v>11187</v>
      </c>
      <c r="I2060" s="11" t="s">
        <v>11186</v>
      </c>
      <c r="J2060" s="11" t="s">
        <v>11186</v>
      </c>
      <c r="K2060" s="9" t="s">
        <v>8442</v>
      </c>
      <c r="L2060" s="9" t="s">
        <v>17744</v>
      </c>
      <c r="M2060" s="9" t="s">
        <v>20957</v>
      </c>
      <c r="N2060" s="9" t="s">
        <v>17746</v>
      </c>
      <c r="O2060" s="9" t="s">
        <v>18363</v>
      </c>
      <c r="P2060" s="9" t="s">
        <v>17748</v>
      </c>
      <c r="Q2060" s="11" t="s">
        <v>17984</v>
      </c>
      <c r="R2060" s="11" t="s">
        <v>17984</v>
      </c>
      <c r="S2060" s="11" t="s">
        <v>17750</v>
      </c>
    </row>
    <row r="2061" spans="1:19" x14ac:dyDescent="0.2">
      <c r="A2061" s="11" t="s">
        <v>29819</v>
      </c>
      <c r="B2061" s="9" t="s">
        <v>29820</v>
      </c>
      <c r="C2061" s="9" t="s">
        <v>29821</v>
      </c>
      <c r="D2061" s="9" t="s">
        <v>29822</v>
      </c>
      <c r="E2061" s="9" t="s">
        <v>17740</v>
      </c>
      <c r="F2061" s="9" t="s">
        <v>17741</v>
      </c>
      <c r="G2061" s="9" t="s">
        <v>17740</v>
      </c>
      <c r="H2061" s="11" t="s">
        <v>17171</v>
      </c>
      <c r="I2061" s="11" t="s">
        <v>17741</v>
      </c>
      <c r="J2061" s="11" t="s">
        <v>17171</v>
      </c>
      <c r="K2061" s="9" t="s">
        <v>17631</v>
      </c>
      <c r="L2061" s="9" t="s">
        <v>17759</v>
      </c>
      <c r="M2061" s="9" t="s">
        <v>17817</v>
      </c>
      <c r="N2061" s="9" t="s">
        <v>17746</v>
      </c>
      <c r="O2061" s="9" t="s">
        <v>27515</v>
      </c>
      <c r="P2061" s="9" t="s">
        <v>17748</v>
      </c>
      <c r="Q2061" s="11" t="s">
        <v>17909</v>
      </c>
      <c r="R2061" s="11" t="s">
        <v>17909</v>
      </c>
      <c r="S2061" s="11" t="s">
        <v>17750</v>
      </c>
    </row>
    <row r="2062" spans="1:19" x14ac:dyDescent="0.2">
      <c r="A2062" s="11" t="s">
        <v>29823</v>
      </c>
      <c r="B2062" s="9" t="s">
        <v>29824</v>
      </c>
      <c r="C2062" s="9" t="s">
        <v>29825</v>
      </c>
      <c r="D2062" s="9" t="s">
        <v>29826</v>
      </c>
      <c r="E2062" s="9" t="s">
        <v>17740</v>
      </c>
      <c r="F2062" s="9" t="s">
        <v>17741</v>
      </c>
      <c r="G2062" s="9" t="s">
        <v>17740</v>
      </c>
      <c r="H2062" s="11" t="s">
        <v>17741</v>
      </c>
      <c r="I2062" s="11" t="s">
        <v>5613</v>
      </c>
      <c r="J2062" s="11" t="s">
        <v>5613</v>
      </c>
      <c r="K2062" s="9" t="s">
        <v>29827</v>
      </c>
      <c r="L2062" s="9" t="s">
        <v>18411</v>
      </c>
      <c r="M2062" s="9" t="s">
        <v>17769</v>
      </c>
      <c r="N2062" s="9" t="s">
        <v>18171</v>
      </c>
      <c r="O2062" s="9" t="s">
        <v>17993</v>
      </c>
      <c r="P2062" s="9" t="s">
        <v>17748</v>
      </c>
      <c r="Q2062" s="11" t="s">
        <v>23707</v>
      </c>
      <c r="R2062" s="11" t="s">
        <v>23707</v>
      </c>
      <c r="S2062" s="11" t="s">
        <v>17750</v>
      </c>
    </row>
    <row r="2063" spans="1:19" x14ac:dyDescent="0.2">
      <c r="A2063" s="11" t="s">
        <v>29828</v>
      </c>
      <c r="B2063" s="9" t="s">
        <v>29829</v>
      </c>
      <c r="C2063" s="9" t="s">
        <v>29830</v>
      </c>
      <c r="D2063" s="9" t="s">
        <v>29831</v>
      </c>
      <c r="E2063" s="9" t="s">
        <v>17740</v>
      </c>
      <c r="F2063" s="9" t="s">
        <v>29832</v>
      </c>
      <c r="G2063" s="9" t="s">
        <v>17740</v>
      </c>
      <c r="H2063" s="11" t="s">
        <v>29833</v>
      </c>
      <c r="I2063" s="11" t="s">
        <v>29834</v>
      </c>
      <c r="J2063" s="11" t="s">
        <v>29834</v>
      </c>
      <c r="K2063" s="9" t="s">
        <v>18438</v>
      </c>
      <c r="L2063" s="9" t="s">
        <v>18439</v>
      </c>
      <c r="M2063" s="9" t="s">
        <v>17769</v>
      </c>
      <c r="N2063" s="9" t="s">
        <v>18171</v>
      </c>
      <c r="O2063" s="9" t="s">
        <v>3524</v>
      </c>
      <c r="P2063" s="9" t="s">
        <v>17748</v>
      </c>
      <c r="Q2063" s="11" t="s">
        <v>18364</v>
      </c>
      <c r="R2063" s="11" t="s">
        <v>18364</v>
      </c>
      <c r="S2063" s="11" t="s">
        <v>17750</v>
      </c>
    </row>
    <row r="2064" spans="1:19" x14ac:dyDescent="0.2">
      <c r="A2064" s="11" t="s">
        <v>29835</v>
      </c>
      <c r="B2064" s="9" t="s">
        <v>29836</v>
      </c>
      <c r="C2064" s="9" t="s">
        <v>29837</v>
      </c>
      <c r="D2064" s="9" t="s">
        <v>29838</v>
      </c>
      <c r="E2064" s="9" t="s">
        <v>17740</v>
      </c>
      <c r="F2064" s="9" t="s">
        <v>17741</v>
      </c>
      <c r="G2064" s="9" t="s">
        <v>17740</v>
      </c>
      <c r="H2064" s="11" t="s">
        <v>6569</v>
      </c>
      <c r="I2064" s="11" t="s">
        <v>6568</v>
      </c>
      <c r="J2064" s="11" t="s">
        <v>6568</v>
      </c>
      <c r="K2064" s="9" t="s">
        <v>29839</v>
      </c>
      <c r="L2064" s="9" t="s">
        <v>17744</v>
      </c>
      <c r="M2064" s="9" t="s">
        <v>29840</v>
      </c>
      <c r="N2064" s="9" t="s">
        <v>17746</v>
      </c>
      <c r="O2064" s="9" t="s">
        <v>3276</v>
      </c>
      <c r="P2064" s="9" t="s">
        <v>17748</v>
      </c>
      <c r="Q2064" s="11" t="s">
        <v>17792</v>
      </c>
      <c r="R2064" s="11" t="s">
        <v>17792</v>
      </c>
      <c r="S2064" s="11" t="s">
        <v>17750</v>
      </c>
    </row>
    <row r="2065" spans="1:19" x14ac:dyDescent="0.2">
      <c r="A2065" s="11" t="s">
        <v>29841</v>
      </c>
      <c r="B2065" s="9" t="s">
        <v>29842</v>
      </c>
      <c r="C2065" s="9" t="s">
        <v>29843</v>
      </c>
      <c r="D2065" s="9" t="s">
        <v>29844</v>
      </c>
      <c r="E2065" s="9" t="s">
        <v>17740</v>
      </c>
      <c r="F2065" s="9" t="s">
        <v>17741</v>
      </c>
      <c r="G2065" s="9" t="s">
        <v>17740</v>
      </c>
      <c r="H2065" s="11" t="s">
        <v>17741</v>
      </c>
      <c r="I2065" s="11" t="s">
        <v>1732</v>
      </c>
      <c r="J2065" s="11" t="s">
        <v>1732</v>
      </c>
      <c r="K2065" s="9" t="s">
        <v>29845</v>
      </c>
      <c r="L2065" s="9" t="s">
        <v>18242</v>
      </c>
      <c r="M2065" s="9" t="s">
        <v>29846</v>
      </c>
      <c r="N2065" s="9" t="s">
        <v>21524</v>
      </c>
      <c r="O2065" s="9" t="s">
        <v>24097</v>
      </c>
      <c r="P2065" s="9" t="s">
        <v>17748</v>
      </c>
      <c r="Q2065" s="11" t="s">
        <v>17771</v>
      </c>
      <c r="R2065" s="11" t="s">
        <v>17771</v>
      </c>
      <c r="S2065" s="11" t="s">
        <v>17750</v>
      </c>
    </row>
    <row r="2066" spans="1:19" x14ac:dyDescent="0.2">
      <c r="A2066" s="11" t="s">
        <v>29847</v>
      </c>
      <c r="B2066" s="9" t="s">
        <v>29848</v>
      </c>
      <c r="C2066" s="9" t="s">
        <v>29849</v>
      </c>
      <c r="D2066" s="9" t="s">
        <v>8222</v>
      </c>
      <c r="E2066" s="9" t="s">
        <v>17740</v>
      </c>
      <c r="F2066" s="9" t="s">
        <v>17741</v>
      </c>
      <c r="G2066" s="9" t="s">
        <v>17740</v>
      </c>
      <c r="H2066" s="11" t="s">
        <v>17741</v>
      </c>
      <c r="I2066" s="11" t="s">
        <v>8223</v>
      </c>
      <c r="J2066" s="11" t="s">
        <v>17741</v>
      </c>
      <c r="K2066" s="9" t="s">
        <v>23335</v>
      </c>
      <c r="L2066" s="9" t="s">
        <v>18242</v>
      </c>
      <c r="M2066" s="9" t="s">
        <v>17760</v>
      </c>
      <c r="N2066" s="9" t="s">
        <v>17746</v>
      </c>
      <c r="O2066" s="9" t="s">
        <v>25246</v>
      </c>
      <c r="P2066" s="9" t="s">
        <v>17748</v>
      </c>
      <c r="Q2066" s="11" t="s">
        <v>18798</v>
      </c>
      <c r="R2066" s="11" t="s">
        <v>18798</v>
      </c>
      <c r="S2066" s="11" t="s">
        <v>17750</v>
      </c>
    </row>
    <row r="2067" spans="1:19" x14ac:dyDescent="0.2">
      <c r="A2067" s="11" t="s">
        <v>29850</v>
      </c>
      <c r="B2067" s="9" t="s">
        <v>29851</v>
      </c>
      <c r="C2067" s="9" t="s">
        <v>29852</v>
      </c>
      <c r="D2067" s="9" t="s">
        <v>29853</v>
      </c>
      <c r="E2067" s="9" t="s">
        <v>17740</v>
      </c>
      <c r="F2067" s="9" t="s">
        <v>17741</v>
      </c>
      <c r="G2067" s="9" t="s">
        <v>17740</v>
      </c>
      <c r="H2067" s="11" t="s">
        <v>17741</v>
      </c>
      <c r="I2067" s="11" t="s">
        <v>1701</v>
      </c>
      <c r="J2067" s="11" t="s">
        <v>1701</v>
      </c>
      <c r="K2067" s="9" t="s">
        <v>18438</v>
      </c>
      <c r="L2067" s="9" t="s">
        <v>18439</v>
      </c>
      <c r="M2067" s="9" t="s">
        <v>19168</v>
      </c>
      <c r="N2067" s="9" t="s">
        <v>18171</v>
      </c>
      <c r="O2067" s="9" t="s">
        <v>1675</v>
      </c>
      <c r="P2067" s="9" t="s">
        <v>17748</v>
      </c>
      <c r="Q2067" s="11" t="s">
        <v>19335</v>
      </c>
      <c r="R2067" s="11" t="s">
        <v>19335</v>
      </c>
      <c r="S2067" s="11" t="s">
        <v>17750</v>
      </c>
    </row>
    <row r="2068" spans="1:19" x14ac:dyDescent="0.2">
      <c r="A2068" s="11" t="s">
        <v>29854</v>
      </c>
      <c r="B2068" s="9" t="s">
        <v>1675</v>
      </c>
      <c r="C2068" s="9" t="s">
        <v>29855</v>
      </c>
      <c r="D2068" s="9" t="s">
        <v>1675</v>
      </c>
      <c r="E2068" s="9" t="s">
        <v>17740</v>
      </c>
      <c r="F2068" s="9" t="s">
        <v>17741</v>
      </c>
      <c r="G2068" s="9" t="s">
        <v>17740</v>
      </c>
      <c r="H2068" s="11" t="s">
        <v>1677</v>
      </c>
      <c r="I2068" s="11" t="s">
        <v>1676</v>
      </c>
      <c r="J2068" s="11" t="s">
        <v>1676</v>
      </c>
      <c r="K2068" s="9" t="s">
        <v>303</v>
      </c>
      <c r="L2068" s="9" t="s">
        <v>17759</v>
      </c>
      <c r="M2068" s="9" t="s">
        <v>17817</v>
      </c>
      <c r="N2068" s="9" t="s">
        <v>17746</v>
      </c>
      <c r="O2068" s="9" t="s">
        <v>1675</v>
      </c>
      <c r="P2068" s="9" t="s">
        <v>17748</v>
      </c>
      <c r="Q2068" s="11" t="s">
        <v>20361</v>
      </c>
      <c r="R2068" s="11" t="s">
        <v>20361</v>
      </c>
      <c r="S2068" s="11" t="s">
        <v>17750</v>
      </c>
    </row>
    <row r="2069" spans="1:19" x14ac:dyDescent="0.2">
      <c r="A2069" s="11" t="s">
        <v>29856</v>
      </c>
      <c r="B2069" s="9" t="s">
        <v>29857</v>
      </c>
      <c r="C2069" s="9" t="s">
        <v>29858</v>
      </c>
      <c r="D2069" s="9" t="s">
        <v>29859</v>
      </c>
      <c r="E2069" s="9" t="s">
        <v>17740</v>
      </c>
      <c r="F2069" s="9" t="s">
        <v>29860</v>
      </c>
      <c r="G2069" s="9" t="s">
        <v>17740</v>
      </c>
      <c r="H2069" s="11" t="s">
        <v>4532</v>
      </c>
      <c r="I2069" s="11" t="s">
        <v>4531</v>
      </c>
      <c r="J2069" s="11" t="s">
        <v>4531</v>
      </c>
      <c r="K2069" s="9" t="s">
        <v>29861</v>
      </c>
      <c r="L2069" s="9" t="s">
        <v>17759</v>
      </c>
      <c r="M2069" s="9" t="s">
        <v>17760</v>
      </c>
      <c r="N2069" s="9" t="s">
        <v>17746</v>
      </c>
      <c r="O2069" s="9" t="s">
        <v>1675</v>
      </c>
      <c r="P2069" s="9" t="s">
        <v>17748</v>
      </c>
      <c r="Q2069" s="11" t="s">
        <v>18364</v>
      </c>
      <c r="R2069" s="11" t="s">
        <v>18364</v>
      </c>
      <c r="S2069" s="11" t="s">
        <v>17750</v>
      </c>
    </row>
    <row r="2070" spans="1:19" x14ac:dyDescent="0.2">
      <c r="A2070" s="11" t="s">
        <v>29862</v>
      </c>
      <c r="B2070" s="9" t="s">
        <v>29863</v>
      </c>
      <c r="C2070" s="9" t="s">
        <v>29864</v>
      </c>
      <c r="D2070" s="9" t="s">
        <v>29865</v>
      </c>
      <c r="E2070" s="9" t="s">
        <v>17740</v>
      </c>
      <c r="F2070" s="9" t="s">
        <v>29866</v>
      </c>
      <c r="G2070" s="9" t="s">
        <v>17740</v>
      </c>
      <c r="H2070" s="11" t="s">
        <v>29867</v>
      </c>
      <c r="I2070" s="11" t="s">
        <v>29868</v>
      </c>
      <c r="J2070" s="11" t="s">
        <v>29868</v>
      </c>
      <c r="K2070" s="9" t="s">
        <v>17758</v>
      </c>
      <c r="L2070" s="9" t="s">
        <v>17759</v>
      </c>
      <c r="M2070" s="9" t="s">
        <v>18065</v>
      </c>
      <c r="N2070" s="9" t="s">
        <v>17746</v>
      </c>
      <c r="O2070" s="9" t="s">
        <v>29869</v>
      </c>
      <c r="P2070" s="9" t="s">
        <v>17748</v>
      </c>
      <c r="Q2070" s="11" t="s">
        <v>17819</v>
      </c>
      <c r="R2070" s="11" t="s">
        <v>17819</v>
      </c>
      <c r="S2070" s="11" t="s">
        <v>17750</v>
      </c>
    </row>
    <row r="2071" spans="1:19" x14ac:dyDescent="0.2">
      <c r="A2071" s="11" t="s">
        <v>29870</v>
      </c>
      <c r="B2071" s="9" t="s">
        <v>29871</v>
      </c>
      <c r="C2071" s="9" t="s">
        <v>29872</v>
      </c>
      <c r="D2071" s="9" t="s">
        <v>29873</v>
      </c>
      <c r="E2071" s="9" t="s">
        <v>17740</v>
      </c>
      <c r="F2071" s="9" t="s">
        <v>29874</v>
      </c>
      <c r="G2071" s="9" t="s">
        <v>17740</v>
      </c>
      <c r="H2071" s="11" t="s">
        <v>1674</v>
      </c>
      <c r="I2071" s="11" t="s">
        <v>1673</v>
      </c>
      <c r="J2071" s="11" t="s">
        <v>1673</v>
      </c>
      <c r="K2071" s="9" t="s">
        <v>29875</v>
      </c>
      <c r="L2071" s="9" t="s">
        <v>17759</v>
      </c>
      <c r="M2071" s="9" t="s">
        <v>29876</v>
      </c>
      <c r="N2071" s="9" t="s">
        <v>17746</v>
      </c>
      <c r="O2071" s="9" t="s">
        <v>29877</v>
      </c>
      <c r="P2071" s="9" t="s">
        <v>17748</v>
      </c>
      <c r="Q2071" s="11" t="s">
        <v>18072</v>
      </c>
      <c r="R2071" s="11" t="s">
        <v>18072</v>
      </c>
      <c r="S2071" s="11" t="s">
        <v>17750</v>
      </c>
    </row>
    <row r="2072" spans="1:19" x14ac:dyDescent="0.2">
      <c r="A2072" s="11" t="s">
        <v>29878</v>
      </c>
      <c r="B2072" s="9" t="s">
        <v>29879</v>
      </c>
      <c r="C2072" s="9" t="s">
        <v>29880</v>
      </c>
      <c r="D2072" s="9" t="s">
        <v>29881</v>
      </c>
      <c r="E2072" s="9" t="s">
        <v>17740</v>
      </c>
      <c r="F2072" s="9" t="s">
        <v>17741</v>
      </c>
      <c r="G2072" s="9" t="s">
        <v>17740</v>
      </c>
      <c r="H2072" s="11" t="s">
        <v>5922</v>
      </c>
      <c r="I2072" s="11" t="s">
        <v>5921</v>
      </c>
      <c r="J2072" s="11" t="s">
        <v>5921</v>
      </c>
      <c r="K2072" s="9" t="s">
        <v>25648</v>
      </c>
      <c r="L2072" s="9" t="s">
        <v>17759</v>
      </c>
      <c r="M2072" s="9" t="s">
        <v>17760</v>
      </c>
      <c r="N2072" s="9" t="s">
        <v>17746</v>
      </c>
      <c r="O2072" s="9" t="s">
        <v>29877</v>
      </c>
      <c r="P2072" s="9" t="s">
        <v>17748</v>
      </c>
      <c r="Q2072" s="11" t="s">
        <v>18080</v>
      </c>
      <c r="R2072" s="11" t="s">
        <v>18080</v>
      </c>
      <c r="S2072" s="11" t="s">
        <v>17750</v>
      </c>
    </row>
    <row r="2073" spans="1:19" x14ac:dyDescent="0.2">
      <c r="A2073" s="11" t="s">
        <v>29882</v>
      </c>
      <c r="B2073" s="9" t="s">
        <v>29883</v>
      </c>
      <c r="C2073" s="9" t="s">
        <v>29884</v>
      </c>
      <c r="D2073" s="9" t="s">
        <v>29885</v>
      </c>
      <c r="E2073" s="9" t="s">
        <v>17740</v>
      </c>
      <c r="F2073" s="9" t="s">
        <v>17741</v>
      </c>
      <c r="G2073" s="9" t="s">
        <v>17740</v>
      </c>
      <c r="H2073" s="11" t="s">
        <v>10596</v>
      </c>
      <c r="I2073" s="11" t="s">
        <v>10595</v>
      </c>
      <c r="J2073" s="11" t="s">
        <v>10595</v>
      </c>
      <c r="K2073" s="9" t="s">
        <v>6978</v>
      </c>
      <c r="L2073" s="9" t="s">
        <v>17759</v>
      </c>
      <c r="M2073" s="9" t="s">
        <v>25199</v>
      </c>
      <c r="N2073" s="9" t="s">
        <v>17746</v>
      </c>
      <c r="O2073" s="9" t="s">
        <v>29886</v>
      </c>
      <c r="P2073" s="9" t="s">
        <v>17748</v>
      </c>
      <c r="Q2073" s="11" t="s">
        <v>17780</v>
      </c>
      <c r="R2073" s="11" t="s">
        <v>17780</v>
      </c>
      <c r="S2073" s="11" t="s">
        <v>17750</v>
      </c>
    </row>
    <row r="2074" spans="1:19" x14ac:dyDescent="0.2">
      <c r="A2074" s="11" t="s">
        <v>29887</v>
      </c>
      <c r="B2074" s="9" t="s">
        <v>1687</v>
      </c>
      <c r="C2074" s="9" t="s">
        <v>29888</v>
      </c>
      <c r="D2074" s="9" t="s">
        <v>1687</v>
      </c>
      <c r="E2074" s="9" t="s">
        <v>17740</v>
      </c>
      <c r="F2074" s="9" t="s">
        <v>17741</v>
      </c>
      <c r="G2074" s="9" t="s">
        <v>17740</v>
      </c>
      <c r="H2074" s="11" t="s">
        <v>1689</v>
      </c>
      <c r="I2074" s="11" t="s">
        <v>1688</v>
      </c>
      <c r="J2074" s="11" t="s">
        <v>1688</v>
      </c>
      <c r="K2074" s="9" t="s">
        <v>29889</v>
      </c>
      <c r="L2074" s="9" t="s">
        <v>18001</v>
      </c>
      <c r="M2074" s="9" t="s">
        <v>29890</v>
      </c>
      <c r="N2074" s="9" t="s">
        <v>17746</v>
      </c>
      <c r="O2074" s="9" t="s">
        <v>22268</v>
      </c>
      <c r="P2074" s="9" t="s">
        <v>17748</v>
      </c>
      <c r="Q2074" s="11" t="s">
        <v>19026</v>
      </c>
      <c r="R2074" s="11" t="s">
        <v>19026</v>
      </c>
      <c r="S2074" s="11" t="s">
        <v>17750</v>
      </c>
    </row>
    <row r="2075" spans="1:19" x14ac:dyDescent="0.2">
      <c r="A2075" s="11" t="s">
        <v>29891</v>
      </c>
      <c r="B2075" s="9" t="s">
        <v>29892</v>
      </c>
      <c r="C2075" s="9" t="s">
        <v>29893</v>
      </c>
      <c r="D2075" s="9" t="s">
        <v>29894</v>
      </c>
      <c r="E2075" s="9" t="s">
        <v>17740</v>
      </c>
      <c r="F2075" s="9" t="s">
        <v>17741</v>
      </c>
      <c r="G2075" s="9" t="s">
        <v>17740</v>
      </c>
      <c r="H2075" s="11" t="s">
        <v>17741</v>
      </c>
      <c r="I2075" s="11" t="s">
        <v>7473</v>
      </c>
      <c r="J2075" s="11" t="s">
        <v>7473</v>
      </c>
      <c r="K2075" s="9" t="s">
        <v>29895</v>
      </c>
      <c r="L2075" s="9" t="s">
        <v>17759</v>
      </c>
      <c r="M2075" s="9" t="s">
        <v>18065</v>
      </c>
      <c r="N2075" s="9" t="s">
        <v>17746</v>
      </c>
      <c r="O2075" s="9" t="s">
        <v>22268</v>
      </c>
      <c r="P2075" s="9" t="s">
        <v>17748</v>
      </c>
      <c r="Q2075" s="11" t="s">
        <v>18080</v>
      </c>
      <c r="R2075" s="11" t="s">
        <v>18080</v>
      </c>
      <c r="S2075" s="11" t="s">
        <v>17750</v>
      </c>
    </row>
    <row r="2076" spans="1:19" x14ac:dyDescent="0.2">
      <c r="A2076" s="11" t="s">
        <v>29896</v>
      </c>
      <c r="B2076" s="9" t="s">
        <v>29897</v>
      </c>
      <c r="C2076" s="9" t="s">
        <v>29898</v>
      </c>
      <c r="D2076" s="9" t="s">
        <v>29899</v>
      </c>
      <c r="E2076" s="9" t="s">
        <v>17740</v>
      </c>
      <c r="F2076" s="9" t="s">
        <v>29900</v>
      </c>
      <c r="G2076" s="9" t="s">
        <v>17740</v>
      </c>
      <c r="H2076" s="11" t="s">
        <v>9202</v>
      </c>
      <c r="I2076" s="11" t="s">
        <v>9201</v>
      </c>
      <c r="J2076" s="11" t="s">
        <v>9201</v>
      </c>
      <c r="K2076" s="9" t="s">
        <v>91</v>
      </c>
      <c r="L2076" s="9" t="s">
        <v>18001</v>
      </c>
      <c r="M2076" s="9" t="s">
        <v>29901</v>
      </c>
      <c r="N2076" s="9" t="s">
        <v>17746</v>
      </c>
      <c r="O2076" s="9" t="s">
        <v>22268</v>
      </c>
      <c r="P2076" s="9" t="s">
        <v>17748</v>
      </c>
      <c r="Q2076" s="11" t="s">
        <v>17994</v>
      </c>
      <c r="R2076" s="11" t="s">
        <v>17994</v>
      </c>
      <c r="S2076" s="11" t="s">
        <v>17750</v>
      </c>
    </row>
    <row r="2077" spans="1:19" x14ac:dyDescent="0.2">
      <c r="A2077" s="11" t="s">
        <v>29902</v>
      </c>
      <c r="B2077" s="9" t="s">
        <v>29903</v>
      </c>
      <c r="C2077" s="9" t="s">
        <v>29904</v>
      </c>
      <c r="D2077" s="9" t="s">
        <v>29905</v>
      </c>
      <c r="E2077" s="9" t="s">
        <v>17740</v>
      </c>
      <c r="F2077" s="9" t="s">
        <v>17741</v>
      </c>
      <c r="G2077" s="9" t="s">
        <v>17740</v>
      </c>
      <c r="H2077" s="11" t="s">
        <v>6128</v>
      </c>
      <c r="I2077" s="11" t="s">
        <v>6127</v>
      </c>
      <c r="J2077" s="11" t="s">
        <v>6127</v>
      </c>
      <c r="K2077" s="9" t="s">
        <v>315</v>
      </c>
      <c r="L2077" s="9" t="s">
        <v>17744</v>
      </c>
      <c r="M2077" s="9" t="s">
        <v>20970</v>
      </c>
      <c r="N2077" s="9" t="s">
        <v>17746</v>
      </c>
      <c r="O2077" s="9" t="s">
        <v>26479</v>
      </c>
      <c r="P2077" s="9" t="s">
        <v>17748</v>
      </c>
      <c r="Q2077" s="11" t="s">
        <v>17808</v>
      </c>
      <c r="R2077" s="11" t="s">
        <v>17808</v>
      </c>
      <c r="S2077" s="11" t="s">
        <v>17750</v>
      </c>
    </row>
    <row r="2078" spans="1:19" x14ac:dyDescent="0.2">
      <c r="A2078" s="11" t="s">
        <v>29906</v>
      </c>
      <c r="B2078" s="9" t="s">
        <v>29907</v>
      </c>
      <c r="C2078" s="9" t="s">
        <v>29908</v>
      </c>
      <c r="D2078" s="9" t="s">
        <v>29909</v>
      </c>
      <c r="E2078" s="9" t="s">
        <v>17740</v>
      </c>
      <c r="F2078" s="9" t="s">
        <v>17741</v>
      </c>
      <c r="G2078" s="9" t="s">
        <v>17740</v>
      </c>
      <c r="H2078" s="11" t="s">
        <v>1680</v>
      </c>
      <c r="I2078" s="11" t="s">
        <v>1679</v>
      </c>
      <c r="J2078" s="11" t="s">
        <v>1679</v>
      </c>
      <c r="K2078" s="9" t="s">
        <v>601</v>
      </c>
      <c r="L2078" s="9" t="s">
        <v>17759</v>
      </c>
      <c r="M2078" s="9" t="s">
        <v>19203</v>
      </c>
      <c r="N2078" s="9" t="s">
        <v>17746</v>
      </c>
      <c r="O2078" s="9" t="s">
        <v>1535</v>
      </c>
      <c r="P2078" s="9" t="s">
        <v>17748</v>
      </c>
      <c r="Q2078" s="11" t="s">
        <v>18306</v>
      </c>
      <c r="R2078" s="11" t="s">
        <v>18306</v>
      </c>
      <c r="S2078" s="11" t="s">
        <v>17750</v>
      </c>
    </row>
    <row r="2079" spans="1:19" x14ac:dyDescent="0.2">
      <c r="A2079" s="11" t="s">
        <v>29910</v>
      </c>
      <c r="B2079" s="9" t="s">
        <v>29911</v>
      </c>
      <c r="C2079" s="9" t="s">
        <v>29912</v>
      </c>
      <c r="D2079" s="9" t="s">
        <v>29913</v>
      </c>
      <c r="E2079" s="9" t="s">
        <v>17740</v>
      </c>
      <c r="F2079" s="9" t="s">
        <v>29914</v>
      </c>
      <c r="G2079" s="9" t="s">
        <v>17740</v>
      </c>
      <c r="H2079" s="11" t="s">
        <v>17741</v>
      </c>
      <c r="I2079" s="11" t="s">
        <v>29915</v>
      </c>
      <c r="J2079" s="11" t="s">
        <v>29915</v>
      </c>
      <c r="K2079" s="9" t="s">
        <v>29916</v>
      </c>
      <c r="L2079" s="9" t="s">
        <v>17759</v>
      </c>
      <c r="M2079" s="9" t="s">
        <v>17769</v>
      </c>
      <c r="N2079" s="9" t="s">
        <v>17746</v>
      </c>
      <c r="O2079" s="9" t="s">
        <v>18340</v>
      </c>
      <c r="P2079" s="9" t="s">
        <v>17748</v>
      </c>
      <c r="Q2079" s="11" t="s">
        <v>19026</v>
      </c>
      <c r="R2079" s="11" t="s">
        <v>19026</v>
      </c>
      <c r="S2079" s="11" t="s">
        <v>17750</v>
      </c>
    </row>
    <row r="2080" spans="1:19" x14ac:dyDescent="0.2">
      <c r="A2080" s="11" t="s">
        <v>29917</v>
      </c>
      <c r="B2080" s="9" t="s">
        <v>29918</v>
      </c>
      <c r="C2080" s="9" t="s">
        <v>29919</v>
      </c>
      <c r="D2080" s="9" t="s">
        <v>29920</v>
      </c>
      <c r="E2080" s="9" t="s">
        <v>17740</v>
      </c>
      <c r="F2080" s="9" t="s">
        <v>17741</v>
      </c>
      <c r="G2080" s="9" t="s">
        <v>17740</v>
      </c>
      <c r="H2080" s="11" t="s">
        <v>1705</v>
      </c>
      <c r="I2080" s="11" t="s">
        <v>1704</v>
      </c>
      <c r="J2080" s="11" t="s">
        <v>1704</v>
      </c>
      <c r="K2080" s="9" t="s">
        <v>29921</v>
      </c>
      <c r="L2080" s="9" t="s">
        <v>17759</v>
      </c>
      <c r="M2080" s="9" t="s">
        <v>17769</v>
      </c>
      <c r="N2080" s="9" t="s">
        <v>17746</v>
      </c>
      <c r="O2080" s="9" t="s">
        <v>29922</v>
      </c>
      <c r="P2080" s="9" t="s">
        <v>17748</v>
      </c>
      <c r="Q2080" s="11" t="s">
        <v>18251</v>
      </c>
      <c r="R2080" s="11" t="s">
        <v>18251</v>
      </c>
      <c r="S2080" s="11" t="s">
        <v>17750</v>
      </c>
    </row>
    <row r="2081" spans="1:19" x14ac:dyDescent="0.2">
      <c r="A2081" s="11" t="s">
        <v>29923</v>
      </c>
      <c r="B2081" s="9" t="s">
        <v>29924</v>
      </c>
      <c r="C2081" s="9" t="s">
        <v>29925</v>
      </c>
      <c r="D2081" s="9" t="s">
        <v>29926</v>
      </c>
      <c r="E2081" s="9" t="s">
        <v>17740</v>
      </c>
      <c r="F2081" s="9" t="s">
        <v>17741</v>
      </c>
      <c r="G2081" s="9" t="s">
        <v>17740</v>
      </c>
      <c r="H2081" s="11" t="s">
        <v>17741</v>
      </c>
      <c r="I2081" s="11" t="s">
        <v>5193</v>
      </c>
      <c r="J2081" s="11" t="s">
        <v>5193</v>
      </c>
      <c r="K2081" s="9" t="s">
        <v>29927</v>
      </c>
      <c r="L2081" s="9" t="s">
        <v>18577</v>
      </c>
      <c r="M2081" s="9" t="s">
        <v>17778</v>
      </c>
      <c r="N2081" s="9" t="s">
        <v>17746</v>
      </c>
      <c r="O2081" s="9" t="s">
        <v>29928</v>
      </c>
      <c r="P2081" s="9" t="s">
        <v>17748</v>
      </c>
      <c r="Q2081" s="11" t="s">
        <v>19515</v>
      </c>
      <c r="R2081" s="11" t="s">
        <v>19515</v>
      </c>
      <c r="S2081" s="11" t="s">
        <v>17750</v>
      </c>
    </row>
    <row r="2082" spans="1:19" x14ac:dyDescent="0.2">
      <c r="A2082" s="11" t="s">
        <v>29929</v>
      </c>
      <c r="B2082" s="9" t="s">
        <v>29930</v>
      </c>
      <c r="C2082" s="9" t="s">
        <v>29931</v>
      </c>
      <c r="D2082" s="9" t="s">
        <v>29932</v>
      </c>
      <c r="E2082" s="9" t="s">
        <v>17748</v>
      </c>
      <c r="F2082" s="9" t="s">
        <v>29933</v>
      </c>
      <c r="G2082" s="9" t="s">
        <v>17740</v>
      </c>
      <c r="H2082" s="11" t="s">
        <v>11767</v>
      </c>
      <c r="I2082" s="11" t="s">
        <v>11766</v>
      </c>
      <c r="J2082" s="11" t="s">
        <v>11766</v>
      </c>
      <c r="K2082" s="9" t="s">
        <v>1808</v>
      </c>
      <c r="L2082" s="9" t="s">
        <v>18242</v>
      </c>
      <c r="M2082" s="9" t="s">
        <v>17817</v>
      </c>
      <c r="N2082" s="9" t="s">
        <v>17746</v>
      </c>
      <c r="O2082" s="9" t="s">
        <v>20761</v>
      </c>
      <c r="P2082" s="9" t="s">
        <v>17748</v>
      </c>
      <c r="Q2082" s="11" t="s">
        <v>17917</v>
      </c>
      <c r="R2082" s="11" t="s">
        <v>17917</v>
      </c>
      <c r="S2082" s="11" t="s">
        <v>17750</v>
      </c>
    </row>
    <row r="2083" spans="1:19" x14ac:dyDescent="0.2">
      <c r="A2083" s="11" t="s">
        <v>29934</v>
      </c>
      <c r="B2083" s="9" t="s">
        <v>29935</v>
      </c>
      <c r="C2083" s="9" t="s">
        <v>29936</v>
      </c>
      <c r="D2083" s="9" t="s">
        <v>29937</v>
      </c>
      <c r="E2083" s="9" t="s">
        <v>17740</v>
      </c>
      <c r="F2083" s="9" t="s">
        <v>17741</v>
      </c>
      <c r="G2083" s="9" t="s">
        <v>17740</v>
      </c>
      <c r="H2083" s="11" t="s">
        <v>4278</v>
      </c>
      <c r="I2083" s="11" t="s">
        <v>4277</v>
      </c>
      <c r="J2083" s="11" t="s">
        <v>4277</v>
      </c>
      <c r="K2083" s="9" t="s">
        <v>1307</v>
      </c>
      <c r="L2083" s="9" t="s">
        <v>17759</v>
      </c>
      <c r="M2083" s="9" t="s">
        <v>19571</v>
      </c>
      <c r="N2083" s="9" t="s">
        <v>17746</v>
      </c>
      <c r="O2083" s="9" t="s">
        <v>22268</v>
      </c>
      <c r="P2083" s="9" t="s">
        <v>17748</v>
      </c>
      <c r="Q2083" s="11" t="s">
        <v>18364</v>
      </c>
      <c r="R2083" s="11" t="s">
        <v>18364</v>
      </c>
      <c r="S2083" s="11" t="s">
        <v>17750</v>
      </c>
    </row>
    <row r="2084" spans="1:19" x14ac:dyDescent="0.2">
      <c r="A2084" s="11" t="s">
        <v>29938</v>
      </c>
      <c r="B2084" s="9" t="s">
        <v>29939</v>
      </c>
      <c r="C2084" s="9" t="s">
        <v>29940</v>
      </c>
      <c r="D2084" s="9" t="s">
        <v>29941</v>
      </c>
      <c r="E2084" s="9" t="s">
        <v>17748</v>
      </c>
      <c r="F2084" s="9" t="s">
        <v>29942</v>
      </c>
      <c r="G2084" s="9" t="s">
        <v>17740</v>
      </c>
      <c r="H2084" s="11" t="s">
        <v>7178</v>
      </c>
      <c r="I2084" s="11" t="s">
        <v>7177</v>
      </c>
      <c r="J2084" s="11" t="s">
        <v>7177</v>
      </c>
      <c r="K2084" s="9" t="s">
        <v>7179</v>
      </c>
      <c r="L2084" s="9" t="s">
        <v>18242</v>
      </c>
      <c r="M2084" s="9" t="s">
        <v>17769</v>
      </c>
      <c r="N2084" s="9" t="s">
        <v>17746</v>
      </c>
      <c r="O2084" s="9" t="s">
        <v>17922</v>
      </c>
      <c r="P2084" s="9" t="s">
        <v>17748</v>
      </c>
      <c r="Q2084" s="11" t="s">
        <v>18201</v>
      </c>
      <c r="R2084" s="11" t="s">
        <v>18201</v>
      </c>
      <c r="S2084" s="11" t="s">
        <v>17750</v>
      </c>
    </row>
    <row r="2085" spans="1:19" x14ac:dyDescent="0.2">
      <c r="A2085" s="11" t="s">
        <v>29943</v>
      </c>
      <c r="B2085" s="9" t="s">
        <v>29944</v>
      </c>
      <c r="C2085" s="9" t="s">
        <v>29945</v>
      </c>
      <c r="D2085" s="9" t="s">
        <v>29946</v>
      </c>
      <c r="E2085" s="9" t="s">
        <v>17740</v>
      </c>
      <c r="F2085" s="9" t="s">
        <v>17741</v>
      </c>
      <c r="G2085" s="9" t="s">
        <v>17740</v>
      </c>
      <c r="H2085" s="11" t="s">
        <v>8435</v>
      </c>
      <c r="I2085" s="11" t="s">
        <v>8434</v>
      </c>
      <c r="J2085" s="11" t="s">
        <v>8434</v>
      </c>
      <c r="K2085" s="9" t="s">
        <v>19584</v>
      </c>
      <c r="L2085" s="9" t="s">
        <v>17744</v>
      </c>
      <c r="M2085" s="9" t="s">
        <v>24600</v>
      </c>
      <c r="N2085" s="9" t="s">
        <v>17746</v>
      </c>
      <c r="O2085" s="9" t="s">
        <v>29947</v>
      </c>
      <c r="P2085" s="9" t="s">
        <v>17748</v>
      </c>
      <c r="Q2085" s="11" t="s">
        <v>23398</v>
      </c>
      <c r="R2085" s="11" t="s">
        <v>23398</v>
      </c>
      <c r="S2085" s="11" t="s">
        <v>17750</v>
      </c>
    </row>
    <row r="2086" spans="1:19" x14ac:dyDescent="0.2">
      <c r="A2086" s="11" t="s">
        <v>29948</v>
      </c>
      <c r="B2086" s="9" t="s">
        <v>29949</v>
      </c>
      <c r="C2086" s="9" t="s">
        <v>29950</v>
      </c>
      <c r="D2086" s="9" t="s">
        <v>29951</v>
      </c>
      <c r="E2086" s="9" t="s">
        <v>17740</v>
      </c>
      <c r="F2086" s="9" t="s">
        <v>17741</v>
      </c>
      <c r="G2086" s="9" t="s">
        <v>17740</v>
      </c>
      <c r="H2086" s="11" t="s">
        <v>7382</v>
      </c>
      <c r="I2086" s="11" t="s">
        <v>7381</v>
      </c>
      <c r="J2086" s="11" t="s">
        <v>7381</v>
      </c>
      <c r="K2086" s="9" t="s">
        <v>25848</v>
      </c>
      <c r="L2086" s="9" t="s">
        <v>17744</v>
      </c>
      <c r="M2086" s="9" t="s">
        <v>17817</v>
      </c>
      <c r="N2086" s="9" t="s">
        <v>17746</v>
      </c>
      <c r="O2086" s="9" t="s">
        <v>19917</v>
      </c>
      <c r="P2086" s="9" t="s">
        <v>17748</v>
      </c>
      <c r="Q2086" s="11" t="s">
        <v>18201</v>
      </c>
      <c r="R2086" s="11" t="s">
        <v>18201</v>
      </c>
      <c r="S2086" s="11" t="s">
        <v>17750</v>
      </c>
    </row>
    <row r="2087" spans="1:19" x14ac:dyDescent="0.2">
      <c r="A2087" s="11" t="s">
        <v>29952</v>
      </c>
      <c r="B2087" s="9" t="s">
        <v>29953</v>
      </c>
      <c r="C2087" s="9" t="s">
        <v>29954</v>
      </c>
      <c r="D2087" s="9" t="s">
        <v>29955</v>
      </c>
      <c r="E2087" s="9" t="s">
        <v>17740</v>
      </c>
      <c r="F2087" s="9" t="s">
        <v>17741</v>
      </c>
      <c r="G2087" s="9" t="s">
        <v>17740</v>
      </c>
      <c r="H2087" s="11" t="s">
        <v>9311</v>
      </c>
      <c r="I2087" s="11" t="s">
        <v>9310</v>
      </c>
      <c r="J2087" s="11" t="s">
        <v>9311</v>
      </c>
      <c r="K2087" s="9" t="s">
        <v>21040</v>
      </c>
      <c r="L2087" s="9" t="s">
        <v>17744</v>
      </c>
      <c r="M2087" s="9" t="s">
        <v>21005</v>
      </c>
      <c r="N2087" s="9" t="s">
        <v>17746</v>
      </c>
      <c r="O2087" s="9" t="s">
        <v>29956</v>
      </c>
      <c r="P2087" s="9" t="s">
        <v>17748</v>
      </c>
      <c r="Q2087" s="11" t="s">
        <v>17994</v>
      </c>
      <c r="R2087" s="11" t="s">
        <v>17994</v>
      </c>
      <c r="S2087" s="11" t="s">
        <v>17750</v>
      </c>
    </row>
    <row r="2088" spans="1:19" x14ac:dyDescent="0.2">
      <c r="A2088" s="11" t="s">
        <v>29957</v>
      </c>
      <c r="B2088" s="9" t="s">
        <v>29958</v>
      </c>
      <c r="C2088" s="9" t="s">
        <v>29959</v>
      </c>
      <c r="D2088" s="9" t="s">
        <v>29960</v>
      </c>
      <c r="E2088" s="9" t="s">
        <v>17740</v>
      </c>
      <c r="F2088" s="9" t="s">
        <v>17741</v>
      </c>
      <c r="G2088" s="9" t="s">
        <v>17740</v>
      </c>
      <c r="H2088" s="11" t="s">
        <v>5101</v>
      </c>
      <c r="I2088" s="11" t="s">
        <v>5100</v>
      </c>
      <c r="J2088" s="11" t="s">
        <v>5100</v>
      </c>
      <c r="K2088" s="9" t="s">
        <v>19094</v>
      </c>
      <c r="L2088" s="9" t="s">
        <v>17759</v>
      </c>
      <c r="M2088" s="9" t="s">
        <v>29961</v>
      </c>
      <c r="N2088" s="9" t="s">
        <v>17746</v>
      </c>
      <c r="O2088" s="9" t="s">
        <v>29962</v>
      </c>
      <c r="P2088" s="9" t="s">
        <v>17748</v>
      </c>
      <c r="Q2088" s="11" t="s">
        <v>17819</v>
      </c>
      <c r="R2088" s="11" t="s">
        <v>17819</v>
      </c>
      <c r="S2088" s="11" t="s">
        <v>17750</v>
      </c>
    </row>
    <row r="2089" spans="1:19" x14ac:dyDescent="0.2">
      <c r="A2089" s="11" t="s">
        <v>29963</v>
      </c>
      <c r="B2089" s="9" t="s">
        <v>29964</v>
      </c>
      <c r="C2089" s="9" t="s">
        <v>29965</v>
      </c>
      <c r="D2089" s="9" t="s">
        <v>8379</v>
      </c>
      <c r="E2089" s="9" t="s">
        <v>17748</v>
      </c>
      <c r="F2089" s="9" t="s">
        <v>29966</v>
      </c>
      <c r="G2089" s="9" t="s">
        <v>17740</v>
      </c>
      <c r="H2089" s="11" t="s">
        <v>8381</v>
      </c>
      <c r="I2089" s="11" t="s">
        <v>8380</v>
      </c>
      <c r="J2089" s="11" t="s">
        <v>8380</v>
      </c>
      <c r="K2089" s="9" t="s">
        <v>19094</v>
      </c>
      <c r="L2089" s="9" t="s">
        <v>17759</v>
      </c>
      <c r="M2089" s="9" t="s">
        <v>17817</v>
      </c>
      <c r="N2089" s="9" t="s">
        <v>17746</v>
      </c>
      <c r="O2089" s="9" t="s">
        <v>22268</v>
      </c>
      <c r="P2089" s="9" t="s">
        <v>17748</v>
      </c>
      <c r="Q2089" s="11" t="s">
        <v>17784</v>
      </c>
      <c r="R2089" s="11" t="s">
        <v>17784</v>
      </c>
      <c r="S2089" s="11" t="s">
        <v>17750</v>
      </c>
    </row>
    <row r="2090" spans="1:19" x14ac:dyDescent="0.2">
      <c r="A2090" s="11" t="s">
        <v>29967</v>
      </c>
      <c r="B2090" s="9" t="s">
        <v>29968</v>
      </c>
      <c r="C2090" s="9" t="s">
        <v>29969</v>
      </c>
      <c r="D2090" s="9" t="s">
        <v>29970</v>
      </c>
      <c r="E2090" s="9" t="s">
        <v>17740</v>
      </c>
      <c r="F2090" s="9" t="s">
        <v>29971</v>
      </c>
      <c r="G2090" s="9" t="s">
        <v>17740</v>
      </c>
      <c r="H2090" s="11" t="s">
        <v>17741</v>
      </c>
      <c r="I2090" s="11" t="s">
        <v>5159</v>
      </c>
      <c r="J2090" s="11" t="s">
        <v>5159</v>
      </c>
      <c r="K2090" s="9" t="s">
        <v>29972</v>
      </c>
      <c r="L2090" s="9" t="s">
        <v>18123</v>
      </c>
      <c r="M2090" s="9" t="s">
        <v>17778</v>
      </c>
      <c r="N2090" s="9" t="s">
        <v>17746</v>
      </c>
      <c r="O2090" s="9" t="s">
        <v>29973</v>
      </c>
      <c r="P2090" s="9" t="s">
        <v>17748</v>
      </c>
      <c r="Q2090" s="11" t="s">
        <v>17749</v>
      </c>
      <c r="R2090" s="11" t="s">
        <v>17749</v>
      </c>
      <c r="S2090" s="11" t="s">
        <v>17750</v>
      </c>
    </row>
    <row r="2091" spans="1:19" x14ac:dyDescent="0.2">
      <c r="A2091" s="11" t="s">
        <v>29974</v>
      </c>
      <c r="B2091" s="9" t="s">
        <v>29975</v>
      </c>
      <c r="C2091" s="9" t="s">
        <v>29976</v>
      </c>
      <c r="D2091" s="9" t="s">
        <v>29977</v>
      </c>
      <c r="E2091" s="9" t="s">
        <v>17740</v>
      </c>
      <c r="F2091" s="9" t="s">
        <v>17741</v>
      </c>
      <c r="G2091" s="9" t="s">
        <v>17740</v>
      </c>
      <c r="H2091" s="11" t="s">
        <v>17741</v>
      </c>
      <c r="I2091" s="11" t="s">
        <v>29978</v>
      </c>
      <c r="J2091" s="11" t="s">
        <v>29978</v>
      </c>
      <c r="K2091" s="9" t="s">
        <v>29979</v>
      </c>
      <c r="L2091" s="9" t="s">
        <v>17759</v>
      </c>
      <c r="M2091" s="9" t="s">
        <v>18745</v>
      </c>
      <c r="N2091" s="9" t="s">
        <v>17746</v>
      </c>
      <c r="O2091" s="9" t="s">
        <v>29980</v>
      </c>
      <c r="P2091" s="9" t="s">
        <v>17748</v>
      </c>
      <c r="Q2091" s="11" t="s">
        <v>18251</v>
      </c>
      <c r="R2091" s="11" t="s">
        <v>18251</v>
      </c>
      <c r="S2091" s="11" t="s">
        <v>17750</v>
      </c>
    </row>
    <row r="2092" spans="1:19" x14ac:dyDescent="0.2">
      <c r="A2092" s="11" t="s">
        <v>29981</v>
      </c>
      <c r="B2092" s="9" t="s">
        <v>29982</v>
      </c>
      <c r="C2092" s="9" t="s">
        <v>29983</v>
      </c>
      <c r="D2092" s="9" t="s">
        <v>29984</v>
      </c>
      <c r="E2092" s="9" t="s">
        <v>17740</v>
      </c>
      <c r="F2092" s="9" t="s">
        <v>17741</v>
      </c>
      <c r="G2092" s="9" t="s">
        <v>17740</v>
      </c>
      <c r="H2092" s="11" t="s">
        <v>1696</v>
      </c>
      <c r="I2092" s="11" t="s">
        <v>1695</v>
      </c>
      <c r="J2092" s="11" t="s">
        <v>1695</v>
      </c>
      <c r="K2092" s="9" t="s">
        <v>19094</v>
      </c>
      <c r="L2092" s="9" t="s">
        <v>17759</v>
      </c>
      <c r="M2092" s="9" t="s">
        <v>21289</v>
      </c>
      <c r="N2092" s="9" t="s">
        <v>17746</v>
      </c>
      <c r="O2092" s="9" t="s">
        <v>29985</v>
      </c>
      <c r="P2092" s="9" t="s">
        <v>17748</v>
      </c>
      <c r="Q2092" s="11" t="s">
        <v>18341</v>
      </c>
      <c r="R2092" s="11" t="s">
        <v>18341</v>
      </c>
      <c r="S2092" s="11" t="s">
        <v>17750</v>
      </c>
    </row>
    <row r="2093" spans="1:19" x14ac:dyDescent="0.2">
      <c r="A2093" s="11" t="s">
        <v>29986</v>
      </c>
      <c r="B2093" s="9" t="s">
        <v>29987</v>
      </c>
      <c r="C2093" s="9" t="s">
        <v>29988</v>
      </c>
      <c r="D2093" s="9" t="s">
        <v>29989</v>
      </c>
      <c r="E2093" s="9" t="s">
        <v>17748</v>
      </c>
      <c r="F2093" s="9" t="s">
        <v>29990</v>
      </c>
      <c r="G2093" s="9" t="s">
        <v>17740</v>
      </c>
      <c r="H2093" s="11" t="s">
        <v>13644</v>
      </c>
      <c r="I2093" s="11" t="s">
        <v>13643</v>
      </c>
      <c r="J2093" s="11" t="s">
        <v>17741</v>
      </c>
      <c r="K2093" s="9" t="s">
        <v>19180</v>
      </c>
      <c r="L2093" s="9" t="s">
        <v>17759</v>
      </c>
      <c r="M2093" s="9" t="s">
        <v>29991</v>
      </c>
      <c r="N2093" s="9" t="s">
        <v>17746</v>
      </c>
      <c r="O2093" s="9" t="s">
        <v>27515</v>
      </c>
      <c r="P2093" s="9" t="s">
        <v>17748</v>
      </c>
      <c r="Q2093" s="11" t="s">
        <v>17825</v>
      </c>
      <c r="R2093" s="11" t="s">
        <v>17825</v>
      </c>
      <c r="S2093" s="11" t="s">
        <v>17750</v>
      </c>
    </row>
    <row r="2094" spans="1:19" x14ac:dyDescent="0.2">
      <c r="A2094" s="11" t="s">
        <v>29992</v>
      </c>
      <c r="B2094" s="9" t="s">
        <v>29993</v>
      </c>
      <c r="C2094" s="9" t="s">
        <v>29994</v>
      </c>
      <c r="D2094" s="9" t="s">
        <v>29993</v>
      </c>
      <c r="E2094" s="9" t="s">
        <v>17740</v>
      </c>
      <c r="F2094" s="9" t="s">
        <v>17741</v>
      </c>
      <c r="G2094" s="9" t="s">
        <v>17740</v>
      </c>
      <c r="H2094" s="11" t="s">
        <v>29995</v>
      </c>
      <c r="I2094" s="11" t="s">
        <v>29996</v>
      </c>
      <c r="J2094" s="11" t="s">
        <v>29996</v>
      </c>
      <c r="K2094" s="9" t="s">
        <v>21011</v>
      </c>
      <c r="L2094" s="9" t="s">
        <v>18001</v>
      </c>
      <c r="M2094" s="9" t="s">
        <v>29997</v>
      </c>
      <c r="N2094" s="9" t="s">
        <v>17746</v>
      </c>
      <c r="O2094" s="9" t="s">
        <v>1690</v>
      </c>
      <c r="P2094" s="9" t="s">
        <v>17748</v>
      </c>
      <c r="Q2094" s="11" t="s">
        <v>29998</v>
      </c>
      <c r="R2094" s="11" t="s">
        <v>29998</v>
      </c>
      <c r="S2094" s="11" t="s">
        <v>17750</v>
      </c>
    </row>
    <row r="2095" spans="1:19" x14ac:dyDescent="0.2">
      <c r="A2095" s="11" t="s">
        <v>29999</v>
      </c>
      <c r="B2095" s="9" t="s">
        <v>1690</v>
      </c>
      <c r="C2095" s="9" t="s">
        <v>30000</v>
      </c>
      <c r="D2095" s="9" t="s">
        <v>1690</v>
      </c>
      <c r="E2095" s="9" t="s">
        <v>17740</v>
      </c>
      <c r="F2095" s="9" t="s">
        <v>17741</v>
      </c>
      <c r="G2095" s="9" t="s">
        <v>17740</v>
      </c>
      <c r="H2095" s="11" t="s">
        <v>1692</v>
      </c>
      <c r="I2095" s="11" t="s">
        <v>1691</v>
      </c>
      <c r="J2095" s="11" t="s">
        <v>1691</v>
      </c>
      <c r="K2095" s="9" t="s">
        <v>30001</v>
      </c>
      <c r="L2095" s="9" t="s">
        <v>17759</v>
      </c>
      <c r="M2095" s="9" t="s">
        <v>17817</v>
      </c>
      <c r="N2095" s="9" t="s">
        <v>17746</v>
      </c>
      <c r="O2095" s="9" t="s">
        <v>1690</v>
      </c>
      <c r="P2095" s="9" t="s">
        <v>17748</v>
      </c>
      <c r="Q2095" s="11" t="s">
        <v>19349</v>
      </c>
      <c r="R2095" s="11" t="s">
        <v>19349</v>
      </c>
      <c r="S2095" s="11" t="s">
        <v>17750</v>
      </c>
    </row>
    <row r="2096" spans="1:19" x14ac:dyDescent="0.2">
      <c r="A2096" s="11" t="s">
        <v>30002</v>
      </c>
      <c r="B2096" s="9" t="s">
        <v>30003</v>
      </c>
      <c r="C2096" s="9" t="s">
        <v>30004</v>
      </c>
      <c r="D2096" s="9" t="s">
        <v>30005</v>
      </c>
      <c r="E2096" s="9" t="s">
        <v>17740</v>
      </c>
      <c r="F2096" s="9" t="s">
        <v>17741</v>
      </c>
      <c r="G2096" s="9" t="s">
        <v>17740</v>
      </c>
      <c r="H2096" s="11" t="s">
        <v>10155</v>
      </c>
      <c r="I2096" s="11" t="s">
        <v>17741</v>
      </c>
      <c r="J2096" s="11" t="s">
        <v>10155</v>
      </c>
      <c r="K2096" s="9" t="s">
        <v>30006</v>
      </c>
      <c r="L2096" s="9" t="s">
        <v>18058</v>
      </c>
      <c r="M2096" s="9" t="s">
        <v>17760</v>
      </c>
      <c r="N2096" s="9" t="s">
        <v>17746</v>
      </c>
      <c r="O2096" s="9" t="s">
        <v>27515</v>
      </c>
      <c r="P2096" s="9" t="s">
        <v>17748</v>
      </c>
      <c r="Q2096" s="11" t="s">
        <v>17994</v>
      </c>
      <c r="R2096" s="11" t="s">
        <v>17994</v>
      </c>
      <c r="S2096" s="11" t="s">
        <v>17750</v>
      </c>
    </row>
    <row r="2097" spans="1:19" x14ac:dyDescent="0.2">
      <c r="A2097" s="11" t="s">
        <v>30007</v>
      </c>
      <c r="B2097" s="9" t="s">
        <v>30008</v>
      </c>
      <c r="C2097" s="9" t="s">
        <v>30009</v>
      </c>
      <c r="D2097" s="9" t="s">
        <v>30010</v>
      </c>
      <c r="E2097" s="9" t="s">
        <v>17740</v>
      </c>
      <c r="F2097" s="9" t="s">
        <v>17741</v>
      </c>
      <c r="G2097" s="9" t="s">
        <v>17740</v>
      </c>
      <c r="H2097" s="11" t="s">
        <v>8059</v>
      </c>
      <c r="I2097" s="11" t="s">
        <v>8058</v>
      </c>
      <c r="J2097" s="11" t="s">
        <v>8058</v>
      </c>
      <c r="K2097" s="9" t="s">
        <v>315</v>
      </c>
      <c r="L2097" s="9" t="s">
        <v>17759</v>
      </c>
      <c r="M2097" s="9" t="s">
        <v>17769</v>
      </c>
      <c r="N2097" s="9" t="s">
        <v>17746</v>
      </c>
      <c r="O2097" s="9" t="s">
        <v>18846</v>
      </c>
      <c r="P2097" s="9" t="s">
        <v>17748</v>
      </c>
      <c r="Q2097" s="11" t="s">
        <v>18798</v>
      </c>
      <c r="R2097" s="11" t="s">
        <v>18798</v>
      </c>
      <c r="S2097" s="11" t="s">
        <v>17750</v>
      </c>
    </row>
    <row r="2098" spans="1:19" x14ac:dyDescent="0.2">
      <c r="A2098" s="11" t="s">
        <v>30011</v>
      </c>
      <c r="B2098" s="9" t="s">
        <v>30012</v>
      </c>
      <c r="C2098" s="9" t="s">
        <v>30013</v>
      </c>
      <c r="D2098" s="9" t="s">
        <v>30014</v>
      </c>
      <c r="E2098" s="9" t="s">
        <v>17748</v>
      </c>
      <c r="F2098" s="9" t="s">
        <v>30015</v>
      </c>
      <c r="G2098" s="9" t="s">
        <v>17740</v>
      </c>
      <c r="H2098" s="11" t="s">
        <v>12519</v>
      </c>
      <c r="I2098" s="11" t="s">
        <v>12518</v>
      </c>
      <c r="J2098" s="11" t="s">
        <v>17741</v>
      </c>
      <c r="K2098" s="9" t="s">
        <v>724</v>
      </c>
      <c r="L2098" s="9" t="s">
        <v>17744</v>
      </c>
      <c r="M2098" s="9" t="s">
        <v>17769</v>
      </c>
      <c r="N2098" s="9" t="s">
        <v>17746</v>
      </c>
      <c r="O2098" s="9" t="s">
        <v>1690</v>
      </c>
      <c r="P2098" s="9" t="s">
        <v>17748</v>
      </c>
      <c r="Q2098" s="11" t="s">
        <v>18370</v>
      </c>
      <c r="R2098" s="11" t="s">
        <v>18370</v>
      </c>
      <c r="S2098" s="11" t="s">
        <v>17750</v>
      </c>
    </row>
    <row r="2099" spans="1:19" x14ac:dyDescent="0.2">
      <c r="A2099" s="11" t="s">
        <v>30016</v>
      </c>
      <c r="B2099" s="9" t="s">
        <v>30017</v>
      </c>
      <c r="C2099" s="9" t="s">
        <v>30018</v>
      </c>
      <c r="D2099" s="9" t="s">
        <v>30019</v>
      </c>
      <c r="E2099" s="9" t="s">
        <v>17748</v>
      </c>
      <c r="F2099" s="9" t="s">
        <v>30020</v>
      </c>
      <c r="G2099" s="9" t="s">
        <v>17740</v>
      </c>
      <c r="H2099" s="11" t="s">
        <v>30021</v>
      </c>
      <c r="I2099" s="11" t="s">
        <v>30022</v>
      </c>
      <c r="J2099" s="11" t="s">
        <v>30022</v>
      </c>
      <c r="K2099" s="9" t="s">
        <v>18570</v>
      </c>
      <c r="L2099" s="9" t="s">
        <v>20359</v>
      </c>
      <c r="M2099" s="9" t="s">
        <v>30023</v>
      </c>
      <c r="N2099" s="9" t="s">
        <v>17746</v>
      </c>
      <c r="O2099" s="9" t="s">
        <v>30024</v>
      </c>
      <c r="P2099" s="9" t="s">
        <v>17748</v>
      </c>
      <c r="Q2099" s="11" t="s">
        <v>17819</v>
      </c>
      <c r="R2099" s="11" t="s">
        <v>17819</v>
      </c>
      <c r="S2099" s="11" t="s">
        <v>17750</v>
      </c>
    </row>
    <row r="2100" spans="1:19" x14ac:dyDescent="0.2">
      <c r="A2100" s="11" t="s">
        <v>30025</v>
      </c>
      <c r="B2100" s="9" t="s">
        <v>30026</v>
      </c>
      <c r="C2100" s="9" t="s">
        <v>30027</v>
      </c>
      <c r="D2100" s="9" t="s">
        <v>30026</v>
      </c>
      <c r="E2100" s="9" t="s">
        <v>17740</v>
      </c>
      <c r="F2100" s="9" t="s">
        <v>17741</v>
      </c>
      <c r="G2100" s="9" t="s">
        <v>17740</v>
      </c>
      <c r="H2100" s="11" t="s">
        <v>17741</v>
      </c>
      <c r="I2100" s="11" t="s">
        <v>30028</v>
      </c>
      <c r="J2100" s="11" t="s">
        <v>30028</v>
      </c>
      <c r="K2100" s="9" t="s">
        <v>22405</v>
      </c>
      <c r="L2100" s="9" t="s">
        <v>18854</v>
      </c>
      <c r="M2100" s="9" t="s">
        <v>17817</v>
      </c>
      <c r="N2100" s="9" t="s">
        <v>20237</v>
      </c>
      <c r="O2100" s="9" t="s">
        <v>1690</v>
      </c>
      <c r="P2100" s="9" t="s">
        <v>17748</v>
      </c>
      <c r="Q2100" s="11" t="s">
        <v>20251</v>
      </c>
      <c r="R2100" s="11" t="s">
        <v>20251</v>
      </c>
      <c r="S2100" s="11" t="s">
        <v>17750</v>
      </c>
    </row>
    <row r="2101" spans="1:19" x14ac:dyDescent="0.2">
      <c r="A2101" s="11" t="s">
        <v>30029</v>
      </c>
      <c r="B2101" s="9" t="s">
        <v>30030</v>
      </c>
      <c r="C2101" s="9" t="s">
        <v>30031</v>
      </c>
      <c r="D2101" s="9" t="s">
        <v>30032</v>
      </c>
      <c r="E2101" s="9" t="s">
        <v>17740</v>
      </c>
      <c r="F2101" s="9" t="s">
        <v>30033</v>
      </c>
      <c r="G2101" s="9" t="s">
        <v>17740</v>
      </c>
      <c r="H2101" s="11" t="s">
        <v>30034</v>
      </c>
      <c r="I2101" s="11" t="s">
        <v>30035</v>
      </c>
      <c r="J2101" s="11" t="s">
        <v>30035</v>
      </c>
      <c r="K2101" s="9" t="s">
        <v>21138</v>
      </c>
      <c r="L2101" s="9" t="s">
        <v>18959</v>
      </c>
      <c r="M2101" s="9" t="s">
        <v>28372</v>
      </c>
      <c r="N2101" s="9" t="s">
        <v>17746</v>
      </c>
      <c r="O2101" s="9" t="s">
        <v>1690</v>
      </c>
      <c r="P2101" s="9" t="s">
        <v>17748</v>
      </c>
      <c r="Q2101" s="11" t="s">
        <v>18364</v>
      </c>
      <c r="R2101" s="11" t="s">
        <v>18364</v>
      </c>
      <c r="S2101" s="11" t="s">
        <v>17750</v>
      </c>
    </row>
    <row r="2102" spans="1:19" x14ac:dyDescent="0.2">
      <c r="A2102" s="11" t="s">
        <v>30036</v>
      </c>
      <c r="B2102" s="9" t="s">
        <v>30037</v>
      </c>
      <c r="C2102" s="9" t="s">
        <v>30038</v>
      </c>
      <c r="D2102" s="9" t="s">
        <v>30039</v>
      </c>
      <c r="E2102" s="9" t="s">
        <v>17740</v>
      </c>
      <c r="F2102" s="9" t="s">
        <v>17741</v>
      </c>
      <c r="G2102" s="9" t="s">
        <v>17740</v>
      </c>
      <c r="H2102" s="11" t="s">
        <v>30040</v>
      </c>
      <c r="I2102" s="11" t="s">
        <v>30041</v>
      </c>
      <c r="J2102" s="11" t="s">
        <v>30041</v>
      </c>
      <c r="K2102" s="9" t="s">
        <v>23433</v>
      </c>
      <c r="L2102" s="9" t="s">
        <v>17744</v>
      </c>
      <c r="M2102" s="9" t="s">
        <v>17817</v>
      </c>
      <c r="N2102" s="9" t="s">
        <v>17746</v>
      </c>
      <c r="O2102" s="9" t="s">
        <v>1690</v>
      </c>
      <c r="P2102" s="9" t="s">
        <v>17748</v>
      </c>
      <c r="Q2102" s="11" t="s">
        <v>17784</v>
      </c>
      <c r="R2102" s="11" t="s">
        <v>17784</v>
      </c>
      <c r="S2102" s="11" t="s">
        <v>17750</v>
      </c>
    </row>
    <row r="2103" spans="1:19" x14ac:dyDescent="0.2">
      <c r="A2103" s="11" t="s">
        <v>30042</v>
      </c>
      <c r="B2103" s="9" t="s">
        <v>30043</v>
      </c>
      <c r="C2103" s="9" t="s">
        <v>30044</v>
      </c>
      <c r="D2103" s="9" t="s">
        <v>30045</v>
      </c>
      <c r="E2103" s="9" t="s">
        <v>17740</v>
      </c>
      <c r="F2103" s="9" t="s">
        <v>17741</v>
      </c>
      <c r="G2103" s="9" t="s">
        <v>17740</v>
      </c>
      <c r="H2103" s="11" t="s">
        <v>30046</v>
      </c>
      <c r="I2103" s="11" t="s">
        <v>17741</v>
      </c>
      <c r="J2103" s="11" t="s">
        <v>30046</v>
      </c>
      <c r="K2103" s="9" t="s">
        <v>55</v>
      </c>
      <c r="L2103" s="9" t="s">
        <v>17744</v>
      </c>
      <c r="M2103" s="9" t="s">
        <v>17741</v>
      </c>
      <c r="N2103" s="9" t="s">
        <v>17746</v>
      </c>
      <c r="O2103" s="9" t="s">
        <v>30047</v>
      </c>
      <c r="P2103" s="9" t="s">
        <v>17748</v>
      </c>
      <c r="Q2103" s="11" t="s">
        <v>17825</v>
      </c>
      <c r="R2103" s="11" t="s">
        <v>17825</v>
      </c>
      <c r="S2103" s="11" t="s">
        <v>17750</v>
      </c>
    </row>
    <row r="2104" spans="1:19" x14ac:dyDescent="0.2">
      <c r="A2104" s="11" t="s">
        <v>30048</v>
      </c>
      <c r="B2104" s="9" t="s">
        <v>30049</v>
      </c>
      <c r="C2104" s="9" t="s">
        <v>30050</v>
      </c>
      <c r="D2104" s="9" t="s">
        <v>30051</v>
      </c>
      <c r="E2104" s="9" t="s">
        <v>17740</v>
      </c>
      <c r="F2104" s="9" t="s">
        <v>17741</v>
      </c>
      <c r="G2104" s="9" t="s">
        <v>17740</v>
      </c>
      <c r="H2104" s="11" t="s">
        <v>11861</v>
      </c>
      <c r="I2104" s="11" t="s">
        <v>11860</v>
      </c>
      <c r="J2104" s="11" t="s">
        <v>11860</v>
      </c>
      <c r="K2104" s="9" t="s">
        <v>22922</v>
      </c>
      <c r="L2104" s="9" t="s">
        <v>18123</v>
      </c>
      <c r="M2104" s="9" t="s">
        <v>17741</v>
      </c>
      <c r="N2104" s="9" t="s">
        <v>17746</v>
      </c>
      <c r="O2104" s="9" t="s">
        <v>1690</v>
      </c>
      <c r="P2104" s="9" t="s">
        <v>17748</v>
      </c>
      <c r="Q2104" s="11" t="s">
        <v>17762</v>
      </c>
      <c r="R2104" s="11" t="s">
        <v>17762</v>
      </c>
      <c r="S2104" s="11" t="s">
        <v>17750</v>
      </c>
    </row>
    <row r="2105" spans="1:19" x14ac:dyDescent="0.2">
      <c r="A2105" s="11" t="s">
        <v>30052</v>
      </c>
      <c r="B2105" s="9" t="s">
        <v>30053</v>
      </c>
      <c r="C2105" s="9" t="s">
        <v>30054</v>
      </c>
      <c r="D2105" s="9" t="s">
        <v>30055</v>
      </c>
      <c r="E2105" s="9" t="s">
        <v>17748</v>
      </c>
      <c r="F2105" s="9" t="s">
        <v>30056</v>
      </c>
      <c r="G2105" s="9" t="s">
        <v>17740</v>
      </c>
      <c r="H2105" s="11" t="s">
        <v>17741</v>
      </c>
      <c r="I2105" s="11" t="s">
        <v>30057</v>
      </c>
      <c r="J2105" s="11" t="s">
        <v>30057</v>
      </c>
      <c r="K2105" s="9" t="s">
        <v>30058</v>
      </c>
      <c r="L2105" s="9" t="s">
        <v>18242</v>
      </c>
      <c r="M2105" s="9" t="s">
        <v>20526</v>
      </c>
      <c r="N2105" s="9" t="s">
        <v>17746</v>
      </c>
      <c r="O2105" s="9" t="s">
        <v>30059</v>
      </c>
      <c r="P2105" s="9" t="s">
        <v>17748</v>
      </c>
      <c r="Q2105" s="11" t="s">
        <v>18922</v>
      </c>
      <c r="R2105" s="11" t="s">
        <v>18922</v>
      </c>
      <c r="S2105" s="11" t="s">
        <v>17750</v>
      </c>
    </row>
    <row r="2106" spans="1:19" x14ac:dyDescent="0.2">
      <c r="A2106" s="11" t="s">
        <v>30060</v>
      </c>
      <c r="B2106" s="9" t="s">
        <v>30061</v>
      </c>
      <c r="C2106" s="9" t="s">
        <v>30062</v>
      </c>
      <c r="D2106" s="9" t="s">
        <v>30063</v>
      </c>
      <c r="E2106" s="9" t="s">
        <v>17748</v>
      </c>
      <c r="F2106" s="9" t="s">
        <v>30064</v>
      </c>
      <c r="G2106" s="9" t="s">
        <v>17740</v>
      </c>
      <c r="H2106" s="11" t="s">
        <v>6871</v>
      </c>
      <c r="I2106" s="11" t="s">
        <v>6870</v>
      </c>
      <c r="J2106" s="11" t="s">
        <v>6870</v>
      </c>
      <c r="K2106" s="9" t="s">
        <v>1307</v>
      </c>
      <c r="L2106" s="9" t="s">
        <v>17759</v>
      </c>
      <c r="M2106" s="9" t="s">
        <v>17817</v>
      </c>
      <c r="N2106" s="9" t="s">
        <v>17746</v>
      </c>
      <c r="O2106" s="9" t="s">
        <v>1690</v>
      </c>
      <c r="P2106" s="9" t="s">
        <v>17748</v>
      </c>
      <c r="Q2106" s="11" t="s">
        <v>19361</v>
      </c>
      <c r="R2106" s="11" t="s">
        <v>19361</v>
      </c>
      <c r="S2106" s="11" t="s">
        <v>17750</v>
      </c>
    </row>
    <row r="2107" spans="1:19" x14ac:dyDescent="0.2">
      <c r="A2107" s="11" t="s">
        <v>30065</v>
      </c>
      <c r="B2107" s="9" t="s">
        <v>5118</v>
      </c>
      <c r="C2107" s="9" t="s">
        <v>30066</v>
      </c>
      <c r="D2107" s="9" t="s">
        <v>5118</v>
      </c>
      <c r="E2107" s="9" t="s">
        <v>17740</v>
      </c>
      <c r="F2107" s="9" t="s">
        <v>17741</v>
      </c>
      <c r="G2107" s="9" t="s">
        <v>17740</v>
      </c>
      <c r="H2107" s="11" t="s">
        <v>5120</v>
      </c>
      <c r="I2107" s="11" t="s">
        <v>5119</v>
      </c>
      <c r="J2107" s="11" t="s">
        <v>5119</v>
      </c>
      <c r="K2107" s="9" t="s">
        <v>601</v>
      </c>
      <c r="L2107" s="9" t="s">
        <v>17759</v>
      </c>
      <c r="M2107" s="9" t="s">
        <v>24536</v>
      </c>
      <c r="N2107" s="9" t="s">
        <v>17746</v>
      </c>
      <c r="O2107" s="9" t="s">
        <v>1690</v>
      </c>
      <c r="P2107" s="9" t="s">
        <v>17748</v>
      </c>
      <c r="Q2107" s="11" t="s">
        <v>18364</v>
      </c>
      <c r="R2107" s="11" t="s">
        <v>18364</v>
      </c>
      <c r="S2107" s="11" t="s">
        <v>17750</v>
      </c>
    </row>
    <row r="2108" spans="1:19" x14ac:dyDescent="0.2">
      <c r="A2108" s="11" t="s">
        <v>30067</v>
      </c>
      <c r="B2108" s="9" t="s">
        <v>30068</v>
      </c>
      <c r="C2108" s="9" t="s">
        <v>30069</v>
      </c>
      <c r="D2108" s="9" t="s">
        <v>30070</v>
      </c>
      <c r="E2108" s="9" t="s">
        <v>17740</v>
      </c>
      <c r="F2108" s="9" t="s">
        <v>30071</v>
      </c>
      <c r="G2108" s="9" t="s">
        <v>17740</v>
      </c>
      <c r="H2108" s="11" t="s">
        <v>10314</v>
      </c>
      <c r="I2108" s="11" t="s">
        <v>10313</v>
      </c>
      <c r="J2108" s="11" t="s">
        <v>10313</v>
      </c>
      <c r="K2108" s="9" t="s">
        <v>30072</v>
      </c>
      <c r="L2108" s="9" t="s">
        <v>17958</v>
      </c>
      <c r="M2108" s="9" t="s">
        <v>19714</v>
      </c>
      <c r="N2108" s="9" t="s">
        <v>17746</v>
      </c>
      <c r="O2108" s="9" t="s">
        <v>30073</v>
      </c>
      <c r="P2108" s="9" t="s">
        <v>17748</v>
      </c>
      <c r="Q2108" s="11" t="s">
        <v>17858</v>
      </c>
      <c r="R2108" s="11" t="s">
        <v>17858</v>
      </c>
      <c r="S2108" s="11" t="s">
        <v>17750</v>
      </c>
    </row>
    <row r="2109" spans="1:19" x14ac:dyDescent="0.2">
      <c r="A2109" s="11" t="s">
        <v>30074</v>
      </c>
      <c r="B2109" s="9" t="s">
        <v>30075</v>
      </c>
      <c r="C2109" s="9" t="s">
        <v>30076</v>
      </c>
      <c r="D2109" s="9" t="s">
        <v>30075</v>
      </c>
      <c r="E2109" s="9" t="s">
        <v>17740</v>
      </c>
      <c r="F2109" s="9" t="s">
        <v>17741</v>
      </c>
      <c r="G2109" s="9" t="s">
        <v>17740</v>
      </c>
      <c r="H2109" s="11" t="s">
        <v>30077</v>
      </c>
      <c r="I2109" s="11" t="s">
        <v>30078</v>
      </c>
      <c r="J2109" s="11" t="s">
        <v>30077</v>
      </c>
      <c r="K2109" s="9" t="s">
        <v>21146</v>
      </c>
      <c r="L2109" s="9" t="s">
        <v>17744</v>
      </c>
      <c r="M2109" s="9" t="s">
        <v>28364</v>
      </c>
      <c r="N2109" s="9" t="s">
        <v>17746</v>
      </c>
      <c r="O2109" s="9" t="s">
        <v>25880</v>
      </c>
      <c r="P2109" s="9" t="s">
        <v>17748</v>
      </c>
      <c r="Q2109" s="11" t="s">
        <v>17858</v>
      </c>
      <c r="R2109" s="11" t="s">
        <v>17858</v>
      </c>
      <c r="S2109" s="11" t="s">
        <v>17750</v>
      </c>
    </row>
    <row r="2110" spans="1:19" x14ac:dyDescent="0.2">
      <c r="A2110" s="11" t="s">
        <v>30079</v>
      </c>
      <c r="B2110" s="9" t="s">
        <v>30080</v>
      </c>
      <c r="C2110" s="9" t="s">
        <v>30081</v>
      </c>
      <c r="D2110" s="9" t="s">
        <v>30082</v>
      </c>
      <c r="E2110" s="9" t="s">
        <v>17740</v>
      </c>
      <c r="F2110" s="9" t="s">
        <v>17741</v>
      </c>
      <c r="G2110" s="9" t="s">
        <v>17740</v>
      </c>
      <c r="H2110" s="11" t="s">
        <v>17741</v>
      </c>
      <c r="I2110" s="11" t="s">
        <v>30083</v>
      </c>
      <c r="J2110" s="11" t="s">
        <v>30083</v>
      </c>
      <c r="K2110" s="9" t="s">
        <v>30084</v>
      </c>
      <c r="L2110" s="9" t="s">
        <v>30085</v>
      </c>
      <c r="M2110" s="9" t="s">
        <v>17817</v>
      </c>
      <c r="N2110" s="9" t="s">
        <v>17746</v>
      </c>
      <c r="O2110" s="9" t="s">
        <v>17993</v>
      </c>
      <c r="P2110" s="9" t="s">
        <v>17748</v>
      </c>
      <c r="Q2110" s="11" t="s">
        <v>17808</v>
      </c>
      <c r="R2110" s="11" t="s">
        <v>17808</v>
      </c>
      <c r="S2110" s="11" t="s">
        <v>17750</v>
      </c>
    </row>
    <row r="2111" spans="1:19" x14ac:dyDescent="0.2">
      <c r="A2111" s="11" t="s">
        <v>30086</v>
      </c>
      <c r="B2111" s="9" t="s">
        <v>30087</v>
      </c>
      <c r="C2111" s="9" t="s">
        <v>30088</v>
      </c>
      <c r="D2111" s="9" t="s">
        <v>30089</v>
      </c>
      <c r="E2111" s="9" t="s">
        <v>17740</v>
      </c>
      <c r="F2111" s="9" t="s">
        <v>17741</v>
      </c>
      <c r="G2111" s="9" t="s">
        <v>17740</v>
      </c>
      <c r="H2111" s="11" t="s">
        <v>30090</v>
      </c>
      <c r="I2111" s="11" t="s">
        <v>30091</v>
      </c>
      <c r="J2111" s="11" t="s">
        <v>30091</v>
      </c>
      <c r="K2111" s="9" t="s">
        <v>30092</v>
      </c>
      <c r="L2111" s="9" t="s">
        <v>17991</v>
      </c>
      <c r="M2111" s="9" t="s">
        <v>18211</v>
      </c>
      <c r="N2111" s="9" t="s">
        <v>17746</v>
      </c>
      <c r="O2111" s="9" t="s">
        <v>20453</v>
      </c>
      <c r="P2111" s="9" t="s">
        <v>17748</v>
      </c>
      <c r="Q2111" s="11" t="s">
        <v>17762</v>
      </c>
      <c r="R2111" s="11" t="s">
        <v>17762</v>
      </c>
      <c r="S2111" s="11" t="s">
        <v>17750</v>
      </c>
    </row>
    <row r="2112" spans="1:19" x14ac:dyDescent="0.2">
      <c r="A2112" s="11" t="s">
        <v>30093</v>
      </c>
      <c r="B2112" s="9" t="s">
        <v>30094</v>
      </c>
      <c r="C2112" s="9" t="s">
        <v>30095</v>
      </c>
      <c r="D2112" s="9" t="s">
        <v>30096</v>
      </c>
      <c r="E2112" s="9" t="s">
        <v>17740</v>
      </c>
      <c r="F2112" s="9" t="s">
        <v>17741</v>
      </c>
      <c r="G2112" s="9" t="s">
        <v>17740</v>
      </c>
      <c r="H2112" s="11" t="s">
        <v>30097</v>
      </c>
      <c r="I2112" s="11" t="s">
        <v>30098</v>
      </c>
      <c r="J2112" s="11" t="s">
        <v>30098</v>
      </c>
      <c r="K2112" s="9" t="s">
        <v>30099</v>
      </c>
      <c r="L2112" s="9" t="s">
        <v>17759</v>
      </c>
      <c r="M2112" s="9" t="s">
        <v>17769</v>
      </c>
      <c r="N2112" s="9" t="s">
        <v>17746</v>
      </c>
      <c r="O2112" s="9" t="s">
        <v>30100</v>
      </c>
      <c r="P2112" s="9" t="s">
        <v>17748</v>
      </c>
      <c r="Q2112" s="11" t="s">
        <v>19222</v>
      </c>
      <c r="R2112" s="11" t="s">
        <v>19222</v>
      </c>
      <c r="S2112" s="11" t="s">
        <v>17750</v>
      </c>
    </row>
    <row r="2113" spans="1:19" x14ac:dyDescent="0.2">
      <c r="A2113" s="11" t="s">
        <v>30101</v>
      </c>
      <c r="B2113" s="9" t="s">
        <v>30102</v>
      </c>
      <c r="C2113" s="9" t="s">
        <v>30103</v>
      </c>
      <c r="D2113" s="9" t="s">
        <v>30104</v>
      </c>
      <c r="E2113" s="9" t="s">
        <v>17740</v>
      </c>
      <c r="F2113" s="9" t="s">
        <v>17741</v>
      </c>
      <c r="G2113" s="9" t="s">
        <v>17740</v>
      </c>
      <c r="H2113" s="11" t="s">
        <v>9918</v>
      </c>
      <c r="I2113" s="11" t="s">
        <v>9917</v>
      </c>
      <c r="J2113" s="11" t="s">
        <v>9918</v>
      </c>
      <c r="K2113" s="9" t="s">
        <v>30105</v>
      </c>
      <c r="L2113" s="9" t="s">
        <v>18242</v>
      </c>
      <c r="M2113" s="9" t="s">
        <v>17760</v>
      </c>
      <c r="N2113" s="9" t="s">
        <v>17746</v>
      </c>
      <c r="O2113" s="9" t="s">
        <v>18855</v>
      </c>
      <c r="P2113" s="9" t="s">
        <v>17748</v>
      </c>
      <c r="Q2113" s="11" t="s">
        <v>18922</v>
      </c>
      <c r="R2113" s="11" t="s">
        <v>18922</v>
      </c>
      <c r="S2113" s="11" t="s">
        <v>17750</v>
      </c>
    </row>
    <row r="2114" spans="1:19" x14ac:dyDescent="0.2">
      <c r="A2114" s="11" t="s">
        <v>30106</v>
      </c>
      <c r="B2114" s="9" t="s">
        <v>30107</v>
      </c>
      <c r="C2114" s="9" t="s">
        <v>30108</v>
      </c>
      <c r="D2114" s="9" t="s">
        <v>30109</v>
      </c>
      <c r="E2114" s="9" t="s">
        <v>17748</v>
      </c>
      <c r="F2114" s="9" t="s">
        <v>30110</v>
      </c>
      <c r="G2114" s="9" t="s">
        <v>17740</v>
      </c>
      <c r="H2114" s="11" t="s">
        <v>30111</v>
      </c>
      <c r="I2114" s="11" t="s">
        <v>30112</v>
      </c>
      <c r="J2114" s="11" t="s">
        <v>30111</v>
      </c>
      <c r="K2114" s="9" t="s">
        <v>948</v>
      </c>
      <c r="L2114" s="9" t="s">
        <v>20359</v>
      </c>
      <c r="M2114" s="9" t="s">
        <v>17760</v>
      </c>
      <c r="N2114" s="9" t="s">
        <v>18042</v>
      </c>
      <c r="O2114" s="9" t="s">
        <v>30113</v>
      </c>
      <c r="P2114" s="9" t="s">
        <v>17748</v>
      </c>
      <c r="Q2114" s="11" t="s">
        <v>17909</v>
      </c>
      <c r="R2114" s="11" t="s">
        <v>17909</v>
      </c>
      <c r="S2114" s="11" t="s">
        <v>17750</v>
      </c>
    </row>
    <row r="2115" spans="1:19" x14ac:dyDescent="0.2">
      <c r="A2115" s="11" t="s">
        <v>30114</v>
      </c>
      <c r="B2115" s="9" t="s">
        <v>30115</v>
      </c>
      <c r="C2115" s="9" t="s">
        <v>30116</v>
      </c>
      <c r="D2115" s="9" t="s">
        <v>30117</v>
      </c>
      <c r="E2115" s="9" t="s">
        <v>17740</v>
      </c>
      <c r="F2115" s="9" t="s">
        <v>17741</v>
      </c>
      <c r="G2115" s="9" t="s">
        <v>17740</v>
      </c>
      <c r="H2115" s="11" t="s">
        <v>30118</v>
      </c>
      <c r="I2115" s="11" t="s">
        <v>17741</v>
      </c>
      <c r="J2115" s="11" t="s">
        <v>30118</v>
      </c>
      <c r="K2115" s="9" t="s">
        <v>30119</v>
      </c>
      <c r="L2115" s="9" t="s">
        <v>18158</v>
      </c>
      <c r="M2115" s="9" t="s">
        <v>17741</v>
      </c>
      <c r="N2115" s="9" t="s">
        <v>17746</v>
      </c>
      <c r="O2115" s="9" t="s">
        <v>17993</v>
      </c>
      <c r="P2115" s="9" t="s">
        <v>17748</v>
      </c>
      <c r="Q2115" s="11" t="s">
        <v>17858</v>
      </c>
      <c r="R2115" s="11" t="s">
        <v>17858</v>
      </c>
      <c r="S2115" s="11" t="s">
        <v>17750</v>
      </c>
    </row>
    <row r="2116" spans="1:19" x14ac:dyDescent="0.2">
      <c r="A2116" s="11" t="s">
        <v>30120</v>
      </c>
      <c r="B2116" s="9" t="s">
        <v>30121</v>
      </c>
      <c r="C2116" s="9" t="s">
        <v>30122</v>
      </c>
      <c r="D2116" s="9" t="s">
        <v>30121</v>
      </c>
      <c r="E2116" s="9" t="s">
        <v>17740</v>
      </c>
      <c r="F2116" s="9" t="s">
        <v>17741</v>
      </c>
      <c r="G2116" s="9" t="s">
        <v>17740</v>
      </c>
      <c r="H2116" s="11" t="s">
        <v>30123</v>
      </c>
      <c r="I2116" s="11" t="s">
        <v>30124</v>
      </c>
      <c r="J2116" s="11" t="s">
        <v>30124</v>
      </c>
      <c r="K2116" s="9" t="s">
        <v>20225</v>
      </c>
      <c r="L2116" s="9" t="s">
        <v>17744</v>
      </c>
      <c r="M2116" s="9" t="s">
        <v>18051</v>
      </c>
      <c r="N2116" s="9" t="s">
        <v>17746</v>
      </c>
      <c r="O2116" s="9" t="s">
        <v>30125</v>
      </c>
      <c r="P2116" s="9" t="s">
        <v>17748</v>
      </c>
      <c r="Q2116" s="11" t="s">
        <v>19515</v>
      </c>
      <c r="R2116" s="11" t="s">
        <v>19515</v>
      </c>
      <c r="S2116" s="11" t="s">
        <v>17750</v>
      </c>
    </row>
    <row r="2117" spans="1:19" x14ac:dyDescent="0.2">
      <c r="A2117" s="11" t="s">
        <v>30126</v>
      </c>
      <c r="B2117" s="9" t="s">
        <v>30127</v>
      </c>
      <c r="C2117" s="9" t="s">
        <v>30128</v>
      </c>
      <c r="D2117" s="9" t="s">
        <v>30129</v>
      </c>
      <c r="E2117" s="9" t="s">
        <v>17740</v>
      </c>
      <c r="F2117" s="9" t="s">
        <v>30130</v>
      </c>
      <c r="G2117" s="9" t="s">
        <v>17740</v>
      </c>
      <c r="H2117" s="11" t="s">
        <v>30131</v>
      </c>
      <c r="I2117" s="11" t="s">
        <v>30132</v>
      </c>
      <c r="J2117" s="11" t="s">
        <v>30132</v>
      </c>
      <c r="K2117" s="9" t="s">
        <v>55</v>
      </c>
      <c r="L2117" s="9" t="s">
        <v>17759</v>
      </c>
      <c r="M2117" s="9" t="s">
        <v>17769</v>
      </c>
      <c r="N2117" s="9" t="s">
        <v>17746</v>
      </c>
      <c r="O2117" s="9" t="s">
        <v>18855</v>
      </c>
      <c r="P2117" s="9" t="s">
        <v>17748</v>
      </c>
      <c r="Q2117" s="11" t="s">
        <v>18306</v>
      </c>
      <c r="R2117" s="11" t="s">
        <v>18306</v>
      </c>
      <c r="S2117" s="11" t="s">
        <v>17750</v>
      </c>
    </row>
    <row r="2118" spans="1:19" x14ac:dyDescent="0.2">
      <c r="A2118" s="11" t="s">
        <v>30133</v>
      </c>
      <c r="B2118" s="9" t="s">
        <v>1697</v>
      </c>
      <c r="C2118" s="9" t="s">
        <v>30134</v>
      </c>
      <c r="D2118" s="9" t="s">
        <v>1697</v>
      </c>
      <c r="E2118" s="9" t="s">
        <v>17740</v>
      </c>
      <c r="F2118" s="9" t="s">
        <v>30135</v>
      </c>
      <c r="G2118" s="9" t="s">
        <v>17740</v>
      </c>
      <c r="H2118" s="11" t="s">
        <v>1699</v>
      </c>
      <c r="I2118" s="11" t="s">
        <v>1698</v>
      </c>
      <c r="J2118" s="11" t="s">
        <v>1698</v>
      </c>
      <c r="K2118" s="9" t="s">
        <v>18176</v>
      </c>
      <c r="L2118" s="9" t="s">
        <v>18123</v>
      </c>
      <c r="M2118" s="9" t="s">
        <v>17769</v>
      </c>
      <c r="N2118" s="9" t="s">
        <v>17746</v>
      </c>
      <c r="O2118" s="9" t="s">
        <v>18855</v>
      </c>
      <c r="P2118" s="9" t="s">
        <v>17748</v>
      </c>
      <c r="Q2118" s="11" t="s">
        <v>19026</v>
      </c>
      <c r="R2118" s="11" t="s">
        <v>19026</v>
      </c>
      <c r="S2118" s="11" t="s">
        <v>17750</v>
      </c>
    </row>
    <row r="2119" spans="1:19" x14ac:dyDescent="0.2">
      <c r="A2119" s="11" t="s">
        <v>30136</v>
      </c>
      <c r="B2119" s="9" t="s">
        <v>30137</v>
      </c>
      <c r="C2119" s="9" t="s">
        <v>30138</v>
      </c>
      <c r="D2119" s="9" t="s">
        <v>30139</v>
      </c>
      <c r="E2119" s="9" t="s">
        <v>17740</v>
      </c>
      <c r="F2119" s="9" t="s">
        <v>17741</v>
      </c>
      <c r="G2119" s="9" t="s">
        <v>17740</v>
      </c>
      <c r="H2119" s="11" t="s">
        <v>30140</v>
      </c>
      <c r="I2119" s="11" t="s">
        <v>30141</v>
      </c>
      <c r="J2119" s="11" t="s">
        <v>30141</v>
      </c>
      <c r="K2119" s="9" t="s">
        <v>689</v>
      </c>
      <c r="L2119" s="9" t="s">
        <v>17759</v>
      </c>
      <c r="M2119" s="9" t="s">
        <v>17760</v>
      </c>
      <c r="N2119" s="9" t="s">
        <v>17746</v>
      </c>
      <c r="O2119" s="9" t="s">
        <v>30142</v>
      </c>
      <c r="P2119" s="9" t="s">
        <v>17748</v>
      </c>
      <c r="Q2119" s="11" t="s">
        <v>19222</v>
      </c>
      <c r="R2119" s="11" t="s">
        <v>19222</v>
      </c>
      <c r="S2119" s="11" t="s">
        <v>17750</v>
      </c>
    </row>
    <row r="2120" spans="1:19" x14ac:dyDescent="0.2">
      <c r="A2120" s="11" t="s">
        <v>30143</v>
      </c>
      <c r="B2120" s="9" t="s">
        <v>30144</v>
      </c>
      <c r="C2120" s="9" t="s">
        <v>30145</v>
      </c>
      <c r="D2120" s="9" t="s">
        <v>30144</v>
      </c>
      <c r="E2120" s="9" t="s">
        <v>17740</v>
      </c>
      <c r="F2120" s="9" t="s">
        <v>17741</v>
      </c>
      <c r="G2120" s="9" t="s">
        <v>17740</v>
      </c>
      <c r="H2120" s="11" t="s">
        <v>17741</v>
      </c>
      <c r="I2120" s="11" t="s">
        <v>30146</v>
      </c>
      <c r="J2120" s="11" t="s">
        <v>30146</v>
      </c>
      <c r="K2120" s="9" t="s">
        <v>30147</v>
      </c>
      <c r="L2120" s="9" t="s">
        <v>18123</v>
      </c>
      <c r="M2120" s="9" t="s">
        <v>17778</v>
      </c>
      <c r="N2120" s="9" t="s">
        <v>18185</v>
      </c>
      <c r="O2120" s="9" t="s">
        <v>17747</v>
      </c>
      <c r="P2120" s="9" t="s">
        <v>17748</v>
      </c>
      <c r="Q2120" s="11" t="s">
        <v>20361</v>
      </c>
      <c r="R2120" s="11" t="s">
        <v>20361</v>
      </c>
      <c r="S2120" s="11" t="s">
        <v>17750</v>
      </c>
    </row>
    <row r="2121" spans="1:19" x14ac:dyDescent="0.2">
      <c r="A2121" s="11" t="s">
        <v>30148</v>
      </c>
      <c r="B2121" s="9" t="s">
        <v>30149</v>
      </c>
      <c r="C2121" s="9" t="s">
        <v>30150</v>
      </c>
      <c r="D2121" s="9" t="s">
        <v>30151</v>
      </c>
      <c r="E2121" s="9" t="s">
        <v>17740</v>
      </c>
      <c r="F2121" s="9" t="s">
        <v>30152</v>
      </c>
      <c r="G2121" s="9" t="s">
        <v>17740</v>
      </c>
      <c r="H2121" s="11" t="s">
        <v>30153</v>
      </c>
      <c r="I2121" s="11" t="s">
        <v>30154</v>
      </c>
      <c r="J2121" s="11" t="s">
        <v>30154</v>
      </c>
      <c r="K2121" s="9" t="s">
        <v>19244</v>
      </c>
      <c r="L2121" s="9" t="s">
        <v>18158</v>
      </c>
      <c r="M2121" s="9" t="s">
        <v>17817</v>
      </c>
      <c r="N2121" s="9" t="s">
        <v>18185</v>
      </c>
      <c r="O2121" s="9" t="s">
        <v>3524</v>
      </c>
      <c r="P2121" s="9" t="s">
        <v>17748</v>
      </c>
      <c r="Q2121" s="11" t="s">
        <v>18147</v>
      </c>
      <c r="R2121" s="11" t="s">
        <v>18147</v>
      </c>
      <c r="S2121" s="11" t="s">
        <v>17750</v>
      </c>
    </row>
    <row r="2122" spans="1:19" x14ac:dyDescent="0.2">
      <c r="A2122" s="11" t="s">
        <v>30155</v>
      </c>
      <c r="B2122" s="9" t="s">
        <v>30156</v>
      </c>
      <c r="C2122" s="9" t="s">
        <v>30157</v>
      </c>
      <c r="D2122" s="9" t="s">
        <v>30158</v>
      </c>
      <c r="E2122" s="9" t="s">
        <v>17740</v>
      </c>
      <c r="F2122" s="9" t="s">
        <v>17741</v>
      </c>
      <c r="G2122" s="9" t="s">
        <v>17740</v>
      </c>
      <c r="H2122" s="11" t="s">
        <v>17741</v>
      </c>
      <c r="I2122" s="11" t="s">
        <v>30159</v>
      </c>
      <c r="J2122" s="11" t="s">
        <v>30159</v>
      </c>
      <c r="K2122" s="9" t="s">
        <v>30160</v>
      </c>
      <c r="L2122" s="9" t="s">
        <v>30161</v>
      </c>
      <c r="M2122" s="9" t="s">
        <v>17760</v>
      </c>
      <c r="N2122" s="9" t="s">
        <v>17746</v>
      </c>
      <c r="O2122" s="9" t="s">
        <v>17993</v>
      </c>
      <c r="P2122" s="9" t="s">
        <v>17748</v>
      </c>
      <c r="Q2122" s="11" t="s">
        <v>18314</v>
      </c>
      <c r="R2122" s="11" t="s">
        <v>18314</v>
      </c>
      <c r="S2122" s="11" t="s">
        <v>17750</v>
      </c>
    </row>
    <row r="2123" spans="1:19" x14ac:dyDescent="0.2">
      <c r="A2123" s="11" t="s">
        <v>30162</v>
      </c>
      <c r="B2123" s="9" t="s">
        <v>30163</v>
      </c>
      <c r="C2123" s="9" t="s">
        <v>30164</v>
      </c>
      <c r="D2123" s="9" t="s">
        <v>30165</v>
      </c>
      <c r="E2123" s="9" t="s">
        <v>17740</v>
      </c>
      <c r="F2123" s="9" t="s">
        <v>17741</v>
      </c>
      <c r="G2123" s="9" t="s">
        <v>17740</v>
      </c>
      <c r="H2123" s="11" t="s">
        <v>17741</v>
      </c>
      <c r="I2123" s="11" t="s">
        <v>30166</v>
      </c>
      <c r="J2123" s="11" t="s">
        <v>30166</v>
      </c>
      <c r="K2123" s="9" t="s">
        <v>20950</v>
      </c>
      <c r="L2123" s="9" t="s">
        <v>18854</v>
      </c>
      <c r="M2123" s="9" t="s">
        <v>17769</v>
      </c>
      <c r="N2123" s="9" t="s">
        <v>20237</v>
      </c>
      <c r="O2123" s="9" t="s">
        <v>3524</v>
      </c>
      <c r="P2123" s="9" t="s">
        <v>17748</v>
      </c>
      <c r="Q2123" s="11" t="s">
        <v>20691</v>
      </c>
      <c r="R2123" s="11" t="s">
        <v>20691</v>
      </c>
      <c r="S2123" s="11" t="s">
        <v>17750</v>
      </c>
    </row>
    <row r="2124" spans="1:19" x14ac:dyDescent="0.2">
      <c r="A2124" s="11" t="s">
        <v>30167</v>
      </c>
      <c r="B2124" s="9" t="s">
        <v>30168</v>
      </c>
      <c r="C2124" s="9" t="s">
        <v>30169</v>
      </c>
      <c r="D2124" s="9" t="s">
        <v>30170</v>
      </c>
      <c r="E2124" s="9" t="s">
        <v>17740</v>
      </c>
      <c r="F2124" s="9" t="s">
        <v>17741</v>
      </c>
      <c r="G2124" s="9" t="s">
        <v>17740</v>
      </c>
      <c r="H2124" s="11" t="s">
        <v>17741</v>
      </c>
      <c r="I2124" s="11" t="s">
        <v>1729</v>
      </c>
      <c r="J2124" s="11" t="s">
        <v>1729</v>
      </c>
      <c r="K2124" s="9" t="s">
        <v>30171</v>
      </c>
      <c r="L2124" s="9" t="s">
        <v>18411</v>
      </c>
      <c r="M2124" s="9" t="s">
        <v>17817</v>
      </c>
      <c r="N2124" s="9" t="s">
        <v>18171</v>
      </c>
      <c r="O2124" s="9" t="s">
        <v>18331</v>
      </c>
      <c r="P2124" s="9" t="s">
        <v>17748</v>
      </c>
      <c r="Q2124" s="11" t="s">
        <v>18010</v>
      </c>
      <c r="R2124" s="11" t="s">
        <v>18010</v>
      </c>
      <c r="S2124" s="11" t="s">
        <v>17750</v>
      </c>
    </row>
    <row r="2125" spans="1:19" x14ac:dyDescent="0.2">
      <c r="A2125" s="11" t="s">
        <v>30172</v>
      </c>
      <c r="B2125" s="9" t="s">
        <v>30173</v>
      </c>
      <c r="C2125" s="9" t="s">
        <v>30174</v>
      </c>
      <c r="D2125" s="9" t="s">
        <v>30175</v>
      </c>
      <c r="E2125" s="9" t="s">
        <v>17740</v>
      </c>
      <c r="F2125" s="9" t="s">
        <v>17741</v>
      </c>
      <c r="G2125" s="9" t="s">
        <v>17740</v>
      </c>
      <c r="H2125" s="11" t="s">
        <v>17741</v>
      </c>
      <c r="I2125" s="11" t="s">
        <v>30176</v>
      </c>
      <c r="J2125" s="11" t="s">
        <v>30176</v>
      </c>
      <c r="K2125" s="9" t="s">
        <v>30177</v>
      </c>
      <c r="L2125" s="9" t="s">
        <v>17967</v>
      </c>
      <c r="M2125" s="9" t="s">
        <v>17817</v>
      </c>
      <c r="N2125" s="9" t="s">
        <v>18492</v>
      </c>
      <c r="O2125" s="9" t="s">
        <v>23443</v>
      </c>
      <c r="P2125" s="9" t="s">
        <v>17748</v>
      </c>
      <c r="Q2125" s="11" t="s">
        <v>20433</v>
      </c>
      <c r="R2125" s="11" t="s">
        <v>20433</v>
      </c>
      <c r="S2125" s="11" t="s">
        <v>17750</v>
      </c>
    </row>
    <row r="2126" spans="1:19" x14ac:dyDescent="0.2">
      <c r="A2126" s="11" t="s">
        <v>30178</v>
      </c>
      <c r="B2126" s="9" t="s">
        <v>30179</v>
      </c>
      <c r="C2126" s="9" t="s">
        <v>30180</v>
      </c>
      <c r="D2126" s="9" t="s">
        <v>30181</v>
      </c>
      <c r="E2126" s="9" t="s">
        <v>17740</v>
      </c>
      <c r="F2126" s="9" t="s">
        <v>17741</v>
      </c>
      <c r="G2126" s="9" t="s">
        <v>17740</v>
      </c>
      <c r="H2126" s="11" t="s">
        <v>30182</v>
      </c>
      <c r="I2126" s="11" t="s">
        <v>30183</v>
      </c>
      <c r="J2126" s="11" t="s">
        <v>30183</v>
      </c>
      <c r="K2126" s="9" t="s">
        <v>29766</v>
      </c>
      <c r="L2126" s="9" t="s">
        <v>17991</v>
      </c>
      <c r="M2126" s="9" t="s">
        <v>19168</v>
      </c>
      <c r="N2126" s="9" t="s">
        <v>20424</v>
      </c>
      <c r="O2126" s="9" t="s">
        <v>18035</v>
      </c>
      <c r="P2126" s="9" t="s">
        <v>17748</v>
      </c>
      <c r="Q2126" s="11" t="s">
        <v>19222</v>
      </c>
      <c r="R2126" s="11" t="s">
        <v>19222</v>
      </c>
      <c r="S2126" s="11" t="s">
        <v>17750</v>
      </c>
    </row>
    <row r="2127" spans="1:19" x14ac:dyDescent="0.2">
      <c r="A2127" s="11" t="s">
        <v>30184</v>
      </c>
      <c r="B2127" s="9" t="s">
        <v>30185</v>
      </c>
      <c r="C2127" s="9" t="s">
        <v>30186</v>
      </c>
      <c r="D2127" s="9" t="s">
        <v>30187</v>
      </c>
      <c r="E2127" s="9" t="s">
        <v>17748</v>
      </c>
      <c r="F2127" s="9" t="s">
        <v>30188</v>
      </c>
      <c r="G2127" s="9" t="s">
        <v>17740</v>
      </c>
      <c r="H2127" s="11" t="s">
        <v>10903</v>
      </c>
      <c r="I2127" s="11" t="s">
        <v>10902</v>
      </c>
      <c r="J2127" s="11" t="s">
        <v>10902</v>
      </c>
      <c r="K2127" s="9" t="s">
        <v>30189</v>
      </c>
      <c r="L2127" s="9" t="s">
        <v>17991</v>
      </c>
      <c r="M2127" s="9" t="s">
        <v>17817</v>
      </c>
      <c r="N2127" s="9" t="s">
        <v>20424</v>
      </c>
      <c r="O2127" s="9" t="s">
        <v>18009</v>
      </c>
      <c r="P2127" s="9" t="s">
        <v>17748</v>
      </c>
      <c r="Q2127" s="11" t="s">
        <v>17762</v>
      </c>
      <c r="R2127" s="11" t="s">
        <v>17762</v>
      </c>
      <c r="S2127" s="11" t="s">
        <v>17750</v>
      </c>
    </row>
    <row r="2128" spans="1:19" x14ac:dyDescent="0.2">
      <c r="A2128" s="11" t="s">
        <v>30190</v>
      </c>
      <c r="B2128" s="9" t="s">
        <v>30191</v>
      </c>
      <c r="C2128" s="9" t="s">
        <v>30192</v>
      </c>
      <c r="D2128" s="9" t="s">
        <v>30193</v>
      </c>
      <c r="E2128" s="9" t="s">
        <v>17740</v>
      </c>
      <c r="F2128" s="9" t="s">
        <v>17741</v>
      </c>
      <c r="G2128" s="9" t="s">
        <v>17740</v>
      </c>
      <c r="H2128" s="11" t="s">
        <v>30194</v>
      </c>
      <c r="I2128" s="11" t="s">
        <v>30195</v>
      </c>
      <c r="J2128" s="11" t="s">
        <v>30195</v>
      </c>
      <c r="K2128" s="9" t="s">
        <v>30196</v>
      </c>
      <c r="L2128" s="9" t="s">
        <v>17991</v>
      </c>
      <c r="M2128" s="9" t="s">
        <v>18065</v>
      </c>
      <c r="N2128" s="9" t="s">
        <v>17746</v>
      </c>
      <c r="O2128" s="9" t="s">
        <v>18131</v>
      </c>
      <c r="P2128" s="9" t="s">
        <v>17748</v>
      </c>
      <c r="Q2128" s="11" t="s">
        <v>19222</v>
      </c>
      <c r="R2128" s="11" t="s">
        <v>19222</v>
      </c>
      <c r="S2128" s="11" t="s">
        <v>17750</v>
      </c>
    </row>
    <row r="2129" spans="1:19" x14ac:dyDescent="0.2">
      <c r="A2129" s="11" t="s">
        <v>30197</v>
      </c>
      <c r="B2129" s="9" t="s">
        <v>30198</v>
      </c>
      <c r="C2129" s="9" t="s">
        <v>30199</v>
      </c>
      <c r="D2129" s="9" t="s">
        <v>30200</v>
      </c>
      <c r="E2129" s="9" t="s">
        <v>17748</v>
      </c>
      <c r="F2129" s="9" t="s">
        <v>30201</v>
      </c>
      <c r="G2129" s="9" t="s">
        <v>17740</v>
      </c>
      <c r="H2129" s="11" t="s">
        <v>17741</v>
      </c>
      <c r="I2129" s="11" t="s">
        <v>30202</v>
      </c>
      <c r="J2129" s="11" t="s">
        <v>30202</v>
      </c>
      <c r="K2129" s="9" t="s">
        <v>30203</v>
      </c>
      <c r="L2129" s="9" t="s">
        <v>17991</v>
      </c>
      <c r="M2129" s="9" t="s">
        <v>18065</v>
      </c>
      <c r="N2129" s="9" t="s">
        <v>20424</v>
      </c>
      <c r="O2129" s="9" t="s">
        <v>19653</v>
      </c>
      <c r="P2129" s="9" t="s">
        <v>17748</v>
      </c>
      <c r="Q2129" s="11" t="s">
        <v>18272</v>
      </c>
      <c r="R2129" s="11" t="s">
        <v>18272</v>
      </c>
      <c r="S2129" s="11" t="s">
        <v>17750</v>
      </c>
    </row>
    <row r="2130" spans="1:19" x14ac:dyDescent="0.2">
      <c r="A2130" s="11" t="s">
        <v>30204</v>
      </c>
      <c r="B2130" s="9" t="s">
        <v>30205</v>
      </c>
      <c r="C2130" s="9" t="s">
        <v>30206</v>
      </c>
      <c r="D2130" s="9" t="s">
        <v>30207</v>
      </c>
      <c r="E2130" s="9" t="s">
        <v>17740</v>
      </c>
      <c r="F2130" s="9" t="s">
        <v>17741</v>
      </c>
      <c r="G2130" s="9" t="s">
        <v>17740</v>
      </c>
      <c r="H2130" s="11" t="s">
        <v>30208</v>
      </c>
      <c r="I2130" s="11" t="s">
        <v>30209</v>
      </c>
      <c r="J2130" s="11" t="s">
        <v>30209</v>
      </c>
      <c r="K2130" s="9" t="s">
        <v>30210</v>
      </c>
      <c r="L2130" s="9" t="s">
        <v>17991</v>
      </c>
      <c r="M2130" s="9" t="s">
        <v>30211</v>
      </c>
      <c r="N2130" s="9" t="s">
        <v>20424</v>
      </c>
      <c r="O2130" s="9" t="s">
        <v>7269</v>
      </c>
      <c r="P2130" s="9" t="s">
        <v>17748</v>
      </c>
      <c r="Q2130" s="11" t="s">
        <v>18341</v>
      </c>
      <c r="R2130" s="11" t="s">
        <v>18341</v>
      </c>
      <c r="S2130" s="11" t="s">
        <v>17750</v>
      </c>
    </row>
    <row r="2131" spans="1:19" x14ac:dyDescent="0.2">
      <c r="A2131" s="11" t="s">
        <v>30212</v>
      </c>
      <c r="B2131" s="9" t="s">
        <v>30213</v>
      </c>
      <c r="C2131" s="9" t="s">
        <v>30214</v>
      </c>
      <c r="D2131" s="9" t="s">
        <v>30215</v>
      </c>
      <c r="E2131" s="9" t="s">
        <v>17740</v>
      </c>
      <c r="F2131" s="9" t="s">
        <v>30216</v>
      </c>
      <c r="G2131" s="9" t="s">
        <v>17740</v>
      </c>
      <c r="H2131" s="11" t="s">
        <v>17741</v>
      </c>
      <c r="I2131" s="11" t="s">
        <v>30217</v>
      </c>
      <c r="J2131" s="11" t="s">
        <v>30217</v>
      </c>
      <c r="K2131" s="9" t="s">
        <v>30218</v>
      </c>
      <c r="L2131" s="9" t="s">
        <v>18050</v>
      </c>
      <c r="M2131" s="9" t="s">
        <v>17942</v>
      </c>
      <c r="N2131" s="9" t="s">
        <v>30219</v>
      </c>
      <c r="O2131" s="9" t="s">
        <v>17993</v>
      </c>
      <c r="P2131" s="9" t="s">
        <v>17748</v>
      </c>
      <c r="Q2131" s="11" t="s">
        <v>18556</v>
      </c>
      <c r="R2131" s="11" t="s">
        <v>18556</v>
      </c>
      <c r="S2131" s="11" t="s">
        <v>17750</v>
      </c>
    </row>
    <row r="2132" spans="1:19" x14ac:dyDescent="0.2">
      <c r="A2132" s="11" t="s">
        <v>30220</v>
      </c>
      <c r="B2132" s="9" t="s">
        <v>30221</v>
      </c>
      <c r="C2132" s="9" t="s">
        <v>4668</v>
      </c>
      <c r="D2132" s="9" t="s">
        <v>30221</v>
      </c>
      <c r="E2132" s="9" t="s">
        <v>17740</v>
      </c>
      <c r="F2132" s="9" t="s">
        <v>17741</v>
      </c>
      <c r="G2132" s="9" t="s">
        <v>17740</v>
      </c>
      <c r="H2132" s="11" t="s">
        <v>4670</v>
      </c>
      <c r="I2132" s="11" t="s">
        <v>4669</v>
      </c>
      <c r="J2132" s="11" t="s">
        <v>4669</v>
      </c>
      <c r="K2132" s="9" t="s">
        <v>19094</v>
      </c>
      <c r="L2132" s="9" t="s">
        <v>17759</v>
      </c>
      <c r="M2132" s="9" t="s">
        <v>30222</v>
      </c>
      <c r="N2132" s="9" t="s">
        <v>17746</v>
      </c>
      <c r="O2132" s="9" t="s">
        <v>3100</v>
      </c>
      <c r="P2132" s="9" t="s">
        <v>17748</v>
      </c>
      <c r="Q2132" s="11" t="s">
        <v>18678</v>
      </c>
      <c r="R2132" s="11" t="s">
        <v>18678</v>
      </c>
      <c r="S2132" s="11" t="s">
        <v>17750</v>
      </c>
    </row>
    <row r="2133" spans="1:19" x14ac:dyDescent="0.2">
      <c r="A2133" s="11" t="s">
        <v>30223</v>
      </c>
      <c r="B2133" s="9" t="s">
        <v>30224</v>
      </c>
      <c r="C2133" s="9" t="s">
        <v>30225</v>
      </c>
      <c r="D2133" s="9" t="s">
        <v>30226</v>
      </c>
      <c r="E2133" s="9" t="s">
        <v>17740</v>
      </c>
      <c r="F2133" s="9" t="s">
        <v>17741</v>
      </c>
      <c r="G2133" s="9" t="s">
        <v>17740</v>
      </c>
      <c r="H2133" s="11" t="s">
        <v>30227</v>
      </c>
      <c r="I2133" s="11" t="s">
        <v>30228</v>
      </c>
      <c r="J2133" s="11" t="s">
        <v>30228</v>
      </c>
      <c r="K2133" s="9" t="s">
        <v>20225</v>
      </c>
      <c r="L2133" s="9" t="s">
        <v>17744</v>
      </c>
      <c r="M2133" s="9" t="s">
        <v>19971</v>
      </c>
      <c r="N2133" s="9" t="s">
        <v>17746</v>
      </c>
      <c r="O2133" s="9" t="s">
        <v>25880</v>
      </c>
      <c r="P2133" s="9" t="s">
        <v>17748</v>
      </c>
      <c r="Q2133" s="11" t="s">
        <v>19361</v>
      </c>
      <c r="R2133" s="11" t="s">
        <v>19361</v>
      </c>
      <c r="S2133" s="11" t="s">
        <v>17750</v>
      </c>
    </row>
    <row r="2134" spans="1:19" x14ac:dyDescent="0.2">
      <c r="A2134" s="11" t="s">
        <v>30229</v>
      </c>
      <c r="B2134" s="9" t="s">
        <v>30230</v>
      </c>
      <c r="C2134" s="9" t="s">
        <v>30231</v>
      </c>
      <c r="D2134" s="9" t="s">
        <v>30232</v>
      </c>
      <c r="E2134" s="9" t="s">
        <v>17740</v>
      </c>
      <c r="F2134" s="9" t="s">
        <v>17741</v>
      </c>
      <c r="G2134" s="9" t="s">
        <v>17740</v>
      </c>
      <c r="H2134" s="11" t="s">
        <v>30233</v>
      </c>
      <c r="I2134" s="11" t="s">
        <v>30234</v>
      </c>
      <c r="J2134" s="11" t="s">
        <v>30233</v>
      </c>
      <c r="K2134" s="9" t="s">
        <v>12818</v>
      </c>
      <c r="L2134" s="9" t="s">
        <v>18130</v>
      </c>
      <c r="M2134" s="9" t="s">
        <v>17741</v>
      </c>
      <c r="N2134" s="9" t="s">
        <v>17746</v>
      </c>
      <c r="O2134" s="9" t="s">
        <v>3524</v>
      </c>
      <c r="P2134" s="9" t="s">
        <v>17748</v>
      </c>
      <c r="Q2134" s="11" t="s">
        <v>18370</v>
      </c>
      <c r="R2134" s="11" t="s">
        <v>18370</v>
      </c>
      <c r="S2134" s="11" t="s">
        <v>17750</v>
      </c>
    </row>
    <row r="2135" spans="1:19" x14ac:dyDescent="0.2">
      <c r="A2135" s="11" t="s">
        <v>30235</v>
      </c>
      <c r="B2135" s="9" t="s">
        <v>30236</v>
      </c>
      <c r="C2135" s="9" t="s">
        <v>30237</v>
      </c>
      <c r="D2135" s="9" t="s">
        <v>30238</v>
      </c>
      <c r="E2135" s="9" t="s">
        <v>17748</v>
      </c>
      <c r="F2135" s="9" t="s">
        <v>30239</v>
      </c>
      <c r="G2135" s="9" t="s">
        <v>17740</v>
      </c>
      <c r="H2135" s="11" t="s">
        <v>30240</v>
      </c>
      <c r="I2135" s="11" t="s">
        <v>30241</v>
      </c>
      <c r="J2135" s="11" t="s">
        <v>30241</v>
      </c>
      <c r="K2135" s="9" t="s">
        <v>18520</v>
      </c>
      <c r="L2135" s="9" t="s">
        <v>17744</v>
      </c>
      <c r="M2135" s="9" t="s">
        <v>17760</v>
      </c>
      <c r="N2135" s="9" t="s">
        <v>17746</v>
      </c>
      <c r="O2135" s="9" t="s">
        <v>18877</v>
      </c>
      <c r="P2135" s="9" t="s">
        <v>17748</v>
      </c>
      <c r="Q2135" s="11" t="s">
        <v>17825</v>
      </c>
      <c r="R2135" s="11" t="s">
        <v>17825</v>
      </c>
      <c r="S2135" s="11" t="s">
        <v>17750</v>
      </c>
    </row>
    <row r="2136" spans="1:19" x14ac:dyDescent="0.2">
      <c r="A2136" s="11" t="s">
        <v>30242</v>
      </c>
      <c r="B2136" s="9" t="s">
        <v>30243</v>
      </c>
      <c r="C2136" s="9" t="s">
        <v>30244</v>
      </c>
      <c r="D2136" s="9" t="s">
        <v>30245</v>
      </c>
      <c r="E2136" s="9" t="s">
        <v>17740</v>
      </c>
      <c r="F2136" s="9" t="s">
        <v>17741</v>
      </c>
      <c r="G2136" s="9" t="s">
        <v>17740</v>
      </c>
      <c r="H2136" s="11" t="s">
        <v>30246</v>
      </c>
      <c r="I2136" s="11" t="s">
        <v>30247</v>
      </c>
      <c r="J2136" s="11" t="s">
        <v>30247</v>
      </c>
      <c r="K2136" s="9" t="s">
        <v>30248</v>
      </c>
      <c r="L2136" s="9" t="s">
        <v>18959</v>
      </c>
      <c r="M2136" s="9" t="s">
        <v>18211</v>
      </c>
      <c r="N2136" s="9" t="s">
        <v>17746</v>
      </c>
      <c r="O2136" s="9" t="s">
        <v>27127</v>
      </c>
      <c r="P2136" s="9" t="s">
        <v>17748</v>
      </c>
      <c r="Q2136" s="11" t="s">
        <v>17825</v>
      </c>
      <c r="R2136" s="11" t="s">
        <v>17825</v>
      </c>
      <c r="S2136" s="11" t="s">
        <v>17750</v>
      </c>
    </row>
    <row r="2137" spans="1:19" x14ac:dyDescent="0.2">
      <c r="A2137" s="11" t="s">
        <v>30249</v>
      </c>
      <c r="B2137" s="9" t="s">
        <v>30250</v>
      </c>
      <c r="C2137" s="9" t="s">
        <v>30251</v>
      </c>
      <c r="D2137" s="9" t="s">
        <v>30252</v>
      </c>
      <c r="E2137" s="9" t="s">
        <v>17740</v>
      </c>
      <c r="F2137" s="9" t="s">
        <v>17741</v>
      </c>
      <c r="G2137" s="9" t="s">
        <v>17740</v>
      </c>
      <c r="H2137" s="11" t="s">
        <v>11864</v>
      </c>
      <c r="I2137" s="11" t="s">
        <v>11863</v>
      </c>
      <c r="J2137" s="11" t="s">
        <v>11863</v>
      </c>
      <c r="K2137" s="9" t="s">
        <v>291</v>
      </c>
      <c r="L2137" s="9" t="s">
        <v>17744</v>
      </c>
      <c r="M2137" s="9" t="s">
        <v>19032</v>
      </c>
      <c r="N2137" s="9" t="s">
        <v>17746</v>
      </c>
      <c r="O2137" s="9" t="s">
        <v>3524</v>
      </c>
      <c r="P2137" s="9" t="s">
        <v>17748</v>
      </c>
      <c r="Q2137" s="11" t="s">
        <v>17762</v>
      </c>
      <c r="R2137" s="11" t="s">
        <v>17762</v>
      </c>
      <c r="S2137" s="11" t="s">
        <v>17750</v>
      </c>
    </row>
    <row r="2138" spans="1:19" x14ac:dyDescent="0.2">
      <c r="A2138" s="11" t="s">
        <v>30253</v>
      </c>
      <c r="B2138" s="9" t="s">
        <v>30254</v>
      </c>
      <c r="C2138" s="9" t="s">
        <v>30255</v>
      </c>
      <c r="D2138" s="9" t="s">
        <v>30256</v>
      </c>
      <c r="E2138" s="9" t="s">
        <v>17740</v>
      </c>
      <c r="F2138" s="9" t="s">
        <v>17741</v>
      </c>
      <c r="G2138" s="9" t="s">
        <v>17740</v>
      </c>
      <c r="H2138" s="11" t="s">
        <v>11035</v>
      </c>
      <c r="I2138" s="11" t="s">
        <v>17741</v>
      </c>
      <c r="J2138" s="11" t="s">
        <v>11035</v>
      </c>
      <c r="K2138" s="9" t="s">
        <v>18570</v>
      </c>
      <c r="L2138" s="9" t="s">
        <v>17744</v>
      </c>
      <c r="M2138" s="9" t="s">
        <v>17741</v>
      </c>
      <c r="N2138" s="9" t="s">
        <v>17746</v>
      </c>
      <c r="O2138" s="9" t="s">
        <v>26112</v>
      </c>
      <c r="P2138" s="9" t="s">
        <v>17748</v>
      </c>
      <c r="Q2138" s="11" t="s">
        <v>17984</v>
      </c>
      <c r="R2138" s="11" t="s">
        <v>17984</v>
      </c>
      <c r="S2138" s="11" t="s">
        <v>17750</v>
      </c>
    </row>
    <row r="2139" spans="1:19" x14ac:dyDescent="0.2">
      <c r="A2139" s="11" t="s">
        <v>30257</v>
      </c>
      <c r="B2139" s="9" t="s">
        <v>5445</v>
      </c>
      <c r="C2139" s="9" t="s">
        <v>30258</v>
      </c>
      <c r="D2139" s="9" t="s">
        <v>5445</v>
      </c>
      <c r="E2139" s="9" t="s">
        <v>17740</v>
      </c>
      <c r="F2139" s="9" t="s">
        <v>17741</v>
      </c>
      <c r="G2139" s="9" t="s">
        <v>17740</v>
      </c>
      <c r="H2139" s="11" t="s">
        <v>5447</v>
      </c>
      <c r="I2139" s="11" t="s">
        <v>5446</v>
      </c>
      <c r="J2139" s="11" t="s">
        <v>5446</v>
      </c>
      <c r="K2139" s="9" t="s">
        <v>30259</v>
      </c>
      <c r="L2139" s="9" t="s">
        <v>17744</v>
      </c>
      <c r="M2139" s="9" t="s">
        <v>17817</v>
      </c>
      <c r="N2139" s="9" t="s">
        <v>17746</v>
      </c>
      <c r="O2139" s="9" t="s">
        <v>773</v>
      </c>
      <c r="P2139" s="9" t="s">
        <v>17748</v>
      </c>
      <c r="Q2139" s="11" t="s">
        <v>17749</v>
      </c>
      <c r="R2139" s="11" t="s">
        <v>17749</v>
      </c>
      <c r="S2139" s="11" t="s">
        <v>17750</v>
      </c>
    </row>
    <row r="2140" spans="1:19" x14ac:dyDescent="0.2">
      <c r="A2140" s="11" t="s">
        <v>30260</v>
      </c>
      <c r="B2140" s="9" t="s">
        <v>30261</v>
      </c>
      <c r="C2140" s="9" t="s">
        <v>30262</v>
      </c>
      <c r="D2140" s="9" t="s">
        <v>30263</v>
      </c>
      <c r="E2140" s="9" t="s">
        <v>17740</v>
      </c>
      <c r="F2140" s="9" t="s">
        <v>30264</v>
      </c>
      <c r="G2140" s="9" t="s">
        <v>17740</v>
      </c>
      <c r="H2140" s="11" t="s">
        <v>1719</v>
      </c>
      <c r="I2140" s="11" t="s">
        <v>1718</v>
      </c>
      <c r="J2140" s="11" t="s">
        <v>1718</v>
      </c>
      <c r="K2140" s="9" t="s">
        <v>17783</v>
      </c>
      <c r="L2140" s="9" t="s">
        <v>17759</v>
      </c>
      <c r="M2140" s="9" t="s">
        <v>19314</v>
      </c>
      <c r="N2140" s="9" t="s">
        <v>17746</v>
      </c>
      <c r="O2140" s="9" t="s">
        <v>24236</v>
      </c>
      <c r="P2140" s="9" t="s">
        <v>17748</v>
      </c>
      <c r="Q2140" s="11" t="s">
        <v>18341</v>
      </c>
      <c r="R2140" s="11" t="s">
        <v>18341</v>
      </c>
      <c r="S2140" s="11" t="s">
        <v>17750</v>
      </c>
    </row>
    <row r="2141" spans="1:19" x14ac:dyDescent="0.2">
      <c r="A2141" s="11" t="s">
        <v>30265</v>
      </c>
      <c r="B2141" s="9" t="s">
        <v>30266</v>
      </c>
      <c r="C2141" s="9" t="s">
        <v>30267</v>
      </c>
      <c r="D2141" s="9" t="s">
        <v>30268</v>
      </c>
      <c r="E2141" s="9" t="s">
        <v>17748</v>
      </c>
      <c r="F2141" s="9" t="s">
        <v>30269</v>
      </c>
      <c r="G2141" s="9" t="s">
        <v>17740</v>
      </c>
      <c r="H2141" s="11" t="s">
        <v>30270</v>
      </c>
      <c r="I2141" s="11" t="s">
        <v>30271</v>
      </c>
      <c r="J2141" s="11" t="s">
        <v>17741</v>
      </c>
      <c r="K2141" s="9" t="s">
        <v>10332</v>
      </c>
      <c r="L2141" s="9" t="s">
        <v>17759</v>
      </c>
      <c r="M2141" s="9" t="s">
        <v>17741</v>
      </c>
      <c r="N2141" s="9" t="s">
        <v>17746</v>
      </c>
      <c r="O2141" s="9" t="s">
        <v>30272</v>
      </c>
      <c r="P2141" s="9" t="s">
        <v>17748</v>
      </c>
      <c r="Q2141" s="11" t="s">
        <v>17923</v>
      </c>
      <c r="R2141" s="11" t="s">
        <v>17923</v>
      </c>
      <c r="S2141" s="11" t="s">
        <v>17750</v>
      </c>
    </row>
    <row r="2142" spans="1:19" x14ac:dyDescent="0.2">
      <c r="A2142" s="11" t="s">
        <v>30273</v>
      </c>
      <c r="B2142" s="9" t="s">
        <v>30274</v>
      </c>
      <c r="C2142" s="9" t="s">
        <v>30275</v>
      </c>
      <c r="D2142" s="9" t="s">
        <v>30276</v>
      </c>
      <c r="E2142" s="9" t="s">
        <v>17740</v>
      </c>
      <c r="F2142" s="9" t="s">
        <v>30277</v>
      </c>
      <c r="G2142" s="9" t="s">
        <v>17740</v>
      </c>
      <c r="H2142" s="11" t="s">
        <v>17741</v>
      </c>
      <c r="I2142" s="11" t="s">
        <v>30278</v>
      </c>
      <c r="J2142" s="11" t="s">
        <v>30278</v>
      </c>
      <c r="K2142" s="9" t="s">
        <v>30279</v>
      </c>
      <c r="L2142" s="9" t="s">
        <v>17759</v>
      </c>
      <c r="M2142" s="9" t="s">
        <v>17817</v>
      </c>
      <c r="N2142" s="9" t="s">
        <v>17746</v>
      </c>
      <c r="O2142" s="9" t="s">
        <v>22217</v>
      </c>
      <c r="P2142" s="9" t="s">
        <v>17748</v>
      </c>
      <c r="Q2142" s="11" t="s">
        <v>17808</v>
      </c>
      <c r="R2142" s="11" t="s">
        <v>17808</v>
      </c>
      <c r="S2142" s="11" t="s">
        <v>17750</v>
      </c>
    </row>
    <row r="2143" spans="1:19" x14ac:dyDescent="0.2">
      <c r="A2143" s="11" t="s">
        <v>30280</v>
      </c>
      <c r="B2143" s="9" t="s">
        <v>30281</v>
      </c>
      <c r="C2143" s="9" t="s">
        <v>30282</v>
      </c>
      <c r="D2143" s="9" t="s">
        <v>30283</v>
      </c>
      <c r="E2143" s="9" t="s">
        <v>17740</v>
      </c>
      <c r="F2143" s="9" t="s">
        <v>17741</v>
      </c>
      <c r="G2143" s="9" t="s">
        <v>17740</v>
      </c>
      <c r="H2143" s="11" t="s">
        <v>30284</v>
      </c>
      <c r="I2143" s="11" t="s">
        <v>30285</v>
      </c>
      <c r="J2143" s="11" t="s">
        <v>30284</v>
      </c>
      <c r="K2143" s="9" t="s">
        <v>30286</v>
      </c>
      <c r="L2143" s="9" t="s">
        <v>18158</v>
      </c>
      <c r="M2143" s="9" t="s">
        <v>30287</v>
      </c>
      <c r="N2143" s="9" t="s">
        <v>18185</v>
      </c>
      <c r="O2143" s="9" t="s">
        <v>17818</v>
      </c>
      <c r="P2143" s="9" t="s">
        <v>17748</v>
      </c>
      <c r="Q2143" s="11" t="s">
        <v>17984</v>
      </c>
      <c r="R2143" s="11" t="s">
        <v>17984</v>
      </c>
      <c r="S2143" s="11" t="s">
        <v>17750</v>
      </c>
    </row>
    <row r="2144" spans="1:19" x14ac:dyDescent="0.2">
      <c r="A2144" s="11" t="s">
        <v>30288</v>
      </c>
      <c r="B2144" s="9" t="s">
        <v>30289</v>
      </c>
      <c r="C2144" s="9" t="s">
        <v>30290</v>
      </c>
      <c r="D2144" s="9" t="s">
        <v>30291</v>
      </c>
      <c r="E2144" s="9" t="s">
        <v>17740</v>
      </c>
      <c r="F2144" s="9" t="s">
        <v>30292</v>
      </c>
      <c r="G2144" s="9" t="s">
        <v>17740</v>
      </c>
      <c r="H2144" s="11" t="s">
        <v>1671</v>
      </c>
      <c r="I2144" s="11" t="s">
        <v>1670</v>
      </c>
      <c r="J2144" s="11" t="s">
        <v>1670</v>
      </c>
      <c r="K2144" s="9" t="s">
        <v>17089</v>
      </c>
      <c r="L2144" s="9" t="s">
        <v>18158</v>
      </c>
      <c r="M2144" s="9" t="s">
        <v>17817</v>
      </c>
      <c r="N2144" s="9" t="s">
        <v>17746</v>
      </c>
      <c r="O2144" s="9" t="s">
        <v>3255</v>
      </c>
      <c r="P2144" s="9" t="s">
        <v>17748</v>
      </c>
      <c r="Q2144" s="11" t="s">
        <v>19515</v>
      </c>
      <c r="R2144" s="11" t="s">
        <v>19515</v>
      </c>
      <c r="S2144" s="11" t="s">
        <v>17750</v>
      </c>
    </row>
    <row r="2145" spans="1:19" x14ac:dyDescent="0.2">
      <c r="A2145" s="11" t="s">
        <v>30293</v>
      </c>
      <c r="B2145" s="9" t="s">
        <v>30294</v>
      </c>
      <c r="C2145" s="9" t="s">
        <v>30295</v>
      </c>
      <c r="D2145" s="9" t="s">
        <v>30296</v>
      </c>
      <c r="E2145" s="9" t="s">
        <v>17740</v>
      </c>
      <c r="F2145" s="9" t="s">
        <v>17741</v>
      </c>
      <c r="G2145" s="9" t="s">
        <v>17740</v>
      </c>
      <c r="H2145" s="11" t="s">
        <v>30297</v>
      </c>
      <c r="I2145" s="11" t="s">
        <v>30298</v>
      </c>
      <c r="J2145" s="11" t="s">
        <v>30298</v>
      </c>
      <c r="K2145" s="9" t="s">
        <v>296</v>
      </c>
      <c r="L2145" s="9" t="s">
        <v>17759</v>
      </c>
      <c r="M2145" s="9" t="s">
        <v>30299</v>
      </c>
      <c r="N2145" s="9" t="s">
        <v>17746</v>
      </c>
      <c r="O2145" s="9" t="s">
        <v>19391</v>
      </c>
      <c r="P2145" s="9" t="s">
        <v>17748</v>
      </c>
      <c r="Q2145" s="11" t="s">
        <v>17849</v>
      </c>
      <c r="R2145" s="11" t="s">
        <v>17849</v>
      </c>
      <c r="S2145" s="11" t="s">
        <v>17750</v>
      </c>
    </row>
    <row r="2146" spans="1:19" x14ac:dyDescent="0.2">
      <c r="A2146" s="11" t="s">
        <v>30300</v>
      </c>
      <c r="B2146" s="9" t="s">
        <v>30301</v>
      </c>
      <c r="C2146" s="9" t="s">
        <v>30302</v>
      </c>
      <c r="D2146" s="9" t="s">
        <v>4942</v>
      </c>
      <c r="E2146" s="9" t="s">
        <v>17740</v>
      </c>
      <c r="F2146" s="9" t="s">
        <v>17741</v>
      </c>
      <c r="G2146" s="9" t="s">
        <v>17740</v>
      </c>
      <c r="H2146" s="11" t="s">
        <v>4944</v>
      </c>
      <c r="I2146" s="11" t="s">
        <v>4943</v>
      </c>
      <c r="J2146" s="11" t="s">
        <v>4943</v>
      </c>
      <c r="K2146" s="9" t="s">
        <v>291</v>
      </c>
      <c r="L2146" s="9" t="s">
        <v>17744</v>
      </c>
      <c r="M2146" s="9" t="s">
        <v>17778</v>
      </c>
      <c r="N2146" s="9" t="s">
        <v>17746</v>
      </c>
      <c r="O2146" s="9" t="s">
        <v>17977</v>
      </c>
      <c r="P2146" s="9" t="s">
        <v>17748</v>
      </c>
      <c r="Q2146" s="11" t="s">
        <v>18678</v>
      </c>
      <c r="R2146" s="11" t="s">
        <v>18678</v>
      </c>
      <c r="S2146" s="11" t="s">
        <v>17750</v>
      </c>
    </row>
    <row r="2147" spans="1:19" x14ac:dyDescent="0.2">
      <c r="A2147" s="11" t="s">
        <v>30303</v>
      </c>
      <c r="B2147" s="9" t="s">
        <v>30304</v>
      </c>
      <c r="C2147" s="9" t="s">
        <v>30305</v>
      </c>
      <c r="D2147" s="9" t="s">
        <v>30306</v>
      </c>
      <c r="E2147" s="9" t="s">
        <v>17740</v>
      </c>
      <c r="F2147" s="9" t="s">
        <v>30307</v>
      </c>
      <c r="G2147" s="9" t="s">
        <v>17740</v>
      </c>
      <c r="H2147" s="11" t="s">
        <v>7940</v>
      </c>
      <c r="I2147" s="11" t="s">
        <v>7939</v>
      </c>
      <c r="J2147" s="11" t="s">
        <v>7939</v>
      </c>
      <c r="K2147" s="9" t="s">
        <v>91</v>
      </c>
      <c r="L2147" s="9" t="s">
        <v>23607</v>
      </c>
      <c r="M2147" s="9" t="s">
        <v>17769</v>
      </c>
      <c r="N2147" s="9" t="s">
        <v>17746</v>
      </c>
      <c r="O2147" s="9" t="s">
        <v>1535</v>
      </c>
      <c r="P2147" s="9" t="s">
        <v>17748</v>
      </c>
      <c r="Q2147" s="11" t="s">
        <v>18798</v>
      </c>
      <c r="R2147" s="11" t="s">
        <v>18798</v>
      </c>
      <c r="S2147" s="11" t="s">
        <v>17750</v>
      </c>
    </row>
    <row r="2148" spans="1:19" x14ac:dyDescent="0.2">
      <c r="A2148" s="11" t="s">
        <v>30308</v>
      </c>
      <c r="B2148" s="9" t="s">
        <v>30309</v>
      </c>
      <c r="C2148" s="9" t="s">
        <v>30310</v>
      </c>
      <c r="D2148" s="9" t="s">
        <v>30311</v>
      </c>
      <c r="E2148" s="9" t="s">
        <v>17740</v>
      </c>
      <c r="F2148" s="9" t="s">
        <v>17741</v>
      </c>
      <c r="G2148" s="9" t="s">
        <v>17740</v>
      </c>
      <c r="H2148" s="11" t="s">
        <v>17741</v>
      </c>
      <c r="I2148" s="11" t="s">
        <v>30312</v>
      </c>
      <c r="J2148" s="11" t="s">
        <v>30312</v>
      </c>
      <c r="K2148" s="9" t="s">
        <v>30313</v>
      </c>
      <c r="L2148" s="9" t="s">
        <v>17958</v>
      </c>
      <c r="M2148" s="9" t="s">
        <v>17769</v>
      </c>
      <c r="N2148" s="9" t="s">
        <v>22152</v>
      </c>
      <c r="O2148" s="9" t="s">
        <v>18088</v>
      </c>
      <c r="P2148" s="9" t="s">
        <v>17748</v>
      </c>
      <c r="Q2148" s="11" t="s">
        <v>18433</v>
      </c>
      <c r="R2148" s="11" t="s">
        <v>18433</v>
      </c>
      <c r="S2148" s="11" t="s">
        <v>17750</v>
      </c>
    </row>
    <row r="2149" spans="1:19" x14ac:dyDescent="0.2">
      <c r="A2149" s="11" t="s">
        <v>30314</v>
      </c>
      <c r="B2149" s="9" t="s">
        <v>30315</v>
      </c>
      <c r="C2149" s="9" t="s">
        <v>30316</v>
      </c>
      <c r="D2149" s="9" t="s">
        <v>30317</v>
      </c>
      <c r="E2149" s="9" t="s">
        <v>17740</v>
      </c>
      <c r="F2149" s="9" t="s">
        <v>17741</v>
      </c>
      <c r="G2149" s="9" t="s">
        <v>17740</v>
      </c>
      <c r="H2149" s="11" t="s">
        <v>17741</v>
      </c>
      <c r="I2149" s="11" t="s">
        <v>30318</v>
      </c>
      <c r="J2149" s="11" t="s">
        <v>30318</v>
      </c>
      <c r="K2149" s="9" t="s">
        <v>30319</v>
      </c>
      <c r="L2149" s="9" t="s">
        <v>30320</v>
      </c>
      <c r="M2149" s="9" t="s">
        <v>18211</v>
      </c>
      <c r="N2149" s="9" t="s">
        <v>17746</v>
      </c>
      <c r="O2149" s="9" t="s">
        <v>18363</v>
      </c>
      <c r="P2149" s="9" t="s">
        <v>17748</v>
      </c>
      <c r="Q2149" s="11" t="s">
        <v>17917</v>
      </c>
      <c r="R2149" s="11" t="s">
        <v>17917</v>
      </c>
      <c r="S2149" s="11" t="s">
        <v>17750</v>
      </c>
    </row>
    <row r="2150" spans="1:19" x14ac:dyDescent="0.2">
      <c r="A2150" s="11" t="s">
        <v>30321</v>
      </c>
      <c r="B2150" s="9" t="s">
        <v>1736</v>
      </c>
      <c r="C2150" s="9" t="s">
        <v>30322</v>
      </c>
      <c r="D2150" s="9" t="s">
        <v>1736</v>
      </c>
      <c r="E2150" s="9" t="s">
        <v>17740</v>
      </c>
      <c r="F2150" s="9" t="s">
        <v>17741</v>
      </c>
      <c r="G2150" s="9" t="s">
        <v>17740</v>
      </c>
      <c r="H2150" s="11" t="s">
        <v>1738</v>
      </c>
      <c r="I2150" s="11" t="s">
        <v>1737</v>
      </c>
      <c r="J2150" s="11" t="s">
        <v>1737</v>
      </c>
      <c r="K2150" s="9" t="s">
        <v>30323</v>
      </c>
      <c r="L2150" s="9" t="s">
        <v>17744</v>
      </c>
      <c r="M2150" s="9" t="s">
        <v>30324</v>
      </c>
      <c r="N2150" s="9" t="s">
        <v>17746</v>
      </c>
      <c r="O2150" s="9" t="s">
        <v>1675</v>
      </c>
      <c r="P2150" s="9" t="s">
        <v>17748</v>
      </c>
      <c r="Q2150" s="11" t="s">
        <v>18556</v>
      </c>
      <c r="R2150" s="11" t="s">
        <v>18556</v>
      </c>
      <c r="S2150" s="11" t="s">
        <v>17750</v>
      </c>
    </row>
    <row r="2151" spans="1:19" x14ac:dyDescent="0.2">
      <c r="A2151" s="11" t="s">
        <v>30325</v>
      </c>
      <c r="B2151" s="9" t="s">
        <v>30326</v>
      </c>
      <c r="C2151" s="9" t="s">
        <v>30327</v>
      </c>
      <c r="D2151" s="9" t="s">
        <v>30328</v>
      </c>
      <c r="E2151" s="9" t="s">
        <v>17740</v>
      </c>
      <c r="F2151" s="9" t="s">
        <v>17741</v>
      </c>
      <c r="G2151" s="9" t="s">
        <v>17740</v>
      </c>
      <c r="H2151" s="11" t="s">
        <v>30329</v>
      </c>
      <c r="I2151" s="11" t="s">
        <v>12794</v>
      </c>
      <c r="J2151" s="11" t="s">
        <v>12794</v>
      </c>
      <c r="K2151" s="9" t="s">
        <v>30330</v>
      </c>
      <c r="L2151" s="9" t="s">
        <v>20598</v>
      </c>
      <c r="M2151" s="9" t="s">
        <v>26994</v>
      </c>
      <c r="N2151" s="9" t="s">
        <v>17746</v>
      </c>
      <c r="O2151" s="9" t="s">
        <v>1675</v>
      </c>
      <c r="P2151" s="9" t="s">
        <v>17748</v>
      </c>
      <c r="Q2151" s="11" t="s">
        <v>17917</v>
      </c>
      <c r="R2151" s="11" t="s">
        <v>17917</v>
      </c>
      <c r="S2151" s="11" t="s">
        <v>17750</v>
      </c>
    </row>
    <row r="2152" spans="1:19" x14ac:dyDescent="0.2">
      <c r="A2152" s="11" t="s">
        <v>30331</v>
      </c>
      <c r="B2152" s="9" t="s">
        <v>30332</v>
      </c>
      <c r="C2152" s="9" t="s">
        <v>30333</v>
      </c>
      <c r="D2152" s="9" t="s">
        <v>14585</v>
      </c>
      <c r="E2152" s="9" t="s">
        <v>17740</v>
      </c>
      <c r="F2152" s="9" t="s">
        <v>17741</v>
      </c>
      <c r="G2152" s="9" t="s">
        <v>17740</v>
      </c>
      <c r="H2152" s="11" t="s">
        <v>14587</v>
      </c>
      <c r="I2152" s="11" t="s">
        <v>14586</v>
      </c>
      <c r="J2152" s="11" t="s">
        <v>17741</v>
      </c>
      <c r="K2152" s="9" t="s">
        <v>10332</v>
      </c>
      <c r="L2152" s="9" t="s">
        <v>17759</v>
      </c>
      <c r="M2152" s="9" t="s">
        <v>17769</v>
      </c>
      <c r="N2152" s="9" t="s">
        <v>17746</v>
      </c>
      <c r="O2152" s="9" t="s">
        <v>30334</v>
      </c>
      <c r="P2152" s="9" t="s">
        <v>17748</v>
      </c>
      <c r="Q2152" s="11" t="s">
        <v>17900</v>
      </c>
      <c r="R2152" s="11" t="s">
        <v>17900</v>
      </c>
      <c r="S2152" s="11" t="s">
        <v>17750</v>
      </c>
    </row>
    <row r="2153" spans="1:19" x14ac:dyDescent="0.2">
      <c r="A2153" s="11" t="s">
        <v>30335</v>
      </c>
      <c r="B2153" s="9" t="s">
        <v>30336</v>
      </c>
      <c r="C2153" s="9" t="s">
        <v>30337</v>
      </c>
      <c r="D2153" s="9" t="s">
        <v>30338</v>
      </c>
      <c r="E2153" s="9" t="s">
        <v>17740</v>
      </c>
      <c r="F2153" s="9" t="s">
        <v>30339</v>
      </c>
      <c r="G2153" s="9" t="s">
        <v>17740</v>
      </c>
      <c r="H2153" s="11" t="s">
        <v>1727</v>
      </c>
      <c r="I2153" s="11" t="s">
        <v>1726</v>
      </c>
      <c r="J2153" s="11" t="s">
        <v>1726</v>
      </c>
      <c r="K2153" s="9" t="s">
        <v>18176</v>
      </c>
      <c r="L2153" s="9" t="s">
        <v>18123</v>
      </c>
      <c r="M2153" s="9" t="s">
        <v>18177</v>
      </c>
      <c r="N2153" s="9" t="s">
        <v>17746</v>
      </c>
      <c r="O2153" s="9" t="s">
        <v>18331</v>
      </c>
      <c r="P2153" s="9" t="s">
        <v>17748</v>
      </c>
      <c r="Q2153" s="11" t="s">
        <v>19335</v>
      </c>
      <c r="R2153" s="11" t="s">
        <v>19335</v>
      </c>
      <c r="S2153" s="11" t="s">
        <v>17750</v>
      </c>
    </row>
    <row r="2154" spans="1:19" x14ac:dyDescent="0.2">
      <c r="A2154" s="11" t="s">
        <v>30340</v>
      </c>
      <c r="B2154" s="9" t="s">
        <v>30341</v>
      </c>
      <c r="C2154" s="9" t="s">
        <v>30342</v>
      </c>
      <c r="D2154" s="9" t="s">
        <v>30343</v>
      </c>
      <c r="E2154" s="9" t="s">
        <v>17740</v>
      </c>
      <c r="F2154" s="9" t="s">
        <v>17741</v>
      </c>
      <c r="G2154" s="9" t="s">
        <v>17740</v>
      </c>
      <c r="H2154" s="11" t="s">
        <v>1744</v>
      </c>
      <c r="I2154" s="11" t="s">
        <v>1743</v>
      </c>
      <c r="J2154" s="11" t="s">
        <v>1743</v>
      </c>
      <c r="K2154" s="9" t="s">
        <v>21054</v>
      </c>
      <c r="L2154" s="9" t="s">
        <v>17759</v>
      </c>
      <c r="M2154" s="9" t="s">
        <v>17817</v>
      </c>
      <c r="N2154" s="9" t="s">
        <v>17746</v>
      </c>
      <c r="O2154" s="9" t="s">
        <v>28577</v>
      </c>
      <c r="P2154" s="9" t="s">
        <v>17748</v>
      </c>
      <c r="Q2154" s="11" t="s">
        <v>19082</v>
      </c>
      <c r="R2154" s="11" t="s">
        <v>19082</v>
      </c>
      <c r="S2154" s="11" t="s">
        <v>17750</v>
      </c>
    </row>
    <row r="2155" spans="1:19" x14ac:dyDescent="0.2">
      <c r="A2155" s="11" t="s">
        <v>30344</v>
      </c>
      <c r="B2155" s="9" t="s">
        <v>30345</v>
      </c>
      <c r="C2155" s="9" t="s">
        <v>30346</v>
      </c>
      <c r="D2155" s="9" t="s">
        <v>30347</v>
      </c>
      <c r="E2155" s="9" t="s">
        <v>17740</v>
      </c>
      <c r="F2155" s="9" t="s">
        <v>17741</v>
      </c>
      <c r="G2155" s="9" t="s">
        <v>17740</v>
      </c>
      <c r="H2155" s="11" t="s">
        <v>4918</v>
      </c>
      <c r="I2155" s="11" t="s">
        <v>4917</v>
      </c>
      <c r="J2155" s="11" t="s">
        <v>4917</v>
      </c>
      <c r="K2155" s="9" t="s">
        <v>291</v>
      </c>
      <c r="L2155" s="9" t="s">
        <v>17744</v>
      </c>
      <c r="M2155" s="9" t="s">
        <v>20397</v>
      </c>
      <c r="N2155" s="9" t="s">
        <v>17746</v>
      </c>
      <c r="O2155" s="9" t="s">
        <v>30348</v>
      </c>
      <c r="P2155" s="9" t="s">
        <v>17748</v>
      </c>
      <c r="Q2155" s="11" t="s">
        <v>18364</v>
      </c>
      <c r="R2155" s="11" t="s">
        <v>18364</v>
      </c>
      <c r="S2155" s="11" t="s">
        <v>17750</v>
      </c>
    </row>
    <row r="2156" spans="1:19" x14ac:dyDescent="0.2">
      <c r="A2156" s="11" t="s">
        <v>30349</v>
      </c>
      <c r="B2156" s="9" t="s">
        <v>30350</v>
      </c>
      <c r="C2156" s="9" t="s">
        <v>30351</v>
      </c>
      <c r="D2156" s="9" t="s">
        <v>30352</v>
      </c>
      <c r="E2156" s="9" t="s">
        <v>17748</v>
      </c>
      <c r="F2156" s="9" t="s">
        <v>30353</v>
      </c>
      <c r="G2156" s="9" t="s">
        <v>17740</v>
      </c>
      <c r="H2156" s="11" t="s">
        <v>8412</v>
      </c>
      <c r="I2156" s="11" t="s">
        <v>8411</v>
      </c>
      <c r="J2156" s="11" t="s">
        <v>8411</v>
      </c>
      <c r="K2156" s="9" t="s">
        <v>91</v>
      </c>
      <c r="L2156" s="9" t="s">
        <v>20359</v>
      </c>
      <c r="M2156" s="9" t="s">
        <v>17817</v>
      </c>
      <c r="N2156" s="9" t="s">
        <v>18042</v>
      </c>
      <c r="O2156" s="9" t="s">
        <v>18331</v>
      </c>
      <c r="P2156" s="9" t="s">
        <v>17748</v>
      </c>
      <c r="Q2156" s="11" t="s">
        <v>17784</v>
      </c>
      <c r="R2156" s="11" t="s">
        <v>17784</v>
      </c>
      <c r="S2156" s="11" t="s">
        <v>17750</v>
      </c>
    </row>
    <row r="2157" spans="1:19" x14ac:dyDescent="0.2">
      <c r="A2157" s="11" t="s">
        <v>30354</v>
      </c>
      <c r="B2157" s="9" t="s">
        <v>1751</v>
      </c>
      <c r="C2157" s="9" t="s">
        <v>30355</v>
      </c>
      <c r="D2157" s="9" t="s">
        <v>1751</v>
      </c>
      <c r="E2157" s="9" t="s">
        <v>17740</v>
      </c>
      <c r="F2157" s="9" t="s">
        <v>30356</v>
      </c>
      <c r="G2157" s="9" t="s">
        <v>17740</v>
      </c>
      <c r="H2157" s="11" t="s">
        <v>1753</v>
      </c>
      <c r="I2157" s="11" t="s">
        <v>1752</v>
      </c>
      <c r="J2157" s="11" t="s">
        <v>1752</v>
      </c>
      <c r="K2157" s="9" t="s">
        <v>1754</v>
      </c>
      <c r="L2157" s="9" t="s">
        <v>17991</v>
      </c>
      <c r="M2157" s="9" t="s">
        <v>19314</v>
      </c>
      <c r="N2157" s="9" t="s">
        <v>17746</v>
      </c>
      <c r="O2157" s="9" t="s">
        <v>7097</v>
      </c>
      <c r="P2157" s="9" t="s">
        <v>17748</v>
      </c>
      <c r="Q2157" s="11" t="s">
        <v>18132</v>
      </c>
      <c r="R2157" s="11" t="s">
        <v>18132</v>
      </c>
      <c r="S2157" s="11" t="s">
        <v>17750</v>
      </c>
    </row>
    <row r="2158" spans="1:19" x14ac:dyDescent="0.2">
      <c r="A2158" s="11" t="s">
        <v>30357</v>
      </c>
      <c r="B2158" s="9" t="s">
        <v>30358</v>
      </c>
      <c r="C2158" s="9" t="s">
        <v>30359</v>
      </c>
      <c r="D2158" s="9" t="s">
        <v>6810</v>
      </c>
      <c r="E2158" s="9" t="s">
        <v>17740</v>
      </c>
      <c r="F2158" s="9" t="s">
        <v>17741</v>
      </c>
      <c r="G2158" s="9" t="s">
        <v>17740</v>
      </c>
      <c r="H2158" s="11" t="s">
        <v>6812</v>
      </c>
      <c r="I2158" s="11" t="s">
        <v>6811</v>
      </c>
      <c r="J2158" s="11" t="s">
        <v>6811</v>
      </c>
      <c r="K2158" s="9" t="s">
        <v>22893</v>
      </c>
      <c r="L2158" s="9" t="s">
        <v>17744</v>
      </c>
      <c r="M2158" s="9" t="s">
        <v>30360</v>
      </c>
      <c r="N2158" s="9" t="s">
        <v>17746</v>
      </c>
      <c r="O2158" s="9" t="s">
        <v>7097</v>
      </c>
      <c r="P2158" s="9" t="s">
        <v>17748</v>
      </c>
      <c r="Q2158" s="11" t="s">
        <v>19361</v>
      </c>
      <c r="R2158" s="11" t="s">
        <v>19361</v>
      </c>
      <c r="S2158" s="11" t="s">
        <v>17750</v>
      </c>
    </row>
    <row r="2159" spans="1:19" x14ac:dyDescent="0.2">
      <c r="A2159" s="11" t="s">
        <v>30361</v>
      </c>
      <c r="B2159" s="9" t="s">
        <v>30362</v>
      </c>
      <c r="C2159" s="9" t="s">
        <v>30363</v>
      </c>
      <c r="D2159" s="9" t="s">
        <v>1756</v>
      </c>
      <c r="E2159" s="9" t="s">
        <v>17740</v>
      </c>
      <c r="F2159" s="9" t="s">
        <v>17741</v>
      </c>
      <c r="G2159" s="9" t="s">
        <v>17740</v>
      </c>
      <c r="H2159" s="11" t="s">
        <v>17741</v>
      </c>
      <c r="I2159" s="11" t="s">
        <v>1757</v>
      </c>
      <c r="J2159" s="11" t="s">
        <v>1757</v>
      </c>
      <c r="K2159" s="9" t="s">
        <v>30364</v>
      </c>
      <c r="L2159" s="9" t="s">
        <v>18158</v>
      </c>
      <c r="M2159" s="9" t="s">
        <v>17778</v>
      </c>
      <c r="N2159" s="9" t="s">
        <v>18185</v>
      </c>
      <c r="O2159" s="9" t="s">
        <v>7097</v>
      </c>
      <c r="P2159" s="9" t="s">
        <v>17748</v>
      </c>
      <c r="Q2159" s="11" t="s">
        <v>18433</v>
      </c>
      <c r="R2159" s="11" t="s">
        <v>18433</v>
      </c>
      <c r="S2159" s="11" t="s">
        <v>17750</v>
      </c>
    </row>
    <row r="2160" spans="1:19" x14ac:dyDescent="0.2">
      <c r="A2160" s="11" t="s">
        <v>30365</v>
      </c>
      <c r="B2160" s="9" t="s">
        <v>30366</v>
      </c>
      <c r="C2160" s="9" t="s">
        <v>30367</v>
      </c>
      <c r="D2160" s="9" t="s">
        <v>30368</v>
      </c>
      <c r="E2160" s="9" t="s">
        <v>17740</v>
      </c>
      <c r="F2160" s="9" t="s">
        <v>17741</v>
      </c>
      <c r="G2160" s="9" t="s">
        <v>17740</v>
      </c>
      <c r="H2160" s="11" t="s">
        <v>1750</v>
      </c>
      <c r="I2160" s="11" t="s">
        <v>1749</v>
      </c>
      <c r="J2160" s="11" t="s">
        <v>1749</v>
      </c>
      <c r="K2160" s="9" t="s">
        <v>303</v>
      </c>
      <c r="L2160" s="9" t="s">
        <v>17759</v>
      </c>
      <c r="M2160" s="9" t="s">
        <v>17760</v>
      </c>
      <c r="N2160" s="9" t="s">
        <v>17746</v>
      </c>
      <c r="O2160" s="9" t="s">
        <v>3276</v>
      </c>
      <c r="P2160" s="9" t="s">
        <v>17748</v>
      </c>
      <c r="Q2160" s="11" t="s">
        <v>18960</v>
      </c>
      <c r="R2160" s="11" t="s">
        <v>18960</v>
      </c>
      <c r="S2160" s="11" t="s">
        <v>17750</v>
      </c>
    </row>
    <row r="2161" spans="1:19" x14ac:dyDescent="0.2">
      <c r="A2161" s="11" t="s">
        <v>30369</v>
      </c>
      <c r="B2161" s="9" t="s">
        <v>30370</v>
      </c>
      <c r="C2161" s="9" t="s">
        <v>30371</v>
      </c>
      <c r="D2161" s="9" t="s">
        <v>30372</v>
      </c>
      <c r="E2161" s="9" t="s">
        <v>17740</v>
      </c>
      <c r="F2161" s="9" t="s">
        <v>17741</v>
      </c>
      <c r="G2161" s="9" t="s">
        <v>17740</v>
      </c>
      <c r="H2161" s="11" t="s">
        <v>30373</v>
      </c>
      <c r="I2161" s="11" t="s">
        <v>30374</v>
      </c>
      <c r="J2161" s="11" t="s">
        <v>30374</v>
      </c>
      <c r="K2161" s="9" t="s">
        <v>30375</v>
      </c>
      <c r="L2161" s="9" t="s">
        <v>19491</v>
      </c>
      <c r="M2161" s="9" t="s">
        <v>18051</v>
      </c>
      <c r="N2161" s="9" t="s">
        <v>17746</v>
      </c>
      <c r="O2161" s="9" t="s">
        <v>18035</v>
      </c>
      <c r="P2161" s="9" t="s">
        <v>17748</v>
      </c>
      <c r="Q2161" s="11" t="s">
        <v>18201</v>
      </c>
      <c r="R2161" s="11" t="s">
        <v>18201</v>
      </c>
      <c r="S2161" s="11" t="s">
        <v>17750</v>
      </c>
    </row>
    <row r="2162" spans="1:19" x14ac:dyDescent="0.2">
      <c r="A2162" s="11" t="s">
        <v>30376</v>
      </c>
      <c r="B2162" s="9" t="s">
        <v>30377</v>
      </c>
      <c r="C2162" s="9" t="s">
        <v>30378</v>
      </c>
      <c r="D2162" s="9" t="s">
        <v>30379</v>
      </c>
      <c r="E2162" s="9" t="s">
        <v>17740</v>
      </c>
      <c r="F2162" s="9" t="s">
        <v>17741</v>
      </c>
      <c r="G2162" s="9" t="s">
        <v>17740</v>
      </c>
      <c r="H2162" s="11" t="s">
        <v>17741</v>
      </c>
      <c r="I2162" s="11" t="s">
        <v>30380</v>
      </c>
      <c r="J2162" s="11" t="s">
        <v>30380</v>
      </c>
      <c r="K2162" s="9" t="s">
        <v>30381</v>
      </c>
      <c r="L2162" s="9" t="s">
        <v>18001</v>
      </c>
      <c r="M2162" s="9" t="s">
        <v>17741</v>
      </c>
      <c r="N2162" s="9" t="s">
        <v>17746</v>
      </c>
      <c r="O2162" s="9" t="s">
        <v>3100</v>
      </c>
      <c r="P2162" s="9" t="s">
        <v>17748</v>
      </c>
      <c r="Q2162" s="11" t="s">
        <v>17883</v>
      </c>
      <c r="R2162" s="11" t="s">
        <v>17883</v>
      </c>
      <c r="S2162" s="11" t="s">
        <v>17750</v>
      </c>
    </row>
    <row r="2163" spans="1:19" x14ac:dyDescent="0.2">
      <c r="A2163" s="11" t="s">
        <v>30382</v>
      </c>
      <c r="B2163" s="9" t="s">
        <v>30383</v>
      </c>
      <c r="C2163" s="9" t="s">
        <v>30384</v>
      </c>
      <c r="D2163" s="9" t="s">
        <v>30385</v>
      </c>
      <c r="E2163" s="9" t="s">
        <v>17740</v>
      </c>
      <c r="F2163" s="9" t="s">
        <v>30386</v>
      </c>
      <c r="G2163" s="9" t="s">
        <v>17740</v>
      </c>
      <c r="H2163" s="11" t="s">
        <v>17741</v>
      </c>
      <c r="I2163" s="11" t="s">
        <v>13174</v>
      </c>
      <c r="J2163" s="11" t="s">
        <v>13174</v>
      </c>
      <c r="K2163" s="9" t="s">
        <v>18727</v>
      </c>
      <c r="L2163" s="9" t="s">
        <v>18158</v>
      </c>
      <c r="M2163" s="9" t="s">
        <v>17942</v>
      </c>
      <c r="N2163" s="9" t="s">
        <v>17746</v>
      </c>
      <c r="O2163" s="9" t="s">
        <v>3391</v>
      </c>
      <c r="P2163" s="9" t="s">
        <v>17748</v>
      </c>
      <c r="Q2163" s="11" t="s">
        <v>19335</v>
      </c>
      <c r="R2163" s="11" t="s">
        <v>19335</v>
      </c>
      <c r="S2163" s="11" t="s">
        <v>17750</v>
      </c>
    </row>
    <row r="2164" spans="1:19" x14ac:dyDescent="0.2">
      <c r="A2164" s="11" t="s">
        <v>30387</v>
      </c>
      <c r="B2164" s="9" t="s">
        <v>30388</v>
      </c>
      <c r="C2164" s="9" t="s">
        <v>30389</v>
      </c>
      <c r="D2164" s="9" t="s">
        <v>30390</v>
      </c>
      <c r="E2164" s="9" t="s">
        <v>17740</v>
      </c>
      <c r="F2164" s="9" t="s">
        <v>30391</v>
      </c>
      <c r="G2164" s="9" t="s">
        <v>17740</v>
      </c>
      <c r="H2164" s="11" t="s">
        <v>30392</v>
      </c>
      <c r="I2164" s="11" t="s">
        <v>30393</v>
      </c>
      <c r="J2164" s="11" t="s">
        <v>30393</v>
      </c>
      <c r="K2164" s="9" t="s">
        <v>30394</v>
      </c>
      <c r="L2164" s="9" t="s">
        <v>18158</v>
      </c>
      <c r="M2164" s="9" t="s">
        <v>17769</v>
      </c>
      <c r="N2164" s="9" t="s">
        <v>18185</v>
      </c>
      <c r="O2164" s="9" t="s">
        <v>18035</v>
      </c>
      <c r="P2164" s="9" t="s">
        <v>17748</v>
      </c>
      <c r="Q2164" s="11" t="s">
        <v>19515</v>
      </c>
      <c r="R2164" s="11" t="s">
        <v>19515</v>
      </c>
      <c r="S2164" s="11" t="s">
        <v>17750</v>
      </c>
    </row>
    <row r="2165" spans="1:19" x14ac:dyDescent="0.2">
      <c r="A2165" s="11" t="s">
        <v>30395</v>
      </c>
      <c r="B2165" s="9" t="s">
        <v>30396</v>
      </c>
      <c r="C2165" s="9" t="s">
        <v>30397</v>
      </c>
      <c r="D2165" s="9" t="s">
        <v>30396</v>
      </c>
      <c r="E2165" s="9" t="s">
        <v>17740</v>
      </c>
      <c r="F2165" s="9" t="s">
        <v>17741</v>
      </c>
      <c r="G2165" s="9" t="s">
        <v>17740</v>
      </c>
      <c r="H2165" s="11" t="s">
        <v>17741</v>
      </c>
      <c r="I2165" s="11" t="s">
        <v>30398</v>
      </c>
      <c r="J2165" s="11" t="s">
        <v>30398</v>
      </c>
      <c r="K2165" s="9" t="s">
        <v>8618</v>
      </c>
      <c r="L2165" s="9" t="s">
        <v>19134</v>
      </c>
      <c r="M2165" s="9" t="s">
        <v>24658</v>
      </c>
      <c r="N2165" s="9" t="s">
        <v>19135</v>
      </c>
      <c r="O2165" s="9" t="s">
        <v>17993</v>
      </c>
      <c r="P2165" s="9" t="s">
        <v>17748</v>
      </c>
      <c r="Q2165" s="11" t="s">
        <v>20936</v>
      </c>
      <c r="R2165" s="11" t="s">
        <v>20936</v>
      </c>
      <c r="S2165" s="11" t="s">
        <v>17750</v>
      </c>
    </row>
    <row r="2166" spans="1:19" x14ac:dyDescent="0.2">
      <c r="A2166" s="11" t="s">
        <v>30399</v>
      </c>
      <c r="B2166" s="9" t="s">
        <v>30400</v>
      </c>
      <c r="C2166" s="9" t="s">
        <v>30401</v>
      </c>
      <c r="D2166" s="9" t="s">
        <v>30402</v>
      </c>
      <c r="E2166" s="9" t="s">
        <v>17740</v>
      </c>
      <c r="F2166" s="9" t="s">
        <v>17741</v>
      </c>
      <c r="G2166" s="9" t="s">
        <v>17740</v>
      </c>
      <c r="H2166" s="11" t="s">
        <v>10259</v>
      </c>
      <c r="I2166" s="11" t="s">
        <v>17741</v>
      </c>
      <c r="J2166" s="11" t="s">
        <v>10259</v>
      </c>
      <c r="K2166" s="9" t="s">
        <v>18570</v>
      </c>
      <c r="L2166" s="9" t="s">
        <v>17744</v>
      </c>
      <c r="M2166" s="9" t="s">
        <v>17942</v>
      </c>
      <c r="N2166" s="9" t="s">
        <v>17746</v>
      </c>
      <c r="O2166" s="9" t="s">
        <v>30403</v>
      </c>
      <c r="P2166" s="9" t="s">
        <v>17748</v>
      </c>
      <c r="Q2166" s="11" t="s">
        <v>17780</v>
      </c>
      <c r="R2166" s="11" t="s">
        <v>17780</v>
      </c>
      <c r="S2166" s="11" t="s">
        <v>17750</v>
      </c>
    </row>
    <row r="2167" spans="1:19" x14ac:dyDescent="0.2">
      <c r="A2167" s="11" t="s">
        <v>30404</v>
      </c>
      <c r="B2167" s="9" t="s">
        <v>30405</v>
      </c>
      <c r="C2167" s="9" t="s">
        <v>30406</v>
      </c>
      <c r="D2167" s="9" t="s">
        <v>30407</v>
      </c>
      <c r="E2167" s="9" t="s">
        <v>17740</v>
      </c>
      <c r="F2167" s="9" t="s">
        <v>17741</v>
      </c>
      <c r="G2167" s="9" t="s">
        <v>17740</v>
      </c>
      <c r="H2167" s="11" t="s">
        <v>17741</v>
      </c>
      <c r="I2167" s="11" t="s">
        <v>30408</v>
      </c>
      <c r="J2167" s="11" t="s">
        <v>30408</v>
      </c>
      <c r="K2167" s="9" t="s">
        <v>30409</v>
      </c>
      <c r="L2167" s="9" t="s">
        <v>17759</v>
      </c>
      <c r="M2167" s="9" t="s">
        <v>30410</v>
      </c>
      <c r="N2167" s="9" t="s">
        <v>17746</v>
      </c>
      <c r="O2167" s="9" t="s">
        <v>17848</v>
      </c>
      <c r="P2167" s="9" t="s">
        <v>17748</v>
      </c>
      <c r="Q2167" s="11" t="s">
        <v>20433</v>
      </c>
      <c r="R2167" s="11" t="s">
        <v>20433</v>
      </c>
      <c r="S2167" s="11" t="s">
        <v>17750</v>
      </c>
    </row>
    <row r="2168" spans="1:19" x14ac:dyDescent="0.2">
      <c r="A2168" s="11" t="s">
        <v>30411</v>
      </c>
      <c r="B2168" s="9" t="s">
        <v>30412</v>
      </c>
      <c r="C2168" s="9" t="s">
        <v>30413</v>
      </c>
      <c r="D2168" s="9" t="s">
        <v>30414</v>
      </c>
      <c r="E2168" s="9" t="s">
        <v>17740</v>
      </c>
      <c r="F2168" s="9" t="s">
        <v>30415</v>
      </c>
      <c r="G2168" s="9" t="s">
        <v>17740</v>
      </c>
      <c r="H2168" s="11" t="s">
        <v>17741</v>
      </c>
      <c r="I2168" s="11" t="s">
        <v>30416</v>
      </c>
      <c r="J2168" s="11" t="s">
        <v>30416</v>
      </c>
      <c r="K2168" s="9" t="s">
        <v>30417</v>
      </c>
      <c r="L2168" s="9" t="s">
        <v>17759</v>
      </c>
      <c r="M2168" s="9" t="s">
        <v>18211</v>
      </c>
      <c r="N2168" s="9" t="s">
        <v>17746</v>
      </c>
      <c r="O2168" s="9" t="s">
        <v>18340</v>
      </c>
      <c r="P2168" s="9" t="s">
        <v>17748</v>
      </c>
      <c r="Q2168" s="11" t="s">
        <v>18080</v>
      </c>
      <c r="R2168" s="11" t="s">
        <v>18080</v>
      </c>
      <c r="S2168" s="11" t="s">
        <v>17750</v>
      </c>
    </row>
    <row r="2169" spans="1:19" x14ac:dyDescent="0.2">
      <c r="A2169" s="11" t="s">
        <v>30418</v>
      </c>
      <c r="B2169" s="9" t="s">
        <v>30419</v>
      </c>
      <c r="C2169" s="9" t="s">
        <v>30420</v>
      </c>
      <c r="D2169" s="9" t="s">
        <v>30421</v>
      </c>
      <c r="E2169" s="9" t="s">
        <v>17740</v>
      </c>
      <c r="F2169" s="9" t="s">
        <v>30422</v>
      </c>
      <c r="G2169" s="9" t="s">
        <v>17740</v>
      </c>
      <c r="H2169" s="11" t="s">
        <v>17741</v>
      </c>
      <c r="I2169" s="11" t="s">
        <v>30423</v>
      </c>
      <c r="J2169" s="11" t="s">
        <v>30423</v>
      </c>
      <c r="K2169" s="9" t="s">
        <v>30424</v>
      </c>
      <c r="L2169" s="9" t="s">
        <v>17759</v>
      </c>
      <c r="M2169" s="9" t="s">
        <v>17817</v>
      </c>
      <c r="N2169" s="9" t="s">
        <v>17746</v>
      </c>
      <c r="O2169" s="9" t="s">
        <v>17993</v>
      </c>
      <c r="P2169" s="9" t="s">
        <v>17748</v>
      </c>
      <c r="Q2169" s="11" t="s">
        <v>17749</v>
      </c>
      <c r="R2169" s="11" t="s">
        <v>17749</v>
      </c>
      <c r="S2169" s="11" t="s">
        <v>17750</v>
      </c>
    </row>
    <row r="2170" spans="1:19" x14ac:dyDescent="0.2">
      <c r="A2170" s="11" t="s">
        <v>30425</v>
      </c>
      <c r="B2170" s="9" t="s">
        <v>30426</v>
      </c>
      <c r="C2170" s="9" t="s">
        <v>30427</v>
      </c>
      <c r="D2170" s="9" t="s">
        <v>30428</v>
      </c>
      <c r="E2170" s="9" t="s">
        <v>17740</v>
      </c>
      <c r="F2170" s="9" t="s">
        <v>17741</v>
      </c>
      <c r="G2170" s="9" t="s">
        <v>17740</v>
      </c>
      <c r="H2170" s="11" t="s">
        <v>17741</v>
      </c>
      <c r="I2170" s="11" t="s">
        <v>30429</v>
      </c>
      <c r="J2170" s="11" t="s">
        <v>30429</v>
      </c>
      <c r="K2170" s="9" t="s">
        <v>30424</v>
      </c>
      <c r="L2170" s="9" t="s">
        <v>17759</v>
      </c>
      <c r="M2170" s="9" t="s">
        <v>17817</v>
      </c>
      <c r="N2170" s="9" t="s">
        <v>17746</v>
      </c>
      <c r="O2170" s="9" t="s">
        <v>18009</v>
      </c>
      <c r="P2170" s="9" t="s">
        <v>17748</v>
      </c>
      <c r="Q2170" s="11" t="s">
        <v>17749</v>
      </c>
      <c r="R2170" s="11" t="s">
        <v>17749</v>
      </c>
      <c r="S2170" s="11" t="s">
        <v>17750</v>
      </c>
    </row>
    <row r="2171" spans="1:19" x14ac:dyDescent="0.2">
      <c r="A2171" s="11" t="s">
        <v>30430</v>
      </c>
      <c r="B2171" s="9" t="s">
        <v>30431</v>
      </c>
      <c r="C2171" s="9" t="s">
        <v>30432</v>
      </c>
      <c r="D2171" s="9" t="s">
        <v>30433</v>
      </c>
      <c r="E2171" s="9" t="s">
        <v>17740</v>
      </c>
      <c r="F2171" s="9" t="s">
        <v>17741</v>
      </c>
      <c r="G2171" s="9" t="s">
        <v>17740</v>
      </c>
      <c r="H2171" s="11" t="s">
        <v>17741</v>
      </c>
      <c r="I2171" s="11" t="s">
        <v>30434</v>
      </c>
      <c r="J2171" s="11" t="s">
        <v>30434</v>
      </c>
      <c r="K2171" s="9" t="s">
        <v>30435</v>
      </c>
      <c r="L2171" s="9" t="s">
        <v>17759</v>
      </c>
      <c r="M2171" s="9" t="s">
        <v>30436</v>
      </c>
      <c r="N2171" s="9" t="s">
        <v>17746</v>
      </c>
      <c r="O2171" s="9" t="s">
        <v>19275</v>
      </c>
      <c r="P2171" s="9" t="s">
        <v>17748</v>
      </c>
      <c r="Q2171" s="11" t="s">
        <v>19882</v>
      </c>
      <c r="R2171" s="11" t="s">
        <v>19882</v>
      </c>
      <c r="S2171" s="11" t="s">
        <v>17750</v>
      </c>
    </row>
    <row r="2172" spans="1:19" x14ac:dyDescent="0.2">
      <c r="A2172" s="11" t="s">
        <v>30437</v>
      </c>
      <c r="B2172" s="9" t="s">
        <v>30438</v>
      </c>
      <c r="C2172" s="9" t="s">
        <v>30439</v>
      </c>
      <c r="D2172" s="9" t="s">
        <v>30440</v>
      </c>
      <c r="E2172" s="9" t="s">
        <v>17740</v>
      </c>
      <c r="F2172" s="9" t="s">
        <v>17741</v>
      </c>
      <c r="G2172" s="9" t="s">
        <v>17740</v>
      </c>
      <c r="H2172" s="11" t="s">
        <v>17741</v>
      </c>
      <c r="I2172" s="11" t="s">
        <v>30441</v>
      </c>
      <c r="J2172" s="11" t="s">
        <v>30441</v>
      </c>
      <c r="K2172" s="9" t="s">
        <v>30424</v>
      </c>
      <c r="L2172" s="9" t="s">
        <v>17759</v>
      </c>
      <c r="M2172" s="9" t="s">
        <v>17817</v>
      </c>
      <c r="N2172" s="9" t="s">
        <v>17746</v>
      </c>
      <c r="O2172" s="9" t="s">
        <v>17993</v>
      </c>
      <c r="P2172" s="9" t="s">
        <v>17748</v>
      </c>
      <c r="Q2172" s="11" t="s">
        <v>18201</v>
      </c>
      <c r="R2172" s="11" t="s">
        <v>18201</v>
      </c>
      <c r="S2172" s="11" t="s">
        <v>17750</v>
      </c>
    </row>
    <row r="2173" spans="1:19" x14ac:dyDescent="0.2">
      <c r="A2173" s="11" t="s">
        <v>30442</v>
      </c>
      <c r="B2173" s="9" t="s">
        <v>30443</v>
      </c>
      <c r="C2173" s="9" t="s">
        <v>30444</v>
      </c>
      <c r="D2173" s="9" t="s">
        <v>30445</v>
      </c>
      <c r="E2173" s="9" t="s">
        <v>17740</v>
      </c>
      <c r="F2173" s="9" t="s">
        <v>30446</v>
      </c>
      <c r="G2173" s="9" t="s">
        <v>17740</v>
      </c>
      <c r="H2173" s="11" t="s">
        <v>17741</v>
      </c>
      <c r="I2173" s="11" t="s">
        <v>30447</v>
      </c>
      <c r="J2173" s="11" t="s">
        <v>30447</v>
      </c>
      <c r="K2173" s="9" t="s">
        <v>30448</v>
      </c>
      <c r="L2173" s="9" t="s">
        <v>17759</v>
      </c>
      <c r="M2173" s="9" t="s">
        <v>17817</v>
      </c>
      <c r="N2173" s="9" t="s">
        <v>17746</v>
      </c>
      <c r="O2173" s="9" t="s">
        <v>18514</v>
      </c>
      <c r="P2173" s="9" t="s">
        <v>17748</v>
      </c>
      <c r="Q2173" s="11" t="s">
        <v>17749</v>
      </c>
      <c r="R2173" s="11" t="s">
        <v>17749</v>
      </c>
      <c r="S2173" s="11" t="s">
        <v>17750</v>
      </c>
    </row>
    <row r="2174" spans="1:19" x14ac:dyDescent="0.2">
      <c r="A2174" s="11" t="s">
        <v>30449</v>
      </c>
      <c r="B2174" s="9" t="s">
        <v>30450</v>
      </c>
      <c r="C2174" s="9" t="s">
        <v>30451</v>
      </c>
      <c r="D2174" s="9" t="s">
        <v>30452</v>
      </c>
      <c r="E2174" s="9" t="s">
        <v>17740</v>
      </c>
      <c r="F2174" s="9" t="s">
        <v>17741</v>
      </c>
      <c r="G2174" s="9" t="s">
        <v>17740</v>
      </c>
      <c r="H2174" s="11" t="s">
        <v>6142</v>
      </c>
      <c r="I2174" s="11" t="s">
        <v>6141</v>
      </c>
      <c r="J2174" s="11" t="s">
        <v>6141</v>
      </c>
      <c r="K2174" s="9" t="s">
        <v>17758</v>
      </c>
      <c r="L2174" s="9" t="s">
        <v>17759</v>
      </c>
      <c r="M2174" s="9" t="s">
        <v>17769</v>
      </c>
      <c r="N2174" s="9" t="s">
        <v>17746</v>
      </c>
      <c r="O2174" s="9" t="s">
        <v>17834</v>
      </c>
      <c r="P2174" s="9" t="s">
        <v>17748</v>
      </c>
      <c r="Q2174" s="11" t="s">
        <v>17792</v>
      </c>
      <c r="R2174" s="11" t="s">
        <v>17792</v>
      </c>
      <c r="S2174" s="11" t="s">
        <v>17750</v>
      </c>
    </row>
    <row r="2175" spans="1:19" x14ac:dyDescent="0.2">
      <c r="A2175" s="11" t="s">
        <v>30453</v>
      </c>
      <c r="B2175" s="9" t="s">
        <v>30454</v>
      </c>
      <c r="C2175" s="9" t="s">
        <v>30455</v>
      </c>
      <c r="D2175" s="9" t="s">
        <v>30456</v>
      </c>
      <c r="E2175" s="9" t="s">
        <v>17740</v>
      </c>
      <c r="F2175" s="9" t="s">
        <v>17741</v>
      </c>
      <c r="G2175" s="9" t="s">
        <v>17740</v>
      </c>
      <c r="H2175" s="11" t="s">
        <v>17741</v>
      </c>
      <c r="I2175" s="11" t="s">
        <v>30457</v>
      </c>
      <c r="J2175" s="11" t="s">
        <v>30457</v>
      </c>
      <c r="K2175" s="9" t="s">
        <v>30458</v>
      </c>
      <c r="L2175" s="9" t="s">
        <v>17759</v>
      </c>
      <c r="M2175" s="9" t="s">
        <v>17817</v>
      </c>
      <c r="N2175" s="9" t="s">
        <v>17746</v>
      </c>
      <c r="O2175" s="9" t="s">
        <v>11197</v>
      </c>
      <c r="P2175" s="9" t="s">
        <v>17748</v>
      </c>
      <c r="Q2175" s="11" t="s">
        <v>17792</v>
      </c>
      <c r="R2175" s="11" t="s">
        <v>17792</v>
      </c>
      <c r="S2175" s="11" t="s">
        <v>17750</v>
      </c>
    </row>
    <row r="2176" spans="1:19" x14ac:dyDescent="0.2">
      <c r="A2176" s="11" t="s">
        <v>30459</v>
      </c>
      <c r="B2176" s="9" t="s">
        <v>30460</v>
      </c>
      <c r="C2176" s="9" t="s">
        <v>30461</v>
      </c>
      <c r="D2176" s="9" t="s">
        <v>30462</v>
      </c>
      <c r="E2176" s="9" t="s">
        <v>17740</v>
      </c>
      <c r="F2176" s="9" t="s">
        <v>17741</v>
      </c>
      <c r="G2176" s="9" t="s">
        <v>17740</v>
      </c>
      <c r="H2176" s="11" t="s">
        <v>17741</v>
      </c>
      <c r="I2176" s="11" t="s">
        <v>30463</v>
      </c>
      <c r="J2176" s="11" t="s">
        <v>30463</v>
      </c>
      <c r="K2176" s="9" t="s">
        <v>30464</v>
      </c>
      <c r="L2176" s="9" t="s">
        <v>17759</v>
      </c>
      <c r="M2176" s="9" t="s">
        <v>18745</v>
      </c>
      <c r="N2176" s="9" t="s">
        <v>17746</v>
      </c>
      <c r="O2176" s="9" t="s">
        <v>30465</v>
      </c>
      <c r="P2176" s="9" t="s">
        <v>17748</v>
      </c>
      <c r="Q2176" s="11" t="s">
        <v>19945</v>
      </c>
      <c r="R2176" s="11" t="s">
        <v>19945</v>
      </c>
      <c r="S2176" s="11" t="s">
        <v>17750</v>
      </c>
    </row>
    <row r="2177" spans="1:19" x14ac:dyDescent="0.2">
      <c r="A2177" s="11" t="s">
        <v>30466</v>
      </c>
      <c r="B2177" s="9" t="s">
        <v>30467</v>
      </c>
      <c r="C2177" s="9" t="s">
        <v>30468</v>
      </c>
      <c r="D2177" s="9" t="s">
        <v>30469</v>
      </c>
      <c r="E2177" s="9" t="s">
        <v>17740</v>
      </c>
      <c r="F2177" s="9" t="s">
        <v>30470</v>
      </c>
      <c r="G2177" s="9" t="s">
        <v>17740</v>
      </c>
      <c r="H2177" s="11" t="s">
        <v>17741</v>
      </c>
      <c r="I2177" s="11" t="s">
        <v>30471</v>
      </c>
      <c r="J2177" s="11" t="s">
        <v>30471</v>
      </c>
      <c r="K2177" s="9" t="s">
        <v>970</v>
      </c>
      <c r="L2177" s="9" t="s">
        <v>17759</v>
      </c>
      <c r="M2177" s="9" t="s">
        <v>17769</v>
      </c>
      <c r="N2177" s="9" t="s">
        <v>17746</v>
      </c>
      <c r="O2177" s="9" t="s">
        <v>30472</v>
      </c>
      <c r="P2177" s="9" t="s">
        <v>17748</v>
      </c>
      <c r="Q2177" s="11" t="s">
        <v>19899</v>
      </c>
      <c r="R2177" s="11" t="s">
        <v>19899</v>
      </c>
      <c r="S2177" s="11" t="s">
        <v>17750</v>
      </c>
    </row>
    <row r="2178" spans="1:19" x14ac:dyDescent="0.2">
      <c r="A2178" s="11" t="s">
        <v>30473</v>
      </c>
      <c r="B2178" s="9" t="s">
        <v>30474</v>
      </c>
      <c r="C2178" s="9" t="s">
        <v>30475</v>
      </c>
      <c r="D2178" s="9" t="s">
        <v>1762</v>
      </c>
      <c r="E2178" s="9" t="s">
        <v>17740</v>
      </c>
      <c r="F2178" s="9" t="s">
        <v>17741</v>
      </c>
      <c r="G2178" s="9" t="s">
        <v>17740</v>
      </c>
      <c r="H2178" s="11" t="s">
        <v>1764</v>
      </c>
      <c r="I2178" s="11" t="s">
        <v>1763</v>
      </c>
      <c r="J2178" s="11" t="s">
        <v>1763</v>
      </c>
      <c r="K2178" s="9" t="s">
        <v>167</v>
      </c>
      <c r="L2178" s="9" t="s">
        <v>18158</v>
      </c>
      <c r="M2178" s="9" t="s">
        <v>17817</v>
      </c>
      <c r="N2178" s="9" t="s">
        <v>18185</v>
      </c>
      <c r="O2178" s="9" t="s">
        <v>5790</v>
      </c>
      <c r="P2178" s="9" t="s">
        <v>17748</v>
      </c>
      <c r="Q2178" s="11" t="s">
        <v>17931</v>
      </c>
      <c r="R2178" s="11" t="s">
        <v>17931</v>
      </c>
      <c r="S2178" s="11" t="s">
        <v>17750</v>
      </c>
    </row>
    <row r="2179" spans="1:19" x14ac:dyDescent="0.2">
      <c r="A2179" s="11" t="s">
        <v>30476</v>
      </c>
      <c r="B2179" s="9" t="s">
        <v>30477</v>
      </c>
      <c r="C2179" s="9" t="s">
        <v>30478</v>
      </c>
      <c r="D2179" s="9" t="s">
        <v>30479</v>
      </c>
      <c r="E2179" s="9" t="s">
        <v>17748</v>
      </c>
      <c r="F2179" s="9" t="s">
        <v>30480</v>
      </c>
      <c r="G2179" s="9" t="s">
        <v>17740</v>
      </c>
      <c r="H2179" s="11" t="s">
        <v>30481</v>
      </c>
      <c r="I2179" s="11" t="s">
        <v>30482</v>
      </c>
      <c r="J2179" s="11" t="s">
        <v>30481</v>
      </c>
      <c r="K2179" s="9" t="s">
        <v>30483</v>
      </c>
      <c r="L2179" s="9" t="s">
        <v>17759</v>
      </c>
      <c r="M2179" s="9" t="s">
        <v>17817</v>
      </c>
      <c r="N2179" s="9" t="s">
        <v>17746</v>
      </c>
      <c r="O2179" s="9" t="s">
        <v>27127</v>
      </c>
      <c r="P2179" s="9" t="s">
        <v>17748</v>
      </c>
      <c r="Q2179" s="11" t="s">
        <v>17923</v>
      </c>
      <c r="R2179" s="11" t="s">
        <v>17923</v>
      </c>
      <c r="S2179" s="11" t="s">
        <v>17750</v>
      </c>
    </row>
    <row r="2180" spans="1:19" x14ac:dyDescent="0.2">
      <c r="A2180" s="11" t="s">
        <v>30484</v>
      </c>
      <c r="B2180" s="9" t="s">
        <v>30485</v>
      </c>
      <c r="C2180" s="9" t="s">
        <v>30486</v>
      </c>
      <c r="D2180" s="9" t="s">
        <v>30487</v>
      </c>
      <c r="E2180" s="9" t="s">
        <v>17748</v>
      </c>
      <c r="F2180" s="9" t="s">
        <v>30488</v>
      </c>
      <c r="G2180" s="9" t="s">
        <v>17740</v>
      </c>
      <c r="H2180" s="11" t="s">
        <v>17741</v>
      </c>
      <c r="I2180" s="11" t="s">
        <v>17741</v>
      </c>
      <c r="J2180" s="11" t="s">
        <v>17741</v>
      </c>
      <c r="K2180" s="9" t="s">
        <v>30489</v>
      </c>
      <c r="L2180" s="9" t="s">
        <v>17759</v>
      </c>
      <c r="M2180" s="9" t="s">
        <v>17760</v>
      </c>
      <c r="N2180" s="9" t="s">
        <v>17746</v>
      </c>
      <c r="O2180" s="9" t="s">
        <v>18340</v>
      </c>
      <c r="P2180" s="9" t="s">
        <v>17748</v>
      </c>
      <c r="Q2180" s="11" t="s">
        <v>17900</v>
      </c>
      <c r="R2180" s="11" t="s">
        <v>17900</v>
      </c>
      <c r="S2180" s="11" t="s">
        <v>17750</v>
      </c>
    </row>
    <row r="2181" spans="1:19" x14ac:dyDescent="0.2">
      <c r="A2181" s="11" t="s">
        <v>30490</v>
      </c>
      <c r="B2181" s="9" t="s">
        <v>30491</v>
      </c>
      <c r="C2181" s="9" t="s">
        <v>30492</v>
      </c>
      <c r="D2181" s="9" t="s">
        <v>30493</v>
      </c>
      <c r="E2181" s="9" t="s">
        <v>17740</v>
      </c>
      <c r="F2181" s="9" t="s">
        <v>17741</v>
      </c>
      <c r="G2181" s="9" t="s">
        <v>17740</v>
      </c>
      <c r="H2181" s="11" t="s">
        <v>30494</v>
      </c>
      <c r="I2181" s="11" t="s">
        <v>17741</v>
      </c>
      <c r="J2181" s="11" t="s">
        <v>30494</v>
      </c>
      <c r="K2181" s="9" t="s">
        <v>18570</v>
      </c>
      <c r="L2181" s="9" t="s">
        <v>17744</v>
      </c>
      <c r="M2181" s="9" t="s">
        <v>17741</v>
      </c>
      <c r="N2181" s="9" t="s">
        <v>17746</v>
      </c>
      <c r="O2181" s="9" t="s">
        <v>30495</v>
      </c>
      <c r="P2181" s="9" t="s">
        <v>17748</v>
      </c>
      <c r="Q2181" s="11" t="s">
        <v>17984</v>
      </c>
      <c r="R2181" s="11" t="s">
        <v>17984</v>
      </c>
      <c r="S2181" s="11" t="s">
        <v>17750</v>
      </c>
    </row>
    <row r="2182" spans="1:19" x14ac:dyDescent="0.2">
      <c r="A2182" s="11" t="s">
        <v>30496</v>
      </c>
      <c r="B2182" s="9" t="s">
        <v>30497</v>
      </c>
      <c r="C2182" s="9" t="s">
        <v>30498</v>
      </c>
      <c r="D2182" s="9" t="s">
        <v>30499</v>
      </c>
      <c r="E2182" s="9" t="s">
        <v>17740</v>
      </c>
      <c r="F2182" s="9" t="s">
        <v>30500</v>
      </c>
      <c r="G2182" s="9" t="s">
        <v>17740</v>
      </c>
      <c r="H2182" s="11" t="s">
        <v>5018</v>
      </c>
      <c r="I2182" s="11" t="s">
        <v>5017</v>
      </c>
      <c r="J2182" s="11" t="s">
        <v>5017</v>
      </c>
      <c r="K2182" s="9" t="s">
        <v>22103</v>
      </c>
      <c r="L2182" s="9" t="s">
        <v>17759</v>
      </c>
      <c r="M2182" s="9" t="s">
        <v>18177</v>
      </c>
      <c r="N2182" s="9" t="s">
        <v>17746</v>
      </c>
      <c r="O2182" s="9" t="s">
        <v>20701</v>
      </c>
      <c r="P2182" s="9" t="s">
        <v>17748</v>
      </c>
      <c r="Q2182" s="11" t="s">
        <v>17819</v>
      </c>
      <c r="R2182" s="11" t="s">
        <v>17819</v>
      </c>
      <c r="S2182" s="11" t="s">
        <v>17750</v>
      </c>
    </row>
    <row r="2183" spans="1:19" x14ac:dyDescent="0.2">
      <c r="A2183" s="11" t="s">
        <v>30501</v>
      </c>
      <c r="B2183" s="9" t="s">
        <v>30502</v>
      </c>
      <c r="C2183" s="9" t="s">
        <v>30503</v>
      </c>
      <c r="D2183" s="9" t="s">
        <v>30504</v>
      </c>
      <c r="E2183" s="9" t="s">
        <v>17740</v>
      </c>
      <c r="F2183" s="9" t="s">
        <v>17741</v>
      </c>
      <c r="G2183" s="9" t="s">
        <v>17740</v>
      </c>
      <c r="H2183" s="11" t="s">
        <v>30505</v>
      </c>
      <c r="I2183" s="11" t="s">
        <v>30506</v>
      </c>
      <c r="J2183" s="11" t="s">
        <v>17741</v>
      </c>
      <c r="K2183" s="9" t="s">
        <v>940</v>
      </c>
      <c r="L2183" s="9" t="s">
        <v>17759</v>
      </c>
      <c r="M2183" s="9" t="s">
        <v>17760</v>
      </c>
      <c r="N2183" s="9" t="s">
        <v>17746</v>
      </c>
      <c r="O2183" s="9" t="s">
        <v>30507</v>
      </c>
      <c r="P2183" s="9" t="s">
        <v>17748</v>
      </c>
      <c r="Q2183" s="11" t="s">
        <v>17917</v>
      </c>
      <c r="R2183" s="11" t="s">
        <v>17917</v>
      </c>
      <c r="S2183" s="11" t="s">
        <v>17750</v>
      </c>
    </row>
    <row r="2184" spans="1:19" x14ac:dyDescent="0.2">
      <c r="A2184" s="11" t="s">
        <v>30508</v>
      </c>
      <c r="B2184" s="9" t="s">
        <v>1769</v>
      </c>
      <c r="C2184" s="9" t="s">
        <v>30509</v>
      </c>
      <c r="D2184" s="9" t="s">
        <v>1769</v>
      </c>
      <c r="E2184" s="9" t="s">
        <v>17740</v>
      </c>
      <c r="F2184" s="9" t="s">
        <v>17741</v>
      </c>
      <c r="G2184" s="9" t="s">
        <v>17740</v>
      </c>
      <c r="H2184" s="11" t="s">
        <v>1771</v>
      </c>
      <c r="I2184" s="11" t="s">
        <v>1770</v>
      </c>
      <c r="J2184" s="11" t="s">
        <v>1770</v>
      </c>
      <c r="K2184" s="9" t="s">
        <v>17805</v>
      </c>
      <c r="L2184" s="9" t="s">
        <v>17759</v>
      </c>
      <c r="M2184" s="9" t="s">
        <v>30510</v>
      </c>
      <c r="N2184" s="9" t="s">
        <v>17746</v>
      </c>
      <c r="O2184" s="9" t="s">
        <v>19127</v>
      </c>
      <c r="P2184" s="9" t="s">
        <v>17748</v>
      </c>
      <c r="Q2184" s="11" t="s">
        <v>18306</v>
      </c>
      <c r="R2184" s="11" t="s">
        <v>18306</v>
      </c>
      <c r="S2184" s="11" t="s">
        <v>17750</v>
      </c>
    </row>
    <row r="2185" spans="1:19" x14ac:dyDescent="0.2">
      <c r="A2185" s="11" t="s">
        <v>30511</v>
      </c>
      <c r="B2185" s="9" t="s">
        <v>30512</v>
      </c>
      <c r="C2185" s="9" t="s">
        <v>30513</v>
      </c>
      <c r="D2185" s="9" t="s">
        <v>30514</v>
      </c>
      <c r="E2185" s="9" t="s">
        <v>17740</v>
      </c>
      <c r="F2185" s="9" t="s">
        <v>30515</v>
      </c>
      <c r="G2185" s="9" t="s">
        <v>17740</v>
      </c>
      <c r="H2185" s="11" t="s">
        <v>6530</v>
      </c>
      <c r="I2185" s="11" t="s">
        <v>6529</v>
      </c>
      <c r="J2185" s="11" t="s">
        <v>6529</v>
      </c>
      <c r="K2185" s="9" t="s">
        <v>91</v>
      </c>
      <c r="L2185" s="9" t="s">
        <v>17744</v>
      </c>
      <c r="M2185" s="9" t="s">
        <v>18533</v>
      </c>
      <c r="N2185" s="9" t="s">
        <v>17746</v>
      </c>
      <c r="O2185" s="9" t="s">
        <v>24577</v>
      </c>
      <c r="P2185" s="9" t="s">
        <v>17748</v>
      </c>
      <c r="Q2185" s="11" t="s">
        <v>19361</v>
      </c>
      <c r="R2185" s="11" t="s">
        <v>19361</v>
      </c>
      <c r="S2185" s="11" t="s">
        <v>17750</v>
      </c>
    </row>
    <row r="2186" spans="1:19" x14ac:dyDescent="0.2">
      <c r="A2186" s="11" t="s">
        <v>30516</v>
      </c>
      <c r="B2186" s="9" t="s">
        <v>30517</v>
      </c>
      <c r="C2186" s="9" t="s">
        <v>30518</v>
      </c>
      <c r="D2186" s="9" t="s">
        <v>30519</v>
      </c>
      <c r="E2186" s="9" t="s">
        <v>17740</v>
      </c>
      <c r="F2186" s="9" t="s">
        <v>17741</v>
      </c>
      <c r="G2186" s="9" t="s">
        <v>17740</v>
      </c>
      <c r="H2186" s="11" t="s">
        <v>30520</v>
      </c>
      <c r="I2186" s="11" t="s">
        <v>30521</v>
      </c>
      <c r="J2186" s="11" t="s">
        <v>30521</v>
      </c>
      <c r="K2186" s="9" t="s">
        <v>23527</v>
      </c>
      <c r="L2186" s="9" t="s">
        <v>17744</v>
      </c>
      <c r="M2186" s="9" t="s">
        <v>17769</v>
      </c>
      <c r="N2186" s="9" t="s">
        <v>17746</v>
      </c>
      <c r="O2186" s="9" t="s">
        <v>30522</v>
      </c>
      <c r="P2186" s="9" t="s">
        <v>17748</v>
      </c>
      <c r="Q2186" s="11" t="s">
        <v>17792</v>
      </c>
      <c r="R2186" s="11" t="s">
        <v>17792</v>
      </c>
      <c r="S2186" s="11" t="s">
        <v>17750</v>
      </c>
    </row>
    <row r="2187" spans="1:19" x14ac:dyDescent="0.2">
      <c r="A2187" s="11" t="s">
        <v>30523</v>
      </c>
      <c r="B2187" s="9" t="s">
        <v>30524</v>
      </c>
      <c r="C2187" s="9" t="s">
        <v>30525</v>
      </c>
      <c r="D2187" s="9" t="s">
        <v>30526</v>
      </c>
      <c r="E2187" s="9" t="s">
        <v>17740</v>
      </c>
      <c r="F2187" s="9" t="s">
        <v>17741</v>
      </c>
      <c r="G2187" s="9" t="s">
        <v>17740</v>
      </c>
      <c r="H2187" s="11" t="s">
        <v>30527</v>
      </c>
      <c r="I2187" s="11" t="s">
        <v>30528</v>
      </c>
      <c r="J2187" s="11" t="s">
        <v>30528</v>
      </c>
      <c r="K2187" s="9" t="s">
        <v>55</v>
      </c>
      <c r="L2187" s="9" t="s">
        <v>17759</v>
      </c>
      <c r="M2187" s="9" t="s">
        <v>17760</v>
      </c>
      <c r="N2187" s="9" t="s">
        <v>17746</v>
      </c>
      <c r="O2187" s="9" t="s">
        <v>23651</v>
      </c>
      <c r="P2187" s="9" t="s">
        <v>17748</v>
      </c>
      <c r="Q2187" s="11" t="s">
        <v>19026</v>
      </c>
      <c r="R2187" s="11" t="s">
        <v>19026</v>
      </c>
      <c r="S2187" s="11" t="s">
        <v>17750</v>
      </c>
    </row>
    <row r="2188" spans="1:19" x14ac:dyDescent="0.2">
      <c r="A2188" s="11" t="s">
        <v>30529</v>
      </c>
      <c r="B2188" s="9" t="s">
        <v>30530</v>
      </c>
      <c r="C2188" s="9" t="s">
        <v>30531</v>
      </c>
      <c r="D2188" s="9" t="s">
        <v>30532</v>
      </c>
      <c r="E2188" s="9" t="s">
        <v>17740</v>
      </c>
      <c r="F2188" s="9" t="s">
        <v>17741</v>
      </c>
      <c r="G2188" s="9" t="s">
        <v>17740</v>
      </c>
      <c r="H2188" s="11" t="s">
        <v>30533</v>
      </c>
      <c r="I2188" s="11" t="s">
        <v>30534</v>
      </c>
      <c r="J2188" s="11" t="s">
        <v>30534</v>
      </c>
      <c r="K2188" s="9" t="s">
        <v>19447</v>
      </c>
      <c r="L2188" s="9" t="s">
        <v>17744</v>
      </c>
      <c r="M2188" s="9" t="s">
        <v>17760</v>
      </c>
      <c r="N2188" s="9" t="s">
        <v>17746</v>
      </c>
      <c r="O2188" s="9" t="s">
        <v>17848</v>
      </c>
      <c r="P2188" s="9" t="s">
        <v>17748</v>
      </c>
      <c r="Q2188" s="11" t="s">
        <v>18272</v>
      </c>
      <c r="R2188" s="11" t="s">
        <v>18272</v>
      </c>
      <c r="S2188" s="11" t="s">
        <v>17750</v>
      </c>
    </row>
    <row r="2189" spans="1:19" x14ac:dyDescent="0.2">
      <c r="A2189" s="11" t="s">
        <v>30535</v>
      </c>
      <c r="B2189" s="9" t="s">
        <v>30536</v>
      </c>
      <c r="C2189" s="9" t="s">
        <v>30537</v>
      </c>
      <c r="D2189" s="9" t="s">
        <v>30538</v>
      </c>
      <c r="E2189" s="9" t="s">
        <v>17740</v>
      </c>
      <c r="F2189" s="9" t="s">
        <v>17741</v>
      </c>
      <c r="G2189" s="9" t="s">
        <v>17740</v>
      </c>
      <c r="H2189" s="11" t="s">
        <v>1774</v>
      </c>
      <c r="I2189" s="11" t="s">
        <v>1773</v>
      </c>
      <c r="J2189" s="11" t="s">
        <v>1773</v>
      </c>
      <c r="K2189" s="9" t="s">
        <v>30539</v>
      </c>
      <c r="L2189" s="9" t="s">
        <v>17759</v>
      </c>
      <c r="M2189" s="9" t="s">
        <v>17983</v>
      </c>
      <c r="N2189" s="9" t="s">
        <v>17746</v>
      </c>
      <c r="O2189" s="9" t="s">
        <v>26112</v>
      </c>
      <c r="P2189" s="9" t="s">
        <v>17748</v>
      </c>
      <c r="Q2189" s="11" t="s">
        <v>18433</v>
      </c>
      <c r="R2189" s="11" t="s">
        <v>18433</v>
      </c>
      <c r="S2189" s="11" t="s">
        <v>17750</v>
      </c>
    </row>
    <row r="2190" spans="1:19" x14ac:dyDescent="0.2">
      <c r="A2190" s="11" t="s">
        <v>30540</v>
      </c>
      <c r="B2190" s="9" t="s">
        <v>30541</v>
      </c>
      <c r="C2190" s="9" t="s">
        <v>30542</v>
      </c>
      <c r="D2190" s="9" t="s">
        <v>30543</v>
      </c>
      <c r="E2190" s="9" t="s">
        <v>17740</v>
      </c>
      <c r="F2190" s="9" t="s">
        <v>17741</v>
      </c>
      <c r="G2190" s="9" t="s">
        <v>17740</v>
      </c>
      <c r="H2190" s="11" t="s">
        <v>17741</v>
      </c>
      <c r="I2190" s="11" t="s">
        <v>30544</v>
      </c>
      <c r="J2190" s="11" t="s">
        <v>30544</v>
      </c>
      <c r="K2190" s="9" t="s">
        <v>30545</v>
      </c>
      <c r="L2190" s="9" t="s">
        <v>20082</v>
      </c>
      <c r="M2190" s="9" t="s">
        <v>30546</v>
      </c>
      <c r="N2190" s="9" t="s">
        <v>17746</v>
      </c>
      <c r="O2190" s="9" t="s">
        <v>17747</v>
      </c>
      <c r="P2190" s="9" t="s">
        <v>17748</v>
      </c>
      <c r="Q2190" s="11" t="s">
        <v>18798</v>
      </c>
      <c r="R2190" s="11" t="s">
        <v>18798</v>
      </c>
      <c r="S2190" s="11" t="s">
        <v>17750</v>
      </c>
    </row>
    <row r="2191" spans="1:19" x14ac:dyDescent="0.2">
      <c r="A2191" s="11" t="s">
        <v>30547</v>
      </c>
      <c r="B2191" s="9" t="s">
        <v>30548</v>
      </c>
      <c r="C2191" s="9" t="s">
        <v>30549</v>
      </c>
      <c r="D2191" s="9" t="s">
        <v>30550</v>
      </c>
      <c r="E2191" s="9" t="s">
        <v>17740</v>
      </c>
      <c r="F2191" s="9" t="s">
        <v>17741</v>
      </c>
      <c r="G2191" s="9" t="s">
        <v>17740</v>
      </c>
      <c r="H2191" s="11" t="s">
        <v>30551</v>
      </c>
      <c r="I2191" s="11" t="s">
        <v>30552</v>
      </c>
      <c r="J2191" s="11" t="s">
        <v>30552</v>
      </c>
      <c r="K2191" s="9" t="s">
        <v>30553</v>
      </c>
      <c r="L2191" s="9" t="s">
        <v>17759</v>
      </c>
      <c r="M2191" s="9" t="s">
        <v>19456</v>
      </c>
      <c r="N2191" s="9" t="s">
        <v>17746</v>
      </c>
      <c r="O2191" s="9" t="s">
        <v>30554</v>
      </c>
      <c r="P2191" s="9" t="s">
        <v>17748</v>
      </c>
      <c r="Q2191" s="11" t="s">
        <v>17808</v>
      </c>
      <c r="R2191" s="11" t="s">
        <v>17808</v>
      </c>
      <c r="S2191" s="11" t="s">
        <v>17750</v>
      </c>
    </row>
    <row r="2192" spans="1:19" x14ac:dyDescent="0.2">
      <c r="A2192" s="11" t="s">
        <v>30555</v>
      </c>
      <c r="B2192" s="9" t="s">
        <v>30556</v>
      </c>
      <c r="C2192" s="9" t="s">
        <v>30557</v>
      </c>
      <c r="D2192" s="9" t="s">
        <v>30558</v>
      </c>
      <c r="E2192" s="9" t="s">
        <v>17740</v>
      </c>
      <c r="F2192" s="9" t="s">
        <v>17741</v>
      </c>
      <c r="G2192" s="9" t="s">
        <v>17740</v>
      </c>
      <c r="H2192" s="11" t="s">
        <v>10261</v>
      </c>
      <c r="I2192" s="11" t="s">
        <v>17741</v>
      </c>
      <c r="J2192" s="11" t="s">
        <v>10261</v>
      </c>
      <c r="K2192" s="9" t="s">
        <v>18570</v>
      </c>
      <c r="L2192" s="9" t="s">
        <v>17744</v>
      </c>
      <c r="M2192" s="9" t="s">
        <v>17942</v>
      </c>
      <c r="N2192" s="9" t="s">
        <v>17746</v>
      </c>
      <c r="O2192" s="9" t="s">
        <v>3524</v>
      </c>
      <c r="P2192" s="9" t="s">
        <v>17748</v>
      </c>
      <c r="Q2192" s="11" t="s">
        <v>17858</v>
      </c>
      <c r="R2192" s="11" t="s">
        <v>17858</v>
      </c>
      <c r="S2192" s="11" t="s">
        <v>17750</v>
      </c>
    </row>
    <row r="2193" spans="1:19" x14ac:dyDescent="0.2">
      <c r="A2193" s="11" t="s">
        <v>30559</v>
      </c>
      <c r="B2193" s="9" t="s">
        <v>30560</v>
      </c>
      <c r="C2193" s="9" t="s">
        <v>30561</v>
      </c>
      <c r="D2193" s="9" t="s">
        <v>30562</v>
      </c>
      <c r="E2193" s="9" t="s">
        <v>17740</v>
      </c>
      <c r="F2193" s="9" t="s">
        <v>17741</v>
      </c>
      <c r="G2193" s="9" t="s">
        <v>17740</v>
      </c>
      <c r="H2193" s="11" t="s">
        <v>30563</v>
      </c>
      <c r="I2193" s="11" t="s">
        <v>30564</v>
      </c>
      <c r="J2193" s="11" t="s">
        <v>30564</v>
      </c>
      <c r="K2193" s="9" t="s">
        <v>217</v>
      </c>
      <c r="L2193" s="9" t="s">
        <v>18001</v>
      </c>
      <c r="M2193" s="9" t="s">
        <v>17760</v>
      </c>
      <c r="N2193" s="9" t="s">
        <v>17746</v>
      </c>
      <c r="O2193" s="9" t="s">
        <v>19715</v>
      </c>
      <c r="P2193" s="9" t="s">
        <v>17748</v>
      </c>
      <c r="Q2193" s="11" t="s">
        <v>17792</v>
      </c>
      <c r="R2193" s="11" t="s">
        <v>17792</v>
      </c>
      <c r="S2193" s="11" t="s">
        <v>17750</v>
      </c>
    </row>
    <row r="2194" spans="1:19" x14ac:dyDescent="0.2">
      <c r="A2194" s="11" t="s">
        <v>30565</v>
      </c>
      <c r="B2194" s="9" t="s">
        <v>30566</v>
      </c>
      <c r="C2194" s="9" t="s">
        <v>30567</v>
      </c>
      <c r="D2194" s="9" t="s">
        <v>30568</v>
      </c>
      <c r="E2194" s="9" t="s">
        <v>17740</v>
      </c>
      <c r="F2194" s="9" t="s">
        <v>30569</v>
      </c>
      <c r="G2194" s="9" t="s">
        <v>17740</v>
      </c>
      <c r="H2194" s="11" t="s">
        <v>17741</v>
      </c>
      <c r="I2194" s="11" t="s">
        <v>30570</v>
      </c>
      <c r="J2194" s="11" t="s">
        <v>30570</v>
      </c>
      <c r="K2194" s="9" t="s">
        <v>30571</v>
      </c>
      <c r="L2194" s="9" t="s">
        <v>17759</v>
      </c>
      <c r="M2194" s="9" t="s">
        <v>18745</v>
      </c>
      <c r="N2194" s="9" t="s">
        <v>17746</v>
      </c>
      <c r="O2194" s="9" t="s">
        <v>30572</v>
      </c>
      <c r="P2194" s="9" t="s">
        <v>17748</v>
      </c>
      <c r="Q2194" s="11" t="s">
        <v>19361</v>
      </c>
      <c r="R2194" s="11" t="s">
        <v>19361</v>
      </c>
      <c r="S2194" s="11" t="s">
        <v>17750</v>
      </c>
    </row>
    <row r="2195" spans="1:19" x14ac:dyDescent="0.2">
      <c r="A2195" s="11" t="s">
        <v>30573</v>
      </c>
      <c r="B2195" s="9" t="s">
        <v>30574</v>
      </c>
      <c r="C2195" s="9" t="s">
        <v>30575</v>
      </c>
      <c r="D2195" s="9" t="s">
        <v>30576</v>
      </c>
      <c r="E2195" s="9" t="s">
        <v>17740</v>
      </c>
      <c r="F2195" s="9" t="s">
        <v>30577</v>
      </c>
      <c r="G2195" s="9" t="s">
        <v>17740</v>
      </c>
      <c r="H2195" s="11" t="s">
        <v>30578</v>
      </c>
      <c r="I2195" s="11" t="s">
        <v>30579</v>
      </c>
      <c r="J2195" s="11" t="s">
        <v>30579</v>
      </c>
      <c r="K2195" s="9" t="s">
        <v>291</v>
      </c>
      <c r="L2195" s="9" t="s">
        <v>17744</v>
      </c>
      <c r="M2195" s="9" t="s">
        <v>29147</v>
      </c>
      <c r="N2195" s="9" t="s">
        <v>17746</v>
      </c>
      <c r="O2195" s="9" t="s">
        <v>30580</v>
      </c>
      <c r="P2195" s="9" t="s">
        <v>17748</v>
      </c>
      <c r="Q2195" s="11" t="s">
        <v>18341</v>
      </c>
      <c r="R2195" s="11" t="s">
        <v>18341</v>
      </c>
      <c r="S2195" s="11" t="s">
        <v>17750</v>
      </c>
    </row>
    <row r="2196" spans="1:19" x14ac:dyDescent="0.2">
      <c r="A2196" s="11" t="s">
        <v>30581</v>
      </c>
      <c r="B2196" s="9" t="s">
        <v>30582</v>
      </c>
      <c r="C2196" s="9" t="s">
        <v>30583</v>
      </c>
      <c r="D2196" s="9" t="s">
        <v>30584</v>
      </c>
      <c r="E2196" s="9" t="s">
        <v>17748</v>
      </c>
      <c r="F2196" s="9" t="s">
        <v>30585</v>
      </c>
      <c r="G2196" s="9" t="s">
        <v>17740</v>
      </c>
      <c r="H2196" s="11" t="s">
        <v>17741</v>
      </c>
      <c r="I2196" s="11" t="s">
        <v>30586</v>
      </c>
      <c r="J2196" s="11" t="s">
        <v>30586</v>
      </c>
      <c r="K2196" s="9" t="s">
        <v>30587</v>
      </c>
      <c r="L2196" s="9" t="s">
        <v>17759</v>
      </c>
      <c r="M2196" s="9" t="s">
        <v>17817</v>
      </c>
      <c r="N2196" s="9" t="s">
        <v>17746</v>
      </c>
      <c r="O2196" s="9" t="s">
        <v>30588</v>
      </c>
      <c r="P2196" s="9" t="s">
        <v>17748</v>
      </c>
      <c r="Q2196" s="11" t="s">
        <v>18798</v>
      </c>
      <c r="R2196" s="11" t="s">
        <v>18798</v>
      </c>
      <c r="S2196" s="11" t="s">
        <v>17750</v>
      </c>
    </row>
    <row r="2197" spans="1:19" x14ac:dyDescent="0.2">
      <c r="A2197" s="11" t="s">
        <v>30589</v>
      </c>
      <c r="B2197" s="9" t="s">
        <v>30590</v>
      </c>
      <c r="C2197" s="9" t="s">
        <v>30591</v>
      </c>
      <c r="D2197" s="9" t="s">
        <v>30592</v>
      </c>
      <c r="E2197" s="9" t="s">
        <v>17740</v>
      </c>
      <c r="F2197" s="9" t="s">
        <v>17741</v>
      </c>
      <c r="G2197" s="9" t="s">
        <v>17740</v>
      </c>
      <c r="H2197" s="11" t="s">
        <v>30593</v>
      </c>
      <c r="I2197" s="11" t="s">
        <v>30594</v>
      </c>
      <c r="J2197" s="11" t="s">
        <v>30594</v>
      </c>
      <c r="K2197" s="9" t="s">
        <v>17758</v>
      </c>
      <c r="L2197" s="9" t="s">
        <v>17759</v>
      </c>
      <c r="M2197" s="9" t="s">
        <v>17760</v>
      </c>
      <c r="N2197" s="9" t="s">
        <v>17746</v>
      </c>
      <c r="O2197" s="9" t="s">
        <v>17857</v>
      </c>
      <c r="P2197" s="9" t="s">
        <v>17748</v>
      </c>
      <c r="Q2197" s="11" t="s">
        <v>19026</v>
      </c>
      <c r="R2197" s="11" t="s">
        <v>19026</v>
      </c>
      <c r="S2197" s="11" t="s">
        <v>17750</v>
      </c>
    </row>
    <row r="2198" spans="1:19" x14ac:dyDescent="0.2">
      <c r="A2198" s="11" t="s">
        <v>30595</v>
      </c>
      <c r="B2198" s="9" t="s">
        <v>30596</v>
      </c>
      <c r="C2198" s="9" t="s">
        <v>30597</v>
      </c>
      <c r="D2198" s="9" t="s">
        <v>30598</v>
      </c>
      <c r="E2198" s="9" t="s">
        <v>17740</v>
      </c>
      <c r="F2198" s="9" t="s">
        <v>17741</v>
      </c>
      <c r="G2198" s="9" t="s">
        <v>17740</v>
      </c>
      <c r="H2198" s="11" t="s">
        <v>17741</v>
      </c>
      <c r="I2198" s="11" t="s">
        <v>30599</v>
      </c>
      <c r="J2198" s="11" t="s">
        <v>30599</v>
      </c>
      <c r="K2198" s="9" t="s">
        <v>30600</v>
      </c>
      <c r="L2198" s="9" t="s">
        <v>18001</v>
      </c>
      <c r="M2198" s="9" t="s">
        <v>17760</v>
      </c>
      <c r="N2198" s="9" t="s">
        <v>17746</v>
      </c>
      <c r="O2198" s="9" t="s">
        <v>17848</v>
      </c>
      <c r="P2198" s="9" t="s">
        <v>17748</v>
      </c>
      <c r="Q2198" s="11" t="s">
        <v>18798</v>
      </c>
      <c r="R2198" s="11" t="s">
        <v>18798</v>
      </c>
      <c r="S2198" s="11" t="s">
        <v>17750</v>
      </c>
    </row>
    <row r="2199" spans="1:19" x14ac:dyDescent="0.2">
      <c r="A2199" s="11" t="s">
        <v>30601</v>
      </c>
      <c r="B2199" s="9" t="s">
        <v>30602</v>
      </c>
      <c r="C2199" s="9" t="s">
        <v>30603</v>
      </c>
      <c r="D2199" s="9" t="s">
        <v>30604</v>
      </c>
      <c r="E2199" s="9" t="s">
        <v>17748</v>
      </c>
      <c r="F2199" s="9" t="s">
        <v>30605</v>
      </c>
      <c r="G2199" s="9" t="s">
        <v>17740</v>
      </c>
      <c r="H2199" s="11" t="s">
        <v>30606</v>
      </c>
      <c r="I2199" s="11" t="s">
        <v>30607</v>
      </c>
      <c r="J2199" s="11" t="s">
        <v>30607</v>
      </c>
      <c r="K2199" s="9" t="s">
        <v>17758</v>
      </c>
      <c r="L2199" s="9" t="s">
        <v>17759</v>
      </c>
      <c r="M2199" s="9" t="s">
        <v>17760</v>
      </c>
      <c r="N2199" s="9" t="s">
        <v>17746</v>
      </c>
      <c r="O2199" s="9" t="s">
        <v>17848</v>
      </c>
      <c r="P2199" s="9" t="s">
        <v>17748</v>
      </c>
      <c r="Q2199" s="11" t="s">
        <v>18356</v>
      </c>
      <c r="R2199" s="11" t="s">
        <v>18356</v>
      </c>
      <c r="S2199" s="11" t="s">
        <v>17750</v>
      </c>
    </row>
    <row r="2200" spans="1:19" x14ac:dyDescent="0.2">
      <c r="A2200" s="11" t="s">
        <v>30608</v>
      </c>
      <c r="B2200" s="9" t="s">
        <v>30609</v>
      </c>
      <c r="C2200" s="9" t="s">
        <v>30610</v>
      </c>
      <c r="D2200" s="9" t="s">
        <v>30611</v>
      </c>
      <c r="E2200" s="9" t="s">
        <v>17740</v>
      </c>
      <c r="F2200" s="9" t="s">
        <v>17741</v>
      </c>
      <c r="G2200" s="9" t="s">
        <v>17740</v>
      </c>
      <c r="H2200" s="11" t="s">
        <v>17741</v>
      </c>
      <c r="I2200" s="11" t="s">
        <v>30612</v>
      </c>
      <c r="J2200" s="11" t="s">
        <v>30612</v>
      </c>
      <c r="K2200" s="9" t="s">
        <v>30613</v>
      </c>
      <c r="L2200" s="9" t="s">
        <v>17759</v>
      </c>
      <c r="M2200" s="9" t="s">
        <v>17817</v>
      </c>
      <c r="N2200" s="9" t="s">
        <v>17746</v>
      </c>
      <c r="O2200" s="9" t="s">
        <v>17848</v>
      </c>
      <c r="P2200" s="9" t="s">
        <v>17748</v>
      </c>
      <c r="Q2200" s="11" t="s">
        <v>17978</v>
      </c>
      <c r="R2200" s="11" t="s">
        <v>17978</v>
      </c>
      <c r="S2200" s="11" t="s">
        <v>17750</v>
      </c>
    </row>
    <row r="2201" spans="1:19" x14ac:dyDescent="0.2">
      <c r="A2201" s="11" t="s">
        <v>30614</v>
      </c>
      <c r="B2201" s="9" t="s">
        <v>30615</v>
      </c>
      <c r="C2201" s="9" t="s">
        <v>30616</v>
      </c>
      <c r="D2201" s="9" t="s">
        <v>30617</v>
      </c>
      <c r="E2201" s="9" t="s">
        <v>17740</v>
      </c>
      <c r="F2201" s="9" t="s">
        <v>17741</v>
      </c>
      <c r="G2201" s="9" t="s">
        <v>17740</v>
      </c>
      <c r="H2201" s="11" t="s">
        <v>30618</v>
      </c>
      <c r="I2201" s="11" t="s">
        <v>30619</v>
      </c>
      <c r="J2201" s="11" t="s">
        <v>30619</v>
      </c>
      <c r="K2201" s="9" t="s">
        <v>291</v>
      </c>
      <c r="L2201" s="9" t="s">
        <v>17744</v>
      </c>
      <c r="M2201" s="9" t="s">
        <v>19546</v>
      </c>
      <c r="N2201" s="9" t="s">
        <v>17746</v>
      </c>
      <c r="O2201" s="9" t="s">
        <v>30620</v>
      </c>
      <c r="P2201" s="9" t="s">
        <v>17748</v>
      </c>
      <c r="Q2201" s="11" t="s">
        <v>17819</v>
      </c>
      <c r="R2201" s="11" t="s">
        <v>17819</v>
      </c>
      <c r="S2201" s="11" t="s">
        <v>17750</v>
      </c>
    </row>
    <row r="2202" spans="1:19" x14ac:dyDescent="0.2">
      <c r="A2202" s="11" t="s">
        <v>30621</v>
      </c>
      <c r="B2202" s="9" t="s">
        <v>30622</v>
      </c>
      <c r="C2202" s="9" t="s">
        <v>30623</v>
      </c>
      <c r="D2202" s="9" t="s">
        <v>30624</v>
      </c>
      <c r="E2202" s="9" t="s">
        <v>17748</v>
      </c>
      <c r="F2202" s="9" t="s">
        <v>30625</v>
      </c>
      <c r="G2202" s="9" t="s">
        <v>17740</v>
      </c>
      <c r="H2202" s="11" t="s">
        <v>17741</v>
      </c>
      <c r="I2202" s="11" t="s">
        <v>30626</v>
      </c>
      <c r="J2202" s="11" t="s">
        <v>30626</v>
      </c>
      <c r="K2202" s="9" t="s">
        <v>30627</v>
      </c>
      <c r="L2202" s="9" t="s">
        <v>17759</v>
      </c>
      <c r="M2202" s="9" t="s">
        <v>30628</v>
      </c>
      <c r="N2202" s="9" t="s">
        <v>17746</v>
      </c>
      <c r="O2202" s="9" t="s">
        <v>17848</v>
      </c>
      <c r="P2202" s="9" t="s">
        <v>17748</v>
      </c>
      <c r="Q2202" s="11" t="s">
        <v>17808</v>
      </c>
      <c r="R2202" s="11" t="s">
        <v>17808</v>
      </c>
      <c r="S2202" s="11" t="s">
        <v>17750</v>
      </c>
    </row>
    <row r="2203" spans="1:19" x14ac:dyDescent="0.2">
      <c r="A2203" s="11" t="s">
        <v>30629</v>
      </c>
      <c r="B2203" s="9" t="s">
        <v>30630</v>
      </c>
      <c r="C2203" s="9" t="s">
        <v>30631</v>
      </c>
      <c r="D2203" s="9" t="s">
        <v>30632</v>
      </c>
      <c r="E2203" s="9" t="s">
        <v>17740</v>
      </c>
      <c r="F2203" s="9" t="s">
        <v>17741</v>
      </c>
      <c r="G2203" s="9" t="s">
        <v>17740</v>
      </c>
      <c r="H2203" s="11" t="s">
        <v>6722</v>
      </c>
      <c r="I2203" s="11" t="s">
        <v>6721</v>
      </c>
      <c r="J2203" s="11" t="s">
        <v>6721</v>
      </c>
      <c r="K2203" s="9" t="s">
        <v>17805</v>
      </c>
      <c r="L2203" s="9" t="s">
        <v>17744</v>
      </c>
      <c r="M2203" s="9" t="s">
        <v>30633</v>
      </c>
      <c r="N2203" s="9" t="s">
        <v>17746</v>
      </c>
      <c r="O2203" s="9" t="s">
        <v>17848</v>
      </c>
      <c r="P2203" s="9" t="s">
        <v>17748</v>
      </c>
      <c r="Q2203" s="11" t="s">
        <v>18147</v>
      </c>
      <c r="R2203" s="11" t="s">
        <v>18147</v>
      </c>
      <c r="S2203" s="11" t="s">
        <v>17750</v>
      </c>
    </row>
    <row r="2204" spans="1:19" x14ac:dyDescent="0.2">
      <c r="A2204" s="11" t="s">
        <v>30634</v>
      </c>
      <c r="B2204" s="9" t="s">
        <v>30635</v>
      </c>
      <c r="C2204" s="9" t="s">
        <v>30636</v>
      </c>
      <c r="D2204" s="9" t="s">
        <v>30637</v>
      </c>
      <c r="E2204" s="9" t="s">
        <v>17740</v>
      </c>
      <c r="F2204" s="9" t="s">
        <v>17741</v>
      </c>
      <c r="G2204" s="9" t="s">
        <v>17740</v>
      </c>
      <c r="H2204" s="11" t="s">
        <v>11867</v>
      </c>
      <c r="I2204" s="11" t="s">
        <v>11866</v>
      </c>
      <c r="J2204" s="11" t="s">
        <v>11866</v>
      </c>
      <c r="K2204" s="9" t="s">
        <v>724</v>
      </c>
      <c r="L2204" s="9" t="s">
        <v>17744</v>
      </c>
      <c r="M2204" s="9" t="s">
        <v>17760</v>
      </c>
      <c r="N2204" s="9" t="s">
        <v>17746</v>
      </c>
      <c r="O2204" s="9" t="s">
        <v>30638</v>
      </c>
      <c r="P2204" s="9" t="s">
        <v>17748</v>
      </c>
      <c r="Q2204" s="11" t="s">
        <v>17762</v>
      </c>
      <c r="R2204" s="11" t="s">
        <v>17762</v>
      </c>
      <c r="S2204" s="11" t="s">
        <v>17750</v>
      </c>
    </row>
    <row r="2205" spans="1:19" x14ac:dyDescent="0.2">
      <c r="A2205" s="11" t="s">
        <v>30639</v>
      </c>
      <c r="B2205" s="9" t="s">
        <v>30640</v>
      </c>
      <c r="C2205" s="9" t="s">
        <v>30641</v>
      </c>
      <c r="D2205" s="9" t="s">
        <v>30642</v>
      </c>
      <c r="E2205" s="9" t="s">
        <v>17748</v>
      </c>
      <c r="F2205" s="9" t="s">
        <v>30643</v>
      </c>
      <c r="G2205" s="9" t="s">
        <v>17740</v>
      </c>
      <c r="H2205" s="11" t="s">
        <v>30644</v>
      </c>
      <c r="I2205" s="11" t="s">
        <v>30645</v>
      </c>
      <c r="J2205" s="11" t="s">
        <v>30645</v>
      </c>
      <c r="K2205" s="9" t="s">
        <v>19447</v>
      </c>
      <c r="L2205" s="9" t="s">
        <v>17759</v>
      </c>
      <c r="M2205" s="9" t="s">
        <v>17769</v>
      </c>
      <c r="N2205" s="9" t="s">
        <v>17746</v>
      </c>
      <c r="O2205" s="9" t="s">
        <v>30646</v>
      </c>
      <c r="P2205" s="9" t="s">
        <v>17748</v>
      </c>
      <c r="Q2205" s="11" t="s">
        <v>18272</v>
      </c>
      <c r="R2205" s="11" t="s">
        <v>18272</v>
      </c>
      <c r="S2205" s="11" t="s">
        <v>17750</v>
      </c>
    </row>
    <row r="2206" spans="1:19" x14ac:dyDescent="0.2">
      <c r="A2206" s="11" t="s">
        <v>30647</v>
      </c>
      <c r="B2206" s="9" t="s">
        <v>30648</v>
      </c>
      <c r="C2206" s="9" t="s">
        <v>30649</v>
      </c>
      <c r="D2206" s="9" t="s">
        <v>30650</v>
      </c>
      <c r="E2206" s="9" t="s">
        <v>17740</v>
      </c>
      <c r="F2206" s="9" t="s">
        <v>17741</v>
      </c>
      <c r="G2206" s="9" t="s">
        <v>17740</v>
      </c>
      <c r="H2206" s="11" t="s">
        <v>17741</v>
      </c>
      <c r="I2206" s="11" t="s">
        <v>30651</v>
      </c>
      <c r="J2206" s="11" t="s">
        <v>30651</v>
      </c>
      <c r="K2206" s="9" t="s">
        <v>30652</v>
      </c>
      <c r="L2206" s="9" t="s">
        <v>17759</v>
      </c>
      <c r="M2206" s="9" t="s">
        <v>19189</v>
      </c>
      <c r="N2206" s="9" t="s">
        <v>17746</v>
      </c>
      <c r="O2206" s="9" t="s">
        <v>18869</v>
      </c>
      <c r="P2206" s="9" t="s">
        <v>17748</v>
      </c>
      <c r="Q2206" s="11" t="s">
        <v>18251</v>
      </c>
      <c r="R2206" s="11" t="s">
        <v>18251</v>
      </c>
      <c r="S2206" s="14" t="s">
        <v>17780</v>
      </c>
    </row>
    <row r="2207" spans="1:19" x14ac:dyDescent="0.2">
      <c r="A2207" s="11" t="s">
        <v>30653</v>
      </c>
      <c r="B2207" s="9" t="s">
        <v>30654</v>
      </c>
      <c r="C2207" s="9" t="s">
        <v>30655</v>
      </c>
      <c r="D2207" s="9" t="s">
        <v>30656</v>
      </c>
      <c r="E2207" s="9" t="s">
        <v>17740</v>
      </c>
      <c r="F2207" s="9" t="s">
        <v>17741</v>
      </c>
      <c r="G2207" s="9" t="s">
        <v>17740</v>
      </c>
      <c r="H2207" s="11" t="s">
        <v>30657</v>
      </c>
      <c r="I2207" s="11" t="s">
        <v>30658</v>
      </c>
      <c r="J2207" s="11" t="s">
        <v>30658</v>
      </c>
      <c r="K2207" s="9" t="s">
        <v>55</v>
      </c>
      <c r="L2207" s="9" t="s">
        <v>17744</v>
      </c>
      <c r="M2207" s="9" t="s">
        <v>22041</v>
      </c>
      <c r="N2207" s="9" t="s">
        <v>17746</v>
      </c>
      <c r="O2207" s="9" t="s">
        <v>17818</v>
      </c>
      <c r="P2207" s="9" t="s">
        <v>17748</v>
      </c>
      <c r="Q2207" s="11" t="s">
        <v>18059</v>
      </c>
      <c r="R2207" s="11" t="s">
        <v>18059</v>
      </c>
      <c r="S2207" s="11" t="s">
        <v>17750</v>
      </c>
    </row>
    <row r="2208" spans="1:19" x14ac:dyDescent="0.2">
      <c r="A2208" s="11" t="s">
        <v>30659</v>
      </c>
      <c r="B2208" s="9" t="s">
        <v>30660</v>
      </c>
      <c r="C2208" s="9" t="s">
        <v>30661</v>
      </c>
      <c r="D2208" s="9" t="s">
        <v>30662</v>
      </c>
      <c r="E2208" s="9" t="s">
        <v>17748</v>
      </c>
      <c r="F2208" s="9" t="s">
        <v>30663</v>
      </c>
      <c r="G2208" s="9" t="s">
        <v>17740</v>
      </c>
      <c r="H2208" s="11" t="s">
        <v>17741</v>
      </c>
      <c r="I2208" s="11" t="s">
        <v>17741</v>
      </c>
      <c r="J2208" s="11" t="s">
        <v>17741</v>
      </c>
      <c r="K2208" s="9" t="s">
        <v>30664</v>
      </c>
      <c r="L2208" s="9" t="s">
        <v>17744</v>
      </c>
      <c r="M2208" s="9" t="s">
        <v>19168</v>
      </c>
      <c r="N2208" s="9" t="s">
        <v>17746</v>
      </c>
      <c r="O2208" s="9" t="s">
        <v>17848</v>
      </c>
      <c r="P2208" s="9" t="s">
        <v>17748</v>
      </c>
      <c r="Q2208" s="11" t="s">
        <v>18798</v>
      </c>
      <c r="R2208" s="11" t="s">
        <v>18798</v>
      </c>
      <c r="S2208" s="11" t="s">
        <v>17750</v>
      </c>
    </row>
    <row r="2209" spans="1:19" x14ac:dyDescent="0.2">
      <c r="A2209" s="11" t="s">
        <v>30665</v>
      </c>
      <c r="B2209" s="9" t="s">
        <v>30666</v>
      </c>
      <c r="C2209" s="9" t="s">
        <v>30667</v>
      </c>
      <c r="D2209" s="9" t="s">
        <v>30668</v>
      </c>
      <c r="E2209" s="9" t="s">
        <v>17740</v>
      </c>
      <c r="F2209" s="9" t="s">
        <v>17741</v>
      </c>
      <c r="G2209" s="9" t="s">
        <v>17740</v>
      </c>
      <c r="H2209" s="11" t="s">
        <v>30669</v>
      </c>
      <c r="I2209" s="11" t="s">
        <v>30670</v>
      </c>
      <c r="J2209" s="11" t="s">
        <v>30670</v>
      </c>
      <c r="K2209" s="9" t="s">
        <v>22893</v>
      </c>
      <c r="L2209" s="9" t="s">
        <v>17744</v>
      </c>
      <c r="M2209" s="9" t="s">
        <v>17760</v>
      </c>
      <c r="N2209" s="9" t="s">
        <v>17746</v>
      </c>
      <c r="O2209" s="9" t="s">
        <v>26112</v>
      </c>
      <c r="P2209" s="9" t="s">
        <v>17748</v>
      </c>
      <c r="Q2209" s="11" t="s">
        <v>18798</v>
      </c>
      <c r="R2209" s="11" t="s">
        <v>18798</v>
      </c>
      <c r="S2209" s="11" t="s">
        <v>17750</v>
      </c>
    </row>
    <row r="2210" spans="1:19" x14ac:dyDescent="0.2">
      <c r="A2210" s="11" t="s">
        <v>30671</v>
      </c>
      <c r="B2210" s="9" t="s">
        <v>30672</v>
      </c>
      <c r="C2210" s="9" t="s">
        <v>30673</v>
      </c>
      <c r="D2210" s="9" t="s">
        <v>30674</v>
      </c>
      <c r="E2210" s="9" t="s">
        <v>17740</v>
      </c>
      <c r="F2210" s="9" t="s">
        <v>17741</v>
      </c>
      <c r="G2210" s="9" t="s">
        <v>17740</v>
      </c>
      <c r="H2210" s="11" t="s">
        <v>17741</v>
      </c>
      <c r="I2210" s="11" t="s">
        <v>30675</v>
      </c>
      <c r="J2210" s="11" t="s">
        <v>30675</v>
      </c>
      <c r="K2210" s="9" t="s">
        <v>30676</v>
      </c>
      <c r="L2210" s="9" t="s">
        <v>17759</v>
      </c>
      <c r="M2210" s="9" t="s">
        <v>17817</v>
      </c>
      <c r="N2210" s="9" t="s">
        <v>17746</v>
      </c>
      <c r="O2210" s="9" t="s">
        <v>17848</v>
      </c>
      <c r="P2210" s="9" t="s">
        <v>17748</v>
      </c>
      <c r="Q2210" s="11" t="s">
        <v>18678</v>
      </c>
      <c r="R2210" s="11" t="s">
        <v>18678</v>
      </c>
      <c r="S2210" s="11" t="s">
        <v>17750</v>
      </c>
    </row>
    <row r="2211" spans="1:19" x14ac:dyDescent="0.2">
      <c r="A2211" s="11" t="s">
        <v>30677</v>
      </c>
      <c r="B2211" s="9" t="s">
        <v>30678</v>
      </c>
      <c r="C2211" s="9" t="s">
        <v>30679</v>
      </c>
      <c r="D2211" s="9" t="s">
        <v>30680</v>
      </c>
      <c r="E2211" s="9" t="s">
        <v>17740</v>
      </c>
      <c r="F2211" s="9" t="s">
        <v>30681</v>
      </c>
      <c r="G2211" s="9" t="s">
        <v>17740</v>
      </c>
      <c r="H2211" s="11" t="s">
        <v>30682</v>
      </c>
      <c r="I2211" s="11" t="s">
        <v>30683</v>
      </c>
      <c r="J2211" s="11" t="s">
        <v>30683</v>
      </c>
      <c r="K2211" s="9" t="s">
        <v>21721</v>
      </c>
      <c r="L2211" s="9" t="s">
        <v>17744</v>
      </c>
      <c r="M2211" s="9" t="s">
        <v>17760</v>
      </c>
      <c r="N2211" s="9" t="s">
        <v>17746</v>
      </c>
      <c r="O2211" s="9" t="s">
        <v>20056</v>
      </c>
      <c r="P2211" s="9" t="s">
        <v>17748</v>
      </c>
      <c r="Q2211" s="11" t="s">
        <v>18272</v>
      </c>
      <c r="R2211" s="11" t="s">
        <v>18272</v>
      </c>
      <c r="S2211" s="11" t="s">
        <v>17750</v>
      </c>
    </row>
    <row r="2212" spans="1:19" x14ac:dyDescent="0.2">
      <c r="A2212" s="11" t="s">
        <v>30684</v>
      </c>
      <c r="B2212" s="9" t="s">
        <v>30685</v>
      </c>
      <c r="C2212" s="9" t="s">
        <v>30686</v>
      </c>
      <c r="D2212" s="9" t="s">
        <v>30687</v>
      </c>
      <c r="E2212" s="9" t="s">
        <v>17748</v>
      </c>
      <c r="F2212" s="9" t="s">
        <v>30688</v>
      </c>
      <c r="G2212" s="9" t="s">
        <v>17740</v>
      </c>
      <c r="H2212" s="11" t="s">
        <v>30689</v>
      </c>
      <c r="I2212" s="11" t="s">
        <v>30690</v>
      </c>
      <c r="J2212" s="11" t="s">
        <v>30690</v>
      </c>
      <c r="K2212" s="9" t="s">
        <v>25848</v>
      </c>
      <c r="L2212" s="9" t="s">
        <v>17744</v>
      </c>
      <c r="M2212" s="9" t="s">
        <v>17760</v>
      </c>
      <c r="N2212" s="9" t="s">
        <v>17746</v>
      </c>
      <c r="O2212" s="9" t="s">
        <v>30691</v>
      </c>
      <c r="P2212" s="9" t="s">
        <v>17748</v>
      </c>
      <c r="Q2212" s="11" t="s">
        <v>18922</v>
      </c>
      <c r="R2212" s="11" t="s">
        <v>18922</v>
      </c>
      <c r="S2212" s="11" t="s">
        <v>17750</v>
      </c>
    </row>
    <row r="2213" spans="1:19" x14ac:dyDescent="0.2">
      <c r="A2213" s="11" t="s">
        <v>30692</v>
      </c>
      <c r="B2213" s="9" t="s">
        <v>30693</v>
      </c>
      <c r="C2213" s="9" t="s">
        <v>30694</v>
      </c>
      <c r="D2213" s="9" t="s">
        <v>30695</v>
      </c>
      <c r="E2213" s="9" t="s">
        <v>17740</v>
      </c>
      <c r="F2213" s="9" t="s">
        <v>17741</v>
      </c>
      <c r="G2213" s="9" t="s">
        <v>17740</v>
      </c>
      <c r="H2213" s="11" t="s">
        <v>17741</v>
      </c>
      <c r="I2213" s="11" t="s">
        <v>30696</v>
      </c>
      <c r="J2213" s="11" t="s">
        <v>30696</v>
      </c>
      <c r="K2213" s="9" t="s">
        <v>30697</v>
      </c>
      <c r="L2213" s="9" t="s">
        <v>18959</v>
      </c>
      <c r="M2213" s="9" t="s">
        <v>17760</v>
      </c>
      <c r="N2213" s="9" t="s">
        <v>17746</v>
      </c>
      <c r="O2213" s="9" t="s">
        <v>30698</v>
      </c>
      <c r="P2213" s="9" t="s">
        <v>17748</v>
      </c>
      <c r="Q2213" s="11" t="s">
        <v>19222</v>
      </c>
      <c r="R2213" s="11" t="s">
        <v>19222</v>
      </c>
      <c r="S2213" s="11" t="s">
        <v>17750</v>
      </c>
    </row>
    <row r="2214" spans="1:19" x14ac:dyDescent="0.2">
      <c r="A2214" s="11" t="s">
        <v>30699</v>
      </c>
      <c r="B2214" s="9" t="s">
        <v>30700</v>
      </c>
      <c r="C2214" s="9" t="s">
        <v>30701</v>
      </c>
      <c r="D2214" s="9" t="s">
        <v>30702</v>
      </c>
      <c r="E2214" s="9" t="s">
        <v>17740</v>
      </c>
      <c r="F2214" s="9" t="s">
        <v>17741</v>
      </c>
      <c r="G2214" s="9" t="s">
        <v>17740</v>
      </c>
      <c r="H2214" s="11" t="s">
        <v>17741</v>
      </c>
      <c r="I2214" s="11" t="s">
        <v>30703</v>
      </c>
      <c r="J2214" s="11" t="s">
        <v>30703</v>
      </c>
      <c r="K2214" s="9" t="s">
        <v>30704</v>
      </c>
      <c r="L2214" s="9" t="s">
        <v>18959</v>
      </c>
      <c r="M2214" s="9" t="s">
        <v>18745</v>
      </c>
      <c r="N2214" s="9" t="s">
        <v>17746</v>
      </c>
      <c r="O2214" s="9" t="s">
        <v>20557</v>
      </c>
      <c r="P2214" s="9" t="s">
        <v>17748</v>
      </c>
      <c r="Q2214" s="11" t="s">
        <v>17792</v>
      </c>
      <c r="R2214" s="11" t="s">
        <v>17792</v>
      </c>
      <c r="S2214" s="11" t="s">
        <v>17750</v>
      </c>
    </row>
    <row r="2215" spans="1:19" x14ac:dyDescent="0.2">
      <c r="A2215" s="11" t="s">
        <v>30705</v>
      </c>
      <c r="B2215" s="9" t="s">
        <v>30706</v>
      </c>
      <c r="C2215" s="9" t="s">
        <v>30707</v>
      </c>
      <c r="D2215" s="9" t="s">
        <v>30708</v>
      </c>
      <c r="E2215" s="9" t="s">
        <v>17748</v>
      </c>
      <c r="F2215" s="9" t="s">
        <v>30709</v>
      </c>
      <c r="G2215" s="9" t="s">
        <v>17740</v>
      </c>
      <c r="H2215" s="11" t="s">
        <v>17741</v>
      </c>
      <c r="I2215" s="11" t="s">
        <v>30710</v>
      </c>
      <c r="J2215" s="11" t="s">
        <v>30710</v>
      </c>
      <c r="K2215" s="9" t="s">
        <v>30711</v>
      </c>
      <c r="L2215" s="9" t="s">
        <v>17759</v>
      </c>
      <c r="M2215" s="9" t="s">
        <v>19196</v>
      </c>
      <c r="N2215" s="9" t="s">
        <v>17746</v>
      </c>
      <c r="O2215" s="9" t="s">
        <v>30691</v>
      </c>
      <c r="P2215" s="9" t="s">
        <v>17748</v>
      </c>
      <c r="Q2215" s="11" t="s">
        <v>17808</v>
      </c>
      <c r="R2215" s="11" t="s">
        <v>17808</v>
      </c>
      <c r="S2215" s="11" t="s">
        <v>17750</v>
      </c>
    </row>
    <row r="2216" spans="1:19" x14ac:dyDescent="0.2">
      <c r="A2216" s="11" t="s">
        <v>30712</v>
      </c>
      <c r="B2216" s="9" t="s">
        <v>30713</v>
      </c>
      <c r="C2216" s="9" t="s">
        <v>30714</v>
      </c>
      <c r="D2216" s="9" t="s">
        <v>30715</v>
      </c>
      <c r="E2216" s="9" t="s">
        <v>17740</v>
      </c>
      <c r="F2216" s="8" t="s">
        <v>30716</v>
      </c>
      <c r="G2216" s="9" t="s">
        <v>17740</v>
      </c>
      <c r="H2216" s="11" t="s">
        <v>17741</v>
      </c>
      <c r="I2216" s="11" t="s">
        <v>30717</v>
      </c>
      <c r="J2216" s="11" t="s">
        <v>30717</v>
      </c>
      <c r="K2216" s="9" t="s">
        <v>30718</v>
      </c>
      <c r="L2216" s="9" t="s">
        <v>17759</v>
      </c>
      <c r="M2216" s="9" t="s">
        <v>17741</v>
      </c>
      <c r="N2216" s="9" t="s">
        <v>17746</v>
      </c>
      <c r="O2216" s="9" t="s">
        <v>18869</v>
      </c>
      <c r="P2216" s="9" t="s">
        <v>17748</v>
      </c>
      <c r="Q2216" s="11" t="s">
        <v>19082</v>
      </c>
      <c r="R2216" s="11" t="s">
        <v>19082</v>
      </c>
      <c r="S2216" s="14" t="s">
        <v>19335</v>
      </c>
    </row>
    <row r="2217" spans="1:19" x14ac:dyDescent="0.2">
      <c r="A2217" s="11" t="s">
        <v>30719</v>
      </c>
      <c r="B2217" s="9" t="s">
        <v>30720</v>
      </c>
      <c r="C2217" s="9" t="s">
        <v>30721</v>
      </c>
      <c r="D2217" s="9" t="s">
        <v>30722</v>
      </c>
      <c r="E2217" s="9" t="s">
        <v>17740</v>
      </c>
      <c r="F2217" s="9" t="s">
        <v>30723</v>
      </c>
      <c r="G2217" s="9" t="s">
        <v>17740</v>
      </c>
      <c r="H2217" s="11" t="s">
        <v>30724</v>
      </c>
      <c r="I2217" s="11" t="s">
        <v>30725</v>
      </c>
      <c r="J2217" s="11" t="s">
        <v>30725</v>
      </c>
      <c r="K2217" s="9" t="s">
        <v>291</v>
      </c>
      <c r="L2217" s="9" t="s">
        <v>17744</v>
      </c>
      <c r="M2217" s="9" t="s">
        <v>17760</v>
      </c>
      <c r="N2217" s="9" t="s">
        <v>17746</v>
      </c>
      <c r="O2217" s="9" t="s">
        <v>17848</v>
      </c>
      <c r="P2217" s="9" t="s">
        <v>17748</v>
      </c>
      <c r="Q2217" s="11" t="s">
        <v>17978</v>
      </c>
      <c r="R2217" s="11" t="s">
        <v>17978</v>
      </c>
      <c r="S2217" s="11" t="s">
        <v>17750</v>
      </c>
    </row>
    <row r="2218" spans="1:19" x14ac:dyDescent="0.2">
      <c r="A2218" s="11" t="s">
        <v>30726</v>
      </c>
      <c r="B2218" s="9" t="s">
        <v>30727</v>
      </c>
      <c r="C2218" s="9" t="s">
        <v>30728</v>
      </c>
      <c r="D2218" s="9" t="s">
        <v>30729</v>
      </c>
      <c r="E2218" s="9" t="s">
        <v>17748</v>
      </c>
      <c r="F2218" s="9" t="s">
        <v>30730</v>
      </c>
      <c r="G2218" s="9" t="s">
        <v>17740</v>
      </c>
      <c r="H2218" s="11" t="s">
        <v>17741</v>
      </c>
      <c r="I2218" s="11" t="s">
        <v>30731</v>
      </c>
      <c r="J2218" s="11" t="s">
        <v>30731</v>
      </c>
      <c r="K2218" s="9" t="s">
        <v>30732</v>
      </c>
      <c r="L2218" s="9" t="s">
        <v>17759</v>
      </c>
      <c r="M2218" s="9" t="s">
        <v>18051</v>
      </c>
      <c r="N2218" s="9" t="s">
        <v>17746</v>
      </c>
      <c r="O2218" s="9" t="s">
        <v>30638</v>
      </c>
      <c r="P2218" s="9" t="s">
        <v>17748</v>
      </c>
      <c r="Q2218" s="11" t="s">
        <v>18080</v>
      </c>
      <c r="R2218" s="11" t="s">
        <v>18080</v>
      </c>
      <c r="S2218" s="11" t="s">
        <v>17750</v>
      </c>
    </row>
    <row r="2219" spans="1:19" x14ac:dyDescent="0.2">
      <c r="A2219" s="11" t="s">
        <v>30733</v>
      </c>
      <c r="B2219" s="9" t="s">
        <v>30734</v>
      </c>
      <c r="C2219" s="9" t="s">
        <v>30735</v>
      </c>
      <c r="D2219" s="9" t="s">
        <v>30736</v>
      </c>
      <c r="E2219" s="9" t="s">
        <v>17740</v>
      </c>
      <c r="F2219" s="9" t="s">
        <v>17741</v>
      </c>
      <c r="G2219" s="9" t="s">
        <v>17740</v>
      </c>
      <c r="H2219" s="11" t="s">
        <v>30737</v>
      </c>
      <c r="I2219" s="11" t="s">
        <v>30738</v>
      </c>
      <c r="J2219" s="11" t="s">
        <v>30738</v>
      </c>
      <c r="K2219" s="9" t="s">
        <v>17758</v>
      </c>
      <c r="L2219" s="9" t="s">
        <v>17759</v>
      </c>
      <c r="M2219" s="9" t="s">
        <v>17817</v>
      </c>
      <c r="N2219" s="9" t="s">
        <v>17746</v>
      </c>
      <c r="O2219" s="9" t="s">
        <v>21160</v>
      </c>
      <c r="P2219" s="9" t="s">
        <v>17748</v>
      </c>
      <c r="Q2219" s="11" t="s">
        <v>18805</v>
      </c>
      <c r="R2219" s="11" t="s">
        <v>18805</v>
      </c>
      <c r="S2219" s="11" t="s">
        <v>17750</v>
      </c>
    </row>
    <row r="2220" spans="1:19" x14ac:dyDescent="0.2">
      <c r="A2220" s="11" t="s">
        <v>30739</v>
      </c>
      <c r="B2220" s="9" t="s">
        <v>30740</v>
      </c>
      <c r="C2220" s="9" t="s">
        <v>30741</v>
      </c>
      <c r="D2220" s="9" t="s">
        <v>1789</v>
      </c>
      <c r="E2220" s="9" t="s">
        <v>17740</v>
      </c>
      <c r="F2220" s="9" t="s">
        <v>30742</v>
      </c>
      <c r="G2220" s="9" t="s">
        <v>17740</v>
      </c>
      <c r="H2220" s="11" t="s">
        <v>1791</v>
      </c>
      <c r="I2220" s="11" t="s">
        <v>1790</v>
      </c>
      <c r="J2220" s="11" t="s">
        <v>1790</v>
      </c>
      <c r="K2220" s="9" t="s">
        <v>26030</v>
      </c>
      <c r="L2220" s="9" t="s">
        <v>21771</v>
      </c>
      <c r="M2220" s="9" t="s">
        <v>18289</v>
      </c>
      <c r="N2220" s="9" t="s">
        <v>17746</v>
      </c>
      <c r="O2220" s="9" t="s">
        <v>26112</v>
      </c>
      <c r="P2220" s="9" t="s">
        <v>17748</v>
      </c>
      <c r="Q2220" s="11" t="s">
        <v>18341</v>
      </c>
      <c r="R2220" s="11" t="s">
        <v>18341</v>
      </c>
      <c r="S2220" s="11" t="s">
        <v>17750</v>
      </c>
    </row>
    <row r="2221" spans="1:19" x14ac:dyDescent="0.2">
      <c r="A2221" s="11" t="s">
        <v>30743</v>
      </c>
      <c r="B2221" s="9" t="s">
        <v>30744</v>
      </c>
      <c r="C2221" s="9" t="s">
        <v>30745</v>
      </c>
      <c r="D2221" s="9" t="s">
        <v>30746</v>
      </c>
      <c r="E2221" s="9" t="s">
        <v>17740</v>
      </c>
      <c r="F2221" s="9" t="s">
        <v>17741</v>
      </c>
      <c r="G2221" s="9" t="s">
        <v>17740</v>
      </c>
      <c r="H2221" s="11" t="s">
        <v>30747</v>
      </c>
      <c r="I2221" s="11" t="s">
        <v>30748</v>
      </c>
      <c r="J2221" s="11" t="s">
        <v>30748</v>
      </c>
      <c r="K2221" s="9" t="s">
        <v>30749</v>
      </c>
      <c r="L2221" s="9" t="s">
        <v>17744</v>
      </c>
      <c r="M2221" s="9" t="s">
        <v>30750</v>
      </c>
      <c r="N2221" s="9" t="s">
        <v>17746</v>
      </c>
      <c r="O2221" s="9" t="s">
        <v>26112</v>
      </c>
      <c r="P2221" s="9" t="s">
        <v>17748</v>
      </c>
      <c r="Q2221" s="11" t="s">
        <v>18059</v>
      </c>
      <c r="R2221" s="11" t="s">
        <v>18059</v>
      </c>
      <c r="S2221" s="11" t="s">
        <v>17750</v>
      </c>
    </row>
    <row r="2222" spans="1:19" x14ac:dyDescent="0.2">
      <c r="A2222" s="11" t="s">
        <v>30751</v>
      </c>
      <c r="B2222" s="9" t="s">
        <v>30752</v>
      </c>
      <c r="C2222" s="9" t="s">
        <v>30753</v>
      </c>
      <c r="D2222" s="9" t="s">
        <v>30754</v>
      </c>
      <c r="E2222" s="9" t="s">
        <v>17740</v>
      </c>
      <c r="F2222" s="9" t="s">
        <v>30755</v>
      </c>
      <c r="G2222" s="9" t="s">
        <v>17740</v>
      </c>
      <c r="H2222" s="11" t="s">
        <v>17741</v>
      </c>
      <c r="I2222" s="11" t="s">
        <v>30756</v>
      </c>
      <c r="J2222" s="11" t="s">
        <v>30756</v>
      </c>
      <c r="K2222" s="9" t="s">
        <v>30757</v>
      </c>
      <c r="L2222" s="9" t="s">
        <v>17759</v>
      </c>
      <c r="M2222" s="9" t="s">
        <v>19168</v>
      </c>
      <c r="N2222" s="9" t="s">
        <v>17746</v>
      </c>
      <c r="O2222" s="9" t="s">
        <v>17857</v>
      </c>
      <c r="P2222" s="9" t="s">
        <v>17748</v>
      </c>
      <c r="Q2222" s="11" t="s">
        <v>18341</v>
      </c>
      <c r="R2222" s="11" t="s">
        <v>18341</v>
      </c>
      <c r="S2222" s="11" t="s">
        <v>17750</v>
      </c>
    </row>
    <row r="2223" spans="1:19" x14ac:dyDescent="0.2">
      <c r="A2223" s="11" t="s">
        <v>30758</v>
      </c>
      <c r="B2223" s="9" t="s">
        <v>30759</v>
      </c>
      <c r="C2223" s="9" t="s">
        <v>30760</v>
      </c>
      <c r="D2223" s="9" t="s">
        <v>30761</v>
      </c>
      <c r="E2223" s="9" t="s">
        <v>17740</v>
      </c>
      <c r="F2223" s="9" t="s">
        <v>30762</v>
      </c>
      <c r="G2223" s="9" t="s">
        <v>17740</v>
      </c>
      <c r="H2223" s="11" t="s">
        <v>30763</v>
      </c>
      <c r="I2223" s="11" t="s">
        <v>30764</v>
      </c>
      <c r="J2223" s="11" t="s">
        <v>30764</v>
      </c>
      <c r="K2223" s="9" t="s">
        <v>55</v>
      </c>
      <c r="L2223" s="9" t="s">
        <v>17744</v>
      </c>
      <c r="M2223" s="9" t="s">
        <v>17760</v>
      </c>
      <c r="N2223" s="9" t="s">
        <v>17746</v>
      </c>
      <c r="O2223" s="9" t="s">
        <v>3524</v>
      </c>
      <c r="P2223" s="9" t="s">
        <v>17748</v>
      </c>
      <c r="Q2223" s="11" t="s">
        <v>17749</v>
      </c>
      <c r="R2223" s="11" t="s">
        <v>17749</v>
      </c>
      <c r="S2223" s="11" t="s">
        <v>17750</v>
      </c>
    </row>
    <row r="2224" spans="1:19" x14ac:dyDescent="0.2">
      <c r="A2224" s="11" t="s">
        <v>30765</v>
      </c>
      <c r="B2224" s="9" t="s">
        <v>30766</v>
      </c>
      <c r="C2224" s="9" t="s">
        <v>30767</v>
      </c>
      <c r="D2224" s="9" t="s">
        <v>30768</v>
      </c>
      <c r="E2224" s="9" t="s">
        <v>17740</v>
      </c>
      <c r="F2224" s="9" t="s">
        <v>17741</v>
      </c>
      <c r="G2224" s="9" t="s">
        <v>17740</v>
      </c>
      <c r="H2224" s="11" t="s">
        <v>17741</v>
      </c>
      <c r="I2224" s="11" t="s">
        <v>30769</v>
      </c>
      <c r="J2224" s="11" t="s">
        <v>30769</v>
      </c>
      <c r="K2224" s="9" t="s">
        <v>30770</v>
      </c>
      <c r="L2224" s="9" t="s">
        <v>20082</v>
      </c>
      <c r="M2224" s="9" t="s">
        <v>17992</v>
      </c>
      <c r="N2224" s="9" t="s">
        <v>17746</v>
      </c>
      <c r="O2224" s="9" t="s">
        <v>3524</v>
      </c>
      <c r="P2224" s="9" t="s">
        <v>17748</v>
      </c>
      <c r="Q2224" s="11" t="s">
        <v>18080</v>
      </c>
      <c r="R2224" s="11" t="s">
        <v>18080</v>
      </c>
      <c r="S2224" s="11" t="s">
        <v>17750</v>
      </c>
    </row>
    <row r="2225" spans="1:19" x14ac:dyDescent="0.2">
      <c r="A2225" s="11" t="s">
        <v>30771</v>
      </c>
      <c r="B2225" s="9" t="s">
        <v>30772</v>
      </c>
      <c r="C2225" s="9" t="s">
        <v>30773</v>
      </c>
      <c r="D2225" s="9" t="s">
        <v>30774</v>
      </c>
      <c r="E2225" s="9" t="s">
        <v>17740</v>
      </c>
      <c r="F2225" s="9" t="s">
        <v>17741</v>
      </c>
      <c r="G2225" s="9" t="s">
        <v>17740</v>
      </c>
      <c r="H2225" s="11" t="s">
        <v>17741</v>
      </c>
      <c r="I2225" s="11" t="s">
        <v>30775</v>
      </c>
      <c r="J2225" s="11" t="s">
        <v>30775</v>
      </c>
      <c r="K2225" s="9" t="s">
        <v>19447</v>
      </c>
      <c r="L2225" s="9" t="s">
        <v>17759</v>
      </c>
      <c r="M2225" s="9" t="s">
        <v>25199</v>
      </c>
      <c r="N2225" s="9" t="s">
        <v>17746</v>
      </c>
      <c r="O2225" s="9" t="s">
        <v>3524</v>
      </c>
      <c r="P2225" s="9" t="s">
        <v>17748</v>
      </c>
      <c r="Q2225" s="11" t="s">
        <v>17784</v>
      </c>
      <c r="R2225" s="11" t="s">
        <v>17784</v>
      </c>
      <c r="S2225" s="11" t="s">
        <v>17750</v>
      </c>
    </row>
    <row r="2226" spans="1:19" x14ac:dyDescent="0.2">
      <c r="A2226" s="11" t="s">
        <v>30776</v>
      </c>
      <c r="B2226" s="9" t="s">
        <v>30777</v>
      </c>
      <c r="C2226" s="9" t="s">
        <v>30778</v>
      </c>
      <c r="D2226" s="9" t="s">
        <v>30779</v>
      </c>
      <c r="E2226" s="9" t="s">
        <v>17740</v>
      </c>
      <c r="F2226" s="9" t="s">
        <v>17741</v>
      </c>
      <c r="G2226" s="9" t="s">
        <v>17740</v>
      </c>
      <c r="H2226" s="11" t="s">
        <v>7522</v>
      </c>
      <c r="I2226" s="11" t="s">
        <v>7521</v>
      </c>
      <c r="J2226" s="11" t="s">
        <v>7521</v>
      </c>
      <c r="K2226" s="9" t="s">
        <v>30780</v>
      </c>
      <c r="L2226" s="9" t="s">
        <v>17759</v>
      </c>
      <c r="M2226" s="9" t="s">
        <v>27237</v>
      </c>
      <c r="N2226" s="9" t="s">
        <v>17746</v>
      </c>
      <c r="O2226" s="9" t="s">
        <v>18514</v>
      </c>
      <c r="P2226" s="9" t="s">
        <v>17748</v>
      </c>
      <c r="Q2226" s="11" t="s">
        <v>19515</v>
      </c>
      <c r="R2226" s="11" t="s">
        <v>19515</v>
      </c>
      <c r="S2226" s="11" t="s">
        <v>17750</v>
      </c>
    </row>
    <row r="2227" spans="1:19" x14ac:dyDescent="0.2">
      <c r="A2227" s="11" t="s">
        <v>30781</v>
      </c>
      <c r="B2227" s="9" t="s">
        <v>30782</v>
      </c>
      <c r="C2227" s="9" t="s">
        <v>30783</v>
      </c>
      <c r="D2227" s="9" t="s">
        <v>30784</v>
      </c>
      <c r="E2227" s="9" t="s">
        <v>17740</v>
      </c>
      <c r="F2227" s="9" t="s">
        <v>17741</v>
      </c>
      <c r="G2227" s="9" t="s">
        <v>17740</v>
      </c>
      <c r="H2227" s="11" t="s">
        <v>30785</v>
      </c>
      <c r="I2227" s="11" t="s">
        <v>30786</v>
      </c>
      <c r="J2227" s="11" t="s">
        <v>30786</v>
      </c>
      <c r="K2227" s="9" t="s">
        <v>30787</v>
      </c>
      <c r="L2227" s="9" t="s">
        <v>18959</v>
      </c>
      <c r="M2227" s="9" t="s">
        <v>17760</v>
      </c>
      <c r="N2227" s="9" t="s">
        <v>17746</v>
      </c>
      <c r="O2227" s="9" t="s">
        <v>27007</v>
      </c>
      <c r="P2227" s="9" t="s">
        <v>17748</v>
      </c>
      <c r="Q2227" s="11" t="s">
        <v>17819</v>
      </c>
      <c r="R2227" s="11" t="s">
        <v>17819</v>
      </c>
      <c r="S2227" s="11" t="s">
        <v>17750</v>
      </c>
    </row>
    <row r="2228" spans="1:19" x14ac:dyDescent="0.2">
      <c r="A2228" s="11" t="s">
        <v>30788</v>
      </c>
      <c r="B2228" s="9" t="s">
        <v>30789</v>
      </c>
      <c r="C2228" s="9" t="s">
        <v>30790</v>
      </c>
      <c r="D2228" s="9" t="s">
        <v>30791</v>
      </c>
      <c r="E2228" s="9" t="s">
        <v>17740</v>
      </c>
      <c r="F2228" s="9" t="s">
        <v>17741</v>
      </c>
      <c r="G2228" s="9" t="s">
        <v>17740</v>
      </c>
      <c r="H2228" s="11" t="s">
        <v>10263</v>
      </c>
      <c r="I2228" s="11" t="s">
        <v>17741</v>
      </c>
      <c r="J2228" s="11" t="s">
        <v>10263</v>
      </c>
      <c r="K2228" s="9" t="s">
        <v>18570</v>
      </c>
      <c r="L2228" s="9" t="s">
        <v>17744</v>
      </c>
      <c r="M2228" s="9" t="s">
        <v>17942</v>
      </c>
      <c r="N2228" s="9" t="s">
        <v>17746</v>
      </c>
      <c r="O2228" s="9" t="s">
        <v>26112</v>
      </c>
      <c r="P2228" s="9" t="s">
        <v>17748</v>
      </c>
      <c r="Q2228" s="11" t="s">
        <v>17858</v>
      </c>
      <c r="R2228" s="11" t="s">
        <v>17858</v>
      </c>
      <c r="S2228" s="11" t="s">
        <v>17750</v>
      </c>
    </row>
    <row r="2229" spans="1:19" x14ac:dyDescent="0.2">
      <c r="A2229" s="11" t="s">
        <v>30792</v>
      </c>
      <c r="B2229" s="9" t="s">
        <v>30793</v>
      </c>
      <c r="C2229" s="9" t="s">
        <v>30794</v>
      </c>
      <c r="D2229" s="9" t="s">
        <v>30795</v>
      </c>
      <c r="E2229" s="9" t="s">
        <v>17740</v>
      </c>
      <c r="F2229" s="9" t="s">
        <v>30796</v>
      </c>
      <c r="G2229" s="9" t="s">
        <v>17740</v>
      </c>
      <c r="H2229" s="11" t="s">
        <v>17741</v>
      </c>
      <c r="I2229" s="11" t="s">
        <v>30797</v>
      </c>
      <c r="J2229" s="11" t="s">
        <v>30797</v>
      </c>
      <c r="K2229" s="9" t="s">
        <v>30798</v>
      </c>
      <c r="L2229" s="9" t="s">
        <v>17744</v>
      </c>
      <c r="M2229" s="9" t="s">
        <v>23186</v>
      </c>
      <c r="N2229" s="9" t="s">
        <v>17746</v>
      </c>
      <c r="O2229" s="9" t="s">
        <v>19715</v>
      </c>
      <c r="P2229" s="9" t="s">
        <v>17748</v>
      </c>
      <c r="Q2229" s="11" t="s">
        <v>18059</v>
      </c>
      <c r="R2229" s="11" t="s">
        <v>18059</v>
      </c>
      <c r="S2229" s="11" t="s">
        <v>17750</v>
      </c>
    </row>
    <row r="2230" spans="1:19" x14ac:dyDescent="0.2">
      <c r="A2230" s="11" t="s">
        <v>30799</v>
      </c>
      <c r="B2230" s="9" t="s">
        <v>30800</v>
      </c>
      <c r="C2230" s="9" t="s">
        <v>30801</v>
      </c>
      <c r="D2230" s="9" t="s">
        <v>30802</v>
      </c>
      <c r="E2230" s="9" t="s">
        <v>17740</v>
      </c>
      <c r="F2230" s="9" t="s">
        <v>17741</v>
      </c>
      <c r="G2230" s="9" t="s">
        <v>17740</v>
      </c>
      <c r="H2230" s="11" t="s">
        <v>30803</v>
      </c>
      <c r="I2230" s="11" t="s">
        <v>4667</v>
      </c>
      <c r="J2230" s="11" t="s">
        <v>4667</v>
      </c>
      <c r="K2230" s="9" t="s">
        <v>18520</v>
      </c>
      <c r="L2230" s="9" t="s">
        <v>17744</v>
      </c>
      <c r="M2230" s="9" t="s">
        <v>30804</v>
      </c>
      <c r="N2230" s="9" t="s">
        <v>17746</v>
      </c>
      <c r="O2230" s="9" t="s">
        <v>30620</v>
      </c>
      <c r="P2230" s="9" t="s">
        <v>17748</v>
      </c>
      <c r="Q2230" s="11" t="s">
        <v>18678</v>
      </c>
      <c r="R2230" s="11" t="s">
        <v>18678</v>
      </c>
      <c r="S2230" s="11" t="s">
        <v>17750</v>
      </c>
    </row>
    <row r="2231" spans="1:19" x14ac:dyDescent="0.2">
      <c r="A2231" s="11" t="s">
        <v>30805</v>
      </c>
      <c r="B2231" s="9" t="s">
        <v>30806</v>
      </c>
      <c r="C2231" s="9" t="s">
        <v>30807</v>
      </c>
      <c r="D2231" s="9" t="s">
        <v>30808</v>
      </c>
      <c r="E2231" s="9" t="s">
        <v>17740</v>
      </c>
      <c r="F2231" s="9" t="s">
        <v>17741</v>
      </c>
      <c r="G2231" s="9" t="s">
        <v>17740</v>
      </c>
      <c r="H2231" s="11" t="s">
        <v>1804</v>
      </c>
      <c r="I2231" s="11" t="s">
        <v>1803</v>
      </c>
      <c r="J2231" s="11" t="s">
        <v>1803</v>
      </c>
      <c r="K2231" s="9" t="s">
        <v>21146</v>
      </c>
      <c r="L2231" s="9" t="s">
        <v>17759</v>
      </c>
      <c r="M2231" s="9" t="s">
        <v>17769</v>
      </c>
      <c r="N2231" s="9" t="s">
        <v>17746</v>
      </c>
      <c r="O2231" s="9" t="s">
        <v>1802</v>
      </c>
      <c r="P2231" s="9" t="s">
        <v>17748</v>
      </c>
      <c r="Q2231" s="11" t="s">
        <v>20251</v>
      </c>
      <c r="R2231" s="11" t="s">
        <v>20251</v>
      </c>
      <c r="S2231" s="11" t="s">
        <v>17750</v>
      </c>
    </row>
    <row r="2232" spans="1:19" x14ac:dyDescent="0.2">
      <c r="A2232" s="11" t="s">
        <v>30809</v>
      </c>
      <c r="B2232" s="9" t="s">
        <v>30810</v>
      </c>
      <c r="C2232" s="9" t="s">
        <v>30811</v>
      </c>
      <c r="D2232" s="9" t="s">
        <v>30812</v>
      </c>
      <c r="E2232" s="9" t="s">
        <v>17740</v>
      </c>
      <c r="F2232" s="9" t="s">
        <v>17741</v>
      </c>
      <c r="G2232" s="9" t="s">
        <v>17740</v>
      </c>
      <c r="H2232" s="11" t="s">
        <v>30813</v>
      </c>
      <c r="I2232" s="11" t="s">
        <v>30814</v>
      </c>
      <c r="J2232" s="11" t="s">
        <v>30814</v>
      </c>
      <c r="K2232" s="9" t="s">
        <v>30815</v>
      </c>
      <c r="L2232" s="9" t="s">
        <v>17744</v>
      </c>
      <c r="M2232" s="9" t="s">
        <v>21794</v>
      </c>
      <c r="N2232" s="9" t="s">
        <v>17746</v>
      </c>
      <c r="O2232" s="9" t="s">
        <v>30816</v>
      </c>
      <c r="P2232" s="9" t="s">
        <v>17748</v>
      </c>
      <c r="Q2232" s="11" t="s">
        <v>18356</v>
      </c>
      <c r="R2232" s="11" t="s">
        <v>18356</v>
      </c>
      <c r="S2232" s="11" t="s">
        <v>17750</v>
      </c>
    </row>
    <row r="2233" spans="1:19" x14ac:dyDescent="0.2">
      <c r="A2233" s="11" t="s">
        <v>30817</v>
      </c>
      <c r="B2233" s="9" t="s">
        <v>30818</v>
      </c>
      <c r="C2233" s="9" t="s">
        <v>30819</v>
      </c>
      <c r="D2233" s="9" t="s">
        <v>30820</v>
      </c>
      <c r="E2233" s="9" t="s">
        <v>17740</v>
      </c>
      <c r="F2233" s="9" t="s">
        <v>30821</v>
      </c>
      <c r="G2233" s="9" t="s">
        <v>17740</v>
      </c>
      <c r="H2233" s="11" t="s">
        <v>30822</v>
      </c>
      <c r="I2233" s="11" t="s">
        <v>30823</v>
      </c>
      <c r="J2233" s="11" t="s">
        <v>30823</v>
      </c>
      <c r="K2233" s="9" t="s">
        <v>30824</v>
      </c>
      <c r="L2233" s="9" t="s">
        <v>18305</v>
      </c>
      <c r="M2233" s="9" t="s">
        <v>17741</v>
      </c>
      <c r="N2233" s="9" t="s">
        <v>17746</v>
      </c>
      <c r="O2233" s="9" t="s">
        <v>17848</v>
      </c>
      <c r="P2233" s="9" t="s">
        <v>17748</v>
      </c>
      <c r="Q2233" s="11" t="s">
        <v>17984</v>
      </c>
      <c r="R2233" s="11" t="s">
        <v>17984</v>
      </c>
      <c r="S2233" s="11" t="s">
        <v>17750</v>
      </c>
    </row>
    <row r="2234" spans="1:19" x14ac:dyDescent="0.2">
      <c r="A2234" s="11" t="s">
        <v>30825</v>
      </c>
      <c r="B2234" s="9" t="s">
        <v>30826</v>
      </c>
      <c r="C2234" s="9" t="s">
        <v>30827</v>
      </c>
      <c r="D2234" s="9" t="s">
        <v>30828</v>
      </c>
      <c r="E2234" s="9" t="s">
        <v>17740</v>
      </c>
      <c r="F2234" s="9" t="s">
        <v>17741</v>
      </c>
      <c r="G2234" s="9" t="s">
        <v>17740</v>
      </c>
      <c r="H2234" s="11" t="s">
        <v>7400</v>
      </c>
      <c r="I2234" s="11" t="s">
        <v>7399</v>
      </c>
      <c r="J2234" s="11" t="s">
        <v>7399</v>
      </c>
      <c r="K2234" s="9" t="s">
        <v>7401</v>
      </c>
      <c r="L2234" s="9" t="s">
        <v>17744</v>
      </c>
      <c r="M2234" s="9" t="s">
        <v>17942</v>
      </c>
      <c r="N2234" s="9" t="s">
        <v>17746</v>
      </c>
      <c r="O2234" s="9" t="s">
        <v>28888</v>
      </c>
      <c r="P2234" s="9" t="s">
        <v>17748</v>
      </c>
      <c r="Q2234" s="11" t="s">
        <v>18272</v>
      </c>
      <c r="R2234" s="11" t="s">
        <v>18272</v>
      </c>
      <c r="S2234" s="11" t="s">
        <v>17750</v>
      </c>
    </row>
    <row r="2235" spans="1:19" x14ac:dyDescent="0.2">
      <c r="A2235" s="11" t="s">
        <v>30829</v>
      </c>
      <c r="B2235" s="9" t="s">
        <v>30830</v>
      </c>
      <c r="C2235" s="9" t="s">
        <v>30831</v>
      </c>
      <c r="D2235" s="9" t="s">
        <v>30832</v>
      </c>
      <c r="E2235" s="9" t="s">
        <v>17740</v>
      </c>
      <c r="F2235" s="9" t="s">
        <v>17741</v>
      </c>
      <c r="G2235" s="9" t="s">
        <v>17740</v>
      </c>
      <c r="H2235" s="11" t="s">
        <v>17741</v>
      </c>
      <c r="I2235" s="11" t="s">
        <v>30833</v>
      </c>
      <c r="J2235" s="11" t="s">
        <v>30833</v>
      </c>
      <c r="K2235" s="9" t="s">
        <v>7723</v>
      </c>
      <c r="L2235" s="9" t="s">
        <v>17759</v>
      </c>
      <c r="M2235" s="9" t="s">
        <v>17769</v>
      </c>
      <c r="N2235" s="9" t="s">
        <v>17746</v>
      </c>
      <c r="O2235" s="9" t="s">
        <v>17857</v>
      </c>
      <c r="P2235" s="9" t="s">
        <v>17748</v>
      </c>
      <c r="Q2235" s="11" t="s">
        <v>18960</v>
      </c>
      <c r="R2235" s="11" t="s">
        <v>18960</v>
      </c>
      <c r="S2235" s="11" t="s">
        <v>17750</v>
      </c>
    </row>
    <row r="2236" spans="1:19" x14ac:dyDescent="0.2">
      <c r="A2236" s="11" t="s">
        <v>30834</v>
      </c>
      <c r="B2236" s="9" t="s">
        <v>30835</v>
      </c>
      <c r="C2236" s="9" t="s">
        <v>30836</v>
      </c>
      <c r="D2236" s="9" t="s">
        <v>30837</v>
      </c>
      <c r="E2236" s="9" t="s">
        <v>17740</v>
      </c>
      <c r="F2236" s="9" t="s">
        <v>30838</v>
      </c>
      <c r="G2236" s="9" t="s">
        <v>17740</v>
      </c>
      <c r="H2236" s="11" t="s">
        <v>17741</v>
      </c>
      <c r="I2236" s="11" t="s">
        <v>30839</v>
      </c>
      <c r="J2236" s="11" t="s">
        <v>30839</v>
      </c>
      <c r="K2236" s="9" t="s">
        <v>30840</v>
      </c>
      <c r="L2236" s="9" t="s">
        <v>17759</v>
      </c>
      <c r="M2236" s="9" t="s">
        <v>17817</v>
      </c>
      <c r="N2236" s="9" t="s">
        <v>17746</v>
      </c>
      <c r="O2236" s="9" t="s">
        <v>17857</v>
      </c>
      <c r="P2236" s="9" t="s">
        <v>17748</v>
      </c>
      <c r="Q2236" s="11" t="s">
        <v>19515</v>
      </c>
      <c r="R2236" s="11" t="s">
        <v>19515</v>
      </c>
      <c r="S2236" s="11" t="s">
        <v>17750</v>
      </c>
    </row>
    <row r="2237" spans="1:19" x14ac:dyDescent="0.2">
      <c r="A2237" s="11" t="s">
        <v>30841</v>
      </c>
      <c r="B2237" s="9" t="s">
        <v>30842</v>
      </c>
      <c r="C2237" s="9" t="s">
        <v>30843</v>
      </c>
      <c r="D2237" s="9" t="s">
        <v>30844</v>
      </c>
      <c r="E2237" s="9" t="s">
        <v>17748</v>
      </c>
      <c r="F2237" s="9" t="s">
        <v>30845</v>
      </c>
      <c r="G2237" s="9" t="s">
        <v>17740</v>
      </c>
      <c r="H2237" s="11" t="s">
        <v>17741</v>
      </c>
      <c r="I2237" s="11" t="s">
        <v>30846</v>
      </c>
      <c r="J2237" s="11" t="s">
        <v>30846</v>
      </c>
      <c r="K2237" s="9" t="s">
        <v>30847</v>
      </c>
      <c r="L2237" s="9" t="s">
        <v>17759</v>
      </c>
      <c r="M2237" s="9" t="s">
        <v>17817</v>
      </c>
      <c r="N2237" s="9" t="s">
        <v>17746</v>
      </c>
      <c r="O2237" s="9" t="s">
        <v>30848</v>
      </c>
      <c r="P2237" s="9" t="s">
        <v>17748</v>
      </c>
      <c r="Q2237" s="11" t="s">
        <v>17784</v>
      </c>
      <c r="R2237" s="11" t="s">
        <v>17784</v>
      </c>
      <c r="S2237" s="11" t="s">
        <v>17750</v>
      </c>
    </row>
    <row r="2238" spans="1:19" x14ac:dyDescent="0.2">
      <c r="A2238" s="11" t="s">
        <v>30849</v>
      </c>
      <c r="B2238" s="9" t="s">
        <v>30850</v>
      </c>
      <c r="C2238" s="9" t="s">
        <v>30851</v>
      </c>
      <c r="D2238" s="9" t="s">
        <v>30852</v>
      </c>
      <c r="E2238" s="9" t="s">
        <v>17740</v>
      </c>
      <c r="F2238" s="9" t="s">
        <v>30853</v>
      </c>
      <c r="G2238" s="9" t="s">
        <v>17740</v>
      </c>
      <c r="H2238" s="11" t="s">
        <v>17741</v>
      </c>
      <c r="I2238" s="11" t="s">
        <v>30854</v>
      </c>
      <c r="J2238" s="11" t="s">
        <v>30854</v>
      </c>
      <c r="K2238" s="9" t="s">
        <v>30855</v>
      </c>
      <c r="L2238" s="9" t="s">
        <v>17759</v>
      </c>
      <c r="M2238" s="9" t="s">
        <v>17817</v>
      </c>
      <c r="N2238" s="9" t="s">
        <v>17746</v>
      </c>
      <c r="O2238" s="9" t="s">
        <v>30691</v>
      </c>
      <c r="P2238" s="9" t="s">
        <v>17748</v>
      </c>
      <c r="Q2238" s="11" t="s">
        <v>17749</v>
      </c>
      <c r="R2238" s="11" t="s">
        <v>17749</v>
      </c>
      <c r="S2238" s="11" t="s">
        <v>17750</v>
      </c>
    </row>
    <row r="2239" spans="1:19" x14ac:dyDescent="0.2">
      <c r="A2239" s="11" t="s">
        <v>30856</v>
      </c>
      <c r="B2239" s="9" t="s">
        <v>30857</v>
      </c>
      <c r="C2239" s="9" t="s">
        <v>30858</v>
      </c>
      <c r="D2239" s="9" t="s">
        <v>30859</v>
      </c>
      <c r="E2239" s="9" t="s">
        <v>17740</v>
      </c>
      <c r="F2239" s="9" t="s">
        <v>30860</v>
      </c>
      <c r="G2239" s="9" t="s">
        <v>17740</v>
      </c>
      <c r="H2239" s="11" t="s">
        <v>17741</v>
      </c>
      <c r="I2239" s="11" t="s">
        <v>4962</v>
      </c>
      <c r="J2239" s="11" t="s">
        <v>4962</v>
      </c>
      <c r="K2239" s="9" t="s">
        <v>30861</v>
      </c>
      <c r="L2239" s="9" t="s">
        <v>18959</v>
      </c>
      <c r="M2239" s="9" t="s">
        <v>17760</v>
      </c>
      <c r="N2239" s="9" t="s">
        <v>17746</v>
      </c>
      <c r="O2239" s="9" t="s">
        <v>17857</v>
      </c>
      <c r="P2239" s="9" t="s">
        <v>17748</v>
      </c>
      <c r="Q2239" s="11" t="s">
        <v>18678</v>
      </c>
      <c r="R2239" s="11" t="s">
        <v>18678</v>
      </c>
      <c r="S2239" s="11" t="s">
        <v>17750</v>
      </c>
    </row>
    <row r="2240" spans="1:19" x14ac:dyDescent="0.2">
      <c r="A2240" s="11" t="s">
        <v>30862</v>
      </c>
      <c r="B2240" s="9" t="s">
        <v>30863</v>
      </c>
      <c r="C2240" s="9" t="s">
        <v>30864</v>
      </c>
      <c r="D2240" s="9" t="s">
        <v>30865</v>
      </c>
      <c r="E2240" s="9" t="s">
        <v>17748</v>
      </c>
      <c r="F2240" s="9" t="s">
        <v>30866</v>
      </c>
      <c r="G2240" s="9" t="s">
        <v>17740</v>
      </c>
      <c r="H2240" s="11" t="s">
        <v>30867</v>
      </c>
      <c r="I2240" s="11" t="s">
        <v>30868</v>
      </c>
      <c r="J2240" s="11" t="s">
        <v>30868</v>
      </c>
      <c r="K2240" s="9" t="s">
        <v>30869</v>
      </c>
      <c r="L2240" s="9" t="s">
        <v>17759</v>
      </c>
      <c r="M2240" s="9" t="s">
        <v>18211</v>
      </c>
      <c r="N2240" s="9" t="s">
        <v>17746</v>
      </c>
      <c r="O2240" s="9" t="s">
        <v>17857</v>
      </c>
      <c r="P2240" s="9" t="s">
        <v>17748</v>
      </c>
      <c r="Q2240" s="11" t="s">
        <v>17909</v>
      </c>
      <c r="R2240" s="11" t="s">
        <v>17909</v>
      </c>
      <c r="S2240" s="11" t="s">
        <v>17750</v>
      </c>
    </row>
    <row r="2241" spans="1:19" x14ac:dyDescent="0.2">
      <c r="A2241" s="11" t="s">
        <v>30870</v>
      </c>
      <c r="B2241" s="9" t="s">
        <v>30871</v>
      </c>
      <c r="C2241" s="9" t="s">
        <v>30872</v>
      </c>
      <c r="D2241" s="9" t="s">
        <v>30873</v>
      </c>
      <c r="E2241" s="9" t="s">
        <v>17740</v>
      </c>
      <c r="F2241" s="9" t="s">
        <v>17741</v>
      </c>
      <c r="G2241" s="9" t="s">
        <v>17740</v>
      </c>
      <c r="H2241" s="11" t="s">
        <v>17741</v>
      </c>
      <c r="I2241" s="11" t="s">
        <v>12201</v>
      </c>
      <c r="J2241" s="11" t="s">
        <v>12201</v>
      </c>
      <c r="K2241" s="9" t="s">
        <v>30874</v>
      </c>
      <c r="L2241" s="9" t="s">
        <v>18959</v>
      </c>
      <c r="M2241" s="9" t="s">
        <v>17778</v>
      </c>
      <c r="N2241" s="9" t="s">
        <v>17746</v>
      </c>
      <c r="O2241" s="9" t="s">
        <v>19715</v>
      </c>
      <c r="P2241" s="9" t="s">
        <v>17748</v>
      </c>
      <c r="Q2241" s="11" t="s">
        <v>17984</v>
      </c>
      <c r="R2241" s="11" t="s">
        <v>17984</v>
      </c>
      <c r="S2241" s="11" t="s">
        <v>17750</v>
      </c>
    </row>
    <row r="2242" spans="1:19" x14ac:dyDescent="0.2">
      <c r="A2242" s="11" t="s">
        <v>30875</v>
      </c>
      <c r="B2242" s="9" t="s">
        <v>30876</v>
      </c>
      <c r="C2242" s="9" t="s">
        <v>30877</v>
      </c>
      <c r="D2242" s="9" t="s">
        <v>30878</v>
      </c>
      <c r="E2242" s="9" t="s">
        <v>17748</v>
      </c>
      <c r="F2242" s="9" t="s">
        <v>30879</v>
      </c>
      <c r="G2242" s="9" t="s">
        <v>17740</v>
      </c>
      <c r="H2242" s="11" t="s">
        <v>17741</v>
      </c>
      <c r="I2242" s="11" t="s">
        <v>30880</v>
      </c>
      <c r="J2242" s="11" t="s">
        <v>30880</v>
      </c>
      <c r="K2242" s="9" t="s">
        <v>30874</v>
      </c>
      <c r="L2242" s="9" t="s">
        <v>18959</v>
      </c>
      <c r="M2242" s="9" t="s">
        <v>17760</v>
      </c>
      <c r="N2242" s="9" t="s">
        <v>17746</v>
      </c>
      <c r="O2242" s="9" t="s">
        <v>17857</v>
      </c>
      <c r="P2242" s="9" t="s">
        <v>17748</v>
      </c>
      <c r="Q2242" s="11" t="s">
        <v>17780</v>
      </c>
      <c r="R2242" s="11" t="s">
        <v>17780</v>
      </c>
      <c r="S2242" s="11" t="s">
        <v>17750</v>
      </c>
    </row>
    <row r="2243" spans="1:19" x14ac:dyDescent="0.2">
      <c r="A2243" s="11" t="s">
        <v>30881</v>
      </c>
      <c r="B2243" s="9" t="s">
        <v>30882</v>
      </c>
      <c r="C2243" s="9" t="s">
        <v>30883</v>
      </c>
      <c r="D2243" s="9" t="s">
        <v>30884</v>
      </c>
      <c r="E2243" s="9" t="s">
        <v>17740</v>
      </c>
      <c r="F2243" s="9" t="s">
        <v>17741</v>
      </c>
      <c r="G2243" s="9" t="s">
        <v>17740</v>
      </c>
      <c r="H2243" s="11" t="s">
        <v>17741</v>
      </c>
      <c r="I2243" s="11" t="s">
        <v>30885</v>
      </c>
      <c r="J2243" s="11" t="s">
        <v>30885</v>
      </c>
      <c r="K2243" s="9" t="s">
        <v>30886</v>
      </c>
      <c r="L2243" s="9" t="s">
        <v>18959</v>
      </c>
      <c r="M2243" s="9" t="s">
        <v>17760</v>
      </c>
      <c r="N2243" s="9" t="s">
        <v>17746</v>
      </c>
      <c r="O2243" s="9" t="s">
        <v>17848</v>
      </c>
      <c r="P2243" s="9" t="s">
        <v>17748</v>
      </c>
      <c r="Q2243" s="11" t="s">
        <v>18356</v>
      </c>
      <c r="R2243" s="11" t="s">
        <v>18356</v>
      </c>
      <c r="S2243" s="11" t="s">
        <v>17750</v>
      </c>
    </row>
    <row r="2244" spans="1:19" x14ac:dyDescent="0.2">
      <c r="A2244" s="11" t="s">
        <v>30887</v>
      </c>
      <c r="B2244" s="9" t="s">
        <v>30888</v>
      </c>
      <c r="C2244" s="9" t="s">
        <v>30889</v>
      </c>
      <c r="D2244" s="9" t="s">
        <v>30890</v>
      </c>
      <c r="E2244" s="9" t="s">
        <v>17748</v>
      </c>
      <c r="F2244" s="9" t="s">
        <v>30891</v>
      </c>
      <c r="G2244" s="9" t="s">
        <v>17740</v>
      </c>
      <c r="H2244" s="11" t="s">
        <v>17741</v>
      </c>
      <c r="I2244" s="11" t="s">
        <v>17741</v>
      </c>
      <c r="J2244" s="11" t="s">
        <v>17741</v>
      </c>
      <c r="K2244" s="9" t="s">
        <v>30892</v>
      </c>
      <c r="L2244" s="9" t="s">
        <v>17759</v>
      </c>
      <c r="M2244" s="9" t="s">
        <v>17942</v>
      </c>
      <c r="N2244" s="9" t="s">
        <v>17746</v>
      </c>
      <c r="O2244" s="9" t="s">
        <v>22682</v>
      </c>
      <c r="P2244" s="9" t="s">
        <v>17748</v>
      </c>
      <c r="Q2244" s="11" t="s">
        <v>18370</v>
      </c>
      <c r="R2244" s="11" t="s">
        <v>18370</v>
      </c>
      <c r="S2244" s="11" t="s">
        <v>17750</v>
      </c>
    </row>
    <row r="2245" spans="1:19" x14ac:dyDescent="0.2">
      <c r="A2245" s="11" t="s">
        <v>30893</v>
      </c>
      <c r="B2245" s="9" t="s">
        <v>30894</v>
      </c>
      <c r="C2245" s="9" t="s">
        <v>30895</v>
      </c>
      <c r="D2245" s="9" t="s">
        <v>30896</v>
      </c>
      <c r="E2245" s="9" t="s">
        <v>17740</v>
      </c>
      <c r="F2245" s="9" t="s">
        <v>17741</v>
      </c>
      <c r="G2245" s="9" t="s">
        <v>17740</v>
      </c>
      <c r="H2245" s="11" t="s">
        <v>1797</v>
      </c>
      <c r="I2245" s="11" t="s">
        <v>1796</v>
      </c>
      <c r="J2245" s="11" t="s">
        <v>1796</v>
      </c>
      <c r="K2245" s="9" t="s">
        <v>22128</v>
      </c>
      <c r="L2245" s="9" t="s">
        <v>18001</v>
      </c>
      <c r="M2245" s="9" t="s">
        <v>22280</v>
      </c>
      <c r="N2245" s="9" t="s">
        <v>17746</v>
      </c>
      <c r="O2245" s="9" t="s">
        <v>19406</v>
      </c>
      <c r="P2245" s="9" t="s">
        <v>17748</v>
      </c>
      <c r="Q2245" s="11" t="s">
        <v>19335</v>
      </c>
      <c r="R2245" s="11" t="s">
        <v>19335</v>
      </c>
      <c r="S2245" s="11" t="s">
        <v>17750</v>
      </c>
    </row>
    <row r="2246" spans="1:19" x14ac:dyDescent="0.2">
      <c r="A2246" s="11" t="s">
        <v>30897</v>
      </c>
      <c r="B2246" s="9" t="s">
        <v>30898</v>
      </c>
      <c r="C2246" s="9" t="s">
        <v>30899</v>
      </c>
      <c r="D2246" s="9" t="s">
        <v>30900</v>
      </c>
      <c r="E2246" s="9" t="s">
        <v>17740</v>
      </c>
      <c r="F2246" s="9" t="s">
        <v>17741</v>
      </c>
      <c r="G2246" s="9" t="s">
        <v>17740</v>
      </c>
      <c r="H2246" s="11" t="s">
        <v>1785</v>
      </c>
      <c r="I2246" s="11" t="s">
        <v>1784</v>
      </c>
      <c r="J2246" s="11" t="s">
        <v>1784</v>
      </c>
      <c r="K2246" s="9" t="s">
        <v>30901</v>
      </c>
      <c r="L2246" s="9" t="s">
        <v>17759</v>
      </c>
      <c r="M2246" s="9" t="s">
        <v>17769</v>
      </c>
      <c r="N2246" s="9" t="s">
        <v>17746</v>
      </c>
      <c r="O2246" s="9" t="s">
        <v>30902</v>
      </c>
      <c r="P2246" s="9" t="s">
        <v>17748</v>
      </c>
      <c r="Q2246" s="11" t="s">
        <v>19082</v>
      </c>
      <c r="R2246" s="11" t="s">
        <v>19082</v>
      </c>
      <c r="S2246" s="11" t="s">
        <v>17750</v>
      </c>
    </row>
    <row r="2247" spans="1:19" x14ac:dyDescent="0.2">
      <c r="A2247" s="11" t="s">
        <v>30903</v>
      </c>
      <c r="B2247" s="9" t="s">
        <v>30904</v>
      </c>
      <c r="C2247" s="9" t="s">
        <v>30905</v>
      </c>
      <c r="D2247" s="9" t="s">
        <v>6875</v>
      </c>
      <c r="E2247" s="9" t="s">
        <v>17748</v>
      </c>
      <c r="F2247" s="9" t="s">
        <v>30906</v>
      </c>
      <c r="G2247" s="9" t="s">
        <v>17740</v>
      </c>
      <c r="H2247" s="11" t="s">
        <v>6877</v>
      </c>
      <c r="I2247" s="11" t="s">
        <v>6876</v>
      </c>
      <c r="J2247" s="11" t="s">
        <v>6876</v>
      </c>
      <c r="K2247" s="9" t="s">
        <v>18616</v>
      </c>
      <c r="L2247" s="9" t="s">
        <v>17744</v>
      </c>
      <c r="M2247" s="9" t="s">
        <v>24071</v>
      </c>
      <c r="N2247" s="9" t="s">
        <v>17746</v>
      </c>
      <c r="O2247" s="9" t="s">
        <v>18009</v>
      </c>
      <c r="P2247" s="9" t="s">
        <v>17748</v>
      </c>
      <c r="Q2247" s="11" t="s">
        <v>18201</v>
      </c>
      <c r="R2247" s="11" t="s">
        <v>18201</v>
      </c>
      <c r="S2247" s="11" t="s">
        <v>17750</v>
      </c>
    </row>
    <row r="2248" spans="1:19" x14ac:dyDescent="0.2">
      <c r="A2248" s="11" t="s">
        <v>30907</v>
      </c>
      <c r="B2248" s="9" t="s">
        <v>30908</v>
      </c>
      <c r="C2248" s="9" t="s">
        <v>30909</v>
      </c>
      <c r="D2248" s="9" t="s">
        <v>30910</v>
      </c>
      <c r="E2248" s="9" t="s">
        <v>17740</v>
      </c>
      <c r="F2248" s="9" t="s">
        <v>30911</v>
      </c>
      <c r="G2248" s="9" t="s">
        <v>17740</v>
      </c>
      <c r="H2248" s="11" t="s">
        <v>17741</v>
      </c>
      <c r="I2248" s="11" t="s">
        <v>30912</v>
      </c>
      <c r="J2248" s="11" t="s">
        <v>30912</v>
      </c>
      <c r="K2248" s="9" t="s">
        <v>30913</v>
      </c>
      <c r="L2248" s="9" t="s">
        <v>17759</v>
      </c>
      <c r="M2248" s="9" t="s">
        <v>17817</v>
      </c>
      <c r="N2248" s="9" t="s">
        <v>17746</v>
      </c>
      <c r="O2248" s="9" t="s">
        <v>18009</v>
      </c>
      <c r="P2248" s="9" t="s">
        <v>17748</v>
      </c>
      <c r="Q2248" s="11" t="s">
        <v>18798</v>
      </c>
      <c r="R2248" s="11" t="s">
        <v>18798</v>
      </c>
      <c r="S2248" s="11" t="s">
        <v>17750</v>
      </c>
    </row>
    <row r="2249" spans="1:19" x14ac:dyDescent="0.2">
      <c r="A2249" s="11" t="s">
        <v>30914</v>
      </c>
      <c r="B2249" s="9" t="s">
        <v>30915</v>
      </c>
      <c r="C2249" s="9" t="s">
        <v>30916</v>
      </c>
      <c r="D2249" s="9" t="s">
        <v>30917</v>
      </c>
      <c r="E2249" s="9" t="s">
        <v>17740</v>
      </c>
      <c r="F2249" s="9" t="s">
        <v>17741</v>
      </c>
      <c r="G2249" s="9" t="s">
        <v>17740</v>
      </c>
      <c r="H2249" s="11" t="s">
        <v>1807</v>
      </c>
      <c r="I2249" s="11" t="s">
        <v>1806</v>
      </c>
      <c r="J2249" s="11" t="s">
        <v>1806</v>
      </c>
      <c r="K2249" s="9" t="s">
        <v>167</v>
      </c>
      <c r="L2249" s="9" t="s">
        <v>18242</v>
      </c>
      <c r="M2249" s="9" t="s">
        <v>18051</v>
      </c>
      <c r="N2249" s="9" t="s">
        <v>17746</v>
      </c>
      <c r="O2249" s="9" t="s">
        <v>18009</v>
      </c>
      <c r="P2249" s="9" t="s">
        <v>17748</v>
      </c>
      <c r="Q2249" s="11" t="s">
        <v>18960</v>
      </c>
      <c r="R2249" s="11" t="s">
        <v>18960</v>
      </c>
      <c r="S2249" s="11" t="s">
        <v>17750</v>
      </c>
    </row>
    <row r="2250" spans="1:19" x14ac:dyDescent="0.2">
      <c r="A2250" s="11" t="s">
        <v>30918</v>
      </c>
      <c r="B2250" s="9" t="s">
        <v>30919</v>
      </c>
      <c r="C2250" s="9" t="s">
        <v>30920</v>
      </c>
      <c r="D2250" s="9" t="s">
        <v>30921</v>
      </c>
      <c r="E2250" s="9" t="s">
        <v>17740</v>
      </c>
      <c r="F2250" s="9" t="s">
        <v>17741</v>
      </c>
      <c r="G2250" s="9" t="s">
        <v>17740</v>
      </c>
      <c r="H2250" s="11" t="s">
        <v>17741</v>
      </c>
      <c r="I2250" s="11" t="s">
        <v>11400</v>
      </c>
      <c r="J2250" s="11" t="s">
        <v>11400</v>
      </c>
      <c r="K2250" s="9" t="s">
        <v>30922</v>
      </c>
      <c r="L2250" s="9" t="s">
        <v>17759</v>
      </c>
      <c r="M2250" s="9" t="s">
        <v>17760</v>
      </c>
      <c r="N2250" s="9" t="s">
        <v>17746</v>
      </c>
      <c r="O2250" s="9" t="s">
        <v>18009</v>
      </c>
      <c r="P2250" s="9" t="s">
        <v>17748</v>
      </c>
      <c r="Q2250" s="11" t="s">
        <v>17984</v>
      </c>
      <c r="R2250" s="11" t="s">
        <v>17984</v>
      </c>
      <c r="S2250" s="11" t="s">
        <v>17750</v>
      </c>
    </row>
    <row r="2251" spans="1:19" x14ac:dyDescent="0.2">
      <c r="A2251" s="11" t="s">
        <v>30923</v>
      </c>
      <c r="B2251" s="9" t="s">
        <v>30924</v>
      </c>
      <c r="C2251" s="9" t="s">
        <v>30925</v>
      </c>
      <c r="D2251" s="9" t="s">
        <v>30926</v>
      </c>
      <c r="E2251" s="9" t="s">
        <v>17740</v>
      </c>
      <c r="F2251" s="9" t="s">
        <v>17741</v>
      </c>
      <c r="G2251" s="9" t="s">
        <v>17740</v>
      </c>
      <c r="H2251" s="11" t="s">
        <v>7465</v>
      </c>
      <c r="I2251" s="11" t="s">
        <v>7464</v>
      </c>
      <c r="J2251" s="11" t="s">
        <v>7464</v>
      </c>
      <c r="K2251" s="9" t="s">
        <v>18876</v>
      </c>
      <c r="L2251" s="9" t="s">
        <v>17759</v>
      </c>
      <c r="M2251" s="9" t="s">
        <v>17760</v>
      </c>
      <c r="N2251" s="9" t="s">
        <v>17746</v>
      </c>
      <c r="O2251" s="9" t="s">
        <v>18009</v>
      </c>
      <c r="P2251" s="9" t="s">
        <v>17748</v>
      </c>
      <c r="Q2251" s="11" t="s">
        <v>18201</v>
      </c>
      <c r="R2251" s="11" t="s">
        <v>18201</v>
      </c>
      <c r="S2251" s="11" t="s">
        <v>17750</v>
      </c>
    </row>
    <row r="2252" spans="1:19" x14ac:dyDescent="0.2">
      <c r="A2252" s="11" t="s">
        <v>30927</v>
      </c>
      <c r="B2252" s="9" t="s">
        <v>30928</v>
      </c>
      <c r="C2252" s="9" t="s">
        <v>30929</v>
      </c>
      <c r="D2252" s="9" t="s">
        <v>10106</v>
      </c>
      <c r="E2252" s="9" t="s">
        <v>17740</v>
      </c>
      <c r="F2252" s="9" t="s">
        <v>17741</v>
      </c>
      <c r="G2252" s="9" t="s">
        <v>17740</v>
      </c>
      <c r="H2252" s="11" t="s">
        <v>10108</v>
      </c>
      <c r="I2252" s="11" t="s">
        <v>10107</v>
      </c>
      <c r="J2252" s="11" t="s">
        <v>10107</v>
      </c>
      <c r="K2252" s="9" t="s">
        <v>91</v>
      </c>
      <c r="L2252" s="9" t="s">
        <v>17759</v>
      </c>
      <c r="M2252" s="9" t="s">
        <v>30930</v>
      </c>
      <c r="N2252" s="9" t="s">
        <v>17746</v>
      </c>
      <c r="O2252" s="9" t="s">
        <v>18009</v>
      </c>
      <c r="P2252" s="9" t="s">
        <v>17748</v>
      </c>
      <c r="Q2252" s="11" t="s">
        <v>17780</v>
      </c>
      <c r="R2252" s="11" t="s">
        <v>17780</v>
      </c>
      <c r="S2252" s="11" t="s">
        <v>17750</v>
      </c>
    </row>
    <row r="2253" spans="1:19" x14ac:dyDescent="0.2">
      <c r="A2253" s="11" t="s">
        <v>30931</v>
      </c>
      <c r="B2253" s="9" t="s">
        <v>30932</v>
      </c>
      <c r="C2253" s="9" t="s">
        <v>30933</v>
      </c>
      <c r="D2253" s="9" t="s">
        <v>30934</v>
      </c>
      <c r="E2253" s="9" t="s">
        <v>17740</v>
      </c>
      <c r="F2253" s="9" t="s">
        <v>17741</v>
      </c>
      <c r="G2253" s="9" t="s">
        <v>17740</v>
      </c>
      <c r="H2253" s="11" t="s">
        <v>8494</v>
      </c>
      <c r="I2253" s="11" t="s">
        <v>8493</v>
      </c>
      <c r="J2253" s="11" t="s">
        <v>8493</v>
      </c>
      <c r="K2253" s="9" t="s">
        <v>30935</v>
      </c>
      <c r="L2253" s="9" t="s">
        <v>17759</v>
      </c>
      <c r="M2253" s="9" t="s">
        <v>17760</v>
      </c>
      <c r="N2253" s="9" t="s">
        <v>17746</v>
      </c>
      <c r="O2253" s="9" t="s">
        <v>20276</v>
      </c>
      <c r="P2253" s="9" t="s">
        <v>17748</v>
      </c>
      <c r="Q2253" s="11" t="s">
        <v>18798</v>
      </c>
      <c r="R2253" s="11" t="s">
        <v>18798</v>
      </c>
      <c r="S2253" s="11" t="s">
        <v>17750</v>
      </c>
    </row>
    <row r="2254" spans="1:19" x14ac:dyDescent="0.2">
      <c r="A2254" s="11" t="s">
        <v>30936</v>
      </c>
      <c r="B2254" s="9" t="s">
        <v>30937</v>
      </c>
      <c r="C2254" s="9" t="s">
        <v>30938</v>
      </c>
      <c r="D2254" s="9" t="s">
        <v>30939</v>
      </c>
      <c r="E2254" s="9" t="s">
        <v>17740</v>
      </c>
      <c r="F2254" s="9" t="s">
        <v>30940</v>
      </c>
      <c r="G2254" s="9" t="s">
        <v>17740</v>
      </c>
      <c r="H2254" s="11" t="s">
        <v>8822</v>
      </c>
      <c r="I2254" s="11" t="s">
        <v>8821</v>
      </c>
      <c r="J2254" s="11" t="s">
        <v>8821</v>
      </c>
      <c r="K2254" s="9" t="s">
        <v>17188</v>
      </c>
      <c r="L2254" s="9" t="s">
        <v>20082</v>
      </c>
      <c r="M2254" s="9" t="s">
        <v>19988</v>
      </c>
      <c r="N2254" s="9" t="s">
        <v>17746</v>
      </c>
      <c r="O2254" s="9" t="s">
        <v>21664</v>
      </c>
      <c r="P2254" s="9" t="s">
        <v>17748</v>
      </c>
      <c r="Q2254" s="11" t="s">
        <v>17784</v>
      </c>
      <c r="R2254" s="11" t="s">
        <v>17784</v>
      </c>
      <c r="S2254" s="11" t="s">
        <v>17750</v>
      </c>
    </row>
    <row r="2255" spans="1:19" x14ac:dyDescent="0.2">
      <c r="A2255" s="11" t="s">
        <v>30941</v>
      </c>
      <c r="B2255" s="9" t="s">
        <v>30942</v>
      </c>
      <c r="C2255" s="9" t="s">
        <v>30943</v>
      </c>
      <c r="D2255" s="9" t="s">
        <v>30944</v>
      </c>
      <c r="E2255" s="9" t="s">
        <v>17740</v>
      </c>
      <c r="F2255" s="9" t="s">
        <v>17741</v>
      </c>
      <c r="G2255" s="9" t="s">
        <v>17740</v>
      </c>
      <c r="H2255" s="11" t="s">
        <v>30945</v>
      </c>
      <c r="I2255" s="11" t="s">
        <v>30946</v>
      </c>
      <c r="J2255" s="11" t="s">
        <v>30946</v>
      </c>
      <c r="K2255" s="9" t="s">
        <v>217</v>
      </c>
      <c r="L2255" s="9" t="s">
        <v>18001</v>
      </c>
      <c r="M2255" s="9" t="s">
        <v>21694</v>
      </c>
      <c r="N2255" s="9" t="s">
        <v>17746</v>
      </c>
      <c r="O2255" s="9" t="s">
        <v>30947</v>
      </c>
      <c r="P2255" s="9" t="s">
        <v>17748</v>
      </c>
      <c r="Q2255" s="11" t="s">
        <v>17819</v>
      </c>
      <c r="R2255" s="11" t="s">
        <v>17819</v>
      </c>
      <c r="S2255" s="11" t="s">
        <v>17750</v>
      </c>
    </row>
    <row r="2256" spans="1:19" x14ac:dyDescent="0.2">
      <c r="A2256" s="11" t="s">
        <v>30948</v>
      </c>
      <c r="B2256" s="9" t="s">
        <v>7044</v>
      </c>
      <c r="C2256" s="9" t="s">
        <v>30949</v>
      </c>
      <c r="D2256" s="9" t="s">
        <v>7044</v>
      </c>
      <c r="E2256" s="9" t="s">
        <v>17740</v>
      </c>
      <c r="F2256" s="9" t="s">
        <v>17741</v>
      </c>
      <c r="G2256" s="9" t="s">
        <v>17740</v>
      </c>
      <c r="H2256" s="11" t="s">
        <v>7046</v>
      </c>
      <c r="I2256" s="11" t="s">
        <v>7045</v>
      </c>
      <c r="J2256" s="11" t="s">
        <v>7045</v>
      </c>
      <c r="K2256" s="9" t="s">
        <v>970</v>
      </c>
      <c r="L2256" s="9" t="s">
        <v>17744</v>
      </c>
      <c r="M2256" s="9" t="s">
        <v>20344</v>
      </c>
      <c r="N2256" s="9" t="s">
        <v>17746</v>
      </c>
      <c r="O2256" s="9" t="s">
        <v>30950</v>
      </c>
      <c r="P2256" s="9" t="s">
        <v>17748</v>
      </c>
      <c r="Q2256" s="11" t="s">
        <v>18201</v>
      </c>
      <c r="R2256" s="11" t="s">
        <v>18201</v>
      </c>
      <c r="S2256" s="11" t="s">
        <v>17750</v>
      </c>
    </row>
    <row r="2257" spans="1:19" x14ac:dyDescent="0.2">
      <c r="A2257" s="11" t="s">
        <v>30951</v>
      </c>
      <c r="B2257" s="9" t="s">
        <v>30952</v>
      </c>
      <c r="C2257" s="9" t="s">
        <v>30953</v>
      </c>
      <c r="D2257" s="9" t="s">
        <v>30954</v>
      </c>
      <c r="E2257" s="9" t="s">
        <v>17740</v>
      </c>
      <c r="F2257" s="9" t="s">
        <v>17741</v>
      </c>
      <c r="G2257" s="9" t="s">
        <v>17740</v>
      </c>
      <c r="H2257" s="11" t="s">
        <v>30955</v>
      </c>
      <c r="I2257" s="11" t="s">
        <v>1819</v>
      </c>
      <c r="J2257" s="11" t="s">
        <v>1819</v>
      </c>
      <c r="K2257" s="9" t="s">
        <v>1820</v>
      </c>
      <c r="L2257" s="9" t="s">
        <v>20969</v>
      </c>
      <c r="M2257" s="9" t="s">
        <v>17769</v>
      </c>
      <c r="N2257" s="9" t="s">
        <v>17746</v>
      </c>
      <c r="O2257" s="9" t="s">
        <v>18009</v>
      </c>
      <c r="P2257" s="9" t="s">
        <v>17748</v>
      </c>
      <c r="Q2257" s="11" t="s">
        <v>17994</v>
      </c>
      <c r="R2257" s="11" t="s">
        <v>17994</v>
      </c>
      <c r="S2257" s="11" t="s">
        <v>17750</v>
      </c>
    </row>
    <row r="2258" spans="1:19" x14ac:dyDescent="0.2">
      <c r="A2258" s="11" t="s">
        <v>30956</v>
      </c>
      <c r="B2258" s="9" t="s">
        <v>30957</v>
      </c>
      <c r="C2258" s="9" t="s">
        <v>30958</v>
      </c>
      <c r="D2258" s="9" t="s">
        <v>30959</v>
      </c>
      <c r="E2258" s="9" t="s">
        <v>17740</v>
      </c>
      <c r="F2258" s="9" t="s">
        <v>30960</v>
      </c>
      <c r="G2258" s="9" t="s">
        <v>17740</v>
      </c>
      <c r="H2258" s="11" t="s">
        <v>17741</v>
      </c>
      <c r="I2258" s="11" t="s">
        <v>9951</v>
      </c>
      <c r="J2258" s="11" t="s">
        <v>9951</v>
      </c>
      <c r="K2258" s="9" t="s">
        <v>30961</v>
      </c>
      <c r="L2258" s="9" t="s">
        <v>20969</v>
      </c>
      <c r="M2258" s="9" t="s">
        <v>17992</v>
      </c>
      <c r="N2258" s="9" t="s">
        <v>17746</v>
      </c>
      <c r="O2258" s="9" t="s">
        <v>20618</v>
      </c>
      <c r="P2258" s="9" t="s">
        <v>17748</v>
      </c>
      <c r="Q2258" s="11" t="s">
        <v>17780</v>
      </c>
      <c r="R2258" s="11" t="s">
        <v>17780</v>
      </c>
      <c r="S2258" s="11" t="s">
        <v>17750</v>
      </c>
    </row>
    <row r="2259" spans="1:19" x14ac:dyDescent="0.2">
      <c r="A2259" s="11" t="s">
        <v>30962</v>
      </c>
      <c r="B2259" s="9" t="s">
        <v>30963</v>
      </c>
      <c r="C2259" s="9" t="s">
        <v>30964</v>
      </c>
      <c r="D2259" s="9" t="s">
        <v>30965</v>
      </c>
      <c r="E2259" s="9" t="s">
        <v>17740</v>
      </c>
      <c r="F2259" s="9" t="s">
        <v>17741</v>
      </c>
      <c r="G2259" s="9" t="s">
        <v>17740</v>
      </c>
      <c r="H2259" s="11" t="s">
        <v>1761</v>
      </c>
      <c r="I2259" s="11" t="s">
        <v>1760</v>
      </c>
      <c r="J2259" s="11" t="s">
        <v>1760</v>
      </c>
      <c r="K2259" s="9" t="s">
        <v>970</v>
      </c>
      <c r="L2259" s="9" t="s">
        <v>17744</v>
      </c>
      <c r="M2259" s="9" t="s">
        <v>30966</v>
      </c>
      <c r="N2259" s="9" t="s">
        <v>17746</v>
      </c>
      <c r="O2259" s="9" t="s">
        <v>25096</v>
      </c>
      <c r="P2259" s="9" t="s">
        <v>17748</v>
      </c>
      <c r="Q2259" s="11" t="s">
        <v>17978</v>
      </c>
      <c r="R2259" s="11" t="s">
        <v>17978</v>
      </c>
      <c r="S2259" s="11" t="s">
        <v>17750</v>
      </c>
    </row>
    <row r="2260" spans="1:19" x14ac:dyDescent="0.2">
      <c r="A2260" s="11" t="s">
        <v>30967</v>
      </c>
      <c r="B2260" s="9" t="s">
        <v>30968</v>
      </c>
      <c r="C2260" s="9" t="s">
        <v>30969</v>
      </c>
      <c r="D2260" s="9" t="s">
        <v>7097</v>
      </c>
      <c r="E2260" s="9" t="s">
        <v>17740</v>
      </c>
      <c r="F2260" s="9" t="s">
        <v>17741</v>
      </c>
      <c r="G2260" s="9" t="s">
        <v>17740</v>
      </c>
      <c r="H2260" s="11" t="s">
        <v>7099</v>
      </c>
      <c r="I2260" s="11" t="s">
        <v>7098</v>
      </c>
      <c r="J2260" s="11" t="s">
        <v>7098</v>
      </c>
      <c r="K2260" s="9" t="s">
        <v>30970</v>
      </c>
      <c r="L2260" s="9" t="s">
        <v>17744</v>
      </c>
      <c r="M2260" s="9" t="s">
        <v>30971</v>
      </c>
      <c r="N2260" s="9" t="s">
        <v>17746</v>
      </c>
      <c r="O2260" s="9" t="s">
        <v>7097</v>
      </c>
      <c r="P2260" s="9" t="s">
        <v>17748</v>
      </c>
      <c r="Q2260" s="11" t="s">
        <v>18201</v>
      </c>
      <c r="R2260" s="11" t="s">
        <v>18201</v>
      </c>
      <c r="S2260" s="11" t="s">
        <v>17750</v>
      </c>
    </row>
    <row r="2261" spans="1:19" x14ac:dyDescent="0.2">
      <c r="A2261" s="11" t="s">
        <v>30972</v>
      </c>
      <c r="B2261" s="9" t="s">
        <v>30973</v>
      </c>
      <c r="C2261" s="9" t="s">
        <v>30974</v>
      </c>
      <c r="D2261" s="9" t="s">
        <v>30975</v>
      </c>
      <c r="E2261" s="9" t="s">
        <v>17740</v>
      </c>
      <c r="F2261" s="9" t="s">
        <v>30976</v>
      </c>
      <c r="G2261" s="9" t="s">
        <v>17740</v>
      </c>
      <c r="H2261" s="11" t="s">
        <v>30977</v>
      </c>
      <c r="I2261" s="11" t="s">
        <v>30978</v>
      </c>
      <c r="J2261" s="11" t="s">
        <v>30977</v>
      </c>
      <c r="K2261" s="9" t="s">
        <v>30979</v>
      </c>
      <c r="L2261" s="9" t="s">
        <v>17759</v>
      </c>
      <c r="M2261" s="9" t="s">
        <v>18745</v>
      </c>
      <c r="N2261" s="9" t="s">
        <v>17746</v>
      </c>
      <c r="O2261" s="9" t="s">
        <v>7097</v>
      </c>
      <c r="P2261" s="9" t="s">
        <v>17748</v>
      </c>
      <c r="Q2261" s="11" t="s">
        <v>19222</v>
      </c>
      <c r="R2261" s="11" t="s">
        <v>19222</v>
      </c>
      <c r="S2261" s="11" t="s">
        <v>17750</v>
      </c>
    </row>
    <row r="2262" spans="1:19" x14ac:dyDescent="0.2">
      <c r="A2262" s="11" t="s">
        <v>30980</v>
      </c>
      <c r="B2262" s="9" t="s">
        <v>30981</v>
      </c>
      <c r="C2262" s="9" t="s">
        <v>30982</v>
      </c>
      <c r="D2262" s="9" t="s">
        <v>30983</v>
      </c>
      <c r="E2262" s="9" t="s">
        <v>17740</v>
      </c>
      <c r="F2262" s="9" t="s">
        <v>17741</v>
      </c>
      <c r="G2262" s="9" t="s">
        <v>17740</v>
      </c>
      <c r="H2262" s="11" t="s">
        <v>17741</v>
      </c>
      <c r="I2262" s="11" t="s">
        <v>13720</v>
      </c>
      <c r="J2262" s="11" t="s">
        <v>17741</v>
      </c>
      <c r="K2262" s="9" t="s">
        <v>91</v>
      </c>
      <c r="L2262" s="9" t="s">
        <v>17744</v>
      </c>
      <c r="M2262" s="9" t="s">
        <v>17760</v>
      </c>
      <c r="N2262" s="9" t="s">
        <v>17746</v>
      </c>
      <c r="O2262" s="9" t="s">
        <v>25096</v>
      </c>
      <c r="P2262" s="9" t="s">
        <v>17748</v>
      </c>
      <c r="Q2262" s="11" t="s">
        <v>18370</v>
      </c>
      <c r="R2262" s="11" t="s">
        <v>18370</v>
      </c>
      <c r="S2262" s="11" t="s">
        <v>17750</v>
      </c>
    </row>
    <row r="2263" spans="1:19" x14ac:dyDescent="0.2">
      <c r="A2263" s="11" t="s">
        <v>30984</v>
      </c>
      <c r="B2263" s="9" t="s">
        <v>30985</v>
      </c>
      <c r="C2263" s="9" t="s">
        <v>30986</v>
      </c>
      <c r="D2263" s="9" t="s">
        <v>30987</v>
      </c>
      <c r="E2263" s="9" t="s">
        <v>17740</v>
      </c>
      <c r="F2263" s="9" t="s">
        <v>30988</v>
      </c>
      <c r="G2263" s="9" t="s">
        <v>17740</v>
      </c>
      <c r="H2263" s="11" t="s">
        <v>4535</v>
      </c>
      <c r="I2263" s="11" t="s">
        <v>4534</v>
      </c>
      <c r="J2263" s="11" t="s">
        <v>4534</v>
      </c>
      <c r="K2263" s="9" t="s">
        <v>30989</v>
      </c>
      <c r="L2263" s="9" t="s">
        <v>17759</v>
      </c>
      <c r="M2263" s="9" t="s">
        <v>30990</v>
      </c>
      <c r="N2263" s="9" t="s">
        <v>17746</v>
      </c>
      <c r="O2263" s="9" t="s">
        <v>25096</v>
      </c>
      <c r="P2263" s="9" t="s">
        <v>17748</v>
      </c>
      <c r="Q2263" s="11" t="s">
        <v>18364</v>
      </c>
      <c r="R2263" s="11" t="s">
        <v>18364</v>
      </c>
      <c r="S2263" s="11" t="s">
        <v>17750</v>
      </c>
    </row>
    <row r="2264" spans="1:19" x14ac:dyDescent="0.2">
      <c r="A2264" s="11" t="s">
        <v>30991</v>
      </c>
      <c r="B2264" s="9" t="s">
        <v>30992</v>
      </c>
      <c r="C2264" s="9" t="s">
        <v>30993</v>
      </c>
      <c r="D2264" s="9" t="s">
        <v>30994</v>
      </c>
      <c r="E2264" s="9" t="s">
        <v>17740</v>
      </c>
      <c r="F2264" s="9" t="s">
        <v>30995</v>
      </c>
      <c r="G2264" s="9" t="s">
        <v>17740</v>
      </c>
      <c r="H2264" s="11" t="s">
        <v>9931</v>
      </c>
      <c r="I2264" s="11" t="s">
        <v>9930</v>
      </c>
      <c r="J2264" s="11" t="s">
        <v>9930</v>
      </c>
      <c r="K2264" s="9" t="s">
        <v>20225</v>
      </c>
      <c r="L2264" s="9" t="s">
        <v>18959</v>
      </c>
      <c r="M2264" s="9" t="s">
        <v>30996</v>
      </c>
      <c r="N2264" s="9" t="s">
        <v>17746</v>
      </c>
      <c r="O2264" s="9" t="s">
        <v>30997</v>
      </c>
      <c r="P2264" s="9" t="s">
        <v>17748</v>
      </c>
      <c r="Q2264" s="11" t="s">
        <v>17784</v>
      </c>
      <c r="R2264" s="11" t="s">
        <v>17784</v>
      </c>
      <c r="S2264" s="11" t="s">
        <v>17750</v>
      </c>
    </row>
    <row r="2265" spans="1:19" x14ac:dyDescent="0.2">
      <c r="A2265" s="11" t="s">
        <v>30998</v>
      </c>
      <c r="B2265" s="9" t="s">
        <v>1786</v>
      </c>
      <c r="C2265" s="9" t="s">
        <v>30999</v>
      </c>
      <c r="D2265" s="9" t="s">
        <v>1786</v>
      </c>
      <c r="E2265" s="9" t="s">
        <v>17740</v>
      </c>
      <c r="F2265" s="9" t="s">
        <v>17741</v>
      </c>
      <c r="G2265" s="9" t="s">
        <v>17740</v>
      </c>
      <c r="H2265" s="11" t="s">
        <v>1788</v>
      </c>
      <c r="I2265" s="11" t="s">
        <v>1787</v>
      </c>
      <c r="J2265" s="11" t="s">
        <v>1787</v>
      </c>
      <c r="K2265" s="9" t="s">
        <v>291</v>
      </c>
      <c r="L2265" s="9" t="s">
        <v>17744</v>
      </c>
      <c r="M2265" s="9" t="s">
        <v>21879</v>
      </c>
      <c r="N2265" s="9" t="s">
        <v>17746</v>
      </c>
      <c r="O2265" s="9" t="s">
        <v>7097</v>
      </c>
      <c r="P2265" s="9" t="s">
        <v>17748</v>
      </c>
      <c r="Q2265" s="11" t="s">
        <v>19026</v>
      </c>
      <c r="R2265" s="11" t="s">
        <v>19026</v>
      </c>
      <c r="S2265" s="11" t="s">
        <v>17750</v>
      </c>
    </row>
    <row r="2266" spans="1:19" x14ac:dyDescent="0.2">
      <c r="A2266" s="11" t="s">
        <v>31000</v>
      </c>
      <c r="B2266" s="9" t="s">
        <v>31001</v>
      </c>
      <c r="C2266" s="9" t="s">
        <v>31002</v>
      </c>
      <c r="D2266" s="9" t="s">
        <v>31003</v>
      </c>
      <c r="E2266" s="9" t="s">
        <v>17740</v>
      </c>
      <c r="F2266" s="9" t="s">
        <v>17741</v>
      </c>
      <c r="G2266" s="9" t="s">
        <v>17740</v>
      </c>
      <c r="H2266" s="11" t="s">
        <v>17741</v>
      </c>
      <c r="I2266" s="11" t="s">
        <v>9275</v>
      </c>
      <c r="J2266" s="11" t="s">
        <v>17741</v>
      </c>
      <c r="K2266" s="9" t="s">
        <v>91</v>
      </c>
      <c r="L2266" s="9" t="s">
        <v>19491</v>
      </c>
      <c r="M2266" s="9" t="s">
        <v>17760</v>
      </c>
      <c r="N2266" s="9" t="s">
        <v>17746</v>
      </c>
      <c r="O2266" s="9" t="s">
        <v>1675</v>
      </c>
      <c r="P2266" s="9" t="s">
        <v>17748</v>
      </c>
      <c r="Q2266" s="11" t="s">
        <v>17994</v>
      </c>
      <c r="R2266" s="11" t="s">
        <v>17994</v>
      </c>
      <c r="S2266" s="11" t="s">
        <v>17750</v>
      </c>
    </row>
    <row r="2267" spans="1:19" x14ac:dyDescent="0.2">
      <c r="A2267" s="11" t="s">
        <v>31004</v>
      </c>
      <c r="B2267" s="9" t="s">
        <v>31005</v>
      </c>
      <c r="C2267" s="9" t="s">
        <v>31006</v>
      </c>
      <c r="D2267" s="9" t="s">
        <v>31007</v>
      </c>
      <c r="E2267" s="9" t="s">
        <v>17740</v>
      </c>
      <c r="F2267" s="9" t="s">
        <v>31008</v>
      </c>
      <c r="G2267" s="9" t="s">
        <v>17740</v>
      </c>
      <c r="H2267" s="11" t="s">
        <v>17741</v>
      </c>
      <c r="I2267" s="11" t="s">
        <v>1780</v>
      </c>
      <c r="J2267" s="11" t="s">
        <v>1780</v>
      </c>
      <c r="K2267" s="9" t="s">
        <v>31009</v>
      </c>
      <c r="L2267" s="9" t="s">
        <v>20969</v>
      </c>
      <c r="M2267" s="9" t="s">
        <v>17769</v>
      </c>
      <c r="N2267" s="9" t="s">
        <v>17746</v>
      </c>
      <c r="O2267" s="9" t="s">
        <v>1675</v>
      </c>
      <c r="P2267" s="9" t="s">
        <v>17748</v>
      </c>
      <c r="Q2267" s="11" t="s">
        <v>19222</v>
      </c>
      <c r="R2267" s="11" t="s">
        <v>19222</v>
      </c>
      <c r="S2267" s="11" t="s">
        <v>17750</v>
      </c>
    </row>
    <row r="2268" spans="1:19" x14ac:dyDescent="0.2">
      <c r="A2268" s="11" t="s">
        <v>31010</v>
      </c>
      <c r="B2268" s="9" t="s">
        <v>31011</v>
      </c>
      <c r="C2268" s="9" t="s">
        <v>31012</v>
      </c>
      <c r="D2268" s="9" t="s">
        <v>1840</v>
      </c>
      <c r="E2268" s="9" t="s">
        <v>17740</v>
      </c>
      <c r="F2268" s="9" t="s">
        <v>17741</v>
      </c>
      <c r="G2268" s="9" t="s">
        <v>17740</v>
      </c>
      <c r="H2268" s="11" t="s">
        <v>1842</v>
      </c>
      <c r="I2268" s="11" t="s">
        <v>1841</v>
      </c>
      <c r="J2268" s="11" t="s">
        <v>1841</v>
      </c>
      <c r="K2268" s="9" t="s">
        <v>17805</v>
      </c>
      <c r="L2268" s="9" t="s">
        <v>17759</v>
      </c>
      <c r="M2268" s="9" t="s">
        <v>17817</v>
      </c>
      <c r="N2268" s="9" t="s">
        <v>17746</v>
      </c>
      <c r="O2268" s="9" t="s">
        <v>1675</v>
      </c>
      <c r="P2268" s="9" t="s">
        <v>17748</v>
      </c>
      <c r="Q2268" s="11" t="s">
        <v>18433</v>
      </c>
      <c r="R2268" s="11" t="s">
        <v>18433</v>
      </c>
      <c r="S2268" s="11" t="s">
        <v>17750</v>
      </c>
    </row>
    <row r="2269" spans="1:19" x14ac:dyDescent="0.2">
      <c r="A2269" s="11" t="s">
        <v>31013</v>
      </c>
      <c r="B2269" s="9" t="s">
        <v>31014</v>
      </c>
      <c r="C2269" s="9" t="s">
        <v>31014</v>
      </c>
      <c r="D2269" s="9" t="s">
        <v>31014</v>
      </c>
      <c r="E2269" s="9" t="s">
        <v>17740</v>
      </c>
      <c r="F2269" s="9" t="s">
        <v>17741</v>
      </c>
      <c r="G2269" s="9" t="s">
        <v>17740</v>
      </c>
      <c r="H2269" s="11" t="s">
        <v>17741</v>
      </c>
      <c r="I2269" s="11" t="s">
        <v>31015</v>
      </c>
      <c r="J2269" s="11" t="s">
        <v>31015</v>
      </c>
      <c r="K2269" s="9" t="s">
        <v>31016</v>
      </c>
      <c r="L2269" s="9" t="s">
        <v>17759</v>
      </c>
      <c r="M2269" s="9" t="s">
        <v>17760</v>
      </c>
      <c r="N2269" s="9" t="s">
        <v>17746</v>
      </c>
      <c r="O2269" s="9" t="s">
        <v>17848</v>
      </c>
      <c r="P2269" s="9" t="s">
        <v>17748</v>
      </c>
      <c r="Q2269" s="11" t="s">
        <v>17917</v>
      </c>
      <c r="R2269" s="11" t="s">
        <v>17917</v>
      </c>
      <c r="S2269" s="11" t="s">
        <v>17750</v>
      </c>
    </row>
    <row r="2270" spans="1:19" x14ac:dyDescent="0.2">
      <c r="A2270" s="11" t="s">
        <v>31017</v>
      </c>
      <c r="B2270" s="9" t="s">
        <v>1792</v>
      </c>
      <c r="C2270" s="9" t="s">
        <v>31018</v>
      </c>
      <c r="D2270" s="9" t="s">
        <v>1792</v>
      </c>
      <c r="E2270" s="9" t="s">
        <v>17740</v>
      </c>
      <c r="F2270" s="9" t="s">
        <v>17741</v>
      </c>
      <c r="G2270" s="9" t="s">
        <v>17740</v>
      </c>
      <c r="H2270" s="11" t="s">
        <v>1794</v>
      </c>
      <c r="I2270" s="11" t="s">
        <v>1793</v>
      </c>
      <c r="J2270" s="11" t="s">
        <v>1793</v>
      </c>
      <c r="K2270" s="9" t="s">
        <v>31019</v>
      </c>
      <c r="L2270" s="9" t="s">
        <v>18130</v>
      </c>
      <c r="M2270" s="9" t="s">
        <v>31020</v>
      </c>
      <c r="N2270" s="9" t="s">
        <v>17746</v>
      </c>
      <c r="O2270" s="9" t="s">
        <v>1690</v>
      </c>
      <c r="P2270" s="9" t="s">
        <v>17748</v>
      </c>
      <c r="Q2270" s="11" t="s">
        <v>18132</v>
      </c>
      <c r="R2270" s="11" t="s">
        <v>18132</v>
      </c>
      <c r="S2270" s="11" t="s">
        <v>17750</v>
      </c>
    </row>
    <row r="2271" spans="1:19" x14ac:dyDescent="0.2">
      <c r="A2271" s="11" t="s">
        <v>31021</v>
      </c>
      <c r="B2271" s="9" t="s">
        <v>31022</v>
      </c>
      <c r="C2271" s="9" t="s">
        <v>31023</v>
      </c>
      <c r="D2271" s="9" t="s">
        <v>31024</v>
      </c>
      <c r="E2271" s="9" t="s">
        <v>17740</v>
      </c>
      <c r="F2271" s="9" t="s">
        <v>17741</v>
      </c>
      <c r="G2271" s="9" t="s">
        <v>17740</v>
      </c>
      <c r="H2271" s="11" t="s">
        <v>31025</v>
      </c>
      <c r="I2271" s="11" t="s">
        <v>31026</v>
      </c>
      <c r="J2271" s="11" t="s">
        <v>31026</v>
      </c>
      <c r="K2271" s="9" t="s">
        <v>315</v>
      </c>
      <c r="L2271" s="9" t="s">
        <v>17744</v>
      </c>
      <c r="M2271" s="9" t="s">
        <v>17817</v>
      </c>
      <c r="N2271" s="9" t="s">
        <v>17746</v>
      </c>
      <c r="O2271" s="9" t="s">
        <v>1690</v>
      </c>
      <c r="P2271" s="9" t="s">
        <v>17748</v>
      </c>
      <c r="Q2271" s="11" t="s">
        <v>18847</v>
      </c>
      <c r="R2271" s="11" t="s">
        <v>18847</v>
      </c>
      <c r="S2271" s="11" t="s">
        <v>17750</v>
      </c>
    </row>
    <row r="2272" spans="1:19" x14ac:dyDescent="0.2">
      <c r="A2272" s="11" t="s">
        <v>31027</v>
      </c>
      <c r="B2272" s="9" t="s">
        <v>31028</v>
      </c>
      <c r="C2272" s="9" t="s">
        <v>31029</v>
      </c>
      <c r="D2272" s="9" t="s">
        <v>7673</v>
      </c>
      <c r="E2272" s="9" t="s">
        <v>17740</v>
      </c>
      <c r="F2272" s="9" t="s">
        <v>17741</v>
      </c>
      <c r="G2272" s="9" t="s">
        <v>17740</v>
      </c>
      <c r="H2272" s="11" t="s">
        <v>7675</v>
      </c>
      <c r="I2272" s="11" t="s">
        <v>7674</v>
      </c>
      <c r="J2272" s="11" t="s">
        <v>7675</v>
      </c>
      <c r="K2272" s="9" t="s">
        <v>17783</v>
      </c>
      <c r="L2272" s="9" t="s">
        <v>20359</v>
      </c>
      <c r="M2272" s="9" t="s">
        <v>17760</v>
      </c>
      <c r="N2272" s="9" t="s">
        <v>17746</v>
      </c>
      <c r="O2272" s="9" t="s">
        <v>21558</v>
      </c>
      <c r="P2272" s="9" t="s">
        <v>17748</v>
      </c>
      <c r="Q2272" s="11" t="s">
        <v>18272</v>
      </c>
      <c r="R2272" s="11" t="s">
        <v>18272</v>
      </c>
      <c r="S2272" s="11" t="s">
        <v>17750</v>
      </c>
    </row>
    <row r="2273" spans="1:19" x14ac:dyDescent="0.2">
      <c r="A2273" s="11" t="s">
        <v>31030</v>
      </c>
      <c r="B2273" s="9" t="s">
        <v>1798</v>
      </c>
      <c r="C2273" s="9" t="s">
        <v>31031</v>
      </c>
      <c r="D2273" s="9" t="s">
        <v>1798</v>
      </c>
      <c r="E2273" s="9" t="s">
        <v>17740</v>
      </c>
      <c r="F2273" s="9" t="s">
        <v>17741</v>
      </c>
      <c r="G2273" s="9" t="s">
        <v>17740</v>
      </c>
      <c r="H2273" s="11" t="s">
        <v>1800</v>
      </c>
      <c r="I2273" s="11" t="s">
        <v>1799</v>
      </c>
      <c r="J2273" s="11" t="s">
        <v>1799</v>
      </c>
      <c r="K2273" s="9" t="s">
        <v>31032</v>
      </c>
      <c r="L2273" s="9" t="s">
        <v>18158</v>
      </c>
      <c r="M2273" s="9" t="s">
        <v>18177</v>
      </c>
      <c r="N2273" s="9" t="s">
        <v>18185</v>
      </c>
      <c r="O2273" s="9" t="s">
        <v>18009</v>
      </c>
      <c r="P2273" s="9" t="s">
        <v>17748</v>
      </c>
      <c r="Q2273" s="11" t="s">
        <v>19026</v>
      </c>
      <c r="R2273" s="11" t="s">
        <v>19026</v>
      </c>
      <c r="S2273" s="11" t="s">
        <v>17750</v>
      </c>
    </row>
    <row r="2274" spans="1:19" x14ac:dyDescent="0.2">
      <c r="A2274" s="11" t="s">
        <v>31033</v>
      </c>
      <c r="B2274" s="9" t="s">
        <v>31034</v>
      </c>
      <c r="C2274" s="9" t="s">
        <v>31035</v>
      </c>
      <c r="D2274" s="9" t="s">
        <v>31036</v>
      </c>
      <c r="E2274" s="9" t="s">
        <v>17740</v>
      </c>
      <c r="F2274" s="9" t="s">
        <v>17741</v>
      </c>
      <c r="G2274" s="9" t="s">
        <v>17740</v>
      </c>
      <c r="H2274" s="11" t="s">
        <v>7562</v>
      </c>
      <c r="I2274" s="11" t="s">
        <v>7561</v>
      </c>
      <c r="J2274" s="11" t="s">
        <v>7561</v>
      </c>
      <c r="K2274" s="9" t="s">
        <v>17741</v>
      </c>
      <c r="L2274" s="9" t="s">
        <v>18158</v>
      </c>
      <c r="M2274" s="9" t="s">
        <v>31037</v>
      </c>
      <c r="N2274" s="9" t="s">
        <v>17746</v>
      </c>
      <c r="O2274" s="9" t="s">
        <v>18271</v>
      </c>
      <c r="P2274" s="9" t="s">
        <v>17748</v>
      </c>
      <c r="Q2274" s="11" t="s">
        <v>17749</v>
      </c>
      <c r="R2274" s="11" t="s">
        <v>17749</v>
      </c>
      <c r="S2274" s="11" t="s">
        <v>17750</v>
      </c>
    </row>
    <row r="2275" spans="1:19" x14ac:dyDescent="0.2">
      <c r="A2275" s="11" t="s">
        <v>31038</v>
      </c>
      <c r="B2275" s="9" t="s">
        <v>31039</v>
      </c>
      <c r="C2275" s="9" t="s">
        <v>31040</v>
      </c>
      <c r="D2275" s="9" t="s">
        <v>31041</v>
      </c>
      <c r="E2275" s="9" t="s">
        <v>17740</v>
      </c>
      <c r="F2275" s="9" t="s">
        <v>17741</v>
      </c>
      <c r="G2275" s="9" t="s">
        <v>17740</v>
      </c>
      <c r="H2275" s="11" t="s">
        <v>8510</v>
      </c>
      <c r="I2275" s="11" t="s">
        <v>8509</v>
      </c>
      <c r="J2275" s="11" t="s">
        <v>8509</v>
      </c>
      <c r="K2275" s="9" t="s">
        <v>19180</v>
      </c>
      <c r="L2275" s="9" t="s">
        <v>17759</v>
      </c>
      <c r="M2275" s="9" t="s">
        <v>17760</v>
      </c>
      <c r="N2275" s="9" t="s">
        <v>17746</v>
      </c>
      <c r="O2275" s="9" t="s">
        <v>18833</v>
      </c>
      <c r="P2275" s="9" t="s">
        <v>17748</v>
      </c>
      <c r="Q2275" s="11" t="s">
        <v>17784</v>
      </c>
      <c r="R2275" s="11" t="s">
        <v>17784</v>
      </c>
      <c r="S2275" s="11" t="s">
        <v>17750</v>
      </c>
    </row>
    <row r="2276" spans="1:19" x14ac:dyDescent="0.2">
      <c r="A2276" s="11" t="s">
        <v>31042</v>
      </c>
      <c r="B2276" s="9" t="s">
        <v>31043</v>
      </c>
      <c r="C2276" s="9" t="s">
        <v>31044</v>
      </c>
      <c r="D2276" s="9" t="s">
        <v>31045</v>
      </c>
      <c r="E2276" s="9" t="s">
        <v>17740</v>
      </c>
      <c r="F2276" s="9" t="s">
        <v>17741</v>
      </c>
      <c r="G2276" s="9" t="s">
        <v>17740</v>
      </c>
      <c r="H2276" s="11" t="s">
        <v>10579</v>
      </c>
      <c r="I2276" s="11" t="s">
        <v>10578</v>
      </c>
      <c r="J2276" s="11" t="s">
        <v>10578</v>
      </c>
      <c r="K2276" s="9" t="s">
        <v>19482</v>
      </c>
      <c r="L2276" s="9" t="s">
        <v>19483</v>
      </c>
      <c r="M2276" s="9" t="s">
        <v>17760</v>
      </c>
      <c r="N2276" s="9" t="s">
        <v>17746</v>
      </c>
      <c r="O2276" s="9" t="s">
        <v>20367</v>
      </c>
      <c r="P2276" s="9" t="s">
        <v>17748</v>
      </c>
      <c r="Q2276" s="11" t="s">
        <v>18147</v>
      </c>
      <c r="R2276" s="11" t="s">
        <v>18147</v>
      </c>
      <c r="S2276" s="11" t="s">
        <v>17750</v>
      </c>
    </row>
    <row r="2277" spans="1:19" x14ac:dyDescent="0.2">
      <c r="A2277" s="11" t="s">
        <v>31046</v>
      </c>
      <c r="B2277" s="9" t="s">
        <v>31047</v>
      </c>
      <c r="C2277" s="9" t="s">
        <v>31048</v>
      </c>
      <c r="D2277" s="9" t="s">
        <v>31049</v>
      </c>
      <c r="E2277" s="9" t="s">
        <v>17748</v>
      </c>
      <c r="F2277" s="9" t="s">
        <v>31050</v>
      </c>
      <c r="G2277" s="9" t="s">
        <v>17740</v>
      </c>
      <c r="H2277" s="11" t="s">
        <v>31051</v>
      </c>
      <c r="I2277" s="11" t="s">
        <v>31052</v>
      </c>
      <c r="J2277" s="11" t="s">
        <v>31052</v>
      </c>
      <c r="K2277" s="9" t="s">
        <v>31053</v>
      </c>
      <c r="L2277" s="9" t="s">
        <v>20082</v>
      </c>
      <c r="M2277" s="9" t="s">
        <v>17760</v>
      </c>
      <c r="N2277" s="9" t="s">
        <v>17746</v>
      </c>
      <c r="O2277" s="9" t="s">
        <v>20056</v>
      </c>
      <c r="P2277" s="9" t="s">
        <v>17748</v>
      </c>
      <c r="Q2277" s="11" t="s">
        <v>18922</v>
      </c>
      <c r="R2277" s="11" t="s">
        <v>18922</v>
      </c>
      <c r="S2277" s="11" t="s">
        <v>17750</v>
      </c>
    </row>
    <row r="2278" spans="1:19" x14ac:dyDescent="0.2">
      <c r="A2278" s="11" t="s">
        <v>31054</v>
      </c>
      <c r="B2278" s="9" t="s">
        <v>31055</v>
      </c>
      <c r="C2278" s="9" t="s">
        <v>31056</v>
      </c>
      <c r="D2278" s="9" t="s">
        <v>31057</v>
      </c>
      <c r="E2278" s="9" t="s">
        <v>17740</v>
      </c>
      <c r="F2278" s="9" t="s">
        <v>31058</v>
      </c>
      <c r="G2278" s="9" t="s">
        <v>17740</v>
      </c>
      <c r="H2278" s="11" t="s">
        <v>17741</v>
      </c>
      <c r="I2278" s="11" t="s">
        <v>17741</v>
      </c>
      <c r="J2278" s="11" t="s">
        <v>17741</v>
      </c>
      <c r="K2278" s="9" t="s">
        <v>30979</v>
      </c>
      <c r="L2278" s="9" t="s">
        <v>17759</v>
      </c>
      <c r="M2278" s="9" t="s">
        <v>17760</v>
      </c>
      <c r="N2278" s="9" t="s">
        <v>17746</v>
      </c>
      <c r="O2278" s="9" t="s">
        <v>31059</v>
      </c>
      <c r="P2278" s="9" t="s">
        <v>17748</v>
      </c>
      <c r="Q2278" s="11" t="s">
        <v>18147</v>
      </c>
      <c r="R2278" s="11" t="s">
        <v>18147</v>
      </c>
      <c r="S2278" s="11" t="s">
        <v>17750</v>
      </c>
    </row>
    <row r="2279" spans="1:19" x14ac:dyDescent="0.2">
      <c r="A2279" s="11" t="s">
        <v>31060</v>
      </c>
      <c r="B2279" s="9" t="s">
        <v>31061</v>
      </c>
      <c r="C2279" s="9" t="s">
        <v>31062</v>
      </c>
      <c r="D2279" s="9" t="s">
        <v>31063</v>
      </c>
      <c r="E2279" s="9" t="s">
        <v>17740</v>
      </c>
      <c r="F2279" s="9" t="s">
        <v>17741</v>
      </c>
      <c r="G2279" s="9" t="s">
        <v>17740</v>
      </c>
      <c r="H2279" s="11" t="s">
        <v>17741</v>
      </c>
      <c r="I2279" s="11" t="s">
        <v>31064</v>
      </c>
      <c r="J2279" s="11" t="s">
        <v>31064</v>
      </c>
      <c r="K2279" s="9" t="s">
        <v>31065</v>
      </c>
      <c r="L2279" s="9" t="s">
        <v>20446</v>
      </c>
      <c r="M2279" s="9" t="s">
        <v>17778</v>
      </c>
      <c r="N2279" s="9" t="s">
        <v>17746</v>
      </c>
      <c r="O2279" s="9" t="s">
        <v>15993</v>
      </c>
      <c r="P2279" s="9" t="s">
        <v>17748</v>
      </c>
      <c r="Q2279" s="11" t="s">
        <v>18805</v>
      </c>
      <c r="R2279" s="11" t="s">
        <v>18805</v>
      </c>
      <c r="S2279" s="11" t="s">
        <v>17750</v>
      </c>
    </row>
    <row r="2280" spans="1:19" x14ac:dyDescent="0.2">
      <c r="A2280" s="11" t="s">
        <v>31066</v>
      </c>
      <c r="B2280" s="9" t="s">
        <v>31067</v>
      </c>
      <c r="C2280" s="9" t="s">
        <v>31068</v>
      </c>
      <c r="D2280" s="9" t="s">
        <v>31069</v>
      </c>
      <c r="E2280" s="9" t="s">
        <v>17740</v>
      </c>
      <c r="F2280" s="9" t="s">
        <v>17741</v>
      </c>
      <c r="G2280" s="9" t="s">
        <v>17740</v>
      </c>
      <c r="H2280" s="11" t="s">
        <v>17741</v>
      </c>
      <c r="I2280" s="11" t="s">
        <v>31070</v>
      </c>
      <c r="J2280" s="11" t="s">
        <v>31070</v>
      </c>
      <c r="K2280" s="9" t="s">
        <v>31071</v>
      </c>
      <c r="L2280" s="9" t="s">
        <v>18242</v>
      </c>
      <c r="M2280" s="9" t="s">
        <v>17817</v>
      </c>
      <c r="N2280" s="9" t="s">
        <v>21524</v>
      </c>
      <c r="O2280" s="9" t="s">
        <v>4025</v>
      </c>
      <c r="P2280" s="9" t="s">
        <v>17748</v>
      </c>
      <c r="Q2280" s="11" t="s">
        <v>21569</v>
      </c>
      <c r="R2280" s="11" t="s">
        <v>21569</v>
      </c>
      <c r="S2280" s="11" t="s">
        <v>17750</v>
      </c>
    </row>
    <row r="2281" spans="1:19" x14ac:dyDescent="0.2">
      <c r="A2281" s="11" t="s">
        <v>31072</v>
      </c>
      <c r="B2281" s="9" t="s">
        <v>31073</v>
      </c>
      <c r="C2281" s="9" t="s">
        <v>31074</v>
      </c>
      <c r="D2281" s="9" t="s">
        <v>31075</v>
      </c>
      <c r="E2281" s="9" t="s">
        <v>17740</v>
      </c>
      <c r="F2281" s="9" t="s">
        <v>17741</v>
      </c>
      <c r="G2281" s="9" t="s">
        <v>17740</v>
      </c>
      <c r="H2281" s="11" t="s">
        <v>31076</v>
      </c>
      <c r="I2281" s="11" t="s">
        <v>5608</v>
      </c>
      <c r="J2281" s="11" t="s">
        <v>5608</v>
      </c>
      <c r="K2281" s="9" t="s">
        <v>28684</v>
      </c>
      <c r="L2281" s="9" t="s">
        <v>17991</v>
      </c>
      <c r="M2281" s="9" t="s">
        <v>19714</v>
      </c>
      <c r="N2281" s="9" t="s">
        <v>17746</v>
      </c>
      <c r="O2281" s="9" t="s">
        <v>3276</v>
      </c>
      <c r="P2281" s="9" t="s">
        <v>17748</v>
      </c>
      <c r="Q2281" s="11" t="s">
        <v>18080</v>
      </c>
      <c r="R2281" s="11" t="s">
        <v>18080</v>
      </c>
      <c r="S2281" s="11" t="s">
        <v>17750</v>
      </c>
    </row>
    <row r="2282" spans="1:19" x14ac:dyDescent="0.2">
      <c r="A2282" s="11" t="s">
        <v>31077</v>
      </c>
      <c r="B2282" s="9" t="s">
        <v>5787</v>
      </c>
      <c r="C2282" s="9" t="s">
        <v>31078</v>
      </c>
      <c r="D2282" s="9" t="s">
        <v>5787</v>
      </c>
      <c r="E2282" s="9" t="s">
        <v>17740</v>
      </c>
      <c r="F2282" s="9" t="s">
        <v>17741</v>
      </c>
      <c r="G2282" s="9" t="s">
        <v>17740</v>
      </c>
      <c r="H2282" s="11" t="s">
        <v>5789</v>
      </c>
      <c r="I2282" s="11" t="s">
        <v>5788</v>
      </c>
      <c r="J2282" s="11" t="s">
        <v>5788</v>
      </c>
      <c r="K2282" s="9" t="s">
        <v>17805</v>
      </c>
      <c r="L2282" s="9" t="s">
        <v>17759</v>
      </c>
      <c r="M2282" s="9" t="s">
        <v>31079</v>
      </c>
      <c r="N2282" s="9" t="s">
        <v>17746</v>
      </c>
      <c r="O2282" s="9" t="s">
        <v>903</v>
      </c>
      <c r="P2282" s="9" t="s">
        <v>17748</v>
      </c>
      <c r="Q2282" s="11" t="s">
        <v>18080</v>
      </c>
      <c r="R2282" s="11" t="s">
        <v>18080</v>
      </c>
      <c r="S2282" s="11" t="s">
        <v>17750</v>
      </c>
    </row>
    <row r="2283" spans="1:19" x14ac:dyDescent="0.2">
      <c r="A2283" s="11" t="s">
        <v>31080</v>
      </c>
      <c r="B2283" s="9" t="s">
        <v>31081</v>
      </c>
      <c r="C2283" s="9" t="s">
        <v>31082</v>
      </c>
      <c r="D2283" s="9" t="s">
        <v>31083</v>
      </c>
      <c r="E2283" s="9" t="s">
        <v>17740</v>
      </c>
      <c r="F2283" s="9" t="s">
        <v>17741</v>
      </c>
      <c r="G2283" s="9" t="s">
        <v>17740</v>
      </c>
      <c r="H2283" s="11" t="s">
        <v>17741</v>
      </c>
      <c r="I2283" s="11" t="s">
        <v>1813</v>
      </c>
      <c r="J2283" s="11" t="s">
        <v>1813</v>
      </c>
      <c r="K2283" s="9" t="s">
        <v>31084</v>
      </c>
      <c r="L2283" s="9" t="s">
        <v>18242</v>
      </c>
      <c r="M2283" s="9" t="s">
        <v>17778</v>
      </c>
      <c r="N2283" s="9" t="s">
        <v>17746</v>
      </c>
      <c r="O2283" s="9" t="s">
        <v>17993</v>
      </c>
      <c r="P2283" s="9" t="s">
        <v>17748</v>
      </c>
      <c r="Q2283" s="11" t="s">
        <v>20021</v>
      </c>
      <c r="R2283" s="11" t="s">
        <v>20021</v>
      </c>
      <c r="S2283" s="11" t="s">
        <v>17750</v>
      </c>
    </row>
    <row r="2284" spans="1:19" x14ac:dyDescent="0.2">
      <c r="A2284" s="11" t="s">
        <v>31085</v>
      </c>
      <c r="B2284" s="9" t="s">
        <v>31086</v>
      </c>
      <c r="C2284" s="9" t="s">
        <v>31087</v>
      </c>
      <c r="D2284" s="9" t="s">
        <v>31088</v>
      </c>
      <c r="E2284" s="9" t="s">
        <v>17740</v>
      </c>
      <c r="F2284" s="9" t="s">
        <v>17741</v>
      </c>
      <c r="G2284" s="9" t="s">
        <v>17740</v>
      </c>
      <c r="H2284" s="11" t="s">
        <v>31089</v>
      </c>
      <c r="I2284" s="11" t="s">
        <v>31090</v>
      </c>
      <c r="J2284" s="11" t="s">
        <v>31090</v>
      </c>
      <c r="K2284" s="9" t="s">
        <v>31091</v>
      </c>
      <c r="L2284" s="9" t="s">
        <v>17759</v>
      </c>
      <c r="M2284" s="9" t="s">
        <v>18685</v>
      </c>
      <c r="N2284" s="9" t="s">
        <v>17746</v>
      </c>
      <c r="O2284" s="9" t="s">
        <v>19715</v>
      </c>
      <c r="P2284" s="9" t="s">
        <v>17748</v>
      </c>
      <c r="Q2284" s="11" t="s">
        <v>20448</v>
      </c>
      <c r="R2284" s="11" t="s">
        <v>20448</v>
      </c>
      <c r="S2284" s="11" t="s">
        <v>17750</v>
      </c>
    </row>
    <row r="2285" spans="1:19" x14ac:dyDescent="0.2">
      <c r="A2285" s="11" t="s">
        <v>31092</v>
      </c>
      <c r="B2285" s="9" t="s">
        <v>31093</v>
      </c>
      <c r="C2285" s="9" t="s">
        <v>31094</v>
      </c>
      <c r="D2285" s="9" t="s">
        <v>31095</v>
      </c>
      <c r="E2285" s="9" t="s">
        <v>17748</v>
      </c>
      <c r="F2285" s="9" t="s">
        <v>31096</v>
      </c>
      <c r="G2285" s="9" t="s">
        <v>17740</v>
      </c>
      <c r="H2285" s="11" t="s">
        <v>6606</v>
      </c>
      <c r="I2285" s="11" t="s">
        <v>6605</v>
      </c>
      <c r="J2285" s="11" t="s">
        <v>6605</v>
      </c>
      <c r="K2285" s="9" t="s">
        <v>17783</v>
      </c>
      <c r="L2285" s="9" t="s">
        <v>18158</v>
      </c>
      <c r="M2285" s="9" t="s">
        <v>17817</v>
      </c>
      <c r="N2285" s="9" t="s">
        <v>17746</v>
      </c>
      <c r="O2285" s="9" t="s">
        <v>29464</v>
      </c>
      <c r="P2285" s="9" t="s">
        <v>17748</v>
      </c>
      <c r="Q2285" s="11" t="s">
        <v>19361</v>
      </c>
      <c r="R2285" s="11" t="s">
        <v>19361</v>
      </c>
      <c r="S2285" s="11" t="s">
        <v>17750</v>
      </c>
    </row>
    <row r="2286" spans="1:19" x14ac:dyDescent="0.2">
      <c r="A2286" s="11" t="s">
        <v>31097</v>
      </c>
      <c r="B2286" s="9" t="s">
        <v>31098</v>
      </c>
      <c r="C2286" s="9" t="s">
        <v>31099</v>
      </c>
      <c r="D2286" s="9" t="s">
        <v>31100</v>
      </c>
      <c r="E2286" s="9" t="s">
        <v>17740</v>
      </c>
      <c r="F2286" s="9" t="s">
        <v>17741</v>
      </c>
      <c r="G2286" s="9" t="s">
        <v>17740</v>
      </c>
      <c r="H2286" s="11" t="s">
        <v>17741</v>
      </c>
      <c r="I2286" s="11" t="s">
        <v>31101</v>
      </c>
      <c r="J2286" s="11" t="s">
        <v>31101</v>
      </c>
      <c r="K2286" s="9" t="s">
        <v>31102</v>
      </c>
      <c r="L2286" s="9" t="s">
        <v>20359</v>
      </c>
      <c r="M2286" s="9" t="s">
        <v>17760</v>
      </c>
      <c r="N2286" s="9" t="s">
        <v>18042</v>
      </c>
      <c r="O2286" s="9" t="s">
        <v>20690</v>
      </c>
      <c r="P2286" s="9" t="s">
        <v>17748</v>
      </c>
      <c r="Q2286" s="11" t="s">
        <v>18813</v>
      </c>
      <c r="R2286" s="11" t="s">
        <v>18813</v>
      </c>
      <c r="S2286" s="11" t="s">
        <v>17750</v>
      </c>
    </row>
    <row r="2287" spans="1:19" x14ac:dyDescent="0.2">
      <c r="A2287" s="11" t="s">
        <v>31103</v>
      </c>
      <c r="B2287" s="9" t="s">
        <v>31104</v>
      </c>
      <c r="C2287" s="9" t="s">
        <v>31105</v>
      </c>
      <c r="D2287" s="9" t="s">
        <v>31106</v>
      </c>
      <c r="E2287" s="9" t="s">
        <v>17740</v>
      </c>
      <c r="F2287" s="9" t="s">
        <v>17741</v>
      </c>
      <c r="G2287" s="9" t="s">
        <v>17740</v>
      </c>
      <c r="H2287" s="11" t="s">
        <v>31107</v>
      </c>
      <c r="I2287" s="11" t="s">
        <v>31108</v>
      </c>
      <c r="J2287" s="11" t="s">
        <v>31108</v>
      </c>
      <c r="K2287" s="9" t="s">
        <v>31109</v>
      </c>
      <c r="L2287" s="9" t="s">
        <v>18439</v>
      </c>
      <c r="M2287" s="9" t="s">
        <v>17778</v>
      </c>
      <c r="N2287" s="9" t="s">
        <v>17746</v>
      </c>
      <c r="O2287" s="9" t="s">
        <v>31110</v>
      </c>
      <c r="P2287" s="9" t="s">
        <v>17748</v>
      </c>
      <c r="Q2287" s="11" t="s">
        <v>18059</v>
      </c>
      <c r="R2287" s="11" t="s">
        <v>18059</v>
      </c>
      <c r="S2287" s="11" t="s">
        <v>17750</v>
      </c>
    </row>
    <row r="2288" spans="1:19" x14ac:dyDescent="0.2">
      <c r="A2288" s="11" t="s">
        <v>31111</v>
      </c>
      <c r="B2288" s="9" t="s">
        <v>1815</v>
      </c>
      <c r="C2288" s="9" t="s">
        <v>31112</v>
      </c>
      <c r="D2288" s="9" t="s">
        <v>1815</v>
      </c>
      <c r="E2288" s="9" t="s">
        <v>17740</v>
      </c>
      <c r="F2288" s="9" t="s">
        <v>17741</v>
      </c>
      <c r="G2288" s="9" t="s">
        <v>17740</v>
      </c>
      <c r="H2288" s="11" t="s">
        <v>1817</v>
      </c>
      <c r="I2288" s="11" t="s">
        <v>1816</v>
      </c>
      <c r="J2288" s="11" t="s">
        <v>1816</v>
      </c>
      <c r="K2288" s="9" t="s">
        <v>24835</v>
      </c>
      <c r="L2288" s="9" t="s">
        <v>17744</v>
      </c>
      <c r="M2288" s="9" t="s">
        <v>17817</v>
      </c>
      <c r="N2288" s="9" t="s">
        <v>17746</v>
      </c>
      <c r="O2288" s="9" t="s">
        <v>19521</v>
      </c>
      <c r="P2288" s="9" t="s">
        <v>17748</v>
      </c>
      <c r="Q2288" s="11" t="s">
        <v>18600</v>
      </c>
      <c r="R2288" s="11" t="s">
        <v>18600</v>
      </c>
      <c r="S2288" s="11" t="s">
        <v>17750</v>
      </c>
    </row>
    <row r="2289" spans="1:19" x14ac:dyDescent="0.2">
      <c r="A2289" s="11" t="s">
        <v>31113</v>
      </c>
      <c r="B2289" s="9" t="s">
        <v>31114</v>
      </c>
      <c r="C2289" s="9" t="s">
        <v>31115</v>
      </c>
      <c r="D2289" s="9" t="s">
        <v>31116</v>
      </c>
      <c r="E2289" s="9" t="s">
        <v>17740</v>
      </c>
      <c r="F2289" s="9" t="s">
        <v>17741</v>
      </c>
      <c r="G2289" s="9" t="s">
        <v>17740</v>
      </c>
      <c r="H2289" s="11" t="s">
        <v>17741</v>
      </c>
      <c r="I2289" s="11" t="s">
        <v>31117</v>
      </c>
      <c r="J2289" s="11" t="s">
        <v>31117</v>
      </c>
      <c r="K2289" s="9" t="s">
        <v>31118</v>
      </c>
      <c r="L2289" s="9" t="s">
        <v>18158</v>
      </c>
      <c r="M2289" s="9" t="s">
        <v>31119</v>
      </c>
      <c r="N2289" s="9" t="s">
        <v>18185</v>
      </c>
      <c r="O2289" s="9" t="s">
        <v>31120</v>
      </c>
      <c r="P2289" s="9" t="s">
        <v>17748</v>
      </c>
      <c r="Q2289" s="11" t="s">
        <v>20251</v>
      </c>
      <c r="R2289" s="11" t="s">
        <v>20251</v>
      </c>
      <c r="S2289" s="11" t="s">
        <v>17750</v>
      </c>
    </row>
    <row r="2290" spans="1:19" x14ac:dyDescent="0.2">
      <c r="A2290" s="11" t="s">
        <v>31121</v>
      </c>
      <c r="B2290" s="9" t="s">
        <v>31122</v>
      </c>
      <c r="C2290" s="9" t="s">
        <v>31123</v>
      </c>
      <c r="D2290" s="9" t="s">
        <v>31124</v>
      </c>
      <c r="E2290" s="9" t="s">
        <v>17740</v>
      </c>
      <c r="F2290" s="9" t="s">
        <v>17741</v>
      </c>
      <c r="G2290" s="9" t="s">
        <v>17740</v>
      </c>
      <c r="H2290" s="11" t="s">
        <v>31125</v>
      </c>
      <c r="I2290" s="11" t="s">
        <v>31126</v>
      </c>
      <c r="J2290" s="11" t="s">
        <v>31126</v>
      </c>
      <c r="K2290" s="9" t="s">
        <v>31127</v>
      </c>
      <c r="L2290" s="9" t="s">
        <v>18058</v>
      </c>
      <c r="M2290" s="9" t="s">
        <v>17992</v>
      </c>
      <c r="N2290" s="9" t="s">
        <v>21551</v>
      </c>
      <c r="O2290" s="9" t="s">
        <v>31128</v>
      </c>
      <c r="P2290" s="9" t="s">
        <v>17748</v>
      </c>
      <c r="Q2290" s="11" t="s">
        <v>17808</v>
      </c>
      <c r="R2290" s="11" t="s">
        <v>17808</v>
      </c>
      <c r="S2290" s="11" t="s">
        <v>17750</v>
      </c>
    </row>
    <row r="2291" spans="1:19" x14ac:dyDescent="0.2">
      <c r="A2291" s="11" t="s">
        <v>31129</v>
      </c>
      <c r="B2291" s="9" t="s">
        <v>31130</v>
      </c>
      <c r="C2291" s="9" t="s">
        <v>31131</v>
      </c>
      <c r="D2291" s="9" t="s">
        <v>31132</v>
      </c>
      <c r="E2291" s="9" t="s">
        <v>17740</v>
      </c>
      <c r="F2291" s="9" t="s">
        <v>31133</v>
      </c>
      <c r="G2291" s="9" t="s">
        <v>17740</v>
      </c>
      <c r="H2291" s="11" t="s">
        <v>17741</v>
      </c>
      <c r="I2291" s="11" t="s">
        <v>31134</v>
      </c>
      <c r="J2291" s="11" t="s">
        <v>31134</v>
      </c>
      <c r="K2291" s="9" t="s">
        <v>31135</v>
      </c>
      <c r="L2291" s="9" t="s">
        <v>17744</v>
      </c>
      <c r="M2291" s="9" t="s">
        <v>17745</v>
      </c>
      <c r="N2291" s="9" t="s">
        <v>17746</v>
      </c>
      <c r="O2291" s="9" t="s">
        <v>31136</v>
      </c>
      <c r="P2291" s="9" t="s">
        <v>17748</v>
      </c>
      <c r="Q2291" s="11" t="s">
        <v>18251</v>
      </c>
      <c r="R2291" s="11" t="s">
        <v>18251</v>
      </c>
      <c r="S2291" s="11" t="s">
        <v>17750</v>
      </c>
    </row>
    <row r="2292" spans="1:19" x14ac:dyDescent="0.2">
      <c r="A2292" s="11" t="s">
        <v>31137</v>
      </c>
      <c r="B2292" s="9" t="s">
        <v>31138</v>
      </c>
      <c r="C2292" s="9" t="s">
        <v>31139</v>
      </c>
      <c r="D2292" s="9" t="s">
        <v>31140</v>
      </c>
      <c r="E2292" s="9" t="s">
        <v>17740</v>
      </c>
      <c r="F2292" s="9" t="s">
        <v>17741</v>
      </c>
      <c r="G2292" s="9" t="s">
        <v>17740</v>
      </c>
      <c r="H2292" s="11" t="s">
        <v>17741</v>
      </c>
      <c r="I2292" s="11" t="s">
        <v>31141</v>
      </c>
      <c r="J2292" s="11" t="s">
        <v>31141</v>
      </c>
      <c r="K2292" s="9" t="s">
        <v>19447</v>
      </c>
      <c r="L2292" s="9" t="s">
        <v>17744</v>
      </c>
      <c r="M2292" s="9" t="s">
        <v>31142</v>
      </c>
      <c r="N2292" s="9" t="s">
        <v>17746</v>
      </c>
      <c r="O2292" s="9" t="s">
        <v>31143</v>
      </c>
      <c r="P2292" s="9" t="s">
        <v>17748</v>
      </c>
      <c r="Q2292" s="11" t="s">
        <v>17749</v>
      </c>
      <c r="R2292" s="11" t="s">
        <v>17749</v>
      </c>
      <c r="S2292" s="11" t="s">
        <v>17750</v>
      </c>
    </row>
    <row r="2293" spans="1:19" x14ac:dyDescent="0.2">
      <c r="A2293" s="11" t="s">
        <v>31144</v>
      </c>
      <c r="B2293" s="9" t="s">
        <v>31145</v>
      </c>
      <c r="C2293" s="9" t="s">
        <v>31146</v>
      </c>
      <c r="D2293" s="9" t="s">
        <v>31147</v>
      </c>
      <c r="E2293" s="9" t="s">
        <v>17740</v>
      </c>
      <c r="F2293" s="9" t="s">
        <v>17741</v>
      </c>
      <c r="G2293" s="9" t="s">
        <v>17740</v>
      </c>
      <c r="H2293" s="11" t="s">
        <v>31148</v>
      </c>
      <c r="I2293" s="11" t="s">
        <v>31149</v>
      </c>
      <c r="J2293" s="11" t="s">
        <v>31149</v>
      </c>
      <c r="K2293" s="9" t="s">
        <v>6348</v>
      </c>
      <c r="L2293" s="9" t="s">
        <v>17759</v>
      </c>
      <c r="M2293" s="9" t="s">
        <v>17760</v>
      </c>
      <c r="N2293" s="9" t="s">
        <v>17746</v>
      </c>
      <c r="O2293" s="9" t="s">
        <v>31150</v>
      </c>
      <c r="P2293" s="9" t="s">
        <v>17748</v>
      </c>
      <c r="Q2293" s="11" t="s">
        <v>18798</v>
      </c>
      <c r="R2293" s="11" t="s">
        <v>18798</v>
      </c>
      <c r="S2293" s="11" t="s">
        <v>17750</v>
      </c>
    </row>
    <row r="2294" spans="1:19" x14ac:dyDescent="0.2">
      <c r="A2294" s="11" t="s">
        <v>31151</v>
      </c>
      <c r="B2294" s="9" t="s">
        <v>31152</v>
      </c>
      <c r="C2294" s="9" t="s">
        <v>31153</v>
      </c>
      <c r="D2294" s="9" t="s">
        <v>31154</v>
      </c>
      <c r="E2294" s="9" t="s">
        <v>17740</v>
      </c>
      <c r="F2294" s="9" t="s">
        <v>17741</v>
      </c>
      <c r="G2294" s="9" t="s">
        <v>17740</v>
      </c>
      <c r="H2294" s="11" t="s">
        <v>17741</v>
      </c>
      <c r="I2294" s="11" t="s">
        <v>31155</v>
      </c>
      <c r="J2294" s="11" t="s">
        <v>31155</v>
      </c>
      <c r="K2294" s="9" t="s">
        <v>31156</v>
      </c>
      <c r="L2294" s="9" t="s">
        <v>17759</v>
      </c>
      <c r="M2294" s="9" t="s">
        <v>17760</v>
      </c>
      <c r="N2294" s="9" t="s">
        <v>17746</v>
      </c>
      <c r="O2294" s="9" t="s">
        <v>20690</v>
      </c>
      <c r="P2294" s="9" t="s">
        <v>17748</v>
      </c>
      <c r="Q2294" s="11" t="s">
        <v>18314</v>
      </c>
      <c r="R2294" s="11" t="s">
        <v>18314</v>
      </c>
      <c r="S2294" s="11" t="s">
        <v>17750</v>
      </c>
    </row>
    <row r="2295" spans="1:19" x14ac:dyDescent="0.2">
      <c r="A2295" s="11" t="s">
        <v>31157</v>
      </c>
      <c r="B2295" s="9" t="s">
        <v>31158</v>
      </c>
      <c r="C2295" s="9" t="s">
        <v>31159</v>
      </c>
      <c r="D2295" s="9" t="s">
        <v>31160</v>
      </c>
      <c r="E2295" s="9" t="s">
        <v>17740</v>
      </c>
      <c r="F2295" s="9" t="s">
        <v>17741</v>
      </c>
      <c r="G2295" s="9" t="s">
        <v>17740</v>
      </c>
      <c r="H2295" s="11" t="s">
        <v>17741</v>
      </c>
      <c r="I2295" s="11" t="s">
        <v>8661</v>
      </c>
      <c r="J2295" s="11" t="s">
        <v>8661</v>
      </c>
      <c r="K2295" s="9" t="s">
        <v>31161</v>
      </c>
      <c r="L2295" s="9" t="s">
        <v>17759</v>
      </c>
      <c r="M2295" s="9" t="s">
        <v>17769</v>
      </c>
      <c r="N2295" s="9" t="s">
        <v>17746</v>
      </c>
      <c r="O2295" s="9" t="s">
        <v>22217</v>
      </c>
      <c r="P2295" s="9" t="s">
        <v>17748</v>
      </c>
      <c r="Q2295" s="11" t="s">
        <v>17784</v>
      </c>
      <c r="R2295" s="11" t="s">
        <v>17784</v>
      </c>
      <c r="S2295" s="11" t="s">
        <v>17750</v>
      </c>
    </row>
    <row r="2296" spans="1:19" x14ac:dyDescent="0.2">
      <c r="A2296" s="11" t="s">
        <v>31162</v>
      </c>
      <c r="B2296" s="9" t="s">
        <v>31163</v>
      </c>
      <c r="C2296" s="9" t="s">
        <v>31164</v>
      </c>
      <c r="D2296" s="9" t="s">
        <v>31165</v>
      </c>
      <c r="E2296" s="9" t="s">
        <v>17748</v>
      </c>
      <c r="F2296" s="9" t="s">
        <v>31166</v>
      </c>
      <c r="G2296" s="9" t="s">
        <v>17740</v>
      </c>
      <c r="H2296" s="11" t="s">
        <v>17741</v>
      </c>
      <c r="I2296" s="11" t="s">
        <v>31167</v>
      </c>
      <c r="J2296" s="11" t="s">
        <v>31167</v>
      </c>
      <c r="K2296" s="9" t="s">
        <v>26967</v>
      </c>
      <c r="L2296" s="9" t="s">
        <v>17759</v>
      </c>
      <c r="M2296" s="9" t="s">
        <v>24893</v>
      </c>
      <c r="N2296" s="9" t="s">
        <v>17746</v>
      </c>
      <c r="O2296" s="9" t="s">
        <v>19147</v>
      </c>
      <c r="P2296" s="9" t="s">
        <v>17748</v>
      </c>
      <c r="Q2296" s="11" t="s">
        <v>18356</v>
      </c>
      <c r="R2296" s="11" t="s">
        <v>18356</v>
      </c>
      <c r="S2296" s="11" t="s">
        <v>17750</v>
      </c>
    </row>
    <row r="2297" spans="1:19" x14ac:dyDescent="0.2">
      <c r="A2297" s="11" t="s">
        <v>31168</v>
      </c>
      <c r="B2297" s="9" t="s">
        <v>31169</v>
      </c>
      <c r="C2297" s="9" t="s">
        <v>31170</v>
      </c>
      <c r="D2297" s="9" t="s">
        <v>31171</v>
      </c>
      <c r="E2297" s="9" t="s">
        <v>17740</v>
      </c>
      <c r="F2297" s="9" t="s">
        <v>17741</v>
      </c>
      <c r="G2297" s="9" t="s">
        <v>17740</v>
      </c>
      <c r="H2297" s="11" t="s">
        <v>17741</v>
      </c>
      <c r="I2297" s="11" t="s">
        <v>31172</v>
      </c>
      <c r="J2297" s="11" t="s">
        <v>31172</v>
      </c>
      <c r="K2297" s="9" t="s">
        <v>31173</v>
      </c>
      <c r="L2297" s="9" t="s">
        <v>17759</v>
      </c>
      <c r="M2297" s="9" t="s">
        <v>17760</v>
      </c>
      <c r="N2297" s="9" t="s">
        <v>17746</v>
      </c>
      <c r="O2297" s="9" t="s">
        <v>19147</v>
      </c>
      <c r="P2297" s="9" t="s">
        <v>17748</v>
      </c>
      <c r="Q2297" s="11" t="s">
        <v>31174</v>
      </c>
      <c r="R2297" s="11" t="s">
        <v>31174</v>
      </c>
      <c r="S2297" s="11" t="s">
        <v>17750</v>
      </c>
    </row>
    <row r="2298" spans="1:19" x14ac:dyDescent="0.2">
      <c r="A2298" s="11" t="s">
        <v>31175</v>
      </c>
      <c r="B2298" s="9" t="s">
        <v>31176</v>
      </c>
      <c r="C2298" s="9" t="s">
        <v>31177</v>
      </c>
      <c r="D2298" s="9" t="s">
        <v>31178</v>
      </c>
      <c r="E2298" s="9" t="s">
        <v>17740</v>
      </c>
      <c r="F2298" s="9" t="s">
        <v>17741</v>
      </c>
      <c r="G2298" s="9" t="s">
        <v>17740</v>
      </c>
      <c r="H2298" s="11" t="s">
        <v>8636</v>
      </c>
      <c r="I2298" s="11" t="s">
        <v>8635</v>
      </c>
      <c r="J2298" s="11" t="s">
        <v>8635</v>
      </c>
      <c r="K2298" s="9" t="s">
        <v>17805</v>
      </c>
      <c r="L2298" s="9" t="s">
        <v>17744</v>
      </c>
      <c r="M2298" s="9" t="s">
        <v>18184</v>
      </c>
      <c r="N2298" s="9" t="s">
        <v>17746</v>
      </c>
      <c r="O2298" s="9" t="s">
        <v>19147</v>
      </c>
      <c r="P2298" s="9" t="s">
        <v>17748</v>
      </c>
      <c r="Q2298" s="11" t="s">
        <v>18356</v>
      </c>
      <c r="R2298" s="11" t="s">
        <v>18356</v>
      </c>
      <c r="S2298" s="11" t="s">
        <v>17750</v>
      </c>
    </row>
    <row r="2299" spans="1:19" x14ac:dyDescent="0.2">
      <c r="A2299" s="11" t="s">
        <v>31179</v>
      </c>
      <c r="B2299" s="9" t="s">
        <v>31180</v>
      </c>
      <c r="C2299" s="9" t="s">
        <v>31181</v>
      </c>
      <c r="D2299" s="9" t="s">
        <v>31182</v>
      </c>
      <c r="E2299" s="9" t="s">
        <v>17748</v>
      </c>
      <c r="F2299" s="9" t="s">
        <v>31183</v>
      </c>
      <c r="G2299" s="9" t="s">
        <v>17740</v>
      </c>
      <c r="H2299" s="11" t="s">
        <v>17741</v>
      </c>
      <c r="I2299" s="11" t="s">
        <v>31184</v>
      </c>
      <c r="J2299" s="11" t="s">
        <v>31184</v>
      </c>
      <c r="K2299" s="9" t="s">
        <v>31185</v>
      </c>
      <c r="L2299" s="9" t="s">
        <v>18959</v>
      </c>
      <c r="M2299" s="9" t="s">
        <v>17992</v>
      </c>
      <c r="N2299" s="9" t="s">
        <v>17746</v>
      </c>
      <c r="O2299" s="9" t="s">
        <v>19190</v>
      </c>
      <c r="P2299" s="9" t="s">
        <v>17748</v>
      </c>
      <c r="Q2299" s="11" t="s">
        <v>17780</v>
      </c>
      <c r="R2299" s="11" t="s">
        <v>17780</v>
      </c>
      <c r="S2299" s="11" t="s">
        <v>17750</v>
      </c>
    </row>
    <row r="2300" spans="1:19" x14ac:dyDescent="0.2">
      <c r="A2300" s="11" t="s">
        <v>31186</v>
      </c>
      <c r="B2300" s="9" t="s">
        <v>31187</v>
      </c>
      <c r="C2300" s="9" t="s">
        <v>31188</v>
      </c>
      <c r="D2300" s="9" t="s">
        <v>31189</v>
      </c>
      <c r="E2300" s="9" t="s">
        <v>17740</v>
      </c>
      <c r="F2300" s="9" t="s">
        <v>31190</v>
      </c>
      <c r="G2300" s="9" t="s">
        <v>17740</v>
      </c>
      <c r="H2300" s="11" t="s">
        <v>17741</v>
      </c>
      <c r="I2300" s="11" t="s">
        <v>31191</v>
      </c>
      <c r="J2300" s="11" t="s">
        <v>31191</v>
      </c>
      <c r="K2300" s="9" t="s">
        <v>31192</v>
      </c>
      <c r="L2300" s="9" t="s">
        <v>17759</v>
      </c>
      <c r="M2300" s="9" t="s">
        <v>31193</v>
      </c>
      <c r="N2300" s="9" t="s">
        <v>17746</v>
      </c>
      <c r="O2300" s="9" t="s">
        <v>19147</v>
      </c>
      <c r="P2300" s="9" t="s">
        <v>17748</v>
      </c>
      <c r="Q2300" s="11" t="s">
        <v>17792</v>
      </c>
      <c r="R2300" s="11" t="s">
        <v>17792</v>
      </c>
      <c r="S2300" s="11" t="s">
        <v>17750</v>
      </c>
    </row>
    <row r="2301" spans="1:19" x14ac:dyDescent="0.2">
      <c r="A2301" s="11" t="s">
        <v>31194</v>
      </c>
      <c r="B2301" s="9" t="s">
        <v>31195</v>
      </c>
      <c r="C2301" s="9" t="s">
        <v>31195</v>
      </c>
      <c r="D2301" s="9" t="s">
        <v>31195</v>
      </c>
      <c r="E2301" s="9" t="s">
        <v>17740</v>
      </c>
      <c r="F2301" s="9" t="s">
        <v>17741</v>
      </c>
      <c r="G2301" s="9" t="s">
        <v>17740</v>
      </c>
      <c r="H2301" s="11" t="s">
        <v>31196</v>
      </c>
      <c r="I2301" s="11" t="s">
        <v>31197</v>
      </c>
      <c r="J2301" s="11" t="s">
        <v>31197</v>
      </c>
      <c r="K2301" s="9" t="s">
        <v>167</v>
      </c>
      <c r="L2301" s="9" t="s">
        <v>18158</v>
      </c>
      <c r="M2301" s="9" t="s">
        <v>17817</v>
      </c>
      <c r="N2301" s="9" t="s">
        <v>18185</v>
      </c>
      <c r="O2301" s="9" t="s">
        <v>18418</v>
      </c>
      <c r="P2301" s="9" t="s">
        <v>17748</v>
      </c>
      <c r="Q2301" s="11" t="s">
        <v>18847</v>
      </c>
      <c r="R2301" s="11" t="s">
        <v>18847</v>
      </c>
      <c r="S2301" s="11" t="s">
        <v>17750</v>
      </c>
    </row>
    <row r="2302" spans="1:19" x14ac:dyDescent="0.2">
      <c r="A2302" s="11" t="s">
        <v>31198</v>
      </c>
      <c r="B2302" s="9" t="s">
        <v>31199</v>
      </c>
      <c r="C2302" s="9" t="s">
        <v>31200</v>
      </c>
      <c r="D2302" s="9" t="s">
        <v>31201</v>
      </c>
      <c r="E2302" s="9" t="s">
        <v>17740</v>
      </c>
      <c r="F2302" s="9" t="s">
        <v>17741</v>
      </c>
      <c r="G2302" s="9" t="s">
        <v>17740</v>
      </c>
      <c r="H2302" s="11" t="s">
        <v>17741</v>
      </c>
      <c r="I2302" s="11" t="s">
        <v>31202</v>
      </c>
      <c r="J2302" s="11" t="s">
        <v>31202</v>
      </c>
      <c r="K2302" s="9" t="s">
        <v>31203</v>
      </c>
      <c r="L2302" s="9" t="s">
        <v>18242</v>
      </c>
      <c r="M2302" s="9" t="s">
        <v>17769</v>
      </c>
      <c r="N2302" s="9" t="s">
        <v>17968</v>
      </c>
      <c r="O2302" s="9" t="s">
        <v>17993</v>
      </c>
      <c r="P2302" s="9" t="s">
        <v>17748</v>
      </c>
      <c r="Q2302" s="11" t="s">
        <v>21244</v>
      </c>
      <c r="R2302" s="11" t="s">
        <v>21244</v>
      </c>
      <c r="S2302" s="11" t="s">
        <v>17750</v>
      </c>
    </row>
    <row r="2303" spans="1:19" x14ac:dyDescent="0.2">
      <c r="A2303" s="11" t="s">
        <v>31204</v>
      </c>
      <c r="B2303" s="9" t="s">
        <v>31205</v>
      </c>
      <c r="C2303" s="9" t="s">
        <v>31206</v>
      </c>
      <c r="D2303" s="9" t="s">
        <v>31207</v>
      </c>
      <c r="E2303" s="9" t="s">
        <v>17740</v>
      </c>
      <c r="F2303" s="9" t="s">
        <v>31208</v>
      </c>
      <c r="G2303" s="9" t="s">
        <v>17740</v>
      </c>
      <c r="H2303" s="11" t="s">
        <v>31209</v>
      </c>
      <c r="I2303" s="11" t="s">
        <v>31210</v>
      </c>
      <c r="J2303" s="11" t="s">
        <v>31210</v>
      </c>
      <c r="K2303" s="9" t="s">
        <v>17758</v>
      </c>
      <c r="L2303" s="9" t="s">
        <v>17759</v>
      </c>
      <c r="M2303" s="9" t="s">
        <v>18797</v>
      </c>
      <c r="N2303" s="9" t="s">
        <v>17746</v>
      </c>
      <c r="O2303" s="9" t="s">
        <v>17800</v>
      </c>
      <c r="P2303" s="9" t="s">
        <v>17748</v>
      </c>
      <c r="Q2303" s="11" t="s">
        <v>18059</v>
      </c>
      <c r="R2303" s="11" t="s">
        <v>18059</v>
      </c>
      <c r="S2303" s="11" t="s">
        <v>17750</v>
      </c>
    </row>
    <row r="2304" spans="1:19" x14ac:dyDescent="0.2">
      <c r="A2304" s="11" t="s">
        <v>31211</v>
      </c>
      <c r="B2304" s="9" t="s">
        <v>31212</v>
      </c>
      <c r="C2304" s="9" t="s">
        <v>31213</v>
      </c>
      <c r="D2304" s="9" t="s">
        <v>31214</v>
      </c>
      <c r="E2304" s="9" t="s">
        <v>17740</v>
      </c>
      <c r="F2304" s="9" t="s">
        <v>17741</v>
      </c>
      <c r="G2304" s="9" t="s">
        <v>17740</v>
      </c>
      <c r="H2304" s="11" t="s">
        <v>31215</v>
      </c>
      <c r="I2304" s="11" t="s">
        <v>31216</v>
      </c>
      <c r="J2304" s="11" t="s">
        <v>31216</v>
      </c>
      <c r="K2304" s="9" t="s">
        <v>291</v>
      </c>
      <c r="L2304" s="9" t="s">
        <v>17744</v>
      </c>
      <c r="M2304" s="9" t="s">
        <v>17760</v>
      </c>
      <c r="N2304" s="9" t="s">
        <v>17746</v>
      </c>
      <c r="O2304" s="9" t="s">
        <v>17848</v>
      </c>
      <c r="P2304" s="9" t="s">
        <v>17748</v>
      </c>
      <c r="Q2304" s="11" t="s">
        <v>18251</v>
      </c>
      <c r="R2304" s="11" t="s">
        <v>18251</v>
      </c>
      <c r="S2304" s="11" t="s">
        <v>17750</v>
      </c>
    </row>
    <row r="2305" spans="1:19" x14ac:dyDescent="0.2">
      <c r="A2305" s="11" t="s">
        <v>31217</v>
      </c>
      <c r="B2305" s="9" t="s">
        <v>31218</v>
      </c>
      <c r="C2305" s="9" t="s">
        <v>31219</v>
      </c>
      <c r="D2305" s="9" t="s">
        <v>31220</v>
      </c>
      <c r="E2305" s="9" t="s">
        <v>17740</v>
      </c>
      <c r="F2305" s="9" t="s">
        <v>31221</v>
      </c>
      <c r="G2305" s="9" t="s">
        <v>17740</v>
      </c>
      <c r="H2305" s="11" t="s">
        <v>31222</v>
      </c>
      <c r="I2305" s="11" t="s">
        <v>31223</v>
      </c>
      <c r="J2305" s="11" t="s">
        <v>31223</v>
      </c>
      <c r="K2305" s="9" t="s">
        <v>17758</v>
      </c>
      <c r="L2305" s="9" t="s">
        <v>17759</v>
      </c>
      <c r="M2305" s="9" t="s">
        <v>18289</v>
      </c>
      <c r="N2305" s="9" t="s">
        <v>17746</v>
      </c>
      <c r="O2305" s="9" t="s">
        <v>24351</v>
      </c>
      <c r="P2305" s="9" t="s">
        <v>17748</v>
      </c>
      <c r="Q2305" s="11" t="s">
        <v>17978</v>
      </c>
      <c r="R2305" s="11" t="s">
        <v>17978</v>
      </c>
      <c r="S2305" s="11" t="s">
        <v>17750</v>
      </c>
    </row>
    <row r="2306" spans="1:19" x14ac:dyDescent="0.2">
      <c r="A2306" s="11" t="s">
        <v>31224</v>
      </c>
      <c r="B2306" s="9" t="s">
        <v>31225</v>
      </c>
      <c r="C2306" s="9" t="s">
        <v>31226</v>
      </c>
      <c r="D2306" s="9" t="s">
        <v>9452</v>
      </c>
      <c r="E2306" s="9" t="s">
        <v>17748</v>
      </c>
      <c r="F2306" s="9" t="s">
        <v>31227</v>
      </c>
      <c r="G2306" s="9" t="s">
        <v>17740</v>
      </c>
      <c r="H2306" s="11" t="s">
        <v>9454</v>
      </c>
      <c r="I2306" s="11" t="s">
        <v>9453</v>
      </c>
      <c r="J2306" s="11" t="s">
        <v>9453</v>
      </c>
      <c r="K2306" s="9" t="s">
        <v>18661</v>
      </c>
      <c r="L2306" s="9" t="s">
        <v>23607</v>
      </c>
      <c r="M2306" s="9" t="s">
        <v>17760</v>
      </c>
      <c r="N2306" s="9" t="s">
        <v>17746</v>
      </c>
      <c r="O2306" s="9" t="s">
        <v>18607</v>
      </c>
      <c r="P2306" s="9" t="s">
        <v>17748</v>
      </c>
      <c r="Q2306" s="11" t="s">
        <v>17994</v>
      </c>
      <c r="R2306" s="11" t="s">
        <v>17994</v>
      </c>
      <c r="S2306" s="11" t="s">
        <v>17750</v>
      </c>
    </row>
    <row r="2307" spans="1:19" x14ac:dyDescent="0.2">
      <c r="A2307" s="11" t="s">
        <v>31228</v>
      </c>
      <c r="B2307" s="9" t="s">
        <v>31229</v>
      </c>
      <c r="C2307" s="9" t="s">
        <v>31230</v>
      </c>
      <c r="D2307" s="9" t="s">
        <v>31231</v>
      </c>
      <c r="E2307" s="9" t="s">
        <v>17740</v>
      </c>
      <c r="F2307" s="9" t="s">
        <v>17741</v>
      </c>
      <c r="G2307" s="9" t="s">
        <v>17740</v>
      </c>
      <c r="H2307" s="11" t="s">
        <v>31232</v>
      </c>
      <c r="I2307" s="11" t="s">
        <v>31233</v>
      </c>
      <c r="J2307" s="11" t="s">
        <v>31233</v>
      </c>
      <c r="K2307" s="9" t="s">
        <v>31234</v>
      </c>
      <c r="L2307" s="9" t="s">
        <v>18158</v>
      </c>
      <c r="M2307" s="9" t="s">
        <v>18065</v>
      </c>
      <c r="N2307" s="9" t="s">
        <v>18185</v>
      </c>
      <c r="O2307" s="9" t="s">
        <v>17977</v>
      </c>
      <c r="P2307" s="9" t="s">
        <v>17748</v>
      </c>
      <c r="Q2307" s="11" t="s">
        <v>18440</v>
      </c>
      <c r="R2307" s="11" t="s">
        <v>18440</v>
      </c>
      <c r="S2307" s="11" t="s">
        <v>17750</v>
      </c>
    </row>
    <row r="2308" spans="1:19" x14ac:dyDescent="0.2">
      <c r="A2308" s="11" t="s">
        <v>31235</v>
      </c>
      <c r="B2308" s="9" t="s">
        <v>31236</v>
      </c>
      <c r="C2308" s="9" t="s">
        <v>31237</v>
      </c>
      <c r="D2308" s="9" t="s">
        <v>31238</v>
      </c>
      <c r="E2308" s="9" t="s">
        <v>17740</v>
      </c>
      <c r="F2308" s="9" t="s">
        <v>31239</v>
      </c>
      <c r="G2308" s="9" t="s">
        <v>17740</v>
      </c>
      <c r="H2308" s="11" t="s">
        <v>17741</v>
      </c>
      <c r="I2308" s="11" t="s">
        <v>6893</v>
      </c>
      <c r="J2308" s="11" t="s">
        <v>6893</v>
      </c>
      <c r="K2308" s="9" t="s">
        <v>6894</v>
      </c>
      <c r="L2308" s="9" t="s">
        <v>17958</v>
      </c>
      <c r="M2308" s="9" t="s">
        <v>17760</v>
      </c>
      <c r="N2308" s="9" t="s">
        <v>17746</v>
      </c>
      <c r="O2308" s="9" t="s">
        <v>17993</v>
      </c>
      <c r="P2308" s="9" t="s">
        <v>17748</v>
      </c>
      <c r="Q2308" s="11" t="s">
        <v>19361</v>
      </c>
      <c r="R2308" s="11" t="s">
        <v>19361</v>
      </c>
      <c r="S2308" s="11" t="s">
        <v>17750</v>
      </c>
    </row>
    <row r="2309" spans="1:19" x14ac:dyDescent="0.2">
      <c r="A2309" s="11" t="s">
        <v>31240</v>
      </c>
      <c r="B2309" s="9" t="s">
        <v>31241</v>
      </c>
      <c r="C2309" s="9" t="s">
        <v>31242</v>
      </c>
      <c r="D2309" s="9" t="s">
        <v>31243</v>
      </c>
      <c r="E2309" s="9" t="s">
        <v>17740</v>
      </c>
      <c r="F2309" s="9" t="s">
        <v>17741</v>
      </c>
      <c r="G2309" s="9" t="s">
        <v>17740</v>
      </c>
      <c r="H2309" s="11" t="s">
        <v>1823</v>
      </c>
      <c r="I2309" s="11" t="s">
        <v>1822</v>
      </c>
      <c r="J2309" s="11" t="s">
        <v>1822</v>
      </c>
      <c r="K2309" s="9" t="s">
        <v>31244</v>
      </c>
      <c r="L2309" s="9" t="s">
        <v>18158</v>
      </c>
      <c r="M2309" s="9" t="s">
        <v>31245</v>
      </c>
      <c r="N2309" s="9" t="s">
        <v>17746</v>
      </c>
      <c r="O2309" s="9" t="s">
        <v>21568</v>
      </c>
      <c r="P2309" s="9" t="s">
        <v>17748</v>
      </c>
      <c r="Q2309" s="11" t="s">
        <v>17867</v>
      </c>
      <c r="R2309" s="11" t="s">
        <v>17867</v>
      </c>
      <c r="S2309" s="11" t="s">
        <v>17750</v>
      </c>
    </row>
    <row r="2310" spans="1:19" x14ac:dyDescent="0.2">
      <c r="A2310" s="11" t="s">
        <v>31246</v>
      </c>
      <c r="B2310" s="9" t="s">
        <v>31247</v>
      </c>
      <c r="C2310" s="9" t="s">
        <v>31248</v>
      </c>
      <c r="D2310" s="9" t="s">
        <v>31249</v>
      </c>
      <c r="E2310" s="9" t="s">
        <v>17748</v>
      </c>
      <c r="F2310" s="9" t="s">
        <v>31250</v>
      </c>
      <c r="G2310" s="9" t="s">
        <v>17740</v>
      </c>
      <c r="H2310" s="11" t="s">
        <v>14379</v>
      </c>
      <c r="I2310" s="11" t="s">
        <v>14378</v>
      </c>
      <c r="J2310" s="11" t="s">
        <v>17741</v>
      </c>
      <c r="K2310" s="9" t="s">
        <v>18122</v>
      </c>
      <c r="L2310" s="9" t="s">
        <v>18123</v>
      </c>
      <c r="M2310" s="9" t="s">
        <v>17817</v>
      </c>
      <c r="N2310" s="9" t="s">
        <v>17746</v>
      </c>
      <c r="O2310" s="9" t="s">
        <v>31251</v>
      </c>
      <c r="P2310" s="9" t="s">
        <v>17748</v>
      </c>
      <c r="Q2310" s="11" t="s">
        <v>17900</v>
      </c>
      <c r="R2310" s="11" t="s">
        <v>17900</v>
      </c>
      <c r="S2310" s="11" t="s">
        <v>17750</v>
      </c>
    </row>
    <row r="2311" spans="1:19" x14ac:dyDescent="0.2">
      <c r="A2311" s="11" t="s">
        <v>31252</v>
      </c>
      <c r="B2311" s="9" t="s">
        <v>31253</v>
      </c>
      <c r="C2311" s="9" t="s">
        <v>31254</v>
      </c>
      <c r="D2311" s="9" t="s">
        <v>31255</v>
      </c>
      <c r="E2311" s="9" t="s">
        <v>17740</v>
      </c>
      <c r="F2311" s="9" t="s">
        <v>17741</v>
      </c>
      <c r="G2311" s="9" t="s">
        <v>17740</v>
      </c>
      <c r="H2311" s="11" t="s">
        <v>14561</v>
      </c>
      <c r="I2311" s="11" t="s">
        <v>14560</v>
      </c>
      <c r="J2311" s="11" t="s">
        <v>14560</v>
      </c>
      <c r="K2311" s="9" t="s">
        <v>19161</v>
      </c>
      <c r="L2311" s="9" t="s">
        <v>17759</v>
      </c>
      <c r="M2311" s="9" t="s">
        <v>18065</v>
      </c>
      <c r="N2311" s="9" t="s">
        <v>17746</v>
      </c>
      <c r="O2311" s="9" t="s">
        <v>23424</v>
      </c>
      <c r="P2311" s="9" t="s">
        <v>17748</v>
      </c>
      <c r="Q2311" s="11" t="s">
        <v>17900</v>
      </c>
      <c r="R2311" s="11" t="s">
        <v>17900</v>
      </c>
      <c r="S2311" s="11" t="s">
        <v>17750</v>
      </c>
    </row>
    <row r="2312" spans="1:19" x14ac:dyDescent="0.2">
      <c r="A2312" s="11" t="s">
        <v>31256</v>
      </c>
      <c r="B2312" s="9" t="s">
        <v>31257</v>
      </c>
      <c r="C2312" s="9" t="s">
        <v>31258</v>
      </c>
      <c r="D2312" s="9" t="s">
        <v>31259</v>
      </c>
      <c r="E2312" s="9" t="s">
        <v>17740</v>
      </c>
      <c r="F2312" s="9" t="s">
        <v>17741</v>
      </c>
      <c r="G2312" s="9" t="s">
        <v>17740</v>
      </c>
      <c r="H2312" s="11" t="s">
        <v>17741</v>
      </c>
      <c r="I2312" s="11" t="s">
        <v>13819</v>
      </c>
      <c r="J2312" s="11" t="s">
        <v>13819</v>
      </c>
      <c r="K2312" s="9" t="s">
        <v>13820</v>
      </c>
      <c r="L2312" s="9" t="s">
        <v>20969</v>
      </c>
      <c r="M2312" s="9" t="s">
        <v>17760</v>
      </c>
      <c r="N2312" s="9" t="s">
        <v>17746</v>
      </c>
      <c r="O2312" s="9" t="s">
        <v>1535</v>
      </c>
      <c r="P2312" s="9" t="s">
        <v>17748</v>
      </c>
      <c r="Q2312" s="11" t="s">
        <v>17994</v>
      </c>
      <c r="R2312" s="11" t="s">
        <v>17994</v>
      </c>
      <c r="S2312" s="11" t="s">
        <v>17750</v>
      </c>
    </row>
    <row r="2313" spans="1:19" x14ac:dyDescent="0.2">
      <c r="A2313" s="11" t="s">
        <v>31260</v>
      </c>
      <c r="B2313" s="9" t="s">
        <v>31261</v>
      </c>
      <c r="C2313" s="9" t="s">
        <v>31262</v>
      </c>
      <c r="D2313" s="9" t="s">
        <v>31263</v>
      </c>
      <c r="E2313" s="9" t="s">
        <v>17740</v>
      </c>
      <c r="F2313" s="9" t="s">
        <v>17741</v>
      </c>
      <c r="G2313" s="9" t="s">
        <v>17740</v>
      </c>
      <c r="H2313" s="11" t="s">
        <v>1829</v>
      </c>
      <c r="I2313" s="11" t="s">
        <v>1828</v>
      </c>
      <c r="J2313" s="11" t="s">
        <v>1828</v>
      </c>
      <c r="K2313" s="9" t="s">
        <v>21054</v>
      </c>
      <c r="L2313" s="9" t="s">
        <v>17759</v>
      </c>
      <c r="M2313" s="9" t="s">
        <v>31264</v>
      </c>
      <c r="N2313" s="9" t="s">
        <v>17746</v>
      </c>
      <c r="O2313" s="9" t="s">
        <v>31265</v>
      </c>
      <c r="P2313" s="9" t="s">
        <v>17748</v>
      </c>
      <c r="Q2313" s="11" t="s">
        <v>17867</v>
      </c>
      <c r="R2313" s="11" t="s">
        <v>17867</v>
      </c>
      <c r="S2313" s="11" t="s">
        <v>17750</v>
      </c>
    </row>
    <row r="2314" spans="1:19" x14ac:dyDescent="0.2">
      <c r="A2314" s="11" t="s">
        <v>31266</v>
      </c>
      <c r="B2314" s="9" t="s">
        <v>31267</v>
      </c>
      <c r="C2314" s="9" t="s">
        <v>31268</v>
      </c>
      <c r="D2314" s="9" t="s">
        <v>31269</v>
      </c>
      <c r="E2314" s="9" t="s">
        <v>17740</v>
      </c>
      <c r="F2314" s="9" t="s">
        <v>17741</v>
      </c>
      <c r="G2314" s="9" t="s">
        <v>17740</v>
      </c>
      <c r="H2314" s="11" t="s">
        <v>17741</v>
      </c>
      <c r="I2314" s="11" t="s">
        <v>31270</v>
      </c>
      <c r="J2314" s="11" t="s">
        <v>31270</v>
      </c>
      <c r="K2314" s="9" t="s">
        <v>19154</v>
      </c>
      <c r="L2314" s="9" t="s">
        <v>17759</v>
      </c>
      <c r="M2314" s="9" t="s">
        <v>17817</v>
      </c>
      <c r="N2314" s="9" t="s">
        <v>17746</v>
      </c>
      <c r="O2314" s="9" t="s">
        <v>25252</v>
      </c>
      <c r="P2314" s="9" t="s">
        <v>17748</v>
      </c>
      <c r="Q2314" s="11" t="s">
        <v>17792</v>
      </c>
      <c r="R2314" s="11" t="s">
        <v>17792</v>
      </c>
      <c r="S2314" s="11" t="s">
        <v>17750</v>
      </c>
    </row>
    <row r="2315" spans="1:19" x14ac:dyDescent="0.2">
      <c r="A2315" s="11" t="s">
        <v>31271</v>
      </c>
      <c r="B2315" s="9" t="s">
        <v>31272</v>
      </c>
      <c r="C2315" s="9" t="s">
        <v>31273</v>
      </c>
      <c r="D2315" s="9" t="s">
        <v>31274</v>
      </c>
      <c r="E2315" s="9" t="s">
        <v>17740</v>
      </c>
      <c r="F2315" s="9" t="s">
        <v>31275</v>
      </c>
      <c r="G2315" s="9" t="s">
        <v>17740</v>
      </c>
      <c r="H2315" s="11" t="s">
        <v>16716</v>
      </c>
      <c r="I2315" s="11" t="s">
        <v>16715</v>
      </c>
      <c r="J2315" s="11" t="s">
        <v>16716</v>
      </c>
      <c r="K2315" s="9" t="s">
        <v>3358</v>
      </c>
      <c r="L2315" s="9" t="s">
        <v>17759</v>
      </c>
      <c r="M2315" s="9" t="s">
        <v>20490</v>
      </c>
      <c r="N2315" s="9" t="s">
        <v>17746</v>
      </c>
      <c r="O2315" s="9" t="s">
        <v>3355</v>
      </c>
      <c r="P2315" s="9" t="s">
        <v>17748</v>
      </c>
      <c r="Q2315" s="11" t="s">
        <v>17917</v>
      </c>
      <c r="R2315" s="11" t="s">
        <v>17917</v>
      </c>
      <c r="S2315" s="11" t="s">
        <v>17750</v>
      </c>
    </row>
    <row r="2316" spans="1:19" x14ac:dyDescent="0.2">
      <c r="A2316" s="11" t="s">
        <v>31276</v>
      </c>
      <c r="B2316" s="9" t="s">
        <v>31277</v>
      </c>
      <c r="C2316" s="9" t="s">
        <v>31278</v>
      </c>
      <c r="D2316" s="9" t="s">
        <v>31279</v>
      </c>
      <c r="E2316" s="9" t="s">
        <v>17740</v>
      </c>
      <c r="F2316" s="9" t="s">
        <v>17741</v>
      </c>
      <c r="G2316" s="9" t="s">
        <v>17740</v>
      </c>
      <c r="H2316" s="11" t="s">
        <v>17741</v>
      </c>
      <c r="I2316" s="11" t="s">
        <v>31280</v>
      </c>
      <c r="J2316" s="11" t="s">
        <v>31280</v>
      </c>
      <c r="K2316" s="9" t="s">
        <v>19154</v>
      </c>
      <c r="L2316" s="9" t="s">
        <v>17759</v>
      </c>
      <c r="M2316" s="9" t="s">
        <v>17817</v>
      </c>
      <c r="N2316" s="9" t="s">
        <v>17746</v>
      </c>
      <c r="O2316" s="9" t="s">
        <v>17857</v>
      </c>
      <c r="P2316" s="9" t="s">
        <v>17748</v>
      </c>
      <c r="Q2316" s="11" t="s">
        <v>19026</v>
      </c>
      <c r="R2316" s="11" t="s">
        <v>19026</v>
      </c>
      <c r="S2316" s="11" t="s">
        <v>17750</v>
      </c>
    </row>
    <row r="2317" spans="1:19" x14ac:dyDescent="0.2">
      <c r="A2317" s="11" t="s">
        <v>31281</v>
      </c>
      <c r="B2317" s="9" t="s">
        <v>31282</v>
      </c>
      <c r="C2317" s="9" t="s">
        <v>31283</v>
      </c>
      <c r="D2317" s="9" t="s">
        <v>31284</v>
      </c>
      <c r="E2317" s="9" t="s">
        <v>17740</v>
      </c>
      <c r="F2317" s="9" t="s">
        <v>31285</v>
      </c>
      <c r="G2317" s="9" t="s">
        <v>17740</v>
      </c>
      <c r="H2317" s="11" t="s">
        <v>17741</v>
      </c>
      <c r="I2317" s="11" t="s">
        <v>31286</v>
      </c>
      <c r="J2317" s="11" t="s">
        <v>31286</v>
      </c>
      <c r="K2317" s="9" t="s">
        <v>3415</v>
      </c>
      <c r="L2317" s="9" t="s">
        <v>17759</v>
      </c>
      <c r="M2317" s="9" t="s">
        <v>18890</v>
      </c>
      <c r="N2317" s="9" t="s">
        <v>17746</v>
      </c>
      <c r="O2317" s="9" t="s">
        <v>25252</v>
      </c>
      <c r="P2317" s="9" t="s">
        <v>17748</v>
      </c>
      <c r="Q2317" s="11" t="s">
        <v>19361</v>
      </c>
      <c r="R2317" s="11" t="s">
        <v>19361</v>
      </c>
      <c r="S2317" s="11" t="s">
        <v>17750</v>
      </c>
    </row>
    <row r="2318" spans="1:19" x14ac:dyDescent="0.2">
      <c r="A2318" s="11" t="s">
        <v>31287</v>
      </c>
      <c r="B2318" s="9" t="s">
        <v>31288</v>
      </c>
      <c r="C2318" s="9" t="s">
        <v>31289</v>
      </c>
      <c r="D2318" s="9" t="s">
        <v>31290</v>
      </c>
      <c r="E2318" s="9" t="s">
        <v>17740</v>
      </c>
      <c r="F2318" s="9" t="s">
        <v>31291</v>
      </c>
      <c r="G2318" s="9" t="s">
        <v>17740</v>
      </c>
      <c r="H2318" s="11" t="s">
        <v>31292</v>
      </c>
      <c r="I2318" s="11" t="s">
        <v>31293</v>
      </c>
      <c r="J2318" s="11" t="s">
        <v>31293</v>
      </c>
      <c r="K2318" s="9" t="s">
        <v>689</v>
      </c>
      <c r="L2318" s="9" t="s">
        <v>17759</v>
      </c>
      <c r="M2318" s="9" t="s">
        <v>31294</v>
      </c>
      <c r="N2318" s="9" t="s">
        <v>17746</v>
      </c>
      <c r="O2318" s="9" t="s">
        <v>25252</v>
      </c>
      <c r="P2318" s="9" t="s">
        <v>17748</v>
      </c>
      <c r="Q2318" s="11" t="s">
        <v>20021</v>
      </c>
      <c r="R2318" s="11" t="s">
        <v>20021</v>
      </c>
      <c r="S2318" s="11" t="s">
        <v>17750</v>
      </c>
    </row>
    <row r="2319" spans="1:19" x14ac:dyDescent="0.2">
      <c r="A2319" s="11" t="s">
        <v>31295</v>
      </c>
      <c r="B2319" s="9" t="s">
        <v>31296</v>
      </c>
      <c r="C2319" s="9" t="s">
        <v>31297</v>
      </c>
      <c r="D2319" s="9" t="s">
        <v>31298</v>
      </c>
      <c r="E2319" s="9" t="s">
        <v>17748</v>
      </c>
      <c r="F2319" s="9" t="s">
        <v>31299</v>
      </c>
      <c r="G2319" s="9" t="s">
        <v>17740</v>
      </c>
      <c r="H2319" s="11" t="s">
        <v>17741</v>
      </c>
      <c r="I2319" s="11" t="s">
        <v>31300</v>
      </c>
      <c r="J2319" s="11" t="s">
        <v>31300</v>
      </c>
      <c r="K2319" s="9" t="s">
        <v>30676</v>
      </c>
      <c r="L2319" s="9" t="s">
        <v>17759</v>
      </c>
      <c r="M2319" s="9" t="s">
        <v>18109</v>
      </c>
      <c r="N2319" s="9" t="s">
        <v>17746</v>
      </c>
      <c r="O2319" s="9" t="s">
        <v>17857</v>
      </c>
      <c r="P2319" s="9" t="s">
        <v>17748</v>
      </c>
      <c r="Q2319" s="11" t="s">
        <v>17792</v>
      </c>
      <c r="R2319" s="11" t="s">
        <v>17792</v>
      </c>
      <c r="S2319" s="11" t="s">
        <v>17750</v>
      </c>
    </row>
    <row r="2320" spans="1:19" x14ac:dyDescent="0.2">
      <c r="A2320" s="11" t="s">
        <v>31301</v>
      </c>
      <c r="B2320" s="9" t="s">
        <v>31302</v>
      </c>
      <c r="C2320" s="9" t="s">
        <v>31303</v>
      </c>
      <c r="D2320" s="9" t="s">
        <v>31304</v>
      </c>
      <c r="E2320" s="9" t="s">
        <v>17740</v>
      </c>
      <c r="F2320" s="9" t="s">
        <v>17741</v>
      </c>
      <c r="G2320" s="9" t="s">
        <v>17740</v>
      </c>
      <c r="H2320" s="11" t="s">
        <v>8324</v>
      </c>
      <c r="I2320" s="11" t="s">
        <v>8323</v>
      </c>
      <c r="J2320" s="11" t="s">
        <v>8323</v>
      </c>
      <c r="K2320" s="9" t="s">
        <v>3029</v>
      </c>
      <c r="L2320" s="9" t="s">
        <v>17744</v>
      </c>
      <c r="M2320" s="9" t="s">
        <v>31305</v>
      </c>
      <c r="N2320" s="9" t="s">
        <v>17746</v>
      </c>
      <c r="O2320" s="9" t="s">
        <v>1675</v>
      </c>
      <c r="P2320" s="9" t="s">
        <v>17748</v>
      </c>
      <c r="Q2320" s="11" t="s">
        <v>18356</v>
      </c>
      <c r="R2320" s="11" t="s">
        <v>18356</v>
      </c>
      <c r="S2320" s="11" t="s">
        <v>17750</v>
      </c>
    </row>
    <row r="2321" spans="1:19" x14ac:dyDescent="0.2">
      <c r="A2321" s="11" t="s">
        <v>31306</v>
      </c>
      <c r="B2321" s="9" t="s">
        <v>31307</v>
      </c>
      <c r="C2321" s="9" t="s">
        <v>31308</v>
      </c>
      <c r="D2321" s="9" t="s">
        <v>31309</v>
      </c>
      <c r="E2321" s="9" t="s">
        <v>17740</v>
      </c>
      <c r="F2321" s="9" t="s">
        <v>17741</v>
      </c>
      <c r="G2321" s="9" t="s">
        <v>17740</v>
      </c>
      <c r="H2321" s="11" t="s">
        <v>31310</v>
      </c>
      <c r="I2321" s="11" t="s">
        <v>17741</v>
      </c>
      <c r="J2321" s="11" t="s">
        <v>31310</v>
      </c>
      <c r="K2321" s="9" t="s">
        <v>31311</v>
      </c>
      <c r="L2321" s="9" t="s">
        <v>17759</v>
      </c>
      <c r="M2321" s="9" t="s">
        <v>17942</v>
      </c>
      <c r="N2321" s="9" t="s">
        <v>17746</v>
      </c>
      <c r="O2321" s="9" t="s">
        <v>19147</v>
      </c>
      <c r="P2321" s="9" t="s">
        <v>17748</v>
      </c>
      <c r="Q2321" s="11" t="s">
        <v>18798</v>
      </c>
      <c r="R2321" s="11" t="s">
        <v>18798</v>
      </c>
      <c r="S2321" s="11" t="s">
        <v>17750</v>
      </c>
    </row>
    <row r="2322" spans="1:19" x14ac:dyDescent="0.2">
      <c r="A2322" s="11" t="s">
        <v>31312</v>
      </c>
      <c r="B2322" s="9" t="s">
        <v>31313</v>
      </c>
      <c r="C2322" s="9" t="s">
        <v>31314</v>
      </c>
      <c r="D2322" s="9" t="s">
        <v>31315</v>
      </c>
      <c r="E2322" s="9" t="s">
        <v>17740</v>
      </c>
      <c r="F2322" s="9" t="s">
        <v>31316</v>
      </c>
      <c r="G2322" s="9" t="s">
        <v>17740</v>
      </c>
      <c r="H2322" s="11" t="s">
        <v>17741</v>
      </c>
      <c r="I2322" s="11" t="s">
        <v>31317</v>
      </c>
      <c r="J2322" s="11" t="s">
        <v>17741</v>
      </c>
      <c r="K2322" s="9" t="s">
        <v>31318</v>
      </c>
      <c r="L2322" s="9" t="s">
        <v>17950</v>
      </c>
      <c r="M2322" s="9" t="s">
        <v>25653</v>
      </c>
      <c r="N2322" s="9" t="s">
        <v>22152</v>
      </c>
      <c r="O2322" s="9" t="s">
        <v>17800</v>
      </c>
      <c r="P2322" s="9" t="s">
        <v>17748</v>
      </c>
      <c r="Q2322" s="11" t="s">
        <v>17969</v>
      </c>
      <c r="R2322" s="11" t="s">
        <v>17969</v>
      </c>
      <c r="S2322" s="11" t="s">
        <v>17750</v>
      </c>
    </row>
    <row r="2323" spans="1:19" x14ac:dyDescent="0.2">
      <c r="A2323" s="11" t="s">
        <v>31319</v>
      </c>
      <c r="B2323" s="9" t="s">
        <v>31320</v>
      </c>
      <c r="C2323" s="9" t="s">
        <v>31321</v>
      </c>
      <c r="D2323" s="9" t="s">
        <v>31322</v>
      </c>
      <c r="E2323" s="9" t="s">
        <v>17740</v>
      </c>
      <c r="F2323" s="9" t="s">
        <v>17741</v>
      </c>
      <c r="G2323" s="9" t="s">
        <v>17740</v>
      </c>
      <c r="H2323" s="11" t="s">
        <v>17741</v>
      </c>
      <c r="I2323" s="11" t="s">
        <v>31323</v>
      </c>
      <c r="J2323" s="11" t="s">
        <v>31323</v>
      </c>
      <c r="K2323" s="9" t="s">
        <v>31324</v>
      </c>
      <c r="L2323" s="9" t="s">
        <v>17958</v>
      </c>
      <c r="M2323" s="9" t="s">
        <v>17760</v>
      </c>
      <c r="N2323" s="9" t="s">
        <v>22152</v>
      </c>
      <c r="O2323" s="9" t="s">
        <v>18340</v>
      </c>
      <c r="P2323" s="9" t="s">
        <v>17748</v>
      </c>
      <c r="Q2323" s="11" t="s">
        <v>17978</v>
      </c>
      <c r="R2323" s="11" t="s">
        <v>17978</v>
      </c>
      <c r="S2323" s="11" t="s">
        <v>17750</v>
      </c>
    </row>
    <row r="2324" spans="1:19" x14ac:dyDescent="0.2">
      <c r="A2324" s="11" t="s">
        <v>31325</v>
      </c>
      <c r="B2324" s="9" t="s">
        <v>31326</v>
      </c>
      <c r="C2324" s="9" t="s">
        <v>31327</v>
      </c>
      <c r="D2324" s="9" t="s">
        <v>31328</v>
      </c>
      <c r="E2324" s="9" t="s">
        <v>17740</v>
      </c>
      <c r="F2324" s="9" t="s">
        <v>17741</v>
      </c>
      <c r="G2324" s="9" t="s">
        <v>17740</v>
      </c>
      <c r="H2324" s="11" t="s">
        <v>17741</v>
      </c>
      <c r="I2324" s="11" t="s">
        <v>31329</v>
      </c>
      <c r="J2324" s="11" t="s">
        <v>31329</v>
      </c>
      <c r="K2324" s="9" t="s">
        <v>31330</v>
      </c>
      <c r="L2324" s="9" t="s">
        <v>17958</v>
      </c>
      <c r="M2324" s="9" t="s">
        <v>17769</v>
      </c>
      <c r="N2324" s="9" t="s">
        <v>22152</v>
      </c>
      <c r="O2324" s="9" t="s">
        <v>20453</v>
      </c>
      <c r="P2324" s="9" t="s">
        <v>17748</v>
      </c>
      <c r="Q2324" s="11" t="s">
        <v>19335</v>
      </c>
      <c r="R2324" s="11" t="s">
        <v>19335</v>
      </c>
      <c r="S2324" s="11" t="s">
        <v>17750</v>
      </c>
    </row>
    <row r="2325" spans="1:19" x14ac:dyDescent="0.2">
      <c r="A2325" s="11" t="s">
        <v>31331</v>
      </c>
      <c r="B2325" s="9" t="s">
        <v>31332</v>
      </c>
      <c r="C2325" s="9" t="s">
        <v>31333</v>
      </c>
      <c r="D2325" s="9" t="s">
        <v>31334</v>
      </c>
      <c r="E2325" s="9" t="s">
        <v>17740</v>
      </c>
      <c r="F2325" s="9" t="s">
        <v>31335</v>
      </c>
      <c r="G2325" s="9" t="s">
        <v>17740</v>
      </c>
      <c r="H2325" s="11" t="s">
        <v>5171</v>
      </c>
      <c r="I2325" s="11" t="s">
        <v>5170</v>
      </c>
      <c r="J2325" s="11" t="s">
        <v>5170</v>
      </c>
      <c r="K2325" s="9" t="s">
        <v>21721</v>
      </c>
      <c r="L2325" s="9" t="s">
        <v>17744</v>
      </c>
      <c r="M2325" s="9" t="s">
        <v>27672</v>
      </c>
      <c r="N2325" s="9" t="s">
        <v>17746</v>
      </c>
      <c r="O2325" s="9" t="s">
        <v>4009</v>
      </c>
      <c r="P2325" s="9" t="s">
        <v>17748</v>
      </c>
      <c r="Q2325" s="11" t="s">
        <v>17749</v>
      </c>
      <c r="R2325" s="11" t="s">
        <v>17749</v>
      </c>
      <c r="S2325" s="11" t="s">
        <v>17750</v>
      </c>
    </row>
    <row r="2326" spans="1:19" x14ac:dyDescent="0.2">
      <c r="A2326" s="11" t="s">
        <v>31336</v>
      </c>
      <c r="B2326" s="9" t="s">
        <v>31337</v>
      </c>
      <c r="C2326" s="9" t="s">
        <v>31338</v>
      </c>
      <c r="D2326" s="9" t="s">
        <v>31339</v>
      </c>
      <c r="E2326" s="9" t="s">
        <v>17748</v>
      </c>
      <c r="F2326" s="9" t="s">
        <v>31340</v>
      </c>
      <c r="G2326" s="9" t="s">
        <v>17740</v>
      </c>
      <c r="H2326" s="11" t="s">
        <v>7483</v>
      </c>
      <c r="I2326" s="11" t="s">
        <v>7482</v>
      </c>
      <c r="J2326" s="11" t="s">
        <v>7482</v>
      </c>
      <c r="K2326" s="9" t="s">
        <v>920</v>
      </c>
      <c r="L2326" s="9" t="s">
        <v>18001</v>
      </c>
      <c r="M2326" s="9" t="s">
        <v>17760</v>
      </c>
      <c r="N2326" s="9" t="s">
        <v>17746</v>
      </c>
      <c r="O2326" s="9" t="s">
        <v>18882</v>
      </c>
      <c r="P2326" s="9" t="s">
        <v>17748</v>
      </c>
      <c r="Q2326" s="11" t="s">
        <v>18272</v>
      </c>
      <c r="R2326" s="11" t="s">
        <v>18272</v>
      </c>
      <c r="S2326" s="11" t="s">
        <v>17750</v>
      </c>
    </row>
    <row r="2327" spans="1:19" x14ac:dyDescent="0.2">
      <c r="A2327" s="11" t="s">
        <v>31341</v>
      </c>
      <c r="B2327" s="9" t="s">
        <v>31342</v>
      </c>
      <c r="C2327" s="9" t="s">
        <v>31343</v>
      </c>
      <c r="D2327" s="9" t="s">
        <v>31344</v>
      </c>
      <c r="E2327" s="9" t="s">
        <v>17740</v>
      </c>
      <c r="F2327" s="9" t="s">
        <v>17741</v>
      </c>
      <c r="G2327" s="9" t="s">
        <v>17740</v>
      </c>
      <c r="H2327" s="11" t="s">
        <v>31345</v>
      </c>
      <c r="I2327" s="11" t="s">
        <v>31346</v>
      </c>
      <c r="J2327" s="11" t="s">
        <v>31346</v>
      </c>
      <c r="K2327" s="9" t="s">
        <v>31347</v>
      </c>
      <c r="L2327" s="9" t="s">
        <v>17759</v>
      </c>
      <c r="M2327" s="9" t="s">
        <v>31348</v>
      </c>
      <c r="N2327" s="9" t="s">
        <v>17746</v>
      </c>
      <c r="O2327" s="9" t="s">
        <v>17977</v>
      </c>
      <c r="P2327" s="9" t="s">
        <v>17748</v>
      </c>
      <c r="Q2327" s="11" t="s">
        <v>18139</v>
      </c>
      <c r="R2327" s="11" t="s">
        <v>18139</v>
      </c>
      <c r="S2327" s="11" t="s">
        <v>17750</v>
      </c>
    </row>
    <row r="2328" spans="1:19" x14ac:dyDescent="0.2">
      <c r="A2328" s="11" t="s">
        <v>31349</v>
      </c>
      <c r="B2328" s="9" t="s">
        <v>31350</v>
      </c>
      <c r="C2328" s="9" t="s">
        <v>31351</v>
      </c>
      <c r="D2328" s="9" t="s">
        <v>31352</v>
      </c>
      <c r="E2328" s="9" t="s">
        <v>17740</v>
      </c>
      <c r="F2328" s="9" t="s">
        <v>17741</v>
      </c>
      <c r="G2328" s="9" t="s">
        <v>17740</v>
      </c>
      <c r="H2328" s="11" t="s">
        <v>6398</v>
      </c>
      <c r="I2328" s="11" t="s">
        <v>6397</v>
      </c>
      <c r="J2328" s="11" t="s">
        <v>6397</v>
      </c>
      <c r="K2328" s="9" t="s">
        <v>19094</v>
      </c>
      <c r="L2328" s="9" t="s">
        <v>17759</v>
      </c>
      <c r="M2328" s="9" t="s">
        <v>17778</v>
      </c>
      <c r="N2328" s="9" t="s">
        <v>17746</v>
      </c>
      <c r="O2328" s="9" t="s">
        <v>903</v>
      </c>
      <c r="P2328" s="9" t="s">
        <v>17748</v>
      </c>
      <c r="Q2328" s="11" t="s">
        <v>17792</v>
      </c>
      <c r="R2328" s="11" t="s">
        <v>17792</v>
      </c>
      <c r="S2328" s="11" t="s">
        <v>17750</v>
      </c>
    </row>
    <row r="2329" spans="1:19" x14ac:dyDescent="0.2">
      <c r="A2329" s="11" t="s">
        <v>31353</v>
      </c>
      <c r="B2329" s="9" t="s">
        <v>31354</v>
      </c>
      <c r="C2329" s="9" t="s">
        <v>31355</v>
      </c>
      <c r="D2329" s="9" t="s">
        <v>31356</v>
      </c>
      <c r="E2329" s="9" t="s">
        <v>17740</v>
      </c>
      <c r="F2329" s="9" t="s">
        <v>17741</v>
      </c>
      <c r="G2329" s="9" t="s">
        <v>17740</v>
      </c>
      <c r="H2329" s="11" t="s">
        <v>11870</v>
      </c>
      <c r="I2329" s="11" t="s">
        <v>11869</v>
      </c>
      <c r="J2329" s="11" t="s">
        <v>11869</v>
      </c>
      <c r="K2329" s="9" t="s">
        <v>17783</v>
      </c>
      <c r="L2329" s="9" t="s">
        <v>18242</v>
      </c>
      <c r="M2329" s="9" t="s">
        <v>17760</v>
      </c>
      <c r="N2329" s="9" t="s">
        <v>17746</v>
      </c>
      <c r="O2329" s="9" t="s">
        <v>18125</v>
      </c>
      <c r="P2329" s="9" t="s">
        <v>17748</v>
      </c>
      <c r="Q2329" s="11" t="s">
        <v>18678</v>
      </c>
      <c r="R2329" s="11" t="s">
        <v>18678</v>
      </c>
      <c r="S2329" s="11" t="s">
        <v>17750</v>
      </c>
    </row>
    <row r="2330" spans="1:19" x14ac:dyDescent="0.2">
      <c r="A2330" s="11" t="s">
        <v>31357</v>
      </c>
      <c r="B2330" s="9" t="s">
        <v>31358</v>
      </c>
      <c r="C2330" s="9" t="s">
        <v>31359</v>
      </c>
      <c r="D2330" s="9" t="s">
        <v>31360</v>
      </c>
      <c r="E2330" s="9" t="s">
        <v>17740</v>
      </c>
      <c r="F2330" s="9" t="s">
        <v>17741</v>
      </c>
      <c r="G2330" s="9" t="s">
        <v>17740</v>
      </c>
      <c r="H2330" s="11" t="s">
        <v>31361</v>
      </c>
      <c r="I2330" s="11" t="s">
        <v>31362</v>
      </c>
      <c r="J2330" s="11" t="s">
        <v>31362</v>
      </c>
      <c r="K2330" s="9" t="s">
        <v>31363</v>
      </c>
      <c r="L2330" s="9" t="s">
        <v>17759</v>
      </c>
      <c r="M2330" s="9" t="s">
        <v>17760</v>
      </c>
      <c r="N2330" s="9" t="s">
        <v>17746</v>
      </c>
      <c r="O2330" s="9" t="s">
        <v>18514</v>
      </c>
      <c r="P2330" s="9" t="s">
        <v>17748</v>
      </c>
      <c r="Q2330" s="11" t="s">
        <v>18805</v>
      </c>
      <c r="R2330" s="11" t="s">
        <v>18805</v>
      </c>
      <c r="S2330" s="11" t="s">
        <v>17750</v>
      </c>
    </row>
    <row r="2331" spans="1:19" x14ac:dyDescent="0.2">
      <c r="A2331" s="11" t="s">
        <v>31364</v>
      </c>
      <c r="B2331" s="9" t="s">
        <v>31365</v>
      </c>
      <c r="C2331" s="9" t="s">
        <v>31366</v>
      </c>
      <c r="D2331" s="9" t="s">
        <v>31367</v>
      </c>
      <c r="E2331" s="9" t="s">
        <v>17740</v>
      </c>
      <c r="F2331" s="9" t="s">
        <v>31368</v>
      </c>
      <c r="G2331" s="9" t="s">
        <v>17740</v>
      </c>
      <c r="H2331" s="11" t="s">
        <v>8011</v>
      </c>
      <c r="I2331" s="11" t="s">
        <v>8010</v>
      </c>
      <c r="J2331" s="11" t="s">
        <v>8010</v>
      </c>
      <c r="K2331" s="9" t="s">
        <v>291</v>
      </c>
      <c r="L2331" s="9" t="s">
        <v>17744</v>
      </c>
      <c r="M2331" s="9" t="s">
        <v>31369</v>
      </c>
      <c r="N2331" s="9" t="s">
        <v>17746</v>
      </c>
      <c r="O2331" s="9" t="s">
        <v>19067</v>
      </c>
      <c r="P2331" s="9" t="s">
        <v>17748</v>
      </c>
      <c r="Q2331" s="11" t="s">
        <v>18798</v>
      </c>
      <c r="R2331" s="11" t="s">
        <v>18798</v>
      </c>
      <c r="S2331" s="11" t="s">
        <v>17750</v>
      </c>
    </row>
    <row r="2332" spans="1:19" x14ac:dyDescent="0.2">
      <c r="A2332" s="11" t="s">
        <v>31370</v>
      </c>
      <c r="B2332" s="9" t="s">
        <v>31371</v>
      </c>
      <c r="C2332" s="9" t="s">
        <v>31372</v>
      </c>
      <c r="D2332" s="9" t="s">
        <v>31373</v>
      </c>
      <c r="E2332" s="9" t="s">
        <v>17740</v>
      </c>
      <c r="F2332" s="9" t="s">
        <v>31374</v>
      </c>
      <c r="G2332" s="9" t="s">
        <v>17740</v>
      </c>
      <c r="H2332" s="11" t="s">
        <v>5701</v>
      </c>
      <c r="I2332" s="11" t="s">
        <v>5700</v>
      </c>
      <c r="J2332" s="11" t="s">
        <v>5700</v>
      </c>
      <c r="K2332" s="9" t="s">
        <v>31375</v>
      </c>
      <c r="L2332" s="9" t="s">
        <v>17759</v>
      </c>
      <c r="M2332" s="9" t="s">
        <v>24588</v>
      </c>
      <c r="N2332" s="9" t="s">
        <v>17746</v>
      </c>
      <c r="O2332" s="9" t="s">
        <v>26479</v>
      </c>
      <c r="P2332" s="9" t="s">
        <v>17748</v>
      </c>
      <c r="Q2332" s="11" t="s">
        <v>17749</v>
      </c>
      <c r="R2332" s="11" t="s">
        <v>17749</v>
      </c>
      <c r="S2332" s="11" t="s">
        <v>17750</v>
      </c>
    </row>
    <row r="2333" spans="1:19" x14ac:dyDescent="0.2">
      <c r="A2333" s="11" t="s">
        <v>31376</v>
      </c>
      <c r="B2333" s="9" t="s">
        <v>31377</v>
      </c>
      <c r="C2333" s="9" t="s">
        <v>31378</v>
      </c>
      <c r="D2333" s="9" t="s">
        <v>31379</v>
      </c>
      <c r="E2333" s="9" t="s">
        <v>17740</v>
      </c>
      <c r="F2333" s="9" t="s">
        <v>31380</v>
      </c>
      <c r="G2333" s="9" t="s">
        <v>17740</v>
      </c>
      <c r="H2333" s="11" t="s">
        <v>16654</v>
      </c>
      <c r="I2333" s="11" t="s">
        <v>16653</v>
      </c>
      <c r="J2333" s="11" t="s">
        <v>17741</v>
      </c>
      <c r="K2333" s="9" t="s">
        <v>19202</v>
      </c>
      <c r="L2333" s="9" t="s">
        <v>17759</v>
      </c>
      <c r="M2333" s="9" t="s">
        <v>17769</v>
      </c>
      <c r="N2333" s="9" t="s">
        <v>17746</v>
      </c>
      <c r="O2333" s="9" t="s">
        <v>26479</v>
      </c>
      <c r="P2333" s="9" t="s">
        <v>17748</v>
      </c>
      <c r="Q2333" s="11" t="s">
        <v>17923</v>
      </c>
      <c r="R2333" s="11" t="s">
        <v>17923</v>
      </c>
      <c r="S2333" s="11" t="s">
        <v>17750</v>
      </c>
    </row>
    <row r="2334" spans="1:19" x14ac:dyDescent="0.2">
      <c r="A2334" s="11" t="s">
        <v>31381</v>
      </c>
      <c r="B2334" s="9" t="s">
        <v>31382</v>
      </c>
      <c r="C2334" s="9" t="s">
        <v>31383</v>
      </c>
      <c r="D2334" s="9" t="s">
        <v>31384</v>
      </c>
      <c r="E2334" s="9" t="s">
        <v>17740</v>
      </c>
      <c r="F2334" s="9" t="s">
        <v>17741</v>
      </c>
      <c r="G2334" s="9" t="s">
        <v>17740</v>
      </c>
      <c r="H2334" s="11" t="s">
        <v>17496</v>
      </c>
      <c r="I2334" s="11" t="s">
        <v>17495</v>
      </c>
      <c r="J2334" s="11" t="s">
        <v>17495</v>
      </c>
      <c r="K2334" s="9" t="s">
        <v>17741</v>
      </c>
      <c r="L2334" s="9" t="s">
        <v>17759</v>
      </c>
      <c r="M2334" s="9" t="s">
        <v>17760</v>
      </c>
      <c r="N2334" s="9" t="s">
        <v>17746</v>
      </c>
      <c r="O2334" s="9" t="s">
        <v>26479</v>
      </c>
      <c r="P2334" s="9" t="s">
        <v>17748</v>
      </c>
      <c r="Q2334" s="11" t="s">
        <v>18089</v>
      </c>
      <c r="R2334" s="11" t="s">
        <v>18089</v>
      </c>
      <c r="S2334" s="11" t="s">
        <v>17750</v>
      </c>
    </row>
    <row r="2335" spans="1:19" x14ac:dyDescent="0.2">
      <c r="A2335" s="11" t="s">
        <v>31385</v>
      </c>
      <c r="B2335" s="9" t="s">
        <v>31386</v>
      </c>
      <c r="C2335" s="9" t="s">
        <v>31387</v>
      </c>
      <c r="D2335" s="9" t="s">
        <v>31388</v>
      </c>
      <c r="E2335" s="9" t="s">
        <v>17740</v>
      </c>
      <c r="F2335" s="9" t="s">
        <v>31389</v>
      </c>
      <c r="G2335" s="9" t="s">
        <v>17740</v>
      </c>
      <c r="H2335" s="11" t="s">
        <v>1848</v>
      </c>
      <c r="I2335" s="11" t="s">
        <v>1847</v>
      </c>
      <c r="J2335" s="11" t="s">
        <v>1847</v>
      </c>
      <c r="K2335" s="9" t="s">
        <v>167</v>
      </c>
      <c r="L2335" s="9" t="s">
        <v>18158</v>
      </c>
      <c r="M2335" s="9" t="s">
        <v>31390</v>
      </c>
      <c r="N2335" s="9" t="s">
        <v>17746</v>
      </c>
      <c r="O2335" s="9" t="s">
        <v>18846</v>
      </c>
      <c r="P2335" s="9" t="s">
        <v>17748</v>
      </c>
      <c r="Q2335" s="11" t="s">
        <v>19026</v>
      </c>
      <c r="R2335" s="11" t="s">
        <v>19026</v>
      </c>
      <c r="S2335" s="11" t="s">
        <v>17750</v>
      </c>
    </row>
    <row r="2336" spans="1:19" x14ac:dyDescent="0.2">
      <c r="A2336" s="11" t="s">
        <v>31391</v>
      </c>
      <c r="B2336" s="9" t="s">
        <v>31392</v>
      </c>
      <c r="C2336" s="9" t="s">
        <v>31393</v>
      </c>
      <c r="D2336" s="9" t="s">
        <v>31394</v>
      </c>
      <c r="E2336" s="9" t="s">
        <v>17740</v>
      </c>
      <c r="F2336" s="9" t="s">
        <v>17741</v>
      </c>
      <c r="G2336" s="9" t="s">
        <v>17740</v>
      </c>
      <c r="H2336" s="11" t="s">
        <v>10602</v>
      </c>
      <c r="I2336" s="11" t="s">
        <v>10601</v>
      </c>
      <c r="J2336" s="11" t="s">
        <v>10601</v>
      </c>
      <c r="K2336" s="9" t="s">
        <v>18570</v>
      </c>
      <c r="L2336" s="9" t="s">
        <v>17744</v>
      </c>
      <c r="M2336" s="9" t="s">
        <v>31395</v>
      </c>
      <c r="N2336" s="9" t="s">
        <v>17746</v>
      </c>
      <c r="O2336" s="9" t="s">
        <v>1690</v>
      </c>
      <c r="P2336" s="9" t="s">
        <v>17748</v>
      </c>
      <c r="Q2336" s="11" t="s">
        <v>17858</v>
      </c>
      <c r="R2336" s="11" t="s">
        <v>17858</v>
      </c>
      <c r="S2336" s="11" t="s">
        <v>17750</v>
      </c>
    </row>
    <row r="2337" spans="1:19" x14ac:dyDescent="0.2">
      <c r="A2337" s="11" t="s">
        <v>31396</v>
      </c>
      <c r="B2337" s="9" t="s">
        <v>31397</v>
      </c>
      <c r="C2337" s="9" t="s">
        <v>31398</v>
      </c>
      <c r="D2337" s="9" t="s">
        <v>31399</v>
      </c>
      <c r="E2337" s="9" t="s">
        <v>17740</v>
      </c>
      <c r="F2337" s="9" t="s">
        <v>31400</v>
      </c>
      <c r="G2337" s="9" t="s">
        <v>17740</v>
      </c>
      <c r="H2337" s="11" t="s">
        <v>1851</v>
      </c>
      <c r="I2337" s="11" t="s">
        <v>1850</v>
      </c>
      <c r="J2337" s="11" t="s">
        <v>1850</v>
      </c>
      <c r="K2337" s="9" t="s">
        <v>18176</v>
      </c>
      <c r="L2337" s="9" t="s">
        <v>18123</v>
      </c>
      <c r="M2337" s="9" t="s">
        <v>31401</v>
      </c>
      <c r="N2337" s="9" t="s">
        <v>17746</v>
      </c>
      <c r="O2337" s="9" t="s">
        <v>18846</v>
      </c>
      <c r="P2337" s="9" t="s">
        <v>17748</v>
      </c>
      <c r="Q2337" s="11" t="s">
        <v>17867</v>
      </c>
      <c r="R2337" s="11" t="s">
        <v>17867</v>
      </c>
      <c r="S2337" s="11" t="s">
        <v>17750</v>
      </c>
    </row>
    <row r="2338" spans="1:19" x14ac:dyDescent="0.2">
      <c r="A2338" s="11" t="s">
        <v>31402</v>
      </c>
      <c r="B2338" s="9" t="s">
        <v>31403</v>
      </c>
      <c r="C2338" s="9" t="s">
        <v>31404</v>
      </c>
      <c r="D2338" s="9" t="s">
        <v>31405</v>
      </c>
      <c r="E2338" s="9" t="s">
        <v>17740</v>
      </c>
      <c r="F2338" s="9" t="s">
        <v>17741</v>
      </c>
      <c r="G2338" s="9" t="s">
        <v>17740</v>
      </c>
      <c r="H2338" s="11" t="s">
        <v>1854</v>
      </c>
      <c r="I2338" s="11" t="s">
        <v>1853</v>
      </c>
      <c r="J2338" s="11" t="s">
        <v>1853</v>
      </c>
      <c r="K2338" s="9" t="s">
        <v>29921</v>
      </c>
      <c r="L2338" s="9" t="s">
        <v>17759</v>
      </c>
      <c r="M2338" s="9" t="s">
        <v>17817</v>
      </c>
      <c r="N2338" s="9" t="s">
        <v>17746</v>
      </c>
      <c r="O2338" s="9" t="s">
        <v>18882</v>
      </c>
      <c r="P2338" s="9" t="s">
        <v>17748</v>
      </c>
      <c r="Q2338" s="11" t="s">
        <v>19222</v>
      </c>
      <c r="R2338" s="11" t="s">
        <v>19222</v>
      </c>
      <c r="S2338" s="11" t="s">
        <v>17750</v>
      </c>
    </row>
    <row r="2339" spans="1:19" x14ac:dyDescent="0.2">
      <c r="A2339" s="11" t="s">
        <v>31406</v>
      </c>
      <c r="B2339" s="9" t="s">
        <v>31407</v>
      </c>
      <c r="C2339" s="9" t="s">
        <v>31408</v>
      </c>
      <c r="D2339" s="9" t="s">
        <v>31409</v>
      </c>
      <c r="E2339" s="9" t="s">
        <v>17740</v>
      </c>
      <c r="F2339" s="9" t="s">
        <v>17741</v>
      </c>
      <c r="G2339" s="9" t="s">
        <v>17740</v>
      </c>
      <c r="H2339" s="11" t="s">
        <v>5640</v>
      </c>
      <c r="I2339" s="11" t="s">
        <v>5639</v>
      </c>
      <c r="J2339" s="11" t="s">
        <v>5639</v>
      </c>
      <c r="K2339" s="9" t="s">
        <v>30259</v>
      </c>
      <c r="L2339" s="9" t="s">
        <v>17744</v>
      </c>
      <c r="M2339" s="9" t="s">
        <v>31410</v>
      </c>
      <c r="N2339" s="9" t="s">
        <v>17746</v>
      </c>
      <c r="O2339" s="9" t="s">
        <v>31411</v>
      </c>
      <c r="P2339" s="9" t="s">
        <v>17748</v>
      </c>
      <c r="Q2339" s="11" t="s">
        <v>18147</v>
      </c>
      <c r="R2339" s="11" t="s">
        <v>18147</v>
      </c>
      <c r="S2339" s="11" t="s">
        <v>17750</v>
      </c>
    </row>
    <row r="2340" spans="1:19" x14ac:dyDescent="0.2">
      <c r="A2340" s="11" t="s">
        <v>31412</v>
      </c>
      <c r="B2340" s="9" t="s">
        <v>31413</v>
      </c>
      <c r="C2340" s="9" t="s">
        <v>31414</v>
      </c>
      <c r="D2340" s="9" t="s">
        <v>31415</v>
      </c>
      <c r="E2340" s="9" t="s">
        <v>17740</v>
      </c>
      <c r="F2340" s="9" t="s">
        <v>17741</v>
      </c>
      <c r="G2340" s="9" t="s">
        <v>17740</v>
      </c>
      <c r="H2340" s="11" t="s">
        <v>1826</v>
      </c>
      <c r="I2340" s="11" t="s">
        <v>1825</v>
      </c>
      <c r="J2340" s="11" t="s">
        <v>1825</v>
      </c>
      <c r="K2340" s="9" t="s">
        <v>30381</v>
      </c>
      <c r="L2340" s="9" t="s">
        <v>18001</v>
      </c>
      <c r="M2340" s="9" t="s">
        <v>18065</v>
      </c>
      <c r="N2340" s="9" t="s">
        <v>17746</v>
      </c>
      <c r="O2340" s="9" t="s">
        <v>18481</v>
      </c>
      <c r="P2340" s="9" t="s">
        <v>17748</v>
      </c>
      <c r="Q2340" s="11" t="s">
        <v>19515</v>
      </c>
      <c r="R2340" s="11" t="s">
        <v>19515</v>
      </c>
      <c r="S2340" s="11" t="s">
        <v>17750</v>
      </c>
    </row>
    <row r="2341" spans="1:19" x14ac:dyDescent="0.2">
      <c r="A2341" s="11" t="s">
        <v>31416</v>
      </c>
      <c r="B2341" s="9" t="s">
        <v>31417</v>
      </c>
      <c r="C2341" s="9" t="s">
        <v>31418</v>
      </c>
      <c r="D2341" s="9" t="s">
        <v>31419</v>
      </c>
      <c r="E2341" s="9" t="s">
        <v>17740</v>
      </c>
      <c r="F2341" s="9" t="s">
        <v>17741</v>
      </c>
      <c r="G2341" s="9" t="s">
        <v>17740</v>
      </c>
      <c r="H2341" s="11" t="s">
        <v>5937</v>
      </c>
      <c r="I2341" s="11" t="s">
        <v>5936</v>
      </c>
      <c r="J2341" s="11" t="s">
        <v>5936</v>
      </c>
      <c r="K2341" s="9" t="s">
        <v>19094</v>
      </c>
      <c r="L2341" s="9" t="s">
        <v>17759</v>
      </c>
      <c r="M2341" s="9" t="s">
        <v>23266</v>
      </c>
      <c r="N2341" s="9" t="s">
        <v>17746</v>
      </c>
      <c r="O2341" s="9" t="s">
        <v>18846</v>
      </c>
      <c r="P2341" s="9" t="s">
        <v>17748</v>
      </c>
      <c r="Q2341" s="11" t="s">
        <v>18147</v>
      </c>
      <c r="R2341" s="11" t="s">
        <v>18147</v>
      </c>
      <c r="S2341" s="11" t="s">
        <v>17750</v>
      </c>
    </row>
    <row r="2342" spans="1:19" x14ac:dyDescent="0.2">
      <c r="A2342" s="11" t="s">
        <v>31420</v>
      </c>
      <c r="B2342" s="9" t="s">
        <v>31421</v>
      </c>
      <c r="C2342" s="9" t="s">
        <v>31422</v>
      </c>
      <c r="D2342" s="9" t="s">
        <v>31423</v>
      </c>
      <c r="E2342" s="9" t="s">
        <v>17740</v>
      </c>
      <c r="F2342" s="9" t="s">
        <v>17741</v>
      </c>
      <c r="G2342" s="9" t="s">
        <v>17740</v>
      </c>
      <c r="H2342" s="11" t="s">
        <v>31424</v>
      </c>
      <c r="I2342" s="11" t="s">
        <v>31425</v>
      </c>
      <c r="J2342" s="11" t="s">
        <v>31425</v>
      </c>
      <c r="K2342" s="9" t="s">
        <v>17741</v>
      </c>
      <c r="L2342" s="9" t="s">
        <v>17759</v>
      </c>
      <c r="M2342" s="9" t="s">
        <v>17760</v>
      </c>
      <c r="N2342" s="9" t="s">
        <v>17746</v>
      </c>
      <c r="O2342" s="9" t="s">
        <v>23651</v>
      </c>
      <c r="P2342" s="9" t="s">
        <v>17748</v>
      </c>
      <c r="Q2342" s="11" t="s">
        <v>17749</v>
      </c>
      <c r="R2342" s="11" t="s">
        <v>17749</v>
      </c>
      <c r="S2342" s="11" t="s">
        <v>17750</v>
      </c>
    </row>
    <row r="2343" spans="1:19" x14ac:dyDescent="0.2">
      <c r="A2343" s="11" t="s">
        <v>31426</v>
      </c>
      <c r="B2343" s="9" t="s">
        <v>31427</v>
      </c>
      <c r="C2343" s="9" t="s">
        <v>31428</v>
      </c>
      <c r="D2343" s="9" t="s">
        <v>31429</v>
      </c>
      <c r="E2343" s="9" t="s">
        <v>17740</v>
      </c>
      <c r="F2343" s="9" t="s">
        <v>17741</v>
      </c>
      <c r="G2343" s="9" t="s">
        <v>17740</v>
      </c>
      <c r="H2343" s="11" t="s">
        <v>1836</v>
      </c>
      <c r="I2343" s="11" t="s">
        <v>1835</v>
      </c>
      <c r="J2343" s="11" t="s">
        <v>1835</v>
      </c>
      <c r="K2343" s="9" t="s">
        <v>19564</v>
      </c>
      <c r="L2343" s="9" t="s">
        <v>17759</v>
      </c>
      <c r="M2343" s="9" t="s">
        <v>17817</v>
      </c>
      <c r="N2343" s="9" t="s">
        <v>17746</v>
      </c>
      <c r="O2343" s="9" t="s">
        <v>19521</v>
      </c>
      <c r="P2343" s="9" t="s">
        <v>17748</v>
      </c>
      <c r="Q2343" s="11" t="s">
        <v>18282</v>
      </c>
      <c r="R2343" s="11" t="s">
        <v>18282</v>
      </c>
      <c r="S2343" s="11" t="s">
        <v>17750</v>
      </c>
    </row>
    <row r="2344" spans="1:19" x14ac:dyDescent="0.2">
      <c r="A2344" s="11" t="s">
        <v>31430</v>
      </c>
      <c r="B2344" s="9" t="s">
        <v>31431</v>
      </c>
      <c r="C2344" s="9" t="s">
        <v>31432</v>
      </c>
      <c r="D2344" s="9" t="s">
        <v>31433</v>
      </c>
      <c r="E2344" s="9" t="s">
        <v>17740</v>
      </c>
      <c r="F2344" s="9" t="s">
        <v>17741</v>
      </c>
      <c r="G2344" s="9" t="s">
        <v>17740</v>
      </c>
      <c r="H2344" s="11" t="s">
        <v>4569</v>
      </c>
      <c r="I2344" s="11" t="s">
        <v>4568</v>
      </c>
      <c r="J2344" s="11" t="s">
        <v>4568</v>
      </c>
      <c r="K2344" s="9" t="s">
        <v>31434</v>
      </c>
      <c r="L2344" s="9" t="s">
        <v>17744</v>
      </c>
      <c r="M2344" s="9" t="s">
        <v>22371</v>
      </c>
      <c r="N2344" s="9" t="s">
        <v>17746</v>
      </c>
      <c r="O2344" s="9" t="s">
        <v>3475</v>
      </c>
      <c r="P2344" s="9" t="s">
        <v>17748</v>
      </c>
      <c r="Q2344" s="11" t="s">
        <v>18059</v>
      </c>
      <c r="R2344" s="11" t="s">
        <v>18059</v>
      </c>
      <c r="S2344" s="11" t="s">
        <v>17750</v>
      </c>
    </row>
    <row r="2345" spans="1:19" x14ac:dyDescent="0.2">
      <c r="A2345" s="11" t="s">
        <v>31435</v>
      </c>
      <c r="B2345" s="9" t="s">
        <v>31436</v>
      </c>
      <c r="C2345" s="9" t="s">
        <v>31437</v>
      </c>
      <c r="D2345" s="9" t="s">
        <v>31438</v>
      </c>
      <c r="E2345" s="9" t="s">
        <v>17740</v>
      </c>
      <c r="F2345" s="9" t="s">
        <v>31439</v>
      </c>
      <c r="G2345" s="9" t="s">
        <v>17740</v>
      </c>
      <c r="H2345" s="11" t="s">
        <v>1857</v>
      </c>
      <c r="I2345" s="11" t="s">
        <v>1856</v>
      </c>
      <c r="J2345" s="11" t="s">
        <v>1856</v>
      </c>
      <c r="K2345" s="9" t="s">
        <v>55</v>
      </c>
      <c r="L2345" s="9" t="s">
        <v>17744</v>
      </c>
      <c r="M2345" s="9" t="s">
        <v>18289</v>
      </c>
      <c r="N2345" s="9" t="s">
        <v>17746</v>
      </c>
      <c r="O2345" s="9" t="s">
        <v>19067</v>
      </c>
      <c r="P2345" s="9" t="s">
        <v>17748</v>
      </c>
      <c r="Q2345" s="11" t="s">
        <v>18059</v>
      </c>
      <c r="R2345" s="11" t="s">
        <v>18059</v>
      </c>
      <c r="S2345" s="11" t="s">
        <v>17750</v>
      </c>
    </row>
    <row r="2346" spans="1:19" x14ac:dyDescent="0.2">
      <c r="A2346" s="11" t="s">
        <v>31440</v>
      </c>
      <c r="B2346" s="9" t="s">
        <v>31441</v>
      </c>
      <c r="C2346" s="9" t="s">
        <v>31442</v>
      </c>
      <c r="D2346" s="9" t="s">
        <v>31443</v>
      </c>
      <c r="E2346" s="9" t="s">
        <v>17740</v>
      </c>
      <c r="F2346" s="9" t="s">
        <v>31444</v>
      </c>
      <c r="G2346" s="9" t="s">
        <v>17740</v>
      </c>
      <c r="H2346" s="11" t="s">
        <v>6646</v>
      </c>
      <c r="I2346" s="11" t="s">
        <v>6645</v>
      </c>
      <c r="J2346" s="11" t="s">
        <v>6645</v>
      </c>
      <c r="K2346" s="9" t="s">
        <v>31445</v>
      </c>
      <c r="L2346" s="9" t="s">
        <v>17744</v>
      </c>
      <c r="M2346" s="9" t="s">
        <v>17769</v>
      </c>
      <c r="N2346" s="9" t="s">
        <v>17746</v>
      </c>
      <c r="O2346" s="9" t="s">
        <v>31446</v>
      </c>
      <c r="P2346" s="9" t="s">
        <v>17748</v>
      </c>
      <c r="Q2346" s="11" t="s">
        <v>19361</v>
      </c>
      <c r="R2346" s="11" t="s">
        <v>19361</v>
      </c>
      <c r="S2346" s="11" t="s">
        <v>17750</v>
      </c>
    </row>
    <row r="2347" spans="1:19" x14ac:dyDescent="0.2">
      <c r="A2347" s="11" t="s">
        <v>31447</v>
      </c>
      <c r="B2347" s="9" t="s">
        <v>31448</v>
      </c>
      <c r="C2347" s="9" t="s">
        <v>31449</v>
      </c>
      <c r="D2347" s="9" t="s">
        <v>31450</v>
      </c>
      <c r="E2347" s="9" t="s">
        <v>17740</v>
      </c>
      <c r="F2347" s="9" t="s">
        <v>31451</v>
      </c>
      <c r="G2347" s="9" t="s">
        <v>17740</v>
      </c>
      <c r="H2347" s="11" t="s">
        <v>31452</v>
      </c>
      <c r="I2347" s="11" t="s">
        <v>17741</v>
      </c>
      <c r="J2347" s="11" t="s">
        <v>31452</v>
      </c>
      <c r="K2347" s="9" t="s">
        <v>18570</v>
      </c>
      <c r="L2347" s="9" t="s">
        <v>17744</v>
      </c>
      <c r="M2347" s="9" t="s">
        <v>17741</v>
      </c>
      <c r="N2347" s="9" t="s">
        <v>17746</v>
      </c>
      <c r="O2347" s="9" t="s">
        <v>30620</v>
      </c>
      <c r="P2347" s="9" t="s">
        <v>17748</v>
      </c>
      <c r="Q2347" s="11" t="s">
        <v>17858</v>
      </c>
      <c r="R2347" s="11" t="s">
        <v>17858</v>
      </c>
      <c r="S2347" s="11" t="s">
        <v>17750</v>
      </c>
    </row>
    <row r="2348" spans="1:19" x14ac:dyDescent="0.2">
      <c r="A2348" s="11" t="s">
        <v>31453</v>
      </c>
      <c r="B2348" s="9" t="s">
        <v>31454</v>
      </c>
      <c r="C2348" s="9" t="s">
        <v>31455</v>
      </c>
      <c r="D2348" s="9" t="s">
        <v>31456</v>
      </c>
      <c r="E2348" s="9" t="s">
        <v>17748</v>
      </c>
      <c r="F2348" s="9" t="s">
        <v>31457</v>
      </c>
      <c r="G2348" s="9" t="s">
        <v>17740</v>
      </c>
      <c r="H2348" s="11" t="s">
        <v>16011</v>
      </c>
      <c r="I2348" s="11" t="s">
        <v>16010</v>
      </c>
      <c r="J2348" s="11" t="s">
        <v>17741</v>
      </c>
      <c r="K2348" s="9" t="s">
        <v>10332</v>
      </c>
      <c r="L2348" s="9" t="s">
        <v>17759</v>
      </c>
      <c r="M2348" s="9" t="s">
        <v>31458</v>
      </c>
      <c r="N2348" s="9" t="s">
        <v>17746</v>
      </c>
      <c r="O2348" s="9" t="s">
        <v>18882</v>
      </c>
      <c r="P2348" s="9" t="s">
        <v>17748</v>
      </c>
      <c r="Q2348" s="11" t="s">
        <v>17923</v>
      </c>
      <c r="R2348" s="11" t="s">
        <v>17923</v>
      </c>
      <c r="S2348" s="11" t="s">
        <v>17750</v>
      </c>
    </row>
    <row r="2349" spans="1:19" x14ac:dyDescent="0.2">
      <c r="A2349" s="11" t="s">
        <v>31459</v>
      </c>
      <c r="B2349" s="9" t="s">
        <v>1837</v>
      </c>
      <c r="C2349" s="9" t="s">
        <v>31460</v>
      </c>
      <c r="D2349" s="9" t="s">
        <v>1837</v>
      </c>
      <c r="E2349" s="9" t="s">
        <v>17740</v>
      </c>
      <c r="F2349" s="9" t="s">
        <v>31461</v>
      </c>
      <c r="G2349" s="9" t="s">
        <v>17740</v>
      </c>
      <c r="H2349" s="11" t="s">
        <v>1839</v>
      </c>
      <c r="I2349" s="11" t="s">
        <v>1838</v>
      </c>
      <c r="J2349" s="11" t="s">
        <v>1838</v>
      </c>
      <c r="K2349" s="9" t="s">
        <v>26253</v>
      </c>
      <c r="L2349" s="9" t="s">
        <v>17759</v>
      </c>
      <c r="M2349" s="9" t="s">
        <v>17817</v>
      </c>
      <c r="N2349" s="9" t="s">
        <v>17746</v>
      </c>
      <c r="O2349" s="9" t="s">
        <v>19646</v>
      </c>
      <c r="P2349" s="9" t="s">
        <v>17748</v>
      </c>
      <c r="Q2349" s="11" t="s">
        <v>18251</v>
      </c>
      <c r="R2349" s="11" t="s">
        <v>18251</v>
      </c>
      <c r="S2349" s="11" t="s">
        <v>17750</v>
      </c>
    </row>
    <row r="2350" spans="1:19" x14ac:dyDescent="0.2">
      <c r="A2350" s="11" t="s">
        <v>31462</v>
      </c>
      <c r="B2350" s="9" t="s">
        <v>31463</v>
      </c>
      <c r="C2350" s="9" t="s">
        <v>31464</v>
      </c>
      <c r="D2350" s="9" t="s">
        <v>31465</v>
      </c>
      <c r="E2350" s="9" t="s">
        <v>17740</v>
      </c>
      <c r="F2350" s="9" t="s">
        <v>31466</v>
      </c>
      <c r="G2350" s="9" t="s">
        <v>17740</v>
      </c>
      <c r="H2350" s="11" t="s">
        <v>6015</v>
      </c>
      <c r="I2350" s="11" t="s">
        <v>6014</v>
      </c>
      <c r="J2350" s="11" t="s">
        <v>6014</v>
      </c>
      <c r="K2350" s="9" t="s">
        <v>291</v>
      </c>
      <c r="L2350" s="9" t="s">
        <v>17744</v>
      </c>
      <c r="M2350" s="9" t="s">
        <v>17992</v>
      </c>
      <c r="N2350" s="9" t="s">
        <v>17746</v>
      </c>
      <c r="O2350" s="9" t="s">
        <v>31467</v>
      </c>
      <c r="P2350" s="9" t="s">
        <v>17748</v>
      </c>
      <c r="Q2350" s="11" t="s">
        <v>17792</v>
      </c>
      <c r="R2350" s="11" t="s">
        <v>17792</v>
      </c>
      <c r="S2350" s="11" t="s">
        <v>17750</v>
      </c>
    </row>
    <row r="2351" spans="1:19" x14ac:dyDescent="0.2">
      <c r="A2351" s="11" t="s">
        <v>31468</v>
      </c>
      <c r="B2351" s="9" t="s">
        <v>31469</v>
      </c>
      <c r="C2351" s="9" t="s">
        <v>31470</v>
      </c>
      <c r="D2351" s="9" t="s">
        <v>31471</v>
      </c>
      <c r="E2351" s="9" t="s">
        <v>17740</v>
      </c>
      <c r="F2351" s="9" t="s">
        <v>31472</v>
      </c>
      <c r="G2351" s="9" t="s">
        <v>17740</v>
      </c>
      <c r="H2351" s="11" t="s">
        <v>8422</v>
      </c>
      <c r="I2351" s="11" t="s">
        <v>8421</v>
      </c>
      <c r="J2351" s="11" t="s">
        <v>8421</v>
      </c>
      <c r="K2351" s="9" t="s">
        <v>315</v>
      </c>
      <c r="L2351" s="9" t="s">
        <v>17744</v>
      </c>
      <c r="M2351" s="9" t="s">
        <v>27840</v>
      </c>
      <c r="N2351" s="9" t="s">
        <v>17746</v>
      </c>
      <c r="O2351" s="9" t="s">
        <v>19646</v>
      </c>
      <c r="P2351" s="9" t="s">
        <v>17748</v>
      </c>
      <c r="Q2351" s="11" t="s">
        <v>18147</v>
      </c>
      <c r="R2351" s="11" t="s">
        <v>18147</v>
      </c>
      <c r="S2351" s="11" t="s">
        <v>17750</v>
      </c>
    </row>
    <row r="2352" spans="1:19" x14ac:dyDescent="0.2">
      <c r="A2352" s="11" t="s">
        <v>31473</v>
      </c>
      <c r="B2352" s="9" t="s">
        <v>31474</v>
      </c>
      <c r="C2352" s="9" t="s">
        <v>31475</v>
      </c>
      <c r="D2352" s="9" t="s">
        <v>31476</v>
      </c>
      <c r="E2352" s="9" t="s">
        <v>17748</v>
      </c>
      <c r="F2352" s="9" t="s">
        <v>31477</v>
      </c>
      <c r="G2352" s="9" t="s">
        <v>17740</v>
      </c>
      <c r="H2352" s="11" t="s">
        <v>17741</v>
      </c>
      <c r="I2352" s="11" t="s">
        <v>31478</v>
      </c>
      <c r="J2352" s="11" t="s">
        <v>31478</v>
      </c>
      <c r="K2352" s="9" t="s">
        <v>31479</v>
      </c>
      <c r="L2352" s="9" t="s">
        <v>17759</v>
      </c>
      <c r="M2352" s="9" t="s">
        <v>17817</v>
      </c>
      <c r="N2352" s="9" t="s">
        <v>17746</v>
      </c>
      <c r="O2352" s="9" t="s">
        <v>19147</v>
      </c>
      <c r="P2352" s="9" t="s">
        <v>17748</v>
      </c>
      <c r="Q2352" s="11" t="s">
        <v>17784</v>
      </c>
      <c r="R2352" s="11" t="s">
        <v>17784</v>
      </c>
      <c r="S2352" s="11" t="s">
        <v>17750</v>
      </c>
    </row>
    <row r="2353" spans="1:19" x14ac:dyDescent="0.2">
      <c r="A2353" s="11" t="s">
        <v>31480</v>
      </c>
      <c r="B2353" s="9" t="s">
        <v>31481</v>
      </c>
      <c r="C2353" s="9" t="s">
        <v>31482</v>
      </c>
      <c r="D2353" s="9" t="s">
        <v>31483</v>
      </c>
      <c r="E2353" s="9" t="s">
        <v>17740</v>
      </c>
      <c r="F2353" s="9" t="s">
        <v>31484</v>
      </c>
      <c r="G2353" s="9" t="s">
        <v>17740</v>
      </c>
      <c r="H2353" s="11" t="s">
        <v>17741</v>
      </c>
      <c r="I2353" s="11" t="s">
        <v>5217</v>
      </c>
      <c r="J2353" s="11" t="s">
        <v>5217</v>
      </c>
      <c r="K2353" s="9" t="s">
        <v>31485</v>
      </c>
      <c r="L2353" s="9" t="s">
        <v>20359</v>
      </c>
      <c r="M2353" s="9" t="s">
        <v>17942</v>
      </c>
      <c r="N2353" s="9" t="s">
        <v>17746</v>
      </c>
      <c r="O2353" s="9" t="s">
        <v>31486</v>
      </c>
      <c r="P2353" s="9" t="s">
        <v>17748</v>
      </c>
      <c r="Q2353" s="11" t="s">
        <v>18678</v>
      </c>
      <c r="R2353" s="11" t="s">
        <v>18678</v>
      </c>
      <c r="S2353" s="11" t="s">
        <v>17750</v>
      </c>
    </row>
    <row r="2354" spans="1:19" x14ac:dyDescent="0.2">
      <c r="A2354" s="11" t="s">
        <v>31487</v>
      </c>
      <c r="B2354" s="9" t="s">
        <v>31488</v>
      </c>
      <c r="C2354" s="9" t="s">
        <v>31489</v>
      </c>
      <c r="D2354" s="9" t="s">
        <v>31490</v>
      </c>
      <c r="E2354" s="9" t="s">
        <v>17740</v>
      </c>
      <c r="F2354" s="9" t="s">
        <v>31491</v>
      </c>
      <c r="G2354" s="9" t="s">
        <v>17740</v>
      </c>
      <c r="H2354" s="11" t="s">
        <v>17741</v>
      </c>
      <c r="I2354" s="11" t="s">
        <v>31492</v>
      </c>
      <c r="J2354" s="11" t="s">
        <v>31492</v>
      </c>
      <c r="K2354" s="9" t="s">
        <v>31493</v>
      </c>
      <c r="L2354" s="9" t="s">
        <v>20359</v>
      </c>
      <c r="M2354" s="9" t="s">
        <v>17942</v>
      </c>
      <c r="N2354" s="9" t="s">
        <v>17746</v>
      </c>
      <c r="O2354" s="9" t="s">
        <v>18363</v>
      </c>
      <c r="P2354" s="9" t="s">
        <v>17748</v>
      </c>
      <c r="Q2354" s="11" t="s">
        <v>18251</v>
      </c>
      <c r="R2354" s="11" t="s">
        <v>18251</v>
      </c>
      <c r="S2354" s="11" t="s">
        <v>17750</v>
      </c>
    </row>
    <row r="2355" spans="1:19" x14ac:dyDescent="0.2">
      <c r="A2355" s="11" t="s">
        <v>31494</v>
      </c>
      <c r="B2355" s="9" t="s">
        <v>31495</v>
      </c>
      <c r="C2355" s="9" t="s">
        <v>31496</v>
      </c>
      <c r="D2355" s="9" t="s">
        <v>31497</v>
      </c>
      <c r="E2355" s="9" t="s">
        <v>17740</v>
      </c>
      <c r="F2355" s="9" t="s">
        <v>17741</v>
      </c>
      <c r="G2355" s="9" t="s">
        <v>17740</v>
      </c>
      <c r="H2355" s="11" t="s">
        <v>31498</v>
      </c>
      <c r="I2355" s="11" t="s">
        <v>31499</v>
      </c>
      <c r="J2355" s="11" t="s">
        <v>31499</v>
      </c>
      <c r="K2355" s="9" t="s">
        <v>31500</v>
      </c>
      <c r="L2355" s="9" t="s">
        <v>17759</v>
      </c>
      <c r="M2355" s="9" t="s">
        <v>31501</v>
      </c>
      <c r="N2355" s="9" t="s">
        <v>17746</v>
      </c>
      <c r="O2355" s="9" t="s">
        <v>19147</v>
      </c>
      <c r="P2355" s="9" t="s">
        <v>17748</v>
      </c>
      <c r="Q2355" s="11" t="s">
        <v>18201</v>
      </c>
      <c r="R2355" s="11" t="s">
        <v>18201</v>
      </c>
      <c r="S2355" s="11" t="s">
        <v>17750</v>
      </c>
    </row>
    <row r="2356" spans="1:19" x14ac:dyDescent="0.2">
      <c r="A2356" s="11" t="s">
        <v>31502</v>
      </c>
      <c r="B2356" s="9" t="s">
        <v>31503</v>
      </c>
      <c r="C2356" s="9" t="s">
        <v>31504</v>
      </c>
      <c r="D2356" s="9" t="s">
        <v>31505</v>
      </c>
      <c r="E2356" s="9" t="s">
        <v>17740</v>
      </c>
      <c r="F2356" s="9" t="s">
        <v>31506</v>
      </c>
      <c r="G2356" s="9" t="s">
        <v>17740</v>
      </c>
      <c r="H2356" s="11" t="s">
        <v>17741</v>
      </c>
      <c r="I2356" s="11" t="s">
        <v>1870</v>
      </c>
      <c r="J2356" s="11" t="s">
        <v>1870</v>
      </c>
      <c r="K2356" s="9" t="s">
        <v>31507</v>
      </c>
      <c r="L2356" s="9" t="s">
        <v>17976</v>
      </c>
      <c r="M2356" s="9" t="s">
        <v>18065</v>
      </c>
      <c r="N2356" s="9" t="s">
        <v>18469</v>
      </c>
      <c r="O2356" s="9" t="s">
        <v>3100</v>
      </c>
      <c r="P2356" s="9" t="s">
        <v>17748</v>
      </c>
      <c r="Q2356" s="11" t="s">
        <v>21569</v>
      </c>
      <c r="R2356" s="11" t="s">
        <v>21569</v>
      </c>
      <c r="S2356" s="11" t="s">
        <v>17750</v>
      </c>
    </row>
    <row r="2357" spans="1:19" x14ac:dyDescent="0.2">
      <c r="A2357" s="11" t="s">
        <v>31508</v>
      </c>
      <c r="B2357" s="9" t="s">
        <v>31509</v>
      </c>
      <c r="C2357" s="9" t="s">
        <v>31510</v>
      </c>
      <c r="D2357" s="9" t="s">
        <v>31511</v>
      </c>
      <c r="E2357" s="9" t="s">
        <v>17740</v>
      </c>
      <c r="F2357" s="9" t="s">
        <v>31512</v>
      </c>
      <c r="G2357" s="9" t="s">
        <v>17740</v>
      </c>
      <c r="H2357" s="11" t="s">
        <v>31513</v>
      </c>
      <c r="I2357" s="11" t="s">
        <v>31514</v>
      </c>
      <c r="J2357" s="11" t="s">
        <v>31514</v>
      </c>
      <c r="K2357" s="9" t="s">
        <v>17629</v>
      </c>
      <c r="L2357" s="9" t="s">
        <v>17759</v>
      </c>
      <c r="M2357" s="9" t="s">
        <v>31119</v>
      </c>
      <c r="N2357" s="9" t="s">
        <v>17746</v>
      </c>
      <c r="O2357" s="9" t="s">
        <v>21758</v>
      </c>
      <c r="P2357" s="9" t="s">
        <v>17748</v>
      </c>
      <c r="Q2357" s="11" t="s">
        <v>23398</v>
      </c>
      <c r="R2357" s="11" t="s">
        <v>23398</v>
      </c>
      <c r="S2357" s="11" t="s">
        <v>17750</v>
      </c>
    </row>
    <row r="2358" spans="1:19" x14ac:dyDescent="0.2">
      <c r="A2358" s="11" t="s">
        <v>31515</v>
      </c>
      <c r="B2358" s="9" t="s">
        <v>31516</v>
      </c>
      <c r="C2358" s="9" t="s">
        <v>31517</v>
      </c>
      <c r="D2358" s="9" t="s">
        <v>31518</v>
      </c>
      <c r="E2358" s="9" t="s">
        <v>17740</v>
      </c>
      <c r="F2358" s="9" t="s">
        <v>17741</v>
      </c>
      <c r="G2358" s="9" t="s">
        <v>17740</v>
      </c>
      <c r="H2358" s="11" t="s">
        <v>31519</v>
      </c>
      <c r="I2358" s="11" t="s">
        <v>31520</v>
      </c>
      <c r="J2358" s="11" t="s">
        <v>31520</v>
      </c>
      <c r="K2358" s="9" t="s">
        <v>1877</v>
      </c>
      <c r="L2358" s="9" t="s">
        <v>17759</v>
      </c>
      <c r="M2358" s="9" t="s">
        <v>31521</v>
      </c>
      <c r="N2358" s="9" t="s">
        <v>17746</v>
      </c>
      <c r="O2358" s="9" t="s">
        <v>20056</v>
      </c>
      <c r="P2358" s="9" t="s">
        <v>17748</v>
      </c>
      <c r="Q2358" s="11" t="s">
        <v>18433</v>
      </c>
      <c r="R2358" s="11" t="s">
        <v>18433</v>
      </c>
      <c r="S2358" s="11" t="s">
        <v>17750</v>
      </c>
    </row>
    <row r="2359" spans="1:19" x14ac:dyDescent="0.2">
      <c r="A2359" s="11" t="s">
        <v>31522</v>
      </c>
      <c r="B2359" s="9" t="s">
        <v>31523</v>
      </c>
      <c r="C2359" s="9" t="s">
        <v>31524</v>
      </c>
      <c r="D2359" s="9" t="s">
        <v>31525</v>
      </c>
      <c r="E2359" s="9" t="s">
        <v>17748</v>
      </c>
      <c r="F2359" s="9" t="s">
        <v>31526</v>
      </c>
      <c r="G2359" s="9" t="s">
        <v>17740</v>
      </c>
      <c r="H2359" s="11" t="s">
        <v>31527</v>
      </c>
      <c r="I2359" s="11" t="s">
        <v>31528</v>
      </c>
      <c r="J2359" s="11" t="s">
        <v>31528</v>
      </c>
      <c r="K2359" s="9" t="s">
        <v>17741</v>
      </c>
      <c r="L2359" s="9" t="s">
        <v>17759</v>
      </c>
      <c r="M2359" s="9" t="s">
        <v>28387</v>
      </c>
      <c r="N2359" s="9" t="s">
        <v>17746</v>
      </c>
      <c r="O2359" s="9" t="s">
        <v>31529</v>
      </c>
      <c r="P2359" s="9" t="s">
        <v>17748</v>
      </c>
      <c r="Q2359" s="11" t="s">
        <v>18089</v>
      </c>
      <c r="R2359" s="11" t="s">
        <v>18089</v>
      </c>
      <c r="S2359" s="11" t="s">
        <v>17750</v>
      </c>
    </row>
    <row r="2360" spans="1:19" x14ac:dyDescent="0.2">
      <c r="A2360" s="11" t="s">
        <v>31530</v>
      </c>
      <c r="B2360" s="9" t="s">
        <v>31531</v>
      </c>
      <c r="C2360" s="9" t="s">
        <v>31532</v>
      </c>
      <c r="D2360" s="9" t="s">
        <v>31533</v>
      </c>
      <c r="E2360" s="9" t="s">
        <v>17748</v>
      </c>
      <c r="F2360" s="9" t="s">
        <v>31534</v>
      </c>
      <c r="G2360" s="9" t="s">
        <v>17740</v>
      </c>
      <c r="H2360" s="11" t="s">
        <v>17741</v>
      </c>
      <c r="I2360" s="11" t="s">
        <v>31535</v>
      </c>
      <c r="J2360" s="11" t="s">
        <v>17741</v>
      </c>
      <c r="K2360" s="9" t="s">
        <v>17629</v>
      </c>
      <c r="L2360" s="9" t="s">
        <v>17759</v>
      </c>
      <c r="M2360" s="9" t="s">
        <v>17769</v>
      </c>
      <c r="N2360" s="9" t="s">
        <v>17746</v>
      </c>
      <c r="O2360" s="9" t="s">
        <v>793</v>
      </c>
      <c r="P2360" s="9" t="s">
        <v>17748</v>
      </c>
      <c r="Q2360" s="11" t="s">
        <v>17900</v>
      </c>
      <c r="R2360" s="11" t="s">
        <v>17900</v>
      </c>
      <c r="S2360" s="11" t="s">
        <v>17750</v>
      </c>
    </row>
    <row r="2361" spans="1:19" x14ac:dyDescent="0.2">
      <c r="A2361" s="11" t="s">
        <v>31536</v>
      </c>
      <c r="B2361" s="9" t="s">
        <v>31537</v>
      </c>
      <c r="C2361" s="9" t="s">
        <v>31538</v>
      </c>
      <c r="D2361" s="9" t="s">
        <v>31539</v>
      </c>
      <c r="E2361" s="9" t="s">
        <v>17740</v>
      </c>
      <c r="F2361" s="9" t="s">
        <v>17741</v>
      </c>
      <c r="G2361" s="9" t="s">
        <v>17740</v>
      </c>
      <c r="H2361" s="11" t="s">
        <v>31540</v>
      </c>
      <c r="I2361" s="11" t="s">
        <v>12370</v>
      </c>
      <c r="J2361" s="11" t="s">
        <v>12370</v>
      </c>
      <c r="K2361" s="9" t="s">
        <v>31541</v>
      </c>
      <c r="L2361" s="9" t="s">
        <v>17759</v>
      </c>
      <c r="M2361" s="9" t="s">
        <v>18745</v>
      </c>
      <c r="N2361" s="9" t="s">
        <v>17746</v>
      </c>
      <c r="O2361" s="9" t="s">
        <v>793</v>
      </c>
      <c r="P2361" s="9" t="s">
        <v>17748</v>
      </c>
      <c r="Q2361" s="11" t="s">
        <v>18370</v>
      </c>
      <c r="R2361" s="11" t="s">
        <v>18370</v>
      </c>
      <c r="S2361" s="11" t="s">
        <v>17750</v>
      </c>
    </row>
    <row r="2362" spans="1:19" x14ac:dyDescent="0.2">
      <c r="A2362" s="11" t="s">
        <v>31542</v>
      </c>
      <c r="B2362" s="9" t="s">
        <v>31543</v>
      </c>
      <c r="C2362" s="9" t="s">
        <v>31544</v>
      </c>
      <c r="D2362" s="9" t="s">
        <v>31545</v>
      </c>
      <c r="E2362" s="9" t="s">
        <v>17740</v>
      </c>
      <c r="F2362" s="9" t="s">
        <v>17741</v>
      </c>
      <c r="G2362" s="9" t="s">
        <v>17740</v>
      </c>
      <c r="H2362" s="11" t="s">
        <v>31546</v>
      </c>
      <c r="I2362" s="11" t="s">
        <v>31547</v>
      </c>
      <c r="J2362" s="11" t="s">
        <v>31547</v>
      </c>
      <c r="K2362" s="9" t="s">
        <v>31548</v>
      </c>
      <c r="L2362" s="9" t="s">
        <v>17759</v>
      </c>
      <c r="M2362" s="9" t="s">
        <v>18533</v>
      </c>
      <c r="N2362" s="9" t="s">
        <v>17746</v>
      </c>
      <c r="O2362" s="9" t="s">
        <v>17890</v>
      </c>
      <c r="P2362" s="9" t="s">
        <v>17748</v>
      </c>
      <c r="Q2362" s="11" t="s">
        <v>17917</v>
      </c>
      <c r="R2362" s="11" t="s">
        <v>17917</v>
      </c>
      <c r="S2362" s="11" t="s">
        <v>17750</v>
      </c>
    </row>
    <row r="2363" spans="1:19" x14ac:dyDescent="0.2">
      <c r="A2363" s="11" t="s">
        <v>31549</v>
      </c>
      <c r="B2363" s="9" t="s">
        <v>31550</v>
      </c>
      <c r="C2363" s="9" t="s">
        <v>31551</v>
      </c>
      <c r="D2363" s="9" t="s">
        <v>31552</v>
      </c>
      <c r="E2363" s="9" t="s">
        <v>17740</v>
      </c>
      <c r="F2363" s="9" t="s">
        <v>31553</v>
      </c>
      <c r="G2363" s="9" t="s">
        <v>17740</v>
      </c>
      <c r="H2363" s="11" t="s">
        <v>1876</v>
      </c>
      <c r="I2363" s="11" t="s">
        <v>1875</v>
      </c>
      <c r="J2363" s="11" t="s">
        <v>1875</v>
      </c>
      <c r="K2363" s="9" t="s">
        <v>31554</v>
      </c>
      <c r="L2363" s="9" t="s">
        <v>17759</v>
      </c>
      <c r="M2363" s="9" t="s">
        <v>17817</v>
      </c>
      <c r="N2363" s="9" t="s">
        <v>17746</v>
      </c>
      <c r="O2363" s="9" t="s">
        <v>793</v>
      </c>
      <c r="P2363" s="9" t="s">
        <v>17748</v>
      </c>
      <c r="Q2363" s="11" t="s">
        <v>19236</v>
      </c>
      <c r="R2363" s="11" t="s">
        <v>19236</v>
      </c>
      <c r="S2363" s="11" t="s">
        <v>17750</v>
      </c>
    </row>
    <row r="2364" spans="1:19" x14ac:dyDescent="0.2">
      <c r="A2364" s="11" t="s">
        <v>31555</v>
      </c>
      <c r="B2364" s="9" t="s">
        <v>31556</v>
      </c>
      <c r="C2364" s="9" t="s">
        <v>31557</v>
      </c>
      <c r="D2364" s="9" t="s">
        <v>31558</v>
      </c>
      <c r="E2364" s="9" t="s">
        <v>17748</v>
      </c>
      <c r="F2364" s="9" t="s">
        <v>31559</v>
      </c>
      <c r="G2364" s="9" t="s">
        <v>17740</v>
      </c>
      <c r="H2364" s="11" t="s">
        <v>31560</v>
      </c>
      <c r="I2364" s="11" t="s">
        <v>31561</v>
      </c>
      <c r="J2364" s="11" t="s">
        <v>31561</v>
      </c>
      <c r="K2364" s="9" t="s">
        <v>17741</v>
      </c>
      <c r="L2364" s="9" t="s">
        <v>17759</v>
      </c>
      <c r="M2364" s="9" t="s">
        <v>28387</v>
      </c>
      <c r="N2364" s="9" t="s">
        <v>17746</v>
      </c>
      <c r="O2364" s="9" t="s">
        <v>793</v>
      </c>
      <c r="P2364" s="9" t="s">
        <v>17748</v>
      </c>
      <c r="Q2364" s="11" t="s">
        <v>18089</v>
      </c>
      <c r="R2364" s="11" t="s">
        <v>18089</v>
      </c>
      <c r="S2364" s="11" t="s">
        <v>17750</v>
      </c>
    </row>
    <row r="2365" spans="1:19" x14ac:dyDescent="0.2">
      <c r="A2365" s="11" t="s">
        <v>31562</v>
      </c>
      <c r="B2365" s="9" t="s">
        <v>31563</v>
      </c>
      <c r="C2365" s="9" t="s">
        <v>31564</v>
      </c>
      <c r="D2365" s="9" t="s">
        <v>31565</v>
      </c>
      <c r="E2365" s="9" t="s">
        <v>17740</v>
      </c>
      <c r="F2365" s="9" t="s">
        <v>17741</v>
      </c>
      <c r="G2365" s="9" t="s">
        <v>17740</v>
      </c>
      <c r="H2365" s="11" t="s">
        <v>31566</v>
      </c>
      <c r="I2365" s="11" t="s">
        <v>31567</v>
      </c>
      <c r="J2365" s="11" t="s">
        <v>31567</v>
      </c>
      <c r="K2365" s="9" t="s">
        <v>1877</v>
      </c>
      <c r="L2365" s="9" t="s">
        <v>17759</v>
      </c>
      <c r="M2365" s="9" t="s">
        <v>31568</v>
      </c>
      <c r="N2365" s="9" t="s">
        <v>17746</v>
      </c>
      <c r="O2365" s="9" t="s">
        <v>31569</v>
      </c>
      <c r="P2365" s="9" t="s">
        <v>17748</v>
      </c>
      <c r="Q2365" s="11" t="s">
        <v>18370</v>
      </c>
      <c r="R2365" s="11" t="s">
        <v>18370</v>
      </c>
      <c r="S2365" s="11" t="s">
        <v>17750</v>
      </c>
    </row>
    <row r="2366" spans="1:19" x14ac:dyDescent="0.2">
      <c r="A2366" s="11" t="s">
        <v>31570</v>
      </c>
      <c r="B2366" s="9" t="s">
        <v>31571</v>
      </c>
      <c r="C2366" s="9" t="s">
        <v>31572</v>
      </c>
      <c r="D2366" s="9" t="s">
        <v>31573</v>
      </c>
      <c r="E2366" s="9" t="s">
        <v>17740</v>
      </c>
      <c r="F2366" s="9" t="s">
        <v>17741</v>
      </c>
      <c r="G2366" s="9" t="s">
        <v>17740</v>
      </c>
      <c r="H2366" s="11" t="s">
        <v>31574</v>
      </c>
      <c r="I2366" s="11" t="s">
        <v>31575</v>
      </c>
      <c r="J2366" s="11" t="s">
        <v>31575</v>
      </c>
      <c r="K2366" s="9" t="s">
        <v>17629</v>
      </c>
      <c r="L2366" s="9" t="s">
        <v>17759</v>
      </c>
      <c r="M2366" s="9" t="s">
        <v>17806</v>
      </c>
      <c r="N2366" s="9" t="s">
        <v>17746</v>
      </c>
      <c r="O2366" s="9" t="s">
        <v>20056</v>
      </c>
      <c r="P2366" s="9" t="s">
        <v>17748</v>
      </c>
      <c r="Q2366" s="11" t="s">
        <v>18147</v>
      </c>
      <c r="R2366" s="11" t="s">
        <v>18147</v>
      </c>
      <c r="S2366" s="11" t="s">
        <v>17750</v>
      </c>
    </row>
    <row r="2367" spans="1:19" x14ac:dyDescent="0.2">
      <c r="A2367" s="11" t="s">
        <v>31576</v>
      </c>
      <c r="B2367" s="9" t="s">
        <v>31577</v>
      </c>
      <c r="C2367" s="9" t="s">
        <v>31578</v>
      </c>
      <c r="D2367" s="9" t="s">
        <v>31579</v>
      </c>
      <c r="E2367" s="9" t="s">
        <v>17740</v>
      </c>
      <c r="F2367" s="9" t="s">
        <v>17741</v>
      </c>
      <c r="G2367" s="9" t="s">
        <v>17740</v>
      </c>
      <c r="H2367" s="11" t="s">
        <v>31580</v>
      </c>
      <c r="I2367" s="11" t="s">
        <v>4751</v>
      </c>
      <c r="J2367" s="11" t="s">
        <v>4751</v>
      </c>
      <c r="K2367" s="9" t="s">
        <v>17629</v>
      </c>
      <c r="L2367" s="9" t="s">
        <v>17759</v>
      </c>
      <c r="M2367" s="9" t="s">
        <v>18109</v>
      </c>
      <c r="N2367" s="9" t="s">
        <v>17746</v>
      </c>
      <c r="O2367" s="9" t="s">
        <v>23061</v>
      </c>
      <c r="P2367" s="9" t="s">
        <v>17748</v>
      </c>
      <c r="Q2367" s="11" t="s">
        <v>19515</v>
      </c>
      <c r="R2367" s="11" t="s">
        <v>19515</v>
      </c>
      <c r="S2367" s="11" t="s">
        <v>17750</v>
      </c>
    </row>
    <row r="2368" spans="1:19" x14ac:dyDescent="0.2">
      <c r="A2368" s="11" t="s">
        <v>31581</v>
      </c>
      <c r="B2368" s="9" t="s">
        <v>31582</v>
      </c>
      <c r="C2368" s="9" t="s">
        <v>31583</v>
      </c>
      <c r="D2368" s="9" t="s">
        <v>31584</v>
      </c>
      <c r="E2368" s="9" t="s">
        <v>17740</v>
      </c>
      <c r="F2368" s="9" t="s">
        <v>17741</v>
      </c>
      <c r="G2368" s="9" t="s">
        <v>17740</v>
      </c>
      <c r="H2368" s="11" t="s">
        <v>31585</v>
      </c>
      <c r="I2368" s="11" t="s">
        <v>31586</v>
      </c>
      <c r="J2368" s="11" t="s">
        <v>31586</v>
      </c>
      <c r="K2368" s="9" t="s">
        <v>17629</v>
      </c>
      <c r="L2368" s="9" t="s">
        <v>17759</v>
      </c>
      <c r="M2368" s="9" t="s">
        <v>17760</v>
      </c>
      <c r="N2368" s="9" t="s">
        <v>17746</v>
      </c>
      <c r="O2368" s="9" t="s">
        <v>21626</v>
      </c>
      <c r="P2368" s="9" t="s">
        <v>17748</v>
      </c>
      <c r="Q2368" s="11" t="s">
        <v>17994</v>
      </c>
      <c r="R2368" s="11" t="s">
        <v>17994</v>
      </c>
      <c r="S2368" s="11" t="s">
        <v>17750</v>
      </c>
    </row>
    <row r="2369" spans="1:19" x14ac:dyDescent="0.2">
      <c r="A2369" s="11" t="s">
        <v>31587</v>
      </c>
      <c r="B2369" s="9" t="s">
        <v>31588</v>
      </c>
      <c r="C2369" s="9" t="s">
        <v>31589</v>
      </c>
      <c r="D2369" s="9" t="s">
        <v>31590</v>
      </c>
      <c r="E2369" s="9" t="s">
        <v>17748</v>
      </c>
      <c r="F2369" s="9" t="s">
        <v>31591</v>
      </c>
      <c r="G2369" s="9" t="s">
        <v>17740</v>
      </c>
      <c r="H2369" s="11" t="s">
        <v>31592</v>
      </c>
      <c r="I2369" s="11" t="s">
        <v>31593</v>
      </c>
      <c r="J2369" s="11" t="s">
        <v>31593</v>
      </c>
      <c r="K2369" s="9" t="s">
        <v>31594</v>
      </c>
      <c r="L2369" s="9" t="s">
        <v>17759</v>
      </c>
      <c r="M2369" s="9" t="s">
        <v>17817</v>
      </c>
      <c r="N2369" s="9" t="s">
        <v>17746</v>
      </c>
      <c r="O2369" s="9" t="s">
        <v>20056</v>
      </c>
      <c r="P2369" s="9" t="s">
        <v>17748</v>
      </c>
      <c r="Q2369" s="11" t="s">
        <v>17923</v>
      </c>
      <c r="R2369" s="11" t="s">
        <v>17923</v>
      </c>
      <c r="S2369" s="11" t="s">
        <v>17750</v>
      </c>
    </row>
    <row r="2370" spans="1:19" x14ac:dyDescent="0.2">
      <c r="A2370" s="11" t="s">
        <v>31595</v>
      </c>
      <c r="B2370" s="9" t="s">
        <v>31596</v>
      </c>
      <c r="C2370" s="9" t="s">
        <v>31597</v>
      </c>
      <c r="D2370" s="9" t="s">
        <v>31598</v>
      </c>
      <c r="E2370" s="9" t="s">
        <v>17748</v>
      </c>
      <c r="F2370" s="9" t="s">
        <v>31599</v>
      </c>
      <c r="G2370" s="9" t="s">
        <v>17740</v>
      </c>
      <c r="H2370" s="11" t="s">
        <v>31600</v>
      </c>
      <c r="I2370" s="11" t="s">
        <v>31601</v>
      </c>
      <c r="J2370" s="11" t="s">
        <v>31601</v>
      </c>
      <c r="K2370" s="9" t="s">
        <v>31548</v>
      </c>
      <c r="L2370" s="9" t="s">
        <v>17759</v>
      </c>
      <c r="M2370" s="9" t="s">
        <v>26122</v>
      </c>
      <c r="N2370" s="9" t="s">
        <v>17746</v>
      </c>
      <c r="O2370" s="9" t="s">
        <v>31602</v>
      </c>
      <c r="P2370" s="9" t="s">
        <v>17748</v>
      </c>
      <c r="Q2370" s="11" t="s">
        <v>18922</v>
      </c>
      <c r="R2370" s="11" t="s">
        <v>18922</v>
      </c>
      <c r="S2370" s="11" t="s">
        <v>17750</v>
      </c>
    </row>
    <row r="2371" spans="1:19" x14ac:dyDescent="0.2">
      <c r="A2371" s="11" t="s">
        <v>31603</v>
      </c>
      <c r="B2371" s="9" t="s">
        <v>31604</v>
      </c>
      <c r="C2371" s="9" t="s">
        <v>31605</v>
      </c>
      <c r="D2371" s="9" t="s">
        <v>31606</v>
      </c>
      <c r="E2371" s="9" t="s">
        <v>17740</v>
      </c>
      <c r="F2371" s="9" t="s">
        <v>17741</v>
      </c>
      <c r="G2371" s="9" t="s">
        <v>17740</v>
      </c>
      <c r="H2371" s="11" t="s">
        <v>31607</v>
      </c>
      <c r="I2371" s="11" t="s">
        <v>31608</v>
      </c>
      <c r="J2371" s="11" t="s">
        <v>31609</v>
      </c>
      <c r="K2371" s="9" t="s">
        <v>31610</v>
      </c>
      <c r="L2371" s="9" t="s">
        <v>17759</v>
      </c>
      <c r="M2371" s="9" t="s">
        <v>19645</v>
      </c>
      <c r="N2371" s="9" t="s">
        <v>17746</v>
      </c>
      <c r="O2371" s="9" t="s">
        <v>20056</v>
      </c>
      <c r="P2371" s="9" t="s">
        <v>17748</v>
      </c>
      <c r="Q2371" s="11" t="s">
        <v>18251</v>
      </c>
      <c r="R2371" s="11" t="s">
        <v>18251</v>
      </c>
      <c r="S2371" s="11" t="s">
        <v>17750</v>
      </c>
    </row>
    <row r="2372" spans="1:19" x14ac:dyDescent="0.2">
      <c r="A2372" s="11" t="s">
        <v>31611</v>
      </c>
      <c r="B2372" s="9" t="s">
        <v>31612</v>
      </c>
      <c r="C2372" s="9" t="s">
        <v>31613</v>
      </c>
      <c r="D2372" s="9" t="s">
        <v>31614</v>
      </c>
      <c r="E2372" s="9" t="s">
        <v>17740</v>
      </c>
      <c r="F2372" s="9" t="s">
        <v>31615</v>
      </c>
      <c r="G2372" s="9" t="s">
        <v>17740</v>
      </c>
      <c r="H2372" s="11" t="s">
        <v>31616</v>
      </c>
      <c r="I2372" s="11" t="s">
        <v>31617</v>
      </c>
      <c r="J2372" s="11" t="s">
        <v>31617</v>
      </c>
      <c r="K2372" s="9" t="s">
        <v>17629</v>
      </c>
      <c r="L2372" s="9" t="s">
        <v>17759</v>
      </c>
      <c r="M2372" s="9" t="s">
        <v>31618</v>
      </c>
      <c r="N2372" s="9" t="s">
        <v>17746</v>
      </c>
      <c r="O2372" s="9" t="s">
        <v>20618</v>
      </c>
      <c r="P2372" s="9" t="s">
        <v>17748</v>
      </c>
      <c r="Q2372" s="11" t="s">
        <v>18059</v>
      </c>
      <c r="R2372" s="11" t="s">
        <v>18059</v>
      </c>
      <c r="S2372" s="11" t="s">
        <v>17750</v>
      </c>
    </row>
    <row r="2373" spans="1:19" x14ac:dyDescent="0.2">
      <c r="A2373" s="11" t="s">
        <v>31619</v>
      </c>
      <c r="B2373" s="9" t="s">
        <v>31620</v>
      </c>
      <c r="C2373" s="9" t="s">
        <v>31621</v>
      </c>
      <c r="D2373" s="9" t="s">
        <v>31622</v>
      </c>
      <c r="E2373" s="9" t="s">
        <v>17740</v>
      </c>
      <c r="F2373" s="9" t="s">
        <v>17741</v>
      </c>
      <c r="G2373" s="9" t="s">
        <v>17740</v>
      </c>
      <c r="H2373" s="11" t="s">
        <v>31623</v>
      </c>
      <c r="I2373" s="11" t="s">
        <v>31624</v>
      </c>
      <c r="J2373" s="11" t="s">
        <v>31624</v>
      </c>
      <c r="K2373" s="9" t="s">
        <v>1877</v>
      </c>
      <c r="L2373" s="9" t="s">
        <v>17759</v>
      </c>
      <c r="M2373" s="9" t="s">
        <v>24928</v>
      </c>
      <c r="N2373" s="9" t="s">
        <v>17746</v>
      </c>
      <c r="O2373" s="9" t="s">
        <v>20056</v>
      </c>
      <c r="P2373" s="9" t="s">
        <v>17748</v>
      </c>
      <c r="Q2373" s="11" t="s">
        <v>19361</v>
      </c>
      <c r="R2373" s="11" t="s">
        <v>19361</v>
      </c>
      <c r="S2373" s="11" t="s">
        <v>17750</v>
      </c>
    </row>
    <row r="2374" spans="1:19" x14ac:dyDescent="0.2">
      <c r="A2374" s="11" t="s">
        <v>31625</v>
      </c>
      <c r="B2374" s="9" t="s">
        <v>31626</v>
      </c>
      <c r="C2374" s="9" t="s">
        <v>31627</v>
      </c>
      <c r="D2374" s="9" t="s">
        <v>31628</v>
      </c>
      <c r="E2374" s="9" t="s">
        <v>17740</v>
      </c>
      <c r="F2374" s="9" t="s">
        <v>17741</v>
      </c>
      <c r="G2374" s="9" t="s">
        <v>17740</v>
      </c>
      <c r="H2374" s="11" t="s">
        <v>31629</v>
      </c>
      <c r="I2374" s="11" t="s">
        <v>31630</v>
      </c>
      <c r="J2374" s="11" t="s">
        <v>31630</v>
      </c>
      <c r="K2374" s="9" t="s">
        <v>1877</v>
      </c>
      <c r="L2374" s="9" t="s">
        <v>17759</v>
      </c>
      <c r="M2374" s="9" t="s">
        <v>17760</v>
      </c>
      <c r="N2374" s="9" t="s">
        <v>17746</v>
      </c>
      <c r="O2374" s="9" t="s">
        <v>22422</v>
      </c>
      <c r="P2374" s="9" t="s">
        <v>17748</v>
      </c>
      <c r="Q2374" s="11" t="s">
        <v>17780</v>
      </c>
      <c r="R2374" s="11" t="s">
        <v>17780</v>
      </c>
      <c r="S2374" s="11" t="s">
        <v>17750</v>
      </c>
    </row>
    <row r="2375" spans="1:19" x14ac:dyDescent="0.2">
      <c r="A2375" s="11" t="s">
        <v>31631</v>
      </c>
      <c r="B2375" s="9" t="s">
        <v>31632</v>
      </c>
      <c r="C2375" s="9" t="s">
        <v>31633</v>
      </c>
      <c r="D2375" s="9" t="s">
        <v>31634</v>
      </c>
      <c r="E2375" s="9" t="s">
        <v>17748</v>
      </c>
      <c r="F2375" s="9" t="s">
        <v>31635</v>
      </c>
      <c r="G2375" s="9" t="s">
        <v>17740</v>
      </c>
      <c r="H2375" s="11" t="s">
        <v>31636</v>
      </c>
      <c r="I2375" s="11" t="s">
        <v>31637</v>
      </c>
      <c r="J2375" s="11" t="s">
        <v>31637</v>
      </c>
      <c r="K2375" s="9" t="s">
        <v>11695</v>
      </c>
      <c r="L2375" s="9" t="s">
        <v>17744</v>
      </c>
      <c r="M2375" s="9" t="s">
        <v>25572</v>
      </c>
      <c r="N2375" s="9" t="s">
        <v>17746</v>
      </c>
      <c r="O2375" s="9" t="s">
        <v>21626</v>
      </c>
      <c r="P2375" s="9" t="s">
        <v>17748</v>
      </c>
      <c r="Q2375" s="11" t="s">
        <v>17917</v>
      </c>
      <c r="R2375" s="11" t="s">
        <v>17917</v>
      </c>
      <c r="S2375" s="11" t="s">
        <v>17750</v>
      </c>
    </row>
    <row r="2376" spans="1:19" x14ac:dyDescent="0.2">
      <c r="A2376" s="11" t="s">
        <v>31638</v>
      </c>
      <c r="B2376" s="9" t="s">
        <v>31639</v>
      </c>
      <c r="C2376" s="9" t="s">
        <v>31640</v>
      </c>
      <c r="D2376" s="9" t="s">
        <v>31641</v>
      </c>
      <c r="E2376" s="9" t="s">
        <v>17748</v>
      </c>
      <c r="F2376" s="9" t="s">
        <v>31642</v>
      </c>
      <c r="G2376" s="9" t="s">
        <v>17740</v>
      </c>
      <c r="H2376" s="11" t="s">
        <v>17741</v>
      </c>
      <c r="I2376" s="11" t="s">
        <v>31643</v>
      </c>
      <c r="J2376" s="11" t="s">
        <v>31643</v>
      </c>
      <c r="K2376" s="9" t="s">
        <v>11695</v>
      </c>
      <c r="L2376" s="9" t="s">
        <v>17744</v>
      </c>
      <c r="M2376" s="9" t="s">
        <v>17769</v>
      </c>
      <c r="N2376" s="9" t="s">
        <v>17746</v>
      </c>
      <c r="O2376" s="9" t="s">
        <v>22422</v>
      </c>
      <c r="P2376" s="9" t="s">
        <v>17748</v>
      </c>
      <c r="Q2376" s="11" t="s">
        <v>17917</v>
      </c>
      <c r="R2376" s="11" t="s">
        <v>17917</v>
      </c>
      <c r="S2376" s="11" t="s">
        <v>17750</v>
      </c>
    </row>
    <row r="2377" spans="1:19" x14ac:dyDescent="0.2">
      <c r="A2377" s="11" t="s">
        <v>31644</v>
      </c>
      <c r="B2377" s="9" t="s">
        <v>31645</v>
      </c>
      <c r="C2377" s="9" t="s">
        <v>31646</v>
      </c>
      <c r="D2377" s="9" t="s">
        <v>31647</v>
      </c>
      <c r="E2377" s="9" t="s">
        <v>17740</v>
      </c>
      <c r="F2377" s="9" t="s">
        <v>31648</v>
      </c>
      <c r="G2377" s="9" t="s">
        <v>17740</v>
      </c>
      <c r="H2377" s="11" t="s">
        <v>31649</v>
      </c>
      <c r="I2377" s="11" t="s">
        <v>31650</v>
      </c>
      <c r="J2377" s="11" t="s">
        <v>31650</v>
      </c>
      <c r="K2377" s="9" t="s">
        <v>31651</v>
      </c>
      <c r="L2377" s="9" t="s">
        <v>18242</v>
      </c>
      <c r="M2377" s="9" t="s">
        <v>17760</v>
      </c>
      <c r="N2377" s="9" t="s">
        <v>17746</v>
      </c>
      <c r="O2377" s="9" t="s">
        <v>20799</v>
      </c>
      <c r="P2377" s="9" t="s">
        <v>17748</v>
      </c>
      <c r="Q2377" s="11" t="s">
        <v>17784</v>
      </c>
      <c r="R2377" s="11" t="s">
        <v>17784</v>
      </c>
      <c r="S2377" s="11" t="s">
        <v>17750</v>
      </c>
    </row>
    <row r="2378" spans="1:19" x14ac:dyDescent="0.2">
      <c r="A2378" s="11" t="s">
        <v>31652</v>
      </c>
      <c r="B2378" s="9" t="s">
        <v>31653</v>
      </c>
      <c r="C2378" s="9" t="s">
        <v>31654</v>
      </c>
      <c r="D2378" s="9" t="s">
        <v>31655</v>
      </c>
      <c r="E2378" s="9" t="s">
        <v>17740</v>
      </c>
      <c r="F2378" s="9" t="s">
        <v>17741</v>
      </c>
      <c r="G2378" s="9" t="s">
        <v>17740</v>
      </c>
      <c r="H2378" s="11" t="s">
        <v>17741</v>
      </c>
      <c r="I2378" s="11" t="s">
        <v>31656</v>
      </c>
      <c r="J2378" s="11" t="s">
        <v>31656</v>
      </c>
      <c r="K2378" s="9" t="s">
        <v>31657</v>
      </c>
      <c r="L2378" s="9" t="s">
        <v>17991</v>
      </c>
      <c r="M2378" s="9" t="s">
        <v>22845</v>
      </c>
      <c r="N2378" s="9" t="s">
        <v>20424</v>
      </c>
      <c r="O2378" s="9" t="s">
        <v>3524</v>
      </c>
      <c r="P2378" s="9" t="s">
        <v>17748</v>
      </c>
      <c r="Q2378" s="11" t="s">
        <v>22689</v>
      </c>
      <c r="R2378" s="11" t="s">
        <v>22689</v>
      </c>
      <c r="S2378" s="11" t="s">
        <v>17750</v>
      </c>
    </row>
    <row r="2379" spans="1:19" x14ac:dyDescent="0.2">
      <c r="A2379" s="11" t="s">
        <v>31658</v>
      </c>
      <c r="B2379" s="9" t="s">
        <v>31659</v>
      </c>
      <c r="C2379" s="9" t="s">
        <v>31660</v>
      </c>
      <c r="D2379" s="9" t="s">
        <v>31661</v>
      </c>
      <c r="E2379" s="9" t="s">
        <v>17740</v>
      </c>
      <c r="F2379" s="9" t="s">
        <v>31662</v>
      </c>
      <c r="G2379" s="9" t="s">
        <v>17740</v>
      </c>
      <c r="H2379" s="11" t="s">
        <v>31663</v>
      </c>
      <c r="I2379" s="11" t="s">
        <v>31664</v>
      </c>
      <c r="J2379" s="11" t="s">
        <v>31664</v>
      </c>
      <c r="K2379" s="9" t="s">
        <v>31665</v>
      </c>
      <c r="L2379" s="9" t="s">
        <v>17744</v>
      </c>
      <c r="M2379" s="9" t="s">
        <v>17760</v>
      </c>
      <c r="N2379" s="9" t="s">
        <v>17746</v>
      </c>
      <c r="O2379" s="9" t="s">
        <v>19369</v>
      </c>
      <c r="P2379" s="9" t="s">
        <v>17748</v>
      </c>
      <c r="Q2379" s="11" t="s">
        <v>19361</v>
      </c>
      <c r="R2379" s="11" t="s">
        <v>19361</v>
      </c>
      <c r="S2379" s="11" t="s">
        <v>17750</v>
      </c>
    </row>
    <row r="2380" spans="1:19" x14ac:dyDescent="0.2">
      <c r="A2380" s="11" t="s">
        <v>31666</v>
      </c>
      <c r="B2380" s="9" t="s">
        <v>6373</v>
      </c>
      <c r="C2380" s="9" t="s">
        <v>31667</v>
      </c>
      <c r="D2380" s="9" t="s">
        <v>6373</v>
      </c>
      <c r="E2380" s="9" t="s">
        <v>17740</v>
      </c>
      <c r="F2380" s="9" t="s">
        <v>17741</v>
      </c>
      <c r="G2380" s="9" t="s">
        <v>17740</v>
      </c>
      <c r="H2380" s="11" t="s">
        <v>6375</v>
      </c>
      <c r="I2380" s="11" t="s">
        <v>6374</v>
      </c>
      <c r="J2380" s="11" t="s">
        <v>6374</v>
      </c>
      <c r="K2380" s="9" t="s">
        <v>324</v>
      </c>
      <c r="L2380" s="9" t="s">
        <v>17759</v>
      </c>
      <c r="M2380" s="9" t="s">
        <v>17817</v>
      </c>
      <c r="N2380" s="9" t="s">
        <v>17746</v>
      </c>
      <c r="O2380" s="9" t="s">
        <v>18882</v>
      </c>
      <c r="P2380" s="9" t="s">
        <v>17748</v>
      </c>
      <c r="Q2380" s="11" t="s">
        <v>17808</v>
      </c>
      <c r="R2380" s="11" t="s">
        <v>17808</v>
      </c>
      <c r="S2380" s="11" t="s">
        <v>17750</v>
      </c>
    </row>
    <row r="2381" spans="1:19" x14ac:dyDescent="0.2">
      <c r="A2381" s="11" t="s">
        <v>31668</v>
      </c>
      <c r="B2381" s="9" t="s">
        <v>4135</v>
      </c>
      <c r="C2381" s="9" t="s">
        <v>31669</v>
      </c>
      <c r="D2381" s="9" t="s">
        <v>4135</v>
      </c>
      <c r="E2381" s="9" t="s">
        <v>17748</v>
      </c>
      <c r="F2381" s="9" t="s">
        <v>31670</v>
      </c>
      <c r="G2381" s="9" t="s">
        <v>17740</v>
      </c>
      <c r="H2381" s="11" t="s">
        <v>4137</v>
      </c>
      <c r="I2381" s="11" t="s">
        <v>4136</v>
      </c>
      <c r="J2381" s="11" t="s">
        <v>4136</v>
      </c>
      <c r="K2381" s="9" t="s">
        <v>91</v>
      </c>
      <c r="L2381" s="9" t="s">
        <v>18001</v>
      </c>
      <c r="M2381" s="9" t="s">
        <v>17817</v>
      </c>
      <c r="N2381" s="9" t="s">
        <v>17746</v>
      </c>
      <c r="O2381" s="9" t="s">
        <v>18882</v>
      </c>
      <c r="P2381" s="9" t="s">
        <v>17748</v>
      </c>
      <c r="Q2381" s="11" t="s">
        <v>18251</v>
      </c>
      <c r="R2381" s="11" t="s">
        <v>18251</v>
      </c>
      <c r="S2381" s="11" t="s">
        <v>17750</v>
      </c>
    </row>
    <row r="2382" spans="1:19" x14ac:dyDescent="0.2">
      <c r="A2382" s="11" t="s">
        <v>31671</v>
      </c>
      <c r="B2382" s="9" t="s">
        <v>2025</v>
      </c>
      <c r="C2382" s="9" t="s">
        <v>31672</v>
      </c>
      <c r="D2382" s="9" t="s">
        <v>2025</v>
      </c>
      <c r="E2382" s="9" t="s">
        <v>17740</v>
      </c>
      <c r="F2382" s="9" t="s">
        <v>17741</v>
      </c>
      <c r="G2382" s="9" t="s">
        <v>17740</v>
      </c>
      <c r="H2382" s="11" t="s">
        <v>2027</v>
      </c>
      <c r="I2382" s="11" t="s">
        <v>2026</v>
      </c>
      <c r="J2382" s="11" t="s">
        <v>2026</v>
      </c>
      <c r="K2382" s="9" t="s">
        <v>167</v>
      </c>
      <c r="L2382" s="9" t="s">
        <v>17759</v>
      </c>
      <c r="M2382" s="9" t="s">
        <v>17817</v>
      </c>
      <c r="N2382" s="9" t="s">
        <v>17746</v>
      </c>
      <c r="O2382" s="9" t="s">
        <v>31673</v>
      </c>
      <c r="P2382" s="9" t="s">
        <v>17748</v>
      </c>
      <c r="Q2382" s="11" t="s">
        <v>17771</v>
      </c>
      <c r="R2382" s="11" t="s">
        <v>17771</v>
      </c>
      <c r="S2382" s="11" t="s">
        <v>17750</v>
      </c>
    </row>
    <row r="2383" spans="1:19" x14ac:dyDescent="0.2">
      <c r="A2383" s="11" t="s">
        <v>31674</v>
      </c>
      <c r="B2383" s="9" t="s">
        <v>31675</v>
      </c>
      <c r="C2383" s="9" t="s">
        <v>31676</v>
      </c>
      <c r="D2383" s="9" t="s">
        <v>5222</v>
      </c>
      <c r="E2383" s="9" t="s">
        <v>17740</v>
      </c>
      <c r="F2383" s="9" t="s">
        <v>17741</v>
      </c>
      <c r="G2383" s="9" t="s">
        <v>17740</v>
      </c>
      <c r="H2383" s="11" t="s">
        <v>31677</v>
      </c>
      <c r="I2383" s="11" t="s">
        <v>5223</v>
      </c>
      <c r="J2383" s="11" t="s">
        <v>5223</v>
      </c>
      <c r="K2383" s="9" t="s">
        <v>5224</v>
      </c>
      <c r="L2383" s="9" t="s">
        <v>17759</v>
      </c>
      <c r="M2383" s="9" t="s">
        <v>17778</v>
      </c>
      <c r="N2383" s="9" t="s">
        <v>17746</v>
      </c>
      <c r="O2383" s="9" t="s">
        <v>31678</v>
      </c>
      <c r="P2383" s="9" t="s">
        <v>17748</v>
      </c>
      <c r="Q2383" s="11" t="s">
        <v>18341</v>
      </c>
      <c r="R2383" s="11" t="s">
        <v>18341</v>
      </c>
      <c r="S2383" s="11" t="s">
        <v>17750</v>
      </c>
    </row>
    <row r="2384" spans="1:19" x14ac:dyDescent="0.2">
      <c r="A2384" s="11" t="s">
        <v>31679</v>
      </c>
      <c r="B2384" s="9" t="s">
        <v>31680</v>
      </c>
      <c r="C2384" s="9" t="s">
        <v>31681</v>
      </c>
      <c r="D2384" s="9" t="s">
        <v>31682</v>
      </c>
      <c r="E2384" s="9" t="s">
        <v>17740</v>
      </c>
      <c r="F2384" s="9" t="s">
        <v>31683</v>
      </c>
      <c r="G2384" s="9" t="s">
        <v>17740</v>
      </c>
      <c r="H2384" s="11" t="s">
        <v>2033</v>
      </c>
      <c r="I2384" s="11" t="s">
        <v>2032</v>
      </c>
      <c r="J2384" s="11" t="s">
        <v>2032</v>
      </c>
      <c r="K2384" s="9" t="s">
        <v>940</v>
      </c>
      <c r="L2384" s="9" t="s">
        <v>17759</v>
      </c>
      <c r="M2384" s="9" t="s">
        <v>18065</v>
      </c>
      <c r="N2384" s="9" t="s">
        <v>17746</v>
      </c>
      <c r="O2384" s="9" t="s">
        <v>18882</v>
      </c>
      <c r="P2384" s="9" t="s">
        <v>17748</v>
      </c>
      <c r="Q2384" s="11" t="s">
        <v>18059</v>
      </c>
      <c r="R2384" s="11" t="s">
        <v>18059</v>
      </c>
      <c r="S2384" s="11" t="s">
        <v>17750</v>
      </c>
    </row>
    <row r="2385" spans="1:19" x14ac:dyDescent="0.2">
      <c r="A2385" s="11" t="s">
        <v>31684</v>
      </c>
      <c r="B2385" s="9" t="s">
        <v>31685</v>
      </c>
      <c r="C2385" s="9" t="s">
        <v>31686</v>
      </c>
      <c r="D2385" s="9" t="s">
        <v>31687</v>
      </c>
      <c r="E2385" s="9" t="s">
        <v>17740</v>
      </c>
      <c r="F2385" s="9" t="s">
        <v>31688</v>
      </c>
      <c r="G2385" s="9" t="s">
        <v>17740</v>
      </c>
      <c r="H2385" s="11" t="s">
        <v>2018</v>
      </c>
      <c r="I2385" s="11" t="s">
        <v>2017</v>
      </c>
      <c r="J2385" s="11" t="s">
        <v>2017</v>
      </c>
      <c r="K2385" s="9" t="s">
        <v>291</v>
      </c>
      <c r="L2385" s="9" t="s">
        <v>17744</v>
      </c>
      <c r="M2385" s="9" t="s">
        <v>31689</v>
      </c>
      <c r="N2385" s="9" t="s">
        <v>17746</v>
      </c>
      <c r="O2385" s="9" t="s">
        <v>18882</v>
      </c>
      <c r="P2385" s="9" t="s">
        <v>17748</v>
      </c>
      <c r="Q2385" s="11" t="s">
        <v>18960</v>
      </c>
      <c r="R2385" s="11" t="s">
        <v>18960</v>
      </c>
      <c r="S2385" s="11" t="s">
        <v>17750</v>
      </c>
    </row>
    <row r="2386" spans="1:19" x14ac:dyDescent="0.2">
      <c r="A2386" s="11" t="s">
        <v>31690</v>
      </c>
      <c r="B2386" s="9" t="s">
        <v>31691</v>
      </c>
      <c r="C2386" s="9" t="s">
        <v>31692</v>
      </c>
      <c r="D2386" s="9" t="s">
        <v>31693</v>
      </c>
      <c r="E2386" s="9" t="s">
        <v>17740</v>
      </c>
      <c r="F2386" s="9" t="s">
        <v>31694</v>
      </c>
      <c r="G2386" s="9" t="s">
        <v>17740</v>
      </c>
      <c r="H2386" s="11" t="s">
        <v>2030</v>
      </c>
      <c r="I2386" s="11" t="s">
        <v>2029</v>
      </c>
      <c r="J2386" s="11" t="s">
        <v>2029</v>
      </c>
      <c r="K2386" s="9" t="s">
        <v>21146</v>
      </c>
      <c r="L2386" s="9" t="s">
        <v>17744</v>
      </c>
      <c r="M2386" s="9" t="s">
        <v>31695</v>
      </c>
      <c r="N2386" s="9" t="s">
        <v>17746</v>
      </c>
      <c r="O2386" s="9" t="s">
        <v>31696</v>
      </c>
      <c r="P2386" s="9" t="s">
        <v>17748</v>
      </c>
      <c r="Q2386" s="11" t="s">
        <v>18600</v>
      </c>
      <c r="R2386" s="11" t="s">
        <v>18600</v>
      </c>
      <c r="S2386" s="11" t="s">
        <v>17750</v>
      </c>
    </row>
    <row r="2387" spans="1:19" x14ac:dyDescent="0.2">
      <c r="A2387" s="11" t="s">
        <v>31697</v>
      </c>
      <c r="B2387" s="9" t="s">
        <v>2022</v>
      </c>
      <c r="C2387" s="9" t="s">
        <v>31698</v>
      </c>
      <c r="D2387" s="9" t="s">
        <v>2022</v>
      </c>
      <c r="E2387" s="9" t="s">
        <v>17740</v>
      </c>
      <c r="F2387" s="9" t="s">
        <v>17741</v>
      </c>
      <c r="G2387" s="9" t="s">
        <v>17740</v>
      </c>
      <c r="H2387" s="11" t="s">
        <v>2024</v>
      </c>
      <c r="I2387" s="11" t="s">
        <v>2023</v>
      </c>
      <c r="J2387" s="11" t="s">
        <v>2023</v>
      </c>
      <c r="K2387" s="9" t="s">
        <v>23527</v>
      </c>
      <c r="L2387" s="9" t="s">
        <v>17744</v>
      </c>
      <c r="M2387" s="9" t="s">
        <v>17817</v>
      </c>
      <c r="N2387" s="9" t="s">
        <v>17746</v>
      </c>
      <c r="O2387" s="9" t="s">
        <v>18882</v>
      </c>
      <c r="P2387" s="9" t="s">
        <v>17748</v>
      </c>
      <c r="Q2387" s="11" t="s">
        <v>18805</v>
      </c>
      <c r="R2387" s="11" t="s">
        <v>18805</v>
      </c>
      <c r="S2387" s="11" t="s">
        <v>17750</v>
      </c>
    </row>
    <row r="2388" spans="1:19" x14ac:dyDescent="0.2">
      <c r="A2388" s="11" t="s">
        <v>31699</v>
      </c>
      <c r="B2388" s="9" t="s">
        <v>31700</v>
      </c>
      <c r="C2388" s="9" t="s">
        <v>31701</v>
      </c>
      <c r="D2388" s="9" t="s">
        <v>31702</v>
      </c>
      <c r="E2388" s="9" t="s">
        <v>17740</v>
      </c>
      <c r="F2388" s="9" t="s">
        <v>31703</v>
      </c>
      <c r="G2388" s="9" t="s">
        <v>17740</v>
      </c>
      <c r="H2388" s="11" t="s">
        <v>4538</v>
      </c>
      <c r="I2388" s="11" t="s">
        <v>4537</v>
      </c>
      <c r="J2388" s="11" t="s">
        <v>4537</v>
      </c>
      <c r="K2388" s="9" t="s">
        <v>303</v>
      </c>
      <c r="L2388" s="9" t="s">
        <v>17759</v>
      </c>
      <c r="M2388" s="9" t="s">
        <v>17760</v>
      </c>
      <c r="N2388" s="9" t="s">
        <v>17746</v>
      </c>
      <c r="O2388" s="9" t="s">
        <v>18882</v>
      </c>
      <c r="P2388" s="9" t="s">
        <v>17748</v>
      </c>
      <c r="Q2388" s="11" t="s">
        <v>18364</v>
      </c>
      <c r="R2388" s="11" t="s">
        <v>18364</v>
      </c>
      <c r="S2388" s="11" t="s">
        <v>17750</v>
      </c>
    </row>
    <row r="2389" spans="1:19" x14ac:dyDescent="0.2">
      <c r="A2389" s="11" t="s">
        <v>31704</v>
      </c>
      <c r="B2389" s="9" t="s">
        <v>31705</v>
      </c>
      <c r="C2389" s="9" t="s">
        <v>31706</v>
      </c>
      <c r="D2389" s="9" t="s">
        <v>31707</v>
      </c>
      <c r="E2389" s="9" t="s">
        <v>17740</v>
      </c>
      <c r="F2389" s="9" t="s">
        <v>31708</v>
      </c>
      <c r="G2389" s="9" t="s">
        <v>17740</v>
      </c>
      <c r="H2389" s="11" t="s">
        <v>4414</v>
      </c>
      <c r="I2389" s="11" t="s">
        <v>4413</v>
      </c>
      <c r="J2389" s="11" t="s">
        <v>4413</v>
      </c>
      <c r="K2389" s="9" t="s">
        <v>315</v>
      </c>
      <c r="L2389" s="9" t="s">
        <v>17744</v>
      </c>
      <c r="M2389" s="9" t="s">
        <v>17769</v>
      </c>
      <c r="N2389" s="9" t="s">
        <v>17746</v>
      </c>
      <c r="O2389" s="9" t="s">
        <v>24537</v>
      </c>
      <c r="P2389" s="9" t="s">
        <v>17748</v>
      </c>
      <c r="Q2389" s="11" t="s">
        <v>18364</v>
      </c>
      <c r="R2389" s="11" t="s">
        <v>18364</v>
      </c>
      <c r="S2389" s="11" t="s">
        <v>17750</v>
      </c>
    </row>
    <row r="2390" spans="1:19" x14ac:dyDescent="0.2">
      <c r="A2390" s="11" t="s">
        <v>31709</v>
      </c>
      <c r="B2390" s="9" t="s">
        <v>31710</v>
      </c>
      <c r="C2390" s="9" t="s">
        <v>31711</v>
      </c>
      <c r="D2390" s="9" t="s">
        <v>31712</v>
      </c>
      <c r="E2390" s="9" t="s">
        <v>17740</v>
      </c>
      <c r="F2390" s="9" t="s">
        <v>17741</v>
      </c>
      <c r="G2390" s="9" t="s">
        <v>17740</v>
      </c>
      <c r="H2390" s="11" t="s">
        <v>2021</v>
      </c>
      <c r="I2390" s="11" t="s">
        <v>2020</v>
      </c>
      <c r="J2390" s="11" t="s">
        <v>2020</v>
      </c>
      <c r="K2390" s="9" t="s">
        <v>22128</v>
      </c>
      <c r="L2390" s="9" t="s">
        <v>18001</v>
      </c>
      <c r="M2390" s="9" t="s">
        <v>22237</v>
      </c>
      <c r="N2390" s="9" t="s">
        <v>17746</v>
      </c>
      <c r="O2390" s="9" t="s">
        <v>18882</v>
      </c>
      <c r="P2390" s="9" t="s">
        <v>17748</v>
      </c>
      <c r="Q2390" s="11" t="s">
        <v>18251</v>
      </c>
      <c r="R2390" s="11" t="s">
        <v>18251</v>
      </c>
      <c r="S2390" s="11" t="s">
        <v>17750</v>
      </c>
    </row>
    <row r="2391" spans="1:19" x14ac:dyDescent="0.2">
      <c r="A2391" s="11" t="s">
        <v>31713</v>
      </c>
      <c r="B2391" s="9" t="s">
        <v>31714</v>
      </c>
      <c r="C2391" s="9" t="s">
        <v>31715</v>
      </c>
      <c r="D2391" s="9" t="s">
        <v>31716</v>
      </c>
      <c r="E2391" s="9" t="s">
        <v>17740</v>
      </c>
      <c r="F2391" s="9" t="s">
        <v>17741</v>
      </c>
      <c r="G2391" s="9" t="s">
        <v>17740</v>
      </c>
      <c r="H2391" s="11" t="s">
        <v>17741</v>
      </c>
      <c r="I2391" s="11" t="s">
        <v>31717</v>
      </c>
      <c r="J2391" s="11" t="s">
        <v>31717</v>
      </c>
      <c r="K2391" s="9" t="s">
        <v>31718</v>
      </c>
      <c r="L2391" s="9" t="s">
        <v>17744</v>
      </c>
      <c r="M2391" s="9" t="s">
        <v>17942</v>
      </c>
      <c r="N2391" s="9" t="s">
        <v>17746</v>
      </c>
      <c r="O2391" s="9" t="s">
        <v>18882</v>
      </c>
      <c r="P2391" s="9" t="s">
        <v>17748</v>
      </c>
      <c r="Q2391" s="11" t="s">
        <v>18678</v>
      </c>
      <c r="R2391" s="11" t="s">
        <v>18678</v>
      </c>
      <c r="S2391" s="11" t="s">
        <v>17750</v>
      </c>
    </row>
    <row r="2392" spans="1:19" x14ac:dyDescent="0.2">
      <c r="A2392" s="11" t="s">
        <v>31719</v>
      </c>
      <c r="B2392" s="9" t="s">
        <v>31720</v>
      </c>
      <c r="C2392" s="9" t="s">
        <v>31721</v>
      </c>
      <c r="D2392" s="9" t="s">
        <v>31722</v>
      </c>
      <c r="E2392" s="9" t="s">
        <v>17740</v>
      </c>
      <c r="F2392" s="9" t="s">
        <v>31723</v>
      </c>
      <c r="G2392" s="9" t="s">
        <v>17740</v>
      </c>
      <c r="H2392" s="11" t="s">
        <v>4411</v>
      </c>
      <c r="I2392" s="11" t="s">
        <v>4410</v>
      </c>
      <c r="J2392" s="11" t="s">
        <v>4410</v>
      </c>
      <c r="K2392" s="9" t="s">
        <v>291</v>
      </c>
      <c r="L2392" s="9" t="s">
        <v>17744</v>
      </c>
      <c r="M2392" s="9" t="s">
        <v>17760</v>
      </c>
      <c r="N2392" s="9" t="s">
        <v>17746</v>
      </c>
      <c r="O2392" s="9" t="s">
        <v>31724</v>
      </c>
      <c r="P2392" s="9" t="s">
        <v>17748</v>
      </c>
      <c r="Q2392" s="11" t="s">
        <v>18364</v>
      </c>
      <c r="R2392" s="11" t="s">
        <v>18364</v>
      </c>
      <c r="S2392" s="11" t="s">
        <v>17750</v>
      </c>
    </row>
    <row r="2393" spans="1:19" x14ac:dyDescent="0.2">
      <c r="A2393" s="11" t="s">
        <v>31725</v>
      </c>
      <c r="B2393" s="9" t="s">
        <v>13714</v>
      </c>
      <c r="C2393" s="9" t="s">
        <v>31726</v>
      </c>
      <c r="D2393" s="9" t="s">
        <v>13714</v>
      </c>
      <c r="E2393" s="9" t="s">
        <v>17740</v>
      </c>
      <c r="F2393" s="9" t="s">
        <v>17741</v>
      </c>
      <c r="G2393" s="9" t="s">
        <v>17740</v>
      </c>
      <c r="H2393" s="11" t="s">
        <v>13716</v>
      </c>
      <c r="I2393" s="11" t="s">
        <v>13715</v>
      </c>
      <c r="J2393" s="11" t="s">
        <v>13715</v>
      </c>
      <c r="K2393" s="9" t="s">
        <v>22567</v>
      </c>
      <c r="L2393" s="9" t="s">
        <v>17744</v>
      </c>
      <c r="M2393" s="9" t="s">
        <v>18233</v>
      </c>
      <c r="N2393" s="9" t="s">
        <v>17746</v>
      </c>
      <c r="O2393" s="9" t="s">
        <v>31727</v>
      </c>
      <c r="P2393" s="9" t="s">
        <v>17748</v>
      </c>
      <c r="Q2393" s="11" t="s">
        <v>17825</v>
      </c>
      <c r="R2393" s="11" t="s">
        <v>17825</v>
      </c>
      <c r="S2393" s="11" t="s">
        <v>17750</v>
      </c>
    </row>
    <row r="2394" spans="1:19" x14ac:dyDescent="0.2">
      <c r="A2394" s="11" t="s">
        <v>31728</v>
      </c>
      <c r="B2394" s="9" t="s">
        <v>31729</v>
      </c>
      <c r="C2394" s="9" t="s">
        <v>31730</v>
      </c>
      <c r="D2394" s="9" t="s">
        <v>31731</v>
      </c>
      <c r="E2394" s="9" t="s">
        <v>17748</v>
      </c>
      <c r="F2394" s="9" t="s">
        <v>17741</v>
      </c>
      <c r="G2394" s="9" t="s">
        <v>17740</v>
      </c>
      <c r="H2394" s="11" t="s">
        <v>31732</v>
      </c>
      <c r="I2394" s="11" t="s">
        <v>31733</v>
      </c>
      <c r="J2394" s="11" t="s">
        <v>31733</v>
      </c>
      <c r="K2394" s="9" t="s">
        <v>31734</v>
      </c>
      <c r="L2394" s="9" t="s">
        <v>17759</v>
      </c>
      <c r="M2394" s="9" t="s">
        <v>18533</v>
      </c>
      <c r="N2394" s="9" t="s">
        <v>17746</v>
      </c>
      <c r="O2394" s="9" t="s">
        <v>20746</v>
      </c>
      <c r="P2394" s="9" t="s">
        <v>17748</v>
      </c>
      <c r="Q2394" s="11" t="s">
        <v>18147</v>
      </c>
      <c r="R2394" s="11" t="s">
        <v>18147</v>
      </c>
      <c r="S2394" s="11" t="s">
        <v>17750</v>
      </c>
    </row>
    <row r="2395" spans="1:19" x14ac:dyDescent="0.2">
      <c r="A2395" s="11" t="s">
        <v>31735</v>
      </c>
      <c r="B2395" s="9" t="s">
        <v>31736</v>
      </c>
      <c r="C2395" s="9" t="s">
        <v>31737</v>
      </c>
      <c r="D2395" s="9" t="s">
        <v>31738</v>
      </c>
      <c r="E2395" s="9" t="s">
        <v>17740</v>
      </c>
      <c r="F2395" s="9" t="s">
        <v>17741</v>
      </c>
      <c r="G2395" s="9" t="s">
        <v>17740</v>
      </c>
      <c r="H2395" s="11" t="s">
        <v>31739</v>
      </c>
      <c r="I2395" s="11" t="s">
        <v>17741</v>
      </c>
      <c r="J2395" s="11" t="s">
        <v>31739</v>
      </c>
      <c r="K2395" s="9" t="s">
        <v>18570</v>
      </c>
      <c r="L2395" s="9" t="s">
        <v>17744</v>
      </c>
      <c r="M2395" s="9" t="s">
        <v>17741</v>
      </c>
      <c r="N2395" s="9" t="s">
        <v>17746</v>
      </c>
      <c r="O2395" s="9" t="s">
        <v>1802</v>
      </c>
      <c r="P2395" s="9" t="s">
        <v>17748</v>
      </c>
      <c r="Q2395" s="11" t="s">
        <v>17762</v>
      </c>
      <c r="R2395" s="11" t="s">
        <v>17762</v>
      </c>
      <c r="S2395" s="11" t="s">
        <v>17750</v>
      </c>
    </row>
    <row r="2396" spans="1:19" x14ac:dyDescent="0.2">
      <c r="A2396" s="11" t="s">
        <v>31740</v>
      </c>
      <c r="B2396" s="9" t="s">
        <v>31741</v>
      </c>
      <c r="C2396" s="9" t="s">
        <v>31742</v>
      </c>
      <c r="D2396" s="9" t="s">
        <v>31741</v>
      </c>
      <c r="E2396" s="9" t="s">
        <v>17740</v>
      </c>
      <c r="F2396" s="9" t="s">
        <v>31743</v>
      </c>
      <c r="G2396" s="9" t="s">
        <v>17740</v>
      </c>
      <c r="H2396" s="11" t="s">
        <v>17741</v>
      </c>
      <c r="I2396" s="11" t="s">
        <v>31744</v>
      </c>
      <c r="J2396" s="11" t="s">
        <v>31744</v>
      </c>
      <c r="K2396" s="9" t="s">
        <v>31745</v>
      </c>
      <c r="L2396" s="9" t="s">
        <v>17759</v>
      </c>
      <c r="M2396" s="9" t="s">
        <v>18170</v>
      </c>
      <c r="N2396" s="9" t="s">
        <v>17746</v>
      </c>
      <c r="O2396" s="9" t="s">
        <v>17800</v>
      </c>
      <c r="P2396" s="9" t="s">
        <v>17748</v>
      </c>
      <c r="Q2396" s="11" t="s">
        <v>17883</v>
      </c>
      <c r="R2396" s="11" t="s">
        <v>17883</v>
      </c>
      <c r="S2396" s="11" t="s">
        <v>17750</v>
      </c>
    </row>
    <row r="2397" spans="1:19" x14ac:dyDescent="0.2">
      <c r="A2397" s="11" t="s">
        <v>31746</v>
      </c>
      <c r="B2397" s="9" t="s">
        <v>31747</v>
      </c>
      <c r="C2397" s="9" t="s">
        <v>31748</v>
      </c>
      <c r="D2397" s="9" t="s">
        <v>31749</v>
      </c>
      <c r="E2397" s="9" t="s">
        <v>17740</v>
      </c>
      <c r="F2397" s="9" t="s">
        <v>17741</v>
      </c>
      <c r="G2397" s="9" t="s">
        <v>17740</v>
      </c>
      <c r="H2397" s="11" t="s">
        <v>31750</v>
      </c>
      <c r="I2397" s="11" t="s">
        <v>31751</v>
      </c>
      <c r="J2397" s="11" t="s">
        <v>31751</v>
      </c>
      <c r="K2397" s="9" t="s">
        <v>920</v>
      </c>
      <c r="L2397" s="9" t="s">
        <v>18001</v>
      </c>
      <c r="M2397" s="9" t="s">
        <v>17760</v>
      </c>
      <c r="N2397" s="9" t="s">
        <v>17746</v>
      </c>
      <c r="O2397" s="9" t="s">
        <v>22422</v>
      </c>
      <c r="P2397" s="9" t="s">
        <v>17748</v>
      </c>
      <c r="Q2397" s="11" t="s">
        <v>18798</v>
      </c>
      <c r="R2397" s="11" t="s">
        <v>18798</v>
      </c>
      <c r="S2397" s="11" t="s">
        <v>17750</v>
      </c>
    </row>
    <row r="2398" spans="1:19" x14ac:dyDescent="0.2">
      <c r="A2398" s="11" t="s">
        <v>31752</v>
      </c>
      <c r="B2398" s="9" t="s">
        <v>31753</v>
      </c>
      <c r="C2398" s="9" t="s">
        <v>31754</v>
      </c>
      <c r="D2398" s="9" t="s">
        <v>31755</v>
      </c>
      <c r="E2398" s="9" t="s">
        <v>17748</v>
      </c>
      <c r="F2398" s="9" t="s">
        <v>31756</v>
      </c>
      <c r="G2398" s="9" t="s">
        <v>17740</v>
      </c>
      <c r="H2398" s="11" t="s">
        <v>31757</v>
      </c>
      <c r="I2398" s="11" t="s">
        <v>31758</v>
      </c>
      <c r="J2398" s="11" t="s">
        <v>31758</v>
      </c>
      <c r="K2398" s="9" t="s">
        <v>17783</v>
      </c>
      <c r="L2398" s="9" t="s">
        <v>18158</v>
      </c>
      <c r="M2398" s="9" t="s">
        <v>31759</v>
      </c>
      <c r="N2398" s="9" t="s">
        <v>17746</v>
      </c>
      <c r="O2398" s="9" t="s">
        <v>31760</v>
      </c>
      <c r="P2398" s="9" t="s">
        <v>17748</v>
      </c>
      <c r="Q2398" s="11" t="s">
        <v>17792</v>
      </c>
      <c r="R2398" s="11" t="s">
        <v>17792</v>
      </c>
      <c r="S2398" s="11" t="s">
        <v>17750</v>
      </c>
    </row>
    <row r="2399" spans="1:19" x14ac:dyDescent="0.2">
      <c r="A2399" s="11" t="s">
        <v>31761</v>
      </c>
      <c r="B2399" s="9" t="s">
        <v>31762</v>
      </c>
      <c r="C2399" s="9" t="s">
        <v>31763</v>
      </c>
      <c r="D2399" s="9" t="s">
        <v>4367</v>
      </c>
      <c r="E2399" s="9" t="s">
        <v>17740</v>
      </c>
      <c r="F2399" s="9" t="s">
        <v>17741</v>
      </c>
      <c r="G2399" s="9" t="s">
        <v>17740</v>
      </c>
      <c r="H2399" s="11" t="s">
        <v>4369</v>
      </c>
      <c r="I2399" s="11" t="s">
        <v>4368</v>
      </c>
      <c r="J2399" s="11" t="s">
        <v>4368</v>
      </c>
      <c r="K2399" s="9" t="s">
        <v>31764</v>
      </c>
      <c r="L2399" s="9" t="s">
        <v>20969</v>
      </c>
      <c r="M2399" s="9" t="s">
        <v>17769</v>
      </c>
      <c r="N2399" s="9" t="s">
        <v>17746</v>
      </c>
      <c r="O2399" s="9" t="s">
        <v>18363</v>
      </c>
      <c r="P2399" s="9" t="s">
        <v>17748</v>
      </c>
      <c r="Q2399" s="11" t="s">
        <v>18364</v>
      </c>
      <c r="R2399" s="11" t="s">
        <v>18364</v>
      </c>
      <c r="S2399" s="11" t="s">
        <v>17750</v>
      </c>
    </row>
    <row r="2400" spans="1:19" x14ac:dyDescent="0.2">
      <c r="A2400" s="11" t="s">
        <v>31765</v>
      </c>
      <c r="B2400" s="9" t="s">
        <v>31766</v>
      </c>
      <c r="C2400" s="9" t="s">
        <v>31767</v>
      </c>
      <c r="D2400" s="9" t="s">
        <v>31768</v>
      </c>
      <c r="E2400" s="9" t="s">
        <v>17740</v>
      </c>
      <c r="F2400" s="9" t="s">
        <v>17741</v>
      </c>
      <c r="G2400" s="9" t="s">
        <v>17740</v>
      </c>
      <c r="H2400" s="11" t="s">
        <v>17741</v>
      </c>
      <c r="I2400" s="11" t="s">
        <v>1883</v>
      </c>
      <c r="J2400" s="11" t="s">
        <v>1883</v>
      </c>
      <c r="K2400" s="9" t="s">
        <v>31769</v>
      </c>
      <c r="L2400" s="9" t="s">
        <v>20446</v>
      </c>
      <c r="M2400" s="9" t="s">
        <v>17769</v>
      </c>
      <c r="N2400" s="9" t="s">
        <v>17746</v>
      </c>
      <c r="O2400" s="9" t="s">
        <v>18009</v>
      </c>
      <c r="P2400" s="9" t="s">
        <v>17748</v>
      </c>
      <c r="Q2400" s="11" t="s">
        <v>18440</v>
      </c>
      <c r="R2400" s="11" t="s">
        <v>18440</v>
      </c>
      <c r="S2400" s="11" t="s">
        <v>17750</v>
      </c>
    </row>
    <row r="2401" spans="1:19" x14ac:dyDescent="0.2">
      <c r="A2401" s="11" t="s">
        <v>31770</v>
      </c>
      <c r="B2401" s="9" t="s">
        <v>31771</v>
      </c>
      <c r="C2401" s="9" t="s">
        <v>31772</v>
      </c>
      <c r="D2401" s="9" t="s">
        <v>31773</v>
      </c>
      <c r="E2401" s="9" t="s">
        <v>17740</v>
      </c>
      <c r="F2401" s="9" t="s">
        <v>31774</v>
      </c>
      <c r="G2401" s="9" t="s">
        <v>17740</v>
      </c>
      <c r="H2401" s="11" t="s">
        <v>31775</v>
      </c>
      <c r="I2401" s="11" t="s">
        <v>31776</v>
      </c>
      <c r="J2401" s="11" t="s">
        <v>31776</v>
      </c>
      <c r="K2401" s="9" t="s">
        <v>31777</v>
      </c>
      <c r="L2401" s="9" t="s">
        <v>20446</v>
      </c>
      <c r="M2401" s="9" t="s">
        <v>31778</v>
      </c>
      <c r="N2401" s="9" t="s">
        <v>17746</v>
      </c>
      <c r="O2401" s="9" t="s">
        <v>17959</v>
      </c>
      <c r="P2401" s="9" t="s">
        <v>17748</v>
      </c>
      <c r="Q2401" s="11" t="s">
        <v>19899</v>
      </c>
      <c r="R2401" s="11" t="s">
        <v>19899</v>
      </c>
      <c r="S2401" s="11" t="s">
        <v>17750</v>
      </c>
    </row>
    <row r="2402" spans="1:19" x14ac:dyDescent="0.2">
      <c r="A2402" s="11" t="s">
        <v>31779</v>
      </c>
      <c r="B2402" s="9" t="s">
        <v>31780</v>
      </c>
      <c r="C2402" s="9" t="s">
        <v>31781</v>
      </c>
      <c r="D2402" s="9" t="s">
        <v>31782</v>
      </c>
      <c r="E2402" s="9" t="s">
        <v>17740</v>
      </c>
      <c r="F2402" s="9" t="s">
        <v>17741</v>
      </c>
      <c r="G2402" s="9" t="s">
        <v>17740</v>
      </c>
      <c r="H2402" s="11" t="s">
        <v>1896</v>
      </c>
      <c r="I2402" s="11" t="s">
        <v>1895</v>
      </c>
      <c r="J2402" s="11" t="s">
        <v>1895</v>
      </c>
      <c r="K2402" s="9" t="s">
        <v>19057</v>
      </c>
      <c r="L2402" s="9" t="s">
        <v>20446</v>
      </c>
      <c r="M2402" s="9" t="s">
        <v>25887</v>
      </c>
      <c r="N2402" s="9" t="s">
        <v>17746</v>
      </c>
      <c r="O2402" s="9" t="s">
        <v>18363</v>
      </c>
      <c r="P2402" s="9" t="s">
        <v>17748</v>
      </c>
      <c r="Q2402" s="11" t="s">
        <v>17849</v>
      </c>
      <c r="R2402" s="11" t="s">
        <v>17849</v>
      </c>
      <c r="S2402" s="11" t="s">
        <v>17750</v>
      </c>
    </row>
    <row r="2403" spans="1:19" x14ac:dyDescent="0.2">
      <c r="A2403" s="11" t="s">
        <v>31783</v>
      </c>
      <c r="B2403" s="9" t="s">
        <v>31784</v>
      </c>
      <c r="C2403" s="9" t="s">
        <v>31785</v>
      </c>
      <c r="D2403" s="9" t="s">
        <v>31786</v>
      </c>
      <c r="E2403" s="9" t="s">
        <v>17740</v>
      </c>
      <c r="F2403" s="9" t="s">
        <v>31787</v>
      </c>
      <c r="G2403" s="9" t="s">
        <v>17740</v>
      </c>
      <c r="H2403" s="11" t="s">
        <v>17741</v>
      </c>
      <c r="I2403" s="11" t="s">
        <v>31788</v>
      </c>
      <c r="J2403" s="11" t="s">
        <v>31788</v>
      </c>
      <c r="K2403" s="9" t="s">
        <v>31789</v>
      </c>
      <c r="L2403" s="9" t="s">
        <v>20446</v>
      </c>
      <c r="M2403" s="9" t="s">
        <v>17760</v>
      </c>
      <c r="N2403" s="9" t="s">
        <v>17746</v>
      </c>
      <c r="O2403" s="9" t="s">
        <v>31790</v>
      </c>
      <c r="P2403" s="9" t="s">
        <v>17748</v>
      </c>
      <c r="Q2403" s="11" t="s">
        <v>19026</v>
      </c>
      <c r="R2403" s="11" t="s">
        <v>19026</v>
      </c>
      <c r="S2403" s="11" t="s">
        <v>17750</v>
      </c>
    </row>
    <row r="2404" spans="1:19" x14ac:dyDescent="0.2">
      <c r="A2404" s="11" t="s">
        <v>31791</v>
      </c>
      <c r="B2404" s="9" t="s">
        <v>31792</v>
      </c>
      <c r="C2404" s="9" t="s">
        <v>31793</v>
      </c>
      <c r="D2404" s="9" t="s">
        <v>31794</v>
      </c>
      <c r="E2404" s="9" t="s">
        <v>17740</v>
      </c>
      <c r="F2404" s="9" t="s">
        <v>17741</v>
      </c>
      <c r="G2404" s="9" t="s">
        <v>17740</v>
      </c>
      <c r="H2404" s="11" t="s">
        <v>31795</v>
      </c>
      <c r="I2404" s="11" t="s">
        <v>31796</v>
      </c>
      <c r="J2404" s="11" t="s">
        <v>31796</v>
      </c>
      <c r="K2404" s="9" t="s">
        <v>20489</v>
      </c>
      <c r="L2404" s="9" t="s">
        <v>20446</v>
      </c>
      <c r="M2404" s="9" t="s">
        <v>17760</v>
      </c>
      <c r="N2404" s="9" t="s">
        <v>17746</v>
      </c>
      <c r="O2404" s="9" t="s">
        <v>18340</v>
      </c>
      <c r="P2404" s="9" t="s">
        <v>17748</v>
      </c>
      <c r="Q2404" s="11" t="s">
        <v>17819</v>
      </c>
      <c r="R2404" s="11" t="s">
        <v>17819</v>
      </c>
      <c r="S2404" s="11" t="s">
        <v>17750</v>
      </c>
    </row>
    <row r="2405" spans="1:19" x14ac:dyDescent="0.2">
      <c r="A2405" s="11" t="s">
        <v>31797</v>
      </c>
      <c r="B2405" s="9" t="s">
        <v>31798</v>
      </c>
      <c r="C2405" s="9" t="s">
        <v>31799</v>
      </c>
      <c r="D2405" s="9" t="s">
        <v>31800</v>
      </c>
      <c r="E2405" s="9" t="s">
        <v>17740</v>
      </c>
      <c r="F2405" s="9" t="s">
        <v>31801</v>
      </c>
      <c r="G2405" s="9" t="s">
        <v>17740</v>
      </c>
      <c r="H2405" s="11" t="s">
        <v>1913</v>
      </c>
      <c r="I2405" s="11" t="s">
        <v>1912</v>
      </c>
      <c r="J2405" s="11" t="s">
        <v>1912</v>
      </c>
      <c r="K2405" s="9" t="s">
        <v>19057</v>
      </c>
      <c r="L2405" s="9" t="s">
        <v>20446</v>
      </c>
      <c r="M2405" s="9" t="s">
        <v>17769</v>
      </c>
      <c r="N2405" s="9" t="s">
        <v>17746</v>
      </c>
      <c r="O2405" s="9" t="s">
        <v>31802</v>
      </c>
      <c r="P2405" s="9" t="s">
        <v>17748</v>
      </c>
      <c r="Q2405" s="11" t="s">
        <v>19026</v>
      </c>
      <c r="R2405" s="11" t="s">
        <v>19026</v>
      </c>
      <c r="S2405" s="11" t="s">
        <v>17750</v>
      </c>
    </row>
    <row r="2406" spans="1:19" x14ac:dyDescent="0.2">
      <c r="A2406" s="11" t="s">
        <v>31803</v>
      </c>
      <c r="B2406" s="9" t="s">
        <v>31804</v>
      </c>
      <c r="C2406" s="9" t="s">
        <v>31805</v>
      </c>
      <c r="D2406" s="9" t="s">
        <v>31806</v>
      </c>
      <c r="E2406" s="9" t="s">
        <v>17740</v>
      </c>
      <c r="F2406" s="9" t="s">
        <v>31807</v>
      </c>
      <c r="G2406" s="9" t="s">
        <v>17740</v>
      </c>
      <c r="H2406" s="11" t="s">
        <v>31808</v>
      </c>
      <c r="I2406" s="11" t="s">
        <v>31809</v>
      </c>
      <c r="J2406" s="11" t="s">
        <v>31809</v>
      </c>
      <c r="K2406" s="9" t="s">
        <v>31777</v>
      </c>
      <c r="L2406" s="9" t="s">
        <v>20446</v>
      </c>
      <c r="M2406" s="9" t="s">
        <v>31810</v>
      </c>
      <c r="N2406" s="9" t="s">
        <v>17746</v>
      </c>
      <c r="O2406" s="9" t="s">
        <v>17977</v>
      </c>
      <c r="P2406" s="9" t="s">
        <v>17748</v>
      </c>
      <c r="Q2406" s="11" t="s">
        <v>17849</v>
      </c>
      <c r="R2406" s="11" t="s">
        <v>17849</v>
      </c>
      <c r="S2406" s="11" t="s">
        <v>17750</v>
      </c>
    </row>
    <row r="2407" spans="1:19" x14ac:dyDescent="0.2">
      <c r="A2407" s="11" t="s">
        <v>31811</v>
      </c>
      <c r="B2407" s="9" t="s">
        <v>31812</v>
      </c>
      <c r="C2407" s="9" t="s">
        <v>31813</v>
      </c>
      <c r="D2407" s="9" t="s">
        <v>31814</v>
      </c>
      <c r="E2407" s="9" t="s">
        <v>17740</v>
      </c>
      <c r="F2407" s="9" t="s">
        <v>17741</v>
      </c>
      <c r="G2407" s="9" t="s">
        <v>17740</v>
      </c>
      <c r="H2407" s="11" t="s">
        <v>1966</v>
      </c>
      <c r="I2407" s="11" t="s">
        <v>1965</v>
      </c>
      <c r="J2407" s="11" t="s">
        <v>1965</v>
      </c>
      <c r="K2407" s="9" t="s">
        <v>1977</v>
      </c>
      <c r="L2407" s="9" t="s">
        <v>20446</v>
      </c>
      <c r="M2407" s="9" t="s">
        <v>22559</v>
      </c>
      <c r="N2407" s="9" t="s">
        <v>17746</v>
      </c>
      <c r="O2407" s="9" t="s">
        <v>1675</v>
      </c>
      <c r="P2407" s="9" t="s">
        <v>17748</v>
      </c>
      <c r="Q2407" s="11" t="s">
        <v>19515</v>
      </c>
      <c r="R2407" s="11" t="s">
        <v>19515</v>
      </c>
      <c r="S2407" s="11" t="s">
        <v>17750</v>
      </c>
    </row>
    <row r="2408" spans="1:19" x14ac:dyDescent="0.2">
      <c r="A2408" s="11" t="s">
        <v>31815</v>
      </c>
      <c r="B2408" s="9" t="s">
        <v>31816</v>
      </c>
      <c r="C2408" s="9" t="s">
        <v>31817</v>
      </c>
      <c r="D2408" s="9" t="s">
        <v>31818</v>
      </c>
      <c r="E2408" s="9" t="s">
        <v>17740</v>
      </c>
      <c r="F2408" s="9" t="s">
        <v>31819</v>
      </c>
      <c r="G2408" s="9" t="s">
        <v>17740</v>
      </c>
      <c r="H2408" s="11" t="s">
        <v>17741</v>
      </c>
      <c r="I2408" s="11" t="s">
        <v>1936</v>
      </c>
      <c r="J2408" s="11" t="s">
        <v>1936</v>
      </c>
      <c r="K2408" s="9" t="s">
        <v>1938</v>
      </c>
      <c r="L2408" s="9" t="s">
        <v>20446</v>
      </c>
      <c r="M2408" s="9" t="s">
        <v>17760</v>
      </c>
      <c r="N2408" s="9" t="s">
        <v>17746</v>
      </c>
      <c r="O2408" s="9" t="s">
        <v>18548</v>
      </c>
      <c r="P2408" s="9" t="s">
        <v>17748</v>
      </c>
      <c r="Q2408" s="11" t="s">
        <v>18341</v>
      </c>
      <c r="R2408" s="11" t="s">
        <v>18341</v>
      </c>
      <c r="S2408" s="11" t="s">
        <v>17750</v>
      </c>
    </row>
    <row r="2409" spans="1:19" x14ac:dyDescent="0.2">
      <c r="A2409" s="11" t="s">
        <v>31820</v>
      </c>
      <c r="B2409" s="9" t="s">
        <v>31821</v>
      </c>
      <c r="C2409" s="9" t="s">
        <v>31822</v>
      </c>
      <c r="D2409" s="9" t="s">
        <v>31823</v>
      </c>
      <c r="E2409" s="9" t="s">
        <v>17740</v>
      </c>
      <c r="F2409" s="9" t="s">
        <v>31824</v>
      </c>
      <c r="G2409" s="9" t="s">
        <v>17740</v>
      </c>
      <c r="H2409" s="11" t="s">
        <v>31825</v>
      </c>
      <c r="I2409" s="11" t="s">
        <v>31826</v>
      </c>
      <c r="J2409" s="11" t="s">
        <v>31826</v>
      </c>
      <c r="K2409" s="9" t="s">
        <v>31827</v>
      </c>
      <c r="L2409" s="9" t="s">
        <v>20446</v>
      </c>
      <c r="M2409" s="9" t="s">
        <v>17760</v>
      </c>
      <c r="N2409" s="9" t="s">
        <v>17746</v>
      </c>
      <c r="O2409" s="9" t="s">
        <v>17874</v>
      </c>
      <c r="P2409" s="9" t="s">
        <v>17748</v>
      </c>
      <c r="Q2409" s="11" t="s">
        <v>17780</v>
      </c>
      <c r="R2409" s="11" t="s">
        <v>17780</v>
      </c>
      <c r="S2409" s="11" t="s">
        <v>17750</v>
      </c>
    </row>
    <row r="2410" spans="1:19" x14ac:dyDescent="0.2">
      <c r="A2410" s="11" t="s">
        <v>31828</v>
      </c>
      <c r="B2410" s="9" t="s">
        <v>31829</v>
      </c>
      <c r="C2410" s="9" t="s">
        <v>31830</v>
      </c>
      <c r="D2410" s="9" t="s">
        <v>31831</v>
      </c>
      <c r="E2410" s="9" t="s">
        <v>17740</v>
      </c>
      <c r="F2410" s="9" t="s">
        <v>17741</v>
      </c>
      <c r="G2410" s="9" t="s">
        <v>17740</v>
      </c>
      <c r="H2410" s="11" t="s">
        <v>4199</v>
      </c>
      <c r="I2410" s="11" t="s">
        <v>4198</v>
      </c>
      <c r="J2410" s="11" t="s">
        <v>4198</v>
      </c>
      <c r="K2410" s="9" t="s">
        <v>19057</v>
      </c>
      <c r="L2410" s="9" t="s">
        <v>20446</v>
      </c>
      <c r="M2410" s="9" t="s">
        <v>17760</v>
      </c>
      <c r="N2410" s="9" t="s">
        <v>17746</v>
      </c>
      <c r="O2410" s="9" t="s">
        <v>18746</v>
      </c>
      <c r="P2410" s="9" t="s">
        <v>17748</v>
      </c>
      <c r="Q2410" s="11" t="s">
        <v>17978</v>
      </c>
      <c r="R2410" s="11" t="s">
        <v>17978</v>
      </c>
      <c r="S2410" s="11" t="s">
        <v>17750</v>
      </c>
    </row>
    <row r="2411" spans="1:19" x14ac:dyDescent="0.2">
      <c r="A2411" s="11" t="s">
        <v>31832</v>
      </c>
      <c r="B2411" s="9" t="s">
        <v>31833</v>
      </c>
      <c r="C2411" s="9" t="s">
        <v>31834</v>
      </c>
      <c r="D2411" s="9" t="s">
        <v>31835</v>
      </c>
      <c r="E2411" s="9" t="s">
        <v>17740</v>
      </c>
      <c r="F2411" s="9" t="s">
        <v>31836</v>
      </c>
      <c r="G2411" s="9" t="s">
        <v>17740</v>
      </c>
      <c r="H2411" s="11" t="s">
        <v>17741</v>
      </c>
      <c r="I2411" s="11" t="s">
        <v>6365</v>
      </c>
      <c r="J2411" s="11" t="s">
        <v>6365</v>
      </c>
      <c r="K2411" s="9" t="s">
        <v>20489</v>
      </c>
      <c r="L2411" s="9" t="s">
        <v>20446</v>
      </c>
      <c r="M2411" s="9" t="s">
        <v>17817</v>
      </c>
      <c r="N2411" s="9" t="s">
        <v>17746</v>
      </c>
      <c r="O2411" s="9" t="s">
        <v>17993</v>
      </c>
      <c r="P2411" s="9" t="s">
        <v>17748</v>
      </c>
      <c r="Q2411" s="11" t="s">
        <v>23666</v>
      </c>
      <c r="R2411" s="11" t="s">
        <v>23666</v>
      </c>
      <c r="S2411" s="11" t="s">
        <v>17750</v>
      </c>
    </row>
    <row r="2412" spans="1:19" x14ac:dyDescent="0.2">
      <c r="A2412" s="11" t="s">
        <v>31837</v>
      </c>
      <c r="B2412" s="9" t="s">
        <v>31838</v>
      </c>
      <c r="C2412" s="9" t="s">
        <v>31839</v>
      </c>
      <c r="D2412" s="9" t="s">
        <v>31840</v>
      </c>
      <c r="E2412" s="9" t="s">
        <v>17740</v>
      </c>
      <c r="F2412" s="9" t="s">
        <v>31841</v>
      </c>
      <c r="G2412" s="9" t="s">
        <v>17740</v>
      </c>
      <c r="H2412" s="11" t="s">
        <v>2047</v>
      </c>
      <c r="I2412" s="11" t="s">
        <v>2046</v>
      </c>
      <c r="J2412" s="11" t="s">
        <v>2046</v>
      </c>
      <c r="K2412" s="9" t="s">
        <v>19057</v>
      </c>
      <c r="L2412" s="9" t="s">
        <v>20446</v>
      </c>
      <c r="M2412" s="9" t="s">
        <v>17817</v>
      </c>
      <c r="N2412" s="9" t="s">
        <v>17746</v>
      </c>
      <c r="O2412" s="9" t="s">
        <v>17993</v>
      </c>
      <c r="P2412" s="9" t="s">
        <v>17748</v>
      </c>
      <c r="Q2412" s="11" t="s">
        <v>18847</v>
      </c>
      <c r="R2412" s="11" t="s">
        <v>18847</v>
      </c>
      <c r="S2412" s="11" t="s">
        <v>17750</v>
      </c>
    </row>
    <row r="2413" spans="1:19" x14ac:dyDescent="0.2">
      <c r="A2413" s="11" t="s">
        <v>31842</v>
      </c>
      <c r="B2413" s="9" t="s">
        <v>31843</v>
      </c>
      <c r="C2413" s="9" t="s">
        <v>31844</v>
      </c>
      <c r="D2413" s="9" t="s">
        <v>31845</v>
      </c>
      <c r="E2413" s="9" t="s">
        <v>17740</v>
      </c>
      <c r="F2413" s="9" t="s">
        <v>31846</v>
      </c>
      <c r="G2413" s="9" t="s">
        <v>17740</v>
      </c>
      <c r="H2413" s="11" t="s">
        <v>31847</v>
      </c>
      <c r="I2413" s="11" t="s">
        <v>31848</v>
      </c>
      <c r="J2413" s="11" t="s">
        <v>31848</v>
      </c>
      <c r="K2413" s="9" t="s">
        <v>19057</v>
      </c>
      <c r="L2413" s="9" t="s">
        <v>20446</v>
      </c>
      <c r="M2413" s="9" t="s">
        <v>31849</v>
      </c>
      <c r="N2413" s="9" t="s">
        <v>17746</v>
      </c>
      <c r="O2413" s="9" t="s">
        <v>3255</v>
      </c>
      <c r="P2413" s="9" t="s">
        <v>17748</v>
      </c>
      <c r="Q2413" s="11" t="s">
        <v>19899</v>
      </c>
      <c r="R2413" s="11" t="s">
        <v>19899</v>
      </c>
      <c r="S2413" s="11" t="s">
        <v>17750</v>
      </c>
    </row>
    <row r="2414" spans="1:19" x14ac:dyDescent="0.2">
      <c r="A2414" s="11" t="s">
        <v>31850</v>
      </c>
      <c r="B2414" s="9" t="s">
        <v>31851</v>
      </c>
      <c r="C2414" s="9" t="s">
        <v>31852</v>
      </c>
      <c r="D2414" s="9" t="s">
        <v>31853</v>
      </c>
      <c r="E2414" s="9" t="s">
        <v>17748</v>
      </c>
      <c r="F2414" s="9" t="s">
        <v>31854</v>
      </c>
      <c r="G2414" s="9" t="s">
        <v>17740</v>
      </c>
      <c r="H2414" s="11" t="s">
        <v>1973</v>
      </c>
      <c r="I2414" s="11" t="s">
        <v>1972</v>
      </c>
      <c r="J2414" s="11" t="s">
        <v>1972</v>
      </c>
      <c r="K2414" s="9" t="s">
        <v>20489</v>
      </c>
      <c r="L2414" s="9" t="s">
        <v>20446</v>
      </c>
      <c r="M2414" s="9" t="s">
        <v>17760</v>
      </c>
      <c r="N2414" s="9" t="s">
        <v>17746</v>
      </c>
      <c r="O2414" s="9" t="s">
        <v>31855</v>
      </c>
      <c r="P2414" s="9" t="s">
        <v>17748</v>
      </c>
      <c r="Q2414" s="11" t="s">
        <v>18608</v>
      </c>
      <c r="R2414" s="11" t="s">
        <v>18608</v>
      </c>
      <c r="S2414" s="11" t="s">
        <v>17750</v>
      </c>
    </row>
    <row r="2415" spans="1:19" x14ac:dyDescent="0.2">
      <c r="A2415" s="11" t="s">
        <v>31856</v>
      </c>
      <c r="B2415" s="9" t="s">
        <v>31857</v>
      </c>
      <c r="C2415" s="9" t="s">
        <v>31858</v>
      </c>
      <c r="D2415" s="9" t="s">
        <v>31859</v>
      </c>
      <c r="E2415" s="9" t="s">
        <v>17740</v>
      </c>
      <c r="F2415" s="9" t="s">
        <v>17741</v>
      </c>
      <c r="G2415" s="9" t="s">
        <v>17740</v>
      </c>
      <c r="H2415" s="11" t="s">
        <v>1976</v>
      </c>
      <c r="I2415" s="11" t="s">
        <v>1975</v>
      </c>
      <c r="J2415" s="11" t="s">
        <v>1975</v>
      </c>
      <c r="K2415" s="9" t="s">
        <v>31860</v>
      </c>
      <c r="L2415" s="9" t="s">
        <v>20446</v>
      </c>
      <c r="M2415" s="9" t="s">
        <v>17769</v>
      </c>
      <c r="N2415" s="9" t="s">
        <v>17746</v>
      </c>
      <c r="O2415" s="9" t="s">
        <v>3355</v>
      </c>
      <c r="P2415" s="9" t="s">
        <v>17748</v>
      </c>
      <c r="Q2415" s="11" t="s">
        <v>25031</v>
      </c>
      <c r="R2415" s="11" t="s">
        <v>25031</v>
      </c>
      <c r="S2415" s="11" t="s">
        <v>17750</v>
      </c>
    </row>
    <row r="2416" spans="1:19" x14ac:dyDescent="0.2">
      <c r="A2416" s="11" t="s">
        <v>31861</v>
      </c>
      <c r="B2416" s="9" t="s">
        <v>31862</v>
      </c>
      <c r="C2416" s="9" t="s">
        <v>31863</v>
      </c>
      <c r="D2416" s="9" t="s">
        <v>31864</v>
      </c>
      <c r="E2416" s="9" t="s">
        <v>17740</v>
      </c>
      <c r="F2416" s="9" t="s">
        <v>17741</v>
      </c>
      <c r="G2416" s="9" t="s">
        <v>17740</v>
      </c>
      <c r="H2416" s="11" t="s">
        <v>2050</v>
      </c>
      <c r="I2416" s="11" t="s">
        <v>2049</v>
      </c>
      <c r="J2416" s="11" t="s">
        <v>2049</v>
      </c>
      <c r="K2416" s="9" t="s">
        <v>19057</v>
      </c>
      <c r="L2416" s="9" t="s">
        <v>20446</v>
      </c>
      <c r="M2416" s="9" t="s">
        <v>29840</v>
      </c>
      <c r="N2416" s="9" t="s">
        <v>17746</v>
      </c>
      <c r="O2416" s="9" t="s">
        <v>3391</v>
      </c>
      <c r="P2416" s="9" t="s">
        <v>17748</v>
      </c>
      <c r="Q2416" s="11" t="s">
        <v>17867</v>
      </c>
      <c r="R2416" s="11" t="s">
        <v>17867</v>
      </c>
      <c r="S2416" s="11" t="s">
        <v>17750</v>
      </c>
    </row>
    <row r="2417" spans="1:19" x14ac:dyDescent="0.2">
      <c r="A2417" s="11" t="s">
        <v>31865</v>
      </c>
      <c r="B2417" s="9" t="s">
        <v>31866</v>
      </c>
      <c r="C2417" s="9" t="s">
        <v>31867</v>
      </c>
      <c r="D2417" s="9" t="s">
        <v>31868</v>
      </c>
      <c r="E2417" s="9" t="s">
        <v>17740</v>
      </c>
      <c r="F2417" s="9" t="s">
        <v>17741</v>
      </c>
      <c r="G2417" s="9" t="s">
        <v>17740</v>
      </c>
      <c r="H2417" s="11" t="s">
        <v>17741</v>
      </c>
      <c r="I2417" s="11" t="s">
        <v>1982</v>
      </c>
      <c r="J2417" s="11" t="s">
        <v>1982</v>
      </c>
      <c r="K2417" s="9" t="s">
        <v>31869</v>
      </c>
      <c r="L2417" s="9" t="s">
        <v>20446</v>
      </c>
      <c r="M2417" s="9" t="s">
        <v>17760</v>
      </c>
      <c r="N2417" s="9" t="s">
        <v>17746</v>
      </c>
      <c r="O2417" s="9" t="s">
        <v>23986</v>
      </c>
      <c r="P2417" s="9" t="s">
        <v>17748</v>
      </c>
      <c r="Q2417" s="11" t="s">
        <v>17937</v>
      </c>
      <c r="R2417" s="11" t="s">
        <v>17937</v>
      </c>
      <c r="S2417" s="11" t="s">
        <v>17750</v>
      </c>
    </row>
    <row r="2418" spans="1:19" x14ac:dyDescent="0.2">
      <c r="A2418" s="11" t="s">
        <v>31870</v>
      </c>
      <c r="B2418" s="9" t="s">
        <v>31871</v>
      </c>
      <c r="C2418" s="9" t="s">
        <v>31872</v>
      </c>
      <c r="D2418" s="9" t="s">
        <v>31873</v>
      </c>
      <c r="E2418" s="9" t="s">
        <v>17740</v>
      </c>
      <c r="F2418" s="9" t="s">
        <v>17741</v>
      </c>
      <c r="G2418" s="9" t="s">
        <v>17740</v>
      </c>
      <c r="H2418" s="11" t="s">
        <v>17741</v>
      </c>
      <c r="I2418" s="11" t="s">
        <v>31874</v>
      </c>
      <c r="J2418" s="11" t="s">
        <v>31874</v>
      </c>
      <c r="K2418" s="9" t="s">
        <v>20489</v>
      </c>
      <c r="L2418" s="9" t="s">
        <v>20446</v>
      </c>
      <c r="M2418" s="9" t="s">
        <v>17760</v>
      </c>
      <c r="N2418" s="9" t="s">
        <v>17746</v>
      </c>
      <c r="O2418" s="9" t="s">
        <v>3524</v>
      </c>
      <c r="P2418" s="9" t="s">
        <v>17748</v>
      </c>
      <c r="Q2418" s="11" t="s">
        <v>17937</v>
      </c>
      <c r="R2418" s="11" t="s">
        <v>17937</v>
      </c>
      <c r="S2418" s="11" t="s">
        <v>17750</v>
      </c>
    </row>
    <row r="2419" spans="1:19" x14ac:dyDescent="0.2">
      <c r="A2419" s="11" t="s">
        <v>31875</v>
      </c>
      <c r="B2419" s="9" t="s">
        <v>31876</v>
      </c>
      <c r="C2419" s="9" t="s">
        <v>31877</v>
      </c>
      <c r="D2419" s="9" t="s">
        <v>31878</v>
      </c>
      <c r="E2419" s="9" t="s">
        <v>17740</v>
      </c>
      <c r="F2419" s="9" t="s">
        <v>17741</v>
      </c>
      <c r="G2419" s="9" t="s">
        <v>17740</v>
      </c>
      <c r="H2419" s="11" t="s">
        <v>17741</v>
      </c>
      <c r="I2419" s="11" t="s">
        <v>2004</v>
      </c>
      <c r="J2419" s="11" t="s">
        <v>2004</v>
      </c>
      <c r="K2419" s="9" t="s">
        <v>31879</v>
      </c>
      <c r="L2419" s="9" t="s">
        <v>20446</v>
      </c>
      <c r="M2419" s="9" t="s">
        <v>17778</v>
      </c>
      <c r="N2419" s="9" t="s">
        <v>17746</v>
      </c>
      <c r="O2419" s="9" t="s">
        <v>19659</v>
      </c>
      <c r="P2419" s="9" t="s">
        <v>17748</v>
      </c>
      <c r="Q2419" s="11" t="s">
        <v>18470</v>
      </c>
      <c r="R2419" s="11" t="s">
        <v>18470</v>
      </c>
      <c r="S2419" s="11" t="s">
        <v>17750</v>
      </c>
    </row>
    <row r="2420" spans="1:19" x14ac:dyDescent="0.2">
      <c r="A2420" s="11" t="s">
        <v>31880</v>
      </c>
      <c r="B2420" s="9" t="s">
        <v>31881</v>
      </c>
      <c r="C2420" s="9" t="s">
        <v>31882</v>
      </c>
      <c r="D2420" s="9" t="s">
        <v>31883</v>
      </c>
      <c r="E2420" s="9" t="s">
        <v>17740</v>
      </c>
      <c r="F2420" s="9" t="s">
        <v>31884</v>
      </c>
      <c r="G2420" s="9" t="s">
        <v>17740</v>
      </c>
      <c r="H2420" s="11" t="s">
        <v>2062</v>
      </c>
      <c r="I2420" s="11" t="s">
        <v>2061</v>
      </c>
      <c r="J2420" s="11" t="s">
        <v>2061</v>
      </c>
      <c r="K2420" s="9" t="s">
        <v>2060</v>
      </c>
      <c r="L2420" s="9" t="s">
        <v>20446</v>
      </c>
      <c r="M2420" s="9" t="s">
        <v>17817</v>
      </c>
      <c r="N2420" s="9" t="s">
        <v>17746</v>
      </c>
      <c r="O2420" s="9" t="s">
        <v>3355</v>
      </c>
      <c r="P2420" s="9" t="s">
        <v>17748</v>
      </c>
      <c r="Q2420" s="11" t="s">
        <v>19236</v>
      </c>
      <c r="R2420" s="11" t="s">
        <v>19236</v>
      </c>
      <c r="S2420" s="11" t="s">
        <v>17750</v>
      </c>
    </row>
    <row r="2421" spans="1:19" x14ac:dyDescent="0.2">
      <c r="A2421" s="11" t="s">
        <v>31885</v>
      </c>
      <c r="B2421" s="9" t="s">
        <v>31886</v>
      </c>
      <c r="C2421" s="9" t="s">
        <v>31887</v>
      </c>
      <c r="D2421" s="9" t="s">
        <v>31888</v>
      </c>
      <c r="E2421" s="9" t="s">
        <v>17740</v>
      </c>
      <c r="F2421" s="9" t="s">
        <v>17741</v>
      </c>
      <c r="G2421" s="9" t="s">
        <v>17740</v>
      </c>
      <c r="H2421" s="11" t="s">
        <v>31889</v>
      </c>
      <c r="I2421" s="11" t="s">
        <v>31890</v>
      </c>
      <c r="J2421" s="11" t="s">
        <v>31890</v>
      </c>
      <c r="K2421" s="9" t="s">
        <v>21146</v>
      </c>
      <c r="L2421" s="9" t="s">
        <v>17744</v>
      </c>
      <c r="M2421" s="9" t="s">
        <v>17760</v>
      </c>
      <c r="N2421" s="9" t="s">
        <v>17746</v>
      </c>
      <c r="O2421" s="9" t="s">
        <v>20453</v>
      </c>
      <c r="P2421" s="9" t="s">
        <v>17748</v>
      </c>
      <c r="Q2421" s="11" t="s">
        <v>18080</v>
      </c>
      <c r="R2421" s="11" t="s">
        <v>18080</v>
      </c>
      <c r="S2421" s="11" t="s">
        <v>17750</v>
      </c>
    </row>
    <row r="2422" spans="1:19" x14ac:dyDescent="0.2">
      <c r="A2422" s="11" t="s">
        <v>31891</v>
      </c>
      <c r="B2422" s="9" t="s">
        <v>31892</v>
      </c>
      <c r="C2422" s="9" t="s">
        <v>31893</v>
      </c>
      <c r="D2422" s="9" t="s">
        <v>31894</v>
      </c>
      <c r="E2422" s="9" t="s">
        <v>17740</v>
      </c>
      <c r="F2422" s="9" t="s">
        <v>31895</v>
      </c>
      <c r="G2422" s="9" t="s">
        <v>17740</v>
      </c>
      <c r="H2422" s="11" t="s">
        <v>31896</v>
      </c>
      <c r="I2422" s="11" t="s">
        <v>31897</v>
      </c>
      <c r="J2422" s="11" t="s">
        <v>31897</v>
      </c>
      <c r="K2422" s="9" t="s">
        <v>31898</v>
      </c>
      <c r="L2422" s="9" t="s">
        <v>18242</v>
      </c>
      <c r="M2422" s="9" t="s">
        <v>17778</v>
      </c>
      <c r="N2422" s="9" t="s">
        <v>17746</v>
      </c>
      <c r="O2422" s="9" t="s">
        <v>21318</v>
      </c>
      <c r="P2422" s="9" t="s">
        <v>17748</v>
      </c>
      <c r="Q2422" s="11" t="s">
        <v>17849</v>
      </c>
      <c r="R2422" s="11" t="s">
        <v>17849</v>
      </c>
      <c r="S2422" s="11" t="s">
        <v>17750</v>
      </c>
    </row>
    <row r="2423" spans="1:19" x14ac:dyDescent="0.2">
      <c r="A2423" s="11" t="s">
        <v>31899</v>
      </c>
      <c r="B2423" s="9" t="s">
        <v>31900</v>
      </c>
      <c r="C2423" s="9" t="s">
        <v>31901</v>
      </c>
      <c r="D2423" s="9" t="s">
        <v>31902</v>
      </c>
      <c r="E2423" s="9" t="s">
        <v>17740</v>
      </c>
      <c r="F2423" s="9" t="s">
        <v>17741</v>
      </c>
      <c r="G2423" s="9" t="s">
        <v>17740</v>
      </c>
      <c r="H2423" s="11" t="s">
        <v>31903</v>
      </c>
      <c r="I2423" s="11" t="s">
        <v>1862</v>
      </c>
      <c r="J2423" s="11" t="s">
        <v>1862</v>
      </c>
      <c r="K2423" s="9" t="s">
        <v>31904</v>
      </c>
      <c r="L2423" s="9" t="s">
        <v>17759</v>
      </c>
      <c r="M2423" s="9" t="s">
        <v>17760</v>
      </c>
      <c r="N2423" s="9" t="s">
        <v>17746</v>
      </c>
      <c r="O2423" s="9" t="s">
        <v>18778</v>
      </c>
      <c r="P2423" s="9" t="s">
        <v>17748</v>
      </c>
      <c r="Q2423" s="11" t="s">
        <v>19335</v>
      </c>
      <c r="R2423" s="11" t="s">
        <v>19335</v>
      </c>
      <c r="S2423" s="11" t="s">
        <v>17750</v>
      </c>
    </row>
    <row r="2424" spans="1:19" x14ac:dyDescent="0.2">
      <c r="A2424" s="11" t="s">
        <v>31905</v>
      </c>
      <c r="B2424" s="9" t="s">
        <v>1879</v>
      </c>
      <c r="C2424" s="9" t="s">
        <v>31906</v>
      </c>
      <c r="D2424" s="9" t="s">
        <v>1879</v>
      </c>
      <c r="E2424" s="9" t="s">
        <v>17740</v>
      </c>
      <c r="F2424" s="9" t="s">
        <v>17741</v>
      </c>
      <c r="G2424" s="9" t="s">
        <v>17740</v>
      </c>
      <c r="H2424" s="11" t="s">
        <v>1881</v>
      </c>
      <c r="I2424" s="11" t="s">
        <v>1880</v>
      </c>
      <c r="J2424" s="11" t="s">
        <v>1880</v>
      </c>
      <c r="K2424" s="9" t="s">
        <v>25450</v>
      </c>
      <c r="L2424" s="9" t="s">
        <v>18158</v>
      </c>
      <c r="M2424" s="9" t="s">
        <v>31907</v>
      </c>
      <c r="N2424" s="9" t="s">
        <v>17746</v>
      </c>
      <c r="O2424" s="9" t="s">
        <v>31908</v>
      </c>
      <c r="P2424" s="9" t="s">
        <v>17748</v>
      </c>
      <c r="Q2424" s="11" t="s">
        <v>18243</v>
      </c>
      <c r="R2424" s="11" t="s">
        <v>18243</v>
      </c>
      <c r="S2424" s="11" t="s">
        <v>17750</v>
      </c>
    </row>
    <row r="2425" spans="1:19" x14ac:dyDescent="0.2">
      <c r="A2425" s="11" t="s">
        <v>31909</v>
      </c>
      <c r="B2425" s="9" t="s">
        <v>31910</v>
      </c>
      <c r="C2425" s="9" t="s">
        <v>31911</v>
      </c>
      <c r="D2425" s="9" t="s">
        <v>31912</v>
      </c>
      <c r="E2425" s="9" t="s">
        <v>17740</v>
      </c>
      <c r="F2425" s="9" t="s">
        <v>17741</v>
      </c>
      <c r="G2425" s="9" t="s">
        <v>17740</v>
      </c>
      <c r="H2425" s="11" t="s">
        <v>2041</v>
      </c>
      <c r="I2425" s="11" t="s">
        <v>2040</v>
      </c>
      <c r="J2425" s="11" t="s">
        <v>2040</v>
      </c>
      <c r="K2425" s="9" t="s">
        <v>25410</v>
      </c>
      <c r="L2425" s="9" t="s">
        <v>17759</v>
      </c>
      <c r="M2425" s="9" t="s">
        <v>17817</v>
      </c>
      <c r="N2425" s="9" t="s">
        <v>17746</v>
      </c>
      <c r="O2425" s="9" t="s">
        <v>31908</v>
      </c>
      <c r="P2425" s="9" t="s">
        <v>17748</v>
      </c>
      <c r="Q2425" s="11" t="s">
        <v>18282</v>
      </c>
      <c r="R2425" s="11" t="s">
        <v>18282</v>
      </c>
      <c r="S2425" s="11" t="s">
        <v>17750</v>
      </c>
    </row>
    <row r="2426" spans="1:19" x14ac:dyDescent="0.2">
      <c r="A2426" s="11" t="s">
        <v>31913</v>
      </c>
      <c r="B2426" s="9" t="s">
        <v>31914</v>
      </c>
      <c r="C2426" s="9" t="s">
        <v>31915</v>
      </c>
      <c r="D2426" s="9" t="s">
        <v>31916</v>
      </c>
      <c r="E2426" s="9" t="s">
        <v>17740</v>
      </c>
      <c r="F2426" s="9" t="s">
        <v>31917</v>
      </c>
      <c r="G2426" s="9" t="s">
        <v>17740</v>
      </c>
      <c r="H2426" s="11" t="s">
        <v>31918</v>
      </c>
      <c r="I2426" s="11" t="s">
        <v>7338</v>
      </c>
      <c r="J2426" s="11" t="s">
        <v>7338</v>
      </c>
      <c r="K2426" s="9" t="s">
        <v>7339</v>
      </c>
      <c r="L2426" s="9" t="s">
        <v>17759</v>
      </c>
      <c r="M2426" s="9" t="s">
        <v>17817</v>
      </c>
      <c r="N2426" s="9" t="s">
        <v>17746</v>
      </c>
      <c r="O2426" s="9" t="s">
        <v>31919</v>
      </c>
      <c r="P2426" s="9" t="s">
        <v>17748</v>
      </c>
      <c r="Q2426" s="11" t="s">
        <v>18678</v>
      </c>
      <c r="R2426" s="11" t="s">
        <v>18678</v>
      </c>
      <c r="S2426" s="11" t="s">
        <v>17750</v>
      </c>
    </row>
    <row r="2427" spans="1:19" x14ac:dyDescent="0.2">
      <c r="A2427" s="11" t="s">
        <v>31920</v>
      </c>
      <c r="B2427" s="9" t="s">
        <v>31921</v>
      </c>
      <c r="C2427" s="9" t="s">
        <v>31922</v>
      </c>
      <c r="D2427" s="9" t="s">
        <v>31923</v>
      </c>
      <c r="E2427" s="9" t="s">
        <v>17740</v>
      </c>
      <c r="F2427" s="9" t="s">
        <v>17741</v>
      </c>
      <c r="G2427" s="9" t="s">
        <v>17740</v>
      </c>
      <c r="H2427" s="11" t="s">
        <v>9094</v>
      </c>
      <c r="I2427" s="11" t="s">
        <v>9093</v>
      </c>
      <c r="J2427" s="11" t="s">
        <v>9093</v>
      </c>
      <c r="K2427" s="9" t="s">
        <v>18661</v>
      </c>
      <c r="L2427" s="9" t="s">
        <v>18001</v>
      </c>
      <c r="M2427" s="9" t="s">
        <v>19108</v>
      </c>
      <c r="N2427" s="9" t="s">
        <v>17746</v>
      </c>
      <c r="O2427" s="9" t="s">
        <v>31924</v>
      </c>
      <c r="P2427" s="9" t="s">
        <v>17748</v>
      </c>
      <c r="Q2427" s="11" t="s">
        <v>18922</v>
      </c>
      <c r="R2427" s="11" t="s">
        <v>18922</v>
      </c>
      <c r="S2427" s="11" t="s">
        <v>17750</v>
      </c>
    </row>
    <row r="2428" spans="1:19" x14ac:dyDescent="0.2">
      <c r="A2428" s="11" t="s">
        <v>31925</v>
      </c>
      <c r="B2428" s="9" t="s">
        <v>31926</v>
      </c>
      <c r="C2428" s="9" t="s">
        <v>31927</v>
      </c>
      <c r="D2428" s="9" t="s">
        <v>31928</v>
      </c>
      <c r="E2428" s="9" t="s">
        <v>17740</v>
      </c>
      <c r="F2428" s="9" t="s">
        <v>17741</v>
      </c>
      <c r="G2428" s="9" t="s">
        <v>17740</v>
      </c>
      <c r="H2428" s="11" t="s">
        <v>5038</v>
      </c>
      <c r="I2428" s="11" t="s">
        <v>5037</v>
      </c>
      <c r="J2428" s="11" t="s">
        <v>5037</v>
      </c>
      <c r="K2428" s="9" t="s">
        <v>25648</v>
      </c>
      <c r="L2428" s="9" t="s">
        <v>17759</v>
      </c>
      <c r="M2428" s="9" t="s">
        <v>17760</v>
      </c>
      <c r="N2428" s="9" t="s">
        <v>17746</v>
      </c>
      <c r="O2428" s="9" t="s">
        <v>19659</v>
      </c>
      <c r="P2428" s="9" t="s">
        <v>17748</v>
      </c>
      <c r="Q2428" s="11" t="s">
        <v>18364</v>
      </c>
      <c r="R2428" s="11" t="s">
        <v>18364</v>
      </c>
      <c r="S2428" s="11" t="s">
        <v>17750</v>
      </c>
    </row>
    <row r="2429" spans="1:19" x14ac:dyDescent="0.2">
      <c r="A2429" s="11" t="s">
        <v>31929</v>
      </c>
      <c r="B2429" s="9" t="s">
        <v>31930</v>
      </c>
      <c r="C2429" s="9" t="s">
        <v>31931</v>
      </c>
      <c r="D2429" s="9" t="s">
        <v>31932</v>
      </c>
      <c r="E2429" s="9" t="s">
        <v>17740</v>
      </c>
      <c r="F2429" s="9" t="s">
        <v>17741</v>
      </c>
      <c r="G2429" s="9" t="s">
        <v>17740</v>
      </c>
      <c r="H2429" s="11" t="s">
        <v>6166</v>
      </c>
      <c r="I2429" s="11" t="s">
        <v>6165</v>
      </c>
      <c r="J2429" s="11" t="s">
        <v>6165</v>
      </c>
      <c r="K2429" s="9" t="s">
        <v>31933</v>
      </c>
      <c r="L2429" s="9" t="s">
        <v>21182</v>
      </c>
      <c r="M2429" s="9" t="s">
        <v>31934</v>
      </c>
      <c r="N2429" s="9" t="s">
        <v>17746</v>
      </c>
      <c r="O2429" s="9" t="s">
        <v>31935</v>
      </c>
      <c r="P2429" s="9" t="s">
        <v>17748</v>
      </c>
      <c r="Q2429" s="11" t="s">
        <v>17792</v>
      </c>
      <c r="R2429" s="11" t="s">
        <v>17792</v>
      </c>
      <c r="S2429" s="11" t="s">
        <v>17750</v>
      </c>
    </row>
    <row r="2430" spans="1:19" x14ac:dyDescent="0.2">
      <c r="A2430" s="11" t="s">
        <v>31936</v>
      </c>
      <c r="B2430" s="9" t="s">
        <v>31937</v>
      </c>
      <c r="C2430" s="9" t="s">
        <v>31938</v>
      </c>
      <c r="D2430" s="9" t="s">
        <v>31939</v>
      </c>
      <c r="E2430" s="9" t="s">
        <v>17748</v>
      </c>
      <c r="F2430" s="9" t="s">
        <v>31940</v>
      </c>
      <c r="G2430" s="9" t="s">
        <v>17740</v>
      </c>
      <c r="H2430" s="11" t="s">
        <v>31941</v>
      </c>
      <c r="I2430" s="11" t="s">
        <v>10914</v>
      </c>
      <c r="J2430" s="11" t="s">
        <v>10914</v>
      </c>
      <c r="K2430" s="9" t="s">
        <v>20956</v>
      </c>
      <c r="L2430" s="9" t="s">
        <v>20976</v>
      </c>
      <c r="M2430" s="9" t="s">
        <v>26444</v>
      </c>
      <c r="N2430" s="9" t="s">
        <v>17746</v>
      </c>
      <c r="O2430" s="9" t="s">
        <v>29142</v>
      </c>
      <c r="P2430" s="9" t="s">
        <v>17748</v>
      </c>
      <c r="Q2430" s="11" t="s">
        <v>17762</v>
      </c>
      <c r="R2430" s="11" t="s">
        <v>17762</v>
      </c>
      <c r="S2430" s="11" t="s">
        <v>17750</v>
      </c>
    </row>
    <row r="2431" spans="1:19" x14ac:dyDescent="0.2">
      <c r="A2431" s="11" t="s">
        <v>31942</v>
      </c>
      <c r="B2431" s="9" t="s">
        <v>31943</v>
      </c>
      <c r="C2431" s="9" t="s">
        <v>31944</v>
      </c>
      <c r="D2431" s="9" t="s">
        <v>31945</v>
      </c>
      <c r="E2431" s="9" t="s">
        <v>17740</v>
      </c>
      <c r="F2431" s="9" t="s">
        <v>17741</v>
      </c>
      <c r="G2431" s="9" t="s">
        <v>17740</v>
      </c>
      <c r="H2431" s="11" t="s">
        <v>17741</v>
      </c>
      <c r="I2431" s="11" t="s">
        <v>7033</v>
      </c>
      <c r="J2431" s="11" t="s">
        <v>7033</v>
      </c>
      <c r="K2431" s="9" t="s">
        <v>31946</v>
      </c>
      <c r="L2431" s="9" t="s">
        <v>17991</v>
      </c>
      <c r="M2431" s="9" t="s">
        <v>17760</v>
      </c>
      <c r="N2431" s="9" t="s">
        <v>20424</v>
      </c>
      <c r="O2431" s="9" t="s">
        <v>18882</v>
      </c>
      <c r="P2431" s="9" t="s">
        <v>17748</v>
      </c>
      <c r="Q2431" s="11" t="s">
        <v>17792</v>
      </c>
      <c r="R2431" s="11" t="s">
        <v>17792</v>
      </c>
      <c r="S2431" s="11" t="s">
        <v>17750</v>
      </c>
    </row>
    <row r="2432" spans="1:19" x14ac:dyDescent="0.2">
      <c r="A2432" s="11" t="s">
        <v>31947</v>
      </c>
      <c r="B2432" s="9" t="s">
        <v>2042</v>
      </c>
      <c r="C2432" s="9" t="s">
        <v>31948</v>
      </c>
      <c r="D2432" s="9" t="s">
        <v>2042</v>
      </c>
      <c r="E2432" s="9" t="s">
        <v>17740</v>
      </c>
      <c r="F2432" s="9" t="s">
        <v>17741</v>
      </c>
      <c r="G2432" s="9" t="s">
        <v>17740</v>
      </c>
      <c r="H2432" s="11" t="s">
        <v>2044</v>
      </c>
      <c r="I2432" s="11" t="s">
        <v>2043</v>
      </c>
      <c r="J2432" s="11" t="s">
        <v>2043</v>
      </c>
      <c r="K2432" s="9" t="s">
        <v>18832</v>
      </c>
      <c r="L2432" s="9" t="s">
        <v>17759</v>
      </c>
      <c r="M2432" s="9" t="s">
        <v>17769</v>
      </c>
      <c r="N2432" s="9" t="s">
        <v>17746</v>
      </c>
      <c r="O2432" s="9" t="s">
        <v>31949</v>
      </c>
      <c r="P2432" s="9" t="s">
        <v>17748</v>
      </c>
      <c r="Q2432" s="11" t="s">
        <v>18608</v>
      </c>
      <c r="R2432" s="11" t="s">
        <v>18608</v>
      </c>
      <c r="S2432" s="11" t="s">
        <v>17750</v>
      </c>
    </row>
    <row r="2433" spans="1:19" x14ac:dyDescent="0.2">
      <c r="A2433" s="11" t="s">
        <v>31950</v>
      </c>
      <c r="B2433" s="9" t="s">
        <v>31951</v>
      </c>
      <c r="C2433" s="9" t="s">
        <v>31952</v>
      </c>
      <c r="D2433" s="9" t="s">
        <v>31953</v>
      </c>
      <c r="E2433" s="9" t="s">
        <v>17748</v>
      </c>
      <c r="F2433" s="9" t="s">
        <v>31954</v>
      </c>
      <c r="G2433" s="9" t="s">
        <v>17740</v>
      </c>
      <c r="H2433" s="11" t="s">
        <v>31955</v>
      </c>
      <c r="I2433" s="11" t="s">
        <v>10894</v>
      </c>
      <c r="J2433" s="11" t="s">
        <v>10894</v>
      </c>
      <c r="K2433" s="9" t="s">
        <v>20956</v>
      </c>
      <c r="L2433" s="9" t="s">
        <v>20976</v>
      </c>
      <c r="M2433" s="9" t="s">
        <v>26444</v>
      </c>
      <c r="N2433" s="9" t="s">
        <v>17746</v>
      </c>
      <c r="O2433" s="9" t="s">
        <v>31956</v>
      </c>
      <c r="P2433" s="9" t="s">
        <v>17748</v>
      </c>
      <c r="Q2433" s="11" t="s">
        <v>17762</v>
      </c>
      <c r="R2433" s="11" t="s">
        <v>17762</v>
      </c>
      <c r="S2433" s="11" t="s">
        <v>17750</v>
      </c>
    </row>
    <row r="2434" spans="1:19" x14ac:dyDescent="0.2">
      <c r="A2434" s="11" t="s">
        <v>31957</v>
      </c>
      <c r="B2434" s="9" t="s">
        <v>31958</v>
      </c>
      <c r="C2434" s="9" t="s">
        <v>31959</v>
      </c>
      <c r="D2434" s="9" t="s">
        <v>31960</v>
      </c>
      <c r="E2434" s="9" t="s">
        <v>17748</v>
      </c>
      <c r="F2434" s="9" t="s">
        <v>31961</v>
      </c>
      <c r="G2434" s="9" t="s">
        <v>17740</v>
      </c>
      <c r="H2434" s="11" t="s">
        <v>6536</v>
      </c>
      <c r="I2434" s="11" t="s">
        <v>6535</v>
      </c>
      <c r="J2434" s="11" t="s">
        <v>6535</v>
      </c>
      <c r="K2434" s="9" t="s">
        <v>31962</v>
      </c>
      <c r="L2434" s="9" t="s">
        <v>18123</v>
      </c>
      <c r="M2434" s="9" t="s">
        <v>17817</v>
      </c>
      <c r="N2434" s="9" t="s">
        <v>17746</v>
      </c>
      <c r="O2434" s="9" t="s">
        <v>31949</v>
      </c>
      <c r="P2434" s="9" t="s">
        <v>17748</v>
      </c>
      <c r="Q2434" s="11" t="s">
        <v>19361</v>
      </c>
      <c r="R2434" s="11" t="s">
        <v>19361</v>
      </c>
      <c r="S2434" s="11" t="s">
        <v>17750</v>
      </c>
    </row>
    <row r="2435" spans="1:19" x14ac:dyDescent="0.2">
      <c r="A2435" s="11" t="s">
        <v>31963</v>
      </c>
      <c r="B2435" s="9" t="s">
        <v>31964</v>
      </c>
      <c r="C2435" s="9" t="s">
        <v>31965</v>
      </c>
      <c r="D2435" s="9" t="s">
        <v>31966</v>
      </c>
      <c r="E2435" s="9" t="s">
        <v>17740</v>
      </c>
      <c r="F2435" s="9" t="s">
        <v>17741</v>
      </c>
      <c r="G2435" s="9" t="s">
        <v>17740</v>
      </c>
      <c r="H2435" s="11" t="s">
        <v>6524</v>
      </c>
      <c r="I2435" s="11" t="s">
        <v>6523</v>
      </c>
      <c r="J2435" s="11" t="s">
        <v>6523</v>
      </c>
      <c r="K2435" s="9" t="s">
        <v>17758</v>
      </c>
      <c r="L2435" s="9" t="s">
        <v>17759</v>
      </c>
      <c r="M2435" s="9" t="s">
        <v>25519</v>
      </c>
      <c r="N2435" s="9" t="s">
        <v>17746</v>
      </c>
      <c r="O2435" s="9" t="s">
        <v>1675</v>
      </c>
      <c r="P2435" s="9" t="s">
        <v>17748</v>
      </c>
      <c r="Q2435" s="11" t="s">
        <v>19361</v>
      </c>
      <c r="R2435" s="11" t="s">
        <v>19361</v>
      </c>
      <c r="S2435" s="11" t="s">
        <v>17750</v>
      </c>
    </row>
    <row r="2436" spans="1:19" x14ac:dyDescent="0.2">
      <c r="A2436" s="11" t="s">
        <v>31967</v>
      </c>
      <c r="B2436" s="9" t="s">
        <v>5406</v>
      </c>
      <c r="C2436" s="9" t="s">
        <v>31968</v>
      </c>
      <c r="D2436" s="9" t="s">
        <v>5406</v>
      </c>
      <c r="E2436" s="9" t="s">
        <v>17740</v>
      </c>
      <c r="F2436" s="9" t="s">
        <v>17741</v>
      </c>
      <c r="G2436" s="9" t="s">
        <v>17740</v>
      </c>
      <c r="H2436" s="11" t="s">
        <v>5408</v>
      </c>
      <c r="I2436" s="11" t="s">
        <v>5407</v>
      </c>
      <c r="J2436" s="11" t="s">
        <v>5407</v>
      </c>
      <c r="K2436" s="9" t="s">
        <v>31962</v>
      </c>
      <c r="L2436" s="9" t="s">
        <v>18123</v>
      </c>
      <c r="M2436" s="9" t="s">
        <v>20280</v>
      </c>
      <c r="N2436" s="9" t="s">
        <v>17746</v>
      </c>
      <c r="O2436" s="9" t="s">
        <v>17779</v>
      </c>
      <c r="P2436" s="9" t="s">
        <v>17748</v>
      </c>
      <c r="Q2436" s="11" t="s">
        <v>18080</v>
      </c>
      <c r="R2436" s="11" t="s">
        <v>18080</v>
      </c>
      <c r="S2436" s="11" t="s">
        <v>17750</v>
      </c>
    </row>
    <row r="2437" spans="1:19" x14ac:dyDescent="0.2">
      <c r="A2437" s="11" t="s">
        <v>31969</v>
      </c>
      <c r="B2437" s="9" t="s">
        <v>31970</v>
      </c>
      <c r="C2437" s="9" t="s">
        <v>31971</v>
      </c>
      <c r="D2437" s="9" t="s">
        <v>31972</v>
      </c>
      <c r="E2437" s="9" t="s">
        <v>17740</v>
      </c>
      <c r="F2437" s="9" t="s">
        <v>17741</v>
      </c>
      <c r="G2437" s="9" t="s">
        <v>17740</v>
      </c>
      <c r="H2437" s="11" t="s">
        <v>12383</v>
      </c>
      <c r="I2437" s="11" t="s">
        <v>12382</v>
      </c>
      <c r="J2437" s="11" t="s">
        <v>12382</v>
      </c>
      <c r="K2437" s="9" t="s">
        <v>20225</v>
      </c>
      <c r="L2437" s="9" t="s">
        <v>17744</v>
      </c>
      <c r="M2437" s="9" t="s">
        <v>18065</v>
      </c>
      <c r="N2437" s="9" t="s">
        <v>17746</v>
      </c>
      <c r="O2437" s="9" t="s">
        <v>4048</v>
      </c>
      <c r="P2437" s="9" t="s">
        <v>17748</v>
      </c>
      <c r="Q2437" s="11" t="s">
        <v>17917</v>
      </c>
      <c r="R2437" s="11" t="s">
        <v>17917</v>
      </c>
      <c r="S2437" s="11" t="s">
        <v>17750</v>
      </c>
    </row>
    <row r="2438" spans="1:19" x14ac:dyDescent="0.2">
      <c r="A2438" s="11" t="s">
        <v>31973</v>
      </c>
      <c r="B2438" s="9" t="s">
        <v>31974</v>
      </c>
      <c r="C2438" s="9" t="s">
        <v>31975</v>
      </c>
      <c r="D2438" s="9" t="s">
        <v>31976</v>
      </c>
      <c r="E2438" s="9" t="s">
        <v>17748</v>
      </c>
      <c r="F2438" s="9" t="s">
        <v>31977</v>
      </c>
      <c r="G2438" s="9" t="s">
        <v>17740</v>
      </c>
      <c r="H2438" s="11" t="s">
        <v>31978</v>
      </c>
      <c r="I2438" s="11" t="s">
        <v>31979</v>
      </c>
      <c r="J2438" s="11" t="s">
        <v>31979</v>
      </c>
      <c r="K2438" s="9" t="s">
        <v>291</v>
      </c>
      <c r="L2438" s="9" t="s">
        <v>17744</v>
      </c>
      <c r="M2438" s="9" t="s">
        <v>17760</v>
      </c>
      <c r="N2438" s="9" t="s">
        <v>17746</v>
      </c>
      <c r="O2438" s="9" t="s">
        <v>20056</v>
      </c>
      <c r="P2438" s="9" t="s">
        <v>17748</v>
      </c>
      <c r="Q2438" s="11" t="s">
        <v>18370</v>
      </c>
      <c r="R2438" s="11" t="s">
        <v>18370</v>
      </c>
      <c r="S2438" s="11" t="s">
        <v>17750</v>
      </c>
    </row>
    <row r="2439" spans="1:19" x14ac:dyDescent="0.2">
      <c r="A2439" s="11" t="s">
        <v>31980</v>
      </c>
      <c r="B2439" s="9" t="s">
        <v>31981</v>
      </c>
      <c r="C2439" s="9" t="s">
        <v>31982</v>
      </c>
      <c r="D2439" s="9" t="s">
        <v>31983</v>
      </c>
      <c r="E2439" s="9" t="s">
        <v>17740</v>
      </c>
      <c r="F2439" s="9" t="s">
        <v>31984</v>
      </c>
      <c r="G2439" s="9" t="s">
        <v>17740</v>
      </c>
      <c r="H2439" s="11" t="s">
        <v>31985</v>
      </c>
      <c r="I2439" s="11" t="s">
        <v>31986</v>
      </c>
      <c r="J2439" s="11" t="s">
        <v>31985</v>
      </c>
      <c r="K2439" s="9" t="s">
        <v>31987</v>
      </c>
      <c r="L2439" s="9" t="s">
        <v>17744</v>
      </c>
      <c r="M2439" s="9" t="s">
        <v>17760</v>
      </c>
      <c r="N2439" s="9" t="s">
        <v>17746</v>
      </c>
      <c r="O2439" s="9" t="s">
        <v>31988</v>
      </c>
      <c r="P2439" s="9" t="s">
        <v>17748</v>
      </c>
      <c r="Q2439" s="11" t="s">
        <v>17994</v>
      </c>
      <c r="R2439" s="11" t="s">
        <v>17994</v>
      </c>
      <c r="S2439" s="11" t="s">
        <v>17750</v>
      </c>
    </row>
    <row r="2440" spans="1:19" x14ac:dyDescent="0.2">
      <c r="A2440" s="11" t="s">
        <v>31989</v>
      </c>
      <c r="B2440" s="9" t="s">
        <v>31990</v>
      </c>
      <c r="C2440" s="9" t="s">
        <v>31991</v>
      </c>
      <c r="D2440" s="9" t="s">
        <v>31992</v>
      </c>
      <c r="E2440" s="9" t="s">
        <v>17740</v>
      </c>
      <c r="F2440" s="9" t="s">
        <v>17741</v>
      </c>
      <c r="G2440" s="9" t="s">
        <v>17740</v>
      </c>
      <c r="H2440" s="11" t="s">
        <v>17741</v>
      </c>
      <c r="I2440" s="11" t="s">
        <v>31993</v>
      </c>
      <c r="J2440" s="11" t="s">
        <v>31993</v>
      </c>
      <c r="K2440" s="9" t="s">
        <v>167</v>
      </c>
      <c r="L2440" s="9" t="s">
        <v>18158</v>
      </c>
      <c r="M2440" s="9" t="s">
        <v>31119</v>
      </c>
      <c r="N2440" s="9" t="s">
        <v>17746</v>
      </c>
      <c r="O2440" s="9" t="s">
        <v>31994</v>
      </c>
      <c r="P2440" s="9" t="s">
        <v>17748</v>
      </c>
      <c r="Q2440" s="11" t="s">
        <v>31995</v>
      </c>
      <c r="R2440" s="11" t="s">
        <v>31995</v>
      </c>
      <c r="S2440" s="11" t="s">
        <v>17750</v>
      </c>
    </row>
    <row r="2441" spans="1:19" x14ac:dyDescent="0.2">
      <c r="A2441" s="11" t="s">
        <v>31996</v>
      </c>
      <c r="B2441" s="9" t="s">
        <v>31997</v>
      </c>
      <c r="C2441" s="9" t="s">
        <v>31998</v>
      </c>
      <c r="D2441" s="9" t="s">
        <v>31999</v>
      </c>
      <c r="E2441" s="9" t="s">
        <v>17740</v>
      </c>
      <c r="F2441" s="9" t="s">
        <v>17741</v>
      </c>
      <c r="G2441" s="9" t="s">
        <v>17740</v>
      </c>
      <c r="H2441" s="11" t="s">
        <v>5526</v>
      </c>
      <c r="I2441" s="11" t="s">
        <v>5525</v>
      </c>
      <c r="J2441" s="11" t="s">
        <v>5525</v>
      </c>
      <c r="K2441" s="9" t="s">
        <v>291</v>
      </c>
      <c r="L2441" s="9" t="s">
        <v>17744</v>
      </c>
      <c r="M2441" s="9" t="s">
        <v>24583</v>
      </c>
      <c r="N2441" s="9" t="s">
        <v>17746</v>
      </c>
      <c r="O2441" s="9" t="s">
        <v>4009</v>
      </c>
      <c r="P2441" s="9" t="s">
        <v>17748</v>
      </c>
      <c r="Q2441" s="11" t="s">
        <v>17819</v>
      </c>
      <c r="R2441" s="11" t="s">
        <v>17819</v>
      </c>
      <c r="S2441" s="11" t="s">
        <v>17750</v>
      </c>
    </row>
    <row r="2442" spans="1:19" x14ac:dyDescent="0.2">
      <c r="A2442" s="11" t="s">
        <v>32000</v>
      </c>
      <c r="B2442" s="9" t="s">
        <v>2051</v>
      </c>
      <c r="C2442" s="9" t="s">
        <v>32001</v>
      </c>
      <c r="D2442" s="9" t="s">
        <v>2051</v>
      </c>
      <c r="E2442" s="9" t="s">
        <v>17740</v>
      </c>
      <c r="F2442" s="9" t="s">
        <v>17741</v>
      </c>
      <c r="G2442" s="9" t="s">
        <v>17740</v>
      </c>
      <c r="H2442" s="11" t="s">
        <v>2053</v>
      </c>
      <c r="I2442" s="11" t="s">
        <v>2052</v>
      </c>
      <c r="J2442" s="11" t="s">
        <v>2052</v>
      </c>
      <c r="K2442" s="9" t="s">
        <v>91</v>
      </c>
      <c r="L2442" s="9" t="s">
        <v>18001</v>
      </c>
      <c r="M2442" s="9" t="s">
        <v>19168</v>
      </c>
      <c r="N2442" s="9" t="s">
        <v>17746</v>
      </c>
      <c r="O2442" s="9" t="s">
        <v>17866</v>
      </c>
      <c r="P2442" s="9" t="s">
        <v>17748</v>
      </c>
      <c r="Q2442" s="11" t="s">
        <v>17867</v>
      </c>
      <c r="R2442" s="11" t="s">
        <v>17867</v>
      </c>
      <c r="S2442" s="11" t="s">
        <v>17750</v>
      </c>
    </row>
    <row r="2443" spans="1:19" x14ac:dyDescent="0.2">
      <c r="A2443" s="11" t="s">
        <v>32002</v>
      </c>
      <c r="B2443" s="9" t="s">
        <v>32003</v>
      </c>
      <c r="C2443" s="9" t="s">
        <v>32004</v>
      </c>
      <c r="D2443" s="9" t="s">
        <v>32005</v>
      </c>
      <c r="E2443" s="9" t="s">
        <v>17740</v>
      </c>
      <c r="F2443" s="9" t="s">
        <v>17741</v>
      </c>
      <c r="G2443" s="9" t="s">
        <v>17740</v>
      </c>
      <c r="H2443" s="11" t="s">
        <v>32006</v>
      </c>
      <c r="I2443" s="11" t="s">
        <v>32007</v>
      </c>
      <c r="J2443" s="11" t="s">
        <v>32007</v>
      </c>
      <c r="K2443" s="9" t="s">
        <v>18616</v>
      </c>
      <c r="L2443" s="9" t="s">
        <v>17744</v>
      </c>
      <c r="M2443" s="9" t="s">
        <v>17760</v>
      </c>
      <c r="N2443" s="9" t="s">
        <v>17746</v>
      </c>
      <c r="O2443" s="9" t="s">
        <v>32008</v>
      </c>
      <c r="P2443" s="9" t="s">
        <v>17748</v>
      </c>
      <c r="Q2443" s="11" t="s">
        <v>19361</v>
      </c>
      <c r="R2443" s="11" t="s">
        <v>19361</v>
      </c>
      <c r="S2443" s="11" t="s">
        <v>17750</v>
      </c>
    </row>
    <row r="2444" spans="1:19" x14ac:dyDescent="0.2">
      <c r="A2444" s="11" t="s">
        <v>32009</v>
      </c>
      <c r="B2444" s="9" t="s">
        <v>32010</v>
      </c>
      <c r="C2444" s="9" t="s">
        <v>32011</v>
      </c>
      <c r="D2444" s="9" t="s">
        <v>32012</v>
      </c>
      <c r="E2444" s="9" t="s">
        <v>17748</v>
      </c>
      <c r="F2444" s="9" t="s">
        <v>32013</v>
      </c>
      <c r="G2444" s="9" t="s">
        <v>17740</v>
      </c>
      <c r="H2444" s="11" t="s">
        <v>13058</v>
      </c>
      <c r="I2444" s="11" t="s">
        <v>13057</v>
      </c>
      <c r="J2444" s="11" t="s">
        <v>13057</v>
      </c>
      <c r="K2444" s="9" t="s">
        <v>19447</v>
      </c>
      <c r="L2444" s="9" t="s">
        <v>17759</v>
      </c>
      <c r="M2444" s="9" t="s">
        <v>32014</v>
      </c>
      <c r="N2444" s="9" t="s">
        <v>17746</v>
      </c>
      <c r="O2444" s="9" t="s">
        <v>32015</v>
      </c>
      <c r="P2444" s="9" t="s">
        <v>17748</v>
      </c>
      <c r="Q2444" s="11" t="s">
        <v>18370</v>
      </c>
      <c r="R2444" s="11" t="s">
        <v>18370</v>
      </c>
      <c r="S2444" s="11" t="s">
        <v>17750</v>
      </c>
    </row>
    <row r="2445" spans="1:19" x14ac:dyDescent="0.2">
      <c r="A2445" s="11" t="s">
        <v>32016</v>
      </c>
      <c r="B2445" s="9" t="s">
        <v>32017</v>
      </c>
      <c r="C2445" s="9" t="s">
        <v>32018</v>
      </c>
      <c r="D2445" s="9" t="s">
        <v>32019</v>
      </c>
      <c r="E2445" s="9" t="s">
        <v>17740</v>
      </c>
      <c r="F2445" s="9" t="s">
        <v>17741</v>
      </c>
      <c r="G2445" s="9" t="s">
        <v>17740</v>
      </c>
      <c r="H2445" s="11" t="s">
        <v>11875</v>
      </c>
      <c r="I2445" s="11" t="s">
        <v>11874</v>
      </c>
      <c r="J2445" s="11" t="s">
        <v>11874</v>
      </c>
      <c r="K2445" s="9" t="s">
        <v>17758</v>
      </c>
      <c r="L2445" s="9" t="s">
        <v>17759</v>
      </c>
      <c r="M2445" s="9" t="s">
        <v>17769</v>
      </c>
      <c r="N2445" s="9" t="s">
        <v>17746</v>
      </c>
      <c r="O2445" s="9" t="s">
        <v>32020</v>
      </c>
      <c r="P2445" s="9" t="s">
        <v>17748</v>
      </c>
      <c r="Q2445" s="11" t="s">
        <v>17984</v>
      </c>
      <c r="R2445" s="11" t="s">
        <v>17984</v>
      </c>
      <c r="S2445" s="11" t="s">
        <v>17750</v>
      </c>
    </row>
    <row r="2446" spans="1:19" x14ac:dyDescent="0.2">
      <c r="A2446" s="11" t="s">
        <v>32021</v>
      </c>
      <c r="B2446" s="9" t="s">
        <v>32022</v>
      </c>
      <c r="C2446" s="9" t="s">
        <v>32023</v>
      </c>
      <c r="D2446" s="9" t="s">
        <v>32024</v>
      </c>
      <c r="E2446" s="9" t="s">
        <v>17740</v>
      </c>
      <c r="F2446" s="9" t="s">
        <v>17741</v>
      </c>
      <c r="G2446" s="9" t="s">
        <v>17740</v>
      </c>
      <c r="H2446" s="11" t="s">
        <v>32025</v>
      </c>
      <c r="I2446" s="11" t="s">
        <v>32026</v>
      </c>
      <c r="J2446" s="11" t="s">
        <v>32026</v>
      </c>
      <c r="K2446" s="9" t="s">
        <v>17881</v>
      </c>
      <c r="L2446" s="9" t="s">
        <v>17759</v>
      </c>
      <c r="M2446" s="9" t="s">
        <v>19189</v>
      </c>
      <c r="N2446" s="9" t="s">
        <v>17746</v>
      </c>
      <c r="O2446" s="9" t="s">
        <v>17882</v>
      </c>
      <c r="P2446" s="9" t="s">
        <v>17748</v>
      </c>
      <c r="Q2446" s="11" t="s">
        <v>18314</v>
      </c>
      <c r="R2446" s="11" t="s">
        <v>18314</v>
      </c>
      <c r="S2446" s="11" t="s">
        <v>17750</v>
      </c>
    </row>
    <row r="2447" spans="1:19" x14ac:dyDescent="0.2">
      <c r="A2447" s="11" t="s">
        <v>32027</v>
      </c>
      <c r="B2447" s="9" t="s">
        <v>32028</v>
      </c>
      <c r="C2447" s="9" t="s">
        <v>32029</v>
      </c>
      <c r="D2447" s="9" t="s">
        <v>32030</v>
      </c>
      <c r="E2447" s="9" t="s">
        <v>17740</v>
      </c>
      <c r="F2447" s="9" t="s">
        <v>17741</v>
      </c>
      <c r="G2447" s="9" t="s">
        <v>17740</v>
      </c>
      <c r="H2447" s="11" t="s">
        <v>17741</v>
      </c>
      <c r="I2447" s="11" t="s">
        <v>32031</v>
      </c>
      <c r="J2447" s="11" t="s">
        <v>32031</v>
      </c>
      <c r="K2447" s="9" t="s">
        <v>18520</v>
      </c>
      <c r="L2447" s="9" t="s">
        <v>17759</v>
      </c>
      <c r="M2447" s="9" t="s">
        <v>17760</v>
      </c>
      <c r="N2447" s="9" t="s">
        <v>17746</v>
      </c>
      <c r="O2447" s="9" t="s">
        <v>17848</v>
      </c>
      <c r="P2447" s="9" t="s">
        <v>17748</v>
      </c>
      <c r="Q2447" s="11" t="s">
        <v>17849</v>
      </c>
      <c r="R2447" s="11" t="s">
        <v>17849</v>
      </c>
      <c r="S2447" s="11" t="s">
        <v>17750</v>
      </c>
    </row>
    <row r="2448" spans="1:19" x14ac:dyDescent="0.2">
      <c r="A2448" s="11" t="s">
        <v>32032</v>
      </c>
      <c r="B2448" s="9" t="s">
        <v>32033</v>
      </c>
      <c r="C2448" s="9" t="s">
        <v>32034</v>
      </c>
      <c r="D2448" s="9" t="s">
        <v>32035</v>
      </c>
      <c r="E2448" s="9" t="s">
        <v>17740</v>
      </c>
      <c r="F2448" s="9" t="s">
        <v>32036</v>
      </c>
      <c r="G2448" s="9" t="s">
        <v>17740</v>
      </c>
      <c r="H2448" s="11" t="s">
        <v>32037</v>
      </c>
      <c r="I2448" s="11" t="s">
        <v>32038</v>
      </c>
      <c r="J2448" s="11" t="s">
        <v>32038</v>
      </c>
      <c r="K2448" s="9" t="s">
        <v>18661</v>
      </c>
      <c r="L2448" s="9" t="s">
        <v>17744</v>
      </c>
      <c r="M2448" s="9" t="s">
        <v>26470</v>
      </c>
      <c r="N2448" s="9" t="s">
        <v>17746</v>
      </c>
      <c r="O2448" s="9" t="s">
        <v>32039</v>
      </c>
      <c r="P2448" s="9" t="s">
        <v>17748</v>
      </c>
      <c r="Q2448" s="11" t="s">
        <v>18147</v>
      </c>
      <c r="R2448" s="11" t="s">
        <v>18147</v>
      </c>
      <c r="S2448" s="11" t="s">
        <v>17750</v>
      </c>
    </row>
    <row r="2449" spans="1:19" x14ac:dyDescent="0.2">
      <c r="A2449" s="11" t="s">
        <v>32040</v>
      </c>
      <c r="B2449" s="9" t="s">
        <v>32041</v>
      </c>
      <c r="C2449" s="9" t="s">
        <v>32042</v>
      </c>
      <c r="D2449" s="9" t="s">
        <v>32043</v>
      </c>
      <c r="E2449" s="9" t="s">
        <v>17740</v>
      </c>
      <c r="F2449" s="9" t="s">
        <v>17741</v>
      </c>
      <c r="G2449" s="9" t="s">
        <v>17740</v>
      </c>
      <c r="H2449" s="11" t="s">
        <v>32044</v>
      </c>
      <c r="I2449" s="11" t="s">
        <v>32045</v>
      </c>
      <c r="J2449" s="11" t="s">
        <v>32045</v>
      </c>
      <c r="K2449" s="9" t="s">
        <v>32046</v>
      </c>
      <c r="L2449" s="9" t="s">
        <v>17744</v>
      </c>
      <c r="M2449" s="9" t="s">
        <v>17760</v>
      </c>
      <c r="N2449" s="9" t="s">
        <v>17746</v>
      </c>
      <c r="O2449" s="9" t="s">
        <v>32047</v>
      </c>
      <c r="P2449" s="9" t="s">
        <v>17748</v>
      </c>
      <c r="Q2449" s="11" t="s">
        <v>18147</v>
      </c>
      <c r="R2449" s="11" t="s">
        <v>18147</v>
      </c>
      <c r="S2449" s="11" t="s">
        <v>17750</v>
      </c>
    </row>
    <row r="2450" spans="1:19" x14ac:dyDescent="0.2">
      <c r="A2450" s="11" t="s">
        <v>32048</v>
      </c>
      <c r="B2450" s="9" t="s">
        <v>32049</v>
      </c>
      <c r="C2450" s="9" t="s">
        <v>32050</v>
      </c>
      <c r="D2450" s="9" t="s">
        <v>32051</v>
      </c>
      <c r="E2450" s="9" t="s">
        <v>17740</v>
      </c>
      <c r="F2450" s="9" t="s">
        <v>32052</v>
      </c>
      <c r="G2450" s="9" t="s">
        <v>17740</v>
      </c>
      <c r="H2450" s="11" t="s">
        <v>32053</v>
      </c>
      <c r="I2450" s="11" t="s">
        <v>32054</v>
      </c>
      <c r="J2450" s="11" t="s">
        <v>32054</v>
      </c>
      <c r="K2450" s="9" t="s">
        <v>20225</v>
      </c>
      <c r="L2450" s="9" t="s">
        <v>20082</v>
      </c>
      <c r="M2450" s="9" t="s">
        <v>17769</v>
      </c>
      <c r="N2450" s="9" t="s">
        <v>17746</v>
      </c>
      <c r="O2450" s="9" t="s">
        <v>19859</v>
      </c>
      <c r="P2450" s="9" t="s">
        <v>17748</v>
      </c>
      <c r="Q2450" s="11" t="s">
        <v>17984</v>
      </c>
      <c r="R2450" s="11" t="s">
        <v>17984</v>
      </c>
      <c r="S2450" s="11" t="s">
        <v>17750</v>
      </c>
    </row>
    <row r="2451" spans="1:19" x14ac:dyDescent="0.2">
      <c r="A2451" s="11" t="s">
        <v>32055</v>
      </c>
      <c r="B2451" s="9" t="s">
        <v>32056</v>
      </c>
      <c r="C2451" s="9" t="s">
        <v>32057</v>
      </c>
      <c r="D2451" s="9" t="s">
        <v>32058</v>
      </c>
      <c r="E2451" s="9" t="s">
        <v>17740</v>
      </c>
      <c r="F2451" s="9" t="s">
        <v>17741</v>
      </c>
      <c r="G2451" s="9" t="s">
        <v>17740</v>
      </c>
      <c r="H2451" s="11" t="s">
        <v>17741</v>
      </c>
      <c r="I2451" s="11" t="s">
        <v>32059</v>
      </c>
      <c r="J2451" s="11" t="s">
        <v>32059</v>
      </c>
      <c r="K2451" s="9" t="s">
        <v>32060</v>
      </c>
      <c r="L2451" s="9" t="s">
        <v>17759</v>
      </c>
      <c r="M2451" s="9" t="s">
        <v>17778</v>
      </c>
      <c r="N2451" s="9" t="s">
        <v>17746</v>
      </c>
      <c r="O2451" s="9" t="s">
        <v>17800</v>
      </c>
      <c r="P2451" s="9" t="s">
        <v>17748</v>
      </c>
      <c r="Q2451" s="11" t="s">
        <v>19026</v>
      </c>
      <c r="R2451" s="11" t="s">
        <v>19026</v>
      </c>
      <c r="S2451" s="11" t="s">
        <v>17750</v>
      </c>
    </row>
    <row r="2452" spans="1:19" x14ac:dyDescent="0.2">
      <c r="A2452" s="11" t="s">
        <v>32061</v>
      </c>
      <c r="B2452" s="9" t="s">
        <v>32062</v>
      </c>
      <c r="C2452" s="9" t="s">
        <v>32063</v>
      </c>
      <c r="D2452" s="9" t="s">
        <v>32064</v>
      </c>
      <c r="E2452" s="9" t="s">
        <v>17740</v>
      </c>
      <c r="F2452" s="9" t="s">
        <v>17741</v>
      </c>
      <c r="G2452" s="9" t="s">
        <v>17740</v>
      </c>
      <c r="H2452" s="11" t="s">
        <v>17741</v>
      </c>
      <c r="I2452" s="11" t="s">
        <v>32065</v>
      </c>
      <c r="J2452" s="11" t="s">
        <v>32065</v>
      </c>
      <c r="K2452" s="9" t="s">
        <v>32066</v>
      </c>
      <c r="L2452" s="9" t="s">
        <v>17759</v>
      </c>
      <c r="M2452" s="9" t="s">
        <v>18745</v>
      </c>
      <c r="N2452" s="9" t="s">
        <v>17746</v>
      </c>
      <c r="O2452" s="9" t="s">
        <v>3276</v>
      </c>
      <c r="P2452" s="9" t="s">
        <v>17748</v>
      </c>
      <c r="Q2452" s="11" t="s">
        <v>20361</v>
      </c>
      <c r="R2452" s="11" t="s">
        <v>20361</v>
      </c>
      <c r="S2452" s="11" t="s">
        <v>17750</v>
      </c>
    </row>
    <row r="2453" spans="1:19" x14ac:dyDescent="0.2">
      <c r="A2453" s="11" t="s">
        <v>32067</v>
      </c>
      <c r="B2453" s="9" t="s">
        <v>32068</v>
      </c>
      <c r="C2453" s="9" t="s">
        <v>32069</v>
      </c>
      <c r="D2453" s="9" t="s">
        <v>32070</v>
      </c>
      <c r="E2453" s="9" t="s">
        <v>17740</v>
      </c>
      <c r="F2453" s="9" t="s">
        <v>17741</v>
      </c>
      <c r="G2453" s="9" t="s">
        <v>17740</v>
      </c>
      <c r="H2453" s="11" t="s">
        <v>32071</v>
      </c>
      <c r="I2453" s="11" t="s">
        <v>32072</v>
      </c>
      <c r="J2453" s="11" t="s">
        <v>32072</v>
      </c>
      <c r="K2453" s="9" t="s">
        <v>32073</v>
      </c>
      <c r="L2453" s="9" t="s">
        <v>17759</v>
      </c>
      <c r="M2453" s="9" t="s">
        <v>17760</v>
      </c>
      <c r="N2453" s="9" t="s">
        <v>17746</v>
      </c>
      <c r="O2453" s="9" t="s">
        <v>20453</v>
      </c>
      <c r="P2453" s="9" t="s">
        <v>17748</v>
      </c>
      <c r="Q2453" s="11" t="s">
        <v>17984</v>
      </c>
      <c r="R2453" s="11" t="s">
        <v>17984</v>
      </c>
      <c r="S2453" s="11" t="s">
        <v>17750</v>
      </c>
    </row>
    <row r="2454" spans="1:19" x14ac:dyDescent="0.2">
      <c r="A2454" s="11" t="s">
        <v>32074</v>
      </c>
      <c r="B2454" s="9" t="s">
        <v>32075</v>
      </c>
      <c r="C2454" s="9" t="s">
        <v>32076</v>
      </c>
      <c r="D2454" s="9" t="s">
        <v>32077</v>
      </c>
      <c r="E2454" s="9" t="s">
        <v>17740</v>
      </c>
      <c r="F2454" s="9" t="s">
        <v>32078</v>
      </c>
      <c r="G2454" s="9" t="s">
        <v>17740</v>
      </c>
      <c r="H2454" s="11" t="s">
        <v>32079</v>
      </c>
      <c r="I2454" s="11" t="s">
        <v>32080</v>
      </c>
      <c r="J2454" s="11" t="s">
        <v>32080</v>
      </c>
      <c r="K2454" s="9" t="s">
        <v>55</v>
      </c>
      <c r="L2454" s="9" t="s">
        <v>17744</v>
      </c>
      <c r="M2454" s="9" t="s">
        <v>28387</v>
      </c>
      <c r="N2454" s="9" t="s">
        <v>17746</v>
      </c>
      <c r="O2454" s="9" t="s">
        <v>28924</v>
      </c>
      <c r="P2454" s="9" t="s">
        <v>17748</v>
      </c>
      <c r="Q2454" s="11" t="s">
        <v>17994</v>
      </c>
      <c r="R2454" s="11" t="s">
        <v>17994</v>
      </c>
      <c r="S2454" s="11" t="s">
        <v>17750</v>
      </c>
    </row>
    <row r="2455" spans="1:19" x14ac:dyDescent="0.2">
      <c r="A2455" s="11" t="s">
        <v>32081</v>
      </c>
      <c r="B2455" s="9" t="s">
        <v>32082</v>
      </c>
      <c r="C2455" s="9" t="s">
        <v>32083</v>
      </c>
      <c r="D2455" s="9" t="s">
        <v>32084</v>
      </c>
      <c r="E2455" s="9" t="s">
        <v>17740</v>
      </c>
      <c r="F2455" s="9" t="s">
        <v>17741</v>
      </c>
      <c r="G2455" s="9" t="s">
        <v>17740</v>
      </c>
      <c r="H2455" s="11" t="s">
        <v>14318</v>
      </c>
      <c r="I2455" s="11" t="s">
        <v>14317</v>
      </c>
      <c r="J2455" s="11" t="s">
        <v>14317</v>
      </c>
      <c r="K2455" s="9" t="s">
        <v>32085</v>
      </c>
      <c r="L2455" s="9" t="s">
        <v>17744</v>
      </c>
      <c r="M2455" s="9" t="s">
        <v>17817</v>
      </c>
      <c r="N2455" s="9" t="s">
        <v>17746</v>
      </c>
      <c r="O2455" s="9" t="s">
        <v>17977</v>
      </c>
      <c r="P2455" s="9" t="s">
        <v>17748</v>
      </c>
      <c r="Q2455" s="11" t="s">
        <v>17825</v>
      </c>
      <c r="R2455" s="11" t="s">
        <v>17825</v>
      </c>
      <c r="S2455" s="11" t="s">
        <v>17750</v>
      </c>
    </row>
    <row r="2456" spans="1:19" x14ac:dyDescent="0.2">
      <c r="A2456" s="11" t="s">
        <v>32086</v>
      </c>
      <c r="B2456" s="9" t="s">
        <v>32087</v>
      </c>
      <c r="C2456" s="9" t="s">
        <v>32088</v>
      </c>
      <c r="D2456" s="9" t="s">
        <v>32089</v>
      </c>
      <c r="E2456" s="9" t="s">
        <v>17740</v>
      </c>
      <c r="F2456" s="9" t="s">
        <v>17741</v>
      </c>
      <c r="G2456" s="9" t="s">
        <v>17740</v>
      </c>
      <c r="H2456" s="11" t="s">
        <v>9149</v>
      </c>
      <c r="I2456" s="11" t="s">
        <v>9148</v>
      </c>
      <c r="J2456" s="11" t="s">
        <v>9148</v>
      </c>
      <c r="K2456" s="9" t="s">
        <v>19447</v>
      </c>
      <c r="L2456" s="9" t="s">
        <v>17759</v>
      </c>
      <c r="M2456" s="9" t="s">
        <v>17760</v>
      </c>
      <c r="N2456" s="9" t="s">
        <v>17746</v>
      </c>
      <c r="O2456" s="9" t="s">
        <v>24072</v>
      </c>
      <c r="P2456" s="9" t="s">
        <v>17748</v>
      </c>
      <c r="Q2456" s="11" t="s">
        <v>17994</v>
      </c>
      <c r="R2456" s="11" t="s">
        <v>17994</v>
      </c>
      <c r="S2456" s="11" t="s">
        <v>17750</v>
      </c>
    </row>
    <row r="2457" spans="1:19" x14ac:dyDescent="0.2">
      <c r="A2457" s="11" t="s">
        <v>32090</v>
      </c>
      <c r="B2457" s="9" t="s">
        <v>32091</v>
      </c>
      <c r="C2457" s="9" t="s">
        <v>32092</v>
      </c>
      <c r="D2457" s="9" t="s">
        <v>32093</v>
      </c>
      <c r="E2457" s="9" t="s">
        <v>17748</v>
      </c>
      <c r="F2457" s="9" t="s">
        <v>32094</v>
      </c>
      <c r="G2457" s="9" t="s">
        <v>17740</v>
      </c>
      <c r="H2457" s="11" t="s">
        <v>32095</v>
      </c>
      <c r="I2457" s="11" t="s">
        <v>32096</v>
      </c>
      <c r="J2457" s="11" t="s">
        <v>17741</v>
      </c>
      <c r="K2457" s="9" t="s">
        <v>19161</v>
      </c>
      <c r="L2457" s="9" t="s">
        <v>17759</v>
      </c>
      <c r="M2457" s="9" t="s">
        <v>17760</v>
      </c>
      <c r="N2457" s="9" t="s">
        <v>17746</v>
      </c>
      <c r="O2457" s="9" t="s">
        <v>21020</v>
      </c>
      <c r="P2457" s="9" t="s">
        <v>17748</v>
      </c>
      <c r="Q2457" s="11" t="s">
        <v>17917</v>
      </c>
      <c r="R2457" s="11" t="s">
        <v>17917</v>
      </c>
      <c r="S2457" s="11" t="s">
        <v>17750</v>
      </c>
    </row>
    <row r="2458" spans="1:19" x14ac:dyDescent="0.2">
      <c r="A2458" s="11" t="s">
        <v>32097</v>
      </c>
      <c r="B2458" s="9" t="s">
        <v>32098</v>
      </c>
      <c r="C2458" s="9" t="s">
        <v>32099</v>
      </c>
      <c r="D2458" s="9" t="s">
        <v>32100</v>
      </c>
      <c r="E2458" s="9" t="s">
        <v>17740</v>
      </c>
      <c r="F2458" s="9" t="s">
        <v>17741</v>
      </c>
      <c r="G2458" s="9" t="s">
        <v>17740</v>
      </c>
      <c r="H2458" s="11" t="s">
        <v>32101</v>
      </c>
      <c r="I2458" s="11" t="s">
        <v>32102</v>
      </c>
      <c r="J2458" s="11" t="s">
        <v>32102</v>
      </c>
      <c r="K2458" s="9" t="s">
        <v>7004</v>
      </c>
      <c r="L2458" s="9" t="s">
        <v>20082</v>
      </c>
      <c r="M2458" s="9" t="s">
        <v>17760</v>
      </c>
      <c r="N2458" s="9" t="s">
        <v>17746</v>
      </c>
      <c r="O2458" s="9" t="s">
        <v>19859</v>
      </c>
      <c r="P2458" s="9" t="s">
        <v>17748</v>
      </c>
      <c r="Q2458" s="11" t="s">
        <v>17762</v>
      </c>
      <c r="R2458" s="11" t="s">
        <v>17762</v>
      </c>
      <c r="S2458" s="11" t="s">
        <v>17750</v>
      </c>
    </row>
    <row r="2459" spans="1:19" x14ac:dyDescent="0.2">
      <c r="A2459" s="11" t="s">
        <v>32103</v>
      </c>
      <c r="B2459" s="9" t="s">
        <v>32104</v>
      </c>
      <c r="C2459" s="9" t="s">
        <v>32105</v>
      </c>
      <c r="D2459" s="9" t="s">
        <v>32106</v>
      </c>
      <c r="E2459" s="9" t="s">
        <v>17748</v>
      </c>
      <c r="F2459" s="9" t="s">
        <v>32107</v>
      </c>
      <c r="G2459" s="9" t="s">
        <v>17740</v>
      </c>
      <c r="H2459" s="11" t="s">
        <v>32108</v>
      </c>
      <c r="I2459" s="11" t="s">
        <v>32109</v>
      </c>
      <c r="J2459" s="11" t="s">
        <v>32109</v>
      </c>
      <c r="K2459" s="9" t="s">
        <v>19996</v>
      </c>
      <c r="L2459" s="9" t="s">
        <v>17759</v>
      </c>
      <c r="M2459" s="9" t="s">
        <v>17769</v>
      </c>
      <c r="N2459" s="9" t="s">
        <v>17746</v>
      </c>
      <c r="O2459" s="9" t="s">
        <v>17834</v>
      </c>
      <c r="P2459" s="9" t="s">
        <v>17748</v>
      </c>
      <c r="Q2459" s="11" t="s">
        <v>17917</v>
      </c>
      <c r="R2459" s="11" t="s">
        <v>17917</v>
      </c>
      <c r="S2459" s="11" t="s">
        <v>17750</v>
      </c>
    </row>
    <row r="2460" spans="1:19" x14ac:dyDescent="0.2">
      <c r="A2460" s="11" t="s">
        <v>32110</v>
      </c>
      <c r="B2460" s="9" t="s">
        <v>32111</v>
      </c>
      <c r="C2460" s="9" t="s">
        <v>32112</v>
      </c>
      <c r="D2460" s="9" t="s">
        <v>32113</v>
      </c>
      <c r="E2460" s="9" t="s">
        <v>17740</v>
      </c>
      <c r="F2460" s="9" t="s">
        <v>32114</v>
      </c>
      <c r="G2460" s="9" t="s">
        <v>17740</v>
      </c>
      <c r="H2460" s="11" t="s">
        <v>32115</v>
      </c>
      <c r="I2460" s="11" t="s">
        <v>32116</v>
      </c>
      <c r="J2460" s="11" t="s">
        <v>32116</v>
      </c>
      <c r="K2460" s="9" t="s">
        <v>91</v>
      </c>
      <c r="L2460" s="9" t="s">
        <v>18001</v>
      </c>
      <c r="M2460" s="9" t="s">
        <v>17778</v>
      </c>
      <c r="N2460" s="9" t="s">
        <v>17746</v>
      </c>
      <c r="O2460" s="9" t="s">
        <v>17761</v>
      </c>
      <c r="P2460" s="9" t="s">
        <v>17748</v>
      </c>
      <c r="Q2460" s="11" t="s">
        <v>18147</v>
      </c>
      <c r="R2460" s="11" t="s">
        <v>18147</v>
      </c>
      <c r="S2460" s="11" t="s">
        <v>17750</v>
      </c>
    </row>
    <row r="2461" spans="1:19" x14ac:dyDescent="0.2">
      <c r="A2461" s="11" t="s">
        <v>32117</v>
      </c>
      <c r="B2461" s="9" t="s">
        <v>32118</v>
      </c>
      <c r="C2461" s="9" t="s">
        <v>32119</v>
      </c>
      <c r="D2461" s="9" t="s">
        <v>32120</v>
      </c>
      <c r="E2461" s="9" t="s">
        <v>17740</v>
      </c>
      <c r="F2461" s="9" t="s">
        <v>17741</v>
      </c>
      <c r="G2461" s="9" t="s">
        <v>17740</v>
      </c>
      <c r="H2461" s="11" t="s">
        <v>1868</v>
      </c>
      <c r="I2461" s="11" t="s">
        <v>1867</v>
      </c>
      <c r="J2461" s="11" t="s">
        <v>1867</v>
      </c>
      <c r="K2461" s="9" t="s">
        <v>167</v>
      </c>
      <c r="L2461" s="9" t="s">
        <v>17759</v>
      </c>
      <c r="M2461" s="9" t="s">
        <v>17806</v>
      </c>
      <c r="N2461" s="9" t="s">
        <v>17746</v>
      </c>
      <c r="O2461" s="9" t="s">
        <v>7317</v>
      </c>
      <c r="P2461" s="9" t="s">
        <v>17748</v>
      </c>
      <c r="Q2461" s="11" t="s">
        <v>18600</v>
      </c>
      <c r="R2461" s="11" t="s">
        <v>18600</v>
      </c>
      <c r="S2461" s="11" t="s">
        <v>17750</v>
      </c>
    </row>
    <row r="2462" spans="1:19" x14ac:dyDescent="0.2">
      <c r="A2462" s="11" t="s">
        <v>32121</v>
      </c>
      <c r="B2462" s="9" t="s">
        <v>32122</v>
      </c>
      <c r="C2462" s="9" t="s">
        <v>32123</v>
      </c>
      <c r="D2462" s="9" t="s">
        <v>32124</v>
      </c>
      <c r="E2462" s="9" t="s">
        <v>17740</v>
      </c>
      <c r="F2462" s="9" t="s">
        <v>17741</v>
      </c>
      <c r="G2462" s="9" t="s">
        <v>17740</v>
      </c>
      <c r="H2462" s="11" t="s">
        <v>9499</v>
      </c>
      <c r="I2462" s="11" t="s">
        <v>9498</v>
      </c>
      <c r="J2462" s="11" t="s">
        <v>9499</v>
      </c>
      <c r="K2462" s="9" t="s">
        <v>55</v>
      </c>
      <c r="L2462" s="9" t="s">
        <v>17744</v>
      </c>
      <c r="M2462" s="9" t="s">
        <v>20970</v>
      </c>
      <c r="N2462" s="9" t="s">
        <v>17746</v>
      </c>
      <c r="O2462" s="9" t="s">
        <v>20761</v>
      </c>
      <c r="P2462" s="9" t="s">
        <v>17748</v>
      </c>
      <c r="Q2462" s="11" t="s">
        <v>17994</v>
      </c>
      <c r="R2462" s="11" t="s">
        <v>17994</v>
      </c>
      <c r="S2462" s="11" t="s">
        <v>17750</v>
      </c>
    </row>
    <row r="2463" spans="1:19" x14ac:dyDescent="0.2">
      <c r="A2463" s="11" t="s">
        <v>32125</v>
      </c>
      <c r="B2463" s="9" t="s">
        <v>32126</v>
      </c>
      <c r="C2463" s="9" t="s">
        <v>32127</v>
      </c>
      <c r="D2463" s="9" t="s">
        <v>32128</v>
      </c>
      <c r="E2463" s="9" t="s">
        <v>17740</v>
      </c>
      <c r="F2463" s="9" t="s">
        <v>17741</v>
      </c>
      <c r="G2463" s="9" t="s">
        <v>17740</v>
      </c>
      <c r="H2463" s="11" t="s">
        <v>32129</v>
      </c>
      <c r="I2463" s="11" t="s">
        <v>32130</v>
      </c>
      <c r="J2463" s="11" t="s">
        <v>17741</v>
      </c>
      <c r="K2463" s="9" t="s">
        <v>17089</v>
      </c>
      <c r="L2463" s="9" t="s">
        <v>18158</v>
      </c>
      <c r="M2463" s="9" t="s">
        <v>17778</v>
      </c>
      <c r="N2463" s="9" t="s">
        <v>17746</v>
      </c>
      <c r="O2463" s="9" t="s">
        <v>22422</v>
      </c>
      <c r="P2463" s="9" t="s">
        <v>17748</v>
      </c>
      <c r="Q2463" s="11" t="s">
        <v>17825</v>
      </c>
      <c r="R2463" s="11" t="s">
        <v>17825</v>
      </c>
      <c r="S2463" s="11" t="s">
        <v>17750</v>
      </c>
    </row>
    <row r="2464" spans="1:19" x14ac:dyDescent="0.2">
      <c r="A2464" s="11" t="s">
        <v>32131</v>
      </c>
      <c r="B2464" s="9" t="s">
        <v>32132</v>
      </c>
      <c r="C2464" s="9" t="s">
        <v>32133</v>
      </c>
      <c r="D2464" s="9" t="s">
        <v>32134</v>
      </c>
      <c r="E2464" s="9" t="s">
        <v>17740</v>
      </c>
      <c r="F2464" s="9" t="s">
        <v>17741</v>
      </c>
      <c r="G2464" s="9" t="s">
        <v>17740</v>
      </c>
      <c r="H2464" s="11" t="s">
        <v>32135</v>
      </c>
      <c r="I2464" s="11" t="s">
        <v>32136</v>
      </c>
      <c r="J2464" s="11" t="s">
        <v>32136</v>
      </c>
      <c r="K2464" s="9" t="s">
        <v>18176</v>
      </c>
      <c r="L2464" s="9" t="s">
        <v>18123</v>
      </c>
      <c r="M2464" s="9" t="s">
        <v>17942</v>
      </c>
      <c r="N2464" s="9" t="s">
        <v>17746</v>
      </c>
      <c r="O2464" s="9" t="s">
        <v>18855</v>
      </c>
      <c r="P2464" s="9" t="s">
        <v>17748</v>
      </c>
      <c r="Q2464" s="11" t="s">
        <v>17883</v>
      </c>
      <c r="R2464" s="11" t="s">
        <v>17883</v>
      </c>
      <c r="S2464" s="11" t="s">
        <v>17750</v>
      </c>
    </row>
    <row r="2465" spans="1:19" x14ac:dyDescent="0.2">
      <c r="A2465" s="11" t="s">
        <v>32137</v>
      </c>
      <c r="B2465" s="9" t="s">
        <v>32138</v>
      </c>
      <c r="C2465" s="9" t="s">
        <v>32139</v>
      </c>
      <c r="D2465" s="9" t="s">
        <v>32140</v>
      </c>
      <c r="E2465" s="9" t="s">
        <v>17748</v>
      </c>
      <c r="F2465" s="9" t="s">
        <v>32141</v>
      </c>
      <c r="G2465" s="9" t="s">
        <v>17740</v>
      </c>
      <c r="H2465" s="11" t="s">
        <v>32142</v>
      </c>
      <c r="I2465" s="11" t="s">
        <v>32143</v>
      </c>
      <c r="J2465" s="11" t="s">
        <v>32143</v>
      </c>
      <c r="K2465" s="9" t="s">
        <v>17783</v>
      </c>
      <c r="L2465" s="9" t="s">
        <v>17991</v>
      </c>
      <c r="M2465" s="9" t="s">
        <v>18790</v>
      </c>
      <c r="N2465" s="9" t="s">
        <v>17746</v>
      </c>
      <c r="O2465" s="9" t="s">
        <v>32144</v>
      </c>
      <c r="P2465" s="9" t="s">
        <v>17748</v>
      </c>
      <c r="Q2465" s="11" t="s">
        <v>17762</v>
      </c>
      <c r="R2465" s="11" t="s">
        <v>17762</v>
      </c>
      <c r="S2465" s="11" t="s">
        <v>17750</v>
      </c>
    </row>
    <row r="2466" spans="1:19" x14ac:dyDescent="0.2">
      <c r="A2466" s="11" t="s">
        <v>32145</v>
      </c>
      <c r="B2466" s="9" t="s">
        <v>32146</v>
      </c>
      <c r="C2466" s="9" t="s">
        <v>32147</v>
      </c>
      <c r="D2466" s="9" t="s">
        <v>32148</v>
      </c>
      <c r="E2466" s="9" t="s">
        <v>17740</v>
      </c>
      <c r="F2466" s="9" t="s">
        <v>32149</v>
      </c>
      <c r="G2466" s="9" t="s">
        <v>17740</v>
      </c>
      <c r="H2466" s="11" t="s">
        <v>5940</v>
      </c>
      <c r="I2466" s="11" t="s">
        <v>5939</v>
      </c>
      <c r="J2466" s="11" t="s">
        <v>5939</v>
      </c>
      <c r="K2466" s="9" t="s">
        <v>5941</v>
      </c>
      <c r="L2466" s="9" t="s">
        <v>18242</v>
      </c>
      <c r="M2466" s="9" t="s">
        <v>17817</v>
      </c>
      <c r="N2466" s="9" t="s">
        <v>17746</v>
      </c>
      <c r="O2466" s="9" t="s">
        <v>5938</v>
      </c>
      <c r="P2466" s="9" t="s">
        <v>17748</v>
      </c>
      <c r="Q2466" s="11" t="s">
        <v>18147</v>
      </c>
      <c r="R2466" s="11" t="s">
        <v>18147</v>
      </c>
      <c r="S2466" s="11" t="s">
        <v>17750</v>
      </c>
    </row>
    <row r="2467" spans="1:19" x14ac:dyDescent="0.2">
      <c r="A2467" s="11" t="s">
        <v>32150</v>
      </c>
      <c r="B2467" s="9" t="s">
        <v>32151</v>
      </c>
      <c r="C2467" s="9" t="s">
        <v>32152</v>
      </c>
      <c r="D2467" s="9" t="s">
        <v>32153</v>
      </c>
      <c r="E2467" s="9" t="s">
        <v>17748</v>
      </c>
      <c r="F2467" s="9" t="s">
        <v>32154</v>
      </c>
      <c r="G2467" s="9" t="s">
        <v>17740</v>
      </c>
      <c r="H2467" s="11" t="s">
        <v>8893</v>
      </c>
      <c r="I2467" s="11" t="s">
        <v>8892</v>
      </c>
      <c r="J2467" s="11" t="s">
        <v>8892</v>
      </c>
      <c r="K2467" s="9" t="s">
        <v>27397</v>
      </c>
      <c r="L2467" s="9" t="s">
        <v>20082</v>
      </c>
      <c r="M2467" s="9" t="s">
        <v>17817</v>
      </c>
      <c r="N2467" s="9" t="s">
        <v>17746</v>
      </c>
      <c r="O2467" s="9" t="s">
        <v>5938</v>
      </c>
      <c r="P2467" s="9" t="s">
        <v>17748</v>
      </c>
      <c r="Q2467" s="11" t="s">
        <v>18922</v>
      </c>
      <c r="R2467" s="11" t="s">
        <v>18922</v>
      </c>
      <c r="S2467" s="11" t="s">
        <v>17750</v>
      </c>
    </row>
    <row r="2468" spans="1:19" x14ac:dyDescent="0.2">
      <c r="A2468" s="11" t="s">
        <v>32155</v>
      </c>
      <c r="B2468" s="9" t="s">
        <v>32156</v>
      </c>
      <c r="C2468" s="9" t="s">
        <v>32157</v>
      </c>
      <c r="D2468" s="9" t="s">
        <v>32158</v>
      </c>
      <c r="E2468" s="9" t="s">
        <v>17740</v>
      </c>
      <c r="F2468" s="9" t="s">
        <v>32159</v>
      </c>
      <c r="G2468" s="9" t="s">
        <v>17740</v>
      </c>
      <c r="H2468" s="11" t="s">
        <v>1860</v>
      </c>
      <c r="I2468" s="11" t="s">
        <v>1859</v>
      </c>
      <c r="J2468" s="11" t="s">
        <v>1859</v>
      </c>
      <c r="K2468" s="9" t="s">
        <v>32160</v>
      </c>
      <c r="L2468" s="9" t="s">
        <v>17759</v>
      </c>
      <c r="M2468" s="9" t="s">
        <v>17760</v>
      </c>
      <c r="N2468" s="9" t="s">
        <v>17746</v>
      </c>
      <c r="O2468" s="9" t="s">
        <v>487</v>
      </c>
      <c r="P2468" s="9" t="s">
        <v>17748</v>
      </c>
      <c r="Q2468" s="11" t="s">
        <v>18314</v>
      </c>
      <c r="R2468" s="11" t="s">
        <v>18314</v>
      </c>
      <c r="S2468" s="11" t="s">
        <v>17750</v>
      </c>
    </row>
    <row r="2469" spans="1:19" x14ac:dyDescent="0.2">
      <c r="A2469" s="11" t="s">
        <v>32161</v>
      </c>
      <c r="B2469" s="9" t="s">
        <v>32162</v>
      </c>
      <c r="C2469" s="9" t="s">
        <v>32163</v>
      </c>
      <c r="D2469" s="9" t="s">
        <v>32164</v>
      </c>
      <c r="E2469" s="9" t="s">
        <v>17740</v>
      </c>
      <c r="F2469" s="9" t="s">
        <v>17741</v>
      </c>
      <c r="G2469" s="9" t="s">
        <v>17740</v>
      </c>
      <c r="H2469" s="11" t="s">
        <v>32165</v>
      </c>
      <c r="I2469" s="11" t="s">
        <v>2035</v>
      </c>
      <c r="J2469" s="11" t="s">
        <v>2035</v>
      </c>
      <c r="K2469" s="9" t="s">
        <v>2964</v>
      </c>
      <c r="L2469" s="9" t="s">
        <v>17991</v>
      </c>
      <c r="M2469" s="9" t="s">
        <v>17760</v>
      </c>
      <c r="N2469" s="9" t="s">
        <v>17746</v>
      </c>
      <c r="O2469" s="9" t="s">
        <v>19646</v>
      </c>
      <c r="P2469" s="9" t="s">
        <v>17748</v>
      </c>
      <c r="Q2469" s="11" t="s">
        <v>19515</v>
      </c>
      <c r="R2469" s="11" t="s">
        <v>19515</v>
      </c>
      <c r="S2469" s="11" t="s">
        <v>17750</v>
      </c>
    </row>
    <row r="2470" spans="1:19" x14ac:dyDescent="0.2">
      <c r="A2470" s="11" t="s">
        <v>32166</v>
      </c>
      <c r="B2470" s="9" t="s">
        <v>32167</v>
      </c>
      <c r="C2470" s="9" t="s">
        <v>32168</v>
      </c>
      <c r="D2470" s="9" t="s">
        <v>32169</v>
      </c>
      <c r="E2470" s="9" t="s">
        <v>17740</v>
      </c>
      <c r="F2470" s="9" t="s">
        <v>32170</v>
      </c>
      <c r="G2470" s="9" t="s">
        <v>17740</v>
      </c>
      <c r="H2470" s="11" t="s">
        <v>5880</v>
      </c>
      <c r="I2470" s="11" t="s">
        <v>5879</v>
      </c>
      <c r="J2470" s="11" t="s">
        <v>5879</v>
      </c>
      <c r="K2470" s="9" t="s">
        <v>22922</v>
      </c>
      <c r="L2470" s="9" t="s">
        <v>18123</v>
      </c>
      <c r="M2470" s="9" t="s">
        <v>17817</v>
      </c>
      <c r="N2470" s="9" t="s">
        <v>17746</v>
      </c>
      <c r="O2470" s="9" t="s">
        <v>18882</v>
      </c>
      <c r="P2470" s="9" t="s">
        <v>17748</v>
      </c>
      <c r="Q2470" s="11" t="s">
        <v>18147</v>
      </c>
      <c r="R2470" s="11" t="s">
        <v>18147</v>
      </c>
      <c r="S2470" s="11" t="s">
        <v>17750</v>
      </c>
    </row>
    <row r="2471" spans="1:19" x14ac:dyDescent="0.2">
      <c r="A2471" s="11" t="s">
        <v>32171</v>
      </c>
      <c r="B2471" s="9" t="s">
        <v>32172</v>
      </c>
      <c r="C2471" s="9" t="s">
        <v>32173</v>
      </c>
      <c r="D2471" s="9" t="s">
        <v>32174</v>
      </c>
      <c r="E2471" s="9" t="s">
        <v>17748</v>
      </c>
      <c r="F2471" s="9" t="s">
        <v>32175</v>
      </c>
      <c r="G2471" s="9" t="s">
        <v>17740</v>
      </c>
      <c r="H2471" s="11" t="s">
        <v>32176</v>
      </c>
      <c r="I2471" s="11" t="s">
        <v>32177</v>
      </c>
      <c r="J2471" s="11" t="s">
        <v>32177</v>
      </c>
      <c r="K2471" s="9" t="s">
        <v>18727</v>
      </c>
      <c r="L2471" s="9" t="s">
        <v>18158</v>
      </c>
      <c r="M2471" s="9" t="s">
        <v>20957</v>
      </c>
      <c r="N2471" s="9" t="s">
        <v>17746</v>
      </c>
      <c r="O2471" s="9" t="s">
        <v>21318</v>
      </c>
      <c r="P2471" s="9" t="s">
        <v>17748</v>
      </c>
      <c r="Q2471" s="11" t="s">
        <v>18608</v>
      </c>
      <c r="R2471" s="11" t="s">
        <v>18608</v>
      </c>
      <c r="S2471" s="11" t="s">
        <v>17750</v>
      </c>
    </row>
    <row r="2472" spans="1:19" x14ac:dyDescent="0.2">
      <c r="A2472" s="11" t="s">
        <v>32178</v>
      </c>
      <c r="B2472" s="9" t="s">
        <v>32179</v>
      </c>
      <c r="C2472" s="9" t="s">
        <v>32180</v>
      </c>
      <c r="D2472" s="9" t="s">
        <v>32181</v>
      </c>
      <c r="E2472" s="9" t="s">
        <v>17740</v>
      </c>
      <c r="F2472" s="9" t="s">
        <v>32182</v>
      </c>
      <c r="G2472" s="9" t="s">
        <v>17740</v>
      </c>
      <c r="H2472" s="11" t="s">
        <v>32183</v>
      </c>
      <c r="I2472" s="11" t="s">
        <v>32184</v>
      </c>
      <c r="J2472" s="11" t="s">
        <v>32184</v>
      </c>
      <c r="K2472" s="9" t="s">
        <v>32185</v>
      </c>
      <c r="L2472" s="9" t="s">
        <v>18058</v>
      </c>
      <c r="M2472" s="9" t="s">
        <v>17769</v>
      </c>
      <c r="N2472" s="9" t="s">
        <v>17746</v>
      </c>
      <c r="O2472" s="9" t="s">
        <v>4025</v>
      </c>
      <c r="P2472" s="9" t="s">
        <v>17748</v>
      </c>
      <c r="Q2472" s="11" t="s">
        <v>17994</v>
      </c>
      <c r="R2472" s="11" t="s">
        <v>17994</v>
      </c>
      <c r="S2472" s="11" t="s">
        <v>17750</v>
      </c>
    </row>
    <row r="2473" spans="1:19" x14ac:dyDescent="0.2">
      <c r="A2473" s="11" t="s">
        <v>32186</v>
      </c>
      <c r="B2473" s="9" t="s">
        <v>32187</v>
      </c>
      <c r="C2473" s="9" t="s">
        <v>32188</v>
      </c>
      <c r="D2473" s="9" t="s">
        <v>32189</v>
      </c>
      <c r="E2473" s="9" t="s">
        <v>17740</v>
      </c>
      <c r="F2473" s="9" t="s">
        <v>17741</v>
      </c>
      <c r="G2473" s="9" t="s">
        <v>17740</v>
      </c>
      <c r="H2473" s="11" t="s">
        <v>5743</v>
      </c>
      <c r="I2473" s="11" t="s">
        <v>5742</v>
      </c>
      <c r="J2473" s="11" t="s">
        <v>5742</v>
      </c>
      <c r="K2473" s="9" t="s">
        <v>22907</v>
      </c>
      <c r="L2473" s="9" t="s">
        <v>17744</v>
      </c>
      <c r="M2473" s="9" t="s">
        <v>20360</v>
      </c>
      <c r="N2473" s="9" t="s">
        <v>17746</v>
      </c>
      <c r="O2473" s="9" t="s">
        <v>3475</v>
      </c>
      <c r="P2473" s="9" t="s">
        <v>17748</v>
      </c>
      <c r="Q2473" s="11" t="s">
        <v>18059</v>
      </c>
      <c r="R2473" s="11" t="s">
        <v>18059</v>
      </c>
      <c r="S2473" s="11" t="s">
        <v>17750</v>
      </c>
    </row>
    <row r="2474" spans="1:19" x14ac:dyDescent="0.2">
      <c r="A2474" s="11" t="s">
        <v>32190</v>
      </c>
      <c r="B2474" s="9" t="s">
        <v>32191</v>
      </c>
      <c r="C2474" s="9" t="s">
        <v>32192</v>
      </c>
      <c r="D2474" s="9" t="s">
        <v>32193</v>
      </c>
      <c r="E2474" s="9" t="s">
        <v>17740</v>
      </c>
      <c r="F2474" s="9" t="s">
        <v>17741</v>
      </c>
      <c r="G2474" s="9" t="s">
        <v>17740</v>
      </c>
      <c r="H2474" s="11" t="s">
        <v>17741</v>
      </c>
      <c r="I2474" s="11" t="s">
        <v>32194</v>
      </c>
      <c r="J2474" s="11" t="s">
        <v>32194</v>
      </c>
      <c r="K2474" s="9" t="s">
        <v>970</v>
      </c>
      <c r="L2474" s="9" t="s">
        <v>17744</v>
      </c>
      <c r="M2474" s="9" t="s">
        <v>17769</v>
      </c>
      <c r="N2474" s="9" t="s">
        <v>17746</v>
      </c>
      <c r="O2474" s="9" t="s">
        <v>18340</v>
      </c>
      <c r="P2474" s="9" t="s">
        <v>17748</v>
      </c>
      <c r="Q2474" s="11" t="s">
        <v>17931</v>
      </c>
      <c r="R2474" s="11" t="s">
        <v>17931</v>
      </c>
      <c r="S2474" s="11" t="s">
        <v>17750</v>
      </c>
    </row>
    <row r="2475" spans="1:19" x14ac:dyDescent="0.2">
      <c r="A2475" s="11" t="s">
        <v>32195</v>
      </c>
      <c r="B2475" s="9" t="s">
        <v>32196</v>
      </c>
      <c r="C2475" s="9" t="s">
        <v>32197</v>
      </c>
      <c r="D2475" s="9" t="s">
        <v>32198</v>
      </c>
      <c r="E2475" s="9" t="s">
        <v>17748</v>
      </c>
      <c r="F2475" s="9" t="s">
        <v>32199</v>
      </c>
      <c r="G2475" s="9" t="s">
        <v>17740</v>
      </c>
      <c r="H2475" s="11" t="s">
        <v>32200</v>
      </c>
      <c r="I2475" s="11" t="s">
        <v>32201</v>
      </c>
      <c r="J2475" s="11" t="s">
        <v>32200</v>
      </c>
      <c r="K2475" s="9" t="s">
        <v>91</v>
      </c>
      <c r="L2475" s="9" t="s">
        <v>17744</v>
      </c>
      <c r="M2475" s="9" t="s">
        <v>17760</v>
      </c>
      <c r="N2475" s="9" t="s">
        <v>17746</v>
      </c>
      <c r="O2475" s="9" t="s">
        <v>18707</v>
      </c>
      <c r="P2475" s="9" t="s">
        <v>17748</v>
      </c>
      <c r="Q2475" s="11" t="s">
        <v>18370</v>
      </c>
      <c r="R2475" s="11" t="s">
        <v>18370</v>
      </c>
      <c r="S2475" s="11" t="s">
        <v>17750</v>
      </c>
    </row>
    <row r="2476" spans="1:19" x14ac:dyDescent="0.2">
      <c r="A2476" s="11" t="s">
        <v>32202</v>
      </c>
      <c r="B2476" s="9" t="s">
        <v>32203</v>
      </c>
      <c r="C2476" s="9" t="s">
        <v>32204</v>
      </c>
      <c r="D2476" s="9" t="s">
        <v>32205</v>
      </c>
      <c r="E2476" s="9" t="s">
        <v>17740</v>
      </c>
      <c r="F2476" s="9" t="s">
        <v>32206</v>
      </c>
      <c r="G2476" s="9" t="s">
        <v>17740</v>
      </c>
      <c r="H2476" s="11" t="s">
        <v>32207</v>
      </c>
      <c r="I2476" s="11" t="s">
        <v>32208</v>
      </c>
      <c r="J2476" s="11" t="s">
        <v>32208</v>
      </c>
      <c r="K2476" s="9" t="s">
        <v>24835</v>
      </c>
      <c r="L2476" s="9" t="s">
        <v>17744</v>
      </c>
      <c r="M2476" s="9" t="s">
        <v>24505</v>
      </c>
      <c r="N2476" s="9" t="s">
        <v>17746</v>
      </c>
      <c r="O2476" s="9" t="s">
        <v>18340</v>
      </c>
      <c r="P2476" s="9" t="s">
        <v>17748</v>
      </c>
      <c r="Q2476" s="11" t="s">
        <v>19222</v>
      </c>
      <c r="R2476" s="11" t="s">
        <v>19222</v>
      </c>
      <c r="S2476" s="11" t="s">
        <v>17750</v>
      </c>
    </row>
    <row r="2477" spans="1:19" x14ac:dyDescent="0.2">
      <c r="A2477" s="11" t="s">
        <v>32209</v>
      </c>
      <c r="B2477" s="9" t="s">
        <v>32210</v>
      </c>
      <c r="C2477" s="9" t="s">
        <v>32211</v>
      </c>
      <c r="D2477" s="9" t="s">
        <v>32212</v>
      </c>
      <c r="E2477" s="9" t="s">
        <v>17740</v>
      </c>
      <c r="F2477" s="9" t="s">
        <v>17741</v>
      </c>
      <c r="G2477" s="9" t="s">
        <v>17740</v>
      </c>
      <c r="H2477" s="11" t="s">
        <v>15825</v>
      </c>
      <c r="I2477" s="11" t="s">
        <v>15824</v>
      </c>
      <c r="J2477" s="11" t="s">
        <v>17741</v>
      </c>
      <c r="K2477" s="9" t="s">
        <v>32213</v>
      </c>
      <c r="L2477" s="9" t="s">
        <v>17759</v>
      </c>
      <c r="M2477" s="9" t="s">
        <v>17741</v>
      </c>
      <c r="N2477" s="9" t="s">
        <v>17746</v>
      </c>
      <c r="O2477" s="9" t="s">
        <v>19923</v>
      </c>
      <c r="P2477" s="9" t="s">
        <v>17748</v>
      </c>
      <c r="Q2477" s="11" t="s">
        <v>17909</v>
      </c>
      <c r="R2477" s="11" t="s">
        <v>17909</v>
      </c>
      <c r="S2477" s="11" t="s">
        <v>17750</v>
      </c>
    </row>
    <row r="2478" spans="1:19" x14ac:dyDescent="0.2">
      <c r="A2478" s="11" t="s">
        <v>32214</v>
      </c>
      <c r="B2478" s="9" t="s">
        <v>32215</v>
      </c>
      <c r="C2478" s="9" t="s">
        <v>32216</v>
      </c>
      <c r="D2478" s="9" t="s">
        <v>32217</v>
      </c>
      <c r="E2478" s="9" t="s">
        <v>17740</v>
      </c>
      <c r="F2478" s="9" t="s">
        <v>17741</v>
      </c>
      <c r="G2478" s="9" t="s">
        <v>17740</v>
      </c>
      <c r="H2478" s="11" t="s">
        <v>13858</v>
      </c>
      <c r="I2478" s="11" t="s">
        <v>13858</v>
      </c>
      <c r="J2478" s="11" t="s">
        <v>17741</v>
      </c>
      <c r="K2478" s="9" t="s">
        <v>55</v>
      </c>
      <c r="L2478" s="9" t="s">
        <v>17744</v>
      </c>
      <c r="M2478" s="9" t="s">
        <v>17760</v>
      </c>
      <c r="N2478" s="9" t="s">
        <v>17746</v>
      </c>
      <c r="O2478" s="9" t="s">
        <v>32218</v>
      </c>
      <c r="P2478" s="9" t="s">
        <v>17748</v>
      </c>
      <c r="Q2478" s="11" t="s">
        <v>17825</v>
      </c>
      <c r="R2478" s="11" t="s">
        <v>17825</v>
      </c>
      <c r="S2478" s="11" t="s">
        <v>17750</v>
      </c>
    </row>
    <row r="2479" spans="1:19" x14ac:dyDescent="0.2">
      <c r="A2479" s="11" t="s">
        <v>32219</v>
      </c>
      <c r="B2479" s="9" t="s">
        <v>32220</v>
      </c>
      <c r="C2479" s="9" t="s">
        <v>32221</v>
      </c>
      <c r="D2479" s="9" t="s">
        <v>32222</v>
      </c>
      <c r="E2479" s="9" t="s">
        <v>17748</v>
      </c>
      <c r="F2479" s="9" t="s">
        <v>32223</v>
      </c>
      <c r="G2479" s="9" t="s">
        <v>17740</v>
      </c>
      <c r="H2479" s="11" t="s">
        <v>11436</v>
      </c>
      <c r="I2479" s="11" t="s">
        <v>11435</v>
      </c>
      <c r="J2479" s="11" t="s">
        <v>11435</v>
      </c>
      <c r="K2479" s="9" t="s">
        <v>11437</v>
      </c>
      <c r="L2479" s="9" t="s">
        <v>18242</v>
      </c>
      <c r="M2479" s="9" t="s">
        <v>17769</v>
      </c>
      <c r="N2479" s="9" t="s">
        <v>17746</v>
      </c>
      <c r="O2479" s="9" t="s">
        <v>18009</v>
      </c>
      <c r="P2479" s="9" t="s">
        <v>17748</v>
      </c>
      <c r="Q2479" s="11" t="s">
        <v>17984</v>
      </c>
      <c r="R2479" s="11" t="s">
        <v>17984</v>
      </c>
      <c r="S2479" s="11" t="s">
        <v>17750</v>
      </c>
    </row>
    <row r="2480" spans="1:19" x14ac:dyDescent="0.2">
      <c r="A2480" s="11" t="s">
        <v>32224</v>
      </c>
      <c r="B2480" s="9" t="s">
        <v>32225</v>
      </c>
      <c r="C2480" s="9" t="s">
        <v>32226</v>
      </c>
      <c r="D2480" s="9" t="s">
        <v>32227</v>
      </c>
      <c r="E2480" s="9" t="s">
        <v>17740</v>
      </c>
      <c r="F2480" s="9" t="s">
        <v>17741</v>
      </c>
      <c r="G2480" s="9" t="s">
        <v>17740</v>
      </c>
      <c r="H2480" s="11" t="s">
        <v>4366</v>
      </c>
      <c r="I2480" s="11" t="s">
        <v>4365</v>
      </c>
      <c r="J2480" s="11" t="s">
        <v>4365</v>
      </c>
      <c r="K2480" s="9" t="s">
        <v>32228</v>
      </c>
      <c r="L2480" s="9" t="s">
        <v>17744</v>
      </c>
      <c r="M2480" s="9" t="s">
        <v>17817</v>
      </c>
      <c r="N2480" s="9" t="s">
        <v>17746</v>
      </c>
      <c r="O2480" s="9" t="s">
        <v>18882</v>
      </c>
      <c r="P2480" s="9" t="s">
        <v>17748</v>
      </c>
      <c r="Q2480" s="11" t="s">
        <v>17819</v>
      </c>
      <c r="R2480" s="11" t="s">
        <v>17819</v>
      </c>
      <c r="S2480" s="11" t="s">
        <v>17750</v>
      </c>
    </row>
    <row r="2481" spans="1:19" x14ac:dyDescent="0.2">
      <c r="A2481" s="11" t="s">
        <v>32229</v>
      </c>
      <c r="B2481" s="9" t="s">
        <v>32230</v>
      </c>
      <c r="C2481" s="9" t="s">
        <v>32231</v>
      </c>
      <c r="D2481" s="9" t="s">
        <v>32232</v>
      </c>
      <c r="E2481" s="9" t="s">
        <v>17748</v>
      </c>
      <c r="F2481" s="9" t="s">
        <v>17741</v>
      </c>
      <c r="G2481" s="9" t="s">
        <v>17740</v>
      </c>
      <c r="H2481" s="11" t="s">
        <v>8881</v>
      </c>
      <c r="I2481" s="11" t="s">
        <v>8880</v>
      </c>
      <c r="J2481" s="11" t="s">
        <v>8880</v>
      </c>
      <c r="K2481" s="9" t="s">
        <v>18661</v>
      </c>
      <c r="L2481" s="9" t="s">
        <v>18001</v>
      </c>
      <c r="M2481" s="9" t="s">
        <v>17817</v>
      </c>
      <c r="N2481" s="9" t="s">
        <v>17746</v>
      </c>
      <c r="O2481" s="9" t="s">
        <v>32233</v>
      </c>
      <c r="P2481" s="9" t="s">
        <v>17748</v>
      </c>
      <c r="Q2481" s="11" t="s">
        <v>18922</v>
      </c>
      <c r="R2481" s="11" t="s">
        <v>18922</v>
      </c>
      <c r="S2481" s="11" t="s">
        <v>17750</v>
      </c>
    </row>
    <row r="2482" spans="1:19" x14ac:dyDescent="0.2">
      <c r="A2482" s="11" t="s">
        <v>32234</v>
      </c>
      <c r="B2482" s="9" t="s">
        <v>32235</v>
      </c>
      <c r="C2482" s="9" t="s">
        <v>32236</v>
      </c>
      <c r="D2482" s="9" t="s">
        <v>32237</v>
      </c>
      <c r="E2482" s="9" t="s">
        <v>17740</v>
      </c>
      <c r="F2482" s="9" t="s">
        <v>17741</v>
      </c>
      <c r="G2482" s="9" t="s">
        <v>17740</v>
      </c>
      <c r="H2482" s="11" t="s">
        <v>9658</v>
      </c>
      <c r="I2482" s="11" t="s">
        <v>17741</v>
      </c>
      <c r="J2482" s="11" t="s">
        <v>9658</v>
      </c>
      <c r="K2482" s="9" t="s">
        <v>18570</v>
      </c>
      <c r="L2482" s="9" t="s">
        <v>17744</v>
      </c>
      <c r="M2482" s="9" t="s">
        <v>18745</v>
      </c>
      <c r="N2482" s="9" t="s">
        <v>17746</v>
      </c>
      <c r="O2482" s="9" t="s">
        <v>19715</v>
      </c>
      <c r="P2482" s="9" t="s">
        <v>17748</v>
      </c>
      <c r="Q2482" s="11" t="s">
        <v>17994</v>
      </c>
      <c r="R2482" s="11" t="s">
        <v>17994</v>
      </c>
      <c r="S2482" s="11" t="s">
        <v>17750</v>
      </c>
    </row>
    <row r="2483" spans="1:19" x14ac:dyDescent="0.2">
      <c r="A2483" s="11" t="s">
        <v>32238</v>
      </c>
      <c r="B2483" s="9" t="s">
        <v>32239</v>
      </c>
      <c r="C2483" s="9" t="s">
        <v>32240</v>
      </c>
      <c r="D2483" s="9" t="s">
        <v>32241</v>
      </c>
      <c r="E2483" s="9" t="s">
        <v>17740</v>
      </c>
      <c r="F2483" s="9" t="s">
        <v>32242</v>
      </c>
      <c r="G2483" s="9" t="s">
        <v>17740</v>
      </c>
      <c r="H2483" s="11" t="s">
        <v>32243</v>
      </c>
      <c r="I2483" s="11" t="s">
        <v>32244</v>
      </c>
      <c r="J2483" s="11" t="s">
        <v>17741</v>
      </c>
      <c r="K2483" s="9" t="s">
        <v>17805</v>
      </c>
      <c r="L2483" s="9" t="s">
        <v>17744</v>
      </c>
      <c r="M2483" s="9" t="s">
        <v>17817</v>
      </c>
      <c r="N2483" s="9" t="s">
        <v>17746</v>
      </c>
      <c r="O2483" s="9" t="s">
        <v>32245</v>
      </c>
      <c r="P2483" s="9" t="s">
        <v>17748</v>
      </c>
      <c r="Q2483" s="11" t="s">
        <v>17900</v>
      </c>
      <c r="R2483" s="11" t="s">
        <v>17900</v>
      </c>
      <c r="S2483" s="11" t="s">
        <v>17750</v>
      </c>
    </row>
    <row r="2484" spans="1:19" x14ac:dyDescent="0.2">
      <c r="A2484" s="11" t="s">
        <v>32246</v>
      </c>
      <c r="B2484" s="9" t="s">
        <v>32247</v>
      </c>
      <c r="C2484" s="9" t="s">
        <v>32248</v>
      </c>
      <c r="D2484" s="9" t="s">
        <v>32249</v>
      </c>
      <c r="E2484" s="9" t="s">
        <v>17740</v>
      </c>
      <c r="F2484" s="9" t="s">
        <v>17741</v>
      </c>
      <c r="G2484" s="9" t="s">
        <v>17740</v>
      </c>
      <c r="H2484" s="11" t="s">
        <v>1990</v>
      </c>
      <c r="I2484" s="11" t="s">
        <v>1989</v>
      </c>
      <c r="J2484" s="11" t="s">
        <v>1989</v>
      </c>
      <c r="K2484" s="9" t="s">
        <v>18661</v>
      </c>
      <c r="L2484" s="9" t="s">
        <v>17744</v>
      </c>
      <c r="M2484" s="9" t="s">
        <v>18289</v>
      </c>
      <c r="N2484" s="9" t="s">
        <v>17746</v>
      </c>
      <c r="O2484" s="9" t="s">
        <v>3309</v>
      </c>
      <c r="P2484" s="9" t="s">
        <v>17748</v>
      </c>
      <c r="Q2484" s="11" t="s">
        <v>19899</v>
      </c>
      <c r="R2484" s="11" t="s">
        <v>19899</v>
      </c>
      <c r="S2484" s="11" t="s">
        <v>17750</v>
      </c>
    </row>
    <row r="2485" spans="1:19" x14ac:dyDescent="0.2">
      <c r="A2485" s="11" t="s">
        <v>32250</v>
      </c>
      <c r="B2485" s="9" t="s">
        <v>32251</v>
      </c>
      <c r="C2485" s="9" t="s">
        <v>32252</v>
      </c>
      <c r="D2485" s="9" t="s">
        <v>32253</v>
      </c>
      <c r="E2485" s="9" t="s">
        <v>17748</v>
      </c>
      <c r="F2485" s="9" t="s">
        <v>32254</v>
      </c>
      <c r="G2485" s="9" t="s">
        <v>17740</v>
      </c>
      <c r="H2485" s="11" t="s">
        <v>7106</v>
      </c>
      <c r="I2485" s="11" t="s">
        <v>7105</v>
      </c>
      <c r="J2485" s="11" t="s">
        <v>7105</v>
      </c>
      <c r="K2485" s="9" t="s">
        <v>55</v>
      </c>
      <c r="L2485" s="9" t="s">
        <v>17744</v>
      </c>
      <c r="M2485" s="9" t="s">
        <v>20580</v>
      </c>
      <c r="N2485" s="9" t="s">
        <v>17746</v>
      </c>
      <c r="O2485" s="9" t="s">
        <v>30620</v>
      </c>
      <c r="P2485" s="9" t="s">
        <v>17748</v>
      </c>
      <c r="Q2485" s="11" t="s">
        <v>17808</v>
      </c>
      <c r="R2485" s="11" t="s">
        <v>17808</v>
      </c>
      <c r="S2485" s="11" t="s">
        <v>17750</v>
      </c>
    </row>
    <row r="2486" spans="1:19" x14ac:dyDescent="0.2">
      <c r="A2486" s="11" t="s">
        <v>32255</v>
      </c>
      <c r="B2486" s="9" t="s">
        <v>32256</v>
      </c>
      <c r="C2486" s="9" t="s">
        <v>32257</v>
      </c>
      <c r="D2486" s="9" t="s">
        <v>32258</v>
      </c>
      <c r="E2486" s="9" t="s">
        <v>17740</v>
      </c>
      <c r="F2486" s="9" t="s">
        <v>32259</v>
      </c>
      <c r="G2486" s="9" t="s">
        <v>17740</v>
      </c>
      <c r="H2486" s="11" t="s">
        <v>17741</v>
      </c>
      <c r="I2486" s="11" t="s">
        <v>2007</v>
      </c>
      <c r="J2486" s="11" t="s">
        <v>2007</v>
      </c>
      <c r="K2486" s="9" t="s">
        <v>32260</v>
      </c>
      <c r="L2486" s="9" t="s">
        <v>18123</v>
      </c>
      <c r="M2486" s="9" t="s">
        <v>18065</v>
      </c>
      <c r="N2486" s="9" t="s">
        <v>18185</v>
      </c>
      <c r="O2486" s="9" t="s">
        <v>18543</v>
      </c>
      <c r="P2486" s="9" t="s">
        <v>17748</v>
      </c>
      <c r="Q2486" s="11" t="s">
        <v>19899</v>
      </c>
      <c r="R2486" s="11" t="s">
        <v>19899</v>
      </c>
      <c r="S2486" s="11" t="s">
        <v>17750</v>
      </c>
    </row>
    <row r="2487" spans="1:19" x14ac:dyDescent="0.2">
      <c r="A2487" s="11" t="s">
        <v>32261</v>
      </c>
      <c r="B2487" s="9" t="s">
        <v>32262</v>
      </c>
      <c r="C2487" s="9" t="s">
        <v>32263</v>
      </c>
      <c r="D2487" s="9" t="s">
        <v>32264</v>
      </c>
      <c r="E2487" s="9" t="s">
        <v>17740</v>
      </c>
      <c r="F2487" s="9" t="s">
        <v>17741</v>
      </c>
      <c r="G2487" s="9" t="s">
        <v>17740</v>
      </c>
      <c r="H2487" s="11" t="s">
        <v>17741</v>
      </c>
      <c r="I2487" s="11" t="s">
        <v>1885</v>
      </c>
      <c r="J2487" s="11" t="s">
        <v>1885</v>
      </c>
      <c r="K2487" s="9" t="s">
        <v>32265</v>
      </c>
      <c r="L2487" s="9" t="s">
        <v>18158</v>
      </c>
      <c r="M2487" s="9" t="s">
        <v>17760</v>
      </c>
      <c r="N2487" s="9" t="s">
        <v>17746</v>
      </c>
      <c r="O2487" s="9" t="s">
        <v>3355</v>
      </c>
      <c r="P2487" s="9" t="s">
        <v>17748</v>
      </c>
      <c r="Q2487" s="11" t="s">
        <v>18960</v>
      </c>
      <c r="R2487" s="11" t="s">
        <v>18960</v>
      </c>
      <c r="S2487" s="11" t="s">
        <v>17750</v>
      </c>
    </row>
    <row r="2488" spans="1:19" x14ac:dyDescent="0.2">
      <c r="A2488" s="11" t="s">
        <v>32266</v>
      </c>
      <c r="B2488" s="9" t="s">
        <v>32267</v>
      </c>
      <c r="C2488" s="9" t="s">
        <v>32268</v>
      </c>
      <c r="D2488" s="9" t="s">
        <v>32269</v>
      </c>
      <c r="E2488" s="9" t="s">
        <v>17740</v>
      </c>
      <c r="F2488" s="9" t="s">
        <v>32270</v>
      </c>
      <c r="G2488" s="9" t="s">
        <v>17740</v>
      </c>
      <c r="H2488" s="11" t="s">
        <v>17741</v>
      </c>
      <c r="I2488" s="11" t="s">
        <v>32271</v>
      </c>
      <c r="J2488" s="11" t="s">
        <v>32271</v>
      </c>
      <c r="K2488" s="9" t="s">
        <v>32272</v>
      </c>
      <c r="L2488" s="9" t="s">
        <v>17759</v>
      </c>
      <c r="M2488" s="9" t="s">
        <v>18177</v>
      </c>
      <c r="N2488" s="9" t="s">
        <v>17746</v>
      </c>
      <c r="O2488" s="9" t="s">
        <v>18855</v>
      </c>
      <c r="P2488" s="9" t="s">
        <v>17748</v>
      </c>
      <c r="Q2488" s="11" t="s">
        <v>18243</v>
      </c>
      <c r="R2488" s="11" t="s">
        <v>18243</v>
      </c>
      <c r="S2488" s="11" t="s">
        <v>17750</v>
      </c>
    </row>
    <row r="2489" spans="1:19" x14ac:dyDescent="0.2">
      <c r="A2489" s="11" t="s">
        <v>32273</v>
      </c>
      <c r="B2489" s="9" t="s">
        <v>32274</v>
      </c>
      <c r="C2489" s="9" t="s">
        <v>32275</v>
      </c>
      <c r="D2489" s="9" t="s">
        <v>32276</v>
      </c>
      <c r="E2489" s="9" t="s">
        <v>17740</v>
      </c>
      <c r="F2489" s="9" t="s">
        <v>17741</v>
      </c>
      <c r="G2489" s="9" t="s">
        <v>17740</v>
      </c>
      <c r="H2489" s="11" t="s">
        <v>5666</v>
      </c>
      <c r="I2489" s="11" t="s">
        <v>5665</v>
      </c>
      <c r="J2489" s="11" t="s">
        <v>5665</v>
      </c>
      <c r="K2489" s="9" t="s">
        <v>28282</v>
      </c>
      <c r="L2489" s="9" t="s">
        <v>18001</v>
      </c>
      <c r="M2489" s="9" t="s">
        <v>18699</v>
      </c>
      <c r="N2489" s="9" t="s">
        <v>17746</v>
      </c>
      <c r="O2489" s="9" t="s">
        <v>15993</v>
      </c>
      <c r="P2489" s="9" t="s">
        <v>17748</v>
      </c>
      <c r="Q2489" s="11" t="s">
        <v>18080</v>
      </c>
      <c r="R2489" s="11" t="s">
        <v>18080</v>
      </c>
      <c r="S2489" s="11" t="s">
        <v>17750</v>
      </c>
    </row>
    <row r="2490" spans="1:19" x14ac:dyDescent="0.2">
      <c r="A2490" s="11" t="s">
        <v>32277</v>
      </c>
      <c r="B2490" s="9" t="s">
        <v>32278</v>
      </c>
      <c r="C2490" s="9" t="s">
        <v>32279</v>
      </c>
      <c r="D2490" s="9" t="s">
        <v>32280</v>
      </c>
      <c r="E2490" s="9" t="s">
        <v>17740</v>
      </c>
      <c r="F2490" s="9" t="s">
        <v>17741</v>
      </c>
      <c r="G2490" s="9" t="s">
        <v>17740</v>
      </c>
      <c r="H2490" s="11" t="s">
        <v>32281</v>
      </c>
      <c r="I2490" s="11" t="s">
        <v>1889</v>
      </c>
      <c r="J2490" s="11" t="s">
        <v>1889</v>
      </c>
      <c r="K2490" s="9" t="s">
        <v>28684</v>
      </c>
      <c r="L2490" s="9" t="s">
        <v>17991</v>
      </c>
      <c r="M2490" s="9" t="s">
        <v>17817</v>
      </c>
      <c r="N2490" s="9" t="s">
        <v>17746</v>
      </c>
      <c r="O2490" s="9" t="s">
        <v>3981</v>
      </c>
      <c r="P2490" s="9" t="s">
        <v>17748</v>
      </c>
      <c r="Q2490" s="11" t="s">
        <v>19335</v>
      </c>
      <c r="R2490" s="11" t="s">
        <v>19335</v>
      </c>
      <c r="S2490" s="11" t="s">
        <v>17750</v>
      </c>
    </row>
    <row r="2491" spans="1:19" x14ac:dyDescent="0.2">
      <c r="A2491" s="11" t="s">
        <v>32282</v>
      </c>
      <c r="B2491" s="9" t="s">
        <v>32283</v>
      </c>
      <c r="C2491" s="9" t="s">
        <v>32284</v>
      </c>
      <c r="D2491" s="9" t="s">
        <v>32285</v>
      </c>
      <c r="E2491" s="9" t="s">
        <v>17748</v>
      </c>
      <c r="F2491" s="9" t="s">
        <v>32286</v>
      </c>
      <c r="G2491" s="9" t="s">
        <v>17740</v>
      </c>
      <c r="H2491" s="11" t="s">
        <v>32287</v>
      </c>
      <c r="I2491" s="11" t="s">
        <v>32288</v>
      </c>
      <c r="J2491" s="11" t="s">
        <v>32288</v>
      </c>
      <c r="K2491" s="9" t="s">
        <v>291</v>
      </c>
      <c r="L2491" s="9" t="s">
        <v>17744</v>
      </c>
      <c r="M2491" s="9" t="s">
        <v>18177</v>
      </c>
      <c r="N2491" s="9" t="s">
        <v>17746</v>
      </c>
      <c r="O2491" s="9" t="s">
        <v>19406</v>
      </c>
      <c r="P2491" s="9" t="s">
        <v>17748</v>
      </c>
      <c r="Q2491" s="11" t="s">
        <v>17994</v>
      </c>
      <c r="R2491" s="11" t="s">
        <v>17994</v>
      </c>
      <c r="S2491" s="11" t="s">
        <v>17750</v>
      </c>
    </row>
    <row r="2492" spans="1:19" x14ac:dyDescent="0.2">
      <c r="A2492" s="11" t="s">
        <v>32289</v>
      </c>
      <c r="B2492" s="9" t="s">
        <v>32290</v>
      </c>
      <c r="C2492" s="9" t="s">
        <v>32291</v>
      </c>
      <c r="D2492" s="9" t="s">
        <v>32292</v>
      </c>
      <c r="E2492" s="9" t="s">
        <v>17740</v>
      </c>
      <c r="F2492" s="9" t="s">
        <v>17741</v>
      </c>
      <c r="G2492" s="9" t="s">
        <v>17740</v>
      </c>
      <c r="H2492" s="11" t="s">
        <v>32293</v>
      </c>
      <c r="I2492" s="11" t="s">
        <v>32294</v>
      </c>
      <c r="J2492" s="11" t="s">
        <v>32294</v>
      </c>
      <c r="K2492" s="9" t="s">
        <v>291</v>
      </c>
      <c r="L2492" s="9" t="s">
        <v>17744</v>
      </c>
      <c r="M2492" s="9" t="s">
        <v>17778</v>
      </c>
      <c r="N2492" s="9" t="s">
        <v>17746</v>
      </c>
      <c r="O2492" s="9" t="s">
        <v>19095</v>
      </c>
      <c r="P2492" s="9" t="s">
        <v>17748</v>
      </c>
      <c r="Q2492" s="11" t="s">
        <v>17808</v>
      </c>
      <c r="R2492" s="11" t="s">
        <v>17808</v>
      </c>
      <c r="S2492" s="11" t="s">
        <v>17750</v>
      </c>
    </row>
    <row r="2493" spans="1:19" x14ac:dyDescent="0.2">
      <c r="A2493" s="11" t="s">
        <v>32295</v>
      </c>
      <c r="B2493" s="9" t="s">
        <v>32296</v>
      </c>
      <c r="C2493" s="9" t="s">
        <v>32297</v>
      </c>
      <c r="D2493" s="9" t="s">
        <v>32298</v>
      </c>
      <c r="E2493" s="9" t="s">
        <v>17740</v>
      </c>
      <c r="F2493" s="9" t="s">
        <v>17741</v>
      </c>
      <c r="G2493" s="9" t="s">
        <v>17740</v>
      </c>
      <c r="H2493" s="11" t="s">
        <v>10265</v>
      </c>
      <c r="I2493" s="11" t="s">
        <v>17741</v>
      </c>
      <c r="J2493" s="11" t="s">
        <v>10265</v>
      </c>
      <c r="K2493" s="9" t="s">
        <v>18570</v>
      </c>
      <c r="L2493" s="9" t="s">
        <v>17744</v>
      </c>
      <c r="M2493" s="9" t="s">
        <v>17942</v>
      </c>
      <c r="N2493" s="9" t="s">
        <v>17746</v>
      </c>
      <c r="O2493" s="9" t="s">
        <v>32299</v>
      </c>
      <c r="P2493" s="9" t="s">
        <v>17748</v>
      </c>
      <c r="Q2493" s="11" t="s">
        <v>17780</v>
      </c>
      <c r="R2493" s="11" t="s">
        <v>17780</v>
      </c>
      <c r="S2493" s="11" t="s">
        <v>17750</v>
      </c>
    </row>
    <row r="2494" spans="1:19" x14ac:dyDescent="0.2">
      <c r="A2494" s="11" t="s">
        <v>32300</v>
      </c>
      <c r="B2494" s="9" t="s">
        <v>32301</v>
      </c>
      <c r="C2494" s="9" t="s">
        <v>32302</v>
      </c>
      <c r="D2494" s="9" t="s">
        <v>32303</v>
      </c>
      <c r="E2494" s="9" t="s">
        <v>17748</v>
      </c>
      <c r="F2494" s="9" t="s">
        <v>32304</v>
      </c>
      <c r="G2494" s="9" t="s">
        <v>17740</v>
      </c>
      <c r="H2494" s="11" t="s">
        <v>6624</v>
      </c>
      <c r="I2494" s="11" t="s">
        <v>6623</v>
      </c>
      <c r="J2494" s="11" t="s">
        <v>6623</v>
      </c>
      <c r="K2494" s="9" t="s">
        <v>91</v>
      </c>
      <c r="L2494" s="9" t="s">
        <v>18001</v>
      </c>
      <c r="M2494" s="9" t="s">
        <v>17817</v>
      </c>
      <c r="N2494" s="9" t="s">
        <v>17746</v>
      </c>
      <c r="O2494" s="9" t="s">
        <v>22302</v>
      </c>
      <c r="P2494" s="9" t="s">
        <v>17748</v>
      </c>
      <c r="Q2494" s="11" t="s">
        <v>19361</v>
      </c>
      <c r="R2494" s="11" t="s">
        <v>19361</v>
      </c>
      <c r="S2494" s="11" t="s">
        <v>17750</v>
      </c>
    </row>
    <row r="2495" spans="1:19" x14ac:dyDescent="0.2">
      <c r="A2495" s="11" t="s">
        <v>32305</v>
      </c>
      <c r="B2495" s="9" t="s">
        <v>32306</v>
      </c>
      <c r="C2495" s="9" t="s">
        <v>32307</v>
      </c>
      <c r="D2495" s="9" t="s">
        <v>32308</v>
      </c>
      <c r="E2495" s="9" t="s">
        <v>17740</v>
      </c>
      <c r="F2495" s="9" t="s">
        <v>17741</v>
      </c>
      <c r="G2495" s="9" t="s">
        <v>17740</v>
      </c>
      <c r="H2495" s="11" t="s">
        <v>32309</v>
      </c>
      <c r="I2495" s="11" t="s">
        <v>32310</v>
      </c>
      <c r="J2495" s="11" t="s">
        <v>32310</v>
      </c>
      <c r="K2495" s="9" t="s">
        <v>32311</v>
      </c>
      <c r="L2495" s="9" t="s">
        <v>18123</v>
      </c>
      <c r="M2495" s="9" t="s">
        <v>21722</v>
      </c>
      <c r="N2495" s="9" t="s">
        <v>17746</v>
      </c>
      <c r="O2495" s="9" t="s">
        <v>22422</v>
      </c>
      <c r="P2495" s="9" t="s">
        <v>17748</v>
      </c>
      <c r="Q2495" s="11" t="s">
        <v>17984</v>
      </c>
      <c r="R2495" s="11" t="s">
        <v>17984</v>
      </c>
      <c r="S2495" s="11" t="s">
        <v>17750</v>
      </c>
    </row>
    <row r="2496" spans="1:19" x14ac:dyDescent="0.2">
      <c r="A2496" s="11" t="s">
        <v>32312</v>
      </c>
      <c r="B2496" s="9" t="s">
        <v>32313</v>
      </c>
      <c r="C2496" s="9" t="s">
        <v>32314</v>
      </c>
      <c r="D2496" s="9" t="s">
        <v>32315</v>
      </c>
      <c r="E2496" s="9" t="s">
        <v>17740</v>
      </c>
      <c r="F2496" s="9" t="s">
        <v>17741</v>
      </c>
      <c r="G2496" s="9" t="s">
        <v>17740</v>
      </c>
      <c r="H2496" s="11" t="s">
        <v>1893</v>
      </c>
      <c r="I2496" s="11" t="s">
        <v>1892</v>
      </c>
      <c r="J2496" s="11" t="s">
        <v>1892</v>
      </c>
      <c r="K2496" s="9" t="s">
        <v>91</v>
      </c>
      <c r="L2496" s="9" t="s">
        <v>18001</v>
      </c>
      <c r="M2496" s="9" t="s">
        <v>18177</v>
      </c>
      <c r="N2496" s="9" t="s">
        <v>17746</v>
      </c>
      <c r="O2496" s="9" t="s">
        <v>18762</v>
      </c>
      <c r="P2496" s="9" t="s">
        <v>17748</v>
      </c>
      <c r="Q2496" s="11" t="s">
        <v>18251</v>
      </c>
      <c r="R2496" s="11" t="s">
        <v>18251</v>
      </c>
      <c r="S2496" s="11" t="s">
        <v>17750</v>
      </c>
    </row>
    <row r="2497" spans="1:19" x14ac:dyDescent="0.2">
      <c r="A2497" s="11" t="s">
        <v>32316</v>
      </c>
      <c r="B2497" s="9" t="s">
        <v>32317</v>
      </c>
      <c r="C2497" s="9" t="s">
        <v>32318</v>
      </c>
      <c r="D2497" s="9" t="s">
        <v>32319</v>
      </c>
      <c r="E2497" s="9" t="s">
        <v>17740</v>
      </c>
      <c r="F2497" s="9" t="s">
        <v>17741</v>
      </c>
      <c r="G2497" s="9" t="s">
        <v>17740</v>
      </c>
      <c r="H2497" s="11" t="s">
        <v>4656</v>
      </c>
      <c r="I2497" s="11" t="s">
        <v>4655</v>
      </c>
      <c r="J2497" s="11" t="s">
        <v>4655</v>
      </c>
      <c r="K2497" s="9" t="s">
        <v>32320</v>
      </c>
      <c r="L2497" s="9" t="s">
        <v>17991</v>
      </c>
      <c r="M2497" s="9" t="s">
        <v>32321</v>
      </c>
      <c r="N2497" s="9" t="s">
        <v>17746</v>
      </c>
      <c r="O2497" s="9" t="s">
        <v>24077</v>
      </c>
      <c r="P2497" s="9" t="s">
        <v>17748</v>
      </c>
      <c r="Q2497" s="11" t="s">
        <v>18059</v>
      </c>
      <c r="R2497" s="11" t="s">
        <v>18059</v>
      </c>
      <c r="S2497" s="11" t="s">
        <v>17750</v>
      </c>
    </row>
    <row r="2498" spans="1:19" x14ac:dyDescent="0.2">
      <c r="A2498" s="11" t="s">
        <v>32322</v>
      </c>
      <c r="B2498" s="9" t="s">
        <v>32323</v>
      </c>
      <c r="C2498" s="9" t="s">
        <v>32324</v>
      </c>
      <c r="D2498" s="9" t="s">
        <v>32325</v>
      </c>
      <c r="E2498" s="9" t="s">
        <v>17740</v>
      </c>
      <c r="F2498" s="9" t="s">
        <v>17741</v>
      </c>
      <c r="G2498" s="9" t="s">
        <v>17740</v>
      </c>
      <c r="H2498" s="11" t="s">
        <v>32326</v>
      </c>
      <c r="I2498" s="11" t="s">
        <v>17741</v>
      </c>
      <c r="J2498" s="11" t="s">
        <v>17741</v>
      </c>
      <c r="K2498" s="9" t="s">
        <v>32327</v>
      </c>
      <c r="L2498" s="9" t="s">
        <v>20082</v>
      </c>
      <c r="M2498" s="9" t="s">
        <v>17741</v>
      </c>
      <c r="N2498" s="9" t="s">
        <v>17746</v>
      </c>
      <c r="O2498" s="9" t="s">
        <v>17977</v>
      </c>
      <c r="P2498" s="9" t="s">
        <v>17748</v>
      </c>
      <c r="Q2498" s="11" t="s">
        <v>17780</v>
      </c>
      <c r="R2498" s="11" t="s">
        <v>17780</v>
      </c>
      <c r="S2498" s="11" t="s">
        <v>17750</v>
      </c>
    </row>
    <row r="2499" spans="1:19" x14ac:dyDescent="0.2">
      <c r="A2499" s="11" t="s">
        <v>32328</v>
      </c>
      <c r="B2499" s="9" t="s">
        <v>32329</v>
      </c>
      <c r="C2499" s="9" t="s">
        <v>32330</v>
      </c>
      <c r="D2499" s="9" t="s">
        <v>32331</v>
      </c>
      <c r="E2499" s="9" t="s">
        <v>17740</v>
      </c>
      <c r="F2499" s="9" t="s">
        <v>32332</v>
      </c>
      <c r="G2499" s="9" t="s">
        <v>17740</v>
      </c>
      <c r="H2499" s="11" t="s">
        <v>32333</v>
      </c>
      <c r="I2499" s="11" t="s">
        <v>32334</v>
      </c>
      <c r="J2499" s="11" t="s">
        <v>32334</v>
      </c>
      <c r="K2499" s="9" t="s">
        <v>167</v>
      </c>
      <c r="L2499" s="9" t="s">
        <v>17759</v>
      </c>
      <c r="M2499" s="9" t="s">
        <v>18533</v>
      </c>
      <c r="N2499" s="9" t="s">
        <v>17746</v>
      </c>
      <c r="O2499" s="9" t="s">
        <v>20799</v>
      </c>
      <c r="P2499" s="9" t="s">
        <v>17748</v>
      </c>
      <c r="Q2499" s="11" t="s">
        <v>18306</v>
      </c>
      <c r="R2499" s="11" t="s">
        <v>18306</v>
      </c>
      <c r="S2499" s="11" t="s">
        <v>17750</v>
      </c>
    </row>
    <row r="2500" spans="1:19" x14ac:dyDescent="0.2">
      <c r="A2500" s="11" t="s">
        <v>32335</v>
      </c>
      <c r="B2500" s="9" t="s">
        <v>32336</v>
      </c>
      <c r="C2500" s="9" t="s">
        <v>32337</v>
      </c>
      <c r="D2500" s="9" t="s">
        <v>32338</v>
      </c>
      <c r="E2500" s="9" t="s">
        <v>17740</v>
      </c>
      <c r="F2500" s="9" t="s">
        <v>17741</v>
      </c>
      <c r="G2500" s="9" t="s">
        <v>17740</v>
      </c>
      <c r="H2500" s="11" t="s">
        <v>11027</v>
      </c>
      <c r="I2500" s="11" t="s">
        <v>32339</v>
      </c>
      <c r="J2500" s="11" t="s">
        <v>11027</v>
      </c>
      <c r="K2500" s="9" t="s">
        <v>32265</v>
      </c>
      <c r="L2500" s="9" t="s">
        <v>18158</v>
      </c>
      <c r="M2500" s="9" t="s">
        <v>17942</v>
      </c>
      <c r="N2500" s="9" t="s">
        <v>17746</v>
      </c>
      <c r="O2500" s="9" t="s">
        <v>22682</v>
      </c>
      <c r="P2500" s="9" t="s">
        <v>17748</v>
      </c>
      <c r="Q2500" s="11" t="s">
        <v>17984</v>
      </c>
      <c r="R2500" s="11" t="s">
        <v>17984</v>
      </c>
      <c r="S2500" s="11" t="s">
        <v>17750</v>
      </c>
    </row>
    <row r="2501" spans="1:19" x14ac:dyDescent="0.2">
      <c r="A2501" s="11" t="s">
        <v>32340</v>
      </c>
      <c r="B2501" s="9" t="s">
        <v>32341</v>
      </c>
      <c r="C2501" s="9" t="s">
        <v>32342</v>
      </c>
      <c r="D2501" s="9" t="s">
        <v>32343</v>
      </c>
      <c r="E2501" s="9" t="s">
        <v>17740</v>
      </c>
      <c r="F2501" s="9" t="s">
        <v>32344</v>
      </c>
      <c r="G2501" s="9" t="s">
        <v>17740</v>
      </c>
      <c r="H2501" s="11" t="s">
        <v>1907</v>
      </c>
      <c r="I2501" s="11" t="s">
        <v>1906</v>
      </c>
      <c r="J2501" s="11" t="s">
        <v>1906</v>
      </c>
      <c r="K2501" s="9" t="s">
        <v>19094</v>
      </c>
      <c r="L2501" s="9" t="s">
        <v>17759</v>
      </c>
      <c r="M2501" s="9" t="s">
        <v>32345</v>
      </c>
      <c r="N2501" s="9" t="s">
        <v>17746</v>
      </c>
      <c r="O2501" s="9" t="s">
        <v>18363</v>
      </c>
      <c r="P2501" s="9" t="s">
        <v>17748</v>
      </c>
      <c r="Q2501" s="11" t="s">
        <v>20251</v>
      </c>
      <c r="R2501" s="11" t="s">
        <v>20251</v>
      </c>
      <c r="S2501" s="11" t="s">
        <v>17750</v>
      </c>
    </row>
    <row r="2502" spans="1:19" x14ac:dyDescent="0.2">
      <c r="A2502" s="11" t="s">
        <v>32346</v>
      </c>
      <c r="B2502" s="9" t="s">
        <v>32347</v>
      </c>
      <c r="C2502" s="9" t="s">
        <v>32348</v>
      </c>
      <c r="D2502" s="9" t="s">
        <v>32349</v>
      </c>
      <c r="E2502" s="9" t="s">
        <v>17740</v>
      </c>
      <c r="F2502" s="9" t="s">
        <v>32350</v>
      </c>
      <c r="G2502" s="9" t="s">
        <v>17740</v>
      </c>
      <c r="H2502" s="11" t="s">
        <v>1901</v>
      </c>
      <c r="I2502" s="11" t="s">
        <v>1900</v>
      </c>
      <c r="J2502" s="11" t="s">
        <v>1900</v>
      </c>
      <c r="K2502" s="9" t="s">
        <v>91</v>
      </c>
      <c r="L2502" s="9" t="s">
        <v>18001</v>
      </c>
      <c r="M2502" s="9" t="s">
        <v>32351</v>
      </c>
      <c r="N2502" s="9" t="s">
        <v>17746</v>
      </c>
      <c r="O2502" s="9" t="s">
        <v>18009</v>
      </c>
      <c r="P2502" s="9" t="s">
        <v>17748</v>
      </c>
      <c r="Q2502" s="11" t="s">
        <v>18433</v>
      </c>
      <c r="R2502" s="11" t="s">
        <v>18433</v>
      </c>
      <c r="S2502" s="11" t="s">
        <v>17750</v>
      </c>
    </row>
    <row r="2503" spans="1:19" x14ac:dyDescent="0.2">
      <c r="A2503" s="11" t="s">
        <v>32352</v>
      </c>
      <c r="B2503" s="9" t="s">
        <v>32353</v>
      </c>
      <c r="C2503" s="9" t="s">
        <v>32354</v>
      </c>
      <c r="D2503" s="9" t="s">
        <v>32355</v>
      </c>
      <c r="E2503" s="9" t="s">
        <v>17748</v>
      </c>
      <c r="F2503" s="9" t="s">
        <v>32356</v>
      </c>
      <c r="G2503" s="9" t="s">
        <v>17740</v>
      </c>
      <c r="H2503" s="11" t="s">
        <v>32357</v>
      </c>
      <c r="I2503" s="11" t="s">
        <v>9151</v>
      </c>
      <c r="J2503" s="11" t="s">
        <v>9151</v>
      </c>
      <c r="K2503" s="9" t="s">
        <v>18876</v>
      </c>
      <c r="L2503" s="9" t="s">
        <v>17759</v>
      </c>
      <c r="M2503" s="9" t="s">
        <v>18177</v>
      </c>
      <c r="N2503" s="9" t="s">
        <v>17746</v>
      </c>
      <c r="O2503" s="9" t="s">
        <v>23061</v>
      </c>
      <c r="P2503" s="9" t="s">
        <v>17748</v>
      </c>
      <c r="Q2503" s="11" t="s">
        <v>18922</v>
      </c>
      <c r="R2503" s="11" t="s">
        <v>18922</v>
      </c>
      <c r="S2503" s="11" t="s">
        <v>17750</v>
      </c>
    </row>
    <row r="2504" spans="1:19" x14ac:dyDescent="0.2">
      <c r="A2504" s="11" t="s">
        <v>32358</v>
      </c>
      <c r="B2504" s="9" t="s">
        <v>32359</v>
      </c>
      <c r="C2504" s="9" t="s">
        <v>32360</v>
      </c>
      <c r="D2504" s="9" t="s">
        <v>32361</v>
      </c>
      <c r="E2504" s="9" t="s">
        <v>17740</v>
      </c>
      <c r="F2504" s="9" t="s">
        <v>17741</v>
      </c>
      <c r="G2504" s="9" t="s">
        <v>17740</v>
      </c>
      <c r="H2504" s="11" t="s">
        <v>11885</v>
      </c>
      <c r="I2504" s="11" t="s">
        <v>11884</v>
      </c>
      <c r="J2504" s="11" t="s">
        <v>11884</v>
      </c>
      <c r="K2504" s="9" t="s">
        <v>32362</v>
      </c>
      <c r="L2504" s="9" t="s">
        <v>19483</v>
      </c>
      <c r="M2504" s="9" t="s">
        <v>17760</v>
      </c>
      <c r="N2504" s="9" t="s">
        <v>17746</v>
      </c>
      <c r="O2504" s="9" t="s">
        <v>15733</v>
      </c>
      <c r="P2504" s="9" t="s">
        <v>17748</v>
      </c>
      <c r="Q2504" s="11" t="s">
        <v>17762</v>
      </c>
      <c r="R2504" s="11" t="s">
        <v>17762</v>
      </c>
      <c r="S2504" s="11" t="s">
        <v>17750</v>
      </c>
    </row>
    <row r="2505" spans="1:19" x14ac:dyDescent="0.2">
      <c r="A2505" s="11" t="s">
        <v>32363</v>
      </c>
      <c r="B2505" s="9" t="s">
        <v>32364</v>
      </c>
      <c r="C2505" s="9" t="s">
        <v>32365</v>
      </c>
      <c r="D2505" s="9" t="s">
        <v>32366</v>
      </c>
      <c r="E2505" s="9" t="s">
        <v>17748</v>
      </c>
      <c r="F2505" s="9" t="s">
        <v>32367</v>
      </c>
      <c r="G2505" s="9" t="s">
        <v>17740</v>
      </c>
      <c r="H2505" s="11" t="s">
        <v>32368</v>
      </c>
      <c r="I2505" s="11" t="s">
        <v>32369</v>
      </c>
      <c r="J2505" s="11" t="s">
        <v>32369</v>
      </c>
      <c r="K2505" s="9" t="s">
        <v>27985</v>
      </c>
      <c r="L2505" s="9" t="s">
        <v>18130</v>
      </c>
      <c r="M2505" s="9" t="s">
        <v>17778</v>
      </c>
      <c r="N2505" s="9" t="s">
        <v>17746</v>
      </c>
      <c r="O2505" s="9" t="s">
        <v>17993</v>
      </c>
      <c r="P2505" s="9" t="s">
        <v>17748</v>
      </c>
      <c r="Q2505" s="11" t="s">
        <v>18272</v>
      </c>
      <c r="R2505" s="11" t="s">
        <v>18272</v>
      </c>
      <c r="S2505" s="11" t="s">
        <v>17750</v>
      </c>
    </row>
    <row r="2506" spans="1:19" x14ac:dyDescent="0.2">
      <c r="A2506" s="11" t="s">
        <v>32370</v>
      </c>
      <c r="B2506" s="9" t="s">
        <v>32371</v>
      </c>
      <c r="C2506" s="9" t="s">
        <v>32372</v>
      </c>
      <c r="D2506" s="9" t="s">
        <v>32373</v>
      </c>
      <c r="E2506" s="9" t="s">
        <v>17740</v>
      </c>
      <c r="F2506" s="9" t="s">
        <v>32374</v>
      </c>
      <c r="G2506" s="9" t="s">
        <v>17740</v>
      </c>
      <c r="H2506" s="11" t="s">
        <v>1919</v>
      </c>
      <c r="I2506" s="11" t="s">
        <v>1918</v>
      </c>
      <c r="J2506" s="11" t="s">
        <v>1918</v>
      </c>
      <c r="K2506" s="9" t="s">
        <v>291</v>
      </c>
      <c r="L2506" s="9" t="s">
        <v>17744</v>
      </c>
      <c r="M2506" s="9" t="s">
        <v>17760</v>
      </c>
      <c r="N2506" s="9" t="s">
        <v>17746</v>
      </c>
      <c r="O2506" s="9" t="s">
        <v>19503</v>
      </c>
      <c r="P2506" s="9" t="s">
        <v>17748</v>
      </c>
      <c r="Q2506" s="11" t="s">
        <v>17943</v>
      </c>
      <c r="R2506" s="11" t="s">
        <v>17943</v>
      </c>
      <c r="S2506" s="11" t="s">
        <v>17750</v>
      </c>
    </row>
    <row r="2507" spans="1:19" x14ac:dyDescent="0.2">
      <c r="A2507" s="11" t="s">
        <v>32375</v>
      </c>
      <c r="B2507" s="9" t="s">
        <v>32376</v>
      </c>
      <c r="C2507" s="9" t="s">
        <v>32377</v>
      </c>
      <c r="D2507" s="9" t="s">
        <v>32378</v>
      </c>
      <c r="E2507" s="9" t="s">
        <v>17740</v>
      </c>
      <c r="F2507" s="9" t="s">
        <v>17741</v>
      </c>
      <c r="G2507" s="9" t="s">
        <v>17740</v>
      </c>
      <c r="H2507" s="11" t="s">
        <v>32379</v>
      </c>
      <c r="I2507" s="11" t="s">
        <v>17741</v>
      </c>
      <c r="J2507" s="11" t="s">
        <v>32379</v>
      </c>
      <c r="K2507" s="9" t="s">
        <v>32380</v>
      </c>
      <c r="L2507" s="9" t="s">
        <v>17759</v>
      </c>
      <c r="M2507" s="9" t="s">
        <v>17769</v>
      </c>
      <c r="N2507" s="9" t="s">
        <v>17746</v>
      </c>
      <c r="O2507" s="9" t="s">
        <v>19521</v>
      </c>
      <c r="P2507" s="9" t="s">
        <v>17748</v>
      </c>
      <c r="Q2507" s="11" t="s">
        <v>18370</v>
      </c>
      <c r="R2507" s="11" t="s">
        <v>18370</v>
      </c>
      <c r="S2507" s="11" t="s">
        <v>17750</v>
      </c>
    </row>
    <row r="2508" spans="1:19" x14ac:dyDescent="0.2">
      <c r="A2508" s="11" t="s">
        <v>32381</v>
      </c>
      <c r="B2508" s="9" t="s">
        <v>32382</v>
      </c>
      <c r="C2508" s="9" t="s">
        <v>32383</v>
      </c>
      <c r="D2508" s="9" t="s">
        <v>32384</v>
      </c>
      <c r="E2508" s="9" t="s">
        <v>17740</v>
      </c>
      <c r="F2508" s="9" t="s">
        <v>32385</v>
      </c>
      <c r="G2508" s="9" t="s">
        <v>17740</v>
      </c>
      <c r="H2508" s="11" t="s">
        <v>7528</v>
      </c>
      <c r="I2508" s="11" t="s">
        <v>7527</v>
      </c>
      <c r="J2508" s="11" t="s">
        <v>7527</v>
      </c>
      <c r="K2508" s="9" t="s">
        <v>23335</v>
      </c>
      <c r="L2508" s="9" t="s">
        <v>18242</v>
      </c>
      <c r="M2508" s="9" t="s">
        <v>30360</v>
      </c>
      <c r="N2508" s="9" t="s">
        <v>17746</v>
      </c>
      <c r="O2508" s="9" t="s">
        <v>18363</v>
      </c>
      <c r="P2508" s="9" t="s">
        <v>17748</v>
      </c>
      <c r="Q2508" s="11" t="s">
        <v>18201</v>
      </c>
      <c r="R2508" s="11" t="s">
        <v>18201</v>
      </c>
      <c r="S2508" s="11" t="s">
        <v>17750</v>
      </c>
    </row>
    <row r="2509" spans="1:19" x14ac:dyDescent="0.2">
      <c r="A2509" s="11" t="s">
        <v>32386</v>
      </c>
      <c r="B2509" s="9" t="s">
        <v>32387</v>
      </c>
      <c r="C2509" s="9" t="s">
        <v>32388</v>
      </c>
      <c r="D2509" s="9" t="s">
        <v>32389</v>
      </c>
      <c r="E2509" s="9" t="s">
        <v>17748</v>
      </c>
      <c r="F2509" s="9" t="s">
        <v>32390</v>
      </c>
      <c r="G2509" s="9" t="s">
        <v>17740</v>
      </c>
      <c r="H2509" s="11" t="s">
        <v>17741</v>
      </c>
      <c r="I2509" s="11" t="s">
        <v>6267</v>
      </c>
      <c r="J2509" s="11" t="s">
        <v>6267</v>
      </c>
      <c r="K2509" s="9" t="s">
        <v>32391</v>
      </c>
      <c r="L2509" s="9" t="s">
        <v>18158</v>
      </c>
      <c r="M2509" s="9" t="s">
        <v>17817</v>
      </c>
      <c r="N2509" s="9" t="s">
        <v>17746</v>
      </c>
      <c r="O2509" s="9" t="s">
        <v>17779</v>
      </c>
      <c r="P2509" s="9" t="s">
        <v>17748</v>
      </c>
      <c r="Q2509" s="11" t="s">
        <v>17808</v>
      </c>
      <c r="R2509" s="11" t="s">
        <v>17808</v>
      </c>
      <c r="S2509" s="11" t="s">
        <v>17750</v>
      </c>
    </row>
    <row r="2510" spans="1:19" x14ac:dyDescent="0.2">
      <c r="A2510" s="11" t="s">
        <v>32392</v>
      </c>
      <c r="B2510" s="9" t="s">
        <v>32393</v>
      </c>
      <c r="C2510" s="9" t="s">
        <v>32394</v>
      </c>
      <c r="D2510" s="9" t="s">
        <v>32395</v>
      </c>
      <c r="E2510" s="9" t="s">
        <v>17740</v>
      </c>
      <c r="F2510" s="9" t="s">
        <v>17741</v>
      </c>
      <c r="G2510" s="9" t="s">
        <v>17740</v>
      </c>
      <c r="H2510" s="11" t="s">
        <v>17741</v>
      </c>
      <c r="I2510" s="11" t="s">
        <v>32396</v>
      </c>
      <c r="J2510" s="11" t="s">
        <v>32396</v>
      </c>
      <c r="K2510" s="9" t="s">
        <v>32397</v>
      </c>
      <c r="L2510" s="9" t="s">
        <v>18123</v>
      </c>
      <c r="M2510" s="9" t="s">
        <v>17769</v>
      </c>
      <c r="N2510" s="9" t="s">
        <v>17746</v>
      </c>
      <c r="O2510" s="9" t="s">
        <v>17779</v>
      </c>
      <c r="P2510" s="9" t="s">
        <v>17748</v>
      </c>
      <c r="Q2510" s="11" t="s">
        <v>18433</v>
      </c>
      <c r="R2510" s="11" t="s">
        <v>18433</v>
      </c>
      <c r="S2510" s="11" t="s">
        <v>17750</v>
      </c>
    </row>
    <row r="2511" spans="1:19" x14ac:dyDescent="0.2">
      <c r="A2511" s="11" t="s">
        <v>32398</v>
      </c>
      <c r="B2511" s="9" t="s">
        <v>32399</v>
      </c>
      <c r="C2511" s="9" t="s">
        <v>32400</v>
      </c>
      <c r="D2511" s="9" t="s">
        <v>32401</v>
      </c>
      <c r="E2511" s="9" t="s">
        <v>17748</v>
      </c>
      <c r="F2511" s="9" t="s">
        <v>32402</v>
      </c>
      <c r="G2511" s="9" t="s">
        <v>17740</v>
      </c>
      <c r="H2511" s="11" t="s">
        <v>32403</v>
      </c>
      <c r="I2511" s="11" t="s">
        <v>15415</v>
      </c>
      <c r="J2511" s="11" t="s">
        <v>17741</v>
      </c>
      <c r="K2511" s="9" t="s">
        <v>17783</v>
      </c>
      <c r="L2511" s="9" t="s">
        <v>18001</v>
      </c>
      <c r="M2511" s="9" t="s">
        <v>17769</v>
      </c>
      <c r="N2511" s="9" t="s">
        <v>17746</v>
      </c>
      <c r="O2511" s="9" t="s">
        <v>21220</v>
      </c>
      <c r="P2511" s="9" t="s">
        <v>17748</v>
      </c>
      <c r="Q2511" s="11" t="s">
        <v>17909</v>
      </c>
      <c r="R2511" s="11" t="s">
        <v>17909</v>
      </c>
      <c r="S2511" s="11" t="s">
        <v>17750</v>
      </c>
    </row>
    <row r="2512" spans="1:19" x14ac:dyDescent="0.2">
      <c r="A2512" s="11" t="s">
        <v>32404</v>
      </c>
      <c r="B2512" s="9" t="s">
        <v>32405</v>
      </c>
      <c r="C2512" s="9" t="s">
        <v>32406</v>
      </c>
      <c r="D2512" s="9" t="s">
        <v>32407</v>
      </c>
      <c r="E2512" s="9" t="s">
        <v>17748</v>
      </c>
      <c r="F2512" s="9" t="s">
        <v>32408</v>
      </c>
      <c r="G2512" s="9" t="s">
        <v>17740</v>
      </c>
      <c r="H2512" s="11" t="s">
        <v>7606</v>
      </c>
      <c r="I2512" s="11" t="s">
        <v>7605</v>
      </c>
      <c r="J2512" s="11" t="s">
        <v>7605</v>
      </c>
      <c r="K2512" s="9" t="s">
        <v>20225</v>
      </c>
      <c r="L2512" s="9" t="s">
        <v>17744</v>
      </c>
      <c r="M2512" s="9" t="s">
        <v>20397</v>
      </c>
      <c r="N2512" s="9" t="s">
        <v>17746</v>
      </c>
      <c r="O2512" s="9" t="s">
        <v>17993</v>
      </c>
      <c r="P2512" s="9" t="s">
        <v>17748</v>
      </c>
      <c r="Q2512" s="11" t="s">
        <v>18272</v>
      </c>
      <c r="R2512" s="11" t="s">
        <v>18272</v>
      </c>
      <c r="S2512" s="11" t="s">
        <v>17750</v>
      </c>
    </row>
    <row r="2513" spans="1:19" x14ac:dyDescent="0.2">
      <c r="A2513" s="11" t="s">
        <v>32409</v>
      </c>
      <c r="B2513" s="9" t="s">
        <v>32410</v>
      </c>
      <c r="C2513" s="9" t="s">
        <v>32411</v>
      </c>
      <c r="D2513" s="9" t="s">
        <v>32412</v>
      </c>
      <c r="E2513" s="9" t="s">
        <v>17748</v>
      </c>
      <c r="F2513" s="9" t="s">
        <v>32413</v>
      </c>
      <c r="G2513" s="9" t="s">
        <v>17740</v>
      </c>
      <c r="H2513" s="11" t="s">
        <v>17741</v>
      </c>
      <c r="I2513" s="11" t="s">
        <v>32414</v>
      </c>
      <c r="J2513" s="11" t="s">
        <v>32414</v>
      </c>
      <c r="K2513" s="9" t="s">
        <v>20225</v>
      </c>
      <c r="L2513" s="9" t="s">
        <v>17744</v>
      </c>
      <c r="M2513" s="9" t="s">
        <v>17942</v>
      </c>
      <c r="N2513" s="9" t="s">
        <v>17746</v>
      </c>
      <c r="O2513" s="9" t="s">
        <v>17993</v>
      </c>
      <c r="P2513" s="9" t="s">
        <v>17748</v>
      </c>
      <c r="Q2513" s="11" t="s">
        <v>18272</v>
      </c>
      <c r="R2513" s="11" t="s">
        <v>18272</v>
      </c>
      <c r="S2513" s="11" t="s">
        <v>17750</v>
      </c>
    </row>
    <row r="2514" spans="1:19" x14ac:dyDescent="0.2">
      <c r="A2514" s="11" t="s">
        <v>32415</v>
      </c>
      <c r="B2514" s="9" t="s">
        <v>32416</v>
      </c>
      <c r="C2514" s="9" t="s">
        <v>32417</v>
      </c>
      <c r="D2514" s="9" t="s">
        <v>32418</v>
      </c>
      <c r="E2514" s="9" t="s">
        <v>17740</v>
      </c>
      <c r="F2514" s="9" t="s">
        <v>17741</v>
      </c>
      <c r="G2514" s="9" t="s">
        <v>17740</v>
      </c>
      <c r="H2514" s="11" t="s">
        <v>4252</v>
      </c>
      <c r="I2514" s="11" t="s">
        <v>4251</v>
      </c>
      <c r="J2514" s="11" t="s">
        <v>4251</v>
      </c>
      <c r="K2514" s="9" t="s">
        <v>17790</v>
      </c>
      <c r="L2514" s="9" t="s">
        <v>18158</v>
      </c>
      <c r="M2514" s="9" t="s">
        <v>28304</v>
      </c>
      <c r="N2514" s="9" t="s">
        <v>17746</v>
      </c>
      <c r="O2514" s="9" t="s">
        <v>1675</v>
      </c>
      <c r="P2514" s="9" t="s">
        <v>17748</v>
      </c>
      <c r="Q2514" s="11" t="s">
        <v>18059</v>
      </c>
      <c r="R2514" s="11" t="s">
        <v>18059</v>
      </c>
      <c r="S2514" s="11" t="s">
        <v>17750</v>
      </c>
    </row>
    <row r="2515" spans="1:19" x14ac:dyDescent="0.2">
      <c r="A2515" s="11" t="s">
        <v>32419</v>
      </c>
      <c r="B2515" s="9" t="s">
        <v>32420</v>
      </c>
      <c r="C2515" s="9" t="s">
        <v>32421</v>
      </c>
      <c r="D2515" s="9" t="s">
        <v>32422</v>
      </c>
      <c r="E2515" s="9" t="s">
        <v>17740</v>
      </c>
      <c r="F2515" s="9" t="s">
        <v>17741</v>
      </c>
      <c r="G2515" s="9" t="s">
        <v>17740</v>
      </c>
      <c r="H2515" s="11" t="s">
        <v>13468</v>
      </c>
      <c r="I2515" s="11" t="s">
        <v>13467</v>
      </c>
      <c r="J2515" s="11" t="s">
        <v>13467</v>
      </c>
      <c r="K2515" s="9" t="s">
        <v>32423</v>
      </c>
      <c r="L2515" s="9" t="s">
        <v>17744</v>
      </c>
      <c r="M2515" s="9" t="s">
        <v>32424</v>
      </c>
      <c r="N2515" s="9" t="s">
        <v>17746</v>
      </c>
      <c r="O2515" s="9" t="s">
        <v>32425</v>
      </c>
      <c r="P2515" s="9" t="s">
        <v>17748</v>
      </c>
      <c r="Q2515" s="11" t="s">
        <v>18370</v>
      </c>
      <c r="R2515" s="11" t="s">
        <v>18370</v>
      </c>
      <c r="S2515" s="11" t="s">
        <v>17750</v>
      </c>
    </row>
    <row r="2516" spans="1:19" x14ac:dyDescent="0.2">
      <c r="A2516" s="11" t="s">
        <v>32426</v>
      </c>
      <c r="B2516" s="9" t="s">
        <v>32427</v>
      </c>
      <c r="C2516" s="9" t="s">
        <v>32428</v>
      </c>
      <c r="D2516" s="9" t="s">
        <v>32429</v>
      </c>
      <c r="E2516" s="9" t="s">
        <v>17740</v>
      </c>
      <c r="F2516" s="9" t="s">
        <v>17741</v>
      </c>
      <c r="G2516" s="9" t="s">
        <v>17740</v>
      </c>
      <c r="H2516" s="11" t="s">
        <v>11882</v>
      </c>
      <c r="I2516" s="11" t="s">
        <v>11881</v>
      </c>
      <c r="J2516" s="11" t="s">
        <v>11881</v>
      </c>
      <c r="K2516" s="9" t="s">
        <v>17783</v>
      </c>
      <c r="L2516" s="9" t="s">
        <v>18158</v>
      </c>
      <c r="M2516" s="9" t="s">
        <v>17769</v>
      </c>
      <c r="N2516" s="9" t="s">
        <v>17746</v>
      </c>
      <c r="O2516" s="9" t="s">
        <v>32430</v>
      </c>
      <c r="P2516" s="9" t="s">
        <v>17748</v>
      </c>
      <c r="Q2516" s="11" t="s">
        <v>17762</v>
      </c>
      <c r="R2516" s="11" t="s">
        <v>17762</v>
      </c>
      <c r="S2516" s="11" t="s">
        <v>17750</v>
      </c>
    </row>
    <row r="2517" spans="1:19" x14ac:dyDescent="0.2">
      <c r="A2517" s="11" t="s">
        <v>32431</v>
      </c>
      <c r="B2517" s="9" t="s">
        <v>32432</v>
      </c>
      <c r="C2517" s="9" t="s">
        <v>32433</v>
      </c>
      <c r="D2517" s="9" t="s">
        <v>32434</v>
      </c>
      <c r="E2517" s="9" t="s">
        <v>17740</v>
      </c>
      <c r="F2517" s="9" t="s">
        <v>17741</v>
      </c>
      <c r="G2517" s="9" t="s">
        <v>17740</v>
      </c>
      <c r="H2517" s="11" t="s">
        <v>17741</v>
      </c>
      <c r="I2517" s="11" t="s">
        <v>32435</v>
      </c>
      <c r="J2517" s="11" t="s">
        <v>32435</v>
      </c>
      <c r="K2517" s="9" t="s">
        <v>24870</v>
      </c>
      <c r="L2517" s="9" t="s">
        <v>17744</v>
      </c>
      <c r="M2517" s="9" t="s">
        <v>17760</v>
      </c>
      <c r="N2517" s="9" t="s">
        <v>17746</v>
      </c>
      <c r="O2517" s="9" t="s">
        <v>18340</v>
      </c>
      <c r="P2517" s="9" t="s">
        <v>17748</v>
      </c>
      <c r="Q2517" s="11" t="s">
        <v>18798</v>
      </c>
      <c r="R2517" s="11" t="s">
        <v>18798</v>
      </c>
      <c r="S2517" s="11" t="s">
        <v>17750</v>
      </c>
    </row>
    <row r="2518" spans="1:19" x14ac:dyDescent="0.2">
      <c r="A2518" s="11" t="s">
        <v>32436</v>
      </c>
      <c r="B2518" s="9" t="s">
        <v>32437</v>
      </c>
      <c r="C2518" s="9" t="s">
        <v>32438</v>
      </c>
      <c r="D2518" s="9" t="s">
        <v>32439</v>
      </c>
      <c r="E2518" s="9" t="s">
        <v>17740</v>
      </c>
      <c r="F2518" s="9" t="s">
        <v>17741</v>
      </c>
      <c r="G2518" s="9" t="s">
        <v>17740</v>
      </c>
      <c r="H2518" s="11" t="s">
        <v>1904</v>
      </c>
      <c r="I2518" s="11" t="s">
        <v>1903</v>
      </c>
      <c r="J2518" s="11" t="s">
        <v>1903</v>
      </c>
      <c r="K2518" s="9" t="s">
        <v>25848</v>
      </c>
      <c r="L2518" s="9" t="s">
        <v>17744</v>
      </c>
      <c r="M2518" s="9" t="s">
        <v>17769</v>
      </c>
      <c r="N2518" s="9" t="s">
        <v>17746</v>
      </c>
      <c r="O2518" s="9" t="s">
        <v>5790</v>
      </c>
      <c r="P2518" s="9" t="s">
        <v>17748</v>
      </c>
      <c r="Q2518" s="11" t="s">
        <v>18251</v>
      </c>
      <c r="R2518" s="11" t="s">
        <v>18251</v>
      </c>
      <c r="S2518" s="11" t="s">
        <v>17750</v>
      </c>
    </row>
    <row r="2519" spans="1:19" x14ac:dyDescent="0.2">
      <c r="A2519" s="11" t="s">
        <v>32440</v>
      </c>
      <c r="B2519" s="9" t="s">
        <v>32441</v>
      </c>
      <c r="C2519" s="9" t="s">
        <v>32442</v>
      </c>
      <c r="D2519" s="9" t="s">
        <v>32443</v>
      </c>
      <c r="E2519" s="9" t="s">
        <v>17740</v>
      </c>
      <c r="F2519" s="9" t="s">
        <v>17741</v>
      </c>
      <c r="G2519" s="9" t="s">
        <v>17740</v>
      </c>
      <c r="H2519" s="11" t="s">
        <v>32444</v>
      </c>
      <c r="I2519" s="11" t="s">
        <v>32445</v>
      </c>
      <c r="J2519" s="11" t="s">
        <v>32445</v>
      </c>
      <c r="K2519" s="9" t="s">
        <v>32446</v>
      </c>
      <c r="L2519" s="9" t="s">
        <v>18123</v>
      </c>
      <c r="M2519" s="9" t="s">
        <v>17778</v>
      </c>
      <c r="N2519" s="9" t="s">
        <v>17746</v>
      </c>
      <c r="O2519" s="9" t="s">
        <v>22422</v>
      </c>
      <c r="P2519" s="9" t="s">
        <v>17748</v>
      </c>
      <c r="Q2519" s="11" t="s">
        <v>17762</v>
      </c>
      <c r="R2519" s="11" t="s">
        <v>17762</v>
      </c>
      <c r="S2519" s="11" t="s">
        <v>17750</v>
      </c>
    </row>
    <row r="2520" spans="1:19" x14ac:dyDescent="0.2">
      <c r="A2520" s="11" t="s">
        <v>32447</v>
      </c>
      <c r="B2520" s="9" t="s">
        <v>32448</v>
      </c>
      <c r="C2520" s="9" t="s">
        <v>32449</v>
      </c>
      <c r="D2520" s="9" t="s">
        <v>32450</v>
      </c>
      <c r="E2520" s="9" t="s">
        <v>17740</v>
      </c>
      <c r="F2520" s="9" t="s">
        <v>17741</v>
      </c>
      <c r="G2520" s="9" t="s">
        <v>17740</v>
      </c>
      <c r="H2520" s="11" t="s">
        <v>32451</v>
      </c>
      <c r="I2520" s="11" t="s">
        <v>32452</v>
      </c>
      <c r="J2520" s="11" t="s">
        <v>32452</v>
      </c>
      <c r="K2520" s="9" t="s">
        <v>20225</v>
      </c>
      <c r="L2520" s="9" t="s">
        <v>17744</v>
      </c>
      <c r="M2520" s="9" t="s">
        <v>31142</v>
      </c>
      <c r="N2520" s="9" t="s">
        <v>17746</v>
      </c>
      <c r="O2520" s="9" t="s">
        <v>18340</v>
      </c>
      <c r="P2520" s="9" t="s">
        <v>17748</v>
      </c>
      <c r="Q2520" s="11" t="s">
        <v>17858</v>
      </c>
      <c r="R2520" s="11" t="s">
        <v>17858</v>
      </c>
      <c r="S2520" s="11" t="s">
        <v>17750</v>
      </c>
    </row>
    <row r="2521" spans="1:19" x14ac:dyDescent="0.2">
      <c r="A2521" s="11" t="s">
        <v>32453</v>
      </c>
      <c r="B2521" s="9" t="s">
        <v>32454</v>
      </c>
      <c r="C2521" s="9" t="s">
        <v>32455</v>
      </c>
      <c r="D2521" s="9" t="s">
        <v>32456</v>
      </c>
      <c r="E2521" s="9" t="s">
        <v>17740</v>
      </c>
      <c r="F2521" s="9" t="s">
        <v>17741</v>
      </c>
      <c r="G2521" s="9" t="s">
        <v>17740</v>
      </c>
      <c r="H2521" s="11" t="s">
        <v>1910</v>
      </c>
      <c r="I2521" s="11" t="s">
        <v>1909</v>
      </c>
      <c r="J2521" s="11" t="s">
        <v>1909</v>
      </c>
      <c r="K2521" s="9" t="s">
        <v>22893</v>
      </c>
      <c r="L2521" s="9" t="s">
        <v>17744</v>
      </c>
      <c r="M2521" s="9" t="s">
        <v>18289</v>
      </c>
      <c r="N2521" s="9" t="s">
        <v>17746</v>
      </c>
      <c r="O2521" s="9" t="s">
        <v>5790</v>
      </c>
      <c r="P2521" s="9" t="s">
        <v>17748</v>
      </c>
      <c r="Q2521" s="11" t="s">
        <v>18282</v>
      </c>
      <c r="R2521" s="11" t="s">
        <v>18282</v>
      </c>
      <c r="S2521" s="11" t="s">
        <v>17750</v>
      </c>
    </row>
    <row r="2522" spans="1:19" x14ac:dyDescent="0.2">
      <c r="A2522" s="11" t="s">
        <v>32457</v>
      </c>
      <c r="B2522" s="9" t="s">
        <v>32458</v>
      </c>
      <c r="C2522" s="9" t="s">
        <v>32459</v>
      </c>
      <c r="D2522" s="9" t="s">
        <v>32460</v>
      </c>
      <c r="E2522" s="9" t="s">
        <v>17740</v>
      </c>
      <c r="F2522" s="9" t="s">
        <v>17741</v>
      </c>
      <c r="G2522" s="9" t="s">
        <v>17740</v>
      </c>
      <c r="H2522" s="11" t="s">
        <v>32461</v>
      </c>
      <c r="I2522" s="11" t="s">
        <v>4837</v>
      </c>
      <c r="J2522" s="11" t="s">
        <v>4837</v>
      </c>
      <c r="K2522" s="9" t="s">
        <v>4838</v>
      </c>
      <c r="L2522" s="9" t="s">
        <v>18439</v>
      </c>
      <c r="M2522" s="9" t="s">
        <v>17769</v>
      </c>
      <c r="N2522" s="9" t="s">
        <v>17746</v>
      </c>
      <c r="O2522" s="9" t="s">
        <v>27141</v>
      </c>
      <c r="P2522" s="9" t="s">
        <v>17748</v>
      </c>
      <c r="Q2522" s="11" t="s">
        <v>17819</v>
      </c>
      <c r="R2522" s="11" t="s">
        <v>17819</v>
      </c>
      <c r="S2522" s="11" t="s">
        <v>17750</v>
      </c>
    </row>
    <row r="2523" spans="1:19" x14ac:dyDescent="0.2">
      <c r="A2523" s="11" t="s">
        <v>32462</v>
      </c>
      <c r="B2523" s="9" t="s">
        <v>32463</v>
      </c>
      <c r="C2523" s="9" t="s">
        <v>32464</v>
      </c>
      <c r="D2523" s="9" t="s">
        <v>32465</v>
      </c>
      <c r="E2523" s="9" t="s">
        <v>17740</v>
      </c>
      <c r="F2523" s="9" t="s">
        <v>17741</v>
      </c>
      <c r="G2523" s="9" t="s">
        <v>17740</v>
      </c>
      <c r="H2523" s="11" t="s">
        <v>1916</v>
      </c>
      <c r="I2523" s="11" t="s">
        <v>1915</v>
      </c>
      <c r="J2523" s="11" t="s">
        <v>1915</v>
      </c>
      <c r="K2523" s="9" t="s">
        <v>18661</v>
      </c>
      <c r="L2523" s="9" t="s">
        <v>17744</v>
      </c>
      <c r="M2523" s="9" t="s">
        <v>18177</v>
      </c>
      <c r="N2523" s="9" t="s">
        <v>17746</v>
      </c>
      <c r="O2523" s="9" t="s">
        <v>3100</v>
      </c>
      <c r="P2523" s="9" t="s">
        <v>17748</v>
      </c>
      <c r="Q2523" s="11" t="s">
        <v>17978</v>
      </c>
      <c r="R2523" s="11" t="s">
        <v>17978</v>
      </c>
      <c r="S2523" s="11" t="s">
        <v>17750</v>
      </c>
    </row>
    <row r="2524" spans="1:19" x14ac:dyDescent="0.2">
      <c r="A2524" s="11" t="s">
        <v>32466</v>
      </c>
      <c r="B2524" s="9" t="s">
        <v>32467</v>
      </c>
      <c r="C2524" s="9" t="s">
        <v>32468</v>
      </c>
      <c r="D2524" s="9" t="s">
        <v>32469</v>
      </c>
      <c r="E2524" s="9" t="s">
        <v>17740</v>
      </c>
      <c r="F2524" s="9" t="s">
        <v>17741</v>
      </c>
      <c r="G2524" s="9" t="s">
        <v>17740</v>
      </c>
      <c r="H2524" s="11" t="s">
        <v>2038</v>
      </c>
      <c r="I2524" s="11" t="s">
        <v>2037</v>
      </c>
      <c r="J2524" s="11" t="s">
        <v>2037</v>
      </c>
      <c r="K2524" s="9" t="s">
        <v>17805</v>
      </c>
      <c r="L2524" s="9" t="s">
        <v>17759</v>
      </c>
      <c r="M2524" s="9" t="s">
        <v>32470</v>
      </c>
      <c r="N2524" s="9" t="s">
        <v>17746</v>
      </c>
      <c r="O2524" s="9" t="s">
        <v>19095</v>
      </c>
      <c r="P2524" s="9" t="s">
        <v>17748</v>
      </c>
      <c r="Q2524" s="11" t="s">
        <v>18433</v>
      </c>
      <c r="R2524" s="11" t="s">
        <v>18433</v>
      </c>
      <c r="S2524" s="11" t="s">
        <v>17750</v>
      </c>
    </row>
    <row r="2525" spans="1:19" x14ac:dyDescent="0.2">
      <c r="A2525" s="11" t="s">
        <v>32471</v>
      </c>
      <c r="B2525" s="9" t="s">
        <v>32472</v>
      </c>
      <c r="C2525" s="9" t="s">
        <v>32473</v>
      </c>
      <c r="D2525" s="9" t="s">
        <v>32474</v>
      </c>
      <c r="E2525" s="9" t="s">
        <v>17740</v>
      </c>
      <c r="F2525" s="9" t="s">
        <v>17741</v>
      </c>
      <c r="G2525" s="9" t="s">
        <v>17740</v>
      </c>
      <c r="H2525" s="11" t="s">
        <v>32475</v>
      </c>
      <c r="I2525" s="11" t="s">
        <v>32476</v>
      </c>
      <c r="J2525" s="11" t="s">
        <v>32476</v>
      </c>
      <c r="K2525" s="9" t="s">
        <v>17241</v>
      </c>
      <c r="L2525" s="9" t="s">
        <v>18123</v>
      </c>
      <c r="M2525" s="9" t="s">
        <v>17778</v>
      </c>
      <c r="N2525" s="9" t="s">
        <v>17746</v>
      </c>
      <c r="O2525" s="9" t="s">
        <v>17848</v>
      </c>
      <c r="P2525" s="9" t="s">
        <v>17748</v>
      </c>
      <c r="Q2525" s="11" t="s">
        <v>17780</v>
      </c>
      <c r="R2525" s="11" t="s">
        <v>17780</v>
      </c>
      <c r="S2525" s="11" t="s">
        <v>17750</v>
      </c>
    </row>
    <row r="2526" spans="1:19" x14ac:dyDescent="0.2">
      <c r="A2526" s="11" t="s">
        <v>32477</v>
      </c>
      <c r="B2526" s="9" t="s">
        <v>32478</v>
      </c>
      <c r="C2526" s="9" t="s">
        <v>32479</v>
      </c>
      <c r="D2526" s="9" t="s">
        <v>32480</v>
      </c>
      <c r="E2526" s="9" t="s">
        <v>17740</v>
      </c>
      <c r="F2526" s="9" t="s">
        <v>17741</v>
      </c>
      <c r="G2526" s="9" t="s">
        <v>17740</v>
      </c>
      <c r="H2526" s="11" t="s">
        <v>17741</v>
      </c>
      <c r="I2526" s="11" t="s">
        <v>32481</v>
      </c>
      <c r="J2526" s="11" t="s">
        <v>32481</v>
      </c>
      <c r="K2526" s="9" t="s">
        <v>32482</v>
      </c>
      <c r="L2526" s="9" t="s">
        <v>17759</v>
      </c>
      <c r="M2526" s="9" t="s">
        <v>17760</v>
      </c>
      <c r="N2526" s="9" t="s">
        <v>17746</v>
      </c>
      <c r="O2526" s="9" t="s">
        <v>32483</v>
      </c>
      <c r="P2526" s="9" t="s">
        <v>17748</v>
      </c>
      <c r="Q2526" s="11" t="s">
        <v>18356</v>
      </c>
      <c r="R2526" s="11" t="s">
        <v>18356</v>
      </c>
      <c r="S2526" s="11" t="s">
        <v>17750</v>
      </c>
    </row>
    <row r="2527" spans="1:19" x14ac:dyDescent="0.2">
      <c r="A2527" s="11" t="s">
        <v>32484</v>
      </c>
      <c r="B2527" s="9" t="s">
        <v>32485</v>
      </c>
      <c r="C2527" s="9" t="s">
        <v>32486</v>
      </c>
      <c r="D2527" s="9" t="s">
        <v>32487</v>
      </c>
      <c r="E2527" s="9" t="s">
        <v>17740</v>
      </c>
      <c r="F2527" s="9" t="s">
        <v>17741</v>
      </c>
      <c r="G2527" s="9" t="s">
        <v>17740</v>
      </c>
      <c r="H2527" s="11" t="s">
        <v>5749</v>
      </c>
      <c r="I2527" s="11" t="s">
        <v>5748</v>
      </c>
      <c r="J2527" s="11" t="s">
        <v>5748</v>
      </c>
      <c r="K2527" s="9" t="s">
        <v>291</v>
      </c>
      <c r="L2527" s="9" t="s">
        <v>17744</v>
      </c>
      <c r="M2527" s="9" t="s">
        <v>23678</v>
      </c>
      <c r="N2527" s="9" t="s">
        <v>17746</v>
      </c>
      <c r="O2527" s="9" t="s">
        <v>20453</v>
      </c>
      <c r="P2527" s="9" t="s">
        <v>17748</v>
      </c>
      <c r="Q2527" s="11" t="s">
        <v>18080</v>
      </c>
      <c r="R2527" s="11" t="s">
        <v>18080</v>
      </c>
      <c r="S2527" s="11" t="s">
        <v>17750</v>
      </c>
    </row>
    <row r="2528" spans="1:19" x14ac:dyDescent="0.2">
      <c r="A2528" s="11" t="s">
        <v>32488</v>
      </c>
      <c r="B2528" s="9" t="s">
        <v>32489</v>
      </c>
      <c r="C2528" s="9" t="s">
        <v>32490</v>
      </c>
      <c r="D2528" s="9" t="s">
        <v>32491</v>
      </c>
      <c r="E2528" s="9" t="s">
        <v>17740</v>
      </c>
      <c r="F2528" s="9" t="s">
        <v>17741</v>
      </c>
      <c r="G2528" s="9" t="s">
        <v>17740</v>
      </c>
      <c r="H2528" s="11" t="s">
        <v>10624</v>
      </c>
      <c r="I2528" s="11" t="s">
        <v>10623</v>
      </c>
      <c r="J2528" s="11" t="s">
        <v>10624</v>
      </c>
      <c r="K2528" s="9" t="s">
        <v>32492</v>
      </c>
      <c r="L2528" s="9" t="s">
        <v>18123</v>
      </c>
      <c r="M2528" s="9" t="s">
        <v>17741</v>
      </c>
      <c r="N2528" s="9" t="s">
        <v>17746</v>
      </c>
      <c r="O2528" s="9" t="s">
        <v>28135</v>
      </c>
      <c r="P2528" s="9" t="s">
        <v>17748</v>
      </c>
      <c r="Q2528" s="11" t="s">
        <v>17780</v>
      </c>
      <c r="R2528" s="11" t="s">
        <v>17780</v>
      </c>
      <c r="S2528" s="11" t="s">
        <v>17750</v>
      </c>
    </row>
    <row r="2529" spans="1:19" x14ac:dyDescent="0.2">
      <c r="A2529" s="11" t="s">
        <v>32493</v>
      </c>
      <c r="B2529" s="9" t="s">
        <v>32494</v>
      </c>
      <c r="C2529" s="9" t="s">
        <v>32495</v>
      </c>
      <c r="D2529" s="9" t="s">
        <v>32496</v>
      </c>
      <c r="E2529" s="9" t="s">
        <v>17740</v>
      </c>
      <c r="F2529" s="9" t="s">
        <v>17741</v>
      </c>
      <c r="G2529" s="9" t="s">
        <v>17740</v>
      </c>
      <c r="H2529" s="11" t="s">
        <v>1922</v>
      </c>
      <c r="I2529" s="11" t="s">
        <v>1921</v>
      </c>
      <c r="J2529" s="11" t="s">
        <v>1921</v>
      </c>
      <c r="K2529" s="9" t="s">
        <v>32497</v>
      </c>
      <c r="L2529" s="9" t="s">
        <v>17744</v>
      </c>
      <c r="M2529" s="9" t="s">
        <v>17769</v>
      </c>
      <c r="N2529" s="9" t="s">
        <v>17746</v>
      </c>
      <c r="O2529" s="9" t="s">
        <v>5136</v>
      </c>
      <c r="P2529" s="9" t="s">
        <v>17748</v>
      </c>
      <c r="Q2529" s="11" t="s">
        <v>19082</v>
      </c>
      <c r="R2529" s="11" t="s">
        <v>19082</v>
      </c>
      <c r="S2529" s="11" t="s">
        <v>17750</v>
      </c>
    </row>
    <row r="2530" spans="1:19" x14ac:dyDescent="0.2">
      <c r="A2530" s="11" t="s">
        <v>32498</v>
      </c>
      <c r="B2530" s="9" t="s">
        <v>32499</v>
      </c>
      <c r="C2530" s="9" t="s">
        <v>32500</v>
      </c>
      <c r="D2530" s="9" t="s">
        <v>32501</v>
      </c>
      <c r="E2530" s="9" t="s">
        <v>17740</v>
      </c>
      <c r="F2530" s="9" t="s">
        <v>32502</v>
      </c>
      <c r="G2530" s="9" t="s">
        <v>17740</v>
      </c>
      <c r="H2530" s="11" t="s">
        <v>32503</v>
      </c>
      <c r="I2530" s="11" t="s">
        <v>32504</v>
      </c>
      <c r="J2530" s="11" t="s">
        <v>32504</v>
      </c>
      <c r="K2530" s="9" t="s">
        <v>17758</v>
      </c>
      <c r="L2530" s="9" t="s">
        <v>20082</v>
      </c>
      <c r="M2530" s="9" t="s">
        <v>22065</v>
      </c>
      <c r="N2530" s="9" t="s">
        <v>17746</v>
      </c>
      <c r="O2530" s="9" t="s">
        <v>17848</v>
      </c>
      <c r="P2530" s="9" t="s">
        <v>17748</v>
      </c>
      <c r="Q2530" s="11" t="s">
        <v>17984</v>
      </c>
      <c r="R2530" s="11" t="s">
        <v>17984</v>
      </c>
      <c r="S2530" s="11" t="s">
        <v>17750</v>
      </c>
    </row>
    <row r="2531" spans="1:19" x14ac:dyDescent="0.2">
      <c r="A2531" s="11" t="s">
        <v>32505</v>
      </c>
      <c r="B2531" s="9" t="s">
        <v>32506</v>
      </c>
      <c r="C2531" s="9" t="s">
        <v>32507</v>
      </c>
      <c r="D2531" s="9" t="s">
        <v>32508</v>
      </c>
      <c r="E2531" s="9" t="s">
        <v>17748</v>
      </c>
      <c r="F2531" s="9" t="s">
        <v>32509</v>
      </c>
      <c r="G2531" s="9" t="s">
        <v>17740</v>
      </c>
      <c r="H2531" s="11" t="s">
        <v>5350</v>
      </c>
      <c r="I2531" s="11" t="s">
        <v>5349</v>
      </c>
      <c r="J2531" s="11" t="s">
        <v>5349</v>
      </c>
      <c r="K2531" s="9" t="s">
        <v>23527</v>
      </c>
      <c r="L2531" s="9" t="s">
        <v>17744</v>
      </c>
      <c r="M2531" s="9" t="s">
        <v>17769</v>
      </c>
      <c r="N2531" s="9" t="s">
        <v>17746</v>
      </c>
      <c r="O2531" s="9" t="s">
        <v>19521</v>
      </c>
      <c r="P2531" s="9" t="s">
        <v>17748</v>
      </c>
      <c r="Q2531" s="11" t="s">
        <v>17749</v>
      </c>
      <c r="R2531" s="11" t="s">
        <v>17749</v>
      </c>
      <c r="S2531" s="11" t="s">
        <v>17750</v>
      </c>
    </row>
    <row r="2532" spans="1:19" x14ac:dyDescent="0.2">
      <c r="A2532" s="11" t="s">
        <v>32510</v>
      </c>
      <c r="B2532" s="9" t="s">
        <v>32511</v>
      </c>
      <c r="C2532" s="9" t="s">
        <v>32512</v>
      </c>
      <c r="D2532" s="9" t="s">
        <v>32513</v>
      </c>
      <c r="E2532" s="9" t="s">
        <v>17748</v>
      </c>
      <c r="F2532" s="9" t="s">
        <v>32514</v>
      </c>
      <c r="G2532" s="9" t="s">
        <v>17740</v>
      </c>
      <c r="H2532" s="11" t="s">
        <v>17741</v>
      </c>
      <c r="I2532" s="11" t="s">
        <v>32515</v>
      </c>
      <c r="J2532" s="11" t="s">
        <v>32515</v>
      </c>
      <c r="K2532" s="9" t="s">
        <v>32516</v>
      </c>
      <c r="L2532" s="9" t="s">
        <v>17759</v>
      </c>
      <c r="M2532" s="9" t="s">
        <v>17769</v>
      </c>
      <c r="N2532" s="9" t="s">
        <v>17746</v>
      </c>
      <c r="O2532" s="9" t="s">
        <v>32517</v>
      </c>
      <c r="P2532" s="9" t="s">
        <v>17748</v>
      </c>
      <c r="Q2532" s="11" t="s">
        <v>18272</v>
      </c>
      <c r="R2532" s="11" t="s">
        <v>18272</v>
      </c>
      <c r="S2532" s="11" t="s">
        <v>17750</v>
      </c>
    </row>
    <row r="2533" spans="1:19" x14ac:dyDescent="0.2">
      <c r="A2533" s="11" t="s">
        <v>32518</v>
      </c>
      <c r="B2533" s="9" t="s">
        <v>32519</v>
      </c>
      <c r="C2533" s="9" t="s">
        <v>32520</v>
      </c>
      <c r="D2533" s="9" t="s">
        <v>32521</v>
      </c>
      <c r="E2533" s="9" t="s">
        <v>17740</v>
      </c>
      <c r="F2533" s="9" t="s">
        <v>17741</v>
      </c>
      <c r="G2533" s="9" t="s">
        <v>17740</v>
      </c>
      <c r="H2533" s="11" t="s">
        <v>1925</v>
      </c>
      <c r="I2533" s="11" t="s">
        <v>1924</v>
      </c>
      <c r="J2533" s="11" t="s">
        <v>1924</v>
      </c>
      <c r="K2533" s="9" t="s">
        <v>28282</v>
      </c>
      <c r="L2533" s="9" t="s">
        <v>18001</v>
      </c>
      <c r="M2533" s="9" t="s">
        <v>20172</v>
      </c>
      <c r="N2533" s="9" t="s">
        <v>17746</v>
      </c>
      <c r="O2533" s="9" t="s">
        <v>29571</v>
      </c>
      <c r="P2533" s="9" t="s">
        <v>17748</v>
      </c>
      <c r="Q2533" s="11" t="s">
        <v>18341</v>
      </c>
      <c r="R2533" s="11" t="s">
        <v>18341</v>
      </c>
      <c r="S2533" s="11" t="s">
        <v>17750</v>
      </c>
    </row>
    <row r="2534" spans="1:19" x14ac:dyDescent="0.2">
      <c r="A2534" s="11" t="s">
        <v>32522</v>
      </c>
      <c r="B2534" s="9" t="s">
        <v>32523</v>
      </c>
      <c r="C2534" s="9" t="s">
        <v>32524</v>
      </c>
      <c r="D2534" s="9" t="s">
        <v>32525</v>
      </c>
      <c r="E2534" s="9" t="s">
        <v>17740</v>
      </c>
      <c r="F2534" s="9" t="s">
        <v>32526</v>
      </c>
      <c r="G2534" s="9" t="s">
        <v>17740</v>
      </c>
      <c r="H2534" s="11" t="s">
        <v>32527</v>
      </c>
      <c r="I2534" s="11" t="s">
        <v>32528</v>
      </c>
      <c r="J2534" s="11" t="s">
        <v>32528</v>
      </c>
      <c r="K2534" s="9" t="s">
        <v>291</v>
      </c>
      <c r="L2534" s="9" t="s">
        <v>17744</v>
      </c>
      <c r="M2534" s="9" t="s">
        <v>19938</v>
      </c>
      <c r="N2534" s="9" t="s">
        <v>17746</v>
      </c>
      <c r="O2534" s="9" t="s">
        <v>18543</v>
      </c>
      <c r="P2534" s="9" t="s">
        <v>17748</v>
      </c>
      <c r="Q2534" s="11" t="s">
        <v>18147</v>
      </c>
      <c r="R2534" s="11" t="s">
        <v>18147</v>
      </c>
      <c r="S2534" s="11" t="s">
        <v>17750</v>
      </c>
    </row>
    <row r="2535" spans="1:19" x14ac:dyDescent="0.2">
      <c r="A2535" s="11" t="s">
        <v>32529</v>
      </c>
      <c r="B2535" s="9" t="s">
        <v>32530</v>
      </c>
      <c r="C2535" s="9" t="s">
        <v>32531</v>
      </c>
      <c r="D2535" s="9" t="s">
        <v>32532</v>
      </c>
      <c r="E2535" s="9" t="s">
        <v>17740</v>
      </c>
      <c r="F2535" s="9" t="s">
        <v>17741</v>
      </c>
      <c r="G2535" s="9" t="s">
        <v>17740</v>
      </c>
      <c r="H2535" s="11" t="s">
        <v>4486</v>
      </c>
      <c r="I2535" s="11" t="s">
        <v>4485</v>
      </c>
      <c r="J2535" s="11" t="s">
        <v>4485</v>
      </c>
      <c r="K2535" s="9" t="s">
        <v>26763</v>
      </c>
      <c r="L2535" s="9" t="s">
        <v>17744</v>
      </c>
      <c r="M2535" s="9" t="s">
        <v>17817</v>
      </c>
      <c r="N2535" s="9" t="s">
        <v>17746</v>
      </c>
      <c r="O2535" s="9" t="s">
        <v>19594</v>
      </c>
      <c r="P2535" s="9" t="s">
        <v>17748</v>
      </c>
      <c r="Q2535" s="11" t="s">
        <v>18059</v>
      </c>
      <c r="R2535" s="11" t="s">
        <v>18059</v>
      </c>
      <c r="S2535" s="11" t="s">
        <v>17750</v>
      </c>
    </row>
    <row r="2536" spans="1:19" x14ac:dyDescent="0.2">
      <c r="A2536" s="11" t="s">
        <v>32533</v>
      </c>
      <c r="B2536" s="9" t="s">
        <v>32534</v>
      </c>
      <c r="C2536" s="9" t="s">
        <v>32535</v>
      </c>
      <c r="D2536" s="9" t="s">
        <v>32536</v>
      </c>
      <c r="E2536" s="9" t="s">
        <v>17740</v>
      </c>
      <c r="F2536" s="9" t="s">
        <v>17741</v>
      </c>
      <c r="G2536" s="9" t="s">
        <v>17740</v>
      </c>
      <c r="H2536" s="11" t="s">
        <v>32537</v>
      </c>
      <c r="I2536" s="11" t="s">
        <v>32538</v>
      </c>
      <c r="J2536" s="11" t="s">
        <v>32538</v>
      </c>
      <c r="K2536" s="9" t="s">
        <v>32539</v>
      </c>
      <c r="L2536" s="9" t="s">
        <v>17759</v>
      </c>
      <c r="M2536" s="9" t="s">
        <v>17760</v>
      </c>
      <c r="N2536" s="9" t="s">
        <v>17746</v>
      </c>
      <c r="O2536" s="9" t="s">
        <v>19890</v>
      </c>
      <c r="P2536" s="9" t="s">
        <v>17748</v>
      </c>
      <c r="Q2536" s="11" t="s">
        <v>20021</v>
      </c>
      <c r="R2536" s="11" t="s">
        <v>20021</v>
      </c>
      <c r="S2536" s="11" t="s">
        <v>17750</v>
      </c>
    </row>
    <row r="2537" spans="1:19" x14ac:dyDescent="0.2">
      <c r="A2537" s="11" t="s">
        <v>32540</v>
      </c>
      <c r="B2537" s="9" t="s">
        <v>32541</v>
      </c>
      <c r="C2537" s="9" t="s">
        <v>32542</v>
      </c>
      <c r="D2537" s="9" t="s">
        <v>32543</v>
      </c>
      <c r="E2537" s="9" t="s">
        <v>17740</v>
      </c>
      <c r="F2537" s="9" t="s">
        <v>32544</v>
      </c>
      <c r="G2537" s="9" t="s">
        <v>17740</v>
      </c>
      <c r="H2537" s="11" t="s">
        <v>1928</v>
      </c>
      <c r="I2537" s="11" t="s">
        <v>1927</v>
      </c>
      <c r="J2537" s="11" t="s">
        <v>1927</v>
      </c>
      <c r="K2537" s="9" t="s">
        <v>91</v>
      </c>
      <c r="L2537" s="9" t="s">
        <v>21771</v>
      </c>
      <c r="M2537" s="9" t="s">
        <v>32545</v>
      </c>
      <c r="N2537" s="9" t="s">
        <v>17746</v>
      </c>
      <c r="O2537" s="9" t="s">
        <v>18331</v>
      </c>
      <c r="P2537" s="9" t="s">
        <v>17748</v>
      </c>
      <c r="Q2537" s="11" t="s">
        <v>17867</v>
      </c>
      <c r="R2537" s="11" t="s">
        <v>17867</v>
      </c>
      <c r="S2537" s="11" t="s">
        <v>17750</v>
      </c>
    </row>
    <row r="2538" spans="1:19" x14ac:dyDescent="0.2">
      <c r="A2538" s="11" t="s">
        <v>32546</v>
      </c>
      <c r="B2538" s="9" t="s">
        <v>32547</v>
      </c>
      <c r="C2538" s="9" t="s">
        <v>32548</v>
      </c>
      <c r="D2538" s="9" t="s">
        <v>32549</v>
      </c>
      <c r="E2538" s="9" t="s">
        <v>17740</v>
      </c>
      <c r="F2538" s="9" t="s">
        <v>17741</v>
      </c>
      <c r="G2538" s="9" t="s">
        <v>17740</v>
      </c>
      <c r="H2538" s="11" t="s">
        <v>5435</v>
      </c>
      <c r="I2538" s="11" t="s">
        <v>5434</v>
      </c>
      <c r="J2538" s="11" t="s">
        <v>5434</v>
      </c>
      <c r="K2538" s="9" t="s">
        <v>17758</v>
      </c>
      <c r="L2538" s="9" t="s">
        <v>17759</v>
      </c>
      <c r="M2538" s="9" t="s">
        <v>32550</v>
      </c>
      <c r="N2538" s="9" t="s">
        <v>17746</v>
      </c>
      <c r="O2538" s="9" t="s">
        <v>28577</v>
      </c>
      <c r="P2538" s="9" t="s">
        <v>17748</v>
      </c>
      <c r="Q2538" s="11" t="s">
        <v>18080</v>
      </c>
      <c r="R2538" s="11" t="s">
        <v>18080</v>
      </c>
      <c r="S2538" s="11" t="s">
        <v>17750</v>
      </c>
    </row>
    <row r="2539" spans="1:19" x14ac:dyDescent="0.2">
      <c r="A2539" s="11" t="s">
        <v>32551</v>
      </c>
      <c r="B2539" s="9" t="s">
        <v>32552</v>
      </c>
      <c r="C2539" s="9" t="s">
        <v>32553</v>
      </c>
      <c r="D2539" s="9" t="s">
        <v>32554</v>
      </c>
      <c r="E2539" s="9" t="s">
        <v>17740</v>
      </c>
      <c r="F2539" s="9" t="s">
        <v>17741</v>
      </c>
      <c r="G2539" s="9" t="s">
        <v>17740</v>
      </c>
      <c r="H2539" s="11" t="s">
        <v>1931</v>
      </c>
      <c r="I2539" s="11" t="s">
        <v>1930</v>
      </c>
      <c r="J2539" s="11" t="s">
        <v>1930</v>
      </c>
      <c r="K2539" s="9" t="s">
        <v>17758</v>
      </c>
      <c r="L2539" s="9" t="s">
        <v>17759</v>
      </c>
      <c r="M2539" s="9" t="s">
        <v>18065</v>
      </c>
      <c r="N2539" s="9" t="s">
        <v>17746</v>
      </c>
      <c r="O2539" s="9" t="s">
        <v>32555</v>
      </c>
      <c r="P2539" s="9" t="s">
        <v>17748</v>
      </c>
      <c r="Q2539" s="11" t="s">
        <v>19515</v>
      </c>
      <c r="R2539" s="11" t="s">
        <v>19515</v>
      </c>
      <c r="S2539" s="11" t="s">
        <v>17750</v>
      </c>
    </row>
    <row r="2540" spans="1:19" x14ac:dyDescent="0.2">
      <c r="A2540" s="11" t="s">
        <v>32556</v>
      </c>
      <c r="B2540" s="9" t="s">
        <v>32557</v>
      </c>
      <c r="C2540" s="9" t="s">
        <v>32558</v>
      </c>
      <c r="D2540" s="9" t="s">
        <v>32559</v>
      </c>
      <c r="E2540" s="9" t="s">
        <v>17740</v>
      </c>
      <c r="F2540" s="9" t="s">
        <v>17741</v>
      </c>
      <c r="G2540" s="9" t="s">
        <v>17740</v>
      </c>
      <c r="H2540" s="11" t="s">
        <v>32560</v>
      </c>
      <c r="I2540" s="11" t="s">
        <v>32561</v>
      </c>
      <c r="J2540" s="11" t="s">
        <v>32561</v>
      </c>
      <c r="K2540" s="9" t="s">
        <v>17783</v>
      </c>
      <c r="L2540" s="9" t="s">
        <v>17759</v>
      </c>
      <c r="M2540" s="9" t="s">
        <v>17760</v>
      </c>
      <c r="N2540" s="9" t="s">
        <v>17746</v>
      </c>
      <c r="O2540" s="9" t="s">
        <v>17848</v>
      </c>
      <c r="P2540" s="9" t="s">
        <v>17748</v>
      </c>
      <c r="Q2540" s="11" t="s">
        <v>18922</v>
      </c>
      <c r="R2540" s="11" t="s">
        <v>18922</v>
      </c>
      <c r="S2540" s="11" t="s">
        <v>17750</v>
      </c>
    </row>
    <row r="2541" spans="1:19" x14ac:dyDescent="0.2">
      <c r="A2541" s="11" t="s">
        <v>32562</v>
      </c>
      <c r="B2541" s="9" t="s">
        <v>32563</v>
      </c>
      <c r="C2541" s="9" t="s">
        <v>32564</v>
      </c>
      <c r="D2541" s="9" t="s">
        <v>32565</v>
      </c>
      <c r="E2541" s="9" t="s">
        <v>17740</v>
      </c>
      <c r="F2541" s="9" t="s">
        <v>17741</v>
      </c>
      <c r="G2541" s="9" t="s">
        <v>17740</v>
      </c>
      <c r="H2541" s="11" t="s">
        <v>17741</v>
      </c>
      <c r="I2541" s="11" t="s">
        <v>32566</v>
      </c>
      <c r="J2541" s="11" t="s">
        <v>32566</v>
      </c>
      <c r="K2541" s="9" t="s">
        <v>32567</v>
      </c>
      <c r="L2541" s="9" t="s">
        <v>17744</v>
      </c>
      <c r="M2541" s="9" t="s">
        <v>25613</v>
      </c>
      <c r="N2541" s="9" t="s">
        <v>17746</v>
      </c>
      <c r="O2541" s="9" t="s">
        <v>1802</v>
      </c>
      <c r="P2541" s="9" t="s">
        <v>17748</v>
      </c>
      <c r="Q2541" s="11" t="s">
        <v>18678</v>
      </c>
      <c r="R2541" s="11" t="s">
        <v>18678</v>
      </c>
      <c r="S2541" s="11" t="s">
        <v>17750</v>
      </c>
    </row>
    <row r="2542" spans="1:19" x14ac:dyDescent="0.2">
      <c r="A2542" s="11" t="s">
        <v>32568</v>
      </c>
      <c r="B2542" s="9" t="s">
        <v>32569</v>
      </c>
      <c r="C2542" s="9" t="s">
        <v>32570</v>
      </c>
      <c r="D2542" s="9" t="s">
        <v>32571</v>
      </c>
      <c r="E2542" s="9" t="s">
        <v>17740</v>
      </c>
      <c r="F2542" s="9" t="s">
        <v>17741</v>
      </c>
      <c r="G2542" s="9" t="s">
        <v>17740</v>
      </c>
      <c r="H2542" s="11" t="s">
        <v>32572</v>
      </c>
      <c r="I2542" s="11" t="s">
        <v>17741</v>
      </c>
      <c r="J2542" s="11" t="s">
        <v>32572</v>
      </c>
      <c r="K2542" s="9" t="s">
        <v>18570</v>
      </c>
      <c r="L2542" s="9" t="s">
        <v>17744</v>
      </c>
      <c r="M2542" s="9" t="s">
        <v>17741</v>
      </c>
      <c r="N2542" s="9" t="s">
        <v>17746</v>
      </c>
      <c r="O2542" s="9" t="s">
        <v>24577</v>
      </c>
      <c r="P2542" s="9" t="s">
        <v>17748</v>
      </c>
      <c r="Q2542" s="11" t="s">
        <v>18856</v>
      </c>
      <c r="R2542" s="11" t="s">
        <v>18856</v>
      </c>
      <c r="S2542" s="11" t="s">
        <v>17750</v>
      </c>
    </row>
    <row r="2543" spans="1:19" x14ac:dyDescent="0.2">
      <c r="A2543" s="11" t="s">
        <v>32573</v>
      </c>
      <c r="B2543" s="9" t="s">
        <v>32574</v>
      </c>
      <c r="C2543" s="9" t="s">
        <v>32575</v>
      </c>
      <c r="D2543" s="9" t="s">
        <v>32576</v>
      </c>
      <c r="E2543" s="9" t="s">
        <v>17740</v>
      </c>
      <c r="F2543" s="9" t="s">
        <v>17741</v>
      </c>
      <c r="G2543" s="9" t="s">
        <v>17740</v>
      </c>
      <c r="H2543" s="11" t="s">
        <v>32577</v>
      </c>
      <c r="I2543" s="11" t="s">
        <v>32578</v>
      </c>
      <c r="J2543" s="11" t="s">
        <v>32578</v>
      </c>
      <c r="K2543" s="9" t="s">
        <v>17805</v>
      </c>
      <c r="L2543" s="9" t="s">
        <v>17744</v>
      </c>
      <c r="M2543" s="9" t="s">
        <v>17760</v>
      </c>
      <c r="N2543" s="9" t="s">
        <v>17746</v>
      </c>
      <c r="O2543" s="9" t="s">
        <v>30620</v>
      </c>
      <c r="P2543" s="9" t="s">
        <v>17748</v>
      </c>
      <c r="Q2543" s="11" t="s">
        <v>18960</v>
      </c>
      <c r="R2543" s="11" t="s">
        <v>18960</v>
      </c>
      <c r="S2543" s="11" t="s">
        <v>17750</v>
      </c>
    </row>
    <row r="2544" spans="1:19" x14ac:dyDescent="0.2">
      <c r="A2544" s="11" t="s">
        <v>32579</v>
      </c>
      <c r="B2544" s="9" t="s">
        <v>32580</v>
      </c>
      <c r="C2544" s="9" t="s">
        <v>32581</v>
      </c>
      <c r="D2544" s="9" t="s">
        <v>32582</v>
      </c>
      <c r="E2544" s="9" t="s">
        <v>17740</v>
      </c>
      <c r="F2544" s="9" t="s">
        <v>17741</v>
      </c>
      <c r="G2544" s="9" t="s">
        <v>17740</v>
      </c>
      <c r="H2544" s="11" t="s">
        <v>17741</v>
      </c>
      <c r="I2544" s="11" t="s">
        <v>32583</v>
      </c>
      <c r="J2544" s="11" t="s">
        <v>32583</v>
      </c>
      <c r="K2544" s="9" t="s">
        <v>32272</v>
      </c>
      <c r="L2544" s="9" t="s">
        <v>17759</v>
      </c>
      <c r="M2544" s="9" t="s">
        <v>17760</v>
      </c>
      <c r="N2544" s="9" t="s">
        <v>17746</v>
      </c>
      <c r="O2544" s="9" t="s">
        <v>30620</v>
      </c>
      <c r="P2544" s="9" t="s">
        <v>17748</v>
      </c>
      <c r="Q2544" s="11" t="s">
        <v>19899</v>
      </c>
      <c r="R2544" s="11" t="s">
        <v>19899</v>
      </c>
      <c r="S2544" s="11" t="s">
        <v>17750</v>
      </c>
    </row>
    <row r="2545" spans="1:19" x14ac:dyDescent="0.2">
      <c r="A2545" s="11" t="s">
        <v>32584</v>
      </c>
      <c r="B2545" s="9" t="s">
        <v>32585</v>
      </c>
      <c r="C2545" s="9" t="s">
        <v>32586</v>
      </c>
      <c r="D2545" s="9" t="s">
        <v>32587</v>
      </c>
      <c r="E2545" s="9" t="s">
        <v>17748</v>
      </c>
      <c r="F2545" s="9" t="s">
        <v>32588</v>
      </c>
      <c r="G2545" s="9" t="s">
        <v>17740</v>
      </c>
      <c r="H2545" s="11" t="s">
        <v>5534</v>
      </c>
      <c r="I2545" s="11" t="s">
        <v>5533</v>
      </c>
      <c r="J2545" s="11" t="s">
        <v>5533</v>
      </c>
      <c r="K2545" s="9" t="s">
        <v>1808</v>
      </c>
      <c r="L2545" s="9" t="s">
        <v>18242</v>
      </c>
      <c r="M2545" s="9" t="s">
        <v>18233</v>
      </c>
      <c r="N2545" s="9" t="s">
        <v>17746</v>
      </c>
      <c r="O2545" s="9" t="s">
        <v>7097</v>
      </c>
      <c r="P2545" s="9" t="s">
        <v>17748</v>
      </c>
      <c r="Q2545" s="11" t="s">
        <v>18080</v>
      </c>
      <c r="R2545" s="11" t="s">
        <v>18080</v>
      </c>
      <c r="S2545" s="11" t="s">
        <v>17750</v>
      </c>
    </row>
    <row r="2546" spans="1:19" x14ac:dyDescent="0.2">
      <c r="A2546" s="11" t="s">
        <v>32589</v>
      </c>
      <c r="B2546" s="9" t="s">
        <v>32590</v>
      </c>
      <c r="C2546" s="9" t="s">
        <v>32591</v>
      </c>
      <c r="D2546" s="9" t="s">
        <v>32592</v>
      </c>
      <c r="E2546" s="9" t="s">
        <v>17748</v>
      </c>
      <c r="F2546" s="9" t="s">
        <v>32593</v>
      </c>
      <c r="G2546" s="9" t="s">
        <v>17740</v>
      </c>
      <c r="H2546" s="11" t="s">
        <v>32594</v>
      </c>
      <c r="I2546" s="11" t="s">
        <v>32595</v>
      </c>
      <c r="J2546" s="11" t="s">
        <v>32595</v>
      </c>
      <c r="K2546" s="9" t="s">
        <v>31234</v>
      </c>
      <c r="L2546" s="9" t="s">
        <v>18158</v>
      </c>
      <c r="M2546" s="9" t="s">
        <v>17769</v>
      </c>
      <c r="N2546" s="9" t="s">
        <v>17746</v>
      </c>
      <c r="O2546" s="9" t="s">
        <v>28135</v>
      </c>
      <c r="P2546" s="9" t="s">
        <v>17748</v>
      </c>
      <c r="Q2546" s="11" t="s">
        <v>17784</v>
      </c>
      <c r="R2546" s="11" t="s">
        <v>17784</v>
      </c>
      <c r="S2546" s="11" t="s">
        <v>17750</v>
      </c>
    </row>
    <row r="2547" spans="1:19" x14ac:dyDescent="0.2">
      <c r="A2547" s="11" t="s">
        <v>32596</v>
      </c>
      <c r="B2547" s="9" t="s">
        <v>32597</v>
      </c>
      <c r="C2547" s="9" t="s">
        <v>32598</v>
      </c>
      <c r="D2547" s="9" t="s">
        <v>32599</v>
      </c>
      <c r="E2547" s="9" t="s">
        <v>17740</v>
      </c>
      <c r="F2547" s="9" t="s">
        <v>17741</v>
      </c>
      <c r="G2547" s="9" t="s">
        <v>17740</v>
      </c>
      <c r="H2547" s="11" t="s">
        <v>1934</v>
      </c>
      <c r="I2547" s="11" t="s">
        <v>1933</v>
      </c>
      <c r="J2547" s="11" t="s">
        <v>1933</v>
      </c>
      <c r="K2547" s="9" t="s">
        <v>291</v>
      </c>
      <c r="L2547" s="9" t="s">
        <v>17744</v>
      </c>
      <c r="M2547" s="9" t="s">
        <v>19938</v>
      </c>
      <c r="N2547" s="9" t="s">
        <v>17746</v>
      </c>
      <c r="O2547" s="9" t="s">
        <v>24072</v>
      </c>
      <c r="P2547" s="9" t="s">
        <v>17748</v>
      </c>
      <c r="Q2547" s="11" t="s">
        <v>18960</v>
      </c>
      <c r="R2547" s="11" t="s">
        <v>18960</v>
      </c>
      <c r="S2547" s="11" t="s">
        <v>17750</v>
      </c>
    </row>
    <row r="2548" spans="1:19" x14ac:dyDescent="0.2">
      <c r="A2548" s="11" t="s">
        <v>32600</v>
      </c>
      <c r="B2548" s="9" t="s">
        <v>32601</v>
      </c>
      <c r="C2548" s="9" t="s">
        <v>32602</v>
      </c>
      <c r="D2548" s="9" t="s">
        <v>32603</v>
      </c>
      <c r="E2548" s="9" t="s">
        <v>17748</v>
      </c>
      <c r="F2548" s="9" t="s">
        <v>32604</v>
      </c>
      <c r="G2548" s="9" t="s">
        <v>17740</v>
      </c>
      <c r="H2548" s="11" t="s">
        <v>10723</v>
      </c>
      <c r="I2548" s="11" t="s">
        <v>10722</v>
      </c>
      <c r="J2548" s="11" t="s">
        <v>10722</v>
      </c>
      <c r="K2548" s="9" t="s">
        <v>20225</v>
      </c>
      <c r="L2548" s="9" t="s">
        <v>17744</v>
      </c>
      <c r="M2548" s="9" t="s">
        <v>17769</v>
      </c>
      <c r="N2548" s="9" t="s">
        <v>17746</v>
      </c>
      <c r="O2548" s="9" t="s">
        <v>31673</v>
      </c>
      <c r="P2548" s="9" t="s">
        <v>17748</v>
      </c>
      <c r="Q2548" s="11" t="s">
        <v>17984</v>
      </c>
      <c r="R2548" s="11" t="s">
        <v>17984</v>
      </c>
      <c r="S2548" s="11" t="s">
        <v>17750</v>
      </c>
    </row>
    <row r="2549" spans="1:19" x14ac:dyDescent="0.2">
      <c r="A2549" s="11" t="s">
        <v>32605</v>
      </c>
      <c r="B2549" s="9" t="s">
        <v>32606</v>
      </c>
      <c r="C2549" s="9" t="s">
        <v>32607</v>
      </c>
      <c r="D2549" s="9" t="s">
        <v>32608</v>
      </c>
      <c r="E2549" s="9" t="s">
        <v>17740</v>
      </c>
      <c r="F2549" s="9" t="s">
        <v>17741</v>
      </c>
      <c r="G2549" s="9" t="s">
        <v>17740</v>
      </c>
      <c r="H2549" s="11" t="s">
        <v>17741</v>
      </c>
      <c r="I2549" s="11" t="s">
        <v>4960</v>
      </c>
      <c r="J2549" s="11" t="s">
        <v>4960</v>
      </c>
      <c r="K2549" s="9" t="s">
        <v>32609</v>
      </c>
      <c r="L2549" s="9" t="s">
        <v>17991</v>
      </c>
      <c r="M2549" s="9" t="s">
        <v>17992</v>
      </c>
      <c r="N2549" s="9" t="s">
        <v>17746</v>
      </c>
      <c r="O2549" s="9" t="s">
        <v>32610</v>
      </c>
      <c r="P2549" s="9" t="s">
        <v>17748</v>
      </c>
      <c r="Q2549" s="11" t="s">
        <v>18678</v>
      </c>
      <c r="R2549" s="11" t="s">
        <v>18678</v>
      </c>
      <c r="S2549" s="11" t="s">
        <v>17750</v>
      </c>
    </row>
    <row r="2550" spans="1:19" x14ac:dyDescent="0.2">
      <c r="A2550" s="11" t="s">
        <v>32611</v>
      </c>
      <c r="B2550" s="9" t="s">
        <v>32612</v>
      </c>
      <c r="C2550" s="9" t="s">
        <v>32613</v>
      </c>
      <c r="D2550" s="9" t="s">
        <v>32614</v>
      </c>
      <c r="E2550" s="9" t="s">
        <v>17740</v>
      </c>
      <c r="F2550" s="9" t="s">
        <v>17741</v>
      </c>
      <c r="G2550" s="9" t="s">
        <v>17740</v>
      </c>
      <c r="H2550" s="11" t="s">
        <v>7243</v>
      </c>
      <c r="I2550" s="11" t="s">
        <v>7242</v>
      </c>
      <c r="J2550" s="11" t="s">
        <v>7242</v>
      </c>
      <c r="K2550" s="9" t="s">
        <v>315</v>
      </c>
      <c r="L2550" s="9" t="s">
        <v>17744</v>
      </c>
      <c r="M2550" s="9" t="s">
        <v>19701</v>
      </c>
      <c r="N2550" s="9" t="s">
        <v>17746</v>
      </c>
      <c r="O2550" s="9" t="s">
        <v>20226</v>
      </c>
      <c r="P2550" s="9" t="s">
        <v>17748</v>
      </c>
      <c r="Q2550" s="11" t="s">
        <v>17819</v>
      </c>
      <c r="R2550" s="11" t="s">
        <v>17819</v>
      </c>
      <c r="S2550" s="11" t="s">
        <v>17750</v>
      </c>
    </row>
    <row r="2551" spans="1:19" x14ac:dyDescent="0.2">
      <c r="A2551" s="11" t="s">
        <v>32615</v>
      </c>
      <c r="B2551" s="9" t="s">
        <v>32616</v>
      </c>
      <c r="C2551" s="9" t="s">
        <v>32617</v>
      </c>
      <c r="D2551" s="9" t="s">
        <v>32618</v>
      </c>
      <c r="E2551" s="9" t="s">
        <v>17740</v>
      </c>
      <c r="F2551" s="9" t="s">
        <v>17741</v>
      </c>
      <c r="G2551" s="9" t="s">
        <v>17740</v>
      </c>
      <c r="H2551" s="11" t="s">
        <v>7256</v>
      </c>
      <c r="I2551" s="11" t="s">
        <v>7255</v>
      </c>
      <c r="J2551" s="11" t="s">
        <v>7255</v>
      </c>
      <c r="K2551" s="9" t="s">
        <v>91</v>
      </c>
      <c r="L2551" s="9" t="s">
        <v>18959</v>
      </c>
      <c r="M2551" s="9" t="s">
        <v>17760</v>
      </c>
      <c r="N2551" s="9" t="s">
        <v>17746</v>
      </c>
      <c r="O2551" s="9" t="s">
        <v>19659</v>
      </c>
      <c r="P2551" s="9" t="s">
        <v>17748</v>
      </c>
      <c r="Q2551" s="11" t="s">
        <v>18201</v>
      </c>
      <c r="R2551" s="11" t="s">
        <v>18201</v>
      </c>
      <c r="S2551" s="11" t="s">
        <v>17750</v>
      </c>
    </row>
    <row r="2552" spans="1:19" x14ac:dyDescent="0.2">
      <c r="A2552" s="11" t="s">
        <v>32619</v>
      </c>
      <c r="B2552" s="9" t="s">
        <v>32620</v>
      </c>
      <c r="C2552" s="9" t="s">
        <v>32621</v>
      </c>
      <c r="D2552" s="9" t="s">
        <v>32622</v>
      </c>
      <c r="E2552" s="9" t="s">
        <v>17748</v>
      </c>
      <c r="F2552" s="9" t="s">
        <v>32623</v>
      </c>
      <c r="G2552" s="9" t="s">
        <v>17740</v>
      </c>
      <c r="H2552" s="11" t="s">
        <v>32624</v>
      </c>
      <c r="I2552" s="11" t="s">
        <v>32625</v>
      </c>
      <c r="J2552" s="11" t="s">
        <v>32625</v>
      </c>
      <c r="K2552" s="9" t="s">
        <v>291</v>
      </c>
      <c r="L2552" s="9" t="s">
        <v>17744</v>
      </c>
      <c r="M2552" s="9" t="s">
        <v>17760</v>
      </c>
      <c r="N2552" s="9" t="s">
        <v>17746</v>
      </c>
      <c r="O2552" s="9" t="s">
        <v>17866</v>
      </c>
      <c r="P2552" s="9" t="s">
        <v>17748</v>
      </c>
      <c r="Q2552" s="11" t="s">
        <v>17984</v>
      </c>
      <c r="R2552" s="11" t="s">
        <v>17984</v>
      </c>
      <c r="S2552" s="11" t="s">
        <v>17750</v>
      </c>
    </row>
    <row r="2553" spans="1:19" x14ac:dyDescent="0.2">
      <c r="A2553" s="11" t="s">
        <v>32626</v>
      </c>
      <c r="B2553" s="9" t="s">
        <v>32627</v>
      </c>
      <c r="C2553" s="9" t="s">
        <v>32628</v>
      </c>
      <c r="D2553" s="9" t="s">
        <v>32629</v>
      </c>
      <c r="E2553" s="9" t="s">
        <v>17748</v>
      </c>
      <c r="F2553" s="9" t="s">
        <v>32630</v>
      </c>
      <c r="G2553" s="9" t="s">
        <v>17740</v>
      </c>
      <c r="H2553" s="11" t="s">
        <v>12081</v>
      </c>
      <c r="I2553" s="11" t="s">
        <v>12080</v>
      </c>
      <c r="J2553" s="11" t="s">
        <v>12080</v>
      </c>
      <c r="K2553" s="9" t="s">
        <v>23527</v>
      </c>
      <c r="L2553" s="9" t="s">
        <v>17744</v>
      </c>
      <c r="M2553" s="9" t="s">
        <v>17769</v>
      </c>
      <c r="N2553" s="9" t="s">
        <v>17746</v>
      </c>
      <c r="O2553" s="9" t="s">
        <v>7097</v>
      </c>
      <c r="P2553" s="9" t="s">
        <v>17748</v>
      </c>
      <c r="Q2553" s="11" t="s">
        <v>17917</v>
      </c>
      <c r="R2553" s="11" t="s">
        <v>17917</v>
      </c>
      <c r="S2553" s="11" t="s">
        <v>17750</v>
      </c>
    </row>
    <row r="2554" spans="1:19" x14ac:dyDescent="0.2">
      <c r="A2554" s="11" t="s">
        <v>32631</v>
      </c>
      <c r="B2554" s="9" t="s">
        <v>32632</v>
      </c>
      <c r="C2554" s="9" t="s">
        <v>32633</v>
      </c>
      <c r="D2554" s="9" t="s">
        <v>32634</v>
      </c>
      <c r="E2554" s="9" t="s">
        <v>17748</v>
      </c>
      <c r="F2554" s="9" t="s">
        <v>32635</v>
      </c>
      <c r="G2554" s="9" t="s">
        <v>17740</v>
      </c>
      <c r="H2554" s="11" t="s">
        <v>32636</v>
      </c>
      <c r="I2554" s="11" t="s">
        <v>32637</v>
      </c>
      <c r="J2554" s="11" t="s">
        <v>32637</v>
      </c>
      <c r="K2554" s="9" t="s">
        <v>17805</v>
      </c>
      <c r="L2554" s="9" t="s">
        <v>17759</v>
      </c>
      <c r="M2554" s="9" t="s">
        <v>19988</v>
      </c>
      <c r="N2554" s="9" t="s">
        <v>17746</v>
      </c>
      <c r="O2554" s="9" t="s">
        <v>19930</v>
      </c>
      <c r="P2554" s="9" t="s">
        <v>17748</v>
      </c>
      <c r="Q2554" s="11" t="s">
        <v>18798</v>
      </c>
      <c r="R2554" s="11" t="s">
        <v>18798</v>
      </c>
      <c r="S2554" s="11" t="s">
        <v>17750</v>
      </c>
    </row>
    <row r="2555" spans="1:19" x14ac:dyDescent="0.2">
      <c r="A2555" s="11" t="s">
        <v>32638</v>
      </c>
      <c r="B2555" s="9" t="s">
        <v>32639</v>
      </c>
      <c r="C2555" s="9" t="s">
        <v>32640</v>
      </c>
      <c r="D2555" s="9" t="s">
        <v>32641</v>
      </c>
      <c r="E2555" s="9" t="s">
        <v>17740</v>
      </c>
      <c r="F2555" s="9" t="s">
        <v>17741</v>
      </c>
      <c r="G2555" s="9" t="s">
        <v>17740</v>
      </c>
      <c r="H2555" s="11" t="s">
        <v>1941</v>
      </c>
      <c r="I2555" s="11" t="s">
        <v>1940</v>
      </c>
      <c r="J2555" s="11" t="s">
        <v>1940</v>
      </c>
      <c r="K2555" s="9" t="s">
        <v>91</v>
      </c>
      <c r="L2555" s="9" t="s">
        <v>18001</v>
      </c>
      <c r="M2555" s="9" t="s">
        <v>19701</v>
      </c>
      <c r="N2555" s="9" t="s">
        <v>17746</v>
      </c>
      <c r="O2555" s="9" t="s">
        <v>32642</v>
      </c>
      <c r="P2555" s="9" t="s">
        <v>17748</v>
      </c>
      <c r="Q2555" s="11" t="s">
        <v>19335</v>
      </c>
      <c r="R2555" s="11" t="s">
        <v>19335</v>
      </c>
      <c r="S2555" s="11" t="s">
        <v>17750</v>
      </c>
    </row>
    <row r="2556" spans="1:19" x14ac:dyDescent="0.2">
      <c r="A2556" s="11" t="s">
        <v>32643</v>
      </c>
      <c r="B2556" s="9" t="s">
        <v>32644</v>
      </c>
      <c r="C2556" s="9" t="s">
        <v>32645</v>
      </c>
      <c r="D2556" s="9" t="s">
        <v>32646</v>
      </c>
      <c r="E2556" s="9" t="s">
        <v>17748</v>
      </c>
      <c r="F2556" s="9" t="s">
        <v>32647</v>
      </c>
      <c r="G2556" s="9" t="s">
        <v>17740</v>
      </c>
      <c r="H2556" s="11" t="s">
        <v>32648</v>
      </c>
      <c r="I2556" s="11" t="s">
        <v>32649</v>
      </c>
      <c r="J2556" s="11" t="s">
        <v>32649</v>
      </c>
      <c r="K2556" s="9" t="s">
        <v>17790</v>
      </c>
      <c r="L2556" s="9" t="s">
        <v>18158</v>
      </c>
      <c r="M2556" s="9" t="s">
        <v>18065</v>
      </c>
      <c r="N2556" s="9" t="s">
        <v>17746</v>
      </c>
      <c r="O2556" s="9" t="s">
        <v>19275</v>
      </c>
      <c r="P2556" s="9" t="s">
        <v>17748</v>
      </c>
      <c r="Q2556" s="11" t="s">
        <v>17749</v>
      </c>
      <c r="R2556" s="11" t="s">
        <v>17749</v>
      </c>
      <c r="S2556" s="11" t="s">
        <v>17750</v>
      </c>
    </row>
    <row r="2557" spans="1:19" x14ac:dyDescent="0.2">
      <c r="A2557" s="11" t="s">
        <v>32650</v>
      </c>
      <c r="B2557" s="9" t="s">
        <v>32651</v>
      </c>
      <c r="C2557" s="9" t="s">
        <v>32652</v>
      </c>
      <c r="D2557" s="9" t="s">
        <v>32653</v>
      </c>
      <c r="E2557" s="9" t="s">
        <v>17740</v>
      </c>
      <c r="F2557" s="9" t="s">
        <v>17741</v>
      </c>
      <c r="G2557" s="9" t="s">
        <v>17740</v>
      </c>
      <c r="H2557" s="11" t="s">
        <v>10347</v>
      </c>
      <c r="I2557" s="11" t="s">
        <v>10346</v>
      </c>
      <c r="J2557" s="11" t="s">
        <v>10346</v>
      </c>
      <c r="K2557" s="9" t="s">
        <v>19447</v>
      </c>
      <c r="L2557" s="9" t="s">
        <v>17759</v>
      </c>
      <c r="M2557" s="9" t="s">
        <v>17760</v>
      </c>
      <c r="N2557" s="9" t="s">
        <v>17746</v>
      </c>
      <c r="O2557" s="9" t="s">
        <v>17866</v>
      </c>
      <c r="P2557" s="9" t="s">
        <v>17748</v>
      </c>
      <c r="Q2557" s="11" t="s">
        <v>17994</v>
      </c>
      <c r="R2557" s="11" t="s">
        <v>17994</v>
      </c>
      <c r="S2557" s="11" t="s">
        <v>17750</v>
      </c>
    </row>
    <row r="2558" spans="1:19" x14ac:dyDescent="0.2">
      <c r="A2558" s="11" t="s">
        <v>32654</v>
      </c>
      <c r="B2558" s="9" t="s">
        <v>32655</v>
      </c>
      <c r="C2558" s="9" t="s">
        <v>32656</v>
      </c>
      <c r="D2558" s="9" t="s">
        <v>32657</v>
      </c>
      <c r="E2558" s="9" t="s">
        <v>17748</v>
      </c>
      <c r="F2558" s="9" t="s">
        <v>32658</v>
      </c>
      <c r="G2558" s="9" t="s">
        <v>17740</v>
      </c>
      <c r="H2558" s="11" t="s">
        <v>7445</v>
      </c>
      <c r="I2558" s="11" t="s">
        <v>7444</v>
      </c>
      <c r="J2558" s="11" t="s">
        <v>7444</v>
      </c>
      <c r="K2558" s="9" t="s">
        <v>32659</v>
      </c>
      <c r="L2558" s="9" t="s">
        <v>21771</v>
      </c>
      <c r="M2558" s="9" t="s">
        <v>17817</v>
      </c>
      <c r="N2558" s="9" t="s">
        <v>17746</v>
      </c>
      <c r="O2558" s="9" t="s">
        <v>20056</v>
      </c>
      <c r="P2558" s="9" t="s">
        <v>17748</v>
      </c>
      <c r="Q2558" s="11" t="s">
        <v>18272</v>
      </c>
      <c r="R2558" s="11" t="s">
        <v>18272</v>
      </c>
      <c r="S2558" s="11" t="s">
        <v>17750</v>
      </c>
    </row>
    <row r="2559" spans="1:19" x14ac:dyDescent="0.2">
      <c r="A2559" s="11" t="s">
        <v>32660</v>
      </c>
      <c r="B2559" s="9" t="s">
        <v>32661</v>
      </c>
      <c r="C2559" s="9" t="s">
        <v>32662</v>
      </c>
      <c r="D2559" s="9" t="s">
        <v>32663</v>
      </c>
      <c r="E2559" s="9" t="s">
        <v>17748</v>
      </c>
      <c r="F2559" s="9" t="s">
        <v>32664</v>
      </c>
      <c r="G2559" s="9" t="s">
        <v>17740</v>
      </c>
      <c r="H2559" s="11" t="s">
        <v>8406</v>
      </c>
      <c r="I2559" s="11" t="s">
        <v>8405</v>
      </c>
      <c r="J2559" s="11" t="s">
        <v>8405</v>
      </c>
      <c r="K2559" s="9" t="s">
        <v>32665</v>
      </c>
      <c r="L2559" s="9" t="s">
        <v>18158</v>
      </c>
      <c r="M2559" s="9" t="s">
        <v>18177</v>
      </c>
      <c r="N2559" s="9" t="s">
        <v>17746</v>
      </c>
      <c r="O2559" s="9" t="s">
        <v>18746</v>
      </c>
      <c r="P2559" s="9" t="s">
        <v>17748</v>
      </c>
      <c r="Q2559" s="11" t="s">
        <v>17784</v>
      </c>
      <c r="R2559" s="11" t="s">
        <v>17784</v>
      </c>
      <c r="S2559" s="11" t="s">
        <v>17750</v>
      </c>
    </row>
    <row r="2560" spans="1:19" x14ac:dyDescent="0.2">
      <c r="A2560" s="11" t="s">
        <v>32666</v>
      </c>
      <c r="B2560" s="9" t="s">
        <v>32667</v>
      </c>
      <c r="C2560" s="9" t="s">
        <v>32668</v>
      </c>
      <c r="D2560" s="9" t="s">
        <v>32669</v>
      </c>
      <c r="E2560" s="9" t="s">
        <v>17740</v>
      </c>
      <c r="F2560" s="9" t="s">
        <v>17741</v>
      </c>
      <c r="G2560" s="9" t="s">
        <v>17740</v>
      </c>
      <c r="H2560" s="11" t="s">
        <v>11230</v>
      </c>
      <c r="I2560" s="11" t="s">
        <v>11229</v>
      </c>
      <c r="J2560" s="11" t="s">
        <v>11229</v>
      </c>
      <c r="K2560" s="9" t="s">
        <v>17805</v>
      </c>
      <c r="L2560" s="9" t="s">
        <v>17744</v>
      </c>
      <c r="M2560" s="9" t="s">
        <v>22065</v>
      </c>
      <c r="N2560" s="9" t="s">
        <v>17746</v>
      </c>
      <c r="O2560" s="9" t="s">
        <v>32670</v>
      </c>
      <c r="P2560" s="9" t="s">
        <v>17748</v>
      </c>
      <c r="Q2560" s="11" t="s">
        <v>17780</v>
      </c>
      <c r="R2560" s="11" t="s">
        <v>17780</v>
      </c>
      <c r="S2560" s="11" t="s">
        <v>17750</v>
      </c>
    </row>
    <row r="2561" spans="1:19" x14ac:dyDescent="0.2">
      <c r="A2561" s="11" t="s">
        <v>32671</v>
      </c>
      <c r="B2561" s="9" t="s">
        <v>32672</v>
      </c>
      <c r="C2561" s="9" t="s">
        <v>32673</v>
      </c>
      <c r="D2561" s="9" t="s">
        <v>32674</v>
      </c>
      <c r="E2561" s="9" t="s">
        <v>17740</v>
      </c>
      <c r="F2561" s="9" t="s">
        <v>17741</v>
      </c>
      <c r="G2561" s="9" t="s">
        <v>17740</v>
      </c>
      <c r="H2561" s="11" t="s">
        <v>10607</v>
      </c>
      <c r="I2561" s="11" t="s">
        <v>17741</v>
      </c>
      <c r="J2561" s="11" t="s">
        <v>10607</v>
      </c>
      <c r="K2561" s="9" t="s">
        <v>10608</v>
      </c>
      <c r="L2561" s="9" t="s">
        <v>20082</v>
      </c>
      <c r="M2561" s="9" t="s">
        <v>17769</v>
      </c>
      <c r="N2561" s="9" t="s">
        <v>17746</v>
      </c>
      <c r="O2561" s="9" t="s">
        <v>17993</v>
      </c>
      <c r="P2561" s="9" t="s">
        <v>17748</v>
      </c>
      <c r="Q2561" s="11" t="s">
        <v>17780</v>
      </c>
      <c r="R2561" s="11" t="s">
        <v>17780</v>
      </c>
      <c r="S2561" s="11" t="s">
        <v>17750</v>
      </c>
    </row>
    <row r="2562" spans="1:19" x14ac:dyDescent="0.2">
      <c r="A2562" s="11" t="s">
        <v>32675</v>
      </c>
      <c r="B2562" s="9" t="s">
        <v>32676</v>
      </c>
      <c r="C2562" s="9" t="s">
        <v>32677</v>
      </c>
      <c r="D2562" s="9" t="s">
        <v>32678</v>
      </c>
      <c r="E2562" s="9" t="s">
        <v>17740</v>
      </c>
      <c r="F2562" s="9" t="s">
        <v>17741</v>
      </c>
      <c r="G2562" s="9" t="s">
        <v>17740</v>
      </c>
      <c r="H2562" s="11" t="s">
        <v>8648</v>
      </c>
      <c r="I2562" s="11" t="s">
        <v>8647</v>
      </c>
      <c r="J2562" s="11" t="s">
        <v>8648</v>
      </c>
      <c r="K2562" s="9" t="s">
        <v>32679</v>
      </c>
      <c r="L2562" s="9" t="s">
        <v>17759</v>
      </c>
      <c r="M2562" s="9" t="s">
        <v>17760</v>
      </c>
      <c r="N2562" s="9" t="s">
        <v>17746</v>
      </c>
      <c r="O2562" s="9" t="s">
        <v>32680</v>
      </c>
      <c r="P2562" s="9" t="s">
        <v>17748</v>
      </c>
      <c r="Q2562" s="11" t="s">
        <v>18356</v>
      </c>
      <c r="R2562" s="11" t="s">
        <v>18356</v>
      </c>
      <c r="S2562" s="11" t="s">
        <v>17750</v>
      </c>
    </row>
    <row r="2563" spans="1:19" x14ac:dyDescent="0.2">
      <c r="A2563" s="11" t="s">
        <v>32681</v>
      </c>
      <c r="B2563" s="9" t="s">
        <v>32682</v>
      </c>
      <c r="C2563" s="9" t="s">
        <v>32683</v>
      </c>
      <c r="D2563" s="9" t="s">
        <v>32684</v>
      </c>
      <c r="E2563" s="9" t="s">
        <v>17748</v>
      </c>
      <c r="F2563" s="9" t="s">
        <v>32685</v>
      </c>
      <c r="G2563" s="9" t="s">
        <v>17740</v>
      </c>
      <c r="H2563" s="11" t="s">
        <v>32686</v>
      </c>
      <c r="I2563" s="11" t="s">
        <v>32687</v>
      </c>
      <c r="J2563" s="11" t="s">
        <v>32687</v>
      </c>
      <c r="K2563" s="9" t="s">
        <v>20225</v>
      </c>
      <c r="L2563" s="9" t="s">
        <v>20082</v>
      </c>
      <c r="M2563" s="9" t="s">
        <v>17760</v>
      </c>
      <c r="N2563" s="9" t="s">
        <v>17746</v>
      </c>
      <c r="O2563" s="9" t="s">
        <v>32688</v>
      </c>
      <c r="P2563" s="9" t="s">
        <v>17748</v>
      </c>
      <c r="Q2563" s="11" t="s">
        <v>17994</v>
      </c>
      <c r="R2563" s="11" t="s">
        <v>17994</v>
      </c>
      <c r="S2563" s="11" t="s">
        <v>17750</v>
      </c>
    </row>
    <row r="2564" spans="1:19" x14ac:dyDescent="0.2">
      <c r="A2564" s="11" t="s">
        <v>32689</v>
      </c>
      <c r="B2564" s="9" t="s">
        <v>32690</v>
      </c>
      <c r="C2564" s="9" t="s">
        <v>32691</v>
      </c>
      <c r="D2564" s="9" t="s">
        <v>32692</v>
      </c>
      <c r="E2564" s="9" t="s">
        <v>17740</v>
      </c>
      <c r="F2564" s="9" t="s">
        <v>17741</v>
      </c>
      <c r="G2564" s="9" t="s">
        <v>17740</v>
      </c>
      <c r="H2564" s="11" t="s">
        <v>32693</v>
      </c>
      <c r="I2564" s="11" t="s">
        <v>32694</v>
      </c>
      <c r="J2564" s="11" t="s">
        <v>32694</v>
      </c>
      <c r="K2564" s="9" t="s">
        <v>20207</v>
      </c>
      <c r="L2564" s="9" t="s">
        <v>17759</v>
      </c>
      <c r="M2564" s="9" t="s">
        <v>32695</v>
      </c>
      <c r="N2564" s="9" t="s">
        <v>17746</v>
      </c>
      <c r="O2564" s="9" t="s">
        <v>17834</v>
      </c>
      <c r="P2564" s="9" t="s">
        <v>17748</v>
      </c>
      <c r="Q2564" s="11" t="s">
        <v>18080</v>
      </c>
      <c r="R2564" s="11" t="s">
        <v>18080</v>
      </c>
      <c r="S2564" s="11" t="s">
        <v>17750</v>
      </c>
    </row>
    <row r="2565" spans="1:19" x14ac:dyDescent="0.2">
      <c r="A2565" s="11" t="s">
        <v>32696</v>
      </c>
      <c r="B2565" s="9" t="s">
        <v>32697</v>
      </c>
      <c r="C2565" s="9" t="s">
        <v>32698</v>
      </c>
      <c r="D2565" s="9" t="s">
        <v>32699</v>
      </c>
      <c r="E2565" s="9" t="s">
        <v>17740</v>
      </c>
      <c r="F2565" s="9" t="s">
        <v>17741</v>
      </c>
      <c r="G2565" s="9" t="s">
        <v>17740</v>
      </c>
      <c r="H2565" s="11" t="s">
        <v>7808</v>
      </c>
      <c r="I2565" s="11" t="s">
        <v>7807</v>
      </c>
      <c r="J2565" s="11" t="s">
        <v>7807</v>
      </c>
      <c r="K2565" s="9" t="s">
        <v>32700</v>
      </c>
      <c r="L2565" s="9" t="s">
        <v>20969</v>
      </c>
      <c r="M2565" s="9" t="s">
        <v>17817</v>
      </c>
      <c r="N2565" s="9" t="s">
        <v>17746</v>
      </c>
      <c r="O2565" s="9" t="s">
        <v>31411</v>
      </c>
      <c r="P2565" s="9" t="s">
        <v>17748</v>
      </c>
      <c r="Q2565" s="11" t="s">
        <v>18798</v>
      </c>
      <c r="R2565" s="11" t="s">
        <v>18798</v>
      </c>
      <c r="S2565" s="11" t="s">
        <v>17750</v>
      </c>
    </row>
    <row r="2566" spans="1:19" x14ac:dyDescent="0.2">
      <c r="A2566" s="11" t="s">
        <v>32701</v>
      </c>
      <c r="B2566" s="9" t="s">
        <v>32702</v>
      </c>
      <c r="C2566" s="9" t="s">
        <v>32703</v>
      </c>
      <c r="D2566" s="9" t="s">
        <v>32704</v>
      </c>
      <c r="E2566" s="9" t="s">
        <v>17740</v>
      </c>
      <c r="F2566" s="9" t="s">
        <v>17741</v>
      </c>
      <c r="G2566" s="9" t="s">
        <v>17740</v>
      </c>
      <c r="H2566" s="11" t="s">
        <v>10142</v>
      </c>
      <c r="I2566" s="11" t="s">
        <v>17741</v>
      </c>
      <c r="J2566" s="11" t="s">
        <v>10142</v>
      </c>
      <c r="K2566" s="9" t="s">
        <v>32492</v>
      </c>
      <c r="L2566" s="9" t="s">
        <v>18123</v>
      </c>
      <c r="M2566" s="9" t="s">
        <v>17760</v>
      </c>
      <c r="N2566" s="9" t="s">
        <v>17746</v>
      </c>
      <c r="O2566" s="9" t="s">
        <v>32705</v>
      </c>
      <c r="P2566" s="9" t="s">
        <v>17748</v>
      </c>
      <c r="Q2566" s="11" t="s">
        <v>17784</v>
      </c>
      <c r="R2566" s="11" t="s">
        <v>17784</v>
      </c>
      <c r="S2566" s="11" t="s">
        <v>17750</v>
      </c>
    </row>
    <row r="2567" spans="1:19" x14ac:dyDescent="0.2">
      <c r="A2567" s="11" t="s">
        <v>32706</v>
      </c>
      <c r="B2567" s="9" t="s">
        <v>32707</v>
      </c>
      <c r="C2567" s="9" t="s">
        <v>32708</v>
      </c>
      <c r="D2567" s="9" t="s">
        <v>32709</v>
      </c>
      <c r="E2567" s="9" t="s">
        <v>17740</v>
      </c>
      <c r="F2567" s="9" t="s">
        <v>17741</v>
      </c>
      <c r="G2567" s="9" t="s">
        <v>17740</v>
      </c>
      <c r="H2567" s="11" t="s">
        <v>11888</v>
      </c>
      <c r="I2567" s="11" t="s">
        <v>11887</v>
      </c>
      <c r="J2567" s="11" t="s">
        <v>11887</v>
      </c>
      <c r="K2567" s="9" t="s">
        <v>32362</v>
      </c>
      <c r="L2567" s="9" t="s">
        <v>19483</v>
      </c>
      <c r="M2567" s="9" t="s">
        <v>17760</v>
      </c>
      <c r="N2567" s="9" t="s">
        <v>17746</v>
      </c>
      <c r="O2567" s="9" t="s">
        <v>17916</v>
      </c>
      <c r="P2567" s="9" t="s">
        <v>17748</v>
      </c>
      <c r="Q2567" s="11" t="s">
        <v>17762</v>
      </c>
      <c r="R2567" s="11" t="s">
        <v>17762</v>
      </c>
      <c r="S2567" s="11" t="s">
        <v>17750</v>
      </c>
    </row>
    <row r="2568" spans="1:19" x14ac:dyDescent="0.2">
      <c r="A2568" s="11" t="s">
        <v>32710</v>
      </c>
      <c r="B2568" s="9" t="s">
        <v>32711</v>
      </c>
      <c r="C2568" s="9" t="s">
        <v>32712</v>
      </c>
      <c r="D2568" s="9" t="s">
        <v>32713</v>
      </c>
      <c r="E2568" s="9" t="s">
        <v>17740</v>
      </c>
      <c r="F2568" s="9" t="s">
        <v>17741</v>
      </c>
      <c r="G2568" s="9" t="s">
        <v>17740</v>
      </c>
      <c r="H2568" s="11" t="s">
        <v>17741</v>
      </c>
      <c r="I2568" s="11" t="s">
        <v>32714</v>
      </c>
      <c r="J2568" s="11" t="s">
        <v>32714</v>
      </c>
      <c r="K2568" s="9" t="s">
        <v>30375</v>
      </c>
      <c r="L2568" s="9" t="s">
        <v>19491</v>
      </c>
      <c r="M2568" s="9" t="s">
        <v>18065</v>
      </c>
      <c r="N2568" s="9" t="s">
        <v>17746</v>
      </c>
      <c r="O2568" s="9" t="s">
        <v>31529</v>
      </c>
      <c r="P2568" s="9" t="s">
        <v>17748</v>
      </c>
      <c r="Q2568" s="11" t="s">
        <v>17819</v>
      </c>
      <c r="R2568" s="11" t="s">
        <v>17819</v>
      </c>
      <c r="S2568" s="11" t="s">
        <v>17750</v>
      </c>
    </row>
    <row r="2569" spans="1:19" x14ac:dyDescent="0.2">
      <c r="A2569" s="11" t="s">
        <v>32715</v>
      </c>
      <c r="B2569" s="9" t="s">
        <v>32716</v>
      </c>
      <c r="C2569" s="9" t="s">
        <v>32717</v>
      </c>
      <c r="D2569" s="9" t="s">
        <v>32718</v>
      </c>
      <c r="E2569" s="9" t="s">
        <v>17740</v>
      </c>
      <c r="F2569" s="9" t="s">
        <v>17741</v>
      </c>
      <c r="G2569" s="9" t="s">
        <v>17740</v>
      </c>
      <c r="H2569" s="11" t="s">
        <v>8086</v>
      </c>
      <c r="I2569" s="11" t="s">
        <v>8085</v>
      </c>
      <c r="J2569" s="11" t="s">
        <v>8085</v>
      </c>
      <c r="K2569" s="9" t="s">
        <v>724</v>
      </c>
      <c r="L2569" s="9" t="s">
        <v>17744</v>
      </c>
      <c r="M2569" s="9" t="s">
        <v>26134</v>
      </c>
      <c r="N2569" s="9" t="s">
        <v>17746</v>
      </c>
      <c r="O2569" s="9" t="s">
        <v>32719</v>
      </c>
      <c r="P2569" s="9" t="s">
        <v>17748</v>
      </c>
      <c r="Q2569" s="11" t="s">
        <v>18798</v>
      </c>
      <c r="R2569" s="11" t="s">
        <v>18798</v>
      </c>
      <c r="S2569" s="11" t="s">
        <v>17750</v>
      </c>
    </row>
    <row r="2570" spans="1:19" x14ac:dyDescent="0.2">
      <c r="A2570" s="11" t="s">
        <v>32720</v>
      </c>
      <c r="B2570" s="9" t="s">
        <v>32721</v>
      </c>
      <c r="C2570" s="9" t="s">
        <v>32722</v>
      </c>
      <c r="D2570" s="9" t="s">
        <v>32723</v>
      </c>
      <c r="E2570" s="9" t="s">
        <v>17740</v>
      </c>
      <c r="F2570" s="9" t="s">
        <v>17741</v>
      </c>
      <c r="G2570" s="9" t="s">
        <v>17740</v>
      </c>
      <c r="H2570" s="11" t="s">
        <v>1960</v>
      </c>
      <c r="I2570" s="11" t="s">
        <v>1959</v>
      </c>
      <c r="J2570" s="11" t="s">
        <v>1959</v>
      </c>
      <c r="K2570" s="9" t="s">
        <v>291</v>
      </c>
      <c r="L2570" s="9" t="s">
        <v>17744</v>
      </c>
      <c r="M2570" s="9" t="s">
        <v>17817</v>
      </c>
      <c r="N2570" s="9" t="s">
        <v>17746</v>
      </c>
      <c r="O2570" s="9" t="s">
        <v>3100</v>
      </c>
      <c r="P2570" s="9" t="s">
        <v>17748</v>
      </c>
      <c r="Q2570" s="11" t="s">
        <v>18282</v>
      </c>
      <c r="R2570" s="11" t="s">
        <v>18282</v>
      </c>
      <c r="S2570" s="11" t="s">
        <v>17750</v>
      </c>
    </row>
    <row r="2571" spans="1:19" x14ac:dyDescent="0.2">
      <c r="A2571" s="11" t="s">
        <v>32724</v>
      </c>
      <c r="B2571" s="9" t="s">
        <v>32725</v>
      </c>
      <c r="C2571" s="9" t="s">
        <v>32726</v>
      </c>
      <c r="D2571" s="9" t="s">
        <v>32727</v>
      </c>
      <c r="E2571" s="9" t="s">
        <v>17740</v>
      </c>
      <c r="F2571" s="9" t="s">
        <v>17741</v>
      </c>
      <c r="G2571" s="9" t="s">
        <v>17740</v>
      </c>
      <c r="H2571" s="11" t="s">
        <v>32728</v>
      </c>
      <c r="I2571" s="11" t="s">
        <v>32729</v>
      </c>
      <c r="J2571" s="11" t="s">
        <v>32728</v>
      </c>
      <c r="K2571" s="9" t="s">
        <v>32265</v>
      </c>
      <c r="L2571" s="9" t="s">
        <v>18158</v>
      </c>
      <c r="M2571" s="9" t="s">
        <v>17741</v>
      </c>
      <c r="N2571" s="9" t="s">
        <v>17746</v>
      </c>
      <c r="O2571" s="9" t="s">
        <v>32730</v>
      </c>
      <c r="P2571" s="9" t="s">
        <v>17748</v>
      </c>
      <c r="Q2571" s="11" t="s">
        <v>17780</v>
      </c>
      <c r="R2571" s="11" t="s">
        <v>17780</v>
      </c>
      <c r="S2571" s="11" t="s">
        <v>17750</v>
      </c>
    </row>
    <row r="2572" spans="1:19" x14ac:dyDescent="0.2">
      <c r="A2572" s="11" t="s">
        <v>32731</v>
      </c>
      <c r="B2572" s="9" t="s">
        <v>32732</v>
      </c>
      <c r="C2572" s="9" t="s">
        <v>32733</v>
      </c>
      <c r="D2572" s="9" t="s">
        <v>32734</v>
      </c>
      <c r="E2572" s="9" t="s">
        <v>17748</v>
      </c>
      <c r="F2572" s="9" t="s">
        <v>32735</v>
      </c>
      <c r="G2572" s="9" t="s">
        <v>17740</v>
      </c>
      <c r="H2572" s="11" t="s">
        <v>17741</v>
      </c>
      <c r="I2572" s="11" t="s">
        <v>32736</v>
      </c>
      <c r="J2572" s="11" t="s">
        <v>17741</v>
      </c>
      <c r="K2572" s="9" t="s">
        <v>20220</v>
      </c>
      <c r="L2572" s="9" t="s">
        <v>17759</v>
      </c>
      <c r="M2572" s="9" t="s">
        <v>18685</v>
      </c>
      <c r="N2572" s="9" t="s">
        <v>17746</v>
      </c>
      <c r="O2572" s="9" t="s">
        <v>17800</v>
      </c>
      <c r="P2572" s="9" t="s">
        <v>17748</v>
      </c>
      <c r="Q2572" s="11" t="s">
        <v>17923</v>
      </c>
      <c r="R2572" s="11" t="s">
        <v>17923</v>
      </c>
      <c r="S2572" s="11" t="s">
        <v>17750</v>
      </c>
    </row>
    <row r="2573" spans="1:19" x14ac:dyDescent="0.2">
      <c r="A2573" s="11" t="s">
        <v>32737</v>
      </c>
      <c r="B2573" s="9" t="s">
        <v>32738</v>
      </c>
      <c r="C2573" s="9" t="s">
        <v>32739</v>
      </c>
      <c r="D2573" s="9" t="s">
        <v>32740</v>
      </c>
      <c r="E2573" s="9" t="s">
        <v>17740</v>
      </c>
      <c r="F2573" s="9" t="s">
        <v>17741</v>
      </c>
      <c r="G2573" s="9" t="s">
        <v>17740</v>
      </c>
      <c r="H2573" s="11" t="s">
        <v>32741</v>
      </c>
      <c r="I2573" s="11" t="s">
        <v>32742</v>
      </c>
      <c r="J2573" s="11" t="s">
        <v>32742</v>
      </c>
      <c r="K2573" s="9" t="s">
        <v>22893</v>
      </c>
      <c r="L2573" s="9" t="s">
        <v>20082</v>
      </c>
      <c r="M2573" s="9" t="s">
        <v>17760</v>
      </c>
      <c r="N2573" s="9" t="s">
        <v>17746</v>
      </c>
      <c r="O2573" s="9" t="s">
        <v>17800</v>
      </c>
      <c r="P2573" s="9" t="s">
        <v>17748</v>
      </c>
      <c r="Q2573" s="11" t="s">
        <v>19361</v>
      </c>
      <c r="R2573" s="11" t="s">
        <v>19361</v>
      </c>
      <c r="S2573" s="11" t="s">
        <v>17750</v>
      </c>
    </row>
    <row r="2574" spans="1:19" x14ac:dyDescent="0.2">
      <c r="A2574" s="11" t="s">
        <v>32743</v>
      </c>
      <c r="B2574" s="9" t="s">
        <v>32744</v>
      </c>
      <c r="C2574" s="9" t="s">
        <v>32745</v>
      </c>
      <c r="D2574" s="9" t="s">
        <v>32746</v>
      </c>
      <c r="E2574" s="9" t="s">
        <v>17740</v>
      </c>
      <c r="F2574" s="9" t="s">
        <v>17741</v>
      </c>
      <c r="G2574" s="9" t="s">
        <v>17740</v>
      </c>
      <c r="H2574" s="11" t="s">
        <v>32747</v>
      </c>
      <c r="I2574" s="11" t="s">
        <v>32748</v>
      </c>
      <c r="J2574" s="11" t="s">
        <v>32748</v>
      </c>
      <c r="K2574" s="9" t="s">
        <v>17865</v>
      </c>
      <c r="L2574" s="9" t="s">
        <v>17744</v>
      </c>
      <c r="M2574" s="9" t="s">
        <v>32749</v>
      </c>
      <c r="N2574" s="9" t="s">
        <v>17746</v>
      </c>
      <c r="O2574" s="9" t="s">
        <v>17800</v>
      </c>
      <c r="P2574" s="9" t="s">
        <v>17748</v>
      </c>
      <c r="Q2574" s="11" t="s">
        <v>17849</v>
      </c>
      <c r="R2574" s="11" t="s">
        <v>17849</v>
      </c>
      <c r="S2574" s="11" t="s">
        <v>17750</v>
      </c>
    </row>
    <row r="2575" spans="1:19" x14ac:dyDescent="0.2">
      <c r="A2575" s="11" t="s">
        <v>32750</v>
      </c>
      <c r="B2575" s="9" t="s">
        <v>32751</v>
      </c>
      <c r="C2575" s="9" t="s">
        <v>32752</v>
      </c>
      <c r="D2575" s="9" t="s">
        <v>32753</v>
      </c>
      <c r="E2575" s="9" t="s">
        <v>17748</v>
      </c>
      <c r="F2575" s="9" t="s">
        <v>32754</v>
      </c>
      <c r="G2575" s="9" t="s">
        <v>17740</v>
      </c>
      <c r="H2575" s="11" t="s">
        <v>1963</v>
      </c>
      <c r="I2575" s="11" t="s">
        <v>1962</v>
      </c>
      <c r="J2575" s="11" t="s">
        <v>1962</v>
      </c>
      <c r="K2575" s="9" t="s">
        <v>19584</v>
      </c>
      <c r="L2575" s="9" t="s">
        <v>17744</v>
      </c>
      <c r="M2575" s="9" t="s">
        <v>17817</v>
      </c>
      <c r="N2575" s="9" t="s">
        <v>17746</v>
      </c>
      <c r="O2575" s="9" t="s">
        <v>20988</v>
      </c>
      <c r="P2575" s="9" t="s">
        <v>17748</v>
      </c>
      <c r="Q2575" s="11" t="s">
        <v>17984</v>
      </c>
      <c r="R2575" s="11" t="s">
        <v>17984</v>
      </c>
      <c r="S2575" s="11" t="s">
        <v>17750</v>
      </c>
    </row>
    <row r="2576" spans="1:19" x14ac:dyDescent="0.2">
      <c r="A2576" s="11" t="s">
        <v>32755</v>
      </c>
      <c r="B2576" s="9" t="s">
        <v>32756</v>
      </c>
      <c r="C2576" s="9" t="s">
        <v>32757</v>
      </c>
      <c r="D2576" s="9" t="s">
        <v>32758</v>
      </c>
      <c r="E2576" s="9" t="s">
        <v>17740</v>
      </c>
      <c r="F2576" s="9" t="s">
        <v>17741</v>
      </c>
      <c r="G2576" s="9" t="s">
        <v>17740</v>
      </c>
      <c r="H2576" s="11" t="s">
        <v>5786</v>
      </c>
      <c r="I2576" s="11" t="s">
        <v>5785</v>
      </c>
      <c r="J2576" s="11" t="s">
        <v>5785</v>
      </c>
      <c r="K2576" s="9" t="s">
        <v>91</v>
      </c>
      <c r="L2576" s="9" t="s">
        <v>18001</v>
      </c>
      <c r="M2576" s="9" t="s">
        <v>17760</v>
      </c>
      <c r="N2576" s="9" t="s">
        <v>17746</v>
      </c>
      <c r="O2576" s="9" t="s">
        <v>32759</v>
      </c>
      <c r="P2576" s="9" t="s">
        <v>17748</v>
      </c>
      <c r="Q2576" s="11" t="s">
        <v>18080</v>
      </c>
      <c r="R2576" s="11" t="s">
        <v>18080</v>
      </c>
      <c r="S2576" s="11" t="s">
        <v>17750</v>
      </c>
    </row>
    <row r="2577" spans="1:19" x14ac:dyDescent="0.2">
      <c r="A2577" s="11" t="s">
        <v>32760</v>
      </c>
      <c r="B2577" s="9" t="s">
        <v>32761</v>
      </c>
      <c r="C2577" s="9" t="s">
        <v>32762</v>
      </c>
      <c r="D2577" s="9" t="s">
        <v>32763</v>
      </c>
      <c r="E2577" s="9" t="s">
        <v>17740</v>
      </c>
      <c r="F2577" s="9" t="s">
        <v>17741</v>
      </c>
      <c r="G2577" s="9" t="s">
        <v>17740</v>
      </c>
      <c r="H2577" s="11" t="s">
        <v>32764</v>
      </c>
      <c r="I2577" s="11" t="s">
        <v>32765</v>
      </c>
      <c r="J2577" s="11" t="s">
        <v>32765</v>
      </c>
      <c r="K2577" s="9" t="s">
        <v>19396</v>
      </c>
      <c r="L2577" s="9" t="s">
        <v>17759</v>
      </c>
      <c r="M2577" s="9" t="s">
        <v>17760</v>
      </c>
      <c r="N2577" s="9" t="s">
        <v>17746</v>
      </c>
      <c r="O2577" s="9" t="s">
        <v>21318</v>
      </c>
      <c r="P2577" s="9" t="s">
        <v>17748</v>
      </c>
      <c r="Q2577" s="11" t="s">
        <v>19361</v>
      </c>
      <c r="R2577" s="11" t="s">
        <v>19361</v>
      </c>
      <c r="S2577" s="11" t="s">
        <v>17750</v>
      </c>
    </row>
    <row r="2578" spans="1:19" x14ac:dyDescent="0.2">
      <c r="A2578" s="11" t="s">
        <v>32766</v>
      </c>
      <c r="B2578" s="9" t="s">
        <v>32767</v>
      </c>
      <c r="C2578" s="9" t="s">
        <v>32768</v>
      </c>
      <c r="D2578" s="9" t="s">
        <v>32769</v>
      </c>
      <c r="E2578" s="9" t="s">
        <v>17740</v>
      </c>
      <c r="F2578" s="9" t="s">
        <v>17741</v>
      </c>
      <c r="G2578" s="9" t="s">
        <v>17740</v>
      </c>
      <c r="H2578" s="11" t="s">
        <v>15061</v>
      </c>
      <c r="I2578" s="11" t="s">
        <v>15060</v>
      </c>
      <c r="J2578" s="11" t="s">
        <v>15060</v>
      </c>
      <c r="K2578" s="9" t="s">
        <v>15062</v>
      </c>
      <c r="L2578" s="9" t="s">
        <v>18232</v>
      </c>
      <c r="M2578" s="9" t="s">
        <v>17760</v>
      </c>
      <c r="N2578" s="9" t="s">
        <v>17746</v>
      </c>
      <c r="O2578" s="9" t="s">
        <v>21318</v>
      </c>
      <c r="P2578" s="9" t="s">
        <v>17748</v>
      </c>
      <c r="Q2578" s="11" t="s">
        <v>17900</v>
      </c>
      <c r="R2578" s="11" t="s">
        <v>17900</v>
      </c>
      <c r="S2578" s="11" t="s">
        <v>17750</v>
      </c>
    </row>
    <row r="2579" spans="1:19" x14ac:dyDescent="0.2">
      <c r="A2579" s="11" t="s">
        <v>32770</v>
      </c>
      <c r="B2579" s="9" t="s">
        <v>32771</v>
      </c>
      <c r="C2579" s="9" t="s">
        <v>32772</v>
      </c>
      <c r="D2579" s="9" t="s">
        <v>32773</v>
      </c>
      <c r="E2579" s="9" t="s">
        <v>17748</v>
      </c>
      <c r="F2579" s="9" t="s">
        <v>32774</v>
      </c>
      <c r="G2579" s="9" t="s">
        <v>17740</v>
      </c>
      <c r="H2579" s="11" t="s">
        <v>32775</v>
      </c>
      <c r="I2579" s="11" t="s">
        <v>32776</v>
      </c>
      <c r="J2579" s="11" t="s">
        <v>32776</v>
      </c>
      <c r="K2579" s="9" t="s">
        <v>15267</v>
      </c>
      <c r="L2579" s="9" t="s">
        <v>17744</v>
      </c>
      <c r="M2579" s="9" t="s">
        <v>17760</v>
      </c>
      <c r="N2579" s="9" t="s">
        <v>17746</v>
      </c>
      <c r="O2579" s="9" t="s">
        <v>21318</v>
      </c>
      <c r="P2579" s="9" t="s">
        <v>17748</v>
      </c>
      <c r="Q2579" s="11" t="s">
        <v>17808</v>
      </c>
      <c r="R2579" s="11" t="s">
        <v>17808</v>
      </c>
      <c r="S2579" s="11" t="s">
        <v>17750</v>
      </c>
    </row>
    <row r="2580" spans="1:19" x14ac:dyDescent="0.2">
      <c r="A2580" s="11" t="s">
        <v>32777</v>
      </c>
      <c r="B2580" s="9" t="s">
        <v>32778</v>
      </c>
      <c r="C2580" s="9" t="s">
        <v>32779</v>
      </c>
      <c r="D2580" s="9" t="s">
        <v>32780</v>
      </c>
      <c r="E2580" s="9" t="s">
        <v>17740</v>
      </c>
      <c r="F2580" s="9" t="s">
        <v>17741</v>
      </c>
      <c r="G2580" s="9" t="s">
        <v>17740</v>
      </c>
      <c r="H2580" s="11" t="s">
        <v>17741</v>
      </c>
      <c r="I2580" s="11" t="s">
        <v>32781</v>
      </c>
      <c r="J2580" s="11" t="s">
        <v>32781</v>
      </c>
      <c r="K2580" s="9" t="s">
        <v>32782</v>
      </c>
      <c r="L2580" s="9" t="s">
        <v>17967</v>
      </c>
      <c r="M2580" s="9" t="s">
        <v>17760</v>
      </c>
      <c r="N2580" s="9" t="s">
        <v>17746</v>
      </c>
      <c r="O2580" s="9" t="s">
        <v>32783</v>
      </c>
      <c r="P2580" s="9" t="s">
        <v>17748</v>
      </c>
      <c r="Q2580" s="11" t="s">
        <v>19361</v>
      </c>
      <c r="R2580" s="11" t="s">
        <v>19361</v>
      </c>
      <c r="S2580" s="11" t="s">
        <v>17750</v>
      </c>
    </row>
    <row r="2581" spans="1:19" x14ac:dyDescent="0.2">
      <c r="A2581" s="11" t="s">
        <v>32784</v>
      </c>
      <c r="B2581" s="9" t="s">
        <v>32785</v>
      </c>
      <c r="C2581" s="9" t="s">
        <v>32786</v>
      </c>
      <c r="D2581" s="9" t="s">
        <v>32787</v>
      </c>
      <c r="E2581" s="9" t="s">
        <v>17740</v>
      </c>
      <c r="F2581" s="9" t="s">
        <v>32788</v>
      </c>
      <c r="G2581" s="9" t="s">
        <v>17740</v>
      </c>
      <c r="H2581" s="11" t="s">
        <v>32789</v>
      </c>
      <c r="I2581" s="11" t="s">
        <v>32790</v>
      </c>
      <c r="J2581" s="11" t="s">
        <v>32790</v>
      </c>
      <c r="K2581" s="9" t="s">
        <v>32791</v>
      </c>
      <c r="L2581" s="9" t="s">
        <v>17759</v>
      </c>
      <c r="M2581" s="9" t="s">
        <v>27237</v>
      </c>
      <c r="N2581" s="9" t="s">
        <v>17746</v>
      </c>
      <c r="O2581" s="9" t="s">
        <v>22066</v>
      </c>
      <c r="P2581" s="9" t="s">
        <v>17748</v>
      </c>
      <c r="Q2581" s="11" t="s">
        <v>19082</v>
      </c>
      <c r="R2581" s="11" t="s">
        <v>19082</v>
      </c>
      <c r="S2581" s="11" t="s">
        <v>17750</v>
      </c>
    </row>
    <row r="2582" spans="1:19" x14ac:dyDescent="0.2">
      <c r="A2582" s="11" t="s">
        <v>32792</v>
      </c>
      <c r="B2582" s="9" t="s">
        <v>32793</v>
      </c>
      <c r="C2582" s="9" t="s">
        <v>32794</v>
      </c>
      <c r="D2582" s="9" t="s">
        <v>32795</v>
      </c>
      <c r="E2582" s="9" t="s">
        <v>17740</v>
      </c>
      <c r="F2582" s="9" t="s">
        <v>32796</v>
      </c>
      <c r="G2582" s="9" t="s">
        <v>17740</v>
      </c>
      <c r="H2582" s="11" t="s">
        <v>32797</v>
      </c>
      <c r="I2582" s="11" t="s">
        <v>32798</v>
      </c>
      <c r="J2582" s="11" t="s">
        <v>32798</v>
      </c>
      <c r="K2582" s="9" t="s">
        <v>20225</v>
      </c>
      <c r="L2582" s="9" t="s">
        <v>17744</v>
      </c>
      <c r="M2582" s="9" t="s">
        <v>17760</v>
      </c>
      <c r="N2582" s="9" t="s">
        <v>17746</v>
      </c>
      <c r="O2582" s="9" t="s">
        <v>30100</v>
      </c>
      <c r="P2582" s="9" t="s">
        <v>17748</v>
      </c>
      <c r="Q2582" s="11" t="s">
        <v>17762</v>
      </c>
      <c r="R2582" s="11" t="s">
        <v>17762</v>
      </c>
      <c r="S2582" s="11" t="s">
        <v>17750</v>
      </c>
    </row>
    <row r="2583" spans="1:19" x14ac:dyDescent="0.2">
      <c r="A2583" s="11" t="s">
        <v>32799</v>
      </c>
      <c r="B2583" s="9" t="s">
        <v>32800</v>
      </c>
      <c r="C2583" s="9" t="s">
        <v>32801</v>
      </c>
      <c r="D2583" s="9" t="s">
        <v>32802</v>
      </c>
      <c r="E2583" s="9" t="s">
        <v>17740</v>
      </c>
      <c r="F2583" s="9" t="s">
        <v>17741</v>
      </c>
      <c r="G2583" s="9" t="s">
        <v>17740</v>
      </c>
      <c r="H2583" s="11" t="s">
        <v>5950</v>
      </c>
      <c r="I2583" s="11" t="s">
        <v>5949</v>
      </c>
      <c r="J2583" s="11" t="s">
        <v>5949</v>
      </c>
      <c r="K2583" s="9" t="s">
        <v>32700</v>
      </c>
      <c r="L2583" s="9" t="s">
        <v>20969</v>
      </c>
      <c r="M2583" s="9" t="s">
        <v>17817</v>
      </c>
      <c r="N2583" s="9" t="s">
        <v>17746</v>
      </c>
      <c r="O2583" s="9" t="s">
        <v>18363</v>
      </c>
      <c r="P2583" s="9" t="s">
        <v>17748</v>
      </c>
      <c r="Q2583" s="11" t="s">
        <v>18147</v>
      </c>
      <c r="R2583" s="11" t="s">
        <v>18147</v>
      </c>
      <c r="S2583" s="11" t="s">
        <v>17750</v>
      </c>
    </row>
    <row r="2584" spans="1:19" x14ac:dyDescent="0.2">
      <c r="A2584" s="11" t="s">
        <v>32803</v>
      </c>
      <c r="B2584" s="9" t="s">
        <v>32804</v>
      </c>
      <c r="C2584" s="9" t="s">
        <v>32805</v>
      </c>
      <c r="D2584" s="9" t="s">
        <v>32806</v>
      </c>
      <c r="E2584" s="9" t="s">
        <v>17740</v>
      </c>
      <c r="F2584" s="9" t="s">
        <v>17741</v>
      </c>
      <c r="G2584" s="9" t="s">
        <v>17740</v>
      </c>
      <c r="H2584" s="11" t="s">
        <v>32807</v>
      </c>
      <c r="I2584" s="11" t="s">
        <v>32808</v>
      </c>
      <c r="J2584" s="11" t="s">
        <v>32808</v>
      </c>
      <c r="K2584" s="9" t="s">
        <v>24870</v>
      </c>
      <c r="L2584" s="9" t="s">
        <v>17759</v>
      </c>
      <c r="M2584" s="9" t="s">
        <v>17769</v>
      </c>
      <c r="N2584" s="9" t="s">
        <v>17746</v>
      </c>
      <c r="O2584" s="9" t="s">
        <v>20746</v>
      </c>
      <c r="P2584" s="9" t="s">
        <v>17748</v>
      </c>
      <c r="Q2584" s="11" t="s">
        <v>18059</v>
      </c>
      <c r="R2584" s="11" t="s">
        <v>18059</v>
      </c>
      <c r="S2584" s="11" t="s">
        <v>17750</v>
      </c>
    </row>
    <row r="2585" spans="1:19" x14ac:dyDescent="0.2">
      <c r="A2585" s="11" t="s">
        <v>32809</v>
      </c>
      <c r="B2585" s="9" t="s">
        <v>32810</v>
      </c>
      <c r="C2585" s="9" t="s">
        <v>32811</v>
      </c>
      <c r="D2585" s="9" t="s">
        <v>32812</v>
      </c>
      <c r="E2585" s="9" t="s">
        <v>17748</v>
      </c>
      <c r="F2585" s="9" t="s">
        <v>17741</v>
      </c>
      <c r="G2585" s="9" t="s">
        <v>17740</v>
      </c>
      <c r="H2585" s="11" t="s">
        <v>1970</v>
      </c>
      <c r="I2585" s="11" t="s">
        <v>1969</v>
      </c>
      <c r="J2585" s="11" t="s">
        <v>1969</v>
      </c>
      <c r="K2585" s="9" t="s">
        <v>831</v>
      </c>
      <c r="L2585" s="9" t="s">
        <v>18305</v>
      </c>
      <c r="M2585" s="9" t="s">
        <v>28372</v>
      </c>
      <c r="N2585" s="9" t="s">
        <v>17746</v>
      </c>
      <c r="O2585" s="9" t="s">
        <v>20746</v>
      </c>
      <c r="P2585" s="9" t="s">
        <v>17748</v>
      </c>
      <c r="Q2585" s="11" t="s">
        <v>18059</v>
      </c>
      <c r="R2585" s="11" t="s">
        <v>18059</v>
      </c>
      <c r="S2585" s="11" t="s">
        <v>17750</v>
      </c>
    </row>
    <row r="2586" spans="1:19" x14ac:dyDescent="0.2">
      <c r="A2586" s="11" t="s">
        <v>32813</v>
      </c>
      <c r="B2586" s="9" t="s">
        <v>32814</v>
      </c>
      <c r="C2586" s="9" t="s">
        <v>32815</v>
      </c>
      <c r="D2586" s="9" t="s">
        <v>32816</v>
      </c>
      <c r="E2586" s="9" t="s">
        <v>17740</v>
      </c>
      <c r="F2586" s="9" t="s">
        <v>17741</v>
      </c>
      <c r="G2586" s="9" t="s">
        <v>17740</v>
      </c>
      <c r="H2586" s="11" t="s">
        <v>32817</v>
      </c>
      <c r="I2586" s="11" t="s">
        <v>32818</v>
      </c>
      <c r="J2586" s="11" t="s">
        <v>32818</v>
      </c>
      <c r="K2586" s="9" t="s">
        <v>315</v>
      </c>
      <c r="L2586" s="9" t="s">
        <v>20446</v>
      </c>
      <c r="M2586" s="9" t="s">
        <v>17760</v>
      </c>
      <c r="N2586" s="9" t="s">
        <v>17746</v>
      </c>
      <c r="O2586" s="9" t="s">
        <v>18340</v>
      </c>
      <c r="P2586" s="9" t="s">
        <v>17748</v>
      </c>
      <c r="Q2586" s="11" t="s">
        <v>17825</v>
      </c>
      <c r="R2586" s="11" t="s">
        <v>17825</v>
      </c>
      <c r="S2586" s="11" t="s">
        <v>17750</v>
      </c>
    </row>
    <row r="2587" spans="1:19" x14ac:dyDescent="0.2">
      <c r="A2587" s="11" t="s">
        <v>32819</v>
      </c>
      <c r="B2587" s="9" t="s">
        <v>32820</v>
      </c>
      <c r="C2587" s="9" t="s">
        <v>32821</v>
      </c>
      <c r="D2587" s="9" t="s">
        <v>32822</v>
      </c>
      <c r="E2587" s="9" t="s">
        <v>17740</v>
      </c>
      <c r="F2587" s="9" t="s">
        <v>32823</v>
      </c>
      <c r="G2587" s="9" t="s">
        <v>17740</v>
      </c>
      <c r="H2587" s="11" t="s">
        <v>17741</v>
      </c>
      <c r="I2587" s="11" t="s">
        <v>32824</v>
      </c>
      <c r="J2587" s="11" t="s">
        <v>32824</v>
      </c>
      <c r="K2587" s="9" t="s">
        <v>32825</v>
      </c>
      <c r="L2587" s="9" t="s">
        <v>17759</v>
      </c>
      <c r="M2587" s="9" t="s">
        <v>18745</v>
      </c>
      <c r="N2587" s="9" t="s">
        <v>17746</v>
      </c>
      <c r="O2587" s="9" t="s">
        <v>32826</v>
      </c>
      <c r="P2587" s="9" t="s">
        <v>17748</v>
      </c>
      <c r="Q2587" s="11" t="s">
        <v>19222</v>
      </c>
      <c r="R2587" s="11" t="s">
        <v>19222</v>
      </c>
      <c r="S2587" s="11" t="s">
        <v>17750</v>
      </c>
    </row>
    <row r="2588" spans="1:19" x14ac:dyDescent="0.2">
      <c r="A2588" s="11" t="s">
        <v>32827</v>
      </c>
      <c r="B2588" s="9" t="s">
        <v>32828</v>
      </c>
      <c r="C2588" s="9" t="s">
        <v>32829</v>
      </c>
      <c r="D2588" s="9" t="s">
        <v>32830</v>
      </c>
      <c r="E2588" s="9" t="s">
        <v>17748</v>
      </c>
      <c r="F2588" s="9" t="s">
        <v>32831</v>
      </c>
      <c r="G2588" s="9" t="s">
        <v>17740</v>
      </c>
      <c r="H2588" s="11" t="s">
        <v>17741</v>
      </c>
      <c r="I2588" s="11" t="s">
        <v>32832</v>
      </c>
      <c r="J2588" s="11" t="s">
        <v>32832</v>
      </c>
      <c r="K2588" s="9" t="s">
        <v>32833</v>
      </c>
      <c r="L2588" s="9" t="s">
        <v>17759</v>
      </c>
      <c r="M2588" s="9" t="s">
        <v>17760</v>
      </c>
      <c r="N2588" s="9" t="s">
        <v>17746</v>
      </c>
      <c r="O2588" s="9" t="s">
        <v>19754</v>
      </c>
      <c r="P2588" s="9" t="s">
        <v>17748</v>
      </c>
      <c r="Q2588" s="11" t="s">
        <v>17994</v>
      </c>
      <c r="R2588" s="11" t="s">
        <v>17994</v>
      </c>
      <c r="S2588" s="11" t="s">
        <v>17750</v>
      </c>
    </row>
    <row r="2589" spans="1:19" x14ac:dyDescent="0.2">
      <c r="A2589" s="11" t="s">
        <v>32834</v>
      </c>
      <c r="B2589" s="9" t="s">
        <v>32835</v>
      </c>
      <c r="C2589" s="9" t="s">
        <v>32836</v>
      </c>
      <c r="D2589" s="9" t="s">
        <v>32837</v>
      </c>
      <c r="E2589" s="9" t="s">
        <v>17740</v>
      </c>
      <c r="F2589" s="9" t="s">
        <v>32838</v>
      </c>
      <c r="G2589" s="9" t="s">
        <v>17740</v>
      </c>
      <c r="H2589" s="11" t="s">
        <v>32839</v>
      </c>
      <c r="I2589" s="11" t="s">
        <v>32840</v>
      </c>
      <c r="J2589" s="11" t="s">
        <v>32840</v>
      </c>
      <c r="K2589" s="9" t="s">
        <v>23527</v>
      </c>
      <c r="L2589" s="9" t="s">
        <v>17744</v>
      </c>
      <c r="M2589" s="9" t="s">
        <v>22388</v>
      </c>
      <c r="N2589" s="9" t="s">
        <v>17746</v>
      </c>
      <c r="O2589" s="9" t="s">
        <v>28400</v>
      </c>
      <c r="P2589" s="9" t="s">
        <v>17748</v>
      </c>
      <c r="Q2589" s="11" t="s">
        <v>18080</v>
      </c>
      <c r="R2589" s="11" t="s">
        <v>18080</v>
      </c>
      <c r="S2589" s="11" t="s">
        <v>17750</v>
      </c>
    </row>
    <row r="2590" spans="1:19" x14ac:dyDescent="0.2">
      <c r="A2590" s="11" t="s">
        <v>32841</v>
      </c>
      <c r="B2590" s="9" t="s">
        <v>32842</v>
      </c>
      <c r="C2590" s="9" t="s">
        <v>32843</v>
      </c>
      <c r="D2590" s="9" t="s">
        <v>32844</v>
      </c>
      <c r="E2590" s="9" t="s">
        <v>17748</v>
      </c>
      <c r="F2590" s="9" t="s">
        <v>17741</v>
      </c>
      <c r="G2590" s="9" t="s">
        <v>17740</v>
      </c>
      <c r="H2590" s="11" t="s">
        <v>17741</v>
      </c>
      <c r="I2590" s="11" t="s">
        <v>32845</v>
      </c>
      <c r="J2590" s="11" t="s">
        <v>32845</v>
      </c>
      <c r="K2590" s="9" t="s">
        <v>23568</v>
      </c>
      <c r="L2590" s="9" t="s">
        <v>17744</v>
      </c>
      <c r="M2590" s="9" t="s">
        <v>17817</v>
      </c>
      <c r="N2590" s="9" t="s">
        <v>17746</v>
      </c>
      <c r="O2590" s="9" t="s">
        <v>17800</v>
      </c>
      <c r="P2590" s="9" t="s">
        <v>17748</v>
      </c>
      <c r="Q2590" s="11" t="s">
        <v>19361</v>
      </c>
      <c r="R2590" s="11" t="s">
        <v>19361</v>
      </c>
      <c r="S2590" s="11" t="s">
        <v>17750</v>
      </c>
    </row>
    <row r="2591" spans="1:19" x14ac:dyDescent="0.2">
      <c r="A2591" s="11" t="s">
        <v>32846</v>
      </c>
      <c r="B2591" s="9" t="s">
        <v>32847</v>
      </c>
      <c r="C2591" s="9" t="s">
        <v>32848</v>
      </c>
      <c r="D2591" s="9" t="s">
        <v>32849</v>
      </c>
      <c r="E2591" s="9" t="s">
        <v>17740</v>
      </c>
      <c r="F2591" s="9" t="s">
        <v>17741</v>
      </c>
      <c r="G2591" s="9" t="s">
        <v>17740</v>
      </c>
      <c r="H2591" s="11" t="s">
        <v>2086</v>
      </c>
      <c r="I2591" s="11" t="s">
        <v>2085</v>
      </c>
      <c r="J2591" s="11" t="s">
        <v>2085</v>
      </c>
      <c r="K2591" s="9" t="s">
        <v>26030</v>
      </c>
      <c r="L2591" s="9" t="s">
        <v>21771</v>
      </c>
      <c r="M2591" s="9" t="s">
        <v>22237</v>
      </c>
      <c r="N2591" s="9" t="s">
        <v>17746</v>
      </c>
      <c r="O2591" s="9" t="s">
        <v>32850</v>
      </c>
      <c r="P2591" s="9" t="s">
        <v>17748</v>
      </c>
      <c r="Q2591" s="11" t="s">
        <v>18251</v>
      </c>
      <c r="R2591" s="11" t="s">
        <v>18251</v>
      </c>
      <c r="S2591" s="11" t="s">
        <v>17750</v>
      </c>
    </row>
    <row r="2592" spans="1:19" x14ac:dyDescent="0.2">
      <c r="A2592" s="11" t="s">
        <v>32851</v>
      </c>
      <c r="B2592" s="9" t="s">
        <v>32852</v>
      </c>
      <c r="C2592" s="9" t="s">
        <v>32853</v>
      </c>
      <c r="D2592" s="9" t="s">
        <v>32854</v>
      </c>
      <c r="E2592" s="9" t="s">
        <v>17740</v>
      </c>
      <c r="F2592" s="9" t="s">
        <v>17741</v>
      </c>
      <c r="G2592" s="9" t="s">
        <v>17740</v>
      </c>
      <c r="H2592" s="11" t="s">
        <v>32855</v>
      </c>
      <c r="I2592" s="11" t="s">
        <v>32856</v>
      </c>
      <c r="J2592" s="11" t="s">
        <v>32856</v>
      </c>
      <c r="K2592" s="9" t="s">
        <v>24870</v>
      </c>
      <c r="L2592" s="9" t="s">
        <v>17759</v>
      </c>
      <c r="M2592" s="9" t="s">
        <v>17769</v>
      </c>
      <c r="N2592" s="9" t="s">
        <v>17746</v>
      </c>
      <c r="O2592" s="9" t="s">
        <v>18340</v>
      </c>
      <c r="P2592" s="9" t="s">
        <v>17748</v>
      </c>
      <c r="Q2592" s="11" t="s">
        <v>18433</v>
      </c>
      <c r="R2592" s="11" t="s">
        <v>18433</v>
      </c>
      <c r="S2592" s="11" t="s">
        <v>17750</v>
      </c>
    </row>
    <row r="2593" spans="1:19" x14ac:dyDescent="0.2">
      <c r="A2593" s="11" t="s">
        <v>32857</v>
      </c>
      <c r="B2593" s="9" t="s">
        <v>32858</v>
      </c>
      <c r="C2593" s="9" t="s">
        <v>32859</v>
      </c>
      <c r="D2593" s="9" t="s">
        <v>32860</v>
      </c>
      <c r="E2593" s="9" t="s">
        <v>17740</v>
      </c>
      <c r="F2593" s="9" t="s">
        <v>17741</v>
      </c>
      <c r="G2593" s="9" t="s">
        <v>17740</v>
      </c>
      <c r="H2593" s="11" t="s">
        <v>32861</v>
      </c>
      <c r="I2593" s="11" t="s">
        <v>32862</v>
      </c>
      <c r="J2593" s="11" t="s">
        <v>32862</v>
      </c>
      <c r="K2593" s="9" t="s">
        <v>32863</v>
      </c>
      <c r="L2593" s="9" t="s">
        <v>17759</v>
      </c>
      <c r="M2593" s="9" t="s">
        <v>17769</v>
      </c>
      <c r="N2593" s="9" t="s">
        <v>17746</v>
      </c>
      <c r="O2593" s="9" t="s">
        <v>21220</v>
      </c>
      <c r="P2593" s="9" t="s">
        <v>17748</v>
      </c>
      <c r="Q2593" s="11" t="s">
        <v>18272</v>
      </c>
      <c r="R2593" s="11" t="s">
        <v>18272</v>
      </c>
      <c r="S2593" s="11" t="s">
        <v>17750</v>
      </c>
    </row>
    <row r="2594" spans="1:19" x14ac:dyDescent="0.2">
      <c r="A2594" s="11" t="s">
        <v>32864</v>
      </c>
      <c r="B2594" s="9" t="s">
        <v>32865</v>
      </c>
      <c r="C2594" s="9" t="s">
        <v>32866</v>
      </c>
      <c r="D2594" s="9" t="s">
        <v>32867</v>
      </c>
      <c r="E2594" s="9" t="s">
        <v>17740</v>
      </c>
      <c r="F2594" s="9" t="s">
        <v>17741</v>
      </c>
      <c r="G2594" s="9" t="s">
        <v>17740</v>
      </c>
      <c r="H2594" s="11" t="s">
        <v>1980</v>
      </c>
      <c r="I2594" s="11" t="s">
        <v>1979</v>
      </c>
      <c r="J2594" s="11" t="s">
        <v>1979</v>
      </c>
      <c r="K2594" s="9" t="s">
        <v>22128</v>
      </c>
      <c r="L2594" s="9" t="s">
        <v>18001</v>
      </c>
      <c r="M2594" s="9" t="s">
        <v>32868</v>
      </c>
      <c r="N2594" s="9" t="s">
        <v>17746</v>
      </c>
      <c r="O2594" s="9" t="s">
        <v>23227</v>
      </c>
      <c r="P2594" s="9" t="s">
        <v>17748</v>
      </c>
      <c r="Q2594" s="11" t="s">
        <v>19335</v>
      </c>
      <c r="R2594" s="11" t="s">
        <v>19335</v>
      </c>
      <c r="S2594" s="11" t="s">
        <v>17750</v>
      </c>
    </row>
    <row r="2595" spans="1:19" x14ac:dyDescent="0.2">
      <c r="A2595" s="11" t="s">
        <v>32869</v>
      </c>
      <c r="B2595" s="9" t="s">
        <v>32870</v>
      </c>
      <c r="C2595" s="9" t="s">
        <v>32871</v>
      </c>
      <c r="D2595" s="9" t="s">
        <v>32872</v>
      </c>
      <c r="E2595" s="9" t="s">
        <v>17740</v>
      </c>
      <c r="F2595" s="9" t="s">
        <v>17741</v>
      </c>
      <c r="G2595" s="9" t="s">
        <v>17740</v>
      </c>
      <c r="H2595" s="11" t="s">
        <v>6815</v>
      </c>
      <c r="I2595" s="11" t="s">
        <v>6814</v>
      </c>
      <c r="J2595" s="11" t="s">
        <v>6814</v>
      </c>
      <c r="K2595" s="9" t="s">
        <v>17805</v>
      </c>
      <c r="L2595" s="9" t="s">
        <v>17744</v>
      </c>
      <c r="M2595" s="9" t="s">
        <v>21092</v>
      </c>
      <c r="N2595" s="9" t="s">
        <v>17746</v>
      </c>
      <c r="O2595" s="9" t="s">
        <v>21220</v>
      </c>
      <c r="P2595" s="9" t="s">
        <v>17748</v>
      </c>
      <c r="Q2595" s="11" t="s">
        <v>18080</v>
      </c>
      <c r="R2595" s="11" t="s">
        <v>18080</v>
      </c>
      <c r="S2595" s="11" t="s">
        <v>17750</v>
      </c>
    </row>
    <row r="2596" spans="1:19" x14ac:dyDescent="0.2">
      <c r="A2596" s="11" t="s">
        <v>32873</v>
      </c>
      <c r="B2596" s="9" t="s">
        <v>32874</v>
      </c>
      <c r="C2596" s="9" t="s">
        <v>32875</v>
      </c>
      <c r="D2596" s="9" t="s">
        <v>32876</v>
      </c>
      <c r="E2596" s="9" t="s">
        <v>17740</v>
      </c>
      <c r="F2596" s="9" t="s">
        <v>17741</v>
      </c>
      <c r="G2596" s="9" t="s">
        <v>17740</v>
      </c>
      <c r="H2596" s="11" t="s">
        <v>32877</v>
      </c>
      <c r="I2596" s="11" t="s">
        <v>32878</v>
      </c>
      <c r="J2596" s="11" t="s">
        <v>32878</v>
      </c>
      <c r="K2596" s="9" t="s">
        <v>32879</v>
      </c>
      <c r="L2596" s="9" t="s">
        <v>17759</v>
      </c>
      <c r="M2596" s="9" t="s">
        <v>32880</v>
      </c>
      <c r="N2596" s="9" t="s">
        <v>17746</v>
      </c>
      <c r="O2596" s="9" t="s">
        <v>32881</v>
      </c>
      <c r="P2596" s="9" t="s">
        <v>17748</v>
      </c>
      <c r="Q2596" s="11" t="s">
        <v>18356</v>
      </c>
      <c r="R2596" s="11" t="s">
        <v>18356</v>
      </c>
      <c r="S2596" s="11" t="s">
        <v>17750</v>
      </c>
    </row>
    <row r="2597" spans="1:19" x14ac:dyDescent="0.2">
      <c r="A2597" s="11" t="s">
        <v>32882</v>
      </c>
      <c r="B2597" s="9" t="s">
        <v>32883</v>
      </c>
      <c r="C2597" s="9" t="s">
        <v>32884</v>
      </c>
      <c r="D2597" s="9" t="s">
        <v>32885</v>
      </c>
      <c r="E2597" s="9" t="s">
        <v>17740</v>
      </c>
      <c r="F2597" s="9" t="s">
        <v>17741</v>
      </c>
      <c r="G2597" s="9" t="s">
        <v>17740</v>
      </c>
      <c r="H2597" s="11" t="s">
        <v>32886</v>
      </c>
      <c r="I2597" s="11" t="s">
        <v>32887</v>
      </c>
      <c r="J2597" s="11" t="s">
        <v>32887</v>
      </c>
      <c r="K2597" s="9" t="s">
        <v>32888</v>
      </c>
      <c r="L2597" s="9" t="s">
        <v>17744</v>
      </c>
      <c r="M2597" s="9" t="s">
        <v>32889</v>
      </c>
      <c r="N2597" s="9" t="s">
        <v>17746</v>
      </c>
      <c r="O2597" s="9" t="s">
        <v>3524</v>
      </c>
      <c r="P2597" s="9" t="s">
        <v>17748</v>
      </c>
      <c r="Q2597" s="11" t="s">
        <v>17984</v>
      </c>
      <c r="R2597" s="11" t="s">
        <v>17984</v>
      </c>
      <c r="S2597" s="11" t="s">
        <v>17750</v>
      </c>
    </row>
    <row r="2598" spans="1:19" x14ac:dyDescent="0.2">
      <c r="A2598" s="11" t="s">
        <v>32890</v>
      </c>
      <c r="B2598" s="9" t="s">
        <v>32891</v>
      </c>
      <c r="C2598" s="9" t="s">
        <v>32892</v>
      </c>
      <c r="D2598" s="9" t="s">
        <v>32893</v>
      </c>
      <c r="E2598" s="9" t="s">
        <v>17740</v>
      </c>
      <c r="F2598" s="9" t="s">
        <v>17741</v>
      </c>
      <c r="G2598" s="9" t="s">
        <v>17740</v>
      </c>
      <c r="H2598" s="11" t="s">
        <v>32894</v>
      </c>
      <c r="I2598" s="11" t="s">
        <v>32895</v>
      </c>
      <c r="J2598" s="11" t="s">
        <v>32895</v>
      </c>
      <c r="K2598" s="9" t="s">
        <v>24870</v>
      </c>
      <c r="L2598" s="9" t="s">
        <v>17759</v>
      </c>
      <c r="M2598" s="9" t="s">
        <v>17769</v>
      </c>
      <c r="N2598" s="9" t="s">
        <v>17746</v>
      </c>
      <c r="O2598" s="9" t="s">
        <v>18340</v>
      </c>
      <c r="P2598" s="9" t="s">
        <v>17748</v>
      </c>
      <c r="Q2598" s="11" t="s">
        <v>18678</v>
      </c>
      <c r="R2598" s="11" t="s">
        <v>18678</v>
      </c>
      <c r="S2598" s="11" t="s">
        <v>17750</v>
      </c>
    </row>
    <row r="2599" spans="1:19" x14ac:dyDescent="0.2">
      <c r="A2599" s="11" t="s">
        <v>32896</v>
      </c>
      <c r="B2599" s="9" t="s">
        <v>32897</v>
      </c>
      <c r="C2599" s="9" t="s">
        <v>32898</v>
      </c>
      <c r="D2599" s="9" t="s">
        <v>32899</v>
      </c>
      <c r="E2599" s="9" t="s">
        <v>17740</v>
      </c>
      <c r="F2599" s="9" t="s">
        <v>17741</v>
      </c>
      <c r="G2599" s="9" t="s">
        <v>17740</v>
      </c>
      <c r="H2599" s="11" t="s">
        <v>7525</v>
      </c>
      <c r="I2599" s="11" t="s">
        <v>7524</v>
      </c>
      <c r="J2599" s="11" t="s">
        <v>7524</v>
      </c>
      <c r="K2599" s="9" t="s">
        <v>291</v>
      </c>
      <c r="L2599" s="9" t="s">
        <v>17744</v>
      </c>
      <c r="M2599" s="9" t="s">
        <v>17778</v>
      </c>
      <c r="N2599" s="9" t="s">
        <v>17746</v>
      </c>
      <c r="O2599" s="9" t="s">
        <v>17834</v>
      </c>
      <c r="P2599" s="9" t="s">
        <v>17748</v>
      </c>
      <c r="Q2599" s="11" t="s">
        <v>18272</v>
      </c>
      <c r="R2599" s="11" t="s">
        <v>18272</v>
      </c>
      <c r="S2599" s="11" t="s">
        <v>17750</v>
      </c>
    </row>
    <row r="2600" spans="1:19" x14ac:dyDescent="0.2">
      <c r="A2600" s="11" t="s">
        <v>32900</v>
      </c>
      <c r="B2600" s="9" t="s">
        <v>32901</v>
      </c>
      <c r="C2600" s="9" t="s">
        <v>32902</v>
      </c>
      <c r="D2600" s="9" t="s">
        <v>32903</v>
      </c>
      <c r="E2600" s="9" t="s">
        <v>17740</v>
      </c>
      <c r="F2600" s="9" t="s">
        <v>32904</v>
      </c>
      <c r="G2600" s="9" t="s">
        <v>17740</v>
      </c>
      <c r="H2600" s="11" t="s">
        <v>1944</v>
      </c>
      <c r="I2600" s="11" t="s">
        <v>1943</v>
      </c>
      <c r="J2600" s="11" t="s">
        <v>1943</v>
      </c>
      <c r="K2600" s="9" t="s">
        <v>32905</v>
      </c>
      <c r="L2600" s="9" t="s">
        <v>17759</v>
      </c>
      <c r="M2600" s="9" t="s">
        <v>19032</v>
      </c>
      <c r="N2600" s="9" t="s">
        <v>17746</v>
      </c>
      <c r="O2600" s="9" t="s">
        <v>17834</v>
      </c>
      <c r="P2600" s="9" t="s">
        <v>17748</v>
      </c>
      <c r="Q2600" s="11" t="s">
        <v>18243</v>
      </c>
      <c r="R2600" s="11" t="s">
        <v>18243</v>
      </c>
      <c r="S2600" s="11" t="s">
        <v>17750</v>
      </c>
    </row>
    <row r="2601" spans="1:19" x14ac:dyDescent="0.2">
      <c r="A2601" s="11" t="s">
        <v>32906</v>
      </c>
      <c r="B2601" s="9" t="s">
        <v>32907</v>
      </c>
      <c r="C2601" s="9" t="s">
        <v>32908</v>
      </c>
      <c r="D2601" s="9" t="s">
        <v>32909</v>
      </c>
      <c r="E2601" s="9" t="s">
        <v>17740</v>
      </c>
      <c r="F2601" s="9" t="s">
        <v>32910</v>
      </c>
      <c r="G2601" s="9" t="s">
        <v>17740</v>
      </c>
      <c r="H2601" s="11" t="s">
        <v>32911</v>
      </c>
      <c r="I2601" s="11" t="s">
        <v>32912</v>
      </c>
      <c r="J2601" s="11" t="s">
        <v>32912</v>
      </c>
      <c r="K2601" s="9" t="s">
        <v>970</v>
      </c>
      <c r="L2601" s="9" t="s">
        <v>17744</v>
      </c>
      <c r="M2601" s="9" t="s">
        <v>21309</v>
      </c>
      <c r="N2601" s="9" t="s">
        <v>17746</v>
      </c>
      <c r="O2601" s="9" t="s">
        <v>17834</v>
      </c>
      <c r="P2601" s="9" t="s">
        <v>17748</v>
      </c>
      <c r="Q2601" s="11" t="s">
        <v>18132</v>
      </c>
      <c r="R2601" s="11" t="s">
        <v>18132</v>
      </c>
      <c r="S2601" s="11" t="s">
        <v>17750</v>
      </c>
    </row>
    <row r="2602" spans="1:19" x14ac:dyDescent="0.2">
      <c r="A2602" s="11" t="s">
        <v>32913</v>
      </c>
      <c r="B2602" s="9" t="s">
        <v>32914</v>
      </c>
      <c r="C2602" s="9" t="s">
        <v>32915</v>
      </c>
      <c r="D2602" s="9" t="s">
        <v>32916</v>
      </c>
      <c r="E2602" s="9" t="s">
        <v>17740</v>
      </c>
      <c r="F2602" s="9" t="s">
        <v>32917</v>
      </c>
      <c r="G2602" s="9" t="s">
        <v>17740</v>
      </c>
      <c r="H2602" s="11" t="s">
        <v>32918</v>
      </c>
      <c r="I2602" s="11" t="s">
        <v>32919</v>
      </c>
      <c r="J2602" s="11" t="s">
        <v>32919</v>
      </c>
      <c r="K2602" s="9" t="s">
        <v>17805</v>
      </c>
      <c r="L2602" s="9" t="s">
        <v>17744</v>
      </c>
      <c r="M2602" s="9" t="s">
        <v>32920</v>
      </c>
      <c r="N2602" s="9" t="s">
        <v>17746</v>
      </c>
      <c r="O2602" s="9" t="s">
        <v>18514</v>
      </c>
      <c r="P2602" s="9" t="s">
        <v>17748</v>
      </c>
      <c r="Q2602" s="11" t="s">
        <v>20251</v>
      </c>
      <c r="R2602" s="11" t="s">
        <v>20251</v>
      </c>
      <c r="S2602" s="11" t="s">
        <v>17750</v>
      </c>
    </row>
    <row r="2603" spans="1:19" x14ac:dyDescent="0.2">
      <c r="A2603" s="11" t="s">
        <v>32921</v>
      </c>
      <c r="B2603" s="9" t="s">
        <v>32922</v>
      </c>
      <c r="C2603" s="9" t="s">
        <v>32923</v>
      </c>
      <c r="D2603" s="9" t="s">
        <v>32924</v>
      </c>
      <c r="E2603" s="9" t="s">
        <v>17740</v>
      </c>
      <c r="F2603" s="9" t="s">
        <v>17741</v>
      </c>
      <c r="G2603" s="9" t="s">
        <v>17740</v>
      </c>
      <c r="H2603" s="11" t="s">
        <v>1987</v>
      </c>
      <c r="I2603" s="11" t="s">
        <v>1986</v>
      </c>
      <c r="J2603" s="11" t="s">
        <v>1986</v>
      </c>
      <c r="K2603" s="9" t="s">
        <v>91</v>
      </c>
      <c r="L2603" s="9" t="s">
        <v>18001</v>
      </c>
      <c r="M2603" s="9" t="s">
        <v>18109</v>
      </c>
      <c r="N2603" s="9" t="s">
        <v>17746</v>
      </c>
      <c r="O2603" s="9" t="s">
        <v>22476</v>
      </c>
      <c r="P2603" s="9" t="s">
        <v>17748</v>
      </c>
      <c r="Q2603" s="11" t="s">
        <v>17978</v>
      </c>
      <c r="R2603" s="11" t="s">
        <v>17978</v>
      </c>
      <c r="S2603" s="11" t="s">
        <v>17750</v>
      </c>
    </row>
    <row r="2604" spans="1:19" x14ac:dyDescent="0.2">
      <c r="A2604" s="11" t="s">
        <v>32925</v>
      </c>
      <c r="B2604" s="9" t="s">
        <v>32926</v>
      </c>
      <c r="C2604" s="9" t="s">
        <v>32927</v>
      </c>
      <c r="D2604" s="9" t="s">
        <v>32928</v>
      </c>
      <c r="E2604" s="9" t="s">
        <v>17748</v>
      </c>
      <c r="F2604" s="9" t="s">
        <v>32929</v>
      </c>
      <c r="G2604" s="9" t="s">
        <v>17740</v>
      </c>
      <c r="H2604" s="11" t="s">
        <v>32930</v>
      </c>
      <c r="I2604" s="11" t="s">
        <v>32931</v>
      </c>
      <c r="J2604" s="11" t="s">
        <v>32931</v>
      </c>
      <c r="K2604" s="9" t="s">
        <v>31962</v>
      </c>
      <c r="L2604" s="9" t="s">
        <v>18123</v>
      </c>
      <c r="M2604" s="9" t="s">
        <v>17769</v>
      </c>
      <c r="N2604" s="9" t="s">
        <v>17746</v>
      </c>
      <c r="O2604" s="9" t="s">
        <v>3524</v>
      </c>
      <c r="P2604" s="9" t="s">
        <v>17748</v>
      </c>
      <c r="Q2604" s="11" t="s">
        <v>17917</v>
      </c>
      <c r="R2604" s="11" t="s">
        <v>17917</v>
      </c>
      <c r="S2604" s="11" t="s">
        <v>17750</v>
      </c>
    </row>
    <row r="2605" spans="1:19" x14ac:dyDescent="0.2">
      <c r="A2605" s="11" t="s">
        <v>32932</v>
      </c>
      <c r="B2605" s="9" t="s">
        <v>32933</v>
      </c>
      <c r="C2605" s="9" t="s">
        <v>32934</v>
      </c>
      <c r="D2605" s="9" t="s">
        <v>32935</v>
      </c>
      <c r="E2605" s="9" t="s">
        <v>17740</v>
      </c>
      <c r="F2605" s="9" t="s">
        <v>17741</v>
      </c>
      <c r="G2605" s="9" t="s">
        <v>17740</v>
      </c>
      <c r="H2605" s="11" t="s">
        <v>32936</v>
      </c>
      <c r="I2605" s="11" t="s">
        <v>32937</v>
      </c>
      <c r="J2605" s="11" t="s">
        <v>32937</v>
      </c>
      <c r="K2605" s="9" t="s">
        <v>27985</v>
      </c>
      <c r="L2605" s="9" t="s">
        <v>18130</v>
      </c>
      <c r="M2605" s="9" t="s">
        <v>17760</v>
      </c>
      <c r="N2605" s="9" t="s">
        <v>17746</v>
      </c>
      <c r="O2605" s="9" t="s">
        <v>26112</v>
      </c>
      <c r="P2605" s="9" t="s">
        <v>17748</v>
      </c>
      <c r="Q2605" s="11" t="s">
        <v>17762</v>
      </c>
      <c r="R2605" s="11" t="s">
        <v>17762</v>
      </c>
      <c r="S2605" s="11" t="s">
        <v>17750</v>
      </c>
    </row>
    <row r="2606" spans="1:19" x14ac:dyDescent="0.2">
      <c r="A2606" s="11" t="s">
        <v>32938</v>
      </c>
      <c r="B2606" s="9" t="s">
        <v>32939</v>
      </c>
      <c r="C2606" s="9" t="s">
        <v>32940</v>
      </c>
      <c r="D2606" s="9" t="s">
        <v>32941</v>
      </c>
      <c r="E2606" s="9" t="s">
        <v>17740</v>
      </c>
      <c r="F2606" s="9" t="s">
        <v>32942</v>
      </c>
      <c r="G2606" s="9" t="s">
        <v>17740</v>
      </c>
      <c r="H2606" s="11" t="s">
        <v>1993</v>
      </c>
      <c r="I2606" s="11" t="s">
        <v>1992</v>
      </c>
      <c r="J2606" s="11" t="s">
        <v>1992</v>
      </c>
      <c r="K2606" s="9" t="s">
        <v>291</v>
      </c>
      <c r="L2606" s="9" t="s">
        <v>17744</v>
      </c>
      <c r="M2606" s="9" t="s">
        <v>17817</v>
      </c>
      <c r="N2606" s="9" t="s">
        <v>17746</v>
      </c>
      <c r="O2606" s="9" t="s">
        <v>3543</v>
      </c>
      <c r="P2606" s="9" t="s">
        <v>17748</v>
      </c>
      <c r="Q2606" s="11" t="s">
        <v>18678</v>
      </c>
      <c r="R2606" s="11" t="s">
        <v>18678</v>
      </c>
      <c r="S2606" s="11" t="s">
        <v>17750</v>
      </c>
    </row>
    <row r="2607" spans="1:19" x14ac:dyDescent="0.2">
      <c r="A2607" s="11" t="s">
        <v>32943</v>
      </c>
      <c r="B2607" s="9" t="s">
        <v>32944</v>
      </c>
      <c r="C2607" s="9" t="s">
        <v>32945</v>
      </c>
      <c r="D2607" s="9" t="s">
        <v>32946</v>
      </c>
      <c r="E2607" s="9" t="s">
        <v>17740</v>
      </c>
      <c r="F2607" s="9" t="s">
        <v>17741</v>
      </c>
      <c r="G2607" s="9" t="s">
        <v>17740</v>
      </c>
      <c r="H2607" s="11" t="s">
        <v>2073</v>
      </c>
      <c r="I2607" s="11" t="s">
        <v>2072</v>
      </c>
      <c r="J2607" s="11" t="s">
        <v>2072</v>
      </c>
      <c r="K2607" s="9" t="s">
        <v>24781</v>
      </c>
      <c r="L2607" s="9" t="s">
        <v>17759</v>
      </c>
      <c r="M2607" s="9" t="s">
        <v>22237</v>
      </c>
      <c r="N2607" s="9" t="s">
        <v>17746</v>
      </c>
      <c r="O2607" s="9" t="s">
        <v>32947</v>
      </c>
      <c r="P2607" s="9" t="s">
        <v>17748</v>
      </c>
      <c r="Q2607" s="11" t="s">
        <v>18608</v>
      </c>
      <c r="R2607" s="11" t="s">
        <v>18608</v>
      </c>
      <c r="S2607" s="11" t="s">
        <v>17750</v>
      </c>
    </row>
    <row r="2608" spans="1:19" x14ac:dyDescent="0.2">
      <c r="A2608" s="11" t="s">
        <v>32948</v>
      </c>
      <c r="B2608" s="9" t="s">
        <v>32949</v>
      </c>
      <c r="C2608" s="9" t="s">
        <v>32950</v>
      </c>
      <c r="D2608" s="9" t="s">
        <v>32951</v>
      </c>
      <c r="E2608" s="9" t="s">
        <v>17740</v>
      </c>
      <c r="F2608" s="9" t="s">
        <v>17741</v>
      </c>
      <c r="G2608" s="9" t="s">
        <v>17740</v>
      </c>
      <c r="H2608" s="11" t="s">
        <v>32952</v>
      </c>
      <c r="I2608" s="11" t="s">
        <v>32953</v>
      </c>
      <c r="J2608" s="11" t="s">
        <v>32953</v>
      </c>
      <c r="K2608" s="9" t="s">
        <v>17758</v>
      </c>
      <c r="L2608" s="9" t="s">
        <v>17744</v>
      </c>
      <c r="M2608" s="9" t="s">
        <v>17760</v>
      </c>
      <c r="N2608" s="9" t="s">
        <v>17746</v>
      </c>
      <c r="O2608" s="9" t="s">
        <v>19740</v>
      </c>
      <c r="P2608" s="9" t="s">
        <v>17748</v>
      </c>
      <c r="Q2608" s="11" t="s">
        <v>19335</v>
      </c>
      <c r="R2608" s="11" t="s">
        <v>19335</v>
      </c>
      <c r="S2608" s="11" t="s">
        <v>17750</v>
      </c>
    </row>
    <row r="2609" spans="1:19" x14ac:dyDescent="0.2">
      <c r="A2609" s="11" t="s">
        <v>32954</v>
      </c>
      <c r="B2609" s="9" t="s">
        <v>32955</v>
      </c>
      <c r="C2609" s="9" t="s">
        <v>32956</v>
      </c>
      <c r="D2609" s="9" t="s">
        <v>32957</v>
      </c>
      <c r="E2609" s="9" t="s">
        <v>17740</v>
      </c>
      <c r="F2609" s="9" t="s">
        <v>32958</v>
      </c>
      <c r="G2609" s="9" t="s">
        <v>17740</v>
      </c>
      <c r="H2609" s="11" t="s">
        <v>12845</v>
      </c>
      <c r="I2609" s="11" t="s">
        <v>12844</v>
      </c>
      <c r="J2609" s="11" t="s">
        <v>12844</v>
      </c>
      <c r="K2609" s="9" t="s">
        <v>20225</v>
      </c>
      <c r="L2609" s="9" t="s">
        <v>17744</v>
      </c>
      <c r="M2609" s="9" t="s">
        <v>17760</v>
      </c>
      <c r="N2609" s="9" t="s">
        <v>17746</v>
      </c>
      <c r="O2609" s="9" t="s">
        <v>18534</v>
      </c>
      <c r="P2609" s="9" t="s">
        <v>17748</v>
      </c>
      <c r="Q2609" s="11" t="s">
        <v>18370</v>
      </c>
      <c r="R2609" s="11" t="s">
        <v>18370</v>
      </c>
      <c r="S2609" s="11" t="s">
        <v>17750</v>
      </c>
    </row>
    <row r="2610" spans="1:19" x14ac:dyDescent="0.2">
      <c r="A2610" s="11" t="s">
        <v>32959</v>
      </c>
      <c r="B2610" s="9" t="s">
        <v>32960</v>
      </c>
      <c r="C2610" s="9" t="s">
        <v>32961</v>
      </c>
      <c r="D2610" s="9" t="s">
        <v>32962</v>
      </c>
      <c r="E2610" s="9" t="s">
        <v>17740</v>
      </c>
      <c r="F2610" s="9" t="s">
        <v>17741</v>
      </c>
      <c r="G2610" s="9" t="s">
        <v>17740</v>
      </c>
      <c r="H2610" s="11" t="s">
        <v>5359</v>
      </c>
      <c r="I2610" s="11" t="s">
        <v>5358</v>
      </c>
      <c r="J2610" s="11" t="s">
        <v>5358</v>
      </c>
      <c r="K2610" s="9" t="s">
        <v>32963</v>
      </c>
      <c r="L2610" s="9" t="s">
        <v>18001</v>
      </c>
      <c r="M2610" s="9" t="s">
        <v>17778</v>
      </c>
      <c r="N2610" s="9" t="s">
        <v>17746</v>
      </c>
      <c r="O2610" s="9" t="s">
        <v>32964</v>
      </c>
      <c r="P2610" s="9" t="s">
        <v>17748</v>
      </c>
      <c r="Q2610" s="11" t="s">
        <v>17749</v>
      </c>
      <c r="R2610" s="11" t="s">
        <v>17749</v>
      </c>
      <c r="S2610" s="11" t="s">
        <v>17750</v>
      </c>
    </row>
    <row r="2611" spans="1:19" x14ac:dyDescent="0.2">
      <c r="A2611" s="11" t="s">
        <v>32965</v>
      </c>
      <c r="B2611" s="9" t="s">
        <v>32966</v>
      </c>
      <c r="C2611" s="9" t="s">
        <v>32967</v>
      </c>
      <c r="D2611" s="9" t="s">
        <v>32968</v>
      </c>
      <c r="E2611" s="9" t="s">
        <v>17740</v>
      </c>
      <c r="F2611" s="9" t="s">
        <v>17741</v>
      </c>
      <c r="G2611" s="9" t="s">
        <v>17740</v>
      </c>
      <c r="H2611" s="11" t="s">
        <v>32969</v>
      </c>
      <c r="I2611" s="11" t="s">
        <v>32970</v>
      </c>
      <c r="J2611" s="11" t="s">
        <v>32970</v>
      </c>
      <c r="K2611" s="9" t="s">
        <v>19447</v>
      </c>
      <c r="L2611" s="9" t="s">
        <v>17744</v>
      </c>
      <c r="M2611" s="9" t="s">
        <v>17760</v>
      </c>
      <c r="N2611" s="9" t="s">
        <v>17746</v>
      </c>
      <c r="O2611" s="9" t="s">
        <v>17834</v>
      </c>
      <c r="P2611" s="9" t="s">
        <v>17748</v>
      </c>
      <c r="Q2611" s="11" t="s">
        <v>21569</v>
      </c>
      <c r="R2611" s="11" t="s">
        <v>21569</v>
      </c>
      <c r="S2611" s="11" t="s">
        <v>17750</v>
      </c>
    </row>
    <row r="2612" spans="1:19" x14ac:dyDescent="0.2">
      <c r="A2612" s="11" t="s">
        <v>32971</v>
      </c>
      <c r="B2612" s="9" t="s">
        <v>32972</v>
      </c>
      <c r="C2612" s="9" t="s">
        <v>32973</v>
      </c>
      <c r="D2612" s="9" t="s">
        <v>32974</v>
      </c>
      <c r="E2612" s="9" t="s">
        <v>17740</v>
      </c>
      <c r="F2612" s="9" t="s">
        <v>32975</v>
      </c>
      <c r="G2612" s="9" t="s">
        <v>17740</v>
      </c>
      <c r="H2612" s="11" t="s">
        <v>32976</v>
      </c>
      <c r="I2612" s="11" t="s">
        <v>32977</v>
      </c>
      <c r="J2612" s="11" t="s">
        <v>32977</v>
      </c>
      <c r="K2612" s="9" t="s">
        <v>291</v>
      </c>
      <c r="L2612" s="9" t="s">
        <v>17744</v>
      </c>
      <c r="M2612" s="9" t="s">
        <v>17769</v>
      </c>
      <c r="N2612" s="9" t="s">
        <v>17746</v>
      </c>
      <c r="O2612" s="9" t="s">
        <v>19930</v>
      </c>
      <c r="P2612" s="9" t="s">
        <v>17748</v>
      </c>
      <c r="Q2612" s="11" t="s">
        <v>18370</v>
      </c>
      <c r="R2612" s="11" t="s">
        <v>18370</v>
      </c>
      <c r="S2612" s="11" t="s">
        <v>17750</v>
      </c>
    </row>
    <row r="2613" spans="1:19" x14ac:dyDescent="0.2">
      <c r="A2613" s="11" t="s">
        <v>32978</v>
      </c>
      <c r="B2613" s="9" t="s">
        <v>32979</v>
      </c>
      <c r="C2613" s="9" t="s">
        <v>32980</v>
      </c>
      <c r="D2613" s="9" t="s">
        <v>32981</v>
      </c>
      <c r="E2613" s="9" t="s">
        <v>17748</v>
      </c>
      <c r="F2613" s="9" t="s">
        <v>32982</v>
      </c>
      <c r="G2613" s="9" t="s">
        <v>17740</v>
      </c>
      <c r="H2613" s="11" t="s">
        <v>9470</v>
      </c>
      <c r="I2613" s="11" t="s">
        <v>9469</v>
      </c>
      <c r="J2613" s="11" t="s">
        <v>9469</v>
      </c>
      <c r="K2613" s="9" t="s">
        <v>18635</v>
      </c>
      <c r="L2613" s="9" t="s">
        <v>17759</v>
      </c>
      <c r="M2613" s="9" t="s">
        <v>24928</v>
      </c>
      <c r="N2613" s="9" t="s">
        <v>17746</v>
      </c>
      <c r="O2613" s="9" t="s">
        <v>32983</v>
      </c>
      <c r="P2613" s="9" t="s">
        <v>17748</v>
      </c>
      <c r="Q2613" s="11" t="s">
        <v>17784</v>
      </c>
      <c r="R2613" s="11" t="s">
        <v>17784</v>
      </c>
      <c r="S2613" s="11" t="s">
        <v>17750</v>
      </c>
    </row>
    <row r="2614" spans="1:19" x14ac:dyDescent="0.2">
      <c r="A2614" s="11" t="s">
        <v>32984</v>
      </c>
      <c r="B2614" s="9" t="s">
        <v>32985</v>
      </c>
      <c r="C2614" s="9" t="s">
        <v>32986</v>
      </c>
      <c r="D2614" s="9" t="s">
        <v>32987</v>
      </c>
      <c r="E2614" s="9" t="s">
        <v>17740</v>
      </c>
      <c r="F2614" s="9" t="s">
        <v>17741</v>
      </c>
      <c r="G2614" s="9" t="s">
        <v>17740</v>
      </c>
      <c r="H2614" s="11" t="s">
        <v>32988</v>
      </c>
      <c r="I2614" s="11" t="s">
        <v>32989</v>
      </c>
      <c r="J2614" s="11" t="s">
        <v>32989</v>
      </c>
      <c r="K2614" s="9" t="s">
        <v>19244</v>
      </c>
      <c r="L2614" s="9" t="s">
        <v>18158</v>
      </c>
      <c r="M2614" s="9" t="s">
        <v>19658</v>
      </c>
      <c r="N2614" s="9" t="s">
        <v>17746</v>
      </c>
      <c r="O2614" s="9" t="s">
        <v>19939</v>
      </c>
      <c r="P2614" s="9" t="s">
        <v>17748</v>
      </c>
      <c r="Q2614" s="11" t="s">
        <v>19222</v>
      </c>
      <c r="R2614" s="11" t="s">
        <v>19222</v>
      </c>
      <c r="S2614" s="11" t="s">
        <v>17750</v>
      </c>
    </row>
    <row r="2615" spans="1:19" x14ac:dyDescent="0.2">
      <c r="A2615" s="11" t="s">
        <v>32990</v>
      </c>
      <c r="B2615" s="9" t="s">
        <v>32991</v>
      </c>
      <c r="C2615" s="9" t="s">
        <v>32992</v>
      </c>
      <c r="D2615" s="9" t="s">
        <v>32993</v>
      </c>
      <c r="E2615" s="9" t="s">
        <v>17740</v>
      </c>
      <c r="F2615" s="9" t="s">
        <v>17741</v>
      </c>
      <c r="G2615" s="9" t="s">
        <v>17740</v>
      </c>
      <c r="H2615" s="11" t="s">
        <v>32994</v>
      </c>
      <c r="I2615" s="11" t="s">
        <v>32995</v>
      </c>
      <c r="J2615" s="11" t="s">
        <v>32995</v>
      </c>
      <c r="K2615" s="9" t="s">
        <v>32996</v>
      </c>
      <c r="L2615" s="9" t="s">
        <v>17759</v>
      </c>
      <c r="M2615" s="9" t="s">
        <v>17760</v>
      </c>
      <c r="N2615" s="9" t="s">
        <v>17746</v>
      </c>
      <c r="O2615" s="9" t="s">
        <v>18636</v>
      </c>
      <c r="P2615" s="9" t="s">
        <v>17748</v>
      </c>
      <c r="Q2615" s="11" t="s">
        <v>17762</v>
      </c>
      <c r="R2615" s="11" t="s">
        <v>17762</v>
      </c>
      <c r="S2615" s="11" t="s">
        <v>17750</v>
      </c>
    </row>
    <row r="2616" spans="1:19" x14ac:dyDescent="0.2">
      <c r="A2616" s="11" t="s">
        <v>32997</v>
      </c>
      <c r="B2616" s="9" t="s">
        <v>32998</v>
      </c>
      <c r="C2616" s="9" t="s">
        <v>32999</v>
      </c>
      <c r="D2616" s="9" t="s">
        <v>33000</v>
      </c>
      <c r="E2616" s="9" t="s">
        <v>17740</v>
      </c>
      <c r="F2616" s="9" t="s">
        <v>17741</v>
      </c>
      <c r="G2616" s="9" t="s">
        <v>17740</v>
      </c>
      <c r="H2616" s="11" t="s">
        <v>33001</v>
      </c>
      <c r="I2616" s="11" t="s">
        <v>5089</v>
      </c>
      <c r="J2616" s="11" t="s">
        <v>5089</v>
      </c>
      <c r="K2616" s="9" t="s">
        <v>18520</v>
      </c>
      <c r="L2616" s="9" t="s">
        <v>17744</v>
      </c>
      <c r="M2616" s="9" t="s">
        <v>33002</v>
      </c>
      <c r="N2616" s="9" t="s">
        <v>17746</v>
      </c>
      <c r="O2616" s="9" t="s">
        <v>19147</v>
      </c>
      <c r="P2616" s="9" t="s">
        <v>17748</v>
      </c>
      <c r="Q2616" s="11" t="s">
        <v>17749</v>
      </c>
      <c r="R2616" s="11" t="s">
        <v>17749</v>
      </c>
      <c r="S2616" s="11" t="s">
        <v>17750</v>
      </c>
    </row>
    <row r="2617" spans="1:19" x14ac:dyDescent="0.2">
      <c r="A2617" s="11" t="s">
        <v>33003</v>
      </c>
      <c r="B2617" s="9" t="s">
        <v>33004</v>
      </c>
      <c r="C2617" s="9" t="s">
        <v>33005</v>
      </c>
      <c r="D2617" s="9" t="s">
        <v>33006</v>
      </c>
      <c r="E2617" s="9" t="s">
        <v>17740</v>
      </c>
      <c r="F2617" s="9" t="s">
        <v>17741</v>
      </c>
      <c r="G2617" s="9" t="s">
        <v>17740</v>
      </c>
      <c r="H2617" s="11" t="s">
        <v>11046</v>
      </c>
      <c r="I2617" s="11" t="s">
        <v>11045</v>
      </c>
      <c r="J2617" s="11" t="s">
        <v>11045</v>
      </c>
      <c r="K2617" s="9" t="s">
        <v>20225</v>
      </c>
      <c r="L2617" s="9" t="s">
        <v>17744</v>
      </c>
      <c r="M2617" s="9" t="s">
        <v>17760</v>
      </c>
      <c r="N2617" s="9" t="s">
        <v>17746</v>
      </c>
      <c r="O2617" s="9" t="s">
        <v>19646</v>
      </c>
      <c r="P2617" s="9" t="s">
        <v>17748</v>
      </c>
      <c r="Q2617" s="11" t="s">
        <v>17762</v>
      </c>
      <c r="R2617" s="11" t="s">
        <v>17762</v>
      </c>
      <c r="S2617" s="11" t="s">
        <v>17750</v>
      </c>
    </row>
    <row r="2618" spans="1:19" x14ac:dyDescent="0.2">
      <c r="A2618" s="11" t="s">
        <v>33007</v>
      </c>
      <c r="B2618" s="9" t="s">
        <v>33008</v>
      </c>
      <c r="C2618" s="9" t="s">
        <v>33009</v>
      </c>
      <c r="D2618" s="9" t="s">
        <v>33010</v>
      </c>
      <c r="E2618" s="9" t="s">
        <v>17740</v>
      </c>
      <c r="F2618" s="9" t="s">
        <v>33011</v>
      </c>
      <c r="G2618" s="9" t="s">
        <v>17740</v>
      </c>
      <c r="H2618" s="11" t="s">
        <v>10084</v>
      </c>
      <c r="I2618" s="11" t="s">
        <v>10083</v>
      </c>
      <c r="J2618" s="11" t="s">
        <v>10084</v>
      </c>
      <c r="K2618" s="9" t="s">
        <v>91</v>
      </c>
      <c r="L2618" s="9" t="s">
        <v>17744</v>
      </c>
      <c r="M2618" s="9" t="s">
        <v>24583</v>
      </c>
      <c r="N2618" s="9" t="s">
        <v>17746</v>
      </c>
      <c r="O2618" s="9" t="s">
        <v>18035</v>
      </c>
      <c r="P2618" s="9" t="s">
        <v>17748</v>
      </c>
      <c r="Q2618" s="11" t="s">
        <v>17780</v>
      </c>
      <c r="R2618" s="11" t="s">
        <v>17780</v>
      </c>
      <c r="S2618" s="11" t="s">
        <v>17750</v>
      </c>
    </row>
    <row r="2619" spans="1:19" x14ac:dyDescent="0.2">
      <c r="A2619" s="11" t="s">
        <v>33012</v>
      </c>
      <c r="B2619" s="9" t="s">
        <v>33013</v>
      </c>
      <c r="C2619" s="9" t="s">
        <v>33014</v>
      </c>
      <c r="D2619" s="9" t="s">
        <v>33015</v>
      </c>
      <c r="E2619" s="9" t="s">
        <v>17740</v>
      </c>
      <c r="F2619" s="9" t="s">
        <v>17741</v>
      </c>
      <c r="G2619" s="9" t="s">
        <v>17740</v>
      </c>
      <c r="H2619" s="11" t="s">
        <v>33016</v>
      </c>
      <c r="I2619" s="11" t="s">
        <v>33017</v>
      </c>
      <c r="J2619" s="11" t="s">
        <v>33017</v>
      </c>
      <c r="K2619" s="9" t="s">
        <v>26009</v>
      </c>
      <c r="L2619" s="9" t="s">
        <v>17759</v>
      </c>
      <c r="M2619" s="9" t="s">
        <v>17942</v>
      </c>
      <c r="N2619" s="9" t="s">
        <v>17746</v>
      </c>
      <c r="O2619" s="9" t="s">
        <v>20701</v>
      </c>
      <c r="P2619" s="9" t="s">
        <v>17748</v>
      </c>
      <c r="Q2619" s="11" t="s">
        <v>17900</v>
      </c>
      <c r="R2619" s="11" t="s">
        <v>17900</v>
      </c>
      <c r="S2619" s="11" t="s">
        <v>17750</v>
      </c>
    </row>
    <row r="2620" spans="1:19" x14ac:dyDescent="0.2">
      <c r="A2620" s="11" t="s">
        <v>33018</v>
      </c>
      <c r="B2620" s="9" t="s">
        <v>33019</v>
      </c>
      <c r="C2620" s="9" t="s">
        <v>33020</v>
      </c>
      <c r="D2620" s="9" t="s">
        <v>33021</v>
      </c>
      <c r="E2620" s="9" t="s">
        <v>17740</v>
      </c>
      <c r="F2620" s="9" t="s">
        <v>17741</v>
      </c>
      <c r="G2620" s="9" t="s">
        <v>17740</v>
      </c>
      <c r="H2620" s="11" t="s">
        <v>6483</v>
      </c>
      <c r="I2620" s="11" t="s">
        <v>6482</v>
      </c>
      <c r="J2620" s="11" t="s">
        <v>6482</v>
      </c>
      <c r="K2620" s="9" t="s">
        <v>19447</v>
      </c>
      <c r="L2620" s="9" t="s">
        <v>17759</v>
      </c>
      <c r="M2620" s="9" t="s">
        <v>17760</v>
      </c>
      <c r="N2620" s="9" t="s">
        <v>17746</v>
      </c>
      <c r="O2620" s="9" t="s">
        <v>19954</v>
      </c>
      <c r="P2620" s="9" t="s">
        <v>17748</v>
      </c>
      <c r="Q2620" s="11" t="s">
        <v>17792</v>
      </c>
      <c r="R2620" s="11" t="s">
        <v>17792</v>
      </c>
      <c r="S2620" s="11" t="s">
        <v>17750</v>
      </c>
    </row>
    <row r="2621" spans="1:19" x14ac:dyDescent="0.2">
      <c r="A2621" s="11" t="s">
        <v>33022</v>
      </c>
      <c r="B2621" s="9" t="s">
        <v>33023</v>
      </c>
      <c r="C2621" s="9" t="s">
        <v>33024</v>
      </c>
      <c r="D2621" s="9" t="s">
        <v>33025</v>
      </c>
      <c r="E2621" s="9" t="s">
        <v>17748</v>
      </c>
      <c r="F2621" s="9" t="s">
        <v>33026</v>
      </c>
      <c r="G2621" s="9" t="s">
        <v>17740</v>
      </c>
      <c r="H2621" s="11" t="s">
        <v>33027</v>
      </c>
      <c r="I2621" s="11" t="s">
        <v>8372</v>
      </c>
      <c r="J2621" s="11" t="s">
        <v>8372</v>
      </c>
      <c r="K2621" s="9" t="s">
        <v>2341</v>
      </c>
      <c r="L2621" s="9" t="s">
        <v>17744</v>
      </c>
      <c r="M2621" s="9" t="s">
        <v>28372</v>
      </c>
      <c r="N2621" s="9" t="s">
        <v>17746</v>
      </c>
      <c r="O2621" s="9" t="s">
        <v>18746</v>
      </c>
      <c r="P2621" s="9" t="s">
        <v>17748</v>
      </c>
      <c r="Q2621" s="11" t="s">
        <v>17784</v>
      </c>
      <c r="R2621" s="11" t="s">
        <v>17784</v>
      </c>
      <c r="S2621" s="11" t="s">
        <v>17750</v>
      </c>
    </row>
    <row r="2622" spans="1:19" x14ac:dyDescent="0.2">
      <c r="A2622" s="11" t="s">
        <v>33028</v>
      </c>
      <c r="B2622" s="9" t="s">
        <v>33029</v>
      </c>
      <c r="C2622" s="9" t="s">
        <v>33030</v>
      </c>
      <c r="D2622" s="9" t="s">
        <v>33031</v>
      </c>
      <c r="E2622" s="9" t="s">
        <v>17740</v>
      </c>
      <c r="F2622" s="9" t="s">
        <v>17741</v>
      </c>
      <c r="G2622" s="9" t="s">
        <v>17740</v>
      </c>
      <c r="H2622" s="11" t="s">
        <v>4179</v>
      </c>
      <c r="I2622" s="11" t="s">
        <v>4178</v>
      </c>
      <c r="J2622" s="11" t="s">
        <v>4178</v>
      </c>
      <c r="K2622" s="9" t="s">
        <v>724</v>
      </c>
      <c r="L2622" s="9" t="s">
        <v>17744</v>
      </c>
      <c r="M2622" s="9" t="s">
        <v>17760</v>
      </c>
      <c r="N2622" s="9" t="s">
        <v>17746</v>
      </c>
      <c r="O2622" s="9" t="s">
        <v>28888</v>
      </c>
      <c r="P2622" s="9" t="s">
        <v>17748</v>
      </c>
      <c r="Q2622" s="11" t="s">
        <v>18960</v>
      </c>
      <c r="R2622" s="11" t="s">
        <v>18960</v>
      </c>
      <c r="S2622" s="11" t="s">
        <v>17750</v>
      </c>
    </row>
    <row r="2623" spans="1:19" x14ac:dyDescent="0.2">
      <c r="A2623" s="11" t="s">
        <v>33032</v>
      </c>
      <c r="B2623" s="9" t="s">
        <v>33033</v>
      </c>
      <c r="C2623" s="9" t="s">
        <v>33034</v>
      </c>
      <c r="D2623" s="9" t="s">
        <v>33035</v>
      </c>
      <c r="E2623" s="9" t="s">
        <v>17740</v>
      </c>
      <c r="F2623" s="9" t="s">
        <v>33036</v>
      </c>
      <c r="G2623" s="9" t="s">
        <v>17740</v>
      </c>
      <c r="H2623" s="11" t="s">
        <v>7302</v>
      </c>
      <c r="I2623" s="11" t="s">
        <v>7301</v>
      </c>
      <c r="J2623" s="11" t="s">
        <v>7301</v>
      </c>
      <c r="K2623" s="9" t="s">
        <v>19447</v>
      </c>
      <c r="L2623" s="9" t="s">
        <v>17759</v>
      </c>
      <c r="M2623" s="9" t="s">
        <v>17769</v>
      </c>
      <c r="N2623" s="9" t="s">
        <v>17746</v>
      </c>
      <c r="O2623" s="9" t="s">
        <v>4009</v>
      </c>
      <c r="P2623" s="9" t="s">
        <v>17748</v>
      </c>
      <c r="Q2623" s="11" t="s">
        <v>18272</v>
      </c>
      <c r="R2623" s="11" t="s">
        <v>18272</v>
      </c>
      <c r="S2623" s="11" t="s">
        <v>17750</v>
      </c>
    </row>
    <row r="2624" spans="1:19" x14ac:dyDescent="0.2">
      <c r="A2624" s="11" t="s">
        <v>33037</v>
      </c>
      <c r="B2624" s="9" t="s">
        <v>33038</v>
      </c>
      <c r="C2624" s="9" t="s">
        <v>33039</v>
      </c>
      <c r="D2624" s="9" t="s">
        <v>33040</v>
      </c>
      <c r="E2624" s="9" t="s">
        <v>17740</v>
      </c>
      <c r="F2624" s="9" t="s">
        <v>17741</v>
      </c>
      <c r="G2624" s="9" t="s">
        <v>17740</v>
      </c>
      <c r="H2624" s="11" t="s">
        <v>33041</v>
      </c>
      <c r="I2624" s="11" t="s">
        <v>7642</v>
      </c>
      <c r="J2624" s="11" t="s">
        <v>7642</v>
      </c>
      <c r="K2624" s="9" t="s">
        <v>33042</v>
      </c>
      <c r="L2624" s="9" t="s">
        <v>20359</v>
      </c>
      <c r="M2624" s="9" t="s">
        <v>17817</v>
      </c>
      <c r="N2624" s="9" t="s">
        <v>17746</v>
      </c>
      <c r="O2624" s="9" t="s">
        <v>15733</v>
      </c>
      <c r="P2624" s="9" t="s">
        <v>17748</v>
      </c>
      <c r="Q2624" s="11" t="s">
        <v>18272</v>
      </c>
      <c r="R2624" s="11" t="s">
        <v>18272</v>
      </c>
      <c r="S2624" s="11" t="s">
        <v>17750</v>
      </c>
    </row>
    <row r="2625" spans="1:19" x14ac:dyDescent="0.2">
      <c r="A2625" s="11" t="s">
        <v>33043</v>
      </c>
      <c r="B2625" s="9" t="s">
        <v>33044</v>
      </c>
      <c r="C2625" s="9" t="s">
        <v>33045</v>
      </c>
      <c r="D2625" s="9" t="s">
        <v>33046</v>
      </c>
      <c r="E2625" s="9" t="s">
        <v>17740</v>
      </c>
      <c r="F2625" s="9" t="s">
        <v>17741</v>
      </c>
      <c r="G2625" s="9" t="s">
        <v>17740</v>
      </c>
      <c r="H2625" s="11" t="s">
        <v>6455</v>
      </c>
      <c r="I2625" s="11" t="s">
        <v>6454</v>
      </c>
      <c r="J2625" s="11" t="s">
        <v>6454</v>
      </c>
      <c r="K2625" s="9" t="s">
        <v>27397</v>
      </c>
      <c r="L2625" s="9" t="s">
        <v>20082</v>
      </c>
      <c r="M2625" s="9" t="s">
        <v>18109</v>
      </c>
      <c r="N2625" s="9" t="s">
        <v>17746</v>
      </c>
      <c r="O2625" s="9" t="s">
        <v>4025</v>
      </c>
      <c r="P2625" s="9" t="s">
        <v>17748</v>
      </c>
      <c r="Q2625" s="11" t="s">
        <v>17808</v>
      </c>
      <c r="R2625" s="11" t="s">
        <v>17808</v>
      </c>
      <c r="S2625" s="11" t="s">
        <v>17750</v>
      </c>
    </row>
    <row r="2626" spans="1:19" x14ac:dyDescent="0.2">
      <c r="A2626" s="11" t="s">
        <v>33047</v>
      </c>
      <c r="B2626" s="9" t="s">
        <v>33048</v>
      </c>
      <c r="C2626" s="9" t="s">
        <v>33049</v>
      </c>
      <c r="D2626" s="9" t="s">
        <v>33050</v>
      </c>
      <c r="E2626" s="9" t="s">
        <v>17740</v>
      </c>
      <c r="F2626" s="9" t="s">
        <v>33051</v>
      </c>
      <c r="G2626" s="9" t="s">
        <v>17740</v>
      </c>
      <c r="H2626" s="11" t="s">
        <v>17741</v>
      </c>
      <c r="I2626" s="11" t="s">
        <v>33052</v>
      </c>
      <c r="J2626" s="11" t="s">
        <v>33052</v>
      </c>
      <c r="K2626" s="9" t="s">
        <v>33053</v>
      </c>
      <c r="L2626" s="9" t="s">
        <v>17759</v>
      </c>
      <c r="M2626" s="9" t="s">
        <v>18745</v>
      </c>
      <c r="N2626" s="9" t="s">
        <v>17746</v>
      </c>
      <c r="O2626" s="9" t="s">
        <v>18607</v>
      </c>
      <c r="P2626" s="9" t="s">
        <v>17748</v>
      </c>
      <c r="Q2626" s="11" t="s">
        <v>18356</v>
      </c>
      <c r="R2626" s="11" t="s">
        <v>18356</v>
      </c>
      <c r="S2626" s="11" t="s">
        <v>17750</v>
      </c>
    </row>
    <row r="2627" spans="1:19" x14ac:dyDescent="0.2">
      <c r="A2627" s="11" t="s">
        <v>33054</v>
      </c>
      <c r="B2627" s="9" t="s">
        <v>33055</v>
      </c>
      <c r="C2627" s="9" t="s">
        <v>33056</v>
      </c>
      <c r="D2627" s="9" t="s">
        <v>33057</v>
      </c>
      <c r="E2627" s="9" t="s">
        <v>17740</v>
      </c>
      <c r="F2627" s="9" t="s">
        <v>33058</v>
      </c>
      <c r="G2627" s="9" t="s">
        <v>17740</v>
      </c>
      <c r="H2627" s="11" t="s">
        <v>5734</v>
      </c>
      <c r="I2627" s="11" t="s">
        <v>5733</v>
      </c>
      <c r="J2627" s="11" t="s">
        <v>5733</v>
      </c>
      <c r="K2627" s="9" t="s">
        <v>91</v>
      </c>
      <c r="L2627" s="9" t="s">
        <v>18001</v>
      </c>
      <c r="M2627" s="9" t="s">
        <v>19965</v>
      </c>
      <c r="N2627" s="9" t="s">
        <v>17746</v>
      </c>
      <c r="O2627" s="9" t="s">
        <v>33059</v>
      </c>
      <c r="P2627" s="9" t="s">
        <v>17748</v>
      </c>
      <c r="Q2627" s="11" t="s">
        <v>17819</v>
      </c>
      <c r="R2627" s="11" t="s">
        <v>17819</v>
      </c>
      <c r="S2627" s="11" t="s">
        <v>17750</v>
      </c>
    </row>
    <row r="2628" spans="1:19" x14ac:dyDescent="0.2">
      <c r="A2628" s="11" t="s">
        <v>33060</v>
      </c>
      <c r="B2628" s="9" t="s">
        <v>33061</v>
      </c>
      <c r="C2628" s="9" t="s">
        <v>33062</v>
      </c>
      <c r="D2628" s="9" t="s">
        <v>33063</v>
      </c>
      <c r="E2628" s="9" t="s">
        <v>17748</v>
      </c>
      <c r="F2628" s="9" t="s">
        <v>33064</v>
      </c>
      <c r="G2628" s="9" t="s">
        <v>17740</v>
      </c>
      <c r="H2628" s="11" t="s">
        <v>33065</v>
      </c>
      <c r="I2628" s="11" t="s">
        <v>33066</v>
      </c>
      <c r="J2628" s="11" t="s">
        <v>33066</v>
      </c>
      <c r="K2628" s="9" t="s">
        <v>33067</v>
      </c>
      <c r="L2628" s="9" t="s">
        <v>17967</v>
      </c>
      <c r="M2628" s="9" t="s">
        <v>17760</v>
      </c>
      <c r="N2628" s="9" t="s">
        <v>17746</v>
      </c>
      <c r="O2628" s="9" t="s">
        <v>20352</v>
      </c>
      <c r="P2628" s="9" t="s">
        <v>17748</v>
      </c>
      <c r="Q2628" s="11" t="s">
        <v>18356</v>
      </c>
      <c r="R2628" s="11" t="s">
        <v>18356</v>
      </c>
      <c r="S2628" s="11" t="s">
        <v>17750</v>
      </c>
    </row>
    <row r="2629" spans="1:19" x14ac:dyDescent="0.2">
      <c r="A2629" s="11" t="s">
        <v>33068</v>
      </c>
      <c r="B2629" s="9" t="s">
        <v>33069</v>
      </c>
      <c r="C2629" s="9" t="s">
        <v>33070</v>
      </c>
      <c r="D2629" s="9" t="s">
        <v>33071</v>
      </c>
      <c r="E2629" s="9" t="s">
        <v>17748</v>
      </c>
      <c r="F2629" s="9" t="s">
        <v>33072</v>
      </c>
      <c r="G2629" s="9" t="s">
        <v>17740</v>
      </c>
      <c r="H2629" s="11" t="s">
        <v>33073</v>
      </c>
      <c r="I2629" s="11" t="s">
        <v>33074</v>
      </c>
      <c r="J2629" s="11" t="s">
        <v>33074</v>
      </c>
      <c r="K2629" s="9" t="s">
        <v>33075</v>
      </c>
      <c r="L2629" s="9" t="s">
        <v>18439</v>
      </c>
      <c r="M2629" s="9" t="s">
        <v>17760</v>
      </c>
      <c r="N2629" s="9" t="s">
        <v>17746</v>
      </c>
      <c r="O2629" s="9" t="s">
        <v>18746</v>
      </c>
      <c r="P2629" s="9" t="s">
        <v>17748</v>
      </c>
      <c r="Q2629" s="11" t="s">
        <v>18798</v>
      </c>
      <c r="R2629" s="11" t="s">
        <v>18798</v>
      </c>
      <c r="S2629" s="11" t="s">
        <v>17750</v>
      </c>
    </row>
    <row r="2630" spans="1:19" x14ac:dyDescent="0.2">
      <c r="A2630" s="11" t="s">
        <v>33076</v>
      </c>
      <c r="B2630" s="9" t="s">
        <v>33077</v>
      </c>
      <c r="C2630" s="9" t="s">
        <v>33078</v>
      </c>
      <c r="D2630" s="9" t="s">
        <v>33079</v>
      </c>
      <c r="E2630" s="9" t="s">
        <v>17740</v>
      </c>
      <c r="F2630" s="9" t="s">
        <v>17741</v>
      </c>
      <c r="G2630" s="9" t="s">
        <v>17740</v>
      </c>
      <c r="H2630" s="11" t="s">
        <v>17741</v>
      </c>
      <c r="I2630" s="11" t="s">
        <v>7167</v>
      </c>
      <c r="J2630" s="11" t="s">
        <v>7167</v>
      </c>
      <c r="K2630" s="9" t="s">
        <v>33080</v>
      </c>
      <c r="L2630" s="9" t="s">
        <v>17744</v>
      </c>
      <c r="M2630" s="9" t="s">
        <v>33081</v>
      </c>
      <c r="N2630" s="9" t="s">
        <v>17746</v>
      </c>
      <c r="O2630" s="9" t="s">
        <v>18481</v>
      </c>
      <c r="P2630" s="9" t="s">
        <v>17748</v>
      </c>
      <c r="Q2630" s="11" t="s">
        <v>17808</v>
      </c>
      <c r="R2630" s="11" t="s">
        <v>17808</v>
      </c>
      <c r="S2630" s="11" t="s">
        <v>17750</v>
      </c>
    </row>
    <row r="2631" spans="1:19" x14ac:dyDescent="0.2">
      <c r="A2631" s="11" t="s">
        <v>33082</v>
      </c>
      <c r="B2631" s="9" t="s">
        <v>33083</v>
      </c>
      <c r="C2631" s="9" t="s">
        <v>33084</v>
      </c>
      <c r="D2631" s="9" t="s">
        <v>33085</v>
      </c>
      <c r="E2631" s="9" t="s">
        <v>17740</v>
      </c>
      <c r="F2631" s="9" t="s">
        <v>33086</v>
      </c>
      <c r="G2631" s="9" t="s">
        <v>17740</v>
      </c>
      <c r="H2631" s="11" t="s">
        <v>33087</v>
      </c>
      <c r="I2631" s="11" t="s">
        <v>33088</v>
      </c>
      <c r="J2631" s="11" t="s">
        <v>33088</v>
      </c>
      <c r="K2631" s="9" t="s">
        <v>25848</v>
      </c>
      <c r="L2631" s="9" t="s">
        <v>17744</v>
      </c>
      <c r="M2631" s="9" t="s">
        <v>27387</v>
      </c>
      <c r="N2631" s="9" t="s">
        <v>17746</v>
      </c>
      <c r="O2631" s="9" t="s">
        <v>17800</v>
      </c>
      <c r="P2631" s="9" t="s">
        <v>17748</v>
      </c>
      <c r="Q2631" s="11" t="s">
        <v>17969</v>
      </c>
      <c r="R2631" s="11" t="s">
        <v>17969</v>
      </c>
      <c r="S2631" s="11" t="s">
        <v>17750</v>
      </c>
    </row>
    <row r="2632" spans="1:19" x14ac:dyDescent="0.2">
      <c r="A2632" s="11" t="s">
        <v>33089</v>
      </c>
      <c r="B2632" s="9" t="s">
        <v>33090</v>
      </c>
      <c r="C2632" s="9" t="s">
        <v>33091</v>
      </c>
      <c r="D2632" s="9" t="s">
        <v>33092</v>
      </c>
      <c r="E2632" s="9" t="s">
        <v>17740</v>
      </c>
      <c r="F2632" s="9" t="s">
        <v>17741</v>
      </c>
      <c r="G2632" s="9" t="s">
        <v>17740</v>
      </c>
      <c r="H2632" s="11" t="s">
        <v>2059</v>
      </c>
      <c r="I2632" s="11" t="s">
        <v>2058</v>
      </c>
      <c r="J2632" s="11" t="s">
        <v>2058</v>
      </c>
      <c r="K2632" s="9" t="s">
        <v>27520</v>
      </c>
      <c r="L2632" s="9" t="s">
        <v>18001</v>
      </c>
      <c r="M2632" s="9" t="s">
        <v>18065</v>
      </c>
      <c r="N2632" s="9" t="s">
        <v>17746</v>
      </c>
      <c r="O2632" s="9" t="s">
        <v>3255</v>
      </c>
      <c r="P2632" s="9" t="s">
        <v>17748</v>
      </c>
      <c r="Q2632" s="11" t="s">
        <v>19335</v>
      </c>
      <c r="R2632" s="11" t="s">
        <v>19335</v>
      </c>
      <c r="S2632" s="11" t="s">
        <v>17750</v>
      </c>
    </row>
    <row r="2633" spans="1:19" x14ac:dyDescent="0.2">
      <c r="A2633" s="11" t="s">
        <v>33093</v>
      </c>
      <c r="B2633" s="9" t="s">
        <v>33094</v>
      </c>
      <c r="C2633" s="9" t="s">
        <v>33095</v>
      </c>
      <c r="D2633" s="9" t="s">
        <v>33096</v>
      </c>
      <c r="E2633" s="9" t="s">
        <v>17740</v>
      </c>
      <c r="F2633" s="9" t="s">
        <v>17741</v>
      </c>
      <c r="G2633" s="9" t="s">
        <v>17740</v>
      </c>
      <c r="H2633" s="11" t="s">
        <v>2076</v>
      </c>
      <c r="I2633" s="11" t="s">
        <v>2075</v>
      </c>
      <c r="J2633" s="11" t="s">
        <v>2075</v>
      </c>
      <c r="K2633" s="9" t="s">
        <v>17758</v>
      </c>
      <c r="L2633" s="9" t="s">
        <v>17759</v>
      </c>
      <c r="M2633" s="9" t="s">
        <v>17760</v>
      </c>
      <c r="N2633" s="9" t="s">
        <v>17746</v>
      </c>
      <c r="O2633" s="9" t="s">
        <v>3255</v>
      </c>
      <c r="P2633" s="9" t="s">
        <v>17748</v>
      </c>
      <c r="Q2633" s="11" t="s">
        <v>18306</v>
      </c>
      <c r="R2633" s="11" t="s">
        <v>18306</v>
      </c>
      <c r="S2633" s="11" t="s">
        <v>17750</v>
      </c>
    </row>
    <row r="2634" spans="1:19" x14ac:dyDescent="0.2">
      <c r="A2634" s="11" t="s">
        <v>33097</v>
      </c>
      <c r="B2634" s="9" t="s">
        <v>33098</v>
      </c>
      <c r="C2634" s="9" t="s">
        <v>33099</v>
      </c>
      <c r="D2634" s="9" t="s">
        <v>33100</v>
      </c>
      <c r="E2634" s="9" t="s">
        <v>17740</v>
      </c>
      <c r="F2634" s="9" t="s">
        <v>33101</v>
      </c>
      <c r="G2634" s="9" t="s">
        <v>17740</v>
      </c>
      <c r="H2634" s="11" t="s">
        <v>33102</v>
      </c>
      <c r="I2634" s="11" t="s">
        <v>33103</v>
      </c>
      <c r="J2634" s="11" t="s">
        <v>33104</v>
      </c>
      <c r="K2634" s="9" t="s">
        <v>20386</v>
      </c>
      <c r="L2634" s="9" t="s">
        <v>20359</v>
      </c>
      <c r="M2634" s="9" t="s">
        <v>17760</v>
      </c>
      <c r="N2634" s="9" t="s">
        <v>18042</v>
      </c>
      <c r="O2634" s="9" t="s">
        <v>27055</v>
      </c>
      <c r="P2634" s="9" t="s">
        <v>17748</v>
      </c>
      <c r="Q2634" s="11" t="s">
        <v>17858</v>
      </c>
      <c r="R2634" s="11" t="s">
        <v>17858</v>
      </c>
      <c r="S2634" s="11" t="s">
        <v>17750</v>
      </c>
    </row>
    <row r="2635" spans="1:19" x14ac:dyDescent="0.2">
      <c r="A2635" s="11" t="s">
        <v>33105</v>
      </c>
      <c r="B2635" s="9" t="s">
        <v>33106</v>
      </c>
      <c r="C2635" s="9" t="s">
        <v>33107</v>
      </c>
      <c r="D2635" s="9" t="s">
        <v>33108</v>
      </c>
      <c r="E2635" s="9" t="s">
        <v>17740</v>
      </c>
      <c r="F2635" s="9" t="s">
        <v>17741</v>
      </c>
      <c r="G2635" s="9" t="s">
        <v>17740</v>
      </c>
      <c r="H2635" s="11" t="s">
        <v>2079</v>
      </c>
      <c r="I2635" s="11" t="s">
        <v>2078</v>
      </c>
      <c r="J2635" s="11" t="s">
        <v>2078</v>
      </c>
      <c r="K2635" s="9" t="s">
        <v>167</v>
      </c>
      <c r="L2635" s="9" t="s">
        <v>18158</v>
      </c>
      <c r="M2635" s="9" t="s">
        <v>18233</v>
      </c>
      <c r="N2635" s="9" t="s">
        <v>17746</v>
      </c>
      <c r="O2635" s="9" t="s">
        <v>3276</v>
      </c>
      <c r="P2635" s="9" t="s">
        <v>17748</v>
      </c>
      <c r="Q2635" s="11" t="s">
        <v>18600</v>
      </c>
      <c r="R2635" s="11" t="s">
        <v>18600</v>
      </c>
      <c r="S2635" s="11" t="s">
        <v>17750</v>
      </c>
    </row>
    <row r="2636" spans="1:19" x14ac:dyDescent="0.2">
      <c r="A2636" s="11" t="s">
        <v>33109</v>
      </c>
      <c r="B2636" s="9" t="s">
        <v>33110</v>
      </c>
      <c r="C2636" s="9" t="s">
        <v>33111</v>
      </c>
      <c r="D2636" s="9" t="s">
        <v>33112</v>
      </c>
      <c r="E2636" s="9" t="s">
        <v>17748</v>
      </c>
      <c r="F2636" s="9" t="s">
        <v>33113</v>
      </c>
      <c r="G2636" s="9" t="s">
        <v>17740</v>
      </c>
      <c r="H2636" s="11" t="s">
        <v>33114</v>
      </c>
      <c r="I2636" s="11" t="s">
        <v>33115</v>
      </c>
      <c r="J2636" s="11" t="s">
        <v>33115</v>
      </c>
      <c r="K2636" s="9" t="s">
        <v>33116</v>
      </c>
      <c r="L2636" s="9" t="s">
        <v>17759</v>
      </c>
      <c r="M2636" s="9" t="s">
        <v>17760</v>
      </c>
      <c r="N2636" s="9" t="s">
        <v>17746</v>
      </c>
      <c r="O2636" s="9" t="s">
        <v>28528</v>
      </c>
      <c r="P2636" s="9" t="s">
        <v>17748</v>
      </c>
      <c r="Q2636" s="11" t="s">
        <v>17825</v>
      </c>
      <c r="R2636" s="11" t="s">
        <v>17825</v>
      </c>
      <c r="S2636" s="11" t="s">
        <v>17750</v>
      </c>
    </row>
    <row r="2637" spans="1:19" x14ac:dyDescent="0.2">
      <c r="A2637" s="11" t="s">
        <v>33117</v>
      </c>
      <c r="B2637" s="9" t="s">
        <v>33118</v>
      </c>
      <c r="C2637" s="9" t="s">
        <v>33119</v>
      </c>
      <c r="D2637" s="9" t="s">
        <v>33120</v>
      </c>
      <c r="E2637" s="9" t="s">
        <v>17740</v>
      </c>
      <c r="F2637" s="9" t="s">
        <v>17741</v>
      </c>
      <c r="G2637" s="9" t="s">
        <v>17740</v>
      </c>
      <c r="H2637" s="11" t="s">
        <v>5593</v>
      </c>
      <c r="I2637" s="11" t="s">
        <v>5592</v>
      </c>
      <c r="J2637" s="11" t="s">
        <v>5592</v>
      </c>
      <c r="K2637" s="9" t="s">
        <v>724</v>
      </c>
      <c r="L2637" s="9" t="s">
        <v>17744</v>
      </c>
      <c r="M2637" s="9" t="s">
        <v>33121</v>
      </c>
      <c r="N2637" s="9" t="s">
        <v>17746</v>
      </c>
      <c r="O2637" s="9" t="s">
        <v>19594</v>
      </c>
      <c r="P2637" s="9" t="s">
        <v>17748</v>
      </c>
      <c r="Q2637" s="11" t="s">
        <v>17819</v>
      </c>
      <c r="R2637" s="11" t="s">
        <v>17819</v>
      </c>
      <c r="S2637" s="11" t="s">
        <v>17750</v>
      </c>
    </row>
    <row r="2638" spans="1:19" x14ac:dyDescent="0.2">
      <c r="A2638" s="11" t="s">
        <v>33122</v>
      </c>
      <c r="B2638" s="9" t="s">
        <v>33123</v>
      </c>
      <c r="C2638" s="9" t="s">
        <v>33124</v>
      </c>
      <c r="D2638" s="9" t="s">
        <v>33125</v>
      </c>
      <c r="E2638" s="9" t="s">
        <v>17740</v>
      </c>
      <c r="F2638" s="9" t="s">
        <v>17741</v>
      </c>
      <c r="G2638" s="9" t="s">
        <v>17740</v>
      </c>
      <c r="H2638" s="11" t="s">
        <v>33126</v>
      </c>
      <c r="I2638" s="11" t="s">
        <v>33127</v>
      </c>
      <c r="J2638" s="11" t="s">
        <v>33127</v>
      </c>
      <c r="K2638" s="9" t="s">
        <v>33128</v>
      </c>
      <c r="L2638" s="9" t="s">
        <v>17759</v>
      </c>
      <c r="M2638" s="9" t="s">
        <v>17760</v>
      </c>
      <c r="N2638" s="9" t="s">
        <v>17746</v>
      </c>
      <c r="O2638" s="9" t="s">
        <v>19715</v>
      </c>
      <c r="P2638" s="9" t="s">
        <v>17748</v>
      </c>
      <c r="Q2638" s="11" t="s">
        <v>18433</v>
      </c>
      <c r="R2638" s="11" t="s">
        <v>18433</v>
      </c>
      <c r="S2638" s="11" t="s">
        <v>17750</v>
      </c>
    </row>
    <row r="2639" spans="1:19" x14ac:dyDescent="0.2">
      <c r="A2639" s="11" t="s">
        <v>33129</v>
      </c>
      <c r="B2639" s="9" t="s">
        <v>33130</v>
      </c>
      <c r="C2639" s="9" t="s">
        <v>33131</v>
      </c>
      <c r="D2639" s="9" t="s">
        <v>33132</v>
      </c>
      <c r="E2639" s="9" t="s">
        <v>17748</v>
      </c>
      <c r="F2639" s="9" t="s">
        <v>33133</v>
      </c>
      <c r="G2639" s="9" t="s">
        <v>17740</v>
      </c>
      <c r="H2639" s="11" t="s">
        <v>17741</v>
      </c>
      <c r="I2639" s="11" t="s">
        <v>12839</v>
      </c>
      <c r="J2639" s="11" t="s">
        <v>17741</v>
      </c>
      <c r="K2639" s="9" t="s">
        <v>91</v>
      </c>
      <c r="L2639" s="9" t="s">
        <v>18001</v>
      </c>
      <c r="M2639" s="9" t="s">
        <v>17741</v>
      </c>
      <c r="N2639" s="9" t="s">
        <v>17746</v>
      </c>
      <c r="O2639" s="9" t="s">
        <v>19917</v>
      </c>
      <c r="P2639" s="9" t="s">
        <v>17748</v>
      </c>
      <c r="Q2639" s="11" t="s">
        <v>18370</v>
      </c>
      <c r="R2639" s="11" t="s">
        <v>18370</v>
      </c>
      <c r="S2639" s="11" t="s">
        <v>17750</v>
      </c>
    </row>
    <row r="2640" spans="1:19" x14ac:dyDescent="0.2">
      <c r="A2640" s="11" t="s">
        <v>33134</v>
      </c>
      <c r="B2640" s="9" t="s">
        <v>33135</v>
      </c>
      <c r="C2640" s="9" t="s">
        <v>33136</v>
      </c>
      <c r="D2640" s="9" t="s">
        <v>33137</v>
      </c>
      <c r="E2640" s="9" t="s">
        <v>17740</v>
      </c>
      <c r="F2640" s="9" t="s">
        <v>17741</v>
      </c>
      <c r="G2640" s="9" t="s">
        <v>17740</v>
      </c>
      <c r="H2640" s="11" t="s">
        <v>17741</v>
      </c>
      <c r="I2640" s="11" t="s">
        <v>2088</v>
      </c>
      <c r="J2640" s="11" t="s">
        <v>2088</v>
      </c>
      <c r="K2640" s="9" t="s">
        <v>601</v>
      </c>
      <c r="L2640" s="9" t="s">
        <v>17759</v>
      </c>
      <c r="M2640" s="9" t="s">
        <v>18745</v>
      </c>
      <c r="N2640" s="9" t="s">
        <v>17746</v>
      </c>
      <c r="O2640" s="9" t="s">
        <v>18281</v>
      </c>
      <c r="P2640" s="9" t="s">
        <v>17748</v>
      </c>
      <c r="Q2640" s="11" t="s">
        <v>17943</v>
      </c>
      <c r="R2640" s="11" t="s">
        <v>17943</v>
      </c>
      <c r="S2640" s="11" t="s">
        <v>17750</v>
      </c>
    </row>
    <row r="2641" spans="1:19" x14ac:dyDescent="0.2">
      <c r="A2641" s="11" t="s">
        <v>33138</v>
      </c>
      <c r="B2641" s="9" t="s">
        <v>33139</v>
      </c>
      <c r="C2641" s="9" t="s">
        <v>33140</v>
      </c>
      <c r="D2641" s="9" t="s">
        <v>33141</v>
      </c>
      <c r="E2641" s="9" t="s">
        <v>17740</v>
      </c>
      <c r="F2641" s="9" t="s">
        <v>17741</v>
      </c>
      <c r="G2641" s="9" t="s">
        <v>17740</v>
      </c>
      <c r="H2641" s="11" t="s">
        <v>5411</v>
      </c>
      <c r="I2641" s="11" t="s">
        <v>5410</v>
      </c>
      <c r="J2641" s="11" t="s">
        <v>5410</v>
      </c>
      <c r="K2641" s="9" t="s">
        <v>291</v>
      </c>
      <c r="L2641" s="9" t="s">
        <v>17744</v>
      </c>
      <c r="M2641" s="9" t="s">
        <v>17760</v>
      </c>
      <c r="N2641" s="9" t="s">
        <v>17746</v>
      </c>
      <c r="O2641" s="9" t="s">
        <v>17834</v>
      </c>
      <c r="P2641" s="9" t="s">
        <v>17748</v>
      </c>
      <c r="Q2641" s="11" t="s">
        <v>17819</v>
      </c>
      <c r="R2641" s="11" t="s">
        <v>17819</v>
      </c>
      <c r="S2641" s="11" t="s">
        <v>17750</v>
      </c>
    </row>
    <row r="2642" spans="1:19" x14ac:dyDescent="0.2">
      <c r="A2642" s="11" t="s">
        <v>33142</v>
      </c>
      <c r="B2642" s="9" t="s">
        <v>33143</v>
      </c>
      <c r="C2642" s="9" t="s">
        <v>33144</v>
      </c>
      <c r="D2642" s="9" t="s">
        <v>33145</v>
      </c>
      <c r="E2642" s="9" t="s">
        <v>17740</v>
      </c>
      <c r="F2642" s="9" t="s">
        <v>17741</v>
      </c>
      <c r="G2642" s="9" t="s">
        <v>17740</v>
      </c>
      <c r="H2642" s="11" t="s">
        <v>4384</v>
      </c>
      <c r="I2642" s="11" t="s">
        <v>4383</v>
      </c>
      <c r="J2642" s="11" t="s">
        <v>4383</v>
      </c>
      <c r="K2642" s="9" t="s">
        <v>291</v>
      </c>
      <c r="L2642" s="9" t="s">
        <v>17744</v>
      </c>
      <c r="M2642" s="9" t="s">
        <v>30971</v>
      </c>
      <c r="N2642" s="9" t="s">
        <v>17746</v>
      </c>
      <c r="O2642" s="9" t="s">
        <v>18882</v>
      </c>
      <c r="P2642" s="9" t="s">
        <v>17748</v>
      </c>
      <c r="Q2642" s="11" t="s">
        <v>18059</v>
      </c>
      <c r="R2642" s="11" t="s">
        <v>18059</v>
      </c>
      <c r="S2642" s="11" t="s">
        <v>17750</v>
      </c>
    </row>
    <row r="2643" spans="1:19" x14ac:dyDescent="0.2">
      <c r="A2643" s="11" t="s">
        <v>33146</v>
      </c>
      <c r="B2643" s="9" t="s">
        <v>33147</v>
      </c>
      <c r="C2643" s="9" t="s">
        <v>33148</v>
      </c>
      <c r="D2643" s="9" t="s">
        <v>33149</v>
      </c>
      <c r="E2643" s="9" t="s">
        <v>17740</v>
      </c>
      <c r="F2643" s="9" t="s">
        <v>33150</v>
      </c>
      <c r="G2643" s="9" t="s">
        <v>17740</v>
      </c>
      <c r="H2643" s="11" t="s">
        <v>17741</v>
      </c>
      <c r="I2643" s="11" t="s">
        <v>33151</v>
      </c>
      <c r="J2643" s="11" t="s">
        <v>33151</v>
      </c>
      <c r="K2643" s="9" t="s">
        <v>2964</v>
      </c>
      <c r="L2643" s="9" t="s">
        <v>17991</v>
      </c>
      <c r="M2643" s="9" t="s">
        <v>28327</v>
      </c>
      <c r="N2643" s="9" t="s">
        <v>17746</v>
      </c>
      <c r="O2643" s="9" t="s">
        <v>18035</v>
      </c>
      <c r="P2643" s="9" t="s">
        <v>17748</v>
      </c>
      <c r="Q2643" s="11" t="s">
        <v>20251</v>
      </c>
      <c r="R2643" s="11" t="s">
        <v>20251</v>
      </c>
      <c r="S2643" s="11" t="s">
        <v>17750</v>
      </c>
    </row>
    <row r="2644" spans="1:19" x14ac:dyDescent="0.2">
      <c r="A2644" s="11" t="s">
        <v>33152</v>
      </c>
      <c r="B2644" s="9" t="s">
        <v>33153</v>
      </c>
      <c r="C2644" s="9" t="s">
        <v>33154</v>
      </c>
      <c r="D2644" s="9" t="s">
        <v>33155</v>
      </c>
      <c r="E2644" s="9" t="s">
        <v>17740</v>
      </c>
      <c r="F2644" s="9" t="s">
        <v>17741</v>
      </c>
      <c r="G2644" s="9" t="s">
        <v>17740</v>
      </c>
      <c r="H2644" s="11" t="s">
        <v>17741</v>
      </c>
      <c r="I2644" s="11" t="s">
        <v>7827</v>
      </c>
      <c r="J2644" s="11" t="s">
        <v>7827</v>
      </c>
      <c r="K2644" s="9" t="s">
        <v>33156</v>
      </c>
      <c r="L2644" s="9" t="s">
        <v>17759</v>
      </c>
      <c r="M2644" s="9" t="s">
        <v>18051</v>
      </c>
      <c r="N2644" s="9" t="s">
        <v>17746</v>
      </c>
      <c r="O2644" s="9" t="s">
        <v>19406</v>
      </c>
      <c r="P2644" s="9" t="s">
        <v>17748</v>
      </c>
      <c r="Q2644" s="11" t="s">
        <v>19361</v>
      </c>
      <c r="R2644" s="11" t="s">
        <v>19361</v>
      </c>
      <c r="S2644" s="11" t="s">
        <v>17750</v>
      </c>
    </row>
    <row r="2645" spans="1:19" x14ac:dyDescent="0.2">
      <c r="A2645" s="11" t="s">
        <v>33157</v>
      </c>
      <c r="B2645" s="9" t="s">
        <v>33158</v>
      </c>
      <c r="C2645" s="9" t="s">
        <v>33159</v>
      </c>
      <c r="D2645" s="9" t="s">
        <v>33160</v>
      </c>
      <c r="E2645" s="9" t="s">
        <v>17748</v>
      </c>
      <c r="F2645" s="9" t="s">
        <v>33161</v>
      </c>
      <c r="G2645" s="9" t="s">
        <v>17740</v>
      </c>
      <c r="H2645" s="11" t="s">
        <v>6665</v>
      </c>
      <c r="I2645" s="11" t="s">
        <v>6664</v>
      </c>
      <c r="J2645" s="11" t="s">
        <v>6664</v>
      </c>
      <c r="K2645" s="9" t="s">
        <v>17783</v>
      </c>
      <c r="L2645" s="9" t="s">
        <v>17744</v>
      </c>
      <c r="M2645" s="9" t="s">
        <v>17817</v>
      </c>
      <c r="N2645" s="9" t="s">
        <v>17746</v>
      </c>
      <c r="O2645" s="9" t="s">
        <v>33162</v>
      </c>
      <c r="P2645" s="9" t="s">
        <v>17748</v>
      </c>
      <c r="Q2645" s="11" t="s">
        <v>17900</v>
      </c>
      <c r="R2645" s="11" t="s">
        <v>17900</v>
      </c>
      <c r="S2645" s="11" t="s">
        <v>17750</v>
      </c>
    </row>
    <row r="2646" spans="1:19" x14ac:dyDescent="0.2">
      <c r="A2646" s="11" t="s">
        <v>33163</v>
      </c>
      <c r="B2646" s="9" t="s">
        <v>33164</v>
      </c>
      <c r="C2646" s="9" t="s">
        <v>33165</v>
      </c>
      <c r="D2646" s="9" t="s">
        <v>33166</v>
      </c>
      <c r="E2646" s="9" t="s">
        <v>17740</v>
      </c>
      <c r="F2646" s="9" t="s">
        <v>33167</v>
      </c>
      <c r="G2646" s="9" t="s">
        <v>17740</v>
      </c>
      <c r="H2646" s="11" t="s">
        <v>2094</v>
      </c>
      <c r="I2646" s="11" t="s">
        <v>2093</v>
      </c>
      <c r="J2646" s="11" t="s">
        <v>2093</v>
      </c>
      <c r="K2646" s="9" t="s">
        <v>17783</v>
      </c>
      <c r="L2646" s="9" t="s">
        <v>18001</v>
      </c>
      <c r="M2646" s="9" t="s">
        <v>33168</v>
      </c>
      <c r="N2646" s="9" t="s">
        <v>17746</v>
      </c>
      <c r="O2646" s="9" t="s">
        <v>33169</v>
      </c>
      <c r="P2646" s="9" t="s">
        <v>17748</v>
      </c>
      <c r="Q2646" s="11" t="s">
        <v>18282</v>
      </c>
      <c r="R2646" s="11" t="s">
        <v>18282</v>
      </c>
      <c r="S2646" s="11" t="s">
        <v>17750</v>
      </c>
    </row>
    <row r="2647" spans="1:19" x14ac:dyDescent="0.2">
      <c r="A2647" s="11" t="s">
        <v>33170</v>
      </c>
      <c r="B2647" s="9" t="s">
        <v>33171</v>
      </c>
      <c r="C2647" s="9" t="s">
        <v>33172</v>
      </c>
      <c r="D2647" s="9" t="s">
        <v>33173</v>
      </c>
      <c r="E2647" s="9" t="s">
        <v>17740</v>
      </c>
      <c r="F2647" s="9" t="s">
        <v>17741</v>
      </c>
      <c r="G2647" s="9" t="s">
        <v>17740</v>
      </c>
      <c r="H2647" s="11" t="s">
        <v>10384</v>
      </c>
      <c r="I2647" s="11" t="s">
        <v>10383</v>
      </c>
      <c r="J2647" s="11" t="s">
        <v>10383</v>
      </c>
      <c r="K2647" s="9" t="s">
        <v>20225</v>
      </c>
      <c r="L2647" s="9" t="s">
        <v>17744</v>
      </c>
      <c r="M2647" s="9" t="s">
        <v>17760</v>
      </c>
      <c r="N2647" s="9" t="s">
        <v>17746</v>
      </c>
      <c r="O2647" s="9" t="s">
        <v>17866</v>
      </c>
      <c r="P2647" s="9" t="s">
        <v>17748</v>
      </c>
      <c r="Q2647" s="11" t="s">
        <v>17780</v>
      </c>
      <c r="R2647" s="11" t="s">
        <v>17780</v>
      </c>
      <c r="S2647" s="11" t="s">
        <v>17750</v>
      </c>
    </row>
    <row r="2648" spans="1:19" x14ac:dyDescent="0.2">
      <c r="A2648" s="11" t="s">
        <v>33174</v>
      </c>
      <c r="B2648" s="9" t="s">
        <v>33175</v>
      </c>
      <c r="C2648" s="9" t="s">
        <v>33176</v>
      </c>
      <c r="D2648" s="9" t="s">
        <v>33177</v>
      </c>
      <c r="E2648" s="9" t="s">
        <v>17740</v>
      </c>
      <c r="F2648" s="9" t="s">
        <v>33178</v>
      </c>
      <c r="G2648" s="9" t="s">
        <v>17740</v>
      </c>
      <c r="H2648" s="11" t="s">
        <v>2067</v>
      </c>
      <c r="I2648" s="11" t="s">
        <v>2066</v>
      </c>
      <c r="J2648" s="11" t="s">
        <v>2066</v>
      </c>
      <c r="K2648" s="9" t="s">
        <v>18727</v>
      </c>
      <c r="L2648" s="9" t="s">
        <v>18158</v>
      </c>
      <c r="M2648" s="9" t="s">
        <v>17817</v>
      </c>
      <c r="N2648" s="9" t="s">
        <v>18185</v>
      </c>
      <c r="O2648" s="9" t="s">
        <v>5938</v>
      </c>
      <c r="P2648" s="9" t="s">
        <v>17748</v>
      </c>
      <c r="Q2648" s="11" t="s">
        <v>18556</v>
      </c>
      <c r="R2648" s="11" t="s">
        <v>18556</v>
      </c>
      <c r="S2648" s="11" t="s">
        <v>17750</v>
      </c>
    </row>
    <row r="2649" spans="1:19" x14ac:dyDescent="0.2">
      <c r="A2649" s="11" t="s">
        <v>33179</v>
      </c>
      <c r="B2649" s="9" t="s">
        <v>33180</v>
      </c>
      <c r="C2649" s="9" t="s">
        <v>33181</v>
      </c>
      <c r="D2649" s="9" t="s">
        <v>33182</v>
      </c>
      <c r="E2649" s="9" t="s">
        <v>17740</v>
      </c>
      <c r="F2649" s="9" t="s">
        <v>17741</v>
      </c>
      <c r="G2649" s="9" t="s">
        <v>17740</v>
      </c>
      <c r="H2649" s="11" t="s">
        <v>17741</v>
      </c>
      <c r="I2649" s="11" t="s">
        <v>7021</v>
      </c>
      <c r="J2649" s="11" t="s">
        <v>7021</v>
      </c>
      <c r="K2649" s="9" t="s">
        <v>33183</v>
      </c>
      <c r="L2649" s="9" t="s">
        <v>17991</v>
      </c>
      <c r="M2649" s="9" t="s">
        <v>19768</v>
      </c>
      <c r="N2649" s="9" t="s">
        <v>17746</v>
      </c>
      <c r="O2649" s="9" t="s">
        <v>19221</v>
      </c>
      <c r="P2649" s="9" t="s">
        <v>17748</v>
      </c>
      <c r="Q2649" s="11" t="s">
        <v>19361</v>
      </c>
      <c r="R2649" s="11" t="s">
        <v>19361</v>
      </c>
      <c r="S2649" s="11" t="s">
        <v>17750</v>
      </c>
    </row>
    <row r="2650" spans="1:19" x14ac:dyDescent="0.2">
      <c r="A2650" s="11" t="s">
        <v>33184</v>
      </c>
      <c r="B2650" s="9" t="s">
        <v>2095</v>
      </c>
      <c r="C2650" s="9" t="s">
        <v>33185</v>
      </c>
      <c r="D2650" s="9" t="s">
        <v>2095</v>
      </c>
      <c r="E2650" s="9" t="s">
        <v>17740</v>
      </c>
      <c r="F2650" s="9" t="s">
        <v>17741</v>
      </c>
      <c r="G2650" s="9" t="s">
        <v>17740</v>
      </c>
      <c r="H2650" s="11" t="s">
        <v>2097</v>
      </c>
      <c r="I2650" s="11" t="s">
        <v>2096</v>
      </c>
      <c r="J2650" s="11" t="s">
        <v>2096</v>
      </c>
      <c r="K2650" s="9" t="s">
        <v>18176</v>
      </c>
      <c r="L2650" s="9" t="s">
        <v>18123</v>
      </c>
      <c r="M2650" s="9" t="s">
        <v>18065</v>
      </c>
      <c r="N2650" s="9" t="s">
        <v>17746</v>
      </c>
      <c r="O2650" s="9" t="s">
        <v>4048</v>
      </c>
      <c r="P2650" s="9" t="s">
        <v>17748</v>
      </c>
      <c r="Q2650" s="11" t="s">
        <v>18243</v>
      </c>
      <c r="R2650" s="11" t="s">
        <v>18243</v>
      </c>
      <c r="S2650" s="11" t="s">
        <v>17750</v>
      </c>
    </row>
    <row r="2651" spans="1:19" x14ac:dyDescent="0.2">
      <c r="A2651" s="11" t="s">
        <v>33186</v>
      </c>
      <c r="B2651" s="9" t="s">
        <v>33187</v>
      </c>
      <c r="C2651" s="9" t="s">
        <v>33188</v>
      </c>
      <c r="D2651" s="9" t="s">
        <v>33189</v>
      </c>
      <c r="E2651" s="9" t="s">
        <v>17740</v>
      </c>
      <c r="F2651" s="9" t="s">
        <v>17741</v>
      </c>
      <c r="G2651" s="9" t="s">
        <v>17740</v>
      </c>
      <c r="H2651" s="11" t="s">
        <v>33190</v>
      </c>
      <c r="I2651" s="11" t="s">
        <v>33191</v>
      </c>
      <c r="J2651" s="11" t="s">
        <v>33191</v>
      </c>
      <c r="K2651" s="9" t="s">
        <v>167</v>
      </c>
      <c r="L2651" s="9" t="s">
        <v>18158</v>
      </c>
      <c r="M2651" s="9" t="s">
        <v>33192</v>
      </c>
      <c r="N2651" s="9" t="s">
        <v>17746</v>
      </c>
      <c r="O2651" s="9" t="s">
        <v>3100</v>
      </c>
      <c r="P2651" s="9" t="s">
        <v>17748</v>
      </c>
      <c r="Q2651" s="11" t="s">
        <v>19361</v>
      </c>
      <c r="R2651" s="11" t="s">
        <v>19361</v>
      </c>
      <c r="S2651" s="11" t="s">
        <v>17750</v>
      </c>
    </row>
    <row r="2652" spans="1:19" x14ac:dyDescent="0.2">
      <c r="A2652" s="11" t="s">
        <v>33193</v>
      </c>
      <c r="B2652" s="9" t="s">
        <v>33194</v>
      </c>
      <c r="C2652" s="9" t="s">
        <v>33195</v>
      </c>
      <c r="D2652" s="9" t="s">
        <v>33196</v>
      </c>
      <c r="E2652" s="9" t="s">
        <v>17740</v>
      </c>
      <c r="F2652" s="9" t="s">
        <v>17741</v>
      </c>
      <c r="G2652" s="9" t="s">
        <v>17740</v>
      </c>
      <c r="H2652" s="11" t="s">
        <v>17741</v>
      </c>
      <c r="I2652" s="11" t="s">
        <v>1864</v>
      </c>
      <c r="J2652" s="11" t="s">
        <v>1864</v>
      </c>
      <c r="K2652" s="9" t="s">
        <v>33197</v>
      </c>
      <c r="L2652" s="9" t="s">
        <v>21505</v>
      </c>
      <c r="M2652" s="9" t="s">
        <v>17760</v>
      </c>
      <c r="N2652" s="9" t="s">
        <v>18171</v>
      </c>
      <c r="O2652" s="9" t="s">
        <v>17993</v>
      </c>
      <c r="P2652" s="9" t="s">
        <v>17748</v>
      </c>
      <c r="Q2652" s="11" t="s">
        <v>18556</v>
      </c>
      <c r="R2652" s="11" t="s">
        <v>18556</v>
      </c>
      <c r="S2652" s="11" t="s">
        <v>17750</v>
      </c>
    </row>
    <row r="2653" spans="1:19" x14ac:dyDescent="0.2">
      <c r="A2653" s="11" t="s">
        <v>33198</v>
      </c>
      <c r="B2653" s="9" t="s">
        <v>33199</v>
      </c>
      <c r="C2653" s="9" t="s">
        <v>33200</v>
      </c>
      <c r="D2653" s="9" t="s">
        <v>33201</v>
      </c>
      <c r="E2653" s="9" t="s">
        <v>17740</v>
      </c>
      <c r="F2653" s="9" t="s">
        <v>17741</v>
      </c>
      <c r="G2653" s="9" t="s">
        <v>17740</v>
      </c>
      <c r="H2653" s="11" t="s">
        <v>2056</v>
      </c>
      <c r="I2653" s="11" t="s">
        <v>2055</v>
      </c>
      <c r="J2653" s="11" t="s">
        <v>2055</v>
      </c>
      <c r="K2653" s="9" t="s">
        <v>17783</v>
      </c>
      <c r="L2653" s="9" t="s">
        <v>17759</v>
      </c>
      <c r="M2653" s="9" t="s">
        <v>17760</v>
      </c>
      <c r="N2653" s="9" t="s">
        <v>17746</v>
      </c>
      <c r="O2653" s="9" t="s">
        <v>33202</v>
      </c>
      <c r="P2653" s="9" t="s">
        <v>17748</v>
      </c>
      <c r="Q2653" s="11" t="s">
        <v>17978</v>
      </c>
      <c r="R2653" s="11" t="s">
        <v>17978</v>
      </c>
      <c r="S2653" s="11" t="s">
        <v>17750</v>
      </c>
    </row>
    <row r="2654" spans="1:19" x14ac:dyDescent="0.2">
      <c r="A2654" s="11" t="s">
        <v>33203</v>
      </c>
      <c r="B2654" s="9" t="s">
        <v>33204</v>
      </c>
      <c r="C2654" s="9" t="s">
        <v>33205</v>
      </c>
      <c r="D2654" s="9" t="s">
        <v>33206</v>
      </c>
      <c r="E2654" s="9" t="s">
        <v>17740</v>
      </c>
      <c r="F2654" s="9" t="s">
        <v>33207</v>
      </c>
      <c r="G2654" s="9" t="s">
        <v>17740</v>
      </c>
      <c r="H2654" s="11" t="s">
        <v>2082</v>
      </c>
      <c r="I2654" s="11" t="s">
        <v>2081</v>
      </c>
      <c r="J2654" s="11" t="s">
        <v>2081</v>
      </c>
      <c r="K2654" s="9" t="s">
        <v>33208</v>
      </c>
      <c r="L2654" s="9" t="s">
        <v>17759</v>
      </c>
      <c r="M2654" s="9" t="s">
        <v>33209</v>
      </c>
      <c r="N2654" s="9" t="s">
        <v>17746</v>
      </c>
      <c r="O2654" s="9" t="s">
        <v>3255</v>
      </c>
      <c r="P2654" s="9" t="s">
        <v>17748</v>
      </c>
      <c r="Q2654" s="11" t="s">
        <v>18600</v>
      </c>
      <c r="R2654" s="11" t="s">
        <v>18600</v>
      </c>
      <c r="S2654" s="11" t="s">
        <v>17750</v>
      </c>
    </row>
    <row r="2655" spans="1:19" x14ac:dyDescent="0.2">
      <c r="A2655" s="11" t="s">
        <v>33210</v>
      </c>
      <c r="B2655" s="9" t="s">
        <v>33211</v>
      </c>
      <c r="C2655" s="9" t="s">
        <v>33212</v>
      </c>
      <c r="D2655" s="9" t="s">
        <v>33213</v>
      </c>
      <c r="E2655" s="9" t="s">
        <v>17740</v>
      </c>
      <c r="F2655" s="9" t="s">
        <v>17741</v>
      </c>
      <c r="G2655" s="9" t="s">
        <v>17740</v>
      </c>
      <c r="H2655" s="11" t="s">
        <v>2070</v>
      </c>
      <c r="I2655" s="11" t="s">
        <v>2069</v>
      </c>
      <c r="J2655" s="11" t="s">
        <v>2069</v>
      </c>
      <c r="K2655" s="9" t="s">
        <v>17758</v>
      </c>
      <c r="L2655" s="9" t="s">
        <v>17759</v>
      </c>
      <c r="M2655" s="9" t="s">
        <v>17817</v>
      </c>
      <c r="N2655" s="9" t="s">
        <v>17746</v>
      </c>
      <c r="O2655" s="9" t="s">
        <v>3543</v>
      </c>
      <c r="P2655" s="9" t="s">
        <v>17748</v>
      </c>
      <c r="Q2655" s="11" t="s">
        <v>20251</v>
      </c>
      <c r="R2655" s="11" t="s">
        <v>20251</v>
      </c>
      <c r="S2655" s="11" t="s">
        <v>17750</v>
      </c>
    </row>
    <row r="2656" spans="1:19" x14ac:dyDescent="0.2">
      <c r="A2656" s="11" t="s">
        <v>33214</v>
      </c>
      <c r="B2656" s="9" t="s">
        <v>33215</v>
      </c>
      <c r="C2656" s="9" t="s">
        <v>33216</v>
      </c>
      <c r="D2656" s="9" t="s">
        <v>33217</v>
      </c>
      <c r="E2656" s="9" t="s">
        <v>17740</v>
      </c>
      <c r="F2656" s="9" t="s">
        <v>33218</v>
      </c>
      <c r="G2656" s="9" t="s">
        <v>17740</v>
      </c>
      <c r="H2656" s="11" t="s">
        <v>17741</v>
      </c>
      <c r="I2656" s="11" t="s">
        <v>33219</v>
      </c>
      <c r="J2656" s="11" t="s">
        <v>33219</v>
      </c>
      <c r="K2656" s="9" t="s">
        <v>33220</v>
      </c>
      <c r="L2656" s="9" t="s">
        <v>17759</v>
      </c>
      <c r="M2656" s="9" t="s">
        <v>18513</v>
      </c>
      <c r="N2656" s="9" t="s">
        <v>17746</v>
      </c>
      <c r="O2656" s="9" t="s">
        <v>17993</v>
      </c>
      <c r="P2656" s="9" t="s">
        <v>17748</v>
      </c>
      <c r="Q2656" s="11" t="s">
        <v>18341</v>
      </c>
      <c r="R2656" s="11" t="s">
        <v>18341</v>
      </c>
      <c r="S2656" s="11" t="s">
        <v>17750</v>
      </c>
    </row>
    <row r="2657" spans="1:19" x14ac:dyDescent="0.2">
      <c r="A2657" s="11" t="s">
        <v>33221</v>
      </c>
      <c r="B2657" s="9" t="s">
        <v>33222</v>
      </c>
      <c r="C2657" s="9" t="s">
        <v>33223</v>
      </c>
      <c r="D2657" s="9" t="s">
        <v>33224</v>
      </c>
      <c r="E2657" s="9" t="s">
        <v>17740</v>
      </c>
      <c r="F2657" s="9" t="s">
        <v>17741</v>
      </c>
      <c r="G2657" s="9" t="s">
        <v>17740</v>
      </c>
      <c r="H2657" s="11" t="s">
        <v>33225</v>
      </c>
      <c r="I2657" s="11" t="s">
        <v>33226</v>
      </c>
      <c r="J2657" s="11" t="s">
        <v>33226</v>
      </c>
      <c r="K2657" s="9" t="s">
        <v>33227</v>
      </c>
      <c r="L2657" s="9" t="s">
        <v>17759</v>
      </c>
      <c r="M2657" s="9" t="s">
        <v>18745</v>
      </c>
      <c r="N2657" s="9" t="s">
        <v>17746</v>
      </c>
      <c r="O2657" s="9" t="s">
        <v>3276</v>
      </c>
      <c r="P2657" s="9" t="s">
        <v>17748</v>
      </c>
      <c r="Q2657" s="11" t="s">
        <v>18433</v>
      </c>
      <c r="R2657" s="11" t="s">
        <v>18433</v>
      </c>
      <c r="S2657" s="11" t="s">
        <v>17750</v>
      </c>
    </row>
    <row r="2658" spans="1:19" x14ac:dyDescent="0.2">
      <c r="A2658" s="11" t="s">
        <v>33228</v>
      </c>
      <c r="B2658" s="9" t="s">
        <v>33229</v>
      </c>
      <c r="C2658" s="9" t="s">
        <v>33230</v>
      </c>
      <c r="D2658" s="9" t="s">
        <v>33231</v>
      </c>
      <c r="E2658" s="9" t="s">
        <v>17740</v>
      </c>
      <c r="F2658" s="9" t="s">
        <v>17741</v>
      </c>
      <c r="G2658" s="9" t="s">
        <v>17740</v>
      </c>
      <c r="H2658" s="11" t="s">
        <v>33232</v>
      </c>
      <c r="I2658" s="11" t="s">
        <v>9198</v>
      </c>
      <c r="J2658" s="11" t="s">
        <v>9198</v>
      </c>
      <c r="K2658" s="9" t="s">
        <v>9199</v>
      </c>
      <c r="L2658" s="9" t="s">
        <v>18232</v>
      </c>
      <c r="M2658" s="9" t="s">
        <v>17760</v>
      </c>
      <c r="N2658" s="9" t="s">
        <v>17746</v>
      </c>
      <c r="O2658" s="9" t="s">
        <v>18833</v>
      </c>
      <c r="P2658" s="9" t="s">
        <v>17748</v>
      </c>
      <c r="Q2658" s="11" t="s">
        <v>18272</v>
      </c>
      <c r="R2658" s="11" t="s">
        <v>18272</v>
      </c>
      <c r="S2658" s="11" t="s">
        <v>17750</v>
      </c>
    </row>
    <row r="2659" spans="1:19" x14ac:dyDescent="0.2">
      <c r="A2659" s="11" t="s">
        <v>33233</v>
      </c>
      <c r="B2659" s="9" t="s">
        <v>33234</v>
      </c>
      <c r="C2659" s="9" t="s">
        <v>33235</v>
      </c>
      <c r="D2659" s="9" t="s">
        <v>33236</v>
      </c>
      <c r="E2659" s="9" t="s">
        <v>17740</v>
      </c>
      <c r="F2659" s="9" t="s">
        <v>17741</v>
      </c>
      <c r="G2659" s="9" t="s">
        <v>17740</v>
      </c>
      <c r="H2659" s="11" t="s">
        <v>11224</v>
      </c>
      <c r="I2659" s="11" t="s">
        <v>11223</v>
      </c>
      <c r="J2659" s="11" t="s">
        <v>11223</v>
      </c>
      <c r="K2659" s="9" t="s">
        <v>4553</v>
      </c>
      <c r="L2659" s="9" t="s">
        <v>18232</v>
      </c>
      <c r="M2659" s="9" t="s">
        <v>17760</v>
      </c>
      <c r="N2659" s="9" t="s">
        <v>17746</v>
      </c>
      <c r="O2659" s="9" t="s">
        <v>18882</v>
      </c>
      <c r="P2659" s="9" t="s">
        <v>17748</v>
      </c>
      <c r="Q2659" s="11" t="s">
        <v>17784</v>
      </c>
      <c r="R2659" s="11" t="s">
        <v>17784</v>
      </c>
      <c r="S2659" s="11" t="s">
        <v>17750</v>
      </c>
    </row>
    <row r="2660" spans="1:19" x14ac:dyDescent="0.2">
      <c r="A2660" s="11" t="s">
        <v>33237</v>
      </c>
      <c r="B2660" s="9" t="s">
        <v>33238</v>
      </c>
      <c r="C2660" s="9" t="s">
        <v>33239</v>
      </c>
      <c r="D2660" s="9" t="s">
        <v>33240</v>
      </c>
      <c r="E2660" s="9" t="s">
        <v>17740</v>
      </c>
      <c r="F2660" s="9" t="s">
        <v>17741</v>
      </c>
      <c r="G2660" s="9" t="s">
        <v>17740</v>
      </c>
      <c r="H2660" s="11" t="s">
        <v>11365</v>
      </c>
      <c r="I2660" s="11" t="s">
        <v>33241</v>
      </c>
      <c r="J2660" s="11" t="s">
        <v>33241</v>
      </c>
      <c r="K2660" s="9" t="s">
        <v>33242</v>
      </c>
      <c r="L2660" s="9" t="s">
        <v>18232</v>
      </c>
      <c r="M2660" s="9" t="s">
        <v>17760</v>
      </c>
      <c r="N2660" s="9" t="s">
        <v>17746</v>
      </c>
      <c r="O2660" s="9" t="s">
        <v>18882</v>
      </c>
      <c r="P2660" s="9" t="s">
        <v>17748</v>
      </c>
      <c r="Q2660" s="11" t="s">
        <v>17780</v>
      </c>
      <c r="R2660" s="11" t="s">
        <v>17780</v>
      </c>
      <c r="S2660" s="11" t="s">
        <v>17750</v>
      </c>
    </row>
    <row r="2661" spans="1:19" x14ac:dyDescent="0.2">
      <c r="A2661" s="11" t="s">
        <v>33243</v>
      </c>
      <c r="B2661" s="9" t="s">
        <v>33244</v>
      </c>
      <c r="C2661" s="9" t="s">
        <v>33245</v>
      </c>
      <c r="D2661" s="9" t="s">
        <v>33246</v>
      </c>
      <c r="E2661" s="9" t="s">
        <v>17740</v>
      </c>
      <c r="F2661" s="9" t="s">
        <v>17741</v>
      </c>
      <c r="G2661" s="9" t="s">
        <v>17740</v>
      </c>
      <c r="H2661" s="11" t="s">
        <v>13389</v>
      </c>
      <c r="I2661" s="11" t="s">
        <v>13388</v>
      </c>
      <c r="J2661" s="11" t="s">
        <v>13388</v>
      </c>
      <c r="K2661" s="9" t="s">
        <v>13390</v>
      </c>
      <c r="L2661" s="9" t="s">
        <v>18232</v>
      </c>
      <c r="M2661" s="9" t="s">
        <v>19714</v>
      </c>
      <c r="N2661" s="9" t="s">
        <v>17746</v>
      </c>
      <c r="O2661" s="9" t="s">
        <v>7269</v>
      </c>
      <c r="P2661" s="9" t="s">
        <v>17748</v>
      </c>
      <c r="Q2661" s="11" t="s">
        <v>17917</v>
      </c>
      <c r="R2661" s="11" t="s">
        <v>17917</v>
      </c>
      <c r="S2661" s="11" t="s">
        <v>17750</v>
      </c>
    </row>
    <row r="2662" spans="1:19" x14ac:dyDescent="0.2">
      <c r="A2662" s="11" t="s">
        <v>33247</v>
      </c>
      <c r="B2662" s="9" t="s">
        <v>33248</v>
      </c>
      <c r="C2662" s="9" t="s">
        <v>33248</v>
      </c>
      <c r="D2662" s="9" t="s">
        <v>33248</v>
      </c>
      <c r="E2662" s="9" t="s">
        <v>17740</v>
      </c>
      <c r="F2662" s="9" t="s">
        <v>17741</v>
      </c>
      <c r="G2662" s="9" t="s">
        <v>17740</v>
      </c>
      <c r="H2662" s="11" t="s">
        <v>17741</v>
      </c>
      <c r="I2662" s="11" t="s">
        <v>33249</v>
      </c>
      <c r="J2662" s="11" t="s">
        <v>33249</v>
      </c>
      <c r="K2662" s="9" t="s">
        <v>33250</v>
      </c>
      <c r="L2662" s="9" t="s">
        <v>17759</v>
      </c>
      <c r="M2662" s="9" t="s">
        <v>17769</v>
      </c>
      <c r="N2662" s="9" t="s">
        <v>17746</v>
      </c>
      <c r="O2662" s="9" t="s">
        <v>17874</v>
      </c>
      <c r="P2662" s="9" t="s">
        <v>17748</v>
      </c>
      <c r="Q2662" s="11" t="s">
        <v>18251</v>
      </c>
      <c r="R2662" s="11" t="s">
        <v>18251</v>
      </c>
      <c r="S2662" s="11" t="s">
        <v>17750</v>
      </c>
    </row>
    <row r="2663" spans="1:19" x14ac:dyDescent="0.2">
      <c r="A2663" s="11" t="s">
        <v>33251</v>
      </c>
      <c r="B2663" s="9" t="s">
        <v>33252</v>
      </c>
      <c r="C2663" s="9" t="s">
        <v>33253</v>
      </c>
      <c r="D2663" s="9" t="s">
        <v>33254</v>
      </c>
      <c r="E2663" s="9" t="s">
        <v>17740</v>
      </c>
      <c r="F2663" s="9" t="s">
        <v>33255</v>
      </c>
      <c r="G2663" s="9" t="s">
        <v>17740</v>
      </c>
      <c r="H2663" s="11" t="s">
        <v>1952</v>
      </c>
      <c r="I2663" s="11" t="s">
        <v>1951</v>
      </c>
      <c r="J2663" s="11" t="s">
        <v>1951</v>
      </c>
      <c r="K2663" s="9" t="s">
        <v>33256</v>
      </c>
      <c r="L2663" s="9" t="s">
        <v>21771</v>
      </c>
      <c r="M2663" s="9" t="s">
        <v>17760</v>
      </c>
      <c r="N2663" s="9" t="s">
        <v>17746</v>
      </c>
      <c r="O2663" s="9" t="s">
        <v>17993</v>
      </c>
      <c r="P2663" s="9" t="s">
        <v>17748</v>
      </c>
      <c r="Q2663" s="11" t="s">
        <v>19899</v>
      </c>
      <c r="R2663" s="11" t="s">
        <v>19899</v>
      </c>
      <c r="S2663" s="11" t="s">
        <v>17750</v>
      </c>
    </row>
    <row r="2664" spans="1:19" x14ac:dyDescent="0.2">
      <c r="A2664" s="11" t="s">
        <v>33257</v>
      </c>
      <c r="B2664" s="9" t="s">
        <v>33258</v>
      </c>
      <c r="C2664" s="9" t="s">
        <v>33259</v>
      </c>
      <c r="D2664" s="9" t="s">
        <v>33260</v>
      </c>
      <c r="E2664" s="9" t="s">
        <v>17740</v>
      </c>
      <c r="F2664" s="9" t="s">
        <v>33261</v>
      </c>
      <c r="G2664" s="9" t="s">
        <v>17740</v>
      </c>
      <c r="H2664" s="11" t="s">
        <v>17741</v>
      </c>
      <c r="I2664" s="11" t="s">
        <v>2014</v>
      </c>
      <c r="J2664" s="11" t="s">
        <v>2014</v>
      </c>
      <c r="K2664" s="9" t="s">
        <v>17741</v>
      </c>
      <c r="L2664" s="9" t="s">
        <v>21771</v>
      </c>
      <c r="M2664" s="9" t="s">
        <v>33262</v>
      </c>
      <c r="N2664" s="9" t="s">
        <v>17746</v>
      </c>
      <c r="O2664" s="9" t="s">
        <v>17993</v>
      </c>
      <c r="P2664" s="9" t="s">
        <v>17748</v>
      </c>
      <c r="Q2664" s="11" t="s">
        <v>17771</v>
      </c>
      <c r="R2664" s="11" t="s">
        <v>17771</v>
      </c>
      <c r="S2664" s="11" t="s">
        <v>17750</v>
      </c>
    </row>
    <row r="2665" spans="1:19" x14ac:dyDescent="0.2">
      <c r="A2665" s="11" t="s">
        <v>33263</v>
      </c>
      <c r="B2665" s="9" t="s">
        <v>33264</v>
      </c>
      <c r="C2665" s="9" t="s">
        <v>33265</v>
      </c>
      <c r="D2665" s="9" t="s">
        <v>33266</v>
      </c>
      <c r="E2665" s="9" t="s">
        <v>17740</v>
      </c>
      <c r="F2665" s="9" t="s">
        <v>17741</v>
      </c>
      <c r="G2665" s="9" t="s">
        <v>17740</v>
      </c>
      <c r="H2665" s="11" t="s">
        <v>33267</v>
      </c>
      <c r="I2665" s="11" t="s">
        <v>33268</v>
      </c>
      <c r="J2665" s="11" t="s">
        <v>33268</v>
      </c>
      <c r="K2665" s="9" t="s">
        <v>91</v>
      </c>
      <c r="L2665" s="9" t="s">
        <v>17759</v>
      </c>
      <c r="M2665" s="9" t="s">
        <v>17760</v>
      </c>
      <c r="N2665" s="9" t="s">
        <v>17746</v>
      </c>
      <c r="O2665" s="9" t="s">
        <v>793</v>
      </c>
      <c r="P2665" s="9" t="s">
        <v>17748</v>
      </c>
      <c r="Q2665" s="11" t="s">
        <v>18314</v>
      </c>
      <c r="R2665" s="11" t="s">
        <v>18314</v>
      </c>
      <c r="S2665" s="11" t="s">
        <v>17750</v>
      </c>
    </row>
    <row r="2666" spans="1:19" x14ac:dyDescent="0.2">
      <c r="A2666" s="11" t="s">
        <v>33269</v>
      </c>
      <c r="B2666" s="9" t="s">
        <v>33270</v>
      </c>
      <c r="C2666" s="9" t="s">
        <v>33271</v>
      </c>
      <c r="D2666" s="9" t="s">
        <v>33272</v>
      </c>
      <c r="E2666" s="9" t="s">
        <v>17740</v>
      </c>
      <c r="F2666" s="9" t="s">
        <v>17741</v>
      </c>
      <c r="G2666" s="9" t="s">
        <v>17740</v>
      </c>
      <c r="H2666" s="11" t="s">
        <v>33273</v>
      </c>
      <c r="I2666" s="11" t="s">
        <v>33274</v>
      </c>
      <c r="J2666" s="11" t="s">
        <v>33274</v>
      </c>
      <c r="K2666" s="9" t="s">
        <v>7339</v>
      </c>
      <c r="L2666" s="9" t="s">
        <v>17759</v>
      </c>
      <c r="M2666" s="9" t="s">
        <v>17760</v>
      </c>
      <c r="N2666" s="9" t="s">
        <v>17746</v>
      </c>
      <c r="O2666" s="9" t="s">
        <v>17747</v>
      </c>
      <c r="P2666" s="9" t="s">
        <v>17748</v>
      </c>
      <c r="Q2666" s="11" t="s">
        <v>23666</v>
      </c>
      <c r="R2666" s="11" t="s">
        <v>23666</v>
      </c>
      <c r="S2666" s="11" t="s">
        <v>17750</v>
      </c>
    </row>
    <row r="2667" spans="1:19" x14ac:dyDescent="0.2">
      <c r="A2667" s="11" t="s">
        <v>33275</v>
      </c>
      <c r="B2667" s="9" t="s">
        <v>14094</v>
      </c>
      <c r="C2667" s="9" t="s">
        <v>33276</v>
      </c>
      <c r="D2667" s="9" t="s">
        <v>14094</v>
      </c>
      <c r="E2667" s="9" t="s">
        <v>17740</v>
      </c>
      <c r="F2667" s="9" t="s">
        <v>17741</v>
      </c>
      <c r="G2667" s="9" t="s">
        <v>17740</v>
      </c>
      <c r="H2667" s="11" t="s">
        <v>14096</v>
      </c>
      <c r="I2667" s="11" t="s">
        <v>14095</v>
      </c>
      <c r="J2667" s="11" t="s">
        <v>17741</v>
      </c>
      <c r="K2667" s="9" t="s">
        <v>10332</v>
      </c>
      <c r="L2667" s="9" t="s">
        <v>17759</v>
      </c>
      <c r="M2667" s="9" t="s">
        <v>17769</v>
      </c>
      <c r="N2667" s="9" t="s">
        <v>17746</v>
      </c>
      <c r="O2667" s="9" t="s">
        <v>33277</v>
      </c>
      <c r="P2667" s="9" t="s">
        <v>17748</v>
      </c>
      <c r="Q2667" s="11" t="s">
        <v>17825</v>
      </c>
      <c r="R2667" s="11" t="s">
        <v>17825</v>
      </c>
      <c r="S2667" s="11" t="s">
        <v>17750</v>
      </c>
    </row>
    <row r="2668" spans="1:19" x14ac:dyDescent="0.2">
      <c r="A2668" s="11" t="s">
        <v>33278</v>
      </c>
      <c r="B2668" s="9" t="s">
        <v>33279</v>
      </c>
      <c r="C2668" s="9" t="s">
        <v>33280</v>
      </c>
      <c r="D2668" s="9" t="s">
        <v>33281</v>
      </c>
      <c r="E2668" s="9" t="s">
        <v>17740</v>
      </c>
      <c r="F2668" s="9" t="s">
        <v>17741</v>
      </c>
      <c r="G2668" s="9" t="s">
        <v>17740</v>
      </c>
      <c r="H2668" s="11" t="s">
        <v>33282</v>
      </c>
      <c r="I2668" s="11" t="s">
        <v>33283</v>
      </c>
      <c r="J2668" s="11" t="s">
        <v>33283</v>
      </c>
      <c r="K2668" s="9" t="s">
        <v>19584</v>
      </c>
      <c r="L2668" s="9" t="s">
        <v>17744</v>
      </c>
      <c r="M2668" s="9" t="s">
        <v>17817</v>
      </c>
      <c r="N2668" s="9" t="s">
        <v>17746</v>
      </c>
      <c r="O2668" s="9" t="s">
        <v>28153</v>
      </c>
      <c r="P2668" s="9" t="s">
        <v>17748</v>
      </c>
      <c r="Q2668" s="11" t="s">
        <v>17917</v>
      </c>
      <c r="R2668" s="11" t="s">
        <v>17917</v>
      </c>
      <c r="S2668" s="11" t="s">
        <v>17750</v>
      </c>
    </row>
    <row r="2669" spans="1:19" x14ac:dyDescent="0.2">
      <c r="A2669" s="11" t="s">
        <v>33284</v>
      </c>
      <c r="B2669" s="9" t="s">
        <v>33285</v>
      </c>
      <c r="C2669" s="9" t="s">
        <v>33286</v>
      </c>
      <c r="D2669" s="9" t="s">
        <v>33287</v>
      </c>
      <c r="E2669" s="9" t="s">
        <v>17740</v>
      </c>
      <c r="F2669" s="9" t="s">
        <v>33288</v>
      </c>
      <c r="G2669" s="9" t="s">
        <v>17740</v>
      </c>
      <c r="H2669" s="11" t="s">
        <v>33289</v>
      </c>
      <c r="I2669" s="11" t="s">
        <v>33290</v>
      </c>
      <c r="J2669" s="11" t="s">
        <v>33290</v>
      </c>
      <c r="K2669" s="9" t="s">
        <v>291</v>
      </c>
      <c r="L2669" s="9" t="s">
        <v>17744</v>
      </c>
      <c r="M2669" s="9" t="s">
        <v>17778</v>
      </c>
      <c r="N2669" s="9" t="s">
        <v>17746</v>
      </c>
      <c r="O2669" s="9" t="s">
        <v>20453</v>
      </c>
      <c r="P2669" s="9" t="s">
        <v>17748</v>
      </c>
      <c r="Q2669" s="11" t="s">
        <v>19361</v>
      </c>
      <c r="R2669" s="11" t="s">
        <v>19361</v>
      </c>
      <c r="S2669" s="11" t="s">
        <v>17750</v>
      </c>
    </row>
    <row r="2670" spans="1:19" x14ac:dyDescent="0.2">
      <c r="A2670" s="11" t="s">
        <v>33291</v>
      </c>
      <c r="B2670" s="9" t="s">
        <v>33292</v>
      </c>
      <c r="C2670" s="9" t="s">
        <v>33293</v>
      </c>
      <c r="D2670" s="9" t="s">
        <v>33294</v>
      </c>
      <c r="E2670" s="9" t="s">
        <v>17740</v>
      </c>
      <c r="F2670" s="9" t="s">
        <v>33295</v>
      </c>
      <c r="G2670" s="9" t="s">
        <v>17740</v>
      </c>
      <c r="H2670" s="11" t="s">
        <v>17741</v>
      </c>
      <c r="I2670" s="11" t="s">
        <v>33296</v>
      </c>
      <c r="J2670" s="11" t="s">
        <v>33296</v>
      </c>
      <c r="K2670" s="9" t="s">
        <v>33297</v>
      </c>
      <c r="L2670" s="9" t="s">
        <v>19134</v>
      </c>
      <c r="M2670" s="9" t="s">
        <v>17778</v>
      </c>
      <c r="N2670" s="9" t="s">
        <v>17746</v>
      </c>
      <c r="O2670" s="9" t="s">
        <v>17834</v>
      </c>
      <c r="P2670" s="9" t="s">
        <v>17748</v>
      </c>
      <c r="Q2670" s="11" t="s">
        <v>18433</v>
      </c>
      <c r="R2670" s="11" t="s">
        <v>18433</v>
      </c>
      <c r="S2670" s="11" t="s">
        <v>17750</v>
      </c>
    </row>
    <row r="2671" spans="1:19" x14ac:dyDescent="0.2">
      <c r="A2671" s="11" t="s">
        <v>33298</v>
      </c>
      <c r="B2671" s="9" t="s">
        <v>33299</v>
      </c>
      <c r="C2671" s="9" t="s">
        <v>33300</v>
      </c>
      <c r="D2671" s="9" t="s">
        <v>33301</v>
      </c>
      <c r="E2671" s="9" t="s">
        <v>17748</v>
      </c>
      <c r="F2671" s="9" t="s">
        <v>33302</v>
      </c>
      <c r="G2671" s="9" t="s">
        <v>17740</v>
      </c>
      <c r="H2671" s="11" t="s">
        <v>17741</v>
      </c>
      <c r="I2671" s="11" t="s">
        <v>8617</v>
      </c>
      <c r="J2671" s="11" t="s">
        <v>17741</v>
      </c>
      <c r="K2671" s="9" t="s">
        <v>19282</v>
      </c>
      <c r="L2671" s="9" t="s">
        <v>19134</v>
      </c>
      <c r="M2671" s="9" t="s">
        <v>17817</v>
      </c>
      <c r="N2671" s="9" t="s">
        <v>17746</v>
      </c>
      <c r="O2671" s="9" t="s">
        <v>17993</v>
      </c>
      <c r="P2671" s="9" t="s">
        <v>17748</v>
      </c>
      <c r="Q2671" s="11" t="s">
        <v>18356</v>
      </c>
      <c r="R2671" s="11" t="s">
        <v>18356</v>
      </c>
      <c r="S2671" s="11" t="s">
        <v>17750</v>
      </c>
    </row>
    <row r="2672" spans="1:19" x14ac:dyDescent="0.2">
      <c r="A2672" s="11" t="s">
        <v>33303</v>
      </c>
      <c r="B2672" s="9" t="s">
        <v>33304</v>
      </c>
      <c r="C2672" s="9" t="s">
        <v>33305</v>
      </c>
      <c r="D2672" s="9" t="s">
        <v>33306</v>
      </c>
      <c r="E2672" s="9" t="s">
        <v>17740</v>
      </c>
      <c r="F2672" s="9" t="s">
        <v>17741</v>
      </c>
      <c r="G2672" s="9" t="s">
        <v>17740</v>
      </c>
      <c r="H2672" s="11" t="s">
        <v>17741</v>
      </c>
      <c r="I2672" s="11" t="s">
        <v>17741</v>
      </c>
      <c r="J2672" s="11" t="s">
        <v>17741</v>
      </c>
      <c r="K2672" s="9" t="s">
        <v>26967</v>
      </c>
      <c r="L2672" s="9" t="s">
        <v>17759</v>
      </c>
      <c r="M2672" s="9" t="s">
        <v>17817</v>
      </c>
      <c r="N2672" s="9" t="s">
        <v>17746</v>
      </c>
      <c r="O2672" s="9" t="s">
        <v>1802</v>
      </c>
      <c r="P2672" s="9" t="s">
        <v>17748</v>
      </c>
      <c r="Q2672" s="11" t="s">
        <v>18201</v>
      </c>
      <c r="R2672" s="11" t="s">
        <v>18201</v>
      </c>
      <c r="S2672" s="11" t="s">
        <v>17750</v>
      </c>
    </row>
    <row r="2673" spans="1:19" x14ac:dyDescent="0.2">
      <c r="A2673" s="11" t="s">
        <v>33307</v>
      </c>
      <c r="B2673" s="9" t="s">
        <v>33308</v>
      </c>
      <c r="C2673" s="9" t="s">
        <v>33309</v>
      </c>
      <c r="D2673" s="9" t="s">
        <v>33310</v>
      </c>
      <c r="E2673" s="9" t="s">
        <v>17740</v>
      </c>
      <c r="F2673" s="9" t="s">
        <v>17741</v>
      </c>
      <c r="G2673" s="9" t="s">
        <v>17740</v>
      </c>
      <c r="H2673" s="11" t="s">
        <v>33311</v>
      </c>
      <c r="I2673" s="11" t="s">
        <v>17741</v>
      </c>
      <c r="J2673" s="11" t="s">
        <v>33311</v>
      </c>
      <c r="K2673" s="9" t="s">
        <v>33312</v>
      </c>
      <c r="L2673" s="9" t="s">
        <v>17759</v>
      </c>
      <c r="M2673" s="9" t="s">
        <v>17741</v>
      </c>
      <c r="N2673" s="9" t="s">
        <v>17746</v>
      </c>
      <c r="O2673" s="9" t="s">
        <v>1802</v>
      </c>
      <c r="P2673" s="9" t="s">
        <v>17748</v>
      </c>
      <c r="Q2673" s="11" t="s">
        <v>18856</v>
      </c>
      <c r="R2673" s="11" t="s">
        <v>18856</v>
      </c>
      <c r="S2673" s="11" t="s">
        <v>17750</v>
      </c>
    </row>
    <row r="2674" spans="1:19" x14ac:dyDescent="0.2">
      <c r="A2674" s="11" t="s">
        <v>33313</v>
      </c>
      <c r="B2674" s="9" t="s">
        <v>33314</v>
      </c>
      <c r="C2674" s="9" t="s">
        <v>33315</v>
      </c>
      <c r="D2674" s="9" t="s">
        <v>33316</v>
      </c>
      <c r="E2674" s="9" t="s">
        <v>17740</v>
      </c>
      <c r="F2674" s="9" t="s">
        <v>17741</v>
      </c>
      <c r="G2674" s="9" t="s">
        <v>17740</v>
      </c>
      <c r="H2674" s="11" t="s">
        <v>17741</v>
      </c>
      <c r="I2674" s="11" t="s">
        <v>17741</v>
      </c>
      <c r="J2674" s="11" t="s">
        <v>17741</v>
      </c>
      <c r="K2674" s="9" t="s">
        <v>33317</v>
      </c>
      <c r="L2674" s="9" t="s">
        <v>17759</v>
      </c>
      <c r="M2674" s="9" t="s">
        <v>17741</v>
      </c>
      <c r="N2674" s="9" t="s">
        <v>17746</v>
      </c>
      <c r="O2674" s="9" t="s">
        <v>26112</v>
      </c>
      <c r="P2674" s="9" t="s">
        <v>17748</v>
      </c>
      <c r="Q2674" s="11" t="s">
        <v>18798</v>
      </c>
      <c r="R2674" s="11" t="s">
        <v>18798</v>
      </c>
      <c r="S2674" s="11" t="s">
        <v>17750</v>
      </c>
    </row>
    <row r="2675" spans="1:19" x14ac:dyDescent="0.2">
      <c r="A2675" s="11" t="s">
        <v>33318</v>
      </c>
      <c r="B2675" s="9" t="s">
        <v>33319</v>
      </c>
      <c r="C2675" s="9" t="s">
        <v>33320</v>
      </c>
      <c r="D2675" s="9" t="s">
        <v>33321</v>
      </c>
      <c r="E2675" s="9" t="s">
        <v>17740</v>
      </c>
      <c r="F2675" s="9" t="s">
        <v>17741</v>
      </c>
      <c r="G2675" s="9" t="s">
        <v>17740</v>
      </c>
      <c r="H2675" s="11" t="s">
        <v>17741</v>
      </c>
      <c r="I2675" s="11" t="s">
        <v>17741</v>
      </c>
      <c r="J2675" s="11" t="s">
        <v>17741</v>
      </c>
      <c r="K2675" s="9" t="s">
        <v>33322</v>
      </c>
      <c r="L2675" s="9" t="s">
        <v>17759</v>
      </c>
      <c r="M2675" s="9" t="s">
        <v>17741</v>
      </c>
      <c r="N2675" s="9" t="s">
        <v>17746</v>
      </c>
      <c r="O2675" s="9" t="s">
        <v>18644</v>
      </c>
      <c r="P2675" s="9" t="s">
        <v>17748</v>
      </c>
      <c r="Q2675" s="11" t="s">
        <v>17994</v>
      </c>
      <c r="R2675" s="11" t="s">
        <v>17994</v>
      </c>
      <c r="S2675" s="11" t="s">
        <v>17750</v>
      </c>
    </row>
    <row r="2676" spans="1:19" x14ac:dyDescent="0.2">
      <c r="A2676" s="11" t="s">
        <v>33323</v>
      </c>
      <c r="B2676" s="9" t="s">
        <v>33324</v>
      </c>
      <c r="C2676" s="9" t="s">
        <v>33325</v>
      </c>
      <c r="D2676" s="9" t="s">
        <v>33326</v>
      </c>
      <c r="E2676" s="9" t="s">
        <v>17748</v>
      </c>
      <c r="F2676" s="9" t="s">
        <v>33327</v>
      </c>
      <c r="G2676" s="9" t="s">
        <v>17740</v>
      </c>
      <c r="H2676" s="11" t="s">
        <v>17741</v>
      </c>
      <c r="I2676" s="11" t="s">
        <v>17741</v>
      </c>
      <c r="J2676" s="11" t="s">
        <v>17741</v>
      </c>
      <c r="K2676" s="9" t="s">
        <v>33328</v>
      </c>
      <c r="L2676" s="9" t="s">
        <v>17759</v>
      </c>
      <c r="M2676" s="9" t="s">
        <v>17942</v>
      </c>
      <c r="N2676" s="9" t="s">
        <v>17746</v>
      </c>
      <c r="O2676" s="9" t="s">
        <v>26112</v>
      </c>
      <c r="P2676" s="9" t="s">
        <v>17748</v>
      </c>
      <c r="Q2676" s="11" t="s">
        <v>17984</v>
      </c>
      <c r="R2676" s="11" t="s">
        <v>17984</v>
      </c>
      <c r="S2676" s="11" t="s">
        <v>17750</v>
      </c>
    </row>
    <row r="2677" spans="1:19" x14ac:dyDescent="0.2">
      <c r="A2677" s="11" t="s">
        <v>33329</v>
      </c>
      <c r="B2677" s="9" t="s">
        <v>33330</v>
      </c>
      <c r="C2677" s="9" t="s">
        <v>33331</v>
      </c>
      <c r="D2677" s="9" t="s">
        <v>33332</v>
      </c>
      <c r="E2677" s="9" t="s">
        <v>17740</v>
      </c>
      <c r="F2677" s="9" t="s">
        <v>17741</v>
      </c>
      <c r="G2677" s="9" t="s">
        <v>17740</v>
      </c>
      <c r="H2677" s="11" t="s">
        <v>33333</v>
      </c>
      <c r="I2677" s="11" t="s">
        <v>17741</v>
      </c>
      <c r="J2677" s="11" t="s">
        <v>33333</v>
      </c>
      <c r="K2677" s="9" t="s">
        <v>33334</v>
      </c>
      <c r="L2677" s="9" t="s">
        <v>17759</v>
      </c>
      <c r="M2677" s="9" t="s">
        <v>17741</v>
      </c>
      <c r="N2677" s="9" t="s">
        <v>17746</v>
      </c>
      <c r="O2677" s="9" t="s">
        <v>1802</v>
      </c>
      <c r="P2677" s="9" t="s">
        <v>17748</v>
      </c>
      <c r="Q2677" s="11" t="s">
        <v>18356</v>
      </c>
      <c r="R2677" s="11" t="s">
        <v>18356</v>
      </c>
      <c r="S2677" s="11" t="s">
        <v>17750</v>
      </c>
    </row>
    <row r="2678" spans="1:19" x14ac:dyDescent="0.2">
      <c r="A2678" s="11" t="s">
        <v>33335</v>
      </c>
      <c r="B2678" s="9" t="s">
        <v>33336</v>
      </c>
      <c r="C2678" s="9" t="s">
        <v>33337</v>
      </c>
      <c r="D2678" s="9" t="s">
        <v>33338</v>
      </c>
      <c r="E2678" s="9" t="s">
        <v>17740</v>
      </c>
      <c r="F2678" s="9" t="s">
        <v>17741</v>
      </c>
      <c r="G2678" s="9" t="s">
        <v>17740</v>
      </c>
      <c r="H2678" s="11" t="s">
        <v>17741</v>
      </c>
      <c r="I2678" s="11" t="s">
        <v>17741</v>
      </c>
      <c r="J2678" s="11" t="s">
        <v>17741</v>
      </c>
      <c r="K2678" s="9" t="s">
        <v>33339</v>
      </c>
      <c r="L2678" s="9" t="s">
        <v>17759</v>
      </c>
      <c r="M2678" s="9" t="s">
        <v>17760</v>
      </c>
      <c r="N2678" s="9" t="s">
        <v>17746</v>
      </c>
      <c r="O2678" s="9" t="s">
        <v>26112</v>
      </c>
      <c r="P2678" s="9" t="s">
        <v>17748</v>
      </c>
      <c r="Q2678" s="11" t="s">
        <v>18856</v>
      </c>
      <c r="R2678" s="11" t="s">
        <v>18856</v>
      </c>
      <c r="S2678" s="11" t="s">
        <v>17750</v>
      </c>
    </row>
    <row r="2679" spans="1:19" x14ac:dyDescent="0.2">
      <c r="A2679" s="11" t="s">
        <v>33340</v>
      </c>
      <c r="B2679" s="9" t="s">
        <v>33341</v>
      </c>
      <c r="C2679" s="9" t="s">
        <v>33342</v>
      </c>
      <c r="D2679" s="9" t="s">
        <v>33343</v>
      </c>
      <c r="E2679" s="9" t="s">
        <v>17740</v>
      </c>
      <c r="F2679" s="9" t="s">
        <v>17741</v>
      </c>
      <c r="G2679" s="9" t="s">
        <v>17740</v>
      </c>
      <c r="H2679" s="11" t="s">
        <v>17741</v>
      </c>
      <c r="I2679" s="11" t="s">
        <v>17741</v>
      </c>
      <c r="J2679" s="11" t="s">
        <v>17741</v>
      </c>
      <c r="K2679" s="9" t="s">
        <v>33344</v>
      </c>
      <c r="L2679" s="9" t="s">
        <v>17759</v>
      </c>
      <c r="M2679" s="9" t="s">
        <v>30990</v>
      </c>
      <c r="N2679" s="9" t="s">
        <v>17746</v>
      </c>
      <c r="O2679" s="9" t="s">
        <v>17848</v>
      </c>
      <c r="P2679" s="9" t="s">
        <v>17748</v>
      </c>
      <c r="Q2679" s="11" t="s">
        <v>17994</v>
      </c>
      <c r="R2679" s="11" t="s">
        <v>17994</v>
      </c>
      <c r="S2679" s="11" t="s">
        <v>17750</v>
      </c>
    </row>
    <row r="2680" spans="1:19" x14ac:dyDescent="0.2">
      <c r="A2680" s="11" t="s">
        <v>33345</v>
      </c>
      <c r="B2680" s="9" t="s">
        <v>33346</v>
      </c>
      <c r="C2680" s="9" t="s">
        <v>33347</v>
      </c>
      <c r="D2680" s="9" t="s">
        <v>33348</v>
      </c>
      <c r="E2680" s="9" t="s">
        <v>17740</v>
      </c>
      <c r="F2680" s="9" t="s">
        <v>17741</v>
      </c>
      <c r="G2680" s="9" t="s">
        <v>17740</v>
      </c>
      <c r="H2680" s="11" t="s">
        <v>17741</v>
      </c>
      <c r="I2680" s="11" t="s">
        <v>17741</v>
      </c>
      <c r="J2680" s="11" t="s">
        <v>17741</v>
      </c>
      <c r="K2680" s="9" t="s">
        <v>33349</v>
      </c>
      <c r="L2680" s="9" t="s">
        <v>17759</v>
      </c>
      <c r="M2680" s="9" t="s">
        <v>17741</v>
      </c>
      <c r="N2680" s="9" t="s">
        <v>17746</v>
      </c>
      <c r="O2680" s="9" t="s">
        <v>3524</v>
      </c>
      <c r="P2680" s="9" t="s">
        <v>17748</v>
      </c>
      <c r="Q2680" s="11" t="s">
        <v>18798</v>
      </c>
      <c r="R2680" s="11" t="s">
        <v>18798</v>
      </c>
      <c r="S2680" s="11" t="s">
        <v>17750</v>
      </c>
    </row>
    <row r="2681" spans="1:19" x14ac:dyDescent="0.2">
      <c r="A2681" s="11" t="s">
        <v>33350</v>
      </c>
      <c r="B2681" s="9" t="s">
        <v>33351</v>
      </c>
      <c r="C2681" s="9" t="s">
        <v>33352</v>
      </c>
      <c r="D2681" s="9" t="s">
        <v>33353</v>
      </c>
      <c r="E2681" s="9" t="s">
        <v>17740</v>
      </c>
      <c r="F2681" s="9" t="s">
        <v>17741</v>
      </c>
      <c r="G2681" s="9" t="s">
        <v>17740</v>
      </c>
      <c r="H2681" s="11" t="s">
        <v>17741</v>
      </c>
      <c r="I2681" s="11" t="s">
        <v>33354</v>
      </c>
      <c r="J2681" s="11" t="s">
        <v>33354</v>
      </c>
      <c r="K2681" s="9" t="s">
        <v>33355</v>
      </c>
      <c r="L2681" s="9" t="s">
        <v>17759</v>
      </c>
      <c r="M2681" s="9" t="s">
        <v>17760</v>
      </c>
      <c r="N2681" s="9" t="s">
        <v>17746</v>
      </c>
      <c r="O2681" s="9" t="s">
        <v>17800</v>
      </c>
      <c r="P2681" s="9" t="s">
        <v>17748</v>
      </c>
      <c r="Q2681" s="11" t="s">
        <v>19222</v>
      </c>
      <c r="R2681" s="11" t="s">
        <v>19222</v>
      </c>
      <c r="S2681" s="11" t="s">
        <v>17750</v>
      </c>
    </row>
    <row r="2682" spans="1:19" x14ac:dyDescent="0.2">
      <c r="A2682" s="11" t="s">
        <v>33356</v>
      </c>
      <c r="B2682" s="9" t="s">
        <v>33357</v>
      </c>
      <c r="C2682" s="9" t="s">
        <v>33358</v>
      </c>
      <c r="D2682" s="9" t="s">
        <v>33359</v>
      </c>
      <c r="E2682" s="9" t="s">
        <v>17740</v>
      </c>
      <c r="F2682" s="9" t="s">
        <v>17741</v>
      </c>
      <c r="G2682" s="9" t="s">
        <v>17740</v>
      </c>
      <c r="H2682" s="11" t="s">
        <v>17741</v>
      </c>
      <c r="I2682" s="11" t="s">
        <v>17741</v>
      </c>
      <c r="J2682" s="11" t="s">
        <v>17741</v>
      </c>
      <c r="K2682" s="9" t="s">
        <v>22526</v>
      </c>
      <c r="L2682" s="9" t="s">
        <v>17759</v>
      </c>
      <c r="M2682" s="9" t="s">
        <v>17741</v>
      </c>
      <c r="N2682" s="9" t="s">
        <v>17746</v>
      </c>
      <c r="O2682" s="9" t="s">
        <v>3524</v>
      </c>
      <c r="P2682" s="9" t="s">
        <v>17748</v>
      </c>
      <c r="Q2682" s="11" t="s">
        <v>18856</v>
      </c>
      <c r="R2682" s="11" t="s">
        <v>18856</v>
      </c>
      <c r="S2682" s="11" t="s">
        <v>17750</v>
      </c>
    </row>
    <row r="2683" spans="1:19" x14ac:dyDescent="0.2">
      <c r="A2683" s="11" t="s">
        <v>33360</v>
      </c>
      <c r="B2683" s="9" t="s">
        <v>33361</v>
      </c>
      <c r="C2683" s="9" t="s">
        <v>33362</v>
      </c>
      <c r="D2683" s="9" t="s">
        <v>33363</v>
      </c>
      <c r="E2683" s="9" t="s">
        <v>17740</v>
      </c>
      <c r="F2683" s="9" t="s">
        <v>17741</v>
      </c>
      <c r="G2683" s="9" t="s">
        <v>17740</v>
      </c>
      <c r="H2683" s="11" t="s">
        <v>33364</v>
      </c>
      <c r="I2683" s="11" t="s">
        <v>33365</v>
      </c>
      <c r="J2683" s="11" t="s">
        <v>33365</v>
      </c>
      <c r="K2683" s="9" t="s">
        <v>291</v>
      </c>
      <c r="L2683" s="9" t="s">
        <v>17744</v>
      </c>
      <c r="M2683" s="9" t="s">
        <v>31294</v>
      </c>
      <c r="N2683" s="9" t="s">
        <v>17746</v>
      </c>
      <c r="O2683" s="9" t="s">
        <v>33366</v>
      </c>
      <c r="P2683" s="9" t="s">
        <v>17748</v>
      </c>
      <c r="Q2683" s="11" t="s">
        <v>19026</v>
      </c>
      <c r="R2683" s="11" t="s">
        <v>19026</v>
      </c>
      <c r="S2683" s="11" t="s">
        <v>17750</v>
      </c>
    </row>
    <row r="2684" spans="1:19" x14ac:dyDescent="0.2">
      <c r="A2684" s="11" t="s">
        <v>33367</v>
      </c>
      <c r="B2684" s="9" t="s">
        <v>33368</v>
      </c>
      <c r="C2684" s="9" t="s">
        <v>33369</v>
      </c>
      <c r="D2684" s="9" t="s">
        <v>33370</v>
      </c>
      <c r="E2684" s="9" t="s">
        <v>17740</v>
      </c>
      <c r="F2684" s="9" t="s">
        <v>17741</v>
      </c>
      <c r="G2684" s="9" t="s">
        <v>17740</v>
      </c>
      <c r="H2684" s="11" t="s">
        <v>17741</v>
      </c>
      <c r="I2684" s="11" t="s">
        <v>33371</v>
      </c>
      <c r="J2684" s="11" t="s">
        <v>33371</v>
      </c>
      <c r="K2684" s="9" t="s">
        <v>33372</v>
      </c>
      <c r="L2684" s="9" t="s">
        <v>17759</v>
      </c>
      <c r="M2684" s="9" t="s">
        <v>33373</v>
      </c>
      <c r="N2684" s="9" t="s">
        <v>17746</v>
      </c>
      <c r="O2684" s="9" t="s">
        <v>19275</v>
      </c>
      <c r="P2684" s="9" t="s">
        <v>17748</v>
      </c>
      <c r="Q2684" s="11" t="s">
        <v>18960</v>
      </c>
      <c r="R2684" s="11" t="s">
        <v>18960</v>
      </c>
      <c r="S2684" s="11" t="s">
        <v>17750</v>
      </c>
    </row>
    <row r="2685" spans="1:19" x14ac:dyDescent="0.2">
      <c r="A2685" s="11" t="s">
        <v>33374</v>
      </c>
      <c r="B2685" s="9" t="s">
        <v>33375</v>
      </c>
      <c r="C2685" s="9" t="s">
        <v>33376</v>
      </c>
      <c r="D2685" s="9" t="s">
        <v>33377</v>
      </c>
      <c r="E2685" s="9" t="s">
        <v>17740</v>
      </c>
      <c r="F2685" s="9" t="s">
        <v>17741</v>
      </c>
      <c r="G2685" s="9" t="s">
        <v>17740</v>
      </c>
      <c r="H2685" s="11" t="s">
        <v>33378</v>
      </c>
      <c r="I2685" s="11" t="s">
        <v>33379</v>
      </c>
      <c r="J2685" s="11" t="s">
        <v>33379</v>
      </c>
      <c r="K2685" s="9" t="s">
        <v>291</v>
      </c>
      <c r="L2685" s="9" t="s">
        <v>17744</v>
      </c>
      <c r="M2685" s="9" t="s">
        <v>33380</v>
      </c>
      <c r="N2685" s="9" t="s">
        <v>17746</v>
      </c>
      <c r="O2685" s="9" t="s">
        <v>32688</v>
      </c>
      <c r="P2685" s="9" t="s">
        <v>17748</v>
      </c>
      <c r="Q2685" s="11" t="s">
        <v>19335</v>
      </c>
      <c r="R2685" s="11" t="s">
        <v>19335</v>
      </c>
      <c r="S2685" s="11" t="s">
        <v>17750</v>
      </c>
    </row>
    <row r="2686" spans="1:19" x14ac:dyDescent="0.2">
      <c r="A2686" s="11" t="s">
        <v>33381</v>
      </c>
      <c r="B2686" s="9" t="s">
        <v>33382</v>
      </c>
      <c r="C2686" s="9" t="s">
        <v>33383</v>
      </c>
      <c r="D2686" s="9" t="s">
        <v>33384</v>
      </c>
      <c r="E2686" s="9" t="s">
        <v>17748</v>
      </c>
      <c r="F2686" s="9" t="s">
        <v>33385</v>
      </c>
      <c r="G2686" s="9" t="s">
        <v>17740</v>
      </c>
      <c r="H2686" s="11" t="s">
        <v>17741</v>
      </c>
      <c r="I2686" s="11" t="s">
        <v>33386</v>
      </c>
      <c r="J2686" s="11" t="s">
        <v>33386</v>
      </c>
      <c r="K2686" s="9" t="s">
        <v>33387</v>
      </c>
      <c r="L2686" s="9" t="s">
        <v>17991</v>
      </c>
      <c r="M2686" s="9" t="s">
        <v>17760</v>
      </c>
      <c r="N2686" s="9" t="s">
        <v>17746</v>
      </c>
      <c r="O2686" s="9" t="s">
        <v>33388</v>
      </c>
      <c r="P2686" s="9" t="s">
        <v>17748</v>
      </c>
      <c r="Q2686" s="11" t="s">
        <v>18147</v>
      </c>
      <c r="R2686" s="11" t="s">
        <v>18147</v>
      </c>
      <c r="S2686" s="11" t="s">
        <v>17750</v>
      </c>
    </row>
    <row r="2687" spans="1:19" x14ac:dyDescent="0.2">
      <c r="A2687" s="11" t="s">
        <v>33389</v>
      </c>
      <c r="B2687" s="9" t="s">
        <v>33390</v>
      </c>
      <c r="C2687" s="9" t="s">
        <v>33391</v>
      </c>
      <c r="D2687" s="9" t="s">
        <v>33392</v>
      </c>
      <c r="E2687" s="9" t="s">
        <v>17748</v>
      </c>
      <c r="F2687" s="9" t="s">
        <v>33393</v>
      </c>
      <c r="G2687" s="9" t="s">
        <v>17740</v>
      </c>
      <c r="H2687" s="11" t="s">
        <v>9481</v>
      </c>
      <c r="I2687" s="11" t="s">
        <v>17741</v>
      </c>
      <c r="J2687" s="11" t="s">
        <v>9480</v>
      </c>
      <c r="K2687" s="9" t="s">
        <v>18570</v>
      </c>
      <c r="L2687" s="9" t="s">
        <v>17744</v>
      </c>
      <c r="M2687" s="9" t="s">
        <v>17741</v>
      </c>
      <c r="N2687" s="9" t="s">
        <v>17746</v>
      </c>
      <c r="O2687" s="9" t="s">
        <v>3355</v>
      </c>
      <c r="P2687" s="9" t="s">
        <v>17748</v>
      </c>
      <c r="Q2687" s="11" t="s">
        <v>18370</v>
      </c>
      <c r="R2687" s="11" t="s">
        <v>18370</v>
      </c>
      <c r="S2687" s="11" t="s">
        <v>17750</v>
      </c>
    </row>
    <row r="2688" spans="1:19" x14ac:dyDescent="0.2">
      <c r="A2688" s="11" t="s">
        <v>33394</v>
      </c>
      <c r="B2688" s="9" t="s">
        <v>33395</v>
      </c>
      <c r="C2688" s="9" t="s">
        <v>33396</v>
      </c>
      <c r="D2688" s="9" t="s">
        <v>8336</v>
      </c>
      <c r="E2688" s="9" t="s">
        <v>17748</v>
      </c>
      <c r="F2688" s="9" t="s">
        <v>33397</v>
      </c>
      <c r="G2688" s="9" t="s">
        <v>17740</v>
      </c>
      <c r="H2688" s="11" t="s">
        <v>8338</v>
      </c>
      <c r="I2688" s="11" t="s">
        <v>8337</v>
      </c>
      <c r="J2688" s="11" t="s">
        <v>8337</v>
      </c>
      <c r="K2688" s="9" t="s">
        <v>33398</v>
      </c>
      <c r="L2688" s="9" t="s">
        <v>17744</v>
      </c>
      <c r="M2688" s="9" t="s">
        <v>17817</v>
      </c>
      <c r="N2688" s="9" t="s">
        <v>17746</v>
      </c>
      <c r="O2688" s="9" t="s">
        <v>18762</v>
      </c>
      <c r="P2688" s="9" t="s">
        <v>17748</v>
      </c>
      <c r="Q2688" s="11" t="s">
        <v>18356</v>
      </c>
      <c r="R2688" s="11" t="s">
        <v>18356</v>
      </c>
      <c r="S2688" s="11" t="s">
        <v>17750</v>
      </c>
    </row>
    <row r="2689" spans="1:19" x14ac:dyDescent="0.2">
      <c r="A2689" s="11" t="s">
        <v>33399</v>
      </c>
      <c r="B2689" s="9" t="s">
        <v>33400</v>
      </c>
      <c r="C2689" s="9" t="s">
        <v>33401</v>
      </c>
      <c r="D2689" s="9" t="s">
        <v>33402</v>
      </c>
      <c r="E2689" s="9" t="s">
        <v>17740</v>
      </c>
      <c r="F2689" s="9" t="s">
        <v>33403</v>
      </c>
      <c r="G2689" s="9" t="s">
        <v>17740</v>
      </c>
      <c r="H2689" s="11" t="s">
        <v>17741</v>
      </c>
      <c r="I2689" s="11" t="s">
        <v>33404</v>
      </c>
      <c r="J2689" s="11" t="s">
        <v>33404</v>
      </c>
      <c r="K2689" s="9" t="s">
        <v>33405</v>
      </c>
      <c r="L2689" s="9" t="s">
        <v>18854</v>
      </c>
      <c r="M2689" s="9" t="s">
        <v>17769</v>
      </c>
      <c r="N2689" s="9" t="s">
        <v>20237</v>
      </c>
      <c r="O2689" s="9" t="s">
        <v>17977</v>
      </c>
      <c r="P2689" s="9" t="s">
        <v>17748</v>
      </c>
      <c r="Q2689" s="11" t="s">
        <v>18147</v>
      </c>
      <c r="R2689" s="11" t="s">
        <v>18147</v>
      </c>
      <c r="S2689" s="11" t="s">
        <v>17750</v>
      </c>
    </row>
    <row r="2690" spans="1:19" x14ac:dyDescent="0.2">
      <c r="A2690" s="11" t="s">
        <v>33406</v>
      </c>
      <c r="B2690" s="9" t="s">
        <v>33407</v>
      </c>
      <c r="C2690" s="9" t="s">
        <v>33408</v>
      </c>
      <c r="D2690" s="9" t="s">
        <v>33409</v>
      </c>
      <c r="E2690" s="9" t="s">
        <v>17740</v>
      </c>
      <c r="F2690" s="9" t="s">
        <v>33410</v>
      </c>
      <c r="G2690" s="9" t="s">
        <v>17740</v>
      </c>
      <c r="H2690" s="11" t="s">
        <v>17741</v>
      </c>
      <c r="I2690" s="11" t="s">
        <v>33411</v>
      </c>
      <c r="J2690" s="11" t="s">
        <v>33412</v>
      </c>
      <c r="K2690" s="9" t="s">
        <v>33413</v>
      </c>
      <c r="L2690" s="9" t="s">
        <v>17759</v>
      </c>
      <c r="M2690" s="9" t="s">
        <v>21931</v>
      </c>
      <c r="N2690" s="9" t="s">
        <v>17746</v>
      </c>
      <c r="O2690" s="9" t="s">
        <v>17993</v>
      </c>
      <c r="P2690" s="9" t="s">
        <v>17748</v>
      </c>
      <c r="Q2690" s="11" t="s">
        <v>17808</v>
      </c>
      <c r="R2690" s="11" t="s">
        <v>17808</v>
      </c>
      <c r="S2690" s="11" t="s">
        <v>17750</v>
      </c>
    </row>
    <row r="2691" spans="1:19" x14ac:dyDescent="0.2">
      <c r="A2691" s="11" t="s">
        <v>33414</v>
      </c>
      <c r="B2691" s="9" t="s">
        <v>33415</v>
      </c>
      <c r="C2691" s="9" t="s">
        <v>33416</v>
      </c>
      <c r="D2691" s="9" t="s">
        <v>33417</v>
      </c>
      <c r="E2691" s="9" t="s">
        <v>17740</v>
      </c>
      <c r="F2691" s="9" t="s">
        <v>17741</v>
      </c>
      <c r="G2691" s="9" t="s">
        <v>17740</v>
      </c>
      <c r="H2691" s="11" t="s">
        <v>12706</v>
      </c>
      <c r="I2691" s="11" t="s">
        <v>12705</v>
      </c>
      <c r="J2691" s="11" t="s">
        <v>17741</v>
      </c>
      <c r="K2691" s="9" t="s">
        <v>91</v>
      </c>
      <c r="L2691" s="9" t="s">
        <v>17759</v>
      </c>
      <c r="M2691" s="9" t="s">
        <v>20970</v>
      </c>
      <c r="N2691" s="9" t="s">
        <v>17746</v>
      </c>
      <c r="O2691" s="9" t="s">
        <v>24344</v>
      </c>
      <c r="P2691" s="9" t="s">
        <v>17748</v>
      </c>
      <c r="Q2691" s="11" t="s">
        <v>18370</v>
      </c>
      <c r="R2691" s="11" t="s">
        <v>18370</v>
      </c>
      <c r="S2691" s="11" t="s">
        <v>17750</v>
      </c>
    </row>
    <row r="2692" spans="1:19" x14ac:dyDescent="0.2">
      <c r="A2692" s="11" t="s">
        <v>33418</v>
      </c>
      <c r="B2692" s="9" t="s">
        <v>33419</v>
      </c>
      <c r="C2692" s="9" t="s">
        <v>33420</v>
      </c>
      <c r="D2692" s="9" t="s">
        <v>33421</v>
      </c>
      <c r="E2692" s="9" t="s">
        <v>17740</v>
      </c>
      <c r="F2692" s="9" t="s">
        <v>17741</v>
      </c>
      <c r="G2692" s="9" t="s">
        <v>17740</v>
      </c>
      <c r="H2692" s="11" t="s">
        <v>12709</v>
      </c>
      <c r="I2692" s="11" t="s">
        <v>12708</v>
      </c>
      <c r="J2692" s="11" t="s">
        <v>12709</v>
      </c>
      <c r="K2692" s="9" t="s">
        <v>91</v>
      </c>
      <c r="L2692" s="9" t="s">
        <v>17759</v>
      </c>
      <c r="M2692" s="9" t="s">
        <v>17769</v>
      </c>
      <c r="N2692" s="9" t="s">
        <v>17746</v>
      </c>
      <c r="O2692" s="9" t="s">
        <v>20367</v>
      </c>
      <c r="P2692" s="9" t="s">
        <v>17748</v>
      </c>
      <c r="Q2692" s="11" t="s">
        <v>18370</v>
      </c>
      <c r="R2692" s="11" t="s">
        <v>18370</v>
      </c>
      <c r="S2692" s="11" t="s">
        <v>17750</v>
      </c>
    </row>
    <row r="2693" spans="1:19" x14ac:dyDescent="0.2">
      <c r="A2693" s="11" t="s">
        <v>33422</v>
      </c>
      <c r="B2693" s="9" t="s">
        <v>33423</v>
      </c>
      <c r="C2693" s="9" t="s">
        <v>33424</v>
      </c>
      <c r="D2693" s="9" t="s">
        <v>33425</v>
      </c>
      <c r="E2693" s="9" t="s">
        <v>17740</v>
      </c>
      <c r="F2693" s="9" t="s">
        <v>33426</v>
      </c>
      <c r="G2693" s="9" t="s">
        <v>17740</v>
      </c>
      <c r="H2693" s="11" t="s">
        <v>17741</v>
      </c>
      <c r="I2693" s="11" t="s">
        <v>33427</v>
      </c>
      <c r="J2693" s="11" t="s">
        <v>33427</v>
      </c>
      <c r="K2693" s="9" t="s">
        <v>33428</v>
      </c>
      <c r="L2693" s="9" t="s">
        <v>18123</v>
      </c>
      <c r="M2693" s="9" t="s">
        <v>18745</v>
      </c>
      <c r="N2693" s="9" t="s">
        <v>17746</v>
      </c>
      <c r="O2693" s="9" t="s">
        <v>17993</v>
      </c>
      <c r="P2693" s="9" t="s">
        <v>17748</v>
      </c>
      <c r="Q2693" s="11" t="s">
        <v>18678</v>
      </c>
      <c r="R2693" s="11" t="s">
        <v>18678</v>
      </c>
      <c r="S2693" s="11" t="s">
        <v>17750</v>
      </c>
    </row>
    <row r="2694" spans="1:19" x14ac:dyDescent="0.2">
      <c r="A2694" s="11" t="s">
        <v>33429</v>
      </c>
      <c r="B2694" s="9" t="s">
        <v>33430</v>
      </c>
      <c r="C2694" s="9" t="s">
        <v>33431</v>
      </c>
      <c r="D2694" s="9" t="s">
        <v>33432</v>
      </c>
      <c r="E2694" s="9" t="s">
        <v>17740</v>
      </c>
      <c r="F2694" s="9" t="s">
        <v>33433</v>
      </c>
      <c r="G2694" s="9" t="s">
        <v>17740</v>
      </c>
      <c r="H2694" s="11" t="s">
        <v>2127</v>
      </c>
      <c r="I2694" s="11" t="s">
        <v>2126</v>
      </c>
      <c r="J2694" s="11" t="s">
        <v>2126</v>
      </c>
      <c r="K2694" s="9" t="s">
        <v>2128</v>
      </c>
      <c r="L2694" s="9" t="s">
        <v>17759</v>
      </c>
      <c r="M2694" s="9" t="s">
        <v>23186</v>
      </c>
      <c r="N2694" s="9" t="s">
        <v>17746</v>
      </c>
      <c r="O2694" s="9" t="s">
        <v>17993</v>
      </c>
      <c r="P2694" s="9" t="s">
        <v>17748</v>
      </c>
      <c r="Q2694" s="11" t="s">
        <v>18556</v>
      </c>
      <c r="R2694" s="11" t="s">
        <v>18556</v>
      </c>
      <c r="S2694" s="11" t="s">
        <v>17750</v>
      </c>
    </row>
    <row r="2695" spans="1:19" x14ac:dyDescent="0.2">
      <c r="A2695" s="11" t="s">
        <v>33434</v>
      </c>
      <c r="B2695" s="9" t="s">
        <v>33435</v>
      </c>
      <c r="C2695" s="9" t="s">
        <v>33436</v>
      </c>
      <c r="D2695" s="9" t="s">
        <v>33437</v>
      </c>
      <c r="E2695" s="9" t="s">
        <v>17748</v>
      </c>
      <c r="F2695" s="9" t="s">
        <v>33438</v>
      </c>
      <c r="G2695" s="9" t="s">
        <v>17740</v>
      </c>
      <c r="H2695" s="11" t="s">
        <v>33439</v>
      </c>
      <c r="I2695" s="11" t="s">
        <v>16569</v>
      </c>
      <c r="J2695" s="11" t="s">
        <v>17741</v>
      </c>
      <c r="K2695" s="9" t="s">
        <v>17741</v>
      </c>
      <c r="L2695" s="9" t="s">
        <v>17759</v>
      </c>
      <c r="M2695" s="9" t="s">
        <v>17817</v>
      </c>
      <c r="N2695" s="9" t="s">
        <v>17746</v>
      </c>
      <c r="O2695" s="9" t="s">
        <v>5790</v>
      </c>
      <c r="P2695" s="9" t="s">
        <v>17748</v>
      </c>
      <c r="Q2695" s="11" t="s">
        <v>18089</v>
      </c>
      <c r="R2695" s="11" t="s">
        <v>18089</v>
      </c>
      <c r="S2695" s="11" t="s">
        <v>17750</v>
      </c>
    </row>
    <row r="2696" spans="1:19" x14ac:dyDescent="0.2">
      <c r="A2696" s="11" t="s">
        <v>33440</v>
      </c>
      <c r="B2696" s="9" t="s">
        <v>33441</v>
      </c>
      <c r="C2696" s="9" t="s">
        <v>33442</v>
      </c>
      <c r="D2696" s="9" t="s">
        <v>33443</v>
      </c>
      <c r="E2696" s="9" t="s">
        <v>17748</v>
      </c>
      <c r="F2696" s="9" t="s">
        <v>33444</v>
      </c>
      <c r="G2696" s="9" t="s">
        <v>17740</v>
      </c>
      <c r="H2696" s="11" t="s">
        <v>33445</v>
      </c>
      <c r="I2696" s="11" t="s">
        <v>33446</v>
      </c>
      <c r="J2696" s="11" t="s">
        <v>33446</v>
      </c>
      <c r="K2696" s="9" t="s">
        <v>17741</v>
      </c>
      <c r="L2696" s="9" t="s">
        <v>17759</v>
      </c>
      <c r="M2696" s="9" t="s">
        <v>17769</v>
      </c>
      <c r="N2696" s="9" t="s">
        <v>17746</v>
      </c>
      <c r="O2696" s="9" t="s">
        <v>18035</v>
      </c>
      <c r="P2696" s="9" t="s">
        <v>17748</v>
      </c>
      <c r="Q2696" s="11" t="s">
        <v>18089</v>
      </c>
      <c r="R2696" s="11" t="s">
        <v>18089</v>
      </c>
      <c r="S2696" s="11" t="s">
        <v>17750</v>
      </c>
    </row>
    <row r="2697" spans="1:19" x14ac:dyDescent="0.2">
      <c r="A2697" s="11" t="s">
        <v>33447</v>
      </c>
      <c r="B2697" s="9" t="s">
        <v>33448</v>
      </c>
      <c r="C2697" s="9" t="s">
        <v>33449</v>
      </c>
      <c r="D2697" s="9" t="s">
        <v>33450</v>
      </c>
      <c r="E2697" s="9" t="s">
        <v>17748</v>
      </c>
      <c r="F2697" s="9" t="s">
        <v>33451</v>
      </c>
      <c r="G2697" s="9" t="s">
        <v>17740</v>
      </c>
      <c r="H2697" s="11" t="s">
        <v>33452</v>
      </c>
      <c r="I2697" s="11" t="s">
        <v>16571</v>
      </c>
      <c r="J2697" s="11" t="s">
        <v>16571</v>
      </c>
      <c r="K2697" s="9" t="s">
        <v>17741</v>
      </c>
      <c r="L2697" s="9" t="s">
        <v>17759</v>
      </c>
      <c r="M2697" s="9" t="s">
        <v>33453</v>
      </c>
      <c r="N2697" s="9" t="s">
        <v>17746</v>
      </c>
      <c r="O2697" s="9" t="s">
        <v>5938</v>
      </c>
      <c r="P2697" s="9" t="s">
        <v>17748</v>
      </c>
      <c r="Q2697" s="11" t="s">
        <v>18089</v>
      </c>
      <c r="R2697" s="11" t="s">
        <v>18089</v>
      </c>
      <c r="S2697" s="11" t="s">
        <v>17750</v>
      </c>
    </row>
    <row r="2698" spans="1:19" x14ac:dyDescent="0.2">
      <c r="A2698" s="11" t="s">
        <v>33454</v>
      </c>
      <c r="B2698" s="9" t="s">
        <v>33455</v>
      </c>
      <c r="C2698" s="9" t="s">
        <v>33456</v>
      </c>
      <c r="D2698" s="9" t="s">
        <v>33457</v>
      </c>
      <c r="E2698" s="9" t="s">
        <v>17748</v>
      </c>
      <c r="F2698" s="9" t="s">
        <v>33458</v>
      </c>
      <c r="G2698" s="9" t="s">
        <v>17740</v>
      </c>
      <c r="H2698" s="11" t="s">
        <v>33459</v>
      </c>
      <c r="I2698" s="11" t="s">
        <v>16573</v>
      </c>
      <c r="J2698" s="11" t="s">
        <v>16573</v>
      </c>
      <c r="K2698" s="9" t="s">
        <v>17741</v>
      </c>
      <c r="L2698" s="9" t="s">
        <v>17759</v>
      </c>
      <c r="M2698" s="9" t="s">
        <v>17817</v>
      </c>
      <c r="N2698" s="9" t="s">
        <v>17746</v>
      </c>
      <c r="O2698" s="9" t="s">
        <v>3100</v>
      </c>
      <c r="P2698" s="9" t="s">
        <v>17748</v>
      </c>
      <c r="Q2698" s="11" t="s">
        <v>18089</v>
      </c>
      <c r="R2698" s="11" t="s">
        <v>18089</v>
      </c>
      <c r="S2698" s="11" t="s">
        <v>17750</v>
      </c>
    </row>
    <row r="2699" spans="1:19" x14ac:dyDescent="0.2">
      <c r="A2699" s="11" t="s">
        <v>33460</v>
      </c>
      <c r="B2699" s="9" t="s">
        <v>33461</v>
      </c>
      <c r="C2699" s="9" t="s">
        <v>33462</v>
      </c>
      <c r="D2699" s="9" t="s">
        <v>33463</v>
      </c>
      <c r="E2699" s="9" t="s">
        <v>17748</v>
      </c>
      <c r="F2699" s="9" t="s">
        <v>33464</v>
      </c>
      <c r="G2699" s="9" t="s">
        <v>17740</v>
      </c>
      <c r="H2699" s="11" t="s">
        <v>33465</v>
      </c>
      <c r="I2699" s="11" t="s">
        <v>16575</v>
      </c>
      <c r="J2699" s="11" t="s">
        <v>16575</v>
      </c>
      <c r="K2699" s="9" t="s">
        <v>17741</v>
      </c>
      <c r="L2699" s="9" t="s">
        <v>17759</v>
      </c>
      <c r="M2699" s="9" t="s">
        <v>17817</v>
      </c>
      <c r="N2699" s="9" t="s">
        <v>17746</v>
      </c>
      <c r="O2699" s="9" t="s">
        <v>3255</v>
      </c>
      <c r="P2699" s="9" t="s">
        <v>17748</v>
      </c>
      <c r="Q2699" s="11" t="s">
        <v>18089</v>
      </c>
      <c r="R2699" s="11" t="s">
        <v>18089</v>
      </c>
      <c r="S2699" s="11" t="s">
        <v>17750</v>
      </c>
    </row>
    <row r="2700" spans="1:19" x14ac:dyDescent="0.2">
      <c r="A2700" s="11" t="s">
        <v>33466</v>
      </c>
      <c r="B2700" s="9" t="s">
        <v>33467</v>
      </c>
      <c r="C2700" s="9" t="s">
        <v>33468</v>
      </c>
      <c r="D2700" s="9" t="s">
        <v>33469</v>
      </c>
      <c r="E2700" s="9" t="s">
        <v>17748</v>
      </c>
      <c r="F2700" s="9" t="s">
        <v>33470</v>
      </c>
      <c r="G2700" s="9" t="s">
        <v>17740</v>
      </c>
      <c r="H2700" s="11" t="s">
        <v>33471</v>
      </c>
      <c r="I2700" s="11" t="s">
        <v>16577</v>
      </c>
      <c r="J2700" s="11" t="s">
        <v>16577</v>
      </c>
      <c r="K2700" s="9" t="s">
        <v>17741</v>
      </c>
      <c r="L2700" s="9" t="s">
        <v>17759</v>
      </c>
      <c r="M2700" s="9" t="s">
        <v>17817</v>
      </c>
      <c r="N2700" s="9" t="s">
        <v>17746</v>
      </c>
      <c r="O2700" s="9" t="s">
        <v>18418</v>
      </c>
      <c r="P2700" s="9" t="s">
        <v>17748</v>
      </c>
      <c r="Q2700" s="11" t="s">
        <v>18089</v>
      </c>
      <c r="R2700" s="11" t="s">
        <v>18089</v>
      </c>
      <c r="S2700" s="11" t="s">
        <v>17750</v>
      </c>
    </row>
    <row r="2701" spans="1:19" x14ac:dyDescent="0.2">
      <c r="A2701" s="11" t="s">
        <v>33472</v>
      </c>
      <c r="B2701" s="9" t="s">
        <v>33473</v>
      </c>
      <c r="C2701" s="9" t="s">
        <v>33474</v>
      </c>
      <c r="D2701" s="9" t="s">
        <v>33475</v>
      </c>
      <c r="E2701" s="9" t="s">
        <v>17748</v>
      </c>
      <c r="F2701" s="9" t="s">
        <v>33476</v>
      </c>
      <c r="G2701" s="9" t="s">
        <v>17740</v>
      </c>
      <c r="H2701" s="11" t="s">
        <v>33477</v>
      </c>
      <c r="I2701" s="11" t="s">
        <v>16579</v>
      </c>
      <c r="J2701" s="11" t="s">
        <v>16579</v>
      </c>
      <c r="K2701" s="9" t="s">
        <v>17741</v>
      </c>
      <c r="L2701" s="9" t="s">
        <v>17759</v>
      </c>
      <c r="M2701" s="9" t="s">
        <v>17817</v>
      </c>
      <c r="N2701" s="9" t="s">
        <v>17746</v>
      </c>
      <c r="O2701" s="9" t="s">
        <v>3355</v>
      </c>
      <c r="P2701" s="9" t="s">
        <v>17748</v>
      </c>
      <c r="Q2701" s="11" t="s">
        <v>18089</v>
      </c>
      <c r="R2701" s="11" t="s">
        <v>18089</v>
      </c>
      <c r="S2701" s="11" t="s">
        <v>17750</v>
      </c>
    </row>
    <row r="2702" spans="1:19" x14ac:dyDescent="0.2">
      <c r="A2702" s="11" t="s">
        <v>33478</v>
      </c>
      <c r="B2702" s="9" t="s">
        <v>33479</v>
      </c>
      <c r="C2702" s="9" t="s">
        <v>33480</v>
      </c>
      <c r="D2702" s="9" t="s">
        <v>16580</v>
      </c>
      <c r="E2702" s="9" t="s">
        <v>17748</v>
      </c>
      <c r="F2702" s="9" t="s">
        <v>33481</v>
      </c>
      <c r="G2702" s="9" t="s">
        <v>17740</v>
      </c>
      <c r="H2702" s="11" t="s">
        <v>33482</v>
      </c>
      <c r="I2702" s="11" t="s">
        <v>16581</v>
      </c>
      <c r="J2702" s="11" t="s">
        <v>16581</v>
      </c>
      <c r="K2702" s="9" t="s">
        <v>17741</v>
      </c>
      <c r="L2702" s="9" t="s">
        <v>17759</v>
      </c>
      <c r="M2702" s="9" t="s">
        <v>17817</v>
      </c>
      <c r="N2702" s="9" t="s">
        <v>17746</v>
      </c>
      <c r="O2702" s="9" t="s">
        <v>17834</v>
      </c>
      <c r="P2702" s="9" t="s">
        <v>17748</v>
      </c>
      <c r="Q2702" s="11" t="s">
        <v>18089</v>
      </c>
      <c r="R2702" s="11" t="s">
        <v>18089</v>
      </c>
      <c r="S2702" s="11" t="s">
        <v>17750</v>
      </c>
    </row>
    <row r="2703" spans="1:19" x14ac:dyDescent="0.2">
      <c r="A2703" s="11" t="s">
        <v>33483</v>
      </c>
      <c r="B2703" s="9" t="s">
        <v>33484</v>
      </c>
      <c r="C2703" s="9" t="s">
        <v>33485</v>
      </c>
      <c r="D2703" s="9" t="s">
        <v>33486</v>
      </c>
      <c r="E2703" s="9" t="s">
        <v>17748</v>
      </c>
      <c r="F2703" s="9" t="s">
        <v>33487</v>
      </c>
      <c r="G2703" s="9" t="s">
        <v>17740</v>
      </c>
      <c r="H2703" s="11" t="s">
        <v>33488</v>
      </c>
      <c r="I2703" s="11" t="s">
        <v>16583</v>
      </c>
      <c r="J2703" s="11" t="s">
        <v>16583</v>
      </c>
      <c r="K2703" s="9" t="s">
        <v>17741</v>
      </c>
      <c r="L2703" s="9" t="s">
        <v>17759</v>
      </c>
      <c r="M2703" s="9" t="s">
        <v>17817</v>
      </c>
      <c r="N2703" s="9" t="s">
        <v>17746</v>
      </c>
      <c r="O2703" s="9" t="s">
        <v>18035</v>
      </c>
      <c r="P2703" s="9" t="s">
        <v>17748</v>
      </c>
      <c r="Q2703" s="11" t="s">
        <v>18089</v>
      </c>
      <c r="R2703" s="11" t="s">
        <v>18089</v>
      </c>
      <c r="S2703" s="11" t="s">
        <v>17750</v>
      </c>
    </row>
    <row r="2704" spans="1:19" x14ac:dyDescent="0.2">
      <c r="A2704" s="11" t="s">
        <v>33489</v>
      </c>
      <c r="B2704" s="9" t="s">
        <v>33490</v>
      </c>
      <c r="C2704" s="9" t="s">
        <v>33491</v>
      </c>
      <c r="D2704" s="9" t="s">
        <v>33492</v>
      </c>
      <c r="E2704" s="9" t="s">
        <v>17740</v>
      </c>
      <c r="F2704" s="9" t="s">
        <v>17741</v>
      </c>
      <c r="G2704" s="9" t="s">
        <v>17740</v>
      </c>
      <c r="H2704" s="11" t="s">
        <v>33493</v>
      </c>
      <c r="I2704" s="11" t="s">
        <v>33494</v>
      </c>
      <c r="J2704" s="11" t="s">
        <v>33493</v>
      </c>
      <c r="K2704" s="9" t="s">
        <v>20225</v>
      </c>
      <c r="L2704" s="9" t="s">
        <v>18242</v>
      </c>
      <c r="M2704" s="9" t="s">
        <v>33495</v>
      </c>
      <c r="N2704" s="9" t="s">
        <v>17746</v>
      </c>
      <c r="O2704" s="9" t="s">
        <v>17800</v>
      </c>
      <c r="P2704" s="9" t="s">
        <v>17748</v>
      </c>
      <c r="Q2704" s="11" t="s">
        <v>17780</v>
      </c>
      <c r="R2704" s="11" t="s">
        <v>17780</v>
      </c>
      <c r="S2704" s="11" t="s">
        <v>17750</v>
      </c>
    </row>
    <row r="2705" spans="1:19" x14ac:dyDescent="0.2">
      <c r="A2705" s="11" t="s">
        <v>33496</v>
      </c>
      <c r="B2705" s="9" t="s">
        <v>33497</v>
      </c>
      <c r="C2705" s="9" t="s">
        <v>33498</v>
      </c>
      <c r="D2705" s="9" t="s">
        <v>33499</v>
      </c>
      <c r="E2705" s="9" t="s">
        <v>17748</v>
      </c>
      <c r="F2705" s="9" t="s">
        <v>33500</v>
      </c>
      <c r="G2705" s="9" t="s">
        <v>17740</v>
      </c>
      <c r="H2705" s="11" t="s">
        <v>17741</v>
      </c>
      <c r="I2705" s="11" t="s">
        <v>33501</v>
      </c>
      <c r="J2705" s="11" t="s">
        <v>33501</v>
      </c>
      <c r="K2705" s="9" t="s">
        <v>91</v>
      </c>
      <c r="L2705" s="9" t="s">
        <v>18001</v>
      </c>
      <c r="M2705" s="9" t="s">
        <v>19058</v>
      </c>
      <c r="N2705" s="9" t="s">
        <v>17746</v>
      </c>
      <c r="O2705" s="9" t="s">
        <v>18340</v>
      </c>
      <c r="P2705" s="9" t="s">
        <v>17748</v>
      </c>
      <c r="Q2705" s="11" t="s">
        <v>18370</v>
      </c>
      <c r="R2705" s="11" t="s">
        <v>18370</v>
      </c>
      <c r="S2705" s="11" t="s">
        <v>17750</v>
      </c>
    </row>
    <row r="2706" spans="1:19" x14ac:dyDescent="0.2">
      <c r="A2706" s="11" t="s">
        <v>33502</v>
      </c>
      <c r="B2706" s="9" t="s">
        <v>33503</v>
      </c>
      <c r="C2706" s="9" t="s">
        <v>33504</v>
      </c>
      <c r="D2706" s="9" t="s">
        <v>33505</v>
      </c>
      <c r="E2706" s="9" t="s">
        <v>17740</v>
      </c>
      <c r="F2706" s="9" t="s">
        <v>33506</v>
      </c>
      <c r="G2706" s="9" t="s">
        <v>17740</v>
      </c>
      <c r="H2706" s="11" t="s">
        <v>17741</v>
      </c>
      <c r="I2706" s="11" t="s">
        <v>2394</v>
      </c>
      <c r="J2706" s="11" t="s">
        <v>2394</v>
      </c>
      <c r="K2706" s="9" t="s">
        <v>33507</v>
      </c>
      <c r="L2706" s="9" t="s">
        <v>18242</v>
      </c>
      <c r="M2706" s="9" t="s">
        <v>22360</v>
      </c>
      <c r="N2706" s="9" t="s">
        <v>21524</v>
      </c>
      <c r="O2706" s="9" t="s">
        <v>15993</v>
      </c>
      <c r="P2706" s="9" t="s">
        <v>17748</v>
      </c>
      <c r="Q2706" s="11" t="s">
        <v>17883</v>
      </c>
      <c r="R2706" s="11" t="s">
        <v>17883</v>
      </c>
      <c r="S2706" s="11" t="s">
        <v>17750</v>
      </c>
    </row>
    <row r="2707" spans="1:19" x14ac:dyDescent="0.2">
      <c r="A2707" s="11" t="s">
        <v>33508</v>
      </c>
      <c r="B2707" s="9" t="s">
        <v>33509</v>
      </c>
      <c r="C2707" s="9" t="s">
        <v>33510</v>
      </c>
      <c r="D2707" s="9" t="s">
        <v>33511</v>
      </c>
      <c r="E2707" s="9" t="s">
        <v>17740</v>
      </c>
      <c r="F2707" s="9" t="s">
        <v>17741</v>
      </c>
      <c r="G2707" s="9" t="s">
        <v>17740</v>
      </c>
      <c r="H2707" s="11" t="s">
        <v>2402</v>
      </c>
      <c r="I2707" s="11" t="s">
        <v>2401</v>
      </c>
      <c r="J2707" s="11" t="s">
        <v>2401</v>
      </c>
      <c r="K2707" s="9" t="s">
        <v>55</v>
      </c>
      <c r="L2707" s="9" t="s">
        <v>17744</v>
      </c>
      <c r="M2707" s="9" t="s">
        <v>17817</v>
      </c>
      <c r="N2707" s="9" t="s">
        <v>17746</v>
      </c>
      <c r="O2707" s="9" t="s">
        <v>18363</v>
      </c>
      <c r="P2707" s="9" t="s">
        <v>17748</v>
      </c>
      <c r="Q2707" s="11" t="s">
        <v>19899</v>
      </c>
      <c r="R2707" s="11" t="s">
        <v>19899</v>
      </c>
      <c r="S2707" s="11" t="s">
        <v>17750</v>
      </c>
    </row>
    <row r="2708" spans="1:19" x14ac:dyDescent="0.2">
      <c r="A2708" s="11" t="s">
        <v>33512</v>
      </c>
      <c r="B2708" s="9" t="s">
        <v>33513</v>
      </c>
      <c r="C2708" s="9" t="s">
        <v>33514</v>
      </c>
      <c r="D2708" s="9" t="s">
        <v>33515</v>
      </c>
      <c r="E2708" s="9" t="s">
        <v>17748</v>
      </c>
      <c r="F2708" s="9" t="s">
        <v>33516</v>
      </c>
      <c r="G2708" s="9" t="s">
        <v>17740</v>
      </c>
      <c r="H2708" s="11" t="s">
        <v>8265</v>
      </c>
      <c r="I2708" s="11" t="s">
        <v>8264</v>
      </c>
      <c r="J2708" s="11" t="s">
        <v>8264</v>
      </c>
      <c r="K2708" s="9" t="s">
        <v>33517</v>
      </c>
      <c r="L2708" s="9" t="s">
        <v>18242</v>
      </c>
      <c r="M2708" s="9" t="s">
        <v>17769</v>
      </c>
      <c r="N2708" s="9" t="s">
        <v>17746</v>
      </c>
      <c r="O2708" s="9" t="s">
        <v>19659</v>
      </c>
      <c r="P2708" s="9" t="s">
        <v>17748</v>
      </c>
      <c r="Q2708" s="11" t="s">
        <v>18356</v>
      </c>
      <c r="R2708" s="11" t="s">
        <v>18356</v>
      </c>
      <c r="S2708" s="11" t="s">
        <v>17750</v>
      </c>
    </row>
    <row r="2709" spans="1:19" x14ac:dyDescent="0.2">
      <c r="A2709" s="11" t="s">
        <v>33518</v>
      </c>
      <c r="B2709" s="9" t="s">
        <v>33519</v>
      </c>
      <c r="C2709" s="9" t="s">
        <v>33520</v>
      </c>
      <c r="D2709" s="9" t="s">
        <v>33521</v>
      </c>
      <c r="E2709" s="9" t="s">
        <v>17740</v>
      </c>
      <c r="F2709" s="9" t="s">
        <v>17741</v>
      </c>
      <c r="G2709" s="9" t="s">
        <v>17740</v>
      </c>
      <c r="H2709" s="11" t="s">
        <v>2408</v>
      </c>
      <c r="I2709" s="11" t="s">
        <v>2407</v>
      </c>
      <c r="J2709" s="11" t="s">
        <v>2407</v>
      </c>
      <c r="K2709" s="9" t="s">
        <v>33522</v>
      </c>
      <c r="L2709" s="9" t="s">
        <v>18242</v>
      </c>
      <c r="M2709" s="9" t="s">
        <v>29840</v>
      </c>
      <c r="N2709" s="9" t="s">
        <v>17746</v>
      </c>
      <c r="O2709" s="9" t="s">
        <v>3255</v>
      </c>
      <c r="P2709" s="9" t="s">
        <v>17748</v>
      </c>
      <c r="Q2709" s="11" t="s">
        <v>17937</v>
      </c>
      <c r="R2709" s="11" t="s">
        <v>17937</v>
      </c>
      <c r="S2709" s="11" t="s">
        <v>17750</v>
      </c>
    </row>
    <row r="2710" spans="1:19" x14ac:dyDescent="0.2">
      <c r="A2710" s="11" t="s">
        <v>33523</v>
      </c>
      <c r="B2710" s="9" t="s">
        <v>33524</v>
      </c>
      <c r="C2710" s="9" t="s">
        <v>33525</v>
      </c>
      <c r="D2710" s="9" t="s">
        <v>33526</v>
      </c>
      <c r="E2710" s="9" t="s">
        <v>17748</v>
      </c>
      <c r="F2710" s="9" t="s">
        <v>33527</v>
      </c>
      <c r="G2710" s="9" t="s">
        <v>17740</v>
      </c>
      <c r="H2710" s="11" t="s">
        <v>13341</v>
      </c>
      <c r="I2710" s="11" t="s">
        <v>13340</v>
      </c>
      <c r="J2710" s="11" t="s">
        <v>13340</v>
      </c>
      <c r="K2710" s="9" t="s">
        <v>17783</v>
      </c>
      <c r="L2710" s="9" t="s">
        <v>18242</v>
      </c>
      <c r="M2710" s="9" t="s">
        <v>19168</v>
      </c>
      <c r="N2710" s="9" t="s">
        <v>17746</v>
      </c>
      <c r="O2710" s="9" t="s">
        <v>33528</v>
      </c>
      <c r="P2710" s="9" t="s">
        <v>17748</v>
      </c>
      <c r="Q2710" s="11" t="s">
        <v>17825</v>
      </c>
      <c r="R2710" s="11" t="s">
        <v>17825</v>
      </c>
      <c r="S2710" s="11" t="s">
        <v>17750</v>
      </c>
    </row>
    <row r="2711" spans="1:19" x14ac:dyDescent="0.2">
      <c r="A2711" s="11" t="s">
        <v>33529</v>
      </c>
      <c r="B2711" s="9" t="s">
        <v>33530</v>
      </c>
      <c r="C2711" s="9" t="s">
        <v>33531</v>
      </c>
      <c r="D2711" s="9" t="s">
        <v>33532</v>
      </c>
      <c r="E2711" s="9" t="s">
        <v>17740</v>
      </c>
      <c r="F2711" s="9" t="s">
        <v>33533</v>
      </c>
      <c r="G2711" s="9" t="s">
        <v>17740</v>
      </c>
      <c r="H2711" s="11" t="s">
        <v>17741</v>
      </c>
      <c r="I2711" s="11" t="s">
        <v>33534</v>
      </c>
      <c r="J2711" s="11" t="s">
        <v>33534</v>
      </c>
      <c r="K2711" s="9" t="s">
        <v>33535</v>
      </c>
      <c r="L2711" s="9" t="s">
        <v>18242</v>
      </c>
      <c r="M2711" s="9" t="s">
        <v>17778</v>
      </c>
      <c r="N2711" s="9" t="s">
        <v>17746</v>
      </c>
      <c r="O2711" s="9" t="s">
        <v>18563</v>
      </c>
      <c r="P2711" s="9" t="s">
        <v>17748</v>
      </c>
      <c r="Q2711" s="11" t="s">
        <v>17969</v>
      </c>
      <c r="R2711" s="11" t="s">
        <v>17969</v>
      </c>
      <c r="S2711" s="11" t="s">
        <v>17750</v>
      </c>
    </row>
    <row r="2712" spans="1:19" x14ac:dyDescent="0.2">
      <c r="A2712" s="11" t="s">
        <v>33536</v>
      </c>
      <c r="B2712" s="9" t="s">
        <v>33537</v>
      </c>
      <c r="C2712" s="9" t="s">
        <v>33538</v>
      </c>
      <c r="D2712" s="9" t="s">
        <v>33539</v>
      </c>
      <c r="E2712" s="9" t="s">
        <v>17740</v>
      </c>
      <c r="F2712" s="9" t="s">
        <v>17741</v>
      </c>
      <c r="G2712" s="9" t="s">
        <v>17740</v>
      </c>
      <c r="H2712" s="11" t="s">
        <v>17741</v>
      </c>
      <c r="I2712" s="11" t="s">
        <v>33540</v>
      </c>
      <c r="J2712" s="11" t="s">
        <v>33540</v>
      </c>
      <c r="K2712" s="9" t="s">
        <v>33541</v>
      </c>
      <c r="L2712" s="9" t="s">
        <v>18242</v>
      </c>
      <c r="M2712" s="9" t="s">
        <v>18745</v>
      </c>
      <c r="N2712" s="9" t="s">
        <v>17746</v>
      </c>
      <c r="O2712" s="9" t="s">
        <v>17857</v>
      </c>
      <c r="P2712" s="9" t="s">
        <v>17748</v>
      </c>
      <c r="Q2712" s="11" t="s">
        <v>19515</v>
      </c>
      <c r="R2712" s="11" t="s">
        <v>19515</v>
      </c>
      <c r="S2712" s="11" t="s">
        <v>17750</v>
      </c>
    </row>
    <row r="2713" spans="1:19" x14ac:dyDescent="0.2">
      <c r="A2713" s="11" t="s">
        <v>33542</v>
      </c>
      <c r="B2713" s="9" t="s">
        <v>33543</v>
      </c>
      <c r="C2713" s="9" t="s">
        <v>33544</v>
      </c>
      <c r="D2713" s="9" t="s">
        <v>5360</v>
      </c>
      <c r="E2713" s="9" t="s">
        <v>17748</v>
      </c>
      <c r="F2713" s="9" t="s">
        <v>33545</v>
      </c>
      <c r="G2713" s="9" t="s">
        <v>17740</v>
      </c>
      <c r="H2713" s="11" t="s">
        <v>17741</v>
      </c>
      <c r="I2713" s="11" t="s">
        <v>33546</v>
      </c>
      <c r="J2713" s="11" t="s">
        <v>33546</v>
      </c>
      <c r="K2713" s="9" t="s">
        <v>33547</v>
      </c>
      <c r="L2713" s="9" t="s">
        <v>17929</v>
      </c>
      <c r="M2713" s="9" t="s">
        <v>17769</v>
      </c>
      <c r="N2713" s="9" t="s">
        <v>17930</v>
      </c>
      <c r="O2713" s="9" t="s">
        <v>3543</v>
      </c>
      <c r="P2713" s="9" t="s">
        <v>17748</v>
      </c>
      <c r="Q2713" s="11" t="s">
        <v>18356</v>
      </c>
      <c r="R2713" s="11" t="s">
        <v>18356</v>
      </c>
      <c r="S2713" s="11" t="s">
        <v>17750</v>
      </c>
    </row>
    <row r="2714" spans="1:19" x14ac:dyDescent="0.2">
      <c r="A2714" s="11" t="s">
        <v>33548</v>
      </c>
      <c r="B2714" s="9" t="s">
        <v>33549</v>
      </c>
      <c r="C2714" s="9" t="s">
        <v>33550</v>
      </c>
      <c r="D2714" s="9" t="s">
        <v>33551</v>
      </c>
      <c r="E2714" s="9" t="s">
        <v>17740</v>
      </c>
      <c r="F2714" s="9" t="s">
        <v>33552</v>
      </c>
      <c r="G2714" s="9" t="s">
        <v>17740</v>
      </c>
      <c r="H2714" s="11" t="s">
        <v>17741</v>
      </c>
      <c r="I2714" s="11" t="s">
        <v>33553</v>
      </c>
      <c r="J2714" s="11" t="s">
        <v>33553</v>
      </c>
      <c r="K2714" s="9" t="s">
        <v>33554</v>
      </c>
      <c r="L2714" s="9" t="s">
        <v>17759</v>
      </c>
      <c r="M2714" s="9" t="s">
        <v>17817</v>
      </c>
      <c r="N2714" s="9" t="s">
        <v>17746</v>
      </c>
      <c r="O2714" s="9" t="s">
        <v>27864</v>
      </c>
      <c r="P2714" s="9" t="s">
        <v>17748</v>
      </c>
      <c r="Q2714" s="11" t="s">
        <v>19222</v>
      </c>
      <c r="R2714" s="11" t="s">
        <v>19222</v>
      </c>
      <c r="S2714" s="11" t="s">
        <v>17750</v>
      </c>
    </row>
    <row r="2715" spans="1:19" x14ac:dyDescent="0.2">
      <c r="A2715" s="11" t="s">
        <v>33555</v>
      </c>
      <c r="B2715" s="9" t="s">
        <v>33556</v>
      </c>
      <c r="C2715" s="9" t="s">
        <v>33557</v>
      </c>
      <c r="D2715" s="9" t="s">
        <v>33558</v>
      </c>
      <c r="E2715" s="9" t="s">
        <v>17740</v>
      </c>
      <c r="F2715" s="9" t="s">
        <v>17741</v>
      </c>
      <c r="G2715" s="9" t="s">
        <v>17740</v>
      </c>
      <c r="H2715" s="11" t="s">
        <v>33559</v>
      </c>
      <c r="I2715" s="11" t="s">
        <v>10525</v>
      </c>
      <c r="J2715" s="11" t="s">
        <v>10525</v>
      </c>
      <c r="K2715" s="9" t="s">
        <v>10526</v>
      </c>
      <c r="L2715" s="9" t="s">
        <v>33560</v>
      </c>
      <c r="M2715" s="9" t="s">
        <v>17760</v>
      </c>
      <c r="N2715" s="9" t="s">
        <v>17746</v>
      </c>
      <c r="O2715" s="9" t="s">
        <v>17993</v>
      </c>
      <c r="P2715" s="9" t="s">
        <v>17748</v>
      </c>
      <c r="Q2715" s="11" t="s">
        <v>17849</v>
      </c>
      <c r="R2715" s="11" t="s">
        <v>17849</v>
      </c>
      <c r="S2715" s="11" t="s">
        <v>17750</v>
      </c>
    </row>
    <row r="2716" spans="1:19" x14ac:dyDescent="0.2">
      <c r="A2716" s="11" t="s">
        <v>33561</v>
      </c>
      <c r="B2716" s="9" t="s">
        <v>33562</v>
      </c>
      <c r="C2716" s="9" t="s">
        <v>33563</v>
      </c>
      <c r="D2716" s="9" t="s">
        <v>33564</v>
      </c>
      <c r="E2716" s="9" t="s">
        <v>17740</v>
      </c>
      <c r="F2716" s="9" t="s">
        <v>17741</v>
      </c>
      <c r="G2716" s="9" t="s">
        <v>17740</v>
      </c>
      <c r="H2716" s="11" t="s">
        <v>17741</v>
      </c>
      <c r="I2716" s="11" t="s">
        <v>33565</v>
      </c>
      <c r="J2716" s="11" t="s">
        <v>33565</v>
      </c>
      <c r="K2716" s="9" t="s">
        <v>33566</v>
      </c>
      <c r="L2716" s="9" t="s">
        <v>17759</v>
      </c>
      <c r="M2716" s="9" t="s">
        <v>17817</v>
      </c>
      <c r="N2716" s="9" t="s">
        <v>17746</v>
      </c>
      <c r="O2716" s="9" t="s">
        <v>33567</v>
      </c>
      <c r="P2716" s="9" t="s">
        <v>17748</v>
      </c>
      <c r="Q2716" s="11" t="s">
        <v>17819</v>
      </c>
      <c r="R2716" s="11" t="s">
        <v>17819</v>
      </c>
      <c r="S2716" s="11" t="s">
        <v>17750</v>
      </c>
    </row>
    <row r="2717" spans="1:19" x14ac:dyDescent="0.2">
      <c r="A2717" s="11" t="s">
        <v>33568</v>
      </c>
      <c r="B2717" s="9" t="s">
        <v>33569</v>
      </c>
      <c r="C2717" s="9" t="s">
        <v>33570</v>
      </c>
      <c r="D2717" s="9" t="s">
        <v>33571</v>
      </c>
      <c r="E2717" s="9" t="s">
        <v>17748</v>
      </c>
      <c r="F2717" s="9" t="s">
        <v>33572</v>
      </c>
      <c r="G2717" s="9" t="s">
        <v>17740</v>
      </c>
      <c r="H2717" s="11" t="s">
        <v>33573</v>
      </c>
      <c r="I2717" s="11" t="s">
        <v>33574</v>
      </c>
      <c r="J2717" s="11" t="s">
        <v>33574</v>
      </c>
      <c r="K2717" s="9" t="s">
        <v>33575</v>
      </c>
      <c r="L2717" s="9" t="s">
        <v>17759</v>
      </c>
      <c r="M2717" s="9" t="s">
        <v>17817</v>
      </c>
      <c r="N2717" s="9" t="s">
        <v>17746</v>
      </c>
      <c r="O2717" s="9" t="s">
        <v>17848</v>
      </c>
      <c r="P2717" s="9" t="s">
        <v>17748</v>
      </c>
      <c r="Q2717" s="11" t="s">
        <v>17984</v>
      </c>
      <c r="R2717" s="11" t="s">
        <v>17984</v>
      </c>
      <c r="S2717" s="11" t="s">
        <v>17750</v>
      </c>
    </row>
    <row r="2718" spans="1:19" x14ac:dyDescent="0.2">
      <c r="A2718" s="11" t="s">
        <v>33576</v>
      </c>
      <c r="B2718" s="9" t="s">
        <v>33577</v>
      </c>
      <c r="C2718" s="9" t="s">
        <v>33578</v>
      </c>
      <c r="D2718" s="9" t="s">
        <v>33579</v>
      </c>
      <c r="E2718" s="9" t="s">
        <v>17740</v>
      </c>
      <c r="F2718" s="9" t="s">
        <v>33580</v>
      </c>
      <c r="G2718" s="9" t="s">
        <v>17740</v>
      </c>
      <c r="H2718" s="11" t="s">
        <v>17741</v>
      </c>
      <c r="I2718" s="11" t="s">
        <v>33581</v>
      </c>
      <c r="J2718" s="11" t="s">
        <v>33581</v>
      </c>
      <c r="K2718" s="9" t="s">
        <v>33582</v>
      </c>
      <c r="L2718" s="9" t="s">
        <v>17759</v>
      </c>
      <c r="M2718" s="9" t="s">
        <v>18289</v>
      </c>
      <c r="N2718" s="9" t="s">
        <v>17746</v>
      </c>
      <c r="O2718" s="9" t="s">
        <v>17857</v>
      </c>
      <c r="P2718" s="9" t="s">
        <v>17748</v>
      </c>
      <c r="Q2718" s="11" t="s">
        <v>18364</v>
      </c>
      <c r="R2718" s="11" t="s">
        <v>18364</v>
      </c>
      <c r="S2718" s="11" t="s">
        <v>17750</v>
      </c>
    </row>
    <row r="2719" spans="1:19" x14ac:dyDescent="0.2">
      <c r="A2719" s="11" t="s">
        <v>33583</v>
      </c>
      <c r="B2719" s="9" t="s">
        <v>33584</v>
      </c>
      <c r="C2719" s="9" t="s">
        <v>33585</v>
      </c>
      <c r="D2719" s="9" t="s">
        <v>33586</v>
      </c>
      <c r="E2719" s="9" t="s">
        <v>17740</v>
      </c>
      <c r="F2719" s="9" t="s">
        <v>33587</v>
      </c>
      <c r="G2719" s="9" t="s">
        <v>17740</v>
      </c>
      <c r="H2719" s="11" t="s">
        <v>17741</v>
      </c>
      <c r="I2719" s="11" t="s">
        <v>17741</v>
      </c>
      <c r="J2719" s="11" t="s">
        <v>17741</v>
      </c>
      <c r="K2719" s="9" t="s">
        <v>33588</v>
      </c>
      <c r="L2719" s="9" t="s">
        <v>17759</v>
      </c>
      <c r="M2719" s="9" t="s">
        <v>18745</v>
      </c>
      <c r="N2719" s="9" t="s">
        <v>17746</v>
      </c>
      <c r="O2719" s="9" t="s">
        <v>18563</v>
      </c>
      <c r="P2719" s="9" t="s">
        <v>17748</v>
      </c>
      <c r="Q2719" s="11" t="s">
        <v>23398</v>
      </c>
      <c r="R2719" s="11" t="s">
        <v>23398</v>
      </c>
      <c r="S2719" s="11" t="s">
        <v>17750</v>
      </c>
    </row>
    <row r="2720" spans="1:19" x14ac:dyDescent="0.2">
      <c r="A2720" s="11" t="s">
        <v>33589</v>
      </c>
      <c r="B2720" s="9" t="s">
        <v>33590</v>
      </c>
      <c r="C2720" s="9" t="s">
        <v>33591</v>
      </c>
      <c r="D2720" s="9" t="s">
        <v>8389</v>
      </c>
      <c r="E2720" s="9" t="s">
        <v>17748</v>
      </c>
      <c r="F2720" s="9" t="s">
        <v>33592</v>
      </c>
      <c r="G2720" s="9" t="s">
        <v>17740</v>
      </c>
      <c r="H2720" s="11" t="s">
        <v>8391</v>
      </c>
      <c r="I2720" s="11" t="s">
        <v>8390</v>
      </c>
      <c r="J2720" s="11" t="s">
        <v>8390</v>
      </c>
      <c r="K2720" s="9" t="s">
        <v>24927</v>
      </c>
      <c r="L2720" s="9" t="s">
        <v>20359</v>
      </c>
      <c r="M2720" s="9" t="s">
        <v>17769</v>
      </c>
      <c r="N2720" s="9" t="s">
        <v>17746</v>
      </c>
      <c r="O2720" s="9" t="s">
        <v>18534</v>
      </c>
      <c r="P2720" s="9" t="s">
        <v>17748</v>
      </c>
      <c r="Q2720" s="11" t="s">
        <v>17784</v>
      </c>
      <c r="R2720" s="11" t="s">
        <v>17784</v>
      </c>
      <c r="S2720" s="11" t="s">
        <v>17750</v>
      </c>
    </row>
    <row r="2721" spans="1:19" x14ac:dyDescent="0.2">
      <c r="A2721" s="11" t="s">
        <v>33593</v>
      </c>
      <c r="B2721" s="9" t="s">
        <v>33594</v>
      </c>
      <c r="C2721" s="9" t="s">
        <v>33595</v>
      </c>
      <c r="D2721" s="9" t="s">
        <v>33596</v>
      </c>
      <c r="E2721" s="9" t="s">
        <v>17740</v>
      </c>
      <c r="F2721" s="9" t="s">
        <v>17741</v>
      </c>
      <c r="G2721" s="9" t="s">
        <v>17740</v>
      </c>
      <c r="H2721" s="11" t="s">
        <v>33597</v>
      </c>
      <c r="I2721" s="11" t="s">
        <v>33598</v>
      </c>
      <c r="J2721" s="11" t="s">
        <v>33598</v>
      </c>
      <c r="K2721" s="9" t="s">
        <v>17758</v>
      </c>
      <c r="L2721" s="9" t="s">
        <v>17759</v>
      </c>
      <c r="M2721" s="9" t="s">
        <v>17760</v>
      </c>
      <c r="N2721" s="9" t="s">
        <v>17746</v>
      </c>
      <c r="O2721" s="9" t="s">
        <v>33599</v>
      </c>
      <c r="P2721" s="9" t="s">
        <v>17748</v>
      </c>
      <c r="Q2721" s="11" t="s">
        <v>18356</v>
      </c>
      <c r="R2721" s="11" t="s">
        <v>18356</v>
      </c>
      <c r="S2721" s="11" t="s">
        <v>17750</v>
      </c>
    </row>
    <row r="2722" spans="1:19" x14ac:dyDescent="0.2">
      <c r="A2722" s="11" t="s">
        <v>33600</v>
      </c>
      <c r="B2722" s="9" t="s">
        <v>33601</v>
      </c>
      <c r="C2722" s="9" t="s">
        <v>33602</v>
      </c>
      <c r="D2722" s="9" t="s">
        <v>33603</v>
      </c>
      <c r="E2722" s="9" t="s">
        <v>17740</v>
      </c>
      <c r="F2722" s="9" t="s">
        <v>17741</v>
      </c>
      <c r="G2722" s="9" t="s">
        <v>17740</v>
      </c>
      <c r="H2722" s="11" t="s">
        <v>9242</v>
      </c>
      <c r="I2722" s="11" t="s">
        <v>17741</v>
      </c>
      <c r="J2722" s="11" t="s">
        <v>9242</v>
      </c>
      <c r="K2722" s="9" t="s">
        <v>33604</v>
      </c>
      <c r="L2722" s="9" t="s">
        <v>17991</v>
      </c>
      <c r="M2722" s="9" t="s">
        <v>17769</v>
      </c>
      <c r="N2722" s="9" t="s">
        <v>17746</v>
      </c>
      <c r="O2722" s="9" t="s">
        <v>33277</v>
      </c>
      <c r="P2722" s="9" t="s">
        <v>17748</v>
      </c>
      <c r="Q2722" s="11" t="s">
        <v>17784</v>
      </c>
      <c r="R2722" s="11" t="s">
        <v>17784</v>
      </c>
      <c r="S2722" s="11" t="s">
        <v>17750</v>
      </c>
    </row>
    <row r="2723" spans="1:19" x14ac:dyDescent="0.2">
      <c r="A2723" s="11" t="s">
        <v>33605</v>
      </c>
      <c r="B2723" s="9" t="s">
        <v>33606</v>
      </c>
      <c r="C2723" s="9" t="s">
        <v>33607</v>
      </c>
      <c r="D2723" s="9" t="s">
        <v>33608</v>
      </c>
      <c r="E2723" s="9" t="s">
        <v>17740</v>
      </c>
      <c r="F2723" s="9" t="s">
        <v>17741</v>
      </c>
      <c r="G2723" s="9" t="s">
        <v>17740</v>
      </c>
      <c r="H2723" s="11" t="s">
        <v>33609</v>
      </c>
      <c r="I2723" s="11" t="s">
        <v>33610</v>
      </c>
      <c r="J2723" s="11" t="s">
        <v>33610</v>
      </c>
      <c r="K2723" s="9" t="s">
        <v>23382</v>
      </c>
      <c r="L2723" s="9" t="s">
        <v>18058</v>
      </c>
      <c r="M2723" s="9" t="s">
        <v>17760</v>
      </c>
      <c r="N2723" s="9" t="s">
        <v>21551</v>
      </c>
      <c r="O2723" s="9" t="s">
        <v>7269</v>
      </c>
      <c r="P2723" s="9" t="s">
        <v>17748</v>
      </c>
      <c r="Q2723" s="11" t="s">
        <v>18251</v>
      </c>
      <c r="R2723" s="11" t="s">
        <v>18251</v>
      </c>
      <c r="S2723" s="11" t="s">
        <v>17750</v>
      </c>
    </row>
    <row r="2724" spans="1:19" x14ac:dyDescent="0.2">
      <c r="A2724" s="11" t="s">
        <v>33611</v>
      </c>
      <c r="B2724" s="9" t="s">
        <v>33612</v>
      </c>
      <c r="C2724" s="9" t="s">
        <v>33613</v>
      </c>
      <c r="D2724" s="9" t="s">
        <v>33614</v>
      </c>
      <c r="E2724" s="9" t="s">
        <v>17740</v>
      </c>
      <c r="F2724" s="9" t="s">
        <v>33615</v>
      </c>
      <c r="G2724" s="9" t="s">
        <v>17740</v>
      </c>
      <c r="H2724" s="11" t="s">
        <v>33616</v>
      </c>
      <c r="I2724" s="11" t="s">
        <v>33617</v>
      </c>
      <c r="J2724" s="11" t="s">
        <v>33617</v>
      </c>
      <c r="K2724" s="9" t="s">
        <v>33618</v>
      </c>
      <c r="L2724" s="9" t="s">
        <v>18058</v>
      </c>
      <c r="M2724" s="9" t="s">
        <v>19012</v>
      </c>
      <c r="N2724" s="9" t="s">
        <v>21551</v>
      </c>
      <c r="O2724" s="9" t="s">
        <v>15733</v>
      </c>
      <c r="P2724" s="9" t="s">
        <v>17748</v>
      </c>
      <c r="Q2724" s="11" t="s">
        <v>17780</v>
      </c>
      <c r="R2724" s="11" t="s">
        <v>17780</v>
      </c>
      <c r="S2724" s="11" t="s">
        <v>17750</v>
      </c>
    </row>
    <row r="2725" spans="1:19" x14ac:dyDescent="0.2">
      <c r="A2725" s="11" t="s">
        <v>33619</v>
      </c>
      <c r="B2725" s="9" t="s">
        <v>33620</v>
      </c>
      <c r="C2725" s="9" t="s">
        <v>33621</v>
      </c>
      <c r="D2725" s="9" t="s">
        <v>33622</v>
      </c>
      <c r="E2725" s="9" t="s">
        <v>17740</v>
      </c>
      <c r="F2725" s="9" t="s">
        <v>17741</v>
      </c>
      <c r="G2725" s="9" t="s">
        <v>17740</v>
      </c>
      <c r="H2725" s="11" t="s">
        <v>33623</v>
      </c>
      <c r="I2725" s="11" t="s">
        <v>2621</v>
      </c>
      <c r="J2725" s="11" t="s">
        <v>2621</v>
      </c>
      <c r="K2725" s="9" t="s">
        <v>33624</v>
      </c>
      <c r="L2725" s="9" t="s">
        <v>18058</v>
      </c>
      <c r="M2725" s="9" t="s">
        <v>17769</v>
      </c>
      <c r="N2725" s="9" t="s">
        <v>17746</v>
      </c>
      <c r="O2725" s="9" t="s">
        <v>3355</v>
      </c>
      <c r="P2725" s="9" t="s">
        <v>17748</v>
      </c>
      <c r="Q2725" s="11" t="s">
        <v>21012</v>
      </c>
      <c r="R2725" s="11" t="s">
        <v>21012</v>
      </c>
      <c r="S2725" s="11" t="s">
        <v>17750</v>
      </c>
    </row>
    <row r="2726" spans="1:19" x14ac:dyDescent="0.2">
      <c r="A2726" s="11" t="s">
        <v>33625</v>
      </c>
      <c r="B2726" s="9" t="s">
        <v>33626</v>
      </c>
      <c r="C2726" s="9" t="s">
        <v>33627</v>
      </c>
      <c r="D2726" s="9" t="s">
        <v>33628</v>
      </c>
      <c r="E2726" s="9" t="s">
        <v>17740</v>
      </c>
      <c r="F2726" s="9" t="s">
        <v>33629</v>
      </c>
      <c r="G2726" s="9" t="s">
        <v>17740</v>
      </c>
      <c r="H2726" s="11" t="s">
        <v>17741</v>
      </c>
      <c r="I2726" s="11" t="s">
        <v>33630</v>
      </c>
      <c r="J2726" s="11" t="s">
        <v>33630</v>
      </c>
      <c r="K2726" s="9" t="s">
        <v>33631</v>
      </c>
      <c r="L2726" s="9" t="s">
        <v>17759</v>
      </c>
      <c r="M2726" s="9" t="s">
        <v>17760</v>
      </c>
      <c r="N2726" s="9" t="s">
        <v>17746</v>
      </c>
      <c r="O2726" s="9" t="s">
        <v>18340</v>
      </c>
      <c r="P2726" s="9" t="s">
        <v>17748</v>
      </c>
      <c r="Q2726" s="11" t="s">
        <v>19335</v>
      </c>
      <c r="R2726" s="11" t="s">
        <v>19335</v>
      </c>
      <c r="S2726" s="11" t="s">
        <v>17750</v>
      </c>
    </row>
    <row r="2727" spans="1:19" x14ac:dyDescent="0.2">
      <c r="A2727" s="11" t="s">
        <v>33632</v>
      </c>
      <c r="B2727" s="9" t="s">
        <v>33633</v>
      </c>
      <c r="C2727" s="9" t="s">
        <v>33634</v>
      </c>
      <c r="D2727" s="9" t="s">
        <v>33635</v>
      </c>
      <c r="E2727" s="9" t="s">
        <v>17740</v>
      </c>
      <c r="F2727" s="9" t="s">
        <v>33636</v>
      </c>
      <c r="G2727" s="9" t="s">
        <v>17740</v>
      </c>
      <c r="H2727" s="11" t="s">
        <v>33637</v>
      </c>
      <c r="I2727" s="11" t="s">
        <v>33638</v>
      </c>
      <c r="J2727" s="11" t="s">
        <v>33638</v>
      </c>
      <c r="K2727" s="9" t="s">
        <v>19282</v>
      </c>
      <c r="L2727" s="9" t="s">
        <v>18959</v>
      </c>
      <c r="M2727" s="9" t="s">
        <v>19283</v>
      </c>
      <c r="N2727" s="9" t="s">
        <v>17746</v>
      </c>
      <c r="O2727" s="9" t="s">
        <v>18340</v>
      </c>
      <c r="P2727" s="9" t="s">
        <v>17748</v>
      </c>
      <c r="Q2727" s="11" t="s">
        <v>18251</v>
      </c>
      <c r="R2727" s="11" t="s">
        <v>18251</v>
      </c>
      <c r="S2727" s="11" t="s">
        <v>17750</v>
      </c>
    </row>
    <row r="2728" spans="1:19" x14ac:dyDescent="0.2">
      <c r="A2728" s="11" t="s">
        <v>33639</v>
      </c>
      <c r="B2728" s="9" t="s">
        <v>33640</v>
      </c>
      <c r="C2728" s="9" t="s">
        <v>33641</v>
      </c>
      <c r="D2728" s="9" t="s">
        <v>33642</v>
      </c>
      <c r="E2728" s="9" t="s">
        <v>17740</v>
      </c>
      <c r="F2728" s="9" t="s">
        <v>33643</v>
      </c>
      <c r="G2728" s="9" t="s">
        <v>17740</v>
      </c>
      <c r="H2728" s="11" t="s">
        <v>17741</v>
      </c>
      <c r="I2728" s="11" t="s">
        <v>33644</v>
      </c>
      <c r="J2728" s="11" t="s">
        <v>33644</v>
      </c>
      <c r="K2728" s="9" t="s">
        <v>19282</v>
      </c>
      <c r="L2728" s="9" t="s">
        <v>17759</v>
      </c>
      <c r="M2728" s="9" t="s">
        <v>18065</v>
      </c>
      <c r="N2728" s="9" t="s">
        <v>17746</v>
      </c>
      <c r="O2728" s="9" t="s">
        <v>18340</v>
      </c>
      <c r="P2728" s="9" t="s">
        <v>17748</v>
      </c>
      <c r="Q2728" s="11" t="s">
        <v>17771</v>
      </c>
      <c r="R2728" s="11" t="s">
        <v>17771</v>
      </c>
      <c r="S2728" s="11" t="s">
        <v>17750</v>
      </c>
    </row>
    <row r="2729" spans="1:19" x14ac:dyDescent="0.2">
      <c r="A2729" s="11" t="s">
        <v>33645</v>
      </c>
      <c r="B2729" s="9" t="s">
        <v>33646</v>
      </c>
      <c r="C2729" s="9" t="s">
        <v>33647</v>
      </c>
      <c r="D2729" s="9" t="s">
        <v>33648</v>
      </c>
      <c r="E2729" s="9" t="s">
        <v>17748</v>
      </c>
      <c r="F2729" s="9" t="s">
        <v>33649</v>
      </c>
      <c r="G2729" s="9" t="s">
        <v>17740</v>
      </c>
      <c r="H2729" s="11" t="s">
        <v>17741</v>
      </c>
      <c r="I2729" s="11" t="s">
        <v>17741</v>
      </c>
      <c r="J2729" s="11" t="s">
        <v>17741</v>
      </c>
      <c r="K2729" s="9" t="s">
        <v>33650</v>
      </c>
      <c r="L2729" s="9" t="s">
        <v>17744</v>
      </c>
      <c r="M2729" s="9" t="s">
        <v>17760</v>
      </c>
      <c r="N2729" s="9" t="s">
        <v>17746</v>
      </c>
      <c r="O2729" s="9" t="s">
        <v>30691</v>
      </c>
      <c r="P2729" s="9" t="s">
        <v>17748</v>
      </c>
      <c r="Q2729" s="11" t="s">
        <v>18370</v>
      </c>
      <c r="R2729" s="11" t="s">
        <v>18370</v>
      </c>
      <c r="S2729" s="11" t="s">
        <v>17750</v>
      </c>
    </row>
    <row r="2730" spans="1:19" x14ac:dyDescent="0.2">
      <c r="A2730" s="11" t="s">
        <v>33651</v>
      </c>
      <c r="B2730" s="9" t="s">
        <v>33652</v>
      </c>
      <c r="C2730" s="9" t="s">
        <v>33653</v>
      </c>
      <c r="D2730" s="9" t="s">
        <v>33654</v>
      </c>
      <c r="E2730" s="9" t="s">
        <v>17740</v>
      </c>
      <c r="F2730" s="9" t="s">
        <v>33655</v>
      </c>
      <c r="G2730" s="9" t="s">
        <v>17740</v>
      </c>
      <c r="H2730" s="11" t="s">
        <v>17741</v>
      </c>
      <c r="I2730" s="11" t="s">
        <v>2336</v>
      </c>
      <c r="J2730" s="11" t="s">
        <v>33656</v>
      </c>
      <c r="K2730" s="9" t="s">
        <v>33657</v>
      </c>
      <c r="L2730" s="9" t="s">
        <v>20359</v>
      </c>
      <c r="M2730" s="9" t="s">
        <v>18177</v>
      </c>
      <c r="N2730" s="9" t="s">
        <v>18042</v>
      </c>
      <c r="O2730" s="9" t="s">
        <v>28670</v>
      </c>
      <c r="P2730" s="9" t="s">
        <v>17748</v>
      </c>
      <c r="Q2730" s="11" t="s">
        <v>19082</v>
      </c>
      <c r="R2730" s="11" t="s">
        <v>19082</v>
      </c>
      <c r="S2730" s="11" t="s">
        <v>17750</v>
      </c>
    </row>
    <row r="2731" spans="1:19" x14ac:dyDescent="0.2">
      <c r="A2731" s="11" t="s">
        <v>33658</v>
      </c>
      <c r="B2731" s="9" t="s">
        <v>33659</v>
      </c>
      <c r="C2731" s="9" t="s">
        <v>33660</v>
      </c>
      <c r="D2731" s="9" t="s">
        <v>33661</v>
      </c>
      <c r="E2731" s="9" t="s">
        <v>17740</v>
      </c>
      <c r="F2731" s="9" t="s">
        <v>33662</v>
      </c>
      <c r="G2731" s="9" t="s">
        <v>17740</v>
      </c>
      <c r="H2731" s="11" t="s">
        <v>6086</v>
      </c>
      <c r="I2731" s="11" t="s">
        <v>6085</v>
      </c>
      <c r="J2731" s="11" t="s">
        <v>6085</v>
      </c>
      <c r="K2731" s="9" t="s">
        <v>20386</v>
      </c>
      <c r="L2731" s="9" t="s">
        <v>20359</v>
      </c>
      <c r="M2731" s="9" t="s">
        <v>17760</v>
      </c>
      <c r="N2731" s="9" t="s">
        <v>17746</v>
      </c>
      <c r="O2731" s="9" t="s">
        <v>18746</v>
      </c>
      <c r="P2731" s="9" t="s">
        <v>17748</v>
      </c>
      <c r="Q2731" s="11" t="s">
        <v>18080</v>
      </c>
      <c r="R2731" s="11" t="s">
        <v>18080</v>
      </c>
      <c r="S2731" s="11" t="s">
        <v>17750</v>
      </c>
    </row>
    <row r="2732" spans="1:19" x14ac:dyDescent="0.2">
      <c r="A2732" s="11" t="s">
        <v>33663</v>
      </c>
      <c r="B2732" s="9" t="s">
        <v>33664</v>
      </c>
      <c r="C2732" s="9" t="s">
        <v>33665</v>
      </c>
      <c r="D2732" s="9" t="s">
        <v>33666</v>
      </c>
      <c r="E2732" s="9" t="s">
        <v>17740</v>
      </c>
      <c r="F2732" s="9" t="s">
        <v>17741</v>
      </c>
      <c r="G2732" s="9" t="s">
        <v>17740</v>
      </c>
      <c r="H2732" s="11" t="s">
        <v>17741</v>
      </c>
      <c r="I2732" s="11" t="s">
        <v>2642</v>
      </c>
      <c r="J2732" s="11" t="s">
        <v>2642</v>
      </c>
      <c r="K2732" s="9" t="s">
        <v>33667</v>
      </c>
      <c r="L2732" s="9" t="s">
        <v>17929</v>
      </c>
      <c r="M2732" s="9" t="s">
        <v>17769</v>
      </c>
      <c r="N2732" s="9" t="s">
        <v>18042</v>
      </c>
      <c r="O2732" s="9" t="s">
        <v>33668</v>
      </c>
      <c r="P2732" s="9" t="s">
        <v>17748</v>
      </c>
      <c r="Q2732" s="11" t="s">
        <v>29998</v>
      </c>
      <c r="R2732" s="11" t="s">
        <v>29998</v>
      </c>
      <c r="S2732" s="11" t="s">
        <v>17750</v>
      </c>
    </row>
    <row r="2733" spans="1:19" x14ac:dyDescent="0.2">
      <c r="A2733" s="11" t="s">
        <v>33669</v>
      </c>
      <c r="B2733" s="9" t="s">
        <v>33670</v>
      </c>
      <c r="C2733" s="9" t="s">
        <v>33671</v>
      </c>
      <c r="D2733" s="9" t="s">
        <v>33672</v>
      </c>
      <c r="E2733" s="9" t="s">
        <v>17740</v>
      </c>
      <c r="F2733" s="9" t="s">
        <v>33673</v>
      </c>
      <c r="G2733" s="9" t="s">
        <v>17740</v>
      </c>
      <c r="H2733" s="11" t="s">
        <v>9543</v>
      </c>
      <c r="I2733" s="11" t="s">
        <v>9542</v>
      </c>
      <c r="J2733" s="11" t="s">
        <v>9542</v>
      </c>
      <c r="K2733" s="9" t="s">
        <v>21146</v>
      </c>
      <c r="L2733" s="9" t="s">
        <v>18158</v>
      </c>
      <c r="M2733" s="9" t="s">
        <v>17817</v>
      </c>
      <c r="N2733" s="9" t="s">
        <v>17746</v>
      </c>
      <c r="O2733" s="9" t="s">
        <v>5790</v>
      </c>
      <c r="P2733" s="9" t="s">
        <v>17748</v>
      </c>
      <c r="Q2733" s="11" t="s">
        <v>17858</v>
      </c>
      <c r="R2733" s="11" t="s">
        <v>17858</v>
      </c>
      <c r="S2733" s="11" t="s">
        <v>17750</v>
      </c>
    </row>
    <row r="2734" spans="1:19" x14ac:dyDescent="0.2">
      <c r="A2734" s="11" t="s">
        <v>33674</v>
      </c>
      <c r="B2734" s="9" t="s">
        <v>33675</v>
      </c>
      <c r="C2734" s="9" t="s">
        <v>33676</v>
      </c>
      <c r="D2734" s="9" t="s">
        <v>33677</v>
      </c>
      <c r="E2734" s="9" t="s">
        <v>17740</v>
      </c>
      <c r="F2734" s="9" t="s">
        <v>17741</v>
      </c>
      <c r="G2734" s="9" t="s">
        <v>17740</v>
      </c>
      <c r="H2734" s="11" t="s">
        <v>17741</v>
      </c>
      <c r="I2734" s="11" t="s">
        <v>2468</v>
      </c>
      <c r="J2734" s="11" t="s">
        <v>2468</v>
      </c>
      <c r="K2734" s="9" t="s">
        <v>33657</v>
      </c>
      <c r="L2734" s="9" t="s">
        <v>20359</v>
      </c>
      <c r="M2734" s="9" t="s">
        <v>33678</v>
      </c>
      <c r="N2734" s="9" t="s">
        <v>18042</v>
      </c>
      <c r="O2734" s="9" t="s">
        <v>19646</v>
      </c>
      <c r="P2734" s="9" t="s">
        <v>17748</v>
      </c>
      <c r="Q2734" s="11" t="s">
        <v>19026</v>
      </c>
      <c r="R2734" s="11" t="s">
        <v>19026</v>
      </c>
      <c r="S2734" s="11" t="s">
        <v>17750</v>
      </c>
    </row>
    <row r="2735" spans="1:19" x14ac:dyDescent="0.2">
      <c r="A2735" s="11" t="s">
        <v>33679</v>
      </c>
      <c r="B2735" s="9" t="s">
        <v>33680</v>
      </c>
      <c r="C2735" s="9" t="s">
        <v>33681</v>
      </c>
      <c r="D2735" s="9" t="s">
        <v>33682</v>
      </c>
      <c r="E2735" s="9" t="s">
        <v>17740</v>
      </c>
      <c r="F2735" s="9" t="s">
        <v>17741</v>
      </c>
      <c r="G2735" s="9" t="s">
        <v>17740</v>
      </c>
      <c r="H2735" s="11" t="s">
        <v>17741</v>
      </c>
      <c r="I2735" s="11" t="s">
        <v>33683</v>
      </c>
      <c r="J2735" s="11" t="s">
        <v>33683</v>
      </c>
      <c r="K2735" s="9" t="s">
        <v>33684</v>
      </c>
      <c r="L2735" s="9" t="s">
        <v>20359</v>
      </c>
      <c r="M2735" s="9" t="s">
        <v>18051</v>
      </c>
      <c r="N2735" s="9" t="s">
        <v>17746</v>
      </c>
      <c r="O2735" s="9" t="s">
        <v>17747</v>
      </c>
      <c r="P2735" s="9" t="s">
        <v>17748</v>
      </c>
      <c r="Q2735" s="11" t="s">
        <v>17858</v>
      </c>
      <c r="R2735" s="11" t="s">
        <v>17858</v>
      </c>
      <c r="S2735" s="11" t="s">
        <v>17750</v>
      </c>
    </row>
    <row r="2736" spans="1:19" x14ac:dyDescent="0.2">
      <c r="A2736" s="11" t="s">
        <v>33685</v>
      </c>
      <c r="B2736" s="9" t="s">
        <v>33686</v>
      </c>
      <c r="C2736" s="9" t="s">
        <v>33687</v>
      </c>
      <c r="D2736" s="9" t="s">
        <v>33688</v>
      </c>
      <c r="E2736" s="9" t="s">
        <v>17740</v>
      </c>
      <c r="F2736" s="9" t="s">
        <v>33689</v>
      </c>
      <c r="G2736" s="9" t="s">
        <v>17740</v>
      </c>
      <c r="H2736" s="11" t="s">
        <v>33690</v>
      </c>
      <c r="I2736" s="11" t="s">
        <v>33691</v>
      </c>
      <c r="J2736" s="11" t="s">
        <v>33691</v>
      </c>
      <c r="K2736" s="9" t="s">
        <v>33692</v>
      </c>
      <c r="L2736" s="9" t="s">
        <v>17759</v>
      </c>
      <c r="M2736" s="9" t="s">
        <v>17769</v>
      </c>
      <c r="N2736" s="9" t="s">
        <v>17746</v>
      </c>
      <c r="O2736" s="9" t="s">
        <v>1802</v>
      </c>
      <c r="P2736" s="9" t="s">
        <v>17748</v>
      </c>
      <c r="Q2736" s="11" t="s">
        <v>18147</v>
      </c>
      <c r="R2736" s="11" t="s">
        <v>18147</v>
      </c>
      <c r="S2736" s="11" t="s">
        <v>17750</v>
      </c>
    </row>
    <row r="2737" spans="1:19" x14ac:dyDescent="0.2">
      <c r="A2737" s="11" t="s">
        <v>33693</v>
      </c>
      <c r="B2737" s="9" t="s">
        <v>33694</v>
      </c>
      <c r="C2737" s="9" t="s">
        <v>33695</v>
      </c>
      <c r="D2737" s="9" t="s">
        <v>33696</v>
      </c>
      <c r="E2737" s="9" t="s">
        <v>17748</v>
      </c>
      <c r="F2737" s="9" t="s">
        <v>33697</v>
      </c>
      <c r="G2737" s="9" t="s">
        <v>17740</v>
      </c>
      <c r="H2737" s="11" t="s">
        <v>33698</v>
      </c>
      <c r="I2737" s="11" t="s">
        <v>33699</v>
      </c>
      <c r="J2737" s="11" t="s">
        <v>33699</v>
      </c>
      <c r="K2737" s="9" t="s">
        <v>17741</v>
      </c>
      <c r="L2737" s="9" t="s">
        <v>17759</v>
      </c>
      <c r="M2737" s="9" t="s">
        <v>17769</v>
      </c>
      <c r="N2737" s="9" t="s">
        <v>17746</v>
      </c>
      <c r="O2737" s="9" t="s">
        <v>17800</v>
      </c>
      <c r="P2737" s="9" t="s">
        <v>17748</v>
      </c>
      <c r="Q2737" s="11" t="s">
        <v>18089</v>
      </c>
      <c r="R2737" s="11" t="s">
        <v>18089</v>
      </c>
      <c r="S2737" s="11" t="s">
        <v>17750</v>
      </c>
    </row>
    <row r="2738" spans="1:19" x14ac:dyDescent="0.2">
      <c r="A2738" s="11" t="s">
        <v>33700</v>
      </c>
      <c r="B2738" s="9" t="s">
        <v>33701</v>
      </c>
      <c r="C2738" s="9" t="s">
        <v>33702</v>
      </c>
      <c r="D2738" s="9" t="s">
        <v>33703</v>
      </c>
      <c r="E2738" s="9" t="s">
        <v>17748</v>
      </c>
      <c r="F2738" s="9" t="s">
        <v>33704</v>
      </c>
      <c r="G2738" s="9" t="s">
        <v>17740</v>
      </c>
      <c r="H2738" s="11" t="s">
        <v>33705</v>
      </c>
      <c r="I2738" s="11" t="s">
        <v>33706</v>
      </c>
      <c r="J2738" s="11" t="s">
        <v>33706</v>
      </c>
      <c r="K2738" s="9" t="s">
        <v>296</v>
      </c>
      <c r="L2738" s="9" t="s">
        <v>17759</v>
      </c>
      <c r="M2738" s="9" t="s">
        <v>17760</v>
      </c>
      <c r="N2738" s="9" t="s">
        <v>17746</v>
      </c>
      <c r="O2738" s="9" t="s">
        <v>33366</v>
      </c>
      <c r="P2738" s="9" t="s">
        <v>17748</v>
      </c>
      <c r="Q2738" s="11" t="s">
        <v>17994</v>
      </c>
      <c r="R2738" s="11" t="s">
        <v>17994</v>
      </c>
      <c r="S2738" s="11" t="s">
        <v>17750</v>
      </c>
    </row>
    <row r="2739" spans="1:19" x14ac:dyDescent="0.2">
      <c r="A2739" s="11" t="s">
        <v>33707</v>
      </c>
      <c r="B2739" s="9" t="s">
        <v>33708</v>
      </c>
      <c r="C2739" s="9" t="s">
        <v>33709</v>
      </c>
      <c r="D2739" s="9" t="s">
        <v>33710</v>
      </c>
      <c r="E2739" s="9" t="s">
        <v>17740</v>
      </c>
      <c r="F2739" s="9" t="s">
        <v>33711</v>
      </c>
      <c r="G2739" s="9" t="s">
        <v>17740</v>
      </c>
      <c r="H2739" s="11" t="s">
        <v>33712</v>
      </c>
      <c r="I2739" s="11" t="s">
        <v>33713</v>
      </c>
      <c r="J2739" s="11" t="s">
        <v>33713</v>
      </c>
      <c r="K2739" s="9" t="s">
        <v>20380</v>
      </c>
      <c r="L2739" s="9" t="s">
        <v>20359</v>
      </c>
      <c r="M2739" s="9" t="s">
        <v>31759</v>
      </c>
      <c r="N2739" s="9" t="s">
        <v>18042</v>
      </c>
      <c r="O2739" s="9" t="s">
        <v>3255</v>
      </c>
      <c r="P2739" s="9" t="s">
        <v>17748</v>
      </c>
      <c r="Q2739" s="11" t="s">
        <v>19335</v>
      </c>
      <c r="R2739" s="11" t="s">
        <v>19335</v>
      </c>
      <c r="S2739" s="11" t="s">
        <v>17750</v>
      </c>
    </row>
    <row r="2740" spans="1:19" x14ac:dyDescent="0.2">
      <c r="A2740" s="11" t="s">
        <v>33714</v>
      </c>
      <c r="B2740" s="9" t="s">
        <v>33715</v>
      </c>
      <c r="C2740" s="9" t="s">
        <v>33716</v>
      </c>
      <c r="D2740" s="9" t="s">
        <v>33717</v>
      </c>
      <c r="E2740" s="9" t="s">
        <v>17740</v>
      </c>
      <c r="F2740" s="9" t="s">
        <v>33718</v>
      </c>
      <c r="G2740" s="9" t="s">
        <v>17740</v>
      </c>
      <c r="H2740" s="11" t="s">
        <v>33719</v>
      </c>
      <c r="I2740" s="11" t="s">
        <v>33720</v>
      </c>
      <c r="J2740" s="11" t="s">
        <v>33720</v>
      </c>
      <c r="K2740" s="9" t="s">
        <v>33721</v>
      </c>
      <c r="L2740" s="9" t="s">
        <v>20359</v>
      </c>
      <c r="M2740" s="9" t="s">
        <v>17760</v>
      </c>
      <c r="N2740" s="9" t="s">
        <v>17746</v>
      </c>
      <c r="O2740" s="9" t="s">
        <v>17874</v>
      </c>
      <c r="P2740" s="9" t="s">
        <v>17748</v>
      </c>
      <c r="Q2740" s="11" t="s">
        <v>17749</v>
      </c>
      <c r="R2740" s="11" t="s">
        <v>17749</v>
      </c>
      <c r="S2740" s="11" t="s">
        <v>17750</v>
      </c>
    </row>
    <row r="2741" spans="1:19" x14ac:dyDescent="0.2">
      <c r="A2741" s="11" t="s">
        <v>33722</v>
      </c>
      <c r="B2741" s="9" t="s">
        <v>33723</v>
      </c>
      <c r="C2741" s="9" t="s">
        <v>33724</v>
      </c>
      <c r="D2741" s="9" t="s">
        <v>33725</v>
      </c>
      <c r="E2741" s="9" t="s">
        <v>17740</v>
      </c>
      <c r="F2741" s="9" t="s">
        <v>33726</v>
      </c>
      <c r="G2741" s="9" t="s">
        <v>17740</v>
      </c>
      <c r="H2741" s="11" t="s">
        <v>17741</v>
      </c>
      <c r="I2741" s="11" t="s">
        <v>7308</v>
      </c>
      <c r="J2741" s="11" t="s">
        <v>7308</v>
      </c>
      <c r="K2741" s="9" t="s">
        <v>33727</v>
      </c>
      <c r="L2741" s="9" t="s">
        <v>33728</v>
      </c>
      <c r="M2741" s="9" t="s">
        <v>30360</v>
      </c>
      <c r="N2741" s="9" t="s">
        <v>18042</v>
      </c>
      <c r="O2741" s="9" t="s">
        <v>17993</v>
      </c>
      <c r="P2741" s="9" t="s">
        <v>17748</v>
      </c>
      <c r="Q2741" s="11" t="s">
        <v>17931</v>
      </c>
      <c r="R2741" s="11" t="s">
        <v>17931</v>
      </c>
      <c r="S2741" s="11" t="s">
        <v>17750</v>
      </c>
    </row>
    <row r="2742" spans="1:19" x14ac:dyDescent="0.2">
      <c r="A2742" s="11" t="s">
        <v>33729</v>
      </c>
      <c r="B2742" s="9" t="s">
        <v>33730</v>
      </c>
      <c r="C2742" s="9" t="s">
        <v>33731</v>
      </c>
      <c r="D2742" s="9" t="s">
        <v>33732</v>
      </c>
      <c r="E2742" s="9" t="s">
        <v>17740</v>
      </c>
      <c r="F2742" s="9" t="s">
        <v>17741</v>
      </c>
      <c r="G2742" s="9" t="s">
        <v>17740</v>
      </c>
      <c r="H2742" s="11" t="s">
        <v>9516</v>
      </c>
      <c r="I2742" s="11" t="s">
        <v>9515</v>
      </c>
      <c r="J2742" s="11" t="s">
        <v>9515</v>
      </c>
      <c r="K2742" s="9" t="s">
        <v>18951</v>
      </c>
      <c r="L2742" s="9" t="s">
        <v>17759</v>
      </c>
      <c r="M2742" s="9" t="s">
        <v>19965</v>
      </c>
      <c r="N2742" s="9" t="s">
        <v>17746</v>
      </c>
      <c r="O2742" s="9" t="s">
        <v>33733</v>
      </c>
      <c r="P2742" s="9" t="s">
        <v>17748</v>
      </c>
      <c r="Q2742" s="11" t="s">
        <v>18272</v>
      </c>
      <c r="R2742" s="11" t="s">
        <v>18272</v>
      </c>
      <c r="S2742" s="11" t="s">
        <v>17750</v>
      </c>
    </row>
    <row r="2743" spans="1:19" x14ac:dyDescent="0.2">
      <c r="A2743" s="11" t="s">
        <v>33734</v>
      </c>
      <c r="B2743" s="9" t="s">
        <v>33735</v>
      </c>
      <c r="C2743" s="9" t="s">
        <v>33736</v>
      </c>
      <c r="D2743" s="9" t="s">
        <v>33737</v>
      </c>
      <c r="E2743" s="9" t="s">
        <v>17740</v>
      </c>
      <c r="F2743" s="9" t="s">
        <v>17741</v>
      </c>
      <c r="G2743" s="9" t="s">
        <v>17740</v>
      </c>
      <c r="H2743" s="11" t="s">
        <v>33738</v>
      </c>
      <c r="I2743" s="11" t="s">
        <v>33739</v>
      </c>
      <c r="J2743" s="11" t="s">
        <v>33739</v>
      </c>
      <c r="K2743" s="9" t="s">
        <v>17783</v>
      </c>
      <c r="L2743" s="9" t="s">
        <v>17759</v>
      </c>
      <c r="M2743" s="9" t="s">
        <v>26134</v>
      </c>
      <c r="N2743" s="9" t="s">
        <v>17746</v>
      </c>
      <c r="O2743" s="9" t="s">
        <v>25241</v>
      </c>
      <c r="P2743" s="9" t="s">
        <v>17748</v>
      </c>
      <c r="Q2743" s="11" t="s">
        <v>18243</v>
      </c>
      <c r="R2743" s="11" t="s">
        <v>18243</v>
      </c>
      <c r="S2743" s="11" t="s">
        <v>17750</v>
      </c>
    </row>
    <row r="2744" spans="1:19" x14ac:dyDescent="0.2">
      <c r="A2744" s="11" t="s">
        <v>33740</v>
      </c>
      <c r="B2744" s="9" t="s">
        <v>33741</v>
      </c>
      <c r="C2744" s="9" t="s">
        <v>33742</v>
      </c>
      <c r="D2744" s="9" t="s">
        <v>33743</v>
      </c>
      <c r="E2744" s="9" t="s">
        <v>17740</v>
      </c>
      <c r="F2744" s="9" t="s">
        <v>17741</v>
      </c>
      <c r="G2744" s="9" t="s">
        <v>17740</v>
      </c>
      <c r="H2744" s="11" t="s">
        <v>2134</v>
      </c>
      <c r="I2744" s="11" t="s">
        <v>2133</v>
      </c>
      <c r="J2744" s="11" t="s">
        <v>2133</v>
      </c>
      <c r="K2744" s="9" t="s">
        <v>19767</v>
      </c>
      <c r="L2744" s="9" t="s">
        <v>17759</v>
      </c>
      <c r="M2744" s="9" t="s">
        <v>17760</v>
      </c>
      <c r="N2744" s="9" t="s">
        <v>17746</v>
      </c>
      <c r="O2744" s="9" t="s">
        <v>18514</v>
      </c>
      <c r="P2744" s="9" t="s">
        <v>17748</v>
      </c>
      <c r="Q2744" s="11" t="s">
        <v>18072</v>
      </c>
      <c r="R2744" s="11" t="s">
        <v>18072</v>
      </c>
      <c r="S2744" s="11" t="s">
        <v>17750</v>
      </c>
    </row>
    <row r="2745" spans="1:19" x14ac:dyDescent="0.2">
      <c r="A2745" s="11" t="s">
        <v>33744</v>
      </c>
      <c r="B2745" s="9" t="s">
        <v>33745</v>
      </c>
      <c r="C2745" s="9" t="s">
        <v>33746</v>
      </c>
      <c r="D2745" s="9" t="s">
        <v>33747</v>
      </c>
      <c r="E2745" s="9" t="s">
        <v>17748</v>
      </c>
      <c r="F2745" s="9" t="s">
        <v>33748</v>
      </c>
      <c r="G2745" s="9" t="s">
        <v>17740</v>
      </c>
      <c r="H2745" s="11" t="s">
        <v>33749</v>
      </c>
      <c r="I2745" s="11" t="s">
        <v>8414</v>
      </c>
      <c r="J2745" s="11" t="s">
        <v>8414</v>
      </c>
      <c r="K2745" s="9" t="s">
        <v>33750</v>
      </c>
      <c r="L2745" s="9" t="s">
        <v>17759</v>
      </c>
      <c r="M2745" s="9" t="s">
        <v>22237</v>
      </c>
      <c r="N2745" s="9" t="s">
        <v>17746</v>
      </c>
      <c r="O2745" s="9" t="s">
        <v>19147</v>
      </c>
      <c r="P2745" s="9" t="s">
        <v>17748</v>
      </c>
      <c r="Q2745" s="11" t="s">
        <v>18356</v>
      </c>
      <c r="R2745" s="11" t="s">
        <v>18356</v>
      </c>
      <c r="S2745" s="11" t="s">
        <v>17750</v>
      </c>
    </row>
    <row r="2746" spans="1:19" x14ac:dyDescent="0.2">
      <c r="A2746" s="11" t="s">
        <v>33751</v>
      </c>
      <c r="B2746" s="9" t="s">
        <v>33752</v>
      </c>
      <c r="C2746" s="9" t="s">
        <v>33753</v>
      </c>
      <c r="D2746" s="9" t="s">
        <v>33754</v>
      </c>
      <c r="E2746" s="9" t="s">
        <v>17740</v>
      </c>
      <c r="F2746" s="9" t="s">
        <v>17741</v>
      </c>
      <c r="G2746" s="9" t="s">
        <v>17740</v>
      </c>
      <c r="H2746" s="11" t="s">
        <v>12889</v>
      </c>
      <c r="I2746" s="11" t="s">
        <v>12888</v>
      </c>
      <c r="J2746" s="11" t="s">
        <v>12888</v>
      </c>
      <c r="K2746" s="9" t="s">
        <v>91</v>
      </c>
      <c r="L2746" s="9" t="s">
        <v>20598</v>
      </c>
      <c r="M2746" s="9" t="s">
        <v>20568</v>
      </c>
      <c r="N2746" s="9" t="s">
        <v>17746</v>
      </c>
      <c r="O2746" s="9" t="s">
        <v>18607</v>
      </c>
      <c r="P2746" s="9" t="s">
        <v>17748</v>
      </c>
      <c r="Q2746" s="11" t="s">
        <v>18370</v>
      </c>
      <c r="R2746" s="11" t="s">
        <v>18370</v>
      </c>
      <c r="S2746" s="11" t="s">
        <v>17750</v>
      </c>
    </row>
    <row r="2747" spans="1:19" x14ac:dyDescent="0.2">
      <c r="A2747" s="11" t="s">
        <v>33755</v>
      </c>
      <c r="B2747" s="9" t="s">
        <v>33756</v>
      </c>
      <c r="C2747" s="9" t="s">
        <v>33757</v>
      </c>
      <c r="D2747" s="9" t="s">
        <v>33758</v>
      </c>
      <c r="E2747" s="9" t="s">
        <v>17740</v>
      </c>
      <c r="F2747" s="9" t="s">
        <v>17741</v>
      </c>
      <c r="G2747" s="9" t="s">
        <v>17740</v>
      </c>
      <c r="H2747" s="11" t="s">
        <v>12386</v>
      </c>
      <c r="I2747" s="11" t="s">
        <v>12385</v>
      </c>
      <c r="J2747" s="11" t="s">
        <v>12385</v>
      </c>
      <c r="K2747" s="9" t="s">
        <v>17758</v>
      </c>
      <c r="L2747" s="9" t="s">
        <v>17759</v>
      </c>
      <c r="M2747" s="9" t="s">
        <v>17760</v>
      </c>
      <c r="N2747" s="9" t="s">
        <v>17746</v>
      </c>
      <c r="O2747" s="9" t="s">
        <v>18644</v>
      </c>
      <c r="P2747" s="9" t="s">
        <v>17748</v>
      </c>
      <c r="Q2747" s="11" t="s">
        <v>17917</v>
      </c>
      <c r="R2747" s="11" t="s">
        <v>17917</v>
      </c>
      <c r="S2747" s="11" t="s">
        <v>17750</v>
      </c>
    </row>
    <row r="2748" spans="1:19" x14ac:dyDescent="0.2">
      <c r="A2748" s="11" t="s">
        <v>33759</v>
      </c>
      <c r="B2748" s="9" t="s">
        <v>33760</v>
      </c>
      <c r="C2748" s="9" t="s">
        <v>33761</v>
      </c>
      <c r="D2748" s="9" t="s">
        <v>33762</v>
      </c>
      <c r="E2748" s="9" t="s">
        <v>17740</v>
      </c>
      <c r="F2748" s="9" t="s">
        <v>33763</v>
      </c>
      <c r="G2748" s="9" t="s">
        <v>17740</v>
      </c>
      <c r="H2748" s="11" t="s">
        <v>33764</v>
      </c>
      <c r="I2748" s="11" t="s">
        <v>33765</v>
      </c>
      <c r="J2748" s="11" t="s">
        <v>33765</v>
      </c>
      <c r="K2748" s="9" t="s">
        <v>17758</v>
      </c>
      <c r="L2748" s="9" t="s">
        <v>17759</v>
      </c>
      <c r="M2748" s="9" t="s">
        <v>17760</v>
      </c>
      <c r="N2748" s="9" t="s">
        <v>17746</v>
      </c>
      <c r="O2748" s="9" t="s">
        <v>33766</v>
      </c>
      <c r="P2748" s="9" t="s">
        <v>17748</v>
      </c>
      <c r="Q2748" s="11" t="s">
        <v>18201</v>
      </c>
      <c r="R2748" s="11" t="s">
        <v>18201</v>
      </c>
      <c r="S2748" s="11" t="s">
        <v>17750</v>
      </c>
    </row>
    <row r="2749" spans="1:19" x14ac:dyDescent="0.2">
      <c r="A2749" s="11" t="s">
        <v>33767</v>
      </c>
      <c r="B2749" s="9" t="s">
        <v>33768</v>
      </c>
      <c r="C2749" s="9" t="s">
        <v>33769</v>
      </c>
      <c r="D2749" s="9" t="s">
        <v>33770</v>
      </c>
      <c r="E2749" s="9" t="s">
        <v>17740</v>
      </c>
      <c r="F2749" s="9" t="s">
        <v>33771</v>
      </c>
      <c r="G2749" s="9" t="s">
        <v>17740</v>
      </c>
      <c r="H2749" s="11" t="s">
        <v>5541</v>
      </c>
      <c r="I2749" s="11" t="s">
        <v>5540</v>
      </c>
      <c r="J2749" s="11" t="s">
        <v>5540</v>
      </c>
      <c r="K2749" s="9" t="s">
        <v>291</v>
      </c>
      <c r="L2749" s="9" t="s">
        <v>17744</v>
      </c>
      <c r="M2749" s="9" t="s">
        <v>17760</v>
      </c>
      <c r="N2749" s="9" t="s">
        <v>17746</v>
      </c>
      <c r="O2749" s="9" t="s">
        <v>18644</v>
      </c>
      <c r="P2749" s="9" t="s">
        <v>17748</v>
      </c>
      <c r="Q2749" s="11" t="s">
        <v>18080</v>
      </c>
      <c r="R2749" s="11" t="s">
        <v>18080</v>
      </c>
      <c r="S2749" s="11" t="s">
        <v>17750</v>
      </c>
    </row>
    <row r="2750" spans="1:19" x14ac:dyDescent="0.2">
      <c r="A2750" s="11" t="s">
        <v>33772</v>
      </c>
      <c r="B2750" s="9" t="s">
        <v>33773</v>
      </c>
      <c r="C2750" s="9" t="s">
        <v>33774</v>
      </c>
      <c r="D2750" s="9" t="s">
        <v>33775</v>
      </c>
      <c r="E2750" s="9" t="s">
        <v>17740</v>
      </c>
      <c r="F2750" s="9" t="s">
        <v>17741</v>
      </c>
      <c r="G2750" s="9" t="s">
        <v>17740</v>
      </c>
      <c r="H2750" s="11" t="s">
        <v>17741</v>
      </c>
      <c r="I2750" s="11" t="s">
        <v>33776</v>
      </c>
      <c r="J2750" s="11" t="s">
        <v>33776</v>
      </c>
      <c r="K2750" s="9" t="s">
        <v>24870</v>
      </c>
      <c r="L2750" s="9" t="s">
        <v>17744</v>
      </c>
      <c r="M2750" s="9" t="s">
        <v>17760</v>
      </c>
      <c r="N2750" s="9" t="s">
        <v>17746</v>
      </c>
      <c r="O2750" s="9" t="s">
        <v>18340</v>
      </c>
      <c r="P2750" s="9" t="s">
        <v>17748</v>
      </c>
      <c r="Q2750" s="11" t="s">
        <v>18356</v>
      </c>
      <c r="R2750" s="11" t="s">
        <v>18356</v>
      </c>
      <c r="S2750" s="11" t="s">
        <v>17750</v>
      </c>
    </row>
    <row r="2751" spans="1:19" x14ac:dyDescent="0.2">
      <c r="A2751" s="11" t="s">
        <v>33777</v>
      </c>
      <c r="B2751" s="9" t="s">
        <v>33778</v>
      </c>
      <c r="C2751" s="9" t="s">
        <v>33779</v>
      </c>
      <c r="D2751" s="9" t="s">
        <v>33780</v>
      </c>
      <c r="E2751" s="9" t="s">
        <v>17740</v>
      </c>
      <c r="F2751" s="9" t="s">
        <v>17741</v>
      </c>
      <c r="G2751" s="9" t="s">
        <v>17740</v>
      </c>
      <c r="H2751" s="11" t="s">
        <v>2534</v>
      </c>
      <c r="I2751" s="11" t="s">
        <v>2533</v>
      </c>
      <c r="J2751" s="11" t="s">
        <v>2533</v>
      </c>
      <c r="K2751" s="9" t="s">
        <v>91</v>
      </c>
      <c r="L2751" s="9" t="s">
        <v>17744</v>
      </c>
      <c r="M2751" s="9" t="s">
        <v>17769</v>
      </c>
      <c r="N2751" s="9" t="s">
        <v>17746</v>
      </c>
      <c r="O2751" s="9" t="s">
        <v>3355</v>
      </c>
      <c r="P2751" s="9" t="s">
        <v>17748</v>
      </c>
      <c r="Q2751" s="11" t="s">
        <v>19335</v>
      </c>
      <c r="R2751" s="11" t="s">
        <v>19335</v>
      </c>
      <c r="S2751" s="11" t="s">
        <v>17750</v>
      </c>
    </row>
    <row r="2752" spans="1:19" x14ac:dyDescent="0.2">
      <c r="A2752" s="11" t="s">
        <v>33781</v>
      </c>
      <c r="B2752" s="9" t="s">
        <v>33782</v>
      </c>
      <c r="C2752" s="9" t="s">
        <v>33783</v>
      </c>
      <c r="D2752" s="9" t="s">
        <v>33784</v>
      </c>
      <c r="E2752" s="9" t="s">
        <v>17740</v>
      </c>
      <c r="F2752" s="9" t="s">
        <v>33785</v>
      </c>
      <c r="G2752" s="9" t="s">
        <v>17740</v>
      </c>
      <c r="H2752" s="11" t="s">
        <v>5509</v>
      </c>
      <c r="I2752" s="11" t="s">
        <v>5508</v>
      </c>
      <c r="J2752" s="11" t="s">
        <v>5508</v>
      </c>
      <c r="K2752" s="9" t="s">
        <v>91</v>
      </c>
      <c r="L2752" s="9" t="s">
        <v>17759</v>
      </c>
      <c r="M2752" s="9" t="s">
        <v>17817</v>
      </c>
      <c r="N2752" s="9" t="s">
        <v>17746</v>
      </c>
      <c r="O2752" s="9" t="s">
        <v>3355</v>
      </c>
      <c r="P2752" s="9" t="s">
        <v>17748</v>
      </c>
      <c r="Q2752" s="11" t="s">
        <v>18080</v>
      </c>
      <c r="R2752" s="11" t="s">
        <v>18080</v>
      </c>
      <c r="S2752" s="11" t="s">
        <v>17750</v>
      </c>
    </row>
    <row r="2753" spans="1:19" x14ac:dyDescent="0.2">
      <c r="A2753" s="11" t="s">
        <v>33786</v>
      </c>
      <c r="B2753" s="9" t="s">
        <v>33787</v>
      </c>
      <c r="C2753" s="9" t="s">
        <v>33788</v>
      </c>
      <c r="D2753" s="9" t="s">
        <v>33789</v>
      </c>
      <c r="E2753" s="9" t="s">
        <v>17740</v>
      </c>
      <c r="F2753" s="9" t="s">
        <v>17741</v>
      </c>
      <c r="G2753" s="9" t="s">
        <v>17740</v>
      </c>
      <c r="H2753" s="11" t="s">
        <v>33790</v>
      </c>
      <c r="I2753" s="11" t="s">
        <v>33791</v>
      </c>
      <c r="J2753" s="11" t="s">
        <v>33791</v>
      </c>
      <c r="K2753" s="9" t="s">
        <v>23527</v>
      </c>
      <c r="L2753" s="9" t="s">
        <v>17744</v>
      </c>
      <c r="M2753" s="9" t="s">
        <v>29147</v>
      </c>
      <c r="N2753" s="9" t="s">
        <v>17746</v>
      </c>
      <c r="O2753" s="9" t="s">
        <v>17800</v>
      </c>
      <c r="P2753" s="9" t="s">
        <v>17748</v>
      </c>
      <c r="Q2753" s="11" t="s">
        <v>19026</v>
      </c>
      <c r="R2753" s="11" t="s">
        <v>19026</v>
      </c>
      <c r="S2753" s="11" t="s">
        <v>17750</v>
      </c>
    </row>
    <row r="2754" spans="1:19" x14ac:dyDescent="0.2">
      <c r="A2754" s="11" t="s">
        <v>33792</v>
      </c>
      <c r="B2754" s="9" t="s">
        <v>33793</v>
      </c>
      <c r="C2754" s="9" t="s">
        <v>33794</v>
      </c>
      <c r="D2754" s="9" t="s">
        <v>33795</v>
      </c>
      <c r="E2754" s="9" t="s">
        <v>17748</v>
      </c>
      <c r="F2754" s="9" t="s">
        <v>33796</v>
      </c>
      <c r="G2754" s="9" t="s">
        <v>17740</v>
      </c>
      <c r="H2754" s="11" t="s">
        <v>12856</v>
      </c>
      <c r="I2754" s="11" t="s">
        <v>12855</v>
      </c>
      <c r="J2754" s="11" t="s">
        <v>12855</v>
      </c>
      <c r="K2754" s="9" t="s">
        <v>19180</v>
      </c>
      <c r="L2754" s="9" t="s">
        <v>17759</v>
      </c>
      <c r="M2754" s="9" t="s">
        <v>25199</v>
      </c>
      <c r="N2754" s="9" t="s">
        <v>17746</v>
      </c>
      <c r="O2754" s="9" t="s">
        <v>33797</v>
      </c>
      <c r="P2754" s="9" t="s">
        <v>17748</v>
      </c>
      <c r="Q2754" s="11" t="s">
        <v>18370</v>
      </c>
      <c r="R2754" s="11" t="s">
        <v>18370</v>
      </c>
      <c r="S2754" s="11" t="s">
        <v>17750</v>
      </c>
    </row>
    <row r="2755" spans="1:19" x14ac:dyDescent="0.2">
      <c r="A2755" s="11" t="s">
        <v>33798</v>
      </c>
      <c r="B2755" s="9" t="s">
        <v>33799</v>
      </c>
      <c r="C2755" s="9" t="s">
        <v>33800</v>
      </c>
      <c r="D2755" s="9" t="s">
        <v>33801</v>
      </c>
      <c r="E2755" s="9" t="s">
        <v>17740</v>
      </c>
      <c r="F2755" s="9" t="s">
        <v>17741</v>
      </c>
      <c r="G2755" s="9" t="s">
        <v>17740</v>
      </c>
      <c r="H2755" s="11" t="s">
        <v>2121</v>
      </c>
      <c r="I2755" s="11" t="s">
        <v>2120</v>
      </c>
      <c r="J2755" s="11" t="s">
        <v>2120</v>
      </c>
      <c r="K2755" s="9" t="s">
        <v>22128</v>
      </c>
      <c r="L2755" s="9" t="s">
        <v>18001</v>
      </c>
      <c r="M2755" s="9" t="s">
        <v>33802</v>
      </c>
      <c r="N2755" s="9" t="s">
        <v>17746</v>
      </c>
      <c r="O2755" s="9" t="s">
        <v>17834</v>
      </c>
      <c r="P2755" s="9" t="s">
        <v>17748</v>
      </c>
      <c r="Q2755" s="11" t="s">
        <v>18251</v>
      </c>
      <c r="R2755" s="11" t="s">
        <v>18251</v>
      </c>
      <c r="S2755" s="11" t="s">
        <v>17750</v>
      </c>
    </row>
    <row r="2756" spans="1:19" x14ac:dyDescent="0.2">
      <c r="A2756" s="11" t="s">
        <v>33803</v>
      </c>
      <c r="B2756" s="9" t="s">
        <v>33804</v>
      </c>
      <c r="C2756" s="9" t="s">
        <v>33805</v>
      </c>
      <c r="D2756" s="9" t="s">
        <v>33806</v>
      </c>
      <c r="E2756" s="9" t="s">
        <v>17740</v>
      </c>
      <c r="F2756" s="9" t="s">
        <v>17741</v>
      </c>
      <c r="G2756" s="9" t="s">
        <v>17740</v>
      </c>
      <c r="H2756" s="11" t="s">
        <v>33807</v>
      </c>
      <c r="I2756" s="11" t="s">
        <v>33808</v>
      </c>
      <c r="J2756" s="11" t="s">
        <v>33808</v>
      </c>
      <c r="K2756" s="9" t="s">
        <v>291</v>
      </c>
      <c r="L2756" s="9" t="s">
        <v>17744</v>
      </c>
      <c r="M2756" s="9" t="s">
        <v>17760</v>
      </c>
      <c r="N2756" s="9" t="s">
        <v>17746</v>
      </c>
      <c r="O2756" s="9" t="s">
        <v>33809</v>
      </c>
      <c r="P2756" s="9" t="s">
        <v>17748</v>
      </c>
      <c r="Q2756" s="11" t="s">
        <v>17819</v>
      </c>
      <c r="R2756" s="11" t="s">
        <v>17819</v>
      </c>
      <c r="S2756" s="11" t="s">
        <v>17750</v>
      </c>
    </row>
    <row r="2757" spans="1:19" x14ac:dyDescent="0.2">
      <c r="A2757" s="11" t="s">
        <v>33810</v>
      </c>
      <c r="B2757" s="9" t="s">
        <v>33811</v>
      </c>
      <c r="C2757" s="9" t="s">
        <v>33812</v>
      </c>
      <c r="D2757" s="9" t="s">
        <v>33813</v>
      </c>
      <c r="E2757" s="9" t="s">
        <v>17740</v>
      </c>
      <c r="F2757" s="9" t="s">
        <v>17741</v>
      </c>
      <c r="G2757" s="9" t="s">
        <v>17740</v>
      </c>
      <c r="H2757" s="11" t="s">
        <v>33814</v>
      </c>
      <c r="I2757" s="11" t="s">
        <v>33815</v>
      </c>
      <c r="J2757" s="11" t="s">
        <v>33815</v>
      </c>
      <c r="K2757" s="9" t="s">
        <v>19447</v>
      </c>
      <c r="L2757" s="9" t="s">
        <v>17759</v>
      </c>
      <c r="M2757" s="9" t="s">
        <v>26134</v>
      </c>
      <c r="N2757" s="9" t="s">
        <v>17746</v>
      </c>
      <c r="O2757" s="9" t="s">
        <v>18855</v>
      </c>
      <c r="P2757" s="9" t="s">
        <v>17748</v>
      </c>
      <c r="Q2757" s="11" t="s">
        <v>17819</v>
      </c>
      <c r="R2757" s="11" t="s">
        <v>17819</v>
      </c>
      <c r="S2757" s="11" t="s">
        <v>17750</v>
      </c>
    </row>
    <row r="2758" spans="1:19" x14ac:dyDescent="0.2">
      <c r="A2758" s="11" t="s">
        <v>33816</v>
      </c>
      <c r="B2758" s="9" t="s">
        <v>33817</v>
      </c>
      <c r="C2758" s="9" t="s">
        <v>33818</v>
      </c>
      <c r="D2758" s="9" t="s">
        <v>33819</v>
      </c>
      <c r="E2758" s="9" t="s">
        <v>17740</v>
      </c>
      <c r="F2758" s="9" t="s">
        <v>17741</v>
      </c>
      <c r="G2758" s="9" t="s">
        <v>17740</v>
      </c>
      <c r="H2758" s="11" t="s">
        <v>33820</v>
      </c>
      <c r="I2758" s="11" t="s">
        <v>33821</v>
      </c>
      <c r="J2758" s="11" t="s">
        <v>33821</v>
      </c>
      <c r="K2758" s="9" t="s">
        <v>33822</v>
      </c>
      <c r="L2758" s="9" t="s">
        <v>17759</v>
      </c>
      <c r="M2758" s="9" t="s">
        <v>17760</v>
      </c>
      <c r="N2758" s="9" t="s">
        <v>17746</v>
      </c>
      <c r="O2758" s="9" t="s">
        <v>18855</v>
      </c>
      <c r="P2758" s="9" t="s">
        <v>17748</v>
      </c>
      <c r="Q2758" s="11" t="s">
        <v>17792</v>
      </c>
      <c r="R2758" s="11" t="s">
        <v>17792</v>
      </c>
      <c r="S2758" s="11" t="s">
        <v>17750</v>
      </c>
    </row>
    <row r="2759" spans="1:19" x14ac:dyDescent="0.2">
      <c r="A2759" s="11" t="s">
        <v>33823</v>
      </c>
      <c r="B2759" s="9" t="s">
        <v>33824</v>
      </c>
      <c r="C2759" s="9" t="s">
        <v>33825</v>
      </c>
      <c r="D2759" s="9" t="s">
        <v>33826</v>
      </c>
      <c r="E2759" s="9" t="s">
        <v>17740</v>
      </c>
      <c r="F2759" s="9" t="s">
        <v>17741</v>
      </c>
      <c r="G2759" s="9" t="s">
        <v>17740</v>
      </c>
      <c r="H2759" s="11" t="s">
        <v>33827</v>
      </c>
      <c r="I2759" s="11" t="s">
        <v>33828</v>
      </c>
      <c r="J2759" s="11" t="s">
        <v>33828</v>
      </c>
      <c r="K2759" s="9" t="s">
        <v>25921</v>
      </c>
      <c r="L2759" s="9" t="s">
        <v>17744</v>
      </c>
      <c r="M2759" s="9" t="s">
        <v>17760</v>
      </c>
      <c r="N2759" s="9" t="s">
        <v>17746</v>
      </c>
      <c r="O2759" s="9" t="s">
        <v>18855</v>
      </c>
      <c r="P2759" s="9" t="s">
        <v>17748</v>
      </c>
      <c r="Q2759" s="11" t="s">
        <v>18364</v>
      </c>
      <c r="R2759" s="11" t="s">
        <v>18364</v>
      </c>
      <c r="S2759" s="11" t="s">
        <v>17750</v>
      </c>
    </row>
    <row r="2760" spans="1:19" x14ac:dyDescent="0.2">
      <c r="A2760" s="11" t="s">
        <v>33829</v>
      </c>
      <c r="B2760" s="9" t="s">
        <v>33830</v>
      </c>
      <c r="C2760" s="9" t="s">
        <v>33831</v>
      </c>
      <c r="D2760" s="9" t="s">
        <v>33832</v>
      </c>
      <c r="E2760" s="9" t="s">
        <v>17740</v>
      </c>
      <c r="F2760" s="9" t="s">
        <v>17741</v>
      </c>
      <c r="G2760" s="9" t="s">
        <v>17740</v>
      </c>
      <c r="H2760" s="11" t="s">
        <v>33833</v>
      </c>
      <c r="I2760" s="11" t="s">
        <v>33834</v>
      </c>
      <c r="J2760" s="11" t="s">
        <v>33834</v>
      </c>
      <c r="K2760" s="9" t="s">
        <v>17881</v>
      </c>
      <c r="L2760" s="9" t="s">
        <v>17759</v>
      </c>
      <c r="M2760" s="9" t="s">
        <v>33835</v>
      </c>
      <c r="N2760" s="9" t="s">
        <v>17746</v>
      </c>
      <c r="O2760" s="9" t="s">
        <v>29564</v>
      </c>
      <c r="P2760" s="9" t="s">
        <v>17748</v>
      </c>
      <c r="Q2760" s="11" t="s">
        <v>18470</v>
      </c>
      <c r="R2760" s="11" t="s">
        <v>18470</v>
      </c>
      <c r="S2760" s="11" t="s">
        <v>17750</v>
      </c>
    </row>
    <row r="2761" spans="1:19" x14ac:dyDescent="0.2">
      <c r="A2761" s="11" t="s">
        <v>33836</v>
      </c>
      <c r="B2761" s="9" t="s">
        <v>33837</v>
      </c>
      <c r="C2761" s="9" t="s">
        <v>33838</v>
      </c>
      <c r="D2761" s="9" t="s">
        <v>33839</v>
      </c>
      <c r="E2761" s="9" t="s">
        <v>17740</v>
      </c>
      <c r="F2761" s="9" t="s">
        <v>17741</v>
      </c>
      <c r="G2761" s="9" t="s">
        <v>17740</v>
      </c>
      <c r="H2761" s="11" t="s">
        <v>17741</v>
      </c>
      <c r="I2761" s="11" t="s">
        <v>33840</v>
      </c>
      <c r="J2761" s="11" t="s">
        <v>33840</v>
      </c>
      <c r="K2761" s="9" t="s">
        <v>33841</v>
      </c>
      <c r="L2761" s="9" t="s">
        <v>17759</v>
      </c>
      <c r="M2761" s="9" t="s">
        <v>17760</v>
      </c>
      <c r="N2761" s="9" t="s">
        <v>17746</v>
      </c>
      <c r="O2761" s="9" t="s">
        <v>19653</v>
      </c>
      <c r="P2761" s="9" t="s">
        <v>17748</v>
      </c>
      <c r="Q2761" s="11" t="s">
        <v>19361</v>
      </c>
      <c r="R2761" s="11" t="s">
        <v>19361</v>
      </c>
      <c r="S2761" s="11" t="s">
        <v>17750</v>
      </c>
    </row>
    <row r="2762" spans="1:19" x14ac:dyDescent="0.2">
      <c r="A2762" s="11" t="s">
        <v>33842</v>
      </c>
      <c r="B2762" s="9" t="s">
        <v>33843</v>
      </c>
      <c r="C2762" s="9" t="s">
        <v>33844</v>
      </c>
      <c r="D2762" s="9" t="s">
        <v>33845</v>
      </c>
      <c r="E2762" s="9" t="s">
        <v>17740</v>
      </c>
      <c r="F2762" s="9" t="s">
        <v>17741</v>
      </c>
      <c r="G2762" s="9" t="s">
        <v>17740</v>
      </c>
      <c r="H2762" s="11" t="s">
        <v>33846</v>
      </c>
      <c r="I2762" s="11" t="s">
        <v>33847</v>
      </c>
      <c r="J2762" s="11" t="s">
        <v>33847</v>
      </c>
      <c r="K2762" s="9" t="s">
        <v>291</v>
      </c>
      <c r="L2762" s="9" t="s">
        <v>17744</v>
      </c>
      <c r="M2762" s="9" t="s">
        <v>17778</v>
      </c>
      <c r="N2762" s="9" t="s">
        <v>17746</v>
      </c>
      <c r="O2762" s="9" t="s">
        <v>19653</v>
      </c>
      <c r="P2762" s="9" t="s">
        <v>17748</v>
      </c>
      <c r="Q2762" s="11" t="s">
        <v>17808</v>
      </c>
      <c r="R2762" s="11" t="s">
        <v>17808</v>
      </c>
      <c r="S2762" s="11" t="s">
        <v>17750</v>
      </c>
    </row>
    <row r="2763" spans="1:19" x14ac:dyDescent="0.2">
      <c r="A2763" s="11" t="s">
        <v>33848</v>
      </c>
      <c r="B2763" s="9" t="s">
        <v>33849</v>
      </c>
      <c r="C2763" s="9" t="s">
        <v>33850</v>
      </c>
      <c r="D2763" s="9" t="s">
        <v>33851</v>
      </c>
      <c r="E2763" s="9" t="s">
        <v>17740</v>
      </c>
      <c r="F2763" s="9" t="s">
        <v>33852</v>
      </c>
      <c r="G2763" s="9" t="s">
        <v>17740</v>
      </c>
      <c r="H2763" s="11" t="s">
        <v>17741</v>
      </c>
      <c r="I2763" s="11" t="s">
        <v>33853</v>
      </c>
      <c r="J2763" s="11" t="s">
        <v>33853</v>
      </c>
      <c r="K2763" s="9" t="s">
        <v>33854</v>
      </c>
      <c r="L2763" s="9" t="s">
        <v>17759</v>
      </c>
      <c r="M2763" s="9" t="s">
        <v>17817</v>
      </c>
      <c r="N2763" s="9" t="s">
        <v>17746</v>
      </c>
      <c r="O2763" s="9" t="s">
        <v>30691</v>
      </c>
      <c r="P2763" s="9" t="s">
        <v>17748</v>
      </c>
      <c r="Q2763" s="11" t="s">
        <v>18080</v>
      </c>
      <c r="R2763" s="11" t="s">
        <v>18080</v>
      </c>
      <c r="S2763" s="11" t="s">
        <v>17750</v>
      </c>
    </row>
    <row r="2764" spans="1:19" x14ac:dyDescent="0.2">
      <c r="A2764" s="11" t="s">
        <v>33855</v>
      </c>
      <c r="B2764" s="9" t="s">
        <v>33856</v>
      </c>
      <c r="C2764" s="9" t="s">
        <v>33857</v>
      </c>
      <c r="D2764" s="9" t="s">
        <v>33858</v>
      </c>
      <c r="E2764" s="9" t="s">
        <v>17740</v>
      </c>
      <c r="F2764" s="9" t="s">
        <v>33859</v>
      </c>
      <c r="G2764" s="9" t="s">
        <v>17740</v>
      </c>
      <c r="H2764" s="11" t="s">
        <v>2109</v>
      </c>
      <c r="I2764" s="11" t="s">
        <v>2108</v>
      </c>
      <c r="J2764" s="11" t="s">
        <v>2108</v>
      </c>
      <c r="K2764" s="9" t="s">
        <v>30901</v>
      </c>
      <c r="L2764" s="9" t="s">
        <v>17759</v>
      </c>
      <c r="M2764" s="9" t="s">
        <v>17817</v>
      </c>
      <c r="N2764" s="9" t="s">
        <v>17746</v>
      </c>
      <c r="O2764" s="9" t="s">
        <v>18882</v>
      </c>
      <c r="P2764" s="9" t="s">
        <v>17748</v>
      </c>
      <c r="Q2764" s="11" t="s">
        <v>19899</v>
      </c>
      <c r="R2764" s="11" t="s">
        <v>19899</v>
      </c>
      <c r="S2764" s="11" t="s">
        <v>17750</v>
      </c>
    </row>
    <row r="2765" spans="1:19" x14ac:dyDescent="0.2">
      <c r="A2765" s="11" t="s">
        <v>33860</v>
      </c>
      <c r="B2765" s="9" t="s">
        <v>33861</v>
      </c>
      <c r="C2765" s="9" t="s">
        <v>33862</v>
      </c>
      <c r="D2765" s="9" t="s">
        <v>33863</v>
      </c>
      <c r="E2765" s="9" t="s">
        <v>17740</v>
      </c>
      <c r="F2765" s="9" t="s">
        <v>17741</v>
      </c>
      <c r="G2765" s="9" t="s">
        <v>17740</v>
      </c>
      <c r="H2765" s="11" t="s">
        <v>33864</v>
      </c>
      <c r="I2765" s="11" t="s">
        <v>17018</v>
      </c>
      <c r="J2765" s="11" t="s">
        <v>17741</v>
      </c>
      <c r="K2765" s="9" t="s">
        <v>17741</v>
      </c>
      <c r="L2765" s="9" t="s">
        <v>17759</v>
      </c>
      <c r="M2765" s="9" t="s">
        <v>17769</v>
      </c>
      <c r="N2765" s="9" t="s">
        <v>17746</v>
      </c>
      <c r="O2765" s="9" t="s">
        <v>18882</v>
      </c>
      <c r="P2765" s="9" t="s">
        <v>17748</v>
      </c>
      <c r="Q2765" s="11" t="s">
        <v>18089</v>
      </c>
      <c r="R2765" s="11" t="s">
        <v>18089</v>
      </c>
      <c r="S2765" s="11" t="s">
        <v>17750</v>
      </c>
    </row>
    <row r="2766" spans="1:19" x14ac:dyDescent="0.2">
      <c r="A2766" s="11" t="s">
        <v>33865</v>
      </c>
      <c r="B2766" s="9" t="s">
        <v>33866</v>
      </c>
      <c r="C2766" s="9" t="s">
        <v>33867</v>
      </c>
      <c r="D2766" s="9" t="s">
        <v>33868</v>
      </c>
      <c r="E2766" s="9" t="s">
        <v>17740</v>
      </c>
      <c r="F2766" s="9" t="s">
        <v>17741</v>
      </c>
      <c r="G2766" s="9" t="s">
        <v>17740</v>
      </c>
      <c r="H2766" s="11" t="s">
        <v>33869</v>
      </c>
      <c r="I2766" s="11" t="s">
        <v>33870</v>
      </c>
      <c r="J2766" s="11" t="s">
        <v>33870</v>
      </c>
      <c r="K2766" s="9" t="s">
        <v>33871</v>
      </c>
      <c r="L2766" s="9" t="s">
        <v>17759</v>
      </c>
      <c r="M2766" s="9" t="s">
        <v>17760</v>
      </c>
      <c r="N2766" s="9" t="s">
        <v>17746</v>
      </c>
      <c r="O2766" s="9" t="s">
        <v>27873</v>
      </c>
      <c r="P2766" s="9" t="s">
        <v>17748</v>
      </c>
      <c r="Q2766" s="11" t="s">
        <v>19082</v>
      </c>
      <c r="R2766" s="11" t="s">
        <v>19082</v>
      </c>
      <c r="S2766" s="11" t="s">
        <v>17750</v>
      </c>
    </row>
    <row r="2767" spans="1:19" x14ac:dyDescent="0.2">
      <c r="A2767" s="11" t="s">
        <v>33872</v>
      </c>
      <c r="B2767" s="9" t="s">
        <v>33873</v>
      </c>
      <c r="C2767" s="9" t="s">
        <v>33874</v>
      </c>
      <c r="D2767" s="9" t="s">
        <v>33875</v>
      </c>
      <c r="E2767" s="9" t="s">
        <v>17740</v>
      </c>
      <c r="F2767" s="9" t="s">
        <v>17741</v>
      </c>
      <c r="G2767" s="9" t="s">
        <v>17740</v>
      </c>
      <c r="H2767" s="11" t="s">
        <v>6709</v>
      </c>
      <c r="I2767" s="11" t="s">
        <v>6708</v>
      </c>
      <c r="J2767" s="11" t="s">
        <v>6708</v>
      </c>
      <c r="K2767" s="9" t="s">
        <v>19180</v>
      </c>
      <c r="L2767" s="9" t="s">
        <v>17759</v>
      </c>
      <c r="M2767" s="9" t="s">
        <v>29147</v>
      </c>
      <c r="N2767" s="9" t="s">
        <v>17746</v>
      </c>
      <c r="O2767" s="9" t="s">
        <v>18607</v>
      </c>
      <c r="P2767" s="9" t="s">
        <v>17748</v>
      </c>
      <c r="Q2767" s="11" t="s">
        <v>19361</v>
      </c>
      <c r="R2767" s="11" t="s">
        <v>19361</v>
      </c>
      <c r="S2767" s="11" t="s">
        <v>17750</v>
      </c>
    </row>
    <row r="2768" spans="1:19" x14ac:dyDescent="0.2">
      <c r="A2768" s="11" t="s">
        <v>33876</v>
      </c>
      <c r="B2768" s="9" t="s">
        <v>33877</v>
      </c>
      <c r="C2768" s="9" t="s">
        <v>33878</v>
      </c>
      <c r="D2768" s="9" t="s">
        <v>33879</v>
      </c>
      <c r="E2768" s="9" t="s">
        <v>17740</v>
      </c>
      <c r="F2768" s="9" t="s">
        <v>17741</v>
      </c>
      <c r="G2768" s="9" t="s">
        <v>17740</v>
      </c>
      <c r="H2768" s="11" t="s">
        <v>8129</v>
      </c>
      <c r="I2768" s="11" t="s">
        <v>8128</v>
      </c>
      <c r="J2768" s="11" t="s">
        <v>8128</v>
      </c>
      <c r="K2768" s="9" t="s">
        <v>920</v>
      </c>
      <c r="L2768" s="9" t="s">
        <v>18001</v>
      </c>
      <c r="M2768" s="9" t="s">
        <v>21005</v>
      </c>
      <c r="N2768" s="9" t="s">
        <v>17746</v>
      </c>
      <c r="O2768" s="9" t="s">
        <v>33880</v>
      </c>
      <c r="P2768" s="9" t="s">
        <v>17748</v>
      </c>
      <c r="Q2768" s="11" t="s">
        <v>18798</v>
      </c>
      <c r="R2768" s="11" t="s">
        <v>18798</v>
      </c>
      <c r="S2768" s="11" t="s">
        <v>17750</v>
      </c>
    </row>
    <row r="2769" spans="1:19" x14ac:dyDescent="0.2">
      <c r="A2769" s="11" t="s">
        <v>33881</v>
      </c>
      <c r="B2769" s="9" t="s">
        <v>33882</v>
      </c>
      <c r="C2769" s="9" t="s">
        <v>33883</v>
      </c>
      <c r="D2769" s="9" t="s">
        <v>33884</v>
      </c>
      <c r="E2769" s="9" t="s">
        <v>17740</v>
      </c>
      <c r="F2769" s="9" t="s">
        <v>17741</v>
      </c>
      <c r="G2769" s="9" t="s">
        <v>17740</v>
      </c>
      <c r="H2769" s="11" t="s">
        <v>33885</v>
      </c>
      <c r="I2769" s="11" t="s">
        <v>33886</v>
      </c>
      <c r="J2769" s="11" t="s">
        <v>33886</v>
      </c>
      <c r="K2769" s="9" t="s">
        <v>17758</v>
      </c>
      <c r="L2769" s="9" t="s">
        <v>17759</v>
      </c>
      <c r="M2769" s="9" t="s">
        <v>17760</v>
      </c>
      <c r="N2769" s="9" t="s">
        <v>17746</v>
      </c>
      <c r="O2769" s="9" t="s">
        <v>17848</v>
      </c>
      <c r="P2769" s="9" t="s">
        <v>17748</v>
      </c>
      <c r="Q2769" s="11" t="s">
        <v>19335</v>
      </c>
      <c r="R2769" s="11" t="s">
        <v>19335</v>
      </c>
      <c r="S2769" s="11" t="s">
        <v>17750</v>
      </c>
    </row>
    <row r="2770" spans="1:19" x14ac:dyDescent="0.2">
      <c r="A2770" s="11" t="s">
        <v>33887</v>
      </c>
      <c r="B2770" s="9" t="s">
        <v>33888</v>
      </c>
      <c r="C2770" s="9" t="s">
        <v>33889</v>
      </c>
      <c r="D2770" s="9" t="s">
        <v>33890</v>
      </c>
      <c r="E2770" s="9" t="s">
        <v>17740</v>
      </c>
      <c r="F2770" s="9" t="s">
        <v>33891</v>
      </c>
      <c r="G2770" s="9" t="s">
        <v>17740</v>
      </c>
      <c r="H2770" s="11" t="s">
        <v>33892</v>
      </c>
      <c r="I2770" s="11" t="s">
        <v>33893</v>
      </c>
      <c r="J2770" s="11" t="s">
        <v>33893</v>
      </c>
      <c r="K2770" s="9" t="s">
        <v>689</v>
      </c>
      <c r="L2770" s="9" t="s">
        <v>17759</v>
      </c>
      <c r="M2770" s="9" t="s">
        <v>33894</v>
      </c>
      <c r="N2770" s="9" t="s">
        <v>17746</v>
      </c>
      <c r="O2770" s="9" t="s">
        <v>17848</v>
      </c>
      <c r="P2770" s="9" t="s">
        <v>17748</v>
      </c>
      <c r="Q2770" s="11" t="s">
        <v>19515</v>
      </c>
      <c r="R2770" s="11" t="s">
        <v>19515</v>
      </c>
      <c r="S2770" s="11" t="s">
        <v>17750</v>
      </c>
    </row>
    <row r="2771" spans="1:19" x14ac:dyDescent="0.2">
      <c r="A2771" s="11" t="s">
        <v>33895</v>
      </c>
      <c r="B2771" s="9" t="s">
        <v>33896</v>
      </c>
      <c r="C2771" s="9" t="s">
        <v>33897</v>
      </c>
      <c r="D2771" s="9" t="s">
        <v>33898</v>
      </c>
      <c r="E2771" s="9" t="s">
        <v>17740</v>
      </c>
      <c r="F2771" s="9" t="s">
        <v>17741</v>
      </c>
      <c r="G2771" s="9" t="s">
        <v>17740</v>
      </c>
      <c r="H2771" s="11" t="s">
        <v>33899</v>
      </c>
      <c r="I2771" s="11" t="s">
        <v>33900</v>
      </c>
      <c r="J2771" s="11" t="s">
        <v>33900</v>
      </c>
      <c r="K2771" s="9" t="s">
        <v>24794</v>
      </c>
      <c r="L2771" s="9" t="s">
        <v>17744</v>
      </c>
      <c r="M2771" s="9" t="s">
        <v>17760</v>
      </c>
      <c r="N2771" s="9" t="s">
        <v>17746</v>
      </c>
      <c r="O2771" s="9" t="s">
        <v>18514</v>
      </c>
      <c r="P2771" s="9" t="s">
        <v>17748</v>
      </c>
      <c r="Q2771" s="11" t="s">
        <v>21569</v>
      </c>
      <c r="R2771" s="11" t="s">
        <v>21569</v>
      </c>
      <c r="S2771" s="11" t="s">
        <v>17750</v>
      </c>
    </row>
    <row r="2772" spans="1:19" x14ac:dyDescent="0.2">
      <c r="A2772" s="11" t="s">
        <v>33901</v>
      </c>
      <c r="B2772" s="9" t="s">
        <v>33902</v>
      </c>
      <c r="C2772" s="9" t="s">
        <v>33903</v>
      </c>
      <c r="D2772" s="9" t="s">
        <v>33904</v>
      </c>
      <c r="E2772" s="9" t="s">
        <v>17740</v>
      </c>
      <c r="F2772" s="9" t="s">
        <v>17741</v>
      </c>
      <c r="G2772" s="9" t="s">
        <v>17740</v>
      </c>
      <c r="H2772" s="11" t="s">
        <v>2140</v>
      </c>
      <c r="I2772" s="11" t="s">
        <v>2139</v>
      </c>
      <c r="J2772" s="11" t="s">
        <v>2139</v>
      </c>
      <c r="K2772" s="9" t="s">
        <v>55</v>
      </c>
      <c r="L2772" s="9" t="s">
        <v>17744</v>
      </c>
      <c r="M2772" s="9" t="s">
        <v>33905</v>
      </c>
      <c r="N2772" s="9" t="s">
        <v>17746</v>
      </c>
      <c r="O2772" s="9" t="s">
        <v>4009</v>
      </c>
      <c r="P2772" s="9" t="s">
        <v>17748</v>
      </c>
      <c r="Q2772" s="11" t="s">
        <v>18600</v>
      </c>
      <c r="R2772" s="11" t="s">
        <v>18600</v>
      </c>
      <c r="S2772" s="11" t="s">
        <v>17750</v>
      </c>
    </row>
    <row r="2773" spans="1:19" x14ac:dyDescent="0.2">
      <c r="A2773" s="11" t="s">
        <v>33906</v>
      </c>
      <c r="B2773" s="9" t="s">
        <v>33907</v>
      </c>
      <c r="C2773" s="9" t="s">
        <v>33908</v>
      </c>
      <c r="D2773" s="9" t="s">
        <v>33909</v>
      </c>
      <c r="E2773" s="9" t="s">
        <v>17740</v>
      </c>
      <c r="F2773" s="9" t="s">
        <v>33910</v>
      </c>
      <c r="G2773" s="9" t="s">
        <v>17740</v>
      </c>
      <c r="H2773" s="11" t="s">
        <v>2537</v>
      </c>
      <c r="I2773" s="11" t="s">
        <v>2536</v>
      </c>
      <c r="J2773" s="11" t="s">
        <v>2536</v>
      </c>
      <c r="K2773" s="9" t="s">
        <v>296</v>
      </c>
      <c r="L2773" s="9" t="s">
        <v>17744</v>
      </c>
      <c r="M2773" s="9" t="s">
        <v>33911</v>
      </c>
      <c r="N2773" s="9" t="s">
        <v>17746</v>
      </c>
      <c r="O2773" s="9" t="s">
        <v>20208</v>
      </c>
      <c r="P2773" s="9" t="s">
        <v>17748</v>
      </c>
      <c r="Q2773" s="11" t="s">
        <v>19349</v>
      </c>
      <c r="R2773" s="11" t="s">
        <v>19349</v>
      </c>
      <c r="S2773" s="11" t="s">
        <v>17750</v>
      </c>
    </row>
    <row r="2774" spans="1:19" x14ac:dyDescent="0.2">
      <c r="A2774" s="11" t="s">
        <v>33912</v>
      </c>
      <c r="B2774" s="9" t="s">
        <v>33913</v>
      </c>
      <c r="C2774" s="9" t="s">
        <v>33914</v>
      </c>
      <c r="D2774" s="9" t="s">
        <v>33915</v>
      </c>
      <c r="E2774" s="9" t="s">
        <v>17740</v>
      </c>
      <c r="F2774" s="9" t="s">
        <v>17741</v>
      </c>
      <c r="G2774" s="9" t="s">
        <v>17740</v>
      </c>
      <c r="H2774" s="11" t="s">
        <v>5894</v>
      </c>
      <c r="I2774" s="11" t="s">
        <v>5893</v>
      </c>
      <c r="J2774" s="11" t="s">
        <v>5893</v>
      </c>
      <c r="K2774" s="9" t="s">
        <v>33916</v>
      </c>
      <c r="L2774" s="9" t="s">
        <v>18242</v>
      </c>
      <c r="M2774" s="9" t="s">
        <v>17778</v>
      </c>
      <c r="N2774" s="9" t="s">
        <v>17746</v>
      </c>
      <c r="O2774" s="9" t="s">
        <v>487</v>
      </c>
      <c r="P2774" s="9" t="s">
        <v>17748</v>
      </c>
      <c r="Q2774" s="11" t="s">
        <v>18364</v>
      </c>
      <c r="R2774" s="11" t="s">
        <v>18364</v>
      </c>
      <c r="S2774" s="11" t="s">
        <v>17750</v>
      </c>
    </row>
    <row r="2775" spans="1:19" x14ac:dyDescent="0.2">
      <c r="A2775" s="11" t="s">
        <v>33917</v>
      </c>
      <c r="B2775" s="9" t="s">
        <v>33918</v>
      </c>
      <c r="C2775" s="9" t="s">
        <v>33919</v>
      </c>
      <c r="D2775" s="9" t="s">
        <v>33920</v>
      </c>
      <c r="E2775" s="9" t="s">
        <v>17740</v>
      </c>
      <c r="F2775" s="9" t="s">
        <v>33921</v>
      </c>
      <c r="G2775" s="9" t="s">
        <v>17740</v>
      </c>
      <c r="H2775" s="11" t="s">
        <v>33922</v>
      </c>
      <c r="I2775" s="11" t="s">
        <v>33923</v>
      </c>
      <c r="J2775" s="11" t="s">
        <v>33923</v>
      </c>
      <c r="K2775" s="9" t="s">
        <v>21146</v>
      </c>
      <c r="L2775" s="9" t="s">
        <v>18158</v>
      </c>
      <c r="M2775" s="9" t="s">
        <v>33924</v>
      </c>
      <c r="N2775" s="9" t="s">
        <v>17746</v>
      </c>
      <c r="O2775" s="9" t="s">
        <v>33925</v>
      </c>
      <c r="P2775" s="9" t="s">
        <v>17748</v>
      </c>
      <c r="Q2775" s="11" t="s">
        <v>18059</v>
      </c>
      <c r="R2775" s="11" t="s">
        <v>18059</v>
      </c>
      <c r="S2775" s="11" t="s">
        <v>17750</v>
      </c>
    </row>
    <row r="2776" spans="1:19" x14ac:dyDescent="0.2">
      <c r="A2776" s="11" t="s">
        <v>33926</v>
      </c>
      <c r="B2776" s="9" t="s">
        <v>33927</v>
      </c>
      <c r="C2776" s="9" t="s">
        <v>33928</v>
      </c>
      <c r="D2776" s="9" t="s">
        <v>33929</v>
      </c>
      <c r="E2776" s="9" t="s">
        <v>17740</v>
      </c>
      <c r="F2776" s="9" t="s">
        <v>17741</v>
      </c>
      <c r="G2776" s="9" t="s">
        <v>17740</v>
      </c>
      <c r="H2776" s="11" t="s">
        <v>33930</v>
      </c>
      <c r="I2776" s="11" t="s">
        <v>33931</v>
      </c>
      <c r="J2776" s="11" t="s">
        <v>33931</v>
      </c>
      <c r="K2776" s="9" t="s">
        <v>21146</v>
      </c>
      <c r="L2776" s="9" t="s">
        <v>17744</v>
      </c>
      <c r="M2776" s="9" t="s">
        <v>33932</v>
      </c>
      <c r="N2776" s="9" t="s">
        <v>17746</v>
      </c>
      <c r="O2776" s="9" t="s">
        <v>33933</v>
      </c>
      <c r="P2776" s="9" t="s">
        <v>17748</v>
      </c>
      <c r="Q2776" s="11" t="s">
        <v>20789</v>
      </c>
      <c r="R2776" s="11" t="s">
        <v>20789</v>
      </c>
      <c r="S2776" s="11" t="s">
        <v>17750</v>
      </c>
    </row>
    <row r="2777" spans="1:19" x14ac:dyDescent="0.2">
      <c r="A2777" s="11" t="s">
        <v>33934</v>
      </c>
      <c r="B2777" s="9" t="s">
        <v>33935</v>
      </c>
      <c r="C2777" s="9" t="s">
        <v>33936</v>
      </c>
      <c r="D2777" s="9" t="s">
        <v>33937</v>
      </c>
      <c r="E2777" s="9" t="s">
        <v>17740</v>
      </c>
      <c r="F2777" s="9" t="s">
        <v>33938</v>
      </c>
      <c r="G2777" s="9" t="s">
        <v>17740</v>
      </c>
      <c r="H2777" s="11" t="s">
        <v>33939</v>
      </c>
      <c r="I2777" s="11" t="s">
        <v>33940</v>
      </c>
      <c r="J2777" s="11" t="s">
        <v>33940</v>
      </c>
      <c r="K2777" s="9" t="s">
        <v>22893</v>
      </c>
      <c r="L2777" s="9" t="s">
        <v>18158</v>
      </c>
      <c r="M2777" s="9" t="s">
        <v>18065</v>
      </c>
      <c r="N2777" s="9" t="s">
        <v>17746</v>
      </c>
      <c r="O2777" s="9" t="s">
        <v>33941</v>
      </c>
      <c r="P2777" s="9" t="s">
        <v>17748</v>
      </c>
      <c r="Q2777" s="11" t="s">
        <v>18922</v>
      </c>
      <c r="R2777" s="11" t="s">
        <v>18922</v>
      </c>
      <c r="S2777" s="11" t="s">
        <v>17750</v>
      </c>
    </row>
    <row r="2778" spans="1:19" x14ac:dyDescent="0.2">
      <c r="A2778" s="11" t="s">
        <v>33942</v>
      </c>
      <c r="B2778" s="9" t="s">
        <v>33943</v>
      </c>
      <c r="C2778" s="9" t="s">
        <v>33944</v>
      </c>
      <c r="D2778" s="9" t="s">
        <v>33945</v>
      </c>
      <c r="E2778" s="9" t="s">
        <v>17740</v>
      </c>
      <c r="F2778" s="9" t="s">
        <v>33946</v>
      </c>
      <c r="G2778" s="9" t="s">
        <v>17740</v>
      </c>
      <c r="H2778" s="11" t="s">
        <v>33947</v>
      </c>
      <c r="I2778" s="11" t="s">
        <v>33948</v>
      </c>
      <c r="J2778" s="11" t="s">
        <v>33948</v>
      </c>
      <c r="K2778" s="9" t="s">
        <v>33949</v>
      </c>
      <c r="L2778" s="9" t="s">
        <v>17759</v>
      </c>
      <c r="M2778" s="9" t="s">
        <v>33950</v>
      </c>
      <c r="N2778" s="9" t="s">
        <v>17746</v>
      </c>
      <c r="O2778" s="9" t="s">
        <v>18563</v>
      </c>
      <c r="P2778" s="9" t="s">
        <v>17748</v>
      </c>
      <c r="Q2778" s="11" t="s">
        <v>18952</v>
      </c>
      <c r="R2778" s="11" t="s">
        <v>18952</v>
      </c>
      <c r="S2778" s="11" t="s">
        <v>17750</v>
      </c>
    </row>
    <row r="2779" spans="1:19" x14ac:dyDescent="0.2">
      <c r="A2779" s="11" t="s">
        <v>33951</v>
      </c>
      <c r="B2779" s="9" t="s">
        <v>33952</v>
      </c>
      <c r="C2779" s="9" t="s">
        <v>33953</v>
      </c>
      <c r="D2779" s="9" t="s">
        <v>33954</v>
      </c>
      <c r="E2779" s="9" t="s">
        <v>17740</v>
      </c>
      <c r="F2779" s="9" t="s">
        <v>33955</v>
      </c>
      <c r="G2779" s="9" t="s">
        <v>17740</v>
      </c>
      <c r="H2779" s="11" t="s">
        <v>33956</v>
      </c>
      <c r="I2779" s="11" t="s">
        <v>33957</v>
      </c>
      <c r="J2779" s="11" t="s">
        <v>33957</v>
      </c>
      <c r="K2779" s="9" t="s">
        <v>33958</v>
      </c>
      <c r="L2779" s="9" t="s">
        <v>17991</v>
      </c>
      <c r="M2779" s="9" t="s">
        <v>18745</v>
      </c>
      <c r="N2779" s="9" t="s">
        <v>17746</v>
      </c>
      <c r="O2779" s="9" t="s">
        <v>19800</v>
      </c>
      <c r="P2779" s="9" t="s">
        <v>17748</v>
      </c>
      <c r="Q2779" s="11" t="s">
        <v>17780</v>
      </c>
      <c r="R2779" s="11" t="s">
        <v>17780</v>
      </c>
      <c r="S2779" s="11" t="s">
        <v>17750</v>
      </c>
    </row>
    <row r="2780" spans="1:19" x14ac:dyDescent="0.2">
      <c r="A2780" s="11" t="s">
        <v>33959</v>
      </c>
      <c r="B2780" s="9" t="s">
        <v>33960</v>
      </c>
      <c r="C2780" s="9" t="s">
        <v>33961</v>
      </c>
      <c r="D2780" s="9" t="s">
        <v>33962</v>
      </c>
      <c r="E2780" s="9" t="s">
        <v>17740</v>
      </c>
      <c r="F2780" s="9" t="s">
        <v>33963</v>
      </c>
      <c r="G2780" s="9" t="s">
        <v>17740</v>
      </c>
      <c r="H2780" s="11" t="s">
        <v>17741</v>
      </c>
      <c r="I2780" s="11" t="s">
        <v>2130</v>
      </c>
      <c r="J2780" s="11" t="s">
        <v>2130</v>
      </c>
      <c r="K2780" s="9" t="s">
        <v>315</v>
      </c>
      <c r="L2780" s="9" t="s">
        <v>18242</v>
      </c>
      <c r="M2780" s="9" t="s">
        <v>17817</v>
      </c>
      <c r="N2780" s="9" t="s">
        <v>17746</v>
      </c>
      <c r="O2780" s="9" t="s">
        <v>15993</v>
      </c>
      <c r="P2780" s="9" t="s">
        <v>17748</v>
      </c>
      <c r="Q2780" s="11" t="s">
        <v>18470</v>
      </c>
      <c r="R2780" s="11" t="s">
        <v>18470</v>
      </c>
      <c r="S2780" s="11" t="s">
        <v>17750</v>
      </c>
    </row>
    <row r="2781" spans="1:19" x14ac:dyDescent="0.2">
      <c r="A2781" s="11" t="s">
        <v>33964</v>
      </c>
      <c r="B2781" s="9" t="s">
        <v>33965</v>
      </c>
      <c r="C2781" s="9" t="s">
        <v>33966</v>
      </c>
      <c r="D2781" s="9" t="s">
        <v>33967</v>
      </c>
      <c r="E2781" s="9" t="s">
        <v>17740</v>
      </c>
      <c r="F2781" s="9" t="s">
        <v>17741</v>
      </c>
      <c r="G2781" s="9" t="s">
        <v>17740</v>
      </c>
      <c r="H2781" s="11" t="s">
        <v>2106</v>
      </c>
      <c r="I2781" s="11" t="s">
        <v>2105</v>
      </c>
      <c r="J2781" s="11" t="s">
        <v>2105</v>
      </c>
      <c r="K2781" s="9" t="s">
        <v>55</v>
      </c>
      <c r="L2781" s="9" t="s">
        <v>17744</v>
      </c>
      <c r="M2781" s="9" t="s">
        <v>17817</v>
      </c>
      <c r="N2781" s="9" t="s">
        <v>17746</v>
      </c>
      <c r="O2781" s="9" t="s">
        <v>15993</v>
      </c>
      <c r="P2781" s="9" t="s">
        <v>17748</v>
      </c>
      <c r="Q2781" s="11" t="s">
        <v>18608</v>
      </c>
      <c r="R2781" s="11" t="s">
        <v>18608</v>
      </c>
      <c r="S2781" s="11" t="s">
        <v>17750</v>
      </c>
    </row>
    <row r="2782" spans="1:19" x14ac:dyDescent="0.2">
      <c r="A2782" s="11" t="s">
        <v>33968</v>
      </c>
      <c r="B2782" s="9" t="s">
        <v>33969</v>
      </c>
      <c r="C2782" s="9" t="s">
        <v>33970</v>
      </c>
      <c r="D2782" s="9" t="s">
        <v>33971</v>
      </c>
      <c r="E2782" s="9" t="s">
        <v>17740</v>
      </c>
      <c r="F2782" s="9" t="s">
        <v>17741</v>
      </c>
      <c r="G2782" s="9" t="s">
        <v>17740</v>
      </c>
      <c r="H2782" s="11" t="s">
        <v>4214</v>
      </c>
      <c r="I2782" s="11" t="s">
        <v>4213</v>
      </c>
      <c r="J2782" s="11" t="s">
        <v>4213</v>
      </c>
      <c r="K2782" s="9" t="s">
        <v>91</v>
      </c>
      <c r="L2782" s="9" t="s">
        <v>18001</v>
      </c>
      <c r="M2782" s="9" t="s">
        <v>17769</v>
      </c>
      <c r="N2782" s="9" t="s">
        <v>17746</v>
      </c>
      <c r="O2782" s="9" t="s">
        <v>17834</v>
      </c>
      <c r="P2782" s="9" t="s">
        <v>17748</v>
      </c>
      <c r="Q2782" s="11" t="s">
        <v>18364</v>
      </c>
      <c r="R2782" s="11" t="s">
        <v>18364</v>
      </c>
      <c r="S2782" s="11" t="s">
        <v>17750</v>
      </c>
    </row>
    <row r="2783" spans="1:19" x14ac:dyDescent="0.2">
      <c r="A2783" s="11" t="s">
        <v>33972</v>
      </c>
      <c r="B2783" s="9" t="s">
        <v>33973</v>
      </c>
      <c r="C2783" s="9" t="s">
        <v>33974</v>
      </c>
      <c r="D2783" s="9" t="s">
        <v>33975</v>
      </c>
      <c r="E2783" s="9" t="s">
        <v>17740</v>
      </c>
      <c r="F2783" s="9" t="s">
        <v>33976</v>
      </c>
      <c r="G2783" s="9" t="s">
        <v>17740</v>
      </c>
      <c r="H2783" s="11" t="s">
        <v>17741</v>
      </c>
      <c r="I2783" s="11" t="s">
        <v>33977</v>
      </c>
      <c r="J2783" s="11" t="s">
        <v>33977</v>
      </c>
      <c r="K2783" s="9" t="s">
        <v>33978</v>
      </c>
      <c r="L2783" s="9" t="s">
        <v>17759</v>
      </c>
      <c r="M2783" s="9" t="s">
        <v>17769</v>
      </c>
      <c r="N2783" s="9" t="s">
        <v>17746</v>
      </c>
      <c r="O2783" s="9" t="s">
        <v>18088</v>
      </c>
      <c r="P2783" s="9" t="s">
        <v>17748</v>
      </c>
      <c r="Q2783" s="11" t="s">
        <v>18147</v>
      </c>
      <c r="R2783" s="11" t="s">
        <v>18147</v>
      </c>
      <c r="S2783" s="11" t="s">
        <v>17750</v>
      </c>
    </row>
    <row r="2784" spans="1:19" x14ac:dyDescent="0.2">
      <c r="A2784" s="11" t="s">
        <v>33979</v>
      </c>
      <c r="B2784" s="9" t="s">
        <v>33980</v>
      </c>
      <c r="C2784" s="9" t="s">
        <v>33981</v>
      </c>
      <c r="D2784" s="9" t="s">
        <v>33982</v>
      </c>
      <c r="E2784" s="9" t="s">
        <v>17740</v>
      </c>
      <c r="F2784" s="9" t="s">
        <v>33983</v>
      </c>
      <c r="G2784" s="9" t="s">
        <v>17740</v>
      </c>
      <c r="H2784" s="11" t="s">
        <v>8579</v>
      </c>
      <c r="I2784" s="11" t="s">
        <v>8578</v>
      </c>
      <c r="J2784" s="11" t="s">
        <v>8578</v>
      </c>
      <c r="K2784" s="9" t="s">
        <v>291</v>
      </c>
      <c r="L2784" s="9" t="s">
        <v>17744</v>
      </c>
      <c r="M2784" s="9" t="s">
        <v>17760</v>
      </c>
      <c r="N2784" s="9" t="s">
        <v>17746</v>
      </c>
      <c r="O2784" s="9" t="s">
        <v>18563</v>
      </c>
      <c r="P2784" s="9" t="s">
        <v>17748</v>
      </c>
      <c r="Q2784" s="11" t="s">
        <v>18798</v>
      </c>
      <c r="R2784" s="11" t="s">
        <v>18798</v>
      </c>
      <c r="S2784" s="11" t="s">
        <v>17750</v>
      </c>
    </row>
    <row r="2785" spans="1:19" x14ac:dyDescent="0.2">
      <c r="A2785" s="11" t="s">
        <v>33984</v>
      </c>
      <c r="B2785" s="9" t="s">
        <v>33985</v>
      </c>
      <c r="C2785" s="9" t="s">
        <v>33986</v>
      </c>
      <c r="D2785" s="9" t="s">
        <v>33987</v>
      </c>
      <c r="E2785" s="9" t="s">
        <v>17740</v>
      </c>
      <c r="F2785" s="9" t="s">
        <v>17741</v>
      </c>
      <c r="G2785" s="9" t="s">
        <v>17740</v>
      </c>
      <c r="H2785" s="11" t="s">
        <v>33988</v>
      </c>
      <c r="I2785" s="11" t="s">
        <v>33989</v>
      </c>
      <c r="J2785" s="11" t="s">
        <v>33989</v>
      </c>
      <c r="K2785" s="9" t="s">
        <v>970</v>
      </c>
      <c r="L2785" s="9" t="s">
        <v>17759</v>
      </c>
      <c r="M2785" s="9" t="s">
        <v>17760</v>
      </c>
      <c r="N2785" s="9" t="s">
        <v>17746</v>
      </c>
      <c r="O2785" s="9" t="s">
        <v>19095</v>
      </c>
      <c r="P2785" s="9" t="s">
        <v>17748</v>
      </c>
      <c r="Q2785" s="11" t="s">
        <v>17883</v>
      </c>
      <c r="R2785" s="11" t="s">
        <v>17883</v>
      </c>
      <c r="S2785" s="11" t="s">
        <v>17750</v>
      </c>
    </row>
    <row r="2786" spans="1:19" x14ac:dyDescent="0.2">
      <c r="A2786" s="11" t="s">
        <v>33990</v>
      </c>
      <c r="B2786" s="9" t="s">
        <v>33991</v>
      </c>
      <c r="C2786" s="9" t="s">
        <v>33992</v>
      </c>
      <c r="D2786" s="9" t="s">
        <v>33993</v>
      </c>
      <c r="E2786" s="9" t="s">
        <v>17748</v>
      </c>
      <c r="F2786" s="9" t="s">
        <v>33994</v>
      </c>
      <c r="G2786" s="9" t="s">
        <v>17740</v>
      </c>
      <c r="H2786" s="11" t="s">
        <v>16538</v>
      </c>
      <c r="I2786" s="11" t="s">
        <v>17741</v>
      </c>
      <c r="J2786" s="11" t="s">
        <v>17741</v>
      </c>
      <c r="K2786" s="9" t="s">
        <v>28684</v>
      </c>
      <c r="L2786" s="9" t="s">
        <v>17991</v>
      </c>
      <c r="M2786" s="9" t="s">
        <v>17992</v>
      </c>
      <c r="N2786" s="9" t="s">
        <v>17746</v>
      </c>
      <c r="O2786" s="9" t="s">
        <v>33995</v>
      </c>
      <c r="P2786" s="9" t="s">
        <v>17748</v>
      </c>
      <c r="Q2786" s="11" t="s">
        <v>17923</v>
      </c>
      <c r="R2786" s="11" t="s">
        <v>17923</v>
      </c>
      <c r="S2786" s="11" t="s">
        <v>17750</v>
      </c>
    </row>
    <row r="2787" spans="1:19" x14ac:dyDescent="0.2">
      <c r="A2787" s="11" t="s">
        <v>33996</v>
      </c>
      <c r="B2787" s="9" t="s">
        <v>33997</v>
      </c>
      <c r="C2787" s="9" t="s">
        <v>33998</v>
      </c>
      <c r="D2787" s="9" t="s">
        <v>33999</v>
      </c>
      <c r="E2787" s="9" t="s">
        <v>17740</v>
      </c>
      <c r="F2787" s="9" t="s">
        <v>34000</v>
      </c>
      <c r="G2787" s="9" t="s">
        <v>17740</v>
      </c>
      <c r="H2787" s="11" t="s">
        <v>17741</v>
      </c>
      <c r="I2787" s="11" t="s">
        <v>6278</v>
      </c>
      <c r="J2787" s="11" t="s">
        <v>6278</v>
      </c>
      <c r="K2787" s="9" t="s">
        <v>18635</v>
      </c>
      <c r="L2787" s="9" t="s">
        <v>17759</v>
      </c>
      <c r="M2787" s="9" t="s">
        <v>21722</v>
      </c>
      <c r="N2787" s="9" t="s">
        <v>17746</v>
      </c>
      <c r="O2787" s="9" t="s">
        <v>34001</v>
      </c>
      <c r="P2787" s="9" t="s">
        <v>17748</v>
      </c>
      <c r="Q2787" s="11" t="s">
        <v>17792</v>
      </c>
      <c r="R2787" s="11" t="s">
        <v>17792</v>
      </c>
      <c r="S2787" s="11" t="s">
        <v>17750</v>
      </c>
    </row>
    <row r="2788" spans="1:19" x14ac:dyDescent="0.2">
      <c r="A2788" s="11" t="s">
        <v>34002</v>
      </c>
      <c r="B2788" s="9" t="s">
        <v>34003</v>
      </c>
      <c r="C2788" s="9" t="s">
        <v>34004</v>
      </c>
      <c r="D2788" s="9" t="s">
        <v>34005</v>
      </c>
      <c r="E2788" s="9" t="s">
        <v>17740</v>
      </c>
      <c r="F2788" s="9" t="s">
        <v>17741</v>
      </c>
      <c r="G2788" s="9" t="s">
        <v>17740</v>
      </c>
      <c r="H2788" s="11" t="s">
        <v>34006</v>
      </c>
      <c r="I2788" s="11" t="s">
        <v>17741</v>
      </c>
      <c r="J2788" s="11" t="s">
        <v>34006</v>
      </c>
      <c r="K2788" s="9" t="s">
        <v>34007</v>
      </c>
      <c r="L2788" s="9" t="s">
        <v>17759</v>
      </c>
      <c r="M2788" s="9" t="s">
        <v>17760</v>
      </c>
      <c r="N2788" s="9" t="s">
        <v>17746</v>
      </c>
      <c r="O2788" s="9" t="s">
        <v>20799</v>
      </c>
      <c r="P2788" s="9" t="s">
        <v>17748</v>
      </c>
      <c r="Q2788" s="11" t="s">
        <v>17784</v>
      </c>
      <c r="R2788" s="11" t="s">
        <v>17784</v>
      </c>
      <c r="S2788" s="11" t="s">
        <v>17750</v>
      </c>
    </row>
    <row r="2789" spans="1:19" x14ac:dyDescent="0.2">
      <c r="A2789" s="11" t="s">
        <v>34008</v>
      </c>
      <c r="B2789" s="9" t="s">
        <v>34009</v>
      </c>
      <c r="C2789" s="9" t="s">
        <v>34010</v>
      </c>
      <c r="D2789" s="9" t="s">
        <v>34011</v>
      </c>
      <c r="E2789" s="9" t="s">
        <v>17740</v>
      </c>
      <c r="F2789" s="9" t="s">
        <v>34012</v>
      </c>
      <c r="G2789" s="9" t="s">
        <v>17740</v>
      </c>
      <c r="H2789" s="11" t="s">
        <v>34013</v>
      </c>
      <c r="I2789" s="11" t="s">
        <v>9628</v>
      </c>
      <c r="J2789" s="11" t="s">
        <v>9628</v>
      </c>
      <c r="K2789" s="9" t="s">
        <v>17783</v>
      </c>
      <c r="L2789" s="9" t="s">
        <v>17744</v>
      </c>
      <c r="M2789" s="9" t="s">
        <v>17778</v>
      </c>
      <c r="N2789" s="9" t="s">
        <v>17746</v>
      </c>
      <c r="O2789" s="9" t="s">
        <v>1690</v>
      </c>
      <c r="P2789" s="9" t="s">
        <v>17748</v>
      </c>
      <c r="Q2789" s="11" t="s">
        <v>19361</v>
      </c>
      <c r="R2789" s="11" t="s">
        <v>19361</v>
      </c>
      <c r="S2789" s="11" t="s">
        <v>17750</v>
      </c>
    </row>
    <row r="2790" spans="1:19" x14ac:dyDescent="0.2">
      <c r="A2790" s="11" t="s">
        <v>34014</v>
      </c>
      <c r="B2790" s="9" t="s">
        <v>34015</v>
      </c>
      <c r="C2790" s="9" t="s">
        <v>34016</v>
      </c>
      <c r="D2790" s="9" t="s">
        <v>34017</v>
      </c>
      <c r="E2790" s="9" t="s">
        <v>17740</v>
      </c>
      <c r="F2790" s="9" t="s">
        <v>17741</v>
      </c>
      <c r="G2790" s="9" t="s">
        <v>17740</v>
      </c>
      <c r="H2790" s="11" t="s">
        <v>5060</v>
      </c>
      <c r="I2790" s="11" t="s">
        <v>5059</v>
      </c>
      <c r="J2790" s="11" t="s">
        <v>5059</v>
      </c>
      <c r="K2790" s="9" t="s">
        <v>34018</v>
      </c>
      <c r="L2790" s="9" t="s">
        <v>17759</v>
      </c>
      <c r="M2790" s="9" t="s">
        <v>18533</v>
      </c>
      <c r="N2790" s="9" t="s">
        <v>17746</v>
      </c>
      <c r="O2790" s="9" t="s">
        <v>18855</v>
      </c>
      <c r="P2790" s="9" t="s">
        <v>17748</v>
      </c>
      <c r="Q2790" s="11" t="s">
        <v>19515</v>
      </c>
      <c r="R2790" s="11" t="s">
        <v>19515</v>
      </c>
      <c r="S2790" s="11" t="s">
        <v>17750</v>
      </c>
    </row>
    <row r="2791" spans="1:19" x14ac:dyDescent="0.2">
      <c r="A2791" s="11" t="s">
        <v>34019</v>
      </c>
      <c r="B2791" s="9" t="s">
        <v>34020</v>
      </c>
      <c r="C2791" s="9" t="s">
        <v>34021</v>
      </c>
      <c r="D2791" s="9" t="s">
        <v>34022</v>
      </c>
      <c r="E2791" s="9" t="s">
        <v>17740</v>
      </c>
      <c r="F2791" s="9" t="s">
        <v>34023</v>
      </c>
      <c r="G2791" s="9" t="s">
        <v>17740</v>
      </c>
      <c r="H2791" s="11" t="s">
        <v>17741</v>
      </c>
      <c r="I2791" s="11" t="s">
        <v>34024</v>
      </c>
      <c r="J2791" s="11" t="s">
        <v>34024</v>
      </c>
      <c r="K2791" s="9" t="s">
        <v>34025</v>
      </c>
      <c r="L2791" s="9" t="s">
        <v>17759</v>
      </c>
      <c r="M2791" s="9" t="s">
        <v>17778</v>
      </c>
      <c r="N2791" s="9" t="s">
        <v>17746</v>
      </c>
      <c r="O2791" s="9" t="s">
        <v>22682</v>
      </c>
      <c r="P2791" s="9" t="s">
        <v>17748</v>
      </c>
      <c r="Q2791" s="11" t="s">
        <v>17784</v>
      </c>
      <c r="R2791" s="11" t="s">
        <v>17784</v>
      </c>
      <c r="S2791" s="11" t="s">
        <v>17750</v>
      </c>
    </row>
    <row r="2792" spans="1:19" x14ac:dyDescent="0.2">
      <c r="A2792" s="11" t="s">
        <v>34026</v>
      </c>
      <c r="B2792" s="9" t="s">
        <v>34027</v>
      </c>
      <c r="C2792" s="9" t="s">
        <v>34028</v>
      </c>
      <c r="D2792" s="9" t="s">
        <v>34029</v>
      </c>
      <c r="E2792" s="9" t="s">
        <v>17748</v>
      </c>
      <c r="F2792" s="9" t="s">
        <v>34030</v>
      </c>
      <c r="G2792" s="9" t="s">
        <v>17740</v>
      </c>
      <c r="H2792" s="11" t="s">
        <v>7285</v>
      </c>
      <c r="I2792" s="11" t="s">
        <v>7284</v>
      </c>
      <c r="J2792" s="11" t="s">
        <v>7284</v>
      </c>
      <c r="K2792" s="9" t="s">
        <v>34031</v>
      </c>
      <c r="L2792" s="9" t="s">
        <v>17744</v>
      </c>
      <c r="M2792" s="9" t="s">
        <v>17817</v>
      </c>
      <c r="N2792" s="9" t="s">
        <v>17746</v>
      </c>
      <c r="O2792" s="9" t="s">
        <v>18746</v>
      </c>
      <c r="P2792" s="9" t="s">
        <v>17748</v>
      </c>
      <c r="Q2792" s="11" t="s">
        <v>18272</v>
      </c>
      <c r="R2792" s="11" t="s">
        <v>18272</v>
      </c>
      <c r="S2792" s="11" t="s">
        <v>17750</v>
      </c>
    </row>
    <row r="2793" spans="1:19" x14ac:dyDescent="0.2">
      <c r="A2793" s="11" t="s">
        <v>34032</v>
      </c>
      <c r="B2793" s="9" t="s">
        <v>34033</v>
      </c>
      <c r="C2793" s="9" t="s">
        <v>34034</v>
      </c>
      <c r="D2793" s="9" t="s">
        <v>34035</v>
      </c>
      <c r="E2793" s="9" t="s">
        <v>17740</v>
      </c>
      <c r="F2793" s="9" t="s">
        <v>34036</v>
      </c>
      <c r="G2793" s="9" t="s">
        <v>17740</v>
      </c>
      <c r="H2793" s="11" t="s">
        <v>34037</v>
      </c>
      <c r="I2793" s="11" t="s">
        <v>34038</v>
      </c>
      <c r="J2793" s="11" t="s">
        <v>34038</v>
      </c>
      <c r="K2793" s="9" t="s">
        <v>34039</v>
      </c>
      <c r="L2793" s="9" t="s">
        <v>18058</v>
      </c>
      <c r="M2793" s="9" t="s">
        <v>17760</v>
      </c>
      <c r="N2793" s="9" t="s">
        <v>17746</v>
      </c>
      <c r="O2793" s="9" t="s">
        <v>18340</v>
      </c>
      <c r="P2793" s="9" t="s">
        <v>17748</v>
      </c>
      <c r="Q2793" s="11" t="s">
        <v>17858</v>
      </c>
      <c r="R2793" s="11" t="s">
        <v>17858</v>
      </c>
      <c r="S2793" s="11" t="s">
        <v>17750</v>
      </c>
    </row>
    <row r="2794" spans="1:19" x14ac:dyDescent="0.2">
      <c r="A2794" s="11" t="s">
        <v>34040</v>
      </c>
      <c r="B2794" s="9" t="s">
        <v>34041</v>
      </c>
      <c r="C2794" s="9" t="s">
        <v>34042</v>
      </c>
      <c r="D2794" s="9" t="s">
        <v>34043</v>
      </c>
      <c r="E2794" s="9" t="s">
        <v>17740</v>
      </c>
      <c r="F2794" s="9" t="s">
        <v>34044</v>
      </c>
      <c r="G2794" s="9" t="s">
        <v>17740</v>
      </c>
      <c r="H2794" s="11" t="s">
        <v>34045</v>
      </c>
      <c r="I2794" s="11" t="s">
        <v>34046</v>
      </c>
      <c r="J2794" s="11" t="s">
        <v>34047</v>
      </c>
      <c r="K2794" s="9" t="s">
        <v>367</v>
      </c>
      <c r="L2794" s="9" t="s">
        <v>17759</v>
      </c>
      <c r="M2794" s="9" t="s">
        <v>17817</v>
      </c>
      <c r="N2794" s="9" t="s">
        <v>17746</v>
      </c>
      <c r="O2794" s="9" t="s">
        <v>18481</v>
      </c>
      <c r="P2794" s="9" t="s">
        <v>17748</v>
      </c>
      <c r="Q2794" s="11" t="s">
        <v>18960</v>
      </c>
      <c r="R2794" s="11" t="s">
        <v>18960</v>
      </c>
      <c r="S2794" s="11" t="s">
        <v>17750</v>
      </c>
    </row>
    <row r="2795" spans="1:19" x14ac:dyDescent="0.2">
      <c r="A2795" s="11" t="s">
        <v>34048</v>
      </c>
      <c r="B2795" s="9" t="s">
        <v>34049</v>
      </c>
      <c r="C2795" s="9" t="s">
        <v>34050</v>
      </c>
      <c r="D2795" s="9" t="s">
        <v>34051</v>
      </c>
      <c r="E2795" s="9" t="s">
        <v>17740</v>
      </c>
      <c r="F2795" s="9" t="s">
        <v>17741</v>
      </c>
      <c r="G2795" s="9" t="s">
        <v>17740</v>
      </c>
      <c r="H2795" s="11" t="s">
        <v>34052</v>
      </c>
      <c r="I2795" s="11" t="s">
        <v>34053</v>
      </c>
      <c r="J2795" s="11" t="s">
        <v>34053</v>
      </c>
      <c r="K2795" s="9" t="s">
        <v>19767</v>
      </c>
      <c r="L2795" s="9" t="s">
        <v>17759</v>
      </c>
      <c r="M2795" s="9" t="s">
        <v>17769</v>
      </c>
      <c r="N2795" s="9" t="s">
        <v>17746</v>
      </c>
      <c r="O2795" s="9" t="s">
        <v>18514</v>
      </c>
      <c r="P2795" s="9" t="s">
        <v>17748</v>
      </c>
      <c r="Q2795" s="11" t="s">
        <v>23601</v>
      </c>
      <c r="R2795" s="11" t="s">
        <v>23601</v>
      </c>
      <c r="S2795" s="11" t="s">
        <v>17750</v>
      </c>
    </row>
    <row r="2796" spans="1:19" x14ac:dyDescent="0.2">
      <c r="A2796" s="11" t="s">
        <v>34054</v>
      </c>
      <c r="B2796" s="9" t="s">
        <v>34055</v>
      </c>
      <c r="C2796" s="9" t="s">
        <v>34056</v>
      </c>
      <c r="D2796" s="9" t="s">
        <v>34057</v>
      </c>
      <c r="E2796" s="9" t="s">
        <v>17740</v>
      </c>
      <c r="F2796" s="9" t="s">
        <v>34058</v>
      </c>
      <c r="G2796" s="9" t="s">
        <v>17740</v>
      </c>
      <c r="H2796" s="11" t="s">
        <v>34059</v>
      </c>
      <c r="I2796" s="11" t="s">
        <v>34060</v>
      </c>
      <c r="J2796" s="11" t="s">
        <v>34060</v>
      </c>
      <c r="K2796" s="9" t="s">
        <v>22893</v>
      </c>
      <c r="L2796" s="9" t="s">
        <v>17744</v>
      </c>
      <c r="M2796" s="9" t="s">
        <v>28990</v>
      </c>
      <c r="N2796" s="9" t="s">
        <v>17746</v>
      </c>
      <c r="O2796" s="9" t="s">
        <v>17834</v>
      </c>
      <c r="P2796" s="9" t="s">
        <v>17748</v>
      </c>
      <c r="Q2796" s="11" t="s">
        <v>18201</v>
      </c>
      <c r="R2796" s="11" t="s">
        <v>18201</v>
      </c>
      <c r="S2796" s="11" t="s">
        <v>17750</v>
      </c>
    </row>
    <row r="2797" spans="1:19" x14ac:dyDescent="0.2">
      <c r="A2797" s="11" t="s">
        <v>34061</v>
      </c>
      <c r="B2797" s="9" t="s">
        <v>34062</v>
      </c>
      <c r="C2797" s="9" t="s">
        <v>34063</v>
      </c>
      <c r="D2797" s="9" t="s">
        <v>34064</v>
      </c>
      <c r="E2797" s="9" t="s">
        <v>17740</v>
      </c>
      <c r="F2797" s="9" t="s">
        <v>17741</v>
      </c>
      <c r="G2797" s="9" t="s">
        <v>17740</v>
      </c>
      <c r="H2797" s="11" t="s">
        <v>2399</v>
      </c>
      <c r="I2797" s="11" t="s">
        <v>2398</v>
      </c>
      <c r="J2797" s="11" t="s">
        <v>2398</v>
      </c>
      <c r="K2797" s="9" t="s">
        <v>22103</v>
      </c>
      <c r="L2797" s="9" t="s">
        <v>17744</v>
      </c>
      <c r="M2797" s="9" t="s">
        <v>17769</v>
      </c>
      <c r="N2797" s="9" t="s">
        <v>17746</v>
      </c>
      <c r="O2797" s="9" t="s">
        <v>4009</v>
      </c>
      <c r="P2797" s="9" t="s">
        <v>17748</v>
      </c>
      <c r="Q2797" s="11" t="s">
        <v>18433</v>
      </c>
      <c r="R2797" s="11" t="s">
        <v>18433</v>
      </c>
      <c r="S2797" s="11" t="s">
        <v>17750</v>
      </c>
    </row>
    <row r="2798" spans="1:19" x14ac:dyDescent="0.2">
      <c r="A2798" s="11" t="s">
        <v>34065</v>
      </c>
      <c r="B2798" s="9" t="s">
        <v>34066</v>
      </c>
      <c r="C2798" s="9" t="s">
        <v>34067</v>
      </c>
      <c r="D2798" s="9" t="s">
        <v>34068</v>
      </c>
      <c r="E2798" s="9" t="s">
        <v>17740</v>
      </c>
      <c r="F2798" s="9" t="s">
        <v>17741</v>
      </c>
      <c r="G2798" s="9" t="s">
        <v>17740</v>
      </c>
      <c r="H2798" s="11" t="s">
        <v>34069</v>
      </c>
      <c r="I2798" s="11" t="s">
        <v>34070</v>
      </c>
      <c r="J2798" s="11" t="s">
        <v>34070</v>
      </c>
      <c r="K2798" s="9" t="s">
        <v>34071</v>
      </c>
      <c r="L2798" s="9" t="s">
        <v>17759</v>
      </c>
      <c r="M2798" s="9" t="s">
        <v>17760</v>
      </c>
      <c r="N2798" s="9" t="s">
        <v>17746</v>
      </c>
      <c r="O2798" s="9" t="s">
        <v>18563</v>
      </c>
      <c r="P2798" s="9" t="s">
        <v>17748</v>
      </c>
      <c r="Q2798" s="11" t="s">
        <v>17819</v>
      </c>
      <c r="R2798" s="11" t="s">
        <v>17819</v>
      </c>
      <c r="S2798" s="11" t="s">
        <v>17750</v>
      </c>
    </row>
    <row r="2799" spans="1:19" x14ac:dyDescent="0.2">
      <c r="A2799" s="11" t="s">
        <v>34072</v>
      </c>
      <c r="B2799" s="9" t="s">
        <v>34073</v>
      </c>
      <c r="C2799" s="9" t="s">
        <v>34074</v>
      </c>
      <c r="D2799" s="9" t="s">
        <v>34075</v>
      </c>
      <c r="E2799" s="9" t="s">
        <v>17740</v>
      </c>
      <c r="F2799" s="9" t="s">
        <v>17741</v>
      </c>
      <c r="G2799" s="9" t="s">
        <v>17740</v>
      </c>
      <c r="H2799" s="11" t="s">
        <v>2540</v>
      </c>
      <c r="I2799" s="11" t="s">
        <v>2539</v>
      </c>
      <c r="J2799" s="11" t="s">
        <v>2539</v>
      </c>
      <c r="K2799" s="9" t="s">
        <v>10487</v>
      </c>
      <c r="L2799" s="9" t="s">
        <v>17759</v>
      </c>
      <c r="M2799" s="9" t="s">
        <v>18177</v>
      </c>
      <c r="N2799" s="9" t="s">
        <v>17746</v>
      </c>
      <c r="O2799" s="9" t="s">
        <v>3276</v>
      </c>
      <c r="P2799" s="9" t="s">
        <v>17748</v>
      </c>
      <c r="Q2799" s="11" t="s">
        <v>18059</v>
      </c>
      <c r="R2799" s="11" t="s">
        <v>18059</v>
      </c>
      <c r="S2799" s="11" t="s">
        <v>17750</v>
      </c>
    </row>
    <row r="2800" spans="1:19" x14ac:dyDescent="0.2">
      <c r="A2800" s="11" t="s">
        <v>34076</v>
      </c>
      <c r="B2800" s="9" t="s">
        <v>34077</v>
      </c>
      <c r="C2800" s="9" t="s">
        <v>34078</v>
      </c>
      <c r="D2800" s="9" t="s">
        <v>34079</v>
      </c>
      <c r="E2800" s="9" t="s">
        <v>17740</v>
      </c>
      <c r="F2800" s="9" t="s">
        <v>34080</v>
      </c>
      <c r="G2800" s="9" t="s">
        <v>17740</v>
      </c>
      <c r="H2800" s="11" t="s">
        <v>8003</v>
      </c>
      <c r="I2800" s="11" t="s">
        <v>8002</v>
      </c>
      <c r="J2800" s="11" t="s">
        <v>8002</v>
      </c>
      <c r="K2800" s="9" t="s">
        <v>167</v>
      </c>
      <c r="L2800" s="9" t="s">
        <v>18242</v>
      </c>
      <c r="M2800" s="9" t="s">
        <v>18051</v>
      </c>
      <c r="N2800" s="9" t="s">
        <v>17746</v>
      </c>
      <c r="O2800" s="9" t="s">
        <v>793</v>
      </c>
      <c r="P2800" s="9" t="s">
        <v>17748</v>
      </c>
      <c r="Q2800" s="11" t="s">
        <v>18798</v>
      </c>
      <c r="R2800" s="11" t="s">
        <v>18798</v>
      </c>
      <c r="S2800" s="11" t="s">
        <v>17750</v>
      </c>
    </row>
    <row r="2801" spans="1:19" x14ac:dyDescent="0.2">
      <c r="A2801" s="11" t="s">
        <v>34081</v>
      </c>
      <c r="B2801" s="9" t="s">
        <v>34082</v>
      </c>
      <c r="C2801" s="9" t="s">
        <v>34083</v>
      </c>
      <c r="D2801" s="9" t="s">
        <v>34084</v>
      </c>
      <c r="E2801" s="9" t="s">
        <v>17740</v>
      </c>
      <c r="F2801" s="9" t="s">
        <v>17741</v>
      </c>
      <c r="G2801" s="9" t="s">
        <v>17740</v>
      </c>
      <c r="H2801" s="11" t="s">
        <v>8018</v>
      </c>
      <c r="I2801" s="11" t="s">
        <v>8017</v>
      </c>
      <c r="J2801" s="11" t="s">
        <v>8017</v>
      </c>
      <c r="K2801" s="9" t="s">
        <v>291</v>
      </c>
      <c r="L2801" s="9" t="s">
        <v>17744</v>
      </c>
      <c r="M2801" s="9" t="s">
        <v>17760</v>
      </c>
      <c r="N2801" s="9" t="s">
        <v>17746</v>
      </c>
      <c r="O2801" s="9" t="s">
        <v>34085</v>
      </c>
      <c r="P2801" s="9" t="s">
        <v>17748</v>
      </c>
      <c r="Q2801" s="11" t="s">
        <v>18798</v>
      </c>
      <c r="R2801" s="11" t="s">
        <v>18798</v>
      </c>
      <c r="S2801" s="11" t="s">
        <v>17750</v>
      </c>
    </row>
    <row r="2802" spans="1:19" x14ac:dyDescent="0.2">
      <c r="A2802" s="11" t="s">
        <v>34086</v>
      </c>
      <c r="B2802" s="9" t="s">
        <v>34087</v>
      </c>
      <c r="C2802" s="9" t="s">
        <v>34088</v>
      </c>
      <c r="D2802" s="9" t="s">
        <v>34089</v>
      </c>
      <c r="E2802" s="9" t="s">
        <v>17740</v>
      </c>
      <c r="F2802" s="9" t="s">
        <v>17741</v>
      </c>
      <c r="G2802" s="9" t="s">
        <v>17740</v>
      </c>
      <c r="H2802" s="11" t="s">
        <v>5854</v>
      </c>
      <c r="I2802" s="11" t="s">
        <v>5853</v>
      </c>
      <c r="J2802" s="11" t="s">
        <v>5853</v>
      </c>
      <c r="K2802" s="9" t="s">
        <v>17783</v>
      </c>
      <c r="L2802" s="9" t="s">
        <v>18001</v>
      </c>
      <c r="M2802" s="9" t="s">
        <v>19168</v>
      </c>
      <c r="N2802" s="9" t="s">
        <v>17746</v>
      </c>
      <c r="O2802" s="9" t="s">
        <v>34090</v>
      </c>
      <c r="P2802" s="9" t="s">
        <v>17748</v>
      </c>
      <c r="Q2802" s="11" t="s">
        <v>18147</v>
      </c>
      <c r="R2802" s="11" t="s">
        <v>18147</v>
      </c>
      <c r="S2802" s="11" t="s">
        <v>17750</v>
      </c>
    </row>
    <row r="2803" spans="1:19" x14ac:dyDescent="0.2">
      <c r="A2803" s="11" t="s">
        <v>34091</v>
      </c>
      <c r="B2803" s="9" t="s">
        <v>34092</v>
      </c>
      <c r="C2803" s="9" t="s">
        <v>34093</v>
      </c>
      <c r="D2803" s="9" t="s">
        <v>34094</v>
      </c>
      <c r="E2803" s="9" t="s">
        <v>17740</v>
      </c>
      <c r="F2803" s="9" t="s">
        <v>34095</v>
      </c>
      <c r="G2803" s="9" t="s">
        <v>17740</v>
      </c>
      <c r="H2803" s="11" t="s">
        <v>2628</v>
      </c>
      <c r="I2803" s="11" t="s">
        <v>2627</v>
      </c>
      <c r="J2803" s="11" t="s">
        <v>2627</v>
      </c>
      <c r="K2803" s="9" t="s">
        <v>291</v>
      </c>
      <c r="L2803" s="9" t="s">
        <v>17744</v>
      </c>
      <c r="M2803" s="9" t="s">
        <v>19658</v>
      </c>
      <c r="N2803" s="9" t="s">
        <v>17746</v>
      </c>
      <c r="O2803" s="9" t="s">
        <v>19342</v>
      </c>
      <c r="P2803" s="9" t="s">
        <v>17748</v>
      </c>
      <c r="Q2803" s="11" t="s">
        <v>18433</v>
      </c>
      <c r="R2803" s="11" t="s">
        <v>18433</v>
      </c>
      <c r="S2803" s="11" t="s">
        <v>17750</v>
      </c>
    </row>
    <row r="2804" spans="1:19" x14ac:dyDescent="0.2">
      <c r="A2804" s="11" t="s">
        <v>34096</v>
      </c>
      <c r="B2804" s="9" t="s">
        <v>34097</v>
      </c>
      <c r="C2804" s="9" t="s">
        <v>34098</v>
      </c>
      <c r="D2804" s="9" t="s">
        <v>34099</v>
      </c>
      <c r="E2804" s="9" t="s">
        <v>17740</v>
      </c>
      <c r="F2804" s="9" t="s">
        <v>34100</v>
      </c>
      <c r="G2804" s="9" t="s">
        <v>17740</v>
      </c>
      <c r="H2804" s="11" t="s">
        <v>11699</v>
      </c>
      <c r="I2804" s="11" t="s">
        <v>11698</v>
      </c>
      <c r="J2804" s="11" t="s">
        <v>11698</v>
      </c>
      <c r="K2804" s="9" t="s">
        <v>11700</v>
      </c>
      <c r="L2804" s="9" t="s">
        <v>18242</v>
      </c>
      <c r="M2804" s="9" t="s">
        <v>18051</v>
      </c>
      <c r="N2804" s="9" t="s">
        <v>17746</v>
      </c>
      <c r="O2804" s="9" t="s">
        <v>19646</v>
      </c>
      <c r="P2804" s="9" t="s">
        <v>17748</v>
      </c>
      <c r="Q2804" s="11" t="s">
        <v>17808</v>
      </c>
      <c r="R2804" s="11" t="s">
        <v>17808</v>
      </c>
      <c r="S2804" s="11" t="s">
        <v>17750</v>
      </c>
    </row>
    <row r="2805" spans="1:19" x14ac:dyDescent="0.2">
      <c r="A2805" s="11" t="s">
        <v>34101</v>
      </c>
      <c r="B2805" s="9" t="s">
        <v>34102</v>
      </c>
      <c r="C2805" s="9" t="s">
        <v>34103</v>
      </c>
      <c r="D2805" s="9" t="s">
        <v>34104</v>
      </c>
      <c r="E2805" s="9" t="s">
        <v>17740</v>
      </c>
      <c r="F2805" s="9" t="s">
        <v>34105</v>
      </c>
      <c r="G2805" s="9" t="s">
        <v>17740</v>
      </c>
      <c r="H2805" s="11" t="s">
        <v>34106</v>
      </c>
      <c r="I2805" s="11" t="s">
        <v>34107</v>
      </c>
      <c r="J2805" s="11" t="s">
        <v>34107</v>
      </c>
      <c r="K2805" s="9" t="s">
        <v>34108</v>
      </c>
      <c r="L2805" s="9" t="s">
        <v>17759</v>
      </c>
      <c r="M2805" s="9" t="s">
        <v>18533</v>
      </c>
      <c r="N2805" s="9" t="s">
        <v>17746</v>
      </c>
      <c r="O2805" s="9" t="s">
        <v>19939</v>
      </c>
      <c r="P2805" s="9" t="s">
        <v>17748</v>
      </c>
      <c r="Q2805" s="11" t="s">
        <v>18147</v>
      </c>
      <c r="R2805" s="11" t="s">
        <v>18147</v>
      </c>
      <c r="S2805" s="11" t="s">
        <v>17750</v>
      </c>
    </row>
    <row r="2806" spans="1:19" x14ac:dyDescent="0.2">
      <c r="A2806" s="11" t="s">
        <v>34109</v>
      </c>
      <c r="B2806" s="9" t="s">
        <v>34110</v>
      </c>
      <c r="C2806" s="9" t="s">
        <v>34111</v>
      </c>
      <c r="D2806" s="9" t="s">
        <v>34112</v>
      </c>
      <c r="E2806" s="9" t="s">
        <v>17740</v>
      </c>
      <c r="F2806" s="9" t="s">
        <v>17741</v>
      </c>
      <c r="G2806" s="9" t="s">
        <v>17740</v>
      </c>
      <c r="H2806" s="11" t="s">
        <v>34113</v>
      </c>
      <c r="I2806" s="11" t="s">
        <v>34114</v>
      </c>
      <c r="J2806" s="11" t="s">
        <v>34114</v>
      </c>
      <c r="K2806" s="9" t="s">
        <v>21721</v>
      </c>
      <c r="L2806" s="9" t="s">
        <v>17759</v>
      </c>
      <c r="M2806" s="9" t="s">
        <v>21423</v>
      </c>
      <c r="N2806" s="9" t="s">
        <v>17746</v>
      </c>
      <c r="O2806" s="9" t="s">
        <v>17834</v>
      </c>
      <c r="P2806" s="9" t="s">
        <v>17748</v>
      </c>
      <c r="Q2806" s="11" t="s">
        <v>18201</v>
      </c>
      <c r="R2806" s="11" t="s">
        <v>18201</v>
      </c>
      <c r="S2806" s="11" t="s">
        <v>17750</v>
      </c>
    </row>
    <row r="2807" spans="1:19" x14ac:dyDescent="0.2">
      <c r="A2807" s="11" t="s">
        <v>34115</v>
      </c>
      <c r="B2807" s="9" t="s">
        <v>34116</v>
      </c>
      <c r="C2807" s="9" t="s">
        <v>34117</v>
      </c>
      <c r="D2807" s="9" t="s">
        <v>34118</v>
      </c>
      <c r="E2807" s="9" t="s">
        <v>17740</v>
      </c>
      <c r="F2807" s="9" t="s">
        <v>34119</v>
      </c>
      <c r="G2807" s="9" t="s">
        <v>17740</v>
      </c>
      <c r="H2807" s="11" t="s">
        <v>2118</v>
      </c>
      <c r="I2807" s="11" t="s">
        <v>2117</v>
      </c>
      <c r="J2807" s="11" t="s">
        <v>2117</v>
      </c>
      <c r="K2807" s="9" t="s">
        <v>17783</v>
      </c>
      <c r="L2807" s="9" t="s">
        <v>17759</v>
      </c>
      <c r="M2807" s="9" t="s">
        <v>29147</v>
      </c>
      <c r="N2807" s="9" t="s">
        <v>17746</v>
      </c>
      <c r="O2807" s="9" t="s">
        <v>24787</v>
      </c>
      <c r="P2807" s="9" t="s">
        <v>17748</v>
      </c>
      <c r="Q2807" s="11" t="s">
        <v>18251</v>
      </c>
      <c r="R2807" s="11" t="s">
        <v>18251</v>
      </c>
      <c r="S2807" s="11" t="s">
        <v>17750</v>
      </c>
    </row>
    <row r="2808" spans="1:19" x14ac:dyDescent="0.2">
      <c r="A2808" s="11" t="s">
        <v>34120</v>
      </c>
      <c r="B2808" s="9" t="s">
        <v>34121</v>
      </c>
      <c r="C2808" s="9" t="s">
        <v>34122</v>
      </c>
      <c r="D2808" s="9" t="s">
        <v>34123</v>
      </c>
      <c r="E2808" s="9" t="s">
        <v>17740</v>
      </c>
      <c r="F2808" s="9" t="s">
        <v>17741</v>
      </c>
      <c r="G2808" s="9" t="s">
        <v>17740</v>
      </c>
      <c r="H2808" s="11" t="s">
        <v>5215</v>
      </c>
      <c r="I2808" s="11" t="s">
        <v>5214</v>
      </c>
      <c r="J2808" s="11" t="s">
        <v>5214</v>
      </c>
      <c r="K2808" s="9" t="s">
        <v>601</v>
      </c>
      <c r="L2808" s="9" t="s">
        <v>17744</v>
      </c>
      <c r="M2808" s="9" t="s">
        <v>21879</v>
      </c>
      <c r="N2808" s="9" t="s">
        <v>17746</v>
      </c>
      <c r="O2808" s="9" t="s">
        <v>18882</v>
      </c>
      <c r="P2808" s="9" t="s">
        <v>17748</v>
      </c>
      <c r="Q2808" s="11" t="s">
        <v>18678</v>
      </c>
      <c r="R2808" s="11" t="s">
        <v>18678</v>
      </c>
      <c r="S2808" s="11" t="s">
        <v>17750</v>
      </c>
    </row>
    <row r="2809" spans="1:19" x14ac:dyDescent="0.2">
      <c r="A2809" s="11" t="s">
        <v>34124</v>
      </c>
      <c r="B2809" s="9" t="s">
        <v>34125</v>
      </c>
      <c r="C2809" s="9" t="s">
        <v>34126</v>
      </c>
      <c r="D2809" s="9" t="s">
        <v>34127</v>
      </c>
      <c r="E2809" s="9" t="s">
        <v>17740</v>
      </c>
      <c r="F2809" s="9" t="s">
        <v>34128</v>
      </c>
      <c r="G2809" s="9" t="s">
        <v>17740</v>
      </c>
      <c r="H2809" s="11" t="s">
        <v>17741</v>
      </c>
      <c r="I2809" s="11" t="s">
        <v>34129</v>
      </c>
      <c r="J2809" s="11" t="s">
        <v>34129</v>
      </c>
      <c r="K2809" s="9" t="s">
        <v>34130</v>
      </c>
      <c r="L2809" s="9" t="s">
        <v>17759</v>
      </c>
      <c r="M2809" s="9" t="s">
        <v>17760</v>
      </c>
      <c r="N2809" s="9" t="s">
        <v>17746</v>
      </c>
      <c r="O2809" s="9" t="s">
        <v>18563</v>
      </c>
      <c r="P2809" s="9" t="s">
        <v>17748</v>
      </c>
      <c r="Q2809" s="11" t="s">
        <v>19361</v>
      </c>
      <c r="R2809" s="11" t="s">
        <v>19361</v>
      </c>
      <c r="S2809" s="11" t="s">
        <v>17750</v>
      </c>
    </row>
    <row r="2810" spans="1:19" x14ac:dyDescent="0.2">
      <c r="A2810" s="11" t="s">
        <v>34131</v>
      </c>
      <c r="B2810" s="9" t="s">
        <v>34132</v>
      </c>
      <c r="C2810" s="9" t="s">
        <v>34133</v>
      </c>
      <c r="D2810" s="9" t="s">
        <v>34134</v>
      </c>
      <c r="E2810" s="9" t="s">
        <v>17740</v>
      </c>
      <c r="F2810" s="9" t="s">
        <v>17741</v>
      </c>
      <c r="G2810" s="9" t="s">
        <v>17740</v>
      </c>
      <c r="H2810" s="11" t="s">
        <v>34135</v>
      </c>
      <c r="I2810" s="11" t="s">
        <v>34136</v>
      </c>
      <c r="J2810" s="11" t="s">
        <v>34136</v>
      </c>
      <c r="K2810" s="9" t="s">
        <v>34137</v>
      </c>
      <c r="L2810" s="9" t="s">
        <v>34138</v>
      </c>
      <c r="M2810" s="9" t="s">
        <v>17760</v>
      </c>
      <c r="N2810" s="9" t="s">
        <v>17746</v>
      </c>
      <c r="O2810" s="9" t="s">
        <v>17993</v>
      </c>
      <c r="P2810" s="9" t="s">
        <v>17748</v>
      </c>
      <c r="Q2810" s="11" t="s">
        <v>18678</v>
      </c>
      <c r="R2810" s="11" t="s">
        <v>18678</v>
      </c>
      <c r="S2810" s="11" t="s">
        <v>17750</v>
      </c>
    </row>
    <row r="2811" spans="1:19" x14ac:dyDescent="0.2">
      <c r="A2811" s="11" t="s">
        <v>34139</v>
      </c>
      <c r="B2811" s="9" t="s">
        <v>34140</v>
      </c>
      <c r="C2811" s="9" t="s">
        <v>34141</v>
      </c>
      <c r="D2811" s="9" t="s">
        <v>34142</v>
      </c>
      <c r="E2811" s="9" t="s">
        <v>17740</v>
      </c>
      <c r="F2811" s="9" t="s">
        <v>17741</v>
      </c>
      <c r="G2811" s="9" t="s">
        <v>17740</v>
      </c>
      <c r="H2811" s="11" t="s">
        <v>17741</v>
      </c>
      <c r="I2811" s="11" t="s">
        <v>7406</v>
      </c>
      <c r="J2811" s="11" t="s">
        <v>7406</v>
      </c>
      <c r="K2811" s="9" t="s">
        <v>34143</v>
      </c>
      <c r="L2811" s="9" t="s">
        <v>20969</v>
      </c>
      <c r="M2811" s="9" t="s">
        <v>17760</v>
      </c>
      <c r="N2811" s="9" t="s">
        <v>17746</v>
      </c>
      <c r="O2811" s="9" t="s">
        <v>18363</v>
      </c>
      <c r="P2811" s="9" t="s">
        <v>17748</v>
      </c>
      <c r="Q2811" s="11" t="s">
        <v>23398</v>
      </c>
      <c r="R2811" s="11" t="s">
        <v>23398</v>
      </c>
      <c r="S2811" s="11" t="s">
        <v>17750</v>
      </c>
    </row>
    <row r="2812" spans="1:19" x14ac:dyDescent="0.2">
      <c r="A2812" s="11" t="s">
        <v>34144</v>
      </c>
      <c r="B2812" s="9" t="s">
        <v>34145</v>
      </c>
      <c r="C2812" s="9" t="s">
        <v>34146</v>
      </c>
      <c r="D2812" s="9" t="s">
        <v>34147</v>
      </c>
      <c r="E2812" s="9" t="s">
        <v>17740</v>
      </c>
      <c r="F2812" s="9" t="s">
        <v>17741</v>
      </c>
      <c r="G2812" s="9" t="s">
        <v>17740</v>
      </c>
      <c r="H2812" s="11" t="s">
        <v>6683</v>
      </c>
      <c r="I2812" s="11" t="s">
        <v>6682</v>
      </c>
      <c r="J2812" s="11" t="s">
        <v>6682</v>
      </c>
      <c r="K2812" s="9" t="s">
        <v>22400</v>
      </c>
      <c r="L2812" s="9" t="s">
        <v>18001</v>
      </c>
      <c r="M2812" s="9" t="s">
        <v>17760</v>
      </c>
      <c r="N2812" s="9" t="s">
        <v>17746</v>
      </c>
      <c r="O2812" s="9" t="s">
        <v>34148</v>
      </c>
      <c r="P2812" s="9" t="s">
        <v>17748</v>
      </c>
      <c r="Q2812" s="11" t="s">
        <v>18080</v>
      </c>
      <c r="R2812" s="11" t="s">
        <v>18080</v>
      </c>
      <c r="S2812" s="11" t="s">
        <v>17750</v>
      </c>
    </row>
    <row r="2813" spans="1:19" x14ac:dyDescent="0.2">
      <c r="A2813" s="11" t="s">
        <v>34149</v>
      </c>
      <c r="B2813" s="9" t="s">
        <v>34150</v>
      </c>
      <c r="C2813" s="9" t="s">
        <v>34151</v>
      </c>
      <c r="D2813" s="9" t="s">
        <v>34152</v>
      </c>
      <c r="E2813" s="9" t="s">
        <v>17740</v>
      </c>
      <c r="F2813" s="9" t="s">
        <v>17741</v>
      </c>
      <c r="G2813" s="9" t="s">
        <v>17740</v>
      </c>
      <c r="H2813" s="11" t="s">
        <v>2543</v>
      </c>
      <c r="I2813" s="11" t="s">
        <v>2542</v>
      </c>
      <c r="J2813" s="11" t="s">
        <v>2542</v>
      </c>
      <c r="K2813" s="9" t="s">
        <v>441</v>
      </c>
      <c r="L2813" s="9" t="s">
        <v>17759</v>
      </c>
      <c r="M2813" s="9" t="s">
        <v>34153</v>
      </c>
      <c r="N2813" s="9" t="s">
        <v>17746</v>
      </c>
      <c r="O2813" s="9" t="s">
        <v>30950</v>
      </c>
      <c r="P2813" s="9" t="s">
        <v>17748</v>
      </c>
      <c r="Q2813" s="11" t="s">
        <v>19349</v>
      </c>
      <c r="R2813" s="11" t="s">
        <v>19349</v>
      </c>
      <c r="S2813" s="11" t="s">
        <v>17750</v>
      </c>
    </row>
    <row r="2814" spans="1:19" x14ac:dyDescent="0.2">
      <c r="A2814" s="11" t="s">
        <v>34154</v>
      </c>
      <c r="B2814" s="9" t="s">
        <v>34155</v>
      </c>
      <c r="C2814" s="9" t="s">
        <v>34156</v>
      </c>
      <c r="D2814" s="9" t="s">
        <v>34157</v>
      </c>
      <c r="E2814" s="9" t="s">
        <v>17740</v>
      </c>
      <c r="F2814" s="9" t="s">
        <v>34158</v>
      </c>
      <c r="G2814" s="9" t="s">
        <v>17740</v>
      </c>
      <c r="H2814" s="11" t="s">
        <v>5335</v>
      </c>
      <c r="I2814" s="11" t="s">
        <v>5334</v>
      </c>
      <c r="J2814" s="11" t="s">
        <v>5334</v>
      </c>
      <c r="K2814" s="9" t="s">
        <v>32265</v>
      </c>
      <c r="L2814" s="9" t="s">
        <v>18158</v>
      </c>
      <c r="M2814" s="9" t="s">
        <v>17760</v>
      </c>
      <c r="N2814" s="9" t="s">
        <v>17746</v>
      </c>
      <c r="O2814" s="9" t="s">
        <v>23986</v>
      </c>
      <c r="P2814" s="9" t="s">
        <v>17748</v>
      </c>
      <c r="Q2814" s="11" t="s">
        <v>17749</v>
      </c>
      <c r="R2814" s="11" t="s">
        <v>17749</v>
      </c>
      <c r="S2814" s="11" t="s">
        <v>17750</v>
      </c>
    </row>
    <row r="2815" spans="1:19" x14ac:dyDescent="0.2">
      <c r="A2815" s="11" t="s">
        <v>34159</v>
      </c>
      <c r="B2815" s="9" t="s">
        <v>34160</v>
      </c>
      <c r="C2815" s="9" t="s">
        <v>34161</v>
      </c>
      <c r="D2815" s="9" t="s">
        <v>34162</v>
      </c>
      <c r="E2815" s="9" t="s">
        <v>17740</v>
      </c>
      <c r="F2815" s="9" t="s">
        <v>34163</v>
      </c>
      <c r="G2815" s="9" t="s">
        <v>17740</v>
      </c>
      <c r="H2815" s="11" t="s">
        <v>34164</v>
      </c>
      <c r="I2815" s="11" t="s">
        <v>34165</v>
      </c>
      <c r="J2815" s="11" t="s">
        <v>34165</v>
      </c>
      <c r="K2815" s="9" t="s">
        <v>651</v>
      </c>
      <c r="L2815" s="9" t="s">
        <v>18158</v>
      </c>
      <c r="M2815" s="9" t="s">
        <v>18065</v>
      </c>
      <c r="N2815" s="9" t="s">
        <v>17746</v>
      </c>
      <c r="O2815" s="9" t="s">
        <v>18746</v>
      </c>
      <c r="P2815" s="9" t="s">
        <v>17748</v>
      </c>
      <c r="Q2815" s="11" t="s">
        <v>18960</v>
      </c>
      <c r="R2815" s="11" t="s">
        <v>18960</v>
      </c>
      <c r="S2815" s="11" t="s">
        <v>17750</v>
      </c>
    </row>
    <row r="2816" spans="1:19" x14ac:dyDescent="0.2">
      <c r="A2816" s="11" t="s">
        <v>34166</v>
      </c>
      <c r="B2816" s="9" t="s">
        <v>34167</v>
      </c>
      <c r="C2816" s="9" t="s">
        <v>34168</v>
      </c>
      <c r="D2816" s="9" t="s">
        <v>34169</v>
      </c>
      <c r="E2816" s="9" t="s">
        <v>17740</v>
      </c>
      <c r="F2816" s="9" t="s">
        <v>17741</v>
      </c>
      <c r="G2816" s="9" t="s">
        <v>17740</v>
      </c>
      <c r="H2816" s="11" t="s">
        <v>2184</v>
      </c>
      <c r="I2816" s="11" t="s">
        <v>2183</v>
      </c>
      <c r="J2816" s="11" t="s">
        <v>2183</v>
      </c>
      <c r="K2816" s="9" t="s">
        <v>91</v>
      </c>
      <c r="L2816" s="9" t="s">
        <v>18001</v>
      </c>
      <c r="M2816" s="9" t="s">
        <v>17760</v>
      </c>
      <c r="N2816" s="9" t="s">
        <v>17746</v>
      </c>
      <c r="O2816" s="9" t="s">
        <v>34170</v>
      </c>
      <c r="P2816" s="9" t="s">
        <v>17748</v>
      </c>
      <c r="Q2816" s="11" t="s">
        <v>18282</v>
      </c>
      <c r="R2816" s="11" t="s">
        <v>18282</v>
      </c>
      <c r="S2816" s="11" t="s">
        <v>17750</v>
      </c>
    </row>
    <row r="2817" spans="1:19" x14ac:dyDescent="0.2">
      <c r="A2817" s="11" t="s">
        <v>34171</v>
      </c>
      <c r="B2817" s="9" t="s">
        <v>34172</v>
      </c>
      <c r="C2817" s="9" t="s">
        <v>34173</v>
      </c>
      <c r="D2817" s="9" t="s">
        <v>34174</v>
      </c>
      <c r="E2817" s="9" t="s">
        <v>17748</v>
      </c>
      <c r="F2817" s="9" t="s">
        <v>34175</v>
      </c>
      <c r="G2817" s="9" t="s">
        <v>17740</v>
      </c>
      <c r="H2817" s="11" t="s">
        <v>34176</v>
      </c>
      <c r="I2817" s="11" t="s">
        <v>34177</v>
      </c>
      <c r="J2817" s="11" t="s">
        <v>17741</v>
      </c>
      <c r="K2817" s="9" t="s">
        <v>17783</v>
      </c>
      <c r="L2817" s="9" t="s">
        <v>17759</v>
      </c>
      <c r="M2817" s="9" t="s">
        <v>17760</v>
      </c>
      <c r="N2817" s="9" t="s">
        <v>17746</v>
      </c>
      <c r="O2817" s="9" t="s">
        <v>34178</v>
      </c>
      <c r="P2817" s="9" t="s">
        <v>17748</v>
      </c>
      <c r="Q2817" s="11" t="s">
        <v>18798</v>
      </c>
      <c r="R2817" s="11" t="s">
        <v>18798</v>
      </c>
      <c r="S2817" s="11" t="s">
        <v>17750</v>
      </c>
    </row>
    <row r="2818" spans="1:19" x14ac:dyDescent="0.2">
      <c r="A2818" s="11" t="s">
        <v>34179</v>
      </c>
      <c r="B2818" s="9" t="s">
        <v>34180</v>
      </c>
      <c r="C2818" s="9" t="s">
        <v>34181</v>
      </c>
      <c r="D2818" s="9" t="s">
        <v>34182</v>
      </c>
      <c r="E2818" s="9" t="s">
        <v>17740</v>
      </c>
      <c r="F2818" s="9" t="s">
        <v>17741</v>
      </c>
      <c r="G2818" s="9" t="s">
        <v>17740</v>
      </c>
      <c r="H2818" s="11" t="s">
        <v>34183</v>
      </c>
      <c r="I2818" s="11" t="s">
        <v>34184</v>
      </c>
      <c r="J2818" s="11" t="s">
        <v>34184</v>
      </c>
      <c r="K2818" s="9" t="s">
        <v>19161</v>
      </c>
      <c r="L2818" s="9" t="s">
        <v>17759</v>
      </c>
      <c r="M2818" s="9" t="s">
        <v>17769</v>
      </c>
      <c r="N2818" s="9" t="s">
        <v>17746</v>
      </c>
      <c r="O2818" s="9" t="s">
        <v>19095</v>
      </c>
      <c r="P2818" s="9" t="s">
        <v>17748</v>
      </c>
      <c r="Q2818" s="11" t="s">
        <v>19335</v>
      </c>
      <c r="R2818" s="11" t="s">
        <v>19335</v>
      </c>
      <c r="S2818" s="11" t="s">
        <v>17750</v>
      </c>
    </row>
    <row r="2819" spans="1:19" x14ac:dyDescent="0.2">
      <c r="A2819" s="11" t="s">
        <v>34185</v>
      </c>
      <c r="B2819" s="9" t="s">
        <v>34186</v>
      </c>
      <c r="C2819" s="9" t="s">
        <v>34187</v>
      </c>
      <c r="D2819" s="9" t="s">
        <v>34188</v>
      </c>
      <c r="E2819" s="9" t="s">
        <v>17748</v>
      </c>
      <c r="F2819" s="9" t="s">
        <v>34189</v>
      </c>
      <c r="G2819" s="9" t="s">
        <v>17740</v>
      </c>
      <c r="H2819" s="11" t="s">
        <v>8550</v>
      </c>
      <c r="I2819" s="11" t="s">
        <v>8549</v>
      </c>
      <c r="J2819" s="11" t="s">
        <v>8549</v>
      </c>
      <c r="K2819" s="9" t="s">
        <v>17805</v>
      </c>
      <c r="L2819" s="9" t="s">
        <v>17759</v>
      </c>
      <c r="M2819" s="9" t="s">
        <v>17769</v>
      </c>
      <c r="N2819" s="9" t="s">
        <v>17746</v>
      </c>
      <c r="O2819" s="9" t="s">
        <v>34190</v>
      </c>
      <c r="P2819" s="9" t="s">
        <v>17748</v>
      </c>
      <c r="Q2819" s="11" t="s">
        <v>18798</v>
      </c>
      <c r="R2819" s="11" t="s">
        <v>18798</v>
      </c>
      <c r="S2819" s="11" t="s">
        <v>17750</v>
      </c>
    </row>
    <row r="2820" spans="1:19" x14ac:dyDescent="0.2">
      <c r="A2820" s="11" t="s">
        <v>34191</v>
      </c>
      <c r="B2820" s="9" t="s">
        <v>34192</v>
      </c>
      <c r="C2820" s="9" t="s">
        <v>34193</v>
      </c>
      <c r="D2820" s="9" t="s">
        <v>34194</v>
      </c>
      <c r="E2820" s="9" t="s">
        <v>17740</v>
      </c>
      <c r="F2820" s="9" t="s">
        <v>17741</v>
      </c>
      <c r="G2820" s="9" t="s">
        <v>17740</v>
      </c>
      <c r="H2820" s="11" t="s">
        <v>2546</v>
      </c>
      <c r="I2820" s="11" t="s">
        <v>2545</v>
      </c>
      <c r="J2820" s="11" t="s">
        <v>2545</v>
      </c>
      <c r="K2820" s="9" t="s">
        <v>55</v>
      </c>
      <c r="L2820" s="9" t="s">
        <v>17744</v>
      </c>
      <c r="M2820" s="9" t="s">
        <v>17817</v>
      </c>
      <c r="N2820" s="9" t="s">
        <v>17746</v>
      </c>
      <c r="O2820" s="9" t="s">
        <v>773</v>
      </c>
      <c r="P2820" s="9" t="s">
        <v>17748</v>
      </c>
      <c r="Q2820" s="11" t="s">
        <v>20433</v>
      </c>
      <c r="R2820" s="11" t="s">
        <v>20433</v>
      </c>
      <c r="S2820" s="11" t="s">
        <v>17750</v>
      </c>
    </row>
    <row r="2821" spans="1:19" x14ac:dyDescent="0.2">
      <c r="A2821" s="11" t="s">
        <v>34195</v>
      </c>
      <c r="B2821" s="9" t="s">
        <v>34196</v>
      </c>
      <c r="C2821" s="9" t="s">
        <v>34197</v>
      </c>
      <c r="D2821" s="9" t="s">
        <v>34198</v>
      </c>
      <c r="E2821" s="9" t="s">
        <v>17740</v>
      </c>
      <c r="F2821" s="9" t="s">
        <v>34199</v>
      </c>
      <c r="G2821" s="9" t="s">
        <v>17740</v>
      </c>
      <c r="H2821" s="11" t="s">
        <v>34200</v>
      </c>
      <c r="I2821" s="11" t="s">
        <v>34201</v>
      </c>
      <c r="J2821" s="11" t="s">
        <v>34201</v>
      </c>
      <c r="K2821" s="9" t="s">
        <v>34202</v>
      </c>
      <c r="L2821" s="9" t="s">
        <v>17759</v>
      </c>
      <c r="M2821" s="9" t="s">
        <v>34203</v>
      </c>
      <c r="N2821" s="9" t="s">
        <v>17746</v>
      </c>
      <c r="O2821" s="9" t="s">
        <v>20056</v>
      </c>
      <c r="P2821" s="9" t="s">
        <v>17748</v>
      </c>
      <c r="Q2821" s="11" t="s">
        <v>17771</v>
      </c>
      <c r="R2821" s="11" t="s">
        <v>17771</v>
      </c>
      <c r="S2821" s="11" t="s">
        <v>17750</v>
      </c>
    </row>
    <row r="2822" spans="1:19" x14ac:dyDescent="0.2">
      <c r="A2822" s="11" t="s">
        <v>34204</v>
      </c>
      <c r="B2822" s="9" t="s">
        <v>34205</v>
      </c>
      <c r="C2822" s="9" t="s">
        <v>34206</v>
      </c>
      <c r="D2822" s="9" t="s">
        <v>34207</v>
      </c>
      <c r="E2822" s="9" t="s">
        <v>17740</v>
      </c>
      <c r="F2822" s="9" t="s">
        <v>17741</v>
      </c>
      <c r="G2822" s="9" t="s">
        <v>17740</v>
      </c>
      <c r="H2822" s="11" t="s">
        <v>2150</v>
      </c>
      <c r="I2822" s="11" t="s">
        <v>2149</v>
      </c>
      <c r="J2822" s="11" t="s">
        <v>2149</v>
      </c>
      <c r="K2822" s="9" t="s">
        <v>17783</v>
      </c>
      <c r="L2822" s="9" t="s">
        <v>17759</v>
      </c>
      <c r="M2822" s="9" t="s">
        <v>17769</v>
      </c>
      <c r="N2822" s="9" t="s">
        <v>17746</v>
      </c>
      <c r="O2822" s="9" t="s">
        <v>24236</v>
      </c>
      <c r="P2822" s="9" t="s">
        <v>17748</v>
      </c>
      <c r="Q2822" s="11" t="s">
        <v>19026</v>
      </c>
      <c r="R2822" s="11" t="s">
        <v>19026</v>
      </c>
      <c r="S2822" s="11" t="s">
        <v>17750</v>
      </c>
    </row>
    <row r="2823" spans="1:19" x14ac:dyDescent="0.2">
      <c r="A2823" s="11" t="s">
        <v>34208</v>
      </c>
      <c r="B2823" s="9" t="s">
        <v>34209</v>
      </c>
      <c r="C2823" s="9" t="s">
        <v>34210</v>
      </c>
      <c r="D2823" s="9" t="s">
        <v>34211</v>
      </c>
      <c r="E2823" s="9" t="s">
        <v>17740</v>
      </c>
      <c r="F2823" s="9" t="s">
        <v>34212</v>
      </c>
      <c r="G2823" s="9" t="s">
        <v>17740</v>
      </c>
      <c r="H2823" s="11" t="s">
        <v>17741</v>
      </c>
      <c r="I2823" s="11" t="s">
        <v>34213</v>
      </c>
      <c r="J2823" s="11" t="s">
        <v>34213</v>
      </c>
      <c r="K2823" s="9" t="s">
        <v>17783</v>
      </c>
      <c r="L2823" s="9" t="s">
        <v>18001</v>
      </c>
      <c r="M2823" s="9" t="s">
        <v>25572</v>
      </c>
      <c r="N2823" s="9" t="s">
        <v>17746</v>
      </c>
      <c r="O2823" s="9" t="s">
        <v>17874</v>
      </c>
      <c r="P2823" s="9" t="s">
        <v>17748</v>
      </c>
      <c r="Q2823" s="11" t="s">
        <v>17780</v>
      </c>
      <c r="R2823" s="11" t="s">
        <v>17780</v>
      </c>
      <c r="S2823" s="11" t="s">
        <v>17750</v>
      </c>
    </row>
    <row r="2824" spans="1:19" x14ac:dyDescent="0.2">
      <c r="A2824" s="11" t="s">
        <v>34214</v>
      </c>
      <c r="B2824" s="9" t="s">
        <v>34215</v>
      </c>
      <c r="C2824" s="9" t="s">
        <v>34216</v>
      </c>
      <c r="D2824" s="9" t="s">
        <v>34217</v>
      </c>
      <c r="E2824" s="9" t="s">
        <v>17740</v>
      </c>
      <c r="F2824" s="9" t="s">
        <v>17741</v>
      </c>
      <c r="G2824" s="9" t="s">
        <v>17740</v>
      </c>
      <c r="H2824" s="11" t="s">
        <v>17741</v>
      </c>
      <c r="I2824" s="11" t="s">
        <v>34218</v>
      </c>
      <c r="J2824" s="11" t="s">
        <v>34218</v>
      </c>
      <c r="K2824" s="9" t="s">
        <v>26017</v>
      </c>
      <c r="L2824" s="9" t="s">
        <v>17744</v>
      </c>
      <c r="M2824" s="9" t="s">
        <v>17778</v>
      </c>
      <c r="N2824" s="9" t="s">
        <v>17746</v>
      </c>
      <c r="O2824" s="9" t="s">
        <v>22422</v>
      </c>
      <c r="P2824" s="9" t="s">
        <v>17748</v>
      </c>
      <c r="Q2824" s="11" t="s">
        <v>17858</v>
      </c>
      <c r="R2824" s="11" t="s">
        <v>17858</v>
      </c>
      <c r="S2824" s="11" t="s">
        <v>17750</v>
      </c>
    </row>
    <row r="2825" spans="1:19" x14ac:dyDescent="0.2">
      <c r="A2825" s="11" t="s">
        <v>34219</v>
      </c>
      <c r="B2825" s="9" t="s">
        <v>34220</v>
      </c>
      <c r="C2825" s="9" t="s">
        <v>34221</v>
      </c>
      <c r="D2825" s="9" t="s">
        <v>34222</v>
      </c>
      <c r="E2825" s="9" t="s">
        <v>17740</v>
      </c>
      <c r="F2825" s="9" t="s">
        <v>17741</v>
      </c>
      <c r="G2825" s="9" t="s">
        <v>17740</v>
      </c>
      <c r="H2825" s="11" t="s">
        <v>2153</v>
      </c>
      <c r="I2825" s="11" t="s">
        <v>2152</v>
      </c>
      <c r="J2825" s="11" t="s">
        <v>2152</v>
      </c>
      <c r="K2825" s="9" t="s">
        <v>34223</v>
      </c>
      <c r="L2825" s="9" t="s">
        <v>17759</v>
      </c>
      <c r="M2825" s="9" t="s">
        <v>34224</v>
      </c>
      <c r="N2825" s="9" t="s">
        <v>17746</v>
      </c>
      <c r="O2825" s="9" t="s">
        <v>773</v>
      </c>
      <c r="P2825" s="9" t="s">
        <v>17748</v>
      </c>
      <c r="Q2825" s="11" t="s">
        <v>19945</v>
      </c>
      <c r="R2825" s="11" t="s">
        <v>19945</v>
      </c>
      <c r="S2825" s="11" t="s">
        <v>17750</v>
      </c>
    </row>
    <row r="2826" spans="1:19" x14ac:dyDescent="0.2">
      <c r="A2826" s="11" t="s">
        <v>34225</v>
      </c>
      <c r="B2826" s="9" t="s">
        <v>34226</v>
      </c>
      <c r="C2826" s="9" t="s">
        <v>34227</v>
      </c>
      <c r="D2826" s="9" t="s">
        <v>34228</v>
      </c>
      <c r="E2826" s="9" t="s">
        <v>17740</v>
      </c>
      <c r="F2826" s="9" t="s">
        <v>17741</v>
      </c>
      <c r="G2826" s="9" t="s">
        <v>17740</v>
      </c>
      <c r="H2826" s="11" t="s">
        <v>34229</v>
      </c>
      <c r="I2826" s="11" t="s">
        <v>34230</v>
      </c>
      <c r="J2826" s="11" t="s">
        <v>34230</v>
      </c>
      <c r="K2826" s="9" t="s">
        <v>18404</v>
      </c>
      <c r="L2826" s="9" t="s">
        <v>17744</v>
      </c>
      <c r="M2826" s="9" t="s">
        <v>18533</v>
      </c>
      <c r="N2826" s="9" t="s">
        <v>17746</v>
      </c>
      <c r="O2826" s="9" t="s">
        <v>17977</v>
      </c>
      <c r="P2826" s="9" t="s">
        <v>17748</v>
      </c>
      <c r="Q2826" s="11" t="s">
        <v>17917</v>
      </c>
      <c r="R2826" s="11" t="s">
        <v>17917</v>
      </c>
      <c r="S2826" s="11" t="s">
        <v>17750</v>
      </c>
    </row>
    <row r="2827" spans="1:19" x14ac:dyDescent="0.2">
      <c r="A2827" s="11" t="s">
        <v>34231</v>
      </c>
      <c r="B2827" s="9" t="s">
        <v>34232</v>
      </c>
      <c r="C2827" s="9" t="s">
        <v>34233</v>
      </c>
      <c r="D2827" s="9" t="s">
        <v>34234</v>
      </c>
      <c r="E2827" s="9" t="s">
        <v>17740</v>
      </c>
      <c r="F2827" s="9" t="s">
        <v>17741</v>
      </c>
      <c r="G2827" s="9" t="s">
        <v>17740</v>
      </c>
      <c r="H2827" s="11" t="s">
        <v>7172</v>
      </c>
      <c r="I2827" s="11" t="s">
        <v>7171</v>
      </c>
      <c r="J2827" s="11" t="s">
        <v>7171</v>
      </c>
      <c r="K2827" s="9" t="s">
        <v>17783</v>
      </c>
      <c r="L2827" s="9" t="s">
        <v>18158</v>
      </c>
      <c r="M2827" s="9" t="s">
        <v>24600</v>
      </c>
      <c r="N2827" s="9" t="s">
        <v>17746</v>
      </c>
      <c r="O2827" s="9" t="s">
        <v>773</v>
      </c>
      <c r="P2827" s="9" t="s">
        <v>17748</v>
      </c>
      <c r="Q2827" s="11" t="s">
        <v>18201</v>
      </c>
      <c r="R2827" s="11" t="s">
        <v>18201</v>
      </c>
      <c r="S2827" s="11" t="s">
        <v>17750</v>
      </c>
    </row>
    <row r="2828" spans="1:19" x14ac:dyDescent="0.2">
      <c r="A2828" s="11" t="s">
        <v>34235</v>
      </c>
      <c r="B2828" s="9" t="s">
        <v>34236</v>
      </c>
      <c r="C2828" s="9" t="s">
        <v>34237</v>
      </c>
      <c r="D2828" s="9" t="s">
        <v>34238</v>
      </c>
      <c r="E2828" s="9" t="s">
        <v>17740</v>
      </c>
      <c r="F2828" s="9" t="s">
        <v>17741</v>
      </c>
      <c r="G2828" s="9" t="s">
        <v>17740</v>
      </c>
      <c r="H2828" s="11" t="s">
        <v>2174</v>
      </c>
      <c r="I2828" s="11" t="s">
        <v>2173</v>
      </c>
      <c r="J2828" s="11" t="s">
        <v>2173</v>
      </c>
      <c r="K2828" s="9" t="s">
        <v>27520</v>
      </c>
      <c r="L2828" s="9" t="s">
        <v>18001</v>
      </c>
      <c r="M2828" s="9" t="s">
        <v>17760</v>
      </c>
      <c r="N2828" s="9" t="s">
        <v>17746</v>
      </c>
      <c r="O2828" s="9" t="s">
        <v>20799</v>
      </c>
      <c r="P2828" s="9" t="s">
        <v>17748</v>
      </c>
      <c r="Q2828" s="11" t="s">
        <v>18243</v>
      </c>
      <c r="R2828" s="11" t="s">
        <v>18243</v>
      </c>
      <c r="S2828" s="11" t="s">
        <v>17750</v>
      </c>
    </row>
    <row r="2829" spans="1:19" x14ac:dyDescent="0.2">
      <c r="A2829" s="11" t="s">
        <v>34239</v>
      </c>
      <c r="B2829" s="9" t="s">
        <v>34240</v>
      </c>
      <c r="C2829" s="9" t="s">
        <v>34241</v>
      </c>
      <c r="D2829" s="9" t="s">
        <v>34242</v>
      </c>
      <c r="E2829" s="9" t="s">
        <v>17740</v>
      </c>
      <c r="F2829" s="9" t="s">
        <v>17741</v>
      </c>
      <c r="G2829" s="9" t="s">
        <v>17740</v>
      </c>
      <c r="H2829" s="11" t="s">
        <v>17741</v>
      </c>
      <c r="I2829" s="11" t="s">
        <v>4642</v>
      </c>
      <c r="J2829" s="11" t="s">
        <v>4642</v>
      </c>
      <c r="K2829" s="9" t="s">
        <v>32609</v>
      </c>
      <c r="L2829" s="9" t="s">
        <v>17991</v>
      </c>
      <c r="M2829" s="9" t="s">
        <v>17778</v>
      </c>
      <c r="N2829" s="9" t="s">
        <v>17746</v>
      </c>
      <c r="O2829" s="9" t="s">
        <v>17895</v>
      </c>
      <c r="P2829" s="9" t="s">
        <v>17748</v>
      </c>
      <c r="Q2829" s="11" t="s">
        <v>18364</v>
      </c>
      <c r="R2829" s="11" t="s">
        <v>18364</v>
      </c>
      <c r="S2829" s="11" t="s">
        <v>17750</v>
      </c>
    </row>
    <row r="2830" spans="1:19" x14ac:dyDescent="0.2">
      <c r="A2830" s="11" t="s">
        <v>34243</v>
      </c>
      <c r="B2830" s="9" t="s">
        <v>34244</v>
      </c>
      <c r="C2830" s="9" t="s">
        <v>34245</v>
      </c>
      <c r="D2830" s="9" t="s">
        <v>34246</v>
      </c>
      <c r="E2830" s="9" t="s">
        <v>17740</v>
      </c>
      <c r="F2830" s="9" t="s">
        <v>17741</v>
      </c>
      <c r="G2830" s="9" t="s">
        <v>17740</v>
      </c>
      <c r="H2830" s="11" t="s">
        <v>34247</v>
      </c>
      <c r="I2830" s="11" t="s">
        <v>34248</v>
      </c>
      <c r="J2830" s="11" t="s">
        <v>34248</v>
      </c>
      <c r="K2830" s="9" t="s">
        <v>32791</v>
      </c>
      <c r="L2830" s="9" t="s">
        <v>17759</v>
      </c>
      <c r="M2830" s="9" t="s">
        <v>29840</v>
      </c>
      <c r="N2830" s="9" t="s">
        <v>17746</v>
      </c>
      <c r="O2830" s="9" t="s">
        <v>18481</v>
      </c>
      <c r="P2830" s="9" t="s">
        <v>17748</v>
      </c>
      <c r="Q2830" s="11" t="s">
        <v>18059</v>
      </c>
      <c r="R2830" s="11" t="s">
        <v>18059</v>
      </c>
      <c r="S2830" s="11" t="s">
        <v>17750</v>
      </c>
    </row>
    <row r="2831" spans="1:19" x14ac:dyDescent="0.2">
      <c r="A2831" s="11" t="s">
        <v>34249</v>
      </c>
      <c r="B2831" s="9" t="s">
        <v>34250</v>
      </c>
      <c r="C2831" s="9" t="s">
        <v>34251</v>
      </c>
      <c r="D2831" s="9" t="s">
        <v>34252</v>
      </c>
      <c r="E2831" s="9" t="s">
        <v>17740</v>
      </c>
      <c r="F2831" s="9" t="s">
        <v>17741</v>
      </c>
      <c r="G2831" s="9" t="s">
        <v>17740</v>
      </c>
      <c r="H2831" s="11" t="s">
        <v>7582</v>
      </c>
      <c r="I2831" s="11" t="s">
        <v>7581</v>
      </c>
      <c r="J2831" s="11" t="s">
        <v>7581</v>
      </c>
      <c r="K2831" s="9" t="s">
        <v>19447</v>
      </c>
      <c r="L2831" s="9" t="s">
        <v>17744</v>
      </c>
      <c r="M2831" s="9" t="s">
        <v>17760</v>
      </c>
      <c r="N2831" s="9" t="s">
        <v>17746</v>
      </c>
      <c r="O2831" s="9" t="s">
        <v>793</v>
      </c>
      <c r="P2831" s="9" t="s">
        <v>17748</v>
      </c>
      <c r="Q2831" s="11" t="s">
        <v>18059</v>
      </c>
      <c r="R2831" s="11" t="s">
        <v>18059</v>
      </c>
      <c r="S2831" s="11" t="s">
        <v>17750</v>
      </c>
    </row>
    <row r="2832" spans="1:19" x14ac:dyDescent="0.2">
      <c r="A2832" s="11" t="s">
        <v>34253</v>
      </c>
      <c r="B2832" s="9" t="s">
        <v>34254</v>
      </c>
      <c r="C2832" s="9" t="s">
        <v>34255</v>
      </c>
      <c r="D2832" s="9" t="s">
        <v>34256</v>
      </c>
      <c r="E2832" s="9" t="s">
        <v>17740</v>
      </c>
      <c r="F2832" s="9" t="s">
        <v>17741</v>
      </c>
      <c r="G2832" s="9" t="s">
        <v>17740</v>
      </c>
      <c r="H2832" s="11" t="s">
        <v>5383</v>
      </c>
      <c r="I2832" s="11" t="s">
        <v>5382</v>
      </c>
      <c r="J2832" s="11" t="s">
        <v>5382</v>
      </c>
      <c r="K2832" s="9" t="s">
        <v>10487</v>
      </c>
      <c r="L2832" s="9" t="s">
        <v>17744</v>
      </c>
      <c r="M2832" s="9" t="s">
        <v>34257</v>
      </c>
      <c r="N2832" s="9" t="s">
        <v>17746</v>
      </c>
      <c r="O2832" s="9" t="s">
        <v>793</v>
      </c>
      <c r="P2832" s="9" t="s">
        <v>17748</v>
      </c>
      <c r="Q2832" s="11" t="s">
        <v>17819</v>
      </c>
      <c r="R2832" s="11" t="s">
        <v>17819</v>
      </c>
      <c r="S2832" s="11" t="s">
        <v>17750</v>
      </c>
    </row>
    <row r="2833" spans="1:19" x14ac:dyDescent="0.2">
      <c r="A2833" s="11" t="s">
        <v>34258</v>
      </c>
      <c r="B2833" s="9" t="s">
        <v>34259</v>
      </c>
      <c r="C2833" s="9" t="s">
        <v>34260</v>
      </c>
      <c r="D2833" s="9" t="s">
        <v>34261</v>
      </c>
      <c r="E2833" s="9" t="s">
        <v>17740</v>
      </c>
      <c r="F2833" s="9" t="s">
        <v>17741</v>
      </c>
      <c r="G2833" s="9" t="s">
        <v>17740</v>
      </c>
      <c r="H2833" s="11" t="s">
        <v>2158</v>
      </c>
      <c r="I2833" s="11" t="s">
        <v>2157</v>
      </c>
      <c r="J2833" s="11" t="s">
        <v>2157</v>
      </c>
      <c r="K2833" s="9" t="s">
        <v>34262</v>
      </c>
      <c r="L2833" s="9" t="s">
        <v>17759</v>
      </c>
      <c r="M2833" s="9" t="s">
        <v>19965</v>
      </c>
      <c r="N2833" s="9" t="s">
        <v>17746</v>
      </c>
      <c r="O2833" s="9" t="s">
        <v>793</v>
      </c>
      <c r="P2833" s="9" t="s">
        <v>17748</v>
      </c>
      <c r="Q2833" s="11" t="s">
        <v>18600</v>
      </c>
      <c r="R2833" s="11" t="s">
        <v>18600</v>
      </c>
      <c r="S2833" s="11" t="s">
        <v>17750</v>
      </c>
    </row>
    <row r="2834" spans="1:19" x14ac:dyDescent="0.2">
      <c r="A2834" s="11" t="s">
        <v>34263</v>
      </c>
      <c r="B2834" s="9" t="s">
        <v>34264</v>
      </c>
      <c r="C2834" s="9" t="s">
        <v>34265</v>
      </c>
      <c r="D2834" s="9" t="s">
        <v>34266</v>
      </c>
      <c r="E2834" s="9" t="s">
        <v>17740</v>
      </c>
      <c r="F2834" s="9" t="s">
        <v>17741</v>
      </c>
      <c r="G2834" s="9" t="s">
        <v>17740</v>
      </c>
      <c r="H2834" s="11" t="s">
        <v>2171</v>
      </c>
      <c r="I2834" s="11" t="s">
        <v>2170</v>
      </c>
      <c r="J2834" s="11" t="s">
        <v>2170</v>
      </c>
      <c r="K2834" s="9" t="s">
        <v>18661</v>
      </c>
      <c r="L2834" s="9" t="s">
        <v>17759</v>
      </c>
      <c r="M2834" s="9" t="s">
        <v>18289</v>
      </c>
      <c r="N2834" s="9" t="s">
        <v>17746</v>
      </c>
      <c r="O2834" s="9" t="s">
        <v>18481</v>
      </c>
      <c r="P2834" s="9" t="s">
        <v>17748</v>
      </c>
      <c r="Q2834" s="11" t="s">
        <v>17883</v>
      </c>
      <c r="R2834" s="11" t="s">
        <v>17883</v>
      </c>
      <c r="S2834" s="11" t="s">
        <v>17750</v>
      </c>
    </row>
    <row r="2835" spans="1:19" x14ac:dyDescent="0.2">
      <c r="A2835" s="11" t="s">
        <v>34267</v>
      </c>
      <c r="B2835" s="9" t="s">
        <v>34268</v>
      </c>
      <c r="C2835" s="9" t="s">
        <v>34269</v>
      </c>
      <c r="D2835" s="9" t="s">
        <v>34270</v>
      </c>
      <c r="E2835" s="9" t="s">
        <v>17748</v>
      </c>
      <c r="F2835" s="9" t="s">
        <v>34271</v>
      </c>
      <c r="G2835" s="9" t="s">
        <v>17740</v>
      </c>
      <c r="H2835" s="11" t="s">
        <v>34272</v>
      </c>
      <c r="I2835" s="11" t="s">
        <v>8921</v>
      </c>
      <c r="J2835" s="11" t="s">
        <v>8921</v>
      </c>
      <c r="K2835" s="9" t="s">
        <v>91</v>
      </c>
      <c r="L2835" s="9" t="s">
        <v>17759</v>
      </c>
      <c r="M2835" s="9" t="s">
        <v>17769</v>
      </c>
      <c r="N2835" s="9" t="s">
        <v>17746</v>
      </c>
      <c r="O2835" s="9" t="s">
        <v>20056</v>
      </c>
      <c r="P2835" s="9" t="s">
        <v>17748</v>
      </c>
      <c r="Q2835" s="11" t="s">
        <v>18922</v>
      </c>
      <c r="R2835" s="11" t="s">
        <v>18922</v>
      </c>
      <c r="S2835" s="11" t="s">
        <v>17750</v>
      </c>
    </row>
    <row r="2836" spans="1:19" x14ac:dyDescent="0.2">
      <c r="A2836" s="11" t="s">
        <v>34273</v>
      </c>
      <c r="B2836" s="9" t="s">
        <v>34274</v>
      </c>
      <c r="C2836" s="9" t="s">
        <v>34275</v>
      </c>
      <c r="D2836" s="9" t="s">
        <v>34276</v>
      </c>
      <c r="E2836" s="9" t="s">
        <v>17748</v>
      </c>
      <c r="F2836" s="9" t="s">
        <v>34277</v>
      </c>
      <c r="G2836" s="9" t="s">
        <v>17740</v>
      </c>
      <c r="H2836" s="11" t="s">
        <v>9798</v>
      </c>
      <c r="I2836" s="11" t="s">
        <v>9797</v>
      </c>
      <c r="J2836" s="11" t="s">
        <v>9797</v>
      </c>
      <c r="K2836" s="9" t="s">
        <v>20207</v>
      </c>
      <c r="L2836" s="9" t="s">
        <v>17759</v>
      </c>
      <c r="M2836" s="9" t="s">
        <v>34278</v>
      </c>
      <c r="N2836" s="9" t="s">
        <v>17746</v>
      </c>
      <c r="O2836" s="9" t="s">
        <v>793</v>
      </c>
      <c r="P2836" s="9" t="s">
        <v>17748</v>
      </c>
      <c r="Q2836" s="11" t="s">
        <v>17858</v>
      </c>
      <c r="R2836" s="11" t="s">
        <v>17858</v>
      </c>
      <c r="S2836" s="11" t="s">
        <v>17750</v>
      </c>
    </row>
    <row r="2837" spans="1:19" x14ac:dyDescent="0.2">
      <c r="A2837" s="11" t="s">
        <v>34279</v>
      </c>
      <c r="B2837" s="9" t="s">
        <v>34280</v>
      </c>
      <c r="C2837" s="9" t="s">
        <v>34281</v>
      </c>
      <c r="D2837" s="9" t="s">
        <v>34282</v>
      </c>
      <c r="E2837" s="9" t="s">
        <v>17748</v>
      </c>
      <c r="F2837" s="9" t="s">
        <v>34277</v>
      </c>
      <c r="G2837" s="9" t="s">
        <v>17740</v>
      </c>
      <c r="H2837" s="11" t="s">
        <v>9801</v>
      </c>
      <c r="I2837" s="11" t="s">
        <v>9800</v>
      </c>
      <c r="J2837" s="11" t="s">
        <v>9800</v>
      </c>
      <c r="K2837" s="9" t="s">
        <v>20207</v>
      </c>
      <c r="L2837" s="9" t="s">
        <v>17759</v>
      </c>
      <c r="M2837" s="9" t="s">
        <v>18177</v>
      </c>
      <c r="N2837" s="9" t="s">
        <v>17746</v>
      </c>
      <c r="O2837" s="9" t="s">
        <v>793</v>
      </c>
      <c r="P2837" s="9" t="s">
        <v>17748</v>
      </c>
      <c r="Q2837" s="11" t="s">
        <v>17858</v>
      </c>
      <c r="R2837" s="11" t="s">
        <v>17858</v>
      </c>
      <c r="S2837" s="11" t="s">
        <v>17750</v>
      </c>
    </row>
    <row r="2838" spans="1:19" x14ac:dyDescent="0.2">
      <c r="A2838" s="11" t="s">
        <v>34283</v>
      </c>
      <c r="B2838" s="9" t="s">
        <v>34284</v>
      </c>
      <c r="C2838" s="9" t="s">
        <v>34285</v>
      </c>
      <c r="D2838" s="9" t="s">
        <v>34286</v>
      </c>
      <c r="E2838" s="9" t="s">
        <v>17740</v>
      </c>
      <c r="F2838" s="9" t="s">
        <v>17741</v>
      </c>
      <c r="G2838" s="9" t="s">
        <v>17740</v>
      </c>
      <c r="H2838" s="11" t="s">
        <v>11895</v>
      </c>
      <c r="I2838" s="11" t="s">
        <v>11894</v>
      </c>
      <c r="J2838" s="11" t="s">
        <v>11894</v>
      </c>
      <c r="K2838" s="9" t="s">
        <v>11896</v>
      </c>
      <c r="L2838" s="9" t="s">
        <v>17759</v>
      </c>
      <c r="M2838" s="9" t="s">
        <v>27237</v>
      </c>
      <c r="N2838" s="9" t="s">
        <v>17746</v>
      </c>
      <c r="O2838" s="9" t="s">
        <v>17916</v>
      </c>
      <c r="P2838" s="9" t="s">
        <v>17748</v>
      </c>
      <c r="Q2838" s="11" t="s">
        <v>17984</v>
      </c>
      <c r="R2838" s="11" t="s">
        <v>17984</v>
      </c>
      <c r="S2838" s="11" t="s">
        <v>17750</v>
      </c>
    </row>
    <row r="2839" spans="1:19" x14ac:dyDescent="0.2">
      <c r="A2839" s="11" t="s">
        <v>34287</v>
      </c>
      <c r="B2839" s="9" t="s">
        <v>34288</v>
      </c>
      <c r="C2839" s="9" t="s">
        <v>34289</v>
      </c>
      <c r="D2839" s="9" t="s">
        <v>34290</v>
      </c>
      <c r="E2839" s="9" t="s">
        <v>17740</v>
      </c>
      <c r="F2839" s="9" t="s">
        <v>17741</v>
      </c>
      <c r="G2839" s="9" t="s">
        <v>17740</v>
      </c>
      <c r="H2839" s="11" t="s">
        <v>34291</v>
      </c>
      <c r="I2839" s="11" t="s">
        <v>34292</v>
      </c>
      <c r="J2839" s="11" t="s">
        <v>34292</v>
      </c>
      <c r="K2839" s="9" t="s">
        <v>34293</v>
      </c>
      <c r="L2839" s="9" t="s">
        <v>17759</v>
      </c>
      <c r="M2839" s="9" t="s">
        <v>23678</v>
      </c>
      <c r="N2839" s="9" t="s">
        <v>17746</v>
      </c>
      <c r="O2839" s="9" t="s">
        <v>34294</v>
      </c>
      <c r="P2839" s="9" t="s">
        <v>17748</v>
      </c>
      <c r="Q2839" s="11" t="s">
        <v>18201</v>
      </c>
      <c r="R2839" s="11" t="s">
        <v>18201</v>
      </c>
      <c r="S2839" s="11" t="s">
        <v>17750</v>
      </c>
    </row>
    <row r="2840" spans="1:19" x14ac:dyDescent="0.2">
      <c r="A2840" s="11" t="s">
        <v>34295</v>
      </c>
      <c r="B2840" s="9" t="s">
        <v>34296</v>
      </c>
      <c r="C2840" s="9" t="s">
        <v>34297</v>
      </c>
      <c r="D2840" s="9" t="s">
        <v>34298</v>
      </c>
      <c r="E2840" s="9" t="s">
        <v>17740</v>
      </c>
      <c r="F2840" s="9" t="s">
        <v>17741</v>
      </c>
      <c r="G2840" s="9" t="s">
        <v>17740</v>
      </c>
      <c r="H2840" s="11" t="s">
        <v>6179</v>
      </c>
      <c r="I2840" s="11" t="s">
        <v>6178</v>
      </c>
      <c r="J2840" s="11" t="s">
        <v>6178</v>
      </c>
      <c r="K2840" s="9" t="s">
        <v>18570</v>
      </c>
      <c r="L2840" s="9" t="s">
        <v>17744</v>
      </c>
      <c r="M2840" s="9" t="s">
        <v>18065</v>
      </c>
      <c r="N2840" s="9" t="s">
        <v>17746</v>
      </c>
      <c r="O2840" s="9" t="s">
        <v>17993</v>
      </c>
      <c r="P2840" s="9" t="s">
        <v>17748</v>
      </c>
      <c r="Q2840" s="11" t="s">
        <v>17808</v>
      </c>
      <c r="R2840" s="11" t="s">
        <v>17808</v>
      </c>
      <c r="S2840" s="11" t="s">
        <v>17750</v>
      </c>
    </row>
    <row r="2841" spans="1:19" x14ac:dyDescent="0.2">
      <c r="A2841" s="11" t="s">
        <v>34299</v>
      </c>
      <c r="B2841" s="9" t="s">
        <v>34300</v>
      </c>
      <c r="C2841" s="9" t="s">
        <v>34301</v>
      </c>
      <c r="D2841" s="9" t="s">
        <v>34302</v>
      </c>
      <c r="E2841" s="9" t="s">
        <v>17740</v>
      </c>
      <c r="F2841" s="9" t="s">
        <v>17741</v>
      </c>
      <c r="G2841" s="9" t="s">
        <v>17740</v>
      </c>
      <c r="H2841" s="11" t="s">
        <v>7799</v>
      </c>
      <c r="I2841" s="11" t="s">
        <v>7798</v>
      </c>
      <c r="J2841" s="11" t="s">
        <v>7798</v>
      </c>
      <c r="K2841" s="9" t="s">
        <v>17783</v>
      </c>
      <c r="L2841" s="9" t="s">
        <v>18001</v>
      </c>
      <c r="M2841" s="9" t="s">
        <v>24699</v>
      </c>
      <c r="N2841" s="9" t="s">
        <v>17746</v>
      </c>
      <c r="O2841" s="9" t="s">
        <v>22696</v>
      </c>
      <c r="P2841" s="9" t="s">
        <v>17748</v>
      </c>
      <c r="Q2841" s="11" t="s">
        <v>18080</v>
      </c>
      <c r="R2841" s="11" t="s">
        <v>18080</v>
      </c>
      <c r="S2841" s="11" t="s">
        <v>17750</v>
      </c>
    </row>
    <row r="2842" spans="1:19" x14ac:dyDescent="0.2">
      <c r="A2842" s="11" t="s">
        <v>34303</v>
      </c>
      <c r="B2842" s="9" t="s">
        <v>34304</v>
      </c>
      <c r="C2842" s="9" t="s">
        <v>34305</v>
      </c>
      <c r="D2842" s="9" t="s">
        <v>34306</v>
      </c>
      <c r="E2842" s="9" t="s">
        <v>17740</v>
      </c>
      <c r="F2842" s="9" t="s">
        <v>17741</v>
      </c>
      <c r="G2842" s="9" t="s">
        <v>17740</v>
      </c>
      <c r="H2842" s="11" t="s">
        <v>7962</v>
      </c>
      <c r="I2842" s="11" t="s">
        <v>7961</v>
      </c>
      <c r="J2842" s="11" t="s">
        <v>7961</v>
      </c>
      <c r="K2842" s="9" t="s">
        <v>19447</v>
      </c>
      <c r="L2842" s="9" t="s">
        <v>17759</v>
      </c>
      <c r="M2842" s="9" t="s">
        <v>34307</v>
      </c>
      <c r="N2842" s="9" t="s">
        <v>17746</v>
      </c>
      <c r="O2842" s="9" t="s">
        <v>22268</v>
      </c>
      <c r="P2842" s="9" t="s">
        <v>17748</v>
      </c>
      <c r="Q2842" s="11" t="s">
        <v>18201</v>
      </c>
      <c r="R2842" s="11" t="s">
        <v>18201</v>
      </c>
      <c r="S2842" s="11" t="s">
        <v>17750</v>
      </c>
    </row>
    <row r="2843" spans="1:19" x14ac:dyDescent="0.2">
      <c r="A2843" s="11" t="s">
        <v>34308</v>
      </c>
      <c r="B2843" s="9" t="s">
        <v>34309</v>
      </c>
      <c r="C2843" s="9" t="s">
        <v>34310</v>
      </c>
      <c r="D2843" s="9" t="s">
        <v>34311</v>
      </c>
      <c r="E2843" s="9" t="s">
        <v>17740</v>
      </c>
      <c r="F2843" s="9" t="s">
        <v>17741</v>
      </c>
      <c r="G2843" s="9" t="s">
        <v>17740</v>
      </c>
      <c r="H2843" s="11" t="s">
        <v>2181</v>
      </c>
      <c r="I2843" s="11" t="s">
        <v>2180</v>
      </c>
      <c r="J2843" s="11" t="s">
        <v>2180</v>
      </c>
      <c r="K2843" s="9" t="s">
        <v>18404</v>
      </c>
      <c r="L2843" s="9" t="s">
        <v>17744</v>
      </c>
      <c r="M2843" s="9" t="s">
        <v>34312</v>
      </c>
      <c r="N2843" s="9" t="s">
        <v>17746</v>
      </c>
      <c r="O2843" s="9" t="s">
        <v>18762</v>
      </c>
      <c r="P2843" s="9" t="s">
        <v>17748</v>
      </c>
      <c r="Q2843" s="11" t="s">
        <v>17978</v>
      </c>
      <c r="R2843" s="11" t="s">
        <v>17978</v>
      </c>
      <c r="S2843" s="11" t="s">
        <v>17750</v>
      </c>
    </row>
    <row r="2844" spans="1:19" x14ac:dyDescent="0.2">
      <c r="A2844" s="11" t="s">
        <v>34313</v>
      </c>
      <c r="B2844" s="9" t="s">
        <v>34314</v>
      </c>
      <c r="C2844" s="9" t="s">
        <v>34315</v>
      </c>
      <c r="D2844" s="9" t="s">
        <v>34316</v>
      </c>
      <c r="E2844" s="9" t="s">
        <v>17740</v>
      </c>
      <c r="F2844" s="9" t="s">
        <v>34317</v>
      </c>
      <c r="G2844" s="9" t="s">
        <v>17740</v>
      </c>
      <c r="H2844" s="11" t="s">
        <v>13962</v>
      </c>
      <c r="I2844" s="11" t="s">
        <v>13961</v>
      </c>
      <c r="J2844" s="11" t="s">
        <v>13961</v>
      </c>
      <c r="K2844" s="9" t="s">
        <v>13963</v>
      </c>
      <c r="L2844" s="9" t="s">
        <v>17759</v>
      </c>
      <c r="M2844" s="9" t="s">
        <v>17760</v>
      </c>
      <c r="N2844" s="9" t="s">
        <v>17746</v>
      </c>
      <c r="O2844" s="9" t="s">
        <v>22395</v>
      </c>
      <c r="P2844" s="9" t="s">
        <v>17748</v>
      </c>
      <c r="Q2844" s="11" t="s">
        <v>18798</v>
      </c>
      <c r="R2844" s="11" t="s">
        <v>18798</v>
      </c>
      <c r="S2844" s="11" t="s">
        <v>17750</v>
      </c>
    </row>
    <row r="2845" spans="1:19" x14ac:dyDescent="0.2">
      <c r="A2845" s="11" t="s">
        <v>34318</v>
      </c>
      <c r="B2845" s="9" t="s">
        <v>34319</v>
      </c>
      <c r="C2845" s="9" t="s">
        <v>34320</v>
      </c>
      <c r="D2845" s="9" t="s">
        <v>34321</v>
      </c>
      <c r="E2845" s="9" t="s">
        <v>17740</v>
      </c>
      <c r="F2845" s="9" t="s">
        <v>17741</v>
      </c>
      <c r="G2845" s="9" t="s">
        <v>17740</v>
      </c>
      <c r="H2845" s="11" t="s">
        <v>6156</v>
      </c>
      <c r="I2845" s="11" t="s">
        <v>6155</v>
      </c>
      <c r="J2845" s="11" t="s">
        <v>6155</v>
      </c>
      <c r="K2845" s="9" t="s">
        <v>291</v>
      </c>
      <c r="L2845" s="9" t="s">
        <v>17744</v>
      </c>
      <c r="M2845" s="9" t="s">
        <v>34322</v>
      </c>
      <c r="N2845" s="9" t="s">
        <v>17746</v>
      </c>
      <c r="O2845" s="9" t="s">
        <v>34323</v>
      </c>
      <c r="P2845" s="9" t="s">
        <v>17748</v>
      </c>
      <c r="Q2845" s="11" t="s">
        <v>18080</v>
      </c>
      <c r="R2845" s="11" t="s">
        <v>18080</v>
      </c>
      <c r="S2845" s="11" t="s">
        <v>17750</v>
      </c>
    </row>
    <row r="2846" spans="1:19" x14ac:dyDescent="0.2">
      <c r="A2846" s="11" t="s">
        <v>34324</v>
      </c>
      <c r="B2846" s="9" t="s">
        <v>34325</v>
      </c>
      <c r="C2846" s="9" t="s">
        <v>34326</v>
      </c>
      <c r="D2846" s="9" t="s">
        <v>34327</v>
      </c>
      <c r="E2846" s="9" t="s">
        <v>17740</v>
      </c>
      <c r="F2846" s="9" t="s">
        <v>17741</v>
      </c>
      <c r="G2846" s="9" t="s">
        <v>17740</v>
      </c>
      <c r="H2846" s="11" t="s">
        <v>34328</v>
      </c>
      <c r="I2846" s="11" t="s">
        <v>34329</v>
      </c>
      <c r="J2846" s="11" t="s">
        <v>34329</v>
      </c>
      <c r="K2846" s="9" t="s">
        <v>18712</v>
      </c>
      <c r="L2846" s="9" t="s">
        <v>18158</v>
      </c>
      <c r="M2846" s="9" t="s">
        <v>20970</v>
      </c>
      <c r="N2846" s="9" t="s">
        <v>17746</v>
      </c>
      <c r="O2846" s="9" t="s">
        <v>20799</v>
      </c>
      <c r="P2846" s="9" t="s">
        <v>17748</v>
      </c>
      <c r="Q2846" s="11" t="s">
        <v>18370</v>
      </c>
      <c r="R2846" s="11" t="s">
        <v>18370</v>
      </c>
      <c r="S2846" s="11" t="s">
        <v>17750</v>
      </c>
    </row>
    <row r="2847" spans="1:19" x14ac:dyDescent="0.2">
      <c r="A2847" s="11" t="s">
        <v>34330</v>
      </c>
      <c r="B2847" s="9" t="s">
        <v>34331</v>
      </c>
      <c r="C2847" s="9" t="s">
        <v>34332</v>
      </c>
      <c r="D2847" s="9" t="s">
        <v>34333</v>
      </c>
      <c r="E2847" s="9" t="s">
        <v>17740</v>
      </c>
      <c r="F2847" s="9" t="s">
        <v>34334</v>
      </c>
      <c r="G2847" s="9" t="s">
        <v>17740</v>
      </c>
      <c r="H2847" s="11" t="s">
        <v>8095</v>
      </c>
      <c r="I2847" s="11" t="s">
        <v>8094</v>
      </c>
      <c r="J2847" s="11" t="s">
        <v>8095</v>
      </c>
      <c r="K2847" s="9" t="s">
        <v>34335</v>
      </c>
      <c r="L2847" s="9" t="s">
        <v>18242</v>
      </c>
      <c r="M2847" s="9" t="s">
        <v>17817</v>
      </c>
      <c r="N2847" s="9" t="s">
        <v>17746</v>
      </c>
      <c r="O2847" s="9" t="s">
        <v>34336</v>
      </c>
      <c r="P2847" s="9" t="s">
        <v>17748</v>
      </c>
      <c r="Q2847" s="11" t="s">
        <v>18356</v>
      </c>
      <c r="R2847" s="11" t="s">
        <v>18356</v>
      </c>
      <c r="S2847" s="11" t="s">
        <v>17750</v>
      </c>
    </row>
    <row r="2848" spans="1:19" x14ac:dyDescent="0.2">
      <c r="A2848" s="11" t="s">
        <v>34337</v>
      </c>
      <c r="B2848" s="9" t="s">
        <v>34338</v>
      </c>
      <c r="C2848" s="9" t="s">
        <v>34339</v>
      </c>
      <c r="D2848" s="9" t="s">
        <v>34340</v>
      </c>
      <c r="E2848" s="9" t="s">
        <v>17740</v>
      </c>
      <c r="F2848" s="9" t="s">
        <v>34341</v>
      </c>
      <c r="G2848" s="9" t="s">
        <v>17740</v>
      </c>
      <c r="H2848" s="11" t="s">
        <v>2549</v>
      </c>
      <c r="I2848" s="11" t="s">
        <v>2548</v>
      </c>
      <c r="J2848" s="11" t="s">
        <v>2548</v>
      </c>
      <c r="K2848" s="9" t="s">
        <v>34342</v>
      </c>
      <c r="L2848" s="9" t="s">
        <v>20446</v>
      </c>
      <c r="M2848" s="9" t="s">
        <v>17760</v>
      </c>
      <c r="N2848" s="9" t="s">
        <v>17746</v>
      </c>
      <c r="O2848" s="9" t="s">
        <v>17895</v>
      </c>
      <c r="P2848" s="9" t="s">
        <v>17748</v>
      </c>
      <c r="Q2848" s="11" t="s">
        <v>18251</v>
      </c>
      <c r="R2848" s="11" t="s">
        <v>18251</v>
      </c>
      <c r="S2848" s="11" t="s">
        <v>17750</v>
      </c>
    </row>
    <row r="2849" spans="1:19" x14ac:dyDescent="0.2">
      <c r="A2849" s="11" t="s">
        <v>34343</v>
      </c>
      <c r="B2849" s="9" t="s">
        <v>34344</v>
      </c>
      <c r="C2849" s="9" t="s">
        <v>34345</v>
      </c>
      <c r="D2849" s="9" t="s">
        <v>34346</v>
      </c>
      <c r="E2849" s="9" t="s">
        <v>17740</v>
      </c>
      <c r="F2849" s="9" t="s">
        <v>17741</v>
      </c>
      <c r="G2849" s="9" t="s">
        <v>17740</v>
      </c>
      <c r="H2849" s="11" t="s">
        <v>34347</v>
      </c>
      <c r="I2849" s="11" t="s">
        <v>34348</v>
      </c>
      <c r="J2849" s="11" t="s">
        <v>34348</v>
      </c>
      <c r="K2849" s="9" t="s">
        <v>724</v>
      </c>
      <c r="L2849" s="9" t="s">
        <v>17744</v>
      </c>
      <c r="M2849" s="9" t="s">
        <v>23678</v>
      </c>
      <c r="N2849" s="9" t="s">
        <v>17746</v>
      </c>
      <c r="O2849" s="9" t="s">
        <v>23651</v>
      </c>
      <c r="P2849" s="9" t="s">
        <v>17748</v>
      </c>
      <c r="Q2849" s="11" t="s">
        <v>17867</v>
      </c>
      <c r="R2849" s="11" t="s">
        <v>17867</v>
      </c>
      <c r="S2849" s="11" t="s">
        <v>17750</v>
      </c>
    </row>
    <row r="2850" spans="1:19" x14ac:dyDescent="0.2">
      <c r="A2850" s="11" t="s">
        <v>34349</v>
      </c>
      <c r="B2850" s="9" t="s">
        <v>34350</v>
      </c>
      <c r="C2850" s="9" t="s">
        <v>34351</v>
      </c>
      <c r="D2850" s="9" t="s">
        <v>34352</v>
      </c>
      <c r="E2850" s="9" t="s">
        <v>17740</v>
      </c>
      <c r="F2850" s="9" t="s">
        <v>17741</v>
      </c>
      <c r="G2850" s="9" t="s">
        <v>17740</v>
      </c>
      <c r="H2850" s="11" t="s">
        <v>2163</v>
      </c>
      <c r="I2850" s="11" t="s">
        <v>2162</v>
      </c>
      <c r="J2850" s="11" t="s">
        <v>2162</v>
      </c>
      <c r="K2850" s="9" t="s">
        <v>28282</v>
      </c>
      <c r="L2850" s="9" t="s">
        <v>18001</v>
      </c>
      <c r="M2850" s="9" t="s">
        <v>34353</v>
      </c>
      <c r="N2850" s="9" t="s">
        <v>17746</v>
      </c>
      <c r="O2850" s="9" t="s">
        <v>22395</v>
      </c>
      <c r="P2850" s="9" t="s">
        <v>17748</v>
      </c>
      <c r="Q2850" s="11" t="s">
        <v>18341</v>
      </c>
      <c r="R2850" s="11" t="s">
        <v>18341</v>
      </c>
      <c r="S2850" s="11" t="s">
        <v>17750</v>
      </c>
    </row>
    <row r="2851" spans="1:19" x14ac:dyDescent="0.2">
      <c r="A2851" s="11" t="s">
        <v>34354</v>
      </c>
      <c r="B2851" s="9" t="s">
        <v>34355</v>
      </c>
      <c r="C2851" s="9" t="s">
        <v>34356</v>
      </c>
      <c r="D2851" s="9" t="s">
        <v>34357</v>
      </c>
      <c r="E2851" s="9" t="s">
        <v>17740</v>
      </c>
      <c r="F2851" s="9" t="s">
        <v>17741</v>
      </c>
      <c r="G2851" s="9" t="s">
        <v>17740</v>
      </c>
      <c r="H2851" s="11" t="s">
        <v>7506</v>
      </c>
      <c r="I2851" s="11" t="s">
        <v>7505</v>
      </c>
      <c r="J2851" s="11" t="s">
        <v>7505</v>
      </c>
      <c r="K2851" s="9" t="s">
        <v>831</v>
      </c>
      <c r="L2851" s="9" t="s">
        <v>17759</v>
      </c>
      <c r="M2851" s="9" t="s">
        <v>17760</v>
      </c>
      <c r="N2851" s="9" t="s">
        <v>17746</v>
      </c>
      <c r="O2851" s="9" t="s">
        <v>34358</v>
      </c>
      <c r="P2851" s="9" t="s">
        <v>17748</v>
      </c>
      <c r="Q2851" s="11" t="s">
        <v>18201</v>
      </c>
      <c r="R2851" s="11" t="s">
        <v>18201</v>
      </c>
      <c r="S2851" s="11" t="s">
        <v>17750</v>
      </c>
    </row>
    <row r="2852" spans="1:19" x14ac:dyDescent="0.2">
      <c r="A2852" s="11" t="s">
        <v>34359</v>
      </c>
      <c r="B2852" s="9" t="s">
        <v>34360</v>
      </c>
      <c r="C2852" s="9" t="s">
        <v>34361</v>
      </c>
      <c r="D2852" s="9" t="s">
        <v>34362</v>
      </c>
      <c r="E2852" s="9" t="s">
        <v>17740</v>
      </c>
      <c r="F2852" s="9" t="s">
        <v>34363</v>
      </c>
      <c r="G2852" s="9" t="s">
        <v>17740</v>
      </c>
      <c r="H2852" s="11" t="s">
        <v>2166</v>
      </c>
      <c r="I2852" s="11" t="s">
        <v>2165</v>
      </c>
      <c r="J2852" s="11" t="s">
        <v>17741</v>
      </c>
      <c r="K2852" s="9" t="s">
        <v>34364</v>
      </c>
      <c r="L2852" s="9" t="s">
        <v>17759</v>
      </c>
      <c r="M2852" s="9" t="s">
        <v>34365</v>
      </c>
      <c r="N2852" s="9" t="s">
        <v>17746</v>
      </c>
      <c r="O2852" s="9" t="s">
        <v>23240</v>
      </c>
      <c r="P2852" s="9" t="s">
        <v>17748</v>
      </c>
      <c r="Q2852" s="11" t="s">
        <v>18178</v>
      </c>
      <c r="R2852" s="11" t="s">
        <v>18178</v>
      </c>
      <c r="S2852" s="11" t="s">
        <v>17750</v>
      </c>
    </row>
    <row r="2853" spans="1:19" x14ac:dyDescent="0.2">
      <c r="A2853" s="11" t="s">
        <v>34366</v>
      </c>
      <c r="B2853" s="9" t="s">
        <v>34367</v>
      </c>
      <c r="C2853" s="9" t="s">
        <v>34368</v>
      </c>
      <c r="D2853" s="9" t="s">
        <v>34369</v>
      </c>
      <c r="E2853" s="9" t="s">
        <v>17740</v>
      </c>
      <c r="F2853" s="9" t="s">
        <v>34370</v>
      </c>
      <c r="G2853" s="9" t="s">
        <v>17740</v>
      </c>
      <c r="H2853" s="11" t="s">
        <v>7019</v>
      </c>
      <c r="I2853" s="11" t="s">
        <v>7018</v>
      </c>
      <c r="J2853" s="11" t="s">
        <v>7018</v>
      </c>
      <c r="K2853" s="9" t="s">
        <v>34371</v>
      </c>
      <c r="L2853" s="9" t="s">
        <v>18242</v>
      </c>
      <c r="M2853" s="9" t="s">
        <v>34372</v>
      </c>
      <c r="N2853" s="9" t="s">
        <v>17746</v>
      </c>
      <c r="O2853" s="9" t="s">
        <v>20988</v>
      </c>
      <c r="P2853" s="9" t="s">
        <v>17748</v>
      </c>
      <c r="Q2853" s="11" t="s">
        <v>18678</v>
      </c>
      <c r="R2853" s="11" t="s">
        <v>18678</v>
      </c>
      <c r="S2853" s="11" t="s">
        <v>17750</v>
      </c>
    </row>
    <row r="2854" spans="1:19" x14ac:dyDescent="0.2">
      <c r="A2854" s="11" t="s">
        <v>34373</v>
      </c>
      <c r="B2854" s="9" t="s">
        <v>34374</v>
      </c>
      <c r="C2854" s="9" t="s">
        <v>34375</v>
      </c>
      <c r="D2854" s="9" t="s">
        <v>34376</v>
      </c>
      <c r="E2854" s="9" t="s">
        <v>17740</v>
      </c>
      <c r="F2854" s="9" t="s">
        <v>17741</v>
      </c>
      <c r="G2854" s="9" t="s">
        <v>17740</v>
      </c>
      <c r="H2854" s="11" t="s">
        <v>4468</v>
      </c>
      <c r="I2854" s="11" t="s">
        <v>4467</v>
      </c>
      <c r="J2854" s="11" t="s">
        <v>4467</v>
      </c>
      <c r="K2854" s="9" t="s">
        <v>34377</v>
      </c>
      <c r="L2854" s="9" t="s">
        <v>17759</v>
      </c>
      <c r="M2854" s="9" t="s">
        <v>34378</v>
      </c>
      <c r="N2854" s="9" t="s">
        <v>17746</v>
      </c>
      <c r="O2854" s="9" t="s">
        <v>21383</v>
      </c>
      <c r="P2854" s="9" t="s">
        <v>17748</v>
      </c>
      <c r="Q2854" s="11" t="s">
        <v>18059</v>
      </c>
      <c r="R2854" s="11" t="s">
        <v>18059</v>
      </c>
      <c r="S2854" s="11" t="s">
        <v>17750</v>
      </c>
    </row>
    <row r="2855" spans="1:19" x14ac:dyDescent="0.2">
      <c r="A2855" s="11" t="s">
        <v>34379</v>
      </c>
      <c r="B2855" s="9" t="s">
        <v>34380</v>
      </c>
      <c r="C2855" s="9" t="s">
        <v>34381</v>
      </c>
      <c r="D2855" s="9" t="s">
        <v>34382</v>
      </c>
      <c r="E2855" s="9" t="s">
        <v>17740</v>
      </c>
      <c r="F2855" s="9" t="s">
        <v>17741</v>
      </c>
      <c r="G2855" s="9" t="s">
        <v>17740</v>
      </c>
      <c r="H2855" s="11" t="s">
        <v>12359</v>
      </c>
      <c r="I2855" s="11" t="s">
        <v>12358</v>
      </c>
      <c r="J2855" s="11" t="s">
        <v>12358</v>
      </c>
      <c r="K2855" s="9" t="s">
        <v>22394</v>
      </c>
      <c r="L2855" s="9" t="s">
        <v>17744</v>
      </c>
      <c r="M2855" s="9" t="s">
        <v>17760</v>
      </c>
      <c r="N2855" s="9" t="s">
        <v>17746</v>
      </c>
      <c r="O2855" s="9" t="s">
        <v>15733</v>
      </c>
      <c r="P2855" s="9" t="s">
        <v>17748</v>
      </c>
      <c r="Q2855" s="11" t="s">
        <v>17917</v>
      </c>
      <c r="R2855" s="11" t="s">
        <v>17917</v>
      </c>
      <c r="S2855" s="11" t="s">
        <v>17750</v>
      </c>
    </row>
    <row r="2856" spans="1:19" x14ac:dyDescent="0.2">
      <c r="A2856" s="11" t="s">
        <v>34383</v>
      </c>
      <c r="B2856" s="9" t="s">
        <v>34384</v>
      </c>
      <c r="C2856" s="9" t="s">
        <v>34385</v>
      </c>
      <c r="D2856" s="9" t="s">
        <v>34386</v>
      </c>
      <c r="E2856" s="9" t="s">
        <v>17740</v>
      </c>
      <c r="F2856" s="9" t="s">
        <v>34387</v>
      </c>
      <c r="G2856" s="9" t="s">
        <v>17740</v>
      </c>
      <c r="H2856" s="11" t="s">
        <v>15397</v>
      </c>
      <c r="I2856" s="11" t="s">
        <v>15396</v>
      </c>
      <c r="J2856" s="11" t="s">
        <v>15397</v>
      </c>
      <c r="K2856" s="9" t="s">
        <v>34388</v>
      </c>
      <c r="L2856" s="9" t="s">
        <v>17759</v>
      </c>
      <c r="M2856" s="9" t="s">
        <v>17760</v>
      </c>
      <c r="N2856" s="9" t="s">
        <v>17746</v>
      </c>
      <c r="O2856" s="9" t="s">
        <v>15733</v>
      </c>
      <c r="P2856" s="9" t="s">
        <v>17748</v>
      </c>
      <c r="Q2856" s="11" t="s">
        <v>17825</v>
      </c>
      <c r="R2856" s="11" t="s">
        <v>17825</v>
      </c>
      <c r="S2856" s="11" t="s">
        <v>17750</v>
      </c>
    </row>
    <row r="2857" spans="1:19" x14ac:dyDescent="0.2">
      <c r="A2857" s="11" t="s">
        <v>34389</v>
      </c>
      <c r="B2857" s="9" t="s">
        <v>34390</v>
      </c>
      <c r="C2857" s="9" t="s">
        <v>34391</v>
      </c>
      <c r="D2857" s="9" t="s">
        <v>34392</v>
      </c>
      <c r="E2857" s="9" t="s">
        <v>17748</v>
      </c>
      <c r="F2857" s="9" t="s">
        <v>34393</v>
      </c>
      <c r="G2857" s="9" t="s">
        <v>17740</v>
      </c>
      <c r="H2857" s="11" t="s">
        <v>11519</v>
      </c>
      <c r="I2857" s="11" t="s">
        <v>11518</v>
      </c>
      <c r="J2857" s="11" t="s">
        <v>11518</v>
      </c>
      <c r="K2857" s="9" t="s">
        <v>17758</v>
      </c>
      <c r="L2857" s="9" t="s">
        <v>17759</v>
      </c>
      <c r="M2857" s="9" t="s">
        <v>17769</v>
      </c>
      <c r="N2857" s="9" t="s">
        <v>17746</v>
      </c>
      <c r="O2857" s="9" t="s">
        <v>17866</v>
      </c>
      <c r="P2857" s="9" t="s">
        <v>17748</v>
      </c>
      <c r="Q2857" s="11" t="s">
        <v>17762</v>
      </c>
      <c r="R2857" s="11" t="s">
        <v>17762</v>
      </c>
      <c r="S2857" s="11" t="s">
        <v>17750</v>
      </c>
    </row>
    <row r="2858" spans="1:19" x14ac:dyDescent="0.2">
      <c r="A2858" s="11" t="s">
        <v>34394</v>
      </c>
      <c r="B2858" s="9" t="s">
        <v>34395</v>
      </c>
      <c r="C2858" s="9" t="s">
        <v>34396</v>
      </c>
      <c r="D2858" s="9" t="s">
        <v>34397</v>
      </c>
      <c r="E2858" s="9" t="s">
        <v>17740</v>
      </c>
      <c r="F2858" s="9" t="s">
        <v>17741</v>
      </c>
      <c r="G2858" s="9" t="s">
        <v>17740</v>
      </c>
      <c r="H2858" s="11" t="s">
        <v>34398</v>
      </c>
      <c r="I2858" s="11" t="s">
        <v>34399</v>
      </c>
      <c r="J2858" s="11" t="s">
        <v>34399</v>
      </c>
      <c r="K2858" s="9" t="s">
        <v>34400</v>
      </c>
      <c r="L2858" s="9" t="s">
        <v>17744</v>
      </c>
      <c r="M2858" s="9" t="s">
        <v>17760</v>
      </c>
      <c r="N2858" s="9" t="s">
        <v>17746</v>
      </c>
      <c r="O2858" s="9" t="s">
        <v>17807</v>
      </c>
      <c r="P2858" s="9" t="s">
        <v>17748</v>
      </c>
      <c r="Q2858" s="11" t="s">
        <v>17762</v>
      </c>
      <c r="R2858" s="11" t="s">
        <v>17762</v>
      </c>
      <c r="S2858" s="11" t="s">
        <v>17750</v>
      </c>
    </row>
    <row r="2859" spans="1:19" x14ac:dyDescent="0.2">
      <c r="A2859" s="11" t="s">
        <v>34401</v>
      </c>
      <c r="B2859" s="9" t="s">
        <v>34402</v>
      </c>
      <c r="C2859" s="9" t="s">
        <v>34403</v>
      </c>
      <c r="D2859" s="9" t="s">
        <v>34404</v>
      </c>
      <c r="E2859" s="9" t="s">
        <v>17740</v>
      </c>
      <c r="F2859" s="9" t="s">
        <v>17741</v>
      </c>
      <c r="G2859" s="9" t="s">
        <v>17740</v>
      </c>
      <c r="H2859" s="11" t="s">
        <v>34405</v>
      </c>
      <c r="I2859" s="11" t="s">
        <v>34406</v>
      </c>
      <c r="J2859" s="11" t="s">
        <v>34406</v>
      </c>
      <c r="K2859" s="9" t="s">
        <v>17783</v>
      </c>
      <c r="L2859" s="9" t="s">
        <v>17744</v>
      </c>
      <c r="M2859" s="9" t="s">
        <v>17760</v>
      </c>
      <c r="N2859" s="9" t="s">
        <v>17746</v>
      </c>
      <c r="O2859" s="9" t="s">
        <v>34407</v>
      </c>
      <c r="P2859" s="9" t="s">
        <v>17748</v>
      </c>
      <c r="Q2859" s="11" t="s">
        <v>18059</v>
      </c>
      <c r="R2859" s="11" t="s">
        <v>18059</v>
      </c>
      <c r="S2859" s="11" t="s">
        <v>17750</v>
      </c>
    </row>
    <row r="2860" spans="1:19" x14ac:dyDescent="0.2">
      <c r="A2860" s="11" t="s">
        <v>34408</v>
      </c>
      <c r="B2860" s="9" t="s">
        <v>34409</v>
      </c>
      <c r="C2860" s="9" t="s">
        <v>34410</v>
      </c>
      <c r="D2860" s="9" t="s">
        <v>34411</v>
      </c>
      <c r="E2860" s="9" t="s">
        <v>17740</v>
      </c>
      <c r="F2860" s="9" t="s">
        <v>17741</v>
      </c>
      <c r="G2860" s="9" t="s">
        <v>17740</v>
      </c>
      <c r="H2860" s="11" t="s">
        <v>2268</v>
      </c>
      <c r="I2860" s="11" t="s">
        <v>2267</v>
      </c>
      <c r="J2860" s="11" t="s">
        <v>2267</v>
      </c>
      <c r="K2860" s="9" t="s">
        <v>18727</v>
      </c>
      <c r="L2860" s="9" t="s">
        <v>18158</v>
      </c>
      <c r="M2860" s="9" t="s">
        <v>18289</v>
      </c>
      <c r="N2860" s="9" t="s">
        <v>17746</v>
      </c>
      <c r="O2860" s="9" t="s">
        <v>18363</v>
      </c>
      <c r="P2860" s="9" t="s">
        <v>17748</v>
      </c>
      <c r="Q2860" s="11" t="s">
        <v>18251</v>
      </c>
      <c r="R2860" s="11" t="s">
        <v>18251</v>
      </c>
      <c r="S2860" s="11" t="s">
        <v>17750</v>
      </c>
    </row>
    <row r="2861" spans="1:19" x14ac:dyDescent="0.2">
      <c r="A2861" s="11" t="s">
        <v>34412</v>
      </c>
      <c r="B2861" s="9" t="s">
        <v>34413</v>
      </c>
      <c r="C2861" s="9" t="s">
        <v>34414</v>
      </c>
      <c r="D2861" s="9" t="s">
        <v>34415</v>
      </c>
      <c r="E2861" s="9" t="s">
        <v>17740</v>
      </c>
      <c r="F2861" s="9" t="s">
        <v>17741</v>
      </c>
      <c r="G2861" s="9" t="s">
        <v>17740</v>
      </c>
      <c r="H2861" s="11" t="s">
        <v>10766</v>
      </c>
      <c r="I2861" s="11" t="s">
        <v>10765</v>
      </c>
      <c r="J2861" s="11" t="s">
        <v>10766</v>
      </c>
      <c r="K2861" s="9" t="s">
        <v>19057</v>
      </c>
      <c r="L2861" s="9" t="s">
        <v>20446</v>
      </c>
      <c r="M2861" s="9" t="s">
        <v>17760</v>
      </c>
      <c r="N2861" s="9" t="s">
        <v>17746</v>
      </c>
      <c r="O2861" s="9" t="s">
        <v>24072</v>
      </c>
      <c r="P2861" s="9" t="s">
        <v>17748</v>
      </c>
      <c r="Q2861" s="11" t="s">
        <v>17984</v>
      </c>
      <c r="R2861" s="11" t="s">
        <v>17984</v>
      </c>
      <c r="S2861" s="11" t="s">
        <v>17750</v>
      </c>
    </row>
    <row r="2862" spans="1:19" x14ac:dyDescent="0.2">
      <c r="A2862" s="11" t="s">
        <v>34416</v>
      </c>
      <c r="B2862" s="9" t="s">
        <v>34417</v>
      </c>
      <c r="C2862" s="9" t="s">
        <v>34418</v>
      </c>
      <c r="D2862" s="9" t="s">
        <v>34419</v>
      </c>
      <c r="E2862" s="9" t="s">
        <v>17740</v>
      </c>
      <c r="F2862" s="9" t="s">
        <v>17741</v>
      </c>
      <c r="G2862" s="9" t="s">
        <v>17740</v>
      </c>
      <c r="H2862" s="11" t="s">
        <v>34420</v>
      </c>
      <c r="I2862" s="11" t="s">
        <v>34421</v>
      </c>
      <c r="J2862" s="11" t="s">
        <v>34421</v>
      </c>
      <c r="K2862" s="9" t="s">
        <v>19161</v>
      </c>
      <c r="L2862" s="9" t="s">
        <v>17759</v>
      </c>
      <c r="M2862" s="9" t="s">
        <v>17760</v>
      </c>
      <c r="N2862" s="9" t="s">
        <v>17746</v>
      </c>
      <c r="O2862" s="9" t="s">
        <v>18363</v>
      </c>
      <c r="P2862" s="9" t="s">
        <v>17748</v>
      </c>
      <c r="Q2862" s="11" t="s">
        <v>17917</v>
      </c>
      <c r="R2862" s="11" t="s">
        <v>17917</v>
      </c>
      <c r="S2862" s="11" t="s">
        <v>17750</v>
      </c>
    </row>
    <row r="2863" spans="1:19" x14ac:dyDescent="0.2">
      <c r="A2863" s="11" t="s">
        <v>34422</v>
      </c>
      <c r="B2863" s="9" t="s">
        <v>34423</v>
      </c>
      <c r="C2863" s="9" t="s">
        <v>34424</v>
      </c>
      <c r="D2863" s="9" t="s">
        <v>34425</v>
      </c>
      <c r="E2863" s="9" t="s">
        <v>17748</v>
      </c>
      <c r="F2863" s="9" t="s">
        <v>34426</v>
      </c>
      <c r="G2863" s="9" t="s">
        <v>17740</v>
      </c>
      <c r="H2863" s="11" t="s">
        <v>17741</v>
      </c>
      <c r="I2863" s="11" t="s">
        <v>34427</v>
      </c>
      <c r="J2863" s="11" t="s">
        <v>34427</v>
      </c>
      <c r="K2863" s="9" t="s">
        <v>34428</v>
      </c>
      <c r="L2863" s="9" t="s">
        <v>17759</v>
      </c>
      <c r="M2863" s="9" t="s">
        <v>17769</v>
      </c>
      <c r="N2863" s="9" t="s">
        <v>17746</v>
      </c>
      <c r="O2863" s="9" t="s">
        <v>34429</v>
      </c>
      <c r="P2863" s="9" t="s">
        <v>17748</v>
      </c>
      <c r="Q2863" s="11" t="s">
        <v>18356</v>
      </c>
      <c r="R2863" s="11" t="s">
        <v>18356</v>
      </c>
      <c r="S2863" s="11" t="s">
        <v>17750</v>
      </c>
    </row>
    <row r="2864" spans="1:19" x14ac:dyDescent="0.2">
      <c r="A2864" s="11" t="s">
        <v>34430</v>
      </c>
      <c r="B2864" s="9" t="s">
        <v>34431</v>
      </c>
      <c r="C2864" s="9" t="s">
        <v>34432</v>
      </c>
      <c r="D2864" s="9" t="s">
        <v>34433</v>
      </c>
      <c r="E2864" s="9" t="s">
        <v>17740</v>
      </c>
      <c r="F2864" s="9" t="s">
        <v>17741</v>
      </c>
      <c r="G2864" s="9" t="s">
        <v>17740</v>
      </c>
      <c r="H2864" s="11" t="s">
        <v>7145</v>
      </c>
      <c r="I2864" s="11" t="s">
        <v>7144</v>
      </c>
      <c r="J2864" s="11" t="s">
        <v>7144</v>
      </c>
      <c r="K2864" s="9" t="s">
        <v>831</v>
      </c>
      <c r="L2864" s="9" t="s">
        <v>17759</v>
      </c>
      <c r="M2864" s="9" t="s">
        <v>17983</v>
      </c>
      <c r="N2864" s="9" t="s">
        <v>17746</v>
      </c>
      <c r="O2864" s="9" t="s">
        <v>18009</v>
      </c>
      <c r="P2864" s="9" t="s">
        <v>17748</v>
      </c>
      <c r="Q2864" s="11" t="s">
        <v>17808</v>
      </c>
      <c r="R2864" s="11" t="s">
        <v>17808</v>
      </c>
      <c r="S2864" s="11" t="s">
        <v>17750</v>
      </c>
    </row>
    <row r="2865" spans="1:19" x14ac:dyDescent="0.2">
      <c r="A2865" s="11" t="s">
        <v>34434</v>
      </c>
      <c r="B2865" s="9" t="s">
        <v>34435</v>
      </c>
      <c r="C2865" s="9" t="s">
        <v>34436</v>
      </c>
      <c r="D2865" s="9" t="s">
        <v>34437</v>
      </c>
      <c r="E2865" s="9" t="s">
        <v>17740</v>
      </c>
      <c r="F2865" s="9" t="s">
        <v>17741</v>
      </c>
      <c r="G2865" s="9" t="s">
        <v>17740</v>
      </c>
      <c r="H2865" s="11" t="s">
        <v>4272</v>
      </c>
      <c r="I2865" s="11" t="s">
        <v>4271</v>
      </c>
      <c r="J2865" s="11" t="s">
        <v>4271</v>
      </c>
      <c r="K2865" s="9" t="s">
        <v>970</v>
      </c>
      <c r="L2865" s="9" t="s">
        <v>17759</v>
      </c>
      <c r="M2865" s="9" t="s">
        <v>21309</v>
      </c>
      <c r="N2865" s="9" t="s">
        <v>17746</v>
      </c>
      <c r="O2865" s="9" t="s">
        <v>20276</v>
      </c>
      <c r="P2865" s="9" t="s">
        <v>17748</v>
      </c>
      <c r="Q2865" s="11" t="s">
        <v>18059</v>
      </c>
      <c r="R2865" s="11" t="s">
        <v>18059</v>
      </c>
      <c r="S2865" s="11" t="s">
        <v>17750</v>
      </c>
    </row>
    <row r="2866" spans="1:19" x14ac:dyDescent="0.2">
      <c r="A2866" s="11" t="s">
        <v>34438</v>
      </c>
      <c r="B2866" s="9" t="s">
        <v>34439</v>
      </c>
      <c r="C2866" s="9" t="s">
        <v>34440</v>
      </c>
      <c r="D2866" s="9" t="s">
        <v>34441</v>
      </c>
      <c r="E2866" s="9" t="s">
        <v>17740</v>
      </c>
      <c r="F2866" s="9" t="s">
        <v>34442</v>
      </c>
      <c r="G2866" s="9" t="s">
        <v>17740</v>
      </c>
      <c r="H2866" s="11" t="s">
        <v>4583</v>
      </c>
      <c r="I2866" s="11" t="s">
        <v>4582</v>
      </c>
      <c r="J2866" s="11" t="s">
        <v>4582</v>
      </c>
      <c r="K2866" s="9" t="s">
        <v>91</v>
      </c>
      <c r="L2866" s="9" t="s">
        <v>18001</v>
      </c>
      <c r="M2866" s="9" t="s">
        <v>34443</v>
      </c>
      <c r="N2866" s="9" t="s">
        <v>17746</v>
      </c>
      <c r="O2866" s="9" t="s">
        <v>18009</v>
      </c>
      <c r="P2866" s="9" t="s">
        <v>17748</v>
      </c>
      <c r="Q2866" s="11" t="s">
        <v>18364</v>
      </c>
      <c r="R2866" s="11" t="s">
        <v>18364</v>
      </c>
      <c r="S2866" s="11" t="s">
        <v>17750</v>
      </c>
    </row>
    <row r="2867" spans="1:19" x14ac:dyDescent="0.2">
      <c r="A2867" s="11" t="s">
        <v>34444</v>
      </c>
      <c r="B2867" s="9" t="s">
        <v>34445</v>
      </c>
      <c r="C2867" s="9" t="s">
        <v>34446</v>
      </c>
      <c r="D2867" s="9" t="s">
        <v>34447</v>
      </c>
      <c r="E2867" s="9" t="s">
        <v>17748</v>
      </c>
      <c r="F2867" s="9" t="s">
        <v>34448</v>
      </c>
      <c r="G2867" s="9" t="s">
        <v>17740</v>
      </c>
      <c r="H2867" s="11" t="s">
        <v>12044</v>
      </c>
      <c r="I2867" s="11" t="s">
        <v>12043</v>
      </c>
      <c r="J2867" s="11" t="s">
        <v>12043</v>
      </c>
      <c r="K2867" s="9" t="s">
        <v>26253</v>
      </c>
      <c r="L2867" s="9" t="s">
        <v>17759</v>
      </c>
      <c r="M2867" s="9" t="s">
        <v>17769</v>
      </c>
      <c r="N2867" s="9" t="s">
        <v>17746</v>
      </c>
      <c r="O2867" s="9" t="s">
        <v>34449</v>
      </c>
      <c r="P2867" s="9" t="s">
        <v>17748</v>
      </c>
      <c r="Q2867" s="11" t="s">
        <v>17917</v>
      </c>
      <c r="R2867" s="11" t="s">
        <v>17917</v>
      </c>
      <c r="S2867" s="11" t="s">
        <v>17750</v>
      </c>
    </row>
    <row r="2868" spans="1:19" x14ac:dyDescent="0.2">
      <c r="A2868" s="11" t="s">
        <v>34450</v>
      </c>
      <c r="B2868" s="9" t="s">
        <v>34451</v>
      </c>
      <c r="C2868" s="9" t="s">
        <v>34452</v>
      </c>
      <c r="D2868" s="9" t="s">
        <v>34453</v>
      </c>
      <c r="E2868" s="9" t="s">
        <v>17740</v>
      </c>
      <c r="F2868" s="9" t="s">
        <v>34454</v>
      </c>
      <c r="G2868" s="9" t="s">
        <v>17740</v>
      </c>
      <c r="H2868" s="11" t="s">
        <v>5566</v>
      </c>
      <c r="I2868" s="11" t="s">
        <v>5565</v>
      </c>
      <c r="J2868" s="11" t="s">
        <v>5565</v>
      </c>
      <c r="K2868" s="9" t="s">
        <v>303</v>
      </c>
      <c r="L2868" s="9" t="s">
        <v>17759</v>
      </c>
      <c r="M2868" s="9" t="s">
        <v>17769</v>
      </c>
      <c r="N2868" s="9" t="s">
        <v>17746</v>
      </c>
      <c r="O2868" s="9" t="s">
        <v>34455</v>
      </c>
      <c r="P2868" s="9" t="s">
        <v>17748</v>
      </c>
      <c r="Q2868" s="11" t="s">
        <v>18080</v>
      </c>
      <c r="R2868" s="11" t="s">
        <v>18080</v>
      </c>
      <c r="S2868" s="11" t="s">
        <v>17750</v>
      </c>
    </row>
    <row r="2869" spans="1:19" x14ac:dyDescent="0.2">
      <c r="A2869" s="11" t="s">
        <v>34456</v>
      </c>
      <c r="B2869" s="9" t="s">
        <v>34457</v>
      </c>
      <c r="C2869" s="9" t="s">
        <v>34458</v>
      </c>
      <c r="D2869" s="9" t="s">
        <v>34459</v>
      </c>
      <c r="E2869" s="9" t="s">
        <v>17740</v>
      </c>
      <c r="F2869" s="9" t="s">
        <v>17741</v>
      </c>
      <c r="G2869" s="9" t="s">
        <v>17740</v>
      </c>
      <c r="H2869" s="11" t="s">
        <v>34460</v>
      </c>
      <c r="I2869" s="11" t="s">
        <v>17741</v>
      </c>
      <c r="J2869" s="11" t="s">
        <v>34460</v>
      </c>
      <c r="K2869" s="9" t="s">
        <v>18570</v>
      </c>
      <c r="L2869" s="9" t="s">
        <v>17744</v>
      </c>
      <c r="M2869" s="9" t="s">
        <v>17741</v>
      </c>
      <c r="N2869" s="9" t="s">
        <v>17746</v>
      </c>
      <c r="O2869" s="9" t="s">
        <v>28487</v>
      </c>
      <c r="P2869" s="9" t="s">
        <v>17748</v>
      </c>
      <c r="Q2869" s="11" t="s">
        <v>17762</v>
      </c>
      <c r="R2869" s="11" t="s">
        <v>17762</v>
      </c>
      <c r="S2869" s="11" t="s">
        <v>17750</v>
      </c>
    </row>
    <row r="2870" spans="1:19" x14ac:dyDescent="0.2">
      <c r="A2870" s="11" t="s">
        <v>34461</v>
      </c>
      <c r="B2870" s="9" t="s">
        <v>34462</v>
      </c>
      <c r="C2870" s="9" t="s">
        <v>34463</v>
      </c>
      <c r="D2870" s="9" t="s">
        <v>34464</v>
      </c>
      <c r="E2870" s="9" t="s">
        <v>17740</v>
      </c>
      <c r="F2870" s="9" t="s">
        <v>17741</v>
      </c>
      <c r="G2870" s="9" t="s">
        <v>17740</v>
      </c>
      <c r="H2870" s="11" t="s">
        <v>12266</v>
      </c>
      <c r="I2870" s="11" t="s">
        <v>12265</v>
      </c>
      <c r="J2870" s="11" t="s">
        <v>12266</v>
      </c>
      <c r="K2870" s="9" t="s">
        <v>91</v>
      </c>
      <c r="L2870" s="9" t="s">
        <v>17759</v>
      </c>
      <c r="M2870" s="9" t="s">
        <v>18685</v>
      </c>
      <c r="N2870" s="9" t="s">
        <v>17746</v>
      </c>
      <c r="O2870" s="9" t="s">
        <v>24279</v>
      </c>
      <c r="P2870" s="9" t="s">
        <v>17748</v>
      </c>
      <c r="Q2870" s="11" t="s">
        <v>17917</v>
      </c>
      <c r="R2870" s="11" t="s">
        <v>17917</v>
      </c>
      <c r="S2870" s="11" t="s">
        <v>17750</v>
      </c>
    </row>
    <row r="2871" spans="1:19" x14ac:dyDescent="0.2">
      <c r="A2871" s="11" t="s">
        <v>34465</v>
      </c>
      <c r="B2871" s="9" t="s">
        <v>34466</v>
      </c>
      <c r="C2871" s="9" t="s">
        <v>34467</v>
      </c>
      <c r="D2871" s="9" t="s">
        <v>34468</v>
      </c>
      <c r="E2871" s="9" t="s">
        <v>17740</v>
      </c>
      <c r="F2871" s="9" t="s">
        <v>34469</v>
      </c>
      <c r="G2871" s="9" t="s">
        <v>17740</v>
      </c>
      <c r="H2871" s="11" t="s">
        <v>5177</v>
      </c>
      <c r="I2871" s="11" t="s">
        <v>5176</v>
      </c>
      <c r="J2871" s="11" t="s">
        <v>5176</v>
      </c>
      <c r="K2871" s="9" t="s">
        <v>21146</v>
      </c>
      <c r="L2871" s="9" t="s">
        <v>17759</v>
      </c>
      <c r="M2871" s="9" t="s">
        <v>34470</v>
      </c>
      <c r="N2871" s="9" t="s">
        <v>17746</v>
      </c>
      <c r="O2871" s="9" t="s">
        <v>34471</v>
      </c>
      <c r="P2871" s="9" t="s">
        <v>17748</v>
      </c>
      <c r="Q2871" s="11" t="s">
        <v>17749</v>
      </c>
      <c r="R2871" s="11" t="s">
        <v>17749</v>
      </c>
      <c r="S2871" s="11" t="s">
        <v>17750</v>
      </c>
    </row>
    <row r="2872" spans="1:19" x14ac:dyDescent="0.2">
      <c r="A2872" s="11" t="s">
        <v>34472</v>
      </c>
      <c r="B2872" s="9" t="s">
        <v>34473</v>
      </c>
      <c r="C2872" s="9" t="s">
        <v>34474</v>
      </c>
      <c r="D2872" s="9" t="s">
        <v>34475</v>
      </c>
      <c r="E2872" s="9" t="s">
        <v>17740</v>
      </c>
      <c r="F2872" s="9" t="s">
        <v>34476</v>
      </c>
      <c r="G2872" s="9" t="s">
        <v>17740</v>
      </c>
      <c r="H2872" s="11" t="s">
        <v>8021</v>
      </c>
      <c r="I2872" s="11" t="s">
        <v>8020</v>
      </c>
      <c r="J2872" s="11" t="s">
        <v>8020</v>
      </c>
      <c r="K2872" s="9" t="s">
        <v>18570</v>
      </c>
      <c r="L2872" s="9" t="s">
        <v>17744</v>
      </c>
      <c r="M2872" s="9" t="s">
        <v>17760</v>
      </c>
      <c r="N2872" s="9" t="s">
        <v>17746</v>
      </c>
      <c r="O2872" s="9" t="s">
        <v>24344</v>
      </c>
      <c r="P2872" s="9" t="s">
        <v>17748</v>
      </c>
      <c r="Q2872" s="11" t="s">
        <v>18798</v>
      </c>
      <c r="R2872" s="11" t="s">
        <v>18798</v>
      </c>
      <c r="S2872" s="11" t="s">
        <v>17750</v>
      </c>
    </row>
    <row r="2873" spans="1:19" x14ac:dyDescent="0.2">
      <c r="A2873" s="11" t="s">
        <v>34477</v>
      </c>
      <c r="B2873" s="9" t="s">
        <v>34478</v>
      </c>
      <c r="C2873" s="9" t="s">
        <v>34479</v>
      </c>
      <c r="D2873" s="9" t="s">
        <v>34480</v>
      </c>
      <c r="E2873" s="9" t="s">
        <v>17748</v>
      </c>
      <c r="F2873" s="9" t="s">
        <v>34481</v>
      </c>
      <c r="G2873" s="9" t="s">
        <v>17740</v>
      </c>
      <c r="H2873" s="11" t="s">
        <v>10900</v>
      </c>
      <c r="I2873" s="11" t="s">
        <v>10899</v>
      </c>
      <c r="J2873" s="11" t="s">
        <v>10899</v>
      </c>
      <c r="K2873" s="9" t="s">
        <v>17758</v>
      </c>
      <c r="L2873" s="9" t="s">
        <v>17759</v>
      </c>
      <c r="M2873" s="9" t="s">
        <v>17817</v>
      </c>
      <c r="N2873" s="9" t="s">
        <v>17746</v>
      </c>
      <c r="O2873" s="9" t="s">
        <v>20367</v>
      </c>
      <c r="P2873" s="9" t="s">
        <v>17748</v>
      </c>
      <c r="Q2873" s="11" t="s">
        <v>17762</v>
      </c>
      <c r="R2873" s="11" t="s">
        <v>17762</v>
      </c>
      <c r="S2873" s="11" t="s">
        <v>17750</v>
      </c>
    </row>
    <row r="2874" spans="1:19" x14ac:dyDescent="0.2">
      <c r="A2874" s="11" t="s">
        <v>34482</v>
      </c>
      <c r="B2874" s="9" t="s">
        <v>34483</v>
      </c>
      <c r="C2874" s="9" t="s">
        <v>34484</v>
      </c>
      <c r="D2874" s="9" t="s">
        <v>34485</v>
      </c>
      <c r="E2874" s="9" t="s">
        <v>17740</v>
      </c>
      <c r="F2874" s="9" t="s">
        <v>17741</v>
      </c>
      <c r="G2874" s="9" t="s">
        <v>17740</v>
      </c>
      <c r="H2874" s="11" t="s">
        <v>34486</v>
      </c>
      <c r="I2874" s="11" t="s">
        <v>34487</v>
      </c>
      <c r="J2874" s="11" t="s">
        <v>34487</v>
      </c>
      <c r="K2874" s="9" t="s">
        <v>17758</v>
      </c>
      <c r="L2874" s="9" t="s">
        <v>17759</v>
      </c>
      <c r="M2874" s="9" t="s">
        <v>17760</v>
      </c>
      <c r="N2874" s="9" t="s">
        <v>17746</v>
      </c>
      <c r="O2874" s="9" t="s">
        <v>28492</v>
      </c>
      <c r="P2874" s="9" t="s">
        <v>17748</v>
      </c>
      <c r="Q2874" s="11" t="s">
        <v>18059</v>
      </c>
      <c r="R2874" s="11" t="s">
        <v>18059</v>
      </c>
      <c r="S2874" s="11" t="s">
        <v>17750</v>
      </c>
    </row>
    <row r="2875" spans="1:19" x14ac:dyDescent="0.2">
      <c r="A2875" s="11" t="s">
        <v>34488</v>
      </c>
      <c r="B2875" s="9" t="s">
        <v>34489</v>
      </c>
      <c r="C2875" s="9" t="s">
        <v>34490</v>
      </c>
      <c r="D2875" s="9" t="s">
        <v>34491</v>
      </c>
      <c r="E2875" s="9" t="s">
        <v>17740</v>
      </c>
      <c r="F2875" s="9" t="s">
        <v>17741</v>
      </c>
      <c r="G2875" s="9" t="s">
        <v>17740</v>
      </c>
      <c r="H2875" s="11" t="s">
        <v>2256</v>
      </c>
      <c r="I2875" s="11" t="s">
        <v>2255</v>
      </c>
      <c r="J2875" s="11" t="s">
        <v>2255</v>
      </c>
      <c r="K2875" s="9" t="s">
        <v>17758</v>
      </c>
      <c r="L2875" s="9" t="s">
        <v>17759</v>
      </c>
      <c r="M2875" s="9" t="s">
        <v>17817</v>
      </c>
      <c r="N2875" s="9" t="s">
        <v>17746</v>
      </c>
      <c r="O2875" s="9" t="s">
        <v>34492</v>
      </c>
      <c r="P2875" s="9" t="s">
        <v>17748</v>
      </c>
      <c r="Q2875" s="11" t="s">
        <v>18251</v>
      </c>
      <c r="R2875" s="11" t="s">
        <v>18251</v>
      </c>
      <c r="S2875" s="11" t="s">
        <v>17750</v>
      </c>
    </row>
    <row r="2876" spans="1:19" x14ac:dyDescent="0.2">
      <c r="A2876" s="11" t="s">
        <v>34493</v>
      </c>
      <c r="B2876" s="9" t="s">
        <v>34494</v>
      </c>
      <c r="C2876" s="9" t="s">
        <v>34495</v>
      </c>
      <c r="D2876" s="9" t="s">
        <v>34496</v>
      </c>
      <c r="E2876" s="9" t="s">
        <v>17740</v>
      </c>
      <c r="F2876" s="9" t="s">
        <v>17741</v>
      </c>
      <c r="G2876" s="9" t="s">
        <v>17740</v>
      </c>
      <c r="H2876" s="11" t="s">
        <v>7222</v>
      </c>
      <c r="I2876" s="11" t="s">
        <v>7221</v>
      </c>
      <c r="J2876" s="11" t="s">
        <v>7221</v>
      </c>
      <c r="K2876" s="9" t="s">
        <v>19447</v>
      </c>
      <c r="L2876" s="9" t="s">
        <v>17759</v>
      </c>
      <c r="M2876" s="9" t="s">
        <v>17760</v>
      </c>
      <c r="N2876" s="9" t="s">
        <v>17746</v>
      </c>
      <c r="O2876" s="9" t="s">
        <v>34497</v>
      </c>
      <c r="P2876" s="9" t="s">
        <v>17748</v>
      </c>
      <c r="Q2876" s="11" t="s">
        <v>18201</v>
      </c>
      <c r="R2876" s="11" t="s">
        <v>18201</v>
      </c>
      <c r="S2876" s="11" t="s">
        <v>17750</v>
      </c>
    </row>
    <row r="2877" spans="1:19" x14ac:dyDescent="0.2">
      <c r="A2877" s="11" t="s">
        <v>34498</v>
      </c>
      <c r="B2877" s="9" t="s">
        <v>34499</v>
      </c>
      <c r="C2877" s="9" t="s">
        <v>34500</v>
      </c>
      <c r="D2877" s="9" t="s">
        <v>34501</v>
      </c>
      <c r="E2877" s="9" t="s">
        <v>17740</v>
      </c>
      <c r="F2877" s="9" t="s">
        <v>17741</v>
      </c>
      <c r="G2877" s="9" t="s">
        <v>17740</v>
      </c>
      <c r="H2877" s="11" t="s">
        <v>17741</v>
      </c>
      <c r="I2877" s="11" t="s">
        <v>2279</v>
      </c>
      <c r="J2877" s="11" t="s">
        <v>2279</v>
      </c>
      <c r="K2877" s="9" t="s">
        <v>1708</v>
      </c>
      <c r="L2877" s="9" t="s">
        <v>17991</v>
      </c>
      <c r="M2877" s="9" t="s">
        <v>17769</v>
      </c>
      <c r="N2877" s="9" t="s">
        <v>17746</v>
      </c>
      <c r="O2877" s="9" t="s">
        <v>32020</v>
      </c>
      <c r="P2877" s="9" t="s">
        <v>17748</v>
      </c>
      <c r="Q2877" s="11" t="s">
        <v>18556</v>
      </c>
      <c r="R2877" s="11" t="s">
        <v>18556</v>
      </c>
      <c r="S2877" s="11" t="s">
        <v>17750</v>
      </c>
    </row>
    <row r="2878" spans="1:19" x14ac:dyDescent="0.2">
      <c r="A2878" s="11" t="s">
        <v>34502</v>
      </c>
      <c r="B2878" s="9" t="s">
        <v>34503</v>
      </c>
      <c r="C2878" s="9" t="s">
        <v>34504</v>
      </c>
      <c r="D2878" s="9" t="s">
        <v>34505</v>
      </c>
      <c r="E2878" s="9" t="s">
        <v>17740</v>
      </c>
      <c r="F2878" s="9" t="s">
        <v>17741</v>
      </c>
      <c r="G2878" s="9" t="s">
        <v>17740</v>
      </c>
      <c r="H2878" s="11" t="s">
        <v>12982</v>
      </c>
      <c r="I2878" s="11" t="s">
        <v>12981</v>
      </c>
      <c r="J2878" s="11" t="s">
        <v>17741</v>
      </c>
      <c r="K2878" s="9" t="s">
        <v>17783</v>
      </c>
      <c r="L2878" s="9" t="s">
        <v>17759</v>
      </c>
      <c r="M2878" s="9" t="s">
        <v>18790</v>
      </c>
      <c r="N2878" s="9" t="s">
        <v>17746</v>
      </c>
      <c r="O2878" s="9" t="s">
        <v>20367</v>
      </c>
      <c r="P2878" s="9" t="s">
        <v>17748</v>
      </c>
      <c r="Q2878" s="11" t="s">
        <v>18370</v>
      </c>
      <c r="R2878" s="11" t="s">
        <v>18370</v>
      </c>
      <c r="S2878" s="11" t="s">
        <v>17750</v>
      </c>
    </row>
    <row r="2879" spans="1:19" x14ac:dyDescent="0.2">
      <c r="A2879" s="11" t="s">
        <v>34506</v>
      </c>
      <c r="B2879" s="9" t="s">
        <v>34507</v>
      </c>
      <c r="C2879" s="9" t="s">
        <v>34508</v>
      </c>
      <c r="D2879" s="9" t="s">
        <v>34509</v>
      </c>
      <c r="E2879" s="9" t="s">
        <v>17740</v>
      </c>
      <c r="F2879" s="9" t="s">
        <v>34510</v>
      </c>
      <c r="G2879" s="9" t="s">
        <v>17740</v>
      </c>
      <c r="H2879" s="11" t="s">
        <v>2271</v>
      </c>
      <c r="I2879" s="11" t="s">
        <v>2270</v>
      </c>
      <c r="J2879" s="11" t="s">
        <v>2270</v>
      </c>
      <c r="K2879" s="9" t="s">
        <v>18661</v>
      </c>
      <c r="L2879" s="9" t="s">
        <v>17759</v>
      </c>
      <c r="M2879" s="9" t="s">
        <v>18109</v>
      </c>
      <c r="N2879" s="9" t="s">
        <v>17746</v>
      </c>
      <c r="O2879" s="9" t="s">
        <v>3255</v>
      </c>
      <c r="P2879" s="9" t="s">
        <v>17748</v>
      </c>
      <c r="Q2879" s="11" t="s">
        <v>18059</v>
      </c>
      <c r="R2879" s="11" t="s">
        <v>18059</v>
      </c>
      <c r="S2879" s="11" t="s">
        <v>17750</v>
      </c>
    </row>
    <row r="2880" spans="1:19" x14ac:dyDescent="0.2">
      <c r="A2880" s="11" t="s">
        <v>34511</v>
      </c>
      <c r="B2880" s="9" t="s">
        <v>34512</v>
      </c>
      <c r="C2880" s="9" t="s">
        <v>34513</v>
      </c>
      <c r="D2880" s="9" t="s">
        <v>34514</v>
      </c>
      <c r="E2880" s="9" t="s">
        <v>17740</v>
      </c>
      <c r="F2880" s="9" t="s">
        <v>34515</v>
      </c>
      <c r="G2880" s="9" t="s">
        <v>17740</v>
      </c>
      <c r="H2880" s="11" t="s">
        <v>2224</v>
      </c>
      <c r="I2880" s="11" t="s">
        <v>2223</v>
      </c>
      <c r="J2880" s="11" t="s">
        <v>2223</v>
      </c>
      <c r="K2880" s="9" t="s">
        <v>2225</v>
      </c>
      <c r="L2880" s="9" t="s">
        <v>17759</v>
      </c>
      <c r="M2880" s="9" t="s">
        <v>34516</v>
      </c>
      <c r="N2880" s="9" t="s">
        <v>17746</v>
      </c>
      <c r="O2880" s="9" t="s">
        <v>18125</v>
      </c>
      <c r="P2880" s="9" t="s">
        <v>17748</v>
      </c>
      <c r="Q2880" s="11" t="s">
        <v>18314</v>
      </c>
      <c r="R2880" s="11" t="s">
        <v>18314</v>
      </c>
      <c r="S2880" s="11" t="s">
        <v>17750</v>
      </c>
    </row>
    <row r="2881" spans="1:19" x14ac:dyDescent="0.2">
      <c r="A2881" s="11" t="s">
        <v>34517</v>
      </c>
      <c r="B2881" s="9" t="s">
        <v>34518</v>
      </c>
      <c r="C2881" s="9" t="s">
        <v>34519</v>
      </c>
      <c r="D2881" s="9" t="s">
        <v>34520</v>
      </c>
      <c r="E2881" s="9" t="s">
        <v>17740</v>
      </c>
      <c r="F2881" s="9" t="s">
        <v>34521</v>
      </c>
      <c r="G2881" s="9" t="s">
        <v>17740</v>
      </c>
      <c r="H2881" s="11" t="s">
        <v>2477</v>
      </c>
      <c r="I2881" s="11" t="s">
        <v>2476</v>
      </c>
      <c r="J2881" s="11" t="s">
        <v>2476</v>
      </c>
      <c r="K2881" s="9" t="s">
        <v>34522</v>
      </c>
      <c r="L2881" s="9" t="s">
        <v>17744</v>
      </c>
      <c r="M2881" s="9" t="s">
        <v>34523</v>
      </c>
      <c r="N2881" s="9" t="s">
        <v>17746</v>
      </c>
      <c r="O2881" s="9" t="s">
        <v>18125</v>
      </c>
      <c r="P2881" s="9" t="s">
        <v>17748</v>
      </c>
      <c r="Q2881" s="11" t="s">
        <v>20251</v>
      </c>
      <c r="R2881" s="11" t="s">
        <v>20251</v>
      </c>
      <c r="S2881" s="11" t="s">
        <v>17750</v>
      </c>
    </row>
    <row r="2882" spans="1:19" x14ac:dyDescent="0.2">
      <c r="A2882" s="11" t="s">
        <v>34524</v>
      </c>
      <c r="B2882" s="9" t="s">
        <v>34525</v>
      </c>
      <c r="C2882" s="9" t="s">
        <v>34526</v>
      </c>
      <c r="D2882" s="9" t="s">
        <v>34527</v>
      </c>
      <c r="E2882" s="9" t="s">
        <v>17740</v>
      </c>
      <c r="F2882" s="9" t="s">
        <v>34528</v>
      </c>
      <c r="G2882" s="9" t="s">
        <v>17740</v>
      </c>
      <c r="H2882" s="11" t="s">
        <v>34529</v>
      </c>
      <c r="I2882" s="11" t="s">
        <v>34530</v>
      </c>
      <c r="J2882" s="11" t="s">
        <v>34530</v>
      </c>
      <c r="K2882" s="9" t="s">
        <v>970</v>
      </c>
      <c r="L2882" s="9" t="s">
        <v>17744</v>
      </c>
      <c r="M2882" s="9" t="s">
        <v>17760</v>
      </c>
      <c r="N2882" s="9" t="s">
        <v>17746</v>
      </c>
      <c r="O2882" s="9" t="s">
        <v>19917</v>
      </c>
      <c r="P2882" s="9" t="s">
        <v>17748</v>
      </c>
      <c r="Q2882" s="11" t="s">
        <v>17784</v>
      </c>
      <c r="R2882" s="11" t="s">
        <v>17784</v>
      </c>
      <c r="S2882" s="11" t="s">
        <v>17750</v>
      </c>
    </row>
    <row r="2883" spans="1:19" x14ac:dyDescent="0.2">
      <c r="A2883" s="11" t="s">
        <v>34531</v>
      </c>
      <c r="B2883" s="9" t="s">
        <v>34532</v>
      </c>
      <c r="C2883" s="9" t="s">
        <v>34533</v>
      </c>
      <c r="D2883" s="9" t="s">
        <v>34534</v>
      </c>
      <c r="E2883" s="9" t="s">
        <v>17740</v>
      </c>
      <c r="F2883" s="9" t="s">
        <v>34535</v>
      </c>
      <c r="G2883" s="9" t="s">
        <v>17740</v>
      </c>
      <c r="H2883" s="11" t="s">
        <v>2202</v>
      </c>
      <c r="I2883" s="11" t="s">
        <v>2201</v>
      </c>
      <c r="J2883" s="11" t="s">
        <v>2201</v>
      </c>
      <c r="K2883" s="9" t="s">
        <v>19094</v>
      </c>
      <c r="L2883" s="9" t="s">
        <v>17759</v>
      </c>
      <c r="M2883" s="9" t="s">
        <v>18233</v>
      </c>
      <c r="N2883" s="9" t="s">
        <v>17746</v>
      </c>
      <c r="O2883" s="9" t="s">
        <v>22302</v>
      </c>
      <c r="P2883" s="9" t="s">
        <v>17748</v>
      </c>
      <c r="Q2883" s="11" t="s">
        <v>19515</v>
      </c>
      <c r="R2883" s="11" t="s">
        <v>19515</v>
      </c>
      <c r="S2883" s="11" t="s">
        <v>17750</v>
      </c>
    </row>
    <row r="2884" spans="1:19" x14ac:dyDescent="0.2">
      <c r="A2884" s="11" t="s">
        <v>34536</v>
      </c>
      <c r="B2884" s="9" t="s">
        <v>34537</v>
      </c>
      <c r="C2884" s="9" t="s">
        <v>34538</v>
      </c>
      <c r="D2884" s="9" t="s">
        <v>34539</v>
      </c>
      <c r="E2884" s="9" t="s">
        <v>17740</v>
      </c>
      <c r="F2884" s="9" t="s">
        <v>34540</v>
      </c>
      <c r="G2884" s="9" t="s">
        <v>17740</v>
      </c>
      <c r="H2884" s="11" t="s">
        <v>2228</v>
      </c>
      <c r="I2884" s="11" t="s">
        <v>2227</v>
      </c>
      <c r="J2884" s="11" t="s">
        <v>2227</v>
      </c>
      <c r="K2884" s="9" t="s">
        <v>19094</v>
      </c>
      <c r="L2884" s="9" t="s">
        <v>17759</v>
      </c>
      <c r="M2884" s="9" t="s">
        <v>17817</v>
      </c>
      <c r="N2884" s="9" t="s">
        <v>17746</v>
      </c>
      <c r="O2884" s="9" t="s">
        <v>19814</v>
      </c>
      <c r="P2884" s="9" t="s">
        <v>17748</v>
      </c>
      <c r="Q2884" s="11" t="s">
        <v>20251</v>
      </c>
      <c r="R2884" s="11" t="s">
        <v>20251</v>
      </c>
      <c r="S2884" s="11" t="s">
        <v>17750</v>
      </c>
    </row>
    <row r="2885" spans="1:19" x14ac:dyDescent="0.2">
      <c r="A2885" s="11" t="s">
        <v>34541</v>
      </c>
      <c r="B2885" s="9" t="s">
        <v>34542</v>
      </c>
      <c r="C2885" s="9" t="s">
        <v>34543</v>
      </c>
      <c r="D2885" s="9" t="s">
        <v>34544</v>
      </c>
      <c r="E2885" s="9" t="s">
        <v>17740</v>
      </c>
      <c r="F2885" s="9" t="s">
        <v>17741</v>
      </c>
      <c r="G2885" s="9" t="s">
        <v>17740</v>
      </c>
      <c r="H2885" s="11" t="s">
        <v>2196</v>
      </c>
      <c r="I2885" s="11" t="s">
        <v>2195</v>
      </c>
      <c r="J2885" s="11" t="s">
        <v>2195</v>
      </c>
      <c r="K2885" s="9" t="s">
        <v>19584</v>
      </c>
      <c r="L2885" s="9" t="s">
        <v>17759</v>
      </c>
      <c r="M2885" s="9" t="s">
        <v>23266</v>
      </c>
      <c r="N2885" s="9" t="s">
        <v>17746</v>
      </c>
      <c r="O2885" s="9" t="s">
        <v>34545</v>
      </c>
      <c r="P2885" s="9" t="s">
        <v>17748</v>
      </c>
      <c r="Q2885" s="11" t="s">
        <v>18433</v>
      </c>
      <c r="R2885" s="11" t="s">
        <v>18433</v>
      </c>
      <c r="S2885" s="11" t="s">
        <v>17750</v>
      </c>
    </row>
    <row r="2886" spans="1:19" x14ac:dyDescent="0.2">
      <c r="A2886" s="11" t="s">
        <v>34546</v>
      </c>
      <c r="B2886" s="9" t="s">
        <v>34547</v>
      </c>
      <c r="C2886" s="9" t="s">
        <v>34548</v>
      </c>
      <c r="D2886" s="9" t="s">
        <v>34549</v>
      </c>
      <c r="E2886" s="9" t="s">
        <v>17740</v>
      </c>
      <c r="F2886" s="9" t="s">
        <v>17741</v>
      </c>
      <c r="G2886" s="9" t="s">
        <v>17740</v>
      </c>
      <c r="H2886" s="11" t="s">
        <v>34550</v>
      </c>
      <c r="I2886" s="11" t="s">
        <v>34551</v>
      </c>
      <c r="J2886" s="11" t="s">
        <v>34551</v>
      </c>
      <c r="K2886" s="9" t="s">
        <v>17783</v>
      </c>
      <c r="L2886" s="9" t="s">
        <v>17759</v>
      </c>
      <c r="M2886" s="9" t="s">
        <v>17817</v>
      </c>
      <c r="N2886" s="9" t="s">
        <v>17746</v>
      </c>
      <c r="O2886" s="9" t="s">
        <v>28126</v>
      </c>
      <c r="P2886" s="9" t="s">
        <v>17748</v>
      </c>
      <c r="Q2886" s="11" t="s">
        <v>18608</v>
      </c>
      <c r="R2886" s="11" t="s">
        <v>18608</v>
      </c>
      <c r="S2886" s="11" t="s">
        <v>17750</v>
      </c>
    </row>
    <row r="2887" spans="1:19" x14ac:dyDescent="0.2">
      <c r="A2887" s="11" t="s">
        <v>34552</v>
      </c>
      <c r="B2887" s="9" t="s">
        <v>34553</v>
      </c>
      <c r="C2887" s="9" t="s">
        <v>34554</v>
      </c>
      <c r="D2887" s="9" t="s">
        <v>34555</v>
      </c>
      <c r="E2887" s="9" t="s">
        <v>17748</v>
      </c>
      <c r="F2887" s="9" t="s">
        <v>34556</v>
      </c>
      <c r="G2887" s="9" t="s">
        <v>17740</v>
      </c>
      <c r="H2887" s="11" t="s">
        <v>34557</v>
      </c>
      <c r="I2887" s="11" t="s">
        <v>34558</v>
      </c>
      <c r="J2887" s="11" t="s">
        <v>34558</v>
      </c>
      <c r="K2887" s="9" t="s">
        <v>776</v>
      </c>
      <c r="L2887" s="9" t="s">
        <v>17759</v>
      </c>
      <c r="M2887" s="9" t="s">
        <v>20970</v>
      </c>
      <c r="N2887" s="9" t="s">
        <v>17746</v>
      </c>
      <c r="O2887" s="9" t="s">
        <v>34559</v>
      </c>
      <c r="P2887" s="9" t="s">
        <v>17748</v>
      </c>
      <c r="Q2887" s="11" t="s">
        <v>17984</v>
      </c>
      <c r="R2887" s="11" t="s">
        <v>17984</v>
      </c>
      <c r="S2887" s="11" t="s">
        <v>17750</v>
      </c>
    </row>
    <row r="2888" spans="1:19" x14ac:dyDescent="0.2">
      <c r="A2888" s="11" t="s">
        <v>34560</v>
      </c>
      <c r="B2888" s="9" t="s">
        <v>34561</v>
      </c>
      <c r="C2888" s="9" t="s">
        <v>34562</v>
      </c>
      <c r="D2888" s="9" t="s">
        <v>34563</v>
      </c>
      <c r="E2888" s="9" t="s">
        <v>17740</v>
      </c>
      <c r="F2888" s="9" t="s">
        <v>17741</v>
      </c>
      <c r="G2888" s="9" t="s">
        <v>17740</v>
      </c>
      <c r="H2888" s="11" t="s">
        <v>4634</v>
      </c>
      <c r="I2888" s="11" t="s">
        <v>4633</v>
      </c>
      <c r="J2888" s="11" t="s">
        <v>4633</v>
      </c>
      <c r="K2888" s="9" t="s">
        <v>34564</v>
      </c>
      <c r="L2888" s="9" t="s">
        <v>18001</v>
      </c>
      <c r="M2888" s="9" t="s">
        <v>18177</v>
      </c>
      <c r="N2888" s="9" t="s">
        <v>17746</v>
      </c>
      <c r="O2888" s="9" t="s">
        <v>34565</v>
      </c>
      <c r="P2888" s="9" t="s">
        <v>17748</v>
      </c>
      <c r="Q2888" s="11" t="s">
        <v>18678</v>
      </c>
      <c r="R2888" s="11" t="s">
        <v>18678</v>
      </c>
      <c r="S2888" s="11" t="s">
        <v>17750</v>
      </c>
    </row>
    <row r="2889" spans="1:19" x14ac:dyDescent="0.2">
      <c r="A2889" s="11" t="s">
        <v>34566</v>
      </c>
      <c r="B2889" s="9" t="s">
        <v>34567</v>
      </c>
      <c r="C2889" s="9" t="s">
        <v>34568</v>
      </c>
      <c r="D2889" s="9" t="s">
        <v>34569</v>
      </c>
      <c r="E2889" s="9" t="s">
        <v>17740</v>
      </c>
      <c r="F2889" s="9" t="s">
        <v>17741</v>
      </c>
      <c r="G2889" s="9" t="s">
        <v>17740</v>
      </c>
      <c r="H2889" s="11" t="s">
        <v>34570</v>
      </c>
      <c r="I2889" s="11" t="s">
        <v>34571</v>
      </c>
      <c r="J2889" s="11" t="s">
        <v>34571</v>
      </c>
      <c r="K2889" s="9" t="s">
        <v>24653</v>
      </c>
      <c r="L2889" s="9" t="s">
        <v>17759</v>
      </c>
      <c r="M2889" s="9" t="s">
        <v>19571</v>
      </c>
      <c r="N2889" s="9" t="s">
        <v>17746</v>
      </c>
      <c r="O2889" s="9" t="s">
        <v>18721</v>
      </c>
      <c r="P2889" s="9" t="s">
        <v>17748</v>
      </c>
      <c r="Q2889" s="11" t="s">
        <v>25031</v>
      </c>
      <c r="R2889" s="11" t="s">
        <v>25031</v>
      </c>
      <c r="S2889" s="11" t="s">
        <v>17750</v>
      </c>
    </row>
    <row r="2890" spans="1:19" x14ac:dyDescent="0.2">
      <c r="A2890" s="11" t="s">
        <v>34572</v>
      </c>
      <c r="B2890" s="9" t="s">
        <v>34573</v>
      </c>
      <c r="C2890" s="9" t="s">
        <v>34574</v>
      </c>
      <c r="D2890" s="9" t="s">
        <v>34575</v>
      </c>
      <c r="E2890" s="9" t="s">
        <v>17740</v>
      </c>
      <c r="F2890" s="9" t="s">
        <v>17741</v>
      </c>
      <c r="G2890" s="9" t="s">
        <v>17740</v>
      </c>
      <c r="H2890" s="11" t="s">
        <v>4876</v>
      </c>
      <c r="I2890" s="11" t="s">
        <v>4875</v>
      </c>
      <c r="J2890" s="11" t="s">
        <v>4875</v>
      </c>
      <c r="K2890" s="9" t="s">
        <v>19396</v>
      </c>
      <c r="L2890" s="9" t="s">
        <v>17744</v>
      </c>
      <c r="M2890" s="9" t="s">
        <v>17769</v>
      </c>
      <c r="N2890" s="9" t="s">
        <v>17746</v>
      </c>
      <c r="O2890" s="9" t="s">
        <v>27652</v>
      </c>
      <c r="P2890" s="9" t="s">
        <v>17748</v>
      </c>
      <c r="Q2890" s="11" t="s">
        <v>17819</v>
      </c>
      <c r="R2890" s="11" t="s">
        <v>17819</v>
      </c>
      <c r="S2890" s="11" t="s">
        <v>17750</v>
      </c>
    </row>
    <row r="2891" spans="1:19" x14ac:dyDescent="0.2">
      <c r="A2891" s="11" t="s">
        <v>34576</v>
      </c>
      <c r="B2891" s="9" t="s">
        <v>34577</v>
      </c>
      <c r="C2891" s="9" t="s">
        <v>34578</v>
      </c>
      <c r="D2891" s="9" t="s">
        <v>34579</v>
      </c>
      <c r="E2891" s="9" t="s">
        <v>17748</v>
      </c>
      <c r="F2891" s="9" t="s">
        <v>34580</v>
      </c>
      <c r="G2891" s="9" t="s">
        <v>17740</v>
      </c>
      <c r="H2891" s="11" t="s">
        <v>34581</v>
      </c>
      <c r="I2891" s="11" t="s">
        <v>34582</v>
      </c>
      <c r="J2891" s="11" t="s">
        <v>34582</v>
      </c>
      <c r="K2891" s="9" t="s">
        <v>20225</v>
      </c>
      <c r="L2891" s="9" t="s">
        <v>17744</v>
      </c>
      <c r="M2891" s="9" t="s">
        <v>17760</v>
      </c>
      <c r="N2891" s="9" t="s">
        <v>17746</v>
      </c>
      <c r="O2891" s="9" t="s">
        <v>34583</v>
      </c>
      <c r="P2891" s="9" t="s">
        <v>17748</v>
      </c>
      <c r="Q2891" s="11" t="s">
        <v>17808</v>
      </c>
      <c r="R2891" s="11" t="s">
        <v>17808</v>
      </c>
      <c r="S2891" s="11" t="s">
        <v>17750</v>
      </c>
    </row>
    <row r="2892" spans="1:19" x14ac:dyDescent="0.2">
      <c r="A2892" s="11" t="s">
        <v>34584</v>
      </c>
      <c r="B2892" s="9" t="s">
        <v>34585</v>
      </c>
      <c r="C2892" s="9" t="s">
        <v>34586</v>
      </c>
      <c r="D2892" s="9" t="s">
        <v>34587</v>
      </c>
      <c r="E2892" s="9" t="s">
        <v>17740</v>
      </c>
      <c r="F2892" s="9" t="s">
        <v>17741</v>
      </c>
      <c r="G2892" s="9" t="s">
        <v>17740</v>
      </c>
      <c r="H2892" s="11" t="s">
        <v>6153</v>
      </c>
      <c r="I2892" s="11" t="s">
        <v>6152</v>
      </c>
      <c r="J2892" s="11" t="s">
        <v>6152</v>
      </c>
      <c r="K2892" s="9" t="s">
        <v>19202</v>
      </c>
      <c r="L2892" s="9" t="s">
        <v>17759</v>
      </c>
      <c r="M2892" s="9" t="s">
        <v>24928</v>
      </c>
      <c r="N2892" s="9" t="s">
        <v>17746</v>
      </c>
      <c r="O2892" s="9" t="s">
        <v>34588</v>
      </c>
      <c r="P2892" s="9" t="s">
        <v>17748</v>
      </c>
      <c r="Q2892" s="11" t="s">
        <v>17749</v>
      </c>
      <c r="R2892" s="11" t="s">
        <v>17749</v>
      </c>
      <c r="S2892" s="11" t="s">
        <v>17750</v>
      </c>
    </row>
    <row r="2893" spans="1:19" x14ac:dyDescent="0.2">
      <c r="A2893" s="11" t="s">
        <v>34589</v>
      </c>
      <c r="B2893" s="9" t="s">
        <v>34590</v>
      </c>
      <c r="C2893" s="9" t="s">
        <v>34591</v>
      </c>
      <c r="D2893" s="9" t="s">
        <v>34592</v>
      </c>
      <c r="E2893" s="9" t="s">
        <v>17740</v>
      </c>
      <c r="F2893" s="9" t="s">
        <v>17741</v>
      </c>
      <c r="G2893" s="9" t="s">
        <v>17740</v>
      </c>
      <c r="H2893" s="11" t="s">
        <v>34593</v>
      </c>
      <c r="I2893" s="11" t="s">
        <v>34594</v>
      </c>
      <c r="J2893" s="11" t="s">
        <v>34594</v>
      </c>
      <c r="K2893" s="9" t="s">
        <v>19447</v>
      </c>
      <c r="L2893" s="9" t="s">
        <v>17744</v>
      </c>
      <c r="M2893" s="9" t="s">
        <v>17760</v>
      </c>
      <c r="N2893" s="9" t="s">
        <v>17746</v>
      </c>
      <c r="O2893" s="9" t="s">
        <v>33366</v>
      </c>
      <c r="P2893" s="9" t="s">
        <v>17748</v>
      </c>
      <c r="Q2893" s="11" t="s">
        <v>18272</v>
      </c>
      <c r="R2893" s="11" t="s">
        <v>18272</v>
      </c>
      <c r="S2893" s="11" t="s">
        <v>17750</v>
      </c>
    </row>
    <row r="2894" spans="1:19" x14ac:dyDescent="0.2">
      <c r="A2894" s="11" t="s">
        <v>34595</v>
      </c>
      <c r="B2894" s="9" t="s">
        <v>34596</v>
      </c>
      <c r="C2894" s="9" t="s">
        <v>34597</v>
      </c>
      <c r="D2894" s="9" t="s">
        <v>34598</v>
      </c>
      <c r="E2894" s="9" t="s">
        <v>17740</v>
      </c>
      <c r="F2894" s="9" t="s">
        <v>17741</v>
      </c>
      <c r="G2894" s="9" t="s">
        <v>17740</v>
      </c>
      <c r="H2894" s="11" t="s">
        <v>34599</v>
      </c>
      <c r="I2894" s="11" t="s">
        <v>34600</v>
      </c>
      <c r="J2894" s="11" t="s">
        <v>34600</v>
      </c>
      <c r="K2894" s="9" t="s">
        <v>22076</v>
      </c>
      <c r="L2894" s="9" t="s">
        <v>17744</v>
      </c>
      <c r="M2894" s="9" t="s">
        <v>34601</v>
      </c>
      <c r="N2894" s="9" t="s">
        <v>17746</v>
      </c>
      <c r="O2894" s="9" t="s">
        <v>18514</v>
      </c>
      <c r="P2894" s="9" t="s">
        <v>17748</v>
      </c>
      <c r="Q2894" s="11" t="s">
        <v>17771</v>
      </c>
      <c r="R2894" s="11" t="s">
        <v>17771</v>
      </c>
      <c r="S2894" s="11" t="s">
        <v>17750</v>
      </c>
    </row>
    <row r="2895" spans="1:19" x14ac:dyDescent="0.2">
      <c r="A2895" s="11" t="s">
        <v>34602</v>
      </c>
      <c r="B2895" s="9" t="s">
        <v>34603</v>
      </c>
      <c r="C2895" s="9" t="s">
        <v>34604</v>
      </c>
      <c r="D2895" s="9" t="s">
        <v>34605</v>
      </c>
      <c r="E2895" s="9" t="s">
        <v>17740</v>
      </c>
      <c r="F2895" s="9" t="s">
        <v>17741</v>
      </c>
      <c r="G2895" s="9" t="s">
        <v>17740</v>
      </c>
      <c r="H2895" s="11" t="s">
        <v>2555</v>
      </c>
      <c r="I2895" s="11" t="s">
        <v>2554</v>
      </c>
      <c r="J2895" s="11" t="s">
        <v>2554</v>
      </c>
      <c r="K2895" s="9" t="s">
        <v>18520</v>
      </c>
      <c r="L2895" s="9" t="s">
        <v>17759</v>
      </c>
      <c r="M2895" s="9" t="s">
        <v>17817</v>
      </c>
      <c r="N2895" s="9" t="s">
        <v>17746</v>
      </c>
      <c r="O2895" s="9" t="s">
        <v>24849</v>
      </c>
      <c r="P2895" s="9" t="s">
        <v>17748</v>
      </c>
      <c r="Q2895" s="11" t="s">
        <v>18059</v>
      </c>
      <c r="R2895" s="11" t="s">
        <v>18059</v>
      </c>
      <c r="S2895" s="11" t="s">
        <v>17750</v>
      </c>
    </row>
    <row r="2896" spans="1:19" x14ac:dyDescent="0.2">
      <c r="A2896" s="11" t="s">
        <v>34606</v>
      </c>
      <c r="B2896" s="9" t="s">
        <v>34607</v>
      </c>
      <c r="C2896" s="9" t="s">
        <v>34608</v>
      </c>
      <c r="D2896" s="9" t="s">
        <v>34609</v>
      </c>
      <c r="E2896" s="9" t="s">
        <v>17740</v>
      </c>
      <c r="F2896" s="9" t="s">
        <v>17741</v>
      </c>
      <c r="G2896" s="9" t="s">
        <v>17740</v>
      </c>
      <c r="H2896" s="11" t="s">
        <v>34610</v>
      </c>
      <c r="I2896" s="11" t="s">
        <v>34611</v>
      </c>
      <c r="J2896" s="11" t="s">
        <v>34611</v>
      </c>
      <c r="K2896" s="9" t="s">
        <v>24794</v>
      </c>
      <c r="L2896" s="9" t="s">
        <v>17744</v>
      </c>
      <c r="M2896" s="9" t="s">
        <v>19012</v>
      </c>
      <c r="N2896" s="9" t="s">
        <v>17746</v>
      </c>
      <c r="O2896" s="9" t="s">
        <v>19769</v>
      </c>
      <c r="P2896" s="9" t="s">
        <v>17748</v>
      </c>
      <c r="Q2896" s="11" t="s">
        <v>18556</v>
      </c>
      <c r="R2896" s="11" t="s">
        <v>18556</v>
      </c>
      <c r="S2896" s="11" t="s">
        <v>17750</v>
      </c>
    </row>
    <row r="2897" spans="1:19" x14ac:dyDescent="0.2">
      <c r="A2897" s="11" t="s">
        <v>34612</v>
      </c>
      <c r="B2897" s="9" t="s">
        <v>34613</v>
      </c>
      <c r="C2897" s="9" t="s">
        <v>34614</v>
      </c>
      <c r="D2897" s="9" t="s">
        <v>34615</v>
      </c>
      <c r="E2897" s="9" t="s">
        <v>17740</v>
      </c>
      <c r="F2897" s="9" t="s">
        <v>17741</v>
      </c>
      <c r="G2897" s="9" t="s">
        <v>17740</v>
      </c>
      <c r="H2897" s="11" t="s">
        <v>34616</v>
      </c>
      <c r="I2897" s="11" t="s">
        <v>34617</v>
      </c>
      <c r="J2897" s="11" t="s">
        <v>34617</v>
      </c>
      <c r="K2897" s="9" t="s">
        <v>18404</v>
      </c>
      <c r="L2897" s="9" t="s">
        <v>17759</v>
      </c>
      <c r="M2897" s="9" t="s">
        <v>18533</v>
      </c>
      <c r="N2897" s="9" t="s">
        <v>17746</v>
      </c>
      <c r="O2897" s="9" t="s">
        <v>21424</v>
      </c>
      <c r="P2897" s="9" t="s">
        <v>17748</v>
      </c>
      <c r="Q2897" s="11" t="s">
        <v>18147</v>
      </c>
      <c r="R2897" s="11" t="s">
        <v>18147</v>
      </c>
      <c r="S2897" s="11" t="s">
        <v>17750</v>
      </c>
    </row>
    <row r="2898" spans="1:19" x14ac:dyDescent="0.2">
      <c r="A2898" s="11" t="s">
        <v>34618</v>
      </c>
      <c r="B2898" s="9" t="s">
        <v>34619</v>
      </c>
      <c r="C2898" s="9" t="s">
        <v>34620</v>
      </c>
      <c r="D2898" s="9" t="s">
        <v>34621</v>
      </c>
      <c r="E2898" s="9" t="s">
        <v>17740</v>
      </c>
      <c r="F2898" s="9" t="s">
        <v>17741</v>
      </c>
      <c r="G2898" s="9" t="s">
        <v>17740</v>
      </c>
      <c r="H2898" s="11" t="s">
        <v>17741</v>
      </c>
      <c r="I2898" s="11" t="s">
        <v>34622</v>
      </c>
      <c r="J2898" s="11" t="s">
        <v>34622</v>
      </c>
      <c r="K2898" s="9" t="s">
        <v>34623</v>
      </c>
      <c r="L2898" s="9" t="s">
        <v>17759</v>
      </c>
      <c r="M2898" s="9" t="s">
        <v>17760</v>
      </c>
      <c r="N2898" s="9" t="s">
        <v>17746</v>
      </c>
      <c r="O2898" s="9" t="s">
        <v>17800</v>
      </c>
      <c r="P2898" s="9" t="s">
        <v>17748</v>
      </c>
      <c r="Q2898" s="11" t="s">
        <v>18341</v>
      </c>
      <c r="R2898" s="11" t="s">
        <v>18341</v>
      </c>
      <c r="S2898" s="11" t="s">
        <v>17750</v>
      </c>
    </row>
    <row r="2899" spans="1:19" x14ac:dyDescent="0.2">
      <c r="A2899" s="11" t="s">
        <v>34624</v>
      </c>
      <c r="B2899" s="9" t="s">
        <v>34625</v>
      </c>
      <c r="C2899" s="9" t="s">
        <v>34626</v>
      </c>
      <c r="D2899" s="9" t="s">
        <v>34627</v>
      </c>
      <c r="E2899" s="9" t="s">
        <v>17740</v>
      </c>
      <c r="F2899" s="9" t="s">
        <v>17741</v>
      </c>
      <c r="G2899" s="9" t="s">
        <v>17740</v>
      </c>
      <c r="H2899" s="11" t="s">
        <v>34628</v>
      </c>
      <c r="I2899" s="11" t="s">
        <v>34629</v>
      </c>
      <c r="J2899" s="11" t="s">
        <v>34629</v>
      </c>
      <c r="K2899" s="9" t="s">
        <v>55</v>
      </c>
      <c r="L2899" s="9" t="s">
        <v>17759</v>
      </c>
      <c r="M2899" s="9" t="s">
        <v>18583</v>
      </c>
      <c r="N2899" s="9" t="s">
        <v>17746</v>
      </c>
      <c r="O2899" s="9" t="s">
        <v>18088</v>
      </c>
      <c r="P2899" s="9" t="s">
        <v>17748</v>
      </c>
      <c r="Q2899" s="11" t="s">
        <v>17867</v>
      </c>
      <c r="R2899" s="11" t="s">
        <v>17867</v>
      </c>
      <c r="S2899" s="11" t="s">
        <v>17750</v>
      </c>
    </row>
    <row r="2900" spans="1:19" x14ac:dyDescent="0.2">
      <c r="A2900" s="11" t="s">
        <v>34630</v>
      </c>
      <c r="B2900" s="9" t="s">
        <v>34631</v>
      </c>
      <c r="C2900" s="9" t="s">
        <v>34632</v>
      </c>
      <c r="D2900" s="9" t="s">
        <v>34633</v>
      </c>
      <c r="E2900" s="9" t="s">
        <v>17748</v>
      </c>
      <c r="F2900" s="9" t="s">
        <v>34634</v>
      </c>
      <c r="G2900" s="9" t="s">
        <v>17740</v>
      </c>
      <c r="H2900" s="11" t="s">
        <v>6295</v>
      </c>
      <c r="I2900" s="11" t="s">
        <v>6294</v>
      </c>
      <c r="J2900" s="11" t="s">
        <v>6294</v>
      </c>
      <c r="K2900" s="9" t="s">
        <v>91</v>
      </c>
      <c r="L2900" s="9" t="s">
        <v>18001</v>
      </c>
      <c r="M2900" s="9" t="s">
        <v>34635</v>
      </c>
      <c r="N2900" s="9" t="s">
        <v>17746</v>
      </c>
      <c r="O2900" s="9" t="s">
        <v>18088</v>
      </c>
      <c r="P2900" s="9" t="s">
        <v>17748</v>
      </c>
      <c r="Q2900" s="11" t="s">
        <v>17792</v>
      </c>
      <c r="R2900" s="11" t="s">
        <v>17792</v>
      </c>
      <c r="S2900" s="11" t="s">
        <v>17750</v>
      </c>
    </row>
    <row r="2901" spans="1:19" x14ac:dyDescent="0.2">
      <c r="A2901" s="11" t="s">
        <v>34636</v>
      </c>
      <c r="B2901" s="9" t="s">
        <v>34637</v>
      </c>
      <c r="C2901" s="9" t="s">
        <v>34638</v>
      </c>
      <c r="D2901" s="9" t="s">
        <v>34639</v>
      </c>
      <c r="E2901" s="9" t="s">
        <v>17748</v>
      </c>
      <c r="F2901" s="9" t="s">
        <v>34640</v>
      </c>
      <c r="G2901" s="9" t="s">
        <v>17740</v>
      </c>
      <c r="H2901" s="11" t="s">
        <v>9226</v>
      </c>
      <c r="I2901" s="11" t="s">
        <v>9225</v>
      </c>
      <c r="J2901" s="11" t="s">
        <v>9225</v>
      </c>
      <c r="K2901" s="9" t="s">
        <v>91</v>
      </c>
      <c r="L2901" s="9" t="s">
        <v>18001</v>
      </c>
      <c r="M2901" s="9" t="s">
        <v>34641</v>
      </c>
      <c r="N2901" s="9" t="s">
        <v>17746</v>
      </c>
      <c r="O2901" s="9" t="s">
        <v>34642</v>
      </c>
      <c r="P2901" s="9" t="s">
        <v>17748</v>
      </c>
      <c r="Q2901" s="11" t="s">
        <v>17994</v>
      </c>
      <c r="R2901" s="11" t="s">
        <v>17994</v>
      </c>
      <c r="S2901" s="11" t="s">
        <v>17750</v>
      </c>
    </row>
    <row r="2902" spans="1:19" x14ac:dyDescent="0.2">
      <c r="A2902" s="11" t="s">
        <v>34643</v>
      </c>
      <c r="B2902" s="9" t="s">
        <v>34644</v>
      </c>
      <c r="C2902" s="9" t="s">
        <v>34645</v>
      </c>
      <c r="D2902" s="9" t="s">
        <v>34646</v>
      </c>
      <c r="E2902" s="9" t="s">
        <v>17740</v>
      </c>
      <c r="F2902" s="9" t="s">
        <v>17741</v>
      </c>
      <c r="G2902" s="9" t="s">
        <v>17740</v>
      </c>
      <c r="H2902" s="11" t="s">
        <v>17741</v>
      </c>
      <c r="I2902" s="11" t="s">
        <v>34647</v>
      </c>
      <c r="J2902" s="11" t="s">
        <v>34647</v>
      </c>
      <c r="K2902" s="9" t="s">
        <v>34648</v>
      </c>
      <c r="L2902" s="9" t="s">
        <v>23607</v>
      </c>
      <c r="M2902" s="9" t="s">
        <v>23325</v>
      </c>
      <c r="N2902" s="9" t="s">
        <v>17746</v>
      </c>
      <c r="O2902" s="9" t="s">
        <v>18882</v>
      </c>
      <c r="P2902" s="9" t="s">
        <v>17748</v>
      </c>
      <c r="Q2902" s="11" t="s">
        <v>19335</v>
      </c>
      <c r="R2902" s="11" t="s">
        <v>19335</v>
      </c>
      <c r="S2902" s="11" t="s">
        <v>17750</v>
      </c>
    </row>
    <row r="2903" spans="1:19" x14ac:dyDescent="0.2">
      <c r="A2903" s="11" t="s">
        <v>34649</v>
      </c>
      <c r="B2903" s="9" t="s">
        <v>34650</v>
      </c>
      <c r="C2903" s="9" t="s">
        <v>34651</v>
      </c>
      <c r="D2903" s="9" t="s">
        <v>34652</v>
      </c>
      <c r="E2903" s="9" t="s">
        <v>17740</v>
      </c>
      <c r="F2903" s="9" t="s">
        <v>34653</v>
      </c>
      <c r="G2903" s="9" t="s">
        <v>17740</v>
      </c>
      <c r="H2903" s="11" t="s">
        <v>34654</v>
      </c>
      <c r="I2903" s="11" t="s">
        <v>34655</v>
      </c>
      <c r="J2903" s="11" t="s">
        <v>34655</v>
      </c>
      <c r="K2903" s="9" t="s">
        <v>34656</v>
      </c>
      <c r="L2903" s="9" t="s">
        <v>18242</v>
      </c>
      <c r="M2903" s="9" t="s">
        <v>18211</v>
      </c>
      <c r="N2903" s="9" t="s">
        <v>17746</v>
      </c>
      <c r="O2903" s="9" t="s">
        <v>34657</v>
      </c>
      <c r="P2903" s="9" t="s">
        <v>17748</v>
      </c>
      <c r="Q2903" s="11" t="s">
        <v>18922</v>
      </c>
      <c r="R2903" s="11" t="s">
        <v>18922</v>
      </c>
      <c r="S2903" s="11" t="s">
        <v>17750</v>
      </c>
    </row>
    <row r="2904" spans="1:19" x14ac:dyDescent="0.2">
      <c r="A2904" s="11" t="s">
        <v>34658</v>
      </c>
      <c r="B2904" s="9" t="s">
        <v>34659</v>
      </c>
      <c r="C2904" s="9" t="s">
        <v>34660</v>
      </c>
      <c r="D2904" s="9" t="s">
        <v>34661</v>
      </c>
      <c r="E2904" s="9" t="s">
        <v>17740</v>
      </c>
      <c r="F2904" s="9" t="s">
        <v>34662</v>
      </c>
      <c r="G2904" s="9" t="s">
        <v>17740</v>
      </c>
      <c r="H2904" s="11" t="s">
        <v>34663</v>
      </c>
      <c r="I2904" s="11" t="s">
        <v>34664</v>
      </c>
      <c r="J2904" s="11" t="s">
        <v>34664</v>
      </c>
      <c r="K2904" s="9" t="s">
        <v>291</v>
      </c>
      <c r="L2904" s="9" t="s">
        <v>17744</v>
      </c>
      <c r="M2904" s="9" t="s">
        <v>34665</v>
      </c>
      <c r="N2904" s="9" t="s">
        <v>17746</v>
      </c>
      <c r="O2904" s="9" t="s">
        <v>21109</v>
      </c>
      <c r="P2904" s="9" t="s">
        <v>17748</v>
      </c>
      <c r="Q2904" s="11" t="s">
        <v>18960</v>
      </c>
      <c r="R2904" s="11" t="s">
        <v>18960</v>
      </c>
      <c r="S2904" s="11" t="s">
        <v>17750</v>
      </c>
    </row>
    <row r="2905" spans="1:19" x14ac:dyDescent="0.2">
      <c r="A2905" s="11" t="s">
        <v>34666</v>
      </c>
      <c r="B2905" s="9" t="s">
        <v>34667</v>
      </c>
      <c r="C2905" s="9" t="s">
        <v>34668</v>
      </c>
      <c r="D2905" s="9" t="s">
        <v>34669</v>
      </c>
      <c r="E2905" s="9" t="s">
        <v>17740</v>
      </c>
      <c r="F2905" s="9" t="s">
        <v>17741</v>
      </c>
      <c r="G2905" s="9" t="s">
        <v>17740</v>
      </c>
      <c r="H2905" s="11" t="s">
        <v>5314</v>
      </c>
      <c r="I2905" s="11" t="s">
        <v>5313</v>
      </c>
      <c r="J2905" s="11" t="s">
        <v>5313</v>
      </c>
      <c r="K2905" s="9" t="s">
        <v>91</v>
      </c>
      <c r="L2905" s="9" t="s">
        <v>17759</v>
      </c>
      <c r="M2905" s="9" t="s">
        <v>18177</v>
      </c>
      <c r="N2905" s="9" t="s">
        <v>17746</v>
      </c>
      <c r="O2905" s="9" t="s">
        <v>487</v>
      </c>
      <c r="P2905" s="9" t="s">
        <v>17748</v>
      </c>
      <c r="Q2905" s="11" t="s">
        <v>18678</v>
      </c>
      <c r="R2905" s="11" t="s">
        <v>18678</v>
      </c>
      <c r="S2905" s="11" t="s">
        <v>17750</v>
      </c>
    </row>
    <row r="2906" spans="1:19" x14ac:dyDescent="0.2">
      <c r="A2906" s="11" t="s">
        <v>34670</v>
      </c>
      <c r="B2906" s="9" t="s">
        <v>34671</v>
      </c>
      <c r="C2906" s="9" t="s">
        <v>34672</v>
      </c>
      <c r="D2906" s="9" t="s">
        <v>34673</v>
      </c>
      <c r="E2906" s="9" t="s">
        <v>17740</v>
      </c>
      <c r="F2906" s="9" t="s">
        <v>17741</v>
      </c>
      <c r="G2906" s="9" t="s">
        <v>17740</v>
      </c>
      <c r="H2906" s="11" t="s">
        <v>2187</v>
      </c>
      <c r="I2906" s="11" t="s">
        <v>2186</v>
      </c>
      <c r="J2906" s="11" t="s">
        <v>2186</v>
      </c>
      <c r="K2906" s="9" t="s">
        <v>19094</v>
      </c>
      <c r="L2906" s="9" t="s">
        <v>17759</v>
      </c>
      <c r="M2906" s="9" t="s">
        <v>17760</v>
      </c>
      <c r="N2906" s="9" t="s">
        <v>17746</v>
      </c>
      <c r="O2906" s="9" t="s">
        <v>7097</v>
      </c>
      <c r="P2906" s="9" t="s">
        <v>17748</v>
      </c>
      <c r="Q2906" s="11" t="s">
        <v>19515</v>
      </c>
      <c r="R2906" s="11" t="s">
        <v>19515</v>
      </c>
      <c r="S2906" s="11" t="s">
        <v>17750</v>
      </c>
    </row>
    <row r="2907" spans="1:19" x14ac:dyDescent="0.2">
      <c r="A2907" s="11" t="s">
        <v>34674</v>
      </c>
      <c r="B2907" s="9" t="s">
        <v>34675</v>
      </c>
      <c r="C2907" s="9" t="s">
        <v>34676</v>
      </c>
      <c r="D2907" s="9" t="s">
        <v>34677</v>
      </c>
      <c r="E2907" s="9" t="s">
        <v>17748</v>
      </c>
      <c r="F2907" s="9" t="s">
        <v>34678</v>
      </c>
      <c r="G2907" s="9" t="s">
        <v>17740</v>
      </c>
      <c r="H2907" s="11" t="s">
        <v>34679</v>
      </c>
      <c r="I2907" s="11" t="s">
        <v>34680</v>
      </c>
      <c r="J2907" s="11" t="s">
        <v>34680</v>
      </c>
      <c r="K2907" s="9" t="s">
        <v>291</v>
      </c>
      <c r="L2907" s="9" t="s">
        <v>17744</v>
      </c>
      <c r="M2907" s="9" t="s">
        <v>18533</v>
      </c>
      <c r="N2907" s="9" t="s">
        <v>17746</v>
      </c>
      <c r="O2907" s="9" t="s">
        <v>23534</v>
      </c>
      <c r="P2907" s="9" t="s">
        <v>17748</v>
      </c>
      <c r="Q2907" s="11" t="s">
        <v>17994</v>
      </c>
      <c r="R2907" s="11" t="s">
        <v>17994</v>
      </c>
      <c r="S2907" s="11" t="s">
        <v>17750</v>
      </c>
    </row>
    <row r="2908" spans="1:19" x14ac:dyDescent="0.2">
      <c r="A2908" s="11" t="s">
        <v>34681</v>
      </c>
      <c r="B2908" s="9" t="s">
        <v>34682</v>
      </c>
      <c r="C2908" s="9" t="s">
        <v>34683</v>
      </c>
      <c r="D2908" s="9" t="s">
        <v>34684</v>
      </c>
      <c r="E2908" s="9" t="s">
        <v>17740</v>
      </c>
      <c r="F2908" s="9" t="s">
        <v>17741</v>
      </c>
      <c r="G2908" s="9" t="s">
        <v>17740</v>
      </c>
      <c r="H2908" s="11" t="s">
        <v>17741</v>
      </c>
      <c r="I2908" s="11" t="s">
        <v>8187</v>
      </c>
      <c r="J2908" s="11" t="s">
        <v>8187</v>
      </c>
      <c r="K2908" s="9" t="s">
        <v>940</v>
      </c>
      <c r="L2908" s="9" t="s">
        <v>17759</v>
      </c>
      <c r="M2908" s="9" t="s">
        <v>17778</v>
      </c>
      <c r="N2908" s="9" t="s">
        <v>17746</v>
      </c>
      <c r="O2908" s="9" t="s">
        <v>34685</v>
      </c>
      <c r="P2908" s="9" t="s">
        <v>17748</v>
      </c>
      <c r="Q2908" s="11" t="s">
        <v>18798</v>
      </c>
      <c r="R2908" s="11" t="s">
        <v>18798</v>
      </c>
      <c r="S2908" s="11" t="s">
        <v>17750</v>
      </c>
    </row>
    <row r="2909" spans="1:19" x14ac:dyDescent="0.2">
      <c r="A2909" s="11" t="s">
        <v>34686</v>
      </c>
      <c r="B2909" s="9" t="s">
        <v>34687</v>
      </c>
      <c r="C2909" s="9" t="s">
        <v>34688</v>
      </c>
      <c r="D2909" s="9" t="s">
        <v>34689</v>
      </c>
      <c r="E2909" s="9" t="s">
        <v>17740</v>
      </c>
      <c r="F2909" s="9" t="s">
        <v>17741</v>
      </c>
      <c r="G2909" s="9" t="s">
        <v>17740</v>
      </c>
      <c r="H2909" s="11" t="s">
        <v>17741</v>
      </c>
      <c r="I2909" s="11" t="s">
        <v>34690</v>
      </c>
      <c r="J2909" s="11" t="s">
        <v>34690</v>
      </c>
      <c r="K2909" s="9" t="s">
        <v>34691</v>
      </c>
      <c r="L2909" s="9" t="s">
        <v>17759</v>
      </c>
      <c r="M2909" s="9" t="s">
        <v>17778</v>
      </c>
      <c r="N2909" s="9" t="s">
        <v>17746</v>
      </c>
      <c r="O2909" s="9" t="s">
        <v>18340</v>
      </c>
      <c r="P2909" s="9" t="s">
        <v>17748</v>
      </c>
      <c r="Q2909" s="11" t="s">
        <v>18678</v>
      </c>
      <c r="R2909" s="11" t="s">
        <v>18678</v>
      </c>
      <c r="S2909" s="11" t="s">
        <v>17750</v>
      </c>
    </row>
    <row r="2910" spans="1:19" x14ac:dyDescent="0.2">
      <c r="A2910" s="11" t="s">
        <v>34692</v>
      </c>
      <c r="B2910" s="9" t="s">
        <v>34693</v>
      </c>
      <c r="C2910" s="9" t="s">
        <v>34694</v>
      </c>
      <c r="D2910" s="9" t="s">
        <v>34695</v>
      </c>
      <c r="E2910" s="9" t="s">
        <v>17740</v>
      </c>
      <c r="F2910" s="9" t="s">
        <v>28071</v>
      </c>
      <c r="G2910" s="9" t="s">
        <v>17740</v>
      </c>
      <c r="H2910" s="11" t="s">
        <v>2205</v>
      </c>
      <c r="I2910" s="11" t="s">
        <v>2204</v>
      </c>
      <c r="J2910" s="11" t="s">
        <v>2204</v>
      </c>
      <c r="K2910" s="9" t="s">
        <v>1538</v>
      </c>
      <c r="L2910" s="9" t="s">
        <v>17759</v>
      </c>
      <c r="M2910" s="9" t="s">
        <v>17817</v>
      </c>
      <c r="N2910" s="9" t="s">
        <v>17746</v>
      </c>
      <c r="O2910" s="9" t="s">
        <v>21568</v>
      </c>
      <c r="P2910" s="9" t="s">
        <v>17748</v>
      </c>
      <c r="Q2910" s="11" t="s">
        <v>19978</v>
      </c>
      <c r="R2910" s="11" t="s">
        <v>19978</v>
      </c>
      <c r="S2910" s="11" t="s">
        <v>17750</v>
      </c>
    </row>
    <row r="2911" spans="1:19" x14ac:dyDescent="0.2">
      <c r="A2911" s="11" t="s">
        <v>34696</v>
      </c>
      <c r="B2911" s="9" t="s">
        <v>34697</v>
      </c>
      <c r="C2911" s="9" t="s">
        <v>34698</v>
      </c>
      <c r="D2911" s="9" t="s">
        <v>34699</v>
      </c>
      <c r="E2911" s="9" t="s">
        <v>17740</v>
      </c>
      <c r="F2911" s="9" t="s">
        <v>34700</v>
      </c>
      <c r="G2911" s="9" t="s">
        <v>17740</v>
      </c>
      <c r="H2911" s="11" t="s">
        <v>4518</v>
      </c>
      <c r="I2911" s="11" t="s">
        <v>4517</v>
      </c>
      <c r="J2911" s="11" t="s">
        <v>4517</v>
      </c>
      <c r="K2911" s="9" t="s">
        <v>91</v>
      </c>
      <c r="L2911" s="9" t="s">
        <v>17759</v>
      </c>
      <c r="M2911" s="9" t="s">
        <v>17817</v>
      </c>
      <c r="N2911" s="9" t="s">
        <v>17746</v>
      </c>
      <c r="O2911" s="9" t="s">
        <v>5136</v>
      </c>
      <c r="P2911" s="9" t="s">
        <v>17748</v>
      </c>
      <c r="Q2911" s="11" t="s">
        <v>18678</v>
      </c>
      <c r="R2911" s="11" t="s">
        <v>18678</v>
      </c>
      <c r="S2911" s="11" t="s">
        <v>17750</v>
      </c>
    </row>
    <row r="2912" spans="1:19" x14ac:dyDescent="0.2">
      <c r="A2912" s="11" t="s">
        <v>34701</v>
      </c>
      <c r="B2912" s="9" t="s">
        <v>34702</v>
      </c>
      <c r="C2912" s="9" t="s">
        <v>34703</v>
      </c>
      <c r="D2912" s="9" t="s">
        <v>34704</v>
      </c>
      <c r="E2912" s="9" t="s">
        <v>17740</v>
      </c>
      <c r="F2912" s="9" t="s">
        <v>17741</v>
      </c>
      <c r="G2912" s="9" t="s">
        <v>17740</v>
      </c>
      <c r="H2912" s="11" t="s">
        <v>17741</v>
      </c>
      <c r="I2912" s="11" t="s">
        <v>34705</v>
      </c>
      <c r="J2912" s="11" t="s">
        <v>34705</v>
      </c>
      <c r="K2912" s="9" t="s">
        <v>34706</v>
      </c>
      <c r="L2912" s="9" t="s">
        <v>17759</v>
      </c>
      <c r="M2912" s="9" t="s">
        <v>17760</v>
      </c>
      <c r="N2912" s="9" t="s">
        <v>17746</v>
      </c>
      <c r="O2912" s="9" t="s">
        <v>17874</v>
      </c>
      <c r="P2912" s="9" t="s">
        <v>17748</v>
      </c>
      <c r="Q2912" s="11" t="s">
        <v>17749</v>
      </c>
      <c r="R2912" s="11" t="s">
        <v>17749</v>
      </c>
      <c r="S2912" s="11" t="s">
        <v>17750</v>
      </c>
    </row>
    <row r="2913" spans="1:19" x14ac:dyDescent="0.2">
      <c r="A2913" s="11" t="s">
        <v>34707</v>
      </c>
      <c r="B2913" s="9" t="s">
        <v>34708</v>
      </c>
      <c r="C2913" s="9" t="s">
        <v>34709</v>
      </c>
      <c r="D2913" s="9" t="s">
        <v>34710</v>
      </c>
      <c r="E2913" s="9" t="s">
        <v>17740</v>
      </c>
      <c r="F2913" s="9" t="s">
        <v>17741</v>
      </c>
      <c r="G2913" s="9" t="s">
        <v>17740</v>
      </c>
      <c r="H2913" s="11" t="s">
        <v>2214</v>
      </c>
      <c r="I2913" s="11" t="s">
        <v>2213</v>
      </c>
      <c r="J2913" s="11" t="s">
        <v>2213</v>
      </c>
      <c r="K2913" s="9" t="s">
        <v>19952</v>
      </c>
      <c r="L2913" s="9" t="s">
        <v>17759</v>
      </c>
      <c r="M2913" s="9" t="s">
        <v>18583</v>
      </c>
      <c r="N2913" s="9" t="s">
        <v>17746</v>
      </c>
      <c r="O2913" s="9" t="s">
        <v>1675</v>
      </c>
      <c r="P2913" s="9" t="s">
        <v>17748</v>
      </c>
      <c r="Q2913" s="11" t="s">
        <v>18251</v>
      </c>
      <c r="R2913" s="11" t="s">
        <v>18251</v>
      </c>
      <c r="S2913" s="11" t="s">
        <v>17750</v>
      </c>
    </row>
    <row r="2914" spans="1:19" x14ac:dyDescent="0.2">
      <c r="A2914" s="11" t="s">
        <v>34711</v>
      </c>
      <c r="B2914" s="9" t="s">
        <v>34712</v>
      </c>
      <c r="C2914" s="9" t="s">
        <v>34713</v>
      </c>
      <c r="D2914" s="9" t="s">
        <v>34714</v>
      </c>
      <c r="E2914" s="9" t="s">
        <v>17740</v>
      </c>
      <c r="F2914" s="9" t="s">
        <v>34715</v>
      </c>
      <c r="G2914" s="9" t="s">
        <v>17740</v>
      </c>
      <c r="H2914" s="11" t="s">
        <v>8525</v>
      </c>
      <c r="I2914" s="11" t="s">
        <v>8524</v>
      </c>
      <c r="J2914" s="11" t="s">
        <v>8524</v>
      </c>
      <c r="K2914" s="9" t="s">
        <v>34716</v>
      </c>
      <c r="L2914" s="9" t="s">
        <v>17759</v>
      </c>
      <c r="M2914" s="9" t="s">
        <v>20397</v>
      </c>
      <c r="N2914" s="9" t="s">
        <v>17746</v>
      </c>
      <c r="O2914" s="9" t="s">
        <v>19646</v>
      </c>
      <c r="P2914" s="9" t="s">
        <v>17748</v>
      </c>
      <c r="Q2914" s="11" t="s">
        <v>18356</v>
      </c>
      <c r="R2914" s="11" t="s">
        <v>18356</v>
      </c>
      <c r="S2914" s="11" t="s">
        <v>17750</v>
      </c>
    </row>
    <row r="2915" spans="1:19" x14ac:dyDescent="0.2">
      <c r="A2915" s="11" t="s">
        <v>34717</v>
      </c>
      <c r="B2915" s="9" t="s">
        <v>34718</v>
      </c>
      <c r="C2915" s="9" t="s">
        <v>34719</v>
      </c>
      <c r="D2915" s="9" t="s">
        <v>34720</v>
      </c>
      <c r="E2915" s="9" t="s">
        <v>17740</v>
      </c>
      <c r="F2915" s="9" t="s">
        <v>17741</v>
      </c>
      <c r="G2915" s="9" t="s">
        <v>17740</v>
      </c>
      <c r="H2915" s="11" t="s">
        <v>2217</v>
      </c>
      <c r="I2915" s="11" t="s">
        <v>2216</v>
      </c>
      <c r="J2915" s="11" t="s">
        <v>2216</v>
      </c>
      <c r="K2915" s="9" t="s">
        <v>17783</v>
      </c>
      <c r="L2915" s="9" t="s">
        <v>18001</v>
      </c>
      <c r="M2915" s="9" t="s">
        <v>21423</v>
      </c>
      <c r="N2915" s="9" t="s">
        <v>17746</v>
      </c>
      <c r="O2915" s="9" t="s">
        <v>18882</v>
      </c>
      <c r="P2915" s="9" t="s">
        <v>17748</v>
      </c>
      <c r="Q2915" s="11" t="s">
        <v>18433</v>
      </c>
      <c r="R2915" s="11" t="s">
        <v>18433</v>
      </c>
      <c r="S2915" s="11" t="s">
        <v>17750</v>
      </c>
    </row>
    <row r="2916" spans="1:19" x14ac:dyDescent="0.2">
      <c r="A2916" s="11" t="s">
        <v>34721</v>
      </c>
      <c r="B2916" s="9" t="s">
        <v>34722</v>
      </c>
      <c r="C2916" s="9" t="s">
        <v>34723</v>
      </c>
      <c r="D2916" s="9" t="s">
        <v>34724</v>
      </c>
      <c r="E2916" s="9" t="s">
        <v>17740</v>
      </c>
      <c r="F2916" s="9" t="s">
        <v>34725</v>
      </c>
      <c r="G2916" s="9" t="s">
        <v>17740</v>
      </c>
      <c r="H2916" s="11" t="s">
        <v>2220</v>
      </c>
      <c r="I2916" s="11" t="s">
        <v>2219</v>
      </c>
      <c r="J2916" s="11" t="s">
        <v>2219</v>
      </c>
      <c r="K2916" s="9" t="s">
        <v>2221</v>
      </c>
      <c r="L2916" s="9" t="s">
        <v>17759</v>
      </c>
      <c r="M2916" s="9" t="s">
        <v>18417</v>
      </c>
      <c r="N2916" s="9" t="s">
        <v>17746</v>
      </c>
      <c r="O2916" s="9" t="s">
        <v>17993</v>
      </c>
      <c r="P2916" s="9" t="s">
        <v>17748</v>
      </c>
      <c r="Q2916" s="11" t="s">
        <v>20936</v>
      </c>
      <c r="R2916" s="11" t="s">
        <v>20936</v>
      </c>
      <c r="S2916" s="11" t="s">
        <v>17750</v>
      </c>
    </row>
    <row r="2917" spans="1:19" x14ac:dyDescent="0.2">
      <c r="A2917" s="11" t="s">
        <v>34726</v>
      </c>
      <c r="B2917" s="9" t="s">
        <v>34727</v>
      </c>
      <c r="C2917" s="9" t="s">
        <v>34728</v>
      </c>
      <c r="D2917" s="9" t="s">
        <v>34729</v>
      </c>
      <c r="E2917" s="9" t="s">
        <v>17740</v>
      </c>
      <c r="F2917" s="9" t="s">
        <v>34730</v>
      </c>
      <c r="G2917" s="9" t="s">
        <v>17740</v>
      </c>
      <c r="H2917" s="11" t="s">
        <v>4782</v>
      </c>
      <c r="I2917" s="11" t="s">
        <v>4781</v>
      </c>
      <c r="J2917" s="11" t="s">
        <v>4781</v>
      </c>
      <c r="K2917" s="9" t="s">
        <v>34731</v>
      </c>
      <c r="L2917" s="9" t="s">
        <v>17759</v>
      </c>
      <c r="M2917" s="9" t="s">
        <v>21329</v>
      </c>
      <c r="N2917" s="9" t="s">
        <v>17746</v>
      </c>
      <c r="O2917" s="9" t="s">
        <v>25362</v>
      </c>
      <c r="P2917" s="9" t="s">
        <v>17748</v>
      </c>
      <c r="Q2917" s="11" t="s">
        <v>18364</v>
      </c>
      <c r="R2917" s="11" t="s">
        <v>18364</v>
      </c>
      <c r="S2917" s="11" t="s">
        <v>17750</v>
      </c>
    </row>
    <row r="2918" spans="1:19" x14ac:dyDescent="0.2">
      <c r="A2918" s="11" t="s">
        <v>34732</v>
      </c>
      <c r="B2918" s="9" t="s">
        <v>34733</v>
      </c>
      <c r="C2918" s="9" t="s">
        <v>34734</v>
      </c>
      <c r="D2918" s="9" t="s">
        <v>34735</v>
      </c>
      <c r="E2918" s="9" t="s">
        <v>17740</v>
      </c>
      <c r="F2918" s="9" t="s">
        <v>17741</v>
      </c>
      <c r="G2918" s="9" t="s">
        <v>17740</v>
      </c>
      <c r="H2918" s="11" t="s">
        <v>17741</v>
      </c>
      <c r="I2918" s="11" t="s">
        <v>11644</v>
      </c>
      <c r="J2918" s="11" t="s">
        <v>11645</v>
      </c>
      <c r="K2918" s="9" t="s">
        <v>91</v>
      </c>
      <c r="L2918" s="9" t="s">
        <v>17759</v>
      </c>
      <c r="M2918" s="9" t="s">
        <v>17769</v>
      </c>
      <c r="N2918" s="9" t="s">
        <v>17746</v>
      </c>
      <c r="O2918" s="9" t="s">
        <v>24236</v>
      </c>
      <c r="P2918" s="9" t="s">
        <v>17748</v>
      </c>
      <c r="Q2918" s="11" t="s">
        <v>17917</v>
      </c>
      <c r="R2918" s="11" t="s">
        <v>17917</v>
      </c>
      <c r="S2918" s="11" t="s">
        <v>17750</v>
      </c>
    </row>
    <row r="2919" spans="1:19" x14ac:dyDescent="0.2">
      <c r="A2919" s="11" t="s">
        <v>34736</v>
      </c>
      <c r="B2919" s="9" t="s">
        <v>34737</v>
      </c>
      <c r="C2919" s="9" t="s">
        <v>34738</v>
      </c>
      <c r="D2919" s="9" t="s">
        <v>34739</v>
      </c>
      <c r="E2919" s="9" t="s">
        <v>17740</v>
      </c>
      <c r="F2919" s="9" t="s">
        <v>17741</v>
      </c>
      <c r="G2919" s="9" t="s">
        <v>17740</v>
      </c>
      <c r="H2919" s="11" t="s">
        <v>2237</v>
      </c>
      <c r="I2919" s="11" t="s">
        <v>2236</v>
      </c>
      <c r="J2919" s="11" t="s">
        <v>2236</v>
      </c>
      <c r="K2919" s="9" t="s">
        <v>21063</v>
      </c>
      <c r="L2919" s="9" t="s">
        <v>17759</v>
      </c>
      <c r="M2919" s="9" t="s">
        <v>17817</v>
      </c>
      <c r="N2919" s="9" t="s">
        <v>17746</v>
      </c>
      <c r="O2919" s="9" t="s">
        <v>18746</v>
      </c>
      <c r="P2919" s="9" t="s">
        <v>17748</v>
      </c>
      <c r="Q2919" s="11" t="s">
        <v>18608</v>
      </c>
      <c r="R2919" s="11" t="s">
        <v>18608</v>
      </c>
      <c r="S2919" s="11" t="s">
        <v>17750</v>
      </c>
    </row>
    <row r="2920" spans="1:19" x14ac:dyDescent="0.2">
      <c r="A2920" s="11" t="s">
        <v>34740</v>
      </c>
      <c r="B2920" s="9" t="s">
        <v>34741</v>
      </c>
      <c r="C2920" s="9" t="s">
        <v>34742</v>
      </c>
      <c r="D2920" s="9" t="s">
        <v>34743</v>
      </c>
      <c r="E2920" s="9" t="s">
        <v>17748</v>
      </c>
      <c r="F2920" s="9" t="s">
        <v>34744</v>
      </c>
      <c r="G2920" s="9" t="s">
        <v>17740</v>
      </c>
      <c r="H2920" s="11" t="s">
        <v>7759</v>
      </c>
      <c r="I2920" s="11" t="s">
        <v>7758</v>
      </c>
      <c r="J2920" s="11" t="s">
        <v>7758</v>
      </c>
      <c r="K2920" s="9" t="s">
        <v>17783</v>
      </c>
      <c r="L2920" s="9" t="s">
        <v>18001</v>
      </c>
      <c r="M2920" s="9" t="s">
        <v>18177</v>
      </c>
      <c r="N2920" s="9" t="s">
        <v>17746</v>
      </c>
      <c r="O2920" s="9" t="s">
        <v>34745</v>
      </c>
      <c r="P2920" s="9" t="s">
        <v>17748</v>
      </c>
      <c r="Q2920" s="11" t="s">
        <v>18798</v>
      </c>
      <c r="R2920" s="11" t="s">
        <v>18798</v>
      </c>
      <c r="S2920" s="11" t="s">
        <v>17750</v>
      </c>
    </row>
    <row r="2921" spans="1:19" x14ac:dyDescent="0.2">
      <c r="A2921" s="11" t="s">
        <v>34746</v>
      </c>
      <c r="B2921" s="9" t="s">
        <v>34747</v>
      </c>
      <c r="C2921" s="9" t="s">
        <v>34748</v>
      </c>
      <c r="D2921" s="9" t="s">
        <v>34749</v>
      </c>
      <c r="E2921" s="9" t="s">
        <v>17740</v>
      </c>
      <c r="F2921" s="9" t="s">
        <v>17741</v>
      </c>
      <c r="G2921" s="9" t="s">
        <v>17740</v>
      </c>
      <c r="H2921" s="11" t="s">
        <v>8603</v>
      </c>
      <c r="I2921" s="11" t="s">
        <v>8602</v>
      </c>
      <c r="J2921" s="11" t="s">
        <v>8602</v>
      </c>
      <c r="K2921" s="9" t="s">
        <v>17758</v>
      </c>
      <c r="L2921" s="9" t="s">
        <v>17759</v>
      </c>
      <c r="M2921" s="9" t="s">
        <v>17760</v>
      </c>
      <c r="N2921" s="9" t="s">
        <v>17746</v>
      </c>
      <c r="O2921" s="9" t="s">
        <v>22463</v>
      </c>
      <c r="P2921" s="9" t="s">
        <v>17748</v>
      </c>
      <c r="Q2921" s="11" t="s">
        <v>18356</v>
      </c>
      <c r="R2921" s="11" t="s">
        <v>18356</v>
      </c>
      <c r="S2921" s="11" t="s">
        <v>17750</v>
      </c>
    </row>
    <row r="2922" spans="1:19" x14ac:dyDescent="0.2">
      <c r="A2922" s="11" t="s">
        <v>34750</v>
      </c>
      <c r="B2922" s="9" t="s">
        <v>34751</v>
      </c>
      <c r="C2922" s="9" t="s">
        <v>34752</v>
      </c>
      <c r="D2922" s="9" t="s">
        <v>34753</v>
      </c>
      <c r="E2922" s="9" t="s">
        <v>17740</v>
      </c>
      <c r="F2922" s="9" t="s">
        <v>34754</v>
      </c>
      <c r="G2922" s="9" t="s">
        <v>17740</v>
      </c>
      <c r="H2922" s="11" t="s">
        <v>2243</v>
      </c>
      <c r="I2922" s="11" t="s">
        <v>2242</v>
      </c>
      <c r="J2922" s="11" t="s">
        <v>2242</v>
      </c>
      <c r="K2922" s="9" t="s">
        <v>17758</v>
      </c>
      <c r="L2922" s="9" t="s">
        <v>17759</v>
      </c>
      <c r="M2922" s="9" t="s">
        <v>17799</v>
      </c>
      <c r="N2922" s="9" t="s">
        <v>17746</v>
      </c>
      <c r="O2922" s="9" t="s">
        <v>22463</v>
      </c>
      <c r="P2922" s="9" t="s">
        <v>17748</v>
      </c>
      <c r="Q2922" s="11" t="s">
        <v>18341</v>
      </c>
      <c r="R2922" s="11" t="s">
        <v>18341</v>
      </c>
      <c r="S2922" s="11" t="s">
        <v>17750</v>
      </c>
    </row>
    <row r="2923" spans="1:19" x14ac:dyDescent="0.2">
      <c r="A2923" s="11" t="s">
        <v>34755</v>
      </c>
      <c r="B2923" s="9" t="s">
        <v>34756</v>
      </c>
      <c r="C2923" s="9" t="s">
        <v>34757</v>
      </c>
      <c r="D2923" s="9" t="s">
        <v>34758</v>
      </c>
      <c r="E2923" s="9" t="s">
        <v>17740</v>
      </c>
      <c r="F2923" s="9" t="s">
        <v>17741</v>
      </c>
      <c r="G2923" s="9" t="s">
        <v>17740</v>
      </c>
      <c r="H2923" s="11" t="s">
        <v>8050</v>
      </c>
      <c r="I2923" s="11" t="s">
        <v>8049</v>
      </c>
      <c r="J2923" s="11" t="s">
        <v>8049</v>
      </c>
      <c r="K2923" s="9" t="s">
        <v>831</v>
      </c>
      <c r="L2923" s="9" t="s">
        <v>23607</v>
      </c>
      <c r="M2923" s="9" t="s">
        <v>30971</v>
      </c>
      <c r="N2923" s="9" t="s">
        <v>17746</v>
      </c>
      <c r="O2923" s="9" t="s">
        <v>3100</v>
      </c>
      <c r="P2923" s="9" t="s">
        <v>17748</v>
      </c>
      <c r="Q2923" s="11" t="s">
        <v>17808</v>
      </c>
      <c r="R2923" s="11" t="s">
        <v>17808</v>
      </c>
      <c r="S2923" s="11" t="s">
        <v>17750</v>
      </c>
    </row>
    <row r="2924" spans="1:19" x14ac:dyDescent="0.2">
      <c r="A2924" s="11" t="s">
        <v>34759</v>
      </c>
      <c r="B2924" s="9" t="s">
        <v>34760</v>
      </c>
      <c r="C2924" s="9" t="s">
        <v>34761</v>
      </c>
      <c r="D2924" s="9" t="s">
        <v>34762</v>
      </c>
      <c r="E2924" s="9" t="s">
        <v>17740</v>
      </c>
      <c r="F2924" s="9" t="s">
        <v>34763</v>
      </c>
      <c r="G2924" s="9" t="s">
        <v>17740</v>
      </c>
      <c r="H2924" s="11" t="s">
        <v>34764</v>
      </c>
      <c r="I2924" s="11" t="s">
        <v>34765</v>
      </c>
      <c r="J2924" s="11" t="s">
        <v>34765</v>
      </c>
      <c r="K2924" s="9" t="s">
        <v>23527</v>
      </c>
      <c r="L2924" s="9" t="s">
        <v>17744</v>
      </c>
      <c r="M2924" s="9" t="s">
        <v>22894</v>
      </c>
      <c r="N2924" s="9" t="s">
        <v>17746</v>
      </c>
      <c r="O2924" s="9" t="s">
        <v>17800</v>
      </c>
      <c r="P2924" s="9" t="s">
        <v>17748</v>
      </c>
      <c r="Q2924" s="11" t="s">
        <v>18147</v>
      </c>
      <c r="R2924" s="11" t="s">
        <v>18147</v>
      </c>
      <c r="S2924" s="11" t="s">
        <v>17750</v>
      </c>
    </row>
    <row r="2925" spans="1:19" x14ac:dyDescent="0.2">
      <c r="A2925" s="11" t="s">
        <v>34766</v>
      </c>
      <c r="B2925" s="9" t="s">
        <v>34767</v>
      </c>
      <c r="C2925" s="9" t="s">
        <v>34768</v>
      </c>
      <c r="D2925" s="9" t="s">
        <v>34769</v>
      </c>
      <c r="E2925" s="9" t="s">
        <v>17740</v>
      </c>
      <c r="F2925" s="9" t="s">
        <v>17741</v>
      </c>
      <c r="G2925" s="9" t="s">
        <v>17740</v>
      </c>
      <c r="H2925" s="11" t="s">
        <v>2246</v>
      </c>
      <c r="I2925" s="11" t="s">
        <v>2245</v>
      </c>
      <c r="J2925" s="11" t="s">
        <v>2245</v>
      </c>
      <c r="K2925" s="9" t="s">
        <v>2247</v>
      </c>
      <c r="L2925" s="9" t="s">
        <v>17759</v>
      </c>
      <c r="M2925" s="9" t="s">
        <v>34770</v>
      </c>
      <c r="N2925" s="9" t="s">
        <v>17746</v>
      </c>
      <c r="O2925" s="9" t="s">
        <v>18363</v>
      </c>
      <c r="P2925" s="9" t="s">
        <v>17748</v>
      </c>
      <c r="Q2925" s="11" t="s">
        <v>17978</v>
      </c>
      <c r="R2925" s="11" t="s">
        <v>17978</v>
      </c>
      <c r="S2925" s="11" t="s">
        <v>17750</v>
      </c>
    </row>
    <row r="2926" spans="1:19" x14ac:dyDescent="0.2">
      <c r="A2926" s="11" t="s">
        <v>34771</v>
      </c>
      <c r="B2926" s="9" t="s">
        <v>34772</v>
      </c>
      <c r="C2926" s="9" t="s">
        <v>34773</v>
      </c>
      <c r="D2926" s="9" t="s">
        <v>34774</v>
      </c>
      <c r="E2926" s="9" t="s">
        <v>17740</v>
      </c>
      <c r="F2926" s="9" t="s">
        <v>34775</v>
      </c>
      <c r="G2926" s="9" t="s">
        <v>17740</v>
      </c>
      <c r="H2926" s="11" t="s">
        <v>17741</v>
      </c>
      <c r="I2926" s="11" t="s">
        <v>34776</v>
      </c>
      <c r="J2926" s="11" t="s">
        <v>34776</v>
      </c>
      <c r="K2926" s="9" t="s">
        <v>34777</v>
      </c>
      <c r="L2926" s="9" t="s">
        <v>17759</v>
      </c>
      <c r="M2926" s="9" t="s">
        <v>17817</v>
      </c>
      <c r="N2926" s="9" t="s">
        <v>17746</v>
      </c>
      <c r="O2926" s="9" t="s">
        <v>19754</v>
      </c>
      <c r="P2926" s="9" t="s">
        <v>17748</v>
      </c>
      <c r="Q2926" s="11" t="s">
        <v>18282</v>
      </c>
      <c r="R2926" s="11" t="s">
        <v>18282</v>
      </c>
      <c r="S2926" s="11" t="s">
        <v>17750</v>
      </c>
    </row>
    <row r="2927" spans="1:19" x14ac:dyDescent="0.2">
      <c r="A2927" s="11" t="s">
        <v>34778</v>
      </c>
      <c r="B2927" s="9" t="s">
        <v>34779</v>
      </c>
      <c r="C2927" s="9" t="s">
        <v>34780</v>
      </c>
      <c r="D2927" s="9" t="s">
        <v>34781</v>
      </c>
      <c r="E2927" s="9" t="s">
        <v>17740</v>
      </c>
      <c r="F2927" s="9" t="s">
        <v>17741</v>
      </c>
      <c r="G2927" s="9" t="s">
        <v>17740</v>
      </c>
      <c r="H2927" s="11" t="s">
        <v>2250</v>
      </c>
      <c r="I2927" s="11" t="s">
        <v>2249</v>
      </c>
      <c r="J2927" s="11" t="s">
        <v>2249</v>
      </c>
      <c r="K2927" s="9" t="s">
        <v>18616</v>
      </c>
      <c r="L2927" s="9" t="s">
        <v>17744</v>
      </c>
      <c r="M2927" s="9" t="s">
        <v>17817</v>
      </c>
      <c r="N2927" s="9" t="s">
        <v>17746</v>
      </c>
      <c r="O2927" s="9" t="s">
        <v>19521</v>
      </c>
      <c r="P2927" s="9" t="s">
        <v>17748</v>
      </c>
      <c r="Q2927" s="11" t="s">
        <v>18847</v>
      </c>
      <c r="R2927" s="11" t="s">
        <v>18847</v>
      </c>
      <c r="S2927" s="11" t="s">
        <v>17750</v>
      </c>
    </row>
    <row r="2928" spans="1:19" x14ac:dyDescent="0.2">
      <c r="A2928" s="11" t="s">
        <v>34782</v>
      </c>
      <c r="B2928" s="9" t="s">
        <v>34783</v>
      </c>
      <c r="C2928" s="9" t="s">
        <v>34784</v>
      </c>
      <c r="D2928" s="9" t="s">
        <v>34785</v>
      </c>
      <c r="E2928" s="9" t="s">
        <v>17740</v>
      </c>
      <c r="F2928" s="9" t="s">
        <v>34786</v>
      </c>
      <c r="G2928" s="9" t="s">
        <v>17740</v>
      </c>
      <c r="H2928" s="11" t="s">
        <v>34787</v>
      </c>
      <c r="I2928" s="11" t="s">
        <v>34788</v>
      </c>
      <c r="J2928" s="11" t="s">
        <v>34788</v>
      </c>
      <c r="K2928" s="9" t="s">
        <v>34789</v>
      </c>
      <c r="L2928" s="9" t="s">
        <v>17759</v>
      </c>
      <c r="M2928" s="9" t="s">
        <v>17760</v>
      </c>
      <c r="N2928" s="9" t="s">
        <v>17746</v>
      </c>
      <c r="O2928" s="9" t="s">
        <v>28400</v>
      </c>
      <c r="P2928" s="9" t="s">
        <v>17748</v>
      </c>
      <c r="Q2928" s="11" t="s">
        <v>17749</v>
      </c>
      <c r="R2928" s="11" t="s">
        <v>17749</v>
      </c>
      <c r="S2928" s="11" t="s">
        <v>17750</v>
      </c>
    </row>
    <row r="2929" spans="1:19" x14ac:dyDescent="0.2">
      <c r="A2929" s="11" t="s">
        <v>34790</v>
      </c>
      <c r="B2929" s="9" t="s">
        <v>34791</v>
      </c>
      <c r="C2929" s="9" t="s">
        <v>34792</v>
      </c>
      <c r="D2929" s="9" t="s">
        <v>34793</v>
      </c>
      <c r="E2929" s="9" t="s">
        <v>17740</v>
      </c>
      <c r="F2929" s="9" t="s">
        <v>17741</v>
      </c>
      <c r="G2929" s="9" t="s">
        <v>17740</v>
      </c>
      <c r="H2929" s="11" t="s">
        <v>34794</v>
      </c>
      <c r="I2929" s="11" t="s">
        <v>34795</v>
      </c>
      <c r="J2929" s="11" t="s">
        <v>34795</v>
      </c>
      <c r="K2929" s="9" t="s">
        <v>970</v>
      </c>
      <c r="L2929" s="9" t="s">
        <v>17759</v>
      </c>
      <c r="M2929" s="9" t="s">
        <v>27329</v>
      </c>
      <c r="N2929" s="9" t="s">
        <v>17746</v>
      </c>
      <c r="O2929" s="9" t="s">
        <v>18340</v>
      </c>
      <c r="P2929" s="9" t="s">
        <v>17748</v>
      </c>
      <c r="Q2929" s="11" t="s">
        <v>17771</v>
      </c>
      <c r="R2929" s="11" t="s">
        <v>17771</v>
      </c>
      <c r="S2929" s="11" t="s">
        <v>17750</v>
      </c>
    </row>
    <row r="2930" spans="1:19" x14ac:dyDescent="0.2">
      <c r="A2930" s="11" t="s">
        <v>34796</v>
      </c>
      <c r="B2930" s="9" t="s">
        <v>34797</v>
      </c>
      <c r="C2930" s="9" t="s">
        <v>34798</v>
      </c>
      <c r="D2930" s="9" t="s">
        <v>34799</v>
      </c>
      <c r="E2930" s="9" t="s">
        <v>17748</v>
      </c>
      <c r="F2930" s="9" t="s">
        <v>34800</v>
      </c>
      <c r="G2930" s="9" t="s">
        <v>17740</v>
      </c>
      <c r="H2930" s="11" t="s">
        <v>2253</v>
      </c>
      <c r="I2930" s="11" t="s">
        <v>2252</v>
      </c>
      <c r="J2930" s="11" t="s">
        <v>2252</v>
      </c>
      <c r="K2930" s="9" t="s">
        <v>17805</v>
      </c>
      <c r="L2930" s="9" t="s">
        <v>17744</v>
      </c>
      <c r="M2930" s="9" t="s">
        <v>34801</v>
      </c>
      <c r="N2930" s="9" t="s">
        <v>17746</v>
      </c>
      <c r="O2930" s="9" t="s">
        <v>3391</v>
      </c>
      <c r="P2930" s="9" t="s">
        <v>17748</v>
      </c>
      <c r="Q2930" s="11" t="s">
        <v>18243</v>
      </c>
      <c r="R2930" s="11" t="s">
        <v>18243</v>
      </c>
      <c r="S2930" s="11" t="s">
        <v>17750</v>
      </c>
    </row>
    <row r="2931" spans="1:19" x14ac:dyDescent="0.2">
      <c r="A2931" s="11" t="s">
        <v>34802</v>
      </c>
      <c r="B2931" s="9" t="s">
        <v>34803</v>
      </c>
      <c r="C2931" s="9" t="s">
        <v>34804</v>
      </c>
      <c r="D2931" s="9" t="s">
        <v>34805</v>
      </c>
      <c r="E2931" s="9" t="s">
        <v>17740</v>
      </c>
      <c r="F2931" s="9" t="s">
        <v>34806</v>
      </c>
      <c r="G2931" s="9" t="s">
        <v>17740</v>
      </c>
      <c r="H2931" s="11" t="s">
        <v>4363</v>
      </c>
      <c r="I2931" s="11" t="s">
        <v>4362</v>
      </c>
      <c r="J2931" s="11" t="s">
        <v>4362</v>
      </c>
      <c r="K2931" s="9" t="s">
        <v>17741</v>
      </c>
      <c r="L2931" s="9" t="s">
        <v>17744</v>
      </c>
      <c r="M2931" s="9" t="s">
        <v>18065</v>
      </c>
      <c r="N2931" s="9" t="s">
        <v>17746</v>
      </c>
      <c r="O2931" s="9" t="s">
        <v>34807</v>
      </c>
      <c r="P2931" s="9" t="s">
        <v>17748</v>
      </c>
      <c r="Q2931" s="11" t="s">
        <v>18364</v>
      </c>
      <c r="R2931" s="11" t="s">
        <v>18364</v>
      </c>
      <c r="S2931" s="11" t="s">
        <v>17750</v>
      </c>
    </row>
    <row r="2932" spans="1:19" x14ac:dyDescent="0.2">
      <c r="A2932" s="11" t="s">
        <v>34808</v>
      </c>
      <c r="B2932" s="9" t="s">
        <v>34809</v>
      </c>
      <c r="C2932" s="9" t="s">
        <v>34810</v>
      </c>
      <c r="D2932" s="9" t="s">
        <v>34811</v>
      </c>
      <c r="E2932" s="9" t="s">
        <v>17740</v>
      </c>
      <c r="F2932" s="9" t="s">
        <v>34812</v>
      </c>
      <c r="G2932" s="9" t="s">
        <v>17740</v>
      </c>
      <c r="H2932" s="11" t="s">
        <v>34813</v>
      </c>
      <c r="I2932" s="11" t="s">
        <v>2233</v>
      </c>
      <c r="J2932" s="11" t="s">
        <v>2233</v>
      </c>
      <c r="K2932" s="9" t="s">
        <v>34814</v>
      </c>
      <c r="L2932" s="9" t="s">
        <v>17759</v>
      </c>
      <c r="M2932" s="9" t="s">
        <v>17817</v>
      </c>
      <c r="N2932" s="9" t="s">
        <v>17746</v>
      </c>
      <c r="O2932" s="9" t="s">
        <v>17834</v>
      </c>
      <c r="P2932" s="9" t="s">
        <v>17748</v>
      </c>
      <c r="Q2932" s="11" t="s">
        <v>19335</v>
      </c>
      <c r="R2932" s="11" t="s">
        <v>19335</v>
      </c>
      <c r="S2932" s="11" t="s">
        <v>17750</v>
      </c>
    </row>
    <row r="2933" spans="1:19" x14ac:dyDescent="0.2">
      <c r="A2933" s="11" t="s">
        <v>34815</v>
      </c>
      <c r="B2933" s="9" t="s">
        <v>34816</v>
      </c>
      <c r="C2933" s="9" t="s">
        <v>34817</v>
      </c>
      <c r="D2933" s="9" t="s">
        <v>34818</v>
      </c>
      <c r="E2933" s="9" t="s">
        <v>17740</v>
      </c>
      <c r="F2933" s="9" t="s">
        <v>34819</v>
      </c>
      <c r="G2933" s="9" t="s">
        <v>17740</v>
      </c>
      <c r="H2933" s="11" t="s">
        <v>34820</v>
      </c>
      <c r="I2933" s="11" t="s">
        <v>34821</v>
      </c>
      <c r="J2933" s="11" t="s">
        <v>34821</v>
      </c>
      <c r="K2933" s="9" t="s">
        <v>17805</v>
      </c>
      <c r="L2933" s="9" t="s">
        <v>17759</v>
      </c>
      <c r="M2933" s="9" t="s">
        <v>18109</v>
      </c>
      <c r="N2933" s="9" t="s">
        <v>17746</v>
      </c>
      <c r="O2933" s="9" t="s">
        <v>18514</v>
      </c>
      <c r="P2933" s="9" t="s">
        <v>17748</v>
      </c>
      <c r="Q2933" s="11" t="s">
        <v>22689</v>
      </c>
      <c r="R2933" s="11" t="s">
        <v>22689</v>
      </c>
      <c r="S2933" s="11" t="s">
        <v>17750</v>
      </c>
    </row>
    <row r="2934" spans="1:19" x14ac:dyDescent="0.2">
      <c r="A2934" s="11" t="s">
        <v>34822</v>
      </c>
      <c r="B2934" s="9" t="s">
        <v>34823</v>
      </c>
      <c r="C2934" s="9" t="s">
        <v>34824</v>
      </c>
      <c r="D2934" s="9" t="s">
        <v>34825</v>
      </c>
      <c r="E2934" s="9" t="s">
        <v>17740</v>
      </c>
      <c r="F2934" s="9" t="s">
        <v>17741</v>
      </c>
      <c r="G2934" s="9" t="s">
        <v>17740</v>
      </c>
      <c r="H2934" s="11" t="s">
        <v>8544</v>
      </c>
      <c r="I2934" s="11" t="s">
        <v>8543</v>
      </c>
      <c r="J2934" s="11" t="s">
        <v>8543</v>
      </c>
      <c r="K2934" s="9" t="s">
        <v>17783</v>
      </c>
      <c r="L2934" s="9" t="s">
        <v>17759</v>
      </c>
      <c r="M2934" s="9" t="s">
        <v>17760</v>
      </c>
      <c r="N2934" s="9" t="s">
        <v>17746</v>
      </c>
      <c r="O2934" s="9" t="s">
        <v>18514</v>
      </c>
      <c r="P2934" s="9" t="s">
        <v>17748</v>
      </c>
      <c r="Q2934" s="11" t="s">
        <v>17808</v>
      </c>
      <c r="R2934" s="11" t="s">
        <v>17808</v>
      </c>
      <c r="S2934" s="11" t="s">
        <v>17750</v>
      </c>
    </row>
    <row r="2935" spans="1:19" x14ac:dyDescent="0.2">
      <c r="A2935" s="11" t="s">
        <v>34826</v>
      </c>
      <c r="B2935" s="9" t="s">
        <v>34827</v>
      </c>
      <c r="C2935" s="9" t="s">
        <v>34828</v>
      </c>
      <c r="D2935" s="9" t="s">
        <v>34829</v>
      </c>
      <c r="E2935" s="9" t="s">
        <v>17740</v>
      </c>
      <c r="F2935" s="9" t="s">
        <v>17741</v>
      </c>
      <c r="G2935" s="9" t="s">
        <v>17740</v>
      </c>
      <c r="H2935" s="11" t="s">
        <v>2262</v>
      </c>
      <c r="I2935" s="11" t="s">
        <v>2261</v>
      </c>
      <c r="J2935" s="11" t="s">
        <v>2261</v>
      </c>
      <c r="K2935" s="9" t="s">
        <v>25455</v>
      </c>
      <c r="L2935" s="9" t="s">
        <v>17759</v>
      </c>
      <c r="M2935" s="9" t="s">
        <v>17769</v>
      </c>
      <c r="N2935" s="9" t="s">
        <v>17746</v>
      </c>
      <c r="O2935" s="9" t="s">
        <v>3475</v>
      </c>
      <c r="P2935" s="9" t="s">
        <v>17748</v>
      </c>
      <c r="Q2935" s="11" t="s">
        <v>18433</v>
      </c>
      <c r="R2935" s="11" t="s">
        <v>18433</v>
      </c>
      <c r="S2935" s="11" t="s">
        <v>17750</v>
      </c>
    </row>
    <row r="2936" spans="1:19" x14ac:dyDescent="0.2">
      <c r="A2936" s="11" t="s">
        <v>34830</v>
      </c>
      <c r="B2936" s="9" t="s">
        <v>34831</v>
      </c>
      <c r="C2936" s="9" t="s">
        <v>34832</v>
      </c>
      <c r="D2936" s="9" t="s">
        <v>34833</v>
      </c>
      <c r="E2936" s="9" t="s">
        <v>17740</v>
      </c>
      <c r="F2936" s="9" t="s">
        <v>17741</v>
      </c>
      <c r="G2936" s="9" t="s">
        <v>17740</v>
      </c>
      <c r="H2936" s="11" t="s">
        <v>14145</v>
      </c>
      <c r="I2936" s="11" t="s">
        <v>14144</v>
      </c>
      <c r="J2936" s="11" t="s">
        <v>17741</v>
      </c>
      <c r="K2936" s="9" t="s">
        <v>34834</v>
      </c>
      <c r="L2936" s="9" t="s">
        <v>18396</v>
      </c>
      <c r="M2936" s="9" t="s">
        <v>17760</v>
      </c>
      <c r="N2936" s="9" t="s">
        <v>17746</v>
      </c>
      <c r="O2936" s="9" t="s">
        <v>31251</v>
      </c>
      <c r="P2936" s="9" t="s">
        <v>17748</v>
      </c>
      <c r="Q2936" s="11" t="s">
        <v>18370</v>
      </c>
      <c r="R2936" s="11" t="s">
        <v>18370</v>
      </c>
      <c r="S2936" s="11" t="s">
        <v>17750</v>
      </c>
    </row>
    <row r="2937" spans="1:19" x14ac:dyDescent="0.2">
      <c r="A2937" s="11" t="s">
        <v>34835</v>
      </c>
      <c r="B2937" s="9" t="s">
        <v>34836</v>
      </c>
      <c r="C2937" s="9" t="s">
        <v>34837</v>
      </c>
      <c r="D2937" s="9" t="s">
        <v>34838</v>
      </c>
      <c r="E2937" s="9" t="s">
        <v>17740</v>
      </c>
      <c r="F2937" s="9" t="s">
        <v>17741</v>
      </c>
      <c r="G2937" s="9" t="s">
        <v>17740</v>
      </c>
      <c r="H2937" s="11" t="s">
        <v>6674</v>
      </c>
      <c r="I2937" s="11" t="s">
        <v>6673</v>
      </c>
      <c r="J2937" s="11" t="s">
        <v>6673</v>
      </c>
      <c r="K2937" s="9" t="s">
        <v>17758</v>
      </c>
      <c r="L2937" s="9" t="s">
        <v>17759</v>
      </c>
      <c r="M2937" s="9" t="s">
        <v>19546</v>
      </c>
      <c r="N2937" s="9" t="s">
        <v>17746</v>
      </c>
      <c r="O2937" s="9" t="s">
        <v>34839</v>
      </c>
      <c r="P2937" s="9" t="s">
        <v>17748</v>
      </c>
      <c r="Q2937" s="11" t="s">
        <v>19361</v>
      </c>
      <c r="R2937" s="11" t="s">
        <v>19361</v>
      </c>
      <c r="S2937" s="11" t="s">
        <v>17750</v>
      </c>
    </row>
    <row r="2938" spans="1:19" x14ac:dyDescent="0.2">
      <c r="A2938" s="11" t="s">
        <v>34840</v>
      </c>
      <c r="B2938" s="9" t="s">
        <v>34841</v>
      </c>
      <c r="C2938" s="9" t="s">
        <v>34842</v>
      </c>
      <c r="D2938" s="9" t="s">
        <v>34843</v>
      </c>
      <c r="E2938" s="9" t="s">
        <v>17740</v>
      </c>
      <c r="F2938" s="9" t="s">
        <v>17741</v>
      </c>
      <c r="G2938" s="9" t="s">
        <v>17740</v>
      </c>
      <c r="H2938" s="11" t="s">
        <v>10939</v>
      </c>
      <c r="I2938" s="11" t="s">
        <v>10938</v>
      </c>
      <c r="J2938" s="11" t="s">
        <v>10938</v>
      </c>
      <c r="K2938" s="9" t="s">
        <v>10940</v>
      </c>
      <c r="L2938" s="9" t="s">
        <v>17759</v>
      </c>
      <c r="M2938" s="9" t="s">
        <v>17760</v>
      </c>
      <c r="N2938" s="9" t="s">
        <v>17746</v>
      </c>
      <c r="O2938" s="9" t="s">
        <v>19127</v>
      </c>
      <c r="P2938" s="9" t="s">
        <v>17748</v>
      </c>
      <c r="Q2938" s="11" t="s">
        <v>17984</v>
      </c>
      <c r="R2938" s="11" t="s">
        <v>17984</v>
      </c>
      <c r="S2938" s="11" t="s">
        <v>17750</v>
      </c>
    </row>
    <row r="2939" spans="1:19" x14ac:dyDescent="0.2">
      <c r="A2939" s="11" t="s">
        <v>34844</v>
      </c>
      <c r="B2939" s="9" t="s">
        <v>34845</v>
      </c>
      <c r="C2939" s="9" t="s">
        <v>34846</v>
      </c>
      <c r="D2939" s="9" t="s">
        <v>34847</v>
      </c>
      <c r="E2939" s="9" t="s">
        <v>17740</v>
      </c>
      <c r="F2939" s="9" t="s">
        <v>17741</v>
      </c>
      <c r="G2939" s="9" t="s">
        <v>17740</v>
      </c>
      <c r="H2939" s="11" t="s">
        <v>34848</v>
      </c>
      <c r="I2939" s="11" t="s">
        <v>34849</v>
      </c>
      <c r="J2939" s="11" t="s">
        <v>34849</v>
      </c>
      <c r="K2939" s="9" t="s">
        <v>27206</v>
      </c>
      <c r="L2939" s="9" t="s">
        <v>17759</v>
      </c>
      <c r="M2939" s="9" t="s">
        <v>34850</v>
      </c>
      <c r="N2939" s="9" t="s">
        <v>17746</v>
      </c>
      <c r="O2939" s="9" t="s">
        <v>23061</v>
      </c>
      <c r="P2939" s="9" t="s">
        <v>17748</v>
      </c>
      <c r="Q2939" s="11" t="s">
        <v>18243</v>
      </c>
      <c r="R2939" s="11" t="s">
        <v>18243</v>
      </c>
      <c r="S2939" s="11" t="s">
        <v>17750</v>
      </c>
    </row>
    <row r="2940" spans="1:19" x14ac:dyDescent="0.2">
      <c r="A2940" s="11" t="s">
        <v>34851</v>
      </c>
      <c r="B2940" s="9" t="s">
        <v>34852</v>
      </c>
      <c r="C2940" s="9" t="s">
        <v>34853</v>
      </c>
      <c r="D2940" s="9" t="s">
        <v>34854</v>
      </c>
      <c r="E2940" s="9" t="s">
        <v>17748</v>
      </c>
      <c r="F2940" s="9" t="s">
        <v>34855</v>
      </c>
      <c r="G2940" s="9" t="s">
        <v>17740</v>
      </c>
      <c r="H2940" s="11" t="s">
        <v>7937</v>
      </c>
      <c r="I2940" s="11" t="s">
        <v>7936</v>
      </c>
      <c r="J2940" s="11" t="s">
        <v>7936</v>
      </c>
      <c r="K2940" s="9" t="s">
        <v>18661</v>
      </c>
      <c r="L2940" s="9" t="s">
        <v>18001</v>
      </c>
      <c r="M2940" s="9" t="s">
        <v>18513</v>
      </c>
      <c r="N2940" s="9" t="s">
        <v>17746</v>
      </c>
      <c r="O2940" s="9" t="s">
        <v>4048</v>
      </c>
      <c r="P2940" s="9" t="s">
        <v>17748</v>
      </c>
      <c r="Q2940" s="11" t="s">
        <v>18798</v>
      </c>
      <c r="R2940" s="11" t="s">
        <v>18798</v>
      </c>
      <c r="S2940" s="11" t="s">
        <v>17750</v>
      </c>
    </row>
    <row r="2941" spans="1:19" x14ac:dyDescent="0.2">
      <c r="A2941" s="11" t="s">
        <v>34856</v>
      </c>
      <c r="B2941" s="9" t="s">
        <v>34857</v>
      </c>
      <c r="C2941" s="9" t="s">
        <v>34858</v>
      </c>
      <c r="D2941" s="9" t="s">
        <v>34859</v>
      </c>
      <c r="E2941" s="9" t="s">
        <v>17740</v>
      </c>
      <c r="F2941" s="9" t="s">
        <v>17741</v>
      </c>
      <c r="G2941" s="9" t="s">
        <v>17740</v>
      </c>
      <c r="H2941" s="11" t="s">
        <v>5252</v>
      </c>
      <c r="I2941" s="11" t="s">
        <v>5251</v>
      </c>
      <c r="J2941" s="11" t="s">
        <v>5251</v>
      </c>
      <c r="K2941" s="9" t="s">
        <v>34860</v>
      </c>
      <c r="L2941" s="9" t="s">
        <v>17759</v>
      </c>
      <c r="M2941" s="9" t="s">
        <v>25519</v>
      </c>
      <c r="N2941" s="9" t="s">
        <v>17746</v>
      </c>
      <c r="O2941" s="9" t="s">
        <v>3100</v>
      </c>
      <c r="P2941" s="9" t="s">
        <v>17748</v>
      </c>
      <c r="Q2941" s="11" t="s">
        <v>17819</v>
      </c>
      <c r="R2941" s="11" t="s">
        <v>17819</v>
      </c>
      <c r="S2941" s="11" t="s">
        <v>17750</v>
      </c>
    </row>
    <row r="2942" spans="1:19" x14ac:dyDescent="0.2">
      <c r="A2942" s="11" t="s">
        <v>34861</v>
      </c>
      <c r="B2942" s="9" t="s">
        <v>34862</v>
      </c>
      <c r="C2942" s="9" t="s">
        <v>34863</v>
      </c>
      <c r="D2942" s="9" t="s">
        <v>34864</v>
      </c>
      <c r="E2942" s="9" t="s">
        <v>17740</v>
      </c>
      <c r="F2942" s="9" t="s">
        <v>34865</v>
      </c>
      <c r="G2942" s="9" t="s">
        <v>17740</v>
      </c>
      <c r="H2942" s="11" t="s">
        <v>5979</v>
      </c>
      <c r="I2942" s="11" t="s">
        <v>5978</v>
      </c>
      <c r="J2942" s="11" t="s">
        <v>5978</v>
      </c>
      <c r="K2942" s="9" t="s">
        <v>601</v>
      </c>
      <c r="L2942" s="9" t="s">
        <v>17759</v>
      </c>
      <c r="M2942" s="9" t="s">
        <v>23480</v>
      </c>
      <c r="N2942" s="9" t="s">
        <v>17746</v>
      </c>
      <c r="O2942" s="9" t="s">
        <v>17882</v>
      </c>
      <c r="P2942" s="9" t="s">
        <v>17748</v>
      </c>
      <c r="Q2942" s="11" t="s">
        <v>20251</v>
      </c>
      <c r="R2942" s="11" t="s">
        <v>20251</v>
      </c>
      <c r="S2942" s="11" t="s">
        <v>17750</v>
      </c>
    </row>
    <row r="2943" spans="1:19" x14ac:dyDescent="0.2">
      <c r="A2943" s="11" t="s">
        <v>34866</v>
      </c>
      <c r="B2943" s="9" t="s">
        <v>34867</v>
      </c>
      <c r="C2943" s="9" t="s">
        <v>34868</v>
      </c>
      <c r="D2943" s="9" t="s">
        <v>34869</v>
      </c>
      <c r="E2943" s="9" t="s">
        <v>17740</v>
      </c>
      <c r="F2943" s="9" t="s">
        <v>34870</v>
      </c>
      <c r="G2943" s="9" t="s">
        <v>17740</v>
      </c>
      <c r="H2943" s="11" t="s">
        <v>17741</v>
      </c>
      <c r="I2943" s="11" t="s">
        <v>34871</v>
      </c>
      <c r="J2943" s="11" t="s">
        <v>34871</v>
      </c>
      <c r="K2943" s="9" t="s">
        <v>34872</v>
      </c>
      <c r="L2943" s="9" t="s">
        <v>20446</v>
      </c>
      <c r="M2943" s="9" t="s">
        <v>17760</v>
      </c>
      <c r="N2943" s="9" t="s">
        <v>17746</v>
      </c>
      <c r="O2943" s="9" t="s">
        <v>19659</v>
      </c>
      <c r="P2943" s="9" t="s">
        <v>17748</v>
      </c>
      <c r="Q2943" s="11" t="s">
        <v>17867</v>
      </c>
      <c r="R2943" s="11" t="s">
        <v>17867</v>
      </c>
      <c r="S2943" s="11" t="s">
        <v>17750</v>
      </c>
    </row>
    <row r="2944" spans="1:19" x14ac:dyDescent="0.2">
      <c r="A2944" s="11" t="s">
        <v>34873</v>
      </c>
      <c r="B2944" s="9" t="s">
        <v>34874</v>
      </c>
      <c r="C2944" s="9" t="s">
        <v>34875</v>
      </c>
      <c r="D2944" s="9" t="s">
        <v>34876</v>
      </c>
      <c r="E2944" s="9" t="s">
        <v>17740</v>
      </c>
      <c r="F2944" s="9" t="s">
        <v>34877</v>
      </c>
      <c r="G2944" s="9" t="s">
        <v>17740</v>
      </c>
      <c r="H2944" s="11" t="s">
        <v>2199</v>
      </c>
      <c r="I2944" s="11" t="s">
        <v>2198</v>
      </c>
      <c r="J2944" s="11" t="s">
        <v>2198</v>
      </c>
      <c r="K2944" s="9" t="s">
        <v>34878</v>
      </c>
      <c r="L2944" s="9" t="s">
        <v>17759</v>
      </c>
      <c r="M2944" s="9" t="s">
        <v>17769</v>
      </c>
      <c r="N2944" s="9" t="s">
        <v>17746</v>
      </c>
      <c r="O2944" s="9" t="s">
        <v>25739</v>
      </c>
      <c r="P2944" s="9" t="s">
        <v>17748</v>
      </c>
      <c r="Q2944" s="11" t="s">
        <v>18813</v>
      </c>
      <c r="R2944" s="11" t="s">
        <v>18813</v>
      </c>
      <c r="S2944" s="11" t="s">
        <v>17750</v>
      </c>
    </row>
    <row r="2945" spans="1:19" x14ac:dyDescent="0.2">
      <c r="A2945" s="11" t="s">
        <v>34879</v>
      </c>
      <c r="B2945" s="9" t="s">
        <v>34880</v>
      </c>
      <c r="C2945" s="9" t="s">
        <v>34881</v>
      </c>
      <c r="D2945" s="9" t="s">
        <v>34882</v>
      </c>
      <c r="E2945" s="9" t="s">
        <v>17740</v>
      </c>
      <c r="F2945" s="9" t="s">
        <v>17741</v>
      </c>
      <c r="G2945" s="9" t="s">
        <v>17740</v>
      </c>
      <c r="H2945" s="11" t="s">
        <v>34883</v>
      </c>
      <c r="I2945" s="11" t="s">
        <v>34884</v>
      </c>
      <c r="J2945" s="11" t="s">
        <v>34884</v>
      </c>
      <c r="K2945" s="9" t="s">
        <v>17783</v>
      </c>
      <c r="L2945" s="9" t="s">
        <v>18001</v>
      </c>
      <c r="M2945" s="9" t="s">
        <v>17769</v>
      </c>
      <c r="N2945" s="9" t="s">
        <v>17746</v>
      </c>
      <c r="O2945" s="9" t="s">
        <v>3524</v>
      </c>
      <c r="P2945" s="9" t="s">
        <v>17748</v>
      </c>
      <c r="Q2945" s="11" t="s">
        <v>18608</v>
      </c>
      <c r="R2945" s="11" t="s">
        <v>18608</v>
      </c>
      <c r="S2945" s="11" t="s">
        <v>17750</v>
      </c>
    </row>
    <row r="2946" spans="1:19" x14ac:dyDescent="0.2">
      <c r="A2946" s="11" t="s">
        <v>34885</v>
      </c>
      <c r="B2946" s="9" t="s">
        <v>34886</v>
      </c>
      <c r="C2946" s="9" t="s">
        <v>34887</v>
      </c>
      <c r="D2946" s="9" t="s">
        <v>34888</v>
      </c>
      <c r="E2946" s="9" t="s">
        <v>17740</v>
      </c>
      <c r="F2946" s="9" t="s">
        <v>17741</v>
      </c>
      <c r="G2946" s="9" t="s">
        <v>17740</v>
      </c>
      <c r="H2946" s="11" t="s">
        <v>34889</v>
      </c>
      <c r="I2946" s="11" t="s">
        <v>34890</v>
      </c>
      <c r="J2946" s="11" t="s">
        <v>34890</v>
      </c>
      <c r="K2946" s="9" t="s">
        <v>689</v>
      </c>
      <c r="L2946" s="9" t="s">
        <v>17759</v>
      </c>
      <c r="M2946" s="9" t="s">
        <v>17760</v>
      </c>
      <c r="N2946" s="9" t="s">
        <v>17746</v>
      </c>
      <c r="O2946" s="9" t="s">
        <v>21923</v>
      </c>
      <c r="P2946" s="9" t="s">
        <v>17748</v>
      </c>
      <c r="Q2946" s="11" t="s">
        <v>18341</v>
      </c>
      <c r="R2946" s="11" t="s">
        <v>18341</v>
      </c>
      <c r="S2946" s="11" t="s">
        <v>17750</v>
      </c>
    </row>
    <row r="2947" spans="1:19" x14ac:dyDescent="0.2">
      <c r="A2947" s="11" t="s">
        <v>34891</v>
      </c>
      <c r="B2947" s="9" t="s">
        <v>34892</v>
      </c>
      <c r="C2947" s="9" t="s">
        <v>34893</v>
      </c>
      <c r="D2947" s="9" t="s">
        <v>34894</v>
      </c>
      <c r="E2947" s="9" t="s">
        <v>17740</v>
      </c>
      <c r="F2947" s="9" t="s">
        <v>17741</v>
      </c>
      <c r="G2947" s="9" t="s">
        <v>17740</v>
      </c>
      <c r="H2947" s="11" t="s">
        <v>16037</v>
      </c>
      <c r="I2947" s="11" t="s">
        <v>16036</v>
      </c>
      <c r="J2947" s="11" t="s">
        <v>16036</v>
      </c>
      <c r="K2947" s="9" t="s">
        <v>22567</v>
      </c>
      <c r="L2947" s="9" t="s">
        <v>17744</v>
      </c>
      <c r="M2947" s="9" t="s">
        <v>34895</v>
      </c>
      <c r="N2947" s="9" t="s">
        <v>17746</v>
      </c>
      <c r="O2947" s="9" t="s">
        <v>1802</v>
      </c>
      <c r="P2947" s="9" t="s">
        <v>17748</v>
      </c>
      <c r="Q2947" s="11" t="s">
        <v>17923</v>
      </c>
      <c r="R2947" s="11" t="s">
        <v>17923</v>
      </c>
      <c r="S2947" s="11" t="s">
        <v>17750</v>
      </c>
    </row>
    <row r="2948" spans="1:19" x14ac:dyDescent="0.2">
      <c r="A2948" s="11" t="s">
        <v>34896</v>
      </c>
      <c r="B2948" s="9" t="s">
        <v>34897</v>
      </c>
      <c r="C2948" s="9" t="s">
        <v>34898</v>
      </c>
      <c r="D2948" s="9" t="s">
        <v>34899</v>
      </c>
      <c r="E2948" s="9" t="s">
        <v>17740</v>
      </c>
      <c r="F2948" s="9" t="s">
        <v>34900</v>
      </c>
      <c r="G2948" s="9" t="s">
        <v>17740</v>
      </c>
      <c r="H2948" s="11" t="s">
        <v>2240</v>
      </c>
      <c r="I2948" s="11" t="s">
        <v>2239</v>
      </c>
      <c r="J2948" s="11" t="s">
        <v>2239</v>
      </c>
      <c r="K2948" s="9" t="s">
        <v>19094</v>
      </c>
      <c r="L2948" s="9" t="s">
        <v>17759</v>
      </c>
      <c r="M2948" s="9" t="s">
        <v>34901</v>
      </c>
      <c r="N2948" s="9" t="s">
        <v>17746</v>
      </c>
      <c r="O2948" s="9" t="s">
        <v>3100</v>
      </c>
      <c r="P2948" s="9" t="s">
        <v>17748</v>
      </c>
      <c r="Q2948" s="11" t="s">
        <v>19415</v>
      </c>
      <c r="R2948" s="11" t="s">
        <v>19415</v>
      </c>
      <c r="S2948" s="11" t="s">
        <v>17750</v>
      </c>
    </row>
    <row r="2949" spans="1:19" x14ac:dyDescent="0.2">
      <c r="A2949" s="11" t="s">
        <v>34902</v>
      </c>
      <c r="B2949" s="9" t="s">
        <v>34903</v>
      </c>
      <c r="C2949" s="9" t="s">
        <v>34904</v>
      </c>
      <c r="D2949" s="9" t="s">
        <v>34905</v>
      </c>
      <c r="E2949" s="9" t="s">
        <v>17740</v>
      </c>
      <c r="F2949" s="9" t="s">
        <v>17741</v>
      </c>
      <c r="G2949" s="9" t="s">
        <v>17740</v>
      </c>
      <c r="H2949" s="11" t="s">
        <v>2277</v>
      </c>
      <c r="I2949" s="11" t="s">
        <v>2276</v>
      </c>
      <c r="J2949" s="11" t="s">
        <v>2276</v>
      </c>
      <c r="K2949" s="9" t="s">
        <v>91</v>
      </c>
      <c r="L2949" s="9" t="s">
        <v>17744</v>
      </c>
      <c r="M2949" s="9" t="s">
        <v>18177</v>
      </c>
      <c r="N2949" s="9" t="s">
        <v>17746</v>
      </c>
      <c r="O2949" s="9" t="s">
        <v>34906</v>
      </c>
      <c r="P2949" s="9" t="s">
        <v>17748</v>
      </c>
      <c r="Q2949" s="11" t="s">
        <v>18072</v>
      </c>
      <c r="R2949" s="11" t="s">
        <v>18072</v>
      </c>
      <c r="S2949" s="11" t="s">
        <v>17750</v>
      </c>
    </row>
    <row r="2950" spans="1:19" x14ac:dyDescent="0.2">
      <c r="A2950" s="11" t="s">
        <v>34907</v>
      </c>
      <c r="B2950" s="9" t="s">
        <v>34908</v>
      </c>
      <c r="C2950" s="9" t="s">
        <v>34909</v>
      </c>
      <c r="D2950" s="9" t="s">
        <v>34910</v>
      </c>
      <c r="E2950" s="9" t="s">
        <v>17748</v>
      </c>
      <c r="F2950" s="9" t="s">
        <v>34911</v>
      </c>
      <c r="G2950" s="9" t="s">
        <v>17740</v>
      </c>
      <c r="H2950" s="11" t="s">
        <v>34912</v>
      </c>
      <c r="I2950" s="11" t="s">
        <v>34913</v>
      </c>
      <c r="J2950" s="11" t="s">
        <v>34913</v>
      </c>
      <c r="K2950" s="9" t="s">
        <v>17783</v>
      </c>
      <c r="L2950" s="9" t="s">
        <v>18158</v>
      </c>
      <c r="M2950" s="9" t="s">
        <v>18289</v>
      </c>
      <c r="N2950" s="9" t="s">
        <v>17746</v>
      </c>
      <c r="O2950" s="9" t="s">
        <v>22096</v>
      </c>
      <c r="P2950" s="9" t="s">
        <v>17748</v>
      </c>
      <c r="Q2950" s="11" t="s">
        <v>18922</v>
      </c>
      <c r="R2950" s="11" t="s">
        <v>18922</v>
      </c>
      <c r="S2950" s="11" t="s">
        <v>17750</v>
      </c>
    </row>
    <row r="2951" spans="1:19" x14ac:dyDescent="0.2">
      <c r="A2951" s="11" t="s">
        <v>34914</v>
      </c>
      <c r="B2951" s="9" t="s">
        <v>34915</v>
      </c>
      <c r="C2951" s="9" t="s">
        <v>34916</v>
      </c>
      <c r="D2951" s="9" t="s">
        <v>34917</v>
      </c>
      <c r="E2951" s="9" t="s">
        <v>17740</v>
      </c>
      <c r="F2951" s="9" t="s">
        <v>34918</v>
      </c>
      <c r="G2951" s="9" t="s">
        <v>17740</v>
      </c>
      <c r="H2951" s="11" t="s">
        <v>34919</v>
      </c>
      <c r="I2951" s="11" t="s">
        <v>34920</v>
      </c>
      <c r="J2951" s="11" t="s">
        <v>34920</v>
      </c>
      <c r="K2951" s="9" t="s">
        <v>17089</v>
      </c>
      <c r="L2951" s="9" t="s">
        <v>18158</v>
      </c>
      <c r="M2951" s="9" t="s">
        <v>18177</v>
      </c>
      <c r="N2951" s="9" t="s">
        <v>17746</v>
      </c>
      <c r="O2951" s="9" t="s">
        <v>34921</v>
      </c>
      <c r="P2951" s="9" t="s">
        <v>17748</v>
      </c>
      <c r="Q2951" s="11" t="s">
        <v>18341</v>
      </c>
      <c r="R2951" s="11" t="s">
        <v>18341</v>
      </c>
      <c r="S2951" s="11" t="s">
        <v>17750</v>
      </c>
    </row>
    <row r="2952" spans="1:19" x14ac:dyDescent="0.2">
      <c r="A2952" s="11" t="s">
        <v>34922</v>
      </c>
      <c r="B2952" s="9" t="s">
        <v>34923</v>
      </c>
      <c r="C2952" s="9" t="s">
        <v>34924</v>
      </c>
      <c r="D2952" s="9" t="s">
        <v>34925</v>
      </c>
      <c r="E2952" s="9" t="s">
        <v>17740</v>
      </c>
      <c r="F2952" s="9" t="s">
        <v>22095</v>
      </c>
      <c r="G2952" s="9" t="s">
        <v>17740</v>
      </c>
      <c r="H2952" s="11" t="s">
        <v>34926</v>
      </c>
      <c r="I2952" s="11" t="s">
        <v>34927</v>
      </c>
      <c r="J2952" s="11" t="s">
        <v>34928</v>
      </c>
      <c r="K2952" s="9" t="s">
        <v>19767</v>
      </c>
      <c r="L2952" s="9" t="s">
        <v>17759</v>
      </c>
      <c r="M2952" s="9" t="s">
        <v>17760</v>
      </c>
      <c r="N2952" s="9" t="s">
        <v>17746</v>
      </c>
      <c r="O2952" s="9" t="s">
        <v>18514</v>
      </c>
      <c r="P2952" s="9" t="s">
        <v>17748</v>
      </c>
      <c r="Q2952" s="11" t="s">
        <v>17978</v>
      </c>
      <c r="R2952" s="11" t="s">
        <v>17978</v>
      </c>
      <c r="S2952" s="11" t="s">
        <v>17750</v>
      </c>
    </row>
    <row r="2953" spans="1:19" x14ac:dyDescent="0.2">
      <c r="A2953" s="11" t="s">
        <v>34929</v>
      </c>
      <c r="B2953" s="9" t="s">
        <v>34930</v>
      </c>
      <c r="C2953" s="9" t="s">
        <v>34931</v>
      </c>
      <c r="D2953" s="9" t="s">
        <v>34932</v>
      </c>
      <c r="E2953" s="9" t="s">
        <v>17740</v>
      </c>
      <c r="F2953" s="9" t="s">
        <v>17741</v>
      </c>
      <c r="G2953" s="9" t="s">
        <v>17740</v>
      </c>
      <c r="H2953" s="11" t="s">
        <v>11025</v>
      </c>
      <c r="I2953" s="11" t="s">
        <v>34933</v>
      </c>
      <c r="J2953" s="11" t="s">
        <v>11025</v>
      </c>
      <c r="K2953" s="9" t="s">
        <v>32265</v>
      </c>
      <c r="L2953" s="9" t="s">
        <v>18158</v>
      </c>
      <c r="M2953" s="9" t="s">
        <v>17741</v>
      </c>
      <c r="N2953" s="9" t="s">
        <v>17746</v>
      </c>
      <c r="O2953" s="9" t="s">
        <v>18607</v>
      </c>
      <c r="P2953" s="9" t="s">
        <v>17748</v>
      </c>
      <c r="Q2953" s="11" t="s">
        <v>17780</v>
      </c>
      <c r="R2953" s="11" t="s">
        <v>17780</v>
      </c>
      <c r="S2953" s="11" t="s">
        <v>17750</v>
      </c>
    </row>
    <row r="2954" spans="1:19" x14ac:dyDescent="0.2">
      <c r="A2954" s="11" t="s">
        <v>34934</v>
      </c>
      <c r="B2954" s="9" t="s">
        <v>34935</v>
      </c>
      <c r="C2954" s="9" t="s">
        <v>34936</v>
      </c>
      <c r="D2954" s="9" t="s">
        <v>34937</v>
      </c>
      <c r="E2954" s="9" t="s">
        <v>17740</v>
      </c>
      <c r="F2954" s="9" t="s">
        <v>17741</v>
      </c>
      <c r="G2954" s="9" t="s">
        <v>17740</v>
      </c>
      <c r="H2954" s="11" t="s">
        <v>34938</v>
      </c>
      <c r="I2954" s="11" t="s">
        <v>34939</v>
      </c>
      <c r="J2954" s="11" t="s">
        <v>34939</v>
      </c>
      <c r="K2954" s="9" t="s">
        <v>19180</v>
      </c>
      <c r="L2954" s="9" t="s">
        <v>17759</v>
      </c>
      <c r="M2954" s="9" t="s">
        <v>20970</v>
      </c>
      <c r="N2954" s="9" t="s">
        <v>17746</v>
      </c>
      <c r="O2954" s="9" t="s">
        <v>34940</v>
      </c>
      <c r="P2954" s="9" t="s">
        <v>17748</v>
      </c>
      <c r="Q2954" s="11" t="s">
        <v>17808</v>
      </c>
      <c r="R2954" s="11" t="s">
        <v>17808</v>
      </c>
      <c r="S2954" s="11" t="s">
        <v>17750</v>
      </c>
    </row>
    <row r="2955" spans="1:19" x14ac:dyDescent="0.2">
      <c r="A2955" s="11" t="s">
        <v>34941</v>
      </c>
      <c r="B2955" s="9" t="s">
        <v>34942</v>
      </c>
      <c r="C2955" s="9" t="s">
        <v>34943</v>
      </c>
      <c r="D2955" s="9" t="s">
        <v>34944</v>
      </c>
      <c r="E2955" s="9" t="s">
        <v>17740</v>
      </c>
      <c r="F2955" s="9" t="s">
        <v>17741</v>
      </c>
      <c r="G2955" s="9" t="s">
        <v>17740</v>
      </c>
      <c r="H2955" s="11" t="s">
        <v>34945</v>
      </c>
      <c r="I2955" s="11" t="s">
        <v>34946</v>
      </c>
      <c r="J2955" s="11" t="s">
        <v>34946</v>
      </c>
      <c r="K2955" s="9" t="s">
        <v>17805</v>
      </c>
      <c r="L2955" s="9" t="s">
        <v>17759</v>
      </c>
      <c r="M2955" s="9" t="s">
        <v>34947</v>
      </c>
      <c r="N2955" s="9" t="s">
        <v>17746</v>
      </c>
      <c r="O2955" s="9" t="s">
        <v>34948</v>
      </c>
      <c r="P2955" s="9" t="s">
        <v>17748</v>
      </c>
      <c r="Q2955" s="11" t="s">
        <v>19222</v>
      </c>
      <c r="R2955" s="11" t="s">
        <v>19222</v>
      </c>
      <c r="S2955" s="11" t="s">
        <v>17750</v>
      </c>
    </row>
    <row r="2956" spans="1:19" x14ac:dyDescent="0.2">
      <c r="A2956" s="11" t="s">
        <v>34949</v>
      </c>
      <c r="B2956" s="9" t="s">
        <v>34950</v>
      </c>
      <c r="C2956" s="9" t="s">
        <v>34951</v>
      </c>
      <c r="D2956" s="9" t="s">
        <v>34952</v>
      </c>
      <c r="E2956" s="9" t="s">
        <v>17740</v>
      </c>
      <c r="F2956" s="9" t="s">
        <v>17741</v>
      </c>
      <c r="G2956" s="9" t="s">
        <v>17740</v>
      </c>
      <c r="H2956" s="11" t="s">
        <v>6618</v>
      </c>
      <c r="I2956" s="11" t="s">
        <v>6617</v>
      </c>
      <c r="J2956" s="11" t="s">
        <v>6617</v>
      </c>
      <c r="K2956" s="9" t="s">
        <v>18876</v>
      </c>
      <c r="L2956" s="9" t="s">
        <v>17759</v>
      </c>
      <c r="M2956" s="9" t="s">
        <v>22041</v>
      </c>
      <c r="N2956" s="9" t="s">
        <v>17746</v>
      </c>
      <c r="O2956" s="9" t="s">
        <v>26010</v>
      </c>
      <c r="P2956" s="9" t="s">
        <v>17748</v>
      </c>
      <c r="Q2956" s="11" t="s">
        <v>17808</v>
      </c>
      <c r="R2956" s="11" t="s">
        <v>17808</v>
      </c>
      <c r="S2956" s="11" t="s">
        <v>17750</v>
      </c>
    </row>
    <row r="2957" spans="1:19" x14ac:dyDescent="0.2">
      <c r="A2957" s="11" t="s">
        <v>34953</v>
      </c>
      <c r="B2957" s="9" t="s">
        <v>34954</v>
      </c>
      <c r="C2957" s="9" t="s">
        <v>34955</v>
      </c>
      <c r="D2957" s="9" t="s">
        <v>34956</v>
      </c>
      <c r="E2957" s="9" t="s">
        <v>17740</v>
      </c>
      <c r="F2957" s="9" t="s">
        <v>17741</v>
      </c>
      <c r="G2957" s="9" t="s">
        <v>17740</v>
      </c>
      <c r="H2957" s="11" t="s">
        <v>2193</v>
      </c>
      <c r="I2957" s="11" t="s">
        <v>2192</v>
      </c>
      <c r="J2957" s="11" t="s">
        <v>2192</v>
      </c>
      <c r="K2957" s="9" t="s">
        <v>17758</v>
      </c>
      <c r="L2957" s="9" t="s">
        <v>17759</v>
      </c>
      <c r="M2957" s="9" t="s">
        <v>17769</v>
      </c>
      <c r="N2957" s="9" t="s">
        <v>17746</v>
      </c>
      <c r="O2957" s="9" t="s">
        <v>3543</v>
      </c>
      <c r="P2957" s="9" t="s">
        <v>17748</v>
      </c>
      <c r="Q2957" s="11" t="s">
        <v>18600</v>
      </c>
      <c r="R2957" s="11" t="s">
        <v>18600</v>
      </c>
      <c r="S2957" s="11" t="s">
        <v>17750</v>
      </c>
    </row>
    <row r="2958" spans="1:19" x14ac:dyDescent="0.2">
      <c r="A2958" s="11" t="s">
        <v>34957</v>
      </c>
      <c r="B2958" s="9" t="s">
        <v>34958</v>
      </c>
      <c r="C2958" s="9" t="s">
        <v>34959</v>
      </c>
      <c r="D2958" s="9" t="s">
        <v>34960</v>
      </c>
      <c r="E2958" s="9" t="s">
        <v>17740</v>
      </c>
      <c r="F2958" s="9" t="s">
        <v>34961</v>
      </c>
      <c r="G2958" s="9" t="s">
        <v>17740</v>
      </c>
      <c r="H2958" s="11" t="s">
        <v>7391</v>
      </c>
      <c r="I2958" s="11" t="s">
        <v>7390</v>
      </c>
      <c r="J2958" s="11" t="s">
        <v>7390</v>
      </c>
      <c r="K2958" s="9" t="s">
        <v>17783</v>
      </c>
      <c r="L2958" s="9" t="s">
        <v>18001</v>
      </c>
      <c r="M2958" s="9" t="s">
        <v>34962</v>
      </c>
      <c r="N2958" s="9" t="s">
        <v>17746</v>
      </c>
      <c r="O2958" s="9" t="s">
        <v>34963</v>
      </c>
      <c r="P2958" s="9" t="s">
        <v>17748</v>
      </c>
      <c r="Q2958" s="11" t="s">
        <v>18364</v>
      </c>
      <c r="R2958" s="11" t="s">
        <v>18364</v>
      </c>
      <c r="S2958" s="11" t="s">
        <v>17750</v>
      </c>
    </row>
    <row r="2959" spans="1:19" x14ac:dyDescent="0.2">
      <c r="A2959" s="11" t="s">
        <v>34964</v>
      </c>
      <c r="B2959" s="9" t="s">
        <v>34965</v>
      </c>
      <c r="C2959" s="9" t="s">
        <v>34966</v>
      </c>
      <c r="D2959" s="9" t="s">
        <v>34967</v>
      </c>
      <c r="E2959" s="9" t="s">
        <v>17740</v>
      </c>
      <c r="F2959" s="9" t="s">
        <v>34968</v>
      </c>
      <c r="G2959" s="9" t="s">
        <v>17740</v>
      </c>
      <c r="H2959" s="11" t="s">
        <v>2231</v>
      </c>
      <c r="I2959" s="11" t="s">
        <v>2230</v>
      </c>
      <c r="J2959" s="11" t="s">
        <v>2230</v>
      </c>
      <c r="K2959" s="9" t="s">
        <v>34969</v>
      </c>
      <c r="L2959" s="9" t="s">
        <v>17759</v>
      </c>
      <c r="M2959" s="9" t="s">
        <v>17769</v>
      </c>
      <c r="N2959" s="9" t="s">
        <v>17746</v>
      </c>
      <c r="O2959" s="9" t="s">
        <v>18514</v>
      </c>
      <c r="P2959" s="9" t="s">
        <v>17748</v>
      </c>
      <c r="Q2959" s="11" t="s">
        <v>17883</v>
      </c>
      <c r="R2959" s="11" t="s">
        <v>17883</v>
      </c>
      <c r="S2959" s="11" t="s">
        <v>17750</v>
      </c>
    </row>
    <row r="2960" spans="1:19" x14ac:dyDescent="0.2">
      <c r="A2960" s="11" t="s">
        <v>34970</v>
      </c>
      <c r="B2960" s="9" t="s">
        <v>34971</v>
      </c>
      <c r="C2960" s="9" t="s">
        <v>34972</v>
      </c>
      <c r="D2960" s="9" t="s">
        <v>34973</v>
      </c>
      <c r="E2960" s="9" t="s">
        <v>17740</v>
      </c>
      <c r="F2960" s="9" t="s">
        <v>17741</v>
      </c>
      <c r="G2960" s="9" t="s">
        <v>17740</v>
      </c>
      <c r="H2960" s="11" t="s">
        <v>4653</v>
      </c>
      <c r="I2960" s="11" t="s">
        <v>4652</v>
      </c>
      <c r="J2960" s="11" t="s">
        <v>4652</v>
      </c>
      <c r="K2960" s="9" t="s">
        <v>91</v>
      </c>
      <c r="L2960" s="9" t="s">
        <v>18001</v>
      </c>
      <c r="M2960" s="9" t="s">
        <v>34974</v>
      </c>
      <c r="N2960" s="9" t="s">
        <v>17746</v>
      </c>
      <c r="O2960" s="9" t="s">
        <v>4009</v>
      </c>
      <c r="P2960" s="9" t="s">
        <v>17748</v>
      </c>
      <c r="Q2960" s="11" t="s">
        <v>18059</v>
      </c>
      <c r="R2960" s="11" t="s">
        <v>18059</v>
      </c>
      <c r="S2960" s="11" t="s">
        <v>17750</v>
      </c>
    </row>
    <row r="2961" spans="1:19" x14ac:dyDescent="0.2">
      <c r="A2961" s="11" t="s">
        <v>34975</v>
      </c>
      <c r="B2961" s="9" t="s">
        <v>34976</v>
      </c>
      <c r="C2961" s="9" t="s">
        <v>34977</v>
      </c>
      <c r="D2961" s="9" t="s">
        <v>34978</v>
      </c>
      <c r="E2961" s="9" t="s">
        <v>17740</v>
      </c>
      <c r="F2961" s="9" t="s">
        <v>17741</v>
      </c>
      <c r="G2961" s="9" t="s">
        <v>17740</v>
      </c>
      <c r="H2961" s="11" t="s">
        <v>34979</v>
      </c>
      <c r="I2961" s="11" t="s">
        <v>17741</v>
      </c>
      <c r="J2961" s="11" t="s">
        <v>34979</v>
      </c>
      <c r="K2961" s="9" t="s">
        <v>34980</v>
      </c>
      <c r="L2961" s="9" t="s">
        <v>20446</v>
      </c>
      <c r="M2961" s="9" t="s">
        <v>18533</v>
      </c>
      <c r="N2961" s="9" t="s">
        <v>17746</v>
      </c>
      <c r="O2961" s="9" t="s">
        <v>18340</v>
      </c>
      <c r="P2961" s="9" t="s">
        <v>17748</v>
      </c>
      <c r="Q2961" s="11" t="s">
        <v>18356</v>
      </c>
      <c r="R2961" s="11" t="s">
        <v>18356</v>
      </c>
      <c r="S2961" s="11" t="s">
        <v>17750</v>
      </c>
    </row>
    <row r="2962" spans="1:19" x14ac:dyDescent="0.2">
      <c r="A2962" s="11" t="s">
        <v>34981</v>
      </c>
      <c r="B2962" s="9" t="s">
        <v>34982</v>
      </c>
      <c r="C2962" s="9" t="s">
        <v>34983</v>
      </c>
      <c r="D2962" s="9" t="s">
        <v>34984</v>
      </c>
      <c r="E2962" s="9" t="s">
        <v>17740</v>
      </c>
      <c r="F2962" s="9" t="s">
        <v>17741</v>
      </c>
      <c r="G2962" s="9" t="s">
        <v>17740</v>
      </c>
      <c r="H2962" s="11" t="s">
        <v>17741</v>
      </c>
      <c r="I2962" s="11" t="s">
        <v>34985</v>
      </c>
      <c r="J2962" s="11" t="s">
        <v>34985</v>
      </c>
      <c r="K2962" s="9" t="s">
        <v>34986</v>
      </c>
      <c r="L2962" s="9" t="s">
        <v>17759</v>
      </c>
      <c r="M2962" s="9" t="s">
        <v>18211</v>
      </c>
      <c r="N2962" s="9" t="s">
        <v>17746</v>
      </c>
      <c r="O2962" s="9" t="s">
        <v>19275</v>
      </c>
      <c r="P2962" s="9" t="s">
        <v>17748</v>
      </c>
      <c r="Q2962" s="11" t="s">
        <v>18960</v>
      </c>
      <c r="R2962" s="11" t="s">
        <v>18960</v>
      </c>
      <c r="S2962" s="11" t="s">
        <v>17750</v>
      </c>
    </row>
    <row r="2963" spans="1:19" x14ac:dyDescent="0.2">
      <c r="A2963" s="11" t="s">
        <v>34987</v>
      </c>
      <c r="B2963" s="9" t="s">
        <v>34988</v>
      </c>
      <c r="C2963" s="9" t="s">
        <v>34989</v>
      </c>
      <c r="D2963" s="9" t="s">
        <v>34990</v>
      </c>
      <c r="E2963" s="9" t="s">
        <v>17740</v>
      </c>
      <c r="F2963" s="9" t="s">
        <v>17741</v>
      </c>
      <c r="G2963" s="9" t="s">
        <v>17740</v>
      </c>
      <c r="H2963" s="11" t="s">
        <v>17741</v>
      </c>
      <c r="I2963" s="11" t="s">
        <v>34991</v>
      </c>
      <c r="J2963" s="11" t="s">
        <v>34991</v>
      </c>
      <c r="K2963" s="9" t="s">
        <v>34992</v>
      </c>
      <c r="L2963" s="9" t="s">
        <v>17759</v>
      </c>
      <c r="M2963" s="9" t="s">
        <v>19012</v>
      </c>
      <c r="N2963" s="9" t="s">
        <v>17746</v>
      </c>
      <c r="O2963" s="9" t="s">
        <v>32730</v>
      </c>
      <c r="P2963" s="9" t="s">
        <v>17748</v>
      </c>
      <c r="Q2963" s="11" t="s">
        <v>18282</v>
      </c>
      <c r="R2963" s="11" t="s">
        <v>18282</v>
      </c>
      <c r="S2963" s="11" t="s">
        <v>17750</v>
      </c>
    </row>
    <row r="2964" spans="1:19" x14ac:dyDescent="0.2">
      <c r="A2964" s="11" t="s">
        <v>34993</v>
      </c>
      <c r="B2964" s="9" t="s">
        <v>34994</v>
      </c>
      <c r="C2964" s="9" t="s">
        <v>34995</v>
      </c>
      <c r="D2964" s="9" t="s">
        <v>34996</v>
      </c>
      <c r="E2964" s="9" t="s">
        <v>17740</v>
      </c>
      <c r="F2964" s="9" t="s">
        <v>34997</v>
      </c>
      <c r="G2964" s="9" t="s">
        <v>17740</v>
      </c>
      <c r="H2964" s="11" t="s">
        <v>34998</v>
      </c>
      <c r="I2964" s="11" t="s">
        <v>34999</v>
      </c>
      <c r="J2964" s="11" t="s">
        <v>34999</v>
      </c>
      <c r="K2964" s="9" t="s">
        <v>17805</v>
      </c>
      <c r="L2964" s="9" t="s">
        <v>17759</v>
      </c>
      <c r="M2964" s="9" t="s">
        <v>17760</v>
      </c>
      <c r="N2964" s="9" t="s">
        <v>17746</v>
      </c>
      <c r="O2964" s="9" t="s">
        <v>27873</v>
      </c>
      <c r="P2964" s="9" t="s">
        <v>17748</v>
      </c>
      <c r="Q2964" s="11" t="s">
        <v>18678</v>
      </c>
      <c r="R2964" s="11" t="s">
        <v>18678</v>
      </c>
      <c r="S2964" s="11" t="s">
        <v>17750</v>
      </c>
    </row>
    <row r="2965" spans="1:19" x14ac:dyDescent="0.2">
      <c r="A2965" s="11" t="s">
        <v>35000</v>
      </c>
      <c r="B2965" s="9" t="s">
        <v>35001</v>
      </c>
      <c r="C2965" s="9" t="s">
        <v>35002</v>
      </c>
      <c r="D2965" s="9" t="s">
        <v>35003</v>
      </c>
      <c r="E2965" s="9" t="s">
        <v>17740</v>
      </c>
      <c r="F2965" s="9" t="s">
        <v>17741</v>
      </c>
      <c r="G2965" s="9" t="s">
        <v>17740</v>
      </c>
      <c r="H2965" s="11" t="s">
        <v>2265</v>
      </c>
      <c r="I2965" s="11" t="s">
        <v>2264</v>
      </c>
      <c r="J2965" s="11" t="s">
        <v>2264</v>
      </c>
      <c r="K2965" s="9" t="s">
        <v>28282</v>
      </c>
      <c r="L2965" s="9" t="s">
        <v>18001</v>
      </c>
      <c r="M2965" s="9" t="s">
        <v>25323</v>
      </c>
      <c r="N2965" s="9" t="s">
        <v>17746</v>
      </c>
      <c r="O2965" s="9" t="s">
        <v>3391</v>
      </c>
      <c r="P2965" s="9" t="s">
        <v>17748</v>
      </c>
      <c r="Q2965" s="11" t="s">
        <v>18341</v>
      </c>
      <c r="R2965" s="11" t="s">
        <v>18341</v>
      </c>
      <c r="S2965" s="11" t="s">
        <v>17750</v>
      </c>
    </row>
    <row r="2966" spans="1:19" x14ac:dyDescent="0.2">
      <c r="A2966" s="11" t="s">
        <v>35004</v>
      </c>
      <c r="B2966" s="9" t="s">
        <v>35005</v>
      </c>
      <c r="C2966" s="9" t="s">
        <v>35006</v>
      </c>
      <c r="D2966" s="9" t="s">
        <v>35007</v>
      </c>
      <c r="E2966" s="9" t="s">
        <v>17740</v>
      </c>
      <c r="F2966" s="9" t="s">
        <v>17741</v>
      </c>
      <c r="G2966" s="9" t="s">
        <v>17740</v>
      </c>
      <c r="H2966" s="11" t="s">
        <v>35008</v>
      </c>
      <c r="I2966" s="11" t="s">
        <v>35009</v>
      </c>
      <c r="J2966" s="11" t="s">
        <v>35009</v>
      </c>
      <c r="K2966" s="9" t="s">
        <v>18520</v>
      </c>
      <c r="L2966" s="9" t="s">
        <v>17759</v>
      </c>
      <c r="M2966" s="9" t="s">
        <v>35010</v>
      </c>
      <c r="N2966" s="9" t="s">
        <v>17746</v>
      </c>
      <c r="O2966" s="9" t="s">
        <v>19715</v>
      </c>
      <c r="P2966" s="9" t="s">
        <v>17748</v>
      </c>
      <c r="Q2966" s="11" t="s">
        <v>17808</v>
      </c>
      <c r="R2966" s="11" t="s">
        <v>17808</v>
      </c>
      <c r="S2966" s="11" t="s">
        <v>17750</v>
      </c>
    </row>
    <row r="2967" spans="1:19" x14ac:dyDescent="0.2">
      <c r="A2967" s="11" t="s">
        <v>35011</v>
      </c>
      <c r="B2967" s="9" t="s">
        <v>35012</v>
      </c>
      <c r="C2967" s="9" t="s">
        <v>35013</v>
      </c>
      <c r="D2967" s="9" t="s">
        <v>35014</v>
      </c>
      <c r="E2967" s="9" t="s">
        <v>17748</v>
      </c>
      <c r="F2967" s="9" t="s">
        <v>35015</v>
      </c>
      <c r="G2967" s="9" t="s">
        <v>17740</v>
      </c>
      <c r="H2967" s="11" t="s">
        <v>9229</v>
      </c>
      <c r="I2967" s="11" t="s">
        <v>9228</v>
      </c>
      <c r="J2967" s="11" t="s">
        <v>9228</v>
      </c>
      <c r="K2967" s="9" t="s">
        <v>291</v>
      </c>
      <c r="L2967" s="9" t="s">
        <v>17744</v>
      </c>
      <c r="M2967" s="9" t="s">
        <v>17760</v>
      </c>
      <c r="N2967" s="9" t="s">
        <v>17746</v>
      </c>
      <c r="O2967" s="9" t="s">
        <v>5790</v>
      </c>
      <c r="P2967" s="9" t="s">
        <v>17748</v>
      </c>
      <c r="Q2967" s="11" t="s">
        <v>18922</v>
      </c>
      <c r="R2967" s="11" t="s">
        <v>18922</v>
      </c>
      <c r="S2967" s="11" t="s">
        <v>17750</v>
      </c>
    </row>
    <row r="2968" spans="1:19" x14ac:dyDescent="0.2">
      <c r="A2968" s="11" t="s">
        <v>35016</v>
      </c>
      <c r="B2968" s="9" t="s">
        <v>35017</v>
      </c>
      <c r="C2968" s="9" t="s">
        <v>35018</v>
      </c>
      <c r="D2968" s="9" t="s">
        <v>35019</v>
      </c>
      <c r="E2968" s="9" t="s">
        <v>17740</v>
      </c>
      <c r="F2968" s="9" t="s">
        <v>17741</v>
      </c>
      <c r="G2968" s="9" t="s">
        <v>17740</v>
      </c>
      <c r="H2968" s="11" t="s">
        <v>11055</v>
      </c>
      <c r="I2968" s="11" t="s">
        <v>11054</v>
      </c>
      <c r="J2968" s="11" t="s">
        <v>11054</v>
      </c>
      <c r="K2968" s="9" t="s">
        <v>22893</v>
      </c>
      <c r="L2968" s="9" t="s">
        <v>17744</v>
      </c>
      <c r="M2968" s="9" t="s">
        <v>17760</v>
      </c>
      <c r="N2968" s="9" t="s">
        <v>17746</v>
      </c>
      <c r="O2968" s="9" t="s">
        <v>5790</v>
      </c>
      <c r="P2968" s="9" t="s">
        <v>17748</v>
      </c>
      <c r="Q2968" s="11" t="s">
        <v>17994</v>
      </c>
      <c r="R2968" s="11" t="s">
        <v>17994</v>
      </c>
      <c r="S2968" s="11" t="s">
        <v>17750</v>
      </c>
    </row>
    <row r="2969" spans="1:19" x14ac:dyDescent="0.2">
      <c r="A2969" s="11" t="s">
        <v>35020</v>
      </c>
      <c r="B2969" s="9" t="s">
        <v>35021</v>
      </c>
      <c r="C2969" s="9" t="s">
        <v>35022</v>
      </c>
      <c r="D2969" s="9" t="s">
        <v>35023</v>
      </c>
      <c r="E2969" s="9" t="s">
        <v>17740</v>
      </c>
      <c r="F2969" s="9" t="s">
        <v>35024</v>
      </c>
      <c r="G2969" s="9" t="s">
        <v>17740</v>
      </c>
      <c r="H2969" s="11" t="s">
        <v>17741</v>
      </c>
      <c r="I2969" s="11" t="s">
        <v>35025</v>
      </c>
      <c r="J2969" s="11" t="s">
        <v>35025</v>
      </c>
      <c r="K2969" s="9" t="s">
        <v>35026</v>
      </c>
      <c r="L2969" s="9" t="s">
        <v>17759</v>
      </c>
      <c r="M2969" s="9" t="s">
        <v>18065</v>
      </c>
      <c r="N2969" s="9" t="s">
        <v>17746</v>
      </c>
      <c r="O2969" s="9" t="s">
        <v>17882</v>
      </c>
      <c r="P2969" s="9" t="s">
        <v>17748</v>
      </c>
      <c r="Q2969" s="11" t="s">
        <v>18798</v>
      </c>
      <c r="R2969" s="11" t="s">
        <v>18798</v>
      </c>
      <c r="S2969" s="11" t="s">
        <v>17750</v>
      </c>
    </row>
    <row r="2970" spans="1:19" x14ac:dyDescent="0.2">
      <c r="A2970" s="11" t="s">
        <v>35027</v>
      </c>
      <c r="B2970" s="9" t="s">
        <v>35028</v>
      </c>
      <c r="C2970" s="9" t="s">
        <v>35029</v>
      </c>
      <c r="D2970" s="9" t="s">
        <v>35030</v>
      </c>
      <c r="E2970" s="9" t="s">
        <v>17740</v>
      </c>
      <c r="F2970" s="9" t="s">
        <v>17741</v>
      </c>
      <c r="G2970" s="9" t="s">
        <v>17740</v>
      </c>
      <c r="H2970" s="11" t="s">
        <v>17741</v>
      </c>
      <c r="I2970" s="11" t="s">
        <v>35031</v>
      </c>
      <c r="J2970" s="11" t="s">
        <v>35031</v>
      </c>
      <c r="K2970" s="9" t="s">
        <v>19767</v>
      </c>
      <c r="L2970" s="9" t="s">
        <v>17759</v>
      </c>
      <c r="M2970" s="9" t="s">
        <v>17760</v>
      </c>
      <c r="N2970" s="9" t="s">
        <v>17746</v>
      </c>
      <c r="O2970" s="9" t="s">
        <v>18514</v>
      </c>
      <c r="P2970" s="9" t="s">
        <v>17748</v>
      </c>
      <c r="Q2970" s="11" t="s">
        <v>17969</v>
      </c>
      <c r="R2970" s="11" t="s">
        <v>17969</v>
      </c>
      <c r="S2970" s="11" t="s">
        <v>17750</v>
      </c>
    </row>
    <row r="2971" spans="1:19" x14ac:dyDescent="0.2">
      <c r="A2971" s="11" t="s">
        <v>35032</v>
      </c>
      <c r="B2971" s="9" t="s">
        <v>35033</v>
      </c>
      <c r="C2971" s="9" t="s">
        <v>35034</v>
      </c>
      <c r="D2971" s="9" t="s">
        <v>35035</v>
      </c>
      <c r="E2971" s="9" t="s">
        <v>17740</v>
      </c>
      <c r="F2971" s="9" t="s">
        <v>17741</v>
      </c>
      <c r="G2971" s="9" t="s">
        <v>17740</v>
      </c>
      <c r="H2971" s="11" t="s">
        <v>35036</v>
      </c>
      <c r="I2971" s="11" t="s">
        <v>35037</v>
      </c>
      <c r="J2971" s="11" t="s">
        <v>35037</v>
      </c>
      <c r="K2971" s="9" t="s">
        <v>20677</v>
      </c>
      <c r="L2971" s="9" t="s">
        <v>17759</v>
      </c>
      <c r="M2971" s="9" t="s">
        <v>17769</v>
      </c>
      <c r="N2971" s="9" t="s">
        <v>17746</v>
      </c>
      <c r="O2971" s="9" t="s">
        <v>20746</v>
      </c>
      <c r="P2971" s="9" t="s">
        <v>17748</v>
      </c>
      <c r="Q2971" s="11" t="s">
        <v>17749</v>
      </c>
      <c r="R2971" s="11" t="s">
        <v>17749</v>
      </c>
      <c r="S2971" s="11" t="s">
        <v>17750</v>
      </c>
    </row>
    <row r="2972" spans="1:19" x14ac:dyDescent="0.2">
      <c r="A2972" s="11" t="s">
        <v>35038</v>
      </c>
      <c r="B2972" s="9" t="s">
        <v>35039</v>
      </c>
      <c r="C2972" s="9" t="s">
        <v>35040</v>
      </c>
      <c r="D2972" s="9" t="s">
        <v>35041</v>
      </c>
      <c r="E2972" s="9" t="s">
        <v>17740</v>
      </c>
      <c r="F2972" s="9" t="s">
        <v>35042</v>
      </c>
      <c r="G2972" s="9" t="s">
        <v>17740</v>
      </c>
      <c r="H2972" s="11" t="s">
        <v>4402</v>
      </c>
      <c r="I2972" s="11" t="s">
        <v>4401</v>
      </c>
      <c r="J2972" s="11" t="s">
        <v>4401</v>
      </c>
      <c r="K2972" s="9" t="s">
        <v>91</v>
      </c>
      <c r="L2972" s="9" t="s">
        <v>23607</v>
      </c>
      <c r="M2972" s="9" t="s">
        <v>21361</v>
      </c>
      <c r="N2972" s="9" t="s">
        <v>17746</v>
      </c>
      <c r="O2972" s="9" t="s">
        <v>20746</v>
      </c>
      <c r="P2972" s="9" t="s">
        <v>17748</v>
      </c>
      <c r="Q2972" s="11" t="s">
        <v>18364</v>
      </c>
      <c r="R2972" s="11" t="s">
        <v>18364</v>
      </c>
      <c r="S2972" s="11" t="s">
        <v>17750</v>
      </c>
    </row>
    <row r="2973" spans="1:19" x14ac:dyDescent="0.2">
      <c r="A2973" s="11" t="s">
        <v>35043</v>
      </c>
      <c r="B2973" s="9" t="s">
        <v>35044</v>
      </c>
      <c r="C2973" s="9" t="s">
        <v>35045</v>
      </c>
      <c r="D2973" s="9" t="s">
        <v>35046</v>
      </c>
      <c r="E2973" s="9" t="s">
        <v>17740</v>
      </c>
      <c r="F2973" s="9" t="s">
        <v>35047</v>
      </c>
      <c r="G2973" s="9" t="s">
        <v>17740</v>
      </c>
      <c r="H2973" s="11" t="s">
        <v>4255</v>
      </c>
      <c r="I2973" s="11" t="s">
        <v>4254</v>
      </c>
      <c r="J2973" s="11" t="s">
        <v>4254</v>
      </c>
      <c r="K2973" s="9" t="s">
        <v>303</v>
      </c>
      <c r="L2973" s="9" t="s">
        <v>17759</v>
      </c>
      <c r="M2973" s="9" t="s">
        <v>17760</v>
      </c>
      <c r="N2973" s="9" t="s">
        <v>17746</v>
      </c>
      <c r="O2973" s="9" t="s">
        <v>7317</v>
      </c>
      <c r="P2973" s="9" t="s">
        <v>17748</v>
      </c>
      <c r="Q2973" s="11" t="s">
        <v>18059</v>
      </c>
      <c r="R2973" s="11" t="s">
        <v>18059</v>
      </c>
      <c r="S2973" s="11" t="s">
        <v>17750</v>
      </c>
    </row>
    <row r="2974" spans="1:19" x14ac:dyDescent="0.2">
      <c r="A2974" s="11" t="s">
        <v>35048</v>
      </c>
      <c r="B2974" s="9" t="s">
        <v>35049</v>
      </c>
      <c r="C2974" s="9" t="s">
        <v>35050</v>
      </c>
      <c r="D2974" s="9" t="s">
        <v>35051</v>
      </c>
      <c r="E2974" s="9" t="s">
        <v>17740</v>
      </c>
      <c r="F2974" s="9" t="s">
        <v>17741</v>
      </c>
      <c r="G2974" s="9" t="s">
        <v>17740</v>
      </c>
      <c r="H2974" s="11" t="s">
        <v>12275</v>
      </c>
      <c r="I2974" s="11" t="s">
        <v>12274</v>
      </c>
      <c r="J2974" s="11" t="s">
        <v>12274</v>
      </c>
      <c r="K2974" s="9" t="s">
        <v>18661</v>
      </c>
      <c r="L2974" s="9" t="s">
        <v>18001</v>
      </c>
      <c r="M2974" s="9" t="s">
        <v>25199</v>
      </c>
      <c r="N2974" s="9" t="s">
        <v>17746</v>
      </c>
      <c r="O2974" s="9" t="s">
        <v>1675</v>
      </c>
      <c r="P2974" s="9" t="s">
        <v>17748</v>
      </c>
      <c r="Q2974" s="11" t="s">
        <v>17917</v>
      </c>
      <c r="R2974" s="11" t="s">
        <v>17917</v>
      </c>
      <c r="S2974" s="11" t="s">
        <v>17750</v>
      </c>
    </row>
    <row r="2975" spans="1:19" x14ac:dyDescent="0.2">
      <c r="A2975" s="11" t="s">
        <v>35052</v>
      </c>
      <c r="B2975" s="9" t="s">
        <v>35053</v>
      </c>
      <c r="C2975" s="9" t="s">
        <v>35054</v>
      </c>
      <c r="D2975" s="9" t="s">
        <v>35055</v>
      </c>
      <c r="E2975" s="9" t="s">
        <v>17740</v>
      </c>
      <c r="F2975" s="9" t="s">
        <v>17741</v>
      </c>
      <c r="G2975" s="9" t="s">
        <v>17740</v>
      </c>
      <c r="H2975" s="11" t="s">
        <v>35056</v>
      </c>
      <c r="I2975" s="11" t="s">
        <v>35057</v>
      </c>
      <c r="J2975" s="11" t="s">
        <v>35057</v>
      </c>
      <c r="K2975" s="9" t="s">
        <v>35058</v>
      </c>
      <c r="L2975" s="9" t="s">
        <v>18001</v>
      </c>
      <c r="M2975" s="9" t="s">
        <v>17760</v>
      </c>
      <c r="N2975" s="9" t="s">
        <v>17746</v>
      </c>
      <c r="O2975" s="9" t="s">
        <v>18855</v>
      </c>
      <c r="P2975" s="9" t="s">
        <v>17748</v>
      </c>
      <c r="Q2975" s="11" t="s">
        <v>18059</v>
      </c>
      <c r="R2975" s="11" t="s">
        <v>18059</v>
      </c>
      <c r="S2975" s="11" t="s">
        <v>17750</v>
      </c>
    </row>
    <row r="2976" spans="1:19" x14ac:dyDescent="0.2">
      <c r="A2976" s="11" t="s">
        <v>35059</v>
      </c>
      <c r="B2976" s="9" t="s">
        <v>35060</v>
      </c>
      <c r="C2976" s="9" t="s">
        <v>35061</v>
      </c>
      <c r="D2976" s="9" t="s">
        <v>35062</v>
      </c>
      <c r="E2976" s="9" t="s">
        <v>17740</v>
      </c>
      <c r="F2976" s="9" t="s">
        <v>17741</v>
      </c>
      <c r="G2976" s="9" t="s">
        <v>17740</v>
      </c>
      <c r="H2976" s="11" t="s">
        <v>17741</v>
      </c>
      <c r="I2976" s="11" t="s">
        <v>35063</v>
      </c>
      <c r="J2976" s="11" t="s">
        <v>35063</v>
      </c>
      <c r="K2976" s="9" t="s">
        <v>35064</v>
      </c>
      <c r="L2976" s="9" t="s">
        <v>17759</v>
      </c>
      <c r="M2976" s="9" t="s">
        <v>17760</v>
      </c>
      <c r="N2976" s="9" t="s">
        <v>17746</v>
      </c>
      <c r="O2976" s="9" t="s">
        <v>35065</v>
      </c>
      <c r="P2976" s="9" t="s">
        <v>17748</v>
      </c>
      <c r="Q2976" s="11" t="s">
        <v>17808</v>
      </c>
      <c r="R2976" s="11" t="s">
        <v>17808</v>
      </c>
      <c r="S2976" s="11" t="s">
        <v>17750</v>
      </c>
    </row>
    <row r="2977" spans="1:19" x14ac:dyDescent="0.2">
      <c r="A2977" s="11" t="s">
        <v>35066</v>
      </c>
      <c r="B2977" s="9" t="s">
        <v>35067</v>
      </c>
      <c r="C2977" s="9" t="s">
        <v>35068</v>
      </c>
      <c r="D2977" s="9" t="s">
        <v>35069</v>
      </c>
      <c r="E2977" s="9" t="s">
        <v>17740</v>
      </c>
      <c r="F2977" s="9" t="s">
        <v>35070</v>
      </c>
      <c r="G2977" s="9" t="s">
        <v>17740</v>
      </c>
      <c r="H2977" s="11" t="s">
        <v>35071</v>
      </c>
      <c r="I2977" s="11" t="s">
        <v>7345</v>
      </c>
      <c r="J2977" s="11" t="s">
        <v>7345</v>
      </c>
      <c r="K2977" s="9" t="s">
        <v>35072</v>
      </c>
      <c r="L2977" s="9" t="s">
        <v>18959</v>
      </c>
      <c r="M2977" s="9" t="s">
        <v>17760</v>
      </c>
      <c r="N2977" s="9" t="s">
        <v>17746</v>
      </c>
      <c r="O2977" s="9" t="s">
        <v>27102</v>
      </c>
      <c r="P2977" s="9" t="s">
        <v>17748</v>
      </c>
      <c r="Q2977" s="11" t="s">
        <v>18201</v>
      </c>
      <c r="R2977" s="11" t="s">
        <v>18201</v>
      </c>
      <c r="S2977" s="11" t="s">
        <v>17750</v>
      </c>
    </row>
    <row r="2978" spans="1:19" x14ac:dyDescent="0.2">
      <c r="A2978" s="11" t="s">
        <v>35073</v>
      </c>
      <c r="B2978" s="9" t="s">
        <v>35074</v>
      </c>
      <c r="C2978" s="9" t="s">
        <v>35075</v>
      </c>
      <c r="D2978" s="9" t="s">
        <v>35076</v>
      </c>
      <c r="E2978" s="9" t="s">
        <v>17740</v>
      </c>
      <c r="F2978" s="9" t="s">
        <v>17741</v>
      </c>
      <c r="G2978" s="9" t="s">
        <v>17740</v>
      </c>
      <c r="H2978" s="11" t="s">
        <v>35077</v>
      </c>
      <c r="I2978" s="11" t="s">
        <v>35078</v>
      </c>
      <c r="J2978" s="11" t="s">
        <v>35078</v>
      </c>
      <c r="K2978" s="9" t="s">
        <v>17805</v>
      </c>
      <c r="L2978" s="9" t="s">
        <v>17759</v>
      </c>
      <c r="M2978" s="9" t="s">
        <v>28372</v>
      </c>
      <c r="N2978" s="9" t="s">
        <v>17746</v>
      </c>
      <c r="O2978" s="9" t="s">
        <v>19547</v>
      </c>
      <c r="P2978" s="9" t="s">
        <v>17748</v>
      </c>
      <c r="Q2978" s="11" t="s">
        <v>17771</v>
      </c>
      <c r="R2978" s="11" t="s">
        <v>17771</v>
      </c>
      <c r="S2978" s="11" t="s">
        <v>17750</v>
      </c>
    </row>
    <row r="2979" spans="1:19" x14ac:dyDescent="0.2">
      <c r="A2979" s="11" t="s">
        <v>35079</v>
      </c>
      <c r="B2979" s="9" t="s">
        <v>35080</v>
      </c>
      <c r="C2979" s="9" t="s">
        <v>35081</v>
      </c>
      <c r="D2979" s="9" t="s">
        <v>35082</v>
      </c>
      <c r="E2979" s="9" t="s">
        <v>17740</v>
      </c>
      <c r="F2979" s="9" t="s">
        <v>17741</v>
      </c>
      <c r="G2979" s="9" t="s">
        <v>17740</v>
      </c>
      <c r="H2979" s="11" t="s">
        <v>9136</v>
      </c>
      <c r="I2979" s="11" t="s">
        <v>9135</v>
      </c>
      <c r="J2979" s="11" t="s">
        <v>9135</v>
      </c>
      <c r="K2979" s="9" t="s">
        <v>91</v>
      </c>
      <c r="L2979" s="9" t="s">
        <v>18001</v>
      </c>
      <c r="M2979" s="9" t="s">
        <v>17760</v>
      </c>
      <c r="N2979" s="9" t="s">
        <v>17746</v>
      </c>
      <c r="O2979" s="9" t="s">
        <v>15733</v>
      </c>
      <c r="P2979" s="9" t="s">
        <v>17748</v>
      </c>
      <c r="Q2979" s="11" t="s">
        <v>17994</v>
      </c>
      <c r="R2979" s="11" t="s">
        <v>17994</v>
      </c>
      <c r="S2979" s="11" t="s">
        <v>17750</v>
      </c>
    </row>
    <row r="2980" spans="1:19" x14ac:dyDescent="0.2">
      <c r="A2980" s="11" t="s">
        <v>35083</v>
      </c>
      <c r="B2980" s="9" t="s">
        <v>35084</v>
      </c>
      <c r="C2980" s="9" t="s">
        <v>35085</v>
      </c>
      <c r="D2980" s="9" t="s">
        <v>35086</v>
      </c>
      <c r="E2980" s="9" t="s">
        <v>17740</v>
      </c>
      <c r="F2980" s="9" t="s">
        <v>17741</v>
      </c>
      <c r="G2980" s="9" t="s">
        <v>17740</v>
      </c>
      <c r="H2980" s="11" t="s">
        <v>35087</v>
      </c>
      <c r="I2980" s="11" t="s">
        <v>35088</v>
      </c>
      <c r="J2980" s="11" t="s">
        <v>35088</v>
      </c>
      <c r="K2980" s="9" t="s">
        <v>724</v>
      </c>
      <c r="L2980" s="9" t="s">
        <v>17744</v>
      </c>
      <c r="M2980" s="9" t="s">
        <v>17760</v>
      </c>
      <c r="N2980" s="9" t="s">
        <v>17746</v>
      </c>
      <c r="O2980" s="9" t="s">
        <v>18563</v>
      </c>
      <c r="P2980" s="9" t="s">
        <v>17748</v>
      </c>
      <c r="Q2980" s="11" t="s">
        <v>18139</v>
      </c>
      <c r="R2980" s="11" t="s">
        <v>18139</v>
      </c>
      <c r="S2980" s="11" t="s">
        <v>17750</v>
      </c>
    </row>
    <row r="2981" spans="1:19" x14ac:dyDescent="0.2">
      <c r="A2981" s="11" t="s">
        <v>35089</v>
      </c>
      <c r="B2981" s="9" t="s">
        <v>35090</v>
      </c>
      <c r="C2981" s="9" t="s">
        <v>35091</v>
      </c>
      <c r="D2981" s="9" t="s">
        <v>35092</v>
      </c>
      <c r="E2981" s="9" t="s">
        <v>17740</v>
      </c>
      <c r="F2981" s="9" t="s">
        <v>17741</v>
      </c>
      <c r="G2981" s="9" t="s">
        <v>17740</v>
      </c>
      <c r="H2981" s="11" t="s">
        <v>35093</v>
      </c>
      <c r="I2981" s="11" t="s">
        <v>35094</v>
      </c>
      <c r="J2981" s="11" t="s">
        <v>35094</v>
      </c>
      <c r="K2981" s="9" t="s">
        <v>33588</v>
      </c>
      <c r="L2981" s="9" t="s">
        <v>17759</v>
      </c>
      <c r="M2981" s="9" t="s">
        <v>17817</v>
      </c>
      <c r="N2981" s="9" t="s">
        <v>17746</v>
      </c>
      <c r="O2981" s="9" t="s">
        <v>18563</v>
      </c>
      <c r="P2981" s="9" t="s">
        <v>17748</v>
      </c>
      <c r="Q2981" s="11" t="s">
        <v>23601</v>
      </c>
      <c r="R2981" s="11" t="s">
        <v>23601</v>
      </c>
      <c r="S2981" s="11" t="s">
        <v>17750</v>
      </c>
    </row>
    <row r="2982" spans="1:19" x14ac:dyDescent="0.2">
      <c r="A2982" s="11" t="s">
        <v>35095</v>
      </c>
      <c r="B2982" s="9" t="s">
        <v>35096</v>
      </c>
      <c r="C2982" s="9" t="s">
        <v>35097</v>
      </c>
      <c r="D2982" s="9" t="s">
        <v>35098</v>
      </c>
      <c r="E2982" s="9" t="s">
        <v>17740</v>
      </c>
      <c r="F2982" s="9" t="s">
        <v>17741</v>
      </c>
      <c r="G2982" s="9" t="s">
        <v>17740</v>
      </c>
      <c r="H2982" s="11" t="s">
        <v>17741</v>
      </c>
      <c r="I2982" s="11" t="s">
        <v>35099</v>
      </c>
      <c r="J2982" s="11" t="s">
        <v>35099</v>
      </c>
      <c r="K2982" s="9" t="s">
        <v>35100</v>
      </c>
      <c r="L2982" s="9" t="s">
        <v>17759</v>
      </c>
      <c r="M2982" s="9" t="s">
        <v>17760</v>
      </c>
      <c r="N2982" s="9" t="s">
        <v>17746</v>
      </c>
      <c r="O2982" s="9" t="s">
        <v>35101</v>
      </c>
      <c r="P2982" s="9" t="s">
        <v>17748</v>
      </c>
      <c r="Q2982" s="11" t="s">
        <v>18272</v>
      </c>
      <c r="R2982" s="11" t="s">
        <v>18272</v>
      </c>
      <c r="S2982" s="11" t="s">
        <v>17750</v>
      </c>
    </row>
    <row r="2983" spans="1:19" x14ac:dyDescent="0.2">
      <c r="A2983" s="11" t="s">
        <v>35102</v>
      </c>
      <c r="B2983" s="9" t="s">
        <v>35103</v>
      </c>
      <c r="C2983" s="9" t="s">
        <v>35104</v>
      </c>
      <c r="D2983" s="9" t="s">
        <v>35105</v>
      </c>
      <c r="E2983" s="9" t="s">
        <v>17740</v>
      </c>
      <c r="F2983" s="9" t="s">
        <v>17741</v>
      </c>
      <c r="G2983" s="9" t="s">
        <v>17740</v>
      </c>
      <c r="H2983" s="11" t="s">
        <v>35106</v>
      </c>
      <c r="I2983" s="11" t="s">
        <v>35107</v>
      </c>
      <c r="J2983" s="11" t="s">
        <v>35107</v>
      </c>
      <c r="K2983" s="9" t="s">
        <v>55</v>
      </c>
      <c r="L2983" s="9" t="s">
        <v>17759</v>
      </c>
      <c r="M2983" s="9" t="s">
        <v>17760</v>
      </c>
      <c r="N2983" s="9" t="s">
        <v>17746</v>
      </c>
      <c r="O2983" s="9" t="s">
        <v>35108</v>
      </c>
      <c r="P2983" s="9" t="s">
        <v>17748</v>
      </c>
      <c r="Q2983" s="11" t="s">
        <v>18201</v>
      </c>
      <c r="R2983" s="11" t="s">
        <v>18201</v>
      </c>
      <c r="S2983" s="11" t="s">
        <v>17750</v>
      </c>
    </row>
    <row r="2984" spans="1:19" x14ac:dyDescent="0.2">
      <c r="A2984" s="11" t="s">
        <v>35109</v>
      </c>
      <c r="B2984" s="9" t="s">
        <v>35110</v>
      </c>
      <c r="C2984" s="9" t="s">
        <v>35111</v>
      </c>
      <c r="D2984" s="9" t="s">
        <v>35112</v>
      </c>
      <c r="E2984" s="9" t="s">
        <v>17740</v>
      </c>
      <c r="F2984" s="9" t="s">
        <v>17741</v>
      </c>
      <c r="G2984" s="9" t="s">
        <v>17740</v>
      </c>
      <c r="H2984" s="11" t="s">
        <v>35113</v>
      </c>
      <c r="I2984" s="11" t="s">
        <v>35114</v>
      </c>
      <c r="J2984" s="11" t="s">
        <v>35114</v>
      </c>
      <c r="K2984" s="9" t="s">
        <v>35115</v>
      </c>
      <c r="L2984" s="9" t="s">
        <v>17759</v>
      </c>
      <c r="M2984" s="9" t="s">
        <v>35116</v>
      </c>
      <c r="N2984" s="9" t="s">
        <v>17746</v>
      </c>
      <c r="O2984" s="9" t="s">
        <v>25960</v>
      </c>
      <c r="P2984" s="9" t="s">
        <v>17748</v>
      </c>
      <c r="Q2984" s="11" t="s">
        <v>20691</v>
      </c>
      <c r="R2984" s="11" t="s">
        <v>20691</v>
      </c>
      <c r="S2984" s="11" t="s">
        <v>17750</v>
      </c>
    </row>
    <row r="2985" spans="1:19" x14ac:dyDescent="0.2">
      <c r="A2985" s="11" t="s">
        <v>35117</v>
      </c>
      <c r="B2985" s="9" t="s">
        <v>35118</v>
      </c>
      <c r="C2985" s="9" t="s">
        <v>35119</v>
      </c>
      <c r="D2985" s="9" t="s">
        <v>35120</v>
      </c>
      <c r="E2985" s="9" t="s">
        <v>17740</v>
      </c>
      <c r="F2985" s="9" t="s">
        <v>35121</v>
      </c>
      <c r="G2985" s="9" t="s">
        <v>17740</v>
      </c>
      <c r="H2985" s="11" t="s">
        <v>35122</v>
      </c>
      <c r="I2985" s="11" t="s">
        <v>35123</v>
      </c>
      <c r="J2985" s="11" t="s">
        <v>35123</v>
      </c>
      <c r="K2985" s="9" t="s">
        <v>35124</v>
      </c>
      <c r="L2985" s="9" t="s">
        <v>17759</v>
      </c>
      <c r="M2985" s="9" t="s">
        <v>17769</v>
      </c>
      <c r="N2985" s="9" t="s">
        <v>17746</v>
      </c>
      <c r="O2985" s="9" t="s">
        <v>18340</v>
      </c>
      <c r="P2985" s="9" t="s">
        <v>17748</v>
      </c>
      <c r="Q2985" s="11" t="s">
        <v>18678</v>
      </c>
      <c r="R2985" s="11" t="s">
        <v>18678</v>
      </c>
      <c r="S2985" s="11" t="s">
        <v>17750</v>
      </c>
    </row>
    <row r="2986" spans="1:19" x14ac:dyDescent="0.2">
      <c r="A2986" s="11" t="s">
        <v>35125</v>
      </c>
      <c r="B2986" s="9" t="s">
        <v>35126</v>
      </c>
      <c r="C2986" s="9" t="s">
        <v>35127</v>
      </c>
      <c r="D2986" s="9" t="s">
        <v>35128</v>
      </c>
      <c r="E2986" s="9" t="s">
        <v>17740</v>
      </c>
      <c r="F2986" s="9" t="s">
        <v>35129</v>
      </c>
      <c r="G2986" s="9" t="s">
        <v>17740</v>
      </c>
      <c r="H2986" s="11" t="s">
        <v>35130</v>
      </c>
      <c r="I2986" s="11" t="s">
        <v>35131</v>
      </c>
      <c r="J2986" s="11" t="s">
        <v>35131</v>
      </c>
      <c r="K2986" s="9" t="s">
        <v>18520</v>
      </c>
      <c r="L2986" s="9" t="s">
        <v>17759</v>
      </c>
      <c r="M2986" s="9" t="s">
        <v>17817</v>
      </c>
      <c r="N2986" s="9" t="s">
        <v>17746</v>
      </c>
      <c r="O2986" s="9" t="s">
        <v>18340</v>
      </c>
      <c r="P2986" s="9" t="s">
        <v>17748</v>
      </c>
      <c r="Q2986" s="11" t="s">
        <v>29998</v>
      </c>
      <c r="R2986" s="11" t="s">
        <v>29998</v>
      </c>
      <c r="S2986" s="11" t="s">
        <v>17750</v>
      </c>
    </row>
    <row r="2987" spans="1:19" x14ac:dyDescent="0.2">
      <c r="A2987" s="11" t="s">
        <v>35132</v>
      </c>
      <c r="B2987" s="9" t="s">
        <v>35133</v>
      </c>
      <c r="C2987" s="9" t="s">
        <v>35134</v>
      </c>
      <c r="D2987" s="9" t="s">
        <v>35135</v>
      </c>
      <c r="E2987" s="9" t="s">
        <v>17740</v>
      </c>
      <c r="F2987" s="9" t="s">
        <v>17741</v>
      </c>
      <c r="G2987" s="9" t="s">
        <v>17740</v>
      </c>
      <c r="H2987" s="11" t="s">
        <v>35136</v>
      </c>
      <c r="I2987" s="11" t="s">
        <v>35137</v>
      </c>
      <c r="J2987" s="11" t="s">
        <v>35137</v>
      </c>
      <c r="K2987" s="9" t="s">
        <v>91</v>
      </c>
      <c r="L2987" s="9" t="s">
        <v>17744</v>
      </c>
      <c r="M2987" s="9" t="s">
        <v>17769</v>
      </c>
      <c r="N2987" s="9" t="s">
        <v>17746</v>
      </c>
      <c r="O2987" s="9" t="s">
        <v>18340</v>
      </c>
      <c r="P2987" s="9" t="s">
        <v>17748</v>
      </c>
      <c r="Q2987" s="11" t="s">
        <v>19082</v>
      </c>
      <c r="R2987" s="11" t="s">
        <v>19082</v>
      </c>
      <c r="S2987" s="11" t="s">
        <v>17750</v>
      </c>
    </row>
    <row r="2988" spans="1:19" x14ac:dyDescent="0.2">
      <c r="A2988" s="11" t="s">
        <v>35138</v>
      </c>
      <c r="B2988" s="9" t="s">
        <v>35139</v>
      </c>
      <c r="C2988" s="9" t="s">
        <v>35140</v>
      </c>
      <c r="D2988" s="9" t="s">
        <v>35141</v>
      </c>
      <c r="E2988" s="9" t="s">
        <v>17748</v>
      </c>
      <c r="F2988" s="9" t="s">
        <v>35142</v>
      </c>
      <c r="G2988" s="9" t="s">
        <v>17740</v>
      </c>
      <c r="H2988" s="11" t="s">
        <v>35143</v>
      </c>
      <c r="I2988" s="11" t="s">
        <v>35144</v>
      </c>
      <c r="J2988" s="11" t="s">
        <v>35144</v>
      </c>
      <c r="K2988" s="9" t="s">
        <v>35145</v>
      </c>
      <c r="L2988" s="9" t="s">
        <v>17759</v>
      </c>
      <c r="M2988" s="9" t="s">
        <v>18685</v>
      </c>
      <c r="N2988" s="9" t="s">
        <v>17746</v>
      </c>
      <c r="O2988" s="9" t="s">
        <v>28400</v>
      </c>
      <c r="P2988" s="9" t="s">
        <v>17748</v>
      </c>
      <c r="Q2988" s="11" t="s">
        <v>17858</v>
      </c>
      <c r="R2988" s="11" t="s">
        <v>17858</v>
      </c>
      <c r="S2988" s="11" t="s">
        <v>17750</v>
      </c>
    </row>
    <row r="2989" spans="1:19" x14ac:dyDescent="0.2">
      <c r="A2989" s="11" t="s">
        <v>35146</v>
      </c>
      <c r="B2989" s="9" t="s">
        <v>35147</v>
      </c>
      <c r="C2989" s="9" t="s">
        <v>35148</v>
      </c>
      <c r="D2989" s="9" t="s">
        <v>35149</v>
      </c>
      <c r="E2989" s="9" t="s">
        <v>17740</v>
      </c>
      <c r="F2989" s="9" t="s">
        <v>17741</v>
      </c>
      <c r="G2989" s="9" t="s">
        <v>17740</v>
      </c>
      <c r="H2989" s="11" t="s">
        <v>5227</v>
      </c>
      <c r="I2989" s="11" t="s">
        <v>5226</v>
      </c>
      <c r="J2989" s="11" t="s">
        <v>5226</v>
      </c>
      <c r="K2989" s="9" t="s">
        <v>91</v>
      </c>
      <c r="L2989" s="9" t="s">
        <v>18001</v>
      </c>
      <c r="M2989" s="9" t="s">
        <v>18417</v>
      </c>
      <c r="N2989" s="9" t="s">
        <v>17746</v>
      </c>
      <c r="O2989" s="9" t="s">
        <v>5790</v>
      </c>
      <c r="P2989" s="9" t="s">
        <v>17748</v>
      </c>
      <c r="Q2989" s="11" t="s">
        <v>17749</v>
      </c>
      <c r="R2989" s="11" t="s">
        <v>17749</v>
      </c>
      <c r="S2989" s="11" t="s">
        <v>17750</v>
      </c>
    </row>
    <row r="2990" spans="1:19" x14ac:dyDescent="0.2">
      <c r="A2990" s="11" t="s">
        <v>35150</v>
      </c>
      <c r="B2990" s="9" t="s">
        <v>35151</v>
      </c>
      <c r="C2990" s="9" t="s">
        <v>35152</v>
      </c>
      <c r="D2990" s="9" t="s">
        <v>35153</v>
      </c>
      <c r="E2990" s="9" t="s">
        <v>17740</v>
      </c>
      <c r="F2990" s="9" t="s">
        <v>17741</v>
      </c>
      <c r="G2990" s="9" t="s">
        <v>17740</v>
      </c>
      <c r="H2990" s="11" t="s">
        <v>4805</v>
      </c>
      <c r="I2990" s="11" t="s">
        <v>4804</v>
      </c>
      <c r="J2990" s="11" t="s">
        <v>4804</v>
      </c>
      <c r="K2990" s="9" t="s">
        <v>291</v>
      </c>
      <c r="L2990" s="9" t="s">
        <v>17744</v>
      </c>
      <c r="M2990" s="9" t="s">
        <v>17760</v>
      </c>
      <c r="N2990" s="9" t="s">
        <v>17746</v>
      </c>
      <c r="O2990" s="9" t="s">
        <v>5790</v>
      </c>
      <c r="P2990" s="9" t="s">
        <v>17748</v>
      </c>
      <c r="Q2990" s="11" t="s">
        <v>17819</v>
      </c>
      <c r="R2990" s="11" t="s">
        <v>17819</v>
      </c>
      <c r="S2990" s="11" t="s">
        <v>17750</v>
      </c>
    </row>
    <row r="2991" spans="1:19" x14ac:dyDescent="0.2">
      <c r="A2991" s="11" t="s">
        <v>35154</v>
      </c>
      <c r="B2991" s="9" t="s">
        <v>35155</v>
      </c>
      <c r="C2991" s="9" t="s">
        <v>35156</v>
      </c>
      <c r="D2991" s="9" t="s">
        <v>35157</v>
      </c>
      <c r="E2991" s="9" t="s">
        <v>17740</v>
      </c>
      <c r="F2991" s="9" t="s">
        <v>35158</v>
      </c>
      <c r="G2991" s="9" t="s">
        <v>17740</v>
      </c>
      <c r="H2991" s="11" t="s">
        <v>2291</v>
      </c>
      <c r="I2991" s="11" t="s">
        <v>2290</v>
      </c>
      <c r="J2991" s="11" t="s">
        <v>2290</v>
      </c>
      <c r="K2991" s="9" t="s">
        <v>970</v>
      </c>
      <c r="L2991" s="9" t="s">
        <v>17744</v>
      </c>
      <c r="M2991" s="9" t="s">
        <v>17817</v>
      </c>
      <c r="N2991" s="9" t="s">
        <v>17746</v>
      </c>
      <c r="O2991" s="9" t="s">
        <v>5790</v>
      </c>
      <c r="P2991" s="9" t="s">
        <v>17748</v>
      </c>
      <c r="Q2991" s="11" t="s">
        <v>17771</v>
      </c>
      <c r="R2991" s="11" t="s">
        <v>17771</v>
      </c>
      <c r="S2991" s="11" t="s">
        <v>17750</v>
      </c>
    </row>
    <row r="2992" spans="1:19" x14ac:dyDescent="0.2">
      <c r="A2992" s="11" t="s">
        <v>35159</v>
      </c>
      <c r="B2992" s="9" t="s">
        <v>35160</v>
      </c>
      <c r="C2992" s="9" t="s">
        <v>35161</v>
      </c>
      <c r="D2992" s="9" t="s">
        <v>35162</v>
      </c>
      <c r="E2992" s="9" t="s">
        <v>17740</v>
      </c>
      <c r="F2992" s="9" t="s">
        <v>17741</v>
      </c>
      <c r="G2992" s="9" t="s">
        <v>17740</v>
      </c>
      <c r="H2992" s="11" t="s">
        <v>35163</v>
      </c>
      <c r="I2992" s="11" t="s">
        <v>35164</v>
      </c>
      <c r="J2992" s="11" t="s">
        <v>35164</v>
      </c>
      <c r="K2992" s="9" t="s">
        <v>17758</v>
      </c>
      <c r="L2992" s="9" t="s">
        <v>17759</v>
      </c>
      <c r="M2992" s="9" t="s">
        <v>35165</v>
      </c>
      <c r="N2992" s="9" t="s">
        <v>17746</v>
      </c>
      <c r="O2992" s="9" t="s">
        <v>18778</v>
      </c>
      <c r="P2992" s="9" t="s">
        <v>17748</v>
      </c>
      <c r="Q2992" s="11" t="s">
        <v>19222</v>
      </c>
      <c r="R2992" s="11" t="s">
        <v>19222</v>
      </c>
      <c r="S2992" s="11" t="s">
        <v>17750</v>
      </c>
    </row>
    <row r="2993" spans="1:19" x14ac:dyDescent="0.2">
      <c r="A2993" s="11" t="s">
        <v>35166</v>
      </c>
      <c r="B2993" s="9" t="s">
        <v>35167</v>
      </c>
      <c r="C2993" s="9" t="s">
        <v>35168</v>
      </c>
      <c r="D2993" s="9" t="s">
        <v>35169</v>
      </c>
      <c r="E2993" s="9" t="s">
        <v>17740</v>
      </c>
      <c r="F2993" s="9" t="s">
        <v>17741</v>
      </c>
      <c r="G2993" s="9" t="s">
        <v>17740</v>
      </c>
      <c r="H2993" s="11" t="s">
        <v>14178</v>
      </c>
      <c r="I2993" s="11" t="s">
        <v>14177</v>
      </c>
      <c r="J2993" s="11" t="s">
        <v>14178</v>
      </c>
      <c r="K2993" s="9" t="s">
        <v>7004</v>
      </c>
      <c r="L2993" s="9" t="s">
        <v>20082</v>
      </c>
      <c r="M2993" s="9" t="s">
        <v>17778</v>
      </c>
      <c r="N2993" s="9" t="s">
        <v>17746</v>
      </c>
      <c r="O2993" s="9" t="s">
        <v>1535</v>
      </c>
      <c r="P2993" s="9" t="s">
        <v>17748</v>
      </c>
      <c r="Q2993" s="11" t="s">
        <v>17825</v>
      </c>
      <c r="R2993" s="11" t="s">
        <v>17825</v>
      </c>
      <c r="S2993" s="11" t="s">
        <v>17750</v>
      </c>
    </row>
    <row r="2994" spans="1:19" x14ac:dyDescent="0.2">
      <c r="A2994" s="11" t="s">
        <v>35170</v>
      </c>
      <c r="B2994" s="9" t="s">
        <v>35171</v>
      </c>
      <c r="C2994" s="9" t="s">
        <v>35172</v>
      </c>
      <c r="D2994" s="9" t="s">
        <v>35173</v>
      </c>
      <c r="E2994" s="9" t="s">
        <v>17740</v>
      </c>
      <c r="F2994" s="9" t="s">
        <v>35174</v>
      </c>
      <c r="G2994" s="9" t="s">
        <v>17740</v>
      </c>
      <c r="H2994" s="11" t="s">
        <v>6009</v>
      </c>
      <c r="I2994" s="11" t="s">
        <v>6008</v>
      </c>
      <c r="J2994" s="11" t="s">
        <v>6008</v>
      </c>
      <c r="K2994" s="9" t="s">
        <v>24317</v>
      </c>
      <c r="L2994" s="9" t="s">
        <v>17759</v>
      </c>
      <c r="M2994" s="9" t="s">
        <v>18065</v>
      </c>
      <c r="N2994" s="9" t="s">
        <v>17746</v>
      </c>
      <c r="O2994" s="9" t="s">
        <v>1535</v>
      </c>
      <c r="P2994" s="9" t="s">
        <v>17748</v>
      </c>
      <c r="Q2994" s="11" t="s">
        <v>18147</v>
      </c>
      <c r="R2994" s="11" t="s">
        <v>18147</v>
      </c>
      <c r="S2994" s="11" t="s">
        <v>17750</v>
      </c>
    </row>
    <row r="2995" spans="1:19" x14ac:dyDescent="0.2">
      <c r="A2995" s="11" t="s">
        <v>35175</v>
      </c>
      <c r="B2995" s="9" t="s">
        <v>35176</v>
      </c>
      <c r="C2995" s="9" t="s">
        <v>35177</v>
      </c>
      <c r="D2995" s="9" t="s">
        <v>35178</v>
      </c>
      <c r="E2995" s="9" t="s">
        <v>17748</v>
      </c>
      <c r="F2995" s="9" t="s">
        <v>35179</v>
      </c>
      <c r="G2995" s="9" t="s">
        <v>17740</v>
      </c>
      <c r="H2995" s="11" t="s">
        <v>17026</v>
      </c>
      <c r="I2995" s="11" t="s">
        <v>17025</v>
      </c>
      <c r="J2995" s="11" t="s">
        <v>17741</v>
      </c>
      <c r="K2995" s="9" t="s">
        <v>17741</v>
      </c>
      <c r="L2995" s="9" t="s">
        <v>21182</v>
      </c>
      <c r="M2995" s="9" t="s">
        <v>17741</v>
      </c>
      <c r="N2995" s="9" t="s">
        <v>17746</v>
      </c>
      <c r="O2995" s="9" t="s">
        <v>1535</v>
      </c>
      <c r="P2995" s="9" t="s">
        <v>17748</v>
      </c>
      <c r="Q2995" s="11" t="s">
        <v>18089</v>
      </c>
      <c r="R2995" s="11" t="s">
        <v>18089</v>
      </c>
      <c r="S2995" s="11" t="s">
        <v>17750</v>
      </c>
    </row>
    <row r="2996" spans="1:19" x14ac:dyDescent="0.2">
      <c r="A2996" s="11" t="s">
        <v>35180</v>
      </c>
      <c r="B2996" s="9" t="s">
        <v>35181</v>
      </c>
      <c r="C2996" s="9" t="s">
        <v>35182</v>
      </c>
      <c r="D2996" s="9" t="s">
        <v>35183</v>
      </c>
      <c r="E2996" s="9" t="s">
        <v>17740</v>
      </c>
      <c r="F2996" s="9" t="s">
        <v>17741</v>
      </c>
      <c r="G2996" s="9" t="s">
        <v>17740</v>
      </c>
      <c r="H2996" s="11" t="s">
        <v>12639</v>
      </c>
      <c r="I2996" s="11" t="s">
        <v>17741</v>
      </c>
      <c r="J2996" s="11" t="s">
        <v>12639</v>
      </c>
      <c r="K2996" s="9" t="s">
        <v>12640</v>
      </c>
      <c r="L2996" s="9" t="s">
        <v>17759</v>
      </c>
      <c r="M2996" s="9" t="s">
        <v>17769</v>
      </c>
      <c r="N2996" s="9" t="s">
        <v>17746</v>
      </c>
      <c r="O2996" s="9" t="s">
        <v>1535</v>
      </c>
      <c r="P2996" s="9" t="s">
        <v>17748</v>
      </c>
      <c r="Q2996" s="11" t="s">
        <v>17917</v>
      </c>
      <c r="R2996" s="11" t="s">
        <v>17917</v>
      </c>
      <c r="S2996" s="11" t="s">
        <v>17750</v>
      </c>
    </row>
    <row r="2997" spans="1:19" x14ac:dyDescent="0.2">
      <c r="A2997" s="11" t="s">
        <v>35184</v>
      </c>
      <c r="B2997" s="9" t="s">
        <v>35185</v>
      </c>
      <c r="C2997" s="9" t="s">
        <v>35186</v>
      </c>
      <c r="D2997" s="9" t="s">
        <v>35187</v>
      </c>
      <c r="E2997" s="9" t="s">
        <v>17740</v>
      </c>
      <c r="F2997" s="9" t="s">
        <v>35188</v>
      </c>
      <c r="G2997" s="9" t="s">
        <v>17740</v>
      </c>
      <c r="H2997" s="11" t="s">
        <v>35189</v>
      </c>
      <c r="I2997" s="11" t="s">
        <v>35190</v>
      </c>
      <c r="J2997" s="11" t="s">
        <v>35190</v>
      </c>
      <c r="K2997" s="9" t="s">
        <v>291</v>
      </c>
      <c r="L2997" s="9" t="s">
        <v>17744</v>
      </c>
      <c r="M2997" s="9" t="s">
        <v>17760</v>
      </c>
      <c r="N2997" s="9" t="s">
        <v>17746</v>
      </c>
      <c r="O2997" s="9" t="s">
        <v>18543</v>
      </c>
      <c r="P2997" s="9" t="s">
        <v>17748</v>
      </c>
      <c r="Q2997" s="11" t="s">
        <v>17984</v>
      </c>
      <c r="R2997" s="11" t="s">
        <v>17984</v>
      </c>
      <c r="S2997" s="11" t="s">
        <v>17750</v>
      </c>
    </row>
    <row r="2998" spans="1:19" x14ac:dyDescent="0.2">
      <c r="A2998" s="11" t="s">
        <v>35191</v>
      </c>
      <c r="B2998" s="9" t="s">
        <v>35192</v>
      </c>
      <c r="C2998" s="9" t="s">
        <v>35193</v>
      </c>
      <c r="D2998" s="9" t="s">
        <v>35194</v>
      </c>
      <c r="E2998" s="9" t="s">
        <v>17748</v>
      </c>
      <c r="F2998" s="9" t="s">
        <v>35195</v>
      </c>
      <c r="G2998" s="9" t="s">
        <v>17740</v>
      </c>
      <c r="H2998" s="11" t="s">
        <v>12290</v>
      </c>
      <c r="I2998" s="11" t="s">
        <v>12289</v>
      </c>
      <c r="J2998" s="11" t="s">
        <v>12289</v>
      </c>
      <c r="K2998" s="9" t="s">
        <v>20343</v>
      </c>
      <c r="L2998" s="9" t="s">
        <v>20082</v>
      </c>
      <c r="M2998" s="9" t="s">
        <v>17778</v>
      </c>
      <c r="N2998" s="9" t="s">
        <v>17746</v>
      </c>
      <c r="O2998" s="9" t="s">
        <v>1675</v>
      </c>
      <c r="P2998" s="9" t="s">
        <v>17748</v>
      </c>
      <c r="Q2998" s="11" t="s">
        <v>17917</v>
      </c>
      <c r="R2998" s="11" t="s">
        <v>17917</v>
      </c>
      <c r="S2998" s="11" t="s">
        <v>17750</v>
      </c>
    </row>
    <row r="2999" spans="1:19" x14ac:dyDescent="0.2">
      <c r="A2999" s="11" t="s">
        <v>35196</v>
      </c>
      <c r="B2999" s="9" t="s">
        <v>35197</v>
      </c>
      <c r="C2999" s="9" t="s">
        <v>35198</v>
      </c>
      <c r="D2999" s="9" t="s">
        <v>35199</v>
      </c>
      <c r="E2999" s="9" t="s">
        <v>17740</v>
      </c>
      <c r="F2999" s="9" t="s">
        <v>17741</v>
      </c>
      <c r="G2999" s="9" t="s">
        <v>17740</v>
      </c>
      <c r="H2999" s="11" t="s">
        <v>35200</v>
      </c>
      <c r="I2999" s="11" t="s">
        <v>35201</v>
      </c>
      <c r="J2999" s="11" t="s">
        <v>35201</v>
      </c>
      <c r="K2999" s="9" t="s">
        <v>303</v>
      </c>
      <c r="L2999" s="9" t="s">
        <v>17759</v>
      </c>
      <c r="M2999" s="9" t="s">
        <v>21625</v>
      </c>
      <c r="N2999" s="9" t="s">
        <v>17746</v>
      </c>
      <c r="O2999" s="9" t="s">
        <v>35202</v>
      </c>
      <c r="P2999" s="9" t="s">
        <v>17748</v>
      </c>
      <c r="Q2999" s="11" t="s">
        <v>18678</v>
      </c>
      <c r="R2999" s="11" t="s">
        <v>18678</v>
      </c>
      <c r="S2999" s="11" t="s">
        <v>17750</v>
      </c>
    </row>
    <row r="3000" spans="1:19" x14ac:dyDescent="0.2">
      <c r="A3000" s="11" t="s">
        <v>35203</v>
      </c>
      <c r="B3000" s="9" t="s">
        <v>35204</v>
      </c>
      <c r="C3000" s="9" t="s">
        <v>35205</v>
      </c>
      <c r="D3000" s="9" t="s">
        <v>35206</v>
      </c>
      <c r="E3000" s="9" t="s">
        <v>17740</v>
      </c>
      <c r="F3000" s="9" t="s">
        <v>17741</v>
      </c>
      <c r="G3000" s="9" t="s">
        <v>17740</v>
      </c>
      <c r="H3000" s="11" t="s">
        <v>17741</v>
      </c>
      <c r="I3000" s="11" t="s">
        <v>2284</v>
      </c>
      <c r="J3000" s="11" t="s">
        <v>2284</v>
      </c>
      <c r="K3000" s="9" t="s">
        <v>35207</v>
      </c>
      <c r="L3000" s="9" t="s">
        <v>17759</v>
      </c>
      <c r="M3000" s="9" t="s">
        <v>17760</v>
      </c>
      <c r="N3000" s="9" t="s">
        <v>17746</v>
      </c>
      <c r="O3000" s="9" t="s">
        <v>35208</v>
      </c>
      <c r="P3000" s="9" t="s">
        <v>17748</v>
      </c>
      <c r="Q3000" s="11" t="s">
        <v>19899</v>
      </c>
      <c r="R3000" s="11" t="s">
        <v>19899</v>
      </c>
      <c r="S3000" s="11" t="s">
        <v>17750</v>
      </c>
    </row>
    <row r="3001" spans="1:19" x14ac:dyDescent="0.2">
      <c r="A3001" s="11" t="s">
        <v>35209</v>
      </c>
      <c r="B3001" s="9" t="s">
        <v>35210</v>
      </c>
      <c r="C3001" s="9" t="s">
        <v>35211</v>
      </c>
      <c r="D3001" s="9" t="s">
        <v>35212</v>
      </c>
      <c r="E3001" s="9" t="s">
        <v>17740</v>
      </c>
      <c r="F3001" s="9" t="s">
        <v>17741</v>
      </c>
      <c r="G3001" s="9" t="s">
        <v>17740</v>
      </c>
      <c r="H3001" s="11" t="s">
        <v>6116</v>
      </c>
      <c r="I3001" s="11" t="s">
        <v>6115</v>
      </c>
      <c r="J3001" s="11" t="s">
        <v>35213</v>
      </c>
      <c r="K3001" s="9" t="s">
        <v>291</v>
      </c>
      <c r="L3001" s="9" t="s">
        <v>17744</v>
      </c>
      <c r="M3001" s="9" t="s">
        <v>29439</v>
      </c>
      <c r="N3001" s="9" t="s">
        <v>17746</v>
      </c>
      <c r="O3001" s="9" t="s">
        <v>3391</v>
      </c>
      <c r="P3001" s="9" t="s">
        <v>17748</v>
      </c>
      <c r="Q3001" s="11" t="s">
        <v>17792</v>
      </c>
      <c r="R3001" s="11" t="s">
        <v>17792</v>
      </c>
      <c r="S3001" s="11" t="s">
        <v>17750</v>
      </c>
    </row>
    <row r="3002" spans="1:19" x14ac:dyDescent="0.2">
      <c r="A3002" s="11" t="s">
        <v>35214</v>
      </c>
      <c r="B3002" s="9" t="s">
        <v>35215</v>
      </c>
      <c r="C3002" s="9" t="s">
        <v>35216</v>
      </c>
      <c r="D3002" s="9" t="s">
        <v>35217</v>
      </c>
      <c r="E3002" s="9" t="s">
        <v>17740</v>
      </c>
      <c r="F3002" s="9" t="s">
        <v>17741</v>
      </c>
      <c r="G3002" s="9" t="s">
        <v>17740</v>
      </c>
      <c r="H3002" s="11" t="s">
        <v>17741</v>
      </c>
      <c r="I3002" s="11" t="s">
        <v>13814</v>
      </c>
      <c r="J3002" s="11" t="s">
        <v>13814</v>
      </c>
      <c r="K3002" s="9" t="s">
        <v>35218</v>
      </c>
      <c r="L3002" s="9" t="s">
        <v>17759</v>
      </c>
      <c r="M3002" s="9" t="s">
        <v>17769</v>
      </c>
      <c r="N3002" s="9" t="s">
        <v>17746</v>
      </c>
      <c r="O3002" s="9" t="s">
        <v>5790</v>
      </c>
      <c r="P3002" s="9" t="s">
        <v>17748</v>
      </c>
      <c r="Q3002" s="11" t="s">
        <v>17994</v>
      </c>
      <c r="R3002" s="11" t="s">
        <v>17994</v>
      </c>
      <c r="S3002" s="11" t="s">
        <v>17750</v>
      </c>
    </row>
    <row r="3003" spans="1:19" x14ac:dyDescent="0.2">
      <c r="A3003" s="11" t="s">
        <v>35219</v>
      </c>
      <c r="B3003" s="9" t="s">
        <v>35220</v>
      </c>
      <c r="C3003" s="9" t="s">
        <v>35221</v>
      </c>
      <c r="D3003" s="9" t="s">
        <v>35222</v>
      </c>
      <c r="E3003" s="9" t="s">
        <v>17740</v>
      </c>
      <c r="F3003" s="9" t="s">
        <v>17741</v>
      </c>
      <c r="G3003" s="9" t="s">
        <v>17740</v>
      </c>
      <c r="H3003" s="11" t="s">
        <v>17741</v>
      </c>
      <c r="I3003" s="11" t="s">
        <v>35223</v>
      </c>
      <c r="J3003" s="11" t="s">
        <v>35223</v>
      </c>
      <c r="K3003" s="9" t="s">
        <v>28118</v>
      </c>
      <c r="L3003" s="9" t="s">
        <v>17759</v>
      </c>
      <c r="M3003" s="9" t="s">
        <v>17769</v>
      </c>
      <c r="N3003" s="9" t="s">
        <v>17746</v>
      </c>
      <c r="O3003" s="9" t="s">
        <v>19859</v>
      </c>
      <c r="P3003" s="9" t="s">
        <v>17748</v>
      </c>
      <c r="Q3003" s="11" t="s">
        <v>29447</v>
      </c>
      <c r="R3003" s="11" t="s">
        <v>29447</v>
      </c>
      <c r="S3003" s="11" t="s">
        <v>17750</v>
      </c>
    </row>
    <row r="3004" spans="1:19" x14ac:dyDescent="0.2">
      <c r="A3004" s="11" t="s">
        <v>35224</v>
      </c>
      <c r="B3004" s="9" t="s">
        <v>35225</v>
      </c>
      <c r="C3004" s="9" t="s">
        <v>35226</v>
      </c>
      <c r="D3004" s="9" t="s">
        <v>35227</v>
      </c>
      <c r="E3004" s="9" t="s">
        <v>17740</v>
      </c>
      <c r="F3004" s="9" t="s">
        <v>17741</v>
      </c>
      <c r="G3004" s="9" t="s">
        <v>17740</v>
      </c>
      <c r="H3004" s="11" t="s">
        <v>17741</v>
      </c>
      <c r="I3004" s="11" t="s">
        <v>35228</v>
      </c>
      <c r="J3004" s="11" t="s">
        <v>35228</v>
      </c>
      <c r="K3004" s="9" t="s">
        <v>19282</v>
      </c>
      <c r="L3004" s="9" t="s">
        <v>17759</v>
      </c>
      <c r="M3004" s="9" t="s">
        <v>17760</v>
      </c>
      <c r="N3004" s="9" t="s">
        <v>17746</v>
      </c>
      <c r="O3004" s="9" t="s">
        <v>17848</v>
      </c>
      <c r="P3004" s="9" t="s">
        <v>17748</v>
      </c>
      <c r="Q3004" s="11" t="s">
        <v>18364</v>
      </c>
      <c r="R3004" s="11" t="s">
        <v>18364</v>
      </c>
      <c r="S3004" s="11" t="s">
        <v>17750</v>
      </c>
    </row>
    <row r="3005" spans="1:19" x14ac:dyDescent="0.2">
      <c r="A3005" s="11" t="s">
        <v>35229</v>
      </c>
      <c r="B3005" s="9" t="s">
        <v>35230</v>
      </c>
      <c r="C3005" s="9" t="s">
        <v>35231</v>
      </c>
      <c r="D3005" s="9" t="s">
        <v>35232</v>
      </c>
      <c r="E3005" s="9" t="s">
        <v>17748</v>
      </c>
      <c r="F3005" s="9" t="s">
        <v>35233</v>
      </c>
      <c r="G3005" s="9" t="s">
        <v>17740</v>
      </c>
      <c r="H3005" s="11" t="s">
        <v>7732</v>
      </c>
      <c r="I3005" s="11" t="s">
        <v>7731</v>
      </c>
      <c r="J3005" s="11" t="s">
        <v>7731</v>
      </c>
      <c r="K3005" s="9" t="s">
        <v>17758</v>
      </c>
      <c r="L3005" s="9" t="s">
        <v>17759</v>
      </c>
      <c r="M3005" s="9" t="s">
        <v>17760</v>
      </c>
      <c r="N3005" s="9" t="s">
        <v>17746</v>
      </c>
      <c r="O3005" s="9" t="s">
        <v>25714</v>
      </c>
      <c r="P3005" s="9" t="s">
        <v>17748</v>
      </c>
      <c r="Q3005" s="11" t="s">
        <v>18798</v>
      </c>
      <c r="R3005" s="11" t="s">
        <v>18798</v>
      </c>
      <c r="S3005" s="11" t="s">
        <v>17750</v>
      </c>
    </row>
    <row r="3006" spans="1:19" x14ac:dyDescent="0.2">
      <c r="A3006" s="11" t="s">
        <v>35234</v>
      </c>
      <c r="B3006" s="9" t="s">
        <v>35235</v>
      </c>
      <c r="C3006" s="9" t="s">
        <v>35236</v>
      </c>
      <c r="D3006" s="9" t="s">
        <v>35237</v>
      </c>
      <c r="E3006" s="9" t="s">
        <v>17740</v>
      </c>
      <c r="F3006" s="9" t="s">
        <v>17741</v>
      </c>
      <c r="G3006" s="9" t="s">
        <v>17740</v>
      </c>
      <c r="H3006" s="11" t="s">
        <v>35238</v>
      </c>
      <c r="I3006" s="11" t="s">
        <v>35239</v>
      </c>
      <c r="J3006" s="11" t="s">
        <v>35239</v>
      </c>
      <c r="K3006" s="9" t="s">
        <v>291</v>
      </c>
      <c r="L3006" s="9" t="s">
        <v>17744</v>
      </c>
      <c r="M3006" s="9" t="s">
        <v>17760</v>
      </c>
      <c r="N3006" s="9" t="s">
        <v>17746</v>
      </c>
      <c r="O3006" s="9" t="s">
        <v>18855</v>
      </c>
      <c r="P3006" s="9" t="s">
        <v>17748</v>
      </c>
      <c r="Q3006" s="11" t="s">
        <v>17819</v>
      </c>
      <c r="R3006" s="11" t="s">
        <v>17819</v>
      </c>
      <c r="S3006" s="11" t="s">
        <v>17750</v>
      </c>
    </row>
    <row r="3007" spans="1:19" x14ac:dyDescent="0.2">
      <c r="A3007" s="11" t="s">
        <v>35240</v>
      </c>
      <c r="B3007" s="9" t="s">
        <v>35241</v>
      </c>
      <c r="C3007" s="9" t="s">
        <v>35242</v>
      </c>
      <c r="D3007" s="9" t="s">
        <v>35243</v>
      </c>
      <c r="E3007" s="9" t="s">
        <v>17740</v>
      </c>
      <c r="F3007" s="9" t="s">
        <v>17741</v>
      </c>
      <c r="G3007" s="9" t="s">
        <v>17740</v>
      </c>
      <c r="H3007" s="11" t="s">
        <v>2295</v>
      </c>
      <c r="I3007" s="11" t="s">
        <v>2294</v>
      </c>
      <c r="J3007" s="11" t="s">
        <v>2294</v>
      </c>
      <c r="K3007" s="9" t="s">
        <v>831</v>
      </c>
      <c r="L3007" s="9" t="s">
        <v>17759</v>
      </c>
      <c r="M3007" s="9" t="s">
        <v>17760</v>
      </c>
      <c r="N3007" s="9" t="s">
        <v>17746</v>
      </c>
      <c r="O3007" s="9" t="s">
        <v>18009</v>
      </c>
      <c r="P3007" s="9" t="s">
        <v>17748</v>
      </c>
      <c r="Q3007" s="11" t="s">
        <v>17883</v>
      </c>
      <c r="R3007" s="11" t="s">
        <v>17883</v>
      </c>
      <c r="S3007" s="11" t="s">
        <v>17750</v>
      </c>
    </row>
    <row r="3008" spans="1:19" x14ac:dyDescent="0.2">
      <c r="A3008" s="11" t="s">
        <v>35244</v>
      </c>
      <c r="B3008" s="9" t="s">
        <v>35245</v>
      </c>
      <c r="C3008" s="9" t="s">
        <v>35246</v>
      </c>
      <c r="D3008" s="9" t="s">
        <v>35247</v>
      </c>
      <c r="E3008" s="9" t="s">
        <v>17740</v>
      </c>
      <c r="F3008" s="9" t="s">
        <v>17741</v>
      </c>
      <c r="G3008" s="9" t="s">
        <v>17740</v>
      </c>
      <c r="H3008" s="11" t="s">
        <v>5320</v>
      </c>
      <c r="I3008" s="11" t="s">
        <v>5319</v>
      </c>
      <c r="J3008" s="11" t="s">
        <v>5319</v>
      </c>
      <c r="K3008" s="9" t="s">
        <v>91</v>
      </c>
      <c r="L3008" s="9" t="s">
        <v>17744</v>
      </c>
      <c r="M3008" s="9" t="s">
        <v>19965</v>
      </c>
      <c r="N3008" s="9" t="s">
        <v>17746</v>
      </c>
      <c r="O3008" s="9" t="s">
        <v>18481</v>
      </c>
      <c r="P3008" s="9" t="s">
        <v>17748</v>
      </c>
      <c r="Q3008" s="11" t="s">
        <v>18080</v>
      </c>
      <c r="R3008" s="11" t="s">
        <v>18080</v>
      </c>
      <c r="S3008" s="11" t="s">
        <v>17750</v>
      </c>
    </row>
    <row r="3009" spans="1:19" x14ac:dyDescent="0.2">
      <c r="A3009" s="11" t="s">
        <v>35248</v>
      </c>
      <c r="B3009" s="9" t="s">
        <v>35249</v>
      </c>
      <c r="C3009" s="9" t="s">
        <v>35250</v>
      </c>
      <c r="D3009" s="9" t="s">
        <v>35251</v>
      </c>
      <c r="E3009" s="9" t="s">
        <v>17740</v>
      </c>
      <c r="F3009" s="9" t="s">
        <v>17741</v>
      </c>
      <c r="G3009" s="9" t="s">
        <v>17740</v>
      </c>
      <c r="H3009" s="11" t="s">
        <v>17741</v>
      </c>
      <c r="I3009" s="11" t="s">
        <v>35252</v>
      </c>
      <c r="J3009" s="11" t="s">
        <v>35252</v>
      </c>
      <c r="K3009" s="9" t="s">
        <v>19553</v>
      </c>
      <c r="L3009" s="9" t="s">
        <v>17759</v>
      </c>
      <c r="M3009" s="9" t="s">
        <v>28327</v>
      </c>
      <c r="N3009" s="9" t="s">
        <v>17746</v>
      </c>
      <c r="O3009" s="9" t="s">
        <v>17807</v>
      </c>
      <c r="P3009" s="9" t="s">
        <v>17748</v>
      </c>
      <c r="Q3009" s="11" t="s">
        <v>17858</v>
      </c>
      <c r="R3009" s="11" t="s">
        <v>17858</v>
      </c>
      <c r="S3009" s="11" t="s">
        <v>17750</v>
      </c>
    </row>
    <row r="3010" spans="1:19" x14ac:dyDescent="0.2">
      <c r="A3010" s="11" t="s">
        <v>35253</v>
      </c>
      <c r="B3010" s="9" t="s">
        <v>35254</v>
      </c>
      <c r="C3010" s="9" t="s">
        <v>35255</v>
      </c>
      <c r="D3010" s="9" t="s">
        <v>35256</v>
      </c>
      <c r="E3010" s="9" t="s">
        <v>17740</v>
      </c>
      <c r="F3010" s="9" t="s">
        <v>17741</v>
      </c>
      <c r="G3010" s="9" t="s">
        <v>17740</v>
      </c>
      <c r="H3010" s="11" t="s">
        <v>17741</v>
      </c>
      <c r="I3010" s="11" t="s">
        <v>2309</v>
      </c>
      <c r="J3010" s="11" t="s">
        <v>2309</v>
      </c>
      <c r="K3010" s="9" t="s">
        <v>91</v>
      </c>
      <c r="L3010" s="9" t="s">
        <v>17759</v>
      </c>
      <c r="M3010" s="9" t="s">
        <v>35257</v>
      </c>
      <c r="N3010" s="9" t="s">
        <v>17746</v>
      </c>
      <c r="O3010" s="9" t="s">
        <v>17807</v>
      </c>
      <c r="P3010" s="9" t="s">
        <v>17748</v>
      </c>
      <c r="Q3010" s="11" t="s">
        <v>17978</v>
      </c>
      <c r="R3010" s="11" t="s">
        <v>17978</v>
      </c>
      <c r="S3010" s="11" t="s">
        <v>17750</v>
      </c>
    </row>
    <row r="3011" spans="1:19" x14ac:dyDescent="0.2">
      <c r="A3011" s="11" t="s">
        <v>35258</v>
      </c>
      <c r="B3011" s="9" t="s">
        <v>35259</v>
      </c>
      <c r="C3011" s="9" t="s">
        <v>35260</v>
      </c>
      <c r="D3011" s="9" t="s">
        <v>35261</v>
      </c>
      <c r="E3011" s="9" t="s">
        <v>17740</v>
      </c>
      <c r="F3011" s="9" t="s">
        <v>17741</v>
      </c>
      <c r="G3011" s="9" t="s">
        <v>17740</v>
      </c>
      <c r="H3011" s="11" t="s">
        <v>35262</v>
      </c>
      <c r="I3011" s="11" t="s">
        <v>35263</v>
      </c>
      <c r="J3011" s="11" t="s">
        <v>35263</v>
      </c>
      <c r="K3011" s="9" t="s">
        <v>26729</v>
      </c>
      <c r="L3011" s="9" t="s">
        <v>17759</v>
      </c>
      <c r="M3011" s="9" t="s">
        <v>17769</v>
      </c>
      <c r="N3011" s="9" t="s">
        <v>17746</v>
      </c>
      <c r="O3011" s="9" t="s">
        <v>18707</v>
      </c>
      <c r="P3011" s="9" t="s">
        <v>17748</v>
      </c>
      <c r="Q3011" s="11" t="s">
        <v>18608</v>
      </c>
      <c r="R3011" s="11" t="s">
        <v>18608</v>
      </c>
      <c r="S3011" s="11" t="s">
        <v>17750</v>
      </c>
    </row>
    <row r="3012" spans="1:19" x14ac:dyDescent="0.2">
      <c r="A3012" s="11" t="s">
        <v>35264</v>
      </c>
      <c r="B3012" s="9" t="s">
        <v>35265</v>
      </c>
      <c r="C3012" s="9" t="s">
        <v>35266</v>
      </c>
      <c r="D3012" s="9" t="s">
        <v>35267</v>
      </c>
      <c r="E3012" s="9" t="s">
        <v>17740</v>
      </c>
      <c r="F3012" s="9" t="s">
        <v>17741</v>
      </c>
      <c r="G3012" s="9" t="s">
        <v>17740</v>
      </c>
      <c r="H3012" s="11" t="s">
        <v>35268</v>
      </c>
      <c r="I3012" s="11" t="s">
        <v>35269</v>
      </c>
      <c r="J3012" s="11" t="s">
        <v>35269</v>
      </c>
      <c r="K3012" s="9" t="s">
        <v>35270</v>
      </c>
      <c r="L3012" s="9" t="s">
        <v>17759</v>
      </c>
      <c r="M3012" s="9" t="s">
        <v>17760</v>
      </c>
      <c r="N3012" s="9" t="s">
        <v>17746</v>
      </c>
      <c r="O3012" s="9" t="s">
        <v>17874</v>
      </c>
      <c r="P3012" s="9" t="s">
        <v>17748</v>
      </c>
      <c r="Q3012" s="11" t="s">
        <v>17762</v>
      </c>
      <c r="R3012" s="11" t="s">
        <v>17762</v>
      </c>
      <c r="S3012" s="11" t="s">
        <v>17750</v>
      </c>
    </row>
    <row r="3013" spans="1:19" x14ac:dyDescent="0.2">
      <c r="A3013" s="11" t="s">
        <v>35271</v>
      </c>
      <c r="B3013" s="9" t="s">
        <v>35272</v>
      </c>
      <c r="C3013" s="9" t="s">
        <v>35273</v>
      </c>
      <c r="D3013" s="9" t="s">
        <v>35274</v>
      </c>
      <c r="E3013" s="9" t="s">
        <v>17740</v>
      </c>
      <c r="F3013" s="9" t="s">
        <v>17741</v>
      </c>
      <c r="G3013" s="9" t="s">
        <v>17740</v>
      </c>
      <c r="H3013" s="11" t="s">
        <v>2303</v>
      </c>
      <c r="I3013" s="11" t="s">
        <v>2302</v>
      </c>
      <c r="J3013" s="11" t="s">
        <v>2302</v>
      </c>
      <c r="K3013" s="9" t="s">
        <v>17783</v>
      </c>
      <c r="L3013" s="9" t="s">
        <v>17991</v>
      </c>
      <c r="M3013" s="9" t="s">
        <v>35275</v>
      </c>
      <c r="N3013" s="9" t="s">
        <v>17746</v>
      </c>
      <c r="O3013" s="9" t="s">
        <v>1535</v>
      </c>
      <c r="P3013" s="9" t="s">
        <v>17748</v>
      </c>
      <c r="Q3013" s="11" t="s">
        <v>19335</v>
      </c>
      <c r="R3013" s="11" t="s">
        <v>19335</v>
      </c>
      <c r="S3013" s="11" t="s">
        <v>17750</v>
      </c>
    </row>
    <row r="3014" spans="1:19" x14ac:dyDescent="0.2">
      <c r="A3014" s="11" t="s">
        <v>35276</v>
      </c>
      <c r="B3014" s="9" t="s">
        <v>35277</v>
      </c>
      <c r="C3014" s="9" t="s">
        <v>35278</v>
      </c>
      <c r="D3014" s="9" t="s">
        <v>35279</v>
      </c>
      <c r="E3014" s="9" t="s">
        <v>17740</v>
      </c>
      <c r="F3014" s="9" t="s">
        <v>17741</v>
      </c>
      <c r="G3014" s="9" t="s">
        <v>17740</v>
      </c>
      <c r="H3014" s="11" t="s">
        <v>2558</v>
      </c>
      <c r="I3014" s="11" t="s">
        <v>2557</v>
      </c>
      <c r="J3014" s="11" t="s">
        <v>2557</v>
      </c>
      <c r="K3014" s="9" t="s">
        <v>28062</v>
      </c>
      <c r="L3014" s="9" t="s">
        <v>17744</v>
      </c>
      <c r="M3014" s="9" t="s">
        <v>17817</v>
      </c>
      <c r="N3014" s="9" t="s">
        <v>17746</v>
      </c>
      <c r="O3014" s="9" t="s">
        <v>1535</v>
      </c>
      <c r="P3014" s="9" t="s">
        <v>17748</v>
      </c>
      <c r="Q3014" s="11" t="s">
        <v>18348</v>
      </c>
      <c r="R3014" s="11" t="s">
        <v>18348</v>
      </c>
      <c r="S3014" s="11" t="s">
        <v>17750</v>
      </c>
    </row>
    <row r="3015" spans="1:19" x14ac:dyDescent="0.2">
      <c r="A3015" s="11" t="s">
        <v>35280</v>
      </c>
      <c r="B3015" s="9" t="s">
        <v>35281</v>
      </c>
      <c r="C3015" s="9" t="s">
        <v>35282</v>
      </c>
      <c r="D3015" s="9" t="s">
        <v>35283</v>
      </c>
      <c r="E3015" s="9" t="s">
        <v>17740</v>
      </c>
      <c r="F3015" s="9" t="s">
        <v>17741</v>
      </c>
      <c r="G3015" s="9" t="s">
        <v>17740</v>
      </c>
      <c r="H3015" s="11" t="s">
        <v>35284</v>
      </c>
      <c r="I3015" s="11" t="s">
        <v>35285</v>
      </c>
      <c r="J3015" s="11" t="s">
        <v>35285</v>
      </c>
      <c r="K3015" s="9" t="s">
        <v>91</v>
      </c>
      <c r="L3015" s="9" t="s">
        <v>17759</v>
      </c>
      <c r="M3015" s="9" t="s">
        <v>17817</v>
      </c>
      <c r="N3015" s="9" t="s">
        <v>17746</v>
      </c>
      <c r="O3015" s="9" t="s">
        <v>18340</v>
      </c>
      <c r="P3015" s="9" t="s">
        <v>17748</v>
      </c>
      <c r="Q3015" s="11" t="s">
        <v>18608</v>
      </c>
      <c r="R3015" s="11" t="s">
        <v>18608</v>
      </c>
      <c r="S3015" s="11" t="s">
        <v>17750</v>
      </c>
    </row>
    <row r="3016" spans="1:19" x14ac:dyDescent="0.2">
      <c r="A3016" s="11" t="s">
        <v>35286</v>
      </c>
      <c r="B3016" s="9" t="s">
        <v>35287</v>
      </c>
      <c r="C3016" s="9" t="s">
        <v>35288</v>
      </c>
      <c r="D3016" s="9" t="s">
        <v>35289</v>
      </c>
      <c r="E3016" s="9" t="s">
        <v>17740</v>
      </c>
      <c r="F3016" s="9" t="s">
        <v>17741</v>
      </c>
      <c r="G3016" s="9" t="s">
        <v>17740</v>
      </c>
      <c r="H3016" s="11" t="s">
        <v>5916</v>
      </c>
      <c r="I3016" s="11" t="s">
        <v>5915</v>
      </c>
      <c r="J3016" s="11" t="s">
        <v>5915</v>
      </c>
      <c r="K3016" s="9" t="s">
        <v>19202</v>
      </c>
      <c r="L3016" s="9" t="s">
        <v>17759</v>
      </c>
      <c r="M3016" s="9" t="s">
        <v>25194</v>
      </c>
      <c r="N3016" s="9" t="s">
        <v>17746</v>
      </c>
      <c r="O3016" s="9" t="s">
        <v>4025</v>
      </c>
      <c r="P3016" s="9" t="s">
        <v>17748</v>
      </c>
      <c r="Q3016" s="11" t="s">
        <v>18364</v>
      </c>
      <c r="R3016" s="11" t="s">
        <v>18364</v>
      </c>
      <c r="S3016" s="11" t="s">
        <v>17750</v>
      </c>
    </row>
    <row r="3017" spans="1:19" x14ac:dyDescent="0.2">
      <c r="A3017" s="11" t="s">
        <v>35290</v>
      </c>
      <c r="B3017" s="9" t="s">
        <v>35291</v>
      </c>
      <c r="C3017" s="9" t="s">
        <v>35292</v>
      </c>
      <c r="D3017" s="9" t="s">
        <v>35293</v>
      </c>
      <c r="E3017" s="9" t="s">
        <v>17748</v>
      </c>
      <c r="F3017" s="9" t="s">
        <v>35294</v>
      </c>
      <c r="G3017" s="9" t="s">
        <v>17740</v>
      </c>
      <c r="H3017" s="11" t="s">
        <v>8425</v>
      </c>
      <c r="I3017" s="11" t="s">
        <v>8424</v>
      </c>
      <c r="J3017" s="11" t="s">
        <v>8424</v>
      </c>
      <c r="K3017" s="9" t="s">
        <v>30979</v>
      </c>
      <c r="L3017" s="9" t="s">
        <v>17759</v>
      </c>
      <c r="M3017" s="9" t="s">
        <v>17769</v>
      </c>
      <c r="N3017" s="9" t="s">
        <v>17746</v>
      </c>
      <c r="O3017" s="9" t="s">
        <v>19646</v>
      </c>
      <c r="P3017" s="9" t="s">
        <v>17748</v>
      </c>
      <c r="Q3017" s="11" t="s">
        <v>17784</v>
      </c>
      <c r="R3017" s="11" t="s">
        <v>17784</v>
      </c>
      <c r="S3017" s="11" t="s">
        <v>17750</v>
      </c>
    </row>
    <row r="3018" spans="1:19" x14ac:dyDescent="0.2">
      <c r="A3018" s="11" t="s">
        <v>35295</v>
      </c>
      <c r="B3018" s="9" t="s">
        <v>35296</v>
      </c>
      <c r="C3018" s="9" t="s">
        <v>35297</v>
      </c>
      <c r="D3018" s="9" t="s">
        <v>35298</v>
      </c>
      <c r="E3018" s="9" t="s">
        <v>17740</v>
      </c>
      <c r="F3018" s="9" t="s">
        <v>17741</v>
      </c>
      <c r="G3018" s="9" t="s">
        <v>17740</v>
      </c>
      <c r="H3018" s="11" t="s">
        <v>14404</v>
      </c>
      <c r="I3018" s="11" t="s">
        <v>14403</v>
      </c>
      <c r="J3018" s="11" t="s">
        <v>14403</v>
      </c>
      <c r="K3018" s="9" t="s">
        <v>26009</v>
      </c>
      <c r="L3018" s="9" t="s">
        <v>17759</v>
      </c>
      <c r="M3018" s="9" t="s">
        <v>17942</v>
      </c>
      <c r="N3018" s="9" t="s">
        <v>17746</v>
      </c>
      <c r="O3018" s="9" t="s">
        <v>28135</v>
      </c>
      <c r="P3018" s="9" t="s">
        <v>17748</v>
      </c>
      <c r="Q3018" s="11" t="s">
        <v>17825</v>
      </c>
      <c r="R3018" s="11" t="s">
        <v>17825</v>
      </c>
      <c r="S3018" s="11" t="s">
        <v>17750</v>
      </c>
    </row>
    <row r="3019" spans="1:19" x14ac:dyDescent="0.2">
      <c r="A3019" s="11" t="s">
        <v>35299</v>
      </c>
      <c r="B3019" s="9" t="s">
        <v>35300</v>
      </c>
      <c r="C3019" s="9" t="s">
        <v>35301</v>
      </c>
      <c r="D3019" s="9" t="s">
        <v>35302</v>
      </c>
      <c r="E3019" s="9" t="s">
        <v>17740</v>
      </c>
      <c r="F3019" s="9" t="s">
        <v>17741</v>
      </c>
      <c r="G3019" s="9" t="s">
        <v>17740</v>
      </c>
      <c r="H3019" s="11" t="s">
        <v>17741</v>
      </c>
      <c r="I3019" s="11" t="s">
        <v>35303</v>
      </c>
      <c r="J3019" s="11" t="s">
        <v>35303</v>
      </c>
      <c r="K3019" s="9" t="s">
        <v>35304</v>
      </c>
      <c r="L3019" s="9" t="s">
        <v>20446</v>
      </c>
      <c r="M3019" s="9" t="s">
        <v>19714</v>
      </c>
      <c r="N3019" s="9" t="s">
        <v>17746</v>
      </c>
      <c r="O3019" s="9" t="s">
        <v>19391</v>
      </c>
      <c r="P3019" s="9" t="s">
        <v>17748</v>
      </c>
      <c r="Q3019" s="11" t="s">
        <v>19222</v>
      </c>
      <c r="R3019" s="11" t="s">
        <v>19222</v>
      </c>
      <c r="S3019" s="11" t="s">
        <v>17750</v>
      </c>
    </row>
    <row r="3020" spans="1:19" x14ac:dyDescent="0.2">
      <c r="A3020" s="11" t="s">
        <v>35305</v>
      </c>
      <c r="B3020" s="9" t="s">
        <v>35306</v>
      </c>
      <c r="C3020" s="9" t="s">
        <v>35307</v>
      </c>
      <c r="D3020" s="9" t="s">
        <v>35308</v>
      </c>
      <c r="E3020" s="9" t="s">
        <v>17740</v>
      </c>
      <c r="F3020" s="9" t="s">
        <v>35309</v>
      </c>
      <c r="G3020" s="9" t="s">
        <v>17740</v>
      </c>
      <c r="H3020" s="11" t="s">
        <v>17741</v>
      </c>
      <c r="I3020" s="11" t="s">
        <v>35310</v>
      </c>
      <c r="J3020" s="11" t="s">
        <v>35310</v>
      </c>
      <c r="K3020" s="9" t="s">
        <v>35311</v>
      </c>
      <c r="L3020" s="9" t="s">
        <v>17759</v>
      </c>
      <c r="M3020" s="9" t="s">
        <v>19168</v>
      </c>
      <c r="N3020" s="9" t="s">
        <v>17746</v>
      </c>
      <c r="O3020" s="9" t="s">
        <v>20453</v>
      </c>
      <c r="P3020" s="9" t="s">
        <v>17748</v>
      </c>
      <c r="Q3020" s="11" t="s">
        <v>17849</v>
      </c>
      <c r="R3020" s="11" t="s">
        <v>17849</v>
      </c>
      <c r="S3020" s="11" t="s">
        <v>17750</v>
      </c>
    </row>
    <row r="3021" spans="1:19" x14ac:dyDescent="0.2">
      <c r="A3021" s="11" t="s">
        <v>35312</v>
      </c>
      <c r="B3021" s="9" t="s">
        <v>35313</v>
      </c>
      <c r="C3021" s="9" t="s">
        <v>35314</v>
      </c>
      <c r="D3021" s="9" t="s">
        <v>35315</v>
      </c>
      <c r="E3021" s="9" t="s">
        <v>17740</v>
      </c>
      <c r="F3021" s="9" t="s">
        <v>35316</v>
      </c>
      <c r="G3021" s="9" t="s">
        <v>17740</v>
      </c>
      <c r="H3021" s="11" t="s">
        <v>2317</v>
      </c>
      <c r="I3021" s="11" t="s">
        <v>2316</v>
      </c>
      <c r="J3021" s="11" t="s">
        <v>2316</v>
      </c>
      <c r="K3021" s="9" t="s">
        <v>21054</v>
      </c>
      <c r="L3021" s="9" t="s">
        <v>17744</v>
      </c>
      <c r="M3021" s="9" t="s">
        <v>17817</v>
      </c>
      <c r="N3021" s="9" t="s">
        <v>17746</v>
      </c>
      <c r="O3021" s="9" t="s">
        <v>20453</v>
      </c>
      <c r="P3021" s="9" t="s">
        <v>17748</v>
      </c>
      <c r="Q3021" s="11" t="s">
        <v>18243</v>
      </c>
      <c r="R3021" s="11" t="s">
        <v>18243</v>
      </c>
      <c r="S3021" s="11" t="s">
        <v>17750</v>
      </c>
    </row>
    <row r="3022" spans="1:19" x14ac:dyDescent="0.2">
      <c r="A3022" s="11" t="s">
        <v>35317</v>
      </c>
      <c r="B3022" s="9" t="s">
        <v>35318</v>
      </c>
      <c r="C3022" s="9" t="s">
        <v>35319</v>
      </c>
      <c r="D3022" s="9" t="s">
        <v>35320</v>
      </c>
      <c r="E3022" s="9" t="s">
        <v>17740</v>
      </c>
      <c r="F3022" s="9" t="s">
        <v>17741</v>
      </c>
      <c r="G3022" s="9" t="s">
        <v>17740</v>
      </c>
      <c r="H3022" s="11" t="s">
        <v>35321</v>
      </c>
      <c r="I3022" s="11" t="s">
        <v>2311</v>
      </c>
      <c r="J3022" s="11" t="s">
        <v>2311</v>
      </c>
      <c r="K3022" s="9" t="s">
        <v>26265</v>
      </c>
      <c r="L3022" s="9" t="s">
        <v>17759</v>
      </c>
      <c r="M3022" s="9" t="s">
        <v>17760</v>
      </c>
      <c r="N3022" s="9" t="s">
        <v>17746</v>
      </c>
      <c r="O3022" s="9" t="s">
        <v>35322</v>
      </c>
      <c r="P3022" s="9" t="s">
        <v>17748</v>
      </c>
      <c r="Q3022" s="11" t="s">
        <v>18341</v>
      </c>
      <c r="R3022" s="11" t="s">
        <v>18341</v>
      </c>
      <c r="S3022" s="11" t="s">
        <v>17750</v>
      </c>
    </row>
    <row r="3023" spans="1:19" x14ac:dyDescent="0.2">
      <c r="A3023" s="11" t="s">
        <v>35323</v>
      </c>
      <c r="B3023" s="9" t="s">
        <v>35324</v>
      </c>
      <c r="C3023" s="9" t="s">
        <v>35325</v>
      </c>
      <c r="D3023" s="9" t="s">
        <v>35326</v>
      </c>
      <c r="E3023" s="9" t="s">
        <v>17740</v>
      </c>
      <c r="F3023" s="9" t="s">
        <v>17741</v>
      </c>
      <c r="G3023" s="9" t="s">
        <v>17740</v>
      </c>
      <c r="H3023" s="11" t="s">
        <v>2320</v>
      </c>
      <c r="I3023" s="11" t="s">
        <v>2319</v>
      </c>
      <c r="J3023" s="11" t="s">
        <v>2319</v>
      </c>
      <c r="K3023" s="9" t="s">
        <v>35327</v>
      </c>
      <c r="L3023" s="9" t="s">
        <v>17759</v>
      </c>
      <c r="M3023" s="9" t="s">
        <v>17799</v>
      </c>
      <c r="N3023" s="9" t="s">
        <v>17746</v>
      </c>
      <c r="O3023" s="9" t="s">
        <v>20453</v>
      </c>
      <c r="P3023" s="9" t="s">
        <v>17748</v>
      </c>
      <c r="Q3023" s="11" t="s">
        <v>19082</v>
      </c>
      <c r="R3023" s="11" t="s">
        <v>19082</v>
      </c>
      <c r="S3023" s="11" t="s">
        <v>17750</v>
      </c>
    </row>
    <row r="3024" spans="1:19" x14ac:dyDescent="0.2">
      <c r="A3024" s="11" t="s">
        <v>35328</v>
      </c>
      <c r="B3024" s="9" t="s">
        <v>35329</v>
      </c>
      <c r="C3024" s="9" t="s">
        <v>35330</v>
      </c>
      <c r="D3024" s="9" t="s">
        <v>35331</v>
      </c>
      <c r="E3024" s="9" t="s">
        <v>17740</v>
      </c>
      <c r="F3024" s="9" t="s">
        <v>17741</v>
      </c>
      <c r="G3024" s="9" t="s">
        <v>17740</v>
      </c>
      <c r="H3024" s="11" t="s">
        <v>2314</v>
      </c>
      <c r="I3024" s="11" t="s">
        <v>2313</v>
      </c>
      <c r="J3024" s="11" t="s">
        <v>2313</v>
      </c>
      <c r="K3024" s="9" t="s">
        <v>24230</v>
      </c>
      <c r="L3024" s="9" t="s">
        <v>17744</v>
      </c>
      <c r="M3024" s="9" t="s">
        <v>35332</v>
      </c>
      <c r="N3024" s="9" t="s">
        <v>17746</v>
      </c>
      <c r="O3024" s="9" t="s">
        <v>20453</v>
      </c>
      <c r="P3024" s="9" t="s">
        <v>17748</v>
      </c>
      <c r="Q3024" s="11" t="s">
        <v>18341</v>
      </c>
      <c r="R3024" s="11" t="s">
        <v>18341</v>
      </c>
      <c r="S3024" s="11" t="s">
        <v>17750</v>
      </c>
    </row>
    <row r="3025" spans="1:19" x14ac:dyDescent="0.2">
      <c r="A3025" s="11" t="s">
        <v>35333</v>
      </c>
      <c r="B3025" s="9" t="s">
        <v>35334</v>
      </c>
      <c r="C3025" s="9" t="s">
        <v>35335</v>
      </c>
      <c r="D3025" s="9" t="s">
        <v>35336</v>
      </c>
      <c r="E3025" s="9" t="s">
        <v>17748</v>
      </c>
      <c r="F3025" s="9" t="s">
        <v>35337</v>
      </c>
      <c r="G3025" s="9" t="s">
        <v>17740</v>
      </c>
      <c r="H3025" s="11" t="s">
        <v>17741</v>
      </c>
      <c r="I3025" s="11" t="s">
        <v>17741</v>
      </c>
      <c r="J3025" s="11" t="s">
        <v>17741</v>
      </c>
      <c r="K3025" s="9" t="s">
        <v>35338</v>
      </c>
      <c r="L3025" s="9" t="s">
        <v>20446</v>
      </c>
      <c r="M3025" s="9" t="s">
        <v>17760</v>
      </c>
      <c r="N3025" s="9" t="s">
        <v>17746</v>
      </c>
      <c r="O3025" s="9" t="s">
        <v>20453</v>
      </c>
      <c r="P3025" s="9" t="s">
        <v>17748</v>
      </c>
      <c r="Q3025" s="11" t="s">
        <v>17780</v>
      </c>
      <c r="R3025" s="11" t="s">
        <v>17780</v>
      </c>
      <c r="S3025" s="11" t="s">
        <v>17750</v>
      </c>
    </row>
    <row r="3026" spans="1:19" x14ac:dyDescent="0.2">
      <c r="A3026" s="11" t="s">
        <v>35339</v>
      </c>
      <c r="B3026" s="9" t="s">
        <v>35340</v>
      </c>
      <c r="C3026" s="9" t="s">
        <v>35341</v>
      </c>
      <c r="D3026" s="9" t="s">
        <v>35342</v>
      </c>
      <c r="E3026" s="9" t="s">
        <v>17740</v>
      </c>
      <c r="F3026" s="9" t="s">
        <v>35343</v>
      </c>
      <c r="G3026" s="9" t="s">
        <v>17740</v>
      </c>
      <c r="H3026" s="11" t="s">
        <v>7764</v>
      </c>
      <c r="I3026" s="11" t="s">
        <v>7763</v>
      </c>
      <c r="J3026" s="11" t="s">
        <v>17741</v>
      </c>
      <c r="K3026" s="9" t="s">
        <v>17741</v>
      </c>
      <c r="L3026" s="9" t="s">
        <v>17744</v>
      </c>
      <c r="M3026" s="9" t="s">
        <v>27840</v>
      </c>
      <c r="N3026" s="9" t="s">
        <v>17746</v>
      </c>
      <c r="O3026" s="9" t="s">
        <v>4009</v>
      </c>
      <c r="P3026" s="9" t="s">
        <v>17748</v>
      </c>
      <c r="Q3026" s="11" t="s">
        <v>18798</v>
      </c>
      <c r="R3026" s="11" t="s">
        <v>18798</v>
      </c>
      <c r="S3026" s="11" t="s">
        <v>17750</v>
      </c>
    </row>
    <row r="3027" spans="1:19" x14ac:dyDescent="0.2">
      <c r="A3027" s="11" t="s">
        <v>35344</v>
      </c>
      <c r="B3027" s="9" t="s">
        <v>35345</v>
      </c>
      <c r="C3027" s="9" t="s">
        <v>35346</v>
      </c>
      <c r="D3027" s="9" t="s">
        <v>35347</v>
      </c>
      <c r="E3027" s="9" t="s">
        <v>17740</v>
      </c>
      <c r="F3027" s="9" t="s">
        <v>35348</v>
      </c>
      <c r="G3027" s="9" t="s">
        <v>17740</v>
      </c>
      <c r="H3027" s="11" t="s">
        <v>5934</v>
      </c>
      <c r="I3027" s="11" t="s">
        <v>5933</v>
      </c>
      <c r="J3027" s="11" t="s">
        <v>5933</v>
      </c>
      <c r="K3027" s="9" t="s">
        <v>291</v>
      </c>
      <c r="L3027" s="9" t="s">
        <v>17744</v>
      </c>
      <c r="M3027" s="9" t="s">
        <v>18051</v>
      </c>
      <c r="N3027" s="9" t="s">
        <v>17746</v>
      </c>
      <c r="O3027" s="9" t="s">
        <v>19391</v>
      </c>
      <c r="P3027" s="9" t="s">
        <v>17748</v>
      </c>
      <c r="Q3027" s="11" t="s">
        <v>18080</v>
      </c>
      <c r="R3027" s="11" t="s">
        <v>18080</v>
      </c>
      <c r="S3027" s="11" t="s">
        <v>17750</v>
      </c>
    </row>
    <row r="3028" spans="1:19" x14ac:dyDescent="0.2">
      <c r="A3028" s="11" t="s">
        <v>35349</v>
      </c>
      <c r="B3028" s="9" t="s">
        <v>35350</v>
      </c>
      <c r="C3028" s="9" t="s">
        <v>35351</v>
      </c>
      <c r="D3028" s="9" t="s">
        <v>35352</v>
      </c>
      <c r="E3028" s="9" t="s">
        <v>17740</v>
      </c>
      <c r="F3028" s="9" t="s">
        <v>35353</v>
      </c>
      <c r="G3028" s="9" t="s">
        <v>17740</v>
      </c>
      <c r="H3028" s="11" t="s">
        <v>35354</v>
      </c>
      <c r="I3028" s="11" t="s">
        <v>35355</v>
      </c>
      <c r="J3028" s="11" t="s">
        <v>35355</v>
      </c>
      <c r="K3028" s="9" t="s">
        <v>291</v>
      </c>
      <c r="L3028" s="9" t="s">
        <v>17744</v>
      </c>
      <c r="M3028" s="9" t="s">
        <v>27237</v>
      </c>
      <c r="N3028" s="9" t="s">
        <v>17746</v>
      </c>
      <c r="O3028" s="9" t="s">
        <v>19391</v>
      </c>
      <c r="P3028" s="9" t="s">
        <v>17748</v>
      </c>
      <c r="Q3028" s="11" t="s">
        <v>19026</v>
      </c>
      <c r="R3028" s="11" t="s">
        <v>19026</v>
      </c>
      <c r="S3028" s="11" t="s">
        <v>17750</v>
      </c>
    </row>
    <row r="3029" spans="1:19" x14ac:dyDescent="0.2">
      <c r="A3029" s="11" t="s">
        <v>35356</v>
      </c>
      <c r="B3029" s="9" t="s">
        <v>35357</v>
      </c>
      <c r="C3029" s="9" t="s">
        <v>35358</v>
      </c>
      <c r="D3029" s="9" t="s">
        <v>35359</v>
      </c>
      <c r="E3029" s="9" t="s">
        <v>17740</v>
      </c>
      <c r="F3029" s="9" t="s">
        <v>17741</v>
      </c>
      <c r="G3029" s="9" t="s">
        <v>17740</v>
      </c>
      <c r="H3029" s="11" t="s">
        <v>17741</v>
      </c>
      <c r="I3029" s="11" t="s">
        <v>35360</v>
      </c>
      <c r="J3029" s="11" t="s">
        <v>35360</v>
      </c>
      <c r="K3029" s="9" t="s">
        <v>920</v>
      </c>
      <c r="L3029" s="9" t="s">
        <v>18001</v>
      </c>
      <c r="M3029" s="9" t="s">
        <v>28602</v>
      </c>
      <c r="N3029" s="9" t="s">
        <v>17746</v>
      </c>
      <c r="O3029" s="9" t="s">
        <v>20453</v>
      </c>
      <c r="P3029" s="9" t="s">
        <v>17748</v>
      </c>
      <c r="Q3029" s="11" t="s">
        <v>17819</v>
      </c>
      <c r="R3029" s="11" t="s">
        <v>17819</v>
      </c>
      <c r="S3029" s="11" t="s">
        <v>17750</v>
      </c>
    </row>
    <row r="3030" spans="1:19" x14ac:dyDescent="0.2">
      <c r="A3030" s="11" t="s">
        <v>35361</v>
      </c>
      <c r="B3030" s="9" t="s">
        <v>35362</v>
      </c>
      <c r="C3030" s="9" t="s">
        <v>35363</v>
      </c>
      <c r="D3030" s="9" t="s">
        <v>35364</v>
      </c>
      <c r="E3030" s="9" t="s">
        <v>17748</v>
      </c>
      <c r="F3030" s="9" t="s">
        <v>35365</v>
      </c>
      <c r="G3030" s="9" t="s">
        <v>17740</v>
      </c>
      <c r="H3030" s="11" t="s">
        <v>9270</v>
      </c>
      <c r="I3030" s="11" t="s">
        <v>9269</v>
      </c>
      <c r="J3030" s="11" t="s">
        <v>9269</v>
      </c>
      <c r="K3030" s="9" t="s">
        <v>291</v>
      </c>
      <c r="L3030" s="9" t="s">
        <v>17744</v>
      </c>
      <c r="M3030" s="9" t="s">
        <v>17769</v>
      </c>
      <c r="N3030" s="9" t="s">
        <v>17746</v>
      </c>
      <c r="O3030" s="9" t="s">
        <v>22701</v>
      </c>
      <c r="P3030" s="9" t="s">
        <v>17748</v>
      </c>
      <c r="Q3030" s="11" t="s">
        <v>17994</v>
      </c>
      <c r="R3030" s="11" t="s">
        <v>17994</v>
      </c>
      <c r="S3030" s="11" t="s">
        <v>17750</v>
      </c>
    </row>
    <row r="3031" spans="1:19" x14ac:dyDescent="0.2">
      <c r="A3031" s="11" t="s">
        <v>35366</v>
      </c>
      <c r="B3031" s="9" t="s">
        <v>35367</v>
      </c>
      <c r="C3031" s="9" t="s">
        <v>35368</v>
      </c>
      <c r="D3031" s="9" t="s">
        <v>35369</v>
      </c>
      <c r="E3031" s="9" t="s">
        <v>17740</v>
      </c>
      <c r="F3031" s="9" t="s">
        <v>17741</v>
      </c>
      <c r="G3031" s="9" t="s">
        <v>17740</v>
      </c>
      <c r="H3031" s="11" t="s">
        <v>35370</v>
      </c>
      <c r="I3031" s="11" t="s">
        <v>35371</v>
      </c>
      <c r="J3031" s="11" t="s">
        <v>35371</v>
      </c>
      <c r="K3031" s="9" t="s">
        <v>19282</v>
      </c>
      <c r="L3031" s="9" t="s">
        <v>18242</v>
      </c>
      <c r="M3031" s="9" t="s">
        <v>19701</v>
      </c>
      <c r="N3031" s="9" t="s">
        <v>17746</v>
      </c>
      <c r="O3031" s="9" t="s">
        <v>5136</v>
      </c>
      <c r="P3031" s="9" t="s">
        <v>17748</v>
      </c>
      <c r="Q3031" s="11" t="s">
        <v>18080</v>
      </c>
      <c r="R3031" s="11" t="s">
        <v>18080</v>
      </c>
      <c r="S3031" s="11" t="s">
        <v>17750</v>
      </c>
    </row>
    <row r="3032" spans="1:19" x14ac:dyDescent="0.2">
      <c r="A3032" s="11" t="s">
        <v>35372</v>
      </c>
      <c r="B3032" s="9" t="s">
        <v>35373</v>
      </c>
      <c r="C3032" s="9" t="s">
        <v>35374</v>
      </c>
      <c r="D3032" s="9" t="s">
        <v>35375</v>
      </c>
      <c r="E3032" s="9" t="s">
        <v>17740</v>
      </c>
      <c r="F3032" s="9" t="s">
        <v>17741</v>
      </c>
      <c r="G3032" s="9" t="s">
        <v>17740</v>
      </c>
      <c r="H3032" s="11" t="s">
        <v>35376</v>
      </c>
      <c r="I3032" s="11" t="s">
        <v>35377</v>
      </c>
      <c r="J3032" s="11" t="s">
        <v>35377</v>
      </c>
      <c r="K3032" s="9" t="s">
        <v>30323</v>
      </c>
      <c r="L3032" s="9" t="s">
        <v>17744</v>
      </c>
      <c r="M3032" s="9" t="s">
        <v>34470</v>
      </c>
      <c r="N3032" s="9" t="s">
        <v>17746</v>
      </c>
      <c r="O3032" s="9" t="s">
        <v>35378</v>
      </c>
      <c r="P3032" s="9" t="s">
        <v>17748</v>
      </c>
      <c r="Q3032" s="11" t="s">
        <v>18251</v>
      </c>
      <c r="R3032" s="11" t="s">
        <v>18251</v>
      </c>
      <c r="S3032" s="11" t="s">
        <v>17750</v>
      </c>
    </row>
    <row r="3033" spans="1:19" x14ac:dyDescent="0.2">
      <c r="A3033" s="11" t="s">
        <v>35379</v>
      </c>
      <c r="B3033" s="9" t="s">
        <v>35380</v>
      </c>
      <c r="C3033" s="9" t="s">
        <v>35381</v>
      </c>
      <c r="D3033" s="9" t="s">
        <v>35382</v>
      </c>
      <c r="E3033" s="9" t="s">
        <v>17740</v>
      </c>
      <c r="F3033" s="9" t="s">
        <v>17741</v>
      </c>
      <c r="G3033" s="9" t="s">
        <v>17740</v>
      </c>
      <c r="H3033" s="11" t="s">
        <v>35383</v>
      </c>
      <c r="I3033" s="11" t="s">
        <v>15552</v>
      </c>
      <c r="J3033" s="11" t="s">
        <v>15552</v>
      </c>
      <c r="K3033" s="9" t="s">
        <v>17741</v>
      </c>
      <c r="L3033" s="9" t="s">
        <v>18001</v>
      </c>
      <c r="M3033" s="9" t="s">
        <v>17760</v>
      </c>
      <c r="N3033" s="9" t="s">
        <v>17746</v>
      </c>
      <c r="O3033" s="9" t="s">
        <v>24577</v>
      </c>
      <c r="P3033" s="9" t="s">
        <v>17748</v>
      </c>
      <c r="Q3033" s="11" t="s">
        <v>17909</v>
      </c>
      <c r="R3033" s="11" t="s">
        <v>17909</v>
      </c>
      <c r="S3033" s="11" t="s">
        <v>17750</v>
      </c>
    </row>
    <row r="3034" spans="1:19" x14ac:dyDescent="0.2">
      <c r="A3034" s="11" t="s">
        <v>35384</v>
      </c>
      <c r="B3034" s="9" t="s">
        <v>35385</v>
      </c>
      <c r="C3034" s="9" t="s">
        <v>35386</v>
      </c>
      <c r="D3034" s="9" t="s">
        <v>35387</v>
      </c>
      <c r="E3034" s="9" t="s">
        <v>17748</v>
      </c>
      <c r="F3034" s="9" t="s">
        <v>35388</v>
      </c>
      <c r="G3034" s="9" t="s">
        <v>17740</v>
      </c>
      <c r="H3034" s="11" t="s">
        <v>35389</v>
      </c>
      <c r="I3034" s="11" t="s">
        <v>35390</v>
      </c>
      <c r="J3034" s="11" t="s">
        <v>35390</v>
      </c>
      <c r="K3034" s="9" t="s">
        <v>970</v>
      </c>
      <c r="L3034" s="9" t="s">
        <v>17744</v>
      </c>
      <c r="M3034" s="9" t="s">
        <v>17769</v>
      </c>
      <c r="N3034" s="9" t="s">
        <v>17746</v>
      </c>
      <c r="O3034" s="9" t="s">
        <v>18340</v>
      </c>
      <c r="P3034" s="9" t="s">
        <v>17748</v>
      </c>
      <c r="Q3034" s="11" t="s">
        <v>18922</v>
      </c>
      <c r="R3034" s="11" t="s">
        <v>18922</v>
      </c>
      <c r="S3034" s="11" t="s">
        <v>17750</v>
      </c>
    </row>
    <row r="3035" spans="1:19" x14ac:dyDescent="0.2">
      <c r="A3035" s="11" t="s">
        <v>35391</v>
      </c>
      <c r="B3035" s="9" t="s">
        <v>35392</v>
      </c>
      <c r="C3035" s="9" t="s">
        <v>35393</v>
      </c>
      <c r="D3035" s="9" t="s">
        <v>35394</v>
      </c>
      <c r="E3035" s="9" t="s">
        <v>17740</v>
      </c>
      <c r="F3035" s="9" t="s">
        <v>35395</v>
      </c>
      <c r="G3035" s="9" t="s">
        <v>17740</v>
      </c>
      <c r="H3035" s="11" t="s">
        <v>8913</v>
      </c>
      <c r="I3035" s="11" t="s">
        <v>8912</v>
      </c>
      <c r="J3035" s="11" t="s">
        <v>8912</v>
      </c>
      <c r="K3035" s="9" t="s">
        <v>291</v>
      </c>
      <c r="L3035" s="9" t="s">
        <v>17744</v>
      </c>
      <c r="M3035" s="9" t="s">
        <v>17760</v>
      </c>
      <c r="N3035" s="9" t="s">
        <v>17746</v>
      </c>
      <c r="O3035" s="9" t="s">
        <v>35396</v>
      </c>
      <c r="P3035" s="9" t="s">
        <v>17748</v>
      </c>
      <c r="Q3035" s="11" t="s">
        <v>17994</v>
      </c>
      <c r="R3035" s="11" t="s">
        <v>17994</v>
      </c>
      <c r="S3035" s="11" t="s">
        <v>17750</v>
      </c>
    </row>
    <row r="3036" spans="1:19" x14ac:dyDescent="0.2">
      <c r="A3036" s="11" t="s">
        <v>35397</v>
      </c>
      <c r="B3036" s="9" t="s">
        <v>35398</v>
      </c>
      <c r="C3036" s="9" t="s">
        <v>35399</v>
      </c>
      <c r="D3036" s="9" t="s">
        <v>35400</v>
      </c>
      <c r="E3036" s="9" t="s">
        <v>17740</v>
      </c>
      <c r="F3036" s="9" t="s">
        <v>17741</v>
      </c>
      <c r="G3036" s="9" t="s">
        <v>17740</v>
      </c>
      <c r="H3036" s="11" t="s">
        <v>35401</v>
      </c>
      <c r="I3036" s="11" t="s">
        <v>17741</v>
      </c>
      <c r="J3036" s="11" t="s">
        <v>35401</v>
      </c>
      <c r="K3036" s="9" t="s">
        <v>23151</v>
      </c>
      <c r="L3036" s="9" t="s">
        <v>17744</v>
      </c>
      <c r="M3036" s="9" t="s">
        <v>17741</v>
      </c>
      <c r="N3036" s="9" t="s">
        <v>17746</v>
      </c>
      <c r="O3036" s="9" t="s">
        <v>35402</v>
      </c>
      <c r="P3036" s="9" t="s">
        <v>17748</v>
      </c>
      <c r="Q3036" s="11" t="s">
        <v>17984</v>
      </c>
      <c r="R3036" s="11" t="s">
        <v>17984</v>
      </c>
      <c r="S3036" s="11" t="s">
        <v>17750</v>
      </c>
    </row>
    <row r="3037" spans="1:19" x14ac:dyDescent="0.2">
      <c r="A3037" s="11" t="s">
        <v>35403</v>
      </c>
      <c r="B3037" s="9" t="s">
        <v>35404</v>
      </c>
      <c r="C3037" s="9" t="s">
        <v>35405</v>
      </c>
      <c r="D3037" s="9" t="s">
        <v>35406</v>
      </c>
      <c r="E3037" s="9" t="s">
        <v>17740</v>
      </c>
      <c r="F3037" s="9" t="s">
        <v>17741</v>
      </c>
      <c r="G3037" s="9" t="s">
        <v>17740</v>
      </c>
      <c r="H3037" s="11" t="s">
        <v>2563</v>
      </c>
      <c r="I3037" s="11" t="s">
        <v>2562</v>
      </c>
      <c r="J3037" s="11" t="s">
        <v>2562</v>
      </c>
      <c r="K3037" s="9" t="s">
        <v>35407</v>
      </c>
      <c r="L3037" s="9" t="s">
        <v>21771</v>
      </c>
      <c r="M3037" s="9" t="s">
        <v>19203</v>
      </c>
      <c r="N3037" s="9" t="s">
        <v>17746</v>
      </c>
      <c r="O3037" s="9" t="s">
        <v>35408</v>
      </c>
      <c r="P3037" s="9" t="s">
        <v>17748</v>
      </c>
      <c r="Q3037" s="11" t="s">
        <v>18251</v>
      </c>
      <c r="R3037" s="11" t="s">
        <v>18251</v>
      </c>
      <c r="S3037" s="11" t="s">
        <v>17750</v>
      </c>
    </row>
    <row r="3038" spans="1:19" x14ac:dyDescent="0.2">
      <c r="A3038" s="11" t="s">
        <v>35409</v>
      </c>
      <c r="B3038" s="9" t="s">
        <v>35410</v>
      </c>
      <c r="C3038" s="9" t="s">
        <v>35411</v>
      </c>
      <c r="D3038" s="9" t="s">
        <v>35412</v>
      </c>
      <c r="E3038" s="9" t="s">
        <v>17748</v>
      </c>
      <c r="F3038" s="9" t="s">
        <v>35413</v>
      </c>
      <c r="G3038" s="9" t="s">
        <v>17740</v>
      </c>
      <c r="H3038" s="11" t="s">
        <v>35414</v>
      </c>
      <c r="I3038" s="11" t="s">
        <v>35415</v>
      </c>
      <c r="J3038" s="11" t="s">
        <v>35415</v>
      </c>
      <c r="K3038" s="9" t="s">
        <v>17805</v>
      </c>
      <c r="L3038" s="9" t="s">
        <v>17759</v>
      </c>
      <c r="M3038" s="9" t="s">
        <v>17769</v>
      </c>
      <c r="N3038" s="9" t="s">
        <v>17746</v>
      </c>
      <c r="O3038" s="9" t="s">
        <v>35416</v>
      </c>
      <c r="P3038" s="9" t="s">
        <v>17748</v>
      </c>
      <c r="Q3038" s="11" t="s">
        <v>17792</v>
      </c>
      <c r="R3038" s="11" t="s">
        <v>17792</v>
      </c>
      <c r="S3038" s="11" t="s">
        <v>17750</v>
      </c>
    </row>
    <row r="3039" spans="1:19" x14ac:dyDescent="0.2">
      <c r="A3039" s="11" t="s">
        <v>35417</v>
      </c>
      <c r="B3039" s="9" t="s">
        <v>35418</v>
      </c>
      <c r="C3039" s="9" t="s">
        <v>35419</v>
      </c>
      <c r="D3039" s="9" t="s">
        <v>35420</v>
      </c>
      <c r="E3039" s="9" t="s">
        <v>17740</v>
      </c>
      <c r="F3039" s="9" t="s">
        <v>17741</v>
      </c>
      <c r="G3039" s="9" t="s">
        <v>17740</v>
      </c>
      <c r="H3039" s="11" t="s">
        <v>7559</v>
      </c>
      <c r="I3039" s="11" t="s">
        <v>7558</v>
      </c>
      <c r="J3039" s="11" t="s">
        <v>7558</v>
      </c>
      <c r="K3039" s="9" t="s">
        <v>970</v>
      </c>
      <c r="L3039" s="9" t="s">
        <v>17744</v>
      </c>
      <c r="M3039" s="9" t="s">
        <v>17760</v>
      </c>
      <c r="N3039" s="9" t="s">
        <v>17746</v>
      </c>
      <c r="O3039" s="9" t="s">
        <v>1802</v>
      </c>
      <c r="P3039" s="9" t="s">
        <v>17748</v>
      </c>
      <c r="Q3039" s="11" t="s">
        <v>19361</v>
      </c>
      <c r="R3039" s="11" t="s">
        <v>19361</v>
      </c>
      <c r="S3039" s="11" t="s">
        <v>17750</v>
      </c>
    </row>
    <row r="3040" spans="1:19" x14ac:dyDescent="0.2">
      <c r="A3040" s="11" t="s">
        <v>35421</v>
      </c>
      <c r="B3040" s="9" t="s">
        <v>35422</v>
      </c>
      <c r="C3040" s="9" t="s">
        <v>35423</v>
      </c>
      <c r="D3040" s="9" t="s">
        <v>35424</v>
      </c>
      <c r="E3040" s="9" t="s">
        <v>17740</v>
      </c>
      <c r="F3040" s="9" t="s">
        <v>17741</v>
      </c>
      <c r="G3040" s="9" t="s">
        <v>17740</v>
      </c>
      <c r="H3040" s="11" t="s">
        <v>35425</v>
      </c>
      <c r="I3040" s="11" t="s">
        <v>35426</v>
      </c>
      <c r="J3040" s="11" t="s">
        <v>35426</v>
      </c>
      <c r="K3040" s="9" t="s">
        <v>35427</v>
      </c>
      <c r="L3040" s="9" t="s">
        <v>17759</v>
      </c>
      <c r="M3040" s="9" t="s">
        <v>17778</v>
      </c>
      <c r="N3040" s="9" t="s">
        <v>17746</v>
      </c>
      <c r="O3040" s="9" t="s">
        <v>18340</v>
      </c>
      <c r="P3040" s="9" t="s">
        <v>17748</v>
      </c>
      <c r="Q3040" s="11" t="s">
        <v>18922</v>
      </c>
      <c r="R3040" s="11" t="s">
        <v>18922</v>
      </c>
      <c r="S3040" s="11" t="s">
        <v>17750</v>
      </c>
    </row>
    <row r="3041" spans="1:19" x14ac:dyDescent="0.2">
      <c r="A3041" s="11" t="s">
        <v>35428</v>
      </c>
      <c r="B3041" s="9" t="s">
        <v>35429</v>
      </c>
      <c r="C3041" s="9" t="s">
        <v>35430</v>
      </c>
      <c r="D3041" s="9" t="s">
        <v>35431</v>
      </c>
      <c r="E3041" s="9" t="s">
        <v>17740</v>
      </c>
      <c r="F3041" s="9" t="s">
        <v>17741</v>
      </c>
      <c r="G3041" s="9" t="s">
        <v>17740</v>
      </c>
      <c r="H3041" s="11" t="s">
        <v>13913</v>
      </c>
      <c r="I3041" s="11" t="s">
        <v>17741</v>
      </c>
      <c r="J3041" s="11" t="s">
        <v>13913</v>
      </c>
      <c r="K3041" s="9" t="s">
        <v>970</v>
      </c>
      <c r="L3041" s="9" t="s">
        <v>17744</v>
      </c>
      <c r="M3041" s="9" t="s">
        <v>17760</v>
      </c>
      <c r="N3041" s="9" t="s">
        <v>17746</v>
      </c>
      <c r="O3041" s="9" t="s">
        <v>17993</v>
      </c>
      <c r="P3041" s="9" t="s">
        <v>17748</v>
      </c>
      <c r="Q3041" s="11" t="s">
        <v>18370</v>
      </c>
      <c r="R3041" s="11" t="s">
        <v>18370</v>
      </c>
      <c r="S3041" s="11" t="s">
        <v>17750</v>
      </c>
    </row>
    <row r="3042" spans="1:19" x14ac:dyDescent="0.2">
      <c r="A3042" s="11" t="s">
        <v>35432</v>
      </c>
      <c r="B3042" s="9" t="s">
        <v>35433</v>
      </c>
      <c r="C3042" s="9" t="s">
        <v>35434</v>
      </c>
      <c r="D3042" s="9" t="s">
        <v>35435</v>
      </c>
      <c r="E3042" s="9" t="s">
        <v>17740</v>
      </c>
      <c r="F3042" s="9" t="s">
        <v>17741</v>
      </c>
      <c r="G3042" s="9" t="s">
        <v>17740</v>
      </c>
      <c r="H3042" s="11" t="s">
        <v>35436</v>
      </c>
      <c r="I3042" s="11" t="s">
        <v>35437</v>
      </c>
      <c r="J3042" s="11" t="s">
        <v>35437</v>
      </c>
      <c r="K3042" s="9" t="s">
        <v>689</v>
      </c>
      <c r="L3042" s="9" t="s">
        <v>17759</v>
      </c>
      <c r="M3042" s="9" t="s">
        <v>35438</v>
      </c>
      <c r="N3042" s="9" t="s">
        <v>17746</v>
      </c>
      <c r="O3042" s="9" t="s">
        <v>23651</v>
      </c>
      <c r="P3042" s="9" t="s">
        <v>17748</v>
      </c>
      <c r="Q3042" s="11" t="s">
        <v>17780</v>
      </c>
      <c r="R3042" s="11" t="s">
        <v>17780</v>
      </c>
      <c r="S3042" s="11" t="s">
        <v>17750</v>
      </c>
    </row>
    <row r="3043" spans="1:19" x14ac:dyDescent="0.2">
      <c r="A3043" s="11" t="s">
        <v>35439</v>
      </c>
      <c r="B3043" s="9" t="s">
        <v>35440</v>
      </c>
      <c r="C3043" s="9" t="s">
        <v>35441</v>
      </c>
      <c r="D3043" s="9" t="s">
        <v>35442</v>
      </c>
      <c r="E3043" s="9" t="s">
        <v>17740</v>
      </c>
      <c r="F3043" s="9" t="s">
        <v>17741</v>
      </c>
      <c r="G3043" s="9" t="s">
        <v>17740</v>
      </c>
      <c r="H3043" s="11" t="s">
        <v>35443</v>
      </c>
      <c r="I3043" s="11" t="s">
        <v>35444</v>
      </c>
      <c r="J3043" s="11" t="s">
        <v>35444</v>
      </c>
      <c r="K3043" s="9" t="s">
        <v>22893</v>
      </c>
      <c r="L3043" s="9" t="s">
        <v>18123</v>
      </c>
      <c r="M3043" s="9" t="s">
        <v>35445</v>
      </c>
      <c r="N3043" s="9" t="s">
        <v>17746</v>
      </c>
      <c r="O3043" s="9" t="s">
        <v>17977</v>
      </c>
      <c r="P3043" s="9" t="s">
        <v>17748</v>
      </c>
      <c r="Q3043" s="11" t="s">
        <v>18364</v>
      </c>
      <c r="R3043" s="11" t="s">
        <v>18364</v>
      </c>
      <c r="S3043" s="11" t="s">
        <v>17750</v>
      </c>
    </row>
    <row r="3044" spans="1:19" x14ac:dyDescent="0.2">
      <c r="A3044" s="11" t="s">
        <v>35446</v>
      </c>
      <c r="B3044" s="9" t="s">
        <v>35447</v>
      </c>
      <c r="C3044" s="9" t="s">
        <v>35448</v>
      </c>
      <c r="D3044" s="9" t="s">
        <v>35449</v>
      </c>
      <c r="E3044" s="9" t="s">
        <v>17740</v>
      </c>
      <c r="F3044" s="9" t="s">
        <v>17741</v>
      </c>
      <c r="G3044" s="9" t="s">
        <v>17740</v>
      </c>
      <c r="H3044" s="11" t="s">
        <v>2298</v>
      </c>
      <c r="I3044" s="11" t="s">
        <v>35450</v>
      </c>
      <c r="J3044" s="11" t="s">
        <v>35450</v>
      </c>
      <c r="K3044" s="9" t="s">
        <v>18570</v>
      </c>
      <c r="L3044" s="9" t="s">
        <v>17744</v>
      </c>
      <c r="M3044" s="9" t="s">
        <v>17760</v>
      </c>
      <c r="N3044" s="9" t="s">
        <v>17746</v>
      </c>
      <c r="O3044" s="9" t="s">
        <v>18363</v>
      </c>
      <c r="P3044" s="9" t="s">
        <v>17748</v>
      </c>
      <c r="Q3044" s="11" t="s">
        <v>19515</v>
      </c>
      <c r="R3044" s="11" t="s">
        <v>19515</v>
      </c>
      <c r="S3044" s="11" t="s">
        <v>17750</v>
      </c>
    </row>
    <row r="3045" spans="1:19" x14ac:dyDescent="0.2">
      <c r="A3045" s="11" t="s">
        <v>35451</v>
      </c>
      <c r="B3045" s="9" t="s">
        <v>35452</v>
      </c>
      <c r="C3045" s="9" t="s">
        <v>35453</v>
      </c>
      <c r="D3045" s="9" t="s">
        <v>35454</v>
      </c>
      <c r="E3045" s="9" t="s">
        <v>17740</v>
      </c>
      <c r="F3045" s="9" t="s">
        <v>35455</v>
      </c>
      <c r="G3045" s="9" t="s">
        <v>17740</v>
      </c>
      <c r="H3045" s="11" t="s">
        <v>35456</v>
      </c>
      <c r="I3045" s="11" t="s">
        <v>35457</v>
      </c>
      <c r="J3045" s="11" t="s">
        <v>35457</v>
      </c>
      <c r="K3045" s="9" t="s">
        <v>27140</v>
      </c>
      <c r="L3045" s="9" t="s">
        <v>17744</v>
      </c>
      <c r="M3045" s="9" t="s">
        <v>20172</v>
      </c>
      <c r="N3045" s="9" t="s">
        <v>17746</v>
      </c>
      <c r="O3045" s="9" t="s">
        <v>17977</v>
      </c>
      <c r="P3045" s="9" t="s">
        <v>17748</v>
      </c>
      <c r="Q3045" s="11" t="s">
        <v>19770</v>
      </c>
      <c r="R3045" s="11" t="s">
        <v>19770</v>
      </c>
      <c r="S3045" s="11" t="s">
        <v>17750</v>
      </c>
    </row>
    <row r="3046" spans="1:19" x14ac:dyDescent="0.2">
      <c r="A3046" s="11" t="s">
        <v>35458</v>
      </c>
      <c r="B3046" s="9" t="s">
        <v>35459</v>
      </c>
      <c r="C3046" s="9" t="s">
        <v>35460</v>
      </c>
      <c r="D3046" s="9" t="s">
        <v>35461</v>
      </c>
      <c r="E3046" s="9" t="s">
        <v>17740</v>
      </c>
      <c r="F3046" s="9" t="s">
        <v>35462</v>
      </c>
      <c r="G3046" s="9" t="s">
        <v>17740</v>
      </c>
      <c r="H3046" s="11" t="s">
        <v>35463</v>
      </c>
      <c r="I3046" s="11" t="s">
        <v>35464</v>
      </c>
      <c r="J3046" s="11" t="s">
        <v>35464</v>
      </c>
      <c r="K3046" s="9" t="s">
        <v>55</v>
      </c>
      <c r="L3046" s="9" t="s">
        <v>17744</v>
      </c>
      <c r="M3046" s="9" t="s">
        <v>35465</v>
      </c>
      <c r="N3046" s="9" t="s">
        <v>17746</v>
      </c>
      <c r="O3046" s="9" t="s">
        <v>19470</v>
      </c>
      <c r="P3046" s="9" t="s">
        <v>17748</v>
      </c>
      <c r="Q3046" s="11" t="s">
        <v>17931</v>
      </c>
      <c r="R3046" s="11" t="s">
        <v>17931</v>
      </c>
      <c r="S3046" s="11" t="s">
        <v>17750</v>
      </c>
    </row>
    <row r="3047" spans="1:19" x14ac:dyDescent="0.2">
      <c r="A3047" s="11" t="s">
        <v>35466</v>
      </c>
      <c r="B3047" s="9" t="s">
        <v>35467</v>
      </c>
      <c r="C3047" s="9" t="s">
        <v>35468</v>
      </c>
      <c r="D3047" s="9" t="s">
        <v>35469</v>
      </c>
      <c r="E3047" s="9" t="s">
        <v>17740</v>
      </c>
      <c r="F3047" s="9" t="s">
        <v>17741</v>
      </c>
      <c r="G3047" s="9" t="s">
        <v>17740</v>
      </c>
      <c r="H3047" s="11" t="s">
        <v>35470</v>
      </c>
      <c r="I3047" s="11" t="s">
        <v>35471</v>
      </c>
      <c r="J3047" s="11" t="s">
        <v>35471</v>
      </c>
      <c r="K3047" s="9" t="s">
        <v>601</v>
      </c>
      <c r="L3047" s="9" t="s">
        <v>17759</v>
      </c>
      <c r="M3047" s="9" t="s">
        <v>35472</v>
      </c>
      <c r="N3047" s="9" t="s">
        <v>17746</v>
      </c>
      <c r="O3047" s="9" t="s">
        <v>23534</v>
      </c>
      <c r="P3047" s="9" t="s">
        <v>17748</v>
      </c>
      <c r="Q3047" s="11" t="s">
        <v>19236</v>
      </c>
      <c r="R3047" s="11" t="s">
        <v>19236</v>
      </c>
      <c r="S3047" s="11" t="s">
        <v>17750</v>
      </c>
    </row>
    <row r="3048" spans="1:19" x14ac:dyDescent="0.2">
      <c r="A3048" s="11" t="s">
        <v>35473</v>
      </c>
      <c r="B3048" s="9" t="s">
        <v>35474</v>
      </c>
      <c r="C3048" s="9" t="s">
        <v>35475</v>
      </c>
      <c r="D3048" s="9" t="s">
        <v>35476</v>
      </c>
      <c r="E3048" s="9" t="s">
        <v>17740</v>
      </c>
      <c r="F3048" s="9" t="s">
        <v>17741</v>
      </c>
      <c r="G3048" s="9" t="s">
        <v>17740</v>
      </c>
      <c r="H3048" s="11" t="s">
        <v>2307</v>
      </c>
      <c r="I3048" s="11" t="s">
        <v>2306</v>
      </c>
      <c r="J3048" s="11" t="s">
        <v>2306</v>
      </c>
      <c r="K3048" s="9" t="s">
        <v>2225</v>
      </c>
      <c r="L3048" s="9" t="s">
        <v>17759</v>
      </c>
      <c r="M3048" s="9" t="s">
        <v>35477</v>
      </c>
      <c r="N3048" s="9" t="s">
        <v>17746</v>
      </c>
      <c r="O3048" s="9" t="s">
        <v>21197</v>
      </c>
      <c r="P3048" s="9" t="s">
        <v>17748</v>
      </c>
      <c r="Q3048" s="11" t="s">
        <v>23693</v>
      </c>
      <c r="R3048" s="11" t="s">
        <v>23693</v>
      </c>
      <c r="S3048" s="11" t="s">
        <v>17750</v>
      </c>
    </row>
    <row r="3049" spans="1:19" x14ac:dyDescent="0.2">
      <c r="A3049" s="11" t="s">
        <v>35478</v>
      </c>
      <c r="B3049" s="9" t="s">
        <v>35479</v>
      </c>
      <c r="C3049" s="9" t="s">
        <v>35480</v>
      </c>
      <c r="D3049" s="9" t="s">
        <v>35481</v>
      </c>
      <c r="E3049" s="9" t="s">
        <v>17740</v>
      </c>
      <c r="F3049" s="9" t="s">
        <v>35482</v>
      </c>
      <c r="G3049" s="9" t="s">
        <v>17740</v>
      </c>
      <c r="H3049" s="11" t="s">
        <v>35483</v>
      </c>
      <c r="I3049" s="11" t="s">
        <v>35484</v>
      </c>
      <c r="J3049" s="11" t="s">
        <v>35484</v>
      </c>
      <c r="K3049" s="9" t="s">
        <v>34969</v>
      </c>
      <c r="L3049" s="9" t="s">
        <v>17759</v>
      </c>
      <c r="M3049" s="9" t="s">
        <v>17778</v>
      </c>
      <c r="N3049" s="9" t="s">
        <v>17746</v>
      </c>
      <c r="O3049" s="9" t="s">
        <v>21020</v>
      </c>
      <c r="P3049" s="9" t="s">
        <v>17748</v>
      </c>
      <c r="Q3049" s="11" t="s">
        <v>18608</v>
      </c>
      <c r="R3049" s="11" t="s">
        <v>18608</v>
      </c>
      <c r="S3049" s="11" t="s">
        <v>17750</v>
      </c>
    </row>
    <row r="3050" spans="1:19" x14ac:dyDescent="0.2">
      <c r="A3050" s="11" t="s">
        <v>35485</v>
      </c>
      <c r="B3050" s="9" t="s">
        <v>35486</v>
      </c>
      <c r="C3050" s="9" t="s">
        <v>35487</v>
      </c>
      <c r="D3050" s="9" t="s">
        <v>35488</v>
      </c>
      <c r="E3050" s="9" t="s">
        <v>17740</v>
      </c>
      <c r="F3050" s="9" t="s">
        <v>17741</v>
      </c>
      <c r="G3050" s="9" t="s">
        <v>17740</v>
      </c>
      <c r="H3050" s="11" t="s">
        <v>35489</v>
      </c>
      <c r="I3050" s="11" t="s">
        <v>35490</v>
      </c>
      <c r="J3050" s="11" t="s">
        <v>35490</v>
      </c>
      <c r="K3050" s="9" t="s">
        <v>19767</v>
      </c>
      <c r="L3050" s="9" t="s">
        <v>17759</v>
      </c>
      <c r="M3050" s="9" t="s">
        <v>17760</v>
      </c>
      <c r="N3050" s="9" t="s">
        <v>17746</v>
      </c>
      <c r="O3050" s="9" t="s">
        <v>18514</v>
      </c>
      <c r="P3050" s="9" t="s">
        <v>17748</v>
      </c>
      <c r="Q3050" s="11" t="s">
        <v>19361</v>
      </c>
      <c r="R3050" s="11" t="s">
        <v>19361</v>
      </c>
      <c r="S3050" s="11" t="s">
        <v>17750</v>
      </c>
    </row>
    <row r="3051" spans="1:19" x14ac:dyDescent="0.2">
      <c r="A3051" s="11" t="s">
        <v>35491</v>
      </c>
      <c r="B3051" s="9" t="s">
        <v>35492</v>
      </c>
      <c r="C3051" s="9" t="s">
        <v>35493</v>
      </c>
      <c r="D3051" s="9" t="s">
        <v>35494</v>
      </c>
      <c r="E3051" s="9" t="s">
        <v>17740</v>
      </c>
      <c r="F3051" s="9" t="s">
        <v>35495</v>
      </c>
      <c r="G3051" s="9" t="s">
        <v>17740</v>
      </c>
      <c r="H3051" s="11" t="s">
        <v>35496</v>
      </c>
      <c r="I3051" s="11" t="s">
        <v>35497</v>
      </c>
      <c r="J3051" s="11" t="s">
        <v>35498</v>
      </c>
      <c r="K3051" s="9" t="s">
        <v>34969</v>
      </c>
      <c r="L3051" s="9" t="s">
        <v>17759</v>
      </c>
      <c r="M3051" s="9" t="s">
        <v>17760</v>
      </c>
      <c r="N3051" s="9" t="s">
        <v>17746</v>
      </c>
      <c r="O3051" s="9" t="s">
        <v>18514</v>
      </c>
      <c r="P3051" s="9" t="s">
        <v>17748</v>
      </c>
      <c r="Q3051" s="11" t="s">
        <v>18608</v>
      </c>
      <c r="R3051" s="11" t="s">
        <v>18608</v>
      </c>
      <c r="S3051" s="11" t="s">
        <v>17750</v>
      </c>
    </row>
    <row r="3052" spans="1:19" x14ac:dyDescent="0.2">
      <c r="A3052" s="11" t="s">
        <v>35499</v>
      </c>
      <c r="B3052" s="9" t="s">
        <v>35500</v>
      </c>
      <c r="C3052" s="9" t="s">
        <v>35501</v>
      </c>
      <c r="D3052" s="9" t="s">
        <v>35502</v>
      </c>
      <c r="E3052" s="9" t="s">
        <v>17740</v>
      </c>
      <c r="F3052" s="9" t="s">
        <v>35482</v>
      </c>
      <c r="G3052" s="9" t="s">
        <v>17740</v>
      </c>
      <c r="H3052" s="11" t="s">
        <v>35503</v>
      </c>
      <c r="I3052" s="11" t="s">
        <v>35504</v>
      </c>
      <c r="J3052" s="11" t="s">
        <v>35504</v>
      </c>
      <c r="K3052" s="9" t="s">
        <v>34969</v>
      </c>
      <c r="L3052" s="9" t="s">
        <v>17759</v>
      </c>
      <c r="M3052" s="9" t="s">
        <v>17769</v>
      </c>
      <c r="N3052" s="9" t="s">
        <v>17746</v>
      </c>
      <c r="O3052" s="9" t="s">
        <v>18514</v>
      </c>
      <c r="P3052" s="9" t="s">
        <v>17748</v>
      </c>
      <c r="Q3052" s="11" t="s">
        <v>18608</v>
      </c>
      <c r="R3052" s="11" t="s">
        <v>18608</v>
      </c>
      <c r="S3052" s="11" t="s">
        <v>17750</v>
      </c>
    </row>
    <row r="3053" spans="1:19" x14ac:dyDescent="0.2">
      <c r="A3053" s="11" t="s">
        <v>35505</v>
      </c>
      <c r="B3053" s="9" t="s">
        <v>35506</v>
      </c>
      <c r="C3053" s="9" t="s">
        <v>35507</v>
      </c>
      <c r="D3053" s="9" t="s">
        <v>35508</v>
      </c>
      <c r="E3053" s="9" t="s">
        <v>17740</v>
      </c>
      <c r="F3053" s="9" t="s">
        <v>35509</v>
      </c>
      <c r="G3053" s="9" t="s">
        <v>17740</v>
      </c>
      <c r="H3053" s="11" t="s">
        <v>35510</v>
      </c>
      <c r="I3053" s="11" t="s">
        <v>35511</v>
      </c>
      <c r="J3053" s="11" t="s">
        <v>35511</v>
      </c>
      <c r="K3053" s="9" t="s">
        <v>19767</v>
      </c>
      <c r="L3053" s="9" t="s">
        <v>17759</v>
      </c>
      <c r="M3053" s="9" t="s">
        <v>17769</v>
      </c>
      <c r="N3053" s="9" t="s">
        <v>17746</v>
      </c>
      <c r="O3053" s="9" t="s">
        <v>18514</v>
      </c>
      <c r="P3053" s="9" t="s">
        <v>17748</v>
      </c>
      <c r="Q3053" s="11" t="s">
        <v>19515</v>
      </c>
      <c r="R3053" s="11" t="s">
        <v>19515</v>
      </c>
      <c r="S3053" s="11" t="s">
        <v>17750</v>
      </c>
    </row>
    <row r="3054" spans="1:19" x14ac:dyDescent="0.2">
      <c r="A3054" s="11" t="s">
        <v>35512</v>
      </c>
      <c r="B3054" s="9" t="s">
        <v>35513</v>
      </c>
      <c r="C3054" s="9" t="s">
        <v>35514</v>
      </c>
      <c r="D3054" s="9" t="s">
        <v>35515</v>
      </c>
      <c r="E3054" s="9" t="s">
        <v>17740</v>
      </c>
      <c r="F3054" s="9" t="s">
        <v>17741</v>
      </c>
      <c r="G3054" s="9" t="s">
        <v>17740</v>
      </c>
      <c r="H3054" s="11" t="s">
        <v>35516</v>
      </c>
      <c r="I3054" s="11" t="s">
        <v>7063</v>
      </c>
      <c r="J3054" s="11" t="s">
        <v>7063</v>
      </c>
      <c r="K3054" s="9" t="s">
        <v>7064</v>
      </c>
      <c r="L3054" s="9" t="s">
        <v>17759</v>
      </c>
      <c r="M3054" s="9" t="s">
        <v>21973</v>
      </c>
      <c r="N3054" s="9" t="s">
        <v>17746</v>
      </c>
      <c r="O3054" s="9" t="s">
        <v>35517</v>
      </c>
      <c r="P3054" s="9" t="s">
        <v>17748</v>
      </c>
      <c r="Q3054" s="11" t="s">
        <v>18201</v>
      </c>
      <c r="R3054" s="11" t="s">
        <v>18201</v>
      </c>
      <c r="S3054" s="11" t="s">
        <v>17750</v>
      </c>
    </row>
    <row r="3055" spans="1:19" x14ac:dyDescent="0.2">
      <c r="A3055" s="11" t="s">
        <v>35518</v>
      </c>
      <c r="B3055" s="9" t="s">
        <v>35519</v>
      </c>
      <c r="C3055" s="9" t="s">
        <v>35520</v>
      </c>
      <c r="D3055" s="9" t="s">
        <v>35521</v>
      </c>
      <c r="E3055" s="9" t="s">
        <v>17748</v>
      </c>
      <c r="F3055" s="9" t="s">
        <v>35522</v>
      </c>
      <c r="G3055" s="9" t="s">
        <v>17740</v>
      </c>
      <c r="H3055" s="11" t="s">
        <v>35523</v>
      </c>
      <c r="I3055" s="11" t="s">
        <v>35524</v>
      </c>
      <c r="J3055" s="11" t="s">
        <v>35524</v>
      </c>
      <c r="K3055" s="9" t="s">
        <v>21960</v>
      </c>
      <c r="L3055" s="9" t="s">
        <v>17759</v>
      </c>
      <c r="M3055" s="9" t="s">
        <v>17817</v>
      </c>
      <c r="N3055" s="9" t="s">
        <v>17746</v>
      </c>
      <c r="O3055" s="9" t="s">
        <v>35525</v>
      </c>
      <c r="P3055" s="9" t="s">
        <v>17748</v>
      </c>
      <c r="Q3055" s="11" t="s">
        <v>17917</v>
      </c>
      <c r="R3055" s="11" t="s">
        <v>17917</v>
      </c>
      <c r="S3055" s="11" t="s">
        <v>17750</v>
      </c>
    </row>
    <row r="3056" spans="1:19" x14ac:dyDescent="0.2">
      <c r="A3056" s="11" t="s">
        <v>35526</v>
      </c>
      <c r="B3056" s="9" t="s">
        <v>35527</v>
      </c>
      <c r="C3056" s="9" t="s">
        <v>35528</v>
      </c>
      <c r="D3056" s="9" t="s">
        <v>35529</v>
      </c>
      <c r="E3056" s="9" t="s">
        <v>17748</v>
      </c>
      <c r="F3056" s="9" t="s">
        <v>35530</v>
      </c>
      <c r="G3056" s="9" t="s">
        <v>17740</v>
      </c>
      <c r="H3056" s="11" t="s">
        <v>35531</v>
      </c>
      <c r="I3056" s="11" t="s">
        <v>35532</v>
      </c>
      <c r="J3056" s="11" t="s">
        <v>35532</v>
      </c>
      <c r="K3056" s="9" t="s">
        <v>19094</v>
      </c>
      <c r="L3056" s="9" t="s">
        <v>17759</v>
      </c>
      <c r="M3056" s="9" t="s">
        <v>26134</v>
      </c>
      <c r="N3056" s="9" t="s">
        <v>17746</v>
      </c>
      <c r="O3056" s="9" t="s">
        <v>32047</v>
      </c>
      <c r="P3056" s="9" t="s">
        <v>17748</v>
      </c>
      <c r="Q3056" s="11" t="s">
        <v>17858</v>
      </c>
      <c r="R3056" s="11" t="s">
        <v>17858</v>
      </c>
      <c r="S3056" s="11" t="s">
        <v>17750</v>
      </c>
    </row>
    <row r="3057" spans="1:19" x14ac:dyDescent="0.2">
      <c r="A3057" s="11" t="s">
        <v>35533</v>
      </c>
      <c r="B3057" s="9" t="s">
        <v>35534</v>
      </c>
      <c r="C3057" s="9" t="s">
        <v>35535</v>
      </c>
      <c r="D3057" s="9" t="s">
        <v>35536</v>
      </c>
      <c r="E3057" s="9" t="s">
        <v>17748</v>
      </c>
      <c r="F3057" s="9" t="s">
        <v>35537</v>
      </c>
      <c r="G3057" s="9" t="s">
        <v>17740</v>
      </c>
      <c r="H3057" s="11" t="s">
        <v>35538</v>
      </c>
      <c r="I3057" s="11" t="s">
        <v>35539</v>
      </c>
      <c r="J3057" s="11" t="s">
        <v>35539</v>
      </c>
      <c r="K3057" s="9" t="s">
        <v>19584</v>
      </c>
      <c r="L3057" s="9" t="s">
        <v>17759</v>
      </c>
      <c r="M3057" s="9" t="s">
        <v>17769</v>
      </c>
      <c r="N3057" s="9" t="s">
        <v>17746</v>
      </c>
      <c r="O3057" s="9" t="s">
        <v>35540</v>
      </c>
      <c r="P3057" s="9" t="s">
        <v>17748</v>
      </c>
      <c r="Q3057" s="11" t="s">
        <v>17762</v>
      </c>
      <c r="R3057" s="11" t="s">
        <v>17762</v>
      </c>
      <c r="S3057" s="11" t="s">
        <v>17750</v>
      </c>
    </row>
    <row r="3058" spans="1:19" x14ac:dyDescent="0.2">
      <c r="A3058" s="11" t="s">
        <v>35541</v>
      </c>
      <c r="B3058" s="9" t="s">
        <v>35542</v>
      </c>
      <c r="C3058" s="9" t="s">
        <v>35543</v>
      </c>
      <c r="D3058" s="9" t="s">
        <v>35544</v>
      </c>
      <c r="E3058" s="9" t="s">
        <v>17740</v>
      </c>
      <c r="F3058" s="9" t="s">
        <v>17741</v>
      </c>
      <c r="G3058" s="9" t="s">
        <v>17740</v>
      </c>
      <c r="H3058" s="11" t="s">
        <v>17741</v>
      </c>
      <c r="I3058" s="11" t="s">
        <v>2324</v>
      </c>
      <c r="J3058" s="11" t="s">
        <v>2324</v>
      </c>
      <c r="K3058" s="9" t="s">
        <v>35545</v>
      </c>
      <c r="L3058" s="9" t="s">
        <v>17759</v>
      </c>
      <c r="M3058" s="9" t="s">
        <v>17760</v>
      </c>
      <c r="N3058" s="9" t="s">
        <v>17746</v>
      </c>
      <c r="O3058" s="9" t="s">
        <v>35546</v>
      </c>
      <c r="P3058" s="9" t="s">
        <v>17748</v>
      </c>
      <c r="Q3058" s="11" t="s">
        <v>17883</v>
      </c>
      <c r="R3058" s="11" t="s">
        <v>17883</v>
      </c>
      <c r="S3058" s="11" t="s">
        <v>17750</v>
      </c>
    </row>
    <row r="3059" spans="1:19" x14ac:dyDescent="0.2">
      <c r="A3059" s="11" t="s">
        <v>35547</v>
      </c>
      <c r="B3059" s="9" t="s">
        <v>35548</v>
      </c>
      <c r="C3059" s="9" t="s">
        <v>35549</v>
      </c>
      <c r="D3059" s="9" t="s">
        <v>35550</v>
      </c>
      <c r="E3059" s="9" t="s">
        <v>17748</v>
      </c>
      <c r="F3059" s="9" t="s">
        <v>35551</v>
      </c>
      <c r="G3059" s="9" t="s">
        <v>17740</v>
      </c>
      <c r="H3059" s="11" t="s">
        <v>17741</v>
      </c>
      <c r="I3059" s="11" t="s">
        <v>35552</v>
      </c>
      <c r="J3059" s="11" t="s">
        <v>35552</v>
      </c>
      <c r="K3059" s="9" t="s">
        <v>35553</v>
      </c>
      <c r="L3059" s="9" t="s">
        <v>17744</v>
      </c>
      <c r="M3059" s="9" t="s">
        <v>21423</v>
      </c>
      <c r="N3059" s="9" t="s">
        <v>17746</v>
      </c>
      <c r="O3059" s="9" t="s">
        <v>35554</v>
      </c>
      <c r="P3059" s="9" t="s">
        <v>17748</v>
      </c>
      <c r="Q3059" s="11" t="s">
        <v>17994</v>
      </c>
      <c r="R3059" s="11" t="s">
        <v>17994</v>
      </c>
      <c r="S3059" s="11" t="s">
        <v>17750</v>
      </c>
    </row>
    <row r="3060" spans="1:19" x14ac:dyDescent="0.2">
      <c r="A3060" s="11" t="s">
        <v>35555</v>
      </c>
      <c r="B3060" s="9" t="s">
        <v>35556</v>
      </c>
      <c r="C3060" s="9" t="s">
        <v>35557</v>
      </c>
      <c r="D3060" s="9" t="s">
        <v>35558</v>
      </c>
      <c r="E3060" s="9" t="s">
        <v>17740</v>
      </c>
      <c r="F3060" s="9" t="s">
        <v>17741</v>
      </c>
      <c r="G3060" s="9" t="s">
        <v>17740</v>
      </c>
      <c r="H3060" s="11" t="s">
        <v>35559</v>
      </c>
      <c r="I3060" s="11" t="s">
        <v>35560</v>
      </c>
      <c r="J3060" s="11" t="s">
        <v>35560</v>
      </c>
      <c r="K3060" s="9" t="s">
        <v>19447</v>
      </c>
      <c r="L3060" s="9" t="s">
        <v>17759</v>
      </c>
      <c r="M3060" s="9" t="s">
        <v>17760</v>
      </c>
      <c r="N3060" s="9" t="s">
        <v>17746</v>
      </c>
      <c r="O3060" s="9" t="s">
        <v>17800</v>
      </c>
      <c r="P3060" s="9" t="s">
        <v>17748</v>
      </c>
      <c r="Q3060" s="11" t="s">
        <v>19361</v>
      </c>
      <c r="R3060" s="11" t="s">
        <v>19361</v>
      </c>
      <c r="S3060" s="11" t="s">
        <v>17750</v>
      </c>
    </row>
    <row r="3061" spans="1:19" x14ac:dyDescent="0.2">
      <c r="A3061" s="11" t="s">
        <v>35561</v>
      </c>
      <c r="B3061" s="9" t="s">
        <v>35562</v>
      </c>
      <c r="C3061" s="9" t="s">
        <v>35563</v>
      </c>
      <c r="D3061" s="9" t="s">
        <v>35564</v>
      </c>
      <c r="E3061" s="9" t="s">
        <v>17748</v>
      </c>
      <c r="F3061" s="9" t="s">
        <v>35565</v>
      </c>
      <c r="G3061" s="9" t="s">
        <v>17740</v>
      </c>
      <c r="H3061" s="11" t="s">
        <v>35566</v>
      </c>
      <c r="I3061" s="11" t="s">
        <v>8983</v>
      </c>
      <c r="J3061" s="11" t="s">
        <v>8983</v>
      </c>
      <c r="K3061" s="9" t="s">
        <v>35567</v>
      </c>
      <c r="L3061" s="9" t="s">
        <v>17744</v>
      </c>
      <c r="M3061" s="9" t="s">
        <v>17760</v>
      </c>
      <c r="N3061" s="9" t="s">
        <v>17746</v>
      </c>
      <c r="O3061" s="9" t="s">
        <v>28528</v>
      </c>
      <c r="P3061" s="9" t="s">
        <v>17748</v>
      </c>
      <c r="Q3061" s="11" t="s">
        <v>18922</v>
      </c>
      <c r="R3061" s="11" t="s">
        <v>18922</v>
      </c>
      <c r="S3061" s="11" t="s">
        <v>17750</v>
      </c>
    </row>
    <row r="3062" spans="1:19" x14ac:dyDescent="0.2">
      <c r="A3062" s="11" t="s">
        <v>35568</v>
      </c>
      <c r="B3062" s="9" t="s">
        <v>35569</v>
      </c>
      <c r="C3062" s="9" t="s">
        <v>35570</v>
      </c>
      <c r="D3062" s="9" t="s">
        <v>35571</v>
      </c>
      <c r="E3062" s="9" t="s">
        <v>17740</v>
      </c>
      <c r="F3062" s="9" t="s">
        <v>17741</v>
      </c>
      <c r="G3062" s="9" t="s">
        <v>17740</v>
      </c>
      <c r="H3062" s="11" t="s">
        <v>2329</v>
      </c>
      <c r="I3062" s="11" t="s">
        <v>2328</v>
      </c>
      <c r="J3062" s="11" t="s">
        <v>2328</v>
      </c>
      <c r="K3062" s="9" t="s">
        <v>20513</v>
      </c>
      <c r="L3062" s="9" t="s">
        <v>17759</v>
      </c>
      <c r="M3062" s="9" t="s">
        <v>31810</v>
      </c>
      <c r="N3062" s="9" t="s">
        <v>17746</v>
      </c>
      <c r="O3062" s="9" t="s">
        <v>19423</v>
      </c>
      <c r="P3062" s="9" t="s">
        <v>17748</v>
      </c>
      <c r="Q3062" s="11" t="s">
        <v>17771</v>
      </c>
      <c r="R3062" s="11" t="s">
        <v>17771</v>
      </c>
      <c r="S3062" s="11" t="s">
        <v>17750</v>
      </c>
    </row>
    <row r="3063" spans="1:19" x14ac:dyDescent="0.2">
      <c r="A3063" s="11" t="s">
        <v>35572</v>
      </c>
      <c r="B3063" s="9" t="s">
        <v>35573</v>
      </c>
      <c r="C3063" s="9" t="s">
        <v>35574</v>
      </c>
      <c r="D3063" s="9" t="s">
        <v>35575</v>
      </c>
      <c r="E3063" s="9" t="s">
        <v>17740</v>
      </c>
      <c r="F3063" s="9" t="s">
        <v>17741</v>
      </c>
      <c r="G3063" s="9" t="s">
        <v>17740</v>
      </c>
      <c r="H3063" s="11" t="s">
        <v>35576</v>
      </c>
      <c r="I3063" s="11" t="s">
        <v>35577</v>
      </c>
      <c r="J3063" s="11" t="s">
        <v>35577</v>
      </c>
      <c r="K3063" s="9" t="s">
        <v>19767</v>
      </c>
      <c r="L3063" s="9" t="s">
        <v>17759</v>
      </c>
      <c r="M3063" s="9" t="s">
        <v>21092</v>
      </c>
      <c r="N3063" s="9" t="s">
        <v>17746</v>
      </c>
      <c r="O3063" s="9" t="s">
        <v>18514</v>
      </c>
      <c r="P3063" s="9" t="s">
        <v>17748</v>
      </c>
      <c r="Q3063" s="11" t="s">
        <v>18364</v>
      </c>
      <c r="R3063" s="11" t="s">
        <v>18364</v>
      </c>
      <c r="S3063" s="11" t="s">
        <v>17750</v>
      </c>
    </row>
    <row r="3064" spans="1:19" x14ac:dyDescent="0.2">
      <c r="A3064" s="11" t="s">
        <v>35578</v>
      </c>
      <c r="B3064" s="9" t="s">
        <v>35579</v>
      </c>
      <c r="C3064" s="9" t="s">
        <v>35580</v>
      </c>
      <c r="D3064" s="9" t="s">
        <v>35581</v>
      </c>
      <c r="E3064" s="9" t="s">
        <v>17740</v>
      </c>
      <c r="F3064" s="9" t="s">
        <v>17741</v>
      </c>
      <c r="G3064" s="9" t="s">
        <v>17740</v>
      </c>
      <c r="H3064" s="11" t="s">
        <v>35582</v>
      </c>
      <c r="I3064" s="11" t="s">
        <v>35583</v>
      </c>
      <c r="J3064" s="11" t="s">
        <v>35583</v>
      </c>
      <c r="K3064" s="9" t="s">
        <v>18520</v>
      </c>
      <c r="L3064" s="9" t="s">
        <v>17744</v>
      </c>
      <c r="M3064" s="9" t="s">
        <v>20970</v>
      </c>
      <c r="N3064" s="9" t="s">
        <v>17746</v>
      </c>
      <c r="O3064" s="9" t="s">
        <v>18563</v>
      </c>
      <c r="P3064" s="9" t="s">
        <v>17748</v>
      </c>
      <c r="Q3064" s="11" t="s">
        <v>18356</v>
      </c>
      <c r="R3064" s="11" t="s">
        <v>18356</v>
      </c>
      <c r="S3064" s="11" t="s">
        <v>17750</v>
      </c>
    </row>
    <row r="3065" spans="1:19" x14ac:dyDescent="0.2">
      <c r="A3065" s="11" t="s">
        <v>35584</v>
      </c>
      <c r="B3065" s="9" t="s">
        <v>35585</v>
      </c>
      <c r="C3065" s="9" t="s">
        <v>35586</v>
      </c>
      <c r="D3065" s="9" t="s">
        <v>35587</v>
      </c>
      <c r="E3065" s="9" t="s">
        <v>17740</v>
      </c>
      <c r="F3065" s="9" t="s">
        <v>17741</v>
      </c>
      <c r="G3065" s="9" t="s">
        <v>17740</v>
      </c>
      <c r="H3065" s="11" t="s">
        <v>35588</v>
      </c>
      <c r="I3065" s="11" t="s">
        <v>35589</v>
      </c>
      <c r="J3065" s="11" t="s">
        <v>35589</v>
      </c>
      <c r="K3065" s="9" t="s">
        <v>296</v>
      </c>
      <c r="L3065" s="9" t="s">
        <v>17744</v>
      </c>
      <c r="M3065" s="9" t="s">
        <v>35590</v>
      </c>
      <c r="N3065" s="9" t="s">
        <v>17746</v>
      </c>
      <c r="O3065" s="9" t="s">
        <v>19859</v>
      </c>
      <c r="P3065" s="9" t="s">
        <v>17748</v>
      </c>
      <c r="Q3065" s="11" t="s">
        <v>17867</v>
      </c>
      <c r="R3065" s="11" t="s">
        <v>17867</v>
      </c>
      <c r="S3065" s="11" t="s">
        <v>17750</v>
      </c>
    </row>
    <row r="3066" spans="1:19" x14ac:dyDescent="0.2">
      <c r="A3066" s="11" t="s">
        <v>35591</v>
      </c>
      <c r="B3066" s="9" t="s">
        <v>35592</v>
      </c>
      <c r="C3066" s="9" t="s">
        <v>35593</v>
      </c>
      <c r="D3066" s="9" t="s">
        <v>35594</v>
      </c>
      <c r="E3066" s="9" t="s">
        <v>17740</v>
      </c>
      <c r="F3066" s="9" t="s">
        <v>17741</v>
      </c>
      <c r="G3066" s="9" t="s">
        <v>17740</v>
      </c>
      <c r="H3066" s="11" t="s">
        <v>35595</v>
      </c>
      <c r="I3066" s="11" t="s">
        <v>35596</v>
      </c>
      <c r="J3066" s="11" t="s">
        <v>35596</v>
      </c>
      <c r="K3066" s="9" t="s">
        <v>24835</v>
      </c>
      <c r="L3066" s="9" t="s">
        <v>17744</v>
      </c>
      <c r="M3066" s="9" t="s">
        <v>34962</v>
      </c>
      <c r="N3066" s="9" t="s">
        <v>17746</v>
      </c>
      <c r="O3066" s="9" t="s">
        <v>19859</v>
      </c>
      <c r="P3066" s="9" t="s">
        <v>17748</v>
      </c>
      <c r="Q3066" s="11" t="s">
        <v>19335</v>
      </c>
      <c r="R3066" s="11" t="s">
        <v>19335</v>
      </c>
      <c r="S3066" s="11" t="s">
        <v>17750</v>
      </c>
    </row>
    <row r="3067" spans="1:19" x14ac:dyDescent="0.2">
      <c r="A3067" s="11" t="s">
        <v>35597</v>
      </c>
      <c r="B3067" s="9" t="s">
        <v>35598</v>
      </c>
      <c r="C3067" s="9" t="s">
        <v>35599</v>
      </c>
      <c r="D3067" s="9" t="s">
        <v>35600</v>
      </c>
      <c r="E3067" s="9" t="s">
        <v>17740</v>
      </c>
      <c r="F3067" s="9" t="s">
        <v>17741</v>
      </c>
      <c r="G3067" s="9" t="s">
        <v>17740</v>
      </c>
      <c r="H3067" s="11" t="s">
        <v>4375</v>
      </c>
      <c r="I3067" s="11" t="s">
        <v>4374</v>
      </c>
      <c r="J3067" s="11" t="s">
        <v>4374</v>
      </c>
      <c r="K3067" s="9" t="s">
        <v>91</v>
      </c>
      <c r="L3067" s="9" t="s">
        <v>17759</v>
      </c>
      <c r="M3067" s="9" t="s">
        <v>17760</v>
      </c>
      <c r="N3067" s="9" t="s">
        <v>17746</v>
      </c>
      <c r="O3067" s="9" t="s">
        <v>19930</v>
      </c>
      <c r="P3067" s="9" t="s">
        <v>17748</v>
      </c>
      <c r="Q3067" s="11" t="s">
        <v>17771</v>
      </c>
      <c r="R3067" s="11" t="s">
        <v>17771</v>
      </c>
      <c r="S3067" s="11" t="s">
        <v>17750</v>
      </c>
    </row>
    <row r="3068" spans="1:19" x14ac:dyDescent="0.2">
      <c r="A3068" s="11" t="s">
        <v>35601</v>
      </c>
      <c r="B3068" s="9" t="s">
        <v>35602</v>
      </c>
      <c r="C3068" s="9" t="s">
        <v>35603</v>
      </c>
      <c r="D3068" s="9" t="s">
        <v>35604</v>
      </c>
      <c r="E3068" s="9" t="s">
        <v>17740</v>
      </c>
      <c r="F3068" s="9" t="s">
        <v>17741</v>
      </c>
      <c r="G3068" s="9" t="s">
        <v>17740</v>
      </c>
      <c r="H3068" s="11" t="s">
        <v>35605</v>
      </c>
      <c r="I3068" s="11" t="s">
        <v>35606</v>
      </c>
      <c r="J3068" s="11" t="s">
        <v>35606</v>
      </c>
      <c r="K3068" s="9" t="s">
        <v>35607</v>
      </c>
      <c r="L3068" s="9" t="s">
        <v>18001</v>
      </c>
      <c r="M3068" s="9" t="s">
        <v>17760</v>
      </c>
      <c r="N3068" s="9" t="s">
        <v>17746</v>
      </c>
      <c r="O3068" s="9" t="s">
        <v>35608</v>
      </c>
      <c r="P3068" s="9" t="s">
        <v>17748</v>
      </c>
      <c r="Q3068" s="11" t="s">
        <v>18080</v>
      </c>
      <c r="R3068" s="11" t="s">
        <v>18080</v>
      </c>
      <c r="S3068" s="11" t="s">
        <v>17750</v>
      </c>
    </row>
    <row r="3069" spans="1:19" x14ac:dyDescent="0.2">
      <c r="A3069" s="11" t="s">
        <v>35609</v>
      </c>
      <c r="B3069" s="9" t="s">
        <v>35610</v>
      </c>
      <c r="C3069" s="9" t="s">
        <v>35611</v>
      </c>
      <c r="D3069" s="9" t="s">
        <v>35612</v>
      </c>
      <c r="E3069" s="9" t="s">
        <v>17740</v>
      </c>
      <c r="F3069" s="9" t="s">
        <v>35613</v>
      </c>
      <c r="G3069" s="9" t="s">
        <v>17740</v>
      </c>
      <c r="H3069" s="11" t="s">
        <v>35614</v>
      </c>
      <c r="I3069" s="11" t="s">
        <v>35615</v>
      </c>
      <c r="J3069" s="11" t="s">
        <v>35615</v>
      </c>
      <c r="K3069" s="9" t="s">
        <v>35616</v>
      </c>
      <c r="L3069" s="9" t="s">
        <v>17759</v>
      </c>
      <c r="M3069" s="9" t="s">
        <v>17817</v>
      </c>
      <c r="N3069" s="9" t="s">
        <v>17746</v>
      </c>
      <c r="O3069" s="9" t="s">
        <v>22506</v>
      </c>
      <c r="P3069" s="9" t="s">
        <v>17748</v>
      </c>
      <c r="Q3069" s="11" t="s">
        <v>18600</v>
      </c>
      <c r="R3069" s="11" t="s">
        <v>18600</v>
      </c>
      <c r="S3069" s="11" t="s">
        <v>17750</v>
      </c>
    </row>
    <row r="3070" spans="1:19" x14ac:dyDescent="0.2">
      <c r="A3070" s="11" t="s">
        <v>35617</v>
      </c>
      <c r="B3070" s="9" t="s">
        <v>35618</v>
      </c>
      <c r="C3070" s="9" t="s">
        <v>35619</v>
      </c>
      <c r="D3070" s="9" t="s">
        <v>35620</v>
      </c>
      <c r="E3070" s="9" t="s">
        <v>17740</v>
      </c>
      <c r="F3070" s="9" t="s">
        <v>35621</v>
      </c>
      <c r="G3070" s="9" t="s">
        <v>17740</v>
      </c>
      <c r="H3070" s="11" t="s">
        <v>35622</v>
      </c>
      <c r="I3070" s="11" t="s">
        <v>35623</v>
      </c>
      <c r="J3070" s="11" t="s">
        <v>35623</v>
      </c>
      <c r="K3070" s="9" t="s">
        <v>21146</v>
      </c>
      <c r="L3070" s="9" t="s">
        <v>17759</v>
      </c>
      <c r="M3070" s="9" t="s">
        <v>35624</v>
      </c>
      <c r="N3070" s="9" t="s">
        <v>17746</v>
      </c>
      <c r="O3070" s="9" t="s">
        <v>18543</v>
      </c>
      <c r="P3070" s="9" t="s">
        <v>17748</v>
      </c>
      <c r="Q3070" s="11" t="s">
        <v>18306</v>
      </c>
      <c r="R3070" s="11" t="s">
        <v>18306</v>
      </c>
      <c r="S3070" s="11" t="s">
        <v>17750</v>
      </c>
    </row>
    <row r="3071" spans="1:19" x14ac:dyDescent="0.2">
      <c r="A3071" s="11" t="s">
        <v>35625</v>
      </c>
      <c r="B3071" s="9" t="s">
        <v>35626</v>
      </c>
      <c r="C3071" s="9" t="s">
        <v>35627</v>
      </c>
      <c r="D3071" s="9" t="s">
        <v>35628</v>
      </c>
      <c r="E3071" s="9" t="s">
        <v>17748</v>
      </c>
      <c r="F3071" s="9" t="s">
        <v>35629</v>
      </c>
      <c r="G3071" s="9" t="s">
        <v>17740</v>
      </c>
      <c r="H3071" s="11" t="s">
        <v>6074</v>
      </c>
      <c r="I3071" s="11" t="s">
        <v>6073</v>
      </c>
      <c r="J3071" s="11" t="s">
        <v>6073</v>
      </c>
      <c r="K3071" s="9" t="s">
        <v>303</v>
      </c>
      <c r="L3071" s="9" t="s">
        <v>17759</v>
      </c>
      <c r="M3071" s="9" t="s">
        <v>17769</v>
      </c>
      <c r="N3071" s="9" t="s">
        <v>17746</v>
      </c>
      <c r="O3071" s="9" t="s">
        <v>23240</v>
      </c>
      <c r="P3071" s="9" t="s">
        <v>17748</v>
      </c>
      <c r="Q3071" s="11" t="s">
        <v>17792</v>
      </c>
      <c r="R3071" s="11" t="s">
        <v>17792</v>
      </c>
      <c r="S3071" s="11" t="s">
        <v>17750</v>
      </c>
    </row>
    <row r="3072" spans="1:19" x14ac:dyDescent="0.2">
      <c r="A3072" s="11" t="s">
        <v>35630</v>
      </c>
      <c r="B3072" s="9" t="s">
        <v>35631</v>
      </c>
      <c r="C3072" s="9" t="s">
        <v>35632</v>
      </c>
      <c r="D3072" s="9" t="s">
        <v>35633</v>
      </c>
      <c r="E3072" s="9" t="s">
        <v>17748</v>
      </c>
      <c r="F3072" s="9" t="s">
        <v>35634</v>
      </c>
      <c r="G3072" s="9" t="s">
        <v>17740</v>
      </c>
      <c r="H3072" s="11" t="s">
        <v>11636</v>
      </c>
      <c r="I3072" s="11" t="s">
        <v>11635</v>
      </c>
      <c r="J3072" s="11" t="s">
        <v>11635</v>
      </c>
      <c r="K3072" s="9" t="s">
        <v>91</v>
      </c>
      <c r="L3072" s="9" t="s">
        <v>17744</v>
      </c>
      <c r="M3072" s="9" t="s">
        <v>35635</v>
      </c>
      <c r="N3072" s="9" t="s">
        <v>17746</v>
      </c>
      <c r="O3072" s="9" t="s">
        <v>19275</v>
      </c>
      <c r="P3072" s="9" t="s">
        <v>17748</v>
      </c>
      <c r="Q3072" s="11" t="s">
        <v>17917</v>
      </c>
      <c r="R3072" s="11" t="s">
        <v>17917</v>
      </c>
      <c r="S3072" s="11" t="s">
        <v>17750</v>
      </c>
    </row>
    <row r="3073" spans="1:19" x14ac:dyDescent="0.2">
      <c r="A3073" s="11" t="s">
        <v>35636</v>
      </c>
      <c r="B3073" s="9" t="s">
        <v>35637</v>
      </c>
      <c r="C3073" s="9" t="s">
        <v>35638</v>
      </c>
      <c r="D3073" s="9" t="s">
        <v>35639</v>
      </c>
      <c r="E3073" s="9" t="s">
        <v>17740</v>
      </c>
      <c r="F3073" s="9" t="s">
        <v>17741</v>
      </c>
      <c r="G3073" s="9" t="s">
        <v>17740</v>
      </c>
      <c r="H3073" s="11" t="s">
        <v>35640</v>
      </c>
      <c r="I3073" s="11" t="s">
        <v>35641</v>
      </c>
      <c r="J3073" s="11" t="s">
        <v>35641</v>
      </c>
      <c r="K3073" s="9" t="s">
        <v>17758</v>
      </c>
      <c r="L3073" s="9" t="s">
        <v>17759</v>
      </c>
      <c r="M3073" s="9" t="s">
        <v>17760</v>
      </c>
      <c r="N3073" s="9" t="s">
        <v>17746</v>
      </c>
      <c r="O3073" s="9" t="s">
        <v>35642</v>
      </c>
      <c r="P3073" s="9" t="s">
        <v>17748</v>
      </c>
      <c r="Q3073" s="11" t="s">
        <v>17984</v>
      </c>
      <c r="R3073" s="11" t="s">
        <v>17984</v>
      </c>
      <c r="S3073" s="11" t="s">
        <v>17750</v>
      </c>
    </row>
    <row r="3074" spans="1:19" x14ac:dyDescent="0.2">
      <c r="A3074" s="11" t="s">
        <v>35643</v>
      </c>
      <c r="B3074" s="9" t="s">
        <v>35644</v>
      </c>
      <c r="C3074" s="9" t="s">
        <v>35645</v>
      </c>
      <c r="D3074" s="9" t="s">
        <v>35646</v>
      </c>
      <c r="E3074" s="9" t="s">
        <v>17740</v>
      </c>
      <c r="F3074" s="9" t="s">
        <v>17741</v>
      </c>
      <c r="G3074" s="9" t="s">
        <v>17740</v>
      </c>
      <c r="H3074" s="11" t="s">
        <v>35647</v>
      </c>
      <c r="I3074" s="11" t="s">
        <v>35648</v>
      </c>
      <c r="J3074" s="11" t="s">
        <v>35648</v>
      </c>
      <c r="K3074" s="9" t="s">
        <v>35649</v>
      </c>
      <c r="L3074" s="9" t="s">
        <v>20082</v>
      </c>
      <c r="M3074" s="9" t="s">
        <v>18051</v>
      </c>
      <c r="N3074" s="9" t="s">
        <v>17746</v>
      </c>
      <c r="O3074" s="9" t="s">
        <v>35650</v>
      </c>
      <c r="P3074" s="9" t="s">
        <v>17748</v>
      </c>
      <c r="Q3074" s="11" t="s">
        <v>17978</v>
      </c>
      <c r="R3074" s="11" t="s">
        <v>17978</v>
      </c>
      <c r="S3074" s="11" t="s">
        <v>17750</v>
      </c>
    </row>
    <row r="3075" spans="1:19" x14ac:dyDescent="0.2">
      <c r="A3075" s="11" t="s">
        <v>35651</v>
      </c>
      <c r="B3075" s="9" t="s">
        <v>35652</v>
      </c>
      <c r="C3075" s="9" t="s">
        <v>35653</v>
      </c>
      <c r="D3075" s="9" t="s">
        <v>35654</v>
      </c>
      <c r="E3075" s="9" t="s">
        <v>17740</v>
      </c>
      <c r="F3075" s="9" t="s">
        <v>17741</v>
      </c>
      <c r="G3075" s="9" t="s">
        <v>17740</v>
      </c>
      <c r="H3075" s="11" t="s">
        <v>35655</v>
      </c>
      <c r="I3075" s="11" t="s">
        <v>35656</v>
      </c>
      <c r="J3075" s="11" t="s">
        <v>35656</v>
      </c>
      <c r="K3075" s="9" t="s">
        <v>20225</v>
      </c>
      <c r="L3075" s="9" t="s">
        <v>17759</v>
      </c>
      <c r="M3075" s="9" t="s">
        <v>35657</v>
      </c>
      <c r="N3075" s="9" t="s">
        <v>17746</v>
      </c>
      <c r="O3075" s="9" t="s">
        <v>19275</v>
      </c>
      <c r="P3075" s="9" t="s">
        <v>17748</v>
      </c>
      <c r="Q3075" s="11" t="s">
        <v>18234</v>
      </c>
      <c r="R3075" s="11" t="s">
        <v>18234</v>
      </c>
      <c r="S3075" s="11" t="s">
        <v>17750</v>
      </c>
    </row>
    <row r="3076" spans="1:19" x14ac:dyDescent="0.2">
      <c r="A3076" s="11" t="s">
        <v>35658</v>
      </c>
      <c r="B3076" s="9" t="s">
        <v>35659</v>
      </c>
      <c r="C3076" s="9" t="s">
        <v>35660</v>
      </c>
      <c r="D3076" s="9" t="s">
        <v>35661</v>
      </c>
      <c r="E3076" s="9" t="s">
        <v>17740</v>
      </c>
      <c r="F3076" s="9" t="s">
        <v>35662</v>
      </c>
      <c r="G3076" s="9" t="s">
        <v>17740</v>
      </c>
      <c r="H3076" s="11" t="s">
        <v>35663</v>
      </c>
      <c r="I3076" s="11" t="s">
        <v>35664</v>
      </c>
      <c r="J3076" s="11" t="s">
        <v>35664</v>
      </c>
      <c r="K3076" s="9" t="s">
        <v>35665</v>
      </c>
      <c r="L3076" s="9" t="s">
        <v>17759</v>
      </c>
      <c r="M3076" s="9" t="s">
        <v>17760</v>
      </c>
      <c r="N3076" s="9" t="s">
        <v>17746</v>
      </c>
      <c r="O3076" s="9" t="s">
        <v>18514</v>
      </c>
      <c r="P3076" s="9" t="s">
        <v>17748</v>
      </c>
      <c r="Q3076" s="11" t="s">
        <v>17749</v>
      </c>
      <c r="R3076" s="11" t="s">
        <v>17749</v>
      </c>
      <c r="S3076" s="11" t="s">
        <v>17750</v>
      </c>
    </row>
    <row r="3077" spans="1:19" x14ac:dyDescent="0.2">
      <c r="A3077" s="11" t="s">
        <v>35666</v>
      </c>
      <c r="B3077" s="9" t="s">
        <v>35667</v>
      </c>
      <c r="C3077" s="9" t="s">
        <v>35668</v>
      </c>
      <c r="D3077" s="9" t="s">
        <v>35669</v>
      </c>
      <c r="E3077" s="9" t="s">
        <v>17748</v>
      </c>
      <c r="F3077" s="9" t="s">
        <v>35670</v>
      </c>
      <c r="G3077" s="9" t="s">
        <v>17740</v>
      </c>
      <c r="H3077" s="11" t="s">
        <v>6298</v>
      </c>
      <c r="I3077" s="11" t="s">
        <v>6297</v>
      </c>
      <c r="J3077" s="11" t="s">
        <v>6297</v>
      </c>
      <c r="K3077" s="9" t="s">
        <v>17790</v>
      </c>
      <c r="L3077" s="9" t="s">
        <v>18242</v>
      </c>
      <c r="M3077" s="9" t="s">
        <v>28615</v>
      </c>
      <c r="N3077" s="9" t="s">
        <v>17746</v>
      </c>
      <c r="O3077" s="9" t="s">
        <v>1675</v>
      </c>
      <c r="P3077" s="9" t="s">
        <v>17748</v>
      </c>
      <c r="Q3077" s="11" t="s">
        <v>17808</v>
      </c>
      <c r="R3077" s="11" t="s">
        <v>17808</v>
      </c>
      <c r="S3077" s="11" t="s">
        <v>17750</v>
      </c>
    </row>
    <row r="3078" spans="1:19" x14ac:dyDescent="0.2">
      <c r="A3078" s="11" t="s">
        <v>35671</v>
      </c>
      <c r="B3078" s="9" t="s">
        <v>35672</v>
      </c>
      <c r="C3078" s="9" t="s">
        <v>35673</v>
      </c>
      <c r="D3078" s="9" t="s">
        <v>35674</v>
      </c>
      <c r="E3078" s="9" t="s">
        <v>17740</v>
      </c>
      <c r="F3078" s="9" t="s">
        <v>17741</v>
      </c>
      <c r="G3078" s="9" t="s">
        <v>17740</v>
      </c>
      <c r="H3078" s="11" t="s">
        <v>4625</v>
      </c>
      <c r="I3078" s="11" t="s">
        <v>4624</v>
      </c>
      <c r="J3078" s="11" t="s">
        <v>4624</v>
      </c>
      <c r="K3078" s="9" t="s">
        <v>23527</v>
      </c>
      <c r="L3078" s="9" t="s">
        <v>20082</v>
      </c>
      <c r="M3078" s="9" t="s">
        <v>35675</v>
      </c>
      <c r="N3078" s="9" t="s">
        <v>17746</v>
      </c>
      <c r="O3078" s="9" t="s">
        <v>1675</v>
      </c>
      <c r="P3078" s="9" t="s">
        <v>17748</v>
      </c>
      <c r="Q3078" s="11" t="s">
        <v>18059</v>
      </c>
      <c r="R3078" s="11" t="s">
        <v>18059</v>
      </c>
      <c r="S3078" s="11" t="s">
        <v>17750</v>
      </c>
    </row>
    <row r="3079" spans="1:19" x14ac:dyDescent="0.2">
      <c r="A3079" s="11" t="s">
        <v>35676</v>
      </c>
      <c r="B3079" s="9" t="s">
        <v>35677</v>
      </c>
      <c r="C3079" s="9" t="s">
        <v>35678</v>
      </c>
      <c r="D3079" s="9" t="s">
        <v>35679</v>
      </c>
      <c r="E3079" s="9" t="s">
        <v>17748</v>
      </c>
      <c r="F3079" s="9" t="s">
        <v>35680</v>
      </c>
      <c r="G3079" s="9" t="s">
        <v>17740</v>
      </c>
      <c r="H3079" s="11" t="s">
        <v>35681</v>
      </c>
      <c r="I3079" s="11" t="s">
        <v>11496</v>
      </c>
      <c r="J3079" s="11" t="s">
        <v>11496</v>
      </c>
      <c r="K3079" s="9" t="s">
        <v>35682</v>
      </c>
      <c r="L3079" s="9" t="s">
        <v>22017</v>
      </c>
      <c r="M3079" s="9" t="s">
        <v>17760</v>
      </c>
      <c r="N3079" s="9" t="s">
        <v>17746</v>
      </c>
      <c r="O3079" s="9" t="s">
        <v>1675</v>
      </c>
      <c r="P3079" s="9" t="s">
        <v>17748</v>
      </c>
      <c r="Q3079" s="11" t="s">
        <v>17762</v>
      </c>
      <c r="R3079" s="11" t="s">
        <v>17762</v>
      </c>
      <c r="S3079" s="11" t="s">
        <v>17750</v>
      </c>
    </row>
    <row r="3080" spans="1:19" x14ac:dyDescent="0.2">
      <c r="A3080" s="11" t="s">
        <v>35683</v>
      </c>
      <c r="B3080" s="9" t="s">
        <v>35684</v>
      </c>
      <c r="C3080" s="9" t="s">
        <v>35685</v>
      </c>
      <c r="D3080" s="9" t="s">
        <v>35686</v>
      </c>
      <c r="E3080" s="9" t="s">
        <v>17748</v>
      </c>
      <c r="F3080" s="9" t="s">
        <v>35687</v>
      </c>
      <c r="G3080" s="9" t="s">
        <v>17740</v>
      </c>
      <c r="H3080" s="11" t="s">
        <v>13052</v>
      </c>
      <c r="I3080" s="11" t="s">
        <v>13051</v>
      </c>
      <c r="J3080" s="11" t="s">
        <v>17741</v>
      </c>
      <c r="K3080" s="9" t="s">
        <v>940</v>
      </c>
      <c r="L3080" s="9" t="s">
        <v>17759</v>
      </c>
      <c r="M3080" s="9" t="s">
        <v>17741</v>
      </c>
      <c r="N3080" s="9" t="s">
        <v>17746</v>
      </c>
      <c r="O3080" s="9" t="s">
        <v>25246</v>
      </c>
      <c r="P3080" s="9" t="s">
        <v>17748</v>
      </c>
      <c r="Q3080" s="11" t="s">
        <v>17917</v>
      </c>
      <c r="R3080" s="11" t="s">
        <v>17917</v>
      </c>
      <c r="S3080" s="11" t="s">
        <v>17750</v>
      </c>
    </row>
    <row r="3081" spans="1:19" x14ac:dyDescent="0.2">
      <c r="A3081" s="11" t="s">
        <v>35688</v>
      </c>
      <c r="B3081" s="9" t="s">
        <v>35689</v>
      </c>
      <c r="C3081" s="9" t="s">
        <v>35690</v>
      </c>
      <c r="D3081" s="9" t="s">
        <v>35691</v>
      </c>
      <c r="E3081" s="9" t="s">
        <v>17740</v>
      </c>
      <c r="F3081" s="9" t="s">
        <v>17741</v>
      </c>
      <c r="G3081" s="9" t="s">
        <v>17740</v>
      </c>
      <c r="H3081" s="11" t="s">
        <v>35692</v>
      </c>
      <c r="I3081" s="11" t="s">
        <v>35693</v>
      </c>
      <c r="J3081" s="11" t="s">
        <v>35693</v>
      </c>
      <c r="K3081" s="9" t="s">
        <v>17783</v>
      </c>
      <c r="L3081" s="9" t="s">
        <v>17759</v>
      </c>
      <c r="M3081" s="9" t="s">
        <v>17769</v>
      </c>
      <c r="N3081" s="9" t="s">
        <v>17746</v>
      </c>
      <c r="O3081" s="9" t="s">
        <v>21558</v>
      </c>
      <c r="P3081" s="9" t="s">
        <v>17748</v>
      </c>
      <c r="Q3081" s="11" t="s">
        <v>18272</v>
      </c>
      <c r="R3081" s="11" t="s">
        <v>18272</v>
      </c>
      <c r="S3081" s="11" t="s">
        <v>17750</v>
      </c>
    </row>
    <row r="3082" spans="1:19" x14ac:dyDescent="0.2">
      <c r="A3082" s="11" t="s">
        <v>35694</v>
      </c>
      <c r="B3082" s="9" t="s">
        <v>35695</v>
      </c>
      <c r="C3082" s="9" t="s">
        <v>35696</v>
      </c>
      <c r="D3082" s="9" t="s">
        <v>35697</v>
      </c>
      <c r="E3082" s="9" t="s">
        <v>17740</v>
      </c>
      <c r="F3082" s="9" t="s">
        <v>17741</v>
      </c>
      <c r="G3082" s="9" t="s">
        <v>17740</v>
      </c>
      <c r="H3082" s="11" t="s">
        <v>8106</v>
      </c>
      <c r="I3082" s="11" t="s">
        <v>8105</v>
      </c>
      <c r="J3082" s="11" t="s">
        <v>8105</v>
      </c>
      <c r="K3082" s="9" t="s">
        <v>20207</v>
      </c>
      <c r="L3082" s="9" t="s">
        <v>17744</v>
      </c>
      <c r="M3082" s="9" t="s">
        <v>17769</v>
      </c>
      <c r="N3082" s="9" t="s">
        <v>17746</v>
      </c>
      <c r="O3082" s="9" t="s">
        <v>31411</v>
      </c>
      <c r="P3082" s="9" t="s">
        <v>17748</v>
      </c>
      <c r="Q3082" s="11" t="s">
        <v>18356</v>
      </c>
      <c r="R3082" s="11" t="s">
        <v>18356</v>
      </c>
      <c r="S3082" s="11" t="s">
        <v>17750</v>
      </c>
    </row>
    <row r="3083" spans="1:19" x14ac:dyDescent="0.2">
      <c r="A3083" s="11" t="s">
        <v>35698</v>
      </c>
      <c r="B3083" s="9" t="s">
        <v>35699</v>
      </c>
      <c r="C3083" s="9" t="s">
        <v>35700</v>
      </c>
      <c r="D3083" s="9" t="s">
        <v>35701</v>
      </c>
      <c r="E3083" s="9" t="s">
        <v>17740</v>
      </c>
      <c r="F3083" s="9" t="s">
        <v>17741</v>
      </c>
      <c r="G3083" s="9" t="s">
        <v>17740</v>
      </c>
      <c r="H3083" s="11" t="s">
        <v>2333</v>
      </c>
      <c r="I3083" s="11" t="s">
        <v>2332</v>
      </c>
      <c r="J3083" s="11" t="s">
        <v>2332</v>
      </c>
      <c r="K3083" s="9" t="s">
        <v>2334</v>
      </c>
      <c r="L3083" s="9" t="s">
        <v>18242</v>
      </c>
      <c r="M3083" s="9" t="s">
        <v>17769</v>
      </c>
      <c r="N3083" s="9" t="s">
        <v>17746</v>
      </c>
      <c r="O3083" s="9" t="s">
        <v>18746</v>
      </c>
      <c r="P3083" s="9" t="s">
        <v>17748</v>
      </c>
      <c r="Q3083" s="11" t="s">
        <v>21569</v>
      </c>
      <c r="R3083" s="11" t="s">
        <v>21569</v>
      </c>
      <c r="S3083" s="11" t="s">
        <v>17750</v>
      </c>
    </row>
    <row r="3084" spans="1:19" x14ac:dyDescent="0.2">
      <c r="A3084" s="11" t="s">
        <v>35702</v>
      </c>
      <c r="B3084" s="9" t="s">
        <v>35703</v>
      </c>
      <c r="C3084" s="9" t="s">
        <v>35704</v>
      </c>
      <c r="D3084" s="9" t="s">
        <v>35705</v>
      </c>
      <c r="E3084" s="9" t="s">
        <v>17740</v>
      </c>
      <c r="F3084" s="9" t="s">
        <v>17741</v>
      </c>
      <c r="G3084" s="9" t="s">
        <v>17740</v>
      </c>
      <c r="H3084" s="11" t="s">
        <v>4261</v>
      </c>
      <c r="I3084" s="11" t="s">
        <v>4260</v>
      </c>
      <c r="J3084" s="11" t="s">
        <v>4260</v>
      </c>
      <c r="K3084" s="9" t="s">
        <v>17783</v>
      </c>
      <c r="L3084" s="9" t="s">
        <v>17759</v>
      </c>
      <c r="M3084" s="9" t="s">
        <v>29351</v>
      </c>
      <c r="N3084" s="9" t="s">
        <v>17746</v>
      </c>
      <c r="O3084" s="9" t="s">
        <v>5938</v>
      </c>
      <c r="P3084" s="9" t="s">
        <v>17748</v>
      </c>
      <c r="Q3084" s="11" t="s">
        <v>18059</v>
      </c>
      <c r="R3084" s="11" t="s">
        <v>18059</v>
      </c>
      <c r="S3084" s="11" t="s">
        <v>17750</v>
      </c>
    </row>
    <row r="3085" spans="1:19" x14ac:dyDescent="0.2">
      <c r="A3085" s="11" t="s">
        <v>35706</v>
      </c>
      <c r="B3085" s="9" t="s">
        <v>35707</v>
      </c>
      <c r="C3085" s="9" t="s">
        <v>35708</v>
      </c>
      <c r="D3085" s="9" t="s">
        <v>35709</v>
      </c>
      <c r="E3085" s="9" t="s">
        <v>17740</v>
      </c>
      <c r="F3085" s="9" t="s">
        <v>17741</v>
      </c>
      <c r="G3085" s="9" t="s">
        <v>17740</v>
      </c>
      <c r="H3085" s="11" t="s">
        <v>35710</v>
      </c>
      <c r="I3085" s="11" t="s">
        <v>35711</v>
      </c>
      <c r="J3085" s="11" t="s">
        <v>35711</v>
      </c>
      <c r="K3085" s="9" t="s">
        <v>2225</v>
      </c>
      <c r="L3085" s="9" t="s">
        <v>17759</v>
      </c>
      <c r="M3085" s="9" t="s">
        <v>17817</v>
      </c>
      <c r="N3085" s="9" t="s">
        <v>17746</v>
      </c>
      <c r="O3085" s="9" t="s">
        <v>18481</v>
      </c>
      <c r="P3085" s="9" t="s">
        <v>17748</v>
      </c>
      <c r="Q3085" s="11" t="s">
        <v>18419</v>
      </c>
      <c r="R3085" s="11" t="s">
        <v>18419</v>
      </c>
      <c r="S3085" s="11" t="s">
        <v>17750</v>
      </c>
    </row>
    <row r="3086" spans="1:19" x14ac:dyDescent="0.2">
      <c r="A3086" s="11" t="s">
        <v>35712</v>
      </c>
      <c r="B3086" s="9" t="s">
        <v>35713</v>
      </c>
      <c r="C3086" s="9" t="s">
        <v>35714</v>
      </c>
      <c r="D3086" s="9" t="s">
        <v>35715</v>
      </c>
      <c r="E3086" s="9" t="s">
        <v>17740</v>
      </c>
      <c r="F3086" s="9" t="s">
        <v>17741</v>
      </c>
      <c r="G3086" s="9" t="s">
        <v>17740</v>
      </c>
      <c r="H3086" s="11" t="s">
        <v>35716</v>
      </c>
      <c r="I3086" s="11" t="s">
        <v>35717</v>
      </c>
      <c r="J3086" s="11" t="s">
        <v>35717</v>
      </c>
      <c r="K3086" s="9" t="s">
        <v>689</v>
      </c>
      <c r="L3086" s="9" t="s">
        <v>17759</v>
      </c>
      <c r="M3086" s="9" t="s">
        <v>17760</v>
      </c>
      <c r="N3086" s="9" t="s">
        <v>17746</v>
      </c>
      <c r="O3086" s="9" t="s">
        <v>18514</v>
      </c>
      <c r="P3086" s="9" t="s">
        <v>17748</v>
      </c>
      <c r="Q3086" s="11" t="s">
        <v>23636</v>
      </c>
      <c r="R3086" s="11" t="s">
        <v>23636</v>
      </c>
      <c r="S3086" s="11" t="s">
        <v>17750</v>
      </c>
    </row>
    <row r="3087" spans="1:19" x14ac:dyDescent="0.2">
      <c r="A3087" s="11" t="s">
        <v>35718</v>
      </c>
      <c r="B3087" s="9" t="s">
        <v>35719</v>
      </c>
      <c r="C3087" s="9" t="s">
        <v>35720</v>
      </c>
      <c r="D3087" s="9" t="s">
        <v>35721</v>
      </c>
      <c r="E3087" s="9" t="s">
        <v>17740</v>
      </c>
      <c r="F3087" s="9" t="s">
        <v>17741</v>
      </c>
      <c r="G3087" s="9" t="s">
        <v>17740</v>
      </c>
      <c r="H3087" s="11" t="s">
        <v>2340</v>
      </c>
      <c r="I3087" s="11" t="s">
        <v>2339</v>
      </c>
      <c r="J3087" s="11" t="s">
        <v>2339</v>
      </c>
      <c r="K3087" s="9" t="s">
        <v>35722</v>
      </c>
      <c r="L3087" s="9" t="s">
        <v>17744</v>
      </c>
      <c r="M3087" s="9" t="s">
        <v>17817</v>
      </c>
      <c r="N3087" s="9" t="s">
        <v>17746</v>
      </c>
      <c r="O3087" s="9" t="s">
        <v>4048</v>
      </c>
      <c r="P3087" s="9" t="s">
        <v>17748</v>
      </c>
      <c r="Q3087" s="11" t="s">
        <v>18813</v>
      </c>
      <c r="R3087" s="11" t="s">
        <v>18813</v>
      </c>
      <c r="S3087" s="11" t="s">
        <v>17750</v>
      </c>
    </row>
    <row r="3088" spans="1:19" x14ac:dyDescent="0.2">
      <c r="A3088" s="11" t="s">
        <v>35723</v>
      </c>
      <c r="B3088" s="9" t="s">
        <v>35724</v>
      </c>
      <c r="C3088" s="9" t="s">
        <v>35725</v>
      </c>
      <c r="D3088" s="9" t="s">
        <v>35726</v>
      </c>
      <c r="E3088" s="9" t="s">
        <v>17740</v>
      </c>
      <c r="F3088" s="9" t="s">
        <v>17741</v>
      </c>
      <c r="G3088" s="9" t="s">
        <v>17740</v>
      </c>
      <c r="H3088" s="11" t="s">
        <v>35727</v>
      </c>
      <c r="I3088" s="11" t="s">
        <v>35728</v>
      </c>
      <c r="J3088" s="11" t="s">
        <v>35728</v>
      </c>
      <c r="K3088" s="9" t="s">
        <v>17783</v>
      </c>
      <c r="L3088" s="9" t="s">
        <v>17759</v>
      </c>
      <c r="M3088" s="9" t="s">
        <v>19701</v>
      </c>
      <c r="N3088" s="9" t="s">
        <v>17746</v>
      </c>
      <c r="O3088" s="9" t="s">
        <v>18846</v>
      </c>
      <c r="P3088" s="9" t="s">
        <v>17748</v>
      </c>
      <c r="Q3088" s="11" t="s">
        <v>18147</v>
      </c>
      <c r="R3088" s="11" t="s">
        <v>18147</v>
      </c>
      <c r="S3088" s="11" t="s">
        <v>17750</v>
      </c>
    </row>
    <row r="3089" spans="1:19" x14ac:dyDescent="0.2">
      <c r="A3089" s="11" t="s">
        <v>35729</v>
      </c>
      <c r="B3089" s="9" t="s">
        <v>35730</v>
      </c>
      <c r="C3089" s="9" t="s">
        <v>35731</v>
      </c>
      <c r="D3089" s="9" t="s">
        <v>35732</v>
      </c>
      <c r="E3089" s="9" t="s">
        <v>17740</v>
      </c>
      <c r="F3089" s="9" t="s">
        <v>35733</v>
      </c>
      <c r="G3089" s="9" t="s">
        <v>17740</v>
      </c>
      <c r="H3089" s="11" t="s">
        <v>35734</v>
      </c>
      <c r="I3089" s="11" t="s">
        <v>35735</v>
      </c>
      <c r="J3089" s="11" t="s">
        <v>35735</v>
      </c>
      <c r="K3089" s="9" t="s">
        <v>25444</v>
      </c>
      <c r="L3089" s="9" t="s">
        <v>17759</v>
      </c>
      <c r="M3089" s="9" t="s">
        <v>17760</v>
      </c>
      <c r="N3089" s="9" t="s">
        <v>17746</v>
      </c>
      <c r="O3089" s="9" t="s">
        <v>35736</v>
      </c>
      <c r="P3089" s="9" t="s">
        <v>17748</v>
      </c>
      <c r="Q3089" s="11" t="s">
        <v>17969</v>
      </c>
      <c r="R3089" s="11" t="s">
        <v>17969</v>
      </c>
      <c r="S3089" s="11" t="s">
        <v>17750</v>
      </c>
    </row>
    <row r="3090" spans="1:19" x14ac:dyDescent="0.2">
      <c r="A3090" s="11" t="s">
        <v>35737</v>
      </c>
      <c r="B3090" s="9" t="s">
        <v>35738</v>
      </c>
      <c r="C3090" s="9" t="s">
        <v>35739</v>
      </c>
      <c r="D3090" s="9" t="s">
        <v>35740</v>
      </c>
      <c r="E3090" s="9" t="s">
        <v>17740</v>
      </c>
      <c r="F3090" s="9" t="s">
        <v>17741</v>
      </c>
      <c r="G3090" s="9" t="s">
        <v>17740</v>
      </c>
      <c r="H3090" s="11" t="s">
        <v>35741</v>
      </c>
      <c r="I3090" s="11" t="s">
        <v>35742</v>
      </c>
      <c r="J3090" s="11" t="s">
        <v>35742</v>
      </c>
      <c r="K3090" s="9" t="s">
        <v>35743</v>
      </c>
      <c r="L3090" s="9" t="s">
        <v>20446</v>
      </c>
      <c r="M3090" s="9" t="s">
        <v>17942</v>
      </c>
      <c r="N3090" s="9" t="s">
        <v>17746</v>
      </c>
      <c r="O3090" s="9" t="s">
        <v>1690</v>
      </c>
      <c r="P3090" s="9" t="s">
        <v>17748</v>
      </c>
      <c r="Q3090" s="11" t="s">
        <v>23749</v>
      </c>
      <c r="R3090" s="11" t="s">
        <v>23749</v>
      </c>
      <c r="S3090" s="11" t="s">
        <v>17750</v>
      </c>
    </row>
    <row r="3091" spans="1:19" x14ac:dyDescent="0.2">
      <c r="A3091" s="11" t="s">
        <v>35744</v>
      </c>
      <c r="B3091" s="9" t="s">
        <v>35745</v>
      </c>
      <c r="C3091" s="9" t="s">
        <v>35746</v>
      </c>
      <c r="D3091" s="9" t="s">
        <v>35747</v>
      </c>
      <c r="E3091" s="9" t="s">
        <v>17748</v>
      </c>
      <c r="F3091" s="9" t="s">
        <v>35748</v>
      </c>
      <c r="G3091" s="9" t="s">
        <v>17740</v>
      </c>
      <c r="H3091" s="11" t="s">
        <v>17741</v>
      </c>
      <c r="I3091" s="11" t="s">
        <v>11750</v>
      </c>
      <c r="J3091" s="11" t="s">
        <v>11750</v>
      </c>
      <c r="K3091" s="9" t="s">
        <v>35749</v>
      </c>
      <c r="L3091" s="9" t="s">
        <v>17958</v>
      </c>
      <c r="M3091" s="9" t="s">
        <v>17817</v>
      </c>
      <c r="N3091" s="9" t="s">
        <v>17746</v>
      </c>
      <c r="O3091" s="9" t="s">
        <v>1690</v>
      </c>
      <c r="P3091" s="9" t="s">
        <v>17748</v>
      </c>
      <c r="Q3091" s="11" t="s">
        <v>17917</v>
      </c>
      <c r="R3091" s="11" t="s">
        <v>17917</v>
      </c>
      <c r="S3091" s="11" t="s">
        <v>17750</v>
      </c>
    </row>
    <row r="3092" spans="1:19" x14ac:dyDescent="0.2">
      <c r="A3092" s="11" t="s">
        <v>35750</v>
      </c>
      <c r="B3092" s="9" t="s">
        <v>35751</v>
      </c>
      <c r="C3092" s="9" t="s">
        <v>35752</v>
      </c>
      <c r="D3092" s="9" t="s">
        <v>35753</v>
      </c>
      <c r="E3092" s="9" t="s">
        <v>17740</v>
      </c>
      <c r="F3092" s="9" t="s">
        <v>17741</v>
      </c>
      <c r="G3092" s="9" t="s">
        <v>17740</v>
      </c>
      <c r="H3092" s="11" t="s">
        <v>14538</v>
      </c>
      <c r="I3092" s="11" t="s">
        <v>14537</v>
      </c>
      <c r="J3092" s="11" t="s">
        <v>17741</v>
      </c>
      <c r="K3092" s="9" t="s">
        <v>91</v>
      </c>
      <c r="L3092" s="9" t="s">
        <v>18001</v>
      </c>
      <c r="M3092" s="9" t="s">
        <v>18211</v>
      </c>
      <c r="N3092" s="9" t="s">
        <v>17746</v>
      </c>
      <c r="O3092" s="9" t="s">
        <v>35754</v>
      </c>
      <c r="P3092" s="9" t="s">
        <v>17748</v>
      </c>
      <c r="Q3092" s="11" t="s">
        <v>17900</v>
      </c>
      <c r="R3092" s="11" t="s">
        <v>17900</v>
      </c>
      <c r="S3092" s="11" t="s">
        <v>17750</v>
      </c>
    </row>
    <row r="3093" spans="1:19" x14ac:dyDescent="0.2">
      <c r="A3093" s="11" t="s">
        <v>35755</v>
      </c>
      <c r="B3093" s="9" t="s">
        <v>35756</v>
      </c>
      <c r="C3093" s="9" t="s">
        <v>35757</v>
      </c>
      <c r="D3093" s="9" t="s">
        <v>35758</v>
      </c>
      <c r="E3093" s="9" t="s">
        <v>17740</v>
      </c>
      <c r="F3093" s="9" t="s">
        <v>35759</v>
      </c>
      <c r="G3093" s="9" t="s">
        <v>17740</v>
      </c>
      <c r="H3093" s="11" t="s">
        <v>35760</v>
      </c>
      <c r="I3093" s="11" t="s">
        <v>35761</v>
      </c>
      <c r="J3093" s="11" t="s">
        <v>35761</v>
      </c>
      <c r="K3093" s="9" t="s">
        <v>35762</v>
      </c>
      <c r="L3093" s="9" t="s">
        <v>17759</v>
      </c>
      <c r="M3093" s="9" t="s">
        <v>18628</v>
      </c>
      <c r="N3093" s="9" t="s">
        <v>17746</v>
      </c>
      <c r="O3093" s="9" t="s">
        <v>35763</v>
      </c>
      <c r="P3093" s="9" t="s">
        <v>17748</v>
      </c>
      <c r="Q3093" s="11" t="s">
        <v>18922</v>
      </c>
      <c r="R3093" s="11" t="s">
        <v>18922</v>
      </c>
      <c r="S3093" s="11" t="s">
        <v>17750</v>
      </c>
    </row>
    <row r="3094" spans="1:19" x14ac:dyDescent="0.2">
      <c r="A3094" s="11" t="s">
        <v>35764</v>
      </c>
      <c r="B3094" s="9" t="s">
        <v>35765</v>
      </c>
      <c r="C3094" s="9" t="s">
        <v>35766</v>
      </c>
      <c r="D3094" s="9" t="s">
        <v>35767</v>
      </c>
      <c r="E3094" s="9" t="s">
        <v>17740</v>
      </c>
      <c r="F3094" s="9" t="s">
        <v>35768</v>
      </c>
      <c r="G3094" s="9" t="s">
        <v>17740</v>
      </c>
      <c r="H3094" s="11" t="s">
        <v>17741</v>
      </c>
      <c r="I3094" s="11" t="s">
        <v>4905</v>
      </c>
      <c r="J3094" s="11" t="s">
        <v>4905</v>
      </c>
      <c r="K3094" s="9" t="s">
        <v>19447</v>
      </c>
      <c r="L3094" s="9" t="s">
        <v>17759</v>
      </c>
      <c r="M3094" s="9" t="s">
        <v>17760</v>
      </c>
      <c r="N3094" s="9" t="s">
        <v>17746</v>
      </c>
      <c r="O3094" s="9" t="s">
        <v>27000</v>
      </c>
      <c r="P3094" s="9" t="s">
        <v>17748</v>
      </c>
      <c r="Q3094" s="11" t="s">
        <v>18678</v>
      </c>
      <c r="R3094" s="11" t="s">
        <v>18678</v>
      </c>
      <c r="S3094" s="11" t="s">
        <v>17750</v>
      </c>
    </row>
    <row r="3095" spans="1:19" x14ac:dyDescent="0.2">
      <c r="A3095" s="11" t="s">
        <v>35769</v>
      </c>
      <c r="B3095" s="9" t="s">
        <v>35770</v>
      </c>
      <c r="C3095" s="9" t="s">
        <v>35771</v>
      </c>
      <c r="D3095" s="9" t="s">
        <v>35772</v>
      </c>
      <c r="E3095" s="9" t="s">
        <v>17740</v>
      </c>
      <c r="F3095" s="9" t="s">
        <v>17741</v>
      </c>
      <c r="G3095" s="9" t="s">
        <v>17740</v>
      </c>
      <c r="H3095" s="11" t="s">
        <v>17741</v>
      </c>
      <c r="I3095" s="11" t="s">
        <v>35773</v>
      </c>
      <c r="J3095" s="11" t="s">
        <v>35773</v>
      </c>
      <c r="K3095" s="9" t="s">
        <v>35774</v>
      </c>
      <c r="L3095" s="9" t="s">
        <v>17759</v>
      </c>
      <c r="M3095" s="9" t="s">
        <v>17817</v>
      </c>
      <c r="N3095" s="9" t="s">
        <v>17746</v>
      </c>
      <c r="O3095" s="9" t="s">
        <v>30100</v>
      </c>
      <c r="P3095" s="9" t="s">
        <v>17748</v>
      </c>
      <c r="Q3095" s="11" t="s">
        <v>18608</v>
      </c>
      <c r="R3095" s="11" t="s">
        <v>18608</v>
      </c>
      <c r="S3095" s="11" t="s">
        <v>17750</v>
      </c>
    </row>
    <row r="3096" spans="1:19" x14ac:dyDescent="0.2">
      <c r="A3096" s="11" t="s">
        <v>35775</v>
      </c>
      <c r="B3096" s="9" t="s">
        <v>35776</v>
      </c>
      <c r="C3096" s="9" t="s">
        <v>35777</v>
      </c>
      <c r="D3096" s="9" t="s">
        <v>35778</v>
      </c>
      <c r="E3096" s="9" t="s">
        <v>17740</v>
      </c>
      <c r="F3096" s="9" t="s">
        <v>17741</v>
      </c>
      <c r="G3096" s="9" t="s">
        <v>17740</v>
      </c>
      <c r="H3096" s="11" t="s">
        <v>35779</v>
      </c>
      <c r="I3096" s="11" t="s">
        <v>35780</v>
      </c>
      <c r="J3096" s="11" t="s">
        <v>35780</v>
      </c>
      <c r="K3096" s="9" t="s">
        <v>689</v>
      </c>
      <c r="L3096" s="9" t="s">
        <v>17759</v>
      </c>
      <c r="M3096" s="9" t="s">
        <v>35781</v>
      </c>
      <c r="N3096" s="9" t="s">
        <v>17746</v>
      </c>
      <c r="O3096" s="9" t="s">
        <v>35782</v>
      </c>
      <c r="P3096" s="9" t="s">
        <v>17748</v>
      </c>
      <c r="Q3096" s="11" t="s">
        <v>19335</v>
      </c>
      <c r="R3096" s="11" t="s">
        <v>19335</v>
      </c>
      <c r="S3096" s="11" t="s">
        <v>17750</v>
      </c>
    </row>
    <row r="3097" spans="1:19" x14ac:dyDescent="0.2">
      <c r="A3097" s="11" t="s">
        <v>35783</v>
      </c>
      <c r="B3097" s="9" t="s">
        <v>35784</v>
      </c>
      <c r="C3097" s="9" t="s">
        <v>35785</v>
      </c>
      <c r="D3097" s="9" t="s">
        <v>35786</v>
      </c>
      <c r="E3097" s="9" t="s">
        <v>17740</v>
      </c>
      <c r="F3097" s="9" t="s">
        <v>17741</v>
      </c>
      <c r="G3097" s="9" t="s">
        <v>17740</v>
      </c>
      <c r="H3097" s="11" t="s">
        <v>5731</v>
      </c>
      <c r="I3097" s="11" t="s">
        <v>5730</v>
      </c>
      <c r="J3097" s="11" t="s">
        <v>5730</v>
      </c>
      <c r="K3097" s="9" t="s">
        <v>19952</v>
      </c>
      <c r="L3097" s="9" t="s">
        <v>17759</v>
      </c>
      <c r="M3097" s="9" t="s">
        <v>26533</v>
      </c>
      <c r="N3097" s="9" t="s">
        <v>17746</v>
      </c>
      <c r="O3097" s="9" t="s">
        <v>3255</v>
      </c>
      <c r="P3097" s="9" t="s">
        <v>17748</v>
      </c>
      <c r="Q3097" s="11" t="s">
        <v>18147</v>
      </c>
      <c r="R3097" s="11" t="s">
        <v>18147</v>
      </c>
      <c r="S3097" s="11" t="s">
        <v>17750</v>
      </c>
    </row>
    <row r="3098" spans="1:19" x14ac:dyDescent="0.2">
      <c r="A3098" s="11" t="s">
        <v>35787</v>
      </c>
      <c r="B3098" s="9" t="s">
        <v>35788</v>
      </c>
      <c r="C3098" s="9" t="s">
        <v>35789</v>
      </c>
      <c r="D3098" s="9" t="s">
        <v>35790</v>
      </c>
      <c r="E3098" s="9" t="s">
        <v>17740</v>
      </c>
      <c r="F3098" s="9" t="s">
        <v>17741</v>
      </c>
      <c r="G3098" s="9" t="s">
        <v>17740</v>
      </c>
      <c r="H3098" s="11" t="s">
        <v>17741</v>
      </c>
      <c r="I3098" s="11" t="s">
        <v>35791</v>
      </c>
      <c r="J3098" s="11" t="s">
        <v>35791</v>
      </c>
      <c r="K3098" s="9" t="s">
        <v>35792</v>
      </c>
      <c r="L3098" s="9" t="s">
        <v>17759</v>
      </c>
      <c r="M3098" s="9" t="s">
        <v>18051</v>
      </c>
      <c r="N3098" s="9" t="s">
        <v>17746</v>
      </c>
      <c r="O3098" s="9" t="s">
        <v>18481</v>
      </c>
      <c r="P3098" s="9" t="s">
        <v>17748</v>
      </c>
      <c r="Q3098" s="11" t="s">
        <v>17808</v>
      </c>
      <c r="R3098" s="11" t="s">
        <v>17808</v>
      </c>
      <c r="S3098" s="11" t="s">
        <v>17750</v>
      </c>
    </row>
    <row r="3099" spans="1:19" x14ac:dyDescent="0.2">
      <c r="A3099" s="11" t="s">
        <v>35793</v>
      </c>
      <c r="B3099" s="9" t="s">
        <v>35794</v>
      </c>
      <c r="C3099" s="9" t="s">
        <v>35795</v>
      </c>
      <c r="D3099" s="9" t="s">
        <v>35796</v>
      </c>
      <c r="E3099" s="9" t="s">
        <v>17740</v>
      </c>
      <c r="F3099" s="9" t="s">
        <v>17741</v>
      </c>
      <c r="G3099" s="9" t="s">
        <v>17740</v>
      </c>
      <c r="H3099" s="11" t="s">
        <v>2356</v>
      </c>
      <c r="I3099" s="11" t="s">
        <v>2355</v>
      </c>
      <c r="J3099" s="11" t="s">
        <v>2355</v>
      </c>
      <c r="K3099" s="9" t="s">
        <v>831</v>
      </c>
      <c r="L3099" s="9" t="s">
        <v>17759</v>
      </c>
      <c r="M3099" s="9" t="s">
        <v>35797</v>
      </c>
      <c r="N3099" s="9" t="s">
        <v>17746</v>
      </c>
      <c r="O3099" s="9" t="s">
        <v>24894</v>
      </c>
      <c r="P3099" s="9" t="s">
        <v>17748</v>
      </c>
      <c r="Q3099" s="11" t="s">
        <v>19026</v>
      </c>
      <c r="R3099" s="11" t="s">
        <v>19026</v>
      </c>
      <c r="S3099" s="11" t="s">
        <v>17750</v>
      </c>
    </row>
    <row r="3100" spans="1:19" x14ac:dyDescent="0.2">
      <c r="A3100" s="11" t="s">
        <v>35798</v>
      </c>
      <c r="B3100" s="9" t="s">
        <v>35799</v>
      </c>
      <c r="C3100" s="9" t="s">
        <v>35800</v>
      </c>
      <c r="D3100" s="9" t="s">
        <v>35801</v>
      </c>
      <c r="E3100" s="9" t="s">
        <v>17748</v>
      </c>
      <c r="F3100" s="9" t="s">
        <v>35802</v>
      </c>
      <c r="G3100" s="9" t="s">
        <v>17740</v>
      </c>
      <c r="H3100" s="11" t="s">
        <v>35803</v>
      </c>
      <c r="I3100" s="11" t="s">
        <v>35804</v>
      </c>
      <c r="J3100" s="11" t="s">
        <v>35805</v>
      </c>
      <c r="K3100" s="9" t="s">
        <v>19447</v>
      </c>
      <c r="L3100" s="9" t="s">
        <v>17744</v>
      </c>
      <c r="M3100" s="9" t="s">
        <v>35806</v>
      </c>
      <c r="N3100" s="9" t="s">
        <v>17746</v>
      </c>
      <c r="O3100" s="9" t="s">
        <v>24894</v>
      </c>
      <c r="P3100" s="9" t="s">
        <v>17748</v>
      </c>
      <c r="Q3100" s="11" t="s">
        <v>17917</v>
      </c>
      <c r="R3100" s="11" t="s">
        <v>17917</v>
      </c>
      <c r="S3100" s="11" t="s">
        <v>17750</v>
      </c>
    </row>
    <row r="3101" spans="1:19" x14ac:dyDescent="0.2">
      <c r="A3101" s="11" t="s">
        <v>35807</v>
      </c>
      <c r="B3101" s="9" t="s">
        <v>35808</v>
      </c>
      <c r="C3101" s="9" t="s">
        <v>35809</v>
      </c>
      <c r="D3101" s="9" t="s">
        <v>35810</v>
      </c>
      <c r="E3101" s="9" t="s">
        <v>17740</v>
      </c>
      <c r="F3101" s="9" t="s">
        <v>17741</v>
      </c>
      <c r="G3101" s="9" t="s">
        <v>17740</v>
      </c>
      <c r="H3101" s="11" t="s">
        <v>6586</v>
      </c>
      <c r="I3101" s="11" t="s">
        <v>6585</v>
      </c>
      <c r="J3101" s="11" t="s">
        <v>6585</v>
      </c>
      <c r="K3101" s="9" t="s">
        <v>35811</v>
      </c>
      <c r="L3101" s="9" t="s">
        <v>17759</v>
      </c>
      <c r="M3101" s="9" t="s">
        <v>17760</v>
      </c>
      <c r="N3101" s="9" t="s">
        <v>17746</v>
      </c>
      <c r="O3101" s="9" t="s">
        <v>19740</v>
      </c>
      <c r="P3101" s="9" t="s">
        <v>17748</v>
      </c>
      <c r="Q3101" s="11" t="s">
        <v>18364</v>
      </c>
      <c r="R3101" s="11" t="s">
        <v>18364</v>
      </c>
      <c r="S3101" s="11" t="s">
        <v>17750</v>
      </c>
    </row>
    <row r="3102" spans="1:19" x14ac:dyDescent="0.2">
      <c r="A3102" s="11" t="s">
        <v>35812</v>
      </c>
      <c r="B3102" s="9" t="s">
        <v>35813</v>
      </c>
      <c r="C3102" s="9" t="s">
        <v>35814</v>
      </c>
      <c r="D3102" s="9" t="s">
        <v>35815</v>
      </c>
      <c r="E3102" s="9" t="s">
        <v>17740</v>
      </c>
      <c r="F3102" s="9" t="s">
        <v>17741</v>
      </c>
      <c r="G3102" s="9" t="s">
        <v>17740</v>
      </c>
      <c r="H3102" s="11" t="s">
        <v>2353</v>
      </c>
      <c r="I3102" s="11" t="s">
        <v>2352</v>
      </c>
      <c r="J3102" s="11" t="s">
        <v>2352</v>
      </c>
      <c r="K3102" s="9" t="s">
        <v>91</v>
      </c>
      <c r="L3102" s="9" t="s">
        <v>18001</v>
      </c>
      <c r="M3102" s="9" t="s">
        <v>35816</v>
      </c>
      <c r="N3102" s="9" t="s">
        <v>17746</v>
      </c>
      <c r="O3102" s="9" t="s">
        <v>20453</v>
      </c>
      <c r="P3102" s="9" t="s">
        <v>17748</v>
      </c>
      <c r="Q3102" s="11" t="s">
        <v>18608</v>
      </c>
      <c r="R3102" s="11" t="s">
        <v>18608</v>
      </c>
      <c r="S3102" s="11" t="s">
        <v>17750</v>
      </c>
    </row>
    <row r="3103" spans="1:19" x14ac:dyDescent="0.2">
      <c r="A3103" s="11" t="s">
        <v>35817</v>
      </c>
      <c r="B3103" s="9" t="s">
        <v>35818</v>
      </c>
      <c r="C3103" s="9" t="s">
        <v>35819</v>
      </c>
      <c r="D3103" s="9" t="s">
        <v>35820</v>
      </c>
      <c r="E3103" s="9" t="s">
        <v>17740</v>
      </c>
      <c r="F3103" s="9" t="s">
        <v>17741</v>
      </c>
      <c r="G3103" s="9" t="s">
        <v>17740</v>
      </c>
      <c r="H3103" s="11" t="s">
        <v>4307</v>
      </c>
      <c r="I3103" s="11" t="s">
        <v>4306</v>
      </c>
      <c r="J3103" s="11" t="s">
        <v>4306</v>
      </c>
      <c r="K3103" s="9" t="s">
        <v>35821</v>
      </c>
      <c r="L3103" s="9" t="s">
        <v>17759</v>
      </c>
      <c r="M3103" s="9" t="s">
        <v>17769</v>
      </c>
      <c r="N3103" s="9" t="s">
        <v>17746</v>
      </c>
      <c r="O3103" s="9" t="s">
        <v>35822</v>
      </c>
      <c r="P3103" s="9" t="s">
        <v>17748</v>
      </c>
      <c r="Q3103" s="11" t="s">
        <v>18059</v>
      </c>
      <c r="R3103" s="11" t="s">
        <v>18059</v>
      </c>
      <c r="S3103" s="11" t="s">
        <v>17750</v>
      </c>
    </row>
    <row r="3104" spans="1:19" x14ac:dyDescent="0.2">
      <c r="A3104" s="11" t="s">
        <v>35823</v>
      </c>
      <c r="B3104" s="9" t="s">
        <v>35824</v>
      </c>
      <c r="C3104" s="9" t="s">
        <v>35825</v>
      </c>
      <c r="D3104" s="9" t="s">
        <v>35826</v>
      </c>
      <c r="E3104" s="9" t="s">
        <v>17740</v>
      </c>
      <c r="F3104" s="9" t="s">
        <v>17741</v>
      </c>
      <c r="G3104" s="9" t="s">
        <v>17740</v>
      </c>
      <c r="H3104" s="11" t="s">
        <v>8773</v>
      </c>
      <c r="I3104" s="11" t="s">
        <v>8772</v>
      </c>
      <c r="J3104" s="11" t="s">
        <v>8772</v>
      </c>
      <c r="K3104" s="9" t="s">
        <v>35827</v>
      </c>
      <c r="L3104" s="9" t="s">
        <v>17991</v>
      </c>
      <c r="M3104" s="9" t="s">
        <v>18065</v>
      </c>
      <c r="N3104" s="9" t="s">
        <v>17746</v>
      </c>
      <c r="O3104" s="9" t="s">
        <v>19127</v>
      </c>
      <c r="P3104" s="9" t="s">
        <v>17748</v>
      </c>
      <c r="Q3104" s="11" t="s">
        <v>17784</v>
      </c>
      <c r="R3104" s="11" t="s">
        <v>17784</v>
      </c>
      <c r="S3104" s="11" t="s">
        <v>17750</v>
      </c>
    </row>
    <row r="3105" spans="1:19" x14ac:dyDescent="0.2">
      <c r="A3105" s="11" t="s">
        <v>35828</v>
      </c>
      <c r="B3105" s="9" t="s">
        <v>35829</v>
      </c>
      <c r="C3105" s="9" t="s">
        <v>35830</v>
      </c>
      <c r="D3105" s="9" t="s">
        <v>35831</v>
      </c>
      <c r="E3105" s="9" t="s">
        <v>17748</v>
      </c>
      <c r="F3105" s="9" t="s">
        <v>35832</v>
      </c>
      <c r="G3105" s="9" t="s">
        <v>17740</v>
      </c>
      <c r="H3105" s="11" t="s">
        <v>17741</v>
      </c>
      <c r="I3105" s="11" t="s">
        <v>35833</v>
      </c>
      <c r="J3105" s="11" t="s">
        <v>35833</v>
      </c>
      <c r="K3105" s="9" t="s">
        <v>35834</v>
      </c>
      <c r="L3105" s="9" t="s">
        <v>17759</v>
      </c>
      <c r="M3105" s="9" t="s">
        <v>17760</v>
      </c>
      <c r="N3105" s="9" t="s">
        <v>17746</v>
      </c>
      <c r="O3105" s="9" t="s">
        <v>20557</v>
      </c>
      <c r="P3105" s="9" t="s">
        <v>17748</v>
      </c>
      <c r="Q3105" s="11" t="s">
        <v>17917</v>
      </c>
      <c r="R3105" s="11" t="s">
        <v>17917</v>
      </c>
      <c r="S3105" s="11" t="s">
        <v>17750</v>
      </c>
    </row>
    <row r="3106" spans="1:19" x14ac:dyDescent="0.2">
      <c r="A3106" s="11" t="s">
        <v>35835</v>
      </c>
      <c r="B3106" s="9" t="s">
        <v>35836</v>
      </c>
      <c r="C3106" s="9" t="s">
        <v>35837</v>
      </c>
      <c r="D3106" s="9" t="s">
        <v>35838</v>
      </c>
      <c r="E3106" s="9" t="s">
        <v>17740</v>
      </c>
      <c r="F3106" s="9" t="s">
        <v>35839</v>
      </c>
      <c r="G3106" s="9" t="s">
        <v>17740</v>
      </c>
      <c r="H3106" s="11" t="s">
        <v>35840</v>
      </c>
      <c r="I3106" s="11" t="s">
        <v>35841</v>
      </c>
      <c r="J3106" s="11" t="s">
        <v>35841</v>
      </c>
      <c r="K3106" s="9" t="s">
        <v>35842</v>
      </c>
      <c r="L3106" s="9" t="s">
        <v>17759</v>
      </c>
      <c r="M3106" s="9" t="s">
        <v>17760</v>
      </c>
      <c r="N3106" s="9" t="s">
        <v>17746</v>
      </c>
      <c r="O3106" s="9" t="s">
        <v>35843</v>
      </c>
      <c r="P3106" s="9" t="s">
        <v>17748</v>
      </c>
      <c r="Q3106" s="11" t="s">
        <v>17978</v>
      </c>
      <c r="R3106" s="11" t="s">
        <v>17978</v>
      </c>
      <c r="S3106" s="11" t="s">
        <v>17750</v>
      </c>
    </row>
    <row r="3107" spans="1:19" x14ac:dyDescent="0.2">
      <c r="A3107" s="11" t="s">
        <v>35844</v>
      </c>
      <c r="B3107" s="9" t="s">
        <v>35845</v>
      </c>
      <c r="C3107" s="9" t="s">
        <v>35846</v>
      </c>
      <c r="D3107" s="9" t="s">
        <v>35847</v>
      </c>
      <c r="E3107" s="9" t="s">
        <v>17748</v>
      </c>
      <c r="F3107" s="9" t="s">
        <v>35848</v>
      </c>
      <c r="G3107" s="9" t="s">
        <v>17740</v>
      </c>
      <c r="H3107" s="11" t="s">
        <v>17741</v>
      </c>
      <c r="I3107" s="11" t="s">
        <v>35849</v>
      </c>
      <c r="J3107" s="11" t="s">
        <v>35849</v>
      </c>
      <c r="K3107" s="9" t="s">
        <v>35850</v>
      </c>
      <c r="L3107" s="9" t="s">
        <v>17759</v>
      </c>
      <c r="M3107" s="9" t="s">
        <v>17760</v>
      </c>
      <c r="N3107" s="9" t="s">
        <v>17746</v>
      </c>
      <c r="O3107" s="9" t="s">
        <v>17857</v>
      </c>
      <c r="P3107" s="9" t="s">
        <v>17748</v>
      </c>
      <c r="Q3107" s="11" t="s">
        <v>17808</v>
      </c>
      <c r="R3107" s="11" t="s">
        <v>17808</v>
      </c>
      <c r="S3107" s="11" t="s">
        <v>17750</v>
      </c>
    </row>
    <row r="3108" spans="1:19" x14ac:dyDescent="0.2">
      <c r="A3108" s="11" t="s">
        <v>35851</v>
      </c>
      <c r="B3108" s="9" t="s">
        <v>35852</v>
      </c>
      <c r="C3108" s="9" t="s">
        <v>35853</v>
      </c>
      <c r="D3108" s="9" t="s">
        <v>35854</v>
      </c>
      <c r="E3108" s="9" t="s">
        <v>17740</v>
      </c>
      <c r="F3108" s="9" t="s">
        <v>35855</v>
      </c>
      <c r="G3108" s="9" t="s">
        <v>17740</v>
      </c>
      <c r="H3108" s="11" t="s">
        <v>35856</v>
      </c>
      <c r="I3108" s="11" t="s">
        <v>35857</v>
      </c>
      <c r="J3108" s="11" t="s">
        <v>35857</v>
      </c>
      <c r="K3108" s="9" t="s">
        <v>18520</v>
      </c>
      <c r="L3108" s="9" t="s">
        <v>17759</v>
      </c>
      <c r="M3108" s="9" t="s">
        <v>17760</v>
      </c>
      <c r="N3108" s="9" t="s">
        <v>17746</v>
      </c>
      <c r="O3108" s="9" t="s">
        <v>19095</v>
      </c>
      <c r="P3108" s="9" t="s">
        <v>17748</v>
      </c>
      <c r="Q3108" s="11" t="s">
        <v>18813</v>
      </c>
      <c r="R3108" s="11" t="s">
        <v>18813</v>
      </c>
      <c r="S3108" s="11" t="s">
        <v>17750</v>
      </c>
    </row>
    <row r="3109" spans="1:19" x14ac:dyDescent="0.2">
      <c r="A3109" s="11" t="s">
        <v>35858</v>
      </c>
      <c r="B3109" s="9" t="s">
        <v>35859</v>
      </c>
      <c r="C3109" s="9" t="s">
        <v>35860</v>
      </c>
      <c r="D3109" s="9" t="s">
        <v>35861</v>
      </c>
      <c r="E3109" s="9" t="s">
        <v>17740</v>
      </c>
      <c r="F3109" s="9" t="s">
        <v>17741</v>
      </c>
      <c r="G3109" s="9" t="s">
        <v>17740</v>
      </c>
      <c r="H3109" s="11" t="s">
        <v>35862</v>
      </c>
      <c r="I3109" s="11" t="s">
        <v>35863</v>
      </c>
      <c r="J3109" s="11" t="s">
        <v>35863</v>
      </c>
      <c r="K3109" s="9" t="s">
        <v>689</v>
      </c>
      <c r="L3109" s="9" t="s">
        <v>17759</v>
      </c>
      <c r="M3109" s="9" t="s">
        <v>18051</v>
      </c>
      <c r="N3109" s="9" t="s">
        <v>17746</v>
      </c>
      <c r="O3109" s="9" t="s">
        <v>25252</v>
      </c>
      <c r="P3109" s="9" t="s">
        <v>17748</v>
      </c>
      <c r="Q3109" s="11" t="s">
        <v>18364</v>
      </c>
      <c r="R3109" s="11" t="s">
        <v>18364</v>
      </c>
      <c r="S3109" s="11" t="s">
        <v>17750</v>
      </c>
    </row>
    <row r="3110" spans="1:19" x14ac:dyDescent="0.2">
      <c r="A3110" s="11" t="s">
        <v>35864</v>
      </c>
      <c r="B3110" s="9" t="s">
        <v>35865</v>
      </c>
      <c r="C3110" s="9" t="s">
        <v>35866</v>
      </c>
      <c r="D3110" s="9" t="s">
        <v>35867</v>
      </c>
      <c r="E3110" s="9" t="s">
        <v>17748</v>
      </c>
      <c r="F3110" s="9" t="s">
        <v>35868</v>
      </c>
      <c r="G3110" s="9" t="s">
        <v>17740</v>
      </c>
      <c r="H3110" s="11" t="s">
        <v>17741</v>
      </c>
      <c r="I3110" s="11" t="s">
        <v>6714</v>
      </c>
      <c r="J3110" s="11" t="s">
        <v>6714</v>
      </c>
      <c r="K3110" s="9" t="s">
        <v>35869</v>
      </c>
      <c r="L3110" s="9" t="s">
        <v>17759</v>
      </c>
      <c r="M3110" s="9" t="s">
        <v>17760</v>
      </c>
      <c r="N3110" s="9" t="s">
        <v>17746</v>
      </c>
      <c r="O3110" s="9" t="s">
        <v>17848</v>
      </c>
      <c r="P3110" s="9" t="s">
        <v>17748</v>
      </c>
      <c r="Q3110" s="11" t="s">
        <v>17808</v>
      </c>
      <c r="R3110" s="11" t="s">
        <v>17808</v>
      </c>
      <c r="S3110" s="11" t="s">
        <v>17750</v>
      </c>
    </row>
    <row r="3111" spans="1:19" x14ac:dyDescent="0.2">
      <c r="A3111" s="11" t="s">
        <v>35870</v>
      </c>
      <c r="B3111" s="9" t="s">
        <v>35871</v>
      </c>
      <c r="C3111" s="9" t="s">
        <v>35872</v>
      </c>
      <c r="D3111" s="9" t="s">
        <v>35873</v>
      </c>
      <c r="E3111" s="9" t="s">
        <v>17740</v>
      </c>
      <c r="F3111" s="9" t="s">
        <v>17741</v>
      </c>
      <c r="G3111" s="9" t="s">
        <v>17740</v>
      </c>
      <c r="H3111" s="11" t="s">
        <v>35874</v>
      </c>
      <c r="I3111" s="11" t="s">
        <v>35875</v>
      </c>
      <c r="J3111" s="11" t="s">
        <v>35875</v>
      </c>
      <c r="K3111" s="9" t="s">
        <v>23783</v>
      </c>
      <c r="L3111" s="9" t="s">
        <v>17759</v>
      </c>
      <c r="M3111" s="9" t="s">
        <v>17760</v>
      </c>
      <c r="N3111" s="9" t="s">
        <v>17746</v>
      </c>
      <c r="O3111" s="9" t="s">
        <v>17848</v>
      </c>
      <c r="P3111" s="9" t="s">
        <v>17748</v>
      </c>
      <c r="Q3111" s="11" t="s">
        <v>17749</v>
      </c>
      <c r="R3111" s="11" t="s">
        <v>17749</v>
      </c>
      <c r="S3111" s="11" t="s">
        <v>17750</v>
      </c>
    </row>
    <row r="3112" spans="1:19" x14ac:dyDescent="0.2">
      <c r="A3112" s="11" t="s">
        <v>35876</v>
      </c>
      <c r="B3112" s="9" t="s">
        <v>35877</v>
      </c>
      <c r="C3112" s="9" t="s">
        <v>35878</v>
      </c>
      <c r="D3112" s="9" t="s">
        <v>35879</v>
      </c>
      <c r="E3112" s="9" t="s">
        <v>17740</v>
      </c>
      <c r="F3112" s="9" t="s">
        <v>17741</v>
      </c>
      <c r="G3112" s="9" t="s">
        <v>17740</v>
      </c>
      <c r="H3112" s="11" t="s">
        <v>35880</v>
      </c>
      <c r="I3112" s="11" t="s">
        <v>35881</v>
      </c>
      <c r="J3112" s="11" t="s">
        <v>35881</v>
      </c>
      <c r="K3112" s="9" t="s">
        <v>18404</v>
      </c>
      <c r="L3112" s="9" t="s">
        <v>17759</v>
      </c>
      <c r="M3112" s="9" t="s">
        <v>34665</v>
      </c>
      <c r="N3112" s="9" t="s">
        <v>17746</v>
      </c>
      <c r="O3112" s="9" t="s">
        <v>19715</v>
      </c>
      <c r="P3112" s="9" t="s">
        <v>17748</v>
      </c>
      <c r="Q3112" s="11" t="s">
        <v>18201</v>
      </c>
      <c r="R3112" s="11" t="s">
        <v>18201</v>
      </c>
      <c r="S3112" s="11" t="s">
        <v>17750</v>
      </c>
    </row>
    <row r="3113" spans="1:19" x14ac:dyDescent="0.2">
      <c r="A3113" s="11" t="s">
        <v>35882</v>
      </c>
      <c r="B3113" s="9" t="s">
        <v>35883</v>
      </c>
      <c r="C3113" s="9" t="s">
        <v>35884</v>
      </c>
      <c r="D3113" s="9" t="s">
        <v>35885</v>
      </c>
      <c r="E3113" s="9" t="s">
        <v>17740</v>
      </c>
      <c r="F3113" s="9" t="s">
        <v>17741</v>
      </c>
      <c r="G3113" s="9" t="s">
        <v>17740</v>
      </c>
      <c r="H3113" s="11" t="s">
        <v>2347</v>
      </c>
      <c r="I3113" s="11" t="s">
        <v>2346</v>
      </c>
      <c r="J3113" s="11" t="s">
        <v>2346</v>
      </c>
      <c r="K3113" s="9" t="s">
        <v>35886</v>
      </c>
      <c r="L3113" s="9" t="s">
        <v>18001</v>
      </c>
      <c r="M3113" s="9" t="s">
        <v>20580</v>
      </c>
      <c r="N3113" s="9" t="s">
        <v>17746</v>
      </c>
      <c r="O3113" s="9" t="s">
        <v>17857</v>
      </c>
      <c r="P3113" s="9" t="s">
        <v>17748</v>
      </c>
      <c r="Q3113" s="11" t="s">
        <v>19515</v>
      </c>
      <c r="R3113" s="11" t="s">
        <v>19515</v>
      </c>
      <c r="S3113" s="11" t="s">
        <v>17750</v>
      </c>
    </row>
    <row r="3114" spans="1:19" x14ac:dyDescent="0.2">
      <c r="A3114" s="11" t="s">
        <v>35887</v>
      </c>
      <c r="B3114" s="9" t="s">
        <v>35888</v>
      </c>
      <c r="C3114" s="9" t="s">
        <v>35889</v>
      </c>
      <c r="D3114" s="9" t="s">
        <v>35890</v>
      </c>
      <c r="E3114" s="9" t="s">
        <v>17748</v>
      </c>
      <c r="F3114" s="9" t="s">
        <v>35891</v>
      </c>
      <c r="G3114" s="9" t="s">
        <v>17740</v>
      </c>
      <c r="H3114" s="11" t="s">
        <v>17741</v>
      </c>
      <c r="I3114" s="11" t="s">
        <v>35892</v>
      </c>
      <c r="J3114" s="11" t="s">
        <v>35892</v>
      </c>
      <c r="K3114" s="9" t="s">
        <v>18862</v>
      </c>
      <c r="L3114" s="9" t="s">
        <v>17744</v>
      </c>
      <c r="M3114" s="9" t="s">
        <v>18065</v>
      </c>
      <c r="N3114" s="9" t="s">
        <v>17746</v>
      </c>
      <c r="O3114" s="9" t="s">
        <v>17848</v>
      </c>
      <c r="P3114" s="9" t="s">
        <v>17748</v>
      </c>
      <c r="Q3114" s="11" t="s">
        <v>17858</v>
      </c>
      <c r="R3114" s="11" t="s">
        <v>17858</v>
      </c>
      <c r="S3114" s="11" t="s">
        <v>17750</v>
      </c>
    </row>
    <row r="3115" spans="1:19" x14ac:dyDescent="0.2">
      <c r="A3115" s="11" t="s">
        <v>35893</v>
      </c>
      <c r="B3115" s="9" t="s">
        <v>35894</v>
      </c>
      <c r="C3115" s="9" t="s">
        <v>35895</v>
      </c>
      <c r="D3115" s="9" t="s">
        <v>35896</v>
      </c>
      <c r="E3115" s="9" t="s">
        <v>17740</v>
      </c>
      <c r="F3115" s="9" t="s">
        <v>17741</v>
      </c>
      <c r="G3115" s="9" t="s">
        <v>17740</v>
      </c>
      <c r="H3115" s="11" t="s">
        <v>35897</v>
      </c>
      <c r="I3115" s="11" t="s">
        <v>35898</v>
      </c>
      <c r="J3115" s="11" t="s">
        <v>35898</v>
      </c>
      <c r="K3115" s="9" t="s">
        <v>35899</v>
      </c>
      <c r="L3115" s="9" t="s">
        <v>17759</v>
      </c>
      <c r="M3115" s="9" t="s">
        <v>17769</v>
      </c>
      <c r="N3115" s="9" t="s">
        <v>17746</v>
      </c>
      <c r="O3115" s="9" t="s">
        <v>35900</v>
      </c>
      <c r="P3115" s="9" t="s">
        <v>17748</v>
      </c>
      <c r="Q3115" s="11" t="s">
        <v>19026</v>
      </c>
      <c r="R3115" s="11" t="s">
        <v>19026</v>
      </c>
      <c r="S3115" s="11" t="s">
        <v>17750</v>
      </c>
    </row>
    <row r="3116" spans="1:19" x14ac:dyDescent="0.2">
      <c r="A3116" s="11" t="s">
        <v>35901</v>
      </c>
      <c r="B3116" s="9" t="s">
        <v>35902</v>
      </c>
      <c r="C3116" s="9" t="s">
        <v>35903</v>
      </c>
      <c r="D3116" s="9" t="s">
        <v>35904</v>
      </c>
      <c r="E3116" s="9" t="s">
        <v>17740</v>
      </c>
      <c r="F3116" s="9" t="s">
        <v>17741</v>
      </c>
      <c r="G3116" s="9" t="s">
        <v>17740</v>
      </c>
      <c r="H3116" s="11" t="s">
        <v>35905</v>
      </c>
      <c r="I3116" s="11" t="s">
        <v>35906</v>
      </c>
      <c r="J3116" s="11" t="s">
        <v>35906</v>
      </c>
      <c r="K3116" s="9" t="s">
        <v>19447</v>
      </c>
      <c r="L3116" s="9" t="s">
        <v>17744</v>
      </c>
      <c r="M3116" s="9" t="s">
        <v>26134</v>
      </c>
      <c r="N3116" s="9" t="s">
        <v>17746</v>
      </c>
      <c r="O3116" s="9" t="s">
        <v>18514</v>
      </c>
      <c r="P3116" s="9" t="s">
        <v>17748</v>
      </c>
      <c r="Q3116" s="11" t="s">
        <v>18201</v>
      </c>
      <c r="R3116" s="11" t="s">
        <v>18201</v>
      </c>
      <c r="S3116" s="11" t="s">
        <v>17750</v>
      </c>
    </row>
    <row r="3117" spans="1:19" x14ac:dyDescent="0.2">
      <c r="A3117" s="11" t="s">
        <v>35907</v>
      </c>
      <c r="B3117" s="9" t="s">
        <v>35908</v>
      </c>
      <c r="C3117" s="9" t="s">
        <v>35909</v>
      </c>
      <c r="D3117" s="9" t="s">
        <v>35910</v>
      </c>
      <c r="E3117" s="9" t="s">
        <v>17740</v>
      </c>
      <c r="F3117" s="9" t="s">
        <v>17741</v>
      </c>
      <c r="G3117" s="9" t="s">
        <v>17740</v>
      </c>
      <c r="H3117" s="11" t="s">
        <v>35911</v>
      </c>
      <c r="I3117" s="11" t="s">
        <v>7101</v>
      </c>
      <c r="J3117" s="11" t="s">
        <v>7101</v>
      </c>
      <c r="K3117" s="9" t="s">
        <v>18520</v>
      </c>
      <c r="L3117" s="9" t="s">
        <v>17744</v>
      </c>
      <c r="M3117" s="9" t="s">
        <v>17760</v>
      </c>
      <c r="N3117" s="9" t="s">
        <v>17746</v>
      </c>
      <c r="O3117" s="9" t="s">
        <v>26112</v>
      </c>
      <c r="P3117" s="9" t="s">
        <v>17748</v>
      </c>
      <c r="Q3117" s="11" t="s">
        <v>18201</v>
      </c>
      <c r="R3117" s="11" t="s">
        <v>18201</v>
      </c>
      <c r="S3117" s="11" t="s">
        <v>17750</v>
      </c>
    </row>
    <row r="3118" spans="1:19" x14ac:dyDescent="0.2">
      <c r="A3118" s="11" t="s">
        <v>35912</v>
      </c>
      <c r="B3118" s="9" t="s">
        <v>35913</v>
      </c>
      <c r="C3118" s="9" t="s">
        <v>35914</v>
      </c>
      <c r="D3118" s="9" t="s">
        <v>35915</v>
      </c>
      <c r="E3118" s="9" t="s">
        <v>17748</v>
      </c>
      <c r="F3118" s="9" t="s">
        <v>35916</v>
      </c>
      <c r="G3118" s="9" t="s">
        <v>17740</v>
      </c>
      <c r="H3118" s="11" t="s">
        <v>35917</v>
      </c>
      <c r="I3118" s="11" t="s">
        <v>35918</v>
      </c>
      <c r="J3118" s="11" t="s">
        <v>35918</v>
      </c>
      <c r="K3118" s="9" t="s">
        <v>35919</v>
      </c>
      <c r="L3118" s="9" t="s">
        <v>22024</v>
      </c>
      <c r="M3118" s="9" t="s">
        <v>17760</v>
      </c>
      <c r="N3118" s="9" t="s">
        <v>17746</v>
      </c>
      <c r="O3118" s="9" t="s">
        <v>35920</v>
      </c>
      <c r="P3118" s="9" t="s">
        <v>17748</v>
      </c>
      <c r="Q3118" s="11" t="s">
        <v>17784</v>
      </c>
      <c r="R3118" s="11" t="s">
        <v>17784</v>
      </c>
      <c r="S3118" s="11" t="s">
        <v>17750</v>
      </c>
    </row>
    <row r="3119" spans="1:19" x14ac:dyDescent="0.2">
      <c r="A3119" s="11" t="s">
        <v>35921</v>
      </c>
      <c r="B3119" s="9" t="s">
        <v>35922</v>
      </c>
      <c r="C3119" s="9" t="s">
        <v>35923</v>
      </c>
      <c r="D3119" s="9" t="s">
        <v>35924</v>
      </c>
      <c r="E3119" s="9" t="s">
        <v>17740</v>
      </c>
      <c r="F3119" s="9" t="s">
        <v>17741</v>
      </c>
      <c r="G3119" s="9" t="s">
        <v>17740</v>
      </c>
      <c r="H3119" s="11" t="s">
        <v>16272</v>
      </c>
      <c r="I3119" s="11" t="s">
        <v>16271</v>
      </c>
      <c r="J3119" s="11" t="s">
        <v>16271</v>
      </c>
      <c r="K3119" s="9" t="s">
        <v>35925</v>
      </c>
      <c r="L3119" s="9" t="s">
        <v>17744</v>
      </c>
      <c r="M3119" s="9" t="s">
        <v>17760</v>
      </c>
      <c r="N3119" s="9" t="s">
        <v>17746</v>
      </c>
      <c r="O3119" s="9" t="s">
        <v>35926</v>
      </c>
      <c r="P3119" s="9" t="s">
        <v>17748</v>
      </c>
      <c r="Q3119" s="11" t="s">
        <v>17900</v>
      </c>
      <c r="R3119" s="11" t="s">
        <v>17900</v>
      </c>
      <c r="S3119" s="11" t="s">
        <v>17750</v>
      </c>
    </row>
    <row r="3120" spans="1:19" x14ac:dyDescent="0.2">
      <c r="A3120" s="11" t="s">
        <v>35927</v>
      </c>
      <c r="B3120" s="9" t="s">
        <v>35928</v>
      </c>
      <c r="C3120" s="9" t="s">
        <v>35929</v>
      </c>
      <c r="D3120" s="9" t="s">
        <v>35930</v>
      </c>
      <c r="E3120" s="9" t="s">
        <v>17748</v>
      </c>
      <c r="F3120" s="9" t="s">
        <v>35931</v>
      </c>
      <c r="G3120" s="9" t="s">
        <v>17740</v>
      </c>
      <c r="H3120" s="11" t="s">
        <v>35932</v>
      </c>
      <c r="I3120" s="11" t="s">
        <v>35933</v>
      </c>
      <c r="J3120" s="11" t="s">
        <v>35933</v>
      </c>
      <c r="K3120" s="9" t="s">
        <v>35934</v>
      </c>
      <c r="L3120" s="9" t="s">
        <v>17759</v>
      </c>
      <c r="M3120" s="9" t="s">
        <v>17760</v>
      </c>
      <c r="N3120" s="9" t="s">
        <v>17746</v>
      </c>
      <c r="O3120" s="9" t="s">
        <v>30691</v>
      </c>
      <c r="P3120" s="9" t="s">
        <v>17748</v>
      </c>
      <c r="Q3120" s="11" t="s">
        <v>18798</v>
      </c>
      <c r="R3120" s="11" t="s">
        <v>18798</v>
      </c>
      <c r="S3120" s="11" t="s">
        <v>17750</v>
      </c>
    </row>
    <row r="3121" spans="1:19" x14ac:dyDescent="0.2">
      <c r="A3121" s="11" t="s">
        <v>35935</v>
      </c>
      <c r="B3121" s="9" t="s">
        <v>35936</v>
      </c>
      <c r="C3121" s="9" t="s">
        <v>35937</v>
      </c>
      <c r="D3121" s="9" t="s">
        <v>35938</v>
      </c>
      <c r="E3121" s="9" t="s">
        <v>17748</v>
      </c>
      <c r="F3121" s="9" t="s">
        <v>35939</v>
      </c>
      <c r="G3121" s="9" t="s">
        <v>17740</v>
      </c>
      <c r="H3121" s="11" t="s">
        <v>17741</v>
      </c>
      <c r="I3121" s="11" t="s">
        <v>7721</v>
      </c>
      <c r="J3121" s="11" t="s">
        <v>7721</v>
      </c>
      <c r="K3121" s="9" t="s">
        <v>7723</v>
      </c>
      <c r="L3121" s="9" t="s">
        <v>17759</v>
      </c>
      <c r="M3121" s="9" t="s">
        <v>17769</v>
      </c>
      <c r="N3121" s="9" t="s">
        <v>17746</v>
      </c>
      <c r="O3121" s="9" t="s">
        <v>17857</v>
      </c>
      <c r="P3121" s="9" t="s">
        <v>17748</v>
      </c>
      <c r="Q3121" s="11" t="s">
        <v>18798</v>
      </c>
      <c r="R3121" s="11" t="s">
        <v>18798</v>
      </c>
      <c r="S3121" s="11" t="s">
        <v>17750</v>
      </c>
    </row>
    <row r="3122" spans="1:19" x14ac:dyDescent="0.2">
      <c r="A3122" s="11" t="s">
        <v>35940</v>
      </c>
      <c r="B3122" s="9" t="s">
        <v>35941</v>
      </c>
      <c r="C3122" s="9" t="s">
        <v>35942</v>
      </c>
      <c r="D3122" s="9" t="s">
        <v>35943</v>
      </c>
      <c r="E3122" s="9" t="s">
        <v>17740</v>
      </c>
      <c r="F3122" s="9" t="s">
        <v>17741</v>
      </c>
      <c r="G3122" s="9" t="s">
        <v>17740</v>
      </c>
      <c r="H3122" s="11" t="s">
        <v>17741</v>
      </c>
      <c r="I3122" s="11" t="s">
        <v>35944</v>
      </c>
      <c r="J3122" s="11" t="s">
        <v>35944</v>
      </c>
      <c r="K3122" s="9" t="s">
        <v>35945</v>
      </c>
      <c r="L3122" s="9" t="s">
        <v>17759</v>
      </c>
      <c r="M3122" s="9" t="s">
        <v>18051</v>
      </c>
      <c r="N3122" s="9" t="s">
        <v>17746</v>
      </c>
      <c r="O3122" s="9" t="s">
        <v>17857</v>
      </c>
      <c r="P3122" s="9" t="s">
        <v>17748</v>
      </c>
      <c r="Q3122" s="11" t="s">
        <v>18341</v>
      </c>
      <c r="R3122" s="11" t="s">
        <v>18341</v>
      </c>
      <c r="S3122" s="11" t="s">
        <v>17750</v>
      </c>
    </row>
    <row r="3123" spans="1:19" x14ac:dyDescent="0.2">
      <c r="A3123" s="11" t="s">
        <v>35946</v>
      </c>
      <c r="B3123" s="9" t="s">
        <v>35947</v>
      </c>
      <c r="C3123" s="9" t="s">
        <v>35948</v>
      </c>
      <c r="D3123" s="9" t="s">
        <v>35949</v>
      </c>
      <c r="E3123" s="9" t="s">
        <v>17740</v>
      </c>
      <c r="F3123" s="9" t="s">
        <v>35950</v>
      </c>
      <c r="G3123" s="9" t="s">
        <v>17740</v>
      </c>
      <c r="H3123" s="11" t="s">
        <v>35951</v>
      </c>
      <c r="I3123" s="11" t="s">
        <v>35952</v>
      </c>
      <c r="J3123" s="11" t="s">
        <v>35952</v>
      </c>
      <c r="K3123" s="9" t="s">
        <v>35953</v>
      </c>
      <c r="L3123" s="9" t="s">
        <v>17759</v>
      </c>
      <c r="M3123" s="9" t="s">
        <v>17760</v>
      </c>
      <c r="N3123" s="9" t="s">
        <v>17746</v>
      </c>
      <c r="O3123" s="9" t="s">
        <v>17857</v>
      </c>
      <c r="P3123" s="9" t="s">
        <v>17748</v>
      </c>
      <c r="Q3123" s="11" t="s">
        <v>18147</v>
      </c>
      <c r="R3123" s="11" t="s">
        <v>18147</v>
      </c>
      <c r="S3123" s="11" t="s">
        <v>17750</v>
      </c>
    </row>
    <row r="3124" spans="1:19" x14ac:dyDescent="0.2">
      <c r="A3124" s="11" t="s">
        <v>35954</v>
      </c>
      <c r="B3124" s="9" t="s">
        <v>35955</v>
      </c>
      <c r="C3124" s="9" t="s">
        <v>35956</v>
      </c>
      <c r="D3124" s="9" t="s">
        <v>35957</v>
      </c>
      <c r="E3124" s="9" t="s">
        <v>17740</v>
      </c>
      <c r="F3124" s="9" t="s">
        <v>35958</v>
      </c>
      <c r="G3124" s="9" t="s">
        <v>17740</v>
      </c>
      <c r="H3124" s="11" t="s">
        <v>5423</v>
      </c>
      <c r="I3124" s="11" t="s">
        <v>5422</v>
      </c>
      <c r="J3124" s="11" t="s">
        <v>5422</v>
      </c>
      <c r="K3124" s="9" t="s">
        <v>91</v>
      </c>
      <c r="L3124" s="9" t="s">
        <v>17759</v>
      </c>
      <c r="M3124" s="9" t="s">
        <v>35959</v>
      </c>
      <c r="N3124" s="9" t="s">
        <v>17746</v>
      </c>
      <c r="O3124" s="9" t="s">
        <v>35960</v>
      </c>
      <c r="P3124" s="9" t="s">
        <v>17748</v>
      </c>
      <c r="Q3124" s="11" t="s">
        <v>18080</v>
      </c>
      <c r="R3124" s="11" t="s">
        <v>18080</v>
      </c>
      <c r="S3124" s="11" t="s">
        <v>17750</v>
      </c>
    </row>
    <row r="3125" spans="1:19" x14ac:dyDescent="0.2">
      <c r="A3125" s="11" t="s">
        <v>35961</v>
      </c>
      <c r="B3125" s="9" t="s">
        <v>35962</v>
      </c>
      <c r="C3125" s="9" t="s">
        <v>35963</v>
      </c>
      <c r="D3125" s="9" t="s">
        <v>35964</v>
      </c>
      <c r="E3125" s="9" t="s">
        <v>17740</v>
      </c>
      <c r="F3125" s="9" t="s">
        <v>17741</v>
      </c>
      <c r="G3125" s="9" t="s">
        <v>17740</v>
      </c>
      <c r="H3125" s="11" t="s">
        <v>35965</v>
      </c>
      <c r="I3125" s="11" t="s">
        <v>6060</v>
      </c>
      <c r="J3125" s="11" t="s">
        <v>6060</v>
      </c>
      <c r="K3125" s="9" t="s">
        <v>35966</v>
      </c>
      <c r="L3125" s="9" t="s">
        <v>17744</v>
      </c>
      <c r="M3125" s="9" t="s">
        <v>17769</v>
      </c>
      <c r="N3125" s="9" t="s">
        <v>17746</v>
      </c>
      <c r="O3125" s="9" t="s">
        <v>18009</v>
      </c>
      <c r="P3125" s="9" t="s">
        <v>17748</v>
      </c>
      <c r="Q3125" s="11" t="s">
        <v>18147</v>
      </c>
      <c r="R3125" s="11" t="s">
        <v>18147</v>
      </c>
      <c r="S3125" s="11" t="s">
        <v>17750</v>
      </c>
    </row>
    <row r="3126" spans="1:19" x14ac:dyDescent="0.2">
      <c r="A3126" s="11" t="s">
        <v>35967</v>
      </c>
      <c r="B3126" s="9" t="s">
        <v>35968</v>
      </c>
      <c r="C3126" s="9" t="s">
        <v>35969</v>
      </c>
      <c r="D3126" s="9" t="s">
        <v>35970</v>
      </c>
      <c r="E3126" s="9" t="s">
        <v>17740</v>
      </c>
      <c r="F3126" s="9" t="s">
        <v>17741</v>
      </c>
      <c r="G3126" s="9" t="s">
        <v>17740</v>
      </c>
      <c r="H3126" s="11" t="s">
        <v>2578</v>
      </c>
      <c r="I3126" s="11" t="s">
        <v>2577</v>
      </c>
      <c r="J3126" s="11" t="s">
        <v>2577</v>
      </c>
      <c r="K3126" s="9" t="s">
        <v>35971</v>
      </c>
      <c r="L3126" s="9" t="s">
        <v>17744</v>
      </c>
      <c r="M3126" s="9" t="s">
        <v>17778</v>
      </c>
      <c r="N3126" s="9" t="s">
        <v>17746</v>
      </c>
      <c r="O3126" s="9" t="s">
        <v>3309</v>
      </c>
      <c r="P3126" s="9" t="s">
        <v>17748</v>
      </c>
      <c r="Q3126" s="11" t="s">
        <v>21244</v>
      </c>
      <c r="R3126" s="11" t="s">
        <v>21244</v>
      </c>
      <c r="S3126" s="11" t="s">
        <v>17750</v>
      </c>
    </row>
    <row r="3127" spans="1:19" x14ac:dyDescent="0.2">
      <c r="A3127" s="11" t="s">
        <v>35972</v>
      </c>
      <c r="B3127" s="9" t="s">
        <v>35973</v>
      </c>
      <c r="C3127" s="9" t="s">
        <v>35974</v>
      </c>
      <c r="D3127" s="9" t="s">
        <v>35975</v>
      </c>
      <c r="E3127" s="9" t="s">
        <v>17740</v>
      </c>
      <c r="F3127" s="9" t="s">
        <v>17741</v>
      </c>
      <c r="G3127" s="9" t="s">
        <v>17740</v>
      </c>
      <c r="H3127" s="11" t="s">
        <v>13122</v>
      </c>
      <c r="I3127" s="11" t="s">
        <v>17741</v>
      </c>
      <c r="J3127" s="11" t="s">
        <v>13122</v>
      </c>
      <c r="K3127" s="9" t="s">
        <v>23151</v>
      </c>
      <c r="L3127" s="9" t="s">
        <v>17744</v>
      </c>
      <c r="M3127" s="9" t="s">
        <v>17741</v>
      </c>
      <c r="N3127" s="9" t="s">
        <v>17746</v>
      </c>
      <c r="O3127" s="9" t="s">
        <v>25096</v>
      </c>
      <c r="P3127" s="9" t="s">
        <v>17748</v>
      </c>
      <c r="Q3127" s="11" t="s">
        <v>18370</v>
      </c>
      <c r="R3127" s="11" t="s">
        <v>18370</v>
      </c>
      <c r="S3127" s="11" t="s">
        <v>17750</v>
      </c>
    </row>
    <row r="3128" spans="1:19" x14ac:dyDescent="0.2">
      <c r="A3128" s="11" t="s">
        <v>35976</v>
      </c>
      <c r="B3128" s="9" t="s">
        <v>35977</v>
      </c>
      <c r="C3128" s="9" t="s">
        <v>35978</v>
      </c>
      <c r="D3128" s="9" t="s">
        <v>35979</v>
      </c>
      <c r="E3128" s="9" t="s">
        <v>17748</v>
      </c>
      <c r="F3128" s="9" t="s">
        <v>35980</v>
      </c>
      <c r="G3128" s="9" t="s">
        <v>17740</v>
      </c>
      <c r="H3128" s="11" t="s">
        <v>15428</v>
      </c>
      <c r="I3128" s="11" t="s">
        <v>15427</v>
      </c>
      <c r="J3128" s="11" t="s">
        <v>17741</v>
      </c>
      <c r="K3128" s="9" t="s">
        <v>35981</v>
      </c>
      <c r="L3128" s="9" t="s">
        <v>18242</v>
      </c>
      <c r="M3128" s="9" t="s">
        <v>18065</v>
      </c>
      <c r="N3128" s="9" t="s">
        <v>17746</v>
      </c>
      <c r="O3128" s="9" t="s">
        <v>1675</v>
      </c>
      <c r="P3128" s="9" t="s">
        <v>17748</v>
      </c>
      <c r="Q3128" s="11" t="s">
        <v>17900</v>
      </c>
      <c r="R3128" s="11" t="s">
        <v>17900</v>
      </c>
      <c r="S3128" s="11" t="s">
        <v>17750</v>
      </c>
    </row>
    <row r="3129" spans="1:19" x14ac:dyDescent="0.2">
      <c r="A3129" s="11" t="s">
        <v>35982</v>
      </c>
      <c r="B3129" s="9" t="s">
        <v>35983</v>
      </c>
      <c r="C3129" s="9" t="s">
        <v>35984</v>
      </c>
      <c r="D3129" s="9" t="s">
        <v>35985</v>
      </c>
      <c r="E3129" s="9" t="s">
        <v>17740</v>
      </c>
      <c r="F3129" s="9" t="s">
        <v>35986</v>
      </c>
      <c r="G3129" s="9" t="s">
        <v>17740</v>
      </c>
      <c r="H3129" s="11" t="s">
        <v>35987</v>
      </c>
      <c r="I3129" s="11" t="s">
        <v>2571</v>
      </c>
      <c r="J3129" s="11" t="s">
        <v>2571</v>
      </c>
      <c r="K3129" s="9" t="s">
        <v>91</v>
      </c>
      <c r="L3129" s="9" t="s">
        <v>18001</v>
      </c>
      <c r="M3129" s="9" t="s">
        <v>29351</v>
      </c>
      <c r="N3129" s="9" t="s">
        <v>17746</v>
      </c>
      <c r="O3129" s="9" t="s">
        <v>1675</v>
      </c>
      <c r="P3129" s="9" t="s">
        <v>17748</v>
      </c>
      <c r="Q3129" s="11" t="s">
        <v>18960</v>
      </c>
      <c r="R3129" s="11" t="s">
        <v>18960</v>
      </c>
      <c r="S3129" s="11" t="s">
        <v>17750</v>
      </c>
    </row>
    <row r="3130" spans="1:19" x14ac:dyDescent="0.2">
      <c r="A3130" s="11" t="s">
        <v>35988</v>
      </c>
      <c r="B3130" s="9" t="s">
        <v>35989</v>
      </c>
      <c r="C3130" s="9" t="s">
        <v>35990</v>
      </c>
      <c r="D3130" s="9" t="s">
        <v>35991</v>
      </c>
      <c r="E3130" s="9" t="s">
        <v>17740</v>
      </c>
      <c r="F3130" s="9" t="s">
        <v>35992</v>
      </c>
      <c r="G3130" s="9" t="s">
        <v>17740</v>
      </c>
      <c r="H3130" s="11" t="s">
        <v>2569</v>
      </c>
      <c r="I3130" s="11" t="s">
        <v>2568</v>
      </c>
      <c r="J3130" s="11" t="s">
        <v>2568</v>
      </c>
      <c r="K3130" s="9" t="s">
        <v>35993</v>
      </c>
      <c r="L3130" s="9" t="s">
        <v>17759</v>
      </c>
      <c r="M3130" s="9" t="s">
        <v>17769</v>
      </c>
      <c r="N3130" s="9" t="s">
        <v>17746</v>
      </c>
      <c r="O3130" s="9" t="s">
        <v>1690</v>
      </c>
      <c r="P3130" s="9" t="s">
        <v>17748</v>
      </c>
      <c r="Q3130" s="11" t="s">
        <v>19471</v>
      </c>
      <c r="R3130" s="11" t="s">
        <v>19471</v>
      </c>
      <c r="S3130" s="11" t="s">
        <v>17750</v>
      </c>
    </row>
    <row r="3131" spans="1:19" x14ac:dyDescent="0.2">
      <c r="A3131" s="11" t="s">
        <v>35994</v>
      </c>
      <c r="B3131" s="9" t="s">
        <v>35995</v>
      </c>
      <c r="C3131" s="9" t="s">
        <v>35996</v>
      </c>
      <c r="D3131" s="9" t="s">
        <v>35997</v>
      </c>
      <c r="E3131" s="9" t="s">
        <v>17740</v>
      </c>
      <c r="F3131" s="9" t="s">
        <v>17741</v>
      </c>
      <c r="G3131" s="9" t="s">
        <v>17740</v>
      </c>
      <c r="H3131" s="11" t="s">
        <v>35998</v>
      </c>
      <c r="I3131" s="11" t="s">
        <v>2343</v>
      </c>
      <c r="J3131" s="11" t="s">
        <v>2343</v>
      </c>
      <c r="K3131" s="9" t="s">
        <v>21721</v>
      </c>
      <c r="L3131" s="9" t="s">
        <v>17759</v>
      </c>
      <c r="M3131" s="9" t="s">
        <v>17817</v>
      </c>
      <c r="N3131" s="9" t="s">
        <v>17746</v>
      </c>
      <c r="O3131" s="9" t="s">
        <v>18186</v>
      </c>
      <c r="P3131" s="9" t="s">
        <v>17748</v>
      </c>
      <c r="Q3131" s="11" t="s">
        <v>18470</v>
      </c>
      <c r="R3131" s="11" t="s">
        <v>18470</v>
      </c>
      <c r="S3131" s="11" t="s">
        <v>17750</v>
      </c>
    </row>
    <row r="3132" spans="1:19" x14ac:dyDescent="0.2">
      <c r="A3132" s="11" t="s">
        <v>35999</v>
      </c>
      <c r="B3132" s="9" t="s">
        <v>36000</v>
      </c>
      <c r="C3132" s="9" t="s">
        <v>36001</v>
      </c>
      <c r="D3132" s="9" t="s">
        <v>36002</v>
      </c>
      <c r="E3132" s="9" t="s">
        <v>17740</v>
      </c>
      <c r="F3132" s="9" t="s">
        <v>36003</v>
      </c>
      <c r="G3132" s="9" t="s">
        <v>17740</v>
      </c>
      <c r="H3132" s="11" t="s">
        <v>17741</v>
      </c>
      <c r="I3132" s="11" t="s">
        <v>36004</v>
      </c>
      <c r="J3132" s="11" t="s">
        <v>36004</v>
      </c>
      <c r="K3132" s="9" t="s">
        <v>36005</v>
      </c>
      <c r="L3132" s="9" t="s">
        <v>17744</v>
      </c>
      <c r="M3132" s="9" t="s">
        <v>17760</v>
      </c>
      <c r="N3132" s="9" t="s">
        <v>17746</v>
      </c>
      <c r="O3132" s="9" t="s">
        <v>22217</v>
      </c>
      <c r="P3132" s="9" t="s">
        <v>17748</v>
      </c>
      <c r="Q3132" s="11" t="s">
        <v>18798</v>
      </c>
      <c r="R3132" s="11" t="s">
        <v>18798</v>
      </c>
      <c r="S3132" s="11" t="s">
        <v>17750</v>
      </c>
    </row>
    <row r="3133" spans="1:19" x14ac:dyDescent="0.2">
      <c r="A3133" s="11" t="s">
        <v>36006</v>
      </c>
      <c r="B3133" s="9" t="s">
        <v>36007</v>
      </c>
      <c r="C3133" s="9" t="s">
        <v>36008</v>
      </c>
      <c r="D3133" s="9" t="s">
        <v>36009</v>
      </c>
      <c r="E3133" s="9" t="s">
        <v>17740</v>
      </c>
      <c r="F3133" s="9" t="s">
        <v>17741</v>
      </c>
      <c r="G3133" s="9" t="s">
        <v>17740</v>
      </c>
      <c r="H3133" s="11" t="s">
        <v>36010</v>
      </c>
      <c r="I3133" s="11" t="s">
        <v>36011</v>
      </c>
      <c r="J3133" s="11" t="s">
        <v>36011</v>
      </c>
      <c r="K3133" s="9" t="s">
        <v>19447</v>
      </c>
      <c r="L3133" s="9" t="s">
        <v>17759</v>
      </c>
      <c r="M3133" s="9" t="s">
        <v>17778</v>
      </c>
      <c r="N3133" s="9" t="s">
        <v>17746</v>
      </c>
      <c r="O3133" s="9" t="s">
        <v>17800</v>
      </c>
      <c r="P3133" s="9" t="s">
        <v>17748</v>
      </c>
      <c r="Q3133" s="11" t="s">
        <v>17978</v>
      </c>
      <c r="R3133" s="11" t="s">
        <v>17978</v>
      </c>
      <c r="S3133" s="11" t="s">
        <v>17750</v>
      </c>
    </row>
    <row r="3134" spans="1:19" x14ac:dyDescent="0.2">
      <c r="A3134" s="11" t="s">
        <v>36012</v>
      </c>
      <c r="B3134" s="9" t="s">
        <v>36013</v>
      </c>
      <c r="C3134" s="9" t="s">
        <v>36014</v>
      </c>
      <c r="D3134" s="9" t="s">
        <v>36015</v>
      </c>
      <c r="E3134" s="9" t="s">
        <v>17740</v>
      </c>
      <c r="F3134" s="9" t="s">
        <v>17741</v>
      </c>
      <c r="G3134" s="9" t="s">
        <v>17740</v>
      </c>
      <c r="H3134" s="11" t="s">
        <v>36016</v>
      </c>
      <c r="I3134" s="11" t="s">
        <v>36017</v>
      </c>
      <c r="J3134" s="11" t="s">
        <v>36017</v>
      </c>
      <c r="K3134" s="9" t="s">
        <v>689</v>
      </c>
      <c r="L3134" s="9" t="s">
        <v>17759</v>
      </c>
      <c r="M3134" s="9" t="s">
        <v>36018</v>
      </c>
      <c r="N3134" s="9" t="s">
        <v>17746</v>
      </c>
      <c r="O3134" s="9" t="s">
        <v>19095</v>
      </c>
      <c r="P3134" s="9" t="s">
        <v>17748</v>
      </c>
      <c r="Q3134" s="11" t="s">
        <v>17771</v>
      </c>
      <c r="R3134" s="11" t="s">
        <v>17771</v>
      </c>
      <c r="S3134" s="11" t="s">
        <v>17750</v>
      </c>
    </row>
    <row r="3135" spans="1:19" x14ac:dyDescent="0.2">
      <c r="A3135" s="11" t="s">
        <v>36019</v>
      </c>
      <c r="B3135" s="9" t="s">
        <v>36020</v>
      </c>
      <c r="C3135" s="9" t="s">
        <v>36021</v>
      </c>
      <c r="D3135" s="9" t="s">
        <v>36022</v>
      </c>
      <c r="E3135" s="9" t="s">
        <v>17740</v>
      </c>
      <c r="F3135" s="9" t="s">
        <v>17741</v>
      </c>
      <c r="G3135" s="9" t="s">
        <v>17740</v>
      </c>
      <c r="H3135" s="11" t="s">
        <v>2350</v>
      </c>
      <c r="I3135" s="11" t="s">
        <v>2349</v>
      </c>
      <c r="J3135" s="11" t="s">
        <v>2349</v>
      </c>
      <c r="K3135" s="9" t="s">
        <v>36023</v>
      </c>
      <c r="L3135" s="9" t="s">
        <v>17744</v>
      </c>
      <c r="M3135" s="9" t="s">
        <v>17817</v>
      </c>
      <c r="N3135" s="9" t="s">
        <v>17746</v>
      </c>
      <c r="O3135" s="9" t="s">
        <v>36024</v>
      </c>
      <c r="P3135" s="9" t="s">
        <v>17748</v>
      </c>
      <c r="Q3135" s="11" t="s">
        <v>19222</v>
      </c>
      <c r="R3135" s="11" t="s">
        <v>19222</v>
      </c>
      <c r="S3135" s="11" t="s">
        <v>17750</v>
      </c>
    </row>
    <row r="3136" spans="1:19" x14ac:dyDescent="0.2">
      <c r="A3136" s="11" t="s">
        <v>36025</v>
      </c>
      <c r="B3136" s="9" t="s">
        <v>36026</v>
      </c>
      <c r="C3136" s="9" t="s">
        <v>36027</v>
      </c>
      <c r="D3136" s="9" t="s">
        <v>36028</v>
      </c>
      <c r="E3136" s="9" t="s">
        <v>17748</v>
      </c>
      <c r="F3136" s="9" t="s">
        <v>36029</v>
      </c>
      <c r="G3136" s="9" t="s">
        <v>17740</v>
      </c>
      <c r="H3136" s="11" t="s">
        <v>36030</v>
      </c>
      <c r="I3136" s="11" t="s">
        <v>36031</v>
      </c>
      <c r="J3136" s="11" t="s">
        <v>36030</v>
      </c>
      <c r="K3136" s="9" t="s">
        <v>689</v>
      </c>
      <c r="L3136" s="9" t="s">
        <v>17759</v>
      </c>
      <c r="M3136" s="9" t="s">
        <v>18211</v>
      </c>
      <c r="N3136" s="9" t="s">
        <v>17746</v>
      </c>
      <c r="O3136" s="9" t="s">
        <v>17857</v>
      </c>
      <c r="P3136" s="9" t="s">
        <v>17748</v>
      </c>
      <c r="Q3136" s="11" t="s">
        <v>18922</v>
      </c>
      <c r="R3136" s="11" t="s">
        <v>18922</v>
      </c>
      <c r="S3136" s="11" t="s">
        <v>17750</v>
      </c>
    </row>
    <row r="3137" spans="1:19" x14ac:dyDescent="0.2">
      <c r="A3137" s="11" t="s">
        <v>36032</v>
      </c>
      <c r="B3137" s="9" t="s">
        <v>36033</v>
      </c>
      <c r="C3137" s="9" t="s">
        <v>36034</v>
      </c>
      <c r="D3137" s="9" t="s">
        <v>36035</v>
      </c>
      <c r="E3137" s="9" t="s">
        <v>17740</v>
      </c>
      <c r="F3137" s="9" t="s">
        <v>17741</v>
      </c>
      <c r="G3137" s="9" t="s">
        <v>17740</v>
      </c>
      <c r="H3137" s="11" t="s">
        <v>11907</v>
      </c>
      <c r="I3137" s="11" t="s">
        <v>11906</v>
      </c>
      <c r="J3137" s="11" t="s">
        <v>11906</v>
      </c>
      <c r="K3137" s="9" t="s">
        <v>20207</v>
      </c>
      <c r="L3137" s="9" t="s">
        <v>17759</v>
      </c>
      <c r="M3137" s="9" t="s">
        <v>36036</v>
      </c>
      <c r="N3137" s="9" t="s">
        <v>17746</v>
      </c>
      <c r="O3137" s="9" t="s">
        <v>25252</v>
      </c>
      <c r="P3137" s="9" t="s">
        <v>17748</v>
      </c>
      <c r="Q3137" s="11" t="s">
        <v>17762</v>
      </c>
      <c r="R3137" s="11" t="s">
        <v>17762</v>
      </c>
      <c r="S3137" s="11" t="s">
        <v>17750</v>
      </c>
    </row>
    <row r="3138" spans="1:19" x14ac:dyDescent="0.2">
      <c r="A3138" s="11" t="s">
        <v>36037</v>
      </c>
      <c r="B3138" s="9" t="s">
        <v>36038</v>
      </c>
      <c r="C3138" s="9" t="s">
        <v>36039</v>
      </c>
      <c r="D3138" s="9" t="s">
        <v>36040</v>
      </c>
      <c r="E3138" s="9" t="s">
        <v>17748</v>
      </c>
      <c r="F3138" s="9" t="s">
        <v>36041</v>
      </c>
      <c r="G3138" s="9" t="s">
        <v>17740</v>
      </c>
      <c r="H3138" s="11" t="s">
        <v>17741</v>
      </c>
      <c r="I3138" s="11" t="s">
        <v>36042</v>
      </c>
      <c r="J3138" s="11" t="s">
        <v>36042</v>
      </c>
      <c r="K3138" s="9" t="s">
        <v>36043</v>
      </c>
      <c r="L3138" s="9" t="s">
        <v>17958</v>
      </c>
      <c r="M3138" s="9" t="s">
        <v>17760</v>
      </c>
      <c r="N3138" s="9" t="s">
        <v>17746</v>
      </c>
      <c r="O3138" s="9" t="s">
        <v>17993</v>
      </c>
      <c r="P3138" s="9" t="s">
        <v>17748</v>
      </c>
      <c r="Q3138" s="11" t="s">
        <v>17994</v>
      </c>
      <c r="R3138" s="11" t="s">
        <v>17994</v>
      </c>
      <c r="S3138" s="11" t="s">
        <v>17750</v>
      </c>
    </row>
    <row r="3139" spans="1:19" x14ac:dyDescent="0.2">
      <c r="A3139" s="11" t="s">
        <v>36044</v>
      </c>
      <c r="B3139" s="9" t="s">
        <v>36045</v>
      </c>
      <c r="C3139" s="9" t="s">
        <v>36046</v>
      </c>
      <c r="D3139" s="9" t="s">
        <v>36047</v>
      </c>
      <c r="E3139" s="9" t="s">
        <v>17740</v>
      </c>
      <c r="F3139" s="9" t="s">
        <v>17741</v>
      </c>
      <c r="G3139" s="9" t="s">
        <v>17740</v>
      </c>
      <c r="H3139" s="11" t="s">
        <v>36048</v>
      </c>
      <c r="I3139" s="11" t="s">
        <v>36049</v>
      </c>
      <c r="J3139" s="11" t="s">
        <v>36049</v>
      </c>
      <c r="K3139" s="9" t="s">
        <v>36050</v>
      </c>
      <c r="L3139" s="9" t="s">
        <v>18242</v>
      </c>
      <c r="M3139" s="9" t="s">
        <v>18051</v>
      </c>
      <c r="N3139" s="9" t="s">
        <v>17746</v>
      </c>
      <c r="O3139" s="9" t="s">
        <v>18514</v>
      </c>
      <c r="P3139" s="9" t="s">
        <v>17748</v>
      </c>
      <c r="Q3139" s="11" t="s">
        <v>19082</v>
      </c>
      <c r="R3139" s="11" t="s">
        <v>19082</v>
      </c>
      <c r="S3139" s="11" t="s">
        <v>17750</v>
      </c>
    </row>
    <row r="3140" spans="1:19" x14ac:dyDescent="0.2">
      <c r="A3140" s="11" t="s">
        <v>36051</v>
      </c>
      <c r="B3140" s="9" t="s">
        <v>36052</v>
      </c>
      <c r="C3140" s="9" t="s">
        <v>36053</v>
      </c>
      <c r="D3140" s="9" t="s">
        <v>36054</v>
      </c>
      <c r="E3140" s="9" t="s">
        <v>17740</v>
      </c>
      <c r="F3140" s="9" t="s">
        <v>17741</v>
      </c>
      <c r="G3140" s="9" t="s">
        <v>17740</v>
      </c>
      <c r="H3140" s="11" t="s">
        <v>36055</v>
      </c>
      <c r="I3140" s="11" t="s">
        <v>36056</v>
      </c>
      <c r="J3140" s="11" t="s">
        <v>36056</v>
      </c>
      <c r="K3140" s="9" t="s">
        <v>601</v>
      </c>
      <c r="L3140" s="9" t="s">
        <v>17744</v>
      </c>
      <c r="M3140" s="9" t="s">
        <v>18289</v>
      </c>
      <c r="N3140" s="9" t="s">
        <v>17746</v>
      </c>
      <c r="O3140" s="9" t="s">
        <v>36057</v>
      </c>
      <c r="P3140" s="9" t="s">
        <v>17748</v>
      </c>
      <c r="Q3140" s="11" t="s">
        <v>19082</v>
      </c>
      <c r="R3140" s="11" t="s">
        <v>19082</v>
      </c>
      <c r="S3140" s="11" t="s">
        <v>17750</v>
      </c>
    </row>
    <row r="3141" spans="1:19" x14ac:dyDescent="0.2">
      <c r="A3141" s="11" t="s">
        <v>36058</v>
      </c>
      <c r="B3141" s="9" t="s">
        <v>36059</v>
      </c>
      <c r="C3141" s="9" t="s">
        <v>36060</v>
      </c>
      <c r="D3141" s="9" t="s">
        <v>36061</v>
      </c>
      <c r="E3141" s="9" t="s">
        <v>17748</v>
      </c>
      <c r="F3141" s="9" t="s">
        <v>36062</v>
      </c>
      <c r="G3141" s="9" t="s">
        <v>17740</v>
      </c>
      <c r="H3141" s="11" t="s">
        <v>7783</v>
      </c>
      <c r="I3141" s="11" t="s">
        <v>7782</v>
      </c>
      <c r="J3141" s="11" t="s">
        <v>7782</v>
      </c>
      <c r="K3141" s="9" t="s">
        <v>19584</v>
      </c>
      <c r="L3141" s="9" t="s">
        <v>17744</v>
      </c>
      <c r="M3141" s="9" t="s">
        <v>24658</v>
      </c>
      <c r="N3141" s="9" t="s">
        <v>17746</v>
      </c>
      <c r="O3141" s="9" t="s">
        <v>18846</v>
      </c>
      <c r="P3141" s="9" t="s">
        <v>17748</v>
      </c>
      <c r="Q3141" s="11" t="s">
        <v>18798</v>
      </c>
      <c r="R3141" s="11" t="s">
        <v>18798</v>
      </c>
      <c r="S3141" s="11" t="s">
        <v>17750</v>
      </c>
    </row>
    <row r="3142" spans="1:19" x14ac:dyDescent="0.2">
      <c r="A3142" s="11" t="s">
        <v>36063</v>
      </c>
      <c r="B3142" s="9" t="s">
        <v>36064</v>
      </c>
      <c r="C3142" s="9" t="s">
        <v>36065</v>
      </c>
      <c r="D3142" s="9" t="s">
        <v>36066</v>
      </c>
      <c r="E3142" s="9" t="s">
        <v>17740</v>
      </c>
      <c r="F3142" s="9" t="s">
        <v>17741</v>
      </c>
      <c r="G3142" s="9" t="s">
        <v>17740</v>
      </c>
      <c r="H3142" s="11" t="s">
        <v>4235</v>
      </c>
      <c r="I3142" s="11" t="s">
        <v>4234</v>
      </c>
      <c r="J3142" s="11" t="s">
        <v>4234</v>
      </c>
      <c r="K3142" s="9" t="s">
        <v>315</v>
      </c>
      <c r="L3142" s="9" t="s">
        <v>17744</v>
      </c>
      <c r="M3142" s="9" t="s">
        <v>17817</v>
      </c>
      <c r="N3142" s="9" t="s">
        <v>17746</v>
      </c>
      <c r="O3142" s="9" t="s">
        <v>19646</v>
      </c>
      <c r="P3142" s="9" t="s">
        <v>17748</v>
      </c>
      <c r="Q3142" s="11" t="s">
        <v>18364</v>
      </c>
      <c r="R3142" s="11" t="s">
        <v>18364</v>
      </c>
      <c r="S3142" s="11" t="s">
        <v>17750</v>
      </c>
    </row>
    <row r="3143" spans="1:19" x14ac:dyDescent="0.2">
      <c r="A3143" s="11" t="s">
        <v>36067</v>
      </c>
      <c r="B3143" s="9" t="s">
        <v>36068</v>
      </c>
      <c r="C3143" s="9" t="s">
        <v>36069</v>
      </c>
      <c r="D3143" s="9" t="s">
        <v>36070</v>
      </c>
      <c r="E3143" s="9" t="s">
        <v>17740</v>
      </c>
      <c r="F3143" s="9" t="s">
        <v>17741</v>
      </c>
      <c r="G3143" s="9" t="s">
        <v>17740</v>
      </c>
      <c r="H3143" s="11" t="s">
        <v>36071</v>
      </c>
      <c r="I3143" s="11" t="s">
        <v>36072</v>
      </c>
      <c r="J3143" s="11" t="s">
        <v>36072</v>
      </c>
      <c r="K3143" s="9" t="s">
        <v>19447</v>
      </c>
      <c r="L3143" s="9" t="s">
        <v>17759</v>
      </c>
      <c r="M3143" s="9" t="s">
        <v>17760</v>
      </c>
      <c r="N3143" s="9" t="s">
        <v>17746</v>
      </c>
      <c r="O3143" s="9" t="s">
        <v>36073</v>
      </c>
      <c r="P3143" s="9" t="s">
        <v>17748</v>
      </c>
      <c r="Q3143" s="11" t="s">
        <v>18960</v>
      </c>
      <c r="R3143" s="11" t="s">
        <v>18960</v>
      </c>
      <c r="S3143" s="11" t="s">
        <v>17750</v>
      </c>
    </row>
    <row r="3144" spans="1:19" x14ac:dyDescent="0.2">
      <c r="A3144" s="11" t="s">
        <v>36074</v>
      </c>
      <c r="B3144" s="9" t="s">
        <v>36075</v>
      </c>
      <c r="C3144" s="9" t="s">
        <v>36076</v>
      </c>
      <c r="D3144" s="9" t="s">
        <v>36077</v>
      </c>
      <c r="E3144" s="9" t="s">
        <v>17740</v>
      </c>
      <c r="F3144" s="9" t="s">
        <v>36078</v>
      </c>
      <c r="G3144" s="9" t="s">
        <v>17740</v>
      </c>
      <c r="H3144" s="11" t="s">
        <v>36079</v>
      </c>
      <c r="I3144" s="11" t="s">
        <v>36080</v>
      </c>
      <c r="J3144" s="11" t="s">
        <v>36080</v>
      </c>
      <c r="K3144" s="9" t="s">
        <v>36081</v>
      </c>
      <c r="L3144" s="9" t="s">
        <v>17744</v>
      </c>
      <c r="M3144" s="9" t="s">
        <v>17769</v>
      </c>
      <c r="N3144" s="9" t="s">
        <v>17746</v>
      </c>
      <c r="O3144" s="9" t="s">
        <v>18543</v>
      </c>
      <c r="P3144" s="9" t="s">
        <v>17748</v>
      </c>
      <c r="Q3144" s="11" t="s">
        <v>18678</v>
      </c>
      <c r="R3144" s="11" t="s">
        <v>18678</v>
      </c>
      <c r="S3144" s="11" t="s">
        <v>17750</v>
      </c>
    </row>
    <row r="3145" spans="1:19" x14ac:dyDescent="0.2">
      <c r="A3145" s="11" t="s">
        <v>36082</v>
      </c>
      <c r="B3145" s="9" t="s">
        <v>36083</v>
      </c>
      <c r="C3145" s="9" t="s">
        <v>36084</v>
      </c>
      <c r="D3145" s="9" t="s">
        <v>36085</v>
      </c>
      <c r="E3145" s="9" t="s">
        <v>17740</v>
      </c>
      <c r="F3145" s="9" t="s">
        <v>17741</v>
      </c>
      <c r="G3145" s="9" t="s">
        <v>17740</v>
      </c>
      <c r="H3145" s="11" t="s">
        <v>2581</v>
      </c>
      <c r="I3145" s="11" t="s">
        <v>2580</v>
      </c>
      <c r="J3145" s="11" t="s">
        <v>2580</v>
      </c>
      <c r="K3145" s="9" t="s">
        <v>17758</v>
      </c>
      <c r="L3145" s="9" t="s">
        <v>17744</v>
      </c>
      <c r="M3145" s="9" t="s">
        <v>17817</v>
      </c>
      <c r="N3145" s="9" t="s">
        <v>17746</v>
      </c>
      <c r="O3145" s="9" t="s">
        <v>19646</v>
      </c>
      <c r="P3145" s="9" t="s">
        <v>17748</v>
      </c>
      <c r="Q3145" s="11" t="s">
        <v>17978</v>
      </c>
      <c r="R3145" s="11" t="s">
        <v>17978</v>
      </c>
      <c r="S3145" s="11" t="s">
        <v>17750</v>
      </c>
    </row>
    <row r="3146" spans="1:19" x14ac:dyDescent="0.2">
      <c r="A3146" s="11" t="s">
        <v>36086</v>
      </c>
      <c r="B3146" s="9" t="s">
        <v>36087</v>
      </c>
      <c r="C3146" s="9" t="s">
        <v>36088</v>
      </c>
      <c r="D3146" s="9" t="s">
        <v>36089</v>
      </c>
      <c r="E3146" s="9" t="s">
        <v>17740</v>
      </c>
      <c r="F3146" s="9" t="s">
        <v>17741</v>
      </c>
      <c r="G3146" s="9" t="s">
        <v>17740</v>
      </c>
      <c r="H3146" s="11" t="s">
        <v>17741</v>
      </c>
      <c r="I3146" s="11" t="s">
        <v>36090</v>
      </c>
      <c r="J3146" s="11" t="s">
        <v>36090</v>
      </c>
      <c r="K3146" s="9" t="s">
        <v>17758</v>
      </c>
      <c r="L3146" s="9" t="s">
        <v>17744</v>
      </c>
      <c r="M3146" s="9" t="s">
        <v>17942</v>
      </c>
      <c r="N3146" s="9" t="s">
        <v>17746</v>
      </c>
      <c r="O3146" s="9" t="s">
        <v>19646</v>
      </c>
      <c r="P3146" s="9" t="s">
        <v>17748</v>
      </c>
      <c r="Q3146" s="11" t="s">
        <v>17978</v>
      </c>
      <c r="R3146" s="11" t="s">
        <v>17978</v>
      </c>
      <c r="S3146" s="11" t="s">
        <v>17750</v>
      </c>
    </row>
    <row r="3147" spans="1:19" x14ac:dyDescent="0.2">
      <c r="A3147" s="11" t="s">
        <v>36091</v>
      </c>
      <c r="B3147" s="9" t="s">
        <v>36092</v>
      </c>
      <c r="C3147" s="9" t="s">
        <v>36093</v>
      </c>
      <c r="D3147" s="9" t="s">
        <v>36094</v>
      </c>
      <c r="E3147" s="9" t="s">
        <v>17748</v>
      </c>
      <c r="F3147" s="9" t="s">
        <v>36095</v>
      </c>
      <c r="G3147" s="9" t="s">
        <v>17740</v>
      </c>
      <c r="H3147" s="11" t="s">
        <v>36096</v>
      </c>
      <c r="I3147" s="11" t="s">
        <v>36097</v>
      </c>
      <c r="J3147" s="11" t="s">
        <v>36097</v>
      </c>
      <c r="K3147" s="9" t="s">
        <v>17783</v>
      </c>
      <c r="L3147" s="9" t="s">
        <v>17759</v>
      </c>
      <c r="M3147" s="9" t="s">
        <v>18065</v>
      </c>
      <c r="N3147" s="9" t="s">
        <v>17746</v>
      </c>
      <c r="O3147" s="9" t="s">
        <v>28347</v>
      </c>
      <c r="P3147" s="9" t="s">
        <v>17748</v>
      </c>
      <c r="Q3147" s="11" t="s">
        <v>17762</v>
      </c>
      <c r="R3147" s="11" t="s">
        <v>17762</v>
      </c>
      <c r="S3147" s="11" t="s">
        <v>17750</v>
      </c>
    </row>
    <row r="3148" spans="1:19" x14ac:dyDescent="0.2">
      <c r="A3148" s="11" t="s">
        <v>36098</v>
      </c>
      <c r="B3148" s="9" t="s">
        <v>36099</v>
      </c>
      <c r="C3148" s="9" t="s">
        <v>36100</v>
      </c>
      <c r="D3148" s="9" t="s">
        <v>36101</v>
      </c>
      <c r="E3148" s="9" t="s">
        <v>17748</v>
      </c>
      <c r="F3148" s="9" t="s">
        <v>36102</v>
      </c>
      <c r="G3148" s="9" t="s">
        <v>17740</v>
      </c>
      <c r="H3148" s="11" t="s">
        <v>8981</v>
      </c>
      <c r="I3148" s="11" t="s">
        <v>8980</v>
      </c>
      <c r="J3148" s="11" t="s">
        <v>8980</v>
      </c>
      <c r="K3148" s="9" t="s">
        <v>291</v>
      </c>
      <c r="L3148" s="9" t="s">
        <v>17744</v>
      </c>
      <c r="M3148" s="9" t="s">
        <v>17760</v>
      </c>
      <c r="N3148" s="9" t="s">
        <v>17746</v>
      </c>
      <c r="O3148" s="9" t="s">
        <v>18882</v>
      </c>
      <c r="P3148" s="9" t="s">
        <v>17748</v>
      </c>
      <c r="Q3148" s="11" t="s">
        <v>18922</v>
      </c>
      <c r="R3148" s="11" t="s">
        <v>18922</v>
      </c>
      <c r="S3148" s="11" t="s">
        <v>17750</v>
      </c>
    </row>
    <row r="3149" spans="1:19" x14ac:dyDescent="0.2">
      <c r="A3149" s="11" t="s">
        <v>36103</v>
      </c>
      <c r="B3149" s="9" t="s">
        <v>36104</v>
      </c>
      <c r="C3149" s="9" t="s">
        <v>36105</v>
      </c>
      <c r="D3149" s="9" t="s">
        <v>36106</v>
      </c>
      <c r="E3149" s="9" t="s">
        <v>17740</v>
      </c>
      <c r="F3149" s="9" t="s">
        <v>36107</v>
      </c>
      <c r="G3149" s="9" t="s">
        <v>17740</v>
      </c>
      <c r="H3149" s="11" t="s">
        <v>2383</v>
      </c>
      <c r="I3149" s="11" t="s">
        <v>2382</v>
      </c>
      <c r="J3149" s="11" t="s">
        <v>2382</v>
      </c>
      <c r="K3149" s="9" t="s">
        <v>91</v>
      </c>
      <c r="L3149" s="9" t="s">
        <v>18001</v>
      </c>
      <c r="M3149" s="9" t="s">
        <v>20172</v>
      </c>
      <c r="N3149" s="9" t="s">
        <v>17746</v>
      </c>
      <c r="O3149" s="9" t="s">
        <v>25180</v>
      </c>
      <c r="P3149" s="9" t="s">
        <v>17748</v>
      </c>
      <c r="Q3149" s="11" t="s">
        <v>19899</v>
      </c>
      <c r="R3149" s="11" t="s">
        <v>19899</v>
      </c>
      <c r="S3149" s="11" t="s">
        <v>17750</v>
      </c>
    </row>
    <row r="3150" spans="1:19" x14ac:dyDescent="0.2">
      <c r="A3150" s="11" t="s">
        <v>36108</v>
      </c>
      <c r="B3150" s="9" t="s">
        <v>36109</v>
      </c>
      <c r="C3150" s="9" t="s">
        <v>36110</v>
      </c>
      <c r="D3150" s="9" t="s">
        <v>36111</v>
      </c>
      <c r="E3150" s="9" t="s">
        <v>17740</v>
      </c>
      <c r="F3150" s="9" t="s">
        <v>36112</v>
      </c>
      <c r="G3150" s="9" t="s">
        <v>17740</v>
      </c>
      <c r="H3150" s="11" t="s">
        <v>2584</v>
      </c>
      <c r="I3150" s="11" t="s">
        <v>2583</v>
      </c>
      <c r="J3150" s="11" t="s">
        <v>2583</v>
      </c>
      <c r="K3150" s="9" t="s">
        <v>2585</v>
      </c>
      <c r="L3150" s="9" t="s">
        <v>17759</v>
      </c>
      <c r="M3150" s="9" t="s">
        <v>36113</v>
      </c>
      <c r="N3150" s="9" t="s">
        <v>17746</v>
      </c>
      <c r="O3150" s="9" t="s">
        <v>18882</v>
      </c>
      <c r="P3150" s="9" t="s">
        <v>17748</v>
      </c>
      <c r="Q3150" s="11" t="s">
        <v>17931</v>
      </c>
      <c r="R3150" s="11" t="s">
        <v>17931</v>
      </c>
      <c r="S3150" s="11" t="s">
        <v>17750</v>
      </c>
    </row>
    <row r="3151" spans="1:19" x14ac:dyDescent="0.2">
      <c r="A3151" s="11" t="s">
        <v>36114</v>
      </c>
      <c r="B3151" s="9" t="s">
        <v>36115</v>
      </c>
      <c r="C3151" s="9" t="s">
        <v>36116</v>
      </c>
      <c r="D3151" s="9" t="s">
        <v>36117</v>
      </c>
      <c r="E3151" s="9" t="s">
        <v>17748</v>
      </c>
      <c r="F3151" s="9" t="s">
        <v>36118</v>
      </c>
      <c r="G3151" s="9" t="s">
        <v>17740</v>
      </c>
      <c r="H3151" s="11" t="s">
        <v>5512</v>
      </c>
      <c r="I3151" s="11" t="s">
        <v>5511</v>
      </c>
      <c r="J3151" s="11" t="s">
        <v>5511</v>
      </c>
      <c r="K3151" s="9" t="s">
        <v>17758</v>
      </c>
      <c r="L3151" s="9" t="s">
        <v>17759</v>
      </c>
      <c r="M3151" s="9" t="s">
        <v>36119</v>
      </c>
      <c r="N3151" s="9" t="s">
        <v>17746</v>
      </c>
      <c r="O3151" s="9" t="s">
        <v>24154</v>
      </c>
      <c r="P3151" s="9" t="s">
        <v>17748</v>
      </c>
      <c r="Q3151" s="11" t="s">
        <v>18272</v>
      </c>
      <c r="R3151" s="11" t="s">
        <v>18272</v>
      </c>
      <c r="S3151" s="11" t="s">
        <v>17750</v>
      </c>
    </row>
    <row r="3152" spans="1:19" x14ac:dyDescent="0.2">
      <c r="A3152" s="11" t="s">
        <v>36120</v>
      </c>
      <c r="B3152" s="9" t="s">
        <v>36121</v>
      </c>
      <c r="C3152" s="9" t="s">
        <v>36122</v>
      </c>
      <c r="D3152" s="9" t="s">
        <v>36123</v>
      </c>
      <c r="E3152" s="9" t="s">
        <v>17740</v>
      </c>
      <c r="F3152" s="9" t="s">
        <v>17741</v>
      </c>
      <c r="G3152" s="9" t="s">
        <v>17740</v>
      </c>
      <c r="H3152" s="11" t="s">
        <v>36124</v>
      </c>
      <c r="I3152" s="11" t="s">
        <v>10394</v>
      </c>
      <c r="J3152" s="11" t="s">
        <v>10394</v>
      </c>
      <c r="K3152" s="9" t="s">
        <v>291</v>
      </c>
      <c r="L3152" s="9" t="s">
        <v>17744</v>
      </c>
      <c r="M3152" s="9" t="s">
        <v>17760</v>
      </c>
      <c r="N3152" s="9" t="s">
        <v>17746</v>
      </c>
      <c r="O3152" s="9" t="s">
        <v>36125</v>
      </c>
      <c r="P3152" s="9" t="s">
        <v>17748</v>
      </c>
      <c r="Q3152" s="11" t="s">
        <v>17780</v>
      </c>
      <c r="R3152" s="11" t="s">
        <v>17780</v>
      </c>
      <c r="S3152" s="11" t="s">
        <v>17750</v>
      </c>
    </row>
    <row r="3153" spans="1:19" x14ac:dyDescent="0.2">
      <c r="A3153" s="11" t="s">
        <v>36126</v>
      </c>
      <c r="B3153" s="9" t="s">
        <v>36127</v>
      </c>
      <c r="C3153" s="9" t="s">
        <v>36128</v>
      </c>
      <c r="D3153" s="9" t="s">
        <v>36129</v>
      </c>
      <c r="E3153" s="9" t="s">
        <v>17740</v>
      </c>
      <c r="F3153" s="9" t="s">
        <v>36130</v>
      </c>
      <c r="G3153" s="9" t="s">
        <v>17740</v>
      </c>
      <c r="H3153" s="11" t="s">
        <v>7459</v>
      </c>
      <c r="I3153" s="11" t="s">
        <v>7458</v>
      </c>
      <c r="J3153" s="11" t="s">
        <v>7458</v>
      </c>
      <c r="K3153" s="9" t="s">
        <v>17783</v>
      </c>
      <c r="L3153" s="9" t="s">
        <v>17744</v>
      </c>
      <c r="M3153" s="9" t="s">
        <v>17817</v>
      </c>
      <c r="N3153" s="9" t="s">
        <v>17746</v>
      </c>
      <c r="O3153" s="9" t="s">
        <v>21100</v>
      </c>
      <c r="P3153" s="9" t="s">
        <v>17748</v>
      </c>
      <c r="Q3153" s="11" t="s">
        <v>18201</v>
      </c>
      <c r="R3153" s="11" t="s">
        <v>18201</v>
      </c>
      <c r="S3153" s="11" t="s">
        <v>17750</v>
      </c>
    </row>
    <row r="3154" spans="1:19" x14ac:dyDescent="0.2">
      <c r="A3154" s="11" t="s">
        <v>36131</v>
      </c>
      <c r="B3154" s="9" t="s">
        <v>36132</v>
      </c>
      <c r="C3154" s="9" t="s">
        <v>36133</v>
      </c>
      <c r="D3154" s="9" t="s">
        <v>36134</v>
      </c>
      <c r="E3154" s="9" t="s">
        <v>17740</v>
      </c>
      <c r="F3154" s="9" t="s">
        <v>17741</v>
      </c>
      <c r="G3154" s="9" t="s">
        <v>17740</v>
      </c>
      <c r="H3154" s="11" t="s">
        <v>2389</v>
      </c>
      <c r="I3154" s="11" t="s">
        <v>2388</v>
      </c>
      <c r="J3154" s="11" t="s">
        <v>2388</v>
      </c>
      <c r="K3154" s="9" t="s">
        <v>303</v>
      </c>
      <c r="L3154" s="9" t="s">
        <v>17744</v>
      </c>
      <c r="M3154" s="9" t="s">
        <v>36135</v>
      </c>
      <c r="N3154" s="9" t="s">
        <v>17746</v>
      </c>
      <c r="O3154" s="9" t="s">
        <v>19659</v>
      </c>
      <c r="P3154" s="9" t="s">
        <v>17748</v>
      </c>
      <c r="Q3154" s="11" t="s">
        <v>18251</v>
      </c>
      <c r="R3154" s="11" t="s">
        <v>18251</v>
      </c>
      <c r="S3154" s="11" t="s">
        <v>17750</v>
      </c>
    </row>
    <row r="3155" spans="1:19" x14ac:dyDescent="0.2">
      <c r="A3155" s="11" t="s">
        <v>36136</v>
      </c>
      <c r="B3155" s="9" t="s">
        <v>36137</v>
      </c>
      <c r="C3155" s="9" t="s">
        <v>36138</v>
      </c>
      <c r="D3155" s="9" t="s">
        <v>36139</v>
      </c>
      <c r="E3155" s="9" t="s">
        <v>17740</v>
      </c>
      <c r="F3155" s="9" t="s">
        <v>17741</v>
      </c>
      <c r="G3155" s="9" t="s">
        <v>17740</v>
      </c>
      <c r="H3155" s="11" t="s">
        <v>7822</v>
      </c>
      <c r="I3155" s="11" t="s">
        <v>7821</v>
      </c>
      <c r="J3155" s="11" t="s">
        <v>7821</v>
      </c>
      <c r="K3155" s="9" t="s">
        <v>23335</v>
      </c>
      <c r="L3155" s="9" t="s">
        <v>18242</v>
      </c>
      <c r="M3155" s="9" t="s">
        <v>17760</v>
      </c>
      <c r="N3155" s="9" t="s">
        <v>17746</v>
      </c>
      <c r="O3155" s="9" t="s">
        <v>36140</v>
      </c>
      <c r="P3155" s="9" t="s">
        <v>17748</v>
      </c>
      <c r="Q3155" s="11" t="s">
        <v>19361</v>
      </c>
      <c r="R3155" s="11" t="s">
        <v>19361</v>
      </c>
      <c r="S3155" s="11" t="s">
        <v>17750</v>
      </c>
    </row>
    <row r="3156" spans="1:19" x14ac:dyDescent="0.2">
      <c r="A3156" s="11" t="s">
        <v>36141</v>
      </c>
      <c r="B3156" s="9" t="s">
        <v>36142</v>
      </c>
      <c r="C3156" s="9" t="s">
        <v>36143</v>
      </c>
      <c r="D3156" s="9" t="s">
        <v>36144</v>
      </c>
      <c r="E3156" s="9" t="s">
        <v>17740</v>
      </c>
      <c r="F3156" s="9" t="s">
        <v>17741</v>
      </c>
      <c r="G3156" s="9" t="s">
        <v>17740</v>
      </c>
      <c r="H3156" s="11" t="s">
        <v>13297</v>
      </c>
      <c r="I3156" s="11" t="s">
        <v>13296</v>
      </c>
      <c r="J3156" s="11" t="s">
        <v>17741</v>
      </c>
      <c r="K3156" s="9" t="s">
        <v>91</v>
      </c>
      <c r="L3156" s="9" t="s">
        <v>17744</v>
      </c>
      <c r="M3156" s="9" t="s">
        <v>17760</v>
      </c>
      <c r="N3156" s="9" t="s">
        <v>17746</v>
      </c>
      <c r="O3156" s="9" t="s">
        <v>27987</v>
      </c>
      <c r="P3156" s="9" t="s">
        <v>17748</v>
      </c>
      <c r="Q3156" s="11" t="s">
        <v>18370</v>
      </c>
      <c r="R3156" s="11" t="s">
        <v>18370</v>
      </c>
      <c r="S3156" s="11" t="s">
        <v>17750</v>
      </c>
    </row>
    <row r="3157" spans="1:19" x14ac:dyDescent="0.2">
      <c r="A3157" s="11" t="s">
        <v>36145</v>
      </c>
      <c r="B3157" s="9" t="s">
        <v>36146</v>
      </c>
      <c r="C3157" s="9" t="s">
        <v>36147</v>
      </c>
      <c r="D3157" s="9" t="s">
        <v>36148</v>
      </c>
      <c r="E3157" s="9" t="s">
        <v>17740</v>
      </c>
      <c r="F3157" s="9" t="s">
        <v>17741</v>
      </c>
      <c r="G3157" s="9" t="s">
        <v>17740</v>
      </c>
      <c r="H3157" s="11" t="s">
        <v>13548</v>
      </c>
      <c r="I3157" s="11" t="s">
        <v>13547</v>
      </c>
      <c r="J3157" s="11" t="s">
        <v>13548</v>
      </c>
      <c r="K3157" s="9" t="s">
        <v>36149</v>
      </c>
      <c r="L3157" s="9" t="s">
        <v>17991</v>
      </c>
      <c r="M3157" s="9" t="s">
        <v>17741</v>
      </c>
      <c r="N3157" s="9" t="s">
        <v>17746</v>
      </c>
      <c r="O3157" s="9" t="s">
        <v>19659</v>
      </c>
      <c r="P3157" s="9" t="s">
        <v>17748</v>
      </c>
      <c r="Q3157" s="11" t="s">
        <v>17917</v>
      </c>
      <c r="R3157" s="11" t="s">
        <v>17917</v>
      </c>
      <c r="S3157" s="11" t="s">
        <v>17750</v>
      </c>
    </row>
    <row r="3158" spans="1:19" x14ac:dyDescent="0.2">
      <c r="A3158" s="11" t="s">
        <v>36150</v>
      </c>
      <c r="B3158" s="9" t="s">
        <v>36151</v>
      </c>
      <c r="C3158" s="9" t="s">
        <v>36152</v>
      </c>
      <c r="D3158" s="9" t="s">
        <v>36153</v>
      </c>
      <c r="E3158" s="9" t="s">
        <v>17740</v>
      </c>
      <c r="F3158" s="9" t="s">
        <v>17741</v>
      </c>
      <c r="G3158" s="9" t="s">
        <v>17740</v>
      </c>
      <c r="H3158" s="11" t="s">
        <v>36154</v>
      </c>
      <c r="I3158" s="11" t="s">
        <v>2374</v>
      </c>
      <c r="J3158" s="11" t="s">
        <v>2374</v>
      </c>
      <c r="K3158" s="9" t="s">
        <v>55</v>
      </c>
      <c r="L3158" s="9" t="s">
        <v>17759</v>
      </c>
      <c r="M3158" s="9" t="s">
        <v>25323</v>
      </c>
      <c r="N3158" s="9" t="s">
        <v>17746</v>
      </c>
      <c r="O3158" s="9" t="s">
        <v>19659</v>
      </c>
      <c r="P3158" s="9" t="s">
        <v>17748</v>
      </c>
      <c r="Q3158" s="11" t="s">
        <v>36155</v>
      </c>
      <c r="R3158" s="11" t="s">
        <v>36155</v>
      </c>
      <c r="S3158" s="11" t="s">
        <v>17750</v>
      </c>
    </row>
    <row r="3159" spans="1:19" x14ac:dyDescent="0.2">
      <c r="A3159" s="11" t="s">
        <v>36156</v>
      </c>
      <c r="B3159" s="9" t="s">
        <v>36157</v>
      </c>
      <c r="C3159" s="9" t="s">
        <v>36158</v>
      </c>
      <c r="D3159" s="9" t="s">
        <v>36159</v>
      </c>
      <c r="E3159" s="9" t="s">
        <v>17748</v>
      </c>
      <c r="F3159" s="9" t="s">
        <v>36160</v>
      </c>
      <c r="G3159" s="9" t="s">
        <v>17740</v>
      </c>
      <c r="H3159" s="11" t="s">
        <v>9531</v>
      </c>
      <c r="I3159" s="11" t="s">
        <v>9530</v>
      </c>
      <c r="J3159" s="11" t="s">
        <v>9530</v>
      </c>
      <c r="K3159" s="9" t="s">
        <v>17758</v>
      </c>
      <c r="L3159" s="9" t="s">
        <v>17759</v>
      </c>
      <c r="M3159" s="9" t="s">
        <v>17769</v>
      </c>
      <c r="N3159" s="9" t="s">
        <v>17746</v>
      </c>
      <c r="O3159" s="9" t="s">
        <v>17800</v>
      </c>
      <c r="P3159" s="9" t="s">
        <v>17748</v>
      </c>
      <c r="Q3159" s="11" t="s">
        <v>18922</v>
      </c>
      <c r="R3159" s="11" t="s">
        <v>18922</v>
      </c>
      <c r="S3159" s="11" t="s">
        <v>17750</v>
      </c>
    </row>
    <row r="3160" spans="1:19" x14ac:dyDescent="0.2">
      <c r="A3160" s="11" t="s">
        <v>36161</v>
      </c>
      <c r="B3160" s="9" t="s">
        <v>36162</v>
      </c>
      <c r="C3160" s="9" t="s">
        <v>36163</v>
      </c>
      <c r="D3160" s="9" t="s">
        <v>36164</v>
      </c>
      <c r="E3160" s="9" t="s">
        <v>17740</v>
      </c>
      <c r="F3160" s="9" t="s">
        <v>17741</v>
      </c>
      <c r="G3160" s="9" t="s">
        <v>17740</v>
      </c>
      <c r="H3160" s="11" t="s">
        <v>2380</v>
      </c>
      <c r="I3160" s="11" t="s">
        <v>2379</v>
      </c>
      <c r="J3160" s="11" t="s">
        <v>2379</v>
      </c>
      <c r="K3160" s="9" t="s">
        <v>27520</v>
      </c>
      <c r="L3160" s="9" t="s">
        <v>18001</v>
      </c>
      <c r="M3160" s="9" t="s">
        <v>18184</v>
      </c>
      <c r="N3160" s="9" t="s">
        <v>17746</v>
      </c>
      <c r="O3160" s="9" t="s">
        <v>20988</v>
      </c>
      <c r="P3160" s="9" t="s">
        <v>17748</v>
      </c>
      <c r="Q3160" s="11" t="s">
        <v>19335</v>
      </c>
      <c r="R3160" s="11" t="s">
        <v>19335</v>
      </c>
      <c r="S3160" s="11" t="s">
        <v>17750</v>
      </c>
    </row>
    <row r="3161" spans="1:19" x14ac:dyDescent="0.2">
      <c r="A3161" s="11" t="s">
        <v>36165</v>
      </c>
      <c r="B3161" s="9" t="s">
        <v>36166</v>
      </c>
      <c r="C3161" s="9" t="s">
        <v>36167</v>
      </c>
      <c r="D3161" s="9" t="s">
        <v>36168</v>
      </c>
      <c r="E3161" s="9" t="s">
        <v>17740</v>
      </c>
      <c r="F3161" s="9" t="s">
        <v>17741</v>
      </c>
      <c r="G3161" s="9" t="s">
        <v>17740</v>
      </c>
      <c r="H3161" s="11" t="s">
        <v>36169</v>
      </c>
      <c r="I3161" s="11" t="s">
        <v>36170</v>
      </c>
      <c r="J3161" s="11" t="s">
        <v>36170</v>
      </c>
      <c r="K3161" s="9" t="s">
        <v>36171</v>
      </c>
      <c r="L3161" s="9" t="s">
        <v>18232</v>
      </c>
      <c r="M3161" s="9" t="s">
        <v>18211</v>
      </c>
      <c r="N3161" s="9" t="s">
        <v>17746</v>
      </c>
      <c r="O3161" s="9" t="s">
        <v>17866</v>
      </c>
      <c r="P3161" s="9" t="s">
        <v>17748</v>
      </c>
      <c r="Q3161" s="11" t="s">
        <v>17825</v>
      </c>
      <c r="R3161" s="11" t="s">
        <v>17825</v>
      </c>
      <c r="S3161" s="11" t="s">
        <v>17750</v>
      </c>
    </row>
    <row r="3162" spans="1:19" x14ac:dyDescent="0.2">
      <c r="A3162" s="11" t="s">
        <v>36172</v>
      </c>
      <c r="B3162" s="9" t="s">
        <v>36173</v>
      </c>
      <c r="C3162" s="9" t="s">
        <v>36174</v>
      </c>
      <c r="D3162" s="9" t="s">
        <v>36175</v>
      </c>
      <c r="E3162" s="9" t="s">
        <v>17740</v>
      </c>
      <c r="F3162" s="9" t="s">
        <v>17741</v>
      </c>
      <c r="G3162" s="9" t="s">
        <v>17740</v>
      </c>
      <c r="H3162" s="11" t="s">
        <v>13411</v>
      </c>
      <c r="I3162" s="11" t="s">
        <v>13410</v>
      </c>
      <c r="J3162" s="11" t="s">
        <v>13410</v>
      </c>
      <c r="K3162" s="9" t="s">
        <v>18122</v>
      </c>
      <c r="L3162" s="9" t="s">
        <v>18123</v>
      </c>
      <c r="M3162" s="9" t="s">
        <v>17769</v>
      </c>
      <c r="N3162" s="9" t="s">
        <v>17746</v>
      </c>
      <c r="O3162" s="9" t="s">
        <v>18882</v>
      </c>
      <c r="P3162" s="9" t="s">
        <v>17748</v>
      </c>
      <c r="Q3162" s="11" t="s">
        <v>17825</v>
      </c>
      <c r="R3162" s="11" t="s">
        <v>17825</v>
      </c>
      <c r="S3162" s="11" t="s">
        <v>17750</v>
      </c>
    </row>
    <row r="3163" spans="1:19" x14ac:dyDescent="0.2">
      <c r="A3163" s="11" t="s">
        <v>36176</v>
      </c>
      <c r="B3163" s="9" t="s">
        <v>36177</v>
      </c>
      <c r="C3163" s="9" t="s">
        <v>36178</v>
      </c>
      <c r="D3163" s="9" t="s">
        <v>36179</v>
      </c>
      <c r="E3163" s="9" t="s">
        <v>17740</v>
      </c>
      <c r="F3163" s="9" t="s">
        <v>36180</v>
      </c>
      <c r="G3163" s="9" t="s">
        <v>17740</v>
      </c>
      <c r="H3163" s="11" t="s">
        <v>2363</v>
      </c>
      <c r="I3163" s="11" t="s">
        <v>2362</v>
      </c>
      <c r="J3163" s="11" t="s">
        <v>2362</v>
      </c>
      <c r="K3163" s="9" t="s">
        <v>25056</v>
      </c>
      <c r="L3163" s="9" t="s">
        <v>17759</v>
      </c>
      <c r="M3163" s="9" t="s">
        <v>18812</v>
      </c>
      <c r="N3163" s="9" t="s">
        <v>17746</v>
      </c>
      <c r="O3163" s="9" t="s">
        <v>773</v>
      </c>
      <c r="P3163" s="9" t="s">
        <v>17748</v>
      </c>
      <c r="Q3163" s="11" t="s">
        <v>18251</v>
      </c>
      <c r="R3163" s="11" t="s">
        <v>18251</v>
      </c>
      <c r="S3163" s="11" t="s">
        <v>17750</v>
      </c>
    </row>
    <row r="3164" spans="1:19" x14ac:dyDescent="0.2">
      <c r="A3164" s="11" t="s">
        <v>36181</v>
      </c>
      <c r="B3164" s="9" t="s">
        <v>36182</v>
      </c>
      <c r="C3164" s="9" t="s">
        <v>36183</v>
      </c>
      <c r="D3164" s="9" t="s">
        <v>36184</v>
      </c>
      <c r="E3164" s="9" t="s">
        <v>17740</v>
      </c>
      <c r="F3164" s="9" t="s">
        <v>17741</v>
      </c>
      <c r="G3164" s="9" t="s">
        <v>17740</v>
      </c>
      <c r="H3164" s="11" t="s">
        <v>36185</v>
      </c>
      <c r="I3164" s="11" t="s">
        <v>36186</v>
      </c>
      <c r="J3164" s="11" t="s">
        <v>36186</v>
      </c>
      <c r="K3164" s="9" t="s">
        <v>91</v>
      </c>
      <c r="L3164" s="9" t="s">
        <v>17744</v>
      </c>
      <c r="M3164" s="9" t="s">
        <v>17817</v>
      </c>
      <c r="N3164" s="9" t="s">
        <v>17746</v>
      </c>
      <c r="O3164" s="9" t="s">
        <v>19859</v>
      </c>
      <c r="P3164" s="9" t="s">
        <v>17748</v>
      </c>
      <c r="Q3164" s="11" t="s">
        <v>17937</v>
      </c>
      <c r="R3164" s="11" t="s">
        <v>17937</v>
      </c>
      <c r="S3164" s="11" t="s">
        <v>17750</v>
      </c>
    </row>
    <row r="3165" spans="1:19" x14ac:dyDescent="0.2">
      <c r="A3165" s="11" t="s">
        <v>36187</v>
      </c>
      <c r="B3165" s="9" t="s">
        <v>36188</v>
      </c>
      <c r="C3165" s="9" t="s">
        <v>36189</v>
      </c>
      <c r="D3165" s="9" t="s">
        <v>36190</v>
      </c>
      <c r="E3165" s="9" t="s">
        <v>17740</v>
      </c>
      <c r="F3165" s="9" t="s">
        <v>17741</v>
      </c>
      <c r="G3165" s="9" t="s">
        <v>17740</v>
      </c>
      <c r="H3165" s="11" t="s">
        <v>36191</v>
      </c>
      <c r="I3165" s="11" t="s">
        <v>17741</v>
      </c>
      <c r="J3165" s="11" t="s">
        <v>36191</v>
      </c>
      <c r="K3165" s="9" t="s">
        <v>36192</v>
      </c>
      <c r="L3165" s="9" t="s">
        <v>17759</v>
      </c>
      <c r="M3165" s="9" t="s">
        <v>17741</v>
      </c>
      <c r="N3165" s="9" t="s">
        <v>17746</v>
      </c>
      <c r="O3165" s="9" t="s">
        <v>19859</v>
      </c>
      <c r="P3165" s="9" t="s">
        <v>17748</v>
      </c>
      <c r="Q3165" s="11" t="s">
        <v>18922</v>
      </c>
      <c r="R3165" s="11" t="s">
        <v>18922</v>
      </c>
      <c r="S3165" s="11" t="s">
        <v>17750</v>
      </c>
    </row>
    <row r="3166" spans="1:19" x14ac:dyDescent="0.2">
      <c r="A3166" s="11" t="s">
        <v>36193</v>
      </c>
      <c r="B3166" s="9" t="s">
        <v>36194</v>
      </c>
      <c r="C3166" s="9" t="s">
        <v>36195</v>
      </c>
      <c r="D3166" s="9" t="s">
        <v>36196</v>
      </c>
      <c r="E3166" s="9" t="s">
        <v>17740</v>
      </c>
      <c r="F3166" s="9" t="s">
        <v>36197</v>
      </c>
      <c r="G3166" s="9" t="s">
        <v>17740</v>
      </c>
      <c r="H3166" s="11" t="s">
        <v>17741</v>
      </c>
      <c r="I3166" s="11" t="s">
        <v>36198</v>
      </c>
      <c r="J3166" s="11" t="s">
        <v>36198</v>
      </c>
      <c r="K3166" s="9" t="s">
        <v>36199</v>
      </c>
      <c r="L3166" s="9" t="s">
        <v>17759</v>
      </c>
      <c r="M3166" s="9" t="s">
        <v>17760</v>
      </c>
      <c r="N3166" s="9" t="s">
        <v>17746</v>
      </c>
      <c r="O3166" s="9" t="s">
        <v>19041</v>
      </c>
      <c r="P3166" s="9" t="s">
        <v>17748</v>
      </c>
      <c r="Q3166" s="11" t="s">
        <v>18251</v>
      </c>
      <c r="R3166" s="11" t="s">
        <v>18251</v>
      </c>
      <c r="S3166" s="11" t="s">
        <v>17750</v>
      </c>
    </row>
    <row r="3167" spans="1:19" x14ac:dyDescent="0.2">
      <c r="A3167" s="11" t="s">
        <v>36200</v>
      </c>
      <c r="B3167" s="9" t="s">
        <v>36201</v>
      </c>
      <c r="C3167" s="9" t="s">
        <v>36202</v>
      </c>
      <c r="D3167" s="9" t="s">
        <v>36203</v>
      </c>
      <c r="E3167" s="9" t="s">
        <v>17740</v>
      </c>
      <c r="F3167" s="9" t="s">
        <v>17741</v>
      </c>
      <c r="G3167" s="9" t="s">
        <v>17740</v>
      </c>
      <c r="H3167" s="11" t="s">
        <v>36204</v>
      </c>
      <c r="I3167" s="11" t="s">
        <v>17741</v>
      </c>
      <c r="J3167" s="11" t="s">
        <v>36204</v>
      </c>
      <c r="K3167" s="9" t="s">
        <v>36205</v>
      </c>
      <c r="L3167" s="9" t="s">
        <v>18158</v>
      </c>
      <c r="M3167" s="9" t="s">
        <v>17942</v>
      </c>
      <c r="N3167" s="9" t="s">
        <v>17746</v>
      </c>
      <c r="O3167" s="9" t="s">
        <v>22422</v>
      </c>
      <c r="P3167" s="9" t="s">
        <v>17748</v>
      </c>
      <c r="Q3167" s="11" t="s">
        <v>17780</v>
      </c>
      <c r="R3167" s="11" t="s">
        <v>17780</v>
      </c>
      <c r="S3167" s="11" t="s">
        <v>17750</v>
      </c>
    </row>
    <row r="3168" spans="1:19" x14ac:dyDescent="0.2">
      <c r="A3168" s="11" t="s">
        <v>36206</v>
      </c>
      <c r="B3168" s="9" t="s">
        <v>36207</v>
      </c>
      <c r="C3168" s="9" t="s">
        <v>36208</v>
      </c>
      <c r="D3168" s="9" t="s">
        <v>36209</v>
      </c>
      <c r="E3168" s="9" t="s">
        <v>17748</v>
      </c>
      <c r="F3168" s="9" t="s">
        <v>36210</v>
      </c>
      <c r="G3168" s="9" t="s">
        <v>17740</v>
      </c>
      <c r="H3168" s="11" t="s">
        <v>17741</v>
      </c>
      <c r="I3168" s="11" t="s">
        <v>17654</v>
      </c>
      <c r="J3168" s="11" t="s">
        <v>17741</v>
      </c>
      <c r="K3168" s="9" t="s">
        <v>36211</v>
      </c>
      <c r="L3168" s="9" t="s">
        <v>17958</v>
      </c>
      <c r="M3168" s="9" t="s">
        <v>17769</v>
      </c>
      <c r="N3168" s="9" t="s">
        <v>17746</v>
      </c>
      <c r="O3168" s="9" t="s">
        <v>36212</v>
      </c>
      <c r="P3168" s="9" t="s">
        <v>17748</v>
      </c>
      <c r="Q3168" s="11" t="s">
        <v>18089</v>
      </c>
      <c r="R3168" s="11" t="s">
        <v>18089</v>
      </c>
      <c r="S3168" s="11" t="s">
        <v>17750</v>
      </c>
    </row>
    <row r="3169" spans="1:19" x14ac:dyDescent="0.2">
      <c r="A3169" s="11" t="s">
        <v>36213</v>
      </c>
      <c r="B3169" s="9" t="s">
        <v>36214</v>
      </c>
      <c r="C3169" s="9" t="s">
        <v>36215</v>
      </c>
      <c r="D3169" s="9" t="s">
        <v>36216</v>
      </c>
      <c r="E3169" s="9" t="s">
        <v>17740</v>
      </c>
      <c r="F3169" s="9" t="s">
        <v>17741</v>
      </c>
      <c r="G3169" s="9" t="s">
        <v>17740</v>
      </c>
      <c r="H3169" s="11" t="s">
        <v>17741</v>
      </c>
      <c r="I3169" s="11" t="s">
        <v>9942</v>
      </c>
      <c r="J3169" s="11" t="s">
        <v>9942</v>
      </c>
      <c r="K3169" s="9" t="s">
        <v>26017</v>
      </c>
      <c r="L3169" s="9" t="s">
        <v>17744</v>
      </c>
      <c r="M3169" s="9" t="s">
        <v>18211</v>
      </c>
      <c r="N3169" s="9" t="s">
        <v>17746</v>
      </c>
      <c r="O3169" s="9" t="s">
        <v>3100</v>
      </c>
      <c r="P3169" s="9" t="s">
        <v>17748</v>
      </c>
      <c r="Q3169" s="11" t="s">
        <v>17994</v>
      </c>
      <c r="R3169" s="11" t="s">
        <v>17994</v>
      </c>
      <c r="S3169" s="11" t="s">
        <v>17750</v>
      </c>
    </row>
    <row r="3170" spans="1:19" x14ac:dyDescent="0.2">
      <c r="A3170" s="11" t="s">
        <v>36217</v>
      </c>
      <c r="B3170" s="9" t="s">
        <v>36218</v>
      </c>
      <c r="C3170" s="9" t="s">
        <v>36219</v>
      </c>
      <c r="D3170" s="9" t="s">
        <v>36220</v>
      </c>
      <c r="E3170" s="9" t="s">
        <v>17740</v>
      </c>
      <c r="F3170" s="9" t="s">
        <v>36221</v>
      </c>
      <c r="G3170" s="9" t="s">
        <v>17740</v>
      </c>
      <c r="H3170" s="11" t="s">
        <v>36222</v>
      </c>
      <c r="I3170" s="11" t="s">
        <v>36223</v>
      </c>
      <c r="J3170" s="11" t="s">
        <v>36223</v>
      </c>
      <c r="K3170" s="9" t="s">
        <v>36224</v>
      </c>
      <c r="L3170" s="9" t="s">
        <v>17950</v>
      </c>
      <c r="M3170" s="9" t="s">
        <v>17817</v>
      </c>
      <c r="N3170" s="9" t="s">
        <v>17746</v>
      </c>
      <c r="O3170" s="9" t="s">
        <v>19470</v>
      </c>
      <c r="P3170" s="9" t="s">
        <v>17748</v>
      </c>
      <c r="Q3170" s="11" t="s">
        <v>17984</v>
      </c>
      <c r="R3170" s="11" t="s">
        <v>17984</v>
      </c>
      <c r="S3170" s="11" t="s">
        <v>17750</v>
      </c>
    </row>
    <row r="3171" spans="1:19" x14ac:dyDescent="0.2">
      <c r="A3171" s="11" t="s">
        <v>36225</v>
      </c>
      <c r="B3171" s="9" t="s">
        <v>36226</v>
      </c>
      <c r="C3171" s="9" t="s">
        <v>36227</v>
      </c>
      <c r="D3171" s="9" t="s">
        <v>36228</v>
      </c>
      <c r="E3171" s="9" t="s">
        <v>17740</v>
      </c>
      <c r="F3171" s="9" t="s">
        <v>36229</v>
      </c>
      <c r="G3171" s="9" t="s">
        <v>17740</v>
      </c>
      <c r="H3171" s="11" t="s">
        <v>36230</v>
      </c>
      <c r="I3171" s="11" t="s">
        <v>36231</v>
      </c>
      <c r="J3171" s="11" t="s">
        <v>36231</v>
      </c>
      <c r="K3171" s="9" t="s">
        <v>291</v>
      </c>
      <c r="L3171" s="9" t="s">
        <v>17744</v>
      </c>
      <c r="M3171" s="9" t="s">
        <v>17760</v>
      </c>
      <c r="N3171" s="9" t="s">
        <v>17746</v>
      </c>
      <c r="O3171" s="9" t="s">
        <v>17834</v>
      </c>
      <c r="P3171" s="9" t="s">
        <v>17748</v>
      </c>
      <c r="Q3171" s="11" t="s">
        <v>18201</v>
      </c>
      <c r="R3171" s="11" t="s">
        <v>18201</v>
      </c>
      <c r="S3171" s="11" t="s">
        <v>17750</v>
      </c>
    </row>
    <row r="3172" spans="1:19" x14ac:dyDescent="0.2">
      <c r="A3172" s="11" t="s">
        <v>36232</v>
      </c>
      <c r="B3172" s="9" t="s">
        <v>36233</v>
      </c>
      <c r="C3172" s="9" t="s">
        <v>36234</v>
      </c>
      <c r="D3172" s="9" t="s">
        <v>36235</v>
      </c>
      <c r="E3172" s="9" t="s">
        <v>17740</v>
      </c>
      <c r="F3172" s="9" t="s">
        <v>36236</v>
      </c>
      <c r="G3172" s="9" t="s">
        <v>17740</v>
      </c>
      <c r="H3172" s="11" t="s">
        <v>10742</v>
      </c>
      <c r="I3172" s="11" t="s">
        <v>10741</v>
      </c>
      <c r="J3172" s="11" t="s">
        <v>10741</v>
      </c>
      <c r="K3172" s="9" t="s">
        <v>21721</v>
      </c>
      <c r="L3172" s="9" t="s">
        <v>17744</v>
      </c>
      <c r="M3172" s="9" t="s">
        <v>17760</v>
      </c>
      <c r="N3172" s="9" t="s">
        <v>17746</v>
      </c>
      <c r="O3172" s="9" t="s">
        <v>17834</v>
      </c>
      <c r="P3172" s="9" t="s">
        <v>17748</v>
      </c>
      <c r="Q3172" s="11" t="s">
        <v>17984</v>
      </c>
      <c r="R3172" s="11" t="s">
        <v>17984</v>
      </c>
      <c r="S3172" s="11" t="s">
        <v>17750</v>
      </c>
    </row>
    <row r="3173" spans="1:19" x14ac:dyDescent="0.2">
      <c r="A3173" s="11" t="s">
        <v>36237</v>
      </c>
      <c r="B3173" s="9" t="s">
        <v>36238</v>
      </c>
      <c r="C3173" s="9" t="s">
        <v>36239</v>
      </c>
      <c r="D3173" s="9" t="s">
        <v>36240</v>
      </c>
      <c r="E3173" s="9" t="s">
        <v>17740</v>
      </c>
      <c r="F3173" s="9" t="s">
        <v>36241</v>
      </c>
      <c r="G3173" s="9" t="s">
        <v>17740</v>
      </c>
      <c r="H3173" s="11" t="s">
        <v>5672</v>
      </c>
      <c r="I3173" s="11" t="s">
        <v>5671</v>
      </c>
      <c r="J3173" s="11" t="s">
        <v>5671</v>
      </c>
      <c r="K3173" s="9" t="s">
        <v>36242</v>
      </c>
      <c r="L3173" s="9" t="s">
        <v>17744</v>
      </c>
      <c r="M3173" s="9" t="s">
        <v>36243</v>
      </c>
      <c r="N3173" s="9" t="s">
        <v>17746</v>
      </c>
      <c r="O3173" s="9" t="s">
        <v>17834</v>
      </c>
      <c r="P3173" s="9" t="s">
        <v>17748</v>
      </c>
      <c r="Q3173" s="11" t="s">
        <v>18147</v>
      </c>
      <c r="R3173" s="11" t="s">
        <v>18147</v>
      </c>
      <c r="S3173" s="11" t="s">
        <v>17750</v>
      </c>
    </row>
    <row r="3174" spans="1:19" x14ac:dyDescent="0.2">
      <c r="A3174" s="11" t="s">
        <v>36244</v>
      </c>
      <c r="B3174" s="9" t="s">
        <v>36245</v>
      </c>
      <c r="C3174" s="9" t="s">
        <v>36246</v>
      </c>
      <c r="D3174" s="9" t="s">
        <v>36247</v>
      </c>
      <c r="E3174" s="9" t="s">
        <v>17740</v>
      </c>
      <c r="F3174" s="9" t="s">
        <v>17741</v>
      </c>
      <c r="G3174" s="9" t="s">
        <v>17740</v>
      </c>
      <c r="H3174" s="11" t="s">
        <v>2366</v>
      </c>
      <c r="I3174" s="11" t="s">
        <v>2365</v>
      </c>
      <c r="J3174" s="11" t="s">
        <v>2365</v>
      </c>
      <c r="K3174" s="9" t="s">
        <v>19447</v>
      </c>
      <c r="L3174" s="9" t="s">
        <v>17759</v>
      </c>
      <c r="M3174" s="9" t="s">
        <v>17769</v>
      </c>
      <c r="N3174" s="9" t="s">
        <v>17746</v>
      </c>
      <c r="O3174" s="9" t="s">
        <v>7317</v>
      </c>
      <c r="P3174" s="9" t="s">
        <v>17748</v>
      </c>
      <c r="Q3174" s="11" t="s">
        <v>18059</v>
      </c>
      <c r="R3174" s="11" t="s">
        <v>18059</v>
      </c>
      <c r="S3174" s="11" t="s">
        <v>17750</v>
      </c>
    </row>
    <row r="3175" spans="1:19" x14ac:dyDescent="0.2">
      <c r="A3175" s="11" t="s">
        <v>36248</v>
      </c>
      <c r="B3175" s="9" t="s">
        <v>36249</v>
      </c>
      <c r="C3175" s="9" t="s">
        <v>36250</v>
      </c>
      <c r="D3175" s="9" t="s">
        <v>36251</v>
      </c>
      <c r="E3175" s="9" t="s">
        <v>17748</v>
      </c>
      <c r="F3175" s="9" t="s">
        <v>36252</v>
      </c>
      <c r="G3175" s="9" t="s">
        <v>17740</v>
      </c>
      <c r="H3175" s="11" t="s">
        <v>6627</v>
      </c>
      <c r="I3175" s="11" t="s">
        <v>6626</v>
      </c>
      <c r="J3175" s="11" t="s">
        <v>6626</v>
      </c>
      <c r="K3175" s="9" t="s">
        <v>19202</v>
      </c>
      <c r="L3175" s="9" t="s">
        <v>17759</v>
      </c>
      <c r="M3175" s="9" t="s">
        <v>17817</v>
      </c>
      <c r="N3175" s="9" t="s">
        <v>17746</v>
      </c>
      <c r="O3175" s="9" t="s">
        <v>18882</v>
      </c>
      <c r="P3175" s="9" t="s">
        <v>17748</v>
      </c>
      <c r="Q3175" s="11" t="s">
        <v>19361</v>
      </c>
      <c r="R3175" s="11" t="s">
        <v>19361</v>
      </c>
      <c r="S3175" s="11" t="s">
        <v>17750</v>
      </c>
    </row>
    <row r="3176" spans="1:19" x14ac:dyDescent="0.2">
      <c r="A3176" s="11" t="s">
        <v>36253</v>
      </c>
      <c r="B3176" s="9" t="s">
        <v>36254</v>
      </c>
      <c r="C3176" s="9" t="s">
        <v>36255</v>
      </c>
      <c r="D3176" s="9" t="s">
        <v>36256</v>
      </c>
      <c r="E3176" s="9" t="s">
        <v>17740</v>
      </c>
      <c r="F3176" s="9" t="s">
        <v>36257</v>
      </c>
      <c r="G3176" s="9" t="s">
        <v>17740</v>
      </c>
      <c r="H3176" s="11" t="s">
        <v>4785</v>
      </c>
      <c r="I3176" s="11" t="s">
        <v>4784</v>
      </c>
      <c r="J3176" s="11" t="s">
        <v>4784</v>
      </c>
      <c r="K3176" s="9" t="s">
        <v>23527</v>
      </c>
      <c r="L3176" s="9" t="s">
        <v>17744</v>
      </c>
      <c r="M3176" s="9" t="s">
        <v>17817</v>
      </c>
      <c r="N3176" s="9" t="s">
        <v>17746</v>
      </c>
      <c r="O3176" s="9" t="s">
        <v>5938</v>
      </c>
      <c r="P3176" s="9" t="s">
        <v>17748</v>
      </c>
      <c r="Q3176" s="11" t="s">
        <v>17819</v>
      </c>
      <c r="R3176" s="11" t="s">
        <v>17819</v>
      </c>
      <c r="S3176" s="11" t="s">
        <v>17750</v>
      </c>
    </row>
    <row r="3177" spans="1:19" x14ac:dyDescent="0.2">
      <c r="A3177" s="11" t="s">
        <v>36258</v>
      </c>
      <c r="B3177" s="9" t="s">
        <v>36259</v>
      </c>
      <c r="C3177" s="9" t="s">
        <v>36260</v>
      </c>
      <c r="D3177" s="9" t="s">
        <v>36261</v>
      </c>
      <c r="E3177" s="9" t="s">
        <v>17740</v>
      </c>
      <c r="F3177" s="9" t="s">
        <v>36262</v>
      </c>
      <c r="G3177" s="9" t="s">
        <v>17740</v>
      </c>
      <c r="H3177" s="11" t="s">
        <v>17741</v>
      </c>
      <c r="I3177" s="11" t="s">
        <v>36263</v>
      </c>
      <c r="J3177" s="11" t="s">
        <v>36263</v>
      </c>
      <c r="K3177" s="9" t="s">
        <v>23527</v>
      </c>
      <c r="L3177" s="9" t="s">
        <v>17744</v>
      </c>
      <c r="M3177" s="9" t="s">
        <v>17942</v>
      </c>
      <c r="N3177" s="9" t="s">
        <v>17746</v>
      </c>
      <c r="O3177" s="9" t="s">
        <v>5938</v>
      </c>
      <c r="P3177" s="9" t="s">
        <v>17748</v>
      </c>
      <c r="Q3177" s="11" t="s">
        <v>17819</v>
      </c>
      <c r="R3177" s="11" t="s">
        <v>17819</v>
      </c>
      <c r="S3177" s="11" t="s">
        <v>17750</v>
      </c>
    </row>
    <row r="3178" spans="1:19" x14ac:dyDescent="0.2">
      <c r="A3178" s="11" t="s">
        <v>36264</v>
      </c>
      <c r="B3178" s="9" t="s">
        <v>36265</v>
      </c>
      <c r="C3178" s="9" t="s">
        <v>36266</v>
      </c>
      <c r="D3178" s="9" t="s">
        <v>36267</v>
      </c>
      <c r="E3178" s="9" t="s">
        <v>17740</v>
      </c>
      <c r="F3178" s="9" t="s">
        <v>17741</v>
      </c>
      <c r="G3178" s="9" t="s">
        <v>17740</v>
      </c>
      <c r="H3178" s="11" t="s">
        <v>2386</v>
      </c>
      <c r="I3178" s="11" t="s">
        <v>2385</v>
      </c>
      <c r="J3178" s="11" t="s">
        <v>2385</v>
      </c>
      <c r="K3178" s="9" t="s">
        <v>19447</v>
      </c>
      <c r="L3178" s="9" t="s">
        <v>17744</v>
      </c>
      <c r="M3178" s="9" t="s">
        <v>18065</v>
      </c>
      <c r="N3178" s="9" t="s">
        <v>17746</v>
      </c>
      <c r="O3178" s="9" t="s">
        <v>17993</v>
      </c>
      <c r="P3178" s="9" t="s">
        <v>17748</v>
      </c>
      <c r="Q3178" s="11" t="s">
        <v>19082</v>
      </c>
      <c r="R3178" s="11" t="s">
        <v>19082</v>
      </c>
      <c r="S3178" s="11" t="s">
        <v>17750</v>
      </c>
    </row>
    <row r="3179" spans="1:19" x14ac:dyDescent="0.2">
      <c r="A3179" s="11" t="s">
        <v>36268</v>
      </c>
      <c r="B3179" s="9" t="s">
        <v>36269</v>
      </c>
      <c r="C3179" s="9" t="s">
        <v>36270</v>
      </c>
      <c r="D3179" s="9" t="s">
        <v>36271</v>
      </c>
      <c r="E3179" s="9" t="s">
        <v>17740</v>
      </c>
      <c r="F3179" s="9" t="s">
        <v>17741</v>
      </c>
      <c r="G3179" s="9" t="s">
        <v>17740</v>
      </c>
      <c r="H3179" s="11" t="s">
        <v>36272</v>
      </c>
      <c r="I3179" s="11" t="s">
        <v>36273</v>
      </c>
      <c r="J3179" s="11" t="s">
        <v>36273</v>
      </c>
      <c r="K3179" s="9" t="s">
        <v>19447</v>
      </c>
      <c r="L3179" s="9" t="s">
        <v>17759</v>
      </c>
      <c r="M3179" s="9" t="s">
        <v>18109</v>
      </c>
      <c r="N3179" s="9" t="s">
        <v>17746</v>
      </c>
      <c r="O3179" s="9" t="s">
        <v>23651</v>
      </c>
      <c r="P3179" s="9" t="s">
        <v>17748</v>
      </c>
      <c r="Q3179" s="11" t="s">
        <v>18059</v>
      </c>
      <c r="R3179" s="11" t="s">
        <v>18059</v>
      </c>
      <c r="S3179" s="11" t="s">
        <v>17750</v>
      </c>
    </row>
    <row r="3180" spans="1:19" x14ac:dyDescent="0.2">
      <c r="A3180" s="11" t="s">
        <v>36274</v>
      </c>
      <c r="B3180" s="9" t="s">
        <v>36275</v>
      </c>
      <c r="C3180" s="9" t="s">
        <v>36276</v>
      </c>
      <c r="D3180" s="9" t="s">
        <v>36277</v>
      </c>
      <c r="E3180" s="9" t="s">
        <v>17740</v>
      </c>
      <c r="F3180" s="9" t="s">
        <v>36278</v>
      </c>
      <c r="G3180" s="9" t="s">
        <v>17740</v>
      </c>
      <c r="H3180" s="11" t="s">
        <v>36279</v>
      </c>
      <c r="I3180" s="11" t="s">
        <v>36280</v>
      </c>
      <c r="J3180" s="11" t="s">
        <v>36280</v>
      </c>
      <c r="K3180" s="9" t="s">
        <v>291</v>
      </c>
      <c r="L3180" s="9" t="s">
        <v>17744</v>
      </c>
      <c r="M3180" s="9" t="s">
        <v>36281</v>
      </c>
      <c r="N3180" s="9" t="s">
        <v>17746</v>
      </c>
      <c r="O3180" s="9" t="s">
        <v>17848</v>
      </c>
      <c r="P3180" s="9" t="s">
        <v>17748</v>
      </c>
      <c r="Q3180" s="11" t="s">
        <v>18147</v>
      </c>
      <c r="R3180" s="11" t="s">
        <v>18147</v>
      </c>
      <c r="S3180" s="11" t="s">
        <v>17750</v>
      </c>
    </row>
    <row r="3181" spans="1:19" x14ac:dyDescent="0.2">
      <c r="A3181" s="11" t="s">
        <v>36282</v>
      </c>
      <c r="B3181" s="9" t="s">
        <v>36283</v>
      </c>
      <c r="C3181" s="9" t="s">
        <v>36284</v>
      </c>
      <c r="D3181" s="9" t="s">
        <v>36285</v>
      </c>
      <c r="E3181" s="9" t="s">
        <v>17740</v>
      </c>
      <c r="F3181" s="9" t="s">
        <v>36286</v>
      </c>
      <c r="G3181" s="9" t="s">
        <v>17740</v>
      </c>
      <c r="H3181" s="11" t="s">
        <v>8056</v>
      </c>
      <c r="I3181" s="11" t="s">
        <v>8055</v>
      </c>
      <c r="J3181" s="11" t="s">
        <v>8055</v>
      </c>
      <c r="K3181" s="9" t="s">
        <v>17783</v>
      </c>
      <c r="L3181" s="9" t="s">
        <v>18001</v>
      </c>
      <c r="M3181" s="9" t="s">
        <v>20344</v>
      </c>
      <c r="N3181" s="9" t="s">
        <v>17746</v>
      </c>
      <c r="O3181" s="9" t="s">
        <v>18009</v>
      </c>
      <c r="P3181" s="9" t="s">
        <v>17748</v>
      </c>
      <c r="Q3181" s="11" t="s">
        <v>18272</v>
      </c>
      <c r="R3181" s="11" t="s">
        <v>18272</v>
      </c>
      <c r="S3181" s="11" t="s">
        <v>17750</v>
      </c>
    </row>
    <row r="3182" spans="1:19" x14ac:dyDescent="0.2">
      <c r="A3182" s="11" t="s">
        <v>36287</v>
      </c>
      <c r="B3182" s="9" t="s">
        <v>36288</v>
      </c>
      <c r="C3182" s="9" t="s">
        <v>36289</v>
      </c>
      <c r="D3182" s="9" t="s">
        <v>36290</v>
      </c>
      <c r="E3182" s="9" t="s">
        <v>17740</v>
      </c>
      <c r="F3182" s="9" t="s">
        <v>17741</v>
      </c>
      <c r="G3182" s="9" t="s">
        <v>17740</v>
      </c>
      <c r="H3182" s="11" t="s">
        <v>6464</v>
      </c>
      <c r="I3182" s="11" t="s">
        <v>6463</v>
      </c>
      <c r="J3182" s="11" t="s">
        <v>6463</v>
      </c>
      <c r="K3182" s="9" t="s">
        <v>17805</v>
      </c>
      <c r="L3182" s="9" t="s">
        <v>17759</v>
      </c>
      <c r="M3182" s="9" t="s">
        <v>18065</v>
      </c>
      <c r="N3182" s="9" t="s">
        <v>17746</v>
      </c>
      <c r="O3182" s="9" t="s">
        <v>18009</v>
      </c>
      <c r="P3182" s="9" t="s">
        <v>17748</v>
      </c>
      <c r="Q3182" s="11" t="s">
        <v>18678</v>
      </c>
      <c r="R3182" s="11" t="s">
        <v>18678</v>
      </c>
      <c r="S3182" s="11" t="s">
        <v>17750</v>
      </c>
    </row>
    <row r="3183" spans="1:19" x14ac:dyDescent="0.2">
      <c r="A3183" s="11" t="s">
        <v>36291</v>
      </c>
      <c r="B3183" s="9" t="s">
        <v>36292</v>
      </c>
      <c r="C3183" s="9" t="s">
        <v>36293</v>
      </c>
      <c r="D3183" s="9" t="s">
        <v>36294</v>
      </c>
      <c r="E3183" s="9" t="s">
        <v>17740</v>
      </c>
      <c r="F3183" s="9" t="s">
        <v>17741</v>
      </c>
      <c r="G3183" s="9" t="s">
        <v>17740</v>
      </c>
      <c r="H3183" s="11" t="s">
        <v>8181</v>
      </c>
      <c r="I3183" s="11" t="s">
        <v>8180</v>
      </c>
      <c r="J3183" s="11" t="s">
        <v>8180</v>
      </c>
      <c r="K3183" s="9" t="s">
        <v>8182</v>
      </c>
      <c r="L3183" s="9" t="s">
        <v>17759</v>
      </c>
      <c r="M3183" s="9" t="s">
        <v>28452</v>
      </c>
      <c r="N3183" s="9" t="s">
        <v>17746</v>
      </c>
      <c r="O3183" s="9" t="s">
        <v>18009</v>
      </c>
      <c r="P3183" s="9" t="s">
        <v>17748</v>
      </c>
      <c r="Q3183" s="11" t="s">
        <v>18678</v>
      </c>
      <c r="R3183" s="11" t="s">
        <v>18678</v>
      </c>
      <c r="S3183" s="11" t="s">
        <v>17750</v>
      </c>
    </row>
    <row r="3184" spans="1:19" x14ac:dyDescent="0.2">
      <c r="A3184" s="11" t="s">
        <v>36295</v>
      </c>
      <c r="B3184" s="9" t="s">
        <v>36296</v>
      </c>
      <c r="C3184" s="9" t="s">
        <v>36297</v>
      </c>
      <c r="D3184" s="9" t="s">
        <v>36298</v>
      </c>
      <c r="E3184" s="9" t="s">
        <v>17740</v>
      </c>
      <c r="F3184" s="9" t="s">
        <v>36299</v>
      </c>
      <c r="G3184" s="9" t="s">
        <v>17740</v>
      </c>
      <c r="H3184" s="11" t="s">
        <v>36300</v>
      </c>
      <c r="I3184" s="11" t="s">
        <v>36301</v>
      </c>
      <c r="J3184" s="11" t="s">
        <v>36301</v>
      </c>
      <c r="K3184" s="9" t="s">
        <v>601</v>
      </c>
      <c r="L3184" s="9" t="s">
        <v>17759</v>
      </c>
      <c r="M3184" s="9" t="s">
        <v>17769</v>
      </c>
      <c r="N3184" s="9" t="s">
        <v>17746</v>
      </c>
      <c r="O3184" s="9" t="s">
        <v>19859</v>
      </c>
      <c r="P3184" s="9" t="s">
        <v>17748</v>
      </c>
      <c r="Q3184" s="11" t="s">
        <v>18072</v>
      </c>
      <c r="R3184" s="11" t="s">
        <v>18072</v>
      </c>
      <c r="S3184" s="11" t="s">
        <v>17750</v>
      </c>
    </row>
    <row r="3185" spans="1:19" x14ac:dyDescent="0.2">
      <c r="A3185" s="11" t="s">
        <v>36302</v>
      </c>
      <c r="B3185" s="9" t="s">
        <v>36303</v>
      </c>
      <c r="C3185" s="9" t="s">
        <v>36304</v>
      </c>
      <c r="D3185" s="9" t="s">
        <v>36305</v>
      </c>
      <c r="E3185" s="9" t="s">
        <v>17740</v>
      </c>
      <c r="F3185" s="9" t="s">
        <v>17741</v>
      </c>
      <c r="G3185" s="9" t="s">
        <v>17740</v>
      </c>
      <c r="H3185" s="11" t="s">
        <v>17741</v>
      </c>
      <c r="I3185" s="11" t="s">
        <v>5528</v>
      </c>
      <c r="J3185" s="11" t="s">
        <v>5528</v>
      </c>
      <c r="K3185" s="9" t="s">
        <v>36306</v>
      </c>
      <c r="L3185" s="9" t="s">
        <v>18439</v>
      </c>
      <c r="M3185" s="9" t="s">
        <v>36307</v>
      </c>
      <c r="N3185" s="9" t="s">
        <v>17746</v>
      </c>
      <c r="O3185" s="9" t="s">
        <v>18882</v>
      </c>
      <c r="P3185" s="9" t="s">
        <v>17748</v>
      </c>
      <c r="Q3185" s="11" t="s">
        <v>18080</v>
      </c>
      <c r="R3185" s="11" t="s">
        <v>18080</v>
      </c>
      <c r="S3185" s="11" t="s">
        <v>17750</v>
      </c>
    </row>
    <row r="3186" spans="1:19" x14ac:dyDescent="0.2">
      <c r="A3186" s="11" t="s">
        <v>36308</v>
      </c>
      <c r="B3186" s="9" t="s">
        <v>36309</v>
      </c>
      <c r="C3186" s="9" t="s">
        <v>36310</v>
      </c>
      <c r="D3186" s="9" t="s">
        <v>36311</v>
      </c>
      <c r="E3186" s="9" t="s">
        <v>17740</v>
      </c>
      <c r="F3186" s="9" t="s">
        <v>17741</v>
      </c>
      <c r="G3186" s="9" t="s">
        <v>17740</v>
      </c>
      <c r="H3186" s="11" t="s">
        <v>36312</v>
      </c>
      <c r="I3186" s="11" t="s">
        <v>36313</v>
      </c>
      <c r="J3186" s="11" t="s">
        <v>36313</v>
      </c>
      <c r="K3186" s="9" t="s">
        <v>970</v>
      </c>
      <c r="L3186" s="9" t="s">
        <v>20082</v>
      </c>
      <c r="M3186" s="9" t="s">
        <v>17760</v>
      </c>
      <c r="N3186" s="9" t="s">
        <v>17746</v>
      </c>
      <c r="O3186" s="9" t="s">
        <v>18340</v>
      </c>
      <c r="P3186" s="9" t="s">
        <v>17748</v>
      </c>
      <c r="Q3186" s="11" t="s">
        <v>17900</v>
      </c>
      <c r="R3186" s="11" t="s">
        <v>17900</v>
      </c>
      <c r="S3186" s="11" t="s">
        <v>17750</v>
      </c>
    </row>
    <row r="3187" spans="1:19" x14ac:dyDescent="0.2">
      <c r="A3187" s="11" t="s">
        <v>36314</v>
      </c>
      <c r="B3187" s="9" t="s">
        <v>36315</v>
      </c>
      <c r="C3187" s="9" t="s">
        <v>36316</v>
      </c>
      <c r="D3187" s="9" t="s">
        <v>36317</v>
      </c>
      <c r="E3187" s="9" t="s">
        <v>17740</v>
      </c>
      <c r="F3187" s="9" t="s">
        <v>36318</v>
      </c>
      <c r="G3187" s="9" t="s">
        <v>17740</v>
      </c>
      <c r="H3187" s="11" t="s">
        <v>2372</v>
      </c>
      <c r="I3187" s="11" t="s">
        <v>2371</v>
      </c>
      <c r="J3187" s="11" t="s">
        <v>2371</v>
      </c>
      <c r="K3187" s="9" t="s">
        <v>315</v>
      </c>
      <c r="L3187" s="9" t="s">
        <v>17759</v>
      </c>
      <c r="M3187" s="9" t="s">
        <v>36319</v>
      </c>
      <c r="N3187" s="9" t="s">
        <v>17746</v>
      </c>
      <c r="O3187" s="9" t="s">
        <v>5790</v>
      </c>
      <c r="P3187" s="9" t="s">
        <v>17748</v>
      </c>
      <c r="Q3187" s="11" t="s">
        <v>21578</v>
      </c>
      <c r="R3187" s="11" t="s">
        <v>21578</v>
      </c>
      <c r="S3187" s="11" t="s">
        <v>17750</v>
      </c>
    </row>
    <row r="3188" spans="1:19" x14ac:dyDescent="0.2">
      <c r="A3188" s="11" t="s">
        <v>36320</v>
      </c>
      <c r="B3188" s="9" t="s">
        <v>36321</v>
      </c>
      <c r="C3188" s="9" t="s">
        <v>36322</v>
      </c>
      <c r="D3188" s="9" t="s">
        <v>36323</v>
      </c>
      <c r="E3188" s="9" t="s">
        <v>17740</v>
      </c>
      <c r="F3188" s="9" t="s">
        <v>17741</v>
      </c>
      <c r="G3188" s="9" t="s">
        <v>17740</v>
      </c>
      <c r="H3188" s="11" t="s">
        <v>7213</v>
      </c>
      <c r="I3188" s="11" t="s">
        <v>7212</v>
      </c>
      <c r="J3188" s="11" t="s">
        <v>7212</v>
      </c>
      <c r="K3188" s="9" t="s">
        <v>315</v>
      </c>
      <c r="L3188" s="9" t="s">
        <v>17759</v>
      </c>
      <c r="M3188" s="9" t="s">
        <v>18211</v>
      </c>
      <c r="N3188" s="9" t="s">
        <v>17746</v>
      </c>
      <c r="O3188" s="9" t="s">
        <v>5790</v>
      </c>
      <c r="P3188" s="9" t="s">
        <v>17748</v>
      </c>
      <c r="Q3188" s="11" t="s">
        <v>18201</v>
      </c>
      <c r="R3188" s="11" t="s">
        <v>18201</v>
      </c>
      <c r="S3188" s="11" t="s">
        <v>17750</v>
      </c>
    </row>
    <row r="3189" spans="1:19" x14ac:dyDescent="0.2">
      <c r="A3189" s="11" t="s">
        <v>36324</v>
      </c>
      <c r="B3189" s="9" t="s">
        <v>36325</v>
      </c>
      <c r="C3189" s="9" t="s">
        <v>36326</v>
      </c>
      <c r="D3189" s="9" t="s">
        <v>36327</v>
      </c>
      <c r="E3189" s="9" t="s">
        <v>17748</v>
      </c>
      <c r="F3189" s="9" t="s">
        <v>36328</v>
      </c>
      <c r="G3189" s="9" t="s">
        <v>17740</v>
      </c>
      <c r="H3189" s="11" t="s">
        <v>7343</v>
      </c>
      <c r="I3189" s="11" t="s">
        <v>7342</v>
      </c>
      <c r="J3189" s="11" t="s">
        <v>7342</v>
      </c>
      <c r="K3189" s="9" t="s">
        <v>35072</v>
      </c>
      <c r="L3189" s="9" t="s">
        <v>18959</v>
      </c>
      <c r="M3189" s="9" t="s">
        <v>18513</v>
      </c>
      <c r="N3189" s="9" t="s">
        <v>17746</v>
      </c>
      <c r="O3189" s="9" t="s">
        <v>17993</v>
      </c>
      <c r="P3189" s="9" t="s">
        <v>17748</v>
      </c>
      <c r="Q3189" s="11" t="s">
        <v>17808</v>
      </c>
      <c r="R3189" s="11" t="s">
        <v>17808</v>
      </c>
      <c r="S3189" s="11" t="s">
        <v>17750</v>
      </c>
    </row>
    <row r="3190" spans="1:19" x14ac:dyDescent="0.2">
      <c r="A3190" s="11" t="s">
        <v>36329</v>
      </c>
      <c r="B3190" s="9" t="s">
        <v>36330</v>
      </c>
      <c r="C3190" s="9" t="s">
        <v>36331</v>
      </c>
      <c r="D3190" s="9" t="s">
        <v>36332</v>
      </c>
      <c r="E3190" s="9" t="s">
        <v>17740</v>
      </c>
      <c r="F3190" s="9" t="s">
        <v>17741</v>
      </c>
      <c r="G3190" s="9" t="s">
        <v>17740</v>
      </c>
      <c r="H3190" s="11" t="s">
        <v>4730</v>
      </c>
      <c r="I3190" s="11" t="s">
        <v>4729</v>
      </c>
      <c r="J3190" s="11" t="s">
        <v>4729</v>
      </c>
      <c r="K3190" s="9" t="s">
        <v>291</v>
      </c>
      <c r="L3190" s="9" t="s">
        <v>17744</v>
      </c>
      <c r="M3190" s="9" t="s">
        <v>21309</v>
      </c>
      <c r="N3190" s="9" t="s">
        <v>17746</v>
      </c>
      <c r="O3190" s="9" t="s">
        <v>18035</v>
      </c>
      <c r="P3190" s="9" t="s">
        <v>17748</v>
      </c>
      <c r="Q3190" s="11" t="s">
        <v>18678</v>
      </c>
      <c r="R3190" s="11" t="s">
        <v>18678</v>
      </c>
      <c r="S3190" s="11" t="s">
        <v>17750</v>
      </c>
    </row>
    <row r="3191" spans="1:19" x14ac:dyDescent="0.2">
      <c r="A3191" s="11" t="s">
        <v>36333</v>
      </c>
      <c r="B3191" s="9" t="s">
        <v>36334</v>
      </c>
      <c r="C3191" s="9" t="s">
        <v>36335</v>
      </c>
      <c r="D3191" s="9" t="s">
        <v>36336</v>
      </c>
      <c r="E3191" s="9" t="s">
        <v>17748</v>
      </c>
      <c r="F3191" s="9" t="s">
        <v>36337</v>
      </c>
      <c r="G3191" s="9" t="s">
        <v>17740</v>
      </c>
      <c r="H3191" s="11" t="s">
        <v>36338</v>
      </c>
      <c r="I3191" s="11" t="s">
        <v>36339</v>
      </c>
      <c r="J3191" s="11" t="s">
        <v>36339</v>
      </c>
      <c r="K3191" s="9" t="s">
        <v>36340</v>
      </c>
      <c r="L3191" s="9" t="s">
        <v>18158</v>
      </c>
      <c r="M3191" s="9" t="s">
        <v>17760</v>
      </c>
      <c r="N3191" s="9" t="s">
        <v>17746</v>
      </c>
      <c r="O3191" s="9" t="s">
        <v>23240</v>
      </c>
      <c r="P3191" s="9" t="s">
        <v>17748</v>
      </c>
      <c r="Q3191" s="11" t="s">
        <v>17994</v>
      </c>
      <c r="R3191" s="11" t="s">
        <v>17994</v>
      </c>
      <c r="S3191" s="11" t="s">
        <v>17750</v>
      </c>
    </row>
    <row r="3192" spans="1:19" x14ac:dyDescent="0.2">
      <c r="A3192" s="11" t="s">
        <v>36341</v>
      </c>
      <c r="B3192" s="9" t="s">
        <v>36342</v>
      </c>
      <c r="C3192" s="9" t="s">
        <v>36343</v>
      </c>
      <c r="D3192" s="9" t="s">
        <v>36344</v>
      </c>
      <c r="E3192" s="9" t="s">
        <v>17748</v>
      </c>
      <c r="F3192" s="9" t="s">
        <v>36345</v>
      </c>
      <c r="G3192" s="9" t="s">
        <v>17740</v>
      </c>
      <c r="H3192" s="11" t="s">
        <v>36346</v>
      </c>
      <c r="I3192" s="11" t="s">
        <v>36347</v>
      </c>
      <c r="J3192" s="11" t="s">
        <v>36347</v>
      </c>
      <c r="K3192" s="9" t="s">
        <v>12671</v>
      </c>
      <c r="L3192" s="9" t="s">
        <v>20598</v>
      </c>
      <c r="M3192" s="9" t="s">
        <v>17769</v>
      </c>
      <c r="N3192" s="9" t="s">
        <v>36348</v>
      </c>
      <c r="O3192" s="9" t="s">
        <v>17800</v>
      </c>
      <c r="P3192" s="9" t="s">
        <v>17748</v>
      </c>
      <c r="Q3192" s="11" t="s">
        <v>18370</v>
      </c>
      <c r="R3192" s="11" t="s">
        <v>18370</v>
      </c>
      <c r="S3192" s="11" t="s">
        <v>17750</v>
      </c>
    </row>
    <row r="3193" spans="1:19" x14ac:dyDescent="0.2">
      <c r="A3193" s="11" t="s">
        <v>36349</v>
      </c>
      <c r="B3193" s="9" t="s">
        <v>36350</v>
      </c>
      <c r="C3193" s="9" t="s">
        <v>36351</v>
      </c>
      <c r="D3193" s="9" t="s">
        <v>36352</v>
      </c>
      <c r="E3193" s="9" t="s">
        <v>17740</v>
      </c>
      <c r="F3193" s="9" t="s">
        <v>17741</v>
      </c>
      <c r="G3193" s="9" t="s">
        <v>17740</v>
      </c>
      <c r="H3193" s="11" t="s">
        <v>36353</v>
      </c>
      <c r="I3193" s="11" t="s">
        <v>36354</v>
      </c>
      <c r="J3193" s="11" t="s">
        <v>36354</v>
      </c>
      <c r="K3193" s="9" t="s">
        <v>36355</v>
      </c>
      <c r="L3193" s="9" t="s">
        <v>20598</v>
      </c>
      <c r="M3193" s="9" t="s">
        <v>21309</v>
      </c>
      <c r="N3193" s="9" t="s">
        <v>17746</v>
      </c>
      <c r="O3193" s="9" t="s">
        <v>17993</v>
      </c>
      <c r="P3193" s="9" t="s">
        <v>17748</v>
      </c>
      <c r="Q3193" s="11" t="s">
        <v>18059</v>
      </c>
      <c r="R3193" s="11" t="s">
        <v>18059</v>
      </c>
      <c r="S3193" s="11" t="s">
        <v>17750</v>
      </c>
    </row>
    <row r="3194" spans="1:19" x14ac:dyDescent="0.2">
      <c r="A3194" s="11" t="s">
        <v>36356</v>
      </c>
      <c r="B3194" s="9" t="s">
        <v>36357</v>
      </c>
      <c r="C3194" s="9" t="s">
        <v>36358</v>
      </c>
      <c r="D3194" s="9" t="s">
        <v>36359</v>
      </c>
      <c r="E3194" s="9" t="s">
        <v>17740</v>
      </c>
      <c r="F3194" s="9" t="s">
        <v>36360</v>
      </c>
      <c r="G3194" s="9" t="s">
        <v>17740</v>
      </c>
      <c r="H3194" s="11" t="s">
        <v>2416</v>
      </c>
      <c r="I3194" s="11" t="s">
        <v>2415</v>
      </c>
      <c r="J3194" s="11" t="s">
        <v>2415</v>
      </c>
      <c r="K3194" s="9" t="s">
        <v>36361</v>
      </c>
      <c r="L3194" s="9" t="s">
        <v>17744</v>
      </c>
      <c r="M3194" s="9" t="s">
        <v>36362</v>
      </c>
      <c r="N3194" s="9" t="s">
        <v>17746</v>
      </c>
      <c r="O3194" s="9" t="s">
        <v>26827</v>
      </c>
      <c r="P3194" s="9" t="s">
        <v>17748</v>
      </c>
      <c r="Q3194" s="11" t="s">
        <v>19026</v>
      </c>
      <c r="R3194" s="11" t="s">
        <v>19026</v>
      </c>
      <c r="S3194" s="11" t="s">
        <v>17750</v>
      </c>
    </row>
    <row r="3195" spans="1:19" x14ac:dyDescent="0.2">
      <c r="A3195" s="11" t="s">
        <v>36363</v>
      </c>
      <c r="B3195" s="9" t="s">
        <v>36364</v>
      </c>
      <c r="C3195" s="9" t="s">
        <v>36365</v>
      </c>
      <c r="D3195" s="9" t="s">
        <v>36366</v>
      </c>
      <c r="E3195" s="9" t="s">
        <v>17740</v>
      </c>
      <c r="F3195" s="9" t="s">
        <v>36367</v>
      </c>
      <c r="G3195" s="9" t="s">
        <v>17740</v>
      </c>
      <c r="H3195" s="11" t="s">
        <v>15383</v>
      </c>
      <c r="I3195" s="11" t="s">
        <v>17741</v>
      </c>
      <c r="J3195" s="11" t="s">
        <v>17741</v>
      </c>
      <c r="K3195" s="9" t="s">
        <v>18520</v>
      </c>
      <c r="L3195" s="9" t="s">
        <v>17759</v>
      </c>
      <c r="M3195" s="9" t="s">
        <v>18065</v>
      </c>
      <c r="N3195" s="9" t="s">
        <v>17746</v>
      </c>
      <c r="O3195" s="9" t="s">
        <v>20498</v>
      </c>
      <c r="P3195" s="9" t="s">
        <v>17748</v>
      </c>
      <c r="Q3195" s="11" t="s">
        <v>17909</v>
      </c>
      <c r="R3195" s="11" t="s">
        <v>17909</v>
      </c>
      <c r="S3195" s="11" t="s">
        <v>17750</v>
      </c>
    </row>
    <row r="3196" spans="1:19" x14ac:dyDescent="0.2">
      <c r="A3196" s="11" t="s">
        <v>36368</v>
      </c>
      <c r="B3196" s="9" t="s">
        <v>36369</v>
      </c>
      <c r="C3196" s="9" t="s">
        <v>36370</v>
      </c>
      <c r="D3196" s="9" t="s">
        <v>36371</v>
      </c>
      <c r="E3196" s="9" t="s">
        <v>17748</v>
      </c>
      <c r="F3196" s="9" t="s">
        <v>36372</v>
      </c>
      <c r="G3196" s="9" t="s">
        <v>17740</v>
      </c>
      <c r="H3196" s="11" t="s">
        <v>11547</v>
      </c>
      <c r="I3196" s="11" t="s">
        <v>11546</v>
      </c>
      <c r="J3196" s="11" t="s">
        <v>11546</v>
      </c>
      <c r="K3196" s="9" t="s">
        <v>19180</v>
      </c>
      <c r="L3196" s="9" t="s">
        <v>17759</v>
      </c>
      <c r="M3196" s="9" t="s">
        <v>34665</v>
      </c>
      <c r="N3196" s="9" t="s">
        <v>17746</v>
      </c>
      <c r="O3196" s="9" t="s">
        <v>18035</v>
      </c>
      <c r="P3196" s="9" t="s">
        <v>17748</v>
      </c>
      <c r="Q3196" s="11" t="s">
        <v>18272</v>
      </c>
      <c r="R3196" s="11" t="s">
        <v>18272</v>
      </c>
      <c r="S3196" s="11" t="s">
        <v>17750</v>
      </c>
    </row>
    <row r="3197" spans="1:19" x14ac:dyDescent="0.2">
      <c r="A3197" s="11" t="s">
        <v>36373</v>
      </c>
      <c r="B3197" s="9" t="s">
        <v>36374</v>
      </c>
      <c r="C3197" s="9" t="s">
        <v>36375</v>
      </c>
      <c r="D3197" s="9" t="s">
        <v>36376</v>
      </c>
      <c r="E3197" s="9" t="s">
        <v>17740</v>
      </c>
      <c r="F3197" s="9" t="s">
        <v>36377</v>
      </c>
      <c r="G3197" s="9" t="s">
        <v>17740</v>
      </c>
      <c r="H3197" s="11" t="s">
        <v>2422</v>
      </c>
      <c r="I3197" s="11" t="s">
        <v>2421</v>
      </c>
      <c r="J3197" s="11" t="s">
        <v>2421</v>
      </c>
      <c r="K3197" s="9" t="s">
        <v>724</v>
      </c>
      <c r="L3197" s="9" t="s">
        <v>17744</v>
      </c>
      <c r="M3197" s="9" t="s">
        <v>17817</v>
      </c>
      <c r="N3197" s="9" t="s">
        <v>17746</v>
      </c>
      <c r="O3197" s="9" t="s">
        <v>18418</v>
      </c>
      <c r="P3197" s="9" t="s">
        <v>17748</v>
      </c>
      <c r="Q3197" s="11" t="s">
        <v>19866</v>
      </c>
      <c r="R3197" s="11" t="s">
        <v>19866</v>
      </c>
      <c r="S3197" s="11" t="s">
        <v>17750</v>
      </c>
    </row>
    <row r="3198" spans="1:19" x14ac:dyDescent="0.2">
      <c r="A3198" s="11" t="s">
        <v>36378</v>
      </c>
      <c r="B3198" s="9" t="s">
        <v>36379</v>
      </c>
      <c r="C3198" s="9" t="s">
        <v>36380</v>
      </c>
      <c r="D3198" s="9" t="s">
        <v>36381</v>
      </c>
      <c r="E3198" s="9" t="s">
        <v>17740</v>
      </c>
      <c r="F3198" s="9" t="s">
        <v>17741</v>
      </c>
      <c r="G3198" s="9" t="s">
        <v>17740</v>
      </c>
      <c r="H3198" s="11" t="s">
        <v>17741</v>
      </c>
      <c r="I3198" s="11" t="s">
        <v>36382</v>
      </c>
      <c r="J3198" s="11" t="s">
        <v>36382</v>
      </c>
      <c r="K3198" s="9" t="s">
        <v>36383</v>
      </c>
      <c r="L3198" s="9" t="s">
        <v>17744</v>
      </c>
      <c r="M3198" s="9" t="s">
        <v>17942</v>
      </c>
      <c r="N3198" s="9" t="s">
        <v>17746</v>
      </c>
      <c r="O3198" s="9" t="s">
        <v>18418</v>
      </c>
      <c r="P3198" s="9" t="s">
        <v>17748</v>
      </c>
      <c r="Q3198" s="11" t="s">
        <v>19335</v>
      </c>
      <c r="R3198" s="11" t="s">
        <v>19335</v>
      </c>
      <c r="S3198" s="11" t="s">
        <v>17750</v>
      </c>
    </row>
    <row r="3199" spans="1:19" x14ac:dyDescent="0.2">
      <c r="A3199" s="11" t="s">
        <v>36384</v>
      </c>
      <c r="B3199" s="9" t="s">
        <v>36385</v>
      </c>
      <c r="C3199" s="9" t="s">
        <v>36386</v>
      </c>
      <c r="D3199" s="9" t="s">
        <v>36387</v>
      </c>
      <c r="E3199" s="9" t="s">
        <v>17740</v>
      </c>
      <c r="F3199" s="9" t="s">
        <v>17741</v>
      </c>
      <c r="G3199" s="9" t="s">
        <v>17740</v>
      </c>
      <c r="H3199" s="11" t="s">
        <v>17741</v>
      </c>
      <c r="I3199" s="11" t="s">
        <v>36388</v>
      </c>
      <c r="J3199" s="11" t="s">
        <v>36388</v>
      </c>
      <c r="K3199" s="9" t="s">
        <v>36389</v>
      </c>
      <c r="L3199" s="9" t="s">
        <v>17759</v>
      </c>
      <c r="M3199" s="9" t="s">
        <v>18051</v>
      </c>
      <c r="N3199" s="9" t="s">
        <v>17746</v>
      </c>
      <c r="O3199" s="9" t="s">
        <v>20557</v>
      </c>
      <c r="P3199" s="9" t="s">
        <v>17748</v>
      </c>
      <c r="Q3199" s="11" t="s">
        <v>18059</v>
      </c>
      <c r="R3199" s="11" t="s">
        <v>18059</v>
      </c>
      <c r="S3199" s="11" t="s">
        <v>17750</v>
      </c>
    </row>
    <row r="3200" spans="1:19" x14ac:dyDescent="0.2">
      <c r="A3200" s="11" t="s">
        <v>36390</v>
      </c>
      <c r="B3200" s="9" t="s">
        <v>36391</v>
      </c>
      <c r="C3200" s="9" t="s">
        <v>36392</v>
      </c>
      <c r="D3200" s="9" t="s">
        <v>36393</v>
      </c>
      <c r="E3200" s="9" t="s">
        <v>17740</v>
      </c>
      <c r="F3200" s="9" t="s">
        <v>17741</v>
      </c>
      <c r="G3200" s="9" t="s">
        <v>17740</v>
      </c>
      <c r="H3200" s="11" t="s">
        <v>17741</v>
      </c>
      <c r="I3200" s="11" t="s">
        <v>36394</v>
      </c>
      <c r="J3200" s="11" t="s">
        <v>36394</v>
      </c>
      <c r="K3200" s="9" t="s">
        <v>36395</v>
      </c>
      <c r="L3200" s="9" t="s">
        <v>20082</v>
      </c>
      <c r="M3200" s="9" t="s">
        <v>17760</v>
      </c>
      <c r="N3200" s="9" t="s">
        <v>17746</v>
      </c>
      <c r="O3200" s="9" t="s">
        <v>19275</v>
      </c>
      <c r="P3200" s="9" t="s">
        <v>17748</v>
      </c>
      <c r="Q3200" s="11" t="s">
        <v>17792</v>
      </c>
      <c r="R3200" s="11" t="s">
        <v>17792</v>
      </c>
      <c r="S3200" s="11" t="s">
        <v>17750</v>
      </c>
    </row>
    <row r="3201" spans="1:19" x14ac:dyDescent="0.2">
      <c r="A3201" s="11" t="s">
        <v>36396</v>
      </c>
      <c r="B3201" s="9" t="s">
        <v>36397</v>
      </c>
      <c r="C3201" s="9" t="s">
        <v>36398</v>
      </c>
      <c r="D3201" s="9" t="s">
        <v>36399</v>
      </c>
      <c r="E3201" s="9" t="s">
        <v>17740</v>
      </c>
      <c r="F3201" s="9" t="s">
        <v>36400</v>
      </c>
      <c r="G3201" s="9" t="s">
        <v>17740</v>
      </c>
      <c r="H3201" s="11" t="s">
        <v>36401</v>
      </c>
      <c r="I3201" s="11" t="s">
        <v>36402</v>
      </c>
      <c r="J3201" s="11" t="s">
        <v>36402</v>
      </c>
      <c r="K3201" s="9" t="s">
        <v>21146</v>
      </c>
      <c r="L3201" s="9" t="s">
        <v>17744</v>
      </c>
      <c r="M3201" s="9" t="s">
        <v>17760</v>
      </c>
      <c r="N3201" s="9" t="s">
        <v>17746</v>
      </c>
      <c r="O3201" s="9" t="s">
        <v>36403</v>
      </c>
      <c r="P3201" s="9" t="s">
        <v>17748</v>
      </c>
      <c r="Q3201" s="11" t="s">
        <v>17792</v>
      </c>
      <c r="R3201" s="11" t="s">
        <v>17792</v>
      </c>
      <c r="S3201" s="11" t="s">
        <v>17750</v>
      </c>
    </row>
    <row r="3202" spans="1:19" x14ac:dyDescent="0.2">
      <c r="A3202" s="11" t="s">
        <v>36404</v>
      </c>
      <c r="B3202" s="9" t="s">
        <v>36405</v>
      </c>
      <c r="C3202" s="9" t="s">
        <v>36406</v>
      </c>
      <c r="D3202" s="9" t="s">
        <v>36407</v>
      </c>
      <c r="E3202" s="9" t="s">
        <v>17740</v>
      </c>
      <c r="F3202" s="9" t="s">
        <v>17741</v>
      </c>
      <c r="G3202" s="9" t="s">
        <v>17740</v>
      </c>
      <c r="H3202" s="11" t="s">
        <v>36408</v>
      </c>
      <c r="I3202" s="11" t="s">
        <v>36409</v>
      </c>
      <c r="J3202" s="11" t="s">
        <v>36409</v>
      </c>
      <c r="K3202" s="9" t="s">
        <v>36410</v>
      </c>
      <c r="L3202" s="9" t="s">
        <v>17759</v>
      </c>
      <c r="M3202" s="9" t="s">
        <v>22301</v>
      </c>
      <c r="N3202" s="9" t="s">
        <v>17746</v>
      </c>
      <c r="O3202" s="9" t="s">
        <v>18514</v>
      </c>
      <c r="P3202" s="9" t="s">
        <v>17748</v>
      </c>
      <c r="Q3202" s="11" t="s">
        <v>17883</v>
      </c>
      <c r="R3202" s="11" t="s">
        <v>17883</v>
      </c>
      <c r="S3202" s="11" t="s">
        <v>17750</v>
      </c>
    </row>
    <row r="3203" spans="1:19" x14ac:dyDescent="0.2">
      <c r="A3203" s="11" t="s">
        <v>36411</v>
      </c>
      <c r="B3203" s="9" t="s">
        <v>36412</v>
      </c>
      <c r="C3203" s="9" t="s">
        <v>36413</v>
      </c>
      <c r="D3203" s="9" t="s">
        <v>36414</v>
      </c>
      <c r="E3203" s="9" t="s">
        <v>17740</v>
      </c>
      <c r="F3203" s="9" t="s">
        <v>17741</v>
      </c>
      <c r="G3203" s="9" t="s">
        <v>17740</v>
      </c>
      <c r="H3203" s="11" t="s">
        <v>36415</v>
      </c>
      <c r="I3203" s="11" t="s">
        <v>36416</v>
      </c>
      <c r="J3203" s="11" t="s">
        <v>36416</v>
      </c>
      <c r="K3203" s="9" t="s">
        <v>18404</v>
      </c>
      <c r="L3203" s="9" t="s">
        <v>17759</v>
      </c>
      <c r="M3203" s="9" t="s">
        <v>17760</v>
      </c>
      <c r="N3203" s="9" t="s">
        <v>17746</v>
      </c>
      <c r="O3203" s="9" t="s">
        <v>19275</v>
      </c>
      <c r="P3203" s="9" t="s">
        <v>17748</v>
      </c>
      <c r="Q3203" s="11" t="s">
        <v>18251</v>
      </c>
      <c r="R3203" s="11" t="s">
        <v>18251</v>
      </c>
      <c r="S3203" s="11" t="s">
        <v>17750</v>
      </c>
    </row>
    <row r="3204" spans="1:19" x14ac:dyDescent="0.2">
      <c r="A3204" s="11" t="s">
        <v>36417</v>
      </c>
      <c r="B3204" s="9" t="s">
        <v>36418</v>
      </c>
      <c r="C3204" s="9" t="s">
        <v>36419</v>
      </c>
      <c r="D3204" s="9" t="s">
        <v>36420</v>
      </c>
      <c r="E3204" s="9" t="s">
        <v>17740</v>
      </c>
      <c r="F3204" s="9" t="s">
        <v>17741</v>
      </c>
      <c r="G3204" s="9" t="s">
        <v>17740</v>
      </c>
      <c r="H3204" s="11" t="s">
        <v>36421</v>
      </c>
      <c r="I3204" s="11" t="s">
        <v>36422</v>
      </c>
      <c r="J3204" s="11" t="s">
        <v>36422</v>
      </c>
      <c r="K3204" s="9" t="s">
        <v>291</v>
      </c>
      <c r="L3204" s="9" t="s">
        <v>17744</v>
      </c>
      <c r="M3204" s="9" t="s">
        <v>17760</v>
      </c>
      <c r="N3204" s="9" t="s">
        <v>17746</v>
      </c>
      <c r="O3204" s="9" t="s">
        <v>19095</v>
      </c>
      <c r="P3204" s="9" t="s">
        <v>17748</v>
      </c>
      <c r="Q3204" s="11" t="s">
        <v>18272</v>
      </c>
      <c r="R3204" s="11" t="s">
        <v>18272</v>
      </c>
      <c r="S3204" s="11" t="s">
        <v>17750</v>
      </c>
    </row>
    <row r="3205" spans="1:19" x14ac:dyDescent="0.2">
      <c r="A3205" s="11" t="s">
        <v>36423</v>
      </c>
      <c r="B3205" s="9" t="s">
        <v>36424</v>
      </c>
      <c r="C3205" s="9" t="s">
        <v>36425</v>
      </c>
      <c r="D3205" s="9" t="s">
        <v>36426</v>
      </c>
      <c r="E3205" s="9" t="s">
        <v>17740</v>
      </c>
      <c r="F3205" s="9" t="s">
        <v>36427</v>
      </c>
      <c r="G3205" s="9" t="s">
        <v>17740</v>
      </c>
      <c r="H3205" s="11" t="s">
        <v>2411</v>
      </c>
      <c r="I3205" s="11" t="s">
        <v>2410</v>
      </c>
      <c r="J3205" s="11" t="s">
        <v>2410</v>
      </c>
      <c r="K3205" s="9" t="s">
        <v>19094</v>
      </c>
      <c r="L3205" s="9" t="s">
        <v>17759</v>
      </c>
      <c r="M3205" s="9" t="s">
        <v>17817</v>
      </c>
      <c r="N3205" s="9" t="s">
        <v>17746</v>
      </c>
      <c r="O3205" s="9" t="s">
        <v>18882</v>
      </c>
      <c r="P3205" s="9" t="s">
        <v>17748</v>
      </c>
      <c r="Q3205" s="11" t="s">
        <v>18341</v>
      </c>
      <c r="R3205" s="11" t="s">
        <v>18341</v>
      </c>
      <c r="S3205" s="11" t="s">
        <v>17750</v>
      </c>
    </row>
    <row r="3206" spans="1:19" x14ac:dyDescent="0.2">
      <c r="A3206" s="11" t="s">
        <v>36428</v>
      </c>
      <c r="B3206" s="9" t="s">
        <v>36429</v>
      </c>
      <c r="C3206" s="9" t="s">
        <v>36430</v>
      </c>
      <c r="D3206" s="9" t="s">
        <v>36431</v>
      </c>
      <c r="E3206" s="9" t="s">
        <v>17740</v>
      </c>
      <c r="F3206" s="9" t="s">
        <v>17741</v>
      </c>
      <c r="G3206" s="9" t="s">
        <v>17740</v>
      </c>
      <c r="H3206" s="11" t="s">
        <v>17741</v>
      </c>
      <c r="I3206" s="11" t="s">
        <v>17741</v>
      </c>
      <c r="J3206" s="11" t="s">
        <v>17741</v>
      </c>
      <c r="K3206" s="9" t="s">
        <v>19094</v>
      </c>
      <c r="L3206" s="9" t="s">
        <v>17759</v>
      </c>
      <c r="M3206" s="9" t="s">
        <v>18745</v>
      </c>
      <c r="N3206" s="9" t="s">
        <v>17746</v>
      </c>
      <c r="O3206" s="9" t="s">
        <v>18882</v>
      </c>
      <c r="P3206" s="9" t="s">
        <v>17748</v>
      </c>
      <c r="Q3206" s="11" t="s">
        <v>17749</v>
      </c>
      <c r="R3206" s="11" t="s">
        <v>17749</v>
      </c>
      <c r="S3206" s="11" t="s">
        <v>17750</v>
      </c>
    </row>
    <row r="3207" spans="1:19" x14ac:dyDescent="0.2">
      <c r="A3207" s="11" t="s">
        <v>36432</v>
      </c>
      <c r="B3207" s="9" t="s">
        <v>36433</v>
      </c>
      <c r="C3207" s="9" t="s">
        <v>36434</v>
      </c>
      <c r="D3207" s="9" t="s">
        <v>36435</v>
      </c>
      <c r="E3207" s="9" t="s">
        <v>17740</v>
      </c>
      <c r="F3207" s="9" t="s">
        <v>17741</v>
      </c>
      <c r="G3207" s="9" t="s">
        <v>17740</v>
      </c>
      <c r="H3207" s="11" t="s">
        <v>17741</v>
      </c>
      <c r="I3207" s="11" t="s">
        <v>2424</v>
      </c>
      <c r="J3207" s="11" t="s">
        <v>2424</v>
      </c>
      <c r="K3207" s="9" t="s">
        <v>34223</v>
      </c>
      <c r="L3207" s="9" t="s">
        <v>17759</v>
      </c>
      <c r="M3207" s="9" t="s">
        <v>17817</v>
      </c>
      <c r="N3207" s="9" t="s">
        <v>17746</v>
      </c>
      <c r="O3207" s="9" t="s">
        <v>773</v>
      </c>
      <c r="P3207" s="9" t="s">
        <v>17748</v>
      </c>
      <c r="Q3207" s="11" t="s">
        <v>17943</v>
      </c>
      <c r="R3207" s="11" t="s">
        <v>17943</v>
      </c>
      <c r="S3207" s="11" t="s">
        <v>17750</v>
      </c>
    </row>
    <row r="3208" spans="1:19" x14ac:dyDescent="0.2">
      <c r="A3208" s="11" t="s">
        <v>36436</v>
      </c>
      <c r="B3208" s="9" t="s">
        <v>36437</v>
      </c>
      <c r="C3208" s="9" t="s">
        <v>36438</v>
      </c>
      <c r="D3208" s="9" t="s">
        <v>36439</v>
      </c>
      <c r="E3208" s="9" t="s">
        <v>17740</v>
      </c>
      <c r="F3208" s="9" t="s">
        <v>17741</v>
      </c>
      <c r="G3208" s="9" t="s">
        <v>17740</v>
      </c>
      <c r="H3208" s="11" t="s">
        <v>4900</v>
      </c>
      <c r="I3208" s="11" t="s">
        <v>4899</v>
      </c>
      <c r="J3208" s="11" t="s">
        <v>4899</v>
      </c>
      <c r="K3208" s="9" t="s">
        <v>291</v>
      </c>
      <c r="L3208" s="9" t="s">
        <v>17744</v>
      </c>
      <c r="M3208" s="9" t="s">
        <v>23542</v>
      </c>
      <c r="N3208" s="9" t="s">
        <v>17746</v>
      </c>
      <c r="O3208" s="9" t="s">
        <v>773</v>
      </c>
      <c r="P3208" s="9" t="s">
        <v>17748</v>
      </c>
      <c r="Q3208" s="11" t="s">
        <v>18678</v>
      </c>
      <c r="R3208" s="11" t="s">
        <v>18678</v>
      </c>
      <c r="S3208" s="11" t="s">
        <v>17750</v>
      </c>
    </row>
    <row r="3209" spans="1:19" x14ac:dyDescent="0.2">
      <c r="A3209" s="11" t="s">
        <v>36440</v>
      </c>
      <c r="B3209" s="9" t="s">
        <v>36441</v>
      </c>
      <c r="C3209" s="9" t="s">
        <v>36442</v>
      </c>
      <c r="D3209" s="9" t="s">
        <v>36443</v>
      </c>
      <c r="E3209" s="9" t="s">
        <v>17740</v>
      </c>
      <c r="F3209" s="9" t="s">
        <v>17741</v>
      </c>
      <c r="G3209" s="9" t="s">
        <v>17740</v>
      </c>
      <c r="H3209" s="11" t="s">
        <v>36444</v>
      </c>
      <c r="I3209" s="11" t="s">
        <v>5296</v>
      </c>
      <c r="J3209" s="11" t="s">
        <v>5296</v>
      </c>
      <c r="K3209" s="9" t="s">
        <v>26265</v>
      </c>
      <c r="L3209" s="9" t="s">
        <v>17759</v>
      </c>
      <c r="M3209" s="9" t="s">
        <v>29901</v>
      </c>
      <c r="N3209" s="9" t="s">
        <v>17746</v>
      </c>
      <c r="O3209" s="9" t="s">
        <v>36445</v>
      </c>
      <c r="P3209" s="9" t="s">
        <v>17748</v>
      </c>
      <c r="Q3209" s="11" t="s">
        <v>18080</v>
      </c>
      <c r="R3209" s="11" t="s">
        <v>18080</v>
      </c>
      <c r="S3209" s="11" t="s">
        <v>17750</v>
      </c>
    </row>
    <row r="3210" spans="1:19" x14ac:dyDescent="0.2">
      <c r="A3210" s="11" t="s">
        <v>36446</v>
      </c>
      <c r="B3210" s="9" t="s">
        <v>36447</v>
      </c>
      <c r="C3210" s="9" t="s">
        <v>36448</v>
      </c>
      <c r="D3210" s="9" t="s">
        <v>36449</v>
      </c>
      <c r="E3210" s="9" t="s">
        <v>17740</v>
      </c>
      <c r="F3210" s="9" t="s">
        <v>36450</v>
      </c>
      <c r="G3210" s="9" t="s">
        <v>17740</v>
      </c>
      <c r="H3210" s="11" t="s">
        <v>7379</v>
      </c>
      <c r="I3210" s="11" t="s">
        <v>7378</v>
      </c>
      <c r="J3210" s="11" t="s">
        <v>7378</v>
      </c>
      <c r="K3210" s="9" t="s">
        <v>17758</v>
      </c>
      <c r="L3210" s="9" t="s">
        <v>17759</v>
      </c>
      <c r="M3210" s="9" t="s">
        <v>17760</v>
      </c>
      <c r="N3210" s="9" t="s">
        <v>17746</v>
      </c>
      <c r="O3210" s="9" t="s">
        <v>23443</v>
      </c>
      <c r="P3210" s="9" t="s">
        <v>17748</v>
      </c>
      <c r="Q3210" s="11" t="s">
        <v>18272</v>
      </c>
      <c r="R3210" s="11" t="s">
        <v>18272</v>
      </c>
      <c r="S3210" s="11" t="s">
        <v>17750</v>
      </c>
    </row>
    <row r="3211" spans="1:19" x14ac:dyDescent="0.2">
      <c r="A3211" s="11" t="s">
        <v>36451</v>
      </c>
      <c r="B3211" s="9" t="s">
        <v>36452</v>
      </c>
      <c r="C3211" s="9" t="s">
        <v>36453</v>
      </c>
      <c r="D3211" s="9" t="s">
        <v>36454</v>
      </c>
      <c r="E3211" s="9" t="s">
        <v>17748</v>
      </c>
      <c r="F3211" s="9" t="s">
        <v>36455</v>
      </c>
      <c r="G3211" s="9" t="s">
        <v>17740</v>
      </c>
      <c r="H3211" s="11" t="s">
        <v>36456</v>
      </c>
      <c r="I3211" s="11" t="s">
        <v>36457</v>
      </c>
      <c r="J3211" s="11" t="s">
        <v>36457</v>
      </c>
      <c r="K3211" s="9" t="s">
        <v>91</v>
      </c>
      <c r="L3211" s="9" t="s">
        <v>17759</v>
      </c>
      <c r="M3211" s="9" t="s">
        <v>17817</v>
      </c>
      <c r="N3211" s="9" t="s">
        <v>17746</v>
      </c>
      <c r="O3211" s="9" t="s">
        <v>23061</v>
      </c>
      <c r="P3211" s="9" t="s">
        <v>17748</v>
      </c>
      <c r="Q3211" s="11" t="s">
        <v>18272</v>
      </c>
      <c r="R3211" s="11" t="s">
        <v>18272</v>
      </c>
      <c r="S3211" s="11" t="s">
        <v>17750</v>
      </c>
    </row>
    <row r="3212" spans="1:19" x14ac:dyDescent="0.2">
      <c r="A3212" s="11" t="s">
        <v>36458</v>
      </c>
      <c r="B3212" s="9" t="s">
        <v>36459</v>
      </c>
      <c r="C3212" s="9" t="s">
        <v>36460</v>
      </c>
      <c r="D3212" s="9" t="s">
        <v>36461</v>
      </c>
      <c r="E3212" s="9" t="s">
        <v>17740</v>
      </c>
      <c r="F3212" s="9" t="s">
        <v>17741</v>
      </c>
      <c r="G3212" s="9" t="s">
        <v>17740</v>
      </c>
      <c r="H3212" s="11" t="s">
        <v>6885</v>
      </c>
      <c r="I3212" s="11" t="s">
        <v>6884</v>
      </c>
      <c r="J3212" s="11" t="s">
        <v>6884</v>
      </c>
      <c r="K3212" s="9" t="s">
        <v>19094</v>
      </c>
      <c r="L3212" s="9" t="s">
        <v>17759</v>
      </c>
      <c r="M3212" s="9" t="s">
        <v>18109</v>
      </c>
      <c r="N3212" s="9" t="s">
        <v>17746</v>
      </c>
      <c r="O3212" s="9" t="s">
        <v>23061</v>
      </c>
      <c r="P3212" s="9" t="s">
        <v>17748</v>
      </c>
      <c r="Q3212" s="11" t="s">
        <v>18080</v>
      </c>
      <c r="R3212" s="11" t="s">
        <v>18080</v>
      </c>
      <c r="S3212" s="11" t="s">
        <v>17750</v>
      </c>
    </row>
    <row r="3213" spans="1:19" x14ac:dyDescent="0.2">
      <c r="A3213" s="11" t="s">
        <v>36462</v>
      </c>
      <c r="B3213" s="9" t="s">
        <v>36463</v>
      </c>
      <c r="C3213" s="9" t="s">
        <v>36464</v>
      </c>
      <c r="D3213" s="9" t="s">
        <v>36465</v>
      </c>
      <c r="E3213" s="9" t="s">
        <v>17740</v>
      </c>
      <c r="F3213" s="9" t="s">
        <v>17741</v>
      </c>
      <c r="G3213" s="9" t="s">
        <v>17740</v>
      </c>
      <c r="H3213" s="11" t="s">
        <v>8114</v>
      </c>
      <c r="I3213" s="11" t="s">
        <v>8113</v>
      </c>
      <c r="J3213" s="11" t="s">
        <v>8113</v>
      </c>
      <c r="K3213" s="9" t="s">
        <v>18832</v>
      </c>
      <c r="L3213" s="9" t="s">
        <v>17759</v>
      </c>
      <c r="M3213" s="9" t="s">
        <v>17760</v>
      </c>
      <c r="N3213" s="9" t="s">
        <v>17746</v>
      </c>
      <c r="O3213" s="9" t="s">
        <v>18363</v>
      </c>
      <c r="P3213" s="9" t="s">
        <v>17748</v>
      </c>
      <c r="Q3213" s="11" t="s">
        <v>18201</v>
      </c>
      <c r="R3213" s="11" t="s">
        <v>18201</v>
      </c>
      <c r="S3213" s="11" t="s">
        <v>17750</v>
      </c>
    </row>
    <row r="3214" spans="1:19" x14ac:dyDescent="0.2">
      <c r="A3214" s="11" t="s">
        <v>36466</v>
      </c>
      <c r="B3214" s="9" t="s">
        <v>36467</v>
      </c>
      <c r="C3214" s="9" t="s">
        <v>36468</v>
      </c>
      <c r="D3214" s="9" t="s">
        <v>36469</v>
      </c>
      <c r="E3214" s="9" t="s">
        <v>17740</v>
      </c>
      <c r="F3214" s="9" t="s">
        <v>17741</v>
      </c>
      <c r="G3214" s="9" t="s">
        <v>17740</v>
      </c>
      <c r="H3214" s="11" t="s">
        <v>36470</v>
      </c>
      <c r="I3214" s="11" t="s">
        <v>11655</v>
      </c>
      <c r="J3214" s="11" t="s">
        <v>11655</v>
      </c>
      <c r="K3214" s="9" t="s">
        <v>36471</v>
      </c>
      <c r="L3214" s="9" t="s">
        <v>17759</v>
      </c>
      <c r="M3214" s="9" t="s">
        <v>17769</v>
      </c>
      <c r="N3214" s="9" t="s">
        <v>17746</v>
      </c>
      <c r="O3214" s="9" t="s">
        <v>21220</v>
      </c>
      <c r="P3214" s="9" t="s">
        <v>17748</v>
      </c>
      <c r="Q3214" s="11" t="s">
        <v>19361</v>
      </c>
      <c r="R3214" s="11" t="s">
        <v>19361</v>
      </c>
      <c r="S3214" s="11" t="s">
        <v>17750</v>
      </c>
    </row>
    <row r="3215" spans="1:19" x14ac:dyDescent="0.2">
      <c r="A3215" s="11" t="s">
        <v>36472</v>
      </c>
      <c r="B3215" s="9" t="s">
        <v>36473</v>
      </c>
      <c r="C3215" s="9" t="s">
        <v>36474</v>
      </c>
      <c r="D3215" s="9" t="s">
        <v>36475</v>
      </c>
      <c r="E3215" s="9" t="s">
        <v>17740</v>
      </c>
      <c r="F3215" s="9" t="s">
        <v>17741</v>
      </c>
      <c r="G3215" s="9" t="s">
        <v>17740</v>
      </c>
      <c r="H3215" s="11" t="s">
        <v>4640</v>
      </c>
      <c r="I3215" s="11" t="s">
        <v>4639</v>
      </c>
      <c r="J3215" s="11" t="s">
        <v>4639</v>
      </c>
      <c r="K3215" s="9" t="s">
        <v>35427</v>
      </c>
      <c r="L3215" s="9" t="s">
        <v>17759</v>
      </c>
      <c r="M3215" s="9" t="s">
        <v>36476</v>
      </c>
      <c r="N3215" s="9" t="s">
        <v>17746</v>
      </c>
      <c r="O3215" s="9" t="s">
        <v>36477</v>
      </c>
      <c r="P3215" s="9" t="s">
        <v>17748</v>
      </c>
      <c r="Q3215" s="11" t="s">
        <v>19335</v>
      </c>
      <c r="R3215" s="11" t="s">
        <v>19335</v>
      </c>
      <c r="S3215" s="11" t="s">
        <v>17750</v>
      </c>
    </row>
    <row r="3216" spans="1:19" x14ac:dyDescent="0.2">
      <c r="A3216" s="11" t="s">
        <v>36478</v>
      </c>
      <c r="B3216" s="9" t="s">
        <v>36479</v>
      </c>
      <c r="C3216" s="9" t="s">
        <v>36480</v>
      </c>
      <c r="D3216" s="9" t="s">
        <v>36481</v>
      </c>
      <c r="E3216" s="9" t="s">
        <v>17740</v>
      </c>
      <c r="F3216" s="9" t="s">
        <v>36482</v>
      </c>
      <c r="G3216" s="9" t="s">
        <v>17740</v>
      </c>
      <c r="H3216" s="11" t="s">
        <v>36483</v>
      </c>
      <c r="I3216" s="11" t="s">
        <v>36484</v>
      </c>
      <c r="J3216" s="11" t="s">
        <v>36484</v>
      </c>
      <c r="K3216" s="9" t="s">
        <v>21146</v>
      </c>
      <c r="L3216" s="9" t="s">
        <v>17759</v>
      </c>
      <c r="M3216" s="9" t="s">
        <v>17760</v>
      </c>
      <c r="N3216" s="9" t="s">
        <v>17746</v>
      </c>
      <c r="O3216" s="9" t="s">
        <v>25541</v>
      </c>
      <c r="P3216" s="9" t="s">
        <v>17748</v>
      </c>
      <c r="Q3216" s="11" t="s">
        <v>18251</v>
      </c>
      <c r="R3216" s="11" t="s">
        <v>18251</v>
      </c>
      <c r="S3216" s="11" t="s">
        <v>17750</v>
      </c>
    </row>
    <row r="3217" spans="1:19" x14ac:dyDescent="0.2">
      <c r="A3217" s="11" t="s">
        <v>36485</v>
      </c>
      <c r="B3217" s="9" t="s">
        <v>36486</v>
      </c>
      <c r="C3217" s="9" t="s">
        <v>36487</v>
      </c>
      <c r="D3217" s="9" t="s">
        <v>36488</v>
      </c>
      <c r="E3217" s="9" t="s">
        <v>17740</v>
      </c>
      <c r="F3217" s="9" t="s">
        <v>36489</v>
      </c>
      <c r="G3217" s="9" t="s">
        <v>17740</v>
      </c>
      <c r="H3217" s="11" t="s">
        <v>6480</v>
      </c>
      <c r="I3217" s="11" t="s">
        <v>6479</v>
      </c>
      <c r="J3217" s="11" t="s">
        <v>6479</v>
      </c>
      <c r="K3217" s="9" t="s">
        <v>17805</v>
      </c>
      <c r="L3217" s="9" t="s">
        <v>17744</v>
      </c>
      <c r="M3217" s="9" t="s">
        <v>18289</v>
      </c>
      <c r="N3217" s="9" t="s">
        <v>17746</v>
      </c>
      <c r="O3217" s="9" t="s">
        <v>18088</v>
      </c>
      <c r="P3217" s="9" t="s">
        <v>17748</v>
      </c>
      <c r="Q3217" s="11" t="s">
        <v>19361</v>
      </c>
      <c r="R3217" s="11" t="s">
        <v>19361</v>
      </c>
      <c r="S3217" s="11" t="s">
        <v>17750</v>
      </c>
    </row>
    <row r="3218" spans="1:19" x14ac:dyDescent="0.2">
      <c r="A3218" s="11" t="s">
        <v>36490</v>
      </c>
      <c r="B3218" s="9" t="s">
        <v>36491</v>
      </c>
      <c r="C3218" s="9" t="s">
        <v>36492</v>
      </c>
      <c r="D3218" s="9" t="s">
        <v>36493</v>
      </c>
      <c r="E3218" s="9" t="s">
        <v>17740</v>
      </c>
      <c r="F3218" s="9" t="s">
        <v>17741</v>
      </c>
      <c r="G3218" s="9" t="s">
        <v>17740</v>
      </c>
      <c r="H3218" s="11" t="s">
        <v>5752</v>
      </c>
      <c r="I3218" s="11" t="s">
        <v>5751</v>
      </c>
      <c r="J3218" s="11" t="s">
        <v>5751</v>
      </c>
      <c r="K3218" s="9" t="s">
        <v>17783</v>
      </c>
      <c r="L3218" s="9" t="s">
        <v>17759</v>
      </c>
      <c r="M3218" s="9" t="s">
        <v>27672</v>
      </c>
      <c r="N3218" s="9" t="s">
        <v>17746</v>
      </c>
      <c r="O3218" s="9" t="s">
        <v>793</v>
      </c>
      <c r="P3218" s="9" t="s">
        <v>17748</v>
      </c>
      <c r="Q3218" s="11" t="s">
        <v>17749</v>
      </c>
      <c r="R3218" s="11" t="s">
        <v>17749</v>
      </c>
      <c r="S3218" s="11" t="s">
        <v>17750</v>
      </c>
    </row>
    <row r="3219" spans="1:19" x14ac:dyDescent="0.2">
      <c r="A3219" s="11" t="s">
        <v>36494</v>
      </c>
      <c r="B3219" s="9" t="s">
        <v>36495</v>
      </c>
      <c r="C3219" s="9" t="s">
        <v>36496</v>
      </c>
      <c r="D3219" s="9" t="s">
        <v>36497</v>
      </c>
      <c r="E3219" s="9" t="s">
        <v>17748</v>
      </c>
      <c r="F3219" s="9" t="s">
        <v>36498</v>
      </c>
      <c r="G3219" s="9" t="s">
        <v>17740</v>
      </c>
      <c r="H3219" s="11" t="s">
        <v>9345</v>
      </c>
      <c r="I3219" s="11" t="s">
        <v>9344</v>
      </c>
      <c r="J3219" s="11" t="s">
        <v>9345</v>
      </c>
      <c r="K3219" s="9" t="s">
        <v>291</v>
      </c>
      <c r="L3219" s="9" t="s">
        <v>17744</v>
      </c>
      <c r="M3219" s="9" t="s">
        <v>17817</v>
      </c>
      <c r="N3219" s="9" t="s">
        <v>17746</v>
      </c>
      <c r="O3219" s="9" t="s">
        <v>36499</v>
      </c>
      <c r="P3219" s="9" t="s">
        <v>17748</v>
      </c>
      <c r="Q3219" s="11" t="s">
        <v>17994</v>
      </c>
      <c r="R3219" s="11" t="s">
        <v>17994</v>
      </c>
      <c r="S3219" s="11" t="s">
        <v>17750</v>
      </c>
    </row>
    <row r="3220" spans="1:19" x14ac:dyDescent="0.2">
      <c r="A3220" s="11" t="s">
        <v>36500</v>
      </c>
      <c r="B3220" s="9" t="s">
        <v>36501</v>
      </c>
      <c r="C3220" s="9" t="s">
        <v>36502</v>
      </c>
      <c r="D3220" s="9" t="s">
        <v>36503</v>
      </c>
      <c r="E3220" s="9" t="s">
        <v>17740</v>
      </c>
      <c r="F3220" s="9" t="s">
        <v>17741</v>
      </c>
      <c r="G3220" s="9" t="s">
        <v>17740</v>
      </c>
      <c r="H3220" s="11" t="s">
        <v>36504</v>
      </c>
      <c r="I3220" s="11" t="s">
        <v>36505</v>
      </c>
      <c r="J3220" s="11" t="s">
        <v>36505</v>
      </c>
      <c r="K3220" s="9" t="s">
        <v>167</v>
      </c>
      <c r="L3220" s="9" t="s">
        <v>18158</v>
      </c>
      <c r="M3220" s="9" t="s">
        <v>19314</v>
      </c>
      <c r="N3220" s="9" t="s">
        <v>17746</v>
      </c>
      <c r="O3220" s="9" t="s">
        <v>23768</v>
      </c>
      <c r="P3220" s="9" t="s">
        <v>17748</v>
      </c>
      <c r="Q3220" s="11" t="s">
        <v>17771</v>
      </c>
      <c r="R3220" s="11" t="s">
        <v>17771</v>
      </c>
      <c r="S3220" s="11" t="s">
        <v>17750</v>
      </c>
    </row>
    <row r="3221" spans="1:19" x14ac:dyDescent="0.2">
      <c r="A3221" s="11" t="s">
        <v>36506</v>
      </c>
      <c r="B3221" s="9" t="s">
        <v>36507</v>
      </c>
      <c r="C3221" s="9" t="s">
        <v>36508</v>
      </c>
      <c r="D3221" s="9" t="s">
        <v>36509</v>
      </c>
      <c r="E3221" s="9" t="s">
        <v>17748</v>
      </c>
      <c r="F3221" s="9" t="s">
        <v>36510</v>
      </c>
      <c r="G3221" s="9" t="s">
        <v>17740</v>
      </c>
      <c r="H3221" s="11" t="s">
        <v>36511</v>
      </c>
      <c r="I3221" s="11" t="s">
        <v>36512</v>
      </c>
      <c r="J3221" s="11" t="s">
        <v>36512</v>
      </c>
      <c r="K3221" s="9" t="s">
        <v>36513</v>
      </c>
      <c r="L3221" s="9" t="s">
        <v>18242</v>
      </c>
      <c r="M3221" s="9" t="s">
        <v>17760</v>
      </c>
      <c r="N3221" s="9" t="s">
        <v>17746</v>
      </c>
      <c r="O3221" s="9" t="s">
        <v>36514</v>
      </c>
      <c r="P3221" s="9" t="s">
        <v>17748</v>
      </c>
      <c r="Q3221" s="11" t="s">
        <v>18272</v>
      </c>
      <c r="R3221" s="11" t="s">
        <v>18272</v>
      </c>
      <c r="S3221" s="11" t="s">
        <v>17750</v>
      </c>
    </row>
    <row r="3222" spans="1:19" x14ac:dyDescent="0.2">
      <c r="A3222" s="11" t="s">
        <v>36515</v>
      </c>
      <c r="B3222" s="9" t="s">
        <v>36516</v>
      </c>
      <c r="C3222" s="9" t="s">
        <v>36517</v>
      </c>
      <c r="D3222" s="9" t="s">
        <v>36518</v>
      </c>
      <c r="E3222" s="9" t="s">
        <v>17740</v>
      </c>
      <c r="F3222" s="9" t="s">
        <v>17741</v>
      </c>
      <c r="G3222" s="9" t="s">
        <v>17740</v>
      </c>
      <c r="H3222" s="11" t="s">
        <v>36519</v>
      </c>
      <c r="I3222" s="11" t="s">
        <v>36520</v>
      </c>
      <c r="J3222" s="11" t="s">
        <v>36520</v>
      </c>
      <c r="K3222" s="9" t="s">
        <v>18520</v>
      </c>
      <c r="L3222" s="9" t="s">
        <v>17744</v>
      </c>
      <c r="M3222" s="9" t="s">
        <v>17760</v>
      </c>
      <c r="N3222" s="9" t="s">
        <v>17746</v>
      </c>
      <c r="O3222" s="9" t="s">
        <v>36521</v>
      </c>
      <c r="P3222" s="9" t="s">
        <v>17748</v>
      </c>
      <c r="Q3222" s="11" t="s">
        <v>17792</v>
      </c>
      <c r="R3222" s="11" t="s">
        <v>17792</v>
      </c>
      <c r="S3222" s="11" t="s">
        <v>17750</v>
      </c>
    </row>
    <row r="3223" spans="1:19" x14ac:dyDescent="0.2">
      <c r="A3223" s="11" t="s">
        <v>36522</v>
      </c>
      <c r="B3223" s="9" t="s">
        <v>36523</v>
      </c>
      <c r="C3223" s="9" t="s">
        <v>36524</v>
      </c>
      <c r="D3223" s="9" t="s">
        <v>36525</v>
      </c>
      <c r="E3223" s="9" t="s">
        <v>17740</v>
      </c>
      <c r="F3223" s="9" t="s">
        <v>36526</v>
      </c>
      <c r="G3223" s="9" t="s">
        <v>17740</v>
      </c>
      <c r="H3223" s="11" t="s">
        <v>7726</v>
      </c>
      <c r="I3223" s="11" t="s">
        <v>7725</v>
      </c>
      <c r="J3223" s="11" t="s">
        <v>7725</v>
      </c>
      <c r="K3223" s="9" t="s">
        <v>291</v>
      </c>
      <c r="L3223" s="9" t="s">
        <v>17744</v>
      </c>
      <c r="M3223" s="9" t="s">
        <v>17760</v>
      </c>
      <c r="N3223" s="9" t="s">
        <v>17746</v>
      </c>
      <c r="O3223" s="9" t="s">
        <v>17848</v>
      </c>
      <c r="P3223" s="9" t="s">
        <v>17748</v>
      </c>
      <c r="Q3223" s="11" t="s">
        <v>18798</v>
      </c>
      <c r="R3223" s="11" t="s">
        <v>18798</v>
      </c>
      <c r="S3223" s="11" t="s">
        <v>17750</v>
      </c>
    </row>
    <row r="3224" spans="1:19" x14ac:dyDescent="0.2">
      <c r="A3224" s="11" t="s">
        <v>36527</v>
      </c>
      <c r="B3224" s="9" t="s">
        <v>36528</v>
      </c>
      <c r="C3224" s="9" t="s">
        <v>36529</v>
      </c>
      <c r="D3224" s="9" t="s">
        <v>36530</v>
      </c>
      <c r="E3224" s="9" t="s">
        <v>17740</v>
      </c>
      <c r="F3224" s="9" t="s">
        <v>36531</v>
      </c>
      <c r="G3224" s="9" t="s">
        <v>17740</v>
      </c>
      <c r="H3224" s="11" t="s">
        <v>2463</v>
      </c>
      <c r="I3224" s="11" t="s">
        <v>2462</v>
      </c>
      <c r="J3224" s="11" t="s">
        <v>2462</v>
      </c>
      <c r="K3224" s="9" t="s">
        <v>291</v>
      </c>
      <c r="L3224" s="9" t="s">
        <v>17744</v>
      </c>
      <c r="M3224" s="9" t="s">
        <v>18177</v>
      </c>
      <c r="N3224" s="9" t="s">
        <v>17746</v>
      </c>
      <c r="O3224" s="9" t="s">
        <v>36532</v>
      </c>
      <c r="P3224" s="9" t="s">
        <v>17748</v>
      </c>
      <c r="Q3224" s="11" t="s">
        <v>18600</v>
      </c>
      <c r="R3224" s="11" t="s">
        <v>18600</v>
      </c>
      <c r="S3224" s="11" t="s">
        <v>17750</v>
      </c>
    </row>
    <row r="3225" spans="1:19" x14ac:dyDescent="0.2">
      <c r="A3225" s="11" t="s">
        <v>36533</v>
      </c>
      <c r="B3225" s="9" t="s">
        <v>36534</v>
      </c>
      <c r="C3225" s="9" t="s">
        <v>36535</v>
      </c>
      <c r="D3225" s="9" t="s">
        <v>36536</v>
      </c>
      <c r="E3225" s="9" t="s">
        <v>17740</v>
      </c>
      <c r="F3225" s="9" t="s">
        <v>17741</v>
      </c>
      <c r="G3225" s="9" t="s">
        <v>17740</v>
      </c>
      <c r="H3225" s="11" t="s">
        <v>17741</v>
      </c>
      <c r="I3225" s="11" t="s">
        <v>36537</v>
      </c>
      <c r="J3225" s="11" t="s">
        <v>36537</v>
      </c>
      <c r="K3225" s="9" t="s">
        <v>28118</v>
      </c>
      <c r="L3225" s="9" t="s">
        <v>17759</v>
      </c>
      <c r="M3225" s="9" t="s">
        <v>18065</v>
      </c>
      <c r="N3225" s="9" t="s">
        <v>17746</v>
      </c>
      <c r="O3225" s="9" t="s">
        <v>19859</v>
      </c>
      <c r="P3225" s="9" t="s">
        <v>17748</v>
      </c>
      <c r="Q3225" s="11" t="s">
        <v>19236</v>
      </c>
      <c r="R3225" s="11" t="s">
        <v>19236</v>
      </c>
      <c r="S3225" s="11" t="s">
        <v>17750</v>
      </c>
    </row>
    <row r="3226" spans="1:19" x14ac:dyDescent="0.2">
      <c r="A3226" s="11" t="s">
        <v>36538</v>
      </c>
      <c r="B3226" s="9" t="s">
        <v>36539</v>
      </c>
      <c r="C3226" s="9" t="s">
        <v>36540</v>
      </c>
      <c r="D3226" s="9" t="s">
        <v>36541</v>
      </c>
      <c r="E3226" s="9" t="s">
        <v>17740</v>
      </c>
      <c r="F3226" s="9" t="s">
        <v>36542</v>
      </c>
      <c r="G3226" s="9" t="s">
        <v>17740</v>
      </c>
      <c r="H3226" s="11" t="s">
        <v>36543</v>
      </c>
      <c r="I3226" s="11" t="s">
        <v>36544</v>
      </c>
      <c r="J3226" s="11" t="s">
        <v>36544</v>
      </c>
      <c r="K3226" s="9" t="s">
        <v>159</v>
      </c>
      <c r="L3226" s="9" t="s">
        <v>17744</v>
      </c>
      <c r="M3226" s="9" t="s">
        <v>18417</v>
      </c>
      <c r="N3226" s="9" t="s">
        <v>17746</v>
      </c>
      <c r="O3226" s="9" t="s">
        <v>17874</v>
      </c>
      <c r="P3226" s="9" t="s">
        <v>17748</v>
      </c>
      <c r="Q3226" s="11" t="s">
        <v>18608</v>
      </c>
      <c r="R3226" s="11" t="s">
        <v>18608</v>
      </c>
      <c r="S3226" s="11" t="s">
        <v>17750</v>
      </c>
    </row>
    <row r="3227" spans="1:19" x14ac:dyDescent="0.2">
      <c r="A3227" s="11" t="s">
        <v>36545</v>
      </c>
      <c r="B3227" s="9" t="s">
        <v>36546</v>
      </c>
      <c r="C3227" s="9" t="s">
        <v>36547</v>
      </c>
      <c r="D3227" s="9" t="s">
        <v>36548</v>
      </c>
      <c r="E3227" s="9" t="s">
        <v>17740</v>
      </c>
      <c r="F3227" s="9" t="s">
        <v>17741</v>
      </c>
      <c r="G3227" s="9" t="s">
        <v>17740</v>
      </c>
      <c r="H3227" s="11" t="s">
        <v>2437</v>
      </c>
      <c r="I3227" s="11" t="s">
        <v>2436</v>
      </c>
      <c r="J3227" s="11" t="s">
        <v>2436</v>
      </c>
      <c r="K3227" s="9" t="s">
        <v>21299</v>
      </c>
      <c r="L3227" s="9" t="s">
        <v>17744</v>
      </c>
      <c r="M3227" s="9" t="s">
        <v>17817</v>
      </c>
      <c r="N3227" s="9" t="s">
        <v>17746</v>
      </c>
      <c r="O3227" s="9" t="s">
        <v>18846</v>
      </c>
      <c r="P3227" s="9" t="s">
        <v>17748</v>
      </c>
      <c r="Q3227" s="11" t="s">
        <v>19236</v>
      </c>
      <c r="R3227" s="11" t="s">
        <v>19236</v>
      </c>
      <c r="S3227" s="11" t="s">
        <v>17750</v>
      </c>
    </row>
    <row r="3228" spans="1:19" x14ac:dyDescent="0.2">
      <c r="A3228" s="11" t="s">
        <v>36549</v>
      </c>
      <c r="B3228" s="9" t="s">
        <v>36550</v>
      </c>
      <c r="C3228" s="9" t="s">
        <v>36551</v>
      </c>
      <c r="D3228" s="9" t="s">
        <v>36552</v>
      </c>
      <c r="E3228" s="9" t="s">
        <v>17740</v>
      </c>
      <c r="F3228" s="9" t="s">
        <v>36553</v>
      </c>
      <c r="G3228" s="9" t="s">
        <v>17740</v>
      </c>
      <c r="H3228" s="11" t="s">
        <v>36554</v>
      </c>
      <c r="I3228" s="11" t="s">
        <v>36555</v>
      </c>
      <c r="J3228" s="11" t="s">
        <v>36555</v>
      </c>
      <c r="K3228" s="9" t="s">
        <v>17783</v>
      </c>
      <c r="L3228" s="9" t="s">
        <v>17759</v>
      </c>
      <c r="M3228" s="9" t="s">
        <v>17778</v>
      </c>
      <c r="N3228" s="9" t="s">
        <v>17746</v>
      </c>
      <c r="O3228" s="9" t="s">
        <v>17874</v>
      </c>
      <c r="P3228" s="9" t="s">
        <v>17748</v>
      </c>
      <c r="Q3228" s="11" t="s">
        <v>17819</v>
      </c>
      <c r="R3228" s="11" t="s">
        <v>17819</v>
      </c>
      <c r="S3228" s="11" t="s">
        <v>17750</v>
      </c>
    </row>
    <row r="3229" spans="1:19" x14ac:dyDescent="0.2">
      <c r="A3229" s="11" t="s">
        <v>36556</v>
      </c>
      <c r="B3229" s="9" t="s">
        <v>36557</v>
      </c>
      <c r="C3229" s="9" t="s">
        <v>36558</v>
      </c>
      <c r="D3229" s="9" t="s">
        <v>36559</v>
      </c>
      <c r="E3229" s="9" t="s">
        <v>17748</v>
      </c>
      <c r="F3229" s="9" t="s">
        <v>36560</v>
      </c>
      <c r="G3229" s="9" t="s">
        <v>17740</v>
      </c>
      <c r="H3229" s="11" t="s">
        <v>12683</v>
      </c>
      <c r="I3229" s="11" t="s">
        <v>12682</v>
      </c>
      <c r="J3229" s="11" t="s">
        <v>12682</v>
      </c>
      <c r="K3229" s="9" t="s">
        <v>25077</v>
      </c>
      <c r="L3229" s="9" t="s">
        <v>20082</v>
      </c>
      <c r="M3229" s="9" t="s">
        <v>17769</v>
      </c>
      <c r="N3229" s="9" t="s">
        <v>17746</v>
      </c>
      <c r="O3229" s="9" t="s">
        <v>36561</v>
      </c>
      <c r="P3229" s="9" t="s">
        <v>17748</v>
      </c>
      <c r="Q3229" s="11" t="s">
        <v>18370</v>
      </c>
      <c r="R3229" s="11" t="s">
        <v>18370</v>
      </c>
      <c r="S3229" s="11" t="s">
        <v>17750</v>
      </c>
    </row>
    <row r="3230" spans="1:19" x14ac:dyDescent="0.2">
      <c r="A3230" s="11" t="s">
        <v>36562</v>
      </c>
      <c r="B3230" s="9" t="s">
        <v>36563</v>
      </c>
      <c r="C3230" s="9" t="s">
        <v>36564</v>
      </c>
      <c r="D3230" s="9" t="s">
        <v>36565</v>
      </c>
      <c r="E3230" s="9" t="s">
        <v>17740</v>
      </c>
      <c r="F3230" s="9" t="s">
        <v>17741</v>
      </c>
      <c r="G3230" s="9" t="s">
        <v>17740</v>
      </c>
      <c r="H3230" s="11" t="s">
        <v>36566</v>
      </c>
      <c r="I3230" s="11" t="s">
        <v>36567</v>
      </c>
      <c r="J3230" s="11" t="s">
        <v>36566</v>
      </c>
      <c r="K3230" s="9" t="s">
        <v>36568</v>
      </c>
      <c r="L3230" s="9" t="s">
        <v>18959</v>
      </c>
      <c r="M3230" s="9" t="s">
        <v>36569</v>
      </c>
      <c r="N3230" s="9" t="s">
        <v>17746</v>
      </c>
      <c r="O3230" s="9" t="s">
        <v>20056</v>
      </c>
      <c r="P3230" s="9" t="s">
        <v>17748</v>
      </c>
      <c r="Q3230" s="11" t="s">
        <v>18356</v>
      </c>
      <c r="R3230" s="11" t="s">
        <v>18356</v>
      </c>
      <c r="S3230" s="11" t="s">
        <v>17750</v>
      </c>
    </row>
    <row r="3231" spans="1:19" x14ac:dyDescent="0.2">
      <c r="A3231" s="11" t="s">
        <v>36570</v>
      </c>
      <c r="B3231" s="9" t="s">
        <v>36571</v>
      </c>
      <c r="C3231" s="9" t="s">
        <v>36572</v>
      </c>
      <c r="D3231" s="9" t="s">
        <v>36573</v>
      </c>
      <c r="E3231" s="9" t="s">
        <v>17748</v>
      </c>
      <c r="F3231" s="9" t="s">
        <v>36574</v>
      </c>
      <c r="G3231" s="9" t="s">
        <v>17740</v>
      </c>
      <c r="H3231" s="11" t="s">
        <v>8357</v>
      </c>
      <c r="I3231" s="11" t="s">
        <v>8356</v>
      </c>
      <c r="J3231" s="11" t="s">
        <v>8356</v>
      </c>
      <c r="K3231" s="9" t="s">
        <v>36575</v>
      </c>
      <c r="L3231" s="9" t="s">
        <v>18242</v>
      </c>
      <c r="M3231" s="9" t="s">
        <v>17942</v>
      </c>
      <c r="N3231" s="9" t="s">
        <v>17746</v>
      </c>
      <c r="O3231" s="9" t="s">
        <v>17993</v>
      </c>
      <c r="P3231" s="9" t="s">
        <v>17748</v>
      </c>
      <c r="Q3231" s="11" t="s">
        <v>18272</v>
      </c>
      <c r="R3231" s="11" t="s">
        <v>18272</v>
      </c>
      <c r="S3231" s="11" t="s">
        <v>17750</v>
      </c>
    </row>
    <row r="3232" spans="1:19" x14ac:dyDescent="0.2">
      <c r="A3232" s="11" t="s">
        <v>36576</v>
      </c>
      <c r="B3232" s="9" t="s">
        <v>36577</v>
      </c>
      <c r="C3232" s="9" t="s">
        <v>36578</v>
      </c>
      <c r="D3232" s="9" t="s">
        <v>36579</v>
      </c>
      <c r="E3232" s="9" t="s">
        <v>17740</v>
      </c>
      <c r="F3232" s="9" t="s">
        <v>36580</v>
      </c>
      <c r="G3232" s="9" t="s">
        <v>17740</v>
      </c>
      <c r="H3232" s="11" t="s">
        <v>36581</v>
      </c>
      <c r="I3232" s="11" t="s">
        <v>2451</v>
      </c>
      <c r="J3232" s="11" t="s">
        <v>2451</v>
      </c>
      <c r="K3232" s="9" t="s">
        <v>2341</v>
      </c>
      <c r="L3232" s="9" t="s">
        <v>17744</v>
      </c>
      <c r="M3232" s="9" t="s">
        <v>25018</v>
      </c>
      <c r="N3232" s="9" t="s">
        <v>17746</v>
      </c>
      <c r="O3232" s="9" t="s">
        <v>18746</v>
      </c>
      <c r="P3232" s="9" t="s">
        <v>17748</v>
      </c>
      <c r="Q3232" s="11" t="s">
        <v>17883</v>
      </c>
      <c r="R3232" s="11" t="s">
        <v>17883</v>
      </c>
      <c r="S3232" s="11" t="s">
        <v>17750</v>
      </c>
    </row>
    <row r="3233" spans="1:19" x14ac:dyDescent="0.2">
      <c r="A3233" s="11" t="s">
        <v>36582</v>
      </c>
      <c r="B3233" s="9" t="s">
        <v>36583</v>
      </c>
      <c r="C3233" s="9" t="s">
        <v>36584</v>
      </c>
      <c r="D3233" s="9" t="s">
        <v>36585</v>
      </c>
      <c r="E3233" s="9" t="s">
        <v>17740</v>
      </c>
      <c r="F3233" s="9" t="s">
        <v>36586</v>
      </c>
      <c r="G3233" s="9" t="s">
        <v>17740</v>
      </c>
      <c r="H3233" s="11" t="s">
        <v>17741</v>
      </c>
      <c r="I3233" s="11" t="s">
        <v>36587</v>
      </c>
      <c r="J3233" s="11" t="s">
        <v>36587</v>
      </c>
      <c r="K3233" s="9" t="s">
        <v>36588</v>
      </c>
      <c r="L3233" s="9" t="s">
        <v>17759</v>
      </c>
      <c r="M3233" s="9" t="s">
        <v>17769</v>
      </c>
      <c r="N3233" s="9" t="s">
        <v>17746</v>
      </c>
      <c r="O3233" s="9" t="s">
        <v>17848</v>
      </c>
      <c r="P3233" s="9" t="s">
        <v>17748</v>
      </c>
      <c r="Q3233" s="11" t="s">
        <v>18960</v>
      </c>
      <c r="R3233" s="11" t="s">
        <v>18960</v>
      </c>
      <c r="S3233" s="11" t="s">
        <v>17750</v>
      </c>
    </row>
    <row r="3234" spans="1:19" x14ac:dyDescent="0.2">
      <c r="A3234" s="11" t="s">
        <v>36589</v>
      </c>
      <c r="B3234" s="9" t="s">
        <v>36590</v>
      </c>
      <c r="C3234" s="9" t="s">
        <v>36591</v>
      </c>
      <c r="D3234" s="9" t="s">
        <v>36592</v>
      </c>
      <c r="E3234" s="9" t="s">
        <v>17740</v>
      </c>
      <c r="F3234" s="9" t="s">
        <v>17741</v>
      </c>
      <c r="G3234" s="9" t="s">
        <v>17740</v>
      </c>
      <c r="H3234" s="11" t="s">
        <v>2457</v>
      </c>
      <c r="I3234" s="11" t="s">
        <v>2456</v>
      </c>
      <c r="J3234" s="11" t="s">
        <v>2456</v>
      </c>
      <c r="K3234" s="9" t="s">
        <v>22850</v>
      </c>
      <c r="L3234" s="9" t="s">
        <v>18305</v>
      </c>
      <c r="M3234" s="9" t="s">
        <v>18065</v>
      </c>
      <c r="N3234" s="9" t="s">
        <v>17746</v>
      </c>
      <c r="O3234" s="9" t="s">
        <v>19859</v>
      </c>
      <c r="P3234" s="9" t="s">
        <v>17748</v>
      </c>
      <c r="Q3234" s="11" t="s">
        <v>19082</v>
      </c>
      <c r="R3234" s="11" t="s">
        <v>19082</v>
      </c>
      <c r="S3234" s="11" t="s">
        <v>17750</v>
      </c>
    </row>
    <row r="3235" spans="1:19" x14ac:dyDescent="0.2">
      <c r="A3235" s="11" t="s">
        <v>36593</v>
      </c>
      <c r="B3235" s="9" t="s">
        <v>36594</v>
      </c>
      <c r="C3235" s="9" t="s">
        <v>36595</v>
      </c>
      <c r="D3235" s="9" t="s">
        <v>36596</v>
      </c>
      <c r="E3235" s="9" t="s">
        <v>17740</v>
      </c>
      <c r="F3235" s="9" t="s">
        <v>17741</v>
      </c>
      <c r="G3235" s="9" t="s">
        <v>17740</v>
      </c>
      <c r="H3235" s="11" t="s">
        <v>36597</v>
      </c>
      <c r="I3235" s="11" t="s">
        <v>36598</v>
      </c>
      <c r="J3235" s="11" t="s">
        <v>36598</v>
      </c>
      <c r="K3235" s="9" t="s">
        <v>18520</v>
      </c>
      <c r="L3235" s="9" t="s">
        <v>17744</v>
      </c>
      <c r="M3235" s="9" t="s">
        <v>17760</v>
      </c>
      <c r="N3235" s="9" t="s">
        <v>17746</v>
      </c>
      <c r="O3235" s="9" t="s">
        <v>24577</v>
      </c>
      <c r="P3235" s="9" t="s">
        <v>17748</v>
      </c>
      <c r="Q3235" s="11" t="s">
        <v>17808</v>
      </c>
      <c r="R3235" s="11" t="s">
        <v>17808</v>
      </c>
      <c r="S3235" s="11" t="s">
        <v>17750</v>
      </c>
    </row>
    <row r="3236" spans="1:19" x14ac:dyDescent="0.2">
      <c r="A3236" s="11" t="s">
        <v>36599</v>
      </c>
      <c r="B3236" s="9" t="s">
        <v>36600</v>
      </c>
      <c r="C3236" s="9" t="s">
        <v>36601</v>
      </c>
      <c r="D3236" s="9" t="s">
        <v>36602</v>
      </c>
      <c r="E3236" s="9" t="s">
        <v>17740</v>
      </c>
      <c r="F3236" s="9" t="s">
        <v>36603</v>
      </c>
      <c r="G3236" s="9" t="s">
        <v>17740</v>
      </c>
      <c r="H3236" s="11" t="s">
        <v>17741</v>
      </c>
      <c r="I3236" s="11" t="s">
        <v>2459</v>
      </c>
      <c r="J3236" s="11" t="s">
        <v>2459</v>
      </c>
      <c r="K3236" s="9" t="s">
        <v>18832</v>
      </c>
      <c r="L3236" s="9" t="s">
        <v>17759</v>
      </c>
      <c r="M3236" s="9" t="s">
        <v>17769</v>
      </c>
      <c r="N3236" s="9" t="s">
        <v>17746</v>
      </c>
      <c r="O3236" s="9" t="s">
        <v>20056</v>
      </c>
      <c r="P3236" s="9" t="s">
        <v>17748</v>
      </c>
      <c r="Q3236" s="11" t="s">
        <v>18600</v>
      </c>
      <c r="R3236" s="11" t="s">
        <v>18600</v>
      </c>
      <c r="S3236" s="11" t="s">
        <v>17750</v>
      </c>
    </row>
    <row r="3237" spans="1:19" x14ac:dyDescent="0.2">
      <c r="A3237" s="11" t="s">
        <v>36604</v>
      </c>
      <c r="B3237" s="9" t="s">
        <v>36605</v>
      </c>
      <c r="C3237" s="9" t="s">
        <v>36606</v>
      </c>
      <c r="D3237" s="9" t="s">
        <v>36607</v>
      </c>
      <c r="E3237" s="9" t="s">
        <v>17740</v>
      </c>
      <c r="F3237" s="9" t="s">
        <v>17741</v>
      </c>
      <c r="G3237" s="9" t="s">
        <v>17740</v>
      </c>
      <c r="H3237" s="11" t="s">
        <v>13152</v>
      </c>
      <c r="I3237" s="11" t="s">
        <v>13151</v>
      </c>
      <c r="J3237" s="11" t="s">
        <v>13151</v>
      </c>
      <c r="K3237" s="9" t="s">
        <v>17783</v>
      </c>
      <c r="L3237" s="9" t="s">
        <v>17759</v>
      </c>
      <c r="M3237" s="9" t="s">
        <v>17760</v>
      </c>
      <c r="N3237" s="9" t="s">
        <v>17746</v>
      </c>
      <c r="O3237" s="9" t="s">
        <v>4009</v>
      </c>
      <c r="P3237" s="9" t="s">
        <v>17748</v>
      </c>
      <c r="Q3237" s="11" t="s">
        <v>17984</v>
      </c>
      <c r="R3237" s="11" t="s">
        <v>17984</v>
      </c>
      <c r="S3237" s="11" t="s">
        <v>17750</v>
      </c>
    </row>
    <row r="3238" spans="1:19" x14ac:dyDescent="0.2">
      <c r="A3238" s="11" t="s">
        <v>36608</v>
      </c>
      <c r="B3238" s="9" t="s">
        <v>36609</v>
      </c>
      <c r="C3238" s="9" t="s">
        <v>36610</v>
      </c>
      <c r="D3238" s="9" t="s">
        <v>36611</v>
      </c>
      <c r="E3238" s="9" t="s">
        <v>17740</v>
      </c>
      <c r="F3238" s="9" t="s">
        <v>17741</v>
      </c>
      <c r="G3238" s="9" t="s">
        <v>17740</v>
      </c>
      <c r="H3238" s="11" t="s">
        <v>2471</v>
      </c>
      <c r="I3238" s="11" t="s">
        <v>2470</v>
      </c>
      <c r="J3238" s="11" t="s">
        <v>2470</v>
      </c>
      <c r="K3238" s="9" t="s">
        <v>19094</v>
      </c>
      <c r="L3238" s="9" t="s">
        <v>17759</v>
      </c>
      <c r="M3238" s="9" t="s">
        <v>17817</v>
      </c>
      <c r="N3238" s="9" t="s">
        <v>17746</v>
      </c>
      <c r="O3238" s="9" t="s">
        <v>4048</v>
      </c>
      <c r="P3238" s="9" t="s">
        <v>17748</v>
      </c>
      <c r="Q3238" s="11" t="s">
        <v>18600</v>
      </c>
      <c r="R3238" s="11" t="s">
        <v>18600</v>
      </c>
      <c r="S3238" s="11" t="s">
        <v>17750</v>
      </c>
    </row>
    <row r="3239" spans="1:19" x14ac:dyDescent="0.2">
      <c r="A3239" s="11" t="s">
        <v>36612</v>
      </c>
      <c r="B3239" s="9" t="s">
        <v>36613</v>
      </c>
      <c r="C3239" s="9" t="s">
        <v>36614</v>
      </c>
      <c r="D3239" s="9" t="s">
        <v>36615</v>
      </c>
      <c r="E3239" s="9" t="s">
        <v>17740</v>
      </c>
      <c r="F3239" s="9" t="s">
        <v>36616</v>
      </c>
      <c r="G3239" s="9" t="s">
        <v>17740</v>
      </c>
      <c r="H3239" s="11" t="s">
        <v>2434</v>
      </c>
      <c r="I3239" s="11" t="s">
        <v>2433</v>
      </c>
      <c r="J3239" s="11" t="s">
        <v>2433</v>
      </c>
      <c r="K3239" s="9" t="s">
        <v>776</v>
      </c>
      <c r="L3239" s="9" t="s">
        <v>17759</v>
      </c>
      <c r="M3239" s="9" t="s">
        <v>19189</v>
      </c>
      <c r="N3239" s="9" t="s">
        <v>17746</v>
      </c>
      <c r="O3239" s="9" t="s">
        <v>17882</v>
      </c>
      <c r="P3239" s="9" t="s">
        <v>17748</v>
      </c>
      <c r="Q3239" s="11" t="s">
        <v>17849</v>
      </c>
      <c r="R3239" s="11" t="s">
        <v>17849</v>
      </c>
      <c r="S3239" s="11" t="s">
        <v>17750</v>
      </c>
    </row>
    <row r="3240" spans="1:19" x14ac:dyDescent="0.2">
      <c r="A3240" s="11" t="s">
        <v>36617</v>
      </c>
      <c r="B3240" s="9" t="s">
        <v>36618</v>
      </c>
      <c r="C3240" s="9" t="s">
        <v>36619</v>
      </c>
      <c r="D3240" s="9" t="s">
        <v>36620</v>
      </c>
      <c r="E3240" s="9" t="s">
        <v>17740</v>
      </c>
      <c r="F3240" s="9" t="s">
        <v>17741</v>
      </c>
      <c r="G3240" s="9" t="s">
        <v>17740</v>
      </c>
      <c r="H3240" s="11" t="s">
        <v>7965</v>
      </c>
      <c r="I3240" s="11" t="s">
        <v>7964</v>
      </c>
      <c r="J3240" s="11" t="s">
        <v>7964</v>
      </c>
      <c r="K3240" s="9" t="s">
        <v>19180</v>
      </c>
      <c r="L3240" s="9" t="s">
        <v>17759</v>
      </c>
      <c r="M3240" s="9" t="s">
        <v>26163</v>
      </c>
      <c r="N3240" s="9" t="s">
        <v>17746</v>
      </c>
      <c r="O3240" s="9" t="s">
        <v>18543</v>
      </c>
      <c r="P3240" s="9" t="s">
        <v>17748</v>
      </c>
      <c r="Q3240" s="11" t="s">
        <v>18798</v>
      </c>
      <c r="R3240" s="11" t="s">
        <v>18798</v>
      </c>
      <c r="S3240" s="11" t="s">
        <v>17750</v>
      </c>
    </row>
    <row r="3241" spans="1:19" x14ac:dyDescent="0.2">
      <c r="A3241" s="11" t="s">
        <v>36621</v>
      </c>
      <c r="B3241" s="9" t="s">
        <v>36622</v>
      </c>
      <c r="C3241" s="9" t="s">
        <v>36623</v>
      </c>
      <c r="D3241" s="9" t="s">
        <v>36624</v>
      </c>
      <c r="E3241" s="9" t="s">
        <v>17740</v>
      </c>
      <c r="F3241" s="9" t="s">
        <v>17741</v>
      </c>
      <c r="G3241" s="9" t="s">
        <v>17740</v>
      </c>
      <c r="H3241" s="11" t="s">
        <v>36625</v>
      </c>
      <c r="I3241" s="11" t="s">
        <v>36626</v>
      </c>
      <c r="J3241" s="11" t="s">
        <v>36626</v>
      </c>
      <c r="K3241" s="9" t="s">
        <v>36627</v>
      </c>
      <c r="L3241" s="9" t="s">
        <v>22017</v>
      </c>
      <c r="M3241" s="9" t="s">
        <v>17760</v>
      </c>
      <c r="N3241" s="9" t="s">
        <v>17746</v>
      </c>
      <c r="O3241" s="9" t="s">
        <v>17993</v>
      </c>
      <c r="P3241" s="9" t="s">
        <v>17748</v>
      </c>
      <c r="Q3241" s="11" t="s">
        <v>18370</v>
      </c>
      <c r="R3241" s="11" t="s">
        <v>18370</v>
      </c>
      <c r="S3241" s="11" t="s">
        <v>17750</v>
      </c>
    </row>
    <row r="3242" spans="1:19" x14ac:dyDescent="0.2">
      <c r="A3242" s="11" t="s">
        <v>36628</v>
      </c>
      <c r="B3242" s="9" t="s">
        <v>36629</v>
      </c>
      <c r="C3242" s="9" t="s">
        <v>36630</v>
      </c>
      <c r="D3242" s="9" t="s">
        <v>36631</v>
      </c>
      <c r="E3242" s="9" t="s">
        <v>17740</v>
      </c>
      <c r="F3242" s="9" t="s">
        <v>17741</v>
      </c>
      <c r="G3242" s="9" t="s">
        <v>17740</v>
      </c>
      <c r="H3242" s="11" t="s">
        <v>36632</v>
      </c>
      <c r="I3242" s="11" t="s">
        <v>36633</v>
      </c>
      <c r="J3242" s="11" t="s">
        <v>36633</v>
      </c>
      <c r="K3242" s="9" t="s">
        <v>55</v>
      </c>
      <c r="L3242" s="9" t="s">
        <v>17759</v>
      </c>
      <c r="M3242" s="9" t="s">
        <v>17769</v>
      </c>
      <c r="N3242" s="9" t="s">
        <v>17746</v>
      </c>
      <c r="O3242" s="9" t="s">
        <v>17874</v>
      </c>
      <c r="P3242" s="9" t="s">
        <v>17748</v>
      </c>
      <c r="Q3242" s="11" t="s">
        <v>19026</v>
      </c>
      <c r="R3242" s="11" t="s">
        <v>19026</v>
      </c>
      <c r="S3242" s="11" t="s">
        <v>17750</v>
      </c>
    </row>
    <row r="3243" spans="1:19" x14ac:dyDescent="0.2">
      <c r="A3243" s="11" t="s">
        <v>36634</v>
      </c>
      <c r="B3243" s="9" t="s">
        <v>36635</v>
      </c>
      <c r="C3243" s="9" t="s">
        <v>36636</v>
      </c>
      <c r="D3243" s="9" t="s">
        <v>36637</v>
      </c>
      <c r="E3243" s="9" t="s">
        <v>17740</v>
      </c>
      <c r="F3243" s="9" t="s">
        <v>17741</v>
      </c>
      <c r="G3243" s="9" t="s">
        <v>17740</v>
      </c>
      <c r="H3243" s="11" t="s">
        <v>2428</v>
      </c>
      <c r="I3243" s="11" t="s">
        <v>2427</v>
      </c>
      <c r="J3243" s="11" t="s">
        <v>2427</v>
      </c>
      <c r="K3243" s="9" t="s">
        <v>18287</v>
      </c>
      <c r="L3243" s="9" t="s">
        <v>17759</v>
      </c>
      <c r="M3243" s="9" t="s">
        <v>36638</v>
      </c>
      <c r="N3243" s="9" t="s">
        <v>17746</v>
      </c>
      <c r="O3243" s="9" t="s">
        <v>22268</v>
      </c>
      <c r="P3243" s="9" t="s">
        <v>17748</v>
      </c>
      <c r="Q3243" s="11" t="s">
        <v>17867</v>
      </c>
      <c r="R3243" s="11" t="s">
        <v>17867</v>
      </c>
      <c r="S3243" s="11" t="s">
        <v>17750</v>
      </c>
    </row>
    <row r="3244" spans="1:19" x14ac:dyDescent="0.2">
      <c r="A3244" s="11" t="s">
        <v>36639</v>
      </c>
      <c r="B3244" s="9" t="s">
        <v>36640</v>
      </c>
      <c r="C3244" s="9" t="s">
        <v>36641</v>
      </c>
      <c r="D3244" s="9" t="s">
        <v>36642</v>
      </c>
      <c r="E3244" s="9" t="s">
        <v>17740</v>
      </c>
      <c r="F3244" s="9" t="s">
        <v>17741</v>
      </c>
      <c r="G3244" s="9" t="s">
        <v>17740</v>
      </c>
      <c r="H3244" s="11" t="s">
        <v>6389</v>
      </c>
      <c r="I3244" s="11" t="s">
        <v>6388</v>
      </c>
      <c r="J3244" s="11" t="s">
        <v>6388</v>
      </c>
      <c r="K3244" s="9" t="s">
        <v>291</v>
      </c>
      <c r="L3244" s="9" t="s">
        <v>17744</v>
      </c>
      <c r="M3244" s="9" t="s">
        <v>18065</v>
      </c>
      <c r="N3244" s="9" t="s">
        <v>17746</v>
      </c>
      <c r="O3244" s="9" t="s">
        <v>19769</v>
      </c>
      <c r="P3244" s="9" t="s">
        <v>17748</v>
      </c>
      <c r="Q3244" s="11" t="s">
        <v>18147</v>
      </c>
      <c r="R3244" s="11" t="s">
        <v>18147</v>
      </c>
      <c r="S3244" s="11" t="s">
        <v>17750</v>
      </c>
    </row>
    <row r="3245" spans="1:19" x14ac:dyDescent="0.2">
      <c r="A3245" s="11" t="s">
        <v>36643</v>
      </c>
      <c r="B3245" s="9" t="s">
        <v>36644</v>
      </c>
      <c r="C3245" s="9" t="s">
        <v>36645</v>
      </c>
      <c r="D3245" s="9" t="s">
        <v>36646</v>
      </c>
      <c r="E3245" s="9" t="s">
        <v>17740</v>
      </c>
      <c r="F3245" s="9" t="s">
        <v>17741</v>
      </c>
      <c r="G3245" s="9" t="s">
        <v>17740</v>
      </c>
      <c r="H3245" s="11" t="s">
        <v>7438</v>
      </c>
      <c r="I3245" s="11" t="s">
        <v>7437</v>
      </c>
      <c r="J3245" s="11" t="s">
        <v>7438</v>
      </c>
      <c r="K3245" s="9" t="s">
        <v>36647</v>
      </c>
      <c r="L3245" s="9" t="s">
        <v>17991</v>
      </c>
      <c r="M3245" s="9" t="s">
        <v>17760</v>
      </c>
      <c r="N3245" s="9" t="s">
        <v>17746</v>
      </c>
      <c r="O3245" s="9" t="s">
        <v>36648</v>
      </c>
      <c r="P3245" s="9" t="s">
        <v>17748</v>
      </c>
      <c r="Q3245" s="11" t="s">
        <v>18798</v>
      </c>
      <c r="R3245" s="11" t="s">
        <v>18798</v>
      </c>
      <c r="S3245" s="11" t="s">
        <v>17750</v>
      </c>
    </row>
    <row r="3246" spans="1:19" x14ac:dyDescent="0.2">
      <c r="A3246" s="11" t="s">
        <v>36649</v>
      </c>
      <c r="B3246" s="9" t="s">
        <v>36650</v>
      </c>
      <c r="C3246" s="9" t="s">
        <v>36651</v>
      </c>
      <c r="D3246" s="9" t="s">
        <v>36652</v>
      </c>
      <c r="E3246" s="9" t="s">
        <v>17740</v>
      </c>
      <c r="F3246" s="9" t="s">
        <v>17741</v>
      </c>
      <c r="G3246" s="9" t="s">
        <v>17740</v>
      </c>
      <c r="H3246" s="11" t="s">
        <v>2446</v>
      </c>
      <c r="I3246" s="11" t="s">
        <v>2445</v>
      </c>
      <c r="J3246" s="11" t="s">
        <v>2445</v>
      </c>
      <c r="K3246" s="9" t="s">
        <v>27353</v>
      </c>
      <c r="L3246" s="9" t="s">
        <v>18001</v>
      </c>
      <c r="M3246" s="9" t="s">
        <v>17817</v>
      </c>
      <c r="N3246" s="9" t="s">
        <v>17746</v>
      </c>
      <c r="O3246" s="9" t="s">
        <v>18746</v>
      </c>
      <c r="P3246" s="9" t="s">
        <v>17748</v>
      </c>
      <c r="Q3246" s="11" t="s">
        <v>17978</v>
      </c>
      <c r="R3246" s="11" t="s">
        <v>17978</v>
      </c>
      <c r="S3246" s="11" t="s">
        <v>17750</v>
      </c>
    </row>
    <row r="3247" spans="1:19" x14ac:dyDescent="0.2">
      <c r="A3247" s="11" t="s">
        <v>36653</v>
      </c>
      <c r="B3247" s="9" t="s">
        <v>36654</v>
      </c>
      <c r="C3247" s="9" t="s">
        <v>36655</v>
      </c>
      <c r="D3247" s="9" t="s">
        <v>36656</v>
      </c>
      <c r="E3247" s="9" t="s">
        <v>17740</v>
      </c>
      <c r="F3247" s="9" t="s">
        <v>36657</v>
      </c>
      <c r="G3247" s="9" t="s">
        <v>17740</v>
      </c>
      <c r="H3247" s="11" t="s">
        <v>36658</v>
      </c>
      <c r="I3247" s="11" t="s">
        <v>36659</v>
      </c>
      <c r="J3247" s="11" t="s">
        <v>36659</v>
      </c>
      <c r="K3247" s="9" t="s">
        <v>36660</v>
      </c>
      <c r="L3247" s="9" t="s">
        <v>20598</v>
      </c>
      <c r="M3247" s="9" t="s">
        <v>36661</v>
      </c>
      <c r="N3247" s="9" t="s">
        <v>17746</v>
      </c>
      <c r="O3247" s="9" t="s">
        <v>18746</v>
      </c>
      <c r="P3247" s="9" t="s">
        <v>17748</v>
      </c>
      <c r="Q3247" s="11" t="s">
        <v>19361</v>
      </c>
      <c r="R3247" s="11" t="s">
        <v>19361</v>
      </c>
      <c r="S3247" s="11" t="s">
        <v>17750</v>
      </c>
    </row>
    <row r="3248" spans="1:19" x14ac:dyDescent="0.2">
      <c r="A3248" s="11" t="s">
        <v>36662</v>
      </c>
      <c r="B3248" s="9" t="s">
        <v>36663</v>
      </c>
      <c r="C3248" s="9" t="s">
        <v>36664</v>
      </c>
      <c r="D3248" s="9" t="s">
        <v>36665</v>
      </c>
      <c r="E3248" s="9" t="s">
        <v>17740</v>
      </c>
      <c r="F3248" s="9" t="s">
        <v>17741</v>
      </c>
      <c r="G3248" s="9" t="s">
        <v>17740</v>
      </c>
      <c r="H3248" s="11" t="s">
        <v>7609</v>
      </c>
      <c r="I3248" s="11" t="s">
        <v>7608</v>
      </c>
      <c r="J3248" s="11" t="s">
        <v>7608</v>
      </c>
      <c r="K3248" s="9" t="s">
        <v>7611</v>
      </c>
      <c r="L3248" s="9" t="s">
        <v>20598</v>
      </c>
      <c r="M3248" s="9" t="s">
        <v>36666</v>
      </c>
      <c r="N3248" s="9" t="s">
        <v>17746</v>
      </c>
      <c r="O3248" s="9" t="s">
        <v>21100</v>
      </c>
      <c r="P3248" s="9" t="s">
        <v>17748</v>
      </c>
      <c r="Q3248" s="11" t="s">
        <v>18080</v>
      </c>
      <c r="R3248" s="11" t="s">
        <v>18080</v>
      </c>
      <c r="S3248" s="11" t="s">
        <v>17750</v>
      </c>
    </row>
    <row r="3249" spans="1:19" x14ac:dyDescent="0.2">
      <c r="A3249" s="11" t="s">
        <v>36667</v>
      </c>
      <c r="B3249" s="9" t="s">
        <v>36668</v>
      </c>
      <c r="C3249" s="9" t="s">
        <v>36669</v>
      </c>
      <c r="D3249" s="9" t="s">
        <v>36670</v>
      </c>
      <c r="E3249" s="9" t="s">
        <v>17748</v>
      </c>
      <c r="F3249" s="9" t="s">
        <v>36671</v>
      </c>
      <c r="G3249" s="9" t="s">
        <v>17740</v>
      </c>
      <c r="H3249" s="11" t="s">
        <v>8132</v>
      </c>
      <c r="I3249" s="11" t="s">
        <v>8131</v>
      </c>
      <c r="J3249" s="11" t="s">
        <v>8131</v>
      </c>
      <c r="K3249" s="9" t="s">
        <v>36672</v>
      </c>
      <c r="L3249" s="9" t="s">
        <v>17744</v>
      </c>
      <c r="M3249" s="9" t="s">
        <v>23678</v>
      </c>
      <c r="N3249" s="9" t="s">
        <v>22152</v>
      </c>
      <c r="O3249" s="9" t="s">
        <v>18264</v>
      </c>
      <c r="P3249" s="9" t="s">
        <v>17748</v>
      </c>
      <c r="Q3249" s="11" t="s">
        <v>18798</v>
      </c>
      <c r="R3249" s="11" t="s">
        <v>18798</v>
      </c>
      <c r="S3249" s="11" t="s">
        <v>17750</v>
      </c>
    </row>
    <row r="3250" spans="1:19" x14ac:dyDescent="0.2">
      <c r="A3250" s="11" t="s">
        <v>36673</v>
      </c>
      <c r="B3250" s="9" t="s">
        <v>36674</v>
      </c>
      <c r="C3250" s="9" t="s">
        <v>36675</v>
      </c>
      <c r="D3250" s="9" t="s">
        <v>36676</v>
      </c>
      <c r="E3250" s="9" t="s">
        <v>17740</v>
      </c>
      <c r="F3250" s="9" t="s">
        <v>17741</v>
      </c>
      <c r="G3250" s="9" t="s">
        <v>17740</v>
      </c>
      <c r="H3250" s="11" t="s">
        <v>2588</v>
      </c>
      <c r="I3250" s="11" t="s">
        <v>2587</v>
      </c>
      <c r="J3250" s="11" t="s">
        <v>2587</v>
      </c>
      <c r="K3250" s="9" t="s">
        <v>291</v>
      </c>
      <c r="L3250" s="9" t="s">
        <v>17744</v>
      </c>
      <c r="M3250" s="9" t="s">
        <v>19938</v>
      </c>
      <c r="N3250" s="9" t="s">
        <v>17746</v>
      </c>
      <c r="O3250" s="9" t="s">
        <v>21220</v>
      </c>
      <c r="P3250" s="9" t="s">
        <v>17748</v>
      </c>
      <c r="Q3250" s="11" t="s">
        <v>18341</v>
      </c>
      <c r="R3250" s="11" t="s">
        <v>18341</v>
      </c>
      <c r="S3250" s="11" t="s">
        <v>17750</v>
      </c>
    </row>
    <row r="3251" spans="1:19" x14ac:dyDescent="0.2">
      <c r="A3251" s="11" t="s">
        <v>36677</v>
      </c>
      <c r="B3251" s="9" t="s">
        <v>36678</v>
      </c>
      <c r="C3251" s="9" t="s">
        <v>36679</v>
      </c>
      <c r="D3251" s="9" t="s">
        <v>36680</v>
      </c>
      <c r="E3251" s="9" t="s">
        <v>17740</v>
      </c>
      <c r="F3251" s="9" t="s">
        <v>36681</v>
      </c>
      <c r="G3251" s="9" t="s">
        <v>17740</v>
      </c>
      <c r="H3251" s="11" t="s">
        <v>2443</v>
      </c>
      <c r="I3251" s="11" t="s">
        <v>2442</v>
      </c>
      <c r="J3251" s="11" t="s">
        <v>2442</v>
      </c>
      <c r="K3251" s="9" t="s">
        <v>36682</v>
      </c>
      <c r="L3251" s="9" t="s">
        <v>17744</v>
      </c>
      <c r="M3251" s="9" t="s">
        <v>36683</v>
      </c>
      <c r="N3251" s="9" t="s">
        <v>17746</v>
      </c>
      <c r="O3251" s="9" t="s">
        <v>23061</v>
      </c>
      <c r="P3251" s="9" t="s">
        <v>17748</v>
      </c>
      <c r="Q3251" s="11" t="s">
        <v>17867</v>
      </c>
      <c r="R3251" s="11" t="s">
        <v>17867</v>
      </c>
      <c r="S3251" s="11" t="s">
        <v>17750</v>
      </c>
    </row>
    <row r="3252" spans="1:19" x14ac:dyDescent="0.2">
      <c r="A3252" s="11" t="s">
        <v>36684</v>
      </c>
      <c r="B3252" s="9" t="s">
        <v>36685</v>
      </c>
      <c r="C3252" s="9" t="s">
        <v>36686</v>
      </c>
      <c r="D3252" s="9" t="s">
        <v>36687</v>
      </c>
      <c r="E3252" s="9" t="s">
        <v>17740</v>
      </c>
      <c r="F3252" s="9" t="s">
        <v>36688</v>
      </c>
      <c r="G3252" s="9" t="s">
        <v>17740</v>
      </c>
      <c r="H3252" s="11" t="s">
        <v>17741</v>
      </c>
      <c r="I3252" s="11" t="s">
        <v>36689</v>
      </c>
      <c r="J3252" s="11" t="s">
        <v>36689</v>
      </c>
      <c r="K3252" s="9" t="s">
        <v>36690</v>
      </c>
      <c r="L3252" s="9" t="s">
        <v>17759</v>
      </c>
      <c r="M3252" s="9" t="s">
        <v>17760</v>
      </c>
      <c r="N3252" s="9" t="s">
        <v>17746</v>
      </c>
      <c r="O3252" s="9" t="s">
        <v>20799</v>
      </c>
      <c r="P3252" s="9" t="s">
        <v>17748</v>
      </c>
      <c r="Q3252" s="11" t="s">
        <v>18960</v>
      </c>
      <c r="R3252" s="11" t="s">
        <v>18960</v>
      </c>
      <c r="S3252" s="11" t="s">
        <v>17750</v>
      </c>
    </row>
    <row r="3253" spans="1:19" x14ac:dyDescent="0.2">
      <c r="A3253" s="11" t="s">
        <v>36691</v>
      </c>
      <c r="B3253" s="9" t="s">
        <v>36692</v>
      </c>
      <c r="C3253" s="9" t="s">
        <v>36693</v>
      </c>
      <c r="D3253" s="9" t="s">
        <v>36694</v>
      </c>
      <c r="E3253" s="9" t="s">
        <v>17748</v>
      </c>
      <c r="F3253" s="9" t="s">
        <v>36695</v>
      </c>
      <c r="G3253" s="9" t="s">
        <v>17740</v>
      </c>
      <c r="H3253" s="11" t="s">
        <v>9139</v>
      </c>
      <c r="I3253" s="11" t="s">
        <v>9138</v>
      </c>
      <c r="J3253" s="11" t="s">
        <v>9138</v>
      </c>
      <c r="K3253" s="9" t="s">
        <v>17805</v>
      </c>
      <c r="L3253" s="9" t="s">
        <v>17759</v>
      </c>
      <c r="M3253" s="9" t="s">
        <v>17769</v>
      </c>
      <c r="N3253" s="9" t="s">
        <v>17746</v>
      </c>
      <c r="O3253" s="9" t="s">
        <v>36696</v>
      </c>
      <c r="P3253" s="9" t="s">
        <v>17748</v>
      </c>
      <c r="Q3253" s="11" t="s">
        <v>17784</v>
      </c>
      <c r="R3253" s="11" t="s">
        <v>17784</v>
      </c>
      <c r="S3253" s="11" t="s">
        <v>17750</v>
      </c>
    </row>
    <row r="3254" spans="1:19" x14ac:dyDescent="0.2">
      <c r="A3254" s="11" t="s">
        <v>36697</v>
      </c>
      <c r="B3254" s="9" t="s">
        <v>36698</v>
      </c>
      <c r="C3254" s="9" t="s">
        <v>36699</v>
      </c>
      <c r="D3254" s="9" t="s">
        <v>36700</v>
      </c>
      <c r="E3254" s="9" t="s">
        <v>17748</v>
      </c>
      <c r="F3254" s="9" t="s">
        <v>36701</v>
      </c>
      <c r="G3254" s="9" t="s">
        <v>17740</v>
      </c>
      <c r="H3254" s="11" t="s">
        <v>10781</v>
      </c>
      <c r="I3254" s="11" t="s">
        <v>10780</v>
      </c>
      <c r="J3254" s="11" t="s">
        <v>10780</v>
      </c>
      <c r="K3254" s="9" t="s">
        <v>91</v>
      </c>
      <c r="L3254" s="9" t="s">
        <v>17759</v>
      </c>
      <c r="M3254" s="9" t="s">
        <v>18065</v>
      </c>
      <c r="N3254" s="9" t="s">
        <v>17746</v>
      </c>
      <c r="O3254" s="9" t="s">
        <v>23443</v>
      </c>
      <c r="P3254" s="9" t="s">
        <v>17748</v>
      </c>
      <c r="Q3254" s="11" t="s">
        <v>17984</v>
      </c>
      <c r="R3254" s="11" t="s">
        <v>17984</v>
      </c>
      <c r="S3254" s="11" t="s">
        <v>17750</v>
      </c>
    </row>
    <row r="3255" spans="1:19" x14ac:dyDescent="0.2">
      <c r="A3255" s="11" t="s">
        <v>36702</v>
      </c>
      <c r="B3255" s="9" t="s">
        <v>36703</v>
      </c>
      <c r="C3255" s="9" t="s">
        <v>36704</v>
      </c>
      <c r="D3255" s="9" t="s">
        <v>36705</v>
      </c>
      <c r="E3255" s="9" t="s">
        <v>17740</v>
      </c>
      <c r="F3255" s="9" t="s">
        <v>17741</v>
      </c>
      <c r="G3255" s="9" t="s">
        <v>17740</v>
      </c>
      <c r="H3255" s="11" t="s">
        <v>2431</v>
      </c>
      <c r="I3255" s="11" t="s">
        <v>2430</v>
      </c>
      <c r="J3255" s="11" t="s">
        <v>2430</v>
      </c>
      <c r="K3255" s="9" t="s">
        <v>21054</v>
      </c>
      <c r="L3255" s="9" t="s">
        <v>17744</v>
      </c>
      <c r="M3255" s="9" t="s">
        <v>20172</v>
      </c>
      <c r="N3255" s="9" t="s">
        <v>17746</v>
      </c>
      <c r="O3255" s="9" t="s">
        <v>36706</v>
      </c>
      <c r="P3255" s="9" t="s">
        <v>17748</v>
      </c>
      <c r="Q3255" s="11" t="s">
        <v>18282</v>
      </c>
      <c r="R3255" s="11" t="s">
        <v>18282</v>
      </c>
      <c r="S3255" s="11" t="s">
        <v>17750</v>
      </c>
    </row>
    <row r="3256" spans="1:19" x14ac:dyDescent="0.2">
      <c r="A3256" s="11" t="s">
        <v>36707</v>
      </c>
      <c r="B3256" s="9" t="s">
        <v>36708</v>
      </c>
      <c r="C3256" s="9" t="s">
        <v>36709</v>
      </c>
      <c r="D3256" s="9" t="s">
        <v>36710</v>
      </c>
      <c r="E3256" s="9" t="s">
        <v>17740</v>
      </c>
      <c r="F3256" s="9" t="s">
        <v>17741</v>
      </c>
      <c r="G3256" s="9" t="s">
        <v>17740</v>
      </c>
      <c r="H3256" s="11" t="s">
        <v>2454</v>
      </c>
      <c r="I3256" s="11" t="s">
        <v>2453</v>
      </c>
      <c r="J3256" s="11" t="s">
        <v>2453</v>
      </c>
      <c r="K3256" s="9" t="s">
        <v>91</v>
      </c>
      <c r="L3256" s="9" t="s">
        <v>17744</v>
      </c>
      <c r="M3256" s="9" t="s">
        <v>36711</v>
      </c>
      <c r="N3256" s="9" t="s">
        <v>17746</v>
      </c>
      <c r="O3256" s="9" t="s">
        <v>22268</v>
      </c>
      <c r="P3256" s="9" t="s">
        <v>17748</v>
      </c>
      <c r="Q3256" s="11" t="s">
        <v>17943</v>
      </c>
      <c r="R3256" s="11" t="s">
        <v>17943</v>
      </c>
      <c r="S3256" s="11" t="s">
        <v>17750</v>
      </c>
    </row>
    <row r="3257" spans="1:19" x14ac:dyDescent="0.2">
      <c r="A3257" s="11" t="s">
        <v>36712</v>
      </c>
      <c r="B3257" s="9" t="s">
        <v>36713</v>
      </c>
      <c r="C3257" s="9" t="s">
        <v>36714</v>
      </c>
      <c r="D3257" s="9" t="s">
        <v>36715</v>
      </c>
      <c r="E3257" s="9" t="s">
        <v>17748</v>
      </c>
      <c r="F3257" s="9" t="s">
        <v>36716</v>
      </c>
      <c r="G3257" s="9" t="s">
        <v>17740</v>
      </c>
      <c r="H3257" s="11" t="s">
        <v>14765</v>
      </c>
      <c r="I3257" s="11" t="s">
        <v>14764</v>
      </c>
      <c r="J3257" s="11" t="s">
        <v>14765</v>
      </c>
      <c r="K3257" s="9" t="s">
        <v>55</v>
      </c>
      <c r="L3257" s="9" t="s">
        <v>17759</v>
      </c>
      <c r="M3257" s="9" t="s">
        <v>17741</v>
      </c>
      <c r="N3257" s="9" t="s">
        <v>17746</v>
      </c>
      <c r="O3257" s="9" t="s">
        <v>22268</v>
      </c>
      <c r="P3257" s="9" t="s">
        <v>17748</v>
      </c>
      <c r="Q3257" s="11" t="s">
        <v>17825</v>
      </c>
      <c r="R3257" s="11" t="s">
        <v>17825</v>
      </c>
      <c r="S3257" s="11" t="s">
        <v>17750</v>
      </c>
    </row>
    <row r="3258" spans="1:19" x14ac:dyDescent="0.2">
      <c r="A3258" s="11" t="s">
        <v>36717</v>
      </c>
      <c r="B3258" s="9" t="s">
        <v>36718</v>
      </c>
      <c r="C3258" s="9" t="s">
        <v>36719</v>
      </c>
      <c r="D3258" s="9" t="s">
        <v>36720</v>
      </c>
      <c r="E3258" s="9" t="s">
        <v>17740</v>
      </c>
      <c r="F3258" s="9" t="s">
        <v>17741</v>
      </c>
      <c r="G3258" s="9" t="s">
        <v>17740</v>
      </c>
      <c r="H3258" s="11" t="s">
        <v>36721</v>
      </c>
      <c r="I3258" s="11" t="s">
        <v>8624</v>
      </c>
      <c r="J3258" s="11" t="s">
        <v>8624</v>
      </c>
      <c r="K3258" s="9" t="s">
        <v>36722</v>
      </c>
      <c r="L3258" s="9" t="s">
        <v>17759</v>
      </c>
      <c r="M3258" s="9" t="s">
        <v>21092</v>
      </c>
      <c r="N3258" s="9" t="s">
        <v>17746</v>
      </c>
      <c r="O3258" s="9" t="s">
        <v>22268</v>
      </c>
      <c r="P3258" s="9" t="s">
        <v>17748</v>
      </c>
      <c r="Q3258" s="11" t="s">
        <v>18356</v>
      </c>
      <c r="R3258" s="11" t="s">
        <v>18356</v>
      </c>
      <c r="S3258" s="11" t="s">
        <v>17750</v>
      </c>
    </row>
    <row r="3259" spans="1:19" x14ac:dyDescent="0.2">
      <c r="A3259" s="11" t="s">
        <v>36723</v>
      </c>
      <c r="B3259" s="9" t="s">
        <v>36724</v>
      </c>
      <c r="C3259" s="9" t="s">
        <v>36725</v>
      </c>
      <c r="D3259" s="9" t="s">
        <v>36726</v>
      </c>
      <c r="E3259" s="9" t="s">
        <v>17740</v>
      </c>
      <c r="F3259" s="9" t="s">
        <v>17741</v>
      </c>
      <c r="G3259" s="9" t="s">
        <v>17740</v>
      </c>
      <c r="H3259" s="11" t="s">
        <v>4702</v>
      </c>
      <c r="I3259" s="11" t="s">
        <v>4701</v>
      </c>
      <c r="J3259" s="11" t="s">
        <v>4701</v>
      </c>
      <c r="K3259" s="9" t="s">
        <v>28062</v>
      </c>
      <c r="L3259" s="9" t="s">
        <v>17744</v>
      </c>
      <c r="M3259" s="9" t="s">
        <v>17769</v>
      </c>
      <c r="N3259" s="9" t="s">
        <v>17746</v>
      </c>
      <c r="O3259" s="9" t="s">
        <v>36727</v>
      </c>
      <c r="P3259" s="9" t="s">
        <v>17748</v>
      </c>
      <c r="Q3259" s="11" t="s">
        <v>18678</v>
      </c>
      <c r="R3259" s="11" t="s">
        <v>18678</v>
      </c>
      <c r="S3259" s="11" t="s">
        <v>17750</v>
      </c>
    </row>
    <row r="3260" spans="1:19" x14ac:dyDescent="0.2">
      <c r="A3260" s="11" t="s">
        <v>36728</v>
      </c>
      <c r="B3260" s="9" t="s">
        <v>36729</v>
      </c>
      <c r="C3260" s="9" t="s">
        <v>36730</v>
      </c>
      <c r="D3260" s="9" t="s">
        <v>36731</v>
      </c>
      <c r="E3260" s="9" t="s">
        <v>17740</v>
      </c>
      <c r="F3260" s="9" t="s">
        <v>17741</v>
      </c>
      <c r="G3260" s="9" t="s">
        <v>17740</v>
      </c>
      <c r="H3260" s="11" t="s">
        <v>36732</v>
      </c>
      <c r="I3260" s="11" t="s">
        <v>36733</v>
      </c>
      <c r="J3260" s="11" t="s">
        <v>36733</v>
      </c>
      <c r="K3260" s="9" t="s">
        <v>18727</v>
      </c>
      <c r="L3260" s="9" t="s">
        <v>18158</v>
      </c>
      <c r="M3260" s="9" t="s">
        <v>18289</v>
      </c>
      <c r="N3260" s="9" t="s">
        <v>17746</v>
      </c>
      <c r="O3260" s="9" t="s">
        <v>22268</v>
      </c>
      <c r="P3260" s="9" t="s">
        <v>17748</v>
      </c>
      <c r="Q3260" s="11" t="s">
        <v>19899</v>
      </c>
      <c r="R3260" s="11" t="s">
        <v>19899</v>
      </c>
      <c r="S3260" s="11" t="s">
        <v>17750</v>
      </c>
    </row>
    <row r="3261" spans="1:19" x14ac:dyDescent="0.2">
      <c r="A3261" s="11" t="s">
        <v>36734</v>
      </c>
      <c r="B3261" s="9" t="s">
        <v>36735</v>
      </c>
      <c r="C3261" s="9" t="s">
        <v>36736</v>
      </c>
      <c r="D3261" s="9" t="s">
        <v>36737</v>
      </c>
      <c r="E3261" s="9" t="s">
        <v>17748</v>
      </c>
      <c r="F3261" s="9" t="s">
        <v>36738</v>
      </c>
      <c r="G3261" s="9" t="s">
        <v>17740</v>
      </c>
      <c r="H3261" s="11" t="s">
        <v>7662</v>
      </c>
      <c r="I3261" s="11" t="s">
        <v>7661</v>
      </c>
      <c r="J3261" s="11" t="s">
        <v>7661</v>
      </c>
      <c r="K3261" s="9" t="s">
        <v>36739</v>
      </c>
      <c r="L3261" s="9" t="s">
        <v>17759</v>
      </c>
      <c r="M3261" s="9" t="s">
        <v>17769</v>
      </c>
      <c r="N3261" s="9" t="s">
        <v>17746</v>
      </c>
      <c r="O3261" s="9" t="s">
        <v>22268</v>
      </c>
      <c r="P3261" s="9" t="s">
        <v>17748</v>
      </c>
      <c r="Q3261" s="11" t="s">
        <v>18272</v>
      </c>
      <c r="R3261" s="11" t="s">
        <v>18272</v>
      </c>
      <c r="S3261" s="11" t="s">
        <v>17750</v>
      </c>
    </row>
    <row r="3262" spans="1:19" x14ac:dyDescent="0.2">
      <c r="A3262" s="11" t="s">
        <v>36740</v>
      </c>
      <c r="B3262" s="9" t="s">
        <v>36741</v>
      </c>
      <c r="C3262" s="9" t="s">
        <v>36742</v>
      </c>
      <c r="D3262" s="9" t="s">
        <v>36743</v>
      </c>
      <c r="E3262" s="9" t="s">
        <v>17748</v>
      </c>
      <c r="F3262" s="9" t="s">
        <v>36744</v>
      </c>
      <c r="G3262" s="9" t="s">
        <v>17740</v>
      </c>
      <c r="H3262" s="11" t="s">
        <v>10211</v>
      </c>
      <c r="I3262" s="11" t="s">
        <v>10210</v>
      </c>
      <c r="J3262" s="11" t="s">
        <v>10210</v>
      </c>
      <c r="K3262" s="9" t="s">
        <v>217</v>
      </c>
      <c r="L3262" s="9" t="s">
        <v>18001</v>
      </c>
      <c r="M3262" s="9" t="s">
        <v>19559</v>
      </c>
      <c r="N3262" s="9" t="s">
        <v>17746</v>
      </c>
      <c r="O3262" s="9" t="s">
        <v>18186</v>
      </c>
      <c r="P3262" s="9" t="s">
        <v>17748</v>
      </c>
      <c r="Q3262" s="11" t="s">
        <v>17780</v>
      </c>
      <c r="R3262" s="11" t="s">
        <v>17780</v>
      </c>
      <c r="S3262" s="11" t="s">
        <v>17750</v>
      </c>
    </row>
    <row r="3263" spans="1:19" x14ac:dyDescent="0.2">
      <c r="A3263" s="11" t="s">
        <v>36745</v>
      </c>
      <c r="B3263" s="9" t="s">
        <v>36746</v>
      </c>
      <c r="C3263" s="9" t="s">
        <v>36747</v>
      </c>
      <c r="D3263" s="9" t="s">
        <v>36748</v>
      </c>
      <c r="E3263" s="9" t="s">
        <v>17748</v>
      </c>
      <c r="F3263" s="9" t="s">
        <v>36749</v>
      </c>
      <c r="G3263" s="9" t="s">
        <v>17740</v>
      </c>
      <c r="H3263" s="11" t="s">
        <v>6498</v>
      </c>
      <c r="I3263" s="11" t="s">
        <v>6497</v>
      </c>
      <c r="J3263" s="11" t="s">
        <v>6497</v>
      </c>
      <c r="K3263" s="9" t="s">
        <v>17790</v>
      </c>
      <c r="L3263" s="9" t="s">
        <v>18158</v>
      </c>
      <c r="M3263" s="9" t="s">
        <v>17817</v>
      </c>
      <c r="N3263" s="9" t="s">
        <v>17746</v>
      </c>
      <c r="O3263" s="9" t="s">
        <v>31411</v>
      </c>
      <c r="P3263" s="9" t="s">
        <v>17748</v>
      </c>
      <c r="Q3263" s="11" t="s">
        <v>19361</v>
      </c>
      <c r="R3263" s="11" t="s">
        <v>19361</v>
      </c>
      <c r="S3263" s="11" t="s">
        <v>17750</v>
      </c>
    </row>
    <row r="3264" spans="1:19" x14ac:dyDescent="0.2">
      <c r="A3264" s="11" t="s">
        <v>36750</v>
      </c>
      <c r="B3264" s="9" t="s">
        <v>36751</v>
      </c>
      <c r="C3264" s="9" t="s">
        <v>36752</v>
      </c>
      <c r="D3264" s="9" t="s">
        <v>36753</v>
      </c>
      <c r="E3264" s="9" t="s">
        <v>17740</v>
      </c>
      <c r="F3264" s="9" t="s">
        <v>17741</v>
      </c>
      <c r="G3264" s="9" t="s">
        <v>17740</v>
      </c>
      <c r="H3264" s="11" t="s">
        <v>8291</v>
      </c>
      <c r="I3264" s="11" t="s">
        <v>8290</v>
      </c>
      <c r="J3264" s="11" t="s">
        <v>8290</v>
      </c>
      <c r="K3264" s="9" t="s">
        <v>18122</v>
      </c>
      <c r="L3264" s="9" t="s">
        <v>18123</v>
      </c>
      <c r="M3264" s="9" t="s">
        <v>23344</v>
      </c>
      <c r="N3264" s="9" t="s">
        <v>17746</v>
      </c>
      <c r="O3264" s="9" t="s">
        <v>36754</v>
      </c>
      <c r="P3264" s="9" t="s">
        <v>17748</v>
      </c>
      <c r="Q3264" s="11" t="s">
        <v>18356</v>
      </c>
      <c r="R3264" s="11" t="s">
        <v>18356</v>
      </c>
      <c r="S3264" s="11" t="s">
        <v>17750</v>
      </c>
    </row>
    <row r="3265" spans="1:19" x14ac:dyDescent="0.2">
      <c r="A3265" s="11" t="s">
        <v>36755</v>
      </c>
      <c r="B3265" s="9" t="s">
        <v>36756</v>
      </c>
      <c r="C3265" s="9" t="s">
        <v>36757</v>
      </c>
      <c r="D3265" s="9" t="s">
        <v>36758</v>
      </c>
      <c r="E3265" s="9" t="s">
        <v>17740</v>
      </c>
      <c r="F3265" s="9" t="s">
        <v>17741</v>
      </c>
      <c r="G3265" s="9" t="s">
        <v>17740</v>
      </c>
      <c r="H3265" s="11" t="s">
        <v>9234</v>
      </c>
      <c r="I3265" s="11" t="s">
        <v>9233</v>
      </c>
      <c r="J3265" s="11" t="s">
        <v>9234</v>
      </c>
      <c r="K3265" s="9" t="s">
        <v>17783</v>
      </c>
      <c r="L3265" s="9" t="s">
        <v>18158</v>
      </c>
      <c r="M3265" s="9" t="s">
        <v>18289</v>
      </c>
      <c r="N3265" s="9" t="s">
        <v>17746</v>
      </c>
      <c r="O3265" s="9" t="s">
        <v>22268</v>
      </c>
      <c r="P3265" s="9" t="s">
        <v>17748</v>
      </c>
      <c r="Q3265" s="11" t="s">
        <v>19361</v>
      </c>
      <c r="R3265" s="11" t="s">
        <v>19361</v>
      </c>
      <c r="S3265" s="11" t="s">
        <v>17750</v>
      </c>
    </row>
    <row r="3266" spans="1:19" x14ac:dyDescent="0.2">
      <c r="A3266" s="11" t="s">
        <v>36759</v>
      </c>
      <c r="B3266" s="9" t="s">
        <v>36760</v>
      </c>
      <c r="C3266" s="9" t="s">
        <v>36761</v>
      </c>
      <c r="D3266" s="9" t="s">
        <v>36762</v>
      </c>
      <c r="E3266" s="9" t="s">
        <v>17740</v>
      </c>
      <c r="F3266" s="9" t="s">
        <v>36763</v>
      </c>
      <c r="G3266" s="9" t="s">
        <v>17740</v>
      </c>
      <c r="H3266" s="11" t="s">
        <v>7225</v>
      </c>
      <c r="I3266" s="11" t="s">
        <v>7224</v>
      </c>
      <c r="J3266" s="11" t="s">
        <v>7224</v>
      </c>
      <c r="K3266" s="9" t="s">
        <v>940</v>
      </c>
      <c r="L3266" s="9" t="s">
        <v>17759</v>
      </c>
      <c r="M3266" s="9" t="s">
        <v>18994</v>
      </c>
      <c r="N3266" s="9" t="s">
        <v>17746</v>
      </c>
      <c r="O3266" s="9" t="s">
        <v>36764</v>
      </c>
      <c r="P3266" s="9" t="s">
        <v>17748</v>
      </c>
      <c r="Q3266" s="11" t="s">
        <v>17819</v>
      </c>
      <c r="R3266" s="11" t="s">
        <v>17819</v>
      </c>
      <c r="S3266" s="11" t="s">
        <v>17750</v>
      </c>
    </row>
    <row r="3267" spans="1:19" x14ac:dyDescent="0.2">
      <c r="A3267" s="11" t="s">
        <v>36765</v>
      </c>
      <c r="B3267" s="9" t="s">
        <v>36766</v>
      </c>
      <c r="C3267" s="9" t="s">
        <v>36767</v>
      </c>
      <c r="D3267" s="9" t="s">
        <v>36768</v>
      </c>
      <c r="E3267" s="9" t="s">
        <v>17740</v>
      </c>
      <c r="F3267" s="9" t="s">
        <v>17741</v>
      </c>
      <c r="G3267" s="9" t="s">
        <v>17740</v>
      </c>
      <c r="H3267" s="11" t="s">
        <v>36769</v>
      </c>
      <c r="I3267" s="11" t="s">
        <v>36770</v>
      </c>
      <c r="J3267" s="11" t="s">
        <v>36770</v>
      </c>
      <c r="K3267" s="9" t="s">
        <v>20207</v>
      </c>
      <c r="L3267" s="9" t="s">
        <v>17744</v>
      </c>
      <c r="M3267" s="9" t="s">
        <v>26099</v>
      </c>
      <c r="N3267" s="9" t="s">
        <v>17746</v>
      </c>
      <c r="O3267" s="9" t="s">
        <v>22268</v>
      </c>
      <c r="P3267" s="9" t="s">
        <v>17748</v>
      </c>
      <c r="Q3267" s="11" t="s">
        <v>18678</v>
      </c>
      <c r="R3267" s="11" t="s">
        <v>18678</v>
      </c>
      <c r="S3267" s="11" t="s">
        <v>17750</v>
      </c>
    </row>
    <row r="3268" spans="1:19" x14ac:dyDescent="0.2">
      <c r="A3268" s="11" t="s">
        <v>36771</v>
      </c>
      <c r="B3268" s="9" t="s">
        <v>36772</v>
      </c>
      <c r="C3268" s="9" t="s">
        <v>36773</v>
      </c>
      <c r="D3268" s="9" t="s">
        <v>36774</v>
      </c>
      <c r="E3268" s="9" t="s">
        <v>17740</v>
      </c>
      <c r="F3268" s="9" t="s">
        <v>17741</v>
      </c>
      <c r="G3268" s="9" t="s">
        <v>17740</v>
      </c>
      <c r="H3268" s="11" t="s">
        <v>36775</v>
      </c>
      <c r="I3268" s="11" t="s">
        <v>36776</v>
      </c>
      <c r="J3268" s="11" t="s">
        <v>36777</v>
      </c>
      <c r="K3268" s="9" t="s">
        <v>19094</v>
      </c>
      <c r="L3268" s="9" t="s">
        <v>17759</v>
      </c>
      <c r="M3268" s="9" t="s">
        <v>17817</v>
      </c>
      <c r="N3268" s="9" t="s">
        <v>17746</v>
      </c>
      <c r="O3268" s="9" t="s">
        <v>20208</v>
      </c>
      <c r="P3268" s="9" t="s">
        <v>17748</v>
      </c>
      <c r="Q3268" s="11" t="s">
        <v>19882</v>
      </c>
      <c r="R3268" s="11" t="s">
        <v>19882</v>
      </c>
      <c r="S3268" s="11" t="s">
        <v>17750</v>
      </c>
    </row>
    <row r="3269" spans="1:19" x14ac:dyDescent="0.2">
      <c r="A3269" s="11" t="s">
        <v>36778</v>
      </c>
      <c r="B3269" s="9" t="s">
        <v>36779</v>
      </c>
      <c r="C3269" s="9" t="s">
        <v>36780</v>
      </c>
      <c r="D3269" s="9" t="s">
        <v>36781</v>
      </c>
      <c r="E3269" s="9" t="s">
        <v>17740</v>
      </c>
      <c r="F3269" s="9" t="s">
        <v>17741</v>
      </c>
      <c r="G3269" s="9" t="s">
        <v>17740</v>
      </c>
      <c r="H3269" s="11" t="s">
        <v>36782</v>
      </c>
      <c r="I3269" s="11" t="s">
        <v>36783</v>
      </c>
      <c r="J3269" s="11" t="s">
        <v>36783</v>
      </c>
      <c r="K3269" s="9" t="s">
        <v>689</v>
      </c>
      <c r="L3269" s="9" t="s">
        <v>17759</v>
      </c>
      <c r="M3269" s="9" t="s">
        <v>22224</v>
      </c>
      <c r="N3269" s="9" t="s">
        <v>17746</v>
      </c>
      <c r="O3269" s="9" t="s">
        <v>18481</v>
      </c>
      <c r="P3269" s="9" t="s">
        <v>17748</v>
      </c>
      <c r="Q3269" s="11" t="s">
        <v>17867</v>
      </c>
      <c r="R3269" s="11" t="s">
        <v>17867</v>
      </c>
      <c r="S3269" s="11" t="s">
        <v>17750</v>
      </c>
    </row>
    <row r="3270" spans="1:19" x14ac:dyDescent="0.2">
      <c r="A3270" s="11" t="s">
        <v>36784</v>
      </c>
      <c r="B3270" s="9" t="s">
        <v>36785</v>
      </c>
      <c r="C3270" s="9" t="s">
        <v>36786</v>
      </c>
      <c r="D3270" s="9" t="s">
        <v>36787</v>
      </c>
      <c r="E3270" s="9" t="s">
        <v>17740</v>
      </c>
      <c r="F3270" s="9" t="s">
        <v>17741</v>
      </c>
      <c r="G3270" s="9" t="s">
        <v>17740</v>
      </c>
      <c r="H3270" s="11" t="s">
        <v>36788</v>
      </c>
      <c r="I3270" s="11" t="s">
        <v>36789</v>
      </c>
      <c r="J3270" s="11" t="s">
        <v>36789</v>
      </c>
      <c r="K3270" s="9" t="s">
        <v>217</v>
      </c>
      <c r="L3270" s="9" t="s">
        <v>18001</v>
      </c>
      <c r="M3270" s="9" t="s">
        <v>22815</v>
      </c>
      <c r="N3270" s="9" t="s">
        <v>17746</v>
      </c>
      <c r="O3270" s="9" t="s">
        <v>19814</v>
      </c>
      <c r="P3270" s="9" t="s">
        <v>17748</v>
      </c>
      <c r="Q3270" s="11" t="s">
        <v>19222</v>
      </c>
      <c r="R3270" s="11" t="s">
        <v>19222</v>
      </c>
      <c r="S3270" s="11" t="s">
        <v>17750</v>
      </c>
    </row>
    <row r="3271" spans="1:19" x14ac:dyDescent="0.2">
      <c r="A3271" s="11" t="s">
        <v>36790</v>
      </c>
      <c r="B3271" s="9" t="s">
        <v>36791</v>
      </c>
      <c r="C3271" s="9" t="s">
        <v>36792</v>
      </c>
      <c r="D3271" s="9" t="s">
        <v>36793</v>
      </c>
      <c r="E3271" s="9" t="s">
        <v>17740</v>
      </c>
      <c r="F3271" s="9" t="s">
        <v>17741</v>
      </c>
      <c r="G3271" s="9" t="s">
        <v>17740</v>
      </c>
      <c r="H3271" s="11" t="s">
        <v>17741</v>
      </c>
      <c r="I3271" s="11" t="s">
        <v>8938</v>
      </c>
      <c r="J3271" s="11" t="s">
        <v>8938</v>
      </c>
      <c r="K3271" s="9" t="s">
        <v>8939</v>
      </c>
      <c r="L3271" s="9" t="s">
        <v>20969</v>
      </c>
      <c r="M3271" s="9" t="s">
        <v>17760</v>
      </c>
      <c r="N3271" s="9" t="s">
        <v>17746</v>
      </c>
      <c r="O3271" s="9" t="s">
        <v>36794</v>
      </c>
      <c r="P3271" s="9" t="s">
        <v>17748</v>
      </c>
      <c r="Q3271" s="11" t="s">
        <v>17784</v>
      </c>
      <c r="R3271" s="11" t="s">
        <v>17784</v>
      </c>
      <c r="S3271" s="11" t="s">
        <v>17750</v>
      </c>
    </row>
    <row r="3272" spans="1:19" x14ac:dyDescent="0.2">
      <c r="A3272" s="11" t="s">
        <v>36795</v>
      </c>
      <c r="B3272" s="9" t="s">
        <v>36796</v>
      </c>
      <c r="C3272" s="9" t="s">
        <v>36797</v>
      </c>
      <c r="D3272" s="9" t="s">
        <v>36798</v>
      </c>
      <c r="E3272" s="9" t="s">
        <v>17740</v>
      </c>
      <c r="F3272" s="9" t="s">
        <v>36799</v>
      </c>
      <c r="G3272" s="9" t="s">
        <v>17740</v>
      </c>
      <c r="H3272" s="11" t="s">
        <v>36800</v>
      </c>
      <c r="I3272" s="11" t="s">
        <v>36801</v>
      </c>
      <c r="J3272" s="11" t="s">
        <v>36801</v>
      </c>
      <c r="K3272" s="9" t="s">
        <v>55</v>
      </c>
      <c r="L3272" s="9" t="s">
        <v>17744</v>
      </c>
      <c r="M3272" s="9" t="s">
        <v>17760</v>
      </c>
      <c r="N3272" s="9" t="s">
        <v>17746</v>
      </c>
      <c r="O3272" s="9" t="s">
        <v>18607</v>
      </c>
      <c r="P3272" s="9" t="s">
        <v>17748</v>
      </c>
      <c r="Q3272" s="11" t="s">
        <v>19236</v>
      </c>
      <c r="R3272" s="11" t="s">
        <v>19236</v>
      </c>
      <c r="S3272" s="11" t="s">
        <v>17750</v>
      </c>
    </row>
    <row r="3273" spans="1:19" x14ac:dyDescent="0.2">
      <c r="A3273" s="11" t="s">
        <v>36802</v>
      </c>
      <c r="B3273" s="9" t="s">
        <v>36803</v>
      </c>
      <c r="C3273" s="9" t="s">
        <v>36804</v>
      </c>
      <c r="D3273" s="9" t="s">
        <v>36805</v>
      </c>
      <c r="E3273" s="9" t="s">
        <v>17740</v>
      </c>
      <c r="F3273" s="9" t="s">
        <v>17741</v>
      </c>
      <c r="G3273" s="9" t="s">
        <v>17740</v>
      </c>
      <c r="H3273" s="11" t="s">
        <v>9753</v>
      </c>
      <c r="I3273" s="11" t="s">
        <v>17741</v>
      </c>
      <c r="J3273" s="11" t="s">
        <v>9753</v>
      </c>
      <c r="K3273" s="9" t="s">
        <v>18570</v>
      </c>
      <c r="L3273" s="9" t="s">
        <v>17744</v>
      </c>
      <c r="M3273" s="9" t="s">
        <v>17741</v>
      </c>
      <c r="N3273" s="9" t="s">
        <v>17746</v>
      </c>
      <c r="O3273" s="9" t="s">
        <v>21626</v>
      </c>
      <c r="P3273" s="9" t="s">
        <v>17748</v>
      </c>
      <c r="Q3273" s="11" t="s">
        <v>17858</v>
      </c>
      <c r="R3273" s="11" t="s">
        <v>17858</v>
      </c>
      <c r="S3273" s="11" t="s">
        <v>17750</v>
      </c>
    </row>
    <row r="3274" spans="1:19" x14ac:dyDescent="0.2">
      <c r="A3274" s="11" t="s">
        <v>36806</v>
      </c>
      <c r="B3274" s="9" t="s">
        <v>36807</v>
      </c>
      <c r="C3274" s="9" t="s">
        <v>36808</v>
      </c>
      <c r="D3274" s="9" t="s">
        <v>36809</v>
      </c>
      <c r="E3274" s="9" t="s">
        <v>17740</v>
      </c>
      <c r="F3274" s="9" t="s">
        <v>17741</v>
      </c>
      <c r="G3274" s="9" t="s">
        <v>17740</v>
      </c>
      <c r="H3274" s="11" t="s">
        <v>36810</v>
      </c>
      <c r="I3274" s="11" t="s">
        <v>36811</v>
      </c>
      <c r="J3274" s="11" t="s">
        <v>36811</v>
      </c>
      <c r="K3274" s="9" t="s">
        <v>11896</v>
      </c>
      <c r="L3274" s="9" t="s">
        <v>17759</v>
      </c>
      <c r="M3274" s="9" t="s">
        <v>18417</v>
      </c>
      <c r="N3274" s="9" t="s">
        <v>17746</v>
      </c>
      <c r="O3274" s="9" t="s">
        <v>17916</v>
      </c>
      <c r="P3274" s="9" t="s">
        <v>17748</v>
      </c>
      <c r="Q3274" s="11" t="s">
        <v>18922</v>
      </c>
      <c r="R3274" s="11" t="s">
        <v>18922</v>
      </c>
      <c r="S3274" s="11" t="s">
        <v>17750</v>
      </c>
    </row>
    <row r="3275" spans="1:19" x14ac:dyDescent="0.2">
      <c r="A3275" s="11" t="s">
        <v>36812</v>
      </c>
      <c r="B3275" s="9" t="s">
        <v>36813</v>
      </c>
      <c r="C3275" s="9" t="s">
        <v>36814</v>
      </c>
      <c r="D3275" s="9" t="s">
        <v>36815</v>
      </c>
      <c r="E3275" s="9" t="s">
        <v>17740</v>
      </c>
      <c r="F3275" s="9" t="s">
        <v>17741</v>
      </c>
      <c r="G3275" s="9" t="s">
        <v>17740</v>
      </c>
      <c r="H3275" s="11" t="s">
        <v>17741</v>
      </c>
      <c r="I3275" s="11" t="s">
        <v>36816</v>
      </c>
      <c r="J3275" s="11" t="s">
        <v>36816</v>
      </c>
      <c r="K3275" s="9" t="s">
        <v>36817</v>
      </c>
      <c r="L3275" s="9" t="s">
        <v>17759</v>
      </c>
      <c r="M3275" s="9" t="s">
        <v>18211</v>
      </c>
      <c r="N3275" s="9" t="s">
        <v>17746</v>
      </c>
      <c r="O3275" s="9" t="s">
        <v>35065</v>
      </c>
      <c r="P3275" s="9" t="s">
        <v>17748</v>
      </c>
      <c r="Q3275" s="11" t="s">
        <v>18059</v>
      </c>
      <c r="R3275" s="11" t="s">
        <v>18059</v>
      </c>
      <c r="S3275" s="11" t="s">
        <v>17750</v>
      </c>
    </row>
    <row r="3276" spans="1:19" x14ac:dyDescent="0.2">
      <c r="A3276" s="11" t="s">
        <v>36818</v>
      </c>
      <c r="B3276" s="9" t="s">
        <v>36819</v>
      </c>
      <c r="C3276" s="9" t="s">
        <v>36820</v>
      </c>
      <c r="D3276" s="9" t="s">
        <v>36821</v>
      </c>
      <c r="E3276" s="9" t="s">
        <v>17740</v>
      </c>
      <c r="F3276" s="9" t="s">
        <v>36822</v>
      </c>
      <c r="G3276" s="9" t="s">
        <v>17748</v>
      </c>
      <c r="H3276" s="11" t="s">
        <v>12078</v>
      </c>
      <c r="I3276" s="11" t="s">
        <v>12077</v>
      </c>
      <c r="J3276" s="11" t="s">
        <v>12077</v>
      </c>
      <c r="K3276" s="9" t="s">
        <v>17783</v>
      </c>
      <c r="L3276" s="9" t="s">
        <v>18242</v>
      </c>
      <c r="M3276" s="9" t="s">
        <v>17760</v>
      </c>
      <c r="N3276" s="9" t="s">
        <v>17746</v>
      </c>
      <c r="O3276" s="9" t="s">
        <v>18607</v>
      </c>
      <c r="P3276" s="9" t="s">
        <v>17748</v>
      </c>
      <c r="Q3276" s="11" t="s">
        <v>17762</v>
      </c>
      <c r="R3276" s="11" t="s">
        <v>17762</v>
      </c>
      <c r="S3276" s="11" t="s">
        <v>17750</v>
      </c>
    </row>
    <row r="3277" spans="1:19" x14ac:dyDescent="0.2">
      <c r="A3277" s="11" t="s">
        <v>36823</v>
      </c>
      <c r="B3277" s="9" t="s">
        <v>36824</v>
      </c>
      <c r="C3277" s="9" t="s">
        <v>36825</v>
      </c>
      <c r="D3277" s="9" t="s">
        <v>36826</v>
      </c>
      <c r="E3277" s="9" t="s">
        <v>17740</v>
      </c>
      <c r="F3277" s="9" t="s">
        <v>36827</v>
      </c>
      <c r="G3277" s="9" t="s">
        <v>17740</v>
      </c>
      <c r="H3277" s="11" t="s">
        <v>2508</v>
      </c>
      <c r="I3277" s="11" t="s">
        <v>2507</v>
      </c>
      <c r="J3277" s="11" t="s">
        <v>2507</v>
      </c>
      <c r="K3277" s="9" t="s">
        <v>36828</v>
      </c>
      <c r="L3277" s="9" t="s">
        <v>17759</v>
      </c>
      <c r="M3277" s="9" t="s">
        <v>17817</v>
      </c>
      <c r="N3277" s="9" t="s">
        <v>17746</v>
      </c>
      <c r="O3277" s="9" t="s">
        <v>3391</v>
      </c>
      <c r="P3277" s="9" t="s">
        <v>17748</v>
      </c>
      <c r="Q3277" s="11" t="s">
        <v>18251</v>
      </c>
      <c r="R3277" s="11" t="s">
        <v>18251</v>
      </c>
      <c r="S3277" s="11" t="s">
        <v>17750</v>
      </c>
    </row>
    <row r="3278" spans="1:19" x14ac:dyDescent="0.2">
      <c r="A3278" s="11" t="s">
        <v>36829</v>
      </c>
      <c r="B3278" s="9" t="s">
        <v>36830</v>
      </c>
      <c r="C3278" s="9" t="s">
        <v>36831</v>
      </c>
      <c r="D3278" s="9" t="s">
        <v>36832</v>
      </c>
      <c r="E3278" s="9" t="s">
        <v>17740</v>
      </c>
      <c r="F3278" s="9" t="s">
        <v>17741</v>
      </c>
      <c r="G3278" s="9" t="s">
        <v>17740</v>
      </c>
      <c r="H3278" s="11" t="s">
        <v>9660</v>
      </c>
      <c r="I3278" s="11" t="s">
        <v>17741</v>
      </c>
      <c r="J3278" s="11" t="s">
        <v>9660</v>
      </c>
      <c r="K3278" s="9" t="s">
        <v>18570</v>
      </c>
      <c r="L3278" s="9" t="s">
        <v>17744</v>
      </c>
      <c r="M3278" s="9" t="s">
        <v>17741</v>
      </c>
      <c r="N3278" s="9" t="s">
        <v>17746</v>
      </c>
      <c r="O3278" s="9" t="s">
        <v>17993</v>
      </c>
      <c r="P3278" s="9" t="s">
        <v>17748</v>
      </c>
      <c r="Q3278" s="11" t="s">
        <v>17994</v>
      </c>
      <c r="R3278" s="11" t="s">
        <v>17994</v>
      </c>
      <c r="S3278" s="11" t="s">
        <v>17750</v>
      </c>
    </row>
    <row r="3279" spans="1:19" x14ac:dyDescent="0.2">
      <c r="A3279" s="11" t="s">
        <v>36833</v>
      </c>
      <c r="B3279" s="9" t="s">
        <v>36834</v>
      </c>
      <c r="C3279" s="9" t="s">
        <v>36835</v>
      </c>
      <c r="D3279" s="9" t="s">
        <v>36836</v>
      </c>
      <c r="E3279" s="9" t="s">
        <v>17740</v>
      </c>
      <c r="F3279" s="9" t="s">
        <v>17741</v>
      </c>
      <c r="G3279" s="9" t="s">
        <v>17740</v>
      </c>
      <c r="H3279" s="11" t="s">
        <v>14019</v>
      </c>
      <c r="I3279" s="11" t="s">
        <v>14018</v>
      </c>
      <c r="J3279" s="11" t="s">
        <v>17741</v>
      </c>
      <c r="K3279" s="9" t="s">
        <v>920</v>
      </c>
      <c r="L3279" s="9" t="s">
        <v>18001</v>
      </c>
      <c r="M3279" s="9" t="s">
        <v>17760</v>
      </c>
      <c r="N3279" s="9" t="s">
        <v>17746</v>
      </c>
      <c r="O3279" s="9" t="s">
        <v>8489</v>
      </c>
      <c r="P3279" s="9" t="s">
        <v>17748</v>
      </c>
      <c r="Q3279" s="11" t="s">
        <v>18370</v>
      </c>
      <c r="R3279" s="11" t="s">
        <v>18370</v>
      </c>
      <c r="S3279" s="11" t="s">
        <v>17750</v>
      </c>
    </row>
    <row r="3280" spans="1:19" x14ac:dyDescent="0.2">
      <c r="A3280" s="11" t="s">
        <v>36837</v>
      </c>
      <c r="B3280" s="9" t="s">
        <v>36838</v>
      </c>
      <c r="C3280" s="9" t="s">
        <v>36839</v>
      </c>
      <c r="D3280" s="9" t="s">
        <v>36840</v>
      </c>
      <c r="E3280" s="9" t="s">
        <v>17740</v>
      </c>
      <c r="F3280" s="9" t="s">
        <v>17741</v>
      </c>
      <c r="G3280" s="9" t="s">
        <v>17740</v>
      </c>
      <c r="H3280" s="11" t="s">
        <v>36841</v>
      </c>
      <c r="I3280" s="11" t="s">
        <v>36842</v>
      </c>
      <c r="J3280" s="11" t="s">
        <v>36842</v>
      </c>
      <c r="K3280" s="9" t="s">
        <v>36843</v>
      </c>
      <c r="L3280" s="9" t="s">
        <v>33560</v>
      </c>
      <c r="M3280" s="9" t="s">
        <v>18211</v>
      </c>
      <c r="N3280" s="9" t="s">
        <v>17746</v>
      </c>
      <c r="O3280" s="9" t="s">
        <v>1802</v>
      </c>
      <c r="P3280" s="9" t="s">
        <v>17748</v>
      </c>
      <c r="Q3280" s="11" t="s">
        <v>17994</v>
      </c>
      <c r="R3280" s="11" t="s">
        <v>17994</v>
      </c>
      <c r="S3280" s="11" t="s">
        <v>17750</v>
      </c>
    </row>
    <row r="3281" spans="1:19" x14ac:dyDescent="0.2">
      <c r="A3281" s="11" t="s">
        <v>36844</v>
      </c>
      <c r="B3281" s="9" t="s">
        <v>36845</v>
      </c>
      <c r="C3281" s="9" t="s">
        <v>36846</v>
      </c>
      <c r="D3281" s="9" t="s">
        <v>36847</v>
      </c>
      <c r="E3281" s="9" t="s">
        <v>17740</v>
      </c>
      <c r="F3281" s="9" t="s">
        <v>17741</v>
      </c>
      <c r="G3281" s="9" t="s">
        <v>17740</v>
      </c>
      <c r="H3281" s="11" t="s">
        <v>5323</v>
      </c>
      <c r="I3281" s="11" t="s">
        <v>5322</v>
      </c>
      <c r="J3281" s="11" t="s">
        <v>5322</v>
      </c>
      <c r="K3281" s="9" t="s">
        <v>28684</v>
      </c>
      <c r="L3281" s="9" t="s">
        <v>17991</v>
      </c>
      <c r="M3281" s="9" t="s">
        <v>17769</v>
      </c>
      <c r="N3281" s="9" t="s">
        <v>17746</v>
      </c>
      <c r="O3281" s="9" t="s">
        <v>7269</v>
      </c>
      <c r="P3281" s="9" t="s">
        <v>17748</v>
      </c>
      <c r="Q3281" s="11" t="s">
        <v>18678</v>
      </c>
      <c r="R3281" s="11" t="s">
        <v>18678</v>
      </c>
      <c r="S3281" s="11" t="s">
        <v>17750</v>
      </c>
    </row>
    <row r="3282" spans="1:19" x14ac:dyDescent="0.2">
      <c r="A3282" s="11" t="s">
        <v>36848</v>
      </c>
      <c r="B3282" s="9" t="s">
        <v>36849</v>
      </c>
      <c r="C3282" s="9" t="s">
        <v>36850</v>
      </c>
      <c r="D3282" s="9" t="s">
        <v>36851</v>
      </c>
      <c r="E3282" s="9" t="s">
        <v>17740</v>
      </c>
      <c r="F3282" s="9" t="s">
        <v>36852</v>
      </c>
      <c r="G3282" s="9" t="s">
        <v>17740</v>
      </c>
      <c r="H3282" s="11" t="s">
        <v>2490</v>
      </c>
      <c r="I3282" s="11" t="s">
        <v>2489</v>
      </c>
      <c r="J3282" s="11" t="s">
        <v>2489</v>
      </c>
      <c r="K3282" s="9" t="s">
        <v>17758</v>
      </c>
      <c r="L3282" s="9" t="s">
        <v>17759</v>
      </c>
      <c r="M3282" s="9" t="s">
        <v>17817</v>
      </c>
      <c r="N3282" s="9" t="s">
        <v>17746</v>
      </c>
      <c r="O3282" s="9" t="s">
        <v>19379</v>
      </c>
      <c r="P3282" s="9" t="s">
        <v>17748</v>
      </c>
      <c r="Q3282" s="11" t="s">
        <v>20134</v>
      </c>
      <c r="R3282" s="11" t="s">
        <v>20134</v>
      </c>
      <c r="S3282" s="11" t="s">
        <v>17750</v>
      </c>
    </row>
    <row r="3283" spans="1:19" x14ac:dyDescent="0.2">
      <c r="A3283" s="11" t="s">
        <v>36853</v>
      </c>
      <c r="B3283" s="9" t="s">
        <v>36854</v>
      </c>
      <c r="C3283" s="9" t="s">
        <v>36855</v>
      </c>
      <c r="D3283" s="9" t="s">
        <v>36856</v>
      </c>
      <c r="E3283" s="9" t="s">
        <v>17740</v>
      </c>
      <c r="F3283" s="9" t="s">
        <v>17741</v>
      </c>
      <c r="G3283" s="9" t="s">
        <v>17740</v>
      </c>
      <c r="H3283" s="11" t="s">
        <v>10222</v>
      </c>
      <c r="I3283" s="11" t="s">
        <v>10221</v>
      </c>
      <c r="J3283" s="11" t="s">
        <v>10222</v>
      </c>
      <c r="K3283" s="9" t="s">
        <v>22622</v>
      </c>
      <c r="L3283" s="9" t="s">
        <v>17744</v>
      </c>
      <c r="M3283" s="9" t="s">
        <v>18533</v>
      </c>
      <c r="N3283" s="9" t="s">
        <v>17746</v>
      </c>
      <c r="O3283" s="9" t="s">
        <v>36857</v>
      </c>
      <c r="P3283" s="9" t="s">
        <v>17748</v>
      </c>
      <c r="Q3283" s="11" t="s">
        <v>17780</v>
      </c>
      <c r="R3283" s="11" t="s">
        <v>17780</v>
      </c>
      <c r="S3283" s="11" t="s">
        <v>17750</v>
      </c>
    </row>
    <row r="3284" spans="1:19" s="6" customFormat="1" x14ac:dyDescent="0.2">
      <c r="A3284" s="11" t="s">
        <v>36858</v>
      </c>
      <c r="B3284" s="9" t="s">
        <v>36859</v>
      </c>
      <c r="C3284" s="9" t="s">
        <v>36860</v>
      </c>
      <c r="D3284" s="9" t="s">
        <v>36861</v>
      </c>
      <c r="E3284" s="9" t="s">
        <v>17748</v>
      </c>
      <c r="F3284" s="9" t="s">
        <v>36862</v>
      </c>
      <c r="G3284" s="9" t="s">
        <v>17740</v>
      </c>
      <c r="H3284" s="11" t="s">
        <v>7040</v>
      </c>
      <c r="I3284" s="11" t="s">
        <v>7039</v>
      </c>
      <c r="J3284" s="11" t="s">
        <v>7039</v>
      </c>
      <c r="K3284" s="9" t="s">
        <v>17089</v>
      </c>
      <c r="L3284" s="9" t="s">
        <v>18288</v>
      </c>
      <c r="M3284" s="9" t="s">
        <v>17817</v>
      </c>
      <c r="N3284" s="9" t="s">
        <v>17746</v>
      </c>
      <c r="O3284" s="9" t="s">
        <v>22463</v>
      </c>
      <c r="P3284" s="9" t="s">
        <v>17748</v>
      </c>
      <c r="Q3284" s="11" t="s">
        <v>18201</v>
      </c>
      <c r="R3284" s="11" t="s">
        <v>18201</v>
      </c>
      <c r="S3284" s="11" t="s">
        <v>17750</v>
      </c>
    </row>
    <row r="3285" spans="1:19" s="6" customFormat="1" x14ac:dyDescent="0.2">
      <c r="A3285" s="11" t="s">
        <v>36863</v>
      </c>
      <c r="B3285" s="9" t="s">
        <v>36864</v>
      </c>
      <c r="C3285" s="9" t="s">
        <v>36865</v>
      </c>
      <c r="D3285" s="9" t="s">
        <v>36866</v>
      </c>
      <c r="E3285" s="9" t="s">
        <v>17740</v>
      </c>
      <c r="F3285" s="9" t="s">
        <v>36867</v>
      </c>
      <c r="G3285" s="9" t="s">
        <v>17740</v>
      </c>
      <c r="H3285" s="11" t="s">
        <v>17741</v>
      </c>
      <c r="I3285" s="11" t="s">
        <v>5655</v>
      </c>
      <c r="J3285" s="11" t="s">
        <v>5655</v>
      </c>
      <c r="K3285" s="9" t="s">
        <v>17089</v>
      </c>
      <c r="L3285" s="9" t="s">
        <v>18288</v>
      </c>
      <c r="M3285" s="9" t="s">
        <v>17942</v>
      </c>
      <c r="N3285" s="9" t="s">
        <v>17746</v>
      </c>
      <c r="O3285" s="9" t="s">
        <v>22463</v>
      </c>
      <c r="P3285" s="9" t="s">
        <v>17748</v>
      </c>
      <c r="Q3285" s="11" t="s">
        <v>17771</v>
      </c>
      <c r="R3285" s="11" t="s">
        <v>17771</v>
      </c>
      <c r="S3285" s="11" t="s">
        <v>17750</v>
      </c>
    </row>
    <row r="3286" spans="1:19" x14ac:dyDescent="0.2">
      <c r="A3286" s="11" t="s">
        <v>36868</v>
      </c>
      <c r="B3286" s="9" t="s">
        <v>36869</v>
      </c>
      <c r="C3286" s="9" t="s">
        <v>36870</v>
      </c>
      <c r="D3286" s="9" t="s">
        <v>36871</v>
      </c>
      <c r="E3286" s="9" t="s">
        <v>17740</v>
      </c>
      <c r="F3286" s="9" t="s">
        <v>17741</v>
      </c>
      <c r="G3286" s="9" t="s">
        <v>17740</v>
      </c>
      <c r="H3286" s="11" t="s">
        <v>2601</v>
      </c>
      <c r="I3286" s="11" t="s">
        <v>2600</v>
      </c>
      <c r="J3286" s="11" t="s">
        <v>2600</v>
      </c>
      <c r="K3286" s="9" t="s">
        <v>22893</v>
      </c>
      <c r="L3286" s="9" t="s">
        <v>17744</v>
      </c>
      <c r="M3286" s="9" t="s">
        <v>36872</v>
      </c>
      <c r="N3286" s="9" t="s">
        <v>17746</v>
      </c>
      <c r="O3286" s="9" t="s">
        <v>21732</v>
      </c>
      <c r="P3286" s="9" t="s">
        <v>17748</v>
      </c>
      <c r="Q3286" s="11" t="s">
        <v>18234</v>
      </c>
      <c r="R3286" s="11" t="s">
        <v>18234</v>
      </c>
      <c r="S3286" s="11" t="s">
        <v>17750</v>
      </c>
    </row>
    <row r="3287" spans="1:19" x14ac:dyDescent="0.2">
      <c r="A3287" s="11" t="s">
        <v>36873</v>
      </c>
      <c r="B3287" s="9" t="s">
        <v>36874</v>
      </c>
      <c r="C3287" s="9" t="s">
        <v>36875</v>
      </c>
      <c r="D3287" s="9" t="s">
        <v>36876</v>
      </c>
      <c r="E3287" s="9" t="s">
        <v>17740</v>
      </c>
      <c r="F3287" s="9" t="s">
        <v>17741</v>
      </c>
      <c r="G3287" s="9" t="s">
        <v>17740</v>
      </c>
      <c r="H3287" s="11" t="s">
        <v>4921</v>
      </c>
      <c r="I3287" s="11" t="s">
        <v>4920</v>
      </c>
      <c r="J3287" s="11" t="s">
        <v>4920</v>
      </c>
      <c r="K3287" s="9" t="s">
        <v>31434</v>
      </c>
      <c r="L3287" s="9" t="s">
        <v>17759</v>
      </c>
      <c r="M3287" s="9" t="s">
        <v>36877</v>
      </c>
      <c r="N3287" s="9" t="s">
        <v>17746</v>
      </c>
      <c r="O3287" s="9" t="s">
        <v>29708</v>
      </c>
      <c r="P3287" s="9" t="s">
        <v>17748</v>
      </c>
      <c r="Q3287" s="11" t="s">
        <v>17819</v>
      </c>
      <c r="R3287" s="11" t="s">
        <v>17819</v>
      </c>
      <c r="S3287" s="11" t="s">
        <v>17750</v>
      </c>
    </row>
    <row r="3288" spans="1:19" x14ac:dyDescent="0.2">
      <c r="A3288" s="11" t="s">
        <v>36878</v>
      </c>
      <c r="B3288" s="9" t="s">
        <v>36879</v>
      </c>
      <c r="C3288" s="9" t="s">
        <v>36880</v>
      </c>
      <c r="D3288" s="9" t="s">
        <v>36881</v>
      </c>
      <c r="E3288" s="9" t="s">
        <v>17740</v>
      </c>
      <c r="F3288" s="9" t="s">
        <v>17741</v>
      </c>
      <c r="G3288" s="9" t="s">
        <v>17740</v>
      </c>
      <c r="H3288" s="11" t="s">
        <v>10676</v>
      </c>
      <c r="I3288" s="11" t="s">
        <v>17741</v>
      </c>
      <c r="J3288" s="11" t="s">
        <v>10676</v>
      </c>
      <c r="K3288" s="9" t="s">
        <v>18570</v>
      </c>
      <c r="L3288" s="9" t="s">
        <v>17744</v>
      </c>
      <c r="M3288" s="9" t="s">
        <v>17741</v>
      </c>
      <c r="N3288" s="9" t="s">
        <v>17746</v>
      </c>
      <c r="O3288" s="9" t="s">
        <v>36882</v>
      </c>
      <c r="P3288" s="9" t="s">
        <v>17748</v>
      </c>
      <c r="Q3288" s="11" t="s">
        <v>17780</v>
      </c>
      <c r="R3288" s="11" t="s">
        <v>17780</v>
      </c>
      <c r="S3288" s="11" t="s">
        <v>17750</v>
      </c>
    </row>
    <row r="3289" spans="1:19" x14ac:dyDescent="0.2">
      <c r="A3289" s="11" t="s">
        <v>36883</v>
      </c>
      <c r="B3289" s="9" t="s">
        <v>36884</v>
      </c>
      <c r="C3289" s="9" t="s">
        <v>36885</v>
      </c>
      <c r="D3289" s="9" t="s">
        <v>36886</v>
      </c>
      <c r="E3289" s="9" t="s">
        <v>17740</v>
      </c>
      <c r="F3289" s="9" t="s">
        <v>17741</v>
      </c>
      <c r="G3289" s="9" t="s">
        <v>17740</v>
      </c>
      <c r="H3289" s="11" t="s">
        <v>2419</v>
      </c>
      <c r="I3289" s="11" t="s">
        <v>2418</v>
      </c>
      <c r="J3289" s="11" t="s">
        <v>2418</v>
      </c>
      <c r="K3289" s="9" t="s">
        <v>291</v>
      </c>
      <c r="L3289" s="9" t="s">
        <v>17744</v>
      </c>
      <c r="M3289" s="9" t="s">
        <v>32321</v>
      </c>
      <c r="N3289" s="9" t="s">
        <v>17746</v>
      </c>
      <c r="O3289" s="9" t="s">
        <v>36887</v>
      </c>
      <c r="P3289" s="9" t="s">
        <v>17748</v>
      </c>
      <c r="Q3289" s="11" t="s">
        <v>17978</v>
      </c>
      <c r="R3289" s="11" t="s">
        <v>17978</v>
      </c>
      <c r="S3289" s="11" t="s">
        <v>17750</v>
      </c>
    </row>
    <row r="3290" spans="1:19" x14ac:dyDescent="0.2">
      <c r="A3290" s="11" t="s">
        <v>36888</v>
      </c>
      <c r="B3290" s="9" t="s">
        <v>36889</v>
      </c>
      <c r="C3290" s="9" t="s">
        <v>36890</v>
      </c>
      <c r="D3290" s="9" t="s">
        <v>36891</v>
      </c>
      <c r="E3290" s="9" t="s">
        <v>17740</v>
      </c>
      <c r="F3290" s="9" t="s">
        <v>17741</v>
      </c>
      <c r="G3290" s="9" t="s">
        <v>17740</v>
      </c>
      <c r="H3290" s="11" t="s">
        <v>5466</v>
      </c>
      <c r="I3290" s="11" t="s">
        <v>5465</v>
      </c>
      <c r="J3290" s="11" t="s">
        <v>5465</v>
      </c>
      <c r="K3290" s="9" t="s">
        <v>17805</v>
      </c>
      <c r="L3290" s="9" t="s">
        <v>17759</v>
      </c>
      <c r="M3290" s="9" t="s">
        <v>17760</v>
      </c>
      <c r="N3290" s="9" t="s">
        <v>17746</v>
      </c>
      <c r="O3290" s="9" t="s">
        <v>36892</v>
      </c>
      <c r="P3290" s="9" t="s">
        <v>17748</v>
      </c>
      <c r="Q3290" s="11" t="s">
        <v>18080</v>
      </c>
      <c r="R3290" s="11" t="s">
        <v>18080</v>
      </c>
      <c r="S3290" s="11" t="s">
        <v>17750</v>
      </c>
    </row>
    <row r="3291" spans="1:19" x14ac:dyDescent="0.2">
      <c r="A3291" s="11" t="s">
        <v>36893</v>
      </c>
      <c r="B3291" s="9" t="s">
        <v>36894</v>
      </c>
      <c r="C3291" s="9" t="s">
        <v>36895</v>
      </c>
      <c r="D3291" s="9" t="s">
        <v>36896</v>
      </c>
      <c r="E3291" s="9" t="s">
        <v>17740</v>
      </c>
      <c r="F3291" s="9" t="s">
        <v>17741</v>
      </c>
      <c r="G3291" s="9" t="s">
        <v>17740</v>
      </c>
      <c r="H3291" s="11" t="s">
        <v>11479</v>
      </c>
      <c r="I3291" s="11" t="s">
        <v>11478</v>
      </c>
      <c r="J3291" s="11" t="s">
        <v>11478</v>
      </c>
      <c r="K3291" s="9" t="s">
        <v>19161</v>
      </c>
      <c r="L3291" s="9" t="s">
        <v>17759</v>
      </c>
      <c r="M3291" s="9" t="s">
        <v>17760</v>
      </c>
      <c r="N3291" s="9" t="s">
        <v>17746</v>
      </c>
      <c r="O3291" s="9" t="s">
        <v>36897</v>
      </c>
      <c r="P3291" s="9" t="s">
        <v>17748</v>
      </c>
      <c r="Q3291" s="11" t="s">
        <v>17762</v>
      </c>
      <c r="R3291" s="11" t="s">
        <v>17762</v>
      </c>
      <c r="S3291" s="11" t="s">
        <v>17750</v>
      </c>
    </row>
    <row r="3292" spans="1:19" x14ac:dyDescent="0.2">
      <c r="A3292" s="11" t="s">
        <v>36898</v>
      </c>
      <c r="B3292" s="9" t="s">
        <v>36899</v>
      </c>
      <c r="C3292" s="9" t="s">
        <v>36900</v>
      </c>
      <c r="D3292" s="9" t="s">
        <v>36901</v>
      </c>
      <c r="E3292" s="9" t="s">
        <v>17740</v>
      </c>
      <c r="F3292" s="9" t="s">
        <v>17741</v>
      </c>
      <c r="G3292" s="9" t="s">
        <v>17740</v>
      </c>
      <c r="H3292" s="11" t="s">
        <v>2514</v>
      </c>
      <c r="I3292" s="11" t="s">
        <v>2513</v>
      </c>
      <c r="J3292" s="11" t="s">
        <v>2513</v>
      </c>
      <c r="K3292" s="9" t="s">
        <v>29889</v>
      </c>
      <c r="L3292" s="9" t="s">
        <v>18001</v>
      </c>
      <c r="M3292" s="9" t="s">
        <v>22129</v>
      </c>
      <c r="N3292" s="9" t="s">
        <v>17746</v>
      </c>
      <c r="O3292" s="9" t="s">
        <v>36902</v>
      </c>
      <c r="P3292" s="9" t="s">
        <v>17748</v>
      </c>
      <c r="Q3292" s="11" t="s">
        <v>18433</v>
      </c>
      <c r="R3292" s="11" t="s">
        <v>18433</v>
      </c>
      <c r="S3292" s="11" t="s">
        <v>17750</v>
      </c>
    </row>
    <row r="3293" spans="1:19" x14ac:dyDescent="0.2">
      <c r="A3293" s="11" t="s">
        <v>36903</v>
      </c>
      <c r="B3293" s="9" t="s">
        <v>36904</v>
      </c>
      <c r="C3293" s="9" t="s">
        <v>36905</v>
      </c>
      <c r="D3293" s="9" t="s">
        <v>36906</v>
      </c>
      <c r="E3293" s="9" t="s">
        <v>17740</v>
      </c>
      <c r="F3293" s="9" t="s">
        <v>17741</v>
      </c>
      <c r="G3293" s="9" t="s">
        <v>17740</v>
      </c>
      <c r="H3293" s="11" t="s">
        <v>17741</v>
      </c>
      <c r="I3293" s="11" t="s">
        <v>36907</v>
      </c>
      <c r="J3293" s="11" t="s">
        <v>36907</v>
      </c>
      <c r="K3293" s="9" t="s">
        <v>91</v>
      </c>
      <c r="L3293" s="9" t="s">
        <v>18001</v>
      </c>
      <c r="M3293" s="9" t="s">
        <v>17942</v>
      </c>
      <c r="N3293" s="9" t="s">
        <v>17746</v>
      </c>
      <c r="O3293" s="9" t="s">
        <v>36902</v>
      </c>
      <c r="P3293" s="9" t="s">
        <v>17748</v>
      </c>
      <c r="Q3293" s="11" t="s">
        <v>19515</v>
      </c>
      <c r="R3293" s="11" t="s">
        <v>19515</v>
      </c>
      <c r="S3293" s="11" t="s">
        <v>17750</v>
      </c>
    </row>
    <row r="3294" spans="1:19" x14ac:dyDescent="0.2">
      <c r="A3294" s="11" t="s">
        <v>36908</v>
      </c>
      <c r="B3294" s="9" t="s">
        <v>36909</v>
      </c>
      <c r="C3294" s="9" t="s">
        <v>36910</v>
      </c>
      <c r="D3294" s="9" t="s">
        <v>36911</v>
      </c>
      <c r="E3294" s="9" t="s">
        <v>17740</v>
      </c>
      <c r="F3294" s="9" t="s">
        <v>17741</v>
      </c>
      <c r="G3294" s="9" t="s">
        <v>17740</v>
      </c>
      <c r="H3294" s="11" t="s">
        <v>10269</v>
      </c>
      <c r="I3294" s="11" t="s">
        <v>17741</v>
      </c>
      <c r="J3294" s="11" t="s">
        <v>10269</v>
      </c>
      <c r="K3294" s="9" t="s">
        <v>18570</v>
      </c>
      <c r="L3294" s="9" t="s">
        <v>17744</v>
      </c>
      <c r="M3294" s="9" t="s">
        <v>17741</v>
      </c>
      <c r="N3294" s="9" t="s">
        <v>17746</v>
      </c>
      <c r="O3294" s="9" t="s">
        <v>3100</v>
      </c>
      <c r="P3294" s="9" t="s">
        <v>17748</v>
      </c>
      <c r="Q3294" s="11" t="s">
        <v>17780</v>
      </c>
      <c r="R3294" s="11" t="s">
        <v>17780</v>
      </c>
      <c r="S3294" s="11" t="s">
        <v>17750</v>
      </c>
    </row>
    <row r="3295" spans="1:19" x14ac:dyDescent="0.2">
      <c r="A3295" s="11" t="s">
        <v>36912</v>
      </c>
      <c r="B3295" s="9" t="s">
        <v>36913</v>
      </c>
      <c r="C3295" s="9" t="s">
        <v>36914</v>
      </c>
      <c r="D3295" s="9" t="s">
        <v>36915</v>
      </c>
      <c r="E3295" s="9" t="s">
        <v>17740</v>
      </c>
      <c r="F3295" s="9" t="s">
        <v>17741</v>
      </c>
      <c r="G3295" s="9" t="s">
        <v>17740</v>
      </c>
      <c r="H3295" s="11" t="s">
        <v>14987</v>
      </c>
      <c r="I3295" s="11" t="s">
        <v>14986</v>
      </c>
      <c r="J3295" s="11" t="s">
        <v>14986</v>
      </c>
      <c r="K3295" s="9" t="s">
        <v>159</v>
      </c>
      <c r="L3295" s="9" t="s">
        <v>17744</v>
      </c>
      <c r="M3295" s="9" t="s">
        <v>17760</v>
      </c>
      <c r="N3295" s="9" t="s">
        <v>17746</v>
      </c>
      <c r="O3295" s="9" t="s">
        <v>36916</v>
      </c>
      <c r="P3295" s="9" t="s">
        <v>17748</v>
      </c>
      <c r="Q3295" s="11" t="s">
        <v>17825</v>
      </c>
      <c r="R3295" s="11" t="s">
        <v>17825</v>
      </c>
      <c r="S3295" s="11" t="s">
        <v>17750</v>
      </c>
    </row>
    <row r="3296" spans="1:19" x14ac:dyDescent="0.2">
      <c r="A3296" s="11" t="s">
        <v>36917</v>
      </c>
      <c r="B3296" s="9" t="s">
        <v>36918</v>
      </c>
      <c r="C3296" s="9" t="s">
        <v>36919</v>
      </c>
      <c r="D3296" s="9" t="s">
        <v>36920</v>
      </c>
      <c r="E3296" s="9" t="s">
        <v>17740</v>
      </c>
      <c r="F3296" s="9" t="s">
        <v>36921</v>
      </c>
      <c r="G3296" s="9" t="s">
        <v>17740</v>
      </c>
      <c r="H3296" s="11" t="s">
        <v>36922</v>
      </c>
      <c r="I3296" s="11" t="s">
        <v>36923</v>
      </c>
      <c r="J3296" s="11" t="s">
        <v>36923</v>
      </c>
      <c r="K3296" s="9" t="s">
        <v>36924</v>
      </c>
      <c r="L3296" s="9" t="s">
        <v>17759</v>
      </c>
      <c r="M3296" s="9" t="s">
        <v>17760</v>
      </c>
      <c r="N3296" s="9" t="s">
        <v>17746</v>
      </c>
      <c r="O3296" s="9" t="s">
        <v>36925</v>
      </c>
      <c r="P3296" s="9" t="s">
        <v>17748</v>
      </c>
      <c r="Q3296" s="11" t="s">
        <v>17858</v>
      </c>
      <c r="R3296" s="11" t="s">
        <v>17858</v>
      </c>
      <c r="S3296" s="11" t="s">
        <v>17750</v>
      </c>
    </row>
    <row r="3297" spans="1:19" x14ac:dyDescent="0.2">
      <c r="A3297" s="11" t="s">
        <v>36926</v>
      </c>
      <c r="B3297" s="9" t="s">
        <v>36927</v>
      </c>
      <c r="C3297" s="9" t="s">
        <v>36928</v>
      </c>
      <c r="D3297" s="9" t="s">
        <v>36929</v>
      </c>
      <c r="E3297" s="9" t="s">
        <v>17748</v>
      </c>
      <c r="F3297" s="9" t="s">
        <v>36930</v>
      </c>
      <c r="G3297" s="9" t="s">
        <v>17740</v>
      </c>
      <c r="H3297" s="11" t="s">
        <v>17068</v>
      </c>
      <c r="I3297" s="11" t="s">
        <v>17067</v>
      </c>
      <c r="J3297" s="11" t="s">
        <v>17067</v>
      </c>
      <c r="K3297" s="9" t="s">
        <v>19244</v>
      </c>
      <c r="L3297" s="9" t="s">
        <v>18158</v>
      </c>
      <c r="M3297" s="9" t="s">
        <v>18065</v>
      </c>
      <c r="N3297" s="9" t="s">
        <v>17746</v>
      </c>
      <c r="O3297" s="9" t="s">
        <v>3176</v>
      </c>
      <c r="P3297" s="9" t="s">
        <v>17748</v>
      </c>
      <c r="Q3297" s="11" t="s">
        <v>17923</v>
      </c>
      <c r="R3297" s="11" t="s">
        <v>17923</v>
      </c>
      <c r="S3297" s="11" t="s">
        <v>17750</v>
      </c>
    </row>
    <row r="3298" spans="1:19" x14ac:dyDescent="0.2">
      <c r="A3298" s="11" t="s">
        <v>36931</v>
      </c>
      <c r="B3298" s="9" t="s">
        <v>36932</v>
      </c>
      <c r="C3298" s="9" t="s">
        <v>36933</v>
      </c>
      <c r="D3298" s="9" t="s">
        <v>36934</v>
      </c>
      <c r="E3298" s="9" t="s">
        <v>17740</v>
      </c>
      <c r="F3298" s="9" t="s">
        <v>36935</v>
      </c>
      <c r="G3298" s="9" t="s">
        <v>17740</v>
      </c>
      <c r="H3298" s="11" t="s">
        <v>2521</v>
      </c>
      <c r="I3298" s="11" t="s">
        <v>2520</v>
      </c>
      <c r="J3298" s="11" t="s">
        <v>2520</v>
      </c>
      <c r="K3298" s="9" t="s">
        <v>17089</v>
      </c>
      <c r="L3298" s="9" t="s">
        <v>18158</v>
      </c>
      <c r="M3298" s="9" t="s">
        <v>18289</v>
      </c>
      <c r="N3298" s="9" t="s">
        <v>17746</v>
      </c>
      <c r="O3298" s="9" t="s">
        <v>3100</v>
      </c>
      <c r="P3298" s="9" t="s">
        <v>17748</v>
      </c>
      <c r="Q3298" s="11" t="s">
        <v>17771</v>
      </c>
      <c r="R3298" s="11" t="s">
        <v>17771</v>
      </c>
      <c r="S3298" s="11" t="s">
        <v>17750</v>
      </c>
    </row>
    <row r="3299" spans="1:19" x14ac:dyDescent="0.2">
      <c r="A3299" s="11" t="s">
        <v>36936</v>
      </c>
      <c r="B3299" s="9" t="s">
        <v>36937</v>
      </c>
      <c r="C3299" s="9" t="s">
        <v>36938</v>
      </c>
      <c r="D3299" s="9" t="s">
        <v>36939</v>
      </c>
      <c r="E3299" s="9" t="s">
        <v>17740</v>
      </c>
      <c r="F3299" s="9" t="s">
        <v>36940</v>
      </c>
      <c r="G3299" s="9" t="s">
        <v>17740</v>
      </c>
      <c r="H3299" s="11" t="s">
        <v>2502</v>
      </c>
      <c r="I3299" s="11" t="s">
        <v>2501</v>
      </c>
      <c r="J3299" s="11" t="s">
        <v>2501</v>
      </c>
      <c r="K3299" s="9" t="s">
        <v>159</v>
      </c>
      <c r="L3299" s="9" t="s">
        <v>17744</v>
      </c>
      <c r="M3299" s="9" t="s">
        <v>20738</v>
      </c>
      <c r="N3299" s="9" t="s">
        <v>17746</v>
      </c>
      <c r="O3299" s="9" t="s">
        <v>36941</v>
      </c>
      <c r="P3299" s="9" t="s">
        <v>17748</v>
      </c>
      <c r="Q3299" s="11" t="s">
        <v>18549</v>
      </c>
      <c r="R3299" s="11" t="s">
        <v>18549</v>
      </c>
      <c r="S3299" s="11" t="s">
        <v>17750</v>
      </c>
    </row>
    <row r="3300" spans="1:19" x14ac:dyDescent="0.2">
      <c r="A3300" s="11" t="s">
        <v>36942</v>
      </c>
      <c r="B3300" s="9" t="s">
        <v>36943</v>
      </c>
      <c r="C3300" s="9" t="s">
        <v>36944</v>
      </c>
      <c r="D3300" s="9" t="s">
        <v>36945</v>
      </c>
      <c r="E3300" s="9" t="s">
        <v>17740</v>
      </c>
      <c r="F3300" s="9" t="s">
        <v>17741</v>
      </c>
      <c r="G3300" s="9" t="s">
        <v>17740</v>
      </c>
      <c r="H3300" s="11" t="s">
        <v>2505</v>
      </c>
      <c r="I3300" s="11" t="s">
        <v>2504</v>
      </c>
      <c r="J3300" s="11" t="s">
        <v>2504</v>
      </c>
      <c r="K3300" s="9" t="s">
        <v>17783</v>
      </c>
      <c r="L3300" s="9" t="s">
        <v>17759</v>
      </c>
      <c r="M3300" s="9" t="s">
        <v>36946</v>
      </c>
      <c r="N3300" s="9" t="s">
        <v>17746</v>
      </c>
      <c r="O3300" s="9" t="s">
        <v>36947</v>
      </c>
      <c r="P3300" s="9" t="s">
        <v>17748</v>
      </c>
      <c r="Q3300" s="11" t="s">
        <v>17978</v>
      </c>
      <c r="R3300" s="11" t="s">
        <v>17978</v>
      </c>
      <c r="S3300" s="11" t="s">
        <v>17750</v>
      </c>
    </row>
    <row r="3301" spans="1:19" x14ac:dyDescent="0.2">
      <c r="A3301" s="11" t="s">
        <v>36948</v>
      </c>
      <c r="B3301" s="9" t="s">
        <v>36949</v>
      </c>
      <c r="C3301" s="9" t="s">
        <v>36950</v>
      </c>
      <c r="D3301" s="9" t="s">
        <v>36951</v>
      </c>
      <c r="E3301" s="9" t="s">
        <v>17748</v>
      </c>
      <c r="F3301" s="9" t="s">
        <v>36952</v>
      </c>
      <c r="G3301" s="9" t="s">
        <v>17740</v>
      </c>
      <c r="H3301" s="11" t="s">
        <v>6191</v>
      </c>
      <c r="I3301" s="11" t="s">
        <v>6190</v>
      </c>
      <c r="J3301" s="11" t="s">
        <v>6190</v>
      </c>
      <c r="K3301" s="9" t="s">
        <v>17758</v>
      </c>
      <c r="L3301" s="9" t="s">
        <v>17759</v>
      </c>
      <c r="M3301" s="9" t="s">
        <v>17760</v>
      </c>
      <c r="N3301" s="9" t="s">
        <v>17746</v>
      </c>
      <c r="O3301" s="9" t="s">
        <v>36953</v>
      </c>
      <c r="P3301" s="9" t="s">
        <v>17748</v>
      </c>
      <c r="Q3301" s="11" t="s">
        <v>17808</v>
      </c>
      <c r="R3301" s="11" t="s">
        <v>17808</v>
      </c>
      <c r="S3301" s="11" t="s">
        <v>17750</v>
      </c>
    </row>
    <row r="3302" spans="1:19" x14ac:dyDescent="0.2">
      <c r="A3302" s="11" t="s">
        <v>36954</v>
      </c>
      <c r="B3302" s="9" t="s">
        <v>36955</v>
      </c>
      <c r="C3302" s="9" t="s">
        <v>36956</v>
      </c>
      <c r="D3302" s="9" t="s">
        <v>36957</v>
      </c>
      <c r="E3302" s="9" t="s">
        <v>17740</v>
      </c>
      <c r="F3302" s="9" t="s">
        <v>17741</v>
      </c>
      <c r="G3302" s="9" t="s">
        <v>17740</v>
      </c>
      <c r="H3302" s="11" t="s">
        <v>2481</v>
      </c>
      <c r="I3302" s="11" t="s">
        <v>2480</v>
      </c>
      <c r="J3302" s="11" t="s">
        <v>2480</v>
      </c>
      <c r="K3302" s="9" t="s">
        <v>36958</v>
      </c>
      <c r="L3302" s="9" t="s">
        <v>17759</v>
      </c>
      <c r="M3302" s="9" t="s">
        <v>17769</v>
      </c>
      <c r="N3302" s="9" t="s">
        <v>17746</v>
      </c>
      <c r="O3302" s="9" t="s">
        <v>25427</v>
      </c>
      <c r="P3302" s="9" t="s">
        <v>17748</v>
      </c>
      <c r="Q3302" s="11" t="s">
        <v>18952</v>
      </c>
      <c r="R3302" s="11" t="s">
        <v>18952</v>
      </c>
      <c r="S3302" s="11" t="s">
        <v>17750</v>
      </c>
    </row>
    <row r="3303" spans="1:19" x14ac:dyDescent="0.2">
      <c r="A3303" s="11" t="s">
        <v>36959</v>
      </c>
      <c r="B3303" s="9" t="s">
        <v>36960</v>
      </c>
      <c r="C3303" s="9" t="s">
        <v>36961</v>
      </c>
      <c r="D3303" s="9" t="s">
        <v>36962</v>
      </c>
      <c r="E3303" s="9" t="s">
        <v>17740</v>
      </c>
      <c r="F3303" s="9" t="s">
        <v>17741</v>
      </c>
      <c r="G3303" s="9" t="s">
        <v>17740</v>
      </c>
      <c r="H3303" s="11" t="s">
        <v>2598</v>
      </c>
      <c r="I3303" s="11" t="s">
        <v>2597</v>
      </c>
      <c r="J3303" s="11" t="s">
        <v>2597</v>
      </c>
      <c r="K3303" s="9" t="s">
        <v>367</v>
      </c>
      <c r="L3303" s="9" t="s">
        <v>17759</v>
      </c>
      <c r="M3303" s="9" t="s">
        <v>19820</v>
      </c>
      <c r="N3303" s="9" t="s">
        <v>17746</v>
      </c>
      <c r="O3303" s="9" t="s">
        <v>22463</v>
      </c>
      <c r="P3303" s="9" t="s">
        <v>17748</v>
      </c>
      <c r="Q3303" s="11" t="s">
        <v>21578</v>
      </c>
      <c r="R3303" s="11" t="s">
        <v>21578</v>
      </c>
      <c r="S3303" s="11" t="s">
        <v>17750</v>
      </c>
    </row>
    <row r="3304" spans="1:19" x14ac:dyDescent="0.2">
      <c r="A3304" s="11" t="s">
        <v>36963</v>
      </c>
      <c r="B3304" s="9" t="s">
        <v>36964</v>
      </c>
      <c r="C3304" s="9" t="s">
        <v>36965</v>
      </c>
      <c r="D3304" s="9" t="s">
        <v>36966</v>
      </c>
      <c r="E3304" s="9" t="s">
        <v>17740</v>
      </c>
      <c r="F3304" s="9" t="s">
        <v>17741</v>
      </c>
      <c r="G3304" s="9" t="s">
        <v>17740</v>
      </c>
      <c r="H3304" s="11" t="s">
        <v>4938</v>
      </c>
      <c r="I3304" s="11" t="s">
        <v>4937</v>
      </c>
      <c r="J3304" s="11" t="s">
        <v>4937</v>
      </c>
      <c r="K3304" s="9" t="s">
        <v>17833</v>
      </c>
      <c r="L3304" s="9" t="s">
        <v>17759</v>
      </c>
      <c r="M3304" s="9" t="s">
        <v>17760</v>
      </c>
      <c r="N3304" s="9" t="s">
        <v>17746</v>
      </c>
      <c r="O3304" s="9" t="s">
        <v>19379</v>
      </c>
      <c r="P3304" s="9" t="s">
        <v>17748</v>
      </c>
      <c r="Q3304" s="11" t="s">
        <v>17819</v>
      </c>
      <c r="R3304" s="11" t="s">
        <v>17819</v>
      </c>
      <c r="S3304" s="11" t="s">
        <v>17750</v>
      </c>
    </row>
    <row r="3305" spans="1:19" x14ac:dyDescent="0.2">
      <c r="A3305" s="11" t="s">
        <v>36967</v>
      </c>
      <c r="B3305" s="9" t="s">
        <v>36968</v>
      </c>
      <c r="C3305" s="9" t="s">
        <v>36969</v>
      </c>
      <c r="D3305" s="9" t="s">
        <v>36970</v>
      </c>
      <c r="E3305" s="9" t="s">
        <v>17740</v>
      </c>
      <c r="F3305" s="9" t="s">
        <v>17741</v>
      </c>
      <c r="G3305" s="9" t="s">
        <v>17740</v>
      </c>
      <c r="H3305" s="11" t="s">
        <v>36971</v>
      </c>
      <c r="I3305" s="11" t="s">
        <v>36972</v>
      </c>
      <c r="J3305" s="11" t="s">
        <v>36972</v>
      </c>
      <c r="K3305" s="9" t="s">
        <v>970</v>
      </c>
      <c r="L3305" s="9" t="s">
        <v>17744</v>
      </c>
      <c r="M3305" s="9" t="s">
        <v>18051</v>
      </c>
      <c r="N3305" s="9" t="s">
        <v>17746</v>
      </c>
      <c r="O3305" s="9" t="s">
        <v>21109</v>
      </c>
      <c r="P3305" s="9" t="s">
        <v>17748</v>
      </c>
      <c r="Q3305" s="11" t="s">
        <v>17917</v>
      </c>
      <c r="R3305" s="11" t="s">
        <v>17917</v>
      </c>
      <c r="S3305" s="11" t="s">
        <v>17750</v>
      </c>
    </row>
    <row r="3306" spans="1:19" x14ac:dyDescent="0.2">
      <c r="A3306" s="11" t="s">
        <v>36973</v>
      </c>
      <c r="B3306" s="9" t="s">
        <v>36974</v>
      </c>
      <c r="C3306" s="9" t="s">
        <v>36975</v>
      </c>
      <c r="D3306" s="9" t="s">
        <v>36976</v>
      </c>
      <c r="E3306" s="9" t="s">
        <v>17740</v>
      </c>
      <c r="F3306" s="9" t="s">
        <v>36977</v>
      </c>
      <c r="G3306" s="9" t="s">
        <v>17740</v>
      </c>
      <c r="H3306" s="11" t="s">
        <v>17741</v>
      </c>
      <c r="I3306" s="11" t="s">
        <v>2483</v>
      </c>
      <c r="J3306" s="11" t="s">
        <v>2483</v>
      </c>
      <c r="K3306" s="9" t="s">
        <v>20380</v>
      </c>
      <c r="L3306" s="9" t="s">
        <v>20359</v>
      </c>
      <c r="M3306" s="9" t="s">
        <v>36978</v>
      </c>
      <c r="N3306" s="9" t="s">
        <v>17746</v>
      </c>
      <c r="O3306" s="9" t="s">
        <v>19221</v>
      </c>
      <c r="P3306" s="9" t="s">
        <v>17748</v>
      </c>
      <c r="Q3306" s="11" t="s">
        <v>19026</v>
      </c>
      <c r="R3306" s="11" t="s">
        <v>19026</v>
      </c>
      <c r="S3306" s="11" t="s">
        <v>17750</v>
      </c>
    </row>
    <row r="3307" spans="1:19" x14ac:dyDescent="0.2">
      <c r="A3307" s="11" t="s">
        <v>36979</v>
      </c>
      <c r="B3307" s="9" t="s">
        <v>36980</v>
      </c>
      <c r="C3307" s="9" t="s">
        <v>36981</v>
      </c>
      <c r="D3307" s="9" t="s">
        <v>36982</v>
      </c>
      <c r="E3307" s="9" t="s">
        <v>17740</v>
      </c>
      <c r="F3307" s="9" t="s">
        <v>17741</v>
      </c>
      <c r="G3307" s="9" t="s">
        <v>17740</v>
      </c>
      <c r="H3307" s="11" t="s">
        <v>2517</v>
      </c>
      <c r="I3307" s="11" t="s">
        <v>2516</v>
      </c>
      <c r="J3307" s="11" t="s">
        <v>2516</v>
      </c>
      <c r="K3307" s="9" t="s">
        <v>2518</v>
      </c>
      <c r="L3307" s="9" t="s">
        <v>17759</v>
      </c>
      <c r="M3307" s="9" t="s">
        <v>36983</v>
      </c>
      <c r="N3307" s="9" t="s">
        <v>17746</v>
      </c>
      <c r="O3307" s="9" t="s">
        <v>3100</v>
      </c>
      <c r="P3307" s="9" t="s">
        <v>17748</v>
      </c>
      <c r="Q3307" s="11" t="s">
        <v>18433</v>
      </c>
      <c r="R3307" s="11" t="s">
        <v>18433</v>
      </c>
      <c r="S3307" s="11" t="s">
        <v>17750</v>
      </c>
    </row>
    <row r="3308" spans="1:19" x14ac:dyDescent="0.2">
      <c r="A3308" s="11" t="s">
        <v>36984</v>
      </c>
      <c r="B3308" s="9" t="s">
        <v>36985</v>
      </c>
      <c r="C3308" s="9" t="s">
        <v>36986</v>
      </c>
      <c r="D3308" s="9" t="s">
        <v>36987</v>
      </c>
      <c r="E3308" s="9" t="s">
        <v>17740</v>
      </c>
      <c r="F3308" s="9" t="s">
        <v>17741</v>
      </c>
      <c r="G3308" s="9" t="s">
        <v>17740</v>
      </c>
      <c r="H3308" s="11" t="s">
        <v>2497</v>
      </c>
      <c r="I3308" s="11" t="s">
        <v>2496</v>
      </c>
      <c r="J3308" s="11" t="s">
        <v>2496</v>
      </c>
      <c r="K3308" s="9" t="s">
        <v>22128</v>
      </c>
      <c r="L3308" s="9" t="s">
        <v>18001</v>
      </c>
      <c r="M3308" s="9" t="s">
        <v>19203</v>
      </c>
      <c r="N3308" s="9" t="s">
        <v>17746</v>
      </c>
      <c r="O3308" s="9" t="s">
        <v>3100</v>
      </c>
      <c r="P3308" s="9" t="s">
        <v>17748</v>
      </c>
      <c r="Q3308" s="11" t="s">
        <v>18251</v>
      </c>
      <c r="R3308" s="11" t="s">
        <v>18251</v>
      </c>
      <c r="S3308" s="11" t="s">
        <v>17750</v>
      </c>
    </row>
    <row r="3309" spans="1:19" x14ac:dyDescent="0.2">
      <c r="A3309" s="11" t="s">
        <v>36988</v>
      </c>
      <c r="B3309" s="9" t="s">
        <v>36989</v>
      </c>
      <c r="C3309" s="9" t="s">
        <v>36990</v>
      </c>
      <c r="D3309" s="9" t="s">
        <v>36991</v>
      </c>
      <c r="E3309" s="9" t="s">
        <v>17740</v>
      </c>
      <c r="F3309" s="9" t="s">
        <v>36992</v>
      </c>
      <c r="G3309" s="9" t="s">
        <v>17740</v>
      </c>
      <c r="H3309" s="11" t="s">
        <v>36993</v>
      </c>
      <c r="I3309" s="11" t="s">
        <v>36994</v>
      </c>
      <c r="J3309" s="11" t="s">
        <v>36994</v>
      </c>
      <c r="K3309" s="9" t="s">
        <v>36995</v>
      </c>
      <c r="L3309" s="9" t="s">
        <v>17759</v>
      </c>
      <c r="M3309" s="9" t="s">
        <v>17769</v>
      </c>
      <c r="N3309" s="9" t="s">
        <v>17746</v>
      </c>
      <c r="O3309" s="9" t="s">
        <v>36996</v>
      </c>
      <c r="P3309" s="9" t="s">
        <v>17748</v>
      </c>
      <c r="Q3309" s="11" t="s">
        <v>18059</v>
      </c>
      <c r="R3309" s="11" t="s">
        <v>18059</v>
      </c>
      <c r="S3309" s="11" t="s">
        <v>17750</v>
      </c>
    </row>
    <row r="3310" spans="1:19" x14ac:dyDescent="0.2">
      <c r="A3310" s="11" t="s">
        <v>36997</v>
      </c>
      <c r="B3310" s="9" t="s">
        <v>36998</v>
      </c>
      <c r="C3310" s="9" t="s">
        <v>36999</v>
      </c>
      <c r="D3310" s="9" t="s">
        <v>37000</v>
      </c>
      <c r="E3310" s="9" t="s">
        <v>17740</v>
      </c>
      <c r="F3310" s="9" t="s">
        <v>17741</v>
      </c>
      <c r="G3310" s="9" t="s">
        <v>17740</v>
      </c>
      <c r="H3310" s="11" t="s">
        <v>2511</v>
      </c>
      <c r="I3310" s="11" t="s">
        <v>2510</v>
      </c>
      <c r="J3310" s="11" t="s">
        <v>2510</v>
      </c>
      <c r="K3310" s="9" t="s">
        <v>18827</v>
      </c>
      <c r="L3310" s="9" t="s">
        <v>17759</v>
      </c>
      <c r="M3310" s="9" t="s">
        <v>18233</v>
      </c>
      <c r="N3310" s="9" t="s">
        <v>17746</v>
      </c>
      <c r="O3310" s="9" t="s">
        <v>3100</v>
      </c>
      <c r="P3310" s="9" t="s">
        <v>17748</v>
      </c>
      <c r="Q3310" s="11" t="s">
        <v>18608</v>
      </c>
      <c r="R3310" s="11" t="s">
        <v>18608</v>
      </c>
      <c r="S3310" s="11" t="s">
        <v>17750</v>
      </c>
    </row>
    <row r="3311" spans="1:19" x14ac:dyDescent="0.2">
      <c r="A3311" s="11" t="s">
        <v>37001</v>
      </c>
      <c r="B3311" s="9" t="s">
        <v>37002</v>
      </c>
      <c r="C3311" s="9" t="s">
        <v>37003</v>
      </c>
      <c r="D3311" s="9" t="s">
        <v>37004</v>
      </c>
      <c r="E3311" s="9" t="s">
        <v>17740</v>
      </c>
      <c r="F3311" s="9" t="s">
        <v>37005</v>
      </c>
      <c r="G3311" s="9" t="s">
        <v>17740</v>
      </c>
      <c r="H3311" s="11" t="s">
        <v>2604</v>
      </c>
      <c r="I3311" s="11" t="s">
        <v>2603</v>
      </c>
      <c r="J3311" s="11" t="s">
        <v>2603</v>
      </c>
      <c r="K3311" s="9" t="s">
        <v>2605</v>
      </c>
      <c r="L3311" s="9" t="s">
        <v>17759</v>
      </c>
      <c r="M3311" s="9" t="s">
        <v>20397</v>
      </c>
      <c r="N3311" s="9" t="s">
        <v>17746</v>
      </c>
      <c r="O3311" s="9" t="s">
        <v>3176</v>
      </c>
      <c r="P3311" s="9" t="s">
        <v>17748</v>
      </c>
      <c r="Q3311" s="11" t="s">
        <v>18549</v>
      </c>
      <c r="R3311" s="11" t="s">
        <v>18549</v>
      </c>
      <c r="S3311" s="11" t="s">
        <v>17750</v>
      </c>
    </row>
    <row r="3312" spans="1:19" x14ac:dyDescent="0.2">
      <c r="A3312" s="11" t="s">
        <v>37006</v>
      </c>
      <c r="B3312" s="9" t="s">
        <v>37007</v>
      </c>
      <c r="C3312" s="9" t="s">
        <v>37008</v>
      </c>
      <c r="D3312" s="9" t="s">
        <v>37009</v>
      </c>
      <c r="E3312" s="9" t="s">
        <v>17740</v>
      </c>
      <c r="F3312" s="9" t="s">
        <v>37010</v>
      </c>
      <c r="G3312" s="9" t="s">
        <v>17740</v>
      </c>
      <c r="H3312" s="11" t="s">
        <v>12689</v>
      </c>
      <c r="I3312" s="11" t="s">
        <v>12688</v>
      </c>
      <c r="J3312" s="11" t="s">
        <v>12688</v>
      </c>
      <c r="K3312" s="9" t="s">
        <v>2605</v>
      </c>
      <c r="L3312" s="9" t="s">
        <v>17759</v>
      </c>
      <c r="M3312" s="9" t="s">
        <v>19012</v>
      </c>
      <c r="N3312" s="9" t="s">
        <v>17746</v>
      </c>
      <c r="O3312" s="9" t="s">
        <v>37011</v>
      </c>
      <c r="P3312" s="9" t="s">
        <v>17748</v>
      </c>
      <c r="Q3312" s="11" t="s">
        <v>18370</v>
      </c>
      <c r="R3312" s="11" t="s">
        <v>18370</v>
      </c>
      <c r="S3312" s="11" t="s">
        <v>17750</v>
      </c>
    </row>
    <row r="3313" spans="1:19" x14ac:dyDescent="0.2">
      <c r="A3313" s="11" t="s">
        <v>37012</v>
      </c>
      <c r="B3313" s="9" t="s">
        <v>37013</v>
      </c>
      <c r="C3313" s="9" t="s">
        <v>37014</v>
      </c>
      <c r="D3313" s="9" t="s">
        <v>37015</v>
      </c>
      <c r="E3313" s="9" t="s">
        <v>17740</v>
      </c>
      <c r="F3313" s="9" t="s">
        <v>37010</v>
      </c>
      <c r="G3313" s="9" t="s">
        <v>17740</v>
      </c>
      <c r="H3313" s="11" t="s">
        <v>11659</v>
      </c>
      <c r="I3313" s="11" t="s">
        <v>11658</v>
      </c>
      <c r="J3313" s="11" t="s">
        <v>11659</v>
      </c>
      <c r="K3313" s="9" t="s">
        <v>2605</v>
      </c>
      <c r="L3313" s="9" t="s">
        <v>17759</v>
      </c>
      <c r="M3313" s="9" t="s">
        <v>19168</v>
      </c>
      <c r="N3313" s="9" t="s">
        <v>17746</v>
      </c>
      <c r="O3313" s="9" t="s">
        <v>3176</v>
      </c>
      <c r="P3313" s="9" t="s">
        <v>17748</v>
      </c>
      <c r="Q3313" s="11" t="s">
        <v>17780</v>
      </c>
      <c r="R3313" s="11" t="s">
        <v>17780</v>
      </c>
      <c r="S3313" s="11" t="s">
        <v>17750</v>
      </c>
    </row>
    <row r="3314" spans="1:19" x14ac:dyDescent="0.2">
      <c r="A3314" s="11" t="s">
        <v>37016</v>
      </c>
      <c r="B3314" s="9" t="s">
        <v>37017</v>
      </c>
      <c r="C3314" s="9" t="s">
        <v>37018</v>
      </c>
      <c r="D3314" s="9" t="s">
        <v>37019</v>
      </c>
      <c r="E3314" s="9" t="s">
        <v>17740</v>
      </c>
      <c r="F3314" s="9" t="s">
        <v>17741</v>
      </c>
      <c r="G3314" s="9" t="s">
        <v>17740</v>
      </c>
      <c r="H3314" s="11" t="s">
        <v>4714</v>
      </c>
      <c r="I3314" s="11" t="s">
        <v>4713</v>
      </c>
      <c r="J3314" s="11" t="s">
        <v>4713</v>
      </c>
      <c r="K3314" s="9" t="s">
        <v>17758</v>
      </c>
      <c r="L3314" s="9" t="s">
        <v>17759</v>
      </c>
      <c r="M3314" s="9" t="s">
        <v>17760</v>
      </c>
      <c r="N3314" s="9" t="s">
        <v>17746</v>
      </c>
      <c r="O3314" s="9" t="s">
        <v>37020</v>
      </c>
      <c r="P3314" s="9" t="s">
        <v>17748</v>
      </c>
      <c r="Q3314" s="11" t="s">
        <v>17819</v>
      </c>
      <c r="R3314" s="11" t="s">
        <v>17819</v>
      </c>
      <c r="S3314" s="11" t="s">
        <v>17750</v>
      </c>
    </row>
    <row r="3315" spans="1:19" x14ac:dyDescent="0.2">
      <c r="A3315" s="11" t="s">
        <v>37021</v>
      </c>
      <c r="B3315" s="9" t="s">
        <v>37022</v>
      </c>
      <c r="C3315" s="9" t="s">
        <v>37023</v>
      </c>
      <c r="D3315" s="9" t="s">
        <v>37024</v>
      </c>
      <c r="E3315" s="9" t="s">
        <v>17740</v>
      </c>
      <c r="F3315" s="9" t="s">
        <v>37025</v>
      </c>
      <c r="G3315" s="9" t="s">
        <v>17740</v>
      </c>
      <c r="H3315" s="11" t="s">
        <v>17741</v>
      </c>
      <c r="I3315" s="11" t="s">
        <v>2526</v>
      </c>
      <c r="J3315" s="11" t="s">
        <v>2526</v>
      </c>
      <c r="K3315" s="9" t="s">
        <v>2964</v>
      </c>
      <c r="L3315" s="9" t="s">
        <v>17991</v>
      </c>
      <c r="M3315" s="9" t="s">
        <v>17760</v>
      </c>
      <c r="N3315" s="9" t="s">
        <v>17746</v>
      </c>
      <c r="O3315" s="9" t="s">
        <v>3176</v>
      </c>
      <c r="P3315" s="9" t="s">
        <v>17748</v>
      </c>
      <c r="Q3315" s="11" t="s">
        <v>18243</v>
      </c>
      <c r="R3315" s="11" t="s">
        <v>18243</v>
      </c>
      <c r="S3315" s="11" t="s">
        <v>17750</v>
      </c>
    </row>
    <row r="3316" spans="1:19" x14ac:dyDescent="0.2">
      <c r="A3316" s="11" t="s">
        <v>37026</v>
      </c>
      <c r="B3316" s="9" t="s">
        <v>37027</v>
      </c>
      <c r="C3316" s="9" t="s">
        <v>37028</v>
      </c>
      <c r="D3316" s="9" t="s">
        <v>37029</v>
      </c>
      <c r="E3316" s="9" t="s">
        <v>17740</v>
      </c>
      <c r="F3316" s="9" t="s">
        <v>37030</v>
      </c>
      <c r="G3316" s="9" t="s">
        <v>17740</v>
      </c>
      <c r="H3316" s="11" t="s">
        <v>4740</v>
      </c>
      <c r="I3316" s="11" t="s">
        <v>4739</v>
      </c>
      <c r="J3316" s="11" t="s">
        <v>4739</v>
      </c>
      <c r="K3316" s="9" t="s">
        <v>19202</v>
      </c>
      <c r="L3316" s="9" t="s">
        <v>17759</v>
      </c>
      <c r="M3316" s="9" t="s">
        <v>37031</v>
      </c>
      <c r="N3316" s="9" t="s">
        <v>17746</v>
      </c>
      <c r="O3316" s="9" t="s">
        <v>37032</v>
      </c>
      <c r="P3316" s="9" t="s">
        <v>17748</v>
      </c>
      <c r="Q3316" s="11" t="s">
        <v>18678</v>
      </c>
      <c r="R3316" s="11" t="s">
        <v>18678</v>
      </c>
      <c r="S3316" s="11" t="s">
        <v>17750</v>
      </c>
    </row>
    <row r="3317" spans="1:19" x14ac:dyDescent="0.2">
      <c r="A3317" s="11" t="s">
        <v>37033</v>
      </c>
      <c r="B3317" s="9" t="s">
        <v>37034</v>
      </c>
      <c r="C3317" s="9" t="s">
        <v>37035</v>
      </c>
      <c r="D3317" s="9" t="s">
        <v>37036</v>
      </c>
      <c r="E3317" s="9" t="s">
        <v>17740</v>
      </c>
      <c r="F3317" s="9" t="s">
        <v>17741</v>
      </c>
      <c r="G3317" s="9" t="s">
        <v>17740</v>
      </c>
      <c r="H3317" s="11" t="s">
        <v>6680</v>
      </c>
      <c r="I3317" s="11" t="s">
        <v>6679</v>
      </c>
      <c r="J3317" s="11" t="s">
        <v>6679</v>
      </c>
      <c r="K3317" s="9" t="s">
        <v>17783</v>
      </c>
      <c r="L3317" s="9" t="s">
        <v>17759</v>
      </c>
      <c r="M3317" s="9" t="s">
        <v>17769</v>
      </c>
      <c r="N3317" s="9" t="s">
        <v>17746</v>
      </c>
      <c r="O3317" s="9" t="s">
        <v>37037</v>
      </c>
      <c r="P3317" s="9" t="s">
        <v>17748</v>
      </c>
      <c r="Q3317" s="11" t="s">
        <v>19361</v>
      </c>
      <c r="R3317" s="11" t="s">
        <v>19361</v>
      </c>
      <c r="S3317" s="11" t="s">
        <v>17750</v>
      </c>
    </row>
    <row r="3318" spans="1:19" x14ac:dyDescent="0.2">
      <c r="A3318" s="11" t="s">
        <v>37038</v>
      </c>
      <c r="B3318" s="9" t="s">
        <v>37039</v>
      </c>
      <c r="C3318" s="9" t="s">
        <v>37040</v>
      </c>
      <c r="D3318" s="9" t="s">
        <v>37041</v>
      </c>
      <c r="E3318" s="9" t="s">
        <v>17748</v>
      </c>
      <c r="F3318" s="9" t="s">
        <v>37042</v>
      </c>
      <c r="G3318" s="9" t="s">
        <v>17740</v>
      </c>
      <c r="H3318" s="11" t="s">
        <v>4511</v>
      </c>
      <c r="I3318" s="11" t="s">
        <v>4510</v>
      </c>
      <c r="J3318" s="11" t="s">
        <v>4510</v>
      </c>
      <c r="K3318" s="9" t="s">
        <v>4512</v>
      </c>
      <c r="L3318" s="9" t="s">
        <v>18242</v>
      </c>
      <c r="M3318" s="9" t="s">
        <v>17769</v>
      </c>
      <c r="N3318" s="9" t="s">
        <v>17746</v>
      </c>
      <c r="O3318" s="9" t="s">
        <v>17993</v>
      </c>
      <c r="P3318" s="9" t="s">
        <v>17748</v>
      </c>
      <c r="Q3318" s="11" t="s">
        <v>17784</v>
      </c>
      <c r="R3318" s="11" t="s">
        <v>17784</v>
      </c>
      <c r="S3318" s="11" t="s">
        <v>17750</v>
      </c>
    </row>
    <row r="3319" spans="1:19" x14ac:dyDescent="0.2">
      <c r="A3319" s="11" t="s">
        <v>37043</v>
      </c>
      <c r="B3319" s="9" t="s">
        <v>37044</v>
      </c>
      <c r="C3319" s="9" t="s">
        <v>37045</v>
      </c>
      <c r="D3319" s="9" t="s">
        <v>37046</v>
      </c>
      <c r="E3319" s="9" t="s">
        <v>17740</v>
      </c>
      <c r="F3319" s="9" t="s">
        <v>17741</v>
      </c>
      <c r="G3319" s="9" t="s">
        <v>17740</v>
      </c>
      <c r="H3319" s="11" t="s">
        <v>6145</v>
      </c>
      <c r="I3319" s="11" t="s">
        <v>6144</v>
      </c>
      <c r="J3319" s="11" t="s">
        <v>6144</v>
      </c>
      <c r="K3319" s="9" t="s">
        <v>17783</v>
      </c>
      <c r="L3319" s="9" t="s">
        <v>17759</v>
      </c>
      <c r="M3319" s="9" t="s">
        <v>17769</v>
      </c>
      <c r="N3319" s="9" t="s">
        <v>17746</v>
      </c>
      <c r="O3319" s="9" t="s">
        <v>18009</v>
      </c>
      <c r="P3319" s="9" t="s">
        <v>17748</v>
      </c>
      <c r="Q3319" s="11" t="s">
        <v>17808</v>
      </c>
      <c r="R3319" s="11" t="s">
        <v>17808</v>
      </c>
      <c r="S3319" s="11" t="s">
        <v>17750</v>
      </c>
    </row>
    <row r="3320" spans="1:19" x14ac:dyDescent="0.2">
      <c r="A3320" s="11" t="s">
        <v>37047</v>
      </c>
      <c r="B3320" s="9" t="s">
        <v>37048</v>
      </c>
      <c r="C3320" s="9" t="s">
        <v>37049</v>
      </c>
      <c r="D3320" s="9" t="s">
        <v>37050</v>
      </c>
      <c r="E3320" s="9" t="s">
        <v>17740</v>
      </c>
      <c r="F3320" s="9" t="s">
        <v>17741</v>
      </c>
      <c r="G3320" s="9" t="s">
        <v>17740</v>
      </c>
      <c r="H3320" s="11" t="s">
        <v>37051</v>
      </c>
      <c r="I3320" s="11" t="s">
        <v>2492</v>
      </c>
      <c r="J3320" s="11" t="s">
        <v>2492</v>
      </c>
      <c r="K3320" s="9" t="s">
        <v>37052</v>
      </c>
      <c r="L3320" s="9" t="s">
        <v>17759</v>
      </c>
      <c r="M3320" s="9" t="s">
        <v>17817</v>
      </c>
      <c r="N3320" s="9" t="s">
        <v>17746</v>
      </c>
      <c r="O3320" s="9" t="s">
        <v>20618</v>
      </c>
      <c r="P3320" s="9" t="s">
        <v>17748</v>
      </c>
      <c r="Q3320" s="11" t="s">
        <v>18556</v>
      </c>
      <c r="R3320" s="11" t="s">
        <v>18556</v>
      </c>
      <c r="S3320" s="11" t="s">
        <v>17750</v>
      </c>
    </row>
    <row r="3321" spans="1:19" x14ac:dyDescent="0.2">
      <c r="A3321" s="11" t="s">
        <v>37053</v>
      </c>
      <c r="B3321" s="9" t="s">
        <v>37054</v>
      </c>
      <c r="C3321" s="9" t="s">
        <v>37055</v>
      </c>
      <c r="D3321" s="9" t="s">
        <v>37056</v>
      </c>
      <c r="E3321" s="9" t="s">
        <v>17740</v>
      </c>
      <c r="F3321" s="9" t="s">
        <v>17741</v>
      </c>
      <c r="G3321" s="9" t="s">
        <v>17740</v>
      </c>
      <c r="H3321" s="11" t="s">
        <v>37057</v>
      </c>
      <c r="I3321" s="11" t="s">
        <v>2499</v>
      </c>
      <c r="J3321" s="11" t="s">
        <v>2499</v>
      </c>
      <c r="K3321" s="9" t="s">
        <v>37052</v>
      </c>
      <c r="L3321" s="9" t="s">
        <v>17759</v>
      </c>
      <c r="M3321" s="9" t="s">
        <v>17760</v>
      </c>
      <c r="N3321" s="9" t="s">
        <v>17746</v>
      </c>
      <c r="O3321" s="9" t="s">
        <v>20618</v>
      </c>
      <c r="P3321" s="9" t="s">
        <v>17748</v>
      </c>
      <c r="Q3321" s="11" t="s">
        <v>18243</v>
      </c>
      <c r="R3321" s="11" t="s">
        <v>18243</v>
      </c>
      <c r="S3321" s="11" t="s">
        <v>17750</v>
      </c>
    </row>
    <row r="3322" spans="1:19" x14ac:dyDescent="0.2">
      <c r="A3322" s="11" t="s">
        <v>37058</v>
      </c>
      <c r="B3322" s="9" t="s">
        <v>37059</v>
      </c>
      <c r="C3322" s="9" t="s">
        <v>37060</v>
      </c>
      <c r="D3322" s="9" t="s">
        <v>37061</v>
      </c>
      <c r="E3322" s="9" t="s">
        <v>17740</v>
      </c>
      <c r="F3322" s="9" t="s">
        <v>17741</v>
      </c>
      <c r="G3322" s="9" t="s">
        <v>17740</v>
      </c>
      <c r="H3322" s="11" t="s">
        <v>37062</v>
      </c>
      <c r="I3322" s="11" t="s">
        <v>37063</v>
      </c>
      <c r="J3322" s="11" t="s">
        <v>37063</v>
      </c>
      <c r="K3322" s="9" t="s">
        <v>17758</v>
      </c>
      <c r="L3322" s="9" t="s">
        <v>17759</v>
      </c>
      <c r="M3322" s="9" t="s">
        <v>17817</v>
      </c>
      <c r="N3322" s="9" t="s">
        <v>17746</v>
      </c>
      <c r="O3322" s="9" t="s">
        <v>17800</v>
      </c>
      <c r="P3322" s="9" t="s">
        <v>17748</v>
      </c>
      <c r="Q3322" s="11" t="s">
        <v>19899</v>
      </c>
      <c r="R3322" s="11" t="s">
        <v>19899</v>
      </c>
      <c r="S3322" s="11" t="s">
        <v>17750</v>
      </c>
    </row>
    <row r="3323" spans="1:19" x14ac:dyDescent="0.2">
      <c r="A3323" s="11" t="s">
        <v>37064</v>
      </c>
      <c r="B3323" s="9" t="s">
        <v>37065</v>
      </c>
      <c r="C3323" s="9" t="s">
        <v>37066</v>
      </c>
      <c r="D3323" s="9" t="s">
        <v>37067</v>
      </c>
      <c r="E3323" s="9" t="s">
        <v>17740</v>
      </c>
      <c r="F3323" s="9" t="s">
        <v>37068</v>
      </c>
      <c r="G3323" s="9" t="s">
        <v>17740</v>
      </c>
      <c r="H3323" s="11" t="s">
        <v>37069</v>
      </c>
      <c r="I3323" s="11" t="s">
        <v>37070</v>
      </c>
      <c r="J3323" s="11" t="s">
        <v>37070</v>
      </c>
      <c r="K3323" s="9" t="s">
        <v>17758</v>
      </c>
      <c r="L3323" s="9" t="s">
        <v>17759</v>
      </c>
      <c r="M3323" s="9" t="s">
        <v>24893</v>
      </c>
      <c r="N3323" s="9" t="s">
        <v>17746</v>
      </c>
      <c r="O3323" s="9" t="s">
        <v>17800</v>
      </c>
      <c r="P3323" s="9" t="s">
        <v>17748</v>
      </c>
      <c r="Q3323" s="11" t="s">
        <v>18080</v>
      </c>
      <c r="R3323" s="11" t="s">
        <v>18080</v>
      </c>
      <c r="S3323" s="11" t="s">
        <v>17750</v>
      </c>
    </row>
    <row r="3324" spans="1:19" x14ac:dyDescent="0.2">
      <c r="A3324" s="11" t="s">
        <v>37071</v>
      </c>
      <c r="B3324" s="9" t="s">
        <v>37072</v>
      </c>
      <c r="C3324" s="9" t="s">
        <v>37073</v>
      </c>
      <c r="D3324" s="9" t="s">
        <v>37074</v>
      </c>
      <c r="E3324" s="9" t="s">
        <v>17740</v>
      </c>
      <c r="F3324" s="9" t="s">
        <v>17741</v>
      </c>
      <c r="G3324" s="9" t="s">
        <v>17740</v>
      </c>
      <c r="H3324" s="11" t="s">
        <v>37075</v>
      </c>
      <c r="I3324" s="11" t="s">
        <v>37076</v>
      </c>
      <c r="J3324" s="11" t="s">
        <v>37076</v>
      </c>
      <c r="K3324" s="9" t="s">
        <v>37077</v>
      </c>
      <c r="L3324" s="9" t="s">
        <v>17759</v>
      </c>
      <c r="M3324" s="9" t="s">
        <v>24505</v>
      </c>
      <c r="N3324" s="9" t="s">
        <v>17746</v>
      </c>
      <c r="O3324" s="9" t="s">
        <v>32730</v>
      </c>
      <c r="P3324" s="9" t="s">
        <v>17748</v>
      </c>
      <c r="Q3324" s="11" t="s">
        <v>18314</v>
      </c>
      <c r="R3324" s="11" t="s">
        <v>18314</v>
      </c>
      <c r="S3324" s="11" t="s">
        <v>17750</v>
      </c>
    </row>
    <row r="3325" spans="1:19" x14ac:dyDescent="0.2">
      <c r="A3325" s="11" t="s">
        <v>37078</v>
      </c>
      <c r="B3325" s="9" t="s">
        <v>37079</v>
      </c>
      <c r="C3325" s="9" t="s">
        <v>37080</v>
      </c>
      <c r="D3325" s="9" t="s">
        <v>37081</v>
      </c>
      <c r="E3325" s="9" t="s">
        <v>17740</v>
      </c>
      <c r="F3325" s="9" t="s">
        <v>17741</v>
      </c>
      <c r="G3325" s="9" t="s">
        <v>17740</v>
      </c>
      <c r="H3325" s="11" t="s">
        <v>37082</v>
      </c>
      <c r="I3325" s="11" t="s">
        <v>37083</v>
      </c>
      <c r="J3325" s="11" t="s">
        <v>37083</v>
      </c>
      <c r="K3325" s="9" t="s">
        <v>23527</v>
      </c>
      <c r="L3325" s="9" t="s">
        <v>17744</v>
      </c>
      <c r="M3325" s="9" t="s">
        <v>17769</v>
      </c>
      <c r="N3325" s="9" t="s">
        <v>17746</v>
      </c>
      <c r="O3325" s="9" t="s">
        <v>17800</v>
      </c>
      <c r="P3325" s="9" t="s">
        <v>17748</v>
      </c>
      <c r="Q3325" s="11" t="s">
        <v>17792</v>
      </c>
      <c r="R3325" s="11" t="s">
        <v>17792</v>
      </c>
      <c r="S3325" s="11" t="s">
        <v>17750</v>
      </c>
    </row>
    <row r="3326" spans="1:19" x14ac:dyDescent="0.2">
      <c r="A3326" s="11" t="s">
        <v>37084</v>
      </c>
      <c r="B3326" s="9" t="s">
        <v>37085</v>
      </c>
      <c r="C3326" s="9" t="s">
        <v>37086</v>
      </c>
      <c r="D3326" s="9" t="s">
        <v>37087</v>
      </c>
      <c r="E3326" s="9" t="s">
        <v>17740</v>
      </c>
      <c r="F3326" s="9" t="s">
        <v>17741</v>
      </c>
      <c r="G3326" s="9" t="s">
        <v>17740</v>
      </c>
      <c r="H3326" s="11" t="s">
        <v>17741</v>
      </c>
      <c r="I3326" s="11" t="s">
        <v>37088</v>
      </c>
      <c r="J3326" s="11" t="s">
        <v>37088</v>
      </c>
      <c r="K3326" s="9" t="s">
        <v>20867</v>
      </c>
      <c r="L3326" s="9" t="s">
        <v>17759</v>
      </c>
      <c r="M3326" s="9" t="s">
        <v>18211</v>
      </c>
      <c r="N3326" s="9" t="s">
        <v>17746</v>
      </c>
      <c r="O3326" s="9" t="s">
        <v>17800</v>
      </c>
      <c r="P3326" s="9" t="s">
        <v>17748</v>
      </c>
      <c r="Q3326" s="11" t="s">
        <v>17792</v>
      </c>
      <c r="R3326" s="11" t="s">
        <v>17792</v>
      </c>
      <c r="S3326" s="11" t="s">
        <v>17750</v>
      </c>
    </row>
    <row r="3327" spans="1:19" x14ac:dyDescent="0.2">
      <c r="A3327" s="11" t="s">
        <v>37089</v>
      </c>
      <c r="B3327" s="9" t="s">
        <v>37090</v>
      </c>
      <c r="C3327" s="9" t="s">
        <v>37091</v>
      </c>
      <c r="D3327" s="9" t="s">
        <v>37092</v>
      </c>
      <c r="E3327" s="9" t="s">
        <v>17748</v>
      </c>
      <c r="F3327" s="9" t="s">
        <v>37093</v>
      </c>
      <c r="G3327" s="9" t="s">
        <v>17740</v>
      </c>
      <c r="H3327" s="11" t="s">
        <v>37094</v>
      </c>
      <c r="I3327" s="11" t="s">
        <v>37095</v>
      </c>
      <c r="J3327" s="11" t="s">
        <v>37095</v>
      </c>
      <c r="K3327" s="9" t="s">
        <v>17758</v>
      </c>
      <c r="L3327" s="9" t="s">
        <v>17950</v>
      </c>
      <c r="M3327" s="9" t="s">
        <v>17760</v>
      </c>
      <c r="N3327" s="9" t="s">
        <v>17746</v>
      </c>
      <c r="O3327" s="9" t="s">
        <v>17800</v>
      </c>
      <c r="P3327" s="9" t="s">
        <v>17748</v>
      </c>
      <c r="Q3327" s="11" t="s">
        <v>18922</v>
      </c>
      <c r="R3327" s="11" t="s">
        <v>18922</v>
      </c>
      <c r="S3327" s="11" t="s">
        <v>17750</v>
      </c>
    </row>
    <row r="3328" spans="1:19" x14ac:dyDescent="0.2">
      <c r="A3328" s="11" t="s">
        <v>37096</v>
      </c>
      <c r="B3328" s="9" t="s">
        <v>37097</v>
      </c>
      <c r="C3328" s="9" t="s">
        <v>37098</v>
      </c>
      <c r="D3328" s="9" t="s">
        <v>37099</v>
      </c>
      <c r="E3328" s="9" t="s">
        <v>17748</v>
      </c>
      <c r="F3328" s="9" t="s">
        <v>37100</v>
      </c>
      <c r="G3328" s="9" t="s">
        <v>17740</v>
      </c>
      <c r="H3328" s="11" t="s">
        <v>37101</v>
      </c>
      <c r="I3328" s="11" t="s">
        <v>37102</v>
      </c>
      <c r="J3328" s="11" t="s">
        <v>37102</v>
      </c>
      <c r="K3328" s="9" t="s">
        <v>17805</v>
      </c>
      <c r="L3328" s="9" t="s">
        <v>17759</v>
      </c>
      <c r="M3328" s="9" t="s">
        <v>17760</v>
      </c>
      <c r="N3328" s="9" t="s">
        <v>17746</v>
      </c>
      <c r="O3328" s="9" t="s">
        <v>17800</v>
      </c>
      <c r="P3328" s="9" t="s">
        <v>17748</v>
      </c>
      <c r="Q3328" s="11" t="s">
        <v>17784</v>
      </c>
      <c r="R3328" s="11" t="s">
        <v>17784</v>
      </c>
      <c r="S3328" s="11" t="s">
        <v>17750</v>
      </c>
    </row>
    <row r="3329" spans="1:19" x14ac:dyDescent="0.2">
      <c r="A3329" s="11" t="s">
        <v>37103</v>
      </c>
      <c r="B3329" s="9" t="s">
        <v>37104</v>
      </c>
      <c r="C3329" s="9" t="s">
        <v>37105</v>
      </c>
      <c r="D3329" s="9" t="s">
        <v>37106</v>
      </c>
      <c r="E3329" s="9" t="s">
        <v>17740</v>
      </c>
      <c r="F3329" s="9" t="s">
        <v>17741</v>
      </c>
      <c r="G3329" s="9" t="s">
        <v>17740</v>
      </c>
      <c r="H3329" s="11" t="s">
        <v>11918</v>
      </c>
      <c r="I3329" s="11" t="s">
        <v>11917</v>
      </c>
      <c r="J3329" s="11" t="s">
        <v>11917</v>
      </c>
      <c r="K3329" s="9" t="s">
        <v>18122</v>
      </c>
      <c r="L3329" s="9" t="s">
        <v>18123</v>
      </c>
      <c r="M3329" s="9" t="s">
        <v>18065</v>
      </c>
      <c r="N3329" s="9" t="s">
        <v>17746</v>
      </c>
      <c r="O3329" s="9" t="s">
        <v>37107</v>
      </c>
      <c r="P3329" s="9" t="s">
        <v>17748</v>
      </c>
      <c r="Q3329" s="11" t="s">
        <v>18370</v>
      </c>
      <c r="R3329" s="11" t="s">
        <v>18370</v>
      </c>
      <c r="S3329" s="11" t="s">
        <v>17750</v>
      </c>
    </row>
    <row r="3330" spans="1:19" x14ac:dyDescent="0.2">
      <c r="A3330" s="11" t="s">
        <v>37108</v>
      </c>
      <c r="B3330" s="9" t="s">
        <v>37109</v>
      </c>
      <c r="C3330" s="9" t="s">
        <v>37110</v>
      </c>
      <c r="D3330" s="9" t="s">
        <v>37111</v>
      </c>
      <c r="E3330" s="9" t="s">
        <v>17740</v>
      </c>
      <c r="F3330" s="9" t="s">
        <v>17741</v>
      </c>
      <c r="G3330" s="9" t="s">
        <v>17740</v>
      </c>
      <c r="H3330" s="11" t="s">
        <v>2609</v>
      </c>
      <c r="I3330" s="11" t="s">
        <v>2608</v>
      </c>
      <c r="J3330" s="11" t="s">
        <v>2608</v>
      </c>
      <c r="K3330" s="9" t="s">
        <v>280</v>
      </c>
      <c r="L3330" s="9" t="s">
        <v>17759</v>
      </c>
      <c r="M3330" s="9" t="s">
        <v>37112</v>
      </c>
      <c r="N3330" s="9" t="s">
        <v>17746</v>
      </c>
      <c r="O3330" s="9" t="s">
        <v>18543</v>
      </c>
      <c r="P3330" s="9" t="s">
        <v>17748</v>
      </c>
      <c r="Q3330" s="11" t="s">
        <v>23636</v>
      </c>
      <c r="R3330" s="11" t="s">
        <v>23636</v>
      </c>
      <c r="S3330" s="11" t="s">
        <v>17750</v>
      </c>
    </row>
    <row r="3331" spans="1:19" x14ac:dyDescent="0.2">
      <c r="A3331" s="11" t="s">
        <v>37113</v>
      </c>
      <c r="B3331" s="9" t="s">
        <v>37114</v>
      </c>
      <c r="C3331" s="9" t="s">
        <v>37115</v>
      </c>
      <c r="D3331" s="9" t="s">
        <v>37116</v>
      </c>
      <c r="E3331" s="9" t="s">
        <v>17748</v>
      </c>
      <c r="F3331" s="9" t="s">
        <v>37117</v>
      </c>
      <c r="G3331" s="9" t="s">
        <v>17740</v>
      </c>
      <c r="H3331" s="11" t="s">
        <v>37118</v>
      </c>
      <c r="I3331" s="11" t="s">
        <v>37119</v>
      </c>
      <c r="J3331" s="11" t="s">
        <v>37119</v>
      </c>
      <c r="K3331" s="9" t="s">
        <v>91</v>
      </c>
      <c r="L3331" s="9" t="s">
        <v>17759</v>
      </c>
      <c r="M3331" s="9" t="s">
        <v>17769</v>
      </c>
      <c r="N3331" s="9" t="s">
        <v>17746</v>
      </c>
      <c r="O3331" s="9" t="s">
        <v>37120</v>
      </c>
      <c r="P3331" s="9" t="s">
        <v>17748</v>
      </c>
      <c r="Q3331" s="11" t="s">
        <v>17994</v>
      </c>
      <c r="R3331" s="11" t="s">
        <v>17994</v>
      </c>
      <c r="S3331" s="11" t="s">
        <v>17750</v>
      </c>
    </row>
    <row r="3332" spans="1:19" x14ac:dyDescent="0.2">
      <c r="A3332" s="11" t="s">
        <v>37121</v>
      </c>
      <c r="B3332" s="9" t="s">
        <v>37122</v>
      </c>
      <c r="C3332" s="9" t="s">
        <v>37123</v>
      </c>
      <c r="D3332" s="9" t="s">
        <v>37124</v>
      </c>
      <c r="E3332" s="9" t="s">
        <v>17748</v>
      </c>
      <c r="F3332" s="9" t="s">
        <v>37125</v>
      </c>
      <c r="G3332" s="9" t="s">
        <v>17740</v>
      </c>
      <c r="H3332" s="11" t="s">
        <v>37126</v>
      </c>
      <c r="I3332" s="11" t="s">
        <v>37127</v>
      </c>
      <c r="J3332" s="11" t="s">
        <v>17741</v>
      </c>
      <c r="K3332" s="9" t="s">
        <v>689</v>
      </c>
      <c r="L3332" s="9" t="s">
        <v>17759</v>
      </c>
      <c r="M3332" s="9" t="s">
        <v>17760</v>
      </c>
      <c r="N3332" s="9" t="s">
        <v>17746</v>
      </c>
      <c r="O3332" s="9" t="s">
        <v>37128</v>
      </c>
      <c r="P3332" s="9" t="s">
        <v>17748</v>
      </c>
      <c r="Q3332" s="11" t="s">
        <v>17909</v>
      </c>
      <c r="R3332" s="11" t="s">
        <v>17909</v>
      </c>
      <c r="S3332" s="11" t="s">
        <v>17750</v>
      </c>
    </row>
    <row r="3333" spans="1:19" x14ac:dyDescent="0.2">
      <c r="A3333" s="11" t="s">
        <v>37129</v>
      </c>
      <c r="B3333" s="9" t="s">
        <v>37130</v>
      </c>
      <c r="C3333" s="9" t="s">
        <v>37131</v>
      </c>
      <c r="D3333" s="9" t="s">
        <v>37132</v>
      </c>
      <c r="E3333" s="9" t="s">
        <v>17740</v>
      </c>
      <c r="F3333" s="9" t="s">
        <v>17741</v>
      </c>
      <c r="G3333" s="9" t="s">
        <v>17740</v>
      </c>
      <c r="H3333" s="11" t="s">
        <v>8349</v>
      </c>
      <c r="I3333" s="11" t="s">
        <v>8348</v>
      </c>
      <c r="J3333" s="11" t="s">
        <v>8348</v>
      </c>
      <c r="K3333" s="9" t="s">
        <v>37133</v>
      </c>
      <c r="L3333" s="9" t="s">
        <v>20359</v>
      </c>
      <c r="M3333" s="9" t="s">
        <v>29147</v>
      </c>
      <c r="N3333" s="9" t="s">
        <v>17746</v>
      </c>
      <c r="O3333" s="9" t="s">
        <v>37128</v>
      </c>
      <c r="P3333" s="9" t="s">
        <v>17748</v>
      </c>
      <c r="Q3333" s="11" t="s">
        <v>18272</v>
      </c>
      <c r="R3333" s="11" t="s">
        <v>18272</v>
      </c>
      <c r="S3333" s="11" t="s">
        <v>17750</v>
      </c>
    </row>
    <row r="3334" spans="1:19" x14ac:dyDescent="0.2">
      <c r="A3334" s="11" t="s">
        <v>37134</v>
      </c>
      <c r="B3334" s="9" t="s">
        <v>37135</v>
      </c>
      <c r="C3334" s="9" t="s">
        <v>37136</v>
      </c>
      <c r="D3334" s="9" t="s">
        <v>37137</v>
      </c>
      <c r="E3334" s="9" t="s">
        <v>17740</v>
      </c>
      <c r="F3334" s="9" t="s">
        <v>37138</v>
      </c>
      <c r="G3334" s="9" t="s">
        <v>17740</v>
      </c>
      <c r="H3334" s="11" t="s">
        <v>5063</v>
      </c>
      <c r="I3334" s="11" t="s">
        <v>5062</v>
      </c>
      <c r="J3334" s="11" t="s">
        <v>5062</v>
      </c>
      <c r="K3334" s="9" t="s">
        <v>18661</v>
      </c>
      <c r="L3334" s="9" t="s">
        <v>17759</v>
      </c>
      <c r="M3334" s="9" t="s">
        <v>17817</v>
      </c>
      <c r="N3334" s="9" t="s">
        <v>17746</v>
      </c>
      <c r="O3334" s="9" t="s">
        <v>37139</v>
      </c>
      <c r="P3334" s="9" t="s">
        <v>17748</v>
      </c>
      <c r="Q3334" s="11" t="s">
        <v>17749</v>
      </c>
      <c r="R3334" s="11" t="s">
        <v>17749</v>
      </c>
      <c r="S3334" s="11" t="s">
        <v>17750</v>
      </c>
    </row>
    <row r="3335" spans="1:19" x14ac:dyDescent="0.2">
      <c r="A3335" s="11" t="s">
        <v>37140</v>
      </c>
      <c r="B3335" s="9" t="s">
        <v>37141</v>
      </c>
      <c r="C3335" s="9" t="s">
        <v>37142</v>
      </c>
      <c r="D3335" s="9" t="s">
        <v>37143</v>
      </c>
      <c r="E3335" s="9" t="s">
        <v>17740</v>
      </c>
      <c r="F3335" s="9" t="s">
        <v>37144</v>
      </c>
      <c r="G3335" s="9" t="s">
        <v>17740</v>
      </c>
      <c r="H3335" s="11" t="s">
        <v>2530</v>
      </c>
      <c r="I3335" s="11" t="s">
        <v>2529</v>
      </c>
      <c r="J3335" s="11" t="s">
        <v>2529</v>
      </c>
      <c r="K3335" s="9" t="s">
        <v>37145</v>
      </c>
      <c r="L3335" s="9" t="s">
        <v>18242</v>
      </c>
      <c r="M3335" s="9" t="s">
        <v>17769</v>
      </c>
      <c r="N3335" s="9" t="s">
        <v>17746</v>
      </c>
      <c r="O3335" s="9" t="s">
        <v>18543</v>
      </c>
      <c r="P3335" s="9" t="s">
        <v>17748</v>
      </c>
      <c r="Q3335" s="11" t="s">
        <v>18243</v>
      </c>
      <c r="R3335" s="11" t="s">
        <v>18243</v>
      </c>
      <c r="S3335" s="11" t="s">
        <v>17750</v>
      </c>
    </row>
    <row r="3336" spans="1:19" x14ac:dyDescent="0.2">
      <c r="A3336" s="11" t="s">
        <v>37146</v>
      </c>
      <c r="B3336" s="9" t="s">
        <v>37147</v>
      </c>
      <c r="C3336" s="9" t="s">
        <v>37148</v>
      </c>
      <c r="D3336" s="9" t="s">
        <v>37149</v>
      </c>
      <c r="E3336" s="9" t="s">
        <v>17740</v>
      </c>
      <c r="F3336" s="9" t="s">
        <v>17741</v>
      </c>
      <c r="G3336" s="9" t="s">
        <v>17740</v>
      </c>
      <c r="H3336" s="11" t="s">
        <v>16309</v>
      </c>
      <c r="I3336" s="11" t="s">
        <v>16308</v>
      </c>
      <c r="J3336" s="11" t="s">
        <v>16308</v>
      </c>
      <c r="K3336" s="9" t="s">
        <v>1412</v>
      </c>
      <c r="L3336" s="9" t="s">
        <v>17759</v>
      </c>
      <c r="M3336" s="9" t="s">
        <v>17942</v>
      </c>
      <c r="N3336" s="9" t="s">
        <v>17746</v>
      </c>
      <c r="O3336" s="9" t="s">
        <v>20988</v>
      </c>
      <c r="P3336" s="9" t="s">
        <v>17748</v>
      </c>
      <c r="Q3336" s="11" t="s">
        <v>17900</v>
      </c>
      <c r="R3336" s="11" t="s">
        <v>17900</v>
      </c>
      <c r="S3336" s="11" t="s">
        <v>17750</v>
      </c>
    </row>
    <row r="3337" spans="1:19" x14ac:dyDescent="0.2">
      <c r="A3337" s="11" t="s">
        <v>37150</v>
      </c>
      <c r="B3337" s="9" t="s">
        <v>37151</v>
      </c>
      <c r="C3337" s="9" t="s">
        <v>37152</v>
      </c>
      <c r="D3337" s="9" t="s">
        <v>37153</v>
      </c>
      <c r="E3337" s="9" t="s">
        <v>17740</v>
      </c>
      <c r="F3337" s="9" t="s">
        <v>37154</v>
      </c>
      <c r="G3337" s="9" t="s">
        <v>17740</v>
      </c>
      <c r="H3337" s="11" t="s">
        <v>37155</v>
      </c>
      <c r="I3337" s="11" t="s">
        <v>37156</v>
      </c>
      <c r="J3337" s="11" t="s">
        <v>37157</v>
      </c>
      <c r="K3337" s="9" t="s">
        <v>18377</v>
      </c>
      <c r="L3337" s="9" t="s">
        <v>17759</v>
      </c>
      <c r="M3337" s="9" t="s">
        <v>37158</v>
      </c>
      <c r="N3337" s="9" t="s">
        <v>17746</v>
      </c>
      <c r="O3337" s="9" t="s">
        <v>37159</v>
      </c>
      <c r="P3337" s="9" t="s">
        <v>17748</v>
      </c>
      <c r="Q3337" s="11" t="s">
        <v>18960</v>
      </c>
      <c r="R3337" s="11" t="s">
        <v>18960</v>
      </c>
      <c r="S3337" s="11" t="s">
        <v>17750</v>
      </c>
    </row>
    <row r="3338" spans="1:19" x14ac:dyDescent="0.2">
      <c r="A3338" s="11" t="s">
        <v>37160</v>
      </c>
      <c r="B3338" s="9" t="s">
        <v>37161</v>
      </c>
      <c r="C3338" s="9" t="s">
        <v>37162</v>
      </c>
      <c r="D3338" s="9" t="s">
        <v>37163</v>
      </c>
      <c r="E3338" s="9" t="s">
        <v>17740</v>
      </c>
      <c r="F3338" s="9" t="s">
        <v>17741</v>
      </c>
      <c r="G3338" s="9" t="s">
        <v>17740</v>
      </c>
      <c r="H3338" s="11" t="s">
        <v>2566</v>
      </c>
      <c r="I3338" s="11" t="s">
        <v>2565</v>
      </c>
      <c r="J3338" s="11" t="s">
        <v>2565</v>
      </c>
      <c r="K3338" s="9" t="s">
        <v>291</v>
      </c>
      <c r="L3338" s="9" t="s">
        <v>17744</v>
      </c>
      <c r="M3338" s="9" t="s">
        <v>19938</v>
      </c>
      <c r="N3338" s="9" t="s">
        <v>17746</v>
      </c>
      <c r="O3338" s="9" t="s">
        <v>18331</v>
      </c>
      <c r="P3338" s="9" t="s">
        <v>17748</v>
      </c>
      <c r="Q3338" s="11" t="s">
        <v>19222</v>
      </c>
      <c r="R3338" s="11" t="s">
        <v>19222</v>
      </c>
      <c r="S3338" s="11" t="s">
        <v>17750</v>
      </c>
    </row>
    <row r="3339" spans="1:19" x14ac:dyDescent="0.2">
      <c r="A3339" s="11" t="s">
        <v>37164</v>
      </c>
      <c r="B3339" s="9" t="s">
        <v>37165</v>
      </c>
      <c r="C3339" s="9" t="s">
        <v>37166</v>
      </c>
      <c r="D3339" s="9" t="s">
        <v>37167</v>
      </c>
      <c r="E3339" s="9" t="s">
        <v>17740</v>
      </c>
      <c r="F3339" s="9" t="s">
        <v>37168</v>
      </c>
      <c r="G3339" s="9" t="s">
        <v>17740</v>
      </c>
      <c r="H3339" s="11" t="s">
        <v>17741</v>
      </c>
      <c r="I3339" s="11" t="s">
        <v>37169</v>
      </c>
      <c r="J3339" s="11" t="s">
        <v>37169</v>
      </c>
      <c r="K3339" s="9" t="s">
        <v>37170</v>
      </c>
      <c r="L3339" s="9" t="s">
        <v>18959</v>
      </c>
      <c r="M3339" s="9" t="s">
        <v>17817</v>
      </c>
      <c r="N3339" s="9" t="s">
        <v>17746</v>
      </c>
      <c r="O3339" s="9" t="s">
        <v>18331</v>
      </c>
      <c r="P3339" s="9" t="s">
        <v>17748</v>
      </c>
      <c r="Q3339" s="11" t="s">
        <v>18922</v>
      </c>
      <c r="R3339" s="11" t="s">
        <v>18922</v>
      </c>
      <c r="S3339" s="11" t="s">
        <v>17750</v>
      </c>
    </row>
    <row r="3340" spans="1:19" x14ac:dyDescent="0.2">
      <c r="A3340" s="11" t="s">
        <v>37171</v>
      </c>
      <c r="B3340" s="9" t="s">
        <v>37172</v>
      </c>
      <c r="C3340" s="9" t="s">
        <v>37173</v>
      </c>
      <c r="D3340" s="9" t="s">
        <v>37174</v>
      </c>
      <c r="E3340" s="9" t="s">
        <v>17748</v>
      </c>
      <c r="F3340" s="9" t="s">
        <v>37175</v>
      </c>
      <c r="G3340" s="9" t="s">
        <v>17740</v>
      </c>
      <c r="H3340" s="11" t="s">
        <v>7003</v>
      </c>
      <c r="I3340" s="11" t="s">
        <v>7002</v>
      </c>
      <c r="J3340" s="11" t="s">
        <v>7002</v>
      </c>
      <c r="K3340" s="9" t="s">
        <v>37176</v>
      </c>
      <c r="L3340" s="9" t="s">
        <v>20082</v>
      </c>
      <c r="M3340" s="9" t="s">
        <v>17769</v>
      </c>
      <c r="N3340" s="9" t="s">
        <v>17746</v>
      </c>
      <c r="O3340" s="9" t="s">
        <v>18331</v>
      </c>
      <c r="P3340" s="9" t="s">
        <v>17748</v>
      </c>
      <c r="Q3340" s="11" t="s">
        <v>18201</v>
      </c>
      <c r="R3340" s="11" t="s">
        <v>18201</v>
      </c>
      <c r="S3340" s="11" t="s">
        <v>17750</v>
      </c>
    </row>
    <row r="3341" spans="1:19" x14ac:dyDescent="0.2">
      <c r="A3341" s="11" t="s">
        <v>37177</v>
      </c>
      <c r="B3341" s="9" t="s">
        <v>37178</v>
      </c>
      <c r="C3341" s="9" t="s">
        <v>37179</v>
      </c>
      <c r="D3341" s="9" t="s">
        <v>37180</v>
      </c>
      <c r="E3341" s="9" t="s">
        <v>17748</v>
      </c>
      <c r="F3341" s="9" t="s">
        <v>37181</v>
      </c>
      <c r="G3341" s="9" t="s">
        <v>17740</v>
      </c>
      <c r="H3341" s="11" t="s">
        <v>37182</v>
      </c>
      <c r="I3341" s="11" t="s">
        <v>37183</v>
      </c>
      <c r="J3341" s="11" t="s">
        <v>37183</v>
      </c>
      <c r="K3341" s="9" t="s">
        <v>291</v>
      </c>
      <c r="L3341" s="9" t="s">
        <v>17744</v>
      </c>
      <c r="M3341" s="9" t="s">
        <v>17817</v>
      </c>
      <c r="N3341" s="9" t="s">
        <v>17746</v>
      </c>
      <c r="O3341" s="9" t="s">
        <v>21318</v>
      </c>
      <c r="P3341" s="9" t="s">
        <v>17748</v>
      </c>
      <c r="Q3341" s="11" t="s">
        <v>17780</v>
      </c>
      <c r="R3341" s="11" t="s">
        <v>17780</v>
      </c>
      <c r="S3341" s="11" t="s">
        <v>17750</v>
      </c>
    </row>
    <row r="3342" spans="1:19" x14ac:dyDescent="0.2">
      <c r="A3342" s="11" t="s">
        <v>37184</v>
      </c>
      <c r="B3342" s="9" t="s">
        <v>37185</v>
      </c>
      <c r="C3342" s="9" t="s">
        <v>37186</v>
      </c>
      <c r="D3342" s="9" t="s">
        <v>37187</v>
      </c>
      <c r="E3342" s="9" t="s">
        <v>17748</v>
      </c>
      <c r="F3342" s="9" t="s">
        <v>37188</v>
      </c>
      <c r="G3342" s="9" t="s">
        <v>17740</v>
      </c>
      <c r="H3342" s="11" t="s">
        <v>6572</v>
      </c>
      <c r="I3342" s="11" t="s">
        <v>6571</v>
      </c>
      <c r="J3342" s="11" t="s">
        <v>6571</v>
      </c>
      <c r="K3342" s="9" t="s">
        <v>17758</v>
      </c>
      <c r="L3342" s="9" t="s">
        <v>17759</v>
      </c>
      <c r="M3342" s="9" t="s">
        <v>17817</v>
      </c>
      <c r="N3342" s="9" t="s">
        <v>17746</v>
      </c>
      <c r="O3342" s="9" t="s">
        <v>21318</v>
      </c>
      <c r="P3342" s="9" t="s">
        <v>17748</v>
      </c>
      <c r="Q3342" s="11" t="s">
        <v>19361</v>
      </c>
      <c r="R3342" s="11" t="s">
        <v>19361</v>
      </c>
      <c r="S3342" s="11" t="s">
        <v>17750</v>
      </c>
    </row>
    <row r="3343" spans="1:19" x14ac:dyDescent="0.2">
      <c r="A3343" s="11" t="s">
        <v>37189</v>
      </c>
      <c r="B3343" s="9" t="s">
        <v>37190</v>
      </c>
      <c r="C3343" s="9" t="s">
        <v>37191</v>
      </c>
      <c r="D3343" s="9" t="s">
        <v>37192</v>
      </c>
      <c r="E3343" s="9" t="s">
        <v>17740</v>
      </c>
      <c r="F3343" s="9" t="s">
        <v>37193</v>
      </c>
      <c r="G3343" s="9" t="s">
        <v>17740</v>
      </c>
      <c r="H3343" s="11" t="s">
        <v>37194</v>
      </c>
      <c r="I3343" s="11" t="s">
        <v>37195</v>
      </c>
      <c r="J3343" s="11" t="s">
        <v>37195</v>
      </c>
      <c r="K3343" s="9" t="s">
        <v>37196</v>
      </c>
      <c r="L3343" s="9" t="s">
        <v>18242</v>
      </c>
      <c r="M3343" s="9" t="s">
        <v>17760</v>
      </c>
      <c r="N3343" s="9" t="s">
        <v>17746</v>
      </c>
      <c r="O3343" s="9" t="s">
        <v>19653</v>
      </c>
      <c r="P3343" s="9" t="s">
        <v>17748</v>
      </c>
      <c r="Q3343" s="11" t="s">
        <v>18201</v>
      </c>
      <c r="R3343" s="11" t="s">
        <v>18201</v>
      </c>
      <c r="S3343" s="11" t="s">
        <v>17750</v>
      </c>
    </row>
    <row r="3344" spans="1:19" x14ac:dyDescent="0.2">
      <c r="A3344" s="11" t="s">
        <v>37197</v>
      </c>
      <c r="B3344" s="9" t="s">
        <v>37198</v>
      </c>
      <c r="C3344" s="9" t="s">
        <v>37199</v>
      </c>
      <c r="D3344" s="9" t="s">
        <v>37200</v>
      </c>
      <c r="E3344" s="9" t="s">
        <v>17740</v>
      </c>
      <c r="F3344" s="9" t="s">
        <v>17741</v>
      </c>
      <c r="G3344" s="9" t="s">
        <v>17740</v>
      </c>
      <c r="H3344" s="11" t="s">
        <v>7954</v>
      </c>
      <c r="I3344" s="11" t="s">
        <v>7953</v>
      </c>
      <c r="J3344" s="11" t="s">
        <v>7953</v>
      </c>
      <c r="K3344" s="9" t="s">
        <v>19767</v>
      </c>
      <c r="L3344" s="9" t="s">
        <v>17759</v>
      </c>
      <c r="M3344" s="9" t="s">
        <v>17760</v>
      </c>
      <c r="N3344" s="9" t="s">
        <v>17746</v>
      </c>
      <c r="O3344" s="9" t="s">
        <v>32783</v>
      </c>
      <c r="P3344" s="9" t="s">
        <v>17748</v>
      </c>
      <c r="Q3344" s="11" t="s">
        <v>18201</v>
      </c>
      <c r="R3344" s="11" t="s">
        <v>18201</v>
      </c>
      <c r="S3344" s="11" t="s">
        <v>17750</v>
      </c>
    </row>
    <row r="3345" spans="1:19" x14ac:dyDescent="0.2">
      <c r="A3345" s="11" t="s">
        <v>37201</v>
      </c>
      <c r="B3345" s="9" t="s">
        <v>37202</v>
      </c>
      <c r="C3345" s="9" t="s">
        <v>37203</v>
      </c>
      <c r="D3345" s="9" t="s">
        <v>37204</v>
      </c>
      <c r="E3345" s="9" t="s">
        <v>17740</v>
      </c>
      <c r="F3345" s="9" t="s">
        <v>17741</v>
      </c>
      <c r="G3345" s="9" t="s">
        <v>17740</v>
      </c>
      <c r="H3345" s="11" t="s">
        <v>37205</v>
      </c>
      <c r="I3345" s="11" t="s">
        <v>37206</v>
      </c>
      <c r="J3345" s="11" t="s">
        <v>37206</v>
      </c>
      <c r="K3345" s="9" t="s">
        <v>17783</v>
      </c>
      <c r="L3345" s="9" t="s">
        <v>18001</v>
      </c>
      <c r="M3345" s="9" t="s">
        <v>17760</v>
      </c>
      <c r="N3345" s="9" t="s">
        <v>17746</v>
      </c>
      <c r="O3345" s="9" t="s">
        <v>19740</v>
      </c>
      <c r="P3345" s="9" t="s">
        <v>17748</v>
      </c>
      <c r="Q3345" s="11" t="s">
        <v>18080</v>
      </c>
      <c r="R3345" s="11" t="s">
        <v>18080</v>
      </c>
      <c r="S3345" s="11" t="s">
        <v>17750</v>
      </c>
    </row>
    <row r="3346" spans="1:19" x14ac:dyDescent="0.2">
      <c r="A3346" s="11" t="s">
        <v>37207</v>
      </c>
      <c r="B3346" s="9" t="s">
        <v>37208</v>
      </c>
      <c r="C3346" s="9" t="s">
        <v>37209</v>
      </c>
      <c r="D3346" s="9" t="s">
        <v>37210</v>
      </c>
      <c r="E3346" s="9" t="s">
        <v>17748</v>
      </c>
      <c r="F3346" s="9" t="s">
        <v>37211</v>
      </c>
      <c r="G3346" s="9" t="s">
        <v>17740</v>
      </c>
      <c r="H3346" s="11" t="s">
        <v>6689</v>
      </c>
      <c r="I3346" s="11" t="s">
        <v>6688</v>
      </c>
      <c r="J3346" s="11" t="s">
        <v>6688</v>
      </c>
      <c r="K3346" s="9" t="s">
        <v>37212</v>
      </c>
      <c r="L3346" s="9" t="s">
        <v>17759</v>
      </c>
      <c r="M3346" s="9" t="s">
        <v>17769</v>
      </c>
      <c r="N3346" s="9" t="s">
        <v>17746</v>
      </c>
      <c r="O3346" s="9" t="s">
        <v>37213</v>
      </c>
      <c r="P3346" s="9" t="s">
        <v>17748</v>
      </c>
      <c r="Q3346" s="11" t="s">
        <v>19361</v>
      </c>
      <c r="R3346" s="11" t="s">
        <v>19361</v>
      </c>
      <c r="S3346" s="11" t="s">
        <v>17750</v>
      </c>
    </row>
    <row r="3347" spans="1:19" x14ac:dyDescent="0.2">
      <c r="A3347" s="11" t="s">
        <v>37214</v>
      </c>
      <c r="B3347" s="9" t="s">
        <v>37215</v>
      </c>
      <c r="C3347" s="9" t="s">
        <v>37216</v>
      </c>
      <c r="D3347" s="9" t="s">
        <v>37217</v>
      </c>
      <c r="E3347" s="9" t="s">
        <v>17740</v>
      </c>
      <c r="F3347" s="9" t="s">
        <v>37218</v>
      </c>
      <c r="G3347" s="9" t="s">
        <v>17740</v>
      </c>
      <c r="H3347" s="11" t="s">
        <v>37219</v>
      </c>
      <c r="I3347" s="11" t="s">
        <v>37220</v>
      </c>
      <c r="J3347" s="11" t="s">
        <v>37220</v>
      </c>
      <c r="K3347" s="9" t="s">
        <v>37221</v>
      </c>
      <c r="L3347" s="9" t="s">
        <v>18242</v>
      </c>
      <c r="M3347" s="9" t="s">
        <v>17817</v>
      </c>
      <c r="N3347" s="9" t="s">
        <v>17746</v>
      </c>
      <c r="O3347" s="9" t="s">
        <v>773</v>
      </c>
      <c r="P3347" s="9" t="s">
        <v>17748</v>
      </c>
      <c r="Q3347" s="11" t="s">
        <v>18922</v>
      </c>
      <c r="R3347" s="11" t="s">
        <v>18922</v>
      </c>
      <c r="S3347" s="11" t="s">
        <v>17750</v>
      </c>
    </row>
    <row r="3348" spans="1:19" x14ac:dyDescent="0.2">
      <c r="A3348" s="11" t="s">
        <v>37222</v>
      </c>
      <c r="B3348" s="9" t="s">
        <v>37223</v>
      </c>
      <c r="C3348" s="9" t="s">
        <v>37224</v>
      </c>
      <c r="D3348" s="9" t="s">
        <v>37225</v>
      </c>
      <c r="E3348" s="9" t="s">
        <v>17740</v>
      </c>
      <c r="F3348" s="9" t="s">
        <v>17741</v>
      </c>
      <c r="G3348" s="9" t="s">
        <v>17740</v>
      </c>
      <c r="H3348" s="11" t="s">
        <v>8471</v>
      </c>
      <c r="I3348" s="11" t="s">
        <v>8470</v>
      </c>
      <c r="J3348" s="11" t="s">
        <v>8470</v>
      </c>
      <c r="K3348" s="9" t="s">
        <v>21721</v>
      </c>
      <c r="L3348" s="9" t="s">
        <v>17744</v>
      </c>
      <c r="M3348" s="9" t="s">
        <v>17760</v>
      </c>
      <c r="N3348" s="9" t="s">
        <v>17746</v>
      </c>
      <c r="O3348" s="9" t="s">
        <v>37226</v>
      </c>
      <c r="P3348" s="9" t="s">
        <v>17748</v>
      </c>
      <c r="Q3348" s="11" t="s">
        <v>19361</v>
      </c>
      <c r="R3348" s="11" t="s">
        <v>19361</v>
      </c>
      <c r="S3348" s="11" t="s">
        <v>17750</v>
      </c>
    </row>
    <row r="3349" spans="1:19" x14ac:dyDescent="0.2">
      <c r="A3349" s="11" t="s">
        <v>37227</v>
      </c>
      <c r="B3349" s="9" t="s">
        <v>37228</v>
      </c>
      <c r="C3349" s="9" t="s">
        <v>37229</v>
      </c>
      <c r="D3349" s="9" t="s">
        <v>37230</v>
      </c>
      <c r="E3349" s="9" t="s">
        <v>17740</v>
      </c>
      <c r="F3349" s="9" t="s">
        <v>17741</v>
      </c>
      <c r="G3349" s="9" t="s">
        <v>17740</v>
      </c>
      <c r="H3349" s="11" t="s">
        <v>11921</v>
      </c>
      <c r="I3349" s="11" t="s">
        <v>11920</v>
      </c>
      <c r="J3349" s="11" t="s">
        <v>11920</v>
      </c>
      <c r="K3349" s="9" t="s">
        <v>2247</v>
      </c>
      <c r="L3349" s="9" t="s">
        <v>17759</v>
      </c>
      <c r="M3349" s="9" t="s">
        <v>18065</v>
      </c>
      <c r="N3349" s="9" t="s">
        <v>17746</v>
      </c>
      <c r="O3349" s="9" t="s">
        <v>18363</v>
      </c>
      <c r="P3349" s="9" t="s">
        <v>17748</v>
      </c>
      <c r="Q3349" s="11" t="s">
        <v>17984</v>
      </c>
      <c r="R3349" s="11" t="s">
        <v>17984</v>
      </c>
      <c r="S3349" s="11" t="s">
        <v>17750</v>
      </c>
    </row>
    <row r="3350" spans="1:19" x14ac:dyDescent="0.2">
      <c r="A3350" s="11" t="s">
        <v>37231</v>
      </c>
      <c r="B3350" s="9" t="s">
        <v>37232</v>
      </c>
      <c r="C3350" s="9" t="s">
        <v>37233</v>
      </c>
      <c r="D3350" s="9" t="s">
        <v>37234</v>
      </c>
      <c r="E3350" s="9" t="s">
        <v>17740</v>
      </c>
      <c r="F3350" s="9" t="s">
        <v>17741</v>
      </c>
      <c r="G3350" s="9" t="s">
        <v>17740</v>
      </c>
      <c r="H3350" s="11" t="s">
        <v>17741</v>
      </c>
      <c r="I3350" s="11" t="s">
        <v>11923</v>
      </c>
      <c r="J3350" s="11" t="s">
        <v>11923</v>
      </c>
      <c r="K3350" s="9" t="s">
        <v>37235</v>
      </c>
      <c r="L3350" s="9" t="s">
        <v>17759</v>
      </c>
      <c r="M3350" s="9" t="s">
        <v>17769</v>
      </c>
      <c r="N3350" s="9" t="s">
        <v>17746</v>
      </c>
      <c r="O3350" s="9" t="s">
        <v>37236</v>
      </c>
      <c r="P3350" s="9" t="s">
        <v>17748</v>
      </c>
      <c r="Q3350" s="11" t="s">
        <v>17984</v>
      </c>
      <c r="R3350" s="11" t="s">
        <v>17984</v>
      </c>
      <c r="S3350" s="11" t="s">
        <v>17750</v>
      </c>
    </row>
    <row r="3351" spans="1:19" x14ac:dyDescent="0.2">
      <c r="A3351" s="11" t="s">
        <v>37237</v>
      </c>
      <c r="B3351" s="9" t="s">
        <v>37238</v>
      </c>
      <c r="C3351" s="9" t="s">
        <v>37239</v>
      </c>
      <c r="D3351" s="9" t="s">
        <v>37240</v>
      </c>
      <c r="E3351" s="9" t="s">
        <v>17748</v>
      </c>
      <c r="F3351" s="9" t="s">
        <v>37241</v>
      </c>
      <c r="G3351" s="9" t="s">
        <v>17740</v>
      </c>
      <c r="H3351" s="11" t="s">
        <v>37242</v>
      </c>
      <c r="I3351" s="11" t="s">
        <v>37243</v>
      </c>
      <c r="J3351" s="11" t="s">
        <v>17741</v>
      </c>
      <c r="K3351" s="9" t="s">
        <v>17741</v>
      </c>
      <c r="L3351" s="9" t="s">
        <v>17759</v>
      </c>
      <c r="M3351" s="9" t="s">
        <v>17760</v>
      </c>
      <c r="N3351" s="9" t="s">
        <v>17746</v>
      </c>
      <c r="O3351" s="9" t="s">
        <v>37244</v>
      </c>
      <c r="P3351" s="9" t="s">
        <v>17748</v>
      </c>
      <c r="Q3351" s="11" t="s">
        <v>18096</v>
      </c>
      <c r="R3351" s="11" t="s">
        <v>18096</v>
      </c>
      <c r="S3351" s="11" t="s">
        <v>17750</v>
      </c>
    </row>
    <row r="3352" spans="1:19" x14ac:dyDescent="0.2">
      <c r="A3352" s="11" t="s">
        <v>37245</v>
      </c>
      <c r="B3352" s="9" t="s">
        <v>37246</v>
      </c>
      <c r="C3352" s="9" t="s">
        <v>37247</v>
      </c>
      <c r="D3352" s="9" t="s">
        <v>37248</v>
      </c>
      <c r="E3352" s="9" t="s">
        <v>17740</v>
      </c>
      <c r="F3352" s="9" t="s">
        <v>37249</v>
      </c>
      <c r="G3352" s="9" t="s">
        <v>17740</v>
      </c>
      <c r="H3352" s="11" t="s">
        <v>2595</v>
      </c>
      <c r="I3352" s="11" t="s">
        <v>2594</v>
      </c>
      <c r="J3352" s="11" t="s">
        <v>2594</v>
      </c>
      <c r="K3352" s="9" t="s">
        <v>18921</v>
      </c>
      <c r="L3352" s="9" t="s">
        <v>17759</v>
      </c>
      <c r="M3352" s="9" t="s">
        <v>17817</v>
      </c>
      <c r="N3352" s="9" t="s">
        <v>17746</v>
      </c>
      <c r="O3352" s="9" t="s">
        <v>20746</v>
      </c>
      <c r="P3352" s="9" t="s">
        <v>17748</v>
      </c>
      <c r="Q3352" s="11" t="s">
        <v>19515</v>
      </c>
      <c r="R3352" s="11" t="s">
        <v>19515</v>
      </c>
      <c r="S3352" s="11" t="s">
        <v>17750</v>
      </c>
    </row>
    <row r="3353" spans="1:19" x14ac:dyDescent="0.2">
      <c r="A3353" s="11" t="s">
        <v>37250</v>
      </c>
      <c r="B3353" s="9" t="s">
        <v>37251</v>
      </c>
      <c r="C3353" s="9" t="s">
        <v>37252</v>
      </c>
      <c r="D3353" s="9" t="s">
        <v>37253</v>
      </c>
      <c r="E3353" s="9" t="s">
        <v>17748</v>
      </c>
      <c r="F3353" s="9" t="s">
        <v>37254</v>
      </c>
      <c r="G3353" s="9" t="s">
        <v>17740</v>
      </c>
      <c r="H3353" s="11" t="s">
        <v>37255</v>
      </c>
      <c r="I3353" s="11" t="s">
        <v>37256</v>
      </c>
      <c r="J3353" s="11" t="s">
        <v>37256</v>
      </c>
      <c r="K3353" s="9" t="s">
        <v>37257</v>
      </c>
      <c r="L3353" s="9" t="s">
        <v>18001</v>
      </c>
      <c r="M3353" s="9" t="s">
        <v>26160</v>
      </c>
      <c r="N3353" s="9" t="s">
        <v>17746</v>
      </c>
      <c r="O3353" s="9" t="s">
        <v>18340</v>
      </c>
      <c r="P3353" s="9" t="s">
        <v>17748</v>
      </c>
      <c r="Q3353" s="11" t="s">
        <v>17780</v>
      </c>
      <c r="R3353" s="11" t="s">
        <v>17780</v>
      </c>
      <c r="S3353" s="11" t="s">
        <v>17750</v>
      </c>
    </row>
    <row r="3354" spans="1:19" x14ac:dyDescent="0.2">
      <c r="A3354" s="11" t="s">
        <v>37258</v>
      </c>
      <c r="B3354" s="9" t="s">
        <v>37259</v>
      </c>
      <c r="C3354" s="9" t="s">
        <v>37260</v>
      </c>
      <c r="D3354" s="9" t="s">
        <v>37261</v>
      </c>
      <c r="E3354" s="9" t="s">
        <v>17740</v>
      </c>
      <c r="F3354" s="9" t="s">
        <v>37262</v>
      </c>
      <c r="G3354" s="9" t="s">
        <v>17740</v>
      </c>
      <c r="H3354" s="11" t="s">
        <v>17741</v>
      </c>
      <c r="I3354" s="11" t="s">
        <v>37263</v>
      </c>
      <c r="J3354" s="11" t="s">
        <v>37263</v>
      </c>
      <c r="K3354" s="9" t="s">
        <v>37264</v>
      </c>
      <c r="L3354" s="9" t="s">
        <v>17759</v>
      </c>
      <c r="M3354" s="9" t="s">
        <v>17769</v>
      </c>
      <c r="N3354" s="9" t="s">
        <v>17746</v>
      </c>
      <c r="O3354" s="9" t="s">
        <v>20746</v>
      </c>
      <c r="P3354" s="9" t="s">
        <v>17748</v>
      </c>
      <c r="Q3354" s="11" t="s">
        <v>18600</v>
      </c>
      <c r="R3354" s="11" t="s">
        <v>18600</v>
      </c>
      <c r="S3354" s="11" t="s">
        <v>17750</v>
      </c>
    </row>
    <row r="3355" spans="1:19" x14ac:dyDescent="0.2">
      <c r="A3355" s="11" t="s">
        <v>37265</v>
      </c>
      <c r="B3355" s="9" t="s">
        <v>37266</v>
      </c>
      <c r="C3355" s="9" t="s">
        <v>37267</v>
      </c>
      <c r="D3355" s="9" t="s">
        <v>37268</v>
      </c>
      <c r="E3355" s="9" t="s">
        <v>17740</v>
      </c>
      <c r="F3355" s="9" t="s">
        <v>37269</v>
      </c>
      <c r="G3355" s="9" t="s">
        <v>17740</v>
      </c>
      <c r="H3355" s="11" t="s">
        <v>5012</v>
      </c>
      <c r="I3355" s="11" t="s">
        <v>5011</v>
      </c>
      <c r="J3355" s="11" t="s">
        <v>5011</v>
      </c>
      <c r="K3355" s="9" t="s">
        <v>970</v>
      </c>
      <c r="L3355" s="9" t="s">
        <v>18305</v>
      </c>
      <c r="M3355" s="9" t="s">
        <v>19168</v>
      </c>
      <c r="N3355" s="9" t="s">
        <v>17746</v>
      </c>
      <c r="O3355" s="9" t="s">
        <v>37270</v>
      </c>
      <c r="P3355" s="9" t="s">
        <v>17748</v>
      </c>
      <c r="Q3355" s="11" t="s">
        <v>17819</v>
      </c>
      <c r="R3355" s="11" t="s">
        <v>17819</v>
      </c>
      <c r="S3355" s="11" t="s">
        <v>17750</v>
      </c>
    </row>
    <row r="3356" spans="1:19" x14ac:dyDescent="0.2">
      <c r="A3356" s="11" t="s">
        <v>37271</v>
      </c>
      <c r="B3356" s="9" t="s">
        <v>37272</v>
      </c>
      <c r="C3356" s="9" t="s">
        <v>37273</v>
      </c>
      <c r="D3356" s="9" t="s">
        <v>37274</v>
      </c>
      <c r="E3356" s="9" t="s">
        <v>17740</v>
      </c>
      <c r="F3356" s="9" t="s">
        <v>17741</v>
      </c>
      <c r="G3356" s="9" t="s">
        <v>17740</v>
      </c>
      <c r="H3356" s="11" t="s">
        <v>37275</v>
      </c>
      <c r="I3356" s="11" t="s">
        <v>37276</v>
      </c>
      <c r="J3356" s="11" t="s">
        <v>37276</v>
      </c>
      <c r="K3356" s="9" t="s">
        <v>24835</v>
      </c>
      <c r="L3356" s="9" t="s">
        <v>17744</v>
      </c>
      <c r="M3356" s="9" t="s">
        <v>18289</v>
      </c>
      <c r="N3356" s="9" t="s">
        <v>17746</v>
      </c>
      <c r="O3356" s="9" t="s">
        <v>18340</v>
      </c>
      <c r="P3356" s="9" t="s">
        <v>17748</v>
      </c>
      <c r="Q3356" s="11" t="s">
        <v>17771</v>
      </c>
      <c r="R3356" s="11" t="s">
        <v>17771</v>
      </c>
      <c r="S3356" s="11" t="s">
        <v>17750</v>
      </c>
    </row>
    <row r="3357" spans="1:19" x14ac:dyDescent="0.2">
      <c r="A3357" s="11" t="s">
        <v>37277</v>
      </c>
      <c r="B3357" s="9" t="s">
        <v>37278</v>
      </c>
      <c r="C3357" s="9" t="s">
        <v>37279</v>
      </c>
      <c r="D3357" s="9" t="s">
        <v>37280</v>
      </c>
      <c r="E3357" s="9" t="s">
        <v>17748</v>
      </c>
      <c r="F3357" s="9" t="s">
        <v>37281</v>
      </c>
      <c r="G3357" s="9" t="s">
        <v>17740</v>
      </c>
      <c r="H3357" s="11" t="s">
        <v>37282</v>
      </c>
      <c r="I3357" s="11" t="s">
        <v>37283</v>
      </c>
      <c r="J3357" s="11" t="s">
        <v>37283</v>
      </c>
      <c r="K3357" s="9" t="s">
        <v>37284</v>
      </c>
      <c r="L3357" s="9" t="s">
        <v>18242</v>
      </c>
      <c r="M3357" s="9" t="s">
        <v>17760</v>
      </c>
      <c r="N3357" s="9" t="s">
        <v>17746</v>
      </c>
      <c r="O3357" s="9" t="s">
        <v>18340</v>
      </c>
      <c r="P3357" s="9" t="s">
        <v>17748</v>
      </c>
      <c r="Q3357" s="11" t="s">
        <v>18798</v>
      </c>
      <c r="R3357" s="11" t="s">
        <v>18798</v>
      </c>
      <c r="S3357" s="11" t="s">
        <v>17750</v>
      </c>
    </row>
    <row r="3358" spans="1:19" x14ac:dyDescent="0.2">
      <c r="A3358" s="11" t="s">
        <v>37285</v>
      </c>
      <c r="B3358" s="9" t="s">
        <v>37286</v>
      </c>
      <c r="C3358" s="9" t="s">
        <v>37287</v>
      </c>
      <c r="D3358" s="9" t="s">
        <v>37288</v>
      </c>
      <c r="E3358" s="9" t="s">
        <v>17740</v>
      </c>
      <c r="F3358" s="9" t="s">
        <v>17741</v>
      </c>
      <c r="G3358" s="9" t="s">
        <v>17740</v>
      </c>
      <c r="H3358" s="11" t="s">
        <v>2552</v>
      </c>
      <c r="I3358" s="11" t="s">
        <v>2551</v>
      </c>
      <c r="J3358" s="11" t="s">
        <v>2551</v>
      </c>
      <c r="K3358" s="9" t="s">
        <v>776</v>
      </c>
      <c r="L3358" s="9" t="s">
        <v>17759</v>
      </c>
      <c r="M3358" s="9" t="s">
        <v>19189</v>
      </c>
      <c r="N3358" s="9" t="s">
        <v>17746</v>
      </c>
      <c r="O3358" s="9" t="s">
        <v>17882</v>
      </c>
      <c r="P3358" s="9" t="s">
        <v>17748</v>
      </c>
      <c r="Q3358" s="11" t="s">
        <v>20691</v>
      </c>
      <c r="R3358" s="11" t="s">
        <v>20691</v>
      </c>
      <c r="S3358" s="11" t="s">
        <v>17750</v>
      </c>
    </row>
    <row r="3359" spans="1:19" x14ac:dyDescent="0.2">
      <c r="A3359" s="11" t="s">
        <v>37289</v>
      </c>
      <c r="B3359" s="9" t="s">
        <v>37290</v>
      </c>
      <c r="C3359" s="9" t="s">
        <v>37291</v>
      </c>
      <c r="D3359" s="9" t="s">
        <v>37292</v>
      </c>
      <c r="E3359" s="9" t="s">
        <v>17748</v>
      </c>
      <c r="F3359" s="9" t="s">
        <v>37293</v>
      </c>
      <c r="G3359" s="9" t="s">
        <v>17740</v>
      </c>
      <c r="H3359" s="11" t="s">
        <v>37294</v>
      </c>
      <c r="I3359" s="11" t="s">
        <v>37295</v>
      </c>
      <c r="J3359" s="11" t="s">
        <v>37295</v>
      </c>
      <c r="K3359" s="9" t="s">
        <v>37296</v>
      </c>
      <c r="L3359" s="9" t="s">
        <v>18158</v>
      </c>
      <c r="M3359" s="9" t="s">
        <v>17769</v>
      </c>
      <c r="N3359" s="9" t="s">
        <v>17746</v>
      </c>
      <c r="O3359" s="9" t="s">
        <v>19754</v>
      </c>
      <c r="P3359" s="9" t="s">
        <v>17748</v>
      </c>
      <c r="Q3359" s="11" t="s">
        <v>18201</v>
      </c>
      <c r="R3359" s="11" t="s">
        <v>18201</v>
      </c>
      <c r="S3359" s="11" t="s">
        <v>17750</v>
      </c>
    </row>
    <row r="3360" spans="1:19" x14ac:dyDescent="0.2">
      <c r="A3360" s="11" t="s">
        <v>37297</v>
      </c>
      <c r="B3360" s="9" t="s">
        <v>37298</v>
      </c>
      <c r="C3360" s="9" t="s">
        <v>37299</v>
      </c>
      <c r="D3360" s="9" t="s">
        <v>37300</v>
      </c>
      <c r="E3360" s="9" t="s">
        <v>17748</v>
      </c>
      <c r="F3360" s="9" t="s">
        <v>37301</v>
      </c>
      <c r="G3360" s="9" t="s">
        <v>17740</v>
      </c>
      <c r="H3360" s="11" t="s">
        <v>37302</v>
      </c>
      <c r="I3360" s="11" t="s">
        <v>37303</v>
      </c>
      <c r="J3360" s="11" t="s">
        <v>37303</v>
      </c>
      <c r="K3360" s="9" t="s">
        <v>856</v>
      </c>
      <c r="L3360" s="9" t="s">
        <v>17744</v>
      </c>
      <c r="M3360" s="9" t="s">
        <v>17760</v>
      </c>
      <c r="N3360" s="9" t="s">
        <v>17746</v>
      </c>
      <c r="O3360" s="9" t="s">
        <v>19754</v>
      </c>
      <c r="P3360" s="9" t="s">
        <v>17748</v>
      </c>
      <c r="Q3360" s="11" t="s">
        <v>17784</v>
      </c>
      <c r="R3360" s="11" t="s">
        <v>17784</v>
      </c>
      <c r="S3360" s="11" t="s">
        <v>17750</v>
      </c>
    </row>
    <row r="3361" spans="1:19" x14ac:dyDescent="0.2">
      <c r="A3361" s="11" t="s">
        <v>37304</v>
      </c>
      <c r="B3361" s="9" t="s">
        <v>37305</v>
      </c>
      <c r="C3361" s="9" t="s">
        <v>37306</v>
      </c>
      <c r="D3361" s="9" t="s">
        <v>37307</v>
      </c>
      <c r="E3361" s="9" t="s">
        <v>17740</v>
      </c>
      <c r="F3361" s="9" t="s">
        <v>37308</v>
      </c>
      <c r="G3361" s="9" t="s">
        <v>17740</v>
      </c>
      <c r="H3361" s="11" t="s">
        <v>37309</v>
      </c>
      <c r="I3361" s="11" t="s">
        <v>37310</v>
      </c>
      <c r="J3361" s="11" t="s">
        <v>37310</v>
      </c>
      <c r="K3361" s="9" t="s">
        <v>25455</v>
      </c>
      <c r="L3361" s="9" t="s">
        <v>17759</v>
      </c>
      <c r="M3361" s="9" t="s">
        <v>17817</v>
      </c>
      <c r="N3361" s="9" t="s">
        <v>17746</v>
      </c>
      <c r="O3361" s="9" t="s">
        <v>37311</v>
      </c>
      <c r="P3361" s="9" t="s">
        <v>17748</v>
      </c>
      <c r="Q3361" s="11" t="s">
        <v>18251</v>
      </c>
      <c r="R3361" s="11" t="s">
        <v>18251</v>
      </c>
      <c r="S3361" s="11" t="s">
        <v>17750</v>
      </c>
    </row>
    <row r="3362" spans="1:19" x14ac:dyDescent="0.2">
      <c r="A3362" s="11" t="s">
        <v>37312</v>
      </c>
      <c r="B3362" s="9" t="s">
        <v>37313</v>
      </c>
      <c r="C3362" s="9" t="s">
        <v>37314</v>
      </c>
      <c r="D3362" s="9" t="s">
        <v>37315</v>
      </c>
      <c r="E3362" s="9" t="s">
        <v>17740</v>
      </c>
      <c r="F3362" s="9" t="s">
        <v>17741</v>
      </c>
      <c r="G3362" s="9" t="s">
        <v>17740</v>
      </c>
      <c r="H3362" s="11" t="s">
        <v>2625</v>
      </c>
      <c r="I3362" s="11" t="s">
        <v>2624</v>
      </c>
      <c r="J3362" s="11" t="s">
        <v>2624</v>
      </c>
      <c r="K3362" s="9" t="s">
        <v>17805</v>
      </c>
      <c r="L3362" s="9" t="s">
        <v>17759</v>
      </c>
      <c r="M3362" s="9" t="s">
        <v>21329</v>
      </c>
      <c r="N3362" s="9" t="s">
        <v>17746</v>
      </c>
      <c r="O3362" s="9" t="s">
        <v>3276</v>
      </c>
      <c r="P3362" s="9" t="s">
        <v>17748</v>
      </c>
      <c r="Q3362" s="11" t="s">
        <v>17978</v>
      </c>
      <c r="R3362" s="11" t="s">
        <v>17978</v>
      </c>
      <c r="S3362" s="11" t="s">
        <v>17750</v>
      </c>
    </row>
    <row r="3363" spans="1:19" x14ac:dyDescent="0.2">
      <c r="A3363" s="11" t="s">
        <v>37316</v>
      </c>
      <c r="B3363" s="9" t="s">
        <v>37317</v>
      </c>
      <c r="C3363" s="9" t="s">
        <v>37318</v>
      </c>
      <c r="D3363" s="9" t="s">
        <v>37319</v>
      </c>
      <c r="E3363" s="9" t="s">
        <v>17740</v>
      </c>
      <c r="F3363" s="9" t="s">
        <v>17741</v>
      </c>
      <c r="G3363" s="9" t="s">
        <v>17740</v>
      </c>
      <c r="H3363" s="11" t="s">
        <v>7198</v>
      </c>
      <c r="I3363" s="11" t="s">
        <v>7197</v>
      </c>
      <c r="J3363" s="11" t="s">
        <v>7197</v>
      </c>
      <c r="K3363" s="9" t="s">
        <v>23335</v>
      </c>
      <c r="L3363" s="9" t="s">
        <v>18242</v>
      </c>
      <c r="M3363" s="9" t="s">
        <v>18065</v>
      </c>
      <c r="N3363" s="9" t="s">
        <v>17746</v>
      </c>
      <c r="O3363" s="9" t="s">
        <v>3276</v>
      </c>
      <c r="P3363" s="9" t="s">
        <v>17748</v>
      </c>
      <c r="Q3363" s="11" t="s">
        <v>18201</v>
      </c>
      <c r="R3363" s="11" t="s">
        <v>18201</v>
      </c>
      <c r="S3363" s="11" t="s">
        <v>17750</v>
      </c>
    </row>
    <row r="3364" spans="1:19" x14ac:dyDescent="0.2">
      <c r="A3364" s="11" t="s">
        <v>37320</v>
      </c>
      <c r="B3364" s="9" t="s">
        <v>37321</v>
      </c>
      <c r="C3364" s="9" t="s">
        <v>37322</v>
      </c>
      <c r="D3364" s="9" t="s">
        <v>37323</v>
      </c>
      <c r="E3364" s="9" t="s">
        <v>17740</v>
      </c>
      <c r="F3364" s="9" t="s">
        <v>37324</v>
      </c>
      <c r="G3364" s="9" t="s">
        <v>17740</v>
      </c>
      <c r="H3364" s="11" t="s">
        <v>17741</v>
      </c>
      <c r="I3364" s="11" t="s">
        <v>37325</v>
      </c>
      <c r="J3364" s="11" t="s">
        <v>37325</v>
      </c>
      <c r="K3364" s="9" t="s">
        <v>6894</v>
      </c>
      <c r="L3364" s="9" t="s">
        <v>17958</v>
      </c>
      <c r="M3364" s="9" t="s">
        <v>18051</v>
      </c>
      <c r="N3364" s="9" t="s">
        <v>17746</v>
      </c>
      <c r="O3364" s="9" t="s">
        <v>3276</v>
      </c>
      <c r="P3364" s="9" t="s">
        <v>17748</v>
      </c>
      <c r="Q3364" s="11" t="s">
        <v>17792</v>
      </c>
      <c r="R3364" s="11" t="s">
        <v>17792</v>
      </c>
      <c r="S3364" s="11" t="s">
        <v>17750</v>
      </c>
    </row>
    <row r="3365" spans="1:19" x14ac:dyDescent="0.2">
      <c r="A3365" s="11" t="s">
        <v>37326</v>
      </c>
      <c r="B3365" s="9" t="s">
        <v>37327</v>
      </c>
      <c r="C3365" s="9" t="s">
        <v>37328</v>
      </c>
      <c r="D3365" s="9" t="s">
        <v>37329</v>
      </c>
      <c r="E3365" s="9" t="s">
        <v>17740</v>
      </c>
      <c r="F3365" s="9" t="s">
        <v>17741</v>
      </c>
      <c r="G3365" s="9" t="s">
        <v>17740</v>
      </c>
      <c r="H3365" s="11" t="s">
        <v>37330</v>
      </c>
      <c r="I3365" s="11" t="s">
        <v>17741</v>
      </c>
      <c r="J3365" s="11" t="s">
        <v>37330</v>
      </c>
      <c r="K3365" s="9" t="s">
        <v>18570</v>
      </c>
      <c r="L3365" s="9" t="s">
        <v>17744</v>
      </c>
      <c r="M3365" s="9" t="s">
        <v>17741</v>
      </c>
      <c r="N3365" s="9" t="s">
        <v>17746</v>
      </c>
      <c r="O3365" s="9" t="s">
        <v>3276</v>
      </c>
      <c r="P3365" s="9" t="s">
        <v>17748</v>
      </c>
      <c r="Q3365" s="11" t="s">
        <v>17762</v>
      </c>
      <c r="R3365" s="11" t="s">
        <v>17762</v>
      </c>
      <c r="S3365" s="11" t="s">
        <v>17750</v>
      </c>
    </row>
    <row r="3366" spans="1:19" x14ac:dyDescent="0.2">
      <c r="A3366" s="11" t="s">
        <v>37331</v>
      </c>
      <c r="B3366" s="9" t="s">
        <v>37332</v>
      </c>
      <c r="C3366" s="9" t="s">
        <v>37333</v>
      </c>
      <c r="D3366" s="9" t="s">
        <v>37334</v>
      </c>
      <c r="E3366" s="9" t="s">
        <v>17740</v>
      </c>
      <c r="F3366" s="9" t="s">
        <v>17741</v>
      </c>
      <c r="G3366" s="9" t="s">
        <v>17740</v>
      </c>
      <c r="H3366" s="11" t="s">
        <v>8612</v>
      </c>
      <c r="I3366" s="11" t="s">
        <v>8611</v>
      </c>
      <c r="J3366" s="11" t="s">
        <v>8611</v>
      </c>
      <c r="K3366" s="9" t="s">
        <v>17758</v>
      </c>
      <c r="L3366" s="9" t="s">
        <v>17759</v>
      </c>
      <c r="M3366" s="9" t="s">
        <v>18583</v>
      </c>
      <c r="N3366" s="9" t="s">
        <v>17746</v>
      </c>
      <c r="O3366" s="9" t="s">
        <v>18027</v>
      </c>
      <c r="P3366" s="9" t="s">
        <v>17748</v>
      </c>
      <c r="Q3366" s="11" t="s">
        <v>18364</v>
      </c>
      <c r="R3366" s="11" t="s">
        <v>18364</v>
      </c>
      <c r="S3366" s="11" t="s">
        <v>17750</v>
      </c>
    </row>
    <row r="3367" spans="1:19" x14ac:dyDescent="0.2">
      <c r="A3367" s="11" t="s">
        <v>37335</v>
      </c>
      <c r="B3367" s="9" t="s">
        <v>37336</v>
      </c>
      <c r="C3367" s="9" t="s">
        <v>37337</v>
      </c>
      <c r="D3367" s="9" t="s">
        <v>37338</v>
      </c>
      <c r="E3367" s="9" t="s">
        <v>17740</v>
      </c>
      <c r="F3367" s="9" t="s">
        <v>17741</v>
      </c>
      <c r="G3367" s="9" t="s">
        <v>17740</v>
      </c>
      <c r="H3367" s="11" t="s">
        <v>8957</v>
      </c>
      <c r="I3367" s="11" t="s">
        <v>8956</v>
      </c>
      <c r="J3367" s="11" t="s">
        <v>8956</v>
      </c>
      <c r="K3367" s="9" t="s">
        <v>25135</v>
      </c>
      <c r="L3367" s="9" t="s">
        <v>17991</v>
      </c>
      <c r="M3367" s="9" t="s">
        <v>18685</v>
      </c>
      <c r="N3367" s="9" t="s">
        <v>17746</v>
      </c>
      <c r="O3367" s="9" t="s">
        <v>18027</v>
      </c>
      <c r="P3367" s="9" t="s">
        <v>17748</v>
      </c>
      <c r="Q3367" s="11" t="s">
        <v>17784</v>
      </c>
      <c r="R3367" s="11" t="s">
        <v>17784</v>
      </c>
      <c r="S3367" s="11" t="s">
        <v>17750</v>
      </c>
    </row>
    <row r="3368" spans="1:19" x14ac:dyDescent="0.2">
      <c r="A3368" s="11" t="s">
        <v>37339</v>
      </c>
      <c r="B3368" s="9" t="s">
        <v>37340</v>
      </c>
      <c r="C3368" s="9" t="s">
        <v>37341</v>
      </c>
      <c r="D3368" s="9" t="s">
        <v>37342</v>
      </c>
      <c r="E3368" s="9" t="s">
        <v>17748</v>
      </c>
      <c r="F3368" s="9" t="s">
        <v>37343</v>
      </c>
      <c r="G3368" s="9" t="s">
        <v>17740</v>
      </c>
      <c r="H3368" s="11" t="s">
        <v>12837</v>
      </c>
      <c r="I3368" s="11" t="s">
        <v>37344</v>
      </c>
      <c r="J3368" s="11" t="s">
        <v>37344</v>
      </c>
      <c r="K3368" s="9" t="s">
        <v>18570</v>
      </c>
      <c r="L3368" s="9" t="s">
        <v>17744</v>
      </c>
      <c r="M3368" s="9" t="s">
        <v>17769</v>
      </c>
      <c r="N3368" s="9" t="s">
        <v>17746</v>
      </c>
      <c r="O3368" s="9" t="s">
        <v>37345</v>
      </c>
      <c r="P3368" s="9" t="s">
        <v>17748</v>
      </c>
      <c r="Q3368" s="11" t="s">
        <v>18370</v>
      </c>
      <c r="R3368" s="11" t="s">
        <v>18370</v>
      </c>
      <c r="S3368" s="11" t="s">
        <v>17750</v>
      </c>
    </row>
    <row r="3369" spans="1:19" x14ac:dyDescent="0.2">
      <c r="A3369" s="11" t="s">
        <v>37346</v>
      </c>
      <c r="B3369" s="9" t="s">
        <v>37347</v>
      </c>
      <c r="C3369" s="9" t="s">
        <v>37348</v>
      </c>
      <c r="D3369" s="9" t="s">
        <v>37349</v>
      </c>
      <c r="E3369" s="9" t="s">
        <v>17740</v>
      </c>
      <c r="F3369" s="9" t="s">
        <v>37350</v>
      </c>
      <c r="G3369" s="9" t="s">
        <v>17740</v>
      </c>
      <c r="H3369" s="11" t="s">
        <v>5230</v>
      </c>
      <c r="I3369" s="11" t="s">
        <v>5229</v>
      </c>
      <c r="J3369" s="11" t="s">
        <v>5229</v>
      </c>
      <c r="K3369" s="9" t="s">
        <v>23527</v>
      </c>
      <c r="L3369" s="9" t="s">
        <v>20082</v>
      </c>
      <c r="M3369" s="9" t="s">
        <v>17769</v>
      </c>
      <c r="N3369" s="9" t="s">
        <v>17746</v>
      </c>
      <c r="O3369" s="9" t="s">
        <v>3355</v>
      </c>
      <c r="P3369" s="9" t="s">
        <v>17748</v>
      </c>
      <c r="Q3369" s="11" t="s">
        <v>17749</v>
      </c>
      <c r="R3369" s="11" t="s">
        <v>17749</v>
      </c>
      <c r="S3369" s="11" t="s">
        <v>17750</v>
      </c>
    </row>
    <row r="3370" spans="1:19" x14ac:dyDescent="0.2">
      <c r="A3370" s="11" t="s">
        <v>37351</v>
      </c>
      <c r="B3370" s="9" t="s">
        <v>37352</v>
      </c>
      <c r="C3370" s="9" t="s">
        <v>37353</v>
      </c>
      <c r="D3370" s="9" t="s">
        <v>37354</v>
      </c>
      <c r="E3370" s="9" t="s">
        <v>17740</v>
      </c>
      <c r="F3370" s="9" t="s">
        <v>37355</v>
      </c>
      <c r="G3370" s="9" t="s">
        <v>17740</v>
      </c>
      <c r="H3370" s="11" t="s">
        <v>9467</v>
      </c>
      <c r="I3370" s="11" t="s">
        <v>9466</v>
      </c>
      <c r="J3370" s="11" t="s">
        <v>9466</v>
      </c>
      <c r="K3370" s="9" t="s">
        <v>291</v>
      </c>
      <c r="L3370" s="9" t="s">
        <v>17744</v>
      </c>
      <c r="M3370" s="9" t="s">
        <v>17760</v>
      </c>
      <c r="N3370" s="9" t="s">
        <v>17746</v>
      </c>
      <c r="O3370" s="9" t="s">
        <v>37356</v>
      </c>
      <c r="P3370" s="9" t="s">
        <v>17748</v>
      </c>
      <c r="Q3370" s="11" t="s">
        <v>17994</v>
      </c>
      <c r="R3370" s="11" t="s">
        <v>17994</v>
      </c>
      <c r="S3370" s="11" t="s">
        <v>17750</v>
      </c>
    </row>
    <row r="3371" spans="1:19" x14ac:dyDescent="0.2">
      <c r="A3371" s="11" t="s">
        <v>37357</v>
      </c>
      <c r="B3371" s="9" t="s">
        <v>37358</v>
      </c>
      <c r="C3371" s="9" t="s">
        <v>37359</v>
      </c>
      <c r="D3371" s="9" t="s">
        <v>37360</v>
      </c>
      <c r="E3371" s="9" t="s">
        <v>17740</v>
      </c>
      <c r="F3371" s="9" t="s">
        <v>37361</v>
      </c>
      <c r="G3371" s="9" t="s">
        <v>17740</v>
      </c>
      <c r="H3371" s="11" t="s">
        <v>8630</v>
      </c>
      <c r="I3371" s="11" t="s">
        <v>8629</v>
      </c>
      <c r="J3371" s="11" t="s">
        <v>8629</v>
      </c>
      <c r="K3371" s="9" t="s">
        <v>831</v>
      </c>
      <c r="L3371" s="9" t="s">
        <v>17759</v>
      </c>
      <c r="M3371" s="9" t="s">
        <v>18662</v>
      </c>
      <c r="N3371" s="9" t="s">
        <v>17746</v>
      </c>
      <c r="O3371" s="9" t="s">
        <v>19127</v>
      </c>
      <c r="P3371" s="9" t="s">
        <v>17748</v>
      </c>
      <c r="Q3371" s="11" t="s">
        <v>17784</v>
      </c>
      <c r="R3371" s="11" t="s">
        <v>17784</v>
      </c>
      <c r="S3371" s="11" t="s">
        <v>17750</v>
      </c>
    </row>
    <row r="3372" spans="1:19" x14ac:dyDescent="0.2">
      <c r="A3372" s="11" t="s">
        <v>37362</v>
      </c>
      <c r="B3372" s="9" t="s">
        <v>37363</v>
      </c>
      <c r="C3372" s="9" t="s">
        <v>37364</v>
      </c>
      <c r="D3372" s="9" t="s">
        <v>37365</v>
      </c>
      <c r="E3372" s="9" t="s">
        <v>17740</v>
      </c>
      <c r="F3372" s="9" t="s">
        <v>37366</v>
      </c>
      <c r="G3372" s="9" t="s">
        <v>17740</v>
      </c>
      <c r="H3372" s="11" t="s">
        <v>2701</v>
      </c>
      <c r="I3372" s="11" t="s">
        <v>2700</v>
      </c>
      <c r="J3372" s="11" t="s">
        <v>2700</v>
      </c>
      <c r="K3372" s="9" t="s">
        <v>91</v>
      </c>
      <c r="L3372" s="9" t="s">
        <v>17759</v>
      </c>
      <c r="M3372" s="9" t="s">
        <v>18289</v>
      </c>
      <c r="N3372" s="9" t="s">
        <v>17746</v>
      </c>
      <c r="O3372" s="9" t="s">
        <v>37367</v>
      </c>
      <c r="P3372" s="9" t="s">
        <v>17748</v>
      </c>
      <c r="Q3372" s="11" t="s">
        <v>18059</v>
      </c>
      <c r="R3372" s="11" t="s">
        <v>18059</v>
      </c>
      <c r="S3372" s="11" t="s">
        <v>17750</v>
      </c>
    </row>
    <row r="3373" spans="1:19" x14ac:dyDescent="0.2">
      <c r="A3373" s="11" t="s">
        <v>37368</v>
      </c>
      <c r="B3373" s="9" t="s">
        <v>37369</v>
      </c>
      <c r="C3373" s="9" t="s">
        <v>37370</v>
      </c>
      <c r="D3373" s="9" t="s">
        <v>37371</v>
      </c>
      <c r="E3373" s="9" t="s">
        <v>17740</v>
      </c>
      <c r="F3373" s="9" t="s">
        <v>17741</v>
      </c>
      <c r="G3373" s="9" t="s">
        <v>17740</v>
      </c>
      <c r="H3373" s="11" t="s">
        <v>17741</v>
      </c>
      <c r="I3373" s="11" t="s">
        <v>37372</v>
      </c>
      <c r="J3373" s="11" t="s">
        <v>37372</v>
      </c>
      <c r="K3373" s="9" t="s">
        <v>37373</v>
      </c>
      <c r="L3373" s="9" t="s">
        <v>18959</v>
      </c>
      <c r="M3373" s="9" t="s">
        <v>17760</v>
      </c>
      <c r="N3373" s="9" t="s">
        <v>17746</v>
      </c>
      <c r="O3373" s="9" t="s">
        <v>19013</v>
      </c>
      <c r="P3373" s="9" t="s">
        <v>17748</v>
      </c>
      <c r="Q3373" s="11" t="s">
        <v>18960</v>
      </c>
      <c r="R3373" s="11" t="s">
        <v>18960</v>
      </c>
      <c r="S3373" s="11" t="s">
        <v>17750</v>
      </c>
    </row>
    <row r="3374" spans="1:19" x14ac:dyDescent="0.2">
      <c r="A3374" s="11" t="s">
        <v>37374</v>
      </c>
      <c r="B3374" s="9" t="s">
        <v>37375</v>
      </c>
      <c r="C3374" s="9" t="s">
        <v>37376</v>
      </c>
      <c r="D3374" s="9" t="s">
        <v>37377</v>
      </c>
      <c r="E3374" s="9" t="s">
        <v>17740</v>
      </c>
      <c r="F3374" s="9" t="s">
        <v>17741</v>
      </c>
      <c r="G3374" s="9" t="s">
        <v>17740</v>
      </c>
      <c r="H3374" s="11" t="s">
        <v>7968</v>
      </c>
      <c r="I3374" s="11" t="s">
        <v>7967</v>
      </c>
      <c r="J3374" s="11" t="s">
        <v>7968</v>
      </c>
      <c r="K3374" s="9" t="s">
        <v>19180</v>
      </c>
      <c r="L3374" s="9" t="s">
        <v>17759</v>
      </c>
      <c r="M3374" s="9" t="s">
        <v>20344</v>
      </c>
      <c r="N3374" s="9" t="s">
        <v>17746</v>
      </c>
      <c r="O3374" s="9" t="s">
        <v>19013</v>
      </c>
      <c r="P3374" s="9" t="s">
        <v>17748</v>
      </c>
      <c r="Q3374" s="11" t="s">
        <v>18798</v>
      </c>
      <c r="R3374" s="11" t="s">
        <v>18798</v>
      </c>
      <c r="S3374" s="11" t="s">
        <v>17750</v>
      </c>
    </row>
    <row r="3375" spans="1:19" x14ac:dyDescent="0.2">
      <c r="A3375" s="11" t="s">
        <v>37378</v>
      </c>
      <c r="B3375" s="9" t="s">
        <v>37379</v>
      </c>
      <c r="C3375" s="9" t="s">
        <v>37380</v>
      </c>
      <c r="D3375" s="9" t="s">
        <v>37381</v>
      </c>
      <c r="E3375" s="9" t="s">
        <v>17740</v>
      </c>
      <c r="F3375" s="9" t="s">
        <v>17741</v>
      </c>
      <c r="G3375" s="9" t="s">
        <v>17740</v>
      </c>
      <c r="H3375" s="11" t="s">
        <v>2615</v>
      </c>
      <c r="I3375" s="11" t="s">
        <v>2614</v>
      </c>
      <c r="J3375" s="11" t="s">
        <v>2614</v>
      </c>
      <c r="K3375" s="9" t="s">
        <v>37382</v>
      </c>
      <c r="L3375" s="9" t="s">
        <v>17759</v>
      </c>
      <c r="M3375" s="9" t="s">
        <v>17769</v>
      </c>
      <c r="N3375" s="9" t="s">
        <v>17746</v>
      </c>
      <c r="O3375" s="9" t="s">
        <v>3309</v>
      </c>
      <c r="P3375" s="9" t="s">
        <v>17748</v>
      </c>
      <c r="Q3375" s="11" t="s">
        <v>19471</v>
      </c>
      <c r="R3375" s="11" t="s">
        <v>19471</v>
      </c>
      <c r="S3375" s="11" t="s">
        <v>17750</v>
      </c>
    </row>
    <row r="3376" spans="1:19" x14ac:dyDescent="0.2">
      <c r="A3376" s="11" t="s">
        <v>37383</v>
      </c>
      <c r="B3376" s="9" t="s">
        <v>37384</v>
      </c>
      <c r="C3376" s="9" t="s">
        <v>37385</v>
      </c>
      <c r="D3376" s="9" t="s">
        <v>37386</v>
      </c>
      <c r="E3376" s="9" t="s">
        <v>17740</v>
      </c>
      <c r="F3376" s="9" t="s">
        <v>17741</v>
      </c>
      <c r="G3376" s="9" t="s">
        <v>17740</v>
      </c>
      <c r="H3376" s="11" t="s">
        <v>14996</v>
      </c>
      <c r="I3376" s="11" t="s">
        <v>14995</v>
      </c>
      <c r="J3376" s="11" t="s">
        <v>14995</v>
      </c>
      <c r="K3376" s="9" t="s">
        <v>920</v>
      </c>
      <c r="L3376" s="9" t="s">
        <v>18001</v>
      </c>
      <c r="M3376" s="9" t="s">
        <v>17760</v>
      </c>
      <c r="N3376" s="9" t="s">
        <v>17746</v>
      </c>
      <c r="O3376" s="9" t="s">
        <v>3100</v>
      </c>
      <c r="P3376" s="9" t="s">
        <v>17748</v>
      </c>
      <c r="Q3376" s="11" t="s">
        <v>17909</v>
      </c>
      <c r="R3376" s="11" t="s">
        <v>17909</v>
      </c>
      <c r="S3376" s="11" t="s">
        <v>17750</v>
      </c>
    </row>
    <row r="3377" spans="1:19" x14ac:dyDescent="0.2">
      <c r="A3377" s="11" t="s">
        <v>37387</v>
      </c>
      <c r="B3377" s="9" t="s">
        <v>37388</v>
      </c>
      <c r="C3377" s="9" t="s">
        <v>37389</v>
      </c>
      <c r="D3377" s="9" t="s">
        <v>37390</v>
      </c>
      <c r="E3377" s="9" t="s">
        <v>17748</v>
      </c>
      <c r="F3377" s="9" t="s">
        <v>37391</v>
      </c>
      <c r="G3377" s="9" t="s">
        <v>17740</v>
      </c>
      <c r="H3377" s="11" t="s">
        <v>17741</v>
      </c>
      <c r="I3377" s="11" t="s">
        <v>37392</v>
      </c>
      <c r="J3377" s="11" t="s">
        <v>37392</v>
      </c>
      <c r="K3377" s="9" t="s">
        <v>37393</v>
      </c>
      <c r="L3377" s="9" t="s">
        <v>17759</v>
      </c>
      <c r="M3377" s="9" t="s">
        <v>17760</v>
      </c>
      <c r="N3377" s="9" t="s">
        <v>17746</v>
      </c>
      <c r="O3377" s="9" t="s">
        <v>18514</v>
      </c>
      <c r="P3377" s="9" t="s">
        <v>17748</v>
      </c>
      <c r="Q3377" s="11" t="s">
        <v>17994</v>
      </c>
      <c r="R3377" s="11" t="s">
        <v>17994</v>
      </c>
      <c r="S3377" s="11" t="s">
        <v>17750</v>
      </c>
    </row>
    <row r="3378" spans="1:19" x14ac:dyDescent="0.2">
      <c r="A3378" s="11" t="s">
        <v>37394</v>
      </c>
      <c r="B3378" s="9" t="s">
        <v>37395</v>
      </c>
      <c r="C3378" s="9" t="s">
        <v>37396</v>
      </c>
      <c r="D3378" s="9" t="s">
        <v>37397</v>
      </c>
      <c r="E3378" s="9" t="s">
        <v>17740</v>
      </c>
      <c r="F3378" s="9" t="s">
        <v>37398</v>
      </c>
      <c r="G3378" s="9" t="s">
        <v>17740</v>
      </c>
      <c r="H3378" s="11" t="s">
        <v>2704</v>
      </c>
      <c r="I3378" s="11" t="s">
        <v>2703</v>
      </c>
      <c r="J3378" s="11" t="s">
        <v>2703</v>
      </c>
      <c r="K3378" s="9" t="s">
        <v>22103</v>
      </c>
      <c r="L3378" s="9" t="s">
        <v>17744</v>
      </c>
      <c r="M3378" s="9" t="s">
        <v>17817</v>
      </c>
      <c r="N3378" s="9" t="s">
        <v>17746</v>
      </c>
      <c r="O3378" s="9" t="s">
        <v>19521</v>
      </c>
      <c r="P3378" s="9" t="s">
        <v>17748</v>
      </c>
      <c r="Q3378" s="11" t="s">
        <v>17867</v>
      </c>
      <c r="R3378" s="11" t="s">
        <v>17867</v>
      </c>
      <c r="S3378" s="11" t="s">
        <v>17750</v>
      </c>
    </row>
    <row r="3379" spans="1:19" x14ac:dyDescent="0.2">
      <c r="A3379" s="11" t="s">
        <v>37399</v>
      </c>
      <c r="B3379" s="9" t="s">
        <v>37400</v>
      </c>
      <c r="C3379" s="9" t="s">
        <v>37401</v>
      </c>
      <c r="D3379" s="9" t="s">
        <v>37402</v>
      </c>
      <c r="E3379" s="9" t="s">
        <v>17740</v>
      </c>
      <c r="F3379" s="9" t="s">
        <v>17741</v>
      </c>
      <c r="G3379" s="9" t="s">
        <v>17740</v>
      </c>
      <c r="H3379" s="11" t="s">
        <v>37403</v>
      </c>
      <c r="I3379" s="11" t="s">
        <v>37404</v>
      </c>
      <c r="J3379" s="11" t="s">
        <v>37404</v>
      </c>
      <c r="K3379" s="9" t="s">
        <v>17758</v>
      </c>
      <c r="L3379" s="9" t="s">
        <v>17759</v>
      </c>
      <c r="M3379" s="9" t="s">
        <v>17760</v>
      </c>
      <c r="N3379" s="9" t="s">
        <v>17746</v>
      </c>
      <c r="O3379" s="9" t="s">
        <v>17848</v>
      </c>
      <c r="P3379" s="9" t="s">
        <v>17748</v>
      </c>
      <c r="Q3379" s="11" t="s">
        <v>17984</v>
      </c>
      <c r="R3379" s="11" t="s">
        <v>17984</v>
      </c>
      <c r="S3379" s="11" t="s">
        <v>17750</v>
      </c>
    </row>
    <row r="3380" spans="1:19" x14ac:dyDescent="0.2">
      <c r="A3380" s="11" t="s">
        <v>37405</v>
      </c>
      <c r="B3380" s="9" t="s">
        <v>37406</v>
      </c>
      <c r="C3380" s="9" t="s">
        <v>37407</v>
      </c>
      <c r="D3380" s="9" t="s">
        <v>37408</v>
      </c>
      <c r="E3380" s="9" t="s">
        <v>17740</v>
      </c>
      <c r="F3380" s="9" t="s">
        <v>37409</v>
      </c>
      <c r="G3380" s="9" t="s">
        <v>17740</v>
      </c>
      <c r="H3380" s="11" t="s">
        <v>7278</v>
      </c>
      <c r="I3380" s="11" t="s">
        <v>7277</v>
      </c>
      <c r="J3380" s="11" t="s">
        <v>7277</v>
      </c>
      <c r="K3380" s="9" t="s">
        <v>18661</v>
      </c>
      <c r="L3380" s="9" t="s">
        <v>17759</v>
      </c>
      <c r="M3380" s="9" t="s">
        <v>23874</v>
      </c>
      <c r="N3380" s="9" t="s">
        <v>17746</v>
      </c>
      <c r="O3380" s="9" t="s">
        <v>37410</v>
      </c>
      <c r="P3380" s="9" t="s">
        <v>17748</v>
      </c>
      <c r="Q3380" s="11" t="s">
        <v>18201</v>
      </c>
      <c r="R3380" s="11" t="s">
        <v>18201</v>
      </c>
      <c r="S3380" s="11" t="s">
        <v>17750</v>
      </c>
    </row>
    <row r="3381" spans="1:19" x14ac:dyDescent="0.2">
      <c r="A3381" s="11" t="s">
        <v>37411</v>
      </c>
      <c r="B3381" s="9" t="s">
        <v>37412</v>
      </c>
      <c r="C3381" s="9" t="s">
        <v>37413</v>
      </c>
      <c r="D3381" s="9" t="s">
        <v>37414</v>
      </c>
      <c r="E3381" s="9" t="s">
        <v>17748</v>
      </c>
      <c r="F3381" s="9" t="s">
        <v>37415</v>
      </c>
      <c r="G3381" s="9" t="s">
        <v>17740</v>
      </c>
      <c r="H3381" s="11" t="s">
        <v>6755</v>
      </c>
      <c r="I3381" s="11" t="s">
        <v>6754</v>
      </c>
      <c r="J3381" s="11" t="s">
        <v>6754</v>
      </c>
      <c r="K3381" s="9" t="s">
        <v>32265</v>
      </c>
      <c r="L3381" s="9" t="s">
        <v>18158</v>
      </c>
      <c r="M3381" s="9" t="s">
        <v>20397</v>
      </c>
      <c r="N3381" s="9" t="s">
        <v>17746</v>
      </c>
      <c r="O3381" s="9" t="s">
        <v>31251</v>
      </c>
      <c r="P3381" s="9" t="s">
        <v>17748</v>
      </c>
      <c r="Q3381" s="11" t="s">
        <v>19361</v>
      </c>
      <c r="R3381" s="11" t="s">
        <v>19361</v>
      </c>
      <c r="S3381" s="11" t="s">
        <v>17750</v>
      </c>
    </row>
    <row r="3382" spans="1:19" x14ac:dyDescent="0.2">
      <c r="A3382" s="11" t="s">
        <v>37416</v>
      </c>
      <c r="B3382" s="9" t="s">
        <v>37417</v>
      </c>
      <c r="C3382" s="9" t="s">
        <v>37418</v>
      </c>
      <c r="D3382" s="9" t="s">
        <v>37419</v>
      </c>
      <c r="E3382" s="9" t="s">
        <v>17740</v>
      </c>
      <c r="F3382" s="9" t="s">
        <v>17741</v>
      </c>
      <c r="G3382" s="9" t="s">
        <v>17740</v>
      </c>
      <c r="H3382" s="11" t="s">
        <v>2665</v>
      </c>
      <c r="I3382" s="11" t="s">
        <v>2664</v>
      </c>
      <c r="J3382" s="11" t="s">
        <v>2664</v>
      </c>
      <c r="K3382" s="9" t="s">
        <v>17758</v>
      </c>
      <c r="L3382" s="9" t="s">
        <v>17759</v>
      </c>
      <c r="M3382" s="9" t="s">
        <v>37420</v>
      </c>
      <c r="N3382" s="9" t="s">
        <v>17746</v>
      </c>
      <c r="O3382" s="9" t="s">
        <v>37421</v>
      </c>
      <c r="P3382" s="9" t="s">
        <v>17748</v>
      </c>
      <c r="Q3382" s="11" t="s">
        <v>19515</v>
      </c>
      <c r="R3382" s="11" t="s">
        <v>19515</v>
      </c>
      <c r="S3382" s="11" t="s">
        <v>17750</v>
      </c>
    </row>
    <row r="3383" spans="1:19" x14ac:dyDescent="0.2">
      <c r="A3383" s="11" t="s">
        <v>37422</v>
      </c>
      <c r="B3383" s="9" t="s">
        <v>37423</v>
      </c>
      <c r="C3383" s="9" t="s">
        <v>37424</v>
      </c>
      <c r="D3383" s="9" t="s">
        <v>37425</v>
      </c>
      <c r="E3383" s="9" t="s">
        <v>17740</v>
      </c>
      <c r="F3383" s="9" t="s">
        <v>17741</v>
      </c>
      <c r="G3383" s="9" t="s">
        <v>17740</v>
      </c>
      <c r="H3383" s="11" t="s">
        <v>37426</v>
      </c>
      <c r="I3383" s="11" t="s">
        <v>37427</v>
      </c>
      <c r="J3383" s="11" t="s">
        <v>37427</v>
      </c>
      <c r="K3383" s="9" t="s">
        <v>18951</v>
      </c>
      <c r="L3383" s="9" t="s">
        <v>17759</v>
      </c>
      <c r="M3383" s="9" t="s">
        <v>17769</v>
      </c>
      <c r="N3383" s="9" t="s">
        <v>17746</v>
      </c>
      <c r="O3383" s="9" t="s">
        <v>37428</v>
      </c>
      <c r="P3383" s="9" t="s">
        <v>17748</v>
      </c>
      <c r="Q3383" s="11" t="s">
        <v>18364</v>
      </c>
      <c r="R3383" s="11" t="s">
        <v>18364</v>
      </c>
      <c r="S3383" s="11" t="s">
        <v>17750</v>
      </c>
    </row>
    <row r="3384" spans="1:19" x14ac:dyDescent="0.2">
      <c r="A3384" s="11" t="s">
        <v>37429</v>
      </c>
      <c r="B3384" s="9" t="s">
        <v>37430</v>
      </c>
      <c r="C3384" s="9" t="s">
        <v>37431</v>
      </c>
      <c r="D3384" s="9" t="s">
        <v>37432</v>
      </c>
      <c r="E3384" s="9" t="s">
        <v>17748</v>
      </c>
      <c r="F3384" s="9" t="s">
        <v>37433</v>
      </c>
      <c r="G3384" s="9" t="s">
        <v>17740</v>
      </c>
      <c r="H3384" s="11" t="s">
        <v>6557</v>
      </c>
      <c r="I3384" s="11" t="s">
        <v>6556</v>
      </c>
      <c r="J3384" s="11" t="s">
        <v>6556</v>
      </c>
      <c r="K3384" s="9" t="s">
        <v>17758</v>
      </c>
      <c r="L3384" s="9" t="s">
        <v>17759</v>
      </c>
      <c r="M3384" s="9" t="s">
        <v>19108</v>
      </c>
      <c r="N3384" s="9" t="s">
        <v>17746</v>
      </c>
      <c r="O3384" s="9" t="s">
        <v>37434</v>
      </c>
      <c r="P3384" s="9" t="s">
        <v>17748</v>
      </c>
      <c r="Q3384" s="11" t="s">
        <v>19361</v>
      </c>
      <c r="R3384" s="11" t="s">
        <v>19361</v>
      </c>
      <c r="S3384" s="11" t="s">
        <v>17750</v>
      </c>
    </row>
    <row r="3385" spans="1:19" x14ac:dyDescent="0.2">
      <c r="A3385" s="11" t="s">
        <v>37435</v>
      </c>
      <c r="B3385" s="9" t="s">
        <v>37436</v>
      </c>
      <c r="C3385" s="9" t="s">
        <v>37437</v>
      </c>
      <c r="D3385" s="9" t="s">
        <v>37438</v>
      </c>
      <c r="E3385" s="9" t="s">
        <v>17740</v>
      </c>
      <c r="F3385" s="9" t="s">
        <v>17741</v>
      </c>
      <c r="G3385" s="9" t="s">
        <v>17740</v>
      </c>
      <c r="H3385" s="11" t="s">
        <v>37439</v>
      </c>
      <c r="I3385" s="11" t="s">
        <v>37440</v>
      </c>
      <c r="J3385" s="11" t="s">
        <v>37440</v>
      </c>
      <c r="K3385" s="9" t="s">
        <v>303</v>
      </c>
      <c r="L3385" s="9" t="s">
        <v>17759</v>
      </c>
      <c r="M3385" s="9" t="s">
        <v>17769</v>
      </c>
      <c r="N3385" s="9" t="s">
        <v>17746</v>
      </c>
      <c r="O3385" s="9" t="s">
        <v>33366</v>
      </c>
      <c r="P3385" s="9" t="s">
        <v>17748</v>
      </c>
      <c r="Q3385" s="11" t="s">
        <v>18059</v>
      </c>
      <c r="R3385" s="11" t="s">
        <v>18059</v>
      </c>
      <c r="S3385" s="11" t="s">
        <v>17750</v>
      </c>
    </row>
    <row r="3386" spans="1:19" x14ac:dyDescent="0.2">
      <c r="A3386" s="11" t="s">
        <v>37441</v>
      </c>
      <c r="B3386" s="9" t="s">
        <v>37442</v>
      </c>
      <c r="C3386" s="9" t="s">
        <v>37443</v>
      </c>
      <c r="D3386" s="9" t="s">
        <v>37444</v>
      </c>
      <c r="E3386" s="9" t="s">
        <v>17740</v>
      </c>
      <c r="F3386" s="9" t="s">
        <v>37445</v>
      </c>
      <c r="G3386" s="9" t="s">
        <v>17740</v>
      </c>
      <c r="H3386" s="11" t="s">
        <v>37446</v>
      </c>
      <c r="I3386" s="11" t="s">
        <v>37447</v>
      </c>
      <c r="J3386" s="11" t="s">
        <v>37447</v>
      </c>
      <c r="K3386" s="9" t="s">
        <v>19447</v>
      </c>
      <c r="L3386" s="9" t="s">
        <v>17759</v>
      </c>
      <c r="M3386" s="9" t="s">
        <v>37448</v>
      </c>
      <c r="N3386" s="9" t="s">
        <v>17746</v>
      </c>
      <c r="O3386" s="9" t="s">
        <v>37449</v>
      </c>
      <c r="P3386" s="9" t="s">
        <v>17748</v>
      </c>
      <c r="Q3386" s="11" t="s">
        <v>17819</v>
      </c>
      <c r="R3386" s="11" t="s">
        <v>17819</v>
      </c>
      <c r="S3386" s="11" t="s">
        <v>17750</v>
      </c>
    </row>
    <row r="3387" spans="1:19" x14ac:dyDescent="0.2">
      <c r="A3387" s="11" t="s">
        <v>37450</v>
      </c>
      <c r="B3387" s="9" t="s">
        <v>37451</v>
      </c>
      <c r="C3387" s="9" t="s">
        <v>37452</v>
      </c>
      <c r="D3387" s="9" t="s">
        <v>37453</v>
      </c>
      <c r="E3387" s="9" t="s">
        <v>17740</v>
      </c>
      <c r="F3387" s="9" t="s">
        <v>17741</v>
      </c>
      <c r="G3387" s="9" t="s">
        <v>17740</v>
      </c>
      <c r="H3387" s="11" t="s">
        <v>2687</v>
      </c>
      <c r="I3387" s="11" t="s">
        <v>2686</v>
      </c>
      <c r="J3387" s="11" t="s">
        <v>2686</v>
      </c>
      <c r="K3387" s="9" t="s">
        <v>37454</v>
      </c>
      <c r="L3387" s="9" t="s">
        <v>17759</v>
      </c>
      <c r="M3387" s="9" t="s">
        <v>17769</v>
      </c>
      <c r="N3387" s="9" t="s">
        <v>17746</v>
      </c>
      <c r="O3387" s="9" t="s">
        <v>33733</v>
      </c>
      <c r="P3387" s="9" t="s">
        <v>17748</v>
      </c>
      <c r="Q3387" s="11" t="s">
        <v>19335</v>
      </c>
      <c r="R3387" s="11" t="s">
        <v>19335</v>
      </c>
      <c r="S3387" s="11" t="s">
        <v>17750</v>
      </c>
    </row>
    <row r="3388" spans="1:19" x14ac:dyDescent="0.2">
      <c r="A3388" s="11" t="s">
        <v>37455</v>
      </c>
      <c r="B3388" s="9" t="s">
        <v>37456</v>
      </c>
      <c r="C3388" s="9" t="s">
        <v>37457</v>
      </c>
      <c r="D3388" s="9" t="s">
        <v>37458</v>
      </c>
      <c r="E3388" s="9" t="s">
        <v>17740</v>
      </c>
      <c r="F3388" s="9" t="s">
        <v>17741</v>
      </c>
      <c r="G3388" s="9" t="s">
        <v>17740</v>
      </c>
      <c r="H3388" s="11" t="s">
        <v>2684</v>
      </c>
      <c r="I3388" s="11" t="s">
        <v>2683</v>
      </c>
      <c r="J3388" s="11" t="s">
        <v>2683</v>
      </c>
      <c r="K3388" s="9" t="s">
        <v>17758</v>
      </c>
      <c r="L3388" s="9" t="s">
        <v>17759</v>
      </c>
      <c r="M3388" s="9" t="s">
        <v>37459</v>
      </c>
      <c r="N3388" s="9" t="s">
        <v>17746</v>
      </c>
      <c r="O3388" s="9" t="s">
        <v>37460</v>
      </c>
      <c r="P3388" s="9" t="s">
        <v>17748</v>
      </c>
      <c r="Q3388" s="11" t="s">
        <v>18433</v>
      </c>
      <c r="R3388" s="11" t="s">
        <v>18433</v>
      </c>
      <c r="S3388" s="11" t="s">
        <v>17750</v>
      </c>
    </row>
    <row r="3389" spans="1:19" x14ac:dyDescent="0.2">
      <c r="A3389" s="11" t="s">
        <v>37461</v>
      </c>
      <c r="B3389" s="9" t="s">
        <v>37462</v>
      </c>
      <c r="C3389" s="9" t="s">
        <v>37463</v>
      </c>
      <c r="D3389" s="9" t="s">
        <v>37464</v>
      </c>
      <c r="E3389" s="9" t="s">
        <v>17740</v>
      </c>
      <c r="F3389" s="9" t="s">
        <v>17741</v>
      </c>
      <c r="G3389" s="9" t="s">
        <v>17740</v>
      </c>
      <c r="H3389" s="11" t="s">
        <v>7175</v>
      </c>
      <c r="I3389" s="11" t="s">
        <v>7174</v>
      </c>
      <c r="J3389" s="11" t="s">
        <v>7174</v>
      </c>
      <c r="K3389" s="9" t="s">
        <v>17758</v>
      </c>
      <c r="L3389" s="9" t="s">
        <v>17759</v>
      </c>
      <c r="M3389" s="9" t="s">
        <v>37465</v>
      </c>
      <c r="N3389" s="9" t="s">
        <v>17746</v>
      </c>
      <c r="O3389" s="9" t="s">
        <v>37460</v>
      </c>
      <c r="P3389" s="9" t="s">
        <v>17748</v>
      </c>
      <c r="Q3389" s="11" t="s">
        <v>18147</v>
      </c>
      <c r="R3389" s="11" t="s">
        <v>18147</v>
      </c>
      <c r="S3389" s="11" t="s">
        <v>17750</v>
      </c>
    </row>
    <row r="3390" spans="1:19" x14ac:dyDescent="0.2">
      <c r="A3390" s="11" t="s">
        <v>37466</v>
      </c>
      <c r="B3390" s="9" t="s">
        <v>37467</v>
      </c>
      <c r="C3390" s="9" t="s">
        <v>37468</v>
      </c>
      <c r="D3390" s="9" t="s">
        <v>37469</v>
      </c>
      <c r="E3390" s="9" t="s">
        <v>17740</v>
      </c>
      <c r="F3390" s="9" t="s">
        <v>37470</v>
      </c>
      <c r="G3390" s="9" t="s">
        <v>17740</v>
      </c>
      <c r="H3390" s="11" t="s">
        <v>37471</v>
      </c>
      <c r="I3390" s="11" t="s">
        <v>37472</v>
      </c>
      <c r="J3390" s="11" t="s">
        <v>37472</v>
      </c>
      <c r="K3390" s="9" t="s">
        <v>55</v>
      </c>
      <c r="L3390" s="9" t="s">
        <v>17759</v>
      </c>
      <c r="M3390" s="9" t="s">
        <v>25378</v>
      </c>
      <c r="N3390" s="9" t="s">
        <v>17746</v>
      </c>
      <c r="O3390" s="9" t="s">
        <v>23534</v>
      </c>
      <c r="P3390" s="9" t="s">
        <v>17748</v>
      </c>
      <c r="Q3390" s="11" t="s">
        <v>19026</v>
      </c>
      <c r="R3390" s="11" t="s">
        <v>19026</v>
      </c>
      <c r="S3390" s="11" t="s">
        <v>17750</v>
      </c>
    </row>
    <row r="3391" spans="1:19" x14ac:dyDescent="0.2">
      <c r="A3391" s="11" t="s">
        <v>37473</v>
      </c>
      <c r="B3391" s="9" t="s">
        <v>37474</v>
      </c>
      <c r="C3391" s="9" t="s">
        <v>37475</v>
      </c>
      <c r="D3391" s="9" t="s">
        <v>37476</v>
      </c>
      <c r="E3391" s="9" t="s">
        <v>17740</v>
      </c>
      <c r="F3391" s="9" t="s">
        <v>17741</v>
      </c>
      <c r="G3391" s="9" t="s">
        <v>17740</v>
      </c>
      <c r="H3391" s="11" t="s">
        <v>14022</v>
      </c>
      <c r="I3391" s="11" t="s">
        <v>14021</v>
      </c>
      <c r="J3391" s="11" t="s">
        <v>14021</v>
      </c>
      <c r="K3391" s="9" t="s">
        <v>920</v>
      </c>
      <c r="L3391" s="9" t="s">
        <v>18001</v>
      </c>
      <c r="M3391" s="9" t="s">
        <v>17778</v>
      </c>
      <c r="N3391" s="9" t="s">
        <v>17746</v>
      </c>
      <c r="O3391" s="9" t="s">
        <v>37477</v>
      </c>
      <c r="P3391" s="9" t="s">
        <v>17748</v>
      </c>
      <c r="Q3391" s="11" t="s">
        <v>18370</v>
      </c>
      <c r="R3391" s="11" t="s">
        <v>18370</v>
      </c>
      <c r="S3391" s="11" t="s">
        <v>17750</v>
      </c>
    </row>
    <row r="3392" spans="1:19" x14ac:dyDescent="0.2">
      <c r="A3392" s="11" t="s">
        <v>37478</v>
      </c>
      <c r="B3392" s="9" t="s">
        <v>37479</v>
      </c>
      <c r="C3392" s="9" t="s">
        <v>37480</v>
      </c>
      <c r="D3392" s="9" t="s">
        <v>37481</v>
      </c>
      <c r="E3392" s="9" t="s">
        <v>17740</v>
      </c>
      <c r="F3392" s="9" t="s">
        <v>17741</v>
      </c>
      <c r="G3392" s="9" t="s">
        <v>17740</v>
      </c>
      <c r="H3392" s="11" t="s">
        <v>2654</v>
      </c>
      <c r="I3392" s="11" t="s">
        <v>2653</v>
      </c>
      <c r="J3392" s="11" t="s">
        <v>2653</v>
      </c>
      <c r="K3392" s="9" t="s">
        <v>20259</v>
      </c>
      <c r="L3392" s="9" t="s">
        <v>17759</v>
      </c>
      <c r="M3392" s="9" t="s">
        <v>19639</v>
      </c>
      <c r="N3392" s="9" t="s">
        <v>17746</v>
      </c>
      <c r="O3392" s="9" t="s">
        <v>19059</v>
      </c>
      <c r="P3392" s="9" t="s">
        <v>17748</v>
      </c>
      <c r="Q3392" s="11" t="s">
        <v>20251</v>
      </c>
      <c r="R3392" s="11" t="s">
        <v>20251</v>
      </c>
      <c r="S3392" s="11" t="s">
        <v>17750</v>
      </c>
    </row>
    <row r="3393" spans="1:19" x14ac:dyDescent="0.2">
      <c r="A3393" s="11" t="s">
        <v>37482</v>
      </c>
      <c r="B3393" s="9" t="s">
        <v>37483</v>
      </c>
      <c r="C3393" s="9" t="s">
        <v>37484</v>
      </c>
      <c r="D3393" s="9" t="s">
        <v>37485</v>
      </c>
      <c r="E3393" s="9" t="s">
        <v>17740</v>
      </c>
      <c r="F3393" s="9" t="s">
        <v>17741</v>
      </c>
      <c r="G3393" s="9" t="s">
        <v>17740</v>
      </c>
      <c r="H3393" s="11" t="s">
        <v>11172</v>
      </c>
      <c r="I3393" s="11" t="s">
        <v>11171</v>
      </c>
      <c r="J3393" s="11" t="s">
        <v>11171</v>
      </c>
      <c r="K3393" s="9" t="s">
        <v>91</v>
      </c>
      <c r="L3393" s="9" t="s">
        <v>17744</v>
      </c>
      <c r="M3393" s="9" t="s">
        <v>17769</v>
      </c>
      <c r="N3393" s="9" t="s">
        <v>17746</v>
      </c>
      <c r="O3393" s="9" t="s">
        <v>37486</v>
      </c>
      <c r="P3393" s="9" t="s">
        <v>17748</v>
      </c>
      <c r="Q3393" s="11" t="s">
        <v>17984</v>
      </c>
      <c r="R3393" s="11" t="s">
        <v>17984</v>
      </c>
      <c r="S3393" s="11" t="s">
        <v>17750</v>
      </c>
    </row>
    <row r="3394" spans="1:19" x14ac:dyDescent="0.2">
      <c r="A3394" s="11" t="s">
        <v>37487</v>
      </c>
      <c r="B3394" s="9" t="s">
        <v>37488</v>
      </c>
      <c r="C3394" s="9" t="s">
        <v>37489</v>
      </c>
      <c r="D3394" s="9" t="s">
        <v>37490</v>
      </c>
      <c r="E3394" s="9" t="s">
        <v>17740</v>
      </c>
      <c r="F3394" s="9" t="s">
        <v>37491</v>
      </c>
      <c r="G3394" s="9" t="s">
        <v>17740</v>
      </c>
      <c r="H3394" s="11" t="s">
        <v>2619</v>
      </c>
      <c r="I3394" s="11" t="s">
        <v>2618</v>
      </c>
      <c r="J3394" s="11" t="s">
        <v>2618</v>
      </c>
      <c r="K3394" s="9" t="s">
        <v>18951</v>
      </c>
      <c r="L3394" s="9" t="s">
        <v>17759</v>
      </c>
      <c r="M3394" s="9" t="s">
        <v>17817</v>
      </c>
      <c r="N3394" s="9" t="s">
        <v>17746</v>
      </c>
      <c r="O3394" s="9" t="s">
        <v>3355</v>
      </c>
      <c r="P3394" s="9" t="s">
        <v>17748</v>
      </c>
      <c r="Q3394" s="11" t="s">
        <v>20789</v>
      </c>
      <c r="R3394" s="11" t="s">
        <v>20789</v>
      </c>
      <c r="S3394" s="11" t="s">
        <v>17750</v>
      </c>
    </row>
    <row r="3395" spans="1:19" x14ac:dyDescent="0.2">
      <c r="A3395" s="11" t="s">
        <v>37492</v>
      </c>
      <c r="B3395" s="9" t="s">
        <v>37493</v>
      </c>
      <c r="C3395" s="9" t="s">
        <v>37494</v>
      </c>
      <c r="D3395" s="9" t="s">
        <v>37495</v>
      </c>
      <c r="E3395" s="9" t="s">
        <v>17740</v>
      </c>
      <c r="F3395" s="9" t="s">
        <v>17741</v>
      </c>
      <c r="G3395" s="9" t="s">
        <v>17740</v>
      </c>
      <c r="H3395" s="11" t="s">
        <v>7435</v>
      </c>
      <c r="I3395" s="11" t="s">
        <v>7434</v>
      </c>
      <c r="J3395" s="11" t="s">
        <v>7434</v>
      </c>
      <c r="K3395" s="9" t="s">
        <v>20207</v>
      </c>
      <c r="L3395" s="9" t="s">
        <v>17744</v>
      </c>
      <c r="M3395" s="9" t="s">
        <v>18109</v>
      </c>
      <c r="N3395" s="9" t="s">
        <v>17746</v>
      </c>
      <c r="O3395" s="9" t="s">
        <v>773</v>
      </c>
      <c r="P3395" s="9" t="s">
        <v>17748</v>
      </c>
      <c r="Q3395" s="11" t="s">
        <v>19361</v>
      </c>
      <c r="R3395" s="11" t="s">
        <v>19361</v>
      </c>
      <c r="S3395" s="11" t="s">
        <v>17750</v>
      </c>
    </row>
    <row r="3396" spans="1:19" x14ac:dyDescent="0.2">
      <c r="A3396" s="11" t="s">
        <v>37496</v>
      </c>
      <c r="B3396" s="9" t="s">
        <v>37497</v>
      </c>
      <c r="C3396" s="9" t="s">
        <v>37498</v>
      </c>
      <c r="D3396" s="9" t="s">
        <v>37499</v>
      </c>
      <c r="E3396" s="9" t="s">
        <v>17748</v>
      </c>
      <c r="F3396" s="9" t="s">
        <v>37500</v>
      </c>
      <c r="G3396" s="9" t="s">
        <v>17740</v>
      </c>
      <c r="H3396" s="11" t="s">
        <v>37501</v>
      </c>
      <c r="I3396" s="11" t="s">
        <v>37502</v>
      </c>
      <c r="J3396" s="11" t="s">
        <v>37502</v>
      </c>
      <c r="K3396" s="9" t="s">
        <v>37503</v>
      </c>
      <c r="L3396" s="9" t="s">
        <v>17759</v>
      </c>
      <c r="M3396" s="9" t="s">
        <v>18065</v>
      </c>
      <c r="N3396" s="9" t="s">
        <v>17746</v>
      </c>
      <c r="O3396" s="9" t="s">
        <v>17770</v>
      </c>
      <c r="P3396" s="9" t="s">
        <v>17748</v>
      </c>
      <c r="Q3396" s="11" t="s">
        <v>18201</v>
      </c>
      <c r="R3396" s="11" t="s">
        <v>18201</v>
      </c>
      <c r="S3396" s="11" t="s">
        <v>17750</v>
      </c>
    </row>
    <row r="3397" spans="1:19" x14ac:dyDescent="0.2">
      <c r="A3397" s="11" t="s">
        <v>37504</v>
      </c>
      <c r="B3397" s="9" t="s">
        <v>37505</v>
      </c>
      <c r="C3397" s="9" t="s">
        <v>37506</v>
      </c>
      <c r="D3397" s="9" t="s">
        <v>37507</v>
      </c>
      <c r="E3397" s="9" t="s">
        <v>17740</v>
      </c>
      <c r="F3397" s="9" t="s">
        <v>17741</v>
      </c>
      <c r="G3397" s="9" t="s">
        <v>17740</v>
      </c>
      <c r="H3397" s="11" t="s">
        <v>37508</v>
      </c>
      <c r="I3397" s="11" t="s">
        <v>37509</v>
      </c>
      <c r="J3397" s="11" t="s">
        <v>37509</v>
      </c>
      <c r="K3397" s="9" t="s">
        <v>17758</v>
      </c>
      <c r="L3397" s="9" t="s">
        <v>17759</v>
      </c>
      <c r="M3397" s="9" t="s">
        <v>17760</v>
      </c>
      <c r="N3397" s="9" t="s">
        <v>17746</v>
      </c>
      <c r="O3397" s="9" t="s">
        <v>37510</v>
      </c>
      <c r="P3397" s="9" t="s">
        <v>17748</v>
      </c>
      <c r="Q3397" s="11" t="s">
        <v>18364</v>
      </c>
      <c r="R3397" s="11" t="s">
        <v>18364</v>
      </c>
      <c r="S3397" s="11" t="s">
        <v>17750</v>
      </c>
    </row>
    <row r="3398" spans="1:19" x14ac:dyDescent="0.2">
      <c r="A3398" s="11" t="s">
        <v>37511</v>
      </c>
      <c r="B3398" s="9" t="s">
        <v>37512</v>
      </c>
      <c r="C3398" s="9" t="s">
        <v>37513</v>
      </c>
      <c r="D3398" s="9" t="s">
        <v>37514</v>
      </c>
      <c r="E3398" s="9" t="s">
        <v>17740</v>
      </c>
      <c r="F3398" s="9" t="s">
        <v>17741</v>
      </c>
      <c r="G3398" s="9" t="s">
        <v>17740</v>
      </c>
      <c r="H3398" s="11" t="s">
        <v>2657</v>
      </c>
      <c r="I3398" s="11" t="s">
        <v>2656</v>
      </c>
      <c r="J3398" s="11" t="s">
        <v>2656</v>
      </c>
      <c r="K3398" s="9" t="s">
        <v>22455</v>
      </c>
      <c r="L3398" s="9" t="s">
        <v>18158</v>
      </c>
      <c r="M3398" s="9" t="s">
        <v>17769</v>
      </c>
      <c r="N3398" s="9" t="s">
        <v>17746</v>
      </c>
      <c r="O3398" s="9" t="s">
        <v>8489</v>
      </c>
      <c r="P3398" s="9" t="s">
        <v>17748</v>
      </c>
      <c r="Q3398" s="11" t="s">
        <v>18243</v>
      </c>
      <c r="R3398" s="11" t="s">
        <v>18243</v>
      </c>
      <c r="S3398" s="11" t="s">
        <v>17750</v>
      </c>
    </row>
    <row r="3399" spans="1:19" x14ac:dyDescent="0.2">
      <c r="A3399" s="11" t="s">
        <v>37515</v>
      </c>
      <c r="B3399" s="9" t="s">
        <v>37516</v>
      </c>
      <c r="C3399" s="9" t="s">
        <v>37517</v>
      </c>
      <c r="D3399" s="9" t="s">
        <v>37518</v>
      </c>
      <c r="E3399" s="9" t="s">
        <v>17740</v>
      </c>
      <c r="F3399" s="9" t="s">
        <v>37519</v>
      </c>
      <c r="G3399" s="9" t="s">
        <v>17740</v>
      </c>
      <c r="H3399" s="11" t="s">
        <v>7355</v>
      </c>
      <c r="I3399" s="11" t="s">
        <v>7354</v>
      </c>
      <c r="J3399" s="11" t="s">
        <v>7354</v>
      </c>
      <c r="K3399" s="9" t="s">
        <v>315</v>
      </c>
      <c r="L3399" s="9" t="s">
        <v>17759</v>
      </c>
      <c r="M3399" s="9" t="s">
        <v>37520</v>
      </c>
      <c r="N3399" s="9" t="s">
        <v>17746</v>
      </c>
      <c r="O3399" s="9" t="s">
        <v>8489</v>
      </c>
      <c r="P3399" s="9" t="s">
        <v>17748</v>
      </c>
      <c r="Q3399" s="11" t="s">
        <v>18341</v>
      </c>
      <c r="R3399" s="11" t="s">
        <v>18341</v>
      </c>
      <c r="S3399" s="11" t="s">
        <v>17750</v>
      </c>
    </row>
    <row r="3400" spans="1:19" x14ac:dyDescent="0.2">
      <c r="A3400" s="11" t="s">
        <v>37521</v>
      </c>
      <c r="B3400" s="9" t="s">
        <v>37522</v>
      </c>
      <c r="C3400" s="9" t="s">
        <v>37523</v>
      </c>
      <c r="D3400" s="9" t="s">
        <v>37524</v>
      </c>
      <c r="E3400" s="9" t="s">
        <v>17740</v>
      </c>
      <c r="F3400" s="9" t="s">
        <v>17741</v>
      </c>
      <c r="G3400" s="9" t="s">
        <v>17740</v>
      </c>
      <c r="H3400" s="11" t="s">
        <v>37525</v>
      </c>
      <c r="I3400" s="11" t="s">
        <v>37526</v>
      </c>
      <c r="J3400" s="11" t="s">
        <v>37526</v>
      </c>
      <c r="K3400" s="9" t="s">
        <v>970</v>
      </c>
      <c r="L3400" s="9" t="s">
        <v>17759</v>
      </c>
      <c r="M3400" s="9" t="s">
        <v>21922</v>
      </c>
      <c r="N3400" s="9" t="s">
        <v>17746</v>
      </c>
      <c r="O3400" s="9" t="s">
        <v>18340</v>
      </c>
      <c r="P3400" s="9" t="s">
        <v>17748</v>
      </c>
      <c r="Q3400" s="11" t="s">
        <v>20251</v>
      </c>
      <c r="R3400" s="11" t="s">
        <v>20251</v>
      </c>
      <c r="S3400" s="11" t="s">
        <v>17750</v>
      </c>
    </row>
    <row r="3401" spans="1:19" x14ac:dyDescent="0.2">
      <c r="A3401" s="11" t="s">
        <v>37527</v>
      </c>
      <c r="B3401" s="9" t="s">
        <v>37528</v>
      </c>
      <c r="C3401" s="9" t="s">
        <v>37529</v>
      </c>
      <c r="D3401" s="9" t="s">
        <v>37530</v>
      </c>
      <c r="E3401" s="9" t="s">
        <v>17740</v>
      </c>
      <c r="F3401" s="9" t="s">
        <v>37531</v>
      </c>
      <c r="G3401" s="9" t="s">
        <v>17740</v>
      </c>
      <c r="H3401" s="11" t="s">
        <v>37532</v>
      </c>
      <c r="I3401" s="11" t="s">
        <v>37533</v>
      </c>
      <c r="J3401" s="11" t="s">
        <v>37533</v>
      </c>
      <c r="K3401" s="9" t="s">
        <v>37534</v>
      </c>
      <c r="L3401" s="9" t="s">
        <v>17759</v>
      </c>
      <c r="M3401" s="9" t="s">
        <v>17817</v>
      </c>
      <c r="N3401" s="9" t="s">
        <v>17746</v>
      </c>
      <c r="O3401" s="9" t="s">
        <v>18340</v>
      </c>
      <c r="P3401" s="9" t="s">
        <v>17748</v>
      </c>
      <c r="Q3401" s="11" t="s">
        <v>18282</v>
      </c>
      <c r="R3401" s="11" t="s">
        <v>18282</v>
      </c>
      <c r="S3401" s="11" t="s">
        <v>17750</v>
      </c>
    </row>
    <row r="3402" spans="1:19" x14ac:dyDescent="0.2">
      <c r="A3402" s="11" t="s">
        <v>37535</v>
      </c>
      <c r="B3402" s="9" t="s">
        <v>37536</v>
      </c>
      <c r="C3402" s="9" t="s">
        <v>37537</v>
      </c>
      <c r="D3402" s="9" t="s">
        <v>37538</v>
      </c>
      <c r="E3402" s="9" t="s">
        <v>17748</v>
      </c>
      <c r="F3402" s="9" t="s">
        <v>37539</v>
      </c>
      <c r="G3402" s="9" t="s">
        <v>17740</v>
      </c>
      <c r="H3402" s="11" t="s">
        <v>17741</v>
      </c>
      <c r="I3402" s="11" t="s">
        <v>37540</v>
      </c>
      <c r="J3402" s="11" t="s">
        <v>37540</v>
      </c>
      <c r="K3402" s="9" t="s">
        <v>37541</v>
      </c>
      <c r="L3402" s="9" t="s">
        <v>17744</v>
      </c>
      <c r="M3402" s="9" t="s">
        <v>17817</v>
      </c>
      <c r="N3402" s="9" t="s">
        <v>17746</v>
      </c>
      <c r="O3402" s="9" t="s">
        <v>37542</v>
      </c>
      <c r="P3402" s="9" t="s">
        <v>17748</v>
      </c>
      <c r="Q3402" s="11" t="s">
        <v>17762</v>
      </c>
      <c r="R3402" s="11" t="s">
        <v>17762</v>
      </c>
      <c r="S3402" s="11" t="s">
        <v>17750</v>
      </c>
    </row>
    <row r="3403" spans="1:19" x14ac:dyDescent="0.2">
      <c r="A3403" s="11" t="s">
        <v>37543</v>
      </c>
      <c r="B3403" s="9" t="s">
        <v>37544</v>
      </c>
      <c r="C3403" s="9" t="s">
        <v>37545</v>
      </c>
      <c r="D3403" s="9" t="s">
        <v>37546</v>
      </c>
      <c r="E3403" s="9" t="s">
        <v>17740</v>
      </c>
      <c r="F3403" s="9" t="s">
        <v>37547</v>
      </c>
      <c r="G3403" s="9" t="s">
        <v>17740</v>
      </c>
      <c r="H3403" s="11" t="s">
        <v>37548</v>
      </c>
      <c r="I3403" s="11" t="s">
        <v>37549</v>
      </c>
      <c r="J3403" s="11" t="s">
        <v>37549</v>
      </c>
      <c r="K3403" s="9" t="s">
        <v>24794</v>
      </c>
      <c r="L3403" s="9" t="s">
        <v>17759</v>
      </c>
      <c r="M3403" s="9" t="s">
        <v>17769</v>
      </c>
      <c r="N3403" s="9" t="s">
        <v>17746</v>
      </c>
      <c r="O3403" s="9" t="s">
        <v>18514</v>
      </c>
      <c r="P3403" s="9" t="s">
        <v>17748</v>
      </c>
      <c r="Q3403" s="11" t="s">
        <v>22689</v>
      </c>
      <c r="R3403" s="11" t="s">
        <v>22689</v>
      </c>
      <c r="S3403" s="11" t="s">
        <v>17750</v>
      </c>
    </row>
    <row r="3404" spans="1:19" x14ac:dyDescent="0.2">
      <c r="A3404" s="11" t="s">
        <v>37550</v>
      </c>
      <c r="B3404" s="9" t="s">
        <v>37551</v>
      </c>
      <c r="C3404" s="9" t="s">
        <v>37552</v>
      </c>
      <c r="D3404" s="9" t="s">
        <v>37553</v>
      </c>
      <c r="E3404" s="9" t="s">
        <v>17740</v>
      </c>
      <c r="F3404" s="9" t="s">
        <v>37554</v>
      </c>
      <c r="G3404" s="9" t="s">
        <v>17740</v>
      </c>
      <c r="H3404" s="11" t="s">
        <v>37555</v>
      </c>
      <c r="I3404" s="11" t="s">
        <v>37556</v>
      </c>
      <c r="J3404" s="11" t="s">
        <v>37556</v>
      </c>
      <c r="K3404" s="9" t="s">
        <v>19767</v>
      </c>
      <c r="L3404" s="9" t="s">
        <v>17759</v>
      </c>
      <c r="M3404" s="9" t="s">
        <v>17817</v>
      </c>
      <c r="N3404" s="9" t="s">
        <v>17746</v>
      </c>
      <c r="O3404" s="9" t="s">
        <v>18514</v>
      </c>
      <c r="P3404" s="9" t="s">
        <v>17748</v>
      </c>
      <c r="Q3404" s="11" t="s">
        <v>18072</v>
      </c>
      <c r="R3404" s="11" t="s">
        <v>18072</v>
      </c>
      <c r="S3404" s="11" t="s">
        <v>17750</v>
      </c>
    </row>
    <row r="3405" spans="1:19" x14ac:dyDescent="0.2">
      <c r="A3405" s="11" t="s">
        <v>37557</v>
      </c>
      <c r="B3405" s="9" t="s">
        <v>37558</v>
      </c>
      <c r="C3405" s="9" t="s">
        <v>37559</v>
      </c>
      <c r="D3405" s="9" t="s">
        <v>37560</v>
      </c>
      <c r="E3405" s="9" t="s">
        <v>17740</v>
      </c>
      <c r="F3405" s="9" t="s">
        <v>37561</v>
      </c>
      <c r="G3405" s="9" t="s">
        <v>17740</v>
      </c>
      <c r="H3405" s="11" t="s">
        <v>37562</v>
      </c>
      <c r="I3405" s="11" t="s">
        <v>37563</v>
      </c>
      <c r="J3405" s="11" t="s">
        <v>37563</v>
      </c>
      <c r="K3405" s="9" t="s">
        <v>291</v>
      </c>
      <c r="L3405" s="9" t="s">
        <v>17744</v>
      </c>
      <c r="M3405" s="9" t="s">
        <v>18065</v>
      </c>
      <c r="N3405" s="9" t="s">
        <v>17746</v>
      </c>
      <c r="O3405" s="9" t="s">
        <v>19769</v>
      </c>
      <c r="P3405" s="9" t="s">
        <v>17748</v>
      </c>
      <c r="Q3405" s="11" t="s">
        <v>19899</v>
      </c>
      <c r="R3405" s="11" t="s">
        <v>19899</v>
      </c>
      <c r="S3405" s="11" t="s">
        <v>17750</v>
      </c>
    </row>
    <row r="3406" spans="1:19" x14ac:dyDescent="0.2">
      <c r="A3406" s="11" t="s">
        <v>37564</v>
      </c>
      <c r="B3406" s="9" t="s">
        <v>37565</v>
      </c>
      <c r="C3406" s="9" t="s">
        <v>37566</v>
      </c>
      <c r="D3406" s="9" t="s">
        <v>37567</v>
      </c>
      <c r="E3406" s="9" t="s">
        <v>17740</v>
      </c>
      <c r="F3406" s="9" t="s">
        <v>17741</v>
      </c>
      <c r="G3406" s="9" t="s">
        <v>17740</v>
      </c>
      <c r="H3406" s="11" t="s">
        <v>37568</v>
      </c>
      <c r="I3406" s="11" t="s">
        <v>37569</v>
      </c>
      <c r="J3406" s="11" t="s">
        <v>37569</v>
      </c>
      <c r="K3406" s="9" t="s">
        <v>32539</v>
      </c>
      <c r="L3406" s="9" t="s">
        <v>17759</v>
      </c>
      <c r="M3406" s="9" t="s">
        <v>22559</v>
      </c>
      <c r="N3406" s="9" t="s">
        <v>17746</v>
      </c>
      <c r="O3406" s="9" t="s">
        <v>19769</v>
      </c>
      <c r="P3406" s="9" t="s">
        <v>17748</v>
      </c>
      <c r="Q3406" s="11" t="s">
        <v>18364</v>
      </c>
      <c r="R3406" s="11" t="s">
        <v>18364</v>
      </c>
      <c r="S3406" s="11" t="s">
        <v>17750</v>
      </c>
    </row>
    <row r="3407" spans="1:19" x14ac:dyDescent="0.2">
      <c r="A3407" s="11" t="s">
        <v>37570</v>
      </c>
      <c r="B3407" s="9" t="s">
        <v>37571</v>
      </c>
      <c r="C3407" s="9" t="s">
        <v>37572</v>
      </c>
      <c r="D3407" s="9" t="s">
        <v>37573</v>
      </c>
      <c r="E3407" s="9" t="s">
        <v>17740</v>
      </c>
      <c r="F3407" s="9" t="s">
        <v>17741</v>
      </c>
      <c r="G3407" s="9" t="s">
        <v>17740</v>
      </c>
      <c r="H3407" s="11" t="s">
        <v>2637</v>
      </c>
      <c r="I3407" s="11" t="s">
        <v>2636</v>
      </c>
      <c r="J3407" s="11" t="s">
        <v>2636</v>
      </c>
      <c r="K3407" s="9" t="s">
        <v>18661</v>
      </c>
      <c r="L3407" s="9" t="s">
        <v>17744</v>
      </c>
      <c r="M3407" s="9" t="s">
        <v>37574</v>
      </c>
      <c r="N3407" s="9" t="s">
        <v>17746</v>
      </c>
      <c r="O3407" s="9" t="s">
        <v>22281</v>
      </c>
      <c r="P3407" s="9" t="s">
        <v>17748</v>
      </c>
      <c r="Q3407" s="11" t="s">
        <v>17978</v>
      </c>
      <c r="R3407" s="11" t="s">
        <v>17978</v>
      </c>
      <c r="S3407" s="11" t="s">
        <v>17750</v>
      </c>
    </row>
    <row r="3408" spans="1:19" x14ac:dyDescent="0.2">
      <c r="A3408" s="11" t="s">
        <v>37575</v>
      </c>
      <c r="B3408" s="9" t="s">
        <v>37576</v>
      </c>
      <c r="C3408" s="9" t="s">
        <v>37577</v>
      </c>
      <c r="D3408" s="9" t="s">
        <v>37578</v>
      </c>
      <c r="E3408" s="9" t="s">
        <v>17740</v>
      </c>
      <c r="F3408" s="9" t="s">
        <v>37579</v>
      </c>
      <c r="G3408" s="9" t="s">
        <v>17740</v>
      </c>
      <c r="H3408" s="11" t="s">
        <v>2675</v>
      </c>
      <c r="I3408" s="11" t="s">
        <v>2674</v>
      </c>
      <c r="J3408" s="11" t="s">
        <v>2674</v>
      </c>
      <c r="K3408" s="9" t="s">
        <v>19094</v>
      </c>
      <c r="L3408" s="9" t="s">
        <v>17759</v>
      </c>
      <c r="M3408" s="9" t="s">
        <v>17817</v>
      </c>
      <c r="N3408" s="9" t="s">
        <v>17746</v>
      </c>
      <c r="O3408" s="9" t="s">
        <v>3391</v>
      </c>
      <c r="P3408" s="9" t="s">
        <v>17748</v>
      </c>
      <c r="Q3408" s="11" t="s">
        <v>18306</v>
      </c>
      <c r="R3408" s="11" t="s">
        <v>18306</v>
      </c>
      <c r="S3408" s="11" t="s">
        <v>17750</v>
      </c>
    </row>
    <row r="3409" spans="1:19" x14ac:dyDescent="0.2">
      <c r="A3409" s="11" t="s">
        <v>37580</v>
      </c>
      <c r="B3409" s="9" t="s">
        <v>37581</v>
      </c>
      <c r="C3409" s="9" t="s">
        <v>37582</v>
      </c>
      <c r="D3409" s="9" t="s">
        <v>37583</v>
      </c>
      <c r="E3409" s="9" t="s">
        <v>17748</v>
      </c>
      <c r="F3409" s="9" t="s">
        <v>37584</v>
      </c>
      <c r="G3409" s="9" t="s">
        <v>17740</v>
      </c>
      <c r="H3409" s="11" t="s">
        <v>8905</v>
      </c>
      <c r="I3409" s="11" t="s">
        <v>8904</v>
      </c>
      <c r="J3409" s="11" t="s">
        <v>8904</v>
      </c>
      <c r="K3409" s="9" t="s">
        <v>17783</v>
      </c>
      <c r="L3409" s="9" t="s">
        <v>17759</v>
      </c>
      <c r="M3409" s="9" t="s">
        <v>17769</v>
      </c>
      <c r="N3409" s="9" t="s">
        <v>17746</v>
      </c>
      <c r="O3409" s="9" t="s">
        <v>3391</v>
      </c>
      <c r="P3409" s="9" t="s">
        <v>17748</v>
      </c>
      <c r="Q3409" s="11" t="s">
        <v>18922</v>
      </c>
      <c r="R3409" s="11" t="s">
        <v>18922</v>
      </c>
      <c r="S3409" s="11" t="s">
        <v>17750</v>
      </c>
    </row>
    <row r="3410" spans="1:19" x14ac:dyDescent="0.2">
      <c r="A3410" s="11" t="s">
        <v>37585</v>
      </c>
      <c r="B3410" s="9" t="s">
        <v>37586</v>
      </c>
      <c r="C3410" s="9" t="s">
        <v>37587</v>
      </c>
      <c r="D3410" s="9" t="s">
        <v>37588</v>
      </c>
      <c r="E3410" s="9" t="s">
        <v>17740</v>
      </c>
      <c r="F3410" s="9" t="s">
        <v>37589</v>
      </c>
      <c r="G3410" s="9" t="s">
        <v>17740</v>
      </c>
      <c r="H3410" s="11" t="s">
        <v>5848</v>
      </c>
      <c r="I3410" s="11" t="s">
        <v>5847</v>
      </c>
      <c r="J3410" s="11" t="s">
        <v>5847</v>
      </c>
      <c r="K3410" s="9" t="s">
        <v>91</v>
      </c>
      <c r="L3410" s="9" t="s">
        <v>17759</v>
      </c>
      <c r="M3410" s="9" t="s">
        <v>18250</v>
      </c>
      <c r="N3410" s="9" t="s">
        <v>17746</v>
      </c>
      <c r="O3410" s="9" t="s">
        <v>20881</v>
      </c>
      <c r="P3410" s="9" t="s">
        <v>17748</v>
      </c>
      <c r="Q3410" s="11" t="s">
        <v>18147</v>
      </c>
      <c r="R3410" s="11" t="s">
        <v>18147</v>
      </c>
      <c r="S3410" s="11" t="s">
        <v>17750</v>
      </c>
    </row>
    <row r="3411" spans="1:19" x14ac:dyDescent="0.2">
      <c r="A3411" s="11" t="s">
        <v>37590</v>
      </c>
      <c r="B3411" s="9" t="s">
        <v>37591</v>
      </c>
      <c r="C3411" s="9" t="s">
        <v>37592</v>
      </c>
      <c r="D3411" s="9" t="s">
        <v>37593</v>
      </c>
      <c r="E3411" s="9" t="s">
        <v>17748</v>
      </c>
      <c r="F3411" s="9" t="s">
        <v>37594</v>
      </c>
      <c r="G3411" s="9" t="s">
        <v>17740</v>
      </c>
      <c r="H3411" s="11" t="s">
        <v>9592</v>
      </c>
      <c r="I3411" s="11" t="s">
        <v>9591</v>
      </c>
      <c r="J3411" s="11" t="s">
        <v>9591</v>
      </c>
      <c r="K3411" s="9" t="s">
        <v>3220</v>
      </c>
      <c r="L3411" s="9" t="s">
        <v>18242</v>
      </c>
      <c r="M3411" s="9" t="s">
        <v>17817</v>
      </c>
      <c r="N3411" s="9" t="s">
        <v>17746</v>
      </c>
      <c r="O3411" s="9" t="s">
        <v>3391</v>
      </c>
      <c r="P3411" s="9" t="s">
        <v>17748</v>
      </c>
      <c r="Q3411" s="11" t="s">
        <v>17858</v>
      </c>
      <c r="R3411" s="11" t="s">
        <v>17858</v>
      </c>
      <c r="S3411" s="11" t="s">
        <v>17750</v>
      </c>
    </row>
    <row r="3412" spans="1:19" x14ac:dyDescent="0.2">
      <c r="A3412" s="11" t="s">
        <v>37595</v>
      </c>
      <c r="B3412" s="9" t="s">
        <v>37596</v>
      </c>
      <c r="C3412" s="9" t="s">
        <v>37597</v>
      </c>
      <c r="D3412" s="9" t="s">
        <v>37598</v>
      </c>
      <c r="E3412" s="9" t="s">
        <v>17740</v>
      </c>
      <c r="F3412" s="9" t="s">
        <v>37599</v>
      </c>
      <c r="G3412" s="9" t="s">
        <v>17740</v>
      </c>
      <c r="H3412" s="11" t="s">
        <v>2662</v>
      </c>
      <c r="I3412" s="11" t="s">
        <v>2661</v>
      </c>
      <c r="J3412" s="11" t="s">
        <v>2661</v>
      </c>
      <c r="K3412" s="9" t="s">
        <v>37600</v>
      </c>
      <c r="L3412" s="9" t="s">
        <v>17759</v>
      </c>
      <c r="M3412" s="9" t="s">
        <v>17817</v>
      </c>
      <c r="N3412" s="9" t="s">
        <v>17746</v>
      </c>
      <c r="O3412" s="9" t="s">
        <v>17779</v>
      </c>
      <c r="P3412" s="9" t="s">
        <v>17748</v>
      </c>
      <c r="Q3412" s="11" t="s">
        <v>18584</v>
      </c>
      <c r="R3412" s="11" t="s">
        <v>18584</v>
      </c>
      <c r="S3412" s="11" t="s">
        <v>17750</v>
      </c>
    </row>
    <row r="3413" spans="1:19" x14ac:dyDescent="0.2">
      <c r="A3413" s="11" t="s">
        <v>37601</v>
      </c>
      <c r="B3413" s="9" t="s">
        <v>37602</v>
      </c>
      <c r="C3413" s="9" t="s">
        <v>37603</v>
      </c>
      <c r="D3413" s="9" t="s">
        <v>37604</v>
      </c>
      <c r="E3413" s="9" t="s">
        <v>17740</v>
      </c>
      <c r="F3413" s="9" t="s">
        <v>17741</v>
      </c>
      <c r="G3413" s="9" t="s">
        <v>17740</v>
      </c>
      <c r="H3413" s="11" t="s">
        <v>9236</v>
      </c>
      <c r="I3413" s="11" t="s">
        <v>17741</v>
      </c>
      <c r="J3413" s="11" t="s">
        <v>9236</v>
      </c>
      <c r="K3413" s="9" t="s">
        <v>30979</v>
      </c>
      <c r="L3413" s="9" t="s">
        <v>18959</v>
      </c>
      <c r="M3413" s="9" t="s">
        <v>17992</v>
      </c>
      <c r="N3413" s="9" t="s">
        <v>17746</v>
      </c>
      <c r="O3413" s="9" t="s">
        <v>20404</v>
      </c>
      <c r="P3413" s="9" t="s">
        <v>17748</v>
      </c>
      <c r="Q3413" s="11" t="s">
        <v>18798</v>
      </c>
      <c r="R3413" s="11" t="s">
        <v>18798</v>
      </c>
      <c r="S3413" s="11" t="s">
        <v>17750</v>
      </c>
    </row>
    <row r="3414" spans="1:19" x14ac:dyDescent="0.2">
      <c r="A3414" s="11" t="s">
        <v>37605</v>
      </c>
      <c r="B3414" s="9" t="s">
        <v>37606</v>
      </c>
      <c r="C3414" s="9" t="s">
        <v>37607</v>
      </c>
      <c r="D3414" s="9" t="s">
        <v>37608</v>
      </c>
      <c r="E3414" s="9" t="s">
        <v>17740</v>
      </c>
      <c r="F3414" s="9" t="s">
        <v>37609</v>
      </c>
      <c r="G3414" s="9" t="s">
        <v>17740</v>
      </c>
      <c r="H3414" s="11" t="s">
        <v>2691</v>
      </c>
      <c r="I3414" s="11" t="s">
        <v>2690</v>
      </c>
      <c r="J3414" s="11" t="s">
        <v>2690</v>
      </c>
      <c r="K3414" s="9" t="s">
        <v>17805</v>
      </c>
      <c r="L3414" s="9" t="s">
        <v>17744</v>
      </c>
      <c r="M3414" s="9" t="s">
        <v>17817</v>
      </c>
      <c r="N3414" s="9" t="s">
        <v>17746</v>
      </c>
      <c r="O3414" s="9" t="s">
        <v>20404</v>
      </c>
      <c r="P3414" s="9" t="s">
        <v>17748</v>
      </c>
      <c r="Q3414" s="11" t="s">
        <v>18440</v>
      </c>
      <c r="R3414" s="11" t="s">
        <v>18440</v>
      </c>
      <c r="S3414" s="11" t="s">
        <v>17750</v>
      </c>
    </row>
    <row r="3415" spans="1:19" x14ac:dyDescent="0.2">
      <c r="A3415" s="11" t="s">
        <v>37610</v>
      </c>
      <c r="B3415" s="9" t="s">
        <v>37611</v>
      </c>
      <c r="C3415" s="9" t="s">
        <v>37612</v>
      </c>
      <c r="D3415" s="9" t="s">
        <v>37613</v>
      </c>
      <c r="E3415" s="9" t="s">
        <v>17740</v>
      </c>
      <c r="F3415" s="9" t="s">
        <v>17741</v>
      </c>
      <c r="G3415" s="9" t="s">
        <v>17740</v>
      </c>
      <c r="H3415" s="11" t="s">
        <v>6847</v>
      </c>
      <c r="I3415" s="11" t="s">
        <v>6846</v>
      </c>
      <c r="J3415" s="11" t="s">
        <v>6846</v>
      </c>
      <c r="K3415" s="9" t="s">
        <v>19447</v>
      </c>
      <c r="L3415" s="9" t="s">
        <v>17759</v>
      </c>
      <c r="M3415" s="9" t="s">
        <v>17769</v>
      </c>
      <c r="N3415" s="9" t="s">
        <v>17746</v>
      </c>
      <c r="O3415" s="9" t="s">
        <v>21220</v>
      </c>
      <c r="P3415" s="9" t="s">
        <v>17748</v>
      </c>
      <c r="Q3415" s="11" t="s">
        <v>18678</v>
      </c>
      <c r="R3415" s="11" t="s">
        <v>18678</v>
      </c>
      <c r="S3415" s="11" t="s">
        <v>17750</v>
      </c>
    </row>
    <row r="3416" spans="1:19" x14ac:dyDescent="0.2">
      <c r="A3416" s="11" t="s">
        <v>37614</v>
      </c>
      <c r="B3416" s="9" t="s">
        <v>37615</v>
      </c>
      <c r="C3416" s="9" t="s">
        <v>37616</v>
      </c>
      <c r="D3416" s="9" t="s">
        <v>37617</v>
      </c>
      <c r="E3416" s="9" t="s">
        <v>17740</v>
      </c>
      <c r="F3416" s="9" t="s">
        <v>17741</v>
      </c>
      <c r="G3416" s="9" t="s">
        <v>17740</v>
      </c>
      <c r="H3416" s="11" t="s">
        <v>37618</v>
      </c>
      <c r="I3416" s="11" t="s">
        <v>17741</v>
      </c>
      <c r="J3416" s="11" t="s">
        <v>37618</v>
      </c>
      <c r="K3416" s="9" t="s">
        <v>37619</v>
      </c>
      <c r="L3416" s="9" t="s">
        <v>17759</v>
      </c>
      <c r="M3416" s="9" t="s">
        <v>17741</v>
      </c>
      <c r="N3416" s="9" t="s">
        <v>17746</v>
      </c>
      <c r="O3416" s="9" t="s">
        <v>37620</v>
      </c>
      <c r="P3416" s="9" t="s">
        <v>17748</v>
      </c>
      <c r="Q3416" s="11" t="s">
        <v>18922</v>
      </c>
      <c r="R3416" s="11" t="s">
        <v>18922</v>
      </c>
      <c r="S3416" s="11" t="s">
        <v>17750</v>
      </c>
    </row>
    <row r="3417" spans="1:19" x14ac:dyDescent="0.2">
      <c r="A3417" s="11" t="s">
        <v>37621</v>
      </c>
      <c r="B3417" s="9" t="s">
        <v>37622</v>
      </c>
      <c r="C3417" s="9" t="s">
        <v>37623</v>
      </c>
      <c r="D3417" s="9" t="s">
        <v>37624</v>
      </c>
      <c r="E3417" s="9" t="s">
        <v>17740</v>
      </c>
      <c r="F3417" s="9" t="s">
        <v>37625</v>
      </c>
      <c r="G3417" s="9" t="s">
        <v>17740</v>
      </c>
      <c r="H3417" s="11" t="s">
        <v>5580</v>
      </c>
      <c r="I3417" s="11" t="s">
        <v>5579</v>
      </c>
      <c r="J3417" s="11" t="s">
        <v>5579</v>
      </c>
      <c r="K3417" s="9" t="s">
        <v>35407</v>
      </c>
      <c r="L3417" s="9" t="s">
        <v>18123</v>
      </c>
      <c r="M3417" s="9" t="s">
        <v>24542</v>
      </c>
      <c r="N3417" s="9" t="s">
        <v>17746</v>
      </c>
      <c r="O3417" s="9" t="s">
        <v>17977</v>
      </c>
      <c r="P3417" s="9" t="s">
        <v>17748</v>
      </c>
      <c r="Q3417" s="11" t="s">
        <v>18364</v>
      </c>
      <c r="R3417" s="11" t="s">
        <v>18364</v>
      </c>
      <c r="S3417" s="11" t="s">
        <v>17750</v>
      </c>
    </row>
    <row r="3418" spans="1:19" x14ac:dyDescent="0.2">
      <c r="A3418" s="11" t="s">
        <v>37626</v>
      </c>
      <c r="B3418" s="9" t="s">
        <v>37627</v>
      </c>
      <c r="C3418" s="9" t="s">
        <v>37628</v>
      </c>
      <c r="D3418" s="9" t="s">
        <v>37629</v>
      </c>
      <c r="E3418" s="9" t="s">
        <v>17740</v>
      </c>
      <c r="F3418" s="9" t="s">
        <v>17741</v>
      </c>
      <c r="G3418" s="9" t="s">
        <v>17740</v>
      </c>
      <c r="H3418" s="11" t="s">
        <v>37630</v>
      </c>
      <c r="I3418" s="11" t="s">
        <v>37631</v>
      </c>
      <c r="J3418" s="11" t="s">
        <v>37631</v>
      </c>
      <c r="K3418" s="9" t="s">
        <v>18635</v>
      </c>
      <c r="L3418" s="9" t="s">
        <v>17759</v>
      </c>
      <c r="M3418" s="9" t="s">
        <v>19032</v>
      </c>
      <c r="N3418" s="9" t="s">
        <v>17746</v>
      </c>
      <c r="O3418" s="9" t="s">
        <v>19939</v>
      </c>
      <c r="P3418" s="9" t="s">
        <v>17748</v>
      </c>
      <c r="Q3418" s="11" t="s">
        <v>17780</v>
      </c>
      <c r="R3418" s="11" t="s">
        <v>17780</v>
      </c>
      <c r="S3418" s="11" t="s">
        <v>17750</v>
      </c>
    </row>
    <row r="3419" spans="1:19" x14ac:dyDescent="0.2">
      <c r="A3419" s="11" t="s">
        <v>37632</v>
      </c>
      <c r="B3419" s="9" t="s">
        <v>37633</v>
      </c>
      <c r="C3419" s="9" t="s">
        <v>37634</v>
      </c>
      <c r="D3419" s="9" t="s">
        <v>37635</v>
      </c>
      <c r="E3419" s="9" t="s">
        <v>17740</v>
      </c>
      <c r="F3419" s="9" t="s">
        <v>37636</v>
      </c>
      <c r="G3419" s="9" t="s">
        <v>17740</v>
      </c>
      <c r="H3419" s="11" t="s">
        <v>37637</v>
      </c>
      <c r="I3419" s="11" t="s">
        <v>37638</v>
      </c>
      <c r="J3419" s="11" t="s">
        <v>37638</v>
      </c>
      <c r="K3419" s="9" t="s">
        <v>776</v>
      </c>
      <c r="L3419" s="9" t="s">
        <v>17759</v>
      </c>
      <c r="M3419" s="9" t="s">
        <v>37639</v>
      </c>
      <c r="N3419" s="9" t="s">
        <v>17746</v>
      </c>
      <c r="O3419" s="9" t="s">
        <v>17882</v>
      </c>
      <c r="P3419" s="9" t="s">
        <v>17748</v>
      </c>
      <c r="Q3419" s="11" t="s">
        <v>18272</v>
      </c>
      <c r="R3419" s="11" t="s">
        <v>18272</v>
      </c>
      <c r="S3419" s="11" t="s">
        <v>17750</v>
      </c>
    </row>
    <row r="3420" spans="1:19" x14ac:dyDescent="0.2">
      <c r="A3420" s="11" t="s">
        <v>37640</v>
      </c>
      <c r="B3420" s="9" t="s">
        <v>37641</v>
      </c>
      <c r="C3420" s="9" t="s">
        <v>37642</v>
      </c>
      <c r="D3420" s="9" t="s">
        <v>37643</v>
      </c>
      <c r="E3420" s="9" t="s">
        <v>17740</v>
      </c>
      <c r="F3420" s="9" t="s">
        <v>37636</v>
      </c>
      <c r="G3420" s="9" t="s">
        <v>17740</v>
      </c>
      <c r="H3420" s="11" t="s">
        <v>37644</v>
      </c>
      <c r="I3420" s="11" t="s">
        <v>37645</v>
      </c>
      <c r="J3420" s="11" t="s">
        <v>37644</v>
      </c>
      <c r="K3420" s="9" t="s">
        <v>776</v>
      </c>
      <c r="L3420" s="9" t="s">
        <v>17759</v>
      </c>
      <c r="M3420" s="9" t="s">
        <v>37646</v>
      </c>
      <c r="N3420" s="9" t="s">
        <v>17746</v>
      </c>
      <c r="O3420" s="9" t="s">
        <v>17882</v>
      </c>
      <c r="P3420" s="9" t="s">
        <v>17748</v>
      </c>
      <c r="Q3420" s="11" t="s">
        <v>18272</v>
      </c>
      <c r="R3420" s="11" t="s">
        <v>18272</v>
      </c>
      <c r="S3420" s="11" t="s">
        <v>17750</v>
      </c>
    </row>
    <row r="3421" spans="1:19" x14ac:dyDescent="0.2">
      <c r="A3421" s="11" t="s">
        <v>37647</v>
      </c>
      <c r="B3421" s="9" t="s">
        <v>37648</v>
      </c>
      <c r="C3421" s="9" t="s">
        <v>37649</v>
      </c>
      <c r="D3421" s="9" t="s">
        <v>37650</v>
      </c>
      <c r="E3421" s="9" t="s">
        <v>17740</v>
      </c>
      <c r="F3421" s="9" t="s">
        <v>37651</v>
      </c>
      <c r="G3421" s="9" t="s">
        <v>17740</v>
      </c>
      <c r="H3421" s="11" t="s">
        <v>37652</v>
      </c>
      <c r="I3421" s="11" t="s">
        <v>37653</v>
      </c>
      <c r="J3421" s="11" t="s">
        <v>37653</v>
      </c>
      <c r="K3421" s="9" t="s">
        <v>37654</v>
      </c>
      <c r="L3421" s="9" t="s">
        <v>17759</v>
      </c>
      <c r="M3421" s="9" t="s">
        <v>17760</v>
      </c>
      <c r="N3421" s="9" t="s">
        <v>17746</v>
      </c>
      <c r="O3421" s="9" t="s">
        <v>17818</v>
      </c>
      <c r="P3421" s="9" t="s">
        <v>17748</v>
      </c>
      <c r="Q3421" s="11" t="s">
        <v>17762</v>
      </c>
      <c r="R3421" s="11" t="s">
        <v>17762</v>
      </c>
      <c r="S3421" s="11" t="s">
        <v>17750</v>
      </c>
    </row>
    <row r="3422" spans="1:19" x14ac:dyDescent="0.2">
      <c r="A3422" s="11" t="s">
        <v>37655</v>
      </c>
      <c r="B3422" s="9" t="s">
        <v>37656</v>
      </c>
      <c r="C3422" s="9" t="s">
        <v>37657</v>
      </c>
      <c r="D3422" s="9" t="s">
        <v>37658</v>
      </c>
      <c r="E3422" s="9" t="s">
        <v>17740</v>
      </c>
      <c r="F3422" s="9" t="s">
        <v>37659</v>
      </c>
      <c r="G3422" s="9" t="s">
        <v>17740</v>
      </c>
      <c r="H3422" s="11" t="s">
        <v>37660</v>
      </c>
      <c r="I3422" s="11" t="s">
        <v>37661</v>
      </c>
      <c r="J3422" s="11" t="s">
        <v>37661</v>
      </c>
      <c r="K3422" s="9" t="s">
        <v>22394</v>
      </c>
      <c r="L3422" s="9" t="s">
        <v>17744</v>
      </c>
      <c r="M3422" s="9" t="s">
        <v>37662</v>
      </c>
      <c r="N3422" s="9" t="s">
        <v>17746</v>
      </c>
      <c r="O3422" s="9" t="s">
        <v>37663</v>
      </c>
      <c r="P3422" s="9" t="s">
        <v>17748</v>
      </c>
      <c r="Q3422" s="11" t="s">
        <v>17819</v>
      </c>
      <c r="R3422" s="11" t="s">
        <v>17819</v>
      </c>
      <c r="S3422" s="11" t="s">
        <v>17750</v>
      </c>
    </row>
    <row r="3423" spans="1:19" x14ac:dyDescent="0.2">
      <c r="A3423" s="11" t="s">
        <v>37664</v>
      </c>
      <c r="B3423" s="9" t="s">
        <v>37665</v>
      </c>
      <c r="C3423" s="9" t="s">
        <v>37666</v>
      </c>
      <c r="D3423" s="9" t="s">
        <v>37667</v>
      </c>
      <c r="E3423" s="9" t="s">
        <v>17748</v>
      </c>
      <c r="F3423" s="9" t="s">
        <v>37668</v>
      </c>
      <c r="G3423" s="9" t="s">
        <v>17740</v>
      </c>
      <c r="H3423" s="11" t="s">
        <v>37669</v>
      </c>
      <c r="I3423" s="11" t="s">
        <v>37670</v>
      </c>
      <c r="J3423" s="11" t="s">
        <v>37670</v>
      </c>
      <c r="K3423" s="9" t="s">
        <v>18570</v>
      </c>
      <c r="L3423" s="9" t="s">
        <v>17744</v>
      </c>
      <c r="M3423" s="9" t="s">
        <v>17769</v>
      </c>
      <c r="N3423" s="9" t="s">
        <v>17746</v>
      </c>
      <c r="O3423" s="9" t="s">
        <v>19800</v>
      </c>
      <c r="P3423" s="9" t="s">
        <v>17748</v>
      </c>
      <c r="Q3423" s="11" t="s">
        <v>17762</v>
      </c>
      <c r="R3423" s="11" t="s">
        <v>17762</v>
      </c>
      <c r="S3423" s="11" t="s">
        <v>17750</v>
      </c>
    </row>
    <row r="3424" spans="1:19" x14ac:dyDescent="0.2">
      <c r="A3424" s="11" t="s">
        <v>37671</v>
      </c>
      <c r="B3424" s="9" t="s">
        <v>37672</v>
      </c>
      <c r="C3424" s="9" t="s">
        <v>37673</v>
      </c>
      <c r="D3424" s="9" t="s">
        <v>37674</v>
      </c>
      <c r="E3424" s="9" t="s">
        <v>17748</v>
      </c>
      <c r="F3424" s="9" t="s">
        <v>37675</v>
      </c>
      <c r="G3424" s="9" t="s">
        <v>17740</v>
      </c>
      <c r="H3424" s="11" t="s">
        <v>37676</v>
      </c>
      <c r="I3424" s="11" t="s">
        <v>37677</v>
      </c>
      <c r="J3424" s="11" t="s">
        <v>37677</v>
      </c>
      <c r="K3424" s="9" t="s">
        <v>1808</v>
      </c>
      <c r="L3424" s="9" t="s">
        <v>18242</v>
      </c>
      <c r="M3424" s="9" t="s">
        <v>18065</v>
      </c>
      <c r="N3424" s="9" t="s">
        <v>17746</v>
      </c>
      <c r="O3424" s="9" t="s">
        <v>18481</v>
      </c>
      <c r="P3424" s="9" t="s">
        <v>17748</v>
      </c>
      <c r="Q3424" s="11" t="s">
        <v>17762</v>
      </c>
      <c r="R3424" s="11" t="s">
        <v>17762</v>
      </c>
      <c r="S3424" s="11" t="s">
        <v>17750</v>
      </c>
    </row>
    <row r="3425" spans="1:19" x14ac:dyDescent="0.2">
      <c r="A3425" s="11" t="s">
        <v>37678</v>
      </c>
      <c r="B3425" s="9" t="s">
        <v>37679</v>
      </c>
      <c r="C3425" s="9" t="s">
        <v>37680</v>
      </c>
      <c r="D3425" s="9" t="s">
        <v>37681</v>
      </c>
      <c r="E3425" s="9" t="s">
        <v>17740</v>
      </c>
      <c r="F3425" s="9" t="s">
        <v>17741</v>
      </c>
      <c r="G3425" s="9" t="s">
        <v>17740</v>
      </c>
      <c r="H3425" s="11" t="s">
        <v>2668</v>
      </c>
      <c r="I3425" s="11" t="s">
        <v>2667</v>
      </c>
      <c r="J3425" s="11" t="s">
        <v>2667</v>
      </c>
      <c r="K3425" s="9" t="s">
        <v>37682</v>
      </c>
      <c r="L3425" s="9" t="s">
        <v>17744</v>
      </c>
      <c r="M3425" s="9" t="s">
        <v>37683</v>
      </c>
      <c r="N3425" s="9" t="s">
        <v>17746</v>
      </c>
      <c r="O3425" s="9" t="s">
        <v>18481</v>
      </c>
      <c r="P3425" s="9" t="s">
        <v>17748</v>
      </c>
      <c r="Q3425" s="11" t="s">
        <v>23268</v>
      </c>
      <c r="R3425" s="11" t="s">
        <v>23268</v>
      </c>
      <c r="S3425" s="11" t="s">
        <v>17750</v>
      </c>
    </row>
    <row r="3426" spans="1:19" x14ac:dyDescent="0.2">
      <c r="A3426" s="11" t="s">
        <v>37684</v>
      </c>
      <c r="B3426" s="9" t="s">
        <v>37685</v>
      </c>
      <c r="C3426" s="9" t="s">
        <v>37686</v>
      </c>
      <c r="D3426" s="9" t="s">
        <v>37687</v>
      </c>
      <c r="E3426" s="9" t="s">
        <v>17748</v>
      </c>
      <c r="F3426" s="9" t="s">
        <v>37688</v>
      </c>
      <c r="G3426" s="9" t="s">
        <v>17740</v>
      </c>
      <c r="H3426" s="11" t="s">
        <v>7299</v>
      </c>
      <c r="I3426" s="11" t="s">
        <v>7298</v>
      </c>
      <c r="J3426" s="11" t="s">
        <v>7298</v>
      </c>
      <c r="K3426" s="9" t="s">
        <v>37689</v>
      </c>
      <c r="L3426" s="9" t="s">
        <v>18439</v>
      </c>
      <c r="M3426" s="9" t="s">
        <v>17760</v>
      </c>
      <c r="N3426" s="9" t="s">
        <v>17746</v>
      </c>
      <c r="O3426" s="9" t="s">
        <v>21409</v>
      </c>
      <c r="P3426" s="9" t="s">
        <v>17748</v>
      </c>
      <c r="Q3426" s="11" t="s">
        <v>18798</v>
      </c>
      <c r="R3426" s="11" t="s">
        <v>18798</v>
      </c>
      <c r="S3426" s="11" t="s">
        <v>17750</v>
      </c>
    </row>
    <row r="3427" spans="1:19" x14ac:dyDescent="0.2">
      <c r="A3427" s="11" t="s">
        <v>37690</v>
      </c>
      <c r="B3427" s="9" t="s">
        <v>37691</v>
      </c>
      <c r="C3427" s="9" t="s">
        <v>37692</v>
      </c>
      <c r="D3427" s="9" t="s">
        <v>37693</v>
      </c>
      <c r="E3427" s="9" t="s">
        <v>17740</v>
      </c>
      <c r="F3427" s="9" t="s">
        <v>37694</v>
      </c>
      <c r="G3427" s="9" t="s">
        <v>17740</v>
      </c>
      <c r="H3427" s="11" t="s">
        <v>5755</v>
      </c>
      <c r="I3427" s="11" t="s">
        <v>5754</v>
      </c>
      <c r="J3427" s="11" t="s">
        <v>5754</v>
      </c>
      <c r="K3427" s="9" t="s">
        <v>5756</v>
      </c>
      <c r="L3427" s="9" t="s">
        <v>17967</v>
      </c>
      <c r="M3427" s="9" t="s">
        <v>17760</v>
      </c>
      <c r="N3427" s="9" t="s">
        <v>17746</v>
      </c>
      <c r="O3427" s="9" t="s">
        <v>23986</v>
      </c>
      <c r="P3427" s="9" t="s">
        <v>17748</v>
      </c>
      <c r="Q3427" s="11" t="s">
        <v>18080</v>
      </c>
      <c r="R3427" s="11" t="s">
        <v>18080</v>
      </c>
      <c r="S3427" s="11" t="s">
        <v>17750</v>
      </c>
    </row>
    <row r="3428" spans="1:19" x14ac:dyDescent="0.2">
      <c r="A3428" s="11" t="s">
        <v>37695</v>
      </c>
      <c r="B3428" s="9" t="s">
        <v>37696</v>
      </c>
      <c r="C3428" s="9" t="s">
        <v>37697</v>
      </c>
      <c r="D3428" s="9" t="s">
        <v>37698</v>
      </c>
      <c r="E3428" s="9" t="s">
        <v>17748</v>
      </c>
      <c r="F3428" s="9" t="s">
        <v>37699</v>
      </c>
      <c r="G3428" s="9" t="s">
        <v>17740</v>
      </c>
      <c r="H3428" s="11" t="s">
        <v>6071</v>
      </c>
      <c r="I3428" s="11" t="s">
        <v>6070</v>
      </c>
      <c r="J3428" s="11" t="s">
        <v>6070</v>
      </c>
      <c r="K3428" s="9" t="s">
        <v>22330</v>
      </c>
      <c r="L3428" s="9" t="s">
        <v>20359</v>
      </c>
      <c r="M3428" s="9" t="s">
        <v>18065</v>
      </c>
      <c r="N3428" s="9" t="s">
        <v>17746</v>
      </c>
      <c r="O3428" s="9" t="s">
        <v>18481</v>
      </c>
      <c r="P3428" s="9" t="s">
        <v>17748</v>
      </c>
      <c r="Q3428" s="11" t="s">
        <v>18147</v>
      </c>
      <c r="R3428" s="11" t="s">
        <v>18147</v>
      </c>
      <c r="S3428" s="11" t="s">
        <v>17750</v>
      </c>
    </row>
    <row r="3429" spans="1:19" x14ac:dyDescent="0.2">
      <c r="A3429" s="11" t="s">
        <v>37700</v>
      </c>
      <c r="B3429" s="9" t="s">
        <v>37701</v>
      </c>
      <c r="C3429" s="9" t="s">
        <v>37702</v>
      </c>
      <c r="D3429" s="9" t="s">
        <v>37703</v>
      </c>
      <c r="E3429" s="9" t="s">
        <v>17748</v>
      </c>
      <c r="F3429" s="9" t="s">
        <v>37704</v>
      </c>
      <c r="G3429" s="9" t="s">
        <v>17740</v>
      </c>
      <c r="H3429" s="11" t="s">
        <v>37705</v>
      </c>
      <c r="I3429" s="11" t="s">
        <v>37706</v>
      </c>
      <c r="J3429" s="11" t="s">
        <v>37705</v>
      </c>
      <c r="K3429" s="9" t="s">
        <v>91</v>
      </c>
      <c r="L3429" s="9" t="s">
        <v>18001</v>
      </c>
      <c r="M3429" s="9" t="s">
        <v>17760</v>
      </c>
      <c r="N3429" s="9" t="s">
        <v>17746</v>
      </c>
      <c r="O3429" s="9" t="s">
        <v>19740</v>
      </c>
      <c r="P3429" s="9" t="s">
        <v>17748</v>
      </c>
      <c r="Q3429" s="11" t="s">
        <v>17900</v>
      </c>
      <c r="R3429" s="11" t="s">
        <v>17900</v>
      </c>
      <c r="S3429" s="11" t="s">
        <v>17750</v>
      </c>
    </row>
    <row r="3430" spans="1:19" x14ac:dyDescent="0.2">
      <c r="A3430" s="11" t="s">
        <v>37707</v>
      </c>
      <c r="B3430" s="9" t="s">
        <v>37708</v>
      </c>
      <c r="C3430" s="9" t="s">
        <v>37709</v>
      </c>
      <c r="D3430" s="9" t="s">
        <v>37710</v>
      </c>
      <c r="E3430" s="9" t="s">
        <v>17740</v>
      </c>
      <c r="F3430" s="9" t="s">
        <v>17741</v>
      </c>
      <c r="G3430" s="9" t="s">
        <v>17740</v>
      </c>
      <c r="H3430" s="11" t="s">
        <v>2695</v>
      </c>
      <c r="I3430" s="11" t="s">
        <v>2694</v>
      </c>
      <c r="J3430" s="11" t="s">
        <v>2694</v>
      </c>
      <c r="K3430" s="9" t="s">
        <v>37711</v>
      </c>
      <c r="L3430" s="9" t="s">
        <v>17744</v>
      </c>
      <c r="M3430" s="9" t="s">
        <v>37712</v>
      </c>
      <c r="N3430" s="9" t="s">
        <v>17746</v>
      </c>
      <c r="O3430" s="9" t="s">
        <v>1535</v>
      </c>
      <c r="P3430" s="9" t="s">
        <v>17748</v>
      </c>
      <c r="Q3430" s="11" t="s">
        <v>18341</v>
      </c>
      <c r="R3430" s="11" t="s">
        <v>18341</v>
      </c>
      <c r="S3430" s="11" t="s">
        <v>17750</v>
      </c>
    </row>
    <row r="3431" spans="1:19" x14ac:dyDescent="0.2">
      <c r="A3431" s="11" t="s">
        <v>37713</v>
      </c>
      <c r="B3431" s="9" t="s">
        <v>37714</v>
      </c>
      <c r="C3431" s="9" t="s">
        <v>37715</v>
      </c>
      <c r="D3431" s="9" t="s">
        <v>37716</v>
      </c>
      <c r="E3431" s="9" t="s">
        <v>17740</v>
      </c>
      <c r="F3431" s="9" t="s">
        <v>37717</v>
      </c>
      <c r="G3431" s="9" t="s">
        <v>17740</v>
      </c>
      <c r="H3431" s="11" t="s">
        <v>37718</v>
      </c>
      <c r="I3431" s="11" t="s">
        <v>37719</v>
      </c>
      <c r="J3431" s="11" t="s">
        <v>37719</v>
      </c>
      <c r="K3431" s="9" t="s">
        <v>31234</v>
      </c>
      <c r="L3431" s="9" t="s">
        <v>18158</v>
      </c>
      <c r="M3431" s="9" t="s">
        <v>37720</v>
      </c>
      <c r="N3431" s="9" t="s">
        <v>17746</v>
      </c>
      <c r="O3431" s="9" t="s">
        <v>19470</v>
      </c>
      <c r="P3431" s="9" t="s">
        <v>17748</v>
      </c>
      <c r="Q3431" s="11" t="s">
        <v>18341</v>
      </c>
      <c r="R3431" s="11" t="s">
        <v>18341</v>
      </c>
      <c r="S3431" s="11" t="s">
        <v>17750</v>
      </c>
    </row>
    <row r="3432" spans="1:19" x14ac:dyDescent="0.2">
      <c r="A3432" s="11" t="s">
        <v>37721</v>
      </c>
      <c r="B3432" s="9" t="s">
        <v>37722</v>
      </c>
      <c r="C3432" s="9" t="s">
        <v>37723</v>
      </c>
      <c r="D3432" s="9" t="s">
        <v>37724</v>
      </c>
      <c r="E3432" s="9" t="s">
        <v>17740</v>
      </c>
      <c r="F3432" s="9" t="s">
        <v>37725</v>
      </c>
      <c r="G3432" s="9" t="s">
        <v>17740</v>
      </c>
      <c r="H3432" s="11" t="s">
        <v>37726</v>
      </c>
      <c r="I3432" s="11" t="s">
        <v>37727</v>
      </c>
      <c r="J3432" s="11" t="s">
        <v>37727</v>
      </c>
      <c r="K3432" s="9" t="s">
        <v>23335</v>
      </c>
      <c r="L3432" s="9" t="s">
        <v>18242</v>
      </c>
      <c r="M3432" s="9" t="s">
        <v>20280</v>
      </c>
      <c r="N3432" s="9" t="s">
        <v>17746</v>
      </c>
      <c r="O3432" s="9" t="s">
        <v>19470</v>
      </c>
      <c r="P3432" s="9" t="s">
        <v>17748</v>
      </c>
      <c r="Q3432" s="11" t="s">
        <v>17792</v>
      </c>
      <c r="R3432" s="11" t="s">
        <v>17792</v>
      </c>
      <c r="S3432" s="11" t="s">
        <v>17750</v>
      </c>
    </row>
    <row r="3433" spans="1:19" x14ac:dyDescent="0.2">
      <c r="A3433" s="11" t="s">
        <v>37728</v>
      </c>
      <c r="B3433" s="9" t="s">
        <v>37729</v>
      </c>
      <c r="C3433" s="9" t="s">
        <v>37730</v>
      </c>
      <c r="D3433" s="9" t="s">
        <v>37731</v>
      </c>
      <c r="E3433" s="9" t="s">
        <v>17748</v>
      </c>
      <c r="F3433" s="9" t="s">
        <v>37732</v>
      </c>
      <c r="G3433" s="9" t="s">
        <v>17740</v>
      </c>
      <c r="H3433" s="11" t="s">
        <v>37733</v>
      </c>
      <c r="I3433" s="11" t="s">
        <v>37734</v>
      </c>
      <c r="J3433" s="11" t="s">
        <v>37733</v>
      </c>
      <c r="K3433" s="9" t="s">
        <v>291</v>
      </c>
      <c r="L3433" s="9" t="s">
        <v>18130</v>
      </c>
      <c r="M3433" s="9" t="s">
        <v>17769</v>
      </c>
      <c r="N3433" s="9" t="s">
        <v>17746</v>
      </c>
      <c r="O3433" s="9" t="s">
        <v>18035</v>
      </c>
      <c r="P3433" s="9" t="s">
        <v>17748</v>
      </c>
      <c r="Q3433" s="11" t="s">
        <v>17900</v>
      </c>
      <c r="R3433" s="11" t="s">
        <v>17900</v>
      </c>
      <c r="S3433" s="11" t="s">
        <v>17750</v>
      </c>
    </row>
    <row r="3434" spans="1:19" x14ac:dyDescent="0.2">
      <c r="A3434" s="11" t="s">
        <v>37735</v>
      </c>
      <c r="B3434" s="9" t="s">
        <v>37736</v>
      </c>
      <c r="C3434" s="9" t="s">
        <v>37737</v>
      </c>
      <c r="D3434" s="9" t="s">
        <v>37738</v>
      </c>
      <c r="E3434" s="9" t="s">
        <v>17748</v>
      </c>
      <c r="F3434" s="9" t="s">
        <v>37739</v>
      </c>
      <c r="G3434" s="9" t="s">
        <v>17740</v>
      </c>
      <c r="H3434" s="11" t="s">
        <v>11448</v>
      </c>
      <c r="I3434" s="11" t="s">
        <v>11447</v>
      </c>
      <c r="J3434" s="11" t="s">
        <v>11447</v>
      </c>
      <c r="K3434" s="9" t="s">
        <v>91</v>
      </c>
      <c r="L3434" s="9" t="s">
        <v>18001</v>
      </c>
      <c r="M3434" s="9" t="s">
        <v>18289</v>
      </c>
      <c r="N3434" s="9" t="s">
        <v>17746</v>
      </c>
      <c r="O3434" s="9" t="s">
        <v>18035</v>
      </c>
      <c r="P3434" s="9" t="s">
        <v>17748</v>
      </c>
      <c r="Q3434" s="11" t="s">
        <v>17762</v>
      </c>
      <c r="R3434" s="11" t="s">
        <v>17762</v>
      </c>
      <c r="S3434" s="11" t="s">
        <v>17750</v>
      </c>
    </row>
    <row r="3435" spans="1:19" x14ac:dyDescent="0.2">
      <c r="A3435" s="11" t="s">
        <v>37740</v>
      </c>
      <c r="B3435" s="9" t="s">
        <v>37741</v>
      </c>
      <c r="C3435" s="9" t="s">
        <v>37742</v>
      </c>
      <c r="D3435" s="9" t="s">
        <v>37743</v>
      </c>
      <c r="E3435" s="9" t="s">
        <v>17740</v>
      </c>
      <c r="F3435" s="9" t="s">
        <v>37744</v>
      </c>
      <c r="G3435" s="9" t="s">
        <v>17740</v>
      </c>
      <c r="H3435" s="11" t="s">
        <v>37745</v>
      </c>
      <c r="I3435" s="11" t="s">
        <v>37746</v>
      </c>
      <c r="J3435" s="11" t="s">
        <v>37746</v>
      </c>
      <c r="K3435" s="9" t="s">
        <v>37747</v>
      </c>
      <c r="L3435" s="9" t="s">
        <v>17759</v>
      </c>
      <c r="M3435" s="9" t="s">
        <v>17760</v>
      </c>
      <c r="N3435" s="9" t="s">
        <v>17746</v>
      </c>
      <c r="O3435" s="9" t="s">
        <v>3524</v>
      </c>
      <c r="P3435" s="9" t="s">
        <v>17748</v>
      </c>
      <c r="Q3435" s="11" t="s">
        <v>18433</v>
      </c>
      <c r="R3435" s="11" t="s">
        <v>18433</v>
      </c>
      <c r="S3435" s="11" t="s">
        <v>17750</v>
      </c>
    </row>
    <row r="3436" spans="1:19" x14ac:dyDescent="0.2">
      <c r="A3436" s="11" t="s">
        <v>37748</v>
      </c>
      <c r="B3436" s="9" t="s">
        <v>37749</v>
      </c>
      <c r="C3436" s="9" t="s">
        <v>37750</v>
      </c>
      <c r="D3436" s="9" t="s">
        <v>37751</v>
      </c>
      <c r="E3436" s="9" t="s">
        <v>17748</v>
      </c>
      <c r="F3436" s="9" t="s">
        <v>37752</v>
      </c>
      <c r="G3436" s="9" t="s">
        <v>17740</v>
      </c>
      <c r="H3436" s="11" t="s">
        <v>15445</v>
      </c>
      <c r="I3436" s="11" t="s">
        <v>17741</v>
      </c>
      <c r="J3436" s="11" t="s">
        <v>17741</v>
      </c>
      <c r="K3436" s="9" t="s">
        <v>37753</v>
      </c>
      <c r="L3436" s="9" t="s">
        <v>18959</v>
      </c>
      <c r="M3436" s="9" t="s">
        <v>21727</v>
      </c>
      <c r="N3436" s="9" t="s">
        <v>17746</v>
      </c>
      <c r="O3436" s="9" t="s">
        <v>17779</v>
      </c>
      <c r="P3436" s="9" t="s">
        <v>17748</v>
      </c>
      <c r="Q3436" s="11" t="s">
        <v>17900</v>
      </c>
      <c r="R3436" s="11" t="s">
        <v>17900</v>
      </c>
      <c r="S3436" s="11" t="s">
        <v>17750</v>
      </c>
    </row>
    <row r="3437" spans="1:19" x14ac:dyDescent="0.2">
      <c r="A3437" s="11" t="s">
        <v>37754</v>
      </c>
      <c r="B3437" s="9" t="s">
        <v>37755</v>
      </c>
      <c r="C3437" s="9" t="s">
        <v>37756</v>
      </c>
      <c r="D3437" s="9" t="s">
        <v>37757</v>
      </c>
      <c r="E3437" s="9" t="s">
        <v>17740</v>
      </c>
      <c r="F3437" s="9" t="s">
        <v>17741</v>
      </c>
      <c r="G3437" s="9" t="s">
        <v>17740</v>
      </c>
      <c r="H3437" s="11" t="s">
        <v>17741</v>
      </c>
      <c r="I3437" s="11" t="s">
        <v>8824</v>
      </c>
      <c r="J3437" s="11" t="s">
        <v>8824</v>
      </c>
      <c r="K3437" s="9" t="s">
        <v>19057</v>
      </c>
      <c r="L3437" s="9" t="s">
        <v>20446</v>
      </c>
      <c r="M3437" s="9" t="s">
        <v>17760</v>
      </c>
      <c r="N3437" s="9" t="s">
        <v>17746</v>
      </c>
      <c r="O3437" s="9" t="s">
        <v>17993</v>
      </c>
      <c r="P3437" s="9" t="s">
        <v>17748</v>
      </c>
      <c r="Q3437" s="11" t="s">
        <v>21569</v>
      </c>
      <c r="R3437" s="11" t="s">
        <v>21569</v>
      </c>
      <c r="S3437" s="11" t="s">
        <v>17750</v>
      </c>
    </row>
    <row r="3438" spans="1:19" x14ac:dyDescent="0.2">
      <c r="A3438" s="11" t="s">
        <v>37758</v>
      </c>
      <c r="B3438" s="9" t="s">
        <v>37759</v>
      </c>
      <c r="C3438" s="9" t="s">
        <v>37760</v>
      </c>
      <c r="D3438" s="9" t="s">
        <v>37761</v>
      </c>
      <c r="E3438" s="9" t="s">
        <v>17740</v>
      </c>
      <c r="F3438" s="9" t="s">
        <v>37762</v>
      </c>
      <c r="G3438" s="9" t="s">
        <v>17740</v>
      </c>
      <c r="H3438" s="11" t="s">
        <v>17741</v>
      </c>
      <c r="I3438" s="11" t="s">
        <v>37763</v>
      </c>
      <c r="J3438" s="11" t="s">
        <v>37763</v>
      </c>
      <c r="K3438" s="9" t="s">
        <v>37764</v>
      </c>
      <c r="L3438" s="9" t="s">
        <v>17759</v>
      </c>
      <c r="M3438" s="9" t="s">
        <v>17760</v>
      </c>
      <c r="N3438" s="9" t="s">
        <v>17746</v>
      </c>
      <c r="O3438" s="9" t="s">
        <v>17800</v>
      </c>
      <c r="P3438" s="9" t="s">
        <v>17748</v>
      </c>
      <c r="Q3438" s="11" t="s">
        <v>17849</v>
      </c>
      <c r="R3438" s="11" t="s">
        <v>17849</v>
      </c>
      <c r="S3438" s="11" t="s">
        <v>17750</v>
      </c>
    </row>
    <row r="3439" spans="1:19" x14ac:dyDescent="0.2">
      <c r="A3439" s="11" t="s">
        <v>37765</v>
      </c>
      <c r="B3439" s="9" t="s">
        <v>37766</v>
      </c>
      <c r="C3439" s="9" t="s">
        <v>37767</v>
      </c>
      <c r="D3439" s="9" t="s">
        <v>37768</v>
      </c>
      <c r="E3439" s="9" t="s">
        <v>17740</v>
      </c>
      <c r="F3439" s="9" t="s">
        <v>17741</v>
      </c>
      <c r="G3439" s="9" t="s">
        <v>17740</v>
      </c>
      <c r="H3439" s="11" t="s">
        <v>37769</v>
      </c>
      <c r="I3439" s="11" t="s">
        <v>37770</v>
      </c>
      <c r="J3439" s="11" t="s">
        <v>37770</v>
      </c>
      <c r="K3439" s="9" t="s">
        <v>26009</v>
      </c>
      <c r="L3439" s="9" t="s">
        <v>21182</v>
      </c>
      <c r="M3439" s="9" t="s">
        <v>17741</v>
      </c>
      <c r="N3439" s="9" t="s">
        <v>17746</v>
      </c>
      <c r="O3439" s="9" t="s">
        <v>22858</v>
      </c>
      <c r="P3439" s="9" t="s">
        <v>17748</v>
      </c>
      <c r="Q3439" s="11" t="s">
        <v>17900</v>
      </c>
      <c r="R3439" s="11" t="s">
        <v>17900</v>
      </c>
      <c r="S3439" s="11" t="s">
        <v>17750</v>
      </c>
    </row>
    <row r="3440" spans="1:19" x14ac:dyDescent="0.2">
      <c r="A3440" s="11" t="s">
        <v>37771</v>
      </c>
      <c r="B3440" s="9" t="s">
        <v>37772</v>
      </c>
      <c r="C3440" s="9" t="s">
        <v>37773</v>
      </c>
      <c r="D3440" s="9" t="s">
        <v>37774</v>
      </c>
      <c r="E3440" s="9" t="s">
        <v>17740</v>
      </c>
      <c r="F3440" s="9" t="s">
        <v>37775</v>
      </c>
      <c r="G3440" s="9" t="s">
        <v>17740</v>
      </c>
      <c r="H3440" s="11" t="s">
        <v>37776</v>
      </c>
      <c r="I3440" s="11" t="s">
        <v>37777</v>
      </c>
      <c r="J3440" s="11" t="s">
        <v>37777</v>
      </c>
      <c r="K3440" s="9" t="s">
        <v>689</v>
      </c>
      <c r="L3440" s="9" t="s">
        <v>17759</v>
      </c>
      <c r="M3440" s="9" t="s">
        <v>18890</v>
      </c>
      <c r="N3440" s="9" t="s">
        <v>17746</v>
      </c>
      <c r="O3440" s="9" t="s">
        <v>19715</v>
      </c>
      <c r="P3440" s="9" t="s">
        <v>17748</v>
      </c>
      <c r="Q3440" s="11" t="s">
        <v>18201</v>
      </c>
      <c r="R3440" s="11" t="s">
        <v>18201</v>
      </c>
      <c r="S3440" s="11" t="s">
        <v>17750</v>
      </c>
    </row>
    <row r="3441" spans="1:19" x14ac:dyDescent="0.2">
      <c r="A3441" s="11" t="s">
        <v>37778</v>
      </c>
      <c r="B3441" s="9" t="s">
        <v>37779</v>
      </c>
      <c r="C3441" s="9" t="s">
        <v>37780</v>
      </c>
      <c r="D3441" s="9" t="s">
        <v>37781</v>
      </c>
      <c r="E3441" s="9" t="s">
        <v>17740</v>
      </c>
      <c r="F3441" s="9" t="s">
        <v>37782</v>
      </c>
      <c r="G3441" s="9" t="s">
        <v>17740</v>
      </c>
      <c r="H3441" s="11" t="s">
        <v>17741</v>
      </c>
      <c r="I3441" s="11" t="s">
        <v>5985</v>
      </c>
      <c r="J3441" s="11" t="s">
        <v>5985</v>
      </c>
      <c r="K3441" s="9" t="s">
        <v>18432</v>
      </c>
      <c r="L3441" s="9" t="s">
        <v>17991</v>
      </c>
      <c r="M3441" s="9" t="s">
        <v>17760</v>
      </c>
      <c r="N3441" s="9" t="s">
        <v>17746</v>
      </c>
      <c r="O3441" s="9" t="s">
        <v>3524</v>
      </c>
      <c r="P3441" s="9" t="s">
        <v>17748</v>
      </c>
      <c r="Q3441" s="11" t="s">
        <v>17819</v>
      </c>
      <c r="R3441" s="11" t="s">
        <v>17819</v>
      </c>
      <c r="S3441" s="11" t="s">
        <v>17750</v>
      </c>
    </row>
    <row r="3442" spans="1:19" x14ac:dyDescent="0.2">
      <c r="A3442" s="11" t="s">
        <v>37783</v>
      </c>
      <c r="B3442" s="9" t="s">
        <v>37784</v>
      </c>
      <c r="C3442" s="9" t="s">
        <v>37785</v>
      </c>
      <c r="D3442" s="9" t="s">
        <v>37786</v>
      </c>
      <c r="E3442" s="9" t="s">
        <v>17740</v>
      </c>
      <c r="F3442" s="9" t="s">
        <v>37787</v>
      </c>
      <c r="G3442" s="9" t="s">
        <v>17740</v>
      </c>
      <c r="H3442" s="11" t="s">
        <v>37788</v>
      </c>
      <c r="I3442" s="11" t="s">
        <v>13617</v>
      </c>
      <c r="J3442" s="11" t="s">
        <v>13617</v>
      </c>
      <c r="K3442" s="9" t="s">
        <v>13618</v>
      </c>
      <c r="L3442" s="9" t="s">
        <v>20598</v>
      </c>
      <c r="M3442" s="9" t="s">
        <v>37789</v>
      </c>
      <c r="N3442" s="9" t="s">
        <v>17746</v>
      </c>
      <c r="O3442" s="9" t="s">
        <v>3524</v>
      </c>
      <c r="P3442" s="9" t="s">
        <v>17748</v>
      </c>
      <c r="Q3442" s="11" t="s">
        <v>17780</v>
      </c>
      <c r="R3442" s="11" t="s">
        <v>17780</v>
      </c>
      <c r="S3442" s="11" t="s">
        <v>17750</v>
      </c>
    </row>
    <row r="3443" spans="1:19" x14ac:dyDescent="0.2">
      <c r="A3443" s="11" t="s">
        <v>37790</v>
      </c>
      <c r="B3443" s="9" t="s">
        <v>37791</v>
      </c>
      <c r="C3443" s="9" t="s">
        <v>37792</v>
      </c>
      <c r="D3443" s="9" t="s">
        <v>37793</v>
      </c>
      <c r="E3443" s="9" t="s">
        <v>17740</v>
      </c>
      <c r="F3443" s="9" t="s">
        <v>17741</v>
      </c>
      <c r="G3443" s="9" t="s">
        <v>17740</v>
      </c>
      <c r="H3443" s="11" t="s">
        <v>37794</v>
      </c>
      <c r="I3443" s="11" t="s">
        <v>37795</v>
      </c>
      <c r="J3443" s="11" t="s">
        <v>37795</v>
      </c>
      <c r="K3443" s="9" t="s">
        <v>19447</v>
      </c>
      <c r="L3443" s="9" t="s">
        <v>17759</v>
      </c>
      <c r="M3443" s="9" t="s">
        <v>17760</v>
      </c>
      <c r="N3443" s="9" t="s">
        <v>17746</v>
      </c>
      <c r="O3443" s="9" t="s">
        <v>37796</v>
      </c>
      <c r="P3443" s="9" t="s">
        <v>17748</v>
      </c>
      <c r="Q3443" s="11" t="s">
        <v>17825</v>
      </c>
      <c r="R3443" s="11" t="s">
        <v>17825</v>
      </c>
      <c r="S3443" s="11" t="s">
        <v>17750</v>
      </c>
    </row>
    <row r="3444" spans="1:19" x14ac:dyDescent="0.2">
      <c r="A3444" s="11" t="s">
        <v>37797</v>
      </c>
      <c r="B3444" s="9" t="s">
        <v>37798</v>
      </c>
      <c r="C3444" s="9" t="s">
        <v>37799</v>
      </c>
      <c r="D3444" s="9" t="s">
        <v>37800</v>
      </c>
      <c r="E3444" s="9" t="s">
        <v>17740</v>
      </c>
      <c r="F3444" s="9" t="s">
        <v>37801</v>
      </c>
      <c r="G3444" s="9" t="s">
        <v>17740</v>
      </c>
      <c r="H3444" s="11" t="s">
        <v>37802</v>
      </c>
      <c r="I3444" s="11" t="s">
        <v>37803</v>
      </c>
      <c r="J3444" s="11" t="s">
        <v>37802</v>
      </c>
      <c r="K3444" s="9" t="s">
        <v>37804</v>
      </c>
      <c r="L3444" s="9" t="s">
        <v>19483</v>
      </c>
      <c r="M3444" s="9" t="s">
        <v>17760</v>
      </c>
      <c r="N3444" s="9" t="s">
        <v>17746</v>
      </c>
      <c r="O3444" s="9" t="s">
        <v>19423</v>
      </c>
      <c r="P3444" s="9" t="s">
        <v>17748</v>
      </c>
      <c r="Q3444" s="11" t="s">
        <v>17825</v>
      </c>
      <c r="R3444" s="11" t="s">
        <v>17825</v>
      </c>
      <c r="S3444" s="11" t="s">
        <v>17750</v>
      </c>
    </row>
    <row r="3445" spans="1:19" x14ac:dyDescent="0.2">
      <c r="A3445" s="11" t="s">
        <v>37805</v>
      </c>
      <c r="B3445" s="9" t="s">
        <v>37806</v>
      </c>
      <c r="C3445" s="9" t="s">
        <v>37807</v>
      </c>
      <c r="D3445" s="9" t="s">
        <v>37808</v>
      </c>
      <c r="E3445" s="9" t="s">
        <v>17740</v>
      </c>
      <c r="F3445" s="9" t="s">
        <v>37809</v>
      </c>
      <c r="G3445" s="9" t="s">
        <v>17740</v>
      </c>
      <c r="H3445" s="11" t="s">
        <v>37810</v>
      </c>
      <c r="I3445" s="11" t="s">
        <v>37811</v>
      </c>
      <c r="J3445" s="11" t="s">
        <v>37811</v>
      </c>
      <c r="K3445" s="9" t="s">
        <v>17783</v>
      </c>
      <c r="L3445" s="9" t="s">
        <v>18001</v>
      </c>
      <c r="M3445" s="9" t="s">
        <v>17769</v>
      </c>
      <c r="N3445" s="9" t="s">
        <v>17746</v>
      </c>
      <c r="O3445" s="9" t="s">
        <v>3524</v>
      </c>
      <c r="P3445" s="9" t="s">
        <v>17748</v>
      </c>
      <c r="Q3445" s="11" t="s">
        <v>18433</v>
      </c>
      <c r="R3445" s="11" t="s">
        <v>18433</v>
      </c>
      <c r="S3445" s="11" t="s">
        <v>17750</v>
      </c>
    </row>
    <row r="3446" spans="1:19" x14ac:dyDescent="0.2">
      <c r="A3446" s="11" t="s">
        <v>37812</v>
      </c>
      <c r="B3446" s="9" t="s">
        <v>37813</v>
      </c>
      <c r="C3446" s="9" t="s">
        <v>37814</v>
      </c>
      <c r="D3446" s="9" t="s">
        <v>37815</v>
      </c>
      <c r="E3446" s="9" t="s">
        <v>17740</v>
      </c>
      <c r="F3446" s="9" t="s">
        <v>17741</v>
      </c>
      <c r="G3446" s="9" t="s">
        <v>17740</v>
      </c>
      <c r="H3446" s="11" t="s">
        <v>37816</v>
      </c>
      <c r="I3446" s="11" t="s">
        <v>37817</v>
      </c>
      <c r="J3446" s="11" t="s">
        <v>37817</v>
      </c>
      <c r="K3446" s="9" t="s">
        <v>303</v>
      </c>
      <c r="L3446" s="9" t="s">
        <v>17759</v>
      </c>
      <c r="M3446" s="9" t="s">
        <v>17769</v>
      </c>
      <c r="N3446" s="9" t="s">
        <v>17746</v>
      </c>
      <c r="O3446" s="9" t="s">
        <v>17800</v>
      </c>
      <c r="P3446" s="9" t="s">
        <v>17748</v>
      </c>
      <c r="Q3446" s="11" t="s">
        <v>18960</v>
      </c>
      <c r="R3446" s="11" t="s">
        <v>18960</v>
      </c>
      <c r="S3446" s="11" t="s">
        <v>17750</v>
      </c>
    </row>
    <row r="3447" spans="1:19" x14ac:dyDescent="0.2">
      <c r="A3447" s="11" t="s">
        <v>37818</v>
      </c>
      <c r="B3447" s="9" t="s">
        <v>37819</v>
      </c>
      <c r="C3447" s="9" t="s">
        <v>37820</v>
      </c>
      <c r="D3447" s="9" t="s">
        <v>37821</v>
      </c>
      <c r="E3447" s="9" t="s">
        <v>17740</v>
      </c>
      <c r="F3447" s="9" t="s">
        <v>17741</v>
      </c>
      <c r="G3447" s="9" t="s">
        <v>17740</v>
      </c>
      <c r="H3447" s="11" t="s">
        <v>37822</v>
      </c>
      <c r="I3447" s="11" t="s">
        <v>37823</v>
      </c>
      <c r="J3447" s="11" t="s">
        <v>37823</v>
      </c>
      <c r="K3447" s="9" t="s">
        <v>26729</v>
      </c>
      <c r="L3447" s="9" t="s">
        <v>17759</v>
      </c>
      <c r="M3447" s="9" t="s">
        <v>17817</v>
      </c>
      <c r="N3447" s="9" t="s">
        <v>17746</v>
      </c>
      <c r="O3447" s="9" t="s">
        <v>18340</v>
      </c>
      <c r="P3447" s="9" t="s">
        <v>17748</v>
      </c>
      <c r="Q3447" s="11" t="s">
        <v>20021</v>
      </c>
      <c r="R3447" s="11" t="s">
        <v>20021</v>
      </c>
      <c r="S3447" s="11" t="s">
        <v>17750</v>
      </c>
    </row>
    <row r="3448" spans="1:19" x14ac:dyDescent="0.2">
      <c r="A3448" s="11" t="s">
        <v>37824</v>
      </c>
      <c r="B3448" s="9" t="s">
        <v>37825</v>
      </c>
      <c r="C3448" s="9" t="s">
        <v>37826</v>
      </c>
      <c r="D3448" s="9" t="s">
        <v>37827</v>
      </c>
      <c r="E3448" s="9" t="s">
        <v>17748</v>
      </c>
      <c r="F3448" s="9" t="s">
        <v>37828</v>
      </c>
      <c r="G3448" s="9" t="s">
        <v>17740</v>
      </c>
      <c r="H3448" s="11" t="s">
        <v>37829</v>
      </c>
      <c r="I3448" s="11" t="s">
        <v>37830</v>
      </c>
      <c r="J3448" s="11" t="s">
        <v>37830</v>
      </c>
      <c r="K3448" s="9" t="s">
        <v>91</v>
      </c>
      <c r="L3448" s="9" t="s">
        <v>18001</v>
      </c>
      <c r="M3448" s="9" t="s">
        <v>17760</v>
      </c>
      <c r="N3448" s="9" t="s">
        <v>17746</v>
      </c>
      <c r="O3448" s="9" t="s">
        <v>18340</v>
      </c>
      <c r="P3448" s="9" t="s">
        <v>17748</v>
      </c>
      <c r="Q3448" s="11" t="s">
        <v>17825</v>
      </c>
      <c r="R3448" s="11" t="s">
        <v>17825</v>
      </c>
      <c r="S3448" s="11" t="s">
        <v>17750</v>
      </c>
    </row>
    <row r="3449" spans="1:19" x14ac:dyDescent="0.2">
      <c r="A3449" s="11" t="s">
        <v>37831</v>
      </c>
      <c r="B3449" s="9" t="s">
        <v>37832</v>
      </c>
      <c r="C3449" s="9" t="s">
        <v>37833</v>
      </c>
      <c r="D3449" s="9" t="s">
        <v>37834</v>
      </c>
      <c r="E3449" s="9" t="s">
        <v>17740</v>
      </c>
      <c r="F3449" s="9" t="s">
        <v>17741</v>
      </c>
      <c r="G3449" s="9" t="s">
        <v>17740</v>
      </c>
      <c r="H3449" s="11" t="s">
        <v>37835</v>
      </c>
      <c r="I3449" s="11" t="s">
        <v>37836</v>
      </c>
      <c r="J3449" s="11" t="s">
        <v>37836</v>
      </c>
      <c r="K3449" s="9" t="s">
        <v>970</v>
      </c>
      <c r="L3449" s="9" t="s">
        <v>17759</v>
      </c>
      <c r="M3449" s="9" t="s">
        <v>19988</v>
      </c>
      <c r="N3449" s="9" t="s">
        <v>17746</v>
      </c>
      <c r="O3449" s="9" t="s">
        <v>18340</v>
      </c>
      <c r="P3449" s="9" t="s">
        <v>17748</v>
      </c>
      <c r="Q3449" s="11" t="s">
        <v>18147</v>
      </c>
      <c r="R3449" s="11" t="s">
        <v>18147</v>
      </c>
      <c r="S3449" s="11" t="s">
        <v>17750</v>
      </c>
    </row>
    <row r="3450" spans="1:19" x14ac:dyDescent="0.2">
      <c r="A3450" s="11" t="s">
        <v>37837</v>
      </c>
      <c r="B3450" s="9" t="s">
        <v>37838</v>
      </c>
      <c r="C3450" s="9" t="s">
        <v>37839</v>
      </c>
      <c r="D3450" s="9" t="s">
        <v>37840</v>
      </c>
      <c r="E3450" s="9" t="s">
        <v>17740</v>
      </c>
      <c r="F3450" s="9" t="s">
        <v>17741</v>
      </c>
      <c r="G3450" s="9" t="s">
        <v>17740</v>
      </c>
      <c r="H3450" s="11" t="s">
        <v>9366</v>
      </c>
      <c r="I3450" s="11" t="s">
        <v>9365</v>
      </c>
      <c r="J3450" s="11" t="s">
        <v>9365</v>
      </c>
      <c r="K3450" s="9" t="s">
        <v>776</v>
      </c>
      <c r="L3450" s="9" t="s">
        <v>17759</v>
      </c>
      <c r="M3450" s="9" t="s">
        <v>17769</v>
      </c>
      <c r="N3450" s="9" t="s">
        <v>17746</v>
      </c>
      <c r="O3450" s="9" t="s">
        <v>773</v>
      </c>
      <c r="P3450" s="9" t="s">
        <v>17748</v>
      </c>
      <c r="Q3450" s="11" t="s">
        <v>17994</v>
      </c>
      <c r="R3450" s="11" t="s">
        <v>17994</v>
      </c>
      <c r="S3450" s="11" t="s">
        <v>17750</v>
      </c>
    </row>
    <row r="3451" spans="1:19" x14ac:dyDescent="0.2">
      <c r="A3451" s="11" t="s">
        <v>37841</v>
      </c>
      <c r="B3451" s="9" t="s">
        <v>37842</v>
      </c>
      <c r="C3451" s="9" t="s">
        <v>37843</v>
      </c>
      <c r="D3451" s="9" t="s">
        <v>37844</v>
      </c>
      <c r="E3451" s="9" t="s">
        <v>17748</v>
      </c>
      <c r="F3451" s="9" t="s">
        <v>37845</v>
      </c>
      <c r="G3451" s="9" t="s">
        <v>17740</v>
      </c>
      <c r="H3451" s="11" t="s">
        <v>12730</v>
      </c>
      <c r="I3451" s="11" t="s">
        <v>12729</v>
      </c>
      <c r="J3451" s="11" t="s">
        <v>17741</v>
      </c>
      <c r="K3451" s="9" t="s">
        <v>91</v>
      </c>
      <c r="L3451" s="9" t="s">
        <v>18001</v>
      </c>
      <c r="M3451" s="9" t="s">
        <v>37846</v>
      </c>
      <c r="N3451" s="9" t="s">
        <v>17746</v>
      </c>
      <c r="O3451" s="9" t="s">
        <v>773</v>
      </c>
      <c r="P3451" s="9" t="s">
        <v>17748</v>
      </c>
      <c r="Q3451" s="11" t="s">
        <v>18370</v>
      </c>
      <c r="R3451" s="11" t="s">
        <v>18370</v>
      </c>
      <c r="S3451" s="11" t="s">
        <v>17750</v>
      </c>
    </row>
    <row r="3452" spans="1:19" x14ac:dyDescent="0.2">
      <c r="A3452" s="11" t="s">
        <v>37847</v>
      </c>
      <c r="B3452" s="9" t="s">
        <v>37848</v>
      </c>
      <c r="C3452" s="9" t="s">
        <v>37849</v>
      </c>
      <c r="D3452" s="9" t="s">
        <v>37850</v>
      </c>
      <c r="E3452" s="9" t="s">
        <v>17740</v>
      </c>
      <c r="F3452" s="9" t="s">
        <v>17741</v>
      </c>
      <c r="G3452" s="9" t="s">
        <v>17740</v>
      </c>
      <c r="H3452" s="11" t="s">
        <v>37851</v>
      </c>
      <c r="I3452" s="11" t="s">
        <v>37852</v>
      </c>
      <c r="J3452" s="11" t="s">
        <v>37852</v>
      </c>
      <c r="K3452" s="9" t="s">
        <v>23527</v>
      </c>
      <c r="L3452" s="9" t="s">
        <v>17744</v>
      </c>
      <c r="M3452" s="9" t="s">
        <v>17769</v>
      </c>
      <c r="N3452" s="9" t="s">
        <v>17746</v>
      </c>
      <c r="O3452" s="9" t="s">
        <v>37853</v>
      </c>
      <c r="P3452" s="9" t="s">
        <v>17748</v>
      </c>
      <c r="Q3452" s="11" t="s">
        <v>17808</v>
      </c>
      <c r="R3452" s="11" t="s">
        <v>17808</v>
      </c>
      <c r="S3452" s="11" t="s">
        <v>17750</v>
      </c>
    </row>
    <row r="3453" spans="1:19" x14ac:dyDescent="0.2">
      <c r="A3453" s="11" t="s">
        <v>37854</v>
      </c>
      <c r="B3453" s="9" t="s">
        <v>37855</v>
      </c>
      <c r="C3453" s="9" t="s">
        <v>37856</v>
      </c>
      <c r="D3453" s="9" t="s">
        <v>37857</v>
      </c>
      <c r="E3453" s="9" t="s">
        <v>17740</v>
      </c>
      <c r="F3453" s="9" t="s">
        <v>37858</v>
      </c>
      <c r="G3453" s="9" t="s">
        <v>17740</v>
      </c>
      <c r="H3453" s="11" t="s">
        <v>37859</v>
      </c>
      <c r="I3453" s="11" t="s">
        <v>7360</v>
      </c>
      <c r="J3453" s="11" t="s">
        <v>7360</v>
      </c>
      <c r="K3453" s="9" t="s">
        <v>17758</v>
      </c>
      <c r="L3453" s="9" t="s">
        <v>17759</v>
      </c>
      <c r="M3453" s="9" t="s">
        <v>17769</v>
      </c>
      <c r="N3453" s="9" t="s">
        <v>17746</v>
      </c>
      <c r="O3453" s="9" t="s">
        <v>17834</v>
      </c>
      <c r="P3453" s="9" t="s">
        <v>17748</v>
      </c>
      <c r="Q3453" s="11" t="s">
        <v>17784</v>
      </c>
      <c r="R3453" s="11" t="s">
        <v>17784</v>
      </c>
      <c r="S3453" s="11" t="s">
        <v>17750</v>
      </c>
    </row>
    <row r="3454" spans="1:19" x14ac:dyDescent="0.2">
      <c r="A3454" s="11" t="s">
        <v>37860</v>
      </c>
      <c r="B3454" s="9" t="s">
        <v>37861</v>
      </c>
      <c r="C3454" s="9" t="s">
        <v>37862</v>
      </c>
      <c r="D3454" s="9" t="s">
        <v>37863</v>
      </c>
      <c r="E3454" s="9" t="s">
        <v>17740</v>
      </c>
      <c r="F3454" s="9" t="s">
        <v>17741</v>
      </c>
      <c r="G3454" s="9" t="s">
        <v>17740</v>
      </c>
      <c r="H3454" s="11" t="s">
        <v>2707</v>
      </c>
      <c r="I3454" s="11" t="s">
        <v>2706</v>
      </c>
      <c r="J3454" s="11" t="s">
        <v>2706</v>
      </c>
      <c r="K3454" s="9" t="s">
        <v>17865</v>
      </c>
      <c r="L3454" s="9" t="s">
        <v>17744</v>
      </c>
      <c r="M3454" s="9" t="s">
        <v>30324</v>
      </c>
      <c r="N3454" s="9" t="s">
        <v>17746</v>
      </c>
      <c r="O3454" s="9" t="s">
        <v>17834</v>
      </c>
      <c r="P3454" s="9" t="s">
        <v>17748</v>
      </c>
      <c r="Q3454" s="11" t="s">
        <v>18306</v>
      </c>
      <c r="R3454" s="11" t="s">
        <v>18306</v>
      </c>
      <c r="S3454" s="11" t="s">
        <v>17750</v>
      </c>
    </row>
    <row r="3455" spans="1:19" x14ac:dyDescent="0.2">
      <c r="A3455" s="11" t="s">
        <v>37864</v>
      </c>
      <c r="B3455" s="9" t="s">
        <v>37865</v>
      </c>
      <c r="C3455" s="9" t="s">
        <v>37866</v>
      </c>
      <c r="D3455" s="9" t="s">
        <v>37867</v>
      </c>
      <c r="E3455" s="9" t="s">
        <v>17740</v>
      </c>
      <c r="F3455" s="9" t="s">
        <v>37868</v>
      </c>
      <c r="G3455" s="9" t="s">
        <v>17740</v>
      </c>
      <c r="H3455" s="11" t="s">
        <v>5517</v>
      </c>
      <c r="I3455" s="11" t="s">
        <v>5516</v>
      </c>
      <c r="J3455" s="11" t="s">
        <v>5516</v>
      </c>
      <c r="K3455" s="9" t="s">
        <v>1193</v>
      </c>
      <c r="L3455" s="9" t="s">
        <v>18959</v>
      </c>
      <c r="M3455" s="9" t="s">
        <v>20344</v>
      </c>
      <c r="N3455" s="9" t="s">
        <v>17746</v>
      </c>
      <c r="O3455" s="9" t="s">
        <v>19379</v>
      </c>
      <c r="P3455" s="9" t="s">
        <v>17748</v>
      </c>
      <c r="Q3455" s="11" t="s">
        <v>18080</v>
      </c>
      <c r="R3455" s="11" t="s">
        <v>18080</v>
      </c>
      <c r="S3455" s="11" t="s">
        <v>17750</v>
      </c>
    </row>
    <row r="3456" spans="1:19" x14ac:dyDescent="0.2">
      <c r="A3456" s="11" t="s">
        <v>37869</v>
      </c>
      <c r="B3456" s="9" t="s">
        <v>37870</v>
      </c>
      <c r="C3456" s="9" t="s">
        <v>37871</v>
      </c>
      <c r="D3456" s="9" t="s">
        <v>37872</v>
      </c>
      <c r="E3456" s="9" t="s">
        <v>17740</v>
      </c>
      <c r="F3456" s="9" t="s">
        <v>37873</v>
      </c>
      <c r="G3456" s="9" t="s">
        <v>17740</v>
      </c>
      <c r="H3456" s="11" t="s">
        <v>17741</v>
      </c>
      <c r="I3456" s="11" t="s">
        <v>2650</v>
      </c>
      <c r="J3456" s="11" t="s">
        <v>2650</v>
      </c>
      <c r="K3456" s="9" t="s">
        <v>37874</v>
      </c>
      <c r="L3456" s="9" t="s">
        <v>17759</v>
      </c>
      <c r="M3456" s="9" t="s">
        <v>17760</v>
      </c>
      <c r="N3456" s="9" t="s">
        <v>17746</v>
      </c>
      <c r="O3456" s="9" t="s">
        <v>37875</v>
      </c>
      <c r="P3456" s="9" t="s">
        <v>17748</v>
      </c>
      <c r="Q3456" s="11" t="s">
        <v>18433</v>
      </c>
      <c r="R3456" s="11" t="s">
        <v>18433</v>
      </c>
      <c r="S3456" s="11" t="s">
        <v>17750</v>
      </c>
    </row>
    <row r="3457" spans="1:19" x14ac:dyDescent="0.2">
      <c r="A3457" s="11" t="s">
        <v>37876</v>
      </c>
      <c r="B3457" s="9" t="s">
        <v>37877</v>
      </c>
      <c r="C3457" s="9" t="s">
        <v>37878</v>
      </c>
      <c r="D3457" s="9" t="s">
        <v>37879</v>
      </c>
      <c r="E3457" s="9" t="s">
        <v>17740</v>
      </c>
      <c r="F3457" s="9" t="s">
        <v>37880</v>
      </c>
      <c r="G3457" s="9" t="s">
        <v>17740</v>
      </c>
      <c r="H3457" s="11" t="s">
        <v>17741</v>
      </c>
      <c r="I3457" s="11" t="s">
        <v>37881</v>
      </c>
      <c r="J3457" s="11" t="s">
        <v>37881</v>
      </c>
      <c r="K3457" s="9" t="s">
        <v>37882</v>
      </c>
      <c r="L3457" s="9" t="s">
        <v>17759</v>
      </c>
      <c r="M3457" s="9" t="s">
        <v>17760</v>
      </c>
      <c r="N3457" s="9" t="s">
        <v>17746</v>
      </c>
      <c r="O3457" s="9" t="s">
        <v>31150</v>
      </c>
      <c r="P3457" s="9" t="s">
        <v>17748</v>
      </c>
      <c r="Q3457" s="11" t="s">
        <v>19026</v>
      </c>
      <c r="R3457" s="11" t="s">
        <v>19026</v>
      </c>
      <c r="S3457" s="11" t="s">
        <v>17750</v>
      </c>
    </row>
    <row r="3458" spans="1:19" x14ac:dyDescent="0.2">
      <c r="A3458" s="11" t="s">
        <v>37883</v>
      </c>
      <c r="B3458" s="9" t="s">
        <v>37884</v>
      </c>
      <c r="C3458" s="9" t="s">
        <v>37885</v>
      </c>
      <c r="D3458" s="9" t="s">
        <v>37886</v>
      </c>
      <c r="E3458" s="9" t="s">
        <v>17740</v>
      </c>
      <c r="F3458" s="9" t="s">
        <v>17741</v>
      </c>
      <c r="G3458" s="9" t="s">
        <v>17740</v>
      </c>
      <c r="H3458" s="11" t="s">
        <v>37887</v>
      </c>
      <c r="I3458" s="11" t="s">
        <v>37888</v>
      </c>
      <c r="J3458" s="11" t="s">
        <v>37888</v>
      </c>
      <c r="K3458" s="9" t="s">
        <v>17783</v>
      </c>
      <c r="L3458" s="9" t="s">
        <v>17759</v>
      </c>
      <c r="M3458" s="9" t="s">
        <v>37889</v>
      </c>
      <c r="N3458" s="9" t="s">
        <v>17746</v>
      </c>
      <c r="O3458" s="9" t="s">
        <v>18514</v>
      </c>
      <c r="P3458" s="9" t="s">
        <v>17748</v>
      </c>
      <c r="Q3458" s="11" t="s">
        <v>19899</v>
      </c>
      <c r="R3458" s="11" t="s">
        <v>19899</v>
      </c>
      <c r="S3458" s="11" t="s">
        <v>17750</v>
      </c>
    </row>
    <row r="3459" spans="1:19" x14ac:dyDescent="0.2">
      <c r="A3459" s="11" t="s">
        <v>37890</v>
      </c>
      <c r="B3459" s="9" t="s">
        <v>37891</v>
      </c>
      <c r="C3459" s="9" t="s">
        <v>37892</v>
      </c>
      <c r="D3459" s="9" t="s">
        <v>37893</v>
      </c>
      <c r="E3459" s="9" t="s">
        <v>17740</v>
      </c>
      <c r="F3459" s="9" t="s">
        <v>17741</v>
      </c>
      <c r="G3459" s="9" t="s">
        <v>17740</v>
      </c>
      <c r="H3459" s="11" t="s">
        <v>37894</v>
      </c>
      <c r="I3459" s="11" t="s">
        <v>37895</v>
      </c>
      <c r="J3459" s="11" t="s">
        <v>37895</v>
      </c>
      <c r="K3459" s="9" t="s">
        <v>37896</v>
      </c>
      <c r="L3459" s="9" t="s">
        <v>17759</v>
      </c>
      <c r="M3459" s="9" t="s">
        <v>37897</v>
      </c>
      <c r="N3459" s="9" t="s">
        <v>17746</v>
      </c>
      <c r="O3459" s="9" t="s">
        <v>18514</v>
      </c>
      <c r="P3459" s="9" t="s">
        <v>17748</v>
      </c>
      <c r="Q3459" s="11" t="s">
        <v>18002</v>
      </c>
      <c r="R3459" s="11" t="s">
        <v>18002</v>
      </c>
      <c r="S3459" s="11" t="s">
        <v>17750</v>
      </c>
    </row>
    <row r="3460" spans="1:19" x14ac:dyDescent="0.2">
      <c r="A3460" s="11" t="s">
        <v>37898</v>
      </c>
      <c r="B3460" s="9" t="s">
        <v>37899</v>
      </c>
      <c r="C3460" s="9" t="s">
        <v>37900</v>
      </c>
      <c r="D3460" s="9" t="s">
        <v>37901</v>
      </c>
      <c r="E3460" s="9" t="s">
        <v>17740</v>
      </c>
      <c r="F3460" s="9" t="s">
        <v>17741</v>
      </c>
      <c r="G3460" s="9" t="s">
        <v>17740</v>
      </c>
      <c r="H3460" s="11" t="s">
        <v>4612</v>
      </c>
      <c r="I3460" s="11" t="s">
        <v>4611</v>
      </c>
      <c r="J3460" s="11" t="s">
        <v>4611</v>
      </c>
      <c r="K3460" s="9" t="s">
        <v>19447</v>
      </c>
      <c r="L3460" s="9" t="s">
        <v>17759</v>
      </c>
      <c r="M3460" s="9" t="s">
        <v>17983</v>
      </c>
      <c r="N3460" s="9" t="s">
        <v>17746</v>
      </c>
      <c r="O3460" s="9" t="s">
        <v>3475</v>
      </c>
      <c r="P3460" s="9" t="s">
        <v>17748</v>
      </c>
      <c r="Q3460" s="11" t="s">
        <v>18364</v>
      </c>
      <c r="R3460" s="11" t="s">
        <v>18364</v>
      </c>
      <c r="S3460" s="11" t="s">
        <v>17750</v>
      </c>
    </row>
    <row r="3461" spans="1:19" x14ac:dyDescent="0.2">
      <c r="A3461" s="11" t="s">
        <v>37902</v>
      </c>
      <c r="B3461" s="9" t="s">
        <v>37903</v>
      </c>
      <c r="C3461" s="9" t="s">
        <v>37904</v>
      </c>
      <c r="D3461" s="9" t="s">
        <v>37905</v>
      </c>
      <c r="E3461" s="9" t="s">
        <v>17740</v>
      </c>
      <c r="F3461" s="9" t="s">
        <v>37906</v>
      </c>
      <c r="G3461" s="9" t="s">
        <v>17740</v>
      </c>
      <c r="H3461" s="11" t="s">
        <v>17741</v>
      </c>
      <c r="I3461" s="11" t="s">
        <v>37907</v>
      </c>
      <c r="J3461" s="11" t="s">
        <v>37907</v>
      </c>
      <c r="K3461" s="9" t="s">
        <v>37908</v>
      </c>
      <c r="L3461" s="9" t="s">
        <v>17759</v>
      </c>
      <c r="M3461" s="9" t="s">
        <v>17817</v>
      </c>
      <c r="N3461" s="9" t="s">
        <v>17746</v>
      </c>
      <c r="O3461" s="9" t="s">
        <v>32688</v>
      </c>
      <c r="P3461" s="9" t="s">
        <v>17748</v>
      </c>
      <c r="Q3461" s="11" t="s">
        <v>18433</v>
      </c>
      <c r="R3461" s="11" t="s">
        <v>18433</v>
      </c>
      <c r="S3461" s="11" t="s">
        <v>17750</v>
      </c>
    </row>
    <row r="3462" spans="1:19" x14ac:dyDescent="0.2">
      <c r="A3462" s="11" t="s">
        <v>37909</v>
      </c>
      <c r="B3462" s="9" t="s">
        <v>37910</v>
      </c>
      <c r="C3462" s="9" t="s">
        <v>37911</v>
      </c>
      <c r="D3462" s="9" t="s">
        <v>37912</v>
      </c>
      <c r="E3462" s="9" t="s">
        <v>17740</v>
      </c>
      <c r="F3462" s="9" t="s">
        <v>17741</v>
      </c>
      <c r="G3462" s="9" t="s">
        <v>17740</v>
      </c>
      <c r="H3462" s="11" t="s">
        <v>2681</v>
      </c>
      <c r="I3462" s="11" t="s">
        <v>2680</v>
      </c>
      <c r="J3462" s="11" t="s">
        <v>2680</v>
      </c>
      <c r="K3462" s="9" t="s">
        <v>689</v>
      </c>
      <c r="L3462" s="9" t="s">
        <v>17759</v>
      </c>
      <c r="M3462" s="9" t="s">
        <v>19283</v>
      </c>
      <c r="N3462" s="9" t="s">
        <v>17746</v>
      </c>
      <c r="O3462" s="9" t="s">
        <v>37913</v>
      </c>
      <c r="P3462" s="9" t="s">
        <v>17748</v>
      </c>
      <c r="Q3462" s="11" t="s">
        <v>17978</v>
      </c>
      <c r="R3462" s="11" t="s">
        <v>17978</v>
      </c>
      <c r="S3462" s="11" t="s">
        <v>17750</v>
      </c>
    </row>
    <row r="3463" spans="1:19" x14ac:dyDescent="0.2">
      <c r="A3463" s="11" t="s">
        <v>37914</v>
      </c>
      <c r="B3463" s="9" t="s">
        <v>37915</v>
      </c>
      <c r="C3463" s="9" t="s">
        <v>37916</v>
      </c>
      <c r="D3463" s="9" t="s">
        <v>37917</v>
      </c>
      <c r="E3463" s="9" t="s">
        <v>17740</v>
      </c>
      <c r="F3463" s="9" t="s">
        <v>17741</v>
      </c>
      <c r="G3463" s="9" t="s">
        <v>17740</v>
      </c>
      <c r="H3463" s="11" t="s">
        <v>2678</v>
      </c>
      <c r="I3463" s="11" t="s">
        <v>2677</v>
      </c>
      <c r="J3463" s="11" t="s">
        <v>2677</v>
      </c>
      <c r="K3463" s="9" t="s">
        <v>291</v>
      </c>
      <c r="L3463" s="9" t="s">
        <v>17744</v>
      </c>
      <c r="M3463" s="9" t="s">
        <v>17760</v>
      </c>
      <c r="N3463" s="9" t="s">
        <v>17746</v>
      </c>
      <c r="O3463" s="9" t="s">
        <v>37918</v>
      </c>
      <c r="P3463" s="9" t="s">
        <v>17748</v>
      </c>
      <c r="Q3463" s="11" t="s">
        <v>19515</v>
      </c>
      <c r="R3463" s="11" t="s">
        <v>19515</v>
      </c>
      <c r="S3463" s="11" t="s">
        <v>17750</v>
      </c>
    </row>
    <row r="3464" spans="1:19" x14ac:dyDescent="0.2">
      <c r="A3464" s="11" t="s">
        <v>37919</v>
      </c>
      <c r="B3464" s="9" t="s">
        <v>37920</v>
      </c>
      <c r="C3464" s="9" t="s">
        <v>37921</v>
      </c>
      <c r="D3464" s="9" t="s">
        <v>37922</v>
      </c>
      <c r="E3464" s="9" t="s">
        <v>17740</v>
      </c>
      <c r="F3464" s="9" t="s">
        <v>17741</v>
      </c>
      <c r="G3464" s="9" t="s">
        <v>17740</v>
      </c>
      <c r="H3464" s="11" t="s">
        <v>2648</v>
      </c>
      <c r="I3464" s="11" t="s">
        <v>2647</v>
      </c>
      <c r="J3464" s="11" t="s">
        <v>2647</v>
      </c>
      <c r="K3464" s="9" t="s">
        <v>17865</v>
      </c>
      <c r="L3464" s="9" t="s">
        <v>17744</v>
      </c>
      <c r="M3464" s="9" t="s">
        <v>18289</v>
      </c>
      <c r="N3464" s="9" t="s">
        <v>17746</v>
      </c>
      <c r="O3464" s="9" t="s">
        <v>17834</v>
      </c>
      <c r="P3464" s="9" t="s">
        <v>17748</v>
      </c>
      <c r="Q3464" s="11" t="s">
        <v>18234</v>
      </c>
      <c r="R3464" s="11" t="s">
        <v>18234</v>
      </c>
      <c r="S3464" s="11" t="s">
        <v>17750</v>
      </c>
    </row>
    <row r="3465" spans="1:19" x14ac:dyDescent="0.2">
      <c r="A3465" s="11" t="s">
        <v>37923</v>
      </c>
      <c r="B3465" s="9" t="s">
        <v>37924</v>
      </c>
      <c r="C3465" s="9" t="s">
        <v>37925</v>
      </c>
      <c r="D3465" s="9" t="s">
        <v>37926</v>
      </c>
      <c r="E3465" s="9" t="s">
        <v>17748</v>
      </c>
      <c r="F3465" s="9" t="s">
        <v>37927</v>
      </c>
      <c r="G3465" s="9" t="s">
        <v>17740</v>
      </c>
      <c r="H3465" s="11" t="s">
        <v>37928</v>
      </c>
      <c r="I3465" s="11" t="s">
        <v>37929</v>
      </c>
      <c r="J3465" s="11" t="s">
        <v>37929</v>
      </c>
      <c r="K3465" s="9" t="s">
        <v>55</v>
      </c>
      <c r="L3465" s="9" t="s">
        <v>17744</v>
      </c>
      <c r="M3465" s="9" t="s">
        <v>17760</v>
      </c>
      <c r="N3465" s="9" t="s">
        <v>17746</v>
      </c>
      <c r="O3465" s="9" t="s">
        <v>3524</v>
      </c>
      <c r="P3465" s="9" t="s">
        <v>17748</v>
      </c>
      <c r="Q3465" s="11" t="s">
        <v>17780</v>
      </c>
      <c r="R3465" s="11" t="s">
        <v>17780</v>
      </c>
      <c r="S3465" s="11" t="s">
        <v>17750</v>
      </c>
    </row>
    <row r="3466" spans="1:19" x14ac:dyDescent="0.2">
      <c r="A3466" s="11" t="s">
        <v>37930</v>
      </c>
      <c r="B3466" s="9" t="s">
        <v>37931</v>
      </c>
      <c r="C3466" s="9" t="s">
        <v>37932</v>
      </c>
      <c r="D3466" s="9" t="s">
        <v>37933</v>
      </c>
      <c r="E3466" s="9" t="s">
        <v>17740</v>
      </c>
      <c r="F3466" s="9" t="s">
        <v>37934</v>
      </c>
      <c r="G3466" s="9" t="s">
        <v>17740</v>
      </c>
      <c r="H3466" s="11" t="s">
        <v>37935</v>
      </c>
      <c r="I3466" s="11" t="s">
        <v>37936</v>
      </c>
      <c r="J3466" s="11" t="s">
        <v>37936</v>
      </c>
      <c r="K3466" s="9" t="s">
        <v>37937</v>
      </c>
      <c r="L3466" s="9" t="s">
        <v>17759</v>
      </c>
      <c r="M3466" s="9" t="s">
        <v>17760</v>
      </c>
      <c r="N3466" s="9" t="s">
        <v>17746</v>
      </c>
      <c r="O3466" s="9" t="s">
        <v>25888</v>
      </c>
      <c r="P3466" s="9" t="s">
        <v>17748</v>
      </c>
      <c r="Q3466" s="11" t="s">
        <v>18072</v>
      </c>
      <c r="R3466" s="11" t="s">
        <v>18072</v>
      </c>
      <c r="S3466" s="11" t="s">
        <v>17750</v>
      </c>
    </row>
    <row r="3467" spans="1:19" x14ac:dyDescent="0.2">
      <c r="A3467" s="11" t="s">
        <v>37938</v>
      </c>
      <c r="B3467" s="9" t="s">
        <v>37939</v>
      </c>
      <c r="C3467" s="9" t="s">
        <v>37940</v>
      </c>
      <c r="D3467" s="9" t="s">
        <v>37941</v>
      </c>
      <c r="E3467" s="9" t="s">
        <v>17740</v>
      </c>
      <c r="F3467" s="9" t="s">
        <v>17741</v>
      </c>
      <c r="G3467" s="9" t="s">
        <v>17740</v>
      </c>
      <c r="H3467" s="11" t="s">
        <v>37942</v>
      </c>
      <c r="I3467" s="11" t="s">
        <v>37943</v>
      </c>
      <c r="J3467" s="11" t="s">
        <v>37943</v>
      </c>
      <c r="K3467" s="9" t="s">
        <v>17758</v>
      </c>
      <c r="L3467" s="9" t="s">
        <v>17759</v>
      </c>
      <c r="M3467" s="9" t="s">
        <v>29840</v>
      </c>
      <c r="N3467" s="9" t="s">
        <v>17746</v>
      </c>
      <c r="O3467" s="9" t="s">
        <v>19715</v>
      </c>
      <c r="P3467" s="9" t="s">
        <v>17748</v>
      </c>
      <c r="Q3467" s="11" t="s">
        <v>19361</v>
      </c>
      <c r="R3467" s="11" t="s">
        <v>19361</v>
      </c>
      <c r="S3467" s="11" t="s">
        <v>17750</v>
      </c>
    </row>
    <row r="3468" spans="1:19" x14ac:dyDescent="0.2">
      <c r="A3468" s="11" t="s">
        <v>37944</v>
      </c>
      <c r="B3468" s="9" t="s">
        <v>37945</v>
      </c>
      <c r="C3468" s="9" t="s">
        <v>37946</v>
      </c>
      <c r="D3468" s="9" t="s">
        <v>37947</v>
      </c>
      <c r="E3468" s="9" t="s">
        <v>17740</v>
      </c>
      <c r="F3468" s="9" t="s">
        <v>17741</v>
      </c>
      <c r="G3468" s="9" t="s">
        <v>17740</v>
      </c>
      <c r="H3468" s="11" t="s">
        <v>37948</v>
      </c>
      <c r="I3468" s="11" t="s">
        <v>37949</v>
      </c>
      <c r="J3468" s="11" t="s">
        <v>37949</v>
      </c>
      <c r="K3468" s="9" t="s">
        <v>19873</v>
      </c>
      <c r="L3468" s="9" t="s">
        <v>17744</v>
      </c>
      <c r="M3468" s="9" t="s">
        <v>17760</v>
      </c>
      <c r="N3468" s="9" t="s">
        <v>17746</v>
      </c>
      <c r="O3468" s="9" t="s">
        <v>3524</v>
      </c>
      <c r="P3468" s="9" t="s">
        <v>17748</v>
      </c>
      <c r="Q3468" s="11" t="s">
        <v>19222</v>
      </c>
      <c r="R3468" s="11" t="s">
        <v>19222</v>
      </c>
      <c r="S3468" s="11" t="s">
        <v>17750</v>
      </c>
    </row>
    <row r="3469" spans="1:19" x14ac:dyDescent="0.2">
      <c r="A3469" s="11" t="s">
        <v>37950</v>
      </c>
      <c r="B3469" s="9" t="s">
        <v>37951</v>
      </c>
      <c r="C3469" s="9" t="s">
        <v>37952</v>
      </c>
      <c r="D3469" s="9" t="s">
        <v>37953</v>
      </c>
      <c r="E3469" s="9" t="s">
        <v>17740</v>
      </c>
      <c r="F3469" s="9" t="s">
        <v>37954</v>
      </c>
      <c r="G3469" s="9" t="s">
        <v>17740</v>
      </c>
      <c r="H3469" s="11" t="s">
        <v>37955</v>
      </c>
      <c r="I3469" s="11" t="s">
        <v>37956</v>
      </c>
      <c r="J3469" s="11" t="s">
        <v>37956</v>
      </c>
      <c r="K3469" s="9" t="s">
        <v>55</v>
      </c>
      <c r="L3469" s="9" t="s">
        <v>17744</v>
      </c>
      <c r="M3469" s="9" t="s">
        <v>28990</v>
      </c>
      <c r="N3469" s="9" t="s">
        <v>17746</v>
      </c>
      <c r="O3469" s="9" t="s">
        <v>37957</v>
      </c>
      <c r="P3469" s="9" t="s">
        <v>17748</v>
      </c>
      <c r="Q3469" s="11" t="s">
        <v>18556</v>
      </c>
      <c r="R3469" s="11" t="s">
        <v>18556</v>
      </c>
      <c r="S3469" s="11" t="s">
        <v>17750</v>
      </c>
    </row>
    <row r="3470" spans="1:19" x14ac:dyDescent="0.2">
      <c r="A3470" s="11" t="s">
        <v>37958</v>
      </c>
      <c r="B3470" s="9" t="s">
        <v>37959</v>
      </c>
      <c r="C3470" s="9" t="s">
        <v>37960</v>
      </c>
      <c r="D3470" s="9" t="s">
        <v>37961</v>
      </c>
      <c r="E3470" s="9" t="s">
        <v>17740</v>
      </c>
      <c r="F3470" s="9" t="s">
        <v>37962</v>
      </c>
      <c r="G3470" s="9" t="s">
        <v>17740</v>
      </c>
      <c r="H3470" s="11" t="s">
        <v>37963</v>
      </c>
      <c r="I3470" s="11" t="s">
        <v>37964</v>
      </c>
      <c r="J3470" s="11" t="s">
        <v>37964</v>
      </c>
      <c r="K3470" s="9" t="s">
        <v>37965</v>
      </c>
      <c r="L3470" s="9" t="s">
        <v>17744</v>
      </c>
      <c r="M3470" s="9" t="s">
        <v>17760</v>
      </c>
      <c r="N3470" s="9" t="s">
        <v>17746</v>
      </c>
      <c r="O3470" s="9" t="s">
        <v>3543</v>
      </c>
      <c r="P3470" s="9" t="s">
        <v>17748</v>
      </c>
      <c r="Q3470" s="11" t="s">
        <v>18678</v>
      </c>
      <c r="R3470" s="11" t="s">
        <v>18678</v>
      </c>
      <c r="S3470" s="11" t="s">
        <v>17750</v>
      </c>
    </row>
    <row r="3471" spans="1:19" x14ac:dyDescent="0.2">
      <c r="A3471" s="11" t="s">
        <v>37966</v>
      </c>
      <c r="B3471" s="9" t="s">
        <v>37967</v>
      </c>
      <c r="C3471" s="9" t="s">
        <v>37968</v>
      </c>
      <c r="D3471" s="9" t="s">
        <v>37969</v>
      </c>
      <c r="E3471" s="9" t="s">
        <v>17740</v>
      </c>
      <c r="F3471" s="9" t="s">
        <v>17741</v>
      </c>
      <c r="G3471" s="9" t="s">
        <v>17740</v>
      </c>
      <c r="H3471" s="11" t="s">
        <v>13878</v>
      </c>
      <c r="I3471" s="11" t="s">
        <v>17741</v>
      </c>
      <c r="J3471" s="11" t="s">
        <v>13878</v>
      </c>
      <c r="K3471" s="9" t="s">
        <v>37970</v>
      </c>
      <c r="L3471" s="9" t="s">
        <v>17759</v>
      </c>
      <c r="M3471" s="9" t="s">
        <v>20970</v>
      </c>
      <c r="N3471" s="9" t="s">
        <v>17746</v>
      </c>
      <c r="O3471" s="9" t="s">
        <v>3543</v>
      </c>
      <c r="P3471" s="9" t="s">
        <v>17748</v>
      </c>
      <c r="Q3471" s="11" t="s">
        <v>17917</v>
      </c>
      <c r="R3471" s="11" t="s">
        <v>17917</v>
      </c>
      <c r="S3471" s="11" t="s">
        <v>17750</v>
      </c>
    </row>
    <row r="3472" spans="1:19" x14ac:dyDescent="0.2">
      <c r="A3472" s="11" t="s">
        <v>37971</v>
      </c>
      <c r="B3472" s="9" t="s">
        <v>37972</v>
      </c>
      <c r="C3472" s="9" t="s">
        <v>37973</v>
      </c>
      <c r="D3472" s="9" t="s">
        <v>37974</v>
      </c>
      <c r="E3472" s="9" t="s">
        <v>17748</v>
      </c>
      <c r="F3472" s="9" t="s">
        <v>37975</v>
      </c>
      <c r="G3472" s="9" t="s">
        <v>17740</v>
      </c>
      <c r="H3472" s="11" t="s">
        <v>9537</v>
      </c>
      <c r="I3472" s="11" t="s">
        <v>9536</v>
      </c>
      <c r="J3472" s="11" t="s">
        <v>9536</v>
      </c>
      <c r="K3472" s="9" t="s">
        <v>291</v>
      </c>
      <c r="L3472" s="9" t="s">
        <v>17744</v>
      </c>
      <c r="M3472" s="9" t="s">
        <v>27387</v>
      </c>
      <c r="N3472" s="9" t="s">
        <v>17746</v>
      </c>
      <c r="O3472" s="9" t="s">
        <v>37976</v>
      </c>
      <c r="P3472" s="9" t="s">
        <v>17748</v>
      </c>
      <c r="Q3472" s="11" t="s">
        <v>19361</v>
      </c>
      <c r="R3472" s="11" t="s">
        <v>19361</v>
      </c>
      <c r="S3472" s="11" t="s">
        <v>17750</v>
      </c>
    </row>
    <row r="3473" spans="1:19" x14ac:dyDescent="0.2">
      <c r="A3473" s="11" t="s">
        <v>37977</v>
      </c>
      <c r="B3473" s="9" t="s">
        <v>37978</v>
      </c>
      <c r="C3473" s="9" t="s">
        <v>37979</v>
      </c>
      <c r="D3473" s="9" t="s">
        <v>37980</v>
      </c>
      <c r="E3473" s="9" t="s">
        <v>17740</v>
      </c>
      <c r="F3473" s="9" t="s">
        <v>17741</v>
      </c>
      <c r="G3473" s="9" t="s">
        <v>17740</v>
      </c>
      <c r="H3473" s="11" t="s">
        <v>2716</v>
      </c>
      <c r="I3473" s="11" t="s">
        <v>2715</v>
      </c>
      <c r="J3473" s="11" t="s">
        <v>17741</v>
      </c>
      <c r="K3473" s="9" t="s">
        <v>37981</v>
      </c>
      <c r="L3473" s="9" t="s">
        <v>17759</v>
      </c>
      <c r="M3473" s="9" t="s">
        <v>18513</v>
      </c>
      <c r="N3473" s="9" t="s">
        <v>17746</v>
      </c>
      <c r="O3473" s="9" t="s">
        <v>37982</v>
      </c>
      <c r="P3473" s="9" t="s">
        <v>17748</v>
      </c>
      <c r="Q3473" s="11" t="s">
        <v>18341</v>
      </c>
      <c r="R3473" s="11" t="s">
        <v>18341</v>
      </c>
      <c r="S3473" s="11" t="s">
        <v>17750</v>
      </c>
    </row>
    <row r="3474" spans="1:19" x14ac:dyDescent="0.2">
      <c r="A3474" s="11" t="s">
        <v>37983</v>
      </c>
      <c r="B3474" s="9" t="s">
        <v>37984</v>
      </c>
      <c r="C3474" s="9" t="s">
        <v>37985</v>
      </c>
      <c r="D3474" s="9" t="s">
        <v>37986</v>
      </c>
      <c r="E3474" s="9" t="s">
        <v>17748</v>
      </c>
      <c r="F3474" s="9" t="s">
        <v>37987</v>
      </c>
      <c r="G3474" s="9" t="s">
        <v>17740</v>
      </c>
      <c r="H3474" s="11" t="s">
        <v>17741</v>
      </c>
      <c r="I3474" s="11" t="s">
        <v>6635</v>
      </c>
      <c r="J3474" s="11" t="s">
        <v>6635</v>
      </c>
      <c r="K3474" s="9" t="s">
        <v>37988</v>
      </c>
      <c r="L3474" s="9" t="s">
        <v>17759</v>
      </c>
      <c r="M3474" s="9" t="s">
        <v>37989</v>
      </c>
      <c r="N3474" s="9" t="s">
        <v>17746</v>
      </c>
      <c r="O3474" s="9" t="s">
        <v>3255</v>
      </c>
      <c r="P3474" s="9" t="s">
        <v>17748</v>
      </c>
      <c r="Q3474" s="11" t="s">
        <v>19361</v>
      </c>
      <c r="R3474" s="11" t="s">
        <v>19361</v>
      </c>
      <c r="S3474" s="11" t="s">
        <v>17750</v>
      </c>
    </row>
    <row r="3475" spans="1:19" x14ac:dyDescent="0.2">
      <c r="A3475" s="11" t="s">
        <v>37990</v>
      </c>
      <c r="B3475" s="9" t="s">
        <v>37991</v>
      </c>
      <c r="C3475" s="9" t="s">
        <v>37992</v>
      </c>
      <c r="D3475" s="9" t="s">
        <v>37993</v>
      </c>
      <c r="E3475" s="9" t="s">
        <v>17740</v>
      </c>
      <c r="F3475" s="9" t="s">
        <v>17741</v>
      </c>
      <c r="G3475" s="9" t="s">
        <v>17740</v>
      </c>
      <c r="H3475" s="11" t="s">
        <v>37994</v>
      </c>
      <c r="I3475" s="11" t="s">
        <v>37995</v>
      </c>
      <c r="J3475" s="11" t="s">
        <v>37994</v>
      </c>
      <c r="K3475" s="9" t="s">
        <v>37996</v>
      </c>
      <c r="L3475" s="9" t="s">
        <v>17759</v>
      </c>
      <c r="M3475" s="9" t="s">
        <v>17760</v>
      </c>
      <c r="N3475" s="9" t="s">
        <v>17746</v>
      </c>
      <c r="O3475" s="9" t="s">
        <v>24089</v>
      </c>
      <c r="P3475" s="9" t="s">
        <v>17748</v>
      </c>
      <c r="Q3475" s="11" t="s">
        <v>18856</v>
      </c>
      <c r="R3475" s="11" t="s">
        <v>18856</v>
      </c>
      <c r="S3475" s="11" t="s">
        <v>17750</v>
      </c>
    </row>
    <row r="3476" spans="1:19" x14ac:dyDescent="0.2">
      <c r="A3476" s="11" t="s">
        <v>37997</v>
      </c>
      <c r="B3476" s="9" t="s">
        <v>37998</v>
      </c>
      <c r="C3476" s="9" t="s">
        <v>37999</v>
      </c>
      <c r="D3476" s="9" t="s">
        <v>38000</v>
      </c>
      <c r="E3476" s="9" t="s">
        <v>17748</v>
      </c>
      <c r="F3476" s="9" t="s">
        <v>38001</v>
      </c>
      <c r="G3476" s="9" t="s">
        <v>17740</v>
      </c>
      <c r="H3476" s="11" t="s">
        <v>38002</v>
      </c>
      <c r="I3476" s="11" t="s">
        <v>38003</v>
      </c>
      <c r="J3476" s="11" t="s">
        <v>38003</v>
      </c>
      <c r="K3476" s="9" t="s">
        <v>38004</v>
      </c>
      <c r="L3476" s="9" t="s">
        <v>18130</v>
      </c>
      <c r="M3476" s="9" t="s">
        <v>26933</v>
      </c>
      <c r="N3476" s="9" t="s">
        <v>17746</v>
      </c>
      <c r="O3476" s="9" t="s">
        <v>19740</v>
      </c>
      <c r="P3476" s="9" t="s">
        <v>17748</v>
      </c>
      <c r="Q3476" s="11" t="s">
        <v>18922</v>
      </c>
      <c r="R3476" s="11" t="s">
        <v>18922</v>
      </c>
      <c r="S3476" s="11" t="s">
        <v>17750</v>
      </c>
    </row>
    <row r="3477" spans="1:19" x14ac:dyDescent="0.2">
      <c r="A3477" s="11" t="s">
        <v>38005</v>
      </c>
      <c r="B3477" s="9" t="s">
        <v>38006</v>
      </c>
      <c r="C3477" s="9" t="s">
        <v>38007</v>
      </c>
      <c r="D3477" s="9" t="s">
        <v>38008</v>
      </c>
      <c r="E3477" s="9" t="s">
        <v>17748</v>
      </c>
      <c r="F3477" s="9" t="s">
        <v>38009</v>
      </c>
      <c r="G3477" s="9" t="s">
        <v>17740</v>
      </c>
      <c r="H3477" s="11" t="s">
        <v>17741</v>
      </c>
      <c r="I3477" s="11" t="s">
        <v>38010</v>
      </c>
      <c r="J3477" s="11" t="s">
        <v>38010</v>
      </c>
      <c r="K3477" s="9" t="s">
        <v>18404</v>
      </c>
      <c r="L3477" s="9" t="s">
        <v>18130</v>
      </c>
      <c r="M3477" s="9" t="s">
        <v>17942</v>
      </c>
      <c r="N3477" s="9" t="s">
        <v>17746</v>
      </c>
      <c r="O3477" s="9" t="s">
        <v>19740</v>
      </c>
      <c r="P3477" s="9" t="s">
        <v>17748</v>
      </c>
      <c r="Q3477" s="11" t="s">
        <v>17858</v>
      </c>
      <c r="R3477" s="11" t="s">
        <v>17858</v>
      </c>
      <c r="S3477" s="11" t="s">
        <v>17750</v>
      </c>
    </row>
    <row r="3478" spans="1:19" x14ac:dyDescent="0.2">
      <c r="A3478" s="11" t="s">
        <v>38011</v>
      </c>
      <c r="B3478" s="9" t="s">
        <v>38012</v>
      </c>
      <c r="C3478" s="9" t="s">
        <v>38013</v>
      </c>
      <c r="D3478" s="9" t="s">
        <v>38014</v>
      </c>
      <c r="E3478" s="9" t="s">
        <v>17740</v>
      </c>
      <c r="F3478" s="9" t="s">
        <v>38015</v>
      </c>
      <c r="G3478" s="9" t="s">
        <v>17740</v>
      </c>
      <c r="H3478" s="11" t="s">
        <v>2725</v>
      </c>
      <c r="I3478" s="11" t="s">
        <v>2724</v>
      </c>
      <c r="J3478" s="11" t="s">
        <v>2724</v>
      </c>
      <c r="K3478" s="9" t="s">
        <v>38016</v>
      </c>
      <c r="L3478" s="9" t="s">
        <v>17759</v>
      </c>
      <c r="M3478" s="9" t="s">
        <v>18250</v>
      </c>
      <c r="N3478" s="9" t="s">
        <v>17746</v>
      </c>
      <c r="O3478" s="9" t="s">
        <v>31602</v>
      </c>
      <c r="P3478" s="9" t="s">
        <v>17748</v>
      </c>
      <c r="Q3478" s="11" t="s">
        <v>18341</v>
      </c>
      <c r="R3478" s="11" t="s">
        <v>18341</v>
      </c>
      <c r="S3478" s="11" t="s">
        <v>17750</v>
      </c>
    </row>
    <row r="3479" spans="1:19" x14ac:dyDescent="0.2">
      <c r="A3479" s="11" t="s">
        <v>38017</v>
      </c>
      <c r="B3479" s="9" t="s">
        <v>38018</v>
      </c>
      <c r="C3479" s="9" t="s">
        <v>38019</v>
      </c>
      <c r="D3479" s="9" t="s">
        <v>38020</v>
      </c>
      <c r="E3479" s="9" t="s">
        <v>17740</v>
      </c>
      <c r="F3479" s="9" t="s">
        <v>17741</v>
      </c>
      <c r="G3479" s="9" t="s">
        <v>17740</v>
      </c>
      <c r="H3479" s="11" t="s">
        <v>38021</v>
      </c>
      <c r="I3479" s="11" t="s">
        <v>38022</v>
      </c>
      <c r="J3479" s="11" t="s">
        <v>38022</v>
      </c>
      <c r="K3479" s="9" t="s">
        <v>17783</v>
      </c>
      <c r="L3479" s="9" t="s">
        <v>17759</v>
      </c>
      <c r="M3479" s="9" t="s">
        <v>19768</v>
      </c>
      <c r="N3479" s="9" t="s">
        <v>17746</v>
      </c>
      <c r="O3479" s="9" t="s">
        <v>38023</v>
      </c>
      <c r="P3479" s="9" t="s">
        <v>17748</v>
      </c>
      <c r="Q3479" s="11" t="s">
        <v>18306</v>
      </c>
      <c r="R3479" s="11" t="s">
        <v>18306</v>
      </c>
      <c r="S3479" s="11" t="s">
        <v>17750</v>
      </c>
    </row>
    <row r="3480" spans="1:19" x14ac:dyDescent="0.2">
      <c r="A3480" s="11" t="s">
        <v>38024</v>
      </c>
      <c r="B3480" s="9" t="s">
        <v>38025</v>
      </c>
      <c r="C3480" s="9" t="s">
        <v>38026</v>
      </c>
      <c r="D3480" s="9" t="s">
        <v>38027</v>
      </c>
      <c r="E3480" s="9" t="s">
        <v>17748</v>
      </c>
      <c r="F3480" s="9" t="s">
        <v>38028</v>
      </c>
      <c r="G3480" s="9" t="s">
        <v>17740</v>
      </c>
      <c r="H3480" s="11" t="s">
        <v>38029</v>
      </c>
      <c r="I3480" s="11" t="s">
        <v>38030</v>
      </c>
      <c r="J3480" s="11" t="s">
        <v>38030</v>
      </c>
      <c r="K3480" s="9" t="s">
        <v>970</v>
      </c>
      <c r="L3480" s="9" t="s">
        <v>17759</v>
      </c>
      <c r="M3480" s="9" t="s">
        <v>17760</v>
      </c>
      <c r="N3480" s="9" t="s">
        <v>17746</v>
      </c>
      <c r="O3480" s="9" t="s">
        <v>38031</v>
      </c>
      <c r="P3480" s="9" t="s">
        <v>17748</v>
      </c>
      <c r="Q3480" s="11" t="s">
        <v>17762</v>
      </c>
      <c r="R3480" s="11" t="s">
        <v>17762</v>
      </c>
      <c r="S3480" s="11" t="s">
        <v>17750</v>
      </c>
    </row>
    <row r="3481" spans="1:19" x14ac:dyDescent="0.2">
      <c r="A3481" s="11" t="s">
        <v>38032</v>
      </c>
      <c r="B3481" s="9" t="s">
        <v>38033</v>
      </c>
      <c r="C3481" s="9" t="s">
        <v>38034</v>
      </c>
      <c r="D3481" s="9" t="s">
        <v>38035</v>
      </c>
      <c r="E3481" s="9" t="s">
        <v>17740</v>
      </c>
      <c r="F3481" s="9" t="s">
        <v>17741</v>
      </c>
      <c r="G3481" s="9" t="s">
        <v>17740</v>
      </c>
      <c r="H3481" s="11" t="s">
        <v>38036</v>
      </c>
      <c r="I3481" s="11" t="s">
        <v>38037</v>
      </c>
      <c r="J3481" s="11" t="s">
        <v>38037</v>
      </c>
      <c r="K3481" s="9" t="s">
        <v>18921</v>
      </c>
      <c r="L3481" s="9" t="s">
        <v>17759</v>
      </c>
      <c r="M3481" s="9" t="s">
        <v>17760</v>
      </c>
      <c r="N3481" s="9" t="s">
        <v>17746</v>
      </c>
      <c r="O3481" s="9" t="s">
        <v>38038</v>
      </c>
      <c r="P3481" s="9" t="s">
        <v>17748</v>
      </c>
      <c r="Q3481" s="11" t="s">
        <v>18080</v>
      </c>
      <c r="R3481" s="11" t="s">
        <v>18080</v>
      </c>
      <c r="S3481" s="11" t="s">
        <v>17750</v>
      </c>
    </row>
    <row r="3482" spans="1:19" x14ac:dyDescent="0.2">
      <c r="A3482" s="11" t="s">
        <v>38039</v>
      </c>
      <c r="B3482" s="9" t="s">
        <v>38040</v>
      </c>
      <c r="C3482" s="9" t="s">
        <v>38041</v>
      </c>
      <c r="D3482" s="9" t="s">
        <v>38042</v>
      </c>
      <c r="E3482" s="9" t="s">
        <v>17740</v>
      </c>
      <c r="F3482" s="9" t="s">
        <v>38043</v>
      </c>
      <c r="G3482" s="9" t="s">
        <v>17740</v>
      </c>
      <c r="H3482" s="11" t="s">
        <v>38044</v>
      </c>
      <c r="I3482" s="11" t="s">
        <v>38045</v>
      </c>
      <c r="J3482" s="11" t="s">
        <v>38045</v>
      </c>
      <c r="K3482" s="9" t="s">
        <v>38046</v>
      </c>
      <c r="L3482" s="9" t="s">
        <v>18242</v>
      </c>
      <c r="M3482" s="9" t="s">
        <v>18065</v>
      </c>
      <c r="N3482" s="9" t="s">
        <v>17746</v>
      </c>
      <c r="O3482" s="9" t="s">
        <v>19067</v>
      </c>
      <c r="P3482" s="9" t="s">
        <v>17748</v>
      </c>
      <c r="Q3482" s="11" t="s">
        <v>18147</v>
      </c>
      <c r="R3482" s="11" t="s">
        <v>18147</v>
      </c>
      <c r="S3482" s="11" t="s">
        <v>17750</v>
      </c>
    </row>
    <row r="3483" spans="1:19" x14ac:dyDescent="0.2">
      <c r="A3483" s="11" t="s">
        <v>38047</v>
      </c>
      <c r="B3483" s="9" t="s">
        <v>38048</v>
      </c>
      <c r="C3483" s="9" t="s">
        <v>38049</v>
      </c>
      <c r="D3483" s="9" t="s">
        <v>38050</v>
      </c>
      <c r="E3483" s="9" t="s">
        <v>17740</v>
      </c>
      <c r="F3483" s="9" t="s">
        <v>17741</v>
      </c>
      <c r="G3483" s="9" t="s">
        <v>17740</v>
      </c>
      <c r="H3483" s="11" t="s">
        <v>2713</v>
      </c>
      <c r="I3483" s="11" t="s">
        <v>2712</v>
      </c>
      <c r="J3483" s="11" t="s">
        <v>2712</v>
      </c>
      <c r="K3483" s="9" t="s">
        <v>38051</v>
      </c>
      <c r="L3483" s="9" t="s">
        <v>21771</v>
      </c>
      <c r="M3483" s="9" t="s">
        <v>21289</v>
      </c>
      <c r="N3483" s="9" t="s">
        <v>17746</v>
      </c>
      <c r="O3483" s="9" t="s">
        <v>19905</v>
      </c>
      <c r="P3483" s="9" t="s">
        <v>17748</v>
      </c>
      <c r="Q3483" s="11" t="s">
        <v>18251</v>
      </c>
      <c r="R3483" s="11" t="s">
        <v>18251</v>
      </c>
      <c r="S3483" s="11" t="s">
        <v>17750</v>
      </c>
    </row>
    <row r="3484" spans="1:19" x14ac:dyDescent="0.2">
      <c r="A3484" s="11" t="s">
        <v>38052</v>
      </c>
      <c r="B3484" s="9" t="s">
        <v>38053</v>
      </c>
      <c r="C3484" s="9" t="s">
        <v>38054</v>
      </c>
      <c r="D3484" s="9" t="s">
        <v>38055</v>
      </c>
      <c r="E3484" s="9" t="s">
        <v>17740</v>
      </c>
      <c r="F3484" s="9" t="s">
        <v>38056</v>
      </c>
      <c r="G3484" s="9" t="s">
        <v>17740</v>
      </c>
      <c r="H3484" s="11" t="s">
        <v>17741</v>
      </c>
      <c r="I3484" s="11" t="s">
        <v>2721</v>
      </c>
      <c r="J3484" s="11" t="s">
        <v>2721</v>
      </c>
      <c r="K3484" s="9" t="s">
        <v>38057</v>
      </c>
      <c r="L3484" s="9" t="s">
        <v>17759</v>
      </c>
      <c r="M3484" s="9" t="s">
        <v>17817</v>
      </c>
      <c r="N3484" s="9" t="s">
        <v>17746</v>
      </c>
      <c r="O3484" s="9" t="s">
        <v>19067</v>
      </c>
      <c r="P3484" s="9" t="s">
        <v>17748</v>
      </c>
      <c r="Q3484" s="11" t="s">
        <v>17867</v>
      </c>
      <c r="R3484" s="11" t="s">
        <v>17867</v>
      </c>
      <c r="S3484" s="11" t="s">
        <v>17750</v>
      </c>
    </row>
    <row r="3485" spans="1:19" x14ac:dyDescent="0.2">
      <c r="A3485" s="11" t="s">
        <v>38058</v>
      </c>
      <c r="B3485" s="9" t="s">
        <v>38059</v>
      </c>
      <c r="C3485" s="9" t="s">
        <v>38060</v>
      </c>
      <c r="D3485" s="9" t="s">
        <v>38061</v>
      </c>
      <c r="E3485" s="9" t="s">
        <v>17740</v>
      </c>
      <c r="F3485" s="9" t="s">
        <v>38062</v>
      </c>
      <c r="G3485" s="9" t="s">
        <v>17740</v>
      </c>
      <c r="H3485" s="11" t="s">
        <v>38063</v>
      </c>
      <c r="I3485" s="11" t="s">
        <v>38064</v>
      </c>
      <c r="J3485" s="11" t="s">
        <v>38064</v>
      </c>
      <c r="K3485" s="9" t="s">
        <v>38065</v>
      </c>
      <c r="L3485" s="9" t="s">
        <v>18232</v>
      </c>
      <c r="M3485" s="9" t="s">
        <v>21116</v>
      </c>
      <c r="N3485" s="9" t="s">
        <v>17746</v>
      </c>
      <c r="O3485" s="9" t="s">
        <v>3524</v>
      </c>
      <c r="P3485" s="9" t="s">
        <v>17748</v>
      </c>
      <c r="Q3485" s="11" t="s">
        <v>17984</v>
      </c>
      <c r="R3485" s="11" t="s">
        <v>17984</v>
      </c>
      <c r="S3485" s="11" t="s">
        <v>17750</v>
      </c>
    </row>
    <row r="3486" spans="1:19" x14ac:dyDescent="0.2">
      <c r="A3486" s="11" t="s">
        <v>38066</v>
      </c>
      <c r="B3486" s="9" t="s">
        <v>38067</v>
      </c>
      <c r="C3486" s="9" t="s">
        <v>38068</v>
      </c>
      <c r="D3486" s="9" t="s">
        <v>38069</v>
      </c>
      <c r="E3486" s="9" t="s">
        <v>17740</v>
      </c>
      <c r="F3486" s="9" t="s">
        <v>17741</v>
      </c>
      <c r="G3486" s="9" t="s">
        <v>17740</v>
      </c>
      <c r="H3486" s="11" t="s">
        <v>17741</v>
      </c>
      <c r="I3486" s="11" t="s">
        <v>2709</v>
      </c>
      <c r="J3486" s="11" t="s">
        <v>2709</v>
      </c>
      <c r="K3486" s="9" t="s">
        <v>38070</v>
      </c>
      <c r="L3486" s="9" t="s">
        <v>18959</v>
      </c>
      <c r="M3486" s="9" t="s">
        <v>17817</v>
      </c>
      <c r="N3486" s="9" t="s">
        <v>17746</v>
      </c>
      <c r="O3486" s="9" t="s">
        <v>18534</v>
      </c>
      <c r="P3486" s="9" t="s">
        <v>17748</v>
      </c>
      <c r="Q3486" s="11" t="s">
        <v>17771</v>
      </c>
      <c r="R3486" s="11" t="s">
        <v>17771</v>
      </c>
      <c r="S3486" s="11" t="s">
        <v>17750</v>
      </c>
    </row>
    <row r="3487" spans="1:19" x14ac:dyDescent="0.2">
      <c r="A3487" s="11" t="s">
        <v>38071</v>
      </c>
      <c r="B3487" s="9" t="s">
        <v>38072</v>
      </c>
      <c r="C3487" s="9" t="s">
        <v>38073</v>
      </c>
      <c r="D3487" s="9" t="s">
        <v>38074</v>
      </c>
      <c r="E3487" s="9" t="s">
        <v>17740</v>
      </c>
      <c r="F3487" s="9" t="s">
        <v>17741</v>
      </c>
      <c r="G3487" s="9" t="s">
        <v>17740</v>
      </c>
      <c r="H3487" s="11" t="s">
        <v>17741</v>
      </c>
      <c r="I3487" s="11" t="s">
        <v>38075</v>
      </c>
      <c r="J3487" s="11" t="s">
        <v>38075</v>
      </c>
      <c r="K3487" s="9" t="s">
        <v>38076</v>
      </c>
      <c r="L3487" s="9" t="s">
        <v>18959</v>
      </c>
      <c r="M3487" s="9" t="s">
        <v>17942</v>
      </c>
      <c r="N3487" s="9" t="s">
        <v>17746</v>
      </c>
      <c r="O3487" s="9" t="s">
        <v>18534</v>
      </c>
      <c r="P3487" s="9" t="s">
        <v>17748</v>
      </c>
      <c r="Q3487" s="11" t="s">
        <v>17771</v>
      </c>
      <c r="R3487" s="11" t="s">
        <v>17771</v>
      </c>
      <c r="S3487" s="11" t="s">
        <v>17750</v>
      </c>
    </row>
    <row r="3488" spans="1:19" x14ac:dyDescent="0.2">
      <c r="A3488" s="11" t="s">
        <v>38077</v>
      </c>
      <c r="B3488" s="9" t="s">
        <v>38078</v>
      </c>
      <c r="C3488" s="9" t="s">
        <v>38079</v>
      </c>
      <c r="D3488" s="9" t="s">
        <v>38080</v>
      </c>
      <c r="E3488" s="9" t="s">
        <v>17740</v>
      </c>
      <c r="F3488" s="9" t="s">
        <v>38081</v>
      </c>
      <c r="G3488" s="9" t="s">
        <v>17740</v>
      </c>
      <c r="H3488" s="11" t="s">
        <v>17741</v>
      </c>
      <c r="I3488" s="11" t="s">
        <v>38082</v>
      </c>
      <c r="J3488" s="11" t="s">
        <v>38082</v>
      </c>
      <c r="K3488" s="9" t="s">
        <v>38083</v>
      </c>
      <c r="L3488" s="9" t="s">
        <v>17759</v>
      </c>
      <c r="M3488" s="9" t="s">
        <v>17760</v>
      </c>
      <c r="N3488" s="9" t="s">
        <v>17746</v>
      </c>
      <c r="O3488" s="9" t="s">
        <v>18869</v>
      </c>
      <c r="P3488" s="9" t="s">
        <v>17748</v>
      </c>
      <c r="Q3488" s="11" t="s">
        <v>19236</v>
      </c>
      <c r="R3488" s="11" t="s">
        <v>19236</v>
      </c>
      <c r="S3488" s="11" t="s">
        <v>17750</v>
      </c>
    </row>
    <row r="3489" spans="1:19" x14ac:dyDescent="0.2">
      <c r="A3489" s="11" t="s">
        <v>38084</v>
      </c>
      <c r="B3489" s="9" t="s">
        <v>38085</v>
      </c>
      <c r="C3489" s="9" t="s">
        <v>38086</v>
      </c>
      <c r="D3489" s="9" t="s">
        <v>38087</v>
      </c>
      <c r="E3489" s="9" t="s">
        <v>17740</v>
      </c>
      <c r="F3489" s="9" t="s">
        <v>38088</v>
      </c>
      <c r="G3489" s="9" t="s">
        <v>17740</v>
      </c>
      <c r="H3489" s="11" t="s">
        <v>38089</v>
      </c>
      <c r="I3489" s="11" t="s">
        <v>38090</v>
      </c>
      <c r="J3489" s="11" t="s">
        <v>38090</v>
      </c>
      <c r="K3489" s="9" t="s">
        <v>21146</v>
      </c>
      <c r="L3489" s="9" t="s">
        <v>17744</v>
      </c>
      <c r="M3489" s="9" t="s">
        <v>20717</v>
      </c>
      <c r="N3489" s="9" t="s">
        <v>17746</v>
      </c>
      <c r="O3489" s="9" t="s">
        <v>3524</v>
      </c>
      <c r="P3489" s="9" t="s">
        <v>17748</v>
      </c>
      <c r="Q3489" s="11" t="s">
        <v>18960</v>
      </c>
      <c r="R3489" s="11" t="s">
        <v>18960</v>
      </c>
      <c r="S3489" s="11" t="s">
        <v>17750</v>
      </c>
    </row>
    <row r="3490" spans="1:19" x14ac:dyDescent="0.2">
      <c r="A3490" s="11" t="s">
        <v>38091</v>
      </c>
      <c r="B3490" s="9" t="s">
        <v>38092</v>
      </c>
      <c r="C3490" s="9" t="s">
        <v>38093</v>
      </c>
      <c r="D3490" s="9" t="s">
        <v>38094</v>
      </c>
      <c r="E3490" s="9" t="s">
        <v>17740</v>
      </c>
      <c r="F3490" s="9" t="s">
        <v>17741</v>
      </c>
      <c r="G3490" s="9" t="s">
        <v>17740</v>
      </c>
      <c r="H3490" s="11" t="s">
        <v>38095</v>
      </c>
      <c r="I3490" s="11" t="s">
        <v>38096</v>
      </c>
      <c r="J3490" s="11" t="s">
        <v>38096</v>
      </c>
      <c r="K3490" s="9" t="s">
        <v>17865</v>
      </c>
      <c r="L3490" s="9" t="s">
        <v>17759</v>
      </c>
      <c r="M3490" s="9" t="s">
        <v>17760</v>
      </c>
      <c r="N3490" s="9" t="s">
        <v>17746</v>
      </c>
      <c r="O3490" s="9" t="s">
        <v>7317</v>
      </c>
      <c r="P3490" s="9" t="s">
        <v>17748</v>
      </c>
      <c r="Q3490" s="11" t="s">
        <v>17867</v>
      </c>
      <c r="R3490" s="11" t="s">
        <v>17867</v>
      </c>
      <c r="S3490" s="11" t="s">
        <v>17750</v>
      </c>
    </row>
    <row r="3491" spans="1:19" x14ac:dyDescent="0.2">
      <c r="A3491" s="11" t="s">
        <v>38097</v>
      </c>
      <c r="B3491" s="9" t="s">
        <v>38098</v>
      </c>
      <c r="C3491" s="9" t="s">
        <v>38099</v>
      </c>
      <c r="D3491" s="9" t="s">
        <v>38100</v>
      </c>
      <c r="E3491" s="9" t="s">
        <v>17740</v>
      </c>
      <c r="F3491" s="9" t="s">
        <v>38101</v>
      </c>
      <c r="G3491" s="9" t="s">
        <v>17740</v>
      </c>
      <c r="H3491" s="11" t="s">
        <v>38102</v>
      </c>
      <c r="I3491" s="11" t="s">
        <v>38103</v>
      </c>
      <c r="J3491" s="11" t="s">
        <v>38103</v>
      </c>
      <c r="K3491" s="9" t="s">
        <v>17805</v>
      </c>
      <c r="L3491" s="9" t="s">
        <v>17759</v>
      </c>
      <c r="M3491" s="9" t="s">
        <v>19012</v>
      </c>
      <c r="N3491" s="9" t="s">
        <v>17746</v>
      </c>
      <c r="O3491" s="9" t="s">
        <v>24351</v>
      </c>
      <c r="P3491" s="9" t="s">
        <v>17748</v>
      </c>
      <c r="Q3491" s="11" t="s">
        <v>18493</v>
      </c>
      <c r="R3491" s="11" t="s">
        <v>18493</v>
      </c>
      <c r="S3491" s="11" t="s">
        <v>17750</v>
      </c>
    </row>
    <row r="3492" spans="1:19" x14ac:dyDescent="0.2">
      <c r="A3492" s="11" t="s">
        <v>38104</v>
      </c>
      <c r="B3492" s="9" t="s">
        <v>38105</v>
      </c>
      <c r="C3492" s="9" t="s">
        <v>38106</v>
      </c>
      <c r="D3492" s="9" t="s">
        <v>38107</v>
      </c>
      <c r="E3492" s="9" t="s">
        <v>17740</v>
      </c>
      <c r="F3492" s="9" t="s">
        <v>38108</v>
      </c>
      <c r="G3492" s="9" t="s">
        <v>17740</v>
      </c>
      <c r="H3492" s="11" t="s">
        <v>38109</v>
      </c>
      <c r="I3492" s="11" t="s">
        <v>38110</v>
      </c>
      <c r="J3492" s="11" t="s">
        <v>38110</v>
      </c>
      <c r="K3492" s="9" t="s">
        <v>19447</v>
      </c>
      <c r="L3492" s="9" t="s">
        <v>17759</v>
      </c>
      <c r="M3492" s="9" t="s">
        <v>20280</v>
      </c>
      <c r="N3492" s="9" t="s">
        <v>17746</v>
      </c>
      <c r="O3492" s="9" t="s">
        <v>24351</v>
      </c>
      <c r="P3492" s="9" t="s">
        <v>17748</v>
      </c>
      <c r="Q3492" s="11" t="s">
        <v>18080</v>
      </c>
      <c r="R3492" s="11" t="s">
        <v>18080</v>
      </c>
      <c r="S3492" s="11" t="s">
        <v>17750</v>
      </c>
    </row>
    <row r="3493" spans="1:19" x14ac:dyDescent="0.2">
      <c r="A3493" s="11" t="s">
        <v>38111</v>
      </c>
      <c r="B3493" s="9" t="s">
        <v>38112</v>
      </c>
      <c r="C3493" s="9" t="s">
        <v>38113</v>
      </c>
      <c r="D3493" s="9" t="s">
        <v>38114</v>
      </c>
      <c r="E3493" s="9" t="s">
        <v>17740</v>
      </c>
      <c r="F3493" s="9" t="s">
        <v>17741</v>
      </c>
      <c r="G3493" s="9" t="s">
        <v>17740</v>
      </c>
      <c r="H3493" s="11" t="s">
        <v>38115</v>
      </c>
      <c r="I3493" s="11" t="s">
        <v>38116</v>
      </c>
      <c r="J3493" s="11" t="s">
        <v>38116</v>
      </c>
      <c r="K3493" s="9" t="s">
        <v>17865</v>
      </c>
      <c r="L3493" s="9" t="s">
        <v>17759</v>
      </c>
      <c r="M3493" s="9" t="s">
        <v>17760</v>
      </c>
      <c r="N3493" s="9" t="s">
        <v>17746</v>
      </c>
      <c r="O3493" s="9" t="s">
        <v>23543</v>
      </c>
      <c r="P3493" s="9" t="s">
        <v>17748</v>
      </c>
      <c r="Q3493" s="11" t="s">
        <v>17849</v>
      </c>
      <c r="R3493" s="11" t="s">
        <v>17849</v>
      </c>
      <c r="S3493" s="11" t="s">
        <v>17750</v>
      </c>
    </row>
    <row r="3494" spans="1:19" x14ac:dyDescent="0.2">
      <c r="A3494" s="11" t="s">
        <v>38117</v>
      </c>
      <c r="B3494" s="9" t="s">
        <v>38118</v>
      </c>
      <c r="C3494" s="9" t="s">
        <v>38119</v>
      </c>
      <c r="D3494" s="9" t="s">
        <v>38120</v>
      </c>
      <c r="E3494" s="9" t="s">
        <v>17748</v>
      </c>
      <c r="F3494" s="9" t="s">
        <v>38121</v>
      </c>
      <c r="G3494" s="9" t="s">
        <v>17740</v>
      </c>
      <c r="H3494" s="11" t="s">
        <v>7786</v>
      </c>
      <c r="I3494" s="11" t="s">
        <v>7785</v>
      </c>
      <c r="J3494" s="11" t="s">
        <v>17741</v>
      </c>
      <c r="K3494" s="9" t="s">
        <v>17188</v>
      </c>
      <c r="L3494" s="9" t="s">
        <v>20082</v>
      </c>
      <c r="M3494" s="9" t="s">
        <v>17778</v>
      </c>
      <c r="N3494" s="9" t="s">
        <v>17746</v>
      </c>
      <c r="O3494" s="9" t="s">
        <v>19939</v>
      </c>
      <c r="P3494" s="9" t="s">
        <v>17748</v>
      </c>
      <c r="Q3494" s="11" t="s">
        <v>18798</v>
      </c>
      <c r="R3494" s="11" t="s">
        <v>18798</v>
      </c>
      <c r="S3494" s="11" t="s">
        <v>17750</v>
      </c>
    </row>
    <row r="3495" spans="1:19" x14ac:dyDescent="0.2">
      <c r="A3495" s="11" t="s">
        <v>38122</v>
      </c>
      <c r="B3495" s="9" t="s">
        <v>38123</v>
      </c>
      <c r="C3495" s="9" t="s">
        <v>38124</v>
      </c>
      <c r="D3495" s="9" t="s">
        <v>38125</v>
      </c>
      <c r="E3495" s="9" t="s">
        <v>17740</v>
      </c>
      <c r="F3495" s="9" t="s">
        <v>38126</v>
      </c>
      <c r="G3495" s="9" t="s">
        <v>17740</v>
      </c>
      <c r="H3495" s="11" t="s">
        <v>8860</v>
      </c>
      <c r="I3495" s="11" t="s">
        <v>8859</v>
      </c>
      <c r="J3495" s="11" t="s">
        <v>8859</v>
      </c>
      <c r="K3495" s="9" t="s">
        <v>18712</v>
      </c>
      <c r="L3495" s="9" t="s">
        <v>18158</v>
      </c>
      <c r="M3495" s="9" t="s">
        <v>38127</v>
      </c>
      <c r="N3495" s="9" t="s">
        <v>17746</v>
      </c>
      <c r="O3495" s="9" t="s">
        <v>18088</v>
      </c>
      <c r="P3495" s="9" t="s">
        <v>17748</v>
      </c>
      <c r="Q3495" s="11" t="s">
        <v>18922</v>
      </c>
      <c r="R3495" s="11" t="s">
        <v>18922</v>
      </c>
      <c r="S3495" s="11" t="s">
        <v>17750</v>
      </c>
    </row>
    <row r="3496" spans="1:19" x14ac:dyDescent="0.2">
      <c r="A3496" s="11" t="s">
        <v>38128</v>
      </c>
      <c r="B3496" s="9" t="s">
        <v>38129</v>
      </c>
      <c r="C3496" s="9" t="s">
        <v>38130</v>
      </c>
      <c r="D3496" s="9" t="s">
        <v>38131</v>
      </c>
      <c r="E3496" s="9" t="s">
        <v>17740</v>
      </c>
      <c r="F3496" s="9" t="s">
        <v>17741</v>
      </c>
      <c r="G3496" s="9" t="s">
        <v>17740</v>
      </c>
      <c r="H3496" s="11" t="s">
        <v>38132</v>
      </c>
      <c r="I3496" s="11" t="s">
        <v>38133</v>
      </c>
      <c r="J3496" s="11" t="s">
        <v>38133</v>
      </c>
      <c r="K3496" s="9" t="s">
        <v>291</v>
      </c>
      <c r="L3496" s="9" t="s">
        <v>17744</v>
      </c>
      <c r="M3496" s="9" t="s">
        <v>26994</v>
      </c>
      <c r="N3496" s="9" t="s">
        <v>17746</v>
      </c>
      <c r="O3496" s="9" t="s">
        <v>21424</v>
      </c>
      <c r="P3496" s="9" t="s">
        <v>17748</v>
      </c>
      <c r="Q3496" s="11" t="s">
        <v>17771</v>
      </c>
      <c r="R3496" s="11" t="s">
        <v>17771</v>
      </c>
      <c r="S3496" s="11" t="s">
        <v>17750</v>
      </c>
    </row>
    <row r="3497" spans="1:19" x14ac:dyDescent="0.2">
      <c r="A3497" s="11" t="s">
        <v>38134</v>
      </c>
      <c r="B3497" s="9" t="s">
        <v>38135</v>
      </c>
      <c r="C3497" s="9" t="s">
        <v>38136</v>
      </c>
      <c r="D3497" s="9" t="s">
        <v>38137</v>
      </c>
      <c r="E3497" s="9" t="s">
        <v>17740</v>
      </c>
      <c r="F3497" s="9" t="s">
        <v>38138</v>
      </c>
      <c r="G3497" s="9" t="s">
        <v>17740</v>
      </c>
      <c r="H3497" s="11" t="s">
        <v>38139</v>
      </c>
      <c r="I3497" s="11" t="s">
        <v>38140</v>
      </c>
      <c r="J3497" s="11" t="s">
        <v>38140</v>
      </c>
      <c r="K3497" s="9" t="s">
        <v>689</v>
      </c>
      <c r="L3497" s="9" t="s">
        <v>17759</v>
      </c>
      <c r="M3497" s="9" t="s">
        <v>18533</v>
      </c>
      <c r="N3497" s="9" t="s">
        <v>17746</v>
      </c>
      <c r="O3497" s="9" t="s">
        <v>38141</v>
      </c>
      <c r="P3497" s="9" t="s">
        <v>17748</v>
      </c>
      <c r="Q3497" s="11" t="s">
        <v>18072</v>
      </c>
      <c r="R3497" s="11" t="s">
        <v>18072</v>
      </c>
      <c r="S3497" s="11" t="s">
        <v>17750</v>
      </c>
    </row>
    <row r="3498" spans="1:19" x14ac:dyDescent="0.2">
      <c r="A3498" s="11" t="s">
        <v>38142</v>
      </c>
      <c r="B3498" s="9" t="s">
        <v>38143</v>
      </c>
      <c r="C3498" s="9" t="s">
        <v>38144</v>
      </c>
      <c r="D3498" s="9" t="s">
        <v>38145</v>
      </c>
      <c r="E3498" s="9" t="s">
        <v>17740</v>
      </c>
      <c r="F3498" s="9" t="s">
        <v>17741</v>
      </c>
      <c r="G3498" s="9" t="s">
        <v>17740</v>
      </c>
      <c r="H3498" s="11" t="s">
        <v>10470</v>
      </c>
      <c r="I3498" s="11" t="s">
        <v>10469</v>
      </c>
      <c r="J3498" s="11" t="s">
        <v>10469</v>
      </c>
      <c r="K3498" s="9" t="s">
        <v>20225</v>
      </c>
      <c r="L3498" s="9" t="s">
        <v>17759</v>
      </c>
      <c r="M3498" s="9" t="s">
        <v>20970</v>
      </c>
      <c r="N3498" s="9" t="s">
        <v>17746</v>
      </c>
      <c r="O3498" s="9" t="s">
        <v>38146</v>
      </c>
      <c r="P3498" s="9" t="s">
        <v>17748</v>
      </c>
      <c r="Q3498" s="11" t="s">
        <v>17780</v>
      </c>
      <c r="R3498" s="11" t="s">
        <v>17780</v>
      </c>
      <c r="S3498" s="11" t="s">
        <v>17750</v>
      </c>
    </row>
    <row r="3499" spans="1:19" x14ac:dyDescent="0.2">
      <c r="A3499" s="11" t="s">
        <v>38147</v>
      </c>
      <c r="B3499" s="9" t="s">
        <v>38148</v>
      </c>
      <c r="C3499" s="9" t="s">
        <v>38149</v>
      </c>
      <c r="D3499" s="9" t="s">
        <v>38150</v>
      </c>
      <c r="E3499" s="9" t="s">
        <v>17740</v>
      </c>
      <c r="F3499" s="9" t="s">
        <v>17741</v>
      </c>
      <c r="G3499" s="9" t="s">
        <v>17740</v>
      </c>
      <c r="H3499" s="11" t="s">
        <v>9422</v>
      </c>
      <c r="I3499" s="11" t="s">
        <v>9421</v>
      </c>
      <c r="J3499" s="11" t="s">
        <v>9421</v>
      </c>
      <c r="K3499" s="9" t="s">
        <v>18951</v>
      </c>
      <c r="L3499" s="9" t="s">
        <v>17759</v>
      </c>
      <c r="M3499" s="9" t="s">
        <v>17769</v>
      </c>
      <c r="N3499" s="9" t="s">
        <v>17746</v>
      </c>
      <c r="O3499" s="9" t="s">
        <v>23240</v>
      </c>
      <c r="P3499" s="9" t="s">
        <v>17748</v>
      </c>
      <c r="Q3499" s="11" t="s">
        <v>18147</v>
      </c>
      <c r="R3499" s="11" t="s">
        <v>18147</v>
      </c>
      <c r="S3499" s="11" t="s">
        <v>17750</v>
      </c>
    </row>
    <row r="3500" spans="1:19" x14ac:dyDescent="0.2">
      <c r="A3500" s="11" t="s">
        <v>38151</v>
      </c>
      <c r="B3500" s="9" t="s">
        <v>38152</v>
      </c>
      <c r="C3500" s="9" t="s">
        <v>38153</v>
      </c>
      <c r="D3500" s="9" t="s">
        <v>38154</v>
      </c>
      <c r="E3500" s="9" t="s">
        <v>17740</v>
      </c>
      <c r="F3500" s="9" t="s">
        <v>17741</v>
      </c>
      <c r="G3500" s="9" t="s">
        <v>17740</v>
      </c>
      <c r="H3500" s="11" t="s">
        <v>5804</v>
      </c>
      <c r="I3500" s="11" t="s">
        <v>5803</v>
      </c>
      <c r="J3500" s="11" t="s">
        <v>5803</v>
      </c>
      <c r="K3500" s="9" t="s">
        <v>38155</v>
      </c>
      <c r="L3500" s="9" t="s">
        <v>17744</v>
      </c>
      <c r="M3500" s="9" t="s">
        <v>17760</v>
      </c>
      <c r="N3500" s="9" t="s">
        <v>17746</v>
      </c>
      <c r="O3500" s="9" t="s">
        <v>22476</v>
      </c>
      <c r="P3500" s="9" t="s">
        <v>17748</v>
      </c>
      <c r="Q3500" s="11" t="s">
        <v>18147</v>
      </c>
      <c r="R3500" s="11" t="s">
        <v>18147</v>
      </c>
      <c r="S3500" s="11" t="s">
        <v>17750</v>
      </c>
    </row>
    <row r="3501" spans="1:19" x14ac:dyDescent="0.2">
      <c r="A3501" s="11" t="s">
        <v>38156</v>
      </c>
      <c r="B3501" s="9" t="s">
        <v>38157</v>
      </c>
      <c r="C3501" s="9" t="s">
        <v>38158</v>
      </c>
      <c r="D3501" s="9" t="s">
        <v>38159</v>
      </c>
      <c r="E3501" s="9" t="s">
        <v>17740</v>
      </c>
      <c r="F3501" s="9" t="s">
        <v>17741</v>
      </c>
      <c r="G3501" s="9" t="s">
        <v>17740</v>
      </c>
      <c r="H3501" s="11" t="s">
        <v>38160</v>
      </c>
      <c r="I3501" s="11" t="s">
        <v>38161</v>
      </c>
      <c r="J3501" s="11" t="s">
        <v>38161</v>
      </c>
      <c r="K3501" s="9" t="s">
        <v>23527</v>
      </c>
      <c r="L3501" s="9" t="s">
        <v>17744</v>
      </c>
      <c r="M3501" s="9" t="s">
        <v>17817</v>
      </c>
      <c r="N3501" s="9" t="s">
        <v>17746</v>
      </c>
      <c r="O3501" s="9" t="s">
        <v>18563</v>
      </c>
      <c r="P3501" s="9" t="s">
        <v>17748</v>
      </c>
      <c r="Q3501" s="11" t="s">
        <v>18556</v>
      </c>
      <c r="R3501" s="11" t="s">
        <v>18556</v>
      </c>
      <c r="S3501" s="11" t="s">
        <v>17750</v>
      </c>
    </row>
    <row r="3502" spans="1:19" x14ac:dyDescent="0.2">
      <c r="A3502" s="11" t="s">
        <v>38162</v>
      </c>
      <c r="B3502" s="9" t="s">
        <v>38163</v>
      </c>
      <c r="C3502" s="9" t="s">
        <v>38164</v>
      </c>
      <c r="D3502" s="9" t="s">
        <v>38165</v>
      </c>
      <c r="E3502" s="9" t="s">
        <v>17740</v>
      </c>
      <c r="F3502" s="9" t="s">
        <v>38166</v>
      </c>
      <c r="G3502" s="9" t="s">
        <v>17740</v>
      </c>
      <c r="H3502" s="11" t="s">
        <v>38167</v>
      </c>
      <c r="I3502" s="11" t="s">
        <v>38168</v>
      </c>
      <c r="J3502" s="11" t="s">
        <v>38168</v>
      </c>
      <c r="K3502" s="9" t="s">
        <v>38169</v>
      </c>
      <c r="L3502" s="9" t="s">
        <v>18242</v>
      </c>
      <c r="M3502" s="9" t="s">
        <v>18065</v>
      </c>
      <c r="N3502" s="9" t="s">
        <v>17746</v>
      </c>
      <c r="O3502" s="9" t="s">
        <v>18481</v>
      </c>
      <c r="P3502" s="9" t="s">
        <v>17748</v>
      </c>
      <c r="Q3502" s="11" t="s">
        <v>18080</v>
      </c>
      <c r="R3502" s="11" t="s">
        <v>18080</v>
      </c>
      <c r="S3502" s="11" t="s">
        <v>17750</v>
      </c>
    </row>
    <row r="3503" spans="1:19" x14ac:dyDescent="0.2">
      <c r="A3503" s="11" t="s">
        <v>38170</v>
      </c>
      <c r="B3503" s="9" t="s">
        <v>38171</v>
      </c>
      <c r="C3503" s="9" t="s">
        <v>38172</v>
      </c>
      <c r="D3503" s="9" t="s">
        <v>38173</v>
      </c>
      <c r="E3503" s="9" t="s">
        <v>17740</v>
      </c>
      <c r="F3503" s="9" t="s">
        <v>38174</v>
      </c>
      <c r="G3503" s="9" t="s">
        <v>17740</v>
      </c>
      <c r="H3503" s="11" t="s">
        <v>38175</v>
      </c>
      <c r="I3503" s="11" t="s">
        <v>38176</v>
      </c>
      <c r="J3503" s="11" t="s">
        <v>38176</v>
      </c>
      <c r="K3503" s="9" t="s">
        <v>689</v>
      </c>
      <c r="L3503" s="9" t="s">
        <v>17759</v>
      </c>
      <c r="M3503" s="9" t="s">
        <v>38177</v>
      </c>
      <c r="N3503" s="9" t="s">
        <v>17746</v>
      </c>
      <c r="O3503" s="9" t="s">
        <v>18514</v>
      </c>
      <c r="P3503" s="9" t="s">
        <v>17748</v>
      </c>
      <c r="Q3503" s="11" t="s">
        <v>19770</v>
      </c>
      <c r="R3503" s="11" t="s">
        <v>19770</v>
      </c>
      <c r="S3503" s="11" t="s">
        <v>17750</v>
      </c>
    </row>
    <row r="3504" spans="1:19" x14ac:dyDescent="0.2">
      <c r="A3504" s="11" t="s">
        <v>38178</v>
      </c>
      <c r="B3504" s="9" t="s">
        <v>38179</v>
      </c>
      <c r="C3504" s="9" t="s">
        <v>38180</v>
      </c>
      <c r="D3504" s="9" t="s">
        <v>38181</v>
      </c>
      <c r="E3504" s="9" t="s">
        <v>17740</v>
      </c>
      <c r="F3504" s="9" t="s">
        <v>17741</v>
      </c>
      <c r="G3504" s="9" t="s">
        <v>17740</v>
      </c>
      <c r="H3504" s="11" t="s">
        <v>38182</v>
      </c>
      <c r="I3504" s="11" t="s">
        <v>38183</v>
      </c>
      <c r="J3504" s="11" t="s">
        <v>38183</v>
      </c>
      <c r="K3504" s="9" t="s">
        <v>689</v>
      </c>
      <c r="L3504" s="9" t="s">
        <v>17759</v>
      </c>
      <c r="M3504" s="9" t="s">
        <v>17760</v>
      </c>
      <c r="N3504" s="9" t="s">
        <v>17746</v>
      </c>
      <c r="O3504" s="9" t="s">
        <v>38184</v>
      </c>
      <c r="P3504" s="9" t="s">
        <v>17748</v>
      </c>
      <c r="Q3504" s="11" t="s">
        <v>17994</v>
      </c>
      <c r="R3504" s="11" t="s">
        <v>17994</v>
      </c>
      <c r="S3504" s="11" t="s">
        <v>17750</v>
      </c>
    </row>
    <row r="3505" spans="1:19" x14ac:dyDescent="0.2">
      <c r="A3505" s="11" t="s">
        <v>38185</v>
      </c>
      <c r="B3505" s="9" t="s">
        <v>38186</v>
      </c>
      <c r="C3505" s="9" t="s">
        <v>38187</v>
      </c>
      <c r="D3505" s="9" t="s">
        <v>38188</v>
      </c>
      <c r="E3505" s="9" t="s">
        <v>17740</v>
      </c>
      <c r="F3505" s="9" t="s">
        <v>38189</v>
      </c>
      <c r="G3505" s="9" t="s">
        <v>17740</v>
      </c>
      <c r="H3505" s="11" t="s">
        <v>38190</v>
      </c>
      <c r="I3505" s="11" t="s">
        <v>38191</v>
      </c>
      <c r="J3505" s="11" t="s">
        <v>38190</v>
      </c>
      <c r="K3505" s="9" t="s">
        <v>689</v>
      </c>
      <c r="L3505" s="9" t="s">
        <v>17759</v>
      </c>
      <c r="M3505" s="9" t="s">
        <v>17760</v>
      </c>
      <c r="N3505" s="9" t="s">
        <v>17746</v>
      </c>
      <c r="O3505" s="9" t="s">
        <v>38192</v>
      </c>
      <c r="P3505" s="9" t="s">
        <v>17748</v>
      </c>
      <c r="Q3505" s="11" t="s">
        <v>17984</v>
      </c>
      <c r="R3505" s="11" t="s">
        <v>17984</v>
      </c>
      <c r="S3505" s="11" t="s">
        <v>17750</v>
      </c>
    </row>
    <row r="3506" spans="1:19" x14ac:dyDescent="0.2">
      <c r="A3506" s="11" t="s">
        <v>38193</v>
      </c>
      <c r="B3506" s="9" t="s">
        <v>38194</v>
      </c>
      <c r="C3506" s="9" t="s">
        <v>38195</v>
      </c>
      <c r="D3506" s="9" t="s">
        <v>38196</v>
      </c>
      <c r="E3506" s="9" t="s">
        <v>17740</v>
      </c>
      <c r="F3506" s="9" t="s">
        <v>17741</v>
      </c>
      <c r="G3506" s="9" t="s">
        <v>17740</v>
      </c>
      <c r="H3506" s="11" t="s">
        <v>17741</v>
      </c>
      <c r="I3506" s="11" t="s">
        <v>38197</v>
      </c>
      <c r="J3506" s="11" t="s">
        <v>38197</v>
      </c>
      <c r="K3506" s="9" t="s">
        <v>38198</v>
      </c>
      <c r="L3506" s="9" t="s">
        <v>17759</v>
      </c>
      <c r="M3506" s="9" t="s">
        <v>17760</v>
      </c>
      <c r="N3506" s="9" t="s">
        <v>17746</v>
      </c>
      <c r="O3506" s="9" t="s">
        <v>38199</v>
      </c>
      <c r="P3506" s="9" t="s">
        <v>17748</v>
      </c>
      <c r="Q3506" s="11" t="s">
        <v>20448</v>
      </c>
      <c r="R3506" s="11" t="s">
        <v>20448</v>
      </c>
      <c r="S3506" s="11" t="s">
        <v>17750</v>
      </c>
    </row>
    <row r="3507" spans="1:19" x14ac:dyDescent="0.2">
      <c r="A3507" s="11" t="s">
        <v>38200</v>
      </c>
      <c r="B3507" s="9" t="s">
        <v>38201</v>
      </c>
      <c r="C3507" s="9" t="s">
        <v>38202</v>
      </c>
      <c r="D3507" s="9" t="s">
        <v>38203</v>
      </c>
      <c r="E3507" s="9" t="s">
        <v>17748</v>
      </c>
      <c r="F3507" s="9" t="s">
        <v>38204</v>
      </c>
      <c r="G3507" s="9" t="s">
        <v>17740</v>
      </c>
      <c r="H3507" s="11" t="s">
        <v>38205</v>
      </c>
      <c r="I3507" s="11" t="s">
        <v>38206</v>
      </c>
      <c r="J3507" s="11" t="s">
        <v>38206</v>
      </c>
      <c r="K3507" s="9" t="s">
        <v>19455</v>
      </c>
      <c r="L3507" s="9" t="s">
        <v>17759</v>
      </c>
      <c r="M3507" s="9" t="s">
        <v>17769</v>
      </c>
      <c r="N3507" s="9" t="s">
        <v>17746</v>
      </c>
      <c r="O3507" s="9" t="s">
        <v>25739</v>
      </c>
      <c r="P3507" s="9" t="s">
        <v>17748</v>
      </c>
      <c r="Q3507" s="11" t="s">
        <v>18272</v>
      </c>
      <c r="R3507" s="11" t="s">
        <v>18272</v>
      </c>
      <c r="S3507" s="11" t="s">
        <v>17750</v>
      </c>
    </row>
    <row r="3508" spans="1:19" x14ac:dyDescent="0.2">
      <c r="A3508" s="11" t="s">
        <v>38207</v>
      </c>
      <c r="B3508" s="9" t="s">
        <v>38208</v>
      </c>
      <c r="C3508" s="9" t="s">
        <v>38209</v>
      </c>
      <c r="D3508" s="9" t="s">
        <v>38210</v>
      </c>
      <c r="E3508" s="9" t="s">
        <v>17748</v>
      </c>
      <c r="F3508" s="9" t="s">
        <v>38211</v>
      </c>
      <c r="G3508" s="9" t="s">
        <v>17740</v>
      </c>
      <c r="H3508" s="11" t="s">
        <v>9354</v>
      </c>
      <c r="I3508" s="11" t="s">
        <v>9353</v>
      </c>
      <c r="J3508" s="11" t="s">
        <v>9353</v>
      </c>
      <c r="K3508" s="9" t="s">
        <v>19396</v>
      </c>
      <c r="L3508" s="9" t="s">
        <v>17744</v>
      </c>
      <c r="M3508" s="9" t="s">
        <v>19714</v>
      </c>
      <c r="N3508" s="9" t="s">
        <v>17746</v>
      </c>
      <c r="O3508" s="9" t="s">
        <v>36925</v>
      </c>
      <c r="P3508" s="9" t="s">
        <v>17748</v>
      </c>
      <c r="Q3508" s="11" t="s">
        <v>19361</v>
      </c>
      <c r="R3508" s="11" t="s">
        <v>19361</v>
      </c>
      <c r="S3508" s="11" t="s">
        <v>17750</v>
      </c>
    </row>
    <row r="3509" spans="1:19" x14ac:dyDescent="0.2">
      <c r="A3509" s="11" t="s">
        <v>38212</v>
      </c>
      <c r="B3509" s="9" t="s">
        <v>38213</v>
      </c>
      <c r="C3509" s="9" t="s">
        <v>38214</v>
      </c>
      <c r="D3509" s="9" t="s">
        <v>38215</v>
      </c>
      <c r="E3509" s="9" t="s">
        <v>17748</v>
      </c>
      <c r="F3509" s="9" t="s">
        <v>38216</v>
      </c>
      <c r="G3509" s="9" t="s">
        <v>17740</v>
      </c>
      <c r="H3509" s="11" t="s">
        <v>9443</v>
      </c>
      <c r="I3509" s="11" t="s">
        <v>9442</v>
      </c>
      <c r="J3509" s="11" t="s">
        <v>9442</v>
      </c>
      <c r="K3509" s="9" t="s">
        <v>17758</v>
      </c>
      <c r="L3509" s="9" t="s">
        <v>17759</v>
      </c>
      <c r="M3509" s="9" t="s">
        <v>17769</v>
      </c>
      <c r="N3509" s="9" t="s">
        <v>17746</v>
      </c>
      <c r="O3509" s="9" t="s">
        <v>3276</v>
      </c>
      <c r="P3509" s="9" t="s">
        <v>17748</v>
      </c>
      <c r="Q3509" s="11" t="s">
        <v>17994</v>
      </c>
      <c r="R3509" s="11" t="s">
        <v>17994</v>
      </c>
      <c r="S3509" s="11" t="s">
        <v>17750</v>
      </c>
    </row>
    <row r="3510" spans="1:19" x14ac:dyDescent="0.2">
      <c r="A3510" s="11" t="s">
        <v>38217</v>
      </c>
      <c r="B3510" s="9" t="s">
        <v>38218</v>
      </c>
      <c r="C3510" s="9" t="s">
        <v>38219</v>
      </c>
      <c r="D3510" s="9" t="s">
        <v>38220</v>
      </c>
      <c r="E3510" s="9" t="s">
        <v>17740</v>
      </c>
      <c r="F3510" s="9" t="s">
        <v>38221</v>
      </c>
      <c r="G3510" s="9" t="s">
        <v>17740</v>
      </c>
      <c r="H3510" s="11" t="s">
        <v>38222</v>
      </c>
      <c r="I3510" s="11" t="s">
        <v>38223</v>
      </c>
      <c r="J3510" s="11" t="s">
        <v>38223</v>
      </c>
      <c r="K3510" s="9" t="s">
        <v>38224</v>
      </c>
      <c r="L3510" s="9" t="s">
        <v>17759</v>
      </c>
      <c r="M3510" s="9" t="s">
        <v>17760</v>
      </c>
      <c r="N3510" s="9" t="s">
        <v>17746</v>
      </c>
      <c r="O3510" s="9" t="s">
        <v>38225</v>
      </c>
      <c r="P3510" s="9" t="s">
        <v>17748</v>
      </c>
      <c r="Q3510" s="11" t="s">
        <v>18678</v>
      </c>
      <c r="R3510" s="11" t="s">
        <v>18678</v>
      </c>
      <c r="S3510" s="11" t="s">
        <v>17750</v>
      </c>
    </row>
    <row r="3511" spans="1:19" x14ac:dyDescent="0.2">
      <c r="A3511" s="11" t="s">
        <v>38226</v>
      </c>
      <c r="B3511" s="9" t="s">
        <v>38227</v>
      </c>
      <c r="C3511" s="9" t="s">
        <v>38228</v>
      </c>
      <c r="D3511" s="9" t="s">
        <v>38229</v>
      </c>
      <c r="E3511" s="9" t="s">
        <v>17740</v>
      </c>
      <c r="F3511" s="9" t="s">
        <v>17741</v>
      </c>
      <c r="G3511" s="9" t="s">
        <v>17740</v>
      </c>
      <c r="H3511" s="11" t="s">
        <v>38230</v>
      </c>
      <c r="I3511" s="11" t="s">
        <v>38231</v>
      </c>
      <c r="J3511" s="11" t="s">
        <v>38231</v>
      </c>
      <c r="K3511" s="9" t="s">
        <v>33822</v>
      </c>
      <c r="L3511" s="9" t="s">
        <v>17759</v>
      </c>
      <c r="M3511" s="9" t="s">
        <v>17760</v>
      </c>
      <c r="N3511" s="9" t="s">
        <v>17746</v>
      </c>
      <c r="O3511" s="9" t="s">
        <v>35101</v>
      </c>
      <c r="P3511" s="9" t="s">
        <v>17748</v>
      </c>
      <c r="Q3511" s="11" t="s">
        <v>18147</v>
      </c>
      <c r="R3511" s="11" t="s">
        <v>18147</v>
      </c>
      <c r="S3511" s="11" t="s">
        <v>17750</v>
      </c>
    </row>
    <row r="3512" spans="1:19" x14ac:dyDescent="0.2">
      <c r="A3512" s="11" t="s">
        <v>38232</v>
      </c>
      <c r="B3512" s="9" t="s">
        <v>38233</v>
      </c>
      <c r="C3512" s="9" t="s">
        <v>38234</v>
      </c>
      <c r="D3512" s="9" t="s">
        <v>38235</v>
      </c>
      <c r="E3512" s="9" t="s">
        <v>17740</v>
      </c>
      <c r="F3512" s="9" t="s">
        <v>17741</v>
      </c>
      <c r="G3512" s="9" t="s">
        <v>17740</v>
      </c>
      <c r="H3512" s="11" t="s">
        <v>17741</v>
      </c>
      <c r="I3512" s="11" t="s">
        <v>38236</v>
      </c>
      <c r="J3512" s="11" t="s">
        <v>38236</v>
      </c>
      <c r="K3512" s="9" t="s">
        <v>1708</v>
      </c>
      <c r="L3512" s="9" t="s">
        <v>17991</v>
      </c>
      <c r="M3512" s="9" t="s">
        <v>17760</v>
      </c>
      <c r="N3512" s="9" t="s">
        <v>17746</v>
      </c>
      <c r="O3512" s="9" t="s">
        <v>19939</v>
      </c>
      <c r="P3512" s="9" t="s">
        <v>17748</v>
      </c>
      <c r="Q3512" s="11" t="s">
        <v>18306</v>
      </c>
      <c r="R3512" s="11" t="s">
        <v>18306</v>
      </c>
      <c r="S3512" s="11" t="s">
        <v>17750</v>
      </c>
    </row>
    <row r="3513" spans="1:19" x14ac:dyDescent="0.2">
      <c r="A3513" s="11" t="s">
        <v>38237</v>
      </c>
      <c r="B3513" s="9" t="s">
        <v>38238</v>
      </c>
      <c r="C3513" s="9" t="s">
        <v>38239</v>
      </c>
      <c r="D3513" s="9" t="s">
        <v>38240</v>
      </c>
      <c r="E3513" s="9" t="s">
        <v>17740</v>
      </c>
      <c r="F3513" s="9" t="s">
        <v>17741</v>
      </c>
      <c r="G3513" s="9" t="s">
        <v>17740</v>
      </c>
      <c r="H3513" s="11" t="s">
        <v>38241</v>
      </c>
      <c r="I3513" s="11" t="s">
        <v>38242</v>
      </c>
      <c r="J3513" s="11" t="s">
        <v>38242</v>
      </c>
      <c r="K3513" s="9" t="s">
        <v>291</v>
      </c>
      <c r="L3513" s="9" t="s">
        <v>17744</v>
      </c>
      <c r="M3513" s="9" t="s">
        <v>18109</v>
      </c>
      <c r="N3513" s="9" t="s">
        <v>17746</v>
      </c>
      <c r="O3513" s="9" t="s">
        <v>19939</v>
      </c>
      <c r="P3513" s="9" t="s">
        <v>17748</v>
      </c>
      <c r="Q3513" s="11" t="s">
        <v>17978</v>
      </c>
      <c r="R3513" s="11" t="s">
        <v>17978</v>
      </c>
      <c r="S3513" s="11" t="s">
        <v>17750</v>
      </c>
    </row>
    <row r="3514" spans="1:19" x14ac:dyDescent="0.2">
      <c r="A3514" s="11" t="s">
        <v>38243</v>
      </c>
      <c r="B3514" s="9" t="s">
        <v>38244</v>
      </c>
      <c r="C3514" s="9" t="s">
        <v>38245</v>
      </c>
      <c r="D3514" s="9" t="s">
        <v>38246</v>
      </c>
      <c r="E3514" s="9" t="s">
        <v>17740</v>
      </c>
      <c r="F3514" s="9" t="s">
        <v>17741</v>
      </c>
      <c r="G3514" s="9" t="s">
        <v>17740</v>
      </c>
      <c r="H3514" s="11" t="s">
        <v>17741</v>
      </c>
      <c r="I3514" s="11" t="s">
        <v>11932</v>
      </c>
      <c r="J3514" s="11" t="s">
        <v>11932</v>
      </c>
      <c r="K3514" s="9" t="s">
        <v>38247</v>
      </c>
      <c r="L3514" s="9" t="s">
        <v>17759</v>
      </c>
      <c r="M3514" s="9" t="s">
        <v>17760</v>
      </c>
      <c r="N3514" s="9" t="s">
        <v>17746</v>
      </c>
      <c r="O3514" s="9" t="s">
        <v>18125</v>
      </c>
      <c r="P3514" s="9" t="s">
        <v>17748</v>
      </c>
      <c r="Q3514" s="11" t="s">
        <v>17762</v>
      </c>
      <c r="R3514" s="11" t="s">
        <v>17762</v>
      </c>
      <c r="S3514" s="11" t="s">
        <v>17750</v>
      </c>
    </row>
    <row r="3515" spans="1:19" x14ac:dyDescent="0.2">
      <c r="A3515" s="11" t="s">
        <v>38248</v>
      </c>
      <c r="B3515" s="9" t="s">
        <v>38249</v>
      </c>
      <c r="C3515" s="9" t="s">
        <v>38250</v>
      </c>
      <c r="D3515" s="9" t="s">
        <v>38251</v>
      </c>
      <c r="E3515" s="9" t="s">
        <v>17740</v>
      </c>
      <c r="F3515" s="9" t="s">
        <v>38252</v>
      </c>
      <c r="G3515" s="9" t="s">
        <v>17740</v>
      </c>
      <c r="H3515" s="11" t="s">
        <v>5390</v>
      </c>
      <c r="I3515" s="11" t="s">
        <v>5389</v>
      </c>
      <c r="J3515" s="11" t="s">
        <v>5389</v>
      </c>
      <c r="K3515" s="9" t="s">
        <v>25921</v>
      </c>
      <c r="L3515" s="9" t="s">
        <v>17744</v>
      </c>
      <c r="M3515" s="9" t="s">
        <v>21680</v>
      </c>
      <c r="N3515" s="9" t="s">
        <v>17746</v>
      </c>
      <c r="O3515" s="9" t="s">
        <v>18762</v>
      </c>
      <c r="P3515" s="9" t="s">
        <v>17748</v>
      </c>
      <c r="Q3515" s="11" t="s">
        <v>17749</v>
      </c>
      <c r="R3515" s="11" t="s">
        <v>17749</v>
      </c>
      <c r="S3515" s="11" t="s">
        <v>17750</v>
      </c>
    </row>
    <row r="3516" spans="1:19" x14ac:dyDescent="0.2">
      <c r="A3516" s="11" t="s">
        <v>38253</v>
      </c>
      <c r="B3516" s="9" t="s">
        <v>38254</v>
      </c>
      <c r="C3516" s="9" t="s">
        <v>38255</v>
      </c>
      <c r="D3516" s="9" t="s">
        <v>38256</v>
      </c>
      <c r="E3516" s="9" t="s">
        <v>17740</v>
      </c>
      <c r="F3516" s="9" t="s">
        <v>38257</v>
      </c>
      <c r="G3516" s="9" t="s">
        <v>17740</v>
      </c>
      <c r="H3516" s="11" t="s">
        <v>38258</v>
      </c>
      <c r="I3516" s="11" t="s">
        <v>38259</v>
      </c>
      <c r="J3516" s="11" t="s">
        <v>38259</v>
      </c>
      <c r="K3516" s="9" t="s">
        <v>38260</v>
      </c>
      <c r="L3516" s="9" t="s">
        <v>17759</v>
      </c>
      <c r="M3516" s="9" t="s">
        <v>29147</v>
      </c>
      <c r="N3516" s="9" t="s">
        <v>17746</v>
      </c>
      <c r="O3516" s="9" t="s">
        <v>18481</v>
      </c>
      <c r="P3516" s="9" t="s">
        <v>17748</v>
      </c>
      <c r="Q3516" s="11" t="s">
        <v>17792</v>
      </c>
      <c r="R3516" s="11" t="s">
        <v>17792</v>
      </c>
      <c r="S3516" s="11" t="s">
        <v>17750</v>
      </c>
    </row>
    <row r="3517" spans="1:19" x14ac:dyDescent="0.2">
      <c r="A3517" s="11" t="s">
        <v>38261</v>
      </c>
      <c r="B3517" s="9" t="s">
        <v>38262</v>
      </c>
      <c r="C3517" s="9" t="s">
        <v>38263</v>
      </c>
      <c r="D3517" s="9" t="s">
        <v>38264</v>
      </c>
      <c r="E3517" s="9" t="s">
        <v>17740</v>
      </c>
      <c r="F3517" s="9" t="s">
        <v>17741</v>
      </c>
      <c r="G3517" s="9" t="s">
        <v>17740</v>
      </c>
      <c r="H3517" s="11" t="s">
        <v>8178</v>
      </c>
      <c r="I3517" s="11" t="s">
        <v>8177</v>
      </c>
      <c r="J3517" s="11" t="s">
        <v>8177</v>
      </c>
      <c r="K3517" s="9" t="s">
        <v>20259</v>
      </c>
      <c r="L3517" s="9" t="s">
        <v>17759</v>
      </c>
      <c r="M3517" s="9" t="s">
        <v>29840</v>
      </c>
      <c r="N3517" s="9" t="s">
        <v>17746</v>
      </c>
      <c r="O3517" s="9" t="s">
        <v>24601</v>
      </c>
      <c r="P3517" s="9" t="s">
        <v>17748</v>
      </c>
      <c r="Q3517" s="11" t="s">
        <v>18080</v>
      </c>
      <c r="R3517" s="11" t="s">
        <v>18080</v>
      </c>
      <c r="S3517" s="11" t="s">
        <v>17750</v>
      </c>
    </row>
    <row r="3518" spans="1:19" x14ac:dyDescent="0.2">
      <c r="A3518" s="11" t="s">
        <v>38265</v>
      </c>
      <c r="B3518" s="9" t="s">
        <v>38266</v>
      </c>
      <c r="C3518" s="9" t="s">
        <v>38267</v>
      </c>
      <c r="D3518" s="9" t="s">
        <v>38268</v>
      </c>
      <c r="E3518" s="9" t="s">
        <v>17740</v>
      </c>
      <c r="F3518" s="9" t="s">
        <v>17741</v>
      </c>
      <c r="G3518" s="9" t="s">
        <v>17740</v>
      </c>
      <c r="H3518" s="11" t="s">
        <v>9158</v>
      </c>
      <c r="I3518" s="11" t="s">
        <v>9157</v>
      </c>
      <c r="J3518" s="11" t="s">
        <v>9157</v>
      </c>
      <c r="K3518" s="9" t="s">
        <v>18876</v>
      </c>
      <c r="L3518" s="9" t="s">
        <v>18001</v>
      </c>
      <c r="M3518" s="9" t="s">
        <v>17760</v>
      </c>
      <c r="N3518" s="9" t="s">
        <v>17746</v>
      </c>
      <c r="O3518" s="9" t="s">
        <v>1690</v>
      </c>
      <c r="P3518" s="9" t="s">
        <v>17748</v>
      </c>
      <c r="Q3518" s="11" t="s">
        <v>17784</v>
      </c>
      <c r="R3518" s="11" t="s">
        <v>17784</v>
      </c>
      <c r="S3518" s="11" t="s">
        <v>17750</v>
      </c>
    </row>
    <row r="3519" spans="1:19" x14ac:dyDescent="0.2">
      <c r="A3519" s="11" t="s">
        <v>38269</v>
      </c>
      <c r="B3519" s="9" t="s">
        <v>38270</v>
      </c>
      <c r="C3519" s="9" t="s">
        <v>38271</v>
      </c>
      <c r="D3519" s="9" t="s">
        <v>38272</v>
      </c>
      <c r="E3519" s="9" t="s">
        <v>17740</v>
      </c>
      <c r="F3519" s="9" t="s">
        <v>38273</v>
      </c>
      <c r="G3519" s="9" t="s">
        <v>17740</v>
      </c>
      <c r="H3519" s="11" t="s">
        <v>5276</v>
      </c>
      <c r="I3519" s="11" t="s">
        <v>5275</v>
      </c>
      <c r="J3519" s="11" t="s">
        <v>5275</v>
      </c>
      <c r="K3519" s="9" t="s">
        <v>601</v>
      </c>
      <c r="L3519" s="9" t="s">
        <v>17759</v>
      </c>
      <c r="M3519" s="9" t="s">
        <v>17817</v>
      </c>
      <c r="N3519" s="9" t="s">
        <v>17746</v>
      </c>
      <c r="O3519" s="9" t="s">
        <v>19917</v>
      </c>
      <c r="P3519" s="9" t="s">
        <v>17748</v>
      </c>
      <c r="Q3519" s="11" t="s">
        <v>17749</v>
      </c>
      <c r="R3519" s="11" t="s">
        <v>17749</v>
      </c>
      <c r="S3519" s="11" t="s">
        <v>17750</v>
      </c>
    </row>
    <row r="3520" spans="1:19" x14ac:dyDescent="0.2">
      <c r="A3520" s="11" t="s">
        <v>38274</v>
      </c>
      <c r="B3520" s="9" t="s">
        <v>38275</v>
      </c>
      <c r="C3520" s="9" t="s">
        <v>38276</v>
      </c>
      <c r="D3520" s="9" t="s">
        <v>38277</v>
      </c>
      <c r="E3520" s="9" t="s">
        <v>17748</v>
      </c>
      <c r="F3520" s="9" t="s">
        <v>38278</v>
      </c>
      <c r="G3520" s="9" t="s">
        <v>17740</v>
      </c>
      <c r="H3520" s="11" t="s">
        <v>38279</v>
      </c>
      <c r="I3520" s="11" t="s">
        <v>38280</v>
      </c>
      <c r="J3520" s="11" t="s">
        <v>38280</v>
      </c>
      <c r="K3520" s="9" t="s">
        <v>38281</v>
      </c>
      <c r="L3520" s="9" t="s">
        <v>17759</v>
      </c>
      <c r="M3520" s="9" t="s">
        <v>17769</v>
      </c>
      <c r="N3520" s="9" t="s">
        <v>17746</v>
      </c>
      <c r="O3520" s="9" t="s">
        <v>18644</v>
      </c>
      <c r="P3520" s="9" t="s">
        <v>17748</v>
      </c>
      <c r="Q3520" s="11" t="s">
        <v>17917</v>
      </c>
      <c r="R3520" s="11" t="s">
        <v>17917</v>
      </c>
      <c r="S3520" s="11" t="s">
        <v>17750</v>
      </c>
    </row>
    <row r="3521" spans="1:19" x14ac:dyDescent="0.2">
      <c r="A3521" s="11" t="s">
        <v>38282</v>
      </c>
      <c r="B3521" s="9" t="s">
        <v>38283</v>
      </c>
      <c r="C3521" s="9" t="s">
        <v>38284</v>
      </c>
      <c r="D3521" s="9" t="s">
        <v>38285</v>
      </c>
      <c r="E3521" s="9" t="s">
        <v>17748</v>
      </c>
      <c r="F3521" s="9" t="s">
        <v>38286</v>
      </c>
      <c r="G3521" s="9" t="s">
        <v>17740</v>
      </c>
      <c r="H3521" s="11" t="s">
        <v>38287</v>
      </c>
      <c r="I3521" s="11" t="s">
        <v>38288</v>
      </c>
      <c r="J3521" s="11" t="s">
        <v>17741</v>
      </c>
      <c r="K3521" s="9" t="s">
        <v>38289</v>
      </c>
      <c r="L3521" s="9" t="s">
        <v>17759</v>
      </c>
      <c r="M3521" s="9" t="s">
        <v>17942</v>
      </c>
      <c r="N3521" s="9" t="s">
        <v>17746</v>
      </c>
      <c r="O3521" s="9" t="s">
        <v>18644</v>
      </c>
      <c r="P3521" s="9" t="s">
        <v>17748</v>
      </c>
      <c r="Q3521" s="11" t="s">
        <v>17825</v>
      </c>
      <c r="R3521" s="11" t="s">
        <v>17825</v>
      </c>
      <c r="S3521" s="11" t="s">
        <v>17750</v>
      </c>
    </row>
    <row r="3522" spans="1:19" x14ac:dyDescent="0.2">
      <c r="A3522" s="11" t="s">
        <v>38290</v>
      </c>
      <c r="B3522" s="9" t="s">
        <v>38291</v>
      </c>
      <c r="C3522" s="9" t="s">
        <v>38292</v>
      </c>
      <c r="D3522" s="9" t="s">
        <v>38293</v>
      </c>
      <c r="E3522" s="9" t="s">
        <v>17740</v>
      </c>
      <c r="F3522" s="9" t="s">
        <v>38294</v>
      </c>
      <c r="G3522" s="9" t="s">
        <v>17740</v>
      </c>
      <c r="H3522" s="11" t="s">
        <v>17741</v>
      </c>
      <c r="I3522" s="11" t="s">
        <v>38295</v>
      </c>
      <c r="J3522" s="11" t="s">
        <v>38295</v>
      </c>
      <c r="K3522" s="9" t="s">
        <v>38296</v>
      </c>
      <c r="L3522" s="9" t="s">
        <v>17991</v>
      </c>
      <c r="M3522" s="9" t="s">
        <v>17760</v>
      </c>
      <c r="N3522" s="9" t="s">
        <v>17746</v>
      </c>
      <c r="O3522" s="9" t="s">
        <v>26924</v>
      </c>
      <c r="P3522" s="9" t="s">
        <v>17748</v>
      </c>
      <c r="Q3522" s="11" t="s">
        <v>18678</v>
      </c>
      <c r="R3522" s="11" t="s">
        <v>18678</v>
      </c>
      <c r="S3522" s="11" t="s">
        <v>17750</v>
      </c>
    </row>
    <row r="3523" spans="1:19" x14ac:dyDescent="0.2">
      <c r="A3523" s="11" t="s">
        <v>38297</v>
      </c>
      <c r="B3523" s="9" t="s">
        <v>38298</v>
      </c>
      <c r="C3523" s="9" t="s">
        <v>38299</v>
      </c>
      <c r="D3523" s="9" t="s">
        <v>38300</v>
      </c>
      <c r="E3523" s="9" t="s">
        <v>17740</v>
      </c>
      <c r="F3523" s="9" t="s">
        <v>17741</v>
      </c>
      <c r="G3523" s="9" t="s">
        <v>17740</v>
      </c>
      <c r="H3523" s="11" t="s">
        <v>2731</v>
      </c>
      <c r="I3523" s="11" t="s">
        <v>2730</v>
      </c>
      <c r="J3523" s="11" t="s">
        <v>2730</v>
      </c>
      <c r="K3523" s="9" t="s">
        <v>17865</v>
      </c>
      <c r="L3523" s="9" t="s">
        <v>17759</v>
      </c>
      <c r="M3523" s="9" t="s">
        <v>21289</v>
      </c>
      <c r="N3523" s="9" t="s">
        <v>17746</v>
      </c>
      <c r="O3523" s="9" t="s">
        <v>18644</v>
      </c>
      <c r="P3523" s="9" t="s">
        <v>17748</v>
      </c>
      <c r="Q3523" s="11" t="s">
        <v>18341</v>
      </c>
      <c r="R3523" s="11" t="s">
        <v>18341</v>
      </c>
      <c r="S3523" s="11" t="s">
        <v>17750</v>
      </c>
    </row>
    <row r="3524" spans="1:19" x14ac:dyDescent="0.2">
      <c r="A3524" s="11" t="s">
        <v>38301</v>
      </c>
      <c r="B3524" s="9" t="s">
        <v>38302</v>
      </c>
      <c r="C3524" s="9" t="s">
        <v>38303</v>
      </c>
      <c r="D3524" s="9" t="s">
        <v>38304</v>
      </c>
      <c r="E3524" s="9" t="s">
        <v>17748</v>
      </c>
      <c r="F3524" s="9" t="s">
        <v>38305</v>
      </c>
      <c r="G3524" s="9" t="s">
        <v>17740</v>
      </c>
      <c r="H3524" s="11" t="s">
        <v>11633</v>
      </c>
      <c r="I3524" s="11" t="s">
        <v>11632</v>
      </c>
      <c r="J3524" s="11" t="s">
        <v>11633</v>
      </c>
      <c r="K3524" s="9" t="s">
        <v>91</v>
      </c>
      <c r="L3524" s="9" t="s">
        <v>17759</v>
      </c>
      <c r="M3524" s="9" t="s">
        <v>17769</v>
      </c>
      <c r="N3524" s="9" t="s">
        <v>17746</v>
      </c>
      <c r="O3524" s="9" t="s">
        <v>18035</v>
      </c>
      <c r="P3524" s="9" t="s">
        <v>17748</v>
      </c>
      <c r="Q3524" s="11" t="s">
        <v>17917</v>
      </c>
      <c r="R3524" s="11" t="s">
        <v>17917</v>
      </c>
      <c r="S3524" s="11" t="s">
        <v>17750</v>
      </c>
    </row>
    <row r="3525" spans="1:19" x14ac:dyDescent="0.2">
      <c r="A3525" s="11" t="s">
        <v>38306</v>
      </c>
      <c r="B3525" s="9" t="s">
        <v>38307</v>
      </c>
      <c r="C3525" s="9" t="s">
        <v>38308</v>
      </c>
      <c r="D3525" s="9" t="s">
        <v>38309</v>
      </c>
      <c r="E3525" s="9" t="s">
        <v>17740</v>
      </c>
      <c r="F3525" s="9" t="s">
        <v>38310</v>
      </c>
      <c r="G3525" s="9" t="s">
        <v>17740</v>
      </c>
      <c r="H3525" s="11" t="s">
        <v>2737</v>
      </c>
      <c r="I3525" s="11" t="s">
        <v>2736</v>
      </c>
      <c r="J3525" s="11" t="s">
        <v>2736</v>
      </c>
      <c r="K3525" s="9" t="s">
        <v>19094</v>
      </c>
      <c r="L3525" s="9" t="s">
        <v>17759</v>
      </c>
      <c r="M3525" s="9" t="s">
        <v>38311</v>
      </c>
      <c r="N3525" s="9" t="s">
        <v>17746</v>
      </c>
      <c r="O3525" s="9" t="s">
        <v>20701</v>
      </c>
      <c r="P3525" s="9" t="s">
        <v>17748</v>
      </c>
      <c r="Q3525" s="11" t="s">
        <v>17867</v>
      </c>
      <c r="R3525" s="11" t="s">
        <v>17867</v>
      </c>
      <c r="S3525" s="11" t="s">
        <v>17750</v>
      </c>
    </row>
    <row r="3526" spans="1:19" x14ac:dyDescent="0.2">
      <c r="A3526" s="11" t="s">
        <v>38312</v>
      </c>
      <c r="B3526" s="9" t="s">
        <v>38313</v>
      </c>
      <c r="C3526" s="9" t="s">
        <v>38314</v>
      </c>
      <c r="D3526" s="9" t="s">
        <v>38315</v>
      </c>
      <c r="E3526" s="9" t="s">
        <v>17748</v>
      </c>
      <c r="F3526" s="9" t="s">
        <v>38316</v>
      </c>
      <c r="G3526" s="9" t="s">
        <v>17740</v>
      </c>
      <c r="H3526" s="11" t="s">
        <v>17741</v>
      </c>
      <c r="I3526" s="11" t="s">
        <v>38317</v>
      </c>
      <c r="J3526" s="11" t="s">
        <v>38317</v>
      </c>
      <c r="K3526" s="9" t="s">
        <v>38318</v>
      </c>
      <c r="L3526" s="9" t="s">
        <v>17759</v>
      </c>
      <c r="M3526" s="9" t="s">
        <v>17760</v>
      </c>
      <c r="N3526" s="9" t="s">
        <v>17746</v>
      </c>
      <c r="O3526" s="9" t="s">
        <v>3276</v>
      </c>
      <c r="P3526" s="9" t="s">
        <v>17748</v>
      </c>
      <c r="Q3526" s="11" t="s">
        <v>17858</v>
      </c>
      <c r="R3526" s="11" t="s">
        <v>17858</v>
      </c>
      <c r="S3526" s="11" t="s">
        <v>17750</v>
      </c>
    </row>
    <row r="3527" spans="1:19" x14ac:dyDescent="0.2">
      <c r="A3527" s="11" t="s">
        <v>38319</v>
      </c>
      <c r="B3527" s="9" t="s">
        <v>38320</v>
      </c>
      <c r="C3527" s="9" t="s">
        <v>38321</v>
      </c>
      <c r="D3527" s="9" t="s">
        <v>38322</v>
      </c>
      <c r="E3527" s="9" t="s">
        <v>17740</v>
      </c>
      <c r="F3527" s="9" t="s">
        <v>17741</v>
      </c>
      <c r="G3527" s="9" t="s">
        <v>17740</v>
      </c>
      <c r="H3527" s="11" t="s">
        <v>2734</v>
      </c>
      <c r="I3527" s="11" t="s">
        <v>2733</v>
      </c>
      <c r="J3527" s="11" t="s">
        <v>2733</v>
      </c>
      <c r="K3527" s="9" t="s">
        <v>601</v>
      </c>
      <c r="L3527" s="9" t="s">
        <v>17759</v>
      </c>
      <c r="M3527" s="9" t="s">
        <v>38323</v>
      </c>
      <c r="N3527" s="9" t="s">
        <v>17746</v>
      </c>
      <c r="O3527" s="9" t="s">
        <v>18035</v>
      </c>
      <c r="P3527" s="9" t="s">
        <v>17748</v>
      </c>
      <c r="Q3527" s="11" t="s">
        <v>18306</v>
      </c>
      <c r="R3527" s="11" t="s">
        <v>18306</v>
      </c>
      <c r="S3527" s="11" t="s">
        <v>17750</v>
      </c>
    </row>
    <row r="3528" spans="1:19" x14ac:dyDescent="0.2">
      <c r="A3528" s="11" t="s">
        <v>38324</v>
      </c>
      <c r="B3528" s="9" t="s">
        <v>38325</v>
      </c>
      <c r="C3528" s="9" t="s">
        <v>38326</v>
      </c>
      <c r="D3528" s="9" t="s">
        <v>38327</v>
      </c>
      <c r="E3528" s="9" t="s">
        <v>17740</v>
      </c>
      <c r="F3528" s="9" t="s">
        <v>17741</v>
      </c>
      <c r="G3528" s="9" t="s">
        <v>17740</v>
      </c>
      <c r="H3528" s="11" t="s">
        <v>38328</v>
      </c>
      <c r="I3528" s="11" t="s">
        <v>38329</v>
      </c>
      <c r="J3528" s="11" t="s">
        <v>38329</v>
      </c>
      <c r="K3528" s="9" t="s">
        <v>38330</v>
      </c>
      <c r="L3528" s="9" t="s">
        <v>17759</v>
      </c>
      <c r="M3528" s="9" t="s">
        <v>17769</v>
      </c>
      <c r="N3528" s="9" t="s">
        <v>17746</v>
      </c>
      <c r="O3528" s="9" t="s">
        <v>3543</v>
      </c>
      <c r="P3528" s="9" t="s">
        <v>17748</v>
      </c>
      <c r="Q3528" s="11" t="s">
        <v>17808</v>
      </c>
      <c r="R3528" s="11" t="s">
        <v>17808</v>
      </c>
      <c r="S3528" s="11" t="s">
        <v>17750</v>
      </c>
    </row>
    <row r="3529" spans="1:19" x14ac:dyDescent="0.2">
      <c r="A3529" s="11" t="s">
        <v>38331</v>
      </c>
      <c r="B3529" s="9" t="s">
        <v>38332</v>
      </c>
      <c r="C3529" s="9" t="s">
        <v>38333</v>
      </c>
      <c r="D3529" s="9" t="s">
        <v>38334</v>
      </c>
      <c r="E3529" s="9" t="s">
        <v>17740</v>
      </c>
      <c r="F3529" s="9" t="s">
        <v>17741</v>
      </c>
      <c r="G3529" s="9" t="s">
        <v>17740</v>
      </c>
      <c r="H3529" s="11" t="s">
        <v>38335</v>
      </c>
      <c r="I3529" s="11" t="s">
        <v>38336</v>
      </c>
      <c r="J3529" s="11" t="s">
        <v>38336</v>
      </c>
      <c r="K3529" s="9" t="s">
        <v>18520</v>
      </c>
      <c r="L3529" s="9" t="s">
        <v>17744</v>
      </c>
      <c r="M3529" s="9" t="s">
        <v>19546</v>
      </c>
      <c r="N3529" s="9" t="s">
        <v>17746</v>
      </c>
      <c r="O3529" s="9" t="s">
        <v>30691</v>
      </c>
      <c r="P3529" s="9" t="s">
        <v>17748</v>
      </c>
      <c r="Q3529" s="11" t="s">
        <v>19361</v>
      </c>
      <c r="R3529" s="11" t="s">
        <v>19361</v>
      </c>
      <c r="S3529" s="11" t="s">
        <v>17750</v>
      </c>
    </row>
    <row r="3530" spans="1:19" x14ac:dyDescent="0.2">
      <c r="A3530" s="11" t="s">
        <v>38337</v>
      </c>
      <c r="B3530" s="9" t="s">
        <v>38338</v>
      </c>
      <c r="C3530" s="9" t="s">
        <v>38339</v>
      </c>
      <c r="D3530" s="9" t="s">
        <v>38340</v>
      </c>
      <c r="E3530" s="9" t="s">
        <v>17748</v>
      </c>
      <c r="F3530" s="9" t="s">
        <v>38341</v>
      </c>
      <c r="G3530" s="9" t="s">
        <v>17740</v>
      </c>
      <c r="H3530" s="11" t="s">
        <v>17741</v>
      </c>
      <c r="I3530" s="11" t="s">
        <v>38342</v>
      </c>
      <c r="J3530" s="11" t="s">
        <v>17741</v>
      </c>
      <c r="K3530" s="9" t="s">
        <v>91</v>
      </c>
      <c r="L3530" s="9" t="s">
        <v>17759</v>
      </c>
      <c r="M3530" s="9" t="s">
        <v>17817</v>
      </c>
      <c r="N3530" s="9" t="s">
        <v>17746</v>
      </c>
      <c r="O3530" s="9" t="s">
        <v>18543</v>
      </c>
      <c r="P3530" s="9" t="s">
        <v>17748</v>
      </c>
      <c r="Q3530" s="11" t="s">
        <v>17923</v>
      </c>
      <c r="R3530" s="11" t="s">
        <v>17923</v>
      </c>
      <c r="S3530" s="11" t="s">
        <v>17750</v>
      </c>
    </row>
    <row r="3531" spans="1:19" x14ac:dyDescent="0.2">
      <c r="A3531" s="11" t="s">
        <v>38343</v>
      </c>
      <c r="B3531" s="9" t="s">
        <v>38344</v>
      </c>
      <c r="C3531" s="9" t="s">
        <v>38345</v>
      </c>
      <c r="D3531" s="9" t="s">
        <v>38346</v>
      </c>
      <c r="E3531" s="9" t="s">
        <v>17740</v>
      </c>
      <c r="F3531" s="9" t="s">
        <v>17741</v>
      </c>
      <c r="G3531" s="9" t="s">
        <v>17740</v>
      </c>
      <c r="H3531" s="11" t="s">
        <v>38347</v>
      </c>
      <c r="I3531" s="11" t="s">
        <v>38348</v>
      </c>
      <c r="J3531" s="11" t="s">
        <v>38348</v>
      </c>
      <c r="K3531" s="9" t="s">
        <v>24653</v>
      </c>
      <c r="L3531" s="9" t="s">
        <v>17759</v>
      </c>
      <c r="M3531" s="9" t="s">
        <v>17817</v>
      </c>
      <c r="N3531" s="9" t="s">
        <v>17746</v>
      </c>
      <c r="O3531" s="9" t="s">
        <v>25739</v>
      </c>
      <c r="P3531" s="9" t="s">
        <v>17748</v>
      </c>
      <c r="Q3531" s="11" t="s">
        <v>18139</v>
      </c>
      <c r="R3531" s="11" t="s">
        <v>18139</v>
      </c>
      <c r="S3531" s="11" t="s">
        <v>17750</v>
      </c>
    </row>
    <row r="3532" spans="1:19" x14ac:dyDescent="0.2">
      <c r="A3532" s="11" t="s">
        <v>38349</v>
      </c>
      <c r="B3532" s="9" t="s">
        <v>38350</v>
      </c>
      <c r="C3532" s="9" t="s">
        <v>38351</v>
      </c>
      <c r="D3532" s="9" t="s">
        <v>38352</v>
      </c>
      <c r="E3532" s="9" t="s">
        <v>17748</v>
      </c>
      <c r="F3532" s="9" t="s">
        <v>38353</v>
      </c>
      <c r="G3532" s="9" t="s">
        <v>17740</v>
      </c>
      <c r="H3532" s="11" t="s">
        <v>17741</v>
      </c>
      <c r="I3532" s="11" t="s">
        <v>38354</v>
      </c>
      <c r="J3532" s="11" t="s">
        <v>38354</v>
      </c>
      <c r="K3532" s="9" t="s">
        <v>19282</v>
      </c>
      <c r="L3532" s="9" t="s">
        <v>17759</v>
      </c>
      <c r="M3532" s="9" t="s">
        <v>17817</v>
      </c>
      <c r="N3532" s="9" t="s">
        <v>17746</v>
      </c>
      <c r="O3532" s="9" t="s">
        <v>20453</v>
      </c>
      <c r="P3532" s="9" t="s">
        <v>17748</v>
      </c>
      <c r="Q3532" s="11" t="s">
        <v>19361</v>
      </c>
      <c r="R3532" s="11" t="s">
        <v>19361</v>
      </c>
      <c r="S3532" s="11" t="s">
        <v>17750</v>
      </c>
    </row>
    <row r="3533" spans="1:19" x14ac:dyDescent="0.2">
      <c r="A3533" s="11" t="s">
        <v>38355</v>
      </c>
      <c r="B3533" s="9" t="s">
        <v>7347</v>
      </c>
      <c r="C3533" s="9" t="s">
        <v>38356</v>
      </c>
      <c r="D3533" s="9" t="s">
        <v>38357</v>
      </c>
      <c r="E3533" s="9" t="s">
        <v>17740</v>
      </c>
      <c r="F3533" s="9" t="s">
        <v>17741</v>
      </c>
      <c r="G3533" s="9" t="s">
        <v>17740</v>
      </c>
      <c r="H3533" s="11" t="s">
        <v>38358</v>
      </c>
      <c r="I3533" s="11" t="s">
        <v>7348</v>
      </c>
      <c r="J3533" s="11" t="s">
        <v>7348</v>
      </c>
      <c r="K3533" s="9" t="s">
        <v>7349</v>
      </c>
      <c r="L3533" s="9" t="s">
        <v>18959</v>
      </c>
      <c r="M3533" s="9" t="s">
        <v>25071</v>
      </c>
      <c r="N3533" s="9" t="s">
        <v>17746</v>
      </c>
      <c r="O3533" s="9" t="s">
        <v>19406</v>
      </c>
      <c r="P3533" s="9" t="s">
        <v>17748</v>
      </c>
      <c r="Q3533" s="11" t="s">
        <v>17749</v>
      </c>
      <c r="R3533" s="11" t="s">
        <v>17749</v>
      </c>
      <c r="S3533" s="11" t="s">
        <v>17750</v>
      </c>
    </row>
    <row r="3534" spans="1:19" x14ac:dyDescent="0.2">
      <c r="A3534" s="11" t="s">
        <v>38359</v>
      </c>
      <c r="B3534" s="9" t="s">
        <v>4319</v>
      </c>
      <c r="C3534" s="9" t="s">
        <v>38360</v>
      </c>
      <c r="D3534" s="9" t="s">
        <v>38361</v>
      </c>
      <c r="E3534" s="9" t="s">
        <v>17740</v>
      </c>
      <c r="F3534" s="9" t="s">
        <v>38362</v>
      </c>
      <c r="G3534" s="9" t="s">
        <v>17740</v>
      </c>
      <c r="H3534" s="11" t="s">
        <v>4321</v>
      </c>
      <c r="I3534" s="11" t="s">
        <v>4320</v>
      </c>
      <c r="J3534" s="11" t="s">
        <v>4320</v>
      </c>
      <c r="K3534" s="9" t="s">
        <v>91</v>
      </c>
      <c r="L3534" s="9" t="s">
        <v>17759</v>
      </c>
      <c r="M3534" s="9" t="s">
        <v>17817</v>
      </c>
      <c r="N3534" s="9" t="s">
        <v>17746</v>
      </c>
      <c r="O3534" s="9" t="s">
        <v>24787</v>
      </c>
      <c r="P3534" s="9" t="s">
        <v>17748</v>
      </c>
      <c r="Q3534" s="11" t="s">
        <v>18364</v>
      </c>
      <c r="R3534" s="11" t="s">
        <v>18364</v>
      </c>
      <c r="S3534" s="11" t="s">
        <v>17750</v>
      </c>
    </row>
    <row r="3535" spans="1:19" x14ac:dyDescent="0.2">
      <c r="A3535" s="11" t="s">
        <v>38363</v>
      </c>
      <c r="B3535" s="9" t="s">
        <v>2098</v>
      </c>
      <c r="C3535" s="9" t="s">
        <v>38364</v>
      </c>
      <c r="D3535" s="9" t="s">
        <v>38365</v>
      </c>
      <c r="E3535" s="9" t="s">
        <v>17740</v>
      </c>
      <c r="F3535" s="9" t="s">
        <v>17741</v>
      </c>
      <c r="G3535" s="9" t="s">
        <v>17740</v>
      </c>
      <c r="H3535" s="11" t="s">
        <v>2100</v>
      </c>
      <c r="I3535" s="11" t="s">
        <v>2099</v>
      </c>
      <c r="J3535" s="11" t="s">
        <v>2099</v>
      </c>
      <c r="K3535" s="9" t="s">
        <v>18951</v>
      </c>
      <c r="L3535" s="9" t="s">
        <v>17759</v>
      </c>
      <c r="M3535" s="9" t="s">
        <v>17817</v>
      </c>
      <c r="N3535" s="9" t="s">
        <v>17746</v>
      </c>
      <c r="O3535" s="9" t="s">
        <v>5790</v>
      </c>
      <c r="P3535" s="9" t="s">
        <v>17748</v>
      </c>
      <c r="Q3535" s="11" t="s">
        <v>18251</v>
      </c>
      <c r="R3535" s="11" t="s">
        <v>18251</v>
      </c>
      <c r="S3535" s="11" t="s">
        <v>17750</v>
      </c>
    </row>
    <row r="3536" spans="1:19" x14ac:dyDescent="0.2">
      <c r="A3536" s="11" t="s">
        <v>38366</v>
      </c>
      <c r="B3536" s="9" t="s">
        <v>38367</v>
      </c>
      <c r="C3536" s="9" t="s">
        <v>38368</v>
      </c>
      <c r="D3536" s="9" t="s">
        <v>38369</v>
      </c>
      <c r="E3536" s="9" t="s">
        <v>17740</v>
      </c>
      <c r="F3536" s="9" t="s">
        <v>17741</v>
      </c>
      <c r="G3536" s="9" t="s">
        <v>17740</v>
      </c>
      <c r="H3536" s="11" t="s">
        <v>17741</v>
      </c>
      <c r="I3536" s="11" t="s">
        <v>38370</v>
      </c>
      <c r="J3536" s="11" t="s">
        <v>38370</v>
      </c>
      <c r="K3536" s="9" t="s">
        <v>38371</v>
      </c>
      <c r="L3536" s="9" t="s">
        <v>17759</v>
      </c>
      <c r="M3536" s="9" t="s">
        <v>38372</v>
      </c>
      <c r="N3536" s="9" t="s">
        <v>17746</v>
      </c>
      <c r="O3536" s="9" t="s">
        <v>23240</v>
      </c>
      <c r="P3536" s="9" t="s">
        <v>17748</v>
      </c>
      <c r="Q3536" s="11" t="s">
        <v>17792</v>
      </c>
      <c r="R3536" s="11" t="s">
        <v>17792</v>
      </c>
      <c r="S3536" s="11" t="s">
        <v>17750</v>
      </c>
    </row>
    <row r="3537" spans="1:19" x14ac:dyDescent="0.2">
      <c r="A3537" s="11" t="s">
        <v>38373</v>
      </c>
      <c r="B3537" s="9" t="s">
        <v>38374</v>
      </c>
      <c r="C3537" s="9" t="s">
        <v>38375</v>
      </c>
      <c r="D3537" s="9" t="s">
        <v>38376</v>
      </c>
      <c r="E3537" s="9" t="s">
        <v>17748</v>
      </c>
      <c r="F3537" s="9" t="s">
        <v>38377</v>
      </c>
      <c r="G3537" s="9" t="s">
        <v>17740</v>
      </c>
      <c r="H3537" s="11" t="s">
        <v>38378</v>
      </c>
      <c r="I3537" s="11" t="s">
        <v>38379</v>
      </c>
      <c r="J3537" s="11" t="s">
        <v>38379</v>
      </c>
      <c r="K3537" s="9" t="s">
        <v>38380</v>
      </c>
      <c r="L3537" s="9" t="s">
        <v>17759</v>
      </c>
      <c r="M3537" s="9" t="s">
        <v>17760</v>
      </c>
      <c r="N3537" s="9" t="s">
        <v>17746</v>
      </c>
      <c r="O3537" s="9" t="s">
        <v>32642</v>
      </c>
      <c r="P3537" s="9" t="s">
        <v>17748</v>
      </c>
      <c r="Q3537" s="11" t="s">
        <v>18272</v>
      </c>
      <c r="R3537" s="11" t="s">
        <v>18272</v>
      </c>
      <c r="S3537" s="11" t="s">
        <v>17750</v>
      </c>
    </row>
    <row r="3538" spans="1:19" x14ac:dyDescent="0.2">
      <c r="A3538" s="11" t="s">
        <v>38381</v>
      </c>
      <c r="B3538" s="9" t="s">
        <v>38382</v>
      </c>
      <c r="C3538" s="9" t="s">
        <v>38383</v>
      </c>
      <c r="D3538" s="9" t="s">
        <v>38384</v>
      </c>
      <c r="E3538" s="9" t="s">
        <v>17740</v>
      </c>
      <c r="F3538" s="9" t="s">
        <v>38385</v>
      </c>
      <c r="G3538" s="9" t="s">
        <v>17740</v>
      </c>
      <c r="H3538" s="11" t="s">
        <v>38386</v>
      </c>
      <c r="I3538" s="11" t="s">
        <v>38387</v>
      </c>
      <c r="J3538" s="11" t="s">
        <v>38387</v>
      </c>
      <c r="K3538" s="9" t="s">
        <v>38388</v>
      </c>
      <c r="L3538" s="9" t="s">
        <v>17759</v>
      </c>
      <c r="M3538" s="9" t="s">
        <v>17769</v>
      </c>
      <c r="N3538" s="9" t="s">
        <v>17746</v>
      </c>
      <c r="O3538" s="9" t="s">
        <v>18563</v>
      </c>
      <c r="P3538" s="9" t="s">
        <v>17748</v>
      </c>
      <c r="Q3538" s="11" t="s">
        <v>17883</v>
      </c>
      <c r="R3538" s="11" t="s">
        <v>17883</v>
      </c>
      <c r="S3538" s="11" t="s">
        <v>17750</v>
      </c>
    </row>
    <row r="3539" spans="1:19" x14ac:dyDescent="0.2">
      <c r="A3539" s="11" t="s">
        <v>38389</v>
      </c>
      <c r="B3539" s="9" t="s">
        <v>38390</v>
      </c>
      <c r="C3539" s="9" t="s">
        <v>38391</v>
      </c>
      <c r="D3539" s="9" t="s">
        <v>38392</v>
      </c>
      <c r="E3539" s="9" t="s">
        <v>17748</v>
      </c>
      <c r="F3539" s="9" t="s">
        <v>38393</v>
      </c>
      <c r="G3539" s="9" t="s">
        <v>17740</v>
      </c>
      <c r="H3539" s="11" t="s">
        <v>17741</v>
      </c>
      <c r="I3539" s="11" t="s">
        <v>11528</v>
      </c>
      <c r="J3539" s="11" t="s">
        <v>11528</v>
      </c>
      <c r="K3539" s="9" t="s">
        <v>8384</v>
      </c>
      <c r="L3539" s="9" t="s">
        <v>17759</v>
      </c>
      <c r="M3539" s="9" t="s">
        <v>17769</v>
      </c>
      <c r="N3539" s="9" t="s">
        <v>17746</v>
      </c>
      <c r="O3539" s="9" t="s">
        <v>19369</v>
      </c>
      <c r="P3539" s="9" t="s">
        <v>17748</v>
      </c>
      <c r="Q3539" s="11" t="s">
        <v>17762</v>
      </c>
      <c r="R3539" s="11" t="s">
        <v>17762</v>
      </c>
      <c r="S3539" s="11" t="s">
        <v>17750</v>
      </c>
    </row>
    <row r="3540" spans="1:19" x14ac:dyDescent="0.2">
      <c r="A3540" s="11" t="s">
        <v>38394</v>
      </c>
      <c r="B3540" s="9" t="s">
        <v>38395</v>
      </c>
      <c r="C3540" s="9" t="s">
        <v>38396</v>
      </c>
      <c r="D3540" s="9" t="s">
        <v>38397</v>
      </c>
      <c r="E3540" s="9" t="s">
        <v>17748</v>
      </c>
      <c r="F3540" s="9" t="s">
        <v>38398</v>
      </c>
      <c r="G3540" s="9" t="s">
        <v>17740</v>
      </c>
      <c r="H3540" s="11" t="s">
        <v>38399</v>
      </c>
      <c r="I3540" s="11" t="s">
        <v>38400</v>
      </c>
      <c r="J3540" s="11" t="s">
        <v>38400</v>
      </c>
      <c r="K3540" s="9" t="s">
        <v>17805</v>
      </c>
      <c r="L3540" s="9" t="s">
        <v>17759</v>
      </c>
      <c r="M3540" s="9" t="s">
        <v>17817</v>
      </c>
      <c r="N3540" s="9" t="s">
        <v>17746</v>
      </c>
      <c r="O3540" s="9" t="s">
        <v>17800</v>
      </c>
      <c r="P3540" s="9" t="s">
        <v>17748</v>
      </c>
      <c r="Q3540" s="11" t="s">
        <v>18089</v>
      </c>
      <c r="R3540" s="11" t="s">
        <v>18089</v>
      </c>
      <c r="S3540" s="11" t="s">
        <v>17750</v>
      </c>
    </row>
    <row r="3541" spans="1:19" x14ac:dyDescent="0.2">
      <c r="A3541" s="11" t="s">
        <v>38401</v>
      </c>
      <c r="B3541" s="9" t="s">
        <v>38402</v>
      </c>
      <c r="C3541" s="9" t="s">
        <v>38403</v>
      </c>
      <c r="D3541" s="9" t="s">
        <v>38404</v>
      </c>
      <c r="E3541" s="9" t="s">
        <v>17748</v>
      </c>
      <c r="F3541" s="9" t="s">
        <v>38405</v>
      </c>
      <c r="G3541" s="9" t="s">
        <v>17740</v>
      </c>
      <c r="H3541" s="11" t="s">
        <v>17741</v>
      </c>
      <c r="I3541" s="11" t="s">
        <v>11514</v>
      </c>
      <c r="J3541" s="11" t="s">
        <v>11514</v>
      </c>
      <c r="K3541" s="9" t="s">
        <v>11516</v>
      </c>
      <c r="L3541" s="9" t="s">
        <v>17759</v>
      </c>
      <c r="M3541" s="9" t="s">
        <v>17769</v>
      </c>
      <c r="N3541" s="9" t="s">
        <v>17746</v>
      </c>
      <c r="O3541" s="9" t="s">
        <v>19423</v>
      </c>
      <c r="P3541" s="9" t="s">
        <v>17748</v>
      </c>
      <c r="Q3541" s="11" t="s">
        <v>17762</v>
      </c>
      <c r="R3541" s="11" t="s">
        <v>17762</v>
      </c>
      <c r="S3541" s="11" t="s">
        <v>17750</v>
      </c>
    </row>
    <row r="3542" spans="1:19" x14ac:dyDescent="0.2">
      <c r="A3542" s="11" t="s">
        <v>38406</v>
      </c>
      <c r="B3542" s="9" t="s">
        <v>2113</v>
      </c>
      <c r="C3542" s="9" t="s">
        <v>38407</v>
      </c>
      <c r="D3542" s="9" t="s">
        <v>38408</v>
      </c>
      <c r="E3542" s="9" t="s">
        <v>17740</v>
      </c>
      <c r="F3542" s="9" t="s">
        <v>38409</v>
      </c>
      <c r="G3542" s="9" t="s">
        <v>17740</v>
      </c>
      <c r="H3542" s="11" t="s">
        <v>2115</v>
      </c>
      <c r="I3542" s="11" t="s">
        <v>2114</v>
      </c>
      <c r="J3542" s="11" t="s">
        <v>2114</v>
      </c>
      <c r="K3542" s="9" t="s">
        <v>776</v>
      </c>
      <c r="L3542" s="9" t="s">
        <v>17759</v>
      </c>
      <c r="M3542" s="9" t="s">
        <v>38410</v>
      </c>
      <c r="N3542" s="9" t="s">
        <v>17746</v>
      </c>
      <c r="O3542" s="9" t="s">
        <v>17882</v>
      </c>
      <c r="P3542" s="9" t="s">
        <v>17748</v>
      </c>
      <c r="Q3542" s="11" t="s">
        <v>20109</v>
      </c>
      <c r="R3542" s="11" t="s">
        <v>20109</v>
      </c>
      <c r="S3542" s="11" t="s">
        <v>17750</v>
      </c>
    </row>
    <row r="3543" spans="1:19" x14ac:dyDescent="0.2">
      <c r="A3543" s="11" t="s">
        <v>38411</v>
      </c>
      <c r="B3543" s="9" t="s">
        <v>2101</v>
      </c>
      <c r="C3543" s="9" t="s">
        <v>38412</v>
      </c>
      <c r="D3543" s="9" t="s">
        <v>38413</v>
      </c>
      <c r="E3543" s="9" t="s">
        <v>17740</v>
      </c>
      <c r="F3543" s="9" t="s">
        <v>17741</v>
      </c>
      <c r="G3543" s="9" t="s">
        <v>17740</v>
      </c>
      <c r="H3543" s="11" t="s">
        <v>2103</v>
      </c>
      <c r="I3543" s="11" t="s">
        <v>2102</v>
      </c>
      <c r="J3543" s="11" t="s">
        <v>2102</v>
      </c>
      <c r="K3543" s="9" t="s">
        <v>27353</v>
      </c>
      <c r="L3543" s="9" t="s">
        <v>17759</v>
      </c>
      <c r="M3543" s="9" t="s">
        <v>38414</v>
      </c>
      <c r="N3543" s="9" t="s">
        <v>17746</v>
      </c>
      <c r="O3543" s="9" t="s">
        <v>18009</v>
      </c>
      <c r="P3543" s="9" t="s">
        <v>17748</v>
      </c>
      <c r="Q3543" s="11" t="s">
        <v>17978</v>
      </c>
      <c r="R3543" s="11" t="s">
        <v>17978</v>
      </c>
      <c r="S3543" s="11" t="s">
        <v>17750</v>
      </c>
    </row>
    <row r="3544" spans="1:19" x14ac:dyDescent="0.2">
      <c r="A3544" s="11" t="s">
        <v>38415</v>
      </c>
      <c r="B3544" s="9" t="s">
        <v>38416</v>
      </c>
      <c r="C3544" s="9" t="s">
        <v>38417</v>
      </c>
      <c r="D3544" s="9" t="s">
        <v>38418</v>
      </c>
      <c r="E3544" s="9" t="s">
        <v>17740</v>
      </c>
      <c r="F3544" s="9" t="s">
        <v>17741</v>
      </c>
      <c r="G3544" s="9" t="s">
        <v>17740</v>
      </c>
      <c r="H3544" s="11" t="s">
        <v>17741</v>
      </c>
      <c r="I3544" s="11" t="s">
        <v>38419</v>
      </c>
      <c r="J3544" s="11" t="s">
        <v>38419</v>
      </c>
      <c r="K3544" s="9" t="s">
        <v>38420</v>
      </c>
      <c r="L3544" s="9" t="s">
        <v>17759</v>
      </c>
      <c r="M3544" s="9" t="s">
        <v>17760</v>
      </c>
      <c r="N3544" s="9" t="s">
        <v>17746</v>
      </c>
      <c r="O3544" s="9" t="s">
        <v>18340</v>
      </c>
      <c r="P3544" s="9" t="s">
        <v>17748</v>
      </c>
      <c r="Q3544" s="11" t="s">
        <v>21012</v>
      </c>
      <c r="R3544" s="11" t="s">
        <v>21012</v>
      </c>
      <c r="S3544" s="11" t="s">
        <v>17750</v>
      </c>
    </row>
    <row r="3545" spans="1:19" x14ac:dyDescent="0.2">
      <c r="A3545" s="11" t="s">
        <v>38421</v>
      </c>
      <c r="B3545" s="9" t="s">
        <v>2610</v>
      </c>
      <c r="C3545" s="9" t="s">
        <v>38422</v>
      </c>
      <c r="D3545" s="9" t="s">
        <v>38423</v>
      </c>
      <c r="E3545" s="9" t="s">
        <v>17740</v>
      </c>
      <c r="F3545" s="9" t="s">
        <v>17741</v>
      </c>
      <c r="G3545" s="9" t="s">
        <v>17740</v>
      </c>
      <c r="H3545" s="11" t="s">
        <v>2612</v>
      </c>
      <c r="I3545" s="11" t="s">
        <v>2611</v>
      </c>
      <c r="J3545" s="11" t="s">
        <v>2611</v>
      </c>
      <c r="K3545" s="9" t="s">
        <v>38424</v>
      </c>
      <c r="L3545" s="9" t="s">
        <v>17759</v>
      </c>
      <c r="M3545" s="9" t="s">
        <v>17769</v>
      </c>
      <c r="N3545" s="9" t="s">
        <v>17746</v>
      </c>
      <c r="O3545" s="9" t="s">
        <v>18543</v>
      </c>
      <c r="P3545" s="9" t="s">
        <v>17748</v>
      </c>
      <c r="Q3545" s="11" t="s">
        <v>19515</v>
      </c>
      <c r="R3545" s="11" t="s">
        <v>19515</v>
      </c>
      <c r="S3545" s="11" t="s">
        <v>17750</v>
      </c>
    </row>
    <row r="3546" spans="1:19" x14ac:dyDescent="0.2">
      <c r="A3546" s="11" t="s">
        <v>38425</v>
      </c>
      <c r="B3546" s="9" t="s">
        <v>38426</v>
      </c>
      <c r="C3546" s="9" t="s">
        <v>38427</v>
      </c>
      <c r="D3546" s="9" t="s">
        <v>38428</v>
      </c>
      <c r="E3546" s="9" t="s">
        <v>17740</v>
      </c>
      <c r="F3546" s="9" t="s">
        <v>17741</v>
      </c>
      <c r="G3546" s="9" t="s">
        <v>17740</v>
      </c>
      <c r="H3546" s="11" t="s">
        <v>10439</v>
      </c>
      <c r="I3546" s="11" t="s">
        <v>10438</v>
      </c>
      <c r="J3546" s="11" t="s">
        <v>10438</v>
      </c>
      <c r="K3546" s="9" t="s">
        <v>91</v>
      </c>
      <c r="L3546" s="9" t="s">
        <v>17759</v>
      </c>
      <c r="M3546" s="9" t="s">
        <v>17817</v>
      </c>
      <c r="N3546" s="9" t="s">
        <v>17746</v>
      </c>
      <c r="O3546" s="9" t="s">
        <v>3543</v>
      </c>
      <c r="P3546" s="9" t="s">
        <v>17748</v>
      </c>
      <c r="Q3546" s="11" t="s">
        <v>17780</v>
      </c>
      <c r="R3546" s="11" t="s">
        <v>17780</v>
      </c>
      <c r="S3546" s="11" t="s">
        <v>17750</v>
      </c>
    </row>
    <row r="3547" spans="1:19" x14ac:dyDescent="0.2">
      <c r="A3547" s="11" t="s">
        <v>38429</v>
      </c>
      <c r="B3547" s="9" t="s">
        <v>6255</v>
      </c>
      <c r="C3547" s="9" t="s">
        <v>38430</v>
      </c>
      <c r="D3547" s="9" t="s">
        <v>38431</v>
      </c>
      <c r="E3547" s="9" t="s">
        <v>17748</v>
      </c>
      <c r="F3547" s="9" t="s">
        <v>38432</v>
      </c>
      <c r="G3547" s="9" t="s">
        <v>17740</v>
      </c>
      <c r="H3547" s="11" t="s">
        <v>6257</v>
      </c>
      <c r="I3547" s="11" t="s">
        <v>6256</v>
      </c>
      <c r="J3547" s="11" t="s">
        <v>6256</v>
      </c>
      <c r="K3547" s="9" t="s">
        <v>91</v>
      </c>
      <c r="L3547" s="9" t="s">
        <v>17759</v>
      </c>
      <c r="M3547" s="9" t="s">
        <v>17817</v>
      </c>
      <c r="N3547" s="9" t="s">
        <v>17746</v>
      </c>
      <c r="O3547" s="9" t="s">
        <v>38433</v>
      </c>
      <c r="P3547" s="9" t="s">
        <v>17748</v>
      </c>
      <c r="Q3547" s="11" t="s">
        <v>17808</v>
      </c>
      <c r="R3547" s="11" t="s">
        <v>17808</v>
      </c>
      <c r="S3547" s="11" t="s">
        <v>17750</v>
      </c>
    </row>
    <row r="3548" spans="1:19" x14ac:dyDescent="0.2">
      <c r="A3548" s="11" t="s">
        <v>38434</v>
      </c>
      <c r="B3548" s="9" t="s">
        <v>38435</v>
      </c>
      <c r="C3548" s="9" t="s">
        <v>38436</v>
      </c>
      <c r="D3548" s="9" t="s">
        <v>38437</v>
      </c>
      <c r="E3548" s="9" t="s">
        <v>17740</v>
      </c>
      <c r="F3548" s="9" t="s">
        <v>38438</v>
      </c>
      <c r="G3548" s="9" t="s">
        <v>17740</v>
      </c>
      <c r="H3548" s="11" t="s">
        <v>38439</v>
      </c>
      <c r="I3548" s="11" t="s">
        <v>38440</v>
      </c>
      <c r="J3548" s="11" t="s">
        <v>38440</v>
      </c>
      <c r="K3548" s="9" t="s">
        <v>38441</v>
      </c>
      <c r="L3548" s="9" t="s">
        <v>17759</v>
      </c>
      <c r="M3548" s="9" t="s">
        <v>38442</v>
      </c>
      <c r="N3548" s="9" t="s">
        <v>17746</v>
      </c>
      <c r="O3548" s="9" t="s">
        <v>18340</v>
      </c>
      <c r="P3548" s="9" t="s">
        <v>17748</v>
      </c>
      <c r="Q3548" s="11" t="s">
        <v>18348</v>
      </c>
      <c r="R3548" s="11" t="s">
        <v>18348</v>
      </c>
      <c r="S3548" s="11" t="s">
        <v>17750</v>
      </c>
    </row>
    <row r="3549" spans="1:19" x14ac:dyDescent="0.2">
      <c r="A3549" s="11" t="s">
        <v>38443</v>
      </c>
      <c r="B3549" s="9" t="s">
        <v>2122</v>
      </c>
      <c r="C3549" s="9" t="s">
        <v>38444</v>
      </c>
      <c r="D3549" s="9" t="s">
        <v>38445</v>
      </c>
      <c r="E3549" s="9" t="s">
        <v>17740</v>
      </c>
      <c r="F3549" s="9" t="s">
        <v>17741</v>
      </c>
      <c r="G3549" s="9" t="s">
        <v>17740</v>
      </c>
      <c r="H3549" s="11" t="s">
        <v>2124</v>
      </c>
      <c r="I3549" s="11" t="s">
        <v>2123</v>
      </c>
      <c r="J3549" s="11" t="s">
        <v>2123</v>
      </c>
      <c r="K3549" s="9" t="s">
        <v>22893</v>
      </c>
      <c r="L3549" s="9" t="s">
        <v>17759</v>
      </c>
      <c r="M3549" s="9" t="s">
        <v>17817</v>
      </c>
      <c r="N3549" s="9" t="s">
        <v>17746</v>
      </c>
      <c r="O3549" s="9" t="s">
        <v>18855</v>
      </c>
      <c r="P3549" s="9" t="s">
        <v>17748</v>
      </c>
      <c r="Q3549" s="11" t="s">
        <v>18470</v>
      </c>
      <c r="R3549" s="11" t="s">
        <v>18470</v>
      </c>
      <c r="S3549" s="11" t="s">
        <v>17750</v>
      </c>
    </row>
    <row r="3550" spans="1:19" x14ac:dyDescent="0.2">
      <c r="A3550" s="11" t="s">
        <v>38446</v>
      </c>
      <c r="B3550" s="9" t="s">
        <v>16675</v>
      </c>
      <c r="C3550" s="9" t="s">
        <v>38447</v>
      </c>
      <c r="D3550" s="9" t="s">
        <v>38448</v>
      </c>
      <c r="E3550" s="9" t="s">
        <v>17740</v>
      </c>
      <c r="F3550" s="9" t="s">
        <v>17741</v>
      </c>
      <c r="G3550" s="9" t="s">
        <v>17740</v>
      </c>
      <c r="H3550" s="11" t="s">
        <v>16676</v>
      </c>
      <c r="I3550" s="11" t="s">
        <v>17741</v>
      </c>
      <c r="J3550" s="11" t="s">
        <v>16676</v>
      </c>
      <c r="K3550" s="9" t="s">
        <v>970</v>
      </c>
      <c r="L3550" s="9" t="s">
        <v>17744</v>
      </c>
      <c r="M3550" s="9" t="s">
        <v>17741</v>
      </c>
      <c r="N3550" s="9" t="s">
        <v>17746</v>
      </c>
      <c r="O3550" s="9" t="s">
        <v>20367</v>
      </c>
      <c r="P3550" s="9" t="s">
        <v>17748</v>
      </c>
      <c r="Q3550" s="11" t="s">
        <v>17923</v>
      </c>
      <c r="R3550" s="11" t="s">
        <v>17923</v>
      </c>
      <c r="S3550" s="11" t="s">
        <v>17750</v>
      </c>
    </row>
    <row r="3551" spans="1:19" x14ac:dyDescent="0.2">
      <c r="A3551" s="11" t="s">
        <v>38449</v>
      </c>
      <c r="B3551" s="9" t="s">
        <v>8466</v>
      </c>
      <c r="C3551" s="9" t="s">
        <v>38450</v>
      </c>
      <c r="D3551" s="9" t="s">
        <v>38451</v>
      </c>
      <c r="E3551" s="9" t="s">
        <v>17740</v>
      </c>
      <c r="F3551" s="9" t="s">
        <v>17741</v>
      </c>
      <c r="G3551" s="9" t="s">
        <v>17740</v>
      </c>
      <c r="H3551" s="11" t="s">
        <v>8468</v>
      </c>
      <c r="I3551" s="11" t="s">
        <v>8467</v>
      </c>
      <c r="J3551" s="11" t="s">
        <v>8467</v>
      </c>
      <c r="K3551" s="9" t="s">
        <v>91</v>
      </c>
      <c r="L3551" s="9" t="s">
        <v>17759</v>
      </c>
      <c r="M3551" s="9" t="s">
        <v>17769</v>
      </c>
      <c r="N3551" s="9" t="s">
        <v>17746</v>
      </c>
      <c r="O3551" s="9" t="s">
        <v>17993</v>
      </c>
      <c r="P3551" s="9" t="s">
        <v>17748</v>
      </c>
      <c r="Q3551" s="11" t="s">
        <v>17784</v>
      </c>
      <c r="R3551" s="11" t="s">
        <v>17784</v>
      </c>
      <c r="S3551" s="11" t="s">
        <v>17750</v>
      </c>
    </row>
    <row r="3552" spans="1:19" x14ac:dyDescent="0.2">
      <c r="A3552" s="11" t="s">
        <v>38452</v>
      </c>
      <c r="B3552" s="9" t="s">
        <v>38453</v>
      </c>
      <c r="C3552" s="9" t="s">
        <v>38454</v>
      </c>
      <c r="D3552" s="9" t="s">
        <v>38455</v>
      </c>
      <c r="E3552" s="9" t="s">
        <v>17740</v>
      </c>
      <c r="F3552" s="9" t="s">
        <v>17741</v>
      </c>
      <c r="G3552" s="9" t="s">
        <v>17740</v>
      </c>
      <c r="H3552" s="11" t="s">
        <v>7410</v>
      </c>
      <c r="I3552" s="11" t="s">
        <v>7409</v>
      </c>
      <c r="J3552" s="11" t="s">
        <v>7409</v>
      </c>
      <c r="K3552" s="9" t="s">
        <v>38456</v>
      </c>
      <c r="L3552" s="9" t="s">
        <v>17759</v>
      </c>
      <c r="M3552" s="9" t="s">
        <v>17769</v>
      </c>
      <c r="N3552" s="9" t="s">
        <v>17746</v>
      </c>
      <c r="O3552" s="9" t="s">
        <v>20056</v>
      </c>
      <c r="P3552" s="9" t="s">
        <v>17748</v>
      </c>
      <c r="Q3552" s="11" t="s">
        <v>17808</v>
      </c>
      <c r="R3552" s="11" t="s">
        <v>17808</v>
      </c>
      <c r="S3552" s="11" t="s">
        <v>17750</v>
      </c>
    </row>
    <row r="3553" spans="1:19" x14ac:dyDescent="0.2">
      <c r="A3553" s="11" t="s">
        <v>38457</v>
      </c>
      <c r="B3553" s="9" t="s">
        <v>38458</v>
      </c>
      <c r="C3553" s="9" t="s">
        <v>38459</v>
      </c>
      <c r="D3553" s="9" t="s">
        <v>38460</v>
      </c>
      <c r="E3553" s="9" t="s">
        <v>17740</v>
      </c>
      <c r="F3553" s="9" t="s">
        <v>38461</v>
      </c>
      <c r="G3553" s="9" t="s">
        <v>17740</v>
      </c>
      <c r="H3553" s="11" t="s">
        <v>38462</v>
      </c>
      <c r="I3553" s="11" t="s">
        <v>38463</v>
      </c>
      <c r="J3553" s="11" t="s">
        <v>38463</v>
      </c>
      <c r="K3553" s="9" t="s">
        <v>38464</v>
      </c>
      <c r="L3553" s="9" t="s">
        <v>17759</v>
      </c>
      <c r="M3553" s="9" t="s">
        <v>17760</v>
      </c>
      <c r="N3553" s="9" t="s">
        <v>17746</v>
      </c>
      <c r="O3553" s="9" t="s">
        <v>18548</v>
      </c>
      <c r="P3553" s="9" t="s">
        <v>17748</v>
      </c>
      <c r="Q3553" s="11" t="s">
        <v>18960</v>
      </c>
      <c r="R3553" s="11" t="s">
        <v>18960</v>
      </c>
      <c r="S3553" s="11" t="s">
        <v>17750</v>
      </c>
    </row>
    <row r="3554" spans="1:19" x14ac:dyDescent="0.2">
      <c r="A3554" s="11" t="s">
        <v>38465</v>
      </c>
      <c r="B3554" s="9" t="s">
        <v>38466</v>
      </c>
      <c r="C3554" s="9" t="s">
        <v>38467</v>
      </c>
      <c r="D3554" s="9" t="s">
        <v>38468</v>
      </c>
      <c r="E3554" s="9" t="s">
        <v>17740</v>
      </c>
      <c r="F3554" s="9" t="s">
        <v>17741</v>
      </c>
      <c r="G3554" s="9" t="s">
        <v>17740</v>
      </c>
      <c r="H3554" s="11" t="s">
        <v>38469</v>
      </c>
      <c r="I3554" s="11" t="s">
        <v>38470</v>
      </c>
      <c r="J3554" s="11" t="s">
        <v>38470</v>
      </c>
      <c r="K3554" s="9" t="s">
        <v>38471</v>
      </c>
      <c r="L3554" s="9" t="s">
        <v>17759</v>
      </c>
      <c r="M3554" s="9" t="s">
        <v>17817</v>
      </c>
      <c r="N3554" s="9" t="s">
        <v>17746</v>
      </c>
      <c r="O3554" s="9" t="s">
        <v>38472</v>
      </c>
      <c r="P3554" s="9" t="s">
        <v>17748</v>
      </c>
      <c r="Q3554" s="11" t="s">
        <v>38473</v>
      </c>
      <c r="R3554" s="11" t="s">
        <v>38473</v>
      </c>
      <c r="S3554" s="11" t="s">
        <v>17750</v>
      </c>
    </row>
    <row r="3555" spans="1:19" x14ac:dyDescent="0.2">
      <c r="A3555" s="11" t="s">
        <v>38474</v>
      </c>
      <c r="B3555" s="9" t="s">
        <v>38475</v>
      </c>
      <c r="C3555" s="9" t="s">
        <v>38476</v>
      </c>
      <c r="D3555" s="9" t="s">
        <v>38477</v>
      </c>
      <c r="E3555" s="9" t="s">
        <v>17748</v>
      </c>
      <c r="F3555" s="9" t="s">
        <v>38478</v>
      </c>
      <c r="G3555" s="9" t="s">
        <v>17740</v>
      </c>
      <c r="H3555" s="11" t="s">
        <v>10943</v>
      </c>
      <c r="I3555" s="11" t="s">
        <v>10942</v>
      </c>
      <c r="J3555" s="11" t="s">
        <v>38479</v>
      </c>
      <c r="K3555" s="9" t="s">
        <v>10944</v>
      </c>
      <c r="L3555" s="9" t="s">
        <v>17759</v>
      </c>
      <c r="M3555" s="9" t="s">
        <v>17769</v>
      </c>
      <c r="N3555" s="9" t="s">
        <v>17746</v>
      </c>
      <c r="O3555" s="9" t="s">
        <v>21220</v>
      </c>
      <c r="P3555" s="9" t="s">
        <v>17748</v>
      </c>
      <c r="Q3555" s="11" t="s">
        <v>17858</v>
      </c>
      <c r="R3555" s="11" t="s">
        <v>17858</v>
      </c>
      <c r="S3555" s="11" t="s">
        <v>17750</v>
      </c>
    </row>
    <row r="3556" spans="1:19" x14ac:dyDescent="0.2">
      <c r="A3556" s="11" t="s">
        <v>38480</v>
      </c>
      <c r="B3556" s="9" t="s">
        <v>38481</v>
      </c>
      <c r="C3556" s="9" t="s">
        <v>38482</v>
      </c>
      <c r="D3556" s="9" t="s">
        <v>38483</v>
      </c>
      <c r="E3556" s="9" t="s">
        <v>17740</v>
      </c>
      <c r="F3556" s="9" t="s">
        <v>38484</v>
      </c>
      <c r="G3556" s="9" t="s">
        <v>17740</v>
      </c>
      <c r="H3556" s="11" t="s">
        <v>38485</v>
      </c>
      <c r="I3556" s="11" t="s">
        <v>38486</v>
      </c>
      <c r="J3556" s="11" t="s">
        <v>38485</v>
      </c>
      <c r="K3556" s="9" t="s">
        <v>38487</v>
      </c>
      <c r="L3556" s="9" t="s">
        <v>17759</v>
      </c>
      <c r="M3556" s="9" t="s">
        <v>18797</v>
      </c>
      <c r="N3556" s="9" t="s">
        <v>17746</v>
      </c>
      <c r="O3556" s="9" t="s">
        <v>38488</v>
      </c>
      <c r="P3556" s="9" t="s">
        <v>17748</v>
      </c>
      <c r="Q3556" s="11" t="s">
        <v>18960</v>
      </c>
      <c r="R3556" s="11" t="s">
        <v>18960</v>
      </c>
      <c r="S3556" s="11" t="s">
        <v>17750</v>
      </c>
    </row>
    <row r="3557" spans="1:19" x14ac:dyDescent="0.2">
      <c r="A3557" s="11" t="s">
        <v>38489</v>
      </c>
      <c r="B3557" s="9" t="s">
        <v>38490</v>
      </c>
      <c r="C3557" s="9" t="s">
        <v>38491</v>
      </c>
      <c r="D3557" s="9" t="s">
        <v>38492</v>
      </c>
      <c r="E3557" s="9" t="s">
        <v>17740</v>
      </c>
      <c r="F3557" s="9" t="s">
        <v>17741</v>
      </c>
      <c r="G3557" s="9" t="s">
        <v>17740</v>
      </c>
      <c r="H3557" s="11" t="s">
        <v>38493</v>
      </c>
      <c r="I3557" s="11" t="s">
        <v>38494</v>
      </c>
      <c r="J3557" s="11" t="s">
        <v>38494</v>
      </c>
      <c r="K3557" s="9" t="s">
        <v>18520</v>
      </c>
      <c r="L3557" s="9" t="s">
        <v>17759</v>
      </c>
      <c r="M3557" s="9" t="s">
        <v>17769</v>
      </c>
      <c r="N3557" s="9" t="s">
        <v>17746</v>
      </c>
      <c r="O3557" s="9" t="s">
        <v>21416</v>
      </c>
      <c r="P3557" s="9" t="s">
        <v>17748</v>
      </c>
      <c r="Q3557" s="11" t="s">
        <v>19361</v>
      </c>
      <c r="R3557" s="11" t="s">
        <v>19361</v>
      </c>
      <c r="S3557" s="11" t="s">
        <v>17750</v>
      </c>
    </row>
    <row r="3558" spans="1:19" x14ac:dyDescent="0.2">
      <c r="A3558" s="11" t="s">
        <v>38495</v>
      </c>
      <c r="B3558" s="9" t="s">
        <v>38496</v>
      </c>
      <c r="C3558" s="9" t="s">
        <v>38497</v>
      </c>
      <c r="D3558" s="9" t="s">
        <v>38498</v>
      </c>
      <c r="E3558" s="9" t="s">
        <v>17740</v>
      </c>
      <c r="F3558" s="9" t="s">
        <v>17741</v>
      </c>
      <c r="G3558" s="9" t="s">
        <v>17740</v>
      </c>
      <c r="H3558" s="11" t="s">
        <v>38499</v>
      </c>
      <c r="I3558" s="11" t="s">
        <v>38500</v>
      </c>
      <c r="J3558" s="11" t="s">
        <v>38500</v>
      </c>
      <c r="K3558" s="9" t="s">
        <v>38501</v>
      </c>
      <c r="L3558" s="9" t="s">
        <v>17759</v>
      </c>
      <c r="M3558" s="9" t="s">
        <v>18065</v>
      </c>
      <c r="N3558" s="9" t="s">
        <v>17746</v>
      </c>
      <c r="O3558" s="9" t="s">
        <v>17834</v>
      </c>
      <c r="P3558" s="9" t="s">
        <v>17748</v>
      </c>
      <c r="Q3558" s="11" t="s">
        <v>18470</v>
      </c>
      <c r="R3558" s="11" t="s">
        <v>18470</v>
      </c>
      <c r="S3558" s="11" t="s">
        <v>17750</v>
      </c>
    </row>
    <row r="3559" spans="1:19" x14ac:dyDescent="0.2">
      <c r="A3559" s="11" t="s">
        <v>38502</v>
      </c>
      <c r="B3559" s="9" t="s">
        <v>6857</v>
      </c>
      <c r="C3559" s="9" t="s">
        <v>38503</v>
      </c>
      <c r="D3559" s="9" t="s">
        <v>38504</v>
      </c>
      <c r="E3559" s="9" t="s">
        <v>17740</v>
      </c>
      <c r="F3559" s="9" t="s">
        <v>17741</v>
      </c>
      <c r="G3559" s="9" t="s">
        <v>17740</v>
      </c>
      <c r="H3559" s="11" t="s">
        <v>6859</v>
      </c>
      <c r="I3559" s="11" t="s">
        <v>6858</v>
      </c>
      <c r="J3559" s="11" t="s">
        <v>6858</v>
      </c>
      <c r="K3559" s="9" t="s">
        <v>17783</v>
      </c>
      <c r="L3559" s="9" t="s">
        <v>17759</v>
      </c>
      <c r="M3559" s="9" t="s">
        <v>38505</v>
      </c>
      <c r="N3559" s="9" t="s">
        <v>17746</v>
      </c>
      <c r="O3559" s="9" t="s">
        <v>18088</v>
      </c>
      <c r="P3559" s="9" t="s">
        <v>17748</v>
      </c>
      <c r="Q3559" s="11" t="s">
        <v>17749</v>
      </c>
      <c r="R3559" s="11" t="s">
        <v>17749</v>
      </c>
      <c r="S3559" s="11" t="s">
        <v>17750</v>
      </c>
    </row>
    <row r="3560" spans="1:19" x14ac:dyDescent="0.2">
      <c r="A3560" s="11" t="s">
        <v>38506</v>
      </c>
      <c r="B3560" s="9" t="s">
        <v>38507</v>
      </c>
      <c r="C3560" s="9" t="s">
        <v>38508</v>
      </c>
      <c r="D3560" s="9" t="s">
        <v>38509</v>
      </c>
      <c r="E3560" s="9" t="s">
        <v>17740</v>
      </c>
      <c r="F3560" s="9" t="s">
        <v>17741</v>
      </c>
      <c r="G3560" s="9" t="s">
        <v>17740</v>
      </c>
      <c r="H3560" s="11" t="s">
        <v>7237</v>
      </c>
      <c r="I3560" s="11" t="s">
        <v>7236</v>
      </c>
      <c r="J3560" s="11" t="s">
        <v>7236</v>
      </c>
      <c r="K3560" s="9" t="s">
        <v>26729</v>
      </c>
      <c r="L3560" s="9" t="s">
        <v>17759</v>
      </c>
      <c r="M3560" s="9" t="s">
        <v>18289</v>
      </c>
      <c r="N3560" s="9" t="s">
        <v>17746</v>
      </c>
      <c r="O3560" s="9" t="s">
        <v>23061</v>
      </c>
      <c r="P3560" s="9" t="s">
        <v>17748</v>
      </c>
      <c r="Q3560" s="11" t="s">
        <v>18678</v>
      </c>
      <c r="R3560" s="11" t="s">
        <v>18678</v>
      </c>
      <c r="S3560" s="11" t="s">
        <v>17750</v>
      </c>
    </row>
    <row r="3561" spans="1:19" x14ac:dyDescent="0.2">
      <c r="A3561" s="11" t="s">
        <v>38510</v>
      </c>
      <c r="B3561" s="9" t="s">
        <v>38511</v>
      </c>
      <c r="C3561" s="9" t="s">
        <v>38512</v>
      </c>
      <c r="D3561" s="9" t="s">
        <v>38513</v>
      </c>
      <c r="E3561" s="9" t="s">
        <v>17740</v>
      </c>
      <c r="F3561" s="9" t="s">
        <v>17741</v>
      </c>
      <c r="G3561" s="9" t="s">
        <v>17740</v>
      </c>
      <c r="H3561" s="11" t="s">
        <v>12064</v>
      </c>
      <c r="I3561" s="11" t="s">
        <v>12063</v>
      </c>
      <c r="J3561" s="11" t="s">
        <v>12064</v>
      </c>
      <c r="K3561" s="9" t="s">
        <v>91</v>
      </c>
      <c r="L3561" s="9" t="s">
        <v>17759</v>
      </c>
      <c r="M3561" s="9" t="s">
        <v>17817</v>
      </c>
      <c r="N3561" s="9" t="s">
        <v>17746</v>
      </c>
      <c r="O3561" s="9" t="s">
        <v>20367</v>
      </c>
      <c r="P3561" s="9" t="s">
        <v>17748</v>
      </c>
      <c r="Q3561" s="11" t="s">
        <v>17917</v>
      </c>
      <c r="R3561" s="11" t="s">
        <v>17917</v>
      </c>
      <c r="S3561" s="11" t="s">
        <v>17750</v>
      </c>
    </row>
    <row r="3562" spans="1:19" x14ac:dyDescent="0.2">
      <c r="A3562" s="11" t="s">
        <v>38514</v>
      </c>
      <c r="B3562" s="9" t="s">
        <v>38515</v>
      </c>
      <c r="C3562" s="9" t="s">
        <v>38516</v>
      </c>
      <c r="D3562" s="9" t="s">
        <v>38517</v>
      </c>
      <c r="E3562" s="9" t="s">
        <v>17740</v>
      </c>
      <c r="F3562" s="9" t="s">
        <v>17741</v>
      </c>
      <c r="G3562" s="9" t="s">
        <v>17740</v>
      </c>
      <c r="H3562" s="11" t="s">
        <v>5338</v>
      </c>
      <c r="I3562" s="11" t="s">
        <v>5337</v>
      </c>
      <c r="J3562" s="11" t="s">
        <v>5337</v>
      </c>
      <c r="K3562" s="9" t="s">
        <v>5339</v>
      </c>
      <c r="L3562" s="9" t="s">
        <v>17759</v>
      </c>
      <c r="M3562" s="9" t="s">
        <v>38518</v>
      </c>
      <c r="N3562" s="9" t="s">
        <v>17746</v>
      </c>
      <c r="O3562" s="9" t="s">
        <v>7269</v>
      </c>
      <c r="P3562" s="9" t="s">
        <v>17748</v>
      </c>
      <c r="Q3562" s="11" t="s">
        <v>17749</v>
      </c>
      <c r="R3562" s="11" t="s">
        <v>17749</v>
      </c>
      <c r="S3562" s="11" t="s">
        <v>17750</v>
      </c>
    </row>
    <row r="3563" spans="1:19" x14ac:dyDescent="0.2">
      <c r="A3563" s="11" t="s">
        <v>38519</v>
      </c>
      <c r="B3563" s="9" t="s">
        <v>38520</v>
      </c>
      <c r="C3563" s="9" t="s">
        <v>38521</v>
      </c>
      <c r="D3563" s="9" t="s">
        <v>38522</v>
      </c>
      <c r="E3563" s="9" t="s">
        <v>17740</v>
      </c>
      <c r="F3563" s="9" t="s">
        <v>38523</v>
      </c>
      <c r="G3563" s="9" t="s">
        <v>17740</v>
      </c>
      <c r="H3563" s="11" t="s">
        <v>38524</v>
      </c>
      <c r="I3563" s="11" t="s">
        <v>38525</v>
      </c>
      <c r="J3563" s="11" t="s">
        <v>38525</v>
      </c>
      <c r="K3563" s="9" t="s">
        <v>408</v>
      </c>
      <c r="L3563" s="9" t="s">
        <v>17759</v>
      </c>
      <c r="M3563" s="9" t="s">
        <v>19571</v>
      </c>
      <c r="N3563" s="9" t="s">
        <v>17746</v>
      </c>
      <c r="O3563" s="9" t="s">
        <v>18563</v>
      </c>
      <c r="P3563" s="9" t="s">
        <v>17748</v>
      </c>
      <c r="Q3563" s="11" t="s">
        <v>38526</v>
      </c>
      <c r="R3563" s="11" t="s">
        <v>38526</v>
      </c>
      <c r="S3563" s="11" t="s">
        <v>17750</v>
      </c>
    </row>
    <row r="3564" spans="1:19" x14ac:dyDescent="0.2">
      <c r="A3564" s="11" t="s">
        <v>38527</v>
      </c>
      <c r="B3564" s="9" t="s">
        <v>38528</v>
      </c>
      <c r="C3564" s="9" t="s">
        <v>38529</v>
      </c>
      <c r="D3564" s="9" t="s">
        <v>38530</v>
      </c>
      <c r="E3564" s="9" t="s">
        <v>17740</v>
      </c>
      <c r="F3564" s="9" t="s">
        <v>38531</v>
      </c>
      <c r="G3564" s="9" t="s">
        <v>17740</v>
      </c>
      <c r="H3564" s="11" t="s">
        <v>17741</v>
      </c>
      <c r="I3564" s="11" t="s">
        <v>38532</v>
      </c>
      <c r="J3564" s="11" t="s">
        <v>38532</v>
      </c>
      <c r="K3564" s="9" t="s">
        <v>38533</v>
      </c>
      <c r="L3564" s="9" t="s">
        <v>17759</v>
      </c>
      <c r="M3564" s="9" t="s">
        <v>17817</v>
      </c>
      <c r="N3564" s="9" t="s">
        <v>17746</v>
      </c>
      <c r="O3564" s="9" t="s">
        <v>17993</v>
      </c>
      <c r="P3564" s="9" t="s">
        <v>17748</v>
      </c>
      <c r="Q3564" s="11" t="s">
        <v>22275</v>
      </c>
      <c r="R3564" s="11" t="s">
        <v>22275</v>
      </c>
      <c r="S3564" s="11" t="s">
        <v>17750</v>
      </c>
    </row>
    <row r="3565" spans="1:19" x14ac:dyDescent="0.2">
      <c r="A3565" s="11" t="s">
        <v>38534</v>
      </c>
      <c r="B3565" s="9" t="s">
        <v>38535</v>
      </c>
      <c r="C3565" s="9" t="s">
        <v>38536</v>
      </c>
      <c r="D3565" s="9" t="s">
        <v>38537</v>
      </c>
      <c r="E3565" s="9" t="s">
        <v>17740</v>
      </c>
      <c r="F3565" s="9" t="s">
        <v>17741</v>
      </c>
      <c r="G3565" s="9" t="s">
        <v>17740</v>
      </c>
      <c r="H3565" s="11" t="s">
        <v>17741</v>
      </c>
      <c r="I3565" s="11" t="s">
        <v>38538</v>
      </c>
      <c r="J3565" s="11" t="s">
        <v>38538</v>
      </c>
      <c r="K3565" s="9" t="s">
        <v>38539</v>
      </c>
      <c r="L3565" s="9" t="s">
        <v>17759</v>
      </c>
      <c r="M3565" s="9" t="s">
        <v>17760</v>
      </c>
      <c r="N3565" s="9" t="s">
        <v>17746</v>
      </c>
      <c r="O3565" s="9" t="s">
        <v>17993</v>
      </c>
      <c r="P3565" s="9" t="s">
        <v>17748</v>
      </c>
      <c r="Q3565" s="11" t="s">
        <v>17819</v>
      </c>
      <c r="R3565" s="11" t="s">
        <v>17819</v>
      </c>
      <c r="S3565" s="11" t="s">
        <v>17750</v>
      </c>
    </row>
    <row r="3566" spans="1:19" x14ac:dyDescent="0.2">
      <c r="A3566" s="11" t="s">
        <v>38540</v>
      </c>
      <c r="B3566" s="9" t="s">
        <v>38541</v>
      </c>
      <c r="C3566" s="9" t="s">
        <v>38542</v>
      </c>
      <c r="D3566" s="9" t="s">
        <v>38543</v>
      </c>
      <c r="E3566" s="9" t="s">
        <v>17740</v>
      </c>
      <c r="F3566" s="9" t="s">
        <v>17741</v>
      </c>
      <c r="G3566" s="9" t="s">
        <v>17740</v>
      </c>
      <c r="H3566" s="11" t="s">
        <v>8896</v>
      </c>
      <c r="I3566" s="11" t="s">
        <v>8895</v>
      </c>
      <c r="J3566" s="11" t="s">
        <v>8896</v>
      </c>
      <c r="K3566" s="9" t="s">
        <v>38544</v>
      </c>
      <c r="L3566" s="9" t="s">
        <v>17759</v>
      </c>
      <c r="M3566" s="9" t="s">
        <v>17760</v>
      </c>
      <c r="N3566" s="9" t="s">
        <v>17746</v>
      </c>
      <c r="O3566" s="9" t="s">
        <v>18418</v>
      </c>
      <c r="P3566" s="9" t="s">
        <v>17748</v>
      </c>
      <c r="Q3566" s="11" t="s">
        <v>17784</v>
      </c>
      <c r="R3566" s="11" t="s">
        <v>17784</v>
      </c>
      <c r="S3566" s="11" t="s">
        <v>17750</v>
      </c>
    </row>
    <row r="3567" spans="1:19" x14ac:dyDescent="0.2">
      <c r="A3567" s="11" t="s">
        <v>38545</v>
      </c>
      <c r="B3567" s="9" t="s">
        <v>38546</v>
      </c>
      <c r="C3567" s="9" t="s">
        <v>38547</v>
      </c>
      <c r="D3567" s="9" t="s">
        <v>38548</v>
      </c>
      <c r="E3567" s="9" t="s">
        <v>17740</v>
      </c>
      <c r="F3567" s="9" t="s">
        <v>17741</v>
      </c>
      <c r="G3567" s="9" t="s">
        <v>17740</v>
      </c>
      <c r="H3567" s="11" t="s">
        <v>38549</v>
      </c>
      <c r="I3567" s="11" t="s">
        <v>38550</v>
      </c>
      <c r="J3567" s="11" t="s">
        <v>38550</v>
      </c>
      <c r="K3567" s="9" t="s">
        <v>19447</v>
      </c>
      <c r="L3567" s="9" t="s">
        <v>17759</v>
      </c>
      <c r="M3567" s="9" t="s">
        <v>17769</v>
      </c>
      <c r="N3567" s="9" t="s">
        <v>17746</v>
      </c>
      <c r="O3567" s="9" t="s">
        <v>38551</v>
      </c>
      <c r="P3567" s="9" t="s">
        <v>17748</v>
      </c>
      <c r="Q3567" s="11" t="s">
        <v>17819</v>
      </c>
      <c r="R3567" s="11" t="s">
        <v>17819</v>
      </c>
      <c r="S3567" s="11" t="s">
        <v>17750</v>
      </c>
    </row>
    <row r="3568" spans="1:19" x14ac:dyDescent="0.2">
      <c r="A3568" s="11" t="s">
        <v>38552</v>
      </c>
      <c r="B3568" s="9" t="s">
        <v>38553</v>
      </c>
      <c r="C3568" s="9" t="s">
        <v>38554</v>
      </c>
      <c r="D3568" s="9" t="s">
        <v>38555</v>
      </c>
      <c r="E3568" s="9" t="s">
        <v>17740</v>
      </c>
      <c r="F3568" s="9" t="s">
        <v>17741</v>
      </c>
      <c r="G3568" s="9" t="s">
        <v>17740</v>
      </c>
      <c r="H3568" s="11" t="s">
        <v>17741</v>
      </c>
      <c r="I3568" s="11" t="s">
        <v>38556</v>
      </c>
      <c r="J3568" s="11" t="s">
        <v>38556</v>
      </c>
      <c r="K3568" s="9" t="s">
        <v>38557</v>
      </c>
      <c r="L3568" s="9" t="s">
        <v>20446</v>
      </c>
      <c r="M3568" s="9" t="s">
        <v>17817</v>
      </c>
      <c r="N3568" s="9" t="s">
        <v>17746</v>
      </c>
      <c r="O3568" s="9" t="s">
        <v>17993</v>
      </c>
      <c r="P3568" s="9" t="s">
        <v>17748</v>
      </c>
      <c r="Q3568" s="11" t="s">
        <v>18470</v>
      </c>
      <c r="R3568" s="11" t="s">
        <v>18470</v>
      </c>
      <c r="S3568" s="11" t="s">
        <v>17750</v>
      </c>
    </row>
    <row r="3569" spans="1:19" x14ac:dyDescent="0.2">
      <c r="A3569" s="11" t="s">
        <v>38558</v>
      </c>
      <c r="B3569" s="9" t="s">
        <v>38559</v>
      </c>
      <c r="C3569" s="9" t="s">
        <v>38560</v>
      </c>
      <c r="D3569" s="9" t="s">
        <v>38561</v>
      </c>
      <c r="E3569" s="9" t="s">
        <v>17740</v>
      </c>
      <c r="F3569" s="9" t="s">
        <v>38562</v>
      </c>
      <c r="G3569" s="9" t="s">
        <v>17740</v>
      </c>
      <c r="H3569" s="11" t="s">
        <v>38563</v>
      </c>
      <c r="I3569" s="11" t="s">
        <v>38564</v>
      </c>
      <c r="J3569" s="11" t="s">
        <v>38564</v>
      </c>
      <c r="K3569" s="9" t="s">
        <v>38565</v>
      </c>
      <c r="L3569" s="9" t="s">
        <v>17759</v>
      </c>
      <c r="M3569" s="9" t="s">
        <v>17817</v>
      </c>
      <c r="N3569" s="9" t="s">
        <v>17746</v>
      </c>
      <c r="O3569" s="9" t="s">
        <v>18340</v>
      </c>
      <c r="P3569" s="9" t="s">
        <v>17748</v>
      </c>
      <c r="Q3569" s="11" t="s">
        <v>18678</v>
      </c>
      <c r="R3569" s="11" t="s">
        <v>18678</v>
      </c>
      <c r="S3569" s="11" t="s">
        <v>17750</v>
      </c>
    </row>
    <row r="3570" spans="1:19" x14ac:dyDescent="0.2">
      <c r="A3570" s="11" t="s">
        <v>38566</v>
      </c>
      <c r="B3570" s="9" t="s">
        <v>38567</v>
      </c>
      <c r="C3570" s="9" t="s">
        <v>38568</v>
      </c>
      <c r="D3570" s="9" t="s">
        <v>38569</v>
      </c>
      <c r="E3570" s="9" t="s">
        <v>17748</v>
      </c>
      <c r="F3570" s="9" t="s">
        <v>38570</v>
      </c>
      <c r="G3570" s="9" t="s">
        <v>17740</v>
      </c>
      <c r="H3570" s="11" t="s">
        <v>9804</v>
      </c>
      <c r="I3570" s="11" t="s">
        <v>9803</v>
      </c>
      <c r="J3570" s="11" t="s">
        <v>9803</v>
      </c>
      <c r="K3570" s="9" t="s">
        <v>1065</v>
      </c>
      <c r="L3570" s="9" t="s">
        <v>17950</v>
      </c>
      <c r="M3570" s="9" t="s">
        <v>17817</v>
      </c>
      <c r="N3570" s="9" t="s">
        <v>17746</v>
      </c>
      <c r="O3570" s="9" t="s">
        <v>17993</v>
      </c>
      <c r="P3570" s="9" t="s">
        <v>17748</v>
      </c>
      <c r="Q3570" s="11" t="s">
        <v>17858</v>
      </c>
      <c r="R3570" s="11" t="s">
        <v>17858</v>
      </c>
      <c r="S3570" s="11" t="s">
        <v>17750</v>
      </c>
    </row>
    <row r="3571" spans="1:19" x14ac:dyDescent="0.2">
      <c r="A3571" s="11" t="s">
        <v>38571</v>
      </c>
      <c r="B3571" s="9" t="s">
        <v>38572</v>
      </c>
      <c r="C3571" s="9" t="s">
        <v>38573</v>
      </c>
      <c r="D3571" s="9" t="s">
        <v>38574</v>
      </c>
      <c r="E3571" s="9" t="s">
        <v>17740</v>
      </c>
      <c r="F3571" s="9" t="s">
        <v>17741</v>
      </c>
      <c r="G3571" s="9" t="s">
        <v>17740</v>
      </c>
      <c r="H3571" s="11" t="s">
        <v>38575</v>
      </c>
      <c r="I3571" s="11" t="s">
        <v>6428</v>
      </c>
      <c r="J3571" s="11" t="s">
        <v>6428</v>
      </c>
      <c r="K3571" s="9" t="s">
        <v>6429</v>
      </c>
      <c r="L3571" s="9" t="s">
        <v>34138</v>
      </c>
      <c r="M3571" s="9" t="s">
        <v>38576</v>
      </c>
      <c r="N3571" s="9" t="s">
        <v>17746</v>
      </c>
      <c r="O3571" s="9" t="s">
        <v>38577</v>
      </c>
      <c r="P3571" s="9" t="s">
        <v>17748</v>
      </c>
      <c r="Q3571" s="11" t="s">
        <v>18080</v>
      </c>
      <c r="R3571" s="11" t="s">
        <v>18080</v>
      </c>
      <c r="S3571" s="11" t="s">
        <v>17750</v>
      </c>
    </row>
    <row r="3572" spans="1:19" x14ac:dyDescent="0.2">
      <c r="A3572" s="11" t="s">
        <v>38578</v>
      </c>
      <c r="B3572" s="9" t="s">
        <v>15966</v>
      </c>
      <c r="C3572" s="9" t="s">
        <v>38579</v>
      </c>
      <c r="D3572" s="9" t="s">
        <v>38580</v>
      </c>
      <c r="E3572" s="9" t="s">
        <v>17740</v>
      </c>
      <c r="F3572" s="9" t="s">
        <v>17741</v>
      </c>
      <c r="G3572" s="9" t="s">
        <v>17740</v>
      </c>
      <c r="H3572" s="11" t="s">
        <v>17741</v>
      </c>
      <c r="I3572" s="11" t="s">
        <v>15967</v>
      </c>
      <c r="J3572" s="11" t="s">
        <v>15967</v>
      </c>
      <c r="K3572" s="9" t="s">
        <v>38581</v>
      </c>
      <c r="L3572" s="9" t="s">
        <v>21182</v>
      </c>
      <c r="M3572" s="9" t="s">
        <v>17760</v>
      </c>
      <c r="N3572" s="9" t="s">
        <v>17746</v>
      </c>
      <c r="O3572" s="9" t="s">
        <v>18363</v>
      </c>
      <c r="P3572" s="9" t="s">
        <v>17748</v>
      </c>
      <c r="Q3572" s="11" t="s">
        <v>19515</v>
      </c>
      <c r="R3572" s="11" t="s">
        <v>19515</v>
      </c>
      <c r="S3572" s="11" t="s">
        <v>17750</v>
      </c>
    </row>
    <row r="3573" spans="1:19" x14ac:dyDescent="0.2">
      <c r="A3573" s="11" t="s">
        <v>38582</v>
      </c>
      <c r="B3573" s="9" t="s">
        <v>38583</v>
      </c>
      <c r="C3573" s="9" t="s">
        <v>38584</v>
      </c>
      <c r="D3573" s="9" t="s">
        <v>38585</v>
      </c>
      <c r="E3573" s="9" t="s">
        <v>17740</v>
      </c>
      <c r="F3573" s="9" t="s">
        <v>17741</v>
      </c>
      <c r="G3573" s="9" t="s">
        <v>17740</v>
      </c>
      <c r="H3573" s="11" t="s">
        <v>38586</v>
      </c>
      <c r="I3573" s="11" t="s">
        <v>38587</v>
      </c>
      <c r="J3573" s="11" t="s">
        <v>38587</v>
      </c>
      <c r="K3573" s="9" t="s">
        <v>17758</v>
      </c>
      <c r="L3573" s="9" t="s">
        <v>17744</v>
      </c>
      <c r="M3573" s="9" t="s">
        <v>17769</v>
      </c>
      <c r="N3573" s="9" t="s">
        <v>21190</v>
      </c>
      <c r="O3573" s="9" t="s">
        <v>3524</v>
      </c>
      <c r="P3573" s="9" t="s">
        <v>17748</v>
      </c>
      <c r="Q3573" s="11" t="s">
        <v>18332</v>
      </c>
      <c r="R3573" s="11" t="s">
        <v>18332</v>
      </c>
      <c r="S3573" s="11" t="s">
        <v>17750</v>
      </c>
    </row>
    <row r="3574" spans="1:19" x14ac:dyDescent="0.2">
      <c r="A3574" s="11" t="s">
        <v>38588</v>
      </c>
      <c r="B3574" s="9" t="s">
        <v>38589</v>
      </c>
      <c r="C3574" s="9" t="s">
        <v>38590</v>
      </c>
      <c r="D3574" s="9" t="s">
        <v>38591</v>
      </c>
      <c r="E3574" s="9" t="s">
        <v>17740</v>
      </c>
      <c r="F3574" s="9" t="s">
        <v>17741</v>
      </c>
      <c r="G3574" s="9" t="s">
        <v>17740</v>
      </c>
      <c r="H3574" s="11" t="s">
        <v>17741</v>
      </c>
      <c r="I3574" s="11" t="s">
        <v>38592</v>
      </c>
      <c r="J3574" s="11" t="s">
        <v>38592</v>
      </c>
      <c r="K3574" s="9" t="s">
        <v>38593</v>
      </c>
      <c r="L3574" s="9" t="s">
        <v>21182</v>
      </c>
      <c r="M3574" s="9" t="s">
        <v>17992</v>
      </c>
      <c r="N3574" s="9" t="s">
        <v>17746</v>
      </c>
      <c r="O3574" s="9" t="s">
        <v>3309</v>
      </c>
      <c r="P3574" s="9" t="s">
        <v>17748</v>
      </c>
      <c r="Q3574" s="11" t="s">
        <v>18282</v>
      </c>
      <c r="R3574" s="11" t="s">
        <v>18282</v>
      </c>
      <c r="S3574" s="11" t="s">
        <v>17750</v>
      </c>
    </row>
    <row r="3575" spans="1:19" x14ac:dyDescent="0.2">
      <c r="A3575" s="11" t="s">
        <v>38594</v>
      </c>
      <c r="B3575" s="9" t="s">
        <v>38595</v>
      </c>
      <c r="C3575" s="9" t="s">
        <v>38596</v>
      </c>
      <c r="D3575" s="9" t="s">
        <v>38597</v>
      </c>
      <c r="E3575" s="9" t="s">
        <v>17740</v>
      </c>
      <c r="F3575" s="9" t="s">
        <v>17741</v>
      </c>
      <c r="G3575" s="9" t="s">
        <v>17740</v>
      </c>
      <c r="H3575" s="11" t="s">
        <v>5973</v>
      </c>
      <c r="I3575" s="11" t="s">
        <v>5972</v>
      </c>
      <c r="J3575" s="11" t="s">
        <v>5972</v>
      </c>
      <c r="K3575" s="9" t="s">
        <v>970</v>
      </c>
      <c r="L3575" s="9" t="s">
        <v>17744</v>
      </c>
      <c r="M3575" s="9" t="s">
        <v>29147</v>
      </c>
      <c r="N3575" s="9" t="s">
        <v>17746</v>
      </c>
      <c r="O3575" s="9" t="s">
        <v>18131</v>
      </c>
      <c r="P3575" s="9" t="s">
        <v>17748</v>
      </c>
      <c r="Q3575" s="11" t="s">
        <v>18147</v>
      </c>
      <c r="R3575" s="11" t="s">
        <v>18147</v>
      </c>
      <c r="S3575" s="11" t="s">
        <v>17750</v>
      </c>
    </row>
    <row r="3576" spans="1:19" x14ac:dyDescent="0.2">
      <c r="A3576" s="11" t="s">
        <v>38598</v>
      </c>
      <c r="B3576" s="9" t="s">
        <v>38599</v>
      </c>
      <c r="C3576" s="9" t="s">
        <v>38600</v>
      </c>
      <c r="D3576" s="9" t="s">
        <v>38601</v>
      </c>
      <c r="E3576" s="9" t="s">
        <v>17740</v>
      </c>
      <c r="F3576" s="9" t="s">
        <v>17741</v>
      </c>
      <c r="G3576" s="9" t="s">
        <v>17740</v>
      </c>
      <c r="H3576" s="11" t="s">
        <v>38602</v>
      </c>
      <c r="I3576" s="11" t="s">
        <v>38603</v>
      </c>
      <c r="J3576" s="11" t="s">
        <v>38603</v>
      </c>
      <c r="K3576" s="9" t="s">
        <v>970</v>
      </c>
      <c r="L3576" s="9" t="s">
        <v>17759</v>
      </c>
      <c r="M3576" s="9" t="s">
        <v>17769</v>
      </c>
      <c r="N3576" s="9" t="s">
        <v>17746</v>
      </c>
      <c r="O3576" s="9" t="s">
        <v>19095</v>
      </c>
      <c r="P3576" s="9" t="s">
        <v>17748</v>
      </c>
      <c r="Q3576" s="11" t="s">
        <v>18805</v>
      </c>
      <c r="R3576" s="11" t="s">
        <v>18805</v>
      </c>
      <c r="S3576" s="11" t="s">
        <v>17750</v>
      </c>
    </row>
    <row r="3577" spans="1:19" x14ac:dyDescent="0.2">
      <c r="A3577" s="11" t="s">
        <v>38604</v>
      </c>
      <c r="B3577" s="9" t="s">
        <v>38605</v>
      </c>
      <c r="C3577" s="9" t="s">
        <v>38606</v>
      </c>
      <c r="D3577" s="9" t="s">
        <v>38607</v>
      </c>
      <c r="E3577" s="9" t="s">
        <v>17740</v>
      </c>
      <c r="F3577" s="9" t="s">
        <v>38608</v>
      </c>
      <c r="G3577" s="9" t="s">
        <v>17740</v>
      </c>
      <c r="H3577" s="11" t="s">
        <v>17741</v>
      </c>
      <c r="I3577" s="11" t="s">
        <v>7296</v>
      </c>
      <c r="J3577" s="11" t="s">
        <v>7296</v>
      </c>
      <c r="K3577" s="9" t="s">
        <v>38609</v>
      </c>
      <c r="L3577" s="9" t="s">
        <v>17950</v>
      </c>
      <c r="M3577" s="9" t="s">
        <v>17817</v>
      </c>
      <c r="N3577" s="9" t="s">
        <v>17746</v>
      </c>
      <c r="O3577" s="9" t="s">
        <v>17993</v>
      </c>
      <c r="P3577" s="9" t="s">
        <v>17748</v>
      </c>
      <c r="Q3577" s="11" t="s">
        <v>18080</v>
      </c>
      <c r="R3577" s="11" t="s">
        <v>18080</v>
      </c>
      <c r="S3577" s="11" t="s">
        <v>17750</v>
      </c>
    </row>
    <row r="3578" spans="1:19" x14ac:dyDescent="0.2">
      <c r="A3578" s="11" t="s">
        <v>38610</v>
      </c>
      <c r="B3578" s="9" t="s">
        <v>38611</v>
      </c>
      <c r="C3578" s="9" t="s">
        <v>38612</v>
      </c>
      <c r="D3578" s="9" t="s">
        <v>38613</v>
      </c>
      <c r="E3578" s="9" t="s">
        <v>17740</v>
      </c>
      <c r="F3578" s="9" t="s">
        <v>17741</v>
      </c>
      <c r="G3578" s="9" t="s">
        <v>17740</v>
      </c>
      <c r="H3578" s="11" t="s">
        <v>17741</v>
      </c>
      <c r="I3578" s="11" t="s">
        <v>38614</v>
      </c>
      <c r="J3578" s="11" t="s">
        <v>38614</v>
      </c>
      <c r="K3578" s="9" t="s">
        <v>17783</v>
      </c>
      <c r="L3578" s="9" t="s">
        <v>18158</v>
      </c>
      <c r="M3578" s="9" t="s">
        <v>17992</v>
      </c>
      <c r="N3578" s="9" t="s">
        <v>17746</v>
      </c>
      <c r="O3578" s="9" t="s">
        <v>31136</v>
      </c>
      <c r="P3578" s="9" t="s">
        <v>17748</v>
      </c>
      <c r="Q3578" s="11" t="s">
        <v>17883</v>
      </c>
      <c r="R3578" s="11" t="s">
        <v>17883</v>
      </c>
      <c r="S3578" s="11" t="s">
        <v>17750</v>
      </c>
    </row>
    <row r="3579" spans="1:19" x14ac:dyDescent="0.2">
      <c r="A3579" s="11" t="s">
        <v>38615</v>
      </c>
      <c r="B3579" s="9" t="s">
        <v>38616</v>
      </c>
      <c r="C3579" s="9" t="s">
        <v>38617</v>
      </c>
      <c r="D3579" s="9" t="s">
        <v>38618</v>
      </c>
      <c r="E3579" s="9" t="s">
        <v>17748</v>
      </c>
      <c r="F3579" s="9" t="s">
        <v>38619</v>
      </c>
      <c r="G3579" s="9" t="s">
        <v>17740</v>
      </c>
      <c r="H3579" s="11" t="s">
        <v>17741</v>
      </c>
      <c r="I3579" s="11" t="s">
        <v>38620</v>
      </c>
      <c r="J3579" s="11" t="s">
        <v>38620</v>
      </c>
      <c r="K3579" s="9" t="s">
        <v>38621</v>
      </c>
      <c r="L3579" s="9" t="s">
        <v>17759</v>
      </c>
      <c r="M3579" s="9" t="s">
        <v>17992</v>
      </c>
      <c r="N3579" s="9" t="s">
        <v>17746</v>
      </c>
      <c r="O3579" s="9" t="s">
        <v>38622</v>
      </c>
      <c r="P3579" s="9" t="s">
        <v>17748</v>
      </c>
      <c r="Q3579" s="11" t="s">
        <v>18201</v>
      </c>
      <c r="R3579" s="11" t="s">
        <v>18201</v>
      </c>
      <c r="S3579" s="11" t="s">
        <v>17750</v>
      </c>
    </row>
    <row r="3580" spans="1:19" x14ac:dyDescent="0.2">
      <c r="A3580" s="11" t="s">
        <v>38623</v>
      </c>
      <c r="B3580" s="9" t="s">
        <v>38624</v>
      </c>
      <c r="C3580" s="9" t="s">
        <v>38625</v>
      </c>
      <c r="D3580" s="9" t="s">
        <v>38626</v>
      </c>
      <c r="E3580" s="9" t="s">
        <v>17740</v>
      </c>
      <c r="F3580" s="9" t="s">
        <v>17741</v>
      </c>
      <c r="G3580" s="9" t="s">
        <v>17740</v>
      </c>
      <c r="H3580" s="11" t="s">
        <v>38627</v>
      </c>
      <c r="I3580" s="11" t="s">
        <v>38628</v>
      </c>
      <c r="J3580" s="11" t="s">
        <v>38628</v>
      </c>
      <c r="K3580" s="9" t="s">
        <v>23783</v>
      </c>
      <c r="L3580" s="9" t="s">
        <v>17759</v>
      </c>
      <c r="M3580" s="9" t="s">
        <v>38629</v>
      </c>
      <c r="N3580" s="9" t="s">
        <v>17746</v>
      </c>
      <c r="O3580" s="9" t="s">
        <v>17747</v>
      </c>
      <c r="P3580" s="9" t="s">
        <v>17748</v>
      </c>
      <c r="Q3580" s="11" t="s">
        <v>19983</v>
      </c>
      <c r="R3580" s="11" t="s">
        <v>19983</v>
      </c>
      <c r="S3580" s="11" t="s">
        <v>17750</v>
      </c>
    </row>
    <row r="3581" spans="1:19" x14ac:dyDescent="0.2">
      <c r="A3581" s="11" t="s">
        <v>38630</v>
      </c>
      <c r="B3581" s="9" t="s">
        <v>38631</v>
      </c>
      <c r="C3581" s="9" t="s">
        <v>38632</v>
      </c>
      <c r="D3581" s="9" t="s">
        <v>38633</v>
      </c>
      <c r="E3581" s="9" t="s">
        <v>17740</v>
      </c>
      <c r="F3581" s="9" t="s">
        <v>17741</v>
      </c>
      <c r="G3581" s="9" t="s">
        <v>17740</v>
      </c>
      <c r="H3581" s="11" t="s">
        <v>38634</v>
      </c>
      <c r="I3581" s="11" t="s">
        <v>38635</v>
      </c>
      <c r="J3581" s="11" t="s">
        <v>38635</v>
      </c>
      <c r="K3581" s="9" t="s">
        <v>55</v>
      </c>
      <c r="L3581" s="9" t="s">
        <v>17744</v>
      </c>
      <c r="M3581" s="9" t="s">
        <v>17760</v>
      </c>
      <c r="N3581" s="9" t="s">
        <v>17746</v>
      </c>
      <c r="O3581" s="9" t="s">
        <v>17747</v>
      </c>
      <c r="P3581" s="9" t="s">
        <v>17748</v>
      </c>
      <c r="Q3581" s="11" t="s">
        <v>18010</v>
      </c>
      <c r="R3581" s="11" t="s">
        <v>18010</v>
      </c>
      <c r="S3581" s="11" t="s">
        <v>17750</v>
      </c>
    </row>
    <row r="3582" spans="1:19" x14ac:dyDescent="0.2">
      <c r="A3582" s="11" t="s">
        <v>38636</v>
      </c>
      <c r="B3582" s="9" t="s">
        <v>38637</v>
      </c>
      <c r="C3582" s="9" t="s">
        <v>38638</v>
      </c>
      <c r="D3582" s="9" t="s">
        <v>38639</v>
      </c>
      <c r="E3582" s="9" t="s">
        <v>17740</v>
      </c>
      <c r="F3582" s="9" t="s">
        <v>17741</v>
      </c>
      <c r="G3582" s="9" t="s">
        <v>17740</v>
      </c>
      <c r="H3582" s="11" t="s">
        <v>38640</v>
      </c>
      <c r="I3582" s="11" t="s">
        <v>38641</v>
      </c>
      <c r="J3582" s="11" t="s">
        <v>38641</v>
      </c>
      <c r="K3582" s="9" t="s">
        <v>17805</v>
      </c>
      <c r="L3582" s="9" t="s">
        <v>17759</v>
      </c>
      <c r="M3582" s="9" t="s">
        <v>17760</v>
      </c>
      <c r="N3582" s="9" t="s">
        <v>17746</v>
      </c>
      <c r="O3582" s="9" t="s">
        <v>38642</v>
      </c>
      <c r="P3582" s="9" t="s">
        <v>17748</v>
      </c>
      <c r="Q3582" s="11" t="s">
        <v>18072</v>
      </c>
      <c r="R3582" s="11" t="s">
        <v>18072</v>
      </c>
      <c r="S3582" s="11" t="s">
        <v>17750</v>
      </c>
    </row>
    <row r="3583" spans="1:19" x14ac:dyDescent="0.2">
      <c r="A3583" s="11" t="s">
        <v>38643</v>
      </c>
      <c r="B3583" s="9" t="s">
        <v>38644</v>
      </c>
      <c r="C3583" s="9" t="s">
        <v>38645</v>
      </c>
      <c r="D3583" s="9" t="s">
        <v>38646</v>
      </c>
      <c r="E3583" s="9" t="s">
        <v>17740</v>
      </c>
      <c r="F3583" s="9" t="s">
        <v>17741</v>
      </c>
      <c r="G3583" s="9" t="s">
        <v>17740</v>
      </c>
      <c r="H3583" s="11" t="s">
        <v>38647</v>
      </c>
      <c r="I3583" s="11" t="s">
        <v>38648</v>
      </c>
      <c r="J3583" s="11" t="s">
        <v>38648</v>
      </c>
      <c r="K3583" s="9" t="s">
        <v>291</v>
      </c>
      <c r="L3583" s="9" t="s">
        <v>17744</v>
      </c>
      <c r="M3583" s="9" t="s">
        <v>31934</v>
      </c>
      <c r="N3583" s="9" t="s">
        <v>17746</v>
      </c>
      <c r="O3583" s="9" t="s">
        <v>38649</v>
      </c>
      <c r="P3583" s="9" t="s">
        <v>17748</v>
      </c>
      <c r="Q3583" s="11" t="s">
        <v>18147</v>
      </c>
      <c r="R3583" s="11" t="s">
        <v>18147</v>
      </c>
      <c r="S3583" s="11" t="s">
        <v>17750</v>
      </c>
    </row>
    <row r="3584" spans="1:19" x14ac:dyDescent="0.2">
      <c r="A3584" s="11" t="s">
        <v>38650</v>
      </c>
      <c r="B3584" s="9" t="s">
        <v>38651</v>
      </c>
      <c r="C3584" s="9" t="s">
        <v>38652</v>
      </c>
      <c r="D3584" s="9" t="s">
        <v>38653</v>
      </c>
      <c r="E3584" s="9" t="s">
        <v>17740</v>
      </c>
      <c r="F3584" s="9" t="s">
        <v>17741</v>
      </c>
      <c r="G3584" s="9" t="s">
        <v>17740</v>
      </c>
      <c r="H3584" s="11" t="s">
        <v>38654</v>
      </c>
      <c r="I3584" s="11" t="s">
        <v>38655</v>
      </c>
      <c r="J3584" s="11" t="s">
        <v>38655</v>
      </c>
      <c r="K3584" s="9" t="s">
        <v>55</v>
      </c>
      <c r="L3584" s="9" t="s">
        <v>17744</v>
      </c>
      <c r="M3584" s="9" t="s">
        <v>38656</v>
      </c>
      <c r="N3584" s="9" t="s">
        <v>17746</v>
      </c>
      <c r="O3584" s="9" t="s">
        <v>38657</v>
      </c>
      <c r="P3584" s="9" t="s">
        <v>17748</v>
      </c>
      <c r="Q3584" s="11" t="s">
        <v>18922</v>
      </c>
      <c r="R3584" s="11" t="s">
        <v>18922</v>
      </c>
      <c r="S3584" s="11" t="s">
        <v>17750</v>
      </c>
    </row>
    <row r="3585" spans="1:19" x14ac:dyDescent="0.2">
      <c r="A3585" s="11" t="s">
        <v>38658</v>
      </c>
      <c r="B3585" s="9" t="s">
        <v>2375</v>
      </c>
      <c r="C3585" s="9" t="s">
        <v>38659</v>
      </c>
      <c r="D3585" s="9" t="s">
        <v>38660</v>
      </c>
      <c r="E3585" s="9" t="s">
        <v>17740</v>
      </c>
      <c r="F3585" s="9" t="s">
        <v>38661</v>
      </c>
      <c r="G3585" s="9" t="s">
        <v>17740</v>
      </c>
      <c r="H3585" s="11" t="s">
        <v>17741</v>
      </c>
      <c r="I3585" s="11" t="s">
        <v>2376</v>
      </c>
      <c r="J3585" s="11" t="s">
        <v>2376</v>
      </c>
      <c r="K3585" s="9" t="s">
        <v>2377</v>
      </c>
      <c r="L3585" s="9" t="s">
        <v>20446</v>
      </c>
      <c r="M3585" s="9" t="s">
        <v>17817</v>
      </c>
      <c r="N3585" s="9" t="s">
        <v>17746</v>
      </c>
      <c r="O3585" s="9" t="s">
        <v>17993</v>
      </c>
      <c r="P3585" s="9" t="s">
        <v>17748</v>
      </c>
      <c r="Q3585" s="11" t="s">
        <v>19522</v>
      </c>
      <c r="R3585" s="11" t="s">
        <v>19522</v>
      </c>
      <c r="S3585" s="11" t="s">
        <v>17750</v>
      </c>
    </row>
    <row r="3586" spans="1:19" x14ac:dyDescent="0.2">
      <c r="A3586" s="11" t="s">
        <v>38662</v>
      </c>
      <c r="B3586" s="9" t="s">
        <v>38663</v>
      </c>
      <c r="C3586" s="9" t="s">
        <v>38664</v>
      </c>
      <c r="D3586" s="9" t="s">
        <v>38665</v>
      </c>
      <c r="E3586" s="9" t="s">
        <v>17740</v>
      </c>
      <c r="F3586" s="9" t="s">
        <v>17741</v>
      </c>
      <c r="G3586" s="9" t="s">
        <v>17740</v>
      </c>
      <c r="H3586" s="11" t="s">
        <v>38666</v>
      </c>
      <c r="I3586" s="11" t="s">
        <v>38667</v>
      </c>
      <c r="J3586" s="11" t="s">
        <v>38667</v>
      </c>
      <c r="K3586" s="9" t="s">
        <v>19057</v>
      </c>
      <c r="L3586" s="9" t="s">
        <v>20446</v>
      </c>
      <c r="M3586" s="9" t="s">
        <v>17760</v>
      </c>
      <c r="N3586" s="9" t="s">
        <v>17746</v>
      </c>
      <c r="O3586" s="9" t="s">
        <v>18340</v>
      </c>
      <c r="P3586" s="9" t="s">
        <v>17748</v>
      </c>
      <c r="Q3586" s="11" t="s">
        <v>17978</v>
      </c>
      <c r="R3586" s="11" t="s">
        <v>17978</v>
      </c>
      <c r="S3586" s="11" t="s">
        <v>17750</v>
      </c>
    </row>
    <row r="3587" spans="1:19" x14ac:dyDescent="0.2">
      <c r="A3587" s="11" t="s">
        <v>38668</v>
      </c>
      <c r="B3587" s="9" t="s">
        <v>38669</v>
      </c>
      <c r="C3587" s="9" t="s">
        <v>38670</v>
      </c>
      <c r="D3587" s="9" t="s">
        <v>38671</v>
      </c>
      <c r="E3587" s="9" t="s">
        <v>17740</v>
      </c>
      <c r="F3587" s="9" t="s">
        <v>17741</v>
      </c>
      <c r="G3587" s="9" t="s">
        <v>17740</v>
      </c>
      <c r="H3587" s="11" t="s">
        <v>17741</v>
      </c>
      <c r="I3587" s="11" t="s">
        <v>38672</v>
      </c>
      <c r="J3587" s="11" t="s">
        <v>38672</v>
      </c>
      <c r="K3587" s="9" t="s">
        <v>38673</v>
      </c>
      <c r="L3587" s="9" t="s">
        <v>17744</v>
      </c>
      <c r="M3587" s="9" t="s">
        <v>17760</v>
      </c>
      <c r="N3587" s="9" t="s">
        <v>17746</v>
      </c>
      <c r="O3587" s="9" t="s">
        <v>18340</v>
      </c>
      <c r="P3587" s="9" t="s">
        <v>17748</v>
      </c>
      <c r="Q3587" s="11" t="s">
        <v>18356</v>
      </c>
      <c r="R3587" s="11" t="s">
        <v>18356</v>
      </c>
      <c r="S3587" s="11" t="s">
        <v>17750</v>
      </c>
    </row>
    <row r="3588" spans="1:19" x14ac:dyDescent="0.2">
      <c r="A3588" s="11" t="s">
        <v>38674</v>
      </c>
      <c r="B3588" s="9" t="s">
        <v>13914</v>
      </c>
      <c r="C3588" s="9" t="s">
        <v>38675</v>
      </c>
      <c r="D3588" s="9" t="s">
        <v>38676</v>
      </c>
      <c r="E3588" s="9" t="s">
        <v>17740</v>
      </c>
      <c r="F3588" s="9" t="s">
        <v>17741</v>
      </c>
      <c r="G3588" s="9" t="s">
        <v>17740</v>
      </c>
      <c r="H3588" s="11" t="s">
        <v>13915</v>
      </c>
      <c r="I3588" s="11" t="s">
        <v>17741</v>
      </c>
      <c r="J3588" s="11" t="s">
        <v>13915</v>
      </c>
      <c r="K3588" s="9" t="s">
        <v>13916</v>
      </c>
      <c r="L3588" s="9" t="s">
        <v>18123</v>
      </c>
      <c r="M3588" s="9" t="s">
        <v>17741</v>
      </c>
      <c r="N3588" s="9" t="s">
        <v>17746</v>
      </c>
      <c r="O3588" s="9" t="s">
        <v>19147</v>
      </c>
      <c r="P3588" s="9" t="s">
        <v>17748</v>
      </c>
      <c r="Q3588" s="11" t="s">
        <v>17780</v>
      </c>
      <c r="R3588" s="11" t="s">
        <v>17780</v>
      </c>
      <c r="S3588" s="11" t="s">
        <v>17750</v>
      </c>
    </row>
    <row r="3589" spans="1:19" x14ac:dyDescent="0.2">
      <c r="A3589" s="11" t="s">
        <v>38677</v>
      </c>
      <c r="B3589" s="9" t="s">
        <v>17058</v>
      </c>
      <c r="C3589" s="9" t="s">
        <v>38678</v>
      </c>
      <c r="D3589" s="9" t="s">
        <v>38679</v>
      </c>
      <c r="E3589" s="9" t="s">
        <v>17748</v>
      </c>
      <c r="F3589" s="9" t="s">
        <v>31477</v>
      </c>
      <c r="G3589" s="9" t="s">
        <v>17740</v>
      </c>
      <c r="H3589" s="11" t="s">
        <v>17060</v>
      </c>
      <c r="I3589" s="11" t="s">
        <v>17059</v>
      </c>
      <c r="J3589" s="11" t="s">
        <v>17741</v>
      </c>
      <c r="K3589" s="9" t="s">
        <v>17741</v>
      </c>
      <c r="L3589" s="9" t="s">
        <v>17759</v>
      </c>
      <c r="M3589" s="9" t="s">
        <v>17769</v>
      </c>
      <c r="N3589" s="9" t="s">
        <v>17746</v>
      </c>
      <c r="O3589" s="9" t="s">
        <v>19147</v>
      </c>
      <c r="P3589" s="9" t="s">
        <v>17748</v>
      </c>
      <c r="Q3589" s="11" t="s">
        <v>18089</v>
      </c>
      <c r="R3589" s="11" t="s">
        <v>18089</v>
      </c>
      <c r="S3589" s="11" t="s">
        <v>17750</v>
      </c>
    </row>
    <row r="3590" spans="1:19" x14ac:dyDescent="0.2">
      <c r="A3590" s="11" t="s">
        <v>38680</v>
      </c>
      <c r="B3590" s="9" t="s">
        <v>38681</v>
      </c>
      <c r="C3590" s="9" t="s">
        <v>38682</v>
      </c>
      <c r="D3590" s="9" t="s">
        <v>38683</v>
      </c>
      <c r="E3590" s="9" t="s">
        <v>17740</v>
      </c>
      <c r="F3590" s="9" t="s">
        <v>17741</v>
      </c>
      <c r="G3590" s="9" t="s">
        <v>17740</v>
      </c>
      <c r="H3590" s="11" t="s">
        <v>38684</v>
      </c>
      <c r="I3590" s="11" t="s">
        <v>38685</v>
      </c>
      <c r="J3590" s="11" t="s">
        <v>38685</v>
      </c>
      <c r="K3590" s="9" t="s">
        <v>724</v>
      </c>
      <c r="L3590" s="9" t="s">
        <v>17744</v>
      </c>
      <c r="M3590" s="9" t="s">
        <v>17769</v>
      </c>
      <c r="N3590" s="9" t="s">
        <v>17746</v>
      </c>
      <c r="O3590" s="9" t="s">
        <v>21109</v>
      </c>
      <c r="P3590" s="9" t="s">
        <v>17748</v>
      </c>
      <c r="Q3590" s="11" t="s">
        <v>19361</v>
      </c>
      <c r="R3590" s="11" t="s">
        <v>19361</v>
      </c>
      <c r="S3590" s="11" t="s">
        <v>17750</v>
      </c>
    </row>
    <row r="3591" spans="1:19" x14ac:dyDescent="0.2">
      <c r="A3591" s="11" t="s">
        <v>38686</v>
      </c>
      <c r="B3591" s="9" t="s">
        <v>38687</v>
      </c>
      <c r="C3591" s="9" t="s">
        <v>38688</v>
      </c>
      <c r="D3591" s="9" t="s">
        <v>38689</v>
      </c>
      <c r="E3591" s="9" t="s">
        <v>17740</v>
      </c>
      <c r="F3591" s="9" t="s">
        <v>17741</v>
      </c>
      <c r="G3591" s="9" t="s">
        <v>17740</v>
      </c>
      <c r="H3591" s="11" t="s">
        <v>17741</v>
      </c>
      <c r="I3591" s="11" t="s">
        <v>38690</v>
      </c>
      <c r="J3591" s="11" t="s">
        <v>38690</v>
      </c>
      <c r="K3591" s="9" t="s">
        <v>38691</v>
      </c>
      <c r="L3591" s="9" t="s">
        <v>21771</v>
      </c>
      <c r="M3591" s="9" t="s">
        <v>17760</v>
      </c>
      <c r="N3591" s="9" t="s">
        <v>17746</v>
      </c>
      <c r="O3591" s="9" t="s">
        <v>18340</v>
      </c>
      <c r="P3591" s="9" t="s">
        <v>17748</v>
      </c>
      <c r="Q3591" s="11" t="s">
        <v>18072</v>
      </c>
      <c r="R3591" s="11" t="s">
        <v>18072</v>
      </c>
      <c r="S3591" s="11" t="s">
        <v>17750</v>
      </c>
    </row>
    <row r="3592" spans="1:19" x14ac:dyDescent="0.2">
      <c r="A3592" s="11" t="s">
        <v>38692</v>
      </c>
      <c r="B3592" s="9" t="s">
        <v>38693</v>
      </c>
      <c r="C3592" s="9" t="s">
        <v>38694</v>
      </c>
      <c r="D3592" s="9" t="s">
        <v>38695</v>
      </c>
      <c r="E3592" s="9" t="s">
        <v>17740</v>
      </c>
      <c r="F3592" s="9" t="s">
        <v>38696</v>
      </c>
      <c r="G3592" s="9" t="s">
        <v>17740</v>
      </c>
      <c r="H3592" s="11" t="s">
        <v>17741</v>
      </c>
      <c r="I3592" s="11" t="s">
        <v>38697</v>
      </c>
      <c r="J3592" s="11" t="s">
        <v>38697</v>
      </c>
      <c r="K3592" s="9" t="s">
        <v>38698</v>
      </c>
      <c r="L3592" s="9" t="s">
        <v>17759</v>
      </c>
      <c r="M3592" s="9" t="s">
        <v>20344</v>
      </c>
      <c r="N3592" s="9" t="s">
        <v>17746</v>
      </c>
      <c r="O3592" s="9" t="s">
        <v>17993</v>
      </c>
      <c r="P3592" s="9" t="s">
        <v>17748</v>
      </c>
      <c r="Q3592" s="11" t="s">
        <v>18470</v>
      </c>
      <c r="R3592" s="11" t="s">
        <v>18470</v>
      </c>
      <c r="S3592" s="11" t="s">
        <v>17750</v>
      </c>
    </row>
    <row r="3593" spans="1:19" x14ac:dyDescent="0.2">
      <c r="A3593" s="11" t="s">
        <v>38699</v>
      </c>
      <c r="B3593" s="9" t="s">
        <v>38700</v>
      </c>
      <c r="C3593" s="9" t="s">
        <v>38701</v>
      </c>
      <c r="D3593" s="9" t="s">
        <v>38702</v>
      </c>
      <c r="E3593" s="9" t="s">
        <v>17740</v>
      </c>
      <c r="F3593" s="9" t="s">
        <v>17741</v>
      </c>
      <c r="G3593" s="9" t="s">
        <v>17740</v>
      </c>
      <c r="H3593" s="11" t="s">
        <v>17741</v>
      </c>
      <c r="I3593" s="11" t="s">
        <v>38703</v>
      </c>
      <c r="J3593" s="11" t="s">
        <v>38703</v>
      </c>
      <c r="K3593" s="9" t="s">
        <v>38704</v>
      </c>
      <c r="L3593" s="9" t="s">
        <v>17759</v>
      </c>
      <c r="M3593" s="9" t="s">
        <v>17760</v>
      </c>
      <c r="N3593" s="9" t="s">
        <v>17746</v>
      </c>
      <c r="O3593" s="9" t="s">
        <v>18340</v>
      </c>
      <c r="P3593" s="9" t="s">
        <v>17748</v>
      </c>
      <c r="Q3593" s="11" t="s">
        <v>19978</v>
      </c>
      <c r="R3593" s="11" t="s">
        <v>19978</v>
      </c>
      <c r="S3593" s="11" t="s">
        <v>17750</v>
      </c>
    </row>
    <row r="3594" spans="1:19" x14ac:dyDescent="0.2">
      <c r="A3594" s="11" t="s">
        <v>38705</v>
      </c>
      <c r="B3594" s="9" t="s">
        <v>38706</v>
      </c>
      <c r="C3594" s="9" t="s">
        <v>38707</v>
      </c>
      <c r="D3594" s="9" t="s">
        <v>38708</v>
      </c>
      <c r="E3594" s="9" t="s">
        <v>17740</v>
      </c>
      <c r="F3594" s="9" t="s">
        <v>17741</v>
      </c>
      <c r="G3594" s="9" t="s">
        <v>17740</v>
      </c>
      <c r="H3594" s="11" t="s">
        <v>12119</v>
      </c>
      <c r="I3594" s="11" t="s">
        <v>12118</v>
      </c>
      <c r="J3594" s="11" t="s">
        <v>12119</v>
      </c>
      <c r="K3594" s="9" t="s">
        <v>91</v>
      </c>
      <c r="L3594" s="9" t="s">
        <v>18001</v>
      </c>
      <c r="M3594" s="9" t="s">
        <v>19546</v>
      </c>
      <c r="N3594" s="9" t="s">
        <v>17746</v>
      </c>
      <c r="O3594" s="9" t="s">
        <v>793</v>
      </c>
      <c r="P3594" s="9" t="s">
        <v>17748</v>
      </c>
      <c r="Q3594" s="11" t="s">
        <v>18370</v>
      </c>
      <c r="R3594" s="11" t="s">
        <v>18370</v>
      </c>
      <c r="S3594" s="11" t="s">
        <v>17750</v>
      </c>
    </row>
    <row r="3595" spans="1:19" x14ac:dyDescent="0.2">
      <c r="A3595" s="11" t="s">
        <v>38709</v>
      </c>
      <c r="B3595" s="9" t="s">
        <v>38710</v>
      </c>
      <c r="C3595" s="9" t="s">
        <v>38711</v>
      </c>
      <c r="D3595" s="9" t="s">
        <v>38712</v>
      </c>
      <c r="E3595" s="9" t="s">
        <v>17740</v>
      </c>
      <c r="F3595" s="9" t="s">
        <v>17741</v>
      </c>
      <c r="G3595" s="9" t="s">
        <v>17740</v>
      </c>
      <c r="H3595" s="11" t="s">
        <v>17741</v>
      </c>
      <c r="I3595" s="11" t="s">
        <v>38713</v>
      </c>
      <c r="J3595" s="11" t="s">
        <v>38713</v>
      </c>
      <c r="K3595" s="9" t="s">
        <v>38714</v>
      </c>
      <c r="L3595" s="9" t="s">
        <v>17759</v>
      </c>
      <c r="M3595" s="9" t="s">
        <v>17760</v>
      </c>
      <c r="N3595" s="9" t="s">
        <v>17746</v>
      </c>
      <c r="O3595" s="9" t="s">
        <v>17993</v>
      </c>
      <c r="P3595" s="9" t="s">
        <v>17748</v>
      </c>
      <c r="Q3595" s="11" t="s">
        <v>19415</v>
      </c>
      <c r="R3595" s="11" t="s">
        <v>19415</v>
      </c>
      <c r="S3595" s="11" t="s">
        <v>17750</v>
      </c>
    </row>
    <row r="3596" spans="1:19" x14ac:dyDescent="0.2">
      <c r="A3596" s="11" t="s">
        <v>38715</v>
      </c>
      <c r="B3596" s="9" t="s">
        <v>38716</v>
      </c>
      <c r="C3596" s="9" t="s">
        <v>38717</v>
      </c>
      <c r="D3596" s="9" t="s">
        <v>38718</v>
      </c>
      <c r="E3596" s="9" t="s">
        <v>17740</v>
      </c>
      <c r="F3596" s="9" t="s">
        <v>38719</v>
      </c>
      <c r="G3596" s="9" t="s">
        <v>17740</v>
      </c>
      <c r="H3596" s="11" t="s">
        <v>17741</v>
      </c>
      <c r="I3596" s="11" t="s">
        <v>2465</v>
      </c>
      <c r="J3596" s="11" t="s">
        <v>2465</v>
      </c>
      <c r="K3596" s="9" t="s">
        <v>38720</v>
      </c>
      <c r="L3596" s="9" t="s">
        <v>21693</v>
      </c>
      <c r="M3596" s="9" t="s">
        <v>17817</v>
      </c>
      <c r="N3596" s="9" t="s">
        <v>17746</v>
      </c>
      <c r="O3596" s="9" t="s">
        <v>17993</v>
      </c>
      <c r="P3596" s="9" t="s">
        <v>17748</v>
      </c>
      <c r="Q3596" s="11" t="s">
        <v>18813</v>
      </c>
      <c r="R3596" s="11" t="s">
        <v>18813</v>
      </c>
      <c r="S3596" s="11" t="s">
        <v>17750</v>
      </c>
    </row>
    <row r="3597" spans="1:19" x14ac:dyDescent="0.2">
      <c r="A3597" s="11" t="s">
        <v>38721</v>
      </c>
      <c r="B3597" s="9" t="s">
        <v>38722</v>
      </c>
      <c r="C3597" s="9" t="s">
        <v>38723</v>
      </c>
      <c r="D3597" s="9" t="s">
        <v>38724</v>
      </c>
      <c r="E3597" s="9" t="s">
        <v>17748</v>
      </c>
      <c r="F3597" s="9" t="s">
        <v>38725</v>
      </c>
      <c r="G3597" s="9" t="s">
        <v>17740</v>
      </c>
      <c r="H3597" s="11" t="s">
        <v>38726</v>
      </c>
      <c r="I3597" s="11" t="s">
        <v>38727</v>
      </c>
      <c r="J3597" s="11" t="s">
        <v>38727</v>
      </c>
      <c r="K3597" s="9" t="s">
        <v>38728</v>
      </c>
      <c r="L3597" s="9" t="s">
        <v>17759</v>
      </c>
      <c r="M3597" s="9" t="s">
        <v>17760</v>
      </c>
      <c r="N3597" s="9" t="s">
        <v>17746</v>
      </c>
      <c r="O3597" s="9" t="s">
        <v>38729</v>
      </c>
      <c r="P3597" s="9" t="s">
        <v>17748</v>
      </c>
      <c r="Q3597" s="11" t="s">
        <v>17994</v>
      </c>
      <c r="R3597" s="11" t="s">
        <v>17994</v>
      </c>
      <c r="S3597" s="11" t="s">
        <v>17750</v>
      </c>
    </row>
    <row r="3598" spans="1:19" x14ac:dyDescent="0.2">
      <c r="A3598" s="11" t="s">
        <v>38730</v>
      </c>
      <c r="B3598" s="9" t="s">
        <v>38731</v>
      </c>
      <c r="C3598" s="9" t="s">
        <v>38732</v>
      </c>
      <c r="D3598" s="9" t="s">
        <v>38733</v>
      </c>
      <c r="E3598" s="9" t="s">
        <v>17740</v>
      </c>
      <c r="F3598" s="9" t="s">
        <v>38734</v>
      </c>
      <c r="G3598" s="9" t="s">
        <v>17740</v>
      </c>
      <c r="H3598" s="11" t="s">
        <v>17741</v>
      </c>
      <c r="I3598" s="11" t="s">
        <v>38735</v>
      </c>
      <c r="J3598" s="11" t="s">
        <v>38735</v>
      </c>
      <c r="K3598" s="9" t="s">
        <v>38736</v>
      </c>
      <c r="L3598" s="9" t="s">
        <v>17759</v>
      </c>
      <c r="M3598" s="9" t="s">
        <v>24536</v>
      </c>
      <c r="N3598" s="9" t="s">
        <v>17746</v>
      </c>
      <c r="O3598" s="9" t="s">
        <v>18340</v>
      </c>
      <c r="P3598" s="9" t="s">
        <v>17748</v>
      </c>
      <c r="Q3598" s="11" t="s">
        <v>17883</v>
      </c>
      <c r="R3598" s="11" t="s">
        <v>17883</v>
      </c>
      <c r="S3598" s="11" t="s">
        <v>17750</v>
      </c>
    </row>
    <row r="3599" spans="1:19" x14ac:dyDescent="0.2">
      <c r="A3599" s="11" t="s">
        <v>38737</v>
      </c>
      <c r="B3599" s="9" t="s">
        <v>38738</v>
      </c>
      <c r="C3599" s="9" t="s">
        <v>38739</v>
      </c>
      <c r="D3599" s="9" t="s">
        <v>38740</v>
      </c>
      <c r="E3599" s="9" t="s">
        <v>17740</v>
      </c>
      <c r="F3599" s="9" t="s">
        <v>38741</v>
      </c>
      <c r="G3599" s="9" t="s">
        <v>17740</v>
      </c>
      <c r="H3599" s="11" t="s">
        <v>17741</v>
      </c>
      <c r="I3599" s="11" t="s">
        <v>38742</v>
      </c>
      <c r="J3599" s="11" t="s">
        <v>38742</v>
      </c>
      <c r="K3599" s="9" t="s">
        <v>38743</v>
      </c>
      <c r="L3599" s="9" t="s">
        <v>17759</v>
      </c>
      <c r="M3599" s="9" t="s">
        <v>17817</v>
      </c>
      <c r="N3599" s="9" t="s">
        <v>17746</v>
      </c>
      <c r="O3599" s="9" t="s">
        <v>17993</v>
      </c>
      <c r="P3599" s="9" t="s">
        <v>17748</v>
      </c>
      <c r="Q3599" s="11" t="s">
        <v>18556</v>
      </c>
      <c r="R3599" s="11" t="s">
        <v>18556</v>
      </c>
      <c r="S3599" s="11" t="s">
        <v>17750</v>
      </c>
    </row>
    <row r="3600" spans="1:19" x14ac:dyDescent="0.2">
      <c r="A3600" s="11" t="s">
        <v>38744</v>
      </c>
      <c r="B3600" s="9" t="s">
        <v>2472</v>
      </c>
      <c r="C3600" s="9" t="s">
        <v>38745</v>
      </c>
      <c r="D3600" s="9" t="s">
        <v>38746</v>
      </c>
      <c r="E3600" s="9" t="s">
        <v>17740</v>
      </c>
      <c r="F3600" s="9" t="s">
        <v>38747</v>
      </c>
      <c r="G3600" s="9" t="s">
        <v>17740</v>
      </c>
      <c r="H3600" s="11" t="s">
        <v>2474</v>
      </c>
      <c r="I3600" s="11" t="s">
        <v>2473</v>
      </c>
      <c r="J3600" s="11" t="s">
        <v>2473</v>
      </c>
      <c r="K3600" s="9" t="s">
        <v>55</v>
      </c>
      <c r="L3600" s="9" t="s">
        <v>17759</v>
      </c>
      <c r="M3600" s="9" t="s">
        <v>38748</v>
      </c>
      <c r="N3600" s="9" t="s">
        <v>17746</v>
      </c>
      <c r="O3600" s="9" t="s">
        <v>18363</v>
      </c>
      <c r="P3600" s="9" t="s">
        <v>17748</v>
      </c>
      <c r="Q3600" s="11" t="s">
        <v>19983</v>
      </c>
      <c r="R3600" s="11" t="s">
        <v>19983</v>
      </c>
      <c r="S3600" s="11" t="s">
        <v>17750</v>
      </c>
    </row>
    <row r="3601" spans="1:19" x14ac:dyDescent="0.2">
      <c r="A3601" s="11" t="s">
        <v>38749</v>
      </c>
      <c r="B3601" s="9" t="s">
        <v>38750</v>
      </c>
      <c r="C3601" s="9" t="s">
        <v>38751</v>
      </c>
      <c r="D3601" s="9" t="s">
        <v>38752</v>
      </c>
      <c r="E3601" s="9" t="s">
        <v>17740</v>
      </c>
      <c r="F3601" s="9" t="s">
        <v>38753</v>
      </c>
      <c r="G3601" s="9" t="s">
        <v>17740</v>
      </c>
      <c r="H3601" s="11" t="s">
        <v>12368</v>
      </c>
      <c r="I3601" s="11" t="s">
        <v>12367</v>
      </c>
      <c r="J3601" s="11" t="s">
        <v>12367</v>
      </c>
      <c r="K3601" s="9" t="s">
        <v>55</v>
      </c>
      <c r="L3601" s="9" t="s">
        <v>17759</v>
      </c>
      <c r="M3601" s="9" t="s">
        <v>17942</v>
      </c>
      <c r="N3601" s="9" t="s">
        <v>17746</v>
      </c>
      <c r="O3601" s="9" t="s">
        <v>18363</v>
      </c>
      <c r="P3601" s="9" t="s">
        <v>17748</v>
      </c>
      <c r="Q3601" s="11" t="s">
        <v>17749</v>
      </c>
      <c r="R3601" s="11" t="s">
        <v>17749</v>
      </c>
      <c r="S3601" s="11" t="s">
        <v>17750</v>
      </c>
    </row>
    <row r="3602" spans="1:19" x14ac:dyDescent="0.2">
      <c r="A3602" s="11" t="s">
        <v>38754</v>
      </c>
      <c r="B3602" s="9" t="s">
        <v>38755</v>
      </c>
      <c r="C3602" s="9" t="s">
        <v>38756</v>
      </c>
      <c r="D3602" s="9" t="s">
        <v>38757</v>
      </c>
      <c r="E3602" s="9" t="s">
        <v>17740</v>
      </c>
      <c r="F3602" s="9" t="s">
        <v>17741</v>
      </c>
      <c r="G3602" s="9" t="s">
        <v>17740</v>
      </c>
      <c r="H3602" s="11" t="s">
        <v>10327</v>
      </c>
      <c r="I3602" s="11" t="s">
        <v>10326</v>
      </c>
      <c r="J3602" s="11" t="s">
        <v>10326</v>
      </c>
      <c r="K3602" s="9" t="s">
        <v>10328</v>
      </c>
      <c r="L3602" s="9" t="s">
        <v>17759</v>
      </c>
      <c r="M3602" s="9" t="s">
        <v>17983</v>
      </c>
      <c r="N3602" s="9" t="s">
        <v>17746</v>
      </c>
      <c r="O3602" s="9" t="s">
        <v>18363</v>
      </c>
      <c r="P3602" s="9" t="s">
        <v>17748</v>
      </c>
      <c r="Q3602" s="11" t="s">
        <v>17858</v>
      </c>
      <c r="R3602" s="11" t="s">
        <v>17858</v>
      </c>
      <c r="S3602" s="11" t="s">
        <v>17750</v>
      </c>
    </row>
    <row r="3603" spans="1:19" x14ac:dyDescent="0.2">
      <c r="A3603" s="11" t="s">
        <v>38758</v>
      </c>
      <c r="B3603" s="9" t="s">
        <v>2485</v>
      </c>
      <c r="C3603" s="9" t="s">
        <v>38759</v>
      </c>
      <c r="D3603" s="9" t="s">
        <v>38760</v>
      </c>
      <c r="E3603" s="9" t="s">
        <v>17740</v>
      </c>
      <c r="F3603" s="9" t="s">
        <v>17741</v>
      </c>
      <c r="G3603" s="9" t="s">
        <v>17740</v>
      </c>
      <c r="H3603" s="11" t="s">
        <v>17741</v>
      </c>
      <c r="I3603" s="11" t="s">
        <v>2486</v>
      </c>
      <c r="J3603" s="11" t="s">
        <v>2486</v>
      </c>
      <c r="K3603" s="9" t="s">
        <v>2487</v>
      </c>
      <c r="L3603" s="9" t="s">
        <v>17759</v>
      </c>
      <c r="M3603" s="9" t="s">
        <v>17817</v>
      </c>
      <c r="N3603" s="9" t="s">
        <v>17746</v>
      </c>
      <c r="O3603" s="9" t="s">
        <v>17993</v>
      </c>
      <c r="P3603" s="9" t="s">
        <v>17748</v>
      </c>
      <c r="Q3603" s="11" t="s">
        <v>18584</v>
      </c>
      <c r="R3603" s="11" t="s">
        <v>18584</v>
      </c>
      <c r="S3603" s="11" t="s">
        <v>17750</v>
      </c>
    </row>
    <row r="3604" spans="1:19" x14ac:dyDescent="0.2">
      <c r="A3604" s="11" t="s">
        <v>38761</v>
      </c>
      <c r="B3604" s="9" t="s">
        <v>38762</v>
      </c>
      <c r="C3604" s="9" t="s">
        <v>38763</v>
      </c>
      <c r="D3604" s="9" t="s">
        <v>38764</v>
      </c>
      <c r="E3604" s="9" t="s">
        <v>17740</v>
      </c>
      <c r="F3604" s="9" t="s">
        <v>17741</v>
      </c>
      <c r="G3604" s="9" t="s">
        <v>17740</v>
      </c>
      <c r="H3604" s="11" t="s">
        <v>2524</v>
      </c>
      <c r="I3604" s="11" t="s">
        <v>2523</v>
      </c>
      <c r="J3604" s="11" t="s">
        <v>2523</v>
      </c>
      <c r="K3604" s="9" t="s">
        <v>91</v>
      </c>
      <c r="L3604" s="9" t="s">
        <v>18001</v>
      </c>
      <c r="M3604" s="9" t="s">
        <v>38765</v>
      </c>
      <c r="N3604" s="9" t="s">
        <v>17746</v>
      </c>
      <c r="O3604" s="9" t="s">
        <v>3100</v>
      </c>
      <c r="P3604" s="9" t="s">
        <v>17748</v>
      </c>
      <c r="Q3604" s="11" t="s">
        <v>19236</v>
      </c>
      <c r="R3604" s="11" t="s">
        <v>19236</v>
      </c>
      <c r="S3604" s="11" t="s">
        <v>17750</v>
      </c>
    </row>
    <row r="3605" spans="1:19" x14ac:dyDescent="0.2">
      <c r="A3605" s="11" t="s">
        <v>38766</v>
      </c>
      <c r="B3605" s="9" t="s">
        <v>38767</v>
      </c>
      <c r="C3605" s="9" t="s">
        <v>38768</v>
      </c>
      <c r="D3605" s="9" t="s">
        <v>38769</v>
      </c>
      <c r="E3605" s="9" t="s">
        <v>17740</v>
      </c>
      <c r="F3605" s="9" t="s">
        <v>38770</v>
      </c>
      <c r="G3605" s="9" t="s">
        <v>17740</v>
      </c>
      <c r="H3605" s="11" t="s">
        <v>17741</v>
      </c>
      <c r="I3605" s="11" t="s">
        <v>38771</v>
      </c>
      <c r="J3605" s="11" t="s">
        <v>38771</v>
      </c>
      <c r="K3605" s="9" t="s">
        <v>38772</v>
      </c>
      <c r="L3605" s="9" t="s">
        <v>17759</v>
      </c>
      <c r="M3605" s="9" t="s">
        <v>17760</v>
      </c>
      <c r="N3605" s="9" t="s">
        <v>17746</v>
      </c>
      <c r="O3605" s="9" t="s">
        <v>18340</v>
      </c>
      <c r="P3605" s="9" t="s">
        <v>17748</v>
      </c>
      <c r="Q3605" s="11" t="s">
        <v>18282</v>
      </c>
      <c r="R3605" s="11" t="s">
        <v>18282</v>
      </c>
      <c r="S3605" s="11" t="s">
        <v>17750</v>
      </c>
    </row>
    <row r="3606" spans="1:19" x14ac:dyDescent="0.2">
      <c r="A3606" s="11" t="s">
        <v>38773</v>
      </c>
      <c r="B3606" s="9" t="s">
        <v>38774</v>
      </c>
      <c r="C3606" s="9" t="s">
        <v>38775</v>
      </c>
      <c r="D3606" s="9" t="s">
        <v>38776</v>
      </c>
      <c r="E3606" s="9" t="s">
        <v>17740</v>
      </c>
      <c r="F3606" s="9" t="s">
        <v>38777</v>
      </c>
      <c r="G3606" s="9" t="s">
        <v>17740</v>
      </c>
      <c r="H3606" s="11" t="s">
        <v>17741</v>
      </c>
      <c r="I3606" s="11" t="s">
        <v>38778</v>
      </c>
      <c r="J3606" s="11" t="s">
        <v>38778</v>
      </c>
      <c r="K3606" s="9" t="s">
        <v>38779</v>
      </c>
      <c r="L3606" s="9" t="s">
        <v>17759</v>
      </c>
      <c r="M3606" s="9" t="s">
        <v>18051</v>
      </c>
      <c r="N3606" s="9" t="s">
        <v>17746</v>
      </c>
      <c r="O3606" s="9" t="s">
        <v>17800</v>
      </c>
      <c r="P3606" s="9" t="s">
        <v>17748</v>
      </c>
      <c r="Q3606" s="11" t="s">
        <v>18282</v>
      </c>
      <c r="R3606" s="11" t="s">
        <v>18282</v>
      </c>
      <c r="S3606" s="11" t="s">
        <v>17750</v>
      </c>
    </row>
    <row r="3607" spans="1:19" x14ac:dyDescent="0.2">
      <c r="A3607" s="11" t="s">
        <v>38780</v>
      </c>
      <c r="B3607" s="9" t="s">
        <v>38781</v>
      </c>
      <c r="C3607" s="9" t="s">
        <v>38782</v>
      </c>
      <c r="D3607" s="9" t="s">
        <v>38783</v>
      </c>
      <c r="E3607" s="9" t="s">
        <v>17740</v>
      </c>
      <c r="F3607" s="9" t="s">
        <v>38784</v>
      </c>
      <c r="G3607" s="9" t="s">
        <v>17740</v>
      </c>
      <c r="H3607" s="11" t="s">
        <v>17741</v>
      </c>
      <c r="I3607" s="11" t="s">
        <v>38785</v>
      </c>
      <c r="J3607" s="11" t="s">
        <v>38785</v>
      </c>
      <c r="K3607" s="9" t="s">
        <v>38786</v>
      </c>
      <c r="L3607" s="9" t="s">
        <v>19483</v>
      </c>
      <c r="M3607" s="9" t="s">
        <v>38787</v>
      </c>
      <c r="N3607" s="9" t="s">
        <v>17746</v>
      </c>
      <c r="O3607" s="9" t="s">
        <v>18340</v>
      </c>
      <c r="P3607" s="9" t="s">
        <v>17748</v>
      </c>
      <c r="Q3607" s="11" t="s">
        <v>18600</v>
      </c>
      <c r="R3607" s="11" t="s">
        <v>18600</v>
      </c>
      <c r="S3607" s="11" t="s">
        <v>17750</v>
      </c>
    </row>
    <row r="3608" spans="1:19" x14ac:dyDescent="0.2">
      <c r="A3608" s="11" t="s">
        <v>38788</v>
      </c>
      <c r="B3608" s="9" t="s">
        <v>38789</v>
      </c>
      <c r="C3608" s="9" t="s">
        <v>38790</v>
      </c>
      <c r="D3608" s="9" t="s">
        <v>38791</v>
      </c>
      <c r="E3608" s="9" t="s">
        <v>17740</v>
      </c>
      <c r="F3608" s="9" t="s">
        <v>17741</v>
      </c>
      <c r="G3608" s="9" t="s">
        <v>17740</v>
      </c>
      <c r="H3608" s="11" t="s">
        <v>17741</v>
      </c>
      <c r="I3608" s="11" t="s">
        <v>38792</v>
      </c>
      <c r="J3608" s="11" t="s">
        <v>38792</v>
      </c>
      <c r="K3608" s="9" t="s">
        <v>38793</v>
      </c>
      <c r="L3608" s="9" t="s">
        <v>17759</v>
      </c>
      <c r="M3608" s="9" t="s">
        <v>19314</v>
      </c>
      <c r="N3608" s="9" t="s">
        <v>17746</v>
      </c>
      <c r="O3608" s="9" t="s">
        <v>17993</v>
      </c>
      <c r="P3608" s="9" t="s">
        <v>17748</v>
      </c>
      <c r="Q3608" s="11" t="s">
        <v>29447</v>
      </c>
      <c r="R3608" s="11" t="s">
        <v>29447</v>
      </c>
      <c r="S3608" s="11" t="s">
        <v>17750</v>
      </c>
    </row>
    <row r="3609" spans="1:19" x14ac:dyDescent="0.2">
      <c r="A3609" s="11" t="s">
        <v>38794</v>
      </c>
      <c r="B3609" s="9" t="s">
        <v>38795</v>
      </c>
      <c r="C3609" s="9" t="s">
        <v>38796</v>
      </c>
      <c r="D3609" s="9" t="s">
        <v>38797</v>
      </c>
      <c r="E3609" s="9" t="s">
        <v>17748</v>
      </c>
      <c r="F3609" s="9" t="s">
        <v>38798</v>
      </c>
      <c r="G3609" s="9" t="s">
        <v>17740</v>
      </c>
      <c r="H3609" s="11" t="s">
        <v>38799</v>
      </c>
      <c r="I3609" s="11" t="s">
        <v>38800</v>
      </c>
      <c r="J3609" s="11" t="s">
        <v>38800</v>
      </c>
      <c r="K3609" s="9" t="s">
        <v>16258</v>
      </c>
      <c r="L3609" s="9" t="s">
        <v>17759</v>
      </c>
      <c r="M3609" s="9" t="s">
        <v>17817</v>
      </c>
      <c r="N3609" s="9" t="s">
        <v>17746</v>
      </c>
      <c r="O3609" s="9" t="s">
        <v>3255</v>
      </c>
      <c r="P3609" s="9" t="s">
        <v>17748</v>
      </c>
      <c r="Q3609" s="11" t="s">
        <v>17792</v>
      </c>
      <c r="R3609" s="11" t="s">
        <v>17792</v>
      </c>
      <c r="S3609" s="11" t="s">
        <v>17750</v>
      </c>
    </row>
    <row r="3610" spans="1:19" x14ac:dyDescent="0.2">
      <c r="A3610" s="11" t="s">
        <v>38801</v>
      </c>
      <c r="B3610" s="9" t="s">
        <v>38802</v>
      </c>
      <c r="C3610" s="9" t="s">
        <v>38803</v>
      </c>
      <c r="D3610" s="9" t="s">
        <v>38804</v>
      </c>
      <c r="E3610" s="9" t="s">
        <v>17740</v>
      </c>
      <c r="F3610" s="9" t="s">
        <v>17741</v>
      </c>
      <c r="G3610" s="9" t="s">
        <v>17740</v>
      </c>
      <c r="H3610" s="11" t="s">
        <v>7515</v>
      </c>
      <c r="I3610" s="11" t="s">
        <v>7514</v>
      </c>
      <c r="J3610" s="11" t="s">
        <v>7514</v>
      </c>
      <c r="K3610" s="9" t="s">
        <v>17805</v>
      </c>
      <c r="L3610" s="9" t="s">
        <v>17759</v>
      </c>
      <c r="M3610" s="9" t="s">
        <v>17760</v>
      </c>
      <c r="N3610" s="9" t="s">
        <v>17746</v>
      </c>
      <c r="O3610" s="9" t="s">
        <v>3100</v>
      </c>
      <c r="P3610" s="9" t="s">
        <v>17748</v>
      </c>
      <c r="Q3610" s="11" t="s">
        <v>18201</v>
      </c>
      <c r="R3610" s="11" t="s">
        <v>18201</v>
      </c>
      <c r="S3610" s="11" t="s">
        <v>17750</v>
      </c>
    </row>
    <row r="3611" spans="1:19" x14ac:dyDescent="0.2">
      <c r="A3611" s="11" t="s">
        <v>38805</v>
      </c>
      <c r="B3611" s="9" t="s">
        <v>38806</v>
      </c>
      <c r="C3611" s="9" t="s">
        <v>38807</v>
      </c>
      <c r="D3611" s="9" t="s">
        <v>38808</v>
      </c>
      <c r="E3611" s="9" t="s">
        <v>17740</v>
      </c>
      <c r="F3611" s="9" t="s">
        <v>17741</v>
      </c>
      <c r="G3611" s="9" t="s">
        <v>17740</v>
      </c>
      <c r="H3611" s="11" t="s">
        <v>9120</v>
      </c>
      <c r="I3611" s="11" t="s">
        <v>9119</v>
      </c>
      <c r="J3611" s="11" t="s">
        <v>9119</v>
      </c>
      <c r="K3611" s="9" t="s">
        <v>18520</v>
      </c>
      <c r="L3611" s="9" t="s">
        <v>17744</v>
      </c>
      <c r="M3611" s="9" t="s">
        <v>17760</v>
      </c>
      <c r="N3611" s="9" t="s">
        <v>17746</v>
      </c>
      <c r="O3611" s="9" t="s">
        <v>18481</v>
      </c>
      <c r="P3611" s="9" t="s">
        <v>17748</v>
      </c>
      <c r="Q3611" s="11" t="s">
        <v>17784</v>
      </c>
      <c r="R3611" s="11" t="s">
        <v>17784</v>
      </c>
      <c r="S3611" s="11" t="s">
        <v>17750</v>
      </c>
    </row>
    <row r="3612" spans="1:19" x14ac:dyDescent="0.2">
      <c r="A3612" s="11" t="s">
        <v>38809</v>
      </c>
      <c r="B3612" s="9" t="s">
        <v>38810</v>
      </c>
      <c r="C3612" s="9" t="s">
        <v>38811</v>
      </c>
      <c r="D3612" s="9" t="s">
        <v>38812</v>
      </c>
      <c r="E3612" s="9" t="s">
        <v>17740</v>
      </c>
      <c r="F3612" s="9" t="s">
        <v>17741</v>
      </c>
      <c r="G3612" s="9" t="s">
        <v>17740</v>
      </c>
      <c r="H3612" s="11" t="s">
        <v>38813</v>
      </c>
      <c r="I3612" s="11" t="s">
        <v>38814</v>
      </c>
      <c r="J3612" s="11" t="s">
        <v>38814</v>
      </c>
      <c r="K3612" s="9" t="s">
        <v>38815</v>
      </c>
      <c r="L3612" s="9" t="s">
        <v>17744</v>
      </c>
      <c r="M3612" s="9" t="s">
        <v>17992</v>
      </c>
      <c r="N3612" s="9" t="s">
        <v>17746</v>
      </c>
      <c r="O3612" s="9" t="s">
        <v>38199</v>
      </c>
      <c r="P3612" s="9" t="s">
        <v>17748</v>
      </c>
      <c r="Q3612" s="11" t="s">
        <v>23218</v>
      </c>
      <c r="R3612" s="11" t="s">
        <v>23218</v>
      </c>
      <c r="S3612" s="11" t="s">
        <v>17750</v>
      </c>
    </row>
    <row r="3613" spans="1:19" x14ac:dyDescent="0.2">
      <c r="A3613" s="11" t="s">
        <v>38816</v>
      </c>
      <c r="B3613" s="9" t="s">
        <v>38817</v>
      </c>
      <c r="C3613" s="9" t="s">
        <v>38818</v>
      </c>
      <c r="D3613" s="9" t="s">
        <v>38819</v>
      </c>
      <c r="E3613" s="9" t="s">
        <v>17740</v>
      </c>
      <c r="F3613" s="9" t="s">
        <v>38820</v>
      </c>
      <c r="G3613" s="9" t="s">
        <v>17740</v>
      </c>
      <c r="H3613" s="11" t="s">
        <v>38821</v>
      </c>
      <c r="I3613" s="11" t="s">
        <v>12443</v>
      </c>
      <c r="J3613" s="11" t="s">
        <v>12443</v>
      </c>
      <c r="K3613" s="9" t="s">
        <v>12444</v>
      </c>
      <c r="L3613" s="9" t="s">
        <v>23607</v>
      </c>
      <c r="M3613" s="9" t="s">
        <v>17760</v>
      </c>
      <c r="N3613" s="9" t="s">
        <v>17746</v>
      </c>
      <c r="O3613" s="9" t="s">
        <v>38822</v>
      </c>
      <c r="P3613" s="9" t="s">
        <v>17748</v>
      </c>
      <c r="Q3613" s="11" t="s">
        <v>17994</v>
      </c>
      <c r="R3613" s="11" t="s">
        <v>17994</v>
      </c>
      <c r="S3613" s="11" t="s">
        <v>17750</v>
      </c>
    </row>
    <row r="3614" spans="1:19" x14ac:dyDescent="0.2">
      <c r="A3614" s="11" t="s">
        <v>38823</v>
      </c>
      <c r="B3614" s="9" t="s">
        <v>38824</v>
      </c>
      <c r="C3614" s="9" t="s">
        <v>38825</v>
      </c>
      <c r="D3614" s="9" t="s">
        <v>38826</v>
      </c>
      <c r="E3614" s="9" t="s">
        <v>17740</v>
      </c>
      <c r="F3614" s="9" t="s">
        <v>17741</v>
      </c>
      <c r="G3614" s="9" t="s">
        <v>17740</v>
      </c>
      <c r="H3614" s="11" t="s">
        <v>17741</v>
      </c>
      <c r="I3614" s="11" t="s">
        <v>38827</v>
      </c>
      <c r="J3614" s="11" t="s">
        <v>38827</v>
      </c>
      <c r="K3614" s="9" t="s">
        <v>38828</v>
      </c>
      <c r="L3614" s="9" t="s">
        <v>17744</v>
      </c>
      <c r="M3614" s="9" t="s">
        <v>17992</v>
      </c>
      <c r="N3614" s="9" t="s">
        <v>17746</v>
      </c>
      <c r="O3614" s="9" t="s">
        <v>38199</v>
      </c>
      <c r="P3614" s="9" t="s">
        <v>17748</v>
      </c>
      <c r="Q3614" s="11" t="s">
        <v>38526</v>
      </c>
      <c r="R3614" s="11" t="s">
        <v>38526</v>
      </c>
      <c r="S3614" s="11" t="s">
        <v>17750</v>
      </c>
    </row>
    <row r="3615" spans="1:19" x14ac:dyDescent="0.2">
      <c r="A3615" s="11" t="s">
        <v>38829</v>
      </c>
      <c r="B3615" s="9" t="s">
        <v>2727</v>
      </c>
      <c r="C3615" s="9" t="s">
        <v>38830</v>
      </c>
      <c r="D3615" s="9" t="s">
        <v>38831</v>
      </c>
      <c r="E3615" s="9" t="s">
        <v>17740</v>
      </c>
      <c r="F3615" s="9" t="s">
        <v>38832</v>
      </c>
      <c r="G3615" s="9" t="s">
        <v>17740</v>
      </c>
      <c r="H3615" s="11" t="s">
        <v>38833</v>
      </c>
      <c r="I3615" s="11" t="s">
        <v>2728</v>
      </c>
      <c r="J3615" s="11" t="s">
        <v>2728</v>
      </c>
      <c r="K3615" s="9" t="s">
        <v>38834</v>
      </c>
      <c r="L3615" s="9" t="s">
        <v>17744</v>
      </c>
      <c r="M3615" s="9" t="s">
        <v>17817</v>
      </c>
      <c r="N3615" s="9" t="s">
        <v>17746</v>
      </c>
      <c r="O3615" s="9" t="s">
        <v>17993</v>
      </c>
      <c r="P3615" s="9" t="s">
        <v>17748</v>
      </c>
      <c r="Q3615" s="11" t="s">
        <v>19335</v>
      </c>
      <c r="R3615" s="11" t="s">
        <v>19335</v>
      </c>
      <c r="S3615" s="11" t="s">
        <v>17750</v>
      </c>
    </row>
    <row r="3616" spans="1:19" x14ac:dyDescent="0.2">
      <c r="A3616" s="11" t="s">
        <v>38835</v>
      </c>
      <c r="B3616" s="9" t="s">
        <v>38836</v>
      </c>
      <c r="C3616" s="9" t="s">
        <v>38837</v>
      </c>
      <c r="D3616" s="9" t="s">
        <v>38838</v>
      </c>
      <c r="E3616" s="9" t="s">
        <v>17740</v>
      </c>
      <c r="F3616" s="9" t="s">
        <v>17741</v>
      </c>
      <c r="G3616" s="9" t="s">
        <v>17740</v>
      </c>
      <c r="H3616" s="11" t="s">
        <v>11353</v>
      </c>
      <c r="I3616" s="11" t="s">
        <v>11352</v>
      </c>
      <c r="J3616" s="11" t="s">
        <v>11353</v>
      </c>
      <c r="K3616" s="9" t="s">
        <v>38839</v>
      </c>
      <c r="L3616" s="9" t="s">
        <v>17744</v>
      </c>
      <c r="M3616" s="9" t="s">
        <v>20295</v>
      </c>
      <c r="N3616" s="9" t="s">
        <v>17746</v>
      </c>
      <c r="O3616" s="9" t="s">
        <v>38840</v>
      </c>
      <c r="P3616" s="9" t="s">
        <v>17748</v>
      </c>
      <c r="Q3616" s="11" t="s">
        <v>17780</v>
      </c>
      <c r="R3616" s="11" t="s">
        <v>17780</v>
      </c>
      <c r="S3616" s="11" t="s">
        <v>17750</v>
      </c>
    </row>
    <row r="3617" spans="1:19" x14ac:dyDescent="0.2">
      <c r="A3617" s="11" t="s">
        <v>38841</v>
      </c>
      <c r="B3617" s="9" t="s">
        <v>38842</v>
      </c>
      <c r="C3617" s="9" t="s">
        <v>38843</v>
      </c>
      <c r="D3617" s="9" t="s">
        <v>38844</v>
      </c>
      <c r="E3617" s="9" t="s">
        <v>17740</v>
      </c>
      <c r="F3617" s="9" t="s">
        <v>17741</v>
      </c>
      <c r="G3617" s="9" t="s">
        <v>17740</v>
      </c>
      <c r="H3617" s="11" t="s">
        <v>38845</v>
      </c>
      <c r="I3617" s="11" t="s">
        <v>38846</v>
      </c>
      <c r="J3617" s="11" t="s">
        <v>38846</v>
      </c>
      <c r="K3617" s="9" t="s">
        <v>20207</v>
      </c>
      <c r="L3617" s="9" t="s">
        <v>17744</v>
      </c>
      <c r="M3617" s="9" t="s">
        <v>38847</v>
      </c>
      <c r="N3617" s="9" t="s">
        <v>17746</v>
      </c>
      <c r="O3617" s="9" t="s">
        <v>18543</v>
      </c>
      <c r="P3617" s="9" t="s">
        <v>17748</v>
      </c>
      <c r="Q3617" s="11" t="s">
        <v>17931</v>
      </c>
      <c r="R3617" s="11" t="s">
        <v>17931</v>
      </c>
      <c r="S3617" s="11" t="s">
        <v>17750</v>
      </c>
    </row>
    <row r="3618" spans="1:19" x14ac:dyDescent="0.2">
      <c r="A3618" s="11" t="s">
        <v>38848</v>
      </c>
      <c r="B3618" s="9" t="s">
        <v>11584</v>
      </c>
      <c r="C3618" s="9" t="s">
        <v>38849</v>
      </c>
      <c r="D3618" s="9" t="s">
        <v>38850</v>
      </c>
      <c r="E3618" s="9" t="s">
        <v>17740</v>
      </c>
      <c r="F3618" s="9" t="s">
        <v>38851</v>
      </c>
      <c r="G3618" s="9" t="s">
        <v>17740</v>
      </c>
      <c r="H3618" s="11" t="s">
        <v>17741</v>
      </c>
      <c r="I3618" s="11" t="s">
        <v>11585</v>
      </c>
      <c r="J3618" s="11" t="s">
        <v>11585</v>
      </c>
      <c r="K3618" s="9" t="s">
        <v>38852</v>
      </c>
      <c r="L3618" s="9" t="s">
        <v>18959</v>
      </c>
      <c r="M3618" s="9" t="s">
        <v>17760</v>
      </c>
      <c r="N3618" s="9" t="s">
        <v>17746</v>
      </c>
      <c r="O3618" s="9" t="s">
        <v>18363</v>
      </c>
      <c r="P3618" s="9" t="s">
        <v>17748</v>
      </c>
      <c r="Q3618" s="11" t="s">
        <v>17984</v>
      </c>
      <c r="R3618" s="11" t="s">
        <v>17984</v>
      </c>
      <c r="S3618" s="11" t="s">
        <v>17750</v>
      </c>
    </row>
    <row r="3619" spans="1:19" x14ac:dyDescent="0.2">
      <c r="A3619" s="11" t="s">
        <v>38853</v>
      </c>
      <c r="B3619" s="9" t="s">
        <v>2142</v>
      </c>
      <c r="C3619" s="9" t="s">
        <v>38854</v>
      </c>
      <c r="D3619" s="9" t="s">
        <v>38855</v>
      </c>
      <c r="E3619" s="9" t="s">
        <v>17740</v>
      </c>
      <c r="F3619" s="9" t="s">
        <v>38856</v>
      </c>
      <c r="G3619" s="9" t="s">
        <v>17740</v>
      </c>
      <c r="H3619" s="11" t="s">
        <v>38857</v>
      </c>
      <c r="I3619" s="11" t="s">
        <v>2144</v>
      </c>
      <c r="J3619" s="11" t="s">
        <v>2144</v>
      </c>
      <c r="K3619" s="9" t="s">
        <v>2145</v>
      </c>
      <c r="L3619" s="9" t="s">
        <v>24311</v>
      </c>
      <c r="M3619" s="9" t="s">
        <v>17760</v>
      </c>
      <c r="N3619" s="9" t="s">
        <v>17746</v>
      </c>
      <c r="O3619" s="9" t="s">
        <v>18563</v>
      </c>
      <c r="P3619" s="9" t="s">
        <v>17748</v>
      </c>
      <c r="Q3619" s="11" t="s">
        <v>19082</v>
      </c>
      <c r="R3619" s="11" t="s">
        <v>19082</v>
      </c>
      <c r="S3619" s="11" t="s">
        <v>17750</v>
      </c>
    </row>
    <row r="3620" spans="1:19" x14ac:dyDescent="0.2">
      <c r="A3620" s="11" t="s">
        <v>38858</v>
      </c>
      <c r="B3620" s="9" t="s">
        <v>38859</v>
      </c>
      <c r="C3620" s="9" t="s">
        <v>38860</v>
      </c>
      <c r="D3620" s="9" t="s">
        <v>38861</v>
      </c>
      <c r="E3620" s="9" t="s">
        <v>17740</v>
      </c>
      <c r="F3620" s="9" t="s">
        <v>38862</v>
      </c>
      <c r="G3620" s="9" t="s">
        <v>17740</v>
      </c>
      <c r="H3620" s="11" t="s">
        <v>38863</v>
      </c>
      <c r="I3620" s="11" t="s">
        <v>38864</v>
      </c>
      <c r="J3620" s="11" t="s">
        <v>38864</v>
      </c>
      <c r="K3620" s="9" t="s">
        <v>38865</v>
      </c>
      <c r="L3620" s="9" t="s">
        <v>17759</v>
      </c>
      <c r="M3620" s="9" t="s">
        <v>18797</v>
      </c>
      <c r="N3620" s="9" t="s">
        <v>17746</v>
      </c>
      <c r="O3620" s="9" t="s">
        <v>17993</v>
      </c>
      <c r="P3620" s="9" t="s">
        <v>17748</v>
      </c>
      <c r="Q3620" s="11" t="s">
        <v>17771</v>
      </c>
      <c r="R3620" s="11" t="s">
        <v>17771</v>
      </c>
      <c r="S3620" s="11" t="s">
        <v>17750</v>
      </c>
    </row>
    <row r="3621" spans="1:19" x14ac:dyDescent="0.2">
      <c r="A3621" s="11" t="s">
        <v>38866</v>
      </c>
      <c r="B3621" s="9" t="s">
        <v>38867</v>
      </c>
      <c r="C3621" s="9" t="s">
        <v>38868</v>
      </c>
      <c r="D3621" s="9" t="s">
        <v>38869</v>
      </c>
      <c r="E3621" s="9" t="s">
        <v>17740</v>
      </c>
      <c r="F3621" s="9" t="s">
        <v>38870</v>
      </c>
      <c r="G3621" s="9" t="s">
        <v>17740</v>
      </c>
      <c r="H3621" s="11" t="s">
        <v>17741</v>
      </c>
      <c r="I3621" s="11" t="s">
        <v>38871</v>
      </c>
      <c r="J3621" s="11" t="s">
        <v>38871</v>
      </c>
      <c r="K3621" s="9" t="s">
        <v>38872</v>
      </c>
      <c r="L3621" s="9" t="s">
        <v>17759</v>
      </c>
      <c r="M3621" s="9" t="s">
        <v>17760</v>
      </c>
      <c r="N3621" s="9" t="s">
        <v>17746</v>
      </c>
      <c r="O3621" s="9" t="s">
        <v>18340</v>
      </c>
      <c r="P3621" s="9" t="s">
        <v>17748</v>
      </c>
      <c r="Q3621" s="11" t="s">
        <v>18282</v>
      </c>
      <c r="R3621" s="11" t="s">
        <v>18282</v>
      </c>
      <c r="S3621" s="11" t="s">
        <v>17750</v>
      </c>
    </row>
    <row r="3622" spans="1:19" x14ac:dyDescent="0.2">
      <c r="A3622" s="11" t="s">
        <v>38873</v>
      </c>
      <c r="B3622" s="9" t="s">
        <v>38874</v>
      </c>
      <c r="C3622" s="9" t="s">
        <v>38875</v>
      </c>
      <c r="D3622" s="9" t="s">
        <v>38876</v>
      </c>
      <c r="E3622" s="9" t="s">
        <v>17740</v>
      </c>
      <c r="F3622" s="9" t="s">
        <v>38877</v>
      </c>
      <c r="G3622" s="9" t="s">
        <v>17740</v>
      </c>
      <c r="H3622" s="11" t="s">
        <v>17741</v>
      </c>
      <c r="I3622" s="11" t="s">
        <v>38878</v>
      </c>
      <c r="J3622" s="11" t="s">
        <v>38878</v>
      </c>
      <c r="K3622" s="9" t="s">
        <v>38879</v>
      </c>
      <c r="L3622" s="9" t="s">
        <v>17759</v>
      </c>
      <c r="M3622" s="9" t="s">
        <v>17760</v>
      </c>
      <c r="N3622" s="9" t="s">
        <v>17746</v>
      </c>
      <c r="O3622" s="9" t="s">
        <v>18340</v>
      </c>
      <c r="P3622" s="9" t="s">
        <v>17748</v>
      </c>
      <c r="Q3622" s="11" t="s">
        <v>19026</v>
      </c>
      <c r="R3622" s="11" t="s">
        <v>19026</v>
      </c>
      <c r="S3622" s="11" t="s">
        <v>17750</v>
      </c>
    </row>
    <row r="3623" spans="1:19" x14ac:dyDescent="0.2">
      <c r="A3623" s="11" t="s">
        <v>38880</v>
      </c>
      <c r="B3623" s="9" t="s">
        <v>38881</v>
      </c>
      <c r="C3623" s="9" t="s">
        <v>38882</v>
      </c>
      <c r="D3623" s="9" t="s">
        <v>38883</v>
      </c>
      <c r="E3623" s="9" t="s">
        <v>17740</v>
      </c>
      <c r="F3623" s="9" t="s">
        <v>17741</v>
      </c>
      <c r="G3623" s="9" t="s">
        <v>17740</v>
      </c>
      <c r="H3623" s="11" t="s">
        <v>2740</v>
      </c>
      <c r="I3623" s="11" t="s">
        <v>2739</v>
      </c>
      <c r="J3623" s="11" t="s">
        <v>2739</v>
      </c>
      <c r="K3623" s="9" t="s">
        <v>91</v>
      </c>
      <c r="L3623" s="9" t="s">
        <v>17744</v>
      </c>
      <c r="M3623" s="9" t="s">
        <v>19571</v>
      </c>
      <c r="N3623" s="9" t="s">
        <v>17746</v>
      </c>
      <c r="O3623" s="9" t="s">
        <v>17977</v>
      </c>
      <c r="P3623" s="9" t="s">
        <v>17748</v>
      </c>
      <c r="Q3623" s="11" t="s">
        <v>18306</v>
      </c>
      <c r="R3623" s="11" t="s">
        <v>18306</v>
      </c>
      <c r="S3623" s="11" t="s">
        <v>17750</v>
      </c>
    </row>
    <row r="3624" spans="1:19" x14ac:dyDescent="0.2">
      <c r="A3624" s="11" t="s">
        <v>38884</v>
      </c>
      <c r="B3624" s="9" t="s">
        <v>38885</v>
      </c>
      <c r="C3624" s="9" t="s">
        <v>38886</v>
      </c>
      <c r="D3624" s="9" t="s">
        <v>38887</v>
      </c>
      <c r="E3624" s="9" t="s">
        <v>17740</v>
      </c>
      <c r="F3624" s="9" t="s">
        <v>17741</v>
      </c>
      <c r="G3624" s="9" t="s">
        <v>17740</v>
      </c>
      <c r="H3624" s="11" t="s">
        <v>17741</v>
      </c>
      <c r="I3624" s="11" t="s">
        <v>2742</v>
      </c>
      <c r="J3624" s="11" t="s">
        <v>2742</v>
      </c>
      <c r="K3624" s="9" t="s">
        <v>38888</v>
      </c>
      <c r="L3624" s="9" t="s">
        <v>17744</v>
      </c>
      <c r="M3624" s="9" t="s">
        <v>30023</v>
      </c>
      <c r="N3624" s="9" t="s">
        <v>17746</v>
      </c>
      <c r="O3624" s="9" t="s">
        <v>18481</v>
      </c>
      <c r="P3624" s="9" t="s">
        <v>17748</v>
      </c>
      <c r="Q3624" s="11" t="s">
        <v>18608</v>
      </c>
      <c r="R3624" s="11" t="s">
        <v>18608</v>
      </c>
      <c r="S3624" s="11" t="s">
        <v>17750</v>
      </c>
    </row>
    <row r="3625" spans="1:19" x14ac:dyDescent="0.2">
      <c r="A3625" s="11" t="s">
        <v>38889</v>
      </c>
      <c r="B3625" s="9" t="s">
        <v>38890</v>
      </c>
      <c r="C3625" s="9" t="s">
        <v>38891</v>
      </c>
      <c r="D3625" s="9" t="s">
        <v>38892</v>
      </c>
      <c r="E3625" s="9" t="s">
        <v>17740</v>
      </c>
      <c r="F3625" s="9" t="s">
        <v>38893</v>
      </c>
      <c r="G3625" s="9" t="s">
        <v>17740</v>
      </c>
      <c r="H3625" s="11" t="s">
        <v>2746</v>
      </c>
      <c r="I3625" s="11" t="s">
        <v>2745</v>
      </c>
      <c r="J3625" s="11" t="s">
        <v>2745</v>
      </c>
      <c r="K3625" s="9" t="s">
        <v>18951</v>
      </c>
      <c r="L3625" s="9" t="s">
        <v>17759</v>
      </c>
      <c r="M3625" s="9" t="s">
        <v>17817</v>
      </c>
      <c r="N3625" s="9" t="s">
        <v>17746</v>
      </c>
      <c r="O3625" s="9" t="s">
        <v>20761</v>
      </c>
      <c r="P3625" s="9" t="s">
        <v>17748</v>
      </c>
      <c r="Q3625" s="11" t="s">
        <v>17943</v>
      </c>
      <c r="R3625" s="11" t="s">
        <v>17943</v>
      </c>
      <c r="S3625" s="11" t="s">
        <v>17750</v>
      </c>
    </row>
    <row r="3626" spans="1:19" x14ac:dyDescent="0.2">
      <c r="A3626" s="11" t="s">
        <v>38894</v>
      </c>
      <c r="B3626" s="9" t="s">
        <v>38895</v>
      </c>
      <c r="C3626" s="9" t="s">
        <v>38896</v>
      </c>
      <c r="D3626" s="9" t="s">
        <v>38897</v>
      </c>
      <c r="E3626" s="9" t="s">
        <v>17740</v>
      </c>
      <c r="F3626" s="9" t="s">
        <v>17741</v>
      </c>
      <c r="G3626" s="9" t="s">
        <v>17740</v>
      </c>
      <c r="H3626" s="11" t="s">
        <v>4232</v>
      </c>
      <c r="I3626" s="11" t="s">
        <v>4231</v>
      </c>
      <c r="J3626" s="11" t="s">
        <v>4231</v>
      </c>
      <c r="K3626" s="9" t="s">
        <v>17758</v>
      </c>
      <c r="L3626" s="9" t="s">
        <v>17759</v>
      </c>
      <c r="M3626" s="9" t="s">
        <v>17760</v>
      </c>
      <c r="N3626" s="9" t="s">
        <v>17746</v>
      </c>
      <c r="O3626" s="9" t="s">
        <v>38898</v>
      </c>
      <c r="P3626" s="9" t="s">
        <v>17748</v>
      </c>
      <c r="Q3626" s="11" t="s">
        <v>18960</v>
      </c>
      <c r="R3626" s="11" t="s">
        <v>18960</v>
      </c>
      <c r="S3626" s="11" t="s">
        <v>17750</v>
      </c>
    </row>
    <row r="3627" spans="1:19" x14ac:dyDescent="0.2">
      <c r="A3627" s="11" t="s">
        <v>38899</v>
      </c>
      <c r="B3627" s="9" t="s">
        <v>38900</v>
      </c>
      <c r="C3627" s="9" t="s">
        <v>38901</v>
      </c>
      <c r="D3627" s="9" t="s">
        <v>38902</v>
      </c>
      <c r="E3627" s="9" t="s">
        <v>17740</v>
      </c>
      <c r="F3627" s="9" t="s">
        <v>17741</v>
      </c>
      <c r="G3627" s="9" t="s">
        <v>17740</v>
      </c>
      <c r="H3627" s="11" t="s">
        <v>11703</v>
      </c>
      <c r="I3627" s="11" t="s">
        <v>11702</v>
      </c>
      <c r="J3627" s="11" t="s">
        <v>11702</v>
      </c>
      <c r="K3627" s="9" t="s">
        <v>17758</v>
      </c>
      <c r="L3627" s="9" t="s">
        <v>17759</v>
      </c>
      <c r="M3627" s="9" t="s">
        <v>18513</v>
      </c>
      <c r="N3627" s="9" t="s">
        <v>17746</v>
      </c>
      <c r="O3627" s="9" t="s">
        <v>25384</v>
      </c>
      <c r="P3627" s="9" t="s">
        <v>17748</v>
      </c>
      <c r="Q3627" s="11" t="s">
        <v>17762</v>
      </c>
      <c r="R3627" s="11" t="s">
        <v>17762</v>
      </c>
      <c r="S3627" s="11" t="s">
        <v>17750</v>
      </c>
    </row>
    <row r="3628" spans="1:19" x14ac:dyDescent="0.2">
      <c r="A3628" s="11" t="s">
        <v>38903</v>
      </c>
      <c r="B3628" s="9" t="s">
        <v>38904</v>
      </c>
      <c r="C3628" s="9" t="s">
        <v>38905</v>
      </c>
      <c r="D3628" s="9" t="s">
        <v>38906</v>
      </c>
      <c r="E3628" s="9" t="s">
        <v>17740</v>
      </c>
      <c r="F3628" s="9" t="s">
        <v>17741</v>
      </c>
      <c r="G3628" s="9" t="s">
        <v>17740</v>
      </c>
      <c r="H3628" s="11" t="s">
        <v>9888</v>
      </c>
      <c r="I3628" s="11" t="s">
        <v>9887</v>
      </c>
      <c r="J3628" s="11" t="s">
        <v>9888</v>
      </c>
      <c r="K3628" s="9" t="s">
        <v>20225</v>
      </c>
      <c r="L3628" s="9" t="s">
        <v>17744</v>
      </c>
      <c r="M3628" s="9" t="s">
        <v>17817</v>
      </c>
      <c r="N3628" s="9" t="s">
        <v>17746</v>
      </c>
      <c r="O3628" s="9" t="s">
        <v>7097</v>
      </c>
      <c r="P3628" s="9" t="s">
        <v>17748</v>
      </c>
      <c r="Q3628" s="11" t="s">
        <v>17858</v>
      </c>
      <c r="R3628" s="11" t="s">
        <v>17858</v>
      </c>
      <c r="S3628" s="11" t="s">
        <v>17750</v>
      </c>
    </row>
    <row r="3629" spans="1:19" x14ac:dyDescent="0.2">
      <c r="A3629" s="11" t="s">
        <v>38907</v>
      </c>
      <c r="B3629" s="9" t="s">
        <v>38908</v>
      </c>
      <c r="C3629" s="9" t="s">
        <v>38909</v>
      </c>
      <c r="D3629" s="9" t="s">
        <v>38910</v>
      </c>
      <c r="E3629" s="9" t="s">
        <v>17740</v>
      </c>
      <c r="F3629" s="9" t="s">
        <v>17741</v>
      </c>
      <c r="G3629" s="9" t="s">
        <v>17740</v>
      </c>
      <c r="H3629" s="11" t="s">
        <v>6615</v>
      </c>
      <c r="I3629" s="11" t="s">
        <v>6614</v>
      </c>
      <c r="J3629" s="11" t="s">
        <v>6614</v>
      </c>
      <c r="K3629" s="9" t="s">
        <v>18876</v>
      </c>
      <c r="L3629" s="9" t="s">
        <v>18001</v>
      </c>
      <c r="M3629" s="9" t="s">
        <v>19546</v>
      </c>
      <c r="N3629" s="9" t="s">
        <v>17746</v>
      </c>
      <c r="O3629" s="9" t="s">
        <v>19646</v>
      </c>
      <c r="P3629" s="9" t="s">
        <v>17748</v>
      </c>
      <c r="Q3629" s="11" t="s">
        <v>17808</v>
      </c>
      <c r="R3629" s="11" t="s">
        <v>17808</v>
      </c>
      <c r="S3629" s="11" t="s">
        <v>17750</v>
      </c>
    </row>
    <row r="3630" spans="1:19" x14ac:dyDescent="0.2">
      <c r="A3630" s="11" t="s">
        <v>38911</v>
      </c>
      <c r="B3630" s="9" t="s">
        <v>38912</v>
      </c>
      <c r="C3630" s="9" t="s">
        <v>38913</v>
      </c>
      <c r="D3630" s="9" t="s">
        <v>38914</v>
      </c>
      <c r="E3630" s="9" t="s">
        <v>17740</v>
      </c>
      <c r="F3630" s="9" t="s">
        <v>17741</v>
      </c>
      <c r="G3630" s="9" t="s">
        <v>17740</v>
      </c>
      <c r="H3630" s="11" t="s">
        <v>12528</v>
      </c>
      <c r="I3630" s="11" t="s">
        <v>12527</v>
      </c>
      <c r="J3630" s="11" t="s">
        <v>12527</v>
      </c>
      <c r="K3630" s="9" t="s">
        <v>20207</v>
      </c>
      <c r="L3630" s="9" t="s">
        <v>17744</v>
      </c>
      <c r="M3630" s="9" t="s">
        <v>17769</v>
      </c>
      <c r="N3630" s="9" t="s">
        <v>17746</v>
      </c>
      <c r="O3630" s="9" t="s">
        <v>38915</v>
      </c>
      <c r="P3630" s="9" t="s">
        <v>17748</v>
      </c>
      <c r="Q3630" s="11" t="s">
        <v>17917</v>
      </c>
      <c r="R3630" s="11" t="s">
        <v>17917</v>
      </c>
      <c r="S3630" s="11" t="s">
        <v>17750</v>
      </c>
    </row>
    <row r="3631" spans="1:19" x14ac:dyDescent="0.2">
      <c r="A3631" s="11" t="s">
        <v>38916</v>
      </c>
      <c r="B3631" s="9" t="s">
        <v>38917</v>
      </c>
      <c r="C3631" s="9" t="s">
        <v>38918</v>
      </c>
      <c r="D3631" s="9" t="s">
        <v>38919</v>
      </c>
      <c r="E3631" s="9" t="s">
        <v>17740</v>
      </c>
      <c r="F3631" s="9" t="s">
        <v>38920</v>
      </c>
      <c r="G3631" s="9" t="s">
        <v>17740</v>
      </c>
      <c r="H3631" s="11" t="s">
        <v>17741</v>
      </c>
      <c r="I3631" s="11" t="s">
        <v>12335</v>
      </c>
      <c r="J3631" s="11" t="s">
        <v>12335</v>
      </c>
      <c r="K3631" s="9" t="s">
        <v>12337</v>
      </c>
      <c r="L3631" s="9" t="s">
        <v>17744</v>
      </c>
      <c r="M3631" s="9" t="s">
        <v>17760</v>
      </c>
      <c r="N3631" s="9" t="s">
        <v>17746</v>
      </c>
      <c r="O3631" s="9" t="s">
        <v>38921</v>
      </c>
      <c r="P3631" s="9" t="s">
        <v>17748</v>
      </c>
      <c r="Q3631" s="11" t="s">
        <v>18080</v>
      </c>
      <c r="R3631" s="11" t="s">
        <v>18080</v>
      </c>
      <c r="S3631" s="11" t="s">
        <v>17750</v>
      </c>
    </row>
    <row r="3632" spans="1:19" x14ac:dyDescent="0.2">
      <c r="A3632" s="11" t="s">
        <v>38922</v>
      </c>
      <c r="B3632" s="9" t="s">
        <v>38923</v>
      </c>
      <c r="C3632" s="9" t="s">
        <v>38924</v>
      </c>
      <c r="D3632" s="9" t="s">
        <v>38925</v>
      </c>
      <c r="E3632" s="9" t="s">
        <v>17740</v>
      </c>
      <c r="F3632" s="9" t="s">
        <v>17741</v>
      </c>
      <c r="G3632" s="9" t="s">
        <v>17740</v>
      </c>
      <c r="H3632" s="11" t="s">
        <v>2751</v>
      </c>
      <c r="I3632" s="11" t="s">
        <v>2752</v>
      </c>
      <c r="J3632" s="11" t="s">
        <v>2752</v>
      </c>
      <c r="K3632" s="9" t="s">
        <v>38926</v>
      </c>
      <c r="L3632" s="9" t="s">
        <v>18242</v>
      </c>
      <c r="M3632" s="9" t="s">
        <v>17760</v>
      </c>
      <c r="N3632" s="9" t="s">
        <v>17746</v>
      </c>
      <c r="O3632" s="9" t="s">
        <v>4009</v>
      </c>
      <c r="P3632" s="9" t="s">
        <v>17748</v>
      </c>
      <c r="Q3632" s="11" t="s">
        <v>19026</v>
      </c>
      <c r="R3632" s="11" t="s">
        <v>19026</v>
      </c>
      <c r="S3632" s="11" t="s">
        <v>17750</v>
      </c>
    </row>
    <row r="3633" spans="1:19" x14ac:dyDescent="0.2">
      <c r="A3633" s="11" t="s">
        <v>38927</v>
      </c>
      <c r="B3633" s="9" t="s">
        <v>38928</v>
      </c>
      <c r="C3633" s="9" t="s">
        <v>38929</v>
      </c>
      <c r="D3633" s="9" t="s">
        <v>38930</v>
      </c>
      <c r="E3633" s="9" t="s">
        <v>17748</v>
      </c>
      <c r="F3633" s="9" t="s">
        <v>38931</v>
      </c>
      <c r="G3633" s="9" t="s">
        <v>17740</v>
      </c>
      <c r="H3633" s="11" t="s">
        <v>17741</v>
      </c>
      <c r="I3633" s="11" t="s">
        <v>11535</v>
      </c>
      <c r="J3633" s="11" t="s">
        <v>38932</v>
      </c>
      <c r="K3633" s="9" t="s">
        <v>291</v>
      </c>
      <c r="L3633" s="9" t="s">
        <v>17744</v>
      </c>
      <c r="M3633" s="9" t="s">
        <v>38933</v>
      </c>
      <c r="N3633" s="9" t="s">
        <v>17746</v>
      </c>
      <c r="O3633" s="9" t="s">
        <v>19391</v>
      </c>
      <c r="P3633" s="9" t="s">
        <v>17748</v>
      </c>
      <c r="Q3633" s="11" t="s">
        <v>18798</v>
      </c>
      <c r="R3633" s="11" t="s">
        <v>18798</v>
      </c>
      <c r="S3633" s="11" t="s">
        <v>17750</v>
      </c>
    </row>
    <row r="3634" spans="1:19" x14ac:dyDescent="0.2">
      <c r="A3634" s="11" t="s">
        <v>38934</v>
      </c>
      <c r="B3634" s="9" t="s">
        <v>38935</v>
      </c>
      <c r="C3634" s="9" t="s">
        <v>38936</v>
      </c>
      <c r="D3634" s="9" t="s">
        <v>38937</v>
      </c>
      <c r="E3634" s="9" t="s">
        <v>17748</v>
      </c>
      <c r="F3634" s="9" t="s">
        <v>38938</v>
      </c>
      <c r="G3634" s="9" t="s">
        <v>17740</v>
      </c>
      <c r="H3634" s="11" t="s">
        <v>7947</v>
      </c>
      <c r="I3634" s="11" t="s">
        <v>7946</v>
      </c>
      <c r="J3634" s="11" t="s">
        <v>7946</v>
      </c>
      <c r="K3634" s="9" t="s">
        <v>291</v>
      </c>
      <c r="L3634" s="9" t="s">
        <v>17744</v>
      </c>
      <c r="M3634" s="9" t="s">
        <v>38939</v>
      </c>
      <c r="N3634" s="9" t="s">
        <v>17746</v>
      </c>
      <c r="O3634" s="9" t="s">
        <v>19391</v>
      </c>
      <c r="P3634" s="9" t="s">
        <v>17748</v>
      </c>
      <c r="Q3634" s="11" t="s">
        <v>18798</v>
      </c>
      <c r="R3634" s="11" t="s">
        <v>18798</v>
      </c>
      <c r="S3634" s="11" t="s">
        <v>17750</v>
      </c>
    </row>
    <row r="3635" spans="1:19" x14ac:dyDescent="0.2">
      <c r="A3635" s="11" t="s">
        <v>38940</v>
      </c>
      <c r="B3635" s="9" t="s">
        <v>38941</v>
      </c>
      <c r="C3635" s="9" t="s">
        <v>38942</v>
      </c>
      <c r="D3635" s="9" t="s">
        <v>38943</v>
      </c>
      <c r="E3635" s="9" t="s">
        <v>17748</v>
      </c>
      <c r="F3635" s="9" t="s">
        <v>38944</v>
      </c>
      <c r="G3635" s="9" t="s">
        <v>17740</v>
      </c>
      <c r="H3635" s="11" t="s">
        <v>6686</v>
      </c>
      <c r="I3635" s="11" t="s">
        <v>6685</v>
      </c>
      <c r="J3635" s="11" t="s">
        <v>6685</v>
      </c>
      <c r="K3635" s="9" t="s">
        <v>38945</v>
      </c>
      <c r="L3635" s="9" t="s">
        <v>18158</v>
      </c>
      <c r="M3635" s="9" t="s">
        <v>17760</v>
      </c>
      <c r="N3635" s="9" t="s">
        <v>17746</v>
      </c>
      <c r="O3635" s="9" t="s">
        <v>38946</v>
      </c>
      <c r="P3635" s="9" t="s">
        <v>17748</v>
      </c>
      <c r="Q3635" s="11" t="s">
        <v>19361</v>
      </c>
      <c r="R3635" s="11" t="s">
        <v>19361</v>
      </c>
      <c r="S3635" s="11" t="s">
        <v>17750</v>
      </c>
    </row>
    <row r="3636" spans="1:19" x14ac:dyDescent="0.2">
      <c r="A3636" s="11" t="s">
        <v>38947</v>
      </c>
      <c r="B3636" s="9" t="s">
        <v>38948</v>
      </c>
      <c r="C3636" s="9" t="s">
        <v>38949</v>
      </c>
      <c r="D3636" s="9" t="s">
        <v>38950</v>
      </c>
      <c r="E3636" s="9" t="s">
        <v>17740</v>
      </c>
      <c r="F3636" s="9" t="s">
        <v>17741</v>
      </c>
      <c r="G3636" s="9" t="s">
        <v>17740</v>
      </c>
      <c r="H3636" s="11" t="s">
        <v>17741</v>
      </c>
      <c r="I3636" s="11" t="s">
        <v>8516</v>
      </c>
      <c r="J3636" s="11" t="s">
        <v>8516</v>
      </c>
      <c r="K3636" s="9" t="s">
        <v>38951</v>
      </c>
      <c r="L3636" s="9" t="s">
        <v>17958</v>
      </c>
      <c r="M3636" s="9" t="s">
        <v>17760</v>
      </c>
      <c r="N3636" s="9" t="s">
        <v>17746</v>
      </c>
      <c r="O3636" s="9" t="s">
        <v>18607</v>
      </c>
      <c r="P3636" s="9" t="s">
        <v>17748</v>
      </c>
      <c r="Q3636" s="11" t="s">
        <v>18433</v>
      </c>
      <c r="R3636" s="11" t="s">
        <v>18433</v>
      </c>
      <c r="S3636" s="11" t="s">
        <v>17750</v>
      </c>
    </row>
    <row r="3637" spans="1:19" x14ac:dyDescent="0.2">
      <c r="A3637" s="11" t="s">
        <v>38952</v>
      </c>
      <c r="B3637" s="9" t="s">
        <v>38953</v>
      </c>
      <c r="C3637" s="9" t="s">
        <v>38954</v>
      </c>
      <c r="D3637" s="9" t="s">
        <v>38955</v>
      </c>
      <c r="E3637" s="9" t="s">
        <v>17740</v>
      </c>
      <c r="F3637" s="9" t="s">
        <v>17741</v>
      </c>
      <c r="G3637" s="9" t="s">
        <v>17740</v>
      </c>
      <c r="H3637" s="11" t="s">
        <v>38956</v>
      </c>
      <c r="I3637" s="11" t="s">
        <v>38957</v>
      </c>
      <c r="J3637" s="11" t="s">
        <v>38957</v>
      </c>
      <c r="K3637" s="9" t="s">
        <v>19447</v>
      </c>
      <c r="L3637" s="9" t="s">
        <v>17759</v>
      </c>
      <c r="M3637" s="9" t="s">
        <v>24813</v>
      </c>
      <c r="N3637" s="9" t="s">
        <v>17746</v>
      </c>
      <c r="O3637" s="9" t="s">
        <v>35065</v>
      </c>
      <c r="P3637" s="9" t="s">
        <v>17748</v>
      </c>
      <c r="Q3637" s="11" t="s">
        <v>17819</v>
      </c>
      <c r="R3637" s="11" t="s">
        <v>17819</v>
      </c>
      <c r="S3637" s="11" t="s">
        <v>17750</v>
      </c>
    </row>
    <row r="3638" spans="1:19" x14ac:dyDescent="0.2">
      <c r="A3638" s="11" t="s">
        <v>38958</v>
      </c>
      <c r="B3638" s="9" t="s">
        <v>38959</v>
      </c>
      <c r="C3638" s="9" t="s">
        <v>38960</v>
      </c>
      <c r="D3638" s="9" t="s">
        <v>38961</v>
      </c>
      <c r="E3638" s="9" t="s">
        <v>17740</v>
      </c>
      <c r="F3638" s="9" t="s">
        <v>17741</v>
      </c>
      <c r="G3638" s="9" t="s">
        <v>17740</v>
      </c>
      <c r="H3638" s="11" t="s">
        <v>10271</v>
      </c>
      <c r="I3638" s="11" t="s">
        <v>17741</v>
      </c>
      <c r="J3638" s="11" t="s">
        <v>10271</v>
      </c>
      <c r="K3638" s="9" t="s">
        <v>18570</v>
      </c>
      <c r="L3638" s="9" t="s">
        <v>17744</v>
      </c>
      <c r="M3638" s="9" t="s">
        <v>17741</v>
      </c>
      <c r="N3638" s="9" t="s">
        <v>17746</v>
      </c>
      <c r="O3638" s="9" t="s">
        <v>17993</v>
      </c>
      <c r="P3638" s="9" t="s">
        <v>17748</v>
      </c>
      <c r="Q3638" s="11" t="s">
        <v>17858</v>
      </c>
      <c r="R3638" s="11" t="s">
        <v>17858</v>
      </c>
      <c r="S3638" s="11" t="s">
        <v>17750</v>
      </c>
    </row>
    <row r="3639" spans="1:19" x14ac:dyDescent="0.2">
      <c r="A3639" s="11" t="s">
        <v>38962</v>
      </c>
      <c r="B3639" s="9" t="s">
        <v>38963</v>
      </c>
      <c r="C3639" s="9" t="s">
        <v>38964</v>
      </c>
      <c r="D3639" s="9" t="s">
        <v>38965</v>
      </c>
      <c r="E3639" s="9" t="s">
        <v>17740</v>
      </c>
      <c r="F3639" s="9" t="s">
        <v>17741</v>
      </c>
      <c r="G3639" s="9" t="s">
        <v>17740</v>
      </c>
      <c r="H3639" s="11" t="s">
        <v>8673</v>
      </c>
      <c r="I3639" s="11" t="s">
        <v>8672</v>
      </c>
      <c r="J3639" s="11" t="s">
        <v>8672</v>
      </c>
      <c r="K3639" s="9" t="s">
        <v>689</v>
      </c>
      <c r="L3639" s="9" t="s">
        <v>17744</v>
      </c>
      <c r="M3639" s="9" t="s">
        <v>38966</v>
      </c>
      <c r="N3639" s="9" t="s">
        <v>17746</v>
      </c>
      <c r="O3639" s="9" t="s">
        <v>17866</v>
      </c>
      <c r="P3639" s="9" t="s">
        <v>17748</v>
      </c>
      <c r="Q3639" s="11" t="s">
        <v>17784</v>
      </c>
      <c r="R3639" s="11" t="s">
        <v>17784</v>
      </c>
      <c r="S3639" s="11" t="s">
        <v>17750</v>
      </c>
    </row>
    <row r="3640" spans="1:19" x14ac:dyDescent="0.2">
      <c r="A3640" s="11" t="s">
        <v>38967</v>
      </c>
      <c r="B3640" s="9" t="s">
        <v>38968</v>
      </c>
      <c r="C3640" s="9" t="s">
        <v>38969</v>
      </c>
      <c r="D3640" s="9" t="s">
        <v>38970</v>
      </c>
      <c r="E3640" s="9" t="s">
        <v>17748</v>
      </c>
      <c r="F3640" s="9" t="s">
        <v>38971</v>
      </c>
      <c r="G3640" s="9" t="s">
        <v>17740</v>
      </c>
      <c r="H3640" s="11" t="s">
        <v>16029</v>
      </c>
      <c r="I3640" s="11" t="s">
        <v>16028</v>
      </c>
      <c r="J3640" s="11" t="s">
        <v>16028</v>
      </c>
      <c r="K3640" s="9" t="s">
        <v>26253</v>
      </c>
      <c r="L3640" s="9" t="s">
        <v>17759</v>
      </c>
      <c r="M3640" s="9" t="s">
        <v>17817</v>
      </c>
      <c r="N3640" s="9" t="s">
        <v>17746</v>
      </c>
      <c r="O3640" s="9" t="s">
        <v>24894</v>
      </c>
      <c r="P3640" s="9" t="s">
        <v>17748</v>
      </c>
      <c r="Q3640" s="11" t="s">
        <v>17923</v>
      </c>
      <c r="R3640" s="11" t="s">
        <v>17923</v>
      </c>
      <c r="S3640" s="11" t="s">
        <v>17750</v>
      </c>
    </row>
    <row r="3641" spans="1:19" x14ac:dyDescent="0.2">
      <c r="A3641" s="11" t="s">
        <v>38972</v>
      </c>
      <c r="B3641" s="9" t="s">
        <v>38973</v>
      </c>
      <c r="C3641" s="9" t="s">
        <v>38974</v>
      </c>
      <c r="D3641" s="9" t="s">
        <v>38975</v>
      </c>
      <c r="E3641" s="9" t="s">
        <v>17748</v>
      </c>
      <c r="F3641" s="9" t="s">
        <v>38976</v>
      </c>
      <c r="G3641" s="9" t="s">
        <v>17740</v>
      </c>
      <c r="H3641" s="11" t="s">
        <v>17741</v>
      </c>
      <c r="I3641" s="11" t="s">
        <v>38977</v>
      </c>
      <c r="J3641" s="11" t="s">
        <v>38977</v>
      </c>
      <c r="K3641" s="9" t="s">
        <v>38978</v>
      </c>
      <c r="L3641" s="9" t="s">
        <v>17759</v>
      </c>
      <c r="M3641" s="9" t="s">
        <v>17760</v>
      </c>
      <c r="N3641" s="9" t="s">
        <v>17746</v>
      </c>
      <c r="O3641" s="9" t="s">
        <v>38979</v>
      </c>
      <c r="P3641" s="9" t="s">
        <v>17748</v>
      </c>
      <c r="Q3641" s="11" t="s">
        <v>17808</v>
      </c>
      <c r="R3641" s="11" t="s">
        <v>17808</v>
      </c>
      <c r="S3641" s="11" t="s">
        <v>17750</v>
      </c>
    </row>
    <row r="3642" spans="1:19" x14ac:dyDescent="0.2">
      <c r="A3642" s="11" t="s">
        <v>38980</v>
      </c>
      <c r="B3642" s="9" t="s">
        <v>38981</v>
      </c>
      <c r="C3642" s="9" t="s">
        <v>38982</v>
      </c>
      <c r="D3642" s="9" t="s">
        <v>38983</v>
      </c>
      <c r="E3642" s="9" t="s">
        <v>17740</v>
      </c>
      <c r="F3642" s="9" t="s">
        <v>17741</v>
      </c>
      <c r="G3642" s="9" t="s">
        <v>17740</v>
      </c>
      <c r="H3642" s="11" t="s">
        <v>38984</v>
      </c>
      <c r="I3642" s="11" t="s">
        <v>38985</v>
      </c>
      <c r="J3642" s="11" t="s">
        <v>38985</v>
      </c>
      <c r="K3642" s="9" t="s">
        <v>17805</v>
      </c>
      <c r="L3642" s="9" t="s">
        <v>17759</v>
      </c>
      <c r="M3642" s="9" t="s">
        <v>20344</v>
      </c>
      <c r="N3642" s="9" t="s">
        <v>17746</v>
      </c>
      <c r="O3642" s="9" t="s">
        <v>18514</v>
      </c>
      <c r="P3642" s="9" t="s">
        <v>17748</v>
      </c>
      <c r="Q3642" s="11" t="s">
        <v>18678</v>
      </c>
      <c r="R3642" s="11" t="s">
        <v>18678</v>
      </c>
      <c r="S3642" s="11" t="s">
        <v>17750</v>
      </c>
    </row>
    <row r="3643" spans="1:19" x14ac:dyDescent="0.2">
      <c r="A3643" s="11" t="s">
        <v>38986</v>
      </c>
      <c r="B3643" s="9" t="s">
        <v>38987</v>
      </c>
      <c r="C3643" s="9" t="s">
        <v>38988</v>
      </c>
      <c r="D3643" s="9" t="s">
        <v>38989</v>
      </c>
      <c r="E3643" s="9" t="s">
        <v>17740</v>
      </c>
      <c r="F3643" s="9" t="s">
        <v>17741</v>
      </c>
      <c r="G3643" s="9" t="s">
        <v>17740</v>
      </c>
      <c r="H3643" s="11" t="s">
        <v>7259</v>
      </c>
      <c r="I3643" s="11" t="s">
        <v>7258</v>
      </c>
      <c r="J3643" s="11" t="s">
        <v>7258</v>
      </c>
      <c r="K3643" s="9" t="s">
        <v>970</v>
      </c>
      <c r="L3643" s="9" t="s">
        <v>17759</v>
      </c>
      <c r="M3643" s="9" t="s">
        <v>38990</v>
      </c>
      <c r="N3643" s="9" t="s">
        <v>17746</v>
      </c>
      <c r="O3643" s="9" t="s">
        <v>27987</v>
      </c>
      <c r="P3643" s="9" t="s">
        <v>17748</v>
      </c>
      <c r="Q3643" s="11" t="s">
        <v>17808</v>
      </c>
      <c r="R3643" s="11" t="s">
        <v>17808</v>
      </c>
      <c r="S3643" s="11" t="s">
        <v>17750</v>
      </c>
    </row>
    <row r="3644" spans="1:19" x14ac:dyDescent="0.2">
      <c r="A3644" s="11" t="s">
        <v>38991</v>
      </c>
      <c r="B3644" s="9" t="s">
        <v>38992</v>
      </c>
      <c r="C3644" s="9" t="s">
        <v>38993</v>
      </c>
      <c r="D3644" s="9" t="s">
        <v>38994</v>
      </c>
      <c r="E3644" s="9" t="s">
        <v>17740</v>
      </c>
      <c r="F3644" s="9" t="s">
        <v>38995</v>
      </c>
      <c r="G3644" s="9" t="s">
        <v>17740</v>
      </c>
      <c r="H3644" s="11" t="s">
        <v>2749</v>
      </c>
      <c r="I3644" s="11" t="s">
        <v>2748</v>
      </c>
      <c r="J3644" s="11" t="s">
        <v>2748</v>
      </c>
      <c r="K3644" s="9" t="s">
        <v>32497</v>
      </c>
      <c r="L3644" s="9" t="s">
        <v>17744</v>
      </c>
      <c r="M3644" s="9" t="s">
        <v>18065</v>
      </c>
      <c r="N3644" s="9" t="s">
        <v>17746</v>
      </c>
      <c r="O3644" s="9" t="s">
        <v>38996</v>
      </c>
      <c r="P3644" s="9" t="s">
        <v>17748</v>
      </c>
      <c r="Q3644" s="11" t="s">
        <v>19222</v>
      </c>
      <c r="R3644" s="11" t="s">
        <v>19222</v>
      </c>
      <c r="S3644" s="11" t="s">
        <v>17750</v>
      </c>
    </row>
    <row r="3645" spans="1:19" x14ac:dyDescent="0.2">
      <c r="A3645" s="11" t="s">
        <v>38997</v>
      </c>
      <c r="B3645" s="9" t="s">
        <v>38998</v>
      </c>
      <c r="C3645" s="9" t="s">
        <v>38999</v>
      </c>
      <c r="D3645" s="9" t="s">
        <v>39000</v>
      </c>
      <c r="E3645" s="9" t="s">
        <v>17740</v>
      </c>
      <c r="F3645" s="9" t="s">
        <v>17741</v>
      </c>
      <c r="G3645" s="9" t="s">
        <v>17740</v>
      </c>
      <c r="H3645" s="11" t="s">
        <v>39001</v>
      </c>
      <c r="I3645" s="11" t="s">
        <v>39002</v>
      </c>
      <c r="J3645" s="11" t="s">
        <v>39002</v>
      </c>
      <c r="K3645" s="9" t="s">
        <v>39003</v>
      </c>
      <c r="L3645" s="9" t="s">
        <v>17759</v>
      </c>
      <c r="M3645" s="9" t="s">
        <v>17817</v>
      </c>
      <c r="N3645" s="9" t="s">
        <v>17746</v>
      </c>
      <c r="O3645" s="9" t="s">
        <v>23061</v>
      </c>
      <c r="P3645" s="9" t="s">
        <v>17748</v>
      </c>
      <c r="Q3645" s="11" t="s">
        <v>19515</v>
      </c>
      <c r="R3645" s="11" t="s">
        <v>19515</v>
      </c>
      <c r="S3645" s="11" t="s">
        <v>17750</v>
      </c>
    </row>
    <row r="3646" spans="1:19" x14ac:dyDescent="0.2">
      <c r="A3646" s="11" t="s">
        <v>39004</v>
      </c>
      <c r="B3646" s="9" t="s">
        <v>39005</v>
      </c>
      <c r="C3646" s="9" t="s">
        <v>39006</v>
      </c>
      <c r="D3646" s="9" t="s">
        <v>39007</v>
      </c>
      <c r="E3646" s="9" t="s">
        <v>17740</v>
      </c>
      <c r="F3646" s="9" t="s">
        <v>17741</v>
      </c>
      <c r="G3646" s="9" t="s">
        <v>17740</v>
      </c>
      <c r="H3646" s="11" t="s">
        <v>17741</v>
      </c>
      <c r="I3646" s="11" t="s">
        <v>39008</v>
      </c>
      <c r="J3646" s="11" t="s">
        <v>39008</v>
      </c>
      <c r="K3646" s="9" t="s">
        <v>39009</v>
      </c>
      <c r="L3646" s="9" t="s">
        <v>18242</v>
      </c>
      <c r="M3646" s="9" t="s">
        <v>17760</v>
      </c>
      <c r="N3646" s="9" t="s">
        <v>17746</v>
      </c>
      <c r="O3646" s="9" t="s">
        <v>21318</v>
      </c>
      <c r="P3646" s="9" t="s">
        <v>17748</v>
      </c>
      <c r="Q3646" s="11" t="s">
        <v>18251</v>
      </c>
      <c r="R3646" s="11" t="s">
        <v>18251</v>
      </c>
      <c r="S3646" s="11" t="s">
        <v>17750</v>
      </c>
    </row>
    <row r="3647" spans="1:19" x14ac:dyDescent="0.2">
      <c r="A3647" s="11" t="s">
        <v>39010</v>
      </c>
      <c r="B3647" s="9" t="s">
        <v>39011</v>
      </c>
      <c r="C3647" s="9" t="s">
        <v>39012</v>
      </c>
      <c r="D3647" s="9" t="s">
        <v>39013</v>
      </c>
      <c r="E3647" s="9" t="s">
        <v>17748</v>
      </c>
      <c r="F3647" s="9" t="s">
        <v>39014</v>
      </c>
      <c r="G3647" s="9" t="s">
        <v>17740</v>
      </c>
      <c r="H3647" s="11" t="s">
        <v>39015</v>
      </c>
      <c r="I3647" s="11" t="s">
        <v>39016</v>
      </c>
      <c r="J3647" s="11" t="s">
        <v>39016</v>
      </c>
      <c r="K3647" s="9" t="s">
        <v>17783</v>
      </c>
      <c r="L3647" s="9" t="s">
        <v>17759</v>
      </c>
      <c r="M3647" s="9" t="s">
        <v>19988</v>
      </c>
      <c r="N3647" s="9" t="s">
        <v>17746</v>
      </c>
      <c r="O3647" s="9" t="s">
        <v>24577</v>
      </c>
      <c r="P3647" s="9" t="s">
        <v>17748</v>
      </c>
      <c r="Q3647" s="11" t="s">
        <v>18798</v>
      </c>
      <c r="R3647" s="11" t="s">
        <v>18798</v>
      </c>
      <c r="S3647" s="11" t="s">
        <v>17750</v>
      </c>
    </row>
    <row r="3648" spans="1:19" x14ac:dyDescent="0.2">
      <c r="A3648" s="11" t="s">
        <v>39017</v>
      </c>
      <c r="B3648" s="9" t="s">
        <v>39018</v>
      </c>
      <c r="C3648" s="9" t="s">
        <v>39019</v>
      </c>
      <c r="D3648" s="9" t="s">
        <v>39020</v>
      </c>
      <c r="E3648" s="9" t="s">
        <v>17740</v>
      </c>
      <c r="F3648" s="9" t="s">
        <v>17741</v>
      </c>
      <c r="G3648" s="9" t="s">
        <v>17740</v>
      </c>
      <c r="H3648" s="11" t="s">
        <v>2631</v>
      </c>
      <c r="I3648" s="11" t="s">
        <v>2630</v>
      </c>
      <c r="J3648" s="11" t="s">
        <v>2630</v>
      </c>
      <c r="K3648" s="9" t="s">
        <v>91</v>
      </c>
      <c r="L3648" s="9" t="s">
        <v>17759</v>
      </c>
      <c r="M3648" s="9" t="s">
        <v>17817</v>
      </c>
      <c r="N3648" s="9" t="s">
        <v>17746</v>
      </c>
      <c r="O3648" s="9" t="s">
        <v>4025</v>
      </c>
      <c r="P3648" s="9" t="s">
        <v>17748</v>
      </c>
      <c r="Q3648" s="11" t="s">
        <v>23601</v>
      </c>
      <c r="R3648" s="11" t="s">
        <v>23601</v>
      </c>
      <c r="S3648" s="11" t="s">
        <v>17750</v>
      </c>
    </row>
    <row r="3649" spans="1:19" x14ac:dyDescent="0.2">
      <c r="A3649" s="11" t="s">
        <v>39021</v>
      </c>
      <c r="B3649" s="9" t="s">
        <v>39022</v>
      </c>
      <c r="C3649" s="9" t="s">
        <v>39023</v>
      </c>
      <c r="D3649" s="9" t="s">
        <v>39024</v>
      </c>
      <c r="E3649" s="9" t="s">
        <v>17740</v>
      </c>
      <c r="F3649" s="9" t="s">
        <v>17741</v>
      </c>
      <c r="G3649" s="9" t="s">
        <v>17740</v>
      </c>
      <c r="H3649" s="11" t="s">
        <v>39025</v>
      </c>
      <c r="I3649" s="11" t="s">
        <v>8650</v>
      </c>
      <c r="J3649" s="11" t="s">
        <v>8650</v>
      </c>
      <c r="K3649" s="9" t="s">
        <v>28684</v>
      </c>
      <c r="L3649" s="9" t="s">
        <v>17991</v>
      </c>
      <c r="M3649" s="9" t="s">
        <v>17760</v>
      </c>
      <c r="N3649" s="9" t="s">
        <v>17746</v>
      </c>
      <c r="O3649" s="9" t="s">
        <v>19646</v>
      </c>
      <c r="P3649" s="9" t="s">
        <v>17748</v>
      </c>
      <c r="Q3649" s="11" t="s">
        <v>17784</v>
      </c>
      <c r="R3649" s="11" t="s">
        <v>17784</v>
      </c>
      <c r="S3649" s="11" t="s">
        <v>17750</v>
      </c>
    </row>
    <row r="3650" spans="1:19" x14ac:dyDescent="0.2">
      <c r="A3650" s="11" t="s">
        <v>39026</v>
      </c>
      <c r="B3650" s="9" t="s">
        <v>39027</v>
      </c>
      <c r="C3650" s="9" t="s">
        <v>39028</v>
      </c>
      <c r="D3650" s="9" t="s">
        <v>39029</v>
      </c>
      <c r="E3650" s="9" t="s">
        <v>17740</v>
      </c>
      <c r="F3650" s="9" t="s">
        <v>17741</v>
      </c>
      <c r="G3650" s="9" t="s">
        <v>17740</v>
      </c>
      <c r="H3650" s="11" t="s">
        <v>6787</v>
      </c>
      <c r="I3650" s="11" t="s">
        <v>6786</v>
      </c>
      <c r="J3650" s="11" t="s">
        <v>6786</v>
      </c>
      <c r="K3650" s="9" t="s">
        <v>39030</v>
      </c>
      <c r="L3650" s="9" t="s">
        <v>17759</v>
      </c>
      <c r="M3650" s="9" t="s">
        <v>24505</v>
      </c>
      <c r="N3650" s="9" t="s">
        <v>17746</v>
      </c>
      <c r="O3650" s="9" t="s">
        <v>39031</v>
      </c>
      <c r="P3650" s="9" t="s">
        <v>17748</v>
      </c>
      <c r="Q3650" s="11" t="s">
        <v>17749</v>
      </c>
      <c r="R3650" s="11" t="s">
        <v>17749</v>
      </c>
      <c r="S3650" s="11" t="s">
        <v>17750</v>
      </c>
    </row>
    <row r="3651" spans="1:19" x14ac:dyDescent="0.2">
      <c r="A3651" s="11" t="s">
        <v>39032</v>
      </c>
      <c r="B3651" s="9" t="s">
        <v>39033</v>
      </c>
      <c r="C3651" s="9" t="s">
        <v>39034</v>
      </c>
      <c r="D3651" s="9" t="s">
        <v>39035</v>
      </c>
      <c r="E3651" s="9" t="s">
        <v>17740</v>
      </c>
      <c r="F3651" s="9" t="s">
        <v>39036</v>
      </c>
      <c r="G3651" s="9" t="s">
        <v>17740</v>
      </c>
      <c r="H3651" s="11" t="s">
        <v>39037</v>
      </c>
      <c r="I3651" s="11" t="s">
        <v>39038</v>
      </c>
      <c r="J3651" s="11" t="s">
        <v>39038</v>
      </c>
      <c r="K3651" s="9" t="s">
        <v>39039</v>
      </c>
      <c r="L3651" s="9" t="s">
        <v>17759</v>
      </c>
      <c r="M3651" s="9" t="s">
        <v>17760</v>
      </c>
      <c r="N3651" s="9" t="s">
        <v>17746</v>
      </c>
      <c r="O3651" s="9" t="s">
        <v>39040</v>
      </c>
      <c r="P3651" s="9" t="s">
        <v>17748</v>
      </c>
      <c r="Q3651" s="11" t="s">
        <v>17749</v>
      </c>
      <c r="R3651" s="11" t="s">
        <v>17749</v>
      </c>
      <c r="S3651" s="11" t="s">
        <v>17750</v>
      </c>
    </row>
    <row r="3652" spans="1:19" x14ac:dyDescent="0.2">
      <c r="A3652" s="11" t="s">
        <v>39041</v>
      </c>
      <c r="B3652" s="9" t="s">
        <v>39042</v>
      </c>
      <c r="C3652" s="9" t="s">
        <v>39043</v>
      </c>
      <c r="D3652" s="9" t="s">
        <v>39044</v>
      </c>
      <c r="E3652" s="9" t="s">
        <v>17740</v>
      </c>
      <c r="F3652" s="9" t="s">
        <v>39045</v>
      </c>
      <c r="G3652" s="9" t="s">
        <v>17740</v>
      </c>
      <c r="H3652" s="11" t="s">
        <v>5643</v>
      </c>
      <c r="I3652" s="11" t="s">
        <v>5642</v>
      </c>
      <c r="J3652" s="11" t="s">
        <v>5642</v>
      </c>
      <c r="K3652" s="9" t="s">
        <v>22922</v>
      </c>
      <c r="L3652" s="9" t="s">
        <v>18123</v>
      </c>
      <c r="M3652" s="9" t="s">
        <v>17769</v>
      </c>
      <c r="N3652" s="9" t="s">
        <v>17746</v>
      </c>
      <c r="O3652" s="9" t="s">
        <v>19646</v>
      </c>
      <c r="P3652" s="9" t="s">
        <v>17748</v>
      </c>
      <c r="Q3652" s="11" t="s">
        <v>18147</v>
      </c>
      <c r="R3652" s="11" t="s">
        <v>18147</v>
      </c>
      <c r="S3652" s="11" t="s">
        <v>17750</v>
      </c>
    </row>
    <row r="3653" spans="1:19" x14ac:dyDescent="0.2">
      <c r="A3653" s="11" t="s">
        <v>39046</v>
      </c>
      <c r="B3653" s="9" t="s">
        <v>39047</v>
      </c>
      <c r="C3653" s="9" t="s">
        <v>39048</v>
      </c>
      <c r="D3653" s="9" t="s">
        <v>39049</v>
      </c>
      <c r="E3653" s="9" t="s">
        <v>17740</v>
      </c>
      <c r="F3653" s="9" t="s">
        <v>17741</v>
      </c>
      <c r="G3653" s="9" t="s">
        <v>17740</v>
      </c>
      <c r="H3653" s="11" t="s">
        <v>2759</v>
      </c>
      <c r="I3653" s="11" t="s">
        <v>2758</v>
      </c>
      <c r="J3653" s="11" t="s">
        <v>2758</v>
      </c>
      <c r="K3653" s="9" t="s">
        <v>91</v>
      </c>
      <c r="L3653" s="9" t="s">
        <v>17759</v>
      </c>
      <c r="M3653" s="9" t="s">
        <v>39050</v>
      </c>
      <c r="N3653" s="9" t="s">
        <v>17746</v>
      </c>
      <c r="O3653" s="9" t="s">
        <v>20777</v>
      </c>
      <c r="P3653" s="9" t="s">
        <v>17748</v>
      </c>
      <c r="Q3653" s="11" t="s">
        <v>18341</v>
      </c>
      <c r="R3653" s="11" t="s">
        <v>18341</v>
      </c>
      <c r="S3653" s="11" t="s">
        <v>17750</v>
      </c>
    </row>
    <row r="3654" spans="1:19" x14ac:dyDescent="0.2">
      <c r="A3654" s="11" t="s">
        <v>39051</v>
      </c>
      <c r="B3654" s="9" t="s">
        <v>39052</v>
      </c>
      <c r="C3654" s="9" t="s">
        <v>39053</v>
      </c>
      <c r="D3654" s="9" t="s">
        <v>39054</v>
      </c>
      <c r="E3654" s="9" t="s">
        <v>17748</v>
      </c>
      <c r="F3654" s="9" t="s">
        <v>39055</v>
      </c>
      <c r="G3654" s="9" t="s">
        <v>17740</v>
      </c>
      <c r="H3654" s="11" t="s">
        <v>17741</v>
      </c>
      <c r="I3654" s="11" t="s">
        <v>10197</v>
      </c>
      <c r="J3654" s="11" t="s">
        <v>10197</v>
      </c>
      <c r="K3654" s="9" t="s">
        <v>39056</v>
      </c>
      <c r="L3654" s="9" t="s">
        <v>20446</v>
      </c>
      <c r="M3654" s="9" t="s">
        <v>17760</v>
      </c>
      <c r="N3654" s="9" t="s">
        <v>17746</v>
      </c>
      <c r="O3654" s="9" t="s">
        <v>39057</v>
      </c>
      <c r="P3654" s="9" t="s">
        <v>17748</v>
      </c>
      <c r="Q3654" s="11" t="s">
        <v>17858</v>
      </c>
      <c r="R3654" s="11" t="s">
        <v>17858</v>
      </c>
      <c r="S3654" s="11" t="s">
        <v>17750</v>
      </c>
    </row>
    <row r="3655" spans="1:19" x14ac:dyDescent="0.2">
      <c r="A3655" s="11" t="s">
        <v>39058</v>
      </c>
      <c r="B3655" s="9" t="s">
        <v>39059</v>
      </c>
      <c r="C3655" s="9" t="s">
        <v>39060</v>
      </c>
      <c r="D3655" s="9" t="s">
        <v>39061</v>
      </c>
      <c r="E3655" s="9" t="s">
        <v>17740</v>
      </c>
      <c r="F3655" s="9" t="s">
        <v>39062</v>
      </c>
      <c r="G3655" s="9" t="s">
        <v>17740</v>
      </c>
      <c r="H3655" s="11" t="s">
        <v>17741</v>
      </c>
      <c r="I3655" s="11" t="s">
        <v>39063</v>
      </c>
      <c r="J3655" s="11" t="s">
        <v>39063</v>
      </c>
      <c r="K3655" s="9" t="s">
        <v>21960</v>
      </c>
      <c r="L3655" s="9" t="s">
        <v>17759</v>
      </c>
      <c r="M3655" s="9" t="s">
        <v>18211</v>
      </c>
      <c r="N3655" s="9" t="s">
        <v>17746</v>
      </c>
      <c r="O3655" s="9" t="s">
        <v>20453</v>
      </c>
      <c r="P3655" s="9" t="s">
        <v>17748</v>
      </c>
      <c r="Q3655" s="11" t="s">
        <v>19361</v>
      </c>
      <c r="R3655" s="11" t="s">
        <v>19361</v>
      </c>
      <c r="S3655" s="11" t="s">
        <v>17750</v>
      </c>
    </row>
    <row r="3656" spans="1:19" x14ac:dyDescent="0.2">
      <c r="A3656" s="11" t="s">
        <v>39064</v>
      </c>
      <c r="B3656" s="9" t="s">
        <v>39065</v>
      </c>
      <c r="C3656" s="9" t="s">
        <v>39066</v>
      </c>
      <c r="D3656" s="9" t="s">
        <v>39067</v>
      </c>
      <c r="E3656" s="9" t="s">
        <v>17740</v>
      </c>
      <c r="F3656" s="9" t="s">
        <v>17741</v>
      </c>
      <c r="G3656" s="9" t="s">
        <v>17740</v>
      </c>
      <c r="H3656" s="11" t="s">
        <v>39068</v>
      </c>
      <c r="I3656" s="11" t="s">
        <v>39069</v>
      </c>
      <c r="J3656" s="11" t="s">
        <v>39069</v>
      </c>
      <c r="K3656" s="9" t="s">
        <v>920</v>
      </c>
      <c r="L3656" s="9" t="s">
        <v>18001</v>
      </c>
      <c r="M3656" s="9" t="s">
        <v>18065</v>
      </c>
      <c r="N3656" s="9" t="s">
        <v>17746</v>
      </c>
      <c r="O3656" s="9" t="s">
        <v>18418</v>
      </c>
      <c r="P3656" s="9" t="s">
        <v>17748</v>
      </c>
      <c r="Q3656" s="11" t="s">
        <v>18080</v>
      </c>
      <c r="R3656" s="11" t="s">
        <v>18080</v>
      </c>
      <c r="S3656" s="11" t="s">
        <v>17750</v>
      </c>
    </row>
    <row r="3657" spans="1:19" x14ac:dyDescent="0.2">
      <c r="A3657" s="11" t="s">
        <v>39070</v>
      </c>
      <c r="B3657" s="9" t="s">
        <v>39071</v>
      </c>
      <c r="C3657" s="9" t="s">
        <v>39072</v>
      </c>
      <c r="D3657" s="9" t="s">
        <v>39073</v>
      </c>
      <c r="E3657" s="9" t="s">
        <v>17740</v>
      </c>
      <c r="F3657" s="9" t="s">
        <v>17741</v>
      </c>
      <c r="G3657" s="9" t="s">
        <v>17740</v>
      </c>
      <c r="H3657" s="11" t="s">
        <v>11154</v>
      </c>
      <c r="I3657" s="11" t="s">
        <v>11153</v>
      </c>
      <c r="J3657" s="11" t="s">
        <v>11153</v>
      </c>
      <c r="K3657" s="9" t="s">
        <v>91</v>
      </c>
      <c r="L3657" s="9" t="s">
        <v>18001</v>
      </c>
      <c r="M3657" s="9" t="s">
        <v>23336</v>
      </c>
      <c r="N3657" s="9" t="s">
        <v>17746</v>
      </c>
      <c r="O3657" s="9" t="s">
        <v>39074</v>
      </c>
      <c r="P3657" s="9" t="s">
        <v>17748</v>
      </c>
      <c r="Q3657" s="11" t="s">
        <v>18356</v>
      </c>
      <c r="R3657" s="11" t="s">
        <v>18356</v>
      </c>
      <c r="S3657" s="11" t="s">
        <v>17750</v>
      </c>
    </row>
    <row r="3658" spans="1:19" x14ac:dyDescent="0.2">
      <c r="A3658" s="11" t="s">
        <v>39075</v>
      </c>
      <c r="B3658" s="9" t="s">
        <v>39076</v>
      </c>
      <c r="C3658" s="9" t="s">
        <v>39077</v>
      </c>
      <c r="D3658" s="9" t="s">
        <v>39078</v>
      </c>
      <c r="E3658" s="9" t="s">
        <v>17740</v>
      </c>
      <c r="F3658" s="9" t="s">
        <v>39079</v>
      </c>
      <c r="G3658" s="9" t="s">
        <v>17740</v>
      </c>
      <c r="H3658" s="11" t="s">
        <v>17741</v>
      </c>
      <c r="I3658" s="11" t="s">
        <v>39080</v>
      </c>
      <c r="J3658" s="11" t="s">
        <v>39080</v>
      </c>
      <c r="K3658" s="9" t="s">
        <v>39081</v>
      </c>
      <c r="L3658" s="9" t="s">
        <v>17759</v>
      </c>
      <c r="M3658" s="9" t="s">
        <v>17778</v>
      </c>
      <c r="N3658" s="9" t="s">
        <v>17746</v>
      </c>
      <c r="O3658" s="9" t="s">
        <v>39082</v>
      </c>
      <c r="P3658" s="9" t="s">
        <v>17748</v>
      </c>
      <c r="Q3658" s="11" t="s">
        <v>18678</v>
      </c>
      <c r="R3658" s="11" t="s">
        <v>18678</v>
      </c>
      <c r="S3658" s="11" t="s">
        <v>17750</v>
      </c>
    </row>
    <row r="3659" spans="1:19" x14ac:dyDescent="0.2">
      <c r="A3659" s="11" t="s">
        <v>39083</v>
      </c>
      <c r="B3659" s="9" t="s">
        <v>39084</v>
      </c>
      <c r="C3659" s="9" t="s">
        <v>39085</v>
      </c>
      <c r="D3659" s="9" t="s">
        <v>39086</v>
      </c>
      <c r="E3659" s="9" t="s">
        <v>17740</v>
      </c>
      <c r="F3659" s="9" t="s">
        <v>17741</v>
      </c>
      <c r="G3659" s="9" t="s">
        <v>17740</v>
      </c>
      <c r="H3659" s="11" t="s">
        <v>39087</v>
      </c>
      <c r="I3659" s="11" t="s">
        <v>39088</v>
      </c>
      <c r="J3659" s="11" t="s">
        <v>39088</v>
      </c>
      <c r="K3659" s="9" t="s">
        <v>18520</v>
      </c>
      <c r="L3659" s="9" t="s">
        <v>17759</v>
      </c>
      <c r="M3659" s="9" t="s">
        <v>19701</v>
      </c>
      <c r="N3659" s="9" t="s">
        <v>17746</v>
      </c>
      <c r="O3659" s="9" t="s">
        <v>18563</v>
      </c>
      <c r="P3659" s="9" t="s">
        <v>17748</v>
      </c>
      <c r="Q3659" s="11" t="s">
        <v>17819</v>
      </c>
      <c r="R3659" s="11" t="s">
        <v>17819</v>
      </c>
      <c r="S3659" s="11" t="s">
        <v>17750</v>
      </c>
    </row>
    <row r="3660" spans="1:19" x14ac:dyDescent="0.2">
      <c r="A3660" s="11" t="s">
        <v>39089</v>
      </c>
      <c r="B3660" s="9" t="s">
        <v>39090</v>
      </c>
      <c r="C3660" s="9" t="s">
        <v>39091</v>
      </c>
      <c r="D3660" s="9" t="s">
        <v>39092</v>
      </c>
      <c r="E3660" s="9" t="s">
        <v>17740</v>
      </c>
      <c r="F3660" s="9" t="s">
        <v>39093</v>
      </c>
      <c r="G3660" s="9" t="s">
        <v>17740</v>
      </c>
      <c r="H3660" s="11" t="s">
        <v>39094</v>
      </c>
      <c r="I3660" s="11" t="s">
        <v>39095</v>
      </c>
      <c r="J3660" s="11" t="s">
        <v>39094</v>
      </c>
      <c r="K3660" s="9" t="s">
        <v>21146</v>
      </c>
      <c r="L3660" s="9" t="s">
        <v>17759</v>
      </c>
      <c r="M3660" s="9" t="s">
        <v>17760</v>
      </c>
      <c r="N3660" s="9" t="s">
        <v>17746</v>
      </c>
      <c r="O3660" s="9" t="s">
        <v>39096</v>
      </c>
      <c r="P3660" s="9" t="s">
        <v>17748</v>
      </c>
      <c r="Q3660" s="11" t="s">
        <v>18922</v>
      </c>
      <c r="R3660" s="11" t="s">
        <v>18922</v>
      </c>
      <c r="S3660" s="11" t="s">
        <v>17750</v>
      </c>
    </row>
    <row r="3661" spans="1:19" x14ac:dyDescent="0.2">
      <c r="A3661" s="11" t="s">
        <v>39097</v>
      </c>
      <c r="B3661" s="9" t="s">
        <v>39098</v>
      </c>
      <c r="C3661" s="9" t="s">
        <v>39099</v>
      </c>
      <c r="D3661" s="9" t="s">
        <v>39100</v>
      </c>
      <c r="E3661" s="9" t="s">
        <v>17740</v>
      </c>
      <c r="F3661" s="9" t="s">
        <v>17741</v>
      </c>
      <c r="G3661" s="9" t="s">
        <v>17740</v>
      </c>
      <c r="H3661" s="11" t="s">
        <v>39101</v>
      </c>
      <c r="I3661" s="11" t="s">
        <v>39102</v>
      </c>
      <c r="J3661" s="11" t="s">
        <v>39102</v>
      </c>
      <c r="K3661" s="9" t="s">
        <v>39103</v>
      </c>
      <c r="L3661" s="9" t="s">
        <v>17759</v>
      </c>
      <c r="M3661" s="9" t="s">
        <v>17769</v>
      </c>
      <c r="N3661" s="9" t="s">
        <v>17746</v>
      </c>
      <c r="O3661" s="9" t="s">
        <v>39104</v>
      </c>
      <c r="P3661" s="9" t="s">
        <v>17748</v>
      </c>
      <c r="Q3661" s="11" t="s">
        <v>18364</v>
      </c>
      <c r="R3661" s="11" t="s">
        <v>18364</v>
      </c>
      <c r="S3661" s="11" t="s">
        <v>17750</v>
      </c>
    </row>
    <row r="3662" spans="1:19" x14ac:dyDescent="0.2">
      <c r="A3662" s="11" t="s">
        <v>39105</v>
      </c>
      <c r="B3662" s="9" t="s">
        <v>39106</v>
      </c>
      <c r="C3662" s="9" t="s">
        <v>39107</v>
      </c>
      <c r="D3662" s="9" t="s">
        <v>39108</v>
      </c>
      <c r="E3662" s="9" t="s">
        <v>17740</v>
      </c>
      <c r="F3662" s="9" t="s">
        <v>17741</v>
      </c>
      <c r="G3662" s="9" t="s">
        <v>17740</v>
      </c>
      <c r="H3662" s="11" t="s">
        <v>17741</v>
      </c>
      <c r="I3662" s="11" t="s">
        <v>39109</v>
      </c>
      <c r="J3662" s="11" t="s">
        <v>39109</v>
      </c>
      <c r="K3662" s="9" t="s">
        <v>39110</v>
      </c>
      <c r="L3662" s="9" t="s">
        <v>18959</v>
      </c>
      <c r="M3662" s="9" t="s">
        <v>31934</v>
      </c>
      <c r="N3662" s="9" t="s">
        <v>17746</v>
      </c>
      <c r="O3662" s="9" t="s">
        <v>39111</v>
      </c>
      <c r="P3662" s="9" t="s">
        <v>17748</v>
      </c>
      <c r="Q3662" s="11" t="s">
        <v>17771</v>
      </c>
      <c r="R3662" s="11" t="s">
        <v>17771</v>
      </c>
      <c r="S3662" s="11" t="s">
        <v>17750</v>
      </c>
    </row>
    <row r="3663" spans="1:19" x14ac:dyDescent="0.2">
      <c r="A3663" s="11" t="s">
        <v>39112</v>
      </c>
      <c r="B3663" s="9" t="s">
        <v>39113</v>
      </c>
      <c r="C3663" s="9" t="s">
        <v>39114</v>
      </c>
      <c r="D3663" s="9" t="s">
        <v>39115</v>
      </c>
      <c r="E3663" s="9" t="s">
        <v>17740</v>
      </c>
      <c r="F3663" s="9" t="s">
        <v>39116</v>
      </c>
      <c r="G3663" s="9" t="s">
        <v>17740</v>
      </c>
      <c r="H3663" s="11" t="s">
        <v>39117</v>
      </c>
      <c r="I3663" s="11" t="s">
        <v>39118</v>
      </c>
      <c r="J3663" s="11" t="s">
        <v>39118</v>
      </c>
      <c r="K3663" s="9" t="s">
        <v>39119</v>
      </c>
      <c r="L3663" s="9" t="s">
        <v>18242</v>
      </c>
      <c r="M3663" s="9" t="s">
        <v>17817</v>
      </c>
      <c r="N3663" s="9" t="s">
        <v>17746</v>
      </c>
      <c r="O3663" s="9" t="s">
        <v>18563</v>
      </c>
      <c r="P3663" s="9" t="s">
        <v>17748</v>
      </c>
      <c r="Q3663" s="11" t="s">
        <v>18080</v>
      </c>
      <c r="R3663" s="11" t="s">
        <v>18080</v>
      </c>
      <c r="S3663" s="11" t="s">
        <v>17750</v>
      </c>
    </row>
    <row r="3664" spans="1:19" x14ac:dyDescent="0.2">
      <c r="A3664" s="11" t="s">
        <v>39120</v>
      </c>
      <c r="B3664" s="9" t="s">
        <v>39121</v>
      </c>
      <c r="C3664" s="9" t="s">
        <v>39122</v>
      </c>
      <c r="D3664" s="9" t="s">
        <v>39123</v>
      </c>
      <c r="E3664" s="9" t="s">
        <v>17740</v>
      </c>
      <c r="F3664" s="9" t="s">
        <v>17741</v>
      </c>
      <c r="G3664" s="9" t="s">
        <v>17740</v>
      </c>
      <c r="H3664" s="11" t="s">
        <v>4851</v>
      </c>
      <c r="I3664" s="11" t="s">
        <v>4850</v>
      </c>
      <c r="J3664" s="11" t="s">
        <v>4850</v>
      </c>
      <c r="K3664" s="9" t="s">
        <v>24835</v>
      </c>
      <c r="L3664" s="9" t="s">
        <v>17744</v>
      </c>
      <c r="M3664" s="9" t="s">
        <v>17769</v>
      </c>
      <c r="N3664" s="9" t="s">
        <v>17746</v>
      </c>
      <c r="O3664" s="9" t="s">
        <v>39124</v>
      </c>
      <c r="P3664" s="9" t="s">
        <v>17748</v>
      </c>
      <c r="Q3664" s="11" t="s">
        <v>19335</v>
      </c>
      <c r="R3664" s="11" t="s">
        <v>19335</v>
      </c>
      <c r="S3664" s="11" t="s">
        <v>17750</v>
      </c>
    </row>
    <row r="3665" spans="1:19" x14ac:dyDescent="0.2">
      <c r="A3665" s="11" t="s">
        <v>39125</v>
      </c>
      <c r="B3665" s="9" t="s">
        <v>39126</v>
      </c>
      <c r="C3665" s="9" t="s">
        <v>39127</v>
      </c>
      <c r="D3665" s="9" t="s">
        <v>39128</v>
      </c>
      <c r="E3665" s="9" t="s">
        <v>17740</v>
      </c>
      <c r="F3665" s="9" t="s">
        <v>17741</v>
      </c>
      <c r="G3665" s="9" t="s">
        <v>17740</v>
      </c>
      <c r="H3665" s="11" t="s">
        <v>39129</v>
      </c>
      <c r="I3665" s="11" t="s">
        <v>39130</v>
      </c>
      <c r="J3665" s="11" t="s">
        <v>39130</v>
      </c>
      <c r="K3665" s="9" t="s">
        <v>39131</v>
      </c>
      <c r="L3665" s="9" t="s">
        <v>20598</v>
      </c>
      <c r="M3665" s="9" t="s">
        <v>39132</v>
      </c>
      <c r="N3665" s="9" t="s">
        <v>17746</v>
      </c>
      <c r="O3665" s="9" t="s">
        <v>18563</v>
      </c>
      <c r="P3665" s="9" t="s">
        <v>17748</v>
      </c>
      <c r="Q3665" s="11" t="s">
        <v>17784</v>
      </c>
      <c r="R3665" s="11" t="s">
        <v>17784</v>
      </c>
      <c r="S3665" s="11" t="s">
        <v>17750</v>
      </c>
    </row>
    <row r="3666" spans="1:19" x14ac:dyDescent="0.2">
      <c r="A3666" s="11" t="s">
        <v>39133</v>
      </c>
      <c r="B3666" s="9" t="s">
        <v>39134</v>
      </c>
      <c r="C3666" s="9" t="s">
        <v>39135</v>
      </c>
      <c r="D3666" s="9" t="s">
        <v>39136</v>
      </c>
      <c r="E3666" s="9" t="s">
        <v>17740</v>
      </c>
      <c r="F3666" s="9" t="s">
        <v>17741</v>
      </c>
      <c r="G3666" s="9" t="s">
        <v>17740</v>
      </c>
      <c r="H3666" s="11" t="s">
        <v>7385</v>
      </c>
      <c r="I3666" s="11" t="s">
        <v>7384</v>
      </c>
      <c r="J3666" s="11" t="s">
        <v>7384</v>
      </c>
      <c r="K3666" s="9" t="s">
        <v>23527</v>
      </c>
      <c r="L3666" s="9" t="s">
        <v>17744</v>
      </c>
      <c r="M3666" s="9" t="s">
        <v>18065</v>
      </c>
      <c r="N3666" s="9" t="s">
        <v>17746</v>
      </c>
      <c r="O3666" s="9" t="s">
        <v>1675</v>
      </c>
      <c r="P3666" s="9" t="s">
        <v>17748</v>
      </c>
      <c r="Q3666" s="11" t="s">
        <v>17808</v>
      </c>
      <c r="R3666" s="11" t="s">
        <v>17808</v>
      </c>
      <c r="S3666" s="11" t="s">
        <v>17750</v>
      </c>
    </row>
    <row r="3667" spans="1:19" x14ac:dyDescent="0.2">
      <c r="A3667" s="11" t="s">
        <v>39137</v>
      </c>
      <c r="B3667" s="9" t="s">
        <v>39138</v>
      </c>
      <c r="C3667" s="9" t="s">
        <v>39139</v>
      </c>
      <c r="D3667" s="9" t="s">
        <v>39140</v>
      </c>
      <c r="E3667" s="9" t="s">
        <v>17740</v>
      </c>
      <c r="F3667" s="9" t="s">
        <v>17741</v>
      </c>
      <c r="G3667" s="9" t="s">
        <v>17740</v>
      </c>
      <c r="H3667" s="11" t="s">
        <v>2756</v>
      </c>
      <c r="I3667" s="11" t="s">
        <v>2755</v>
      </c>
      <c r="J3667" s="11" t="s">
        <v>2755</v>
      </c>
      <c r="K3667" s="9" t="s">
        <v>38051</v>
      </c>
      <c r="L3667" s="9" t="s">
        <v>18001</v>
      </c>
      <c r="M3667" s="9" t="s">
        <v>39141</v>
      </c>
      <c r="N3667" s="9" t="s">
        <v>17746</v>
      </c>
      <c r="O3667" s="9" t="s">
        <v>4048</v>
      </c>
      <c r="P3667" s="9" t="s">
        <v>17748</v>
      </c>
      <c r="Q3667" s="11" t="s">
        <v>19222</v>
      </c>
      <c r="R3667" s="11" t="s">
        <v>19222</v>
      </c>
      <c r="S3667" s="11" t="s">
        <v>17750</v>
      </c>
    </row>
    <row r="3668" spans="1:19" x14ac:dyDescent="0.2">
      <c r="A3668" s="11" t="s">
        <v>39142</v>
      </c>
      <c r="B3668" s="9" t="s">
        <v>39143</v>
      </c>
      <c r="C3668" s="9" t="s">
        <v>39144</v>
      </c>
      <c r="D3668" s="9" t="s">
        <v>39145</v>
      </c>
      <c r="E3668" s="9" t="s">
        <v>17740</v>
      </c>
      <c r="F3668" s="9" t="s">
        <v>17741</v>
      </c>
      <c r="G3668" s="9" t="s">
        <v>17740</v>
      </c>
      <c r="H3668" s="11" t="s">
        <v>2634</v>
      </c>
      <c r="I3668" s="11" t="s">
        <v>2633</v>
      </c>
      <c r="J3668" s="11" t="s">
        <v>2633</v>
      </c>
      <c r="K3668" s="9" t="s">
        <v>25410</v>
      </c>
      <c r="L3668" s="9" t="s">
        <v>17759</v>
      </c>
      <c r="M3668" s="9" t="s">
        <v>17817</v>
      </c>
      <c r="N3668" s="9" t="s">
        <v>17746</v>
      </c>
      <c r="O3668" s="9" t="s">
        <v>4048</v>
      </c>
      <c r="P3668" s="9" t="s">
        <v>17748</v>
      </c>
      <c r="Q3668" s="11" t="s">
        <v>18813</v>
      </c>
      <c r="R3668" s="11" t="s">
        <v>18813</v>
      </c>
      <c r="S3668" s="11" t="s">
        <v>17750</v>
      </c>
    </row>
    <row r="3669" spans="1:19" x14ac:dyDescent="0.2">
      <c r="A3669" s="11" t="s">
        <v>39146</v>
      </c>
      <c r="B3669" s="9" t="s">
        <v>39147</v>
      </c>
      <c r="C3669" s="9" t="s">
        <v>39148</v>
      </c>
      <c r="D3669" s="9" t="s">
        <v>39149</v>
      </c>
      <c r="E3669" s="9" t="s">
        <v>17748</v>
      </c>
      <c r="F3669" s="9" t="s">
        <v>17741</v>
      </c>
      <c r="G3669" s="9" t="s">
        <v>17740</v>
      </c>
      <c r="H3669" s="11" t="s">
        <v>39150</v>
      </c>
      <c r="I3669" s="11" t="s">
        <v>17741</v>
      </c>
      <c r="J3669" s="11" t="s">
        <v>39150</v>
      </c>
      <c r="K3669" s="9" t="s">
        <v>39151</v>
      </c>
      <c r="L3669" s="9" t="s">
        <v>20359</v>
      </c>
      <c r="M3669" s="9" t="s">
        <v>30990</v>
      </c>
      <c r="N3669" s="9" t="s">
        <v>17746</v>
      </c>
      <c r="O3669" s="9" t="s">
        <v>21558</v>
      </c>
      <c r="P3669" s="9" t="s">
        <v>17748</v>
      </c>
      <c r="Q3669" s="11" t="s">
        <v>17900</v>
      </c>
      <c r="R3669" s="11" t="s">
        <v>17900</v>
      </c>
      <c r="S3669" s="11" t="s">
        <v>17750</v>
      </c>
    </row>
    <row r="3670" spans="1:19" x14ac:dyDescent="0.2">
      <c r="A3670" s="11" t="s">
        <v>39152</v>
      </c>
      <c r="B3670" s="9" t="s">
        <v>39153</v>
      </c>
      <c r="C3670" s="9" t="s">
        <v>39154</v>
      </c>
      <c r="D3670" s="9" t="s">
        <v>39155</v>
      </c>
      <c r="E3670" s="9" t="s">
        <v>17740</v>
      </c>
      <c r="F3670" s="9" t="s">
        <v>17741</v>
      </c>
      <c r="G3670" s="9" t="s">
        <v>17740</v>
      </c>
      <c r="H3670" s="11" t="s">
        <v>39156</v>
      </c>
      <c r="I3670" s="11" t="s">
        <v>17741</v>
      </c>
      <c r="J3670" s="11" t="s">
        <v>39156</v>
      </c>
      <c r="K3670" s="9" t="s">
        <v>39157</v>
      </c>
      <c r="L3670" s="9" t="s">
        <v>17759</v>
      </c>
      <c r="M3670" s="9" t="s">
        <v>17817</v>
      </c>
      <c r="N3670" s="9" t="s">
        <v>17746</v>
      </c>
      <c r="O3670" s="9" t="s">
        <v>3255</v>
      </c>
      <c r="P3670" s="9" t="s">
        <v>17748</v>
      </c>
      <c r="Q3670" s="11" t="s">
        <v>18922</v>
      </c>
      <c r="R3670" s="11" t="s">
        <v>18922</v>
      </c>
      <c r="S3670" s="11" t="s">
        <v>17750</v>
      </c>
    </row>
    <row r="3671" spans="1:19" x14ac:dyDescent="0.2">
      <c r="A3671" s="11" t="s">
        <v>39158</v>
      </c>
      <c r="B3671" s="9" t="s">
        <v>39159</v>
      </c>
      <c r="C3671" s="9" t="s">
        <v>39160</v>
      </c>
      <c r="D3671" s="9" t="s">
        <v>39161</v>
      </c>
      <c r="E3671" s="9" t="s">
        <v>17748</v>
      </c>
      <c r="F3671" s="9" t="s">
        <v>39162</v>
      </c>
      <c r="G3671" s="9" t="s">
        <v>17740</v>
      </c>
      <c r="H3671" s="11" t="s">
        <v>39163</v>
      </c>
      <c r="I3671" s="11" t="s">
        <v>39164</v>
      </c>
      <c r="J3671" s="11" t="s">
        <v>39164</v>
      </c>
      <c r="K3671" s="9" t="s">
        <v>291</v>
      </c>
      <c r="L3671" s="9" t="s">
        <v>17744</v>
      </c>
      <c r="M3671" s="9" t="s">
        <v>17760</v>
      </c>
      <c r="N3671" s="9" t="s">
        <v>17746</v>
      </c>
      <c r="O3671" s="9" t="s">
        <v>39165</v>
      </c>
      <c r="P3671" s="9" t="s">
        <v>17748</v>
      </c>
      <c r="Q3671" s="11" t="s">
        <v>17984</v>
      </c>
      <c r="R3671" s="11" t="s">
        <v>17984</v>
      </c>
      <c r="S3671" s="11" t="s">
        <v>17750</v>
      </c>
    </row>
    <row r="3672" spans="1:19" x14ac:dyDescent="0.2">
      <c r="A3672" s="11" t="s">
        <v>39166</v>
      </c>
      <c r="B3672" s="9" t="s">
        <v>39167</v>
      </c>
      <c r="C3672" s="9" t="s">
        <v>39168</v>
      </c>
      <c r="D3672" s="9" t="s">
        <v>39169</v>
      </c>
      <c r="E3672" s="9" t="s">
        <v>17740</v>
      </c>
      <c r="F3672" s="9" t="s">
        <v>17741</v>
      </c>
      <c r="G3672" s="9" t="s">
        <v>17740</v>
      </c>
      <c r="H3672" s="11" t="s">
        <v>39170</v>
      </c>
      <c r="I3672" s="11" t="s">
        <v>17741</v>
      </c>
      <c r="J3672" s="11" t="s">
        <v>39170</v>
      </c>
      <c r="K3672" s="9" t="s">
        <v>39171</v>
      </c>
      <c r="L3672" s="9" t="s">
        <v>17759</v>
      </c>
      <c r="M3672" s="9" t="s">
        <v>17817</v>
      </c>
      <c r="N3672" s="9" t="s">
        <v>17746</v>
      </c>
      <c r="O3672" s="9" t="s">
        <v>18833</v>
      </c>
      <c r="P3672" s="9" t="s">
        <v>17748</v>
      </c>
      <c r="Q3672" s="11" t="s">
        <v>17762</v>
      </c>
      <c r="R3672" s="11" t="s">
        <v>17762</v>
      </c>
      <c r="S3672" s="11" t="s">
        <v>17750</v>
      </c>
    </row>
    <row r="3673" spans="1:19" x14ac:dyDescent="0.2">
      <c r="A3673" s="11" t="s">
        <v>39172</v>
      </c>
      <c r="B3673" s="9" t="s">
        <v>39173</v>
      </c>
      <c r="C3673" s="9" t="s">
        <v>39174</v>
      </c>
      <c r="D3673" s="9" t="s">
        <v>39175</v>
      </c>
      <c r="E3673" s="9" t="s">
        <v>17740</v>
      </c>
      <c r="F3673" s="9" t="s">
        <v>17741</v>
      </c>
      <c r="G3673" s="9" t="s">
        <v>17740</v>
      </c>
      <c r="H3673" s="11" t="s">
        <v>4508</v>
      </c>
      <c r="I3673" s="11" t="s">
        <v>4507</v>
      </c>
      <c r="J3673" s="11" t="s">
        <v>4507</v>
      </c>
      <c r="K3673" s="9" t="s">
        <v>18951</v>
      </c>
      <c r="L3673" s="9" t="s">
        <v>17759</v>
      </c>
      <c r="M3673" s="9" t="s">
        <v>17760</v>
      </c>
      <c r="N3673" s="9" t="s">
        <v>17746</v>
      </c>
      <c r="O3673" s="9" t="s">
        <v>18418</v>
      </c>
      <c r="P3673" s="9" t="s">
        <v>17748</v>
      </c>
      <c r="Q3673" s="11" t="s">
        <v>18364</v>
      </c>
      <c r="R3673" s="11" t="s">
        <v>18364</v>
      </c>
      <c r="S3673" s="11" t="s">
        <v>17750</v>
      </c>
    </row>
    <row r="3674" spans="1:19" x14ac:dyDescent="0.2">
      <c r="A3674" s="11" t="s">
        <v>39176</v>
      </c>
      <c r="B3674" s="9" t="s">
        <v>39177</v>
      </c>
      <c r="C3674" s="9" t="s">
        <v>39178</v>
      </c>
      <c r="D3674" s="9" t="s">
        <v>39179</v>
      </c>
      <c r="E3674" s="9" t="s">
        <v>17740</v>
      </c>
      <c r="F3674" s="9" t="s">
        <v>17741</v>
      </c>
      <c r="G3674" s="9" t="s">
        <v>17740</v>
      </c>
      <c r="H3674" s="11" t="s">
        <v>17741</v>
      </c>
      <c r="I3674" s="11" t="s">
        <v>9925</v>
      </c>
      <c r="J3674" s="11" t="s">
        <v>9925</v>
      </c>
      <c r="K3674" s="9" t="s">
        <v>39180</v>
      </c>
      <c r="L3674" s="9" t="s">
        <v>17744</v>
      </c>
      <c r="M3674" s="9" t="s">
        <v>17778</v>
      </c>
      <c r="N3674" s="9" t="s">
        <v>17746</v>
      </c>
      <c r="O3674" s="9" t="s">
        <v>20453</v>
      </c>
      <c r="P3674" s="9" t="s">
        <v>17748</v>
      </c>
      <c r="Q3674" s="11" t="s">
        <v>17858</v>
      </c>
      <c r="R3674" s="11" t="s">
        <v>17858</v>
      </c>
      <c r="S3674" s="11" t="s">
        <v>17750</v>
      </c>
    </row>
    <row r="3675" spans="1:19" x14ac:dyDescent="0.2">
      <c r="A3675" s="11" t="s">
        <v>39181</v>
      </c>
      <c r="B3675" s="9" t="s">
        <v>39182</v>
      </c>
      <c r="C3675" s="9" t="s">
        <v>39183</v>
      </c>
      <c r="D3675" s="9" t="s">
        <v>39184</v>
      </c>
      <c r="E3675" s="9" t="s">
        <v>17740</v>
      </c>
      <c r="F3675" s="9" t="s">
        <v>39185</v>
      </c>
      <c r="G3675" s="9" t="s">
        <v>17740</v>
      </c>
      <c r="H3675" s="11" t="s">
        <v>39186</v>
      </c>
      <c r="I3675" s="11" t="s">
        <v>39187</v>
      </c>
      <c r="J3675" s="11" t="s">
        <v>39187</v>
      </c>
      <c r="K3675" s="9" t="s">
        <v>39188</v>
      </c>
      <c r="L3675" s="9" t="s">
        <v>17759</v>
      </c>
      <c r="M3675" s="9" t="s">
        <v>17760</v>
      </c>
      <c r="N3675" s="9" t="s">
        <v>17746</v>
      </c>
      <c r="O3675" s="9" t="s">
        <v>18563</v>
      </c>
      <c r="P3675" s="9" t="s">
        <v>17748</v>
      </c>
      <c r="Q3675" s="11" t="s">
        <v>18282</v>
      </c>
      <c r="R3675" s="11" t="s">
        <v>18282</v>
      </c>
      <c r="S3675" s="11" t="s">
        <v>17750</v>
      </c>
    </row>
    <row r="3676" spans="1:19" x14ac:dyDescent="0.2">
      <c r="A3676" s="11" t="s">
        <v>39189</v>
      </c>
      <c r="B3676" s="9" t="s">
        <v>39190</v>
      </c>
      <c r="C3676" s="9" t="s">
        <v>39191</v>
      </c>
      <c r="D3676" s="9" t="s">
        <v>39192</v>
      </c>
      <c r="E3676" s="9" t="s">
        <v>17740</v>
      </c>
      <c r="F3676" s="9" t="s">
        <v>17741</v>
      </c>
      <c r="G3676" s="9" t="s">
        <v>17740</v>
      </c>
      <c r="H3676" s="11" t="s">
        <v>39193</v>
      </c>
      <c r="I3676" s="11" t="s">
        <v>39194</v>
      </c>
      <c r="J3676" s="11" t="s">
        <v>39194</v>
      </c>
      <c r="K3676" s="9" t="s">
        <v>291</v>
      </c>
      <c r="L3676" s="9" t="s">
        <v>17744</v>
      </c>
      <c r="M3676" s="9" t="s">
        <v>17760</v>
      </c>
      <c r="N3676" s="9" t="s">
        <v>17746</v>
      </c>
      <c r="O3676" s="9" t="s">
        <v>39195</v>
      </c>
      <c r="P3676" s="9" t="s">
        <v>17748</v>
      </c>
      <c r="Q3676" s="11" t="s">
        <v>18678</v>
      </c>
      <c r="R3676" s="11" t="s">
        <v>18678</v>
      </c>
      <c r="S3676" s="11" t="s">
        <v>17750</v>
      </c>
    </row>
    <row r="3677" spans="1:19" x14ac:dyDescent="0.2">
      <c r="A3677" s="11" t="s">
        <v>39196</v>
      </c>
      <c r="B3677" s="9" t="s">
        <v>39197</v>
      </c>
      <c r="C3677" s="9" t="s">
        <v>39198</v>
      </c>
      <c r="D3677" s="9" t="s">
        <v>39199</v>
      </c>
      <c r="E3677" s="9" t="s">
        <v>17748</v>
      </c>
      <c r="F3677" s="9" t="s">
        <v>39200</v>
      </c>
      <c r="G3677" s="9" t="s">
        <v>17740</v>
      </c>
      <c r="H3677" s="11" t="s">
        <v>9565</v>
      </c>
      <c r="I3677" s="11" t="s">
        <v>9564</v>
      </c>
      <c r="J3677" s="11" t="s">
        <v>9564</v>
      </c>
      <c r="K3677" s="9" t="s">
        <v>19180</v>
      </c>
      <c r="L3677" s="9" t="s">
        <v>17759</v>
      </c>
      <c r="M3677" s="9" t="s">
        <v>18289</v>
      </c>
      <c r="N3677" s="9" t="s">
        <v>17746</v>
      </c>
      <c r="O3677" s="9" t="s">
        <v>39201</v>
      </c>
      <c r="P3677" s="9" t="s">
        <v>17748</v>
      </c>
      <c r="Q3677" s="11" t="s">
        <v>17994</v>
      </c>
      <c r="R3677" s="11" t="s">
        <v>17994</v>
      </c>
      <c r="S3677" s="11" t="s">
        <v>17750</v>
      </c>
    </row>
    <row r="3678" spans="1:19" x14ac:dyDescent="0.2">
      <c r="A3678" s="11" t="s">
        <v>39202</v>
      </c>
      <c r="B3678" s="9" t="s">
        <v>39203</v>
      </c>
      <c r="C3678" s="9" t="s">
        <v>39204</v>
      </c>
      <c r="D3678" s="9" t="s">
        <v>39205</v>
      </c>
      <c r="E3678" s="9" t="s">
        <v>17740</v>
      </c>
      <c r="F3678" s="9" t="s">
        <v>17741</v>
      </c>
      <c r="G3678" s="9" t="s">
        <v>17740</v>
      </c>
      <c r="H3678" s="11" t="s">
        <v>17741</v>
      </c>
      <c r="I3678" s="11" t="s">
        <v>39206</v>
      </c>
      <c r="J3678" s="11" t="s">
        <v>39206</v>
      </c>
      <c r="K3678" s="9" t="s">
        <v>23568</v>
      </c>
      <c r="L3678" s="9" t="s">
        <v>17744</v>
      </c>
      <c r="M3678" s="9" t="s">
        <v>20295</v>
      </c>
      <c r="N3678" s="9" t="s">
        <v>17746</v>
      </c>
      <c r="O3678" s="9" t="s">
        <v>17800</v>
      </c>
      <c r="P3678" s="9" t="s">
        <v>17748</v>
      </c>
      <c r="Q3678" s="11" t="s">
        <v>18147</v>
      </c>
      <c r="R3678" s="11" t="s">
        <v>18147</v>
      </c>
      <c r="S3678" s="11" t="s">
        <v>17750</v>
      </c>
    </row>
    <row r="3679" spans="1:19" x14ac:dyDescent="0.2">
      <c r="A3679" s="11" t="s">
        <v>39207</v>
      </c>
      <c r="B3679" s="9" t="s">
        <v>39208</v>
      </c>
      <c r="C3679" s="9" t="s">
        <v>39209</v>
      </c>
      <c r="D3679" s="9" t="s">
        <v>39210</v>
      </c>
      <c r="E3679" s="9" t="s">
        <v>17748</v>
      </c>
      <c r="F3679" s="9" t="s">
        <v>39211</v>
      </c>
      <c r="G3679" s="9" t="s">
        <v>17740</v>
      </c>
      <c r="H3679" s="11" t="s">
        <v>39212</v>
      </c>
      <c r="I3679" s="11" t="s">
        <v>39213</v>
      </c>
      <c r="J3679" s="11" t="s">
        <v>39213</v>
      </c>
      <c r="K3679" s="9" t="s">
        <v>26729</v>
      </c>
      <c r="L3679" s="9" t="s">
        <v>17759</v>
      </c>
      <c r="M3679" s="9" t="s">
        <v>17769</v>
      </c>
      <c r="N3679" s="9" t="s">
        <v>17746</v>
      </c>
      <c r="O3679" s="9" t="s">
        <v>17800</v>
      </c>
      <c r="P3679" s="9" t="s">
        <v>17748</v>
      </c>
      <c r="Q3679" s="11" t="s">
        <v>17808</v>
      </c>
      <c r="R3679" s="11" t="s">
        <v>17808</v>
      </c>
      <c r="S3679" s="11" t="s">
        <v>17750</v>
      </c>
    </row>
    <row r="3680" spans="1:19" x14ac:dyDescent="0.2">
      <c r="A3680" s="11" t="s">
        <v>39214</v>
      </c>
      <c r="B3680" s="9" t="s">
        <v>39215</v>
      </c>
      <c r="C3680" s="9" t="s">
        <v>39216</v>
      </c>
      <c r="D3680" s="9" t="s">
        <v>39217</v>
      </c>
      <c r="E3680" s="9" t="s">
        <v>17740</v>
      </c>
      <c r="F3680" s="9" t="s">
        <v>17741</v>
      </c>
      <c r="G3680" s="9" t="s">
        <v>17740</v>
      </c>
      <c r="H3680" s="11" t="s">
        <v>39218</v>
      </c>
      <c r="I3680" s="11" t="s">
        <v>39219</v>
      </c>
      <c r="J3680" s="11" t="s">
        <v>39219</v>
      </c>
      <c r="K3680" s="9" t="s">
        <v>920</v>
      </c>
      <c r="L3680" s="9" t="s">
        <v>18001</v>
      </c>
      <c r="M3680" s="9" t="s">
        <v>19768</v>
      </c>
      <c r="N3680" s="9" t="s">
        <v>17746</v>
      </c>
      <c r="O3680" s="9" t="s">
        <v>3543</v>
      </c>
      <c r="P3680" s="9" t="s">
        <v>17748</v>
      </c>
      <c r="Q3680" s="11" t="s">
        <v>17819</v>
      </c>
      <c r="R3680" s="11" t="s">
        <v>17819</v>
      </c>
      <c r="S3680" s="11" t="s">
        <v>17750</v>
      </c>
    </row>
    <row r="3681" spans="1:19" x14ac:dyDescent="0.2">
      <c r="A3681" s="11" t="s">
        <v>39220</v>
      </c>
      <c r="B3681" s="9" t="s">
        <v>39221</v>
      </c>
      <c r="C3681" s="9" t="s">
        <v>39222</v>
      </c>
      <c r="D3681" s="9" t="s">
        <v>39223</v>
      </c>
      <c r="E3681" s="9" t="s">
        <v>17740</v>
      </c>
      <c r="F3681" s="9" t="s">
        <v>17741</v>
      </c>
      <c r="G3681" s="9" t="s">
        <v>17740</v>
      </c>
      <c r="H3681" s="11" t="s">
        <v>39224</v>
      </c>
      <c r="I3681" s="11" t="s">
        <v>39225</v>
      </c>
      <c r="J3681" s="11" t="s">
        <v>39225</v>
      </c>
      <c r="K3681" s="9" t="s">
        <v>18832</v>
      </c>
      <c r="L3681" s="9" t="s">
        <v>17759</v>
      </c>
      <c r="M3681" s="9" t="s">
        <v>34307</v>
      </c>
      <c r="N3681" s="9" t="s">
        <v>17746</v>
      </c>
      <c r="O3681" s="9" t="s">
        <v>39226</v>
      </c>
      <c r="P3681" s="9" t="s">
        <v>17748</v>
      </c>
      <c r="Q3681" s="11" t="s">
        <v>19082</v>
      </c>
      <c r="R3681" s="11" t="s">
        <v>19082</v>
      </c>
      <c r="S3681" s="11" t="s">
        <v>17750</v>
      </c>
    </row>
    <row r="3682" spans="1:19" x14ac:dyDescent="0.2">
      <c r="A3682" s="11" t="s">
        <v>39227</v>
      </c>
      <c r="B3682" s="9" t="s">
        <v>39228</v>
      </c>
      <c r="C3682" s="9" t="s">
        <v>39229</v>
      </c>
      <c r="D3682" s="9" t="s">
        <v>39230</v>
      </c>
      <c r="E3682" s="9" t="s">
        <v>17748</v>
      </c>
      <c r="F3682" s="9" t="s">
        <v>39231</v>
      </c>
      <c r="G3682" s="9" t="s">
        <v>17740</v>
      </c>
      <c r="H3682" s="11" t="s">
        <v>12352</v>
      </c>
      <c r="I3682" s="11" t="s">
        <v>12351</v>
      </c>
      <c r="J3682" s="11" t="s">
        <v>12351</v>
      </c>
      <c r="K3682" s="9" t="s">
        <v>12353</v>
      </c>
      <c r="L3682" s="9" t="s">
        <v>17958</v>
      </c>
      <c r="M3682" s="9" t="s">
        <v>17817</v>
      </c>
      <c r="N3682" s="9" t="s">
        <v>17746</v>
      </c>
      <c r="O3682" s="9" t="s">
        <v>18833</v>
      </c>
      <c r="P3682" s="9" t="s">
        <v>17748</v>
      </c>
      <c r="Q3682" s="11" t="s">
        <v>17984</v>
      </c>
      <c r="R3682" s="11" t="s">
        <v>17984</v>
      </c>
      <c r="S3682" s="11" t="s">
        <v>17750</v>
      </c>
    </row>
    <row r="3683" spans="1:19" x14ac:dyDescent="0.2">
      <c r="A3683" s="11" t="s">
        <v>39232</v>
      </c>
      <c r="B3683" s="9" t="s">
        <v>39233</v>
      </c>
      <c r="C3683" s="9" t="s">
        <v>39234</v>
      </c>
      <c r="D3683" s="9" t="s">
        <v>39235</v>
      </c>
      <c r="E3683" s="9" t="s">
        <v>17740</v>
      </c>
      <c r="F3683" s="9" t="s">
        <v>39236</v>
      </c>
      <c r="G3683" s="9" t="s">
        <v>17740</v>
      </c>
      <c r="H3683" s="11" t="s">
        <v>17741</v>
      </c>
      <c r="I3683" s="11" t="s">
        <v>39237</v>
      </c>
      <c r="J3683" s="11" t="s">
        <v>39237</v>
      </c>
      <c r="K3683" s="9" t="s">
        <v>39238</v>
      </c>
      <c r="L3683" s="9" t="s">
        <v>17759</v>
      </c>
      <c r="M3683" s="9" t="s">
        <v>17760</v>
      </c>
      <c r="N3683" s="9" t="s">
        <v>17746</v>
      </c>
      <c r="O3683" s="9" t="s">
        <v>18563</v>
      </c>
      <c r="P3683" s="9" t="s">
        <v>17748</v>
      </c>
      <c r="Q3683" s="11" t="s">
        <v>17819</v>
      </c>
      <c r="R3683" s="11" t="s">
        <v>17819</v>
      </c>
      <c r="S3683" s="11" t="s">
        <v>17750</v>
      </c>
    </row>
    <row r="3684" spans="1:19" x14ac:dyDescent="0.2">
      <c r="A3684" s="11" t="s">
        <v>39239</v>
      </c>
      <c r="B3684" s="9" t="s">
        <v>39240</v>
      </c>
      <c r="C3684" s="9" t="s">
        <v>39241</v>
      </c>
      <c r="D3684" s="9" t="s">
        <v>39242</v>
      </c>
      <c r="E3684" s="9" t="s">
        <v>17748</v>
      </c>
      <c r="F3684" s="9" t="s">
        <v>39243</v>
      </c>
      <c r="G3684" s="9" t="s">
        <v>17740</v>
      </c>
      <c r="H3684" s="11" t="s">
        <v>17741</v>
      </c>
      <c r="I3684" s="11" t="s">
        <v>17741</v>
      </c>
      <c r="J3684" s="11" t="s">
        <v>17741</v>
      </c>
      <c r="K3684" s="9" t="s">
        <v>39244</v>
      </c>
      <c r="L3684" s="9" t="s">
        <v>17759</v>
      </c>
      <c r="M3684" s="9" t="s">
        <v>17817</v>
      </c>
      <c r="N3684" s="9" t="s">
        <v>17746</v>
      </c>
      <c r="O3684" s="9" t="s">
        <v>19147</v>
      </c>
      <c r="P3684" s="9" t="s">
        <v>17748</v>
      </c>
      <c r="Q3684" s="11" t="s">
        <v>17825</v>
      </c>
      <c r="R3684" s="11" t="s">
        <v>17825</v>
      </c>
      <c r="S3684" s="11" t="s">
        <v>17750</v>
      </c>
    </row>
    <row r="3685" spans="1:19" x14ac:dyDescent="0.2">
      <c r="A3685" s="11" t="s">
        <v>39245</v>
      </c>
      <c r="B3685" s="9" t="s">
        <v>39246</v>
      </c>
      <c r="C3685" s="9" t="s">
        <v>39247</v>
      </c>
      <c r="D3685" s="9" t="s">
        <v>39248</v>
      </c>
      <c r="E3685" s="9" t="s">
        <v>17748</v>
      </c>
      <c r="F3685" s="9" t="s">
        <v>39249</v>
      </c>
      <c r="G3685" s="9" t="s">
        <v>17740</v>
      </c>
      <c r="H3685" s="11" t="s">
        <v>39250</v>
      </c>
      <c r="I3685" s="11" t="s">
        <v>39251</v>
      </c>
      <c r="J3685" s="11" t="s">
        <v>39251</v>
      </c>
      <c r="K3685" s="9" t="s">
        <v>39252</v>
      </c>
      <c r="L3685" s="9" t="s">
        <v>17759</v>
      </c>
      <c r="M3685" s="9" t="s">
        <v>18109</v>
      </c>
      <c r="N3685" s="9" t="s">
        <v>17746</v>
      </c>
      <c r="O3685" s="9" t="s">
        <v>18855</v>
      </c>
      <c r="P3685" s="9" t="s">
        <v>17748</v>
      </c>
      <c r="Q3685" s="11" t="s">
        <v>19361</v>
      </c>
      <c r="R3685" s="11" t="s">
        <v>19361</v>
      </c>
      <c r="S3685" s="11" t="s">
        <v>17750</v>
      </c>
    </row>
    <row r="3686" spans="1:19" x14ac:dyDescent="0.2">
      <c r="A3686" s="11" t="s">
        <v>39253</v>
      </c>
      <c r="B3686" s="9" t="s">
        <v>39254</v>
      </c>
      <c r="C3686" s="9" t="s">
        <v>39255</v>
      </c>
      <c r="D3686" s="9" t="s">
        <v>39256</v>
      </c>
      <c r="E3686" s="9" t="s">
        <v>17748</v>
      </c>
      <c r="F3686" s="9" t="s">
        <v>39249</v>
      </c>
      <c r="G3686" s="9" t="s">
        <v>17740</v>
      </c>
      <c r="H3686" s="11" t="s">
        <v>39257</v>
      </c>
      <c r="I3686" s="11" t="s">
        <v>39258</v>
      </c>
      <c r="J3686" s="11" t="s">
        <v>39258</v>
      </c>
      <c r="K3686" s="9" t="s">
        <v>39252</v>
      </c>
      <c r="L3686" s="9" t="s">
        <v>17759</v>
      </c>
      <c r="M3686" s="9" t="s">
        <v>17769</v>
      </c>
      <c r="N3686" s="9" t="s">
        <v>17746</v>
      </c>
      <c r="O3686" s="9" t="s">
        <v>39259</v>
      </c>
      <c r="P3686" s="9" t="s">
        <v>17748</v>
      </c>
      <c r="Q3686" s="11" t="s">
        <v>19361</v>
      </c>
      <c r="R3686" s="11" t="s">
        <v>19361</v>
      </c>
      <c r="S3686" s="11" t="s">
        <v>17750</v>
      </c>
    </row>
    <row r="3687" spans="1:19" x14ac:dyDescent="0.2">
      <c r="A3687" s="11" t="s">
        <v>39260</v>
      </c>
      <c r="B3687" s="9" t="s">
        <v>39261</v>
      </c>
      <c r="C3687" s="9" t="s">
        <v>39262</v>
      </c>
      <c r="D3687" s="9" t="s">
        <v>39263</v>
      </c>
      <c r="E3687" s="9" t="s">
        <v>17740</v>
      </c>
      <c r="F3687" s="9" t="s">
        <v>17741</v>
      </c>
      <c r="G3687" s="9" t="s">
        <v>17740</v>
      </c>
      <c r="H3687" s="11" t="s">
        <v>17741</v>
      </c>
      <c r="I3687" s="11" t="s">
        <v>2659</v>
      </c>
      <c r="J3687" s="11" t="s">
        <v>2659</v>
      </c>
      <c r="K3687" s="9" t="s">
        <v>19447</v>
      </c>
      <c r="L3687" s="9" t="s">
        <v>17759</v>
      </c>
      <c r="M3687" s="9" t="s">
        <v>17769</v>
      </c>
      <c r="N3687" s="9" t="s">
        <v>17746</v>
      </c>
      <c r="O3687" s="9" t="s">
        <v>18543</v>
      </c>
      <c r="P3687" s="9" t="s">
        <v>17748</v>
      </c>
      <c r="Q3687" s="11" t="s">
        <v>18600</v>
      </c>
      <c r="R3687" s="11" t="s">
        <v>18600</v>
      </c>
      <c r="S3687" s="11" t="s">
        <v>17750</v>
      </c>
    </row>
    <row r="3688" spans="1:19" x14ac:dyDescent="0.2">
      <c r="A3688" s="11" t="s">
        <v>39264</v>
      </c>
      <c r="B3688" s="9" t="s">
        <v>39265</v>
      </c>
      <c r="C3688" s="9" t="s">
        <v>39266</v>
      </c>
      <c r="D3688" s="9" t="s">
        <v>39267</v>
      </c>
      <c r="E3688" s="9" t="s">
        <v>17740</v>
      </c>
      <c r="F3688" s="9" t="s">
        <v>39268</v>
      </c>
      <c r="G3688" s="9" t="s">
        <v>17740</v>
      </c>
      <c r="H3688" s="11" t="s">
        <v>17741</v>
      </c>
      <c r="I3688" s="11" t="s">
        <v>2670</v>
      </c>
      <c r="J3688" s="11" t="s">
        <v>2670</v>
      </c>
      <c r="K3688" s="9" t="s">
        <v>2671</v>
      </c>
      <c r="L3688" s="9" t="s">
        <v>34138</v>
      </c>
      <c r="M3688" s="9" t="s">
        <v>17817</v>
      </c>
      <c r="N3688" s="9" t="s">
        <v>17746</v>
      </c>
      <c r="O3688" s="9" t="s">
        <v>17993</v>
      </c>
      <c r="P3688" s="9" t="s">
        <v>17748</v>
      </c>
      <c r="Q3688" s="11" t="s">
        <v>17771</v>
      </c>
      <c r="R3688" s="11" t="s">
        <v>17771</v>
      </c>
      <c r="S3688" s="11" t="s">
        <v>17750</v>
      </c>
    </row>
    <row r="3689" spans="1:19" x14ac:dyDescent="0.2">
      <c r="A3689" s="11" t="s">
        <v>39269</v>
      </c>
      <c r="B3689" s="9" t="s">
        <v>39270</v>
      </c>
      <c r="C3689" s="9" t="s">
        <v>39271</v>
      </c>
      <c r="D3689" s="9" t="s">
        <v>39272</v>
      </c>
      <c r="E3689" s="9" t="s">
        <v>17740</v>
      </c>
      <c r="F3689" s="9" t="s">
        <v>17741</v>
      </c>
      <c r="G3689" s="9" t="s">
        <v>17740</v>
      </c>
      <c r="H3689" s="11" t="s">
        <v>39273</v>
      </c>
      <c r="I3689" s="11" t="s">
        <v>39274</v>
      </c>
      <c r="J3689" s="11" t="s">
        <v>39274</v>
      </c>
      <c r="K3689" s="9" t="s">
        <v>30979</v>
      </c>
      <c r="L3689" s="9" t="s">
        <v>17759</v>
      </c>
      <c r="M3689" s="9" t="s">
        <v>17760</v>
      </c>
      <c r="N3689" s="9" t="s">
        <v>17746</v>
      </c>
      <c r="O3689" s="9" t="s">
        <v>18035</v>
      </c>
      <c r="P3689" s="9" t="s">
        <v>17748</v>
      </c>
      <c r="Q3689" s="11" t="s">
        <v>18272</v>
      </c>
      <c r="R3689" s="11" t="s">
        <v>18272</v>
      </c>
      <c r="S3689" s="11" t="s">
        <v>17750</v>
      </c>
    </row>
    <row r="3690" spans="1:19" x14ac:dyDescent="0.2">
      <c r="A3690" s="11" t="s">
        <v>39275</v>
      </c>
      <c r="B3690" s="9" t="s">
        <v>39276</v>
      </c>
      <c r="C3690" s="9" t="s">
        <v>39277</v>
      </c>
      <c r="D3690" s="9" t="s">
        <v>39278</v>
      </c>
      <c r="E3690" s="9" t="s">
        <v>17740</v>
      </c>
      <c r="F3690" s="9" t="s">
        <v>17741</v>
      </c>
      <c r="G3690" s="9" t="s">
        <v>17740</v>
      </c>
      <c r="H3690" s="11" t="s">
        <v>17741</v>
      </c>
      <c r="I3690" s="11" t="s">
        <v>39279</v>
      </c>
      <c r="J3690" s="11" t="s">
        <v>39279</v>
      </c>
      <c r="K3690" s="9" t="s">
        <v>39280</v>
      </c>
      <c r="L3690" s="9" t="s">
        <v>18242</v>
      </c>
      <c r="M3690" s="9" t="s">
        <v>17760</v>
      </c>
      <c r="N3690" s="9" t="s">
        <v>21524</v>
      </c>
      <c r="O3690" s="9" t="s">
        <v>20690</v>
      </c>
      <c r="P3690" s="9" t="s">
        <v>17748</v>
      </c>
      <c r="Q3690" s="11" t="s">
        <v>19874</v>
      </c>
      <c r="R3690" s="11" t="s">
        <v>19874</v>
      </c>
      <c r="S3690" s="11" t="s">
        <v>17750</v>
      </c>
    </row>
    <row r="3691" spans="1:19" x14ac:dyDescent="0.2">
      <c r="A3691" s="11" t="s">
        <v>39281</v>
      </c>
      <c r="B3691" s="9" t="s">
        <v>39282</v>
      </c>
      <c r="C3691" s="9" t="s">
        <v>39283</v>
      </c>
      <c r="D3691" s="9" t="s">
        <v>39284</v>
      </c>
      <c r="E3691" s="9" t="s">
        <v>17740</v>
      </c>
      <c r="F3691" s="9" t="s">
        <v>39285</v>
      </c>
      <c r="G3691" s="9" t="s">
        <v>17740</v>
      </c>
      <c r="H3691" s="11" t="s">
        <v>17741</v>
      </c>
      <c r="I3691" s="11" t="s">
        <v>39286</v>
      </c>
      <c r="J3691" s="11" t="s">
        <v>39286</v>
      </c>
      <c r="K3691" s="9" t="s">
        <v>39287</v>
      </c>
      <c r="L3691" s="9" t="s">
        <v>18242</v>
      </c>
      <c r="M3691" s="9" t="s">
        <v>21335</v>
      </c>
      <c r="N3691" s="9" t="s">
        <v>21524</v>
      </c>
      <c r="O3691" s="9" t="s">
        <v>20208</v>
      </c>
      <c r="P3691" s="9" t="s">
        <v>17748</v>
      </c>
      <c r="Q3691" s="11" t="s">
        <v>23636</v>
      </c>
      <c r="R3691" s="11" t="s">
        <v>23636</v>
      </c>
      <c r="S3691" s="11" t="s">
        <v>17750</v>
      </c>
    </row>
    <row r="3692" spans="1:19" x14ac:dyDescent="0.2">
      <c r="A3692" s="11" t="s">
        <v>39288</v>
      </c>
      <c r="B3692" s="9" t="s">
        <v>39289</v>
      </c>
      <c r="C3692" s="9" t="s">
        <v>39290</v>
      </c>
      <c r="D3692" s="9" t="s">
        <v>39291</v>
      </c>
      <c r="E3692" s="9" t="s">
        <v>17740</v>
      </c>
      <c r="F3692" s="9" t="s">
        <v>17741</v>
      </c>
      <c r="G3692" s="9" t="s">
        <v>17740</v>
      </c>
      <c r="H3692" s="11" t="s">
        <v>17741</v>
      </c>
      <c r="I3692" s="11" t="s">
        <v>39292</v>
      </c>
      <c r="J3692" s="11" t="s">
        <v>39292</v>
      </c>
      <c r="K3692" s="9" t="s">
        <v>39293</v>
      </c>
      <c r="L3692" s="9" t="s">
        <v>18242</v>
      </c>
      <c r="M3692" s="9" t="s">
        <v>18250</v>
      </c>
      <c r="N3692" s="9" t="s">
        <v>21524</v>
      </c>
      <c r="O3692" s="9" t="s">
        <v>20618</v>
      </c>
      <c r="P3692" s="9" t="s">
        <v>17748</v>
      </c>
      <c r="Q3692" s="11" t="s">
        <v>19236</v>
      </c>
      <c r="R3692" s="11" t="s">
        <v>19236</v>
      </c>
      <c r="S3692" s="11" t="s">
        <v>17750</v>
      </c>
    </row>
    <row r="3693" spans="1:19" x14ac:dyDescent="0.2">
      <c r="A3693" s="11" t="s">
        <v>39294</v>
      </c>
      <c r="B3693" s="9" t="s">
        <v>39295</v>
      </c>
      <c r="C3693" s="9" t="s">
        <v>39296</v>
      </c>
      <c r="D3693" s="9" t="s">
        <v>39297</v>
      </c>
      <c r="E3693" s="9" t="s">
        <v>17740</v>
      </c>
      <c r="F3693" s="9" t="s">
        <v>39298</v>
      </c>
      <c r="G3693" s="9" t="s">
        <v>17740</v>
      </c>
      <c r="H3693" s="11" t="s">
        <v>17741</v>
      </c>
      <c r="I3693" s="11" t="s">
        <v>39299</v>
      </c>
      <c r="J3693" s="11" t="s">
        <v>39299</v>
      </c>
      <c r="K3693" s="9" t="s">
        <v>39300</v>
      </c>
      <c r="L3693" s="9" t="s">
        <v>17759</v>
      </c>
      <c r="M3693" s="9" t="s">
        <v>19168</v>
      </c>
      <c r="N3693" s="9" t="s">
        <v>17746</v>
      </c>
      <c r="O3693" s="9" t="s">
        <v>17800</v>
      </c>
      <c r="P3693" s="9" t="s">
        <v>17748</v>
      </c>
      <c r="Q3693" s="11" t="s">
        <v>19874</v>
      </c>
      <c r="R3693" s="11" t="s">
        <v>19874</v>
      </c>
      <c r="S3693" s="11" t="s">
        <v>17750</v>
      </c>
    </row>
    <row r="3694" spans="1:19" x14ac:dyDescent="0.2">
      <c r="A3694" s="11" t="s">
        <v>39301</v>
      </c>
      <c r="B3694" s="9" t="s">
        <v>39302</v>
      </c>
      <c r="C3694" s="9" t="s">
        <v>39303</v>
      </c>
      <c r="D3694" s="9" t="s">
        <v>39304</v>
      </c>
      <c r="E3694" s="9" t="s">
        <v>17740</v>
      </c>
      <c r="F3694" s="9" t="s">
        <v>17741</v>
      </c>
      <c r="G3694" s="9" t="s">
        <v>17740</v>
      </c>
      <c r="H3694" s="11" t="s">
        <v>17741</v>
      </c>
      <c r="I3694" s="11" t="s">
        <v>39305</v>
      </c>
      <c r="J3694" s="11" t="s">
        <v>39305</v>
      </c>
      <c r="K3694" s="9" t="s">
        <v>39306</v>
      </c>
      <c r="L3694" s="9" t="s">
        <v>18242</v>
      </c>
      <c r="M3694" s="9" t="s">
        <v>17817</v>
      </c>
      <c r="N3694" s="9" t="s">
        <v>21524</v>
      </c>
      <c r="O3694" s="9" t="s">
        <v>19659</v>
      </c>
      <c r="P3694" s="9" t="s">
        <v>17748</v>
      </c>
      <c r="Q3694" s="11" t="s">
        <v>18282</v>
      </c>
      <c r="R3694" s="11" t="s">
        <v>18282</v>
      </c>
      <c r="S3694" s="11" t="s">
        <v>17750</v>
      </c>
    </row>
    <row r="3695" spans="1:19" x14ac:dyDescent="0.2">
      <c r="A3695" s="11" t="s">
        <v>39307</v>
      </c>
      <c r="B3695" s="9" t="s">
        <v>39308</v>
      </c>
      <c r="C3695" s="9" t="s">
        <v>39309</v>
      </c>
      <c r="D3695" s="9" t="s">
        <v>39310</v>
      </c>
      <c r="E3695" s="9" t="s">
        <v>17748</v>
      </c>
      <c r="F3695" s="9" t="s">
        <v>39311</v>
      </c>
      <c r="G3695" s="9" t="s">
        <v>17740</v>
      </c>
      <c r="H3695" s="11" t="s">
        <v>17741</v>
      </c>
      <c r="I3695" s="11" t="s">
        <v>2775</v>
      </c>
      <c r="J3695" s="11" t="s">
        <v>2775</v>
      </c>
      <c r="K3695" s="9" t="s">
        <v>39312</v>
      </c>
      <c r="L3695" s="9" t="s">
        <v>17950</v>
      </c>
      <c r="M3695" s="9" t="s">
        <v>17817</v>
      </c>
      <c r="N3695" s="9" t="s">
        <v>22152</v>
      </c>
      <c r="O3695" s="9" t="s">
        <v>17993</v>
      </c>
      <c r="P3695" s="9" t="s">
        <v>17748</v>
      </c>
      <c r="Q3695" s="11" t="s">
        <v>18201</v>
      </c>
      <c r="R3695" s="11" t="s">
        <v>18201</v>
      </c>
      <c r="S3695" s="11" t="s">
        <v>17750</v>
      </c>
    </row>
    <row r="3696" spans="1:19" x14ac:dyDescent="0.2">
      <c r="A3696" s="11" t="s">
        <v>39313</v>
      </c>
      <c r="B3696" s="9" t="s">
        <v>39314</v>
      </c>
      <c r="C3696" s="9" t="s">
        <v>39315</v>
      </c>
      <c r="D3696" s="9" t="s">
        <v>39316</v>
      </c>
      <c r="E3696" s="9" t="s">
        <v>17740</v>
      </c>
      <c r="F3696" s="9" t="s">
        <v>39317</v>
      </c>
      <c r="G3696" s="9" t="s">
        <v>17740</v>
      </c>
      <c r="H3696" s="11" t="s">
        <v>17741</v>
      </c>
      <c r="I3696" s="11" t="s">
        <v>2765</v>
      </c>
      <c r="J3696" s="11" t="s">
        <v>2765</v>
      </c>
      <c r="K3696" s="9" t="s">
        <v>39318</v>
      </c>
      <c r="L3696" s="9" t="s">
        <v>17967</v>
      </c>
      <c r="M3696" s="9" t="s">
        <v>17817</v>
      </c>
      <c r="N3696" s="9" t="s">
        <v>18492</v>
      </c>
      <c r="O3696" s="9" t="s">
        <v>18009</v>
      </c>
      <c r="P3696" s="9" t="s">
        <v>17748</v>
      </c>
      <c r="Q3696" s="11" t="s">
        <v>17937</v>
      </c>
      <c r="R3696" s="11" t="s">
        <v>17937</v>
      </c>
      <c r="S3696" s="11" t="s">
        <v>17750</v>
      </c>
    </row>
    <row r="3697" spans="1:19" x14ac:dyDescent="0.2">
      <c r="A3697" s="11" t="s">
        <v>39319</v>
      </c>
      <c r="B3697" s="9" t="s">
        <v>39320</v>
      </c>
      <c r="C3697" s="9" t="s">
        <v>39321</v>
      </c>
      <c r="D3697" s="9" t="s">
        <v>39320</v>
      </c>
      <c r="E3697" s="9" t="s">
        <v>17740</v>
      </c>
      <c r="F3697" s="9" t="s">
        <v>17741</v>
      </c>
      <c r="G3697" s="9" t="s">
        <v>17740</v>
      </c>
      <c r="H3697" s="11" t="s">
        <v>17741</v>
      </c>
      <c r="I3697" s="11" t="s">
        <v>39322</v>
      </c>
      <c r="J3697" s="11" t="s">
        <v>39322</v>
      </c>
      <c r="K3697" s="9" t="s">
        <v>21545</v>
      </c>
      <c r="L3697" s="9" t="s">
        <v>18854</v>
      </c>
      <c r="M3697" s="9" t="s">
        <v>17817</v>
      </c>
      <c r="N3697" s="9" t="s">
        <v>20237</v>
      </c>
      <c r="O3697" s="9" t="s">
        <v>18009</v>
      </c>
      <c r="P3697" s="9" t="s">
        <v>17748</v>
      </c>
      <c r="Q3697" s="11" t="s">
        <v>18306</v>
      </c>
      <c r="R3697" s="11" t="s">
        <v>18306</v>
      </c>
      <c r="S3697" s="11" t="s">
        <v>17750</v>
      </c>
    </row>
    <row r="3698" spans="1:19" x14ac:dyDescent="0.2">
      <c r="A3698" s="11" t="s">
        <v>39323</v>
      </c>
      <c r="B3698" s="9" t="s">
        <v>39324</v>
      </c>
      <c r="C3698" s="9" t="s">
        <v>39325</v>
      </c>
      <c r="D3698" s="9" t="s">
        <v>39326</v>
      </c>
      <c r="E3698" s="9" t="s">
        <v>17740</v>
      </c>
      <c r="F3698" s="9" t="s">
        <v>17741</v>
      </c>
      <c r="G3698" s="9" t="s">
        <v>17740</v>
      </c>
      <c r="H3698" s="11" t="s">
        <v>39327</v>
      </c>
      <c r="I3698" s="11" t="s">
        <v>11232</v>
      </c>
      <c r="J3698" s="11" t="s">
        <v>11232</v>
      </c>
      <c r="K3698" s="9" t="s">
        <v>11234</v>
      </c>
      <c r="L3698" s="9" t="s">
        <v>33560</v>
      </c>
      <c r="M3698" s="9" t="s">
        <v>17760</v>
      </c>
      <c r="N3698" s="9" t="s">
        <v>17746</v>
      </c>
      <c r="O3698" s="9" t="s">
        <v>17993</v>
      </c>
      <c r="P3698" s="9" t="s">
        <v>17748</v>
      </c>
      <c r="Q3698" s="11" t="s">
        <v>17858</v>
      </c>
      <c r="R3698" s="11" t="s">
        <v>17858</v>
      </c>
      <c r="S3698" s="11" t="s">
        <v>17750</v>
      </c>
    </row>
    <row r="3699" spans="1:19" x14ac:dyDescent="0.2">
      <c r="A3699" s="11" t="s">
        <v>39328</v>
      </c>
      <c r="B3699" s="9" t="s">
        <v>39329</v>
      </c>
      <c r="C3699" s="9" t="s">
        <v>39330</v>
      </c>
      <c r="D3699" s="9" t="s">
        <v>39331</v>
      </c>
      <c r="E3699" s="9" t="s">
        <v>17740</v>
      </c>
      <c r="F3699" s="9" t="s">
        <v>17741</v>
      </c>
      <c r="G3699" s="9" t="s">
        <v>17740</v>
      </c>
      <c r="H3699" s="11" t="s">
        <v>2786</v>
      </c>
      <c r="I3699" s="11" t="s">
        <v>2785</v>
      </c>
      <c r="J3699" s="11" t="s">
        <v>2785</v>
      </c>
      <c r="K3699" s="9" t="s">
        <v>39332</v>
      </c>
      <c r="L3699" s="9" t="s">
        <v>18242</v>
      </c>
      <c r="M3699" s="9" t="s">
        <v>17760</v>
      </c>
      <c r="N3699" s="9" t="s">
        <v>17746</v>
      </c>
      <c r="O3699" s="9" t="s">
        <v>17993</v>
      </c>
      <c r="P3699" s="9" t="s">
        <v>17748</v>
      </c>
      <c r="Q3699" s="11" t="s">
        <v>19978</v>
      </c>
      <c r="R3699" s="11" t="s">
        <v>19978</v>
      </c>
      <c r="S3699" s="11" t="s">
        <v>17750</v>
      </c>
    </row>
    <row r="3700" spans="1:19" x14ac:dyDescent="0.2">
      <c r="A3700" s="11" t="s">
        <v>39333</v>
      </c>
      <c r="B3700" s="9" t="s">
        <v>39334</v>
      </c>
      <c r="C3700" s="9" t="s">
        <v>39335</v>
      </c>
      <c r="D3700" s="9" t="s">
        <v>39336</v>
      </c>
      <c r="E3700" s="9" t="s">
        <v>17740</v>
      </c>
      <c r="F3700" s="9" t="s">
        <v>17741</v>
      </c>
      <c r="G3700" s="9" t="s">
        <v>17740</v>
      </c>
      <c r="H3700" s="11" t="s">
        <v>39337</v>
      </c>
      <c r="I3700" s="11" t="s">
        <v>39338</v>
      </c>
      <c r="J3700" s="11" t="s">
        <v>39338</v>
      </c>
      <c r="K3700" s="9" t="s">
        <v>39339</v>
      </c>
      <c r="L3700" s="9" t="s">
        <v>18242</v>
      </c>
      <c r="M3700" s="9" t="s">
        <v>17817</v>
      </c>
      <c r="N3700" s="9" t="s">
        <v>21524</v>
      </c>
      <c r="O3700" s="9" t="s">
        <v>15733</v>
      </c>
      <c r="P3700" s="9" t="s">
        <v>17748</v>
      </c>
      <c r="Q3700" s="11" t="s">
        <v>21244</v>
      </c>
      <c r="R3700" s="11" t="s">
        <v>21244</v>
      </c>
      <c r="S3700" s="11" t="s">
        <v>17750</v>
      </c>
    </row>
    <row r="3701" spans="1:19" x14ac:dyDescent="0.2">
      <c r="A3701" s="11" t="s">
        <v>39340</v>
      </c>
      <c r="B3701" s="9" t="s">
        <v>39341</v>
      </c>
      <c r="C3701" s="9" t="s">
        <v>39342</v>
      </c>
      <c r="D3701" s="9" t="s">
        <v>39343</v>
      </c>
      <c r="E3701" s="9" t="s">
        <v>17740</v>
      </c>
      <c r="F3701" s="9" t="s">
        <v>17741</v>
      </c>
      <c r="G3701" s="9" t="s">
        <v>17740</v>
      </c>
      <c r="H3701" s="11" t="s">
        <v>39344</v>
      </c>
      <c r="I3701" s="11" t="s">
        <v>39345</v>
      </c>
      <c r="J3701" s="11" t="s">
        <v>39345</v>
      </c>
      <c r="K3701" s="9" t="s">
        <v>23783</v>
      </c>
      <c r="L3701" s="9" t="s">
        <v>17759</v>
      </c>
      <c r="M3701" s="9" t="s">
        <v>17760</v>
      </c>
      <c r="N3701" s="9" t="s">
        <v>17746</v>
      </c>
      <c r="O3701" s="9" t="s">
        <v>17874</v>
      </c>
      <c r="P3701" s="9" t="s">
        <v>17748</v>
      </c>
      <c r="Q3701" s="11" t="s">
        <v>18080</v>
      </c>
      <c r="R3701" s="11" t="s">
        <v>18080</v>
      </c>
      <c r="S3701" s="11" t="s">
        <v>17750</v>
      </c>
    </row>
    <row r="3702" spans="1:19" x14ac:dyDescent="0.2">
      <c r="A3702" s="11" t="s">
        <v>39346</v>
      </c>
      <c r="B3702" s="9" t="s">
        <v>39347</v>
      </c>
      <c r="C3702" s="9" t="s">
        <v>39348</v>
      </c>
      <c r="D3702" s="9" t="s">
        <v>39349</v>
      </c>
      <c r="E3702" s="9" t="s">
        <v>17740</v>
      </c>
      <c r="F3702" s="9" t="s">
        <v>39350</v>
      </c>
      <c r="G3702" s="9" t="s">
        <v>17740</v>
      </c>
      <c r="H3702" s="11" t="s">
        <v>17741</v>
      </c>
      <c r="I3702" s="11" t="s">
        <v>39351</v>
      </c>
      <c r="J3702" s="11" t="s">
        <v>39351</v>
      </c>
      <c r="K3702" s="9" t="s">
        <v>39352</v>
      </c>
      <c r="L3702" s="9" t="s">
        <v>17759</v>
      </c>
      <c r="M3702" s="9" t="s">
        <v>17769</v>
      </c>
      <c r="N3702" s="9" t="s">
        <v>17746</v>
      </c>
      <c r="O3702" s="9" t="s">
        <v>17800</v>
      </c>
      <c r="P3702" s="9" t="s">
        <v>17748</v>
      </c>
      <c r="Q3702" s="11" t="s">
        <v>17978</v>
      </c>
      <c r="R3702" s="11" t="s">
        <v>17978</v>
      </c>
      <c r="S3702" s="11" t="s">
        <v>17750</v>
      </c>
    </row>
    <row r="3703" spans="1:19" x14ac:dyDescent="0.2">
      <c r="A3703" s="11" t="s">
        <v>39353</v>
      </c>
      <c r="B3703" s="9" t="s">
        <v>39354</v>
      </c>
      <c r="C3703" s="9" t="s">
        <v>39355</v>
      </c>
      <c r="D3703" s="9" t="s">
        <v>39356</v>
      </c>
      <c r="E3703" s="9" t="s">
        <v>17740</v>
      </c>
      <c r="F3703" s="9" t="s">
        <v>39357</v>
      </c>
      <c r="G3703" s="9" t="s">
        <v>17740</v>
      </c>
      <c r="H3703" s="11" t="s">
        <v>17741</v>
      </c>
      <c r="I3703" s="11" t="s">
        <v>39358</v>
      </c>
      <c r="J3703" s="11" t="s">
        <v>39358</v>
      </c>
      <c r="K3703" s="9" t="s">
        <v>39359</v>
      </c>
      <c r="L3703" s="9" t="s">
        <v>19251</v>
      </c>
      <c r="M3703" s="9" t="s">
        <v>19397</v>
      </c>
      <c r="N3703" s="9" t="s">
        <v>19252</v>
      </c>
      <c r="O3703" s="9" t="s">
        <v>18035</v>
      </c>
      <c r="P3703" s="9" t="s">
        <v>17748</v>
      </c>
      <c r="Q3703" s="11" t="s">
        <v>20021</v>
      </c>
      <c r="R3703" s="11" t="s">
        <v>20021</v>
      </c>
      <c r="S3703" s="11" t="s">
        <v>17750</v>
      </c>
    </row>
    <row r="3704" spans="1:19" x14ac:dyDescent="0.2">
      <c r="A3704" s="11" t="s">
        <v>39360</v>
      </c>
      <c r="B3704" s="9" t="s">
        <v>39361</v>
      </c>
      <c r="C3704" s="9" t="s">
        <v>39355</v>
      </c>
      <c r="D3704" s="9" t="s">
        <v>39362</v>
      </c>
      <c r="E3704" s="9" t="s">
        <v>17740</v>
      </c>
      <c r="F3704" s="9" t="s">
        <v>39363</v>
      </c>
      <c r="G3704" s="9" t="s">
        <v>17740</v>
      </c>
      <c r="H3704" s="11" t="s">
        <v>39364</v>
      </c>
      <c r="I3704" s="11" t="s">
        <v>39365</v>
      </c>
      <c r="J3704" s="11" t="s">
        <v>39365</v>
      </c>
      <c r="K3704" s="9" t="s">
        <v>21545</v>
      </c>
      <c r="L3704" s="9" t="s">
        <v>18854</v>
      </c>
      <c r="M3704" s="9" t="s">
        <v>17817</v>
      </c>
      <c r="N3704" s="9" t="s">
        <v>20237</v>
      </c>
      <c r="O3704" s="9" t="s">
        <v>18035</v>
      </c>
      <c r="P3704" s="9" t="s">
        <v>17748</v>
      </c>
      <c r="Q3704" s="11" t="s">
        <v>18493</v>
      </c>
      <c r="R3704" s="11" t="s">
        <v>18493</v>
      </c>
      <c r="S3704" s="11" t="s">
        <v>17750</v>
      </c>
    </row>
    <row r="3705" spans="1:19" x14ac:dyDescent="0.2">
      <c r="A3705" s="11" t="s">
        <v>39366</v>
      </c>
      <c r="B3705" s="9" t="s">
        <v>39367</v>
      </c>
      <c r="C3705" s="9" t="s">
        <v>39368</v>
      </c>
      <c r="D3705" s="9" t="s">
        <v>39369</v>
      </c>
      <c r="E3705" s="9" t="s">
        <v>17748</v>
      </c>
      <c r="F3705" s="9" t="s">
        <v>39370</v>
      </c>
      <c r="G3705" s="9" t="s">
        <v>17740</v>
      </c>
      <c r="H3705" s="11" t="s">
        <v>7077</v>
      </c>
      <c r="I3705" s="11" t="s">
        <v>7076</v>
      </c>
      <c r="J3705" s="11" t="s">
        <v>7076</v>
      </c>
      <c r="K3705" s="9" t="s">
        <v>18122</v>
      </c>
      <c r="L3705" s="9" t="s">
        <v>18123</v>
      </c>
      <c r="M3705" s="9" t="s">
        <v>18065</v>
      </c>
      <c r="N3705" s="9" t="s">
        <v>17746</v>
      </c>
      <c r="O3705" s="9" t="s">
        <v>7269</v>
      </c>
      <c r="P3705" s="9" t="s">
        <v>17748</v>
      </c>
      <c r="Q3705" s="11" t="s">
        <v>18201</v>
      </c>
      <c r="R3705" s="11" t="s">
        <v>18201</v>
      </c>
      <c r="S3705" s="11" t="s">
        <v>17750</v>
      </c>
    </row>
    <row r="3706" spans="1:19" x14ac:dyDescent="0.2">
      <c r="A3706" s="11" t="s">
        <v>39371</v>
      </c>
      <c r="B3706" s="9" t="s">
        <v>39372</v>
      </c>
      <c r="C3706" s="9" t="s">
        <v>39373</v>
      </c>
      <c r="D3706" s="9" t="s">
        <v>39374</v>
      </c>
      <c r="E3706" s="9" t="s">
        <v>17740</v>
      </c>
      <c r="F3706" s="9" t="s">
        <v>17741</v>
      </c>
      <c r="G3706" s="9" t="s">
        <v>17740</v>
      </c>
      <c r="H3706" s="11" t="s">
        <v>2768</v>
      </c>
      <c r="I3706" s="11" t="s">
        <v>2767</v>
      </c>
      <c r="J3706" s="11" t="s">
        <v>2767</v>
      </c>
      <c r="K3706" s="9" t="s">
        <v>315</v>
      </c>
      <c r="L3706" s="9" t="s">
        <v>17759</v>
      </c>
      <c r="M3706" s="9" t="s">
        <v>17817</v>
      </c>
      <c r="N3706" s="9" t="s">
        <v>17746</v>
      </c>
      <c r="O3706" s="9" t="s">
        <v>7269</v>
      </c>
      <c r="P3706" s="9" t="s">
        <v>17748</v>
      </c>
      <c r="Q3706" s="11" t="s">
        <v>19082</v>
      </c>
      <c r="R3706" s="11" t="s">
        <v>19082</v>
      </c>
      <c r="S3706" s="11" t="s">
        <v>17750</v>
      </c>
    </row>
    <row r="3707" spans="1:19" x14ac:dyDescent="0.2">
      <c r="A3707" s="11" t="s">
        <v>39375</v>
      </c>
      <c r="B3707" s="9" t="s">
        <v>39376</v>
      </c>
      <c r="C3707" s="9" t="s">
        <v>39377</v>
      </c>
      <c r="D3707" s="9" t="s">
        <v>39378</v>
      </c>
      <c r="E3707" s="9" t="s">
        <v>17740</v>
      </c>
      <c r="F3707" s="9" t="s">
        <v>17741</v>
      </c>
      <c r="G3707" s="9" t="s">
        <v>17740</v>
      </c>
      <c r="H3707" s="11" t="s">
        <v>17741</v>
      </c>
      <c r="I3707" s="11" t="s">
        <v>39379</v>
      </c>
      <c r="J3707" s="11" t="s">
        <v>39379</v>
      </c>
      <c r="K3707" s="9" t="s">
        <v>39380</v>
      </c>
      <c r="L3707" s="9" t="s">
        <v>18158</v>
      </c>
      <c r="M3707" s="9" t="s">
        <v>17817</v>
      </c>
      <c r="N3707" s="9" t="s">
        <v>18185</v>
      </c>
      <c r="O3707" s="9" t="s">
        <v>17800</v>
      </c>
      <c r="P3707" s="9" t="s">
        <v>17748</v>
      </c>
      <c r="Q3707" s="11" t="s">
        <v>19515</v>
      </c>
      <c r="R3707" s="11" t="s">
        <v>19515</v>
      </c>
      <c r="S3707" s="11" t="s">
        <v>17750</v>
      </c>
    </row>
    <row r="3708" spans="1:19" x14ac:dyDescent="0.2">
      <c r="A3708" s="11" t="s">
        <v>39381</v>
      </c>
      <c r="B3708" s="9" t="s">
        <v>39382</v>
      </c>
      <c r="C3708" s="9" t="s">
        <v>39383</v>
      </c>
      <c r="D3708" s="9" t="s">
        <v>39384</v>
      </c>
      <c r="E3708" s="9" t="s">
        <v>17748</v>
      </c>
      <c r="F3708" s="9" t="s">
        <v>39385</v>
      </c>
      <c r="G3708" s="9" t="s">
        <v>17740</v>
      </c>
      <c r="H3708" s="11" t="s">
        <v>17741</v>
      </c>
      <c r="I3708" s="11" t="s">
        <v>39386</v>
      </c>
      <c r="J3708" s="11" t="s">
        <v>39386</v>
      </c>
      <c r="K3708" s="9" t="s">
        <v>39387</v>
      </c>
      <c r="L3708" s="9" t="s">
        <v>18854</v>
      </c>
      <c r="M3708" s="9" t="s">
        <v>23266</v>
      </c>
      <c r="N3708" s="9" t="s">
        <v>20237</v>
      </c>
      <c r="O3708" s="9" t="s">
        <v>20498</v>
      </c>
      <c r="P3708" s="9" t="s">
        <v>17748</v>
      </c>
      <c r="Q3708" s="11" t="s">
        <v>18147</v>
      </c>
      <c r="R3708" s="11" t="s">
        <v>18147</v>
      </c>
      <c r="S3708" s="11" t="s">
        <v>17750</v>
      </c>
    </row>
    <row r="3709" spans="1:19" x14ac:dyDescent="0.2">
      <c r="A3709" s="11" t="s">
        <v>39388</v>
      </c>
      <c r="B3709" s="9" t="s">
        <v>39389</v>
      </c>
      <c r="C3709" s="9" t="s">
        <v>39390</v>
      </c>
      <c r="D3709" s="9" t="s">
        <v>39391</v>
      </c>
      <c r="E3709" s="9" t="s">
        <v>17740</v>
      </c>
      <c r="F3709" s="9" t="s">
        <v>17741</v>
      </c>
      <c r="G3709" s="9" t="s">
        <v>17740</v>
      </c>
      <c r="H3709" s="11" t="s">
        <v>17741</v>
      </c>
      <c r="I3709" s="11" t="s">
        <v>39392</v>
      </c>
      <c r="J3709" s="11" t="s">
        <v>39392</v>
      </c>
      <c r="K3709" s="9" t="s">
        <v>20950</v>
      </c>
      <c r="L3709" s="9" t="s">
        <v>18854</v>
      </c>
      <c r="M3709" s="9" t="s">
        <v>18065</v>
      </c>
      <c r="N3709" s="9" t="s">
        <v>20237</v>
      </c>
      <c r="O3709" s="9" t="s">
        <v>17993</v>
      </c>
      <c r="P3709" s="9" t="s">
        <v>17748</v>
      </c>
      <c r="Q3709" s="11" t="s">
        <v>21244</v>
      </c>
      <c r="R3709" s="11" t="s">
        <v>21244</v>
      </c>
      <c r="S3709" s="11" t="s">
        <v>17750</v>
      </c>
    </row>
    <row r="3710" spans="1:19" x14ac:dyDescent="0.2">
      <c r="A3710" s="11" t="s">
        <v>39393</v>
      </c>
      <c r="B3710" s="9" t="s">
        <v>39394</v>
      </c>
      <c r="C3710" s="9" t="s">
        <v>39395</v>
      </c>
      <c r="D3710" s="9" t="s">
        <v>39396</v>
      </c>
      <c r="E3710" s="9" t="s">
        <v>17748</v>
      </c>
      <c r="F3710" s="9" t="s">
        <v>39397</v>
      </c>
      <c r="G3710" s="9" t="s">
        <v>17740</v>
      </c>
      <c r="H3710" s="11" t="s">
        <v>17741</v>
      </c>
      <c r="I3710" s="11" t="s">
        <v>39398</v>
      </c>
      <c r="J3710" s="11" t="s">
        <v>39398</v>
      </c>
      <c r="K3710" s="9" t="s">
        <v>39399</v>
      </c>
      <c r="L3710" s="9" t="s">
        <v>29064</v>
      </c>
      <c r="M3710" s="9" t="s">
        <v>17817</v>
      </c>
      <c r="N3710" s="9" t="s">
        <v>29418</v>
      </c>
      <c r="O3710" s="9" t="s">
        <v>18035</v>
      </c>
      <c r="P3710" s="9" t="s">
        <v>17748</v>
      </c>
      <c r="Q3710" s="11" t="s">
        <v>19361</v>
      </c>
      <c r="R3710" s="11" t="s">
        <v>19361</v>
      </c>
      <c r="S3710" s="11" t="s">
        <v>17750</v>
      </c>
    </row>
    <row r="3711" spans="1:19" x14ac:dyDescent="0.2">
      <c r="A3711" s="11" t="s">
        <v>39400</v>
      </c>
      <c r="B3711" s="9" t="s">
        <v>39401</v>
      </c>
      <c r="C3711" s="9" t="s">
        <v>39402</v>
      </c>
      <c r="D3711" s="9" t="s">
        <v>39403</v>
      </c>
      <c r="E3711" s="9" t="s">
        <v>17740</v>
      </c>
      <c r="F3711" s="9" t="s">
        <v>17741</v>
      </c>
      <c r="G3711" s="9" t="s">
        <v>17740</v>
      </c>
      <c r="H3711" s="11" t="s">
        <v>17741</v>
      </c>
      <c r="I3711" s="11" t="s">
        <v>8719</v>
      </c>
      <c r="J3711" s="11" t="s">
        <v>8719</v>
      </c>
      <c r="K3711" s="9" t="s">
        <v>39404</v>
      </c>
      <c r="L3711" s="9" t="s">
        <v>18025</v>
      </c>
      <c r="M3711" s="9" t="s">
        <v>17769</v>
      </c>
      <c r="N3711" s="9" t="s">
        <v>18026</v>
      </c>
      <c r="O3711" s="9" t="s">
        <v>25405</v>
      </c>
      <c r="P3711" s="9" t="s">
        <v>17748</v>
      </c>
      <c r="Q3711" s="11" t="s">
        <v>19361</v>
      </c>
      <c r="R3711" s="11" t="s">
        <v>19361</v>
      </c>
      <c r="S3711" s="11" t="s">
        <v>17750</v>
      </c>
    </row>
    <row r="3712" spans="1:19" x14ac:dyDescent="0.2">
      <c r="A3712" s="11" t="s">
        <v>39405</v>
      </c>
      <c r="B3712" s="9" t="s">
        <v>39406</v>
      </c>
      <c r="C3712" s="9" t="s">
        <v>39407</v>
      </c>
      <c r="D3712" s="9" t="s">
        <v>39408</v>
      </c>
      <c r="E3712" s="9" t="s">
        <v>17740</v>
      </c>
      <c r="F3712" s="9" t="s">
        <v>17741</v>
      </c>
      <c r="G3712" s="9" t="s">
        <v>17740</v>
      </c>
      <c r="H3712" s="11" t="s">
        <v>5925</v>
      </c>
      <c r="I3712" s="11" t="s">
        <v>5924</v>
      </c>
      <c r="J3712" s="11" t="s">
        <v>5924</v>
      </c>
      <c r="K3712" s="9" t="s">
        <v>39409</v>
      </c>
      <c r="L3712" s="9" t="s">
        <v>18025</v>
      </c>
      <c r="M3712" s="9" t="s">
        <v>17769</v>
      </c>
      <c r="N3712" s="9" t="s">
        <v>18026</v>
      </c>
      <c r="O3712" s="9" t="s">
        <v>18363</v>
      </c>
      <c r="P3712" s="9" t="s">
        <v>17748</v>
      </c>
      <c r="Q3712" s="11" t="s">
        <v>18678</v>
      </c>
      <c r="R3712" s="11" t="s">
        <v>18678</v>
      </c>
      <c r="S3712" s="11" t="s">
        <v>17750</v>
      </c>
    </row>
    <row r="3713" spans="1:19" x14ac:dyDescent="0.2">
      <c r="A3713" s="11" t="s">
        <v>39410</v>
      </c>
      <c r="B3713" s="9" t="s">
        <v>39411</v>
      </c>
      <c r="C3713" s="9" t="s">
        <v>39412</v>
      </c>
      <c r="D3713" s="9" t="s">
        <v>39413</v>
      </c>
      <c r="E3713" s="9" t="s">
        <v>17740</v>
      </c>
      <c r="F3713" s="9" t="s">
        <v>39414</v>
      </c>
      <c r="G3713" s="9" t="s">
        <v>17740</v>
      </c>
      <c r="H3713" s="11" t="s">
        <v>17741</v>
      </c>
      <c r="I3713" s="11" t="s">
        <v>39415</v>
      </c>
      <c r="J3713" s="11" t="s">
        <v>39415</v>
      </c>
      <c r="K3713" s="9" t="s">
        <v>39416</v>
      </c>
      <c r="L3713" s="9" t="s">
        <v>17967</v>
      </c>
      <c r="M3713" s="9" t="s">
        <v>20580</v>
      </c>
      <c r="N3713" s="9" t="s">
        <v>18492</v>
      </c>
      <c r="O3713" s="9" t="s">
        <v>3255</v>
      </c>
      <c r="P3713" s="9" t="s">
        <v>17748</v>
      </c>
      <c r="Q3713" s="11" t="s">
        <v>21244</v>
      </c>
      <c r="R3713" s="11" t="s">
        <v>21244</v>
      </c>
      <c r="S3713" s="11" t="s">
        <v>17750</v>
      </c>
    </row>
    <row r="3714" spans="1:19" x14ac:dyDescent="0.2">
      <c r="A3714" s="11" t="s">
        <v>39417</v>
      </c>
      <c r="B3714" s="9" t="s">
        <v>39418</v>
      </c>
      <c r="C3714" s="9" t="s">
        <v>39419</v>
      </c>
      <c r="D3714" s="9" t="s">
        <v>39420</v>
      </c>
      <c r="E3714" s="9" t="s">
        <v>17740</v>
      </c>
      <c r="F3714" s="9" t="s">
        <v>39421</v>
      </c>
      <c r="G3714" s="9" t="s">
        <v>17740</v>
      </c>
      <c r="H3714" s="11" t="s">
        <v>2794</v>
      </c>
      <c r="I3714" s="11" t="s">
        <v>2793</v>
      </c>
      <c r="J3714" s="11" t="s">
        <v>2793</v>
      </c>
      <c r="K3714" s="9" t="s">
        <v>19244</v>
      </c>
      <c r="L3714" s="9" t="s">
        <v>18158</v>
      </c>
      <c r="M3714" s="9" t="s">
        <v>17817</v>
      </c>
      <c r="N3714" s="9" t="s">
        <v>18185</v>
      </c>
      <c r="O3714" s="9" t="s">
        <v>3255</v>
      </c>
      <c r="P3714" s="9" t="s">
        <v>17748</v>
      </c>
      <c r="Q3714" s="11" t="s">
        <v>17849</v>
      </c>
      <c r="R3714" s="11" t="s">
        <v>17849</v>
      </c>
      <c r="S3714" s="11" t="s">
        <v>17750</v>
      </c>
    </row>
    <row r="3715" spans="1:19" x14ac:dyDescent="0.2">
      <c r="A3715" s="11" t="s">
        <v>39422</v>
      </c>
      <c r="B3715" s="9" t="s">
        <v>39423</v>
      </c>
      <c r="C3715" s="9" t="s">
        <v>39424</v>
      </c>
      <c r="D3715" s="9" t="s">
        <v>39425</v>
      </c>
      <c r="E3715" s="9" t="s">
        <v>17740</v>
      </c>
      <c r="F3715" s="9" t="s">
        <v>39426</v>
      </c>
      <c r="G3715" s="9" t="s">
        <v>17740</v>
      </c>
      <c r="H3715" s="11" t="s">
        <v>2791</v>
      </c>
      <c r="I3715" s="11" t="s">
        <v>2790</v>
      </c>
      <c r="J3715" s="11" t="s">
        <v>2790</v>
      </c>
      <c r="K3715" s="9" t="s">
        <v>39427</v>
      </c>
      <c r="L3715" s="9" t="s">
        <v>18158</v>
      </c>
      <c r="M3715" s="9" t="s">
        <v>25613</v>
      </c>
      <c r="N3715" s="9" t="s">
        <v>18185</v>
      </c>
      <c r="O3715" s="9" t="s">
        <v>3355</v>
      </c>
      <c r="P3715" s="9" t="s">
        <v>17748</v>
      </c>
      <c r="Q3715" s="11" t="s">
        <v>19082</v>
      </c>
      <c r="R3715" s="11" t="s">
        <v>19082</v>
      </c>
      <c r="S3715" s="11" t="s">
        <v>17750</v>
      </c>
    </row>
    <row r="3716" spans="1:19" x14ac:dyDescent="0.2">
      <c r="A3716" s="11" t="s">
        <v>39428</v>
      </c>
      <c r="B3716" s="9" t="s">
        <v>39429</v>
      </c>
      <c r="C3716" s="9" t="s">
        <v>39430</v>
      </c>
      <c r="D3716" s="9" t="s">
        <v>6666</v>
      </c>
      <c r="E3716" s="9" t="s">
        <v>17740</v>
      </c>
      <c r="F3716" s="9" t="s">
        <v>17741</v>
      </c>
      <c r="G3716" s="9" t="s">
        <v>17740</v>
      </c>
      <c r="H3716" s="11" t="s">
        <v>6668</v>
      </c>
      <c r="I3716" s="11" t="s">
        <v>6667</v>
      </c>
      <c r="J3716" s="11" t="s">
        <v>6667</v>
      </c>
      <c r="K3716" s="9" t="s">
        <v>91</v>
      </c>
      <c r="L3716" s="9" t="s">
        <v>18001</v>
      </c>
      <c r="M3716" s="9" t="s">
        <v>17760</v>
      </c>
      <c r="N3716" s="9" t="s">
        <v>17746</v>
      </c>
      <c r="O3716" s="9" t="s">
        <v>3276</v>
      </c>
      <c r="P3716" s="9" t="s">
        <v>17748</v>
      </c>
      <c r="Q3716" s="11" t="s">
        <v>17808</v>
      </c>
      <c r="R3716" s="11" t="s">
        <v>17808</v>
      </c>
      <c r="S3716" s="11" t="s">
        <v>17750</v>
      </c>
    </row>
    <row r="3717" spans="1:19" x14ac:dyDescent="0.2">
      <c r="A3717" s="11" t="s">
        <v>39431</v>
      </c>
      <c r="B3717" s="9" t="s">
        <v>39432</v>
      </c>
      <c r="C3717" s="9" t="s">
        <v>39433</v>
      </c>
      <c r="D3717" s="9" t="s">
        <v>39434</v>
      </c>
      <c r="E3717" s="9" t="s">
        <v>17740</v>
      </c>
      <c r="F3717" s="9" t="s">
        <v>17741</v>
      </c>
      <c r="G3717" s="9" t="s">
        <v>17740</v>
      </c>
      <c r="H3717" s="11" t="s">
        <v>39435</v>
      </c>
      <c r="I3717" s="11" t="s">
        <v>39436</v>
      </c>
      <c r="J3717" s="11" t="s">
        <v>39436</v>
      </c>
      <c r="K3717" s="9" t="s">
        <v>17790</v>
      </c>
      <c r="L3717" s="9" t="s">
        <v>18158</v>
      </c>
      <c r="M3717" s="9" t="s">
        <v>22041</v>
      </c>
      <c r="N3717" s="9" t="s">
        <v>17746</v>
      </c>
      <c r="O3717" s="9" t="s">
        <v>39437</v>
      </c>
      <c r="P3717" s="9" t="s">
        <v>17748</v>
      </c>
      <c r="Q3717" s="11" t="s">
        <v>17792</v>
      </c>
      <c r="R3717" s="11" t="s">
        <v>17792</v>
      </c>
      <c r="S3717" s="11" t="s">
        <v>17750</v>
      </c>
    </row>
    <row r="3718" spans="1:19" x14ac:dyDescent="0.2">
      <c r="A3718" s="11" t="s">
        <v>39438</v>
      </c>
      <c r="B3718" s="9" t="s">
        <v>39439</v>
      </c>
      <c r="C3718" s="9" t="s">
        <v>39440</v>
      </c>
      <c r="D3718" s="9" t="s">
        <v>39441</v>
      </c>
      <c r="E3718" s="9" t="s">
        <v>17740</v>
      </c>
      <c r="F3718" s="9" t="s">
        <v>17741</v>
      </c>
      <c r="G3718" s="9" t="s">
        <v>17740</v>
      </c>
      <c r="H3718" s="11" t="s">
        <v>2782</v>
      </c>
      <c r="I3718" s="11" t="s">
        <v>2781</v>
      </c>
      <c r="J3718" s="11" t="s">
        <v>2781</v>
      </c>
      <c r="K3718" s="9" t="s">
        <v>39442</v>
      </c>
      <c r="L3718" s="9" t="s">
        <v>18242</v>
      </c>
      <c r="M3718" s="9" t="s">
        <v>17769</v>
      </c>
      <c r="N3718" s="9" t="s">
        <v>17746</v>
      </c>
      <c r="O3718" s="9" t="s">
        <v>17993</v>
      </c>
      <c r="P3718" s="9" t="s">
        <v>17748</v>
      </c>
      <c r="Q3718" s="11" t="s">
        <v>20021</v>
      </c>
      <c r="R3718" s="11" t="s">
        <v>20021</v>
      </c>
      <c r="S3718" s="11" t="s">
        <v>17750</v>
      </c>
    </row>
    <row r="3719" spans="1:19" x14ac:dyDescent="0.2">
      <c r="A3719" s="11" t="s">
        <v>39443</v>
      </c>
      <c r="B3719" s="9" t="s">
        <v>39444</v>
      </c>
      <c r="C3719" s="9" t="s">
        <v>39445</v>
      </c>
      <c r="D3719" s="9" t="s">
        <v>39446</v>
      </c>
      <c r="E3719" s="9" t="s">
        <v>17740</v>
      </c>
      <c r="F3719" s="9" t="s">
        <v>17741</v>
      </c>
      <c r="G3719" s="9" t="s">
        <v>17740</v>
      </c>
      <c r="H3719" s="11" t="s">
        <v>39447</v>
      </c>
      <c r="I3719" s="11" t="s">
        <v>39448</v>
      </c>
      <c r="J3719" s="11" t="s">
        <v>39448</v>
      </c>
      <c r="K3719" s="9" t="s">
        <v>39449</v>
      </c>
      <c r="L3719" s="9" t="s">
        <v>18242</v>
      </c>
      <c r="M3719" s="9" t="s">
        <v>17760</v>
      </c>
      <c r="N3719" s="9" t="s">
        <v>21524</v>
      </c>
      <c r="O3719" s="9" t="s">
        <v>18340</v>
      </c>
      <c r="P3719" s="9" t="s">
        <v>17748</v>
      </c>
      <c r="Q3719" s="11" t="s">
        <v>20589</v>
      </c>
      <c r="R3719" s="11" t="s">
        <v>20589</v>
      </c>
      <c r="S3719" s="11" t="s">
        <v>17750</v>
      </c>
    </row>
    <row r="3720" spans="1:19" x14ac:dyDescent="0.2">
      <c r="A3720" s="11" t="s">
        <v>39450</v>
      </c>
      <c r="B3720" s="9" t="s">
        <v>39451</v>
      </c>
      <c r="C3720" s="9" t="s">
        <v>39452</v>
      </c>
      <c r="D3720" s="9" t="s">
        <v>39453</v>
      </c>
      <c r="E3720" s="9" t="s">
        <v>17748</v>
      </c>
      <c r="F3720" s="9" t="s">
        <v>39454</v>
      </c>
      <c r="G3720" s="9" t="s">
        <v>17740</v>
      </c>
      <c r="H3720" s="11" t="s">
        <v>17741</v>
      </c>
      <c r="I3720" s="11" t="s">
        <v>39455</v>
      </c>
      <c r="J3720" s="11" t="s">
        <v>39455</v>
      </c>
      <c r="K3720" s="9" t="s">
        <v>39456</v>
      </c>
      <c r="L3720" s="9" t="s">
        <v>18242</v>
      </c>
      <c r="M3720" s="9" t="s">
        <v>18745</v>
      </c>
      <c r="N3720" s="9" t="s">
        <v>21524</v>
      </c>
      <c r="O3720" s="9" t="s">
        <v>27127</v>
      </c>
      <c r="P3720" s="9" t="s">
        <v>17748</v>
      </c>
      <c r="Q3720" s="11" t="s">
        <v>18272</v>
      </c>
      <c r="R3720" s="11" t="s">
        <v>18272</v>
      </c>
      <c r="S3720" s="11" t="s">
        <v>17750</v>
      </c>
    </row>
    <row r="3721" spans="1:19" x14ac:dyDescent="0.2">
      <c r="A3721" s="11" t="s">
        <v>39457</v>
      </c>
      <c r="B3721" s="9" t="s">
        <v>39458</v>
      </c>
      <c r="C3721" s="9" t="s">
        <v>39459</v>
      </c>
      <c r="D3721" s="9" t="s">
        <v>39460</v>
      </c>
      <c r="E3721" s="9" t="s">
        <v>17748</v>
      </c>
      <c r="F3721" s="9" t="s">
        <v>39461</v>
      </c>
      <c r="G3721" s="9" t="s">
        <v>17740</v>
      </c>
      <c r="H3721" s="11" t="s">
        <v>39462</v>
      </c>
      <c r="I3721" s="11" t="s">
        <v>17741</v>
      </c>
      <c r="J3721" s="11" t="s">
        <v>39462</v>
      </c>
      <c r="K3721" s="9" t="s">
        <v>17089</v>
      </c>
      <c r="L3721" s="9" t="s">
        <v>18158</v>
      </c>
      <c r="M3721" s="9" t="s">
        <v>18745</v>
      </c>
      <c r="N3721" s="9" t="s">
        <v>18185</v>
      </c>
      <c r="O3721" s="9" t="s">
        <v>18035</v>
      </c>
      <c r="P3721" s="9" t="s">
        <v>17748</v>
      </c>
      <c r="Q3721" s="11" t="s">
        <v>18356</v>
      </c>
      <c r="R3721" s="11" t="s">
        <v>18356</v>
      </c>
      <c r="S3721" s="11" t="s">
        <v>17750</v>
      </c>
    </row>
    <row r="3722" spans="1:19" x14ac:dyDescent="0.2">
      <c r="A3722" s="11" t="s">
        <v>39463</v>
      </c>
      <c r="B3722" s="9" t="s">
        <v>39464</v>
      </c>
      <c r="C3722" s="9" t="s">
        <v>39465</v>
      </c>
      <c r="D3722" s="9" t="s">
        <v>39466</v>
      </c>
      <c r="E3722" s="9" t="s">
        <v>17740</v>
      </c>
      <c r="F3722" s="9" t="s">
        <v>39467</v>
      </c>
      <c r="G3722" s="9" t="s">
        <v>17740</v>
      </c>
      <c r="H3722" s="11" t="s">
        <v>17741</v>
      </c>
      <c r="I3722" s="11" t="s">
        <v>39468</v>
      </c>
      <c r="J3722" s="11" t="s">
        <v>39468</v>
      </c>
      <c r="K3722" s="9" t="s">
        <v>39469</v>
      </c>
      <c r="L3722" s="9" t="s">
        <v>20598</v>
      </c>
      <c r="M3722" s="9" t="s">
        <v>17817</v>
      </c>
      <c r="N3722" s="9" t="s">
        <v>36348</v>
      </c>
      <c r="O3722" s="9" t="s">
        <v>1675</v>
      </c>
      <c r="P3722" s="9" t="s">
        <v>17748</v>
      </c>
      <c r="Q3722" s="11" t="s">
        <v>17858</v>
      </c>
      <c r="R3722" s="11" t="s">
        <v>17858</v>
      </c>
      <c r="S3722" s="11" t="s">
        <v>17750</v>
      </c>
    </row>
    <row r="3723" spans="1:19" x14ac:dyDescent="0.2">
      <c r="A3723" s="11" t="s">
        <v>39470</v>
      </c>
      <c r="B3723" s="9" t="s">
        <v>39471</v>
      </c>
      <c r="C3723" s="9" t="s">
        <v>39472</v>
      </c>
      <c r="D3723" s="9" t="s">
        <v>39473</v>
      </c>
      <c r="E3723" s="9" t="s">
        <v>17740</v>
      </c>
      <c r="F3723" s="9" t="s">
        <v>17741</v>
      </c>
      <c r="G3723" s="9" t="s">
        <v>17740</v>
      </c>
      <c r="H3723" s="11" t="s">
        <v>5710</v>
      </c>
      <c r="I3723" s="11" t="s">
        <v>5709</v>
      </c>
      <c r="J3723" s="11" t="s">
        <v>5709</v>
      </c>
      <c r="K3723" s="9" t="s">
        <v>5711</v>
      </c>
      <c r="L3723" s="9" t="s">
        <v>20598</v>
      </c>
      <c r="M3723" s="9" t="s">
        <v>27799</v>
      </c>
      <c r="N3723" s="9" t="s">
        <v>17746</v>
      </c>
      <c r="O3723" s="9" t="s">
        <v>5938</v>
      </c>
      <c r="P3723" s="9" t="s">
        <v>17748</v>
      </c>
      <c r="Q3723" s="11" t="s">
        <v>18059</v>
      </c>
      <c r="R3723" s="11" t="s">
        <v>18059</v>
      </c>
      <c r="S3723" s="11" t="s">
        <v>17750</v>
      </c>
    </row>
    <row r="3724" spans="1:19" x14ac:dyDescent="0.2">
      <c r="A3724" s="11" t="s">
        <v>39474</v>
      </c>
      <c r="B3724" s="9" t="s">
        <v>39475</v>
      </c>
      <c r="C3724" s="9" t="s">
        <v>39476</v>
      </c>
      <c r="D3724" s="9" t="s">
        <v>39477</v>
      </c>
      <c r="E3724" s="9" t="s">
        <v>17740</v>
      </c>
      <c r="F3724" s="9" t="s">
        <v>17741</v>
      </c>
      <c r="G3724" s="9" t="s">
        <v>17740</v>
      </c>
      <c r="H3724" s="11" t="s">
        <v>17741</v>
      </c>
      <c r="I3724" s="11" t="s">
        <v>39478</v>
      </c>
      <c r="J3724" s="11" t="s">
        <v>39478</v>
      </c>
      <c r="K3724" s="9" t="s">
        <v>39479</v>
      </c>
      <c r="L3724" s="9" t="s">
        <v>20598</v>
      </c>
      <c r="M3724" s="9" t="s">
        <v>18211</v>
      </c>
      <c r="N3724" s="9" t="s">
        <v>17746</v>
      </c>
      <c r="O3724" s="9" t="s">
        <v>3255</v>
      </c>
      <c r="P3724" s="9" t="s">
        <v>17748</v>
      </c>
      <c r="Q3724" s="11" t="s">
        <v>18364</v>
      </c>
      <c r="R3724" s="11" t="s">
        <v>18364</v>
      </c>
      <c r="S3724" s="11" t="s">
        <v>17750</v>
      </c>
    </row>
    <row r="3725" spans="1:19" x14ac:dyDescent="0.2">
      <c r="A3725" s="11" t="s">
        <v>39480</v>
      </c>
      <c r="B3725" s="9" t="s">
        <v>39481</v>
      </c>
      <c r="C3725" s="9" t="s">
        <v>39482</v>
      </c>
      <c r="D3725" s="9" t="s">
        <v>39483</v>
      </c>
      <c r="E3725" s="9" t="s">
        <v>17748</v>
      </c>
      <c r="F3725" s="9" t="s">
        <v>39484</v>
      </c>
      <c r="G3725" s="9" t="s">
        <v>17740</v>
      </c>
      <c r="H3725" s="11" t="s">
        <v>2809</v>
      </c>
      <c r="I3725" s="11" t="s">
        <v>2808</v>
      </c>
      <c r="J3725" s="11" t="s">
        <v>2808</v>
      </c>
      <c r="K3725" s="9" t="s">
        <v>39485</v>
      </c>
      <c r="L3725" s="9" t="s">
        <v>20598</v>
      </c>
      <c r="M3725" s="9" t="s">
        <v>17760</v>
      </c>
      <c r="N3725" s="9" t="s">
        <v>17746</v>
      </c>
      <c r="O3725" s="9" t="s">
        <v>3309</v>
      </c>
      <c r="P3725" s="9" t="s">
        <v>17748</v>
      </c>
      <c r="Q3725" s="11" t="s">
        <v>17792</v>
      </c>
      <c r="R3725" s="11" t="s">
        <v>17792</v>
      </c>
      <c r="S3725" s="11" t="s">
        <v>17750</v>
      </c>
    </row>
    <row r="3726" spans="1:19" x14ac:dyDescent="0.2">
      <c r="A3726" s="11" t="s">
        <v>39486</v>
      </c>
      <c r="B3726" s="9" t="s">
        <v>39487</v>
      </c>
      <c r="C3726" s="9" t="s">
        <v>39488</v>
      </c>
      <c r="D3726" s="9" t="s">
        <v>39489</v>
      </c>
      <c r="E3726" s="9" t="s">
        <v>17740</v>
      </c>
      <c r="F3726" s="9" t="s">
        <v>17741</v>
      </c>
      <c r="G3726" s="9" t="s">
        <v>17740</v>
      </c>
      <c r="H3726" s="11" t="s">
        <v>39490</v>
      </c>
      <c r="I3726" s="11" t="s">
        <v>9609</v>
      </c>
      <c r="J3726" s="11" t="s">
        <v>9609</v>
      </c>
      <c r="K3726" s="9" t="s">
        <v>30979</v>
      </c>
      <c r="L3726" s="9" t="s">
        <v>20598</v>
      </c>
      <c r="M3726" s="9" t="s">
        <v>28990</v>
      </c>
      <c r="N3726" s="9" t="s">
        <v>17746</v>
      </c>
      <c r="O3726" s="9" t="s">
        <v>3543</v>
      </c>
      <c r="P3726" s="9" t="s">
        <v>17748</v>
      </c>
      <c r="Q3726" s="11" t="s">
        <v>17784</v>
      </c>
      <c r="R3726" s="11" t="s">
        <v>17784</v>
      </c>
      <c r="S3726" s="11" t="s">
        <v>17750</v>
      </c>
    </row>
    <row r="3727" spans="1:19" x14ac:dyDescent="0.2">
      <c r="A3727" s="11" t="s">
        <v>39491</v>
      </c>
      <c r="B3727" s="9" t="s">
        <v>39492</v>
      </c>
      <c r="C3727" s="9" t="s">
        <v>39492</v>
      </c>
      <c r="D3727" s="9" t="s">
        <v>39493</v>
      </c>
      <c r="E3727" s="9" t="s">
        <v>17740</v>
      </c>
      <c r="F3727" s="9" t="s">
        <v>17741</v>
      </c>
      <c r="G3727" s="9" t="s">
        <v>17740</v>
      </c>
      <c r="H3727" s="11" t="s">
        <v>17741</v>
      </c>
      <c r="I3727" s="11" t="s">
        <v>39494</v>
      </c>
      <c r="J3727" s="11" t="s">
        <v>39494</v>
      </c>
      <c r="K3727" s="9" t="s">
        <v>39495</v>
      </c>
      <c r="L3727" s="9" t="s">
        <v>17991</v>
      </c>
      <c r="M3727" s="9" t="s">
        <v>18289</v>
      </c>
      <c r="N3727" s="9" t="s">
        <v>20424</v>
      </c>
      <c r="O3727" s="9" t="s">
        <v>20690</v>
      </c>
      <c r="P3727" s="9" t="s">
        <v>17748</v>
      </c>
      <c r="Q3727" s="11" t="s">
        <v>18341</v>
      </c>
      <c r="R3727" s="11" t="s">
        <v>18341</v>
      </c>
      <c r="S3727" s="11" t="s">
        <v>17750</v>
      </c>
    </row>
    <row r="3728" spans="1:19" x14ac:dyDescent="0.2">
      <c r="A3728" s="11" t="s">
        <v>39496</v>
      </c>
      <c r="B3728" s="9" t="s">
        <v>39497</v>
      </c>
      <c r="C3728" s="9" t="s">
        <v>39498</v>
      </c>
      <c r="D3728" s="9" t="s">
        <v>39499</v>
      </c>
      <c r="E3728" s="9" t="s">
        <v>17740</v>
      </c>
      <c r="F3728" s="9" t="s">
        <v>39500</v>
      </c>
      <c r="G3728" s="9" t="s">
        <v>17740</v>
      </c>
      <c r="H3728" s="11" t="s">
        <v>17741</v>
      </c>
      <c r="I3728" s="11" t="s">
        <v>39501</v>
      </c>
      <c r="J3728" s="11" t="s">
        <v>39501</v>
      </c>
      <c r="K3728" s="9" t="s">
        <v>39502</v>
      </c>
      <c r="L3728" s="9" t="s">
        <v>18158</v>
      </c>
      <c r="M3728" s="9" t="s">
        <v>17817</v>
      </c>
      <c r="N3728" s="9" t="s">
        <v>18185</v>
      </c>
      <c r="O3728" s="9" t="s">
        <v>17800</v>
      </c>
      <c r="P3728" s="9" t="s">
        <v>17748</v>
      </c>
      <c r="Q3728" s="11" t="s">
        <v>19222</v>
      </c>
      <c r="R3728" s="11" t="s">
        <v>19222</v>
      </c>
      <c r="S3728" s="11" t="s">
        <v>17750</v>
      </c>
    </row>
    <row r="3729" spans="1:19" x14ac:dyDescent="0.2">
      <c r="A3729" s="11" t="s">
        <v>39503</v>
      </c>
      <c r="B3729" s="9" t="s">
        <v>39504</v>
      </c>
      <c r="C3729" s="9" t="s">
        <v>39505</v>
      </c>
      <c r="D3729" s="9" t="s">
        <v>39506</v>
      </c>
      <c r="E3729" s="9" t="s">
        <v>17740</v>
      </c>
      <c r="F3729" s="9" t="s">
        <v>39507</v>
      </c>
      <c r="G3729" s="9" t="s">
        <v>17740</v>
      </c>
      <c r="H3729" s="11" t="s">
        <v>17741</v>
      </c>
      <c r="I3729" s="11" t="s">
        <v>39508</v>
      </c>
      <c r="J3729" s="11" t="s">
        <v>39508</v>
      </c>
      <c r="K3729" s="9" t="s">
        <v>39509</v>
      </c>
      <c r="L3729" s="9" t="s">
        <v>18123</v>
      </c>
      <c r="M3729" s="9" t="s">
        <v>17817</v>
      </c>
      <c r="N3729" s="9" t="s">
        <v>18042</v>
      </c>
      <c r="O3729" s="9" t="s">
        <v>17800</v>
      </c>
      <c r="P3729" s="9" t="s">
        <v>17748</v>
      </c>
      <c r="Q3729" s="11" t="s">
        <v>18251</v>
      </c>
      <c r="R3729" s="11" t="s">
        <v>18251</v>
      </c>
      <c r="S3729" s="11" t="s">
        <v>17750</v>
      </c>
    </row>
    <row r="3730" spans="1:19" x14ac:dyDescent="0.2">
      <c r="A3730" s="11" t="s">
        <v>39510</v>
      </c>
      <c r="B3730" s="9" t="s">
        <v>39511</v>
      </c>
      <c r="C3730" s="9" t="s">
        <v>39512</v>
      </c>
      <c r="D3730" s="9" t="s">
        <v>39513</v>
      </c>
      <c r="E3730" s="9" t="s">
        <v>17740</v>
      </c>
      <c r="F3730" s="9" t="s">
        <v>17741</v>
      </c>
      <c r="G3730" s="9" t="s">
        <v>17740</v>
      </c>
      <c r="H3730" s="11" t="s">
        <v>17741</v>
      </c>
      <c r="I3730" s="11" t="s">
        <v>39514</v>
      </c>
      <c r="J3730" s="11" t="s">
        <v>39514</v>
      </c>
      <c r="K3730" s="9" t="s">
        <v>39515</v>
      </c>
      <c r="L3730" s="9" t="s">
        <v>18396</v>
      </c>
      <c r="M3730" s="9" t="s">
        <v>22559</v>
      </c>
      <c r="N3730" s="9" t="s">
        <v>39516</v>
      </c>
      <c r="O3730" s="9" t="s">
        <v>39517</v>
      </c>
      <c r="P3730" s="9" t="s">
        <v>17748</v>
      </c>
      <c r="Q3730" s="11" t="s">
        <v>18080</v>
      </c>
      <c r="R3730" s="11" t="s">
        <v>18080</v>
      </c>
      <c r="S3730" s="11" t="s">
        <v>17750</v>
      </c>
    </row>
    <row r="3731" spans="1:19" x14ac:dyDescent="0.2">
      <c r="A3731" s="11" t="s">
        <v>39518</v>
      </c>
      <c r="B3731" s="9" t="s">
        <v>39519</v>
      </c>
      <c r="C3731" s="9" t="s">
        <v>39520</v>
      </c>
      <c r="D3731" s="9" t="s">
        <v>39521</v>
      </c>
      <c r="E3731" s="9" t="s">
        <v>17740</v>
      </c>
      <c r="F3731" s="9" t="s">
        <v>17741</v>
      </c>
      <c r="G3731" s="9" t="s">
        <v>17740</v>
      </c>
      <c r="H3731" s="11" t="s">
        <v>2805</v>
      </c>
      <c r="I3731" s="11" t="s">
        <v>2804</v>
      </c>
      <c r="J3731" s="11" t="s">
        <v>2804</v>
      </c>
      <c r="K3731" s="9" t="s">
        <v>39522</v>
      </c>
      <c r="L3731" s="9" t="s">
        <v>18242</v>
      </c>
      <c r="M3731" s="9" t="s">
        <v>17778</v>
      </c>
      <c r="N3731" s="9" t="s">
        <v>17746</v>
      </c>
      <c r="O3731" s="9" t="s">
        <v>17993</v>
      </c>
      <c r="P3731" s="9" t="s">
        <v>17748</v>
      </c>
      <c r="Q3731" s="11" t="s">
        <v>17969</v>
      </c>
      <c r="R3731" s="11" t="s">
        <v>17969</v>
      </c>
      <c r="S3731" s="11" t="s">
        <v>17750</v>
      </c>
    </row>
    <row r="3732" spans="1:19" x14ac:dyDescent="0.2">
      <c r="A3732" s="11" t="s">
        <v>39523</v>
      </c>
      <c r="B3732" s="9" t="s">
        <v>39524</v>
      </c>
      <c r="C3732" s="9" t="s">
        <v>39525</v>
      </c>
      <c r="D3732" s="9" t="s">
        <v>39526</v>
      </c>
      <c r="E3732" s="9" t="s">
        <v>17740</v>
      </c>
      <c r="F3732" s="9" t="s">
        <v>39527</v>
      </c>
      <c r="G3732" s="9" t="s">
        <v>17740</v>
      </c>
      <c r="H3732" s="11" t="s">
        <v>17741</v>
      </c>
      <c r="I3732" s="11" t="s">
        <v>39528</v>
      </c>
      <c r="J3732" s="11" t="s">
        <v>39528</v>
      </c>
      <c r="K3732" s="9" t="s">
        <v>39529</v>
      </c>
      <c r="L3732" s="9" t="s">
        <v>17967</v>
      </c>
      <c r="M3732" s="9" t="s">
        <v>17760</v>
      </c>
      <c r="N3732" s="9" t="s">
        <v>18492</v>
      </c>
      <c r="O3732" s="9" t="s">
        <v>39530</v>
      </c>
      <c r="P3732" s="9" t="s">
        <v>17748</v>
      </c>
      <c r="Q3732" s="11" t="s">
        <v>18234</v>
      </c>
      <c r="R3732" s="11" t="s">
        <v>18234</v>
      </c>
      <c r="S3732" s="11" t="s">
        <v>17750</v>
      </c>
    </row>
    <row r="3733" spans="1:19" x14ac:dyDescent="0.2">
      <c r="A3733" s="11" t="s">
        <v>39531</v>
      </c>
      <c r="B3733" s="9" t="s">
        <v>39532</v>
      </c>
      <c r="C3733" s="9" t="s">
        <v>39533</v>
      </c>
      <c r="D3733" s="9" t="s">
        <v>39534</v>
      </c>
      <c r="E3733" s="9" t="s">
        <v>17740</v>
      </c>
      <c r="F3733" s="9" t="s">
        <v>17741</v>
      </c>
      <c r="G3733" s="9" t="s">
        <v>17740</v>
      </c>
      <c r="H3733" s="11" t="s">
        <v>17741</v>
      </c>
      <c r="I3733" s="11" t="s">
        <v>39535</v>
      </c>
      <c r="J3733" s="11" t="s">
        <v>39535</v>
      </c>
      <c r="K3733" s="9" t="s">
        <v>39536</v>
      </c>
      <c r="L3733" s="9" t="s">
        <v>18242</v>
      </c>
      <c r="M3733" s="9" t="s">
        <v>33209</v>
      </c>
      <c r="N3733" s="9" t="s">
        <v>21524</v>
      </c>
      <c r="O3733" s="9" t="s">
        <v>20766</v>
      </c>
      <c r="P3733" s="9" t="s">
        <v>17748</v>
      </c>
      <c r="Q3733" s="11" t="s">
        <v>18178</v>
      </c>
      <c r="R3733" s="11" t="s">
        <v>18178</v>
      </c>
      <c r="S3733" s="11" t="s">
        <v>17750</v>
      </c>
    </row>
    <row r="3734" spans="1:19" x14ac:dyDescent="0.2">
      <c r="A3734" s="11" t="s">
        <v>39537</v>
      </c>
      <c r="B3734" s="9" t="s">
        <v>39538</v>
      </c>
      <c r="C3734" s="9" t="s">
        <v>39539</v>
      </c>
      <c r="D3734" s="9" t="s">
        <v>39540</v>
      </c>
      <c r="E3734" s="9" t="s">
        <v>17740</v>
      </c>
      <c r="F3734" s="9" t="s">
        <v>17741</v>
      </c>
      <c r="G3734" s="9" t="s">
        <v>17740</v>
      </c>
      <c r="H3734" s="11" t="s">
        <v>39541</v>
      </c>
      <c r="I3734" s="11" t="s">
        <v>39542</v>
      </c>
      <c r="J3734" s="11" t="s">
        <v>39542</v>
      </c>
      <c r="K3734" s="9" t="s">
        <v>39543</v>
      </c>
      <c r="L3734" s="9" t="s">
        <v>17759</v>
      </c>
      <c r="M3734" s="9" t="s">
        <v>39544</v>
      </c>
      <c r="N3734" s="9" t="s">
        <v>17746</v>
      </c>
      <c r="O3734" s="9" t="s">
        <v>19369</v>
      </c>
      <c r="P3734" s="9" t="s">
        <v>17748</v>
      </c>
      <c r="Q3734" s="11" t="s">
        <v>19082</v>
      </c>
      <c r="R3734" s="11" t="s">
        <v>19082</v>
      </c>
      <c r="S3734" s="11" t="s">
        <v>17750</v>
      </c>
    </row>
    <row r="3735" spans="1:19" x14ac:dyDescent="0.2">
      <c r="A3735" s="11" t="s">
        <v>39545</v>
      </c>
      <c r="B3735" s="9" t="s">
        <v>39546</v>
      </c>
      <c r="C3735" s="9" t="s">
        <v>39547</v>
      </c>
      <c r="D3735" s="9" t="s">
        <v>39548</v>
      </c>
      <c r="E3735" s="9" t="s">
        <v>17740</v>
      </c>
      <c r="F3735" s="9" t="s">
        <v>17741</v>
      </c>
      <c r="G3735" s="9" t="s">
        <v>17740</v>
      </c>
      <c r="H3735" s="11" t="s">
        <v>9248</v>
      </c>
      <c r="I3735" s="11" t="s">
        <v>9247</v>
      </c>
      <c r="J3735" s="11" t="s">
        <v>9248</v>
      </c>
      <c r="K3735" s="9" t="s">
        <v>6914</v>
      </c>
      <c r="L3735" s="9" t="s">
        <v>17744</v>
      </c>
      <c r="M3735" s="9" t="s">
        <v>23595</v>
      </c>
      <c r="N3735" s="9" t="s">
        <v>17746</v>
      </c>
      <c r="O3735" s="9" t="s">
        <v>39549</v>
      </c>
      <c r="P3735" s="9" t="s">
        <v>17748</v>
      </c>
      <c r="Q3735" s="11" t="s">
        <v>18922</v>
      </c>
      <c r="R3735" s="11" t="s">
        <v>18922</v>
      </c>
      <c r="S3735" s="11" t="s">
        <v>17750</v>
      </c>
    </row>
    <row r="3736" spans="1:19" x14ac:dyDescent="0.2">
      <c r="A3736" s="11" t="s">
        <v>39550</v>
      </c>
      <c r="B3736" s="9" t="s">
        <v>39551</v>
      </c>
      <c r="C3736" s="9" t="s">
        <v>39552</v>
      </c>
      <c r="D3736" s="9" t="s">
        <v>39553</v>
      </c>
      <c r="E3736" s="9" t="s">
        <v>17740</v>
      </c>
      <c r="F3736" s="9" t="s">
        <v>17741</v>
      </c>
      <c r="G3736" s="9" t="s">
        <v>17740</v>
      </c>
      <c r="H3736" s="11" t="s">
        <v>39554</v>
      </c>
      <c r="I3736" s="11" t="s">
        <v>2827</v>
      </c>
      <c r="J3736" s="11" t="s">
        <v>2827</v>
      </c>
      <c r="K3736" s="9" t="s">
        <v>18520</v>
      </c>
      <c r="L3736" s="9" t="s">
        <v>17744</v>
      </c>
      <c r="M3736" s="9" t="s">
        <v>39555</v>
      </c>
      <c r="N3736" s="9" t="s">
        <v>17746</v>
      </c>
      <c r="O3736" s="9" t="s">
        <v>19369</v>
      </c>
      <c r="P3736" s="9" t="s">
        <v>17748</v>
      </c>
      <c r="Q3736" s="11" t="s">
        <v>18813</v>
      </c>
      <c r="R3736" s="11" t="s">
        <v>18813</v>
      </c>
      <c r="S3736" s="11" t="s">
        <v>17750</v>
      </c>
    </row>
    <row r="3737" spans="1:19" x14ac:dyDescent="0.2">
      <c r="A3737" s="11" t="s">
        <v>39556</v>
      </c>
      <c r="B3737" s="9" t="s">
        <v>39557</v>
      </c>
      <c r="C3737" s="9" t="s">
        <v>39558</v>
      </c>
      <c r="D3737" s="9" t="s">
        <v>39559</v>
      </c>
      <c r="E3737" s="9" t="s">
        <v>17740</v>
      </c>
      <c r="F3737" s="9" t="s">
        <v>17741</v>
      </c>
      <c r="G3737" s="9" t="s">
        <v>17740</v>
      </c>
      <c r="H3737" s="11" t="s">
        <v>39560</v>
      </c>
      <c r="I3737" s="11" t="s">
        <v>8535</v>
      </c>
      <c r="J3737" s="11" t="s">
        <v>8535</v>
      </c>
      <c r="K3737" s="9" t="s">
        <v>39561</v>
      </c>
      <c r="L3737" s="9" t="s">
        <v>17759</v>
      </c>
      <c r="M3737" s="9" t="s">
        <v>17760</v>
      </c>
      <c r="N3737" s="9" t="s">
        <v>17746</v>
      </c>
      <c r="O3737" s="9" t="s">
        <v>39562</v>
      </c>
      <c r="P3737" s="9" t="s">
        <v>17748</v>
      </c>
      <c r="Q3737" s="11" t="s">
        <v>19361</v>
      </c>
      <c r="R3737" s="11" t="s">
        <v>19361</v>
      </c>
      <c r="S3737" s="11" t="s">
        <v>17750</v>
      </c>
    </row>
    <row r="3738" spans="1:19" x14ac:dyDescent="0.2">
      <c r="A3738" s="11" t="s">
        <v>39563</v>
      </c>
      <c r="B3738" s="9" t="s">
        <v>39564</v>
      </c>
      <c r="C3738" s="9" t="s">
        <v>39565</v>
      </c>
      <c r="D3738" s="9" t="s">
        <v>39566</v>
      </c>
      <c r="E3738" s="9" t="s">
        <v>17740</v>
      </c>
      <c r="F3738" s="9" t="s">
        <v>39567</v>
      </c>
      <c r="G3738" s="9" t="s">
        <v>17740</v>
      </c>
      <c r="H3738" s="11" t="s">
        <v>2815</v>
      </c>
      <c r="I3738" s="11" t="s">
        <v>2814</v>
      </c>
      <c r="J3738" s="11" t="s">
        <v>2814</v>
      </c>
      <c r="K3738" s="9" t="s">
        <v>17741</v>
      </c>
      <c r="L3738" s="9" t="s">
        <v>17759</v>
      </c>
      <c r="M3738" s="9" t="s">
        <v>39568</v>
      </c>
      <c r="N3738" s="9" t="s">
        <v>17746</v>
      </c>
      <c r="O3738" s="9" t="s">
        <v>39569</v>
      </c>
      <c r="P3738" s="9" t="s">
        <v>17748</v>
      </c>
      <c r="Q3738" s="11" t="s">
        <v>19978</v>
      </c>
      <c r="R3738" s="11" t="s">
        <v>19978</v>
      </c>
      <c r="S3738" s="11" t="s">
        <v>17750</v>
      </c>
    </row>
    <row r="3739" spans="1:19" x14ac:dyDescent="0.2">
      <c r="A3739" s="11" t="s">
        <v>39570</v>
      </c>
      <c r="B3739" s="9" t="s">
        <v>39571</v>
      </c>
      <c r="C3739" s="9" t="s">
        <v>39572</v>
      </c>
      <c r="D3739" s="9" t="s">
        <v>39573</v>
      </c>
      <c r="E3739" s="9" t="s">
        <v>17740</v>
      </c>
      <c r="F3739" s="9" t="s">
        <v>17741</v>
      </c>
      <c r="G3739" s="9" t="s">
        <v>17740</v>
      </c>
      <c r="H3739" s="11" t="s">
        <v>39574</v>
      </c>
      <c r="I3739" s="11" t="s">
        <v>39575</v>
      </c>
      <c r="J3739" s="11" t="s">
        <v>39575</v>
      </c>
      <c r="K3739" s="9" t="s">
        <v>39576</v>
      </c>
      <c r="L3739" s="9" t="s">
        <v>39577</v>
      </c>
      <c r="M3739" s="9" t="s">
        <v>18289</v>
      </c>
      <c r="N3739" s="9" t="s">
        <v>39578</v>
      </c>
      <c r="O3739" s="9" t="s">
        <v>17993</v>
      </c>
      <c r="P3739" s="9" t="s">
        <v>17748</v>
      </c>
      <c r="Q3739" s="11" t="s">
        <v>38526</v>
      </c>
      <c r="R3739" s="11" t="s">
        <v>38526</v>
      </c>
      <c r="S3739" s="11" t="s">
        <v>17750</v>
      </c>
    </row>
    <row r="3740" spans="1:19" x14ac:dyDescent="0.2">
      <c r="A3740" s="11" t="s">
        <v>39579</v>
      </c>
      <c r="B3740" s="9" t="s">
        <v>39580</v>
      </c>
      <c r="C3740" s="9" t="s">
        <v>39581</v>
      </c>
      <c r="D3740" s="9" t="s">
        <v>39582</v>
      </c>
      <c r="E3740" s="9" t="s">
        <v>17740</v>
      </c>
      <c r="F3740" s="9" t="s">
        <v>39583</v>
      </c>
      <c r="G3740" s="9" t="s">
        <v>17740</v>
      </c>
      <c r="H3740" s="11" t="s">
        <v>39584</v>
      </c>
      <c r="I3740" s="11" t="s">
        <v>39585</v>
      </c>
      <c r="J3740" s="11" t="s">
        <v>39585</v>
      </c>
      <c r="K3740" s="9" t="s">
        <v>39586</v>
      </c>
      <c r="L3740" s="9" t="s">
        <v>18130</v>
      </c>
      <c r="M3740" s="9" t="s">
        <v>23186</v>
      </c>
      <c r="N3740" s="9" t="s">
        <v>39587</v>
      </c>
      <c r="O3740" s="9" t="s">
        <v>17993</v>
      </c>
      <c r="P3740" s="9" t="s">
        <v>17748</v>
      </c>
      <c r="Q3740" s="11" t="s">
        <v>18072</v>
      </c>
      <c r="R3740" s="11" t="s">
        <v>18072</v>
      </c>
      <c r="S3740" s="11" t="s">
        <v>17750</v>
      </c>
    </row>
    <row r="3741" spans="1:19" x14ac:dyDescent="0.2">
      <c r="A3741" s="11" t="s">
        <v>39588</v>
      </c>
      <c r="B3741" s="9" t="s">
        <v>39589</v>
      </c>
      <c r="C3741" s="9" t="s">
        <v>39590</v>
      </c>
      <c r="D3741" s="9" t="s">
        <v>39589</v>
      </c>
      <c r="E3741" s="9" t="s">
        <v>17740</v>
      </c>
      <c r="F3741" s="9" t="s">
        <v>17741</v>
      </c>
      <c r="G3741" s="9" t="s">
        <v>17740</v>
      </c>
      <c r="H3741" s="11" t="s">
        <v>2821</v>
      </c>
      <c r="I3741" s="11" t="s">
        <v>2820</v>
      </c>
      <c r="J3741" s="11" t="s">
        <v>2820</v>
      </c>
      <c r="K3741" s="9" t="s">
        <v>2822</v>
      </c>
      <c r="L3741" s="9" t="s">
        <v>17744</v>
      </c>
      <c r="M3741" s="9" t="s">
        <v>23186</v>
      </c>
      <c r="N3741" s="9" t="s">
        <v>17746</v>
      </c>
      <c r="O3741" s="9" t="s">
        <v>17993</v>
      </c>
      <c r="P3741" s="9" t="s">
        <v>17748</v>
      </c>
      <c r="Q3741" s="11" t="s">
        <v>39591</v>
      </c>
      <c r="R3741" s="11" t="s">
        <v>39591</v>
      </c>
      <c r="S3741" s="11" t="s">
        <v>17750</v>
      </c>
    </row>
    <row r="3742" spans="1:19" x14ac:dyDescent="0.2">
      <c r="A3742" s="11" t="s">
        <v>39592</v>
      </c>
      <c r="B3742" s="9" t="s">
        <v>39593</v>
      </c>
      <c r="C3742" s="9" t="s">
        <v>39594</v>
      </c>
      <c r="D3742" s="9" t="s">
        <v>39595</v>
      </c>
      <c r="E3742" s="9" t="s">
        <v>17740</v>
      </c>
      <c r="F3742" s="9" t="s">
        <v>17741</v>
      </c>
      <c r="G3742" s="9" t="s">
        <v>17740</v>
      </c>
      <c r="H3742" s="11" t="s">
        <v>9082</v>
      </c>
      <c r="I3742" s="11" t="s">
        <v>9081</v>
      </c>
      <c r="J3742" s="11" t="s">
        <v>9081</v>
      </c>
      <c r="K3742" s="9" t="s">
        <v>18661</v>
      </c>
      <c r="L3742" s="9" t="s">
        <v>17759</v>
      </c>
      <c r="M3742" s="9" t="s">
        <v>17817</v>
      </c>
      <c r="N3742" s="9" t="s">
        <v>17746</v>
      </c>
      <c r="O3742" s="9" t="s">
        <v>19659</v>
      </c>
      <c r="P3742" s="9" t="s">
        <v>17748</v>
      </c>
      <c r="Q3742" s="11" t="s">
        <v>18922</v>
      </c>
      <c r="R3742" s="11" t="s">
        <v>18922</v>
      </c>
      <c r="S3742" s="11" t="s">
        <v>17750</v>
      </c>
    </row>
    <row r="3743" spans="1:19" x14ac:dyDescent="0.2">
      <c r="A3743" s="11" t="s">
        <v>39596</v>
      </c>
      <c r="B3743" s="9" t="s">
        <v>39597</v>
      </c>
      <c r="C3743" s="9" t="s">
        <v>39598</v>
      </c>
      <c r="D3743" s="9" t="s">
        <v>39599</v>
      </c>
      <c r="E3743" s="9" t="s">
        <v>17740</v>
      </c>
      <c r="F3743" s="9" t="s">
        <v>17741</v>
      </c>
      <c r="G3743" s="9" t="s">
        <v>17740</v>
      </c>
      <c r="H3743" s="11" t="s">
        <v>9513</v>
      </c>
      <c r="I3743" s="11" t="s">
        <v>9512</v>
      </c>
      <c r="J3743" s="11" t="s">
        <v>9512</v>
      </c>
      <c r="K3743" s="9" t="s">
        <v>39600</v>
      </c>
      <c r="L3743" s="9" t="s">
        <v>17744</v>
      </c>
      <c r="M3743" s="9" t="s">
        <v>17817</v>
      </c>
      <c r="N3743" s="9" t="s">
        <v>17746</v>
      </c>
      <c r="O3743" s="9" t="s">
        <v>3100</v>
      </c>
      <c r="P3743" s="9" t="s">
        <v>17748</v>
      </c>
      <c r="Q3743" s="11" t="s">
        <v>17994</v>
      </c>
      <c r="R3743" s="11" t="s">
        <v>17994</v>
      </c>
      <c r="S3743" s="11" t="s">
        <v>17750</v>
      </c>
    </row>
    <row r="3744" spans="1:19" x14ac:dyDescent="0.2">
      <c r="A3744" s="11" t="s">
        <v>39601</v>
      </c>
      <c r="B3744" s="9" t="s">
        <v>39602</v>
      </c>
      <c r="C3744" s="9" t="s">
        <v>39603</v>
      </c>
      <c r="D3744" s="9" t="s">
        <v>39604</v>
      </c>
      <c r="E3744" s="9" t="s">
        <v>17740</v>
      </c>
      <c r="F3744" s="9" t="s">
        <v>17741</v>
      </c>
      <c r="G3744" s="9" t="s">
        <v>17740</v>
      </c>
      <c r="H3744" s="11" t="s">
        <v>8622</v>
      </c>
      <c r="I3744" s="11" t="s">
        <v>8621</v>
      </c>
      <c r="J3744" s="11" t="s">
        <v>8621</v>
      </c>
      <c r="K3744" s="9" t="s">
        <v>39600</v>
      </c>
      <c r="L3744" s="9" t="s">
        <v>17744</v>
      </c>
      <c r="M3744" s="9" t="s">
        <v>17817</v>
      </c>
      <c r="N3744" s="9" t="s">
        <v>17746</v>
      </c>
      <c r="O3744" s="9" t="s">
        <v>18363</v>
      </c>
      <c r="P3744" s="9" t="s">
        <v>17748</v>
      </c>
      <c r="Q3744" s="11" t="s">
        <v>17784</v>
      </c>
      <c r="R3744" s="11" t="s">
        <v>17784</v>
      </c>
      <c r="S3744" s="11" t="s">
        <v>17750</v>
      </c>
    </row>
    <row r="3745" spans="1:19" x14ac:dyDescent="0.2">
      <c r="A3745" s="11" t="s">
        <v>39605</v>
      </c>
      <c r="B3745" s="9" t="s">
        <v>39606</v>
      </c>
      <c r="C3745" s="9" t="s">
        <v>39607</v>
      </c>
      <c r="D3745" s="9" t="s">
        <v>39608</v>
      </c>
      <c r="E3745" s="9" t="s">
        <v>17740</v>
      </c>
      <c r="F3745" s="9" t="s">
        <v>17741</v>
      </c>
      <c r="G3745" s="9" t="s">
        <v>17740</v>
      </c>
      <c r="H3745" s="11" t="s">
        <v>39609</v>
      </c>
      <c r="I3745" s="11" t="s">
        <v>16511</v>
      </c>
      <c r="J3745" s="11" t="s">
        <v>16511</v>
      </c>
      <c r="K3745" s="9" t="s">
        <v>17741</v>
      </c>
      <c r="L3745" s="9" t="s">
        <v>17744</v>
      </c>
      <c r="M3745" s="9" t="s">
        <v>17817</v>
      </c>
      <c r="N3745" s="9" t="s">
        <v>17746</v>
      </c>
      <c r="O3745" s="9" t="s">
        <v>15733</v>
      </c>
      <c r="P3745" s="9" t="s">
        <v>17748</v>
      </c>
      <c r="Q3745" s="11" t="s">
        <v>18089</v>
      </c>
      <c r="R3745" s="11" t="s">
        <v>18089</v>
      </c>
      <c r="S3745" s="11" t="s">
        <v>17750</v>
      </c>
    </row>
    <row r="3746" spans="1:19" x14ac:dyDescent="0.2">
      <c r="A3746" s="11" t="s">
        <v>39610</v>
      </c>
      <c r="B3746" s="9" t="s">
        <v>39611</v>
      </c>
      <c r="C3746" s="9" t="s">
        <v>39612</v>
      </c>
      <c r="D3746" s="9" t="s">
        <v>39613</v>
      </c>
      <c r="E3746" s="9" t="s">
        <v>17748</v>
      </c>
      <c r="F3746" s="9" t="s">
        <v>39614</v>
      </c>
      <c r="G3746" s="9" t="s">
        <v>17740</v>
      </c>
      <c r="H3746" s="11" t="s">
        <v>7777</v>
      </c>
      <c r="I3746" s="11" t="s">
        <v>7776</v>
      </c>
      <c r="J3746" s="11" t="s">
        <v>7776</v>
      </c>
      <c r="K3746" s="9" t="s">
        <v>17089</v>
      </c>
      <c r="L3746" s="9" t="s">
        <v>18158</v>
      </c>
      <c r="M3746" s="9" t="s">
        <v>19492</v>
      </c>
      <c r="N3746" s="9" t="s">
        <v>17746</v>
      </c>
      <c r="O3746" s="9" t="s">
        <v>18035</v>
      </c>
      <c r="P3746" s="9" t="s">
        <v>17748</v>
      </c>
      <c r="Q3746" s="11" t="s">
        <v>18798</v>
      </c>
      <c r="R3746" s="11" t="s">
        <v>18798</v>
      </c>
      <c r="S3746" s="11" t="s">
        <v>17750</v>
      </c>
    </row>
    <row r="3747" spans="1:19" x14ac:dyDescent="0.2">
      <c r="A3747" s="11" t="s">
        <v>39615</v>
      </c>
      <c r="B3747" s="9" t="s">
        <v>39616</v>
      </c>
      <c r="C3747" s="9" t="s">
        <v>39617</v>
      </c>
      <c r="D3747" s="9" t="s">
        <v>39618</v>
      </c>
      <c r="E3747" s="9" t="s">
        <v>17740</v>
      </c>
      <c r="F3747" s="9" t="s">
        <v>17741</v>
      </c>
      <c r="G3747" s="9" t="s">
        <v>17740</v>
      </c>
      <c r="H3747" s="11" t="s">
        <v>39619</v>
      </c>
      <c r="I3747" s="11" t="s">
        <v>39620</v>
      </c>
      <c r="J3747" s="11" t="s">
        <v>39620</v>
      </c>
      <c r="K3747" s="9" t="s">
        <v>776</v>
      </c>
      <c r="L3747" s="9" t="s">
        <v>17759</v>
      </c>
      <c r="M3747" s="9" t="s">
        <v>39621</v>
      </c>
      <c r="N3747" s="9" t="s">
        <v>17746</v>
      </c>
      <c r="O3747" s="9" t="s">
        <v>17882</v>
      </c>
      <c r="P3747" s="9" t="s">
        <v>17748</v>
      </c>
      <c r="Q3747" s="11" t="s">
        <v>18960</v>
      </c>
      <c r="R3747" s="11" t="s">
        <v>18960</v>
      </c>
      <c r="S3747" s="11" t="s">
        <v>17750</v>
      </c>
    </row>
    <row r="3748" spans="1:19" x14ac:dyDescent="0.2">
      <c r="A3748" s="11" t="s">
        <v>39622</v>
      </c>
      <c r="B3748" s="9" t="s">
        <v>39623</v>
      </c>
      <c r="C3748" s="9" t="s">
        <v>39624</v>
      </c>
      <c r="D3748" s="9" t="s">
        <v>39625</v>
      </c>
      <c r="E3748" s="9" t="s">
        <v>17740</v>
      </c>
      <c r="F3748" s="9" t="s">
        <v>17741</v>
      </c>
      <c r="G3748" s="9" t="s">
        <v>17740</v>
      </c>
      <c r="H3748" s="11" t="s">
        <v>39626</v>
      </c>
      <c r="I3748" s="11" t="s">
        <v>39627</v>
      </c>
      <c r="J3748" s="11" t="s">
        <v>39627</v>
      </c>
      <c r="K3748" s="9" t="s">
        <v>18520</v>
      </c>
      <c r="L3748" s="9" t="s">
        <v>17744</v>
      </c>
      <c r="M3748" s="9" t="s">
        <v>17760</v>
      </c>
      <c r="N3748" s="9" t="s">
        <v>17746</v>
      </c>
      <c r="O3748" s="9" t="s">
        <v>19930</v>
      </c>
      <c r="P3748" s="9" t="s">
        <v>17748</v>
      </c>
      <c r="Q3748" s="11" t="s">
        <v>18805</v>
      </c>
      <c r="R3748" s="11" t="s">
        <v>18805</v>
      </c>
      <c r="S3748" s="11" t="s">
        <v>17750</v>
      </c>
    </row>
    <row r="3749" spans="1:19" x14ac:dyDescent="0.2">
      <c r="A3749" s="11" t="s">
        <v>39628</v>
      </c>
      <c r="B3749" s="9" t="s">
        <v>39629</v>
      </c>
      <c r="C3749" s="9" t="s">
        <v>39630</v>
      </c>
      <c r="D3749" s="9" t="s">
        <v>39631</v>
      </c>
      <c r="E3749" s="9" t="s">
        <v>17740</v>
      </c>
      <c r="F3749" s="9" t="s">
        <v>39632</v>
      </c>
      <c r="G3749" s="9" t="s">
        <v>17740</v>
      </c>
      <c r="H3749" s="11" t="s">
        <v>39633</v>
      </c>
      <c r="I3749" s="11" t="s">
        <v>39634</v>
      </c>
      <c r="J3749" s="11" t="s">
        <v>39634</v>
      </c>
      <c r="K3749" s="9" t="s">
        <v>39635</v>
      </c>
      <c r="L3749" s="9" t="s">
        <v>17759</v>
      </c>
      <c r="M3749" s="9" t="s">
        <v>17760</v>
      </c>
      <c r="N3749" s="9" t="s">
        <v>17746</v>
      </c>
      <c r="O3749" s="9" t="s">
        <v>39636</v>
      </c>
      <c r="P3749" s="9" t="s">
        <v>17748</v>
      </c>
      <c r="Q3749" s="11" t="s">
        <v>19899</v>
      </c>
      <c r="R3749" s="11" t="s">
        <v>19899</v>
      </c>
      <c r="S3749" s="11" t="s">
        <v>17750</v>
      </c>
    </row>
    <row r="3750" spans="1:19" x14ac:dyDescent="0.2">
      <c r="A3750" s="11" t="s">
        <v>39637</v>
      </c>
      <c r="B3750" s="9" t="s">
        <v>39638</v>
      </c>
      <c r="C3750" s="9" t="s">
        <v>39639</v>
      </c>
      <c r="D3750" s="9" t="s">
        <v>39640</v>
      </c>
      <c r="E3750" s="9" t="s">
        <v>17740</v>
      </c>
      <c r="F3750" s="9" t="s">
        <v>39641</v>
      </c>
      <c r="G3750" s="9" t="s">
        <v>17740</v>
      </c>
      <c r="H3750" s="11" t="s">
        <v>4885</v>
      </c>
      <c r="I3750" s="11" t="s">
        <v>4884</v>
      </c>
      <c r="J3750" s="11" t="s">
        <v>4884</v>
      </c>
      <c r="K3750" s="9" t="s">
        <v>19244</v>
      </c>
      <c r="L3750" s="9" t="s">
        <v>18158</v>
      </c>
      <c r="M3750" s="9" t="s">
        <v>17817</v>
      </c>
      <c r="N3750" s="9" t="s">
        <v>18185</v>
      </c>
      <c r="O3750" s="9" t="s">
        <v>18418</v>
      </c>
      <c r="P3750" s="9" t="s">
        <v>17748</v>
      </c>
      <c r="Q3750" s="11" t="s">
        <v>17819</v>
      </c>
      <c r="R3750" s="11" t="s">
        <v>17819</v>
      </c>
      <c r="S3750" s="11" t="s">
        <v>17750</v>
      </c>
    </row>
    <row r="3751" spans="1:19" x14ac:dyDescent="0.2">
      <c r="A3751" s="11" t="s">
        <v>39642</v>
      </c>
      <c r="B3751" s="9" t="s">
        <v>39643</v>
      </c>
      <c r="C3751" s="9" t="s">
        <v>39644</v>
      </c>
      <c r="D3751" s="9" t="s">
        <v>2823</v>
      </c>
      <c r="E3751" s="9" t="s">
        <v>17740</v>
      </c>
      <c r="F3751" s="9" t="s">
        <v>17741</v>
      </c>
      <c r="G3751" s="9" t="s">
        <v>17740</v>
      </c>
      <c r="H3751" s="11" t="s">
        <v>2825</v>
      </c>
      <c r="I3751" s="11" t="s">
        <v>2824</v>
      </c>
      <c r="J3751" s="11" t="s">
        <v>2824</v>
      </c>
      <c r="K3751" s="9" t="s">
        <v>970</v>
      </c>
      <c r="L3751" s="9" t="s">
        <v>17759</v>
      </c>
      <c r="M3751" s="9" t="s">
        <v>17817</v>
      </c>
      <c r="N3751" s="9" t="s">
        <v>17746</v>
      </c>
      <c r="O3751" s="9" t="s">
        <v>18418</v>
      </c>
      <c r="P3751" s="9" t="s">
        <v>17748</v>
      </c>
      <c r="Q3751" s="11" t="s">
        <v>23693</v>
      </c>
      <c r="R3751" s="11" t="s">
        <v>23693</v>
      </c>
      <c r="S3751" s="11" t="s">
        <v>17750</v>
      </c>
    </row>
    <row r="3752" spans="1:19" x14ac:dyDescent="0.2">
      <c r="A3752" s="11" t="s">
        <v>39645</v>
      </c>
      <c r="B3752" s="9" t="s">
        <v>39646</v>
      </c>
      <c r="C3752" s="9" t="s">
        <v>39647</v>
      </c>
      <c r="D3752" s="9" t="s">
        <v>39648</v>
      </c>
      <c r="E3752" s="9" t="s">
        <v>17740</v>
      </c>
      <c r="F3752" s="9" t="s">
        <v>17741</v>
      </c>
      <c r="G3752" s="9" t="s">
        <v>17740</v>
      </c>
      <c r="H3752" s="11" t="s">
        <v>4187</v>
      </c>
      <c r="I3752" s="11" t="s">
        <v>4186</v>
      </c>
      <c r="J3752" s="11" t="s">
        <v>4186</v>
      </c>
      <c r="K3752" s="9" t="s">
        <v>17783</v>
      </c>
      <c r="L3752" s="9" t="s">
        <v>17744</v>
      </c>
      <c r="M3752" s="9" t="s">
        <v>18533</v>
      </c>
      <c r="N3752" s="9" t="s">
        <v>17746</v>
      </c>
      <c r="O3752" s="9" t="s">
        <v>39649</v>
      </c>
      <c r="P3752" s="9" t="s">
        <v>17748</v>
      </c>
      <c r="Q3752" s="11" t="s">
        <v>18059</v>
      </c>
      <c r="R3752" s="11" t="s">
        <v>18059</v>
      </c>
      <c r="S3752" s="11" t="s">
        <v>17750</v>
      </c>
    </row>
    <row r="3753" spans="1:19" x14ac:dyDescent="0.2">
      <c r="A3753" s="11" t="s">
        <v>39650</v>
      </c>
      <c r="B3753" s="9" t="s">
        <v>39651</v>
      </c>
      <c r="C3753" s="9" t="s">
        <v>39652</v>
      </c>
      <c r="D3753" s="9" t="s">
        <v>39653</v>
      </c>
      <c r="E3753" s="9" t="s">
        <v>17740</v>
      </c>
      <c r="F3753" s="9" t="s">
        <v>17741</v>
      </c>
      <c r="G3753" s="9" t="s">
        <v>17740</v>
      </c>
      <c r="H3753" s="11" t="s">
        <v>2854</v>
      </c>
      <c r="I3753" s="11" t="s">
        <v>2853</v>
      </c>
      <c r="J3753" s="11" t="s">
        <v>2853</v>
      </c>
      <c r="K3753" s="9" t="s">
        <v>19094</v>
      </c>
      <c r="L3753" s="9" t="s">
        <v>17759</v>
      </c>
      <c r="M3753" s="9" t="s">
        <v>39654</v>
      </c>
      <c r="N3753" s="9" t="s">
        <v>17746</v>
      </c>
      <c r="O3753" s="9" t="s">
        <v>39655</v>
      </c>
      <c r="P3753" s="9" t="s">
        <v>17748</v>
      </c>
      <c r="Q3753" s="11" t="s">
        <v>19222</v>
      </c>
      <c r="R3753" s="11" t="s">
        <v>19222</v>
      </c>
      <c r="S3753" s="11" t="s">
        <v>17750</v>
      </c>
    </row>
    <row r="3754" spans="1:19" x14ac:dyDescent="0.2">
      <c r="A3754" s="11" t="s">
        <v>39656</v>
      </c>
      <c r="B3754" s="9" t="s">
        <v>39657</v>
      </c>
      <c r="C3754" s="9" t="s">
        <v>39658</v>
      </c>
      <c r="D3754" s="9" t="s">
        <v>39659</v>
      </c>
      <c r="E3754" s="9" t="s">
        <v>17740</v>
      </c>
      <c r="F3754" s="9" t="s">
        <v>17741</v>
      </c>
      <c r="G3754" s="9" t="s">
        <v>17740</v>
      </c>
      <c r="H3754" s="11" t="s">
        <v>17741</v>
      </c>
      <c r="I3754" s="11" t="s">
        <v>39660</v>
      </c>
      <c r="J3754" s="11" t="s">
        <v>39660</v>
      </c>
      <c r="K3754" s="9" t="s">
        <v>19094</v>
      </c>
      <c r="L3754" s="9" t="s">
        <v>17759</v>
      </c>
      <c r="M3754" s="9" t="s">
        <v>18745</v>
      </c>
      <c r="N3754" s="9" t="s">
        <v>17746</v>
      </c>
      <c r="O3754" s="9" t="s">
        <v>39655</v>
      </c>
      <c r="P3754" s="9" t="s">
        <v>17748</v>
      </c>
      <c r="Q3754" s="11" t="s">
        <v>17819</v>
      </c>
      <c r="R3754" s="11" t="s">
        <v>17819</v>
      </c>
      <c r="S3754" s="11" t="s">
        <v>17750</v>
      </c>
    </row>
    <row r="3755" spans="1:19" x14ac:dyDescent="0.2">
      <c r="A3755" s="11" t="s">
        <v>39661</v>
      </c>
      <c r="B3755" s="9" t="s">
        <v>39662</v>
      </c>
      <c r="C3755" s="9" t="s">
        <v>39663</v>
      </c>
      <c r="D3755" s="9" t="s">
        <v>39662</v>
      </c>
      <c r="E3755" s="9" t="s">
        <v>17740</v>
      </c>
      <c r="F3755" s="9" t="s">
        <v>17741</v>
      </c>
      <c r="G3755" s="9" t="s">
        <v>17740</v>
      </c>
      <c r="H3755" s="11" t="s">
        <v>39664</v>
      </c>
      <c r="I3755" s="11" t="s">
        <v>39665</v>
      </c>
      <c r="J3755" s="11" t="s">
        <v>39665</v>
      </c>
      <c r="K3755" s="9" t="s">
        <v>291</v>
      </c>
      <c r="L3755" s="9" t="s">
        <v>17744</v>
      </c>
      <c r="M3755" s="9" t="s">
        <v>17778</v>
      </c>
      <c r="N3755" s="9" t="s">
        <v>17746</v>
      </c>
      <c r="O3755" s="9" t="s">
        <v>3100</v>
      </c>
      <c r="P3755" s="9" t="s">
        <v>17748</v>
      </c>
      <c r="Q3755" s="11" t="s">
        <v>18201</v>
      </c>
      <c r="R3755" s="11" t="s">
        <v>18201</v>
      </c>
      <c r="S3755" s="11" t="s">
        <v>17750</v>
      </c>
    </row>
    <row r="3756" spans="1:19" x14ac:dyDescent="0.2">
      <c r="A3756" s="11" t="s">
        <v>39666</v>
      </c>
      <c r="B3756" s="9" t="s">
        <v>39667</v>
      </c>
      <c r="C3756" s="9" t="s">
        <v>39668</v>
      </c>
      <c r="D3756" s="9" t="s">
        <v>39669</v>
      </c>
      <c r="E3756" s="9" t="s">
        <v>17740</v>
      </c>
      <c r="F3756" s="9" t="s">
        <v>17741</v>
      </c>
      <c r="G3756" s="9" t="s">
        <v>17740</v>
      </c>
      <c r="H3756" s="11" t="s">
        <v>39670</v>
      </c>
      <c r="I3756" s="11" t="s">
        <v>39671</v>
      </c>
      <c r="J3756" s="11" t="s">
        <v>39671</v>
      </c>
      <c r="K3756" s="9" t="s">
        <v>19767</v>
      </c>
      <c r="L3756" s="9" t="s">
        <v>17759</v>
      </c>
      <c r="M3756" s="9" t="s">
        <v>22845</v>
      </c>
      <c r="N3756" s="9" t="s">
        <v>17746</v>
      </c>
      <c r="O3756" s="9" t="s">
        <v>22104</v>
      </c>
      <c r="P3756" s="9" t="s">
        <v>17748</v>
      </c>
      <c r="Q3756" s="11" t="s">
        <v>18600</v>
      </c>
      <c r="R3756" s="11" t="s">
        <v>18600</v>
      </c>
      <c r="S3756" s="11" t="s">
        <v>17750</v>
      </c>
    </row>
    <row r="3757" spans="1:19" x14ac:dyDescent="0.2">
      <c r="A3757" s="11" t="s">
        <v>39672</v>
      </c>
      <c r="B3757" s="9" t="s">
        <v>39673</v>
      </c>
      <c r="C3757" s="9" t="s">
        <v>39674</v>
      </c>
      <c r="D3757" s="9" t="s">
        <v>39675</v>
      </c>
      <c r="E3757" s="9" t="s">
        <v>17740</v>
      </c>
      <c r="F3757" s="9" t="s">
        <v>39676</v>
      </c>
      <c r="G3757" s="9" t="s">
        <v>17740</v>
      </c>
      <c r="H3757" s="11" t="s">
        <v>17741</v>
      </c>
      <c r="I3757" s="11" t="s">
        <v>39677</v>
      </c>
      <c r="J3757" s="11" t="s">
        <v>39677</v>
      </c>
      <c r="K3757" s="9" t="s">
        <v>39678</v>
      </c>
      <c r="L3757" s="9" t="s">
        <v>17759</v>
      </c>
      <c r="M3757" s="9" t="s">
        <v>17760</v>
      </c>
      <c r="N3757" s="9" t="s">
        <v>17746</v>
      </c>
      <c r="O3757" s="9" t="s">
        <v>18340</v>
      </c>
      <c r="P3757" s="9" t="s">
        <v>17748</v>
      </c>
      <c r="Q3757" s="11" t="s">
        <v>18243</v>
      </c>
      <c r="R3757" s="11" t="s">
        <v>18243</v>
      </c>
      <c r="S3757" s="11" t="s">
        <v>17750</v>
      </c>
    </row>
    <row r="3758" spans="1:19" x14ac:dyDescent="0.2">
      <c r="A3758" s="11" t="s">
        <v>39679</v>
      </c>
      <c r="B3758" s="9" t="s">
        <v>39680</v>
      </c>
      <c r="C3758" s="9" t="s">
        <v>39681</v>
      </c>
      <c r="D3758" s="9" t="s">
        <v>39682</v>
      </c>
      <c r="E3758" s="9" t="s">
        <v>17740</v>
      </c>
      <c r="F3758" s="9" t="s">
        <v>17741</v>
      </c>
      <c r="G3758" s="9" t="s">
        <v>17740</v>
      </c>
      <c r="H3758" s="11" t="s">
        <v>39683</v>
      </c>
      <c r="I3758" s="11" t="s">
        <v>17741</v>
      </c>
      <c r="J3758" s="11" t="s">
        <v>39683</v>
      </c>
      <c r="K3758" s="9" t="s">
        <v>39684</v>
      </c>
      <c r="L3758" s="9" t="s">
        <v>17759</v>
      </c>
      <c r="M3758" s="9" t="s">
        <v>39685</v>
      </c>
      <c r="N3758" s="9" t="s">
        <v>17746</v>
      </c>
      <c r="O3758" s="9" t="s">
        <v>1802</v>
      </c>
      <c r="P3758" s="9" t="s">
        <v>17748</v>
      </c>
      <c r="Q3758" s="11" t="s">
        <v>17808</v>
      </c>
      <c r="R3758" s="11" t="s">
        <v>17808</v>
      </c>
      <c r="S3758" s="11" t="s">
        <v>17750</v>
      </c>
    </row>
    <row r="3759" spans="1:19" x14ac:dyDescent="0.2">
      <c r="A3759" s="11" t="s">
        <v>39686</v>
      </c>
      <c r="B3759" s="9" t="s">
        <v>39687</v>
      </c>
      <c r="C3759" s="9" t="s">
        <v>39688</v>
      </c>
      <c r="D3759" s="9" t="s">
        <v>39689</v>
      </c>
      <c r="E3759" s="9" t="s">
        <v>17748</v>
      </c>
      <c r="F3759" s="9" t="s">
        <v>39690</v>
      </c>
      <c r="G3759" s="9" t="s">
        <v>17740</v>
      </c>
      <c r="H3759" s="11" t="s">
        <v>39691</v>
      </c>
      <c r="I3759" s="11" t="s">
        <v>39692</v>
      </c>
      <c r="J3759" s="11" t="s">
        <v>39692</v>
      </c>
      <c r="K3759" s="9" t="s">
        <v>39693</v>
      </c>
      <c r="L3759" s="9" t="s">
        <v>17744</v>
      </c>
      <c r="M3759" s="9" t="s">
        <v>17741</v>
      </c>
      <c r="N3759" s="9" t="s">
        <v>17746</v>
      </c>
      <c r="O3759" s="9" t="s">
        <v>1802</v>
      </c>
      <c r="P3759" s="9" t="s">
        <v>17748</v>
      </c>
      <c r="Q3759" s="11" t="s">
        <v>17917</v>
      </c>
      <c r="R3759" s="11" t="s">
        <v>17917</v>
      </c>
      <c r="S3759" s="11" t="s">
        <v>17750</v>
      </c>
    </row>
    <row r="3760" spans="1:19" x14ac:dyDescent="0.2">
      <c r="A3760" s="11" t="s">
        <v>39694</v>
      </c>
      <c r="B3760" s="9" t="s">
        <v>39695</v>
      </c>
      <c r="C3760" s="9" t="s">
        <v>39696</v>
      </c>
      <c r="D3760" s="9" t="s">
        <v>39697</v>
      </c>
      <c r="E3760" s="9" t="s">
        <v>17748</v>
      </c>
      <c r="F3760" s="9" t="s">
        <v>39698</v>
      </c>
      <c r="G3760" s="9" t="s">
        <v>17740</v>
      </c>
      <c r="H3760" s="11" t="s">
        <v>39699</v>
      </c>
      <c r="I3760" s="11" t="s">
        <v>39700</v>
      </c>
      <c r="J3760" s="11" t="s">
        <v>39700</v>
      </c>
      <c r="K3760" s="9" t="s">
        <v>17783</v>
      </c>
      <c r="L3760" s="9" t="s">
        <v>17759</v>
      </c>
      <c r="M3760" s="9" t="s">
        <v>17760</v>
      </c>
      <c r="N3760" s="9" t="s">
        <v>17746</v>
      </c>
      <c r="O3760" s="9" t="s">
        <v>39701</v>
      </c>
      <c r="P3760" s="9" t="s">
        <v>17748</v>
      </c>
      <c r="Q3760" s="11" t="s">
        <v>17858</v>
      </c>
      <c r="R3760" s="11" t="s">
        <v>17858</v>
      </c>
      <c r="S3760" s="11" t="s">
        <v>17750</v>
      </c>
    </row>
    <row r="3761" spans="1:19" x14ac:dyDescent="0.2">
      <c r="A3761" s="11" t="s">
        <v>39702</v>
      </c>
      <c r="B3761" s="9" t="s">
        <v>39703</v>
      </c>
      <c r="C3761" s="9" t="s">
        <v>39704</v>
      </c>
      <c r="D3761" s="9" t="s">
        <v>39705</v>
      </c>
      <c r="E3761" s="9" t="s">
        <v>17740</v>
      </c>
      <c r="F3761" s="9" t="s">
        <v>17741</v>
      </c>
      <c r="G3761" s="9" t="s">
        <v>17740</v>
      </c>
      <c r="H3761" s="11" t="s">
        <v>6803</v>
      </c>
      <c r="I3761" s="11" t="s">
        <v>6802</v>
      </c>
      <c r="J3761" s="11" t="s">
        <v>6802</v>
      </c>
      <c r="K3761" s="9" t="s">
        <v>1307</v>
      </c>
      <c r="L3761" s="9" t="s">
        <v>17759</v>
      </c>
      <c r="M3761" s="9" t="s">
        <v>25519</v>
      </c>
      <c r="N3761" s="9" t="s">
        <v>17746</v>
      </c>
      <c r="O3761" s="9" t="s">
        <v>3100</v>
      </c>
      <c r="P3761" s="9" t="s">
        <v>17748</v>
      </c>
      <c r="Q3761" s="11" t="s">
        <v>17808</v>
      </c>
      <c r="R3761" s="11" t="s">
        <v>17808</v>
      </c>
      <c r="S3761" s="11" t="s">
        <v>17750</v>
      </c>
    </row>
    <row r="3762" spans="1:19" x14ac:dyDescent="0.2">
      <c r="A3762" s="11" t="s">
        <v>39706</v>
      </c>
      <c r="B3762" s="9" t="s">
        <v>39707</v>
      </c>
      <c r="C3762" s="9" t="s">
        <v>39708</v>
      </c>
      <c r="D3762" s="9" t="s">
        <v>39709</v>
      </c>
      <c r="E3762" s="9" t="s">
        <v>17740</v>
      </c>
      <c r="F3762" s="9" t="s">
        <v>39710</v>
      </c>
      <c r="G3762" s="9" t="s">
        <v>17740</v>
      </c>
      <c r="H3762" s="11" t="s">
        <v>8209</v>
      </c>
      <c r="I3762" s="11" t="s">
        <v>8208</v>
      </c>
      <c r="J3762" s="11" t="s">
        <v>8208</v>
      </c>
      <c r="K3762" s="9" t="s">
        <v>32659</v>
      </c>
      <c r="L3762" s="9" t="s">
        <v>21771</v>
      </c>
      <c r="M3762" s="9" t="s">
        <v>17760</v>
      </c>
      <c r="N3762" s="9" t="s">
        <v>17746</v>
      </c>
      <c r="O3762" s="9" t="s">
        <v>19275</v>
      </c>
      <c r="P3762" s="9" t="s">
        <v>17748</v>
      </c>
      <c r="Q3762" s="11" t="s">
        <v>18356</v>
      </c>
      <c r="R3762" s="11" t="s">
        <v>18356</v>
      </c>
      <c r="S3762" s="11" t="s">
        <v>17750</v>
      </c>
    </row>
    <row r="3763" spans="1:19" x14ac:dyDescent="0.2">
      <c r="A3763" s="11" t="s">
        <v>39711</v>
      </c>
      <c r="B3763" s="9" t="s">
        <v>39712</v>
      </c>
      <c r="C3763" s="9" t="s">
        <v>39713</v>
      </c>
      <c r="D3763" s="9" t="s">
        <v>39714</v>
      </c>
      <c r="E3763" s="9" t="s">
        <v>17740</v>
      </c>
      <c r="F3763" s="9" t="s">
        <v>17741</v>
      </c>
      <c r="G3763" s="9" t="s">
        <v>17740</v>
      </c>
      <c r="H3763" s="11" t="s">
        <v>17741</v>
      </c>
      <c r="I3763" s="11" t="s">
        <v>39715</v>
      </c>
      <c r="J3763" s="11" t="s">
        <v>39715</v>
      </c>
      <c r="K3763" s="9" t="s">
        <v>39716</v>
      </c>
      <c r="L3763" s="9" t="s">
        <v>17976</v>
      </c>
      <c r="M3763" s="9" t="s">
        <v>17817</v>
      </c>
      <c r="N3763" s="9" t="s">
        <v>18469</v>
      </c>
      <c r="O3763" s="9" t="s">
        <v>17747</v>
      </c>
      <c r="P3763" s="9" t="s">
        <v>17748</v>
      </c>
      <c r="Q3763" s="11" t="s">
        <v>18080</v>
      </c>
      <c r="R3763" s="11" t="s">
        <v>18080</v>
      </c>
      <c r="S3763" s="11" t="s">
        <v>17750</v>
      </c>
    </row>
    <row r="3764" spans="1:19" x14ac:dyDescent="0.2">
      <c r="A3764" s="11" t="s">
        <v>39717</v>
      </c>
      <c r="B3764" s="9" t="s">
        <v>39718</v>
      </c>
      <c r="C3764" s="9" t="s">
        <v>39719</v>
      </c>
      <c r="D3764" s="9" t="s">
        <v>39720</v>
      </c>
      <c r="E3764" s="9" t="s">
        <v>17740</v>
      </c>
      <c r="F3764" s="9" t="s">
        <v>39721</v>
      </c>
      <c r="G3764" s="9" t="s">
        <v>17740</v>
      </c>
      <c r="H3764" s="11" t="s">
        <v>17741</v>
      </c>
      <c r="I3764" s="11" t="s">
        <v>39722</v>
      </c>
      <c r="J3764" s="11" t="s">
        <v>39722</v>
      </c>
      <c r="K3764" s="9" t="s">
        <v>39723</v>
      </c>
      <c r="L3764" s="9" t="s">
        <v>17744</v>
      </c>
      <c r="M3764" s="9" t="s">
        <v>17760</v>
      </c>
      <c r="N3764" s="9" t="s">
        <v>17746</v>
      </c>
      <c r="O3764" s="9" t="s">
        <v>18548</v>
      </c>
      <c r="P3764" s="9" t="s">
        <v>17748</v>
      </c>
      <c r="Q3764" s="11" t="s">
        <v>19770</v>
      </c>
      <c r="R3764" s="11" t="s">
        <v>19770</v>
      </c>
      <c r="S3764" s="11" t="s">
        <v>17750</v>
      </c>
    </row>
    <row r="3765" spans="1:19" x14ac:dyDescent="0.2">
      <c r="A3765" s="11" t="s">
        <v>39724</v>
      </c>
      <c r="B3765" s="9" t="s">
        <v>39725</v>
      </c>
      <c r="C3765" s="9" t="s">
        <v>39726</v>
      </c>
      <c r="D3765" s="9" t="s">
        <v>39727</v>
      </c>
      <c r="E3765" s="9" t="s">
        <v>17740</v>
      </c>
      <c r="F3765" s="9" t="s">
        <v>17741</v>
      </c>
      <c r="G3765" s="9" t="s">
        <v>17740</v>
      </c>
      <c r="H3765" s="11" t="s">
        <v>2818</v>
      </c>
      <c r="I3765" s="11" t="s">
        <v>2817</v>
      </c>
      <c r="J3765" s="11" t="s">
        <v>2817</v>
      </c>
      <c r="K3765" s="9" t="s">
        <v>39728</v>
      </c>
      <c r="L3765" s="9" t="s">
        <v>17744</v>
      </c>
      <c r="M3765" s="9" t="s">
        <v>17817</v>
      </c>
      <c r="N3765" s="9" t="s">
        <v>17746</v>
      </c>
      <c r="O3765" s="9" t="s">
        <v>18746</v>
      </c>
      <c r="P3765" s="9" t="s">
        <v>17748</v>
      </c>
      <c r="Q3765" s="11" t="s">
        <v>18960</v>
      </c>
      <c r="R3765" s="11" t="s">
        <v>18960</v>
      </c>
      <c r="S3765" s="11" t="s">
        <v>17750</v>
      </c>
    </row>
    <row r="3766" spans="1:19" x14ac:dyDescent="0.2">
      <c r="A3766" s="11" t="s">
        <v>39729</v>
      </c>
      <c r="B3766" s="9" t="s">
        <v>4182</v>
      </c>
      <c r="C3766" s="9" t="s">
        <v>39730</v>
      </c>
      <c r="D3766" s="9" t="s">
        <v>4182</v>
      </c>
      <c r="E3766" s="9" t="s">
        <v>17740</v>
      </c>
      <c r="F3766" s="9" t="s">
        <v>17741</v>
      </c>
      <c r="G3766" s="9" t="s">
        <v>17740</v>
      </c>
      <c r="H3766" s="11" t="s">
        <v>4184</v>
      </c>
      <c r="I3766" s="11" t="s">
        <v>4183</v>
      </c>
      <c r="J3766" s="11" t="s">
        <v>4183</v>
      </c>
      <c r="K3766" s="9" t="s">
        <v>39731</v>
      </c>
      <c r="L3766" s="9" t="s">
        <v>17744</v>
      </c>
      <c r="M3766" s="9" t="s">
        <v>17817</v>
      </c>
      <c r="N3766" s="9" t="s">
        <v>17746</v>
      </c>
      <c r="O3766" s="9" t="s">
        <v>25096</v>
      </c>
      <c r="P3766" s="9" t="s">
        <v>17748</v>
      </c>
      <c r="Q3766" s="11" t="s">
        <v>18364</v>
      </c>
      <c r="R3766" s="11" t="s">
        <v>18364</v>
      </c>
      <c r="S3766" s="11" t="s">
        <v>17750</v>
      </c>
    </row>
    <row r="3767" spans="1:19" x14ac:dyDescent="0.2">
      <c r="A3767" s="11" t="s">
        <v>39732</v>
      </c>
      <c r="B3767" s="9" t="s">
        <v>39733</v>
      </c>
      <c r="C3767" s="9" t="s">
        <v>39734</v>
      </c>
      <c r="D3767" s="9" t="s">
        <v>39735</v>
      </c>
      <c r="E3767" s="9" t="s">
        <v>17740</v>
      </c>
      <c r="F3767" s="9" t="s">
        <v>17741</v>
      </c>
      <c r="G3767" s="9" t="s">
        <v>17740</v>
      </c>
      <c r="H3767" s="11" t="s">
        <v>5029</v>
      </c>
      <c r="I3767" s="11" t="s">
        <v>5028</v>
      </c>
      <c r="J3767" s="11" t="s">
        <v>39736</v>
      </c>
      <c r="K3767" s="9" t="s">
        <v>291</v>
      </c>
      <c r="L3767" s="9" t="s">
        <v>17744</v>
      </c>
      <c r="M3767" s="9" t="s">
        <v>19971</v>
      </c>
      <c r="N3767" s="9" t="s">
        <v>17746</v>
      </c>
      <c r="O3767" s="9" t="s">
        <v>25096</v>
      </c>
      <c r="P3767" s="9" t="s">
        <v>17748</v>
      </c>
      <c r="Q3767" s="11" t="s">
        <v>17819</v>
      </c>
      <c r="R3767" s="11" t="s">
        <v>17819</v>
      </c>
      <c r="S3767" s="11" t="s">
        <v>17750</v>
      </c>
    </row>
    <row r="3768" spans="1:19" x14ac:dyDescent="0.2">
      <c r="A3768" s="11" t="s">
        <v>39737</v>
      </c>
      <c r="B3768" s="9" t="s">
        <v>39738</v>
      </c>
      <c r="C3768" s="9" t="s">
        <v>39739</v>
      </c>
      <c r="D3768" s="9" t="s">
        <v>39740</v>
      </c>
      <c r="E3768" s="9" t="s">
        <v>17740</v>
      </c>
      <c r="F3768" s="9" t="s">
        <v>17741</v>
      </c>
      <c r="G3768" s="9" t="s">
        <v>17740</v>
      </c>
      <c r="H3768" s="11" t="s">
        <v>2838</v>
      </c>
      <c r="I3768" s="11" t="s">
        <v>2837</v>
      </c>
      <c r="J3768" s="11" t="s">
        <v>2837</v>
      </c>
      <c r="K3768" s="9" t="s">
        <v>17865</v>
      </c>
      <c r="L3768" s="9" t="s">
        <v>17744</v>
      </c>
      <c r="M3768" s="9" t="s">
        <v>17817</v>
      </c>
      <c r="N3768" s="9" t="s">
        <v>17746</v>
      </c>
      <c r="O3768" s="9" t="s">
        <v>18363</v>
      </c>
      <c r="P3768" s="9" t="s">
        <v>17748</v>
      </c>
      <c r="Q3768" s="11" t="s">
        <v>18600</v>
      </c>
      <c r="R3768" s="11" t="s">
        <v>18600</v>
      </c>
      <c r="S3768" s="11" t="s">
        <v>17750</v>
      </c>
    </row>
    <row r="3769" spans="1:19" x14ac:dyDescent="0.2">
      <c r="A3769" s="11" t="s">
        <v>39741</v>
      </c>
      <c r="B3769" s="9" t="s">
        <v>39742</v>
      </c>
      <c r="C3769" s="9" t="s">
        <v>39743</v>
      </c>
      <c r="D3769" s="9" t="s">
        <v>39744</v>
      </c>
      <c r="E3769" s="9" t="s">
        <v>17740</v>
      </c>
      <c r="F3769" s="9" t="s">
        <v>17741</v>
      </c>
      <c r="G3769" s="9" t="s">
        <v>17740</v>
      </c>
      <c r="H3769" s="11" t="s">
        <v>12817</v>
      </c>
      <c r="I3769" s="11" t="s">
        <v>12816</v>
      </c>
      <c r="J3769" s="11" t="s">
        <v>12817</v>
      </c>
      <c r="K3769" s="9" t="s">
        <v>12818</v>
      </c>
      <c r="L3769" s="9" t="s">
        <v>18130</v>
      </c>
      <c r="M3769" s="9" t="s">
        <v>17760</v>
      </c>
      <c r="N3769" s="9" t="s">
        <v>17746</v>
      </c>
      <c r="O3769" s="9" t="s">
        <v>17993</v>
      </c>
      <c r="P3769" s="9" t="s">
        <v>17748</v>
      </c>
      <c r="Q3769" s="11" t="s">
        <v>17762</v>
      </c>
      <c r="R3769" s="11" t="s">
        <v>17762</v>
      </c>
      <c r="S3769" s="11" t="s">
        <v>17750</v>
      </c>
    </row>
    <row r="3770" spans="1:19" x14ac:dyDescent="0.2">
      <c r="A3770" s="11" t="s">
        <v>39745</v>
      </c>
      <c r="B3770" s="9" t="s">
        <v>39746</v>
      </c>
      <c r="C3770" s="9" t="s">
        <v>39747</v>
      </c>
      <c r="D3770" s="9" t="s">
        <v>39748</v>
      </c>
      <c r="E3770" s="9" t="s">
        <v>17740</v>
      </c>
      <c r="F3770" s="9" t="s">
        <v>39749</v>
      </c>
      <c r="G3770" s="9" t="s">
        <v>17740</v>
      </c>
      <c r="H3770" s="11" t="s">
        <v>2841</v>
      </c>
      <c r="I3770" s="11" t="s">
        <v>2840</v>
      </c>
      <c r="J3770" s="11" t="s">
        <v>2840</v>
      </c>
      <c r="K3770" s="9" t="s">
        <v>91</v>
      </c>
      <c r="L3770" s="9" t="s">
        <v>18001</v>
      </c>
      <c r="M3770" s="9" t="s">
        <v>23186</v>
      </c>
      <c r="N3770" s="9" t="s">
        <v>17746</v>
      </c>
      <c r="O3770" s="9" t="s">
        <v>39750</v>
      </c>
      <c r="P3770" s="9" t="s">
        <v>17748</v>
      </c>
      <c r="Q3770" s="11" t="s">
        <v>18243</v>
      </c>
      <c r="R3770" s="11" t="s">
        <v>18243</v>
      </c>
      <c r="S3770" s="11" t="s">
        <v>17750</v>
      </c>
    </row>
    <row r="3771" spans="1:19" x14ac:dyDescent="0.2">
      <c r="A3771" s="11" t="s">
        <v>39751</v>
      </c>
      <c r="B3771" s="9" t="s">
        <v>39752</v>
      </c>
      <c r="C3771" s="9" t="s">
        <v>39753</v>
      </c>
      <c r="D3771" s="9" t="s">
        <v>39754</v>
      </c>
      <c r="E3771" s="9" t="s">
        <v>17740</v>
      </c>
      <c r="F3771" s="9" t="s">
        <v>17741</v>
      </c>
      <c r="G3771" s="9" t="s">
        <v>17740</v>
      </c>
      <c r="H3771" s="11" t="s">
        <v>39755</v>
      </c>
      <c r="I3771" s="11" t="s">
        <v>39756</v>
      </c>
      <c r="J3771" s="11" t="s">
        <v>39756</v>
      </c>
      <c r="K3771" s="9" t="s">
        <v>17783</v>
      </c>
      <c r="L3771" s="9" t="s">
        <v>17759</v>
      </c>
      <c r="M3771" s="9" t="s">
        <v>17760</v>
      </c>
      <c r="N3771" s="9" t="s">
        <v>17746</v>
      </c>
      <c r="O3771" s="9" t="s">
        <v>22682</v>
      </c>
      <c r="P3771" s="9" t="s">
        <v>17748</v>
      </c>
      <c r="Q3771" s="11" t="s">
        <v>19361</v>
      </c>
      <c r="R3771" s="11" t="s">
        <v>19361</v>
      </c>
      <c r="S3771" s="11" t="s">
        <v>17750</v>
      </c>
    </row>
    <row r="3772" spans="1:19" x14ac:dyDescent="0.2">
      <c r="A3772" s="11" t="s">
        <v>39757</v>
      </c>
      <c r="B3772" s="9" t="s">
        <v>39758</v>
      </c>
      <c r="C3772" s="9" t="s">
        <v>39759</v>
      </c>
      <c r="D3772" s="9" t="s">
        <v>39760</v>
      </c>
      <c r="E3772" s="9" t="s">
        <v>17740</v>
      </c>
      <c r="F3772" s="9" t="s">
        <v>17741</v>
      </c>
      <c r="G3772" s="9" t="s">
        <v>17740</v>
      </c>
      <c r="H3772" s="11" t="s">
        <v>17741</v>
      </c>
      <c r="I3772" s="11" t="s">
        <v>39761</v>
      </c>
      <c r="J3772" s="11" t="s">
        <v>39761</v>
      </c>
      <c r="K3772" s="9" t="s">
        <v>39762</v>
      </c>
      <c r="L3772" s="9" t="s">
        <v>18079</v>
      </c>
      <c r="M3772" s="9" t="s">
        <v>17817</v>
      </c>
      <c r="N3772" s="9" t="s">
        <v>18052</v>
      </c>
      <c r="O3772" s="9" t="s">
        <v>17993</v>
      </c>
      <c r="P3772" s="9" t="s">
        <v>17748</v>
      </c>
      <c r="Q3772" s="11" t="s">
        <v>20731</v>
      </c>
      <c r="R3772" s="11" t="s">
        <v>20731</v>
      </c>
      <c r="S3772" s="11" t="s">
        <v>17750</v>
      </c>
    </row>
    <row r="3773" spans="1:19" x14ac:dyDescent="0.2">
      <c r="A3773" s="11" t="s">
        <v>39763</v>
      </c>
      <c r="B3773" s="9" t="s">
        <v>39764</v>
      </c>
      <c r="C3773" s="9" t="s">
        <v>39765</v>
      </c>
      <c r="D3773" s="9" t="s">
        <v>39766</v>
      </c>
      <c r="E3773" s="9" t="s">
        <v>17748</v>
      </c>
      <c r="F3773" s="9" t="s">
        <v>39767</v>
      </c>
      <c r="G3773" s="9" t="s">
        <v>17740</v>
      </c>
      <c r="H3773" s="11" t="s">
        <v>17741</v>
      </c>
      <c r="I3773" s="11" t="s">
        <v>39768</v>
      </c>
      <c r="J3773" s="11" t="s">
        <v>39768</v>
      </c>
      <c r="K3773" s="9" t="s">
        <v>39769</v>
      </c>
      <c r="L3773" s="9" t="s">
        <v>29064</v>
      </c>
      <c r="M3773" s="9" t="s">
        <v>17817</v>
      </c>
      <c r="N3773" s="9" t="s">
        <v>29418</v>
      </c>
      <c r="O3773" s="9" t="s">
        <v>17993</v>
      </c>
      <c r="P3773" s="9" t="s">
        <v>17748</v>
      </c>
      <c r="Q3773" s="11" t="s">
        <v>18147</v>
      </c>
      <c r="R3773" s="11" t="s">
        <v>18147</v>
      </c>
      <c r="S3773" s="11" t="s">
        <v>17750</v>
      </c>
    </row>
    <row r="3774" spans="1:19" x14ac:dyDescent="0.2">
      <c r="A3774" s="11" t="s">
        <v>39770</v>
      </c>
      <c r="B3774" s="9" t="s">
        <v>39771</v>
      </c>
      <c r="C3774" s="9" t="s">
        <v>39772</v>
      </c>
      <c r="D3774" s="9" t="s">
        <v>39773</v>
      </c>
      <c r="E3774" s="9" t="s">
        <v>17748</v>
      </c>
      <c r="F3774" s="9" t="s">
        <v>39774</v>
      </c>
      <c r="G3774" s="9" t="s">
        <v>17740</v>
      </c>
      <c r="H3774" s="11" t="s">
        <v>17741</v>
      </c>
      <c r="I3774" s="11" t="s">
        <v>39775</v>
      </c>
      <c r="J3774" s="11" t="s">
        <v>17741</v>
      </c>
      <c r="K3774" s="9" t="s">
        <v>39776</v>
      </c>
      <c r="L3774" s="9" t="s">
        <v>17958</v>
      </c>
      <c r="M3774" s="9" t="s">
        <v>17769</v>
      </c>
      <c r="N3774" s="9" t="s">
        <v>22152</v>
      </c>
      <c r="O3774" s="9" t="s">
        <v>18418</v>
      </c>
      <c r="P3774" s="9" t="s">
        <v>17748</v>
      </c>
      <c r="Q3774" s="11" t="s">
        <v>17917</v>
      </c>
      <c r="R3774" s="11" t="s">
        <v>17917</v>
      </c>
      <c r="S3774" s="11" t="s">
        <v>17750</v>
      </c>
    </row>
    <row r="3775" spans="1:19" x14ac:dyDescent="0.2">
      <c r="A3775" s="11" t="s">
        <v>39777</v>
      </c>
      <c r="B3775" s="9" t="s">
        <v>2849</v>
      </c>
      <c r="C3775" s="9" t="s">
        <v>39778</v>
      </c>
      <c r="D3775" s="9" t="s">
        <v>2849</v>
      </c>
      <c r="E3775" s="9" t="s">
        <v>17740</v>
      </c>
      <c r="F3775" s="9" t="s">
        <v>17741</v>
      </c>
      <c r="G3775" s="9" t="s">
        <v>17740</v>
      </c>
      <c r="H3775" s="11" t="s">
        <v>2851</v>
      </c>
      <c r="I3775" s="11" t="s">
        <v>2850</v>
      </c>
      <c r="J3775" s="11" t="s">
        <v>2850</v>
      </c>
      <c r="K3775" s="9" t="s">
        <v>39779</v>
      </c>
      <c r="L3775" s="9" t="s">
        <v>18158</v>
      </c>
      <c r="M3775" s="9" t="s">
        <v>17817</v>
      </c>
      <c r="N3775" s="9" t="s">
        <v>17746</v>
      </c>
      <c r="O3775" s="9" t="s">
        <v>773</v>
      </c>
      <c r="P3775" s="9" t="s">
        <v>17748</v>
      </c>
      <c r="Q3775" s="11" t="s">
        <v>20251</v>
      </c>
      <c r="R3775" s="11" t="s">
        <v>20251</v>
      </c>
      <c r="S3775" s="11" t="s">
        <v>17750</v>
      </c>
    </row>
    <row r="3776" spans="1:19" x14ac:dyDescent="0.2">
      <c r="A3776" s="11" t="s">
        <v>39780</v>
      </c>
      <c r="B3776" s="9" t="s">
        <v>39781</v>
      </c>
      <c r="C3776" s="9" t="s">
        <v>39782</v>
      </c>
      <c r="D3776" s="9" t="s">
        <v>39783</v>
      </c>
      <c r="E3776" s="9" t="s">
        <v>17740</v>
      </c>
      <c r="F3776" s="9" t="s">
        <v>17741</v>
      </c>
      <c r="G3776" s="9" t="s">
        <v>17740</v>
      </c>
      <c r="H3776" s="11" t="s">
        <v>9662</v>
      </c>
      <c r="I3776" s="11" t="s">
        <v>17741</v>
      </c>
      <c r="J3776" s="11" t="s">
        <v>9662</v>
      </c>
      <c r="K3776" s="9" t="s">
        <v>18570</v>
      </c>
      <c r="L3776" s="9" t="s">
        <v>17744</v>
      </c>
      <c r="M3776" s="9" t="s">
        <v>17741</v>
      </c>
      <c r="N3776" s="9" t="s">
        <v>17746</v>
      </c>
      <c r="O3776" s="9" t="s">
        <v>24236</v>
      </c>
      <c r="P3776" s="9" t="s">
        <v>17748</v>
      </c>
      <c r="Q3776" s="11" t="s">
        <v>17994</v>
      </c>
      <c r="R3776" s="11" t="s">
        <v>17994</v>
      </c>
      <c r="S3776" s="11" t="s">
        <v>17750</v>
      </c>
    </row>
    <row r="3777" spans="1:19" x14ac:dyDescent="0.2">
      <c r="A3777" s="11" t="s">
        <v>39784</v>
      </c>
      <c r="B3777" s="9" t="s">
        <v>39785</v>
      </c>
      <c r="C3777" s="9" t="s">
        <v>39786</v>
      </c>
      <c r="D3777" s="9" t="s">
        <v>39787</v>
      </c>
      <c r="E3777" s="9" t="s">
        <v>17740</v>
      </c>
      <c r="F3777" s="9" t="s">
        <v>17741</v>
      </c>
      <c r="G3777" s="9" t="s">
        <v>17740</v>
      </c>
      <c r="H3777" s="11" t="s">
        <v>39788</v>
      </c>
      <c r="I3777" s="11" t="s">
        <v>39789</v>
      </c>
      <c r="J3777" s="11" t="s">
        <v>39789</v>
      </c>
      <c r="K3777" s="9" t="s">
        <v>23783</v>
      </c>
      <c r="L3777" s="9" t="s">
        <v>17759</v>
      </c>
      <c r="M3777" s="9" t="s">
        <v>39790</v>
      </c>
      <c r="N3777" s="9" t="s">
        <v>17746</v>
      </c>
      <c r="O3777" s="9" t="s">
        <v>17993</v>
      </c>
      <c r="P3777" s="9" t="s">
        <v>17748</v>
      </c>
      <c r="Q3777" s="11" t="s">
        <v>19515</v>
      </c>
      <c r="R3777" s="11" t="s">
        <v>19515</v>
      </c>
      <c r="S3777" s="11" t="s">
        <v>17750</v>
      </c>
    </row>
    <row r="3778" spans="1:19" x14ac:dyDescent="0.2">
      <c r="A3778" s="11" t="s">
        <v>39791</v>
      </c>
      <c r="B3778" s="9" t="s">
        <v>39792</v>
      </c>
      <c r="C3778" s="9" t="s">
        <v>39793</v>
      </c>
      <c r="D3778" s="9" t="s">
        <v>39794</v>
      </c>
      <c r="E3778" s="9" t="s">
        <v>17748</v>
      </c>
      <c r="F3778" s="9" t="s">
        <v>39795</v>
      </c>
      <c r="G3778" s="9" t="s">
        <v>17740</v>
      </c>
      <c r="H3778" s="11" t="s">
        <v>9810</v>
      </c>
      <c r="I3778" s="11" t="s">
        <v>9809</v>
      </c>
      <c r="J3778" s="11" t="s">
        <v>9809</v>
      </c>
      <c r="K3778" s="9" t="s">
        <v>970</v>
      </c>
      <c r="L3778" s="9" t="s">
        <v>17759</v>
      </c>
      <c r="M3778" s="9" t="s">
        <v>17769</v>
      </c>
      <c r="N3778" s="9" t="s">
        <v>17746</v>
      </c>
      <c r="O3778" s="9" t="s">
        <v>1675</v>
      </c>
      <c r="P3778" s="9" t="s">
        <v>17748</v>
      </c>
      <c r="Q3778" s="11" t="s">
        <v>17858</v>
      </c>
      <c r="R3778" s="11" t="s">
        <v>17858</v>
      </c>
      <c r="S3778" s="11" t="s">
        <v>17750</v>
      </c>
    </row>
    <row r="3779" spans="1:19" x14ac:dyDescent="0.2">
      <c r="A3779" s="11" t="s">
        <v>39796</v>
      </c>
      <c r="B3779" s="9" t="s">
        <v>39797</v>
      </c>
      <c r="C3779" s="9" t="s">
        <v>39798</v>
      </c>
      <c r="D3779" s="9" t="s">
        <v>39799</v>
      </c>
      <c r="E3779" s="9" t="s">
        <v>17748</v>
      </c>
      <c r="F3779" s="9" t="s">
        <v>39800</v>
      </c>
      <c r="G3779" s="9" t="s">
        <v>17740</v>
      </c>
      <c r="H3779" s="11" t="s">
        <v>8375</v>
      </c>
      <c r="I3779" s="11" t="s">
        <v>8374</v>
      </c>
      <c r="J3779" s="11" t="s">
        <v>8374</v>
      </c>
      <c r="K3779" s="9" t="s">
        <v>17805</v>
      </c>
      <c r="L3779" s="9" t="s">
        <v>17759</v>
      </c>
      <c r="M3779" s="9" t="s">
        <v>24658</v>
      </c>
      <c r="N3779" s="9" t="s">
        <v>17746</v>
      </c>
      <c r="O3779" s="9" t="s">
        <v>39801</v>
      </c>
      <c r="P3779" s="9" t="s">
        <v>17748</v>
      </c>
      <c r="Q3779" s="11" t="s">
        <v>17784</v>
      </c>
      <c r="R3779" s="11" t="s">
        <v>17784</v>
      </c>
      <c r="S3779" s="11" t="s">
        <v>17750</v>
      </c>
    </row>
    <row r="3780" spans="1:19" x14ac:dyDescent="0.2">
      <c r="A3780" s="11" t="s">
        <v>39802</v>
      </c>
      <c r="B3780" s="9" t="s">
        <v>39803</v>
      </c>
      <c r="C3780" s="9" t="s">
        <v>39804</v>
      </c>
      <c r="D3780" s="9" t="s">
        <v>39805</v>
      </c>
      <c r="E3780" s="9" t="s">
        <v>17740</v>
      </c>
      <c r="F3780" s="9" t="s">
        <v>17741</v>
      </c>
      <c r="G3780" s="9" t="s">
        <v>17740</v>
      </c>
      <c r="H3780" s="11" t="s">
        <v>17741</v>
      </c>
      <c r="I3780" s="11" t="s">
        <v>39806</v>
      </c>
      <c r="J3780" s="11" t="s">
        <v>39806</v>
      </c>
      <c r="K3780" s="9" t="s">
        <v>39807</v>
      </c>
      <c r="L3780" s="9" t="s">
        <v>17744</v>
      </c>
      <c r="M3780" s="9" t="s">
        <v>18211</v>
      </c>
      <c r="N3780" s="9" t="s">
        <v>17746</v>
      </c>
      <c r="O3780" s="9" t="s">
        <v>39808</v>
      </c>
      <c r="P3780" s="9" t="s">
        <v>17748</v>
      </c>
      <c r="Q3780" s="11" t="s">
        <v>17883</v>
      </c>
      <c r="R3780" s="11" t="s">
        <v>17883</v>
      </c>
      <c r="S3780" s="11" t="s">
        <v>17750</v>
      </c>
    </row>
    <row r="3781" spans="1:19" x14ac:dyDescent="0.2">
      <c r="A3781" s="11" t="s">
        <v>39809</v>
      </c>
      <c r="B3781" s="9" t="s">
        <v>39810</v>
      </c>
      <c r="C3781" s="9" t="s">
        <v>39811</v>
      </c>
      <c r="D3781" s="9" t="s">
        <v>39812</v>
      </c>
      <c r="E3781" s="9" t="s">
        <v>17740</v>
      </c>
      <c r="F3781" s="9" t="s">
        <v>39813</v>
      </c>
      <c r="G3781" s="9" t="s">
        <v>17740</v>
      </c>
      <c r="H3781" s="11" t="s">
        <v>39814</v>
      </c>
      <c r="I3781" s="11" t="s">
        <v>39815</v>
      </c>
      <c r="J3781" s="11" t="s">
        <v>39815</v>
      </c>
      <c r="K3781" s="9" t="s">
        <v>291</v>
      </c>
      <c r="L3781" s="9" t="s">
        <v>17744</v>
      </c>
      <c r="M3781" s="9" t="s">
        <v>17760</v>
      </c>
      <c r="N3781" s="9" t="s">
        <v>17746</v>
      </c>
      <c r="O3781" s="9" t="s">
        <v>19930</v>
      </c>
      <c r="P3781" s="9" t="s">
        <v>17748</v>
      </c>
      <c r="Q3781" s="11" t="s">
        <v>18201</v>
      </c>
      <c r="R3781" s="11" t="s">
        <v>18201</v>
      </c>
      <c r="S3781" s="11" t="s">
        <v>17750</v>
      </c>
    </row>
    <row r="3782" spans="1:19" x14ac:dyDescent="0.2">
      <c r="A3782" s="11" t="s">
        <v>39816</v>
      </c>
      <c r="B3782" s="9" t="s">
        <v>39817</v>
      </c>
      <c r="C3782" s="9" t="s">
        <v>39818</v>
      </c>
      <c r="D3782" s="9" t="s">
        <v>39819</v>
      </c>
      <c r="E3782" s="9" t="s">
        <v>17748</v>
      </c>
      <c r="F3782" s="9" t="s">
        <v>39820</v>
      </c>
      <c r="G3782" s="9" t="s">
        <v>17740</v>
      </c>
      <c r="H3782" s="11" t="s">
        <v>39821</v>
      </c>
      <c r="I3782" s="11" t="s">
        <v>39822</v>
      </c>
      <c r="J3782" s="11" t="s">
        <v>39822</v>
      </c>
      <c r="K3782" s="9" t="s">
        <v>31434</v>
      </c>
      <c r="L3782" s="9" t="s">
        <v>17744</v>
      </c>
      <c r="M3782" s="9" t="s">
        <v>17769</v>
      </c>
      <c r="N3782" s="9" t="s">
        <v>17746</v>
      </c>
      <c r="O3782" s="9" t="s">
        <v>17959</v>
      </c>
      <c r="P3782" s="9" t="s">
        <v>17748</v>
      </c>
      <c r="Q3782" s="11" t="s">
        <v>18356</v>
      </c>
      <c r="R3782" s="11" t="s">
        <v>18356</v>
      </c>
      <c r="S3782" s="11" t="s">
        <v>17750</v>
      </c>
    </row>
    <row r="3783" spans="1:19" x14ac:dyDescent="0.2">
      <c r="A3783" s="11" t="s">
        <v>39823</v>
      </c>
      <c r="B3783" s="9" t="s">
        <v>2855</v>
      </c>
      <c r="C3783" s="9" t="s">
        <v>39824</v>
      </c>
      <c r="D3783" s="9" t="s">
        <v>2855</v>
      </c>
      <c r="E3783" s="9" t="s">
        <v>17740</v>
      </c>
      <c r="F3783" s="9" t="s">
        <v>39825</v>
      </c>
      <c r="G3783" s="9" t="s">
        <v>17740</v>
      </c>
      <c r="H3783" s="11" t="s">
        <v>2857</v>
      </c>
      <c r="I3783" s="11" t="s">
        <v>2856</v>
      </c>
      <c r="J3783" s="11" t="s">
        <v>2856</v>
      </c>
      <c r="K3783" s="9" t="s">
        <v>167</v>
      </c>
      <c r="L3783" s="9" t="s">
        <v>17759</v>
      </c>
      <c r="M3783" s="9" t="s">
        <v>18065</v>
      </c>
      <c r="N3783" s="9" t="s">
        <v>17746</v>
      </c>
      <c r="O3783" s="9" t="s">
        <v>15733</v>
      </c>
      <c r="P3783" s="9" t="s">
        <v>17748</v>
      </c>
      <c r="Q3783" s="11" t="s">
        <v>19026</v>
      </c>
      <c r="R3783" s="11" t="s">
        <v>19026</v>
      </c>
      <c r="S3783" s="11" t="s">
        <v>17750</v>
      </c>
    </row>
    <row r="3784" spans="1:19" x14ac:dyDescent="0.2">
      <c r="A3784" s="11" t="s">
        <v>39826</v>
      </c>
      <c r="B3784" s="9" t="s">
        <v>39827</v>
      </c>
      <c r="C3784" s="9" t="s">
        <v>39828</v>
      </c>
      <c r="D3784" s="9" t="s">
        <v>4264</v>
      </c>
      <c r="E3784" s="9" t="s">
        <v>17740</v>
      </c>
      <c r="F3784" s="9" t="s">
        <v>17741</v>
      </c>
      <c r="G3784" s="9" t="s">
        <v>17740</v>
      </c>
      <c r="H3784" s="11" t="s">
        <v>4266</v>
      </c>
      <c r="I3784" s="11" t="s">
        <v>4265</v>
      </c>
      <c r="J3784" s="11" t="s">
        <v>4265</v>
      </c>
      <c r="K3784" s="9" t="s">
        <v>26030</v>
      </c>
      <c r="L3784" s="9" t="s">
        <v>21771</v>
      </c>
      <c r="M3784" s="9" t="s">
        <v>18289</v>
      </c>
      <c r="N3784" s="9" t="s">
        <v>17746</v>
      </c>
      <c r="O3784" s="9" t="s">
        <v>18363</v>
      </c>
      <c r="P3784" s="9" t="s">
        <v>17748</v>
      </c>
      <c r="Q3784" s="11" t="s">
        <v>18960</v>
      </c>
      <c r="R3784" s="11" t="s">
        <v>18960</v>
      </c>
      <c r="S3784" s="11" t="s">
        <v>17750</v>
      </c>
    </row>
    <row r="3785" spans="1:19" x14ac:dyDescent="0.2">
      <c r="A3785" s="11" t="s">
        <v>39829</v>
      </c>
      <c r="B3785" s="9" t="s">
        <v>5726</v>
      </c>
      <c r="C3785" s="9" t="s">
        <v>39830</v>
      </c>
      <c r="D3785" s="9" t="s">
        <v>5726</v>
      </c>
      <c r="E3785" s="9" t="s">
        <v>17740</v>
      </c>
      <c r="F3785" s="9" t="s">
        <v>17741</v>
      </c>
      <c r="G3785" s="9" t="s">
        <v>17740</v>
      </c>
      <c r="H3785" s="11" t="s">
        <v>5728</v>
      </c>
      <c r="I3785" s="11" t="s">
        <v>5727</v>
      </c>
      <c r="J3785" s="11" t="s">
        <v>5727</v>
      </c>
      <c r="K3785" s="9" t="s">
        <v>21721</v>
      </c>
      <c r="L3785" s="9" t="s">
        <v>17744</v>
      </c>
      <c r="M3785" s="9" t="s">
        <v>28201</v>
      </c>
      <c r="N3785" s="9" t="s">
        <v>17746</v>
      </c>
      <c r="O3785" s="9" t="s">
        <v>18534</v>
      </c>
      <c r="P3785" s="9" t="s">
        <v>17748</v>
      </c>
      <c r="Q3785" s="11" t="s">
        <v>18080</v>
      </c>
      <c r="R3785" s="11" t="s">
        <v>18080</v>
      </c>
      <c r="S3785" s="11" t="s">
        <v>17750</v>
      </c>
    </row>
    <row r="3786" spans="1:19" x14ac:dyDescent="0.2">
      <c r="A3786" s="11" t="s">
        <v>39831</v>
      </c>
      <c r="B3786" s="9" t="s">
        <v>39832</v>
      </c>
      <c r="C3786" s="9" t="s">
        <v>39833</v>
      </c>
      <c r="D3786" s="9" t="s">
        <v>39834</v>
      </c>
      <c r="E3786" s="9" t="s">
        <v>17740</v>
      </c>
      <c r="F3786" s="9" t="s">
        <v>17741</v>
      </c>
      <c r="G3786" s="9" t="s">
        <v>17740</v>
      </c>
      <c r="H3786" s="11" t="s">
        <v>17741</v>
      </c>
      <c r="I3786" s="11" t="s">
        <v>39835</v>
      </c>
      <c r="J3786" s="11" t="s">
        <v>39835</v>
      </c>
      <c r="K3786" s="9" t="s">
        <v>39836</v>
      </c>
      <c r="L3786" s="9" t="s">
        <v>18158</v>
      </c>
      <c r="M3786" s="9" t="s">
        <v>18211</v>
      </c>
      <c r="N3786" s="9" t="s">
        <v>18185</v>
      </c>
      <c r="O3786" s="9" t="s">
        <v>31150</v>
      </c>
      <c r="P3786" s="9" t="s">
        <v>17748</v>
      </c>
      <c r="Q3786" s="11" t="s">
        <v>18678</v>
      </c>
      <c r="R3786" s="11" t="s">
        <v>18678</v>
      </c>
      <c r="S3786" s="11" t="s">
        <v>17750</v>
      </c>
    </row>
    <row r="3787" spans="1:19" x14ac:dyDescent="0.2">
      <c r="A3787" s="11" t="s">
        <v>39837</v>
      </c>
      <c r="B3787" s="9" t="s">
        <v>39838</v>
      </c>
      <c r="C3787" s="9" t="s">
        <v>39839</v>
      </c>
      <c r="D3787" s="9" t="s">
        <v>39840</v>
      </c>
      <c r="E3787" s="9" t="s">
        <v>17740</v>
      </c>
      <c r="F3787" s="9" t="s">
        <v>17741</v>
      </c>
      <c r="G3787" s="9" t="s">
        <v>17740</v>
      </c>
      <c r="H3787" s="11" t="s">
        <v>9843</v>
      </c>
      <c r="I3787" s="11" t="s">
        <v>9842</v>
      </c>
      <c r="J3787" s="11" t="s">
        <v>9842</v>
      </c>
      <c r="K3787" s="9" t="s">
        <v>19180</v>
      </c>
      <c r="L3787" s="9" t="s">
        <v>17759</v>
      </c>
      <c r="M3787" s="9" t="s">
        <v>17760</v>
      </c>
      <c r="N3787" s="9" t="s">
        <v>17746</v>
      </c>
      <c r="O3787" s="9" t="s">
        <v>18882</v>
      </c>
      <c r="P3787" s="9" t="s">
        <v>17748</v>
      </c>
      <c r="Q3787" s="11" t="s">
        <v>17858</v>
      </c>
      <c r="R3787" s="11" t="s">
        <v>17858</v>
      </c>
      <c r="S3787" s="11" t="s">
        <v>17750</v>
      </c>
    </row>
    <row r="3788" spans="1:19" x14ac:dyDescent="0.2">
      <c r="A3788" s="11" t="s">
        <v>39841</v>
      </c>
      <c r="B3788" s="9" t="s">
        <v>2858</v>
      </c>
      <c r="C3788" s="9" t="s">
        <v>39842</v>
      </c>
      <c r="D3788" s="9" t="s">
        <v>2858</v>
      </c>
      <c r="E3788" s="9" t="s">
        <v>17740</v>
      </c>
      <c r="F3788" s="9" t="s">
        <v>17741</v>
      </c>
      <c r="G3788" s="9" t="s">
        <v>17740</v>
      </c>
      <c r="H3788" s="11" t="s">
        <v>17741</v>
      </c>
      <c r="I3788" s="11" t="s">
        <v>2859</v>
      </c>
      <c r="J3788" s="11" t="s">
        <v>2859</v>
      </c>
      <c r="K3788" s="9" t="s">
        <v>39843</v>
      </c>
      <c r="L3788" s="9" t="s">
        <v>17759</v>
      </c>
      <c r="M3788" s="9" t="s">
        <v>17760</v>
      </c>
      <c r="N3788" s="9" t="s">
        <v>17746</v>
      </c>
      <c r="O3788" s="9" t="s">
        <v>18882</v>
      </c>
      <c r="P3788" s="9" t="s">
        <v>17748</v>
      </c>
      <c r="Q3788" s="11" t="s">
        <v>17883</v>
      </c>
      <c r="R3788" s="11" t="s">
        <v>17883</v>
      </c>
      <c r="S3788" s="11" t="s">
        <v>17750</v>
      </c>
    </row>
    <row r="3789" spans="1:19" x14ac:dyDescent="0.2">
      <c r="A3789" s="11" t="s">
        <v>39844</v>
      </c>
      <c r="B3789" s="9" t="s">
        <v>13662</v>
      </c>
      <c r="C3789" s="9" t="s">
        <v>39845</v>
      </c>
      <c r="D3789" s="9" t="s">
        <v>39846</v>
      </c>
      <c r="E3789" s="9" t="s">
        <v>17740</v>
      </c>
      <c r="F3789" s="9" t="s">
        <v>17741</v>
      </c>
      <c r="G3789" s="9" t="s">
        <v>17740</v>
      </c>
      <c r="H3789" s="11" t="s">
        <v>13664</v>
      </c>
      <c r="I3789" s="11" t="s">
        <v>13663</v>
      </c>
      <c r="J3789" s="11" t="s">
        <v>13663</v>
      </c>
      <c r="K3789" s="9" t="s">
        <v>10332</v>
      </c>
      <c r="L3789" s="9" t="s">
        <v>17759</v>
      </c>
      <c r="M3789" s="9" t="s">
        <v>17769</v>
      </c>
      <c r="N3789" s="9" t="s">
        <v>17746</v>
      </c>
      <c r="O3789" s="9" t="s">
        <v>18882</v>
      </c>
      <c r="P3789" s="9" t="s">
        <v>17748</v>
      </c>
      <c r="Q3789" s="11" t="s">
        <v>17825</v>
      </c>
      <c r="R3789" s="11" t="s">
        <v>17825</v>
      </c>
      <c r="S3789" s="11" t="s">
        <v>17750</v>
      </c>
    </row>
    <row r="3790" spans="1:19" x14ac:dyDescent="0.2">
      <c r="A3790" s="11" t="s">
        <v>39847</v>
      </c>
      <c r="B3790" s="9" t="s">
        <v>39848</v>
      </c>
      <c r="C3790" s="9" t="s">
        <v>39849</v>
      </c>
      <c r="D3790" s="9" t="s">
        <v>39850</v>
      </c>
      <c r="E3790" s="9" t="s">
        <v>17740</v>
      </c>
      <c r="F3790" s="9" t="s">
        <v>17741</v>
      </c>
      <c r="G3790" s="9" t="s">
        <v>17740</v>
      </c>
      <c r="H3790" s="11" t="s">
        <v>9061</v>
      </c>
      <c r="I3790" s="11" t="s">
        <v>9060</v>
      </c>
      <c r="J3790" s="11" t="s">
        <v>9060</v>
      </c>
      <c r="K3790" s="9" t="s">
        <v>18712</v>
      </c>
      <c r="L3790" s="9" t="s">
        <v>18158</v>
      </c>
      <c r="M3790" s="9" t="s">
        <v>27840</v>
      </c>
      <c r="N3790" s="9" t="s">
        <v>17746</v>
      </c>
      <c r="O3790" s="9" t="s">
        <v>773</v>
      </c>
      <c r="P3790" s="9" t="s">
        <v>17748</v>
      </c>
      <c r="Q3790" s="11" t="s">
        <v>18922</v>
      </c>
      <c r="R3790" s="11" t="s">
        <v>18922</v>
      </c>
      <c r="S3790" s="11" t="s">
        <v>17750</v>
      </c>
    </row>
    <row r="3791" spans="1:19" x14ac:dyDescent="0.2">
      <c r="A3791" s="11" t="s">
        <v>39851</v>
      </c>
      <c r="B3791" s="9" t="s">
        <v>39852</v>
      </c>
      <c r="C3791" s="9" t="s">
        <v>39853</v>
      </c>
      <c r="D3791" s="9" t="s">
        <v>39854</v>
      </c>
      <c r="E3791" s="9" t="s">
        <v>17740</v>
      </c>
      <c r="F3791" s="9" t="s">
        <v>39855</v>
      </c>
      <c r="G3791" s="9" t="s">
        <v>17740</v>
      </c>
      <c r="H3791" s="11" t="s">
        <v>39856</v>
      </c>
      <c r="I3791" s="11" t="s">
        <v>39857</v>
      </c>
      <c r="J3791" s="11" t="s">
        <v>39857</v>
      </c>
      <c r="K3791" s="9" t="s">
        <v>18712</v>
      </c>
      <c r="L3791" s="9" t="s">
        <v>18158</v>
      </c>
      <c r="M3791" s="9" t="s">
        <v>19706</v>
      </c>
      <c r="N3791" s="9" t="s">
        <v>17746</v>
      </c>
      <c r="O3791" s="9" t="s">
        <v>18762</v>
      </c>
      <c r="P3791" s="9" t="s">
        <v>17748</v>
      </c>
      <c r="Q3791" s="11" t="s">
        <v>17808</v>
      </c>
      <c r="R3791" s="11" t="s">
        <v>17808</v>
      </c>
      <c r="S3791" s="11" t="s">
        <v>17750</v>
      </c>
    </row>
    <row r="3792" spans="1:19" x14ac:dyDescent="0.2">
      <c r="A3792" s="11" t="s">
        <v>39858</v>
      </c>
      <c r="B3792" s="9" t="s">
        <v>39859</v>
      </c>
      <c r="C3792" s="9" t="s">
        <v>39860</v>
      </c>
      <c r="D3792" s="9" t="s">
        <v>39861</v>
      </c>
      <c r="E3792" s="9" t="s">
        <v>17740</v>
      </c>
      <c r="F3792" s="9" t="s">
        <v>17741</v>
      </c>
      <c r="G3792" s="9" t="s">
        <v>17740</v>
      </c>
      <c r="H3792" s="11" t="s">
        <v>39862</v>
      </c>
      <c r="I3792" s="11" t="s">
        <v>39863</v>
      </c>
      <c r="J3792" s="11" t="s">
        <v>39863</v>
      </c>
      <c r="K3792" s="9" t="s">
        <v>17783</v>
      </c>
      <c r="L3792" s="9" t="s">
        <v>18158</v>
      </c>
      <c r="M3792" s="9" t="s">
        <v>21567</v>
      </c>
      <c r="N3792" s="9" t="s">
        <v>17746</v>
      </c>
      <c r="O3792" s="9" t="s">
        <v>23061</v>
      </c>
      <c r="P3792" s="9" t="s">
        <v>17748</v>
      </c>
      <c r="Q3792" s="11" t="s">
        <v>17792</v>
      </c>
      <c r="R3792" s="11" t="s">
        <v>17792</v>
      </c>
      <c r="S3792" s="11" t="s">
        <v>17750</v>
      </c>
    </row>
    <row r="3793" spans="1:19" x14ac:dyDescent="0.2">
      <c r="A3793" s="11" t="s">
        <v>39864</v>
      </c>
      <c r="B3793" s="9" t="s">
        <v>39865</v>
      </c>
      <c r="C3793" s="9" t="s">
        <v>39866</v>
      </c>
      <c r="D3793" s="9" t="s">
        <v>39867</v>
      </c>
      <c r="E3793" s="9" t="s">
        <v>17740</v>
      </c>
      <c r="F3793" s="9" t="s">
        <v>17741</v>
      </c>
      <c r="G3793" s="9" t="s">
        <v>17740</v>
      </c>
      <c r="H3793" s="11" t="s">
        <v>9631</v>
      </c>
      <c r="I3793" s="11" t="s">
        <v>9630</v>
      </c>
      <c r="J3793" s="11" t="s">
        <v>9630</v>
      </c>
      <c r="K3793" s="9" t="s">
        <v>39868</v>
      </c>
      <c r="L3793" s="9" t="s">
        <v>17744</v>
      </c>
      <c r="M3793" s="9" t="s">
        <v>17778</v>
      </c>
      <c r="N3793" s="9" t="s">
        <v>17746</v>
      </c>
      <c r="O3793" s="9" t="s">
        <v>39869</v>
      </c>
      <c r="P3793" s="9" t="s">
        <v>17748</v>
      </c>
      <c r="Q3793" s="11" t="s">
        <v>18678</v>
      </c>
      <c r="R3793" s="11" t="s">
        <v>18678</v>
      </c>
      <c r="S3793" s="11" t="s">
        <v>17750</v>
      </c>
    </row>
    <row r="3794" spans="1:19" x14ac:dyDescent="0.2">
      <c r="A3794" s="11" t="s">
        <v>39870</v>
      </c>
      <c r="B3794" s="9" t="s">
        <v>39871</v>
      </c>
      <c r="C3794" s="9" t="s">
        <v>39872</v>
      </c>
      <c r="D3794" s="9" t="s">
        <v>39873</v>
      </c>
      <c r="E3794" s="9" t="s">
        <v>17740</v>
      </c>
      <c r="F3794" s="9" t="s">
        <v>17741</v>
      </c>
      <c r="G3794" s="9" t="s">
        <v>17740</v>
      </c>
      <c r="H3794" s="11" t="s">
        <v>3016</v>
      </c>
      <c r="I3794" s="11" t="s">
        <v>3015</v>
      </c>
      <c r="J3794" s="11" t="s">
        <v>3015</v>
      </c>
      <c r="K3794" s="9" t="s">
        <v>91</v>
      </c>
      <c r="L3794" s="9" t="s">
        <v>18001</v>
      </c>
      <c r="M3794" s="9" t="s">
        <v>19168</v>
      </c>
      <c r="N3794" s="9" t="s">
        <v>17746</v>
      </c>
      <c r="O3794" s="9" t="s">
        <v>23061</v>
      </c>
      <c r="P3794" s="9" t="s">
        <v>17748</v>
      </c>
      <c r="Q3794" s="11" t="s">
        <v>19515</v>
      </c>
      <c r="R3794" s="11" t="s">
        <v>19515</v>
      </c>
      <c r="S3794" s="11" t="s">
        <v>17750</v>
      </c>
    </row>
    <row r="3795" spans="1:19" x14ac:dyDescent="0.2">
      <c r="A3795" s="11" t="s">
        <v>39874</v>
      </c>
      <c r="B3795" s="9" t="s">
        <v>39875</v>
      </c>
      <c r="C3795" s="9" t="s">
        <v>39876</v>
      </c>
      <c r="D3795" s="9" t="s">
        <v>39877</v>
      </c>
      <c r="E3795" s="9" t="s">
        <v>17740</v>
      </c>
      <c r="F3795" s="9" t="s">
        <v>17741</v>
      </c>
      <c r="G3795" s="9" t="s">
        <v>17740</v>
      </c>
      <c r="H3795" s="11" t="s">
        <v>6844</v>
      </c>
      <c r="I3795" s="11" t="s">
        <v>6843</v>
      </c>
      <c r="J3795" s="11" t="s">
        <v>6843</v>
      </c>
      <c r="K3795" s="9" t="s">
        <v>20259</v>
      </c>
      <c r="L3795" s="9" t="s">
        <v>17759</v>
      </c>
      <c r="M3795" s="9" t="s">
        <v>17760</v>
      </c>
      <c r="N3795" s="9" t="s">
        <v>17746</v>
      </c>
      <c r="O3795" s="9" t="s">
        <v>23061</v>
      </c>
      <c r="P3795" s="9" t="s">
        <v>17748</v>
      </c>
      <c r="Q3795" s="11" t="s">
        <v>17792</v>
      </c>
      <c r="R3795" s="11" t="s">
        <v>17792</v>
      </c>
      <c r="S3795" s="11" t="s">
        <v>17750</v>
      </c>
    </row>
    <row r="3796" spans="1:19" x14ac:dyDescent="0.2">
      <c r="A3796" s="11" t="s">
        <v>39878</v>
      </c>
      <c r="B3796" s="9" t="s">
        <v>39879</v>
      </c>
      <c r="C3796" s="9" t="s">
        <v>39880</v>
      </c>
      <c r="D3796" s="9" t="s">
        <v>39881</v>
      </c>
      <c r="E3796" s="9" t="s">
        <v>17740</v>
      </c>
      <c r="F3796" s="9" t="s">
        <v>39882</v>
      </c>
      <c r="G3796" s="9" t="s">
        <v>17740</v>
      </c>
      <c r="H3796" s="11" t="s">
        <v>39883</v>
      </c>
      <c r="I3796" s="11" t="s">
        <v>39884</v>
      </c>
      <c r="J3796" s="11" t="s">
        <v>39884</v>
      </c>
      <c r="K3796" s="9" t="s">
        <v>39885</v>
      </c>
      <c r="L3796" s="9" t="s">
        <v>17744</v>
      </c>
      <c r="M3796" s="9" t="s">
        <v>17817</v>
      </c>
      <c r="N3796" s="9" t="s">
        <v>17746</v>
      </c>
      <c r="O3796" s="9" t="s">
        <v>17882</v>
      </c>
      <c r="P3796" s="9" t="s">
        <v>17748</v>
      </c>
      <c r="Q3796" s="11" t="s">
        <v>18960</v>
      </c>
      <c r="R3796" s="11" t="s">
        <v>18960</v>
      </c>
      <c r="S3796" s="11" t="s">
        <v>17750</v>
      </c>
    </row>
    <row r="3797" spans="1:19" x14ac:dyDescent="0.2">
      <c r="A3797" s="11" t="s">
        <v>39886</v>
      </c>
      <c r="B3797" s="9" t="s">
        <v>39887</v>
      </c>
      <c r="C3797" s="9" t="s">
        <v>39888</v>
      </c>
      <c r="D3797" s="9" t="s">
        <v>39889</v>
      </c>
      <c r="E3797" s="9" t="s">
        <v>17740</v>
      </c>
      <c r="F3797" s="9" t="s">
        <v>17741</v>
      </c>
      <c r="G3797" s="9" t="s">
        <v>17740</v>
      </c>
      <c r="H3797" s="11" t="s">
        <v>39890</v>
      </c>
      <c r="I3797" s="11" t="s">
        <v>39891</v>
      </c>
      <c r="J3797" s="11" t="s">
        <v>39891</v>
      </c>
      <c r="K3797" s="9" t="s">
        <v>39892</v>
      </c>
      <c r="L3797" s="9" t="s">
        <v>18242</v>
      </c>
      <c r="M3797" s="9" t="s">
        <v>17760</v>
      </c>
      <c r="N3797" s="9" t="s">
        <v>17746</v>
      </c>
      <c r="O3797" s="9" t="s">
        <v>23061</v>
      </c>
      <c r="P3797" s="9" t="s">
        <v>17748</v>
      </c>
      <c r="Q3797" s="11" t="s">
        <v>17994</v>
      </c>
      <c r="R3797" s="11" t="s">
        <v>17994</v>
      </c>
      <c r="S3797" s="11" t="s">
        <v>17750</v>
      </c>
    </row>
    <row r="3798" spans="1:19" x14ac:dyDescent="0.2">
      <c r="A3798" s="11" t="s">
        <v>39893</v>
      </c>
      <c r="B3798" s="9" t="s">
        <v>39894</v>
      </c>
      <c r="C3798" s="9" t="s">
        <v>39895</v>
      </c>
      <c r="D3798" s="9" t="s">
        <v>39896</v>
      </c>
      <c r="E3798" s="9" t="s">
        <v>17740</v>
      </c>
      <c r="F3798" s="9" t="s">
        <v>17741</v>
      </c>
      <c r="G3798" s="9" t="s">
        <v>17740</v>
      </c>
      <c r="H3798" s="11" t="s">
        <v>3019</v>
      </c>
      <c r="I3798" s="11" t="s">
        <v>3018</v>
      </c>
      <c r="J3798" s="11" t="s">
        <v>3018</v>
      </c>
      <c r="K3798" s="9" t="s">
        <v>39897</v>
      </c>
      <c r="L3798" s="9" t="s">
        <v>17759</v>
      </c>
      <c r="M3798" s="9" t="s">
        <v>39898</v>
      </c>
      <c r="N3798" s="9" t="s">
        <v>17746</v>
      </c>
      <c r="O3798" s="9" t="s">
        <v>23061</v>
      </c>
      <c r="P3798" s="9" t="s">
        <v>17748</v>
      </c>
      <c r="Q3798" s="11" t="s">
        <v>18341</v>
      </c>
      <c r="R3798" s="11" t="s">
        <v>18341</v>
      </c>
      <c r="S3798" s="11" t="s">
        <v>17750</v>
      </c>
    </row>
    <row r="3799" spans="1:19" x14ac:dyDescent="0.2">
      <c r="A3799" s="11" t="s">
        <v>39899</v>
      </c>
      <c r="B3799" s="9" t="s">
        <v>39900</v>
      </c>
      <c r="C3799" s="9" t="s">
        <v>39901</v>
      </c>
      <c r="D3799" s="9" t="s">
        <v>39902</v>
      </c>
      <c r="E3799" s="9" t="s">
        <v>17740</v>
      </c>
      <c r="F3799" s="9" t="s">
        <v>17741</v>
      </c>
      <c r="G3799" s="9" t="s">
        <v>17740</v>
      </c>
      <c r="H3799" s="11" t="s">
        <v>17741</v>
      </c>
      <c r="I3799" s="11" t="s">
        <v>2948</v>
      </c>
      <c r="J3799" s="11" t="s">
        <v>2948</v>
      </c>
      <c r="K3799" s="9" t="s">
        <v>39903</v>
      </c>
      <c r="L3799" s="9" t="s">
        <v>17976</v>
      </c>
      <c r="M3799" s="9" t="s">
        <v>39904</v>
      </c>
      <c r="N3799" s="9" t="s">
        <v>18469</v>
      </c>
      <c r="O3799" s="9" t="s">
        <v>18363</v>
      </c>
      <c r="P3799" s="9" t="s">
        <v>17748</v>
      </c>
      <c r="Q3799" s="11" t="s">
        <v>17937</v>
      </c>
      <c r="R3799" s="11" t="s">
        <v>17937</v>
      </c>
      <c r="S3799" s="11" t="s">
        <v>17750</v>
      </c>
    </row>
    <row r="3800" spans="1:19" x14ac:dyDescent="0.2">
      <c r="A3800" s="11" t="s">
        <v>39905</v>
      </c>
      <c r="B3800" s="9" t="s">
        <v>39906</v>
      </c>
      <c r="C3800" s="9" t="s">
        <v>39907</v>
      </c>
      <c r="D3800" s="9" t="s">
        <v>39908</v>
      </c>
      <c r="E3800" s="9" t="s">
        <v>17748</v>
      </c>
      <c r="F3800" s="9" t="s">
        <v>39909</v>
      </c>
      <c r="G3800" s="9" t="s">
        <v>17740</v>
      </c>
      <c r="H3800" s="11" t="s">
        <v>39910</v>
      </c>
      <c r="I3800" s="11" t="s">
        <v>39911</v>
      </c>
      <c r="J3800" s="11" t="s">
        <v>39911</v>
      </c>
      <c r="K3800" s="9" t="s">
        <v>39912</v>
      </c>
      <c r="L3800" s="9" t="s">
        <v>17976</v>
      </c>
      <c r="M3800" s="9" t="s">
        <v>17741</v>
      </c>
      <c r="N3800" s="9" t="s">
        <v>18469</v>
      </c>
      <c r="O3800" s="9" t="s">
        <v>18035</v>
      </c>
      <c r="P3800" s="9" t="s">
        <v>17748</v>
      </c>
      <c r="Q3800" s="11" t="s">
        <v>18440</v>
      </c>
      <c r="R3800" s="11" t="s">
        <v>18440</v>
      </c>
      <c r="S3800" s="11" t="s">
        <v>17750</v>
      </c>
    </row>
    <row r="3801" spans="1:19" x14ac:dyDescent="0.2">
      <c r="A3801" s="11" t="s">
        <v>39913</v>
      </c>
      <c r="B3801" s="9" t="s">
        <v>39914</v>
      </c>
      <c r="C3801" s="9" t="s">
        <v>39915</v>
      </c>
      <c r="D3801" s="9" t="s">
        <v>39916</v>
      </c>
      <c r="E3801" s="9" t="s">
        <v>17740</v>
      </c>
      <c r="F3801" s="9" t="s">
        <v>17741</v>
      </c>
      <c r="G3801" s="9" t="s">
        <v>17740</v>
      </c>
      <c r="H3801" s="11" t="s">
        <v>9664</v>
      </c>
      <c r="I3801" s="11" t="s">
        <v>17741</v>
      </c>
      <c r="J3801" s="11" t="s">
        <v>9664</v>
      </c>
      <c r="K3801" s="9" t="s">
        <v>18570</v>
      </c>
      <c r="L3801" s="9" t="s">
        <v>17744</v>
      </c>
      <c r="M3801" s="9" t="s">
        <v>17741</v>
      </c>
      <c r="N3801" s="9" t="s">
        <v>17746</v>
      </c>
      <c r="O3801" s="9" t="s">
        <v>18548</v>
      </c>
      <c r="P3801" s="9" t="s">
        <v>17748</v>
      </c>
      <c r="Q3801" s="11" t="s">
        <v>17994</v>
      </c>
      <c r="R3801" s="11" t="s">
        <v>17994</v>
      </c>
      <c r="S3801" s="11" t="s">
        <v>17750</v>
      </c>
    </row>
    <row r="3802" spans="1:19" x14ac:dyDescent="0.2">
      <c r="A3802" s="11" t="s">
        <v>39917</v>
      </c>
      <c r="B3802" s="9" t="s">
        <v>39918</v>
      </c>
      <c r="C3802" s="9" t="s">
        <v>39919</v>
      </c>
      <c r="D3802" s="9" t="s">
        <v>39920</v>
      </c>
      <c r="E3802" s="9" t="s">
        <v>17740</v>
      </c>
      <c r="F3802" s="9" t="s">
        <v>17741</v>
      </c>
      <c r="G3802" s="9" t="s">
        <v>17740</v>
      </c>
      <c r="H3802" s="11" t="s">
        <v>39921</v>
      </c>
      <c r="I3802" s="11" t="s">
        <v>39922</v>
      </c>
      <c r="J3802" s="11" t="s">
        <v>39922</v>
      </c>
      <c r="K3802" s="9" t="s">
        <v>39923</v>
      </c>
      <c r="L3802" s="9" t="s">
        <v>39924</v>
      </c>
      <c r="M3802" s="9" t="s">
        <v>17760</v>
      </c>
      <c r="N3802" s="9" t="s">
        <v>17746</v>
      </c>
      <c r="O3802" s="9" t="s">
        <v>17993</v>
      </c>
      <c r="P3802" s="9" t="s">
        <v>17748</v>
      </c>
      <c r="Q3802" s="11" t="s">
        <v>17749</v>
      </c>
      <c r="R3802" s="11" t="s">
        <v>17749</v>
      </c>
      <c r="S3802" s="11" t="s">
        <v>17750</v>
      </c>
    </row>
    <row r="3803" spans="1:19" x14ac:dyDescent="0.2">
      <c r="A3803" s="11" t="s">
        <v>39925</v>
      </c>
      <c r="B3803" s="9" t="s">
        <v>39926</v>
      </c>
      <c r="C3803" s="9" t="s">
        <v>39927</v>
      </c>
      <c r="D3803" s="9" t="s">
        <v>39928</v>
      </c>
      <c r="E3803" s="9" t="s">
        <v>17740</v>
      </c>
      <c r="F3803" s="9" t="s">
        <v>17741</v>
      </c>
      <c r="G3803" s="9" t="s">
        <v>17740</v>
      </c>
      <c r="H3803" s="11" t="s">
        <v>17741</v>
      </c>
      <c r="I3803" s="11" t="s">
        <v>39929</v>
      </c>
      <c r="J3803" s="11" t="s">
        <v>39929</v>
      </c>
      <c r="K3803" s="9" t="s">
        <v>39930</v>
      </c>
      <c r="L3803" s="9" t="s">
        <v>39931</v>
      </c>
      <c r="M3803" s="9" t="s">
        <v>18211</v>
      </c>
      <c r="N3803" s="9" t="s">
        <v>17746</v>
      </c>
      <c r="O3803" s="9" t="s">
        <v>18543</v>
      </c>
      <c r="P3803" s="9" t="s">
        <v>17748</v>
      </c>
      <c r="Q3803" s="11" t="s">
        <v>19361</v>
      </c>
      <c r="R3803" s="11" t="s">
        <v>19361</v>
      </c>
      <c r="S3803" s="11" t="s">
        <v>17750</v>
      </c>
    </row>
    <row r="3804" spans="1:19" x14ac:dyDescent="0.2">
      <c r="A3804" s="11" t="s">
        <v>39932</v>
      </c>
      <c r="B3804" s="9" t="s">
        <v>39933</v>
      </c>
      <c r="C3804" s="9" t="s">
        <v>39934</v>
      </c>
      <c r="D3804" s="9" t="s">
        <v>39935</v>
      </c>
      <c r="E3804" s="9" t="s">
        <v>17740</v>
      </c>
      <c r="F3804" s="9" t="s">
        <v>17741</v>
      </c>
      <c r="G3804" s="9" t="s">
        <v>17740</v>
      </c>
      <c r="H3804" s="11" t="s">
        <v>17741</v>
      </c>
      <c r="I3804" s="11" t="s">
        <v>13588</v>
      </c>
      <c r="J3804" s="11" t="s">
        <v>13588</v>
      </c>
      <c r="K3804" s="9" t="s">
        <v>39936</v>
      </c>
      <c r="L3804" s="9" t="s">
        <v>39931</v>
      </c>
      <c r="M3804" s="9" t="s">
        <v>18211</v>
      </c>
      <c r="N3804" s="9" t="s">
        <v>17746</v>
      </c>
      <c r="O3804" s="9" t="s">
        <v>19521</v>
      </c>
      <c r="P3804" s="9" t="s">
        <v>17748</v>
      </c>
      <c r="Q3804" s="11" t="s">
        <v>19335</v>
      </c>
      <c r="R3804" s="11" t="s">
        <v>19335</v>
      </c>
      <c r="S3804" s="11" t="s">
        <v>17750</v>
      </c>
    </row>
    <row r="3805" spans="1:19" x14ac:dyDescent="0.2">
      <c r="A3805" s="11" t="s">
        <v>39937</v>
      </c>
      <c r="B3805" s="9" t="s">
        <v>39938</v>
      </c>
      <c r="C3805" s="9" t="s">
        <v>39939</v>
      </c>
      <c r="D3805" s="9" t="s">
        <v>39940</v>
      </c>
      <c r="E3805" s="9" t="s">
        <v>17740</v>
      </c>
      <c r="F3805" s="9" t="s">
        <v>17741</v>
      </c>
      <c r="G3805" s="9" t="s">
        <v>17740</v>
      </c>
      <c r="H3805" s="11" t="s">
        <v>39941</v>
      </c>
      <c r="I3805" s="11" t="s">
        <v>39942</v>
      </c>
      <c r="J3805" s="11" t="s">
        <v>39942</v>
      </c>
      <c r="K3805" s="9" t="s">
        <v>39943</v>
      </c>
      <c r="L3805" s="9" t="s">
        <v>39944</v>
      </c>
      <c r="M3805" s="9" t="s">
        <v>18051</v>
      </c>
      <c r="N3805" s="9" t="s">
        <v>18042</v>
      </c>
      <c r="O3805" s="9" t="s">
        <v>17993</v>
      </c>
      <c r="P3805" s="9" t="s">
        <v>17748</v>
      </c>
      <c r="Q3805" s="11" t="s">
        <v>17849</v>
      </c>
      <c r="R3805" s="11" t="s">
        <v>17849</v>
      </c>
      <c r="S3805" s="11" t="s">
        <v>17750</v>
      </c>
    </row>
    <row r="3806" spans="1:19" x14ac:dyDescent="0.2">
      <c r="A3806" s="11" t="s">
        <v>39945</v>
      </c>
      <c r="B3806" s="9" t="s">
        <v>39946</v>
      </c>
      <c r="C3806" s="9" t="s">
        <v>39947</v>
      </c>
      <c r="D3806" s="9" t="s">
        <v>39948</v>
      </c>
      <c r="E3806" s="9" t="s">
        <v>17740</v>
      </c>
      <c r="F3806" s="9" t="s">
        <v>39949</v>
      </c>
      <c r="G3806" s="9" t="s">
        <v>17740</v>
      </c>
      <c r="H3806" s="11" t="s">
        <v>6955</v>
      </c>
      <c r="I3806" s="11" t="s">
        <v>6954</v>
      </c>
      <c r="J3806" s="11" t="s">
        <v>6954</v>
      </c>
      <c r="K3806" s="9" t="s">
        <v>17089</v>
      </c>
      <c r="L3806" s="9" t="s">
        <v>17759</v>
      </c>
      <c r="M3806" s="9" t="s">
        <v>21169</v>
      </c>
      <c r="N3806" s="9" t="s">
        <v>17746</v>
      </c>
      <c r="O3806" s="9" t="s">
        <v>1690</v>
      </c>
      <c r="P3806" s="9" t="s">
        <v>17748</v>
      </c>
      <c r="Q3806" s="11" t="s">
        <v>18080</v>
      </c>
      <c r="R3806" s="11" t="s">
        <v>18080</v>
      </c>
      <c r="S3806" s="11" t="s">
        <v>17750</v>
      </c>
    </row>
    <row r="3807" spans="1:19" x14ac:dyDescent="0.2">
      <c r="A3807" s="11" t="s">
        <v>39950</v>
      </c>
      <c r="B3807" s="9" t="s">
        <v>39951</v>
      </c>
      <c r="C3807" s="9" t="s">
        <v>39952</v>
      </c>
      <c r="D3807" s="9" t="s">
        <v>39953</v>
      </c>
      <c r="E3807" s="9" t="s">
        <v>17740</v>
      </c>
      <c r="F3807" s="9" t="s">
        <v>17741</v>
      </c>
      <c r="G3807" s="9" t="s">
        <v>17740</v>
      </c>
      <c r="H3807" s="11" t="s">
        <v>17741</v>
      </c>
      <c r="I3807" s="11" t="s">
        <v>39954</v>
      </c>
      <c r="J3807" s="11" t="s">
        <v>39954</v>
      </c>
      <c r="K3807" s="9" t="s">
        <v>39955</v>
      </c>
      <c r="L3807" s="9" t="s">
        <v>17759</v>
      </c>
      <c r="M3807" s="9" t="s">
        <v>29351</v>
      </c>
      <c r="N3807" s="9" t="s">
        <v>17746</v>
      </c>
      <c r="O3807" s="9" t="s">
        <v>17857</v>
      </c>
      <c r="P3807" s="9" t="s">
        <v>17748</v>
      </c>
      <c r="Q3807" s="11" t="s">
        <v>18147</v>
      </c>
      <c r="R3807" s="11" t="s">
        <v>18147</v>
      </c>
      <c r="S3807" s="11" t="s">
        <v>17750</v>
      </c>
    </row>
    <row r="3808" spans="1:19" x14ac:dyDescent="0.2">
      <c r="A3808" s="11" t="s">
        <v>39956</v>
      </c>
      <c r="B3808" s="9" t="s">
        <v>39957</v>
      </c>
      <c r="C3808" s="9" t="s">
        <v>39958</v>
      </c>
      <c r="D3808" s="9" t="s">
        <v>39959</v>
      </c>
      <c r="E3808" s="9" t="s">
        <v>17748</v>
      </c>
      <c r="F3808" s="9" t="s">
        <v>39960</v>
      </c>
      <c r="G3808" s="9" t="s">
        <v>17740</v>
      </c>
      <c r="H3808" s="11" t="s">
        <v>17741</v>
      </c>
      <c r="I3808" s="11" t="s">
        <v>39961</v>
      </c>
      <c r="J3808" s="11" t="s">
        <v>39961</v>
      </c>
      <c r="K3808" s="9" t="s">
        <v>39962</v>
      </c>
      <c r="L3808" s="9" t="s">
        <v>17759</v>
      </c>
      <c r="M3808" s="9" t="s">
        <v>17817</v>
      </c>
      <c r="N3808" s="9" t="s">
        <v>17746</v>
      </c>
      <c r="O3808" s="9" t="s">
        <v>17848</v>
      </c>
      <c r="P3808" s="9" t="s">
        <v>17748</v>
      </c>
      <c r="Q3808" s="11" t="s">
        <v>18272</v>
      </c>
      <c r="R3808" s="11" t="s">
        <v>18272</v>
      </c>
      <c r="S3808" s="11" t="s">
        <v>17750</v>
      </c>
    </row>
    <row r="3809" spans="1:19" x14ac:dyDescent="0.2">
      <c r="A3809" s="11" t="s">
        <v>39963</v>
      </c>
      <c r="B3809" s="9" t="s">
        <v>39964</v>
      </c>
      <c r="C3809" s="9" t="s">
        <v>39965</v>
      </c>
      <c r="D3809" s="9" t="s">
        <v>39966</v>
      </c>
      <c r="E3809" s="9" t="s">
        <v>17740</v>
      </c>
      <c r="F3809" s="9" t="s">
        <v>17741</v>
      </c>
      <c r="G3809" s="9" t="s">
        <v>17740</v>
      </c>
      <c r="H3809" s="11" t="s">
        <v>7013</v>
      </c>
      <c r="I3809" s="11" t="s">
        <v>7012</v>
      </c>
      <c r="J3809" s="11" t="s">
        <v>7012</v>
      </c>
      <c r="K3809" s="9" t="s">
        <v>831</v>
      </c>
      <c r="L3809" s="9" t="s">
        <v>23607</v>
      </c>
      <c r="M3809" s="9" t="s">
        <v>26122</v>
      </c>
      <c r="N3809" s="9" t="s">
        <v>17746</v>
      </c>
      <c r="O3809" s="9" t="s">
        <v>19740</v>
      </c>
      <c r="P3809" s="9" t="s">
        <v>17748</v>
      </c>
      <c r="Q3809" s="11" t="s">
        <v>19361</v>
      </c>
      <c r="R3809" s="11" t="s">
        <v>19361</v>
      </c>
      <c r="S3809" s="11" t="s">
        <v>17750</v>
      </c>
    </row>
    <row r="3810" spans="1:19" x14ac:dyDescent="0.2">
      <c r="A3810" s="11" t="s">
        <v>39967</v>
      </c>
      <c r="B3810" s="9" t="s">
        <v>39968</v>
      </c>
      <c r="C3810" s="9" t="s">
        <v>39969</v>
      </c>
      <c r="D3810" s="9" t="s">
        <v>39970</v>
      </c>
      <c r="E3810" s="9" t="s">
        <v>17740</v>
      </c>
      <c r="F3810" s="9" t="s">
        <v>17741</v>
      </c>
      <c r="G3810" s="9" t="s">
        <v>17740</v>
      </c>
      <c r="H3810" s="11" t="s">
        <v>17741</v>
      </c>
      <c r="I3810" s="11" t="s">
        <v>39971</v>
      </c>
      <c r="J3810" s="11" t="s">
        <v>39971</v>
      </c>
      <c r="K3810" s="9" t="s">
        <v>39972</v>
      </c>
      <c r="L3810" s="9" t="s">
        <v>18158</v>
      </c>
      <c r="M3810" s="9" t="s">
        <v>17942</v>
      </c>
      <c r="N3810" s="9" t="s">
        <v>17746</v>
      </c>
      <c r="O3810" s="9" t="s">
        <v>17747</v>
      </c>
      <c r="P3810" s="9" t="s">
        <v>17748</v>
      </c>
      <c r="Q3810" s="11" t="s">
        <v>18433</v>
      </c>
      <c r="R3810" s="11" t="s">
        <v>18433</v>
      </c>
      <c r="S3810" s="11" t="s">
        <v>17750</v>
      </c>
    </row>
    <row r="3811" spans="1:19" x14ac:dyDescent="0.2">
      <c r="A3811" s="11" t="s">
        <v>39973</v>
      </c>
      <c r="B3811" s="9" t="s">
        <v>39974</v>
      </c>
      <c r="C3811" s="9" t="s">
        <v>39975</v>
      </c>
      <c r="D3811" s="9" t="s">
        <v>39976</v>
      </c>
      <c r="E3811" s="9" t="s">
        <v>17740</v>
      </c>
      <c r="F3811" s="9" t="s">
        <v>39977</v>
      </c>
      <c r="G3811" s="9" t="s">
        <v>17740</v>
      </c>
      <c r="H3811" s="11" t="s">
        <v>39978</v>
      </c>
      <c r="I3811" s="11" t="s">
        <v>39979</v>
      </c>
      <c r="J3811" s="11" t="s">
        <v>39979</v>
      </c>
      <c r="K3811" s="9" t="s">
        <v>38544</v>
      </c>
      <c r="L3811" s="9" t="s">
        <v>17759</v>
      </c>
      <c r="M3811" s="9" t="s">
        <v>17769</v>
      </c>
      <c r="N3811" s="9" t="s">
        <v>17746</v>
      </c>
      <c r="O3811" s="9" t="s">
        <v>39980</v>
      </c>
      <c r="P3811" s="9" t="s">
        <v>17748</v>
      </c>
      <c r="Q3811" s="11" t="s">
        <v>18356</v>
      </c>
      <c r="R3811" s="11" t="s">
        <v>18356</v>
      </c>
      <c r="S3811" s="11" t="s">
        <v>17750</v>
      </c>
    </row>
    <row r="3812" spans="1:19" x14ac:dyDescent="0.2">
      <c r="A3812" s="11" t="s">
        <v>39981</v>
      </c>
      <c r="B3812" s="9" t="s">
        <v>39982</v>
      </c>
      <c r="C3812" s="9" t="s">
        <v>39983</v>
      </c>
      <c r="D3812" s="9" t="s">
        <v>39984</v>
      </c>
      <c r="E3812" s="9" t="s">
        <v>17740</v>
      </c>
      <c r="F3812" s="9" t="s">
        <v>17741</v>
      </c>
      <c r="G3812" s="9" t="s">
        <v>17740</v>
      </c>
      <c r="H3812" s="11" t="s">
        <v>10619</v>
      </c>
      <c r="I3812" s="11" t="s">
        <v>17741</v>
      </c>
      <c r="J3812" s="11" t="s">
        <v>10619</v>
      </c>
      <c r="K3812" s="9" t="s">
        <v>32492</v>
      </c>
      <c r="L3812" s="9" t="s">
        <v>18123</v>
      </c>
      <c r="M3812" s="9" t="s">
        <v>17760</v>
      </c>
      <c r="N3812" s="9" t="s">
        <v>17746</v>
      </c>
      <c r="O3812" s="9" t="s">
        <v>39985</v>
      </c>
      <c r="P3812" s="9" t="s">
        <v>17748</v>
      </c>
      <c r="Q3812" s="11" t="s">
        <v>17858</v>
      </c>
      <c r="R3812" s="11" t="s">
        <v>17858</v>
      </c>
      <c r="S3812" s="11" t="s">
        <v>17750</v>
      </c>
    </row>
    <row r="3813" spans="1:19" x14ac:dyDescent="0.2">
      <c r="A3813" s="11" t="s">
        <v>39986</v>
      </c>
      <c r="B3813" s="9" t="s">
        <v>39987</v>
      </c>
      <c r="C3813" s="9" t="s">
        <v>39988</v>
      </c>
      <c r="D3813" s="9" t="s">
        <v>39989</v>
      </c>
      <c r="E3813" s="9" t="s">
        <v>17740</v>
      </c>
      <c r="F3813" s="9" t="s">
        <v>17741</v>
      </c>
      <c r="G3813" s="9" t="s">
        <v>17740</v>
      </c>
      <c r="H3813" s="11" t="s">
        <v>2941</v>
      </c>
      <c r="I3813" s="11" t="s">
        <v>2940</v>
      </c>
      <c r="J3813" s="11" t="s">
        <v>2940</v>
      </c>
      <c r="K3813" s="9" t="s">
        <v>91</v>
      </c>
      <c r="L3813" s="9" t="s">
        <v>17744</v>
      </c>
      <c r="M3813" s="9" t="s">
        <v>36018</v>
      </c>
      <c r="N3813" s="9" t="s">
        <v>17746</v>
      </c>
      <c r="O3813" s="9" t="s">
        <v>39990</v>
      </c>
      <c r="P3813" s="9" t="s">
        <v>17748</v>
      </c>
      <c r="Q3813" s="11" t="s">
        <v>19335</v>
      </c>
      <c r="R3813" s="11" t="s">
        <v>19335</v>
      </c>
      <c r="S3813" s="11" t="s">
        <v>17750</v>
      </c>
    </row>
    <row r="3814" spans="1:19" x14ac:dyDescent="0.2">
      <c r="A3814" s="11" t="s">
        <v>39991</v>
      </c>
      <c r="B3814" s="9" t="s">
        <v>39992</v>
      </c>
      <c r="C3814" s="9" t="s">
        <v>39993</v>
      </c>
      <c r="D3814" s="9" t="s">
        <v>39994</v>
      </c>
      <c r="E3814" s="9" t="s">
        <v>17740</v>
      </c>
      <c r="F3814" s="9" t="s">
        <v>17741</v>
      </c>
      <c r="G3814" s="9" t="s">
        <v>17740</v>
      </c>
      <c r="H3814" s="11" t="s">
        <v>39995</v>
      </c>
      <c r="I3814" s="11" t="s">
        <v>39996</v>
      </c>
      <c r="J3814" s="11" t="s">
        <v>39996</v>
      </c>
      <c r="K3814" s="9" t="s">
        <v>91</v>
      </c>
      <c r="L3814" s="9" t="s">
        <v>18001</v>
      </c>
      <c r="M3814" s="9" t="s">
        <v>17760</v>
      </c>
      <c r="N3814" s="9" t="s">
        <v>17746</v>
      </c>
      <c r="O3814" s="9" t="s">
        <v>30024</v>
      </c>
      <c r="P3814" s="9" t="s">
        <v>17748</v>
      </c>
      <c r="Q3814" s="11" t="s">
        <v>18370</v>
      </c>
      <c r="R3814" s="11" t="s">
        <v>18370</v>
      </c>
      <c r="S3814" s="11" t="s">
        <v>17750</v>
      </c>
    </row>
    <row r="3815" spans="1:19" x14ac:dyDescent="0.2">
      <c r="A3815" s="11" t="s">
        <v>39997</v>
      </c>
      <c r="B3815" s="9" t="s">
        <v>39998</v>
      </c>
      <c r="C3815" s="9" t="s">
        <v>39999</v>
      </c>
      <c r="D3815" s="9" t="s">
        <v>40000</v>
      </c>
      <c r="E3815" s="9" t="s">
        <v>17740</v>
      </c>
      <c r="F3815" s="9" t="s">
        <v>17741</v>
      </c>
      <c r="G3815" s="9" t="s">
        <v>17740</v>
      </c>
      <c r="H3815" s="11" t="s">
        <v>3010</v>
      </c>
      <c r="I3815" s="11" t="s">
        <v>3009</v>
      </c>
      <c r="J3815" s="11" t="s">
        <v>3009</v>
      </c>
      <c r="K3815" s="9" t="s">
        <v>91</v>
      </c>
      <c r="L3815" s="9" t="s">
        <v>17744</v>
      </c>
      <c r="M3815" s="9" t="s">
        <v>40001</v>
      </c>
      <c r="N3815" s="9" t="s">
        <v>17746</v>
      </c>
      <c r="O3815" s="9" t="s">
        <v>25880</v>
      </c>
      <c r="P3815" s="9" t="s">
        <v>17748</v>
      </c>
      <c r="Q3815" s="11" t="s">
        <v>18282</v>
      </c>
      <c r="R3815" s="11" t="s">
        <v>18282</v>
      </c>
      <c r="S3815" s="11" t="s">
        <v>17750</v>
      </c>
    </row>
    <row r="3816" spans="1:19" x14ac:dyDescent="0.2">
      <c r="A3816" s="11" t="s">
        <v>40002</v>
      </c>
      <c r="B3816" s="9" t="s">
        <v>40003</v>
      </c>
      <c r="C3816" s="9" t="s">
        <v>40004</v>
      </c>
      <c r="D3816" s="9" t="s">
        <v>40005</v>
      </c>
      <c r="E3816" s="9" t="s">
        <v>17748</v>
      </c>
      <c r="F3816" s="9" t="s">
        <v>40006</v>
      </c>
      <c r="G3816" s="9" t="s">
        <v>17740</v>
      </c>
      <c r="H3816" s="11" t="s">
        <v>17741</v>
      </c>
      <c r="I3816" s="11" t="s">
        <v>40007</v>
      </c>
      <c r="J3816" s="11" t="s">
        <v>40007</v>
      </c>
      <c r="K3816" s="9" t="s">
        <v>40008</v>
      </c>
      <c r="L3816" s="9" t="s">
        <v>17759</v>
      </c>
      <c r="M3816" s="9" t="s">
        <v>17760</v>
      </c>
      <c r="N3816" s="9" t="s">
        <v>17746</v>
      </c>
      <c r="O3816" s="9" t="s">
        <v>17848</v>
      </c>
      <c r="P3816" s="9" t="s">
        <v>17748</v>
      </c>
      <c r="Q3816" s="11" t="s">
        <v>18272</v>
      </c>
      <c r="R3816" s="11" t="s">
        <v>18272</v>
      </c>
      <c r="S3816" s="11" t="s">
        <v>17750</v>
      </c>
    </row>
    <row r="3817" spans="1:19" x14ac:dyDescent="0.2">
      <c r="A3817" s="11" t="s">
        <v>40009</v>
      </c>
      <c r="B3817" s="9" t="s">
        <v>40010</v>
      </c>
      <c r="C3817" s="9" t="s">
        <v>40011</v>
      </c>
      <c r="D3817" s="9" t="s">
        <v>40012</v>
      </c>
      <c r="E3817" s="9" t="s">
        <v>17748</v>
      </c>
      <c r="F3817" s="9" t="s">
        <v>40013</v>
      </c>
      <c r="G3817" s="9" t="s">
        <v>17740</v>
      </c>
      <c r="H3817" s="11" t="s">
        <v>17741</v>
      </c>
      <c r="I3817" s="11" t="s">
        <v>40014</v>
      </c>
      <c r="J3817" s="11" t="s">
        <v>40014</v>
      </c>
      <c r="K3817" s="9" t="s">
        <v>30979</v>
      </c>
      <c r="L3817" s="9" t="s">
        <v>17759</v>
      </c>
      <c r="M3817" s="9" t="s">
        <v>17760</v>
      </c>
      <c r="N3817" s="9" t="s">
        <v>17746</v>
      </c>
      <c r="O3817" s="9" t="s">
        <v>17993</v>
      </c>
      <c r="P3817" s="9" t="s">
        <v>17748</v>
      </c>
      <c r="Q3817" s="11" t="s">
        <v>17784</v>
      </c>
      <c r="R3817" s="11" t="s">
        <v>17784</v>
      </c>
      <c r="S3817" s="11" t="s">
        <v>17750</v>
      </c>
    </row>
    <row r="3818" spans="1:19" x14ac:dyDescent="0.2">
      <c r="A3818" s="11" t="s">
        <v>40015</v>
      </c>
      <c r="B3818" s="9" t="s">
        <v>40016</v>
      </c>
      <c r="C3818" s="9" t="s">
        <v>40017</v>
      </c>
      <c r="D3818" s="9" t="s">
        <v>40018</v>
      </c>
      <c r="E3818" s="9" t="s">
        <v>17740</v>
      </c>
      <c r="F3818" s="9" t="s">
        <v>17741</v>
      </c>
      <c r="G3818" s="9" t="s">
        <v>17740</v>
      </c>
      <c r="H3818" s="11" t="s">
        <v>40019</v>
      </c>
      <c r="I3818" s="11" t="s">
        <v>40020</v>
      </c>
      <c r="J3818" s="11" t="s">
        <v>40020</v>
      </c>
      <c r="K3818" s="9" t="s">
        <v>17805</v>
      </c>
      <c r="L3818" s="9" t="s">
        <v>17759</v>
      </c>
      <c r="M3818" s="9" t="s">
        <v>17769</v>
      </c>
      <c r="N3818" s="9" t="s">
        <v>17746</v>
      </c>
      <c r="O3818" s="9" t="s">
        <v>18088</v>
      </c>
      <c r="P3818" s="9" t="s">
        <v>17748</v>
      </c>
      <c r="Q3818" s="11" t="s">
        <v>19515</v>
      </c>
      <c r="R3818" s="11" t="s">
        <v>19515</v>
      </c>
      <c r="S3818" s="11" t="s">
        <v>17750</v>
      </c>
    </row>
    <row r="3819" spans="1:19" x14ac:dyDescent="0.2">
      <c r="A3819" s="11" t="s">
        <v>40021</v>
      </c>
      <c r="B3819" s="9" t="s">
        <v>40022</v>
      </c>
      <c r="C3819" s="9" t="s">
        <v>40023</v>
      </c>
      <c r="D3819" s="9" t="s">
        <v>40024</v>
      </c>
      <c r="E3819" s="9" t="s">
        <v>17740</v>
      </c>
      <c r="F3819" s="9" t="s">
        <v>17741</v>
      </c>
      <c r="G3819" s="9" t="s">
        <v>17740</v>
      </c>
      <c r="H3819" s="11" t="s">
        <v>17741</v>
      </c>
      <c r="I3819" s="11" t="s">
        <v>2874</v>
      </c>
      <c r="J3819" s="11" t="s">
        <v>2874</v>
      </c>
      <c r="K3819" s="9" t="s">
        <v>40025</v>
      </c>
      <c r="L3819" s="9" t="s">
        <v>18242</v>
      </c>
      <c r="M3819" s="9" t="s">
        <v>18289</v>
      </c>
      <c r="N3819" s="9" t="s">
        <v>21524</v>
      </c>
      <c r="O3819" s="9" t="s">
        <v>487</v>
      </c>
      <c r="P3819" s="9" t="s">
        <v>17748</v>
      </c>
      <c r="Q3819" s="11" t="s">
        <v>19978</v>
      </c>
      <c r="R3819" s="11" t="s">
        <v>19978</v>
      </c>
      <c r="S3819" s="11" t="s">
        <v>17750</v>
      </c>
    </row>
    <row r="3820" spans="1:19" x14ac:dyDescent="0.2">
      <c r="A3820" s="11" t="s">
        <v>40026</v>
      </c>
      <c r="B3820" s="9" t="s">
        <v>40027</v>
      </c>
      <c r="C3820" s="9" t="s">
        <v>40028</v>
      </c>
      <c r="D3820" s="9" t="s">
        <v>40029</v>
      </c>
      <c r="E3820" s="9" t="s">
        <v>17740</v>
      </c>
      <c r="F3820" s="9" t="s">
        <v>17741</v>
      </c>
      <c r="G3820" s="9" t="s">
        <v>17740</v>
      </c>
      <c r="H3820" s="11" t="s">
        <v>17741</v>
      </c>
      <c r="I3820" s="11" t="s">
        <v>40030</v>
      </c>
      <c r="J3820" s="11" t="s">
        <v>40030</v>
      </c>
      <c r="K3820" s="9" t="s">
        <v>30676</v>
      </c>
      <c r="L3820" s="9" t="s">
        <v>17759</v>
      </c>
      <c r="M3820" s="9" t="s">
        <v>17817</v>
      </c>
      <c r="N3820" s="9" t="s">
        <v>17746</v>
      </c>
      <c r="O3820" s="9" t="s">
        <v>17848</v>
      </c>
      <c r="P3820" s="9" t="s">
        <v>17748</v>
      </c>
      <c r="Q3820" s="11" t="s">
        <v>18147</v>
      </c>
      <c r="R3820" s="11" t="s">
        <v>18147</v>
      </c>
      <c r="S3820" s="11" t="s">
        <v>17750</v>
      </c>
    </row>
    <row r="3821" spans="1:19" x14ac:dyDescent="0.2">
      <c r="A3821" s="11" t="s">
        <v>40031</v>
      </c>
      <c r="B3821" s="9" t="s">
        <v>40032</v>
      </c>
      <c r="C3821" s="9" t="s">
        <v>40033</v>
      </c>
      <c r="D3821" s="9" t="s">
        <v>40034</v>
      </c>
      <c r="E3821" s="9" t="s">
        <v>17740</v>
      </c>
      <c r="F3821" s="9" t="s">
        <v>40035</v>
      </c>
      <c r="G3821" s="9" t="s">
        <v>17740</v>
      </c>
      <c r="H3821" s="11" t="s">
        <v>40036</v>
      </c>
      <c r="I3821" s="11" t="s">
        <v>40037</v>
      </c>
      <c r="J3821" s="11" t="s">
        <v>40037</v>
      </c>
      <c r="K3821" s="9" t="s">
        <v>91</v>
      </c>
      <c r="L3821" s="9" t="s">
        <v>18001</v>
      </c>
      <c r="M3821" s="9" t="s">
        <v>40038</v>
      </c>
      <c r="N3821" s="9" t="s">
        <v>17746</v>
      </c>
      <c r="O3821" s="9" t="s">
        <v>18713</v>
      </c>
      <c r="P3821" s="9" t="s">
        <v>17748</v>
      </c>
      <c r="Q3821" s="11" t="s">
        <v>18370</v>
      </c>
      <c r="R3821" s="11" t="s">
        <v>18370</v>
      </c>
      <c r="S3821" s="11" t="s">
        <v>17750</v>
      </c>
    </row>
    <row r="3822" spans="1:19" x14ac:dyDescent="0.2">
      <c r="A3822" s="11" t="s">
        <v>40039</v>
      </c>
      <c r="B3822" s="9" t="s">
        <v>40040</v>
      </c>
      <c r="C3822" s="9" t="s">
        <v>40041</v>
      </c>
      <c r="D3822" s="9" t="s">
        <v>40042</v>
      </c>
      <c r="E3822" s="9" t="s">
        <v>17740</v>
      </c>
      <c r="F3822" s="9" t="s">
        <v>17741</v>
      </c>
      <c r="G3822" s="9" t="s">
        <v>17740</v>
      </c>
      <c r="H3822" s="11" t="s">
        <v>10539</v>
      </c>
      <c r="I3822" s="11" t="s">
        <v>10538</v>
      </c>
      <c r="J3822" s="11" t="s">
        <v>10538</v>
      </c>
      <c r="K3822" s="9" t="s">
        <v>970</v>
      </c>
      <c r="L3822" s="9" t="s">
        <v>17744</v>
      </c>
      <c r="M3822" s="9" t="s">
        <v>17760</v>
      </c>
      <c r="N3822" s="9" t="s">
        <v>17746</v>
      </c>
      <c r="O3822" s="9" t="s">
        <v>40043</v>
      </c>
      <c r="P3822" s="9" t="s">
        <v>17748</v>
      </c>
      <c r="Q3822" s="11" t="s">
        <v>17984</v>
      </c>
      <c r="R3822" s="11" t="s">
        <v>17984</v>
      </c>
      <c r="S3822" s="11" t="s">
        <v>17750</v>
      </c>
    </row>
    <row r="3823" spans="1:19" x14ac:dyDescent="0.2">
      <c r="A3823" s="11" t="s">
        <v>40044</v>
      </c>
      <c r="B3823" s="9" t="s">
        <v>40045</v>
      </c>
      <c r="C3823" s="9" t="s">
        <v>40046</v>
      </c>
      <c r="D3823" s="9" t="s">
        <v>40047</v>
      </c>
      <c r="E3823" s="9" t="s">
        <v>17740</v>
      </c>
      <c r="F3823" s="9" t="s">
        <v>17741</v>
      </c>
      <c r="G3823" s="9" t="s">
        <v>17740</v>
      </c>
      <c r="H3823" s="11" t="s">
        <v>40048</v>
      </c>
      <c r="I3823" s="11" t="s">
        <v>40049</v>
      </c>
      <c r="J3823" s="11" t="s">
        <v>40049</v>
      </c>
      <c r="K3823" s="9" t="s">
        <v>18832</v>
      </c>
      <c r="L3823" s="9" t="s">
        <v>17759</v>
      </c>
      <c r="M3823" s="9" t="s">
        <v>17760</v>
      </c>
      <c r="N3823" s="9" t="s">
        <v>17746</v>
      </c>
      <c r="O3823" s="9" t="s">
        <v>8489</v>
      </c>
      <c r="P3823" s="9" t="s">
        <v>17748</v>
      </c>
      <c r="Q3823" s="11" t="s">
        <v>18272</v>
      </c>
      <c r="R3823" s="11" t="s">
        <v>18272</v>
      </c>
      <c r="S3823" s="11" t="s">
        <v>17750</v>
      </c>
    </row>
    <row r="3824" spans="1:19" x14ac:dyDescent="0.2">
      <c r="A3824" s="11" t="s">
        <v>40050</v>
      </c>
      <c r="B3824" s="9" t="s">
        <v>40051</v>
      </c>
      <c r="C3824" s="9" t="s">
        <v>40052</v>
      </c>
      <c r="D3824" s="9" t="s">
        <v>40053</v>
      </c>
      <c r="E3824" s="9" t="s">
        <v>17740</v>
      </c>
      <c r="F3824" s="9" t="s">
        <v>17741</v>
      </c>
      <c r="G3824" s="9" t="s">
        <v>17740</v>
      </c>
      <c r="H3824" s="11" t="s">
        <v>2864</v>
      </c>
      <c r="I3824" s="11" t="s">
        <v>2863</v>
      </c>
      <c r="J3824" s="11" t="s">
        <v>2863</v>
      </c>
      <c r="K3824" s="9" t="s">
        <v>40054</v>
      </c>
      <c r="L3824" s="9" t="s">
        <v>17759</v>
      </c>
      <c r="M3824" s="9" t="s">
        <v>18812</v>
      </c>
      <c r="N3824" s="9" t="s">
        <v>17746</v>
      </c>
      <c r="O3824" s="9" t="s">
        <v>22682</v>
      </c>
      <c r="P3824" s="9" t="s">
        <v>17748</v>
      </c>
      <c r="Q3824" s="11" t="s">
        <v>18813</v>
      </c>
      <c r="R3824" s="11" t="s">
        <v>18813</v>
      </c>
      <c r="S3824" s="11" t="s">
        <v>17750</v>
      </c>
    </row>
    <row r="3825" spans="1:19" x14ac:dyDescent="0.2">
      <c r="A3825" s="11" t="s">
        <v>40055</v>
      </c>
      <c r="B3825" s="9" t="s">
        <v>40056</v>
      </c>
      <c r="C3825" s="9" t="s">
        <v>40057</v>
      </c>
      <c r="D3825" s="9" t="s">
        <v>40058</v>
      </c>
      <c r="E3825" s="9" t="s">
        <v>17740</v>
      </c>
      <c r="F3825" s="9" t="s">
        <v>17741</v>
      </c>
      <c r="G3825" s="9" t="s">
        <v>17740</v>
      </c>
      <c r="H3825" s="11" t="s">
        <v>40059</v>
      </c>
      <c r="I3825" s="11" t="s">
        <v>40060</v>
      </c>
      <c r="J3825" s="11" t="s">
        <v>40060</v>
      </c>
      <c r="K3825" s="9" t="s">
        <v>40061</v>
      </c>
      <c r="L3825" s="9" t="s">
        <v>17759</v>
      </c>
      <c r="M3825" s="9" t="s">
        <v>17760</v>
      </c>
      <c r="N3825" s="9" t="s">
        <v>17746</v>
      </c>
      <c r="O3825" s="9" t="s">
        <v>22429</v>
      </c>
      <c r="P3825" s="9" t="s">
        <v>17748</v>
      </c>
      <c r="Q3825" s="11" t="s">
        <v>17780</v>
      </c>
      <c r="R3825" s="11" t="s">
        <v>17780</v>
      </c>
      <c r="S3825" s="11" t="s">
        <v>17750</v>
      </c>
    </row>
    <row r="3826" spans="1:19" x14ac:dyDescent="0.2">
      <c r="A3826" s="11" t="s">
        <v>40062</v>
      </c>
      <c r="B3826" s="9" t="s">
        <v>40063</v>
      </c>
      <c r="C3826" s="9" t="s">
        <v>40064</v>
      </c>
      <c r="D3826" s="9" t="s">
        <v>40065</v>
      </c>
      <c r="E3826" s="9" t="s">
        <v>17748</v>
      </c>
      <c r="F3826" s="9" t="s">
        <v>40066</v>
      </c>
      <c r="G3826" s="9" t="s">
        <v>17740</v>
      </c>
      <c r="H3826" s="11" t="s">
        <v>40067</v>
      </c>
      <c r="I3826" s="11" t="s">
        <v>40068</v>
      </c>
      <c r="J3826" s="11" t="s">
        <v>40068</v>
      </c>
      <c r="K3826" s="9" t="s">
        <v>40069</v>
      </c>
      <c r="L3826" s="9" t="s">
        <v>17744</v>
      </c>
      <c r="M3826" s="9" t="s">
        <v>17760</v>
      </c>
      <c r="N3826" s="9" t="s">
        <v>17746</v>
      </c>
      <c r="O3826" s="9" t="s">
        <v>18833</v>
      </c>
      <c r="P3826" s="9" t="s">
        <v>17748</v>
      </c>
      <c r="Q3826" s="11" t="s">
        <v>17858</v>
      </c>
      <c r="R3826" s="11" t="s">
        <v>17858</v>
      </c>
      <c r="S3826" s="11" t="s">
        <v>17750</v>
      </c>
    </row>
    <row r="3827" spans="1:19" x14ac:dyDescent="0.2">
      <c r="A3827" s="11" t="s">
        <v>40070</v>
      </c>
      <c r="B3827" s="9" t="s">
        <v>40071</v>
      </c>
      <c r="C3827" s="9" t="s">
        <v>40072</v>
      </c>
      <c r="D3827" s="9" t="s">
        <v>40073</v>
      </c>
      <c r="E3827" s="9" t="s">
        <v>17748</v>
      </c>
      <c r="F3827" s="9" t="s">
        <v>40074</v>
      </c>
      <c r="G3827" s="9" t="s">
        <v>17740</v>
      </c>
      <c r="H3827" s="11" t="s">
        <v>6310</v>
      </c>
      <c r="I3827" s="11" t="s">
        <v>6309</v>
      </c>
      <c r="J3827" s="11" t="s">
        <v>6309</v>
      </c>
      <c r="K3827" s="9" t="s">
        <v>91</v>
      </c>
      <c r="L3827" s="9" t="s">
        <v>18001</v>
      </c>
      <c r="M3827" s="9" t="s">
        <v>34372</v>
      </c>
      <c r="N3827" s="9" t="s">
        <v>17746</v>
      </c>
      <c r="O3827" s="9" t="s">
        <v>18762</v>
      </c>
      <c r="P3827" s="9" t="s">
        <v>17748</v>
      </c>
      <c r="Q3827" s="11" t="s">
        <v>17808</v>
      </c>
      <c r="R3827" s="11" t="s">
        <v>17808</v>
      </c>
      <c r="S3827" s="11" t="s">
        <v>17750</v>
      </c>
    </row>
    <row r="3828" spans="1:19" x14ac:dyDescent="0.2">
      <c r="A3828" s="11" t="s">
        <v>40075</v>
      </c>
      <c r="B3828" s="9" t="s">
        <v>2876</v>
      </c>
      <c r="C3828" s="9" t="s">
        <v>40076</v>
      </c>
      <c r="D3828" s="9" t="s">
        <v>2876</v>
      </c>
      <c r="E3828" s="9" t="s">
        <v>17740</v>
      </c>
      <c r="F3828" s="9" t="s">
        <v>40077</v>
      </c>
      <c r="G3828" s="9" t="s">
        <v>17740</v>
      </c>
      <c r="H3828" s="11" t="s">
        <v>2878</v>
      </c>
      <c r="I3828" s="11" t="s">
        <v>2877</v>
      </c>
      <c r="J3828" s="11" t="s">
        <v>2877</v>
      </c>
      <c r="K3828" s="9" t="s">
        <v>21175</v>
      </c>
      <c r="L3828" s="9" t="s">
        <v>21771</v>
      </c>
      <c r="M3828" s="9" t="s">
        <v>24542</v>
      </c>
      <c r="N3828" s="9" t="s">
        <v>17746</v>
      </c>
      <c r="O3828" s="9" t="s">
        <v>18855</v>
      </c>
      <c r="P3828" s="9" t="s">
        <v>17748</v>
      </c>
      <c r="Q3828" s="11" t="s">
        <v>19335</v>
      </c>
      <c r="R3828" s="11" t="s">
        <v>19335</v>
      </c>
      <c r="S3828" s="11" t="s">
        <v>17750</v>
      </c>
    </row>
    <row r="3829" spans="1:19" x14ac:dyDescent="0.2">
      <c r="A3829" s="11" t="s">
        <v>40078</v>
      </c>
      <c r="B3829" s="9" t="s">
        <v>40079</v>
      </c>
      <c r="C3829" s="9" t="s">
        <v>40080</v>
      </c>
      <c r="D3829" s="9" t="s">
        <v>40081</v>
      </c>
      <c r="E3829" s="9" t="s">
        <v>17740</v>
      </c>
      <c r="F3829" s="9" t="s">
        <v>17741</v>
      </c>
      <c r="G3829" s="9" t="s">
        <v>17740</v>
      </c>
      <c r="H3829" s="11" t="s">
        <v>17741</v>
      </c>
      <c r="I3829" s="11" t="s">
        <v>40082</v>
      </c>
      <c r="J3829" s="11" t="s">
        <v>40082</v>
      </c>
      <c r="K3829" s="9" t="s">
        <v>40083</v>
      </c>
      <c r="L3829" s="9" t="s">
        <v>17759</v>
      </c>
      <c r="M3829" s="9" t="s">
        <v>17817</v>
      </c>
      <c r="N3829" s="9" t="s">
        <v>17746</v>
      </c>
      <c r="O3829" s="9" t="s">
        <v>17993</v>
      </c>
      <c r="P3829" s="9" t="s">
        <v>17748</v>
      </c>
      <c r="Q3829" s="11" t="s">
        <v>17978</v>
      </c>
      <c r="R3829" s="11" t="s">
        <v>17978</v>
      </c>
      <c r="S3829" s="11" t="s">
        <v>17750</v>
      </c>
    </row>
    <row r="3830" spans="1:19" x14ac:dyDescent="0.2">
      <c r="A3830" s="11" t="s">
        <v>40084</v>
      </c>
      <c r="B3830" s="9" t="s">
        <v>40085</v>
      </c>
      <c r="C3830" s="9" t="s">
        <v>40086</v>
      </c>
      <c r="D3830" s="9" t="s">
        <v>40087</v>
      </c>
      <c r="E3830" s="9" t="s">
        <v>17740</v>
      </c>
      <c r="F3830" s="9" t="s">
        <v>40088</v>
      </c>
      <c r="G3830" s="9" t="s">
        <v>17740</v>
      </c>
      <c r="H3830" s="11" t="s">
        <v>40089</v>
      </c>
      <c r="I3830" s="11" t="s">
        <v>2866</v>
      </c>
      <c r="J3830" s="11" t="s">
        <v>2866</v>
      </c>
      <c r="K3830" s="9" t="s">
        <v>40090</v>
      </c>
      <c r="L3830" s="9" t="s">
        <v>17744</v>
      </c>
      <c r="M3830" s="9" t="s">
        <v>17817</v>
      </c>
      <c r="N3830" s="9" t="s">
        <v>17746</v>
      </c>
      <c r="O3830" s="9" t="s">
        <v>17993</v>
      </c>
      <c r="P3830" s="9" t="s">
        <v>17748</v>
      </c>
      <c r="Q3830" s="11" t="s">
        <v>19236</v>
      </c>
      <c r="R3830" s="11" t="s">
        <v>19236</v>
      </c>
      <c r="S3830" s="11" t="s">
        <v>17750</v>
      </c>
    </row>
    <row r="3831" spans="1:19" x14ac:dyDescent="0.2">
      <c r="A3831" s="11" t="s">
        <v>40091</v>
      </c>
      <c r="B3831" s="9" t="s">
        <v>15020</v>
      </c>
      <c r="C3831" s="9" t="s">
        <v>40092</v>
      </c>
      <c r="D3831" s="9" t="s">
        <v>40093</v>
      </c>
      <c r="E3831" s="9" t="s">
        <v>17740</v>
      </c>
      <c r="F3831" s="9" t="s">
        <v>17741</v>
      </c>
      <c r="G3831" s="9" t="s">
        <v>17740</v>
      </c>
      <c r="H3831" s="11" t="s">
        <v>15022</v>
      </c>
      <c r="I3831" s="11" t="s">
        <v>17741</v>
      </c>
      <c r="J3831" s="11" t="s">
        <v>17741</v>
      </c>
      <c r="K3831" s="9" t="s">
        <v>441</v>
      </c>
      <c r="L3831" s="9" t="s">
        <v>17759</v>
      </c>
      <c r="M3831" s="9" t="s">
        <v>17817</v>
      </c>
      <c r="N3831" s="9" t="s">
        <v>17746</v>
      </c>
      <c r="O3831" s="9" t="s">
        <v>18746</v>
      </c>
      <c r="P3831" s="9" t="s">
        <v>17748</v>
      </c>
      <c r="Q3831" s="11" t="s">
        <v>17900</v>
      </c>
      <c r="R3831" s="11" t="s">
        <v>17900</v>
      </c>
      <c r="S3831" s="11" t="s">
        <v>17750</v>
      </c>
    </row>
    <row r="3832" spans="1:19" x14ac:dyDescent="0.2">
      <c r="A3832" s="11" t="s">
        <v>40094</v>
      </c>
      <c r="B3832" s="9" t="s">
        <v>40095</v>
      </c>
      <c r="C3832" s="9" t="s">
        <v>40096</v>
      </c>
      <c r="D3832" s="9" t="s">
        <v>40097</v>
      </c>
      <c r="E3832" s="9" t="s">
        <v>17740</v>
      </c>
      <c r="F3832" s="9" t="s">
        <v>17741</v>
      </c>
      <c r="G3832" s="9" t="s">
        <v>17740</v>
      </c>
      <c r="H3832" s="11" t="s">
        <v>40098</v>
      </c>
      <c r="I3832" s="11" t="s">
        <v>40099</v>
      </c>
      <c r="J3832" s="11" t="s">
        <v>40099</v>
      </c>
      <c r="K3832" s="9" t="s">
        <v>17758</v>
      </c>
      <c r="L3832" s="9" t="s">
        <v>17759</v>
      </c>
      <c r="M3832" s="9" t="s">
        <v>17769</v>
      </c>
      <c r="N3832" s="9" t="s">
        <v>17746</v>
      </c>
      <c r="O3832" s="9" t="s">
        <v>17800</v>
      </c>
      <c r="P3832" s="9" t="s">
        <v>17748</v>
      </c>
      <c r="Q3832" s="11" t="s">
        <v>19026</v>
      </c>
      <c r="R3832" s="11" t="s">
        <v>19026</v>
      </c>
      <c r="S3832" s="11" t="s">
        <v>17750</v>
      </c>
    </row>
    <row r="3833" spans="1:19" x14ac:dyDescent="0.2">
      <c r="A3833" s="11" t="s">
        <v>40100</v>
      </c>
      <c r="B3833" s="9" t="s">
        <v>40101</v>
      </c>
      <c r="C3833" s="9" t="s">
        <v>40102</v>
      </c>
      <c r="D3833" s="9" t="s">
        <v>40103</v>
      </c>
      <c r="E3833" s="9" t="s">
        <v>17740</v>
      </c>
      <c r="F3833" s="9" t="s">
        <v>17741</v>
      </c>
      <c r="G3833" s="9" t="s">
        <v>17740</v>
      </c>
      <c r="H3833" s="11" t="s">
        <v>40104</v>
      </c>
      <c r="I3833" s="11" t="s">
        <v>40105</v>
      </c>
      <c r="J3833" s="11" t="s">
        <v>40105</v>
      </c>
      <c r="K3833" s="9" t="s">
        <v>40106</v>
      </c>
      <c r="L3833" s="9" t="s">
        <v>17759</v>
      </c>
      <c r="M3833" s="9" t="s">
        <v>17760</v>
      </c>
      <c r="N3833" s="9" t="s">
        <v>17746</v>
      </c>
      <c r="O3833" s="9" t="s">
        <v>17993</v>
      </c>
      <c r="P3833" s="9" t="s">
        <v>17748</v>
      </c>
      <c r="Q3833" s="11" t="s">
        <v>18370</v>
      </c>
      <c r="R3833" s="11" t="s">
        <v>18370</v>
      </c>
      <c r="S3833" s="11" t="s">
        <v>17750</v>
      </c>
    </row>
    <row r="3834" spans="1:19" x14ac:dyDescent="0.2">
      <c r="A3834" s="11" t="s">
        <v>40107</v>
      </c>
      <c r="B3834" s="9" t="s">
        <v>40108</v>
      </c>
      <c r="C3834" s="9" t="s">
        <v>40109</v>
      </c>
      <c r="D3834" s="9" t="s">
        <v>40110</v>
      </c>
      <c r="E3834" s="9" t="s">
        <v>17740</v>
      </c>
      <c r="F3834" s="9" t="s">
        <v>17741</v>
      </c>
      <c r="G3834" s="9" t="s">
        <v>17740</v>
      </c>
      <c r="H3834" s="11" t="s">
        <v>40111</v>
      </c>
      <c r="I3834" s="11" t="s">
        <v>40112</v>
      </c>
      <c r="J3834" s="11" t="s">
        <v>40112</v>
      </c>
      <c r="K3834" s="9" t="s">
        <v>91</v>
      </c>
      <c r="L3834" s="9" t="s">
        <v>17744</v>
      </c>
      <c r="M3834" s="9" t="s">
        <v>35959</v>
      </c>
      <c r="N3834" s="9" t="s">
        <v>17746</v>
      </c>
      <c r="O3834" s="9" t="s">
        <v>18543</v>
      </c>
      <c r="P3834" s="9" t="s">
        <v>17748</v>
      </c>
      <c r="Q3834" s="11" t="s">
        <v>18600</v>
      </c>
      <c r="R3834" s="11" t="s">
        <v>18600</v>
      </c>
      <c r="S3834" s="11" t="s">
        <v>17750</v>
      </c>
    </row>
    <row r="3835" spans="1:19" x14ac:dyDescent="0.2">
      <c r="A3835" s="11" t="s">
        <v>40113</v>
      </c>
      <c r="B3835" s="9" t="s">
        <v>40114</v>
      </c>
      <c r="C3835" s="9" t="s">
        <v>40115</v>
      </c>
      <c r="D3835" s="9" t="s">
        <v>40116</v>
      </c>
      <c r="E3835" s="9" t="s">
        <v>17740</v>
      </c>
      <c r="F3835" s="9" t="s">
        <v>40117</v>
      </c>
      <c r="G3835" s="9" t="s">
        <v>17740</v>
      </c>
      <c r="H3835" s="11" t="s">
        <v>2869</v>
      </c>
      <c r="I3835" s="11" t="s">
        <v>2868</v>
      </c>
      <c r="J3835" s="11" t="s">
        <v>2868</v>
      </c>
      <c r="K3835" s="9" t="s">
        <v>22236</v>
      </c>
      <c r="L3835" s="9" t="s">
        <v>21771</v>
      </c>
      <c r="M3835" s="9" t="s">
        <v>18812</v>
      </c>
      <c r="N3835" s="9" t="s">
        <v>17746</v>
      </c>
      <c r="O3835" s="9" t="s">
        <v>18855</v>
      </c>
      <c r="P3835" s="9" t="s">
        <v>17748</v>
      </c>
      <c r="Q3835" s="11" t="s">
        <v>19082</v>
      </c>
      <c r="R3835" s="11" t="s">
        <v>19082</v>
      </c>
      <c r="S3835" s="11" t="s">
        <v>17750</v>
      </c>
    </row>
    <row r="3836" spans="1:19" x14ac:dyDescent="0.2">
      <c r="A3836" s="11" t="s">
        <v>40118</v>
      </c>
      <c r="B3836" s="9" t="s">
        <v>40119</v>
      </c>
      <c r="C3836" s="9" t="s">
        <v>40120</v>
      </c>
      <c r="D3836" s="9" t="s">
        <v>40121</v>
      </c>
      <c r="E3836" s="9" t="s">
        <v>17740</v>
      </c>
      <c r="F3836" s="9" t="s">
        <v>40122</v>
      </c>
      <c r="G3836" s="9" t="s">
        <v>17740</v>
      </c>
      <c r="H3836" s="11" t="s">
        <v>5474</v>
      </c>
      <c r="I3836" s="11" t="s">
        <v>5473</v>
      </c>
      <c r="J3836" s="11" t="s">
        <v>5473</v>
      </c>
      <c r="K3836" s="9" t="s">
        <v>91</v>
      </c>
      <c r="L3836" s="9" t="s">
        <v>21771</v>
      </c>
      <c r="M3836" s="9" t="s">
        <v>40123</v>
      </c>
      <c r="N3836" s="9" t="s">
        <v>17746</v>
      </c>
      <c r="O3836" s="9" t="s">
        <v>27178</v>
      </c>
      <c r="P3836" s="9" t="s">
        <v>17748</v>
      </c>
      <c r="Q3836" s="11" t="s">
        <v>17749</v>
      </c>
      <c r="R3836" s="11" t="s">
        <v>17749</v>
      </c>
      <c r="S3836" s="11" t="s">
        <v>17750</v>
      </c>
    </row>
    <row r="3837" spans="1:19" x14ac:dyDescent="0.2">
      <c r="A3837" s="11" t="s">
        <v>40124</v>
      </c>
      <c r="B3837" s="9" t="s">
        <v>40125</v>
      </c>
      <c r="C3837" s="9" t="s">
        <v>40126</v>
      </c>
      <c r="D3837" s="9" t="s">
        <v>40127</v>
      </c>
      <c r="E3837" s="9" t="s">
        <v>17740</v>
      </c>
      <c r="F3837" s="9" t="s">
        <v>17741</v>
      </c>
      <c r="G3837" s="9" t="s">
        <v>17740</v>
      </c>
      <c r="H3837" s="11" t="s">
        <v>2991</v>
      </c>
      <c r="I3837" s="11" t="s">
        <v>2990</v>
      </c>
      <c r="J3837" s="11" t="s">
        <v>2990</v>
      </c>
      <c r="K3837" s="9" t="s">
        <v>91</v>
      </c>
      <c r="L3837" s="9" t="s">
        <v>20359</v>
      </c>
      <c r="M3837" s="9" t="s">
        <v>40128</v>
      </c>
      <c r="N3837" s="9" t="s">
        <v>18042</v>
      </c>
      <c r="O3837" s="9" t="s">
        <v>40129</v>
      </c>
      <c r="P3837" s="9" t="s">
        <v>17748</v>
      </c>
      <c r="Q3837" s="11" t="s">
        <v>19899</v>
      </c>
      <c r="R3837" s="11" t="s">
        <v>19899</v>
      </c>
      <c r="S3837" s="11" t="s">
        <v>17750</v>
      </c>
    </row>
    <row r="3838" spans="1:19" x14ac:dyDescent="0.2">
      <c r="A3838" s="11" t="s">
        <v>40130</v>
      </c>
      <c r="B3838" s="9" t="s">
        <v>40131</v>
      </c>
      <c r="C3838" s="9" t="s">
        <v>40132</v>
      </c>
      <c r="D3838" s="9" t="s">
        <v>40133</v>
      </c>
      <c r="E3838" s="9" t="s">
        <v>17748</v>
      </c>
      <c r="F3838" s="9" t="s">
        <v>40134</v>
      </c>
      <c r="G3838" s="9" t="s">
        <v>17740</v>
      </c>
      <c r="H3838" s="11" t="s">
        <v>40135</v>
      </c>
      <c r="I3838" s="11" t="s">
        <v>40136</v>
      </c>
      <c r="J3838" s="11" t="s">
        <v>17741</v>
      </c>
      <c r="K3838" s="9" t="s">
        <v>948</v>
      </c>
      <c r="L3838" s="9" t="s">
        <v>20359</v>
      </c>
      <c r="M3838" s="9" t="s">
        <v>17760</v>
      </c>
      <c r="N3838" s="9" t="s">
        <v>18042</v>
      </c>
      <c r="O3838" s="9" t="s">
        <v>32218</v>
      </c>
      <c r="P3838" s="9" t="s">
        <v>17748</v>
      </c>
      <c r="Q3838" s="11" t="s">
        <v>17923</v>
      </c>
      <c r="R3838" s="11" t="s">
        <v>17923</v>
      </c>
      <c r="S3838" s="11" t="s">
        <v>17750</v>
      </c>
    </row>
    <row r="3839" spans="1:19" x14ac:dyDescent="0.2">
      <c r="A3839" s="11" t="s">
        <v>40137</v>
      </c>
      <c r="B3839" s="9" t="s">
        <v>40138</v>
      </c>
      <c r="C3839" s="9" t="s">
        <v>40139</v>
      </c>
      <c r="D3839" s="9" t="s">
        <v>40140</v>
      </c>
      <c r="E3839" s="9" t="s">
        <v>17740</v>
      </c>
      <c r="F3839" s="9" t="s">
        <v>17741</v>
      </c>
      <c r="G3839" s="9" t="s">
        <v>17740</v>
      </c>
      <c r="H3839" s="11" t="s">
        <v>40141</v>
      </c>
      <c r="I3839" s="11" t="s">
        <v>40142</v>
      </c>
      <c r="J3839" s="11" t="s">
        <v>40142</v>
      </c>
      <c r="K3839" s="9" t="s">
        <v>40143</v>
      </c>
      <c r="L3839" s="9" t="s">
        <v>20359</v>
      </c>
      <c r="M3839" s="9" t="s">
        <v>40144</v>
      </c>
      <c r="N3839" s="9" t="s">
        <v>18042</v>
      </c>
      <c r="O3839" s="9" t="s">
        <v>17993</v>
      </c>
      <c r="P3839" s="9" t="s">
        <v>17748</v>
      </c>
      <c r="Q3839" s="11" t="s">
        <v>18960</v>
      </c>
      <c r="R3839" s="11" t="s">
        <v>18960</v>
      </c>
      <c r="S3839" s="11" t="s">
        <v>17750</v>
      </c>
    </row>
    <row r="3840" spans="1:19" x14ac:dyDescent="0.2">
      <c r="A3840" s="11" t="s">
        <v>40145</v>
      </c>
      <c r="B3840" s="9" t="s">
        <v>40146</v>
      </c>
      <c r="C3840" s="9" t="s">
        <v>40147</v>
      </c>
      <c r="D3840" s="9" t="s">
        <v>40148</v>
      </c>
      <c r="E3840" s="9" t="s">
        <v>17740</v>
      </c>
      <c r="F3840" s="9" t="s">
        <v>17741</v>
      </c>
      <c r="G3840" s="9" t="s">
        <v>17740</v>
      </c>
      <c r="H3840" s="11" t="s">
        <v>5860</v>
      </c>
      <c r="I3840" s="11" t="s">
        <v>5859</v>
      </c>
      <c r="J3840" s="11" t="s">
        <v>5859</v>
      </c>
      <c r="K3840" s="9" t="s">
        <v>26009</v>
      </c>
      <c r="L3840" s="9" t="s">
        <v>17759</v>
      </c>
      <c r="M3840" s="9" t="s">
        <v>17769</v>
      </c>
      <c r="N3840" s="9" t="s">
        <v>17746</v>
      </c>
      <c r="O3840" s="9" t="s">
        <v>40149</v>
      </c>
      <c r="P3840" s="9" t="s">
        <v>17748</v>
      </c>
      <c r="Q3840" s="11" t="s">
        <v>18147</v>
      </c>
      <c r="R3840" s="11" t="s">
        <v>18147</v>
      </c>
      <c r="S3840" s="11" t="s">
        <v>17750</v>
      </c>
    </row>
    <row r="3841" spans="1:19" x14ac:dyDescent="0.2">
      <c r="A3841" s="11" t="s">
        <v>40150</v>
      </c>
      <c r="B3841" s="9" t="s">
        <v>40151</v>
      </c>
      <c r="C3841" s="9" t="s">
        <v>40152</v>
      </c>
      <c r="D3841" s="9" t="s">
        <v>40153</v>
      </c>
      <c r="E3841" s="9" t="s">
        <v>17740</v>
      </c>
      <c r="F3841" s="9" t="s">
        <v>40154</v>
      </c>
      <c r="G3841" s="9" t="s">
        <v>17740</v>
      </c>
      <c r="H3841" s="11" t="s">
        <v>40155</v>
      </c>
      <c r="I3841" s="11" t="s">
        <v>2880</v>
      </c>
      <c r="J3841" s="11" t="s">
        <v>2880</v>
      </c>
      <c r="K3841" s="9" t="s">
        <v>17783</v>
      </c>
      <c r="L3841" s="9" t="s">
        <v>17759</v>
      </c>
      <c r="M3841" s="9" t="s">
        <v>28372</v>
      </c>
      <c r="N3841" s="9" t="s">
        <v>17746</v>
      </c>
      <c r="O3841" s="9" t="s">
        <v>31529</v>
      </c>
      <c r="P3841" s="9" t="s">
        <v>17748</v>
      </c>
      <c r="Q3841" s="11" t="s">
        <v>18600</v>
      </c>
      <c r="R3841" s="11" t="s">
        <v>18600</v>
      </c>
      <c r="S3841" s="11" t="s">
        <v>17750</v>
      </c>
    </row>
    <row r="3842" spans="1:19" x14ac:dyDescent="0.2">
      <c r="A3842" s="11" t="s">
        <v>40156</v>
      </c>
      <c r="B3842" s="9" t="s">
        <v>40157</v>
      </c>
      <c r="C3842" s="9" t="s">
        <v>40158</v>
      </c>
      <c r="D3842" s="9" t="s">
        <v>40159</v>
      </c>
      <c r="E3842" s="9" t="s">
        <v>17740</v>
      </c>
      <c r="F3842" s="9" t="s">
        <v>17741</v>
      </c>
      <c r="G3842" s="9" t="s">
        <v>17740</v>
      </c>
      <c r="H3842" s="11" t="s">
        <v>17741</v>
      </c>
      <c r="I3842" s="11" t="s">
        <v>40160</v>
      </c>
      <c r="J3842" s="11" t="s">
        <v>40160</v>
      </c>
      <c r="K3842" s="9" t="s">
        <v>19094</v>
      </c>
      <c r="L3842" s="9" t="s">
        <v>17759</v>
      </c>
      <c r="M3842" s="9" t="s">
        <v>40161</v>
      </c>
      <c r="N3842" s="9" t="s">
        <v>17746</v>
      </c>
      <c r="O3842" s="9" t="s">
        <v>40162</v>
      </c>
      <c r="P3842" s="9" t="s">
        <v>17748</v>
      </c>
      <c r="Q3842" s="11" t="s">
        <v>19515</v>
      </c>
      <c r="R3842" s="11" t="s">
        <v>19515</v>
      </c>
      <c r="S3842" s="11" t="s">
        <v>17750</v>
      </c>
    </row>
    <row r="3843" spans="1:19" x14ac:dyDescent="0.2">
      <c r="A3843" s="11" t="s">
        <v>40163</v>
      </c>
      <c r="B3843" s="9" t="s">
        <v>40164</v>
      </c>
      <c r="C3843" s="9" t="s">
        <v>40165</v>
      </c>
      <c r="D3843" s="9" t="s">
        <v>40166</v>
      </c>
      <c r="E3843" s="9" t="s">
        <v>17740</v>
      </c>
      <c r="F3843" s="9" t="s">
        <v>17741</v>
      </c>
      <c r="G3843" s="9" t="s">
        <v>17740</v>
      </c>
      <c r="H3843" s="11" t="s">
        <v>40167</v>
      </c>
      <c r="I3843" s="11" t="s">
        <v>40168</v>
      </c>
      <c r="J3843" s="11" t="s">
        <v>40168</v>
      </c>
      <c r="K3843" s="9" t="s">
        <v>40169</v>
      </c>
      <c r="L3843" s="9" t="s">
        <v>17744</v>
      </c>
      <c r="M3843" s="9" t="s">
        <v>17760</v>
      </c>
      <c r="N3843" s="9" t="s">
        <v>17746</v>
      </c>
      <c r="O3843" s="9" t="s">
        <v>20296</v>
      </c>
      <c r="P3843" s="9" t="s">
        <v>17748</v>
      </c>
      <c r="Q3843" s="11" t="s">
        <v>18364</v>
      </c>
      <c r="R3843" s="11" t="s">
        <v>18364</v>
      </c>
      <c r="S3843" s="11" t="s">
        <v>17750</v>
      </c>
    </row>
    <row r="3844" spans="1:19" x14ac:dyDescent="0.2">
      <c r="A3844" s="11" t="s">
        <v>40170</v>
      </c>
      <c r="B3844" s="9" t="s">
        <v>40171</v>
      </c>
      <c r="C3844" s="9" t="s">
        <v>40172</v>
      </c>
      <c r="D3844" s="9" t="s">
        <v>40173</v>
      </c>
      <c r="E3844" s="9" t="s">
        <v>17740</v>
      </c>
      <c r="F3844" s="9" t="s">
        <v>17741</v>
      </c>
      <c r="G3844" s="9" t="s">
        <v>17740</v>
      </c>
      <c r="H3844" s="11" t="s">
        <v>40174</v>
      </c>
      <c r="I3844" s="11" t="s">
        <v>40175</v>
      </c>
      <c r="J3844" s="11" t="s">
        <v>40175</v>
      </c>
      <c r="K3844" s="9" t="s">
        <v>18404</v>
      </c>
      <c r="L3844" s="9" t="s">
        <v>17759</v>
      </c>
      <c r="M3844" s="9" t="s">
        <v>17760</v>
      </c>
      <c r="N3844" s="9" t="s">
        <v>17746</v>
      </c>
      <c r="O3844" s="9" t="s">
        <v>19800</v>
      </c>
      <c r="P3844" s="9" t="s">
        <v>17748</v>
      </c>
      <c r="Q3844" s="11" t="s">
        <v>18600</v>
      </c>
      <c r="R3844" s="11" t="s">
        <v>18600</v>
      </c>
      <c r="S3844" s="11" t="s">
        <v>17750</v>
      </c>
    </row>
    <row r="3845" spans="1:19" x14ac:dyDescent="0.2">
      <c r="A3845" s="11" t="s">
        <v>40176</v>
      </c>
      <c r="B3845" s="9" t="s">
        <v>40177</v>
      </c>
      <c r="C3845" s="9" t="s">
        <v>40178</v>
      </c>
      <c r="D3845" s="9" t="s">
        <v>40179</v>
      </c>
      <c r="E3845" s="9" t="s">
        <v>17740</v>
      </c>
      <c r="F3845" s="9" t="s">
        <v>40180</v>
      </c>
      <c r="G3845" s="9" t="s">
        <v>17740</v>
      </c>
      <c r="H3845" s="11" t="s">
        <v>17741</v>
      </c>
      <c r="I3845" s="11" t="s">
        <v>40181</v>
      </c>
      <c r="J3845" s="11" t="s">
        <v>40181</v>
      </c>
      <c r="K3845" s="9" t="s">
        <v>40182</v>
      </c>
      <c r="L3845" s="9" t="s">
        <v>17759</v>
      </c>
      <c r="M3845" s="9" t="s">
        <v>17760</v>
      </c>
      <c r="N3845" s="9" t="s">
        <v>17746</v>
      </c>
      <c r="O3845" s="9" t="s">
        <v>19800</v>
      </c>
      <c r="P3845" s="9" t="s">
        <v>17748</v>
      </c>
      <c r="Q3845" s="11" t="s">
        <v>17978</v>
      </c>
      <c r="R3845" s="11" t="s">
        <v>17978</v>
      </c>
      <c r="S3845" s="11" t="s">
        <v>17750</v>
      </c>
    </row>
    <row r="3846" spans="1:19" x14ac:dyDescent="0.2">
      <c r="A3846" s="11" t="s">
        <v>40183</v>
      </c>
      <c r="B3846" s="9" t="s">
        <v>40184</v>
      </c>
      <c r="C3846" s="9" t="s">
        <v>40185</v>
      </c>
      <c r="D3846" s="9" t="s">
        <v>40186</v>
      </c>
      <c r="E3846" s="9" t="s">
        <v>17740</v>
      </c>
      <c r="F3846" s="9" t="s">
        <v>17741</v>
      </c>
      <c r="G3846" s="9" t="s">
        <v>17740</v>
      </c>
      <c r="H3846" s="11" t="s">
        <v>2915</v>
      </c>
      <c r="I3846" s="11" t="s">
        <v>2914</v>
      </c>
      <c r="J3846" s="11" t="s">
        <v>2914</v>
      </c>
      <c r="K3846" s="9" t="s">
        <v>17758</v>
      </c>
      <c r="L3846" s="9" t="s">
        <v>17759</v>
      </c>
      <c r="M3846" s="9" t="s">
        <v>17817</v>
      </c>
      <c r="N3846" s="9" t="s">
        <v>17746</v>
      </c>
      <c r="O3846" s="9" t="s">
        <v>17848</v>
      </c>
      <c r="P3846" s="9" t="s">
        <v>17748</v>
      </c>
      <c r="Q3846" s="11" t="s">
        <v>17849</v>
      </c>
      <c r="R3846" s="11" t="s">
        <v>17849</v>
      </c>
      <c r="S3846" s="11" t="s">
        <v>17750</v>
      </c>
    </row>
    <row r="3847" spans="1:19" x14ac:dyDescent="0.2">
      <c r="A3847" s="11" t="s">
        <v>40187</v>
      </c>
      <c r="B3847" s="9" t="s">
        <v>40188</v>
      </c>
      <c r="C3847" s="9" t="s">
        <v>40189</v>
      </c>
      <c r="D3847" s="9" t="s">
        <v>40190</v>
      </c>
      <c r="E3847" s="9" t="s">
        <v>17748</v>
      </c>
      <c r="F3847" s="9" t="s">
        <v>40191</v>
      </c>
      <c r="G3847" s="9" t="s">
        <v>17740</v>
      </c>
      <c r="H3847" s="11" t="s">
        <v>7556</v>
      </c>
      <c r="I3847" s="11" t="s">
        <v>7555</v>
      </c>
      <c r="J3847" s="11" t="s">
        <v>7555</v>
      </c>
      <c r="K3847" s="9" t="s">
        <v>25473</v>
      </c>
      <c r="L3847" s="9" t="s">
        <v>17759</v>
      </c>
      <c r="M3847" s="9" t="s">
        <v>17760</v>
      </c>
      <c r="N3847" s="9" t="s">
        <v>17746</v>
      </c>
      <c r="O3847" s="9" t="s">
        <v>1802</v>
      </c>
      <c r="P3847" s="9" t="s">
        <v>17748</v>
      </c>
      <c r="Q3847" s="11" t="s">
        <v>19361</v>
      </c>
      <c r="R3847" s="11" t="s">
        <v>19361</v>
      </c>
      <c r="S3847" s="11" t="s">
        <v>17750</v>
      </c>
    </row>
    <row r="3848" spans="1:19" x14ac:dyDescent="0.2">
      <c r="A3848" s="11" t="s">
        <v>40192</v>
      </c>
      <c r="B3848" s="9" t="s">
        <v>40193</v>
      </c>
      <c r="C3848" s="9" t="s">
        <v>40194</v>
      </c>
      <c r="D3848" s="9" t="s">
        <v>40195</v>
      </c>
      <c r="E3848" s="9" t="s">
        <v>17740</v>
      </c>
      <c r="F3848" s="9" t="s">
        <v>40196</v>
      </c>
      <c r="G3848" s="9" t="s">
        <v>17740</v>
      </c>
      <c r="H3848" s="11" t="s">
        <v>2909</v>
      </c>
      <c r="I3848" s="11" t="s">
        <v>2908</v>
      </c>
      <c r="J3848" s="11" t="s">
        <v>2908</v>
      </c>
      <c r="K3848" s="9" t="s">
        <v>19564</v>
      </c>
      <c r="L3848" s="9" t="s">
        <v>17759</v>
      </c>
      <c r="M3848" s="9" t="s">
        <v>17769</v>
      </c>
      <c r="N3848" s="9" t="s">
        <v>17746</v>
      </c>
      <c r="O3848" s="9" t="s">
        <v>17993</v>
      </c>
      <c r="P3848" s="9" t="s">
        <v>17748</v>
      </c>
      <c r="Q3848" s="11" t="s">
        <v>23601</v>
      </c>
      <c r="R3848" s="11" t="s">
        <v>23601</v>
      </c>
      <c r="S3848" s="11" t="s">
        <v>17750</v>
      </c>
    </row>
    <row r="3849" spans="1:19" x14ac:dyDescent="0.2">
      <c r="A3849" s="11" t="s">
        <v>40197</v>
      </c>
      <c r="B3849" s="9" t="s">
        <v>40198</v>
      </c>
      <c r="C3849" s="9" t="s">
        <v>40199</v>
      </c>
      <c r="D3849" s="9" t="s">
        <v>40200</v>
      </c>
      <c r="E3849" s="9" t="s">
        <v>17740</v>
      </c>
      <c r="F3849" s="9" t="s">
        <v>17741</v>
      </c>
      <c r="G3849" s="9" t="s">
        <v>17740</v>
      </c>
      <c r="H3849" s="11" t="s">
        <v>40201</v>
      </c>
      <c r="I3849" s="11" t="s">
        <v>40202</v>
      </c>
      <c r="J3849" s="11" t="s">
        <v>40202</v>
      </c>
      <c r="K3849" s="9" t="s">
        <v>19447</v>
      </c>
      <c r="L3849" s="9" t="s">
        <v>17759</v>
      </c>
      <c r="M3849" s="9" t="s">
        <v>22388</v>
      </c>
      <c r="N3849" s="9" t="s">
        <v>17746</v>
      </c>
      <c r="O3849" s="9" t="s">
        <v>40203</v>
      </c>
      <c r="P3849" s="9" t="s">
        <v>17748</v>
      </c>
      <c r="Q3849" s="11" t="s">
        <v>18433</v>
      </c>
      <c r="R3849" s="11" t="s">
        <v>18433</v>
      </c>
      <c r="S3849" s="11" t="s">
        <v>17750</v>
      </c>
    </row>
    <row r="3850" spans="1:19" x14ac:dyDescent="0.2">
      <c r="A3850" s="11" t="s">
        <v>40204</v>
      </c>
      <c r="B3850" s="9" t="s">
        <v>40205</v>
      </c>
      <c r="C3850" s="9" t="s">
        <v>40206</v>
      </c>
      <c r="D3850" s="9" t="s">
        <v>40207</v>
      </c>
      <c r="E3850" s="9" t="s">
        <v>17740</v>
      </c>
      <c r="F3850" s="9" t="s">
        <v>40208</v>
      </c>
      <c r="G3850" s="9" t="s">
        <v>17740</v>
      </c>
      <c r="H3850" s="11" t="s">
        <v>7118</v>
      </c>
      <c r="I3850" s="11" t="s">
        <v>7117</v>
      </c>
      <c r="J3850" s="11" t="s">
        <v>7118</v>
      </c>
      <c r="K3850" s="9" t="s">
        <v>18661</v>
      </c>
      <c r="L3850" s="9" t="s">
        <v>17759</v>
      </c>
      <c r="M3850" s="9" t="s">
        <v>17760</v>
      </c>
      <c r="N3850" s="9" t="s">
        <v>17746</v>
      </c>
      <c r="O3850" s="9" t="s">
        <v>23256</v>
      </c>
      <c r="P3850" s="9" t="s">
        <v>17748</v>
      </c>
      <c r="Q3850" s="11" t="s">
        <v>18364</v>
      </c>
      <c r="R3850" s="11" t="s">
        <v>18364</v>
      </c>
      <c r="S3850" s="11" t="s">
        <v>17750</v>
      </c>
    </row>
    <row r="3851" spans="1:19" x14ac:dyDescent="0.2">
      <c r="A3851" s="11" t="s">
        <v>40209</v>
      </c>
      <c r="B3851" s="9" t="s">
        <v>40210</v>
      </c>
      <c r="C3851" s="9" t="s">
        <v>40211</v>
      </c>
      <c r="D3851" s="9" t="s">
        <v>40212</v>
      </c>
      <c r="E3851" s="9" t="s">
        <v>17740</v>
      </c>
      <c r="F3851" s="9" t="s">
        <v>17741</v>
      </c>
      <c r="G3851" s="9" t="s">
        <v>17740</v>
      </c>
      <c r="H3851" s="11" t="s">
        <v>40213</v>
      </c>
      <c r="I3851" s="11" t="s">
        <v>40214</v>
      </c>
      <c r="J3851" s="11" t="s">
        <v>40214</v>
      </c>
      <c r="K3851" s="9" t="s">
        <v>40215</v>
      </c>
      <c r="L3851" s="9" t="s">
        <v>17759</v>
      </c>
      <c r="M3851" s="9" t="s">
        <v>19571</v>
      </c>
      <c r="N3851" s="9" t="s">
        <v>17746</v>
      </c>
      <c r="O3851" s="9" t="s">
        <v>17848</v>
      </c>
      <c r="P3851" s="9" t="s">
        <v>17748</v>
      </c>
      <c r="Q3851" s="11" t="s">
        <v>21244</v>
      </c>
      <c r="R3851" s="11" t="s">
        <v>21244</v>
      </c>
      <c r="S3851" s="11" t="s">
        <v>17750</v>
      </c>
    </row>
    <row r="3852" spans="1:19" x14ac:dyDescent="0.2">
      <c r="A3852" s="11" t="s">
        <v>40216</v>
      </c>
      <c r="B3852" s="9" t="s">
        <v>40217</v>
      </c>
      <c r="C3852" s="9" t="s">
        <v>40218</v>
      </c>
      <c r="D3852" s="9" t="s">
        <v>40219</v>
      </c>
      <c r="E3852" s="9" t="s">
        <v>17740</v>
      </c>
      <c r="F3852" s="9" t="s">
        <v>40220</v>
      </c>
      <c r="G3852" s="9" t="s">
        <v>17740</v>
      </c>
      <c r="H3852" s="11" t="s">
        <v>40221</v>
      </c>
      <c r="I3852" s="11" t="s">
        <v>40222</v>
      </c>
      <c r="J3852" s="11" t="s">
        <v>40222</v>
      </c>
      <c r="K3852" s="9" t="s">
        <v>970</v>
      </c>
      <c r="L3852" s="9" t="s">
        <v>17744</v>
      </c>
      <c r="M3852" s="9" t="s">
        <v>24699</v>
      </c>
      <c r="N3852" s="9" t="s">
        <v>17746</v>
      </c>
      <c r="O3852" s="9" t="s">
        <v>17818</v>
      </c>
      <c r="P3852" s="9" t="s">
        <v>17748</v>
      </c>
      <c r="Q3852" s="11" t="s">
        <v>19026</v>
      </c>
      <c r="R3852" s="11" t="s">
        <v>19026</v>
      </c>
      <c r="S3852" s="11" t="s">
        <v>17750</v>
      </c>
    </row>
    <row r="3853" spans="1:19" x14ac:dyDescent="0.2">
      <c r="A3853" s="11" t="s">
        <v>40223</v>
      </c>
      <c r="B3853" s="9" t="s">
        <v>40224</v>
      </c>
      <c r="C3853" s="9" t="s">
        <v>40225</v>
      </c>
      <c r="D3853" s="9" t="s">
        <v>40226</v>
      </c>
      <c r="E3853" s="9" t="s">
        <v>17740</v>
      </c>
      <c r="F3853" s="9" t="s">
        <v>17741</v>
      </c>
      <c r="G3853" s="9" t="s">
        <v>17740</v>
      </c>
      <c r="H3853" s="11" t="s">
        <v>40227</v>
      </c>
      <c r="I3853" s="11" t="s">
        <v>17741</v>
      </c>
      <c r="J3853" s="11" t="s">
        <v>40227</v>
      </c>
      <c r="K3853" s="9" t="s">
        <v>27985</v>
      </c>
      <c r="L3853" s="9" t="s">
        <v>18130</v>
      </c>
      <c r="M3853" s="9" t="s">
        <v>17741</v>
      </c>
      <c r="N3853" s="9" t="s">
        <v>17746</v>
      </c>
      <c r="O3853" s="9" t="s">
        <v>17818</v>
      </c>
      <c r="P3853" s="9" t="s">
        <v>17748</v>
      </c>
      <c r="Q3853" s="11" t="s">
        <v>18201</v>
      </c>
      <c r="R3853" s="11" t="s">
        <v>18201</v>
      </c>
      <c r="S3853" s="11" t="s">
        <v>17750</v>
      </c>
    </row>
    <row r="3854" spans="1:19" x14ac:dyDescent="0.2">
      <c r="A3854" s="11" t="s">
        <v>40228</v>
      </c>
      <c r="B3854" s="9" t="s">
        <v>40229</v>
      </c>
      <c r="C3854" s="9" t="s">
        <v>40230</v>
      </c>
      <c r="D3854" s="9" t="s">
        <v>40231</v>
      </c>
      <c r="E3854" s="9" t="s">
        <v>17748</v>
      </c>
      <c r="F3854" s="9" t="s">
        <v>40232</v>
      </c>
      <c r="G3854" s="9" t="s">
        <v>17740</v>
      </c>
      <c r="H3854" s="11" t="s">
        <v>6200</v>
      </c>
      <c r="I3854" s="11" t="s">
        <v>6199</v>
      </c>
      <c r="J3854" s="11" t="s">
        <v>6199</v>
      </c>
      <c r="K3854" s="9" t="s">
        <v>21081</v>
      </c>
      <c r="L3854" s="9" t="s">
        <v>17744</v>
      </c>
      <c r="M3854" s="9" t="s">
        <v>40233</v>
      </c>
      <c r="N3854" s="9" t="s">
        <v>17746</v>
      </c>
      <c r="O3854" s="9" t="s">
        <v>21843</v>
      </c>
      <c r="P3854" s="9" t="s">
        <v>17748</v>
      </c>
      <c r="Q3854" s="11" t="s">
        <v>17808</v>
      </c>
      <c r="R3854" s="11" t="s">
        <v>17808</v>
      </c>
      <c r="S3854" s="11" t="s">
        <v>17750</v>
      </c>
    </row>
    <row r="3855" spans="1:19" x14ac:dyDescent="0.2">
      <c r="A3855" s="11" t="s">
        <v>40234</v>
      </c>
      <c r="B3855" s="9" t="s">
        <v>40235</v>
      </c>
      <c r="C3855" s="9" t="s">
        <v>40236</v>
      </c>
      <c r="D3855" s="9" t="s">
        <v>40237</v>
      </c>
      <c r="E3855" s="9" t="s">
        <v>17740</v>
      </c>
      <c r="F3855" s="9" t="s">
        <v>17741</v>
      </c>
      <c r="G3855" s="9" t="s">
        <v>17740</v>
      </c>
      <c r="H3855" s="11" t="s">
        <v>17741</v>
      </c>
      <c r="I3855" s="11" t="s">
        <v>40238</v>
      </c>
      <c r="J3855" s="11" t="s">
        <v>40238</v>
      </c>
      <c r="K3855" s="9" t="s">
        <v>724</v>
      </c>
      <c r="L3855" s="9" t="s">
        <v>17744</v>
      </c>
      <c r="M3855" s="9" t="s">
        <v>17760</v>
      </c>
      <c r="N3855" s="9" t="s">
        <v>17746</v>
      </c>
      <c r="O3855" s="9" t="s">
        <v>17747</v>
      </c>
      <c r="P3855" s="9" t="s">
        <v>17748</v>
      </c>
      <c r="Q3855" s="11" t="s">
        <v>17937</v>
      </c>
      <c r="R3855" s="11" t="s">
        <v>17937</v>
      </c>
      <c r="S3855" s="11" t="s">
        <v>17750</v>
      </c>
    </row>
    <row r="3856" spans="1:19" x14ac:dyDescent="0.2">
      <c r="A3856" s="11" t="s">
        <v>40239</v>
      </c>
      <c r="B3856" s="9" t="s">
        <v>40240</v>
      </c>
      <c r="C3856" s="9" t="s">
        <v>40241</v>
      </c>
      <c r="D3856" s="9" t="s">
        <v>40242</v>
      </c>
      <c r="E3856" s="9" t="s">
        <v>17740</v>
      </c>
      <c r="F3856" s="9" t="s">
        <v>40243</v>
      </c>
      <c r="G3856" s="9" t="s">
        <v>17740</v>
      </c>
      <c r="H3856" s="11" t="s">
        <v>40244</v>
      </c>
      <c r="I3856" s="11" t="s">
        <v>40245</v>
      </c>
      <c r="J3856" s="11" t="s">
        <v>40245</v>
      </c>
      <c r="K3856" s="9" t="s">
        <v>18616</v>
      </c>
      <c r="L3856" s="9" t="s">
        <v>17759</v>
      </c>
      <c r="M3856" s="9" t="s">
        <v>18211</v>
      </c>
      <c r="N3856" s="9" t="s">
        <v>17746</v>
      </c>
      <c r="O3856" s="9" t="s">
        <v>17874</v>
      </c>
      <c r="P3856" s="9" t="s">
        <v>17748</v>
      </c>
      <c r="Q3856" s="11" t="s">
        <v>17784</v>
      </c>
      <c r="R3856" s="11" t="s">
        <v>17784</v>
      </c>
      <c r="S3856" s="11" t="s">
        <v>17750</v>
      </c>
    </row>
    <row r="3857" spans="1:19" x14ac:dyDescent="0.2">
      <c r="A3857" s="11" t="s">
        <v>40246</v>
      </c>
      <c r="B3857" s="9" t="s">
        <v>40247</v>
      </c>
      <c r="C3857" s="9" t="s">
        <v>40248</v>
      </c>
      <c r="D3857" s="9" t="s">
        <v>40249</v>
      </c>
      <c r="E3857" s="9" t="s">
        <v>17740</v>
      </c>
      <c r="F3857" s="9" t="s">
        <v>17741</v>
      </c>
      <c r="G3857" s="9" t="s">
        <v>17740</v>
      </c>
      <c r="H3857" s="11" t="s">
        <v>2929</v>
      </c>
      <c r="I3857" s="11" t="s">
        <v>2928</v>
      </c>
      <c r="J3857" s="11" t="s">
        <v>2928</v>
      </c>
      <c r="K3857" s="9" t="s">
        <v>40250</v>
      </c>
      <c r="L3857" s="9" t="s">
        <v>17759</v>
      </c>
      <c r="M3857" s="9" t="s">
        <v>17817</v>
      </c>
      <c r="N3857" s="9" t="s">
        <v>17746</v>
      </c>
      <c r="O3857" s="9" t="s">
        <v>17993</v>
      </c>
      <c r="P3857" s="9" t="s">
        <v>17748</v>
      </c>
      <c r="Q3857" s="11" t="s">
        <v>18608</v>
      </c>
      <c r="R3857" s="11" t="s">
        <v>18608</v>
      </c>
      <c r="S3857" s="11" t="s">
        <v>17750</v>
      </c>
    </row>
    <row r="3858" spans="1:19" x14ac:dyDescent="0.2">
      <c r="A3858" s="11" t="s">
        <v>40251</v>
      </c>
      <c r="B3858" s="9" t="s">
        <v>40252</v>
      </c>
      <c r="C3858" s="9" t="s">
        <v>40253</v>
      </c>
      <c r="D3858" s="9" t="s">
        <v>40254</v>
      </c>
      <c r="E3858" s="9" t="s">
        <v>17740</v>
      </c>
      <c r="F3858" s="9" t="s">
        <v>17741</v>
      </c>
      <c r="G3858" s="9" t="s">
        <v>17740</v>
      </c>
      <c r="H3858" s="11" t="s">
        <v>8556</v>
      </c>
      <c r="I3858" s="11" t="s">
        <v>8555</v>
      </c>
      <c r="J3858" s="11" t="s">
        <v>8555</v>
      </c>
      <c r="K3858" s="9" t="s">
        <v>91</v>
      </c>
      <c r="L3858" s="9" t="s">
        <v>18001</v>
      </c>
      <c r="M3858" s="9" t="s">
        <v>38629</v>
      </c>
      <c r="N3858" s="9" t="s">
        <v>17746</v>
      </c>
      <c r="O3858" s="9" t="s">
        <v>23061</v>
      </c>
      <c r="P3858" s="9" t="s">
        <v>17748</v>
      </c>
      <c r="Q3858" s="11" t="s">
        <v>18201</v>
      </c>
      <c r="R3858" s="11" t="s">
        <v>18201</v>
      </c>
      <c r="S3858" s="11" t="s">
        <v>17750</v>
      </c>
    </row>
    <row r="3859" spans="1:19" x14ac:dyDescent="0.2">
      <c r="A3859" s="11" t="s">
        <v>40255</v>
      </c>
      <c r="B3859" s="9" t="s">
        <v>40256</v>
      </c>
      <c r="C3859" s="9" t="s">
        <v>40257</v>
      </c>
      <c r="D3859" s="9" t="s">
        <v>40258</v>
      </c>
      <c r="E3859" s="9" t="s">
        <v>17740</v>
      </c>
      <c r="F3859" s="9" t="s">
        <v>17741</v>
      </c>
      <c r="G3859" s="9" t="s">
        <v>17740</v>
      </c>
      <c r="H3859" s="11" t="s">
        <v>17741</v>
      </c>
      <c r="I3859" s="11" t="s">
        <v>17741</v>
      </c>
      <c r="J3859" s="11" t="s">
        <v>17741</v>
      </c>
      <c r="K3859" s="9" t="s">
        <v>17783</v>
      </c>
      <c r="L3859" s="9" t="s">
        <v>18158</v>
      </c>
      <c r="M3859" s="9" t="s">
        <v>18745</v>
      </c>
      <c r="N3859" s="9" t="s">
        <v>17746</v>
      </c>
      <c r="O3859" s="9" t="s">
        <v>31994</v>
      </c>
      <c r="P3859" s="9" t="s">
        <v>17748</v>
      </c>
      <c r="Q3859" s="11" t="s">
        <v>18798</v>
      </c>
      <c r="R3859" s="11" t="s">
        <v>18798</v>
      </c>
      <c r="S3859" s="11" t="s">
        <v>17750</v>
      </c>
    </row>
    <row r="3860" spans="1:19" x14ac:dyDescent="0.2">
      <c r="A3860" s="11" t="s">
        <v>40259</v>
      </c>
      <c r="B3860" s="9" t="s">
        <v>40260</v>
      </c>
      <c r="C3860" s="9" t="s">
        <v>40261</v>
      </c>
      <c r="D3860" s="9" t="s">
        <v>40262</v>
      </c>
      <c r="E3860" s="9" t="s">
        <v>17740</v>
      </c>
      <c r="F3860" s="9" t="s">
        <v>40263</v>
      </c>
      <c r="G3860" s="9" t="s">
        <v>17740</v>
      </c>
      <c r="H3860" s="11" t="s">
        <v>2983</v>
      </c>
      <c r="I3860" s="11" t="s">
        <v>2982</v>
      </c>
      <c r="J3860" s="11" t="s">
        <v>2982</v>
      </c>
      <c r="K3860" s="9" t="s">
        <v>40264</v>
      </c>
      <c r="L3860" s="9" t="s">
        <v>20082</v>
      </c>
      <c r="M3860" s="9" t="s">
        <v>40265</v>
      </c>
      <c r="N3860" s="9" t="s">
        <v>17746</v>
      </c>
      <c r="O3860" s="9" t="s">
        <v>17993</v>
      </c>
      <c r="P3860" s="9" t="s">
        <v>17748</v>
      </c>
      <c r="Q3860" s="11" t="s">
        <v>19471</v>
      </c>
      <c r="R3860" s="11" t="s">
        <v>19471</v>
      </c>
      <c r="S3860" s="11" t="s">
        <v>17750</v>
      </c>
    </row>
    <row r="3861" spans="1:19" x14ac:dyDescent="0.2">
      <c r="A3861" s="11" t="s">
        <v>40266</v>
      </c>
      <c r="B3861" s="9" t="s">
        <v>40267</v>
      </c>
      <c r="C3861" s="9" t="s">
        <v>40268</v>
      </c>
      <c r="D3861" s="9" t="s">
        <v>40269</v>
      </c>
      <c r="E3861" s="9" t="s">
        <v>17740</v>
      </c>
      <c r="F3861" s="9" t="s">
        <v>40270</v>
      </c>
      <c r="G3861" s="9" t="s">
        <v>17740</v>
      </c>
      <c r="H3861" s="11" t="s">
        <v>17741</v>
      </c>
      <c r="I3861" s="11" t="s">
        <v>2986</v>
      </c>
      <c r="J3861" s="11" t="s">
        <v>2986</v>
      </c>
      <c r="K3861" s="9" t="s">
        <v>2987</v>
      </c>
      <c r="L3861" s="9" t="s">
        <v>39931</v>
      </c>
      <c r="M3861" s="9" t="s">
        <v>17760</v>
      </c>
      <c r="N3861" s="9" t="s">
        <v>17746</v>
      </c>
      <c r="O3861" s="9" t="s">
        <v>17993</v>
      </c>
      <c r="P3861" s="9" t="s">
        <v>17748</v>
      </c>
      <c r="Q3861" s="11" t="s">
        <v>19082</v>
      </c>
      <c r="R3861" s="11" t="s">
        <v>19082</v>
      </c>
      <c r="S3861" s="11" t="s">
        <v>17750</v>
      </c>
    </row>
    <row r="3862" spans="1:19" x14ac:dyDescent="0.2">
      <c r="A3862" s="11" t="s">
        <v>40271</v>
      </c>
      <c r="B3862" s="9" t="s">
        <v>40272</v>
      </c>
      <c r="C3862" s="9" t="s">
        <v>40273</v>
      </c>
      <c r="D3862" s="9" t="s">
        <v>40274</v>
      </c>
      <c r="E3862" s="9" t="s">
        <v>17740</v>
      </c>
      <c r="F3862" s="9" t="s">
        <v>17741</v>
      </c>
      <c r="G3862" s="9" t="s">
        <v>17740</v>
      </c>
      <c r="H3862" s="11" t="s">
        <v>40275</v>
      </c>
      <c r="I3862" s="11" t="s">
        <v>40276</v>
      </c>
      <c r="J3862" s="11" t="s">
        <v>40276</v>
      </c>
      <c r="K3862" s="9" t="s">
        <v>55</v>
      </c>
      <c r="L3862" s="9" t="s">
        <v>17744</v>
      </c>
      <c r="M3862" s="9" t="s">
        <v>17992</v>
      </c>
      <c r="N3862" s="9" t="s">
        <v>17746</v>
      </c>
      <c r="O3862" s="9" t="s">
        <v>19275</v>
      </c>
      <c r="P3862" s="9" t="s">
        <v>17748</v>
      </c>
      <c r="Q3862" s="11" t="s">
        <v>17792</v>
      </c>
      <c r="R3862" s="11" t="s">
        <v>17792</v>
      </c>
      <c r="S3862" s="11" t="s">
        <v>17750</v>
      </c>
    </row>
    <row r="3863" spans="1:19" x14ac:dyDescent="0.2">
      <c r="A3863" s="11" t="s">
        <v>40277</v>
      </c>
      <c r="B3863" s="9" t="s">
        <v>40278</v>
      </c>
      <c r="C3863" s="9" t="s">
        <v>40279</v>
      </c>
      <c r="D3863" s="9" t="s">
        <v>40280</v>
      </c>
      <c r="E3863" s="9" t="s">
        <v>17740</v>
      </c>
      <c r="F3863" s="9" t="s">
        <v>17741</v>
      </c>
      <c r="G3863" s="9" t="s">
        <v>17740</v>
      </c>
      <c r="H3863" s="11" t="s">
        <v>40281</v>
      </c>
      <c r="I3863" s="11" t="s">
        <v>2931</v>
      </c>
      <c r="J3863" s="11" t="s">
        <v>2931</v>
      </c>
      <c r="K3863" s="9" t="s">
        <v>40282</v>
      </c>
      <c r="L3863" s="9" t="s">
        <v>17759</v>
      </c>
      <c r="M3863" s="9" t="s">
        <v>19189</v>
      </c>
      <c r="N3863" s="9" t="s">
        <v>17746</v>
      </c>
      <c r="O3863" s="9" t="s">
        <v>40283</v>
      </c>
      <c r="P3863" s="9" t="s">
        <v>17748</v>
      </c>
      <c r="Q3863" s="11" t="s">
        <v>17943</v>
      </c>
      <c r="R3863" s="11" t="s">
        <v>17943</v>
      </c>
      <c r="S3863" s="11" t="s">
        <v>17750</v>
      </c>
    </row>
    <row r="3864" spans="1:19" x14ac:dyDescent="0.2">
      <c r="A3864" s="11" t="s">
        <v>40284</v>
      </c>
      <c r="B3864" s="9" t="s">
        <v>40285</v>
      </c>
      <c r="C3864" s="9" t="s">
        <v>40286</v>
      </c>
      <c r="D3864" s="9" t="s">
        <v>40287</v>
      </c>
      <c r="E3864" s="9" t="s">
        <v>17740</v>
      </c>
      <c r="F3864" s="9" t="s">
        <v>17741</v>
      </c>
      <c r="G3864" s="9" t="s">
        <v>17740</v>
      </c>
      <c r="H3864" s="11" t="s">
        <v>2994</v>
      </c>
      <c r="I3864" s="11" t="s">
        <v>2993</v>
      </c>
      <c r="J3864" s="11" t="s">
        <v>2993</v>
      </c>
      <c r="K3864" s="9" t="s">
        <v>18727</v>
      </c>
      <c r="L3864" s="9" t="s">
        <v>18158</v>
      </c>
      <c r="M3864" s="9" t="s">
        <v>21680</v>
      </c>
      <c r="N3864" s="9" t="s">
        <v>17746</v>
      </c>
      <c r="O3864" s="9" t="s">
        <v>18264</v>
      </c>
      <c r="P3864" s="9" t="s">
        <v>17748</v>
      </c>
      <c r="Q3864" s="11" t="s">
        <v>19899</v>
      </c>
      <c r="R3864" s="11" t="s">
        <v>19899</v>
      </c>
      <c r="S3864" s="11" t="s">
        <v>17750</v>
      </c>
    </row>
    <row r="3865" spans="1:19" x14ac:dyDescent="0.2">
      <c r="A3865" s="11" t="s">
        <v>40288</v>
      </c>
      <c r="B3865" s="9" t="s">
        <v>40289</v>
      </c>
      <c r="C3865" s="9" t="s">
        <v>40290</v>
      </c>
      <c r="D3865" s="9" t="s">
        <v>40291</v>
      </c>
      <c r="E3865" s="9" t="s">
        <v>17748</v>
      </c>
      <c r="F3865" s="9" t="s">
        <v>40292</v>
      </c>
      <c r="G3865" s="9" t="s">
        <v>17740</v>
      </c>
      <c r="H3865" s="11" t="s">
        <v>11594</v>
      </c>
      <c r="I3865" s="11" t="s">
        <v>11593</v>
      </c>
      <c r="J3865" s="11" t="s">
        <v>17741</v>
      </c>
      <c r="K3865" s="9" t="s">
        <v>17783</v>
      </c>
      <c r="L3865" s="9" t="s">
        <v>18242</v>
      </c>
      <c r="M3865" s="9" t="s">
        <v>17760</v>
      </c>
      <c r="N3865" s="9" t="s">
        <v>17746</v>
      </c>
      <c r="O3865" s="9" t="s">
        <v>40293</v>
      </c>
      <c r="P3865" s="9" t="s">
        <v>17748</v>
      </c>
      <c r="Q3865" s="11" t="s">
        <v>17984</v>
      </c>
      <c r="R3865" s="11" t="s">
        <v>17984</v>
      </c>
      <c r="S3865" s="11" t="s">
        <v>17750</v>
      </c>
    </row>
    <row r="3866" spans="1:19" x14ac:dyDescent="0.2">
      <c r="A3866" s="11" t="s">
        <v>40294</v>
      </c>
      <c r="B3866" s="9" t="s">
        <v>40295</v>
      </c>
      <c r="C3866" s="9" t="s">
        <v>40296</v>
      </c>
      <c r="D3866" s="9" t="s">
        <v>40297</v>
      </c>
      <c r="E3866" s="9" t="s">
        <v>17748</v>
      </c>
      <c r="F3866" s="9" t="s">
        <v>40298</v>
      </c>
      <c r="G3866" s="9" t="s">
        <v>17740</v>
      </c>
      <c r="H3866" s="11" t="s">
        <v>7735</v>
      </c>
      <c r="I3866" s="11" t="s">
        <v>7734</v>
      </c>
      <c r="J3866" s="11" t="s">
        <v>7734</v>
      </c>
      <c r="K3866" s="9" t="s">
        <v>55</v>
      </c>
      <c r="L3866" s="9" t="s">
        <v>17744</v>
      </c>
      <c r="M3866" s="9" t="s">
        <v>40299</v>
      </c>
      <c r="N3866" s="9" t="s">
        <v>17746</v>
      </c>
      <c r="O3866" s="9" t="s">
        <v>40300</v>
      </c>
      <c r="P3866" s="9" t="s">
        <v>17748</v>
      </c>
      <c r="Q3866" s="11" t="s">
        <v>18798</v>
      </c>
      <c r="R3866" s="11" t="s">
        <v>18798</v>
      </c>
      <c r="S3866" s="11" t="s">
        <v>17750</v>
      </c>
    </row>
    <row r="3867" spans="1:19" x14ac:dyDescent="0.2">
      <c r="A3867" s="11" t="s">
        <v>40301</v>
      </c>
      <c r="B3867" s="9" t="s">
        <v>40302</v>
      </c>
      <c r="C3867" s="9" t="s">
        <v>40303</v>
      </c>
      <c r="D3867" s="9" t="s">
        <v>40304</v>
      </c>
      <c r="E3867" s="9" t="s">
        <v>17748</v>
      </c>
      <c r="F3867" s="9" t="s">
        <v>40305</v>
      </c>
      <c r="G3867" s="9" t="s">
        <v>17740</v>
      </c>
      <c r="H3867" s="11" t="s">
        <v>40306</v>
      </c>
      <c r="I3867" s="11" t="s">
        <v>40307</v>
      </c>
      <c r="J3867" s="11" t="s">
        <v>17741</v>
      </c>
      <c r="K3867" s="9" t="s">
        <v>40308</v>
      </c>
      <c r="L3867" s="9" t="s">
        <v>18242</v>
      </c>
      <c r="M3867" s="9" t="s">
        <v>17760</v>
      </c>
      <c r="N3867" s="9" t="s">
        <v>17746</v>
      </c>
      <c r="O3867" s="9" t="s">
        <v>18746</v>
      </c>
      <c r="P3867" s="9" t="s">
        <v>17748</v>
      </c>
      <c r="Q3867" s="11" t="s">
        <v>17909</v>
      </c>
      <c r="R3867" s="11" t="s">
        <v>17909</v>
      </c>
      <c r="S3867" s="11" t="s">
        <v>17750</v>
      </c>
    </row>
    <row r="3868" spans="1:19" x14ac:dyDescent="0.2">
      <c r="A3868" s="11" t="s">
        <v>40309</v>
      </c>
      <c r="B3868" s="9" t="s">
        <v>40310</v>
      </c>
      <c r="C3868" s="9" t="s">
        <v>40311</v>
      </c>
      <c r="D3868" s="9" t="s">
        <v>40312</v>
      </c>
      <c r="E3868" s="9" t="s">
        <v>17740</v>
      </c>
      <c r="F3868" s="9" t="s">
        <v>40313</v>
      </c>
      <c r="G3868" s="9" t="s">
        <v>17740</v>
      </c>
      <c r="H3868" s="11" t="s">
        <v>6418</v>
      </c>
      <c r="I3868" s="11" t="s">
        <v>6417</v>
      </c>
      <c r="J3868" s="11" t="s">
        <v>6417</v>
      </c>
      <c r="K3868" s="9" t="s">
        <v>40314</v>
      </c>
      <c r="L3868" s="9" t="s">
        <v>17759</v>
      </c>
      <c r="M3868" s="9" t="s">
        <v>17760</v>
      </c>
      <c r="N3868" s="9" t="s">
        <v>17746</v>
      </c>
      <c r="O3868" s="9" t="s">
        <v>18363</v>
      </c>
      <c r="P3868" s="9" t="s">
        <v>17748</v>
      </c>
      <c r="Q3868" s="11" t="s">
        <v>17808</v>
      </c>
      <c r="R3868" s="11" t="s">
        <v>17808</v>
      </c>
      <c r="S3868" s="11" t="s">
        <v>17750</v>
      </c>
    </row>
    <row r="3869" spans="1:19" x14ac:dyDescent="0.2">
      <c r="A3869" s="11" t="s">
        <v>40315</v>
      </c>
      <c r="B3869" s="9" t="s">
        <v>40316</v>
      </c>
      <c r="C3869" s="9" t="s">
        <v>40317</v>
      </c>
      <c r="D3869" s="9" t="s">
        <v>40318</v>
      </c>
      <c r="E3869" s="9" t="s">
        <v>17740</v>
      </c>
      <c r="F3869" s="9" t="s">
        <v>17741</v>
      </c>
      <c r="G3869" s="9" t="s">
        <v>17740</v>
      </c>
      <c r="H3869" s="11" t="s">
        <v>17741</v>
      </c>
      <c r="I3869" s="11" t="s">
        <v>3005</v>
      </c>
      <c r="J3869" s="11" t="s">
        <v>3005</v>
      </c>
      <c r="K3869" s="9" t="s">
        <v>40319</v>
      </c>
      <c r="L3869" s="9" t="s">
        <v>17759</v>
      </c>
      <c r="M3869" s="9" t="s">
        <v>17817</v>
      </c>
      <c r="N3869" s="9" t="s">
        <v>17746</v>
      </c>
      <c r="O3869" s="9" t="s">
        <v>20799</v>
      </c>
      <c r="P3869" s="9" t="s">
        <v>17748</v>
      </c>
      <c r="Q3869" s="11" t="s">
        <v>17771</v>
      </c>
      <c r="R3869" s="11" t="s">
        <v>17771</v>
      </c>
      <c r="S3869" s="11" t="s">
        <v>17750</v>
      </c>
    </row>
    <row r="3870" spans="1:19" x14ac:dyDescent="0.2">
      <c r="A3870" s="11" t="s">
        <v>40320</v>
      </c>
      <c r="B3870" s="9" t="s">
        <v>40321</v>
      </c>
      <c r="C3870" s="9" t="s">
        <v>40322</v>
      </c>
      <c r="D3870" s="9" t="s">
        <v>40323</v>
      </c>
      <c r="E3870" s="9" t="s">
        <v>17740</v>
      </c>
      <c r="F3870" s="9" t="s">
        <v>17741</v>
      </c>
      <c r="G3870" s="9" t="s">
        <v>17740</v>
      </c>
      <c r="H3870" s="11" t="s">
        <v>17741</v>
      </c>
      <c r="I3870" s="11" t="s">
        <v>17741</v>
      </c>
      <c r="J3870" s="11" t="s">
        <v>17741</v>
      </c>
      <c r="K3870" s="9" t="s">
        <v>40324</v>
      </c>
      <c r="L3870" s="9" t="s">
        <v>17759</v>
      </c>
      <c r="M3870" s="9" t="s">
        <v>17778</v>
      </c>
      <c r="N3870" s="9" t="s">
        <v>17746</v>
      </c>
      <c r="O3870" s="9" t="s">
        <v>1802</v>
      </c>
      <c r="P3870" s="9" t="s">
        <v>17748</v>
      </c>
      <c r="Q3870" s="11" t="s">
        <v>18356</v>
      </c>
      <c r="R3870" s="11" t="s">
        <v>18356</v>
      </c>
      <c r="S3870" s="11" t="s">
        <v>17750</v>
      </c>
    </row>
    <row r="3871" spans="1:19" x14ac:dyDescent="0.2">
      <c r="A3871" s="11" t="s">
        <v>40325</v>
      </c>
      <c r="B3871" s="9" t="s">
        <v>40326</v>
      </c>
      <c r="C3871" s="9" t="s">
        <v>40327</v>
      </c>
      <c r="D3871" s="9" t="s">
        <v>40328</v>
      </c>
      <c r="E3871" s="9" t="s">
        <v>17740</v>
      </c>
      <c r="F3871" s="9" t="s">
        <v>17741</v>
      </c>
      <c r="G3871" s="9" t="s">
        <v>17740</v>
      </c>
      <c r="H3871" s="11" t="s">
        <v>4770</v>
      </c>
      <c r="I3871" s="11" t="s">
        <v>4769</v>
      </c>
      <c r="J3871" s="11" t="s">
        <v>4769</v>
      </c>
      <c r="K3871" s="9" t="s">
        <v>18122</v>
      </c>
      <c r="L3871" s="9" t="s">
        <v>18123</v>
      </c>
      <c r="M3871" s="9" t="s">
        <v>18184</v>
      </c>
      <c r="N3871" s="9" t="s">
        <v>17746</v>
      </c>
      <c r="O3871" s="9" t="s">
        <v>17818</v>
      </c>
      <c r="P3871" s="9" t="s">
        <v>17748</v>
      </c>
      <c r="Q3871" s="11" t="s">
        <v>18678</v>
      </c>
      <c r="R3871" s="11" t="s">
        <v>18678</v>
      </c>
      <c r="S3871" s="11" t="s">
        <v>17750</v>
      </c>
    </row>
    <row r="3872" spans="1:19" x14ac:dyDescent="0.2">
      <c r="A3872" s="11" t="s">
        <v>40329</v>
      </c>
      <c r="B3872" s="9" t="s">
        <v>40330</v>
      </c>
      <c r="C3872" s="9" t="s">
        <v>40331</v>
      </c>
      <c r="D3872" s="9" t="s">
        <v>40332</v>
      </c>
      <c r="E3872" s="9" t="s">
        <v>17740</v>
      </c>
      <c r="F3872" s="9" t="s">
        <v>17741</v>
      </c>
      <c r="G3872" s="9" t="s">
        <v>17740</v>
      </c>
      <c r="H3872" s="11" t="s">
        <v>6590</v>
      </c>
      <c r="I3872" s="11" t="s">
        <v>6589</v>
      </c>
      <c r="J3872" s="11" t="s">
        <v>6589</v>
      </c>
      <c r="K3872" s="9" t="s">
        <v>40333</v>
      </c>
      <c r="L3872" s="9" t="s">
        <v>17759</v>
      </c>
      <c r="M3872" s="9" t="s">
        <v>17760</v>
      </c>
      <c r="N3872" s="9" t="s">
        <v>17746</v>
      </c>
      <c r="O3872" s="9" t="s">
        <v>19653</v>
      </c>
      <c r="P3872" s="9" t="s">
        <v>17748</v>
      </c>
      <c r="Q3872" s="11" t="s">
        <v>18059</v>
      </c>
      <c r="R3872" s="11" t="s">
        <v>18059</v>
      </c>
      <c r="S3872" s="11" t="s">
        <v>17750</v>
      </c>
    </row>
    <row r="3873" spans="1:19" x14ac:dyDescent="0.2">
      <c r="A3873" s="11" t="s">
        <v>40334</v>
      </c>
      <c r="B3873" s="9" t="s">
        <v>40335</v>
      </c>
      <c r="C3873" s="9" t="s">
        <v>40336</v>
      </c>
      <c r="D3873" s="9" t="s">
        <v>40337</v>
      </c>
      <c r="E3873" s="9" t="s">
        <v>17740</v>
      </c>
      <c r="F3873" s="9" t="s">
        <v>17741</v>
      </c>
      <c r="G3873" s="9" t="s">
        <v>17740</v>
      </c>
      <c r="H3873" s="11" t="s">
        <v>40338</v>
      </c>
      <c r="I3873" s="11" t="s">
        <v>40339</v>
      </c>
      <c r="J3873" s="11" t="s">
        <v>40339</v>
      </c>
      <c r="K3873" s="9" t="s">
        <v>689</v>
      </c>
      <c r="L3873" s="9" t="s">
        <v>17759</v>
      </c>
      <c r="M3873" s="9" t="s">
        <v>17760</v>
      </c>
      <c r="N3873" s="9" t="s">
        <v>17746</v>
      </c>
      <c r="O3873" s="9" t="s">
        <v>17848</v>
      </c>
      <c r="P3873" s="9" t="s">
        <v>17748</v>
      </c>
      <c r="Q3873" s="11" t="s">
        <v>19515</v>
      </c>
      <c r="R3873" s="11" t="s">
        <v>19515</v>
      </c>
      <c r="S3873" s="11" t="s">
        <v>17750</v>
      </c>
    </row>
    <row r="3874" spans="1:19" x14ac:dyDescent="0.2">
      <c r="A3874" s="11" t="s">
        <v>40340</v>
      </c>
      <c r="B3874" s="9" t="s">
        <v>40341</v>
      </c>
      <c r="C3874" s="9" t="s">
        <v>40342</v>
      </c>
      <c r="D3874" s="9" t="s">
        <v>40343</v>
      </c>
      <c r="E3874" s="9" t="s">
        <v>17740</v>
      </c>
      <c r="F3874" s="9" t="s">
        <v>40344</v>
      </c>
      <c r="G3874" s="9" t="s">
        <v>17740</v>
      </c>
      <c r="H3874" s="11" t="s">
        <v>6981</v>
      </c>
      <c r="I3874" s="11" t="s">
        <v>6980</v>
      </c>
      <c r="J3874" s="11" t="s">
        <v>6980</v>
      </c>
      <c r="K3874" s="9" t="s">
        <v>9858</v>
      </c>
      <c r="L3874" s="9" t="s">
        <v>17759</v>
      </c>
      <c r="M3874" s="9" t="s">
        <v>40345</v>
      </c>
      <c r="N3874" s="9" t="s">
        <v>17746</v>
      </c>
      <c r="O3874" s="9" t="s">
        <v>17993</v>
      </c>
      <c r="P3874" s="9" t="s">
        <v>17748</v>
      </c>
      <c r="Q3874" s="11" t="s">
        <v>19361</v>
      </c>
      <c r="R3874" s="11" t="s">
        <v>19361</v>
      </c>
      <c r="S3874" s="11" t="s">
        <v>17750</v>
      </c>
    </row>
    <row r="3875" spans="1:19" x14ac:dyDescent="0.2">
      <c r="A3875" s="11" t="s">
        <v>40346</v>
      </c>
      <c r="B3875" s="9" t="s">
        <v>40347</v>
      </c>
      <c r="C3875" s="9" t="s">
        <v>40348</v>
      </c>
      <c r="D3875" s="9" t="s">
        <v>40349</v>
      </c>
      <c r="E3875" s="9" t="s">
        <v>17748</v>
      </c>
      <c r="F3875" s="9" t="s">
        <v>40350</v>
      </c>
      <c r="G3875" s="9" t="s">
        <v>17740</v>
      </c>
      <c r="H3875" s="11" t="s">
        <v>40351</v>
      </c>
      <c r="I3875" s="11" t="s">
        <v>40352</v>
      </c>
      <c r="J3875" s="11" t="s">
        <v>17741</v>
      </c>
      <c r="K3875" s="9" t="s">
        <v>40353</v>
      </c>
      <c r="L3875" s="9" t="s">
        <v>17759</v>
      </c>
      <c r="M3875" s="9" t="s">
        <v>17741</v>
      </c>
      <c r="N3875" s="9" t="s">
        <v>17746</v>
      </c>
      <c r="O3875" s="9" t="s">
        <v>17993</v>
      </c>
      <c r="P3875" s="9" t="s">
        <v>17748</v>
      </c>
      <c r="Q3875" s="11" t="s">
        <v>18089</v>
      </c>
      <c r="R3875" s="11" t="s">
        <v>18089</v>
      </c>
      <c r="S3875" s="11" t="s">
        <v>17750</v>
      </c>
    </row>
    <row r="3876" spans="1:19" x14ac:dyDescent="0.2">
      <c r="A3876" s="11" t="s">
        <v>40354</v>
      </c>
      <c r="B3876" s="9" t="s">
        <v>40355</v>
      </c>
      <c r="C3876" s="9" t="s">
        <v>40356</v>
      </c>
      <c r="D3876" s="9" t="s">
        <v>40357</v>
      </c>
      <c r="E3876" s="9" t="s">
        <v>17740</v>
      </c>
      <c r="F3876" s="9" t="s">
        <v>17741</v>
      </c>
      <c r="G3876" s="9" t="s">
        <v>17740</v>
      </c>
      <c r="H3876" s="11" t="s">
        <v>40358</v>
      </c>
      <c r="I3876" s="11" t="s">
        <v>40359</v>
      </c>
      <c r="J3876" s="11" t="s">
        <v>40359</v>
      </c>
      <c r="K3876" s="9" t="s">
        <v>291</v>
      </c>
      <c r="L3876" s="9" t="s">
        <v>17744</v>
      </c>
      <c r="M3876" s="9" t="s">
        <v>19938</v>
      </c>
      <c r="N3876" s="9" t="s">
        <v>17746</v>
      </c>
      <c r="O3876" s="9" t="s">
        <v>17818</v>
      </c>
      <c r="P3876" s="9" t="s">
        <v>17748</v>
      </c>
      <c r="Q3876" s="11" t="s">
        <v>18251</v>
      </c>
      <c r="R3876" s="11" t="s">
        <v>18251</v>
      </c>
      <c r="S3876" s="11" t="s">
        <v>17750</v>
      </c>
    </row>
    <row r="3877" spans="1:19" x14ac:dyDescent="0.2">
      <c r="A3877" s="11" t="s">
        <v>40360</v>
      </c>
      <c r="B3877" s="9" t="s">
        <v>40361</v>
      </c>
      <c r="C3877" s="9" t="s">
        <v>40362</v>
      </c>
      <c r="D3877" s="9" t="s">
        <v>40363</v>
      </c>
      <c r="E3877" s="9" t="s">
        <v>17740</v>
      </c>
      <c r="F3877" s="9" t="s">
        <v>40364</v>
      </c>
      <c r="G3877" s="9" t="s">
        <v>17740</v>
      </c>
      <c r="H3877" s="11" t="s">
        <v>15082</v>
      </c>
      <c r="I3877" s="11" t="s">
        <v>15081</v>
      </c>
      <c r="J3877" s="11" t="s">
        <v>15081</v>
      </c>
      <c r="K3877" s="9" t="s">
        <v>40365</v>
      </c>
      <c r="L3877" s="9" t="s">
        <v>22017</v>
      </c>
      <c r="M3877" s="9" t="s">
        <v>17760</v>
      </c>
      <c r="N3877" s="9" t="s">
        <v>17746</v>
      </c>
      <c r="O3877" s="9" t="s">
        <v>23061</v>
      </c>
      <c r="P3877" s="9" t="s">
        <v>17748</v>
      </c>
      <c r="Q3877" s="11" t="s">
        <v>18370</v>
      </c>
      <c r="R3877" s="11" t="s">
        <v>18370</v>
      </c>
      <c r="S3877" s="11" t="s">
        <v>17750</v>
      </c>
    </row>
    <row r="3878" spans="1:19" x14ac:dyDescent="0.2">
      <c r="A3878" s="11" t="s">
        <v>40366</v>
      </c>
      <c r="B3878" s="9" t="s">
        <v>40367</v>
      </c>
      <c r="C3878" s="9" t="s">
        <v>40368</v>
      </c>
      <c r="D3878" s="9" t="s">
        <v>40369</v>
      </c>
      <c r="E3878" s="9" t="s">
        <v>17748</v>
      </c>
      <c r="F3878" s="9" t="s">
        <v>40370</v>
      </c>
      <c r="G3878" s="9" t="s">
        <v>17740</v>
      </c>
      <c r="H3878" s="11" t="s">
        <v>16015</v>
      </c>
      <c r="I3878" s="11" t="s">
        <v>17741</v>
      </c>
      <c r="J3878" s="11" t="s">
        <v>17741</v>
      </c>
      <c r="K3878" s="9" t="s">
        <v>40371</v>
      </c>
      <c r="L3878" s="9" t="s">
        <v>17759</v>
      </c>
      <c r="M3878" s="9" t="s">
        <v>40372</v>
      </c>
      <c r="N3878" s="9" t="s">
        <v>17746</v>
      </c>
      <c r="O3878" s="9" t="s">
        <v>17848</v>
      </c>
      <c r="P3878" s="9" t="s">
        <v>17748</v>
      </c>
      <c r="Q3878" s="11" t="s">
        <v>17909</v>
      </c>
      <c r="R3878" s="11" t="s">
        <v>17909</v>
      </c>
      <c r="S3878" s="11" t="s">
        <v>17750</v>
      </c>
    </row>
    <row r="3879" spans="1:19" x14ac:dyDescent="0.2">
      <c r="A3879" s="11" t="s">
        <v>40373</v>
      </c>
      <c r="B3879" s="9" t="s">
        <v>40374</v>
      </c>
      <c r="C3879" s="9" t="s">
        <v>40375</v>
      </c>
      <c r="D3879" s="9" t="s">
        <v>40376</v>
      </c>
      <c r="E3879" s="9" t="s">
        <v>17740</v>
      </c>
      <c r="F3879" s="9" t="s">
        <v>17741</v>
      </c>
      <c r="G3879" s="9" t="s">
        <v>17740</v>
      </c>
      <c r="H3879" s="11" t="s">
        <v>17741</v>
      </c>
      <c r="I3879" s="11" t="s">
        <v>17741</v>
      </c>
      <c r="J3879" s="11" t="s">
        <v>17741</v>
      </c>
      <c r="K3879" s="9" t="s">
        <v>40377</v>
      </c>
      <c r="L3879" s="9" t="s">
        <v>17759</v>
      </c>
      <c r="M3879" s="9" t="s">
        <v>17942</v>
      </c>
      <c r="N3879" s="9" t="s">
        <v>17746</v>
      </c>
      <c r="O3879" s="9" t="s">
        <v>17848</v>
      </c>
      <c r="P3879" s="9" t="s">
        <v>17748</v>
      </c>
      <c r="Q3879" s="11" t="s">
        <v>18272</v>
      </c>
      <c r="R3879" s="11" t="s">
        <v>18272</v>
      </c>
      <c r="S3879" s="11" t="s">
        <v>17750</v>
      </c>
    </row>
    <row r="3880" spans="1:19" x14ac:dyDescent="0.2">
      <c r="A3880" s="11" t="s">
        <v>40378</v>
      </c>
      <c r="B3880" s="9" t="s">
        <v>40379</v>
      </c>
      <c r="C3880" s="9" t="s">
        <v>40380</v>
      </c>
      <c r="D3880" s="9" t="s">
        <v>40381</v>
      </c>
      <c r="E3880" s="9" t="s">
        <v>17740</v>
      </c>
      <c r="F3880" s="9" t="s">
        <v>17741</v>
      </c>
      <c r="G3880" s="9" t="s">
        <v>17740</v>
      </c>
      <c r="H3880" s="11" t="s">
        <v>13007</v>
      </c>
      <c r="I3880" s="11" t="s">
        <v>13006</v>
      </c>
      <c r="J3880" s="11" t="s">
        <v>13007</v>
      </c>
      <c r="K3880" s="9" t="s">
        <v>40382</v>
      </c>
      <c r="L3880" s="9" t="s">
        <v>17759</v>
      </c>
      <c r="M3880" s="9" t="s">
        <v>22341</v>
      </c>
      <c r="N3880" s="9" t="s">
        <v>17746</v>
      </c>
      <c r="O3880" s="9" t="s">
        <v>3524</v>
      </c>
      <c r="P3880" s="9" t="s">
        <v>17748</v>
      </c>
      <c r="Q3880" s="11" t="s">
        <v>18356</v>
      </c>
      <c r="R3880" s="11" t="s">
        <v>18356</v>
      </c>
      <c r="S3880" s="11" t="s">
        <v>17750</v>
      </c>
    </row>
    <row r="3881" spans="1:19" x14ac:dyDescent="0.2">
      <c r="A3881" s="11" t="s">
        <v>40383</v>
      </c>
      <c r="B3881" s="9" t="s">
        <v>40384</v>
      </c>
      <c r="C3881" s="9" t="s">
        <v>40385</v>
      </c>
      <c r="D3881" s="9" t="s">
        <v>40386</v>
      </c>
      <c r="E3881" s="9" t="s">
        <v>17740</v>
      </c>
      <c r="F3881" s="9" t="s">
        <v>17741</v>
      </c>
      <c r="G3881" s="9" t="s">
        <v>17740</v>
      </c>
      <c r="H3881" s="11" t="s">
        <v>2921</v>
      </c>
      <c r="I3881" s="11" t="s">
        <v>2920</v>
      </c>
      <c r="J3881" s="11" t="s">
        <v>2920</v>
      </c>
      <c r="K3881" s="9" t="s">
        <v>40387</v>
      </c>
      <c r="L3881" s="9" t="s">
        <v>18169</v>
      </c>
      <c r="M3881" s="9" t="s">
        <v>17769</v>
      </c>
      <c r="N3881" s="9" t="s">
        <v>18171</v>
      </c>
      <c r="O3881" s="9" t="s">
        <v>17993</v>
      </c>
      <c r="P3881" s="9" t="s">
        <v>17748</v>
      </c>
      <c r="Q3881" s="11" t="s">
        <v>19983</v>
      </c>
      <c r="R3881" s="11" t="s">
        <v>19983</v>
      </c>
      <c r="S3881" s="11" t="s">
        <v>17750</v>
      </c>
    </row>
    <row r="3882" spans="1:19" x14ac:dyDescent="0.2">
      <c r="A3882" s="11" t="s">
        <v>40388</v>
      </c>
      <c r="B3882" s="9" t="s">
        <v>40389</v>
      </c>
      <c r="C3882" s="9" t="s">
        <v>40390</v>
      </c>
      <c r="D3882" s="9" t="s">
        <v>40391</v>
      </c>
      <c r="E3882" s="9" t="s">
        <v>17740</v>
      </c>
      <c r="F3882" s="9" t="s">
        <v>17741</v>
      </c>
      <c r="G3882" s="9" t="s">
        <v>17740</v>
      </c>
      <c r="H3882" s="11" t="s">
        <v>40392</v>
      </c>
      <c r="I3882" s="11" t="s">
        <v>40393</v>
      </c>
      <c r="J3882" s="11" t="s">
        <v>40393</v>
      </c>
      <c r="K3882" s="9" t="s">
        <v>40394</v>
      </c>
      <c r="L3882" s="9" t="s">
        <v>40395</v>
      </c>
      <c r="M3882" s="9" t="s">
        <v>17817</v>
      </c>
      <c r="N3882" s="9" t="s">
        <v>40396</v>
      </c>
      <c r="O3882" s="9" t="s">
        <v>17993</v>
      </c>
      <c r="P3882" s="9" t="s">
        <v>17748</v>
      </c>
      <c r="Q3882" s="11" t="s">
        <v>18132</v>
      </c>
      <c r="R3882" s="11" t="s">
        <v>18132</v>
      </c>
      <c r="S3882" s="11" t="s">
        <v>17750</v>
      </c>
    </row>
    <row r="3883" spans="1:19" x14ac:dyDescent="0.2">
      <c r="A3883" s="11" t="s">
        <v>40397</v>
      </c>
      <c r="B3883" s="9" t="s">
        <v>40398</v>
      </c>
      <c r="C3883" s="9" t="s">
        <v>40399</v>
      </c>
      <c r="D3883" s="9" t="s">
        <v>40400</v>
      </c>
      <c r="E3883" s="9" t="s">
        <v>17740</v>
      </c>
      <c r="F3883" s="9" t="s">
        <v>17741</v>
      </c>
      <c r="G3883" s="9" t="s">
        <v>17740</v>
      </c>
      <c r="H3883" s="11" t="s">
        <v>17741</v>
      </c>
      <c r="I3883" s="11" t="s">
        <v>2905</v>
      </c>
      <c r="J3883" s="11" t="s">
        <v>2905</v>
      </c>
      <c r="K3883" s="9" t="s">
        <v>18438</v>
      </c>
      <c r="L3883" s="9" t="s">
        <v>18439</v>
      </c>
      <c r="M3883" s="9" t="s">
        <v>40401</v>
      </c>
      <c r="N3883" s="9" t="s">
        <v>18171</v>
      </c>
      <c r="O3883" s="9" t="s">
        <v>17993</v>
      </c>
      <c r="P3883" s="9" t="s">
        <v>17748</v>
      </c>
      <c r="Q3883" s="11" t="s">
        <v>20361</v>
      </c>
      <c r="R3883" s="11" t="s">
        <v>20361</v>
      </c>
      <c r="S3883" s="11" t="s">
        <v>17750</v>
      </c>
    </row>
    <row r="3884" spans="1:19" x14ac:dyDescent="0.2">
      <c r="A3884" s="11" t="s">
        <v>40402</v>
      </c>
      <c r="B3884" s="9" t="s">
        <v>40403</v>
      </c>
      <c r="C3884" s="9" t="s">
        <v>40404</v>
      </c>
      <c r="D3884" s="9" t="s">
        <v>40405</v>
      </c>
      <c r="E3884" s="9" t="s">
        <v>17740</v>
      </c>
      <c r="F3884" s="9" t="s">
        <v>40406</v>
      </c>
      <c r="G3884" s="9" t="s">
        <v>17740</v>
      </c>
      <c r="H3884" s="11" t="s">
        <v>17741</v>
      </c>
      <c r="I3884" s="11" t="s">
        <v>40407</v>
      </c>
      <c r="J3884" s="11" t="s">
        <v>40407</v>
      </c>
      <c r="K3884" s="9" t="s">
        <v>17990</v>
      </c>
      <c r="L3884" s="9" t="s">
        <v>17991</v>
      </c>
      <c r="M3884" s="9" t="s">
        <v>17769</v>
      </c>
      <c r="N3884" s="9" t="s">
        <v>20424</v>
      </c>
      <c r="O3884" s="9" t="s">
        <v>19653</v>
      </c>
      <c r="P3884" s="9" t="s">
        <v>17748</v>
      </c>
      <c r="Q3884" s="11" t="s">
        <v>19435</v>
      </c>
      <c r="R3884" s="11" t="s">
        <v>19435</v>
      </c>
      <c r="S3884" s="11" t="s">
        <v>17750</v>
      </c>
    </row>
    <row r="3885" spans="1:19" x14ac:dyDescent="0.2">
      <c r="A3885" s="11" t="s">
        <v>40408</v>
      </c>
      <c r="B3885" s="9" t="s">
        <v>40409</v>
      </c>
      <c r="C3885" s="9" t="s">
        <v>40410</v>
      </c>
      <c r="D3885" s="9" t="s">
        <v>40411</v>
      </c>
      <c r="E3885" s="9" t="s">
        <v>17740</v>
      </c>
      <c r="F3885" s="9" t="s">
        <v>17741</v>
      </c>
      <c r="G3885" s="9" t="s">
        <v>17740</v>
      </c>
      <c r="H3885" s="11" t="s">
        <v>17741</v>
      </c>
      <c r="I3885" s="11" t="s">
        <v>40412</v>
      </c>
      <c r="J3885" s="11" t="s">
        <v>40412</v>
      </c>
      <c r="K3885" s="9" t="s">
        <v>40413</v>
      </c>
      <c r="L3885" s="9" t="s">
        <v>18439</v>
      </c>
      <c r="M3885" s="9" t="s">
        <v>17942</v>
      </c>
      <c r="N3885" s="9" t="s">
        <v>18171</v>
      </c>
      <c r="O3885" s="9" t="s">
        <v>17747</v>
      </c>
      <c r="P3885" s="9" t="s">
        <v>17748</v>
      </c>
      <c r="Q3885" s="11" t="s">
        <v>19236</v>
      </c>
      <c r="R3885" s="11" t="s">
        <v>19236</v>
      </c>
      <c r="S3885" s="11" t="s">
        <v>17750</v>
      </c>
    </row>
    <row r="3886" spans="1:19" x14ac:dyDescent="0.2">
      <c r="A3886" s="11" t="s">
        <v>40414</v>
      </c>
      <c r="B3886" s="9" t="s">
        <v>40415</v>
      </c>
      <c r="C3886" s="9" t="s">
        <v>40416</v>
      </c>
      <c r="D3886" s="9" t="s">
        <v>40417</v>
      </c>
      <c r="E3886" s="9" t="s">
        <v>17740</v>
      </c>
      <c r="F3886" s="9" t="s">
        <v>17741</v>
      </c>
      <c r="G3886" s="9" t="s">
        <v>17740</v>
      </c>
      <c r="H3886" s="11" t="s">
        <v>4301</v>
      </c>
      <c r="I3886" s="11" t="s">
        <v>4300</v>
      </c>
      <c r="J3886" s="11" t="s">
        <v>4300</v>
      </c>
      <c r="K3886" s="9" t="s">
        <v>18438</v>
      </c>
      <c r="L3886" s="9" t="s">
        <v>18439</v>
      </c>
      <c r="M3886" s="9" t="s">
        <v>18513</v>
      </c>
      <c r="N3886" s="9" t="s">
        <v>18171</v>
      </c>
      <c r="O3886" s="9" t="s">
        <v>7317</v>
      </c>
      <c r="P3886" s="9" t="s">
        <v>17748</v>
      </c>
      <c r="Q3886" s="11" t="s">
        <v>40418</v>
      </c>
      <c r="R3886" s="11" t="s">
        <v>40418</v>
      </c>
      <c r="S3886" s="11" t="s">
        <v>17750</v>
      </c>
    </row>
    <row r="3887" spans="1:19" x14ac:dyDescent="0.2">
      <c r="A3887" s="11" t="s">
        <v>40419</v>
      </c>
      <c r="B3887" s="9" t="s">
        <v>40420</v>
      </c>
      <c r="C3887" s="9" t="s">
        <v>40421</v>
      </c>
      <c r="D3887" s="9" t="s">
        <v>40422</v>
      </c>
      <c r="E3887" s="9" t="s">
        <v>17740</v>
      </c>
      <c r="F3887" s="9" t="s">
        <v>40423</v>
      </c>
      <c r="G3887" s="9" t="s">
        <v>17740</v>
      </c>
      <c r="H3887" s="11" t="s">
        <v>17741</v>
      </c>
      <c r="I3887" s="11" t="s">
        <v>40424</v>
      </c>
      <c r="J3887" s="11" t="s">
        <v>17741</v>
      </c>
      <c r="K3887" s="9" t="s">
        <v>40425</v>
      </c>
      <c r="L3887" s="9" t="s">
        <v>17991</v>
      </c>
      <c r="M3887" s="9" t="s">
        <v>17992</v>
      </c>
      <c r="N3887" s="9" t="s">
        <v>17746</v>
      </c>
      <c r="O3887" s="9" t="s">
        <v>17747</v>
      </c>
      <c r="P3887" s="9" t="s">
        <v>17748</v>
      </c>
      <c r="Q3887" s="11" t="s">
        <v>19236</v>
      </c>
      <c r="R3887" s="11" t="s">
        <v>19236</v>
      </c>
      <c r="S3887" s="11" t="s">
        <v>17750</v>
      </c>
    </row>
    <row r="3888" spans="1:19" x14ac:dyDescent="0.2">
      <c r="A3888" s="11" t="s">
        <v>40426</v>
      </c>
      <c r="B3888" s="9" t="s">
        <v>40427</v>
      </c>
      <c r="C3888" s="9" t="s">
        <v>40428</v>
      </c>
      <c r="D3888" s="9" t="s">
        <v>40429</v>
      </c>
      <c r="E3888" s="9" t="s">
        <v>17748</v>
      </c>
      <c r="F3888" s="9" t="s">
        <v>40430</v>
      </c>
      <c r="G3888" s="9" t="s">
        <v>17740</v>
      </c>
      <c r="H3888" s="11" t="s">
        <v>10737</v>
      </c>
      <c r="I3888" s="11" t="s">
        <v>10736</v>
      </c>
      <c r="J3888" s="11" t="s">
        <v>10736</v>
      </c>
      <c r="K3888" s="9" t="s">
        <v>40431</v>
      </c>
      <c r="L3888" s="9" t="s">
        <v>18439</v>
      </c>
      <c r="M3888" s="9" t="s">
        <v>19283</v>
      </c>
      <c r="N3888" s="9" t="s">
        <v>17746</v>
      </c>
      <c r="O3888" s="9" t="s">
        <v>18340</v>
      </c>
      <c r="P3888" s="9" t="s">
        <v>17748</v>
      </c>
      <c r="Q3888" s="11" t="s">
        <v>17780</v>
      </c>
      <c r="R3888" s="11" t="s">
        <v>17780</v>
      </c>
      <c r="S3888" s="11" t="s">
        <v>17750</v>
      </c>
    </row>
    <row r="3889" spans="1:19" x14ac:dyDescent="0.2">
      <c r="A3889" s="11" t="s">
        <v>40432</v>
      </c>
      <c r="B3889" s="9" t="s">
        <v>40433</v>
      </c>
      <c r="C3889" s="9" t="s">
        <v>40434</v>
      </c>
      <c r="D3889" s="9" t="s">
        <v>40435</v>
      </c>
      <c r="E3889" s="9" t="s">
        <v>17740</v>
      </c>
      <c r="F3889" s="9" t="s">
        <v>17741</v>
      </c>
      <c r="G3889" s="9" t="s">
        <v>17740</v>
      </c>
      <c r="H3889" s="11" t="s">
        <v>11020</v>
      </c>
      <c r="I3889" s="11" t="s">
        <v>11019</v>
      </c>
      <c r="J3889" s="11" t="s">
        <v>11019</v>
      </c>
      <c r="K3889" s="9" t="s">
        <v>20956</v>
      </c>
      <c r="L3889" s="9" t="s">
        <v>18001</v>
      </c>
      <c r="M3889" s="9" t="s">
        <v>17769</v>
      </c>
      <c r="N3889" s="9" t="s">
        <v>17746</v>
      </c>
      <c r="O3889" s="9" t="s">
        <v>17882</v>
      </c>
      <c r="P3889" s="9" t="s">
        <v>17748</v>
      </c>
      <c r="Q3889" s="11" t="s">
        <v>17984</v>
      </c>
      <c r="R3889" s="11" t="s">
        <v>17984</v>
      </c>
      <c r="S3889" s="11" t="s">
        <v>17750</v>
      </c>
    </row>
    <row r="3890" spans="1:19" x14ac:dyDescent="0.2">
      <c r="A3890" s="11" t="s">
        <v>40436</v>
      </c>
      <c r="B3890" s="9" t="s">
        <v>40437</v>
      </c>
      <c r="C3890" s="9" t="s">
        <v>40438</v>
      </c>
      <c r="D3890" s="9" t="s">
        <v>40439</v>
      </c>
      <c r="E3890" s="9" t="s">
        <v>17740</v>
      </c>
      <c r="F3890" s="9" t="s">
        <v>17741</v>
      </c>
      <c r="G3890" s="9" t="s">
        <v>17740</v>
      </c>
      <c r="H3890" s="11" t="s">
        <v>3022</v>
      </c>
      <c r="I3890" s="11" t="s">
        <v>3021</v>
      </c>
      <c r="J3890" s="11" t="s">
        <v>3021</v>
      </c>
      <c r="K3890" s="9" t="s">
        <v>17805</v>
      </c>
      <c r="L3890" s="9" t="s">
        <v>17759</v>
      </c>
      <c r="M3890" s="9" t="s">
        <v>17769</v>
      </c>
      <c r="N3890" s="9" t="s">
        <v>17746</v>
      </c>
      <c r="O3890" s="9" t="s">
        <v>3391</v>
      </c>
      <c r="P3890" s="9" t="s">
        <v>17748</v>
      </c>
      <c r="Q3890" s="11" t="s">
        <v>18433</v>
      </c>
      <c r="R3890" s="11" t="s">
        <v>18433</v>
      </c>
      <c r="S3890" s="11" t="s">
        <v>17750</v>
      </c>
    </row>
    <row r="3891" spans="1:19" x14ac:dyDescent="0.2">
      <c r="A3891" s="11" t="s">
        <v>40440</v>
      </c>
      <c r="B3891" s="9" t="s">
        <v>17993</v>
      </c>
      <c r="C3891" s="9" t="s">
        <v>40441</v>
      </c>
      <c r="D3891" s="9" t="s">
        <v>40442</v>
      </c>
      <c r="E3891" s="9" t="s">
        <v>17740</v>
      </c>
      <c r="F3891" s="9" t="s">
        <v>17741</v>
      </c>
      <c r="G3891" s="9" t="s">
        <v>17740</v>
      </c>
      <c r="H3891" s="11" t="s">
        <v>2926</v>
      </c>
      <c r="I3891" s="11" t="s">
        <v>2925</v>
      </c>
      <c r="J3891" s="11" t="s">
        <v>2925</v>
      </c>
      <c r="K3891" s="9" t="s">
        <v>17758</v>
      </c>
      <c r="L3891" s="9" t="s">
        <v>17759</v>
      </c>
      <c r="M3891" s="9" t="s">
        <v>17769</v>
      </c>
      <c r="N3891" s="9" t="s">
        <v>17746</v>
      </c>
      <c r="O3891" s="9" t="s">
        <v>17993</v>
      </c>
      <c r="P3891" s="9" t="s">
        <v>17748</v>
      </c>
      <c r="Q3891" s="11" t="s">
        <v>20433</v>
      </c>
      <c r="R3891" s="11" t="s">
        <v>20433</v>
      </c>
      <c r="S3891" s="11" t="s">
        <v>17750</v>
      </c>
    </row>
    <row r="3892" spans="1:19" x14ac:dyDescent="0.2">
      <c r="A3892" s="11" t="s">
        <v>40443</v>
      </c>
      <c r="B3892" s="9" t="s">
        <v>40444</v>
      </c>
      <c r="C3892" s="9" t="s">
        <v>40445</v>
      </c>
      <c r="D3892" s="9" t="s">
        <v>40446</v>
      </c>
      <c r="E3892" s="9" t="s">
        <v>17740</v>
      </c>
      <c r="F3892" s="9" t="s">
        <v>17741</v>
      </c>
      <c r="G3892" s="9" t="s">
        <v>17740</v>
      </c>
      <c r="H3892" s="11" t="s">
        <v>17741</v>
      </c>
      <c r="I3892" s="11" t="s">
        <v>40447</v>
      </c>
      <c r="J3892" s="11" t="s">
        <v>40447</v>
      </c>
      <c r="K3892" s="9" t="s">
        <v>40448</v>
      </c>
      <c r="L3892" s="9" t="s">
        <v>19134</v>
      </c>
      <c r="M3892" s="9" t="s">
        <v>18065</v>
      </c>
      <c r="N3892" s="9" t="s">
        <v>17746</v>
      </c>
      <c r="O3892" s="9" t="s">
        <v>19275</v>
      </c>
      <c r="P3892" s="9" t="s">
        <v>17748</v>
      </c>
      <c r="Q3892" s="11" t="s">
        <v>19515</v>
      </c>
      <c r="R3892" s="11" t="s">
        <v>19515</v>
      </c>
      <c r="S3892" s="11" t="s">
        <v>17750</v>
      </c>
    </row>
    <row r="3893" spans="1:19" x14ac:dyDescent="0.2">
      <c r="A3893" s="11" t="s">
        <v>40449</v>
      </c>
      <c r="B3893" s="9" t="s">
        <v>40450</v>
      </c>
      <c r="C3893" s="9" t="s">
        <v>40451</v>
      </c>
      <c r="D3893" s="9" t="s">
        <v>40452</v>
      </c>
      <c r="E3893" s="9" t="s">
        <v>17740</v>
      </c>
      <c r="F3893" s="9" t="s">
        <v>40453</v>
      </c>
      <c r="G3893" s="9" t="s">
        <v>17740</v>
      </c>
      <c r="H3893" s="11" t="s">
        <v>40454</v>
      </c>
      <c r="I3893" s="11" t="s">
        <v>40455</v>
      </c>
      <c r="J3893" s="11" t="s">
        <v>40455</v>
      </c>
      <c r="K3893" s="9" t="s">
        <v>17758</v>
      </c>
      <c r="L3893" s="9" t="s">
        <v>17759</v>
      </c>
      <c r="M3893" s="9" t="s">
        <v>17817</v>
      </c>
      <c r="N3893" s="9" t="s">
        <v>17746</v>
      </c>
      <c r="O3893" s="9" t="s">
        <v>19939</v>
      </c>
      <c r="P3893" s="9" t="s">
        <v>17748</v>
      </c>
      <c r="Q3893" s="11" t="s">
        <v>19222</v>
      </c>
      <c r="R3893" s="11" t="s">
        <v>19222</v>
      </c>
      <c r="S3893" s="11" t="s">
        <v>17750</v>
      </c>
    </row>
    <row r="3894" spans="1:19" x14ac:dyDescent="0.2">
      <c r="A3894" s="11" t="s">
        <v>40456</v>
      </c>
      <c r="B3894" s="9" t="s">
        <v>40457</v>
      </c>
      <c r="C3894" s="9" t="s">
        <v>40458</v>
      </c>
      <c r="D3894" s="9" t="s">
        <v>40459</v>
      </c>
      <c r="E3894" s="9" t="s">
        <v>17740</v>
      </c>
      <c r="F3894" s="9" t="s">
        <v>40460</v>
      </c>
      <c r="G3894" s="9" t="s">
        <v>17740</v>
      </c>
      <c r="H3894" s="11" t="s">
        <v>40461</v>
      </c>
      <c r="I3894" s="11" t="s">
        <v>40462</v>
      </c>
      <c r="J3894" s="11" t="s">
        <v>40463</v>
      </c>
      <c r="K3894" s="9" t="s">
        <v>18122</v>
      </c>
      <c r="L3894" s="9" t="s">
        <v>18123</v>
      </c>
      <c r="M3894" s="9" t="s">
        <v>17942</v>
      </c>
      <c r="N3894" s="9" t="s">
        <v>17746</v>
      </c>
      <c r="O3894" s="9" t="s">
        <v>19939</v>
      </c>
      <c r="P3894" s="9" t="s">
        <v>17748</v>
      </c>
      <c r="Q3894" s="11" t="s">
        <v>18341</v>
      </c>
      <c r="R3894" s="11" t="s">
        <v>18341</v>
      </c>
      <c r="S3894" s="11" t="s">
        <v>17750</v>
      </c>
    </row>
    <row r="3895" spans="1:19" x14ac:dyDescent="0.2">
      <c r="A3895" s="11" t="s">
        <v>40464</v>
      </c>
      <c r="B3895" s="9" t="s">
        <v>40465</v>
      </c>
      <c r="C3895" s="9" t="s">
        <v>40466</v>
      </c>
      <c r="D3895" s="9" t="s">
        <v>40467</v>
      </c>
      <c r="E3895" s="9" t="s">
        <v>17748</v>
      </c>
      <c r="F3895" s="9" t="s">
        <v>40468</v>
      </c>
      <c r="G3895" s="9" t="s">
        <v>17740</v>
      </c>
      <c r="H3895" s="11" t="s">
        <v>17741</v>
      </c>
      <c r="I3895" s="11" t="s">
        <v>40469</v>
      </c>
      <c r="J3895" s="11" t="s">
        <v>40469</v>
      </c>
      <c r="K3895" s="9" t="s">
        <v>40470</v>
      </c>
      <c r="L3895" s="9" t="s">
        <v>17744</v>
      </c>
      <c r="M3895" s="9" t="s">
        <v>17760</v>
      </c>
      <c r="N3895" s="9" t="s">
        <v>17746</v>
      </c>
      <c r="O3895" s="9" t="s">
        <v>40471</v>
      </c>
      <c r="P3895" s="9" t="s">
        <v>17748</v>
      </c>
      <c r="Q3895" s="11" t="s">
        <v>18201</v>
      </c>
      <c r="R3895" s="11" t="s">
        <v>18201</v>
      </c>
      <c r="S3895" s="11" t="s">
        <v>17750</v>
      </c>
    </row>
    <row r="3896" spans="1:19" x14ac:dyDescent="0.2">
      <c r="A3896" s="11" t="s">
        <v>40472</v>
      </c>
      <c r="B3896" s="9" t="s">
        <v>40473</v>
      </c>
      <c r="C3896" s="9" t="s">
        <v>40474</v>
      </c>
      <c r="D3896" s="9" t="s">
        <v>40475</v>
      </c>
      <c r="E3896" s="9" t="s">
        <v>17740</v>
      </c>
      <c r="F3896" s="9" t="s">
        <v>40476</v>
      </c>
      <c r="G3896" s="9" t="s">
        <v>17740</v>
      </c>
      <c r="H3896" s="11" t="s">
        <v>40477</v>
      </c>
      <c r="I3896" s="11" t="s">
        <v>40478</v>
      </c>
      <c r="J3896" s="11" t="s">
        <v>40478</v>
      </c>
      <c r="K3896" s="9" t="s">
        <v>18876</v>
      </c>
      <c r="L3896" s="9" t="s">
        <v>18001</v>
      </c>
      <c r="M3896" s="9" t="s">
        <v>40479</v>
      </c>
      <c r="N3896" s="9" t="s">
        <v>17746</v>
      </c>
      <c r="O3896" s="9" t="s">
        <v>17874</v>
      </c>
      <c r="P3896" s="9" t="s">
        <v>17748</v>
      </c>
      <c r="Q3896" s="11" t="s">
        <v>18798</v>
      </c>
      <c r="R3896" s="11" t="s">
        <v>18798</v>
      </c>
      <c r="S3896" s="11" t="s">
        <v>17750</v>
      </c>
    </row>
    <row r="3897" spans="1:19" x14ac:dyDescent="0.2">
      <c r="A3897" s="11" t="s">
        <v>40480</v>
      </c>
      <c r="B3897" s="9" t="s">
        <v>40481</v>
      </c>
      <c r="C3897" s="9" t="s">
        <v>40482</v>
      </c>
      <c r="D3897" s="9" t="s">
        <v>40483</v>
      </c>
      <c r="E3897" s="9" t="s">
        <v>17740</v>
      </c>
      <c r="F3897" s="9" t="s">
        <v>17741</v>
      </c>
      <c r="G3897" s="9" t="s">
        <v>17740</v>
      </c>
      <c r="H3897" s="11" t="s">
        <v>40484</v>
      </c>
      <c r="I3897" s="11" t="s">
        <v>40485</v>
      </c>
      <c r="J3897" s="11" t="s">
        <v>40485</v>
      </c>
      <c r="K3897" s="9" t="s">
        <v>18520</v>
      </c>
      <c r="L3897" s="9" t="s">
        <v>17744</v>
      </c>
      <c r="M3897" s="9" t="s">
        <v>17760</v>
      </c>
      <c r="N3897" s="9" t="s">
        <v>17746</v>
      </c>
      <c r="O3897" s="9" t="s">
        <v>19275</v>
      </c>
      <c r="P3897" s="9" t="s">
        <v>17748</v>
      </c>
      <c r="Q3897" s="11" t="s">
        <v>18556</v>
      </c>
      <c r="R3897" s="11" t="s">
        <v>18556</v>
      </c>
      <c r="S3897" s="11" t="s">
        <v>17750</v>
      </c>
    </row>
    <row r="3898" spans="1:19" x14ac:dyDescent="0.2">
      <c r="A3898" s="11" t="s">
        <v>40486</v>
      </c>
      <c r="B3898" s="9" t="s">
        <v>40487</v>
      </c>
      <c r="C3898" s="9" t="s">
        <v>40488</v>
      </c>
      <c r="D3898" s="9" t="s">
        <v>40489</v>
      </c>
      <c r="E3898" s="9" t="s">
        <v>17740</v>
      </c>
      <c r="F3898" s="9" t="s">
        <v>17741</v>
      </c>
      <c r="G3898" s="9" t="s">
        <v>17740</v>
      </c>
      <c r="H3898" s="11" t="s">
        <v>40490</v>
      </c>
      <c r="I3898" s="11" t="s">
        <v>40491</v>
      </c>
      <c r="J3898" s="11" t="s">
        <v>40491</v>
      </c>
      <c r="K3898" s="9" t="s">
        <v>40492</v>
      </c>
      <c r="L3898" s="9" t="s">
        <v>18210</v>
      </c>
      <c r="M3898" s="9" t="s">
        <v>40493</v>
      </c>
      <c r="N3898" s="9" t="s">
        <v>17746</v>
      </c>
      <c r="O3898" s="9" t="s">
        <v>17993</v>
      </c>
      <c r="P3898" s="9" t="s">
        <v>17748</v>
      </c>
      <c r="Q3898" s="11" t="s">
        <v>18847</v>
      </c>
      <c r="R3898" s="11" t="s">
        <v>18847</v>
      </c>
      <c r="S3898" s="11" t="s">
        <v>17750</v>
      </c>
    </row>
    <row r="3899" spans="1:19" x14ac:dyDescent="0.2">
      <c r="A3899" s="11" t="s">
        <v>40494</v>
      </c>
      <c r="B3899" s="9" t="s">
        <v>40495</v>
      </c>
      <c r="C3899" s="9" t="s">
        <v>40496</v>
      </c>
      <c r="D3899" s="9" t="s">
        <v>40497</v>
      </c>
      <c r="E3899" s="9" t="s">
        <v>17740</v>
      </c>
      <c r="F3899" s="9" t="s">
        <v>17741</v>
      </c>
      <c r="G3899" s="9" t="s">
        <v>17740</v>
      </c>
      <c r="H3899" s="11" t="s">
        <v>11286</v>
      </c>
      <c r="I3899" s="11" t="s">
        <v>11285</v>
      </c>
      <c r="J3899" s="11" t="s">
        <v>11285</v>
      </c>
      <c r="K3899" s="9" t="s">
        <v>11287</v>
      </c>
      <c r="L3899" s="9" t="s">
        <v>18210</v>
      </c>
      <c r="M3899" s="9" t="s">
        <v>18051</v>
      </c>
      <c r="N3899" s="9" t="s">
        <v>40498</v>
      </c>
      <c r="O3899" s="9" t="s">
        <v>17993</v>
      </c>
      <c r="P3899" s="9" t="s">
        <v>17748</v>
      </c>
      <c r="Q3899" s="11" t="s">
        <v>17780</v>
      </c>
      <c r="R3899" s="11" t="s">
        <v>17780</v>
      </c>
      <c r="S3899" s="11" t="s">
        <v>17750</v>
      </c>
    </row>
    <row r="3900" spans="1:19" x14ac:dyDescent="0.2">
      <c r="A3900" s="11" t="s">
        <v>40499</v>
      </c>
      <c r="B3900" s="9" t="s">
        <v>40500</v>
      </c>
      <c r="C3900" s="9" t="s">
        <v>40501</v>
      </c>
      <c r="D3900" s="9" t="s">
        <v>40502</v>
      </c>
      <c r="E3900" s="9" t="s">
        <v>17740</v>
      </c>
      <c r="F3900" s="9" t="s">
        <v>17741</v>
      </c>
      <c r="G3900" s="9" t="s">
        <v>17740</v>
      </c>
      <c r="H3900" s="11" t="s">
        <v>17741</v>
      </c>
      <c r="I3900" s="11" t="s">
        <v>40503</v>
      </c>
      <c r="J3900" s="11" t="s">
        <v>40503</v>
      </c>
      <c r="K3900" s="9" t="s">
        <v>40504</v>
      </c>
      <c r="L3900" s="9" t="s">
        <v>18050</v>
      </c>
      <c r="M3900" s="9" t="s">
        <v>18289</v>
      </c>
      <c r="N3900" s="9" t="s">
        <v>30219</v>
      </c>
      <c r="O3900" s="9" t="s">
        <v>17993</v>
      </c>
      <c r="P3900" s="9" t="s">
        <v>17748</v>
      </c>
      <c r="Q3900" s="11" t="s">
        <v>18178</v>
      </c>
      <c r="R3900" s="11" t="s">
        <v>18178</v>
      </c>
      <c r="S3900" s="11" t="s">
        <v>17750</v>
      </c>
    </row>
    <row r="3901" spans="1:19" x14ac:dyDescent="0.2">
      <c r="A3901" s="11" t="s">
        <v>40505</v>
      </c>
      <c r="B3901" s="9" t="s">
        <v>40506</v>
      </c>
      <c r="C3901" s="9" t="s">
        <v>40507</v>
      </c>
      <c r="D3901" s="9" t="s">
        <v>40508</v>
      </c>
      <c r="E3901" s="9" t="s">
        <v>17740</v>
      </c>
      <c r="F3901" s="9" t="s">
        <v>40509</v>
      </c>
      <c r="G3901" s="9" t="s">
        <v>17740</v>
      </c>
      <c r="H3901" s="11" t="s">
        <v>40510</v>
      </c>
      <c r="I3901" s="11" t="s">
        <v>40511</v>
      </c>
      <c r="J3901" s="11" t="s">
        <v>40511</v>
      </c>
      <c r="K3901" s="9" t="s">
        <v>18520</v>
      </c>
      <c r="L3901" s="9" t="s">
        <v>17744</v>
      </c>
      <c r="M3901" s="9" t="s">
        <v>17760</v>
      </c>
      <c r="N3901" s="9" t="s">
        <v>17746</v>
      </c>
      <c r="O3901" s="9" t="s">
        <v>19275</v>
      </c>
      <c r="P3901" s="9" t="s">
        <v>17748</v>
      </c>
      <c r="Q3901" s="11" t="s">
        <v>18847</v>
      </c>
      <c r="R3901" s="11" t="s">
        <v>18847</v>
      </c>
      <c r="S3901" s="11" t="s">
        <v>17750</v>
      </c>
    </row>
    <row r="3902" spans="1:19" x14ac:dyDescent="0.2">
      <c r="A3902" s="11" t="s">
        <v>40512</v>
      </c>
      <c r="B3902" s="9" t="s">
        <v>40513</v>
      </c>
      <c r="C3902" s="9" t="s">
        <v>40514</v>
      </c>
      <c r="D3902" s="9" t="s">
        <v>40515</v>
      </c>
      <c r="E3902" s="9" t="s">
        <v>17740</v>
      </c>
      <c r="F3902" s="9" t="s">
        <v>17741</v>
      </c>
      <c r="G3902" s="9" t="s">
        <v>17740</v>
      </c>
      <c r="H3902" s="11" t="s">
        <v>17741</v>
      </c>
      <c r="I3902" s="11" t="s">
        <v>17741</v>
      </c>
      <c r="J3902" s="11" t="s">
        <v>17741</v>
      </c>
      <c r="K3902" s="9" t="s">
        <v>920</v>
      </c>
      <c r="L3902" s="9" t="s">
        <v>18001</v>
      </c>
      <c r="M3902" s="9" t="s">
        <v>40516</v>
      </c>
      <c r="N3902" s="9" t="s">
        <v>17746</v>
      </c>
      <c r="O3902" s="9" t="s">
        <v>20056</v>
      </c>
      <c r="P3902" s="9" t="s">
        <v>17748</v>
      </c>
      <c r="Q3902" s="11" t="s">
        <v>17771</v>
      </c>
      <c r="R3902" s="11" t="s">
        <v>17771</v>
      </c>
      <c r="S3902" s="11" t="s">
        <v>17750</v>
      </c>
    </row>
    <row r="3903" spans="1:19" x14ac:dyDescent="0.2">
      <c r="A3903" s="11" t="s">
        <v>40517</v>
      </c>
      <c r="B3903" s="9" t="s">
        <v>40518</v>
      </c>
      <c r="C3903" s="9" t="s">
        <v>40519</v>
      </c>
      <c r="D3903" s="9" t="s">
        <v>40520</v>
      </c>
      <c r="E3903" s="9" t="s">
        <v>17748</v>
      </c>
      <c r="F3903" s="9" t="s">
        <v>40521</v>
      </c>
      <c r="G3903" s="9" t="s">
        <v>17740</v>
      </c>
      <c r="H3903" s="11" t="s">
        <v>17741</v>
      </c>
      <c r="I3903" s="11" t="s">
        <v>40522</v>
      </c>
      <c r="J3903" s="11" t="s">
        <v>40522</v>
      </c>
      <c r="K3903" s="9" t="s">
        <v>40523</v>
      </c>
      <c r="L3903" s="9" t="s">
        <v>18854</v>
      </c>
      <c r="M3903" s="9" t="s">
        <v>17817</v>
      </c>
      <c r="N3903" s="9" t="s">
        <v>20237</v>
      </c>
      <c r="O3903" s="9" t="s">
        <v>19653</v>
      </c>
      <c r="P3903" s="9" t="s">
        <v>17748</v>
      </c>
      <c r="Q3903" s="11" t="s">
        <v>17792</v>
      </c>
      <c r="R3903" s="11" t="s">
        <v>17792</v>
      </c>
      <c r="S3903" s="11" t="s">
        <v>17750</v>
      </c>
    </row>
    <row r="3904" spans="1:19" x14ac:dyDescent="0.2">
      <c r="A3904" s="11" t="s">
        <v>40524</v>
      </c>
      <c r="B3904" s="9" t="s">
        <v>40525</v>
      </c>
      <c r="C3904" s="9" t="s">
        <v>40526</v>
      </c>
      <c r="D3904" s="9" t="s">
        <v>40527</v>
      </c>
      <c r="E3904" s="9" t="s">
        <v>17740</v>
      </c>
      <c r="F3904" s="9" t="s">
        <v>40528</v>
      </c>
      <c r="G3904" s="9" t="s">
        <v>17740</v>
      </c>
      <c r="H3904" s="11" t="s">
        <v>17741</v>
      </c>
      <c r="I3904" s="11" t="s">
        <v>40529</v>
      </c>
      <c r="J3904" s="11" t="s">
        <v>40529</v>
      </c>
      <c r="K3904" s="9" t="s">
        <v>20950</v>
      </c>
      <c r="L3904" s="9" t="s">
        <v>18854</v>
      </c>
      <c r="M3904" s="9" t="s">
        <v>17760</v>
      </c>
      <c r="N3904" s="9" t="s">
        <v>20237</v>
      </c>
      <c r="O3904" s="9" t="s">
        <v>3309</v>
      </c>
      <c r="P3904" s="9" t="s">
        <v>17748</v>
      </c>
      <c r="Q3904" s="11" t="s">
        <v>20789</v>
      </c>
      <c r="R3904" s="11" t="s">
        <v>20789</v>
      </c>
      <c r="S3904" s="11" t="s">
        <v>17750</v>
      </c>
    </row>
    <row r="3905" spans="1:19" x14ac:dyDescent="0.2">
      <c r="A3905" s="11" t="s">
        <v>40530</v>
      </c>
      <c r="B3905" s="9" t="s">
        <v>40531</v>
      </c>
      <c r="C3905" s="9" t="s">
        <v>40532</v>
      </c>
      <c r="D3905" s="9" t="s">
        <v>40533</v>
      </c>
      <c r="E3905" s="9" t="s">
        <v>17740</v>
      </c>
      <c r="F3905" s="9" t="s">
        <v>40534</v>
      </c>
      <c r="G3905" s="9" t="s">
        <v>17740</v>
      </c>
      <c r="H3905" s="11" t="s">
        <v>17741</v>
      </c>
      <c r="I3905" s="11" t="s">
        <v>40535</v>
      </c>
      <c r="J3905" s="11" t="s">
        <v>40535</v>
      </c>
      <c r="K3905" s="9" t="s">
        <v>20950</v>
      </c>
      <c r="L3905" s="9" t="s">
        <v>18854</v>
      </c>
      <c r="M3905" s="9" t="s">
        <v>17769</v>
      </c>
      <c r="N3905" s="9" t="s">
        <v>20237</v>
      </c>
      <c r="O3905" s="9" t="s">
        <v>36445</v>
      </c>
      <c r="P3905" s="9" t="s">
        <v>17748</v>
      </c>
      <c r="Q3905" s="11" t="s">
        <v>18813</v>
      </c>
      <c r="R3905" s="11" t="s">
        <v>18813</v>
      </c>
      <c r="S3905" s="11" t="s">
        <v>17750</v>
      </c>
    </row>
    <row r="3906" spans="1:19" x14ac:dyDescent="0.2">
      <c r="A3906" s="11" t="s">
        <v>40536</v>
      </c>
      <c r="B3906" s="9" t="s">
        <v>40537</v>
      </c>
      <c r="C3906" s="9" t="s">
        <v>40538</v>
      </c>
      <c r="D3906" s="9" t="s">
        <v>40539</v>
      </c>
      <c r="E3906" s="9" t="s">
        <v>17740</v>
      </c>
      <c r="F3906" s="9" t="s">
        <v>40540</v>
      </c>
      <c r="G3906" s="9" t="s">
        <v>17740</v>
      </c>
      <c r="H3906" s="11" t="s">
        <v>17741</v>
      </c>
      <c r="I3906" s="11" t="s">
        <v>40541</v>
      </c>
      <c r="J3906" s="11" t="s">
        <v>40541</v>
      </c>
      <c r="K3906" s="9" t="s">
        <v>40542</v>
      </c>
      <c r="L3906" s="9" t="s">
        <v>18158</v>
      </c>
      <c r="M3906" s="9" t="s">
        <v>17942</v>
      </c>
      <c r="N3906" s="9" t="s">
        <v>18185</v>
      </c>
      <c r="O3906" s="9" t="s">
        <v>17747</v>
      </c>
      <c r="P3906" s="9" t="s">
        <v>17748</v>
      </c>
      <c r="Q3906" s="11" t="s">
        <v>17819</v>
      </c>
      <c r="R3906" s="11" t="s">
        <v>17819</v>
      </c>
      <c r="S3906" s="11" t="s">
        <v>17750</v>
      </c>
    </row>
    <row r="3907" spans="1:19" x14ac:dyDescent="0.2">
      <c r="A3907" s="11" t="s">
        <v>40543</v>
      </c>
      <c r="B3907" s="9" t="s">
        <v>40544</v>
      </c>
      <c r="C3907" s="9" t="s">
        <v>40545</v>
      </c>
      <c r="D3907" s="9" t="s">
        <v>40546</v>
      </c>
      <c r="E3907" s="9" t="s">
        <v>17740</v>
      </c>
      <c r="F3907" s="9" t="s">
        <v>17741</v>
      </c>
      <c r="G3907" s="9" t="s">
        <v>17740</v>
      </c>
      <c r="H3907" s="11" t="s">
        <v>17741</v>
      </c>
      <c r="I3907" s="11" t="s">
        <v>40547</v>
      </c>
      <c r="J3907" s="11" t="s">
        <v>40547</v>
      </c>
      <c r="K3907" s="9" t="s">
        <v>31234</v>
      </c>
      <c r="L3907" s="9" t="s">
        <v>18158</v>
      </c>
      <c r="M3907" s="9" t="s">
        <v>17760</v>
      </c>
      <c r="N3907" s="9" t="s">
        <v>18185</v>
      </c>
      <c r="O3907" s="9" t="s">
        <v>17747</v>
      </c>
      <c r="P3907" s="9" t="s">
        <v>17748</v>
      </c>
      <c r="Q3907" s="11" t="s">
        <v>20251</v>
      </c>
      <c r="R3907" s="11" t="s">
        <v>20251</v>
      </c>
      <c r="S3907" s="11" t="s">
        <v>17750</v>
      </c>
    </row>
    <row r="3908" spans="1:19" x14ac:dyDescent="0.2">
      <c r="A3908" s="11" t="s">
        <v>40548</v>
      </c>
      <c r="B3908" s="9" t="s">
        <v>40549</v>
      </c>
      <c r="C3908" s="9" t="s">
        <v>40550</v>
      </c>
      <c r="D3908" s="9" t="s">
        <v>40551</v>
      </c>
      <c r="E3908" s="9" t="s">
        <v>17740</v>
      </c>
      <c r="F3908" s="9" t="s">
        <v>40552</v>
      </c>
      <c r="G3908" s="9" t="s">
        <v>17740</v>
      </c>
      <c r="H3908" s="11" t="s">
        <v>17088</v>
      </c>
      <c r="I3908" s="11" t="s">
        <v>17087</v>
      </c>
      <c r="J3908" s="11" t="s">
        <v>17087</v>
      </c>
      <c r="K3908" s="9" t="s">
        <v>40553</v>
      </c>
      <c r="L3908" s="9" t="s">
        <v>18158</v>
      </c>
      <c r="M3908" s="9" t="s">
        <v>17817</v>
      </c>
      <c r="N3908" s="9" t="s">
        <v>18185</v>
      </c>
      <c r="O3908" s="9" t="s">
        <v>17993</v>
      </c>
      <c r="P3908" s="9" t="s">
        <v>17748</v>
      </c>
      <c r="Q3908" s="11" t="s">
        <v>17909</v>
      </c>
      <c r="R3908" s="11" t="s">
        <v>17909</v>
      </c>
      <c r="S3908" s="11" t="s">
        <v>17750</v>
      </c>
    </row>
    <row r="3909" spans="1:19" x14ac:dyDescent="0.2">
      <c r="A3909" s="11" t="s">
        <v>40554</v>
      </c>
      <c r="B3909" s="9" t="s">
        <v>40555</v>
      </c>
      <c r="C3909" s="9" t="s">
        <v>40556</v>
      </c>
      <c r="D3909" s="9" t="s">
        <v>40557</v>
      </c>
      <c r="E3909" s="9" t="s">
        <v>17740</v>
      </c>
      <c r="F3909" s="9" t="s">
        <v>40558</v>
      </c>
      <c r="G3909" s="9" t="s">
        <v>17740</v>
      </c>
      <c r="H3909" s="11" t="s">
        <v>17741</v>
      </c>
      <c r="I3909" s="11" t="s">
        <v>2996</v>
      </c>
      <c r="J3909" s="11" t="s">
        <v>2996</v>
      </c>
      <c r="K3909" s="9" t="s">
        <v>28503</v>
      </c>
      <c r="L3909" s="9" t="s">
        <v>18158</v>
      </c>
      <c r="M3909" s="9" t="s">
        <v>17817</v>
      </c>
      <c r="N3909" s="9" t="s">
        <v>18185</v>
      </c>
      <c r="O3909" s="9" t="s">
        <v>40559</v>
      </c>
      <c r="P3909" s="9" t="s">
        <v>17748</v>
      </c>
      <c r="Q3909" s="11" t="s">
        <v>19335</v>
      </c>
      <c r="R3909" s="11" t="s">
        <v>19335</v>
      </c>
      <c r="S3909" s="11" t="s">
        <v>17750</v>
      </c>
    </row>
    <row r="3910" spans="1:19" x14ac:dyDescent="0.2">
      <c r="A3910" s="11" t="s">
        <v>40560</v>
      </c>
      <c r="B3910" s="9" t="s">
        <v>40561</v>
      </c>
      <c r="C3910" s="9" t="s">
        <v>40562</v>
      </c>
      <c r="D3910" s="9" t="s">
        <v>40563</v>
      </c>
      <c r="E3910" s="9" t="s">
        <v>17740</v>
      </c>
      <c r="F3910" s="9" t="s">
        <v>17741</v>
      </c>
      <c r="G3910" s="9" t="s">
        <v>17740</v>
      </c>
      <c r="H3910" s="11" t="s">
        <v>17741</v>
      </c>
      <c r="I3910" s="11" t="s">
        <v>40564</v>
      </c>
      <c r="J3910" s="11" t="s">
        <v>40564</v>
      </c>
      <c r="K3910" s="9" t="s">
        <v>40565</v>
      </c>
      <c r="L3910" s="9" t="s">
        <v>17759</v>
      </c>
      <c r="M3910" s="9" t="s">
        <v>18065</v>
      </c>
      <c r="N3910" s="9" t="s">
        <v>17746</v>
      </c>
      <c r="O3910" s="9" t="s">
        <v>37542</v>
      </c>
      <c r="P3910" s="9" t="s">
        <v>17748</v>
      </c>
      <c r="Q3910" s="11" t="s">
        <v>18147</v>
      </c>
      <c r="R3910" s="11" t="s">
        <v>18147</v>
      </c>
      <c r="S3910" s="11" t="s">
        <v>17750</v>
      </c>
    </row>
    <row r="3911" spans="1:19" x14ac:dyDescent="0.2">
      <c r="A3911" s="11" t="s">
        <v>40566</v>
      </c>
      <c r="B3911" s="9" t="s">
        <v>40567</v>
      </c>
      <c r="C3911" s="9" t="s">
        <v>40568</v>
      </c>
      <c r="D3911" s="9" t="s">
        <v>40569</v>
      </c>
      <c r="E3911" s="9" t="s">
        <v>17740</v>
      </c>
      <c r="F3911" s="9" t="s">
        <v>17741</v>
      </c>
      <c r="G3911" s="9" t="s">
        <v>17740</v>
      </c>
      <c r="H3911" s="11" t="s">
        <v>17741</v>
      </c>
      <c r="I3911" s="11" t="s">
        <v>40570</v>
      </c>
      <c r="J3911" s="11" t="s">
        <v>40570</v>
      </c>
      <c r="K3911" s="9" t="s">
        <v>39416</v>
      </c>
      <c r="L3911" s="9" t="s">
        <v>17967</v>
      </c>
      <c r="M3911" s="9" t="s">
        <v>17760</v>
      </c>
      <c r="N3911" s="9" t="s">
        <v>18492</v>
      </c>
      <c r="O3911" s="9" t="s">
        <v>40571</v>
      </c>
      <c r="P3911" s="9" t="s">
        <v>17748</v>
      </c>
      <c r="Q3911" s="11" t="s">
        <v>18440</v>
      </c>
      <c r="R3911" s="11" t="s">
        <v>18440</v>
      </c>
      <c r="S3911" s="11" t="s">
        <v>17750</v>
      </c>
    </row>
    <row r="3912" spans="1:19" x14ac:dyDescent="0.2">
      <c r="A3912" s="11" t="s">
        <v>40572</v>
      </c>
      <c r="B3912" s="9" t="s">
        <v>40573</v>
      </c>
      <c r="C3912" s="9" t="s">
        <v>40574</v>
      </c>
      <c r="D3912" s="9" t="s">
        <v>40575</v>
      </c>
      <c r="E3912" s="9" t="s">
        <v>17740</v>
      </c>
      <c r="F3912" s="9" t="s">
        <v>17741</v>
      </c>
      <c r="G3912" s="9" t="s">
        <v>17740</v>
      </c>
      <c r="H3912" s="11" t="s">
        <v>17741</v>
      </c>
      <c r="I3912" s="11" t="s">
        <v>40576</v>
      </c>
      <c r="J3912" s="11" t="s">
        <v>40576</v>
      </c>
      <c r="K3912" s="9" t="s">
        <v>39416</v>
      </c>
      <c r="L3912" s="9" t="s">
        <v>17967</v>
      </c>
      <c r="M3912" s="9" t="s">
        <v>17769</v>
      </c>
      <c r="N3912" s="9" t="s">
        <v>18492</v>
      </c>
      <c r="O3912" s="9" t="s">
        <v>17993</v>
      </c>
      <c r="P3912" s="9" t="s">
        <v>17748</v>
      </c>
      <c r="Q3912" s="11" t="s">
        <v>18178</v>
      </c>
      <c r="R3912" s="11" t="s">
        <v>18178</v>
      </c>
      <c r="S3912" s="11" t="s">
        <v>17750</v>
      </c>
    </row>
    <row r="3913" spans="1:19" x14ac:dyDescent="0.2">
      <c r="A3913" s="11" t="s">
        <v>40577</v>
      </c>
      <c r="B3913" s="9" t="s">
        <v>40578</v>
      </c>
      <c r="C3913" s="9" t="s">
        <v>40579</v>
      </c>
      <c r="D3913" s="9" t="s">
        <v>40580</v>
      </c>
      <c r="E3913" s="9" t="s">
        <v>17748</v>
      </c>
      <c r="F3913" s="9" t="s">
        <v>40581</v>
      </c>
      <c r="G3913" s="9" t="s">
        <v>17740</v>
      </c>
      <c r="H3913" s="11" t="s">
        <v>17741</v>
      </c>
      <c r="I3913" s="11" t="s">
        <v>40582</v>
      </c>
      <c r="J3913" s="11" t="s">
        <v>40582</v>
      </c>
      <c r="K3913" s="9" t="s">
        <v>40583</v>
      </c>
      <c r="L3913" s="9" t="s">
        <v>17967</v>
      </c>
      <c r="M3913" s="9" t="s">
        <v>17760</v>
      </c>
      <c r="N3913" s="9" t="s">
        <v>18492</v>
      </c>
      <c r="O3913" s="9" t="s">
        <v>3355</v>
      </c>
      <c r="P3913" s="9" t="s">
        <v>17748</v>
      </c>
      <c r="Q3913" s="11" t="s">
        <v>18272</v>
      </c>
      <c r="R3913" s="11" t="s">
        <v>18272</v>
      </c>
      <c r="S3913" s="11" t="s">
        <v>17750</v>
      </c>
    </row>
    <row r="3914" spans="1:19" x14ac:dyDescent="0.2">
      <c r="A3914" s="11" t="s">
        <v>40584</v>
      </c>
      <c r="B3914" s="9" t="s">
        <v>40585</v>
      </c>
      <c r="C3914" s="9" t="s">
        <v>40586</v>
      </c>
      <c r="D3914" s="9" t="s">
        <v>40587</v>
      </c>
      <c r="E3914" s="9" t="s">
        <v>17740</v>
      </c>
      <c r="F3914" s="9" t="s">
        <v>17741</v>
      </c>
      <c r="G3914" s="9" t="s">
        <v>17740</v>
      </c>
      <c r="H3914" s="11" t="s">
        <v>5460</v>
      </c>
      <c r="I3914" s="11" t="s">
        <v>5459</v>
      </c>
      <c r="J3914" s="11" t="s">
        <v>5459</v>
      </c>
      <c r="K3914" s="9" t="s">
        <v>17758</v>
      </c>
      <c r="L3914" s="9" t="s">
        <v>17744</v>
      </c>
      <c r="M3914" s="9" t="s">
        <v>17769</v>
      </c>
      <c r="N3914" s="9" t="s">
        <v>17746</v>
      </c>
      <c r="O3914" s="9" t="s">
        <v>18363</v>
      </c>
      <c r="P3914" s="9" t="s">
        <v>17748</v>
      </c>
      <c r="Q3914" s="11" t="s">
        <v>18080</v>
      </c>
      <c r="R3914" s="11" t="s">
        <v>18080</v>
      </c>
      <c r="S3914" s="11" t="s">
        <v>17750</v>
      </c>
    </row>
    <row r="3915" spans="1:19" x14ac:dyDescent="0.2">
      <c r="A3915" s="11" t="s">
        <v>40588</v>
      </c>
      <c r="B3915" s="9" t="s">
        <v>40589</v>
      </c>
      <c r="C3915" s="9" t="s">
        <v>40590</v>
      </c>
      <c r="D3915" s="9" t="s">
        <v>40591</v>
      </c>
      <c r="E3915" s="9" t="s">
        <v>17740</v>
      </c>
      <c r="F3915" s="9" t="s">
        <v>17741</v>
      </c>
      <c r="G3915" s="9" t="s">
        <v>17740</v>
      </c>
      <c r="H3915" s="11" t="s">
        <v>40592</v>
      </c>
      <c r="I3915" s="11" t="s">
        <v>40593</v>
      </c>
      <c r="J3915" s="11" t="s">
        <v>40593</v>
      </c>
      <c r="K3915" s="9" t="s">
        <v>40594</v>
      </c>
      <c r="L3915" s="9" t="s">
        <v>18058</v>
      </c>
      <c r="M3915" s="9" t="s">
        <v>33932</v>
      </c>
      <c r="N3915" s="9" t="s">
        <v>17746</v>
      </c>
      <c r="O3915" s="9" t="s">
        <v>39057</v>
      </c>
      <c r="P3915" s="9" t="s">
        <v>17748</v>
      </c>
      <c r="Q3915" s="11" t="s">
        <v>18584</v>
      </c>
      <c r="R3915" s="11" t="s">
        <v>18584</v>
      </c>
      <c r="S3915" s="11" t="s">
        <v>17750</v>
      </c>
    </row>
    <row r="3916" spans="1:19" x14ac:dyDescent="0.2">
      <c r="A3916" s="11" t="s">
        <v>40595</v>
      </c>
      <c r="B3916" s="9" t="s">
        <v>40596</v>
      </c>
      <c r="C3916" s="9" t="s">
        <v>40597</v>
      </c>
      <c r="D3916" s="9" t="s">
        <v>40598</v>
      </c>
      <c r="E3916" s="9" t="s">
        <v>17740</v>
      </c>
      <c r="F3916" s="9" t="s">
        <v>40599</v>
      </c>
      <c r="G3916" s="9" t="s">
        <v>17740</v>
      </c>
      <c r="H3916" s="11" t="s">
        <v>40600</v>
      </c>
      <c r="I3916" s="11" t="s">
        <v>40601</v>
      </c>
      <c r="J3916" s="11" t="s">
        <v>40601</v>
      </c>
      <c r="K3916" s="9" t="s">
        <v>40602</v>
      </c>
      <c r="L3916" s="9" t="s">
        <v>17759</v>
      </c>
      <c r="M3916" s="9" t="s">
        <v>25378</v>
      </c>
      <c r="N3916" s="9" t="s">
        <v>17746</v>
      </c>
      <c r="O3916" s="9" t="s">
        <v>18514</v>
      </c>
      <c r="P3916" s="9" t="s">
        <v>17748</v>
      </c>
      <c r="Q3916" s="11" t="s">
        <v>18243</v>
      </c>
      <c r="R3916" s="11" t="s">
        <v>18243</v>
      </c>
      <c r="S3916" s="11" t="s">
        <v>17750</v>
      </c>
    </row>
    <row r="3917" spans="1:19" x14ac:dyDescent="0.2">
      <c r="A3917" s="11" t="s">
        <v>40603</v>
      </c>
      <c r="B3917" s="9" t="s">
        <v>40604</v>
      </c>
      <c r="C3917" s="9" t="s">
        <v>40605</v>
      </c>
      <c r="D3917" s="9" t="s">
        <v>40606</v>
      </c>
      <c r="E3917" s="9" t="s">
        <v>17740</v>
      </c>
      <c r="F3917" s="9" t="s">
        <v>17741</v>
      </c>
      <c r="G3917" s="9" t="s">
        <v>17740</v>
      </c>
      <c r="H3917" s="11" t="s">
        <v>40607</v>
      </c>
      <c r="I3917" s="11" t="s">
        <v>40608</v>
      </c>
      <c r="J3917" s="11" t="s">
        <v>40608</v>
      </c>
      <c r="K3917" s="9" t="s">
        <v>25444</v>
      </c>
      <c r="L3917" s="9" t="s">
        <v>17744</v>
      </c>
      <c r="M3917" s="9" t="s">
        <v>21005</v>
      </c>
      <c r="N3917" s="9" t="s">
        <v>17746</v>
      </c>
      <c r="O3917" s="9" t="s">
        <v>18514</v>
      </c>
      <c r="P3917" s="9" t="s">
        <v>17748</v>
      </c>
      <c r="Q3917" s="11" t="s">
        <v>17792</v>
      </c>
      <c r="R3917" s="11" t="s">
        <v>17792</v>
      </c>
      <c r="S3917" s="11" t="s">
        <v>17750</v>
      </c>
    </row>
    <row r="3918" spans="1:19" x14ac:dyDescent="0.2">
      <c r="A3918" s="11" t="s">
        <v>40609</v>
      </c>
      <c r="B3918" s="9" t="s">
        <v>40610</v>
      </c>
      <c r="C3918" s="9" t="s">
        <v>40611</v>
      </c>
      <c r="D3918" s="9" t="s">
        <v>40612</v>
      </c>
      <c r="E3918" s="9" t="s">
        <v>17740</v>
      </c>
      <c r="F3918" s="9" t="s">
        <v>17741</v>
      </c>
      <c r="G3918" s="9" t="s">
        <v>17740</v>
      </c>
      <c r="H3918" s="11" t="s">
        <v>17741</v>
      </c>
      <c r="I3918" s="11" t="s">
        <v>40613</v>
      </c>
      <c r="J3918" s="11" t="s">
        <v>17741</v>
      </c>
      <c r="K3918" s="9" t="s">
        <v>40614</v>
      </c>
      <c r="L3918" s="9" t="s">
        <v>17759</v>
      </c>
      <c r="M3918" s="9" t="s">
        <v>17942</v>
      </c>
      <c r="N3918" s="9" t="s">
        <v>17746</v>
      </c>
      <c r="O3918" s="9" t="s">
        <v>40615</v>
      </c>
      <c r="P3918" s="9" t="s">
        <v>17748</v>
      </c>
      <c r="Q3918" s="11" t="s">
        <v>17883</v>
      </c>
      <c r="R3918" s="11" t="s">
        <v>17883</v>
      </c>
      <c r="S3918" s="11" t="s">
        <v>17750</v>
      </c>
    </row>
    <row r="3919" spans="1:19" x14ac:dyDescent="0.2">
      <c r="A3919" s="11" t="s">
        <v>40616</v>
      </c>
      <c r="B3919" s="9" t="s">
        <v>40617</v>
      </c>
      <c r="C3919" s="9" t="s">
        <v>40618</v>
      </c>
      <c r="D3919" s="9" t="s">
        <v>7601</v>
      </c>
      <c r="E3919" s="9" t="s">
        <v>17740</v>
      </c>
      <c r="F3919" s="9" t="s">
        <v>17741</v>
      </c>
      <c r="G3919" s="9" t="s">
        <v>17740</v>
      </c>
      <c r="H3919" s="11" t="s">
        <v>7603</v>
      </c>
      <c r="I3919" s="11" t="s">
        <v>7602</v>
      </c>
      <c r="J3919" s="11" t="s">
        <v>7602</v>
      </c>
      <c r="K3919" s="9" t="s">
        <v>40619</v>
      </c>
      <c r="L3919" s="9" t="s">
        <v>17759</v>
      </c>
      <c r="M3919" s="9" t="s">
        <v>18250</v>
      </c>
      <c r="N3919" s="9" t="s">
        <v>17746</v>
      </c>
      <c r="O3919" s="9" t="s">
        <v>23443</v>
      </c>
      <c r="P3919" s="9" t="s">
        <v>17748</v>
      </c>
      <c r="Q3919" s="11" t="s">
        <v>17808</v>
      </c>
      <c r="R3919" s="11" t="s">
        <v>17808</v>
      </c>
      <c r="S3919" s="11" t="s">
        <v>17750</v>
      </c>
    </row>
    <row r="3920" spans="1:19" x14ac:dyDescent="0.2">
      <c r="A3920" s="11" t="s">
        <v>40620</v>
      </c>
      <c r="B3920" s="9" t="s">
        <v>40621</v>
      </c>
      <c r="C3920" s="9" t="s">
        <v>40622</v>
      </c>
      <c r="D3920" s="9" t="s">
        <v>40623</v>
      </c>
      <c r="E3920" s="9" t="s">
        <v>17748</v>
      </c>
      <c r="F3920" s="9" t="s">
        <v>40624</v>
      </c>
      <c r="G3920" s="9" t="s">
        <v>17740</v>
      </c>
      <c r="H3920" s="11" t="s">
        <v>17741</v>
      </c>
      <c r="I3920" s="11" t="s">
        <v>40625</v>
      </c>
      <c r="J3920" s="11" t="s">
        <v>40625</v>
      </c>
      <c r="K3920" s="9" t="s">
        <v>40626</v>
      </c>
      <c r="L3920" s="9" t="s">
        <v>17744</v>
      </c>
      <c r="M3920" s="9" t="s">
        <v>17817</v>
      </c>
      <c r="N3920" s="9" t="s">
        <v>17746</v>
      </c>
      <c r="O3920" s="9" t="s">
        <v>32688</v>
      </c>
      <c r="P3920" s="9" t="s">
        <v>17748</v>
      </c>
      <c r="Q3920" s="11" t="s">
        <v>18922</v>
      </c>
      <c r="R3920" s="11" t="s">
        <v>18922</v>
      </c>
      <c r="S3920" s="11" t="s">
        <v>17750</v>
      </c>
    </row>
    <row r="3921" spans="1:19" x14ac:dyDescent="0.2">
      <c r="A3921" s="11" t="s">
        <v>40627</v>
      </c>
      <c r="B3921" s="9" t="s">
        <v>40628</v>
      </c>
      <c r="C3921" s="9" t="s">
        <v>40629</v>
      </c>
      <c r="D3921" s="9" t="s">
        <v>40630</v>
      </c>
      <c r="E3921" s="9" t="s">
        <v>17740</v>
      </c>
      <c r="F3921" s="9" t="s">
        <v>17741</v>
      </c>
      <c r="G3921" s="9" t="s">
        <v>17740</v>
      </c>
      <c r="H3921" s="11" t="s">
        <v>4167</v>
      </c>
      <c r="I3921" s="11" t="s">
        <v>4166</v>
      </c>
      <c r="J3921" s="11" t="s">
        <v>4166</v>
      </c>
      <c r="K3921" s="9" t="s">
        <v>17783</v>
      </c>
      <c r="L3921" s="9" t="s">
        <v>17759</v>
      </c>
      <c r="M3921" s="9" t="s">
        <v>17760</v>
      </c>
      <c r="N3921" s="9" t="s">
        <v>17746</v>
      </c>
      <c r="O3921" s="9" t="s">
        <v>40631</v>
      </c>
      <c r="P3921" s="9" t="s">
        <v>17748</v>
      </c>
      <c r="Q3921" s="11" t="s">
        <v>18059</v>
      </c>
      <c r="R3921" s="11" t="s">
        <v>18059</v>
      </c>
      <c r="S3921" s="11" t="s">
        <v>17750</v>
      </c>
    </row>
    <row r="3922" spans="1:19" x14ac:dyDescent="0.2">
      <c r="A3922" s="11" t="s">
        <v>40632</v>
      </c>
      <c r="B3922" s="9" t="s">
        <v>40633</v>
      </c>
      <c r="C3922" s="9" t="s">
        <v>40634</v>
      </c>
      <c r="D3922" s="9" t="s">
        <v>40635</v>
      </c>
      <c r="E3922" s="9" t="s">
        <v>17740</v>
      </c>
      <c r="F3922" s="9" t="s">
        <v>17741</v>
      </c>
      <c r="G3922" s="9" t="s">
        <v>17740</v>
      </c>
      <c r="H3922" s="11" t="s">
        <v>8070</v>
      </c>
      <c r="I3922" s="11" t="s">
        <v>8069</v>
      </c>
      <c r="J3922" s="11" t="s">
        <v>8069</v>
      </c>
      <c r="K3922" s="9" t="s">
        <v>601</v>
      </c>
      <c r="L3922" s="9" t="s">
        <v>17929</v>
      </c>
      <c r="M3922" s="9" t="s">
        <v>17760</v>
      </c>
      <c r="N3922" s="9" t="s">
        <v>17746</v>
      </c>
      <c r="O3922" s="9" t="s">
        <v>40636</v>
      </c>
      <c r="P3922" s="9" t="s">
        <v>17748</v>
      </c>
      <c r="Q3922" s="11" t="s">
        <v>18356</v>
      </c>
      <c r="R3922" s="11" t="s">
        <v>18356</v>
      </c>
      <c r="S3922" s="11" t="s">
        <v>17750</v>
      </c>
    </row>
    <row r="3923" spans="1:19" x14ac:dyDescent="0.2">
      <c r="A3923" s="11" t="s">
        <v>40637</v>
      </c>
      <c r="B3923" s="9" t="s">
        <v>40638</v>
      </c>
      <c r="C3923" s="9" t="s">
        <v>40639</v>
      </c>
      <c r="D3923" s="9" t="s">
        <v>40640</v>
      </c>
      <c r="E3923" s="9" t="s">
        <v>17740</v>
      </c>
      <c r="F3923" s="9" t="s">
        <v>17741</v>
      </c>
      <c r="G3923" s="9" t="s">
        <v>17740</v>
      </c>
      <c r="H3923" s="11" t="s">
        <v>9909</v>
      </c>
      <c r="I3923" s="11" t="s">
        <v>9908</v>
      </c>
      <c r="J3923" s="11" t="s">
        <v>9908</v>
      </c>
      <c r="K3923" s="9" t="s">
        <v>19180</v>
      </c>
      <c r="L3923" s="9" t="s">
        <v>17759</v>
      </c>
      <c r="M3923" s="9" t="s">
        <v>18533</v>
      </c>
      <c r="N3923" s="9" t="s">
        <v>17746</v>
      </c>
      <c r="O3923" s="9" t="s">
        <v>20988</v>
      </c>
      <c r="P3923" s="9" t="s">
        <v>17748</v>
      </c>
      <c r="Q3923" s="11" t="s">
        <v>17858</v>
      </c>
      <c r="R3923" s="11" t="s">
        <v>17858</v>
      </c>
      <c r="S3923" s="11" t="s">
        <v>17750</v>
      </c>
    </row>
    <row r="3924" spans="1:19" x14ac:dyDescent="0.2">
      <c r="A3924" s="11" t="s">
        <v>40641</v>
      </c>
      <c r="B3924" s="9" t="s">
        <v>40642</v>
      </c>
      <c r="C3924" s="9" t="s">
        <v>40643</v>
      </c>
      <c r="D3924" s="9" t="s">
        <v>20988</v>
      </c>
      <c r="E3924" s="9" t="s">
        <v>17740</v>
      </c>
      <c r="F3924" s="9" t="s">
        <v>17741</v>
      </c>
      <c r="G3924" s="9" t="s">
        <v>17740</v>
      </c>
      <c r="H3924" s="11" t="s">
        <v>2944</v>
      </c>
      <c r="I3924" s="11" t="s">
        <v>2943</v>
      </c>
      <c r="J3924" s="11" t="s">
        <v>2943</v>
      </c>
      <c r="K3924" s="9" t="s">
        <v>303</v>
      </c>
      <c r="L3924" s="9" t="s">
        <v>17759</v>
      </c>
      <c r="M3924" s="9" t="s">
        <v>17817</v>
      </c>
      <c r="N3924" s="9" t="s">
        <v>17746</v>
      </c>
      <c r="O3924" s="9" t="s">
        <v>20988</v>
      </c>
      <c r="P3924" s="9" t="s">
        <v>17748</v>
      </c>
      <c r="Q3924" s="11" t="s">
        <v>19978</v>
      </c>
      <c r="R3924" s="11" t="s">
        <v>19978</v>
      </c>
      <c r="S3924" s="11" t="s">
        <v>17750</v>
      </c>
    </row>
    <row r="3925" spans="1:19" x14ac:dyDescent="0.2">
      <c r="A3925" s="11" t="s">
        <v>40644</v>
      </c>
      <c r="B3925" s="9" t="s">
        <v>40645</v>
      </c>
      <c r="C3925" s="9" t="s">
        <v>40646</v>
      </c>
      <c r="D3925" s="9" t="s">
        <v>40647</v>
      </c>
      <c r="E3925" s="9" t="s">
        <v>17740</v>
      </c>
      <c r="F3925" s="9" t="s">
        <v>40648</v>
      </c>
      <c r="G3925" s="9" t="s">
        <v>17740</v>
      </c>
      <c r="H3925" s="11" t="s">
        <v>40649</v>
      </c>
      <c r="I3925" s="11" t="s">
        <v>40650</v>
      </c>
      <c r="J3925" s="11" t="s">
        <v>40650</v>
      </c>
      <c r="K3925" s="9" t="s">
        <v>40651</v>
      </c>
      <c r="L3925" s="9" t="s">
        <v>17744</v>
      </c>
      <c r="M3925" s="9" t="s">
        <v>17741</v>
      </c>
      <c r="N3925" s="9" t="s">
        <v>17746</v>
      </c>
      <c r="O3925" s="9" t="s">
        <v>22701</v>
      </c>
      <c r="P3925" s="9" t="s">
        <v>17748</v>
      </c>
      <c r="Q3925" s="11" t="s">
        <v>17762</v>
      </c>
      <c r="R3925" s="11" t="s">
        <v>17762</v>
      </c>
      <c r="S3925" s="11" t="s">
        <v>17750</v>
      </c>
    </row>
    <row r="3926" spans="1:19" x14ac:dyDescent="0.2">
      <c r="A3926" s="11" t="s">
        <v>40652</v>
      </c>
      <c r="B3926" s="9" t="s">
        <v>40653</v>
      </c>
      <c r="C3926" s="9" t="s">
        <v>40654</v>
      </c>
      <c r="D3926" s="9" t="s">
        <v>14014</v>
      </c>
      <c r="E3926" s="9" t="s">
        <v>17740</v>
      </c>
      <c r="F3926" s="9" t="s">
        <v>17741</v>
      </c>
      <c r="G3926" s="9" t="s">
        <v>17740</v>
      </c>
      <c r="H3926" s="11" t="s">
        <v>14016</v>
      </c>
      <c r="I3926" s="11" t="s">
        <v>14015</v>
      </c>
      <c r="J3926" s="11" t="s">
        <v>14015</v>
      </c>
      <c r="K3926" s="9" t="s">
        <v>32085</v>
      </c>
      <c r="L3926" s="9" t="s">
        <v>17744</v>
      </c>
      <c r="M3926" s="9" t="s">
        <v>17769</v>
      </c>
      <c r="N3926" s="9" t="s">
        <v>17746</v>
      </c>
      <c r="O3926" s="9" t="s">
        <v>773</v>
      </c>
      <c r="P3926" s="9" t="s">
        <v>17748</v>
      </c>
      <c r="Q3926" s="11" t="s">
        <v>17825</v>
      </c>
      <c r="R3926" s="11" t="s">
        <v>17825</v>
      </c>
      <c r="S3926" s="11" t="s">
        <v>17750</v>
      </c>
    </row>
    <row r="3927" spans="1:19" x14ac:dyDescent="0.2">
      <c r="A3927" s="11" t="s">
        <v>40655</v>
      </c>
      <c r="B3927" s="9" t="s">
        <v>40656</v>
      </c>
      <c r="C3927" s="9" t="s">
        <v>40657</v>
      </c>
      <c r="D3927" s="9" t="s">
        <v>40658</v>
      </c>
      <c r="E3927" s="9" t="s">
        <v>17740</v>
      </c>
      <c r="F3927" s="9" t="s">
        <v>40659</v>
      </c>
      <c r="G3927" s="9" t="s">
        <v>17740</v>
      </c>
      <c r="H3927" s="11" t="s">
        <v>40660</v>
      </c>
      <c r="I3927" s="11" t="s">
        <v>40661</v>
      </c>
      <c r="J3927" s="11" t="s">
        <v>40660</v>
      </c>
      <c r="K3927" s="9" t="s">
        <v>40662</v>
      </c>
      <c r="L3927" s="9" t="s">
        <v>17759</v>
      </c>
      <c r="M3927" s="9" t="s">
        <v>17760</v>
      </c>
      <c r="N3927" s="9" t="s">
        <v>17746</v>
      </c>
      <c r="O3927" s="9" t="s">
        <v>20367</v>
      </c>
      <c r="P3927" s="9" t="s">
        <v>17748</v>
      </c>
      <c r="Q3927" s="11" t="s">
        <v>17825</v>
      </c>
      <c r="R3927" s="11" t="s">
        <v>17825</v>
      </c>
      <c r="S3927" s="11" t="s">
        <v>17750</v>
      </c>
    </row>
    <row r="3928" spans="1:19" x14ac:dyDescent="0.2">
      <c r="A3928" s="11" t="s">
        <v>40663</v>
      </c>
      <c r="B3928" s="9" t="s">
        <v>40664</v>
      </c>
      <c r="C3928" s="9" t="s">
        <v>40665</v>
      </c>
      <c r="D3928" s="9" t="s">
        <v>8376</v>
      </c>
      <c r="E3928" s="9" t="s">
        <v>17740</v>
      </c>
      <c r="F3928" s="9" t="s">
        <v>17741</v>
      </c>
      <c r="G3928" s="9" t="s">
        <v>17740</v>
      </c>
      <c r="H3928" s="11" t="s">
        <v>8378</v>
      </c>
      <c r="I3928" s="11" t="s">
        <v>8377</v>
      </c>
      <c r="J3928" s="11" t="s">
        <v>8377</v>
      </c>
      <c r="K3928" s="9" t="s">
        <v>601</v>
      </c>
      <c r="L3928" s="9" t="s">
        <v>17759</v>
      </c>
      <c r="M3928" s="9" t="s">
        <v>23266</v>
      </c>
      <c r="N3928" s="9" t="s">
        <v>17746</v>
      </c>
      <c r="O3928" s="9" t="s">
        <v>773</v>
      </c>
      <c r="P3928" s="9" t="s">
        <v>17748</v>
      </c>
      <c r="Q3928" s="11" t="s">
        <v>17749</v>
      </c>
      <c r="R3928" s="11" t="s">
        <v>17749</v>
      </c>
      <c r="S3928" s="11" t="s">
        <v>17750</v>
      </c>
    </row>
    <row r="3929" spans="1:19" x14ac:dyDescent="0.2">
      <c r="A3929" s="11" t="s">
        <v>40666</v>
      </c>
      <c r="B3929" s="9" t="s">
        <v>40667</v>
      </c>
      <c r="C3929" s="9" t="s">
        <v>40668</v>
      </c>
      <c r="D3929" s="9" t="s">
        <v>40669</v>
      </c>
      <c r="E3929" s="9" t="s">
        <v>17740</v>
      </c>
      <c r="F3929" s="9" t="s">
        <v>17741</v>
      </c>
      <c r="G3929" s="9" t="s">
        <v>17740</v>
      </c>
      <c r="H3929" s="11" t="s">
        <v>17741</v>
      </c>
      <c r="I3929" s="11" t="s">
        <v>40670</v>
      </c>
      <c r="J3929" s="11" t="s">
        <v>40670</v>
      </c>
      <c r="K3929" s="9" t="s">
        <v>601</v>
      </c>
      <c r="L3929" s="9" t="s">
        <v>17759</v>
      </c>
      <c r="M3929" s="9" t="s">
        <v>17942</v>
      </c>
      <c r="N3929" s="9" t="s">
        <v>17746</v>
      </c>
      <c r="O3929" s="9" t="s">
        <v>18125</v>
      </c>
      <c r="P3929" s="9" t="s">
        <v>17748</v>
      </c>
      <c r="Q3929" s="11" t="s">
        <v>18243</v>
      </c>
      <c r="R3929" s="11" t="s">
        <v>18243</v>
      </c>
      <c r="S3929" s="11" t="s">
        <v>17750</v>
      </c>
    </row>
    <row r="3930" spans="1:19" x14ac:dyDescent="0.2">
      <c r="A3930" s="11" t="s">
        <v>40671</v>
      </c>
      <c r="B3930" s="9" t="s">
        <v>40672</v>
      </c>
      <c r="C3930" s="9" t="s">
        <v>40673</v>
      </c>
      <c r="D3930" s="9" t="s">
        <v>40674</v>
      </c>
      <c r="E3930" s="9" t="s">
        <v>17740</v>
      </c>
      <c r="F3930" s="9" t="s">
        <v>17741</v>
      </c>
      <c r="G3930" s="9" t="s">
        <v>17740</v>
      </c>
      <c r="H3930" s="11" t="s">
        <v>2938</v>
      </c>
      <c r="I3930" s="11" t="s">
        <v>2937</v>
      </c>
      <c r="J3930" s="11" t="s">
        <v>2937</v>
      </c>
      <c r="K3930" s="9" t="s">
        <v>21054</v>
      </c>
      <c r="L3930" s="9" t="s">
        <v>17759</v>
      </c>
      <c r="M3930" s="9" t="s">
        <v>17942</v>
      </c>
      <c r="N3930" s="9" t="s">
        <v>17746</v>
      </c>
      <c r="O3930" s="9" t="s">
        <v>773</v>
      </c>
      <c r="P3930" s="9" t="s">
        <v>17748</v>
      </c>
      <c r="Q3930" s="11" t="s">
        <v>21569</v>
      </c>
      <c r="R3930" s="11" t="s">
        <v>21569</v>
      </c>
      <c r="S3930" s="11" t="s">
        <v>17750</v>
      </c>
    </row>
    <row r="3931" spans="1:19" x14ac:dyDescent="0.2">
      <c r="A3931" s="11" t="s">
        <v>40675</v>
      </c>
      <c r="B3931" s="9" t="s">
        <v>40676</v>
      </c>
      <c r="C3931" s="9" t="s">
        <v>40677</v>
      </c>
      <c r="D3931" s="9" t="s">
        <v>40678</v>
      </c>
      <c r="E3931" s="9" t="s">
        <v>17740</v>
      </c>
      <c r="F3931" s="9" t="s">
        <v>17741</v>
      </c>
      <c r="G3931" s="9" t="s">
        <v>17740</v>
      </c>
      <c r="H3931" s="11" t="s">
        <v>40679</v>
      </c>
      <c r="I3931" s="11" t="s">
        <v>11692</v>
      </c>
      <c r="J3931" s="11" t="s">
        <v>11692</v>
      </c>
      <c r="K3931" s="9" t="s">
        <v>940</v>
      </c>
      <c r="L3931" s="9" t="s">
        <v>17759</v>
      </c>
      <c r="M3931" s="9" t="s">
        <v>17942</v>
      </c>
      <c r="N3931" s="9" t="s">
        <v>17746</v>
      </c>
      <c r="O3931" s="9" t="s">
        <v>22268</v>
      </c>
      <c r="P3931" s="9" t="s">
        <v>17748</v>
      </c>
      <c r="Q3931" s="11" t="s">
        <v>18341</v>
      </c>
      <c r="R3931" s="11" t="s">
        <v>18341</v>
      </c>
      <c r="S3931" s="11" t="s">
        <v>17750</v>
      </c>
    </row>
    <row r="3932" spans="1:19" x14ac:dyDescent="0.2">
      <c r="A3932" s="11" t="s">
        <v>40680</v>
      </c>
      <c r="B3932" s="9" t="s">
        <v>40681</v>
      </c>
      <c r="C3932" s="9" t="s">
        <v>40682</v>
      </c>
      <c r="D3932" s="9" t="s">
        <v>40683</v>
      </c>
      <c r="E3932" s="9" t="s">
        <v>17740</v>
      </c>
      <c r="F3932" s="9" t="s">
        <v>17741</v>
      </c>
      <c r="G3932" s="9" t="s">
        <v>17740</v>
      </c>
      <c r="H3932" s="11" t="s">
        <v>17741</v>
      </c>
      <c r="I3932" s="11" t="s">
        <v>40684</v>
      </c>
      <c r="J3932" s="11" t="s">
        <v>40684</v>
      </c>
      <c r="K3932" s="9" t="s">
        <v>18827</v>
      </c>
      <c r="L3932" s="9" t="s">
        <v>17759</v>
      </c>
      <c r="M3932" s="9" t="s">
        <v>18745</v>
      </c>
      <c r="N3932" s="9" t="s">
        <v>17746</v>
      </c>
      <c r="O3932" s="9" t="s">
        <v>773</v>
      </c>
      <c r="P3932" s="9" t="s">
        <v>17748</v>
      </c>
      <c r="Q3932" s="11" t="s">
        <v>17969</v>
      </c>
      <c r="R3932" s="11" t="s">
        <v>17969</v>
      </c>
      <c r="S3932" s="11" t="s">
        <v>17750</v>
      </c>
    </row>
    <row r="3933" spans="1:19" x14ac:dyDescent="0.2">
      <c r="A3933" s="11" t="s">
        <v>40685</v>
      </c>
      <c r="B3933" s="9" t="s">
        <v>40686</v>
      </c>
      <c r="C3933" s="9" t="s">
        <v>40687</v>
      </c>
      <c r="D3933" s="9" t="s">
        <v>40688</v>
      </c>
      <c r="E3933" s="9" t="s">
        <v>17740</v>
      </c>
      <c r="F3933" s="9" t="s">
        <v>40689</v>
      </c>
      <c r="G3933" s="9" t="s">
        <v>17740</v>
      </c>
      <c r="H3933" s="11" t="s">
        <v>17741</v>
      </c>
      <c r="I3933" s="11" t="s">
        <v>40690</v>
      </c>
      <c r="J3933" s="11" t="s">
        <v>40690</v>
      </c>
      <c r="K3933" s="9" t="s">
        <v>40691</v>
      </c>
      <c r="L3933" s="9" t="s">
        <v>18158</v>
      </c>
      <c r="M3933" s="9" t="s">
        <v>18170</v>
      </c>
      <c r="N3933" s="9" t="s">
        <v>17746</v>
      </c>
      <c r="O3933" s="9" t="s">
        <v>20056</v>
      </c>
      <c r="P3933" s="9" t="s">
        <v>17748</v>
      </c>
      <c r="Q3933" s="11" t="s">
        <v>18314</v>
      </c>
      <c r="R3933" s="11" t="s">
        <v>18314</v>
      </c>
      <c r="S3933" s="11" t="s">
        <v>17750</v>
      </c>
    </row>
    <row r="3934" spans="1:19" x14ac:dyDescent="0.2">
      <c r="A3934" s="11" t="s">
        <v>40692</v>
      </c>
      <c r="B3934" s="9" t="s">
        <v>40693</v>
      </c>
      <c r="C3934" s="9" t="s">
        <v>40694</v>
      </c>
      <c r="D3934" s="9" t="s">
        <v>40695</v>
      </c>
      <c r="E3934" s="9" t="s">
        <v>17748</v>
      </c>
      <c r="F3934" s="9" t="s">
        <v>40696</v>
      </c>
      <c r="G3934" s="9" t="s">
        <v>17740</v>
      </c>
      <c r="H3934" s="11" t="s">
        <v>17741</v>
      </c>
      <c r="I3934" s="11" t="s">
        <v>40697</v>
      </c>
      <c r="J3934" s="11" t="s">
        <v>40697</v>
      </c>
      <c r="K3934" s="9" t="s">
        <v>40698</v>
      </c>
      <c r="L3934" s="9" t="s">
        <v>17759</v>
      </c>
      <c r="M3934" s="9" t="s">
        <v>40699</v>
      </c>
      <c r="N3934" s="9" t="s">
        <v>17746</v>
      </c>
      <c r="O3934" s="9" t="s">
        <v>17848</v>
      </c>
      <c r="P3934" s="9" t="s">
        <v>17748</v>
      </c>
      <c r="Q3934" s="11" t="s">
        <v>18922</v>
      </c>
      <c r="R3934" s="11" t="s">
        <v>18922</v>
      </c>
      <c r="S3934" s="11" t="s">
        <v>17750</v>
      </c>
    </row>
    <row r="3935" spans="1:19" x14ac:dyDescent="0.2">
      <c r="A3935" s="11" t="s">
        <v>40700</v>
      </c>
      <c r="B3935" s="9" t="s">
        <v>40701</v>
      </c>
      <c r="C3935" s="9" t="s">
        <v>40702</v>
      </c>
      <c r="D3935" s="9" t="s">
        <v>40703</v>
      </c>
      <c r="E3935" s="9" t="s">
        <v>17740</v>
      </c>
      <c r="F3935" s="9" t="s">
        <v>17741</v>
      </c>
      <c r="G3935" s="9" t="s">
        <v>17740</v>
      </c>
      <c r="H3935" s="11" t="s">
        <v>17741</v>
      </c>
      <c r="I3935" s="11" t="s">
        <v>40704</v>
      </c>
      <c r="J3935" s="11" t="s">
        <v>40704</v>
      </c>
      <c r="K3935" s="9" t="s">
        <v>40705</v>
      </c>
      <c r="L3935" s="9" t="s">
        <v>17759</v>
      </c>
      <c r="M3935" s="9" t="s">
        <v>40706</v>
      </c>
      <c r="N3935" s="9" t="s">
        <v>17746</v>
      </c>
      <c r="O3935" s="9" t="s">
        <v>19275</v>
      </c>
      <c r="P3935" s="9" t="s">
        <v>17748</v>
      </c>
      <c r="Q3935" s="11" t="s">
        <v>40707</v>
      </c>
      <c r="R3935" s="11" t="s">
        <v>40707</v>
      </c>
      <c r="S3935" s="11" t="s">
        <v>17750</v>
      </c>
    </row>
    <row r="3936" spans="1:19" x14ac:dyDescent="0.2">
      <c r="A3936" s="11" t="s">
        <v>40708</v>
      </c>
      <c r="B3936" s="9" t="s">
        <v>40709</v>
      </c>
      <c r="C3936" s="9" t="s">
        <v>40710</v>
      </c>
      <c r="D3936" s="9" t="s">
        <v>40711</v>
      </c>
      <c r="E3936" s="9" t="s">
        <v>17740</v>
      </c>
      <c r="F3936" s="9" t="s">
        <v>40712</v>
      </c>
      <c r="G3936" s="9" t="s">
        <v>17740</v>
      </c>
      <c r="H3936" s="11" t="s">
        <v>17741</v>
      </c>
      <c r="I3936" s="11" t="s">
        <v>40713</v>
      </c>
      <c r="J3936" s="11" t="s">
        <v>40713</v>
      </c>
      <c r="K3936" s="9" t="s">
        <v>40714</v>
      </c>
      <c r="L3936" s="9" t="s">
        <v>17759</v>
      </c>
      <c r="M3936" s="9" t="s">
        <v>40715</v>
      </c>
      <c r="N3936" s="9" t="s">
        <v>17746</v>
      </c>
      <c r="O3936" s="9" t="s">
        <v>17993</v>
      </c>
      <c r="P3936" s="9" t="s">
        <v>17748</v>
      </c>
      <c r="Q3936" s="11" t="s">
        <v>19236</v>
      </c>
      <c r="R3936" s="11" t="s">
        <v>19236</v>
      </c>
      <c r="S3936" s="11" t="s">
        <v>17750</v>
      </c>
    </row>
    <row r="3937" spans="1:19" x14ac:dyDescent="0.2">
      <c r="A3937" s="11" t="s">
        <v>40716</v>
      </c>
      <c r="B3937" s="9" t="s">
        <v>40717</v>
      </c>
      <c r="C3937" s="9" t="s">
        <v>40718</v>
      </c>
      <c r="D3937" s="9" t="s">
        <v>40719</v>
      </c>
      <c r="E3937" s="9" t="s">
        <v>17740</v>
      </c>
      <c r="F3937" s="9" t="s">
        <v>17741</v>
      </c>
      <c r="G3937" s="9" t="s">
        <v>17740</v>
      </c>
      <c r="H3937" s="11" t="s">
        <v>17741</v>
      </c>
      <c r="I3937" s="11" t="s">
        <v>40720</v>
      </c>
      <c r="J3937" s="11" t="s">
        <v>40720</v>
      </c>
      <c r="K3937" s="9" t="s">
        <v>40721</v>
      </c>
      <c r="L3937" s="9" t="s">
        <v>17759</v>
      </c>
      <c r="M3937" s="9" t="s">
        <v>21931</v>
      </c>
      <c r="N3937" s="9" t="s">
        <v>17746</v>
      </c>
      <c r="O3937" s="9" t="s">
        <v>17800</v>
      </c>
      <c r="P3937" s="9" t="s">
        <v>17748</v>
      </c>
      <c r="Q3937" s="11" t="s">
        <v>23636</v>
      </c>
      <c r="R3937" s="11" t="s">
        <v>23636</v>
      </c>
      <c r="S3937" s="11" t="s">
        <v>17750</v>
      </c>
    </row>
    <row r="3938" spans="1:19" x14ac:dyDescent="0.2">
      <c r="A3938" s="11" t="s">
        <v>40722</v>
      </c>
      <c r="B3938" s="9" t="s">
        <v>40723</v>
      </c>
      <c r="C3938" s="9" t="s">
        <v>40724</v>
      </c>
      <c r="D3938" s="9" t="s">
        <v>40725</v>
      </c>
      <c r="E3938" s="9" t="s">
        <v>17740</v>
      </c>
      <c r="F3938" s="9" t="s">
        <v>40726</v>
      </c>
      <c r="G3938" s="9" t="s">
        <v>17740</v>
      </c>
      <c r="H3938" s="11" t="s">
        <v>40727</v>
      </c>
      <c r="I3938" s="11" t="s">
        <v>40728</v>
      </c>
      <c r="J3938" s="11" t="s">
        <v>40728</v>
      </c>
      <c r="K3938" s="9" t="s">
        <v>40729</v>
      </c>
      <c r="L3938" s="9" t="s">
        <v>18242</v>
      </c>
      <c r="M3938" s="9" t="s">
        <v>40730</v>
      </c>
      <c r="N3938" s="9" t="s">
        <v>17746</v>
      </c>
      <c r="O3938" s="9" t="s">
        <v>18746</v>
      </c>
      <c r="P3938" s="9" t="s">
        <v>17748</v>
      </c>
      <c r="Q3938" s="11" t="s">
        <v>18201</v>
      </c>
      <c r="R3938" s="11" t="s">
        <v>18201</v>
      </c>
      <c r="S3938" s="11" t="s">
        <v>17750</v>
      </c>
    </row>
    <row r="3939" spans="1:19" x14ac:dyDescent="0.2">
      <c r="A3939" s="11" t="s">
        <v>40731</v>
      </c>
      <c r="B3939" s="9" t="s">
        <v>40732</v>
      </c>
      <c r="C3939" s="9" t="s">
        <v>40733</v>
      </c>
      <c r="D3939" s="9" t="s">
        <v>40734</v>
      </c>
      <c r="E3939" s="9" t="s">
        <v>17748</v>
      </c>
      <c r="F3939" s="9" t="s">
        <v>40735</v>
      </c>
      <c r="G3939" s="9" t="s">
        <v>17740</v>
      </c>
      <c r="H3939" s="11" t="s">
        <v>8212</v>
      </c>
      <c r="I3939" s="11" t="s">
        <v>8211</v>
      </c>
      <c r="J3939" s="11" t="s">
        <v>8211</v>
      </c>
      <c r="K3939" s="9" t="s">
        <v>91</v>
      </c>
      <c r="L3939" s="9" t="s">
        <v>20359</v>
      </c>
      <c r="M3939" s="9" t="s">
        <v>40736</v>
      </c>
      <c r="N3939" s="9" t="s">
        <v>17746</v>
      </c>
      <c r="O3939" s="9" t="s">
        <v>18264</v>
      </c>
      <c r="P3939" s="9" t="s">
        <v>17748</v>
      </c>
      <c r="Q3939" s="11" t="s">
        <v>18356</v>
      </c>
      <c r="R3939" s="11" t="s">
        <v>18356</v>
      </c>
      <c r="S3939" s="11" t="s">
        <v>17750</v>
      </c>
    </row>
    <row r="3940" spans="1:19" x14ac:dyDescent="0.2">
      <c r="A3940" s="11" t="s">
        <v>40737</v>
      </c>
      <c r="B3940" s="9" t="s">
        <v>40738</v>
      </c>
      <c r="C3940" s="9" t="s">
        <v>40739</v>
      </c>
      <c r="D3940" s="9" t="s">
        <v>40740</v>
      </c>
      <c r="E3940" s="9" t="s">
        <v>17740</v>
      </c>
      <c r="F3940" s="9" t="s">
        <v>17741</v>
      </c>
      <c r="G3940" s="9" t="s">
        <v>17740</v>
      </c>
      <c r="H3940" s="11" t="s">
        <v>13408</v>
      </c>
      <c r="I3940" s="11" t="s">
        <v>17741</v>
      </c>
      <c r="J3940" s="11" t="s">
        <v>13408</v>
      </c>
      <c r="K3940" s="9" t="s">
        <v>970</v>
      </c>
      <c r="L3940" s="9" t="s">
        <v>17759</v>
      </c>
      <c r="M3940" s="9" t="s">
        <v>17769</v>
      </c>
      <c r="N3940" s="9" t="s">
        <v>17746</v>
      </c>
      <c r="O3940" s="9" t="s">
        <v>21100</v>
      </c>
      <c r="P3940" s="9" t="s">
        <v>17748</v>
      </c>
      <c r="Q3940" s="11" t="s">
        <v>17917</v>
      </c>
      <c r="R3940" s="11" t="s">
        <v>17917</v>
      </c>
      <c r="S3940" s="11" t="s">
        <v>17750</v>
      </c>
    </row>
    <row r="3941" spans="1:19" x14ac:dyDescent="0.2">
      <c r="A3941" s="11" t="s">
        <v>40741</v>
      </c>
      <c r="B3941" s="9" t="s">
        <v>40742</v>
      </c>
      <c r="C3941" s="9" t="s">
        <v>40743</v>
      </c>
      <c r="D3941" s="9" t="s">
        <v>40744</v>
      </c>
      <c r="E3941" s="9" t="s">
        <v>17740</v>
      </c>
      <c r="F3941" s="9" t="s">
        <v>17741</v>
      </c>
      <c r="G3941" s="9" t="s">
        <v>17740</v>
      </c>
      <c r="H3941" s="11" t="s">
        <v>9755</v>
      </c>
      <c r="I3941" s="11" t="s">
        <v>17741</v>
      </c>
      <c r="J3941" s="11" t="s">
        <v>9755</v>
      </c>
      <c r="K3941" s="9" t="s">
        <v>18570</v>
      </c>
      <c r="L3941" s="9" t="s">
        <v>17744</v>
      </c>
      <c r="M3941" s="9" t="s">
        <v>18745</v>
      </c>
      <c r="N3941" s="9" t="s">
        <v>17746</v>
      </c>
      <c r="O3941" s="9" t="s">
        <v>21100</v>
      </c>
      <c r="P3941" s="9" t="s">
        <v>17748</v>
      </c>
      <c r="Q3941" s="11" t="s">
        <v>18922</v>
      </c>
      <c r="R3941" s="11" t="s">
        <v>18922</v>
      </c>
      <c r="S3941" s="11" t="s">
        <v>17750</v>
      </c>
    </row>
    <row r="3942" spans="1:19" x14ac:dyDescent="0.2">
      <c r="A3942" s="11" t="s">
        <v>40745</v>
      </c>
      <c r="B3942" s="9" t="s">
        <v>40746</v>
      </c>
      <c r="C3942" s="9" t="s">
        <v>40747</v>
      </c>
      <c r="D3942" s="9" t="s">
        <v>40748</v>
      </c>
      <c r="E3942" s="9" t="s">
        <v>17740</v>
      </c>
      <c r="F3942" s="9" t="s">
        <v>17741</v>
      </c>
      <c r="G3942" s="9" t="s">
        <v>17740</v>
      </c>
      <c r="H3942" s="11" t="s">
        <v>6706</v>
      </c>
      <c r="I3942" s="11" t="s">
        <v>6705</v>
      </c>
      <c r="J3942" s="11" t="s">
        <v>6705</v>
      </c>
      <c r="K3942" s="9" t="s">
        <v>19202</v>
      </c>
      <c r="L3942" s="9" t="s">
        <v>17759</v>
      </c>
      <c r="M3942" s="9" t="s">
        <v>21722</v>
      </c>
      <c r="N3942" s="9" t="s">
        <v>17746</v>
      </c>
      <c r="O3942" s="9" t="s">
        <v>20508</v>
      </c>
      <c r="P3942" s="9" t="s">
        <v>17748</v>
      </c>
      <c r="Q3942" s="11" t="s">
        <v>19361</v>
      </c>
      <c r="R3942" s="11" t="s">
        <v>19361</v>
      </c>
      <c r="S3942" s="11" t="s">
        <v>17750</v>
      </c>
    </row>
    <row r="3943" spans="1:19" x14ac:dyDescent="0.2">
      <c r="A3943" s="11" t="s">
        <v>40749</v>
      </c>
      <c r="B3943" s="9" t="s">
        <v>40750</v>
      </c>
      <c r="C3943" s="9" t="s">
        <v>40751</v>
      </c>
      <c r="D3943" s="9" t="s">
        <v>40752</v>
      </c>
      <c r="E3943" s="9" t="s">
        <v>17740</v>
      </c>
      <c r="F3943" s="9" t="s">
        <v>17741</v>
      </c>
      <c r="G3943" s="9" t="s">
        <v>17740</v>
      </c>
      <c r="H3943" s="11" t="s">
        <v>40753</v>
      </c>
      <c r="I3943" s="11" t="s">
        <v>40754</v>
      </c>
      <c r="J3943" s="11" t="s">
        <v>40754</v>
      </c>
      <c r="K3943" s="9" t="s">
        <v>18727</v>
      </c>
      <c r="L3943" s="9" t="s">
        <v>17759</v>
      </c>
      <c r="M3943" s="9" t="s">
        <v>22815</v>
      </c>
      <c r="N3943" s="9" t="s">
        <v>17746</v>
      </c>
      <c r="O3943" s="9" t="s">
        <v>18746</v>
      </c>
      <c r="P3943" s="9" t="s">
        <v>17748</v>
      </c>
      <c r="Q3943" s="11" t="s">
        <v>17771</v>
      </c>
      <c r="R3943" s="11" t="s">
        <v>17771</v>
      </c>
      <c r="S3943" s="11" t="s">
        <v>17750</v>
      </c>
    </row>
    <row r="3944" spans="1:19" x14ac:dyDescent="0.2">
      <c r="A3944" s="11" t="s">
        <v>40755</v>
      </c>
      <c r="B3944" s="9" t="s">
        <v>40756</v>
      </c>
      <c r="C3944" s="9" t="s">
        <v>40757</v>
      </c>
      <c r="D3944" s="9" t="s">
        <v>40758</v>
      </c>
      <c r="E3944" s="9" t="s">
        <v>17740</v>
      </c>
      <c r="F3944" s="9" t="s">
        <v>17741</v>
      </c>
      <c r="G3944" s="9" t="s">
        <v>17740</v>
      </c>
      <c r="H3944" s="11" t="s">
        <v>2968</v>
      </c>
      <c r="I3944" s="11" t="s">
        <v>2967</v>
      </c>
      <c r="J3944" s="11" t="s">
        <v>2967</v>
      </c>
      <c r="K3944" s="9" t="s">
        <v>601</v>
      </c>
      <c r="L3944" s="9" t="s">
        <v>17744</v>
      </c>
      <c r="M3944" s="9" t="s">
        <v>17817</v>
      </c>
      <c r="N3944" s="9" t="s">
        <v>17746</v>
      </c>
      <c r="O3944" s="9" t="s">
        <v>25405</v>
      </c>
      <c r="P3944" s="9" t="s">
        <v>17748</v>
      </c>
      <c r="Q3944" s="11" t="s">
        <v>18059</v>
      </c>
      <c r="R3944" s="11" t="s">
        <v>18059</v>
      </c>
      <c r="S3944" s="11" t="s">
        <v>17750</v>
      </c>
    </row>
    <row r="3945" spans="1:19" x14ac:dyDescent="0.2">
      <c r="A3945" s="11" t="s">
        <v>40759</v>
      </c>
      <c r="B3945" s="9" t="s">
        <v>40760</v>
      </c>
      <c r="C3945" s="9" t="s">
        <v>40761</v>
      </c>
      <c r="D3945" s="9" t="s">
        <v>40762</v>
      </c>
      <c r="E3945" s="9" t="s">
        <v>17748</v>
      </c>
      <c r="F3945" s="9" t="s">
        <v>40763</v>
      </c>
      <c r="G3945" s="9" t="s">
        <v>17740</v>
      </c>
      <c r="H3945" s="11" t="s">
        <v>40764</v>
      </c>
      <c r="I3945" s="11" t="s">
        <v>40765</v>
      </c>
      <c r="J3945" s="11" t="s">
        <v>40765</v>
      </c>
      <c r="K3945" s="9" t="s">
        <v>20465</v>
      </c>
      <c r="L3945" s="9" t="s">
        <v>18158</v>
      </c>
      <c r="M3945" s="9" t="s">
        <v>26122</v>
      </c>
      <c r="N3945" s="9" t="s">
        <v>17746</v>
      </c>
      <c r="O3945" s="9" t="s">
        <v>28153</v>
      </c>
      <c r="P3945" s="9" t="s">
        <v>17748</v>
      </c>
      <c r="Q3945" s="11" t="s">
        <v>17808</v>
      </c>
      <c r="R3945" s="11" t="s">
        <v>17808</v>
      </c>
      <c r="S3945" s="11" t="s">
        <v>17750</v>
      </c>
    </row>
    <row r="3946" spans="1:19" x14ac:dyDescent="0.2">
      <c r="A3946" s="11" t="s">
        <v>40766</v>
      </c>
      <c r="B3946" s="9" t="s">
        <v>40767</v>
      </c>
      <c r="C3946" s="9" t="s">
        <v>40768</v>
      </c>
      <c r="D3946" s="9" t="s">
        <v>18746</v>
      </c>
      <c r="E3946" s="9" t="s">
        <v>17748</v>
      </c>
      <c r="F3946" s="9" t="s">
        <v>40769</v>
      </c>
      <c r="G3946" s="9" t="s">
        <v>17740</v>
      </c>
      <c r="H3946" s="11" t="s">
        <v>6194</v>
      </c>
      <c r="I3946" s="11" t="s">
        <v>6193</v>
      </c>
      <c r="J3946" s="11" t="s">
        <v>6193</v>
      </c>
      <c r="K3946" s="9" t="s">
        <v>2341</v>
      </c>
      <c r="L3946" s="9" t="s">
        <v>17744</v>
      </c>
      <c r="M3946" s="9" t="s">
        <v>17817</v>
      </c>
      <c r="N3946" s="9" t="s">
        <v>17746</v>
      </c>
      <c r="O3946" s="9" t="s">
        <v>18746</v>
      </c>
      <c r="P3946" s="9" t="s">
        <v>17748</v>
      </c>
      <c r="Q3946" s="11" t="s">
        <v>17808</v>
      </c>
      <c r="R3946" s="11" t="s">
        <v>17808</v>
      </c>
      <c r="S3946" s="11" t="s">
        <v>17750</v>
      </c>
    </row>
    <row r="3947" spans="1:19" x14ac:dyDescent="0.2">
      <c r="A3947" s="11" t="s">
        <v>40770</v>
      </c>
      <c r="B3947" s="9" t="s">
        <v>40771</v>
      </c>
      <c r="C3947" s="9" t="s">
        <v>40772</v>
      </c>
      <c r="D3947" s="9" t="s">
        <v>40773</v>
      </c>
      <c r="E3947" s="9" t="s">
        <v>17740</v>
      </c>
      <c r="F3947" s="9" t="s">
        <v>40774</v>
      </c>
      <c r="G3947" s="9" t="s">
        <v>17740</v>
      </c>
      <c r="H3947" s="11" t="s">
        <v>2963</v>
      </c>
      <c r="I3947" s="11" t="s">
        <v>2962</v>
      </c>
      <c r="J3947" s="11" t="s">
        <v>2962</v>
      </c>
      <c r="K3947" s="9" t="s">
        <v>970</v>
      </c>
      <c r="L3947" s="9" t="s">
        <v>20082</v>
      </c>
      <c r="M3947" s="9" t="s">
        <v>17817</v>
      </c>
      <c r="N3947" s="9" t="s">
        <v>17746</v>
      </c>
      <c r="O3947" s="9" t="s">
        <v>18264</v>
      </c>
      <c r="P3947" s="9" t="s">
        <v>17748</v>
      </c>
      <c r="Q3947" s="11" t="s">
        <v>18600</v>
      </c>
      <c r="R3947" s="11" t="s">
        <v>18600</v>
      </c>
      <c r="S3947" s="11" t="s">
        <v>17750</v>
      </c>
    </row>
    <row r="3948" spans="1:19" x14ac:dyDescent="0.2">
      <c r="A3948" s="11" t="s">
        <v>40775</v>
      </c>
      <c r="B3948" s="9" t="s">
        <v>40776</v>
      </c>
      <c r="C3948" s="9" t="s">
        <v>40777</v>
      </c>
      <c r="D3948" s="9" t="s">
        <v>40778</v>
      </c>
      <c r="E3948" s="9" t="s">
        <v>17748</v>
      </c>
      <c r="F3948" s="9" t="s">
        <v>40779</v>
      </c>
      <c r="G3948" s="9" t="s">
        <v>17740</v>
      </c>
      <c r="H3948" s="11" t="s">
        <v>7420</v>
      </c>
      <c r="I3948" s="11" t="s">
        <v>7419</v>
      </c>
      <c r="J3948" s="11" t="s">
        <v>7419</v>
      </c>
      <c r="K3948" s="9" t="s">
        <v>441</v>
      </c>
      <c r="L3948" s="9" t="s">
        <v>17759</v>
      </c>
      <c r="M3948" s="9" t="s">
        <v>17760</v>
      </c>
      <c r="N3948" s="9" t="s">
        <v>17746</v>
      </c>
      <c r="O3948" s="9" t="s">
        <v>40780</v>
      </c>
      <c r="P3948" s="9" t="s">
        <v>17748</v>
      </c>
      <c r="Q3948" s="11" t="s">
        <v>18272</v>
      </c>
      <c r="R3948" s="11" t="s">
        <v>18272</v>
      </c>
      <c r="S3948" s="11" t="s">
        <v>17750</v>
      </c>
    </row>
    <row r="3949" spans="1:19" x14ac:dyDescent="0.2">
      <c r="A3949" s="11" t="s">
        <v>40781</v>
      </c>
      <c r="B3949" s="9" t="s">
        <v>16678</v>
      </c>
      <c r="C3949" s="9" t="s">
        <v>40782</v>
      </c>
      <c r="D3949" s="9" t="s">
        <v>40783</v>
      </c>
      <c r="E3949" s="9" t="s">
        <v>17740</v>
      </c>
      <c r="F3949" s="9" t="s">
        <v>17741</v>
      </c>
      <c r="G3949" s="9" t="s">
        <v>17740</v>
      </c>
      <c r="H3949" s="11" t="s">
        <v>16679</v>
      </c>
      <c r="I3949" s="11" t="s">
        <v>17741</v>
      </c>
      <c r="J3949" s="11" t="s">
        <v>16679</v>
      </c>
      <c r="K3949" s="9" t="s">
        <v>970</v>
      </c>
      <c r="L3949" s="9" t="s">
        <v>17744</v>
      </c>
      <c r="M3949" s="9" t="s">
        <v>32424</v>
      </c>
      <c r="N3949" s="9" t="s">
        <v>17746</v>
      </c>
      <c r="O3949" s="9" t="s">
        <v>18746</v>
      </c>
      <c r="P3949" s="9" t="s">
        <v>17748</v>
      </c>
      <c r="Q3949" s="11" t="s">
        <v>17923</v>
      </c>
      <c r="R3949" s="11" t="s">
        <v>17923</v>
      </c>
      <c r="S3949" s="11" t="s">
        <v>17750</v>
      </c>
    </row>
    <row r="3950" spans="1:19" x14ac:dyDescent="0.2">
      <c r="A3950" s="11" t="s">
        <v>40784</v>
      </c>
      <c r="B3950" s="9" t="s">
        <v>40785</v>
      </c>
      <c r="C3950" s="9" t="s">
        <v>40786</v>
      </c>
      <c r="D3950" s="9" t="s">
        <v>2890</v>
      </c>
      <c r="E3950" s="9" t="s">
        <v>17740</v>
      </c>
      <c r="F3950" s="9" t="s">
        <v>17741</v>
      </c>
      <c r="G3950" s="9" t="s">
        <v>17740</v>
      </c>
      <c r="H3950" s="11" t="s">
        <v>2892</v>
      </c>
      <c r="I3950" s="11" t="s">
        <v>2891</v>
      </c>
      <c r="J3950" s="11" t="s">
        <v>2891</v>
      </c>
      <c r="K3950" s="9" t="s">
        <v>970</v>
      </c>
      <c r="L3950" s="9" t="s">
        <v>17759</v>
      </c>
      <c r="M3950" s="9" t="s">
        <v>19938</v>
      </c>
      <c r="N3950" s="9" t="s">
        <v>17746</v>
      </c>
      <c r="O3950" s="9" t="s">
        <v>19646</v>
      </c>
      <c r="P3950" s="9" t="s">
        <v>17748</v>
      </c>
      <c r="Q3950" s="11" t="s">
        <v>17808</v>
      </c>
      <c r="R3950" s="11" t="s">
        <v>17808</v>
      </c>
      <c r="S3950" s="11" t="s">
        <v>17750</v>
      </c>
    </row>
    <row r="3951" spans="1:19" x14ac:dyDescent="0.2">
      <c r="A3951" s="11" t="s">
        <v>40787</v>
      </c>
      <c r="B3951" s="9" t="s">
        <v>40788</v>
      </c>
      <c r="C3951" s="9" t="s">
        <v>40789</v>
      </c>
      <c r="D3951" s="9" t="s">
        <v>40790</v>
      </c>
      <c r="E3951" s="9" t="s">
        <v>17740</v>
      </c>
      <c r="F3951" s="9" t="s">
        <v>40791</v>
      </c>
      <c r="G3951" s="9" t="s">
        <v>17740</v>
      </c>
      <c r="H3951" s="11" t="s">
        <v>40792</v>
      </c>
      <c r="I3951" s="11" t="s">
        <v>40793</v>
      </c>
      <c r="J3951" s="11" t="s">
        <v>40793</v>
      </c>
      <c r="K3951" s="9" t="s">
        <v>17865</v>
      </c>
      <c r="L3951" s="9" t="s">
        <v>17744</v>
      </c>
      <c r="M3951" s="9" t="s">
        <v>17908</v>
      </c>
      <c r="N3951" s="9" t="s">
        <v>17746</v>
      </c>
      <c r="O3951" s="9" t="s">
        <v>23061</v>
      </c>
      <c r="P3951" s="9" t="s">
        <v>17748</v>
      </c>
      <c r="Q3951" s="11" t="s">
        <v>17792</v>
      </c>
      <c r="R3951" s="11" t="s">
        <v>17792</v>
      </c>
      <c r="S3951" s="11" t="s">
        <v>17750</v>
      </c>
    </row>
    <row r="3952" spans="1:19" x14ac:dyDescent="0.2">
      <c r="A3952" s="11" t="s">
        <v>40794</v>
      </c>
      <c r="B3952" s="9" t="s">
        <v>40795</v>
      </c>
      <c r="C3952" s="9" t="s">
        <v>40796</v>
      </c>
      <c r="D3952" s="9" t="s">
        <v>40797</v>
      </c>
      <c r="E3952" s="9" t="s">
        <v>17748</v>
      </c>
      <c r="F3952" s="9" t="s">
        <v>40798</v>
      </c>
      <c r="G3952" s="9" t="s">
        <v>17740</v>
      </c>
      <c r="H3952" s="11" t="s">
        <v>40799</v>
      </c>
      <c r="I3952" s="11" t="s">
        <v>40800</v>
      </c>
      <c r="J3952" s="11" t="s">
        <v>40800</v>
      </c>
      <c r="K3952" s="9" t="s">
        <v>17741</v>
      </c>
      <c r="L3952" s="9" t="s">
        <v>17744</v>
      </c>
      <c r="M3952" s="9" t="s">
        <v>17769</v>
      </c>
      <c r="N3952" s="9" t="s">
        <v>17746</v>
      </c>
      <c r="O3952" s="9" t="s">
        <v>23061</v>
      </c>
      <c r="P3952" s="9" t="s">
        <v>17748</v>
      </c>
      <c r="Q3952" s="11" t="s">
        <v>18089</v>
      </c>
      <c r="R3952" s="11" t="s">
        <v>18089</v>
      </c>
      <c r="S3952" s="11" t="s">
        <v>17750</v>
      </c>
    </row>
    <row r="3953" spans="1:19" x14ac:dyDescent="0.2">
      <c r="A3953" s="11" t="s">
        <v>40801</v>
      </c>
      <c r="B3953" s="9" t="s">
        <v>40802</v>
      </c>
      <c r="C3953" s="9" t="s">
        <v>40803</v>
      </c>
      <c r="D3953" s="9" t="s">
        <v>40804</v>
      </c>
      <c r="E3953" s="9" t="s">
        <v>17740</v>
      </c>
      <c r="F3953" s="9" t="s">
        <v>40805</v>
      </c>
      <c r="G3953" s="9" t="s">
        <v>17740</v>
      </c>
      <c r="H3953" s="11" t="s">
        <v>40806</v>
      </c>
      <c r="I3953" s="11" t="s">
        <v>40807</v>
      </c>
      <c r="J3953" s="11" t="s">
        <v>40807</v>
      </c>
      <c r="K3953" s="9" t="s">
        <v>724</v>
      </c>
      <c r="L3953" s="9" t="s">
        <v>17759</v>
      </c>
      <c r="M3953" s="9" t="s">
        <v>17769</v>
      </c>
      <c r="N3953" s="9" t="s">
        <v>17746</v>
      </c>
      <c r="O3953" s="9" t="s">
        <v>18088</v>
      </c>
      <c r="P3953" s="9" t="s">
        <v>17748</v>
      </c>
      <c r="Q3953" s="11" t="s">
        <v>18272</v>
      </c>
      <c r="R3953" s="11" t="s">
        <v>18272</v>
      </c>
      <c r="S3953" s="11" t="s">
        <v>17750</v>
      </c>
    </row>
    <row r="3954" spans="1:19" x14ac:dyDescent="0.2">
      <c r="A3954" s="11" t="s">
        <v>40808</v>
      </c>
      <c r="B3954" s="9" t="s">
        <v>40809</v>
      </c>
      <c r="C3954" s="9" t="s">
        <v>40810</v>
      </c>
      <c r="D3954" s="9" t="s">
        <v>40811</v>
      </c>
      <c r="E3954" s="9" t="s">
        <v>17740</v>
      </c>
      <c r="F3954" s="9" t="s">
        <v>40812</v>
      </c>
      <c r="G3954" s="9" t="s">
        <v>17740</v>
      </c>
      <c r="H3954" s="11" t="s">
        <v>40813</v>
      </c>
      <c r="I3954" s="11" t="s">
        <v>40814</v>
      </c>
      <c r="J3954" s="11" t="s">
        <v>40814</v>
      </c>
      <c r="K3954" s="9" t="s">
        <v>19094</v>
      </c>
      <c r="L3954" s="9" t="s">
        <v>17759</v>
      </c>
      <c r="M3954" s="9" t="s">
        <v>40815</v>
      </c>
      <c r="N3954" s="9" t="s">
        <v>17746</v>
      </c>
      <c r="O3954" s="9" t="s">
        <v>23061</v>
      </c>
      <c r="P3954" s="9" t="s">
        <v>17748</v>
      </c>
      <c r="Q3954" s="11" t="s">
        <v>18147</v>
      </c>
      <c r="R3954" s="11" t="s">
        <v>18147</v>
      </c>
      <c r="S3954" s="11" t="s">
        <v>17750</v>
      </c>
    </row>
    <row r="3955" spans="1:19" x14ac:dyDescent="0.2">
      <c r="A3955" s="11" t="s">
        <v>40816</v>
      </c>
      <c r="B3955" s="9" t="s">
        <v>3023</v>
      </c>
      <c r="C3955" s="9" t="s">
        <v>40817</v>
      </c>
      <c r="D3955" s="9" t="s">
        <v>3023</v>
      </c>
      <c r="E3955" s="9" t="s">
        <v>17740</v>
      </c>
      <c r="F3955" s="9" t="s">
        <v>40818</v>
      </c>
      <c r="G3955" s="9" t="s">
        <v>17740</v>
      </c>
      <c r="H3955" s="11" t="s">
        <v>3025</v>
      </c>
      <c r="I3955" s="11" t="s">
        <v>3024</v>
      </c>
      <c r="J3955" s="11" t="s">
        <v>3024</v>
      </c>
      <c r="K3955" s="9" t="s">
        <v>19094</v>
      </c>
      <c r="L3955" s="9" t="s">
        <v>17759</v>
      </c>
      <c r="M3955" s="9" t="s">
        <v>21005</v>
      </c>
      <c r="N3955" s="9" t="s">
        <v>17746</v>
      </c>
      <c r="O3955" s="9" t="s">
        <v>18035</v>
      </c>
      <c r="P3955" s="9" t="s">
        <v>17748</v>
      </c>
      <c r="Q3955" s="11" t="s">
        <v>17978</v>
      </c>
      <c r="R3955" s="11" t="s">
        <v>17978</v>
      </c>
      <c r="S3955" s="11" t="s">
        <v>17750</v>
      </c>
    </row>
    <row r="3956" spans="1:19" x14ac:dyDescent="0.2">
      <c r="A3956" s="11" t="s">
        <v>40819</v>
      </c>
      <c r="B3956" s="9" t="s">
        <v>40820</v>
      </c>
      <c r="C3956" s="9" t="s">
        <v>40821</v>
      </c>
      <c r="D3956" s="9" t="s">
        <v>40822</v>
      </c>
      <c r="E3956" s="9" t="s">
        <v>17740</v>
      </c>
      <c r="F3956" s="9" t="s">
        <v>17741</v>
      </c>
      <c r="G3956" s="9" t="s">
        <v>17740</v>
      </c>
      <c r="H3956" s="11" t="s">
        <v>2978</v>
      </c>
      <c r="I3956" s="11" t="s">
        <v>2977</v>
      </c>
      <c r="J3956" s="11" t="s">
        <v>2977</v>
      </c>
      <c r="K3956" s="9" t="s">
        <v>21054</v>
      </c>
      <c r="L3956" s="9" t="s">
        <v>17759</v>
      </c>
      <c r="M3956" s="9" t="s">
        <v>17769</v>
      </c>
      <c r="N3956" s="9" t="s">
        <v>17746</v>
      </c>
      <c r="O3956" s="9" t="s">
        <v>19646</v>
      </c>
      <c r="P3956" s="9" t="s">
        <v>17748</v>
      </c>
      <c r="Q3956" s="11" t="s">
        <v>17883</v>
      </c>
      <c r="R3956" s="11" t="s">
        <v>17883</v>
      </c>
      <c r="S3956" s="11" t="s">
        <v>17750</v>
      </c>
    </row>
    <row r="3957" spans="1:19" x14ac:dyDescent="0.2">
      <c r="A3957" s="11" t="s">
        <v>40823</v>
      </c>
      <c r="B3957" s="9" t="s">
        <v>40824</v>
      </c>
      <c r="C3957" s="9" t="s">
        <v>40825</v>
      </c>
      <c r="D3957" s="9" t="s">
        <v>40826</v>
      </c>
      <c r="E3957" s="9" t="s">
        <v>17740</v>
      </c>
      <c r="F3957" s="9" t="s">
        <v>17741</v>
      </c>
      <c r="G3957" s="9" t="s">
        <v>17740</v>
      </c>
      <c r="H3957" s="11" t="s">
        <v>15008</v>
      </c>
      <c r="I3957" s="11" t="s">
        <v>15007</v>
      </c>
      <c r="J3957" s="11" t="s">
        <v>15007</v>
      </c>
      <c r="K3957" s="9" t="s">
        <v>40827</v>
      </c>
      <c r="L3957" s="9" t="s">
        <v>20446</v>
      </c>
      <c r="M3957" s="9" t="s">
        <v>17760</v>
      </c>
      <c r="N3957" s="9" t="s">
        <v>17746</v>
      </c>
      <c r="O3957" s="9" t="s">
        <v>3255</v>
      </c>
      <c r="P3957" s="9" t="s">
        <v>17748</v>
      </c>
      <c r="Q3957" s="11" t="s">
        <v>17792</v>
      </c>
      <c r="R3957" s="11" t="s">
        <v>17792</v>
      </c>
      <c r="S3957" s="11" t="s">
        <v>17750</v>
      </c>
    </row>
    <row r="3958" spans="1:19" x14ac:dyDescent="0.2">
      <c r="A3958" s="11" t="s">
        <v>40828</v>
      </c>
      <c r="B3958" s="9" t="s">
        <v>40829</v>
      </c>
      <c r="C3958" s="9" t="s">
        <v>40830</v>
      </c>
      <c r="D3958" s="9" t="s">
        <v>40831</v>
      </c>
      <c r="E3958" s="9" t="s">
        <v>17740</v>
      </c>
      <c r="F3958" s="9" t="s">
        <v>40832</v>
      </c>
      <c r="G3958" s="9" t="s">
        <v>17740</v>
      </c>
      <c r="H3958" s="11" t="s">
        <v>17741</v>
      </c>
      <c r="I3958" s="11" t="s">
        <v>40833</v>
      </c>
      <c r="J3958" s="11" t="s">
        <v>40833</v>
      </c>
      <c r="K3958" s="9" t="s">
        <v>40834</v>
      </c>
      <c r="L3958" s="9" t="s">
        <v>33728</v>
      </c>
      <c r="M3958" s="9" t="s">
        <v>17992</v>
      </c>
      <c r="N3958" s="9" t="s">
        <v>17746</v>
      </c>
      <c r="O3958" s="9" t="s">
        <v>487</v>
      </c>
      <c r="P3958" s="9" t="s">
        <v>17748</v>
      </c>
      <c r="Q3958" s="11" t="s">
        <v>17978</v>
      </c>
      <c r="R3958" s="11" t="s">
        <v>17978</v>
      </c>
      <c r="S3958" s="11" t="s">
        <v>17750</v>
      </c>
    </row>
    <row r="3959" spans="1:19" x14ac:dyDescent="0.2">
      <c r="A3959" s="11" t="s">
        <v>40835</v>
      </c>
      <c r="B3959" s="9" t="s">
        <v>40836</v>
      </c>
      <c r="C3959" s="9" t="s">
        <v>40837</v>
      </c>
      <c r="D3959" s="9" t="s">
        <v>40836</v>
      </c>
      <c r="E3959" s="9" t="s">
        <v>17740</v>
      </c>
      <c r="F3959" s="9" t="s">
        <v>17741</v>
      </c>
      <c r="G3959" s="9" t="s">
        <v>17740</v>
      </c>
      <c r="H3959" s="11" t="s">
        <v>40838</v>
      </c>
      <c r="I3959" s="11" t="s">
        <v>40839</v>
      </c>
      <c r="J3959" s="11" t="s">
        <v>40839</v>
      </c>
      <c r="K3959" s="9" t="s">
        <v>831</v>
      </c>
      <c r="L3959" s="9" t="s">
        <v>23607</v>
      </c>
      <c r="M3959" s="9" t="s">
        <v>18533</v>
      </c>
      <c r="N3959" s="9" t="s">
        <v>17746</v>
      </c>
      <c r="O3959" s="9" t="s">
        <v>36073</v>
      </c>
      <c r="P3959" s="9" t="s">
        <v>17748</v>
      </c>
      <c r="Q3959" s="11" t="s">
        <v>18960</v>
      </c>
      <c r="R3959" s="11" t="s">
        <v>18960</v>
      </c>
      <c r="S3959" s="11" t="s">
        <v>17750</v>
      </c>
    </row>
    <row r="3960" spans="1:19" x14ac:dyDescent="0.2">
      <c r="A3960" s="11" t="s">
        <v>40840</v>
      </c>
      <c r="B3960" s="9" t="s">
        <v>40841</v>
      </c>
      <c r="C3960" s="9" t="s">
        <v>40842</v>
      </c>
      <c r="D3960" s="9" t="s">
        <v>40843</v>
      </c>
      <c r="E3960" s="9" t="s">
        <v>17748</v>
      </c>
      <c r="F3960" s="9" t="s">
        <v>40844</v>
      </c>
      <c r="G3960" s="9" t="s">
        <v>17740</v>
      </c>
      <c r="H3960" s="11" t="s">
        <v>17741</v>
      </c>
      <c r="I3960" s="11" t="s">
        <v>40845</v>
      </c>
      <c r="J3960" s="11" t="s">
        <v>40845</v>
      </c>
      <c r="K3960" s="9" t="s">
        <v>40846</v>
      </c>
      <c r="L3960" s="9" t="s">
        <v>17759</v>
      </c>
      <c r="M3960" s="9" t="s">
        <v>17760</v>
      </c>
      <c r="N3960" s="9" t="s">
        <v>17746</v>
      </c>
      <c r="O3960" s="9" t="s">
        <v>36073</v>
      </c>
      <c r="P3960" s="9" t="s">
        <v>17748</v>
      </c>
      <c r="Q3960" s="11" t="s">
        <v>18272</v>
      </c>
      <c r="R3960" s="11" t="s">
        <v>18272</v>
      </c>
      <c r="S3960" s="11" t="s">
        <v>17750</v>
      </c>
    </row>
    <row r="3961" spans="1:19" x14ac:dyDescent="0.2">
      <c r="A3961" s="11" t="s">
        <v>40847</v>
      </c>
      <c r="B3961" s="9" t="s">
        <v>40848</v>
      </c>
      <c r="C3961" s="9" t="s">
        <v>40849</v>
      </c>
      <c r="D3961" s="9" t="s">
        <v>40848</v>
      </c>
      <c r="E3961" s="9" t="s">
        <v>17748</v>
      </c>
      <c r="F3961" s="9" t="s">
        <v>40850</v>
      </c>
      <c r="G3961" s="9" t="s">
        <v>17748</v>
      </c>
      <c r="H3961" s="11" t="s">
        <v>17741</v>
      </c>
      <c r="I3961" s="11" t="s">
        <v>17741</v>
      </c>
      <c r="J3961" s="11" t="s">
        <v>17741</v>
      </c>
      <c r="K3961" s="9" t="s">
        <v>40851</v>
      </c>
      <c r="L3961" s="9" t="s">
        <v>17744</v>
      </c>
      <c r="M3961" s="9" t="s">
        <v>17741</v>
      </c>
      <c r="N3961" s="9" t="s">
        <v>17746</v>
      </c>
      <c r="O3961" s="9" t="s">
        <v>36073</v>
      </c>
      <c r="P3961" s="9" t="s">
        <v>17748</v>
      </c>
      <c r="Q3961" s="11" t="s">
        <v>18370</v>
      </c>
      <c r="R3961" s="11" t="s">
        <v>18370</v>
      </c>
      <c r="S3961" s="11" t="s">
        <v>17750</v>
      </c>
    </row>
    <row r="3962" spans="1:19" x14ac:dyDescent="0.2">
      <c r="A3962" s="11" t="s">
        <v>40852</v>
      </c>
      <c r="B3962" s="9" t="s">
        <v>40853</v>
      </c>
      <c r="C3962" s="9" t="s">
        <v>40854</v>
      </c>
      <c r="D3962" s="9" t="s">
        <v>40853</v>
      </c>
      <c r="E3962" s="9" t="s">
        <v>17740</v>
      </c>
      <c r="F3962" s="9" t="s">
        <v>17741</v>
      </c>
      <c r="G3962" s="9" t="s">
        <v>17740</v>
      </c>
      <c r="H3962" s="11" t="s">
        <v>17741</v>
      </c>
      <c r="I3962" s="11" t="s">
        <v>40855</v>
      </c>
      <c r="J3962" s="11" t="s">
        <v>40855</v>
      </c>
      <c r="K3962" s="9" t="s">
        <v>22405</v>
      </c>
      <c r="L3962" s="9" t="s">
        <v>18854</v>
      </c>
      <c r="M3962" s="9" t="s">
        <v>17769</v>
      </c>
      <c r="N3962" s="9" t="s">
        <v>20237</v>
      </c>
      <c r="O3962" s="9" t="s">
        <v>18746</v>
      </c>
      <c r="P3962" s="9" t="s">
        <v>17748</v>
      </c>
      <c r="Q3962" s="11" t="s">
        <v>20789</v>
      </c>
      <c r="R3962" s="11" t="s">
        <v>20789</v>
      </c>
      <c r="S3962" s="11" t="s">
        <v>17750</v>
      </c>
    </row>
    <row r="3963" spans="1:19" x14ac:dyDescent="0.2">
      <c r="A3963" s="11" t="s">
        <v>40856</v>
      </c>
      <c r="B3963" s="9" t="s">
        <v>40857</v>
      </c>
      <c r="C3963" s="9" t="s">
        <v>40858</v>
      </c>
      <c r="D3963" s="9" t="s">
        <v>40859</v>
      </c>
      <c r="E3963" s="9" t="s">
        <v>17748</v>
      </c>
      <c r="F3963" s="9" t="s">
        <v>40860</v>
      </c>
      <c r="G3963" s="9" t="s">
        <v>17740</v>
      </c>
      <c r="H3963" s="11" t="s">
        <v>17741</v>
      </c>
      <c r="I3963" s="11" t="s">
        <v>40861</v>
      </c>
      <c r="J3963" s="11" t="s">
        <v>40861</v>
      </c>
      <c r="K3963" s="9" t="s">
        <v>29417</v>
      </c>
      <c r="L3963" s="9" t="s">
        <v>29064</v>
      </c>
      <c r="M3963" s="9" t="s">
        <v>17769</v>
      </c>
      <c r="N3963" s="9" t="s">
        <v>20237</v>
      </c>
      <c r="O3963" s="9" t="s">
        <v>18746</v>
      </c>
      <c r="P3963" s="9" t="s">
        <v>17748</v>
      </c>
      <c r="Q3963" s="11" t="s">
        <v>17792</v>
      </c>
      <c r="R3963" s="11" t="s">
        <v>17792</v>
      </c>
      <c r="S3963" s="11" t="s">
        <v>17750</v>
      </c>
    </row>
    <row r="3964" spans="1:19" x14ac:dyDescent="0.2">
      <c r="A3964" s="11" t="s">
        <v>40862</v>
      </c>
      <c r="B3964" s="9" t="s">
        <v>40863</v>
      </c>
      <c r="C3964" s="9" t="s">
        <v>40864</v>
      </c>
      <c r="D3964" s="9" t="s">
        <v>40865</v>
      </c>
      <c r="E3964" s="9" t="s">
        <v>17740</v>
      </c>
      <c r="F3964" s="9" t="s">
        <v>17741</v>
      </c>
      <c r="G3964" s="9" t="s">
        <v>17740</v>
      </c>
      <c r="H3964" s="11" t="s">
        <v>17741</v>
      </c>
      <c r="I3964" s="11" t="s">
        <v>40866</v>
      </c>
      <c r="J3964" s="11" t="s">
        <v>40866</v>
      </c>
      <c r="K3964" s="9" t="s">
        <v>40867</v>
      </c>
      <c r="L3964" s="9" t="s">
        <v>18396</v>
      </c>
      <c r="M3964" s="9" t="s">
        <v>17760</v>
      </c>
      <c r="N3964" s="9" t="s">
        <v>39516</v>
      </c>
      <c r="O3964" s="9" t="s">
        <v>18746</v>
      </c>
      <c r="P3964" s="9" t="s">
        <v>17748</v>
      </c>
      <c r="Q3964" s="11" t="s">
        <v>20251</v>
      </c>
      <c r="R3964" s="11" t="s">
        <v>20251</v>
      </c>
      <c r="S3964" s="11" t="s">
        <v>17750</v>
      </c>
    </row>
    <row r="3965" spans="1:19" x14ac:dyDescent="0.2">
      <c r="A3965" s="11" t="s">
        <v>40868</v>
      </c>
      <c r="B3965" s="9" t="s">
        <v>40869</v>
      </c>
      <c r="C3965" s="9" t="s">
        <v>40870</v>
      </c>
      <c r="D3965" s="9" t="s">
        <v>40871</v>
      </c>
      <c r="E3965" s="9" t="s">
        <v>17740</v>
      </c>
      <c r="F3965" s="9" t="s">
        <v>40872</v>
      </c>
      <c r="G3965" s="9" t="s">
        <v>17740</v>
      </c>
      <c r="H3965" s="11" t="s">
        <v>4211</v>
      </c>
      <c r="I3965" s="11" t="s">
        <v>4210</v>
      </c>
      <c r="J3965" s="11" t="s">
        <v>4210</v>
      </c>
      <c r="K3965" s="9" t="s">
        <v>24794</v>
      </c>
      <c r="L3965" s="9" t="s">
        <v>17759</v>
      </c>
      <c r="M3965" s="9" t="s">
        <v>17760</v>
      </c>
      <c r="N3965" s="9" t="s">
        <v>17746</v>
      </c>
      <c r="O3965" s="9" t="s">
        <v>19715</v>
      </c>
      <c r="P3965" s="9" t="s">
        <v>17748</v>
      </c>
      <c r="Q3965" s="11" t="s">
        <v>18059</v>
      </c>
      <c r="R3965" s="11" t="s">
        <v>18059</v>
      </c>
      <c r="S3965" s="11" t="s">
        <v>17750</v>
      </c>
    </row>
    <row r="3966" spans="1:19" x14ac:dyDescent="0.2">
      <c r="A3966" s="11" t="s">
        <v>40873</v>
      </c>
      <c r="B3966" s="9" t="s">
        <v>40874</v>
      </c>
      <c r="C3966" s="9" t="s">
        <v>40875</v>
      </c>
      <c r="D3966" s="9" t="s">
        <v>40876</v>
      </c>
      <c r="E3966" s="9" t="s">
        <v>17740</v>
      </c>
      <c r="F3966" s="9" t="s">
        <v>40877</v>
      </c>
      <c r="G3966" s="9" t="s">
        <v>17740</v>
      </c>
      <c r="H3966" s="11" t="s">
        <v>40878</v>
      </c>
      <c r="I3966" s="11" t="s">
        <v>40879</v>
      </c>
      <c r="J3966" s="11" t="s">
        <v>40879</v>
      </c>
      <c r="K3966" s="9" t="s">
        <v>40880</v>
      </c>
      <c r="L3966" s="9" t="s">
        <v>17759</v>
      </c>
      <c r="M3966" s="9" t="s">
        <v>17817</v>
      </c>
      <c r="N3966" s="9" t="s">
        <v>17746</v>
      </c>
      <c r="O3966" s="9" t="s">
        <v>38199</v>
      </c>
      <c r="P3966" s="9" t="s">
        <v>17748</v>
      </c>
      <c r="Q3966" s="11" t="s">
        <v>21569</v>
      </c>
      <c r="R3966" s="11" t="s">
        <v>21569</v>
      </c>
      <c r="S3966" s="11" t="s">
        <v>17750</v>
      </c>
    </row>
    <row r="3967" spans="1:19" x14ac:dyDescent="0.2">
      <c r="A3967" s="11" t="s">
        <v>40881</v>
      </c>
      <c r="B3967" s="9" t="s">
        <v>40882</v>
      </c>
      <c r="C3967" s="9" t="s">
        <v>40883</v>
      </c>
      <c r="D3967" s="9" t="s">
        <v>40884</v>
      </c>
      <c r="E3967" s="9" t="s">
        <v>17740</v>
      </c>
      <c r="F3967" s="9" t="s">
        <v>40885</v>
      </c>
      <c r="G3967" s="9" t="s">
        <v>17740</v>
      </c>
      <c r="H3967" s="11" t="s">
        <v>40886</v>
      </c>
      <c r="I3967" s="11" t="s">
        <v>2953</v>
      </c>
      <c r="J3967" s="11" t="s">
        <v>2953</v>
      </c>
      <c r="K3967" s="9" t="s">
        <v>40887</v>
      </c>
      <c r="L3967" s="9" t="s">
        <v>17991</v>
      </c>
      <c r="M3967" s="9" t="s">
        <v>17817</v>
      </c>
      <c r="N3967" s="9" t="s">
        <v>17746</v>
      </c>
      <c r="O3967" s="9" t="s">
        <v>487</v>
      </c>
      <c r="P3967" s="9" t="s">
        <v>17748</v>
      </c>
      <c r="Q3967" s="11" t="s">
        <v>18470</v>
      </c>
      <c r="R3967" s="11" t="s">
        <v>18470</v>
      </c>
      <c r="S3967" s="11" t="s">
        <v>17750</v>
      </c>
    </row>
    <row r="3968" spans="1:19" x14ac:dyDescent="0.2">
      <c r="A3968" s="11" t="s">
        <v>40888</v>
      </c>
      <c r="B3968" s="9" t="s">
        <v>40889</v>
      </c>
      <c r="C3968" s="9" t="s">
        <v>40890</v>
      </c>
      <c r="D3968" s="9" t="s">
        <v>40891</v>
      </c>
      <c r="E3968" s="9" t="s">
        <v>17740</v>
      </c>
      <c r="F3968" s="9" t="s">
        <v>17741</v>
      </c>
      <c r="G3968" s="9" t="s">
        <v>17740</v>
      </c>
      <c r="H3968" s="11" t="s">
        <v>40892</v>
      </c>
      <c r="I3968" s="11" t="s">
        <v>2955</v>
      </c>
      <c r="J3968" s="11" t="s">
        <v>2955</v>
      </c>
      <c r="K3968" s="9" t="s">
        <v>1708</v>
      </c>
      <c r="L3968" s="9" t="s">
        <v>17991</v>
      </c>
      <c r="M3968" s="9" t="s">
        <v>17817</v>
      </c>
      <c r="N3968" s="9" t="s">
        <v>20424</v>
      </c>
      <c r="O3968" s="9" t="s">
        <v>20367</v>
      </c>
      <c r="P3968" s="9" t="s">
        <v>17748</v>
      </c>
      <c r="Q3968" s="11" t="s">
        <v>18470</v>
      </c>
      <c r="R3968" s="11" t="s">
        <v>18470</v>
      </c>
      <c r="S3968" s="11" t="s">
        <v>17750</v>
      </c>
    </row>
    <row r="3969" spans="1:19" x14ac:dyDescent="0.2">
      <c r="A3969" s="11" t="s">
        <v>40893</v>
      </c>
      <c r="B3969" s="9" t="s">
        <v>40894</v>
      </c>
      <c r="C3969" s="9" t="s">
        <v>40895</v>
      </c>
      <c r="D3969" s="9" t="s">
        <v>40896</v>
      </c>
      <c r="E3969" s="9" t="s">
        <v>17740</v>
      </c>
      <c r="F3969" s="9" t="s">
        <v>40897</v>
      </c>
      <c r="G3969" s="9" t="s">
        <v>17740</v>
      </c>
      <c r="H3969" s="11" t="s">
        <v>40898</v>
      </c>
      <c r="I3969" s="11" t="s">
        <v>40899</v>
      </c>
      <c r="J3969" s="11" t="s">
        <v>40899</v>
      </c>
      <c r="K3969" s="9" t="s">
        <v>1708</v>
      </c>
      <c r="L3969" s="9" t="s">
        <v>17991</v>
      </c>
      <c r="M3969" s="9" t="s">
        <v>22388</v>
      </c>
      <c r="N3969" s="9" t="s">
        <v>20424</v>
      </c>
      <c r="O3969" s="9" t="s">
        <v>18035</v>
      </c>
      <c r="P3969" s="9" t="s">
        <v>17748</v>
      </c>
      <c r="Q3969" s="11" t="s">
        <v>18010</v>
      </c>
      <c r="R3969" s="11" t="s">
        <v>18010</v>
      </c>
      <c r="S3969" s="11" t="s">
        <v>17750</v>
      </c>
    </row>
    <row r="3970" spans="1:19" x14ac:dyDescent="0.2">
      <c r="A3970" s="11" t="s">
        <v>40900</v>
      </c>
      <c r="B3970" s="9" t="s">
        <v>40901</v>
      </c>
      <c r="C3970" s="9" t="s">
        <v>40902</v>
      </c>
      <c r="D3970" s="9" t="s">
        <v>40903</v>
      </c>
      <c r="E3970" s="9" t="s">
        <v>17740</v>
      </c>
      <c r="F3970" s="9" t="s">
        <v>17741</v>
      </c>
      <c r="G3970" s="9" t="s">
        <v>17740</v>
      </c>
      <c r="H3970" s="11" t="s">
        <v>10075</v>
      </c>
      <c r="I3970" s="11" t="s">
        <v>10074</v>
      </c>
      <c r="J3970" s="11" t="s">
        <v>10074</v>
      </c>
      <c r="K3970" s="9" t="s">
        <v>30196</v>
      </c>
      <c r="L3970" s="9" t="s">
        <v>17991</v>
      </c>
      <c r="M3970" s="9" t="s">
        <v>17760</v>
      </c>
      <c r="N3970" s="9" t="s">
        <v>17746</v>
      </c>
      <c r="O3970" s="9" t="s">
        <v>1535</v>
      </c>
      <c r="P3970" s="9" t="s">
        <v>17748</v>
      </c>
      <c r="Q3970" s="11" t="s">
        <v>19026</v>
      </c>
      <c r="R3970" s="11" t="s">
        <v>19026</v>
      </c>
      <c r="S3970" s="11" t="s">
        <v>17750</v>
      </c>
    </row>
    <row r="3971" spans="1:19" x14ac:dyDescent="0.2">
      <c r="A3971" s="11" t="s">
        <v>40904</v>
      </c>
      <c r="B3971" s="9" t="s">
        <v>40905</v>
      </c>
      <c r="C3971" s="9" t="s">
        <v>40906</v>
      </c>
      <c r="D3971" s="9" t="s">
        <v>40907</v>
      </c>
      <c r="E3971" s="9" t="s">
        <v>17740</v>
      </c>
      <c r="F3971" s="9" t="s">
        <v>40908</v>
      </c>
      <c r="G3971" s="9" t="s">
        <v>17740</v>
      </c>
      <c r="H3971" s="11" t="s">
        <v>5944</v>
      </c>
      <c r="I3971" s="11" t="s">
        <v>5943</v>
      </c>
      <c r="J3971" s="11" t="s">
        <v>5943</v>
      </c>
      <c r="K3971" s="9" t="s">
        <v>30196</v>
      </c>
      <c r="L3971" s="9" t="s">
        <v>17991</v>
      </c>
      <c r="M3971" s="9" t="s">
        <v>17760</v>
      </c>
      <c r="N3971" s="9" t="s">
        <v>17746</v>
      </c>
      <c r="O3971" s="9" t="s">
        <v>40909</v>
      </c>
      <c r="P3971" s="9" t="s">
        <v>17748</v>
      </c>
      <c r="Q3971" s="11" t="s">
        <v>18080</v>
      </c>
      <c r="R3971" s="11" t="s">
        <v>18080</v>
      </c>
      <c r="S3971" s="11" t="s">
        <v>17750</v>
      </c>
    </row>
    <row r="3972" spans="1:19" x14ac:dyDescent="0.2">
      <c r="A3972" s="11" t="s">
        <v>40910</v>
      </c>
      <c r="B3972" s="9" t="s">
        <v>40911</v>
      </c>
      <c r="C3972" s="9" t="s">
        <v>40912</v>
      </c>
      <c r="D3972" s="9" t="s">
        <v>40913</v>
      </c>
      <c r="E3972" s="9" t="s">
        <v>17740</v>
      </c>
      <c r="F3972" s="9" t="s">
        <v>40914</v>
      </c>
      <c r="G3972" s="9" t="s">
        <v>17740</v>
      </c>
      <c r="H3972" s="11" t="s">
        <v>40915</v>
      </c>
      <c r="I3972" s="11" t="s">
        <v>2960</v>
      </c>
      <c r="J3972" s="11" t="s">
        <v>2960</v>
      </c>
      <c r="K3972" s="9" t="s">
        <v>40916</v>
      </c>
      <c r="L3972" s="9" t="s">
        <v>17991</v>
      </c>
      <c r="M3972" s="9" t="s">
        <v>22360</v>
      </c>
      <c r="N3972" s="9" t="s">
        <v>20424</v>
      </c>
      <c r="O3972" s="9" t="s">
        <v>23443</v>
      </c>
      <c r="P3972" s="9" t="s">
        <v>17748</v>
      </c>
      <c r="Q3972" s="11" t="s">
        <v>18440</v>
      </c>
      <c r="R3972" s="11" t="s">
        <v>18440</v>
      </c>
      <c r="S3972" s="11" t="s">
        <v>17750</v>
      </c>
    </row>
    <row r="3973" spans="1:19" x14ac:dyDescent="0.2">
      <c r="A3973" s="11" t="s">
        <v>40917</v>
      </c>
      <c r="B3973" s="9" t="s">
        <v>40918</v>
      </c>
      <c r="C3973" s="9" t="s">
        <v>40919</v>
      </c>
      <c r="D3973" s="9" t="s">
        <v>40920</v>
      </c>
      <c r="E3973" s="9" t="s">
        <v>17740</v>
      </c>
      <c r="F3973" s="9" t="s">
        <v>17741</v>
      </c>
      <c r="G3973" s="9" t="s">
        <v>17740</v>
      </c>
      <c r="H3973" s="11" t="s">
        <v>40921</v>
      </c>
      <c r="I3973" s="11" t="s">
        <v>2965</v>
      </c>
      <c r="J3973" s="11" t="s">
        <v>2965</v>
      </c>
      <c r="K3973" s="9" t="s">
        <v>1708</v>
      </c>
      <c r="L3973" s="9" t="s">
        <v>17991</v>
      </c>
      <c r="M3973" s="9" t="s">
        <v>22360</v>
      </c>
      <c r="N3973" s="9" t="s">
        <v>20424</v>
      </c>
      <c r="O3973" s="9" t="s">
        <v>17993</v>
      </c>
      <c r="P3973" s="9" t="s">
        <v>17748</v>
      </c>
      <c r="Q3973" s="11" t="s">
        <v>18584</v>
      </c>
      <c r="R3973" s="11" t="s">
        <v>18584</v>
      </c>
      <c r="S3973" s="11" t="s">
        <v>17750</v>
      </c>
    </row>
    <row r="3974" spans="1:19" x14ac:dyDescent="0.2">
      <c r="A3974" s="11" t="s">
        <v>40922</v>
      </c>
      <c r="B3974" s="9" t="s">
        <v>40923</v>
      </c>
      <c r="C3974" s="9" t="s">
        <v>40924</v>
      </c>
      <c r="D3974" s="9" t="s">
        <v>40925</v>
      </c>
      <c r="E3974" s="9" t="s">
        <v>17740</v>
      </c>
      <c r="F3974" s="9" t="s">
        <v>40926</v>
      </c>
      <c r="G3974" s="9" t="s">
        <v>17740</v>
      </c>
      <c r="H3974" s="11" t="s">
        <v>40927</v>
      </c>
      <c r="I3974" s="11" t="s">
        <v>2970</v>
      </c>
      <c r="J3974" s="11" t="s">
        <v>2970</v>
      </c>
      <c r="K3974" s="9" t="s">
        <v>40918</v>
      </c>
      <c r="L3974" s="9" t="s">
        <v>17991</v>
      </c>
      <c r="M3974" s="9" t="s">
        <v>22559</v>
      </c>
      <c r="N3974" s="9" t="s">
        <v>20424</v>
      </c>
      <c r="O3974" s="9" t="s">
        <v>3355</v>
      </c>
      <c r="P3974" s="9" t="s">
        <v>17748</v>
      </c>
      <c r="Q3974" s="11" t="s">
        <v>18440</v>
      </c>
      <c r="R3974" s="11" t="s">
        <v>18440</v>
      </c>
      <c r="S3974" s="11" t="s">
        <v>17750</v>
      </c>
    </row>
    <row r="3975" spans="1:19" x14ac:dyDescent="0.2">
      <c r="A3975" s="11" t="s">
        <v>40928</v>
      </c>
      <c r="B3975" s="9" t="s">
        <v>40929</v>
      </c>
      <c r="C3975" s="9" t="s">
        <v>40930</v>
      </c>
      <c r="D3975" s="9" t="s">
        <v>40931</v>
      </c>
      <c r="E3975" s="9" t="s">
        <v>17740</v>
      </c>
      <c r="F3975" s="9" t="s">
        <v>17741</v>
      </c>
      <c r="G3975" s="9" t="s">
        <v>17740</v>
      </c>
      <c r="H3975" s="11" t="s">
        <v>2975</v>
      </c>
      <c r="I3975" s="11" t="s">
        <v>40932</v>
      </c>
      <c r="J3975" s="11" t="s">
        <v>40932</v>
      </c>
      <c r="K3975" s="9" t="s">
        <v>1708</v>
      </c>
      <c r="L3975" s="9" t="s">
        <v>17991</v>
      </c>
      <c r="M3975" s="9" t="s">
        <v>17817</v>
      </c>
      <c r="N3975" s="9" t="s">
        <v>20424</v>
      </c>
      <c r="O3975" s="9" t="s">
        <v>18340</v>
      </c>
      <c r="P3975" s="9" t="s">
        <v>17748</v>
      </c>
      <c r="Q3975" s="11" t="s">
        <v>19978</v>
      </c>
      <c r="R3975" s="11" t="s">
        <v>19978</v>
      </c>
      <c r="S3975" s="11" t="s">
        <v>17750</v>
      </c>
    </row>
    <row r="3976" spans="1:19" x14ac:dyDescent="0.2">
      <c r="A3976" s="11" t="s">
        <v>40933</v>
      </c>
      <c r="B3976" s="9" t="s">
        <v>40934</v>
      </c>
      <c r="C3976" s="9" t="s">
        <v>40935</v>
      </c>
      <c r="D3976" s="9" t="s">
        <v>40936</v>
      </c>
      <c r="E3976" s="9" t="s">
        <v>17740</v>
      </c>
      <c r="F3976" s="9" t="s">
        <v>40937</v>
      </c>
      <c r="G3976" s="9" t="s">
        <v>17740</v>
      </c>
      <c r="H3976" s="11" t="s">
        <v>17741</v>
      </c>
      <c r="I3976" s="11" t="s">
        <v>3031</v>
      </c>
      <c r="J3976" s="11" t="s">
        <v>3031</v>
      </c>
      <c r="K3976" s="9" t="s">
        <v>30196</v>
      </c>
      <c r="L3976" s="9" t="s">
        <v>17991</v>
      </c>
      <c r="M3976" s="9" t="s">
        <v>17760</v>
      </c>
      <c r="N3976" s="9" t="s">
        <v>20424</v>
      </c>
      <c r="O3976" s="9" t="s">
        <v>33169</v>
      </c>
      <c r="P3976" s="9" t="s">
        <v>17748</v>
      </c>
      <c r="Q3976" s="11" t="s">
        <v>18341</v>
      </c>
      <c r="R3976" s="11" t="s">
        <v>18341</v>
      </c>
      <c r="S3976" s="11" t="s">
        <v>17750</v>
      </c>
    </row>
    <row r="3977" spans="1:19" x14ac:dyDescent="0.2">
      <c r="A3977" s="11" t="s">
        <v>40938</v>
      </c>
      <c r="B3977" s="9" t="s">
        <v>40939</v>
      </c>
      <c r="C3977" s="9" t="s">
        <v>40940</v>
      </c>
      <c r="D3977" s="9" t="s">
        <v>40941</v>
      </c>
      <c r="E3977" s="9" t="s">
        <v>17740</v>
      </c>
      <c r="F3977" s="9" t="s">
        <v>17741</v>
      </c>
      <c r="G3977" s="9" t="s">
        <v>17740</v>
      </c>
      <c r="H3977" s="11" t="s">
        <v>9792</v>
      </c>
      <c r="I3977" s="11" t="s">
        <v>9791</v>
      </c>
      <c r="J3977" s="11" t="s">
        <v>9791</v>
      </c>
      <c r="K3977" s="9" t="s">
        <v>20956</v>
      </c>
      <c r="L3977" s="9" t="s">
        <v>18001</v>
      </c>
      <c r="M3977" s="9" t="s">
        <v>40942</v>
      </c>
      <c r="N3977" s="9" t="s">
        <v>17746</v>
      </c>
      <c r="O3977" s="9" t="s">
        <v>17882</v>
      </c>
      <c r="P3977" s="9" t="s">
        <v>17748</v>
      </c>
      <c r="Q3977" s="11" t="s">
        <v>18922</v>
      </c>
      <c r="R3977" s="11" t="s">
        <v>18922</v>
      </c>
      <c r="S3977" s="11" t="s">
        <v>17750</v>
      </c>
    </row>
    <row r="3978" spans="1:19" x14ac:dyDescent="0.2">
      <c r="A3978" s="11" t="s">
        <v>40943</v>
      </c>
      <c r="B3978" s="9" t="s">
        <v>40944</v>
      </c>
      <c r="C3978" s="9" t="s">
        <v>40945</v>
      </c>
      <c r="D3978" s="9" t="s">
        <v>40946</v>
      </c>
      <c r="E3978" s="9" t="s">
        <v>17740</v>
      </c>
      <c r="F3978" s="9" t="s">
        <v>40947</v>
      </c>
      <c r="G3978" s="9" t="s">
        <v>17740</v>
      </c>
      <c r="H3978" s="11" t="s">
        <v>7139</v>
      </c>
      <c r="I3978" s="11" t="s">
        <v>7138</v>
      </c>
      <c r="J3978" s="11" t="s">
        <v>7138</v>
      </c>
      <c r="K3978" s="9" t="s">
        <v>291</v>
      </c>
      <c r="L3978" s="9" t="s">
        <v>17744</v>
      </c>
      <c r="M3978" s="9" t="s">
        <v>17769</v>
      </c>
      <c r="N3978" s="9" t="s">
        <v>17746</v>
      </c>
      <c r="O3978" s="9" t="s">
        <v>39655</v>
      </c>
      <c r="P3978" s="9" t="s">
        <v>17748</v>
      </c>
      <c r="Q3978" s="11" t="s">
        <v>18201</v>
      </c>
      <c r="R3978" s="11" t="s">
        <v>18201</v>
      </c>
      <c r="S3978" s="11" t="s">
        <v>17750</v>
      </c>
    </row>
    <row r="3979" spans="1:19" x14ac:dyDescent="0.2">
      <c r="A3979" s="11" t="s">
        <v>40948</v>
      </c>
      <c r="B3979" s="9" t="s">
        <v>40949</v>
      </c>
      <c r="C3979" s="9" t="s">
        <v>40950</v>
      </c>
      <c r="D3979" s="9" t="s">
        <v>40951</v>
      </c>
      <c r="E3979" s="9" t="s">
        <v>17740</v>
      </c>
      <c r="F3979" s="9" t="s">
        <v>17741</v>
      </c>
      <c r="G3979" s="9" t="s">
        <v>17740</v>
      </c>
      <c r="H3979" s="11" t="s">
        <v>17741</v>
      </c>
      <c r="I3979" s="11" t="s">
        <v>40952</v>
      </c>
      <c r="J3979" s="11" t="s">
        <v>40952</v>
      </c>
      <c r="K3979" s="9" t="s">
        <v>40953</v>
      </c>
      <c r="L3979" s="9" t="s">
        <v>17759</v>
      </c>
      <c r="M3979" s="9" t="s">
        <v>17817</v>
      </c>
      <c r="N3979" s="9" t="s">
        <v>17746</v>
      </c>
      <c r="O3979" s="9" t="s">
        <v>17993</v>
      </c>
      <c r="P3979" s="9" t="s">
        <v>17748</v>
      </c>
      <c r="Q3979" s="11" t="s">
        <v>18419</v>
      </c>
      <c r="R3979" s="11" t="s">
        <v>18419</v>
      </c>
      <c r="S3979" s="11" t="s">
        <v>17750</v>
      </c>
    </row>
    <row r="3980" spans="1:19" x14ac:dyDescent="0.2">
      <c r="A3980" s="11" t="s">
        <v>40954</v>
      </c>
      <c r="B3980" s="9" t="s">
        <v>40955</v>
      </c>
      <c r="C3980" s="9" t="s">
        <v>40956</v>
      </c>
      <c r="D3980" s="9" t="s">
        <v>40957</v>
      </c>
      <c r="E3980" s="9" t="s">
        <v>17740</v>
      </c>
      <c r="F3980" s="9" t="s">
        <v>17741</v>
      </c>
      <c r="G3980" s="9" t="s">
        <v>17740</v>
      </c>
      <c r="H3980" s="11" t="s">
        <v>17741</v>
      </c>
      <c r="I3980" s="11" t="s">
        <v>40958</v>
      </c>
      <c r="J3980" s="11" t="s">
        <v>40958</v>
      </c>
      <c r="K3980" s="9" t="s">
        <v>40959</v>
      </c>
      <c r="L3980" s="9" t="s">
        <v>17759</v>
      </c>
      <c r="M3980" s="9" t="s">
        <v>40960</v>
      </c>
      <c r="N3980" s="9" t="s">
        <v>17746</v>
      </c>
      <c r="O3980" s="9" t="s">
        <v>17800</v>
      </c>
      <c r="P3980" s="9" t="s">
        <v>17748</v>
      </c>
      <c r="Q3980" s="11" t="s">
        <v>40961</v>
      </c>
      <c r="R3980" s="11" t="s">
        <v>40961</v>
      </c>
      <c r="S3980" s="11" t="s">
        <v>17750</v>
      </c>
    </row>
    <row r="3981" spans="1:19" x14ac:dyDescent="0.2">
      <c r="A3981" s="11" t="s">
        <v>40962</v>
      </c>
      <c r="B3981" s="9" t="s">
        <v>40963</v>
      </c>
      <c r="C3981" s="9" t="s">
        <v>40964</v>
      </c>
      <c r="D3981" s="9" t="s">
        <v>40965</v>
      </c>
      <c r="E3981" s="9" t="s">
        <v>17740</v>
      </c>
      <c r="F3981" s="9" t="s">
        <v>40966</v>
      </c>
      <c r="G3981" s="9" t="s">
        <v>17740</v>
      </c>
      <c r="H3981" s="11" t="s">
        <v>17741</v>
      </c>
      <c r="I3981" s="11" t="s">
        <v>40967</v>
      </c>
      <c r="J3981" s="11" t="s">
        <v>40967</v>
      </c>
      <c r="K3981" s="9" t="s">
        <v>40968</v>
      </c>
      <c r="L3981" s="9" t="s">
        <v>17759</v>
      </c>
      <c r="M3981" s="9" t="s">
        <v>40969</v>
      </c>
      <c r="N3981" s="9" t="s">
        <v>17746</v>
      </c>
      <c r="O3981" s="9" t="s">
        <v>17993</v>
      </c>
      <c r="P3981" s="9" t="s">
        <v>17748</v>
      </c>
      <c r="Q3981" s="11" t="s">
        <v>18470</v>
      </c>
      <c r="R3981" s="11" t="s">
        <v>18470</v>
      </c>
      <c r="S3981" s="11" t="s">
        <v>17750</v>
      </c>
    </row>
    <row r="3982" spans="1:19" x14ac:dyDescent="0.2">
      <c r="A3982" s="11" t="s">
        <v>40970</v>
      </c>
      <c r="B3982" s="9" t="s">
        <v>40971</v>
      </c>
      <c r="C3982" s="9" t="s">
        <v>40972</v>
      </c>
      <c r="D3982" s="9" t="s">
        <v>40973</v>
      </c>
      <c r="E3982" s="9" t="s">
        <v>17740</v>
      </c>
      <c r="F3982" s="9" t="s">
        <v>17741</v>
      </c>
      <c r="G3982" s="9" t="s">
        <v>17740</v>
      </c>
      <c r="H3982" s="11" t="s">
        <v>17741</v>
      </c>
      <c r="I3982" s="11" t="s">
        <v>40974</v>
      </c>
      <c r="J3982" s="11" t="s">
        <v>40974</v>
      </c>
      <c r="K3982" s="9" t="s">
        <v>40975</v>
      </c>
      <c r="L3982" s="9" t="s">
        <v>17759</v>
      </c>
      <c r="M3982" s="9" t="s">
        <v>17769</v>
      </c>
      <c r="N3982" s="9" t="s">
        <v>17746</v>
      </c>
      <c r="O3982" s="9" t="s">
        <v>17800</v>
      </c>
      <c r="P3982" s="9" t="s">
        <v>17748</v>
      </c>
      <c r="Q3982" s="11" t="s">
        <v>20789</v>
      </c>
      <c r="R3982" s="11" t="s">
        <v>20789</v>
      </c>
      <c r="S3982" s="11" t="s">
        <v>17750</v>
      </c>
    </row>
    <row r="3983" spans="1:19" x14ac:dyDescent="0.2">
      <c r="A3983" s="11" t="s">
        <v>40976</v>
      </c>
      <c r="B3983" s="9" t="s">
        <v>12840</v>
      </c>
      <c r="C3983" s="9" t="s">
        <v>40977</v>
      </c>
      <c r="D3983" s="9" t="s">
        <v>12840</v>
      </c>
      <c r="E3983" s="9" t="s">
        <v>17748</v>
      </c>
      <c r="F3983" s="9" t="s">
        <v>40978</v>
      </c>
      <c r="G3983" s="9" t="s">
        <v>17740</v>
      </c>
      <c r="H3983" s="11" t="s">
        <v>12842</v>
      </c>
      <c r="I3983" s="11" t="s">
        <v>12841</v>
      </c>
      <c r="J3983" s="11" t="s">
        <v>12841</v>
      </c>
      <c r="K3983" s="9" t="s">
        <v>291</v>
      </c>
      <c r="L3983" s="9" t="s">
        <v>17744</v>
      </c>
      <c r="M3983" s="9" t="s">
        <v>17769</v>
      </c>
      <c r="N3983" s="9" t="s">
        <v>17746</v>
      </c>
      <c r="O3983" s="9" t="s">
        <v>18762</v>
      </c>
      <c r="P3983" s="9" t="s">
        <v>17748</v>
      </c>
      <c r="Q3983" s="11" t="s">
        <v>18370</v>
      </c>
      <c r="R3983" s="11" t="s">
        <v>18370</v>
      </c>
      <c r="S3983" s="11" t="s">
        <v>17750</v>
      </c>
    </row>
    <row r="3984" spans="1:19" x14ac:dyDescent="0.2">
      <c r="A3984" s="11" t="s">
        <v>40979</v>
      </c>
      <c r="B3984" s="9" t="s">
        <v>8993</v>
      </c>
      <c r="C3984" s="9" t="s">
        <v>40980</v>
      </c>
      <c r="D3984" s="9" t="s">
        <v>8993</v>
      </c>
      <c r="E3984" s="9" t="s">
        <v>17740</v>
      </c>
      <c r="F3984" s="9" t="s">
        <v>17741</v>
      </c>
      <c r="G3984" s="9" t="s">
        <v>17740</v>
      </c>
      <c r="H3984" s="11" t="s">
        <v>8995</v>
      </c>
      <c r="I3984" s="11" t="s">
        <v>8994</v>
      </c>
      <c r="J3984" s="11" t="s">
        <v>8994</v>
      </c>
      <c r="K3984" s="9" t="s">
        <v>18661</v>
      </c>
      <c r="L3984" s="9" t="s">
        <v>18001</v>
      </c>
      <c r="M3984" s="9" t="s">
        <v>17769</v>
      </c>
      <c r="N3984" s="9" t="s">
        <v>17746</v>
      </c>
      <c r="O3984" s="9" t="s">
        <v>18125</v>
      </c>
      <c r="P3984" s="9" t="s">
        <v>17748</v>
      </c>
      <c r="Q3984" s="11" t="s">
        <v>18922</v>
      </c>
      <c r="R3984" s="11" t="s">
        <v>18922</v>
      </c>
      <c r="S3984" s="11" t="s">
        <v>17750</v>
      </c>
    </row>
    <row r="3985" spans="1:19" x14ac:dyDescent="0.2">
      <c r="A3985" s="11" t="s">
        <v>40981</v>
      </c>
      <c r="B3985" s="9" t="s">
        <v>40982</v>
      </c>
      <c r="C3985" s="9" t="s">
        <v>40983</v>
      </c>
      <c r="D3985" s="9" t="s">
        <v>40984</v>
      </c>
      <c r="E3985" s="9" t="s">
        <v>17740</v>
      </c>
      <c r="F3985" s="9" t="s">
        <v>17741</v>
      </c>
      <c r="G3985" s="9" t="s">
        <v>17740</v>
      </c>
      <c r="H3985" s="11" t="s">
        <v>17741</v>
      </c>
      <c r="I3985" s="11" t="s">
        <v>40985</v>
      </c>
      <c r="J3985" s="11" t="s">
        <v>40985</v>
      </c>
      <c r="K3985" s="9" t="s">
        <v>40986</v>
      </c>
      <c r="L3985" s="9" t="s">
        <v>17759</v>
      </c>
      <c r="M3985" s="9" t="s">
        <v>17817</v>
      </c>
      <c r="N3985" s="9" t="s">
        <v>17746</v>
      </c>
      <c r="O3985" s="9" t="s">
        <v>20498</v>
      </c>
      <c r="P3985" s="9" t="s">
        <v>17748</v>
      </c>
      <c r="Q3985" s="11" t="s">
        <v>17867</v>
      </c>
      <c r="R3985" s="11" t="s">
        <v>17867</v>
      </c>
      <c r="S3985" s="11" t="s">
        <v>17750</v>
      </c>
    </row>
    <row r="3986" spans="1:19" x14ac:dyDescent="0.2">
      <c r="A3986" s="11" t="s">
        <v>40987</v>
      </c>
      <c r="B3986" s="9" t="s">
        <v>40988</v>
      </c>
      <c r="C3986" s="9" t="s">
        <v>40989</v>
      </c>
      <c r="D3986" s="9" t="s">
        <v>40990</v>
      </c>
      <c r="E3986" s="9" t="s">
        <v>17748</v>
      </c>
      <c r="F3986" s="9" t="s">
        <v>40991</v>
      </c>
      <c r="G3986" s="9" t="s">
        <v>17740</v>
      </c>
      <c r="H3986" s="11" t="s">
        <v>17741</v>
      </c>
      <c r="I3986" s="11" t="s">
        <v>8306</v>
      </c>
      <c r="J3986" s="11" t="s">
        <v>8306</v>
      </c>
      <c r="K3986" s="9" t="s">
        <v>37296</v>
      </c>
      <c r="L3986" s="9" t="s">
        <v>18158</v>
      </c>
      <c r="M3986" s="9" t="s">
        <v>23186</v>
      </c>
      <c r="N3986" s="9" t="s">
        <v>18185</v>
      </c>
      <c r="O3986" s="9" t="s">
        <v>17993</v>
      </c>
      <c r="P3986" s="9" t="s">
        <v>17748</v>
      </c>
      <c r="Q3986" s="11" t="s">
        <v>18356</v>
      </c>
      <c r="R3986" s="11" t="s">
        <v>18356</v>
      </c>
      <c r="S3986" s="11" t="s">
        <v>17750</v>
      </c>
    </row>
    <row r="3987" spans="1:19" x14ac:dyDescent="0.2">
      <c r="A3987" s="11" t="s">
        <v>40992</v>
      </c>
      <c r="B3987" s="9" t="s">
        <v>40993</v>
      </c>
      <c r="C3987" s="9" t="s">
        <v>40994</v>
      </c>
      <c r="D3987" s="9" t="s">
        <v>40995</v>
      </c>
      <c r="E3987" s="9" t="s">
        <v>17740</v>
      </c>
      <c r="F3987" s="9" t="s">
        <v>40996</v>
      </c>
      <c r="G3987" s="9" t="s">
        <v>17740</v>
      </c>
      <c r="H3987" s="11" t="s">
        <v>40997</v>
      </c>
      <c r="I3987" s="11" t="s">
        <v>40998</v>
      </c>
      <c r="J3987" s="11" t="s">
        <v>40998</v>
      </c>
      <c r="K3987" s="9" t="s">
        <v>40999</v>
      </c>
      <c r="L3987" s="9" t="s">
        <v>17759</v>
      </c>
      <c r="M3987" s="9" t="s">
        <v>23186</v>
      </c>
      <c r="N3987" s="9" t="s">
        <v>17746</v>
      </c>
      <c r="O3987" s="9" t="s">
        <v>41000</v>
      </c>
      <c r="P3987" s="9" t="s">
        <v>17748</v>
      </c>
      <c r="Q3987" s="11" t="s">
        <v>19026</v>
      </c>
      <c r="R3987" s="11" t="s">
        <v>19026</v>
      </c>
      <c r="S3987" s="11" t="s">
        <v>17750</v>
      </c>
    </row>
    <row r="3988" spans="1:19" x14ac:dyDescent="0.2">
      <c r="A3988" s="11" t="s">
        <v>41001</v>
      </c>
      <c r="B3988" s="9" t="s">
        <v>41002</v>
      </c>
      <c r="C3988" s="9" t="s">
        <v>41003</v>
      </c>
      <c r="D3988" s="9" t="s">
        <v>41004</v>
      </c>
      <c r="E3988" s="9" t="s">
        <v>17740</v>
      </c>
      <c r="F3988" s="9" t="s">
        <v>41005</v>
      </c>
      <c r="G3988" s="9" t="s">
        <v>17740</v>
      </c>
      <c r="H3988" s="11" t="s">
        <v>41006</v>
      </c>
      <c r="I3988" s="11" t="s">
        <v>41007</v>
      </c>
      <c r="J3988" s="11" t="s">
        <v>41007</v>
      </c>
      <c r="K3988" s="9" t="s">
        <v>41008</v>
      </c>
      <c r="L3988" s="9" t="s">
        <v>17759</v>
      </c>
      <c r="M3988" s="9" t="s">
        <v>17942</v>
      </c>
      <c r="N3988" s="9" t="s">
        <v>17746</v>
      </c>
      <c r="O3988" s="9" t="s">
        <v>41000</v>
      </c>
      <c r="P3988" s="9" t="s">
        <v>17748</v>
      </c>
      <c r="Q3988" s="11" t="s">
        <v>17819</v>
      </c>
      <c r="R3988" s="11" t="s">
        <v>17819</v>
      </c>
      <c r="S3988" s="11" t="s">
        <v>17750</v>
      </c>
    </row>
    <row r="3989" spans="1:19" x14ac:dyDescent="0.2">
      <c r="A3989" s="11" t="s">
        <v>41009</v>
      </c>
      <c r="B3989" s="9" t="s">
        <v>41010</v>
      </c>
      <c r="C3989" s="9" t="s">
        <v>41011</v>
      </c>
      <c r="D3989" s="9" t="s">
        <v>41012</v>
      </c>
      <c r="E3989" s="9" t="s">
        <v>17740</v>
      </c>
      <c r="F3989" s="9" t="s">
        <v>41013</v>
      </c>
      <c r="G3989" s="9" t="s">
        <v>17740</v>
      </c>
      <c r="H3989" s="11" t="s">
        <v>17741</v>
      </c>
      <c r="I3989" s="11" t="s">
        <v>41014</v>
      </c>
      <c r="J3989" s="11" t="s">
        <v>41014</v>
      </c>
      <c r="K3989" s="9" t="s">
        <v>41015</v>
      </c>
      <c r="L3989" s="9" t="s">
        <v>17759</v>
      </c>
      <c r="M3989" s="9" t="s">
        <v>23186</v>
      </c>
      <c r="N3989" s="9" t="s">
        <v>17746</v>
      </c>
      <c r="O3989" s="9" t="s">
        <v>17848</v>
      </c>
      <c r="P3989" s="9" t="s">
        <v>17748</v>
      </c>
      <c r="Q3989" s="11" t="s">
        <v>18600</v>
      </c>
      <c r="R3989" s="11" t="s">
        <v>18600</v>
      </c>
      <c r="S3989" s="11" t="s">
        <v>17750</v>
      </c>
    </row>
    <row r="3990" spans="1:19" x14ac:dyDescent="0.2">
      <c r="A3990" s="11" t="s">
        <v>41016</v>
      </c>
      <c r="B3990" s="9" t="s">
        <v>41017</v>
      </c>
      <c r="C3990" s="9" t="s">
        <v>41018</v>
      </c>
      <c r="D3990" s="9" t="s">
        <v>41019</v>
      </c>
      <c r="E3990" s="9" t="s">
        <v>17740</v>
      </c>
      <c r="F3990" s="9" t="s">
        <v>17741</v>
      </c>
      <c r="G3990" s="9" t="s">
        <v>17740</v>
      </c>
      <c r="H3990" s="11" t="s">
        <v>6395</v>
      </c>
      <c r="I3990" s="11" t="s">
        <v>6394</v>
      </c>
      <c r="J3990" s="11" t="s">
        <v>6394</v>
      </c>
      <c r="K3990" s="9" t="s">
        <v>19584</v>
      </c>
      <c r="L3990" s="9" t="s">
        <v>17759</v>
      </c>
      <c r="M3990" s="9" t="s">
        <v>17817</v>
      </c>
      <c r="N3990" s="9" t="s">
        <v>17746</v>
      </c>
      <c r="O3990" s="9" t="s">
        <v>19521</v>
      </c>
      <c r="P3990" s="9" t="s">
        <v>17748</v>
      </c>
      <c r="Q3990" s="11" t="s">
        <v>18678</v>
      </c>
      <c r="R3990" s="11" t="s">
        <v>18678</v>
      </c>
      <c r="S3990" s="11" t="s">
        <v>17750</v>
      </c>
    </row>
    <row r="3991" spans="1:19" x14ac:dyDescent="0.2">
      <c r="A3991" s="11" t="s">
        <v>41020</v>
      </c>
      <c r="B3991" s="9" t="s">
        <v>41021</v>
      </c>
      <c r="C3991" s="9" t="s">
        <v>41022</v>
      </c>
      <c r="D3991" s="9" t="s">
        <v>41023</v>
      </c>
      <c r="E3991" s="9" t="s">
        <v>17740</v>
      </c>
      <c r="F3991" s="9" t="s">
        <v>41024</v>
      </c>
      <c r="G3991" s="9" t="s">
        <v>17740</v>
      </c>
      <c r="H3991" s="11" t="s">
        <v>8746</v>
      </c>
      <c r="I3991" s="11" t="s">
        <v>8745</v>
      </c>
      <c r="J3991" s="11" t="s">
        <v>8745</v>
      </c>
      <c r="K3991" s="9" t="s">
        <v>41025</v>
      </c>
      <c r="L3991" s="9" t="s">
        <v>18242</v>
      </c>
      <c r="M3991" s="9" t="s">
        <v>18065</v>
      </c>
      <c r="N3991" s="9" t="s">
        <v>17746</v>
      </c>
      <c r="O3991" s="9" t="s">
        <v>18534</v>
      </c>
      <c r="P3991" s="9" t="s">
        <v>17748</v>
      </c>
      <c r="Q3991" s="11" t="s">
        <v>17784</v>
      </c>
      <c r="R3991" s="11" t="s">
        <v>17784</v>
      </c>
      <c r="S3991" s="11" t="s">
        <v>17750</v>
      </c>
    </row>
    <row r="3992" spans="1:19" x14ac:dyDescent="0.2">
      <c r="A3992" s="11" t="s">
        <v>41026</v>
      </c>
      <c r="B3992" s="9" t="s">
        <v>41027</v>
      </c>
      <c r="C3992" s="9" t="s">
        <v>41028</v>
      </c>
      <c r="D3992" s="9" t="s">
        <v>41029</v>
      </c>
      <c r="E3992" s="9" t="s">
        <v>17748</v>
      </c>
      <c r="F3992" s="9" t="s">
        <v>41030</v>
      </c>
      <c r="G3992" s="9" t="s">
        <v>17740</v>
      </c>
      <c r="H3992" s="11" t="s">
        <v>41031</v>
      </c>
      <c r="I3992" s="11" t="s">
        <v>41032</v>
      </c>
      <c r="J3992" s="11" t="s">
        <v>41032</v>
      </c>
      <c r="K3992" s="9" t="s">
        <v>41033</v>
      </c>
      <c r="L3992" s="9" t="s">
        <v>17759</v>
      </c>
      <c r="M3992" s="9" t="s">
        <v>17778</v>
      </c>
      <c r="N3992" s="9" t="s">
        <v>17746</v>
      </c>
      <c r="O3992" s="9" t="s">
        <v>41034</v>
      </c>
      <c r="P3992" s="9" t="s">
        <v>17748</v>
      </c>
      <c r="Q3992" s="11" t="s">
        <v>17984</v>
      </c>
      <c r="R3992" s="11" t="s">
        <v>17984</v>
      </c>
      <c r="S3992" s="11" t="s">
        <v>17750</v>
      </c>
    </row>
    <row r="3993" spans="1:19" x14ac:dyDescent="0.2">
      <c r="A3993" s="11" t="s">
        <v>41035</v>
      </c>
      <c r="B3993" s="9" t="s">
        <v>41036</v>
      </c>
      <c r="C3993" s="9" t="s">
        <v>41037</v>
      </c>
      <c r="D3993" s="9" t="s">
        <v>41038</v>
      </c>
      <c r="E3993" s="9" t="s">
        <v>17740</v>
      </c>
      <c r="F3993" s="9" t="s">
        <v>17741</v>
      </c>
      <c r="G3993" s="9" t="s">
        <v>17740</v>
      </c>
      <c r="H3993" s="11" t="s">
        <v>9869</v>
      </c>
      <c r="I3993" s="11" t="s">
        <v>9868</v>
      </c>
      <c r="J3993" s="11" t="s">
        <v>9868</v>
      </c>
      <c r="K3993" s="9" t="s">
        <v>34223</v>
      </c>
      <c r="L3993" s="9" t="s">
        <v>17759</v>
      </c>
      <c r="M3993" s="9" t="s">
        <v>17817</v>
      </c>
      <c r="N3993" s="9" t="s">
        <v>17746</v>
      </c>
      <c r="O3993" s="9" t="s">
        <v>41039</v>
      </c>
      <c r="P3993" s="9" t="s">
        <v>17748</v>
      </c>
      <c r="Q3993" s="11" t="s">
        <v>17994</v>
      </c>
      <c r="R3993" s="11" t="s">
        <v>17994</v>
      </c>
      <c r="S3993" s="11" t="s">
        <v>17750</v>
      </c>
    </row>
    <row r="3994" spans="1:19" x14ac:dyDescent="0.2">
      <c r="A3994" s="11" t="s">
        <v>41040</v>
      </c>
      <c r="B3994" s="9" t="s">
        <v>41041</v>
      </c>
      <c r="C3994" s="9" t="s">
        <v>41042</v>
      </c>
      <c r="D3994" s="9" t="s">
        <v>41043</v>
      </c>
      <c r="E3994" s="9" t="s">
        <v>17740</v>
      </c>
      <c r="F3994" s="9" t="s">
        <v>17741</v>
      </c>
      <c r="G3994" s="9" t="s">
        <v>17740</v>
      </c>
      <c r="H3994" s="11" t="s">
        <v>2886</v>
      </c>
      <c r="I3994" s="11" t="s">
        <v>2885</v>
      </c>
      <c r="J3994" s="11" t="s">
        <v>2885</v>
      </c>
      <c r="K3994" s="9" t="s">
        <v>22128</v>
      </c>
      <c r="L3994" s="9" t="s">
        <v>18001</v>
      </c>
      <c r="M3994" s="9" t="s">
        <v>38323</v>
      </c>
      <c r="N3994" s="9" t="s">
        <v>17746</v>
      </c>
      <c r="O3994" s="9" t="s">
        <v>41044</v>
      </c>
      <c r="P3994" s="9" t="s">
        <v>17748</v>
      </c>
      <c r="Q3994" s="11" t="s">
        <v>19222</v>
      </c>
      <c r="R3994" s="11" t="s">
        <v>19222</v>
      </c>
      <c r="S3994" s="11" t="s">
        <v>17750</v>
      </c>
    </row>
    <row r="3995" spans="1:19" x14ac:dyDescent="0.2">
      <c r="A3995" s="11" t="s">
        <v>41045</v>
      </c>
      <c r="B3995" s="9" t="s">
        <v>41046</v>
      </c>
      <c r="C3995" s="9" t="s">
        <v>41047</v>
      </c>
      <c r="D3995" s="9" t="s">
        <v>41048</v>
      </c>
      <c r="E3995" s="9" t="s">
        <v>17740</v>
      </c>
      <c r="F3995" s="9" t="s">
        <v>41049</v>
      </c>
      <c r="G3995" s="9" t="s">
        <v>17740</v>
      </c>
      <c r="H3995" s="11" t="s">
        <v>2889</v>
      </c>
      <c r="I3995" s="11" t="s">
        <v>2888</v>
      </c>
      <c r="J3995" s="11" t="s">
        <v>2888</v>
      </c>
      <c r="K3995" s="9" t="s">
        <v>21011</v>
      </c>
      <c r="L3995" s="9" t="s">
        <v>18001</v>
      </c>
      <c r="M3995" s="9" t="s">
        <v>41050</v>
      </c>
      <c r="N3995" s="9" t="s">
        <v>17746</v>
      </c>
      <c r="O3995" s="9" t="s">
        <v>41039</v>
      </c>
      <c r="P3995" s="9" t="s">
        <v>17748</v>
      </c>
      <c r="Q3995" s="11" t="s">
        <v>18243</v>
      </c>
      <c r="R3995" s="11" t="s">
        <v>18243</v>
      </c>
      <c r="S3995" s="11" t="s">
        <v>17750</v>
      </c>
    </row>
    <row r="3996" spans="1:19" x14ac:dyDescent="0.2">
      <c r="A3996" s="11" t="s">
        <v>41051</v>
      </c>
      <c r="B3996" s="9" t="s">
        <v>41052</v>
      </c>
      <c r="C3996" s="9" t="s">
        <v>41053</v>
      </c>
      <c r="D3996" s="9" t="s">
        <v>41054</v>
      </c>
      <c r="E3996" s="9" t="s">
        <v>17740</v>
      </c>
      <c r="F3996" s="9" t="s">
        <v>17741</v>
      </c>
      <c r="G3996" s="9" t="s">
        <v>17740</v>
      </c>
      <c r="H3996" s="11" t="s">
        <v>2895</v>
      </c>
      <c r="I3996" s="11" t="s">
        <v>2894</v>
      </c>
      <c r="J3996" s="11" t="s">
        <v>2894</v>
      </c>
      <c r="K3996" s="9" t="s">
        <v>441</v>
      </c>
      <c r="L3996" s="9" t="s">
        <v>17759</v>
      </c>
      <c r="M3996" s="9" t="s">
        <v>18720</v>
      </c>
      <c r="N3996" s="9" t="s">
        <v>17746</v>
      </c>
      <c r="O3996" s="9" t="s">
        <v>19917</v>
      </c>
      <c r="P3996" s="9" t="s">
        <v>17748</v>
      </c>
      <c r="Q3996" s="11" t="s">
        <v>18433</v>
      </c>
      <c r="R3996" s="11" t="s">
        <v>18433</v>
      </c>
      <c r="S3996" s="11" t="s">
        <v>17750</v>
      </c>
    </row>
    <row r="3997" spans="1:19" x14ac:dyDescent="0.2">
      <c r="A3997" s="11" t="s">
        <v>41055</v>
      </c>
      <c r="B3997" s="9" t="s">
        <v>41056</v>
      </c>
      <c r="C3997" s="9" t="s">
        <v>41057</v>
      </c>
      <c r="D3997" s="9" t="s">
        <v>41058</v>
      </c>
      <c r="E3997" s="9" t="s">
        <v>17740</v>
      </c>
      <c r="F3997" s="9" t="s">
        <v>17741</v>
      </c>
      <c r="G3997" s="9" t="s">
        <v>17740</v>
      </c>
      <c r="H3997" s="11" t="s">
        <v>2898</v>
      </c>
      <c r="I3997" s="11" t="s">
        <v>2897</v>
      </c>
      <c r="J3997" s="11" t="s">
        <v>2897</v>
      </c>
      <c r="K3997" s="9" t="s">
        <v>18512</v>
      </c>
      <c r="L3997" s="9" t="s">
        <v>21771</v>
      </c>
      <c r="M3997" s="9" t="s">
        <v>41059</v>
      </c>
      <c r="N3997" s="9" t="s">
        <v>17746</v>
      </c>
      <c r="O3997" s="9" t="s">
        <v>41060</v>
      </c>
      <c r="P3997" s="9" t="s">
        <v>17748</v>
      </c>
      <c r="Q3997" s="11" t="s">
        <v>17771</v>
      </c>
      <c r="R3997" s="11" t="s">
        <v>17771</v>
      </c>
      <c r="S3997" s="11" t="s">
        <v>17750</v>
      </c>
    </row>
    <row r="3998" spans="1:19" x14ac:dyDescent="0.2">
      <c r="A3998" s="11" t="s">
        <v>41061</v>
      </c>
      <c r="B3998" s="9" t="s">
        <v>41062</v>
      </c>
      <c r="C3998" s="9" t="s">
        <v>41063</v>
      </c>
      <c r="D3998" s="9" t="s">
        <v>41064</v>
      </c>
      <c r="E3998" s="9" t="s">
        <v>17740</v>
      </c>
      <c r="F3998" s="9" t="s">
        <v>17741</v>
      </c>
      <c r="G3998" s="9" t="s">
        <v>17740</v>
      </c>
      <c r="H3998" s="11" t="s">
        <v>5629</v>
      </c>
      <c r="I3998" s="11" t="s">
        <v>5628</v>
      </c>
      <c r="J3998" s="11" t="s">
        <v>5628</v>
      </c>
      <c r="K3998" s="9" t="s">
        <v>601</v>
      </c>
      <c r="L3998" s="9" t="s">
        <v>17759</v>
      </c>
      <c r="M3998" s="9" t="s">
        <v>17817</v>
      </c>
      <c r="N3998" s="9" t="s">
        <v>17746</v>
      </c>
      <c r="O3998" s="9" t="s">
        <v>24531</v>
      </c>
      <c r="P3998" s="9" t="s">
        <v>17748</v>
      </c>
      <c r="Q3998" s="11" t="s">
        <v>17749</v>
      </c>
      <c r="R3998" s="11" t="s">
        <v>17749</v>
      </c>
      <c r="S3998" s="11" t="s">
        <v>17750</v>
      </c>
    </row>
    <row r="3999" spans="1:19" x14ac:dyDescent="0.2">
      <c r="A3999" s="11" t="s">
        <v>41065</v>
      </c>
      <c r="B3999" s="9" t="s">
        <v>41066</v>
      </c>
      <c r="C3999" s="9" t="s">
        <v>41067</v>
      </c>
      <c r="D3999" s="9" t="s">
        <v>41068</v>
      </c>
      <c r="E3999" s="9" t="s">
        <v>17740</v>
      </c>
      <c r="F3999" s="9" t="s">
        <v>17741</v>
      </c>
      <c r="G3999" s="9" t="s">
        <v>17740</v>
      </c>
      <c r="H3999" s="11" t="s">
        <v>5954</v>
      </c>
      <c r="I3999" s="11" t="s">
        <v>5953</v>
      </c>
      <c r="J3999" s="11" t="s">
        <v>5953</v>
      </c>
      <c r="K3999" s="9" t="s">
        <v>601</v>
      </c>
      <c r="L3999" s="9" t="s">
        <v>17744</v>
      </c>
      <c r="M3999" s="9" t="s">
        <v>18065</v>
      </c>
      <c r="N3999" s="9" t="s">
        <v>17746</v>
      </c>
      <c r="O3999" s="9" t="s">
        <v>41069</v>
      </c>
      <c r="P3999" s="9" t="s">
        <v>17748</v>
      </c>
      <c r="Q3999" s="11" t="s">
        <v>18364</v>
      </c>
      <c r="R3999" s="11" t="s">
        <v>18364</v>
      </c>
      <c r="S3999" s="11" t="s">
        <v>17750</v>
      </c>
    </row>
    <row r="4000" spans="1:19" x14ac:dyDescent="0.2">
      <c r="A4000" s="11" t="s">
        <v>41070</v>
      </c>
      <c r="B4000" s="9" t="s">
        <v>41071</v>
      </c>
      <c r="C4000" s="9" t="s">
        <v>41072</v>
      </c>
      <c r="D4000" s="9" t="s">
        <v>41073</v>
      </c>
      <c r="E4000" s="9" t="s">
        <v>17740</v>
      </c>
      <c r="F4000" s="9" t="s">
        <v>17741</v>
      </c>
      <c r="G4000" s="9" t="s">
        <v>17740</v>
      </c>
      <c r="H4000" s="11" t="s">
        <v>2872</v>
      </c>
      <c r="I4000" s="11" t="s">
        <v>2871</v>
      </c>
      <c r="J4000" s="11" t="s">
        <v>2871</v>
      </c>
      <c r="K4000" s="9" t="s">
        <v>18661</v>
      </c>
      <c r="L4000" s="9" t="s">
        <v>17744</v>
      </c>
      <c r="M4000" s="9" t="s">
        <v>17769</v>
      </c>
      <c r="N4000" s="9" t="s">
        <v>17746</v>
      </c>
      <c r="O4000" s="9" t="s">
        <v>22268</v>
      </c>
      <c r="P4000" s="9" t="s">
        <v>17748</v>
      </c>
      <c r="Q4000" s="11" t="s">
        <v>18608</v>
      </c>
      <c r="R4000" s="11" t="s">
        <v>18608</v>
      </c>
      <c r="S4000" s="11" t="s">
        <v>17750</v>
      </c>
    </row>
    <row r="4001" spans="1:19" x14ac:dyDescent="0.2">
      <c r="A4001" s="11" t="s">
        <v>41074</v>
      </c>
      <c r="B4001" s="9" t="s">
        <v>41075</v>
      </c>
      <c r="C4001" s="9" t="s">
        <v>41076</v>
      </c>
      <c r="D4001" s="9" t="s">
        <v>41077</v>
      </c>
      <c r="E4001" s="9" t="s">
        <v>17740</v>
      </c>
      <c r="F4001" s="9" t="s">
        <v>17741</v>
      </c>
      <c r="G4001" s="9" t="s">
        <v>17740</v>
      </c>
      <c r="H4001" s="11" t="s">
        <v>2883</v>
      </c>
      <c r="I4001" s="11" t="s">
        <v>2882</v>
      </c>
      <c r="J4001" s="11" t="s">
        <v>2882</v>
      </c>
      <c r="K4001" s="9" t="s">
        <v>55</v>
      </c>
      <c r="L4001" s="9" t="s">
        <v>17759</v>
      </c>
      <c r="M4001" s="9" t="s">
        <v>23266</v>
      </c>
      <c r="N4001" s="9" t="s">
        <v>17746</v>
      </c>
      <c r="O4001" s="9" t="s">
        <v>22268</v>
      </c>
      <c r="P4001" s="9" t="s">
        <v>17748</v>
      </c>
      <c r="Q4001" s="11" t="s">
        <v>17978</v>
      </c>
      <c r="R4001" s="11" t="s">
        <v>17978</v>
      </c>
      <c r="S4001" s="11" t="s">
        <v>17750</v>
      </c>
    </row>
    <row r="4002" spans="1:19" x14ac:dyDescent="0.2">
      <c r="A4002" s="11" t="s">
        <v>41078</v>
      </c>
      <c r="B4002" s="9" t="s">
        <v>41079</v>
      </c>
      <c r="C4002" s="9" t="s">
        <v>41080</v>
      </c>
      <c r="D4002" s="9" t="s">
        <v>41081</v>
      </c>
      <c r="E4002" s="9" t="s">
        <v>17740</v>
      </c>
      <c r="F4002" s="9" t="s">
        <v>41082</v>
      </c>
      <c r="G4002" s="9" t="s">
        <v>17740</v>
      </c>
      <c r="H4002" s="11" t="s">
        <v>5890</v>
      </c>
      <c r="I4002" s="11" t="s">
        <v>5889</v>
      </c>
      <c r="J4002" s="11" t="s">
        <v>5889</v>
      </c>
      <c r="K4002" s="9" t="s">
        <v>5891</v>
      </c>
      <c r="L4002" s="9" t="s">
        <v>17759</v>
      </c>
      <c r="M4002" s="9" t="s">
        <v>24071</v>
      </c>
      <c r="N4002" s="9" t="s">
        <v>17746</v>
      </c>
      <c r="O4002" s="9" t="s">
        <v>19917</v>
      </c>
      <c r="P4002" s="9" t="s">
        <v>17748</v>
      </c>
      <c r="Q4002" s="11" t="s">
        <v>18147</v>
      </c>
      <c r="R4002" s="11" t="s">
        <v>18147</v>
      </c>
      <c r="S4002" s="11" t="s">
        <v>17750</v>
      </c>
    </row>
    <row r="4003" spans="1:19" x14ac:dyDescent="0.2">
      <c r="A4003" s="11" t="s">
        <v>41083</v>
      </c>
      <c r="B4003" s="9" t="s">
        <v>41084</v>
      </c>
      <c r="C4003" s="9" t="s">
        <v>41085</v>
      </c>
      <c r="D4003" s="9" t="s">
        <v>41086</v>
      </c>
      <c r="E4003" s="9" t="s">
        <v>17740</v>
      </c>
      <c r="F4003" s="9" t="s">
        <v>17741</v>
      </c>
      <c r="G4003" s="9" t="s">
        <v>17740</v>
      </c>
      <c r="H4003" s="11" t="s">
        <v>6946</v>
      </c>
      <c r="I4003" s="11" t="s">
        <v>6945</v>
      </c>
      <c r="J4003" s="11" t="s">
        <v>6945</v>
      </c>
      <c r="K4003" s="9" t="s">
        <v>41087</v>
      </c>
      <c r="L4003" s="9" t="s">
        <v>18001</v>
      </c>
      <c r="M4003" s="9" t="s">
        <v>18177</v>
      </c>
      <c r="N4003" s="9" t="s">
        <v>17746</v>
      </c>
      <c r="O4003" s="9" t="s">
        <v>22268</v>
      </c>
      <c r="P4003" s="9" t="s">
        <v>17748</v>
      </c>
      <c r="Q4003" s="11" t="s">
        <v>18243</v>
      </c>
      <c r="R4003" s="11" t="s">
        <v>18243</v>
      </c>
      <c r="S4003" s="11" t="s">
        <v>17750</v>
      </c>
    </row>
    <row r="4004" spans="1:19" x14ac:dyDescent="0.2">
      <c r="A4004" s="11" t="s">
        <v>41088</v>
      </c>
      <c r="B4004" s="9" t="s">
        <v>41089</v>
      </c>
      <c r="C4004" s="9" t="s">
        <v>41090</v>
      </c>
      <c r="D4004" s="9" t="s">
        <v>41091</v>
      </c>
      <c r="E4004" s="9" t="s">
        <v>17740</v>
      </c>
      <c r="F4004" s="9" t="s">
        <v>17741</v>
      </c>
      <c r="G4004" s="9" t="s">
        <v>17740</v>
      </c>
      <c r="H4004" s="11" t="s">
        <v>41092</v>
      </c>
      <c r="I4004" s="11" t="s">
        <v>41093</v>
      </c>
      <c r="J4004" s="11" t="s">
        <v>41092</v>
      </c>
      <c r="K4004" s="9" t="s">
        <v>6914</v>
      </c>
      <c r="L4004" s="9" t="s">
        <v>17744</v>
      </c>
      <c r="M4004" s="9" t="s">
        <v>28372</v>
      </c>
      <c r="N4004" s="9" t="s">
        <v>17746</v>
      </c>
      <c r="O4004" s="9" t="s">
        <v>18762</v>
      </c>
      <c r="P4004" s="9" t="s">
        <v>17748</v>
      </c>
      <c r="Q4004" s="11" t="s">
        <v>17984</v>
      </c>
      <c r="R4004" s="11" t="s">
        <v>17984</v>
      </c>
      <c r="S4004" s="11" t="s">
        <v>17750</v>
      </c>
    </row>
    <row r="4005" spans="1:19" x14ac:dyDescent="0.2">
      <c r="A4005" s="11" t="s">
        <v>41094</v>
      </c>
      <c r="B4005" s="9" t="s">
        <v>41095</v>
      </c>
      <c r="C4005" s="9" t="s">
        <v>41096</v>
      </c>
      <c r="D4005" s="9" t="s">
        <v>41097</v>
      </c>
      <c r="E4005" s="9" t="s">
        <v>17740</v>
      </c>
      <c r="F4005" s="9" t="s">
        <v>41098</v>
      </c>
      <c r="G4005" s="9" t="s">
        <v>17740</v>
      </c>
      <c r="H4005" s="11" t="s">
        <v>10795</v>
      </c>
      <c r="I4005" s="11" t="s">
        <v>10794</v>
      </c>
      <c r="J4005" s="11" t="s">
        <v>10794</v>
      </c>
      <c r="K4005" s="9" t="s">
        <v>940</v>
      </c>
      <c r="L4005" s="9" t="s">
        <v>17759</v>
      </c>
      <c r="M4005" s="9" t="s">
        <v>17769</v>
      </c>
      <c r="N4005" s="9" t="s">
        <v>17746</v>
      </c>
      <c r="O4005" s="9" t="s">
        <v>17922</v>
      </c>
      <c r="P4005" s="9" t="s">
        <v>17748</v>
      </c>
      <c r="Q4005" s="11" t="s">
        <v>17808</v>
      </c>
      <c r="R4005" s="11" t="s">
        <v>17808</v>
      </c>
      <c r="S4005" s="11" t="s">
        <v>17750</v>
      </c>
    </row>
    <row r="4006" spans="1:19" x14ac:dyDescent="0.2">
      <c r="A4006" s="11" t="s">
        <v>41099</v>
      </c>
      <c r="B4006" s="9" t="s">
        <v>41100</v>
      </c>
      <c r="C4006" s="9" t="s">
        <v>41101</v>
      </c>
      <c r="D4006" s="9" t="s">
        <v>41102</v>
      </c>
      <c r="E4006" s="9" t="s">
        <v>17740</v>
      </c>
      <c r="F4006" s="9" t="s">
        <v>17741</v>
      </c>
      <c r="G4006" s="9" t="s">
        <v>17740</v>
      </c>
      <c r="H4006" s="11" t="s">
        <v>13124</v>
      </c>
      <c r="I4006" s="11" t="s">
        <v>17741</v>
      </c>
      <c r="J4006" s="11" t="s">
        <v>13124</v>
      </c>
      <c r="K4006" s="9" t="s">
        <v>18570</v>
      </c>
      <c r="L4006" s="9" t="s">
        <v>17744</v>
      </c>
      <c r="M4006" s="9" t="s">
        <v>17741</v>
      </c>
      <c r="N4006" s="9" t="s">
        <v>17746</v>
      </c>
      <c r="O4006" s="9" t="s">
        <v>41103</v>
      </c>
      <c r="P4006" s="9" t="s">
        <v>17748</v>
      </c>
      <c r="Q4006" s="11" t="s">
        <v>18370</v>
      </c>
      <c r="R4006" s="11" t="s">
        <v>18370</v>
      </c>
      <c r="S4006" s="11" t="s">
        <v>17750</v>
      </c>
    </row>
    <row r="4007" spans="1:19" x14ac:dyDescent="0.2">
      <c r="A4007" s="11" t="s">
        <v>41104</v>
      </c>
      <c r="B4007" s="9" t="s">
        <v>41105</v>
      </c>
      <c r="C4007" s="9" t="s">
        <v>41106</v>
      </c>
      <c r="D4007" s="9" t="s">
        <v>41107</v>
      </c>
      <c r="E4007" s="9" t="s">
        <v>17740</v>
      </c>
      <c r="F4007" s="9" t="s">
        <v>17741</v>
      </c>
      <c r="G4007" s="9" t="s">
        <v>17740</v>
      </c>
      <c r="H4007" s="11" t="s">
        <v>9757</v>
      </c>
      <c r="I4007" s="11" t="s">
        <v>17741</v>
      </c>
      <c r="J4007" s="11" t="s">
        <v>9757</v>
      </c>
      <c r="K4007" s="9" t="s">
        <v>18570</v>
      </c>
      <c r="L4007" s="9" t="s">
        <v>17744</v>
      </c>
      <c r="M4007" s="9" t="s">
        <v>17741</v>
      </c>
      <c r="N4007" s="9" t="s">
        <v>17746</v>
      </c>
      <c r="O4007" s="9" t="s">
        <v>18363</v>
      </c>
      <c r="P4007" s="9" t="s">
        <v>17748</v>
      </c>
      <c r="Q4007" s="11" t="s">
        <v>17994</v>
      </c>
      <c r="R4007" s="11" t="s">
        <v>17994</v>
      </c>
      <c r="S4007" s="11" t="s">
        <v>17750</v>
      </c>
    </row>
    <row r="4008" spans="1:19" x14ac:dyDescent="0.2">
      <c r="A4008" s="11" t="s">
        <v>41108</v>
      </c>
      <c r="B4008" s="9" t="s">
        <v>41109</v>
      </c>
      <c r="C4008" s="9" t="s">
        <v>41110</v>
      </c>
      <c r="D4008" s="9" t="s">
        <v>41111</v>
      </c>
      <c r="E4008" s="9" t="s">
        <v>17748</v>
      </c>
      <c r="F4008" s="9" t="s">
        <v>41112</v>
      </c>
      <c r="G4008" s="9" t="s">
        <v>17740</v>
      </c>
      <c r="H4008" s="11" t="s">
        <v>9559</v>
      </c>
      <c r="I4008" s="11" t="s">
        <v>9558</v>
      </c>
      <c r="J4008" s="11" t="s">
        <v>9558</v>
      </c>
      <c r="K4008" s="9" t="s">
        <v>24110</v>
      </c>
      <c r="L4008" s="9" t="s">
        <v>17759</v>
      </c>
      <c r="M4008" s="9" t="s">
        <v>17817</v>
      </c>
      <c r="N4008" s="9" t="s">
        <v>17746</v>
      </c>
      <c r="O4008" s="9" t="s">
        <v>41113</v>
      </c>
      <c r="P4008" s="9" t="s">
        <v>17748</v>
      </c>
      <c r="Q4008" s="11" t="s">
        <v>17994</v>
      </c>
      <c r="R4008" s="11" t="s">
        <v>17994</v>
      </c>
      <c r="S4008" s="11" t="s">
        <v>17750</v>
      </c>
    </row>
    <row r="4009" spans="1:19" x14ac:dyDescent="0.2">
      <c r="A4009" s="11" t="s">
        <v>41114</v>
      </c>
      <c r="B4009" s="9" t="s">
        <v>41115</v>
      </c>
      <c r="C4009" s="9" t="s">
        <v>41116</v>
      </c>
      <c r="D4009" s="9" t="s">
        <v>41117</v>
      </c>
      <c r="E4009" s="9" t="s">
        <v>17740</v>
      </c>
      <c r="F4009" s="9" t="s">
        <v>17741</v>
      </c>
      <c r="G4009" s="9" t="s">
        <v>17740</v>
      </c>
      <c r="H4009" s="11" t="s">
        <v>9882</v>
      </c>
      <c r="I4009" s="11" t="s">
        <v>9881</v>
      </c>
      <c r="J4009" s="11" t="s">
        <v>9881</v>
      </c>
      <c r="K4009" s="9" t="s">
        <v>41118</v>
      </c>
      <c r="L4009" s="9" t="s">
        <v>17759</v>
      </c>
      <c r="M4009" s="9" t="s">
        <v>17817</v>
      </c>
      <c r="N4009" s="9" t="s">
        <v>17746</v>
      </c>
      <c r="O4009" s="9" t="s">
        <v>20963</v>
      </c>
      <c r="P4009" s="9" t="s">
        <v>17748</v>
      </c>
      <c r="Q4009" s="11" t="s">
        <v>18922</v>
      </c>
      <c r="R4009" s="11" t="s">
        <v>18922</v>
      </c>
      <c r="S4009" s="11" t="s">
        <v>17750</v>
      </c>
    </row>
    <row r="4010" spans="1:19" x14ac:dyDescent="0.2">
      <c r="A4010" s="11" t="s">
        <v>41119</v>
      </c>
      <c r="B4010" s="9" t="s">
        <v>41120</v>
      </c>
      <c r="C4010" s="9" t="s">
        <v>41121</v>
      </c>
      <c r="D4010" s="9" t="s">
        <v>41122</v>
      </c>
      <c r="E4010" s="9" t="s">
        <v>17740</v>
      </c>
      <c r="F4010" s="9" t="s">
        <v>17741</v>
      </c>
      <c r="G4010" s="9" t="s">
        <v>17740</v>
      </c>
      <c r="H4010" s="11" t="s">
        <v>4733</v>
      </c>
      <c r="I4010" s="11" t="s">
        <v>4732</v>
      </c>
      <c r="J4010" s="11" t="s">
        <v>4732</v>
      </c>
      <c r="K4010" s="9" t="s">
        <v>19094</v>
      </c>
      <c r="L4010" s="9" t="s">
        <v>17759</v>
      </c>
      <c r="M4010" s="9" t="s">
        <v>18289</v>
      </c>
      <c r="N4010" s="9" t="s">
        <v>17746</v>
      </c>
      <c r="O4010" s="9" t="s">
        <v>29962</v>
      </c>
      <c r="P4010" s="9" t="s">
        <v>17748</v>
      </c>
      <c r="Q4010" s="11" t="s">
        <v>18678</v>
      </c>
      <c r="R4010" s="11" t="s">
        <v>18678</v>
      </c>
      <c r="S4010" s="11" t="s">
        <v>17750</v>
      </c>
    </row>
    <row r="4011" spans="1:19" x14ac:dyDescent="0.2">
      <c r="A4011" s="11" t="s">
        <v>41123</v>
      </c>
      <c r="B4011" s="9" t="s">
        <v>41124</v>
      </c>
      <c r="C4011" s="9" t="s">
        <v>41125</v>
      </c>
      <c r="D4011" s="9" t="s">
        <v>41126</v>
      </c>
      <c r="E4011" s="9" t="s">
        <v>17740</v>
      </c>
      <c r="F4011" s="9" t="s">
        <v>17741</v>
      </c>
      <c r="G4011" s="9" t="s">
        <v>17740</v>
      </c>
      <c r="H4011" s="11" t="s">
        <v>7811</v>
      </c>
      <c r="I4011" s="11" t="s">
        <v>7810</v>
      </c>
      <c r="J4011" s="11" t="s">
        <v>7810</v>
      </c>
      <c r="K4011" s="9" t="s">
        <v>324</v>
      </c>
      <c r="L4011" s="9" t="s">
        <v>17759</v>
      </c>
      <c r="M4011" s="9" t="s">
        <v>17817</v>
      </c>
      <c r="N4011" s="9" t="s">
        <v>17746</v>
      </c>
      <c r="O4011" s="9" t="s">
        <v>19917</v>
      </c>
      <c r="P4011" s="9" t="s">
        <v>17748</v>
      </c>
      <c r="Q4011" s="11" t="s">
        <v>18272</v>
      </c>
      <c r="R4011" s="11" t="s">
        <v>18272</v>
      </c>
      <c r="S4011" s="11" t="s">
        <v>17750</v>
      </c>
    </row>
    <row r="4012" spans="1:19" x14ac:dyDescent="0.2">
      <c r="A4012" s="11" t="s">
        <v>41127</v>
      </c>
      <c r="B4012" s="9" t="s">
        <v>41128</v>
      </c>
      <c r="C4012" s="9" t="s">
        <v>41129</v>
      </c>
      <c r="D4012" s="9" t="s">
        <v>41130</v>
      </c>
      <c r="E4012" s="9" t="s">
        <v>17748</v>
      </c>
      <c r="F4012" s="9" t="s">
        <v>41131</v>
      </c>
      <c r="G4012" s="9" t="s">
        <v>17740</v>
      </c>
      <c r="H4012" s="11" t="s">
        <v>10921</v>
      </c>
      <c r="I4012" s="11" t="s">
        <v>10920</v>
      </c>
      <c r="J4012" s="11" t="s">
        <v>10920</v>
      </c>
      <c r="K4012" s="9" t="s">
        <v>19482</v>
      </c>
      <c r="L4012" s="9" t="s">
        <v>19483</v>
      </c>
      <c r="M4012" s="9" t="s">
        <v>18065</v>
      </c>
      <c r="N4012" s="9" t="s">
        <v>17746</v>
      </c>
      <c r="O4012" s="9" t="s">
        <v>41132</v>
      </c>
      <c r="P4012" s="9" t="s">
        <v>17748</v>
      </c>
      <c r="Q4012" s="11" t="s">
        <v>17762</v>
      </c>
      <c r="R4012" s="11" t="s">
        <v>17762</v>
      </c>
      <c r="S4012" s="11" t="s">
        <v>17750</v>
      </c>
    </row>
    <row r="4013" spans="1:19" x14ac:dyDescent="0.2">
      <c r="A4013" s="11" t="s">
        <v>41133</v>
      </c>
      <c r="B4013" s="9" t="s">
        <v>41134</v>
      </c>
      <c r="C4013" s="9" t="s">
        <v>41135</v>
      </c>
      <c r="D4013" s="9" t="s">
        <v>41136</v>
      </c>
      <c r="E4013" s="9" t="s">
        <v>17740</v>
      </c>
      <c r="F4013" s="9" t="s">
        <v>17741</v>
      </c>
      <c r="G4013" s="9" t="s">
        <v>17740</v>
      </c>
      <c r="H4013" s="11" t="s">
        <v>7388</v>
      </c>
      <c r="I4013" s="11" t="s">
        <v>7387</v>
      </c>
      <c r="J4013" s="11" t="s">
        <v>7387</v>
      </c>
      <c r="K4013" s="9" t="s">
        <v>41137</v>
      </c>
      <c r="L4013" s="9" t="s">
        <v>18001</v>
      </c>
      <c r="M4013" s="9" t="s">
        <v>17778</v>
      </c>
      <c r="N4013" s="9" t="s">
        <v>17746</v>
      </c>
      <c r="O4013" s="9" t="s">
        <v>22268</v>
      </c>
      <c r="P4013" s="9" t="s">
        <v>17748</v>
      </c>
      <c r="Q4013" s="11" t="s">
        <v>19361</v>
      </c>
      <c r="R4013" s="11" t="s">
        <v>19361</v>
      </c>
      <c r="S4013" s="11" t="s">
        <v>17750</v>
      </c>
    </row>
    <row r="4014" spans="1:19" x14ac:dyDescent="0.2">
      <c r="A4014" s="11" t="s">
        <v>41138</v>
      </c>
      <c r="B4014" s="9" t="s">
        <v>41139</v>
      </c>
      <c r="C4014" s="9" t="s">
        <v>41140</v>
      </c>
      <c r="D4014" s="9" t="s">
        <v>41141</v>
      </c>
      <c r="E4014" s="9" t="s">
        <v>17740</v>
      </c>
      <c r="F4014" s="9" t="s">
        <v>17741</v>
      </c>
      <c r="G4014" s="9" t="s">
        <v>17740</v>
      </c>
      <c r="H4014" s="11" t="s">
        <v>41142</v>
      </c>
      <c r="I4014" s="11" t="s">
        <v>41143</v>
      </c>
      <c r="J4014" s="11" t="s">
        <v>41143</v>
      </c>
      <c r="K4014" s="9" t="s">
        <v>23527</v>
      </c>
      <c r="L4014" s="9" t="s">
        <v>17744</v>
      </c>
      <c r="M4014" s="9" t="s">
        <v>41144</v>
      </c>
      <c r="N4014" s="9" t="s">
        <v>17746</v>
      </c>
      <c r="O4014" s="9" t="s">
        <v>28111</v>
      </c>
      <c r="P4014" s="9" t="s">
        <v>17748</v>
      </c>
      <c r="Q4014" s="11" t="s">
        <v>18147</v>
      </c>
      <c r="R4014" s="11" t="s">
        <v>18147</v>
      </c>
      <c r="S4014" s="11" t="s">
        <v>17750</v>
      </c>
    </row>
    <row r="4015" spans="1:19" x14ac:dyDescent="0.2">
      <c r="A4015" s="11" t="s">
        <v>41145</v>
      </c>
      <c r="B4015" s="9" t="s">
        <v>41146</v>
      </c>
      <c r="C4015" s="9" t="s">
        <v>41147</v>
      </c>
      <c r="D4015" s="9" t="s">
        <v>41148</v>
      </c>
      <c r="E4015" s="9" t="s">
        <v>17740</v>
      </c>
      <c r="F4015" s="9" t="s">
        <v>41149</v>
      </c>
      <c r="G4015" s="9" t="s">
        <v>17740</v>
      </c>
      <c r="H4015" s="11" t="s">
        <v>41150</v>
      </c>
      <c r="I4015" s="11" t="s">
        <v>41151</v>
      </c>
      <c r="J4015" s="11" t="s">
        <v>41151</v>
      </c>
      <c r="K4015" s="9" t="s">
        <v>21146</v>
      </c>
      <c r="L4015" s="9" t="s">
        <v>17744</v>
      </c>
      <c r="M4015" s="9" t="s">
        <v>17769</v>
      </c>
      <c r="N4015" s="9" t="s">
        <v>17746</v>
      </c>
      <c r="O4015" s="9" t="s">
        <v>28111</v>
      </c>
      <c r="P4015" s="9" t="s">
        <v>17748</v>
      </c>
      <c r="Q4015" s="11" t="s">
        <v>18370</v>
      </c>
      <c r="R4015" s="11" t="s">
        <v>18370</v>
      </c>
      <c r="S4015" s="11" t="s">
        <v>17750</v>
      </c>
    </row>
    <row r="4016" spans="1:19" x14ac:dyDescent="0.2">
      <c r="A4016" s="11" t="s">
        <v>41152</v>
      </c>
      <c r="B4016" s="9" t="s">
        <v>41153</v>
      </c>
      <c r="C4016" s="9" t="s">
        <v>41154</v>
      </c>
      <c r="D4016" s="9" t="s">
        <v>41155</v>
      </c>
      <c r="E4016" s="9" t="s">
        <v>17740</v>
      </c>
      <c r="F4016" s="9" t="s">
        <v>17741</v>
      </c>
      <c r="G4016" s="9" t="s">
        <v>17740</v>
      </c>
      <c r="H4016" s="11" t="s">
        <v>41156</v>
      </c>
      <c r="I4016" s="11" t="s">
        <v>4181</v>
      </c>
      <c r="J4016" s="11" t="s">
        <v>4181</v>
      </c>
      <c r="K4016" s="9" t="s">
        <v>1538</v>
      </c>
      <c r="L4016" s="9" t="s">
        <v>17759</v>
      </c>
      <c r="M4016" s="9" t="s">
        <v>33209</v>
      </c>
      <c r="N4016" s="9" t="s">
        <v>17746</v>
      </c>
      <c r="O4016" s="9" t="s">
        <v>36727</v>
      </c>
      <c r="P4016" s="9" t="s">
        <v>17748</v>
      </c>
      <c r="Q4016" s="11" t="s">
        <v>18364</v>
      </c>
      <c r="R4016" s="11" t="s">
        <v>18364</v>
      </c>
      <c r="S4016" s="11" t="s">
        <v>17750</v>
      </c>
    </row>
    <row r="4017" spans="1:19" x14ac:dyDescent="0.2">
      <c r="A4017" s="11" t="s">
        <v>41157</v>
      </c>
      <c r="B4017" s="9" t="s">
        <v>41158</v>
      </c>
      <c r="C4017" s="9" t="s">
        <v>41159</v>
      </c>
      <c r="D4017" s="9" t="s">
        <v>41160</v>
      </c>
      <c r="E4017" s="9" t="s">
        <v>17748</v>
      </c>
      <c r="F4017" s="9" t="s">
        <v>41161</v>
      </c>
      <c r="G4017" s="9" t="s">
        <v>17740</v>
      </c>
      <c r="H4017" s="11" t="s">
        <v>8919</v>
      </c>
      <c r="I4017" s="11" t="s">
        <v>8918</v>
      </c>
      <c r="J4017" s="11" t="s">
        <v>8919</v>
      </c>
      <c r="K4017" s="9" t="s">
        <v>17089</v>
      </c>
      <c r="L4017" s="9" t="s">
        <v>18158</v>
      </c>
      <c r="M4017" s="9" t="s">
        <v>17817</v>
      </c>
      <c r="N4017" s="9" t="s">
        <v>17746</v>
      </c>
      <c r="O4017" s="9" t="s">
        <v>27515</v>
      </c>
      <c r="P4017" s="9" t="s">
        <v>17748</v>
      </c>
      <c r="Q4017" s="11" t="s">
        <v>18922</v>
      </c>
      <c r="R4017" s="11" t="s">
        <v>18922</v>
      </c>
      <c r="S4017" s="11" t="s">
        <v>17750</v>
      </c>
    </row>
    <row r="4018" spans="1:19" x14ac:dyDescent="0.2">
      <c r="A4018" s="11" t="s">
        <v>41162</v>
      </c>
      <c r="B4018" s="9" t="s">
        <v>41163</v>
      </c>
      <c r="C4018" s="9" t="s">
        <v>41164</v>
      </c>
      <c r="D4018" s="9" t="s">
        <v>41165</v>
      </c>
      <c r="E4018" s="9" t="s">
        <v>17748</v>
      </c>
      <c r="F4018" s="9" t="s">
        <v>41166</v>
      </c>
      <c r="G4018" s="9" t="s">
        <v>17740</v>
      </c>
      <c r="H4018" s="11" t="s">
        <v>7780</v>
      </c>
      <c r="I4018" s="11" t="s">
        <v>7779</v>
      </c>
      <c r="J4018" s="11" t="s">
        <v>7779</v>
      </c>
      <c r="K4018" s="9" t="s">
        <v>601</v>
      </c>
      <c r="L4018" s="9" t="s">
        <v>17759</v>
      </c>
      <c r="M4018" s="9" t="s">
        <v>17817</v>
      </c>
      <c r="N4018" s="9" t="s">
        <v>17746</v>
      </c>
      <c r="O4018" s="9" t="s">
        <v>41167</v>
      </c>
      <c r="P4018" s="9" t="s">
        <v>17748</v>
      </c>
      <c r="Q4018" s="11" t="s">
        <v>18798</v>
      </c>
      <c r="R4018" s="11" t="s">
        <v>18798</v>
      </c>
      <c r="S4018" s="11" t="s">
        <v>17750</v>
      </c>
    </row>
    <row r="4019" spans="1:19" x14ac:dyDescent="0.2">
      <c r="A4019" s="11" t="s">
        <v>41168</v>
      </c>
      <c r="B4019" s="9" t="s">
        <v>41169</v>
      </c>
      <c r="C4019" s="9" t="s">
        <v>41170</v>
      </c>
      <c r="D4019" s="9" t="s">
        <v>41171</v>
      </c>
      <c r="E4019" s="9" t="s">
        <v>17740</v>
      </c>
      <c r="F4019" s="9" t="s">
        <v>17741</v>
      </c>
      <c r="G4019" s="9" t="s">
        <v>17740</v>
      </c>
      <c r="H4019" s="11" t="s">
        <v>7574</v>
      </c>
      <c r="I4019" s="11" t="s">
        <v>7573</v>
      </c>
      <c r="J4019" s="11" t="s">
        <v>7573</v>
      </c>
      <c r="K4019" s="9" t="s">
        <v>41172</v>
      </c>
      <c r="L4019" s="9" t="s">
        <v>17744</v>
      </c>
      <c r="M4019" s="9" t="s">
        <v>23678</v>
      </c>
      <c r="N4019" s="9" t="s">
        <v>17746</v>
      </c>
      <c r="O4019" s="9" t="s">
        <v>41173</v>
      </c>
      <c r="P4019" s="9" t="s">
        <v>17748</v>
      </c>
      <c r="Q4019" s="11" t="s">
        <v>19361</v>
      </c>
      <c r="R4019" s="11" t="s">
        <v>19361</v>
      </c>
      <c r="S4019" s="11" t="s">
        <v>17750</v>
      </c>
    </row>
    <row r="4020" spans="1:19" x14ac:dyDescent="0.2">
      <c r="A4020" s="11" t="s">
        <v>41174</v>
      </c>
      <c r="B4020" s="9" t="s">
        <v>41175</v>
      </c>
      <c r="C4020" s="9" t="s">
        <v>41176</v>
      </c>
      <c r="D4020" s="9" t="s">
        <v>41177</v>
      </c>
      <c r="E4020" s="9" t="s">
        <v>17740</v>
      </c>
      <c r="F4020" s="9" t="s">
        <v>17741</v>
      </c>
      <c r="G4020" s="9" t="s">
        <v>17740</v>
      </c>
      <c r="H4020" s="11" t="s">
        <v>41178</v>
      </c>
      <c r="I4020" s="11" t="s">
        <v>41179</v>
      </c>
      <c r="J4020" s="11" t="s">
        <v>41179</v>
      </c>
      <c r="K4020" s="9" t="s">
        <v>41180</v>
      </c>
      <c r="L4020" s="9" t="s">
        <v>17759</v>
      </c>
      <c r="M4020" s="9" t="s">
        <v>41181</v>
      </c>
      <c r="N4020" s="9" t="s">
        <v>17746</v>
      </c>
      <c r="O4020" s="9" t="s">
        <v>23061</v>
      </c>
      <c r="P4020" s="9" t="s">
        <v>17748</v>
      </c>
      <c r="Q4020" s="11" t="s">
        <v>17994</v>
      </c>
      <c r="R4020" s="11" t="s">
        <v>17994</v>
      </c>
      <c r="S4020" s="11" t="s">
        <v>17750</v>
      </c>
    </row>
    <row r="4021" spans="1:19" x14ac:dyDescent="0.2">
      <c r="A4021" s="11" t="s">
        <v>41182</v>
      </c>
      <c r="B4021" s="9" t="s">
        <v>41183</v>
      </c>
      <c r="C4021" s="9" t="s">
        <v>41184</v>
      </c>
      <c r="D4021" s="9" t="s">
        <v>41185</v>
      </c>
      <c r="E4021" s="9" t="s">
        <v>17748</v>
      </c>
      <c r="F4021" s="9" t="s">
        <v>41186</v>
      </c>
      <c r="G4021" s="9" t="s">
        <v>17740</v>
      </c>
      <c r="H4021" s="11" t="s">
        <v>9067</v>
      </c>
      <c r="I4021" s="11" t="s">
        <v>9066</v>
      </c>
      <c r="J4021" s="11" t="s">
        <v>9066</v>
      </c>
      <c r="K4021" s="9" t="s">
        <v>17783</v>
      </c>
      <c r="L4021" s="9" t="s">
        <v>17759</v>
      </c>
      <c r="M4021" s="9" t="s">
        <v>17769</v>
      </c>
      <c r="N4021" s="9" t="s">
        <v>17746</v>
      </c>
      <c r="O4021" s="9" t="s">
        <v>41187</v>
      </c>
      <c r="P4021" s="9" t="s">
        <v>17748</v>
      </c>
      <c r="Q4021" s="11" t="s">
        <v>17994</v>
      </c>
      <c r="R4021" s="11" t="s">
        <v>17994</v>
      </c>
      <c r="S4021" s="11" t="s">
        <v>17750</v>
      </c>
    </row>
    <row r="4022" spans="1:19" x14ac:dyDescent="0.2">
      <c r="A4022" s="11" t="s">
        <v>41188</v>
      </c>
      <c r="B4022" s="9" t="s">
        <v>41189</v>
      </c>
      <c r="C4022" s="9" t="s">
        <v>41190</v>
      </c>
      <c r="D4022" s="9" t="s">
        <v>41191</v>
      </c>
      <c r="E4022" s="9" t="s">
        <v>17740</v>
      </c>
      <c r="F4022" s="9" t="s">
        <v>41192</v>
      </c>
      <c r="G4022" s="9" t="s">
        <v>17740</v>
      </c>
      <c r="H4022" s="11" t="s">
        <v>2012</v>
      </c>
      <c r="I4022" s="11" t="s">
        <v>2011</v>
      </c>
      <c r="J4022" s="11" t="s">
        <v>2011</v>
      </c>
      <c r="K4022" s="9" t="s">
        <v>38888</v>
      </c>
      <c r="L4022" s="9" t="s">
        <v>17744</v>
      </c>
      <c r="M4022" s="9" t="s">
        <v>19203</v>
      </c>
      <c r="N4022" s="9" t="s">
        <v>17746</v>
      </c>
      <c r="O4022" s="9" t="s">
        <v>29947</v>
      </c>
      <c r="P4022" s="9" t="s">
        <v>17748</v>
      </c>
      <c r="Q4022" s="11" t="s">
        <v>18251</v>
      </c>
      <c r="R4022" s="11" t="s">
        <v>18251</v>
      </c>
      <c r="S4022" s="11" t="s">
        <v>17750</v>
      </c>
    </row>
    <row r="4023" spans="1:19" x14ac:dyDescent="0.2">
      <c r="A4023" s="11" t="s">
        <v>41193</v>
      </c>
      <c r="B4023" s="9" t="s">
        <v>41194</v>
      </c>
      <c r="C4023" s="9" t="s">
        <v>41195</v>
      </c>
      <c r="D4023" s="9" t="s">
        <v>41196</v>
      </c>
      <c r="E4023" s="9" t="s">
        <v>17740</v>
      </c>
      <c r="F4023" s="9" t="s">
        <v>17741</v>
      </c>
      <c r="G4023" s="9" t="s">
        <v>17740</v>
      </c>
      <c r="H4023" s="11" t="s">
        <v>41197</v>
      </c>
      <c r="I4023" s="11" t="s">
        <v>6702</v>
      </c>
      <c r="J4023" s="11" t="s">
        <v>6702</v>
      </c>
      <c r="K4023" s="9" t="s">
        <v>41198</v>
      </c>
      <c r="L4023" s="9" t="s">
        <v>17759</v>
      </c>
      <c r="M4023" s="9" t="s">
        <v>17908</v>
      </c>
      <c r="N4023" s="9" t="s">
        <v>17746</v>
      </c>
      <c r="O4023" s="9" t="s">
        <v>22268</v>
      </c>
      <c r="P4023" s="9" t="s">
        <v>17748</v>
      </c>
      <c r="Q4023" s="11" t="s">
        <v>17808</v>
      </c>
      <c r="R4023" s="11" t="s">
        <v>17808</v>
      </c>
      <c r="S4023" s="11" t="s">
        <v>17750</v>
      </c>
    </row>
    <row r="4024" spans="1:19" x14ac:dyDescent="0.2">
      <c r="A4024" s="11" t="s">
        <v>41199</v>
      </c>
      <c r="B4024" s="9" t="s">
        <v>41200</v>
      </c>
      <c r="C4024" s="9" t="s">
        <v>41201</v>
      </c>
      <c r="D4024" s="9" t="s">
        <v>41202</v>
      </c>
      <c r="E4024" s="9" t="s">
        <v>17740</v>
      </c>
      <c r="F4024" s="9" t="s">
        <v>17741</v>
      </c>
      <c r="G4024" s="9" t="s">
        <v>17740</v>
      </c>
      <c r="H4024" s="11" t="s">
        <v>13787</v>
      </c>
      <c r="I4024" s="11" t="s">
        <v>13786</v>
      </c>
      <c r="J4024" s="11" t="s">
        <v>13786</v>
      </c>
      <c r="K4024" s="9" t="s">
        <v>41203</v>
      </c>
      <c r="L4024" s="9" t="s">
        <v>20969</v>
      </c>
      <c r="M4024" s="9" t="s">
        <v>17908</v>
      </c>
      <c r="N4024" s="9" t="s">
        <v>17746</v>
      </c>
      <c r="O4024" s="9" t="s">
        <v>22268</v>
      </c>
      <c r="P4024" s="9" t="s">
        <v>17748</v>
      </c>
      <c r="Q4024" s="11" t="s">
        <v>18370</v>
      </c>
      <c r="R4024" s="11" t="s">
        <v>18370</v>
      </c>
      <c r="S4024" s="11" t="s">
        <v>17750</v>
      </c>
    </row>
    <row r="4025" spans="1:19" x14ac:dyDescent="0.2">
      <c r="A4025" s="11" t="s">
        <v>41204</v>
      </c>
      <c r="B4025" s="9" t="s">
        <v>41205</v>
      </c>
      <c r="C4025" s="9" t="s">
        <v>41206</v>
      </c>
      <c r="D4025" s="9" t="s">
        <v>41207</v>
      </c>
      <c r="E4025" s="9" t="s">
        <v>17748</v>
      </c>
      <c r="F4025" s="9" t="s">
        <v>41208</v>
      </c>
      <c r="G4025" s="9" t="s">
        <v>17740</v>
      </c>
      <c r="H4025" s="11" t="s">
        <v>6357</v>
      </c>
      <c r="I4025" s="11" t="s">
        <v>6356</v>
      </c>
      <c r="J4025" s="11" t="s">
        <v>6356</v>
      </c>
      <c r="K4025" s="9" t="s">
        <v>291</v>
      </c>
      <c r="L4025" s="9" t="s">
        <v>17744</v>
      </c>
      <c r="M4025" s="9" t="s">
        <v>17760</v>
      </c>
      <c r="N4025" s="9" t="s">
        <v>17746</v>
      </c>
      <c r="O4025" s="9" t="s">
        <v>18762</v>
      </c>
      <c r="P4025" s="9" t="s">
        <v>17748</v>
      </c>
      <c r="Q4025" s="11" t="s">
        <v>17808</v>
      </c>
      <c r="R4025" s="11" t="s">
        <v>17808</v>
      </c>
      <c r="S4025" s="11" t="s">
        <v>17750</v>
      </c>
    </row>
    <row r="4026" spans="1:19" x14ac:dyDescent="0.2">
      <c r="A4026" s="11" t="s">
        <v>41209</v>
      </c>
      <c r="B4026" s="9" t="s">
        <v>41210</v>
      </c>
      <c r="C4026" s="9" t="s">
        <v>41211</v>
      </c>
      <c r="D4026" s="9" t="s">
        <v>41212</v>
      </c>
      <c r="E4026" s="9" t="s">
        <v>17740</v>
      </c>
      <c r="F4026" s="9" t="s">
        <v>17741</v>
      </c>
      <c r="G4026" s="9" t="s">
        <v>17740</v>
      </c>
      <c r="H4026" s="11" t="s">
        <v>4347</v>
      </c>
      <c r="I4026" s="11" t="s">
        <v>4346</v>
      </c>
      <c r="J4026" s="11" t="s">
        <v>4346</v>
      </c>
      <c r="K4026" s="9" t="s">
        <v>23527</v>
      </c>
      <c r="L4026" s="9" t="s">
        <v>17744</v>
      </c>
      <c r="M4026" s="9" t="s">
        <v>41213</v>
      </c>
      <c r="N4026" s="9" t="s">
        <v>17746</v>
      </c>
      <c r="O4026" s="9" t="s">
        <v>40780</v>
      </c>
      <c r="P4026" s="9" t="s">
        <v>17748</v>
      </c>
      <c r="Q4026" s="11" t="s">
        <v>18364</v>
      </c>
      <c r="R4026" s="11" t="s">
        <v>18364</v>
      </c>
      <c r="S4026" s="11" t="s">
        <v>17750</v>
      </c>
    </row>
    <row r="4027" spans="1:19" x14ac:dyDescent="0.2">
      <c r="A4027" s="11" t="s">
        <v>41214</v>
      </c>
      <c r="B4027" s="9" t="s">
        <v>41215</v>
      </c>
      <c r="C4027" s="9" t="s">
        <v>41216</v>
      </c>
      <c r="D4027" s="9" t="s">
        <v>41217</v>
      </c>
      <c r="E4027" s="9" t="s">
        <v>17740</v>
      </c>
      <c r="F4027" s="9" t="s">
        <v>17741</v>
      </c>
      <c r="G4027" s="9" t="s">
        <v>17740</v>
      </c>
      <c r="H4027" s="11" t="s">
        <v>7231</v>
      </c>
      <c r="I4027" s="11" t="s">
        <v>7230</v>
      </c>
      <c r="J4027" s="11" t="s">
        <v>7230</v>
      </c>
      <c r="K4027" s="9" t="s">
        <v>940</v>
      </c>
      <c r="L4027" s="9" t="s">
        <v>17759</v>
      </c>
      <c r="M4027" s="9" t="s">
        <v>17799</v>
      </c>
      <c r="N4027" s="9" t="s">
        <v>17746</v>
      </c>
      <c r="O4027" s="9" t="s">
        <v>36764</v>
      </c>
      <c r="P4027" s="9" t="s">
        <v>17748</v>
      </c>
      <c r="Q4027" s="11" t="s">
        <v>18364</v>
      </c>
      <c r="R4027" s="11" t="s">
        <v>18364</v>
      </c>
      <c r="S4027" s="11" t="s">
        <v>17750</v>
      </c>
    </row>
    <row r="4028" spans="1:19" x14ac:dyDescent="0.2">
      <c r="A4028" s="11" t="s">
        <v>41218</v>
      </c>
      <c r="B4028" s="9" t="s">
        <v>41219</v>
      </c>
      <c r="C4028" s="9" t="s">
        <v>41220</v>
      </c>
      <c r="D4028" s="9" t="s">
        <v>41221</v>
      </c>
      <c r="E4028" s="9" t="s">
        <v>17740</v>
      </c>
      <c r="F4028" s="9" t="s">
        <v>17741</v>
      </c>
      <c r="G4028" s="9" t="s">
        <v>17740</v>
      </c>
      <c r="H4028" s="11" t="s">
        <v>11674</v>
      </c>
      <c r="I4028" s="11" t="s">
        <v>17741</v>
      </c>
      <c r="J4028" s="11" t="s">
        <v>11674</v>
      </c>
      <c r="K4028" s="9" t="s">
        <v>18570</v>
      </c>
      <c r="L4028" s="9" t="s">
        <v>17744</v>
      </c>
      <c r="M4028" s="9" t="s">
        <v>17741</v>
      </c>
      <c r="N4028" s="9" t="s">
        <v>17746</v>
      </c>
      <c r="O4028" s="9" t="s">
        <v>36764</v>
      </c>
      <c r="P4028" s="9" t="s">
        <v>17748</v>
      </c>
      <c r="Q4028" s="11" t="s">
        <v>17762</v>
      </c>
      <c r="R4028" s="11" t="s">
        <v>17762</v>
      </c>
      <c r="S4028" s="11" t="s">
        <v>17750</v>
      </c>
    </row>
    <row r="4029" spans="1:19" x14ac:dyDescent="0.2">
      <c r="A4029" s="11" t="s">
        <v>41222</v>
      </c>
      <c r="B4029" s="9" t="s">
        <v>41223</v>
      </c>
      <c r="C4029" s="9" t="s">
        <v>41224</v>
      </c>
      <c r="D4029" s="9" t="s">
        <v>41225</v>
      </c>
      <c r="E4029" s="9" t="s">
        <v>17748</v>
      </c>
      <c r="F4029" s="9" t="s">
        <v>41226</v>
      </c>
      <c r="G4029" s="9" t="s">
        <v>17740</v>
      </c>
      <c r="H4029" s="11" t="s">
        <v>41227</v>
      </c>
      <c r="I4029" s="11" t="s">
        <v>41228</v>
      </c>
      <c r="J4029" s="11" t="s">
        <v>41228</v>
      </c>
      <c r="K4029" s="9" t="s">
        <v>18712</v>
      </c>
      <c r="L4029" s="9" t="s">
        <v>18158</v>
      </c>
      <c r="M4029" s="9" t="s">
        <v>17741</v>
      </c>
      <c r="N4029" s="9" t="s">
        <v>17746</v>
      </c>
      <c r="O4029" s="9" t="s">
        <v>18543</v>
      </c>
      <c r="P4029" s="9" t="s">
        <v>17748</v>
      </c>
      <c r="Q4029" s="11" t="s">
        <v>17780</v>
      </c>
      <c r="R4029" s="11" t="s">
        <v>17780</v>
      </c>
      <c r="S4029" s="11" t="s">
        <v>17750</v>
      </c>
    </row>
    <row r="4030" spans="1:19" x14ac:dyDescent="0.2">
      <c r="A4030" s="11" t="s">
        <v>41229</v>
      </c>
      <c r="B4030" s="9" t="s">
        <v>41230</v>
      </c>
      <c r="C4030" s="9" t="s">
        <v>41231</v>
      </c>
      <c r="D4030" s="9" t="s">
        <v>41232</v>
      </c>
      <c r="E4030" s="9" t="s">
        <v>17740</v>
      </c>
      <c r="F4030" s="9" t="s">
        <v>17741</v>
      </c>
      <c r="G4030" s="9" t="s">
        <v>17740</v>
      </c>
      <c r="H4030" s="11" t="s">
        <v>12096</v>
      </c>
      <c r="I4030" s="11" t="s">
        <v>12095</v>
      </c>
      <c r="J4030" s="11" t="s">
        <v>12095</v>
      </c>
      <c r="K4030" s="9" t="s">
        <v>91</v>
      </c>
      <c r="L4030" s="9" t="s">
        <v>18001</v>
      </c>
      <c r="M4030" s="9" t="s">
        <v>18533</v>
      </c>
      <c r="N4030" s="9" t="s">
        <v>17746</v>
      </c>
      <c r="O4030" s="9" t="s">
        <v>29962</v>
      </c>
      <c r="P4030" s="9" t="s">
        <v>17748</v>
      </c>
      <c r="Q4030" s="11" t="s">
        <v>17917</v>
      </c>
      <c r="R4030" s="11" t="s">
        <v>17917</v>
      </c>
      <c r="S4030" s="11" t="s">
        <v>17750</v>
      </c>
    </row>
    <row r="4031" spans="1:19" x14ac:dyDescent="0.2">
      <c r="A4031" s="11" t="s">
        <v>41233</v>
      </c>
      <c r="B4031" s="9" t="s">
        <v>41234</v>
      </c>
      <c r="C4031" s="9" t="s">
        <v>41235</v>
      </c>
      <c r="D4031" s="9" t="s">
        <v>41236</v>
      </c>
      <c r="E4031" s="9" t="s">
        <v>17748</v>
      </c>
      <c r="F4031" s="9" t="s">
        <v>41237</v>
      </c>
      <c r="G4031" s="9" t="s">
        <v>17740</v>
      </c>
      <c r="H4031" s="11" t="s">
        <v>13892</v>
      </c>
      <c r="I4031" s="11" t="s">
        <v>13891</v>
      </c>
      <c r="J4031" s="11" t="s">
        <v>13891</v>
      </c>
      <c r="K4031" s="9" t="s">
        <v>20207</v>
      </c>
      <c r="L4031" s="9" t="s">
        <v>18305</v>
      </c>
      <c r="M4031" s="9" t="s">
        <v>18065</v>
      </c>
      <c r="N4031" s="9" t="s">
        <v>17746</v>
      </c>
      <c r="O4031" s="9" t="s">
        <v>41238</v>
      </c>
      <c r="P4031" s="9" t="s">
        <v>17748</v>
      </c>
      <c r="Q4031" s="11" t="s">
        <v>17900</v>
      </c>
      <c r="R4031" s="11" t="s">
        <v>17900</v>
      </c>
      <c r="S4031" s="11" t="s">
        <v>17750</v>
      </c>
    </row>
    <row r="4032" spans="1:19" x14ac:dyDescent="0.2">
      <c r="A4032" s="11" t="s">
        <v>41239</v>
      </c>
      <c r="B4032" s="9" t="s">
        <v>41240</v>
      </c>
      <c r="C4032" s="9" t="s">
        <v>41241</v>
      </c>
      <c r="D4032" s="9" t="s">
        <v>41242</v>
      </c>
      <c r="E4032" s="9" t="s">
        <v>17740</v>
      </c>
      <c r="F4032" s="9" t="s">
        <v>17741</v>
      </c>
      <c r="G4032" s="9" t="s">
        <v>17740</v>
      </c>
      <c r="H4032" s="11" t="s">
        <v>11039</v>
      </c>
      <c r="I4032" s="11" t="s">
        <v>17741</v>
      </c>
      <c r="J4032" s="11" t="s">
        <v>11039</v>
      </c>
      <c r="K4032" s="9" t="s">
        <v>18570</v>
      </c>
      <c r="L4032" s="9" t="s">
        <v>17744</v>
      </c>
      <c r="M4032" s="9" t="s">
        <v>17741</v>
      </c>
      <c r="N4032" s="9" t="s">
        <v>17746</v>
      </c>
      <c r="O4032" s="9" t="s">
        <v>41243</v>
      </c>
      <c r="P4032" s="9" t="s">
        <v>17748</v>
      </c>
      <c r="Q4032" s="11" t="s">
        <v>17984</v>
      </c>
      <c r="R4032" s="11" t="s">
        <v>17984</v>
      </c>
      <c r="S4032" s="11" t="s">
        <v>17750</v>
      </c>
    </row>
    <row r="4033" spans="1:19" x14ac:dyDescent="0.2">
      <c r="A4033" s="11" t="s">
        <v>41244</v>
      </c>
      <c r="B4033" s="9" t="s">
        <v>41245</v>
      </c>
      <c r="C4033" s="9" t="s">
        <v>41246</v>
      </c>
      <c r="D4033" s="9" t="s">
        <v>41247</v>
      </c>
      <c r="E4033" s="9" t="s">
        <v>17740</v>
      </c>
      <c r="F4033" s="9" t="s">
        <v>17741</v>
      </c>
      <c r="G4033" s="9" t="s">
        <v>17740</v>
      </c>
      <c r="H4033" s="11" t="s">
        <v>10304</v>
      </c>
      <c r="I4033" s="11" t="s">
        <v>10303</v>
      </c>
      <c r="J4033" s="11" t="s">
        <v>10303</v>
      </c>
      <c r="K4033" s="9" t="s">
        <v>776</v>
      </c>
      <c r="L4033" s="9" t="s">
        <v>17759</v>
      </c>
      <c r="M4033" s="9" t="s">
        <v>17908</v>
      </c>
      <c r="N4033" s="9" t="s">
        <v>17746</v>
      </c>
      <c r="O4033" s="9" t="s">
        <v>41248</v>
      </c>
      <c r="P4033" s="9" t="s">
        <v>17748</v>
      </c>
      <c r="Q4033" s="11" t="s">
        <v>17780</v>
      </c>
      <c r="R4033" s="11" t="s">
        <v>17780</v>
      </c>
      <c r="S4033" s="11" t="s">
        <v>17750</v>
      </c>
    </row>
    <row r="4034" spans="1:19" x14ac:dyDescent="0.2">
      <c r="A4034" s="11" t="s">
        <v>41249</v>
      </c>
      <c r="B4034" s="9" t="s">
        <v>41250</v>
      </c>
      <c r="C4034" s="9" t="s">
        <v>41251</v>
      </c>
      <c r="D4034" s="9" t="s">
        <v>41252</v>
      </c>
      <c r="E4034" s="9" t="s">
        <v>17740</v>
      </c>
      <c r="F4034" s="9" t="s">
        <v>17741</v>
      </c>
      <c r="G4034" s="9" t="s">
        <v>17740</v>
      </c>
      <c r="H4034" s="11" t="s">
        <v>3003</v>
      </c>
      <c r="I4034" s="11" t="s">
        <v>3002</v>
      </c>
      <c r="J4034" s="11" t="s">
        <v>3002</v>
      </c>
      <c r="K4034" s="9" t="s">
        <v>37600</v>
      </c>
      <c r="L4034" s="9" t="s">
        <v>17759</v>
      </c>
      <c r="M4034" s="9" t="s">
        <v>17817</v>
      </c>
      <c r="N4034" s="9" t="s">
        <v>17746</v>
      </c>
      <c r="O4034" s="9" t="s">
        <v>41248</v>
      </c>
      <c r="P4034" s="9" t="s">
        <v>17748</v>
      </c>
      <c r="Q4034" s="11" t="s">
        <v>18072</v>
      </c>
      <c r="R4034" s="11" t="s">
        <v>18072</v>
      </c>
      <c r="S4034" s="11" t="s">
        <v>17750</v>
      </c>
    </row>
    <row r="4035" spans="1:19" x14ac:dyDescent="0.2">
      <c r="A4035" s="11" t="s">
        <v>41253</v>
      </c>
      <c r="B4035" s="9" t="s">
        <v>41254</v>
      </c>
      <c r="C4035" s="9" t="s">
        <v>41255</v>
      </c>
      <c r="D4035" s="9" t="s">
        <v>41256</v>
      </c>
      <c r="E4035" s="9" t="s">
        <v>17740</v>
      </c>
      <c r="F4035" s="9" t="s">
        <v>17741</v>
      </c>
      <c r="G4035" s="9" t="s">
        <v>17740</v>
      </c>
      <c r="H4035" s="11" t="s">
        <v>41257</v>
      </c>
      <c r="I4035" s="11" t="s">
        <v>41258</v>
      </c>
      <c r="J4035" s="11" t="s">
        <v>41258</v>
      </c>
      <c r="K4035" s="9" t="s">
        <v>601</v>
      </c>
      <c r="L4035" s="9" t="s">
        <v>17759</v>
      </c>
      <c r="M4035" s="9" t="s">
        <v>18065</v>
      </c>
      <c r="N4035" s="9" t="s">
        <v>17746</v>
      </c>
      <c r="O4035" s="9" t="s">
        <v>30047</v>
      </c>
      <c r="P4035" s="9" t="s">
        <v>17748</v>
      </c>
      <c r="Q4035" s="11" t="s">
        <v>18147</v>
      </c>
      <c r="R4035" s="11" t="s">
        <v>18147</v>
      </c>
      <c r="S4035" s="11" t="s">
        <v>17750</v>
      </c>
    </row>
    <row r="4036" spans="1:19" x14ac:dyDescent="0.2">
      <c r="A4036" s="11" t="s">
        <v>41259</v>
      </c>
      <c r="B4036" s="9" t="s">
        <v>41260</v>
      </c>
      <c r="C4036" s="9" t="s">
        <v>41261</v>
      </c>
      <c r="D4036" s="9" t="s">
        <v>41262</v>
      </c>
      <c r="E4036" s="9" t="s">
        <v>17748</v>
      </c>
      <c r="F4036" s="9" t="s">
        <v>41263</v>
      </c>
      <c r="G4036" s="9" t="s">
        <v>17740</v>
      </c>
      <c r="H4036" s="11" t="s">
        <v>41264</v>
      </c>
      <c r="I4036" s="11" t="s">
        <v>41265</v>
      </c>
      <c r="J4036" s="11" t="s">
        <v>41265</v>
      </c>
      <c r="K4036" s="9" t="s">
        <v>55</v>
      </c>
      <c r="L4036" s="9" t="s">
        <v>17744</v>
      </c>
      <c r="M4036" s="9" t="s">
        <v>17769</v>
      </c>
      <c r="N4036" s="9" t="s">
        <v>17746</v>
      </c>
      <c r="O4036" s="9" t="s">
        <v>41266</v>
      </c>
      <c r="P4036" s="9" t="s">
        <v>17748</v>
      </c>
      <c r="Q4036" s="11" t="s">
        <v>18370</v>
      </c>
      <c r="R4036" s="11" t="s">
        <v>18370</v>
      </c>
      <c r="S4036" s="11" t="s">
        <v>17750</v>
      </c>
    </row>
    <row r="4037" spans="1:19" x14ac:dyDescent="0.2">
      <c r="A4037" s="11" t="s">
        <v>41267</v>
      </c>
      <c r="B4037" s="9" t="s">
        <v>41268</v>
      </c>
      <c r="C4037" s="9" t="s">
        <v>41269</v>
      </c>
      <c r="D4037" s="9" t="s">
        <v>41270</v>
      </c>
      <c r="E4037" s="9" t="s">
        <v>17740</v>
      </c>
      <c r="F4037" s="9" t="s">
        <v>41271</v>
      </c>
      <c r="G4037" s="9" t="s">
        <v>17740</v>
      </c>
      <c r="H4037" s="11" t="s">
        <v>41272</v>
      </c>
      <c r="I4037" s="11" t="s">
        <v>41273</v>
      </c>
      <c r="J4037" s="11" t="s">
        <v>41272</v>
      </c>
      <c r="K4037" s="9" t="s">
        <v>41274</v>
      </c>
      <c r="L4037" s="9" t="s">
        <v>17744</v>
      </c>
      <c r="M4037" s="9" t="s">
        <v>17769</v>
      </c>
      <c r="N4037" s="9" t="s">
        <v>17746</v>
      </c>
      <c r="O4037" s="9" t="s">
        <v>41266</v>
      </c>
      <c r="P4037" s="9" t="s">
        <v>17748</v>
      </c>
      <c r="Q4037" s="11" t="s">
        <v>17784</v>
      </c>
      <c r="R4037" s="11" t="s">
        <v>17784</v>
      </c>
      <c r="S4037" s="11" t="s">
        <v>17750</v>
      </c>
    </row>
    <row r="4038" spans="1:19" x14ac:dyDescent="0.2">
      <c r="A4038" s="11" t="s">
        <v>41275</v>
      </c>
      <c r="B4038" s="9" t="s">
        <v>41276</v>
      </c>
      <c r="C4038" s="9" t="s">
        <v>41277</v>
      </c>
      <c r="D4038" s="9" t="s">
        <v>41278</v>
      </c>
      <c r="E4038" s="9" t="s">
        <v>17740</v>
      </c>
      <c r="F4038" s="9" t="s">
        <v>17741</v>
      </c>
      <c r="G4038" s="9" t="s">
        <v>17740</v>
      </c>
      <c r="H4038" s="11" t="s">
        <v>17741</v>
      </c>
      <c r="I4038" s="11" t="s">
        <v>41279</v>
      </c>
      <c r="J4038" s="11" t="s">
        <v>41279</v>
      </c>
      <c r="K4038" s="9" t="s">
        <v>41280</v>
      </c>
      <c r="L4038" s="9" t="s">
        <v>17759</v>
      </c>
      <c r="M4038" s="9" t="s">
        <v>41281</v>
      </c>
      <c r="N4038" s="9" t="s">
        <v>17746</v>
      </c>
      <c r="O4038" s="9" t="s">
        <v>41282</v>
      </c>
      <c r="P4038" s="9" t="s">
        <v>17748</v>
      </c>
      <c r="Q4038" s="11" t="s">
        <v>18678</v>
      </c>
      <c r="R4038" s="11" t="s">
        <v>18678</v>
      </c>
      <c r="S4038" s="11" t="s">
        <v>17750</v>
      </c>
    </row>
    <row r="4039" spans="1:19" x14ac:dyDescent="0.2">
      <c r="A4039" s="11" t="s">
        <v>41283</v>
      </c>
      <c r="B4039" s="9" t="s">
        <v>41284</v>
      </c>
      <c r="C4039" s="9" t="s">
        <v>41285</v>
      </c>
      <c r="D4039" s="9" t="s">
        <v>41286</v>
      </c>
      <c r="E4039" s="9" t="s">
        <v>17740</v>
      </c>
      <c r="F4039" s="9" t="s">
        <v>17741</v>
      </c>
      <c r="G4039" s="9" t="s">
        <v>17740</v>
      </c>
      <c r="H4039" s="11" t="s">
        <v>7195</v>
      </c>
      <c r="I4039" s="11" t="s">
        <v>7194</v>
      </c>
      <c r="J4039" s="11" t="s">
        <v>7194</v>
      </c>
      <c r="K4039" s="9" t="s">
        <v>41287</v>
      </c>
      <c r="L4039" s="9" t="s">
        <v>17744</v>
      </c>
      <c r="M4039" s="9" t="s">
        <v>21335</v>
      </c>
      <c r="N4039" s="9" t="s">
        <v>17746</v>
      </c>
      <c r="O4039" s="9" t="s">
        <v>41288</v>
      </c>
      <c r="P4039" s="9" t="s">
        <v>17748</v>
      </c>
      <c r="Q4039" s="11" t="s">
        <v>18201</v>
      </c>
      <c r="R4039" s="11" t="s">
        <v>18201</v>
      </c>
      <c r="S4039" s="11" t="s">
        <v>17750</v>
      </c>
    </row>
    <row r="4040" spans="1:19" x14ac:dyDescent="0.2">
      <c r="A4040" s="11" t="s">
        <v>41289</v>
      </c>
      <c r="B4040" s="9" t="s">
        <v>41290</v>
      </c>
      <c r="C4040" s="9" t="s">
        <v>41291</v>
      </c>
      <c r="D4040" s="9" t="s">
        <v>41292</v>
      </c>
      <c r="E4040" s="9" t="s">
        <v>17740</v>
      </c>
      <c r="F4040" s="9" t="s">
        <v>41293</v>
      </c>
      <c r="G4040" s="9" t="s">
        <v>17740</v>
      </c>
      <c r="H4040" s="11" t="s">
        <v>4869</v>
      </c>
      <c r="I4040" s="11" t="s">
        <v>4868</v>
      </c>
      <c r="J4040" s="11" t="s">
        <v>4868</v>
      </c>
      <c r="K4040" s="9" t="s">
        <v>19094</v>
      </c>
      <c r="L4040" s="9" t="s">
        <v>17759</v>
      </c>
      <c r="M4040" s="9" t="s">
        <v>17817</v>
      </c>
      <c r="N4040" s="9" t="s">
        <v>17746</v>
      </c>
      <c r="O4040" s="9" t="s">
        <v>41173</v>
      </c>
      <c r="P4040" s="9" t="s">
        <v>17748</v>
      </c>
      <c r="Q4040" s="11" t="s">
        <v>18678</v>
      </c>
      <c r="R4040" s="11" t="s">
        <v>18678</v>
      </c>
      <c r="S4040" s="11" t="s">
        <v>17750</v>
      </c>
    </row>
    <row r="4041" spans="1:19" x14ac:dyDescent="0.2">
      <c r="A4041" s="11" t="s">
        <v>41294</v>
      </c>
      <c r="B4041" s="9" t="s">
        <v>41295</v>
      </c>
      <c r="C4041" s="9" t="s">
        <v>41296</v>
      </c>
      <c r="D4041" s="9" t="s">
        <v>41297</v>
      </c>
      <c r="E4041" s="9" t="s">
        <v>17740</v>
      </c>
      <c r="F4041" s="9" t="s">
        <v>17741</v>
      </c>
      <c r="G4041" s="9" t="s">
        <v>17740</v>
      </c>
      <c r="H4041" s="11" t="s">
        <v>11313</v>
      </c>
      <c r="I4041" s="11" t="s">
        <v>17741</v>
      </c>
      <c r="J4041" s="11" t="s">
        <v>11313</v>
      </c>
      <c r="K4041" s="9" t="s">
        <v>3029</v>
      </c>
      <c r="L4041" s="9" t="s">
        <v>17744</v>
      </c>
      <c r="M4041" s="9" t="s">
        <v>17741</v>
      </c>
      <c r="N4041" s="9" t="s">
        <v>17746</v>
      </c>
      <c r="O4041" s="9" t="s">
        <v>34940</v>
      </c>
      <c r="P4041" s="9" t="s">
        <v>17748</v>
      </c>
      <c r="Q4041" s="11" t="s">
        <v>17984</v>
      </c>
      <c r="R4041" s="11" t="s">
        <v>17984</v>
      </c>
      <c r="S4041" s="11" t="s">
        <v>17750</v>
      </c>
    </row>
    <row r="4042" spans="1:19" x14ac:dyDescent="0.2">
      <c r="A4042" s="11" t="s">
        <v>41298</v>
      </c>
      <c r="B4042" s="9" t="s">
        <v>41299</v>
      </c>
      <c r="C4042" s="9" t="s">
        <v>41300</v>
      </c>
      <c r="D4042" s="9" t="s">
        <v>41301</v>
      </c>
      <c r="E4042" s="9" t="s">
        <v>17740</v>
      </c>
      <c r="F4042" s="9" t="s">
        <v>17741</v>
      </c>
      <c r="G4042" s="9" t="s">
        <v>17740</v>
      </c>
      <c r="H4042" s="11" t="s">
        <v>8504</v>
      </c>
      <c r="I4042" s="11" t="s">
        <v>8503</v>
      </c>
      <c r="J4042" s="11" t="s">
        <v>8503</v>
      </c>
      <c r="K4042" s="9" t="s">
        <v>601</v>
      </c>
      <c r="L4042" s="9" t="s">
        <v>17759</v>
      </c>
      <c r="M4042" s="9" t="s">
        <v>17817</v>
      </c>
      <c r="N4042" s="9" t="s">
        <v>17746</v>
      </c>
      <c r="O4042" s="9" t="s">
        <v>41302</v>
      </c>
      <c r="P4042" s="9" t="s">
        <v>17748</v>
      </c>
      <c r="Q4042" s="11" t="s">
        <v>17784</v>
      </c>
      <c r="R4042" s="11" t="s">
        <v>17784</v>
      </c>
      <c r="S4042" s="11" t="s">
        <v>17750</v>
      </c>
    </row>
    <row r="4043" spans="1:19" x14ac:dyDescent="0.2">
      <c r="A4043" s="11" t="s">
        <v>41303</v>
      </c>
      <c r="B4043" s="9" t="s">
        <v>41304</v>
      </c>
      <c r="C4043" s="9" t="s">
        <v>41305</v>
      </c>
      <c r="D4043" s="9" t="s">
        <v>41306</v>
      </c>
      <c r="E4043" s="9" t="s">
        <v>17740</v>
      </c>
      <c r="F4043" s="9" t="s">
        <v>17741</v>
      </c>
      <c r="G4043" s="9" t="s">
        <v>17740</v>
      </c>
      <c r="H4043" s="11" t="s">
        <v>9245</v>
      </c>
      <c r="I4043" s="11" t="s">
        <v>17741</v>
      </c>
      <c r="J4043" s="11" t="s">
        <v>9245</v>
      </c>
      <c r="K4043" s="9" t="s">
        <v>9244</v>
      </c>
      <c r="L4043" s="9" t="s">
        <v>17759</v>
      </c>
      <c r="M4043" s="9" t="s">
        <v>27986</v>
      </c>
      <c r="N4043" s="9" t="s">
        <v>17746</v>
      </c>
      <c r="O4043" s="9" t="s">
        <v>41307</v>
      </c>
      <c r="P4043" s="9" t="s">
        <v>17748</v>
      </c>
      <c r="Q4043" s="11" t="s">
        <v>19361</v>
      </c>
      <c r="R4043" s="11" t="s">
        <v>19361</v>
      </c>
      <c r="S4043" s="11" t="s">
        <v>17750</v>
      </c>
    </row>
    <row r="4044" spans="1:19" x14ac:dyDescent="0.2">
      <c r="A4044" s="11" t="s">
        <v>41308</v>
      </c>
      <c r="B4044" s="9" t="s">
        <v>41309</v>
      </c>
      <c r="C4044" s="9" t="s">
        <v>41310</v>
      </c>
      <c r="D4044" s="9" t="s">
        <v>41311</v>
      </c>
      <c r="E4044" s="9" t="s">
        <v>17740</v>
      </c>
      <c r="F4044" s="9" t="s">
        <v>17741</v>
      </c>
      <c r="G4044" s="9" t="s">
        <v>17740</v>
      </c>
      <c r="H4044" s="11" t="s">
        <v>41312</v>
      </c>
      <c r="I4044" s="11" t="s">
        <v>17741</v>
      </c>
      <c r="J4044" s="11" t="s">
        <v>41312</v>
      </c>
      <c r="K4044" s="9" t="s">
        <v>32492</v>
      </c>
      <c r="L4044" s="9" t="s">
        <v>18123</v>
      </c>
      <c r="M4044" s="9" t="s">
        <v>17817</v>
      </c>
      <c r="N4044" s="9" t="s">
        <v>17746</v>
      </c>
      <c r="O4044" s="9" t="s">
        <v>17977</v>
      </c>
      <c r="P4044" s="9" t="s">
        <v>17748</v>
      </c>
      <c r="Q4044" s="11" t="s">
        <v>18201</v>
      </c>
      <c r="R4044" s="11" t="s">
        <v>18201</v>
      </c>
      <c r="S4044" s="11" t="s">
        <v>17750</v>
      </c>
    </row>
    <row r="4045" spans="1:19" x14ac:dyDescent="0.2">
      <c r="A4045" s="11" t="s">
        <v>41313</v>
      </c>
      <c r="B4045" s="9" t="s">
        <v>41314</v>
      </c>
      <c r="C4045" s="9" t="s">
        <v>41315</v>
      </c>
      <c r="D4045" s="9" t="s">
        <v>41316</v>
      </c>
      <c r="E4045" s="9" t="s">
        <v>17740</v>
      </c>
      <c r="F4045" s="9" t="s">
        <v>17741</v>
      </c>
      <c r="G4045" s="9" t="s">
        <v>17740</v>
      </c>
      <c r="H4045" s="11" t="s">
        <v>8742</v>
      </c>
      <c r="I4045" s="11" t="s">
        <v>8741</v>
      </c>
      <c r="J4045" s="11" t="s">
        <v>8741</v>
      </c>
      <c r="K4045" s="9" t="s">
        <v>41317</v>
      </c>
      <c r="L4045" s="9" t="s">
        <v>20598</v>
      </c>
      <c r="M4045" s="9" t="s">
        <v>20970</v>
      </c>
      <c r="N4045" s="9" t="s">
        <v>17746</v>
      </c>
      <c r="O4045" s="9" t="s">
        <v>19917</v>
      </c>
      <c r="P4045" s="9" t="s">
        <v>17748</v>
      </c>
      <c r="Q4045" s="11" t="s">
        <v>17749</v>
      </c>
      <c r="R4045" s="11" t="s">
        <v>17749</v>
      </c>
      <c r="S4045" s="11" t="s">
        <v>17750</v>
      </c>
    </row>
    <row r="4046" spans="1:19" x14ac:dyDescent="0.2">
      <c r="A4046" s="11" t="s">
        <v>41318</v>
      </c>
      <c r="B4046" s="9" t="s">
        <v>41319</v>
      </c>
      <c r="C4046" s="9" t="s">
        <v>41320</v>
      </c>
      <c r="D4046" s="9" t="s">
        <v>41321</v>
      </c>
      <c r="E4046" s="9" t="s">
        <v>17740</v>
      </c>
      <c r="F4046" s="9" t="s">
        <v>17741</v>
      </c>
      <c r="G4046" s="9" t="s">
        <v>17740</v>
      </c>
      <c r="H4046" s="11" t="s">
        <v>17741</v>
      </c>
      <c r="I4046" s="11" t="s">
        <v>41322</v>
      </c>
      <c r="J4046" s="11" t="s">
        <v>41322</v>
      </c>
      <c r="K4046" s="9" t="s">
        <v>22405</v>
      </c>
      <c r="L4046" s="9" t="s">
        <v>18854</v>
      </c>
      <c r="M4046" s="9" t="s">
        <v>17769</v>
      </c>
      <c r="N4046" s="9" t="s">
        <v>20237</v>
      </c>
      <c r="O4046" s="9" t="s">
        <v>22268</v>
      </c>
      <c r="P4046" s="9" t="s">
        <v>17748</v>
      </c>
      <c r="Q4046" s="11" t="s">
        <v>18813</v>
      </c>
      <c r="R4046" s="11" t="s">
        <v>18813</v>
      </c>
      <c r="S4046" s="11" t="s">
        <v>17750</v>
      </c>
    </row>
    <row r="4047" spans="1:19" x14ac:dyDescent="0.2">
      <c r="A4047" s="11" t="s">
        <v>41323</v>
      </c>
      <c r="B4047" s="9" t="s">
        <v>41324</v>
      </c>
      <c r="C4047" s="9" t="s">
        <v>41325</v>
      </c>
      <c r="D4047" s="9" t="s">
        <v>41326</v>
      </c>
      <c r="E4047" s="9" t="s">
        <v>17740</v>
      </c>
      <c r="F4047" s="9" t="s">
        <v>17741</v>
      </c>
      <c r="G4047" s="9" t="s">
        <v>17740</v>
      </c>
      <c r="H4047" s="11" t="s">
        <v>17741</v>
      </c>
      <c r="I4047" s="11" t="s">
        <v>41327</v>
      </c>
      <c r="J4047" s="11" t="s">
        <v>41327</v>
      </c>
      <c r="K4047" s="9" t="s">
        <v>20236</v>
      </c>
      <c r="L4047" s="9" t="s">
        <v>18854</v>
      </c>
      <c r="M4047" s="9" t="s">
        <v>17760</v>
      </c>
      <c r="N4047" s="9" t="s">
        <v>20237</v>
      </c>
      <c r="O4047" s="9" t="s">
        <v>41328</v>
      </c>
      <c r="P4047" s="9" t="s">
        <v>17748</v>
      </c>
      <c r="Q4047" s="11" t="s">
        <v>17978</v>
      </c>
      <c r="R4047" s="11" t="s">
        <v>17978</v>
      </c>
      <c r="S4047" s="11" t="s">
        <v>17750</v>
      </c>
    </row>
    <row r="4048" spans="1:19" x14ac:dyDescent="0.2">
      <c r="A4048" s="11" t="s">
        <v>41329</v>
      </c>
      <c r="B4048" s="9" t="s">
        <v>41330</v>
      </c>
      <c r="C4048" s="9" t="s">
        <v>41331</v>
      </c>
      <c r="D4048" s="9" t="s">
        <v>41332</v>
      </c>
      <c r="E4048" s="9" t="s">
        <v>17748</v>
      </c>
      <c r="F4048" s="9" t="s">
        <v>41333</v>
      </c>
      <c r="G4048" s="9" t="s">
        <v>17740</v>
      </c>
      <c r="H4048" s="11" t="s">
        <v>17741</v>
      </c>
      <c r="I4048" s="11" t="s">
        <v>9572</v>
      </c>
      <c r="J4048" s="11" t="s">
        <v>9572</v>
      </c>
      <c r="K4048" s="9" t="s">
        <v>41334</v>
      </c>
      <c r="L4048" s="9" t="s">
        <v>17991</v>
      </c>
      <c r="M4048" s="9" t="s">
        <v>17769</v>
      </c>
      <c r="N4048" s="9" t="s">
        <v>17746</v>
      </c>
      <c r="O4048" s="9" t="s">
        <v>15733</v>
      </c>
      <c r="P4048" s="9" t="s">
        <v>17748</v>
      </c>
      <c r="Q4048" s="11" t="s">
        <v>17792</v>
      </c>
      <c r="R4048" s="11" t="s">
        <v>17792</v>
      </c>
      <c r="S4048" s="11" t="s">
        <v>17750</v>
      </c>
    </row>
    <row r="4049" spans="1:19" x14ac:dyDescent="0.2">
      <c r="A4049" s="11" t="s">
        <v>41335</v>
      </c>
      <c r="B4049" s="9" t="s">
        <v>41336</v>
      </c>
      <c r="C4049" s="9" t="s">
        <v>41337</v>
      </c>
      <c r="D4049" s="9" t="s">
        <v>41338</v>
      </c>
      <c r="E4049" s="9" t="s">
        <v>17740</v>
      </c>
      <c r="F4049" s="9" t="s">
        <v>41339</v>
      </c>
      <c r="G4049" s="9" t="s">
        <v>17740</v>
      </c>
      <c r="H4049" s="11" t="s">
        <v>41340</v>
      </c>
      <c r="I4049" s="11" t="s">
        <v>41341</v>
      </c>
      <c r="J4049" s="11" t="s">
        <v>41341</v>
      </c>
      <c r="K4049" s="9" t="s">
        <v>41342</v>
      </c>
      <c r="L4049" s="9" t="s">
        <v>20082</v>
      </c>
      <c r="M4049" s="9" t="s">
        <v>17760</v>
      </c>
      <c r="N4049" s="9" t="s">
        <v>17746</v>
      </c>
      <c r="O4049" s="9" t="s">
        <v>17874</v>
      </c>
      <c r="P4049" s="9" t="s">
        <v>17748</v>
      </c>
      <c r="Q4049" s="11" t="s">
        <v>17808</v>
      </c>
      <c r="R4049" s="11" t="s">
        <v>17808</v>
      </c>
      <c r="S4049" s="11" t="s">
        <v>17750</v>
      </c>
    </row>
    <row r="4050" spans="1:19" x14ac:dyDescent="0.2">
      <c r="A4050" s="11" t="s">
        <v>41343</v>
      </c>
      <c r="B4050" s="9" t="s">
        <v>41344</v>
      </c>
      <c r="C4050" s="9" t="s">
        <v>41345</v>
      </c>
      <c r="D4050" s="9" t="s">
        <v>41346</v>
      </c>
      <c r="E4050" s="9" t="s">
        <v>17748</v>
      </c>
      <c r="F4050" s="9" t="s">
        <v>41347</v>
      </c>
      <c r="G4050" s="9" t="s">
        <v>17740</v>
      </c>
      <c r="H4050" s="11" t="s">
        <v>16567</v>
      </c>
      <c r="I4050" s="11" t="s">
        <v>17741</v>
      </c>
      <c r="J4050" s="11" t="s">
        <v>17741</v>
      </c>
      <c r="K4050" s="9" t="s">
        <v>19180</v>
      </c>
      <c r="L4050" s="9" t="s">
        <v>17759</v>
      </c>
      <c r="M4050" s="9" t="s">
        <v>17769</v>
      </c>
      <c r="N4050" s="9" t="s">
        <v>17746</v>
      </c>
      <c r="O4050" s="9" t="s">
        <v>41348</v>
      </c>
      <c r="P4050" s="9" t="s">
        <v>17748</v>
      </c>
      <c r="Q4050" s="11" t="s">
        <v>18089</v>
      </c>
      <c r="R4050" s="11" t="s">
        <v>18089</v>
      </c>
      <c r="S4050" s="11" t="s">
        <v>17750</v>
      </c>
    </row>
    <row r="4051" spans="1:19" x14ac:dyDescent="0.2">
      <c r="A4051" s="11" t="s">
        <v>41349</v>
      </c>
      <c r="B4051" s="9" t="s">
        <v>41350</v>
      </c>
      <c r="C4051" s="9" t="s">
        <v>41351</v>
      </c>
      <c r="D4051" s="9" t="s">
        <v>41352</v>
      </c>
      <c r="E4051" s="9" t="s">
        <v>17740</v>
      </c>
      <c r="F4051" s="9" t="s">
        <v>41353</v>
      </c>
      <c r="G4051" s="9" t="s">
        <v>17740</v>
      </c>
      <c r="H4051" s="11" t="s">
        <v>41354</v>
      </c>
      <c r="I4051" s="11" t="s">
        <v>41355</v>
      </c>
      <c r="J4051" s="11" t="s">
        <v>41355</v>
      </c>
      <c r="K4051" s="9" t="s">
        <v>18122</v>
      </c>
      <c r="L4051" s="9" t="s">
        <v>18123</v>
      </c>
      <c r="M4051" s="9" t="s">
        <v>17942</v>
      </c>
      <c r="N4051" s="9" t="s">
        <v>17746</v>
      </c>
      <c r="O4051" s="9" t="s">
        <v>26924</v>
      </c>
      <c r="P4051" s="9" t="s">
        <v>17748</v>
      </c>
      <c r="Q4051" s="11" t="s">
        <v>17867</v>
      </c>
      <c r="R4051" s="11" t="s">
        <v>17867</v>
      </c>
      <c r="S4051" s="11" t="s">
        <v>17750</v>
      </c>
    </row>
    <row r="4052" spans="1:19" x14ac:dyDescent="0.2">
      <c r="A4052" s="11" t="s">
        <v>41356</v>
      </c>
      <c r="B4052" s="9" t="s">
        <v>41357</v>
      </c>
      <c r="C4052" s="9" t="s">
        <v>41358</v>
      </c>
      <c r="D4052" s="9" t="s">
        <v>41359</v>
      </c>
      <c r="E4052" s="9" t="s">
        <v>17740</v>
      </c>
      <c r="F4052" s="9" t="s">
        <v>17741</v>
      </c>
      <c r="G4052" s="9" t="s">
        <v>17740</v>
      </c>
      <c r="H4052" s="11" t="s">
        <v>41360</v>
      </c>
      <c r="I4052" s="11" t="s">
        <v>41361</v>
      </c>
      <c r="J4052" s="11" t="s">
        <v>41361</v>
      </c>
      <c r="K4052" s="9" t="s">
        <v>18176</v>
      </c>
      <c r="L4052" s="9" t="s">
        <v>18123</v>
      </c>
      <c r="M4052" s="9" t="s">
        <v>17942</v>
      </c>
      <c r="N4052" s="9" t="s">
        <v>17746</v>
      </c>
      <c r="O4052" s="9" t="s">
        <v>18340</v>
      </c>
      <c r="P4052" s="9" t="s">
        <v>17748</v>
      </c>
      <c r="Q4052" s="11" t="s">
        <v>19899</v>
      </c>
      <c r="R4052" s="11" t="s">
        <v>19899</v>
      </c>
      <c r="S4052" s="11" t="s">
        <v>17750</v>
      </c>
    </row>
    <row r="4053" spans="1:19" x14ac:dyDescent="0.2">
      <c r="A4053" s="11" t="s">
        <v>41362</v>
      </c>
      <c r="B4053" s="9" t="s">
        <v>41363</v>
      </c>
      <c r="C4053" s="9" t="s">
        <v>41364</v>
      </c>
      <c r="D4053" s="9" t="s">
        <v>41365</v>
      </c>
      <c r="E4053" s="9" t="s">
        <v>17740</v>
      </c>
      <c r="F4053" s="9" t="s">
        <v>17741</v>
      </c>
      <c r="G4053" s="9" t="s">
        <v>17740</v>
      </c>
      <c r="H4053" s="11" t="s">
        <v>41366</v>
      </c>
      <c r="I4053" s="11" t="s">
        <v>41367</v>
      </c>
      <c r="J4053" s="11" t="s">
        <v>41367</v>
      </c>
      <c r="K4053" s="9" t="s">
        <v>21146</v>
      </c>
      <c r="L4053" s="9" t="s">
        <v>17759</v>
      </c>
      <c r="M4053" s="9" t="s">
        <v>23442</v>
      </c>
      <c r="N4053" s="9" t="s">
        <v>17746</v>
      </c>
      <c r="O4053" s="9" t="s">
        <v>3355</v>
      </c>
      <c r="P4053" s="9" t="s">
        <v>17748</v>
      </c>
      <c r="Q4053" s="11" t="s">
        <v>20691</v>
      </c>
      <c r="R4053" s="11" t="s">
        <v>20691</v>
      </c>
      <c r="S4053" s="11" t="s">
        <v>17750</v>
      </c>
    </row>
    <row r="4054" spans="1:19" x14ac:dyDescent="0.2">
      <c r="A4054" s="11" t="s">
        <v>41368</v>
      </c>
      <c r="B4054" s="9" t="s">
        <v>41369</v>
      </c>
      <c r="C4054" s="9" t="s">
        <v>41370</v>
      </c>
      <c r="D4054" s="9" t="s">
        <v>41371</v>
      </c>
      <c r="E4054" s="9" t="s">
        <v>17748</v>
      </c>
      <c r="F4054" s="9" t="s">
        <v>41372</v>
      </c>
      <c r="G4054" s="9" t="s">
        <v>17740</v>
      </c>
      <c r="H4054" s="11" t="s">
        <v>41373</v>
      </c>
      <c r="I4054" s="11" t="s">
        <v>41374</v>
      </c>
      <c r="J4054" s="11" t="s">
        <v>41375</v>
      </c>
      <c r="K4054" s="9" t="s">
        <v>41376</v>
      </c>
      <c r="L4054" s="9" t="s">
        <v>17759</v>
      </c>
      <c r="M4054" s="9" t="s">
        <v>17942</v>
      </c>
      <c r="N4054" s="9" t="s">
        <v>17746</v>
      </c>
      <c r="O4054" s="9" t="s">
        <v>41000</v>
      </c>
      <c r="P4054" s="9" t="s">
        <v>17748</v>
      </c>
      <c r="Q4054" s="11" t="s">
        <v>17994</v>
      </c>
      <c r="R4054" s="11" t="s">
        <v>17994</v>
      </c>
      <c r="S4054" s="11" t="s">
        <v>17750</v>
      </c>
    </row>
    <row r="4055" spans="1:19" x14ac:dyDescent="0.2">
      <c r="A4055" s="11" t="s">
        <v>41377</v>
      </c>
      <c r="B4055" s="9" t="s">
        <v>41378</v>
      </c>
      <c r="C4055" s="9" t="s">
        <v>41379</v>
      </c>
      <c r="D4055" s="9" t="s">
        <v>41380</v>
      </c>
      <c r="E4055" s="9" t="s">
        <v>17748</v>
      </c>
      <c r="F4055" s="9" t="s">
        <v>41381</v>
      </c>
      <c r="G4055" s="9" t="s">
        <v>17740</v>
      </c>
      <c r="H4055" s="11" t="s">
        <v>17741</v>
      </c>
      <c r="I4055" s="11" t="s">
        <v>41382</v>
      </c>
      <c r="J4055" s="11" t="s">
        <v>41382</v>
      </c>
      <c r="K4055" s="9" t="s">
        <v>18853</v>
      </c>
      <c r="L4055" s="9" t="s">
        <v>18854</v>
      </c>
      <c r="M4055" s="9" t="s">
        <v>41383</v>
      </c>
      <c r="N4055" s="9" t="s">
        <v>20237</v>
      </c>
      <c r="O4055" s="9" t="s">
        <v>20208</v>
      </c>
      <c r="P4055" s="9" t="s">
        <v>17748</v>
      </c>
      <c r="Q4055" s="11" t="s">
        <v>18147</v>
      </c>
      <c r="R4055" s="11" t="s">
        <v>18147</v>
      </c>
      <c r="S4055" s="11" t="s">
        <v>17750</v>
      </c>
    </row>
    <row r="4056" spans="1:19" x14ac:dyDescent="0.2">
      <c r="A4056" s="11" t="s">
        <v>41384</v>
      </c>
      <c r="B4056" s="9" t="s">
        <v>41385</v>
      </c>
      <c r="C4056" s="9" t="s">
        <v>41386</v>
      </c>
      <c r="D4056" s="9" t="s">
        <v>11282</v>
      </c>
      <c r="E4056" s="9" t="s">
        <v>17748</v>
      </c>
      <c r="F4056" s="9" t="s">
        <v>41387</v>
      </c>
      <c r="G4056" s="9" t="s">
        <v>17740</v>
      </c>
      <c r="H4056" s="11" t="s">
        <v>17741</v>
      </c>
      <c r="I4056" s="11" t="s">
        <v>11283</v>
      </c>
      <c r="J4056" s="11" t="s">
        <v>11283</v>
      </c>
      <c r="K4056" s="9" t="s">
        <v>20386</v>
      </c>
      <c r="L4056" s="9" t="s">
        <v>20359</v>
      </c>
      <c r="M4056" s="9" t="s">
        <v>17760</v>
      </c>
      <c r="N4056" s="9" t="s">
        <v>17746</v>
      </c>
      <c r="O4056" s="9" t="s">
        <v>20208</v>
      </c>
      <c r="P4056" s="9" t="s">
        <v>17748</v>
      </c>
      <c r="Q4056" s="11" t="s">
        <v>18272</v>
      </c>
      <c r="R4056" s="11" t="s">
        <v>18272</v>
      </c>
      <c r="S4056" s="11" t="s">
        <v>17750</v>
      </c>
    </row>
    <row r="4057" spans="1:19" x14ac:dyDescent="0.2">
      <c r="A4057" s="11" t="s">
        <v>41388</v>
      </c>
      <c r="B4057" s="9" t="s">
        <v>41389</v>
      </c>
      <c r="C4057" s="9" t="s">
        <v>41390</v>
      </c>
      <c r="D4057" s="9" t="s">
        <v>10660</v>
      </c>
      <c r="E4057" s="9" t="s">
        <v>17740</v>
      </c>
      <c r="F4057" s="9" t="s">
        <v>17741</v>
      </c>
      <c r="G4057" s="9" t="s">
        <v>17740</v>
      </c>
      <c r="H4057" s="11" t="s">
        <v>17741</v>
      </c>
      <c r="I4057" s="11" t="s">
        <v>10661</v>
      </c>
      <c r="J4057" s="11" t="s">
        <v>10661</v>
      </c>
      <c r="K4057" s="9" t="s">
        <v>32996</v>
      </c>
      <c r="L4057" s="9" t="s">
        <v>17759</v>
      </c>
      <c r="M4057" s="9" t="s">
        <v>17760</v>
      </c>
      <c r="N4057" s="9" t="s">
        <v>17746</v>
      </c>
      <c r="O4057" s="9" t="s">
        <v>19127</v>
      </c>
      <c r="P4057" s="9" t="s">
        <v>17748</v>
      </c>
      <c r="Q4057" s="11" t="s">
        <v>18272</v>
      </c>
      <c r="R4057" s="11" t="s">
        <v>18272</v>
      </c>
      <c r="S4057" s="11" t="s">
        <v>17750</v>
      </c>
    </row>
    <row r="4058" spans="1:19" x14ac:dyDescent="0.2">
      <c r="A4058" s="11" t="s">
        <v>41391</v>
      </c>
      <c r="B4058" s="9" t="s">
        <v>41392</v>
      </c>
      <c r="C4058" s="9" t="s">
        <v>41393</v>
      </c>
      <c r="D4058" s="9" t="s">
        <v>41394</v>
      </c>
      <c r="E4058" s="9" t="s">
        <v>17740</v>
      </c>
      <c r="F4058" s="9" t="s">
        <v>17741</v>
      </c>
      <c r="G4058" s="9" t="s">
        <v>17740</v>
      </c>
      <c r="H4058" s="11" t="s">
        <v>4686</v>
      </c>
      <c r="I4058" s="11" t="s">
        <v>4685</v>
      </c>
      <c r="J4058" s="11" t="s">
        <v>4685</v>
      </c>
      <c r="K4058" s="9" t="s">
        <v>19094</v>
      </c>
      <c r="L4058" s="9" t="s">
        <v>17759</v>
      </c>
      <c r="M4058" s="9" t="s">
        <v>27840</v>
      </c>
      <c r="N4058" s="9" t="s">
        <v>17746</v>
      </c>
      <c r="O4058" s="9" t="s">
        <v>3100</v>
      </c>
      <c r="P4058" s="9" t="s">
        <v>17748</v>
      </c>
      <c r="Q4058" s="11" t="s">
        <v>18059</v>
      </c>
      <c r="R4058" s="11" t="s">
        <v>18059</v>
      </c>
      <c r="S4058" s="11" t="s">
        <v>17750</v>
      </c>
    </row>
    <row r="4059" spans="1:19" x14ac:dyDescent="0.2">
      <c r="A4059" s="11" t="s">
        <v>41395</v>
      </c>
      <c r="B4059" s="9" t="s">
        <v>41396</v>
      </c>
      <c r="C4059" s="9" t="s">
        <v>41396</v>
      </c>
      <c r="D4059" s="9" t="s">
        <v>41396</v>
      </c>
      <c r="E4059" s="9" t="s">
        <v>17740</v>
      </c>
      <c r="F4059" s="9" t="s">
        <v>17741</v>
      </c>
      <c r="G4059" s="9" t="s">
        <v>17740</v>
      </c>
      <c r="H4059" s="11" t="s">
        <v>41397</v>
      </c>
      <c r="I4059" s="11" t="s">
        <v>41398</v>
      </c>
      <c r="J4059" s="11" t="s">
        <v>41397</v>
      </c>
      <c r="K4059" s="9" t="s">
        <v>41399</v>
      </c>
      <c r="L4059" s="9" t="s">
        <v>17759</v>
      </c>
      <c r="M4059" s="9" t="s">
        <v>17817</v>
      </c>
      <c r="N4059" s="9" t="s">
        <v>17746</v>
      </c>
      <c r="O4059" s="9" t="s">
        <v>41400</v>
      </c>
      <c r="P4059" s="9" t="s">
        <v>17748</v>
      </c>
      <c r="Q4059" s="11" t="s">
        <v>19361</v>
      </c>
      <c r="R4059" s="11" t="s">
        <v>19361</v>
      </c>
      <c r="S4059" s="11" t="s">
        <v>17750</v>
      </c>
    </row>
    <row r="4060" spans="1:19" x14ac:dyDescent="0.2">
      <c r="A4060" s="11" t="s">
        <v>41401</v>
      </c>
      <c r="B4060" s="9" t="s">
        <v>41402</v>
      </c>
      <c r="C4060" s="9" t="s">
        <v>41403</v>
      </c>
      <c r="D4060" s="9" t="s">
        <v>41404</v>
      </c>
      <c r="E4060" s="9" t="s">
        <v>17740</v>
      </c>
      <c r="F4060" s="9" t="s">
        <v>17741</v>
      </c>
      <c r="G4060" s="9" t="s">
        <v>17740</v>
      </c>
      <c r="H4060" s="11" t="s">
        <v>12365</v>
      </c>
      <c r="I4060" s="11" t="s">
        <v>12364</v>
      </c>
      <c r="J4060" s="11" t="s">
        <v>12364</v>
      </c>
      <c r="K4060" s="9" t="s">
        <v>19584</v>
      </c>
      <c r="L4060" s="9" t="s">
        <v>17759</v>
      </c>
      <c r="M4060" s="9" t="s">
        <v>17769</v>
      </c>
      <c r="N4060" s="9" t="s">
        <v>17746</v>
      </c>
      <c r="O4060" s="9" t="s">
        <v>18882</v>
      </c>
      <c r="P4060" s="9" t="s">
        <v>17748</v>
      </c>
      <c r="Q4060" s="11" t="s">
        <v>18370</v>
      </c>
      <c r="R4060" s="11" t="s">
        <v>18370</v>
      </c>
      <c r="S4060" s="11" t="s">
        <v>17750</v>
      </c>
    </row>
    <row r="4061" spans="1:19" x14ac:dyDescent="0.2">
      <c r="A4061" s="11" t="s">
        <v>41405</v>
      </c>
      <c r="B4061" s="9" t="s">
        <v>41406</v>
      </c>
      <c r="C4061" s="9" t="s">
        <v>41407</v>
      </c>
      <c r="D4061" s="9" t="s">
        <v>41408</v>
      </c>
      <c r="E4061" s="9" t="s">
        <v>17740</v>
      </c>
      <c r="F4061" s="9" t="s">
        <v>17741</v>
      </c>
      <c r="G4061" s="9" t="s">
        <v>17740</v>
      </c>
      <c r="H4061" s="11" t="s">
        <v>41409</v>
      </c>
      <c r="I4061" s="11" t="s">
        <v>17741</v>
      </c>
      <c r="J4061" s="11" t="s">
        <v>41409</v>
      </c>
      <c r="K4061" s="9" t="s">
        <v>55</v>
      </c>
      <c r="L4061" s="9" t="s">
        <v>17744</v>
      </c>
      <c r="M4061" s="9" t="s">
        <v>17741</v>
      </c>
      <c r="N4061" s="9" t="s">
        <v>17746</v>
      </c>
      <c r="O4061" s="9" t="s">
        <v>28487</v>
      </c>
      <c r="P4061" s="9" t="s">
        <v>17748</v>
      </c>
      <c r="Q4061" s="11" t="s">
        <v>17858</v>
      </c>
      <c r="R4061" s="11" t="s">
        <v>17858</v>
      </c>
      <c r="S4061" s="11" t="s">
        <v>17750</v>
      </c>
    </row>
    <row r="4062" spans="1:19" x14ac:dyDescent="0.2">
      <c r="A4062" s="11" t="s">
        <v>41410</v>
      </c>
      <c r="B4062" s="9" t="s">
        <v>41411</v>
      </c>
      <c r="C4062" s="9" t="s">
        <v>41412</v>
      </c>
      <c r="D4062" s="9" t="s">
        <v>41413</v>
      </c>
      <c r="E4062" s="9" t="s">
        <v>17740</v>
      </c>
      <c r="F4062" s="9" t="s">
        <v>17741</v>
      </c>
      <c r="G4062" s="9" t="s">
        <v>17740</v>
      </c>
      <c r="H4062" s="11" t="s">
        <v>6677</v>
      </c>
      <c r="I4062" s="11" t="s">
        <v>6676</v>
      </c>
      <c r="J4062" s="11" t="s">
        <v>6676</v>
      </c>
      <c r="K4062" s="9" t="s">
        <v>21721</v>
      </c>
      <c r="L4062" s="9" t="s">
        <v>17744</v>
      </c>
      <c r="M4062" s="9" t="s">
        <v>27337</v>
      </c>
      <c r="N4062" s="9" t="s">
        <v>17746</v>
      </c>
      <c r="O4062" s="9" t="s">
        <v>3100</v>
      </c>
      <c r="P4062" s="9" t="s">
        <v>17748</v>
      </c>
      <c r="Q4062" s="11" t="s">
        <v>19361</v>
      </c>
      <c r="R4062" s="11" t="s">
        <v>19361</v>
      </c>
      <c r="S4062" s="11" t="s">
        <v>17750</v>
      </c>
    </row>
    <row r="4063" spans="1:19" x14ac:dyDescent="0.2">
      <c r="A4063" s="11" t="s">
        <v>41414</v>
      </c>
      <c r="B4063" s="9" t="s">
        <v>41415</v>
      </c>
      <c r="C4063" s="9" t="s">
        <v>41416</v>
      </c>
      <c r="D4063" s="9" t="s">
        <v>41417</v>
      </c>
      <c r="E4063" s="9" t="s">
        <v>17748</v>
      </c>
      <c r="F4063" s="9" t="s">
        <v>41418</v>
      </c>
      <c r="G4063" s="9" t="s">
        <v>17740</v>
      </c>
      <c r="H4063" s="11" t="s">
        <v>41419</v>
      </c>
      <c r="I4063" s="11" t="s">
        <v>41420</v>
      </c>
      <c r="J4063" s="11" t="s">
        <v>17741</v>
      </c>
      <c r="K4063" s="9" t="s">
        <v>17741</v>
      </c>
      <c r="L4063" s="9" t="s">
        <v>18001</v>
      </c>
      <c r="M4063" s="9" t="s">
        <v>41421</v>
      </c>
      <c r="N4063" s="9" t="s">
        <v>17746</v>
      </c>
      <c r="O4063" s="9" t="s">
        <v>41422</v>
      </c>
      <c r="P4063" s="9" t="s">
        <v>17748</v>
      </c>
      <c r="Q4063" s="11" t="s">
        <v>18089</v>
      </c>
      <c r="R4063" s="11" t="s">
        <v>18089</v>
      </c>
      <c r="S4063" s="11" t="s">
        <v>17750</v>
      </c>
    </row>
    <row r="4064" spans="1:19" x14ac:dyDescent="0.2">
      <c r="A4064" s="11" t="s">
        <v>41423</v>
      </c>
      <c r="B4064" s="9" t="s">
        <v>41424</v>
      </c>
      <c r="C4064" s="9" t="s">
        <v>41425</v>
      </c>
      <c r="D4064" s="9" t="s">
        <v>41426</v>
      </c>
      <c r="E4064" s="9" t="s">
        <v>17740</v>
      </c>
      <c r="F4064" s="9" t="s">
        <v>17741</v>
      </c>
      <c r="G4064" s="9" t="s">
        <v>17740</v>
      </c>
      <c r="H4064" s="11" t="s">
        <v>3028</v>
      </c>
      <c r="I4064" s="11" t="s">
        <v>3027</v>
      </c>
      <c r="J4064" s="11" t="s">
        <v>3027</v>
      </c>
      <c r="K4064" s="9" t="s">
        <v>20207</v>
      </c>
      <c r="L4064" s="9" t="s">
        <v>17759</v>
      </c>
      <c r="M4064" s="9" t="s">
        <v>41427</v>
      </c>
      <c r="N4064" s="9" t="s">
        <v>17746</v>
      </c>
      <c r="O4064" s="9" t="s">
        <v>22463</v>
      </c>
      <c r="P4064" s="9" t="s">
        <v>17748</v>
      </c>
      <c r="Q4064" s="11" t="s">
        <v>19335</v>
      </c>
      <c r="R4064" s="11" t="s">
        <v>19335</v>
      </c>
      <c r="S4064" s="11" t="s">
        <v>17750</v>
      </c>
    </row>
    <row r="4065" spans="1:19" x14ac:dyDescent="0.2">
      <c r="A4065" s="11" t="s">
        <v>41428</v>
      </c>
      <c r="B4065" s="9" t="s">
        <v>41429</v>
      </c>
      <c r="C4065" s="9" t="s">
        <v>41430</v>
      </c>
      <c r="D4065" s="9" t="s">
        <v>41431</v>
      </c>
      <c r="E4065" s="9" t="s">
        <v>17740</v>
      </c>
      <c r="F4065" s="9" t="s">
        <v>17741</v>
      </c>
      <c r="G4065" s="9" t="s">
        <v>17740</v>
      </c>
      <c r="H4065" s="11" t="s">
        <v>41432</v>
      </c>
      <c r="I4065" s="11" t="s">
        <v>41433</v>
      </c>
      <c r="J4065" s="11" t="s">
        <v>41433</v>
      </c>
      <c r="K4065" s="9" t="s">
        <v>41434</v>
      </c>
      <c r="L4065" s="9" t="s">
        <v>17744</v>
      </c>
      <c r="M4065" s="9" t="s">
        <v>21973</v>
      </c>
      <c r="N4065" s="9" t="s">
        <v>17746</v>
      </c>
      <c r="O4065" s="9" t="s">
        <v>23088</v>
      </c>
      <c r="P4065" s="9" t="s">
        <v>17748</v>
      </c>
      <c r="Q4065" s="11" t="s">
        <v>17858</v>
      </c>
      <c r="R4065" s="11" t="s">
        <v>17858</v>
      </c>
      <c r="S4065" s="11" t="s">
        <v>17750</v>
      </c>
    </row>
    <row r="4066" spans="1:19" x14ac:dyDescent="0.2">
      <c r="A4066" s="11" t="s">
        <v>41435</v>
      </c>
      <c r="B4066" s="9" t="s">
        <v>41436</v>
      </c>
      <c r="C4066" s="9" t="s">
        <v>41437</v>
      </c>
      <c r="D4066" s="9" t="s">
        <v>41438</v>
      </c>
      <c r="E4066" s="9" t="s">
        <v>17748</v>
      </c>
      <c r="F4066" s="9" t="s">
        <v>41439</v>
      </c>
      <c r="G4066" s="9" t="s">
        <v>17740</v>
      </c>
      <c r="H4066" s="11" t="s">
        <v>41440</v>
      </c>
      <c r="I4066" s="11" t="s">
        <v>41441</v>
      </c>
      <c r="J4066" s="11" t="s">
        <v>41440</v>
      </c>
      <c r="K4066" s="9" t="s">
        <v>35827</v>
      </c>
      <c r="L4066" s="9" t="s">
        <v>17991</v>
      </c>
      <c r="M4066" s="9" t="s">
        <v>17992</v>
      </c>
      <c r="N4066" s="9" t="s">
        <v>17746</v>
      </c>
      <c r="O4066" s="9" t="s">
        <v>3276</v>
      </c>
      <c r="P4066" s="9" t="s">
        <v>17748</v>
      </c>
      <c r="Q4066" s="11" t="s">
        <v>17900</v>
      </c>
      <c r="R4066" s="11" t="s">
        <v>17900</v>
      </c>
      <c r="S4066" s="11" t="s">
        <v>17750</v>
      </c>
    </row>
    <row r="4067" spans="1:19" x14ac:dyDescent="0.2">
      <c r="A4067" s="11" t="s">
        <v>41442</v>
      </c>
      <c r="B4067" s="9" t="s">
        <v>3032</v>
      </c>
      <c r="C4067" s="9" t="s">
        <v>41443</v>
      </c>
      <c r="D4067" s="9" t="s">
        <v>3032</v>
      </c>
      <c r="E4067" s="9" t="s">
        <v>17740</v>
      </c>
      <c r="F4067" s="9" t="s">
        <v>17741</v>
      </c>
      <c r="G4067" s="9" t="s">
        <v>17740</v>
      </c>
      <c r="H4067" s="11" t="s">
        <v>3034</v>
      </c>
      <c r="I4067" s="11" t="s">
        <v>3033</v>
      </c>
      <c r="J4067" s="11" t="s">
        <v>3033</v>
      </c>
      <c r="K4067" s="9" t="s">
        <v>55</v>
      </c>
      <c r="L4067" s="9" t="s">
        <v>17744</v>
      </c>
      <c r="M4067" s="9" t="s">
        <v>18065</v>
      </c>
      <c r="N4067" s="9" t="s">
        <v>17746</v>
      </c>
      <c r="O4067" s="9" t="s">
        <v>41444</v>
      </c>
      <c r="P4067" s="9" t="s">
        <v>17748</v>
      </c>
      <c r="Q4067" s="11" t="s">
        <v>18059</v>
      </c>
      <c r="R4067" s="11" t="s">
        <v>18059</v>
      </c>
      <c r="S4067" s="11" t="s">
        <v>17750</v>
      </c>
    </row>
    <row r="4068" spans="1:19" x14ac:dyDescent="0.2">
      <c r="A4068" s="11" t="s">
        <v>41445</v>
      </c>
      <c r="B4068" s="9" t="s">
        <v>41446</v>
      </c>
      <c r="C4068" s="9" t="s">
        <v>41447</v>
      </c>
      <c r="D4068" s="9" t="s">
        <v>41448</v>
      </c>
      <c r="E4068" s="9" t="s">
        <v>17740</v>
      </c>
      <c r="F4068" s="9" t="s">
        <v>41449</v>
      </c>
      <c r="G4068" s="9" t="s">
        <v>17740</v>
      </c>
      <c r="H4068" s="11" t="s">
        <v>41450</v>
      </c>
      <c r="I4068" s="11" t="s">
        <v>5505</v>
      </c>
      <c r="J4068" s="11" t="s">
        <v>5505</v>
      </c>
      <c r="K4068" s="9" t="s">
        <v>91</v>
      </c>
      <c r="L4068" s="9" t="s">
        <v>18001</v>
      </c>
      <c r="M4068" s="9" t="s">
        <v>41451</v>
      </c>
      <c r="N4068" s="9" t="s">
        <v>17746</v>
      </c>
      <c r="O4068" s="9" t="s">
        <v>1690</v>
      </c>
      <c r="P4068" s="9" t="s">
        <v>17748</v>
      </c>
      <c r="Q4068" s="11" t="s">
        <v>19236</v>
      </c>
      <c r="R4068" s="11" t="s">
        <v>19236</v>
      </c>
      <c r="S4068" s="11" t="s">
        <v>17750</v>
      </c>
    </row>
    <row r="4069" spans="1:19" x14ac:dyDescent="0.2">
      <c r="A4069" s="11" t="s">
        <v>41452</v>
      </c>
      <c r="B4069" s="9" t="s">
        <v>41453</v>
      </c>
      <c r="C4069" s="9" t="s">
        <v>41454</v>
      </c>
      <c r="D4069" s="9" t="s">
        <v>41453</v>
      </c>
      <c r="E4069" s="9" t="s">
        <v>17740</v>
      </c>
      <c r="F4069" s="9" t="s">
        <v>41455</v>
      </c>
      <c r="G4069" s="9" t="s">
        <v>17740</v>
      </c>
      <c r="H4069" s="11" t="s">
        <v>41456</v>
      </c>
      <c r="I4069" s="11" t="s">
        <v>41457</v>
      </c>
      <c r="J4069" s="11" t="s">
        <v>41457</v>
      </c>
      <c r="K4069" s="9" t="s">
        <v>41458</v>
      </c>
      <c r="L4069" s="9" t="s">
        <v>17759</v>
      </c>
      <c r="M4069" s="9" t="s">
        <v>17769</v>
      </c>
      <c r="N4069" s="9" t="s">
        <v>17746</v>
      </c>
      <c r="O4069" s="9" t="s">
        <v>18746</v>
      </c>
      <c r="P4069" s="9" t="s">
        <v>17748</v>
      </c>
      <c r="Q4069" s="11" t="s">
        <v>18584</v>
      </c>
      <c r="R4069" s="11" t="s">
        <v>18584</v>
      </c>
      <c r="S4069" s="11" t="s">
        <v>17750</v>
      </c>
    </row>
    <row r="4070" spans="1:19" x14ac:dyDescent="0.2">
      <c r="A4070" s="11" t="s">
        <v>41459</v>
      </c>
      <c r="B4070" s="9" t="s">
        <v>41460</v>
      </c>
      <c r="C4070" s="9" t="s">
        <v>41461</v>
      </c>
      <c r="D4070" s="9" t="s">
        <v>41460</v>
      </c>
      <c r="E4070" s="9" t="s">
        <v>17740</v>
      </c>
      <c r="F4070" s="9" t="s">
        <v>41462</v>
      </c>
      <c r="G4070" s="9" t="s">
        <v>17740</v>
      </c>
      <c r="H4070" s="11" t="s">
        <v>41463</v>
      </c>
      <c r="I4070" s="11" t="s">
        <v>41464</v>
      </c>
      <c r="J4070" s="11" t="s">
        <v>41464</v>
      </c>
      <c r="K4070" s="9" t="s">
        <v>21011</v>
      </c>
      <c r="L4070" s="9" t="s">
        <v>18001</v>
      </c>
      <c r="M4070" s="9" t="s">
        <v>17817</v>
      </c>
      <c r="N4070" s="9" t="s">
        <v>17746</v>
      </c>
      <c r="O4070" s="9" t="s">
        <v>18746</v>
      </c>
      <c r="P4070" s="9" t="s">
        <v>17748</v>
      </c>
      <c r="Q4070" s="11" t="s">
        <v>18608</v>
      </c>
      <c r="R4070" s="11" t="s">
        <v>18608</v>
      </c>
      <c r="S4070" s="11" t="s">
        <v>17750</v>
      </c>
    </row>
    <row r="4071" spans="1:19" x14ac:dyDescent="0.2">
      <c r="A4071" s="11" t="s">
        <v>41465</v>
      </c>
      <c r="B4071" s="9" t="s">
        <v>41466</v>
      </c>
      <c r="C4071" s="9" t="s">
        <v>41467</v>
      </c>
      <c r="D4071" s="9" t="s">
        <v>41466</v>
      </c>
      <c r="E4071" s="9" t="s">
        <v>17740</v>
      </c>
      <c r="F4071" s="9" t="s">
        <v>17741</v>
      </c>
      <c r="G4071" s="9" t="s">
        <v>17740</v>
      </c>
      <c r="H4071" s="11" t="s">
        <v>41468</v>
      </c>
      <c r="I4071" s="11" t="s">
        <v>41469</v>
      </c>
      <c r="J4071" s="11" t="s">
        <v>41469</v>
      </c>
      <c r="K4071" s="9" t="s">
        <v>17089</v>
      </c>
      <c r="L4071" s="9" t="s">
        <v>18158</v>
      </c>
      <c r="M4071" s="9" t="s">
        <v>41470</v>
      </c>
      <c r="N4071" s="9" t="s">
        <v>17746</v>
      </c>
      <c r="O4071" s="9" t="s">
        <v>41471</v>
      </c>
      <c r="P4071" s="9" t="s">
        <v>17748</v>
      </c>
      <c r="Q4071" s="11" t="s">
        <v>18080</v>
      </c>
      <c r="R4071" s="11" t="s">
        <v>18080</v>
      </c>
      <c r="S4071" s="11" t="s">
        <v>17750</v>
      </c>
    </row>
    <row r="4072" spans="1:19" x14ac:dyDescent="0.2">
      <c r="A4072" s="11" t="s">
        <v>41472</v>
      </c>
      <c r="B4072" s="9" t="s">
        <v>4645</v>
      </c>
      <c r="C4072" s="9" t="s">
        <v>41473</v>
      </c>
      <c r="D4072" s="9" t="s">
        <v>4645</v>
      </c>
      <c r="E4072" s="9" t="s">
        <v>17740</v>
      </c>
      <c r="F4072" s="9" t="s">
        <v>41474</v>
      </c>
      <c r="G4072" s="9" t="s">
        <v>17740</v>
      </c>
      <c r="H4072" s="11" t="s">
        <v>4647</v>
      </c>
      <c r="I4072" s="11" t="s">
        <v>4646</v>
      </c>
      <c r="J4072" s="11" t="s">
        <v>4646</v>
      </c>
      <c r="K4072" s="9" t="s">
        <v>41475</v>
      </c>
      <c r="L4072" s="9" t="s">
        <v>18158</v>
      </c>
      <c r="M4072" s="9" t="s">
        <v>17817</v>
      </c>
      <c r="N4072" s="9" t="s">
        <v>17746</v>
      </c>
      <c r="O4072" s="9" t="s">
        <v>18746</v>
      </c>
      <c r="P4072" s="9" t="s">
        <v>17748</v>
      </c>
      <c r="Q4072" s="11" t="s">
        <v>18678</v>
      </c>
      <c r="R4072" s="11" t="s">
        <v>18678</v>
      </c>
      <c r="S4072" s="11" t="s">
        <v>17750</v>
      </c>
    </row>
    <row r="4073" spans="1:19" x14ac:dyDescent="0.2">
      <c r="A4073" s="11" t="s">
        <v>41476</v>
      </c>
      <c r="B4073" s="9" t="s">
        <v>41477</v>
      </c>
      <c r="C4073" s="9" t="s">
        <v>41478</v>
      </c>
      <c r="D4073" s="9" t="s">
        <v>41479</v>
      </c>
      <c r="E4073" s="9" t="s">
        <v>17740</v>
      </c>
      <c r="F4073" s="9" t="s">
        <v>17741</v>
      </c>
      <c r="G4073" s="9" t="s">
        <v>17740</v>
      </c>
      <c r="H4073" s="11" t="s">
        <v>12622</v>
      </c>
      <c r="I4073" s="11" t="s">
        <v>12621</v>
      </c>
      <c r="J4073" s="11" t="s">
        <v>12621</v>
      </c>
      <c r="K4073" s="9" t="s">
        <v>28659</v>
      </c>
      <c r="L4073" s="9" t="s">
        <v>18158</v>
      </c>
      <c r="M4073" s="9" t="s">
        <v>26160</v>
      </c>
      <c r="N4073" s="9" t="s">
        <v>17746</v>
      </c>
      <c r="O4073" s="9" t="s">
        <v>18746</v>
      </c>
      <c r="P4073" s="9" t="s">
        <v>17748</v>
      </c>
      <c r="Q4073" s="11" t="s">
        <v>18960</v>
      </c>
      <c r="R4073" s="11" t="s">
        <v>18960</v>
      </c>
      <c r="S4073" s="11" t="s">
        <v>17750</v>
      </c>
    </row>
    <row r="4074" spans="1:19" x14ac:dyDescent="0.2">
      <c r="A4074" s="11" t="s">
        <v>41480</v>
      </c>
      <c r="B4074" s="9" t="s">
        <v>41481</v>
      </c>
      <c r="C4074" s="9" t="s">
        <v>41482</v>
      </c>
      <c r="D4074" s="9" t="s">
        <v>41483</v>
      </c>
      <c r="E4074" s="9" t="s">
        <v>17740</v>
      </c>
      <c r="F4074" s="9" t="s">
        <v>17741</v>
      </c>
      <c r="G4074" s="9" t="s">
        <v>17740</v>
      </c>
      <c r="H4074" s="11" t="s">
        <v>17741</v>
      </c>
      <c r="I4074" s="11" t="s">
        <v>41484</v>
      </c>
      <c r="J4074" s="11" t="s">
        <v>41484</v>
      </c>
      <c r="K4074" s="9" t="s">
        <v>41485</v>
      </c>
      <c r="L4074" s="9" t="s">
        <v>22024</v>
      </c>
      <c r="M4074" s="9" t="s">
        <v>21076</v>
      </c>
      <c r="N4074" s="9" t="s">
        <v>17746</v>
      </c>
      <c r="O4074" s="9" t="s">
        <v>17993</v>
      </c>
      <c r="P4074" s="9" t="s">
        <v>17748</v>
      </c>
      <c r="Q4074" s="11" t="s">
        <v>18147</v>
      </c>
      <c r="R4074" s="11" t="s">
        <v>18147</v>
      </c>
      <c r="S4074" s="11" t="s">
        <v>17750</v>
      </c>
    </row>
    <row r="4075" spans="1:19" x14ac:dyDescent="0.2">
      <c r="A4075" s="11" t="s">
        <v>41486</v>
      </c>
      <c r="B4075" s="9" t="s">
        <v>41487</v>
      </c>
      <c r="C4075" s="9" t="s">
        <v>41488</v>
      </c>
      <c r="D4075" s="9" t="s">
        <v>41489</v>
      </c>
      <c r="E4075" s="9" t="s">
        <v>17740</v>
      </c>
      <c r="F4075" s="9" t="s">
        <v>41490</v>
      </c>
      <c r="G4075" s="9" t="s">
        <v>17740</v>
      </c>
      <c r="H4075" s="11" t="s">
        <v>41491</v>
      </c>
      <c r="I4075" s="11" t="s">
        <v>41492</v>
      </c>
      <c r="J4075" s="11" t="s">
        <v>41492</v>
      </c>
      <c r="K4075" s="9" t="s">
        <v>41493</v>
      </c>
      <c r="L4075" s="9" t="s">
        <v>18242</v>
      </c>
      <c r="M4075" s="9" t="s">
        <v>17760</v>
      </c>
      <c r="N4075" s="9" t="s">
        <v>17746</v>
      </c>
      <c r="O4075" s="9" t="s">
        <v>17993</v>
      </c>
      <c r="P4075" s="9" t="s">
        <v>17748</v>
      </c>
      <c r="Q4075" s="11" t="s">
        <v>20589</v>
      </c>
      <c r="R4075" s="11" t="s">
        <v>20589</v>
      </c>
      <c r="S4075" s="11" t="s">
        <v>17750</v>
      </c>
    </row>
    <row r="4076" spans="1:19" x14ac:dyDescent="0.2">
      <c r="A4076" s="11" t="s">
        <v>41494</v>
      </c>
      <c r="B4076" s="9" t="s">
        <v>41495</v>
      </c>
      <c r="C4076" s="9" t="s">
        <v>41496</v>
      </c>
      <c r="D4076" s="9" t="s">
        <v>41497</v>
      </c>
      <c r="E4076" s="9" t="s">
        <v>17748</v>
      </c>
      <c r="F4076" s="9" t="s">
        <v>41498</v>
      </c>
      <c r="G4076" s="9" t="s">
        <v>17740</v>
      </c>
      <c r="H4076" s="11" t="s">
        <v>17741</v>
      </c>
      <c r="I4076" s="11" t="s">
        <v>41499</v>
      </c>
      <c r="J4076" s="11" t="s">
        <v>41499</v>
      </c>
      <c r="K4076" s="9" t="s">
        <v>41500</v>
      </c>
      <c r="L4076" s="9" t="s">
        <v>17958</v>
      </c>
      <c r="M4076" s="9" t="s">
        <v>17817</v>
      </c>
      <c r="N4076" s="9" t="s">
        <v>22152</v>
      </c>
      <c r="O4076" s="9" t="s">
        <v>17993</v>
      </c>
      <c r="P4076" s="9" t="s">
        <v>17748</v>
      </c>
      <c r="Q4076" s="11" t="s">
        <v>17984</v>
      </c>
      <c r="R4076" s="11" t="s">
        <v>17984</v>
      </c>
      <c r="S4076" s="11" t="s">
        <v>17750</v>
      </c>
    </row>
    <row r="4077" spans="1:19" x14ac:dyDescent="0.2">
      <c r="A4077" s="11" t="s">
        <v>41501</v>
      </c>
      <c r="B4077" s="9" t="s">
        <v>41502</v>
      </c>
      <c r="C4077" s="9" t="s">
        <v>41503</v>
      </c>
      <c r="D4077" s="9" t="s">
        <v>41504</v>
      </c>
      <c r="E4077" s="9" t="s">
        <v>17740</v>
      </c>
      <c r="F4077" s="9" t="s">
        <v>17741</v>
      </c>
      <c r="G4077" s="9" t="s">
        <v>17740</v>
      </c>
      <c r="H4077" s="11" t="s">
        <v>41505</v>
      </c>
      <c r="I4077" s="11" t="s">
        <v>41506</v>
      </c>
      <c r="J4077" s="11" t="s">
        <v>41506</v>
      </c>
      <c r="K4077" s="9" t="s">
        <v>776</v>
      </c>
      <c r="L4077" s="9" t="s">
        <v>17759</v>
      </c>
      <c r="M4077" s="9" t="s">
        <v>17817</v>
      </c>
      <c r="N4077" s="9" t="s">
        <v>17746</v>
      </c>
      <c r="O4077" s="9" t="s">
        <v>17916</v>
      </c>
      <c r="P4077" s="9" t="s">
        <v>17748</v>
      </c>
      <c r="Q4077" s="11" t="s">
        <v>18922</v>
      </c>
      <c r="R4077" s="11" t="s">
        <v>18922</v>
      </c>
      <c r="S4077" s="11" t="s">
        <v>17750</v>
      </c>
    </row>
    <row r="4078" spans="1:19" x14ac:dyDescent="0.2">
      <c r="A4078" s="11" t="s">
        <v>41507</v>
      </c>
      <c r="B4078" s="9" t="s">
        <v>41508</v>
      </c>
      <c r="C4078" s="9" t="s">
        <v>41509</v>
      </c>
      <c r="D4078" s="9" t="s">
        <v>41510</v>
      </c>
      <c r="E4078" s="9" t="s">
        <v>17740</v>
      </c>
      <c r="F4078" s="9" t="s">
        <v>17741</v>
      </c>
      <c r="G4078" s="9" t="s">
        <v>17740</v>
      </c>
      <c r="H4078" s="11" t="s">
        <v>11939</v>
      </c>
      <c r="I4078" s="11" t="s">
        <v>11938</v>
      </c>
      <c r="J4078" s="11" t="s">
        <v>11938</v>
      </c>
      <c r="K4078" s="9" t="s">
        <v>8442</v>
      </c>
      <c r="L4078" s="9" t="s">
        <v>17744</v>
      </c>
      <c r="M4078" s="9" t="s">
        <v>34665</v>
      </c>
      <c r="N4078" s="9" t="s">
        <v>17746</v>
      </c>
      <c r="O4078" s="9" t="s">
        <v>17916</v>
      </c>
      <c r="P4078" s="9" t="s">
        <v>17748</v>
      </c>
      <c r="Q4078" s="11" t="s">
        <v>17762</v>
      </c>
      <c r="R4078" s="11" t="s">
        <v>17762</v>
      </c>
      <c r="S4078" s="11" t="s">
        <v>17750</v>
      </c>
    </row>
    <row r="4079" spans="1:19" x14ac:dyDescent="0.2">
      <c r="A4079" s="11" t="s">
        <v>41511</v>
      </c>
      <c r="B4079" s="9" t="s">
        <v>41512</v>
      </c>
      <c r="C4079" s="9" t="s">
        <v>41513</v>
      </c>
      <c r="D4079" s="9" t="s">
        <v>11937</v>
      </c>
      <c r="E4079" s="9" t="s">
        <v>17740</v>
      </c>
      <c r="F4079" s="9" t="s">
        <v>17741</v>
      </c>
      <c r="G4079" s="9" t="s">
        <v>17740</v>
      </c>
      <c r="H4079" s="11" t="s">
        <v>10881</v>
      </c>
      <c r="I4079" s="11" t="s">
        <v>10880</v>
      </c>
      <c r="J4079" s="11" t="s">
        <v>10880</v>
      </c>
      <c r="K4079" s="9" t="s">
        <v>91</v>
      </c>
      <c r="L4079" s="9" t="s">
        <v>17759</v>
      </c>
      <c r="M4079" s="9" t="s">
        <v>17760</v>
      </c>
      <c r="N4079" s="9" t="s">
        <v>17746</v>
      </c>
      <c r="O4079" s="9" t="s">
        <v>21626</v>
      </c>
      <c r="P4079" s="9" t="s">
        <v>17748</v>
      </c>
      <c r="Q4079" s="11" t="s">
        <v>17984</v>
      </c>
      <c r="R4079" s="11" t="s">
        <v>17984</v>
      </c>
      <c r="S4079" s="11" t="s">
        <v>17750</v>
      </c>
    </row>
    <row r="4080" spans="1:19" x14ac:dyDescent="0.2">
      <c r="A4080" s="11" t="s">
        <v>41514</v>
      </c>
      <c r="B4080" s="9" t="s">
        <v>41515</v>
      </c>
      <c r="C4080" s="9" t="s">
        <v>41516</v>
      </c>
      <c r="D4080" s="9" t="s">
        <v>41515</v>
      </c>
      <c r="E4080" s="9" t="s">
        <v>17740</v>
      </c>
      <c r="F4080" s="9" t="s">
        <v>17741</v>
      </c>
      <c r="G4080" s="9" t="s">
        <v>17740</v>
      </c>
      <c r="H4080" s="11" t="s">
        <v>41517</v>
      </c>
      <c r="I4080" s="11" t="s">
        <v>41518</v>
      </c>
      <c r="J4080" s="11" t="s">
        <v>41518</v>
      </c>
      <c r="K4080" s="9" t="s">
        <v>41519</v>
      </c>
      <c r="L4080" s="9" t="s">
        <v>17744</v>
      </c>
      <c r="M4080" s="9" t="s">
        <v>17817</v>
      </c>
      <c r="N4080" s="9" t="s">
        <v>17746</v>
      </c>
      <c r="O4080" s="9" t="s">
        <v>17916</v>
      </c>
      <c r="P4080" s="9" t="s">
        <v>17748</v>
      </c>
      <c r="Q4080" s="11" t="s">
        <v>17825</v>
      </c>
      <c r="R4080" s="11" t="s">
        <v>17825</v>
      </c>
      <c r="S4080" s="11" t="s">
        <v>17750</v>
      </c>
    </row>
    <row r="4081" spans="1:19" x14ac:dyDescent="0.2">
      <c r="A4081" s="11" t="s">
        <v>41520</v>
      </c>
      <c r="B4081" s="9" t="s">
        <v>17916</v>
      </c>
      <c r="C4081" s="9" t="s">
        <v>41521</v>
      </c>
      <c r="D4081" s="9" t="s">
        <v>17916</v>
      </c>
      <c r="E4081" s="9" t="s">
        <v>17740</v>
      </c>
      <c r="F4081" s="9" t="s">
        <v>17741</v>
      </c>
      <c r="G4081" s="9" t="s">
        <v>17740</v>
      </c>
      <c r="H4081" s="11" t="s">
        <v>41522</v>
      </c>
      <c r="I4081" s="11" t="s">
        <v>41523</v>
      </c>
      <c r="J4081" s="11" t="s">
        <v>41523</v>
      </c>
      <c r="K4081" s="9" t="s">
        <v>22394</v>
      </c>
      <c r="L4081" s="9" t="s">
        <v>17744</v>
      </c>
      <c r="M4081" s="9" t="s">
        <v>41524</v>
      </c>
      <c r="N4081" s="9" t="s">
        <v>17746</v>
      </c>
      <c r="O4081" s="9" t="s">
        <v>17916</v>
      </c>
      <c r="P4081" s="9" t="s">
        <v>17748</v>
      </c>
      <c r="Q4081" s="11" t="s">
        <v>17749</v>
      </c>
      <c r="R4081" s="11" t="s">
        <v>17749</v>
      </c>
      <c r="S4081" s="11" t="s">
        <v>17750</v>
      </c>
    </row>
    <row r="4082" spans="1:19" x14ac:dyDescent="0.2">
      <c r="A4082" s="11" t="s">
        <v>41525</v>
      </c>
      <c r="B4082" s="9" t="s">
        <v>11374</v>
      </c>
      <c r="C4082" s="9" t="s">
        <v>41526</v>
      </c>
      <c r="D4082" s="9" t="s">
        <v>11374</v>
      </c>
      <c r="E4082" s="9" t="s">
        <v>17740</v>
      </c>
      <c r="F4082" s="9" t="s">
        <v>17741</v>
      </c>
      <c r="G4082" s="9" t="s">
        <v>17740</v>
      </c>
      <c r="H4082" s="11" t="s">
        <v>11376</v>
      </c>
      <c r="I4082" s="11" t="s">
        <v>11375</v>
      </c>
      <c r="J4082" s="11" t="s">
        <v>11375</v>
      </c>
      <c r="K4082" s="9" t="s">
        <v>291</v>
      </c>
      <c r="L4082" s="9" t="s">
        <v>17744</v>
      </c>
      <c r="M4082" s="9" t="s">
        <v>30287</v>
      </c>
      <c r="N4082" s="9" t="s">
        <v>17746</v>
      </c>
      <c r="O4082" s="9" t="s">
        <v>41527</v>
      </c>
      <c r="P4082" s="9" t="s">
        <v>17748</v>
      </c>
      <c r="Q4082" s="11" t="s">
        <v>17917</v>
      </c>
      <c r="R4082" s="11" t="s">
        <v>17917</v>
      </c>
      <c r="S4082" s="11" t="s">
        <v>17750</v>
      </c>
    </row>
    <row r="4083" spans="1:19" x14ac:dyDescent="0.2">
      <c r="A4083" s="11" t="s">
        <v>41528</v>
      </c>
      <c r="B4083" s="9" t="s">
        <v>41529</v>
      </c>
      <c r="C4083" s="9" t="s">
        <v>41530</v>
      </c>
      <c r="D4083" s="9" t="s">
        <v>41531</v>
      </c>
      <c r="E4083" s="9" t="s">
        <v>17740</v>
      </c>
      <c r="F4083" s="9" t="s">
        <v>17741</v>
      </c>
      <c r="G4083" s="9" t="s">
        <v>17740</v>
      </c>
      <c r="H4083" s="11" t="s">
        <v>41532</v>
      </c>
      <c r="I4083" s="11" t="s">
        <v>41533</v>
      </c>
      <c r="J4083" s="11" t="s">
        <v>41532</v>
      </c>
      <c r="K4083" s="9" t="s">
        <v>17741</v>
      </c>
      <c r="L4083" s="9" t="s">
        <v>17759</v>
      </c>
      <c r="M4083" s="9" t="s">
        <v>18685</v>
      </c>
      <c r="N4083" s="9" t="s">
        <v>17746</v>
      </c>
      <c r="O4083" s="9" t="s">
        <v>17874</v>
      </c>
      <c r="P4083" s="9" t="s">
        <v>17748</v>
      </c>
      <c r="Q4083" s="11" t="s">
        <v>17909</v>
      </c>
      <c r="R4083" s="11" t="s">
        <v>17909</v>
      </c>
      <c r="S4083" s="11" t="s">
        <v>17750</v>
      </c>
    </row>
    <row r="4084" spans="1:19" x14ac:dyDescent="0.2">
      <c r="A4084" s="11" t="s">
        <v>41534</v>
      </c>
      <c r="B4084" s="9" t="s">
        <v>41535</v>
      </c>
      <c r="C4084" s="9" t="s">
        <v>41536</v>
      </c>
      <c r="D4084" s="9" t="s">
        <v>41537</v>
      </c>
      <c r="E4084" s="9" t="s">
        <v>17748</v>
      </c>
      <c r="F4084" s="9" t="s">
        <v>41538</v>
      </c>
      <c r="G4084" s="9" t="s">
        <v>17740</v>
      </c>
      <c r="H4084" s="11" t="s">
        <v>41539</v>
      </c>
      <c r="I4084" s="11" t="s">
        <v>41540</v>
      </c>
      <c r="J4084" s="11" t="s">
        <v>41540</v>
      </c>
      <c r="K4084" s="9" t="s">
        <v>19447</v>
      </c>
      <c r="L4084" s="9" t="s">
        <v>17759</v>
      </c>
      <c r="M4084" s="9" t="s">
        <v>17769</v>
      </c>
      <c r="N4084" s="9" t="s">
        <v>17746</v>
      </c>
      <c r="O4084" s="9" t="s">
        <v>17800</v>
      </c>
      <c r="P4084" s="9" t="s">
        <v>17748</v>
      </c>
      <c r="Q4084" s="11" t="s">
        <v>18370</v>
      </c>
      <c r="R4084" s="11" t="s">
        <v>18370</v>
      </c>
      <c r="S4084" s="11" t="s">
        <v>17750</v>
      </c>
    </row>
    <row r="4085" spans="1:19" x14ac:dyDescent="0.2">
      <c r="A4085" s="11" t="s">
        <v>41541</v>
      </c>
      <c r="B4085" s="9" t="s">
        <v>41542</v>
      </c>
      <c r="C4085" s="9" t="s">
        <v>41543</v>
      </c>
      <c r="D4085" s="9" t="s">
        <v>41544</v>
      </c>
      <c r="E4085" s="9" t="s">
        <v>17740</v>
      </c>
      <c r="F4085" s="9" t="s">
        <v>17741</v>
      </c>
      <c r="G4085" s="9" t="s">
        <v>17740</v>
      </c>
      <c r="H4085" s="11" t="s">
        <v>17741</v>
      </c>
      <c r="I4085" s="11" t="s">
        <v>17741</v>
      </c>
      <c r="J4085" s="11" t="s">
        <v>17741</v>
      </c>
      <c r="K4085" s="9" t="s">
        <v>41545</v>
      </c>
      <c r="L4085" s="9" t="s">
        <v>17759</v>
      </c>
      <c r="M4085" s="9" t="s">
        <v>41546</v>
      </c>
      <c r="N4085" s="9" t="s">
        <v>17746</v>
      </c>
      <c r="O4085" s="9" t="s">
        <v>41547</v>
      </c>
      <c r="P4085" s="9" t="s">
        <v>17748</v>
      </c>
      <c r="Q4085" s="11" t="s">
        <v>17994</v>
      </c>
      <c r="R4085" s="11" t="s">
        <v>17994</v>
      </c>
      <c r="S4085" s="11" t="s">
        <v>17750</v>
      </c>
    </row>
    <row r="4086" spans="1:19" x14ac:dyDescent="0.2">
      <c r="A4086" s="11" t="s">
        <v>41548</v>
      </c>
      <c r="B4086" s="9" t="s">
        <v>41549</v>
      </c>
      <c r="C4086" s="9" t="s">
        <v>41550</v>
      </c>
      <c r="D4086" s="9" t="s">
        <v>41551</v>
      </c>
      <c r="E4086" s="9" t="s">
        <v>17748</v>
      </c>
      <c r="F4086" s="9" t="s">
        <v>41552</v>
      </c>
      <c r="G4086" s="9" t="s">
        <v>17740</v>
      </c>
      <c r="H4086" s="11" t="s">
        <v>41553</v>
      </c>
      <c r="I4086" s="11" t="s">
        <v>41554</v>
      </c>
      <c r="J4086" s="11" t="s">
        <v>41554</v>
      </c>
      <c r="K4086" s="9" t="s">
        <v>30892</v>
      </c>
      <c r="L4086" s="9" t="s">
        <v>17759</v>
      </c>
      <c r="M4086" s="9" t="s">
        <v>17942</v>
      </c>
      <c r="N4086" s="9" t="s">
        <v>17746</v>
      </c>
      <c r="O4086" s="9" t="s">
        <v>41555</v>
      </c>
      <c r="P4086" s="9" t="s">
        <v>17748</v>
      </c>
      <c r="Q4086" s="11" t="s">
        <v>18370</v>
      </c>
      <c r="R4086" s="11" t="s">
        <v>18370</v>
      </c>
      <c r="S4086" s="11" t="s">
        <v>17750</v>
      </c>
    </row>
    <row r="4087" spans="1:19" x14ac:dyDescent="0.2">
      <c r="A4087" s="11" t="s">
        <v>41556</v>
      </c>
      <c r="B4087" s="9" t="s">
        <v>41557</v>
      </c>
      <c r="C4087" s="9" t="s">
        <v>41558</v>
      </c>
      <c r="D4087" s="9" t="s">
        <v>41559</v>
      </c>
      <c r="E4087" s="9" t="s">
        <v>17740</v>
      </c>
      <c r="F4087" s="9" t="s">
        <v>17741</v>
      </c>
      <c r="G4087" s="9" t="s">
        <v>17740</v>
      </c>
      <c r="H4087" s="11" t="s">
        <v>17741</v>
      </c>
      <c r="I4087" s="11" t="s">
        <v>4661</v>
      </c>
      <c r="J4087" s="11" t="s">
        <v>4661</v>
      </c>
      <c r="K4087" s="9" t="s">
        <v>41560</v>
      </c>
      <c r="L4087" s="9" t="s">
        <v>20446</v>
      </c>
      <c r="M4087" s="9" t="s">
        <v>17769</v>
      </c>
      <c r="N4087" s="9" t="s">
        <v>17746</v>
      </c>
      <c r="O4087" s="9" t="s">
        <v>17993</v>
      </c>
      <c r="P4087" s="9" t="s">
        <v>17748</v>
      </c>
      <c r="Q4087" s="11" t="s">
        <v>18678</v>
      </c>
      <c r="R4087" s="11" t="s">
        <v>18678</v>
      </c>
      <c r="S4087" s="11" t="s">
        <v>17750</v>
      </c>
    </row>
    <row r="4088" spans="1:19" x14ac:dyDescent="0.2">
      <c r="A4088" s="11" t="s">
        <v>41561</v>
      </c>
      <c r="B4088" s="9" t="s">
        <v>41562</v>
      </c>
      <c r="C4088" s="9" t="s">
        <v>41563</v>
      </c>
      <c r="D4088" s="9" t="s">
        <v>41564</v>
      </c>
      <c r="E4088" s="9" t="s">
        <v>17740</v>
      </c>
      <c r="F4088" s="9" t="s">
        <v>41565</v>
      </c>
      <c r="G4088" s="9" t="s">
        <v>17740</v>
      </c>
      <c r="H4088" s="11" t="s">
        <v>17741</v>
      </c>
      <c r="I4088" s="11" t="s">
        <v>41566</v>
      </c>
      <c r="J4088" s="11" t="s">
        <v>41566</v>
      </c>
      <c r="K4088" s="9" t="s">
        <v>41567</v>
      </c>
      <c r="L4088" s="9" t="s">
        <v>17759</v>
      </c>
      <c r="M4088" s="9" t="s">
        <v>17778</v>
      </c>
      <c r="N4088" s="9" t="s">
        <v>17746</v>
      </c>
      <c r="O4088" s="9" t="s">
        <v>41568</v>
      </c>
      <c r="P4088" s="9" t="s">
        <v>17748</v>
      </c>
      <c r="Q4088" s="11" t="s">
        <v>17749</v>
      </c>
      <c r="R4088" s="11" t="s">
        <v>17749</v>
      </c>
      <c r="S4088" s="11" t="s">
        <v>17750</v>
      </c>
    </row>
    <row r="4089" spans="1:19" x14ac:dyDescent="0.2">
      <c r="A4089" s="11" t="s">
        <v>41569</v>
      </c>
      <c r="B4089" s="9" t="s">
        <v>41570</v>
      </c>
      <c r="C4089" s="9" t="s">
        <v>41571</v>
      </c>
      <c r="D4089" s="9" t="s">
        <v>41572</v>
      </c>
      <c r="E4089" s="9" t="s">
        <v>17740</v>
      </c>
      <c r="F4089" s="9" t="s">
        <v>17741</v>
      </c>
      <c r="G4089" s="9" t="s">
        <v>17740</v>
      </c>
      <c r="H4089" s="11" t="s">
        <v>41573</v>
      </c>
      <c r="I4089" s="11" t="s">
        <v>41574</v>
      </c>
      <c r="J4089" s="11" t="s">
        <v>41574</v>
      </c>
      <c r="K4089" s="9" t="s">
        <v>41575</v>
      </c>
      <c r="L4089" s="9" t="s">
        <v>17759</v>
      </c>
      <c r="M4089" s="9" t="s">
        <v>17942</v>
      </c>
      <c r="N4089" s="9" t="s">
        <v>17746</v>
      </c>
      <c r="O4089" s="9" t="s">
        <v>4009</v>
      </c>
      <c r="P4089" s="9" t="s">
        <v>17748</v>
      </c>
      <c r="Q4089" s="11" t="s">
        <v>17984</v>
      </c>
      <c r="R4089" s="11" t="s">
        <v>17984</v>
      </c>
      <c r="S4089" s="11" t="s">
        <v>17750</v>
      </c>
    </row>
    <row r="4090" spans="1:19" x14ac:dyDescent="0.2">
      <c r="A4090" s="11" t="s">
        <v>41576</v>
      </c>
      <c r="B4090" s="9" t="s">
        <v>41577</v>
      </c>
      <c r="C4090" s="9" t="s">
        <v>41578</v>
      </c>
      <c r="D4090" s="9" t="s">
        <v>41579</v>
      </c>
      <c r="E4090" s="9" t="s">
        <v>17740</v>
      </c>
      <c r="F4090" s="9" t="s">
        <v>41580</v>
      </c>
      <c r="G4090" s="9" t="s">
        <v>17740</v>
      </c>
      <c r="H4090" s="11" t="s">
        <v>17741</v>
      </c>
      <c r="I4090" s="11" t="s">
        <v>41581</v>
      </c>
      <c r="J4090" s="11" t="s">
        <v>41581</v>
      </c>
      <c r="K4090" s="9" t="s">
        <v>41582</v>
      </c>
      <c r="L4090" s="9" t="s">
        <v>17759</v>
      </c>
      <c r="M4090" s="9" t="s">
        <v>17942</v>
      </c>
      <c r="N4090" s="9" t="s">
        <v>17746</v>
      </c>
      <c r="O4090" s="9" t="s">
        <v>4009</v>
      </c>
      <c r="P4090" s="9" t="s">
        <v>17748</v>
      </c>
      <c r="Q4090" s="11" t="s">
        <v>19515</v>
      </c>
      <c r="R4090" s="11" t="s">
        <v>19515</v>
      </c>
      <c r="S4090" s="11" t="s">
        <v>17750</v>
      </c>
    </row>
    <row r="4091" spans="1:19" x14ac:dyDescent="0.2">
      <c r="A4091" s="11" t="s">
        <v>41583</v>
      </c>
      <c r="B4091" s="9" t="s">
        <v>41584</v>
      </c>
      <c r="C4091" s="9" t="s">
        <v>41585</v>
      </c>
      <c r="D4091" s="9" t="s">
        <v>41586</v>
      </c>
      <c r="E4091" s="9" t="s">
        <v>17748</v>
      </c>
      <c r="F4091" s="9" t="s">
        <v>41587</v>
      </c>
      <c r="G4091" s="9" t="s">
        <v>17740</v>
      </c>
      <c r="H4091" s="11" t="s">
        <v>41588</v>
      </c>
      <c r="I4091" s="11" t="s">
        <v>41589</v>
      </c>
      <c r="J4091" s="11" t="s">
        <v>41589</v>
      </c>
      <c r="K4091" s="9" t="s">
        <v>30892</v>
      </c>
      <c r="L4091" s="9" t="s">
        <v>17759</v>
      </c>
      <c r="M4091" s="9" t="s">
        <v>17817</v>
      </c>
      <c r="N4091" s="9" t="s">
        <v>17746</v>
      </c>
      <c r="O4091" s="9" t="s">
        <v>41590</v>
      </c>
      <c r="P4091" s="9" t="s">
        <v>17748</v>
      </c>
      <c r="Q4091" s="11" t="s">
        <v>18798</v>
      </c>
      <c r="R4091" s="11" t="s">
        <v>18798</v>
      </c>
      <c r="S4091" s="11" t="s">
        <v>17750</v>
      </c>
    </row>
    <row r="4092" spans="1:19" x14ac:dyDescent="0.2">
      <c r="A4092" s="11" t="s">
        <v>41591</v>
      </c>
      <c r="B4092" s="9" t="s">
        <v>41592</v>
      </c>
      <c r="C4092" s="9" t="s">
        <v>41593</v>
      </c>
      <c r="D4092" s="9" t="s">
        <v>41594</v>
      </c>
      <c r="E4092" s="9" t="s">
        <v>17740</v>
      </c>
      <c r="F4092" s="9" t="s">
        <v>17741</v>
      </c>
      <c r="G4092" s="9" t="s">
        <v>17740</v>
      </c>
      <c r="H4092" s="11" t="s">
        <v>13754</v>
      </c>
      <c r="I4092" s="11" t="s">
        <v>13753</v>
      </c>
      <c r="J4092" s="11" t="s">
        <v>13754</v>
      </c>
      <c r="K4092" s="9" t="s">
        <v>13752</v>
      </c>
      <c r="L4092" s="9" t="s">
        <v>17759</v>
      </c>
      <c r="M4092" s="9" t="s">
        <v>17817</v>
      </c>
      <c r="N4092" s="9" t="s">
        <v>17746</v>
      </c>
      <c r="O4092" s="9" t="s">
        <v>41595</v>
      </c>
      <c r="P4092" s="9" t="s">
        <v>17748</v>
      </c>
      <c r="Q4092" s="11" t="s">
        <v>17762</v>
      </c>
      <c r="R4092" s="11" t="s">
        <v>17762</v>
      </c>
      <c r="S4092" s="11" t="s">
        <v>17750</v>
      </c>
    </row>
    <row r="4093" spans="1:19" x14ac:dyDescent="0.2">
      <c r="A4093" s="11" t="s">
        <v>41596</v>
      </c>
      <c r="B4093" s="9" t="s">
        <v>41597</v>
      </c>
      <c r="C4093" s="9" t="s">
        <v>41598</v>
      </c>
      <c r="D4093" s="9" t="s">
        <v>41599</v>
      </c>
      <c r="E4093" s="9" t="s">
        <v>17740</v>
      </c>
      <c r="F4093" s="9" t="s">
        <v>41600</v>
      </c>
      <c r="G4093" s="9" t="s">
        <v>17740</v>
      </c>
      <c r="H4093" s="11" t="s">
        <v>41601</v>
      </c>
      <c r="I4093" s="11" t="s">
        <v>41602</v>
      </c>
      <c r="J4093" s="11" t="s">
        <v>41602</v>
      </c>
      <c r="K4093" s="9" t="s">
        <v>6914</v>
      </c>
      <c r="L4093" s="9" t="s">
        <v>17744</v>
      </c>
      <c r="M4093" s="9" t="s">
        <v>27337</v>
      </c>
      <c r="N4093" s="9" t="s">
        <v>17746</v>
      </c>
      <c r="O4093" s="9" t="s">
        <v>17882</v>
      </c>
      <c r="P4093" s="9" t="s">
        <v>17748</v>
      </c>
      <c r="Q4093" s="11" t="s">
        <v>18341</v>
      </c>
      <c r="R4093" s="11" t="s">
        <v>18341</v>
      </c>
      <c r="S4093" s="11" t="s">
        <v>17750</v>
      </c>
    </row>
    <row r="4094" spans="1:19" x14ac:dyDescent="0.2">
      <c r="A4094" s="11" t="s">
        <v>41603</v>
      </c>
      <c r="B4094" s="9" t="s">
        <v>41604</v>
      </c>
      <c r="C4094" s="9" t="s">
        <v>41605</v>
      </c>
      <c r="D4094" s="9" t="s">
        <v>41606</v>
      </c>
      <c r="E4094" s="9" t="s">
        <v>17748</v>
      </c>
      <c r="F4094" s="9" t="s">
        <v>41607</v>
      </c>
      <c r="G4094" s="9" t="s">
        <v>17740</v>
      </c>
      <c r="H4094" s="11" t="s">
        <v>9589</v>
      </c>
      <c r="I4094" s="11" t="s">
        <v>9588</v>
      </c>
      <c r="J4094" s="11" t="s">
        <v>9588</v>
      </c>
      <c r="K4094" s="9" t="s">
        <v>291</v>
      </c>
      <c r="L4094" s="9" t="s">
        <v>17744</v>
      </c>
      <c r="M4094" s="9" t="s">
        <v>41608</v>
      </c>
      <c r="N4094" s="9" t="s">
        <v>17746</v>
      </c>
      <c r="O4094" s="9" t="s">
        <v>17977</v>
      </c>
      <c r="P4094" s="9" t="s">
        <v>17748</v>
      </c>
      <c r="Q4094" s="11" t="s">
        <v>17858</v>
      </c>
      <c r="R4094" s="11" t="s">
        <v>17858</v>
      </c>
      <c r="S4094" s="11" t="s">
        <v>17750</v>
      </c>
    </row>
    <row r="4095" spans="1:19" x14ac:dyDescent="0.2">
      <c r="A4095" s="11" t="s">
        <v>41609</v>
      </c>
      <c r="B4095" s="9" t="s">
        <v>3045</v>
      </c>
      <c r="C4095" s="9" t="s">
        <v>41610</v>
      </c>
      <c r="D4095" s="9" t="s">
        <v>3045</v>
      </c>
      <c r="E4095" s="9" t="s">
        <v>17740</v>
      </c>
      <c r="F4095" s="9" t="s">
        <v>17741</v>
      </c>
      <c r="G4095" s="9" t="s">
        <v>17740</v>
      </c>
      <c r="H4095" s="11" t="s">
        <v>3047</v>
      </c>
      <c r="I4095" s="11" t="s">
        <v>3046</v>
      </c>
      <c r="J4095" s="11" t="s">
        <v>3046</v>
      </c>
      <c r="K4095" s="9" t="s">
        <v>315</v>
      </c>
      <c r="L4095" s="9" t="s">
        <v>17744</v>
      </c>
      <c r="M4095" s="9" t="s">
        <v>23186</v>
      </c>
      <c r="N4095" s="9" t="s">
        <v>17746</v>
      </c>
      <c r="O4095" s="9" t="s">
        <v>3734</v>
      </c>
      <c r="P4095" s="9" t="s">
        <v>17748</v>
      </c>
      <c r="Q4095" s="11" t="s">
        <v>41611</v>
      </c>
      <c r="R4095" s="11" t="s">
        <v>41611</v>
      </c>
      <c r="S4095" s="11" t="s">
        <v>17750</v>
      </c>
    </row>
    <row r="4096" spans="1:19" x14ac:dyDescent="0.2">
      <c r="A4096" s="11" t="s">
        <v>41612</v>
      </c>
      <c r="B4096" s="9" t="s">
        <v>41613</v>
      </c>
      <c r="C4096" s="9" t="s">
        <v>41614</v>
      </c>
      <c r="D4096" s="9" t="s">
        <v>41615</v>
      </c>
      <c r="E4096" s="9" t="s">
        <v>17740</v>
      </c>
      <c r="F4096" s="9" t="s">
        <v>41616</v>
      </c>
      <c r="G4096" s="9" t="s">
        <v>17740</v>
      </c>
      <c r="H4096" s="11" t="s">
        <v>6952</v>
      </c>
      <c r="I4096" s="11" t="s">
        <v>6951</v>
      </c>
      <c r="J4096" s="11" t="s">
        <v>6951</v>
      </c>
      <c r="K4096" s="9" t="s">
        <v>41617</v>
      </c>
      <c r="L4096" s="9" t="s">
        <v>17759</v>
      </c>
      <c r="M4096" s="9" t="s">
        <v>33209</v>
      </c>
      <c r="N4096" s="9" t="s">
        <v>17746</v>
      </c>
      <c r="O4096" s="9" t="s">
        <v>22395</v>
      </c>
      <c r="P4096" s="9" t="s">
        <v>17748</v>
      </c>
      <c r="Q4096" s="11" t="s">
        <v>18201</v>
      </c>
      <c r="R4096" s="11" t="s">
        <v>18201</v>
      </c>
      <c r="S4096" s="11" t="s">
        <v>17750</v>
      </c>
    </row>
    <row r="4097" spans="1:19" x14ac:dyDescent="0.2">
      <c r="A4097" s="11" t="s">
        <v>41618</v>
      </c>
      <c r="B4097" s="9" t="s">
        <v>41619</v>
      </c>
      <c r="C4097" s="9" t="s">
        <v>41620</v>
      </c>
      <c r="D4097" s="9" t="s">
        <v>41621</v>
      </c>
      <c r="E4097" s="9" t="s">
        <v>17740</v>
      </c>
      <c r="F4097" s="9" t="s">
        <v>17741</v>
      </c>
      <c r="G4097" s="9" t="s">
        <v>17740</v>
      </c>
      <c r="H4097" s="11" t="s">
        <v>8165</v>
      </c>
      <c r="I4097" s="11" t="s">
        <v>8164</v>
      </c>
      <c r="J4097" s="11" t="s">
        <v>8164</v>
      </c>
      <c r="K4097" s="9" t="s">
        <v>41622</v>
      </c>
      <c r="L4097" s="9" t="s">
        <v>17744</v>
      </c>
      <c r="M4097" s="9" t="s">
        <v>17817</v>
      </c>
      <c r="N4097" s="9" t="s">
        <v>17746</v>
      </c>
      <c r="O4097" s="9" t="s">
        <v>18125</v>
      </c>
      <c r="P4097" s="9" t="s">
        <v>17748</v>
      </c>
      <c r="Q4097" s="11" t="s">
        <v>18356</v>
      </c>
      <c r="R4097" s="11" t="s">
        <v>18356</v>
      </c>
      <c r="S4097" s="11" t="s">
        <v>17750</v>
      </c>
    </row>
    <row r="4098" spans="1:19" x14ac:dyDescent="0.2">
      <c r="A4098" s="11" t="s">
        <v>41623</v>
      </c>
      <c r="B4098" s="9" t="s">
        <v>41624</v>
      </c>
      <c r="C4098" s="9" t="s">
        <v>41625</v>
      </c>
      <c r="D4098" s="9" t="s">
        <v>41626</v>
      </c>
      <c r="E4098" s="9" t="s">
        <v>17740</v>
      </c>
      <c r="F4098" s="9" t="s">
        <v>17741</v>
      </c>
      <c r="G4098" s="9" t="s">
        <v>17740</v>
      </c>
      <c r="H4098" s="11" t="s">
        <v>11316</v>
      </c>
      <c r="I4098" s="11" t="s">
        <v>11315</v>
      </c>
      <c r="J4098" s="11" t="s">
        <v>11315</v>
      </c>
      <c r="K4098" s="9" t="s">
        <v>19584</v>
      </c>
      <c r="L4098" s="9" t="s">
        <v>17759</v>
      </c>
      <c r="M4098" s="9" t="s">
        <v>17817</v>
      </c>
      <c r="N4098" s="9" t="s">
        <v>17746</v>
      </c>
      <c r="O4098" s="9" t="s">
        <v>19322</v>
      </c>
      <c r="P4098" s="9" t="s">
        <v>17748</v>
      </c>
      <c r="Q4098" s="11" t="s">
        <v>17984</v>
      </c>
      <c r="R4098" s="11" t="s">
        <v>17984</v>
      </c>
      <c r="S4098" s="11" t="s">
        <v>17750</v>
      </c>
    </row>
    <row r="4099" spans="1:19" x14ac:dyDescent="0.2">
      <c r="A4099" s="11" t="s">
        <v>41627</v>
      </c>
      <c r="B4099" s="9" t="s">
        <v>41628</v>
      </c>
      <c r="C4099" s="9" t="s">
        <v>41629</v>
      </c>
      <c r="D4099" s="9" t="s">
        <v>41630</v>
      </c>
      <c r="E4099" s="9" t="s">
        <v>17740</v>
      </c>
      <c r="F4099" s="9" t="s">
        <v>17741</v>
      </c>
      <c r="G4099" s="9" t="s">
        <v>17740</v>
      </c>
      <c r="H4099" s="11" t="s">
        <v>41631</v>
      </c>
      <c r="I4099" s="11" t="s">
        <v>41632</v>
      </c>
      <c r="J4099" s="11" t="s">
        <v>41632</v>
      </c>
      <c r="K4099" s="9" t="s">
        <v>19584</v>
      </c>
      <c r="L4099" s="9" t="s">
        <v>17744</v>
      </c>
      <c r="M4099" s="9" t="s">
        <v>17817</v>
      </c>
      <c r="N4099" s="9" t="s">
        <v>17746</v>
      </c>
      <c r="O4099" s="9" t="s">
        <v>17882</v>
      </c>
      <c r="P4099" s="9" t="s">
        <v>17748</v>
      </c>
      <c r="Q4099" s="11" t="s">
        <v>17825</v>
      </c>
      <c r="R4099" s="11" t="s">
        <v>17825</v>
      </c>
      <c r="S4099" s="11" t="s">
        <v>17750</v>
      </c>
    </row>
    <row r="4100" spans="1:19" x14ac:dyDescent="0.2">
      <c r="A4100" s="11" t="s">
        <v>41633</v>
      </c>
      <c r="B4100" s="9" t="s">
        <v>41634</v>
      </c>
      <c r="C4100" s="9" t="s">
        <v>41635</v>
      </c>
      <c r="D4100" s="9" t="s">
        <v>41636</v>
      </c>
      <c r="E4100" s="9" t="s">
        <v>17740</v>
      </c>
      <c r="F4100" s="9" t="s">
        <v>17741</v>
      </c>
      <c r="G4100" s="9" t="s">
        <v>17740</v>
      </c>
      <c r="H4100" s="11" t="s">
        <v>14734</v>
      </c>
      <c r="I4100" s="11" t="s">
        <v>17741</v>
      </c>
      <c r="J4100" s="11" t="s">
        <v>14734</v>
      </c>
      <c r="K4100" s="9" t="s">
        <v>19584</v>
      </c>
      <c r="L4100" s="9" t="s">
        <v>17744</v>
      </c>
      <c r="M4100" s="9" t="s">
        <v>17769</v>
      </c>
      <c r="N4100" s="9" t="s">
        <v>17746</v>
      </c>
      <c r="O4100" s="9" t="s">
        <v>20004</v>
      </c>
      <c r="P4100" s="9" t="s">
        <v>17748</v>
      </c>
      <c r="Q4100" s="11" t="s">
        <v>17900</v>
      </c>
      <c r="R4100" s="11" t="s">
        <v>17900</v>
      </c>
      <c r="S4100" s="11" t="s">
        <v>17750</v>
      </c>
    </row>
    <row r="4101" spans="1:19" x14ac:dyDescent="0.2">
      <c r="A4101" s="11" t="s">
        <v>41637</v>
      </c>
      <c r="B4101" s="9" t="s">
        <v>41638</v>
      </c>
      <c r="C4101" s="9" t="s">
        <v>41639</v>
      </c>
      <c r="D4101" s="9" t="s">
        <v>41640</v>
      </c>
      <c r="E4101" s="9" t="s">
        <v>17740</v>
      </c>
      <c r="F4101" s="9" t="s">
        <v>17741</v>
      </c>
      <c r="G4101" s="9" t="s">
        <v>17740</v>
      </c>
      <c r="H4101" s="11" t="s">
        <v>5907</v>
      </c>
      <c r="I4101" s="11" t="s">
        <v>5906</v>
      </c>
      <c r="J4101" s="11" t="s">
        <v>5906</v>
      </c>
      <c r="K4101" s="9" t="s">
        <v>41641</v>
      </c>
      <c r="L4101" s="9" t="s">
        <v>17759</v>
      </c>
      <c r="M4101" s="9" t="s">
        <v>17817</v>
      </c>
      <c r="N4101" s="9" t="s">
        <v>17746</v>
      </c>
      <c r="O4101" s="9" t="s">
        <v>18846</v>
      </c>
      <c r="P4101" s="9" t="s">
        <v>17748</v>
      </c>
      <c r="Q4101" s="11" t="s">
        <v>18147</v>
      </c>
      <c r="R4101" s="11" t="s">
        <v>18147</v>
      </c>
      <c r="S4101" s="11" t="s">
        <v>17750</v>
      </c>
    </row>
    <row r="4102" spans="1:19" x14ac:dyDescent="0.2">
      <c r="A4102" s="11" t="s">
        <v>41642</v>
      </c>
      <c r="B4102" s="9" t="s">
        <v>41643</v>
      </c>
      <c r="C4102" s="9" t="s">
        <v>41644</v>
      </c>
      <c r="D4102" s="9" t="s">
        <v>41645</v>
      </c>
      <c r="E4102" s="9" t="s">
        <v>17740</v>
      </c>
      <c r="F4102" s="9" t="s">
        <v>17741</v>
      </c>
      <c r="G4102" s="9" t="s">
        <v>17740</v>
      </c>
      <c r="H4102" s="11" t="s">
        <v>8736</v>
      </c>
      <c r="I4102" s="11" t="s">
        <v>8735</v>
      </c>
      <c r="J4102" s="11" t="s">
        <v>8735</v>
      </c>
      <c r="K4102" s="9" t="s">
        <v>41646</v>
      </c>
      <c r="L4102" s="9" t="s">
        <v>17759</v>
      </c>
      <c r="M4102" s="9" t="s">
        <v>17817</v>
      </c>
      <c r="N4102" s="9" t="s">
        <v>17746</v>
      </c>
      <c r="O4102" s="9" t="s">
        <v>18882</v>
      </c>
      <c r="P4102" s="9" t="s">
        <v>17748</v>
      </c>
      <c r="Q4102" s="11" t="s">
        <v>17784</v>
      </c>
      <c r="R4102" s="11" t="s">
        <v>17784</v>
      </c>
      <c r="S4102" s="11" t="s">
        <v>17750</v>
      </c>
    </row>
    <row r="4103" spans="1:19" x14ac:dyDescent="0.2">
      <c r="A4103" s="11" t="s">
        <v>41647</v>
      </c>
      <c r="B4103" s="9" t="s">
        <v>41648</v>
      </c>
      <c r="C4103" s="9" t="s">
        <v>41649</v>
      </c>
      <c r="D4103" s="9" t="s">
        <v>41650</v>
      </c>
      <c r="E4103" s="9" t="s">
        <v>17740</v>
      </c>
      <c r="F4103" s="9" t="s">
        <v>17741</v>
      </c>
      <c r="G4103" s="9" t="s">
        <v>17740</v>
      </c>
      <c r="H4103" s="11" t="s">
        <v>17741</v>
      </c>
      <c r="I4103" s="11" t="s">
        <v>41651</v>
      </c>
      <c r="J4103" s="11" t="s">
        <v>41651</v>
      </c>
      <c r="K4103" s="9" t="s">
        <v>19584</v>
      </c>
      <c r="L4103" s="9" t="s">
        <v>17744</v>
      </c>
      <c r="M4103" s="9" t="s">
        <v>17817</v>
      </c>
      <c r="N4103" s="9" t="s">
        <v>17746</v>
      </c>
      <c r="O4103" s="9" t="s">
        <v>41652</v>
      </c>
      <c r="P4103" s="9" t="s">
        <v>17748</v>
      </c>
      <c r="Q4103" s="11" t="s">
        <v>17994</v>
      </c>
      <c r="R4103" s="11" t="s">
        <v>17994</v>
      </c>
      <c r="S4103" s="11" t="s">
        <v>17750</v>
      </c>
    </row>
    <row r="4104" spans="1:19" x14ac:dyDescent="0.2">
      <c r="A4104" s="11" t="s">
        <v>41653</v>
      </c>
      <c r="B4104" s="9" t="s">
        <v>41654</v>
      </c>
      <c r="C4104" s="9" t="s">
        <v>41655</v>
      </c>
      <c r="D4104" s="9" t="s">
        <v>41656</v>
      </c>
      <c r="E4104" s="9" t="s">
        <v>17740</v>
      </c>
      <c r="F4104" s="9" t="s">
        <v>17741</v>
      </c>
      <c r="G4104" s="9" t="s">
        <v>17740</v>
      </c>
      <c r="H4104" s="11" t="s">
        <v>6501</v>
      </c>
      <c r="I4104" s="11" t="s">
        <v>6500</v>
      </c>
      <c r="J4104" s="11" t="s">
        <v>6500</v>
      </c>
      <c r="K4104" s="9" t="s">
        <v>41657</v>
      </c>
      <c r="L4104" s="9" t="s">
        <v>17759</v>
      </c>
      <c r="M4104" s="9" t="s">
        <v>17817</v>
      </c>
      <c r="N4104" s="9" t="s">
        <v>17746</v>
      </c>
      <c r="O4104" s="9" t="s">
        <v>41658</v>
      </c>
      <c r="P4104" s="9" t="s">
        <v>17748</v>
      </c>
      <c r="Q4104" s="11" t="s">
        <v>19361</v>
      </c>
      <c r="R4104" s="11" t="s">
        <v>19361</v>
      </c>
      <c r="S4104" s="11" t="s">
        <v>17750</v>
      </c>
    </row>
    <row r="4105" spans="1:19" x14ac:dyDescent="0.2">
      <c r="A4105" s="11" t="s">
        <v>41659</v>
      </c>
      <c r="B4105" s="9" t="s">
        <v>41660</v>
      </c>
      <c r="C4105" s="9" t="s">
        <v>41661</v>
      </c>
      <c r="D4105" s="9" t="s">
        <v>41662</v>
      </c>
      <c r="E4105" s="9" t="s">
        <v>17740</v>
      </c>
      <c r="F4105" s="9" t="s">
        <v>17741</v>
      </c>
      <c r="G4105" s="9" t="s">
        <v>17740</v>
      </c>
      <c r="H4105" s="11" t="s">
        <v>10551</v>
      </c>
      <c r="I4105" s="11" t="s">
        <v>10550</v>
      </c>
      <c r="J4105" s="11" t="s">
        <v>10550</v>
      </c>
      <c r="K4105" s="9" t="s">
        <v>19584</v>
      </c>
      <c r="L4105" s="9" t="s">
        <v>17759</v>
      </c>
      <c r="M4105" s="9" t="s">
        <v>17817</v>
      </c>
      <c r="N4105" s="9" t="s">
        <v>17746</v>
      </c>
      <c r="O4105" s="9" t="s">
        <v>20498</v>
      </c>
      <c r="P4105" s="9" t="s">
        <v>17748</v>
      </c>
      <c r="Q4105" s="11" t="s">
        <v>17780</v>
      </c>
      <c r="R4105" s="11" t="s">
        <v>17780</v>
      </c>
      <c r="S4105" s="11" t="s">
        <v>17750</v>
      </c>
    </row>
    <row r="4106" spans="1:19" x14ac:dyDescent="0.2">
      <c r="A4106" s="11" t="s">
        <v>41663</v>
      </c>
      <c r="B4106" s="9" t="s">
        <v>41664</v>
      </c>
      <c r="C4106" s="9" t="s">
        <v>41665</v>
      </c>
      <c r="D4106" s="9" t="s">
        <v>41666</v>
      </c>
      <c r="E4106" s="9" t="s">
        <v>17740</v>
      </c>
      <c r="F4106" s="9" t="s">
        <v>17741</v>
      </c>
      <c r="G4106" s="9" t="s">
        <v>17740</v>
      </c>
      <c r="H4106" s="11" t="s">
        <v>11746</v>
      </c>
      <c r="I4106" s="11" t="s">
        <v>11745</v>
      </c>
      <c r="J4106" s="11" t="s">
        <v>11745</v>
      </c>
      <c r="K4106" s="9" t="s">
        <v>19584</v>
      </c>
      <c r="L4106" s="9" t="s">
        <v>17744</v>
      </c>
      <c r="M4106" s="9" t="s">
        <v>17817</v>
      </c>
      <c r="N4106" s="9" t="s">
        <v>17746</v>
      </c>
      <c r="O4106" s="9" t="s">
        <v>17916</v>
      </c>
      <c r="P4106" s="9" t="s">
        <v>17748</v>
      </c>
      <c r="Q4106" s="11" t="s">
        <v>17762</v>
      </c>
      <c r="R4106" s="11" t="s">
        <v>17762</v>
      </c>
      <c r="S4106" s="11" t="s">
        <v>17750</v>
      </c>
    </row>
    <row r="4107" spans="1:19" x14ac:dyDescent="0.2">
      <c r="A4107" s="11" t="s">
        <v>41667</v>
      </c>
      <c r="B4107" s="9" t="s">
        <v>41668</v>
      </c>
      <c r="C4107" s="9" t="s">
        <v>41669</v>
      </c>
      <c r="D4107" s="9" t="s">
        <v>41670</v>
      </c>
      <c r="E4107" s="9" t="s">
        <v>17740</v>
      </c>
      <c r="F4107" s="9" t="s">
        <v>17741</v>
      </c>
      <c r="G4107" s="9" t="s">
        <v>17740</v>
      </c>
      <c r="H4107" s="11" t="s">
        <v>7789</v>
      </c>
      <c r="I4107" s="11" t="s">
        <v>7788</v>
      </c>
      <c r="J4107" s="11" t="s">
        <v>7788</v>
      </c>
      <c r="K4107" s="9" t="s">
        <v>315</v>
      </c>
      <c r="L4107" s="9" t="s">
        <v>17759</v>
      </c>
      <c r="M4107" s="9" t="s">
        <v>17817</v>
      </c>
      <c r="N4107" s="9" t="s">
        <v>17746</v>
      </c>
      <c r="O4107" s="9" t="s">
        <v>3100</v>
      </c>
      <c r="P4107" s="9" t="s">
        <v>17748</v>
      </c>
      <c r="Q4107" s="11" t="s">
        <v>18798</v>
      </c>
      <c r="R4107" s="11" t="s">
        <v>18798</v>
      </c>
      <c r="S4107" s="11" t="s">
        <v>17750</v>
      </c>
    </row>
    <row r="4108" spans="1:19" x14ac:dyDescent="0.2">
      <c r="A4108" s="11" t="s">
        <v>41671</v>
      </c>
      <c r="B4108" s="9" t="s">
        <v>41672</v>
      </c>
      <c r="C4108" s="9" t="s">
        <v>41673</v>
      </c>
      <c r="D4108" s="9" t="s">
        <v>41674</v>
      </c>
      <c r="E4108" s="9" t="s">
        <v>17740</v>
      </c>
      <c r="F4108" s="9" t="s">
        <v>17741</v>
      </c>
      <c r="G4108" s="9" t="s">
        <v>17740</v>
      </c>
      <c r="H4108" s="11" t="s">
        <v>11942</v>
      </c>
      <c r="I4108" s="11" t="s">
        <v>11941</v>
      </c>
      <c r="J4108" s="11" t="s">
        <v>11942</v>
      </c>
      <c r="K4108" s="9" t="s">
        <v>19584</v>
      </c>
      <c r="L4108" s="9" t="s">
        <v>17744</v>
      </c>
      <c r="M4108" s="9" t="s">
        <v>28602</v>
      </c>
      <c r="N4108" s="9" t="s">
        <v>17746</v>
      </c>
      <c r="O4108" s="9" t="s">
        <v>41675</v>
      </c>
      <c r="P4108" s="9" t="s">
        <v>17748</v>
      </c>
      <c r="Q4108" s="11" t="s">
        <v>17762</v>
      </c>
      <c r="R4108" s="11" t="s">
        <v>17762</v>
      </c>
      <c r="S4108" s="11" t="s">
        <v>17750</v>
      </c>
    </row>
    <row r="4109" spans="1:19" x14ac:dyDescent="0.2">
      <c r="A4109" s="11" t="s">
        <v>41676</v>
      </c>
      <c r="B4109" s="9" t="s">
        <v>41677</v>
      </c>
      <c r="C4109" s="9" t="s">
        <v>41678</v>
      </c>
      <c r="D4109" s="9" t="s">
        <v>41679</v>
      </c>
      <c r="E4109" s="9" t="s">
        <v>17740</v>
      </c>
      <c r="F4109" s="9" t="s">
        <v>17741</v>
      </c>
      <c r="G4109" s="9" t="s">
        <v>17740</v>
      </c>
      <c r="H4109" s="11" t="s">
        <v>9287</v>
      </c>
      <c r="I4109" s="11" t="s">
        <v>9286</v>
      </c>
      <c r="J4109" s="11" t="s">
        <v>9286</v>
      </c>
      <c r="K4109" s="9" t="s">
        <v>19584</v>
      </c>
      <c r="L4109" s="9" t="s">
        <v>17744</v>
      </c>
      <c r="M4109" s="9" t="s">
        <v>17817</v>
      </c>
      <c r="N4109" s="9" t="s">
        <v>17746</v>
      </c>
      <c r="O4109" s="9" t="s">
        <v>18363</v>
      </c>
      <c r="P4109" s="9" t="s">
        <v>17748</v>
      </c>
      <c r="Q4109" s="11" t="s">
        <v>18922</v>
      </c>
      <c r="R4109" s="11" t="s">
        <v>18922</v>
      </c>
      <c r="S4109" s="11" t="s">
        <v>17750</v>
      </c>
    </row>
    <row r="4110" spans="1:19" x14ac:dyDescent="0.2">
      <c r="A4110" s="11" t="s">
        <v>41680</v>
      </c>
      <c r="B4110" s="9" t="s">
        <v>41681</v>
      </c>
      <c r="C4110" s="9" t="s">
        <v>41682</v>
      </c>
      <c r="D4110" s="9" t="s">
        <v>41683</v>
      </c>
      <c r="E4110" s="9" t="s">
        <v>17748</v>
      </c>
      <c r="F4110" s="9" t="s">
        <v>41684</v>
      </c>
      <c r="G4110" s="9" t="s">
        <v>17740</v>
      </c>
      <c r="H4110" s="11" t="s">
        <v>13673</v>
      </c>
      <c r="I4110" s="11" t="s">
        <v>13672</v>
      </c>
      <c r="J4110" s="11" t="s">
        <v>13672</v>
      </c>
      <c r="K4110" s="9" t="s">
        <v>19584</v>
      </c>
      <c r="L4110" s="9" t="s">
        <v>17744</v>
      </c>
      <c r="M4110" s="9" t="s">
        <v>17817</v>
      </c>
      <c r="N4110" s="9" t="s">
        <v>17746</v>
      </c>
      <c r="O4110" s="9" t="s">
        <v>18009</v>
      </c>
      <c r="P4110" s="9" t="s">
        <v>17748</v>
      </c>
      <c r="Q4110" s="11" t="s">
        <v>17825</v>
      </c>
      <c r="R4110" s="11" t="s">
        <v>17825</v>
      </c>
      <c r="S4110" s="11" t="s">
        <v>17750</v>
      </c>
    </row>
    <row r="4111" spans="1:19" x14ac:dyDescent="0.2">
      <c r="A4111" s="11" t="s">
        <v>41685</v>
      </c>
      <c r="B4111" s="9" t="s">
        <v>41686</v>
      </c>
      <c r="C4111" s="9" t="s">
        <v>41687</v>
      </c>
      <c r="D4111" s="9" t="s">
        <v>41688</v>
      </c>
      <c r="E4111" s="9" t="s">
        <v>17748</v>
      </c>
      <c r="F4111" s="9" t="s">
        <v>41689</v>
      </c>
      <c r="G4111" s="9" t="s">
        <v>17740</v>
      </c>
      <c r="H4111" s="11" t="s">
        <v>13685</v>
      </c>
      <c r="I4111" s="11" t="s">
        <v>13684</v>
      </c>
      <c r="J4111" s="11" t="s">
        <v>13684</v>
      </c>
      <c r="K4111" s="9" t="s">
        <v>19584</v>
      </c>
      <c r="L4111" s="9" t="s">
        <v>17744</v>
      </c>
      <c r="M4111" s="9" t="s">
        <v>17817</v>
      </c>
      <c r="N4111" s="9" t="s">
        <v>17746</v>
      </c>
      <c r="O4111" s="9" t="s">
        <v>18363</v>
      </c>
      <c r="P4111" s="9" t="s">
        <v>17748</v>
      </c>
      <c r="Q4111" s="11" t="s">
        <v>17825</v>
      </c>
      <c r="R4111" s="11" t="s">
        <v>17825</v>
      </c>
      <c r="S4111" s="11" t="s">
        <v>17750</v>
      </c>
    </row>
    <row r="4112" spans="1:19" x14ac:dyDescent="0.2">
      <c r="A4112" s="11" t="s">
        <v>41690</v>
      </c>
      <c r="B4112" s="9" t="s">
        <v>41691</v>
      </c>
      <c r="C4112" s="9" t="s">
        <v>41692</v>
      </c>
      <c r="D4112" s="9" t="s">
        <v>41693</v>
      </c>
      <c r="E4112" s="9" t="s">
        <v>17740</v>
      </c>
      <c r="F4112" s="9" t="s">
        <v>17741</v>
      </c>
      <c r="G4112" s="9" t="s">
        <v>17740</v>
      </c>
      <c r="H4112" s="11" t="s">
        <v>9284</v>
      </c>
      <c r="I4112" s="11" t="s">
        <v>9283</v>
      </c>
      <c r="J4112" s="11" t="s">
        <v>9283</v>
      </c>
      <c r="K4112" s="9" t="s">
        <v>19584</v>
      </c>
      <c r="L4112" s="9" t="s">
        <v>17744</v>
      </c>
      <c r="M4112" s="9" t="s">
        <v>17817</v>
      </c>
      <c r="N4112" s="9" t="s">
        <v>17746</v>
      </c>
      <c r="O4112" s="9" t="s">
        <v>17779</v>
      </c>
      <c r="P4112" s="9" t="s">
        <v>17748</v>
      </c>
      <c r="Q4112" s="11" t="s">
        <v>17994</v>
      </c>
      <c r="R4112" s="11" t="s">
        <v>17994</v>
      </c>
      <c r="S4112" s="11" t="s">
        <v>17750</v>
      </c>
    </row>
    <row r="4113" spans="1:19" x14ac:dyDescent="0.2">
      <c r="A4113" s="11" t="s">
        <v>41694</v>
      </c>
      <c r="B4113" s="9" t="s">
        <v>41695</v>
      </c>
      <c r="C4113" s="9" t="s">
        <v>41696</v>
      </c>
      <c r="D4113" s="9" t="s">
        <v>41697</v>
      </c>
      <c r="E4113" s="9" t="s">
        <v>17748</v>
      </c>
      <c r="F4113" s="9" t="s">
        <v>41698</v>
      </c>
      <c r="G4113" s="9" t="s">
        <v>17740</v>
      </c>
      <c r="H4113" s="11" t="s">
        <v>13676</v>
      </c>
      <c r="I4113" s="11" t="s">
        <v>13675</v>
      </c>
      <c r="J4113" s="11" t="s">
        <v>13675</v>
      </c>
      <c r="K4113" s="9" t="s">
        <v>19584</v>
      </c>
      <c r="L4113" s="9" t="s">
        <v>17744</v>
      </c>
      <c r="M4113" s="9" t="s">
        <v>17817</v>
      </c>
      <c r="N4113" s="9" t="s">
        <v>17746</v>
      </c>
      <c r="O4113" s="9" t="s">
        <v>1535</v>
      </c>
      <c r="P4113" s="9" t="s">
        <v>17748</v>
      </c>
      <c r="Q4113" s="11" t="s">
        <v>17825</v>
      </c>
      <c r="R4113" s="11" t="s">
        <v>17825</v>
      </c>
      <c r="S4113" s="11" t="s">
        <v>17750</v>
      </c>
    </row>
    <row r="4114" spans="1:19" x14ac:dyDescent="0.2">
      <c r="A4114" s="11" t="s">
        <v>41699</v>
      </c>
      <c r="B4114" s="9" t="s">
        <v>41700</v>
      </c>
      <c r="C4114" s="9" t="s">
        <v>41701</v>
      </c>
      <c r="D4114" s="9" t="s">
        <v>41702</v>
      </c>
      <c r="E4114" s="9" t="s">
        <v>17748</v>
      </c>
      <c r="F4114" s="9" t="s">
        <v>41703</v>
      </c>
      <c r="G4114" s="9" t="s">
        <v>17740</v>
      </c>
      <c r="H4114" s="11" t="s">
        <v>13641</v>
      </c>
      <c r="I4114" s="11" t="s">
        <v>13640</v>
      </c>
      <c r="J4114" s="11" t="s">
        <v>13640</v>
      </c>
      <c r="K4114" s="9" t="s">
        <v>19584</v>
      </c>
      <c r="L4114" s="9" t="s">
        <v>17744</v>
      </c>
      <c r="M4114" s="9" t="s">
        <v>17817</v>
      </c>
      <c r="N4114" s="9" t="s">
        <v>17746</v>
      </c>
      <c r="O4114" s="9" t="s">
        <v>1675</v>
      </c>
      <c r="P4114" s="9" t="s">
        <v>17748</v>
      </c>
      <c r="Q4114" s="11" t="s">
        <v>17825</v>
      </c>
      <c r="R4114" s="11" t="s">
        <v>17825</v>
      </c>
      <c r="S4114" s="11" t="s">
        <v>17750</v>
      </c>
    </row>
    <row r="4115" spans="1:19" x14ac:dyDescent="0.2">
      <c r="A4115" s="11" t="s">
        <v>41704</v>
      </c>
      <c r="B4115" s="9" t="s">
        <v>41705</v>
      </c>
      <c r="C4115" s="9" t="s">
        <v>41706</v>
      </c>
      <c r="D4115" s="9" t="s">
        <v>41707</v>
      </c>
      <c r="E4115" s="9" t="s">
        <v>17740</v>
      </c>
      <c r="F4115" s="9" t="s">
        <v>17741</v>
      </c>
      <c r="G4115" s="9" t="s">
        <v>17740</v>
      </c>
      <c r="H4115" s="11" t="s">
        <v>8945</v>
      </c>
      <c r="I4115" s="11" t="s">
        <v>8944</v>
      </c>
      <c r="J4115" s="11" t="s">
        <v>8944</v>
      </c>
      <c r="K4115" s="9" t="s">
        <v>19584</v>
      </c>
      <c r="L4115" s="9" t="s">
        <v>17744</v>
      </c>
      <c r="M4115" s="9" t="s">
        <v>17817</v>
      </c>
      <c r="N4115" s="9" t="s">
        <v>17746</v>
      </c>
      <c r="O4115" s="9" t="s">
        <v>1690</v>
      </c>
      <c r="P4115" s="9" t="s">
        <v>17748</v>
      </c>
      <c r="Q4115" s="11" t="s">
        <v>17784</v>
      </c>
      <c r="R4115" s="11" t="s">
        <v>17784</v>
      </c>
      <c r="S4115" s="11" t="s">
        <v>17750</v>
      </c>
    </row>
    <row r="4116" spans="1:19" x14ac:dyDescent="0.2">
      <c r="A4116" s="11" t="s">
        <v>41708</v>
      </c>
      <c r="B4116" s="9" t="s">
        <v>41709</v>
      </c>
      <c r="C4116" s="9" t="s">
        <v>41710</v>
      </c>
      <c r="D4116" s="9" t="s">
        <v>41711</v>
      </c>
      <c r="E4116" s="9" t="s">
        <v>17740</v>
      </c>
      <c r="F4116" s="9" t="s">
        <v>17741</v>
      </c>
      <c r="G4116" s="9" t="s">
        <v>17740</v>
      </c>
      <c r="H4116" s="11" t="s">
        <v>9290</v>
      </c>
      <c r="I4116" s="11" t="s">
        <v>9289</v>
      </c>
      <c r="J4116" s="11" t="s">
        <v>9289</v>
      </c>
      <c r="K4116" s="9" t="s">
        <v>19584</v>
      </c>
      <c r="L4116" s="9" t="s">
        <v>17744</v>
      </c>
      <c r="M4116" s="9" t="s">
        <v>17817</v>
      </c>
      <c r="N4116" s="9" t="s">
        <v>17746</v>
      </c>
      <c r="O4116" s="9" t="s">
        <v>18882</v>
      </c>
      <c r="P4116" s="9" t="s">
        <v>17748</v>
      </c>
      <c r="Q4116" s="11" t="s">
        <v>18922</v>
      </c>
      <c r="R4116" s="11" t="s">
        <v>18922</v>
      </c>
      <c r="S4116" s="11" t="s">
        <v>17750</v>
      </c>
    </row>
    <row r="4117" spans="1:19" x14ac:dyDescent="0.2">
      <c r="A4117" s="11" t="s">
        <v>41712</v>
      </c>
      <c r="B4117" s="9" t="s">
        <v>41713</v>
      </c>
      <c r="C4117" s="9" t="s">
        <v>41714</v>
      </c>
      <c r="D4117" s="9" t="s">
        <v>41715</v>
      </c>
      <c r="E4117" s="9" t="s">
        <v>17740</v>
      </c>
      <c r="F4117" s="9" t="s">
        <v>17741</v>
      </c>
      <c r="G4117" s="9" t="s">
        <v>17740</v>
      </c>
      <c r="H4117" s="11" t="s">
        <v>10078</v>
      </c>
      <c r="I4117" s="11" t="s">
        <v>10077</v>
      </c>
      <c r="J4117" s="11" t="s">
        <v>10077</v>
      </c>
      <c r="K4117" s="9" t="s">
        <v>19584</v>
      </c>
      <c r="L4117" s="9" t="s">
        <v>17744</v>
      </c>
      <c r="M4117" s="9" t="s">
        <v>17817</v>
      </c>
      <c r="N4117" s="9" t="s">
        <v>17746</v>
      </c>
      <c r="O4117" s="9" t="s">
        <v>18746</v>
      </c>
      <c r="P4117" s="9" t="s">
        <v>17748</v>
      </c>
      <c r="Q4117" s="11" t="s">
        <v>17858</v>
      </c>
      <c r="R4117" s="11" t="s">
        <v>17858</v>
      </c>
      <c r="S4117" s="11" t="s">
        <v>17750</v>
      </c>
    </row>
    <row r="4118" spans="1:19" x14ac:dyDescent="0.2">
      <c r="A4118" s="11" t="s">
        <v>41716</v>
      </c>
      <c r="B4118" s="9" t="s">
        <v>41717</v>
      </c>
      <c r="C4118" s="9" t="s">
        <v>41718</v>
      </c>
      <c r="D4118" s="9" t="s">
        <v>41719</v>
      </c>
      <c r="E4118" s="9" t="s">
        <v>17740</v>
      </c>
      <c r="F4118" s="9" t="s">
        <v>17741</v>
      </c>
      <c r="G4118" s="9" t="s">
        <v>17740</v>
      </c>
      <c r="H4118" s="11" t="s">
        <v>8942</v>
      </c>
      <c r="I4118" s="11" t="s">
        <v>8941</v>
      </c>
      <c r="J4118" s="11" t="s">
        <v>8941</v>
      </c>
      <c r="K4118" s="9" t="s">
        <v>19584</v>
      </c>
      <c r="L4118" s="9" t="s">
        <v>17744</v>
      </c>
      <c r="M4118" s="9" t="s">
        <v>17817</v>
      </c>
      <c r="N4118" s="9" t="s">
        <v>17746</v>
      </c>
      <c r="O4118" s="9" t="s">
        <v>22268</v>
      </c>
      <c r="P4118" s="9" t="s">
        <v>17748</v>
      </c>
      <c r="Q4118" s="11" t="s">
        <v>17784</v>
      </c>
      <c r="R4118" s="11" t="s">
        <v>17784</v>
      </c>
      <c r="S4118" s="11" t="s">
        <v>17750</v>
      </c>
    </row>
    <row r="4119" spans="1:19" x14ac:dyDescent="0.2">
      <c r="A4119" s="11" t="s">
        <v>41720</v>
      </c>
      <c r="B4119" s="9" t="s">
        <v>41721</v>
      </c>
      <c r="C4119" s="9" t="s">
        <v>41722</v>
      </c>
      <c r="D4119" s="9" t="s">
        <v>41723</v>
      </c>
      <c r="E4119" s="9" t="s">
        <v>17748</v>
      </c>
      <c r="F4119" s="9" t="s">
        <v>41724</v>
      </c>
      <c r="G4119" s="9" t="s">
        <v>17740</v>
      </c>
      <c r="H4119" s="11" t="s">
        <v>13679</v>
      </c>
      <c r="I4119" s="11" t="s">
        <v>13678</v>
      </c>
      <c r="J4119" s="11" t="s">
        <v>13678</v>
      </c>
      <c r="K4119" s="9" t="s">
        <v>19584</v>
      </c>
      <c r="L4119" s="9" t="s">
        <v>17744</v>
      </c>
      <c r="M4119" s="9" t="s">
        <v>17817</v>
      </c>
      <c r="N4119" s="9" t="s">
        <v>17746</v>
      </c>
      <c r="O4119" s="9" t="s">
        <v>7269</v>
      </c>
      <c r="P4119" s="9" t="s">
        <v>17748</v>
      </c>
      <c r="Q4119" s="11" t="s">
        <v>17825</v>
      </c>
      <c r="R4119" s="11" t="s">
        <v>17825</v>
      </c>
      <c r="S4119" s="11" t="s">
        <v>17750</v>
      </c>
    </row>
    <row r="4120" spans="1:19" x14ac:dyDescent="0.2">
      <c r="A4120" s="11" t="s">
        <v>41725</v>
      </c>
      <c r="B4120" s="9" t="s">
        <v>41726</v>
      </c>
      <c r="C4120" s="9" t="s">
        <v>41727</v>
      </c>
      <c r="D4120" s="9" t="s">
        <v>41728</v>
      </c>
      <c r="E4120" s="9" t="s">
        <v>17748</v>
      </c>
      <c r="F4120" s="9" t="s">
        <v>41729</v>
      </c>
      <c r="G4120" s="9" t="s">
        <v>17740</v>
      </c>
      <c r="H4120" s="11" t="s">
        <v>13682</v>
      </c>
      <c r="I4120" s="11" t="s">
        <v>13681</v>
      </c>
      <c r="J4120" s="11" t="s">
        <v>13681</v>
      </c>
      <c r="K4120" s="9" t="s">
        <v>19584</v>
      </c>
      <c r="L4120" s="9" t="s">
        <v>17744</v>
      </c>
      <c r="M4120" s="9" t="s">
        <v>17817</v>
      </c>
      <c r="N4120" s="9" t="s">
        <v>17746</v>
      </c>
      <c r="O4120" s="9" t="s">
        <v>3100</v>
      </c>
      <c r="P4120" s="9" t="s">
        <v>17748</v>
      </c>
      <c r="Q4120" s="11" t="s">
        <v>17825</v>
      </c>
      <c r="R4120" s="11" t="s">
        <v>17825</v>
      </c>
      <c r="S4120" s="11" t="s">
        <v>17750</v>
      </c>
    </row>
    <row r="4121" spans="1:19" x14ac:dyDescent="0.2">
      <c r="A4121" s="11" t="s">
        <v>41730</v>
      </c>
      <c r="B4121" s="9" t="s">
        <v>41731</v>
      </c>
      <c r="C4121" s="9" t="s">
        <v>41732</v>
      </c>
      <c r="D4121" s="9" t="s">
        <v>41733</v>
      </c>
      <c r="E4121" s="9" t="s">
        <v>17740</v>
      </c>
      <c r="F4121" s="9" t="s">
        <v>17741</v>
      </c>
      <c r="G4121" s="9" t="s">
        <v>17740</v>
      </c>
      <c r="H4121" s="11" t="s">
        <v>9293</v>
      </c>
      <c r="I4121" s="11" t="s">
        <v>9292</v>
      </c>
      <c r="J4121" s="11" t="s">
        <v>9292</v>
      </c>
      <c r="K4121" s="9" t="s">
        <v>19584</v>
      </c>
      <c r="L4121" s="9" t="s">
        <v>17744</v>
      </c>
      <c r="M4121" s="9" t="s">
        <v>17817</v>
      </c>
      <c r="N4121" s="9" t="s">
        <v>17746</v>
      </c>
      <c r="O4121" s="9" t="s">
        <v>3100</v>
      </c>
      <c r="P4121" s="9" t="s">
        <v>17748</v>
      </c>
      <c r="Q4121" s="11" t="s">
        <v>17784</v>
      </c>
      <c r="R4121" s="11" t="s">
        <v>17784</v>
      </c>
      <c r="S4121" s="11" t="s">
        <v>17750</v>
      </c>
    </row>
    <row r="4122" spans="1:19" x14ac:dyDescent="0.2">
      <c r="A4122" s="11" t="s">
        <v>41734</v>
      </c>
      <c r="B4122" s="9" t="s">
        <v>41735</v>
      </c>
      <c r="C4122" s="9" t="s">
        <v>41736</v>
      </c>
      <c r="D4122" s="9" t="s">
        <v>41737</v>
      </c>
      <c r="E4122" s="9" t="s">
        <v>17748</v>
      </c>
      <c r="F4122" s="9" t="s">
        <v>41738</v>
      </c>
      <c r="G4122" s="9" t="s">
        <v>17740</v>
      </c>
      <c r="H4122" s="11" t="s">
        <v>13688</v>
      </c>
      <c r="I4122" s="11" t="s">
        <v>13687</v>
      </c>
      <c r="J4122" s="11" t="s">
        <v>13687</v>
      </c>
      <c r="K4122" s="9" t="s">
        <v>19584</v>
      </c>
      <c r="L4122" s="9" t="s">
        <v>17759</v>
      </c>
      <c r="M4122" s="9" t="s">
        <v>17817</v>
      </c>
      <c r="N4122" s="9" t="s">
        <v>17746</v>
      </c>
      <c r="O4122" s="9" t="s">
        <v>18534</v>
      </c>
      <c r="P4122" s="9" t="s">
        <v>17748</v>
      </c>
      <c r="Q4122" s="11" t="s">
        <v>17825</v>
      </c>
      <c r="R4122" s="11" t="s">
        <v>17825</v>
      </c>
      <c r="S4122" s="11" t="s">
        <v>17750</v>
      </c>
    </row>
    <row r="4123" spans="1:19" x14ac:dyDescent="0.2">
      <c r="A4123" s="11" t="s">
        <v>41739</v>
      </c>
      <c r="B4123" s="9" t="s">
        <v>41740</v>
      </c>
      <c r="C4123" s="9" t="s">
        <v>41741</v>
      </c>
      <c r="D4123" s="9" t="s">
        <v>41742</v>
      </c>
      <c r="E4123" s="9" t="s">
        <v>17748</v>
      </c>
      <c r="F4123" s="9" t="s">
        <v>41743</v>
      </c>
      <c r="G4123" s="9" t="s">
        <v>17740</v>
      </c>
      <c r="H4123" s="11" t="s">
        <v>13670</v>
      </c>
      <c r="I4123" s="11" t="s">
        <v>13669</v>
      </c>
      <c r="J4123" s="11" t="s">
        <v>13669</v>
      </c>
      <c r="K4123" s="9" t="s">
        <v>19584</v>
      </c>
      <c r="L4123" s="9" t="s">
        <v>17744</v>
      </c>
      <c r="M4123" s="9" t="s">
        <v>17817</v>
      </c>
      <c r="N4123" s="9" t="s">
        <v>17746</v>
      </c>
      <c r="O4123" s="9" t="s">
        <v>4025</v>
      </c>
      <c r="P4123" s="9" t="s">
        <v>17748</v>
      </c>
      <c r="Q4123" s="11" t="s">
        <v>17825</v>
      </c>
      <c r="R4123" s="11" t="s">
        <v>17825</v>
      </c>
      <c r="S4123" s="11" t="s">
        <v>17750</v>
      </c>
    </row>
    <row r="4124" spans="1:19" x14ac:dyDescent="0.2">
      <c r="A4124" s="11" t="s">
        <v>41744</v>
      </c>
      <c r="B4124" s="9" t="s">
        <v>41745</v>
      </c>
      <c r="C4124" s="9" t="s">
        <v>41746</v>
      </c>
      <c r="D4124" s="9" t="s">
        <v>41747</v>
      </c>
      <c r="E4124" s="9" t="s">
        <v>17748</v>
      </c>
      <c r="F4124" s="9" t="s">
        <v>41748</v>
      </c>
      <c r="G4124" s="9" t="s">
        <v>17740</v>
      </c>
      <c r="H4124" s="11" t="s">
        <v>10115</v>
      </c>
      <c r="I4124" s="11" t="s">
        <v>10114</v>
      </c>
      <c r="J4124" s="11" t="s">
        <v>10115</v>
      </c>
      <c r="K4124" s="9" t="s">
        <v>19584</v>
      </c>
      <c r="L4124" s="9" t="s">
        <v>17759</v>
      </c>
      <c r="M4124" s="9" t="s">
        <v>17817</v>
      </c>
      <c r="N4124" s="9" t="s">
        <v>17746</v>
      </c>
      <c r="O4124" s="9" t="s">
        <v>22268</v>
      </c>
      <c r="P4124" s="9" t="s">
        <v>17748</v>
      </c>
      <c r="Q4124" s="11" t="s">
        <v>17780</v>
      </c>
      <c r="R4124" s="11" t="s">
        <v>17780</v>
      </c>
      <c r="S4124" s="11" t="s">
        <v>17750</v>
      </c>
    </row>
    <row r="4125" spans="1:19" x14ac:dyDescent="0.2">
      <c r="A4125" s="11" t="s">
        <v>41749</v>
      </c>
      <c r="B4125" s="9" t="s">
        <v>41750</v>
      </c>
      <c r="C4125" s="9" t="s">
        <v>41751</v>
      </c>
      <c r="D4125" s="9" t="s">
        <v>41752</v>
      </c>
      <c r="E4125" s="9" t="s">
        <v>17740</v>
      </c>
      <c r="F4125" s="9" t="s">
        <v>41753</v>
      </c>
      <c r="G4125" s="9" t="s">
        <v>17740</v>
      </c>
      <c r="H4125" s="11" t="s">
        <v>41754</v>
      </c>
      <c r="I4125" s="11" t="s">
        <v>41755</v>
      </c>
      <c r="J4125" s="11" t="s">
        <v>41755</v>
      </c>
      <c r="K4125" s="9" t="s">
        <v>167</v>
      </c>
      <c r="L4125" s="9" t="s">
        <v>18158</v>
      </c>
      <c r="M4125" s="9" t="s">
        <v>17817</v>
      </c>
      <c r="N4125" s="9" t="s">
        <v>17746</v>
      </c>
      <c r="O4125" s="9" t="s">
        <v>3734</v>
      </c>
      <c r="P4125" s="9" t="s">
        <v>17748</v>
      </c>
      <c r="Q4125" s="11" t="s">
        <v>23666</v>
      </c>
      <c r="R4125" s="11" t="s">
        <v>23666</v>
      </c>
      <c r="S4125" s="11" t="s">
        <v>17750</v>
      </c>
    </row>
    <row r="4126" spans="1:19" x14ac:dyDescent="0.2">
      <c r="A4126" s="11" t="s">
        <v>41756</v>
      </c>
      <c r="B4126" s="9" t="s">
        <v>41757</v>
      </c>
      <c r="C4126" s="9" t="s">
        <v>41758</v>
      </c>
      <c r="D4126" s="9" t="s">
        <v>41759</v>
      </c>
      <c r="E4126" s="9" t="s">
        <v>17740</v>
      </c>
      <c r="F4126" s="9" t="s">
        <v>41760</v>
      </c>
      <c r="G4126" s="9" t="s">
        <v>17740</v>
      </c>
      <c r="H4126" s="11" t="s">
        <v>3183</v>
      </c>
      <c r="I4126" s="11" t="s">
        <v>3182</v>
      </c>
      <c r="J4126" s="11" t="s">
        <v>3182</v>
      </c>
      <c r="K4126" s="9" t="s">
        <v>41761</v>
      </c>
      <c r="L4126" s="9" t="s">
        <v>18158</v>
      </c>
      <c r="M4126" s="9" t="s">
        <v>17817</v>
      </c>
      <c r="N4126" s="9" t="s">
        <v>17746</v>
      </c>
      <c r="O4126" s="9" t="s">
        <v>3391</v>
      </c>
      <c r="P4126" s="9" t="s">
        <v>17748</v>
      </c>
      <c r="Q4126" s="11" t="s">
        <v>19082</v>
      </c>
      <c r="R4126" s="11" t="s">
        <v>19082</v>
      </c>
      <c r="S4126" s="11" t="s">
        <v>17750</v>
      </c>
    </row>
    <row r="4127" spans="1:19" x14ac:dyDescent="0.2">
      <c r="A4127" s="11" t="s">
        <v>41762</v>
      </c>
      <c r="B4127" s="9" t="s">
        <v>41763</v>
      </c>
      <c r="C4127" s="9" t="s">
        <v>41764</v>
      </c>
      <c r="D4127" s="9" t="s">
        <v>41765</v>
      </c>
      <c r="E4127" s="9" t="s">
        <v>17740</v>
      </c>
      <c r="F4127" s="9" t="s">
        <v>17741</v>
      </c>
      <c r="G4127" s="9" t="s">
        <v>17740</v>
      </c>
      <c r="H4127" s="11" t="s">
        <v>41766</v>
      </c>
      <c r="I4127" s="11" t="s">
        <v>41767</v>
      </c>
      <c r="J4127" s="11" t="s">
        <v>41767</v>
      </c>
      <c r="K4127" s="9" t="s">
        <v>41768</v>
      </c>
      <c r="L4127" s="9" t="s">
        <v>17759</v>
      </c>
      <c r="M4127" s="9" t="s">
        <v>17817</v>
      </c>
      <c r="N4127" s="9" t="s">
        <v>17746</v>
      </c>
      <c r="O4127" s="9" t="s">
        <v>27007</v>
      </c>
      <c r="P4127" s="9" t="s">
        <v>17748</v>
      </c>
      <c r="Q4127" s="11" t="s">
        <v>17917</v>
      </c>
      <c r="R4127" s="11" t="s">
        <v>17917</v>
      </c>
      <c r="S4127" s="11" t="s">
        <v>17750</v>
      </c>
    </row>
    <row r="4128" spans="1:19" x14ac:dyDescent="0.2">
      <c r="A4128" s="11" t="s">
        <v>41769</v>
      </c>
      <c r="B4128" s="9" t="s">
        <v>41770</v>
      </c>
      <c r="C4128" s="9" t="s">
        <v>41771</v>
      </c>
      <c r="D4128" s="9" t="s">
        <v>41772</v>
      </c>
      <c r="E4128" s="9" t="s">
        <v>17740</v>
      </c>
      <c r="F4128" s="9" t="s">
        <v>17741</v>
      </c>
      <c r="G4128" s="9" t="s">
        <v>17740</v>
      </c>
      <c r="H4128" s="11" t="s">
        <v>17741</v>
      </c>
      <c r="I4128" s="11" t="s">
        <v>41773</v>
      </c>
      <c r="J4128" s="11" t="s">
        <v>41773</v>
      </c>
      <c r="K4128" s="9" t="s">
        <v>41774</v>
      </c>
      <c r="L4128" s="9" t="s">
        <v>17759</v>
      </c>
      <c r="M4128" s="9" t="s">
        <v>41775</v>
      </c>
      <c r="N4128" s="9" t="s">
        <v>17746</v>
      </c>
      <c r="O4128" s="9" t="s">
        <v>19275</v>
      </c>
      <c r="P4128" s="9" t="s">
        <v>17748</v>
      </c>
      <c r="Q4128" s="11" t="s">
        <v>17792</v>
      </c>
      <c r="R4128" s="11" t="s">
        <v>17792</v>
      </c>
      <c r="S4128" s="11" t="s">
        <v>17750</v>
      </c>
    </row>
    <row r="4129" spans="1:19" x14ac:dyDescent="0.2">
      <c r="A4129" s="11" t="s">
        <v>41776</v>
      </c>
      <c r="B4129" s="9" t="s">
        <v>41777</v>
      </c>
      <c r="C4129" s="9" t="s">
        <v>41778</v>
      </c>
      <c r="D4129" s="9" t="s">
        <v>41779</v>
      </c>
      <c r="E4129" s="9" t="s">
        <v>17740</v>
      </c>
      <c r="F4129" s="9" t="s">
        <v>17741</v>
      </c>
      <c r="G4129" s="9" t="s">
        <v>17740</v>
      </c>
      <c r="H4129" s="11" t="s">
        <v>17741</v>
      </c>
      <c r="I4129" s="11" t="s">
        <v>41780</v>
      </c>
      <c r="J4129" s="11" t="s">
        <v>41780</v>
      </c>
      <c r="K4129" s="9" t="s">
        <v>41781</v>
      </c>
      <c r="L4129" s="9" t="s">
        <v>17759</v>
      </c>
      <c r="M4129" s="9" t="s">
        <v>17760</v>
      </c>
      <c r="N4129" s="9" t="s">
        <v>17746</v>
      </c>
      <c r="O4129" s="9" t="s">
        <v>17800</v>
      </c>
      <c r="P4129" s="9" t="s">
        <v>17748</v>
      </c>
      <c r="Q4129" s="11" t="s">
        <v>18847</v>
      </c>
      <c r="R4129" s="11" t="s">
        <v>18847</v>
      </c>
      <c r="S4129" s="11" t="s">
        <v>17750</v>
      </c>
    </row>
    <row r="4130" spans="1:19" x14ac:dyDescent="0.2">
      <c r="A4130" s="11" t="s">
        <v>41782</v>
      </c>
      <c r="B4130" s="9" t="s">
        <v>41783</v>
      </c>
      <c r="C4130" s="9" t="s">
        <v>41784</v>
      </c>
      <c r="D4130" s="9" t="s">
        <v>41785</v>
      </c>
      <c r="E4130" s="9" t="s">
        <v>17740</v>
      </c>
      <c r="F4130" s="9" t="s">
        <v>41786</v>
      </c>
      <c r="G4130" s="9" t="s">
        <v>17740</v>
      </c>
      <c r="H4130" s="11" t="s">
        <v>17741</v>
      </c>
      <c r="I4130" s="11" t="s">
        <v>41787</v>
      </c>
      <c r="J4130" s="11" t="s">
        <v>41787</v>
      </c>
      <c r="K4130" s="9" t="s">
        <v>41788</v>
      </c>
      <c r="L4130" s="9" t="s">
        <v>17759</v>
      </c>
      <c r="M4130" s="9" t="s">
        <v>18745</v>
      </c>
      <c r="N4130" s="9" t="s">
        <v>17746</v>
      </c>
      <c r="O4130" s="9" t="s">
        <v>19095</v>
      </c>
      <c r="P4130" s="9" t="s">
        <v>17748</v>
      </c>
      <c r="Q4130" s="11" t="s">
        <v>17969</v>
      </c>
      <c r="R4130" s="11" t="s">
        <v>17969</v>
      </c>
      <c r="S4130" s="11" t="s">
        <v>17750</v>
      </c>
    </row>
    <row r="4131" spans="1:19" x14ac:dyDescent="0.2">
      <c r="A4131" s="11" t="s">
        <v>41789</v>
      </c>
      <c r="B4131" s="9" t="s">
        <v>41790</v>
      </c>
      <c r="C4131" s="9" t="s">
        <v>41791</v>
      </c>
      <c r="D4131" s="9" t="s">
        <v>41792</v>
      </c>
      <c r="E4131" s="9" t="s">
        <v>17740</v>
      </c>
      <c r="F4131" s="9" t="s">
        <v>41793</v>
      </c>
      <c r="G4131" s="9" t="s">
        <v>17740</v>
      </c>
      <c r="H4131" s="11" t="s">
        <v>41794</v>
      </c>
      <c r="I4131" s="11" t="s">
        <v>3092</v>
      </c>
      <c r="J4131" s="11" t="s">
        <v>3092</v>
      </c>
      <c r="K4131" s="9" t="s">
        <v>3093</v>
      </c>
      <c r="L4131" s="9" t="s">
        <v>18001</v>
      </c>
      <c r="M4131" s="9" t="s">
        <v>23186</v>
      </c>
      <c r="N4131" s="9" t="s">
        <v>17930</v>
      </c>
      <c r="O4131" s="9" t="s">
        <v>17993</v>
      </c>
      <c r="P4131" s="9" t="s">
        <v>17748</v>
      </c>
      <c r="Q4131" s="11" t="s">
        <v>17937</v>
      </c>
      <c r="R4131" s="11" t="s">
        <v>17937</v>
      </c>
      <c r="S4131" s="11" t="s">
        <v>17750</v>
      </c>
    </row>
    <row r="4132" spans="1:19" x14ac:dyDescent="0.2">
      <c r="A4132" s="11" t="s">
        <v>41795</v>
      </c>
      <c r="B4132" s="9" t="s">
        <v>41796</v>
      </c>
      <c r="C4132" s="9" t="s">
        <v>41797</v>
      </c>
      <c r="D4132" s="9" t="s">
        <v>41798</v>
      </c>
      <c r="E4132" s="9" t="s">
        <v>17740</v>
      </c>
      <c r="F4132" s="9" t="s">
        <v>41799</v>
      </c>
      <c r="G4132" s="9" t="s">
        <v>17740</v>
      </c>
      <c r="H4132" s="11" t="s">
        <v>17741</v>
      </c>
      <c r="I4132" s="11" t="s">
        <v>41800</v>
      </c>
      <c r="J4132" s="11" t="s">
        <v>41800</v>
      </c>
      <c r="K4132" s="9" t="s">
        <v>41801</v>
      </c>
      <c r="L4132" s="9" t="s">
        <v>18001</v>
      </c>
      <c r="M4132" s="9" t="s">
        <v>17817</v>
      </c>
      <c r="N4132" s="9" t="s">
        <v>17930</v>
      </c>
      <c r="O4132" s="9" t="s">
        <v>18340</v>
      </c>
      <c r="P4132" s="9" t="s">
        <v>17748</v>
      </c>
      <c r="Q4132" s="11" t="s">
        <v>18314</v>
      </c>
      <c r="R4132" s="11" t="s">
        <v>18314</v>
      </c>
      <c r="S4132" s="11" t="s">
        <v>17750</v>
      </c>
    </row>
    <row r="4133" spans="1:19" x14ac:dyDescent="0.2">
      <c r="A4133" s="11" t="s">
        <v>41802</v>
      </c>
      <c r="B4133" s="9" t="s">
        <v>41803</v>
      </c>
      <c r="C4133" s="9" t="s">
        <v>41804</v>
      </c>
      <c r="D4133" s="9" t="s">
        <v>41805</v>
      </c>
      <c r="E4133" s="9" t="s">
        <v>17740</v>
      </c>
      <c r="F4133" s="9" t="s">
        <v>17741</v>
      </c>
      <c r="G4133" s="9" t="s">
        <v>17740</v>
      </c>
      <c r="H4133" s="11" t="s">
        <v>41806</v>
      </c>
      <c r="I4133" s="11" t="s">
        <v>41807</v>
      </c>
      <c r="J4133" s="11" t="s">
        <v>41807</v>
      </c>
      <c r="K4133" s="9" t="s">
        <v>41808</v>
      </c>
      <c r="L4133" s="9" t="s">
        <v>18439</v>
      </c>
      <c r="M4133" s="9" t="s">
        <v>17769</v>
      </c>
      <c r="N4133" s="9" t="s">
        <v>18171</v>
      </c>
      <c r="O4133" s="9" t="s">
        <v>7269</v>
      </c>
      <c r="P4133" s="9" t="s">
        <v>17748</v>
      </c>
      <c r="Q4133" s="11" t="s">
        <v>18433</v>
      </c>
      <c r="R4133" s="11" t="s">
        <v>18433</v>
      </c>
      <c r="S4133" s="11" t="s">
        <v>17750</v>
      </c>
    </row>
    <row r="4134" spans="1:19" x14ac:dyDescent="0.2">
      <c r="A4134" s="11" t="s">
        <v>41809</v>
      </c>
      <c r="B4134" s="9" t="s">
        <v>41810</v>
      </c>
      <c r="C4134" s="9" t="s">
        <v>41811</v>
      </c>
      <c r="D4134" s="9" t="s">
        <v>41812</v>
      </c>
      <c r="E4134" s="9" t="s">
        <v>17740</v>
      </c>
      <c r="F4134" s="9" t="s">
        <v>17741</v>
      </c>
      <c r="G4134" s="9" t="s">
        <v>17740</v>
      </c>
      <c r="H4134" s="11" t="s">
        <v>41813</v>
      </c>
      <c r="I4134" s="11" t="s">
        <v>41814</v>
      </c>
      <c r="J4134" s="11" t="s">
        <v>41814</v>
      </c>
      <c r="K4134" s="9" t="s">
        <v>41815</v>
      </c>
      <c r="L4134" s="9" t="s">
        <v>17759</v>
      </c>
      <c r="M4134" s="9" t="s">
        <v>41816</v>
      </c>
      <c r="N4134" s="9" t="s">
        <v>17746</v>
      </c>
      <c r="O4134" s="9" t="s">
        <v>37510</v>
      </c>
      <c r="P4134" s="9" t="s">
        <v>17748</v>
      </c>
      <c r="Q4134" s="11" t="s">
        <v>18433</v>
      </c>
      <c r="R4134" s="11" t="s">
        <v>18433</v>
      </c>
      <c r="S4134" s="11" t="s">
        <v>17750</v>
      </c>
    </row>
    <row r="4135" spans="1:19" x14ac:dyDescent="0.2">
      <c r="A4135" s="11" t="s">
        <v>41817</v>
      </c>
      <c r="B4135" s="9" t="s">
        <v>11606</v>
      </c>
      <c r="C4135" s="9" t="s">
        <v>41818</v>
      </c>
      <c r="D4135" s="9" t="s">
        <v>11606</v>
      </c>
      <c r="E4135" s="9" t="s">
        <v>17748</v>
      </c>
      <c r="F4135" s="9" t="s">
        <v>41819</v>
      </c>
      <c r="G4135" s="9" t="s">
        <v>17740</v>
      </c>
      <c r="H4135" s="11" t="s">
        <v>11608</v>
      </c>
      <c r="I4135" s="11" t="s">
        <v>11607</v>
      </c>
      <c r="J4135" s="11" t="s">
        <v>11607</v>
      </c>
      <c r="K4135" s="9" t="s">
        <v>18122</v>
      </c>
      <c r="L4135" s="9" t="s">
        <v>18123</v>
      </c>
      <c r="M4135" s="9" t="s">
        <v>18177</v>
      </c>
      <c r="N4135" s="9" t="s">
        <v>17746</v>
      </c>
      <c r="O4135" s="9" t="s">
        <v>8489</v>
      </c>
      <c r="P4135" s="9" t="s">
        <v>17748</v>
      </c>
      <c r="Q4135" s="11" t="s">
        <v>17917</v>
      </c>
      <c r="R4135" s="11" t="s">
        <v>17917</v>
      </c>
      <c r="S4135" s="11" t="s">
        <v>17750</v>
      </c>
    </row>
    <row r="4136" spans="1:19" x14ac:dyDescent="0.2">
      <c r="A4136" s="11" t="s">
        <v>41820</v>
      </c>
      <c r="B4136" s="9" t="s">
        <v>41821</v>
      </c>
      <c r="C4136" s="9" t="s">
        <v>41822</v>
      </c>
      <c r="D4136" s="9" t="s">
        <v>41823</v>
      </c>
      <c r="E4136" s="9" t="s">
        <v>17740</v>
      </c>
      <c r="F4136" s="9" t="s">
        <v>17741</v>
      </c>
      <c r="G4136" s="9" t="s">
        <v>17740</v>
      </c>
      <c r="H4136" s="11" t="s">
        <v>8171</v>
      </c>
      <c r="I4136" s="11" t="s">
        <v>8170</v>
      </c>
      <c r="J4136" s="11" t="s">
        <v>8171</v>
      </c>
      <c r="K4136" s="9" t="s">
        <v>35072</v>
      </c>
      <c r="L4136" s="9" t="s">
        <v>18959</v>
      </c>
      <c r="M4136" s="9" t="s">
        <v>18417</v>
      </c>
      <c r="N4136" s="9" t="s">
        <v>17746</v>
      </c>
      <c r="O4136" s="9" t="s">
        <v>18363</v>
      </c>
      <c r="P4136" s="9" t="s">
        <v>17748</v>
      </c>
      <c r="Q4136" s="11" t="s">
        <v>18356</v>
      </c>
      <c r="R4136" s="11" t="s">
        <v>18356</v>
      </c>
      <c r="S4136" s="11" t="s">
        <v>17750</v>
      </c>
    </row>
    <row r="4137" spans="1:19" x14ac:dyDescent="0.2">
      <c r="A4137" s="11" t="s">
        <v>41824</v>
      </c>
      <c r="B4137" s="9" t="s">
        <v>3073</v>
      </c>
      <c r="C4137" s="9" t="s">
        <v>41825</v>
      </c>
      <c r="D4137" s="9" t="s">
        <v>3073</v>
      </c>
      <c r="E4137" s="9" t="s">
        <v>17740</v>
      </c>
      <c r="F4137" s="9" t="s">
        <v>41826</v>
      </c>
      <c r="G4137" s="9" t="s">
        <v>17740</v>
      </c>
      <c r="H4137" s="11" t="s">
        <v>17741</v>
      </c>
      <c r="I4137" s="11" t="s">
        <v>3074</v>
      </c>
      <c r="J4137" s="11" t="s">
        <v>3074</v>
      </c>
      <c r="K4137" s="9" t="s">
        <v>41827</v>
      </c>
      <c r="L4137" s="9" t="s">
        <v>18577</v>
      </c>
      <c r="M4137" s="9" t="s">
        <v>17769</v>
      </c>
      <c r="N4137" s="9" t="s">
        <v>17746</v>
      </c>
      <c r="O4137" s="9" t="s">
        <v>18363</v>
      </c>
      <c r="P4137" s="9" t="s">
        <v>17748</v>
      </c>
      <c r="Q4137" s="11" t="s">
        <v>17937</v>
      </c>
      <c r="R4137" s="11" t="s">
        <v>17937</v>
      </c>
      <c r="S4137" s="11" t="s">
        <v>17750</v>
      </c>
    </row>
    <row r="4138" spans="1:19" x14ac:dyDescent="0.2">
      <c r="A4138" s="11" t="s">
        <v>41828</v>
      </c>
      <c r="B4138" s="9" t="s">
        <v>41829</v>
      </c>
      <c r="C4138" s="9" t="s">
        <v>41830</v>
      </c>
      <c r="D4138" s="9" t="s">
        <v>41831</v>
      </c>
      <c r="E4138" s="9" t="s">
        <v>17740</v>
      </c>
      <c r="F4138" s="9" t="s">
        <v>41832</v>
      </c>
      <c r="G4138" s="9" t="s">
        <v>17740</v>
      </c>
      <c r="H4138" s="11" t="s">
        <v>41833</v>
      </c>
      <c r="I4138" s="11" t="s">
        <v>41834</v>
      </c>
      <c r="J4138" s="11" t="s">
        <v>41834</v>
      </c>
      <c r="K4138" s="9" t="s">
        <v>17783</v>
      </c>
      <c r="L4138" s="9" t="s">
        <v>18001</v>
      </c>
      <c r="M4138" s="9" t="s">
        <v>23678</v>
      </c>
      <c r="N4138" s="9" t="s">
        <v>17746</v>
      </c>
      <c r="O4138" s="9" t="s">
        <v>19859</v>
      </c>
      <c r="P4138" s="9" t="s">
        <v>17748</v>
      </c>
      <c r="Q4138" s="11" t="s">
        <v>18922</v>
      </c>
      <c r="R4138" s="11" t="s">
        <v>18922</v>
      </c>
      <c r="S4138" s="11" t="s">
        <v>17750</v>
      </c>
    </row>
    <row r="4139" spans="1:19" x14ac:dyDescent="0.2">
      <c r="A4139" s="11" t="s">
        <v>41835</v>
      </c>
      <c r="B4139" s="9" t="s">
        <v>41836</v>
      </c>
      <c r="C4139" s="9" t="s">
        <v>41837</v>
      </c>
      <c r="D4139" s="9" t="s">
        <v>41838</v>
      </c>
      <c r="E4139" s="9" t="s">
        <v>17740</v>
      </c>
      <c r="F4139" s="9" t="s">
        <v>17741</v>
      </c>
      <c r="G4139" s="9" t="s">
        <v>17740</v>
      </c>
      <c r="H4139" s="11" t="s">
        <v>17741</v>
      </c>
      <c r="I4139" s="11" t="s">
        <v>17741</v>
      </c>
      <c r="J4139" s="11" t="s">
        <v>17741</v>
      </c>
      <c r="K4139" s="9" t="s">
        <v>25400</v>
      </c>
      <c r="L4139" s="9" t="s">
        <v>33560</v>
      </c>
      <c r="M4139" s="9" t="s">
        <v>18211</v>
      </c>
      <c r="N4139" s="9" t="s">
        <v>17746</v>
      </c>
      <c r="O4139" s="9" t="s">
        <v>17993</v>
      </c>
      <c r="P4139" s="9" t="s">
        <v>17748</v>
      </c>
      <c r="Q4139" s="11" t="s">
        <v>18798</v>
      </c>
      <c r="R4139" s="11" t="s">
        <v>18798</v>
      </c>
      <c r="S4139" s="11" t="s">
        <v>17750</v>
      </c>
    </row>
    <row r="4140" spans="1:19" x14ac:dyDescent="0.2">
      <c r="A4140" s="11" t="s">
        <v>41839</v>
      </c>
      <c r="B4140" s="9" t="s">
        <v>41840</v>
      </c>
      <c r="C4140" s="9" t="s">
        <v>41841</v>
      </c>
      <c r="D4140" s="9" t="s">
        <v>41842</v>
      </c>
      <c r="E4140" s="9" t="s">
        <v>17740</v>
      </c>
      <c r="F4140" s="9" t="s">
        <v>17741</v>
      </c>
      <c r="G4140" s="9" t="s">
        <v>17740</v>
      </c>
      <c r="H4140" s="11" t="s">
        <v>41843</v>
      </c>
      <c r="I4140" s="11" t="s">
        <v>41844</v>
      </c>
      <c r="J4140" s="11" t="s">
        <v>41844</v>
      </c>
      <c r="K4140" s="9" t="s">
        <v>41845</v>
      </c>
      <c r="L4140" s="9" t="s">
        <v>33560</v>
      </c>
      <c r="M4140" s="9" t="s">
        <v>18211</v>
      </c>
      <c r="N4140" s="9" t="s">
        <v>17746</v>
      </c>
      <c r="O4140" s="9" t="s">
        <v>3255</v>
      </c>
      <c r="P4140" s="9" t="s">
        <v>17748</v>
      </c>
      <c r="Q4140" s="11" t="s">
        <v>17825</v>
      </c>
      <c r="R4140" s="11" t="s">
        <v>17825</v>
      </c>
      <c r="S4140" s="11" t="s">
        <v>17750</v>
      </c>
    </row>
    <row r="4141" spans="1:19" x14ac:dyDescent="0.2">
      <c r="A4141" s="11" t="s">
        <v>41846</v>
      </c>
      <c r="B4141" s="9" t="s">
        <v>41847</v>
      </c>
      <c r="C4141" s="9" t="s">
        <v>41848</v>
      </c>
      <c r="D4141" s="9" t="s">
        <v>41849</v>
      </c>
      <c r="E4141" s="9" t="s">
        <v>17740</v>
      </c>
      <c r="F4141" s="9" t="s">
        <v>41850</v>
      </c>
      <c r="G4141" s="9" t="s">
        <v>17740</v>
      </c>
      <c r="H4141" s="11" t="s">
        <v>10821</v>
      </c>
      <c r="I4141" s="11" t="s">
        <v>10820</v>
      </c>
      <c r="J4141" s="11" t="s">
        <v>10820</v>
      </c>
      <c r="K4141" s="9" t="s">
        <v>91</v>
      </c>
      <c r="L4141" s="9" t="s">
        <v>20359</v>
      </c>
      <c r="M4141" s="9" t="s">
        <v>17769</v>
      </c>
      <c r="N4141" s="9" t="s">
        <v>17746</v>
      </c>
      <c r="O4141" s="9" t="s">
        <v>30997</v>
      </c>
      <c r="P4141" s="9" t="s">
        <v>17748</v>
      </c>
      <c r="Q4141" s="11" t="s">
        <v>17984</v>
      </c>
      <c r="R4141" s="11" t="s">
        <v>17984</v>
      </c>
      <c r="S4141" s="11" t="s">
        <v>17750</v>
      </c>
    </row>
    <row r="4142" spans="1:19" x14ac:dyDescent="0.2">
      <c r="A4142" s="11" t="s">
        <v>41851</v>
      </c>
      <c r="B4142" s="9" t="s">
        <v>41852</v>
      </c>
      <c r="C4142" s="9" t="s">
        <v>41853</v>
      </c>
      <c r="D4142" s="9" t="s">
        <v>41854</v>
      </c>
      <c r="E4142" s="9" t="s">
        <v>17740</v>
      </c>
      <c r="F4142" s="9" t="s">
        <v>17741</v>
      </c>
      <c r="G4142" s="9" t="s">
        <v>17740</v>
      </c>
      <c r="H4142" s="11" t="s">
        <v>7271</v>
      </c>
      <c r="I4142" s="11" t="s">
        <v>7270</v>
      </c>
      <c r="J4142" s="11" t="s">
        <v>7270</v>
      </c>
      <c r="K4142" s="9" t="s">
        <v>22893</v>
      </c>
      <c r="L4142" s="9" t="s">
        <v>20082</v>
      </c>
      <c r="M4142" s="9" t="s">
        <v>26134</v>
      </c>
      <c r="N4142" s="9" t="s">
        <v>17746</v>
      </c>
      <c r="O4142" s="9" t="s">
        <v>7269</v>
      </c>
      <c r="P4142" s="9" t="s">
        <v>17748</v>
      </c>
      <c r="Q4142" s="11" t="s">
        <v>19361</v>
      </c>
      <c r="R4142" s="11" t="s">
        <v>19361</v>
      </c>
      <c r="S4142" s="11" t="s">
        <v>17750</v>
      </c>
    </row>
    <row r="4143" spans="1:19" x14ac:dyDescent="0.2">
      <c r="A4143" s="11" t="s">
        <v>41855</v>
      </c>
      <c r="B4143" s="9" t="s">
        <v>41856</v>
      </c>
      <c r="C4143" s="9" t="s">
        <v>41857</v>
      </c>
      <c r="D4143" s="9" t="s">
        <v>41858</v>
      </c>
      <c r="E4143" s="9" t="s">
        <v>17740</v>
      </c>
      <c r="F4143" s="9" t="s">
        <v>17741</v>
      </c>
      <c r="G4143" s="9" t="s">
        <v>17740</v>
      </c>
      <c r="H4143" s="11" t="s">
        <v>17741</v>
      </c>
      <c r="I4143" s="11" t="s">
        <v>41859</v>
      </c>
      <c r="J4143" s="11" t="s">
        <v>41859</v>
      </c>
      <c r="K4143" s="9" t="s">
        <v>41860</v>
      </c>
      <c r="L4143" s="9" t="s">
        <v>17759</v>
      </c>
      <c r="M4143" s="9" t="s">
        <v>17817</v>
      </c>
      <c r="N4143" s="9" t="s">
        <v>17746</v>
      </c>
      <c r="O4143" s="9" t="s">
        <v>38031</v>
      </c>
      <c r="P4143" s="9" t="s">
        <v>17748</v>
      </c>
      <c r="Q4143" s="11" t="s">
        <v>18364</v>
      </c>
      <c r="R4143" s="11" t="s">
        <v>18364</v>
      </c>
      <c r="S4143" s="11" t="s">
        <v>17750</v>
      </c>
    </row>
    <row r="4144" spans="1:19" x14ac:dyDescent="0.2">
      <c r="A4144" s="11" t="s">
        <v>41861</v>
      </c>
      <c r="B4144" s="9" t="s">
        <v>41862</v>
      </c>
      <c r="C4144" s="9" t="s">
        <v>41863</v>
      </c>
      <c r="D4144" s="9" t="s">
        <v>41864</v>
      </c>
      <c r="E4144" s="9" t="s">
        <v>17748</v>
      </c>
      <c r="F4144" s="9" t="s">
        <v>41865</v>
      </c>
      <c r="G4144" s="9" t="s">
        <v>17740</v>
      </c>
      <c r="H4144" s="11" t="s">
        <v>17741</v>
      </c>
      <c r="I4144" s="11" t="s">
        <v>41866</v>
      </c>
      <c r="J4144" s="11" t="s">
        <v>41866</v>
      </c>
      <c r="K4144" s="9" t="s">
        <v>19282</v>
      </c>
      <c r="L4144" s="9" t="s">
        <v>17759</v>
      </c>
      <c r="M4144" s="9" t="s">
        <v>17769</v>
      </c>
      <c r="N4144" s="9" t="s">
        <v>17746</v>
      </c>
      <c r="O4144" s="9" t="s">
        <v>38031</v>
      </c>
      <c r="P4144" s="9" t="s">
        <v>17748</v>
      </c>
      <c r="Q4144" s="11" t="s">
        <v>17784</v>
      </c>
      <c r="R4144" s="11" t="s">
        <v>17784</v>
      </c>
      <c r="S4144" s="11" t="s">
        <v>17750</v>
      </c>
    </row>
    <row r="4145" spans="1:19" x14ac:dyDescent="0.2">
      <c r="A4145" s="11" t="s">
        <v>41867</v>
      </c>
      <c r="B4145" s="9" t="s">
        <v>41868</v>
      </c>
      <c r="C4145" s="9" t="s">
        <v>41869</v>
      </c>
      <c r="D4145" s="9" t="s">
        <v>41870</v>
      </c>
      <c r="E4145" s="9" t="s">
        <v>17740</v>
      </c>
      <c r="F4145" s="9" t="s">
        <v>41871</v>
      </c>
      <c r="G4145" s="9" t="s">
        <v>17740</v>
      </c>
      <c r="H4145" s="11" t="s">
        <v>4344</v>
      </c>
      <c r="I4145" s="11" t="s">
        <v>4343</v>
      </c>
      <c r="J4145" s="11" t="s">
        <v>4343</v>
      </c>
      <c r="K4145" s="9" t="s">
        <v>55</v>
      </c>
      <c r="L4145" s="9" t="s">
        <v>17744</v>
      </c>
      <c r="M4145" s="9" t="s">
        <v>17817</v>
      </c>
      <c r="N4145" s="9" t="s">
        <v>17746</v>
      </c>
      <c r="O4145" s="9" t="s">
        <v>41872</v>
      </c>
      <c r="P4145" s="9" t="s">
        <v>17748</v>
      </c>
      <c r="Q4145" s="11" t="s">
        <v>18059</v>
      </c>
      <c r="R4145" s="11" t="s">
        <v>18059</v>
      </c>
      <c r="S4145" s="11" t="s">
        <v>17750</v>
      </c>
    </row>
    <row r="4146" spans="1:19" x14ac:dyDescent="0.2">
      <c r="A4146" s="11" t="s">
        <v>41873</v>
      </c>
      <c r="B4146" s="9" t="s">
        <v>41874</v>
      </c>
      <c r="C4146" s="9" t="s">
        <v>41875</v>
      </c>
      <c r="D4146" s="9" t="s">
        <v>41876</v>
      </c>
      <c r="E4146" s="9" t="s">
        <v>17748</v>
      </c>
      <c r="F4146" s="9" t="s">
        <v>17741</v>
      </c>
      <c r="G4146" s="9" t="s">
        <v>17740</v>
      </c>
      <c r="H4146" s="11" t="s">
        <v>10164</v>
      </c>
      <c r="I4146" s="11" t="s">
        <v>41877</v>
      </c>
      <c r="J4146" s="11" t="s">
        <v>10164</v>
      </c>
      <c r="K4146" s="9" t="s">
        <v>18122</v>
      </c>
      <c r="L4146" s="9" t="s">
        <v>18123</v>
      </c>
      <c r="M4146" s="9" t="s">
        <v>17817</v>
      </c>
      <c r="N4146" s="9" t="s">
        <v>17746</v>
      </c>
      <c r="O4146" s="9" t="s">
        <v>7269</v>
      </c>
      <c r="P4146" s="9" t="s">
        <v>17748</v>
      </c>
      <c r="Q4146" s="11" t="s">
        <v>17858</v>
      </c>
      <c r="R4146" s="11" t="s">
        <v>17858</v>
      </c>
      <c r="S4146" s="11" t="s">
        <v>17750</v>
      </c>
    </row>
    <row r="4147" spans="1:19" x14ac:dyDescent="0.2">
      <c r="A4147" s="11" t="s">
        <v>41878</v>
      </c>
      <c r="B4147" s="9" t="s">
        <v>41879</v>
      </c>
      <c r="C4147" s="9" t="s">
        <v>41880</v>
      </c>
      <c r="D4147" s="9" t="s">
        <v>41881</v>
      </c>
      <c r="E4147" s="9" t="s">
        <v>17748</v>
      </c>
      <c r="F4147" s="9" t="s">
        <v>41882</v>
      </c>
      <c r="G4147" s="9" t="s">
        <v>17740</v>
      </c>
      <c r="H4147" s="11" t="s">
        <v>10168</v>
      </c>
      <c r="I4147" s="11" t="s">
        <v>41877</v>
      </c>
      <c r="J4147" s="11" t="s">
        <v>10164</v>
      </c>
      <c r="K4147" s="9" t="s">
        <v>18122</v>
      </c>
      <c r="L4147" s="9" t="s">
        <v>18123</v>
      </c>
      <c r="M4147" s="9" t="s">
        <v>17817</v>
      </c>
      <c r="N4147" s="9" t="s">
        <v>17746</v>
      </c>
      <c r="O4147" s="9" t="s">
        <v>7269</v>
      </c>
      <c r="P4147" s="9" t="s">
        <v>17748</v>
      </c>
      <c r="Q4147" s="11" t="s">
        <v>17858</v>
      </c>
      <c r="R4147" s="11" t="s">
        <v>17858</v>
      </c>
      <c r="S4147" s="11" t="s">
        <v>17750</v>
      </c>
    </row>
    <row r="4148" spans="1:19" x14ac:dyDescent="0.2">
      <c r="A4148" s="11" t="s">
        <v>41883</v>
      </c>
      <c r="B4148" s="9" t="s">
        <v>41884</v>
      </c>
      <c r="C4148" s="9" t="s">
        <v>41885</v>
      </c>
      <c r="D4148" s="9" t="s">
        <v>41886</v>
      </c>
      <c r="E4148" s="9" t="s">
        <v>17748</v>
      </c>
      <c r="F4148" s="9" t="s">
        <v>17741</v>
      </c>
      <c r="G4148" s="9" t="s">
        <v>17740</v>
      </c>
      <c r="H4148" s="11" t="s">
        <v>10166</v>
      </c>
      <c r="I4148" s="11" t="s">
        <v>41877</v>
      </c>
      <c r="J4148" s="11" t="s">
        <v>10164</v>
      </c>
      <c r="K4148" s="9" t="s">
        <v>18122</v>
      </c>
      <c r="L4148" s="9" t="s">
        <v>18123</v>
      </c>
      <c r="M4148" s="9" t="s">
        <v>17817</v>
      </c>
      <c r="N4148" s="9" t="s">
        <v>17746</v>
      </c>
      <c r="O4148" s="9" t="s">
        <v>7269</v>
      </c>
      <c r="P4148" s="9" t="s">
        <v>17748</v>
      </c>
      <c r="Q4148" s="11" t="s">
        <v>17858</v>
      </c>
      <c r="R4148" s="11" t="s">
        <v>17858</v>
      </c>
      <c r="S4148" s="11" t="s">
        <v>17750</v>
      </c>
    </row>
    <row r="4149" spans="1:19" x14ac:dyDescent="0.2">
      <c r="A4149" s="11" t="s">
        <v>41887</v>
      </c>
      <c r="B4149" s="9" t="s">
        <v>41888</v>
      </c>
      <c r="C4149" s="9" t="s">
        <v>41889</v>
      </c>
      <c r="D4149" s="9" t="s">
        <v>3086</v>
      </c>
      <c r="E4149" s="9" t="s">
        <v>17740</v>
      </c>
      <c r="F4149" s="9" t="s">
        <v>17741</v>
      </c>
      <c r="G4149" s="9" t="s">
        <v>17740</v>
      </c>
      <c r="H4149" s="11" t="s">
        <v>3088</v>
      </c>
      <c r="I4149" s="11" t="s">
        <v>3087</v>
      </c>
      <c r="J4149" s="11" t="s">
        <v>3087</v>
      </c>
      <c r="K4149" s="9" t="s">
        <v>167</v>
      </c>
      <c r="L4149" s="9" t="s">
        <v>18158</v>
      </c>
      <c r="M4149" s="9" t="s">
        <v>17817</v>
      </c>
      <c r="N4149" s="9" t="s">
        <v>18185</v>
      </c>
      <c r="O4149" s="9" t="s">
        <v>3100</v>
      </c>
      <c r="P4149" s="9" t="s">
        <v>17748</v>
      </c>
      <c r="Q4149" s="11" t="s">
        <v>23636</v>
      </c>
      <c r="R4149" s="11" t="s">
        <v>23636</v>
      </c>
      <c r="S4149" s="11" t="s">
        <v>17750</v>
      </c>
    </row>
    <row r="4150" spans="1:19" x14ac:dyDescent="0.2">
      <c r="A4150" s="11" t="s">
        <v>41890</v>
      </c>
      <c r="B4150" s="9" t="s">
        <v>41891</v>
      </c>
      <c r="C4150" s="9" t="s">
        <v>41892</v>
      </c>
      <c r="D4150" s="9" t="s">
        <v>41893</v>
      </c>
      <c r="E4150" s="9" t="s">
        <v>17748</v>
      </c>
      <c r="F4150" s="9" t="s">
        <v>41894</v>
      </c>
      <c r="G4150" s="9" t="s">
        <v>17740</v>
      </c>
      <c r="H4150" s="11" t="s">
        <v>41895</v>
      </c>
      <c r="I4150" s="11" t="s">
        <v>41896</v>
      </c>
      <c r="J4150" s="11" t="s">
        <v>17741</v>
      </c>
      <c r="K4150" s="9" t="s">
        <v>18122</v>
      </c>
      <c r="L4150" s="9" t="s">
        <v>18123</v>
      </c>
      <c r="M4150" s="9" t="s">
        <v>17741</v>
      </c>
      <c r="N4150" s="9" t="s">
        <v>17746</v>
      </c>
      <c r="O4150" s="9" t="s">
        <v>41897</v>
      </c>
      <c r="P4150" s="9" t="s">
        <v>17748</v>
      </c>
      <c r="Q4150" s="11" t="s">
        <v>17909</v>
      </c>
      <c r="R4150" s="11" t="s">
        <v>17909</v>
      </c>
      <c r="S4150" s="11" t="s">
        <v>17750</v>
      </c>
    </row>
    <row r="4151" spans="1:19" x14ac:dyDescent="0.2">
      <c r="A4151" s="11" t="s">
        <v>41898</v>
      </c>
      <c r="B4151" s="9" t="s">
        <v>41899</v>
      </c>
      <c r="C4151" s="9" t="s">
        <v>41900</v>
      </c>
      <c r="D4151" s="9" t="s">
        <v>41901</v>
      </c>
      <c r="E4151" s="9" t="s">
        <v>17740</v>
      </c>
      <c r="F4151" s="9" t="s">
        <v>41902</v>
      </c>
      <c r="G4151" s="9" t="s">
        <v>17740</v>
      </c>
      <c r="H4151" s="11" t="s">
        <v>41903</v>
      </c>
      <c r="I4151" s="11" t="s">
        <v>5209</v>
      </c>
      <c r="J4151" s="11" t="s">
        <v>5209</v>
      </c>
      <c r="K4151" s="9" t="s">
        <v>41904</v>
      </c>
      <c r="L4151" s="9" t="s">
        <v>18001</v>
      </c>
      <c r="M4151" s="9" t="s">
        <v>41905</v>
      </c>
      <c r="N4151" s="9" t="s">
        <v>17746</v>
      </c>
      <c r="O4151" s="9" t="s">
        <v>5938</v>
      </c>
      <c r="P4151" s="9" t="s">
        <v>17748</v>
      </c>
      <c r="Q4151" s="11" t="s">
        <v>18243</v>
      </c>
      <c r="R4151" s="11" t="s">
        <v>18243</v>
      </c>
      <c r="S4151" s="11" t="s">
        <v>17750</v>
      </c>
    </row>
    <row r="4152" spans="1:19" x14ac:dyDescent="0.2">
      <c r="A4152" s="11" t="s">
        <v>41906</v>
      </c>
      <c r="B4152" s="9" t="s">
        <v>41907</v>
      </c>
      <c r="C4152" s="9" t="s">
        <v>41908</v>
      </c>
      <c r="D4152" s="9" t="s">
        <v>41909</v>
      </c>
      <c r="E4152" s="9" t="s">
        <v>17748</v>
      </c>
      <c r="F4152" s="9" t="s">
        <v>41910</v>
      </c>
      <c r="G4152" s="9" t="s">
        <v>17740</v>
      </c>
      <c r="H4152" s="11" t="s">
        <v>41911</v>
      </c>
      <c r="I4152" s="11" t="s">
        <v>41912</v>
      </c>
      <c r="J4152" s="11" t="s">
        <v>41912</v>
      </c>
      <c r="K4152" s="9" t="s">
        <v>41913</v>
      </c>
      <c r="L4152" s="9" t="s">
        <v>18001</v>
      </c>
      <c r="M4152" s="9" t="s">
        <v>17760</v>
      </c>
      <c r="N4152" s="9" t="s">
        <v>17746</v>
      </c>
      <c r="O4152" s="9" t="s">
        <v>18514</v>
      </c>
      <c r="P4152" s="9" t="s">
        <v>17748</v>
      </c>
      <c r="Q4152" s="11" t="s">
        <v>17762</v>
      </c>
      <c r="R4152" s="11" t="s">
        <v>17762</v>
      </c>
      <c r="S4152" s="11" t="s">
        <v>17750</v>
      </c>
    </row>
    <row r="4153" spans="1:19" x14ac:dyDescent="0.2">
      <c r="A4153" s="11" t="s">
        <v>41914</v>
      </c>
      <c r="B4153" s="9" t="s">
        <v>41915</v>
      </c>
      <c r="C4153" s="9" t="s">
        <v>41916</v>
      </c>
      <c r="D4153" s="9" t="s">
        <v>41917</v>
      </c>
      <c r="E4153" s="9" t="s">
        <v>17740</v>
      </c>
      <c r="F4153" s="9" t="s">
        <v>17741</v>
      </c>
      <c r="G4153" s="9" t="s">
        <v>17740</v>
      </c>
      <c r="H4153" s="11" t="s">
        <v>41918</v>
      </c>
      <c r="I4153" s="11" t="s">
        <v>41919</v>
      </c>
      <c r="J4153" s="11" t="s">
        <v>41919</v>
      </c>
      <c r="K4153" s="9" t="s">
        <v>291</v>
      </c>
      <c r="L4153" s="9" t="s">
        <v>17744</v>
      </c>
      <c r="M4153" s="9" t="s">
        <v>17760</v>
      </c>
      <c r="N4153" s="9" t="s">
        <v>17746</v>
      </c>
      <c r="O4153" s="9" t="s">
        <v>3100</v>
      </c>
      <c r="P4153" s="9" t="s">
        <v>17748</v>
      </c>
      <c r="Q4153" s="11" t="s">
        <v>17749</v>
      </c>
      <c r="R4153" s="11" t="s">
        <v>17749</v>
      </c>
      <c r="S4153" s="11" t="s">
        <v>17750</v>
      </c>
    </row>
    <row r="4154" spans="1:19" x14ac:dyDescent="0.2">
      <c r="A4154" s="11" t="s">
        <v>41920</v>
      </c>
      <c r="B4154" s="9" t="s">
        <v>41921</v>
      </c>
      <c r="C4154" s="9" t="s">
        <v>41922</v>
      </c>
      <c r="D4154" s="9" t="s">
        <v>41923</v>
      </c>
      <c r="E4154" s="9" t="s">
        <v>17740</v>
      </c>
      <c r="F4154" s="9" t="s">
        <v>17741</v>
      </c>
      <c r="G4154" s="9" t="s">
        <v>17740</v>
      </c>
      <c r="H4154" s="11" t="s">
        <v>17741</v>
      </c>
      <c r="I4154" s="11" t="s">
        <v>41924</v>
      </c>
      <c r="J4154" s="11" t="s">
        <v>41924</v>
      </c>
      <c r="K4154" s="9" t="s">
        <v>41925</v>
      </c>
      <c r="L4154" s="9" t="s">
        <v>18158</v>
      </c>
      <c r="M4154" s="9" t="s">
        <v>17942</v>
      </c>
      <c r="N4154" s="9" t="s">
        <v>18185</v>
      </c>
      <c r="O4154" s="9" t="s">
        <v>20690</v>
      </c>
      <c r="P4154" s="9" t="s">
        <v>17748</v>
      </c>
      <c r="Q4154" s="11" t="s">
        <v>19361</v>
      </c>
      <c r="R4154" s="11" t="s">
        <v>19361</v>
      </c>
      <c r="S4154" s="11" t="s">
        <v>17750</v>
      </c>
    </row>
    <row r="4155" spans="1:19" x14ac:dyDescent="0.2">
      <c r="A4155" s="11" t="s">
        <v>41926</v>
      </c>
      <c r="B4155" s="9" t="s">
        <v>41927</v>
      </c>
      <c r="C4155" s="9" t="s">
        <v>41928</v>
      </c>
      <c r="D4155" s="9" t="s">
        <v>41929</v>
      </c>
      <c r="E4155" s="9" t="s">
        <v>17740</v>
      </c>
      <c r="F4155" s="9" t="s">
        <v>17741</v>
      </c>
      <c r="G4155" s="9" t="s">
        <v>17740</v>
      </c>
      <c r="H4155" s="11" t="s">
        <v>41930</v>
      </c>
      <c r="I4155" s="11" t="s">
        <v>41931</v>
      </c>
      <c r="J4155" s="11" t="s">
        <v>41931</v>
      </c>
      <c r="K4155" s="9" t="s">
        <v>21642</v>
      </c>
      <c r="L4155" s="9" t="s">
        <v>17759</v>
      </c>
      <c r="M4155" s="9" t="s">
        <v>19196</v>
      </c>
      <c r="N4155" s="9" t="s">
        <v>17746</v>
      </c>
      <c r="O4155" s="9" t="s">
        <v>20056</v>
      </c>
      <c r="P4155" s="9" t="s">
        <v>17748</v>
      </c>
      <c r="Q4155" s="11" t="s">
        <v>17819</v>
      </c>
      <c r="R4155" s="11" t="s">
        <v>17819</v>
      </c>
      <c r="S4155" s="11" t="s">
        <v>17750</v>
      </c>
    </row>
    <row r="4156" spans="1:19" x14ac:dyDescent="0.2">
      <c r="A4156" s="11" t="s">
        <v>41932</v>
      </c>
      <c r="B4156" s="9" t="s">
        <v>41933</v>
      </c>
      <c r="C4156" s="9" t="s">
        <v>41934</v>
      </c>
      <c r="D4156" s="9" t="s">
        <v>41935</v>
      </c>
      <c r="E4156" s="9" t="s">
        <v>17740</v>
      </c>
      <c r="F4156" s="9" t="s">
        <v>17741</v>
      </c>
      <c r="G4156" s="9" t="s">
        <v>17740</v>
      </c>
      <c r="H4156" s="11" t="s">
        <v>11676</v>
      </c>
      <c r="I4156" s="11" t="s">
        <v>17741</v>
      </c>
      <c r="J4156" s="11" t="s">
        <v>11676</v>
      </c>
      <c r="K4156" s="9" t="s">
        <v>18570</v>
      </c>
      <c r="L4156" s="9" t="s">
        <v>17744</v>
      </c>
      <c r="M4156" s="9" t="s">
        <v>17741</v>
      </c>
      <c r="N4156" s="9" t="s">
        <v>17746</v>
      </c>
      <c r="O4156" s="9" t="s">
        <v>3100</v>
      </c>
      <c r="P4156" s="9" t="s">
        <v>17748</v>
      </c>
      <c r="Q4156" s="11" t="s">
        <v>17762</v>
      </c>
      <c r="R4156" s="11" t="s">
        <v>17762</v>
      </c>
      <c r="S4156" s="11" t="s">
        <v>17750</v>
      </c>
    </row>
    <row r="4157" spans="1:19" x14ac:dyDescent="0.2">
      <c r="A4157" s="11" t="s">
        <v>41936</v>
      </c>
      <c r="B4157" s="9" t="s">
        <v>41937</v>
      </c>
      <c r="C4157" s="9" t="s">
        <v>41938</v>
      </c>
      <c r="D4157" s="9" t="s">
        <v>41939</v>
      </c>
      <c r="E4157" s="9" t="s">
        <v>17740</v>
      </c>
      <c r="F4157" s="9" t="s">
        <v>17741</v>
      </c>
      <c r="G4157" s="9" t="s">
        <v>17740</v>
      </c>
      <c r="H4157" s="11" t="s">
        <v>6369</v>
      </c>
      <c r="I4157" s="11" t="s">
        <v>6368</v>
      </c>
      <c r="J4157" s="11" t="s">
        <v>6368</v>
      </c>
      <c r="K4157" s="9" t="s">
        <v>17865</v>
      </c>
      <c r="L4157" s="9" t="s">
        <v>17759</v>
      </c>
      <c r="M4157" s="9" t="s">
        <v>25071</v>
      </c>
      <c r="N4157" s="9" t="s">
        <v>17746</v>
      </c>
      <c r="O4157" s="9" t="s">
        <v>3100</v>
      </c>
      <c r="P4157" s="9" t="s">
        <v>17748</v>
      </c>
      <c r="Q4157" s="11" t="s">
        <v>18678</v>
      </c>
      <c r="R4157" s="11" t="s">
        <v>18678</v>
      </c>
      <c r="S4157" s="11" t="s">
        <v>17750</v>
      </c>
    </row>
    <row r="4158" spans="1:19" x14ac:dyDescent="0.2">
      <c r="A4158" s="11" t="s">
        <v>41940</v>
      </c>
      <c r="B4158" s="9" t="s">
        <v>41941</v>
      </c>
      <c r="C4158" s="9" t="s">
        <v>41942</v>
      </c>
      <c r="D4158" s="9" t="s">
        <v>41943</v>
      </c>
      <c r="E4158" s="9" t="s">
        <v>17748</v>
      </c>
      <c r="F4158" s="9" t="s">
        <v>41944</v>
      </c>
      <c r="G4158" s="9" t="s">
        <v>17740</v>
      </c>
      <c r="H4158" s="11" t="s">
        <v>7792</v>
      </c>
      <c r="I4158" s="11" t="s">
        <v>41945</v>
      </c>
      <c r="J4158" s="11" t="s">
        <v>17741</v>
      </c>
      <c r="K4158" s="9" t="s">
        <v>21205</v>
      </c>
      <c r="L4158" s="9" t="s">
        <v>17759</v>
      </c>
      <c r="M4158" s="9" t="s">
        <v>17778</v>
      </c>
      <c r="N4158" s="9" t="s">
        <v>17746</v>
      </c>
      <c r="O4158" s="9" t="s">
        <v>3100</v>
      </c>
      <c r="P4158" s="9" t="s">
        <v>17748</v>
      </c>
      <c r="Q4158" s="11" t="s">
        <v>18798</v>
      </c>
      <c r="R4158" s="11" t="s">
        <v>18798</v>
      </c>
      <c r="S4158" s="11" t="s">
        <v>17750</v>
      </c>
    </row>
    <row r="4159" spans="1:19" x14ac:dyDescent="0.2">
      <c r="A4159" s="11" t="s">
        <v>41946</v>
      </c>
      <c r="B4159" s="9" t="s">
        <v>41947</v>
      </c>
      <c r="C4159" s="9" t="s">
        <v>41948</v>
      </c>
      <c r="D4159" s="9" t="s">
        <v>41949</v>
      </c>
      <c r="E4159" s="9" t="s">
        <v>17740</v>
      </c>
      <c r="F4159" s="9" t="s">
        <v>17741</v>
      </c>
      <c r="G4159" s="9" t="s">
        <v>17740</v>
      </c>
      <c r="H4159" s="11" t="s">
        <v>17741</v>
      </c>
      <c r="I4159" s="11" t="s">
        <v>3112</v>
      </c>
      <c r="J4159" s="11" t="s">
        <v>3112</v>
      </c>
      <c r="K4159" s="9" t="s">
        <v>41950</v>
      </c>
      <c r="L4159" s="9" t="s">
        <v>18130</v>
      </c>
      <c r="M4159" s="9" t="s">
        <v>20580</v>
      </c>
      <c r="N4159" s="9" t="s">
        <v>17746</v>
      </c>
      <c r="O4159" s="9" t="s">
        <v>29708</v>
      </c>
      <c r="P4159" s="9" t="s">
        <v>17748</v>
      </c>
      <c r="Q4159" s="11" t="s">
        <v>18251</v>
      </c>
      <c r="R4159" s="11" t="s">
        <v>18251</v>
      </c>
      <c r="S4159" s="11" t="s">
        <v>17750</v>
      </c>
    </row>
    <row r="4160" spans="1:19" x14ac:dyDescent="0.2">
      <c r="A4160" s="11" t="s">
        <v>41951</v>
      </c>
      <c r="B4160" s="9" t="s">
        <v>41952</v>
      </c>
      <c r="C4160" s="9" t="s">
        <v>41953</v>
      </c>
      <c r="D4160" s="9" t="s">
        <v>41954</v>
      </c>
      <c r="E4160" s="9" t="s">
        <v>17740</v>
      </c>
      <c r="F4160" s="9" t="s">
        <v>17741</v>
      </c>
      <c r="G4160" s="9" t="s">
        <v>17740</v>
      </c>
      <c r="H4160" s="11" t="s">
        <v>3059</v>
      </c>
      <c r="I4160" s="11" t="s">
        <v>3058</v>
      </c>
      <c r="J4160" s="11" t="s">
        <v>3058</v>
      </c>
      <c r="K4160" s="9" t="s">
        <v>91</v>
      </c>
      <c r="L4160" s="9" t="s">
        <v>17759</v>
      </c>
      <c r="M4160" s="9" t="s">
        <v>28372</v>
      </c>
      <c r="N4160" s="9" t="s">
        <v>17746</v>
      </c>
      <c r="O4160" s="9" t="s">
        <v>41955</v>
      </c>
      <c r="P4160" s="9" t="s">
        <v>17748</v>
      </c>
      <c r="Q4160" s="11" t="s">
        <v>19222</v>
      </c>
      <c r="R4160" s="11" t="s">
        <v>19222</v>
      </c>
      <c r="S4160" s="11" t="s">
        <v>17750</v>
      </c>
    </row>
    <row r="4161" spans="1:19" x14ac:dyDescent="0.2">
      <c r="A4161" s="11" t="s">
        <v>41956</v>
      </c>
      <c r="B4161" s="9" t="s">
        <v>41957</v>
      </c>
      <c r="C4161" s="9" t="s">
        <v>41958</v>
      </c>
      <c r="D4161" s="9" t="s">
        <v>41959</v>
      </c>
      <c r="E4161" s="9" t="s">
        <v>17740</v>
      </c>
      <c r="F4161" s="9" t="s">
        <v>17741</v>
      </c>
      <c r="G4161" s="9" t="s">
        <v>17740</v>
      </c>
      <c r="H4161" s="11" t="s">
        <v>6386</v>
      </c>
      <c r="I4161" s="11" t="s">
        <v>6385</v>
      </c>
      <c r="J4161" s="11" t="s">
        <v>6385</v>
      </c>
      <c r="K4161" s="9" t="s">
        <v>601</v>
      </c>
      <c r="L4161" s="9" t="s">
        <v>17759</v>
      </c>
      <c r="M4161" s="9" t="s">
        <v>27237</v>
      </c>
      <c r="N4161" s="9" t="s">
        <v>17746</v>
      </c>
      <c r="O4161" s="9" t="s">
        <v>3100</v>
      </c>
      <c r="P4161" s="9" t="s">
        <v>17748</v>
      </c>
      <c r="Q4161" s="11" t="s">
        <v>17808</v>
      </c>
      <c r="R4161" s="11" t="s">
        <v>17808</v>
      </c>
      <c r="S4161" s="11" t="s">
        <v>17750</v>
      </c>
    </row>
    <row r="4162" spans="1:19" x14ac:dyDescent="0.2">
      <c r="A4162" s="11" t="s">
        <v>41960</v>
      </c>
      <c r="B4162" s="9" t="s">
        <v>41961</v>
      </c>
      <c r="C4162" s="9" t="s">
        <v>41962</v>
      </c>
      <c r="D4162" s="9" t="s">
        <v>41963</v>
      </c>
      <c r="E4162" s="9" t="s">
        <v>17748</v>
      </c>
      <c r="F4162" s="9" t="s">
        <v>41964</v>
      </c>
      <c r="G4162" s="9" t="s">
        <v>17740</v>
      </c>
      <c r="H4162" s="11" t="s">
        <v>6421</v>
      </c>
      <c r="I4162" s="11" t="s">
        <v>6420</v>
      </c>
      <c r="J4162" s="11" t="s">
        <v>6420</v>
      </c>
      <c r="K4162" s="9" t="s">
        <v>601</v>
      </c>
      <c r="L4162" s="9" t="s">
        <v>17759</v>
      </c>
      <c r="M4162" s="9" t="s">
        <v>17769</v>
      </c>
      <c r="N4162" s="9" t="s">
        <v>17746</v>
      </c>
      <c r="O4162" s="9" t="s">
        <v>41965</v>
      </c>
      <c r="P4162" s="9" t="s">
        <v>17748</v>
      </c>
      <c r="Q4162" s="11" t="s">
        <v>19361</v>
      </c>
      <c r="R4162" s="11" t="s">
        <v>19361</v>
      </c>
      <c r="S4162" s="11" t="s">
        <v>17750</v>
      </c>
    </row>
    <row r="4163" spans="1:19" x14ac:dyDescent="0.2">
      <c r="A4163" s="11" t="s">
        <v>41966</v>
      </c>
      <c r="B4163" s="9" t="s">
        <v>6828</v>
      </c>
      <c r="C4163" s="9" t="s">
        <v>41967</v>
      </c>
      <c r="D4163" s="9" t="s">
        <v>6828</v>
      </c>
      <c r="E4163" s="9" t="s">
        <v>17740</v>
      </c>
      <c r="F4163" s="9" t="s">
        <v>17741</v>
      </c>
      <c r="G4163" s="9" t="s">
        <v>17740</v>
      </c>
      <c r="H4163" s="11" t="s">
        <v>6830</v>
      </c>
      <c r="I4163" s="11" t="s">
        <v>6829</v>
      </c>
      <c r="J4163" s="11" t="s">
        <v>6829</v>
      </c>
      <c r="K4163" s="9" t="s">
        <v>291</v>
      </c>
      <c r="L4163" s="9" t="s">
        <v>17744</v>
      </c>
      <c r="M4163" s="9" t="s">
        <v>41968</v>
      </c>
      <c r="N4163" s="9" t="s">
        <v>17746</v>
      </c>
      <c r="O4163" s="9" t="s">
        <v>41969</v>
      </c>
      <c r="P4163" s="9" t="s">
        <v>17748</v>
      </c>
      <c r="Q4163" s="11" t="s">
        <v>19361</v>
      </c>
      <c r="R4163" s="11" t="s">
        <v>19361</v>
      </c>
      <c r="S4163" s="11" t="s">
        <v>17750</v>
      </c>
    </row>
    <row r="4164" spans="1:19" x14ac:dyDescent="0.2">
      <c r="A4164" s="11" t="s">
        <v>41970</v>
      </c>
      <c r="B4164" s="9" t="s">
        <v>41971</v>
      </c>
      <c r="C4164" s="9" t="s">
        <v>41972</v>
      </c>
      <c r="D4164" s="9" t="s">
        <v>41973</v>
      </c>
      <c r="E4164" s="9" t="s">
        <v>17740</v>
      </c>
      <c r="F4164" s="9" t="s">
        <v>17741</v>
      </c>
      <c r="G4164" s="9" t="s">
        <v>17740</v>
      </c>
      <c r="H4164" s="11" t="s">
        <v>3085</v>
      </c>
      <c r="I4164" s="11" t="s">
        <v>3084</v>
      </c>
      <c r="J4164" s="11" t="s">
        <v>3084</v>
      </c>
      <c r="K4164" s="9" t="s">
        <v>18832</v>
      </c>
      <c r="L4164" s="9" t="s">
        <v>17759</v>
      </c>
      <c r="M4164" s="9" t="s">
        <v>17817</v>
      </c>
      <c r="N4164" s="9" t="s">
        <v>17746</v>
      </c>
      <c r="O4164" s="9" t="s">
        <v>21732</v>
      </c>
      <c r="P4164" s="9" t="s">
        <v>17748</v>
      </c>
      <c r="Q4164" s="11" t="s">
        <v>19026</v>
      </c>
      <c r="R4164" s="11" t="s">
        <v>19026</v>
      </c>
      <c r="S4164" s="11" t="s">
        <v>17750</v>
      </c>
    </row>
    <row r="4165" spans="1:19" x14ac:dyDescent="0.2">
      <c r="A4165" s="11" t="s">
        <v>41974</v>
      </c>
      <c r="B4165" s="9" t="s">
        <v>41975</v>
      </c>
      <c r="C4165" s="9" t="s">
        <v>41976</v>
      </c>
      <c r="D4165" s="9" t="s">
        <v>41977</v>
      </c>
      <c r="E4165" s="9" t="s">
        <v>17740</v>
      </c>
      <c r="F4165" s="9" t="s">
        <v>17741</v>
      </c>
      <c r="G4165" s="9" t="s">
        <v>17740</v>
      </c>
      <c r="H4165" s="11" t="s">
        <v>3096</v>
      </c>
      <c r="I4165" s="11" t="s">
        <v>3095</v>
      </c>
      <c r="J4165" s="11" t="s">
        <v>3095</v>
      </c>
      <c r="K4165" s="9" t="s">
        <v>38888</v>
      </c>
      <c r="L4165" s="9" t="s">
        <v>17744</v>
      </c>
      <c r="M4165" s="9" t="s">
        <v>41978</v>
      </c>
      <c r="N4165" s="9" t="s">
        <v>17746</v>
      </c>
      <c r="O4165" s="9" t="s">
        <v>21732</v>
      </c>
      <c r="P4165" s="9" t="s">
        <v>17748</v>
      </c>
      <c r="Q4165" s="11" t="s">
        <v>19222</v>
      </c>
      <c r="R4165" s="11" t="s">
        <v>19222</v>
      </c>
      <c r="S4165" s="11" t="s">
        <v>17750</v>
      </c>
    </row>
    <row r="4166" spans="1:19" x14ac:dyDescent="0.2">
      <c r="A4166" s="11" t="s">
        <v>41979</v>
      </c>
      <c r="B4166" s="9" t="s">
        <v>41980</v>
      </c>
      <c r="C4166" s="9" t="s">
        <v>41981</v>
      </c>
      <c r="D4166" s="9" t="s">
        <v>3211</v>
      </c>
      <c r="E4166" s="9" t="s">
        <v>17740</v>
      </c>
      <c r="F4166" s="9" t="s">
        <v>17741</v>
      </c>
      <c r="G4166" s="9" t="s">
        <v>17740</v>
      </c>
      <c r="H4166" s="11" t="s">
        <v>17741</v>
      </c>
      <c r="I4166" s="11" t="s">
        <v>3212</v>
      </c>
      <c r="J4166" s="11" t="s">
        <v>3212</v>
      </c>
      <c r="K4166" s="9" t="s">
        <v>20386</v>
      </c>
      <c r="L4166" s="9" t="s">
        <v>20359</v>
      </c>
      <c r="M4166" s="9" t="s">
        <v>17769</v>
      </c>
      <c r="N4166" s="9" t="s">
        <v>18042</v>
      </c>
      <c r="O4166" s="9" t="s">
        <v>3176</v>
      </c>
      <c r="P4166" s="9" t="s">
        <v>17748</v>
      </c>
      <c r="Q4166" s="11" t="s">
        <v>21569</v>
      </c>
      <c r="R4166" s="11" t="s">
        <v>21569</v>
      </c>
      <c r="S4166" s="11" t="s">
        <v>17750</v>
      </c>
    </row>
    <row r="4167" spans="1:19" x14ac:dyDescent="0.2">
      <c r="A4167" s="11" t="s">
        <v>41982</v>
      </c>
      <c r="B4167" s="9" t="s">
        <v>41983</v>
      </c>
      <c r="C4167" s="9" t="s">
        <v>41984</v>
      </c>
      <c r="D4167" s="9" t="s">
        <v>41985</v>
      </c>
      <c r="E4167" s="9" t="s">
        <v>17740</v>
      </c>
      <c r="F4167" s="9" t="s">
        <v>41986</v>
      </c>
      <c r="G4167" s="9" t="s">
        <v>17740</v>
      </c>
      <c r="H4167" s="11" t="s">
        <v>17741</v>
      </c>
      <c r="I4167" s="11" t="s">
        <v>3098</v>
      </c>
      <c r="J4167" s="11" t="s">
        <v>3098</v>
      </c>
      <c r="K4167" s="9" t="s">
        <v>41987</v>
      </c>
      <c r="L4167" s="9" t="s">
        <v>18439</v>
      </c>
      <c r="M4167" s="9" t="s">
        <v>17741</v>
      </c>
      <c r="N4167" s="9" t="s">
        <v>18171</v>
      </c>
      <c r="O4167" s="9" t="s">
        <v>3176</v>
      </c>
      <c r="P4167" s="9" t="s">
        <v>17748</v>
      </c>
      <c r="Q4167" s="11" t="s">
        <v>18856</v>
      </c>
      <c r="R4167" s="11" t="s">
        <v>18856</v>
      </c>
      <c r="S4167" s="11" t="s">
        <v>17750</v>
      </c>
    </row>
    <row r="4168" spans="1:19" x14ac:dyDescent="0.2">
      <c r="A4168" s="11" t="s">
        <v>41988</v>
      </c>
      <c r="B4168" s="9" t="s">
        <v>41989</v>
      </c>
      <c r="C4168" s="9" t="s">
        <v>41990</v>
      </c>
      <c r="D4168" s="9" t="s">
        <v>41991</v>
      </c>
      <c r="E4168" s="9" t="s">
        <v>17740</v>
      </c>
      <c r="F4168" s="9" t="s">
        <v>17741</v>
      </c>
      <c r="G4168" s="9" t="s">
        <v>17740</v>
      </c>
      <c r="H4168" s="11" t="s">
        <v>10423</v>
      </c>
      <c r="I4168" s="11" t="s">
        <v>10422</v>
      </c>
      <c r="J4168" s="11" t="s">
        <v>10422</v>
      </c>
      <c r="K4168" s="9" t="s">
        <v>940</v>
      </c>
      <c r="L4168" s="9" t="s">
        <v>17759</v>
      </c>
      <c r="M4168" s="9" t="s">
        <v>24928</v>
      </c>
      <c r="N4168" s="9" t="s">
        <v>17746</v>
      </c>
      <c r="O4168" s="9" t="s">
        <v>41992</v>
      </c>
      <c r="P4168" s="9" t="s">
        <v>17748</v>
      </c>
      <c r="Q4168" s="11" t="s">
        <v>17780</v>
      </c>
      <c r="R4168" s="11" t="s">
        <v>17780</v>
      </c>
      <c r="S4168" s="11" t="s">
        <v>17750</v>
      </c>
    </row>
    <row r="4169" spans="1:19" x14ac:dyDescent="0.2">
      <c r="A4169" s="11" t="s">
        <v>41993</v>
      </c>
      <c r="B4169" s="9" t="s">
        <v>41994</v>
      </c>
      <c r="C4169" s="9" t="s">
        <v>41995</v>
      </c>
      <c r="D4169" s="9" t="s">
        <v>41996</v>
      </c>
      <c r="E4169" s="9" t="s">
        <v>17740</v>
      </c>
      <c r="F4169" s="9" t="s">
        <v>17741</v>
      </c>
      <c r="G4169" s="9" t="s">
        <v>17740</v>
      </c>
      <c r="H4169" s="11" t="s">
        <v>10187</v>
      </c>
      <c r="I4169" s="11" t="s">
        <v>10186</v>
      </c>
      <c r="J4169" s="11" t="s">
        <v>10186</v>
      </c>
      <c r="K4169" s="9" t="s">
        <v>18122</v>
      </c>
      <c r="L4169" s="9" t="s">
        <v>18123</v>
      </c>
      <c r="M4169" s="9" t="s">
        <v>18065</v>
      </c>
      <c r="N4169" s="9" t="s">
        <v>17746</v>
      </c>
      <c r="O4169" s="9" t="s">
        <v>3100</v>
      </c>
      <c r="P4169" s="9" t="s">
        <v>17748</v>
      </c>
      <c r="Q4169" s="11" t="s">
        <v>17780</v>
      </c>
      <c r="R4169" s="11" t="s">
        <v>17780</v>
      </c>
      <c r="S4169" s="11" t="s">
        <v>17750</v>
      </c>
    </row>
    <row r="4170" spans="1:19" x14ac:dyDescent="0.2">
      <c r="A4170" s="11" t="s">
        <v>41997</v>
      </c>
      <c r="B4170" s="9" t="s">
        <v>41998</v>
      </c>
      <c r="C4170" s="9" t="s">
        <v>41999</v>
      </c>
      <c r="D4170" s="9" t="s">
        <v>42000</v>
      </c>
      <c r="E4170" s="9" t="s">
        <v>17748</v>
      </c>
      <c r="F4170" s="9" t="s">
        <v>42001</v>
      </c>
      <c r="G4170" s="9" t="s">
        <v>17740</v>
      </c>
      <c r="H4170" s="11" t="s">
        <v>17741</v>
      </c>
      <c r="I4170" s="11" t="s">
        <v>6889</v>
      </c>
      <c r="J4170" s="11" t="s">
        <v>6889</v>
      </c>
      <c r="K4170" s="9" t="s">
        <v>42002</v>
      </c>
      <c r="L4170" s="9" t="s">
        <v>17759</v>
      </c>
      <c r="M4170" s="9" t="s">
        <v>17760</v>
      </c>
      <c r="N4170" s="9" t="s">
        <v>17746</v>
      </c>
      <c r="O4170" s="9" t="s">
        <v>3100</v>
      </c>
      <c r="P4170" s="9" t="s">
        <v>17748</v>
      </c>
      <c r="Q4170" s="11" t="s">
        <v>17923</v>
      </c>
      <c r="R4170" s="11" t="s">
        <v>17923</v>
      </c>
      <c r="S4170" s="11" t="s">
        <v>17750</v>
      </c>
    </row>
    <row r="4171" spans="1:19" x14ac:dyDescent="0.2">
      <c r="A4171" s="11" t="s">
        <v>42003</v>
      </c>
      <c r="B4171" s="9" t="s">
        <v>3202</v>
      </c>
      <c r="C4171" s="9" t="s">
        <v>42004</v>
      </c>
      <c r="D4171" s="9" t="s">
        <v>3202</v>
      </c>
      <c r="E4171" s="9" t="s">
        <v>17740</v>
      </c>
      <c r="F4171" s="9" t="s">
        <v>17741</v>
      </c>
      <c r="G4171" s="9" t="s">
        <v>17740</v>
      </c>
      <c r="H4171" s="11" t="s">
        <v>3204</v>
      </c>
      <c r="I4171" s="11" t="s">
        <v>3203</v>
      </c>
      <c r="J4171" s="11" t="s">
        <v>3203</v>
      </c>
      <c r="K4171" s="9" t="s">
        <v>18122</v>
      </c>
      <c r="L4171" s="9" t="s">
        <v>18123</v>
      </c>
      <c r="M4171" s="9" t="s">
        <v>18289</v>
      </c>
      <c r="N4171" s="9" t="s">
        <v>17746</v>
      </c>
      <c r="O4171" s="9" t="s">
        <v>29708</v>
      </c>
      <c r="P4171" s="9" t="s">
        <v>17748</v>
      </c>
      <c r="Q4171" s="11" t="s">
        <v>18072</v>
      </c>
      <c r="R4171" s="11" t="s">
        <v>18072</v>
      </c>
      <c r="S4171" s="11" t="s">
        <v>17750</v>
      </c>
    </row>
    <row r="4172" spans="1:19" x14ac:dyDescent="0.2">
      <c r="A4172" s="11" t="s">
        <v>42005</v>
      </c>
      <c r="B4172" s="9" t="s">
        <v>3063</v>
      </c>
      <c r="C4172" s="9" t="s">
        <v>42006</v>
      </c>
      <c r="D4172" s="9" t="s">
        <v>3063</v>
      </c>
      <c r="E4172" s="9" t="s">
        <v>17740</v>
      </c>
      <c r="F4172" s="9" t="s">
        <v>17741</v>
      </c>
      <c r="G4172" s="9" t="s">
        <v>17740</v>
      </c>
      <c r="H4172" s="11" t="s">
        <v>3065</v>
      </c>
      <c r="I4172" s="11" t="s">
        <v>3064</v>
      </c>
      <c r="J4172" s="11" t="s">
        <v>3064</v>
      </c>
      <c r="K4172" s="9" t="s">
        <v>22922</v>
      </c>
      <c r="L4172" s="9" t="s">
        <v>18123</v>
      </c>
      <c r="M4172" s="9" t="s">
        <v>18065</v>
      </c>
      <c r="N4172" s="9" t="s">
        <v>17746</v>
      </c>
      <c r="O4172" s="9" t="s">
        <v>42007</v>
      </c>
      <c r="P4172" s="9" t="s">
        <v>17748</v>
      </c>
      <c r="Q4172" s="11" t="s">
        <v>19515</v>
      </c>
      <c r="R4172" s="11" t="s">
        <v>19515</v>
      </c>
      <c r="S4172" s="11" t="s">
        <v>17750</v>
      </c>
    </row>
    <row r="4173" spans="1:19" x14ac:dyDescent="0.2">
      <c r="A4173" s="11" t="s">
        <v>42008</v>
      </c>
      <c r="B4173" s="9" t="s">
        <v>42009</v>
      </c>
      <c r="C4173" s="9" t="s">
        <v>42010</v>
      </c>
      <c r="D4173" s="9" t="s">
        <v>42011</v>
      </c>
      <c r="E4173" s="9" t="s">
        <v>17740</v>
      </c>
      <c r="F4173" s="9" t="s">
        <v>42012</v>
      </c>
      <c r="G4173" s="9" t="s">
        <v>17740</v>
      </c>
      <c r="H4173" s="11" t="s">
        <v>6301</v>
      </c>
      <c r="I4173" s="11" t="s">
        <v>6300</v>
      </c>
      <c r="J4173" s="11" t="s">
        <v>6300</v>
      </c>
      <c r="K4173" s="9" t="s">
        <v>23527</v>
      </c>
      <c r="L4173" s="9" t="s">
        <v>17744</v>
      </c>
      <c r="M4173" s="9" t="s">
        <v>19965</v>
      </c>
      <c r="N4173" s="9" t="s">
        <v>17746</v>
      </c>
      <c r="O4173" s="9" t="s">
        <v>42013</v>
      </c>
      <c r="P4173" s="9" t="s">
        <v>17748</v>
      </c>
      <c r="Q4173" s="11" t="s">
        <v>17808</v>
      </c>
      <c r="R4173" s="11" t="s">
        <v>17808</v>
      </c>
      <c r="S4173" s="11" t="s">
        <v>17750</v>
      </c>
    </row>
    <row r="4174" spans="1:19" x14ac:dyDescent="0.2">
      <c r="A4174" s="11" t="s">
        <v>42014</v>
      </c>
      <c r="B4174" s="9" t="s">
        <v>7670</v>
      </c>
      <c r="C4174" s="9" t="s">
        <v>42015</v>
      </c>
      <c r="D4174" s="9" t="s">
        <v>7670</v>
      </c>
      <c r="E4174" s="9" t="s">
        <v>17740</v>
      </c>
      <c r="F4174" s="9" t="s">
        <v>17741</v>
      </c>
      <c r="G4174" s="9" t="s">
        <v>17740</v>
      </c>
      <c r="H4174" s="11" t="s">
        <v>7672</v>
      </c>
      <c r="I4174" s="11" t="s">
        <v>7671</v>
      </c>
      <c r="J4174" s="11" t="s">
        <v>7671</v>
      </c>
      <c r="K4174" s="9" t="s">
        <v>17089</v>
      </c>
      <c r="L4174" s="9" t="s">
        <v>17759</v>
      </c>
      <c r="M4174" s="9" t="s">
        <v>17760</v>
      </c>
      <c r="N4174" s="9" t="s">
        <v>17746</v>
      </c>
      <c r="O4174" s="9" t="s">
        <v>42016</v>
      </c>
      <c r="P4174" s="9" t="s">
        <v>17748</v>
      </c>
      <c r="Q4174" s="11" t="s">
        <v>18272</v>
      </c>
      <c r="R4174" s="11" t="s">
        <v>18272</v>
      </c>
      <c r="S4174" s="11" t="s">
        <v>17750</v>
      </c>
    </row>
    <row r="4175" spans="1:19" x14ac:dyDescent="0.2">
      <c r="A4175" s="11" t="s">
        <v>42017</v>
      </c>
      <c r="B4175" s="9" t="s">
        <v>6023</v>
      </c>
      <c r="C4175" s="9" t="s">
        <v>42018</v>
      </c>
      <c r="D4175" s="9" t="s">
        <v>42019</v>
      </c>
      <c r="E4175" s="9" t="s">
        <v>17740</v>
      </c>
      <c r="F4175" s="9" t="s">
        <v>17741</v>
      </c>
      <c r="G4175" s="9" t="s">
        <v>17740</v>
      </c>
      <c r="H4175" s="11" t="s">
        <v>6025</v>
      </c>
      <c r="I4175" s="11" t="s">
        <v>6024</v>
      </c>
      <c r="J4175" s="11" t="s">
        <v>6024</v>
      </c>
      <c r="K4175" s="9" t="s">
        <v>601</v>
      </c>
      <c r="L4175" s="9" t="s">
        <v>17759</v>
      </c>
      <c r="M4175" s="9" t="s">
        <v>42020</v>
      </c>
      <c r="N4175" s="9" t="s">
        <v>17746</v>
      </c>
      <c r="O4175" s="9" t="s">
        <v>23061</v>
      </c>
      <c r="P4175" s="9" t="s">
        <v>17748</v>
      </c>
      <c r="Q4175" s="11" t="s">
        <v>18147</v>
      </c>
      <c r="R4175" s="11" t="s">
        <v>18147</v>
      </c>
      <c r="S4175" s="11" t="s">
        <v>17750</v>
      </c>
    </row>
    <row r="4176" spans="1:19" x14ac:dyDescent="0.2">
      <c r="A4176" s="11" t="s">
        <v>42021</v>
      </c>
      <c r="B4176" s="9" t="s">
        <v>42022</v>
      </c>
      <c r="C4176" s="9" t="s">
        <v>42023</v>
      </c>
      <c r="D4176" s="9" t="s">
        <v>42024</v>
      </c>
      <c r="E4176" s="9" t="s">
        <v>17740</v>
      </c>
      <c r="F4176" s="9" t="s">
        <v>17741</v>
      </c>
      <c r="G4176" s="9" t="s">
        <v>17740</v>
      </c>
      <c r="H4176" s="11" t="s">
        <v>5783</v>
      </c>
      <c r="I4176" s="11" t="s">
        <v>5782</v>
      </c>
      <c r="J4176" s="11" t="s">
        <v>5782</v>
      </c>
      <c r="K4176" s="9" t="s">
        <v>18921</v>
      </c>
      <c r="L4176" s="9" t="s">
        <v>17759</v>
      </c>
      <c r="M4176" s="9" t="s">
        <v>17760</v>
      </c>
      <c r="N4176" s="9" t="s">
        <v>17746</v>
      </c>
      <c r="O4176" s="9" t="s">
        <v>36892</v>
      </c>
      <c r="P4176" s="9" t="s">
        <v>17748</v>
      </c>
      <c r="Q4176" s="11" t="s">
        <v>18080</v>
      </c>
      <c r="R4176" s="11" t="s">
        <v>18080</v>
      </c>
      <c r="S4176" s="11" t="s">
        <v>17750</v>
      </c>
    </row>
    <row r="4177" spans="1:19" x14ac:dyDescent="0.2">
      <c r="A4177" s="11" t="s">
        <v>42025</v>
      </c>
      <c r="B4177" s="9" t="s">
        <v>42026</v>
      </c>
      <c r="C4177" s="9" t="s">
        <v>42027</v>
      </c>
      <c r="D4177" s="9" t="s">
        <v>42026</v>
      </c>
      <c r="E4177" s="9" t="s">
        <v>17740</v>
      </c>
      <c r="F4177" s="9" t="s">
        <v>17741</v>
      </c>
      <c r="G4177" s="9" t="s">
        <v>17740</v>
      </c>
      <c r="H4177" s="11" t="s">
        <v>6182</v>
      </c>
      <c r="I4177" s="11" t="s">
        <v>6181</v>
      </c>
      <c r="J4177" s="11" t="s">
        <v>6181</v>
      </c>
      <c r="K4177" s="9" t="s">
        <v>42028</v>
      </c>
      <c r="L4177" s="9" t="s">
        <v>18123</v>
      </c>
      <c r="M4177" s="9" t="s">
        <v>42029</v>
      </c>
      <c r="N4177" s="9" t="s">
        <v>17746</v>
      </c>
      <c r="O4177" s="9" t="s">
        <v>36902</v>
      </c>
      <c r="P4177" s="9" t="s">
        <v>17748</v>
      </c>
      <c r="Q4177" s="11" t="s">
        <v>17808</v>
      </c>
      <c r="R4177" s="11" t="s">
        <v>17808</v>
      </c>
      <c r="S4177" s="11" t="s">
        <v>17750</v>
      </c>
    </row>
    <row r="4178" spans="1:19" x14ac:dyDescent="0.2">
      <c r="A4178" s="11" t="s">
        <v>42030</v>
      </c>
      <c r="B4178" s="9" t="s">
        <v>42031</v>
      </c>
      <c r="C4178" s="9" t="s">
        <v>42032</v>
      </c>
      <c r="D4178" s="9" t="s">
        <v>42031</v>
      </c>
      <c r="E4178" s="9" t="s">
        <v>17740</v>
      </c>
      <c r="F4178" s="9" t="s">
        <v>17741</v>
      </c>
      <c r="G4178" s="9" t="s">
        <v>17740</v>
      </c>
      <c r="H4178" s="11" t="s">
        <v>42033</v>
      </c>
      <c r="I4178" s="11" t="s">
        <v>42034</v>
      </c>
      <c r="J4178" s="11" t="s">
        <v>42034</v>
      </c>
      <c r="K4178" s="9" t="s">
        <v>42035</v>
      </c>
      <c r="L4178" s="9" t="s">
        <v>17759</v>
      </c>
      <c r="M4178" s="9" t="s">
        <v>17760</v>
      </c>
      <c r="N4178" s="9" t="s">
        <v>17746</v>
      </c>
      <c r="O4178" s="9" t="s">
        <v>42036</v>
      </c>
      <c r="P4178" s="9" t="s">
        <v>17748</v>
      </c>
      <c r="Q4178" s="11" t="s">
        <v>17994</v>
      </c>
      <c r="R4178" s="11" t="s">
        <v>17994</v>
      </c>
      <c r="S4178" s="11" t="s">
        <v>17750</v>
      </c>
    </row>
    <row r="4179" spans="1:19" x14ac:dyDescent="0.2">
      <c r="A4179" s="11" t="s">
        <v>42037</v>
      </c>
      <c r="B4179" s="9" t="s">
        <v>42038</v>
      </c>
      <c r="C4179" s="9" t="s">
        <v>42039</v>
      </c>
      <c r="D4179" s="9" t="s">
        <v>4966</v>
      </c>
      <c r="E4179" s="9" t="s">
        <v>17740</v>
      </c>
      <c r="F4179" s="9" t="s">
        <v>17741</v>
      </c>
      <c r="G4179" s="9" t="s">
        <v>17740</v>
      </c>
      <c r="H4179" s="11" t="s">
        <v>4968</v>
      </c>
      <c r="I4179" s="11" t="s">
        <v>4967</v>
      </c>
      <c r="J4179" s="11" t="s">
        <v>4967</v>
      </c>
      <c r="K4179" s="9" t="s">
        <v>175</v>
      </c>
      <c r="L4179" s="9" t="s">
        <v>18439</v>
      </c>
      <c r="M4179" s="9" t="s">
        <v>42040</v>
      </c>
      <c r="N4179" s="9" t="s">
        <v>18171</v>
      </c>
      <c r="O4179" s="9" t="s">
        <v>3100</v>
      </c>
      <c r="P4179" s="9" t="s">
        <v>17748</v>
      </c>
      <c r="Q4179" s="11" t="s">
        <v>18059</v>
      </c>
      <c r="R4179" s="11" t="s">
        <v>18059</v>
      </c>
      <c r="S4179" s="11" t="s">
        <v>17750</v>
      </c>
    </row>
    <row r="4180" spans="1:19" x14ac:dyDescent="0.2">
      <c r="A4180" s="11" t="s">
        <v>42041</v>
      </c>
      <c r="B4180" s="9" t="s">
        <v>42042</v>
      </c>
      <c r="C4180" s="9" t="s">
        <v>42043</v>
      </c>
      <c r="D4180" s="9" t="s">
        <v>42044</v>
      </c>
      <c r="E4180" s="9" t="s">
        <v>17740</v>
      </c>
      <c r="F4180" s="9" t="s">
        <v>42045</v>
      </c>
      <c r="G4180" s="9" t="s">
        <v>17740</v>
      </c>
      <c r="H4180" s="11" t="s">
        <v>17741</v>
      </c>
      <c r="I4180" s="11" t="s">
        <v>3132</v>
      </c>
      <c r="J4180" s="11" t="s">
        <v>3132</v>
      </c>
      <c r="K4180" s="9" t="s">
        <v>42046</v>
      </c>
      <c r="L4180" s="9" t="s">
        <v>17967</v>
      </c>
      <c r="M4180" s="9" t="s">
        <v>17769</v>
      </c>
      <c r="N4180" s="9" t="s">
        <v>18492</v>
      </c>
      <c r="O4180" s="9" t="s">
        <v>25421</v>
      </c>
      <c r="P4180" s="9" t="s">
        <v>17748</v>
      </c>
      <c r="Q4180" s="11" t="s">
        <v>18813</v>
      </c>
      <c r="R4180" s="11" t="s">
        <v>18813</v>
      </c>
      <c r="S4180" s="11" t="s">
        <v>17750</v>
      </c>
    </row>
    <row r="4181" spans="1:19" x14ac:dyDescent="0.2">
      <c r="A4181" s="11" t="s">
        <v>42047</v>
      </c>
      <c r="B4181" s="9" t="s">
        <v>42048</v>
      </c>
      <c r="C4181" s="9" t="s">
        <v>42049</v>
      </c>
      <c r="D4181" s="9" t="s">
        <v>42050</v>
      </c>
      <c r="E4181" s="9" t="s">
        <v>17740</v>
      </c>
      <c r="F4181" s="9" t="s">
        <v>17741</v>
      </c>
      <c r="G4181" s="9" t="s">
        <v>17740</v>
      </c>
      <c r="H4181" s="11" t="s">
        <v>3119</v>
      </c>
      <c r="I4181" s="11" t="s">
        <v>3118</v>
      </c>
      <c r="J4181" s="11" t="s">
        <v>3118</v>
      </c>
      <c r="K4181" s="9" t="s">
        <v>3120</v>
      </c>
      <c r="L4181" s="9" t="s">
        <v>18242</v>
      </c>
      <c r="M4181" s="9" t="s">
        <v>17817</v>
      </c>
      <c r="N4181" s="9" t="s">
        <v>17746</v>
      </c>
      <c r="O4181" s="9" t="s">
        <v>25421</v>
      </c>
      <c r="P4181" s="9" t="s">
        <v>17748</v>
      </c>
      <c r="Q4181" s="11" t="s">
        <v>17943</v>
      </c>
      <c r="R4181" s="11" t="s">
        <v>17943</v>
      </c>
      <c r="S4181" s="11" t="s">
        <v>17750</v>
      </c>
    </row>
    <row r="4182" spans="1:19" x14ac:dyDescent="0.2">
      <c r="A4182" s="11" t="s">
        <v>42051</v>
      </c>
      <c r="B4182" s="9" t="s">
        <v>42052</v>
      </c>
      <c r="C4182" s="9" t="s">
        <v>42053</v>
      </c>
      <c r="D4182" s="9" t="s">
        <v>42054</v>
      </c>
      <c r="E4182" s="9" t="s">
        <v>17740</v>
      </c>
      <c r="F4182" s="9" t="s">
        <v>17741</v>
      </c>
      <c r="G4182" s="9" t="s">
        <v>17740</v>
      </c>
      <c r="H4182" s="11" t="s">
        <v>3062</v>
      </c>
      <c r="I4182" s="11" t="s">
        <v>3061</v>
      </c>
      <c r="J4182" s="11" t="s">
        <v>3061</v>
      </c>
      <c r="K4182" s="9" t="s">
        <v>20259</v>
      </c>
      <c r="L4182" s="9" t="s">
        <v>17759</v>
      </c>
      <c r="M4182" s="9" t="s">
        <v>17760</v>
      </c>
      <c r="N4182" s="9" t="s">
        <v>17746</v>
      </c>
      <c r="O4182" s="9" t="s">
        <v>3100</v>
      </c>
      <c r="P4182" s="9" t="s">
        <v>17748</v>
      </c>
      <c r="Q4182" s="11" t="s">
        <v>17978</v>
      </c>
      <c r="R4182" s="11" t="s">
        <v>17978</v>
      </c>
      <c r="S4182" s="11" t="s">
        <v>17750</v>
      </c>
    </row>
    <row r="4183" spans="1:19" x14ac:dyDescent="0.2">
      <c r="A4183" s="11" t="s">
        <v>42055</v>
      </c>
      <c r="B4183" s="9" t="s">
        <v>42056</v>
      </c>
      <c r="C4183" s="9" t="s">
        <v>42057</v>
      </c>
      <c r="D4183" s="9" t="s">
        <v>42058</v>
      </c>
      <c r="E4183" s="9" t="s">
        <v>17740</v>
      </c>
      <c r="F4183" s="9" t="s">
        <v>17741</v>
      </c>
      <c r="G4183" s="9" t="s">
        <v>17740</v>
      </c>
      <c r="H4183" s="11" t="s">
        <v>3158</v>
      </c>
      <c r="I4183" s="11" t="s">
        <v>3157</v>
      </c>
      <c r="J4183" s="11" t="s">
        <v>3157</v>
      </c>
      <c r="K4183" s="9" t="s">
        <v>42059</v>
      </c>
      <c r="L4183" s="9" t="s">
        <v>17744</v>
      </c>
      <c r="M4183" s="9" t="s">
        <v>20957</v>
      </c>
      <c r="N4183" s="9" t="s">
        <v>17746</v>
      </c>
      <c r="O4183" s="9" t="s">
        <v>3100</v>
      </c>
      <c r="P4183" s="9" t="s">
        <v>17748</v>
      </c>
      <c r="Q4183" s="11" t="s">
        <v>18251</v>
      </c>
      <c r="R4183" s="11" t="s">
        <v>18251</v>
      </c>
      <c r="S4183" s="11" t="s">
        <v>17750</v>
      </c>
    </row>
    <row r="4184" spans="1:19" x14ac:dyDescent="0.2">
      <c r="A4184" s="11" t="s">
        <v>42060</v>
      </c>
      <c r="B4184" s="9" t="s">
        <v>42061</v>
      </c>
      <c r="C4184" s="9" t="s">
        <v>42062</v>
      </c>
      <c r="D4184" s="9" t="s">
        <v>42063</v>
      </c>
      <c r="E4184" s="9" t="s">
        <v>17748</v>
      </c>
      <c r="F4184" s="9" t="s">
        <v>42064</v>
      </c>
      <c r="G4184" s="9" t="s">
        <v>17740</v>
      </c>
      <c r="H4184" s="11" t="s">
        <v>8588</v>
      </c>
      <c r="I4184" s="11" t="s">
        <v>8587</v>
      </c>
      <c r="J4184" s="11" t="s">
        <v>8587</v>
      </c>
      <c r="K4184" s="9" t="s">
        <v>25135</v>
      </c>
      <c r="L4184" s="9" t="s">
        <v>17991</v>
      </c>
      <c r="M4184" s="9" t="s">
        <v>17769</v>
      </c>
      <c r="N4184" s="9" t="s">
        <v>17746</v>
      </c>
      <c r="O4184" s="9" t="s">
        <v>3100</v>
      </c>
      <c r="P4184" s="9" t="s">
        <v>17748</v>
      </c>
      <c r="Q4184" s="11" t="s">
        <v>17784</v>
      </c>
      <c r="R4184" s="11" t="s">
        <v>17784</v>
      </c>
      <c r="S4184" s="11" t="s">
        <v>17750</v>
      </c>
    </row>
    <row r="4185" spans="1:19" x14ac:dyDescent="0.2">
      <c r="A4185" s="11" t="s">
        <v>42065</v>
      </c>
      <c r="B4185" s="9" t="s">
        <v>42066</v>
      </c>
      <c r="C4185" s="9" t="s">
        <v>42067</v>
      </c>
      <c r="D4185" s="9" t="s">
        <v>7183</v>
      </c>
      <c r="E4185" s="9" t="s">
        <v>17740</v>
      </c>
      <c r="F4185" s="9" t="s">
        <v>17741</v>
      </c>
      <c r="G4185" s="9" t="s">
        <v>17740</v>
      </c>
      <c r="H4185" s="11" t="s">
        <v>17741</v>
      </c>
      <c r="I4185" s="11" t="s">
        <v>7184</v>
      </c>
      <c r="J4185" s="11" t="s">
        <v>7184</v>
      </c>
      <c r="K4185" s="9" t="s">
        <v>17758</v>
      </c>
      <c r="L4185" s="9" t="s">
        <v>17759</v>
      </c>
      <c r="M4185" s="9" t="s">
        <v>17769</v>
      </c>
      <c r="N4185" s="9" t="s">
        <v>17746</v>
      </c>
      <c r="O4185" s="9" t="s">
        <v>3100</v>
      </c>
      <c r="P4185" s="9" t="s">
        <v>17748</v>
      </c>
      <c r="Q4185" s="11" t="s">
        <v>19361</v>
      </c>
      <c r="R4185" s="11" t="s">
        <v>19361</v>
      </c>
      <c r="S4185" s="11" t="s">
        <v>17750</v>
      </c>
    </row>
    <row r="4186" spans="1:19" x14ac:dyDescent="0.2">
      <c r="A4186" s="11" t="s">
        <v>42068</v>
      </c>
      <c r="B4186" s="9" t="s">
        <v>3100</v>
      </c>
      <c r="C4186" s="9" t="s">
        <v>42069</v>
      </c>
      <c r="D4186" s="9" t="s">
        <v>3100</v>
      </c>
      <c r="E4186" s="9" t="s">
        <v>17740</v>
      </c>
      <c r="F4186" s="9" t="s">
        <v>17741</v>
      </c>
      <c r="G4186" s="9" t="s">
        <v>17740</v>
      </c>
      <c r="H4186" s="11" t="s">
        <v>3102</v>
      </c>
      <c r="I4186" s="11" t="s">
        <v>3101</v>
      </c>
      <c r="J4186" s="11" t="s">
        <v>3101</v>
      </c>
      <c r="K4186" s="9" t="s">
        <v>17758</v>
      </c>
      <c r="L4186" s="9" t="s">
        <v>17759</v>
      </c>
      <c r="M4186" s="9" t="s">
        <v>42070</v>
      </c>
      <c r="N4186" s="9" t="s">
        <v>17746</v>
      </c>
      <c r="O4186" s="9" t="s">
        <v>3100</v>
      </c>
      <c r="P4186" s="9" t="s">
        <v>17748</v>
      </c>
      <c r="Q4186" s="11" t="s">
        <v>20021</v>
      </c>
      <c r="R4186" s="11" t="s">
        <v>20021</v>
      </c>
      <c r="S4186" s="11" t="s">
        <v>17750</v>
      </c>
    </row>
    <row r="4187" spans="1:19" x14ac:dyDescent="0.2">
      <c r="A4187" s="11" t="s">
        <v>42071</v>
      </c>
      <c r="B4187" s="9" t="s">
        <v>3214</v>
      </c>
      <c r="C4187" s="9" t="s">
        <v>42072</v>
      </c>
      <c r="D4187" s="9" t="s">
        <v>42073</v>
      </c>
      <c r="E4187" s="9" t="s">
        <v>17740</v>
      </c>
      <c r="F4187" s="9" t="s">
        <v>42074</v>
      </c>
      <c r="G4187" s="9" t="s">
        <v>17740</v>
      </c>
      <c r="H4187" s="11" t="s">
        <v>3216</v>
      </c>
      <c r="I4187" s="11" t="s">
        <v>3215</v>
      </c>
      <c r="J4187" s="11" t="s">
        <v>3215</v>
      </c>
      <c r="K4187" s="9" t="s">
        <v>19057</v>
      </c>
      <c r="L4187" s="9" t="s">
        <v>20446</v>
      </c>
      <c r="M4187" s="9" t="s">
        <v>42075</v>
      </c>
      <c r="N4187" s="9" t="s">
        <v>17746</v>
      </c>
      <c r="O4187" s="9" t="s">
        <v>3100</v>
      </c>
      <c r="P4187" s="9" t="s">
        <v>17748</v>
      </c>
      <c r="Q4187" s="11" t="s">
        <v>19236</v>
      </c>
      <c r="R4187" s="11" t="s">
        <v>19236</v>
      </c>
      <c r="S4187" s="11" t="s">
        <v>17750</v>
      </c>
    </row>
    <row r="4188" spans="1:19" x14ac:dyDescent="0.2">
      <c r="A4188" s="11" t="s">
        <v>42076</v>
      </c>
      <c r="B4188" s="9" t="s">
        <v>42077</v>
      </c>
      <c r="C4188" s="9" t="s">
        <v>42078</v>
      </c>
      <c r="D4188" s="9" t="s">
        <v>7905</v>
      </c>
      <c r="E4188" s="9" t="s">
        <v>17740</v>
      </c>
      <c r="F4188" s="9" t="s">
        <v>17741</v>
      </c>
      <c r="G4188" s="9" t="s">
        <v>17740</v>
      </c>
      <c r="H4188" s="11" t="s">
        <v>7907</v>
      </c>
      <c r="I4188" s="11" t="s">
        <v>7906</v>
      </c>
      <c r="J4188" s="11" t="s">
        <v>7906</v>
      </c>
      <c r="K4188" s="9" t="s">
        <v>970</v>
      </c>
      <c r="L4188" s="9" t="s">
        <v>17759</v>
      </c>
      <c r="M4188" s="9" t="s">
        <v>42079</v>
      </c>
      <c r="N4188" s="9" t="s">
        <v>17746</v>
      </c>
      <c r="O4188" s="9" t="s">
        <v>3100</v>
      </c>
      <c r="P4188" s="9" t="s">
        <v>17748</v>
      </c>
      <c r="Q4188" s="11" t="s">
        <v>18798</v>
      </c>
      <c r="R4188" s="11" t="s">
        <v>18798</v>
      </c>
      <c r="S4188" s="11" t="s">
        <v>17750</v>
      </c>
    </row>
    <row r="4189" spans="1:19" x14ac:dyDescent="0.2">
      <c r="A4189" s="11" t="s">
        <v>42080</v>
      </c>
      <c r="B4189" s="9" t="s">
        <v>42081</v>
      </c>
      <c r="C4189" s="9" t="s">
        <v>42082</v>
      </c>
      <c r="D4189" s="9" t="s">
        <v>42083</v>
      </c>
      <c r="E4189" s="9" t="s">
        <v>17740</v>
      </c>
      <c r="F4189" s="9" t="s">
        <v>17741</v>
      </c>
      <c r="G4189" s="9" t="s">
        <v>17740</v>
      </c>
      <c r="H4189" s="11" t="s">
        <v>9296</v>
      </c>
      <c r="I4189" s="11" t="s">
        <v>9295</v>
      </c>
      <c r="J4189" s="11" t="s">
        <v>9295</v>
      </c>
      <c r="K4189" s="9" t="s">
        <v>940</v>
      </c>
      <c r="L4189" s="9" t="s">
        <v>17759</v>
      </c>
      <c r="M4189" s="9" t="s">
        <v>17778</v>
      </c>
      <c r="N4189" s="9" t="s">
        <v>17746</v>
      </c>
      <c r="O4189" s="9" t="s">
        <v>36764</v>
      </c>
      <c r="P4189" s="9" t="s">
        <v>17748</v>
      </c>
      <c r="Q4189" s="11" t="s">
        <v>17994</v>
      </c>
      <c r="R4189" s="11" t="s">
        <v>17994</v>
      </c>
      <c r="S4189" s="11" t="s">
        <v>17750</v>
      </c>
    </row>
    <row r="4190" spans="1:19" x14ac:dyDescent="0.2">
      <c r="A4190" s="11" t="s">
        <v>42084</v>
      </c>
      <c r="B4190" s="9" t="s">
        <v>42085</v>
      </c>
      <c r="C4190" s="9" t="s">
        <v>42086</v>
      </c>
      <c r="D4190" s="9" t="s">
        <v>42087</v>
      </c>
      <c r="E4190" s="9" t="s">
        <v>17740</v>
      </c>
      <c r="F4190" s="9" t="s">
        <v>17741</v>
      </c>
      <c r="G4190" s="9" t="s">
        <v>17740</v>
      </c>
      <c r="H4190" s="11" t="s">
        <v>5500</v>
      </c>
      <c r="I4190" s="11" t="s">
        <v>5499</v>
      </c>
      <c r="J4190" s="11" t="s">
        <v>5499</v>
      </c>
      <c r="K4190" s="9" t="s">
        <v>17865</v>
      </c>
      <c r="L4190" s="9" t="s">
        <v>17744</v>
      </c>
      <c r="M4190" s="9" t="s">
        <v>42088</v>
      </c>
      <c r="N4190" s="9" t="s">
        <v>17746</v>
      </c>
      <c r="O4190" s="9" t="s">
        <v>3100</v>
      </c>
      <c r="P4190" s="9" t="s">
        <v>17748</v>
      </c>
      <c r="Q4190" s="11" t="s">
        <v>18080</v>
      </c>
      <c r="R4190" s="11" t="s">
        <v>18080</v>
      </c>
      <c r="S4190" s="11" t="s">
        <v>17750</v>
      </c>
    </row>
    <row r="4191" spans="1:19" x14ac:dyDescent="0.2">
      <c r="A4191" s="11" t="s">
        <v>42089</v>
      </c>
      <c r="B4191" s="9" t="s">
        <v>5082</v>
      </c>
      <c r="C4191" s="9" t="s">
        <v>42090</v>
      </c>
      <c r="D4191" s="9" t="s">
        <v>5082</v>
      </c>
      <c r="E4191" s="9" t="s">
        <v>17740</v>
      </c>
      <c r="F4191" s="9" t="s">
        <v>17741</v>
      </c>
      <c r="G4191" s="9" t="s">
        <v>17740</v>
      </c>
      <c r="H4191" s="11" t="s">
        <v>5084</v>
      </c>
      <c r="I4191" s="11" t="s">
        <v>5083</v>
      </c>
      <c r="J4191" s="11" t="s">
        <v>5083</v>
      </c>
      <c r="K4191" s="9" t="s">
        <v>324</v>
      </c>
      <c r="L4191" s="9" t="s">
        <v>17759</v>
      </c>
      <c r="M4191" s="9" t="s">
        <v>19911</v>
      </c>
      <c r="N4191" s="9" t="s">
        <v>17746</v>
      </c>
      <c r="O4191" s="9" t="s">
        <v>3100</v>
      </c>
      <c r="P4191" s="9" t="s">
        <v>17748</v>
      </c>
      <c r="Q4191" s="11" t="s">
        <v>18678</v>
      </c>
      <c r="R4191" s="11" t="s">
        <v>18678</v>
      </c>
      <c r="S4191" s="11" t="s">
        <v>17750</v>
      </c>
    </row>
    <row r="4192" spans="1:19" x14ac:dyDescent="0.2">
      <c r="A4192" s="11" t="s">
        <v>42091</v>
      </c>
      <c r="B4192" s="9" t="s">
        <v>42092</v>
      </c>
      <c r="C4192" s="9" t="s">
        <v>42093</v>
      </c>
      <c r="D4192" s="9" t="s">
        <v>42094</v>
      </c>
      <c r="E4192" s="9" t="s">
        <v>17740</v>
      </c>
      <c r="F4192" s="9" t="s">
        <v>17741</v>
      </c>
      <c r="G4192" s="9" t="s">
        <v>17740</v>
      </c>
      <c r="H4192" s="11" t="s">
        <v>10420</v>
      </c>
      <c r="I4192" s="11" t="s">
        <v>10419</v>
      </c>
      <c r="J4192" s="11" t="s">
        <v>10419</v>
      </c>
      <c r="K4192" s="9" t="s">
        <v>724</v>
      </c>
      <c r="L4192" s="9" t="s">
        <v>17744</v>
      </c>
      <c r="M4192" s="9" t="s">
        <v>17778</v>
      </c>
      <c r="N4192" s="9" t="s">
        <v>17746</v>
      </c>
      <c r="O4192" s="9" t="s">
        <v>3100</v>
      </c>
      <c r="P4192" s="9" t="s">
        <v>17748</v>
      </c>
      <c r="Q4192" s="11" t="s">
        <v>17780</v>
      </c>
      <c r="R4192" s="11" t="s">
        <v>17780</v>
      </c>
      <c r="S4192" s="11" t="s">
        <v>17750</v>
      </c>
    </row>
    <row r="4193" spans="1:19" x14ac:dyDescent="0.2">
      <c r="A4193" s="11" t="s">
        <v>42095</v>
      </c>
      <c r="B4193" s="9" t="s">
        <v>42096</v>
      </c>
      <c r="C4193" s="9" t="s">
        <v>42097</v>
      </c>
      <c r="D4193" s="9" t="s">
        <v>42098</v>
      </c>
      <c r="E4193" s="9" t="s">
        <v>17740</v>
      </c>
      <c r="F4193" s="9" t="s">
        <v>17741</v>
      </c>
      <c r="G4193" s="9" t="s">
        <v>17740</v>
      </c>
      <c r="H4193" s="11" t="s">
        <v>9079</v>
      </c>
      <c r="I4193" s="11" t="s">
        <v>9078</v>
      </c>
      <c r="J4193" s="11" t="s">
        <v>9078</v>
      </c>
      <c r="K4193" s="9" t="s">
        <v>55</v>
      </c>
      <c r="L4193" s="9" t="s">
        <v>17744</v>
      </c>
      <c r="M4193" s="9" t="s">
        <v>25514</v>
      </c>
      <c r="N4193" s="9" t="s">
        <v>17746</v>
      </c>
      <c r="O4193" s="9" t="s">
        <v>36947</v>
      </c>
      <c r="P4193" s="9" t="s">
        <v>17748</v>
      </c>
      <c r="Q4193" s="11" t="s">
        <v>18356</v>
      </c>
      <c r="R4193" s="11" t="s">
        <v>18356</v>
      </c>
      <c r="S4193" s="11" t="s">
        <v>17750</v>
      </c>
    </row>
    <row r="4194" spans="1:19" x14ac:dyDescent="0.2">
      <c r="A4194" s="11" t="s">
        <v>42099</v>
      </c>
      <c r="B4194" s="9" t="s">
        <v>42100</v>
      </c>
      <c r="C4194" s="9" t="s">
        <v>42101</v>
      </c>
      <c r="D4194" s="9" t="s">
        <v>6598</v>
      </c>
      <c r="E4194" s="9" t="s">
        <v>17740</v>
      </c>
      <c r="F4194" s="9" t="s">
        <v>42102</v>
      </c>
      <c r="G4194" s="9" t="s">
        <v>17740</v>
      </c>
      <c r="H4194" s="11" t="s">
        <v>6600</v>
      </c>
      <c r="I4194" s="11" t="s">
        <v>6599</v>
      </c>
      <c r="J4194" s="11" t="s">
        <v>6599</v>
      </c>
      <c r="K4194" s="9" t="s">
        <v>27397</v>
      </c>
      <c r="L4194" s="9" t="s">
        <v>20082</v>
      </c>
      <c r="M4194" s="9" t="s">
        <v>17760</v>
      </c>
      <c r="N4194" s="9" t="s">
        <v>17746</v>
      </c>
      <c r="O4194" s="9" t="s">
        <v>25427</v>
      </c>
      <c r="P4194" s="9" t="s">
        <v>17748</v>
      </c>
      <c r="Q4194" s="11" t="s">
        <v>17792</v>
      </c>
      <c r="R4194" s="11" t="s">
        <v>17792</v>
      </c>
      <c r="S4194" s="11" t="s">
        <v>17750</v>
      </c>
    </row>
    <row r="4195" spans="1:19" x14ac:dyDescent="0.2">
      <c r="A4195" s="11" t="s">
        <v>42103</v>
      </c>
      <c r="B4195" s="9" t="s">
        <v>42104</v>
      </c>
      <c r="C4195" s="9" t="s">
        <v>42105</v>
      </c>
      <c r="D4195" s="9" t="s">
        <v>42106</v>
      </c>
      <c r="E4195" s="9" t="s">
        <v>17740</v>
      </c>
      <c r="F4195" s="9" t="s">
        <v>17741</v>
      </c>
      <c r="G4195" s="9" t="s">
        <v>17740</v>
      </c>
      <c r="H4195" s="11" t="s">
        <v>3041</v>
      </c>
      <c r="I4195" s="11" t="s">
        <v>3040</v>
      </c>
      <c r="J4195" s="11" t="s">
        <v>3040</v>
      </c>
      <c r="K4195" s="9" t="s">
        <v>24835</v>
      </c>
      <c r="L4195" s="9" t="s">
        <v>17744</v>
      </c>
      <c r="M4195" s="9" t="s">
        <v>17769</v>
      </c>
      <c r="N4195" s="9" t="s">
        <v>17746</v>
      </c>
      <c r="O4195" s="9" t="s">
        <v>42107</v>
      </c>
      <c r="P4195" s="9" t="s">
        <v>17748</v>
      </c>
      <c r="Q4195" s="11" t="s">
        <v>18608</v>
      </c>
      <c r="R4195" s="11" t="s">
        <v>18608</v>
      </c>
      <c r="S4195" s="11" t="s">
        <v>17750</v>
      </c>
    </row>
    <row r="4196" spans="1:19" x14ac:dyDescent="0.2">
      <c r="A4196" s="11" t="s">
        <v>42108</v>
      </c>
      <c r="B4196" s="9" t="s">
        <v>3163</v>
      </c>
      <c r="C4196" s="9" t="s">
        <v>42109</v>
      </c>
      <c r="D4196" s="9" t="s">
        <v>3163</v>
      </c>
      <c r="E4196" s="9" t="s">
        <v>17740</v>
      </c>
      <c r="F4196" s="9" t="s">
        <v>42110</v>
      </c>
      <c r="G4196" s="9" t="s">
        <v>17740</v>
      </c>
      <c r="H4196" s="11" t="s">
        <v>3165</v>
      </c>
      <c r="I4196" s="11" t="s">
        <v>3164</v>
      </c>
      <c r="J4196" s="11" t="s">
        <v>3164</v>
      </c>
      <c r="K4196" s="9" t="s">
        <v>30394</v>
      </c>
      <c r="L4196" s="9" t="s">
        <v>18158</v>
      </c>
      <c r="M4196" s="9" t="s">
        <v>17769</v>
      </c>
      <c r="N4196" s="9" t="s">
        <v>17746</v>
      </c>
      <c r="O4196" s="9" t="s">
        <v>24849</v>
      </c>
      <c r="P4196" s="9" t="s">
        <v>17748</v>
      </c>
      <c r="Q4196" s="11" t="s">
        <v>19222</v>
      </c>
      <c r="R4196" s="11" t="s">
        <v>19222</v>
      </c>
      <c r="S4196" s="11" t="s">
        <v>17750</v>
      </c>
    </row>
    <row r="4197" spans="1:19" x14ac:dyDescent="0.2">
      <c r="A4197" s="11" t="s">
        <v>42111</v>
      </c>
      <c r="B4197" s="9" t="s">
        <v>3170</v>
      </c>
      <c r="C4197" s="9" t="s">
        <v>42112</v>
      </c>
      <c r="D4197" s="9" t="s">
        <v>3170</v>
      </c>
      <c r="E4197" s="9" t="s">
        <v>17740</v>
      </c>
      <c r="F4197" s="9" t="s">
        <v>17741</v>
      </c>
      <c r="G4197" s="9" t="s">
        <v>17740</v>
      </c>
      <c r="H4197" s="11" t="s">
        <v>3172</v>
      </c>
      <c r="I4197" s="11" t="s">
        <v>3171</v>
      </c>
      <c r="J4197" s="11" t="s">
        <v>3171</v>
      </c>
      <c r="K4197" s="9" t="s">
        <v>831</v>
      </c>
      <c r="L4197" s="9" t="s">
        <v>23607</v>
      </c>
      <c r="M4197" s="9" t="s">
        <v>18289</v>
      </c>
      <c r="N4197" s="9" t="s">
        <v>17746</v>
      </c>
      <c r="O4197" s="9" t="s">
        <v>42113</v>
      </c>
      <c r="P4197" s="9" t="s">
        <v>17748</v>
      </c>
      <c r="Q4197" s="11" t="s">
        <v>19222</v>
      </c>
      <c r="R4197" s="11" t="s">
        <v>19222</v>
      </c>
      <c r="S4197" s="11" t="s">
        <v>17750</v>
      </c>
    </row>
    <row r="4198" spans="1:19" x14ac:dyDescent="0.2">
      <c r="A4198" s="11" t="s">
        <v>42114</v>
      </c>
      <c r="B4198" s="9" t="s">
        <v>3077</v>
      </c>
      <c r="C4198" s="9" t="s">
        <v>42115</v>
      </c>
      <c r="D4198" s="9" t="s">
        <v>3077</v>
      </c>
      <c r="E4198" s="9" t="s">
        <v>17740</v>
      </c>
      <c r="F4198" s="9" t="s">
        <v>42116</v>
      </c>
      <c r="G4198" s="9" t="s">
        <v>17740</v>
      </c>
      <c r="H4198" s="11" t="s">
        <v>3079</v>
      </c>
      <c r="I4198" s="11" t="s">
        <v>3078</v>
      </c>
      <c r="J4198" s="11" t="s">
        <v>3078</v>
      </c>
      <c r="K4198" s="9" t="s">
        <v>17865</v>
      </c>
      <c r="L4198" s="9" t="s">
        <v>17744</v>
      </c>
      <c r="M4198" s="9" t="s">
        <v>42117</v>
      </c>
      <c r="N4198" s="9" t="s">
        <v>17746</v>
      </c>
      <c r="O4198" s="9" t="s">
        <v>21974</v>
      </c>
      <c r="P4198" s="9" t="s">
        <v>17748</v>
      </c>
      <c r="Q4198" s="11" t="s">
        <v>18282</v>
      </c>
      <c r="R4198" s="11" t="s">
        <v>18282</v>
      </c>
      <c r="S4198" s="11" t="s">
        <v>17750</v>
      </c>
    </row>
    <row r="4199" spans="1:19" x14ac:dyDescent="0.2">
      <c r="A4199" s="11" t="s">
        <v>42118</v>
      </c>
      <c r="B4199" s="9" t="s">
        <v>42119</v>
      </c>
      <c r="C4199" s="9" t="s">
        <v>42120</v>
      </c>
      <c r="D4199" s="9" t="s">
        <v>42121</v>
      </c>
      <c r="E4199" s="9" t="s">
        <v>17740</v>
      </c>
      <c r="F4199" s="9" t="s">
        <v>42122</v>
      </c>
      <c r="G4199" s="9" t="s">
        <v>17740</v>
      </c>
      <c r="H4199" s="11" t="s">
        <v>4492</v>
      </c>
      <c r="I4199" s="11" t="s">
        <v>4491</v>
      </c>
      <c r="J4199" s="11" t="s">
        <v>4491</v>
      </c>
      <c r="K4199" s="9" t="s">
        <v>91</v>
      </c>
      <c r="L4199" s="9" t="s">
        <v>20359</v>
      </c>
      <c r="M4199" s="9" t="s">
        <v>18065</v>
      </c>
      <c r="N4199" s="9" t="s">
        <v>17746</v>
      </c>
      <c r="O4199" s="9" t="s">
        <v>22463</v>
      </c>
      <c r="P4199" s="9" t="s">
        <v>17748</v>
      </c>
      <c r="Q4199" s="11" t="s">
        <v>18678</v>
      </c>
      <c r="R4199" s="11" t="s">
        <v>18678</v>
      </c>
      <c r="S4199" s="11" t="s">
        <v>17750</v>
      </c>
    </row>
    <row r="4200" spans="1:19" x14ac:dyDescent="0.2">
      <c r="A4200" s="11" t="s">
        <v>42123</v>
      </c>
      <c r="B4200" s="9" t="s">
        <v>42124</v>
      </c>
      <c r="C4200" s="9" t="s">
        <v>42125</v>
      </c>
      <c r="D4200" s="9" t="s">
        <v>42126</v>
      </c>
      <c r="E4200" s="9" t="s">
        <v>17740</v>
      </c>
      <c r="F4200" s="9" t="s">
        <v>17741</v>
      </c>
      <c r="G4200" s="9" t="s">
        <v>17740</v>
      </c>
      <c r="H4200" s="11" t="s">
        <v>17741</v>
      </c>
      <c r="I4200" s="11" t="s">
        <v>6444</v>
      </c>
      <c r="J4200" s="11" t="s">
        <v>6444</v>
      </c>
      <c r="K4200" s="9" t="s">
        <v>25426</v>
      </c>
      <c r="L4200" s="9" t="s">
        <v>18158</v>
      </c>
      <c r="M4200" s="9" t="s">
        <v>17760</v>
      </c>
      <c r="N4200" s="9" t="s">
        <v>18185</v>
      </c>
      <c r="O4200" s="9" t="s">
        <v>19379</v>
      </c>
      <c r="P4200" s="9" t="s">
        <v>17748</v>
      </c>
      <c r="Q4200" s="11" t="s">
        <v>18059</v>
      </c>
      <c r="R4200" s="11" t="s">
        <v>18059</v>
      </c>
      <c r="S4200" s="11" t="s">
        <v>17750</v>
      </c>
    </row>
    <row r="4201" spans="1:19" x14ac:dyDescent="0.2">
      <c r="A4201" s="11" t="s">
        <v>42127</v>
      </c>
      <c r="B4201" s="9" t="s">
        <v>3147</v>
      </c>
      <c r="C4201" s="9" t="s">
        <v>42128</v>
      </c>
      <c r="D4201" s="9" t="s">
        <v>3147</v>
      </c>
      <c r="E4201" s="9" t="s">
        <v>17740</v>
      </c>
      <c r="F4201" s="9" t="s">
        <v>42129</v>
      </c>
      <c r="G4201" s="9" t="s">
        <v>17740</v>
      </c>
      <c r="H4201" s="11" t="s">
        <v>3149</v>
      </c>
      <c r="I4201" s="11" t="s">
        <v>3148</v>
      </c>
      <c r="J4201" s="11" t="s">
        <v>3148</v>
      </c>
      <c r="K4201" s="9" t="s">
        <v>18176</v>
      </c>
      <c r="L4201" s="9" t="s">
        <v>18123</v>
      </c>
      <c r="M4201" s="9" t="s">
        <v>42130</v>
      </c>
      <c r="N4201" s="9" t="s">
        <v>17746</v>
      </c>
      <c r="O4201" s="9" t="s">
        <v>19379</v>
      </c>
      <c r="P4201" s="9" t="s">
        <v>17748</v>
      </c>
      <c r="Q4201" s="11" t="s">
        <v>18608</v>
      </c>
      <c r="R4201" s="11" t="s">
        <v>18608</v>
      </c>
      <c r="S4201" s="11" t="s">
        <v>17750</v>
      </c>
    </row>
    <row r="4202" spans="1:19" x14ac:dyDescent="0.2">
      <c r="A4202" s="11" t="s">
        <v>42131</v>
      </c>
      <c r="B4202" s="9" t="s">
        <v>3205</v>
      </c>
      <c r="C4202" s="9" t="s">
        <v>42132</v>
      </c>
      <c r="D4202" s="9" t="s">
        <v>3205</v>
      </c>
      <c r="E4202" s="9" t="s">
        <v>17740</v>
      </c>
      <c r="F4202" s="9" t="s">
        <v>17741</v>
      </c>
      <c r="G4202" s="9" t="s">
        <v>17740</v>
      </c>
      <c r="H4202" s="11" t="s">
        <v>3207</v>
      </c>
      <c r="I4202" s="11" t="s">
        <v>3206</v>
      </c>
      <c r="J4202" s="11" t="s">
        <v>3206</v>
      </c>
      <c r="K4202" s="9" t="s">
        <v>17865</v>
      </c>
      <c r="L4202" s="9" t="s">
        <v>17744</v>
      </c>
      <c r="M4202" s="9" t="s">
        <v>17817</v>
      </c>
      <c r="N4202" s="9" t="s">
        <v>17746</v>
      </c>
      <c r="O4202" s="9" t="s">
        <v>21109</v>
      </c>
      <c r="P4202" s="9" t="s">
        <v>17748</v>
      </c>
      <c r="Q4202" s="11" t="s">
        <v>17849</v>
      </c>
      <c r="R4202" s="11" t="s">
        <v>17849</v>
      </c>
      <c r="S4202" s="11" t="s">
        <v>17750</v>
      </c>
    </row>
    <row r="4203" spans="1:19" x14ac:dyDescent="0.2">
      <c r="A4203" s="11" t="s">
        <v>42133</v>
      </c>
      <c r="B4203" s="9" t="s">
        <v>42134</v>
      </c>
      <c r="C4203" s="9" t="s">
        <v>42135</v>
      </c>
      <c r="D4203" s="9" t="s">
        <v>42136</v>
      </c>
      <c r="E4203" s="9" t="s">
        <v>17740</v>
      </c>
      <c r="F4203" s="9" t="s">
        <v>17741</v>
      </c>
      <c r="G4203" s="9" t="s">
        <v>17740</v>
      </c>
      <c r="H4203" s="11" t="s">
        <v>42137</v>
      </c>
      <c r="I4203" s="11" t="s">
        <v>42138</v>
      </c>
      <c r="J4203" s="11" t="s">
        <v>42138</v>
      </c>
      <c r="K4203" s="9" t="s">
        <v>25444</v>
      </c>
      <c r="L4203" s="9" t="s">
        <v>17744</v>
      </c>
      <c r="M4203" s="9" t="s">
        <v>17778</v>
      </c>
      <c r="N4203" s="9" t="s">
        <v>17746</v>
      </c>
      <c r="O4203" s="9" t="s">
        <v>42139</v>
      </c>
      <c r="P4203" s="9" t="s">
        <v>17748</v>
      </c>
      <c r="Q4203" s="11" t="s">
        <v>18080</v>
      </c>
      <c r="R4203" s="11" t="s">
        <v>18080</v>
      </c>
      <c r="S4203" s="11" t="s">
        <v>17750</v>
      </c>
    </row>
    <row r="4204" spans="1:19" x14ac:dyDescent="0.2">
      <c r="A4204" s="11" t="s">
        <v>42140</v>
      </c>
      <c r="B4204" s="9" t="s">
        <v>4809</v>
      </c>
      <c r="C4204" s="9" t="s">
        <v>42141</v>
      </c>
      <c r="D4204" s="9" t="s">
        <v>4809</v>
      </c>
      <c r="E4204" s="9" t="s">
        <v>17740</v>
      </c>
      <c r="F4204" s="9" t="s">
        <v>17741</v>
      </c>
      <c r="G4204" s="9" t="s">
        <v>17740</v>
      </c>
      <c r="H4204" s="11" t="s">
        <v>4811</v>
      </c>
      <c r="I4204" s="11" t="s">
        <v>4810</v>
      </c>
      <c r="J4204" s="11" t="s">
        <v>4810</v>
      </c>
      <c r="K4204" s="9" t="s">
        <v>19767</v>
      </c>
      <c r="L4204" s="9" t="s">
        <v>17759</v>
      </c>
      <c r="M4204" s="9" t="s">
        <v>17760</v>
      </c>
      <c r="N4204" s="9" t="s">
        <v>17746</v>
      </c>
      <c r="O4204" s="9" t="s">
        <v>21109</v>
      </c>
      <c r="P4204" s="9" t="s">
        <v>17748</v>
      </c>
      <c r="Q4204" s="11" t="s">
        <v>18364</v>
      </c>
      <c r="R4204" s="11" t="s">
        <v>18364</v>
      </c>
      <c r="S4204" s="11" t="s">
        <v>17750</v>
      </c>
    </row>
    <row r="4205" spans="1:19" x14ac:dyDescent="0.2">
      <c r="A4205" s="11" t="s">
        <v>42142</v>
      </c>
      <c r="B4205" s="9" t="s">
        <v>42143</v>
      </c>
      <c r="C4205" s="9" t="s">
        <v>42144</v>
      </c>
      <c r="D4205" s="9" t="s">
        <v>42145</v>
      </c>
      <c r="E4205" s="9" t="s">
        <v>17740</v>
      </c>
      <c r="F4205" s="9" t="s">
        <v>17741</v>
      </c>
      <c r="G4205" s="9" t="s">
        <v>17740</v>
      </c>
      <c r="H4205" s="11" t="s">
        <v>42146</v>
      </c>
      <c r="I4205" s="11" t="s">
        <v>42147</v>
      </c>
      <c r="J4205" s="11" t="s">
        <v>42147</v>
      </c>
      <c r="K4205" s="9" t="s">
        <v>18832</v>
      </c>
      <c r="L4205" s="9" t="s">
        <v>17759</v>
      </c>
      <c r="M4205" s="9" t="s">
        <v>17760</v>
      </c>
      <c r="N4205" s="9" t="s">
        <v>17746</v>
      </c>
      <c r="O4205" s="9" t="s">
        <v>21109</v>
      </c>
      <c r="P4205" s="9" t="s">
        <v>17748</v>
      </c>
      <c r="Q4205" s="11" t="s">
        <v>17749</v>
      </c>
      <c r="R4205" s="11" t="s">
        <v>17749</v>
      </c>
      <c r="S4205" s="11" t="s">
        <v>17750</v>
      </c>
    </row>
    <row r="4206" spans="1:19" x14ac:dyDescent="0.2">
      <c r="A4206" s="11" t="s">
        <v>42148</v>
      </c>
      <c r="B4206" s="9" t="s">
        <v>42149</v>
      </c>
      <c r="C4206" s="9" t="s">
        <v>42150</v>
      </c>
      <c r="D4206" s="9" t="s">
        <v>42151</v>
      </c>
      <c r="E4206" s="9" t="s">
        <v>17740</v>
      </c>
      <c r="F4206" s="9" t="s">
        <v>42152</v>
      </c>
      <c r="G4206" s="9" t="s">
        <v>17740</v>
      </c>
      <c r="H4206" s="11" t="s">
        <v>42153</v>
      </c>
      <c r="I4206" s="11" t="s">
        <v>42154</v>
      </c>
      <c r="J4206" s="11" t="s">
        <v>42154</v>
      </c>
      <c r="K4206" s="9" t="s">
        <v>42155</v>
      </c>
      <c r="L4206" s="9" t="s">
        <v>17759</v>
      </c>
      <c r="M4206" s="9" t="s">
        <v>17760</v>
      </c>
      <c r="N4206" s="9" t="s">
        <v>17746</v>
      </c>
      <c r="O4206" s="9" t="s">
        <v>42156</v>
      </c>
      <c r="P4206" s="9" t="s">
        <v>17748</v>
      </c>
      <c r="Q4206" s="11" t="s">
        <v>18201</v>
      </c>
      <c r="R4206" s="11" t="s">
        <v>18201</v>
      </c>
      <c r="S4206" s="11" t="s">
        <v>17750</v>
      </c>
    </row>
    <row r="4207" spans="1:19" x14ac:dyDescent="0.2">
      <c r="A4207" s="11" t="s">
        <v>42157</v>
      </c>
      <c r="B4207" s="9" t="s">
        <v>42158</v>
      </c>
      <c r="C4207" s="9" t="s">
        <v>42159</v>
      </c>
      <c r="D4207" s="9" t="s">
        <v>42160</v>
      </c>
      <c r="E4207" s="9" t="s">
        <v>17740</v>
      </c>
      <c r="F4207" s="9" t="s">
        <v>17741</v>
      </c>
      <c r="G4207" s="9" t="s">
        <v>17740</v>
      </c>
      <c r="H4207" s="11" t="s">
        <v>17741</v>
      </c>
      <c r="I4207" s="11" t="s">
        <v>12648</v>
      </c>
      <c r="J4207" s="11" t="s">
        <v>12648</v>
      </c>
      <c r="K4207" s="9" t="s">
        <v>42161</v>
      </c>
      <c r="L4207" s="9" t="s">
        <v>17976</v>
      </c>
      <c r="M4207" s="9" t="s">
        <v>17760</v>
      </c>
      <c r="N4207" s="9" t="s">
        <v>18469</v>
      </c>
      <c r="O4207" s="9" t="s">
        <v>32719</v>
      </c>
      <c r="P4207" s="9" t="s">
        <v>17748</v>
      </c>
      <c r="Q4207" s="11" t="s">
        <v>18356</v>
      </c>
      <c r="R4207" s="11" t="s">
        <v>18356</v>
      </c>
      <c r="S4207" s="11" t="s">
        <v>17750</v>
      </c>
    </row>
    <row r="4208" spans="1:19" x14ac:dyDescent="0.2">
      <c r="A4208" s="11" t="s">
        <v>42162</v>
      </c>
      <c r="B4208" s="9" t="s">
        <v>42163</v>
      </c>
      <c r="C4208" s="9" t="s">
        <v>42164</v>
      </c>
      <c r="D4208" s="9" t="s">
        <v>4756</v>
      </c>
      <c r="E4208" s="9" t="s">
        <v>17740</v>
      </c>
      <c r="F4208" s="9" t="s">
        <v>17741</v>
      </c>
      <c r="G4208" s="9" t="s">
        <v>17740</v>
      </c>
      <c r="H4208" s="11" t="s">
        <v>4758</v>
      </c>
      <c r="I4208" s="11" t="s">
        <v>4757</v>
      </c>
      <c r="J4208" s="11" t="s">
        <v>797</v>
      </c>
      <c r="K4208" s="9" t="s">
        <v>315</v>
      </c>
      <c r="L4208" s="9" t="s">
        <v>17744</v>
      </c>
      <c r="M4208" s="9" t="s">
        <v>18289</v>
      </c>
      <c r="N4208" s="9" t="s">
        <v>17746</v>
      </c>
      <c r="O4208" s="9" t="s">
        <v>32719</v>
      </c>
      <c r="P4208" s="9" t="s">
        <v>17748</v>
      </c>
      <c r="Q4208" s="11" t="s">
        <v>18364</v>
      </c>
      <c r="R4208" s="11" t="s">
        <v>18364</v>
      </c>
      <c r="S4208" s="11" t="s">
        <v>17750</v>
      </c>
    </row>
    <row r="4209" spans="1:19" x14ac:dyDescent="0.2">
      <c r="A4209" s="11" t="s">
        <v>42165</v>
      </c>
      <c r="B4209" s="9" t="s">
        <v>3153</v>
      </c>
      <c r="C4209" s="9" t="s">
        <v>42166</v>
      </c>
      <c r="D4209" s="9" t="s">
        <v>3153</v>
      </c>
      <c r="E4209" s="9" t="s">
        <v>17740</v>
      </c>
      <c r="F4209" s="9" t="s">
        <v>17741</v>
      </c>
      <c r="G4209" s="9" t="s">
        <v>17740</v>
      </c>
      <c r="H4209" s="11" t="s">
        <v>3155</v>
      </c>
      <c r="I4209" s="11" t="s">
        <v>3154</v>
      </c>
      <c r="J4209" s="11" t="s">
        <v>3154</v>
      </c>
      <c r="K4209" s="9" t="s">
        <v>18727</v>
      </c>
      <c r="L4209" s="9" t="s">
        <v>18158</v>
      </c>
      <c r="M4209" s="9" t="s">
        <v>17817</v>
      </c>
      <c r="N4209" s="9" t="s">
        <v>17746</v>
      </c>
      <c r="O4209" s="9" t="s">
        <v>19221</v>
      </c>
      <c r="P4209" s="9" t="s">
        <v>17748</v>
      </c>
      <c r="Q4209" s="11" t="s">
        <v>18282</v>
      </c>
      <c r="R4209" s="11" t="s">
        <v>18282</v>
      </c>
      <c r="S4209" s="11" t="s">
        <v>17750</v>
      </c>
    </row>
    <row r="4210" spans="1:19" x14ac:dyDescent="0.2">
      <c r="A4210" s="11" t="s">
        <v>42167</v>
      </c>
      <c r="B4210" s="9" t="s">
        <v>42168</v>
      </c>
      <c r="C4210" s="9" t="s">
        <v>42169</v>
      </c>
      <c r="D4210" s="9" t="s">
        <v>42170</v>
      </c>
      <c r="E4210" s="9" t="s">
        <v>17740</v>
      </c>
      <c r="F4210" s="9" t="s">
        <v>42171</v>
      </c>
      <c r="G4210" s="9" t="s">
        <v>17740</v>
      </c>
      <c r="H4210" s="11" t="s">
        <v>17741</v>
      </c>
      <c r="I4210" s="11" t="s">
        <v>11530</v>
      </c>
      <c r="J4210" s="11" t="s">
        <v>11530</v>
      </c>
      <c r="K4210" s="9" t="s">
        <v>42172</v>
      </c>
      <c r="L4210" s="9" t="s">
        <v>17991</v>
      </c>
      <c r="M4210" s="9" t="s">
        <v>17769</v>
      </c>
      <c r="N4210" s="9" t="s">
        <v>17746</v>
      </c>
      <c r="O4210" s="9" t="s">
        <v>19221</v>
      </c>
      <c r="P4210" s="9" t="s">
        <v>17748</v>
      </c>
      <c r="Q4210" s="11" t="s">
        <v>17762</v>
      </c>
      <c r="R4210" s="11" t="s">
        <v>17762</v>
      </c>
      <c r="S4210" s="11" t="s">
        <v>17750</v>
      </c>
    </row>
    <row r="4211" spans="1:19" x14ac:dyDescent="0.2">
      <c r="A4211" s="11" t="s">
        <v>42173</v>
      </c>
      <c r="B4211" s="9" t="s">
        <v>6561</v>
      </c>
      <c r="C4211" s="9" t="s">
        <v>42174</v>
      </c>
      <c r="D4211" s="9" t="s">
        <v>6561</v>
      </c>
      <c r="E4211" s="9" t="s">
        <v>17740</v>
      </c>
      <c r="F4211" s="9" t="s">
        <v>17741</v>
      </c>
      <c r="G4211" s="9" t="s">
        <v>17740</v>
      </c>
      <c r="H4211" s="11" t="s">
        <v>6563</v>
      </c>
      <c r="I4211" s="11" t="s">
        <v>6562</v>
      </c>
      <c r="J4211" s="11" t="s">
        <v>6562</v>
      </c>
      <c r="K4211" s="9" t="s">
        <v>920</v>
      </c>
      <c r="L4211" s="9" t="s">
        <v>18001</v>
      </c>
      <c r="M4211" s="9" t="s">
        <v>17760</v>
      </c>
      <c r="N4211" s="9" t="s">
        <v>17746</v>
      </c>
      <c r="O4211" s="9" t="s">
        <v>36925</v>
      </c>
      <c r="P4211" s="9" t="s">
        <v>17748</v>
      </c>
      <c r="Q4211" s="11" t="s">
        <v>18080</v>
      </c>
      <c r="R4211" s="11" t="s">
        <v>18080</v>
      </c>
      <c r="S4211" s="11" t="s">
        <v>17750</v>
      </c>
    </row>
    <row r="4212" spans="1:19" x14ac:dyDescent="0.2">
      <c r="A4212" s="11" t="s">
        <v>42175</v>
      </c>
      <c r="B4212" s="9" t="s">
        <v>42176</v>
      </c>
      <c r="C4212" s="9" t="s">
        <v>42177</v>
      </c>
      <c r="D4212" s="9" t="s">
        <v>42178</v>
      </c>
      <c r="E4212" s="9" t="s">
        <v>17740</v>
      </c>
      <c r="F4212" s="9" t="s">
        <v>42179</v>
      </c>
      <c r="G4212" s="9" t="s">
        <v>17740</v>
      </c>
      <c r="H4212" s="11" t="s">
        <v>8288</v>
      </c>
      <c r="I4212" s="11" t="s">
        <v>8287</v>
      </c>
      <c r="J4212" s="11" t="s">
        <v>8287</v>
      </c>
      <c r="K4212" s="9" t="s">
        <v>19447</v>
      </c>
      <c r="L4212" s="9" t="s">
        <v>17759</v>
      </c>
      <c r="M4212" s="9" t="s">
        <v>42180</v>
      </c>
      <c r="N4212" s="9" t="s">
        <v>17746</v>
      </c>
      <c r="O4212" s="9" t="s">
        <v>36925</v>
      </c>
      <c r="P4212" s="9" t="s">
        <v>17748</v>
      </c>
      <c r="Q4212" s="11" t="s">
        <v>18356</v>
      </c>
      <c r="R4212" s="11" t="s">
        <v>18356</v>
      </c>
      <c r="S4212" s="11" t="s">
        <v>17750</v>
      </c>
    </row>
    <row r="4213" spans="1:19" x14ac:dyDescent="0.2">
      <c r="A4213" s="11" t="s">
        <v>42181</v>
      </c>
      <c r="B4213" s="9" t="s">
        <v>42182</v>
      </c>
      <c r="C4213" s="9" t="s">
        <v>42183</v>
      </c>
      <c r="D4213" s="9" t="s">
        <v>42182</v>
      </c>
      <c r="E4213" s="9" t="s">
        <v>17740</v>
      </c>
      <c r="F4213" s="9" t="s">
        <v>17741</v>
      </c>
      <c r="G4213" s="9" t="s">
        <v>17740</v>
      </c>
      <c r="H4213" s="11" t="s">
        <v>5426</v>
      </c>
      <c r="I4213" s="11" t="s">
        <v>5425</v>
      </c>
      <c r="J4213" s="11" t="s">
        <v>5425</v>
      </c>
      <c r="K4213" s="9" t="s">
        <v>17758</v>
      </c>
      <c r="L4213" s="9" t="s">
        <v>17744</v>
      </c>
      <c r="M4213" s="9" t="s">
        <v>19203</v>
      </c>
      <c r="N4213" s="9" t="s">
        <v>17746</v>
      </c>
      <c r="O4213" s="9" t="s">
        <v>3100</v>
      </c>
      <c r="P4213" s="9" t="s">
        <v>17748</v>
      </c>
      <c r="Q4213" s="11" t="s">
        <v>17749</v>
      </c>
      <c r="R4213" s="11" t="s">
        <v>17749</v>
      </c>
      <c r="S4213" s="11" t="s">
        <v>17750</v>
      </c>
    </row>
    <row r="4214" spans="1:19" x14ac:dyDescent="0.2">
      <c r="A4214" s="11" t="s">
        <v>42184</v>
      </c>
      <c r="B4214" s="9" t="s">
        <v>3173</v>
      </c>
      <c r="C4214" s="9" t="s">
        <v>42185</v>
      </c>
      <c r="D4214" s="9" t="s">
        <v>3173</v>
      </c>
      <c r="E4214" s="9" t="s">
        <v>17740</v>
      </c>
      <c r="F4214" s="9" t="s">
        <v>17741</v>
      </c>
      <c r="G4214" s="9" t="s">
        <v>17740</v>
      </c>
      <c r="H4214" s="11" t="s">
        <v>3175</v>
      </c>
      <c r="I4214" s="11" t="s">
        <v>3174</v>
      </c>
      <c r="J4214" s="11" t="s">
        <v>3174</v>
      </c>
      <c r="K4214" s="9" t="s">
        <v>18661</v>
      </c>
      <c r="L4214" s="9" t="s">
        <v>17759</v>
      </c>
      <c r="M4214" s="9" t="s">
        <v>42186</v>
      </c>
      <c r="N4214" s="9" t="s">
        <v>17746</v>
      </c>
      <c r="O4214" s="9" t="s">
        <v>3100</v>
      </c>
      <c r="P4214" s="9" t="s">
        <v>17748</v>
      </c>
      <c r="Q4214" s="11" t="s">
        <v>19026</v>
      </c>
      <c r="R4214" s="11" t="s">
        <v>19026</v>
      </c>
      <c r="S4214" s="11" t="s">
        <v>17750</v>
      </c>
    </row>
    <row r="4215" spans="1:19" x14ac:dyDescent="0.2">
      <c r="A4215" s="11" t="s">
        <v>42187</v>
      </c>
      <c r="B4215" s="9" t="s">
        <v>42188</v>
      </c>
      <c r="C4215" s="9" t="s">
        <v>42189</v>
      </c>
      <c r="D4215" s="9" t="s">
        <v>42190</v>
      </c>
      <c r="E4215" s="9" t="s">
        <v>17740</v>
      </c>
      <c r="F4215" s="9" t="s">
        <v>42191</v>
      </c>
      <c r="G4215" s="9" t="s">
        <v>17740</v>
      </c>
      <c r="H4215" s="11" t="s">
        <v>3053</v>
      </c>
      <c r="I4215" s="11" t="s">
        <v>3052</v>
      </c>
      <c r="J4215" s="11" t="s">
        <v>3052</v>
      </c>
      <c r="K4215" s="9" t="s">
        <v>17865</v>
      </c>
      <c r="L4215" s="9" t="s">
        <v>17759</v>
      </c>
      <c r="M4215" s="9" t="s">
        <v>42192</v>
      </c>
      <c r="N4215" s="9" t="s">
        <v>17746</v>
      </c>
      <c r="O4215" s="9" t="s">
        <v>22096</v>
      </c>
      <c r="P4215" s="9" t="s">
        <v>17748</v>
      </c>
      <c r="Q4215" s="11" t="s">
        <v>19335</v>
      </c>
      <c r="R4215" s="11" t="s">
        <v>19335</v>
      </c>
      <c r="S4215" s="11" t="s">
        <v>17750</v>
      </c>
    </row>
    <row r="4216" spans="1:19" x14ac:dyDescent="0.2">
      <c r="A4216" s="11" t="s">
        <v>42193</v>
      </c>
      <c r="B4216" s="9" t="s">
        <v>42194</v>
      </c>
      <c r="C4216" s="9" t="s">
        <v>42195</v>
      </c>
      <c r="D4216" s="9" t="s">
        <v>42196</v>
      </c>
      <c r="E4216" s="9" t="s">
        <v>17740</v>
      </c>
      <c r="F4216" s="9" t="s">
        <v>42197</v>
      </c>
      <c r="G4216" s="9" t="s">
        <v>17740</v>
      </c>
      <c r="H4216" s="11" t="s">
        <v>11709</v>
      </c>
      <c r="I4216" s="11" t="s">
        <v>11708</v>
      </c>
      <c r="J4216" s="11" t="s">
        <v>11709</v>
      </c>
      <c r="K4216" s="9" t="s">
        <v>6433</v>
      </c>
      <c r="L4216" s="9" t="s">
        <v>17958</v>
      </c>
      <c r="M4216" s="9" t="s">
        <v>24881</v>
      </c>
      <c r="N4216" s="9" t="s">
        <v>17746</v>
      </c>
      <c r="O4216" s="9" t="s">
        <v>3100</v>
      </c>
      <c r="P4216" s="9" t="s">
        <v>17748</v>
      </c>
      <c r="Q4216" s="11" t="s">
        <v>17984</v>
      </c>
      <c r="R4216" s="11" t="s">
        <v>17984</v>
      </c>
      <c r="S4216" s="11" t="s">
        <v>17750</v>
      </c>
    </row>
    <row r="4217" spans="1:19" x14ac:dyDescent="0.2">
      <c r="A4217" s="11" t="s">
        <v>42198</v>
      </c>
      <c r="B4217" s="9" t="s">
        <v>42199</v>
      </c>
      <c r="C4217" s="9" t="s">
        <v>42200</v>
      </c>
      <c r="D4217" s="9" t="s">
        <v>42201</v>
      </c>
      <c r="E4217" s="9" t="s">
        <v>17740</v>
      </c>
      <c r="F4217" s="9" t="s">
        <v>17741</v>
      </c>
      <c r="G4217" s="9" t="s">
        <v>17740</v>
      </c>
      <c r="H4217" s="11" t="s">
        <v>3072</v>
      </c>
      <c r="I4217" s="11" t="s">
        <v>3071</v>
      </c>
      <c r="J4217" s="11" t="s">
        <v>3071</v>
      </c>
      <c r="K4217" s="9" t="s">
        <v>42202</v>
      </c>
      <c r="L4217" s="9" t="s">
        <v>21771</v>
      </c>
      <c r="M4217" s="9" t="s">
        <v>42203</v>
      </c>
      <c r="N4217" s="9" t="s">
        <v>17746</v>
      </c>
      <c r="O4217" s="9" t="s">
        <v>3100</v>
      </c>
      <c r="P4217" s="9" t="s">
        <v>17748</v>
      </c>
      <c r="Q4217" s="11" t="s">
        <v>18608</v>
      </c>
      <c r="R4217" s="11" t="s">
        <v>18608</v>
      </c>
      <c r="S4217" s="11" t="s">
        <v>17750</v>
      </c>
    </row>
    <row r="4218" spans="1:19" x14ac:dyDescent="0.2">
      <c r="A4218" s="11" t="s">
        <v>42204</v>
      </c>
      <c r="B4218" s="9" t="s">
        <v>42205</v>
      </c>
      <c r="C4218" s="9" t="s">
        <v>42206</v>
      </c>
      <c r="D4218" s="9" t="s">
        <v>42207</v>
      </c>
      <c r="E4218" s="9" t="s">
        <v>17740</v>
      </c>
      <c r="F4218" s="9" t="s">
        <v>17741</v>
      </c>
      <c r="G4218" s="9" t="s">
        <v>17740</v>
      </c>
      <c r="H4218" s="11" t="s">
        <v>42208</v>
      </c>
      <c r="I4218" s="11" t="s">
        <v>42209</v>
      </c>
      <c r="J4218" s="11" t="s">
        <v>42209</v>
      </c>
      <c r="K4218" s="9" t="s">
        <v>42202</v>
      </c>
      <c r="L4218" s="9" t="s">
        <v>21771</v>
      </c>
      <c r="M4218" s="9" t="s">
        <v>17942</v>
      </c>
      <c r="N4218" s="9" t="s">
        <v>17746</v>
      </c>
      <c r="O4218" s="9" t="s">
        <v>3100</v>
      </c>
      <c r="P4218" s="9" t="s">
        <v>17748</v>
      </c>
      <c r="Q4218" s="11" t="s">
        <v>19335</v>
      </c>
      <c r="R4218" s="11" t="s">
        <v>19335</v>
      </c>
      <c r="S4218" s="11" t="s">
        <v>17750</v>
      </c>
    </row>
    <row r="4219" spans="1:19" x14ac:dyDescent="0.2">
      <c r="A4219" s="11" t="s">
        <v>42210</v>
      </c>
      <c r="B4219" s="9" t="s">
        <v>42211</v>
      </c>
      <c r="C4219" s="9" t="s">
        <v>42212</v>
      </c>
      <c r="D4219" s="9" t="s">
        <v>42213</v>
      </c>
      <c r="E4219" s="9" t="s">
        <v>17740</v>
      </c>
      <c r="F4219" s="9" t="s">
        <v>17741</v>
      </c>
      <c r="G4219" s="9" t="s">
        <v>17740</v>
      </c>
      <c r="H4219" s="11" t="s">
        <v>3082</v>
      </c>
      <c r="I4219" s="11" t="s">
        <v>3081</v>
      </c>
      <c r="J4219" s="11" t="s">
        <v>3081</v>
      </c>
      <c r="K4219" s="9" t="s">
        <v>91</v>
      </c>
      <c r="L4219" s="9" t="s">
        <v>21771</v>
      </c>
      <c r="M4219" s="9" t="s">
        <v>42214</v>
      </c>
      <c r="N4219" s="9" t="s">
        <v>17746</v>
      </c>
      <c r="O4219" s="9" t="s">
        <v>3100</v>
      </c>
      <c r="P4219" s="9" t="s">
        <v>17748</v>
      </c>
      <c r="Q4219" s="11" t="s">
        <v>18341</v>
      </c>
      <c r="R4219" s="11" t="s">
        <v>18341</v>
      </c>
      <c r="S4219" s="11" t="s">
        <v>17750</v>
      </c>
    </row>
    <row r="4220" spans="1:19" x14ac:dyDescent="0.2">
      <c r="A4220" s="11" t="s">
        <v>42215</v>
      </c>
      <c r="B4220" s="9" t="s">
        <v>42216</v>
      </c>
      <c r="C4220" s="9" t="s">
        <v>42217</v>
      </c>
      <c r="D4220" s="9" t="s">
        <v>42218</v>
      </c>
      <c r="E4220" s="9" t="s">
        <v>17740</v>
      </c>
      <c r="F4220" s="9" t="s">
        <v>17741</v>
      </c>
      <c r="G4220" s="9" t="s">
        <v>17740</v>
      </c>
      <c r="H4220" s="11" t="s">
        <v>17741</v>
      </c>
      <c r="I4220" s="11" t="s">
        <v>42219</v>
      </c>
      <c r="J4220" s="11" t="s">
        <v>42219</v>
      </c>
      <c r="K4220" s="9" t="s">
        <v>42202</v>
      </c>
      <c r="L4220" s="9" t="s">
        <v>21771</v>
      </c>
      <c r="M4220" s="9" t="s">
        <v>18745</v>
      </c>
      <c r="N4220" s="9" t="s">
        <v>17746</v>
      </c>
      <c r="O4220" s="9" t="s">
        <v>3100</v>
      </c>
      <c r="P4220" s="9" t="s">
        <v>17748</v>
      </c>
      <c r="Q4220" s="11" t="s">
        <v>18960</v>
      </c>
      <c r="R4220" s="11" t="s">
        <v>18960</v>
      </c>
      <c r="S4220" s="11" t="s">
        <v>17750</v>
      </c>
    </row>
    <row r="4221" spans="1:19" x14ac:dyDescent="0.2">
      <c r="A4221" s="11" t="s">
        <v>42220</v>
      </c>
      <c r="B4221" s="9" t="s">
        <v>42221</v>
      </c>
      <c r="C4221" s="9" t="s">
        <v>42222</v>
      </c>
      <c r="D4221" s="9" t="s">
        <v>42223</v>
      </c>
      <c r="E4221" s="9" t="s">
        <v>17740</v>
      </c>
      <c r="F4221" s="9" t="s">
        <v>17741</v>
      </c>
      <c r="G4221" s="9" t="s">
        <v>17740</v>
      </c>
      <c r="H4221" s="11" t="s">
        <v>17741</v>
      </c>
      <c r="I4221" s="11" t="s">
        <v>8978</v>
      </c>
      <c r="J4221" s="11" t="s">
        <v>8978</v>
      </c>
      <c r="K4221" s="9" t="s">
        <v>42224</v>
      </c>
      <c r="L4221" s="9" t="s">
        <v>42225</v>
      </c>
      <c r="M4221" s="9" t="s">
        <v>17760</v>
      </c>
      <c r="N4221" s="9" t="s">
        <v>17746</v>
      </c>
      <c r="O4221" s="9" t="s">
        <v>3100</v>
      </c>
      <c r="P4221" s="9" t="s">
        <v>17748</v>
      </c>
      <c r="Q4221" s="11" t="s">
        <v>18201</v>
      </c>
      <c r="R4221" s="11" t="s">
        <v>18201</v>
      </c>
      <c r="S4221" s="11" t="s">
        <v>17750</v>
      </c>
    </row>
    <row r="4222" spans="1:19" x14ac:dyDescent="0.2">
      <c r="A4222" s="11" t="s">
        <v>42226</v>
      </c>
      <c r="B4222" s="9" t="s">
        <v>42227</v>
      </c>
      <c r="C4222" s="9" t="s">
        <v>42228</v>
      </c>
      <c r="D4222" s="9" t="s">
        <v>7217</v>
      </c>
      <c r="E4222" s="9" t="s">
        <v>17740</v>
      </c>
      <c r="F4222" s="9" t="s">
        <v>17741</v>
      </c>
      <c r="G4222" s="9" t="s">
        <v>17740</v>
      </c>
      <c r="H4222" s="11" t="s">
        <v>7219</v>
      </c>
      <c r="I4222" s="11" t="s">
        <v>7218</v>
      </c>
      <c r="J4222" s="11" t="s">
        <v>7218</v>
      </c>
      <c r="K4222" s="9" t="s">
        <v>19447</v>
      </c>
      <c r="L4222" s="9" t="s">
        <v>17759</v>
      </c>
      <c r="M4222" s="9" t="s">
        <v>17769</v>
      </c>
      <c r="N4222" s="9" t="s">
        <v>17746</v>
      </c>
      <c r="O4222" s="9" t="s">
        <v>19379</v>
      </c>
      <c r="P4222" s="9" t="s">
        <v>17748</v>
      </c>
      <c r="Q4222" s="11" t="s">
        <v>19361</v>
      </c>
      <c r="R4222" s="11" t="s">
        <v>19361</v>
      </c>
      <c r="S4222" s="11" t="s">
        <v>17750</v>
      </c>
    </row>
    <row r="4223" spans="1:19" x14ac:dyDescent="0.2">
      <c r="A4223" s="11" t="s">
        <v>42229</v>
      </c>
      <c r="B4223" s="9" t="s">
        <v>42230</v>
      </c>
      <c r="C4223" s="9" t="s">
        <v>42231</v>
      </c>
      <c r="D4223" s="9" t="s">
        <v>42232</v>
      </c>
      <c r="E4223" s="9" t="s">
        <v>17748</v>
      </c>
      <c r="F4223" s="9" t="s">
        <v>42233</v>
      </c>
      <c r="G4223" s="9" t="s">
        <v>17740</v>
      </c>
      <c r="H4223" s="11" t="s">
        <v>9885</v>
      </c>
      <c r="I4223" s="11" t="s">
        <v>9884</v>
      </c>
      <c r="J4223" s="11" t="s">
        <v>9884</v>
      </c>
      <c r="K4223" s="9" t="s">
        <v>18122</v>
      </c>
      <c r="L4223" s="9" t="s">
        <v>18123</v>
      </c>
      <c r="M4223" s="9" t="s">
        <v>25572</v>
      </c>
      <c r="N4223" s="9" t="s">
        <v>17746</v>
      </c>
      <c r="O4223" s="9" t="s">
        <v>42234</v>
      </c>
      <c r="P4223" s="9" t="s">
        <v>17748</v>
      </c>
      <c r="Q4223" s="11" t="s">
        <v>17994</v>
      </c>
      <c r="R4223" s="11" t="s">
        <v>17994</v>
      </c>
      <c r="S4223" s="11" t="s">
        <v>17750</v>
      </c>
    </row>
    <row r="4224" spans="1:19" x14ac:dyDescent="0.2">
      <c r="A4224" s="11" t="s">
        <v>42235</v>
      </c>
      <c r="B4224" s="9" t="s">
        <v>3176</v>
      </c>
      <c r="C4224" s="9" t="s">
        <v>42236</v>
      </c>
      <c r="D4224" s="9" t="s">
        <v>3176</v>
      </c>
      <c r="E4224" s="9" t="s">
        <v>17740</v>
      </c>
      <c r="F4224" s="9" t="s">
        <v>17741</v>
      </c>
      <c r="G4224" s="9" t="s">
        <v>17740</v>
      </c>
      <c r="H4224" s="11" t="s">
        <v>42237</v>
      </c>
      <c r="I4224" s="11" t="s">
        <v>3177</v>
      </c>
      <c r="J4224" s="11" t="s">
        <v>3177</v>
      </c>
      <c r="K4224" s="9" t="s">
        <v>17758</v>
      </c>
      <c r="L4224" s="9" t="s">
        <v>17759</v>
      </c>
      <c r="M4224" s="9" t="s">
        <v>17817</v>
      </c>
      <c r="N4224" s="9" t="s">
        <v>17746</v>
      </c>
      <c r="O4224" s="9" t="s">
        <v>3176</v>
      </c>
      <c r="P4224" s="9" t="s">
        <v>17748</v>
      </c>
      <c r="Q4224" s="11" t="s">
        <v>18600</v>
      </c>
      <c r="R4224" s="11" t="s">
        <v>18600</v>
      </c>
      <c r="S4224" s="11" t="s">
        <v>17750</v>
      </c>
    </row>
    <row r="4225" spans="1:19" x14ac:dyDescent="0.2">
      <c r="A4225" s="11" t="s">
        <v>42238</v>
      </c>
      <c r="B4225" s="9" t="s">
        <v>42239</v>
      </c>
      <c r="C4225" s="9" t="s">
        <v>42240</v>
      </c>
      <c r="D4225" s="9" t="s">
        <v>42241</v>
      </c>
      <c r="E4225" s="9" t="s">
        <v>17740</v>
      </c>
      <c r="F4225" s="9" t="s">
        <v>17741</v>
      </c>
      <c r="G4225" s="9" t="s">
        <v>17740</v>
      </c>
      <c r="H4225" s="11" t="s">
        <v>6323</v>
      </c>
      <c r="I4225" s="11" t="s">
        <v>6322</v>
      </c>
      <c r="J4225" s="11" t="s">
        <v>6322</v>
      </c>
      <c r="K4225" s="9" t="s">
        <v>303</v>
      </c>
      <c r="L4225" s="9" t="s">
        <v>17759</v>
      </c>
      <c r="M4225" s="9" t="s">
        <v>17760</v>
      </c>
      <c r="N4225" s="9" t="s">
        <v>17746</v>
      </c>
      <c r="O4225" s="9" t="s">
        <v>3176</v>
      </c>
      <c r="P4225" s="9" t="s">
        <v>17748</v>
      </c>
      <c r="Q4225" s="11" t="s">
        <v>17749</v>
      </c>
      <c r="R4225" s="11" t="s">
        <v>17749</v>
      </c>
      <c r="S4225" s="11" t="s">
        <v>17750</v>
      </c>
    </row>
    <row r="4226" spans="1:19" x14ac:dyDescent="0.2">
      <c r="A4226" s="11" t="s">
        <v>42242</v>
      </c>
      <c r="B4226" s="9" t="s">
        <v>42243</v>
      </c>
      <c r="C4226" s="9" t="s">
        <v>42244</v>
      </c>
      <c r="D4226" s="9" t="s">
        <v>42245</v>
      </c>
      <c r="E4226" s="9" t="s">
        <v>17740</v>
      </c>
      <c r="F4226" s="9" t="s">
        <v>17741</v>
      </c>
      <c r="G4226" s="9" t="s">
        <v>17740</v>
      </c>
      <c r="H4226" s="11" t="s">
        <v>42246</v>
      </c>
      <c r="I4226" s="11" t="s">
        <v>17741</v>
      </c>
      <c r="J4226" s="11" t="s">
        <v>42246</v>
      </c>
      <c r="K4226" s="9" t="s">
        <v>2605</v>
      </c>
      <c r="L4226" s="9" t="s">
        <v>17759</v>
      </c>
      <c r="M4226" s="9" t="s">
        <v>17817</v>
      </c>
      <c r="N4226" s="9" t="s">
        <v>17746</v>
      </c>
      <c r="O4226" s="9" t="s">
        <v>3176</v>
      </c>
      <c r="P4226" s="9" t="s">
        <v>17748</v>
      </c>
      <c r="Q4226" s="11" t="s">
        <v>18201</v>
      </c>
      <c r="R4226" s="11" t="s">
        <v>18201</v>
      </c>
      <c r="S4226" s="11" t="s">
        <v>17750</v>
      </c>
    </row>
    <row r="4227" spans="1:19" x14ac:dyDescent="0.2">
      <c r="A4227" s="11" t="s">
        <v>42247</v>
      </c>
      <c r="B4227" s="9" t="s">
        <v>42248</v>
      </c>
      <c r="C4227" s="9" t="s">
        <v>42249</v>
      </c>
      <c r="D4227" s="9" t="s">
        <v>42250</v>
      </c>
      <c r="E4227" s="9" t="s">
        <v>17740</v>
      </c>
      <c r="F4227" s="9" t="s">
        <v>17741</v>
      </c>
      <c r="G4227" s="9" t="s">
        <v>17740</v>
      </c>
      <c r="H4227" s="11" t="s">
        <v>3186</v>
      </c>
      <c r="I4227" s="11" t="s">
        <v>3185</v>
      </c>
      <c r="J4227" s="11" t="s">
        <v>3185</v>
      </c>
      <c r="K4227" s="9" t="s">
        <v>22455</v>
      </c>
      <c r="L4227" s="9" t="s">
        <v>18158</v>
      </c>
      <c r="M4227" s="9" t="s">
        <v>42251</v>
      </c>
      <c r="N4227" s="9" t="s">
        <v>17746</v>
      </c>
      <c r="O4227" s="9" t="s">
        <v>3176</v>
      </c>
      <c r="P4227" s="9" t="s">
        <v>17748</v>
      </c>
      <c r="Q4227" s="11" t="s">
        <v>19335</v>
      </c>
      <c r="R4227" s="11" t="s">
        <v>19335</v>
      </c>
      <c r="S4227" s="11" t="s">
        <v>17750</v>
      </c>
    </row>
    <row r="4228" spans="1:19" x14ac:dyDescent="0.2">
      <c r="A4228" s="11" t="s">
        <v>42252</v>
      </c>
      <c r="B4228" s="9" t="s">
        <v>42253</v>
      </c>
      <c r="C4228" s="9" t="s">
        <v>42254</v>
      </c>
      <c r="D4228" s="9" t="s">
        <v>11616</v>
      </c>
      <c r="E4228" s="9" t="s">
        <v>17748</v>
      </c>
      <c r="F4228" s="9" t="s">
        <v>42255</v>
      </c>
      <c r="G4228" s="9" t="s">
        <v>17740</v>
      </c>
      <c r="H4228" s="11" t="s">
        <v>11618</v>
      </c>
      <c r="I4228" s="11" t="s">
        <v>11617</v>
      </c>
      <c r="J4228" s="11" t="s">
        <v>11618</v>
      </c>
      <c r="K4228" s="9" t="s">
        <v>17783</v>
      </c>
      <c r="L4228" s="9" t="s">
        <v>17759</v>
      </c>
      <c r="M4228" s="9" t="s">
        <v>17760</v>
      </c>
      <c r="N4228" s="9" t="s">
        <v>17746</v>
      </c>
      <c r="O4228" s="9" t="s">
        <v>3100</v>
      </c>
      <c r="P4228" s="9" t="s">
        <v>17748</v>
      </c>
      <c r="Q4228" s="11" t="s">
        <v>17917</v>
      </c>
      <c r="R4228" s="11" t="s">
        <v>17917</v>
      </c>
      <c r="S4228" s="11" t="s">
        <v>17750</v>
      </c>
    </row>
    <row r="4229" spans="1:19" x14ac:dyDescent="0.2">
      <c r="A4229" s="11" t="s">
        <v>42256</v>
      </c>
      <c r="B4229" s="9" t="s">
        <v>42257</v>
      </c>
      <c r="C4229" s="9" t="s">
        <v>42258</v>
      </c>
      <c r="D4229" s="9" t="s">
        <v>42259</v>
      </c>
      <c r="E4229" s="9" t="s">
        <v>17740</v>
      </c>
      <c r="F4229" s="9" t="s">
        <v>17741</v>
      </c>
      <c r="G4229" s="9" t="s">
        <v>17740</v>
      </c>
      <c r="H4229" s="11" t="s">
        <v>8452</v>
      </c>
      <c r="I4229" s="11" t="s">
        <v>8451</v>
      </c>
      <c r="J4229" s="11" t="s">
        <v>8451</v>
      </c>
      <c r="K4229" s="9" t="s">
        <v>17783</v>
      </c>
      <c r="L4229" s="9" t="s">
        <v>17759</v>
      </c>
      <c r="M4229" s="9" t="s">
        <v>21335</v>
      </c>
      <c r="N4229" s="9" t="s">
        <v>17746</v>
      </c>
      <c r="O4229" s="9" t="s">
        <v>3100</v>
      </c>
      <c r="P4229" s="9" t="s">
        <v>17748</v>
      </c>
      <c r="Q4229" s="11" t="s">
        <v>18356</v>
      </c>
      <c r="R4229" s="11" t="s">
        <v>18356</v>
      </c>
      <c r="S4229" s="11" t="s">
        <v>17750</v>
      </c>
    </row>
    <row r="4230" spans="1:19" x14ac:dyDescent="0.2">
      <c r="A4230" s="11" t="s">
        <v>42260</v>
      </c>
      <c r="B4230" s="9" t="s">
        <v>42261</v>
      </c>
      <c r="C4230" s="9" t="s">
        <v>42262</v>
      </c>
      <c r="D4230" s="9" t="s">
        <v>42261</v>
      </c>
      <c r="E4230" s="9" t="s">
        <v>17740</v>
      </c>
      <c r="F4230" s="9" t="s">
        <v>17741</v>
      </c>
      <c r="G4230" s="9" t="s">
        <v>17740</v>
      </c>
      <c r="H4230" s="11" t="s">
        <v>3180</v>
      </c>
      <c r="I4230" s="11" t="s">
        <v>3179</v>
      </c>
      <c r="J4230" s="11" t="s">
        <v>3179</v>
      </c>
      <c r="K4230" s="9" t="s">
        <v>18661</v>
      </c>
      <c r="L4230" s="9" t="s">
        <v>18001</v>
      </c>
      <c r="M4230" s="9" t="s">
        <v>19965</v>
      </c>
      <c r="N4230" s="9" t="s">
        <v>17746</v>
      </c>
      <c r="O4230" s="9" t="s">
        <v>42263</v>
      </c>
      <c r="P4230" s="9" t="s">
        <v>17748</v>
      </c>
      <c r="Q4230" s="11" t="s">
        <v>18251</v>
      </c>
      <c r="R4230" s="11" t="s">
        <v>18251</v>
      </c>
      <c r="S4230" s="11" t="s">
        <v>17750</v>
      </c>
    </row>
    <row r="4231" spans="1:19" x14ac:dyDescent="0.2">
      <c r="A4231" s="11" t="s">
        <v>42264</v>
      </c>
      <c r="B4231" s="9" t="s">
        <v>42265</v>
      </c>
      <c r="C4231" s="9" t="s">
        <v>42266</v>
      </c>
      <c r="D4231" s="9" t="s">
        <v>42267</v>
      </c>
      <c r="E4231" s="9" t="s">
        <v>17740</v>
      </c>
      <c r="F4231" s="9" t="s">
        <v>42268</v>
      </c>
      <c r="G4231" s="9" t="s">
        <v>17740</v>
      </c>
      <c r="H4231" s="11" t="s">
        <v>4446</v>
      </c>
      <c r="I4231" s="11" t="s">
        <v>4445</v>
      </c>
      <c r="J4231" s="11" t="s">
        <v>4445</v>
      </c>
      <c r="K4231" s="9" t="s">
        <v>17865</v>
      </c>
      <c r="L4231" s="9" t="s">
        <v>17759</v>
      </c>
      <c r="M4231" s="9" t="s">
        <v>17769</v>
      </c>
      <c r="N4231" s="9" t="s">
        <v>17746</v>
      </c>
      <c r="O4231" s="9" t="s">
        <v>42269</v>
      </c>
      <c r="P4231" s="9" t="s">
        <v>17748</v>
      </c>
      <c r="Q4231" s="11" t="s">
        <v>18364</v>
      </c>
      <c r="R4231" s="11" t="s">
        <v>18364</v>
      </c>
      <c r="S4231" s="11" t="s">
        <v>17750</v>
      </c>
    </row>
    <row r="4232" spans="1:19" x14ac:dyDescent="0.2">
      <c r="A4232" s="11" t="s">
        <v>42270</v>
      </c>
      <c r="B4232" s="9" t="s">
        <v>42271</v>
      </c>
      <c r="C4232" s="9" t="s">
        <v>42272</v>
      </c>
      <c r="D4232" s="9" t="s">
        <v>42273</v>
      </c>
      <c r="E4232" s="9" t="s">
        <v>17740</v>
      </c>
      <c r="F4232" s="9" t="s">
        <v>17741</v>
      </c>
      <c r="G4232" s="9" t="s">
        <v>17740</v>
      </c>
      <c r="H4232" s="11" t="s">
        <v>3105</v>
      </c>
      <c r="I4232" s="11" t="s">
        <v>3104</v>
      </c>
      <c r="J4232" s="11" t="s">
        <v>3104</v>
      </c>
      <c r="K4232" s="9" t="s">
        <v>30464</v>
      </c>
      <c r="L4232" s="9" t="s">
        <v>17759</v>
      </c>
      <c r="M4232" s="9" t="s">
        <v>42274</v>
      </c>
      <c r="N4232" s="9" t="s">
        <v>17746</v>
      </c>
      <c r="O4232" s="9" t="s">
        <v>42275</v>
      </c>
      <c r="P4232" s="9" t="s">
        <v>17748</v>
      </c>
      <c r="Q4232" s="11" t="s">
        <v>19515</v>
      </c>
      <c r="R4232" s="11" t="s">
        <v>19515</v>
      </c>
      <c r="S4232" s="11" t="s">
        <v>17750</v>
      </c>
    </row>
    <row r="4233" spans="1:19" x14ac:dyDescent="0.2">
      <c r="A4233" s="11" t="s">
        <v>42276</v>
      </c>
      <c r="B4233" s="9" t="s">
        <v>42277</v>
      </c>
      <c r="C4233" s="9" t="s">
        <v>42278</v>
      </c>
      <c r="D4233" s="9" t="s">
        <v>42279</v>
      </c>
      <c r="E4233" s="9" t="s">
        <v>17748</v>
      </c>
      <c r="F4233" s="9" t="s">
        <v>42280</v>
      </c>
      <c r="G4233" s="9" t="s">
        <v>17740</v>
      </c>
      <c r="H4233" s="11" t="s">
        <v>12727</v>
      </c>
      <c r="I4233" s="11" t="s">
        <v>12726</v>
      </c>
      <c r="J4233" s="11" t="s">
        <v>12726</v>
      </c>
      <c r="K4233" s="9" t="s">
        <v>91</v>
      </c>
      <c r="L4233" s="9" t="s">
        <v>18001</v>
      </c>
      <c r="M4233" s="9" t="s">
        <v>17769</v>
      </c>
      <c r="N4233" s="9" t="s">
        <v>17746</v>
      </c>
      <c r="O4233" s="9" t="s">
        <v>34963</v>
      </c>
      <c r="P4233" s="9" t="s">
        <v>17748</v>
      </c>
      <c r="Q4233" s="11" t="s">
        <v>18370</v>
      </c>
      <c r="R4233" s="11" t="s">
        <v>18370</v>
      </c>
      <c r="S4233" s="11" t="s">
        <v>17750</v>
      </c>
    </row>
    <row r="4234" spans="1:19" x14ac:dyDescent="0.2">
      <c r="A4234" s="11" t="s">
        <v>42281</v>
      </c>
      <c r="B4234" s="9" t="s">
        <v>42282</v>
      </c>
      <c r="C4234" s="9" t="s">
        <v>42283</v>
      </c>
      <c r="D4234" s="9" t="s">
        <v>42284</v>
      </c>
      <c r="E4234" s="9" t="s">
        <v>17748</v>
      </c>
      <c r="F4234" s="9" t="s">
        <v>42285</v>
      </c>
      <c r="G4234" s="9" t="s">
        <v>17740</v>
      </c>
      <c r="H4234" s="11" t="s">
        <v>42286</v>
      </c>
      <c r="I4234" s="11" t="s">
        <v>42287</v>
      </c>
      <c r="J4234" s="11" t="s">
        <v>42287</v>
      </c>
      <c r="K4234" s="9" t="s">
        <v>20207</v>
      </c>
      <c r="L4234" s="9" t="s">
        <v>17759</v>
      </c>
      <c r="M4234" s="9" t="s">
        <v>17760</v>
      </c>
      <c r="N4234" s="9" t="s">
        <v>17746</v>
      </c>
      <c r="O4234" s="9" t="s">
        <v>3355</v>
      </c>
      <c r="P4234" s="9" t="s">
        <v>17748</v>
      </c>
      <c r="Q4234" s="11" t="s">
        <v>18798</v>
      </c>
      <c r="R4234" s="11" t="s">
        <v>18798</v>
      </c>
      <c r="S4234" s="11" t="s">
        <v>17750</v>
      </c>
    </row>
    <row r="4235" spans="1:19" x14ac:dyDescent="0.2">
      <c r="A4235" s="11" t="s">
        <v>42288</v>
      </c>
      <c r="B4235" s="9" t="s">
        <v>42289</v>
      </c>
      <c r="C4235" s="9" t="s">
        <v>42290</v>
      </c>
      <c r="D4235" s="9" t="s">
        <v>42291</v>
      </c>
      <c r="E4235" s="9" t="s">
        <v>17748</v>
      </c>
      <c r="F4235" s="9" t="s">
        <v>42292</v>
      </c>
      <c r="G4235" s="9" t="s">
        <v>17740</v>
      </c>
      <c r="H4235" s="11" t="s">
        <v>42293</v>
      </c>
      <c r="I4235" s="11" t="s">
        <v>42294</v>
      </c>
      <c r="J4235" s="11" t="s">
        <v>42294</v>
      </c>
      <c r="K4235" s="9" t="s">
        <v>20207</v>
      </c>
      <c r="L4235" s="9" t="s">
        <v>17759</v>
      </c>
      <c r="M4235" s="9" t="s">
        <v>17760</v>
      </c>
      <c r="N4235" s="9" t="s">
        <v>17746</v>
      </c>
      <c r="O4235" s="9" t="s">
        <v>19769</v>
      </c>
      <c r="P4235" s="9" t="s">
        <v>17748</v>
      </c>
      <c r="Q4235" s="11" t="s">
        <v>18922</v>
      </c>
      <c r="R4235" s="11" t="s">
        <v>18922</v>
      </c>
      <c r="S4235" s="11" t="s">
        <v>17750</v>
      </c>
    </row>
    <row r="4236" spans="1:19" x14ac:dyDescent="0.2">
      <c r="A4236" s="11" t="s">
        <v>42295</v>
      </c>
      <c r="B4236" s="9" t="s">
        <v>42296</v>
      </c>
      <c r="C4236" s="9" t="s">
        <v>42297</v>
      </c>
      <c r="D4236" s="9" t="s">
        <v>42298</v>
      </c>
      <c r="E4236" s="9" t="s">
        <v>17740</v>
      </c>
      <c r="F4236" s="9" t="s">
        <v>42299</v>
      </c>
      <c r="G4236" s="9" t="s">
        <v>17740</v>
      </c>
      <c r="H4236" s="11" t="s">
        <v>3068</v>
      </c>
      <c r="I4236" s="11" t="s">
        <v>3067</v>
      </c>
      <c r="J4236" s="11" t="s">
        <v>3067</v>
      </c>
      <c r="K4236" s="9" t="s">
        <v>42300</v>
      </c>
      <c r="L4236" s="9" t="s">
        <v>17759</v>
      </c>
      <c r="M4236" s="9" t="s">
        <v>23186</v>
      </c>
      <c r="N4236" s="9" t="s">
        <v>17746</v>
      </c>
      <c r="O4236" s="9" t="s">
        <v>17993</v>
      </c>
      <c r="P4236" s="9" t="s">
        <v>17748</v>
      </c>
      <c r="Q4236" s="11" t="s">
        <v>23636</v>
      </c>
      <c r="R4236" s="11" t="s">
        <v>23636</v>
      </c>
      <c r="S4236" s="11" t="s">
        <v>17750</v>
      </c>
    </row>
    <row r="4237" spans="1:19" x14ac:dyDescent="0.2">
      <c r="A4237" s="11" t="s">
        <v>42301</v>
      </c>
      <c r="B4237" s="9" t="s">
        <v>42302</v>
      </c>
      <c r="C4237" s="9" t="s">
        <v>42303</v>
      </c>
      <c r="D4237" s="9" t="s">
        <v>42304</v>
      </c>
      <c r="E4237" s="9" t="s">
        <v>17740</v>
      </c>
      <c r="F4237" s="9" t="s">
        <v>42305</v>
      </c>
      <c r="G4237" s="9" t="s">
        <v>17740</v>
      </c>
      <c r="H4237" s="11" t="s">
        <v>17741</v>
      </c>
      <c r="I4237" s="11" t="s">
        <v>42306</v>
      </c>
      <c r="J4237" s="11" t="s">
        <v>42306</v>
      </c>
      <c r="K4237" s="9" t="s">
        <v>42307</v>
      </c>
      <c r="L4237" s="9" t="s">
        <v>17759</v>
      </c>
      <c r="M4237" s="9" t="s">
        <v>24928</v>
      </c>
      <c r="N4237" s="9" t="s">
        <v>17746</v>
      </c>
      <c r="O4237" s="9" t="s">
        <v>17800</v>
      </c>
      <c r="P4237" s="9" t="s">
        <v>17748</v>
      </c>
      <c r="Q4237" s="11" t="s">
        <v>19335</v>
      </c>
      <c r="R4237" s="11" t="s">
        <v>19335</v>
      </c>
      <c r="S4237" s="11" t="s">
        <v>17750</v>
      </c>
    </row>
    <row r="4238" spans="1:19" x14ac:dyDescent="0.2">
      <c r="A4238" s="11" t="s">
        <v>42308</v>
      </c>
      <c r="B4238" s="9" t="s">
        <v>42309</v>
      </c>
      <c r="C4238" s="9" t="s">
        <v>42310</v>
      </c>
      <c r="D4238" s="9" t="s">
        <v>42311</v>
      </c>
      <c r="E4238" s="9" t="s">
        <v>17748</v>
      </c>
      <c r="F4238" s="9" t="s">
        <v>42312</v>
      </c>
      <c r="G4238" s="9" t="s">
        <v>17740</v>
      </c>
      <c r="H4238" s="11" t="s">
        <v>17741</v>
      </c>
      <c r="I4238" s="11" t="s">
        <v>42313</v>
      </c>
      <c r="J4238" s="11" t="s">
        <v>42313</v>
      </c>
      <c r="K4238" s="9" t="s">
        <v>42314</v>
      </c>
      <c r="L4238" s="9" t="s">
        <v>17991</v>
      </c>
      <c r="M4238" s="9" t="s">
        <v>17760</v>
      </c>
      <c r="N4238" s="9" t="s">
        <v>17746</v>
      </c>
      <c r="O4238" s="9" t="s">
        <v>18746</v>
      </c>
      <c r="P4238" s="9" t="s">
        <v>17748</v>
      </c>
      <c r="Q4238" s="11" t="s">
        <v>17792</v>
      </c>
      <c r="R4238" s="11" t="s">
        <v>17792</v>
      </c>
      <c r="S4238" s="11" t="s">
        <v>17750</v>
      </c>
    </row>
    <row r="4239" spans="1:19" x14ac:dyDescent="0.2">
      <c r="A4239" s="11" t="s">
        <v>42315</v>
      </c>
      <c r="B4239" s="9" t="s">
        <v>42316</v>
      </c>
      <c r="C4239" s="9" t="s">
        <v>42317</v>
      </c>
      <c r="D4239" s="9" t="s">
        <v>42318</v>
      </c>
      <c r="E4239" s="9" t="s">
        <v>17740</v>
      </c>
      <c r="F4239" s="9" t="s">
        <v>17741</v>
      </c>
      <c r="G4239" s="9" t="s">
        <v>17740</v>
      </c>
      <c r="H4239" s="11" t="s">
        <v>42319</v>
      </c>
      <c r="I4239" s="11" t="s">
        <v>42320</v>
      </c>
      <c r="J4239" s="11" t="s">
        <v>42320</v>
      </c>
      <c r="K4239" s="9" t="s">
        <v>296</v>
      </c>
      <c r="L4239" s="9" t="s">
        <v>17744</v>
      </c>
      <c r="M4239" s="9" t="s">
        <v>42321</v>
      </c>
      <c r="N4239" s="9" t="s">
        <v>17746</v>
      </c>
      <c r="O4239" s="9" t="s">
        <v>19470</v>
      </c>
      <c r="P4239" s="9" t="s">
        <v>17748</v>
      </c>
      <c r="Q4239" s="11" t="s">
        <v>40707</v>
      </c>
      <c r="R4239" s="11" t="s">
        <v>40707</v>
      </c>
      <c r="S4239" s="11" t="s">
        <v>17750</v>
      </c>
    </row>
    <row r="4240" spans="1:19" x14ac:dyDescent="0.2">
      <c r="A4240" s="11" t="s">
        <v>42322</v>
      </c>
      <c r="B4240" s="9" t="s">
        <v>42323</v>
      </c>
      <c r="C4240" s="9" t="s">
        <v>42324</v>
      </c>
      <c r="D4240" s="9" t="s">
        <v>42325</v>
      </c>
      <c r="E4240" s="9" t="s">
        <v>17740</v>
      </c>
      <c r="F4240" s="9" t="s">
        <v>17741</v>
      </c>
      <c r="G4240" s="9" t="s">
        <v>17740</v>
      </c>
      <c r="H4240" s="11" t="s">
        <v>42326</v>
      </c>
      <c r="I4240" s="11" t="s">
        <v>42327</v>
      </c>
      <c r="J4240" s="11" t="s">
        <v>42327</v>
      </c>
      <c r="K4240" s="9" t="s">
        <v>42328</v>
      </c>
      <c r="L4240" s="9" t="s">
        <v>17759</v>
      </c>
      <c r="M4240" s="9" t="s">
        <v>17778</v>
      </c>
      <c r="N4240" s="9" t="s">
        <v>17746</v>
      </c>
      <c r="O4240" s="9" t="s">
        <v>21318</v>
      </c>
      <c r="P4240" s="9" t="s">
        <v>17748</v>
      </c>
      <c r="Q4240" s="11" t="s">
        <v>17749</v>
      </c>
      <c r="R4240" s="11" t="s">
        <v>17749</v>
      </c>
      <c r="S4240" s="11" t="s">
        <v>17750</v>
      </c>
    </row>
    <row r="4241" spans="1:19" x14ac:dyDescent="0.2">
      <c r="A4241" s="11" t="s">
        <v>42329</v>
      </c>
      <c r="B4241" s="9" t="s">
        <v>42330</v>
      </c>
      <c r="C4241" s="9" t="s">
        <v>42331</v>
      </c>
      <c r="D4241" s="9" t="s">
        <v>42332</v>
      </c>
      <c r="E4241" s="9" t="s">
        <v>17740</v>
      </c>
      <c r="F4241" s="9" t="s">
        <v>17741</v>
      </c>
      <c r="G4241" s="9" t="s">
        <v>17740</v>
      </c>
      <c r="H4241" s="11" t="s">
        <v>17741</v>
      </c>
      <c r="I4241" s="11" t="s">
        <v>42333</v>
      </c>
      <c r="J4241" s="11" t="s">
        <v>42333</v>
      </c>
      <c r="K4241" s="9" t="s">
        <v>42334</v>
      </c>
      <c r="L4241" s="9" t="s">
        <v>20082</v>
      </c>
      <c r="M4241" s="9" t="s">
        <v>19058</v>
      </c>
      <c r="N4241" s="9" t="s">
        <v>17746</v>
      </c>
      <c r="O4241" s="9" t="s">
        <v>24577</v>
      </c>
      <c r="P4241" s="9" t="s">
        <v>17748</v>
      </c>
      <c r="Q4241" s="11" t="s">
        <v>17749</v>
      </c>
      <c r="R4241" s="11" t="s">
        <v>17749</v>
      </c>
      <c r="S4241" s="11" t="s">
        <v>17750</v>
      </c>
    </row>
    <row r="4242" spans="1:19" x14ac:dyDescent="0.2">
      <c r="A4242" s="11" t="s">
        <v>42335</v>
      </c>
      <c r="B4242" s="9" t="s">
        <v>42336</v>
      </c>
      <c r="C4242" s="9" t="s">
        <v>42337</v>
      </c>
      <c r="D4242" s="9" t="s">
        <v>42338</v>
      </c>
      <c r="E4242" s="9" t="s">
        <v>17740</v>
      </c>
      <c r="F4242" s="9" t="s">
        <v>42339</v>
      </c>
      <c r="G4242" s="9" t="s">
        <v>17740</v>
      </c>
      <c r="H4242" s="11" t="s">
        <v>17741</v>
      </c>
      <c r="I4242" s="11" t="s">
        <v>42340</v>
      </c>
      <c r="J4242" s="11" t="s">
        <v>42340</v>
      </c>
      <c r="K4242" s="9" t="s">
        <v>42341</v>
      </c>
      <c r="L4242" s="9" t="s">
        <v>17759</v>
      </c>
      <c r="M4242" s="9" t="s">
        <v>19168</v>
      </c>
      <c r="N4242" s="9" t="s">
        <v>17746</v>
      </c>
      <c r="O4242" s="9" t="s">
        <v>18340</v>
      </c>
      <c r="P4242" s="9" t="s">
        <v>17748</v>
      </c>
      <c r="Q4242" s="11" t="s">
        <v>18847</v>
      </c>
      <c r="R4242" s="11" t="s">
        <v>18847</v>
      </c>
      <c r="S4242" s="11" t="s">
        <v>17750</v>
      </c>
    </row>
    <row r="4243" spans="1:19" x14ac:dyDescent="0.2">
      <c r="A4243" s="11" t="s">
        <v>42342</v>
      </c>
      <c r="B4243" s="9" t="s">
        <v>42343</v>
      </c>
      <c r="C4243" s="9" t="s">
        <v>42344</v>
      </c>
      <c r="D4243" s="9" t="s">
        <v>42345</v>
      </c>
      <c r="E4243" s="9" t="s">
        <v>17740</v>
      </c>
      <c r="F4243" s="9" t="s">
        <v>17741</v>
      </c>
      <c r="G4243" s="9" t="s">
        <v>17740</v>
      </c>
      <c r="H4243" s="11" t="s">
        <v>17741</v>
      </c>
      <c r="I4243" s="11" t="s">
        <v>42346</v>
      </c>
      <c r="J4243" s="11" t="s">
        <v>42346</v>
      </c>
      <c r="K4243" s="9" t="s">
        <v>42347</v>
      </c>
      <c r="L4243" s="9" t="s">
        <v>19483</v>
      </c>
      <c r="M4243" s="9" t="s">
        <v>17760</v>
      </c>
      <c r="N4243" s="9" t="s">
        <v>17746</v>
      </c>
      <c r="O4243" s="9" t="s">
        <v>18340</v>
      </c>
      <c r="P4243" s="9" t="s">
        <v>17748</v>
      </c>
      <c r="Q4243" s="11" t="s">
        <v>19945</v>
      </c>
      <c r="R4243" s="11" t="s">
        <v>19945</v>
      </c>
      <c r="S4243" s="11" t="s">
        <v>17750</v>
      </c>
    </row>
    <row r="4244" spans="1:19" x14ac:dyDescent="0.2">
      <c r="A4244" s="11" t="s">
        <v>42348</v>
      </c>
      <c r="B4244" s="9" t="s">
        <v>42349</v>
      </c>
      <c r="C4244" s="9" t="s">
        <v>42350</v>
      </c>
      <c r="D4244" s="9" t="s">
        <v>42351</v>
      </c>
      <c r="E4244" s="9" t="s">
        <v>17740</v>
      </c>
      <c r="F4244" s="9" t="s">
        <v>17741</v>
      </c>
      <c r="G4244" s="9" t="s">
        <v>17740</v>
      </c>
      <c r="H4244" s="11" t="s">
        <v>3226</v>
      </c>
      <c r="I4244" s="11" t="s">
        <v>3225</v>
      </c>
      <c r="J4244" s="11" t="s">
        <v>3225</v>
      </c>
      <c r="K4244" s="9" t="s">
        <v>3227</v>
      </c>
      <c r="L4244" s="9" t="s">
        <v>19483</v>
      </c>
      <c r="M4244" s="9" t="s">
        <v>23589</v>
      </c>
      <c r="N4244" s="9" t="s">
        <v>17746</v>
      </c>
      <c r="O4244" s="9" t="s">
        <v>17993</v>
      </c>
      <c r="P4244" s="9" t="s">
        <v>17748</v>
      </c>
      <c r="Q4244" s="11" t="s">
        <v>19882</v>
      </c>
      <c r="R4244" s="11" t="s">
        <v>19882</v>
      </c>
      <c r="S4244" s="11" t="s">
        <v>17750</v>
      </c>
    </row>
    <row r="4245" spans="1:19" x14ac:dyDescent="0.2">
      <c r="A4245" s="11" t="s">
        <v>42352</v>
      </c>
      <c r="B4245" s="9" t="s">
        <v>42353</v>
      </c>
      <c r="C4245" s="9" t="s">
        <v>42354</v>
      </c>
      <c r="D4245" s="9" t="s">
        <v>42355</v>
      </c>
      <c r="E4245" s="9" t="s">
        <v>17740</v>
      </c>
      <c r="F4245" s="9" t="s">
        <v>17741</v>
      </c>
      <c r="G4245" s="9" t="s">
        <v>17740</v>
      </c>
      <c r="H4245" s="11" t="s">
        <v>17741</v>
      </c>
      <c r="I4245" s="11" t="s">
        <v>42356</v>
      </c>
      <c r="J4245" s="11" t="s">
        <v>42356</v>
      </c>
      <c r="K4245" s="9" t="s">
        <v>42357</v>
      </c>
      <c r="L4245" s="9" t="s">
        <v>19483</v>
      </c>
      <c r="M4245" s="9" t="s">
        <v>17799</v>
      </c>
      <c r="N4245" s="9" t="s">
        <v>17746</v>
      </c>
      <c r="O4245" s="9" t="s">
        <v>18563</v>
      </c>
      <c r="P4245" s="9" t="s">
        <v>17748</v>
      </c>
      <c r="Q4245" s="11" t="s">
        <v>19978</v>
      </c>
      <c r="R4245" s="11" t="s">
        <v>19978</v>
      </c>
      <c r="S4245" s="11" t="s">
        <v>17750</v>
      </c>
    </row>
    <row r="4246" spans="1:19" x14ac:dyDescent="0.2">
      <c r="A4246" s="11" t="s">
        <v>42358</v>
      </c>
      <c r="B4246" s="9" t="s">
        <v>42359</v>
      </c>
      <c r="C4246" s="9" t="s">
        <v>42360</v>
      </c>
      <c r="D4246" s="9" t="s">
        <v>42361</v>
      </c>
      <c r="E4246" s="9" t="s">
        <v>17740</v>
      </c>
      <c r="F4246" s="9" t="s">
        <v>17741</v>
      </c>
      <c r="G4246" s="9" t="s">
        <v>17740</v>
      </c>
      <c r="H4246" s="11" t="s">
        <v>8615</v>
      </c>
      <c r="I4246" s="11" t="s">
        <v>8614</v>
      </c>
      <c r="J4246" s="11" t="s">
        <v>8614</v>
      </c>
      <c r="K4246" s="9" t="s">
        <v>55</v>
      </c>
      <c r="L4246" s="9" t="s">
        <v>17744</v>
      </c>
      <c r="M4246" s="9" t="s">
        <v>41816</v>
      </c>
      <c r="N4246" s="9" t="s">
        <v>17746</v>
      </c>
      <c r="O4246" s="9" t="s">
        <v>3524</v>
      </c>
      <c r="P4246" s="9" t="s">
        <v>17748</v>
      </c>
      <c r="Q4246" s="11" t="s">
        <v>18356</v>
      </c>
      <c r="R4246" s="11" t="s">
        <v>18356</v>
      </c>
      <c r="S4246" s="11" t="s">
        <v>17750</v>
      </c>
    </row>
    <row r="4247" spans="1:19" x14ac:dyDescent="0.2">
      <c r="A4247" s="11" t="s">
        <v>42362</v>
      </c>
      <c r="B4247" s="9" t="s">
        <v>42363</v>
      </c>
      <c r="C4247" s="9" t="s">
        <v>42364</v>
      </c>
      <c r="D4247" s="9" t="s">
        <v>42365</v>
      </c>
      <c r="E4247" s="9" t="s">
        <v>17740</v>
      </c>
      <c r="F4247" s="9" t="s">
        <v>17741</v>
      </c>
      <c r="G4247" s="9" t="s">
        <v>17740</v>
      </c>
      <c r="H4247" s="11" t="s">
        <v>17741</v>
      </c>
      <c r="I4247" s="11" t="s">
        <v>2957</v>
      </c>
      <c r="J4247" s="11" t="s">
        <v>2957</v>
      </c>
      <c r="K4247" s="9" t="s">
        <v>2958</v>
      </c>
      <c r="L4247" s="9" t="s">
        <v>17759</v>
      </c>
      <c r="M4247" s="9" t="s">
        <v>17942</v>
      </c>
      <c r="N4247" s="9" t="s">
        <v>17746</v>
      </c>
      <c r="O4247" s="9" t="s">
        <v>18644</v>
      </c>
      <c r="P4247" s="9" t="s">
        <v>17748</v>
      </c>
      <c r="Q4247" s="11" t="s">
        <v>19026</v>
      </c>
      <c r="R4247" s="11" t="s">
        <v>19026</v>
      </c>
      <c r="S4247" s="14" t="s">
        <v>18356</v>
      </c>
    </row>
    <row r="4248" spans="1:19" x14ac:dyDescent="0.2">
      <c r="A4248" s="11" t="s">
        <v>42366</v>
      </c>
      <c r="B4248" s="9" t="s">
        <v>42367</v>
      </c>
      <c r="C4248" s="9" t="s">
        <v>42368</v>
      </c>
      <c r="D4248" s="9" t="s">
        <v>42369</v>
      </c>
      <c r="E4248" s="9" t="s">
        <v>17740</v>
      </c>
      <c r="F4248" s="9" t="s">
        <v>17741</v>
      </c>
      <c r="G4248" s="9" t="s">
        <v>17740</v>
      </c>
      <c r="H4248" s="11" t="s">
        <v>17741</v>
      </c>
      <c r="I4248" s="11" t="s">
        <v>42370</v>
      </c>
      <c r="J4248" s="11" t="s">
        <v>17741</v>
      </c>
      <c r="K4248" s="9" t="s">
        <v>19057</v>
      </c>
      <c r="L4248" s="9" t="s">
        <v>20446</v>
      </c>
      <c r="M4248" s="9" t="s">
        <v>18211</v>
      </c>
      <c r="N4248" s="9" t="s">
        <v>17746</v>
      </c>
      <c r="O4248" s="9" t="s">
        <v>17993</v>
      </c>
      <c r="P4248" s="9" t="s">
        <v>17748</v>
      </c>
      <c r="Q4248" s="11" t="s">
        <v>18798</v>
      </c>
      <c r="R4248" s="11" t="s">
        <v>18798</v>
      </c>
      <c r="S4248" s="11" t="s">
        <v>17750</v>
      </c>
    </row>
    <row r="4249" spans="1:19" x14ac:dyDescent="0.2">
      <c r="A4249" s="11" t="s">
        <v>42371</v>
      </c>
      <c r="B4249" s="9" t="s">
        <v>42372</v>
      </c>
      <c r="C4249" s="9" t="s">
        <v>42373</v>
      </c>
      <c r="D4249" s="9" t="s">
        <v>42374</v>
      </c>
      <c r="E4249" s="9" t="s">
        <v>17740</v>
      </c>
      <c r="F4249" s="9" t="s">
        <v>17741</v>
      </c>
      <c r="G4249" s="9" t="s">
        <v>17740</v>
      </c>
      <c r="H4249" s="11" t="s">
        <v>17741</v>
      </c>
      <c r="I4249" s="11" t="s">
        <v>42375</v>
      </c>
      <c r="J4249" s="11" t="s">
        <v>42375</v>
      </c>
      <c r="K4249" s="9" t="s">
        <v>19282</v>
      </c>
      <c r="L4249" s="9" t="s">
        <v>19049</v>
      </c>
      <c r="M4249" s="9" t="s">
        <v>17760</v>
      </c>
      <c r="N4249" s="9" t="s">
        <v>17746</v>
      </c>
      <c r="O4249" s="9" t="s">
        <v>17993</v>
      </c>
      <c r="P4249" s="9" t="s">
        <v>17748</v>
      </c>
      <c r="Q4249" s="11" t="s">
        <v>17749</v>
      </c>
      <c r="R4249" s="11" t="s">
        <v>17749</v>
      </c>
      <c r="S4249" s="11" t="s">
        <v>17750</v>
      </c>
    </row>
    <row r="4250" spans="1:19" x14ac:dyDescent="0.2">
      <c r="A4250" s="11" t="s">
        <v>42376</v>
      </c>
      <c r="B4250" s="9" t="s">
        <v>42377</v>
      </c>
      <c r="C4250" s="9" t="s">
        <v>42378</v>
      </c>
      <c r="D4250" s="9" t="s">
        <v>42379</v>
      </c>
      <c r="E4250" s="9" t="s">
        <v>17740</v>
      </c>
      <c r="F4250" s="9" t="s">
        <v>17741</v>
      </c>
      <c r="G4250" s="9" t="s">
        <v>17740</v>
      </c>
      <c r="H4250" s="11" t="s">
        <v>17741</v>
      </c>
      <c r="I4250" s="11" t="s">
        <v>42380</v>
      </c>
      <c r="J4250" s="11" t="s">
        <v>42380</v>
      </c>
      <c r="K4250" s="9" t="s">
        <v>42381</v>
      </c>
      <c r="L4250" s="9" t="s">
        <v>19049</v>
      </c>
      <c r="M4250" s="9" t="s">
        <v>18745</v>
      </c>
      <c r="N4250" s="9" t="s">
        <v>17746</v>
      </c>
      <c r="O4250" s="9" t="s">
        <v>18481</v>
      </c>
      <c r="P4250" s="9" t="s">
        <v>17748</v>
      </c>
      <c r="Q4250" s="11" t="s">
        <v>17978</v>
      </c>
      <c r="R4250" s="11" t="s">
        <v>17978</v>
      </c>
      <c r="S4250" s="11" t="s">
        <v>17750</v>
      </c>
    </row>
    <row r="4251" spans="1:19" x14ac:dyDescent="0.2">
      <c r="A4251" s="11" t="s">
        <v>42382</v>
      </c>
      <c r="B4251" s="9" t="s">
        <v>42383</v>
      </c>
      <c r="C4251" s="9" t="s">
        <v>42384</v>
      </c>
      <c r="D4251" s="9" t="s">
        <v>42385</v>
      </c>
      <c r="E4251" s="9" t="s">
        <v>17740</v>
      </c>
      <c r="F4251" s="9" t="s">
        <v>17741</v>
      </c>
      <c r="G4251" s="9" t="s">
        <v>17740</v>
      </c>
      <c r="H4251" s="11" t="s">
        <v>17741</v>
      </c>
      <c r="I4251" s="11" t="s">
        <v>42386</v>
      </c>
      <c r="J4251" s="11" t="s">
        <v>17741</v>
      </c>
      <c r="K4251" s="9" t="s">
        <v>42387</v>
      </c>
      <c r="L4251" s="9" t="s">
        <v>19049</v>
      </c>
      <c r="M4251" s="9" t="s">
        <v>17760</v>
      </c>
      <c r="N4251" s="9" t="s">
        <v>17746</v>
      </c>
      <c r="O4251" s="9" t="s">
        <v>17993</v>
      </c>
      <c r="P4251" s="9" t="s">
        <v>17748</v>
      </c>
      <c r="Q4251" s="11" t="s">
        <v>17808</v>
      </c>
      <c r="R4251" s="11" t="s">
        <v>17808</v>
      </c>
      <c r="S4251" s="11" t="s">
        <v>17750</v>
      </c>
    </row>
    <row r="4252" spans="1:19" x14ac:dyDescent="0.2">
      <c r="A4252" s="11" t="s">
        <v>42388</v>
      </c>
      <c r="B4252" s="9" t="s">
        <v>42389</v>
      </c>
      <c r="C4252" s="9" t="s">
        <v>42390</v>
      </c>
      <c r="D4252" s="9" t="s">
        <v>42391</v>
      </c>
      <c r="E4252" s="9" t="s">
        <v>17740</v>
      </c>
      <c r="F4252" s="9" t="s">
        <v>17741</v>
      </c>
      <c r="G4252" s="9" t="s">
        <v>17740</v>
      </c>
      <c r="H4252" s="11" t="s">
        <v>17741</v>
      </c>
      <c r="I4252" s="11" t="s">
        <v>42392</v>
      </c>
      <c r="J4252" s="11" t="s">
        <v>42392</v>
      </c>
      <c r="K4252" s="9" t="s">
        <v>42393</v>
      </c>
      <c r="L4252" s="9" t="s">
        <v>19049</v>
      </c>
      <c r="M4252" s="9" t="s">
        <v>17760</v>
      </c>
      <c r="N4252" s="9" t="s">
        <v>17746</v>
      </c>
      <c r="O4252" s="9" t="s">
        <v>25252</v>
      </c>
      <c r="P4252" s="9" t="s">
        <v>17748</v>
      </c>
      <c r="Q4252" s="11" t="s">
        <v>18856</v>
      </c>
      <c r="R4252" s="11" t="s">
        <v>18856</v>
      </c>
      <c r="S4252" s="11" t="s">
        <v>17750</v>
      </c>
    </row>
    <row r="4253" spans="1:19" x14ac:dyDescent="0.2">
      <c r="A4253" s="11" t="s">
        <v>42394</v>
      </c>
      <c r="B4253" s="9" t="s">
        <v>42395</v>
      </c>
      <c r="C4253" s="9" t="s">
        <v>42396</v>
      </c>
      <c r="D4253" s="9" t="s">
        <v>42397</v>
      </c>
      <c r="E4253" s="9" t="s">
        <v>17748</v>
      </c>
      <c r="F4253" s="9" t="s">
        <v>42398</v>
      </c>
      <c r="G4253" s="9" t="s">
        <v>17740</v>
      </c>
      <c r="H4253" s="11" t="s">
        <v>42399</v>
      </c>
      <c r="I4253" s="11" t="s">
        <v>42400</v>
      </c>
      <c r="J4253" s="11" t="s">
        <v>42399</v>
      </c>
      <c r="K4253" s="9" t="s">
        <v>42401</v>
      </c>
      <c r="L4253" s="9" t="s">
        <v>17759</v>
      </c>
      <c r="M4253" s="9" t="s">
        <v>17942</v>
      </c>
      <c r="N4253" s="9" t="s">
        <v>17746</v>
      </c>
      <c r="O4253" s="9" t="s">
        <v>42402</v>
      </c>
      <c r="P4253" s="9" t="s">
        <v>17748</v>
      </c>
      <c r="Q4253" s="11" t="s">
        <v>17994</v>
      </c>
      <c r="R4253" s="11" t="s">
        <v>17994</v>
      </c>
      <c r="S4253" s="11" t="s">
        <v>17750</v>
      </c>
    </row>
    <row r="4254" spans="1:19" x14ac:dyDescent="0.2">
      <c r="A4254" s="11" t="s">
        <v>42403</v>
      </c>
      <c r="B4254" s="9" t="s">
        <v>42404</v>
      </c>
      <c r="C4254" s="9" t="s">
        <v>42405</v>
      </c>
      <c r="D4254" s="9" t="s">
        <v>42406</v>
      </c>
      <c r="E4254" s="9" t="s">
        <v>17748</v>
      </c>
      <c r="F4254" s="9" t="s">
        <v>42407</v>
      </c>
      <c r="G4254" s="9" t="s">
        <v>17740</v>
      </c>
      <c r="H4254" s="11" t="s">
        <v>42408</v>
      </c>
      <c r="I4254" s="11" t="s">
        <v>17741</v>
      </c>
      <c r="J4254" s="11" t="s">
        <v>42408</v>
      </c>
      <c r="K4254" s="9" t="s">
        <v>42409</v>
      </c>
      <c r="L4254" s="9" t="s">
        <v>17759</v>
      </c>
      <c r="M4254" s="9" t="s">
        <v>17942</v>
      </c>
      <c r="N4254" s="9" t="s">
        <v>17746</v>
      </c>
      <c r="O4254" s="9" t="s">
        <v>17848</v>
      </c>
      <c r="P4254" s="9" t="s">
        <v>17748</v>
      </c>
      <c r="Q4254" s="11" t="s">
        <v>18856</v>
      </c>
      <c r="R4254" s="11" t="s">
        <v>18856</v>
      </c>
      <c r="S4254" s="11" t="s">
        <v>17750</v>
      </c>
    </row>
    <row r="4255" spans="1:19" x14ac:dyDescent="0.2">
      <c r="A4255" s="11" t="s">
        <v>42410</v>
      </c>
      <c r="B4255" s="9" t="s">
        <v>42411</v>
      </c>
      <c r="C4255" s="9" t="s">
        <v>42412</v>
      </c>
      <c r="D4255" s="9" t="s">
        <v>42413</v>
      </c>
      <c r="E4255" s="9" t="s">
        <v>17748</v>
      </c>
      <c r="F4255" s="9" t="s">
        <v>42414</v>
      </c>
      <c r="G4255" s="9" t="s">
        <v>17740</v>
      </c>
      <c r="H4255" s="11" t="s">
        <v>17741</v>
      </c>
      <c r="I4255" s="11" t="s">
        <v>42415</v>
      </c>
      <c r="J4255" s="11" t="s">
        <v>42415</v>
      </c>
      <c r="K4255" s="9" t="s">
        <v>42416</v>
      </c>
      <c r="L4255" s="9" t="s">
        <v>18242</v>
      </c>
      <c r="M4255" s="9" t="s">
        <v>17769</v>
      </c>
      <c r="N4255" s="9" t="s">
        <v>21524</v>
      </c>
      <c r="O4255" s="9" t="s">
        <v>18644</v>
      </c>
      <c r="P4255" s="9" t="s">
        <v>17748</v>
      </c>
      <c r="Q4255" s="11" t="s">
        <v>18201</v>
      </c>
      <c r="R4255" s="11" t="s">
        <v>18201</v>
      </c>
      <c r="S4255" s="11" t="s">
        <v>17750</v>
      </c>
    </row>
    <row r="4256" spans="1:19" x14ac:dyDescent="0.2">
      <c r="A4256" s="11" t="s">
        <v>42417</v>
      </c>
      <c r="B4256" s="9" t="s">
        <v>42418</v>
      </c>
      <c r="C4256" s="9" t="s">
        <v>42419</v>
      </c>
      <c r="D4256" s="9" t="s">
        <v>42420</v>
      </c>
      <c r="E4256" s="9" t="s">
        <v>17740</v>
      </c>
      <c r="F4256" s="9" t="s">
        <v>17741</v>
      </c>
      <c r="G4256" s="9" t="s">
        <v>17740</v>
      </c>
      <c r="H4256" s="11" t="s">
        <v>42421</v>
      </c>
      <c r="I4256" s="11" t="s">
        <v>42422</v>
      </c>
      <c r="J4256" s="11" t="s">
        <v>42422</v>
      </c>
      <c r="K4256" s="9" t="s">
        <v>42423</v>
      </c>
      <c r="L4256" s="9" t="s">
        <v>18242</v>
      </c>
      <c r="M4256" s="9" t="s">
        <v>30966</v>
      </c>
      <c r="N4256" s="9" t="s">
        <v>21524</v>
      </c>
      <c r="O4256" s="9" t="s">
        <v>3524</v>
      </c>
      <c r="P4256" s="9" t="s">
        <v>17748</v>
      </c>
      <c r="Q4256" s="11" t="s">
        <v>18010</v>
      </c>
      <c r="R4256" s="11" t="s">
        <v>18010</v>
      </c>
      <c r="S4256" s="11" t="s">
        <v>17750</v>
      </c>
    </row>
    <row r="4257" spans="1:19" x14ac:dyDescent="0.2">
      <c r="A4257" s="11" t="s">
        <v>42424</v>
      </c>
      <c r="B4257" s="9" t="s">
        <v>42425</v>
      </c>
      <c r="C4257" s="9" t="s">
        <v>42426</v>
      </c>
      <c r="D4257" s="9" t="s">
        <v>42427</v>
      </c>
      <c r="E4257" s="9" t="s">
        <v>17740</v>
      </c>
      <c r="F4257" s="9" t="s">
        <v>42428</v>
      </c>
      <c r="G4257" s="9" t="s">
        <v>17740</v>
      </c>
      <c r="H4257" s="11" t="s">
        <v>42429</v>
      </c>
      <c r="I4257" s="11" t="s">
        <v>42430</v>
      </c>
      <c r="J4257" s="11" t="s">
        <v>42430</v>
      </c>
      <c r="K4257" s="9" t="s">
        <v>42431</v>
      </c>
      <c r="L4257" s="9" t="s">
        <v>18242</v>
      </c>
      <c r="M4257" s="9" t="s">
        <v>17817</v>
      </c>
      <c r="N4257" s="9" t="s">
        <v>21524</v>
      </c>
      <c r="O4257" s="9" t="s">
        <v>18035</v>
      </c>
      <c r="P4257" s="9" t="s">
        <v>17748</v>
      </c>
      <c r="Q4257" s="11" t="s">
        <v>42432</v>
      </c>
      <c r="R4257" s="11" t="s">
        <v>42432</v>
      </c>
      <c r="S4257" s="11" t="s">
        <v>17750</v>
      </c>
    </row>
    <row r="4258" spans="1:19" x14ac:dyDescent="0.2">
      <c r="A4258" s="11" t="s">
        <v>42433</v>
      </c>
      <c r="B4258" s="9" t="s">
        <v>42434</v>
      </c>
      <c r="C4258" s="9" t="s">
        <v>42435</v>
      </c>
      <c r="D4258" s="9" t="s">
        <v>42436</v>
      </c>
      <c r="E4258" s="9" t="s">
        <v>17748</v>
      </c>
      <c r="F4258" s="9" t="s">
        <v>42437</v>
      </c>
      <c r="G4258" s="9" t="s">
        <v>17740</v>
      </c>
      <c r="H4258" s="11" t="s">
        <v>3161</v>
      </c>
      <c r="I4258" s="11" t="s">
        <v>3160</v>
      </c>
      <c r="J4258" s="11" t="s">
        <v>3160</v>
      </c>
      <c r="K4258" s="9" t="s">
        <v>42438</v>
      </c>
      <c r="L4258" s="9" t="s">
        <v>18242</v>
      </c>
      <c r="M4258" s="9" t="s">
        <v>17992</v>
      </c>
      <c r="N4258" s="9" t="s">
        <v>17746</v>
      </c>
      <c r="O4258" s="9" t="s">
        <v>18548</v>
      </c>
      <c r="P4258" s="9" t="s">
        <v>17748</v>
      </c>
      <c r="Q4258" s="11" t="s">
        <v>18201</v>
      </c>
      <c r="R4258" s="11" t="s">
        <v>18201</v>
      </c>
      <c r="S4258" s="11" t="s">
        <v>17750</v>
      </c>
    </row>
    <row r="4259" spans="1:19" x14ac:dyDescent="0.2">
      <c r="A4259" s="11" t="s">
        <v>42439</v>
      </c>
      <c r="B4259" s="9" t="s">
        <v>42440</v>
      </c>
      <c r="C4259" s="9" t="s">
        <v>42441</v>
      </c>
      <c r="D4259" s="9" t="s">
        <v>42442</v>
      </c>
      <c r="E4259" s="9" t="s">
        <v>17740</v>
      </c>
      <c r="F4259" s="9" t="s">
        <v>42443</v>
      </c>
      <c r="G4259" s="9" t="s">
        <v>17740</v>
      </c>
      <c r="H4259" s="11" t="s">
        <v>42444</v>
      </c>
      <c r="I4259" s="11" t="s">
        <v>42445</v>
      </c>
      <c r="J4259" s="11" t="s">
        <v>42445</v>
      </c>
      <c r="K4259" s="9" t="s">
        <v>42446</v>
      </c>
      <c r="L4259" s="9" t="s">
        <v>18242</v>
      </c>
      <c r="M4259" s="9" t="s">
        <v>17817</v>
      </c>
      <c r="N4259" s="9" t="s">
        <v>21524</v>
      </c>
      <c r="O4259" s="9" t="s">
        <v>4025</v>
      </c>
      <c r="P4259" s="9" t="s">
        <v>17748</v>
      </c>
      <c r="Q4259" s="11" t="s">
        <v>23636</v>
      </c>
      <c r="R4259" s="11" t="s">
        <v>23636</v>
      </c>
      <c r="S4259" s="11" t="s">
        <v>17750</v>
      </c>
    </row>
    <row r="4260" spans="1:19" x14ac:dyDescent="0.2">
      <c r="A4260" s="11" t="s">
        <v>42447</v>
      </c>
      <c r="B4260" s="9" t="s">
        <v>42448</v>
      </c>
      <c r="C4260" s="9" t="s">
        <v>42449</v>
      </c>
      <c r="D4260" s="9" t="s">
        <v>42450</v>
      </c>
      <c r="E4260" s="9" t="s">
        <v>17740</v>
      </c>
      <c r="F4260" s="9" t="s">
        <v>42451</v>
      </c>
      <c r="G4260" s="9" t="s">
        <v>17740</v>
      </c>
      <c r="H4260" s="11" t="s">
        <v>17741</v>
      </c>
      <c r="I4260" s="11" t="s">
        <v>42452</v>
      </c>
      <c r="J4260" s="11" t="s">
        <v>42452</v>
      </c>
      <c r="K4260" s="9" t="s">
        <v>42453</v>
      </c>
      <c r="L4260" s="9" t="s">
        <v>18242</v>
      </c>
      <c r="M4260" s="9" t="s">
        <v>42454</v>
      </c>
      <c r="N4260" s="9" t="s">
        <v>17746</v>
      </c>
      <c r="O4260" s="9" t="s">
        <v>19275</v>
      </c>
      <c r="P4260" s="9" t="s">
        <v>17748</v>
      </c>
      <c r="Q4260" s="11" t="s">
        <v>18549</v>
      </c>
      <c r="R4260" s="11" t="s">
        <v>18549</v>
      </c>
      <c r="S4260" s="11" t="s">
        <v>17750</v>
      </c>
    </row>
    <row r="4261" spans="1:19" x14ac:dyDescent="0.2">
      <c r="A4261" s="11" t="s">
        <v>42455</v>
      </c>
      <c r="B4261" s="9" t="s">
        <v>42456</v>
      </c>
      <c r="C4261" s="9" t="s">
        <v>42457</v>
      </c>
      <c r="D4261" s="9" t="s">
        <v>42458</v>
      </c>
      <c r="E4261" s="9" t="s">
        <v>17740</v>
      </c>
      <c r="F4261" s="9" t="s">
        <v>17741</v>
      </c>
      <c r="G4261" s="9" t="s">
        <v>17740</v>
      </c>
      <c r="H4261" s="11" t="s">
        <v>42459</v>
      </c>
      <c r="I4261" s="11" t="s">
        <v>42460</v>
      </c>
      <c r="J4261" s="11" t="s">
        <v>42460</v>
      </c>
      <c r="K4261" s="9" t="s">
        <v>42461</v>
      </c>
      <c r="L4261" s="9" t="s">
        <v>18242</v>
      </c>
      <c r="M4261" s="9" t="s">
        <v>17817</v>
      </c>
      <c r="N4261" s="9" t="s">
        <v>21524</v>
      </c>
      <c r="O4261" s="9" t="s">
        <v>3543</v>
      </c>
      <c r="P4261" s="9" t="s">
        <v>17748</v>
      </c>
      <c r="Q4261" s="11" t="s">
        <v>18847</v>
      </c>
      <c r="R4261" s="11" t="s">
        <v>18847</v>
      </c>
      <c r="S4261" s="11" t="s">
        <v>17750</v>
      </c>
    </row>
    <row r="4262" spans="1:19" x14ac:dyDescent="0.2">
      <c r="A4262" s="11" t="s">
        <v>42462</v>
      </c>
      <c r="B4262" s="9" t="s">
        <v>42463</v>
      </c>
      <c r="C4262" s="9" t="s">
        <v>42464</v>
      </c>
      <c r="D4262" s="9" t="s">
        <v>42465</v>
      </c>
      <c r="E4262" s="9" t="s">
        <v>17740</v>
      </c>
      <c r="F4262" s="9" t="s">
        <v>42466</v>
      </c>
      <c r="G4262" s="9" t="s">
        <v>17740</v>
      </c>
      <c r="H4262" s="11" t="s">
        <v>17741</v>
      </c>
      <c r="I4262" s="11" t="s">
        <v>42467</v>
      </c>
      <c r="J4262" s="11" t="s">
        <v>42467</v>
      </c>
      <c r="K4262" s="9" t="s">
        <v>42465</v>
      </c>
      <c r="L4262" s="9" t="s">
        <v>18242</v>
      </c>
      <c r="M4262" s="9" t="s">
        <v>17760</v>
      </c>
      <c r="N4262" s="9" t="s">
        <v>21524</v>
      </c>
      <c r="O4262" s="9" t="s">
        <v>17747</v>
      </c>
      <c r="P4262" s="9" t="s">
        <v>17748</v>
      </c>
      <c r="Q4262" s="11" t="s">
        <v>19874</v>
      </c>
      <c r="R4262" s="11" t="s">
        <v>19874</v>
      </c>
      <c r="S4262" s="11" t="s">
        <v>17750</v>
      </c>
    </row>
    <row r="4263" spans="1:19" x14ac:dyDescent="0.2">
      <c r="A4263" s="11" t="s">
        <v>42468</v>
      </c>
      <c r="B4263" s="9" t="s">
        <v>42469</v>
      </c>
      <c r="C4263" s="9" t="s">
        <v>42470</v>
      </c>
      <c r="D4263" s="9" t="s">
        <v>42471</v>
      </c>
      <c r="E4263" s="9" t="s">
        <v>17740</v>
      </c>
      <c r="F4263" s="9" t="s">
        <v>42472</v>
      </c>
      <c r="G4263" s="9" t="s">
        <v>17740</v>
      </c>
      <c r="H4263" s="11" t="s">
        <v>42473</v>
      </c>
      <c r="I4263" s="11" t="s">
        <v>42474</v>
      </c>
      <c r="J4263" s="11" t="s">
        <v>42474</v>
      </c>
      <c r="K4263" s="9" t="s">
        <v>42475</v>
      </c>
      <c r="L4263" s="9" t="s">
        <v>18242</v>
      </c>
      <c r="M4263" s="9" t="s">
        <v>17817</v>
      </c>
      <c r="N4263" s="9" t="s">
        <v>21524</v>
      </c>
      <c r="O4263" s="9" t="s">
        <v>18418</v>
      </c>
      <c r="P4263" s="9" t="s">
        <v>17748</v>
      </c>
      <c r="Q4263" s="11" t="s">
        <v>18847</v>
      </c>
      <c r="R4263" s="11" t="s">
        <v>18847</v>
      </c>
      <c r="S4263" s="11" t="s">
        <v>17750</v>
      </c>
    </row>
    <row r="4264" spans="1:19" x14ac:dyDescent="0.2">
      <c r="A4264" s="11" t="s">
        <v>42476</v>
      </c>
      <c r="B4264" s="9" t="s">
        <v>42477</v>
      </c>
      <c r="C4264" s="9" t="s">
        <v>42478</v>
      </c>
      <c r="D4264" s="9" t="s">
        <v>42479</v>
      </c>
      <c r="E4264" s="9" t="s">
        <v>17740</v>
      </c>
      <c r="F4264" s="9" t="s">
        <v>17741</v>
      </c>
      <c r="G4264" s="9" t="s">
        <v>17740</v>
      </c>
      <c r="H4264" s="11" t="s">
        <v>17741</v>
      </c>
      <c r="I4264" s="11" t="s">
        <v>3109</v>
      </c>
      <c r="J4264" s="11" t="s">
        <v>3109</v>
      </c>
      <c r="K4264" s="9" t="s">
        <v>42480</v>
      </c>
      <c r="L4264" s="9" t="s">
        <v>18242</v>
      </c>
      <c r="M4264" s="9" t="s">
        <v>17817</v>
      </c>
      <c r="N4264" s="9" t="s">
        <v>21524</v>
      </c>
      <c r="O4264" s="9" t="s">
        <v>7269</v>
      </c>
      <c r="P4264" s="9" t="s">
        <v>17748</v>
      </c>
      <c r="Q4264" s="11" t="s">
        <v>17943</v>
      </c>
      <c r="R4264" s="11" t="s">
        <v>17943</v>
      </c>
      <c r="S4264" s="11" t="s">
        <v>17750</v>
      </c>
    </row>
    <row r="4265" spans="1:19" x14ac:dyDescent="0.2">
      <c r="A4265" s="11" t="s">
        <v>42481</v>
      </c>
      <c r="B4265" s="9" t="s">
        <v>42482</v>
      </c>
      <c r="C4265" s="9" t="s">
        <v>42483</v>
      </c>
      <c r="D4265" s="9" t="s">
        <v>42484</v>
      </c>
      <c r="E4265" s="9" t="s">
        <v>17740</v>
      </c>
      <c r="F4265" s="9" t="s">
        <v>17741</v>
      </c>
      <c r="G4265" s="9" t="s">
        <v>17740</v>
      </c>
      <c r="H4265" s="11" t="s">
        <v>17741</v>
      </c>
      <c r="I4265" s="11" t="s">
        <v>42485</v>
      </c>
      <c r="J4265" s="11" t="s">
        <v>42485</v>
      </c>
      <c r="K4265" s="9" t="s">
        <v>42486</v>
      </c>
      <c r="L4265" s="9" t="s">
        <v>18242</v>
      </c>
      <c r="M4265" s="9" t="s">
        <v>17817</v>
      </c>
      <c r="N4265" s="9" t="s">
        <v>21524</v>
      </c>
      <c r="O4265" s="9" t="s">
        <v>3524</v>
      </c>
      <c r="P4265" s="9" t="s">
        <v>17748</v>
      </c>
      <c r="Q4265" s="11" t="s">
        <v>17969</v>
      </c>
      <c r="R4265" s="11" t="s">
        <v>17969</v>
      </c>
      <c r="S4265" s="11" t="s">
        <v>17750</v>
      </c>
    </row>
    <row r="4266" spans="1:19" x14ac:dyDescent="0.2">
      <c r="A4266" s="11" t="s">
        <v>42487</v>
      </c>
      <c r="B4266" s="9" t="s">
        <v>42488</v>
      </c>
      <c r="C4266" s="9" t="s">
        <v>42489</v>
      </c>
      <c r="D4266" s="9" t="s">
        <v>42490</v>
      </c>
      <c r="E4266" s="9" t="s">
        <v>17740</v>
      </c>
      <c r="F4266" s="9" t="s">
        <v>42491</v>
      </c>
      <c r="G4266" s="9" t="s">
        <v>17740</v>
      </c>
      <c r="H4266" s="11" t="s">
        <v>42492</v>
      </c>
      <c r="I4266" s="11" t="s">
        <v>42493</v>
      </c>
      <c r="J4266" s="11" t="s">
        <v>42493</v>
      </c>
      <c r="K4266" s="9" t="s">
        <v>42494</v>
      </c>
      <c r="L4266" s="9" t="s">
        <v>18242</v>
      </c>
      <c r="M4266" s="9" t="s">
        <v>17817</v>
      </c>
      <c r="N4266" s="9" t="s">
        <v>21524</v>
      </c>
      <c r="O4266" s="9" t="s">
        <v>5938</v>
      </c>
      <c r="P4266" s="9" t="s">
        <v>17748</v>
      </c>
      <c r="Q4266" s="11" t="s">
        <v>23666</v>
      </c>
      <c r="R4266" s="11" t="s">
        <v>23666</v>
      </c>
      <c r="S4266" s="11" t="s">
        <v>17750</v>
      </c>
    </row>
    <row r="4267" spans="1:19" x14ac:dyDescent="0.2">
      <c r="A4267" s="11" t="s">
        <v>42495</v>
      </c>
      <c r="B4267" s="9" t="s">
        <v>42496</v>
      </c>
      <c r="C4267" s="9" t="s">
        <v>42497</v>
      </c>
      <c r="D4267" s="9" t="s">
        <v>42498</v>
      </c>
      <c r="E4267" s="9" t="s">
        <v>17740</v>
      </c>
      <c r="F4267" s="9" t="s">
        <v>17741</v>
      </c>
      <c r="G4267" s="9" t="s">
        <v>17740</v>
      </c>
      <c r="H4267" s="11" t="s">
        <v>13573</v>
      </c>
      <c r="I4267" s="11" t="s">
        <v>13572</v>
      </c>
      <c r="J4267" s="11" t="s">
        <v>13572</v>
      </c>
      <c r="K4267" s="9" t="s">
        <v>42499</v>
      </c>
      <c r="L4267" s="9" t="s">
        <v>18242</v>
      </c>
      <c r="M4267" s="9" t="s">
        <v>17769</v>
      </c>
      <c r="N4267" s="9" t="s">
        <v>21524</v>
      </c>
      <c r="O4267" s="9" t="s">
        <v>18882</v>
      </c>
      <c r="P4267" s="9" t="s">
        <v>17748</v>
      </c>
      <c r="Q4267" s="11" t="s">
        <v>19335</v>
      </c>
      <c r="R4267" s="11" t="s">
        <v>19335</v>
      </c>
      <c r="S4267" s="11" t="s">
        <v>17750</v>
      </c>
    </row>
    <row r="4268" spans="1:19" x14ac:dyDescent="0.2">
      <c r="A4268" s="11" t="s">
        <v>42500</v>
      </c>
      <c r="B4268" s="9" t="s">
        <v>42501</v>
      </c>
      <c r="C4268" s="9" t="s">
        <v>42502</v>
      </c>
      <c r="D4268" s="9" t="s">
        <v>42503</v>
      </c>
      <c r="E4268" s="9" t="s">
        <v>17740</v>
      </c>
      <c r="F4268" s="9" t="s">
        <v>42504</v>
      </c>
      <c r="G4268" s="9" t="s">
        <v>17740</v>
      </c>
      <c r="H4268" s="11" t="s">
        <v>17741</v>
      </c>
      <c r="I4268" s="11" t="s">
        <v>42505</v>
      </c>
      <c r="J4268" s="11" t="s">
        <v>42505</v>
      </c>
      <c r="K4268" s="9" t="s">
        <v>42506</v>
      </c>
      <c r="L4268" s="9" t="s">
        <v>18242</v>
      </c>
      <c r="M4268" s="9" t="s">
        <v>17817</v>
      </c>
      <c r="N4268" s="9" t="s">
        <v>21524</v>
      </c>
      <c r="O4268" s="9" t="s">
        <v>17993</v>
      </c>
      <c r="P4268" s="9" t="s">
        <v>17748</v>
      </c>
      <c r="Q4268" s="11" t="s">
        <v>20361</v>
      </c>
      <c r="R4268" s="11" t="s">
        <v>20361</v>
      </c>
      <c r="S4268" s="11" t="s">
        <v>17750</v>
      </c>
    </row>
    <row r="4269" spans="1:19" x14ac:dyDescent="0.2">
      <c r="A4269" s="11" t="s">
        <v>42507</v>
      </c>
      <c r="B4269" s="9" t="s">
        <v>42508</v>
      </c>
      <c r="C4269" s="9" t="s">
        <v>42509</v>
      </c>
      <c r="D4269" s="9" t="s">
        <v>42510</v>
      </c>
      <c r="E4269" s="9" t="s">
        <v>17740</v>
      </c>
      <c r="F4269" s="9" t="s">
        <v>17741</v>
      </c>
      <c r="G4269" s="9" t="s">
        <v>17740</v>
      </c>
      <c r="H4269" s="11" t="s">
        <v>17741</v>
      </c>
      <c r="I4269" s="11" t="s">
        <v>42511</v>
      </c>
      <c r="J4269" s="11" t="s">
        <v>42511</v>
      </c>
      <c r="K4269" s="9" t="s">
        <v>30105</v>
      </c>
      <c r="L4269" s="9" t="s">
        <v>18242</v>
      </c>
      <c r="M4269" s="9" t="s">
        <v>22559</v>
      </c>
      <c r="N4269" s="9" t="s">
        <v>21524</v>
      </c>
      <c r="O4269" s="9" t="s">
        <v>18855</v>
      </c>
      <c r="P4269" s="9" t="s">
        <v>17748</v>
      </c>
      <c r="Q4269" s="11" t="s">
        <v>19236</v>
      </c>
      <c r="R4269" s="11" t="s">
        <v>19236</v>
      </c>
      <c r="S4269" s="11" t="s">
        <v>17750</v>
      </c>
    </row>
    <row r="4270" spans="1:19" x14ac:dyDescent="0.2">
      <c r="A4270" s="11" t="s">
        <v>42512</v>
      </c>
      <c r="B4270" s="9" t="s">
        <v>42513</v>
      </c>
      <c r="C4270" s="9" t="s">
        <v>42514</v>
      </c>
      <c r="D4270" s="9" t="s">
        <v>42515</v>
      </c>
      <c r="E4270" s="9" t="s">
        <v>17740</v>
      </c>
      <c r="F4270" s="9" t="s">
        <v>42516</v>
      </c>
      <c r="G4270" s="9" t="s">
        <v>17740</v>
      </c>
      <c r="H4270" s="11" t="s">
        <v>42517</v>
      </c>
      <c r="I4270" s="11" t="s">
        <v>42518</v>
      </c>
      <c r="J4270" s="11" t="s">
        <v>42518</v>
      </c>
      <c r="K4270" s="9" t="s">
        <v>42519</v>
      </c>
      <c r="L4270" s="9" t="s">
        <v>18242</v>
      </c>
      <c r="M4270" s="9" t="s">
        <v>17760</v>
      </c>
      <c r="N4270" s="9" t="s">
        <v>21524</v>
      </c>
      <c r="O4270" s="9" t="s">
        <v>30950</v>
      </c>
      <c r="P4270" s="9" t="s">
        <v>17748</v>
      </c>
      <c r="Q4270" s="11" t="s">
        <v>18549</v>
      </c>
      <c r="R4270" s="11" t="s">
        <v>18549</v>
      </c>
      <c r="S4270" s="11" t="s">
        <v>17750</v>
      </c>
    </row>
    <row r="4271" spans="1:19" x14ac:dyDescent="0.2">
      <c r="A4271" s="11" t="s">
        <v>42520</v>
      </c>
      <c r="B4271" s="9" t="s">
        <v>42521</v>
      </c>
      <c r="C4271" s="9" t="s">
        <v>42522</v>
      </c>
      <c r="D4271" s="9" t="s">
        <v>42523</v>
      </c>
      <c r="E4271" s="9" t="s">
        <v>17740</v>
      </c>
      <c r="F4271" s="9" t="s">
        <v>42524</v>
      </c>
      <c r="G4271" s="9" t="s">
        <v>17740</v>
      </c>
      <c r="H4271" s="11" t="s">
        <v>17741</v>
      </c>
      <c r="I4271" s="11" t="s">
        <v>42525</v>
      </c>
      <c r="J4271" s="11" t="s">
        <v>42525</v>
      </c>
      <c r="K4271" s="9" t="s">
        <v>42526</v>
      </c>
      <c r="L4271" s="9" t="s">
        <v>18242</v>
      </c>
      <c r="M4271" s="9" t="s">
        <v>21722</v>
      </c>
      <c r="N4271" s="9" t="s">
        <v>21524</v>
      </c>
      <c r="O4271" s="9" t="s">
        <v>18481</v>
      </c>
      <c r="P4271" s="9" t="s">
        <v>17748</v>
      </c>
      <c r="Q4271" s="11" t="s">
        <v>20691</v>
      </c>
      <c r="R4271" s="11" t="s">
        <v>20691</v>
      </c>
      <c r="S4271" s="11" t="s">
        <v>17750</v>
      </c>
    </row>
    <row r="4272" spans="1:19" x14ac:dyDescent="0.2">
      <c r="A4272" s="11" t="s">
        <v>42527</v>
      </c>
      <c r="B4272" s="9" t="s">
        <v>42528</v>
      </c>
      <c r="C4272" s="9" t="s">
        <v>42529</v>
      </c>
      <c r="D4272" s="9" t="s">
        <v>42530</v>
      </c>
      <c r="E4272" s="9" t="s">
        <v>17748</v>
      </c>
      <c r="F4272" s="9" t="s">
        <v>42531</v>
      </c>
      <c r="G4272" s="9" t="s">
        <v>17740</v>
      </c>
      <c r="H4272" s="11" t="s">
        <v>17741</v>
      </c>
      <c r="I4272" s="11" t="s">
        <v>9477</v>
      </c>
      <c r="J4272" s="11" t="s">
        <v>9477</v>
      </c>
      <c r="K4272" s="9" t="s">
        <v>42532</v>
      </c>
      <c r="L4272" s="9" t="s">
        <v>18242</v>
      </c>
      <c r="M4272" s="9" t="s">
        <v>17769</v>
      </c>
      <c r="N4272" s="9" t="s">
        <v>17746</v>
      </c>
      <c r="O4272" s="9" t="s">
        <v>3475</v>
      </c>
      <c r="P4272" s="9" t="s">
        <v>17748</v>
      </c>
      <c r="Q4272" s="11" t="s">
        <v>17808</v>
      </c>
      <c r="R4272" s="11" t="s">
        <v>17808</v>
      </c>
      <c r="S4272" s="11" t="s">
        <v>17750</v>
      </c>
    </row>
    <row r="4273" spans="1:19" x14ac:dyDescent="0.2">
      <c r="A4273" s="11" t="s">
        <v>42533</v>
      </c>
      <c r="B4273" s="9" t="s">
        <v>42534</v>
      </c>
      <c r="C4273" s="9" t="s">
        <v>42535</v>
      </c>
      <c r="D4273" s="9" t="s">
        <v>42536</v>
      </c>
      <c r="E4273" s="9" t="s">
        <v>17740</v>
      </c>
      <c r="F4273" s="9" t="s">
        <v>17741</v>
      </c>
      <c r="G4273" s="9" t="s">
        <v>17740</v>
      </c>
      <c r="H4273" s="11" t="s">
        <v>42537</v>
      </c>
      <c r="I4273" s="11" t="s">
        <v>13747</v>
      </c>
      <c r="J4273" s="11" t="s">
        <v>13747</v>
      </c>
      <c r="K4273" s="9" t="s">
        <v>42538</v>
      </c>
      <c r="L4273" s="9" t="s">
        <v>18242</v>
      </c>
      <c r="M4273" s="9" t="s">
        <v>17817</v>
      </c>
      <c r="N4273" s="9" t="s">
        <v>21524</v>
      </c>
      <c r="O4273" s="9" t="s">
        <v>1675</v>
      </c>
      <c r="P4273" s="9" t="s">
        <v>17748</v>
      </c>
      <c r="Q4273" s="11" t="s">
        <v>40707</v>
      </c>
      <c r="R4273" s="11" t="s">
        <v>40707</v>
      </c>
      <c r="S4273" s="11" t="s">
        <v>17750</v>
      </c>
    </row>
    <row r="4274" spans="1:19" x14ac:dyDescent="0.2">
      <c r="A4274" s="11" t="s">
        <v>42539</v>
      </c>
      <c r="B4274" s="9" t="s">
        <v>42540</v>
      </c>
      <c r="C4274" s="9" t="s">
        <v>42541</v>
      </c>
      <c r="D4274" s="9" t="s">
        <v>42542</v>
      </c>
      <c r="E4274" s="9" t="s">
        <v>17740</v>
      </c>
      <c r="F4274" s="9" t="s">
        <v>42543</v>
      </c>
      <c r="G4274" s="9" t="s">
        <v>17740</v>
      </c>
      <c r="H4274" s="11" t="s">
        <v>3219</v>
      </c>
      <c r="I4274" s="11" t="s">
        <v>3218</v>
      </c>
      <c r="J4274" s="11" t="s">
        <v>3218</v>
      </c>
      <c r="K4274" s="9" t="s">
        <v>42544</v>
      </c>
      <c r="L4274" s="9" t="s">
        <v>18242</v>
      </c>
      <c r="M4274" s="9" t="s">
        <v>18289</v>
      </c>
      <c r="N4274" s="9" t="s">
        <v>21524</v>
      </c>
      <c r="O4274" s="9" t="s">
        <v>3391</v>
      </c>
      <c r="P4274" s="9" t="s">
        <v>17748</v>
      </c>
      <c r="Q4274" s="11" t="s">
        <v>18549</v>
      </c>
      <c r="R4274" s="11" t="s">
        <v>18549</v>
      </c>
      <c r="S4274" s="11" t="s">
        <v>17750</v>
      </c>
    </row>
    <row r="4275" spans="1:19" x14ac:dyDescent="0.2">
      <c r="A4275" s="11" t="s">
        <v>42545</v>
      </c>
      <c r="B4275" s="9" t="s">
        <v>42546</v>
      </c>
      <c r="C4275" s="9" t="s">
        <v>42547</v>
      </c>
      <c r="D4275" s="9" t="s">
        <v>42548</v>
      </c>
      <c r="E4275" s="9" t="s">
        <v>17740</v>
      </c>
      <c r="F4275" s="9" t="s">
        <v>17741</v>
      </c>
      <c r="G4275" s="9" t="s">
        <v>17740</v>
      </c>
      <c r="H4275" s="11" t="s">
        <v>17741</v>
      </c>
      <c r="I4275" s="11" t="s">
        <v>42549</v>
      </c>
      <c r="J4275" s="11" t="s">
        <v>42549</v>
      </c>
      <c r="K4275" s="9" t="s">
        <v>42550</v>
      </c>
      <c r="L4275" s="9" t="s">
        <v>18242</v>
      </c>
      <c r="M4275" s="9" t="s">
        <v>17817</v>
      </c>
      <c r="N4275" s="9" t="s">
        <v>21524</v>
      </c>
      <c r="O4275" s="9" t="s">
        <v>3255</v>
      </c>
      <c r="P4275" s="9" t="s">
        <v>17748</v>
      </c>
      <c r="Q4275" s="11" t="s">
        <v>20650</v>
      </c>
      <c r="R4275" s="11" t="s">
        <v>20650</v>
      </c>
      <c r="S4275" s="11" t="s">
        <v>17750</v>
      </c>
    </row>
    <row r="4276" spans="1:19" x14ac:dyDescent="0.2">
      <c r="A4276" s="11" t="s">
        <v>42551</v>
      </c>
      <c r="B4276" s="9" t="s">
        <v>42552</v>
      </c>
      <c r="C4276" s="9" t="s">
        <v>42553</v>
      </c>
      <c r="D4276" s="9" t="s">
        <v>42554</v>
      </c>
      <c r="E4276" s="9" t="s">
        <v>17740</v>
      </c>
      <c r="F4276" s="9" t="s">
        <v>17741</v>
      </c>
      <c r="G4276" s="9" t="s">
        <v>17740</v>
      </c>
      <c r="H4276" s="11" t="s">
        <v>7265</v>
      </c>
      <c r="I4276" s="11" t="s">
        <v>7264</v>
      </c>
      <c r="J4276" s="11" t="s">
        <v>7264</v>
      </c>
      <c r="K4276" s="9" t="s">
        <v>601</v>
      </c>
      <c r="L4276" s="9" t="s">
        <v>17759</v>
      </c>
      <c r="M4276" s="9" t="s">
        <v>20604</v>
      </c>
      <c r="N4276" s="9" t="s">
        <v>17746</v>
      </c>
      <c r="O4276" s="9" t="s">
        <v>22701</v>
      </c>
      <c r="P4276" s="9" t="s">
        <v>17748</v>
      </c>
      <c r="Q4276" s="11" t="s">
        <v>18272</v>
      </c>
      <c r="R4276" s="11" t="s">
        <v>18272</v>
      </c>
      <c r="S4276" s="11" t="s">
        <v>17750</v>
      </c>
    </row>
    <row r="4277" spans="1:19" x14ac:dyDescent="0.2">
      <c r="A4277" s="11" t="s">
        <v>42555</v>
      </c>
      <c r="B4277" s="9" t="s">
        <v>42556</v>
      </c>
      <c r="C4277" s="9" t="s">
        <v>42557</v>
      </c>
      <c r="D4277" s="9" t="s">
        <v>42558</v>
      </c>
      <c r="E4277" s="9" t="s">
        <v>17740</v>
      </c>
      <c r="F4277" s="9" t="s">
        <v>17741</v>
      </c>
      <c r="G4277" s="9" t="s">
        <v>17740</v>
      </c>
      <c r="H4277" s="11" t="s">
        <v>5402</v>
      </c>
      <c r="I4277" s="11" t="s">
        <v>5401</v>
      </c>
      <c r="J4277" s="11" t="s">
        <v>5401</v>
      </c>
      <c r="K4277" s="9" t="s">
        <v>17805</v>
      </c>
      <c r="L4277" s="9" t="s">
        <v>17744</v>
      </c>
      <c r="M4277" s="9" t="s">
        <v>34307</v>
      </c>
      <c r="N4277" s="9" t="s">
        <v>17746</v>
      </c>
      <c r="O4277" s="9" t="s">
        <v>42559</v>
      </c>
      <c r="P4277" s="9" t="s">
        <v>17748</v>
      </c>
      <c r="Q4277" s="11" t="s">
        <v>18678</v>
      </c>
      <c r="R4277" s="11" t="s">
        <v>18678</v>
      </c>
      <c r="S4277" s="11" t="s">
        <v>17750</v>
      </c>
    </row>
    <row r="4278" spans="1:19" x14ac:dyDescent="0.2">
      <c r="A4278" s="11" t="s">
        <v>42560</v>
      </c>
      <c r="B4278" s="9" t="s">
        <v>42561</v>
      </c>
      <c r="C4278" s="9" t="s">
        <v>42562</v>
      </c>
      <c r="D4278" s="9" t="s">
        <v>42563</v>
      </c>
      <c r="E4278" s="9" t="s">
        <v>17740</v>
      </c>
      <c r="F4278" s="9" t="s">
        <v>17741</v>
      </c>
      <c r="G4278" s="9" t="s">
        <v>17740</v>
      </c>
      <c r="H4278" s="11" t="s">
        <v>3137</v>
      </c>
      <c r="I4278" s="11" t="s">
        <v>3136</v>
      </c>
      <c r="J4278" s="11" t="s">
        <v>3136</v>
      </c>
      <c r="K4278" s="9" t="s">
        <v>42564</v>
      </c>
      <c r="L4278" s="9" t="s">
        <v>18242</v>
      </c>
      <c r="M4278" s="9" t="s">
        <v>17817</v>
      </c>
      <c r="N4278" s="9" t="s">
        <v>21524</v>
      </c>
      <c r="O4278" s="9" t="s">
        <v>42565</v>
      </c>
      <c r="P4278" s="9" t="s">
        <v>17748</v>
      </c>
      <c r="Q4278" s="11" t="s">
        <v>18243</v>
      </c>
      <c r="R4278" s="11" t="s">
        <v>18243</v>
      </c>
      <c r="S4278" s="11" t="s">
        <v>17750</v>
      </c>
    </row>
    <row r="4279" spans="1:19" x14ac:dyDescent="0.2">
      <c r="A4279" s="11" t="s">
        <v>42566</v>
      </c>
      <c r="B4279" s="9" t="s">
        <v>42567</v>
      </c>
      <c r="C4279" s="9" t="s">
        <v>42568</v>
      </c>
      <c r="D4279" s="9" t="s">
        <v>3187</v>
      </c>
      <c r="E4279" s="9" t="s">
        <v>17740</v>
      </c>
      <c r="F4279" s="9" t="s">
        <v>17741</v>
      </c>
      <c r="G4279" s="9" t="s">
        <v>17740</v>
      </c>
      <c r="H4279" s="11" t="s">
        <v>42569</v>
      </c>
      <c r="I4279" s="11" t="s">
        <v>3188</v>
      </c>
      <c r="J4279" s="11" t="s">
        <v>3188</v>
      </c>
      <c r="K4279" s="9" t="s">
        <v>42570</v>
      </c>
      <c r="L4279" s="9" t="s">
        <v>18242</v>
      </c>
      <c r="M4279" s="9" t="s">
        <v>18065</v>
      </c>
      <c r="N4279" s="9" t="s">
        <v>21524</v>
      </c>
      <c r="O4279" s="9" t="s">
        <v>23262</v>
      </c>
      <c r="P4279" s="9" t="s">
        <v>17748</v>
      </c>
      <c r="Q4279" s="11" t="s">
        <v>17867</v>
      </c>
      <c r="R4279" s="11" t="s">
        <v>17867</v>
      </c>
      <c r="S4279" s="11" t="s">
        <v>17750</v>
      </c>
    </row>
    <row r="4280" spans="1:19" x14ac:dyDescent="0.2">
      <c r="A4280" s="11" t="s">
        <v>42571</v>
      </c>
      <c r="B4280" s="9" t="s">
        <v>42572</v>
      </c>
      <c r="C4280" s="9" t="s">
        <v>42573</v>
      </c>
      <c r="D4280" s="9" t="s">
        <v>42574</v>
      </c>
      <c r="E4280" s="9" t="s">
        <v>17740</v>
      </c>
      <c r="F4280" s="9" t="s">
        <v>17741</v>
      </c>
      <c r="G4280" s="9" t="s">
        <v>17740</v>
      </c>
      <c r="H4280" s="11" t="s">
        <v>42575</v>
      </c>
      <c r="I4280" s="11" t="s">
        <v>42576</v>
      </c>
      <c r="J4280" s="11" t="s">
        <v>42576</v>
      </c>
      <c r="K4280" s="9" t="s">
        <v>42577</v>
      </c>
      <c r="L4280" s="9" t="s">
        <v>20446</v>
      </c>
      <c r="M4280" s="9" t="s">
        <v>17760</v>
      </c>
      <c r="N4280" s="9" t="s">
        <v>17746</v>
      </c>
      <c r="O4280" s="9" t="s">
        <v>19406</v>
      </c>
      <c r="P4280" s="9" t="s">
        <v>17748</v>
      </c>
      <c r="Q4280" s="11" t="s">
        <v>18798</v>
      </c>
      <c r="R4280" s="11" t="s">
        <v>18798</v>
      </c>
      <c r="S4280" s="11" t="s">
        <v>17750</v>
      </c>
    </row>
    <row r="4281" spans="1:19" x14ac:dyDescent="0.2">
      <c r="A4281" s="11" t="s">
        <v>42578</v>
      </c>
      <c r="B4281" s="9" t="s">
        <v>42579</v>
      </c>
      <c r="C4281" s="9" t="s">
        <v>42580</v>
      </c>
      <c r="D4281" s="9" t="s">
        <v>42581</v>
      </c>
      <c r="E4281" s="9" t="s">
        <v>17740</v>
      </c>
      <c r="F4281" s="9" t="s">
        <v>17741</v>
      </c>
      <c r="G4281" s="9" t="s">
        <v>17740</v>
      </c>
      <c r="H4281" s="11" t="s">
        <v>17741</v>
      </c>
      <c r="I4281" s="11" t="s">
        <v>42582</v>
      </c>
      <c r="J4281" s="11" t="s">
        <v>42582</v>
      </c>
      <c r="K4281" s="9" t="s">
        <v>42583</v>
      </c>
      <c r="L4281" s="9" t="s">
        <v>17759</v>
      </c>
      <c r="M4281" s="9" t="s">
        <v>17760</v>
      </c>
      <c r="N4281" s="9" t="s">
        <v>17746</v>
      </c>
      <c r="O4281" s="9" t="s">
        <v>42584</v>
      </c>
      <c r="P4281" s="9" t="s">
        <v>17748</v>
      </c>
      <c r="Q4281" s="11" t="s">
        <v>18272</v>
      </c>
      <c r="R4281" s="11" t="s">
        <v>18272</v>
      </c>
      <c r="S4281" s="11" t="s">
        <v>17750</v>
      </c>
    </row>
    <row r="4282" spans="1:19" x14ac:dyDescent="0.2">
      <c r="A4282" s="11" t="s">
        <v>42585</v>
      </c>
      <c r="B4282" s="9" t="s">
        <v>42586</v>
      </c>
      <c r="C4282" s="9" t="s">
        <v>42587</v>
      </c>
      <c r="D4282" s="9" t="s">
        <v>42588</v>
      </c>
      <c r="E4282" s="9" t="s">
        <v>17740</v>
      </c>
      <c r="F4282" s="9" t="s">
        <v>42589</v>
      </c>
      <c r="G4282" s="9" t="s">
        <v>17740</v>
      </c>
      <c r="H4282" s="11" t="s">
        <v>5857</v>
      </c>
      <c r="I4282" s="11" t="s">
        <v>5856</v>
      </c>
      <c r="J4282" s="11" t="s">
        <v>5856</v>
      </c>
      <c r="K4282" s="9" t="s">
        <v>291</v>
      </c>
      <c r="L4282" s="9" t="s">
        <v>17744</v>
      </c>
      <c r="M4282" s="9" t="s">
        <v>17769</v>
      </c>
      <c r="N4282" s="9" t="s">
        <v>17746</v>
      </c>
      <c r="O4282" s="9" t="s">
        <v>42590</v>
      </c>
      <c r="P4282" s="9" t="s">
        <v>17748</v>
      </c>
      <c r="Q4282" s="11" t="s">
        <v>18356</v>
      </c>
      <c r="R4282" s="11" t="s">
        <v>18356</v>
      </c>
      <c r="S4282" s="11" t="s">
        <v>17750</v>
      </c>
    </row>
    <row r="4283" spans="1:19" x14ac:dyDescent="0.2">
      <c r="A4283" s="11" t="s">
        <v>42591</v>
      </c>
      <c r="B4283" s="9" t="s">
        <v>42592</v>
      </c>
      <c r="C4283" s="9" t="s">
        <v>42593</v>
      </c>
      <c r="D4283" s="9" t="s">
        <v>42594</v>
      </c>
      <c r="E4283" s="9" t="s">
        <v>17740</v>
      </c>
      <c r="F4283" s="9" t="s">
        <v>17741</v>
      </c>
      <c r="G4283" s="9" t="s">
        <v>17740</v>
      </c>
      <c r="H4283" s="11" t="s">
        <v>17741</v>
      </c>
      <c r="I4283" s="11" t="s">
        <v>42595</v>
      </c>
      <c r="J4283" s="11" t="s">
        <v>42595</v>
      </c>
      <c r="K4283" s="9" t="s">
        <v>42596</v>
      </c>
      <c r="L4283" s="9" t="s">
        <v>17759</v>
      </c>
      <c r="M4283" s="9" t="s">
        <v>17769</v>
      </c>
      <c r="N4283" s="9" t="s">
        <v>17746</v>
      </c>
      <c r="O4283" s="9" t="s">
        <v>17993</v>
      </c>
      <c r="P4283" s="9" t="s">
        <v>17748</v>
      </c>
      <c r="Q4283" s="11" t="s">
        <v>19983</v>
      </c>
      <c r="R4283" s="11" t="s">
        <v>19983</v>
      </c>
      <c r="S4283" s="11" t="s">
        <v>17750</v>
      </c>
    </row>
    <row r="4284" spans="1:19" x14ac:dyDescent="0.2">
      <c r="A4284" s="11" t="s">
        <v>42597</v>
      </c>
      <c r="B4284" s="9" t="s">
        <v>42598</v>
      </c>
      <c r="C4284" s="9" t="s">
        <v>42599</v>
      </c>
      <c r="D4284" s="9" t="s">
        <v>42600</v>
      </c>
      <c r="E4284" s="9" t="s">
        <v>17740</v>
      </c>
      <c r="F4284" s="9" t="s">
        <v>42601</v>
      </c>
      <c r="G4284" s="9" t="s">
        <v>17740</v>
      </c>
      <c r="H4284" s="11" t="s">
        <v>17741</v>
      </c>
      <c r="I4284" s="11" t="s">
        <v>42602</v>
      </c>
      <c r="J4284" s="11" t="s">
        <v>42602</v>
      </c>
      <c r="K4284" s="9" t="s">
        <v>42603</v>
      </c>
      <c r="L4284" s="9" t="s">
        <v>17759</v>
      </c>
      <c r="M4284" s="9" t="s">
        <v>17769</v>
      </c>
      <c r="N4284" s="9" t="s">
        <v>17746</v>
      </c>
      <c r="O4284" s="9" t="s">
        <v>18340</v>
      </c>
      <c r="P4284" s="9" t="s">
        <v>17748</v>
      </c>
      <c r="Q4284" s="11" t="s">
        <v>25031</v>
      </c>
      <c r="R4284" s="11" t="s">
        <v>25031</v>
      </c>
      <c r="S4284" s="11" t="s">
        <v>17750</v>
      </c>
    </row>
    <row r="4285" spans="1:19" x14ac:dyDescent="0.2">
      <c r="A4285" s="11" t="s">
        <v>42604</v>
      </c>
      <c r="B4285" s="9" t="s">
        <v>42605</v>
      </c>
      <c r="C4285" s="9" t="s">
        <v>42606</v>
      </c>
      <c r="D4285" s="9" t="s">
        <v>42607</v>
      </c>
      <c r="E4285" s="9" t="s">
        <v>17740</v>
      </c>
      <c r="F4285" s="9" t="s">
        <v>42608</v>
      </c>
      <c r="G4285" s="9" t="s">
        <v>17740</v>
      </c>
      <c r="H4285" s="11" t="s">
        <v>17741</v>
      </c>
      <c r="I4285" s="11" t="s">
        <v>42609</v>
      </c>
      <c r="J4285" s="11" t="s">
        <v>42609</v>
      </c>
      <c r="K4285" s="9" t="s">
        <v>38839</v>
      </c>
      <c r="L4285" s="9" t="s">
        <v>17744</v>
      </c>
      <c r="M4285" s="9" t="s">
        <v>25572</v>
      </c>
      <c r="N4285" s="9" t="s">
        <v>17746</v>
      </c>
      <c r="O4285" s="9" t="s">
        <v>17747</v>
      </c>
      <c r="P4285" s="9" t="s">
        <v>17748</v>
      </c>
      <c r="Q4285" s="11" t="s">
        <v>21578</v>
      </c>
      <c r="R4285" s="11" t="s">
        <v>21578</v>
      </c>
      <c r="S4285" s="11" t="s">
        <v>17750</v>
      </c>
    </row>
    <row r="4286" spans="1:19" x14ac:dyDescent="0.2">
      <c r="A4286" s="11" t="s">
        <v>42610</v>
      </c>
      <c r="B4286" s="9" t="s">
        <v>42611</v>
      </c>
      <c r="C4286" s="9" t="s">
        <v>42612</v>
      </c>
      <c r="D4286" s="9" t="s">
        <v>42613</v>
      </c>
      <c r="E4286" s="9" t="s">
        <v>17740</v>
      </c>
      <c r="F4286" s="9" t="s">
        <v>17741</v>
      </c>
      <c r="G4286" s="9" t="s">
        <v>17740</v>
      </c>
      <c r="H4286" s="11" t="s">
        <v>17741</v>
      </c>
      <c r="I4286" s="11" t="s">
        <v>42614</v>
      </c>
      <c r="J4286" s="11" t="s">
        <v>42614</v>
      </c>
      <c r="K4286" s="9" t="s">
        <v>42615</v>
      </c>
      <c r="L4286" s="9" t="s">
        <v>18123</v>
      </c>
      <c r="M4286" s="9" t="s">
        <v>17942</v>
      </c>
      <c r="N4286" s="9" t="s">
        <v>18185</v>
      </c>
      <c r="O4286" s="9" t="s">
        <v>17747</v>
      </c>
      <c r="P4286" s="9" t="s">
        <v>17748</v>
      </c>
      <c r="Q4286" s="11" t="s">
        <v>18549</v>
      </c>
      <c r="R4286" s="11" t="s">
        <v>18549</v>
      </c>
      <c r="S4286" s="11" t="s">
        <v>17750</v>
      </c>
    </row>
    <row r="4287" spans="1:19" x14ac:dyDescent="0.2">
      <c r="A4287" s="11" t="s">
        <v>42616</v>
      </c>
      <c r="B4287" s="9" t="s">
        <v>42617</v>
      </c>
      <c r="C4287" s="9" t="s">
        <v>42617</v>
      </c>
      <c r="D4287" s="9" t="s">
        <v>42617</v>
      </c>
      <c r="E4287" s="9" t="s">
        <v>17740</v>
      </c>
      <c r="F4287" s="9" t="s">
        <v>17741</v>
      </c>
      <c r="G4287" s="9" t="s">
        <v>17740</v>
      </c>
      <c r="H4287" s="11" t="s">
        <v>17741</v>
      </c>
      <c r="I4287" s="11" t="s">
        <v>42618</v>
      </c>
      <c r="J4287" s="11" t="s">
        <v>42618</v>
      </c>
      <c r="K4287" s="9" t="s">
        <v>24526</v>
      </c>
      <c r="L4287" s="9" t="s">
        <v>18123</v>
      </c>
      <c r="M4287" s="9" t="s">
        <v>42619</v>
      </c>
      <c r="N4287" s="9" t="s">
        <v>17746</v>
      </c>
      <c r="O4287" s="9" t="s">
        <v>42620</v>
      </c>
      <c r="P4287" s="9" t="s">
        <v>17748</v>
      </c>
      <c r="Q4287" s="11" t="s">
        <v>18556</v>
      </c>
      <c r="R4287" s="11" t="s">
        <v>18556</v>
      </c>
      <c r="S4287" s="11" t="s">
        <v>17750</v>
      </c>
    </row>
    <row r="4288" spans="1:19" x14ac:dyDescent="0.2">
      <c r="A4288" s="11" t="s">
        <v>42621</v>
      </c>
      <c r="B4288" s="9" t="s">
        <v>42622</v>
      </c>
      <c r="C4288" s="9" t="s">
        <v>42623</v>
      </c>
      <c r="D4288" s="9" t="s">
        <v>42624</v>
      </c>
      <c r="E4288" s="9" t="s">
        <v>17748</v>
      </c>
      <c r="F4288" s="9" t="s">
        <v>42625</v>
      </c>
      <c r="G4288" s="9" t="s">
        <v>17740</v>
      </c>
      <c r="H4288" s="11" t="s">
        <v>17741</v>
      </c>
      <c r="I4288" s="11" t="s">
        <v>42626</v>
      </c>
      <c r="J4288" s="11" t="s">
        <v>42626</v>
      </c>
      <c r="K4288" s="9" t="s">
        <v>17741</v>
      </c>
      <c r="L4288" s="9" t="s">
        <v>17759</v>
      </c>
      <c r="M4288" s="9" t="s">
        <v>17741</v>
      </c>
      <c r="N4288" s="9" t="s">
        <v>17746</v>
      </c>
      <c r="O4288" s="9" t="s">
        <v>4009</v>
      </c>
      <c r="P4288" s="9" t="s">
        <v>17748</v>
      </c>
      <c r="Q4288" s="11" t="s">
        <v>17923</v>
      </c>
      <c r="R4288" s="11" t="s">
        <v>17923</v>
      </c>
      <c r="S4288" s="11" t="s">
        <v>17750</v>
      </c>
    </row>
    <row r="4289" spans="1:19" x14ac:dyDescent="0.2">
      <c r="A4289" s="11" t="s">
        <v>42627</v>
      </c>
      <c r="B4289" s="9" t="s">
        <v>42628</v>
      </c>
      <c r="C4289" s="9" t="s">
        <v>42629</v>
      </c>
      <c r="D4289" s="9" t="s">
        <v>42630</v>
      </c>
      <c r="E4289" s="9" t="s">
        <v>17748</v>
      </c>
      <c r="F4289" s="9" t="s">
        <v>42631</v>
      </c>
      <c r="G4289" s="9" t="s">
        <v>17740</v>
      </c>
      <c r="H4289" s="11" t="s">
        <v>3116</v>
      </c>
      <c r="I4289" s="11" t="s">
        <v>3115</v>
      </c>
      <c r="J4289" s="11" t="s">
        <v>3115</v>
      </c>
      <c r="K4289" s="9" t="s">
        <v>91</v>
      </c>
      <c r="L4289" s="9" t="s">
        <v>17759</v>
      </c>
      <c r="M4289" s="9" t="s">
        <v>18177</v>
      </c>
      <c r="N4289" s="9" t="s">
        <v>17746</v>
      </c>
      <c r="O4289" s="9" t="s">
        <v>42632</v>
      </c>
      <c r="P4289" s="9" t="s">
        <v>17748</v>
      </c>
      <c r="Q4289" s="11" t="s">
        <v>17792</v>
      </c>
      <c r="R4289" s="11" t="s">
        <v>17792</v>
      </c>
      <c r="S4289" s="11" t="s">
        <v>17750</v>
      </c>
    </row>
    <row r="4290" spans="1:19" x14ac:dyDescent="0.2">
      <c r="A4290" s="11" t="s">
        <v>42633</v>
      </c>
      <c r="B4290" s="9" t="s">
        <v>42634</v>
      </c>
      <c r="C4290" s="9" t="s">
        <v>42635</v>
      </c>
      <c r="D4290" s="9" t="s">
        <v>42636</v>
      </c>
      <c r="E4290" s="9" t="s">
        <v>17740</v>
      </c>
      <c r="F4290" s="9" t="s">
        <v>17741</v>
      </c>
      <c r="G4290" s="9" t="s">
        <v>17740</v>
      </c>
      <c r="H4290" s="11" t="s">
        <v>3123</v>
      </c>
      <c r="I4290" s="11" t="s">
        <v>3122</v>
      </c>
      <c r="J4290" s="11" t="s">
        <v>3122</v>
      </c>
      <c r="K4290" s="9" t="s">
        <v>17758</v>
      </c>
      <c r="L4290" s="9" t="s">
        <v>17744</v>
      </c>
      <c r="M4290" s="9" t="s">
        <v>17817</v>
      </c>
      <c r="N4290" s="9" t="s">
        <v>17746</v>
      </c>
      <c r="O4290" s="9" t="s">
        <v>20618</v>
      </c>
      <c r="P4290" s="9" t="s">
        <v>17748</v>
      </c>
      <c r="Q4290" s="11" t="s">
        <v>19222</v>
      </c>
      <c r="R4290" s="11" t="s">
        <v>19222</v>
      </c>
      <c r="S4290" s="11" t="s">
        <v>17750</v>
      </c>
    </row>
    <row r="4291" spans="1:19" x14ac:dyDescent="0.2">
      <c r="A4291" s="11" t="s">
        <v>42637</v>
      </c>
      <c r="B4291" s="9" t="s">
        <v>42638</v>
      </c>
      <c r="C4291" s="9" t="s">
        <v>42639</v>
      </c>
      <c r="D4291" s="9" t="s">
        <v>42640</v>
      </c>
      <c r="E4291" s="9" t="s">
        <v>17740</v>
      </c>
      <c r="F4291" s="8" t="s">
        <v>42641</v>
      </c>
      <c r="G4291" s="9" t="s">
        <v>17740</v>
      </c>
      <c r="H4291" s="11" t="s">
        <v>42642</v>
      </c>
      <c r="I4291" s="11" t="s">
        <v>8959</v>
      </c>
      <c r="J4291" s="11" t="s">
        <v>8959</v>
      </c>
      <c r="K4291" s="9" t="s">
        <v>42643</v>
      </c>
      <c r="L4291" s="9" t="s">
        <v>17967</v>
      </c>
      <c r="M4291" s="9" t="s">
        <v>18051</v>
      </c>
      <c r="N4291" s="9" t="s">
        <v>17746</v>
      </c>
      <c r="O4291" s="9" t="s">
        <v>20618</v>
      </c>
      <c r="P4291" s="9" t="s">
        <v>17748</v>
      </c>
      <c r="Q4291" s="11" t="s">
        <v>18798</v>
      </c>
      <c r="R4291" s="11" t="s">
        <v>18798</v>
      </c>
      <c r="S4291" s="11" t="s">
        <v>17750</v>
      </c>
    </row>
    <row r="4292" spans="1:19" x14ac:dyDescent="0.2">
      <c r="A4292" s="11" t="s">
        <v>42644</v>
      </c>
      <c r="B4292" s="9" t="s">
        <v>42645</v>
      </c>
      <c r="C4292" s="9" t="s">
        <v>42646</v>
      </c>
      <c r="D4292" s="9" t="s">
        <v>42647</v>
      </c>
      <c r="E4292" s="9" t="s">
        <v>17740</v>
      </c>
      <c r="F4292" s="9" t="s">
        <v>17741</v>
      </c>
      <c r="G4292" s="9" t="s">
        <v>17740</v>
      </c>
      <c r="H4292" s="11" t="s">
        <v>42648</v>
      </c>
      <c r="I4292" s="11" t="s">
        <v>17741</v>
      </c>
      <c r="J4292" s="11" t="s">
        <v>42648</v>
      </c>
      <c r="K4292" s="9" t="s">
        <v>42649</v>
      </c>
      <c r="L4292" s="9" t="s">
        <v>17759</v>
      </c>
      <c r="M4292" s="9" t="s">
        <v>17741</v>
      </c>
      <c r="N4292" s="9" t="s">
        <v>17746</v>
      </c>
      <c r="O4292" s="9" t="s">
        <v>773</v>
      </c>
      <c r="P4292" s="9" t="s">
        <v>17748</v>
      </c>
      <c r="Q4292" s="11" t="s">
        <v>17858</v>
      </c>
      <c r="R4292" s="11" t="s">
        <v>17858</v>
      </c>
      <c r="S4292" s="11" t="s">
        <v>17750</v>
      </c>
    </row>
    <row r="4293" spans="1:19" x14ac:dyDescent="0.2">
      <c r="A4293" s="11" t="s">
        <v>42650</v>
      </c>
      <c r="B4293" s="9" t="s">
        <v>42651</v>
      </c>
      <c r="C4293" s="9" t="s">
        <v>42652</v>
      </c>
      <c r="D4293" s="9" t="s">
        <v>42653</v>
      </c>
      <c r="E4293" s="9" t="s">
        <v>17748</v>
      </c>
      <c r="F4293" s="9" t="s">
        <v>42654</v>
      </c>
      <c r="G4293" s="9" t="s">
        <v>17740</v>
      </c>
      <c r="H4293" s="11" t="s">
        <v>42655</v>
      </c>
      <c r="I4293" s="11" t="s">
        <v>15488</v>
      </c>
      <c r="J4293" s="11" t="s">
        <v>17741</v>
      </c>
      <c r="K4293" s="9" t="s">
        <v>19180</v>
      </c>
      <c r="L4293" s="9" t="s">
        <v>17759</v>
      </c>
      <c r="M4293" s="9" t="s">
        <v>17769</v>
      </c>
      <c r="N4293" s="9" t="s">
        <v>17746</v>
      </c>
      <c r="O4293" s="9" t="s">
        <v>42656</v>
      </c>
      <c r="P4293" s="9" t="s">
        <v>17748</v>
      </c>
      <c r="Q4293" s="11" t="s">
        <v>17909</v>
      </c>
      <c r="R4293" s="11" t="s">
        <v>17909</v>
      </c>
      <c r="S4293" s="11" t="s">
        <v>17750</v>
      </c>
    </row>
    <row r="4294" spans="1:19" x14ac:dyDescent="0.2">
      <c r="A4294" s="11" t="s">
        <v>42657</v>
      </c>
      <c r="B4294" s="9" t="s">
        <v>42658</v>
      </c>
      <c r="C4294" s="9" t="s">
        <v>42659</v>
      </c>
      <c r="D4294" s="9" t="s">
        <v>42660</v>
      </c>
      <c r="E4294" s="9" t="s">
        <v>17740</v>
      </c>
      <c r="F4294" s="9" t="s">
        <v>17741</v>
      </c>
      <c r="G4294" s="9" t="s">
        <v>17740</v>
      </c>
      <c r="H4294" s="11" t="s">
        <v>3044</v>
      </c>
      <c r="I4294" s="11" t="s">
        <v>3043</v>
      </c>
      <c r="J4294" s="11" t="s">
        <v>3043</v>
      </c>
      <c r="K4294" s="9" t="s">
        <v>55</v>
      </c>
      <c r="L4294" s="9" t="s">
        <v>17744</v>
      </c>
      <c r="M4294" s="9" t="s">
        <v>20172</v>
      </c>
      <c r="N4294" s="9" t="s">
        <v>17746</v>
      </c>
      <c r="O4294" s="9" t="s">
        <v>773</v>
      </c>
      <c r="P4294" s="9" t="s">
        <v>17748</v>
      </c>
      <c r="Q4294" s="11" t="s">
        <v>17771</v>
      </c>
      <c r="R4294" s="11" t="s">
        <v>17771</v>
      </c>
      <c r="S4294" s="11" t="s">
        <v>17750</v>
      </c>
    </row>
    <row r="4295" spans="1:19" x14ac:dyDescent="0.2">
      <c r="A4295" s="11" t="s">
        <v>42661</v>
      </c>
      <c r="B4295" s="9" t="s">
        <v>42662</v>
      </c>
      <c r="C4295" s="9" t="s">
        <v>42663</v>
      </c>
      <c r="D4295" s="9" t="s">
        <v>42664</v>
      </c>
      <c r="E4295" s="9" t="s">
        <v>17748</v>
      </c>
      <c r="F4295" s="9" t="s">
        <v>42665</v>
      </c>
      <c r="G4295" s="9" t="s">
        <v>17740</v>
      </c>
      <c r="H4295" s="11" t="s">
        <v>42666</v>
      </c>
      <c r="I4295" s="11" t="s">
        <v>17741</v>
      </c>
      <c r="J4295" s="11" t="s">
        <v>42667</v>
      </c>
      <c r="K4295" s="9" t="s">
        <v>55</v>
      </c>
      <c r="L4295" s="9" t="s">
        <v>17744</v>
      </c>
      <c r="M4295" s="9" t="s">
        <v>17741</v>
      </c>
      <c r="N4295" s="9" t="s">
        <v>17746</v>
      </c>
      <c r="O4295" s="9" t="s">
        <v>773</v>
      </c>
      <c r="P4295" s="9" t="s">
        <v>17748</v>
      </c>
      <c r="Q4295" s="11" t="s">
        <v>17780</v>
      </c>
      <c r="R4295" s="11" t="s">
        <v>17780</v>
      </c>
      <c r="S4295" s="11" t="s">
        <v>17750</v>
      </c>
    </row>
    <row r="4296" spans="1:19" x14ac:dyDescent="0.2">
      <c r="A4296" s="11" t="s">
        <v>42668</v>
      </c>
      <c r="B4296" s="9" t="s">
        <v>42669</v>
      </c>
      <c r="C4296" s="9" t="s">
        <v>42670</v>
      </c>
      <c r="D4296" s="9" t="s">
        <v>42671</v>
      </c>
      <c r="E4296" s="9" t="s">
        <v>17748</v>
      </c>
      <c r="F4296" s="9" t="s">
        <v>42672</v>
      </c>
      <c r="G4296" s="9" t="s">
        <v>17740</v>
      </c>
      <c r="H4296" s="11" t="s">
        <v>8394</v>
      </c>
      <c r="I4296" s="11" t="s">
        <v>8393</v>
      </c>
      <c r="J4296" s="11" t="s">
        <v>8393</v>
      </c>
      <c r="K4296" s="9" t="s">
        <v>18404</v>
      </c>
      <c r="L4296" s="9" t="s">
        <v>17759</v>
      </c>
      <c r="M4296" s="9" t="s">
        <v>17817</v>
      </c>
      <c r="N4296" s="9" t="s">
        <v>17746</v>
      </c>
      <c r="O4296" s="9" t="s">
        <v>773</v>
      </c>
      <c r="P4296" s="9" t="s">
        <v>17748</v>
      </c>
      <c r="Q4296" s="11" t="s">
        <v>17784</v>
      </c>
      <c r="R4296" s="11" t="s">
        <v>17784</v>
      </c>
      <c r="S4296" s="11" t="s">
        <v>17750</v>
      </c>
    </row>
    <row r="4297" spans="1:19" x14ac:dyDescent="0.2">
      <c r="A4297" s="11" t="s">
        <v>42673</v>
      </c>
      <c r="B4297" s="9" t="s">
        <v>42674</v>
      </c>
      <c r="C4297" s="9" t="s">
        <v>42675</v>
      </c>
      <c r="D4297" s="9" t="s">
        <v>42676</v>
      </c>
      <c r="E4297" s="9" t="s">
        <v>17740</v>
      </c>
      <c r="F4297" s="9" t="s">
        <v>17741</v>
      </c>
      <c r="G4297" s="9" t="s">
        <v>17740</v>
      </c>
      <c r="H4297" s="11" t="s">
        <v>14578</v>
      </c>
      <c r="I4297" s="11" t="s">
        <v>14577</v>
      </c>
      <c r="J4297" s="11" t="s">
        <v>14578</v>
      </c>
      <c r="K4297" s="9" t="s">
        <v>10332</v>
      </c>
      <c r="L4297" s="9" t="s">
        <v>17759</v>
      </c>
      <c r="M4297" s="9" t="s">
        <v>17769</v>
      </c>
      <c r="N4297" s="9" t="s">
        <v>17746</v>
      </c>
      <c r="O4297" s="9" t="s">
        <v>19917</v>
      </c>
      <c r="P4297" s="9" t="s">
        <v>17748</v>
      </c>
      <c r="Q4297" s="11" t="s">
        <v>17900</v>
      </c>
      <c r="R4297" s="11" t="s">
        <v>17900</v>
      </c>
      <c r="S4297" s="11" t="s">
        <v>17750</v>
      </c>
    </row>
    <row r="4298" spans="1:19" x14ac:dyDescent="0.2">
      <c r="A4298" s="11" t="s">
        <v>42677</v>
      </c>
      <c r="B4298" s="9" t="s">
        <v>42678</v>
      </c>
      <c r="C4298" s="9" t="s">
        <v>42679</v>
      </c>
      <c r="D4298" s="9" t="s">
        <v>42680</v>
      </c>
      <c r="E4298" s="9" t="s">
        <v>17740</v>
      </c>
      <c r="F4298" s="9" t="s">
        <v>42681</v>
      </c>
      <c r="G4298" s="9" t="s">
        <v>17740</v>
      </c>
      <c r="H4298" s="11" t="s">
        <v>17741</v>
      </c>
      <c r="I4298" s="11" t="s">
        <v>3201</v>
      </c>
      <c r="J4298" s="11" t="s">
        <v>3201</v>
      </c>
      <c r="K4298" s="9" t="s">
        <v>42682</v>
      </c>
      <c r="L4298" s="9" t="s">
        <v>18158</v>
      </c>
      <c r="M4298" s="9" t="s">
        <v>20536</v>
      </c>
      <c r="N4298" s="9" t="s">
        <v>17746</v>
      </c>
      <c r="O4298" s="9" t="s">
        <v>20618</v>
      </c>
      <c r="P4298" s="9" t="s">
        <v>17748</v>
      </c>
      <c r="Q4298" s="11" t="s">
        <v>19026</v>
      </c>
      <c r="R4298" s="11" t="s">
        <v>19026</v>
      </c>
      <c r="S4298" s="11" t="s">
        <v>17750</v>
      </c>
    </row>
    <row r="4299" spans="1:19" x14ac:dyDescent="0.2">
      <c r="A4299" s="11" t="s">
        <v>42683</v>
      </c>
      <c r="B4299" s="9" t="s">
        <v>42684</v>
      </c>
      <c r="C4299" s="9" t="s">
        <v>42685</v>
      </c>
      <c r="D4299" s="9" t="s">
        <v>42686</v>
      </c>
      <c r="E4299" s="9" t="s">
        <v>17740</v>
      </c>
      <c r="F4299" s="9" t="s">
        <v>42687</v>
      </c>
      <c r="G4299" s="9" t="s">
        <v>17740</v>
      </c>
      <c r="H4299" s="11" t="s">
        <v>17741</v>
      </c>
      <c r="I4299" s="11" t="s">
        <v>42688</v>
      </c>
      <c r="J4299" s="11" t="s">
        <v>42688</v>
      </c>
      <c r="K4299" s="9" t="s">
        <v>42689</v>
      </c>
      <c r="L4299" s="9" t="s">
        <v>17991</v>
      </c>
      <c r="M4299" s="9" t="s">
        <v>18211</v>
      </c>
      <c r="N4299" s="9" t="s">
        <v>17746</v>
      </c>
      <c r="O4299" s="9" t="s">
        <v>20690</v>
      </c>
      <c r="P4299" s="9" t="s">
        <v>17748</v>
      </c>
      <c r="Q4299" s="11" t="s">
        <v>18059</v>
      </c>
      <c r="R4299" s="11" t="s">
        <v>18059</v>
      </c>
      <c r="S4299" s="11" t="s">
        <v>17750</v>
      </c>
    </row>
    <row r="4300" spans="1:19" x14ac:dyDescent="0.2">
      <c r="A4300" s="11" t="s">
        <v>42690</v>
      </c>
      <c r="B4300" s="9" t="s">
        <v>42691</v>
      </c>
      <c r="C4300" s="9" t="s">
        <v>42692</v>
      </c>
      <c r="D4300" s="9" t="s">
        <v>42693</v>
      </c>
      <c r="E4300" s="9" t="s">
        <v>17740</v>
      </c>
      <c r="F4300" s="9" t="s">
        <v>17741</v>
      </c>
      <c r="G4300" s="9" t="s">
        <v>17740</v>
      </c>
      <c r="H4300" s="11" t="s">
        <v>42694</v>
      </c>
      <c r="I4300" s="11" t="s">
        <v>42695</v>
      </c>
      <c r="J4300" s="11" t="s">
        <v>42695</v>
      </c>
      <c r="K4300" s="9" t="s">
        <v>21146</v>
      </c>
      <c r="L4300" s="9" t="s">
        <v>17744</v>
      </c>
      <c r="M4300" s="9" t="s">
        <v>17760</v>
      </c>
      <c r="N4300" s="9" t="s">
        <v>17746</v>
      </c>
      <c r="O4300" s="9" t="s">
        <v>17800</v>
      </c>
      <c r="P4300" s="9" t="s">
        <v>17748</v>
      </c>
      <c r="Q4300" s="11" t="s">
        <v>18080</v>
      </c>
      <c r="R4300" s="11" t="s">
        <v>18080</v>
      </c>
      <c r="S4300" s="11" t="s">
        <v>17750</v>
      </c>
    </row>
    <row r="4301" spans="1:19" x14ac:dyDescent="0.2">
      <c r="A4301" s="11" t="s">
        <v>42696</v>
      </c>
      <c r="B4301" s="9" t="s">
        <v>42697</v>
      </c>
      <c r="C4301" s="9" t="s">
        <v>42698</v>
      </c>
      <c r="D4301" s="9" t="s">
        <v>42699</v>
      </c>
      <c r="E4301" s="9" t="s">
        <v>17740</v>
      </c>
      <c r="F4301" s="9" t="s">
        <v>17741</v>
      </c>
      <c r="G4301" s="9" t="s">
        <v>17740</v>
      </c>
      <c r="H4301" s="11" t="s">
        <v>42700</v>
      </c>
      <c r="I4301" s="11" t="s">
        <v>42701</v>
      </c>
      <c r="J4301" s="11" t="s">
        <v>42701</v>
      </c>
      <c r="K4301" s="9" t="s">
        <v>831</v>
      </c>
      <c r="L4301" s="9" t="s">
        <v>17744</v>
      </c>
      <c r="M4301" s="9" t="s">
        <v>17760</v>
      </c>
      <c r="N4301" s="9" t="s">
        <v>17746</v>
      </c>
      <c r="O4301" s="9" t="s">
        <v>32730</v>
      </c>
      <c r="P4301" s="9" t="s">
        <v>17748</v>
      </c>
      <c r="Q4301" s="11" t="s">
        <v>18922</v>
      </c>
      <c r="R4301" s="11" t="s">
        <v>18922</v>
      </c>
      <c r="S4301" s="11" t="s">
        <v>17750</v>
      </c>
    </row>
    <row r="4302" spans="1:19" x14ac:dyDescent="0.2">
      <c r="A4302" s="11" t="s">
        <v>42702</v>
      </c>
      <c r="B4302" s="9" t="s">
        <v>42703</v>
      </c>
      <c r="C4302" s="9" t="s">
        <v>42704</v>
      </c>
      <c r="D4302" s="9" t="s">
        <v>42705</v>
      </c>
      <c r="E4302" s="9" t="s">
        <v>17740</v>
      </c>
      <c r="F4302" s="9" t="s">
        <v>17741</v>
      </c>
      <c r="G4302" s="9" t="s">
        <v>17740</v>
      </c>
      <c r="H4302" s="11" t="s">
        <v>42706</v>
      </c>
      <c r="I4302" s="11" t="s">
        <v>42707</v>
      </c>
      <c r="J4302" s="11" t="s">
        <v>42707</v>
      </c>
      <c r="K4302" s="9" t="s">
        <v>831</v>
      </c>
      <c r="L4302" s="9" t="s">
        <v>23607</v>
      </c>
      <c r="M4302" s="9" t="s">
        <v>18289</v>
      </c>
      <c r="N4302" s="9" t="s">
        <v>17746</v>
      </c>
      <c r="O4302" s="9" t="s">
        <v>32730</v>
      </c>
      <c r="P4302" s="9" t="s">
        <v>17748</v>
      </c>
      <c r="Q4302" s="11" t="s">
        <v>18433</v>
      </c>
      <c r="R4302" s="11" t="s">
        <v>18433</v>
      </c>
      <c r="S4302" s="11" t="s">
        <v>17750</v>
      </c>
    </row>
    <row r="4303" spans="1:19" x14ac:dyDescent="0.2">
      <c r="A4303" s="11" t="s">
        <v>42708</v>
      </c>
      <c r="B4303" s="9" t="s">
        <v>42709</v>
      </c>
      <c r="C4303" s="9" t="s">
        <v>42710</v>
      </c>
      <c r="D4303" s="9" t="s">
        <v>42711</v>
      </c>
      <c r="E4303" s="9" t="s">
        <v>17740</v>
      </c>
      <c r="F4303" s="9" t="s">
        <v>17741</v>
      </c>
      <c r="G4303" s="9" t="s">
        <v>17740</v>
      </c>
      <c r="H4303" s="11" t="s">
        <v>42712</v>
      </c>
      <c r="I4303" s="11" t="s">
        <v>42713</v>
      </c>
      <c r="J4303" s="11" t="s">
        <v>42713</v>
      </c>
      <c r="K4303" s="9" t="s">
        <v>17758</v>
      </c>
      <c r="L4303" s="9" t="s">
        <v>17759</v>
      </c>
      <c r="M4303" s="9" t="s">
        <v>17769</v>
      </c>
      <c r="N4303" s="9" t="s">
        <v>17746</v>
      </c>
      <c r="O4303" s="9" t="s">
        <v>32730</v>
      </c>
      <c r="P4303" s="9" t="s">
        <v>17748</v>
      </c>
      <c r="Q4303" s="11" t="s">
        <v>19026</v>
      </c>
      <c r="R4303" s="11" t="s">
        <v>19026</v>
      </c>
      <c r="S4303" s="11" t="s">
        <v>17750</v>
      </c>
    </row>
    <row r="4304" spans="1:19" x14ac:dyDescent="0.2">
      <c r="A4304" s="11" t="s">
        <v>42714</v>
      </c>
      <c r="B4304" s="9" t="s">
        <v>42715</v>
      </c>
      <c r="C4304" s="9" t="s">
        <v>42716</v>
      </c>
      <c r="D4304" s="9" t="s">
        <v>42717</v>
      </c>
      <c r="E4304" s="9" t="s">
        <v>17740</v>
      </c>
      <c r="F4304" s="9" t="s">
        <v>17741</v>
      </c>
      <c r="G4304" s="9" t="s">
        <v>17740</v>
      </c>
      <c r="H4304" s="11" t="s">
        <v>42718</v>
      </c>
      <c r="I4304" s="11" t="s">
        <v>42719</v>
      </c>
      <c r="J4304" s="11" t="s">
        <v>42719</v>
      </c>
      <c r="K4304" s="9" t="s">
        <v>42720</v>
      </c>
      <c r="L4304" s="9" t="s">
        <v>17759</v>
      </c>
      <c r="M4304" s="9" t="s">
        <v>17817</v>
      </c>
      <c r="N4304" s="9" t="s">
        <v>17746</v>
      </c>
      <c r="O4304" s="9" t="s">
        <v>17800</v>
      </c>
      <c r="P4304" s="9" t="s">
        <v>17748</v>
      </c>
      <c r="Q4304" s="11" t="s">
        <v>18608</v>
      </c>
      <c r="R4304" s="11" t="s">
        <v>18608</v>
      </c>
      <c r="S4304" s="11" t="s">
        <v>17750</v>
      </c>
    </row>
    <row r="4305" spans="1:19" x14ac:dyDescent="0.2">
      <c r="A4305" s="11" t="s">
        <v>42721</v>
      </c>
      <c r="B4305" s="9" t="s">
        <v>42722</v>
      </c>
      <c r="C4305" s="9" t="s">
        <v>42723</v>
      </c>
      <c r="D4305" s="9" t="s">
        <v>42724</v>
      </c>
      <c r="E4305" s="9" t="s">
        <v>17740</v>
      </c>
      <c r="F4305" s="9" t="s">
        <v>17741</v>
      </c>
      <c r="G4305" s="9" t="s">
        <v>17740</v>
      </c>
      <c r="H4305" s="11" t="s">
        <v>17741</v>
      </c>
      <c r="I4305" s="11" t="s">
        <v>42725</v>
      </c>
      <c r="J4305" s="11" t="s">
        <v>42725</v>
      </c>
      <c r="K4305" s="9" t="s">
        <v>42726</v>
      </c>
      <c r="L4305" s="9" t="s">
        <v>17744</v>
      </c>
      <c r="M4305" s="9" t="s">
        <v>17760</v>
      </c>
      <c r="N4305" s="9" t="s">
        <v>17746</v>
      </c>
      <c r="O4305" s="9" t="s">
        <v>28917</v>
      </c>
      <c r="P4305" s="9" t="s">
        <v>17748</v>
      </c>
      <c r="Q4305" s="11" t="s">
        <v>17792</v>
      </c>
      <c r="R4305" s="11" t="s">
        <v>17792</v>
      </c>
      <c r="S4305" s="11" t="s">
        <v>17750</v>
      </c>
    </row>
    <row r="4306" spans="1:19" x14ac:dyDescent="0.2">
      <c r="A4306" s="11" t="s">
        <v>42727</v>
      </c>
      <c r="B4306" s="9" t="s">
        <v>17800</v>
      </c>
      <c r="C4306" s="9" t="s">
        <v>42728</v>
      </c>
      <c r="D4306" s="9" t="s">
        <v>17800</v>
      </c>
      <c r="E4306" s="9" t="s">
        <v>17740</v>
      </c>
      <c r="F4306" s="9" t="s">
        <v>42729</v>
      </c>
      <c r="G4306" s="9" t="s">
        <v>17740</v>
      </c>
      <c r="H4306" s="11" t="s">
        <v>42730</v>
      </c>
      <c r="I4306" s="11" t="s">
        <v>42731</v>
      </c>
      <c r="J4306" s="11" t="s">
        <v>42731</v>
      </c>
      <c r="K4306" s="9" t="s">
        <v>26253</v>
      </c>
      <c r="L4306" s="9" t="s">
        <v>17759</v>
      </c>
      <c r="M4306" s="9" t="s">
        <v>17817</v>
      </c>
      <c r="N4306" s="9" t="s">
        <v>17746</v>
      </c>
      <c r="O4306" s="9" t="s">
        <v>17800</v>
      </c>
      <c r="P4306" s="9" t="s">
        <v>17748</v>
      </c>
      <c r="Q4306" s="11" t="s">
        <v>19899</v>
      </c>
      <c r="R4306" s="11" t="s">
        <v>19899</v>
      </c>
      <c r="S4306" s="11" t="s">
        <v>17750</v>
      </c>
    </row>
    <row r="4307" spans="1:19" x14ac:dyDescent="0.2">
      <c r="A4307" s="11" t="s">
        <v>42732</v>
      </c>
      <c r="B4307" s="9" t="s">
        <v>42733</v>
      </c>
      <c r="C4307" s="9" t="s">
        <v>42734</v>
      </c>
      <c r="D4307" s="9" t="s">
        <v>42735</v>
      </c>
      <c r="E4307" s="9" t="s">
        <v>17740</v>
      </c>
      <c r="F4307" s="9" t="s">
        <v>17741</v>
      </c>
      <c r="G4307" s="9" t="s">
        <v>17740</v>
      </c>
      <c r="H4307" s="11" t="s">
        <v>42736</v>
      </c>
      <c r="I4307" s="11" t="s">
        <v>42737</v>
      </c>
      <c r="J4307" s="11" t="s">
        <v>42737</v>
      </c>
      <c r="K4307" s="9" t="s">
        <v>27397</v>
      </c>
      <c r="L4307" s="9" t="s">
        <v>20082</v>
      </c>
      <c r="M4307" s="9" t="s">
        <v>17760</v>
      </c>
      <c r="N4307" s="9" t="s">
        <v>17746</v>
      </c>
      <c r="O4307" s="9" t="s">
        <v>17800</v>
      </c>
      <c r="P4307" s="9" t="s">
        <v>17748</v>
      </c>
      <c r="Q4307" s="11" t="s">
        <v>18356</v>
      </c>
      <c r="R4307" s="11" t="s">
        <v>18356</v>
      </c>
      <c r="S4307" s="11" t="s">
        <v>17750</v>
      </c>
    </row>
    <row r="4308" spans="1:19" x14ac:dyDescent="0.2">
      <c r="A4308" s="11" t="s">
        <v>42738</v>
      </c>
      <c r="B4308" s="9" t="s">
        <v>42739</v>
      </c>
      <c r="C4308" s="9" t="s">
        <v>42740</v>
      </c>
      <c r="D4308" s="9" t="s">
        <v>42741</v>
      </c>
      <c r="E4308" s="9" t="s">
        <v>17740</v>
      </c>
      <c r="F4308" s="9" t="s">
        <v>17741</v>
      </c>
      <c r="G4308" s="9" t="s">
        <v>17740</v>
      </c>
      <c r="H4308" s="11" t="s">
        <v>42742</v>
      </c>
      <c r="I4308" s="11" t="s">
        <v>42743</v>
      </c>
      <c r="J4308" s="11" t="s">
        <v>42743</v>
      </c>
      <c r="K4308" s="9" t="s">
        <v>17758</v>
      </c>
      <c r="L4308" s="9" t="s">
        <v>17759</v>
      </c>
      <c r="M4308" s="9" t="s">
        <v>17760</v>
      </c>
      <c r="N4308" s="9" t="s">
        <v>17746</v>
      </c>
      <c r="O4308" s="9" t="s">
        <v>17800</v>
      </c>
      <c r="P4308" s="9" t="s">
        <v>17748</v>
      </c>
      <c r="Q4308" s="11" t="s">
        <v>19026</v>
      </c>
      <c r="R4308" s="11" t="s">
        <v>19026</v>
      </c>
      <c r="S4308" s="11" t="s">
        <v>17750</v>
      </c>
    </row>
    <row r="4309" spans="1:19" x14ac:dyDescent="0.2">
      <c r="A4309" s="11" t="s">
        <v>42744</v>
      </c>
      <c r="B4309" s="9" t="s">
        <v>42745</v>
      </c>
      <c r="C4309" s="9" t="s">
        <v>42746</v>
      </c>
      <c r="D4309" s="9" t="s">
        <v>42747</v>
      </c>
      <c r="E4309" s="9" t="s">
        <v>17748</v>
      </c>
      <c r="F4309" s="9" t="s">
        <v>42748</v>
      </c>
      <c r="G4309" s="9" t="s">
        <v>17740</v>
      </c>
      <c r="H4309" s="11" t="s">
        <v>42749</v>
      </c>
      <c r="I4309" s="11" t="s">
        <v>42750</v>
      </c>
      <c r="J4309" s="11" t="s">
        <v>42750</v>
      </c>
      <c r="K4309" s="9" t="s">
        <v>28916</v>
      </c>
      <c r="L4309" s="9" t="s">
        <v>17744</v>
      </c>
      <c r="M4309" s="9" t="s">
        <v>19168</v>
      </c>
      <c r="N4309" s="9" t="s">
        <v>17746</v>
      </c>
      <c r="O4309" s="9" t="s">
        <v>33366</v>
      </c>
      <c r="P4309" s="9" t="s">
        <v>17748</v>
      </c>
      <c r="Q4309" s="11" t="s">
        <v>17909</v>
      </c>
      <c r="R4309" s="11" t="s">
        <v>17909</v>
      </c>
      <c r="S4309" s="11" t="s">
        <v>17750</v>
      </c>
    </row>
    <row r="4310" spans="1:19" x14ac:dyDescent="0.2">
      <c r="A4310" s="11" t="s">
        <v>42751</v>
      </c>
      <c r="B4310" s="9" t="s">
        <v>42752</v>
      </c>
      <c r="C4310" s="9" t="s">
        <v>42753</v>
      </c>
      <c r="D4310" s="9" t="s">
        <v>42754</v>
      </c>
      <c r="E4310" s="9" t="s">
        <v>17740</v>
      </c>
      <c r="F4310" s="9" t="s">
        <v>17741</v>
      </c>
      <c r="G4310" s="9" t="s">
        <v>17740</v>
      </c>
      <c r="H4310" s="11" t="s">
        <v>42755</v>
      </c>
      <c r="I4310" s="11" t="s">
        <v>42756</v>
      </c>
      <c r="J4310" s="11" t="s">
        <v>42756</v>
      </c>
      <c r="K4310" s="9" t="s">
        <v>19564</v>
      </c>
      <c r="L4310" s="9" t="s">
        <v>17759</v>
      </c>
      <c r="M4310" s="9" t="s">
        <v>17760</v>
      </c>
      <c r="N4310" s="9" t="s">
        <v>17746</v>
      </c>
      <c r="O4310" s="9" t="s">
        <v>17800</v>
      </c>
      <c r="P4310" s="9" t="s">
        <v>17748</v>
      </c>
      <c r="Q4310" s="11" t="s">
        <v>20251</v>
      </c>
      <c r="R4310" s="11" t="s">
        <v>20251</v>
      </c>
      <c r="S4310" s="11" t="s">
        <v>17750</v>
      </c>
    </row>
    <row r="4311" spans="1:19" x14ac:dyDescent="0.2">
      <c r="A4311" s="11" t="s">
        <v>42757</v>
      </c>
      <c r="B4311" s="9" t="s">
        <v>42758</v>
      </c>
      <c r="C4311" s="9" t="s">
        <v>42759</v>
      </c>
      <c r="D4311" s="9" t="s">
        <v>42760</v>
      </c>
      <c r="E4311" s="9" t="s">
        <v>17740</v>
      </c>
      <c r="F4311" s="9" t="s">
        <v>17741</v>
      </c>
      <c r="G4311" s="9" t="s">
        <v>17740</v>
      </c>
      <c r="H4311" s="11" t="s">
        <v>17741</v>
      </c>
      <c r="I4311" s="11" t="s">
        <v>42761</v>
      </c>
      <c r="J4311" s="11" t="s">
        <v>42761</v>
      </c>
      <c r="K4311" s="9" t="s">
        <v>42762</v>
      </c>
      <c r="L4311" s="9" t="s">
        <v>17759</v>
      </c>
      <c r="M4311" s="9" t="s">
        <v>17769</v>
      </c>
      <c r="N4311" s="9" t="s">
        <v>17746</v>
      </c>
      <c r="O4311" s="9" t="s">
        <v>17800</v>
      </c>
      <c r="P4311" s="9" t="s">
        <v>17748</v>
      </c>
      <c r="Q4311" s="11" t="s">
        <v>17978</v>
      </c>
      <c r="R4311" s="11" t="s">
        <v>17978</v>
      </c>
      <c r="S4311" s="11" t="s">
        <v>17750</v>
      </c>
    </row>
    <row r="4312" spans="1:19" x14ac:dyDescent="0.2">
      <c r="A4312" s="11" t="s">
        <v>42763</v>
      </c>
      <c r="B4312" s="9" t="s">
        <v>42764</v>
      </c>
      <c r="C4312" s="9" t="s">
        <v>42765</v>
      </c>
      <c r="D4312" s="9" t="s">
        <v>42766</v>
      </c>
      <c r="E4312" s="9" t="s">
        <v>17748</v>
      </c>
      <c r="F4312" s="9" t="s">
        <v>42767</v>
      </c>
      <c r="G4312" s="9" t="s">
        <v>17740</v>
      </c>
      <c r="H4312" s="11" t="s">
        <v>17741</v>
      </c>
      <c r="I4312" s="11" t="s">
        <v>42768</v>
      </c>
      <c r="J4312" s="11" t="s">
        <v>42768</v>
      </c>
      <c r="K4312" s="9" t="s">
        <v>42769</v>
      </c>
      <c r="L4312" s="9" t="s">
        <v>17759</v>
      </c>
      <c r="M4312" s="9" t="s">
        <v>17769</v>
      </c>
      <c r="N4312" s="9" t="s">
        <v>17746</v>
      </c>
      <c r="O4312" s="9" t="s">
        <v>32730</v>
      </c>
      <c r="P4312" s="9" t="s">
        <v>17748</v>
      </c>
      <c r="Q4312" s="11" t="s">
        <v>17994</v>
      </c>
      <c r="R4312" s="11" t="s">
        <v>17994</v>
      </c>
      <c r="S4312" s="11" t="s">
        <v>17750</v>
      </c>
    </row>
    <row r="4313" spans="1:19" x14ac:dyDescent="0.2">
      <c r="A4313" s="11" t="s">
        <v>42770</v>
      </c>
      <c r="B4313" s="9" t="s">
        <v>42771</v>
      </c>
      <c r="C4313" s="9" t="s">
        <v>42772</v>
      </c>
      <c r="D4313" s="9" t="s">
        <v>42773</v>
      </c>
      <c r="E4313" s="9" t="s">
        <v>17740</v>
      </c>
      <c r="F4313" s="9" t="s">
        <v>17741</v>
      </c>
      <c r="G4313" s="9" t="s">
        <v>17740</v>
      </c>
      <c r="H4313" s="11" t="s">
        <v>42774</v>
      </c>
      <c r="I4313" s="11" t="s">
        <v>42775</v>
      </c>
      <c r="J4313" s="11" t="s">
        <v>42775</v>
      </c>
      <c r="K4313" s="9" t="s">
        <v>21721</v>
      </c>
      <c r="L4313" s="9" t="s">
        <v>17744</v>
      </c>
      <c r="M4313" s="9" t="s">
        <v>19965</v>
      </c>
      <c r="N4313" s="9" t="s">
        <v>17746</v>
      </c>
      <c r="O4313" s="9" t="s">
        <v>42776</v>
      </c>
      <c r="P4313" s="9" t="s">
        <v>17748</v>
      </c>
      <c r="Q4313" s="11" t="s">
        <v>17808</v>
      </c>
      <c r="R4313" s="11" t="s">
        <v>17808</v>
      </c>
      <c r="S4313" s="11" t="s">
        <v>17750</v>
      </c>
    </row>
    <row r="4314" spans="1:19" x14ac:dyDescent="0.2">
      <c r="A4314" s="11" t="s">
        <v>42777</v>
      </c>
      <c r="B4314" s="9" t="s">
        <v>42778</v>
      </c>
      <c r="C4314" s="9" t="s">
        <v>42779</v>
      </c>
      <c r="D4314" s="9" t="s">
        <v>42780</v>
      </c>
      <c r="E4314" s="9" t="s">
        <v>17748</v>
      </c>
      <c r="F4314" s="9" t="s">
        <v>42781</v>
      </c>
      <c r="G4314" s="9" t="s">
        <v>17740</v>
      </c>
      <c r="H4314" s="11" t="s">
        <v>42782</v>
      </c>
      <c r="I4314" s="11" t="s">
        <v>42783</v>
      </c>
      <c r="J4314" s="11" t="s">
        <v>42783</v>
      </c>
      <c r="K4314" s="9" t="s">
        <v>20225</v>
      </c>
      <c r="L4314" s="9" t="s">
        <v>17759</v>
      </c>
      <c r="M4314" s="9" t="s">
        <v>17769</v>
      </c>
      <c r="N4314" s="9" t="s">
        <v>17746</v>
      </c>
      <c r="O4314" s="9" t="s">
        <v>42784</v>
      </c>
      <c r="P4314" s="9" t="s">
        <v>17748</v>
      </c>
      <c r="Q4314" s="11" t="s">
        <v>17917</v>
      </c>
      <c r="R4314" s="11" t="s">
        <v>17917</v>
      </c>
      <c r="S4314" s="11" t="s">
        <v>17750</v>
      </c>
    </row>
    <row r="4315" spans="1:19" x14ac:dyDescent="0.2">
      <c r="A4315" s="11" t="s">
        <v>42785</v>
      </c>
      <c r="B4315" s="9" t="s">
        <v>42786</v>
      </c>
      <c r="C4315" s="9" t="s">
        <v>42787</v>
      </c>
      <c r="D4315" s="9" t="s">
        <v>42788</v>
      </c>
      <c r="E4315" s="9" t="s">
        <v>17740</v>
      </c>
      <c r="F4315" s="9" t="s">
        <v>17741</v>
      </c>
      <c r="G4315" s="9" t="s">
        <v>17740</v>
      </c>
      <c r="H4315" s="11" t="s">
        <v>42789</v>
      </c>
      <c r="I4315" s="11" t="s">
        <v>42790</v>
      </c>
      <c r="J4315" s="11" t="s">
        <v>42790</v>
      </c>
      <c r="K4315" s="9" t="s">
        <v>17805</v>
      </c>
      <c r="L4315" s="9" t="s">
        <v>17759</v>
      </c>
      <c r="M4315" s="9" t="s">
        <v>17760</v>
      </c>
      <c r="N4315" s="9" t="s">
        <v>17746</v>
      </c>
      <c r="O4315" s="9" t="s">
        <v>17800</v>
      </c>
      <c r="P4315" s="9" t="s">
        <v>17748</v>
      </c>
      <c r="Q4315" s="11" t="s">
        <v>18306</v>
      </c>
      <c r="R4315" s="11" t="s">
        <v>18306</v>
      </c>
      <c r="S4315" s="11" t="s">
        <v>17750</v>
      </c>
    </row>
    <row r="4316" spans="1:19" x14ac:dyDescent="0.2">
      <c r="A4316" s="11" t="s">
        <v>42791</v>
      </c>
      <c r="B4316" s="9" t="s">
        <v>42792</v>
      </c>
      <c r="C4316" s="9" t="s">
        <v>42793</v>
      </c>
      <c r="D4316" s="9" t="s">
        <v>42794</v>
      </c>
      <c r="E4316" s="9" t="s">
        <v>17740</v>
      </c>
      <c r="F4316" s="9" t="s">
        <v>17741</v>
      </c>
      <c r="G4316" s="9" t="s">
        <v>17740</v>
      </c>
      <c r="H4316" s="11" t="s">
        <v>17741</v>
      </c>
      <c r="I4316" s="11" t="s">
        <v>42795</v>
      </c>
      <c r="J4316" s="11" t="s">
        <v>42795</v>
      </c>
      <c r="K4316" s="9" t="s">
        <v>42796</v>
      </c>
      <c r="L4316" s="9" t="s">
        <v>17759</v>
      </c>
      <c r="M4316" s="9" t="s">
        <v>18745</v>
      </c>
      <c r="N4316" s="9" t="s">
        <v>17746</v>
      </c>
      <c r="O4316" s="9" t="s">
        <v>17800</v>
      </c>
      <c r="P4316" s="9" t="s">
        <v>17748</v>
      </c>
      <c r="Q4316" s="11" t="s">
        <v>17792</v>
      </c>
      <c r="R4316" s="11" t="s">
        <v>17792</v>
      </c>
      <c r="S4316" s="11" t="s">
        <v>17750</v>
      </c>
    </row>
    <row r="4317" spans="1:19" x14ac:dyDescent="0.2">
      <c r="A4317" s="11" t="s">
        <v>42797</v>
      </c>
      <c r="B4317" s="9" t="s">
        <v>42798</v>
      </c>
      <c r="C4317" s="9" t="s">
        <v>42799</v>
      </c>
      <c r="D4317" s="9" t="s">
        <v>42800</v>
      </c>
      <c r="E4317" s="9" t="s">
        <v>17740</v>
      </c>
      <c r="F4317" s="9" t="s">
        <v>17741</v>
      </c>
      <c r="G4317" s="9" t="s">
        <v>17740</v>
      </c>
      <c r="H4317" s="11" t="s">
        <v>42801</v>
      </c>
      <c r="I4317" s="11" t="s">
        <v>42802</v>
      </c>
      <c r="J4317" s="11" t="s">
        <v>42802</v>
      </c>
      <c r="K4317" s="9" t="s">
        <v>42803</v>
      </c>
      <c r="L4317" s="9" t="s">
        <v>17744</v>
      </c>
      <c r="M4317" s="9" t="s">
        <v>17769</v>
      </c>
      <c r="N4317" s="9" t="s">
        <v>17746</v>
      </c>
      <c r="O4317" s="9" t="s">
        <v>17761</v>
      </c>
      <c r="P4317" s="9" t="s">
        <v>17748</v>
      </c>
      <c r="Q4317" s="11" t="s">
        <v>18201</v>
      </c>
      <c r="R4317" s="11" t="s">
        <v>18201</v>
      </c>
      <c r="S4317" s="11" t="s">
        <v>17750</v>
      </c>
    </row>
    <row r="4318" spans="1:19" x14ac:dyDescent="0.2">
      <c r="A4318" s="11" t="s">
        <v>42804</v>
      </c>
      <c r="B4318" s="9" t="s">
        <v>42805</v>
      </c>
      <c r="C4318" s="9" t="s">
        <v>42806</v>
      </c>
      <c r="D4318" s="9" t="s">
        <v>42807</v>
      </c>
      <c r="E4318" s="9" t="s">
        <v>17740</v>
      </c>
      <c r="F4318" s="9" t="s">
        <v>17741</v>
      </c>
      <c r="G4318" s="9" t="s">
        <v>17740</v>
      </c>
      <c r="H4318" s="11" t="s">
        <v>42808</v>
      </c>
      <c r="I4318" s="11" t="s">
        <v>42809</v>
      </c>
      <c r="J4318" s="11" t="s">
        <v>42809</v>
      </c>
      <c r="K4318" s="9" t="s">
        <v>22893</v>
      </c>
      <c r="L4318" s="9" t="s">
        <v>20082</v>
      </c>
      <c r="M4318" s="9" t="s">
        <v>17760</v>
      </c>
      <c r="N4318" s="9" t="s">
        <v>17746</v>
      </c>
      <c r="O4318" s="9" t="s">
        <v>17800</v>
      </c>
      <c r="P4318" s="9" t="s">
        <v>17748</v>
      </c>
      <c r="Q4318" s="11" t="s">
        <v>17808</v>
      </c>
      <c r="R4318" s="11" t="s">
        <v>17808</v>
      </c>
      <c r="S4318" s="11" t="s">
        <v>17750</v>
      </c>
    </row>
    <row r="4319" spans="1:19" x14ac:dyDescent="0.2">
      <c r="A4319" s="11" t="s">
        <v>42810</v>
      </c>
      <c r="B4319" s="9" t="s">
        <v>42811</v>
      </c>
      <c r="C4319" s="9" t="s">
        <v>42812</v>
      </c>
      <c r="D4319" s="9" t="s">
        <v>42813</v>
      </c>
      <c r="E4319" s="9" t="s">
        <v>17740</v>
      </c>
      <c r="F4319" s="9" t="s">
        <v>17741</v>
      </c>
      <c r="G4319" s="9" t="s">
        <v>17740</v>
      </c>
      <c r="H4319" s="11" t="s">
        <v>17741</v>
      </c>
      <c r="I4319" s="11" t="s">
        <v>42814</v>
      </c>
      <c r="J4319" s="11" t="s">
        <v>42814</v>
      </c>
      <c r="K4319" s="9" t="s">
        <v>42815</v>
      </c>
      <c r="L4319" s="9" t="s">
        <v>20446</v>
      </c>
      <c r="M4319" s="9" t="s">
        <v>42816</v>
      </c>
      <c r="N4319" s="9" t="s">
        <v>17746</v>
      </c>
      <c r="O4319" s="9" t="s">
        <v>17800</v>
      </c>
      <c r="P4319" s="9" t="s">
        <v>17748</v>
      </c>
      <c r="Q4319" s="11" t="s">
        <v>42817</v>
      </c>
      <c r="R4319" s="11" t="s">
        <v>42817</v>
      </c>
      <c r="S4319" s="11" t="s">
        <v>17750</v>
      </c>
    </row>
    <row r="4320" spans="1:19" x14ac:dyDescent="0.2">
      <c r="A4320" s="11" t="s">
        <v>42818</v>
      </c>
      <c r="B4320" s="9" t="s">
        <v>42819</v>
      </c>
      <c r="C4320" s="9" t="s">
        <v>42820</v>
      </c>
      <c r="D4320" s="9" t="s">
        <v>42821</v>
      </c>
      <c r="E4320" s="9" t="s">
        <v>17748</v>
      </c>
      <c r="F4320" s="9" t="s">
        <v>42822</v>
      </c>
      <c r="G4320" s="9" t="s">
        <v>17740</v>
      </c>
      <c r="H4320" s="11" t="s">
        <v>17741</v>
      </c>
      <c r="I4320" s="11" t="s">
        <v>42823</v>
      </c>
      <c r="J4320" s="11" t="s">
        <v>42823</v>
      </c>
      <c r="K4320" s="9" t="s">
        <v>42824</v>
      </c>
      <c r="L4320" s="9" t="s">
        <v>17759</v>
      </c>
      <c r="M4320" s="9" t="s">
        <v>17817</v>
      </c>
      <c r="N4320" s="9" t="s">
        <v>17746</v>
      </c>
      <c r="O4320" s="9" t="s">
        <v>35642</v>
      </c>
      <c r="P4320" s="9" t="s">
        <v>17748</v>
      </c>
      <c r="Q4320" s="11" t="s">
        <v>17784</v>
      </c>
      <c r="R4320" s="11" t="s">
        <v>17784</v>
      </c>
      <c r="S4320" s="11" t="s">
        <v>17750</v>
      </c>
    </row>
    <row r="4321" spans="1:19" x14ac:dyDescent="0.2">
      <c r="A4321" s="11" t="s">
        <v>42825</v>
      </c>
      <c r="B4321" s="9" t="s">
        <v>42826</v>
      </c>
      <c r="C4321" s="9" t="s">
        <v>42827</v>
      </c>
      <c r="D4321" s="9" t="s">
        <v>42828</v>
      </c>
      <c r="E4321" s="9" t="s">
        <v>17748</v>
      </c>
      <c r="F4321" s="9" t="s">
        <v>42829</v>
      </c>
      <c r="G4321" s="9" t="s">
        <v>17740</v>
      </c>
      <c r="H4321" s="11" t="s">
        <v>17741</v>
      </c>
      <c r="I4321" s="11" t="s">
        <v>42830</v>
      </c>
      <c r="J4321" s="11" t="s">
        <v>42830</v>
      </c>
      <c r="K4321" s="9" t="s">
        <v>42831</v>
      </c>
      <c r="L4321" s="9" t="s">
        <v>18959</v>
      </c>
      <c r="M4321" s="9" t="s">
        <v>17760</v>
      </c>
      <c r="N4321" s="9" t="s">
        <v>17746</v>
      </c>
      <c r="O4321" s="9" t="s">
        <v>17800</v>
      </c>
      <c r="P4321" s="9" t="s">
        <v>17748</v>
      </c>
      <c r="Q4321" s="11" t="s">
        <v>17858</v>
      </c>
      <c r="R4321" s="11" t="s">
        <v>17858</v>
      </c>
      <c r="S4321" s="11" t="s">
        <v>17750</v>
      </c>
    </row>
    <row r="4322" spans="1:19" x14ac:dyDescent="0.2">
      <c r="A4322" s="11" t="s">
        <v>42832</v>
      </c>
      <c r="B4322" s="9" t="s">
        <v>42833</v>
      </c>
      <c r="C4322" s="9" t="s">
        <v>42834</v>
      </c>
      <c r="D4322" s="9" t="s">
        <v>42835</v>
      </c>
      <c r="E4322" s="9" t="s">
        <v>17740</v>
      </c>
      <c r="F4322" s="9" t="s">
        <v>42836</v>
      </c>
      <c r="G4322" s="9" t="s">
        <v>17740</v>
      </c>
      <c r="H4322" s="11" t="s">
        <v>42837</v>
      </c>
      <c r="I4322" s="11" t="s">
        <v>42838</v>
      </c>
      <c r="J4322" s="11" t="s">
        <v>42838</v>
      </c>
      <c r="K4322" s="9" t="s">
        <v>42839</v>
      </c>
      <c r="L4322" s="9" t="s">
        <v>17759</v>
      </c>
      <c r="M4322" s="9" t="s">
        <v>17817</v>
      </c>
      <c r="N4322" s="9" t="s">
        <v>17746</v>
      </c>
      <c r="O4322" s="9" t="s">
        <v>17800</v>
      </c>
      <c r="P4322" s="9" t="s">
        <v>17748</v>
      </c>
      <c r="Q4322" s="11" t="s">
        <v>18433</v>
      </c>
      <c r="R4322" s="11" t="s">
        <v>18433</v>
      </c>
      <c r="S4322" s="11" t="s">
        <v>17750</v>
      </c>
    </row>
    <row r="4323" spans="1:19" x14ac:dyDescent="0.2">
      <c r="A4323" s="11" t="s">
        <v>42840</v>
      </c>
      <c r="B4323" s="9" t="s">
        <v>42841</v>
      </c>
      <c r="C4323" s="9" t="s">
        <v>42842</v>
      </c>
      <c r="D4323" s="9" t="s">
        <v>42843</v>
      </c>
      <c r="E4323" s="9" t="s">
        <v>17748</v>
      </c>
      <c r="F4323" s="9" t="s">
        <v>42844</v>
      </c>
      <c r="G4323" s="9" t="s">
        <v>17740</v>
      </c>
      <c r="H4323" s="11" t="s">
        <v>17741</v>
      </c>
      <c r="I4323" s="11" t="s">
        <v>42845</v>
      </c>
      <c r="J4323" s="11" t="s">
        <v>42845</v>
      </c>
      <c r="K4323" s="9" t="s">
        <v>42846</v>
      </c>
      <c r="L4323" s="9" t="s">
        <v>17744</v>
      </c>
      <c r="M4323" s="9" t="s">
        <v>19168</v>
      </c>
      <c r="N4323" s="9" t="s">
        <v>17746</v>
      </c>
      <c r="O4323" s="9" t="s">
        <v>17800</v>
      </c>
      <c r="P4323" s="9" t="s">
        <v>17748</v>
      </c>
      <c r="Q4323" s="11" t="s">
        <v>17808</v>
      </c>
      <c r="R4323" s="11" t="s">
        <v>17808</v>
      </c>
      <c r="S4323" s="11" t="s">
        <v>17750</v>
      </c>
    </row>
    <row r="4324" spans="1:19" x14ac:dyDescent="0.2">
      <c r="A4324" s="11" t="s">
        <v>42847</v>
      </c>
      <c r="B4324" s="9" t="s">
        <v>42848</v>
      </c>
      <c r="C4324" s="9" t="s">
        <v>42849</v>
      </c>
      <c r="D4324" s="9" t="s">
        <v>42850</v>
      </c>
      <c r="E4324" s="9" t="s">
        <v>17748</v>
      </c>
      <c r="F4324" s="9" t="s">
        <v>42851</v>
      </c>
      <c r="G4324" s="9" t="s">
        <v>17740</v>
      </c>
      <c r="H4324" s="11" t="s">
        <v>17741</v>
      </c>
      <c r="I4324" s="11" t="s">
        <v>42852</v>
      </c>
      <c r="J4324" s="11" t="s">
        <v>42852</v>
      </c>
      <c r="K4324" s="9" t="s">
        <v>42853</v>
      </c>
      <c r="L4324" s="9" t="s">
        <v>19483</v>
      </c>
      <c r="M4324" s="9" t="s">
        <v>17817</v>
      </c>
      <c r="N4324" s="9" t="s">
        <v>17746</v>
      </c>
      <c r="O4324" s="9" t="s">
        <v>32730</v>
      </c>
      <c r="P4324" s="9" t="s">
        <v>17748</v>
      </c>
      <c r="Q4324" s="11" t="s">
        <v>19361</v>
      </c>
      <c r="R4324" s="11" t="s">
        <v>19361</v>
      </c>
      <c r="S4324" s="11" t="s">
        <v>17750</v>
      </c>
    </row>
    <row r="4325" spans="1:19" x14ac:dyDescent="0.2">
      <c r="A4325" s="11" t="s">
        <v>42854</v>
      </c>
      <c r="B4325" s="9" t="s">
        <v>42855</v>
      </c>
      <c r="C4325" s="9" t="s">
        <v>42856</v>
      </c>
      <c r="D4325" s="9" t="s">
        <v>42857</v>
      </c>
      <c r="E4325" s="9" t="s">
        <v>17748</v>
      </c>
      <c r="F4325" s="9" t="s">
        <v>42858</v>
      </c>
      <c r="G4325" s="9" t="s">
        <v>17740</v>
      </c>
      <c r="H4325" s="11" t="s">
        <v>42859</v>
      </c>
      <c r="I4325" s="11" t="s">
        <v>42860</v>
      </c>
      <c r="J4325" s="11" t="s">
        <v>42860</v>
      </c>
      <c r="K4325" s="9" t="s">
        <v>42861</v>
      </c>
      <c r="L4325" s="9" t="s">
        <v>17744</v>
      </c>
      <c r="M4325" s="9" t="s">
        <v>17817</v>
      </c>
      <c r="N4325" s="9" t="s">
        <v>17746</v>
      </c>
      <c r="O4325" s="9" t="s">
        <v>30100</v>
      </c>
      <c r="P4325" s="9" t="s">
        <v>17748</v>
      </c>
      <c r="Q4325" s="11" t="s">
        <v>17784</v>
      </c>
      <c r="R4325" s="11" t="s">
        <v>17784</v>
      </c>
      <c r="S4325" s="11" t="s">
        <v>17750</v>
      </c>
    </row>
    <row r="4326" spans="1:19" x14ac:dyDescent="0.2">
      <c r="A4326" s="11" t="s">
        <v>42862</v>
      </c>
      <c r="B4326" s="9" t="s">
        <v>42863</v>
      </c>
      <c r="C4326" s="9" t="s">
        <v>42864</v>
      </c>
      <c r="D4326" s="9" t="s">
        <v>42865</v>
      </c>
      <c r="E4326" s="9" t="s">
        <v>17740</v>
      </c>
      <c r="F4326" s="9" t="s">
        <v>42866</v>
      </c>
      <c r="G4326" s="9" t="s">
        <v>17740</v>
      </c>
      <c r="H4326" s="11" t="s">
        <v>42867</v>
      </c>
      <c r="I4326" s="11" t="s">
        <v>42868</v>
      </c>
      <c r="J4326" s="11" t="s">
        <v>42868</v>
      </c>
      <c r="K4326" s="9" t="s">
        <v>18951</v>
      </c>
      <c r="L4326" s="9" t="s">
        <v>17759</v>
      </c>
      <c r="M4326" s="9" t="s">
        <v>42869</v>
      </c>
      <c r="N4326" s="9" t="s">
        <v>17746</v>
      </c>
      <c r="O4326" s="9" t="s">
        <v>17800</v>
      </c>
      <c r="P4326" s="9" t="s">
        <v>17748</v>
      </c>
      <c r="Q4326" s="11" t="s">
        <v>18470</v>
      </c>
      <c r="R4326" s="11" t="s">
        <v>18470</v>
      </c>
      <c r="S4326" s="11" t="s">
        <v>17750</v>
      </c>
    </row>
    <row r="4327" spans="1:19" x14ac:dyDescent="0.2">
      <c r="A4327" s="11" t="s">
        <v>42870</v>
      </c>
      <c r="B4327" s="9" t="s">
        <v>42871</v>
      </c>
      <c r="C4327" s="9" t="s">
        <v>42872</v>
      </c>
      <c r="D4327" s="9" t="s">
        <v>42873</v>
      </c>
      <c r="E4327" s="9" t="s">
        <v>17740</v>
      </c>
      <c r="F4327" s="9" t="s">
        <v>17741</v>
      </c>
      <c r="G4327" s="9" t="s">
        <v>17740</v>
      </c>
      <c r="H4327" s="11" t="s">
        <v>42874</v>
      </c>
      <c r="I4327" s="11" t="s">
        <v>42875</v>
      </c>
      <c r="J4327" s="11" t="s">
        <v>42875</v>
      </c>
      <c r="K4327" s="9" t="s">
        <v>22893</v>
      </c>
      <c r="L4327" s="9" t="s">
        <v>17744</v>
      </c>
      <c r="M4327" s="9" t="s">
        <v>19040</v>
      </c>
      <c r="N4327" s="9" t="s">
        <v>17746</v>
      </c>
      <c r="O4327" s="9" t="s">
        <v>42776</v>
      </c>
      <c r="P4327" s="9" t="s">
        <v>17748</v>
      </c>
      <c r="Q4327" s="11" t="s">
        <v>17784</v>
      </c>
      <c r="R4327" s="11" t="s">
        <v>17784</v>
      </c>
      <c r="S4327" s="11" t="s">
        <v>17750</v>
      </c>
    </row>
    <row r="4328" spans="1:19" x14ac:dyDescent="0.2">
      <c r="A4328" s="11" t="s">
        <v>42876</v>
      </c>
      <c r="B4328" s="9" t="s">
        <v>42877</v>
      </c>
      <c r="C4328" s="9" t="s">
        <v>42878</v>
      </c>
      <c r="D4328" s="9" t="s">
        <v>42879</v>
      </c>
      <c r="E4328" s="9" t="s">
        <v>17740</v>
      </c>
      <c r="F4328" s="9" t="s">
        <v>17741</v>
      </c>
      <c r="G4328" s="9" t="s">
        <v>17740</v>
      </c>
      <c r="H4328" s="11" t="s">
        <v>17741</v>
      </c>
      <c r="I4328" s="11" t="s">
        <v>42880</v>
      </c>
      <c r="J4328" s="11" t="s">
        <v>42880</v>
      </c>
      <c r="K4328" s="9" t="s">
        <v>42881</v>
      </c>
      <c r="L4328" s="9" t="s">
        <v>19483</v>
      </c>
      <c r="M4328" s="9" t="s">
        <v>17992</v>
      </c>
      <c r="N4328" s="9" t="s">
        <v>17746</v>
      </c>
      <c r="O4328" s="9" t="s">
        <v>17800</v>
      </c>
      <c r="P4328" s="9" t="s">
        <v>17748</v>
      </c>
      <c r="Q4328" s="11" t="s">
        <v>18960</v>
      </c>
      <c r="R4328" s="11" t="s">
        <v>18960</v>
      </c>
      <c r="S4328" s="11" t="s">
        <v>17750</v>
      </c>
    </row>
    <row r="4329" spans="1:19" x14ac:dyDescent="0.2">
      <c r="A4329" s="11" t="s">
        <v>42882</v>
      </c>
      <c r="B4329" s="9" t="s">
        <v>42883</v>
      </c>
      <c r="C4329" s="9" t="s">
        <v>42884</v>
      </c>
      <c r="D4329" s="9" t="s">
        <v>42885</v>
      </c>
      <c r="E4329" s="9" t="s">
        <v>17740</v>
      </c>
      <c r="F4329" s="9" t="s">
        <v>17741</v>
      </c>
      <c r="G4329" s="9" t="s">
        <v>17740</v>
      </c>
      <c r="H4329" s="11" t="s">
        <v>42886</v>
      </c>
      <c r="I4329" s="11" t="s">
        <v>42887</v>
      </c>
      <c r="J4329" s="11" t="s">
        <v>42887</v>
      </c>
      <c r="K4329" s="9" t="s">
        <v>42888</v>
      </c>
      <c r="L4329" s="9" t="s">
        <v>17759</v>
      </c>
      <c r="M4329" s="9" t="s">
        <v>42889</v>
      </c>
      <c r="N4329" s="9" t="s">
        <v>17746</v>
      </c>
      <c r="O4329" s="9" t="s">
        <v>17800</v>
      </c>
      <c r="P4329" s="9" t="s">
        <v>17748</v>
      </c>
      <c r="Q4329" s="11" t="s">
        <v>19978</v>
      </c>
      <c r="R4329" s="11" t="s">
        <v>19978</v>
      </c>
      <c r="S4329" s="11" t="s">
        <v>17750</v>
      </c>
    </row>
    <row r="4330" spans="1:19" x14ac:dyDescent="0.2">
      <c r="A4330" s="11" t="s">
        <v>42890</v>
      </c>
      <c r="B4330" s="9" t="s">
        <v>42891</v>
      </c>
      <c r="C4330" s="9" t="s">
        <v>42892</v>
      </c>
      <c r="D4330" s="9" t="s">
        <v>42893</v>
      </c>
      <c r="E4330" s="9" t="s">
        <v>17740</v>
      </c>
      <c r="F4330" s="9" t="s">
        <v>17741</v>
      </c>
      <c r="G4330" s="9" t="s">
        <v>17740</v>
      </c>
      <c r="H4330" s="11" t="s">
        <v>42894</v>
      </c>
      <c r="I4330" s="11" t="s">
        <v>42895</v>
      </c>
      <c r="J4330" s="11" t="s">
        <v>42895</v>
      </c>
      <c r="K4330" s="9" t="s">
        <v>19447</v>
      </c>
      <c r="L4330" s="9" t="s">
        <v>17759</v>
      </c>
      <c r="M4330" s="9" t="s">
        <v>17760</v>
      </c>
      <c r="N4330" s="9" t="s">
        <v>17746</v>
      </c>
      <c r="O4330" s="9" t="s">
        <v>17800</v>
      </c>
      <c r="P4330" s="9" t="s">
        <v>17748</v>
      </c>
      <c r="Q4330" s="11" t="s">
        <v>18678</v>
      </c>
      <c r="R4330" s="11" t="s">
        <v>18678</v>
      </c>
      <c r="S4330" s="11" t="s">
        <v>17750</v>
      </c>
    </row>
    <row r="4331" spans="1:19" x14ac:dyDescent="0.2">
      <c r="A4331" s="11" t="s">
        <v>42896</v>
      </c>
      <c r="B4331" s="9" t="s">
        <v>42897</v>
      </c>
      <c r="C4331" s="9" t="s">
        <v>42898</v>
      </c>
      <c r="D4331" s="9" t="s">
        <v>42899</v>
      </c>
      <c r="E4331" s="9" t="s">
        <v>17740</v>
      </c>
      <c r="F4331" s="9" t="s">
        <v>42900</v>
      </c>
      <c r="G4331" s="9" t="s">
        <v>17740</v>
      </c>
      <c r="H4331" s="11" t="s">
        <v>17741</v>
      </c>
      <c r="I4331" s="11" t="s">
        <v>42901</v>
      </c>
      <c r="J4331" s="11" t="s">
        <v>42901</v>
      </c>
      <c r="K4331" s="9" t="s">
        <v>42902</v>
      </c>
      <c r="L4331" s="9" t="s">
        <v>17744</v>
      </c>
      <c r="M4331" s="9" t="s">
        <v>23186</v>
      </c>
      <c r="N4331" s="9" t="s">
        <v>17746</v>
      </c>
      <c r="O4331" s="9" t="s">
        <v>17800</v>
      </c>
      <c r="P4331" s="9" t="s">
        <v>17748</v>
      </c>
      <c r="Q4331" s="11" t="s">
        <v>18364</v>
      </c>
      <c r="R4331" s="11" t="s">
        <v>18364</v>
      </c>
      <c r="S4331" s="11" t="s">
        <v>17750</v>
      </c>
    </row>
    <row r="4332" spans="1:19" x14ac:dyDescent="0.2">
      <c r="A4332" s="11" t="s">
        <v>42903</v>
      </c>
      <c r="B4332" s="9" t="s">
        <v>42904</v>
      </c>
      <c r="C4332" s="9" t="s">
        <v>42905</v>
      </c>
      <c r="D4332" s="9" t="s">
        <v>42906</v>
      </c>
      <c r="E4332" s="9" t="s">
        <v>17740</v>
      </c>
      <c r="F4332" s="9" t="s">
        <v>42907</v>
      </c>
      <c r="G4332" s="9" t="s">
        <v>17740</v>
      </c>
      <c r="H4332" s="11" t="s">
        <v>17741</v>
      </c>
      <c r="I4332" s="11" t="s">
        <v>42908</v>
      </c>
      <c r="J4332" s="11" t="s">
        <v>42908</v>
      </c>
      <c r="K4332" s="9" t="s">
        <v>42909</v>
      </c>
      <c r="L4332" s="9" t="s">
        <v>17744</v>
      </c>
      <c r="M4332" s="9" t="s">
        <v>23186</v>
      </c>
      <c r="N4332" s="9" t="s">
        <v>17746</v>
      </c>
      <c r="O4332" s="9" t="s">
        <v>17800</v>
      </c>
      <c r="P4332" s="9" t="s">
        <v>17748</v>
      </c>
      <c r="Q4332" s="11" t="s">
        <v>19945</v>
      </c>
      <c r="R4332" s="11" t="s">
        <v>19945</v>
      </c>
      <c r="S4332" s="11" t="s">
        <v>17750</v>
      </c>
    </row>
    <row r="4333" spans="1:19" x14ac:dyDescent="0.2">
      <c r="A4333" s="11" t="s">
        <v>42910</v>
      </c>
      <c r="B4333" s="9" t="s">
        <v>42911</v>
      </c>
      <c r="C4333" s="9" t="s">
        <v>42912</v>
      </c>
      <c r="D4333" s="9" t="s">
        <v>42913</v>
      </c>
      <c r="E4333" s="9" t="s">
        <v>17740</v>
      </c>
      <c r="F4333" s="9" t="s">
        <v>17741</v>
      </c>
      <c r="G4333" s="9" t="s">
        <v>17740</v>
      </c>
      <c r="H4333" s="11" t="s">
        <v>42914</v>
      </c>
      <c r="I4333" s="11" t="s">
        <v>42915</v>
      </c>
      <c r="J4333" s="11" t="s">
        <v>42915</v>
      </c>
      <c r="K4333" s="9" t="s">
        <v>42916</v>
      </c>
      <c r="L4333" s="9" t="s">
        <v>18439</v>
      </c>
      <c r="M4333" s="9" t="s">
        <v>18065</v>
      </c>
      <c r="N4333" s="9" t="s">
        <v>18171</v>
      </c>
      <c r="O4333" s="9" t="s">
        <v>18543</v>
      </c>
      <c r="P4333" s="9" t="s">
        <v>17748</v>
      </c>
      <c r="Q4333" s="11" t="s">
        <v>18059</v>
      </c>
      <c r="R4333" s="11" t="s">
        <v>18059</v>
      </c>
      <c r="S4333" s="11" t="s">
        <v>17750</v>
      </c>
    </row>
    <row r="4334" spans="1:19" x14ac:dyDescent="0.2">
      <c r="A4334" s="11" t="s">
        <v>42917</v>
      </c>
      <c r="B4334" s="9" t="s">
        <v>15195</v>
      </c>
      <c r="C4334" s="9" t="s">
        <v>42918</v>
      </c>
      <c r="D4334" s="9" t="s">
        <v>15195</v>
      </c>
      <c r="E4334" s="9" t="s">
        <v>17740</v>
      </c>
      <c r="F4334" s="9" t="s">
        <v>17741</v>
      </c>
      <c r="G4334" s="9" t="s">
        <v>17740</v>
      </c>
      <c r="H4334" s="11" t="s">
        <v>15196</v>
      </c>
      <c r="I4334" s="11" t="s">
        <v>17741</v>
      </c>
      <c r="J4334" s="11" t="s">
        <v>15196</v>
      </c>
      <c r="K4334" s="9" t="s">
        <v>42919</v>
      </c>
      <c r="L4334" s="9" t="s">
        <v>18123</v>
      </c>
      <c r="M4334" s="9" t="s">
        <v>17817</v>
      </c>
      <c r="N4334" s="9" t="s">
        <v>17746</v>
      </c>
      <c r="O4334" s="9" t="s">
        <v>18543</v>
      </c>
      <c r="P4334" s="9" t="s">
        <v>17748</v>
      </c>
      <c r="Q4334" s="11" t="s">
        <v>17825</v>
      </c>
      <c r="R4334" s="11" t="s">
        <v>17825</v>
      </c>
      <c r="S4334" s="11" t="s">
        <v>17750</v>
      </c>
    </row>
    <row r="4335" spans="1:19" x14ac:dyDescent="0.2">
      <c r="A4335" s="11" t="s">
        <v>42920</v>
      </c>
      <c r="B4335" s="9" t="s">
        <v>42921</v>
      </c>
      <c r="C4335" s="9" t="s">
        <v>42922</v>
      </c>
      <c r="D4335" s="9" t="s">
        <v>4457</v>
      </c>
      <c r="E4335" s="9" t="s">
        <v>17740</v>
      </c>
      <c r="F4335" s="9" t="s">
        <v>42923</v>
      </c>
      <c r="G4335" s="9" t="s">
        <v>17740</v>
      </c>
      <c r="H4335" s="11" t="s">
        <v>4459</v>
      </c>
      <c r="I4335" s="11" t="s">
        <v>4458</v>
      </c>
      <c r="J4335" s="11" t="s">
        <v>4458</v>
      </c>
      <c r="K4335" s="9" t="s">
        <v>18661</v>
      </c>
      <c r="L4335" s="9" t="s">
        <v>17759</v>
      </c>
      <c r="M4335" s="9" t="s">
        <v>17817</v>
      </c>
      <c r="N4335" s="9" t="s">
        <v>17746</v>
      </c>
      <c r="O4335" s="9" t="s">
        <v>18543</v>
      </c>
      <c r="P4335" s="9" t="s">
        <v>17748</v>
      </c>
      <c r="Q4335" s="11" t="s">
        <v>18364</v>
      </c>
      <c r="R4335" s="11" t="s">
        <v>18364</v>
      </c>
      <c r="S4335" s="11" t="s">
        <v>17750</v>
      </c>
    </row>
    <row r="4336" spans="1:19" x14ac:dyDescent="0.2">
      <c r="A4336" s="11" t="s">
        <v>42924</v>
      </c>
      <c r="B4336" s="9" t="s">
        <v>42925</v>
      </c>
      <c r="C4336" s="9" t="s">
        <v>42926</v>
      </c>
      <c r="D4336" s="9" t="s">
        <v>42927</v>
      </c>
      <c r="E4336" s="9" t="s">
        <v>17740</v>
      </c>
      <c r="F4336" s="9" t="s">
        <v>17741</v>
      </c>
      <c r="G4336" s="9" t="s">
        <v>17740</v>
      </c>
      <c r="H4336" s="11" t="s">
        <v>3199</v>
      </c>
      <c r="I4336" s="11" t="s">
        <v>3198</v>
      </c>
      <c r="J4336" s="11" t="s">
        <v>3198</v>
      </c>
      <c r="K4336" s="9" t="s">
        <v>689</v>
      </c>
      <c r="L4336" s="9" t="s">
        <v>17759</v>
      </c>
      <c r="M4336" s="9" t="s">
        <v>19108</v>
      </c>
      <c r="N4336" s="9" t="s">
        <v>17746</v>
      </c>
      <c r="O4336" s="9" t="s">
        <v>42928</v>
      </c>
      <c r="P4336" s="9" t="s">
        <v>17748</v>
      </c>
      <c r="Q4336" s="11" t="s">
        <v>19335</v>
      </c>
      <c r="R4336" s="11" t="s">
        <v>19335</v>
      </c>
      <c r="S4336" s="11" t="s">
        <v>17750</v>
      </c>
    </row>
    <row r="4337" spans="1:19" x14ac:dyDescent="0.2">
      <c r="A4337" s="11" t="s">
        <v>42929</v>
      </c>
      <c r="B4337" s="9" t="s">
        <v>42930</v>
      </c>
      <c r="C4337" s="9" t="s">
        <v>42931</v>
      </c>
      <c r="D4337" s="9" t="s">
        <v>42932</v>
      </c>
      <c r="E4337" s="9" t="s">
        <v>17740</v>
      </c>
      <c r="F4337" s="9" t="s">
        <v>17741</v>
      </c>
      <c r="G4337" s="9" t="s">
        <v>17740</v>
      </c>
      <c r="H4337" s="11" t="s">
        <v>17741</v>
      </c>
      <c r="I4337" s="11" t="s">
        <v>42933</v>
      </c>
      <c r="J4337" s="11" t="s">
        <v>42933</v>
      </c>
      <c r="K4337" s="9" t="s">
        <v>18520</v>
      </c>
      <c r="L4337" s="9" t="s">
        <v>17744</v>
      </c>
      <c r="M4337" s="9" t="s">
        <v>17778</v>
      </c>
      <c r="N4337" s="9" t="s">
        <v>17746</v>
      </c>
      <c r="O4337" s="9" t="s">
        <v>18543</v>
      </c>
      <c r="P4337" s="9" t="s">
        <v>17748</v>
      </c>
      <c r="Q4337" s="11" t="s">
        <v>19515</v>
      </c>
      <c r="R4337" s="11" t="s">
        <v>19515</v>
      </c>
      <c r="S4337" s="11" t="s">
        <v>17750</v>
      </c>
    </row>
    <row r="4338" spans="1:19" x14ac:dyDescent="0.2">
      <c r="A4338" s="11" t="s">
        <v>42934</v>
      </c>
      <c r="B4338" s="9" t="s">
        <v>42935</v>
      </c>
      <c r="C4338" s="9" t="s">
        <v>42936</v>
      </c>
      <c r="D4338" s="9" t="s">
        <v>42937</v>
      </c>
      <c r="E4338" s="9" t="s">
        <v>17740</v>
      </c>
      <c r="F4338" s="9" t="s">
        <v>17741</v>
      </c>
      <c r="G4338" s="9" t="s">
        <v>17740</v>
      </c>
      <c r="H4338" s="11" t="s">
        <v>9333</v>
      </c>
      <c r="I4338" s="11" t="s">
        <v>9332</v>
      </c>
      <c r="J4338" s="11" t="s">
        <v>9332</v>
      </c>
      <c r="K4338" s="9" t="s">
        <v>19447</v>
      </c>
      <c r="L4338" s="9" t="s">
        <v>17759</v>
      </c>
      <c r="M4338" s="9" t="s">
        <v>17769</v>
      </c>
      <c r="N4338" s="9" t="s">
        <v>17746</v>
      </c>
      <c r="O4338" s="9" t="s">
        <v>42938</v>
      </c>
      <c r="P4338" s="9" t="s">
        <v>17748</v>
      </c>
      <c r="Q4338" s="11" t="s">
        <v>18059</v>
      </c>
      <c r="R4338" s="11" t="s">
        <v>18059</v>
      </c>
      <c r="S4338" s="11" t="s">
        <v>17750</v>
      </c>
    </row>
    <row r="4339" spans="1:19" x14ac:dyDescent="0.2">
      <c r="A4339" s="11" t="s">
        <v>42939</v>
      </c>
      <c r="B4339" s="9" t="s">
        <v>42940</v>
      </c>
      <c r="C4339" s="9" t="s">
        <v>42941</v>
      </c>
      <c r="D4339" s="9" t="s">
        <v>42942</v>
      </c>
      <c r="E4339" s="9" t="s">
        <v>17740</v>
      </c>
      <c r="F4339" s="9" t="s">
        <v>17741</v>
      </c>
      <c r="G4339" s="9" t="s">
        <v>17740</v>
      </c>
      <c r="H4339" s="11" t="s">
        <v>9666</v>
      </c>
      <c r="I4339" s="11" t="s">
        <v>17741</v>
      </c>
      <c r="J4339" s="11" t="s">
        <v>9666</v>
      </c>
      <c r="K4339" s="9" t="s">
        <v>18570</v>
      </c>
      <c r="L4339" s="9" t="s">
        <v>17744</v>
      </c>
      <c r="M4339" s="9" t="s">
        <v>17741</v>
      </c>
      <c r="N4339" s="9" t="s">
        <v>17746</v>
      </c>
      <c r="O4339" s="9" t="s">
        <v>18543</v>
      </c>
      <c r="P4339" s="9" t="s">
        <v>17748</v>
      </c>
      <c r="Q4339" s="11" t="s">
        <v>17994</v>
      </c>
      <c r="R4339" s="11" t="s">
        <v>17994</v>
      </c>
      <c r="S4339" s="11" t="s">
        <v>17750</v>
      </c>
    </row>
    <row r="4340" spans="1:19" x14ac:dyDescent="0.2">
      <c r="A4340" s="11" t="s">
        <v>42943</v>
      </c>
      <c r="B4340" s="9" t="s">
        <v>42944</v>
      </c>
      <c r="C4340" s="9" t="s">
        <v>42945</v>
      </c>
      <c r="D4340" s="9" t="s">
        <v>42946</v>
      </c>
      <c r="E4340" s="9" t="s">
        <v>17740</v>
      </c>
      <c r="F4340" s="9" t="s">
        <v>17741</v>
      </c>
      <c r="G4340" s="9" t="s">
        <v>17740</v>
      </c>
      <c r="H4340" s="11" t="s">
        <v>3193</v>
      </c>
      <c r="I4340" s="11" t="s">
        <v>3192</v>
      </c>
      <c r="J4340" s="11" t="s">
        <v>3192</v>
      </c>
      <c r="K4340" s="9" t="s">
        <v>18661</v>
      </c>
      <c r="L4340" s="9" t="s">
        <v>17759</v>
      </c>
      <c r="M4340" s="9" t="s">
        <v>17817</v>
      </c>
      <c r="N4340" s="9" t="s">
        <v>17746</v>
      </c>
      <c r="O4340" s="9" t="s">
        <v>18543</v>
      </c>
      <c r="P4340" s="9" t="s">
        <v>17748</v>
      </c>
      <c r="Q4340" s="11" t="s">
        <v>18433</v>
      </c>
      <c r="R4340" s="11" t="s">
        <v>18433</v>
      </c>
      <c r="S4340" s="11" t="s">
        <v>17750</v>
      </c>
    </row>
    <row r="4341" spans="1:19" x14ac:dyDescent="0.2">
      <c r="A4341" s="11" t="s">
        <v>42947</v>
      </c>
      <c r="B4341" s="9" t="s">
        <v>42948</v>
      </c>
      <c r="C4341" s="9" t="s">
        <v>42949</v>
      </c>
      <c r="D4341" s="9" t="s">
        <v>42950</v>
      </c>
      <c r="E4341" s="9" t="s">
        <v>17740</v>
      </c>
      <c r="F4341" s="9" t="s">
        <v>17741</v>
      </c>
      <c r="G4341" s="9" t="s">
        <v>17740</v>
      </c>
      <c r="H4341" s="11" t="s">
        <v>4903</v>
      </c>
      <c r="I4341" s="11" t="s">
        <v>4902</v>
      </c>
      <c r="J4341" s="11" t="s">
        <v>4902</v>
      </c>
      <c r="K4341" s="9" t="s">
        <v>724</v>
      </c>
      <c r="L4341" s="9" t="s">
        <v>17744</v>
      </c>
      <c r="M4341" s="9" t="s">
        <v>42951</v>
      </c>
      <c r="N4341" s="9" t="s">
        <v>17746</v>
      </c>
      <c r="O4341" s="9" t="s">
        <v>18543</v>
      </c>
      <c r="P4341" s="9" t="s">
        <v>17748</v>
      </c>
      <c r="Q4341" s="11" t="s">
        <v>18678</v>
      </c>
      <c r="R4341" s="11" t="s">
        <v>18678</v>
      </c>
      <c r="S4341" s="11" t="s">
        <v>17750</v>
      </c>
    </row>
    <row r="4342" spans="1:19" x14ac:dyDescent="0.2">
      <c r="A4342" s="11" t="s">
        <v>42952</v>
      </c>
      <c r="B4342" s="9" t="s">
        <v>42953</v>
      </c>
      <c r="C4342" s="9" t="s">
        <v>42954</v>
      </c>
      <c r="D4342" s="9" t="s">
        <v>42955</v>
      </c>
      <c r="E4342" s="9" t="s">
        <v>17740</v>
      </c>
      <c r="F4342" s="9" t="s">
        <v>17741</v>
      </c>
      <c r="G4342" s="9" t="s">
        <v>17740</v>
      </c>
      <c r="H4342" s="11" t="s">
        <v>3210</v>
      </c>
      <c r="I4342" s="11" t="s">
        <v>3209</v>
      </c>
      <c r="J4342" s="11" t="s">
        <v>3209</v>
      </c>
      <c r="K4342" s="9" t="s">
        <v>42956</v>
      </c>
      <c r="L4342" s="9" t="s">
        <v>17759</v>
      </c>
      <c r="M4342" s="9" t="s">
        <v>17817</v>
      </c>
      <c r="N4342" s="9" t="s">
        <v>17746</v>
      </c>
      <c r="O4342" s="9" t="s">
        <v>18543</v>
      </c>
      <c r="P4342" s="9" t="s">
        <v>17748</v>
      </c>
      <c r="Q4342" s="11" t="s">
        <v>18952</v>
      </c>
      <c r="R4342" s="11" t="s">
        <v>18952</v>
      </c>
      <c r="S4342" s="11" t="s">
        <v>17750</v>
      </c>
    </row>
    <row r="4343" spans="1:19" x14ac:dyDescent="0.2">
      <c r="A4343" s="11" t="s">
        <v>42957</v>
      </c>
      <c r="B4343" s="9" t="s">
        <v>42958</v>
      </c>
      <c r="C4343" s="9" t="s">
        <v>42959</v>
      </c>
      <c r="D4343" s="9" t="s">
        <v>42960</v>
      </c>
      <c r="E4343" s="9" t="s">
        <v>17740</v>
      </c>
      <c r="F4343" s="9" t="s">
        <v>17741</v>
      </c>
      <c r="G4343" s="9" t="s">
        <v>17740</v>
      </c>
      <c r="H4343" s="11" t="s">
        <v>42961</v>
      </c>
      <c r="I4343" s="11" t="s">
        <v>9618</v>
      </c>
      <c r="J4343" s="11" t="s">
        <v>9618</v>
      </c>
      <c r="K4343" s="9" t="s">
        <v>91</v>
      </c>
      <c r="L4343" s="9" t="s">
        <v>18001</v>
      </c>
      <c r="M4343" s="9" t="s">
        <v>18065</v>
      </c>
      <c r="N4343" s="9" t="s">
        <v>17746</v>
      </c>
      <c r="O4343" s="9" t="s">
        <v>42962</v>
      </c>
      <c r="P4343" s="9" t="s">
        <v>17748</v>
      </c>
      <c r="Q4343" s="11" t="s">
        <v>18080</v>
      </c>
      <c r="R4343" s="11" t="s">
        <v>18080</v>
      </c>
      <c r="S4343" s="11" t="s">
        <v>17750</v>
      </c>
    </row>
    <row r="4344" spans="1:19" x14ac:dyDescent="0.2">
      <c r="A4344" s="11" t="s">
        <v>42963</v>
      </c>
      <c r="B4344" s="9" t="s">
        <v>42964</v>
      </c>
      <c r="C4344" s="9" t="s">
        <v>42965</v>
      </c>
      <c r="D4344" s="9" t="s">
        <v>42966</v>
      </c>
      <c r="E4344" s="9" t="s">
        <v>17740</v>
      </c>
      <c r="F4344" s="9" t="s">
        <v>17741</v>
      </c>
      <c r="G4344" s="9" t="s">
        <v>17740</v>
      </c>
      <c r="H4344" s="11" t="s">
        <v>8522</v>
      </c>
      <c r="I4344" s="11" t="s">
        <v>8521</v>
      </c>
      <c r="J4344" s="11" t="s">
        <v>8521</v>
      </c>
      <c r="K4344" s="9" t="s">
        <v>30970</v>
      </c>
      <c r="L4344" s="9" t="s">
        <v>17744</v>
      </c>
      <c r="M4344" s="9" t="s">
        <v>42967</v>
      </c>
      <c r="N4344" s="9" t="s">
        <v>17746</v>
      </c>
      <c r="O4344" s="9" t="s">
        <v>42968</v>
      </c>
      <c r="P4344" s="9" t="s">
        <v>17748</v>
      </c>
      <c r="Q4344" s="11" t="s">
        <v>18798</v>
      </c>
      <c r="R4344" s="11" t="s">
        <v>18798</v>
      </c>
      <c r="S4344" s="11" t="s">
        <v>17750</v>
      </c>
    </row>
    <row r="4345" spans="1:19" x14ac:dyDescent="0.2">
      <c r="A4345" s="11" t="s">
        <v>42969</v>
      </c>
      <c r="B4345" s="9" t="s">
        <v>42970</v>
      </c>
      <c r="C4345" s="9" t="s">
        <v>42971</v>
      </c>
      <c r="D4345" s="9" t="s">
        <v>42972</v>
      </c>
      <c r="E4345" s="9" t="s">
        <v>17748</v>
      </c>
      <c r="F4345" s="9" t="s">
        <v>42973</v>
      </c>
      <c r="G4345" s="9" t="s">
        <v>17740</v>
      </c>
      <c r="H4345" s="11" t="s">
        <v>11577</v>
      </c>
      <c r="I4345" s="11" t="s">
        <v>11576</v>
      </c>
      <c r="J4345" s="11" t="s">
        <v>11576</v>
      </c>
      <c r="K4345" s="9" t="s">
        <v>20207</v>
      </c>
      <c r="L4345" s="9" t="s">
        <v>17759</v>
      </c>
      <c r="M4345" s="9" t="s">
        <v>17817</v>
      </c>
      <c r="N4345" s="9" t="s">
        <v>17746</v>
      </c>
      <c r="O4345" s="9" t="s">
        <v>42974</v>
      </c>
      <c r="P4345" s="9" t="s">
        <v>17748</v>
      </c>
      <c r="Q4345" s="11" t="s">
        <v>17762</v>
      </c>
      <c r="R4345" s="11" t="s">
        <v>17762</v>
      </c>
      <c r="S4345" s="11" t="s">
        <v>17750</v>
      </c>
    </row>
    <row r="4346" spans="1:19" x14ac:dyDescent="0.2">
      <c r="A4346" s="11" t="s">
        <v>42975</v>
      </c>
      <c r="B4346" s="9" t="s">
        <v>42976</v>
      </c>
      <c r="C4346" s="9" t="s">
        <v>42977</v>
      </c>
      <c r="D4346" s="9" t="s">
        <v>42978</v>
      </c>
      <c r="E4346" s="9" t="s">
        <v>17740</v>
      </c>
      <c r="F4346" s="9" t="s">
        <v>17741</v>
      </c>
      <c r="G4346" s="9" t="s">
        <v>17740</v>
      </c>
      <c r="H4346" s="11" t="s">
        <v>12924</v>
      </c>
      <c r="I4346" s="11" t="s">
        <v>12923</v>
      </c>
      <c r="J4346" s="11" t="s">
        <v>12923</v>
      </c>
      <c r="K4346" s="9" t="s">
        <v>18122</v>
      </c>
      <c r="L4346" s="9" t="s">
        <v>18123</v>
      </c>
      <c r="M4346" s="9" t="s">
        <v>18065</v>
      </c>
      <c r="N4346" s="9" t="s">
        <v>17746</v>
      </c>
      <c r="O4346" s="9" t="s">
        <v>20988</v>
      </c>
      <c r="P4346" s="9" t="s">
        <v>17748</v>
      </c>
      <c r="Q4346" s="11" t="s">
        <v>18370</v>
      </c>
      <c r="R4346" s="11" t="s">
        <v>18370</v>
      </c>
      <c r="S4346" s="11" t="s">
        <v>17750</v>
      </c>
    </row>
    <row r="4347" spans="1:19" x14ac:dyDescent="0.2">
      <c r="A4347" s="11" t="s">
        <v>42979</v>
      </c>
      <c r="B4347" s="9" t="s">
        <v>42980</v>
      </c>
      <c r="C4347" s="9" t="s">
        <v>42981</v>
      </c>
      <c r="D4347" s="9" t="s">
        <v>42982</v>
      </c>
      <c r="E4347" s="9" t="s">
        <v>17740</v>
      </c>
      <c r="F4347" s="9" t="s">
        <v>17741</v>
      </c>
      <c r="G4347" s="9" t="s">
        <v>17740</v>
      </c>
      <c r="H4347" s="11" t="s">
        <v>17741</v>
      </c>
      <c r="I4347" s="11" t="s">
        <v>12060</v>
      </c>
      <c r="J4347" s="11" t="s">
        <v>12060</v>
      </c>
      <c r="K4347" s="9" t="s">
        <v>91</v>
      </c>
      <c r="L4347" s="9" t="s">
        <v>18001</v>
      </c>
      <c r="M4347" s="9" t="s">
        <v>26994</v>
      </c>
      <c r="N4347" s="9" t="s">
        <v>17746</v>
      </c>
      <c r="O4347" s="9" t="s">
        <v>20988</v>
      </c>
      <c r="P4347" s="9" t="s">
        <v>17748</v>
      </c>
      <c r="Q4347" s="11" t="s">
        <v>17917</v>
      </c>
      <c r="R4347" s="11" t="s">
        <v>17917</v>
      </c>
      <c r="S4347" s="11" t="s">
        <v>17750</v>
      </c>
    </row>
    <row r="4348" spans="1:19" x14ac:dyDescent="0.2">
      <c r="A4348" s="11" t="s">
        <v>42983</v>
      </c>
      <c r="B4348" s="9" t="s">
        <v>42984</v>
      </c>
      <c r="C4348" s="9" t="s">
        <v>42985</v>
      </c>
      <c r="D4348" s="9" t="s">
        <v>42986</v>
      </c>
      <c r="E4348" s="9" t="s">
        <v>17740</v>
      </c>
      <c r="F4348" s="9" t="s">
        <v>17741</v>
      </c>
      <c r="G4348" s="9" t="s">
        <v>17740</v>
      </c>
      <c r="H4348" s="11" t="s">
        <v>8973</v>
      </c>
      <c r="I4348" s="11" t="s">
        <v>8972</v>
      </c>
      <c r="J4348" s="11" t="s">
        <v>8972</v>
      </c>
      <c r="K4348" s="9" t="s">
        <v>296</v>
      </c>
      <c r="L4348" s="9" t="s">
        <v>17744</v>
      </c>
      <c r="M4348" s="9" t="s">
        <v>42987</v>
      </c>
      <c r="N4348" s="9" t="s">
        <v>17746</v>
      </c>
      <c r="O4348" s="9" t="s">
        <v>20988</v>
      </c>
      <c r="P4348" s="9" t="s">
        <v>17748</v>
      </c>
      <c r="Q4348" s="11" t="s">
        <v>17784</v>
      </c>
      <c r="R4348" s="11" t="s">
        <v>17784</v>
      </c>
      <c r="S4348" s="11" t="s">
        <v>17750</v>
      </c>
    </row>
    <row r="4349" spans="1:19" x14ac:dyDescent="0.2">
      <c r="A4349" s="11" t="s">
        <v>42988</v>
      </c>
      <c r="B4349" s="9" t="s">
        <v>42989</v>
      </c>
      <c r="C4349" s="9" t="s">
        <v>42990</v>
      </c>
      <c r="D4349" s="9" t="s">
        <v>42991</v>
      </c>
      <c r="E4349" s="9" t="s">
        <v>17740</v>
      </c>
      <c r="F4349" s="9" t="s">
        <v>17741</v>
      </c>
      <c r="G4349" s="9" t="s">
        <v>17740</v>
      </c>
      <c r="H4349" s="11" t="s">
        <v>5463</v>
      </c>
      <c r="I4349" s="11" t="s">
        <v>5462</v>
      </c>
      <c r="J4349" s="11" t="s">
        <v>5462</v>
      </c>
      <c r="K4349" s="9" t="s">
        <v>19161</v>
      </c>
      <c r="L4349" s="9" t="s">
        <v>17759</v>
      </c>
      <c r="M4349" s="9" t="s">
        <v>42992</v>
      </c>
      <c r="N4349" s="9" t="s">
        <v>17746</v>
      </c>
      <c r="O4349" s="9" t="s">
        <v>42993</v>
      </c>
      <c r="P4349" s="9" t="s">
        <v>17748</v>
      </c>
      <c r="Q4349" s="11" t="s">
        <v>18080</v>
      </c>
      <c r="R4349" s="11" t="s">
        <v>18080</v>
      </c>
      <c r="S4349" s="11" t="s">
        <v>17750</v>
      </c>
    </row>
    <row r="4350" spans="1:19" x14ac:dyDescent="0.2">
      <c r="A4350" s="11" t="s">
        <v>42994</v>
      </c>
      <c r="B4350" s="9" t="s">
        <v>42995</v>
      </c>
      <c r="C4350" s="9" t="s">
        <v>42996</v>
      </c>
      <c r="D4350" s="9" t="s">
        <v>42997</v>
      </c>
      <c r="E4350" s="9" t="s">
        <v>17740</v>
      </c>
      <c r="F4350" s="9" t="s">
        <v>17741</v>
      </c>
      <c r="G4350" s="9" t="s">
        <v>17740</v>
      </c>
      <c r="H4350" s="11" t="s">
        <v>3245</v>
      </c>
      <c r="I4350" s="11" t="s">
        <v>3244</v>
      </c>
      <c r="J4350" s="11" t="s">
        <v>3244</v>
      </c>
      <c r="K4350" s="9" t="s">
        <v>42998</v>
      </c>
      <c r="L4350" s="9" t="s">
        <v>17759</v>
      </c>
      <c r="M4350" s="9" t="s">
        <v>17817</v>
      </c>
      <c r="N4350" s="9" t="s">
        <v>17746</v>
      </c>
      <c r="O4350" s="9" t="s">
        <v>18331</v>
      </c>
      <c r="P4350" s="9" t="s">
        <v>17748</v>
      </c>
      <c r="Q4350" s="11" t="s">
        <v>18010</v>
      </c>
      <c r="R4350" s="11" t="s">
        <v>18010</v>
      </c>
      <c r="S4350" s="11" t="s">
        <v>17750</v>
      </c>
    </row>
    <row r="4351" spans="1:19" x14ac:dyDescent="0.2">
      <c r="A4351" s="11" t="s">
        <v>42999</v>
      </c>
      <c r="B4351" s="9" t="s">
        <v>43000</v>
      </c>
      <c r="C4351" s="9" t="s">
        <v>43001</v>
      </c>
      <c r="D4351" s="9" t="s">
        <v>43002</v>
      </c>
      <c r="E4351" s="9" t="s">
        <v>17740</v>
      </c>
      <c r="F4351" s="9" t="s">
        <v>43003</v>
      </c>
      <c r="G4351" s="9" t="s">
        <v>17740</v>
      </c>
      <c r="H4351" s="11" t="s">
        <v>3236</v>
      </c>
      <c r="I4351" s="11" t="s">
        <v>3235</v>
      </c>
      <c r="J4351" s="11" t="s">
        <v>3235</v>
      </c>
      <c r="K4351" s="9" t="s">
        <v>17758</v>
      </c>
      <c r="L4351" s="9" t="s">
        <v>17759</v>
      </c>
      <c r="M4351" s="9" t="s">
        <v>17817</v>
      </c>
      <c r="N4351" s="9" t="s">
        <v>17746</v>
      </c>
      <c r="O4351" s="9" t="s">
        <v>18331</v>
      </c>
      <c r="P4351" s="9" t="s">
        <v>17748</v>
      </c>
      <c r="Q4351" s="11" t="s">
        <v>18470</v>
      </c>
      <c r="R4351" s="11" t="s">
        <v>18470</v>
      </c>
      <c r="S4351" s="11" t="s">
        <v>17750</v>
      </c>
    </row>
    <row r="4352" spans="1:19" x14ac:dyDescent="0.2">
      <c r="A4352" s="11" t="s">
        <v>43004</v>
      </c>
      <c r="B4352" s="9" t="s">
        <v>43005</v>
      </c>
      <c r="C4352" s="9" t="s">
        <v>43006</v>
      </c>
      <c r="D4352" s="9" t="s">
        <v>43007</v>
      </c>
      <c r="E4352" s="9" t="s">
        <v>17740</v>
      </c>
      <c r="F4352" s="9" t="s">
        <v>43008</v>
      </c>
      <c r="G4352" s="9" t="s">
        <v>17740</v>
      </c>
      <c r="H4352" s="11" t="s">
        <v>4541</v>
      </c>
      <c r="I4352" s="11" t="s">
        <v>4540</v>
      </c>
      <c r="J4352" s="11" t="s">
        <v>4540</v>
      </c>
      <c r="K4352" s="9" t="s">
        <v>303</v>
      </c>
      <c r="L4352" s="9" t="s">
        <v>17759</v>
      </c>
      <c r="M4352" s="9" t="s">
        <v>17760</v>
      </c>
      <c r="N4352" s="9" t="s">
        <v>17746</v>
      </c>
      <c r="O4352" s="9" t="s">
        <v>18331</v>
      </c>
      <c r="P4352" s="9" t="s">
        <v>17748</v>
      </c>
      <c r="Q4352" s="11" t="s">
        <v>18364</v>
      </c>
      <c r="R4352" s="11" t="s">
        <v>18364</v>
      </c>
      <c r="S4352" s="11" t="s">
        <v>17750</v>
      </c>
    </row>
    <row r="4353" spans="1:19" x14ac:dyDescent="0.2">
      <c r="A4353" s="11" t="s">
        <v>43009</v>
      </c>
      <c r="B4353" s="9" t="s">
        <v>43010</v>
      </c>
      <c r="C4353" s="9" t="s">
        <v>43011</v>
      </c>
      <c r="D4353" s="9" t="s">
        <v>43012</v>
      </c>
      <c r="E4353" s="9" t="s">
        <v>17748</v>
      </c>
      <c r="F4353" s="9" t="s">
        <v>43013</v>
      </c>
      <c r="G4353" s="9" t="s">
        <v>17740</v>
      </c>
      <c r="H4353" s="11" t="s">
        <v>17741</v>
      </c>
      <c r="I4353" s="11" t="s">
        <v>43014</v>
      </c>
      <c r="J4353" s="11" t="s">
        <v>43014</v>
      </c>
      <c r="K4353" s="9" t="s">
        <v>5364</v>
      </c>
      <c r="L4353" s="9" t="s">
        <v>17744</v>
      </c>
      <c r="M4353" s="9" t="s">
        <v>17942</v>
      </c>
      <c r="N4353" s="9" t="s">
        <v>17746</v>
      </c>
      <c r="O4353" s="9" t="s">
        <v>19423</v>
      </c>
      <c r="P4353" s="9" t="s">
        <v>17748</v>
      </c>
      <c r="Q4353" s="11" t="s">
        <v>17749</v>
      </c>
      <c r="R4353" s="11" t="s">
        <v>17749</v>
      </c>
      <c r="S4353" s="11" t="s">
        <v>17750</v>
      </c>
    </row>
    <row r="4354" spans="1:19" x14ac:dyDescent="0.2">
      <c r="A4354" s="11" t="s">
        <v>43015</v>
      </c>
      <c r="B4354" s="9" t="s">
        <v>43016</v>
      </c>
      <c r="C4354" s="9" t="s">
        <v>43017</v>
      </c>
      <c r="D4354" s="9" t="s">
        <v>43018</v>
      </c>
      <c r="E4354" s="9" t="s">
        <v>17748</v>
      </c>
      <c r="F4354" s="9" t="s">
        <v>43019</v>
      </c>
      <c r="G4354" s="9" t="s">
        <v>17740</v>
      </c>
      <c r="H4354" s="11" t="s">
        <v>6211</v>
      </c>
      <c r="I4354" s="11" t="s">
        <v>6210</v>
      </c>
      <c r="J4354" s="11" t="s">
        <v>6210</v>
      </c>
      <c r="K4354" s="9" t="s">
        <v>18616</v>
      </c>
      <c r="L4354" s="9" t="s">
        <v>17744</v>
      </c>
      <c r="M4354" s="9" t="s">
        <v>17817</v>
      </c>
      <c r="N4354" s="9" t="s">
        <v>17746</v>
      </c>
      <c r="O4354" s="9" t="s">
        <v>21318</v>
      </c>
      <c r="P4354" s="9" t="s">
        <v>17748</v>
      </c>
      <c r="Q4354" s="11" t="s">
        <v>17808</v>
      </c>
      <c r="R4354" s="11" t="s">
        <v>17808</v>
      </c>
      <c r="S4354" s="11" t="s">
        <v>17750</v>
      </c>
    </row>
    <row r="4355" spans="1:19" x14ac:dyDescent="0.2">
      <c r="A4355" s="11" t="s">
        <v>43020</v>
      </c>
      <c r="B4355" s="9" t="s">
        <v>43021</v>
      </c>
      <c r="C4355" s="9" t="s">
        <v>43022</v>
      </c>
      <c r="D4355" s="9" t="s">
        <v>43023</v>
      </c>
      <c r="E4355" s="9" t="s">
        <v>17740</v>
      </c>
      <c r="F4355" s="9" t="s">
        <v>43024</v>
      </c>
      <c r="G4355" s="9" t="s">
        <v>17740</v>
      </c>
      <c r="H4355" s="11" t="s">
        <v>17741</v>
      </c>
      <c r="I4355" s="11" t="s">
        <v>43025</v>
      </c>
      <c r="J4355" s="11" t="s">
        <v>43025</v>
      </c>
      <c r="K4355" s="9" t="s">
        <v>43026</v>
      </c>
      <c r="L4355" s="9" t="s">
        <v>17759</v>
      </c>
      <c r="M4355" s="9" t="s">
        <v>33209</v>
      </c>
      <c r="N4355" s="9" t="s">
        <v>17746</v>
      </c>
      <c r="O4355" s="9" t="s">
        <v>19653</v>
      </c>
      <c r="P4355" s="9" t="s">
        <v>17748</v>
      </c>
      <c r="Q4355" s="11" t="s">
        <v>19026</v>
      </c>
      <c r="R4355" s="11" t="s">
        <v>19026</v>
      </c>
      <c r="S4355" s="11" t="s">
        <v>17750</v>
      </c>
    </row>
    <row r="4356" spans="1:19" x14ac:dyDescent="0.2">
      <c r="A4356" s="11" t="s">
        <v>43027</v>
      </c>
      <c r="B4356" s="9" t="s">
        <v>43028</v>
      </c>
      <c r="C4356" s="9" t="s">
        <v>43029</v>
      </c>
      <c r="D4356" s="9" t="s">
        <v>43030</v>
      </c>
      <c r="E4356" s="9" t="s">
        <v>17740</v>
      </c>
      <c r="F4356" s="9" t="s">
        <v>43031</v>
      </c>
      <c r="G4356" s="9" t="s">
        <v>17740</v>
      </c>
      <c r="H4356" s="11" t="s">
        <v>43032</v>
      </c>
      <c r="I4356" s="11" t="s">
        <v>43033</v>
      </c>
      <c r="J4356" s="11" t="s">
        <v>43033</v>
      </c>
      <c r="K4356" s="9" t="s">
        <v>55</v>
      </c>
      <c r="L4356" s="9" t="s">
        <v>17744</v>
      </c>
      <c r="M4356" s="9" t="s">
        <v>20536</v>
      </c>
      <c r="N4356" s="9" t="s">
        <v>17746</v>
      </c>
      <c r="O4356" s="9" t="s">
        <v>19653</v>
      </c>
      <c r="P4356" s="9" t="s">
        <v>17748</v>
      </c>
      <c r="Q4356" s="11" t="s">
        <v>18147</v>
      </c>
      <c r="R4356" s="11" t="s">
        <v>18147</v>
      </c>
      <c r="S4356" s="11" t="s">
        <v>17750</v>
      </c>
    </row>
    <row r="4357" spans="1:19" x14ac:dyDescent="0.2">
      <c r="A4357" s="11" t="s">
        <v>43034</v>
      </c>
      <c r="B4357" s="9" t="s">
        <v>43035</v>
      </c>
      <c r="C4357" s="9" t="s">
        <v>43036</v>
      </c>
      <c r="D4357" s="9" t="s">
        <v>43037</v>
      </c>
      <c r="E4357" s="9" t="s">
        <v>17740</v>
      </c>
      <c r="F4357" s="9" t="s">
        <v>17741</v>
      </c>
      <c r="G4357" s="9" t="s">
        <v>17740</v>
      </c>
      <c r="H4357" s="11" t="s">
        <v>3284</v>
      </c>
      <c r="I4357" s="11" t="s">
        <v>3283</v>
      </c>
      <c r="J4357" s="11" t="s">
        <v>3283</v>
      </c>
      <c r="K4357" s="9" t="s">
        <v>291</v>
      </c>
      <c r="L4357" s="9" t="s">
        <v>17744</v>
      </c>
      <c r="M4357" s="9" t="s">
        <v>17760</v>
      </c>
      <c r="N4357" s="9" t="s">
        <v>17746</v>
      </c>
      <c r="O4357" s="9" t="s">
        <v>19740</v>
      </c>
      <c r="P4357" s="9" t="s">
        <v>17748</v>
      </c>
      <c r="Q4357" s="11" t="s">
        <v>18341</v>
      </c>
      <c r="R4357" s="11" t="s">
        <v>18341</v>
      </c>
      <c r="S4357" s="11" t="s">
        <v>17750</v>
      </c>
    </row>
    <row r="4358" spans="1:19" x14ac:dyDescent="0.2">
      <c r="A4358" s="11" t="s">
        <v>43038</v>
      </c>
      <c r="B4358" s="9" t="s">
        <v>43039</v>
      </c>
      <c r="C4358" s="9" t="s">
        <v>43040</v>
      </c>
      <c r="D4358" s="9" t="s">
        <v>43041</v>
      </c>
      <c r="E4358" s="9" t="s">
        <v>17740</v>
      </c>
      <c r="F4358" s="9" t="s">
        <v>17741</v>
      </c>
      <c r="G4358" s="9" t="s">
        <v>17740</v>
      </c>
      <c r="H4358" s="11" t="s">
        <v>43042</v>
      </c>
      <c r="I4358" s="11" t="s">
        <v>43043</v>
      </c>
      <c r="J4358" s="11" t="s">
        <v>43043</v>
      </c>
      <c r="K4358" s="9" t="s">
        <v>20207</v>
      </c>
      <c r="L4358" s="9" t="s">
        <v>17744</v>
      </c>
      <c r="M4358" s="9" t="s">
        <v>17760</v>
      </c>
      <c r="N4358" s="9" t="s">
        <v>17746</v>
      </c>
      <c r="O4358" s="9" t="s">
        <v>19740</v>
      </c>
      <c r="P4358" s="9" t="s">
        <v>17748</v>
      </c>
      <c r="Q4358" s="11" t="s">
        <v>17808</v>
      </c>
      <c r="R4358" s="11" t="s">
        <v>17808</v>
      </c>
      <c r="S4358" s="11" t="s">
        <v>17750</v>
      </c>
    </row>
    <row r="4359" spans="1:19" x14ac:dyDescent="0.2">
      <c r="A4359" s="11" t="s">
        <v>43044</v>
      </c>
      <c r="B4359" s="9" t="s">
        <v>43045</v>
      </c>
      <c r="C4359" s="9" t="s">
        <v>43046</v>
      </c>
      <c r="D4359" s="9" t="s">
        <v>43047</v>
      </c>
      <c r="E4359" s="9" t="s">
        <v>17740</v>
      </c>
      <c r="F4359" s="9" t="s">
        <v>17741</v>
      </c>
      <c r="G4359" s="9" t="s">
        <v>17740</v>
      </c>
      <c r="H4359" s="11" t="s">
        <v>6203</v>
      </c>
      <c r="I4359" s="11" t="s">
        <v>6202</v>
      </c>
      <c r="J4359" s="11" t="s">
        <v>6202</v>
      </c>
      <c r="K4359" s="9" t="s">
        <v>291</v>
      </c>
      <c r="L4359" s="9" t="s">
        <v>17744</v>
      </c>
      <c r="M4359" s="9" t="s">
        <v>22224</v>
      </c>
      <c r="N4359" s="9" t="s">
        <v>17746</v>
      </c>
      <c r="O4359" s="9" t="s">
        <v>43048</v>
      </c>
      <c r="P4359" s="9" t="s">
        <v>17748</v>
      </c>
      <c r="Q4359" s="11" t="s">
        <v>17792</v>
      </c>
      <c r="R4359" s="11" t="s">
        <v>17792</v>
      </c>
      <c r="S4359" s="11" t="s">
        <v>17750</v>
      </c>
    </row>
    <row r="4360" spans="1:19" x14ac:dyDescent="0.2">
      <c r="A4360" s="11" t="s">
        <v>43049</v>
      </c>
      <c r="B4360" s="9" t="s">
        <v>43050</v>
      </c>
      <c r="C4360" s="9" t="s">
        <v>43051</v>
      </c>
      <c r="D4360" s="9" t="s">
        <v>43052</v>
      </c>
      <c r="E4360" s="9" t="s">
        <v>17740</v>
      </c>
      <c r="F4360" s="9" t="s">
        <v>17741</v>
      </c>
      <c r="G4360" s="9" t="s">
        <v>17740</v>
      </c>
      <c r="H4360" s="11" t="s">
        <v>17741</v>
      </c>
      <c r="I4360" s="11" t="s">
        <v>10449</v>
      </c>
      <c r="J4360" s="11" t="s">
        <v>10449</v>
      </c>
      <c r="K4360" s="9" t="s">
        <v>43053</v>
      </c>
      <c r="L4360" s="9" t="s">
        <v>17759</v>
      </c>
      <c r="M4360" s="9" t="s">
        <v>17760</v>
      </c>
      <c r="N4360" s="9" t="s">
        <v>17746</v>
      </c>
      <c r="O4360" s="9" t="s">
        <v>3255</v>
      </c>
      <c r="P4360" s="9" t="s">
        <v>17748</v>
      </c>
      <c r="Q4360" s="11" t="s">
        <v>17858</v>
      </c>
      <c r="R4360" s="11" t="s">
        <v>17858</v>
      </c>
      <c r="S4360" s="11" t="s">
        <v>17750</v>
      </c>
    </row>
    <row r="4361" spans="1:19" x14ac:dyDescent="0.2">
      <c r="A4361" s="11" t="s">
        <v>43054</v>
      </c>
      <c r="B4361" s="9" t="s">
        <v>43055</v>
      </c>
      <c r="C4361" s="9" t="s">
        <v>43056</v>
      </c>
      <c r="D4361" s="9" t="s">
        <v>43057</v>
      </c>
      <c r="E4361" s="9" t="s">
        <v>17740</v>
      </c>
      <c r="F4361" s="9" t="s">
        <v>43058</v>
      </c>
      <c r="G4361" s="9" t="s">
        <v>17740</v>
      </c>
      <c r="H4361" s="11" t="s">
        <v>43059</v>
      </c>
      <c r="I4361" s="11" t="s">
        <v>43060</v>
      </c>
      <c r="J4361" s="11" t="s">
        <v>43060</v>
      </c>
      <c r="K4361" s="9" t="s">
        <v>23335</v>
      </c>
      <c r="L4361" s="9" t="s">
        <v>18242</v>
      </c>
      <c r="M4361" s="9" t="s">
        <v>43061</v>
      </c>
      <c r="N4361" s="9" t="s">
        <v>17746</v>
      </c>
      <c r="O4361" s="9" t="s">
        <v>18340</v>
      </c>
      <c r="P4361" s="9" t="s">
        <v>17748</v>
      </c>
      <c r="Q4361" s="11" t="s">
        <v>18922</v>
      </c>
      <c r="R4361" s="11" t="s">
        <v>18922</v>
      </c>
      <c r="S4361" s="11" t="s">
        <v>17750</v>
      </c>
    </row>
    <row r="4362" spans="1:19" x14ac:dyDescent="0.2">
      <c r="A4362" s="11" t="s">
        <v>43062</v>
      </c>
      <c r="B4362" s="9" t="s">
        <v>43063</v>
      </c>
      <c r="C4362" s="9" t="s">
        <v>43064</v>
      </c>
      <c r="D4362" s="9" t="s">
        <v>43065</v>
      </c>
      <c r="E4362" s="9" t="s">
        <v>17740</v>
      </c>
      <c r="F4362" s="9" t="s">
        <v>43066</v>
      </c>
      <c r="G4362" s="9" t="s">
        <v>17740</v>
      </c>
      <c r="H4362" s="11" t="s">
        <v>17741</v>
      </c>
      <c r="I4362" s="11" t="s">
        <v>43067</v>
      </c>
      <c r="J4362" s="11" t="s">
        <v>43067</v>
      </c>
      <c r="K4362" s="9" t="s">
        <v>43068</v>
      </c>
      <c r="L4362" s="9" t="s">
        <v>26941</v>
      </c>
      <c r="M4362" s="9" t="s">
        <v>17760</v>
      </c>
      <c r="N4362" s="9" t="s">
        <v>17746</v>
      </c>
      <c r="O4362" s="9" t="s">
        <v>43069</v>
      </c>
      <c r="P4362" s="9" t="s">
        <v>17748</v>
      </c>
      <c r="Q4362" s="11" t="s">
        <v>19335</v>
      </c>
      <c r="R4362" s="11" t="s">
        <v>19335</v>
      </c>
      <c r="S4362" s="11" t="s">
        <v>17750</v>
      </c>
    </row>
    <row r="4363" spans="1:19" x14ac:dyDescent="0.2">
      <c r="A4363" s="11" t="s">
        <v>43070</v>
      </c>
      <c r="B4363" s="9" t="s">
        <v>43071</v>
      </c>
      <c r="C4363" s="9" t="s">
        <v>43072</v>
      </c>
      <c r="D4363" s="9" t="s">
        <v>43071</v>
      </c>
      <c r="E4363" s="9" t="s">
        <v>17740</v>
      </c>
      <c r="F4363" s="9" t="s">
        <v>43073</v>
      </c>
      <c r="G4363" s="9" t="s">
        <v>17740</v>
      </c>
      <c r="H4363" s="11" t="s">
        <v>43074</v>
      </c>
      <c r="I4363" s="11" t="s">
        <v>43075</v>
      </c>
      <c r="J4363" s="11" t="s">
        <v>43075</v>
      </c>
      <c r="K4363" s="9" t="s">
        <v>18287</v>
      </c>
      <c r="L4363" s="9" t="s">
        <v>18158</v>
      </c>
      <c r="M4363" s="9" t="s">
        <v>18289</v>
      </c>
      <c r="N4363" s="9" t="s">
        <v>18185</v>
      </c>
      <c r="O4363" s="9" t="s">
        <v>20453</v>
      </c>
      <c r="P4363" s="9" t="s">
        <v>17748</v>
      </c>
      <c r="Q4363" s="11" t="s">
        <v>17883</v>
      </c>
      <c r="R4363" s="11" t="s">
        <v>17883</v>
      </c>
      <c r="S4363" s="11" t="s">
        <v>17750</v>
      </c>
    </row>
    <row r="4364" spans="1:19" x14ac:dyDescent="0.2">
      <c r="A4364" s="11" t="s">
        <v>43076</v>
      </c>
      <c r="B4364" s="9" t="s">
        <v>43077</v>
      </c>
      <c r="C4364" s="9" t="s">
        <v>43078</v>
      </c>
      <c r="D4364" s="9" t="s">
        <v>43079</v>
      </c>
      <c r="E4364" s="9" t="s">
        <v>17740</v>
      </c>
      <c r="F4364" s="9" t="s">
        <v>43080</v>
      </c>
      <c r="G4364" s="9" t="s">
        <v>17740</v>
      </c>
      <c r="H4364" s="11" t="s">
        <v>17741</v>
      </c>
      <c r="I4364" s="11" t="s">
        <v>43081</v>
      </c>
      <c r="J4364" s="11" t="s">
        <v>43081</v>
      </c>
      <c r="K4364" s="9" t="s">
        <v>43082</v>
      </c>
      <c r="L4364" s="9" t="s">
        <v>22017</v>
      </c>
      <c r="M4364" s="9" t="s">
        <v>17760</v>
      </c>
      <c r="N4364" s="9" t="s">
        <v>22018</v>
      </c>
      <c r="O4364" s="9" t="s">
        <v>3255</v>
      </c>
      <c r="P4364" s="9" t="s">
        <v>17748</v>
      </c>
      <c r="Q4364" s="11" t="s">
        <v>17749</v>
      </c>
      <c r="R4364" s="11" t="s">
        <v>17749</v>
      </c>
      <c r="S4364" s="11" t="s">
        <v>17750</v>
      </c>
    </row>
    <row r="4365" spans="1:19" x14ac:dyDescent="0.2">
      <c r="A4365" s="11" t="s">
        <v>43083</v>
      </c>
      <c r="B4365" s="9" t="s">
        <v>43084</v>
      </c>
      <c r="C4365" s="9" t="s">
        <v>43085</v>
      </c>
      <c r="D4365" s="9" t="s">
        <v>43086</v>
      </c>
      <c r="E4365" s="9" t="s">
        <v>17740</v>
      </c>
      <c r="F4365" s="9" t="s">
        <v>43087</v>
      </c>
      <c r="G4365" s="9" t="s">
        <v>17740</v>
      </c>
      <c r="H4365" s="11" t="s">
        <v>17741</v>
      </c>
      <c r="I4365" s="11" t="s">
        <v>43088</v>
      </c>
      <c r="J4365" s="11" t="s">
        <v>43088</v>
      </c>
      <c r="K4365" s="9" t="s">
        <v>43089</v>
      </c>
      <c r="L4365" s="9" t="s">
        <v>17759</v>
      </c>
      <c r="M4365" s="9" t="s">
        <v>18177</v>
      </c>
      <c r="N4365" s="9" t="s">
        <v>17746</v>
      </c>
      <c r="O4365" s="9" t="s">
        <v>17800</v>
      </c>
      <c r="P4365" s="9" t="s">
        <v>17748</v>
      </c>
      <c r="Q4365" s="11" t="s">
        <v>19770</v>
      </c>
      <c r="R4365" s="11" t="s">
        <v>19770</v>
      </c>
      <c r="S4365" s="11" t="s">
        <v>17750</v>
      </c>
    </row>
    <row r="4366" spans="1:19" x14ac:dyDescent="0.2">
      <c r="A4366" s="11" t="s">
        <v>43090</v>
      </c>
      <c r="B4366" s="9" t="s">
        <v>43091</v>
      </c>
      <c r="C4366" s="9" t="s">
        <v>43092</v>
      </c>
      <c r="D4366" s="9" t="s">
        <v>43093</v>
      </c>
      <c r="E4366" s="9" t="s">
        <v>17740</v>
      </c>
      <c r="F4366" s="9" t="s">
        <v>43094</v>
      </c>
      <c r="G4366" s="9" t="s">
        <v>17740</v>
      </c>
      <c r="H4366" s="11" t="s">
        <v>43095</v>
      </c>
      <c r="I4366" s="11" t="s">
        <v>43096</v>
      </c>
      <c r="J4366" s="11" t="s">
        <v>43096</v>
      </c>
      <c r="K4366" s="9" t="s">
        <v>43097</v>
      </c>
      <c r="L4366" s="9" t="s">
        <v>18242</v>
      </c>
      <c r="M4366" s="9" t="s">
        <v>26160</v>
      </c>
      <c r="N4366" s="9" t="s">
        <v>17746</v>
      </c>
      <c r="O4366" s="9" t="s">
        <v>20208</v>
      </c>
      <c r="P4366" s="9" t="s">
        <v>17748</v>
      </c>
      <c r="Q4366" s="11" t="s">
        <v>20691</v>
      </c>
      <c r="R4366" s="11" t="s">
        <v>20691</v>
      </c>
      <c r="S4366" s="11" t="s">
        <v>17750</v>
      </c>
    </row>
    <row r="4367" spans="1:19" x14ac:dyDescent="0.2">
      <c r="A4367" s="11" t="s">
        <v>43098</v>
      </c>
      <c r="B4367" s="9" t="s">
        <v>43099</v>
      </c>
      <c r="C4367" s="9" t="s">
        <v>43100</v>
      </c>
      <c r="D4367" s="9" t="s">
        <v>43101</v>
      </c>
      <c r="E4367" s="9" t="s">
        <v>17740</v>
      </c>
      <c r="F4367" s="9" t="s">
        <v>17741</v>
      </c>
      <c r="G4367" s="9" t="s">
        <v>17740</v>
      </c>
      <c r="H4367" s="11" t="s">
        <v>17741</v>
      </c>
      <c r="I4367" s="11" t="s">
        <v>43102</v>
      </c>
      <c r="J4367" s="11" t="s">
        <v>43102</v>
      </c>
      <c r="K4367" s="9" t="s">
        <v>43103</v>
      </c>
      <c r="L4367" s="9" t="s">
        <v>17759</v>
      </c>
      <c r="M4367" s="9" t="s">
        <v>17769</v>
      </c>
      <c r="N4367" s="9" t="s">
        <v>17746</v>
      </c>
      <c r="O4367" s="9" t="s">
        <v>17800</v>
      </c>
      <c r="P4367" s="9" t="s">
        <v>17748</v>
      </c>
      <c r="Q4367" s="11" t="s">
        <v>18332</v>
      </c>
      <c r="R4367" s="11" t="s">
        <v>18332</v>
      </c>
      <c r="S4367" s="11" t="s">
        <v>17750</v>
      </c>
    </row>
    <row r="4368" spans="1:19" x14ac:dyDescent="0.2">
      <c r="A4368" s="11" t="s">
        <v>43104</v>
      </c>
      <c r="B4368" s="9" t="s">
        <v>43105</v>
      </c>
      <c r="C4368" s="9" t="s">
        <v>43106</v>
      </c>
      <c r="D4368" s="9" t="s">
        <v>43107</v>
      </c>
      <c r="E4368" s="9" t="s">
        <v>17740</v>
      </c>
      <c r="F4368" s="9" t="s">
        <v>17741</v>
      </c>
      <c r="G4368" s="9" t="s">
        <v>17740</v>
      </c>
      <c r="H4368" s="11" t="s">
        <v>43108</v>
      </c>
      <c r="I4368" s="11" t="s">
        <v>43109</v>
      </c>
      <c r="J4368" s="11" t="s">
        <v>43109</v>
      </c>
      <c r="K4368" s="9" t="s">
        <v>43110</v>
      </c>
      <c r="L4368" s="9" t="s">
        <v>17759</v>
      </c>
      <c r="M4368" s="9" t="s">
        <v>18177</v>
      </c>
      <c r="N4368" s="9" t="s">
        <v>17746</v>
      </c>
      <c r="O4368" s="9" t="s">
        <v>17874</v>
      </c>
      <c r="P4368" s="9" t="s">
        <v>17748</v>
      </c>
      <c r="Q4368" s="11" t="s">
        <v>18282</v>
      </c>
      <c r="R4368" s="11" t="s">
        <v>18282</v>
      </c>
      <c r="S4368" s="11" t="s">
        <v>17750</v>
      </c>
    </row>
    <row r="4369" spans="1:19" x14ac:dyDescent="0.2">
      <c r="A4369" s="11" t="s">
        <v>43111</v>
      </c>
      <c r="B4369" s="9" t="s">
        <v>43112</v>
      </c>
      <c r="C4369" s="9" t="s">
        <v>43113</v>
      </c>
      <c r="D4369" s="9" t="s">
        <v>43114</v>
      </c>
      <c r="E4369" s="9" t="s">
        <v>17748</v>
      </c>
      <c r="F4369" s="9" t="s">
        <v>43115</v>
      </c>
      <c r="G4369" s="9" t="s">
        <v>17740</v>
      </c>
      <c r="H4369" s="11" t="s">
        <v>9440</v>
      </c>
      <c r="I4369" s="11" t="s">
        <v>9439</v>
      </c>
      <c r="J4369" s="11" t="s">
        <v>9439</v>
      </c>
      <c r="K4369" s="9" t="s">
        <v>19180</v>
      </c>
      <c r="L4369" s="9" t="s">
        <v>17759</v>
      </c>
      <c r="M4369" s="9" t="s">
        <v>17760</v>
      </c>
      <c r="N4369" s="9" t="s">
        <v>17746</v>
      </c>
      <c r="O4369" s="9" t="s">
        <v>34940</v>
      </c>
      <c r="P4369" s="9" t="s">
        <v>17748</v>
      </c>
      <c r="Q4369" s="11" t="s">
        <v>17994</v>
      </c>
      <c r="R4369" s="11" t="s">
        <v>17994</v>
      </c>
      <c r="S4369" s="11" t="s">
        <v>17750</v>
      </c>
    </row>
    <row r="4370" spans="1:19" x14ac:dyDescent="0.2">
      <c r="A4370" s="11" t="s">
        <v>43116</v>
      </c>
      <c r="B4370" s="9" t="s">
        <v>4236</v>
      </c>
      <c r="C4370" s="9" t="s">
        <v>43117</v>
      </c>
      <c r="D4370" s="9" t="s">
        <v>4236</v>
      </c>
      <c r="E4370" s="9" t="s">
        <v>17740</v>
      </c>
      <c r="F4370" s="9" t="s">
        <v>17741</v>
      </c>
      <c r="G4370" s="9" t="s">
        <v>17740</v>
      </c>
      <c r="H4370" s="11" t="s">
        <v>4238</v>
      </c>
      <c r="I4370" s="11" t="s">
        <v>4237</v>
      </c>
      <c r="J4370" s="11" t="s">
        <v>4237</v>
      </c>
      <c r="K4370" s="9" t="s">
        <v>315</v>
      </c>
      <c r="L4370" s="9" t="s">
        <v>17744</v>
      </c>
      <c r="M4370" s="9" t="s">
        <v>43118</v>
      </c>
      <c r="N4370" s="9" t="s">
        <v>17746</v>
      </c>
      <c r="O4370" s="9" t="s">
        <v>29962</v>
      </c>
      <c r="P4370" s="9" t="s">
        <v>17748</v>
      </c>
      <c r="Q4370" s="11" t="s">
        <v>18364</v>
      </c>
      <c r="R4370" s="11" t="s">
        <v>18364</v>
      </c>
      <c r="S4370" s="11" t="s">
        <v>17750</v>
      </c>
    </row>
    <row r="4371" spans="1:19" x14ac:dyDescent="0.2">
      <c r="A4371" s="11" t="s">
        <v>43119</v>
      </c>
      <c r="B4371" s="9" t="s">
        <v>43120</v>
      </c>
      <c r="C4371" s="9" t="s">
        <v>43121</v>
      </c>
      <c r="D4371" s="9" t="s">
        <v>7207</v>
      </c>
      <c r="E4371" s="9" t="s">
        <v>17740</v>
      </c>
      <c r="F4371" s="9" t="s">
        <v>17741</v>
      </c>
      <c r="G4371" s="9" t="s">
        <v>17740</v>
      </c>
      <c r="H4371" s="11" t="s">
        <v>7209</v>
      </c>
      <c r="I4371" s="11" t="s">
        <v>7208</v>
      </c>
      <c r="J4371" s="11" t="s">
        <v>7208</v>
      </c>
      <c r="K4371" s="9" t="s">
        <v>7210</v>
      </c>
      <c r="L4371" s="9" t="s">
        <v>17759</v>
      </c>
      <c r="M4371" s="9" t="s">
        <v>28602</v>
      </c>
      <c r="N4371" s="9" t="s">
        <v>17746</v>
      </c>
      <c r="O4371" s="9" t="s">
        <v>18363</v>
      </c>
      <c r="P4371" s="9" t="s">
        <v>17748</v>
      </c>
      <c r="Q4371" s="11" t="s">
        <v>18201</v>
      </c>
      <c r="R4371" s="11" t="s">
        <v>18201</v>
      </c>
      <c r="S4371" s="11" t="s">
        <v>17750</v>
      </c>
    </row>
    <row r="4372" spans="1:19" x14ac:dyDescent="0.2">
      <c r="A4372" s="11" t="s">
        <v>43122</v>
      </c>
      <c r="B4372" s="9" t="s">
        <v>43123</v>
      </c>
      <c r="C4372" s="9" t="s">
        <v>43124</v>
      </c>
      <c r="D4372" s="9" t="s">
        <v>43123</v>
      </c>
      <c r="E4372" s="9" t="s">
        <v>17740</v>
      </c>
      <c r="F4372" s="9" t="s">
        <v>43125</v>
      </c>
      <c r="G4372" s="9" t="s">
        <v>17740</v>
      </c>
      <c r="H4372" s="11" t="s">
        <v>3248</v>
      </c>
      <c r="I4372" s="11" t="s">
        <v>3247</v>
      </c>
      <c r="J4372" s="11" t="s">
        <v>3247</v>
      </c>
      <c r="K4372" s="9" t="s">
        <v>18176</v>
      </c>
      <c r="L4372" s="9" t="s">
        <v>18123</v>
      </c>
      <c r="M4372" s="9" t="s">
        <v>26933</v>
      </c>
      <c r="N4372" s="9" t="s">
        <v>17746</v>
      </c>
      <c r="O4372" s="9" t="s">
        <v>18363</v>
      </c>
      <c r="P4372" s="9" t="s">
        <v>17748</v>
      </c>
      <c r="Q4372" s="11" t="s">
        <v>18813</v>
      </c>
      <c r="R4372" s="11" t="s">
        <v>18813</v>
      </c>
      <c r="S4372" s="11" t="s">
        <v>17750</v>
      </c>
    </row>
    <row r="4373" spans="1:19" x14ac:dyDescent="0.2">
      <c r="A4373" s="11" t="s">
        <v>43126</v>
      </c>
      <c r="B4373" s="9" t="s">
        <v>43127</v>
      </c>
      <c r="C4373" s="9" t="s">
        <v>43128</v>
      </c>
      <c r="D4373" s="9" t="s">
        <v>43129</v>
      </c>
      <c r="E4373" s="9" t="s">
        <v>17740</v>
      </c>
      <c r="F4373" s="9" t="s">
        <v>17741</v>
      </c>
      <c r="G4373" s="9" t="s">
        <v>17740</v>
      </c>
      <c r="H4373" s="11" t="s">
        <v>17741</v>
      </c>
      <c r="I4373" s="11" t="s">
        <v>4816</v>
      </c>
      <c r="J4373" s="11" t="s">
        <v>4816</v>
      </c>
      <c r="K4373" s="9" t="s">
        <v>43130</v>
      </c>
      <c r="L4373" s="9" t="s">
        <v>17759</v>
      </c>
      <c r="M4373" s="9" t="s">
        <v>43131</v>
      </c>
      <c r="N4373" s="9" t="s">
        <v>17746</v>
      </c>
      <c r="O4373" s="9" t="s">
        <v>18363</v>
      </c>
      <c r="P4373" s="9" t="s">
        <v>17748</v>
      </c>
      <c r="Q4373" s="11" t="s">
        <v>18364</v>
      </c>
      <c r="R4373" s="11" t="s">
        <v>18364</v>
      </c>
      <c r="S4373" s="11" t="s">
        <v>17750</v>
      </c>
    </row>
    <row r="4374" spans="1:19" x14ac:dyDescent="0.2">
      <c r="A4374" s="11" t="s">
        <v>43132</v>
      </c>
      <c r="B4374" s="9" t="s">
        <v>43133</v>
      </c>
      <c r="C4374" s="9" t="s">
        <v>43134</v>
      </c>
      <c r="D4374" s="9" t="s">
        <v>43135</v>
      </c>
      <c r="E4374" s="9" t="s">
        <v>17740</v>
      </c>
      <c r="F4374" s="9" t="s">
        <v>43136</v>
      </c>
      <c r="G4374" s="9" t="s">
        <v>17740</v>
      </c>
      <c r="H4374" s="11" t="s">
        <v>43137</v>
      </c>
      <c r="I4374" s="11" t="s">
        <v>43138</v>
      </c>
      <c r="J4374" s="11" t="s">
        <v>43138</v>
      </c>
      <c r="K4374" s="9" t="s">
        <v>43139</v>
      </c>
      <c r="L4374" s="9" t="s">
        <v>17759</v>
      </c>
      <c r="M4374" s="9" t="s">
        <v>41816</v>
      </c>
      <c r="N4374" s="9" t="s">
        <v>17746</v>
      </c>
      <c r="O4374" s="9" t="s">
        <v>24046</v>
      </c>
      <c r="P4374" s="9" t="s">
        <v>17748</v>
      </c>
      <c r="Q4374" s="11" t="s">
        <v>18600</v>
      </c>
      <c r="R4374" s="11" t="s">
        <v>18600</v>
      </c>
      <c r="S4374" s="11" t="s">
        <v>17750</v>
      </c>
    </row>
    <row r="4375" spans="1:19" x14ac:dyDescent="0.2">
      <c r="A4375" s="11" t="s">
        <v>43140</v>
      </c>
      <c r="B4375" s="9" t="s">
        <v>43141</v>
      </c>
      <c r="C4375" s="9" t="s">
        <v>43142</v>
      </c>
      <c r="D4375" s="9" t="s">
        <v>43143</v>
      </c>
      <c r="E4375" s="9" t="s">
        <v>17740</v>
      </c>
      <c r="F4375" s="9" t="s">
        <v>17741</v>
      </c>
      <c r="G4375" s="9" t="s">
        <v>17740</v>
      </c>
      <c r="H4375" s="11" t="s">
        <v>6248</v>
      </c>
      <c r="I4375" s="11" t="s">
        <v>6247</v>
      </c>
      <c r="J4375" s="11" t="s">
        <v>6247</v>
      </c>
      <c r="K4375" s="9" t="s">
        <v>32700</v>
      </c>
      <c r="L4375" s="9" t="s">
        <v>20969</v>
      </c>
      <c r="M4375" s="9" t="s">
        <v>20397</v>
      </c>
      <c r="N4375" s="9" t="s">
        <v>17746</v>
      </c>
      <c r="O4375" s="9" t="s">
        <v>18363</v>
      </c>
      <c r="P4375" s="9" t="s">
        <v>17748</v>
      </c>
      <c r="Q4375" s="11" t="s">
        <v>17808</v>
      </c>
      <c r="R4375" s="11" t="s">
        <v>17808</v>
      </c>
      <c r="S4375" s="11" t="s">
        <v>17750</v>
      </c>
    </row>
    <row r="4376" spans="1:19" x14ac:dyDescent="0.2">
      <c r="A4376" s="11" t="s">
        <v>43144</v>
      </c>
      <c r="B4376" s="9" t="s">
        <v>43145</v>
      </c>
      <c r="C4376" s="9" t="s">
        <v>43146</v>
      </c>
      <c r="D4376" s="9" t="s">
        <v>43147</v>
      </c>
      <c r="E4376" s="9" t="s">
        <v>17740</v>
      </c>
      <c r="F4376" s="9" t="s">
        <v>43148</v>
      </c>
      <c r="G4376" s="9" t="s">
        <v>17740</v>
      </c>
      <c r="H4376" s="11" t="s">
        <v>5816</v>
      </c>
      <c r="I4376" s="11" t="s">
        <v>5815</v>
      </c>
      <c r="J4376" s="11" t="s">
        <v>5815</v>
      </c>
      <c r="K4376" s="9" t="s">
        <v>24499</v>
      </c>
      <c r="L4376" s="9" t="s">
        <v>17759</v>
      </c>
      <c r="M4376" s="9" t="s">
        <v>17817</v>
      </c>
      <c r="N4376" s="9" t="s">
        <v>17746</v>
      </c>
      <c r="O4376" s="9" t="s">
        <v>18363</v>
      </c>
      <c r="P4376" s="9" t="s">
        <v>17748</v>
      </c>
      <c r="Q4376" s="11" t="s">
        <v>18147</v>
      </c>
      <c r="R4376" s="11" t="s">
        <v>18147</v>
      </c>
      <c r="S4376" s="11" t="s">
        <v>17750</v>
      </c>
    </row>
    <row r="4377" spans="1:19" x14ac:dyDescent="0.2">
      <c r="A4377" s="11" t="s">
        <v>43149</v>
      </c>
      <c r="B4377" s="9" t="s">
        <v>16264</v>
      </c>
      <c r="C4377" s="9" t="s">
        <v>43150</v>
      </c>
      <c r="D4377" s="9" t="s">
        <v>16264</v>
      </c>
      <c r="E4377" s="9" t="s">
        <v>17740</v>
      </c>
      <c r="F4377" s="9" t="s">
        <v>17741</v>
      </c>
      <c r="G4377" s="9" t="s">
        <v>17740</v>
      </c>
      <c r="H4377" s="11" t="s">
        <v>16265</v>
      </c>
      <c r="I4377" s="11" t="s">
        <v>17741</v>
      </c>
      <c r="J4377" s="11" t="s">
        <v>16265</v>
      </c>
      <c r="K4377" s="9" t="s">
        <v>43151</v>
      </c>
      <c r="L4377" s="9" t="s">
        <v>17759</v>
      </c>
      <c r="M4377" s="9" t="s">
        <v>17741</v>
      </c>
      <c r="N4377" s="9" t="s">
        <v>17746</v>
      </c>
      <c r="O4377" s="9" t="s">
        <v>18363</v>
      </c>
      <c r="P4377" s="9" t="s">
        <v>17748</v>
      </c>
      <c r="Q4377" s="11" t="s">
        <v>17825</v>
      </c>
      <c r="R4377" s="11" t="s">
        <v>17825</v>
      </c>
      <c r="S4377" s="11" t="s">
        <v>17750</v>
      </c>
    </row>
    <row r="4378" spans="1:19" x14ac:dyDescent="0.2">
      <c r="A4378" s="11" t="s">
        <v>43152</v>
      </c>
      <c r="B4378" s="9" t="s">
        <v>43153</v>
      </c>
      <c r="C4378" s="9" t="s">
        <v>43154</v>
      </c>
      <c r="D4378" s="9" t="s">
        <v>43155</v>
      </c>
      <c r="E4378" s="9" t="s">
        <v>17740</v>
      </c>
      <c r="F4378" s="9" t="s">
        <v>43156</v>
      </c>
      <c r="G4378" s="9" t="s">
        <v>17740</v>
      </c>
      <c r="H4378" s="11" t="s">
        <v>43157</v>
      </c>
      <c r="I4378" s="11" t="s">
        <v>43158</v>
      </c>
      <c r="J4378" s="11" t="s">
        <v>43158</v>
      </c>
      <c r="K4378" s="9" t="s">
        <v>43159</v>
      </c>
      <c r="L4378" s="9" t="s">
        <v>24311</v>
      </c>
      <c r="M4378" s="9" t="s">
        <v>17760</v>
      </c>
      <c r="N4378" s="9" t="s">
        <v>17746</v>
      </c>
      <c r="O4378" s="9" t="s">
        <v>18563</v>
      </c>
      <c r="P4378" s="9" t="s">
        <v>17748</v>
      </c>
      <c r="Q4378" s="11" t="s">
        <v>20021</v>
      </c>
      <c r="R4378" s="11" t="s">
        <v>20021</v>
      </c>
      <c r="S4378" s="11" t="s">
        <v>17750</v>
      </c>
    </row>
    <row r="4379" spans="1:19" x14ac:dyDescent="0.2">
      <c r="A4379" s="11" t="s">
        <v>43160</v>
      </c>
      <c r="B4379" s="9" t="s">
        <v>43161</v>
      </c>
      <c r="C4379" s="9" t="s">
        <v>43162</v>
      </c>
      <c r="D4379" s="9" t="s">
        <v>43163</v>
      </c>
      <c r="E4379" s="9" t="s">
        <v>17740</v>
      </c>
      <c r="F4379" s="9" t="s">
        <v>17741</v>
      </c>
      <c r="G4379" s="9" t="s">
        <v>17740</v>
      </c>
      <c r="H4379" s="11" t="s">
        <v>43164</v>
      </c>
      <c r="I4379" s="11" t="s">
        <v>17741</v>
      </c>
      <c r="J4379" s="11" t="s">
        <v>43164</v>
      </c>
      <c r="K4379" s="9" t="s">
        <v>43165</v>
      </c>
      <c r="L4379" s="9" t="s">
        <v>17759</v>
      </c>
      <c r="M4379" s="9" t="s">
        <v>17760</v>
      </c>
      <c r="N4379" s="9" t="s">
        <v>17746</v>
      </c>
      <c r="O4379" s="9" t="s">
        <v>17800</v>
      </c>
      <c r="P4379" s="9" t="s">
        <v>17748</v>
      </c>
      <c r="Q4379" s="11" t="s">
        <v>18201</v>
      </c>
      <c r="R4379" s="11" t="s">
        <v>18201</v>
      </c>
      <c r="S4379" s="11" t="s">
        <v>17750</v>
      </c>
    </row>
    <row r="4380" spans="1:19" x14ac:dyDescent="0.2">
      <c r="A4380" s="11" t="s">
        <v>43166</v>
      </c>
      <c r="B4380" s="9" t="s">
        <v>43167</v>
      </c>
      <c r="C4380" s="9" t="s">
        <v>43168</v>
      </c>
      <c r="D4380" s="9" t="s">
        <v>43169</v>
      </c>
      <c r="E4380" s="9" t="s">
        <v>17748</v>
      </c>
      <c r="F4380" s="9" t="s">
        <v>43170</v>
      </c>
      <c r="G4380" s="9" t="s">
        <v>17740</v>
      </c>
      <c r="H4380" s="11" t="s">
        <v>17741</v>
      </c>
      <c r="I4380" s="11" t="s">
        <v>43171</v>
      </c>
      <c r="J4380" s="11" t="s">
        <v>43171</v>
      </c>
      <c r="K4380" s="9" t="s">
        <v>43139</v>
      </c>
      <c r="L4380" s="9" t="s">
        <v>17759</v>
      </c>
      <c r="M4380" s="9" t="s">
        <v>17817</v>
      </c>
      <c r="N4380" s="9" t="s">
        <v>17746</v>
      </c>
      <c r="O4380" s="9" t="s">
        <v>24046</v>
      </c>
      <c r="P4380" s="9" t="s">
        <v>17748</v>
      </c>
      <c r="Q4380" s="11" t="s">
        <v>17917</v>
      </c>
      <c r="R4380" s="11" t="s">
        <v>17917</v>
      </c>
      <c r="S4380" s="11" t="s">
        <v>17750</v>
      </c>
    </row>
    <row r="4381" spans="1:19" x14ac:dyDescent="0.2">
      <c r="A4381" s="11" t="s">
        <v>43172</v>
      </c>
      <c r="B4381" s="9" t="s">
        <v>43173</v>
      </c>
      <c r="C4381" s="9" t="s">
        <v>43174</v>
      </c>
      <c r="D4381" s="9" t="s">
        <v>43175</v>
      </c>
      <c r="E4381" s="9" t="s">
        <v>17740</v>
      </c>
      <c r="F4381" s="9" t="s">
        <v>17741</v>
      </c>
      <c r="G4381" s="9" t="s">
        <v>17740</v>
      </c>
      <c r="H4381" s="11" t="s">
        <v>14469</v>
      </c>
      <c r="I4381" s="11" t="s">
        <v>17741</v>
      </c>
      <c r="J4381" s="11" t="s">
        <v>14469</v>
      </c>
      <c r="K4381" s="9" t="s">
        <v>14470</v>
      </c>
      <c r="L4381" s="9" t="s">
        <v>18959</v>
      </c>
      <c r="M4381" s="9" t="s">
        <v>17741</v>
      </c>
      <c r="N4381" s="9" t="s">
        <v>17746</v>
      </c>
      <c r="O4381" s="9" t="s">
        <v>28888</v>
      </c>
      <c r="P4381" s="9" t="s">
        <v>17748</v>
      </c>
      <c r="Q4381" s="11" t="s">
        <v>18922</v>
      </c>
      <c r="R4381" s="11" t="s">
        <v>18922</v>
      </c>
      <c r="S4381" s="11" t="s">
        <v>17750</v>
      </c>
    </row>
    <row r="4382" spans="1:19" x14ac:dyDescent="0.2">
      <c r="A4382" s="11" t="s">
        <v>43176</v>
      </c>
      <c r="B4382" s="9" t="s">
        <v>43177</v>
      </c>
      <c r="C4382" s="9" t="s">
        <v>43178</v>
      </c>
      <c r="D4382" s="9" t="s">
        <v>43177</v>
      </c>
      <c r="E4382" s="9" t="s">
        <v>17740</v>
      </c>
      <c r="F4382" s="9" t="s">
        <v>17741</v>
      </c>
      <c r="G4382" s="9" t="s">
        <v>17740</v>
      </c>
      <c r="H4382" s="11" t="s">
        <v>17741</v>
      </c>
      <c r="I4382" s="11" t="s">
        <v>43179</v>
      </c>
      <c r="J4382" s="11" t="s">
        <v>43179</v>
      </c>
      <c r="K4382" s="9" t="s">
        <v>22718</v>
      </c>
      <c r="L4382" s="9" t="s">
        <v>18854</v>
      </c>
      <c r="M4382" s="9" t="s">
        <v>18065</v>
      </c>
      <c r="N4382" s="9" t="s">
        <v>20237</v>
      </c>
      <c r="O4382" s="9" t="s">
        <v>22985</v>
      </c>
      <c r="P4382" s="9" t="s">
        <v>17748</v>
      </c>
      <c r="Q4382" s="11" t="s">
        <v>18282</v>
      </c>
      <c r="R4382" s="11" t="s">
        <v>18282</v>
      </c>
      <c r="S4382" s="11" t="s">
        <v>17750</v>
      </c>
    </row>
    <row r="4383" spans="1:19" x14ac:dyDescent="0.2">
      <c r="A4383" s="11" t="s">
        <v>43180</v>
      </c>
      <c r="B4383" s="9" t="s">
        <v>43181</v>
      </c>
      <c r="C4383" s="9" t="s">
        <v>43182</v>
      </c>
      <c r="D4383" s="9" t="s">
        <v>43183</v>
      </c>
      <c r="E4383" s="9" t="s">
        <v>17740</v>
      </c>
      <c r="F4383" s="9" t="s">
        <v>17741</v>
      </c>
      <c r="G4383" s="9" t="s">
        <v>17740</v>
      </c>
      <c r="H4383" s="11" t="s">
        <v>43184</v>
      </c>
      <c r="I4383" s="11" t="s">
        <v>17741</v>
      </c>
      <c r="J4383" s="11" t="s">
        <v>43184</v>
      </c>
      <c r="K4383" s="9" t="s">
        <v>43185</v>
      </c>
      <c r="L4383" s="9" t="s">
        <v>17744</v>
      </c>
      <c r="M4383" s="9" t="s">
        <v>17741</v>
      </c>
      <c r="N4383" s="9" t="s">
        <v>17746</v>
      </c>
      <c r="O4383" s="9" t="s">
        <v>19917</v>
      </c>
      <c r="P4383" s="9" t="s">
        <v>17748</v>
      </c>
      <c r="Q4383" s="11" t="s">
        <v>17909</v>
      </c>
      <c r="R4383" s="11" t="s">
        <v>17909</v>
      </c>
      <c r="S4383" s="11" t="s">
        <v>17750</v>
      </c>
    </row>
    <row r="4384" spans="1:19" x14ac:dyDescent="0.2">
      <c r="A4384" s="11" t="s">
        <v>43186</v>
      </c>
      <c r="B4384" s="9" t="s">
        <v>43187</v>
      </c>
      <c r="C4384" s="9" t="s">
        <v>43188</v>
      </c>
      <c r="D4384" s="9" t="s">
        <v>43189</v>
      </c>
      <c r="E4384" s="9" t="s">
        <v>17740</v>
      </c>
      <c r="F4384" s="9" t="s">
        <v>17741</v>
      </c>
      <c r="G4384" s="9" t="s">
        <v>17740</v>
      </c>
      <c r="H4384" s="11" t="s">
        <v>43190</v>
      </c>
      <c r="I4384" s="11" t="s">
        <v>17741</v>
      </c>
      <c r="J4384" s="11" t="s">
        <v>17741</v>
      </c>
      <c r="K4384" s="9" t="s">
        <v>43191</v>
      </c>
      <c r="L4384" s="9" t="s">
        <v>18959</v>
      </c>
      <c r="M4384" s="9" t="s">
        <v>43192</v>
      </c>
      <c r="N4384" s="9" t="s">
        <v>17746</v>
      </c>
      <c r="O4384" s="9" t="s">
        <v>17993</v>
      </c>
      <c r="P4384" s="9" t="s">
        <v>17748</v>
      </c>
      <c r="Q4384" s="11" t="s">
        <v>17917</v>
      </c>
      <c r="R4384" s="11" t="s">
        <v>17917</v>
      </c>
      <c r="S4384" s="11" t="s">
        <v>17750</v>
      </c>
    </row>
    <row r="4385" spans="1:19" x14ac:dyDescent="0.2">
      <c r="A4385" s="11" t="s">
        <v>43193</v>
      </c>
      <c r="B4385" s="9" t="s">
        <v>43194</v>
      </c>
      <c r="C4385" s="9" t="s">
        <v>43195</v>
      </c>
      <c r="D4385" s="9" t="s">
        <v>43196</v>
      </c>
      <c r="E4385" s="9" t="s">
        <v>17740</v>
      </c>
      <c r="F4385" s="9" t="s">
        <v>43197</v>
      </c>
      <c r="G4385" s="9" t="s">
        <v>17740</v>
      </c>
      <c r="H4385" s="11" t="s">
        <v>43198</v>
      </c>
      <c r="I4385" s="11" t="s">
        <v>43199</v>
      </c>
      <c r="J4385" s="11" t="s">
        <v>43199</v>
      </c>
      <c r="K4385" s="9" t="s">
        <v>43200</v>
      </c>
      <c r="L4385" s="9" t="s">
        <v>17759</v>
      </c>
      <c r="M4385" s="9" t="s">
        <v>17769</v>
      </c>
      <c r="N4385" s="9" t="s">
        <v>17746</v>
      </c>
      <c r="O4385" s="9" t="s">
        <v>20746</v>
      </c>
      <c r="P4385" s="9" t="s">
        <v>17748</v>
      </c>
      <c r="Q4385" s="11" t="s">
        <v>19026</v>
      </c>
      <c r="R4385" s="11" t="s">
        <v>19026</v>
      </c>
      <c r="S4385" s="11" t="s">
        <v>17750</v>
      </c>
    </row>
    <row r="4386" spans="1:19" x14ac:dyDescent="0.2">
      <c r="A4386" s="11" t="s">
        <v>43201</v>
      </c>
      <c r="B4386" s="9" t="s">
        <v>43202</v>
      </c>
      <c r="C4386" s="9" t="s">
        <v>43203</v>
      </c>
      <c r="D4386" s="9" t="s">
        <v>43204</v>
      </c>
      <c r="E4386" s="9" t="s">
        <v>17740</v>
      </c>
      <c r="F4386" s="9" t="s">
        <v>17741</v>
      </c>
      <c r="G4386" s="9" t="s">
        <v>17740</v>
      </c>
      <c r="H4386" s="11" t="s">
        <v>17741</v>
      </c>
      <c r="I4386" s="11" t="s">
        <v>43205</v>
      </c>
      <c r="J4386" s="11" t="s">
        <v>43205</v>
      </c>
      <c r="K4386" s="9" t="s">
        <v>43206</v>
      </c>
      <c r="L4386" s="9" t="s">
        <v>17759</v>
      </c>
      <c r="M4386" s="9" t="s">
        <v>17942</v>
      </c>
      <c r="N4386" s="9" t="s">
        <v>17746</v>
      </c>
      <c r="O4386" s="9" t="s">
        <v>20746</v>
      </c>
      <c r="P4386" s="9" t="s">
        <v>17748</v>
      </c>
      <c r="Q4386" s="11" t="s">
        <v>18600</v>
      </c>
      <c r="R4386" s="11" t="s">
        <v>18600</v>
      </c>
      <c r="S4386" s="11" t="s">
        <v>17750</v>
      </c>
    </row>
    <row r="4387" spans="1:19" x14ac:dyDescent="0.2">
      <c r="A4387" s="11" t="s">
        <v>43207</v>
      </c>
      <c r="B4387" s="9" t="s">
        <v>43208</v>
      </c>
      <c r="C4387" s="9" t="s">
        <v>43209</v>
      </c>
      <c r="D4387" s="9" t="s">
        <v>43210</v>
      </c>
      <c r="E4387" s="9" t="s">
        <v>17740</v>
      </c>
      <c r="F4387" s="9" t="s">
        <v>43211</v>
      </c>
      <c r="G4387" s="9" t="s">
        <v>17740</v>
      </c>
      <c r="H4387" s="11" t="s">
        <v>9861</v>
      </c>
      <c r="I4387" s="11" t="s">
        <v>9860</v>
      </c>
      <c r="J4387" s="11" t="s">
        <v>9860</v>
      </c>
      <c r="K4387" s="9" t="s">
        <v>17783</v>
      </c>
      <c r="L4387" s="9" t="s">
        <v>18158</v>
      </c>
      <c r="M4387" s="9" t="s">
        <v>17778</v>
      </c>
      <c r="N4387" s="9" t="s">
        <v>17746</v>
      </c>
      <c r="O4387" s="9" t="s">
        <v>18027</v>
      </c>
      <c r="P4387" s="9" t="s">
        <v>17748</v>
      </c>
      <c r="Q4387" s="11" t="s">
        <v>17819</v>
      </c>
      <c r="R4387" s="11" t="s">
        <v>17819</v>
      </c>
      <c r="S4387" s="11" t="s">
        <v>17750</v>
      </c>
    </row>
    <row r="4388" spans="1:19" x14ac:dyDescent="0.2">
      <c r="A4388" s="11" t="s">
        <v>43212</v>
      </c>
      <c r="B4388" s="9" t="s">
        <v>43213</v>
      </c>
      <c r="C4388" s="9" t="s">
        <v>43214</v>
      </c>
      <c r="D4388" s="9" t="s">
        <v>43215</v>
      </c>
      <c r="E4388" s="9" t="s">
        <v>17740</v>
      </c>
      <c r="F4388" s="9" t="s">
        <v>43216</v>
      </c>
      <c r="G4388" s="9" t="s">
        <v>17740</v>
      </c>
      <c r="H4388" s="11" t="s">
        <v>43217</v>
      </c>
      <c r="I4388" s="11" t="s">
        <v>43218</v>
      </c>
      <c r="J4388" s="11" t="s">
        <v>43218</v>
      </c>
      <c r="K4388" s="9" t="s">
        <v>24794</v>
      </c>
      <c r="L4388" s="9" t="s">
        <v>17744</v>
      </c>
      <c r="M4388" s="9" t="s">
        <v>18065</v>
      </c>
      <c r="N4388" s="9" t="s">
        <v>17746</v>
      </c>
      <c r="O4388" s="9" t="s">
        <v>43219</v>
      </c>
      <c r="P4388" s="9" t="s">
        <v>17748</v>
      </c>
      <c r="Q4388" s="11" t="s">
        <v>18433</v>
      </c>
      <c r="R4388" s="11" t="s">
        <v>18433</v>
      </c>
      <c r="S4388" s="11" t="s">
        <v>17750</v>
      </c>
    </row>
    <row r="4389" spans="1:19" x14ac:dyDescent="0.2">
      <c r="A4389" s="11" t="s">
        <v>43220</v>
      </c>
      <c r="B4389" s="9" t="s">
        <v>43221</v>
      </c>
      <c r="C4389" s="9" t="s">
        <v>43222</v>
      </c>
      <c r="D4389" s="9" t="s">
        <v>43223</v>
      </c>
      <c r="E4389" s="9" t="s">
        <v>17740</v>
      </c>
      <c r="F4389" s="9" t="s">
        <v>17741</v>
      </c>
      <c r="G4389" s="9" t="s">
        <v>17740</v>
      </c>
      <c r="H4389" s="11" t="s">
        <v>6809</v>
      </c>
      <c r="I4389" s="11" t="s">
        <v>6808</v>
      </c>
      <c r="J4389" s="11" t="s">
        <v>6808</v>
      </c>
      <c r="K4389" s="9" t="s">
        <v>291</v>
      </c>
      <c r="L4389" s="9" t="s">
        <v>17744</v>
      </c>
      <c r="M4389" s="9" t="s">
        <v>22224</v>
      </c>
      <c r="N4389" s="9" t="s">
        <v>17746</v>
      </c>
      <c r="O4389" s="9" t="s">
        <v>43224</v>
      </c>
      <c r="P4389" s="9" t="s">
        <v>17748</v>
      </c>
      <c r="Q4389" s="11" t="s">
        <v>17808</v>
      </c>
      <c r="R4389" s="11" t="s">
        <v>17808</v>
      </c>
      <c r="S4389" s="11" t="s">
        <v>17750</v>
      </c>
    </row>
    <row r="4390" spans="1:19" x14ac:dyDescent="0.2">
      <c r="A4390" s="11" t="s">
        <v>43225</v>
      </c>
      <c r="B4390" s="9" t="s">
        <v>43226</v>
      </c>
      <c r="C4390" s="9" t="s">
        <v>43227</v>
      </c>
      <c r="D4390" s="9" t="s">
        <v>43228</v>
      </c>
      <c r="E4390" s="9" t="s">
        <v>17748</v>
      </c>
      <c r="F4390" s="9" t="s">
        <v>43229</v>
      </c>
      <c r="G4390" s="9" t="s">
        <v>17740</v>
      </c>
      <c r="H4390" s="11" t="s">
        <v>6236</v>
      </c>
      <c r="I4390" s="11" t="s">
        <v>6235</v>
      </c>
      <c r="J4390" s="11" t="s">
        <v>6235</v>
      </c>
      <c r="K4390" s="9" t="s">
        <v>291</v>
      </c>
      <c r="L4390" s="9" t="s">
        <v>17744</v>
      </c>
      <c r="M4390" s="9" t="s">
        <v>17760</v>
      </c>
      <c r="N4390" s="9" t="s">
        <v>17746</v>
      </c>
      <c r="O4390" s="9" t="s">
        <v>43230</v>
      </c>
      <c r="P4390" s="9" t="s">
        <v>17748</v>
      </c>
      <c r="Q4390" s="11" t="s">
        <v>17808</v>
      </c>
      <c r="R4390" s="11" t="s">
        <v>17808</v>
      </c>
      <c r="S4390" s="11" t="s">
        <v>17750</v>
      </c>
    </row>
    <row r="4391" spans="1:19" x14ac:dyDescent="0.2">
      <c r="A4391" s="11" t="s">
        <v>43231</v>
      </c>
      <c r="B4391" s="9" t="s">
        <v>43232</v>
      </c>
      <c r="C4391" s="9" t="s">
        <v>43233</v>
      </c>
      <c r="D4391" s="9" t="s">
        <v>43234</v>
      </c>
      <c r="E4391" s="9" t="s">
        <v>17740</v>
      </c>
      <c r="F4391" s="9" t="s">
        <v>17741</v>
      </c>
      <c r="G4391" s="9" t="s">
        <v>17740</v>
      </c>
      <c r="H4391" s="11" t="s">
        <v>3263</v>
      </c>
      <c r="I4391" s="11" t="s">
        <v>3262</v>
      </c>
      <c r="J4391" s="11" t="s">
        <v>3262</v>
      </c>
      <c r="K4391" s="9" t="s">
        <v>43235</v>
      </c>
      <c r="L4391" s="9" t="s">
        <v>17759</v>
      </c>
      <c r="M4391" s="9" t="s">
        <v>19965</v>
      </c>
      <c r="N4391" s="9" t="s">
        <v>17746</v>
      </c>
      <c r="O4391" s="9" t="s">
        <v>43236</v>
      </c>
      <c r="P4391" s="9" t="s">
        <v>17748</v>
      </c>
      <c r="Q4391" s="11" t="s">
        <v>18960</v>
      </c>
      <c r="R4391" s="11" t="s">
        <v>18960</v>
      </c>
      <c r="S4391" s="11" t="s">
        <v>17750</v>
      </c>
    </row>
    <row r="4392" spans="1:19" x14ac:dyDescent="0.2">
      <c r="A4392" s="11" t="s">
        <v>43237</v>
      </c>
      <c r="B4392" s="9" t="s">
        <v>43238</v>
      </c>
      <c r="C4392" s="9" t="s">
        <v>43239</v>
      </c>
      <c r="D4392" s="9" t="s">
        <v>43240</v>
      </c>
      <c r="E4392" s="9" t="s">
        <v>17740</v>
      </c>
      <c r="F4392" s="9" t="s">
        <v>17741</v>
      </c>
      <c r="G4392" s="9" t="s">
        <v>17740</v>
      </c>
      <c r="H4392" s="11" t="s">
        <v>3260</v>
      </c>
      <c r="I4392" s="11" t="s">
        <v>3259</v>
      </c>
      <c r="J4392" s="11" t="s">
        <v>3259</v>
      </c>
      <c r="K4392" s="9" t="s">
        <v>18176</v>
      </c>
      <c r="L4392" s="9" t="s">
        <v>18123</v>
      </c>
      <c r="M4392" s="9" t="s">
        <v>17769</v>
      </c>
      <c r="N4392" s="9" t="s">
        <v>17746</v>
      </c>
      <c r="O4392" s="9" t="s">
        <v>3255</v>
      </c>
      <c r="P4392" s="9" t="s">
        <v>17748</v>
      </c>
      <c r="Q4392" s="11" t="s">
        <v>18282</v>
      </c>
      <c r="R4392" s="11" t="s">
        <v>18282</v>
      </c>
      <c r="S4392" s="11" t="s">
        <v>17750</v>
      </c>
    </row>
    <row r="4393" spans="1:19" x14ac:dyDescent="0.2">
      <c r="A4393" s="11" t="s">
        <v>43241</v>
      </c>
      <c r="B4393" s="9" t="s">
        <v>43242</v>
      </c>
      <c r="C4393" s="9" t="s">
        <v>43243</v>
      </c>
      <c r="D4393" s="9" t="s">
        <v>43244</v>
      </c>
      <c r="E4393" s="9" t="s">
        <v>17748</v>
      </c>
      <c r="F4393" s="9" t="s">
        <v>43245</v>
      </c>
      <c r="G4393" s="9" t="s">
        <v>17740</v>
      </c>
      <c r="H4393" s="11" t="s">
        <v>3863</v>
      </c>
      <c r="I4393" s="11" t="s">
        <v>3862</v>
      </c>
      <c r="J4393" s="11" t="s">
        <v>17741</v>
      </c>
      <c r="K4393" s="9" t="s">
        <v>17741</v>
      </c>
      <c r="L4393" s="9" t="s">
        <v>17759</v>
      </c>
      <c r="M4393" s="9" t="s">
        <v>17769</v>
      </c>
      <c r="N4393" s="9" t="s">
        <v>17746</v>
      </c>
      <c r="O4393" s="9" t="s">
        <v>43236</v>
      </c>
      <c r="P4393" s="9" t="s">
        <v>17748</v>
      </c>
      <c r="Q4393" s="11" t="s">
        <v>18089</v>
      </c>
      <c r="R4393" s="11" t="s">
        <v>18089</v>
      </c>
      <c r="S4393" s="11" t="s">
        <v>17750</v>
      </c>
    </row>
    <row r="4394" spans="1:19" x14ac:dyDescent="0.2">
      <c r="A4394" s="11" t="s">
        <v>43246</v>
      </c>
      <c r="B4394" s="9" t="s">
        <v>43247</v>
      </c>
      <c r="C4394" s="9" t="s">
        <v>43248</v>
      </c>
      <c r="D4394" s="9" t="s">
        <v>43249</v>
      </c>
      <c r="E4394" s="9" t="s">
        <v>17740</v>
      </c>
      <c r="F4394" s="9" t="s">
        <v>43250</v>
      </c>
      <c r="G4394" s="9" t="s">
        <v>17740</v>
      </c>
      <c r="H4394" s="11" t="s">
        <v>43251</v>
      </c>
      <c r="I4394" s="11" t="s">
        <v>43252</v>
      </c>
      <c r="J4394" s="11" t="s">
        <v>43252</v>
      </c>
      <c r="K4394" s="9" t="s">
        <v>17089</v>
      </c>
      <c r="L4394" s="9" t="s">
        <v>18158</v>
      </c>
      <c r="M4394" s="9" t="s">
        <v>18289</v>
      </c>
      <c r="N4394" s="9" t="s">
        <v>18185</v>
      </c>
      <c r="O4394" s="9" t="s">
        <v>3255</v>
      </c>
      <c r="P4394" s="9" t="s">
        <v>17748</v>
      </c>
      <c r="Q4394" s="11" t="s">
        <v>18147</v>
      </c>
      <c r="R4394" s="11" t="s">
        <v>18147</v>
      </c>
      <c r="S4394" s="11" t="s">
        <v>17750</v>
      </c>
    </row>
    <row r="4395" spans="1:19" x14ac:dyDescent="0.2">
      <c r="A4395" s="11" t="s">
        <v>43253</v>
      </c>
      <c r="B4395" s="9" t="s">
        <v>43254</v>
      </c>
      <c r="C4395" s="9" t="s">
        <v>43255</v>
      </c>
      <c r="D4395" s="9" t="s">
        <v>3252</v>
      </c>
      <c r="E4395" s="9" t="s">
        <v>17740</v>
      </c>
      <c r="F4395" s="9" t="s">
        <v>43256</v>
      </c>
      <c r="G4395" s="9" t="s">
        <v>17740</v>
      </c>
      <c r="H4395" s="11" t="s">
        <v>3254</v>
      </c>
      <c r="I4395" s="11" t="s">
        <v>3253</v>
      </c>
      <c r="J4395" s="11" t="s">
        <v>3253</v>
      </c>
      <c r="K4395" s="9" t="s">
        <v>18122</v>
      </c>
      <c r="L4395" s="9" t="s">
        <v>18123</v>
      </c>
      <c r="M4395" s="9" t="s">
        <v>18065</v>
      </c>
      <c r="N4395" s="9" t="s">
        <v>18185</v>
      </c>
      <c r="O4395" s="9" t="s">
        <v>3255</v>
      </c>
      <c r="P4395" s="9" t="s">
        <v>17748</v>
      </c>
      <c r="Q4395" s="11" t="s">
        <v>21578</v>
      </c>
      <c r="R4395" s="11" t="s">
        <v>21578</v>
      </c>
      <c r="S4395" s="11" t="s">
        <v>17750</v>
      </c>
    </row>
    <row r="4396" spans="1:19" x14ac:dyDescent="0.2">
      <c r="A4396" s="11" t="s">
        <v>43257</v>
      </c>
      <c r="B4396" s="9" t="s">
        <v>3255</v>
      </c>
      <c r="C4396" s="9" t="s">
        <v>43258</v>
      </c>
      <c r="D4396" s="9" t="s">
        <v>3255</v>
      </c>
      <c r="E4396" s="9" t="s">
        <v>17740</v>
      </c>
      <c r="F4396" s="9" t="s">
        <v>43259</v>
      </c>
      <c r="G4396" s="9" t="s">
        <v>17740</v>
      </c>
      <c r="H4396" s="11" t="s">
        <v>3257</v>
      </c>
      <c r="I4396" s="11" t="s">
        <v>3256</v>
      </c>
      <c r="J4396" s="11" t="s">
        <v>3256</v>
      </c>
      <c r="K4396" s="9" t="s">
        <v>91</v>
      </c>
      <c r="L4396" s="9" t="s">
        <v>17759</v>
      </c>
      <c r="M4396" s="9" t="s">
        <v>17817</v>
      </c>
      <c r="N4396" s="9" t="s">
        <v>17746</v>
      </c>
      <c r="O4396" s="9" t="s">
        <v>3255</v>
      </c>
      <c r="P4396" s="9" t="s">
        <v>17748</v>
      </c>
      <c r="Q4396" s="11" t="s">
        <v>19335</v>
      </c>
      <c r="R4396" s="11" t="s">
        <v>19335</v>
      </c>
      <c r="S4396" s="11" t="s">
        <v>17750</v>
      </c>
    </row>
    <row r="4397" spans="1:19" x14ac:dyDescent="0.2">
      <c r="A4397" s="11" t="s">
        <v>43260</v>
      </c>
      <c r="B4397" s="9" t="s">
        <v>43261</v>
      </c>
      <c r="C4397" s="9" t="s">
        <v>43262</v>
      </c>
      <c r="D4397" s="9" t="s">
        <v>43263</v>
      </c>
      <c r="E4397" s="9" t="s">
        <v>17740</v>
      </c>
      <c r="F4397" s="9" t="s">
        <v>17741</v>
      </c>
      <c r="G4397" s="9" t="s">
        <v>17740</v>
      </c>
      <c r="H4397" s="11" t="s">
        <v>43264</v>
      </c>
      <c r="I4397" s="11" t="s">
        <v>17741</v>
      </c>
      <c r="J4397" s="11" t="s">
        <v>43264</v>
      </c>
      <c r="K4397" s="9" t="s">
        <v>16258</v>
      </c>
      <c r="L4397" s="9" t="s">
        <v>17759</v>
      </c>
      <c r="M4397" s="9" t="s">
        <v>19189</v>
      </c>
      <c r="N4397" s="9" t="s">
        <v>17746</v>
      </c>
      <c r="O4397" s="9" t="s">
        <v>43265</v>
      </c>
      <c r="P4397" s="9" t="s">
        <v>17748</v>
      </c>
      <c r="Q4397" s="11" t="s">
        <v>18272</v>
      </c>
      <c r="R4397" s="11" t="s">
        <v>18272</v>
      </c>
      <c r="S4397" s="11" t="s">
        <v>17750</v>
      </c>
    </row>
    <row r="4398" spans="1:19" x14ac:dyDescent="0.2">
      <c r="A4398" s="11" t="s">
        <v>43266</v>
      </c>
      <c r="B4398" s="9" t="s">
        <v>43267</v>
      </c>
      <c r="C4398" s="9" t="s">
        <v>43268</v>
      </c>
      <c r="D4398" s="9" t="s">
        <v>43269</v>
      </c>
      <c r="E4398" s="9" t="s">
        <v>17740</v>
      </c>
      <c r="F4398" s="9" t="s">
        <v>17741</v>
      </c>
      <c r="G4398" s="9" t="s">
        <v>17740</v>
      </c>
      <c r="H4398" s="11" t="s">
        <v>43270</v>
      </c>
      <c r="I4398" s="11" t="s">
        <v>43271</v>
      </c>
      <c r="J4398" s="11" t="s">
        <v>43271</v>
      </c>
      <c r="K4398" s="9" t="s">
        <v>43272</v>
      </c>
      <c r="L4398" s="9" t="s">
        <v>17759</v>
      </c>
      <c r="M4398" s="9" t="s">
        <v>19571</v>
      </c>
      <c r="N4398" s="9" t="s">
        <v>17746</v>
      </c>
      <c r="O4398" s="9" t="s">
        <v>3255</v>
      </c>
      <c r="P4398" s="9" t="s">
        <v>17748</v>
      </c>
      <c r="Q4398" s="11" t="s">
        <v>18600</v>
      </c>
      <c r="R4398" s="11" t="s">
        <v>18600</v>
      </c>
      <c r="S4398" s="11" t="s">
        <v>17750</v>
      </c>
    </row>
    <row r="4399" spans="1:19" x14ac:dyDescent="0.2">
      <c r="A4399" s="11" t="s">
        <v>43273</v>
      </c>
      <c r="B4399" s="9" t="s">
        <v>43274</v>
      </c>
      <c r="C4399" s="9" t="s">
        <v>43275</v>
      </c>
      <c r="D4399" s="9" t="s">
        <v>25085</v>
      </c>
      <c r="E4399" s="9" t="s">
        <v>17748</v>
      </c>
      <c r="F4399" s="9" t="s">
        <v>43276</v>
      </c>
      <c r="G4399" s="9" t="s">
        <v>17740</v>
      </c>
      <c r="H4399" s="11" t="s">
        <v>43277</v>
      </c>
      <c r="I4399" s="11" t="s">
        <v>43278</v>
      </c>
      <c r="J4399" s="11" t="s">
        <v>43277</v>
      </c>
      <c r="K4399" s="9" t="s">
        <v>43279</v>
      </c>
      <c r="L4399" s="9" t="s">
        <v>17759</v>
      </c>
      <c r="M4399" s="9" t="s">
        <v>17817</v>
      </c>
      <c r="N4399" s="9" t="s">
        <v>17746</v>
      </c>
      <c r="O4399" s="9" t="s">
        <v>25085</v>
      </c>
      <c r="P4399" s="9" t="s">
        <v>17748</v>
      </c>
      <c r="Q4399" s="11" t="s">
        <v>17784</v>
      </c>
      <c r="R4399" s="11" t="s">
        <v>17784</v>
      </c>
      <c r="S4399" s="11" t="s">
        <v>17750</v>
      </c>
    </row>
    <row r="4400" spans="1:19" x14ac:dyDescent="0.2">
      <c r="A4400" s="11" t="s">
        <v>43280</v>
      </c>
      <c r="B4400" s="9" t="s">
        <v>43281</v>
      </c>
      <c r="C4400" s="9" t="s">
        <v>43282</v>
      </c>
      <c r="D4400" s="9" t="s">
        <v>43283</v>
      </c>
      <c r="E4400" s="9" t="s">
        <v>17740</v>
      </c>
      <c r="F4400" s="9" t="s">
        <v>43284</v>
      </c>
      <c r="G4400" s="9" t="s">
        <v>17740</v>
      </c>
      <c r="H4400" s="11" t="s">
        <v>43285</v>
      </c>
      <c r="I4400" s="11" t="s">
        <v>43286</v>
      </c>
      <c r="J4400" s="11" t="s">
        <v>43286</v>
      </c>
      <c r="K4400" s="9" t="s">
        <v>17758</v>
      </c>
      <c r="L4400" s="9" t="s">
        <v>17759</v>
      </c>
      <c r="M4400" s="9" t="s">
        <v>17817</v>
      </c>
      <c r="N4400" s="9" t="s">
        <v>17746</v>
      </c>
      <c r="O4400" s="9" t="s">
        <v>25085</v>
      </c>
      <c r="P4400" s="9" t="s">
        <v>17748</v>
      </c>
      <c r="Q4400" s="11" t="s">
        <v>17819</v>
      </c>
      <c r="R4400" s="11" t="s">
        <v>17819</v>
      </c>
      <c r="S4400" s="11" t="s">
        <v>17750</v>
      </c>
    </row>
    <row r="4401" spans="1:19" x14ac:dyDescent="0.2">
      <c r="A4401" s="11" t="s">
        <v>43287</v>
      </c>
      <c r="B4401" s="9" t="s">
        <v>43288</v>
      </c>
      <c r="C4401" s="9" t="s">
        <v>43289</v>
      </c>
      <c r="D4401" s="9" t="s">
        <v>43290</v>
      </c>
      <c r="E4401" s="9" t="s">
        <v>17740</v>
      </c>
      <c r="F4401" s="9" t="s">
        <v>17741</v>
      </c>
      <c r="G4401" s="9" t="s">
        <v>17740</v>
      </c>
      <c r="H4401" s="11" t="s">
        <v>17741</v>
      </c>
      <c r="I4401" s="11" t="s">
        <v>43291</v>
      </c>
      <c r="J4401" s="11" t="s">
        <v>43292</v>
      </c>
      <c r="K4401" s="9" t="s">
        <v>43293</v>
      </c>
      <c r="L4401" s="9" t="s">
        <v>17759</v>
      </c>
      <c r="M4401" s="9" t="s">
        <v>17817</v>
      </c>
      <c r="N4401" s="9" t="s">
        <v>17746</v>
      </c>
      <c r="O4401" s="9" t="s">
        <v>25252</v>
      </c>
      <c r="P4401" s="9" t="s">
        <v>17748</v>
      </c>
      <c r="Q4401" s="11" t="s">
        <v>18960</v>
      </c>
      <c r="R4401" s="11" t="s">
        <v>18960</v>
      </c>
      <c r="S4401" s="11" t="s">
        <v>17750</v>
      </c>
    </row>
    <row r="4402" spans="1:19" x14ac:dyDescent="0.2">
      <c r="A4402" s="11" t="s">
        <v>43294</v>
      </c>
      <c r="B4402" s="9" t="s">
        <v>43295</v>
      </c>
      <c r="C4402" s="9" t="s">
        <v>43296</v>
      </c>
      <c r="D4402" s="9" t="s">
        <v>43297</v>
      </c>
      <c r="E4402" s="9" t="s">
        <v>17748</v>
      </c>
      <c r="F4402" s="9" t="s">
        <v>43298</v>
      </c>
      <c r="G4402" s="9" t="s">
        <v>17740</v>
      </c>
      <c r="H4402" s="11" t="s">
        <v>43299</v>
      </c>
      <c r="I4402" s="11" t="s">
        <v>43300</v>
      </c>
      <c r="J4402" s="11" t="s">
        <v>43300</v>
      </c>
      <c r="K4402" s="9" t="s">
        <v>17089</v>
      </c>
      <c r="L4402" s="9" t="s">
        <v>18158</v>
      </c>
      <c r="M4402" s="9" t="s">
        <v>17760</v>
      </c>
      <c r="N4402" s="9" t="s">
        <v>17746</v>
      </c>
      <c r="O4402" s="9" t="s">
        <v>20746</v>
      </c>
      <c r="P4402" s="9" t="s">
        <v>17748</v>
      </c>
      <c r="Q4402" s="11" t="s">
        <v>18370</v>
      </c>
      <c r="R4402" s="11" t="s">
        <v>18370</v>
      </c>
      <c r="S4402" s="11" t="s">
        <v>17750</v>
      </c>
    </row>
    <row r="4403" spans="1:19" x14ac:dyDescent="0.2">
      <c r="A4403" s="11" t="s">
        <v>43301</v>
      </c>
      <c r="B4403" s="9" t="s">
        <v>43302</v>
      </c>
      <c r="C4403" s="9" t="s">
        <v>43303</v>
      </c>
      <c r="D4403" s="9" t="s">
        <v>43304</v>
      </c>
      <c r="E4403" s="9" t="s">
        <v>17740</v>
      </c>
      <c r="F4403" s="9" t="s">
        <v>17741</v>
      </c>
      <c r="G4403" s="9" t="s">
        <v>17740</v>
      </c>
      <c r="H4403" s="11" t="s">
        <v>43305</v>
      </c>
      <c r="I4403" s="11" t="s">
        <v>43306</v>
      </c>
      <c r="J4403" s="11" t="s">
        <v>43306</v>
      </c>
      <c r="K4403" s="9" t="s">
        <v>18921</v>
      </c>
      <c r="L4403" s="9" t="s">
        <v>17759</v>
      </c>
      <c r="M4403" s="9" t="s">
        <v>17760</v>
      </c>
      <c r="N4403" s="9" t="s">
        <v>17746</v>
      </c>
      <c r="O4403" s="9" t="s">
        <v>20746</v>
      </c>
      <c r="P4403" s="9" t="s">
        <v>17748</v>
      </c>
      <c r="Q4403" s="11" t="s">
        <v>17819</v>
      </c>
      <c r="R4403" s="11" t="s">
        <v>17819</v>
      </c>
      <c r="S4403" s="11" t="s">
        <v>17750</v>
      </c>
    </row>
    <row r="4404" spans="1:19" x14ac:dyDescent="0.2">
      <c r="A4404" s="11" t="s">
        <v>43307</v>
      </c>
      <c r="B4404" s="9" t="s">
        <v>43308</v>
      </c>
      <c r="C4404" s="9" t="s">
        <v>43309</v>
      </c>
      <c r="D4404" s="9" t="s">
        <v>43310</v>
      </c>
      <c r="E4404" s="9" t="s">
        <v>17740</v>
      </c>
      <c r="F4404" s="9" t="s">
        <v>17741</v>
      </c>
      <c r="G4404" s="9" t="s">
        <v>17740</v>
      </c>
      <c r="H4404" s="11" t="s">
        <v>7070</v>
      </c>
      <c r="I4404" s="11" t="s">
        <v>7069</v>
      </c>
      <c r="J4404" s="11" t="s">
        <v>7069</v>
      </c>
      <c r="K4404" s="9" t="s">
        <v>21040</v>
      </c>
      <c r="L4404" s="9" t="s">
        <v>18305</v>
      </c>
      <c r="M4404" s="9" t="s">
        <v>43311</v>
      </c>
      <c r="N4404" s="9" t="s">
        <v>17746</v>
      </c>
      <c r="O4404" s="9" t="s">
        <v>18340</v>
      </c>
      <c r="P4404" s="9" t="s">
        <v>17748</v>
      </c>
      <c r="Q4404" s="11" t="s">
        <v>19361</v>
      </c>
      <c r="R4404" s="11" t="s">
        <v>19361</v>
      </c>
      <c r="S4404" s="11" t="s">
        <v>17750</v>
      </c>
    </row>
    <row r="4405" spans="1:19" x14ac:dyDescent="0.2">
      <c r="A4405" s="11" t="s">
        <v>43312</v>
      </c>
      <c r="B4405" s="9" t="s">
        <v>43313</v>
      </c>
      <c r="C4405" s="9" t="s">
        <v>43314</v>
      </c>
      <c r="D4405" s="9" t="s">
        <v>43315</v>
      </c>
      <c r="E4405" s="9" t="s">
        <v>17740</v>
      </c>
      <c r="F4405" s="9" t="s">
        <v>17741</v>
      </c>
      <c r="G4405" s="9" t="s">
        <v>17740</v>
      </c>
      <c r="H4405" s="11" t="s">
        <v>43316</v>
      </c>
      <c r="I4405" s="11" t="s">
        <v>43317</v>
      </c>
      <c r="J4405" s="11" t="s">
        <v>43317</v>
      </c>
      <c r="K4405" s="9" t="s">
        <v>28691</v>
      </c>
      <c r="L4405" s="9" t="s">
        <v>17744</v>
      </c>
      <c r="M4405" s="9" t="s">
        <v>17760</v>
      </c>
      <c r="N4405" s="9" t="s">
        <v>17746</v>
      </c>
      <c r="O4405" s="9" t="s">
        <v>18340</v>
      </c>
      <c r="P4405" s="9" t="s">
        <v>17748</v>
      </c>
      <c r="Q4405" s="11" t="s">
        <v>17858</v>
      </c>
      <c r="R4405" s="11" t="s">
        <v>17858</v>
      </c>
      <c r="S4405" s="11" t="s">
        <v>17750</v>
      </c>
    </row>
    <row r="4406" spans="1:19" x14ac:dyDescent="0.2">
      <c r="A4406" s="11" t="s">
        <v>43318</v>
      </c>
      <c r="B4406" s="9" t="s">
        <v>43319</v>
      </c>
      <c r="C4406" s="9" t="s">
        <v>43320</v>
      </c>
      <c r="D4406" s="9" t="s">
        <v>43321</v>
      </c>
      <c r="E4406" s="9" t="s">
        <v>17740</v>
      </c>
      <c r="F4406" s="9" t="s">
        <v>43322</v>
      </c>
      <c r="G4406" s="9" t="s">
        <v>17740</v>
      </c>
      <c r="H4406" s="11" t="s">
        <v>17741</v>
      </c>
      <c r="I4406" s="11" t="s">
        <v>43323</v>
      </c>
      <c r="J4406" s="11" t="s">
        <v>43323</v>
      </c>
      <c r="K4406" s="9" t="s">
        <v>43324</v>
      </c>
      <c r="L4406" s="9" t="s">
        <v>22017</v>
      </c>
      <c r="M4406" s="9" t="s">
        <v>17760</v>
      </c>
      <c r="N4406" s="9" t="s">
        <v>17746</v>
      </c>
      <c r="O4406" s="9" t="s">
        <v>18340</v>
      </c>
      <c r="P4406" s="9" t="s">
        <v>17748</v>
      </c>
      <c r="Q4406" s="11" t="s">
        <v>17909</v>
      </c>
      <c r="R4406" s="11" t="s">
        <v>17909</v>
      </c>
      <c r="S4406" s="11" t="s">
        <v>17750</v>
      </c>
    </row>
    <row r="4407" spans="1:19" x14ac:dyDescent="0.2">
      <c r="A4407" s="11" t="s">
        <v>43325</v>
      </c>
      <c r="B4407" s="9" t="s">
        <v>43326</v>
      </c>
      <c r="C4407" s="9" t="s">
        <v>43327</v>
      </c>
      <c r="D4407" s="9" t="s">
        <v>43328</v>
      </c>
      <c r="E4407" s="9" t="s">
        <v>17748</v>
      </c>
      <c r="F4407" s="9" t="s">
        <v>43329</v>
      </c>
      <c r="G4407" s="9" t="s">
        <v>17740</v>
      </c>
      <c r="H4407" s="11" t="s">
        <v>17741</v>
      </c>
      <c r="I4407" s="11" t="s">
        <v>7718</v>
      </c>
      <c r="J4407" s="11" t="s">
        <v>7718</v>
      </c>
      <c r="K4407" s="9" t="s">
        <v>91</v>
      </c>
      <c r="L4407" s="9" t="s">
        <v>17744</v>
      </c>
      <c r="M4407" s="9" t="s">
        <v>19012</v>
      </c>
      <c r="N4407" s="9" t="s">
        <v>17746</v>
      </c>
      <c r="O4407" s="9" t="s">
        <v>18363</v>
      </c>
      <c r="P4407" s="9" t="s">
        <v>17748</v>
      </c>
      <c r="Q4407" s="11" t="s">
        <v>18272</v>
      </c>
      <c r="R4407" s="11" t="s">
        <v>18272</v>
      </c>
      <c r="S4407" s="11" t="s">
        <v>17750</v>
      </c>
    </row>
    <row r="4408" spans="1:19" x14ac:dyDescent="0.2">
      <c r="A4408" s="11" t="s">
        <v>43330</v>
      </c>
      <c r="B4408" s="9" t="s">
        <v>43331</v>
      </c>
      <c r="C4408" s="9" t="s">
        <v>43332</v>
      </c>
      <c r="D4408" s="9" t="s">
        <v>43333</v>
      </c>
      <c r="E4408" s="9" t="s">
        <v>17748</v>
      </c>
      <c r="F4408" s="9" t="s">
        <v>43334</v>
      </c>
      <c r="G4408" s="9" t="s">
        <v>17740</v>
      </c>
      <c r="H4408" s="11" t="s">
        <v>43335</v>
      </c>
      <c r="I4408" s="11" t="s">
        <v>43336</v>
      </c>
      <c r="J4408" s="11" t="s">
        <v>17741</v>
      </c>
      <c r="K4408" s="9" t="s">
        <v>91</v>
      </c>
      <c r="L4408" s="9" t="s">
        <v>17759</v>
      </c>
      <c r="M4408" s="9" t="s">
        <v>17817</v>
      </c>
      <c r="N4408" s="9" t="s">
        <v>17746</v>
      </c>
      <c r="O4408" s="9" t="s">
        <v>20746</v>
      </c>
      <c r="P4408" s="9" t="s">
        <v>17748</v>
      </c>
      <c r="Q4408" s="11" t="s">
        <v>17923</v>
      </c>
      <c r="R4408" s="11" t="s">
        <v>17923</v>
      </c>
      <c r="S4408" s="11" t="s">
        <v>17750</v>
      </c>
    </row>
    <row r="4409" spans="1:19" x14ac:dyDescent="0.2">
      <c r="A4409" s="11" t="s">
        <v>43337</v>
      </c>
      <c r="B4409" s="9" t="s">
        <v>43338</v>
      </c>
      <c r="C4409" s="9" t="s">
        <v>43339</v>
      </c>
      <c r="D4409" s="9" t="s">
        <v>3264</v>
      </c>
      <c r="E4409" s="9" t="s">
        <v>17740</v>
      </c>
      <c r="F4409" s="9" t="s">
        <v>17741</v>
      </c>
      <c r="G4409" s="9" t="s">
        <v>17740</v>
      </c>
      <c r="H4409" s="11" t="s">
        <v>3266</v>
      </c>
      <c r="I4409" s="11" t="s">
        <v>3265</v>
      </c>
      <c r="J4409" s="11" t="s">
        <v>3265</v>
      </c>
      <c r="K4409" s="9" t="s">
        <v>291</v>
      </c>
      <c r="L4409" s="9" t="s">
        <v>17744</v>
      </c>
      <c r="M4409" s="9" t="s">
        <v>17760</v>
      </c>
      <c r="N4409" s="9" t="s">
        <v>17746</v>
      </c>
      <c r="O4409" s="9" t="s">
        <v>43236</v>
      </c>
      <c r="P4409" s="9" t="s">
        <v>17748</v>
      </c>
      <c r="Q4409" s="11" t="s">
        <v>19515</v>
      </c>
      <c r="R4409" s="11" t="s">
        <v>19515</v>
      </c>
      <c r="S4409" s="11" t="s">
        <v>17750</v>
      </c>
    </row>
    <row r="4410" spans="1:19" x14ac:dyDescent="0.2">
      <c r="A4410" s="11" t="s">
        <v>43340</v>
      </c>
      <c r="B4410" s="9" t="s">
        <v>43341</v>
      </c>
      <c r="C4410" s="9" t="s">
        <v>43342</v>
      </c>
      <c r="D4410" s="9" t="s">
        <v>43343</v>
      </c>
      <c r="E4410" s="9" t="s">
        <v>17740</v>
      </c>
      <c r="F4410" s="9" t="s">
        <v>17741</v>
      </c>
      <c r="G4410" s="9" t="s">
        <v>17740</v>
      </c>
      <c r="H4410" s="11" t="s">
        <v>17741</v>
      </c>
      <c r="I4410" s="11" t="s">
        <v>43344</v>
      </c>
      <c r="J4410" s="11" t="s">
        <v>43344</v>
      </c>
      <c r="K4410" s="9" t="s">
        <v>43345</v>
      </c>
      <c r="L4410" s="9" t="s">
        <v>17759</v>
      </c>
      <c r="M4410" s="9" t="s">
        <v>17760</v>
      </c>
      <c r="N4410" s="9" t="s">
        <v>17746</v>
      </c>
      <c r="O4410" s="9" t="s">
        <v>17800</v>
      </c>
      <c r="P4410" s="9" t="s">
        <v>17748</v>
      </c>
      <c r="Q4410" s="11" t="s">
        <v>18002</v>
      </c>
      <c r="R4410" s="11" t="s">
        <v>18002</v>
      </c>
      <c r="S4410" s="11" t="s">
        <v>17750</v>
      </c>
    </row>
    <row r="4411" spans="1:19" x14ac:dyDescent="0.2">
      <c r="A4411" s="11" t="s">
        <v>43346</v>
      </c>
      <c r="B4411" s="9" t="s">
        <v>43347</v>
      </c>
      <c r="C4411" s="9" t="s">
        <v>43348</v>
      </c>
      <c r="D4411" s="9" t="s">
        <v>43349</v>
      </c>
      <c r="E4411" s="9" t="s">
        <v>17740</v>
      </c>
      <c r="F4411" s="9" t="s">
        <v>43350</v>
      </c>
      <c r="G4411" s="9" t="s">
        <v>17740</v>
      </c>
      <c r="H4411" s="11" t="s">
        <v>43351</v>
      </c>
      <c r="I4411" s="11" t="s">
        <v>43352</v>
      </c>
      <c r="J4411" s="11" t="s">
        <v>43352</v>
      </c>
      <c r="K4411" s="9" t="s">
        <v>6914</v>
      </c>
      <c r="L4411" s="9" t="s">
        <v>17744</v>
      </c>
      <c r="M4411" s="9" t="s">
        <v>43353</v>
      </c>
      <c r="N4411" s="9" t="s">
        <v>17746</v>
      </c>
      <c r="O4411" s="9" t="s">
        <v>22701</v>
      </c>
      <c r="P4411" s="9" t="s">
        <v>17748</v>
      </c>
      <c r="Q4411" s="11" t="s">
        <v>17858</v>
      </c>
      <c r="R4411" s="11" t="s">
        <v>17858</v>
      </c>
      <c r="S4411" s="11" t="s">
        <v>17750</v>
      </c>
    </row>
    <row r="4412" spans="1:19" x14ac:dyDescent="0.2">
      <c r="A4412" s="11" t="s">
        <v>43354</v>
      </c>
      <c r="B4412" s="9" t="s">
        <v>43355</v>
      </c>
      <c r="C4412" s="9" t="s">
        <v>43356</v>
      </c>
      <c r="D4412" s="9" t="s">
        <v>43357</v>
      </c>
      <c r="E4412" s="9" t="s">
        <v>17740</v>
      </c>
      <c r="F4412" s="9" t="s">
        <v>17741</v>
      </c>
      <c r="G4412" s="9" t="s">
        <v>17740</v>
      </c>
      <c r="H4412" s="11" t="s">
        <v>43358</v>
      </c>
      <c r="I4412" s="11" t="s">
        <v>43359</v>
      </c>
      <c r="J4412" s="11" t="s">
        <v>43358</v>
      </c>
      <c r="K4412" s="9" t="s">
        <v>776</v>
      </c>
      <c r="L4412" s="9" t="s">
        <v>17759</v>
      </c>
      <c r="M4412" s="9" t="s">
        <v>19189</v>
      </c>
      <c r="N4412" s="9" t="s">
        <v>17746</v>
      </c>
      <c r="O4412" s="9" t="s">
        <v>773</v>
      </c>
      <c r="P4412" s="9" t="s">
        <v>17748</v>
      </c>
      <c r="Q4412" s="11" t="s">
        <v>18356</v>
      </c>
      <c r="R4412" s="11" t="s">
        <v>18356</v>
      </c>
      <c r="S4412" s="11" t="s">
        <v>17750</v>
      </c>
    </row>
    <row r="4413" spans="1:19" x14ac:dyDescent="0.2">
      <c r="A4413" s="11" t="s">
        <v>43360</v>
      </c>
      <c r="B4413" s="9" t="s">
        <v>43361</v>
      </c>
      <c r="C4413" s="9" t="s">
        <v>43362</v>
      </c>
      <c r="D4413" s="9" t="s">
        <v>43363</v>
      </c>
      <c r="E4413" s="9" t="s">
        <v>17740</v>
      </c>
      <c r="F4413" s="9" t="s">
        <v>17741</v>
      </c>
      <c r="G4413" s="9" t="s">
        <v>17740</v>
      </c>
      <c r="H4413" s="11" t="s">
        <v>17741</v>
      </c>
      <c r="I4413" s="11" t="s">
        <v>43364</v>
      </c>
      <c r="J4413" s="11" t="s">
        <v>43364</v>
      </c>
      <c r="K4413" s="9" t="s">
        <v>19141</v>
      </c>
      <c r="L4413" s="9" t="s">
        <v>17759</v>
      </c>
      <c r="M4413" s="9" t="s">
        <v>18211</v>
      </c>
      <c r="N4413" s="9" t="s">
        <v>17746</v>
      </c>
      <c r="O4413" s="9" t="s">
        <v>43365</v>
      </c>
      <c r="P4413" s="9" t="s">
        <v>17748</v>
      </c>
      <c r="Q4413" s="11" t="s">
        <v>17780</v>
      </c>
      <c r="R4413" s="11" t="s">
        <v>17780</v>
      </c>
      <c r="S4413" s="11" t="s">
        <v>17750</v>
      </c>
    </row>
    <row r="4414" spans="1:19" x14ac:dyDescent="0.2">
      <c r="A4414" s="11" t="s">
        <v>43366</v>
      </c>
      <c r="B4414" s="9" t="s">
        <v>10373</v>
      </c>
      <c r="C4414" s="9" t="s">
        <v>43367</v>
      </c>
      <c r="D4414" s="9" t="s">
        <v>10373</v>
      </c>
      <c r="E4414" s="9" t="s">
        <v>17740</v>
      </c>
      <c r="F4414" s="9" t="s">
        <v>17741</v>
      </c>
      <c r="G4414" s="9" t="s">
        <v>17740</v>
      </c>
      <c r="H4414" s="11" t="s">
        <v>10375</v>
      </c>
      <c r="I4414" s="11" t="s">
        <v>10374</v>
      </c>
      <c r="J4414" s="11" t="s">
        <v>10374</v>
      </c>
      <c r="K4414" s="9" t="s">
        <v>10332</v>
      </c>
      <c r="L4414" s="9" t="s">
        <v>17759</v>
      </c>
      <c r="M4414" s="9" t="s">
        <v>21794</v>
      </c>
      <c r="N4414" s="9" t="s">
        <v>17746</v>
      </c>
      <c r="O4414" s="9" t="s">
        <v>43368</v>
      </c>
      <c r="P4414" s="9" t="s">
        <v>17748</v>
      </c>
      <c r="Q4414" s="11" t="s">
        <v>17780</v>
      </c>
      <c r="R4414" s="11" t="s">
        <v>17780</v>
      </c>
      <c r="S4414" s="11" t="s">
        <v>17750</v>
      </c>
    </row>
    <row r="4415" spans="1:19" x14ac:dyDescent="0.2">
      <c r="A4415" s="11" t="s">
        <v>43369</v>
      </c>
      <c r="B4415" s="9" t="s">
        <v>43370</v>
      </c>
      <c r="C4415" s="9" t="s">
        <v>43371</v>
      </c>
      <c r="D4415" s="9" t="s">
        <v>43370</v>
      </c>
      <c r="E4415" s="9" t="s">
        <v>17740</v>
      </c>
      <c r="F4415" s="9" t="s">
        <v>43372</v>
      </c>
      <c r="G4415" s="9" t="s">
        <v>17740</v>
      </c>
      <c r="H4415" s="11" t="s">
        <v>17741</v>
      </c>
      <c r="I4415" s="11" t="s">
        <v>43373</v>
      </c>
      <c r="J4415" s="11" t="s">
        <v>43373</v>
      </c>
      <c r="K4415" s="9" t="s">
        <v>39529</v>
      </c>
      <c r="L4415" s="9" t="s">
        <v>17967</v>
      </c>
      <c r="M4415" s="9" t="s">
        <v>18745</v>
      </c>
      <c r="N4415" s="9" t="s">
        <v>18042</v>
      </c>
      <c r="O4415" s="9" t="s">
        <v>20690</v>
      </c>
      <c r="P4415" s="9" t="s">
        <v>17748</v>
      </c>
      <c r="Q4415" s="11" t="s">
        <v>19236</v>
      </c>
      <c r="R4415" s="11" t="s">
        <v>19236</v>
      </c>
      <c r="S4415" s="11" t="s">
        <v>17750</v>
      </c>
    </row>
    <row r="4416" spans="1:19" x14ac:dyDescent="0.2">
      <c r="A4416" s="11" t="s">
        <v>43374</v>
      </c>
      <c r="B4416" s="9" t="s">
        <v>43375</v>
      </c>
      <c r="C4416" s="9" t="s">
        <v>43376</v>
      </c>
      <c r="D4416" s="9" t="s">
        <v>43377</v>
      </c>
      <c r="E4416" s="9" t="s">
        <v>17740</v>
      </c>
      <c r="F4416" s="9" t="s">
        <v>43378</v>
      </c>
      <c r="G4416" s="9" t="s">
        <v>17740</v>
      </c>
      <c r="H4416" s="11" t="s">
        <v>43379</v>
      </c>
      <c r="I4416" s="11" t="s">
        <v>43380</v>
      </c>
      <c r="J4416" s="11" t="s">
        <v>43380</v>
      </c>
      <c r="K4416" s="9" t="s">
        <v>27520</v>
      </c>
      <c r="L4416" s="9" t="s">
        <v>18001</v>
      </c>
      <c r="M4416" s="9" t="s">
        <v>18065</v>
      </c>
      <c r="N4416" s="9" t="s">
        <v>17746</v>
      </c>
      <c r="O4416" s="9" t="s">
        <v>30047</v>
      </c>
      <c r="P4416" s="9" t="s">
        <v>17748</v>
      </c>
      <c r="Q4416" s="11" t="s">
        <v>18341</v>
      </c>
      <c r="R4416" s="11" t="s">
        <v>18341</v>
      </c>
      <c r="S4416" s="11" t="s">
        <v>17750</v>
      </c>
    </row>
    <row r="4417" spans="1:19" x14ac:dyDescent="0.2">
      <c r="A4417" s="11" t="s">
        <v>43381</v>
      </c>
      <c r="B4417" s="9" t="s">
        <v>43382</v>
      </c>
      <c r="C4417" s="9" t="s">
        <v>43383</v>
      </c>
      <c r="D4417" s="9" t="s">
        <v>43384</v>
      </c>
      <c r="E4417" s="9" t="s">
        <v>17740</v>
      </c>
      <c r="F4417" s="9" t="s">
        <v>43385</v>
      </c>
      <c r="G4417" s="9" t="s">
        <v>17740</v>
      </c>
      <c r="H4417" s="11" t="s">
        <v>3272</v>
      </c>
      <c r="I4417" s="11" t="s">
        <v>3271</v>
      </c>
      <c r="J4417" s="11" t="s">
        <v>3271</v>
      </c>
      <c r="K4417" s="9" t="s">
        <v>18176</v>
      </c>
      <c r="L4417" s="9" t="s">
        <v>18123</v>
      </c>
      <c r="M4417" s="9" t="s">
        <v>17769</v>
      </c>
      <c r="N4417" s="9" t="s">
        <v>17746</v>
      </c>
      <c r="O4417" s="9" t="s">
        <v>18418</v>
      </c>
      <c r="P4417" s="9" t="s">
        <v>17748</v>
      </c>
      <c r="Q4417" s="11" t="s">
        <v>19082</v>
      </c>
      <c r="R4417" s="11" t="s">
        <v>19082</v>
      </c>
      <c r="S4417" s="11" t="s">
        <v>17750</v>
      </c>
    </row>
    <row r="4418" spans="1:19" x14ac:dyDescent="0.2">
      <c r="A4418" s="11" t="s">
        <v>43386</v>
      </c>
      <c r="B4418" s="9" t="s">
        <v>43387</v>
      </c>
      <c r="C4418" s="9" t="s">
        <v>43388</v>
      </c>
      <c r="D4418" s="9" t="s">
        <v>43389</v>
      </c>
      <c r="E4418" s="9" t="s">
        <v>17740</v>
      </c>
      <c r="F4418" s="9" t="s">
        <v>43390</v>
      </c>
      <c r="G4418" s="9" t="s">
        <v>17740</v>
      </c>
      <c r="H4418" s="11" t="s">
        <v>17741</v>
      </c>
      <c r="I4418" s="11" t="s">
        <v>43391</v>
      </c>
      <c r="J4418" s="11" t="s">
        <v>43391</v>
      </c>
      <c r="K4418" s="9" t="s">
        <v>43392</v>
      </c>
      <c r="L4418" s="9" t="s">
        <v>17759</v>
      </c>
      <c r="M4418" s="9" t="s">
        <v>17760</v>
      </c>
      <c r="N4418" s="9" t="s">
        <v>17746</v>
      </c>
      <c r="O4418" s="9" t="s">
        <v>43393</v>
      </c>
      <c r="P4418" s="9" t="s">
        <v>17748</v>
      </c>
      <c r="Q4418" s="11" t="s">
        <v>18080</v>
      </c>
      <c r="R4418" s="11" t="s">
        <v>18080</v>
      </c>
      <c r="S4418" s="11" t="s">
        <v>17750</v>
      </c>
    </row>
    <row r="4419" spans="1:19" x14ac:dyDescent="0.2">
      <c r="A4419" s="11" t="s">
        <v>43394</v>
      </c>
      <c r="B4419" s="9" t="s">
        <v>43395</v>
      </c>
      <c r="C4419" s="9" t="s">
        <v>43396</v>
      </c>
      <c r="D4419" s="9" t="s">
        <v>43397</v>
      </c>
      <c r="E4419" s="9" t="s">
        <v>17748</v>
      </c>
      <c r="F4419" s="9" t="s">
        <v>43398</v>
      </c>
      <c r="G4419" s="9" t="s">
        <v>17740</v>
      </c>
      <c r="H4419" s="11" t="s">
        <v>17741</v>
      </c>
      <c r="I4419" s="11" t="s">
        <v>43399</v>
      </c>
      <c r="J4419" s="11" t="s">
        <v>43399</v>
      </c>
      <c r="K4419" s="9" t="s">
        <v>43400</v>
      </c>
      <c r="L4419" s="9" t="s">
        <v>18959</v>
      </c>
      <c r="M4419" s="9" t="s">
        <v>17760</v>
      </c>
      <c r="N4419" s="9" t="s">
        <v>17746</v>
      </c>
      <c r="O4419" s="9" t="s">
        <v>37542</v>
      </c>
      <c r="P4419" s="9" t="s">
        <v>17748</v>
      </c>
      <c r="Q4419" s="11" t="s">
        <v>17923</v>
      </c>
      <c r="R4419" s="11" t="s">
        <v>17923</v>
      </c>
      <c r="S4419" s="11" t="s">
        <v>17750</v>
      </c>
    </row>
    <row r="4420" spans="1:19" x14ac:dyDescent="0.2">
      <c r="A4420" s="11" t="s">
        <v>43401</v>
      </c>
      <c r="B4420" s="9" t="s">
        <v>43402</v>
      </c>
      <c r="C4420" s="9" t="s">
        <v>43403</v>
      </c>
      <c r="D4420" s="9" t="s">
        <v>43404</v>
      </c>
      <c r="E4420" s="9" t="s">
        <v>17740</v>
      </c>
      <c r="F4420" s="9" t="s">
        <v>17741</v>
      </c>
      <c r="G4420" s="9" t="s">
        <v>17740</v>
      </c>
      <c r="H4420" s="11" t="s">
        <v>11678</v>
      </c>
      <c r="I4420" s="11" t="s">
        <v>17741</v>
      </c>
      <c r="J4420" s="11" t="s">
        <v>11678</v>
      </c>
      <c r="K4420" s="9" t="s">
        <v>18570</v>
      </c>
      <c r="L4420" s="9" t="s">
        <v>17744</v>
      </c>
      <c r="M4420" s="9" t="s">
        <v>17741</v>
      </c>
      <c r="N4420" s="9" t="s">
        <v>17746</v>
      </c>
      <c r="O4420" s="9" t="s">
        <v>17993</v>
      </c>
      <c r="P4420" s="9" t="s">
        <v>17748</v>
      </c>
      <c r="Q4420" s="11" t="s">
        <v>17762</v>
      </c>
      <c r="R4420" s="11" t="s">
        <v>17762</v>
      </c>
      <c r="S4420" s="11" t="s">
        <v>17750</v>
      </c>
    </row>
    <row r="4421" spans="1:19" x14ac:dyDescent="0.2">
      <c r="A4421" s="11" t="s">
        <v>43405</v>
      </c>
      <c r="B4421" s="9" t="s">
        <v>43406</v>
      </c>
      <c r="C4421" s="9" t="s">
        <v>43407</v>
      </c>
      <c r="D4421" s="9" t="s">
        <v>43408</v>
      </c>
      <c r="E4421" s="9" t="s">
        <v>17740</v>
      </c>
      <c r="F4421" s="9" t="s">
        <v>43409</v>
      </c>
      <c r="G4421" s="9" t="s">
        <v>17740</v>
      </c>
      <c r="H4421" s="11" t="s">
        <v>43410</v>
      </c>
      <c r="I4421" s="11" t="s">
        <v>43411</v>
      </c>
      <c r="J4421" s="11" t="s">
        <v>43411</v>
      </c>
      <c r="K4421" s="9" t="s">
        <v>50</v>
      </c>
      <c r="L4421" s="9" t="s">
        <v>17744</v>
      </c>
      <c r="M4421" s="9" t="s">
        <v>17760</v>
      </c>
      <c r="N4421" s="9" t="s">
        <v>17746</v>
      </c>
      <c r="O4421" s="9" t="s">
        <v>19754</v>
      </c>
      <c r="P4421" s="9" t="s">
        <v>17748</v>
      </c>
      <c r="Q4421" s="11" t="s">
        <v>17994</v>
      </c>
      <c r="R4421" s="11" t="s">
        <v>17994</v>
      </c>
      <c r="S4421" s="11" t="s">
        <v>17750</v>
      </c>
    </row>
    <row r="4422" spans="1:19" x14ac:dyDescent="0.2">
      <c r="A4422" s="11" t="s">
        <v>43412</v>
      </c>
      <c r="B4422" s="9" t="s">
        <v>43413</v>
      </c>
      <c r="C4422" s="9" t="s">
        <v>43414</v>
      </c>
      <c r="D4422" s="9" t="s">
        <v>43415</v>
      </c>
      <c r="E4422" s="9" t="s">
        <v>17748</v>
      </c>
      <c r="F4422" s="9" t="s">
        <v>43416</v>
      </c>
      <c r="G4422" s="9" t="s">
        <v>17740</v>
      </c>
      <c r="H4422" s="11" t="s">
        <v>43417</v>
      </c>
      <c r="I4422" s="11" t="s">
        <v>43418</v>
      </c>
      <c r="J4422" s="11" t="s">
        <v>17741</v>
      </c>
      <c r="K4422" s="9" t="s">
        <v>28691</v>
      </c>
      <c r="L4422" s="9" t="s">
        <v>17759</v>
      </c>
      <c r="M4422" s="9" t="s">
        <v>43419</v>
      </c>
      <c r="N4422" s="9" t="s">
        <v>17746</v>
      </c>
      <c r="O4422" s="9" t="s">
        <v>19754</v>
      </c>
      <c r="P4422" s="9" t="s">
        <v>17748</v>
      </c>
      <c r="Q4422" s="11" t="s">
        <v>17909</v>
      </c>
      <c r="R4422" s="11" t="s">
        <v>17909</v>
      </c>
      <c r="S4422" s="11" t="s">
        <v>17750</v>
      </c>
    </row>
    <row r="4423" spans="1:19" x14ac:dyDescent="0.2">
      <c r="A4423" s="11" t="s">
        <v>43420</v>
      </c>
      <c r="B4423" s="9" t="s">
        <v>43421</v>
      </c>
      <c r="C4423" s="9" t="s">
        <v>43422</v>
      </c>
      <c r="D4423" s="9" t="s">
        <v>43423</v>
      </c>
      <c r="E4423" s="9" t="s">
        <v>17740</v>
      </c>
      <c r="F4423" s="9" t="s">
        <v>17741</v>
      </c>
      <c r="G4423" s="9" t="s">
        <v>17740</v>
      </c>
      <c r="H4423" s="11" t="s">
        <v>17741</v>
      </c>
      <c r="I4423" s="11" t="s">
        <v>43424</v>
      </c>
      <c r="J4423" s="11" t="s">
        <v>43424</v>
      </c>
      <c r="K4423" s="9" t="s">
        <v>3916</v>
      </c>
      <c r="L4423" s="9" t="s">
        <v>20359</v>
      </c>
      <c r="M4423" s="9" t="s">
        <v>17942</v>
      </c>
      <c r="N4423" s="9" t="s">
        <v>18042</v>
      </c>
      <c r="O4423" s="9" t="s">
        <v>18340</v>
      </c>
      <c r="P4423" s="9" t="s">
        <v>17748</v>
      </c>
      <c r="Q4423" s="11" t="s">
        <v>19866</v>
      </c>
      <c r="R4423" s="11" t="s">
        <v>19866</v>
      </c>
      <c r="S4423" s="11" t="s">
        <v>17750</v>
      </c>
    </row>
    <row r="4424" spans="1:19" x14ac:dyDescent="0.2">
      <c r="A4424" s="11" t="s">
        <v>43425</v>
      </c>
      <c r="B4424" s="9" t="s">
        <v>43426</v>
      </c>
      <c r="C4424" s="9" t="s">
        <v>43427</v>
      </c>
      <c r="D4424" s="9" t="s">
        <v>43428</v>
      </c>
      <c r="E4424" s="9" t="s">
        <v>17740</v>
      </c>
      <c r="F4424" s="9" t="s">
        <v>17741</v>
      </c>
      <c r="G4424" s="9" t="s">
        <v>17740</v>
      </c>
      <c r="H4424" s="11" t="s">
        <v>43429</v>
      </c>
      <c r="I4424" s="11" t="s">
        <v>43430</v>
      </c>
      <c r="J4424" s="11" t="s">
        <v>43430</v>
      </c>
      <c r="K4424" s="9" t="s">
        <v>18727</v>
      </c>
      <c r="L4424" s="9" t="s">
        <v>18158</v>
      </c>
      <c r="M4424" s="9" t="s">
        <v>24699</v>
      </c>
      <c r="N4424" s="9" t="s">
        <v>18185</v>
      </c>
      <c r="O4424" s="9" t="s">
        <v>3276</v>
      </c>
      <c r="P4424" s="9" t="s">
        <v>17748</v>
      </c>
      <c r="Q4424" s="11" t="s">
        <v>19082</v>
      </c>
      <c r="R4424" s="11" t="s">
        <v>19082</v>
      </c>
      <c r="S4424" s="11" t="s">
        <v>17750</v>
      </c>
    </row>
    <row r="4425" spans="1:19" x14ac:dyDescent="0.2">
      <c r="A4425" s="11" t="s">
        <v>43431</v>
      </c>
      <c r="B4425" s="9" t="s">
        <v>43432</v>
      </c>
      <c r="C4425" s="9" t="s">
        <v>43433</v>
      </c>
      <c r="D4425" s="9" t="s">
        <v>43434</v>
      </c>
      <c r="E4425" s="9" t="s">
        <v>17740</v>
      </c>
      <c r="F4425" s="9" t="s">
        <v>43435</v>
      </c>
      <c r="G4425" s="9" t="s">
        <v>17740</v>
      </c>
      <c r="H4425" s="11" t="s">
        <v>43436</v>
      </c>
      <c r="I4425" s="11" t="s">
        <v>43437</v>
      </c>
      <c r="J4425" s="11" t="s">
        <v>43437</v>
      </c>
      <c r="K4425" s="9" t="s">
        <v>43438</v>
      </c>
      <c r="L4425" s="9" t="s">
        <v>17759</v>
      </c>
      <c r="M4425" s="9" t="s">
        <v>17769</v>
      </c>
      <c r="N4425" s="9" t="s">
        <v>17746</v>
      </c>
      <c r="O4425" s="9" t="s">
        <v>43439</v>
      </c>
      <c r="P4425" s="9" t="s">
        <v>17748</v>
      </c>
      <c r="Q4425" s="11" t="s">
        <v>17978</v>
      </c>
      <c r="R4425" s="11" t="s">
        <v>17978</v>
      </c>
      <c r="S4425" s="11" t="s">
        <v>17750</v>
      </c>
    </row>
    <row r="4426" spans="1:19" x14ac:dyDescent="0.2">
      <c r="A4426" s="11" t="s">
        <v>43440</v>
      </c>
      <c r="B4426" s="9" t="s">
        <v>43441</v>
      </c>
      <c r="C4426" s="9" t="s">
        <v>43442</v>
      </c>
      <c r="D4426" s="9" t="s">
        <v>43443</v>
      </c>
      <c r="E4426" s="9" t="s">
        <v>17740</v>
      </c>
      <c r="F4426" s="9" t="s">
        <v>17741</v>
      </c>
      <c r="G4426" s="9" t="s">
        <v>17740</v>
      </c>
      <c r="H4426" s="11" t="s">
        <v>43444</v>
      </c>
      <c r="I4426" s="11" t="s">
        <v>43445</v>
      </c>
      <c r="J4426" s="11" t="s">
        <v>43445</v>
      </c>
      <c r="K4426" s="9" t="s">
        <v>20343</v>
      </c>
      <c r="L4426" s="9" t="s">
        <v>20082</v>
      </c>
      <c r="M4426" s="9" t="s">
        <v>17760</v>
      </c>
      <c r="N4426" s="9" t="s">
        <v>17746</v>
      </c>
      <c r="O4426" s="9" t="s">
        <v>3276</v>
      </c>
      <c r="P4426" s="9" t="s">
        <v>17748</v>
      </c>
      <c r="Q4426" s="11" t="s">
        <v>17825</v>
      </c>
      <c r="R4426" s="11" t="s">
        <v>17825</v>
      </c>
      <c r="S4426" s="11" t="s">
        <v>17750</v>
      </c>
    </row>
    <row r="4427" spans="1:19" x14ac:dyDescent="0.2">
      <c r="A4427" s="11" t="s">
        <v>43446</v>
      </c>
      <c r="B4427" s="9" t="s">
        <v>43447</v>
      </c>
      <c r="C4427" s="9" t="s">
        <v>43448</v>
      </c>
      <c r="D4427" s="9" t="s">
        <v>43449</v>
      </c>
      <c r="E4427" s="9" t="s">
        <v>17740</v>
      </c>
      <c r="F4427" s="9" t="s">
        <v>17741</v>
      </c>
      <c r="G4427" s="9" t="s">
        <v>17740</v>
      </c>
      <c r="H4427" s="11" t="s">
        <v>13398</v>
      </c>
      <c r="I4427" s="11" t="s">
        <v>17741</v>
      </c>
      <c r="J4427" s="11" t="s">
        <v>13398</v>
      </c>
      <c r="K4427" s="9" t="s">
        <v>85</v>
      </c>
      <c r="L4427" s="9" t="s">
        <v>20359</v>
      </c>
      <c r="M4427" s="9" t="s">
        <v>43450</v>
      </c>
      <c r="N4427" s="9" t="s">
        <v>17746</v>
      </c>
      <c r="O4427" s="9" t="s">
        <v>21378</v>
      </c>
      <c r="P4427" s="9" t="s">
        <v>17748</v>
      </c>
      <c r="Q4427" s="11" t="s">
        <v>17825</v>
      </c>
      <c r="R4427" s="11" t="s">
        <v>17825</v>
      </c>
      <c r="S4427" s="11" t="s">
        <v>17750</v>
      </c>
    </row>
    <row r="4428" spans="1:19" x14ac:dyDescent="0.2">
      <c r="A4428" s="11" t="s">
        <v>43451</v>
      </c>
      <c r="B4428" s="9" t="s">
        <v>43452</v>
      </c>
      <c r="C4428" s="9" t="s">
        <v>43453</v>
      </c>
      <c r="D4428" s="9" t="s">
        <v>43454</v>
      </c>
      <c r="E4428" s="9" t="s">
        <v>17740</v>
      </c>
      <c r="F4428" s="9" t="s">
        <v>17741</v>
      </c>
      <c r="G4428" s="9" t="s">
        <v>17740</v>
      </c>
      <c r="H4428" s="11" t="s">
        <v>3239</v>
      </c>
      <c r="I4428" s="11" t="s">
        <v>3238</v>
      </c>
      <c r="J4428" s="11" t="s">
        <v>3238</v>
      </c>
      <c r="K4428" s="9" t="s">
        <v>303</v>
      </c>
      <c r="L4428" s="9" t="s">
        <v>17759</v>
      </c>
      <c r="M4428" s="9" t="s">
        <v>17760</v>
      </c>
      <c r="N4428" s="9" t="s">
        <v>17746</v>
      </c>
      <c r="O4428" s="9" t="s">
        <v>3276</v>
      </c>
      <c r="P4428" s="9" t="s">
        <v>17748</v>
      </c>
      <c r="Q4428" s="11" t="s">
        <v>18282</v>
      </c>
      <c r="R4428" s="11" t="s">
        <v>18282</v>
      </c>
      <c r="S4428" s="11" t="s">
        <v>17750</v>
      </c>
    </row>
    <row r="4429" spans="1:19" x14ac:dyDescent="0.2">
      <c r="A4429" s="11" t="s">
        <v>43455</v>
      </c>
      <c r="B4429" s="9" t="s">
        <v>3276</v>
      </c>
      <c r="C4429" s="9" t="s">
        <v>43456</v>
      </c>
      <c r="D4429" s="9" t="s">
        <v>3276</v>
      </c>
      <c r="E4429" s="9" t="s">
        <v>17740</v>
      </c>
      <c r="F4429" s="9" t="s">
        <v>17741</v>
      </c>
      <c r="G4429" s="9" t="s">
        <v>17740</v>
      </c>
      <c r="H4429" s="11" t="s">
        <v>43457</v>
      </c>
      <c r="I4429" s="11" t="s">
        <v>3277</v>
      </c>
      <c r="J4429" s="11" t="s">
        <v>3277</v>
      </c>
      <c r="K4429" s="9" t="s">
        <v>43458</v>
      </c>
      <c r="L4429" s="9" t="s">
        <v>17759</v>
      </c>
      <c r="M4429" s="9" t="s">
        <v>17817</v>
      </c>
      <c r="N4429" s="9" t="s">
        <v>17746</v>
      </c>
      <c r="O4429" s="9" t="s">
        <v>3276</v>
      </c>
      <c r="P4429" s="9" t="s">
        <v>17748</v>
      </c>
      <c r="Q4429" s="11" t="s">
        <v>19335</v>
      </c>
      <c r="R4429" s="11" t="s">
        <v>19335</v>
      </c>
      <c r="S4429" s="11" t="s">
        <v>17750</v>
      </c>
    </row>
    <row r="4430" spans="1:19" x14ac:dyDescent="0.2">
      <c r="A4430" s="11" t="s">
        <v>43459</v>
      </c>
      <c r="B4430" s="9" t="s">
        <v>43460</v>
      </c>
      <c r="C4430" s="9" t="s">
        <v>43461</v>
      </c>
      <c r="D4430" s="9" t="s">
        <v>43462</v>
      </c>
      <c r="E4430" s="9" t="s">
        <v>17740</v>
      </c>
      <c r="F4430" s="9" t="s">
        <v>17741</v>
      </c>
      <c r="G4430" s="9" t="s">
        <v>17740</v>
      </c>
      <c r="H4430" s="11" t="s">
        <v>43463</v>
      </c>
      <c r="I4430" s="11" t="s">
        <v>43464</v>
      </c>
      <c r="J4430" s="11" t="s">
        <v>43464</v>
      </c>
      <c r="K4430" s="9" t="s">
        <v>43465</v>
      </c>
      <c r="L4430" s="9" t="s">
        <v>17967</v>
      </c>
      <c r="M4430" s="9" t="s">
        <v>20280</v>
      </c>
      <c r="N4430" s="9" t="s">
        <v>17746</v>
      </c>
      <c r="O4430" s="9" t="s">
        <v>43466</v>
      </c>
      <c r="P4430" s="9" t="s">
        <v>17748</v>
      </c>
      <c r="Q4430" s="11" t="s">
        <v>18356</v>
      </c>
      <c r="R4430" s="11" t="s">
        <v>18356</v>
      </c>
      <c r="S4430" s="11" t="s">
        <v>17750</v>
      </c>
    </row>
    <row r="4431" spans="1:19" x14ac:dyDescent="0.2">
      <c r="A4431" s="11" t="s">
        <v>43467</v>
      </c>
      <c r="B4431" s="9" t="s">
        <v>43468</v>
      </c>
      <c r="C4431" s="9" t="s">
        <v>43469</v>
      </c>
      <c r="D4431" s="9" t="s">
        <v>43470</v>
      </c>
      <c r="E4431" s="9" t="s">
        <v>17740</v>
      </c>
      <c r="F4431" s="9" t="s">
        <v>17741</v>
      </c>
      <c r="G4431" s="9" t="s">
        <v>17740</v>
      </c>
      <c r="H4431" s="11" t="s">
        <v>3269</v>
      </c>
      <c r="I4431" s="11" t="s">
        <v>3268</v>
      </c>
      <c r="J4431" s="11" t="s">
        <v>3268</v>
      </c>
      <c r="K4431" s="9" t="s">
        <v>17975</v>
      </c>
      <c r="L4431" s="9" t="s">
        <v>17976</v>
      </c>
      <c r="M4431" s="9" t="s">
        <v>23186</v>
      </c>
      <c r="N4431" s="9" t="s">
        <v>18469</v>
      </c>
      <c r="O4431" s="9" t="s">
        <v>43471</v>
      </c>
      <c r="P4431" s="9" t="s">
        <v>17748</v>
      </c>
      <c r="Q4431" s="11" t="s">
        <v>43472</v>
      </c>
      <c r="R4431" s="11" t="s">
        <v>43472</v>
      </c>
      <c r="S4431" s="11" t="s">
        <v>17750</v>
      </c>
    </row>
    <row r="4432" spans="1:19" x14ac:dyDescent="0.2">
      <c r="A4432" s="11" t="s">
        <v>43473</v>
      </c>
      <c r="B4432" s="9" t="s">
        <v>43474</v>
      </c>
      <c r="C4432" s="9" t="s">
        <v>43475</v>
      </c>
      <c r="D4432" s="9" t="s">
        <v>43476</v>
      </c>
      <c r="E4432" s="9" t="s">
        <v>17740</v>
      </c>
      <c r="F4432" s="9" t="s">
        <v>43477</v>
      </c>
      <c r="G4432" s="9" t="s">
        <v>17740</v>
      </c>
      <c r="H4432" s="11" t="s">
        <v>17741</v>
      </c>
      <c r="I4432" s="11" t="s">
        <v>43478</v>
      </c>
      <c r="J4432" s="11" t="s">
        <v>43478</v>
      </c>
      <c r="K4432" s="9" t="s">
        <v>43479</v>
      </c>
      <c r="L4432" s="9" t="s">
        <v>17976</v>
      </c>
      <c r="M4432" s="9" t="s">
        <v>17778</v>
      </c>
      <c r="N4432" s="9" t="s">
        <v>18469</v>
      </c>
      <c r="O4432" s="9" t="s">
        <v>17747</v>
      </c>
      <c r="P4432" s="9" t="s">
        <v>17748</v>
      </c>
      <c r="Q4432" s="11" t="s">
        <v>17883</v>
      </c>
      <c r="R4432" s="11" t="s">
        <v>17883</v>
      </c>
      <c r="S4432" s="11" t="s">
        <v>17750</v>
      </c>
    </row>
    <row r="4433" spans="1:19" x14ac:dyDescent="0.2">
      <c r="A4433" s="11" t="s">
        <v>43480</v>
      </c>
      <c r="B4433" s="9" t="s">
        <v>43481</v>
      </c>
      <c r="C4433" s="9" t="s">
        <v>43482</v>
      </c>
      <c r="D4433" s="9" t="s">
        <v>43483</v>
      </c>
      <c r="E4433" s="9" t="s">
        <v>17740</v>
      </c>
      <c r="F4433" s="9" t="s">
        <v>17741</v>
      </c>
      <c r="G4433" s="9" t="s">
        <v>17740</v>
      </c>
      <c r="H4433" s="11" t="s">
        <v>17741</v>
      </c>
      <c r="I4433" s="11" t="s">
        <v>43484</v>
      </c>
      <c r="J4433" s="11" t="s">
        <v>43484</v>
      </c>
      <c r="K4433" s="9" t="s">
        <v>43485</v>
      </c>
      <c r="L4433" s="9" t="s">
        <v>18242</v>
      </c>
      <c r="M4433" s="9" t="s">
        <v>18051</v>
      </c>
      <c r="N4433" s="9" t="s">
        <v>17746</v>
      </c>
      <c r="O4433" s="9" t="s">
        <v>17993</v>
      </c>
      <c r="P4433" s="9" t="s">
        <v>17748</v>
      </c>
      <c r="Q4433" s="11" t="s">
        <v>17969</v>
      </c>
      <c r="R4433" s="11" t="s">
        <v>17969</v>
      </c>
      <c r="S4433" s="11" t="s">
        <v>17750</v>
      </c>
    </row>
    <row r="4434" spans="1:19" x14ac:dyDescent="0.2">
      <c r="A4434" s="11" t="s">
        <v>43486</v>
      </c>
      <c r="B4434" s="9" t="s">
        <v>43487</v>
      </c>
      <c r="C4434" s="9" t="s">
        <v>43488</v>
      </c>
      <c r="D4434" s="9" t="s">
        <v>43487</v>
      </c>
      <c r="E4434" s="9" t="s">
        <v>17740</v>
      </c>
      <c r="F4434" s="9" t="s">
        <v>17741</v>
      </c>
      <c r="G4434" s="9" t="s">
        <v>17740</v>
      </c>
      <c r="H4434" s="11" t="s">
        <v>17741</v>
      </c>
      <c r="I4434" s="11" t="s">
        <v>43489</v>
      </c>
      <c r="J4434" s="11" t="s">
        <v>43489</v>
      </c>
      <c r="K4434" s="9" t="s">
        <v>43490</v>
      </c>
      <c r="L4434" s="9" t="s">
        <v>17759</v>
      </c>
      <c r="M4434" s="9" t="s">
        <v>18745</v>
      </c>
      <c r="N4434" s="9" t="s">
        <v>17746</v>
      </c>
      <c r="O4434" s="9" t="s">
        <v>20690</v>
      </c>
      <c r="P4434" s="9" t="s">
        <v>17748</v>
      </c>
      <c r="Q4434" s="11" t="s">
        <v>20691</v>
      </c>
      <c r="R4434" s="11" t="s">
        <v>20691</v>
      </c>
      <c r="S4434" s="11" t="s">
        <v>17750</v>
      </c>
    </row>
    <row r="4435" spans="1:19" x14ac:dyDescent="0.2">
      <c r="A4435" s="11" t="s">
        <v>43491</v>
      </c>
      <c r="B4435" s="9" t="s">
        <v>43492</v>
      </c>
      <c r="C4435" s="9" t="s">
        <v>43493</v>
      </c>
      <c r="D4435" s="9" t="s">
        <v>43494</v>
      </c>
      <c r="E4435" s="9" t="s">
        <v>17740</v>
      </c>
      <c r="F4435" s="9" t="s">
        <v>17741</v>
      </c>
      <c r="G4435" s="9" t="s">
        <v>17740</v>
      </c>
      <c r="H4435" s="11" t="s">
        <v>6095</v>
      </c>
      <c r="I4435" s="11" t="s">
        <v>6094</v>
      </c>
      <c r="J4435" s="11" t="s">
        <v>6094</v>
      </c>
      <c r="K4435" s="9" t="s">
        <v>43495</v>
      </c>
      <c r="L4435" s="9" t="s">
        <v>17744</v>
      </c>
      <c r="M4435" s="9" t="s">
        <v>24600</v>
      </c>
      <c r="N4435" s="9" t="s">
        <v>17746</v>
      </c>
      <c r="O4435" s="9" t="s">
        <v>23791</v>
      </c>
      <c r="P4435" s="9" t="s">
        <v>17748</v>
      </c>
      <c r="Q4435" s="11" t="s">
        <v>17792</v>
      </c>
      <c r="R4435" s="11" t="s">
        <v>17792</v>
      </c>
      <c r="S4435" s="11" t="s">
        <v>17750</v>
      </c>
    </row>
    <row r="4436" spans="1:19" x14ac:dyDescent="0.2">
      <c r="A4436" s="11" t="s">
        <v>43496</v>
      </c>
      <c r="B4436" s="9" t="s">
        <v>43497</v>
      </c>
      <c r="C4436" s="9" t="s">
        <v>43498</v>
      </c>
      <c r="D4436" s="9" t="s">
        <v>43499</v>
      </c>
      <c r="E4436" s="9" t="s">
        <v>17740</v>
      </c>
      <c r="F4436" s="9" t="s">
        <v>17741</v>
      </c>
      <c r="G4436" s="9" t="s">
        <v>17740</v>
      </c>
      <c r="H4436" s="11" t="s">
        <v>5574</v>
      </c>
      <c r="I4436" s="11" t="s">
        <v>5573</v>
      </c>
      <c r="J4436" s="11" t="s">
        <v>5573</v>
      </c>
      <c r="K4436" s="9" t="s">
        <v>17790</v>
      </c>
      <c r="L4436" s="9" t="s">
        <v>17744</v>
      </c>
      <c r="M4436" s="9" t="s">
        <v>18330</v>
      </c>
      <c r="N4436" s="9" t="s">
        <v>17746</v>
      </c>
      <c r="O4436" s="9" t="s">
        <v>21383</v>
      </c>
      <c r="P4436" s="9" t="s">
        <v>17748</v>
      </c>
      <c r="Q4436" s="11" t="s">
        <v>17749</v>
      </c>
      <c r="R4436" s="11" t="s">
        <v>17749</v>
      </c>
      <c r="S4436" s="11" t="s">
        <v>17750</v>
      </c>
    </row>
    <row r="4437" spans="1:19" x14ac:dyDescent="0.2">
      <c r="A4437" s="11" t="s">
        <v>43500</v>
      </c>
      <c r="B4437" s="9" t="s">
        <v>43501</v>
      </c>
      <c r="C4437" s="9" t="s">
        <v>43502</v>
      </c>
      <c r="D4437" s="9" t="s">
        <v>43503</v>
      </c>
      <c r="E4437" s="9" t="s">
        <v>17740</v>
      </c>
      <c r="F4437" s="9" t="s">
        <v>43504</v>
      </c>
      <c r="G4437" s="9" t="s">
        <v>17740</v>
      </c>
      <c r="H4437" s="11" t="s">
        <v>43505</v>
      </c>
      <c r="I4437" s="11" t="s">
        <v>43506</v>
      </c>
      <c r="J4437" s="11" t="s">
        <v>43506</v>
      </c>
      <c r="K4437" s="9" t="s">
        <v>43507</v>
      </c>
      <c r="L4437" s="9" t="s">
        <v>17759</v>
      </c>
      <c r="M4437" s="9" t="s">
        <v>28862</v>
      </c>
      <c r="N4437" s="9" t="s">
        <v>17746</v>
      </c>
      <c r="O4437" s="9" t="s">
        <v>17800</v>
      </c>
      <c r="P4437" s="9" t="s">
        <v>17748</v>
      </c>
      <c r="Q4437" s="11" t="s">
        <v>19222</v>
      </c>
      <c r="R4437" s="11" t="s">
        <v>19222</v>
      </c>
      <c r="S4437" s="11" t="s">
        <v>17750</v>
      </c>
    </row>
    <row r="4438" spans="1:19" x14ac:dyDescent="0.2">
      <c r="A4438" s="11" t="s">
        <v>43508</v>
      </c>
      <c r="B4438" s="9" t="s">
        <v>43509</v>
      </c>
      <c r="C4438" s="9" t="s">
        <v>43510</v>
      </c>
      <c r="D4438" s="9" t="s">
        <v>43511</v>
      </c>
      <c r="E4438" s="9" t="s">
        <v>17740</v>
      </c>
      <c r="F4438" s="9" t="s">
        <v>43512</v>
      </c>
      <c r="G4438" s="9" t="s">
        <v>17740</v>
      </c>
      <c r="H4438" s="11" t="s">
        <v>17741</v>
      </c>
      <c r="I4438" s="11" t="s">
        <v>3289</v>
      </c>
      <c r="J4438" s="11" t="s">
        <v>3289</v>
      </c>
      <c r="K4438" s="9" t="s">
        <v>43513</v>
      </c>
      <c r="L4438" s="9" t="s">
        <v>17967</v>
      </c>
      <c r="M4438" s="9" t="s">
        <v>18065</v>
      </c>
      <c r="N4438" s="9" t="s">
        <v>18492</v>
      </c>
      <c r="O4438" s="9" t="s">
        <v>18418</v>
      </c>
      <c r="P4438" s="9" t="s">
        <v>17748</v>
      </c>
      <c r="Q4438" s="11" t="s">
        <v>18847</v>
      </c>
      <c r="R4438" s="11" t="s">
        <v>18847</v>
      </c>
      <c r="S4438" s="11" t="s">
        <v>17750</v>
      </c>
    </row>
    <row r="4439" spans="1:19" x14ac:dyDescent="0.2">
      <c r="A4439" s="11" t="s">
        <v>43514</v>
      </c>
      <c r="B4439" s="9" t="s">
        <v>43515</v>
      </c>
      <c r="C4439" s="9" t="s">
        <v>43516</v>
      </c>
      <c r="D4439" s="9" t="s">
        <v>43517</v>
      </c>
      <c r="E4439" s="9" t="s">
        <v>17740</v>
      </c>
      <c r="F4439" s="9" t="s">
        <v>17741</v>
      </c>
      <c r="G4439" s="9" t="s">
        <v>17740</v>
      </c>
      <c r="H4439" s="11" t="s">
        <v>3242</v>
      </c>
      <c r="I4439" s="11" t="s">
        <v>3241</v>
      </c>
      <c r="J4439" s="11" t="s">
        <v>3241</v>
      </c>
      <c r="K4439" s="9" t="s">
        <v>19564</v>
      </c>
      <c r="L4439" s="9" t="s">
        <v>17759</v>
      </c>
      <c r="M4439" s="9" t="s">
        <v>17769</v>
      </c>
      <c r="N4439" s="9" t="s">
        <v>17746</v>
      </c>
      <c r="O4439" s="9" t="s">
        <v>18418</v>
      </c>
      <c r="P4439" s="9" t="s">
        <v>17748</v>
      </c>
      <c r="Q4439" s="11" t="s">
        <v>17883</v>
      </c>
      <c r="R4439" s="11" t="s">
        <v>17883</v>
      </c>
      <c r="S4439" s="11" t="s">
        <v>17750</v>
      </c>
    </row>
    <row r="4440" spans="1:19" x14ac:dyDescent="0.2">
      <c r="A4440" s="11" t="s">
        <v>43518</v>
      </c>
      <c r="B4440" s="9" t="s">
        <v>43519</v>
      </c>
      <c r="C4440" s="9" t="s">
        <v>43520</v>
      </c>
      <c r="D4440" s="9" t="s">
        <v>43521</v>
      </c>
      <c r="E4440" s="9" t="s">
        <v>17748</v>
      </c>
      <c r="F4440" s="9" t="s">
        <v>43522</v>
      </c>
      <c r="G4440" s="9" t="s">
        <v>17740</v>
      </c>
      <c r="H4440" s="11" t="s">
        <v>3287</v>
      </c>
      <c r="I4440" s="11" t="s">
        <v>3286</v>
      </c>
      <c r="J4440" s="11" t="s">
        <v>3286</v>
      </c>
      <c r="K4440" s="9" t="s">
        <v>18520</v>
      </c>
      <c r="L4440" s="9" t="s">
        <v>17744</v>
      </c>
      <c r="M4440" s="9" t="s">
        <v>43523</v>
      </c>
      <c r="N4440" s="9" t="s">
        <v>17746</v>
      </c>
      <c r="O4440" s="9" t="s">
        <v>37345</v>
      </c>
      <c r="P4440" s="9" t="s">
        <v>17748</v>
      </c>
      <c r="Q4440" s="11" t="s">
        <v>18433</v>
      </c>
      <c r="R4440" s="11" t="s">
        <v>18433</v>
      </c>
      <c r="S4440" s="11" t="s">
        <v>17750</v>
      </c>
    </row>
    <row r="4441" spans="1:19" x14ac:dyDescent="0.2">
      <c r="A4441" s="11" t="s">
        <v>43524</v>
      </c>
      <c r="B4441" s="9" t="s">
        <v>43525</v>
      </c>
      <c r="C4441" s="9" t="s">
        <v>43526</v>
      </c>
      <c r="D4441" s="9" t="s">
        <v>43527</v>
      </c>
      <c r="E4441" s="9" t="s">
        <v>17748</v>
      </c>
      <c r="F4441" s="9" t="s">
        <v>43528</v>
      </c>
      <c r="G4441" s="9" t="s">
        <v>17740</v>
      </c>
      <c r="H4441" s="11" t="s">
        <v>43529</v>
      </c>
      <c r="I4441" s="11" t="s">
        <v>43530</v>
      </c>
      <c r="J4441" s="11" t="s">
        <v>43530</v>
      </c>
      <c r="K4441" s="9" t="s">
        <v>17758</v>
      </c>
      <c r="L4441" s="9" t="s">
        <v>17759</v>
      </c>
      <c r="M4441" s="9" t="s">
        <v>21361</v>
      </c>
      <c r="N4441" s="9" t="s">
        <v>17746</v>
      </c>
      <c r="O4441" s="9" t="s">
        <v>43531</v>
      </c>
      <c r="P4441" s="9" t="s">
        <v>17748</v>
      </c>
      <c r="Q4441" s="11" t="s">
        <v>18922</v>
      </c>
      <c r="R4441" s="11" t="s">
        <v>18922</v>
      </c>
      <c r="S4441" s="11" t="s">
        <v>17750</v>
      </c>
    </row>
    <row r="4442" spans="1:19" x14ac:dyDescent="0.2">
      <c r="A4442" s="11" t="s">
        <v>43532</v>
      </c>
      <c r="B4442" s="9" t="s">
        <v>43533</v>
      </c>
      <c r="C4442" s="9" t="s">
        <v>43534</v>
      </c>
      <c r="D4442" s="9" t="s">
        <v>43535</v>
      </c>
      <c r="E4442" s="9" t="s">
        <v>17740</v>
      </c>
      <c r="F4442" s="9" t="s">
        <v>17741</v>
      </c>
      <c r="G4442" s="9" t="s">
        <v>17740</v>
      </c>
      <c r="H4442" s="11" t="s">
        <v>13476</v>
      </c>
      <c r="I4442" s="11" t="s">
        <v>13475</v>
      </c>
      <c r="J4442" s="11" t="s">
        <v>17741</v>
      </c>
      <c r="K4442" s="9" t="s">
        <v>26009</v>
      </c>
      <c r="L4442" s="9" t="s">
        <v>17759</v>
      </c>
      <c r="M4442" s="9" t="s">
        <v>17769</v>
      </c>
      <c r="N4442" s="9" t="s">
        <v>17746</v>
      </c>
      <c r="O4442" s="9" t="s">
        <v>24435</v>
      </c>
      <c r="P4442" s="9" t="s">
        <v>17748</v>
      </c>
      <c r="Q4442" s="11" t="s">
        <v>18370</v>
      </c>
      <c r="R4442" s="11" t="s">
        <v>18370</v>
      </c>
      <c r="S4442" s="11" t="s">
        <v>17750</v>
      </c>
    </row>
    <row r="4443" spans="1:19" x14ac:dyDescent="0.2">
      <c r="A4443" s="11" t="s">
        <v>43536</v>
      </c>
      <c r="B4443" s="9" t="s">
        <v>43537</v>
      </c>
      <c r="C4443" s="9" t="s">
        <v>43538</v>
      </c>
      <c r="D4443" s="9" t="s">
        <v>43539</v>
      </c>
      <c r="E4443" s="9" t="s">
        <v>17740</v>
      </c>
      <c r="F4443" s="9" t="s">
        <v>17741</v>
      </c>
      <c r="G4443" s="9" t="s">
        <v>17740</v>
      </c>
      <c r="H4443" s="11" t="s">
        <v>17741</v>
      </c>
      <c r="I4443" s="11" t="s">
        <v>43540</v>
      </c>
      <c r="J4443" s="11" t="s">
        <v>43540</v>
      </c>
      <c r="K4443" s="9" t="s">
        <v>43541</v>
      </c>
      <c r="L4443" s="9" t="s">
        <v>19483</v>
      </c>
      <c r="M4443" s="9" t="s">
        <v>18051</v>
      </c>
      <c r="N4443" s="9" t="s">
        <v>17746</v>
      </c>
      <c r="O4443" s="9" t="s">
        <v>3524</v>
      </c>
      <c r="P4443" s="9" t="s">
        <v>17748</v>
      </c>
      <c r="Q4443" s="11" t="s">
        <v>17808</v>
      </c>
      <c r="R4443" s="11" t="s">
        <v>17808</v>
      </c>
      <c r="S4443" s="11" t="s">
        <v>17750</v>
      </c>
    </row>
    <row r="4444" spans="1:19" x14ac:dyDescent="0.2">
      <c r="A4444" s="11" t="s">
        <v>43542</v>
      </c>
      <c r="B4444" s="9" t="s">
        <v>43543</v>
      </c>
      <c r="C4444" s="9" t="s">
        <v>43544</v>
      </c>
      <c r="D4444" s="9" t="s">
        <v>43545</v>
      </c>
      <c r="E4444" s="9" t="s">
        <v>17740</v>
      </c>
      <c r="F4444" s="9" t="s">
        <v>17741</v>
      </c>
      <c r="G4444" s="9" t="s">
        <v>17740</v>
      </c>
      <c r="H4444" s="11" t="s">
        <v>17741</v>
      </c>
      <c r="I4444" s="11" t="s">
        <v>43546</v>
      </c>
      <c r="J4444" s="11" t="s">
        <v>17741</v>
      </c>
      <c r="K4444" s="9" t="s">
        <v>43547</v>
      </c>
      <c r="L4444" s="9" t="s">
        <v>17759</v>
      </c>
      <c r="M4444" s="9" t="s">
        <v>18745</v>
      </c>
      <c r="N4444" s="9" t="s">
        <v>17746</v>
      </c>
      <c r="O4444" s="9" t="s">
        <v>22422</v>
      </c>
      <c r="P4444" s="9" t="s">
        <v>17748</v>
      </c>
      <c r="Q4444" s="11" t="s">
        <v>18201</v>
      </c>
      <c r="R4444" s="11" t="s">
        <v>18201</v>
      </c>
      <c r="S4444" s="11" t="s">
        <v>17750</v>
      </c>
    </row>
    <row r="4445" spans="1:19" x14ac:dyDescent="0.2">
      <c r="A4445" s="11" t="s">
        <v>43548</v>
      </c>
      <c r="B4445" s="9" t="s">
        <v>43549</v>
      </c>
      <c r="C4445" s="9" t="s">
        <v>43550</v>
      </c>
      <c r="D4445" s="9" t="s">
        <v>43551</v>
      </c>
      <c r="E4445" s="9" t="s">
        <v>17740</v>
      </c>
      <c r="F4445" s="9" t="s">
        <v>17741</v>
      </c>
      <c r="G4445" s="9" t="s">
        <v>17740</v>
      </c>
      <c r="H4445" s="11" t="s">
        <v>3461</v>
      </c>
      <c r="I4445" s="11" t="s">
        <v>3460</v>
      </c>
      <c r="J4445" s="11" t="s">
        <v>3460</v>
      </c>
      <c r="K4445" s="9" t="s">
        <v>20613</v>
      </c>
      <c r="L4445" s="9" t="s">
        <v>17759</v>
      </c>
      <c r="M4445" s="9" t="s">
        <v>17817</v>
      </c>
      <c r="N4445" s="9" t="s">
        <v>17746</v>
      </c>
      <c r="O4445" s="9" t="s">
        <v>18271</v>
      </c>
      <c r="P4445" s="9" t="s">
        <v>17748</v>
      </c>
      <c r="Q4445" s="11" t="s">
        <v>19335</v>
      </c>
      <c r="R4445" s="11" t="s">
        <v>19335</v>
      </c>
      <c r="S4445" s="11" t="s">
        <v>17750</v>
      </c>
    </row>
    <row r="4446" spans="1:19" x14ac:dyDescent="0.2">
      <c r="A4446" s="11" t="s">
        <v>43552</v>
      </c>
      <c r="B4446" s="9" t="s">
        <v>43553</v>
      </c>
      <c r="C4446" s="9" t="s">
        <v>43554</v>
      </c>
      <c r="D4446" s="9" t="s">
        <v>43555</v>
      </c>
      <c r="E4446" s="9" t="s">
        <v>17740</v>
      </c>
      <c r="F4446" s="9" t="s">
        <v>17741</v>
      </c>
      <c r="G4446" s="9" t="s">
        <v>17740</v>
      </c>
      <c r="H4446" s="11" t="s">
        <v>6988</v>
      </c>
      <c r="I4446" s="11" t="s">
        <v>6987</v>
      </c>
      <c r="J4446" s="11" t="s">
        <v>6987</v>
      </c>
      <c r="K4446" s="9" t="s">
        <v>43556</v>
      </c>
      <c r="L4446" s="9" t="s">
        <v>20359</v>
      </c>
      <c r="M4446" s="9" t="s">
        <v>20397</v>
      </c>
      <c r="N4446" s="9" t="s">
        <v>17746</v>
      </c>
      <c r="O4446" s="9" t="s">
        <v>43557</v>
      </c>
      <c r="P4446" s="9" t="s">
        <v>17748</v>
      </c>
      <c r="Q4446" s="11" t="s">
        <v>18080</v>
      </c>
      <c r="R4446" s="11" t="s">
        <v>18080</v>
      </c>
      <c r="S4446" s="11" t="s">
        <v>17750</v>
      </c>
    </row>
    <row r="4447" spans="1:19" x14ac:dyDescent="0.2">
      <c r="A4447" s="11" t="s">
        <v>43558</v>
      </c>
      <c r="B4447" s="9" t="s">
        <v>43559</v>
      </c>
      <c r="C4447" s="9" t="s">
        <v>43560</v>
      </c>
      <c r="D4447" s="9" t="s">
        <v>43561</v>
      </c>
      <c r="E4447" s="9" t="s">
        <v>17740</v>
      </c>
      <c r="F4447" s="9" t="s">
        <v>17741</v>
      </c>
      <c r="G4447" s="9" t="s">
        <v>17740</v>
      </c>
      <c r="H4447" s="11" t="s">
        <v>4462</v>
      </c>
      <c r="I4447" s="11" t="s">
        <v>4461</v>
      </c>
      <c r="J4447" s="11" t="s">
        <v>4461</v>
      </c>
      <c r="K4447" s="9" t="s">
        <v>23527</v>
      </c>
      <c r="L4447" s="9" t="s">
        <v>17744</v>
      </c>
      <c r="M4447" s="9" t="s">
        <v>18184</v>
      </c>
      <c r="N4447" s="9" t="s">
        <v>17746</v>
      </c>
      <c r="O4447" s="9" t="s">
        <v>43562</v>
      </c>
      <c r="P4447" s="9" t="s">
        <v>17748</v>
      </c>
      <c r="Q4447" s="11" t="s">
        <v>18364</v>
      </c>
      <c r="R4447" s="11" t="s">
        <v>18364</v>
      </c>
      <c r="S4447" s="11" t="s">
        <v>17750</v>
      </c>
    </row>
    <row r="4448" spans="1:19" x14ac:dyDescent="0.2">
      <c r="A4448" s="11" t="s">
        <v>43563</v>
      </c>
      <c r="B4448" s="9" t="s">
        <v>43564</v>
      </c>
      <c r="C4448" s="9" t="s">
        <v>43565</v>
      </c>
      <c r="D4448" s="9" t="s">
        <v>43566</v>
      </c>
      <c r="E4448" s="9" t="s">
        <v>17740</v>
      </c>
      <c r="F4448" s="9" t="s">
        <v>17741</v>
      </c>
      <c r="G4448" s="9" t="s">
        <v>17740</v>
      </c>
      <c r="H4448" s="11" t="s">
        <v>10217</v>
      </c>
      <c r="I4448" s="11" t="s">
        <v>10216</v>
      </c>
      <c r="J4448" s="11" t="s">
        <v>10216</v>
      </c>
      <c r="K4448" s="9" t="s">
        <v>19482</v>
      </c>
      <c r="L4448" s="9" t="s">
        <v>19483</v>
      </c>
      <c r="M4448" s="9" t="s">
        <v>24658</v>
      </c>
      <c r="N4448" s="9" t="s">
        <v>17746</v>
      </c>
      <c r="O4448" s="9" t="s">
        <v>43567</v>
      </c>
      <c r="P4448" s="9" t="s">
        <v>17748</v>
      </c>
      <c r="Q4448" s="11" t="s">
        <v>18356</v>
      </c>
      <c r="R4448" s="11" t="s">
        <v>18356</v>
      </c>
      <c r="S4448" s="11" t="s">
        <v>17750</v>
      </c>
    </row>
    <row r="4449" spans="1:19" x14ac:dyDescent="0.2">
      <c r="A4449" s="11" t="s">
        <v>43568</v>
      </c>
      <c r="B4449" s="9" t="s">
        <v>43569</v>
      </c>
      <c r="C4449" s="9" t="s">
        <v>43570</v>
      </c>
      <c r="D4449" s="9" t="s">
        <v>43571</v>
      </c>
      <c r="E4449" s="9" t="s">
        <v>17740</v>
      </c>
      <c r="F4449" s="9" t="s">
        <v>17741</v>
      </c>
      <c r="G4449" s="9" t="s">
        <v>17740</v>
      </c>
      <c r="H4449" s="11" t="s">
        <v>8656</v>
      </c>
      <c r="I4449" s="11" t="s">
        <v>8655</v>
      </c>
      <c r="J4449" s="11" t="s">
        <v>8655</v>
      </c>
      <c r="K4449" s="9" t="s">
        <v>303</v>
      </c>
      <c r="L4449" s="9" t="s">
        <v>17744</v>
      </c>
      <c r="M4449" s="9" t="s">
        <v>17760</v>
      </c>
      <c r="N4449" s="9" t="s">
        <v>17746</v>
      </c>
      <c r="O4449" s="9" t="s">
        <v>43572</v>
      </c>
      <c r="P4449" s="9" t="s">
        <v>17748</v>
      </c>
      <c r="Q4449" s="11" t="s">
        <v>17784</v>
      </c>
      <c r="R4449" s="11" t="s">
        <v>17784</v>
      </c>
      <c r="S4449" s="11" t="s">
        <v>17750</v>
      </c>
    </row>
    <row r="4450" spans="1:19" x14ac:dyDescent="0.2">
      <c r="A4450" s="11" t="s">
        <v>43573</v>
      </c>
      <c r="B4450" s="9" t="s">
        <v>43574</v>
      </c>
      <c r="C4450" s="9" t="s">
        <v>43575</v>
      </c>
      <c r="D4450" s="9" t="s">
        <v>43576</v>
      </c>
      <c r="E4450" s="9" t="s">
        <v>17748</v>
      </c>
      <c r="F4450" s="9" t="s">
        <v>43577</v>
      </c>
      <c r="G4450" s="9" t="s">
        <v>17740</v>
      </c>
      <c r="H4450" s="11" t="s">
        <v>855</v>
      </c>
      <c r="I4450" s="11" t="s">
        <v>854</v>
      </c>
      <c r="J4450" s="11" t="s">
        <v>854</v>
      </c>
      <c r="K4450" s="9" t="s">
        <v>856</v>
      </c>
      <c r="L4450" s="9" t="s">
        <v>17744</v>
      </c>
      <c r="M4450" s="9" t="s">
        <v>43578</v>
      </c>
      <c r="N4450" s="9" t="s">
        <v>17746</v>
      </c>
      <c r="O4450" s="9" t="s">
        <v>38996</v>
      </c>
      <c r="P4450" s="9" t="s">
        <v>17748</v>
      </c>
      <c r="Q4450" s="11" t="s">
        <v>17923</v>
      </c>
      <c r="R4450" s="11" t="s">
        <v>17923</v>
      </c>
      <c r="S4450" s="11" t="s">
        <v>17750</v>
      </c>
    </row>
    <row r="4451" spans="1:19" x14ac:dyDescent="0.2">
      <c r="A4451" s="11" t="s">
        <v>43579</v>
      </c>
      <c r="B4451" s="9" t="s">
        <v>3302</v>
      </c>
      <c r="C4451" s="9" t="s">
        <v>43580</v>
      </c>
      <c r="D4451" s="9" t="s">
        <v>3302</v>
      </c>
      <c r="E4451" s="9" t="s">
        <v>17740</v>
      </c>
      <c r="F4451" s="9" t="s">
        <v>17741</v>
      </c>
      <c r="G4451" s="9" t="s">
        <v>17740</v>
      </c>
      <c r="H4451" s="11" t="s">
        <v>3304</v>
      </c>
      <c r="I4451" s="11" t="s">
        <v>3303</v>
      </c>
      <c r="J4451" s="11" t="s">
        <v>3303</v>
      </c>
      <c r="K4451" s="9" t="s">
        <v>29921</v>
      </c>
      <c r="L4451" s="9" t="s">
        <v>18001</v>
      </c>
      <c r="M4451" s="9" t="s">
        <v>43581</v>
      </c>
      <c r="N4451" s="9" t="s">
        <v>17746</v>
      </c>
      <c r="O4451" s="9" t="s">
        <v>19127</v>
      </c>
      <c r="P4451" s="9" t="s">
        <v>17748</v>
      </c>
      <c r="Q4451" s="11" t="s">
        <v>18608</v>
      </c>
      <c r="R4451" s="11" t="s">
        <v>18608</v>
      </c>
      <c r="S4451" s="11" t="s">
        <v>17750</v>
      </c>
    </row>
    <row r="4452" spans="1:19" x14ac:dyDescent="0.2">
      <c r="A4452" s="11" t="s">
        <v>43582</v>
      </c>
      <c r="B4452" s="9" t="s">
        <v>43583</v>
      </c>
      <c r="C4452" s="9" t="s">
        <v>43584</v>
      </c>
      <c r="D4452" s="9" t="s">
        <v>43585</v>
      </c>
      <c r="E4452" s="9" t="s">
        <v>17740</v>
      </c>
      <c r="F4452" s="9" t="s">
        <v>17741</v>
      </c>
      <c r="G4452" s="9" t="s">
        <v>17740</v>
      </c>
      <c r="H4452" s="11" t="s">
        <v>43586</v>
      </c>
      <c r="I4452" s="11" t="s">
        <v>43587</v>
      </c>
      <c r="J4452" s="11" t="s">
        <v>43587</v>
      </c>
      <c r="K4452" s="9" t="s">
        <v>43588</v>
      </c>
      <c r="L4452" s="9" t="s">
        <v>17759</v>
      </c>
      <c r="M4452" s="9" t="s">
        <v>17778</v>
      </c>
      <c r="N4452" s="9" t="s">
        <v>17746</v>
      </c>
      <c r="O4452" s="9" t="s">
        <v>43589</v>
      </c>
      <c r="P4452" s="9" t="s">
        <v>17748</v>
      </c>
      <c r="Q4452" s="11" t="s">
        <v>17784</v>
      </c>
      <c r="R4452" s="11" t="s">
        <v>17784</v>
      </c>
      <c r="S4452" s="11" t="s">
        <v>17750</v>
      </c>
    </row>
    <row r="4453" spans="1:19" x14ac:dyDescent="0.2">
      <c r="A4453" s="11" t="s">
        <v>43590</v>
      </c>
      <c r="B4453" s="9" t="s">
        <v>43591</v>
      </c>
      <c r="C4453" s="9" t="s">
        <v>43592</v>
      </c>
      <c r="D4453" s="9" t="s">
        <v>43593</v>
      </c>
      <c r="E4453" s="9" t="s">
        <v>17740</v>
      </c>
      <c r="F4453" s="9" t="s">
        <v>17741</v>
      </c>
      <c r="G4453" s="9" t="s">
        <v>17740</v>
      </c>
      <c r="H4453" s="11" t="s">
        <v>8533</v>
      </c>
      <c r="I4453" s="11" t="s">
        <v>8532</v>
      </c>
      <c r="J4453" s="11" t="s">
        <v>8532</v>
      </c>
      <c r="K4453" s="9" t="s">
        <v>43594</v>
      </c>
      <c r="L4453" s="9" t="s">
        <v>17759</v>
      </c>
      <c r="M4453" s="9" t="s">
        <v>26933</v>
      </c>
      <c r="N4453" s="9" t="s">
        <v>17746</v>
      </c>
      <c r="O4453" s="9" t="s">
        <v>19127</v>
      </c>
      <c r="P4453" s="9" t="s">
        <v>17748</v>
      </c>
      <c r="Q4453" s="11" t="s">
        <v>17784</v>
      </c>
      <c r="R4453" s="11" t="s">
        <v>17784</v>
      </c>
      <c r="S4453" s="11" t="s">
        <v>17750</v>
      </c>
    </row>
    <row r="4454" spans="1:19" x14ac:dyDescent="0.2">
      <c r="A4454" s="11" t="s">
        <v>43595</v>
      </c>
      <c r="B4454" s="9" t="s">
        <v>43596</v>
      </c>
      <c r="C4454" s="9" t="s">
        <v>43597</v>
      </c>
      <c r="D4454" s="9" t="s">
        <v>8496</v>
      </c>
      <c r="E4454" s="9" t="s">
        <v>17740</v>
      </c>
      <c r="F4454" s="9" t="s">
        <v>17741</v>
      </c>
      <c r="G4454" s="9" t="s">
        <v>17740</v>
      </c>
      <c r="H4454" s="11" t="s">
        <v>43598</v>
      </c>
      <c r="I4454" s="11" t="s">
        <v>8497</v>
      </c>
      <c r="J4454" s="11" t="s">
        <v>8497</v>
      </c>
      <c r="K4454" s="9" t="s">
        <v>8498</v>
      </c>
      <c r="L4454" s="9" t="s">
        <v>17759</v>
      </c>
      <c r="M4454" s="9" t="s">
        <v>43599</v>
      </c>
      <c r="N4454" s="9" t="s">
        <v>17746</v>
      </c>
      <c r="O4454" s="9" t="s">
        <v>19127</v>
      </c>
      <c r="P4454" s="9" t="s">
        <v>17748</v>
      </c>
      <c r="Q4454" s="11" t="s">
        <v>18356</v>
      </c>
      <c r="R4454" s="11" t="s">
        <v>18356</v>
      </c>
      <c r="S4454" s="11" t="s">
        <v>17750</v>
      </c>
    </row>
    <row r="4455" spans="1:19" x14ac:dyDescent="0.2">
      <c r="A4455" s="11" t="s">
        <v>43600</v>
      </c>
      <c r="B4455" s="9" t="s">
        <v>43601</v>
      </c>
      <c r="C4455" s="9" t="s">
        <v>43602</v>
      </c>
      <c r="D4455" s="9" t="s">
        <v>43603</v>
      </c>
      <c r="E4455" s="9" t="s">
        <v>17740</v>
      </c>
      <c r="F4455" s="9" t="s">
        <v>17741</v>
      </c>
      <c r="G4455" s="9" t="s">
        <v>17740</v>
      </c>
      <c r="H4455" s="11" t="s">
        <v>10050</v>
      </c>
      <c r="I4455" s="11" t="s">
        <v>10049</v>
      </c>
      <c r="J4455" s="11" t="s">
        <v>10049</v>
      </c>
      <c r="K4455" s="9" t="s">
        <v>43594</v>
      </c>
      <c r="L4455" s="9" t="s">
        <v>17759</v>
      </c>
      <c r="M4455" s="9" t="s">
        <v>17760</v>
      </c>
      <c r="N4455" s="9" t="s">
        <v>17746</v>
      </c>
      <c r="O4455" s="9" t="s">
        <v>19127</v>
      </c>
      <c r="P4455" s="9" t="s">
        <v>17748</v>
      </c>
      <c r="Q4455" s="11" t="s">
        <v>18922</v>
      </c>
      <c r="R4455" s="11" t="s">
        <v>18922</v>
      </c>
      <c r="S4455" s="11" t="s">
        <v>17750</v>
      </c>
    </row>
    <row r="4456" spans="1:19" x14ac:dyDescent="0.2">
      <c r="A4456" s="11" t="s">
        <v>43604</v>
      </c>
      <c r="B4456" s="9" t="s">
        <v>43605</v>
      </c>
      <c r="C4456" s="9" t="s">
        <v>43606</v>
      </c>
      <c r="D4456" s="9" t="s">
        <v>43607</v>
      </c>
      <c r="E4456" s="9" t="s">
        <v>17740</v>
      </c>
      <c r="F4456" s="9" t="s">
        <v>17741</v>
      </c>
      <c r="G4456" s="9" t="s">
        <v>17740</v>
      </c>
      <c r="H4456" s="11" t="s">
        <v>43608</v>
      </c>
      <c r="I4456" s="11" t="s">
        <v>8293</v>
      </c>
      <c r="J4456" s="11" t="s">
        <v>8293</v>
      </c>
      <c r="K4456" s="9" t="s">
        <v>43609</v>
      </c>
      <c r="L4456" s="9" t="s">
        <v>18959</v>
      </c>
      <c r="M4456" s="9" t="s">
        <v>17778</v>
      </c>
      <c r="N4456" s="9" t="s">
        <v>17746</v>
      </c>
      <c r="O4456" s="9" t="s">
        <v>19127</v>
      </c>
      <c r="P4456" s="9" t="s">
        <v>17748</v>
      </c>
      <c r="Q4456" s="11" t="s">
        <v>18201</v>
      </c>
      <c r="R4456" s="11" t="s">
        <v>18201</v>
      </c>
      <c r="S4456" s="11" t="s">
        <v>17750</v>
      </c>
    </row>
    <row r="4457" spans="1:19" x14ac:dyDescent="0.2">
      <c r="A4457" s="11" t="s">
        <v>43610</v>
      </c>
      <c r="B4457" s="9" t="s">
        <v>43611</v>
      </c>
      <c r="C4457" s="9" t="s">
        <v>43612</v>
      </c>
      <c r="D4457" s="9" t="s">
        <v>43613</v>
      </c>
      <c r="E4457" s="9" t="s">
        <v>17740</v>
      </c>
      <c r="F4457" s="9" t="s">
        <v>17741</v>
      </c>
      <c r="G4457" s="9" t="s">
        <v>17740</v>
      </c>
      <c r="H4457" s="11" t="s">
        <v>43614</v>
      </c>
      <c r="I4457" s="11" t="s">
        <v>43615</v>
      </c>
      <c r="J4457" s="11" t="s">
        <v>43615</v>
      </c>
      <c r="K4457" s="9" t="s">
        <v>10959</v>
      </c>
      <c r="L4457" s="9" t="s">
        <v>34138</v>
      </c>
      <c r="M4457" s="9" t="s">
        <v>17817</v>
      </c>
      <c r="N4457" s="9" t="s">
        <v>17746</v>
      </c>
      <c r="O4457" s="9" t="s">
        <v>17977</v>
      </c>
      <c r="P4457" s="9" t="s">
        <v>17748</v>
      </c>
      <c r="Q4457" s="11" t="s">
        <v>18798</v>
      </c>
      <c r="R4457" s="11" t="s">
        <v>18798</v>
      </c>
      <c r="S4457" s="11" t="s">
        <v>17750</v>
      </c>
    </row>
    <row r="4458" spans="1:19" x14ac:dyDescent="0.2">
      <c r="A4458" s="11" t="s">
        <v>43616</v>
      </c>
      <c r="B4458" s="9" t="s">
        <v>43617</v>
      </c>
      <c r="C4458" s="9" t="s">
        <v>43618</v>
      </c>
      <c r="D4458" s="9" t="s">
        <v>43619</v>
      </c>
      <c r="E4458" s="9" t="s">
        <v>17740</v>
      </c>
      <c r="F4458" s="9" t="s">
        <v>43620</v>
      </c>
      <c r="G4458" s="9" t="s">
        <v>17740</v>
      </c>
      <c r="H4458" s="11" t="s">
        <v>17741</v>
      </c>
      <c r="I4458" s="11" t="s">
        <v>12881</v>
      </c>
      <c r="J4458" s="11" t="s">
        <v>12881</v>
      </c>
      <c r="K4458" s="9" t="s">
        <v>43621</v>
      </c>
      <c r="L4458" s="9" t="s">
        <v>34138</v>
      </c>
      <c r="M4458" s="9" t="s">
        <v>43622</v>
      </c>
      <c r="N4458" s="9" t="s">
        <v>17746</v>
      </c>
      <c r="O4458" s="9" t="s">
        <v>23227</v>
      </c>
      <c r="P4458" s="9" t="s">
        <v>17748</v>
      </c>
      <c r="Q4458" s="11" t="s">
        <v>18678</v>
      </c>
      <c r="R4458" s="11" t="s">
        <v>18678</v>
      </c>
      <c r="S4458" s="11" t="s">
        <v>17750</v>
      </c>
    </row>
    <row r="4459" spans="1:19" x14ac:dyDescent="0.2">
      <c r="A4459" s="11" t="s">
        <v>43623</v>
      </c>
      <c r="B4459" s="9" t="s">
        <v>43624</v>
      </c>
      <c r="C4459" s="9" t="s">
        <v>43625</v>
      </c>
      <c r="D4459" s="9" t="s">
        <v>43626</v>
      </c>
      <c r="E4459" s="9" t="s">
        <v>17740</v>
      </c>
      <c r="F4459" s="9" t="s">
        <v>17741</v>
      </c>
      <c r="G4459" s="9" t="s">
        <v>17740</v>
      </c>
      <c r="H4459" s="11" t="s">
        <v>17741</v>
      </c>
      <c r="I4459" s="11" t="s">
        <v>43627</v>
      </c>
      <c r="J4459" s="11" t="s">
        <v>43627</v>
      </c>
      <c r="K4459" s="9" t="s">
        <v>43628</v>
      </c>
      <c r="L4459" s="9" t="s">
        <v>17759</v>
      </c>
      <c r="M4459" s="9" t="s">
        <v>17760</v>
      </c>
      <c r="N4459" s="9" t="s">
        <v>17746</v>
      </c>
      <c r="O4459" s="9" t="s">
        <v>26387</v>
      </c>
      <c r="P4459" s="9" t="s">
        <v>17748</v>
      </c>
      <c r="Q4459" s="11" t="s">
        <v>18243</v>
      </c>
      <c r="R4459" s="11" t="s">
        <v>18243</v>
      </c>
      <c r="S4459" s="11" t="s">
        <v>17750</v>
      </c>
    </row>
    <row r="4460" spans="1:19" x14ac:dyDescent="0.2">
      <c r="A4460" s="11" t="s">
        <v>43629</v>
      </c>
      <c r="B4460" s="9" t="s">
        <v>43630</v>
      </c>
      <c r="C4460" s="9" t="s">
        <v>43631</v>
      </c>
      <c r="D4460" s="9" t="s">
        <v>43632</v>
      </c>
      <c r="E4460" s="9" t="s">
        <v>17740</v>
      </c>
      <c r="F4460" s="9" t="s">
        <v>17741</v>
      </c>
      <c r="G4460" s="9" t="s">
        <v>17740</v>
      </c>
      <c r="H4460" s="11" t="s">
        <v>43633</v>
      </c>
      <c r="I4460" s="11" t="s">
        <v>43634</v>
      </c>
      <c r="J4460" s="11" t="s">
        <v>43634</v>
      </c>
      <c r="K4460" s="9" t="s">
        <v>724</v>
      </c>
      <c r="L4460" s="9" t="s">
        <v>17744</v>
      </c>
      <c r="M4460" s="9" t="s">
        <v>17760</v>
      </c>
      <c r="N4460" s="9" t="s">
        <v>17746</v>
      </c>
      <c r="O4460" s="9" t="s">
        <v>19013</v>
      </c>
      <c r="P4460" s="9" t="s">
        <v>17748</v>
      </c>
      <c r="Q4460" s="11" t="s">
        <v>17858</v>
      </c>
      <c r="R4460" s="11" t="s">
        <v>17858</v>
      </c>
      <c r="S4460" s="11" t="s">
        <v>17750</v>
      </c>
    </row>
    <row r="4461" spans="1:19" x14ac:dyDescent="0.2">
      <c r="A4461" s="11" t="s">
        <v>43635</v>
      </c>
      <c r="B4461" s="9" t="s">
        <v>43636</v>
      </c>
      <c r="C4461" s="9" t="s">
        <v>43637</v>
      </c>
      <c r="D4461" s="9" t="s">
        <v>43638</v>
      </c>
      <c r="E4461" s="9" t="s">
        <v>17740</v>
      </c>
      <c r="F4461" s="9" t="s">
        <v>17741</v>
      </c>
      <c r="G4461" s="9" t="s">
        <v>17740</v>
      </c>
      <c r="H4461" s="11" t="s">
        <v>5678</v>
      </c>
      <c r="I4461" s="11" t="s">
        <v>5677</v>
      </c>
      <c r="J4461" s="11" t="s">
        <v>5677</v>
      </c>
      <c r="K4461" s="9" t="s">
        <v>21721</v>
      </c>
      <c r="L4461" s="9" t="s">
        <v>17744</v>
      </c>
      <c r="M4461" s="9" t="s">
        <v>24052</v>
      </c>
      <c r="N4461" s="9" t="s">
        <v>17746</v>
      </c>
      <c r="O4461" s="9" t="s">
        <v>19013</v>
      </c>
      <c r="P4461" s="9" t="s">
        <v>17748</v>
      </c>
      <c r="Q4461" s="11" t="s">
        <v>18364</v>
      </c>
      <c r="R4461" s="11" t="s">
        <v>18364</v>
      </c>
      <c r="S4461" s="11" t="s">
        <v>17750</v>
      </c>
    </row>
    <row r="4462" spans="1:19" x14ac:dyDescent="0.2">
      <c r="A4462" s="11" t="s">
        <v>43639</v>
      </c>
      <c r="B4462" s="9" t="s">
        <v>43640</v>
      </c>
      <c r="C4462" s="9" t="s">
        <v>43641</v>
      </c>
      <c r="D4462" s="9" t="s">
        <v>43642</v>
      </c>
      <c r="E4462" s="9" t="s">
        <v>17740</v>
      </c>
      <c r="F4462" s="9" t="s">
        <v>17741</v>
      </c>
      <c r="G4462" s="9" t="s">
        <v>17740</v>
      </c>
      <c r="H4462" s="11" t="s">
        <v>14293</v>
      </c>
      <c r="I4462" s="11" t="s">
        <v>17741</v>
      </c>
      <c r="J4462" s="11" t="s">
        <v>17741</v>
      </c>
      <c r="K4462" s="9" t="s">
        <v>14294</v>
      </c>
      <c r="L4462" s="9" t="s">
        <v>19039</v>
      </c>
      <c r="M4462" s="9" t="s">
        <v>17741</v>
      </c>
      <c r="N4462" s="9" t="s">
        <v>17746</v>
      </c>
      <c r="O4462" s="9" t="s">
        <v>17993</v>
      </c>
      <c r="P4462" s="9" t="s">
        <v>17748</v>
      </c>
      <c r="Q4462" s="11" t="s">
        <v>18370</v>
      </c>
      <c r="R4462" s="11" t="s">
        <v>18370</v>
      </c>
      <c r="S4462" s="11" t="s">
        <v>17750</v>
      </c>
    </row>
    <row r="4463" spans="1:19" x14ac:dyDescent="0.2">
      <c r="A4463" s="11" t="s">
        <v>43643</v>
      </c>
      <c r="B4463" s="9" t="s">
        <v>4194</v>
      </c>
      <c r="C4463" s="9" t="s">
        <v>43644</v>
      </c>
      <c r="D4463" s="9" t="s">
        <v>4194</v>
      </c>
      <c r="E4463" s="9" t="s">
        <v>17740</v>
      </c>
      <c r="F4463" s="9" t="s">
        <v>17741</v>
      </c>
      <c r="G4463" s="9" t="s">
        <v>17740</v>
      </c>
      <c r="H4463" s="11" t="s">
        <v>4196</v>
      </c>
      <c r="I4463" s="11" t="s">
        <v>4195</v>
      </c>
      <c r="J4463" s="11" t="s">
        <v>4195</v>
      </c>
      <c r="K4463" s="9" t="s">
        <v>17758</v>
      </c>
      <c r="L4463" s="9" t="s">
        <v>17759</v>
      </c>
      <c r="M4463" s="9" t="s">
        <v>18177</v>
      </c>
      <c r="N4463" s="9" t="s">
        <v>17746</v>
      </c>
      <c r="O4463" s="9" t="s">
        <v>1675</v>
      </c>
      <c r="P4463" s="9" t="s">
        <v>17748</v>
      </c>
      <c r="Q4463" s="11" t="s">
        <v>18059</v>
      </c>
      <c r="R4463" s="11" t="s">
        <v>18059</v>
      </c>
      <c r="S4463" s="11" t="s">
        <v>17750</v>
      </c>
    </row>
    <row r="4464" spans="1:19" x14ac:dyDescent="0.2">
      <c r="A4464" s="11" t="s">
        <v>43645</v>
      </c>
      <c r="B4464" s="9" t="s">
        <v>43646</v>
      </c>
      <c r="C4464" s="9" t="s">
        <v>43647</v>
      </c>
      <c r="D4464" s="9" t="s">
        <v>9083</v>
      </c>
      <c r="E4464" s="9" t="s">
        <v>17740</v>
      </c>
      <c r="F4464" s="9" t="s">
        <v>17741</v>
      </c>
      <c r="G4464" s="9" t="s">
        <v>17740</v>
      </c>
      <c r="H4464" s="11" t="s">
        <v>9085</v>
      </c>
      <c r="I4464" s="11" t="s">
        <v>9084</v>
      </c>
      <c r="J4464" s="11" t="s">
        <v>9084</v>
      </c>
      <c r="K4464" s="9" t="s">
        <v>17741</v>
      </c>
      <c r="L4464" s="9" t="s">
        <v>18123</v>
      </c>
      <c r="M4464" s="9" t="s">
        <v>18065</v>
      </c>
      <c r="N4464" s="9" t="s">
        <v>17746</v>
      </c>
      <c r="O4464" s="9" t="s">
        <v>33277</v>
      </c>
      <c r="P4464" s="9" t="s">
        <v>17748</v>
      </c>
      <c r="Q4464" s="11" t="s">
        <v>18922</v>
      </c>
      <c r="R4464" s="11" t="s">
        <v>18922</v>
      </c>
      <c r="S4464" s="11" t="s">
        <v>17750</v>
      </c>
    </row>
    <row r="4465" spans="1:19" x14ac:dyDescent="0.2">
      <c r="A4465" s="11" t="s">
        <v>43648</v>
      </c>
      <c r="B4465" s="9" t="s">
        <v>43649</v>
      </c>
      <c r="C4465" s="9" t="s">
        <v>43650</v>
      </c>
      <c r="D4465" s="9" t="s">
        <v>43651</v>
      </c>
      <c r="E4465" s="9" t="s">
        <v>17740</v>
      </c>
      <c r="F4465" s="9" t="s">
        <v>17741</v>
      </c>
      <c r="G4465" s="9" t="s">
        <v>17740</v>
      </c>
      <c r="H4465" s="11" t="s">
        <v>43652</v>
      </c>
      <c r="I4465" s="11" t="s">
        <v>43653</v>
      </c>
      <c r="J4465" s="11" t="s">
        <v>43653</v>
      </c>
      <c r="K4465" s="9" t="s">
        <v>43654</v>
      </c>
      <c r="L4465" s="9" t="s">
        <v>17991</v>
      </c>
      <c r="M4465" s="9" t="s">
        <v>40730</v>
      </c>
      <c r="N4465" s="9" t="s">
        <v>17746</v>
      </c>
      <c r="O4465" s="9" t="s">
        <v>17993</v>
      </c>
      <c r="P4465" s="9" t="s">
        <v>17748</v>
      </c>
      <c r="Q4465" s="11" t="s">
        <v>17943</v>
      </c>
      <c r="R4465" s="11" t="s">
        <v>17943</v>
      </c>
      <c r="S4465" s="11" t="s">
        <v>17750</v>
      </c>
    </row>
    <row r="4466" spans="1:19" x14ac:dyDescent="0.2">
      <c r="A4466" s="11" t="s">
        <v>43655</v>
      </c>
      <c r="B4466" s="9" t="s">
        <v>43656</v>
      </c>
      <c r="C4466" s="9" t="s">
        <v>43657</v>
      </c>
      <c r="D4466" s="9" t="s">
        <v>43658</v>
      </c>
      <c r="E4466" s="9" t="s">
        <v>17740</v>
      </c>
      <c r="F4466" s="9" t="s">
        <v>17741</v>
      </c>
      <c r="G4466" s="9" t="s">
        <v>17740</v>
      </c>
      <c r="H4466" s="11" t="s">
        <v>17741</v>
      </c>
      <c r="I4466" s="11" t="s">
        <v>43659</v>
      </c>
      <c r="J4466" s="11" t="s">
        <v>43659</v>
      </c>
      <c r="K4466" s="9" t="s">
        <v>43660</v>
      </c>
      <c r="L4466" s="9" t="s">
        <v>43661</v>
      </c>
      <c r="M4466" s="9" t="s">
        <v>17760</v>
      </c>
      <c r="N4466" s="9" t="s">
        <v>17746</v>
      </c>
      <c r="O4466" s="9" t="s">
        <v>17993</v>
      </c>
      <c r="P4466" s="9" t="s">
        <v>17748</v>
      </c>
      <c r="Q4466" s="11" t="s">
        <v>21569</v>
      </c>
      <c r="R4466" s="11" t="s">
        <v>21569</v>
      </c>
      <c r="S4466" s="11" t="s">
        <v>17750</v>
      </c>
    </row>
    <row r="4467" spans="1:19" x14ac:dyDescent="0.2">
      <c r="A4467" s="11" t="s">
        <v>43662</v>
      </c>
      <c r="B4467" s="9" t="s">
        <v>43663</v>
      </c>
      <c r="C4467" s="9" t="s">
        <v>43664</v>
      </c>
      <c r="D4467" s="9" t="s">
        <v>43665</v>
      </c>
      <c r="E4467" s="9" t="s">
        <v>17748</v>
      </c>
      <c r="F4467" s="9" t="s">
        <v>43666</v>
      </c>
      <c r="G4467" s="9" t="s">
        <v>17740</v>
      </c>
      <c r="H4467" s="11" t="s">
        <v>43667</v>
      </c>
      <c r="I4467" s="11" t="s">
        <v>43668</v>
      </c>
      <c r="J4467" s="11" t="s">
        <v>43668</v>
      </c>
      <c r="K4467" s="9" t="s">
        <v>43669</v>
      </c>
      <c r="L4467" s="9" t="s">
        <v>20359</v>
      </c>
      <c r="M4467" s="9" t="s">
        <v>17760</v>
      </c>
      <c r="N4467" s="9" t="s">
        <v>17746</v>
      </c>
      <c r="O4467" s="9" t="s">
        <v>3309</v>
      </c>
      <c r="P4467" s="9" t="s">
        <v>17748</v>
      </c>
      <c r="Q4467" s="11" t="s">
        <v>17808</v>
      </c>
      <c r="R4467" s="11" t="s">
        <v>17808</v>
      </c>
      <c r="S4467" s="11" t="s">
        <v>17750</v>
      </c>
    </row>
    <row r="4468" spans="1:19" x14ac:dyDescent="0.2">
      <c r="A4468" s="11" t="s">
        <v>43670</v>
      </c>
      <c r="B4468" s="9" t="s">
        <v>43671</v>
      </c>
      <c r="C4468" s="9" t="s">
        <v>43672</v>
      </c>
      <c r="D4468" s="9" t="s">
        <v>43673</v>
      </c>
      <c r="E4468" s="9" t="s">
        <v>17740</v>
      </c>
      <c r="F4468" s="9" t="s">
        <v>17741</v>
      </c>
      <c r="G4468" s="9" t="s">
        <v>17740</v>
      </c>
      <c r="H4468" s="11" t="s">
        <v>3301</v>
      </c>
      <c r="I4468" s="11" t="s">
        <v>3300</v>
      </c>
      <c r="J4468" s="11" t="s">
        <v>3300</v>
      </c>
      <c r="K4468" s="9" t="s">
        <v>24835</v>
      </c>
      <c r="L4468" s="9" t="s">
        <v>17744</v>
      </c>
      <c r="M4468" s="9" t="s">
        <v>17817</v>
      </c>
      <c r="N4468" s="9" t="s">
        <v>17746</v>
      </c>
      <c r="O4468" s="9" t="s">
        <v>43674</v>
      </c>
      <c r="P4468" s="9" t="s">
        <v>17748</v>
      </c>
      <c r="Q4468" s="11" t="s">
        <v>18251</v>
      </c>
      <c r="R4468" s="11" t="s">
        <v>18251</v>
      </c>
      <c r="S4468" s="11" t="s">
        <v>17750</v>
      </c>
    </row>
    <row r="4469" spans="1:19" x14ac:dyDescent="0.2">
      <c r="A4469" s="11" t="s">
        <v>43675</v>
      </c>
      <c r="B4469" s="9" t="s">
        <v>43676</v>
      </c>
      <c r="C4469" s="9" t="s">
        <v>43677</v>
      </c>
      <c r="D4469" s="9" t="s">
        <v>43678</v>
      </c>
      <c r="E4469" s="9" t="s">
        <v>17740</v>
      </c>
      <c r="F4469" s="9" t="s">
        <v>43679</v>
      </c>
      <c r="G4469" s="9" t="s">
        <v>17740</v>
      </c>
      <c r="H4469" s="11" t="s">
        <v>13187</v>
      </c>
      <c r="I4469" s="11" t="s">
        <v>17741</v>
      </c>
      <c r="J4469" s="11" t="s">
        <v>13187</v>
      </c>
      <c r="K4469" s="9" t="s">
        <v>18570</v>
      </c>
      <c r="L4469" s="9" t="s">
        <v>17744</v>
      </c>
      <c r="M4469" s="9" t="s">
        <v>17741</v>
      </c>
      <c r="N4469" s="9" t="s">
        <v>17746</v>
      </c>
      <c r="O4469" s="9" t="s">
        <v>39057</v>
      </c>
      <c r="P4469" s="9" t="s">
        <v>17748</v>
      </c>
      <c r="Q4469" s="11" t="s">
        <v>18370</v>
      </c>
      <c r="R4469" s="11" t="s">
        <v>18370</v>
      </c>
      <c r="S4469" s="11" t="s">
        <v>17750</v>
      </c>
    </row>
    <row r="4470" spans="1:19" x14ac:dyDescent="0.2">
      <c r="A4470" s="11" t="s">
        <v>43680</v>
      </c>
      <c r="B4470" s="9" t="s">
        <v>3309</v>
      </c>
      <c r="C4470" s="9" t="s">
        <v>43681</v>
      </c>
      <c r="D4470" s="9" t="s">
        <v>3309</v>
      </c>
      <c r="E4470" s="9" t="s">
        <v>17740</v>
      </c>
      <c r="F4470" s="9" t="s">
        <v>43682</v>
      </c>
      <c r="G4470" s="9" t="s">
        <v>17740</v>
      </c>
      <c r="H4470" s="11" t="s">
        <v>3311</v>
      </c>
      <c r="I4470" s="11" t="s">
        <v>3310</v>
      </c>
      <c r="J4470" s="11" t="s">
        <v>3310</v>
      </c>
      <c r="K4470" s="9" t="s">
        <v>22500</v>
      </c>
      <c r="L4470" s="9" t="s">
        <v>17744</v>
      </c>
      <c r="M4470" s="9" t="s">
        <v>43683</v>
      </c>
      <c r="N4470" s="9" t="s">
        <v>17746</v>
      </c>
      <c r="O4470" s="9" t="s">
        <v>3309</v>
      </c>
      <c r="P4470" s="9" t="s">
        <v>17748</v>
      </c>
      <c r="Q4470" s="11" t="s">
        <v>29447</v>
      </c>
      <c r="R4470" s="11" t="s">
        <v>29447</v>
      </c>
      <c r="S4470" s="11" t="s">
        <v>17750</v>
      </c>
    </row>
    <row r="4471" spans="1:19" x14ac:dyDescent="0.2">
      <c r="A4471" s="11" t="s">
        <v>43684</v>
      </c>
      <c r="B4471" s="9" t="s">
        <v>43685</v>
      </c>
      <c r="C4471" s="9" t="s">
        <v>43686</v>
      </c>
      <c r="D4471" s="9" t="s">
        <v>43687</v>
      </c>
      <c r="E4471" s="9" t="s">
        <v>17740</v>
      </c>
      <c r="F4471" s="9" t="s">
        <v>43688</v>
      </c>
      <c r="G4471" s="9" t="s">
        <v>17740</v>
      </c>
      <c r="H4471" s="11" t="s">
        <v>7322</v>
      </c>
      <c r="I4471" s="11" t="s">
        <v>7321</v>
      </c>
      <c r="J4471" s="11" t="s">
        <v>7321</v>
      </c>
      <c r="K4471" s="9" t="s">
        <v>91</v>
      </c>
      <c r="L4471" s="9" t="s">
        <v>18001</v>
      </c>
      <c r="M4471" s="9" t="s">
        <v>17760</v>
      </c>
      <c r="N4471" s="9" t="s">
        <v>17746</v>
      </c>
      <c r="O4471" s="9" t="s">
        <v>3309</v>
      </c>
      <c r="P4471" s="9" t="s">
        <v>17748</v>
      </c>
      <c r="Q4471" s="11" t="s">
        <v>18272</v>
      </c>
      <c r="R4471" s="11" t="s">
        <v>18272</v>
      </c>
      <c r="S4471" s="11" t="s">
        <v>17750</v>
      </c>
    </row>
    <row r="4472" spans="1:19" x14ac:dyDescent="0.2">
      <c r="A4472" s="11" t="s">
        <v>43689</v>
      </c>
      <c r="B4472" s="9" t="s">
        <v>43690</v>
      </c>
      <c r="C4472" s="9" t="s">
        <v>43691</v>
      </c>
      <c r="D4472" s="9" t="s">
        <v>43692</v>
      </c>
      <c r="E4472" s="9" t="s">
        <v>17740</v>
      </c>
      <c r="F4472" s="9" t="s">
        <v>43693</v>
      </c>
      <c r="G4472" s="9" t="s">
        <v>17740</v>
      </c>
      <c r="H4472" s="11" t="s">
        <v>4312</v>
      </c>
      <c r="I4472" s="11" t="s">
        <v>4311</v>
      </c>
      <c r="J4472" s="11" t="s">
        <v>4311</v>
      </c>
      <c r="K4472" s="9" t="s">
        <v>17790</v>
      </c>
      <c r="L4472" s="9" t="s">
        <v>18158</v>
      </c>
      <c r="M4472" s="9" t="s">
        <v>43694</v>
      </c>
      <c r="N4472" s="9" t="s">
        <v>17746</v>
      </c>
      <c r="O4472" s="9" t="s">
        <v>3309</v>
      </c>
      <c r="P4472" s="9" t="s">
        <v>17748</v>
      </c>
      <c r="Q4472" s="11" t="s">
        <v>18364</v>
      </c>
      <c r="R4472" s="11" t="s">
        <v>18364</v>
      </c>
      <c r="S4472" s="11" t="s">
        <v>17750</v>
      </c>
    </row>
    <row r="4473" spans="1:19" x14ac:dyDescent="0.2">
      <c r="A4473" s="11" t="s">
        <v>43695</v>
      </c>
      <c r="B4473" s="9" t="s">
        <v>43696</v>
      </c>
      <c r="C4473" s="9" t="s">
        <v>43697</v>
      </c>
      <c r="D4473" s="9" t="s">
        <v>43696</v>
      </c>
      <c r="E4473" s="9" t="s">
        <v>17740</v>
      </c>
      <c r="F4473" s="9" t="s">
        <v>17741</v>
      </c>
      <c r="G4473" s="9" t="s">
        <v>17740</v>
      </c>
      <c r="H4473" s="11" t="s">
        <v>17741</v>
      </c>
      <c r="I4473" s="11" t="s">
        <v>43698</v>
      </c>
      <c r="J4473" s="11" t="s">
        <v>43698</v>
      </c>
      <c r="K4473" s="9" t="s">
        <v>22405</v>
      </c>
      <c r="L4473" s="9" t="s">
        <v>18854</v>
      </c>
      <c r="M4473" s="9" t="s">
        <v>17769</v>
      </c>
      <c r="N4473" s="9" t="s">
        <v>20237</v>
      </c>
      <c r="O4473" s="9" t="s">
        <v>3309</v>
      </c>
      <c r="P4473" s="9" t="s">
        <v>17748</v>
      </c>
      <c r="Q4473" s="11" t="s">
        <v>18813</v>
      </c>
      <c r="R4473" s="11" t="s">
        <v>18813</v>
      </c>
      <c r="S4473" s="11" t="s">
        <v>17750</v>
      </c>
    </row>
    <row r="4474" spans="1:19" x14ac:dyDescent="0.2">
      <c r="A4474" s="11" t="s">
        <v>43699</v>
      </c>
      <c r="B4474" s="9" t="s">
        <v>43700</v>
      </c>
      <c r="C4474" s="9" t="s">
        <v>43701</v>
      </c>
      <c r="D4474" s="9" t="s">
        <v>43702</v>
      </c>
      <c r="E4474" s="9" t="s">
        <v>17740</v>
      </c>
      <c r="F4474" s="9" t="s">
        <v>17741</v>
      </c>
      <c r="G4474" s="9" t="s">
        <v>17740</v>
      </c>
      <c r="H4474" s="11" t="s">
        <v>6533</v>
      </c>
      <c r="I4474" s="11" t="s">
        <v>6532</v>
      </c>
      <c r="J4474" s="11" t="s">
        <v>6532</v>
      </c>
      <c r="K4474" s="9" t="s">
        <v>18661</v>
      </c>
      <c r="L4474" s="9" t="s">
        <v>17744</v>
      </c>
      <c r="M4474" s="9" t="s">
        <v>20957</v>
      </c>
      <c r="N4474" s="9" t="s">
        <v>17746</v>
      </c>
      <c r="O4474" s="9" t="s">
        <v>3100</v>
      </c>
      <c r="P4474" s="9" t="s">
        <v>17748</v>
      </c>
      <c r="Q4474" s="11" t="s">
        <v>19361</v>
      </c>
      <c r="R4474" s="11" t="s">
        <v>19361</v>
      </c>
      <c r="S4474" s="11" t="s">
        <v>17750</v>
      </c>
    </row>
    <row r="4475" spans="1:19" x14ac:dyDescent="0.2">
      <c r="A4475" s="11" t="s">
        <v>43703</v>
      </c>
      <c r="B4475" s="9" t="s">
        <v>43704</v>
      </c>
      <c r="C4475" s="9" t="s">
        <v>43705</v>
      </c>
      <c r="D4475" s="9" t="s">
        <v>43706</v>
      </c>
      <c r="E4475" s="9" t="s">
        <v>17740</v>
      </c>
      <c r="F4475" s="9" t="s">
        <v>17741</v>
      </c>
      <c r="G4475" s="9" t="s">
        <v>17740</v>
      </c>
      <c r="H4475" s="11" t="s">
        <v>11043</v>
      </c>
      <c r="I4475" s="11" t="s">
        <v>17741</v>
      </c>
      <c r="J4475" s="11" t="s">
        <v>11043</v>
      </c>
      <c r="K4475" s="9" t="s">
        <v>18570</v>
      </c>
      <c r="L4475" s="9" t="s">
        <v>17744</v>
      </c>
      <c r="M4475" s="9" t="s">
        <v>17741</v>
      </c>
      <c r="N4475" s="9" t="s">
        <v>17746</v>
      </c>
      <c r="O4475" s="9" t="s">
        <v>4009</v>
      </c>
      <c r="P4475" s="9" t="s">
        <v>17748</v>
      </c>
      <c r="Q4475" s="11" t="s">
        <v>17780</v>
      </c>
      <c r="R4475" s="11" t="s">
        <v>17780</v>
      </c>
      <c r="S4475" s="11" t="s">
        <v>17750</v>
      </c>
    </row>
    <row r="4476" spans="1:19" x14ac:dyDescent="0.2">
      <c r="A4476" s="11" t="s">
        <v>43707</v>
      </c>
      <c r="B4476" s="9" t="s">
        <v>43708</v>
      </c>
      <c r="C4476" s="9" t="s">
        <v>43709</v>
      </c>
      <c r="D4476" s="9" t="s">
        <v>5076</v>
      </c>
      <c r="E4476" s="9" t="s">
        <v>17740</v>
      </c>
      <c r="F4476" s="9" t="s">
        <v>43710</v>
      </c>
      <c r="G4476" s="9" t="s">
        <v>17740</v>
      </c>
      <c r="H4476" s="11" t="s">
        <v>5078</v>
      </c>
      <c r="I4476" s="11" t="s">
        <v>5077</v>
      </c>
      <c r="J4476" s="11" t="s">
        <v>5077</v>
      </c>
      <c r="K4476" s="9" t="s">
        <v>22922</v>
      </c>
      <c r="L4476" s="9" t="s">
        <v>18123</v>
      </c>
      <c r="M4476" s="9" t="s">
        <v>18065</v>
      </c>
      <c r="N4476" s="9" t="s">
        <v>17746</v>
      </c>
      <c r="O4476" s="9" t="s">
        <v>19521</v>
      </c>
      <c r="P4476" s="9" t="s">
        <v>17748</v>
      </c>
      <c r="Q4476" s="11" t="s">
        <v>17749</v>
      </c>
      <c r="R4476" s="11" t="s">
        <v>17749</v>
      </c>
      <c r="S4476" s="11" t="s">
        <v>17750</v>
      </c>
    </row>
    <row r="4477" spans="1:19" x14ac:dyDescent="0.2">
      <c r="A4477" s="11" t="s">
        <v>43711</v>
      </c>
      <c r="B4477" s="9" t="s">
        <v>43712</v>
      </c>
      <c r="C4477" s="9" t="s">
        <v>43713</v>
      </c>
      <c r="D4477" s="9" t="s">
        <v>43714</v>
      </c>
      <c r="E4477" s="9" t="s">
        <v>17748</v>
      </c>
      <c r="F4477" s="9" t="s">
        <v>43715</v>
      </c>
      <c r="G4477" s="9" t="s">
        <v>17740</v>
      </c>
      <c r="H4477" s="11" t="s">
        <v>16781</v>
      </c>
      <c r="I4477" s="11" t="s">
        <v>17741</v>
      </c>
      <c r="J4477" s="11" t="s">
        <v>17741</v>
      </c>
      <c r="K4477" s="9" t="s">
        <v>970</v>
      </c>
      <c r="L4477" s="9" t="s">
        <v>17759</v>
      </c>
      <c r="M4477" s="9" t="s">
        <v>42180</v>
      </c>
      <c r="N4477" s="9" t="s">
        <v>17746</v>
      </c>
      <c r="O4477" s="9" t="s">
        <v>25405</v>
      </c>
      <c r="P4477" s="9" t="s">
        <v>17748</v>
      </c>
      <c r="Q4477" s="11" t="s">
        <v>18089</v>
      </c>
      <c r="R4477" s="11" t="s">
        <v>18089</v>
      </c>
      <c r="S4477" s="11" t="s">
        <v>17750</v>
      </c>
    </row>
    <row r="4478" spans="1:19" x14ac:dyDescent="0.2">
      <c r="A4478" s="11" t="s">
        <v>43716</v>
      </c>
      <c r="B4478" s="9" t="s">
        <v>43717</v>
      </c>
      <c r="C4478" s="9" t="s">
        <v>43718</v>
      </c>
      <c r="D4478" s="9" t="s">
        <v>43719</v>
      </c>
      <c r="E4478" s="9" t="s">
        <v>17748</v>
      </c>
      <c r="F4478" s="9" t="s">
        <v>43720</v>
      </c>
      <c r="G4478" s="9" t="s">
        <v>17740</v>
      </c>
      <c r="H4478" s="11" t="s">
        <v>16020</v>
      </c>
      <c r="I4478" s="11" t="s">
        <v>16019</v>
      </c>
      <c r="J4478" s="11" t="s">
        <v>16019</v>
      </c>
      <c r="K4478" s="9" t="s">
        <v>19396</v>
      </c>
      <c r="L4478" s="9" t="s">
        <v>17744</v>
      </c>
      <c r="M4478" s="9" t="s">
        <v>43721</v>
      </c>
      <c r="N4478" s="9" t="s">
        <v>17746</v>
      </c>
      <c r="O4478" s="9" t="s">
        <v>43722</v>
      </c>
      <c r="P4478" s="9" t="s">
        <v>17748</v>
      </c>
      <c r="Q4478" s="11" t="s">
        <v>17923</v>
      </c>
      <c r="R4478" s="11" t="s">
        <v>17923</v>
      </c>
      <c r="S4478" s="11" t="s">
        <v>17750</v>
      </c>
    </row>
    <row r="4479" spans="1:19" x14ac:dyDescent="0.2">
      <c r="A4479" s="11" t="s">
        <v>43723</v>
      </c>
      <c r="B4479" s="9" t="s">
        <v>43724</v>
      </c>
      <c r="C4479" s="9" t="s">
        <v>43725</v>
      </c>
      <c r="D4479" s="9" t="s">
        <v>43726</v>
      </c>
      <c r="E4479" s="9" t="s">
        <v>17740</v>
      </c>
      <c r="F4479" s="9" t="s">
        <v>17741</v>
      </c>
      <c r="G4479" s="9" t="s">
        <v>17740</v>
      </c>
      <c r="H4479" s="11" t="s">
        <v>43727</v>
      </c>
      <c r="I4479" s="11" t="s">
        <v>43728</v>
      </c>
      <c r="J4479" s="11" t="s">
        <v>43728</v>
      </c>
      <c r="K4479" s="9" t="s">
        <v>18727</v>
      </c>
      <c r="L4479" s="9" t="s">
        <v>18158</v>
      </c>
      <c r="M4479" s="9" t="s">
        <v>17769</v>
      </c>
      <c r="N4479" s="9" t="s">
        <v>18185</v>
      </c>
      <c r="O4479" s="9" t="s">
        <v>19521</v>
      </c>
      <c r="P4479" s="9" t="s">
        <v>17748</v>
      </c>
      <c r="Q4479" s="11" t="s">
        <v>18251</v>
      </c>
      <c r="R4479" s="11" t="s">
        <v>18251</v>
      </c>
      <c r="S4479" s="11" t="s">
        <v>17750</v>
      </c>
    </row>
    <row r="4480" spans="1:19" x14ac:dyDescent="0.2">
      <c r="A4480" s="11" t="s">
        <v>43729</v>
      </c>
      <c r="B4480" s="9" t="s">
        <v>43730</v>
      </c>
      <c r="C4480" s="9" t="s">
        <v>43731</v>
      </c>
      <c r="D4480" s="9" t="s">
        <v>43730</v>
      </c>
      <c r="E4480" s="9" t="s">
        <v>17740</v>
      </c>
      <c r="F4480" s="9" t="s">
        <v>17741</v>
      </c>
      <c r="G4480" s="9" t="s">
        <v>17740</v>
      </c>
      <c r="H4480" s="11" t="s">
        <v>43732</v>
      </c>
      <c r="I4480" s="11" t="s">
        <v>43733</v>
      </c>
      <c r="J4480" s="11" t="s">
        <v>43733</v>
      </c>
      <c r="K4480" s="9" t="s">
        <v>43734</v>
      </c>
      <c r="L4480" s="9" t="s">
        <v>17991</v>
      </c>
      <c r="M4480" s="9" t="s">
        <v>17769</v>
      </c>
      <c r="N4480" s="9" t="s">
        <v>20424</v>
      </c>
      <c r="O4480" s="9" t="s">
        <v>19521</v>
      </c>
      <c r="P4480" s="9" t="s">
        <v>17748</v>
      </c>
      <c r="Q4480" s="11" t="s">
        <v>29447</v>
      </c>
      <c r="R4480" s="11" t="s">
        <v>29447</v>
      </c>
      <c r="S4480" s="11" t="s">
        <v>17750</v>
      </c>
    </row>
    <row r="4481" spans="1:19" x14ac:dyDescent="0.2">
      <c r="A4481" s="11" t="s">
        <v>43735</v>
      </c>
      <c r="B4481" s="9" t="s">
        <v>43736</v>
      </c>
      <c r="C4481" s="9" t="s">
        <v>43737</v>
      </c>
      <c r="D4481" s="9" t="s">
        <v>43738</v>
      </c>
      <c r="E4481" s="9" t="s">
        <v>17740</v>
      </c>
      <c r="F4481" s="9" t="s">
        <v>43739</v>
      </c>
      <c r="G4481" s="9" t="s">
        <v>17740</v>
      </c>
      <c r="H4481" s="11" t="s">
        <v>3523</v>
      </c>
      <c r="I4481" s="11" t="s">
        <v>3522</v>
      </c>
      <c r="J4481" s="11" t="s">
        <v>3522</v>
      </c>
      <c r="K4481" s="9" t="s">
        <v>91</v>
      </c>
      <c r="L4481" s="9" t="s">
        <v>20359</v>
      </c>
      <c r="M4481" s="9" t="s">
        <v>19168</v>
      </c>
      <c r="N4481" s="9" t="s">
        <v>18042</v>
      </c>
      <c r="O4481" s="9" t="s">
        <v>43740</v>
      </c>
      <c r="P4481" s="9" t="s">
        <v>17748</v>
      </c>
      <c r="Q4481" s="11" t="s">
        <v>17867</v>
      </c>
      <c r="R4481" s="11" t="s">
        <v>17867</v>
      </c>
      <c r="S4481" s="11" t="s">
        <v>17750</v>
      </c>
    </row>
    <row r="4482" spans="1:19" x14ac:dyDescent="0.2">
      <c r="A4482" s="11" t="s">
        <v>43741</v>
      </c>
      <c r="B4482" s="9" t="s">
        <v>19521</v>
      </c>
      <c r="C4482" s="9" t="s">
        <v>43742</v>
      </c>
      <c r="D4482" s="9" t="s">
        <v>19521</v>
      </c>
      <c r="E4482" s="9" t="s">
        <v>17740</v>
      </c>
      <c r="F4482" s="9" t="s">
        <v>17741</v>
      </c>
      <c r="G4482" s="9" t="s">
        <v>17740</v>
      </c>
      <c r="H4482" s="11" t="s">
        <v>43743</v>
      </c>
      <c r="I4482" s="11" t="s">
        <v>43744</v>
      </c>
      <c r="J4482" s="11" t="s">
        <v>43744</v>
      </c>
      <c r="K4482" s="9" t="s">
        <v>17758</v>
      </c>
      <c r="L4482" s="9" t="s">
        <v>17744</v>
      </c>
      <c r="M4482" s="9" t="s">
        <v>20344</v>
      </c>
      <c r="N4482" s="9" t="s">
        <v>17746</v>
      </c>
      <c r="O4482" s="9" t="s">
        <v>19521</v>
      </c>
      <c r="P4482" s="9" t="s">
        <v>17748</v>
      </c>
      <c r="Q4482" s="11" t="s">
        <v>17867</v>
      </c>
      <c r="R4482" s="11" t="s">
        <v>17867</v>
      </c>
      <c r="S4482" s="11" t="s">
        <v>17750</v>
      </c>
    </row>
    <row r="4483" spans="1:19" x14ac:dyDescent="0.2">
      <c r="A4483" s="11" t="s">
        <v>43745</v>
      </c>
      <c r="B4483" s="9" t="s">
        <v>43746</v>
      </c>
      <c r="C4483" s="9" t="s">
        <v>43747</v>
      </c>
      <c r="D4483" s="9" t="s">
        <v>43748</v>
      </c>
      <c r="E4483" s="9" t="s">
        <v>17748</v>
      </c>
      <c r="F4483" s="9" t="s">
        <v>43749</v>
      </c>
      <c r="G4483" s="9" t="s">
        <v>17740</v>
      </c>
      <c r="H4483" s="11" t="s">
        <v>6239</v>
      </c>
      <c r="I4483" s="11" t="s">
        <v>6238</v>
      </c>
      <c r="J4483" s="11" t="s">
        <v>6238</v>
      </c>
      <c r="K4483" s="9" t="s">
        <v>43750</v>
      </c>
      <c r="L4483" s="9" t="s">
        <v>20082</v>
      </c>
      <c r="M4483" s="9" t="s">
        <v>18289</v>
      </c>
      <c r="N4483" s="9" t="s">
        <v>17746</v>
      </c>
      <c r="O4483" s="9" t="s">
        <v>19521</v>
      </c>
      <c r="P4483" s="9" t="s">
        <v>17748</v>
      </c>
      <c r="Q4483" s="11" t="s">
        <v>17808</v>
      </c>
      <c r="R4483" s="11" t="s">
        <v>17808</v>
      </c>
      <c r="S4483" s="11" t="s">
        <v>17750</v>
      </c>
    </row>
    <row r="4484" spans="1:19" x14ac:dyDescent="0.2">
      <c r="A4484" s="11" t="s">
        <v>43751</v>
      </c>
      <c r="B4484" s="9" t="s">
        <v>43752</v>
      </c>
      <c r="C4484" s="9" t="s">
        <v>43753</v>
      </c>
      <c r="D4484" s="9" t="s">
        <v>43754</v>
      </c>
      <c r="E4484" s="9" t="s">
        <v>17740</v>
      </c>
      <c r="F4484" s="9" t="s">
        <v>17741</v>
      </c>
      <c r="G4484" s="9" t="s">
        <v>17740</v>
      </c>
      <c r="H4484" s="11" t="s">
        <v>7635</v>
      </c>
      <c r="I4484" s="11" t="s">
        <v>7634</v>
      </c>
      <c r="J4484" s="11" t="s">
        <v>7634</v>
      </c>
      <c r="K4484" s="9" t="s">
        <v>17783</v>
      </c>
      <c r="L4484" s="9" t="s">
        <v>18001</v>
      </c>
      <c r="M4484" s="9" t="s">
        <v>17760</v>
      </c>
      <c r="N4484" s="9" t="s">
        <v>17746</v>
      </c>
      <c r="O4484" s="9" t="s">
        <v>30507</v>
      </c>
      <c r="P4484" s="9" t="s">
        <v>17748</v>
      </c>
      <c r="Q4484" s="11" t="s">
        <v>19361</v>
      </c>
      <c r="R4484" s="11" t="s">
        <v>19361</v>
      </c>
      <c r="S4484" s="11" t="s">
        <v>17750</v>
      </c>
    </row>
    <row r="4485" spans="1:19" x14ac:dyDescent="0.2">
      <c r="A4485" s="11" t="s">
        <v>43755</v>
      </c>
      <c r="B4485" s="9" t="s">
        <v>43756</v>
      </c>
      <c r="C4485" s="9" t="s">
        <v>43757</v>
      </c>
      <c r="D4485" s="9" t="s">
        <v>43758</v>
      </c>
      <c r="E4485" s="9" t="s">
        <v>17740</v>
      </c>
      <c r="F4485" s="9" t="s">
        <v>43759</v>
      </c>
      <c r="G4485" s="9" t="s">
        <v>17740</v>
      </c>
      <c r="H4485" s="11" t="s">
        <v>3317</v>
      </c>
      <c r="I4485" s="11" t="s">
        <v>3316</v>
      </c>
      <c r="J4485" s="11" t="s">
        <v>3316</v>
      </c>
      <c r="K4485" s="9" t="s">
        <v>18183</v>
      </c>
      <c r="L4485" s="9" t="s">
        <v>18158</v>
      </c>
      <c r="M4485" s="9" t="s">
        <v>18289</v>
      </c>
      <c r="N4485" s="9" t="s">
        <v>17746</v>
      </c>
      <c r="O4485" s="9" t="s">
        <v>19521</v>
      </c>
      <c r="P4485" s="9" t="s">
        <v>17748</v>
      </c>
      <c r="Q4485" s="11" t="s">
        <v>19335</v>
      </c>
      <c r="R4485" s="11" t="s">
        <v>19335</v>
      </c>
      <c r="S4485" s="11" t="s">
        <v>17750</v>
      </c>
    </row>
    <row r="4486" spans="1:19" x14ac:dyDescent="0.2">
      <c r="A4486" s="11" t="s">
        <v>43760</v>
      </c>
      <c r="B4486" s="9" t="s">
        <v>43761</v>
      </c>
      <c r="C4486" s="9" t="s">
        <v>43762</v>
      </c>
      <c r="D4486" s="9" t="s">
        <v>13167</v>
      </c>
      <c r="E4486" s="9" t="s">
        <v>17740</v>
      </c>
      <c r="F4486" s="9" t="s">
        <v>17741</v>
      </c>
      <c r="G4486" s="9" t="s">
        <v>17740</v>
      </c>
      <c r="H4486" s="11" t="s">
        <v>13169</v>
      </c>
      <c r="I4486" s="11" t="s">
        <v>13168</v>
      </c>
      <c r="J4486" s="11" t="s">
        <v>13168</v>
      </c>
      <c r="K4486" s="9" t="s">
        <v>19482</v>
      </c>
      <c r="L4486" s="9" t="s">
        <v>19483</v>
      </c>
      <c r="M4486" s="9" t="s">
        <v>17778</v>
      </c>
      <c r="N4486" s="9" t="s">
        <v>17746</v>
      </c>
      <c r="O4486" s="9" t="s">
        <v>30620</v>
      </c>
      <c r="P4486" s="9" t="s">
        <v>17748</v>
      </c>
      <c r="Q4486" s="11" t="s">
        <v>18370</v>
      </c>
      <c r="R4486" s="11" t="s">
        <v>18370</v>
      </c>
      <c r="S4486" s="11" t="s">
        <v>17750</v>
      </c>
    </row>
    <row r="4487" spans="1:19" x14ac:dyDescent="0.2">
      <c r="A4487" s="11" t="s">
        <v>43763</v>
      </c>
      <c r="B4487" s="9" t="s">
        <v>43764</v>
      </c>
      <c r="C4487" s="9" t="s">
        <v>43765</v>
      </c>
      <c r="D4487" s="9" t="s">
        <v>43766</v>
      </c>
      <c r="E4487" s="9" t="s">
        <v>17740</v>
      </c>
      <c r="F4487" s="9" t="s">
        <v>43767</v>
      </c>
      <c r="G4487" s="9" t="s">
        <v>17740</v>
      </c>
      <c r="H4487" s="11" t="s">
        <v>3354</v>
      </c>
      <c r="I4487" s="11" t="s">
        <v>3353</v>
      </c>
      <c r="J4487" s="11" t="s">
        <v>3353</v>
      </c>
      <c r="K4487" s="9" t="s">
        <v>91</v>
      </c>
      <c r="L4487" s="9" t="s">
        <v>21771</v>
      </c>
      <c r="M4487" s="9" t="s">
        <v>24542</v>
      </c>
      <c r="N4487" s="9" t="s">
        <v>17746</v>
      </c>
      <c r="O4487" s="9" t="s">
        <v>17800</v>
      </c>
      <c r="P4487" s="9" t="s">
        <v>17748</v>
      </c>
      <c r="Q4487" s="11" t="s">
        <v>17978</v>
      </c>
      <c r="R4487" s="11" t="s">
        <v>17978</v>
      </c>
      <c r="S4487" s="11" t="s">
        <v>17750</v>
      </c>
    </row>
    <row r="4488" spans="1:19" x14ac:dyDescent="0.2">
      <c r="A4488" s="11" t="s">
        <v>43768</v>
      </c>
      <c r="B4488" s="9" t="s">
        <v>43769</v>
      </c>
      <c r="C4488" s="9" t="s">
        <v>43770</v>
      </c>
      <c r="D4488" s="9" t="s">
        <v>43771</v>
      </c>
      <c r="E4488" s="9" t="s">
        <v>17740</v>
      </c>
      <c r="F4488" s="9" t="s">
        <v>17741</v>
      </c>
      <c r="G4488" s="9" t="s">
        <v>17740</v>
      </c>
      <c r="H4488" s="11" t="s">
        <v>17741</v>
      </c>
      <c r="I4488" s="11" t="s">
        <v>43772</v>
      </c>
      <c r="J4488" s="11" t="s">
        <v>43772</v>
      </c>
      <c r="K4488" s="9" t="s">
        <v>20950</v>
      </c>
      <c r="L4488" s="9" t="s">
        <v>18854</v>
      </c>
      <c r="M4488" s="9" t="s">
        <v>17778</v>
      </c>
      <c r="N4488" s="9" t="s">
        <v>20237</v>
      </c>
      <c r="O4488" s="9" t="s">
        <v>43773</v>
      </c>
      <c r="P4488" s="9" t="s">
        <v>17748</v>
      </c>
      <c r="Q4488" s="11" t="s">
        <v>17937</v>
      </c>
      <c r="R4488" s="11" t="s">
        <v>17937</v>
      </c>
      <c r="S4488" s="11" t="s">
        <v>17750</v>
      </c>
    </row>
    <row r="4489" spans="1:19" x14ac:dyDescent="0.2">
      <c r="A4489" s="11" t="s">
        <v>43774</v>
      </c>
      <c r="B4489" s="9" t="s">
        <v>43775</v>
      </c>
      <c r="C4489" s="9" t="s">
        <v>43776</v>
      </c>
      <c r="D4489" s="9" t="s">
        <v>43777</v>
      </c>
      <c r="E4489" s="9" t="s">
        <v>17748</v>
      </c>
      <c r="F4489" s="9" t="s">
        <v>43778</v>
      </c>
      <c r="G4489" s="9" t="s">
        <v>17740</v>
      </c>
      <c r="H4489" s="11" t="s">
        <v>6336</v>
      </c>
      <c r="I4489" s="11" t="s">
        <v>6335</v>
      </c>
      <c r="J4489" s="11" t="s">
        <v>6335</v>
      </c>
      <c r="K4489" s="9" t="s">
        <v>43779</v>
      </c>
      <c r="L4489" s="9" t="s">
        <v>17759</v>
      </c>
      <c r="M4489" s="9" t="s">
        <v>17769</v>
      </c>
      <c r="N4489" s="9" t="s">
        <v>17746</v>
      </c>
      <c r="O4489" s="9" t="s">
        <v>3391</v>
      </c>
      <c r="P4489" s="9" t="s">
        <v>17748</v>
      </c>
      <c r="Q4489" s="11" t="s">
        <v>17808</v>
      </c>
      <c r="R4489" s="11" t="s">
        <v>17808</v>
      </c>
      <c r="S4489" s="11" t="s">
        <v>17750</v>
      </c>
    </row>
    <row r="4490" spans="1:19" x14ac:dyDescent="0.2">
      <c r="A4490" s="11" t="s">
        <v>43780</v>
      </c>
      <c r="B4490" s="9" t="s">
        <v>43781</v>
      </c>
      <c r="C4490" s="9" t="s">
        <v>43782</v>
      </c>
      <c r="D4490" s="9" t="s">
        <v>43783</v>
      </c>
      <c r="E4490" s="9" t="s">
        <v>17740</v>
      </c>
      <c r="F4490" s="9" t="s">
        <v>17741</v>
      </c>
      <c r="G4490" s="9" t="s">
        <v>17740</v>
      </c>
      <c r="H4490" s="11" t="s">
        <v>17741</v>
      </c>
      <c r="I4490" s="11" t="s">
        <v>43784</v>
      </c>
      <c r="J4490" s="11" t="s">
        <v>43784</v>
      </c>
      <c r="K4490" s="9" t="s">
        <v>43785</v>
      </c>
      <c r="L4490" s="9" t="s">
        <v>17991</v>
      </c>
      <c r="M4490" s="9" t="s">
        <v>17769</v>
      </c>
      <c r="N4490" s="9" t="s">
        <v>20424</v>
      </c>
      <c r="O4490" s="9" t="s">
        <v>19059</v>
      </c>
      <c r="P4490" s="9" t="s">
        <v>17748</v>
      </c>
      <c r="Q4490" s="11" t="s">
        <v>18251</v>
      </c>
      <c r="R4490" s="11" t="s">
        <v>18251</v>
      </c>
      <c r="S4490" s="11" t="s">
        <v>17750</v>
      </c>
    </row>
    <row r="4491" spans="1:19" x14ac:dyDescent="0.2">
      <c r="A4491" s="11" t="s">
        <v>43786</v>
      </c>
      <c r="B4491" s="9" t="s">
        <v>43787</v>
      </c>
      <c r="C4491" s="9" t="s">
        <v>43788</v>
      </c>
      <c r="D4491" s="9" t="s">
        <v>43789</v>
      </c>
      <c r="E4491" s="9" t="s">
        <v>17740</v>
      </c>
      <c r="F4491" s="9" t="s">
        <v>17741</v>
      </c>
      <c r="G4491" s="9" t="s">
        <v>17740</v>
      </c>
      <c r="H4491" s="11" t="s">
        <v>5288</v>
      </c>
      <c r="I4491" s="11" t="s">
        <v>5287</v>
      </c>
      <c r="J4491" s="11" t="s">
        <v>5287</v>
      </c>
      <c r="K4491" s="9" t="s">
        <v>296</v>
      </c>
      <c r="L4491" s="9" t="s">
        <v>17744</v>
      </c>
      <c r="M4491" s="9" t="s">
        <v>21005</v>
      </c>
      <c r="N4491" s="9" t="s">
        <v>17746</v>
      </c>
      <c r="O4491" s="9" t="s">
        <v>43790</v>
      </c>
      <c r="P4491" s="9" t="s">
        <v>17748</v>
      </c>
      <c r="Q4491" s="11" t="s">
        <v>17749</v>
      </c>
      <c r="R4491" s="11" t="s">
        <v>17749</v>
      </c>
      <c r="S4491" s="11" t="s">
        <v>17750</v>
      </c>
    </row>
    <row r="4492" spans="1:19" x14ac:dyDescent="0.2">
      <c r="A4492" s="11" t="s">
        <v>43791</v>
      </c>
      <c r="B4492" s="9" t="s">
        <v>43792</v>
      </c>
      <c r="C4492" s="9" t="s">
        <v>43793</v>
      </c>
      <c r="D4492" s="9" t="s">
        <v>43794</v>
      </c>
      <c r="E4492" s="9" t="s">
        <v>17740</v>
      </c>
      <c r="F4492" s="9" t="s">
        <v>43795</v>
      </c>
      <c r="G4492" s="9" t="s">
        <v>17740</v>
      </c>
      <c r="H4492" s="11" t="s">
        <v>7841</v>
      </c>
      <c r="I4492" s="11" t="s">
        <v>7840</v>
      </c>
      <c r="J4492" s="11" t="s">
        <v>7840</v>
      </c>
      <c r="K4492" s="9" t="s">
        <v>39103</v>
      </c>
      <c r="L4492" s="9" t="s">
        <v>17759</v>
      </c>
      <c r="M4492" s="9" t="s">
        <v>17769</v>
      </c>
      <c r="N4492" s="9" t="s">
        <v>17746</v>
      </c>
      <c r="O4492" s="9" t="s">
        <v>29375</v>
      </c>
      <c r="P4492" s="9" t="s">
        <v>17748</v>
      </c>
      <c r="Q4492" s="11" t="s">
        <v>18798</v>
      </c>
      <c r="R4492" s="11" t="s">
        <v>18798</v>
      </c>
      <c r="S4492" s="11" t="s">
        <v>17750</v>
      </c>
    </row>
    <row r="4493" spans="1:19" x14ac:dyDescent="0.2">
      <c r="A4493" s="11" t="s">
        <v>43796</v>
      </c>
      <c r="B4493" s="9" t="s">
        <v>43797</v>
      </c>
      <c r="C4493" s="9" t="s">
        <v>43798</v>
      </c>
      <c r="D4493" s="9" t="s">
        <v>43799</v>
      </c>
      <c r="E4493" s="9" t="s">
        <v>17740</v>
      </c>
      <c r="F4493" s="9" t="s">
        <v>17741</v>
      </c>
      <c r="G4493" s="9" t="s">
        <v>17740</v>
      </c>
      <c r="H4493" s="11" t="s">
        <v>17741</v>
      </c>
      <c r="I4493" s="11" t="s">
        <v>3338</v>
      </c>
      <c r="J4493" s="11" t="s">
        <v>3338</v>
      </c>
      <c r="K4493" s="9" t="s">
        <v>37454</v>
      </c>
      <c r="L4493" s="9" t="s">
        <v>17759</v>
      </c>
      <c r="M4493" s="9" t="s">
        <v>17817</v>
      </c>
      <c r="N4493" s="9" t="s">
        <v>17746</v>
      </c>
      <c r="O4493" s="9" t="s">
        <v>3355</v>
      </c>
      <c r="P4493" s="9" t="s">
        <v>17748</v>
      </c>
      <c r="Q4493" s="11" t="s">
        <v>19082</v>
      </c>
      <c r="R4493" s="11" t="s">
        <v>19082</v>
      </c>
      <c r="S4493" s="11" t="s">
        <v>17750</v>
      </c>
    </row>
    <row r="4494" spans="1:19" x14ac:dyDescent="0.2">
      <c r="A4494" s="11" t="s">
        <v>43800</v>
      </c>
      <c r="B4494" s="9" t="s">
        <v>43801</v>
      </c>
      <c r="C4494" s="9" t="s">
        <v>43802</v>
      </c>
      <c r="D4494" s="9" t="s">
        <v>43803</v>
      </c>
      <c r="E4494" s="9" t="s">
        <v>17748</v>
      </c>
      <c r="F4494" s="9" t="s">
        <v>43804</v>
      </c>
      <c r="G4494" s="9" t="s">
        <v>17740</v>
      </c>
      <c r="H4494" s="11" t="s">
        <v>10069</v>
      </c>
      <c r="I4494" s="11" t="s">
        <v>10068</v>
      </c>
      <c r="J4494" s="11" t="s">
        <v>10068</v>
      </c>
      <c r="K4494" s="9" t="s">
        <v>26763</v>
      </c>
      <c r="L4494" s="9" t="s">
        <v>17759</v>
      </c>
      <c r="M4494" s="9" t="s">
        <v>38323</v>
      </c>
      <c r="N4494" s="9" t="s">
        <v>17746</v>
      </c>
      <c r="O4494" s="9" t="s">
        <v>37434</v>
      </c>
      <c r="P4494" s="9" t="s">
        <v>17748</v>
      </c>
      <c r="Q4494" s="11" t="s">
        <v>17780</v>
      </c>
      <c r="R4494" s="11" t="s">
        <v>17780</v>
      </c>
      <c r="S4494" s="11" t="s">
        <v>17750</v>
      </c>
    </row>
    <row r="4495" spans="1:19" x14ac:dyDescent="0.2">
      <c r="A4495" s="11" t="s">
        <v>43805</v>
      </c>
      <c r="B4495" s="9" t="s">
        <v>43806</v>
      </c>
      <c r="C4495" s="9" t="s">
        <v>43807</v>
      </c>
      <c r="D4495" s="9" t="s">
        <v>43808</v>
      </c>
      <c r="E4495" s="9" t="s">
        <v>17740</v>
      </c>
      <c r="F4495" s="9" t="s">
        <v>17741</v>
      </c>
      <c r="G4495" s="9" t="s">
        <v>17740</v>
      </c>
      <c r="H4495" s="11" t="s">
        <v>3348</v>
      </c>
      <c r="I4495" s="11" t="s">
        <v>3347</v>
      </c>
      <c r="J4495" s="11" t="s">
        <v>3347</v>
      </c>
      <c r="K4495" s="9" t="s">
        <v>167</v>
      </c>
      <c r="L4495" s="9" t="s">
        <v>17759</v>
      </c>
      <c r="M4495" s="9" t="s">
        <v>19546</v>
      </c>
      <c r="N4495" s="9" t="s">
        <v>17746</v>
      </c>
      <c r="O4495" s="9" t="s">
        <v>43809</v>
      </c>
      <c r="P4495" s="9" t="s">
        <v>17748</v>
      </c>
      <c r="Q4495" s="11" t="s">
        <v>18251</v>
      </c>
      <c r="R4495" s="11" t="s">
        <v>18251</v>
      </c>
      <c r="S4495" s="11" t="s">
        <v>17750</v>
      </c>
    </row>
    <row r="4496" spans="1:19" x14ac:dyDescent="0.2">
      <c r="A4496" s="11" t="s">
        <v>43810</v>
      </c>
      <c r="B4496" s="9" t="s">
        <v>43811</v>
      </c>
      <c r="C4496" s="9" t="s">
        <v>43812</v>
      </c>
      <c r="D4496" s="9" t="s">
        <v>43813</v>
      </c>
      <c r="E4496" s="9" t="s">
        <v>17740</v>
      </c>
      <c r="F4496" s="9" t="s">
        <v>17741</v>
      </c>
      <c r="G4496" s="9" t="s">
        <v>17740</v>
      </c>
      <c r="H4496" s="11" t="s">
        <v>3333</v>
      </c>
      <c r="I4496" s="11" t="s">
        <v>3332</v>
      </c>
      <c r="J4496" s="11" t="s">
        <v>3332</v>
      </c>
      <c r="K4496" s="9" t="s">
        <v>303</v>
      </c>
      <c r="L4496" s="9" t="s">
        <v>17759</v>
      </c>
      <c r="M4496" s="9" t="s">
        <v>17769</v>
      </c>
      <c r="N4496" s="9" t="s">
        <v>17746</v>
      </c>
      <c r="O4496" s="9" t="s">
        <v>3355</v>
      </c>
      <c r="P4496" s="9" t="s">
        <v>17748</v>
      </c>
      <c r="Q4496" s="11" t="s">
        <v>17969</v>
      </c>
      <c r="R4496" s="11" t="s">
        <v>17969</v>
      </c>
      <c r="S4496" s="11" t="s">
        <v>17750</v>
      </c>
    </row>
    <row r="4497" spans="1:19" x14ac:dyDescent="0.2">
      <c r="A4497" s="11" t="s">
        <v>43814</v>
      </c>
      <c r="B4497" s="9" t="s">
        <v>43815</v>
      </c>
      <c r="C4497" s="9" t="s">
        <v>43816</v>
      </c>
      <c r="D4497" s="9" t="s">
        <v>43817</v>
      </c>
      <c r="E4497" s="9" t="s">
        <v>17740</v>
      </c>
      <c r="F4497" s="9" t="s">
        <v>17741</v>
      </c>
      <c r="G4497" s="9" t="s">
        <v>17740</v>
      </c>
      <c r="H4497" s="11" t="s">
        <v>17741</v>
      </c>
      <c r="I4497" s="11" t="s">
        <v>10459</v>
      </c>
      <c r="J4497" s="11" t="s">
        <v>10459</v>
      </c>
      <c r="K4497" s="9" t="s">
        <v>17758</v>
      </c>
      <c r="L4497" s="9" t="s">
        <v>17759</v>
      </c>
      <c r="M4497" s="9" t="s">
        <v>17760</v>
      </c>
      <c r="N4497" s="9" t="s">
        <v>17746</v>
      </c>
      <c r="O4497" s="9" t="s">
        <v>43818</v>
      </c>
      <c r="P4497" s="9" t="s">
        <v>17748</v>
      </c>
      <c r="Q4497" s="11" t="s">
        <v>17784</v>
      </c>
      <c r="R4497" s="11" t="s">
        <v>17784</v>
      </c>
      <c r="S4497" s="11" t="s">
        <v>17750</v>
      </c>
    </row>
    <row r="4498" spans="1:19" x14ac:dyDescent="0.2">
      <c r="A4498" s="11" t="s">
        <v>43819</v>
      </c>
      <c r="B4498" s="9" t="s">
        <v>43820</v>
      </c>
      <c r="C4498" s="9" t="s">
        <v>43821</v>
      </c>
      <c r="D4498" s="9" t="s">
        <v>43822</v>
      </c>
      <c r="E4498" s="9" t="s">
        <v>17740</v>
      </c>
      <c r="F4498" s="9" t="s">
        <v>17741</v>
      </c>
      <c r="G4498" s="9" t="s">
        <v>17740</v>
      </c>
      <c r="H4498" s="11" t="s">
        <v>43823</v>
      </c>
      <c r="I4498" s="11" t="s">
        <v>43824</v>
      </c>
      <c r="J4498" s="11" t="s">
        <v>43824</v>
      </c>
      <c r="K4498" s="9" t="s">
        <v>35145</v>
      </c>
      <c r="L4498" s="9" t="s">
        <v>17759</v>
      </c>
      <c r="M4498" s="9" t="s">
        <v>43825</v>
      </c>
      <c r="N4498" s="9" t="s">
        <v>17746</v>
      </c>
      <c r="O4498" s="9" t="s">
        <v>28400</v>
      </c>
      <c r="P4498" s="9" t="s">
        <v>17748</v>
      </c>
      <c r="Q4498" s="11" t="s">
        <v>18251</v>
      </c>
      <c r="R4498" s="11" t="s">
        <v>18251</v>
      </c>
      <c r="S4498" s="11" t="s">
        <v>17750</v>
      </c>
    </row>
    <row r="4499" spans="1:19" x14ac:dyDescent="0.2">
      <c r="A4499" s="11" t="s">
        <v>43826</v>
      </c>
      <c r="B4499" s="9" t="s">
        <v>43827</v>
      </c>
      <c r="C4499" s="9" t="s">
        <v>43828</v>
      </c>
      <c r="D4499" s="9" t="s">
        <v>43829</v>
      </c>
      <c r="E4499" s="9" t="s">
        <v>17740</v>
      </c>
      <c r="F4499" s="9" t="s">
        <v>17741</v>
      </c>
      <c r="G4499" s="9" t="s">
        <v>17740</v>
      </c>
      <c r="H4499" s="11" t="s">
        <v>3361</v>
      </c>
      <c r="I4499" s="11" t="s">
        <v>3360</v>
      </c>
      <c r="J4499" s="11" t="s">
        <v>3360</v>
      </c>
      <c r="K4499" s="9" t="s">
        <v>17805</v>
      </c>
      <c r="L4499" s="9" t="s">
        <v>17759</v>
      </c>
      <c r="M4499" s="9" t="s">
        <v>17769</v>
      </c>
      <c r="N4499" s="9" t="s">
        <v>17746</v>
      </c>
      <c r="O4499" s="9" t="s">
        <v>43830</v>
      </c>
      <c r="P4499" s="9" t="s">
        <v>17748</v>
      </c>
      <c r="Q4499" s="11" t="s">
        <v>17978</v>
      </c>
      <c r="R4499" s="11" t="s">
        <v>17978</v>
      </c>
      <c r="S4499" s="11" t="s">
        <v>17750</v>
      </c>
    </row>
    <row r="4500" spans="1:19" x14ac:dyDescent="0.2">
      <c r="A4500" s="11" t="s">
        <v>43831</v>
      </c>
      <c r="B4500" s="9" t="s">
        <v>43832</v>
      </c>
      <c r="C4500" s="9" t="s">
        <v>43833</v>
      </c>
      <c r="D4500" s="9" t="s">
        <v>43834</v>
      </c>
      <c r="E4500" s="9" t="s">
        <v>17740</v>
      </c>
      <c r="F4500" s="9" t="s">
        <v>17741</v>
      </c>
      <c r="G4500" s="9" t="s">
        <v>17740</v>
      </c>
      <c r="H4500" s="11" t="s">
        <v>8715</v>
      </c>
      <c r="I4500" s="11" t="s">
        <v>8714</v>
      </c>
      <c r="J4500" s="11" t="s">
        <v>8714</v>
      </c>
      <c r="K4500" s="9" t="s">
        <v>21040</v>
      </c>
      <c r="L4500" s="9" t="s">
        <v>18305</v>
      </c>
      <c r="M4500" s="9" t="s">
        <v>17769</v>
      </c>
      <c r="N4500" s="9" t="s">
        <v>17746</v>
      </c>
      <c r="O4500" s="9" t="s">
        <v>1535</v>
      </c>
      <c r="P4500" s="9" t="s">
        <v>17748</v>
      </c>
      <c r="Q4500" s="11" t="s">
        <v>17784</v>
      </c>
      <c r="R4500" s="11" t="s">
        <v>17784</v>
      </c>
      <c r="S4500" s="11" t="s">
        <v>17750</v>
      </c>
    </row>
    <row r="4501" spans="1:19" x14ac:dyDescent="0.2">
      <c r="A4501" s="11" t="s">
        <v>43835</v>
      </c>
      <c r="B4501" s="9" t="s">
        <v>43836</v>
      </c>
      <c r="C4501" s="9" t="s">
        <v>43837</v>
      </c>
      <c r="D4501" s="9" t="s">
        <v>43838</v>
      </c>
      <c r="E4501" s="9" t="s">
        <v>17740</v>
      </c>
      <c r="F4501" s="9" t="s">
        <v>17741</v>
      </c>
      <c r="G4501" s="9" t="s">
        <v>17740</v>
      </c>
      <c r="H4501" s="11" t="s">
        <v>3351</v>
      </c>
      <c r="I4501" s="11" t="s">
        <v>3350</v>
      </c>
      <c r="J4501" s="11" t="s">
        <v>3350</v>
      </c>
      <c r="K4501" s="9" t="s">
        <v>17758</v>
      </c>
      <c r="L4501" s="9" t="s">
        <v>17759</v>
      </c>
      <c r="M4501" s="9" t="s">
        <v>20397</v>
      </c>
      <c r="N4501" s="9" t="s">
        <v>17746</v>
      </c>
      <c r="O4501" s="9" t="s">
        <v>43839</v>
      </c>
      <c r="P4501" s="9" t="s">
        <v>17748</v>
      </c>
      <c r="Q4501" s="11" t="s">
        <v>18960</v>
      </c>
      <c r="R4501" s="11" t="s">
        <v>18960</v>
      </c>
      <c r="S4501" s="11" t="s">
        <v>17750</v>
      </c>
    </row>
    <row r="4502" spans="1:19" x14ac:dyDescent="0.2">
      <c r="A4502" s="11" t="s">
        <v>43840</v>
      </c>
      <c r="B4502" s="9" t="s">
        <v>43841</v>
      </c>
      <c r="C4502" s="9" t="s">
        <v>43842</v>
      </c>
      <c r="D4502" s="9" t="s">
        <v>43843</v>
      </c>
      <c r="E4502" s="9" t="s">
        <v>17740</v>
      </c>
      <c r="F4502" s="9" t="s">
        <v>17741</v>
      </c>
      <c r="G4502" s="9" t="s">
        <v>17740</v>
      </c>
      <c r="H4502" s="11" t="s">
        <v>43844</v>
      </c>
      <c r="I4502" s="11" t="s">
        <v>43845</v>
      </c>
      <c r="J4502" s="11" t="s">
        <v>43845</v>
      </c>
      <c r="K4502" s="9" t="s">
        <v>27967</v>
      </c>
      <c r="L4502" s="9" t="s">
        <v>17759</v>
      </c>
      <c r="M4502" s="9" t="s">
        <v>17817</v>
      </c>
      <c r="N4502" s="9" t="s">
        <v>17746</v>
      </c>
      <c r="O4502" s="9" t="s">
        <v>43839</v>
      </c>
      <c r="P4502" s="9" t="s">
        <v>17748</v>
      </c>
      <c r="Q4502" s="11" t="s">
        <v>17780</v>
      </c>
      <c r="R4502" s="11" t="s">
        <v>17780</v>
      </c>
      <c r="S4502" s="11" t="s">
        <v>17750</v>
      </c>
    </row>
    <row r="4503" spans="1:19" x14ac:dyDescent="0.2">
      <c r="A4503" s="11" t="s">
        <v>43846</v>
      </c>
      <c r="B4503" s="9" t="s">
        <v>43847</v>
      </c>
      <c r="C4503" s="9" t="s">
        <v>43848</v>
      </c>
      <c r="D4503" s="9" t="s">
        <v>43849</v>
      </c>
      <c r="E4503" s="9" t="s">
        <v>17740</v>
      </c>
      <c r="F4503" s="9" t="s">
        <v>17741</v>
      </c>
      <c r="G4503" s="9" t="s">
        <v>17740</v>
      </c>
      <c r="H4503" s="11" t="s">
        <v>17741</v>
      </c>
      <c r="I4503" s="11" t="s">
        <v>10365</v>
      </c>
      <c r="J4503" s="11" t="s">
        <v>10365</v>
      </c>
      <c r="K4503" s="9" t="s">
        <v>43850</v>
      </c>
      <c r="L4503" s="9" t="s">
        <v>19134</v>
      </c>
      <c r="M4503" s="9" t="s">
        <v>17760</v>
      </c>
      <c r="N4503" s="9" t="s">
        <v>17746</v>
      </c>
      <c r="O4503" s="9" t="s">
        <v>31251</v>
      </c>
      <c r="P4503" s="9" t="s">
        <v>17748</v>
      </c>
      <c r="Q4503" s="11" t="s">
        <v>17858</v>
      </c>
      <c r="R4503" s="11" t="s">
        <v>17858</v>
      </c>
      <c r="S4503" s="11" t="s">
        <v>17750</v>
      </c>
    </row>
    <row r="4504" spans="1:19" x14ac:dyDescent="0.2">
      <c r="A4504" s="11" t="s">
        <v>43851</v>
      </c>
      <c r="B4504" s="9" t="s">
        <v>43852</v>
      </c>
      <c r="C4504" s="9" t="s">
        <v>43853</v>
      </c>
      <c r="D4504" s="9" t="s">
        <v>43854</v>
      </c>
      <c r="E4504" s="9" t="s">
        <v>17748</v>
      </c>
      <c r="F4504" s="9" t="s">
        <v>43855</v>
      </c>
      <c r="G4504" s="9" t="s">
        <v>17748</v>
      </c>
      <c r="H4504" s="11" t="s">
        <v>17741</v>
      </c>
      <c r="I4504" s="11" t="s">
        <v>43856</v>
      </c>
      <c r="J4504" s="11" t="s">
        <v>17741</v>
      </c>
      <c r="K4504" s="9" t="s">
        <v>43857</v>
      </c>
      <c r="L4504" s="9" t="s">
        <v>17967</v>
      </c>
      <c r="M4504" s="9" t="s">
        <v>43192</v>
      </c>
      <c r="N4504" s="9" t="s">
        <v>17746</v>
      </c>
      <c r="O4504" s="9" t="s">
        <v>43858</v>
      </c>
      <c r="P4504" s="9" t="s">
        <v>17748</v>
      </c>
      <c r="Q4504" s="11" t="s">
        <v>17917</v>
      </c>
      <c r="R4504" s="11" t="s">
        <v>17917</v>
      </c>
      <c r="S4504" s="11" t="s">
        <v>17750</v>
      </c>
    </row>
    <row r="4505" spans="1:19" x14ac:dyDescent="0.2">
      <c r="A4505" s="11" t="s">
        <v>43859</v>
      </c>
      <c r="B4505" s="9" t="s">
        <v>43860</v>
      </c>
      <c r="C4505" s="9" t="s">
        <v>43861</v>
      </c>
      <c r="D4505" s="9" t="s">
        <v>43862</v>
      </c>
      <c r="E4505" s="9" t="s">
        <v>17740</v>
      </c>
      <c r="F4505" s="9" t="s">
        <v>17741</v>
      </c>
      <c r="G4505" s="9" t="s">
        <v>17740</v>
      </c>
      <c r="H4505" s="11" t="s">
        <v>43863</v>
      </c>
      <c r="I4505" s="11" t="s">
        <v>43864</v>
      </c>
      <c r="J4505" s="11" t="s">
        <v>43864</v>
      </c>
      <c r="K4505" s="9" t="s">
        <v>18635</v>
      </c>
      <c r="L4505" s="9" t="s">
        <v>17759</v>
      </c>
      <c r="M4505" s="9" t="s">
        <v>17760</v>
      </c>
      <c r="N4505" s="9" t="s">
        <v>17746</v>
      </c>
      <c r="O4505" s="9" t="s">
        <v>43865</v>
      </c>
      <c r="P4505" s="9" t="s">
        <v>17748</v>
      </c>
      <c r="Q4505" s="11" t="s">
        <v>17819</v>
      </c>
      <c r="R4505" s="11" t="s">
        <v>17819</v>
      </c>
      <c r="S4505" s="11" t="s">
        <v>17750</v>
      </c>
    </row>
    <row r="4506" spans="1:19" x14ac:dyDescent="0.2">
      <c r="A4506" s="11" t="s">
        <v>43866</v>
      </c>
      <c r="B4506" s="9" t="s">
        <v>43867</v>
      </c>
      <c r="C4506" s="9" t="s">
        <v>43868</v>
      </c>
      <c r="D4506" s="9" t="s">
        <v>43869</v>
      </c>
      <c r="E4506" s="9" t="s">
        <v>17740</v>
      </c>
      <c r="F4506" s="9" t="s">
        <v>43870</v>
      </c>
      <c r="G4506" s="9" t="s">
        <v>17740</v>
      </c>
      <c r="H4506" s="11" t="s">
        <v>4205</v>
      </c>
      <c r="I4506" s="11" t="s">
        <v>4204</v>
      </c>
      <c r="J4506" s="11" t="s">
        <v>4204</v>
      </c>
      <c r="K4506" s="9" t="s">
        <v>291</v>
      </c>
      <c r="L4506" s="9" t="s">
        <v>17744</v>
      </c>
      <c r="M4506" s="9" t="s">
        <v>43871</v>
      </c>
      <c r="N4506" s="9" t="s">
        <v>17746</v>
      </c>
      <c r="O4506" s="9" t="s">
        <v>37434</v>
      </c>
      <c r="P4506" s="9" t="s">
        <v>17748</v>
      </c>
      <c r="Q4506" s="11" t="s">
        <v>18059</v>
      </c>
      <c r="R4506" s="11" t="s">
        <v>18059</v>
      </c>
      <c r="S4506" s="11" t="s">
        <v>17750</v>
      </c>
    </row>
    <row r="4507" spans="1:19" x14ac:dyDescent="0.2">
      <c r="A4507" s="11" t="s">
        <v>43872</v>
      </c>
      <c r="B4507" s="9" t="s">
        <v>43873</v>
      </c>
      <c r="C4507" s="9" t="s">
        <v>43874</v>
      </c>
      <c r="D4507" s="9" t="s">
        <v>43875</v>
      </c>
      <c r="E4507" s="9" t="s">
        <v>17740</v>
      </c>
      <c r="F4507" s="9" t="s">
        <v>43876</v>
      </c>
      <c r="G4507" s="9" t="s">
        <v>17740</v>
      </c>
      <c r="H4507" s="11" t="s">
        <v>4360</v>
      </c>
      <c r="I4507" s="11" t="s">
        <v>4359</v>
      </c>
      <c r="J4507" s="11" t="s">
        <v>4359</v>
      </c>
      <c r="K4507" s="9" t="s">
        <v>43877</v>
      </c>
      <c r="L4507" s="9" t="s">
        <v>17759</v>
      </c>
      <c r="M4507" s="9" t="s">
        <v>17817</v>
      </c>
      <c r="N4507" s="9" t="s">
        <v>17746</v>
      </c>
      <c r="O4507" s="9" t="s">
        <v>43878</v>
      </c>
      <c r="P4507" s="9" t="s">
        <v>17748</v>
      </c>
      <c r="Q4507" s="11" t="s">
        <v>18364</v>
      </c>
      <c r="R4507" s="11" t="s">
        <v>18364</v>
      </c>
      <c r="S4507" s="11" t="s">
        <v>17750</v>
      </c>
    </row>
    <row r="4508" spans="1:19" x14ac:dyDescent="0.2">
      <c r="A4508" s="11" t="s">
        <v>43879</v>
      </c>
      <c r="B4508" s="9" t="s">
        <v>43880</v>
      </c>
      <c r="C4508" s="9" t="s">
        <v>43881</v>
      </c>
      <c r="D4508" s="9" t="s">
        <v>43882</v>
      </c>
      <c r="E4508" s="9" t="s">
        <v>17740</v>
      </c>
      <c r="F4508" s="9" t="s">
        <v>17741</v>
      </c>
      <c r="G4508" s="9" t="s">
        <v>17740</v>
      </c>
      <c r="H4508" s="11" t="s">
        <v>4223</v>
      </c>
      <c r="I4508" s="11" t="s">
        <v>4222</v>
      </c>
      <c r="J4508" s="11" t="s">
        <v>4222</v>
      </c>
      <c r="K4508" s="9" t="s">
        <v>17790</v>
      </c>
      <c r="L4508" s="9" t="s">
        <v>18158</v>
      </c>
      <c r="M4508" s="9" t="s">
        <v>28615</v>
      </c>
      <c r="N4508" s="9" t="s">
        <v>17746</v>
      </c>
      <c r="O4508" s="9" t="s">
        <v>43883</v>
      </c>
      <c r="P4508" s="9" t="s">
        <v>17748</v>
      </c>
      <c r="Q4508" s="11" t="s">
        <v>18364</v>
      </c>
      <c r="R4508" s="11" t="s">
        <v>18364</v>
      </c>
      <c r="S4508" s="11" t="s">
        <v>17750</v>
      </c>
    </row>
    <row r="4509" spans="1:19" x14ac:dyDescent="0.2">
      <c r="A4509" s="11" t="s">
        <v>43884</v>
      </c>
      <c r="B4509" s="9" t="s">
        <v>43885</v>
      </c>
      <c r="C4509" s="9" t="s">
        <v>43886</v>
      </c>
      <c r="D4509" s="9" t="s">
        <v>43887</v>
      </c>
      <c r="E4509" s="9" t="s">
        <v>17740</v>
      </c>
      <c r="F4509" s="9" t="s">
        <v>17741</v>
      </c>
      <c r="G4509" s="9" t="s">
        <v>17740</v>
      </c>
      <c r="H4509" s="11" t="s">
        <v>4202</v>
      </c>
      <c r="I4509" s="11" t="s">
        <v>4201</v>
      </c>
      <c r="J4509" s="11" t="s">
        <v>4201</v>
      </c>
      <c r="K4509" s="9" t="s">
        <v>21635</v>
      </c>
      <c r="L4509" s="9" t="s">
        <v>17759</v>
      </c>
      <c r="M4509" s="9" t="s">
        <v>19168</v>
      </c>
      <c r="N4509" s="9" t="s">
        <v>17746</v>
      </c>
      <c r="O4509" s="9" t="s">
        <v>24849</v>
      </c>
      <c r="P4509" s="9" t="s">
        <v>17748</v>
      </c>
      <c r="Q4509" s="11" t="s">
        <v>18960</v>
      </c>
      <c r="R4509" s="11" t="s">
        <v>18960</v>
      </c>
      <c r="S4509" s="11" t="s">
        <v>17750</v>
      </c>
    </row>
    <row r="4510" spans="1:19" x14ac:dyDescent="0.2">
      <c r="A4510" s="11" t="s">
        <v>43888</v>
      </c>
      <c r="B4510" s="9" t="s">
        <v>43889</v>
      </c>
      <c r="C4510" s="9" t="s">
        <v>43890</v>
      </c>
      <c r="D4510" s="9" t="s">
        <v>43891</v>
      </c>
      <c r="E4510" s="9" t="s">
        <v>17740</v>
      </c>
      <c r="F4510" s="9" t="s">
        <v>43892</v>
      </c>
      <c r="G4510" s="9" t="s">
        <v>17740</v>
      </c>
      <c r="H4510" s="11" t="s">
        <v>5417</v>
      </c>
      <c r="I4510" s="11" t="s">
        <v>5416</v>
      </c>
      <c r="J4510" s="11" t="s">
        <v>5416</v>
      </c>
      <c r="K4510" s="9" t="s">
        <v>22922</v>
      </c>
      <c r="L4510" s="9" t="s">
        <v>18123</v>
      </c>
      <c r="M4510" s="9" t="s">
        <v>23678</v>
      </c>
      <c r="N4510" s="9" t="s">
        <v>17746</v>
      </c>
      <c r="O4510" s="9" t="s">
        <v>37011</v>
      </c>
      <c r="P4510" s="9" t="s">
        <v>17748</v>
      </c>
      <c r="Q4510" s="11" t="s">
        <v>17749</v>
      </c>
      <c r="R4510" s="11" t="s">
        <v>17749</v>
      </c>
      <c r="S4510" s="11" t="s">
        <v>17750</v>
      </c>
    </row>
    <row r="4511" spans="1:19" x14ac:dyDescent="0.2">
      <c r="A4511" s="11" t="s">
        <v>43893</v>
      </c>
      <c r="B4511" s="9" t="s">
        <v>43894</v>
      </c>
      <c r="C4511" s="9" t="s">
        <v>43895</v>
      </c>
      <c r="D4511" s="9" t="s">
        <v>43896</v>
      </c>
      <c r="E4511" s="9" t="s">
        <v>17740</v>
      </c>
      <c r="F4511" s="9" t="s">
        <v>17741</v>
      </c>
      <c r="G4511" s="9" t="s">
        <v>17740</v>
      </c>
      <c r="H4511" s="11" t="s">
        <v>17741</v>
      </c>
      <c r="I4511" s="11" t="s">
        <v>43897</v>
      </c>
      <c r="J4511" s="11" t="s">
        <v>43897</v>
      </c>
      <c r="K4511" s="9" t="s">
        <v>43898</v>
      </c>
      <c r="L4511" s="9" t="s">
        <v>17759</v>
      </c>
      <c r="M4511" s="9" t="s">
        <v>17769</v>
      </c>
      <c r="N4511" s="9" t="s">
        <v>17746</v>
      </c>
      <c r="O4511" s="9" t="s">
        <v>33366</v>
      </c>
      <c r="P4511" s="9" t="s">
        <v>17748</v>
      </c>
      <c r="Q4511" s="11" t="s">
        <v>18608</v>
      </c>
      <c r="R4511" s="11" t="s">
        <v>18608</v>
      </c>
      <c r="S4511" s="11" t="s">
        <v>17750</v>
      </c>
    </row>
    <row r="4512" spans="1:19" x14ac:dyDescent="0.2">
      <c r="A4512" s="11" t="s">
        <v>43899</v>
      </c>
      <c r="B4512" s="9" t="s">
        <v>43900</v>
      </c>
      <c r="C4512" s="9" t="s">
        <v>43901</v>
      </c>
      <c r="D4512" s="9" t="s">
        <v>43902</v>
      </c>
      <c r="E4512" s="9" t="s">
        <v>17748</v>
      </c>
      <c r="F4512" s="9" t="s">
        <v>43903</v>
      </c>
      <c r="G4512" s="9" t="s">
        <v>17740</v>
      </c>
      <c r="H4512" s="11" t="s">
        <v>16242</v>
      </c>
      <c r="I4512" s="11" t="s">
        <v>16241</v>
      </c>
      <c r="J4512" s="11" t="s">
        <v>16241</v>
      </c>
      <c r="K4512" s="9" t="s">
        <v>43904</v>
      </c>
      <c r="L4512" s="9" t="s">
        <v>17744</v>
      </c>
      <c r="M4512" s="9" t="s">
        <v>17769</v>
      </c>
      <c r="N4512" s="9" t="s">
        <v>17746</v>
      </c>
      <c r="O4512" s="9" t="s">
        <v>24843</v>
      </c>
      <c r="P4512" s="9" t="s">
        <v>17748</v>
      </c>
      <c r="Q4512" s="11" t="s">
        <v>17923</v>
      </c>
      <c r="R4512" s="11" t="s">
        <v>17923</v>
      </c>
      <c r="S4512" s="11" t="s">
        <v>17750</v>
      </c>
    </row>
    <row r="4513" spans="1:19" x14ac:dyDescent="0.2">
      <c r="A4513" s="11" t="s">
        <v>43905</v>
      </c>
      <c r="B4513" s="9" t="s">
        <v>43906</v>
      </c>
      <c r="C4513" s="9" t="s">
        <v>43907</v>
      </c>
      <c r="D4513" s="9" t="s">
        <v>43908</v>
      </c>
      <c r="E4513" s="9" t="s">
        <v>17740</v>
      </c>
      <c r="F4513" s="9" t="s">
        <v>17741</v>
      </c>
      <c r="G4513" s="9" t="s">
        <v>17740</v>
      </c>
      <c r="H4513" s="11" t="s">
        <v>43909</v>
      </c>
      <c r="I4513" s="11" t="s">
        <v>43910</v>
      </c>
      <c r="J4513" s="11" t="s">
        <v>43910</v>
      </c>
      <c r="K4513" s="9" t="s">
        <v>17758</v>
      </c>
      <c r="L4513" s="9" t="s">
        <v>17759</v>
      </c>
      <c r="M4513" s="9" t="s">
        <v>17760</v>
      </c>
      <c r="N4513" s="9" t="s">
        <v>17746</v>
      </c>
      <c r="O4513" s="9" t="s">
        <v>37477</v>
      </c>
      <c r="P4513" s="9" t="s">
        <v>17748</v>
      </c>
      <c r="Q4513" s="11" t="s">
        <v>17819</v>
      </c>
      <c r="R4513" s="11" t="s">
        <v>17819</v>
      </c>
      <c r="S4513" s="11" t="s">
        <v>17750</v>
      </c>
    </row>
    <row r="4514" spans="1:19" x14ac:dyDescent="0.2">
      <c r="A4514" s="11" t="s">
        <v>43911</v>
      </c>
      <c r="B4514" s="9" t="s">
        <v>43912</v>
      </c>
      <c r="C4514" s="9" t="s">
        <v>43913</v>
      </c>
      <c r="D4514" s="9" t="s">
        <v>43914</v>
      </c>
      <c r="E4514" s="9" t="s">
        <v>17740</v>
      </c>
      <c r="F4514" s="9" t="s">
        <v>17741</v>
      </c>
      <c r="G4514" s="9" t="s">
        <v>17740</v>
      </c>
      <c r="H4514" s="11" t="s">
        <v>4764</v>
      </c>
      <c r="I4514" s="11" t="s">
        <v>4763</v>
      </c>
      <c r="J4514" s="11" t="s">
        <v>4764</v>
      </c>
      <c r="K4514" s="9" t="s">
        <v>19094</v>
      </c>
      <c r="L4514" s="9" t="s">
        <v>17759</v>
      </c>
      <c r="M4514" s="9" t="s">
        <v>43915</v>
      </c>
      <c r="N4514" s="9" t="s">
        <v>17746</v>
      </c>
      <c r="O4514" s="9" t="s">
        <v>43572</v>
      </c>
      <c r="P4514" s="9" t="s">
        <v>17748</v>
      </c>
      <c r="Q4514" s="11" t="s">
        <v>18960</v>
      </c>
      <c r="R4514" s="11" t="s">
        <v>18960</v>
      </c>
      <c r="S4514" s="11" t="s">
        <v>17750</v>
      </c>
    </row>
    <row r="4515" spans="1:19" x14ac:dyDescent="0.2">
      <c r="A4515" s="11" t="s">
        <v>43916</v>
      </c>
      <c r="B4515" s="9" t="s">
        <v>43917</v>
      </c>
      <c r="C4515" s="9" t="s">
        <v>43918</v>
      </c>
      <c r="D4515" s="9" t="s">
        <v>43919</v>
      </c>
      <c r="E4515" s="9" t="s">
        <v>17740</v>
      </c>
      <c r="F4515" s="9" t="s">
        <v>17741</v>
      </c>
      <c r="G4515" s="9" t="s">
        <v>17740</v>
      </c>
      <c r="H4515" s="11" t="s">
        <v>17741</v>
      </c>
      <c r="I4515" s="11" t="s">
        <v>43920</v>
      </c>
      <c r="J4515" s="11" t="s">
        <v>43920</v>
      </c>
      <c r="K4515" s="9" t="s">
        <v>19094</v>
      </c>
      <c r="L4515" s="9" t="s">
        <v>17759</v>
      </c>
      <c r="M4515" s="9" t="s">
        <v>17942</v>
      </c>
      <c r="N4515" s="9" t="s">
        <v>17746</v>
      </c>
      <c r="O4515" s="9" t="s">
        <v>43572</v>
      </c>
      <c r="P4515" s="9" t="s">
        <v>17748</v>
      </c>
      <c r="Q4515" s="11" t="s">
        <v>18364</v>
      </c>
      <c r="R4515" s="11" t="s">
        <v>18364</v>
      </c>
      <c r="S4515" s="11" t="s">
        <v>17750</v>
      </c>
    </row>
    <row r="4516" spans="1:19" x14ac:dyDescent="0.2">
      <c r="A4516" s="11" t="s">
        <v>43921</v>
      </c>
      <c r="B4516" s="9" t="s">
        <v>43922</v>
      </c>
      <c r="C4516" s="9" t="s">
        <v>43923</v>
      </c>
      <c r="D4516" s="9" t="s">
        <v>43924</v>
      </c>
      <c r="E4516" s="9" t="s">
        <v>17740</v>
      </c>
      <c r="F4516" s="9" t="s">
        <v>17741</v>
      </c>
      <c r="G4516" s="9" t="s">
        <v>17740</v>
      </c>
      <c r="H4516" s="11" t="s">
        <v>3345</v>
      </c>
      <c r="I4516" s="11" t="s">
        <v>3344</v>
      </c>
      <c r="J4516" s="11" t="s">
        <v>3344</v>
      </c>
      <c r="K4516" s="9" t="s">
        <v>18727</v>
      </c>
      <c r="L4516" s="9" t="s">
        <v>18158</v>
      </c>
      <c r="M4516" s="9" t="s">
        <v>18289</v>
      </c>
      <c r="N4516" s="9" t="s">
        <v>17746</v>
      </c>
      <c r="O4516" s="9" t="s">
        <v>43925</v>
      </c>
      <c r="P4516" s="9" t="s">
        <v>17748</v>
      </c>
      <c r="Q4516" s="11" t="s">
        <v>18243</v>
      </c>
      <c r="R4516" s="11" t="s">
        <v>18243</v>
      </c>
      <c r="S4516" s="11" t="s">
        <v>17750</v>
      </c>
    </row>
    <row r="4517" spans="1:19" x14ac:dyDescent="0.2">
      <c r="A4517" s="11" t="s">
        <v>43926</v>
      </c>
      <c r="B4517" s="9" t="s">
        <v>43927</v>
      </c>
      <c r="C4517" s="9" t="s">
        <v>43928</v>
      </c>
      <c r="D4517" s="9" t="s">
        <v>43929</v>
      </c>
      <c r="E4517" s="9" t="s">
        <v>17740</v>
      </c>
      <c r="F4517" s="9" t="s">
        <v>43930</v>
      </c>
      <c r="G4517" s="9" t="s">
        <v>17740</v>
      </c>
      <c r="H4517" s="11" t="s">
        <v>3369</v>
      </c>
      <c r="I4517" s="11" t="s">
        <v>3368</v>
      </c>
      <c r="J4517" s="11" t="s">
        <v>3368</v>
      </c>
      <c r="K4517" s="9" t="s">
        <v>315</v>
      </c>
      <c r="L4517" s="9" t="s">
        <v>17759</v>
      </c>
      <c r="M4517" s="9" t="s">
        <v>17817</v>
      </c>
      <c r="N4517" s="9" t="s">
        <v>17746</v>
      </c>
      <c r="O4517" s="9" t="s">
        <v>3355</v>
      </c>
      <c r="P4517" s="9" t="s">
        <v>17748</v>
      </c>
      <c r="Q4517" s="11" t="s">
        <v>18813</v>
      </c>
      <c r="R4517" s="11" t="s">
        <v>18813</v>
      </c>
      <c r="S4517" s="11" t="s">
        <v>17750</v>
      </c>
    </row>
    <row r="4518" spans="1:19" x14ac:dyDescent="0.2">
      <c r="A4518" s="11" t="s">
        <v>43931</v>
      </c>
      <c r="B4518" s="9" t="s">
        <v>43932</v>
      </c>
      <c r="C4518" s="9" t="s">
        <v>43933</v>
      </c>
      <c r="D4518" s="9" t="s">
        <v>43934</v>
      </c>
      <c r="E4518" s="9" t="s">
        <v>17740</v>
      </c>
      <c r="F4518" s="9" t="s">
        <v>17741</v>
      </c>
      <c r="G4518" s="9" t="s">
        <v>17740</v>
      </c>
      <c r="H4518" s="11" t="s">
        <v>3505</v>
      </c>
      <c r="I4518" s="11" t="s">
        <v>3504</v>
      </c>
      <c r="J4518" s="11" t="s">
        <v>3504</v>
      </c>
      <c r="K4518" s="9" t="s">
        <v>17790</v>
      </c>
      <c r="L4518" s="9" t="s">
        <v>18158</v>
      </c>
      <c r="M4518" s="9" t="s">
        <v>43935</v>
      </c>
      <c r="N4518" s="9" t="s">
        <v>17746</v>
      </c>
      <c r="O4518" s="9" t="s">
        <v>19059</v>
      </c>
      <c r="P4518" s="9" t="s">
        <v>17748</v>
      </c>
      <c r="Q4518" s="11" t="s">
        <v>18059</v>
      </c>
      <c r="R4518" s="11" t="s">
        <v>18059</v>
      </c>
      <c r="S4518" s="11" t="s">
        <v>17750</v>
      </c>
    </row>
    <row r="4519" spans="1:19" x14ac:dyDescent="0.2">
      <c r="A4519" s="11" t="s">
        <v>43936</v>
      </c>
      <c r="B4519" s="9" t="s">
        <v>43937</v>
      </c>
      <c r="C4519" s="9" t="s">
        <v>43938</v>
      </c>
      <c r="D4519" s="9" t="s">
        <v>43939</v>
      </c>
      <c r="E4519" s="9" t="s">
        <v>17740</v>
      </c>
      <c r="F4519" s="9" t="s">
        <v>17741</v>
      </c>
      <c r="G4519" s="9" t="s">
        <v>17740</v>
      </c>
      <c r="H4519" s="11" t="s">
        <v>7854</v>
      </c>
      <c r="I4519" s="11" t="s">
        <v>7853</v>
      </c>
      <c r="J4519" s="11" t="s">
        <v>7853</v>
      </c>
      <c r="K4519" s="9" t="s">
        <v>21040</v>
      </c>
      <c r="L4519" s="9" t="s">
        <v>18305</v>
      </c>
      <c r="M4519" s="9" t="s">
        <v>22559</v>
      </c>
      <c r="N4519" s="9" t="s">
        <v>17746</v>
      </c>
      <c r="O4519" s="9" t="s">
        <v>43940</v>
      </c>
      <c r="P4519" s="9" t="s">
        <v>17748</v>
      </c>
      <c r="Q4519" s="11" t="s">
        <v>18272</v>
      </c>
      <c r="R4519" s="11" t="s">
        <v>18272</v>
      </c>
      <c r="S4519" s="11" t="s">
        <v>17750</v>
      </c>
    </row>
    <row r="4520" spans="1:19" x14ac:dyDescent="0.2">
      <c r="A4520" s="11" t="s">
        <v>43941</v>
      </c>
      <c r="B4520" s="9" t="s">
        <v>3355</v>
      </c>
      <c r="C4520" s="9" t="s">
        <v>43942</v>
      </c>
      <c r="D4520" s="9" t="s">
        <v>3355</v>
      </c>
      <c r="E4520" s="9" t="s">
        <v>17740</v>
      </c>
      <c r="F4520" s="9" t="s">
        <v>17741</v>
      </c>
      <c r="G4520" s="9" t="s">
        <v>17740</v>
      </c>
      <c r="H4520" s="11" t="s">
        <v>3357</v>
      </c>
      <c r="I4520" s="11" t="s">
        <v>3356</v>
      </c>
      <c r="J4520" s="11" t="s">
        <v>3356</v>
      </c>
      <c r="K4520" s="9" t="s">
        <v>3358</v>
      </c>
      <c r="L4520" s="9" t="s">
        <v>17759</v>
      </c>
      <c r="M4520" s="9" t="s">
        <v>17817</v>
      </c>
      <c r="N4520" s="9" t="s">
        <v>17746</v>
      </c>
      <c r="O4520" s="9" t="s">
        <v>3355</v>
      </c>
      <c r="P4520" s="9" t="s">
        <v>17748</v>
      </c>
      <c r="Q4520" s="11" t="s">
        <v>18178</v>
      </c>
      <c r="R4520" s="11" t="s">
        <v>18178</v>
      </c>
      <c r="S4520" s="11" t="s">
        <v>17750</v>
      </c>
    </row>
    <row r="4521" spans="1:19" x14ac:dyDescent="0.2">
      <c r="A4521" s="11" t="s">
        <v>43943</v>
      </c>
      <c r="B4521" s="9" t="s">
        <v>43944</v>
      </c>
      <c r="C4521" s="9" t="s">
        <v>43945</v>
      </c>
      <c r="D4521" s="9" t="s">
        <v>43946</v>
      </c>
      <c r="E4521" s="9" t="s">
        <v>17748</v>
      </c>
      <c r="F4521" s="9" t="s">
        <v>43947</v>
      </c>
      <c r="G4521" s="9" t="s">
        <v>17740</v>
      </c>
      <c r="H4521" s="11" t="s">
        <v>17741</v>
      </c>
      <c r="I4521" s="11" t="s">
        <v>12861</v>
      </c>
      <c r="J4521" s="11" t="s">
        <v>17741</v>
      </c>
      <c r="K4521" s="9" t="s">
        <v>91</v>
      </c>
      <c r="L4521" s="9" t="s">
        <v>19491</v>
      </c>
      <c r="M4521" s="9" t="s">
        <v>17769</v>
      </c>
      <c r="N4521" s="9" t="s">
        <v>17746</v>
      </c>
      <c r="O4521" s="9" t="s">
        <v>3355</v>
      </c>
      <c r="P4521" s="9" t="s">
        <v>17748</v>
      </c>
      <c r="Q4521" s="11" t="s">
        <v>18370</v>
      </c>
      <c r="R4521" s="11" t="s">
        <v>18370</v>
      </c>
      <c r="S4521" s="11" t="s">
        <v>17750</v>
      </c>
    </row>
    <row r="4522" spans="1:19" x14ac:dyDescent="0.2">
      <c r="A4522" s="11" t="s">
        <v>43948</v>
      </c>
      <c r="B4522" s="9" t="s">
        <v>43949</v>
      </c>
      <c r="C4522" s="9" t="s">
        <v>43950</v>
      </c>
      <c r="D4522" s="9" t="s">
        <v>43951</v>
      </c>
      <c r="E4522" s="9" t="s">
        <v>17740</v>
      </c>
      <c r="F4522" s="9" t="s">
        <v>43952</v>
      </c>
      <c r="G4522" s="9" t="s">
        <v>17740</v>
      </c>
      <c r="H4522" s="11" t="s">
        <v>7986</v>
      </c>
      <c r="I4522" s="11" t="s">
        <v>7985</v>
      </c>
      <c r="J4522" s="11" t="s">
        <v>7985</v>
      </c>
      <c r="K4522" s="9" t="s">
        <v>40377</v>
      </c>
      <c r="L4522" s="9" t="s">
        <v>17759</v>
      </c>
      <c r="M4522" s="9" t="s">
        <v>25742</v>
      </c>
      <c r="N4522" s="9" t="s">
        <v>17746</v>
      </c>
      <c r="O4522" s="9" t="s">
        <v>3355</v>
      </c>
      <c r="P4522" s="9" t="s">
        <v>17748</v>
      </c>
      <c r="Q4522" s="11" t="s">
        <v>18251</v>
      </c>
      <c r="R4522" s="11" t="s">
        <v>18251</v>
      </c>
      <c r="S4522" s="11" t="s">
        <v>17750</v>
      </c>
    </row>
    <row r="4523" spans="1:19" x14ac:dyDescent="0.2">
      <c r="A4523" s="11" t="s">
        <v>43953</v>
      </c>
      <c r="B4523" s="9" t="s">
        <v>43954</v>
      </c>
      <c r="C4523" s="9" t="s">
        <v>43955</v>
      </c>
      <c r="D4523" s="9" t="s">
        <v>43956</v>
      </c>
      <c r="E4523" s="9" t="s">
        <v>17748</v>
      </c>
      <c r="F4523" s="9" t="s">
        <v>43957</v>
      </c>
      <c r="G4523" s="9" t="s">
        <v>17740</v>
      </c>
      <c r="H4523" s="11" t="s">
        <v>8142</v>
      </c>
      <c r="I4523" s="11" t="s">
        <v>8141</v>
      </c>
      <c r="J4523" s="11" t="s">
        <v>17741</v>
      </c>
      <c r="K4523" s="9" t="s">
        <v>27397</v>
      </c>
      <c r="L4523" s="9" t="s">
        <v>20082</v>
      </c>
      <c r="M4523" s="9" t="s">
        <v>18065</v>
      </c>
      <c r="N4523" s="9" t="s">
        <v>17746</v>
      </c>
      <c r="O4523" s="9" t="s">
        <v>3355</v>
      </c>
      <c r="P4523" s="9" t="s">
        <v>17748</v>
      </c>
      <c r="Q4523" s="11" t="s">
        <v>18356</v>
      </c>
      <c r="R4523" s="11" t="s">
        <v>18356</v>
      </c>
      <c r="S4523" s="11" t="s">
        <v>17750</v>
      </c>
    </row>
    <row r="4524" spans="1:19" x14ac:dyDescent="0.2">
      <c r="A4524" s="11" t="s">
        <v>43958</v>
      </c>
      <c r="B4524" s="9" t="s">
        <v>43959</v>
      </c>
      <c r="C4524" s="9" t="s">
        <v>43960</v>
      </c>
      <c r="D4524" s="9" t="s">
        <v>43961</v>
      </c>
      <c r="E4524" s="9" t="s">
        <v>17740</v>
      </c>
      <c r="F4524" s="9" t="s">
        <v>17741</v>
      </c>
      <c r="G4524" s="9" t="s">
        <v>17740</v>
      </c>
      <c r="H4524" s="11" t="s">
        <v>17741</v>
      </c>
      <c r="I4524" s="11" t="s">
        <v>43962</v>
      </c>
      <c r="J4524" s="11" t="s">
        <v>43962</v>
      </c>
      <c r="K4524" s="9" t="s">
        <v>43963</v>
      </c>
      <c r="L4524" s="9" t="s">
        <v>17759</v>
      </c>
      <c r="M4524" s="9" t="s">
        <v>18211</v>
      </c>
      <c r="N4524" s="9" t="s">
        <v>17746</v>
      </c>
      <c r="O4524" s="9" t="s">
        <v>18340</v>
      </c>
      <c r="P4524" s="9" t="s">
        <v>17748</v>
      </c>
      <c r="Q4524" s="11" t="s">
        <v>20650</v>
      </c>
      <c r="R4524" s="11" t="s">
        <v>20650</v>
      </c>
      <c r="S4524" s="11" t="s">
        <v>17750</v>
      </c>
    </row>
    <row r="4525" spans="1:19" x14ac:dyDescent="0.2">
      <c r="A4525" s="11" t="s">
        <v>43964</v>
      </c>
      <c r="B4525" s="9" t="s">
        <v>43965</v>
      </c>
      <c r="C4525" s="9" t="s">
        <v>43966</v>
      </c>
      <c r="D4525" s="9" t="s">
        <v>43967</v>
      </c>
      <c r="E4525" s="9" t="s">
        <v>17740</v>
      </c>
      <c r="F4525" s="9" t="s">
        <v>43968</v>
      </c>
      <c r="G4525" s="9" t="s">
        <v>17740</v>
      </c>
      <c r="H4525" s="11" t="s">
        <v>17741</v>
      </c>
      <c r="I4525" s="11" t="s">
        <v>43969</v>
      </c>
      <c r="J4525" s="11" t="s">
        <v>43969</v>
      </c>
      <c r="K4525" s="9" t="s">
        <v>43970</v>
      </c>
      <c r="L4525" s="9" t="s">
        <v>17759</v>
      </c>
      <c r="M4525" s="9" t="s">
        <v>17769</v>
      </c>
      <c r="N4525" s="9" t="s">
        <v>17746</v>
      </c>
      <c r="O4525" s="9" t="s">
        <v>18340</v>
      </c>
      <c r="P4525" s="9" t="s">
        <v>17748</v>
      </c>
      <c r="Q4525" s="11" t="s">
        <v>18440</v>
      </c>
      <c r="R4525" s="11" t="s">
        <v>18440</v>
      </c>
      <c r="S4525" s="11" t="s">
        <v>17750</v>
      </c>
    </row>
    <row r="4526" spans="1:19" x14ac:dyDescent="0.2">
      <c r="A4526" s="11" t="s">
        <v>43971</v>
      </c>
      <c r="B4526" s="9" t="s">
        <v>43972</v>
      </c>
      <c r="C4526" s="9" t="s">
        <v>43973</v>
      </c>
      <c r="D4526" s="9" t="s">
        <v>43974</v>
      </c>
      <c r="E4526" s="9" t="s">
        <v>17740</v>
      </c>
      <c r="F4526" s="9" t="s">
        <v>43975</v>
      </c>
      <c r="G4526" s="9" t="s">
        <v>17740</v>
      </c>
      <c r="H4526" s="11" t="s">
        <v>17741</v>
      </c>
      <c r="I4526" s="11" t="s">
        <v>43976</v>
      </c>
      <c r="J4526" s="11" t="s">
        <v>43976</v>
      </c>
      <c r="K4526" s="9" t="s">
        <v>43977</v>
      </c>
      <c r="L4526" s="9" t="s">
        <v>17759</v>
      </c>
      <c r="M4526" s="9" t="s">
        <v>43978</v>
      </c>
      <c r="N4526" s="9" t="s">
        <v>17746</v>
      </c>
      <c r="O4526" s="9" t="s">
        <v>17800</v>
      </c>
      <c r="P4526" s="9" t="s">
        <v>17748</v>
      </c>
      <c r="Q4526" s="11" t="s">
        <v>18010</v>
      </c>
      <c r="R4526" s="11" t="s">
        <v>18010</v>
      </c>
      <c r="S4526" s="11" t="s">
        <v>17750</v>
      </c>
    </row>
    <row r="4527" spans="1:19" x14ac:dyDescent="0.2">
      <c r="A4527" s="11" t="s">
        <v>43979</v>
      </c>
      <c r="B4527" s="9" t="s">
        <v>3364</v>
      </c>
      <c r="C4527" s="9" t="s">
        <v>43980</v>
      </c>
      <c r="D4527" s="9" t="s">
        <v>3364</v>
      </c>
      <c r="E4527" s="9" t="s">
        <v>17740</v>
      </c>
      <c r="F4527" s="9" t="s">
        <v>17741</v>
      </c>
      <c r="G4527" s="9" t="s">
        <v>17740</v>
      </c>
      <c r="H4527" s="11" t="s">
        <v>3366</v>
      </c>
      <c r="I4527" s="11" t="s">
        <v>3365</v>
      </c>
      <c r="J4527" s="11" t="s">
        <v>3365</v>
      </c>
      <c r="K4527" s="9" t="s">
        <v>29048</v>
      </c>
      <c r="L4527" s="9" t="s">
        <v>17759</v>
      </c>
      <c r="M4527" s="9" t="s">
        <v>18109</v>
      </c>
      <c r="N4527" s="9" t="s">
        <v>17746</v>
      </c>
      <c r="O4527" s="9" t="s">
        <v>773</v>
      </c>
      <c r="P4527" s="9" t="s">
        <v>17748</v>
      </c>
      <c r="Q4527" s="11" t="s">
        <v>19222</v>
      </c>
      <c r="R4527" s="11" t="s">
        <v>19222</v>
      </c>
      <c r="S4527" s="11" t="s">
        <v>17750</v>
      </c>
    </row>
    <row r="4528" spans="1:19" x14ac:dyDescent="0.2">
      <c r="A4528" s="11" t="s">
        <v>43981</v>
      </c>
      <c r="B4528" s="9" t="s">
        <v>43982</v>
      </c>
      <c r="C4528" s="9" t="s">
        <v>43983</v>
      </c>
      <c r="D4528" s="9" t="s">
        <v>43982</v>
      </c>
      <c r="E4528" s="9" t="s">
        <v>17740</v>
      </c>
      <c r="F4528" s="9" t="s">
        <v>17741</v>
      </c>
      <c r="G4528" s="9" t="s">
        <v>17740</v>
      </c>
      <c r="H4528" s="11" t="s">
        <v>43984</v>
      </c>
      <c r="I4528" s="11" t="s">
        <v>43985</v>
      </c>
      <c r="J4528" s="11" t="s">
        <v>43985</v>
      </c>
      <c r="K4528" s="9" t="s">
        <v>43986</v>
      </c>
      <c r="L4528" s="9" t="s">
        <v>17744</v>
      </c>
      <c r="M4528" s="9" t="s">
        <v>17817</v>
      </c>
      <c r="N4528" s="9" t="s">
        <v>17746</v>
      </c>
      <c r="O4528" s="9" t="s">
        <v>21802</v>
      </c>
      <c r="P4528" s="9" t="s">
        <v>17748</v>
      </c>
      <c r="Q4528" s="11" t="s">
        <v>19082</v>
      </c>
      <c r="R4528" s="11" t="s">
        <v>19082</v>
      </c>
      <c r="S4528" s="11" t="s">
        <v>17750</v>
      </c>
    </row>
    <row r="4529" spans="1:19" x14ac:dyDescent="0.2">
      <c r="A4529" s="11" t="s">
        <v>43987</v>
      </c>
      <c r="B4529" s="9" t="s">
        <v>43988</v>
      </c>
      <c r="C4529" s="9" t="s">
        <v>43989</v>
      </c>
      <c r="D4529" s="9" t="s">
        <v>43990</v>
      </c>
      <c r="E4529" s="9" t="s">
        <v>17740</v>
      </c>
      <c r="F4529" s="9" t="s">
        <v>43991</v>
      </c>
      <c r="G4529" s="9" t="s">
        <v>17740</v>
      </c>
      <c r="H4529" s="11" t="s">
        <v>17741</v>
      </c>
      <c r="I4529" s="11" t="s">
        <v>43992</v>
      </c>
      <c r="J4529" s="11" t="s">
        <v>43992</v>
      </c>
      <c r="K4529" s="9" t="s">
        <v>43993</v>
      </c>
      <c r="L4529" s="9" t="s">
        <v>17759</v>
      </c>
      <c r="M4529" s="9" t="s">
        <v>17769</v>
      </c>
      <c r="N4529" s="9" t="s">
        <v>17746</v>
      </c>
      <c r="O4529" s="9" t="s">
        <v>21802</v>
      </c>
      <c r="P4529" s="9" t="s">
        <v>17748</v>
      </c>
      <c r="Q4529" s="11" t="s">
        <v>21569</v>
      </c>
      <c r="R4529" s="11" t="s">
        <v>21569</v>
      </c>
      <c r="S4529" s="11" t="s">
        <v>17750</v>
      </c>
    </row>
    <row r="4530" spans="1:19" x14ac:dyDescent="0.2">
      <c r="A4530" s="11" t="s">
        <v>43994</v>
      </c>
      <c r="B4530" s="9" t="s">
        <v>43995</v>
      </c>
      <c r="C4530" s="9" t="s">
        <v>43996</v>
      </c>
      <c r="D4530" s="9" t="s">
        <v>43995</v>
      </c>
      <c r="E4530" s="9" t="s">
        <v>17740</v>
      </c>
      <c r="F4530" s="9" t="s">
        <v>17741</v>
      </c>
      <c r="G4530" s="9" t="s">
        <v>17740</v>
      </c>
      <c r="H4530" s="11" t="s">
        <v>4229</v>
      </c>
      <c r="I4530" s="11" t="s">
        <v>4228</v>
      </c>
      <c r="J4530" s="11" t="s">
        <v>4228</v>
      </c>
      <c r="K4530" s="9" t="s">
        <v>21721</v>
      </c>
      <c r="L4530" s="9" t="s">
        <v>17744</v>
      </c>
      <c r="M4530" s="9" t="s">
        <v>21309</v>
      </c>
      <c r="N4530" s="9" t="s">
        <v>17746</v>
      </c>
      <c r="O4530" s="9" t="s">
        <v>18009</v>
      </c>
      <c r="P4530" s="9" t="s">
        <v>17748</v>
      </c>
      <c r="Q4530" s="11" t="s">
        <v>18059</v>
      </c>
      <c r="R4530" s="11" t="s">
        <v>18059</v>
      </c>
      <c r="S4530" s="11" t="s">
        <v>17750</v>
      </c>
    </row>
    <row r="4531" spans="1:19" x14ac:dyDescent="0.2">
      <c r="A4531" s="11" t="s">
        <v>43997</v>
      </c>
      <c r="B4531" s="9" t="s">
        <v>43998</v>
      </c>
      <c r="C4531" s="9" t="s">
        <v>43999</v>
      </c>
      <c r="D4531" s="9" t="s">
        <v>44000</v>
      </c>
      <c r="E4531" s="9" t="s">
        <v>17740</v>
      </c>
      <c r="F4531" s="9" t="s">
        <v>17741</v>
      </c>
      <c r="G4531" s="9" t="s">
        <v>17740</v>
      </c>
      <c r="H4531" s="11" t="s">
        <v>44001</v>
      </c>
      <c r="I4531" s="11" t="s">
        <v>44002</v>
      </c>
      <c r="J4531" s="11" t="s">
        <v>44002</v>
      </c>
      <c r="K4531" s="9" t="s">
        <v>50</v>
      </c>
      <c r="L4531" s="9" t="s">
        <v>18305</v>
      </c>
      <c r="M4531" s="9" t="s">
        <v>17992</v>
      </c>
      <c r="N4531" s="9" t="s">
        <v>17746</v>
      </c>
      <c r="O4531" s="9" t="s">
        <v>18340</v>
      </c>
      <c r="P4531" s="9" t="s">
        <v>17748</v>
      </c>
      <c r="Q4531" s="11" t="s">
        <v>17792</v>
      </c>
      <c r="R4531" s="11" t="s">
        <v>17792</v>
      </c>
      <c r="S4531" s="11" t="s">
        <v>17750</v>
      </c>
    </row>
    <row r="4532" spans="1:19" x14ac:dyDescent="0.2">
      <c r="A4532" s="11" t="s">
        <v>44003</v>
      </c>
      <c r="B4532" s="9" t="s">
        <v>44004</v>
      </c>
      <c r="C4532" s="9" t="s">
        <v>44005</v>
      </c>
      <c r="D4532" s="9" t="s">
        <v>44006</v>
      </c>
      <c r="E4532" s="9" t="s">
        <v>17740</v>
      </c>
      <c r="F4532" s="9" t="s">
        <v>44007</v>
      </c>
      <c r="G4532" s="9" t="s">
        <v>17740</v>
      </c>
      <c r="H4532" s="11" t="s">
        <v>4692</v>
      </c>
      <c r="I4532" s="11" t="s">
        <v>4691</v>
      </c>
      <c r="J4532" s="11" t="s">
        <v>4691</v>
      </c>
      <c r="K4532" s="9" t="s">
        <v>44008</v>
      </c>
      <c r="L4532" s="9" t="s">
        <v>18959</v>
      </c>
      <c r="M4532" s="9" t="s">
        <v>18065</v>
      </c>
      <c r="N4532" s="9" t="s">
        <v>17746</v>
      </c>
      <c r="O4532" s="9" t="s">
        <v>7269</v>
      </c>
      <c r="P4532" s="9" t="s">
        <v>17748</v>
      </c>
      <c r="Q4532" s="11" t="s">
        <v>18678</v>
      </c>
      <c r="R4532" s="11" t="s">
        <v>18678</v>
      </c>
      <c r="S4532" s="11" t="s">
        <v>17750</v>
      </c>
    </row>
    <row r="4533" spans="1:19" x14ac:dyDescent="0.2">
      <c r="A4533" s="11" t="s">
        <v>44009</v>
      </c>
      <c r="B4533" s="9" t="s">
        <v>44010</v>
      </c>
      <c r="C4533" s="9" t="s">
        <v>44011</v>
      </c>
      <c r="D4533" s="9" t="s">
        <v>44012</v>
      </c>
      <c r="E4533" s="9" t="s">
        <v>17740</v>
      </c>
      <c r="F4533" s="9" t="s">
        <v>17741</v>
      </c>
      <c r="G4533" s="9" t="s">
        <v>17740</v>
      </c>
      <c r="H4533" s="11" t="s">
        <v>44013</v>
      </c>
      <c r="I4533" s="11" t="s">
        <v>44014</v>
      </c>
      <c r="J4533" s="11" t="s">
        <v>44014</v>
      </c>
      <c r="K4533" s="9" t="s">
        <v>44015</v>
      </c>
      <c r="L4533" s="9" t="s">
        <v>17759</v>
      </c>
      <c r="M4533" s="9" t="s">
        <v>17760</v>
      </c>
      <c r="N4533" s="9" t="s">
        <v>17746</v>
      </c>
      <c r="O4533" s="9" t="s">
        <v>19041</v>
      </c>
      <c r="P4533" s="9" t="s">
        <v>17748</v>
      </c>
      <c r="Q4533" s="11" t="s">
        <v>18272</v>
      </c>
      <c r="R4533" s="11" t="s">
        <v>18272</v>
      </c>
      <c r="S4533" s="11" t="s">
        <v>17750</v>
      </c>
    </row>
    <row r="4534" spans="1:19" x14ac:dyDescent="0.2">
      <c r="A4534" s="11" t="s">
        <v>44016</v>
      </c>
      <c r="B4534" s="9" t="s">
        <v>44017</v>
      </c>
      <c r="C4534" s="9" t="s">
        <v>44018</v>
      </c>
      <c r="D4534" s="9" t="s">
        <v>44019</v>
      </c>
      <c r="E4534" s="9" t="s">
        <v>17740</v>
      </c>
      <c r="F4534" s="9" t="s">
        <v>44020</v>
      </c>
      <c r="G4534" s="9" t="s">
        <v>17740</v>
      </c>
      <c r="H4534" s="11" t="s">
        <v>44021</v>
      </c>
      <c r="I4534" s="11" t="s">
        <v>44022</v>
      </c>
      <c r="J4534" s="11" t="s">
        <v>44022</v>
      </c>
      <c r="K4534" s="9" t="s">
        <v>44023</v>
      </c>
      <c r="L4534" s="9" t="s">
        <v>17759</v>
      </c>
      <c r="M4534" s="9" t="s">
        <v>17806</v>
      </c>
      <c r="N4534" s="9" t="s">
        <v>17746</v>
      </c>
      <c r="O4534" s="9" t="s">
        <v>18514</v>
      </c>
      <c r="P4534" s="9" t="s">
        <v>17748</v>
      </c>
      <c r="Q4534" s="11" t="s">
        <v>18608</v>
      </c>
      <c r="R4534" s="11" t="s">
        <v>18608</v>
      </c>
      <c r="S4534" s="11" t="s">
        <v>17750</v>
      </c>
    </row>
    <row r="4535" spans="1:19" x14ac:dyDescent="0.2">
      <c r="A4535" s="11" t="s">
        <v>44024</v>
      </c>
      <c r="B4535" s="9" t="s">
        <v>44025</v>
      </c>
      <c r="C4535" s="9" t="s">
        <v>44026</v>
      </c>
      <c r="D4535" s="9" t="s">
        <v>44027</v>
      </c>
      <c r="E4535" s="9" t="s">
        <v>17740</v>
      </c>
      <c r="F4535" s="9" t="s">
        <v>17741</v>
      </c>
      <c r="G4535" s="9" t="s">
        <v>17740</v>
      </c>
      <c r="H4535" s="11" t="s">
        <v>44028</v>
      </c>
      <c r="I4535" s="11" t="s">
        <v>44029</v>
      </c>
      <c r="J4535" s="11" t="s">
        <v>44029</v>
      </c>
      <c r="K4535" s="9" t="s">
        <v>20207</v>
      </c>
      <c r="L4535" s="9" t="s">
        <v>17744</v>
      </c>
      <c r="M4535" s="9" t="s">
        <v>17760</v>
      </c>
      <c r="N4535" s="9" t="s">
        <v>17746</v>
      </c>
      <c r="O4535" s="9" t="s">
        <v>19769</v>
      </c>
      <c r="P4535" s="9" t="s">
        <v>17748</v>
      </c>
      <c r="Q4535" s="11" t="s">
        <v>17917</v>
      </c>
      <c r="R4535" s="11" t="s">
        <v>17917</v>
      </c>
      <c r="S4535" s="11" t="s">
        <v>17750</v>
      </c>
    </row>
    <row r="4536" spans="1:19" x14ac:dyDescent="0.2">
      <c r="A4536" s="11" t="s">
        <v>44030</v>
      </c>
      <c r="B4536" s="9" t="s">
        <v>44031</v>
      </c>
      <c r="C4536" s="9" t="s">
        <v>44032</v>
      </c>
      <c r="D4536" s="9" t="s">
        <v>44033</v>
      </c>
      <c r="E4536" s="9" t="s">
        <v>17740</v>
      </c>
      <c r="F4536" s="9" t="s">
        <v>17741</v>
      </c>
      <c r="G4536" s="9" t="s">
        <v>17740</v>
      </c>
      <c r="H4536" s="11" t="s">
        <v>44034</v>
      </c>
      <c r="I4536" s="11" t="s">
        <v>44035</v>
      </c>
      <c r="J4536" s="11" t="s">
        <v>17741</v>
      </c>
      <c r="K4536" s="9" t="s">
        <v>19447</v>
      </c>
      <c r="L4536" s="9" t="s">
        <v>17759</v>
      </c>
      <c r="M4536" s="9" t="s">
        <v>17778</v>
      </c>
      <c r="N4536" s="9" t="s">
        <v>17746</v>
      </c>
      <c r="O4536" s="9" t="s">
        <v>26341</v>
      </c>
      <c r="P4536" s="9" t="s">
        <v>17748</v>
      </c>
      <c r="Q4536" s="11" t="s">
        <v>18272</v>
      </c>
      <c r="R4536" s="11" t="s">
        <v>18272</v>
      </c>
      <c r="S4536" s="11" t="s">
        <v>17750</v>
      </c>
    </row>
    <row r="4537" spans="1:19" x14ac:dyDescent="0.2">
      <c r="A4537" s="11" t="s">
        <v>44036</v>
      </c>
      <c r="B4537" s="9" t="s">
        <v>44037</v>
      </c>
      <c r="C4537" s="9" t="s">
        <v>44038</v>
      </c>
      <c r="D4537" s="9" t="s">
        <v>44039</v>
      </c>
      <c r="E4537" s="9" t="s">
        <v>17740</v>
      </c>
      <c r="F4537" s="9" t="s">
        <v>17741</v>
      </c>
      <c r="G4537" s="9" t="s">
        <v>17740</v>
      </c>
      <c r="H4537" s="11" t="s">
        <v>44040</v>
      </c>
      <c r="I4537" s="11" t="s">
        <v>44041</v>
      </c>
      <c r="J4537" s="11" t="s">
        <v>17741</v>
      </c>
      <c r="K4537" s="9" t="s">
        <v>44042</v>
      </c>
      <c r="L4537" s="9" t="s">
        <v>17759</v>
      </c>
      <c r="M4537" s="9" t="s">
        <v>17760</v>
      </c>
      <c r="N4537" s="9" t="s">
        <v>17746</v>
      </c>
      <c r="O4537" s="9" t="s">
        <v>18514</v>
      </c>
      <c r="P4537" s="9" t="s">
        <v>17748</v>
      </c>
      <c r="Q4537" s="11" t="s">
        <v>17900</v>
      </c>
      <c r="R4537" s="11" t="s">
        <v>17900</v>
      </c>
      <c r="S4537" s="11" t="s">
        <v>17750</v>
      </c>
    </row>
    <row r="4538" spans="1:19" x14ac:dyDescent="0.2">
      <c r="A4538" s="11" t="s">
        <v>44043</v>
      </c>
      <c r="B4538" s="9" t="s">
        <v>44044</v>
      </c>
      <c r="C4538" s="9" t="s">
        <v>44045</v>
      </c>
      <c r="D4538" s="9" t="s">
        <v>44046</v>
      </c>
      <c r="E4538" s="9" t="s">
        <v>17748</v>
      </c>
      <c r="F4538" s="9" t="s">
        <v>44047</v>
      </c>
      <c r="G4538" s="9" t="s">
        <v>17740</v>
      </c>
      <c r="H4538" s="11" t="s">
        <v>17741</v>
      </c>
      <c r="I4538" s="11" t="s">
        <v>44048</v>
      </c>
      <c r="J4538" s="11" t="s">
        <v>44048</v>
      </c>
      <c r="K4538" s="9" t="s">
        <v>44049</v>
      </c>
      <c r="L4538" s="9" t="s">
        <v>18959</v>
      </c>
      <c r="M4538" s="9" t="s">
        <v>17769</v>
      </c>
      <c r="N4538" s="9" t="s">
        <v>17746</v>
      </c>
      <c r="O4538" s="9" t="s">
        <v>17800</v>
      </c>
      <c r="P4538" s="9" t="s">
        <v>17748</v>
      </c>
      <c r="Q4538" s="11" t="s">
        <v>17858</v>
      </c>
      <c r="R4538" s="11" t="s">
        <v>17858</v>
      </c>
      <c r="S4538" s="11" t="s">
        <v>17750</v>
      </c>
    </row>
    <row r="4539" spans="1:19" x14ac:dyDescent="0.2">
      <c r="A4539" s="11" t="s">
        <v>44050</v>
      </c>
      <c r="B4539" s="9" t="s">
        <v>44051</v>
      </c>
      <c r="C4539" s="9" t="s">
        <v>44052</v>
      </c>
      <c r="D4539" s="9" t="s">
        <v>44053</v>
      </c>
      <c r="E4539" s="9" t="s">
        <v>17740</v>
      </c>
      <c r="F4539" s="9" t="s">
        <v>17741</v>
      </c>
      <c r="G4539" s="9" t="s">
        <v>17740</v>
      </c>
      <c r="H4539" s="11" t="s">
        <v>17741</v>
      </c>
      <c r="I4539" s="11" t="s">
        <v>44054</v>
      </c>
      <c r="J4539" s="11" t="s">
        <v>44054</v>
      </c>
      <c r="K4539" s="9" t="s">
        <v>44055</v>
      </c>
      <c r="L4539" s="9" t="s">
        <v>18959</v>
      </c>
      <c r="M4539" s="9" t="s">
        <v>17760</v>
      </c>
      <c r="N4539" s="9" t="s">
        <v>17746</v>
      </c>
      <c r="O4539" s="9" t="s">
        <v>30100</v>
      </c>
      <c r="P4539" s="9" t="s">
        <v>17748</v>
      </c>
      <c r="Q4539" s="11" t="s">
        <v>18600</v>
      </c>
      <c r="R4539" s="11" t="s">
        <v>18600</v>
      </c>
      <c r="S4539" s="11" t="s">
        <v>17750</v>
      </c>
    </row>
    <row r="4540" spans="1:19" x14ac:dyDescent="0.2">
      <c r="A4540" s="11" t="s">
        <v>44056</v>
      </c>
      <c r="B4540" s="9" t="s">
        <v>44057</v>
      </c>
      <c r="C4540" s="9" t="s">
        <v>44058</v>
      </c>
      <c r="D4540" s="9" t="s">
        <v>44059</v>
      </c>
      <c r="E4540" s="9" t="s">
        <v>17740</v>
      </c>
      <c r="F4540" s="9" t="s">
        <v>17741</v>
      </c>
      <c r="G4540" s="9" t="s">
        <v>17740</v>
      </c>
      <c r="H4540" s="11" t="s">
        <v>44060</v>
      </c>
      <c r="I4540" s="11" t="s">
        <v>44061</v>
      </c>
      <c r="J4540" s="11" t="s">
        <v>44061</v>
      </c>
      <c r="K4540" s="9" t="s">
        <v>23783</v>
      </c>
      <c r="L4540" s="9" t="s">
        <v>17759</v>
      </c>
      <c r="M4540" s="9" t="s">
        <v>17760</v>
      </c>
      <c r="N4540" s="9" t="s">
        <v>17746</v>
      </c>
      <c r="O4540" s="9" t="s">
        <v>44062</v>
      </c>
      <c r="P4540" s="9" t="s">
        <v>17748</v>
      </c>
      <c r="Q4540" s="11" t="s">
        <v>17937</v>
      </c>
      <c r="R4540" s="11" t="s">
        <v>17937</v>
      </c>
      <c r="S4540" s="11" t="s">
        <v>17750</v>
      </c>
    </row>
    <row r="4541" spans="1:19" x14ac:dyDescent="0.2">
      <c r="A4541" s="11" t="s">
        <v>44063</v>
      </c>
      <c r="B4541" s="9" t="s">
        <v>44064</v>
      </c>
      <c r="C4541" s="9" t="s">
        <v>44065</v>
      </c>
      <c r="D4541" s="9" t="s">
        <v>44066</v>
      </c>
      <c r="E4541" s="9" t="s">
        <v>17740</v>
      </c>
      <c r="F4541" s="9" t="s">
        <v>17741</v>
      </c>
      <c r="G4541" s="9" t="s">
        <v>17740</v>
      </c>
      <c r="H4541" s="11" t="s">
        <v>44067</v>
      </c>
      <c r="I4541" s="11" t="s">
        <v>17741</v>
      </c>
      <c r="J4541" s="11" t="s">
        <v>44067</v>
      </c>
      <c r="K4541" s="9" t="s">
        <v>33854</v>
      </c>
      <c r="L4541" s="9" t="s">
        <v>17759</v>
      </c>
      <c r="M4541" s="9" t="s">
        <v>17942</v>
      </c>
      <c r="N4541" s="9" t="s">
        <v>17746</v>
      </c>
      <c r="O4541" s="9" t="s">
        <v>30691</v>
      </c>
      <c r="P4541" s="9" t="s">
        <v>17748</v>
      </c>
      <c r="Q4541" s="11" t="s">
        <v>17780</v>
      </c>
      <c r="R4541" s="11" t="s">
        <v>17780</v>
      </c>
      <c r="S4541" s="11" t="s">
        <v>17750</v>
      </c>
    </row>
    <row r="4542" spans="1:19" x14ac:dyDescent="0.2">
      <c r="A4542" s="11" t="s">
        <v>44068</v>
      </c>
      <c r="B4542" s="9" t="s">
        <v>44069</v>
      </c>
      <c r="C4542" s="9" t="s">
        <v>44070</v>
      </c>
      <c r="D4542" s="9" t="s">
        <v>44071</v>
      </c>
      <c r="E4542" s="9" t="s">
        <v>17740</v>
      </c>
      <c r="F4542" s="9" t="s">
        <v>17741</v>
      </c>
      <c r="G4542" s="9" t="s">
        <v>17740</v>
      </c>
      <c r="H4542" s="11" t="s">
        <v>44072</v>
      </c>
      <c r="I4542" s="11" t="s">
        <v>44073</v>
      </c>
      <c r="J4542" s="11" t="s">
        <v>44073</v>
      </c>
      <c r="K4542" s="9" t="s">
        <v>44074</v>
      </c>
      <c r="L4542" s="9" t="s">
        <v>17759</v>
      </c>
      <c r="M4542" s="9" t="s">
        <v>17760</v>
      </c>
      <c r="N4542" s="9" t="s">
        <v>17746</v>
      </c>
      <c r="O4542" s="9" t="s">
        <v>21416</v>
      </c>
      <c r="P4542" s="9" t="s">
        <v>17748</v>
      </c>
      <c r="Q4542" s="11" t="s">
        <v>17849</v>
      </c>
      <c r="R4542" s="11" t="s">
        <v>17849</v>
      </c>
      <c r="S4542" s="11" t="s">
        <v>17750</v>
      </c>
    </row>
    <row r="4543" spans="1:19" x14ac:dyDescent="0.2">
      <c r="A4543" s="11" t="s">
        <v>44075</v>
      </c>
      <c r="B4543" s="9" t="s">
        <v>44076</v>
      </c>
      <c r="C4543" s="9" t="s">
        <v>44077</v>
      </c>
      <c r="D4543" s="9" t="s">
        <v>44078</v>
      </c>
      <c r="E4543" s="9" t="s">
        <v>17748</v>
      </c>
      <c r="F4543" s="9" t="s">
        <v>44079</v>
      </c>
      <c r="G4543" s="9" t="s">
        <v>17740</v>
      </c>
      <c r="H4543" s="11" t="s">
        <v>13633</v>
      </c>
      <c r="I4543" s="11" t="s">
        <v>13632</v>
      </c>
      <c r="J4543" s="11" t="s">
        <v>13633</v>
      </c>
      <c r="K4543" s="9" t="s">
        <v>18520</v>
      </c>
      <c r="L4543" s="9" t="s">
        <v>17759</v>
      </c>
      <c r="M4543" s="9" t="s">
        <v>17769</v>
      </c>
      <c r="N4543" s="9" t="s">
        <v>17746</v>
      </c>
      <c r="O4543" s="9" t="s">
        <v>3524</v>
      </c>
      <c r="P4543" s="9" t="s">
        <v>17748</v>
      </c>
      <c r="Q4543" s="11" t="s">
        <v>17825</v>
      </c>
      <c r="R4543" s="11" t="s">
        <v>17825</v>
      </c>
      <c r="S4543" s="11" t="s">
        <v>17750</v>
      </c>
    </row>
    <row r="4544" spans="1:19" x14ac:dyDescent="0.2">
      <c r="A4544" s="11" t="s">
        <v>44080</v>
      </c>
      <c r="B4544" s="9" t="s">
        <v>44081</v>
      </c>
      <c r="C4544" s="9" t="s">
        <v>44082</v>
      </c>
      <c r="D4544" s="9" t="s">
        <v>44083</v>
      </c>
      <c r="E4544" s="9" t="s">
        <v>17740</v>
      </c>
      <c r="F4544" s="9" t="s">
        <v>44084</v>
      </c>
      <c r="G4544" s="9" t="s">
        <v>17740</v>
      </c>
      <c r="H4544" s="11" t="s">
        <v>44085</v>
      </c>
      <c r="I4544" s="11" t="s">
        <v>11954</v>
      </c>
      <c r="J4544" s="11" t="s">
        <v>44085</v>
      </c>
      <c r="K4544" s="9" t="s">
        <v>19447</v>
      </c>
      <c r="L4544" s="9" t="s">
        <v>17759</v>
      </c>
      <c r="M4544" s="9" t="s">
        <v>28364</v>
      </c>
      <c r="N4544" s="9" t="s">
        <v>17746</v>
      </c>
      <c r="O4544" s="9" t="s">
        <v>20777</v>
      </c>
      <c r="P4544" s="9" t="s">
        <v>17748</v>
      </c>
      <c r="Q4544" s="11" t="s">
        <v>18922</v>
      </c>
      <c r="R4544" s="11" t="s">
        <v>18922</v>
      </c>
      <c r="S4544" s="11" t="s">
        <v>17750</v>
      </c>
    </row>
    <row r="4545" spans="1:19" x14ac:dyDescent="0.2">
      <c r="A4545" s="11" t="s">
        <v>44086</v>
      </c>
      <c r="B4545" s="9" t="s">
        <v>44087</v>
      </c>
      <c r="C4545" s="9" t="s">
        <v>44088</v>
      </c>
      <c r="D4545" s="9" t="s">
        <v>44089</v>
      </c>
      <c r="E4545" s="9" t="s">
        <v>17748</v>
      </c>
      <c r="F4545" s="9" t="s">
        <v>44090</v>
      </c>
      <c r="G4545" s="9" t="s">
        <v>17740</v>
      </c>
      <c r="H4545" s="11" t="s">
        <v>44091</v>
      </c>
      <c r="I4545" s="11" t="s">
        <v>44092</v>
      </c>
      <c r="J4545" s="11" t="s">
        <v>44092</v>
      </c>
      <c r="K4545" s="9" t="s">
        <v>33116</v>
      </c>
      <c r="L4545" s="9" t="s">
        <v>17759</v>
      </c>
      <c r="M4545" s="9" t="s">
        <v>17769</v>
      </c>
      <c r="N4545" s="9" t="s">
        <v>17746</v>
      </c>
      <c r="O4545" s="9" t="s">
        <v>44093</v>
      </c>
      <c r="P4545" s="9" t="s">
        <v>17748</v>
      </c>
      <c r="Q4545" s="11" t="s">
        <v>17994</v>
      </c>
      <c r="R4545" s="11" t="s">
        <v>17994</v>
      </c>
      <c r="S4545" s="11" t="s">
        <v>17750</v>
      </c>
    </row>
    <row r="4546" spans="1:19" x14ac:dyDescent="0.2">
      <c r="A4546" s="11" t="s">
        <v>44094</v>
      </c>
      <c r="B4546" s="9" t="s">
        <v>44095</v>
      </c>
      <c r="C4546" s="9" t="s">
        <v>44096</v>
      </c>
      <c r="D4546" s="9" t="s">
        <v>44097</v>
      </c>
      <c r="E4546" s="9" t="s">
        <v>17740</v>
      </c>
      <c r="F4546" s="9" t="s">
        <v>44098</v>
      </c>
      <c r="G4546" s="9" t="s">
        <v>17740</v>
      </c>
      <c r="H4546" s="11" t="s">
        <v>44099</v>
      </c>
      <c r="I4546" s="11" t="s">
        <v>44100</v>
      </c>
      <c r="J4546" s="11" t="s">
        <v>44100</v>
      </c>
      <c r="K4546" s="9" t="s">
        <v>44101</v>
      </c>
      <c r="L4546" s="9" t="s">
        <v>17744</v>
      </c>
      <c r="M4546" s="9" t="s">
        <v>17817</v>
      </c>
      <c r="N4546" s="9" t="s">
        <v>17746</v>
      </c>
      <c r="O4546" s="9" t="s">
        <v>4009</v>
      </c>
      <c r="P4546" s="9" t="s">
        <v>17748</v>
      </c>
      <c r="Q4546" s="11" t="s">
        <v>17784</v>
      </c>
      <c r="R4546" s="11" t="s">
        <v>17784</v>
      </c>
      <c r="S4546" s="11" t="s">
        <v>17750</v>
      </c>
    </row>
    <row r="4547" spans="1:19" x14ac:dyDescent="0.2">
      <c r="A4547" s="11" t="s">
        <v>44102</v>
      </c>
      <c r="B4547" s="9" t="s">
        <v>44103</v>
      </c>
      <c r="C4547" s="9" t="s">
        <v>44104</v>
      </c>
      <c r="D4547" s="9" t="s">
        <v>44105</v>
      </c>
      <c r="E4547" s="9" t="s">
        <v>17740</v>
      </c>
      <c r="F4547" s="9" t="s">
        <v>17741</v>
      </c>
      <c r="G4547" s="9" t="s">
        <v>17740</v>
      </c>
      <c r="H4547" s="11" t="s">
        <v>44106</v>
      </c>
      <c r="I4547" s="11" t="s">
        <v>44107</v>
      </c>
      <c r="J4547" s="11" t="s">
        <v>44107</v>
      </c>
      <c r="K4547" s="9" t="s">
        <v>601</v>
      </c>
      <c r="L4547" s="9" t="s">
        <v>17759</v>
      </c>
      <c r="M4547" s="9" t="s">
        <v>18513</v>
      </c>
      <c r="N4547" s="9" t="s">
        <v>17746</v>
      </c>
      <c r="O4547" s="9" t="s">
        <v>44108</v>
      </c>
      <c r="P4547" s="9" t="s">
        <v>17748</v>
      </c>
      <c r="Q4547" s="11" t="s">
        <v>19899</v>
      </c>
      <c r="R4547" s="11" t="s">
        <v>19899</v>
      </c>
      <c r="S4547" s="11" t="s">
        <v>17750</v>
      </c>
    </row>
    <row r="4548" spans="1:19" x14ac:dyDescent="0.2">
      <c r="A4548" s="11" t="s">
        <v>44109</v>
      </c>
      <c r="B4548" s="9" t="s">
        <v>44110</v>
      </c>
      <c r="C4548" s="9" t="s">
        <v>44111</v>
      </c>
      <c r="D4548" s="9" t="s">
        <v>44110</v>
      </c>
      <c r="E4548" s="9" t="s">
        <v>17740</v>
      </c>
      <c r="F4548" s="9" t="s">
        <v>17741</v>
      </c>
      <c r="G4548" s="9" t="s">
        <v>17740</v>
      </c>
      <c r="H4548" s="11" t="s">
        <v>17741</v>
      </c>
      <c r="I4548" s="11" t="s">
        <v>44112</v>
      </c>
      <c r="J4548" s="11" t="s">
        <v>44112</v>
      </c>
      <c r="K4548" s="9" t="s">
        <v>32260</v>
      </c>
      <c r="L4548" s="9" t="s">
        <v>18123</v>
      </c>
      <c r="M4548" s="9" t="s">
        <v>18065</v>
      </c>
      <c r="N4548" s="9" t="s">
        <v>18185</v>
      </c>
      <c r="O4548" s="9" t="s">
        <v>17800</v>
      </c>
      <c r="P4548" s="9" t="s">
        <v>17748</v>
      </c>
      <c r="Q4548" s="11" t="s">
        <v>18678</v>
      </c>
      <c r="R4548" s="11" t="s">
        <v>18678</v>
      </c>
      <c r="S4548" s="11" t="s">
        <v>17750</v>
      </c>
    </row>
    <row r="4549" spans="1:19" x14ac:dyDescent="0.2">
      <c r="A4549" s="11" t="s">
        <v>44113</v>
      </c>
      <c r="B4549" s="9" t="s">
        <v>44114</v>
      </c>
      <c r="C4549" s="9" t="s">
        <v>44115</v>
      </c>
      <c r="D4549" s="9" t="s">
        <v>44116</v>
      </c>
      <c r="E4549" s="9" t="s">
        <v>17748</v>
      </c>
      <c r="F4549" s="9" t="s">
        <v>44117</v>
      </c>
      <c r="G4549" s="9" t="s">
        <v>17740</v>
      </c>
      <c r="H4549" s="11" t="s">
        <v>17741</v>
      </c>
      <c r="I4549" s="11" t="s">
        <v>44118</v>
      </c>
      <c r="J4549" s="11" t="s">
        <v>44118</v>
      </c>
      <c r="K4549" s="9" t="s">
        <v>44119</v>
      </c>
      <c r="L4549" s="9" t="s">
        <v>18158</v>
      </c>
      <c r="M4549" s="9" t="s">
        <v>17817</v>
      </c>
      <c r="N4549" s="9" t="s">
        <v>18185</v>
      </c>
      <c r="O4549" s="9" t="s">
        <v>17800</v>
      </c>
      <c r="P4549" s="9" t="s">
        <v>17748</v>
      </c>
      <c r="Q4549" s="11" t="s">
        <v>17792</v>
      </c>
      <c r="R4549" s="11" t="s">
        <v>17792</v>
      </c>
      <c r="S4549" s="11" t="s">
        <v>17750</v>
      </c>
    </row>
    <row r="4550" spans="1:19" x14ac:dyDescent="0.2">
      <c r="A4550" s="11" t="s">
        <v>44120</v>
      </c>
      <c r="B4550" s="9" t="s">
        <v>44121</v>
      </c>
      <c r="C4550" s="9" t="s">
        <v>44122</v>
      </c>
      <c r="D4550" s="9" t="s">
        <v>44123</v>
      </c>
      <c r="E4550" s="9" t="s">
        <v>17748</v>
      </c>
      <c r="F4550" s="9" t="s">
        <v>44124</v>
      </c>
      <c r="G4550" s="9" t="s">
        <v>17740</v>
      </c>
      <c r="H4550" s="11" t="s">
        <v>17741</v>
      </c>
      <c r="I4550" s="11" t="s">
        <v>44125</v>
      </c>
      <c r="J4550" s="11" t="s">
        <v>44125</v>
      </c>
      <c r="K4550" s="9" t="s">
        <v>44126</v>
      </c>
      <c r="L4550" s="9" t="s">
        <v>18158</v>
      </c>
      <c r="M4550" s="9" t="s">
        <v>17817</v>
      </c>
      <c r="N4550" s="9" t="s">
        <v>18185</v>
      </c>
      <c r="O4550" s="9" t="s">
        <v>17800</v>
      </c>
      <c r="P4550" s="9" t="s">
        <v>17748</v>
      </c>
      <c r="Q4550" s="11" t="s">
        <v>17808</v>
      </c>
      <c r="R4550" s="11" t="s">
        <v>17808</v>
      </c>
      <c r="S4550" s="11" t="s">
        <v>17750</v>
      </c>
    </row>
    <row r="4551" spans="1:19" x14ac:dyDescent="0.2">
      <c r="A4551" s="11" t="s">
        <v>44127</v>
      </c>
      <c r="B4551" s="9" t="s">
        <v>44128</v>
      </c>
      <c r="C4551" s="9" t="s">
        <v>44129</v>
      </c>
      <c r="D4551" s="9" t="s">
        <v>44130</v>
      </c>
      <c r="E4551" s="9" t="s">
        <v>17740</v>
      </c>
      <c r="F4551" s="9" t="s">
        <v>44131</v>
      </c>
      <c r="G4551" s="9" t="s">
        <v>17740</v>
      </c>
      <c r="H4551" s="11" t="s">
        <v>3372</v>
      </c>
      <c r="I4551" s="11" t="s">
        <v>3371</v>
      </c>
      <c r="J4551" s="11" t="s">
        <v>3371</v>
      </c>
      <c r="K4551" s="9" t="s">
        <v>18287</v>
      </c>
      <c r="L4551" s="9" t="s">
        <v>18158</v>
      </c>
      <c r="M4551" s="9" t="s">
        <v>44132</v>
      </c>
      <c r="N4551" s="9" t="s">
        <v>18185</v>
      </c>
      <c r="O4551" s="9" t="s">
        <v>18481</v>
      </c>
      <c r="P4551" s="9" t="s">
        <v>17748</v>
      </c>
      <c r="Q4551" s="11" t="s">
        <v>17883</v>
      </c>
      <c r="R4551" s="11" t="s">
        <v>17883</v>
      </c>
      <c r="S4551" s="11" t="s">
        <v>17750</v>
      </c>
    </row>
    <row r="4552" spans="1:19" x14ac:dyDescent="0.2">
      <c r="A4552" s="11" t="s">
        <v>44133</v>
      </c>
      <c r="B4552" s="9" t="s">
        <v>44134</v>
      </c>
      <c r="C4552" s="9" t="s">
        <v>44135</v>
      </c>
      <c r="D4552" s="9" t="s">
        <v>44136</v>
      </c>
      <c r="E4552" s="9" t="s">
        <v>17740</v>
      </c>
      <c r="F4552" s="9" t="s">
        <v>44137</v>
      </c>
      <c r="G4552" s="9" t="s">
        <v>17740</v>
      </c>
      <c r="H4552" s="11" t="s">
        <v>7770</v>
      </c>
      <c r="I4552" s="11" t="s">
        <v>7769</v>
      </c>
      <c r="J4552" s="11" t="s">
        <v>7769</v>
      </c>
      <c r="K4552" s="9" t="s">
        <v>291</v>
      </c>
      <c r="L4552" s="9" t="s">
        <v>17744</v>
      </c>
      <c r="M4552" s="9" t="s">
        <v>44138</v>
      </c>
      <c r="N4552" s="9" t="s">
        <v>17746</v>
      </c>
      <c r="O4552" s="9" t="s">
        <v>20404</v>
      </c>
      <c r="P4552" s="9" t="s">
        <v>17748</v>
      </c>
      <c r="Q4552" s="11" t="s">
        <v>18798</v>
      </c>
      <c r="R4552" s="11" t="s">
        <v>18798</v>
      </c>
      <c r="S4552" s="11" t="s">
        <v>17750</v>
      </c>
    </row>
    <row r="4553" spans="1:19" x14ac:dyDescent="0.2">
      <c r="A4553" s="11" t="s">
        <v>44139</v>
      </c>
      <c r="B4553" s="9" t="s">
        <v>44140</v>
      </c>
      <c r="C4553" s="9" t="s">
        <v>44141</v>
      </c>
      <c r="D4553" s="9" t="s">
        <v>44142</v>
      </c>
      <c r="E4553" s="9" t="s">
        <v>17740</v>
      </c>
      <c r="F4553" s="9" t="s">
        <v>17741</v>
      </c>
      <c r="G4553" s="9" t="s">
        <v>17740</v>
      </c>
      <c r="H4553" s="11" t="s">
        <v>7468</v>
      </c>
      <c r="I4553" s="11" t="s">
        <v>7467</v>
      </c>
      <c r="J4553" s="11" t="s">
        <v>7467</v>
      </c>
      <c r="K4553" s="9" t="s">
        <v>291</v>
      </c>
      <c r="L4553" s="9" t="s">
        <v>17744</v>
      </c>
      <c r="M4553" s="9" t="s">
        <v>17760</v>
      </c>
      <c r="N4553" s="9" t="s">
        <v>17746</v>
      </c>
      <c r="O4553" s="9" t="s">
        <v>20404</v>
      </c>
      <c r="P4553" s="9" t="s">
        <v>17748</v>
      </c>
      <c r="Q4553" s="11" t="s">
        <v>18201</v>
      </c>
      <c r="R4553" s="11" t="s">
        <v>18201</v>
      </c>
      <c r="S4553" s="11" t="s">
        <v>17750</v>
      </c>
    </row>
    <row r="4554" spans="1:19" x14ac:dyDescent="0.2">
      <c r="A4554" s="11" t="s">
        <v>44143</v>
      </c>
      <c r="B4554" s="9" t="s">
        <v>44144</v>
      </c>
      <c r="C4554" s="9" t="s">
        <v>44145</v>
      </c>
      <c r="D4554" s="9" t="s">
        <v>44146</v>
      </c>
      <c r="E4554" s="9" t="s">
        <v>17740</v>
      </c>
      <c r="F4554" s="9" t="s">
        <v>17741</v>
      </c>
      <c r="G4554" s="9" t="s">
        <v>17740</v>
      </c>
      <c r="H4554" s="11" t="s">
        <v>17741</v>
      </c>
      <c r="I4554" s="11" t="s">
        <v>44147</v>
      </c>
      <c r="J4554" s="11" t="s">
        <v>44147</v>
      </c>
      <c r="K4554" s="9" t="s">
        <v>44148</v>
      </c>
      <c r="L4554" s="9" t="s">
        <v>17744</v>
      </c>
      <c r="M4554" s="9" t="s">
        <v>17760</v>
      </c>
      <c r="N4554" s="9" t="s">
        <v>17746</v>
      </c>
      <c r="O4554" s="9" t="s">
        <v>23685</v>
      </c>
      <c r="P4554" s="9" t="s">
        <v>17748</v>
      </c>
      <c r="Q4554" s="11" t="s">
        <v>18813</v>
      </c>
      <c r="R4554" s="11" t="s">
        <v>18813</v>
      </c>
      <c r="S4554" s="11" t="s">
        <v>17750</v>
      </c>
    </row>
    <row r="4555" spans="1:19" x14ac:dyDescent="0.2">
      <c r="A4555" s="11" t="s">
        <v>44149</v>
      </c>
      <c r="B4555" s="9" t="s">
        <v>44150</v>
      </c>
      <c r="C4555" s="9" t="s">
        <v>44151</v>
      </c>
      <c r="D4555" s="9" t="s">
        <v>44152</v>
      </c>
      <c r="E4555" s="9" t="s">
        <v>17740</v>
      </c>
      <c r="F4555" s="9" t="s">
        <v>17741</v>
      </c>
      <c r="G4555" s="9" t="s">
        <v>17740</v>
      </c>
      <c r="H4555" s="11" t="s">
        <v>16420</v>
      </c>
      <c r="I4555" s="11" t="s">
        <v>16419</v>
      </c>
      <c r="J4555" s="11" t="s">
        <v>16419</v>
      </c>
      <c r="K4555" s="9" t="s">
        <v>13972</v>
      </c>
      <c r="L4555" s="9" t="s">
        <v>17744</v>
      </c>
      <c r="M4555" s="9" t="s">
        <v>26994</v>
      </c>
      <c r="N4555" s="9" t="s">
        <v>17746</v>
      </c>
      <c r="O4555" s="9" t="s">
        <v>21220</v>
      </c>
      <c r="P4555" s="9" t="s">
        <v>17748</v>
      </c>
      <c r="Q4555" s="11" t="s">
        <v>17923</v>
      </c>
      <c r="R4555" s="11" t="s">
        <v>17923</v>
      </c>
      <c r="S4555" s="11" t="s">
        <v>17750</v>
      </c>
    </row>
    <row r="4556" spans="1:19" x14ac:dyDescent="0.2">
      <c r="A4556" s="11" t="s">
        <v>44153</v>
      </c>
      <c r="B4556" s="9" t="s">
        <v>44154</v>
      </c>
      <c r="C4556" s="9" t="s">
        <v>44155</v>
      </c>
      <c r="D4556" s="9" t="s">
        <v>44156</v>
      </c>
      <c r="E4556" s="9" t="s">
        <v>17740</v>
      </c>
      <c r="F4556" s="9" t="s">
        <v>17741</v>
      </c>
      <c r="G4556" s="9" t="s">
        <v>17740</v>
      </c>
      <c r="H4556" s="11" t="s">
        <v>3402</v>
      </c>
      <c r="I4556" s="11" t="s">
        <v>3401</v>
      </c>
      <c r="J4556" s="11" t="s">
        <v>3401</v>
      </c>
      <c r="K4556" s="9" t="s">
        <v>18832</v>
      </c>
      <c r="L4556" s="9" t="s">
        <v>17759</v>
      </c>
      <c r="M4556" s="9" t="s">
        <v>17817</v>
      </c>
      <c r="N4556" s="9" t="s">
        <v>17746</v>
      </c>
      <c r="O4556" s="9" t="s">
        <v>3391</v>
      </c>
      <c r="P4556" s="9" t="s">
        <v>17748</v>
      </c>
      <c r="Q4556" s="11" t="s">
        <v>18341</v>
      </c>
      <c r="R4556" s="11" t="s">
        <v>18341</v>
      </c>
      <c r="S4556" s="11" t="s">
        <v>17750</v>
      </c>
    </row>
    <row r="4557" spans="1:19" x14ac:dyDescent="0.2">
      <c r="A4557" s="11" t="s">
        <v>44157</v>
      </c>
      <c r="B4557" s="9" t="s">
        <v>44158</v>
      </c>
      <c r="C4557" s="9" t="s">
        <v>44159</v>
      </c>
      <c r="D4557" s="9" t="s">
        <v>44160</v>
      </c>
      <c r="E4557" s="9" t="s">
        <v>17740</v>
      </c>
      <c r="F4557" s="9" t="s">
        <v>17741</v>
      </c>
      <c r="G4557" s="9" t="s">
        <v>17740</v>
      </c>
      <c r="H4557" s="11" t="s">
        <v>10009</v>
      </c>
      <c r="I4557" s="11" t="s">
        <v>10008</v>
      </c>
      <c r="J4557" s="11" t="s">
        <v>10008</v>
      </c>
      <c r="K4557" s="9" t="s">
        <v>17805</v>
      </c>
      <c r="L4557" s="9" t="s">
        <v>17744</v>
      </c>
      <c r="M4557" s="9" t="s">
        <v>44161</v>
      </c>
      <c r="N4557" s="9" t="s">
        <v>17746</v>
      </c>
      <c r="O4557" s="9" t="s">
        <v>34323</v>
      </c>
      <c r="P4557" s="9" t="s">
        <v>17748</v>
      </c>
      <c r="Q4557" s="11" t="s">
        <v>17994</v>
      </c>
      <c r="R4557" s="11" t="s">
        <v>17994</v>
      </c>
      <c r="S4557" s="11" t="s">
        <v>17750</v>
      </c>
    </row>
    <row r="4558" spans="1:19" x14ac:dyDescent="0.2">
      <c r="A4558" s="11" t="s">
        <v>44162</v>
      </c>
      <c r="B4558" s="9" t="s">
        <v>5723</v>
      </c>
      <c r="C4558" s="9" t="s">
        <v>44163</v>
      </c>
      <c r="D4558" s="9" t="s">
        <v>44164</v>
      </c>
      <c r="E4558" s="9" t="s">
        <v>17740</v>
      </c>
      <c r="F4558" s="9" t="s">
        <v>17741</v>
      </c>
      <c r="G4558" s="9" t="s">
        <v>17740</v>
      </c>
      <c r="H4558" s="11" t="s">
        <v>5725</v>
      </c>
      <c r="I4558" s="11" t="s">
        <v>5724</v>
      </c>
      <c r="J4558" s="11" t="s">
        <v>5724</v>
      </c>
      <c r="K4558" s="9" t="s">
        <v>19482</v>
      </c>
      <c r="L4558" s="9" t="s">
        <v>19483</v>
      </c>
      <c r="M4558" s="9" t="s">
        <v>18289</v>
      </c>
      <c r="N4558" s="9" t="s">
        <v>17746</v>
      </c>
      <c r="O4558" s="9" t="s">
        <v>17779</v>
      </c>
      <c r="P4558" s="9" t="s">
        <v>17748</v>
      </c>
      <c r="Q4558" s="11" t="s">
        <v>18147</v>
      </c>
      <c r="R4558" s="11" t="s">
        <v>18147</v>
      </c>
      <c r="S4558" s="11" t="s">
        <v>17750</v>
      </c>
    </row>
    <row r="4559" spans="1:19" x14ac:dyDescent="0.2">
      <c r="A4559" s="11" t="s">
        <v>44165</v>
      </c>
      <c r="B4559" s="9" t="s">
        <v>44166</v>
      </c>
      <c r="C4559" s="9" t="s">
        <v>44167</v>
      </c>
      <c r="D4559" s="9" t="s">
        <v>44168</v>
      </c>
      <c r="E4559" s="9" t="s">
        <v>17740</v>
      </c>
      <c r="F4559" s="9" t="s">
        <v>17741</v>
      </c>
      <c r="G4559" s="9" t="s">
        <v>17740</v>
      </c>
      <c r="H4559" s="11" t="s">
        <v>5795</v>
      </c>
      <c r="I4559" s="11" t="s">
        <v>5794</v>
      </c>
      <c r="J4559" s="11" t="s">
        <v>5794</v>
      </c>
      <c r="K4559" s="9" t="s">
        <v>17805</v>
      </c>
      <c r="L4559" s="9" t="s">
        <v>17744</v>
      </c>
      <c r="M4559" s="9" t="s">
        <v>24588</v>
      </c>
      <c r="N4559" s="9" t="s">
        <v>17746</v>
      </c>
      <c r="O4559" s="9" t="s">
        <v>44169</v>
      </c>
      <c r="P4559" s="9" t="s">
        <v>17748</v>
      </c>
      <c r="Q4559" s="11" t="s">
        <v>18147</v>
      </c>
      <c r="R4559" s="11" t="s">
        <v>18147</v>
      </c>
      <c r="S4559" s="11" t="s">
        <v>17750</v>
      </c>
    </row>
    <row r="4560" spans="1:19" x14ac:dyDescent="0.2">
      <c r="A4560" s="11" t="s">
        <v>44170</v>
      </c>
      <c r="B4560" s="9" t="s">
        <v>44171</v>
      </c>
      <c r="C4560" s="9" t="s">
        <v>44172</v>
      </c>
      <c r="D4560" s="9" t="s">
        <v>44173</v>
      </c>
      <c r="E4560" s="9" t="s">
        <v>17748</v>
      </c>
      <c r="F4560" s="9" t="s">
        <v>44174</v>
      </c>
      <c r="G4560" s="9" t="s">
        <v>17740</v>
      </c>
      <c r="H4560" s="11" t="s">
        <v>10748</v>
      </c>
      <c r="I4560" s="11" t="s">
        <v>10747</v>
      </c>
      <c r="J4560" s="11" t="s">
        <v>10747</v>
      </c>
      <c r="K4560" s="9" t="s">
        <v>17758</v>
      </c>
      <c r="L4560" s="9" t="s">
        <v>17759</v>
      </c>
      <c r="M4560" s="9" t="s">
        <v>17817</v>
      </c>
      <c r="N4560" s="9" t="s">
        <v>17746</v>
      </c>
      <c r="O4560" s="9" t="s">
        <v>44175</v>
      </c>
      <c r="P4560" s="9" t="s">
        <v>17748</v>
      </c>
      <c r="Q4560" s="11" t="s">
        <v>17984</v>
      </c>
      <c r="R4560" s="11" t="s">
        <v>17984</v>
      </c>
      <c r="S4560" s="11" t="s">
        <v>17750</v>
      </c>
    </row>
    <row r="4561" spans="1:19" x14ac:dyDescent="0.2">
      <c r="A4561" s="11" t="s">
        <v>44176</v>
      </c>
      <c r="B4561" s="9" t="s">
        <v>8439</v>
      </c>
      <c r="C4561" s="9" t="s">
        <v>44177</v>
      </c>
      <c r="D4561" s="9" t="s">
        <v>8439</v>
      </c>
      <c r="E4561" s="9" t="s">
        <v>17740</v>
      </c>
      <c r="F4561" s="9" t="s">
        <v>17741</v>
      </c>
      <c r="G4561" s="9" t="s">
        <v>17740</v>
      </c>
      <c r="H4561" s="11" t="s">
        <v>8441</v>
      </c>
      <c r="I4561" s="11" t="s">
        <v>8440</v>
      </c>
      <c r="J4561" s="11" t="s">
        <v>8440</v>
      </c>
      <c r="K4561" s="9" t="s">
        <v>44178</v>
      </c>
      <c r="L4561" s="9" t="s">
        <v>17744</v>
      </c>
      <c r="M4561" s="9" t="s">
        <v>18177</v>
      </c>
      <c r="N4561" s="9" t="s">
        <v>17746</v>
      </c>
      <c r="O4561" s="9" t="s">
        <v>44175</v>
      </c>
      <c r="P4561" s="9" t="s">
        <v>17748</v>
      </c>
      <c r="Q4561" s="11" t="s">
        <v>17784</v>
      </c>
      <c r="R4561" s="11" t="s">
        <v>17784</v>
      </c>
      <c r="S4561" s="11" t="s">
        <v>17750</v>
      </c>
    </row>
    <row r="4562" spans="1:19" x14ac:dyDescent="0.2">
      <c r="A4562" s="11" t="s">
        <v>44179</v>
      </c>
      <c r="B4562" s="9" t="s">
        <v>44180</v>
      </c>
      <c r="C4562" s="9" t="s">
        <v>44181</v>
      </c>
      <c r="D4562" s="9" t="s">
        <v>44182</v>
      </c>
      <c r="E4562" s="9" t="s">
        <v>17740</v>
      </c>
      <c r="F4562" s="9" t="s">
        <v>17741</v>
      </c>
      <c r="G4562" s="9" t="s">
        <v>17740</v>
      </c>
      <c r="H4562" s="11" t="s">
        <v>8976</v>
      </c>
      <c r="I4562" s="11" t="s">
        <v>8975</v>
      </c>
      <c r="J4562" s="11" t="s">
        <v>8975</v>
      </c>
      <c r="K4562" s="9" t="s">
        <v>19584</v>
      </c>
      <c r="L4562" s="9" t="s">
        <v>17759</v>
      </c>
      <c r="M4562" s="9" t="s">
        <v>17760</v>
      </c>
      <c r="N4562" s="9" t="s">
        <v>17746</v>
      </c>
      <c r="O4562" s="9" t="s">
        <v>41248</v>
      </c>
      <c r="P4562" s="9" t="s">
        <v>17748</v>
      </c>
      <c r="Q4562" s="11" t="s">
        <v>18922</v>
      </c>
      <c r="R4562" s="11" t="s">
        <v>18922</v>
      </c>
      <c r="S4562" s="11" t="s">
        <v>17750</v>
      </c>
    </row>
    <row r="4563" spans="1:19" x14ac:dyDescent="0.2">
      <c r="A4563" s="11" t="s">
        <v>44183</v>
      </c>
      <c r="B4563" s="9" t="s">
        <v>44184</v>
      </c>
      <c r="C4563" s="9" t="s">
        <v>44185</v>
      </c>
      <c r="D4563" s="9" t="s">
        <v>44186</v>
      </c>
      <c r="E4563" s="9" t="s">
        <v>17748</v>
      </c>
      <c r="F4563" s="9" t="s">
        <v>44187</v>
      </c>
      <c r="G4563" s="9" t="s">
        <v>17740</v>
      </c>
      <c r="H4563" s="11" t="s">
        <v>17741</v>
      </c>
      <c r="I4563" s="11" t="s">
        <v>10750</v>
      </c>
      <c r="J4563" s="11" t="s">
        <v>10750</v>
      </c>
      <c r="K4563" s="9" t="s">
        <v>44188</v>
      </c>
      <c r="L4563" s="9" t="s">
        <v>17967</v>
      </c>
      <c r="M4563" s="9" t="s">
        <v>17769</v>
      </c>
      <c r="N4563" s="9" t="s">
        <v>17746</v>
      </c>
      <c r="O4563" s="9" t="s">
        <v>3391</v>
      </c>
      <c r="P4563" s="9" t="s">
        <v>17748</v>
      </c>
      <c r="Q4563" s="11" t="s">
        <v>17984</v>
      </c>
      <c r="R4563" s="11" t="s">
        <v>17984</v>
      </c>
      <c r="S4563" s="11" t="s">
        <v>17750</v>
      </c>
    </row>
    <row r="4564" spans="1:19" x14ac:dyDescent="0.2">
      <c r="A4564" s="11" t="s">
        <v>44189</v>
      </c>
      <c r="B4564" s="9" t="s">
        <v>44190</v>
      </c>
      <c r="C4564" s="9" t="s">
        <v>44191</v>
      </c>
      <c r="D4564" s="9" t="s">
        <v>44192</v>
      </c>
      <c r="E4564" s="9" t="s">
        <v>17740</v>
      </c>
      <c r="F4564" s="9" t="s">
        <v>44193</v>
      </c>
      <c r="G4564" s="9" t="s">
        <v>17740</v>
      </c>
      <c r="H4564" s="11" t="s">
        <v>4953</v>
      </c>
      <c r="I4564" s="11" t="s">
        <v>4952</v>
      </c>
      <c r="J4564" s="11" t="s">
        <v>4952</v>
      </c>
      <c r="K4564" s="9" t="s">
        <v>601</v>
      </c>
      <c r="L4564" s="9" t="s">
        <v>17744</v>
      </c>
      <c r="M4564" s="9" t="s">
        <v>18289</v>
      </c>
      <c r="N4564" s="9" t="s">
        <v>17746</v>
      </c>
      <c r="O4564" s="9" t="s">
        <v>3391</v>
      </c>
      <c r="P4564" s="9" t="s">
        <v>17748</v>
      </c>
      <c r="Q4564" s="11" t="s">
        <v>17819</v>
      </c>
      <c r="R4564" s="11" t="s">
        <v>17819</v>
      </c>
      <c r="S4564" s="11" t="s">
        <v>17750</v>
      </c>
    </row>
    <row r="4565" spans="1:19" x14ac:dyDescent="0.2">
      <c r="A4565" s="11" t="s">
        <v>44194</v>
      </c>
      <c r="B4565" s="9" t="s">
        <v>44195</v>
      </c>
      <c r="C4565" s="9" t="s">
        <v>44196</v>
      </c>
      <c r="D4565" s="9" t="s">
        <v>44197</v>
      </c>
      <c r="E4565" s="9" t="s">
        <v>17740</v>
      </c>
      <c r="F4565" s="9" t="s">
        <v>17741</v>
      </c>
      <c r="G4565" s="9" t="s">
        <v>17740</v>
      </c>
      <c r="H4565" s="11" t="s">
        <v>3314</v>
      </c>
      <c r="I4565" s="11" t="s">
        <v>3313</v>
      </c>
      <c r="J4565" s="11" t="s">
        <v>3313</v>
      </c>
      <c r="K4565" s="9" t="s">
        <v>37600</v>
      </c>
      <c r="L4565" s="9" t="s">
        <v>17759</v>
      </c>
      <c r="M4565" s="9" t="s">
        <v>17760</v>
      </c>
      <c r="N4565" s="9" t="s">
        <v>17746</v>
      </c>
      <c r="O4565" s="9" t="s">
        <v>3391</v>
      </c>
      <c r="P4565" s="9" t="s">
        <v>17748</v>
      </c>
      <c r="Q4565" s="11" t="s">
        <v>18440</v>
      </c>
      <c r="R4565" s="11" t="s">
        <v>18440</v>
      </c>
      <c r="S4565" s="11" t="s">
        <v>17750</v>
      </c>
    </row>
    <row r="4566" spans="1:19" x14ac:dyDescent="0.2">
      <c r="A4566" s="11" t="s">
        <v>44198</v>
      </c>
      <c r="B4566" s="9" t="s">
        <v>3391</v>
      </c>
      <c r="C4566" s="9" t="s">
        <v>44199</v>
      </c>
      <c r="D4566" s="9" t="s">
        <v>3391</v>
      </c>
      <c r="E4566" s="9" t="s">
        <v>17740</v>
      </c>
      <c r="F4566" s="9" t="s">
        <v>44200</v>
      </c>
      <c r="G4566" s="9" t="s">
        <v>17740</v>
      </c>
      <c r="H4566" s="11" t="s">
        <v>3393</v>
      </c>
      <c r="I4566" s="11" t="s">
        <v>3392</v>
      </c>
      <c r="J4566" s="11" t="s">
        <v>3392</v>
      </c>
      <c r="K4566" s="9" t="s">
        <v>18122</v>
      </c>
      <c r="L4566" s="9" t="s">
        <v>18123</v>
      </c>
      <c r="M4566" s="9" t="s">
        <v>24505</v>
      </c>
      <c r="N4566" s="9" t="s">
        <v>17746</v>
      </c>
      <c r="O4566" s="9" t="s">
        <v>3391</v>
      </c>
      <c r="P4566" s="9" t="s">
        <v>17748</v>
      </c>
      <c r="Q4566" s="11" t="s">
        <v>17883</v>
      </c>
      <c r="R4566" s="11" t="s">
        <v>17883</v>
      </c>
      <c r="S4566" s="11" t="s">
        <v>17750</v>
      </c>
    </row>
    <row r="4567" spans="1:19" x14ac:dyDescent="0.2">
      <c r="A4567" s="11" t="s">
        <v>44201</v>
      </c>
      <c r="B4567" s="9" t="s">
        <v>44202</v>
      </c>
      <c r="C4567" s="9" t="s">
        <v>44203</v>
      </c>
      <c r="D4567" s="9" t="s">
        <v>44204</v>
      </c>
      <c r="E4567" s="9" t="s">
        <v>17740</v>
      </c>
      <c r="F4567" s="9" t="s">
        <v>44205</v>
      </c>
      <c r="G4567" s="9" t="s">
        <v>17740</v>
      </c>
      <c r="H4567" s="11" t="s">
        <v>3418</v>
      </c>
      <c r="I4567" s="11" t="s">
        <v>3417</v>
      </c>
      <c r="J4567" s="11" t="s">
        <v>3417</v>
      </c>
      <c r="K4567" s="9" t="s">
        <v>38888</v>
      </c>
      <c r="L4567" s="9" t="s">
        <v>17744</v>
      </c>
      <c r="M4567" s="9" t="s">
        <v>17817</v>
      </c>
      <c r="N4567" s="9" t="s">
        <v>17746</v>
      </c>
      <c r="O4567" s="9" t="s">
        <v>40283</v>
      </c>
      <c r="P4567" s="9" t="s">
        <v>17748</v>
      </c>
      <c r="Q4567" s="11" t="s">
        <v>18251</v>
      </c>
      <c r="R4567" s="11" t="s">
        <v>18251</v>
      </c>
      <c r="S4567" s="11" t="s">
        <v>17750</v>
      </c>
    </row>
    <row r="4568" spans="1:19" x14ac:dyDescent="0.2">
      <c r="A4568" s="11" t="s">
        <v>44206</v>
      </c>
      <c r="B4568" s="9" t="s">
        <v>44207</v>
      </c>
      <c r="C4568" s="9" t="s">
        <v>44208</v>
      </c>
      <c r="D4568" s="9" t="s">
        <v>44209</v>
      </c>
      <c r="E4568" s="9" t="s">
        <v>17740</v>
      </c>
      <c r="F4568" s="9" t="s">
        <v>17741</v>
      </c>
      <c r="G4568" s="9" t="s">
        <v>17740</v>
      </c>
      <c r="H4568" s="11" t="s">
        <v>3320</v>
      </c>
      <c r="I4568" s="11" t="s">
        <v>3319</v>
      </c>
      <c r="J4568" s="11" t="s">
        <v>3319</v>
      </c>
      <c r="K4568" s="9" t="s">
        <v>91</v>
      </c>
      <c r="L4568" s="9" t="s">
        <v>17759</v>
      </c>
      <c r="M4568" s="9" t="s">
        <v>17817</v>
      </c>
      <c r="N4568" s="9" t="s">
        <v>17746</v>
      </c>
      <c r="O4568" s="9" t="s">
        <v>44210</v>
      </c>
      <c r="P4568" s="9" t="s">
        <v>17748</v>
      </c>
      <c r="Q4568" s="11" t="s">
        <v>18243</v>
      </c>
      <c r="R4568" s="11" t="s">
        <v>18243</v>
      </c>
      <c r="S4568" s="11" t="s">
        <v>17750</v>
      </c>
    </row>
    <row r="4569" spans="1:19" x14ac:dyDescent="0.2">
      <c r="A4569" s="11" t="s">
        <v>44211</v>
      </c>
      <c r="B4569" s="9" t="s">
        <v>3403</v>
      </c>
      <c r="C4569" s="9" t="s">
        <v>44212</v>
      </c>
      <c r="D4569" s="9" t="s">
        <v>3403</v>
      </c>
      <c r="E4569" s="9" t="s">
        <v>17740</v>
      </c>
      <c r="F4569" s="9" t="s">
        <v>44213</v>
      </c>
      <c r="G4569" s="9" t="s">
        <v>17740</v>
      </c>
      <c r="H4569" s="11" t="s">
        <v>3405</v>
      </c>
      <c r="I4569" s="11" t="s">
        <v>3404</v>
      </c>
      <c r="J4569" s="11" t="s">
        <v>3404</v>
      </c>
      <c r="K4569" s="9" t="s">
        <v>412</v>
      </c>
      <c r="L4569" s="9" t="s">
        <v>18158</v>
      </c>
      <c r="M4569" s="9" t="s">
        <v>44214</v>
      </c>
      <c r="N4569" s="9" t="s">
        <v>17746</v>
      </c>
      <c r="O4569" s="9" t="s">
        <v>42590</v>
      </c>
      <c r="P4569" s="9" t="s">
        <v>17748</v>
      </c>
      <c r="Q4569" s="11" t="s">
        <v>18341</v>
      </c>
      <c r="R4569" s="11" t="s">
        <v>18341</v>
      </c>
      <c r="S4569" s="11" t="s">
        <v>17750</v>
      </c>
    </row>
    <row r="4570" spans="1:19" x14ac:dyDescent="0.2">
      <c r="A4570" s="11" t="s">
        <v>44215</v>
      </c>
      <c r="B4570" s="9" t="s">
        <v>3394</v>
      </c>
      <c r="C4570" s="9" t="s">
        <v>44216</v>
      </c>
      <c r="D4570" s="9" t="s">
        <v>3394</v>
      </c>
      <c r="E4570" s="9" t="s">
        <v>17740</v>
      </c>
      <c r="F4570" s="9" t="s">
        <v>17741</v>
      </c>
      <c r="G4570" s="9" t="s">
        <v>17740</v>
      </c>
      <c r="H4570" s="11" t="s">
        <v>44217</v>
      </c>
      <c r="I4570" s="11" t="s">
        <v>3395</v>
      </c>
      <c r="J4570" s="11" t="s">
        <v>3395</v>
      </c>
      <c r="K4570" s="9" t="s">
        <v>970</v>
      </c>
      <c r="L4570" s="9" t="s">
        <v>17759</v>
      </c>
      <c r="M4570" s="9" t="s">
        <v>18109</v>
      </c>
      <c r="N4570" s="9" t="s">
        <v>17746</v>
      </c>
      <c r="O4570" s="9" t="s">
        <v>24758</v>
      </c>
      <c r="P4570" s="9" t="s">
        <v>17748</v>
      </c>
      <c r="Q4570" s="11" t="s">
        <v>18433</v>
      </c>
      <c r="R4570" s="11" t="s">
        <v>18433</v>
      </c>
      <c r="S4570" s="11" t="s">
        <v>17750</v>
      </c>
    </row>
    <row r="4571" spans="1:19" x14ac:dyDescent="0.2">
      <c r="A4571" s="11" t="s">
        <v>44218</v>
      </c>
      <c r="B4571" s="9" t="s">
        <v>44219</v>
      </c>
      <c r="C4571" s="9" t="s">
        <v>44220</v>
      </c>
      <c r="D4571" s="9" t="s">
        <v>44221</v>
      </c>
      <c r="E4571" s="9" t="s">
        <v>17740</v>
      </c>
      <c r="F4571" s="9" t="s">
        <v>17741</v>
      </c>
      <c r="G4571" s="9" t="s">
        <v>17740</v>
      </c>
      <c r="H4571" s="11" t="s">
        <v>17741</v>
      </c>
      <c r="I4571" s="11" t="s">
        <v>17741</v>
      </c>
      <c r="J4571" s="11" t="s">
        <v>17741</v>
      </c>
      <c r="K4571" s="9" t="s">
        <v>44222</v>
      </c>
      <c r="L4571" s="9" t="s">
        <v>20082</v>
      </c>
      <c r="M4571" s="9" t="s">
        <v>18685</v>
      </c>
      <c r="N4571" s="9" t="s">
        <v>17746</v>
      </c>
      <c r="O4571" s="9" t="s">
        <v>23685</v>
      </c>
      <c r="P4571" s="9" t="s">
        <v>17748</v>
      </c>
      <c r="Q4571" s="11" t="s">
        <v>18272</v>
      </c>
      <c r="R4571" s="11" t="s">
        <v>18272</v>
      </c>
      <c r="S4571" s="11" t="s">
        <v>17750</v>
      </c>
    </row>
    <row r="4572" spans="1:19" x14ac:dyDescent="0.2">
      <c r="A4572" s="11" t="s">
        <v>44223</v>
      </c>
      <c r="B4572" s="9" t="s">
        <v>44224</v>
      </c>
      <c r="C4572" s="9" t="s">
        <v>44225</v>
      </c>
      <c r="D4572" s="9" t="s">
        <v>44226</v>
      </c>
      <c r="E4572" s="9" t="s">
        <v>17740</v>
      </c>
      <c r="F4572" s="9" t="s">
        <v>44227</v>
      </c>
      <c r="G4572" s="9" t="s">
        <v>17740</v>
      </c>
      <c r="H4572" s="11" t="s">
        <v>17741</v>
      </c>
      <c r="I4572" s="11" t="s">
        <v>44228</v>
      </c>
      <c r="J4572" s="11" t="s">
        <v>44228</v>
      </c>
      <c r="K4572" s="9" t="s">
        <v>44229</v>
      </c>
      <c r="L4572" s="9" t="s">
        <v>17759</v>
      </c>
      <c r="M4572" s="9" t="s">
        <v>17760</v>
      </c>
      <c r="N4572" s="9" t="s">
        <v>17746</v>
      </c>
      <c r="O4572" s="9" t="s">
        <v>23685</v>
      </c>
      <c r="P4572" s="9" t="s">
        <v>17748</v>
      </c>
      <c r="Q4572" s="11" t="s">
        <v>17943</v>
      </c>
      <c r="R4572" s="11" t="s">
        <v>17943</v>
      </c>
      <c r="S4572" s="11" t="s">
        <v>17750</v>
      </c>
    </row>
    <row r="4573" spans="1:19" x14ac:dyDescent="0.2">
      <c r="A4573" s="11" t="s">
        <v>44230</v>
      </c>
      <c r="B4573" s="9" t="s">
        <v>44231</v>
      </c>
      <c r="C4573" s="9" t="s">
        <v>44232</v>
      </c>
      <c r="D4573" s="9" t="s">
        <v>3379</v>
      </c>
      <c r="E4573" s="9" t="s">
        <v>17740</v>
      </c>
      <c r="F4573" s="9" t="s">
        <v>17741</v>
      </c>
      <c r="G4573" s="9" t="s">
        <v>17740</v>
      </c>
      <c r="H4573" s="11" t="s">
        <v>17741</v>
      </c>
      <c r="I4573" s="11" t="s">
        <v>3380</v>
      </c>
      <c r="J4573" s="11" t="s">
        <v>3380</v>
      </c>
      <c r="K4573" s="9" t="s">
        <v>44233</v>
      </c>
      <c r="L4573" s="9" t="s">
        <v>18158</v>
      </c>
      <c r="M4573" s="9" t="s">
        <v>17817</v>
      </c>
      <c r="N4573" s="9" t="s">
        <v>17746</v>
      </c>
      <c r="O4573" s="9" t="s">
        <v>21220</v>
      </c>
      <c r="P4573" s="9" t="s">
        <v>17748</v>
      </c>
      <c r="Q4573" s="11" t="s">
        <v>18010</v>
      </c>
      <c r="R4573" s="11" t="s">
        <v>18010</v>
      </c>
      <c r="S4573" s="11" t="s">
        <v>17750</v>
      </c>
    </row>
    <row r="4574" spans="1:19" x14ac:dyDescent="0.2">
      <c r="A4574" s="11" t="s">
        <v>44234</v>
      </c>
      <c r="B4574" s="9" t="s">
        <v>44235</v>
      </c>
      <c r="C4574" s="9" t="s">
        <v>44236</v>
      </c>
      <c r="D4574" s="9" t="s">
        <v>44237</v>
      </c>
      <c r="E4574" s="9" t="s">
        <v>17748</v>
      </c>
      <c r="F4574" s="9" t="s">
        <v>44238</v>
      </c>
      <c r="G4574" s="9" t="s">
        <v>17740</v>
      </c>
      <c r="H4574" s="11" t="s">
        <v>44239</v>
      </c>
      <c r="I4574" s="11" t="s">
        <v>44240</v>
      </c>
      <c r="J4574" s="11" t="s">
        <v>44240</v>
      </c>
      <c r="K4574" s="9" t="s">
        <v>44241</v>
      </c>
      <c r="L4574" s="9" t="s">
        <v>20359</v>
      </c>
      <c r="M4574" s="9" t="s">
        <v>18211</v>
      </c>
      <c r="N4574" s="9" t="s">
        <v>17746</v>
      </c>
      <c r="O4574" s="9" t="s">
        <v>3391</v>
      </c>
      <c r="P4574" s="9" t="s">
        <v>17748</v>
      </c>
      <c r="Q4574" s="11" t="s">
        <v>17825</v>
      </c>
      <c r="R4574" s="11" t="s">
        <v>17825</v>
      </c>
      <c r="S4574" s="11" t="s">
        <v>17750</v>
      </c>
    </row>
    <row r="4575" spans="1:19" x14ac:dyDescent="0.2">
      <c r="A4575" s="11" t="s">
        <v>44242</v>
      </c>
      <c r="B4575" s="9" t="s">
        <v>44243</v>
      </c>
      <c r="C4575" s="9" t="s">
        <v>44244</v>
      </c>
      <c r="D4575" s="9" t="s">
        <v>44245</v>
      </c>
      <c r="E4575" s="9" t="s">
        <v>17740</v>
      </c>
      <c r="F4575" s="9" t="s">
        <v>17741</v>
      </c>
      <c r="G4575" s="9" t="s">
        <v>17740</v>
      </c>
      <c r="H4575" s="11" t="s">
        <v>17741</v>
      </c>
      <c r="I4575" s="11" t="s">
        <v>44246</v>
      </c>
      <c r="J4575" s="11" t="s">
        <v>44246</v>
      </c>
      <c r="K4575" s="9" t="s">
        <v>44247</v>
      </c>
      <c r="L4575" s="9" t="s">
        <v>17759</v>
      </c>
      <c r="M4575" s="9" t="s">
        <v>17741</v>
      </c>
      <c r="N4575" s="9" t="s">
        <v>17746</v>
      </c>
      <c r="O4575" s="9" t="s">
        <v>17993</v>
      </c>
      <c r="P4575" s="9" t="s">
        <v>17748</v>
      </c>
      <c r="Q4575" s="11" t="s">
        <v>18856</v>
      </c>
      <c r="R4575" s="11" t="s">
        <v>18856</v>
      </c>
      <c r="S4575" s="11" t="s">
        <v>17750</v>
      </c>
    </row>
    <row r="4576" spans="1:19" x14ac:dyDescent="0.2">
      <c r="A4576" s="11" t="s">
        <v>44248</v>
      </c>
      <c r="B4576" s="9" t="s">
        <v>44249</v>
      </c>
      <c r="C4576" s="9" t="s">
        <v>44250</v>
      </c>
      <c r="D4576" s="9" t="s">
        <v>44251</v>
      </c>
      <c r="E4576" s="9" t="s">
        <v>17740</v>
      </c>
      <c r="F4576" s="9" t="s">
        <v>44252</v>
      </c>
      <c r="G4576" s="9" t="s">
        <v>17740</v>
      </c>
      <c r="H4576" s="11" t="s">
        <v>44253</v>
      </c>
      <c r="I4576" s="11" t="s">
        <v>44254</v>
      </c>
      <c r="J4576" s="11" t="s">
        <v>44254</v>
      </c>
      <c r="K4576" s="9" t="s">
        <v>38839</v>
      </c>
      <c r="L4576" s="9" t="s">
        <v>17744</v>
      </c>
      <c r="M4576" s="9" t="s">
        <v>22894</v>
      </c>
      <c r="N4576" s="9" t="s">
        <v>17746</v>
      </c>
      <c r="O4576" s="9" t="s">
        <v>17977</v>
      </c>
      <c r="P4576" s="9" t="s">
        <v>17748</v>
      </c>
      <c r="Q4576" s="11" t="s">
        <v>21012</v>
      </c>
      <c r="R4576" s="11" t="s">
        <v>21012</v>
      </c>
      <c r="S4576" s="11" t="s">
        <v>17750</v>
      </c>
    </row>
    <row r="4577" spans="1:19" x14ac:dyDescent="0.2">
      <c r="A4577" s="11" t="s">
        <v>44255</v>
      </c>
      <c r="B4577" s="9" t="s">
        <v>44256</v>
      </c>
      <c r="C4577" s="9" t="s">
        <v>44257</v>
      </c>
      <c r="D4577" s="9" t="s">
        <v>44258</v>
      </c>
      <c r="E4577" s="9" t="s">
        <v>17740</v>
      </c>
      <c r="F4577" s="9" t="s">
        <v>44259</v>
      </c>
      <c r="G4577" s="9" t="s">
        <v>17740</v>
      </c>
      <c r="H4577" s="11" t="s">
        <v>44260</v>
      </c>
      <c r="I4577" s="11" t="s">
        <v>44261</v>
      </c>
      <c r="J4577" s="11" t="s">
        <v>44261</v>
      </c>
      <c r="K4577" s="9" t="s">
        <v>22540</v>
      </c>
      <c r="L4577" s="9" t="s">
        <v>17744</v>
      </c>
      <c r="M4577" s="9" t="s">
        <v>22894</v>
      </c>
      <c r="N4577" s="9" t="s">
        <v>17746</v>
      </c>
      <c r="O4577" s="9" t="s">
        <v>44262</v>
      </c>
      <c r="P4577" s="9" t="s">
        <v>17748</v>
      </c>
      <c r="Q4577" s="11" t="s">
        <v>18201</v>
      </c>
      <c r="R4577" s="11" t="s">
        <v>18201</v>
      </c>
      <c r="S4577" s="11" t="s">
        <v>17750</v>
      </c>
    </row>
    <row r="4578" spans="1:19" x14ac:dyDescent="0.2">
      <c r="A4578" s="11" t="s">
        <v>44263</v>
      </c>
      <c r="B4578" s="9" t="s">
        <v>44264</v>
      </c>
      <c r="C4578" s="9" t="s">
        <v>44265</v>
      </c>
      <c r="D4578" s="9" t="s">
        <v>44266</v>
      </c>
      <c r="E4578" s="9" t="s">
        <v>17740</v>
      </c>
      <c r="F4578" s="9" t="s">
        <v>17741</v>
      </c>
      <c r="G4578" s="9" t="s">
        <v>17740</v>
      </c>
      <c r="H4578" s="11" t="s">
        <v>44267</v>
      </c>
      <c r="I4578" s="11" t="s">
        <v>17741</v>
      </c>
      <c r="J4578" s="11" t="s">
        <v>44267</v>
      </c>
      <c r="K4578" s="9" t="s">
        <v>18570</v>
      </c>
      <c r="L4578" s="9" t="s">
        <v>17744</v>
      </c>
      <c r="M4578" s="9" t="s">
        <v>17741</v>
      </c>
      <c r="N4578" s="9" t="s">
        <v>17746</v>
      </c>
      <c r="O4578" s="9" t="s">
        <v>17874</v>
      </c>
      <c r="P4578" s="9" t="s">
        <v>17748</v>
      </c>
      <c r="Q4578" s="11" t="s">
        <v>17762</v>
      </c>
      <c r="R4578" s="11" t="s">
        <v>17762</v>
      </c>
      <c r="S4578" s="11" t="s">
        <v>17750</v>
      </c>
    </row>
    <row r="4579" spans="1:19" x14ac:dyDescent="0.2">
      <c r="A4579" s="11" t="s">
        <v>44268</v>
      </c>
      <c r="B4579" s="9" t="s">
        <v>44269</v>
      </c>
      <c r="C4579" s="9" t="s">
        <v>44270</v>
      </c>
      <c r="D4579" s="9" t="s">
        <v>4706</v>
      </c>
      <c r="E4579" s="9" t="s">
        <v>17740</v>
      </c>
      <c r="F4579" s="9" t="s">
        <v>44271</v>
      </c>
      <c r="G4579" s="9" t="s">
        <v>17740</v>
      </c>
      <c r="H4579" s="11" t="s">
        <v>44272</v>
      </c>
      <c r="I4579" s="11" t="s">
        <v>4707</v>
      </c>
      <c r="J4579" s="11" t="s">
        <v>4707</v>
      </c>
      <c r="K4579" s="9" t="s">
        <v>18520</v>
      </c>
      <c r="L4579" s="9" t="s">
        <v>17744</v>
      </c>
      <c r="M4579" s="9" t="s">
        <v>19032</v>
      </c>
      <c r="N4579" s="9" t="s">
        <v>17746</v>
      </c>
      <c r="O4579" s="9" t="s">
        <v>19646</v>
      </c>
      <c r="P4579" s="9" t="s">
        <v>17748</v>
      </c>
      <c r="Q4579" s="11" t="s">
        <v>18059</v>
      </c>
      <c r="R4579" s="11" t="s">
        <v>18059</v>
      </c>
      <c r="S4579" s="11" t="s">
        <v>17750</v>
      </c>
    </row>
    <row r="4580" spans="1:19" x14ac:dyDescent="0.2">
      <c r="A4580" s="11" t="s">
        <v>44273</v>
      </c>
      <c r="B4580" s="9" t="s">
        <v>44274</v>
      </c>
      <c r="C4580" s="9" t="s">
        <v>44275</v>
      </c>
      <c r="D4580" s="9" t="s">
        <v>44274</v>
      </c>
      <c r="E4580" s="9" t="s">
        <v>17740</v>
      </c>
      <c r="F4580" s="9" t="s">
        <v>17741</v>
      </c>
      <c r="G4580" s="9" t="s">
        <v>17740</v>
      </c>
      <c r="H4580" s="11" t="s">
        <v>44276</v>
      </c>
      <c r="I4580" s="11" t="s">
        <v>44277</v>
      </c>
      <c r="J4580" s="11" t="s">
        <v>44277</v>
      </c>
      <c r="K4580" s="9" t="s">
        <v>18122</v>
      </c>
      <c r="L4580" s="9" t="s">
        <v>18123</v>
      </c>
      <c r="M4580" s="9" t="s">
        <v>17778</v>
      </c>
      <c r="N4580" s="9" t="s">
        <v>17746</v>
      </c>
      <c r="O4580" s="9" t="s">
        <v>19930</v>
      </c>
      <c r="P4580" s="9" t="s">
        <v>17748</v>
      </c>
      <c r="Q4580" s="11" t="s">
        <v>17937</v>
      </c>
      <c r="R4580" s="11" t="s">
        <v>17937</v>
      </c>
      <c r="S4580" s="11" t="s">
        <v>17750</v>
      </c>
    </row>
    <row r="4581" spans="1:19" x14ac:dyDescent="0.2">
      <c r="A4581" s="11" t="s">
        <v>44278</v>
      </c>
      <c r="B4581" s="9" t="s">
        <v>44279</v>
      </c>
      <c r="C4581" s="9" t="s">
        <v>44280</v>
      </c>
      <c r="D4581" s="9" t="s">
        <v>44281</v>
      </c>
      <c r="E4581" s="9" t="s">
        <v>17740</v>
      </c>
      <c r="F4581" s="9" t="s">
        <v>17741</v>
      </c>
      <c r="G4581" s="9" t="s">
        <v>17740</v>
      </c>
      <c r="H4581" s="11" t="s">
        <v>44282</v>
      </c>
      <c r="I4581" s="11" t="s">
        <v>44283</v>
      </c>
      <c r="J4581" s="11" t="s">
        <v>44283</v>
      </c>
      <c r="K4581" s="9" t="s">
        <v>6914</v>
      </c>
      <c r="L4581" s="9" t="s">
        <v>17744</v>
      </c>
      <c r="M4581" s="9" t="s">
        <v>17817</v>
      </c>
      <c r="N4581" s="9" t="s">
        <v>17746</v>
      </c>
      <c r="O4581" s="9" t="s">
        <v>19322</v>
      </c>
      <c r="P4581" s="9" t="s">
        <v>17748</v>
      </c>
      <c r="Q4581" s="11" t="s">
        <v>17994</v>
      </c>
      <c r="R4581" s="11" t="s">
        <v>17994</v>
      </c>
      <c r="S4581" s="11" t="s">
        <v>17750</v>
      </c>
    </row>
    <row r="4582" spans="1:19" x14ac:dyDescent="0.2">
      <c r="A4582" s="11" t="s">
        <v>44284</v>
      </c>
      <c r="B4582" s="9" t="s">
        <v>44285</v>
      </c>
      <c r="C4582" s="9" t="s">
        <v>44286</v>
      </c>
      <c r="D4582" s="9" t="s">
        <v>44287</v>
      </c>
      <c r="E4582" s="9" t="s">
        <v>17740</v>
      </c>
      <c r="F4582" s="9" t="s">
        <v>17741</v>
      </c>
      <c r="G4582" s="9" t="s">
        <v>17740</v>
      </c>
      <c r="H4582" s="11" t="s">
        <v>44288</v>
      </c>
      <c r="I4582" s="11" t="s">
        <v>44289</v>
      </c>
      <c r="J4582" s="11" t="s">
        <v>44289</v>
      </c>
      <c r="K4582" s="9" t="s">
        <v>44290</v>
      </c>
      <c r="L4582" s="9" t="s">
        <v>17759</v>
      </c>
      <c r="M4582" s="9" t="s">
        <v>44291</v>
      </c>
      <c r="N4582" s="9" t="s">
        <v>17746</v>
      </c>
      <c r="O4582" s="9" t="s">
        <v>24728</v>
      </c>
      <c r="P4582" s="9" t="s">
        <v>17748</v>
      </c>
      <c r="Q4582" s="11" t="s">
        <v>18314</v>
      </c>
      <c r="R4582" s="11" t="s">
        <v>18314</v>
      </c>
      <c r="S4582" s="11" t="s">
        <v>17750</v>
      </c>
    </row>
    <row r="4583" spans="1:19" x14ac:dyDescent="0.2">
      <c r="A4583" s="11" t="s">
        <v>44292</v>
      </c>
      <c r="B4583" s="9" t="s">
        <v>44293</v>
      </c>
      <c r="C4583" s="9" t="s">
        <v>44294</v>
      </c>
      <c r="D4583" s="9" t="s">
        <v>44295</v>
      </c>
      <c r="E4583" s="9" t="s">
        <v>17740</v>
      </c>
      <c r="F4583" s="9" t="s">
        <v>44296</v>
      </c>
      <c r="G4583" s="9" t="s">
        <v>17740</v>
      </c>
      <c r="H4583" s="11" t="s">
        <v>5326</v>
      </c>
      <c r="I4583" s="11" t="s">
        <v>5325</v>
      </c>
      <c r="J4583" s="11" t="s">
        <v>5325</v>
      </c>
      <c r="K4583" s="9" t="s">
        <v>21146</v>
      </c>
      <c r="L4583" s="9" t="s">
        <v>17744</v>
      </c>
      <c r="M4583" s="9" t="s">
        <v>17769</v>
      </c>
      <c r="N4583" s="9" t="s">
        <v>17746</v>
      </c>
      <c r="O4583" s="9" t="s">
        <v>44297</v>
      </c>
      <c r="P4583" s="9" t="s">
        <v>17748</v>
      </c>
      <c r="Q4583" s="11" t="s">
        <v>17749</v>
      </c>
      <c r="R4583" s="11" t="s">
        <v>17749</v>
      </c>
      <c r="S4583" s="11" t="s">
        <v>17750</v>
      </c>
    </row>
    <row r="4584" spans="1:19" x14ac:dyDescent="0.2">
      <c r="A4584" s="11" t="s">
        <v>44298</v>
      </c>
      <c r="B4584" s="9" t="s">
        <v>44299</v>
      </c>
      <c r="C4584" s="9" t="s">
        <v>44300</v>
      </c>
      <c r="D4584" s="9" t="s">
        <v>44301</v>
      </c>
      <c r="E4584" s="9" t="s">
        <v>17740</v>
      </c>
      <c r="F4584" s="9" t="s">
        <v>17741</v>
      </c>
      <c r="G4584" s="9" t="s">
        <v>17740</v>
      </c>
      <c r="H4584" s="11" t="s">
        <v>10434</v>
      </c>
      <c r="I4584" s="11" t="s">
        <v>10433</v>
      </c>
      <c r="J4584" s="11" t="s">
        <v>10433</v>
      </c>
      <c r="K4584" s="9" t="s">
        <v>91</v>
      </c>
      <c r="L4584" s="9" t="s">
        <v>18001</v>
      </c>
      <c r="M4584" s="9" t="s">
        <v>17760</v>
      </c>
      <c r="N4584" s="9" t="s">
        <v>17746</v>
      </c>
      <c r="O4584" s="9" t="s">
        <v>28083</v>
      </c>
      <c r="P4584" s="9" t="s">
        <v>17748</v>
      </c>
      <c r="Q4584" s="11" t="s">
        <v>17780</v>
      </c>
      <c r="R4584" s="11" t="s">
        <v>17780</v>
      </c>
      <c r="S4584" s="11" t="s">
        <v>17750</v>
      </c>
    </row>
    <row r="4585" spans="1:19" x14ac:dyDescent="0.2">
      <c r="A4585" s="11" t="s">
        <v>44302</v>
      </c>
      <c r="B4585" s="9" t="s">
        <v>44303</v>
      </c>
      <c r="C4585" s="9" t="s">
        <v>44304</v>
      </c>
      <c r="D4585" s="9" t="s">
        <v>44305</v>
      </c>
      <c r="E4585" s="9" t="s">
        <v>17748</v>
      </c>
      <c r="F4585" s="9" t="s">
        <v>44306</v>
      </c>
      <c r="G4585" s="9" t="s">
        <v>17740</v>
      </c>
      <c r="H4585" s="11" t="s">
        <v>44307</v>
      </c>
      <c r="I4585" s="11" t="s">
        <v>44308</v>
      </c>
      <c r="J4585" s="11" t="s">
        <v>44308</v>
      </c>
      <c r="K4585" s="9" t="s">
        <v>19180</v>
      </c>
      <c r="L4585" s="9" t="s">
        <v>17759</v>
      </c>
      <c r="M4585" s="9" t="s">
        <v>17769</v>
      </c>
      <c r="N4585" s="9" t="s">
        <v>17746</v>
      </c>
      <c r="O4585" s="9" t="s">
        <v>18035</v>
      </c>
      <c r="P4585" s="9" t="s">
        <v>17748</v>
      </c>
      <c r="Q4585" s="11" t="s">
        <v>17780</v>
      </c>
      <c r="R4585" s="11" t="s">
        <v>17780</v>
      </c>
      <c r="S4585" s="11" t="s">
        <v>17750</v>
      </c>
    </row>
    <row r="4586" spans="1:19" x14ac:dyDescent="0.2">
      <c r="A4586" s="11" t="s">
        <v>44309</v>
      </c>
      <c r="B4586" s="9" t="s">
        <v>44310</v>
      </c>
      <c r="C4586" s="9" t="s">
        <v>44311</v>
      </c>
      <c r="D4586" s="9" t="s">
        <v>44312</v>
      </c>
      <c r="E4586" s="9" t="s">
        <v>17740</v>
      </c>
      <c r="F4586" s="9" t="s">
        <v>17741</v>
      </c>
      <c r="G4586" s="9" t="s">
        <v>17740</v>
      </c>
      <c r="H4586" s="11" t="s">
        <v>44313</v>
      </c>
      <c r="I4586" s="11" t="s">
        <v>44314</v>
      </c>
      <c r="J4586" s="11" t="s">
        <v>44314</v>
      </c>
      <c r="K4586" s="9" t="s">
        <v>17783</v>
      </c>
      <c r="L4586" s="9" t="s">
        <v>18001</v>
      </c>
      <c r="M4586" s="9" t="s">
        <v>44315</v>
      </c>
      <c r="N4586" s="9" t="s">
        <v>17746</v>
      </c>
      <c r="O4586" s="9" t="s">
        <v>20988</v>
      </c>
      <c r="P4586" s="9" t="s">
        <v>17748</v>
      </c>
      <c r="Q4586" s="11" t="s">
        <v>19222</v>
      </c>
      <c r="R4586" s="11" t="s">
        <v>19222</v>
      </c>
      <c r="S4586" s="11" t="s">
        <v>17750</v>
      </c>
    </row>
    <row r="4587" spans="1:19" x14ac:dyDescent="0.2">
      <c r="A4587" s="11" t="s">
        <v>44316</v>
      </c>
      <c r="B4587" s="9" t="s">
        <v>44317</v>
      </c>
      <c r="C4587" s="9" t="s">
        <v>44318</v>
      </c>
      <c r="D4587" s="9" t="s">
        <v>44319</v>
      </c>
      <c r="E4587" s="9" t="s">
        <v>17740</v>
      </c>
      <c r="F4587" s="9" t="s">
        <v>44320</v>
      </c>
      <c r="G4587" s="9" t="s">
        <v>17740</v>
      </c>
      <c r="H4587" s="11" t="s">
        <v>4587</v>
      </c>
      <c r="I4587" s="11" t="s">
        <v>4586</v>
      </c>
      <c r="J4587" s="11" t="s">
        <v>4586</v>
      </c>
      <c r="K4587" s="9" t="s">
        <v>44321</v>
      </c>
      <c r="L4587" s="9" t="s">
        <v>17991</v>
      </c>
      <c r="M4587" s="9" t="s">
        <v>21680</v>
      </c>
      <c r="N4587" s="9" t="s">
        <v>17746</v>
      </c>
      <c r="O4587" s="9" t="s">
        <v>44322</v>
      </c>
      <c r="P4587" s="9" t="s">
        <v>17748</v>
      </c>
      <c r="Q4587" s="11" t="s">
        <v>18364</v>
      </c>
      <c r="R4587" s="11" t="s">
        <v>18364</v>
      </c>
      <c r="S4587" s="11" t="s">
        <v>17750</v>
      </c>
    </row>
    <row r="4588" spans="1:19" x14ac:dyDescent="0.2">
      <c r="A4588" s="11" t="s">
        <v>44323</v>
      </c>
      <c r="B4588" s="9" t="s">
        <v>44324</v>
      </c>
      <c r="C4588" s="9" t="s">
        <v>44325</v>
      </c>
      <c r="D4588" s="9" t="s">
        <v>44326</v>
      </c>
      <c r="E4588" s="9" t="s">
        <v>17740</v>
      </c>
      <c r="F4588" s="9" t="s">
        <v>17741</v>
      </c>
      <c r="G4588" s="9" t="s">
        <v>17740</v>
      </c>
      <c r="H4588" s="11" t="s">
        <v>44327</v>
      </c>
      <c r="I4588" s="11" t="s">
        <v>44328</v>
      </c>
      <c r="J4588" s="11" t="s">
        <v>44328</v>
      </c>
      <c r="K4588" s="9" t="s">
        <v>291</v>
      </c>
      <c r="L4588" s="9" t="s">
        <v>17744</v>
      </c>
      <c r="M4588" s="9" t="s">
        <v>17760</v>
      </c>
      <c r="N4588" s="9" t="s">
        <v>17746</v>
      </c>
      <c r="O4588" s="9" t="s">
        <v>37477</v>
      </c>
      <c r="P4588" s="9" t="s">
        <v>17748</v>
      </c>
      <c r="Q4588" s="11" t="s">
        <v>19222</v>
      </c>
      <c r="R4588" s="11" t="s">
        <v>19222</v>
      </c>
      <c r="S4588" s="11" t="s">
        <v>17750</v>
      </c>
    </row>
    <row r="4589" spans="1:19" x14ac:dyDescent="0.2">
      <c r="A4589" s="11" t="s">
        <v>44329</v>
      </c>
      <c r="B4589" s="9" t="s">
        <v>44330</v>
      </c>
      <c r="C4589" s="9" t="s">
        <v>44331</v>
      </c>
      <c r="D4589" s="9" t="s">
        <v>44332</v>
      </c>
      <c r="E4589" s="9" t="s">
        <v>17740</v>
      </c>
      <c r="F4589" s="9" t="s">
        <v>17741</v>
      </c>
      <c r="G4589" s="9" t="s">
        <v>17740</v>
      </c>
      <c r="H4589" s="11" t="s">
        <v>44333</v>
      </c>
      <c r="I4589" s="11" t="s">
        <v>44334</v>
      </c>
      <c r="J4589" s="11" t="s">
        <v>44334</v>
      </c>
      <c r="K4589" s="9" t="s">
        <v>22622</v>
      </c>
      <c r="L4589" s="9" t="s">
        <v>17744</v>
      </c>
      <c r="M4589" s="9" t="s">
        <v>17778</v>
      </c>
      <c r="N4589" s="9" t="s">
        <v>17746</v>
      </c>
      <c r="O4589" s="9" t="s">
        <v>44335</v>
      </c>
      <c r="P4589" s="9" t="s">
        <v>17748</v>
      </c>
      <c r="Q4589" s="11" t="s">
        <v>17780</v>
      </c>
      <c r="R4589" s="11" t="s">
        <v>17780</v>
      </c>
      <c r="S4589" s="11" t="s">
        <v>17750</v>
      </c>
    </row>
    <row r="4590" spans="1:19" x14ac:dyDescent="0.2">
      <c r="A4590" s="11" t="s">
        <v>44336</v>
      </c>
      <c r="B4590" s="9" t="s">
        <v>44337</v>
      </c>
      <c r="C4590" s="9" t="s">
        <v>44338</v>
      </c>
      <c r="D4590" s="9" t="s">
        <v>44339</v>
      </c>
      <c r="E4590" s="9" t="s">
        <v>17740</v>
      </c>
      <c r="F4590" s="9" t="s">
        <v>44340</v>
      </c>
      <c r="G4590" s="9" t="s">
        <v>17740</v>
      </c>
      <c r="H4590" s="11" t="s">
        <v>44341</v>
      </c>
      <c r="I4590" s="11" t="s">
        <v>44342</v>
      </c>
      <c r="J4590" s="11" t="s">
        <v>44342</v>
      </c>
      <c r="K4590" s="9" t="s">
        <v>6914</v>
      </c>
      <c r="L4590" s="9" t="s">
        <v>17744</v>
      </c>
      <c r="M4590" s="9" t="s">
        <v>44343</v>
      </c>
      <c r="N4590" s="9" t="s">
        <v>17746</v>
      </c>
      <c r="O4590" s="9" t="s">
        <v>18721</v>
      </c>
      <c r="P4590" s="9" t="s">
        <v>17748</v>
      </c>
      <c r="Q4590" s="11" t="s">
        <v>18356</v>
      </c>
      <c r="R4590" s="11" t="s">
        <v>18356</v>
      </c>
      <c r="S4590" s="11" t="s">
        <v>17750</v>
      </c>
    </row>
    <row r="4591" spans="1:19" x14ac:dyDescent="0.2">
      <c r="A4591" s="11" t="s">
        <v>44344</v>
      </c>
      <c r="B4591" s="9" t="s">
        <v>44345</v>
      </c>
      <c r="C4591" s="9" t="s">
        <v>44346</v>
      </c>
      <c r="D4591" s="9" t="s">
        <v>44347</v>
      </c>
      <c r="E4591" s="9" t="s">
        <v>17740</v>
      </c>
      <c r="F4591" s="9" t="s">
        <v>44348</v>
      </c>
      <c r="G4591" s="9" t="s">
        <v>17740</v>
      </c>
      <c r="H4591" s="11" t="s">
        <v>6326</v>
      </c>
      <c r="I4591" s="11" t="s">
        <v>6325</v>
      </c>
      <c r="J4591" s="11" t="s">
        <v>6325</v>
      </c>
      <c r="K4591" s="9" t="s">
        <v>20259</v>
      </c>
      <c r="L4591" s="9" t="s">
        <v>17759</v>
      </c>
      <c r="M4591" s="9" t="s">
        <v>17760</v>
      </c>
      <c r="N4591" s="9" t="s">
        <v>17746</v>
      </c>
      <c r="O4591" s="9" t="s">
        <v>19740</v>
      </c>
      <c r="P4591" s="9" t="s">
        <v>17748</v>
      </c>
      <c r="Q4591" s="11" t="s">
        <v>17749</v>
      </c>
      <c r="R4591" s="11" t="s">
        <v>17749</v>
      </c>
      <c r="S4591" s="11" t="s">
        <v>17750</v>
      </c>
    </row>
    <row r="4592" spans="1:19" x14ac:dyDescent="0.2">
      <c r="A4592" s="11" t="s">
        <v>44349</v>
      </c>
      <c r="B4592" s="9" t="s">
        <v>44350</v>
      </c>
      <c r="C4592" s="9" t="s">
        <v>44351</v>
      </c>
      <c r="D4592" s="9" t="s">
        <v>44352</v>
      </c>
      <c r="E4592" s="9" t="s">
        <v>17740</v>
      </c>
      <c r="F4592" s="9" t="s">
        <v>17741</v>
      </c>
      <c r="G4592" s="9" t="s">
        <v>17740</v>
      </c>
      <c r="H4592" s="11" t="s">
        <v>44353</v>
      </c>
      <c r="I4592" s="11" t="s">
        <v>44354</v>
      </c>
      <c r="J4592" s="11" t="s">
        <v>44354</v>
      </c>
      <c r="K4592" s="9" t="s">
        <v>44355</v>
      </c>
      <c r="L4592" s="9" t="s">
        <v>17759</v>
      </c>
      <c r="M4592" s="9" t="s">
        <v>44356</v>
      </c>
      <c r="N4592" s="9" t="s">
        <v>17746</v>
      </c>
      <c r="O4592" s="9" t="s">
        <v>17993</v>
      </c>
      <c r="P4592" s="9" t="s">
        <v>17748</v>
      </c>
      <c r="Q4592" s="11" t="s">
        <v>18805</v>
      </c>
      <c r="R4592" s="11" t="s">
        <v>18805</v>
      </c>
      <c r="S4592" s="11" t="s">
        <v>17750</v>
      </c>
    </row>
    <row r="4593" spans="1:19" x14ac:dyDescent="0.2">
      <c r="A4593" s="11" t="s">
        <v>44357</v>
      </c>
      <c r="B4593" s="9" t="s">
        <v>44358</v>
      </c>
      <c r="C4593" s="9" t="s">
        <v>44359</v>
      </c>
      <c r="D4593" s="9" t="s">
        <v>44360</v>
      </c>
      <c r="E4593" s="9" t="s">
        <v>17748</v>
      </c>
      <c r="F4593" s="9" t="s">
        <v>44361</v>
      </c>
      <c r="G4593" s="9" t="s">
        <v>17740</v>
      </c>
      <c r="H4593" s="11" t="s">
        <v>44362</v>
      </c>
      <c r="I4593" s="11" t="s">
        <v>44363</v>
      </c>
      <c r="J4593" s="11" t="s">
        <v>44363</v>
      </c>
      <c r="K4593" s="9" t="s">
        <v>44364</v>
      </c>
      <c r="L4593" s="9" t="s">
        <v>17759</v>
      </c>
      <c r="M4593" s="9" t="s">
        <v>17817</v>
      </c>
      <c r="N4593" s="9" t="s">
        <v>17746</v>
      </c>
      <c r="O4593" s="9" t="s">
        <v>44365</v>
      </c>
      <c r="P4593" s="9" t="s">
        <v>17748</v>
      </c>
      <c r="Q4593" s="11" t="s">
        <v>18922</v>
      </c>
      <c r="R4593" s="11" t="s">
        <v>18922</v>
      </c>
      <c r="S4593" s="11" t="s">
        <v>17750</v>
      </c>
    </row>
    <row r="4594" spans="1:19" x14ac:dyDescent="0.2">
      <c r="A4594" s="11" t="s">
        <v>44366</v>
      </c>
      <c r="B4594" s="9" t="s">
        <v>44367</v>
      </c>
      <c r="C4594" s="9" t="s">
        <v>44368</v>
      </c>
      <c r="D4594" s="9" t="s">
        <v>44369</v>
      </c>
      <c r="E4594" s="9" t="s">
        <v>17740</v>
      </c>
      <c r="F4594" s="9" t="s">
        <v>44370</v>
      </c>
      <c r="G4594" s="9" t="s">
        <v>17740</v>
      </c>
      <c r="H4594" s="11" t="s">
        <v>44371</v>
      </c>
      <c r="I4594" s="11" t="s">
        <v>44372</v>
      </c>
      <c r="J4594" s="11" t="s">
        <v>44372</v>
      </c>
      <c r="K4594" s="9" t="s">
        <v>12630</v>
      </c>
      <c r="L4594" s="9" t="s">
        <v>17759</v>
      </c>
      <c r="M4594" s="9" t="s">
        <v>17817</v>
      </c>
      <c r="N4594" s="9" t="s">
        <v>17746</v>
      </c>
      <c r="O4594" s="9" t="s">
        <v>19740</v>
      </c>
      <c r="P4594" s="9" t="s">
        <v>17748</v>
      </c>
      <c r="Q4594" s="11" t="s">
        <v>19236</v>
      </c>
      <c r="R4594" s="11" t="s">
        <v>19236</v>
      </c>
      <c r="S4594" s="11" t="s">
        <v>17750</v>
      </c>
    </row>
    <row r="4595" spans="1:19" x14ac:dyDescent="0.2">
      <c r="A4595" s="11" t="s">
        <v>44373</v>
      </c>
      <c r="B4595" s="9" t="s">
        <v>44374</v>
      </c>
      <c r="C4595" s="9" t="s">
        <v>44375</v>
      </c>
      <c r="D4595" s="9" t="s">
        <v>44376</v>
      </c>
      <c r="E4595" s="9" t="s">
        <v>17740</v>
      </c>
      <c r="F4595" s="9" t="s">
        <v>17741</v>
      </c>
      <c r="G4595" s="9" t="s">
        <v>17740</v>
      </c>
      <c r="H4595" s="11" t="s">
        <v>8670</v>
      </c>
      <c r="I4595" s="11" t="s">
        <v>8669</v>
      </c>
      <c r="J4595" s="11" t="s">
        <v>8669</v>
      </c>
      <c r="K4595" s="9" t="s">
        <v>831</v>
      </c>
      <c r="L4595" s="9" t="s">
        <v>17744</v>
      </c>
      <c r="M4595" s="9" t="s">
        <v>17778</v>
      </c>
      <c r="N4595" s="9" t="s">
        <v>17746</v>
      </c>
      <c r="O4595" s="9" t="s">
        <v>35101</v>
      </c>
      <c r="P4595" s="9" t="s">
        <v>17748</v>
      </c>
      <c r="Q4595" s="11" t="s">
        <v>17784</v>
      </c>
      <c r="R4595" s="11" t="s">
        <v>17784</v>
      </c>
      <c r="S4595" s="11" t="s">
        <v>17750</v>
      </c>
    </row>
    <row r="4596" spans="1:19" x14ac:dyDescent="0.2">
      <c r="A4596" s="11" t="s">
        <v>44377</v>
      </c>
      <c r="B4596" s="9" t="s">
        <v>44378</v>
      </c>
      <c r="C4596" s="9" t="s">
        <v>44379</v>
      </c>
      <c r="D4596" s="9" t="s">
        <v>44380</v>
      </c>
      <c r="E4596" s="9" t="s">
        <v>17740</v>
      </c>
      <c r="F4596" s="9" t="s">
        <v>17741</v>
      </c>
      <c r="G4596" s="9" t="s">
        <v>17740</v>
      </c>
      <c r="H4596" s="11" t="s">
        <v>17741</v>
      </c>
      <c r="I4596" s="11" t="s">
        <v>3414</v>
      </c>
      <c r="J4596" s="11" t="s">
        <v>3414</v>
      </c>
      <c r="K4596" s="9" t="s">
        <v>3415</v>
      </c>
      <c r="L4596" s="9" t="s">
        <v>17759</v>
      </c>
      <c r="M4596" s="9" t="s">
        <v>18890</v>
      </c>
      <c r="N4596" s="9" t="s">
        <v>17746</v>
      </c>
      <c r="O4596" s="9" t="s">
        <v>19939</v>
      </c>
      <c r="P4596" s="9" t="s">
        <v>17748</v>
      </c>
      <c r="Q4596" s="11" t="s">
        <v>18243</v>
      </c>
      <c r="R4596" s="11" t="s">
        <v>18243</v>
      </c>
      <c r="S4596" s="11" t="s">
        <v>17750</v>
      </c>
    </row>
    <row r="4597" spans="1:19" x14ac:dyDescent="0.2">
      <c r="A4597" s="11" t="s">
        <v>44381</v>
      </c>
      <c r="B4597" s="9" t="s">
        <v>44382</v>
      </c>
      <c r="C4597" s="9" t="s">
        <v>44383</v>
      </c>
      <c r="D4597" s="9" t="s">
        <v>44384</v>
      </c>
      <c r="E4597" s="9" t="s">
        <v>17740</v>
      </c>
      <c r="F4597" s="9" t="s">
        <v>44385</v>
      </c>
      <c r="G4597" s="9" t="s">
        <v>17740</v>
      </c>
      <c r="H4597" s="11" t="s">
        <v>17741</v>
      </c>
      <c r="I4597" s="11" t="s">
        <v>44386</v>
      </c>
      <c r="J4597" s="11" t="s">
        <v>44386</v>
      </c>
      <c r="K4597" s="9" t="s">
        <v>44387</v>
      </c>
      <c r="L4597" s="9" t="s">
        <v>17759</v>
      </c>
      <c r="M4597" s="9" t="s">
        <v>19965</v>
      </c>
      <c r="N4597" s="9" t="s">
        <v>17746</v>
      </c>
      <c r="O4597" s="9" t="s">
        <v>17848</v>
      </c>
      <c r="P4597" s="9" t="s">
        <v>17748</v>
      </c>
      <c r="Q4597" s="11" t="s">
        <v>18059</v>
      </c>
      <c r="R4597" s="11" t="s">
        <v>18059</v>
      </c>
      <c r="S4597" s="11" t="s">
        <v>17750</v>
      </c>
    </row>
    <row r="4598" spans="1:19" x14ac:dyDescent="0.2">
      <c r="A4598" s="11" t="s">
        <v>44388</v>
      </c>
      <c r="B4598" s="9" t="s">
        <v>44389</v>
      </c>
      <c r="C4598" s="9" t="s">
        <v>44390</v>
      </c>
      <c r="D4598" s="9" t="s">
        <v>44391</v>
      </c>
      <c r="E4598" s="9" t="s">
        <v>17740</v>
      </c>
      <c r="F4598" s="9" t="s">
        <v>17741</v>
      </c>
      <c r="G4598" s="9" t="s">
        <v>17740</v>
      </c>
      <c r="H4598" s="11" t="s">
        <v>44392</v>
      </c>
      <c r="I4598" s="11" t="s">
        <v>44393</v>
      </c>
      <c r="J4598" s="11" t="s">
        <v>44393</v>
      </c>
      <c r="K4598" s="9" t="s">
        <v>44394</v>
      </c>
      <c r="L4598" s="9" t="s">
        <v>17744</v>
      </c>
      <c r="M4598" s="9" t="s">
        <v>19911</v>
      </c>
      <c r="N4598" s="9" t="s">
        <v>17746</v>
      </c>
      <c r="O4598" s="9" t="s">
        <v>44335</v>
      </c>
      <c r="P4598" s="9" t="s">
        <v>17748</v>
      </c>
      <c r="Q4598" s="11" t="s">
        <v>18234</v>
      </c>
      <c r="R4598" s="11" t="s">
        <v>18234</v>
      </c>
      <c r="S4598" s="11" t="s">
        <v>17750</v>
      </c>
    </row>
    <row r="4599" spans="1:19" x14ac:dyDescent="0.2">
      <c r="A4599" s="11" t="s">
        <v>44395</v>
      </c>
      <c r="B4599" s="9" t="s">
        <v>44396</v>
      </c>
      <c r="C4599" s="9" t="s">
        <v>44397</v>
      </c>
      <c r="D4599" s="9" t="s">
        <v>44398</v>
      </c>
      <c r="E4599" s="9" t="s">
        <v>17740</v>
      </c>
      <c r="F4599" s="9" t="s">
        <v>17741</v>
      </c>
      <c r="G4599" s="9" t="s">
        <v>17740</v>
      </c>
      <c r="H4599" s="11" t="s">
        <v>44399</v>
      </c>
      <c r="I4599" s="11" t="s">
        <v>44400</v>
      </c>
      <c r="J4599" s="11" t="s">
        <v>44400</v>
      </c>
      <c r="K4599" s="9" t="s">
        <v>91</v>
      </c>
      <c r="L4599" s="9" t="s">
        <v>18001</v>
      </c>
      <c r="M4599" s="9" t="s">
        <v>17760</v>
      </c>
      <c r="N4599" s="9" t="s">
        <v>17746</v>
      </c>
      <c r="O4599" s="9" t="s">
        <v>20799</v>
      </c>
      <c r="P4599" s="9" t="s">
        <v>17748</v>
      </c>
      <c r="Q4599" s="11" t="s">
        <v>17780</v>
      </c>
      <c r="R4599" s="11" t="s">
        <v>17780</v>
      </c>
      <c r="S4599" s="11" t="s">
        <v>17750</v>
      </c>
    </row>
    <row r="4600" spans="1:19" x14ac:dyDescent="0.2">
      <c r="A4600" s="11" t="s">
        <v>44401</v>
      </c>
      <c r="B4600" s="9" t="s">
        <v>44402</v>
      </c>
      <c r="C4600" s="9" t="s">
        <v>44403</v>
      </c>
      <c r="D4600" s="9" t="s">
        <v>44404</v>
      </c>
      <c r="E4600" s="9" t="s">
        <v>17740</v>
      </c>
      <c r="F4600" s="9" t="s">
        <v>17741</v>
      </c>
      <c r="G4600" s="9" t="s">
        <v>17740</v>
      </c>
      <c r="H4600" s="11" t="s">
        <v>44405</v>
      </c>
      <c r="I4600" s="11" t="s">
        <v>44406</v>
      </c>
      <c r="J4600" s="11" t="s">
        <v>44406</v>
      </c>
      <c r="K4600" s="9" t="s">
        <v>44407</v>
      </c>
      <c r="L4600" s="9" t="s">
        <v>18305</v>
      </c>
      <c r="M4600" s="9" t="s">
        <v>17817</v>
      </c>
      <c r="N4600" s="9" t="s">
        <v>17746</v>
      </c>
      <c r="O4600" s="9" t="s">
        <v>19470</v>
      </c>
      <c r="P4600" s="9" t="s">
        <v>17748</v>
      </c>
      <c r="Q4600" s="11" t="s">
        <v>18178</v>
      </c>
      <c r="R4600" s="11" t="s">
        <v>18178</v>
      </c>
      <c r="S4600" s="11" t="s">
        <v>17750</v>
      </c>
    </row>
    <row r="4601" spans="1:19" x14ac:dyDescent="0.2">
      <c r="A4601" s="11" t="s">
        <v>44408</v>
      </c>
      <c r="B4601" s="9" t="s">
        <v>44409</v>
      </c>
      <c r="C4601" s="9" t="s">
        <v>44410</v>
      </c>
      <c r="D4601" s="9" t="s">
        <v>44411</v>
      </c>
      <c r="E4601" s="9" t="s">
        <v>17748</v>
      </c>
      <c r="F4601" s="9" t="s">
        <v>44412</v>
      </c>
      <c r="G4601" s="9" t="s">
        <v>17740</v>
      </c>
      <c r="H4601" s="11" t="s">
        <v>44413</v>
      </c>
      <c r="I4601" s="11" t="s">
        <v>44414</v>
      </c>
      <c r="J4601" s="11" t="s">
        <v>44414</v>
      </c>
      <c r="K4601" s="9" t="s">
        <v>7339</v>
      </c>
      <c r="L4601" s="9" t="s">
        <v>17759</v>
      </c>
      <c r="M4601" s="9" t="s">
        <v>17769</v>
      </c>
      <c r="N4601" s="9" t="s">
        <v>17746</v>
      </c>
      <c r="O4601" s="9" t="s">
        <v>21351</v>
      </c>
      <c r="P4601" s="9" t="s">
        <v>17748</v>
      </c>
      <c r="Q4601" s="11" t="s">
        <v>18356</v>
      </c>
      <c r="R4601" s="11" t="s">
        <v>18356</v>
      </c>
      <c r="S4601" s="11" t="s">
        <v>17750</v>
      </c>
    </row>
    <row r="4602" spans="1:19" x14ac:dyDescent="0.2">
      <c r="A4602" s="11" t="s">
        <v>44415</v>
      </c>
      <c r="B4602" s="9" t="s">
        <v>44416</v>
      </c>
      <c r="C4602" s="9" t="s">
        <v>44417</v>
      </c>
      <c r="D4602" s="9" t="s">
        <v>44418</v>
      </c>
      <c r="E4602" s="9" t="s">
        <v>17740</v>
      </c>
      <c r="F4602" s="9" t="s">
        <v>44419</v>
      </c>
      <c r="G4602" s="9" t="s">
        <v>17740</v>
      </c>
      <c r="H4602" s="11" t="s">
        <v>17741</v>
      </c>
      <c r="I4602" s="11" t="s">
        <v>44420</v>
      </c>
      <c r="J4602" s="11" t="s">
        <v>44420</v>
      </c>
      <c r="K4602" s="9" t="s">
        <v>44421</v>
      </c>
      <c r="L4602" s="9" t="s">
        <v>17759</v>
      </c>
      <c r="M4602" s="9" t="s">
        <v>18051</v>
      </c>
      <c r="N4602" s="9" t="s">
        <v>17746</v>
      </c>
      <c r="O4602" s="9" t="s">
        <v>44422</v>
      </c>
      <c r="P4602" s="9" t="s">
        <v>17748</v>
      </c>
      <c r="Q4602" s="11" t="s">
        <v>17978</v>
      </c>
      <c r="R4602" s="11" t="s">
        <v>17978</v>
      </c>
      <c r="S4602" s="11" t="s">
        <v>17750</v>
      </c>
    </row>
    <row r="4603" spans="1:19" x14ac:dyDescent="0.2">
      <c r="A4603" s="11" t="s">
        <v>44423</v>
      </c>
      <c r="B4603" s="9" t="s">
        <v>44424</v>
      </c>
      <c r="C4603" s="9" t="s">
        <v>44425</v>
      </c>
      <c r="D4603" s="9" t="s">
        <v>44426</v>
      </c>
      <c r="E4603" s="9" t="s">
        <v>17740</v>
      </c>
      <c r="F4603" s="9" t="s">
        <v>17741</v>
      </c>
      <c r="G4603" s="9" t="s">
        <v>17740</v>
      </c>
      <c r="H4603" s="11" t="s">
        <v>9395</v>
      </c>
      <c r="I4603" s="11" t="s">
        <v>9394</v>
      </c>
      <c r="J4603" s="11" t="s">
        <v>9394</v>
      </c>
      <c r="K4603" s="9" t="s">
        <v>367</v>
      </c>
      <c r="L4603" s="9" t="s">
        <v>17759</v>
      </c>
      <c r="M4603" s="9" t="s">
        <v>44427</v>
      </c>
      <c r="N4603" s="9" t="s">
        <v>17746</v>
      </c>
      <c r="O4603" s="9" t="s">
        <v>22268</v>
      </c>
      <c r="P4603" s="9" t="s">
        <v>17748</v>
      </c>
      <c r="Q4603" s="11" t="s">
        <v>18356</v>
      </c>
      <c r="R4603" s="11" t="s">
        <v>18356</v>
      </c>
      <c r="S4603" s="11" t="s">
        <v>17750</v>
      </c>
    </row>
    <row r="4604" spans="1:19" x14ac:dyDescent="0.2">
      <c r="A4604" s="11" t="s">
        <v>44428</v>
      </c>
      <c r="B4604" s="9" t="s">
        <v>44429</v>
      </c>
      <c r="C4604" s="9" t="s">
        <v>44430</v>
      </c>
      <c r="D4604" s="9" t="s">
        <v>44431</v>
      </c>
      <c r="E4604" s="9" t="s">
        <v>17740</v>
      </c>
      <c r="F4604" s="9" t="s">
        <v>44432</v>
      </c>
      <c r="G4604" s="9" t="s">
        <v>17740</v>
      </c>
      <c r="H4604" s="11" t="s">
        <v>44433</v>
      </c>
      <c r="I4604" s="11" t="s">
        <v>44434</v>
      </c>
      <c r="J4604" s="11" t="s">
        <v>44434</v>
      </c>
      <c r="K4604" s="9" t="s">
        <v>37965</v>
      </c>
      <c r="L4604" s="9" t="s">
        <v>17744</v>
      </c>
      <c r="M4604" s="9" t="s">
        <v>17778</v>
      </c>
      <c r="N4604" s="9" t="s">
        <v>17746</v>
      </c>
      <c r="O4604" s="9" t="s">
        <v>44435</v>
      </c>
      <c r="P4604" s="9" t="s">
        <v>17748</v>
      </c>
      <c r="Q4604" s="11" t="s">
        <v>17792</v>
      </c>
      <c r="R4604" s="11" t="s">
        <v>17792</v>
      </c>
      <c r="S4604" s="11" t="s">
        <v>17750</v>
      </c>
    </row>
    <row r="4605" spans="1:19" x14ac:dyDescent="0.2">
      <c r="A4605" s="11" t="s">
        <v>44436</v>
      </c>
      <c r="B4605" s="9" t="s">
        <v>44437</v>
      </c>
      <c r="C4605" s="9" t="s">
        <v>44438</v>
      </c>
      <c r="D4605" s="9" t="s">
        <v>44439</v>
      </c>
      <c r="E4605" s="9" t="s">
        <v>17740</v>
      </c>
      <c r="F4605" s="9" t="s">
        <v>44440</v>
      </c>
      <c r="G4605" s="9" t="s">
        <v>17740</v>
      </c>
      <c r="H4605" s="11" t="s">
        <v>44441</v>
      </c>
      <c r="I4605" s="11" t="s">
        <v>44442</v>
      </c>
      <c r="J4605" s="11" t="s">
        <v>44442</v>
      </c>
      <c r="K4605" s="9" t="s">
        <v>44443</v>
      </c>
      <c r="L4605" s="9" t="s">
        <v>18025</v>
      </c>
      <c r="M4605" s="9" t="s">
        <v>18065</v>
      </c>
      <c r="N4605" s="9" t="s">
        <v>17746</v>
      </c>
      <c r="O4605" s="9" t="s">
        <v>18481</v>
      </c>
      <c r="P4605" s="9" t="s">
        <v>17748</v>
      </c>
      <c r="Q4605" s="11" t="s">
        <v>18080</v>
      </c>
      <c r="R4605" s="11" t="s">
        <v>18080</v>
      </c>
      <c r="S4605" s="11" t="s">
        <v>17750</v>
      </c>
    </row>
    <row r="4606" spans="1:19" x14ac:dyDescent="0.2">
      <c r="A4606" s="11" t="s">
        <v>44444</v>
      </c>
      <c r="B4606" s="9" t="s">
        <v>44445</v>
      </c>
      <c r="C4606" s="9" t="s">
        <v>44446</v>
      </c>
      <c r="D4606" s="9" t="s">
        <v>44447</v>
      </c>
      <c r="E4606" s="9" t="s">
        <v>17740</v>
      </c>
      <c r="F4606" s="9" t="s">
        <v>17741</v>
      </c>
      <c r="G4606" s="9" t="s">
        <v>17740</v>
      </c>
      <c r="H4606" s="11" t="s">
        <v>3399</v>
      </c>
      <c r="I4606" s="11" t="s">
        <v>3398</v>
      </c>
      <c r="J4606" s="11" t="s">
        <v>3398</v>
      </c>
      <c r="K4606" s="9" t="s">
        <v>367</v>
      </c>
      <c r="L4606" s="9" t="s">
        <v>17759</v>
      </c>
      <c r="M4606" s="9" t="s">
        <v>17760</v>
      </c>
      <c r="N4606" s="9" t="s">
        <v>17746</v>
      </c>
      <c r="O4606" s="9" t="s">
        <v>18481</v>
      </c>
      <c r="P4606" s="9" t="s">
        <v>17748</v>
      </c>
      <c r="Q4606" s="11" t="s">
        <v>19866</v>
      </c>
      <c r="R4606" s="11" t="s">
        <v>19866</v>
      </c>
      <c r="S4606" s="11" t="s">
        <v>17750</v>
      </c>
    </row>
    <row r="4607" spans="1:19" x14ac:dyDescent="0.2">
      <c r="A4607" s="11" t="s">
        <v>44448</v>
      </c>
      <c r="B4607" s="9" t="s">
        <v>44449</v>
      </c>
      <c r="C4607" s="9" t="s">
        <v>44450</v>
      </c>
      <c r="D4607" s="9" t="s">
        <v>44451</v>
      </c>
      <c r="E4607" s="9" t="s">
        <v>17740</v>
      </c>
      <c r="F4607" s="9" t="s">
        <v>44452</v>
      </c>
      <c r="G4607" s="9" t="s">
        <v>17740</v>
      </c>
      <c r="H4607" s="11" t="s">
        <v>17741</v>
      </c>
      <c r="I4607" s="11" t="s">
        <v>44453</v>
      </c>
      <c r="J4607" s="11" t="s">
        <v>44453</v>
      </c>
      <c r="K4607" s="9" t="s">
        <v>367</v>
      </c>
      <c r="L4607" s="9" t="s">
        <v>17759</v>
      </c>
      <c r="M4607" s="9" t="s">
        <v>18065</v>
      </c>
      <c r="N4607" s="9" t="s">
        <v>17746</v>
      </c>
      <c r="O4607" s="9" t="s">
        <v>18481</v>
      </c>
      <c r="P4607" s="9" t="s">
        <v>17748</v>
      </c>
      <c r="Q4607" s="11" t="s">
        <v>17937</v>
      </c>
      <c r="R4607" s="11" t="s">
        <v>17937</v>
      </c>
      <c r="S4607" s="11" t="s">
        <v>17750</v>
      </c>
    </row>
    <row r="4608" spans="1:19" x14ac:dyDescent="0.2">
      <c r="A4608" s="11" t="s">
        <v>44454</v>
      </c>
      <c r="B4608" s="9" t="s">
        <v>44455</v>
      </c>
      <c r="C4608" s="9" t="s">
        <v>44456</v>
      </c>
      <c r="D4608" s="9" t="s">
        <v>44457</v>
      </c>
      <c r="E4608" s="9" t="s">
        <v>17740</v>
      </c>
      <c r="F4608" s="9" t="s">
        <v>17741</v>
      </c>
      <c r="G4608" s="9" t="s">
        <v>17740</v>
      </c>
      <c r="H4608" s="11" t="s">
        <v>3384</v>
      </c>
      <c r="I4608" s="11" t="s">
        <v>3383</v>
      </c>
      <c r="J4608" s="11" t="s">
        <v>3383</v>
      </c>
      <c r="K4608" s="9" t="s">
        <v>18661</v>
      </c>
      <c r="L4608" s="9" t="s">
        <v>17759</v>
      </c>
      <c r="M4608" s="9" t="s">
        <v>22237</v>
      </c>
      <c r="N4608" s="9" t="s">
        <v>17746</v>
      </c>
      <c r="O4608" s="9" t="s">
        <v>44458</v>
      </c>
      <c r="P4608" s="9" t="s">
        <v>17748</v>
      </c>
      <c r="Q4608" s="11" t="s">
        <v>20251</v>
      </c>
      <c r="R4608" s="11" t="s">
        <v>20251</v>
      </c>
      <c r="S4608" s="11" t="s">
        <v>17750</v>
      </c>
    </row>
    <row r="4609" spans="1:19" x14ac:dyDescent="0.2">
      <c r="A4609" s="11" t="s">
        <v>44459</v>
      </c>
      <c r="B4609" s="9" t="s">
        <v>44460</v>
      </c>
      <c r="C4609" s="9" t="s">
        <v>44461</v>
      </c>
      <c r="D4609" s="9" t="s">
        <v>44462</v>
      </c>
      <c r="E4609" s="9" t="s">
        <v>17748</v>
      </c>
      <c r="F4609" s="9" t="s">
        <v>44463</v>
      </c>
      <c r="G4609" s="9" t="s">
        <v>17740</v>
      </c>
      <c r="H4609" s="11" t="s">
        <v>44464</v>
      </c>
      <c r="I4609" s="11" t="s">
        <v>44465</v>
      </c>
      <c r="J4609" s="11" t="s">
        <v>44464</v>
      </c>
      <c r="K4609" s="9" t="s">
        <v>44466</v>
      </c>
      <c r="L4609" s="9" t="s">
        <v>17759</v>
      </c>
      <c r="M4609" s="9" t="s">
        <v>17769</v>
      </c>
      <c r="N4609" s="9" t="s">
        <v>17746</v>
      </c>
      <c r="O4609" s="9" t="s">
        <v>18481</v>
      </c>
      <c r="P4609" s="9" t="s">
        <v>17748</v>
      </c>
      <c r="Q4609" s="11" t="s">
        <v>17780</v>
      </c>
      <c r="R4609" s="11" t="s">
        <v>17780</v>
      </c>
      <c r="S4609" s="11" t="s">
        <v>17750</v>
      </c>
    </row>
    <row r="4610" spans="1:19" x14ac:dyDescent="0.2">
      <c r="A4610" s="11" t="s">
        <v>44467</v>
      </c>
      <c r="B4610" s="9" t="s">
        <v>44468</v>
      </c>
      <c r="C4610" s="9" t="s">
        <v>44469</v>
      </c>
      <c r="D4610" s="9" t="s">
        <v>44468</v>
      </c>
      <c r="E4610" s="9" t="s">
        <v>17740</v>
      </c>
      <c r="F4610" s="9" t="s">
        <v>44470</v>
      </c>
      <c r="G4610" s="9" t="s">
        <v>17740</v>
      </c>
      <c r="H4610" s="11" t="s">
        <v>3412</v>
      </c>
      <c r="I4610" s="11" t="s">
        <v>3411</v>
      </c>
      <c r="J4610" s="11" t="s">
        <v>3411</v>
      </c>
      <c r="K4610" s="9" t="s">
        <v>44471</v>
      </c>
      <c r="L4610" s="9" t="s">
        <v>17744</v>
      </c>
      <c r="M4610" s="9" t="s">
        <v>17817</v>
      </c>
      <c r="N4610" s="9" t="s">
        <v>17746</v>
      </c>
      <c r="O4610" s="9" t="s">
        <v>19740</v>
      </c>
      <c r="P4610" s="9" t="s">
        <v>17748</v>
      </c>
      <c r="Q4610" s="11" t="s">
        <v>18178</v>
      </c>
      <c r="R4610" s="11" t="s">
        <v>18178</v>
      </c>
      <c r="S4610" s="11" t="s">
        <v>17750</v>
      </c>
    </row>
    <row r="4611" spans="1:19" x14ac:dyDescent="0.2">
      <c r="A4611" s="11" t="s">
        <v>44472</v>
      </c>
      <c r="B4611" s="9" t="s">
        <v>44473</v>
      </c>
      <c r="C4611" s="9" t="s">
        <v>44474</v>
      </c>
      <c r="D4611" s="9" t="s">
        <v>44475</v>
      </c>
      <c r="E4611" s="9" t="s">
        <v>17740</v>
      </c>
      <c r="F4611" s="9" t="s">
        <v>17741</v>
      </c>
      <c r="G4611" s="9" t="s">
        <v>17740</v>
      </c>
      <c r="H4611" s="11" t="s">
        <v>44476</v>
      </c>
      <c r="I4611" s="11" t="s">
        <v>44477</v>
      </c>
      <c r="J4611" s="11" t="s">
        <v>44477</v>
      </c>
      <c r="K4611" s="9" t="s">
        <v>20207</v>
      </c>
      <c r="L4611" s="9" t="s">
        <v>17759</v>
      </c>
      <c r="M4611" s="9" t="s">
        <v>17778</v>
      </c>
      <c r="N4611" s="9" t="s">
        <v>17746</v>
      </c>
      <c r="O4611" s="9" t="s">
        <v>19740</v>
      </c>
      <c r="P4611" s="9" t="s">
        <v>17748</v>
      </c>
      <c r="Q4611" s="11" t="s">
        <v>18201</v>
      </c>
      <c r="R4611" s="11" t="s">
        <v>18201</v>
      </c>
      <c r="S4611" s="11" t="s">
        <v>17750</v>
      </c>
    </row>
    <row r="4612" spans="1:19" x14ac:dyDescent="0.2">
      <c r="A4612" s="11" t="s">
        <v>44478</v>
      </c>
      <c r="B4612" s="9" t="s">
        <v>44479</v>
      </c>
      <c r="C4612" s="9" t="s">
        <v>44480</v>
      </c>
      <c r="D4612" s="9" t="s">
        <v>44481</v>
      </c>
      <c r="E4612" s="9" t="s">
        <v>17740</v>
      </c>
      <c r="F4612" s="9" t="s">
        <v>44482</v>
      </c>
      <c r="G4612" s="9" t="s">
        <v>17740</v>
      </c>
      <c r="H4612" s="11" t="s">
        <v>44483</v>
      </c>
      <c r="I4612" s="11" t="s">
        <v>44484</v>
      </c>
      <c r="J4612" s="11" t="s">
        <v>44484</v>
      </c>
      <c r="K4612" s="9" t="s">
        <v>291</v>
      </c>
      <c r="L4612" s="9" t="s">
        <v>17744</v>
      </c>
      <c r="M4612" s="9" t="s">
        <v>17760</v>
      </c>
      <c r="N4612" s="9" t="s">
        <v>17746</v>
      </c>
      <c r="O4612" s="9" t="s">
        <v>19740</v>
      </c>
      <c r="P4612" s="9" t="s">
        <v>17748</v>
      </c>
      <c r="Q4612" s="11" t="s">
        <v>17749</v>
      </c>
      <c r="R4612" s="11" t="s">
        <v>17749</v>
      </c>
      <c r="S4612" s="11" t="s">
        <v>17750</v>
      </c>
    </row>
    <row r="4613" spans="1:19" x14ac:dyDescent="0.2">
      <c r="A4613" s="11" t="s">
        <v>44485</v>
      </c>
      <c r="B4613" s="9" t="s">
        <v>44486</v>
      </c>
      <c r="C4613" s="9" t="s">
        <v>44487</v>
      </c>
      <c r="D4613" s="9" t="s">
        <v>44488</v>
      </c>
      <c r="E4613" s="9" t="s">
        <v>17740</v>
      </c>
      <c r="F4613" s="9" t="s">
        <v>17741</v>
      </c>
      <c r="G4613" s="9" t="s">
        <v>17740</v>
      </c>
      <c r="H4613" s="11" t="s">
        <v>17741</v>
      </c>
      <c r="I4613" s="11" t="s">
        <v>44489</v>
      </c>
      <c r="J4613" s="11" t="s">
        <v>44489</v>
      </c>
      <c r="K4613" s="9" t="s">
        <v>44490</v>
      </c>
      <c r="L4613" s="9" t="s">
        <v>17991</v>
      </c>
      <c r="M4613" s="9" t="s">
        <v>44491</v>
      </c>
      <c r="N4613" s="9" t="s">
        <v>20424</v>
      </c>
      <c r="O4613" s="9" t="s">
        <v>20690</v>
      </c>
      <c r="P4613" s="9" t="s">
        <v>17748</v>
      </c>
      <c r="Q4613" s="11" t="s">
        <v>17943</v>
      </c>
      <c r="R4613" s="11" t="s">
        <v>17943</v>
      </c>
      <c r="S4613" s="11" t="s">
        <v>17750</v>
      </c>
    </row>
    <row r="4614" spans="1:19" x14ac:dyDescent="0.2">
      <c r="A4614" s="11" t="s">
        <v>44492</v>
      </c>
      <c r="B4614" s="9" t="s">
        <v>44493</v>
      </c>
      <c r="C4614" s="9" t="s">
        <v>44494</v>
      </c>
      <c r="D4614" s="9" t="s">
        <v>44495</v>
      </c>
      <c r="E4614" s="9" t="s">
        <v>17740</v>
      </c>
      <c r="F4614" s="9" t="s">
        <v>17741</v>
      </c>
      <c r="G4614" s="9" t="s">
        <v>17740</v>
      </c>
      <c r="H4614" s="11" t="s">
        <v>5399</v>
      </c>
      <c r="I4614" s="11" t="s">
        <v>5398</v>
      </c>
      <c r="J4614" s="11" t="s">
        <v>5398</v>
      </c>
      <c r="K4614" s="9" t="s">
        <v>17805</v>
      </c>
      <c r="L4614" s="9" t="s">
        <v>17744</v>
      </c>
      <c r="M4614" s="9" t="s">
        <v>17769</v>
      </c>
      <c r="N4614" s="9" t="s">
        <v>17746</v>
      </c>
      <c r="O4614" s="9" t="s">
        <v>34085</v>
      </c>
      <c r="P4614" s="9" t="s">
        <v>17748</v>
      </c>
      <c r="Q4614" s="11" t="s">
        <v>17749</v>
      </c>
      <c r="R4614" s="11" t="s">
        <v>17749</v>
      </c>
      <c r="S4614" s="11" t="s">
        <v>17750</v>
      </c>
    </row>
    <row r="4615" spans="1:19" x14ac:dyDescent="0.2">
      <c r="A4615" s="11" t="s">
        <v>44496</v>
      </c>
      <c r="B4615" s="9" t="s">
        <v>44497</v>
      </c>
      <c r="C4615" s="9" t="s">
        <v>44498</v>
      </c>
      <c r="D4615" s="9" t="s">
        <v>44497</v>
      </c>
      <c r="E4615" s="9" t="s">
        <v>17740</v>
      </c>
      <c r="F4615" s="9" t="s">
        <v>17741</v>
      </c>
      <c r="G4615" s="9" t="s">
        <v>17740</v>
      </c>
      <c r="H4615" s="11" t="s">
        <v>44499</v>
      </c>
      <c r="I4615" s="11" t="s">
        <v>44500</v>
      </c>
      <c r="J4615" s="11" t="s">
        <v>44500</v>
      </c>
      <c r="K4615" s="9" t="s">
        <v>91</v>
      </c>
      <c r="L4615" s="9" t="s">
        <v>17744</v>
      </c>
      <c r="M4615" s="9" t="s">
        <v>44501</v>
      </c>
      <c r="N4615" s="9" t="s">
        <v>17746</v>
      </c>
      <c r="O4615" s="9" t="s">
        <v>34085</v>
      </c>
      <c r="P4615" s="9" t="s">
        <v>17748</v>
      </c>
      <c r="Q4615" s="11" t="s">
        <v>18306</v>
      </c>
      <c r="R4615" s="11" t="s">
        <v>18306</v>
      </c>
      <c r="S4615" s="11" t="s">
        <v>17750</v>
      </c>
    </row>
    <row r="4616" spans="1:19" x14ac:dyDescent="0.2">
      <c r="A4616" s="11" t="s">
        <v>44502</v>
      </c>
      <c r="B4616" s="9" t="s">
        <v>44503</v>
      </c>
      <c r="C4616" s="9" t="s">
        <v>44504</v>
      </c>
      <c r="D4616" s="9" t="s">
        <v>8154</v>
      </c>
      <c r="E4616" s="9" t="s">
        <v>17740</v>
      </c>
      <c r="F4616" s="9" t="s">
        <v>17741</v>
      </c>
      <c r="G4616" s="9" t="s">
        <v>17740</v>
      </c>
      <c r="H4616" s="11" t="s">
        <v>8156</v>
      </c>
      <c r="I4616" s="11" t="s">
        <v>8155</v>
      </c>
      <c r="J4616" s="11" t="s">
        <v>8155</v>
      </c>
      <c r="K4616" s="9" t="s">
        <v>32665</v>
      </c>
      <c r="L4616" s="9" t="s">
        <v>18158</v>
      </c>
      <c r="M4616" s="9" t="s">
        <v>44505</v>
      </c>
      <c r="N4616" s="9" t="s">
        <v>17746</v>
      </c>
      <c r="O4616" s="9" t="s">
        <v>18607</v>
      </c>
      <c r="P4616" s="9" t="s">
        <v>17748</v>
      </c>
      <c r="Q4616" s="11" t="s">
        <v>17808</v>
      </c>
      <c r="R4616" s="11" t="s">
        <v>17808</v>
      </c>
      <c r="S4616" s="11" t="s">
        <v>17750</v>
      </c>
    </row>
    <row r="4617" spans="1:19" x14ac:dyDescent="0.2">
      <c r="A4617" s="11" t="s">
        <v>44506</v>
      </c>
      <c r="B4617" s="9" t="s">
        <v>44507</v>
      </c>
      <c r="C4617" s="9" t="s">
        <v>44508</v>
      </c>
      <c r="D4617" s="9" t="s">
        <v>44507</v>
      </c>
      <c r="E4617" s="9" t="s">
        <v>17740</v>
      </c>
      <c r="F4617" s="9" t="s">
        <v>17741</v>
      </c>
      <c r="G4617" s="9" t="s">
        <v>17740</v>
      </c>
      <c r="H4617" s="11" t="s">
        <v>44509</v>
      </c>
      <c r="I4617" s="11" t="s">
        <v>44510</v>
      </c>
      <c r="J4617" s="11" t="s">
        <v>44510</v>
      </c>
      <c r="K4617" s="9" t="s">
        <v>44511</v>
      </c>
      <c r="L4617" s="9" t="s">
        <v>17759</v>
      </c>
      <c r="M4617" s="9" t="s">
        <v>44512</v>
      </c>
      <c r="N4617" s="9" t="s">
        <v>17746</v>
      </c>
      <c r="O4617" s="9" t="s">
        <v>19470</v>
      </c>
      <c r="P4617" s="9" t="s">
        <v>17748</v>
      </c>
      <c r="Q4617" s="11" t="s">
        <v>19415</v>
      </c>
      <c r="R4617" s="11" t="s">
        <v>19415</v>
      </c>
      <c r="S4617" s="11" t="s">
        <v>17750</v>
      </c>
    </row>
    <row r="4618" spans="1:19" x14ac:dyDescent="0.2">
      <c r="A4618" s="11" t="s">
        <v>44513</v>
      </c>
      <c r="B4618" s="9" t="s">
        <v>44514</v>
      </c>
      <c r="C4618" s="9" t="s">
        <v>44515</v>
      </c>
      <c r="D4618" s="9" t="s">
        <v>44516</v>
      </c>
      <c r="E4618" s="9" t="s">
        <v>17740</v>
      </c>
      <c r="F4618" s="9" t="s">
        <v>17741</v>
      </c>
      <c r="G4618" s="9" t="s">
        <v>17740</v>
      </c>
      <c r="H4618" s="11" t="s">
        <v>4564</v>
      </c>
      <c r="I4618" s="11" t="s">
        <v>4563</v>
      </c>
      <c r="J4618" s="11" t="s">
        <v>4563</v>
      </c>
      <c r="K4618" s="9" t="s">
        <v>17805</v>
      </c>
      <c r="L4618" s="9" t="s">
        <v>17744</v>
      </c>
      <c r="M4618" s="9" t="s">
        <v>20397</v>
      </c>
      <c r="N4618" s="9" t="s">
        <v>17746</v>
      </c>
      <c r="O4618" s="9" t="s">
        <v>18607</v>
      </c>
      <c r="P4618" s="9" t="s">
        <v>17748</v>
      </c>
      <c r="Q4618" s="11" t="s">
        <v>18364</v>
      </c>
      <c r="R4618" s="11" t="s">
        <v>18364</v>
      </c>
      <c r="S4618" s="11" t="s">
        <v>17750</v>
      </c>
    </row>
    <row r="4619" spans="1:19" x14ac:dyDescent="0.2">
      <c r="A4619" s="11" t="s">
        <v>44517</v>
      </c>
      <c r="B4619" s="9" t="s">
        <v>44518</v>
      </c>
      <c r="C4619" s="9" t="s">
        <v>44519</v>
      </c>
      <c r="D4619" s="9" t="s">
        <v>44520</v>
      </c>
      <c r="E4619" s="9" t="s">
        <v>17748</v>
      </c>
      <c r="F4619" s="9" t="s">
        <v>44521</v>
      </c>
      <c r="G4619" s="9" t="s">
        <v>17740</v>
      </c>
      <c r="H4619" s="11" t="s">
        <v>12695</v>
      </c>
      <c r="I4619" s="11" t="s">
        <v>12694</v>
      </c>
      <c r="J4619" s="11" t="s">
        <v>12694</v>
      </c>
      <c r="K4619" s="9" t="s">
        <v>50</v>
      </c>
      <c r="L4619" s="9" t="s">
        <v>17744</v>
      </c>
      <c r="M4619" s="9" t="s">
        <v>17769</v>
      </c>
      <c r="N4619" s="9" t="s">
        <v>17746</v>
      </c>
      <c r="O4619" s="9" t="s">
        <v>44522</v>
      </c>
      <c r="P4619" s="9" t="s">
        <v>17748</v>
      </c>
      <c r="Q4619" s="11" t="s">
        <v>18370</v>
      </c>
      <c r="R4619" s="11" t="s">
        <v>18370</v>
      </c>
      <c r="S4619" s="11" t="s">
        <v>17750</v>
      </c>
    </row>
    <row r="4620" spans="1:19" x14ac:dyDescent="0.2">
      <c r="A4620" s="11" t="s">
        <v>44523</v>
      </c>
      <c r="B4620" s="9" t="s">
        <v>8444</v>
      </c>
      <c r="C4620" s="9" t="s">
        <v>44524</v>
      </c>
      <c r="D4620" s="9" t="s">
        <v>8444</v>
      </c>
      <c r="E4620" s="9" t="s">
        <v>17740</v>
      </c>
      <c r="F4620" s="9" t="s">
        <v>17741</v>
      </c>
      <c r="G4620" s="9" t="s">
        <v>17740</v>
      </c>
      <c r="H4620" s="11" t="s">
        <v>8446</v>
      </c>
      <c r="I4620" s="11" t="s">
        <v>8445</v>
      </c>
      <c r="J4620" s="11" t="s">
        <v>8445</v>
      </c>
      <c r="K4620" s="9" t="s">
        <v>18876</v>
      </c>
      <c r="L4620" s="9" t="s">
        <v>17759</v>
      </c>
      <c r="M4620" s="9" t="s">
        <v>17778</v>
      </c>
      <c r="N4620" s="9" t="s">
        <v>17746</v>
      </c>
      <c r="O4620" s="9" t="s">
        <v>1535</v>
      </c>
      <c r="P4620" s="9" t="s">
        <v>17748</v>
      </c>
      <c r="Q4620" s="11" t="s">
        <v>18798</v>
      </c>
      <c r="R4620" s="11" t="s">
        <v>18798</v>
      </c>
      <c r="S4620" s="11" t="s">
        <v>17750</v>
      </c>
    </row>
    <row r="4621" spans="1:19" x14ac:dyDescent="0.2">
      <c r="A4621" s="11" t="s">
        <v>44525</v>
      </c>
      <c r="B4621" s="9" t="s">
        <v>3428</v>
      </c>
      <c r="C4621" s="9" t="s">
        <v>44526</v>
      </c>
      <c r="D4621" s="9" t="s">
        <v>3428</v>
      </c>
      <c r="E4621" s="9" t="s">
        <v>17740</v>
      </c>
      <c r="F4621" s="9" t="s">
        <v>17741</v>
      </c>
      <c r="G4621" s="9" t="s">
        <v>17740</v>
      </c>
      <c r="H4621" s="11" t="s">
        <v>3430</v>
      </c>
      <c r="I4621" s="11" t="s">
        <v>3429</v>
      </c>
      <c r="J4621" s="11" t="s">
        <v>3429</v>
      </c>
      <c r="K4621" s="9" t="s">
        <v>44527</v>
      </c>
      <c r="L4621" s="9" t="s">
        <v>17744</v>
      </c>
      <c r="M4621" s="9" t="s">
        <v>27593</v>
      </c>
      <c r="N4621" s="9" t="s">
        <v>17746</v>
      </c>
      <c r="O4621" s="9" t="s">
        <v>44528</v>
      </c>
      <c r="P4621" s="9" t="s">
        <v>17748</v>
      </c>
      <c r="Q4621" s="11" t="s">
        <v>19222</v>
      </c>
      <c r="R4621" s="11" t="s">
        <v>19222</v>
      </c>
      <c r="S4621" s="11" t="s">
        <v>17750</v>
      </c>
    </row>
    <row r="4622" spans="1:19" x14ac:dyDescent="0.2">
      <c r="A4622" s="11" t="s">
        <v>44529</v>
      </c>
      <c r="B4622" s="9" t="s">
        <v>44530</v>
      </c>
      <c r="C4622" s="9" t="s">
        <v>44531</v>
      </c>
      <c r="D4622" s="9" t="s">
        <v>44532</v>
      </c>
      <c r="E4622" s="9" t="s">
        <v>17740</v>
      </c>
      <c r="F4622" s="9" t="s">
        <v>17741</v>
      </c>
      <c r="G4622" s="9" t="s">
        <v>17740</v>
      </c>
      <c r="H4622" s="11" t="s">
        <v>44533</v>
      </c>
      <c r="I4622" s="11" t="s">
        <v>44534</v>
      </c>
      <c r="J4622" s="11" t="s">
        <v>44534</v>
      </c>
      <c r="K4622" s="9" t="s">
        <v>55</v>
      </c>
      <c r="L4622" s="9" t="s">
        <v>18242</v>
      </c>
      <c r="M4622" s="9" t="s">
        <v>23266</v>
      </c>
      <c r="N4622" s="9" t="s">
        <v>17746</v>
      </c>
      <c r="O4622" s="9" t="s">
        <v>44535</v>
      </c>
      <c r="P4622" s="9" t="s">
        <v>17748</v>
      </c>
      <c r="Q4622" s="11" t="s">
        <v>17943</v>
      </c>
      <c r="R4622" s="11" t="s">
        <v>17943</v>
      </c>
      <c r="S4622" s="11" t="s">
        <v>17750</v>
      </c>
    </row>
    <row r="4623" spans="1:19" x14ac:dyDescent="0.2">
      <c r="A4623" s="11" t="s">
        <v>44536</v>
      </c>
      <c r="B4623" s="9" t="s">
        <v>44537</v>
      </c>
      <c r="C4623" s="9" t="s">
        <v>44538</v>
      </c>
      <c r="D4623" s="9" t="s">
        <v>44539</v>
      </c>
      <c r="E4623" s="9" t="s">
        <v>17740</v>
      </c>
      <c r="F4623" s="9" t="s">
        <v>44540</v>
      </c>
      <c r="G4623" s="9" t="s">
        <v>17740</v>
      </c>
      <c r="H4623" s="11" t="s">
        <v>44541</v>
      </c>
      <c r="I4623" s="11" t="s">
        <v>44542</v>
      </c>
      <c r="J4623" s="11" t="s">
        <v>44542</v>
      </c>
      <c r="K4623" s="9" t="s">
        <v>17805</v>
      </c>
      <c r="L4623" s="9" t="s">
        <v>17744</v>
      </c>
      <c r="M4623" s="9" t="s">
        <v>17769</v>
      </c>
      <c r="N4623" s="9" t="s">
        <v>17746</v>
      </c>
      <c r="O4623" s="9" t="s">
        <v>19470</v>
      </c>
      <c r="P4623" s="9" t="s">
        <v>17748</v>
      </c>
      <c r="Q4623" s="11" t="s">
        <v>18356</v>
      </c>
      <c r="R4623" s="11" t="s">
        <v>18356</v>
      </c>
      <c r="S4623" s="11" t="s">
        <v>17750</v>
      </c>
    </row>
    <row r="4624" spans="1:19" x14ac:dyDescent="0.2">
      <c r="A4624" s="11" t="s">
        <v>44543</v>
      </c>
      <c r="B4624" s="9" t="s">
        <v>44544</v>
      </c>
      <c r="C4624" s="9" t="s">
        <v>44545</v>
      </c>
      <c r="D4624" s="9" t="s">
        <v>44546</v>
      </c>
      <c r="E4624" s="9" t="s">
        <v>17740</v>
      </c>
      <c r="F4624" s="9" t="s">
        <v>17741</v>
      </c>
      <c r="G4624" s="9" t="s">
        <v>17740</v>
      </c>
      <c r="H4624" s="11" t="s">
        <v>44547</v>
      </c>
      <c r="I4624" s="11" t="s">
        <v>44548</v>
      </c>
      <c r="J4624" s="11" t="s">
        <v>44548</v>
      </c>
      <c r="K4624" s="9" t="s">
        <v>20225</v>
      </c>
      <c r="L4624" s="9" t="s">
        <v>17744</v>
      </c>
      <c r="M4624" s="9" t="s">
        <v>17769</v>
      </c>
      <c r="N4624" s="9" t="s">
        <v>17746</v>
      </c>
      <c r="O4624" s="9" t="s">
        <v>44549</v>
      </c>
      <c r="P4624" s="9" t="s">
        <v>17748</v>
      </c>
      <c r="Q4624" s="11" t="s">
        <v>17858</v>
      </c>
      <c r="R4624" s="11" t="s">
        <v>17858</v>
      </c>
      <c r="S4624" s="11" t="s">
        <v>17750</v>
      </c>
    </row>
    <row r="4625" spans="1:19" x14ac:dyDescent="0.2">
      <c r="A4625" s="11" t="s">
        <v>44550</v>
      </c>
      <c r="B4625" s="9" t="s">
        <v>44551</v>
      </c>
      <c r="C4625" s="9" t="s">
        <v>44552</v>
      </c>
      <c r="D4625" s="9" t="s">
        <v>44553</v>
      </c>
      <c r="E4625" s="9" t="s">
        <v>17740</v>
      </c>
      <c r="F4625" s="9" t="s">
        <v>17741</v>
      </c>
      <c r="G4625" s="9" t="s">
        <v>17740</v>
      </c>
      <c r="H4625" s="11" t="s">
        <v>44554</v>
      </c>
      <c r="I4625" s="11" t="s">
        <v>44555</v>
      </c>
      <c r="J4625" s="11" t="s">
        <v>44555</v>
      </c>
      <c r="K4625" s="9" t="s">
        <v>44556</v>
      </c>
      <c r="L4625" s="9" t="s">
        <v>17759</v>
      </c>
      <c r="M4625" s="9" t="s">
        <v>17817</v>
      </c>
      <c r="N4625" s="9" t="s">
        <v>17746</v>
      </c>
      <c r="O4625" s="9" t="s">
        <v>44535</v>
      </c>
      <c r="P4625" s="9" t="s">
        <v>17748</v>
      </c>
      <c r="Q4625" s="11" t="s">
        <v>17819</v>
      </c>
      <c r="R4625" s="11" t="s">
        <v>17819</v>
      </c>
      <c r="S4625" s="11" t="s">
        <v>17750</v>
      </c>
    </row>
    <row r="4626" spans="1:19" x14ac:dyDescent="0.2">
      <c r="A4626" s="11" t="s">
        <v>44557</v>
      </c>
      <c r="B4626" s="9" t="s">
        <v>44558</v>
      </c>
      <c r="C4626" s="9" t="s">
        <v>44559</v>
      </c>
      <c r="D4626" s="9" t="s">
        <v>44560</v>
      </c>
      <c r="E4626" s="9" t="s">
        <v>17740</v>
      </c>
      <c r="F4626" s="9" t="s">
        <v>17741</v>
      </c>
      <c r="G4626" s="9" t="s">
        <v>17740</v>
      </c>
      <c r="H4626" s="11" t="s">
        <v>44561</v>
      </c>
      <c r="I4626" s="11" t="s">
        <v>44562</v>
      </c>
      <c r="J4626" s="11" t="s">
        <v>44562</v>
      </c>
      <c r="K4626" s="9" t="s">
        <v>17783</v>
      </c>
      <c r="L4626" s="9" t="s">
        <v>18158</v>
      </c>
      <c r="M4626" s="9" t="s">
        <v>44563</v>
      </c>
      <c r="N4626" s="9" t="s">
        <v>17746</v>
      </c>
      <c r="O4626" s="9" t="s">
        <v>19470</v>
      </c>
      <c r="P4626" s="9" t="s">
        <v>17748</v>
      </c>
      <c r="Q4626" s="11" t="s">
        <v>18433</v>
      </c>
      <c r="R4626" s="11" t="s">
        <v>18433</v>
      </c>
      <c r="S4626" s="11" t="s">
        <v>17750</v>
      </c>
    </row>
    <row r="4627" spans="1:19" x14ac:dyDescent="0.2">
      <c r="A4627" s="11" t="s">
        <v>44564</v>
      </c>
      <c r="B4627" s="9" t="s">
        <v>44565</v>
      </c>
      <c r="C4627" s="9" t="s">
        <v>44566</v>
      </c>
      <c r="D4627" s="9" t="s">
        <v>44567</v>
      </c>
      <c r="E4627" s="9" t="s">
        <v>17740</v>
      </c>
      <c r="F4627" s="9" t="s">
        <v>44568</v>
      </c>
      <c r="G4627" s="9" t="s">
        <v>17740</v>
      </c>
      <c r="H4627" s="11" t="s">
        <v>44569</v>
      </c>
      <c r="I4627" s="11" t="s">
        <v>44570</v>
      </c>
      <c r="J4627" s="11" t="s">
        <v>44570</v>
      </c>
      <c r="K4627" s="9" t="s">
        <v>21011</v>
      </c>
      <c r="L4627" s="9" t="s">
        <v>18001</v>
      </c>
      <c r="M4627" s="9" t="s">
        <v>17778</v>
      </c>
      <c r="N4627" s="9" t="s">
        <v>17746</v>
      </c>
      <c r="O4627" s="9" t="s">
        <v>44571</v>
      </c>
      <c r="P4627" s="9" t="s">
        <v>17748</v>
      </c>
      <c r="Q4627" s="11" t="s">
        <v>18364</v>
      </c>
      <c r="R4627" s="11" t="s">
        <v>18364</v>
      </c>
      <c r="S4627" s="11" t="s">
        <v>17750</v>
      </c>
    </row>
    <row r="4628" spans="1:19" x14ac:dyDescent="0.2">
      <c r="A4628" s="11" t="s">
        <v>44572</v>
      </c>
      <c r="B4628" s="9" t="s">
        <v>44573</v>
      </c>
      <c r="C4628" s="9" t="s">
        <v>44574</v>
      </c>
      <c r="D4628" s="9" t="s">
        <v>44575</v>
      </c>
      <c r="E4628" s="9" t="s">
        <v>17740</v>
      </c>
      <c r="F4628" s="9" t="s">
        <v>17741</v>
      </c>
      <c r="G4628" s="9" t="s">
        <v>17740</v>
      </c>
      <c r="H4628" s="11" t="s">
        <v>44576</v>
      </c>
      <c r="I4628" s="11" t="s">
        <v>44577</v>
      </c>
      <c r="J4628" s="11" t="s">
        <v>44577</v>
      </c>
      <c r="K4628" s="9" t="s">
        <v>44578</v>
      </c>
      <c r="L4628" s="9" t="s">
        <v>17744</v>
      </c>
      <c r="M4628" s="9" t="s">
        <v>17817</v>
      </c>
      <c r="N4628" s="9" t="s">
        <v>17746</v>
      </c>
      <c r="O4628" s="9" t="s">
        <v>44579</v>
      </c>
      <c r="P4628" s="9" t="s">
        <v>17748</v>
      </c>
      <c r="Q4628" s="11" t="s">
        <v>18080</v>
      </c>
      <c r="R4628" s="11" t="s">
        <v>18080</v>
      </c>
      <c r="S4628" s="11" t="s">
        <v>17750</v>
      </c>
    </row>
    <row r="4629" spans="1:19" x14ac:dyDescent="0.2">
      <c r="A4629" s="11" t="s">
        <v>44580</v>
      </c>
      <c r="B4629" s="9" t="s">
        <v>44581</v>
      </c>
      <c r="C4629" s="9" t="s">
        <v>44582</v>
      </c>
      <c r="D4629" s="9" t="s">
        <v>44583</v>
      </c>
      <c r="E4629" s="9" t="s">
        <v>17740</v>
      </c>
      <c r="F4629" s="9" t="s">
        <v>17741</v>
      </c>
      <c r="G4629" s="9" t="s">
        <v>17740</v>
      </c>
      <c r="H4629" s="11" t="s">
        <v>44584</v>
      </c>
      <c r="I4629" s="11" t="s">
        <v>44585</v>
      </c>
      <c r="J4629" s="11" t="s">
        <v>44585</v>
      </c>
      <c r="K4629" s="9" t="s">
        <v>21011</v>
      </c>
      <c r="L4629" s="9" t="s">
        <v>18001</v>
      </c>
      <c r="M4629" s="9" t="s">
        <v>44586</v>
      </c>
      <c r="N4629" s="9" t="s">
        <v>17746</v>
      </c>
      <c r="O4629" s="9" t="s">
        <v>41266</v>
      </c>
      <c r="P4629" s="9" t="s">
        <v>17748</v>
      </c>
      <c r="Q4629" s="11" t="s">
        <v>18433</v>
      </c>
      <c r="R4629" s="11" t="s">
        <v>18433</v>
      </c>
      <c r="S4629" s="11" t="s">
        <v>17750</v>
      </c>
    </row>
    <row r="4630" spans="1:19" x14ac:dyDescent="0.2">
      <c r="A4630" s="11" t="s">
        <v>44587</v>
      </c>
      <c r="B4630" s="9" t="s">
        <v>44588</v>
      </c>
      <c r="C4630" s="9" t="s">
        <v>44589</v>
      </c>
      <c r="D4630" s="9" t="s">
        <v>44590</v>
      </c>
      <c r="E4630" s="9" t="s">
        <v>17740</v>
      </c>
      <c r="F4630" s="9" t="s">
        <v>17741</v>
      </c>
      <c r="G4630" s="9" t="s">
        <v>17740</v>
      </c>
      <c r="H4630" s="11" t="s">
        <v>44591</v>
      </c>
      <c r="I4630" s="11" t="s">
        <v>44592</v>
      </c>
      <c r="J4630" s="11" t="s">
        <v>44592</v>
      </c>
      <c r="K4630" s="9" t="s">
        <v>44593</v>
      </c>
      <c r="L4630" s="9" t="s">
        <v>17759</v>
      </c>
      <c r="M4630" s="9" t="s">
        <v>17817</v>
      </c>
      <c r="N4630" s="9" t="s">
        <v>17746</v>
      </c>
      <c r="O4630" s="9" t="s">
        <v>18481</v>
      </c>
      <c r="P4630" s="9" t="s">
        <v>17748</v>
      </c>
      <c r="Q4630" s="11" t="s">
        <v>18332</v>
      </c>
      <c r="R4630" s="11" t="s">
        <v>18332</v>
      </c>
      <c r="S4630" s="11" t="s">
        <v>17750</v>
      </c>
    </row>
    <row r="4631" spans="1:19" x14ac:dyDescent="0.2">
      <c r="A4631" s="11" t="s">
        <v>44594</v>
      </c>
      <c r="B4631" s="9" t="s">
        <v>44595</v>
      </c>
      <c r="C4631" s="9" t="s">
        <v>44596</v>
      </c>
      <c r="D4631" s="9" t="s">
        <v>44597</v>
      </c>
      <c r="E4631" s="9" t="s">
        <v>17740</v>
      </c>
      <c r="F4631" s="9" t="s">
        <v>44598</v>
      </c>
      <c r="G4631" s="9" t="s">
        <v>17740</v>
      </c>
      <c r="H4631" s="11" t="s">
        <v>44599</v>
      </c>
      <c r="I4631" s="11" t="s">
        <v>44600</v>
      </c>
      <c r="J4631" s="11" t="s">
        <v>44600</v>
      </c>
      <c r="K4631" s="9" t="s">
        <v>18661</v>
      </c>
      <c r="L4631" s="9" t="s">
        <v>20359</v>
      </c>
      <c r="M4631" s="9" t="s">
        <v>26470</v>
      </c>
      <c r="N4631" s="9" t="s">
        <v>17746</v>
      </c>
      <c r="O4631" s="9" t="s">
        <v>44601</v>
      </c>
      <c r="P4631" s="9" t="s">
        <v>17748</v>
      </c>
      <c r="Q4631" s="11" t="s">
        <v>18364</v>
      </c>
      <c r="R4631" s="11" t="s">
        <v>18364</v>
      </c>
      <c r="S4631" s="11" t="s">
        <v>17750</v>
      </c>
    </row>
    <row r="4632" spans="1:19" x14ac:dyDescent="0.2">
      <c r="A4632" s="11" t="s">
        <v>44602</v>
      </c>
      <c r="B4632" s="9" t="s">
        <v>44603</v>
      </c>
      <c r="C4632" s="9" t="s">
        <v>44604</v>
      </c>
      <c r="D4632" s="9" t="s">
        <v>44605</v>
      </c>
      <c r="E4632" s="9" t="s">
        <v>17748</v>
      </c>
      <c r="F4632" s="9" t="s">
        <v>44606</v>
      </c>
      <c r="G4632" s="9" t="s">
        <v>17740</v>
      </c>
      <c r="H4632" s="11" t="s">
        <v>44607</v>
      </c>
      <c r="I4632" s="11" t="s">
        <v>44608</v>
      </c>
      <c r="J4632" s="11" t="s">
        <v>44608</v>
      </c>
      <c r="K4632" s="9" t="s">
        <v>17783</v>
      </c>
      <c r="L4632" s="9" t="s">
        <v>18158</v>
      </c>
      <c r="M4632" s="9" t="s">
        <v>17760</v>
      </c>
      <c r="N4632" s="9" t="s">
        <v>17746</v>
      </c>
      <c r="O4632" s="9" t="s">
        <v>19470</v>
      </c>
      <c r="P4632" s="9" t="s">
        <v>17748</v>
      </c>
      <c r="Q4632" s="11" t="s">
        <v>18089</v>
      </c>
      <c r="R4632" s="11" t="s">
        <v>18089</v>
      </c>
      <c r="S4632" s="11" t="s">
        <v>17750</v>
      </c>
    </row>
    <row r="4633" spans="1:19" x14ac:dyDescent="0.2">
      <c r="A4633" s="11" t="s">
        <v>44609</v>
      </c>
      <c r="B4633" s="9" t="s">
        <v>44610</v>
      </c>
      <c r="C4633" s="9" t="s">
        <v>44611</v>
      </c>
      <c r="D4633" s="9" t="s">
        <v>44612</v>
      </c>
      <c r="E4633" s="9" t="s">
        <v>17740</v>
      </c>
      <c r="F4633" s="9" t="s">
        <v>44613</v>
      </c>
      <c r="G4633" s="9" t="s">
        <v>17740</v>
      </c>
      <c r="H4633" s="11" t="s">
        <v>44614</v>
      </c>
      <c r="I4633" s="11" t="s">
        <v>44615</v>
      </c>
      <c r="J4633" s="11" t="s">
        <v>44615</v>
      </c>
      <c r="K4633" s="9" t="s">
        <v>44616</v>
      </c>
      <c r="L4633" s="9" t="s">
        <v>21771</v>
      </c>
      <c r="M4633" s="9" t="s">
        <v>44617</v>
      </c>
      <c r="N4633" s="9" t="s">
        <v>17746</v>
      </c>
      <c r="O4633" s="9" t="s">
        <v>19470</v>
      </c>
      <c r="P4633" s="9" t="s">
        <v>17748</v>
      </c>
      <c r="Q4633" s="11" t="s">
        <v>18960</v>
      </c>
      <c r="R4633" s="11" t="s">
        <v>18960</v>
      </c>
      <c r="S4633" s="11" t="s">
        <v>17750</v>
      </c>
    </row>
    <row r="4634" spans="1:19" x14ac:dyDescent="0.2">
      <c r="A4634" s="11" t="s">
        <v>44618</v>
      </c>
      <c r="B4634" s="9" t="s">
        <v>44619</v>
      </c>
      <c r="C4634" s="9" t="s">
        <v>44620</v>
      </c>
      <c r="D4634" s="9" t="s">
        <v>44621</v>
      </c>
      <c r="E4634" s="9" t="s">
        <v>17740</v>
      </c>
      <c r="F4634" s="9" t="s">
        <v>17741</v>
      </c>
      <c r="G4634" s="9" t="s">
        <v>17740</v>
      </c>
      <c r="H4634" s="11" t="s">
        <v>44622</v>
      </c>
      <c r="I4634" s="11" t="s">
        <v>44623</v>
      </c>
      <c r="J4634" s="11" t="s">
        <v>44623</v>
      </c>
      <c r="K4634" s="9" t="s">
        <v>10332</v>
      </c>
      <c r="L4634" s="9" t="s">
        <v>17759</v>
      </c>
      <c r="M4634" s="9" t="s">
        <v>19012</v>
      </c>
      <c r="N4634" s="9" t="s">
        <v>17746</v>
      </c>
      <c r="O4634" s="9" t="s">
        <v>19470</v>
      </c>
      <c r="P4634" s="9" t="s">
        <v>17748</v>
      </c>
      <c r="Q4634" s="11" t="s">
        <v>17762</v>
      </c>
      <c r="R4634" s="11" t="s">
        <v>17762</v>
      </c>
      <c r="S4634" s="11" t="s">
        <v>17750</v>
      </c>
    </row>
    <row r="4635" spans="1:19" x14ac:dyDescent="0.2">
      <c r="A4635" s="11" t="s">
        <v>44624</v>
      </c>
      <c r="B4635" s="9" t="s">
        <v>44625</v>
      </c>
      <c r="C4635" s="9" t="s">
        <v>44626</v>
      </c>
      <c r="D4635" s="9" t="s">
        <v>44627</v>
      </c>
      <c r="E4635" s="9" t="s">
        <v>17740</v>
      </c>
      <c r="F4635" s="9" t="s">
        <v>17741</v>
      </c>
      <c r="G4635" s="9" t="s">
        <v>17740</v>
      </c>
      <c r="H4635" s="11" t="s">
        <v>44628</v>
      </c>
      <c r="I4635" s="11" t="s">
        <v>44629</v>
      </c>
      <c r="J4635" s="11" t="s">
        <v>44629</v>
      </c>
      <c r="K4635" s="9" t="s">
        <v>23527</v>
      </c>
      <c r="L4635" s="9" t="s">
        <v>17759</v>
      </c>
      <c r="M4635" s="9" t="s">
        <v>34470</v>
      </c>
      <c r="N4635" s="9" t="s">
        <v>17746</v>
      </c>
      <c r="O4635" s="9" t="s">
        <v>44535</v>
      </c>
      <c r="P4635" s="9" t="s">
        <v>17748</v>
      </c>
      <c r="Q4635" s="11" t="s">
        <v>19335</v>
      </c>
      <c r="R4635" s="11" t="s">
        <v>19335</v>
      </c>
      <c r="S4635" s="11" t="s">
        <v>17750</v>
      </c>
    </row>
    <row r="4636" spans="1:19" x14ac:dyDescent="0.2">
      <c r="A4636" s="11" t="s">
        <v>44630</v>
      </c>
      <c r="B4636" s="9" t="s">
        <v>44631</v>
      </c>
      <c r="C4636" s="9" t="s">
        <v>44632</v>
      </c>
      <c r="D4636" s="9" t="s">
        <v>44631</v>
      </c>
      <c r="E4636" s="9" t="s">
        <v>17740</v>
      </c>
      <c r="F4636" s="9" t="s">
        <v>17741</v>
      </c>
      <c r="G4636" s="9" t="s">
        <v>17740</v>
      </c>
      <c r="H4636" s="11" t="s">
        <v>44633</v>
      </c>
      <c r="I4636" s="11" t="s">
        <v>44634</v>
      </c>
      <c r="J4636" s="11" t="s">
        <v>44634</v>
      </c>
      <c r="K4636" s="9" t="s">
        <v>44635</v>
      </c>
      <c r="L4636" s="9" t="s">
        <v>18158</v>
      </c>
      <c r="M4636" s="9" t="s">
        <v>18289</v>
      </c>
      <c r="N4636" s="9" t="s">
        <v>18185</v>
      </c>
      <c r="O4636" s="9" t="s">
        <v>19470</v>
      </c>
      <c r="P4636" s="9" t="s">
        <v>17748</v>
      </c>
      <c r="Q4636" s="11" t="s">
        <v>19435</v>
      </c>
      <c r="R4636" s="11" t="s">
        <v>19435</v>
      </c>
      <c r="S4636" s="11" t="s">
        <v>17750</v>
      </c>
    </row>
    <row r="4637" spans="1:19" x14ac:dyDescent="0.2">
      <c r="A4637" s="11" t="s">
        <v>44636</v>
      </c>
      <c r="B4637" s="9" t="s">
        <v>44637</v>
      </c>
      <c r="C4637" s="9" t="s">
        <v>44638</v>
      </c>
      <c r="D4637" s="9" t="s">
        <v>44639</v>
      </c>
      <c r="E4637" s="9" t="s">
        <v>17740</v>
      </c>
      <c r="F4637" s="9" t="s">
        <v>17741</v>
      </c>
      <c r="G4637" s="9" t="s">
        <v>17740</v>
      </c>
      <c r="H4637" s="11" t="s">
        <v>3436</v>
      </c>
      <c r="I4637" s="11" t="s">
        <v>3435</v>
      </c>
      <c r="J4637" s="11" t="s">
        <v>3435</v>
      </c>
      <c r="K4637" s="9" t="s">
        <v>44640</v>
      </c>
      <c r="L4637" s="9" t="s">
        <v>18158</v>
      </c>
      <c r="M4637" s="9" t="s">
        <v>44641</v>
      </c>
      <c r="N4637" s="9" t="s">
        <v>17746</v>
      </c>
      <c r="O4637" s="9" t="s">
        <v>19470</v>
      </c>
      <c r="P4637" s="9" t="s">
        <v>17748</v>
      </c>
      <c r="Q4637" s="11" t="s">
        <v>18470</v>
      </c>
      <c r="R4637" s="11" t="s">
        <v>18470</v>
      </c>
      <c r="S4637" s="11" t="s">
        <v>17750</v>
      </c>
    </row>
    <row r="4638" spans="1:19" x14ac:dyDescent="0.2">
      <c r="A4638" s="11" t="s">
        <v>44642</v>
      </c>
      <c r="B4638" s="9" t="s">
        <v>3437</v>
      </c>
      <c r="C4638" s="9" t="s">
        <v>44643</v>
      </c>
      <c r="D4638" s="9" t="s">
        <v>3437</v>
      </c>
      <c r="E4638" s="9" t="s">
        <v>17740</v>
      </c>
      <c r="F4638" s="9" t="s">
        <v>17741</v>
      </c>
      <c r="G4638" s="9" t="s">
        <v>17740</v>
      </c>
      <c r="H4638" s="11" t="s">
        <v>3439</v>
      </c>
      <c r="I4638" s="11" t="s">
        <v>3438</v>
      </c>
      <c r="J4638" s="11" t="s">
        <v>3438</v>
      </c>
      <c r="K4638" s="9" t="s">
        <v>21054</v>
      </c>
      <c r="L4638" s="9" t="s">
        <v>17759</v>
      </c>
      <c r="M4638" s="9" t="s">
        <v>17769</v>
      </c>
      <c r="N4638" s="9" t="s">
        <v>17746</v>
      </c>
      <c r="O4638" s="9" t="s">
        <v>1690</v>
      </c>
      <c r="P4638" s="9" t="s">
        <v>17748</v>
      </c>
      <c r="Q4638" s="11" t="s">
        <v>18600</v>
      </c>
      <c r="R4638" s="11" t="s">
        <v>18600</v>
      </c>
      <c r="S4638" s="11" t="s">
        <v>17750</v>
      </c>
    </row>
    <row r="4639" spans="1:19" x14ac:dyDescent="0.2">
      <c r="A4639" s="11" t="s">
        <v>44644</v>
      </c>
      <c r="B4639" s="9" t="s">
        <v>44645</v>
      </c>
      <c r="C4639" s="9" t="s">
        <v>44646</v>
      </c>
      <c r="D4639" s="9" t="s">
        <v>44647</v>
      </c>
      <c r="E4639" s="9" t="s">
        <v>17740</v>
      </c>
      <c r="F4639" s="9" t="s">
        <v>44648</v>
      </c>
      <c r="G4639" s="9" t="s">
        <v>17740</v>
      </c>
      <c r="H4639" s="11" t="s">
        <v>44649</v>
      </c>
      <c r="I4639" s="11" t="s">
        <v>44650</v>
      </c>
      <c r="J4639" s="11" t="s">
        <v>17741</v>
      </c>
      <c r="K4639" s="9" t="s">
        <v>17758</v>
      </c>
      <c r="L4639" s="9" t="s">
        <v>17759</v>
      </c>
      <c r="M4639" s="9" t="s">
        <v>19012</v>
      </c>
      <c r="N4639" s="9" t="s">
        <v>17746</v>
      </c>
      <c r="O4639" s="9" t="s">
        <v>18035</v>
      </c>
      <c r="P4639" s="9" t="s">
        <v>17748</v>
      </c>
      <c r="Q4639" s="11" t="s">
        <v>17849</v>
      </c>
      <c r="R4639" s="11" t="s">
        <v>17849</v>
      </c>
      <c r="S4639" s="11" t="s">
        <v>17750</v>
      </c>
    </row>
    <row r="4640" spans="1:19" x14ac:dyDescent="0.2">
      <c r="A4640" s="11" t="s">
        <v>44651</v>
      </c>
      <c r="B4640" s="9" t="s">
        <v>44652</v>
      </c>
      <c r="C4640" s="9" t="s">
        <v>44653</v>
      </c>
      <c r="D4640" s="9" t="s">
        <v>44654</v>
      </c>
      <c r="E4640" s="9" t="s">
        <v>17740</v>
      </c>
      <c r="F4640" s="9" t="s">
        <v>44655</v>
      </c>
      <c r="G4640" s="9" t="s">
        <v>17740</v>
      </c>
      <c r="H4640" s="11" t="s">
        <v>44656</v>
      </c>
      <c r="I4640" s="11" t="s">
        <v>44657</v>
      </c>
      <c r="J4640" s="11" t="s">
        <v>44657</v>
      </c>
      <c r="K4640" s="9" t="s">
        <v>44658</v>
      </c>
      <c r="L4640" s="9" t="s">
        <v>17759</v>
      </c>
      <c r="M4640" s="9" t="s">
        <v>24928</v>
      </c>
      <c r="N4640" s="9" t="s">
        <v>17746</v>
      </c>
      <c r="O4640" s="9" t="s">
        <v>37542</v>
      </c>
      <c r="P4640" s="9" t="s">
        <v>17748</v>
      </c>
      <c r="Q4640" s="11" t="s">
        <v>17978</v>
      </c>
      <c r="R4640" s="11" t="s">
        <v>17978</v>
      </c>
      <c r="S4640" s="11" t="s">
        <v>17750</v>
      </c>
    </row>
    <row r="4641" spans="1:19" x14ac:dyDescent="0.2">
      <c r="A4641" s="11" t="s">
        <v>44659</v>
      </c>
      <c r="B4641" s="9" t="s">
        <v>5130</v>
      </c>
      <c r="C4641" s="9" t="s">
        <v>44660</v>
      </c>
      <c r="D4641" s="9" t="s">
        <v>5130</v>
      </c>
      <c r="E4641" s="9" t="s">
        <v>17740</v>
      </c>
      <c r="F4641" s="9" t="s">
        <v>17741</v>
      </c>
      <c r="G4641" s="9" t="s">
        <v>17740</v>
      </c>
      <c r="H4641" s="11" t="s">
        <v>5132</v>
      </c>
      <c r="I4641" s="11" t="s">
        <v>5131</v>
      </c>
      <c r="J4641" s="11" t="s">
        <v>5131</v>
      </c>
      <c r="K4641" s="9" t="s">
        <v>291</v>
      </c>
      <c r="L4641" s="9" t="s">
        <v>17744</v>
      </c>
      <c r="M4641" s="9" t="s">
        <v>25378</v>
      </c>
      <c r="N4641" s="9" t="s">
        <v>17746</v>
      </c>
      <c r="O4641" s="9" t="s">
        <v>7097</v>
      </c>
      <c r="P4641" s="9" t="s">
        <v>17748</v>
      </c>
      <c r="Q4641" s="11" t="s">
        <v>17749</v>
      </c>
      <c r="R4641" s="11" t="s">
        <v>17749</v>
      </c>
      <c r="S4641" s="11" t="s">
        <v>17750</v>
      </c>
    </row>
    <row r="4642" spans="1:19" x14ac:dyDescent="0.2">
      <c r="A4642" s="11" t="s">
        <v>44661</v>
      </c>
      <c r="B4642" s="9" t="s">
        <v>44662</v>
      </c>
      <c r="C4642" s="9" t="s">
        <v>44663</v>
      </c>
      <c r="D4642" s="9" t="s">
        <v>44664</v>
      </c>
      <c r="E4642" s="9" t="s">
        <v>17740</v>
      </c>
      <c r="F4642" s="9" t="s">
        <v>17741</v>
      </c>
      <c r="G4642" s="9" t="s">
        <v>17740</v>
      </c>
      <c r="H4642" s="11" t="s">
        <v>10190</v>
      </c>
      <c r="I4642" s="11" t="s">
        <v>10189</v>
      </c>
      <c r="J4642" s="11" t="s">
        <v>10189</v>
      </c>
      <c r="K4642" s="9" t="s">
        <v>10191</v>
      </c>
      <c r="L4642" s="9" t="s">
        <v>17759</v>
      </c>
      <c r="M4642" s="9" t="s">
        <v>17817</v>
      </c>
      <c r="N4642" s="9" t="s">
        <v>17746</v>
      </c>
      <c r="O4642" s="9" t="s">
        <v>17977</v>
      </c>
      <c r="P4642" s="9" t="s">
        <v>17748</v>
      </c>
      <c r="Q4642" s="11" t="s">
        <v>17858</v>
      </c>
      <c r="R4642" s="11" t="s">
        <v>17858</v>
      </c>
      <c r="S4642" s="11" t="s">
        <v>17750</v>
      </c>
    </row>
    <row r="4643" spans="1:19" x14ac:dyDescent="0.2">
      <c r="A4643" s="11" t="s">
        <v>44665</v>
      </c>
      <c r="B4643" s="9" t="s">
        <v>44666</v>
      </c>
      <c r="C4643" s="9" t="s">
        <v>44667</v>
      </c>
      <c r="D4643" s="9" t="s">
        <v>44668</v>
      </c>
      <c r="E4643" s="9" t="s">
        <v>17740</v>
      </c>
      <c r="F4643" s="9" t="s">
        <v>17741</v>
      </c>
      <c r="G4643" s="9" t="s">
        <v>17740</v>
      </c>
      <c r="H4643" s="11" t="s">
        <v>11326</v>
      </c>
      <c r="I4643" s="11" t="s">
        <v>11325</v>
      </c>
      <c r="J4643" s="11" t="s">
        <v>11325</v>
      </c>
      <c r="K4643" s="9" t="s">
        <v>10191</v>
      </c>
      <c r="L4643" s="9" t="s">
        <v>17759</v>
      </c>
      <c r="M4643" s="9" t="s">
        <v>17817</v>
      </c>
      <c r="N4643" s="9" t="s">
        <v>17746</v>
      </c>
      <c r="O4643" s="9" t="s">
        <v>22422</v>
      </c>
      <c r="P4643" s="9" t="s">
        <v>17748</v>
      </c>
      <c r="Q4643" s="11" t="s">
        <v>17984</v>
      </c>
      <c r="R4643" s="11" t="s">
        <v>17984</v>
      </c>
      <c r="S4643" s="11" t="s">
        <v>17750</v>
      </c>
    </row>
    <row r="4644" spans="1:19" x14ac:dyDescent="0.2">
      <c r="A4644" s="11" t="s">
        <v>44669</v>
      </c>
      <c r="B4644" s="9" t="s">
        <v>44670</v>
      </c>
      <c r="C4644" s="9" t="s">
        <v>44671</v>
      </c>
      <c r="D4644" s="9" t="s">
        <v>44672</v>
      </c>
      <c r="E4644" s="9" t="s">
        <v>17740</v>
      </c>
      <c r="F4644" s="9" t="s">
        <v>17741</v>
      </c>
      <c r="G4644" s="9" t="s">
        <v>17740</v>
      </c>
      <c r="H4644" s="11" t="s">
        <v>11329</v>
      </c>
      <c r="I4644" s="11" t="s">
        <v>11328</v>
      </c>
      <c r="J4644" s="11" t="s">
        <v>11328</v>
      </c>
      <c r="K4644" s="9" t="s">
        <v>10191</v>
      </c>
      <c r="L4644" s="9" t="s">
        <v>17759</v>
      </c>
      <c r="M4644" s="9" t="s">
        <v>17817</v>
      </c>
      <c r="N4644" s="9" t="s">
        <v>17746</v>
      </c>
      <c r="O4644" s="9" t="s">
        <v>1690</v>
      </c>
      <c r="P4644" s="9" t="s">
        <v>17748</v>
      </c>
      <c r="Q4644" s="11" t="s">
        <v>17984</v>
      </c>
      <c r="R4644" s="11" t="s">
        <v>17984</v>
      </c>
      <c r="S4644" s="11" t="s">
        <v>17750</v>
      </c>
    </row>
    <row r="4645" spans="1:19" x14ac:dyDescent="0.2">
      <c r="A4645" s="11" t="s">
        <v>44673</v>
      </c>
      <c r="B4645" s="9" t="s">
        <v>44674</v>
      </c>
      <c r="C4645" s="9" t="s">
        <v>44675</v>
      </c>
      <c r="D4645" s="9" t="s">
        <v>44676</v>
      </c>
      <c r="E4645" s="9" t="s">
        <v>17740</v>
      </c>
      <c r="F4645" s="9" t="s">
        <v>17741</v>
      </c>
      <c r="G4645" s="9" t="s">
        <v>17740</v>
      </c>
      <c r="H4645" s="11" t="s">
        <v>10554</v>
      </c>
      <c r="I4645" s="11" t="s">
        <v>10553</v>
      </c>
      <c r="J4645" s="11" t="s">
        <v>10553</v>
      </c>
      <c r="K4645" s="9" t="s">
        <v>10191</v>
      </c>
      <c r="L4645" s="9" t="s">
        <v>17759</v>
      </c>
      <c r="M4645" s="9" t="s">
        <v>17817</v>
      </c>
      <c r="N4645" s="9" t="s">
        <v>17746</v>
      </c>
      <c r="O4645" s="9" t="s">
        <v>17993</v>
      </c>
      <c r="P4645" s="9" t="s">
        <v>17748</v>
      </c>
      <c r="Q4645" s="11" t="s">
        <v>17780</v>
      </c>
      <c r="R4645" s="11" t="s">
        <v>17780</v>
      </c>
      <c r="S4645" s="11" t="s">
        <v>17750</v>
      </c>
    </row>
    <row r="4646" spans="1:19" x14ac:dyDescent="0.2">
      <c r="A4646" s="11" t="s">
        <v>44677</v>
      </c>
      <c r="B4646" s="9" t="s">
        <v>44678</v>
      </c>
      <c r="C4646" s="9" t="s">
        <v>44679</v>
      </c>
      <c r="D4646" s="9" t="s">
        <v>44680</v>
      </c>
      <c r="E4646" s="9" t="s">
        <v>17740</v>
      </c>
      <c r="F4646" s="9" t="s">
        <v>17741</v>
      </c>
      <c r="G4646" s="9" t="s">
        <v>17740</v>
      </c>
      <c r="H4646" s="11" t="s">
        <v>11972</v>
      </c>
      <c r="I4646" s="11" t="s">
        <v>11971</v>
      </c>
      <c r="J4646" s="11" t="s">
        <v>11971</v>
      </c>
      <c r="K4646" s="9" t="s">
        <v>10191</v>
      </c>
      <c r="L4646" s="9" t="s">
        <v>17759</v>
      </c>
      <c r="M4646" s="9" t="s">
        <v>17741</v>
      </c>
      <c r="N4646" s="9" t="s">
        <v>17746</v>
      </c>
      <c r="O4646" s="9" t="s">
        <v>18548</v>
      </c>
      <c r="P4646" s="9" t="s">
        <v>17748</v>
      </c>
      <c r="Q4646" s="11" t="s">
        <v>17917</v>
      </c>
      <c r="R4646" s="11" t="s">
        <v>17917</v>
      </c>
      <c r="S4646" s="11" t="s">
        <v>17750</v>
      </c>
    </row>
    <row r="4647" spans="1:19" x14ac:dyDescent="0.2">
      <c r="A4647" s="11" t="s">
        <v>44681</v>
      </c>
      <c r="B4647" s="9" t="s">
        <v>44682</v>
      </c>
      <c r="C4647" s="9" t="s">
        <v>44683</v>
      </c>
      <c r="D4647" s="9" t="s">
        <v>44684</v>
      </c>
      <c r="E4647" s="9" t="s">
        <v>17740</v>
      </c>
      <c r="F4647" s="9" t="s">
        <v>17741</v>
      </c>
      <c r="G4647" s="9" t="s">
        <v>17740</v>
      </c>
      <c r="H4647" s="11" t="s">
        <v>12333</v>
      </c>
      <c r="I4647" s="11" t="s">
        <v>17741</v>
      </c>
      <c r="J4647" s="11" t="s">
        <v>12333</v>
      </c>
      <c r="K4647" s="9" t="s">
        <v>10191</v>
      </c>
      <c r="L4647" s="9" t="s">
        <v>17759</v>
      </c>
      <c r="M4647" s="9" t="s">
        <v>17817</v>
      </c>
      <c r="N4647" s="9" t="s">
        <v>17746</v>
      </c>
      <c r="O4647" s="9" t="s">
        <v>25597</v>
      </c>
      <c r="P4647" s="9" t="s">
        <v>17748</v>
      </c>
      <c r="Q4647" s="11" t="s">
        <v>17762</v>
      </c>
      <c r="R4647" s="11" t="s">
        <v>17762</v>
      </c>
      <c r="S4647" s="11" t="s">
        <v>17750</v>
      </c>
    </row>
    <row r="4648" spans="1:19" x14ac:dyDescent="0.2">
      <c r="A4648" s="11" t="s">
        <v>44685</v>
      </c>
      <c r="B4648" s="9" t="s">
        <v>44686</v>
      </c>
      <c r="C4648" s="9" t="s">
        <v>44687</v>
      </c>
      <c r="D4648" s="9" t="s">
        <v>44688</v>
      </c>
      <c r="E4648" s="9" t="s">
        <v>17740</v>
      </c>
      <c r="F4648" s="9" t="s">
        <v>17741</v>
      </c>
      <c r="G4648" s="9" t="s">
        <v>17740</v>
      </c>
      <c r="H4648" s="11" t="s">
        <v>11332</v>
      </c>
      <c r="I4648" s="11" t="s">
        <v>11331</v>
      </c>
      <c r="J4648" s="11" t="s">
        <v>11331</v>
      </c>
      <c r="K4648" s="9" t="s">
        <v>10191</v>
      </c>
      <c r="L4648" s="9" t="s">
        <v>17759</v>
      </c>
      <c r="M4648" s="9" t="s">
        <v>17817</v>
      </c>
      <c r="N4648" s="9" t="s">
        <v>17746</v>
      </c>
      <c r="O4648" s="9" t="s">
        <v>18746</v>
      </c>
      <c r="P4648" s="9" t="s">
        <v>17748</v>
      </c>
      <c r="Q4648" s="11" t="s">
        <v>17984</v>
      </c>
      <c r="R4648" s="11" t="s">
        <v>17984</v>
      </c>
      <c r="S4648" s="11" t="s">
        <v>17750</v>
      </c>
    </row>
    <row r="4649" spans="1:19" x14ac:dyDescent="0.2">
      <c r="A4649" s="11" t="s">
        <v>44689</v>
      </c>
      <c r="B4649" s="9" t="s">
        <v>44690</v>
      </c>
      <c r="C4649" s="9" t="s">
        <v>44691</v>
      </c>
      <c r="D4649" s="9" t="s">
        <v>44692</v>
      </c>
      <c r="E4649" s="9" t="s">
        <v>17740</v>
      </c>
      <c r="F4649" s="9" t="s">
        <v>17741</v>
      </c>
      <c r="G4649" s="9" t="s">
        <v>17740</v>
      </c>
      <c r="H4649" s="11" t="s">
        <v>44693</v>
      </c>
      <c r="I4649" s="11" t="s">
        <v>13302</v>
      </c>
      <c r="J4649" s="11" t="s">
        <v>13302</v>
      </c>
      <c r="K4649" s="9" t="s">
        <v>91</v>
      </c>
      <c r="L4649" s="9" t="s">
        <v>17759</v>
      </c>
      <c r="M4649" s="9" t="s">
        <v>17817</v>
      </c>
      <c r="N4649" s="9" t="s">
        <v>17746</v>
      </c>
      <c r="O4649" s="9" t="s">
        <v>35822</v>
      </c>
      <c r="P4649" s="9" t="s">
        <v>17748</v>
      </c>
      <c r="Q4649" s="11" t="s">
        <v>17825</v>
      </c>
      <c r="R4649" s="11" t="s">
        <v>17825</v>
      </c>
      <c r="S4649" s="11" t="s">
        <v>17750</v>
      </c>
    </row>
    <row r="4650" spans="1:19" x14ac:dyDescent="0.2">
      <c r="A4650" s="11" t="s">
        <v>44694</v>
      </c>
      <c r="B4650" s="9" t="s">
        <v>44695</v>
      </c>
      <c r="C4650" s="9" t="s">
        <v>44696</v>
      </c>
      <c r="D4650" s="9" t="s">
        <v>44697</v>
      </c>
      <c r="E4650" s="9" t="s">
        <v>17748</v>
      </c>
      <c r="F4650" s="9" t="s">
        <v>44698</v>
      </c>
      <c r="G4650" s="9" t="s">
        <v>17740</v>
      </c>
      <c r="H4650" s="11" t="s">
        <v>17741</v>
      </c>
      <c r="I4650" s="11" t="s">
        <v>44699</v>
      </c>
      <c r="J4650" s="11" t="s">
        <v>44699</v>
      </c>
      <c r="K4650" s="9" t="s">
        <v>44700</v>
      </c>
      <c r="L4650" s="9" t="s">
        <v>22017</v>
      </c>
      <c r="M4650" s="9" t="s">
        <v>17760</v>
      </c>
      <c r="N4650" s="9" t="s">
        <v>22018</v>
      </c>
      <c r="O4650" s="9" t="s">
        <v>15733</v>
      </c>
      <c r="P4650" s="9" t="s">
        <v>17748</v>
      </c>
      <c r="Q4650" s="11" t="s">
        <v>23398</v>
      </c>
      <c r="R4650" s="11" t="s">
        <v>23398</v>
      </c>
      <c r="S4650" s="11" t="s">
        <v>17750</v>
      </c>
    </row>
    <row r="4651" spans="1:19" x14ac:dyDescent="0.2">
      <c r="A4651" s="11" t="s">
        <v>44701</v>
      </c>
      <c r="B4651" s="9" t="s">
        <v>44702</v>
      </c>
      <c r="C4651" s="9" t="s">
        <v>44703</v>
      </c>
      <c r="D4651" s="9" t="s">
        <v>4715</v>
      </c>
      <c r="E4651" s="9" t="s">
        <v>17740</v>
      </c>
      <c r="F4651" s="9" t="s">
        <v>44704</v>
      </c>
      <c r="G4651" s="9" t="s">
        <v>17740</v>
      </c>
      <c r="H4651" s="11" t="s">
        <v>4717</v>
      </c>
      <c r="I4651" s="11" t="s">
        <v>4716</v>
      </c>
      <c r="J4651" s="11" t="s">
        <v>4716</v>
      </c>
      <c r="K4651" s="9" t="s">
        <v>412</v>
      </c>
      <c r="L4651" s="9" t="s">
        <v>18158</v>
      </c>
      <c r="M4651" s="9" t="s">
        <v>17817</v>
      </c>
      <c r="N4651" s="9" t="s">
        <v>18185</v>
      </c>
      <c r="O4651" s="9" t="s">
        <v>15733</v>
      </c>
      <c r="P4651" s="9" t="s">
        <v>17748</v>
      </c>
      <c r="Q4651" s="11" t="s">
        <v>17819</v>
      </c>
      <c r="R4651" s="11" t="s">
        <v>17819</v>
      </c>
      <c r="S4651" s="11" t="s">
        <v>17750</v>
      </c>
    </row>
    <row r="4652" spans="1:19" x14ac:dyDescent="0.2">
      <c r="A4652" s="11" t="s">
        <v>44705</v>
      </c>
      <c r="B4652" s="9" t="s">
        <v>44706</v>
      </c>
      <c r="C4652" s="9" t="s">
        <v>44707</v>
      </c>
      <c r="D4652" s="9" t="s">
        <v>44708</v>
      </c>
      <c r="E4652" s="9" t="s">
        <v>17748</v>
      </c>
      <c r="F4652" s="9" t="s">
        <v>44709</v>
      </c>
      <c r="G4652" s="9" t="s">
        <v>17740</v>
      </c>
      <c r="H4652" s="11" t="s">
        <v>17741</v>
      </c>
      <c r="I4652" s="11" t="s">
        <v>44710</v>
      </c>
      <c r="J4652" s="11" t="s">
        <v>44710</v>
      </c>
      <c r="K4652" s="9" t="s">
        <v>1462</v>
      </c>
      <c r="L4652" s="9" t="s">
        <v>17967</v>
      </c>
      <c r="M4652" s="9" t="s">
        <v>28990</v>
      </c>
      <c r="N4652" s="9" t="s">
        <v>18492</v>
      </c>
      <c r="O4652" s="9" t="s">
        <v>19342</v>
      </c>
      <c r="P4652" s="9" t="s">
        <v>17748</v>
      </c>
      <c r="Q4652" s="11" t="s">
        <v>18080</v>
      </c>
      <c r="R4652" s="11" t="s">
        <v>18080</v>
      </c>
      <c r="S4652" s="11" t="s">
        <v>17750</v>
      </c>
    </row>
    <row r="4653" spans="1:19" x14ac:dyDescent="0.2">
      <c r="A4653" s="11" t="s">
        <v>44711</v>
      </c>
      <c r="B4653" s="9" t="s">
        <v>44712</v>
      </c>
      <c r="C4653" s="9" t="s">
        <v>44713</v>
      </c>
      <c r="D4653" s="9" t="s">
        <v>44714</v>
      </c>
      <c r="E4653" s="9" t="s">
        <v>17740</v>
      </c>
      <c r="F4653" s="9" t="s">
        <v>17741</v>
      </c>
      <c r="G4653" s="9" t="s">
        <v>17740</v>
      </c>
      <c r="H4653" s="11" t="s">
        <v>17741</v>
      </c>
      <c r="I4653" s="11" t="s">
        <v>17741</v>
      </c>
      <c r="J4653" s="11" t="s">
        <v>17741</v>
      </c>
      <c r="K4653" s="9" t="s">
        <v>44715</v>
      </c>
      <c r="L4653" s="9" t="s">
        <v>17759</v>
      </c>
      <c r="M4653" s="9" t="s">
        <v>18211</v>
      </c>
      <c r="N4653" s="9" t="s">
        <v>17746</v>
      </c>
      <c r="O4653" s="9" t="s">
        <v>26112</v>
      </c>
      <c r="P4653" s="9" t="s">
        <v>17748</v>
      </c>
      <c r="Q4653" s="11" t="s">
        <v>18356</v>
      </c>
      <c r="R4653" s="11" t="s">
        <v>18356</v>
      </c>
      <c r="S4653" s="11" t="s">
        <v>17750</v>
      </c>
    </row>
    <row r="4654" spans="1:19" x14ac:dyDescent="0.2">
      <c r="A4654" s="11" t="s">
        <v>44716</v>
      </c>
      <c r="B4654" s="9" t="s">
        <v>44717</v>
      </c>
      <c r="C4654" s="9" t="s">
        <v>44718</v>
      </c>
      <c r="D4654" s="9" t="s">
        <v>44719</v>
      </c>
      <c r="E4654" s="9" t="s">
        <v>17740</v>
      </c>
      <c r="F4654" s="9" t="s">
        <v>17741</v>
      </c>
      <c r="G4654" s="9" t="s">
        <v>17740</v>
      </c>
      <c r="H4654" s="11" t="s">
        <v>17741</v>
      </c>
      <c r="I4654" s="11" t="s">
        <v>17741</v>
      </c>
      <c r="J4654" s="11" t="s">
        <v>17741</v>
      </c>
      <c r="K4654" s="9" t="s">
        <v>44720</v>
      </c>
      <c r="L4654" s="9" t="s">
        <v>17759</v>
      </c>
      <c r="M4654" s="9" t="s">
        <v>17760</v>
      </c>
      <c r="N4654" s="9" t="s">
        <v>17746</v>
      </c>
      <c r="O4654" s="9" t="s">
        <v>26112</v>
      </c>
      <c r="P4654" s="9" t="s">
        <v>17748</v>
      </c>
      <c r="Q4654" s="11" t="s">
        <v>18798</v>
      </c>
      <c r="R4654" s="11" t="s">
        <v>18798</v>
      </c>
      <c r="S4654" s="11" t="s">
        <v>17750</v>
      </c>
    </row>
    <row r="4655" spans="1:19" x14ac:dyDescent="0.2">
      <c r="A4655" s="11" t="s">
        <v>44721</v>
      </c>
      <c r="B4655" s="9" t="s">
        <v>44722</v>
      </c>
      <c r="C4655" s="9" t="s">
        <v>44723</v>
      </c>
      <c r="D4655" s="9" t="s">
        <v>44724</v>
      </c>
      <c r="E4655" s="9" t="s">
        <v>17748</v>
      </c>
      <c r="F4655" s="9" t="s">
        <v>44725</v>
      </c>
      <c r="G4655" s="9" t="s">
        <v>17740</v>
      </c>
      <c r="H4655" s="11" t="s">
        <v>17741</v>
      </c>
      <c r="I4655" s="11" t="s">
        <v>17741</v>
      </c>
      <c r="J4655" s="11" t="s">
        <v>17741</v>
      </c>
      <c r="K4655" s="9" t="s">
        <v>44726</v>
      </c>
      <c r="L4655" s="9" t="s">
        <v>17759</v>
      </c>
      <c r="M4655" s="9" t="s">
        <v>17760</v>
      </c>
      <c r="N4655" s="9" t="s">
        <v>17746</v>
      </c>
      <c r="O4655" s="9" t="s">
        <v>1802</v>
      </c>
      <c r="P4655" s="9" t="s">
        <v>17748</v>
      </c>
      <c r="Q4655" s="11" t="s">
        <v>17784</v>
      </c>
      <c r="R4655" s="11" t="s">
        <v>17784</v>
      </c>
      <c r="S4655" s="11" t="s">
        <v>17750</v>
      </c>
    </row>
    <row r="4656" spans="1:19" x14ac:dyDescent="0.2">
      <c r="A4656" s="11" t="s">
        <v>44727</v>
      </c>
      <c r="B4656" s="9" t="s">
        <v>44728</v>
      </c>
      <c r="C4656" s="9" t="s">
        <v>44729</v>
      </c>
      <c r="D4656" s="9" t="s">
        <v>44730</v>
      </c>
      <c r="E4656" s="9" t="s">
        <v>17740</v>
      </c>
      <c r="F4656" s="9" t="s">
        <v>17741</v>
      </c>
      <c r="G4656" s="9" t="s">
        <v>17740</v>
      </c>
      <c r="H4656" s="11" t="s">
        <v>17741</v>
      </c>
      <c r="I4656" s="11" t="s">
        <v>17741</v>
      </c>
      <c r="J4656" s="11" t="s">
        <v>17741</v>
      </c>
      <c r="K4656" s="9" t="s">
        <v>33312</v>
      </c>
      <c r="L4656" s="9" t="s">
        <v>17759</v>
      </c>
      <c r="M4656" s="9" t="s">
        <v>17741</v>
      </c>
      <c r="N4656" s="9" t="s">
        <v>17746</v>
      </c>
      <c r="O4656" s="9" t="s">
        <v>26112</v>
      </c>
      <c r="P4656" s="9" t="s">
        <v>17748</v>
      </c>
      <c r="Q4656" s="11" t="s">
        <v>18856</v>
      </c>
      <c r="R4656" s="11" t="s">
        <v>18856</v>
      </c>
      <c r="S4656" s="11" t="s">
        <v>17750</v>
      </c>
    </row>
    <row r="4657" spans="1:19" x14ac:dyDescent="0.2">
      <c r="A4657" s="11" t="s">
        <v>44731</v>
      </c>
      <c r="B4657" s="9" t="s">
        <v>44732</v>
      </c>
      <c r="C4657" s="9" t="s">
        <v>44733</v>
      </c>
      <c r="D4657" s="9" t="s">
        <v>44734</v>
      </c>
      <c r="E4657" s="9" t="s">
        <v>17740</v>
      </c>
      <c r="F4657" s="9" t="s">
        <v>17741</v>
      </c>
      <c r="G4657" s="9" t="s">
        <v>17740</v>
      </c>
      <c r="H4657" s="11" t="s">
        <v>17741</v>
      </c>
      <c r="I4657" s="11" t="s">
        <v>17741</v>
      </c>
      <c r="J4657" s="11" t="s">
        <v>17741</v>
      </c>
      <c r="K4657" s="9" t="s">
        <v>33317</v>
      </c>
      <c r="L4657" s="9" t="s">
        <v>17759</v>
      </c>
      <c r="M4657" s="9" t="s">
        <v>17741</v>
      </c>
      <c r="N4657" s="9" t="s">
        <v>17746</v>
      </c>
      <c r="O4657" s="9" t="s">
        <v>26112</v>
      </c>
      <c r="P4657" s="9" t="s">
        <v>17748</v>
      </c>
      <c r="Q4657" s="11" t="s">
        <v>18922</v>
      </c>
      <c r="R4657" s="11" t="s">
        <v>18922</v>
      </c>
      <c r="S4657" s="11" t="s">
        <v>17750</v>
      </c>
    </row>
    <row r="4658" spans="1:19" x14ac:dyDescent="0.2">
      <c r="A4658" s="11" t="s">
        <v>44735</v>
      </c>
      <c r="B4658" s="9" t="s">
        <v>44736</v>
      </c>
      <c r="C4658" s="9" t="s">
        <v>44737</v>
      </c>
      <c r="D4658" s="9" t="s">
        <v>44738</v>
      </c>
      <c r="E4658" s="9" t="s">
        <v>17740</v>
      </c>
      <c r="F4658" s="9" t="s">
        <v>17741</v>
      </c>
      <c r="G4658" s="9" t="s">
        <v>17740</v>
      </c>
      <c r="H4658" s="11" t="s">
        <v>17741</v>
      </c>
      <c r="I4658" s="11" t="s">
        <v>17741</v>
      </c>
      <c r="J4658" s="11" t="s">
        <v>17741</v>
      </c>
      <c r="K4658" s="9" t="s">
        <v>26967</v>
      </c>
      <c r="L4658" s="9" t="s">
        <v>17759</v>
      </c>
      <c r="M4658" s="9" t="s">
        <v>17741</v>
      </c>
      <c r="N4658" s="9" t="s">
        <v>17746</v>
      </c>
      <c r="O4658" s="9" t="s">
        <v>26112</v>
      </c>
      <c r="P4658" s="9" t="s">
        <v>17748</v>
      </c>
      <c r="Q4658" s="11" t="s">
        <v>17808</v>
      </c>
      <c r="R4658" s="11" t="s">
        <v>17808</v>
      </c>
      <c r="S4658" s="11" t="s">
        <v>17750</v>
      </c>
    </row>
    <row r="4659" spans="1:19" x14ac:dyDescent="0.2">
      <c r="A4659" s="11" t="s">
        <v>44739</v>
      </c>
      <c r="B4659" s="9" t="s">
        <v>44740</v>
      </c>
      <c r="C4659" s="9" t="s">
        <v>44741</v>
      </c>
      <c r="D4659" s="9" t="s">
        <v>44742</v>
      </c>
      <c r="E4659" s="9" t="s">
        <v>17740</v>
      </c>
      <c r="F4659" s="9" t="s">
        <v>17741</v>
      </c>
      <c r="G4659" s="9" t="s">
        <v>17740</v>
      </c>
      <c r="H4659" s="11" t="s">
        <v>44743</v>
      </c>
      <c r="I4659" s="11" t="s">
        <v>44744</v>
      </c>
      <c r="J4659" s="11" t="s">
        <v>44744</v>
      </c>
      <c r="K4659" s="9" t="s">
        <v>19713</v>
      </c>
      <c r="L4659" s="9" t="s">
        <v>17759</v>
      </c>
      <c r="M4659" s="9" t="s">
        <v>17760</v>
      </c>
      <c r="N4659" s="9" t="s">
        <v>17746</v>
      </c>
      <c r="O4659" s="9" t="s">
        <v>21923</v>
      </c>
      <c r="P4659" s="9" t="s">
        <v>17748</v>
      </c>
      <c r="Q4659" s="11" t="s">
        <v>17784</v>
      </c>
      <c r="R4659" s="11" t="s">
        <v>17784</v>
      </c>
      <c r="S4659" s="11" t="s">
        <v>17750</v>
      </c>
    </row>
    <row r="4660" spans="1:19" x14ac:dyDescent="0.2">
      <c r="A4660" s="11" t="s">
        <v>44745</v>
      </c>
      <c r="B4660" s="9" t="s">
        <v>44746</v>
      </c>
      <c r="C4660" s="9" t="s">
        <v>44747</v>
      </c>
      <c r="D4660" s="9" t="s">
        <v>44748</v>
      </c>
      <c r="E4660" s="9" t="s">
        <v>17740</v>
      </c>
      <c r="F4660" s="9" t="s">
        <v>17741</v>
      </c>
      <c r="G4660" s="9" t="s">
        <v>17740</v>
      </c>
      <c r="H4660" s="11" t="s">
        <v>17741</v>
      </c>
      <c r="I4660" s="11" t="s">
        <v>44749</v>
      </c>
      <c r="J4660" s="11" t="s">
        <v>44749</v>
      </c>
      <c r="K4660" s="9" t="s">
        <v>44750</v>
      </c>
      <c r="L4660" s="9" t="s">
        <v>17967</v>
      </c>
      <c r="M4660" s="9" t="s">
        <v>17760</v>
      </c>
      <c r="N4660" s="9" t="s">
        <v>17746</v>
      </c>
      <c r="O4660" s="9" t="s">
        <v>793</v>
      </c>
      <c r="P4660" s="9" t="s">
        <v>17748</v>
      </c>
      <c r="Q4660" s="11" t="s">
        <v>19899</v>
      </c>
      <c r="R4660" s="11" t="s">
        <v>19899</v>
      </c>
      <c r="S4660" s="11" t="s">
        <v>17750</v>
      </c>
    </row>
    <row r="4661" spans="1:19" x14ac:dyDescent="0.2">
      <c r="A4661" s="11" t="s">
        <v>44751</v>
      </c>
      <c r="B4661" s="9" t="s">
        <v>44752</v>
      </c>
      <c r="C4661" s="9" t="s">
        <v>44753</v>
      </c>
      <c r="D4661" s="9" t="s">
        <v>44754</v>
      </c>
      <c r="E4661" s="9" t="s">
        <v>17748</v>
      </c>
      <c r="F4661" s="9" t="s">
        <v>44755</v>
      </c>
      <c r="G4661" s="9" t="s">
        <v>17740</v>
      </c>
      <c r="H4661" s="11" t="s">
        <v>17741</v>
      </c>
      <c r="I4661" s="11" t="s">
        <v>10235</v>
      </c>
      <c r="J4661" s="11" t="s">
        <v>10235</v>
      </c>
      <c r="K4661" s="9" t="s">
        <v>44756</v>
      </c>
      <c r="L4661" s="9" t="s">
        <v>17967</v>
      </c>
      <c r="M4661" s="9" t="s">
        <v>17760</v>
      </c>
      <c r="N4661" s="9" t="s">
        <v>17746</v>
      </c>
      <c r="O4661" s="9" t="s">
        <v>18746</v>
      </c>
      <c r="P4661" s="9" t="s">
        <v>17748</v>
      </c>
      <c r="Q4661" s="11" t="s">
        <v>17780</v>
      </c>
      <c r="R4661" s="11" t="s">
        <v>17780</v>
      </c>
      <c r="S4661" s="11" t="s">
        <v>17750</v>
      </c>
    </row>
    <row r="4662" spans="1:19" x14ac:dyDescent="0.2">
      <c r="A4662" s="11" t="s">
        <v>44757</v>
      </c>
      <c r="B4662" s="9" t="s">
        <v>44758</v>
      </c>
      <c r="C4662" s="9" t="s">
        <v>44759</v>
      </c>
      <c r="D4662" s="9" t="s">
        <v>44760</v>
      </c>
      <c r="E4662" s="9" t="s">
        <v>17748</v>
      </c>
      <c r="F4662" s="9" t="s">
        <v>44761</v>
      </c>
      <c r="G4662" s="9" t="s">
        <v>17740</v>
      </c>
      <c r="H4662" s="11" t="s">
        <v>17741</v>
      </c>
      <c r="I4662" s="11" t="s">
        <v>44762</v>
      </c>
      <c r="J4662" s="11" t="s">
        <v>44762</v>
      </c>
      <c r="K4662" s="9" t="s">
        <v>44763</v>
      </c>
      <c r="L4662" s="9" t="s">
        <v>17967</v>
      </c>
      <c r="M4662" s="9" t="s">
        <v>17760</v>
      </c>
      <c r="N4662" s="9" t="s">
        <v>17746</v>
      </c>
      <c r="O4662" s="9" t="s">
        <v>19521</v>
      </c>
      <c r="P4662" s="9" t="s">
        <v>17748</v>
      </c>
      <c r="Q4662" s="11" t="s">
        <v>17808</v>
      </c>
      <c r="R4662" s="11" t="s">
        <v>17808</v>
      </c>
      <c r="S4662" s="11" t="s">
        <v>17750</v>
      </c>
    </row>
    <row r="4663" spans="1:19" x14ac:dyDescent="0.2">
      <c r="A4663" s="11" t="s">
        <v>44764</v>
      </c>
      <c r="B4663" s="9" t="s">
        <v>44765</v>
      </c>
      <c r="C4663" s="9" t="s">
        <v>44766</v>
      </c>
      <c r="D4663" s="9" t="s">
        <v>44767</v>
      </c>
      <c r="E4663" s="9" t="s">
        <v>17748</v>
      </c>
      <c r="F4663" s="9" t="s">
        <v>44768</v>
      </c>
      <c r="G4663" s="9" t="s">
        <v>17740</v>
      </c>
      <c r="H4663" s="11" t="s">
        <v>17741</v>
      </c>
      <c r="I4663" s="11" t="s">
        <v>44769</v>
      </c>
      <c r="J4663" s="11" t="s">
        <v>44769</v>
      </c>
      <c r="K4663" s="9" t="s">
        <v>44770</v>
      </c>
      <c r="L4663" s="9" t="s">
        <v>17967</v>
      </c>
      <c r="M4663" s="9" t="s">
        <v>44771</v>
      </c>
      <c r="N4663" s="9" t="s">
        <v>17746</v>
      </c>
      <c r="O4663" s="9" t="s">
        <v>18563</v>
      </c>
      <c r="P4663" s="9" t="s">
        <v>17748</v>
      </c>
      <c r="Q4663" s="11" t="s">
        <v>18798</v>
      </c>
      <c r="R4663" s="11" t="s">
        <v>18798</v>
      </c>
      <c r="S4663" s="11" t="s">
        <v>17750</v>
      </c>
    </row>
    <row r="4664" spans="1:19" x14ac:dyDescent="0.2">
      <c r="A4664" s="11" t="s">
        <v>44772</v>
      </c>
      <c r="B4664" s="9" t="s">
        <v>44773</v>
      </c>
      <c r="C4664" s="9" t="s">
        <v>44774</v>
      </c>
      <c r="D4664" s="9" t="s">
        <v>44775</v>
      </c>
      <c r="E4664" s="9" t="s">
        <v>17748</v>
      </c>
      <c r="F4664" s="9" t="s">
        <v>44776</v>
      </c>
      <c r="G4664" s="9" t="s">
        <v>17740</v>
      </c>
      <c r="H4664" s="11" t="s">
        <v>44777</v>
      </c>
      <c r="I4664" s="11" t="s">
        <v>17741</v>
      </c>
      <c r="J4664" s="11" t="s">
        <v>44777</v>
      </c>
      <c r="K4664" s="9" t="s">
        <v>44778</v>
      </c>
      <c r="L4664" s="9" t="s">
        <v>17759</v>
      </c>
      <c r="M4664" s="9" t="s">
        <v>17741</v>
      </c>
      <c r="N4664" s="9" t="s">
        <v>17746</v>
      </c>
      <c r="O4664" s="9" t="s">
        <v>44779</v>
      </c>
      <c r="P4664" s="9" t="s">
        <v>17748</v>
      </c>
      <c r="Q4664" s="11" t="s">
        <v>17923</v>
      </c>
      <c r="R4664" s="11" t="s">
        <v>17923</v>
      </c>
      <c r="S4664" s="11" t="s">
        <v>17750</v>
      </c>
    </row>
    <row r="4665" spans="1:19" x14ac:dyDescent="0.2">
      <c r="A4665" s="11" t="s">
        <v>44780</v>
      </c>
      <c r="B4665" s="9" t="s">
        <v>44781</v>
      </c>
      <c r="C4665" s="9" t="s">
        <v>44782</v>
      </c>
      <c r="D4665" s="9" t="s">
        <v>44783</v>
      </c>
      <c r="E4665" s="9" t="s">
        <v>17740</v>
      </c>
      <c r="F4665" s="9" t="s">
        <v>17741</v>
      </c>
      <c r="G4665" s="9" t="s">
        <v>17740</v>
      </c>
      <c r="H4665" s="11" t="s">
        <v>44784</v>
      </c>
      <c r="I4665" s="11" t="s">
        <v>44785</v>
      </c>
      <c r="J4665" s="11" t="s">
        <v>44785</v>
      </c>
      <c r="K4665" s="9" t="s">
        <v>44786</v>
      </c>
      <c r="L4665" s="9" t="s">
        <v>17759</v>
      </c>
      <c r="M4665" s="9" t="s">
        <v>18211</v>
      </c>
      <c r="N4665" s="9" t="s">
        <v>17746</v>
      </c>
      <c r="O4665" s="9" t="s">
        <v>44787</v>
      </c>
      <c r="P4665" s="9" t="s">
        <v>17748</v>
      </c>
      <c r="Q4665" s="11" t="s">
        <v>19515</v>
      </c>
      <c r="R4665" s="11" t="s">
        <v>19515</v>
      </c>
      <c r="S4665" s="11" t="s">
        <v>17750</v>
      </c>
    </row>
    <row r="4666" spans="1:19" x14ac:dyDescent="0.2">
      <c r="A4666" s="11" t="s">
        <v>44788</v>
      </c>
      <c r="B4666" s="9" t="s">
        <v>44789</v>
      </c>
      <c r="C4666" s="9" t="s">
        <v>44790</v>
      </c>
      <c r="D4666" s="9" t="s">
        <v>44791</v>
      </c>
      <c r="E4666" s="9" t="s">
        <v>17748</v>
      </c>
      <c r="F4666" s="9" t="s">
        <v>44792</v>
      </c>
      <c r="G4666" s="9" t="s">
        <v>17740</v>
      </c>
      <c r="H4666" s="11" t="s">
        <v>17741</v>
      </c>
      <c r="I4666" s="11" t="s">
        <v>44793</v>
      </c>
      <c r="J4666" s="11" t="s">
        <v>44793</v>
      </c>
      <c r="K4666" s="9" t="s">
        <v>44794</v>
      </c>
      <c r="L4666" s="9" t="s">
        <v>17967</v>
      </c>
      <c r="M4666" s="9" t="s">
        <v>17817</v>
      </c>
      <c r="N4666" s="9" t="s">
        <v>18492</v>
      </c>
      <c r="O4666" s="9" t="s">
        <v>17993</v>
      </c>
      <c r="P4666" s="9" t="s">
        <v>17748</v>
      </c>
      <c r="Q4666" s="11" t="s">
        <v>18201</v>
      </c>
      <c r="R4666" s="11" t="s">
        <v>18201</v>
      </c>
      <c r="S4666" s="11" t="s">
        <v>17750</v>
      </c>
    </row>
    <row r="4667" spans="1:19" x14ac:dyDescent="0.2">
      <c r="A4667" s="11" t="s">
        <v>44795</v>
      </c>
      <c r="B4667" s="9" t="s">
        <v>44796</v>
      </c>
      <c r="C4667" s="9" t="s">
        <v>44797</v>
      </c>
      <c r="D4667" s="9" t="s">
        <v>44798</v>
      </c>
      <c r="E4667" s="9" t="s">
        <v>17740</v>
      </c>
      <c r="F4667" s="9" t="s">
        <v>17741</v>
      </c>
      <c r="G4667" s="9" t="s">
        <v>17740</v>
      </c>
      <c r="H4667" s="11" t="s">
        <v>17741</v>
      </c>
      <c r="I4667" s="11" t="s">
        <v>44799</v>
      </c>
      <c r="J4667" s="11" t="s">
        <v>44799</v>
      </c>
      <c r="K4667" s="9" t="s">
        <v>44800</v>
      </c>
      <c r="L4667" s="9" t="s">
        <v>17967</v>
      </c>
      <c r="M4667" s="9" t="s">
        <v>17817</v>
      </c>
      <c r="N4667" s="9" t="s">
        <v>17746</v>
      </c>
      <c r="O4667" s="9" t="s">
        <v>18035</v>
      </c>
      <c r="P4667" s="9" t="s">
        <v>17748</v>
      </c>
      <c r="Q4667" s="11" t="s">
        <v>19866</v>
      </c>
      <c r="R4667" s="11" t="s">
        <v>19866</v>
      </c>
      <c r="S4667" s="11" t="s">
        <v>17750</v>
      </c>
    </row>
    <row r="4668" spans="1:19" x14ac:dyDescent="0.2">
      <c r="A4668" s="11" t="s">
        <v>44801</v>
      </c>
      <c r="B4668" s="9" t="s">
        <v>44802</v>
      </c>
      <c r="C4668" s="9" t="s">
        <v>44803</v>
      </c>
      <c r="D4668" s="9" t="s">
        <v>44804</v>
      </c>
      <c r="E4668" s="9" t="s">
        <v>17740</v>
      </c>
      <c r="F4668" s="9" t="s">
        <v>17741</v>
      </c>
      <c r="G4668" s="9" t="s">
        <v>17740</v>
      </c>
      <c r="H4668" s="11" t="s">
        <v>3307</v>
      </c>
      <c r="I4668" s="11" t="s">
        <v>3306</v>
      </c>
      <c r="J4668" s="11" t="s">
        <v>3306</v>
      </c>
      <c r="K4668" s="9" t="s">
        <v>3308</v>
      </c>
      <c r="L4668" s="9" t="s">
        <v>17967</v>
      </c>
      <c r="M4668" s="9" t="s">
        <v>17817</v>
      </c>
      <c r="N4668" s="9" t="s">
        <v>18492</v>
      </c>
      <c r="O4668" s="9" t="s">
        <v>5938</v>
      </c>
      <c r="P4668" s="9" t="s">
        <v>17748</v>
      </c>
      <c r="Q4668" s="11" t="s">
        <v>21244</v>
      </c>
      <c r="R4668" s="11" t="s">
        <v>21244</v>
      </c>
      <c r="S4668" s="11" t="s">
        <v>17750</v>
      </c>
    </row>
    <row r="4669" spans="1:19" x14ac:dyDescent="0.2">
      <c r="A4669" s="11" t="s">
        <v>44805</v>
      </c>
      <c r="B4669" s="9" t="s">
        <v>44806</v>
      </c>
      <c r="C4669" s="9" t="s">
        <v>44807</v>
      </c>
      <c r="D4669" s="9" t="s">
        <v>44808</v>
      </c>
      <c r="E4669" s="9" t="s">
        <v>17748</v>
      </c>
      <c r="F4669" s="9" t="s">
        <v>44809</v>
      </c>
      <c r="G4669" s="9" t="s">
        <v>17740</v>
      </c>
      <c r="H4669" s="11" t="s">
        <v>12851</v>
      </c>
      <c r="I4669" s="11" t="s">
        <v>12850</v>
      </c>
      <c r="J4669" s="11" t="s">
        <v>17741</v>
      </c>
      <c r="K4669" s="9" t="s">
        <v>19202</v>
      </c>
      <c r="L4669" s="9" t="s">
        <v>17759</v>
      </c>
      <c r="M4669" s="9" t="s">
        <v>17769</v>
      </c>
      <c r="N4669" s="9" t="s">
        <v>17746</v>
      </c>
      <c r="O4669" s="9" t="s">
        <v>19715</v>
      </c>
      <c r="P4669" s="9" t="s">
        <v>17748</v>
      </c>
      <c r="Q4669" s="11" t="s">
        <v>18370</v>
      </c>
      <c r="R4669" s="11" t="s">
        <v>18370</v>
      </c>
      <c r="S4669" s="11" t="s">
        <v>17750</v>
      </c>
    </row>
    <row r="4670" spans="1:19" x14ac:dyDescent="0.2">
      <c r="A4670" s="11" t="s">
        <v>44810</v>
      </c>
      <c r="B4670" s="9" t="s">
        <v>44811</v>
      </c>
      <c r="C4670" s="9" t="s">
        <v>44812</v>
      </c>
      <c r="D4670" s="9" t="s">
        <v>44813</v>
      </c>
      <c r="E4670" s="9" t="s">
        <v>17740</v>
      </c>
      <c r="F4670" s="9" t="s">
        <v>17741</v>
      </c>
      <c r="G4670" s="9" t="s">
        <v>17740</v>
      </c>
      <c r="H4670" s="11" t="s">
        <v>17741</v>
      </c>
      <c r="I4670" s="11" t="s">
        <v>44814</v>
      </c>
      <c r="J4670" s="11" t="s">
        <v>44814</v>
      </c>
      <c r="K4670" s="9" t="s">
        <v>44815</v>
      </c>
      <c r="L4670" s="9" t="s">
        <v>17759</v>
      </c>
      <c r="M4670" s="9" t="s">
        <v>17942</v>
      </c>
      <c r="N4670" s="9" t="s">
        <v>17746</v>
      </c>
      <c r="O4670" s="9" t="s">
        <v>44093</v>
      </c>
      <c r="P4670" s="9" t="s">
        <v>17748</v>
      </c>
      <c r="Q4670" s="11" t="s">
        <v>17771</v>
      </c>
      <c r="R4670" s="11" t="s">
        <v>17771</v>
      </c>
      <c r="S4670" s="11" t="s">
        <v>17750</v>
      </c>
    </row>
    <row r="4671" spans="1:19" x14ac:dyDescent="0.2">
      <c r="A4671" s="11" t="s">
        <v>44816</v>
      </c>
      <c r="B4671" s="9" t="s">
        <v>44817</v>
      </c>
      <c r="C4671" s="9" t="s">
        <v>44818</v>
      </c>
      <c r="D4671" s="9" t="s">
        <v>44819</v>
      </c>
      <c r="E4671" s="9" t="s">
        <v>17740</v>
      </c>
      <c r="F4671" s="9" t="s">
        <v>17741</v>
      </c>
      <c r="G4671" s="9" t="s">
        <v>17740</v>
      </c>
      <c r="H4671" s="11" t="s">
        <v>17741</v>
      </c>
      <c r="I4671" s="11" t="s">
        <v>44820</v>
      </c>
      <c r="J4671" s="11" t="s">
        <v>44820</v>
      </c>
      <c r="K4671" s="9" t="s">
        <v>44815</v>
      </c>
      <c r="L4671" s="9" t="s">
        <v>17759</v>
      </c>
      <c r="M4671" s="9" t="s">
        <v>17942</v>
      </c>
      <c r="N4671" s="9" t="s">
        <v>17746</v>
      </c>
      <c r="O4671" s="9" t="s">
        <v>44093</v>
      </c>
      <c r="P4671" s="9" t="s">
        <v>17748</v>
      </c>
      <c r="Q4671" s="11" t="s">
        <v>18243</v>
      </c>
      <c r="R4671" s="11" t="s">
        <v>18243</v>
      </c>
      <c r="S4671" s="11" t="s">
        <v>17750</v>
      </c>
    </row>
    <row r="4672" spans="1:19" x14ac:dyDescent="0.2">
      <c r="A4672" s="11" t="s">
        <v>44821</v>
      </c>
      <c r="B4672" s="9" t="s">
        <v>44822</v>
      </c>
      <c r="C4672" s="9" t="s">
        <v>44823</v>
      </c>
      <c r="D4672" s="9" t="s">
        <v>44824</v>
      </c>
      <c r="E4672" s="9" t="s">
        <v>17740</v>
      </c>
      <c r="F4672" s="9" t="s">
        <v>17741</v>
      </c>
      <c r="G4672" s="9" t="s">
        <v>17740</v>
      </c>
      <c r="H4672" s="11" t="s">
        <v>17741</v>
      </c>
      <c r="I4672" s="11" t="s">
        <v>44825</v>
      </c>
      <c r="J4672" s="11" t="s">
        <v>44825</v>
      </c>
      <c r="K4672" s="9" t="s">
        <v>44815</v>
      </c>
      <c r="L4672" s="9" t="s">
        <v>17759</v>
      </c>
      <c r="M4672" s="9" t="s">
        <v>17942</v>
      </c>
      <c r="N4672" s="9" t="s">
        <v>17746</v>
      </c>
      <c r="O4672" s="9" t="s">
        <v>44093</v>
      </c>
      <c r="P4672" s="9" t="s">
        <v>17748</v>
      </c>
      <c r="Q4672" s="11" t="s">
        <v>18243</v>
      </c>
      <c r="R4672" s="11" t="s">
        <v>18243</v>
      </c>
      <c r="S4672" s="11" t="s">
        <v>17750</v>
      </c>
    </row>
    <row r="4673" spans="1:19" x14ac:dyDescent="0.2">
      <c r="A4673" s="11" t="s">
        <v>44826</v>
      </c>
      <c r="B4673" s="9" t="s">
        <v>44827</v>
      </c>
      <c r="C4673" s="9" t="s">
        <v>44828</v>
      </c>
      <c r="D4673" s="9" t="s">
        <v>44829</v>
      </c>
      <c r="E4673" s="9" t="s">
        <v>17740</v>
      </c>
      <c r="F4673" s="9" t="s">
        <v>17741</v>
      </c>
      <c r="G4673" s="9" t="s">
        <v>17740</v>
      </c>
      <c r="H4673" s="11" t="s">
        <v>17741</v>
      </c>
      <c r="I4673" s="11" t="s">
        <v>44830</v>
      </c>
      <c r="J4673" s="11" t="s">
        <v>44830</v>
      </c>
      <c r="K4673" s="9" t="s">
        <v>44831</v>
      </c>
      <c r="L4673" s="9" t="s">
        <v>17759</v>
      </c>
      <c r="M4673" s="9" t="s">
        <v>44832</v>
      </c>
      <c r="N4673" s="9" t="s">
        <v>17746</v>
      </c>
      <c r="O4673" s="9" t="s">
        <v>3524</v>
      </c>
      <c r="P4673" s="9" t="s">
        <v>17748</v>
      </c>
      <c r="Q4673" s="11" t="s">
        <v>18251</v>
      </c>
      <c r="R4673" s="11" t="s">
        <v>18251</v>
      </c>
      <c r="S4673" s="11" t="s">
        <v>17750</v>
      </c>
    </row>
    <row r="4674" spans="1:19" x14ac:dyDescent="0.2">
      <c r="A4674" s="11" t="s">
        <v>44833</v>
      </c>
      <c r="B4674" s="9" t="s">
        <v>44834</v>
      </c>
      <c r="C4674" s="9" t="s">
        <v>44835</v>
      </c>
      <c r="D4674" s="9" t="s">
        <v>44836</v>
      </c>
      <c r="E4674" s="9" t="s">
        <v>17740</v>
      </c>
      <c r="F4674" s="9" t="s">
        <v>44837</v>
      </c>
      <c r="G4674" s="9" t="s">
        <v>17740</v>
      </c>
      <c r="H4674" s="11" t="s">
        <v>17741</v>
      </c>
      <c r="I4674" s="11" t="s">
        <v>44838</v>
      </c>
      <c r="J4674" s="11" t="s">
        <v>44838</v>
      </c>
      <c r="K4674" s="9" t="s">
        <v>44815</v>
      </c>
      <c r="L4674" s="9" t="s">
        <v>17759</v>
      </c>
      <c r="M4674" s="9" t="s">
        <v>44839</v>
      </c>
      <c r="N4674" s="9" t="s">
        <v>17746</v>
      </c>
      <c r="O4674" s="9" t="s">
        <v>44093</v>
      </c>
      <c r="P4674" s="9" t="s">
        <v>17748</v>
      </c>
      <c r="Q4674" s="11" t="s">
        <v>18433</v>
      </c>
      <c r="R4674" s="11" t="s">
        <v>18433</v>
      </c>
      <c r="S4674" s="11" t="s">
        <v>17750</v>
      </c>
    </row>
    <row r="4675" spans="1:19" x14ac:dyDescent="0.2">
      <c r="A4675" s="11" t="s">
        <v>44840</v>
      </c>
      <c r="B4675" s="9" t="s">
        <v>44841</v>
      </c>
      <c r="C4675" s="9" t="s">
        <v>44842</v>
      </c>
      <c r="D4675" s="9" t="s">
        <v>44843</v>
      </c>
      <c r="E4675" s="9" t="s">
        <v>17740</v>
      </c>
      <c r="F4675" s="9" t="s">
        <v>17741</v>
      </c>
      <c r="G4675" s="9" t="s">
        <v>17740</v>
      </c>
      <c r="H4675" s="11" t="s">
        <v>44844</v>
      </c>
      <c r="I4675" s="11" t="s">
        <v>44845</v>
      </c>
      <c r="J4675" s="11" t="s">
        <v>44845</v>
      </c>
      <c r="K4675" s="9" t="s">
        <v>689</v>
      </c>
      <c r="L4675" s="9" t="s">
        <v>17744</v>
      </c>
      <c r="M4675" s="9" t="s">
        <v>44846</v>
      </c>
      <c r="N4675" s="9" t="s">
        <v>17746</v>
      </c>
      <c r="O4675" s="9" t="s">
        <v>5136</v>
      </c>
      <c r="P4675" s="9" t="s">
        <v>17748</v>
      </c>
      <c r="Q4675" s="11" t="s">
        <v>18847</v>
      </c>
      <c r="R4675" s="11" t="s">
        <v>18847</v>
      </c>
      <c r="S4675" s="11" t="s">
        <v>17750</v>
      </c>
    </row>
    <row r="4676" spans="1:19" x14ac:dyDescent="0.2">
      <c r="A4676" s="11" t="s">
        <v>44847</v>
      </c>
      <c r="B4676" s="9" t="s">
        <v>44848</v>
      </c>
      <c r="C4676" s="9" t="s">
        <v>44849</v>
      </c>
      <c r="D4676" s="9" t="s">
        <v>44850</v>
      </c>
      <c r="E4676" s="9" t="s">
        <v>17740</v>
      </c>
      <c r="F4676" s="9" t="s">
        <v>44851</v>
      </c>
      <c r="G4676" s="9" t="s">
        <v>17740</v>
      </c>
      <c r="H4676" s="11" t="s">
        <v>17741</v>
      </c>
      <c r="I4676" s="11" t="s">
        <v>44852</v>
      </c>
      <c r="J4676" s="11" t="s">
        <v>44852</v>
      </c>
      <c r="K4676" s="9" t="s">
        <v>44853</v>
      </c>
      <c r="L4676" s="9" t="s">
        <v>17759</v>
      </c>
      <c r="M4676" s="9" t="s">
        <v>44854</v>
      </c>
      <c r="N4676" s="9" t="s">
        <v>17746</v>
      </c>
      <c r="O4676" s="9" t="s">
        <v>19147</v>
      </c>
      <c r="P4676" s="9" t="s">
        <v>17748</v>
      </c>
      <c r="Q4676" s="11" t="s">
        <v>17749</v>
      </c>
      <c r="R4676" s="11" t="s">
        <v>17749</v>
      </c>
      <c r="S4676" s="11" t="s">
        <v>17750</v>
      </c>
    </row>
    <row r="4677" spans="1:19" x14ac:dyDescent="0.2">
      <c r="A4677" s="11" t="s">
        <v>44855</v>
      </c>
      <c r="B4677" s="9" t="s">
        <v>44856</v>
      </c>
      <c r="C4677" s="9" t="s">
        <v>44857</v>
      </c>
      <c r="D4677" s="9" t="s">
        <v>44858</v>
      </c>
      <c r="E4677" s="9" t="s">
        <v>17748</v>
      </c>
      <c r="F4677" s="8" t="s">
        <v>44859</v>
      </c>
      <c r="G4677" s="9" t="s">
        <v>17740</v>
      </c>
      <c r="H4677" s="11" t="s">
        <v>44860</v>
      </c>
      <c r="I4677" s="11" t="s">
        <v>44861</v>
      </c>
      <c r="J4677" s="11" t="s">
        <v>17741</v>
      </c>
      <c r="K4677" s="9" t="s">
        <v>17741</v>
      </c>
      <c r="L4677" s="9" t="s">
        <v>17744</v>
      </c>
      <c r="M4677" s="9" t="s">
        <v>17760</v>
      </c>
      <c r="N4677" s="9" t="s">
        <v>17746</v>
      </c>
      <c r="O4677" s="9" t="s">
        <v>23443</v>
      </c>
      <c r="P4677" s="9" t="s">
        <v>17748</v>
      </c>
      <c r="Q4677" s="11" t="s">
        <v>18096</v>
      </c>
      <c r="R4677" s="11" t="s">
        <v>18096</v>
      </c>
      <c r="S4677" s="11" t="s">
        <v>17750</v>
      </c>
    </row>
    <row r="4678" spans="1:19" x14ac:dyDescent="0.2">
      <c r="A4678" s="11" t="s">
        <v>44862</v>
      </c>
      <c r="B4678" s="9" t="s">
        <v>44863</v>
      </c>
      <c r="C4678" s="9" t="s">
        <v>44864</v>
      </c>
      <c r="D4678" s="9" t="s">
        <v>44865</v>
      </c>
      <c r="E4678" s="9" t="s">
        <v>17740</v>
      </c>
      <c r="F4678" s="9" t="s">
        <v>17741</v>
      </c>
      <c r="G4678" s="9" t="s">
        <v>17740</v>
      </c>
      <c r="H4678" s="11" t="s">
        <v>17741</v>
      </c>
      <c r="I4678" s="11" t="s">
        <v>44866</v>
      </c>
      <c r="J4678" s="11" t="s">
        <v>44866</v>
      </c>
      <c r="K4678" s="9" t="s">
        <v>17966</v>
      </c>
      <c r="L4678" s="9" t="s">
        <v>17967</v>
      </c>
      <c r="M4678" s="9" t="s">
        <v>17760</v>
      </c>
      <c r="N4678" s="9" t="s">
        <v>18492</v>
      </c>
      <c r="O4678" s="9" t="s">
        <v>773</v>
      </c>
      <c r="P4678" s="9" t="s">
        <v>17748</v>
      </c>
      <c r="Q4678" s="11" t="s">
        <v>21569</v>
      </c>
      <c r="R4678" s="11" t="s">
        <v>21569</v>
      </c>
      <c r="S4678" s="11" t="s">
        <v>17750</v>
      </c>
    </row>
    <row r="4679" spans="1:19" x14ac:dyDescent="0.2">
      <c r="A4679" s="11" t="s">
        <v>44867</v>
      </c>
      <c r="B4679" s="9" t="s">
        <v>44868</v>
      </c>
      <c r="C4679" s="9" t="s">
        <v>44869</v>
      </c>
      <c r="D4679" s="9" t="s">
        <v>44870</v>
      </c>
      <c r="E4679" s="9" t="s">
        <v>17748</v>
      </c>
      <c r="F4679" s="9" t="s">
        <v>44871</v>
      </c>
      <c r="G4679" s="9" t="s">
        <v>17740</v>
      </c>
      <c r="H4679" s="11" t="s">
        <v>44872</v>
      </c>
      <c r="I4679" s="11" t="s">
        <v>17741</v>
      </c>
      <c r="J4679" s="11" t="s">
        <v>44873</v>
      </c>
      <c r="K4679" s="9" t="s">
        <v>9858</v>
      </c>
      <c r="L4679" s="9" t="s">
        <v>17967</v>
      </c>
      <c r="M4679" s="9" t="s">
        <v>17741</v>
      </c>
      <c r="N4679" s="9" t="s">
        <v>18492</v>
      </c>
      <c r="O4679" s="9" t="s">
        <v>44874</v>
      </c>
      <c r="P4679" s="9" t="s">
        <v>17748</v>
      </c>
      <c r="Q4679" s="11" t="s">
        <v>17780</v>
      </c>
      <c r="R4679" s="11" t="s">
        <v>17780</v>
      </c>
      <c r="S4679" s="11" t="s">
        <v>17750</v>
      </c>
    </row>
    <row r="4680" spans="1:19" x14ac:dyDescent="0.2">
      <c r="A4680" s="11" t="s">
        <v>44875</v>
      </c>
      <c r="B4680" s="9" t="s">
        <v>44876</v>
      </c>
      <c r="C4680" s="9" t="s">
        <v>44877</v>
      </c>
      <c r="D4680" s="9" t="s">
        <v>44878</v>
      </c>
      <c r="E4680" s="9" t="s">
        <v>17740</v>
      </c>
      <c r="F4680" s="9" t="s">
        <v>44879</v>
      </c>
      <c r="G4680" s="9" t="s">
        <v>17740</v>
      </c>
      <c r="H4680" s="11" t="s">
        <v>3375</v>
      </c>
      <c r="I4680" s="11" t="s">
        <v>3374</v>
      </c>
      <c r="J4680" s="11" t="s">
        <v>3374</v>
      </c>
      <c r="K4680" s="9" t="s">
        <v>159</v>
      </c>
      <c r="L4680" s="9" t="s">
        <v>17744</v>
      </c>
      <c r="M4680" s="9" t="s">
        <v>17817</v>
      </c>
      <c r="N4680" s="9" t="s">
        <v>17746</v>
      </c>
      <c r="O4680" s="9" t="s">
        <v>17993</v>
      </c>
      <c r="P4680" s="9" t="s">
        <v>17748</v>
      </c>
      <c r="Q4680" s="11" t="s">
        <v>19435</v>
      </c>
      <c r="R4680" s="11" t="s">
        <v>19435</v>
      </c>
      <c r="S4680" s="11" t="s">
        <v>17750</v>
      </c>
    </row>
    <row r="4681" spans="1:19" x14ac:dyDescent="0.2">
      <c r="A4681" s="11" t="s">
        <v>44880</v>
      </c>
      <c r="B4681" s="9" t="s">
        <v>44881</v>
      </c>
      <c r="C4681" s="9" t="s">
        <v>44882</v>
      </c>
      <c r="D4681" s="9" t="s">
        <v>44883</v>
      </c>
      <c r="E4681" s="9" t="s">
        <v>17740</v>
      </c>
      <c r="F4681" s="9" t="s">
        <v>44884</v>
      </c>
      <c r="G4681" s="9" t="s">
        <v>17740</v>
      </c>
      <c r="H4681" s="11" t="s">
        <v>3458</v>
      </c>
      <c r="I4681" s="11" t="s">
        <v>3457</v>
      </c>
      <c r="J4681" s="11" t="s">
        <v>3457</v>
      </c>
      <c r="K4681" s="9" t="s">
        <v>3456</v>
      </c>
      <c r="L4681" s="9" t="s">
        <v>17759</v>
      </c>
      <c r="M4681" s="9" t="s">
        <v>44885</v>
      </c>
      <c r="N4681" s="9" t="s">
        <v>17746</v>
      </c>
      <c r="O4681" s="9" t="s">
        <v>17993</v>
      </c>
      <c r="P4681" s="9" t="s">
        <v>17748</v>
      </c>
      <c r="Q4681" s="11" t="s">
        <v>18847</v>
      </c>
      <c r="R4681" s="11" t="s">
        <v>18847</v>
      </c>
      <c r="S4681" s="11" t="s">
        <v>17750</v>
      </c>
    </row>
    <row r="4682" spans="1:19" x14ac:dyDescent="0.2">
      <c r="A4682" s="11" t="s">
        <v>44886</v>
      </c>
      <c r="B4682" s="9" t="s">
        <v>44887</v>
      </c>
      <c r="C4682" s="9" t="s">
        <v>44888</v>
      </c>
      <c r="D4682" s="9" t="s">
        <v>44889</v>
      </c>
      <c r="E4682" s="9" t="s">
        <v>17740</v>
      </c>
      <c r="F4682" s="9" t="s">
        <v>44890</v>
      </c>
      <c r="G4682" s="9" t="s">
        <v>17740</v>
      </c>
      <c r="H4682" s="11" t="s">
        <v>44891</v>
      </c>
      <c r="I4682" s="11" t="s">
        <v>44892</v>
      </c>
      <c r="J4682" s="11" t="s">
        <v>44892</v>
      </c>
      <c r="K4682" s="9" t="s">
        <v>55</v>
      </c>
      <c r="L4682" s="9" t="s">
        <v>17744</v>
      </c>
      <c r="M4682" s="9" t="s">
        <v>17817</v>
      </c>
      <c r="N4682" s="9" t="s">
        <v>17746</v>
      </c>
      <c r="O4682" s="9" t="s">
        <v>18563</v>
      </c>
      <c r="P4682" s="9" t="s">
        <v>17748</v>
      </c>
      <c r="Q4682" s="11" t="s">
        <v>19866</v>
      </c>
      <c r="R4682" s="11" t="s">
        <v>19866</v>
      </c>
      <c r="S4682" s="11" t="s">
        <v>17750</v>
      </c>
    </row>
    <row r="4683" spans="1:19" x14ac:dyDescent="0.2">
      <c r="A4683" s="11" t="s">
        <v>44893</v>
      </c>
      <c r="B4683" s="9" t="s">
        <v>44894</v>
      </c>
      <c r="C4683" s="9" t="s">
        <v>44895</v>
      </c>
      <c r="D4683" s="9" t="s">
        <v>44896</v>
      </c>
      <c r="E4683" s="9" t="s">
        <v>17740</v>
      </c>
      <c r="F4683" s="9" t="s">
        <v>17741</v>
      </c>
      <c r="G4683" s="9" t="s">
        <v>17740</v>
      </c>
      <c r="H4683" s="11" t="s">
        <v>44897</v>
      </c>
      <c r="I4683" s="11" t="s">
        <v>44898</v>
      </c>
      <c r="J4683" s="11" t="s">
        <v>44898</v>
      </c>
      <c r="K4683" s="9" t="s">
        <v>18616</v>
      </c>
      <c r="L4683" s="9" t="s">
        <v>17744</v>
      </c>
      <c r="M4683" s="9" t="s">
        <v>17769</v>
      </c>
      <c r="N4683" s="9" t="s">
        <v>17746</v>
      </c>
      <c r="O4683" s="9" t="s">
        <v>3100</v>
      </c>
      <c r="P4683" s="9" t="s">
        <v>17748</v>
      </c>
      <c r="Q4683" s="11" t="s">
        <v>18922</v>
      </c>
      <c r="R4683" s="11" t="s">
        <v>18922</v>
      </c>
      <c r="S4683" s="11" t="s">
        <v>17750</v>
      </c>
    </row>
    <row r="4684" spans="1:19" x14ac:dyDescent="0.2">
      <c r="A4684" s="11" t="s">
        <v>44899</v>
      </c>
      <c r="B4684" s="9" t="s">
        <v>44900</v>
      </c>
      <c r="C4684" s="9" t="s">
        <v>44901</v>
      </c>
      <c r="D4684" s="9" t="s">
        <v>44902</v>
      </c>
      <c r="E4684" s="9" t="s">
        <v>17748</v>
      </c>
      <c r="F4684" s="9" t="s">
        <v>44903</v>
      </c>
      <c r="G4684" s="9" t="s">
        <v>17740</v>
      </c>
      <c r="H4684" s="11" t="s">
        <v>17741</v>
      </c>
      <c r="I4684" s="11" t="s">
        <v>44904</v>
      </c>
      <c r="J4684" s="11" t="s">
        <v>44904</v>
      </c>
      <c r="K4684" s="9" t="s">
        <v>44905</v>
      </c>
      <c r="L4684" s="9" t="s">
        <v>17744</v>
      </c>
      <c r="M4684" s="9" t="s">
        <v>17817</v>
      </c>
      <c r="N4684" s="9" t="s">
        <v>17746</v>
      </c>
      <c r="O4684" s="9" t="s">
        <v>36073</v>
      </c>
      <c r="P4684" s="9" t="s">
        <v>17748</v>
      </c>
      <c r="Q4684" s="11" t="s">
        <v>18798</v>
      </c>
      <c r="R4684" s="11" t="s">
        <v>18798</v>
      </c>
      <c r="S4684" s="11" t="s">
        <v>17750</v>
      </c>
    </row>
    <row r="4685" spans="1:19" x14ac:dyDescent="0.2">
      <c r="A4685" s="11" t="s">
        <v>44906</v>
      </c>
      <c r="B4685" s="9" t="s">
        <v>44907</v>
      </c>
      <c r="C4685" s="9" t="s">
        <v>44908</v>
      </c>
      <c r="D4685" s="9" t="s">
        <v>44909</v>
      </c>
      <c r="E4685" s="9" t="s">
        <v>17740</v>
      </c>
      <c r="F4685" s="9" t="s">
        <v>17741</v>
      </c>
      <c r="G4685" s="9" t="s">
        <v>17740</v>
      </c>
      <c r="H4685" s="11" t="s">
        <v>17741</v>
      </c>
      <c r="I4685" s="11" t="s">
        <v>44910</v>
      </c>
      <c r="J4685" s="11" t="s">
        <v>44910</v>
      </c>
      <c r="K4685" s="9" t="s">
        <v>44911</v>
      </c>
      <c r="L4685" s="9" t="s">
        <v>17744</v>
      </c>
      <c r="M4685" s="9" t="s">
        <v>26182</v>
      </c>
      <c r="N4685" s="9" t="s">
        <v>17746</v>
      </c>
      <c r="O4685" s="9" t="s">
        <v>19423</v>
      </c>
      <c r="P4685" s="9" t="s">
        <v>17748</v>
      </c>
      <c r="Q4685" s="11" t="s">
        <v>44912</v>
      </c>
      <c r="R4685" s="11" t="s">
        <v>44912</v>
      </c>
      <c r="S4685" s="11" t="s">
        <v>17750</v>
      </c>
    </row>
    <row r="4686" spans="1:19" x14ac:dyDescent="0.2">
      <c r="A4686" s="11" t="s">
        <v>44913</v>
      </c>
      <c r="B4686" s="9" t="s">
        <v>44914</v>
      </c>
      <c r="C4686" s="9" t="s">
        <v>44915</v>
      </c>
      <c r="D4686" s="9" t="s">
        <v>44916</v>
      </c>
      <c r="E4686" s="9" t="s">
        <v>17748</v>
      </c>
      <c r="F4686" s="9" t="s">
        <v>44917</v>
      </c>
      <c r="G4686" s="9" t="s">
        <v>17740</v>
      </c>
      <c r="H4686" s="11" t="s">
        <v>17741</v>
      </c>
      <c r="I4686" s="11" t="s">
        <v>44918</v>
      </c>
      <c r="J4686" s="11" t="s">
        <v>44918</v>
      </c>
      <c r="K4686" s="9" t="s">
        <v>44919</v>
      </c>
      <c r="L4686" s="9" t="s">
        <v>18025</v>
      </c>
      <c r="M4686" s="9" t="s">
        <v>17760</v>
      </c>
      <c r="N4686" s="9" t="s">
        <v>17746</v>
      </c>
      <c r="O4686" s="9" t="s">
        <v>17993</v>
      </c>
      <c r="P4686" s="9" t="s">
        <v>17748</v>
      </c>
      <c r="Q4686" s="11" t="s">
        <v>17780</v>
      </c>
      <c r="R4686" s="11" t="s">
        <v>17780</v>
      </c>
      <c r="S4686" s="11" t="s">
        <v>17750</v>
      </c>
    </row>
    <row r="4687" spans="1:19" x14ac:dyDescent="0.2">
      <c r="A4687" s="11" t="s">
        <v>44920</v>
      </c>
      <c r="B4687" s="9" t="s">
        <v>44921</v>
      </c>
      <c r="C4687" s="9" t="s">
        <v>44922</v>
      </c>
      <c r="D4687" s="9" t="s">
        <v>44923</v>
      </c>
      <c r="E4687" s="9" t="s">
        <v>17740</v>
      </c>
      <c r="F4687" s="9" t="s">
        <v>17741</v>
      </c>
      <c r="G4687" s="9" t="s">
        <v>17740</v>
      </c>
      <c r="H4687" s="11" t="s">
        <v>17741</v>
      </c>
      <c r="I4687" s="11" t="s">
        <v>44924</v>
      </c>
      <c r="J4687" s="11" t="s">
        <v>44924</v>
      </c>
      <c r="K4687" s="9" t="s">
        <v>44925</v>
      </c>
      <c r="L4687" s="9" t="s">
        <v>17759</v>
      </c>
      <c r="M4687" s="9" t="s">
        <v>17760</v>
      </c>
      <c r="N4687" s="9" t="s">
        <v>17746</v>
      </c>
      <c r="O4687" s="9" t="s">
        <v>17800</v>
      </c>
      <c r="P4687" s="9" t="s">
        <v>17748</v>
      </c>
      <c r="Q4687" s="11" t="s">
        <v>20789</v>
      </c>
      <c r="R4687" s="11" t="s">
        <v>20789</v>
      </c>
      <c r="S4687" s="11" t="s">
        <v>17750</v>
      </c>
    </row>
    <row r="4688" spans="1:19" x14ac:dyDescent="0.2">
      <c r="A4688" s="11" t="s">
        <v>44926</v>
      </c>
      <c r="B4688" s="9" t="s">
        <v>15484</v>
      </c>
      <c r="C4688" s="9" t="s">
        <v>44927</v>
      </c>
      <c r="D4688" s="9" t="s">
        <v>44928</v>
      </c>
      <c r="E4688" s="9" t="s">
        <v>17748</v>
      </c>
      <c r="F4688" s="9" t="s">
        <v>44929</v>
      </c>
      <c r="G4688" s="9" t="s">
        <v>17740</v>
      </c>
      <c r="H4688" s="11" t="s">
        <v>15486</v>
      </c>
      <c r="I4688" s="11" t="s">
        <v>15485</v>
      </c>
      <c r="J4688" s="11" t="s">
        <v>15485</v>
      </c>
      <c r="K4688" s="9" t="s">
        <v>32260</v>
      </c>
      <c r="L4688" s="9" t="s">
        <v>18123</v>
      </c>
      <c r="M4688" s="9" t="s">
        <v>23186</v>
      </c>
      <c r="N4688" s="9" t="s">
        <v>18042</v>
      </c>
      <c r="O4688" s="9" t="s">
        <v>17993</v>
      </c>
      <c r="P4688" s="9" t="s">
        <v>17748</v>
      </c>
      <c r="Q4688" s="11" t="s">
        <v>17808</v>
      </c>
      <c r="R4688" s="11" t="s">
        <v>17808</v>
      </c>
      <c r="S4688" s="11" t="s">
        <v>17750</v>
      </c>
    </row>
    <row r="4689" spans="1:19" x14ac:dyDescent="0.2">
      <c r="A4689" s="11" t="s">
        <v>44930</v>
      </c>
      <c r="B4689" s="9" t="s">
        <v>44931</v>
      </c>
      <c r="C4689" s="9" t="s">
        <v>44932</v>
      </c>
      <c r="D4689" s="9" t="s">
        <v>44933</v>
      </c>
      <c r="E4689" s="9" t="s">
        <v>17740</v>
      </c>
      <c r="F4689" s="9" t="s">
        <v>17741</v>
      </c>
      <c r="G4689" s="9" t="s">
        <v>17740</v>
      </c>
      <c r="H4689" s="11" t="s">
        <v>17741</v>
      </c>
      <c r="I4689" s="11" t="s">
        <v>44934</v>
      </c>
      <c r="J4689" s="11" t="s">
        <v>44934</v>
      </c>
      <c r="K4689" s="9" t="s">
        <v>44935</v>
      </c>
      <c r="L4689" s="9" t="s">
        <v>18158</v>
      </c>
      <c r="M4689" s="9" t="s">
        <v>19168</v>
      </c>
      <c r="N4689" s="9" t="s">
        <v>18185</v>
      </c>
      <c r="O4689" s="9" t="s">
        <v>25241</v>
      </c>
      <c r="P4689" s="9" t="s">
        <v>17748</v>
      </c>
      <c r="Q4689" s="11" t="s">
        <v>19978</v>
      </c>
      <c r="R4689" s="11" t="s">
        <v>19978</v>
      </c>
      <c r="S4689" s="11" t="s">
        <v>17750</v>
      </c>
    </row>
    <row r="4690" spans="1:19" x14ac:dyDescent="0.2">
      <c r="A4690" s="11" t="s">
        <v>44936</v>
      </c>
      <c r="B4690" s="9" t="s">
        <v>44937</v>
      </c>
      <c r="C4690" s="9" t="s">
        <v>44938</v>
      </c>
      <c r="D4690" s="9" t="s">
        <v>44939</v>
      </c>
      <c r="E4690" s="9" t="s">
        <v>17740</v>
      </c>
      <c r="F4690" s="9" t="s">
        <v>44940</v>
      </c>
      <c r="G4690" s="9" t="s">
        <v>17740</v>
      </c>
      <c r="H4690" s="11" t="s">
        <v>44941</v>
      </c>
      <c r="I4690" s="11" t="s">
        <v>44942</v>
      </c>
      <c r="J4690" s="11" t="s">
        <v>44942</v>
      </c>
      <c r="K4690" s="9" t="s">
        <v>724</v>
      </c>
      <c r="L4690" s="9" t="s">
        <v>17759</v>
      </c>
      <c r="M4690" s="9" t="s">
        <v>22224</v>
      </c>
      <c r="N4690" s="9" t="s">
        <v>17746</v>
      </c>
      <c r="O4690" s="9" t="s">
        <v>44943</v>
      </c>
      <c r="P4690" s="9" t="s">
        <v>17748</v>
      </c>
      <c r="Q4690" s="11" t="s">
        <v>17819</v>
      </c>
      <c r="R4690" s="11" t="s">
        <v>17819</v>
      </c>
      <c r="S4690" s="11" t="s">
        <v>17750</v>
      </c>
    </row>
    <row r="4691" spans="1:19" x14ac:dyDescent="0.2">
      <c r="A4691" s="11" t="s">
        <v>44944</v>
      </c>
      <c r="B4691" s="9" t="s">
        <v>44945</v>
      </c>
      <c r="C4691" s="9" t="s">
        <v>44946</v>
      </c>
      <c r="D4691" s="9" t="s">
        <v>44947</v>
      </c>
      <c r="E4691" s="9" t="s">
        <v>17740</v>
      </c>
      <c r="F4691" s="9" t="s">
        <v>17741</v>
      </c>
      <c r="G4691" s="9" t="s">
        <v>17740</v>
      </c>
      <c r="H4691" s="11" t="s">
        <v>44948</v>
      </c>
      <c r="I4691" s="11" t="s">
        <v>44949</v>
      </c>
      <c r="J4691" s="11" t="s">
        <v>44949</v>
      </c>
      <c r="K4691" s="9" t="s">
        <v>291</v>
      </c>
      <c r="L4691" s="9" t="s">
        <v>17744</v>
      </c>
      <c r="M4691" s="9" t="s">
        <v>17760</v>
      </c>
      <c r="N4691" s="9" t="s">
        <v>17746</v>
      </c>
      <c r="O4691" s="9" t="s">
        <v>17807</v>
      </c>
      <c r="P4691" s="9" t="s">
        <v>17748</v>
      </c>
      <c r="Q4691" s="11" t="s">
        <v>18272</v>
      </c>
      <c r="R4691" s="11" t="s">
        <v>18272</v>
      </c>
      <c r="S4691" s="11" t="s">
        <v>17750</v>
      </c>
    </row>
    <row r="4692" spans="1:19" x14ac:dyDescent="0.2">
      <c r="A4692" s="11" t="s">
        <v>44950</v>
      </c>
      <c r="B4692" s="9" t="s">
        <v>44951</v>
      </c>
      <c r="C4692" s="9" t="s">
        <v>44952</v>
      </c>
      <c r="D4692" s="9" t="s">
        <v>44953</v>
      </c>
      <c r="E4692" s="9" t="s">
        <v>17740</v>
      </c>
      <c r="F4692" s="9" t="s">
        <v>17741</v>
      </c>
      <c r="G4692" s="9" t="s">
        <v>17740</v>
      </c>
      <c r="H4692" s="11" t="s">
        <v>3469</v>
      </c>
      <c r="I4692" s="11" t="s">
        <v>3468</v>
      </c>
      <c r="J4692" s="11" t="s">
        <v>3468</v>
      </c>
      <c r="K4692" s="9" t="s">
        <v>17805</v>
      </c>
      <c r="L4692" s="9" t="s">
        <v>17744</v>
      </c>
      <c r="M4692" s="9" t="s">
        <v>33209</v>
      </c>
      <c r="N4692" s="9" t="s">
        <v>17746</v>
      </c>
      <c r="O4692" s="9" t="s">
        <v>22858</v>
      </c>
      <c r="P4692" s="9" t="s">
        <v>17748</v>
      </c>
      <c r="Q4692" s="11" t="s">
        <v>18433</v>
      </c>
      <c r="R4692" s="11" t="s">
        <v>18433</v>
      </c>
      <c r="S4692" s="11" t="s">
        <v>17750</v>
      </c>
    </row>
    <row r="4693" spans="1:19" x14ac:dyDescent="0.2">
      <c r="A4693" s="11" t="s">
        <v>44954</v>
      </c>
      <c r="B4693" s="9" t="s">
        <v>44955</v>
      </c>
      <c r="C4693" s="9" t="s">
        <v>44956</v>
      </c>
      <c r="D4693" s="9" t="s">
        <v>44957</v>
      </c>
      <c r="E4693" s="9" t="s">
        <v>17748</v>
      </c>
      <c r="F4693" s="9" t="s">
        <v>44958</v>
      </c>
      <c r="G4693" s="9" t="s">
        <v>17740</v>
      </c>
      <c r="H4693" s="11" t="s">
        <v>44959</v>
      </c>
      <c r="I4693" s="11" t="s">
        <v>44960</v>
      </c>
      <c r="J4693" s="11" t="s">
        <v>44960</v>
      </c>
      <c r="K4693" s="9" t="s">
        <v>291</v>
      </c>
      <c r="L4693" s="9" t="s">
        <v>17744</v>
      </c>
      <c r="M4693" s="9" t="s">
        <v>17760</v>
      </c>
      <c r="N4693" s="9" t="s">
        <v>17746</v>
      </c>
      <c r="O4693" s="9" t="s">
        <v>18754</v>
      </c>
      <c r="P4693" s="9" t="s">
        <v>17748</v>
      </c>
      <c r="Q4693" s="11" t="s">
        <v>18201</v>
      </c>
      <c r="R4693" s="11" t="s">
        <v>18201</v>
      </c>
      <c r="S4693" s="11" t="s">
        <v>17750</v>
      </c>
    </row>
    <row r="4694" spans="1:19" x14ac:dyDescent="0.2">
      <c r="A4694" s="11" t="s">
        <v>44961</v>
      </c>
      <c r="B4694" s="9" t="s">
        <v>44962</v>
      </c>
      <c r="C4694" s="9" t="s">
        <v>44963</v>
      </c>
      <c r="D4694" s="9" t="s">
        <v>44964</v>
      </c>
      <c r="E4694" s="9" t="s">
        <v>17740</v>
      </c>
      <c r="F4694" s="9" t="s">
        <v>17741</v>
      </c>
      <c r="G4694" s="9" t="s">
        <v>17740</v>
      </c>
      <c r="H4694" s="11" t="s">
        <v>17741</v>
      </c>
      <c r="I4694" s="11" t="s">
        <v>6724</v>
      </c>
      <c r="J4694" s="11" t="s">
        <v>6724</v>
      </c>
      <c r="K4694" s="9" t="s">
        <v>6725</v>
      </c>
      <c r="L4694" s="9" t="s">
        <v>20359</v>
      </c>
      <c r="M4694" s="9" t="s">
        <v>44965</v>
      </c>
      <c r="N4694" s="9" t="s">
        <v>17746</v>
      </c>
      <c r="O4694" s="9" t="s">
        <v>17779</v>
      </c>
      <c r="P4694" s="9" t="s">
        <v>17748</v>
      </c>
      <c r="Q4694" s="11" t="s">
        <v>18147</v>
      </c>
      <c r="R4694" s="11" t="s">
        <v>18147</v>
      </c>
      <c r="S4694" s="11" t="s">
        <v>17750</v>
      </c>
    </row>
    <row r="4695" spans="1:19" x14ac:dyDescent="0.2">
      <c r="A4695" s="11" t="s">
        <v>44966</v>
      </c>
      <c r="B4695" s="9" t="s">
        <v>44967</v>
      </c>
      <c r="C4695" s="9" t="s">
        <v>44968</v>
      </c>
      <c r="D4695" s="9" t="s">
        <v>44969</v>
      </c>
      <c r="E4695" s="9" t="s">
        <v>17740</v>
      </c>
      <c r="F4695" s="9" t="s">
        <v>44970</v>
      </c>
      <c r="G4695" s="9" t="s">
        <v>17740</v>
      </c>
      <c r="H4695" s="11" t="s">
        <v>17741</v>
      </c>
      <c r="I4695" s="11" t="s">
        <v>3471</v>
      </c>
      <c r="J4695" s="11" t="s">
        <v>3471</v>
      </c>
      <c r="K4695" s="9" t="s">
        <v>20386</v>
      </c>
      <c r="L4695" s="9" t="s">
        <v>20359</v>
      </c>
      <c r="M4695" s="9" t="s">
        <v>44971</v>
      </c>
      <c r="N4695" s="9" t="s">
        <v>18042</v>
      </c>
      <c r="O4695" s="9" t="s">
        <v>38577</v>
      </c>
      <c r="P4695" s="9" t="s">
        <v>17748</v>
      </c>
      <c r="Q4695" s="11" t="s">
        <v>17978</v>
      </c>
      <c r="R4695" s="11" t="s">
        <v>17978</v>
      </c>
      <c r="S4695" s="11" t="s">
        <v>17750</v>
      </c>
    </row>
    <row r="4696" spans="1:19" x14ac:dyDescent="0.2">
      <c r="A4696" s="11" t="s">
        <v>44972</v>
      </c>
      <c r="B4696" s="9" t="s">
        <v>44973</v>
      </c>
      <c r="C4696" s="9" t="s">
        <v>44974</v>
      </c>
      <c r="D4696" s="9" t="s">
        <v>44975</v>
      </c>
      <c r="E4696" s="9" t="s">
        <v>17740</v>
      </c>
      <c r="F4696" s="9" t="s">
        <v>17741</v>
      </c>
      <c r="G4696" s="9" t="s">
        <v>17740</v>
      </c>
      <c r="H4696" s="11" t="s">
        <v>44976</v>
      </c>
      <c r="I4696" s="11" t="s">
        <v>17741</v>
      </c>
      <c r="J4696" s="11" t="s">
        <v>17741</v>
      </c>
      <c r="K4696" s="9" t="s">
        <v>44977</v>
      </c>
      <c r="L4696" s="9" t="s">
        <v>17759</v>
      </c>
      <c r="M4696" s="9" t="s">
        <v>17741</v>
      </c>
      <c r="N4696" s="9" t="s">
        <v>17746</v>
      </c>
      <c r="O4696" s="9" t="s">
        <v>3524</v>
      </c>
      <c r="P4696" s="9" t="s">
        <v>17748</v>
      </c>
      <c r="Q4696" s="11" t="s">
        <v>17780</v>
      </c>
      <c r="R4696" s="11" t="s">
        <v>17780</v>
      </c>
      <c r="S4696" s="11" t="s">
        <v>17750</v>
      </c>
    </row>
    <row r="4697" spans="1:19" x14ac:dyDescent="0.2">
      <c r="A4697" s="11" t="s">
        <v>44978</v>
      </c>
      <c r="B4697" s="9" t="s">
        <v>44979</v>
      </c>
      <c r="C4697" s="9" t="s">
        <v>44980</v>
      </c>
      <c r="D4697" s="9" t="s">
        <v>44981</v>
      </c>
      <c r="E4697" s="9" t="s">
        <v>17740</v>
      </c>
      <c r="F4697" s="9" t="s">
        <v>17741</v>
      </c>
      <c r="G4697" s="9" t="s">
        <v>17740</v>
      </c>
      <c r="H4697" s="11" t="s">
        <v>44982</v>
      </c>
      <c r="I4697" s="11" t="s">
        <v>44983</v>
      </c>
      <c r="J4697" s="11" t="s">
        <v>44983</v>
      </c>
      <c r="K4697" s="9" t="s">
        <v>18832</v>
      </c>
      <c r="L4697" s="9" t="s">
        <v>17759</v>
      </c>
      <c r="M4697" s="9" t="s">
        <v>17760</v>
      </c>
      <c r="N4697" s="9" t="s">
        <v>17746</v>
      </c>
      <c r="O4697" s="9" t="s">
        <v>3734</v>
      </c>
      <c r="P4697" s="9" t="s">
        <v>17748</v>
      </c>
      <c r="Q4697" s="11" t="s">
        <v>17784</v>
      </c>
      <c r="R4697" s="11" t="s">
        <v>17784</v>
      </c>
      <c r="S4697" s="11" t="s">
        <v>17750</v>
      </c>
    </row>
    <row r="4698" spans="1:19" x14ac:dyDescent="0.2">
      <c r="A4698" s="11" t="s">
        <v>44984</v>
      </c>
      <c r="B4698" s="9" t="s">
        <v>44985</v>
      </c>
      <c r="C4698" s="9" t="s">
        <v>44986</v>
      </c>
      <c r="D4698" s="9" t="s">
        <v>44987</v>
      </c>
      <c r="E4698" s="9" t="s">
        <v>17740</v>
      </c>
      <c r="F4698" s="9" t="s">
        <v>17741</v>
      </c>
      <c r="G4698" s="9" t="s">
        <v>17740</v>
      </c>
      <c r="H4698" s="11" t="s">
        <v>3529</v>
      </c>
      <c r="I4698" s="11" t="s">
        <v>3528</v>
      </c>
      <c r="J4698" s="11" t="s">
        <v>3528</v>
      </c>
      <c r="K4698" s="9" t="s">
        <v>601</v>
      </c>
      <c r="L4698" s="9" t="s">
        <v>17759</v>
      </c>
      <c r="M4698" s="9" t="s">
        <v>18109</v>
      </c>
      <c r="N4698" s="9" t="s">
        <v>17746</v>
      </c>
      <c r="O4698" s="9" t="s">
        <v>3524</v>
      </c>
      <c r="P4698" s="9" t="s">
        <v>17748</v>
      </c>
      <c r="Q4698" s="11" t="s">
        <v>19082</v>
      </c>
      <c r="R4698" s="11" t="s">
        <v>19082</v>
      </c>
      <c r="S4698" s="11" t="s">
        <v>17750</v>
      </c>
    </row>
    <row r="4699" spans="1:19" x14ac:dyDescent="0.2">
      <c r="A4699" s="11" t="s">
        <v>44988</v>
      </c>
      <c r="B4699" s="9" t="s">
        <v>44989</v>
      </c>
      <c r="C4699" s="9" t="s">
        <v>44990</v>
      </c>
      <c r="D4699" s="9" t="s">
        <v>44991</v>
      </c>
      <c r="E4699" s="9" t="s">
        <v>17740</v>
      </c>
      <c r="F4699" s="9" t="s">
        <v>17741</v>
      </c>
      <c r="G4699" s="9" t="s">
        <v>17740</v>
      </c>
      <c r="H4699" s="11" t="s">
        <v>44992</v>
      </c>
      <c r="I4699" s="11" t="s">
        <v>44993</v>
      </c>
      <c r="J4699" s="11" t="s">
        <v>44993</v>
      </c>
      <c r="K4699" s="9" t="s">
        <v>34878</v>
      </c>
      <c r="L4699" s="9" t="s">
        <v>18001</v>
      </c>
      <c r="M4699" s="9" t="s">
        <v>44994</v>
      </c>
      <c r="N4699" s="9" t="s">
        <v>17746</v>
      </c>
      <c r="O4699" s="9" t="s">
        <v>18563</v>
      </c>
      <c r="P4699" s="9" t="s">
        <v>17748</v>
      </c>
      <c r="Q4699" s="11" t="s">
        <v>19515</v>
      </c>
      <c r="R4699" s="11" t="s">
        <v>19515</v>
      </c>
      <c r="S4699" s="11" t="s">
        <v>17750</v>
      </c>
    </row>
    <row r="4700" spans="1:19" x14ac:dyDescent="0.2">
      <c r="A4700" s="11" t="s">
        <v>44995</v>
      </c>
      <c r="B4700" s="9" t="s">
        <v>44996</v>
      </c>
      <c r="C4700" s="9" t="s">
        <v>44997</v>
      </c>
      <c r="D4700" s="9" t="s">
        <v>44998</v>
      </c>
      <c r="E4700" s="9" t="s">
        <v>17740</v>
      </c>
      <c r="F4700" s="9" t="s">
        <v>17741</v>
      </c>
      <c r="G4700" s="9" t="s">
        <v>17740</v>
      </c>
      <c r="H4700" s="11" t="s">
        <v>17741</v>
      </c>
      <c r="I4700" s="11" t="s">
        <v>44999</v>
      </c>
      <c r="J4700" s="11" t="s">
        <v>44999</v>
      </c>
      <c r="K4700" s="9" t="s">
        <v>22405</v>
      </c>
      <c r="L4700" s="9" t="s">
        <v>18854</v>
      </c>
      <c r="M4700" s="9" t="s">
        <v>18065</v>
      </c>
      <c r="N4700" s="9" t="s">
        <v>20237</v>
      </c>
      <c r="O4700" s="9" t="s">
        <v>45000</v>
      </c>
      <c r="P4700" s="9" t="s">
        <v>17748</v>
      </c>
      <c r="Q4700" s="11" t="s">
        <v>18072</v>
      </c>
      <c r="R4700" s="11" t="s">
        <v>18072</v>
      </c>
      <c r="S4700" s="11" t="s">
        <v>17750</v>
      </c>
    </row>
    <row r="4701" spans="1:19" x14ac:dyDescent="0.2">
      <c r="A4701" s="11" t="s">
        <v>45001</v>
      </c>
      <c r="B4701" s="9" t="s">
        <v>45002</v>
      </c>
      <c r="C4701" s="9" t="s">
        <v>45003</v>
      </c>
      <c r="D4701" s="9" t="s">
        <v>45004</v>
      </c>
      <c r="E4701" s="9" t="s">
        <v>17740</v>
      </c>
      <c r="F4701" s="9" t="s">
        <v>17741</v>
      </c>
      <c r="G4701" s="9" t="s">
        <v>17740</v>
      </c>
      <c r="H4701" s="11" t="s">
        <v>17741</v>
      </c>
      <c r="I4701" s="11" t="s">
        <v>45005</v>
      </c>
      <c r="J4701" s="11" t="s">
        <v>45005</v>
      </c>
      <c r="K4701" s="9" t="s">
        <v>45006</v>
      </c>
      <c r="L4701" s="9" t="s">
        <v>45007</v>
      </c>
      <c r="M4701" s="9" t="s">
        <v>18745</v>
      </c>
      <c r="N4701" s="9" t="s">
        <v>17746</v>
      </c>
      <c r="O4701" s="9" t="s">
        <v>18833</v>
      </c>
      <c r="P4701" s="9" t="s">
        <v>17748</v>
      </c>
      <c r="Q4701" s="11" t="s">
        <v>19222</v>
      </c>
      <c r="R4701" s="11" t="s">
        <v>19222</v>
      </c>
      <c r="S4701" s="11" t="s">
        <v>17750</v>
      </c>
    </row>
    <row r="4702" spans="1:19" x14ac:dyDescent="0.2">
      <c r="A4702" s="11" t="s">
        <v>45008</v>
      </c>
      <c r="B4702" s="9" t="s">
        <v>45009</v>
      </c>
      <c r="C4702" s="9" t="s">
        <v>45010</v>
      </c>
      <c r="D4702" s="9" t="s">
        <v>45011</v>
      </c>
      <c r="E4702" s="9" t="s">
        <v>17740</v>
      </c>
      <c r="F4702" s="9" t="s">
        <v>17741</v>
      </c>
      <c r="G4702" s="9" t="s">
        <v>17740</v>
      </c>
      <c r="H4702" s="11" t="s">
        <v>3464</v>
      </c>
      <c r="I4702" s="11" t="s">
        <v>3463</v>
      </c>
      <c r="J4702" s="11" t="s">
        <v>3463</v>
      </c>
      <c r="K4702" s="9" t="s">
        <v>19775</v>
      </c>
      <c r="L4702" s="9" t="s">
        <v>17759</v>
      </c>
      <c r="M4702" s="9" t="s">
        <v>17760</v>
      </c>
      <c r="N4702" s="9" t="s">
        <v>17746</v>
      </c>
      <c r="O4702" s="9" t="s">
        <v>19423</v>
      </c>
      <c r="P4702" s="9" t="s">
        <v>17748</v>
      </c>
      <c r="Q4702" s="11" t="s">
        <v>17771</v>
      </c>
      <c r="R4702" s="11" t="s">
        <v>17771</v>
      </c>
      <c r="S4702" s="11" t="s">
        <v>17750</v>
      </c>
    </row>
    <row r="4703" spans="1:19" x14ac:dyDescent="0.2">
      <c r="A4703" s="11" t="s">
        <v>45012</v>
      </c>
      <c r="B4703" s="9" t="s">
        <v>45013</v>
      </c>
      <c r="C4703" s="9" t="s">
        <v>45014</v>
      </c>
      <c r="D4703" s="9" t="s">
        <v>45015</v>
      </c>
      <c r="E4703" s="9" t="s">
        <v>17740</v>
      </c>
      <c r="F4703" s="9" t="s">
        <v>17741</v>
      </c>
      <c r="G4703" s="9" t="s">
        <v>17740</v>
      </c>
      <c r="H4703" s="11" t="s">
        <v>11685</v>
      </c>
      <c r="I4703" s="11" t="s">
        <v>11684</v>
      </c>
      <c r="J4703" s="11" t="s">
        <v>11685</v>
      </c>
      <c r="K4703" s="9" t="s">
        <v>91</v>
      </c>
      <c r="L4703" s="9" t="s">
        <v>17744</v>
      </c>
      <c r="M4703" s="9" t="s">
        <v>45016</v>
      </c>
      <c r="N4703" s="9" t="s">
        <v>17746</v>
      </c>
      <c r="O4703" s="9" t="s">
        <v>45017</v>
      </c>
      <c r="P4703" s="9" t="s">
        <v>17748</v>
      </c>
      <c r="Q4703" s="11" t="s">
        <v>45018</v>
      </c>
      <c r="R4703" s="11" t="s">
        <v>45018</v>
      </c>
      <c r="S4703" s="11" t="s">
        <v>17750</v>
      </c>
    </row>
    <row r="4704" spans="1:19" x14ac:dyDescent="0.2">
      <c r="A4704" s="11" t="s">
        <v>45019</v>
      </c>
      <c r="B4704" s="9" t="s">
        <v>45020</v>
      </c>
      <c r="C4704" s="9" t="s">
        <v>45021</v>
      </c>
      <c r="D4704" s="9" t="s">
        <v>45022</v>
      </c>
      <c r="E4704" s="9" t="s">
        <v>17740</v>
      </c>
      <c r="F4704" s="9" t="s">
        <v>45023</v>
      </c>
      <c r="G4704" s="9" t="s">
        <v>17740</v>
      </c>
      <c r="H4704" s="11" t="s">
        <v>8831</v>
      </c>
      <c r="I4704" s="11" t="s">
        <v>8830</v>
      </c>
      <c r="J4704" s="11" t="s">
        <v>8830</v>
      </c>
      <c r="K4704" s="9" t="s">
        <v>8832</v>
      </c>
      <c r="L4704" s="9" t="s">
        <v>17744</v>
      </c>
      <c r="M4704" s="9" t="s">
        <v>45024</v>
      </c>
      <c r="N4704" s="9" t="s">
        <v>17746</v>
      </c>
      <c r="O4704" s="9" t="s">
        <v>45025</v>
      </c>
      <c r="P4704" s="9" t="s">
        <v>17748</v>
      </c>
      <c r="Q4704" s="11" t="s">
        <v>17784</v>
      </c>
      <c r="R4704" s="11" t="s">
        <v>17784</v>
      </c>
      <c r="S4704" s="11" t="s">
        <v>17750</v>
      </c>
    </row>
    <row r="4705" spans="1:19" x14ac:dyDescent="0.2">
      <c r="A4705" s="11" t="s">
        <v>45026</v>
      </c>
      <c r="B4705" s="9" t="s">
        <v>45027</v>
      </c>
      <c r="C4705" s="9" t="s">
        <v>45028</v>
      </c>
      <c r="D4705" s="9" t="s">
        <v>45029</v>
      </c>
      <c r="E4705" s="9" t="s">
        <v>17748</v>
      </c>
      <c r="F4705" s="9" t="s">
        <v>45030</v>
      </c>
      <c r="G4705" s="9" t="s">
        <v>17740</v>
      </c>
      <c r="H4705" s="11" t="s">
        <v>17741</v>
      </c>
      <c r="I4705" s="11" t="s">
        <v>45031</v>
      </c>
      <c r="J4705" s="11" t="s">
        <v>45031</v>
      </c>
      <c r="K4705" s="9" t="s">
        <v>45032</v>
      </c>
      <c r="L4705" s="9" t="s">
        <v>17744</v>
      </c>
      <c r="M4705" s="9" t="s">
        <v>17760</v>
      </c>
      <c r="N4705" s="9" t="s">
        <v>17746</v>
      </c>
      <c r="O4705" s="9" t="s">
        <v>18340</v>
      </c>
      <c r="P4705" s="9" t="s">
        <v>17748</v>
      </c>
      <c r="Q4705" s="11" t="s">
        <v>17923</v>
      </c>
      <c r="R4705" s="11" t="s">
        <v>17923</v>
      </c>
      <c r="S4705" s="11" t="s">
        <v>17750</v>
      </c>
    </row>
    <row r="4706" spans="1:19" x14ac:dyDescent="0.2">
      <c r="A4706" s="11" t="s">
        <v>45033</v>
      </c>
      <c r="B4706" s="9" t="s">
        <v>45034</v>
      </c>
      <c r="C4706" s="9" t="s">
        <v>45035</v>
      </c>
      <c r="D4706" s="9" t="s">
        <v>45036</v>
      </c>
      <c r="E4706" s="9" t="s">
        <v>17740</v>
      </c>
      <c r="F4706" s="9" t="s">
        <v>17741</v>
      </c>
      <c r="G4706" s="9" t="s">
        <v>17740</v>
      </c>
      <c r="H4706" s="11" t="s">
        <v>45037</v>
      </c>
      <c r="I4706" s="11" t="s">
        <v>45038</v>
      </c>
      <c r="J4706" s="11" t="s">
        <v>45038</v>
      </c>
      <c r="K4706" s="9" t="s">
        <v>724</v>
      </c>
      <c r="L4706" s="9" t="s">
        <v>17744</v>
      </c>
      <c r="M4706" s="9" t="s">
        <v>17760</v>
      </c>
      <c r="N4706" s="9" t="s">
        <v>17746</v>
      </c>
      <c r="O4706" s="9" t="s">
        <v>45039</v>
      </c>
      <c r="P4706" s="9" t="s">
        <v>17748</v>
      </c>
      <c r="Q4706" s="11" t="s">
        <v>17784</v>
      </c>
      <c r="R4706" s="11" t="s">
        <v>17784</v>
      </c>
      <c r="S4706" s="11" t="s">
        <v>17750</v>
      </c>
    </row>
    <row r="4707" spans="1:19" x14ac:dyDescent="0.2">
      <c r="A4707" s="11" t="s">
        <v>45040</v>
      </c>
      <c r="B4707" s="9" t="s">
        <v>45041</v>
      </c>
      <c r="C4707" s="9" t="s">
        <v>45042</v>
      </c>
      <c r="D4707" s="9" t="s">
        <v>45043</v>
      </c>
      <c r="E4707" s="9" t="s">
        <v>17740</v>
      </c>
      <c r="F4707" s="9" t="s">
        <v>17741</v>
      </c>
      <c r="G4707" s="9" t="s">
        <v>17740</v>
      </c>
      <c r="H4707" s="11" t="s">
        <v>45044</v>
      </c>
      <c r="I4707" s="11" t="s">
        <v>45045</v>
      </c>
      <c r="J4707" s="11" t="s">
        <v>45045</v>
      </c>
      <c r="K4707" s="9" t="s">
        <v>33522</v>
      </c>
      <c r="L4707" s="9" t="s">
        <v>18242</v>
      </c>
      <c r="M4707" s="9" t="s">
        <v>17760</v>
      </c>
      <c r="N4707" s="9" t="s">
        <v>17746</v>
      </c>
      <c r="O4707" s="9" t="s">
        <v>19859</v>
      </c>
      <c r="P4707" s="9" t="s">
        <v>17748</v>
      </c>
      <c r="Q4707" s="11" t="s">
        <v>17937</v>
      </c>
      <c r="R4707" s="11" t="s">
        <v>17937</v>
      </c>
      <c r="S4707" s="11" t="s">
        <v>17750</v>
      </c>
    </row>
    <row r="4708" spans="1:19" x14ac:dyDescent="0.2">
      <c r="A4708" s="11" t="s">
        <v>45046</v>
      </c>
      <c r="B4708" s="9" t="s">
        <v>13238</v>
      </c>
      <c r="C4708" s="9" t="s">
        <v>45047</v>
      </c>
      <c r="D4708" s="9" t="s">
        <v>13238</v>
      </c>
      <c r="E4708" s="9" t="s">
        <v>17740</v>
      </c>
      <c r="F4708" s="9" t="s">
        <v>17741</v>
      </c>
      <c r="G4708" s="9" t="s">
        <v>17740</v>
      </c>
      <c r="H4708" s="11" t="s">
        <v>13240</v>
      </c>
      <c r="I4708" s="11" t="s">
        <v>13239</v>
      </c>
      <c r="J4708" s="11" t="s">
        <v>13239</v>
      </c>
      <c r="K4708" s="9" t="s">
        <v>10332</v>
      </c>
      <c r="L4708" s="9" t="s">
        <v>17759</v>
      </c>
      <c r="M4708" s="9" t="s">
        <v>21794</v>
      </c>
      <c r="N4708" s="9" t="s">
        <v>17746</v>
      </c>
      <c r="O4708" s="9" t="s">
        <v>773</v>
      </c>
      <c r="P4708" s="9" t="s">
        <v>17748</v>
      </c>
      <c r="Q4708" s="11" t="s">
        <v>17917</v>
      </c>
      <c r="R4708" s="11" t="s">
        <v>17917</v>
      </c>
      <c r="S4708" s="11" t="s">
        <v>17750</v>
      </c>
    </row>
    <row r="4709" spans="1:19" x14ac:dyDescent="0.2">
      <c r="A4709" s="11" t="s">
        <v>45048</v>
      </c>
      <c r="B4709" s="9" t="s">
        <v>45049</v>
      </c>
      <c r="C4709" s="9" t="s">
        <v>45050</v>
      </c>
      <c r="D4709" s="9" t="s">
        <v>45051</v>
      </c>
      <c r="E4709" s="9" t="s">
        <v>17740</v>
      </c>
      <c r="F4709" s="9" t="s">
        <v>17741</v>
      </c>
      <c r="G4709" s="9" t="s">
        <v>17740</v>
      </c>
      <c r="H4709" s="11" t="s">
        <v>17741</v>
      </c>
      <c r="I4709" s="11" t="s">
        <v>45052</v>
      </c>
      <c r="J4709" s="11" t="s">
        <v>45052</v>
      </c>
      <c r="K4709" s="9" t="s">
        <v>45053</v>
      </c>
      <c r="L4709" s="9" t="s">
        <v>19251</v>
      </c>
      <c r="M4709" s="9" t="s">
        <v>45054</v>
      </c>
      <c r="N4709" s="9" t="s">
        <v>19252</v>
      </c>
      <c r="O4709" s="9" t="s">
        <v>3524</v>
      </c>
      <c r="P4709" s="9" t="s">
        <v>17748</v>
      </c>
      <c r="Q4709" s="11" t="s">
        <v>18608</v>
      </c>
      <c r="R4709" s="11" t="s">
        <v>18608</v>
      </c>
      <c r="S4709" s="11" t="s">
        <v>17750</v>
      </c>
    </row>
    <row r="4710" spans="1:19" x14ac:dyDescent="0.2">
      <c r="A4710" s="11" t="s">
        <v>45055</v>
      </c>
      <c r="B4710" s="9" t="s">
        <v>45056</v>
      </c>
      <c r="C4710" s="9" t="s">
        <v>45057</v>
      </c>
      <c r="D4710" s="9" t="s">
        <v>45058</v>
      </c>
      <c r="E4710" s="9" t="s">
        <v>17748</v>
      </c>
      <c r="F4710" s="9" t="s">
        <v>45059</v>
      </c>
      <c r="G4710" s="9" t="s">
        <v>17740</v>
      </c>
      <c r="H4710" s="11" t="s">
        <v>17741</v>
      </c>
      <c r="I4710" s="11" t="s">
        <v>45060</v>
      </c>
      <c r="J4710" s="11" t="s">
        <v>45060</v>
      </c>
      <c r="K4710" s="9" t="s">
        <v>45061</v>
      </c>
      <c r="L4710" s="9" t="s">
        <v>18854</v>
      </c>
      <c r="M4710" s="9" t="s">
        <v>17769</v>
      </c>
      <c r="N4710" s="9" t="s">
        <v>20237</v>
      </c>
      <c r="O4710" s="9" t="s">
        <v>3524</v>
      </c>
      <c r="P4710" s="9" t="s">
        <v>17748</v>
      </c>
      <c r="Q4710" s="11" t="s">
        <v>18356</v>
      </c>
      <c r="R4710" s="11" t="s">
        <v>18356</v>
      </c>
      <c r="S4710" s="11" t="s">
        <v>17750</v>
      </c>
    </row>
    <row r="4711" spans="1:19" x14ac:dyDescent="0.2">
      <c r="A4711" s="11" t="s">
        <v>45062</v>
      </c>
      <c r="B4711" s="9" t="s">
        <v>45063</v>
      </c>
      <c r="C4711" s="9" t="s">
        <v>45064</v>
      </c>
      <c r="D4711" s="9" t="s">
        <v>45065</v>
      </c>
      <c r="E4711" s="9" t="s">
        <v>17740</v>
      </c>
      <c r="F4711" s="9" t="s">
        <v>17741</v>
      </c>
      <c r="G4711" s="9" t="s">
        <v>17740</v>
      </c>
      <c r="H4711" s="11" t="s">
        <v>17741</v>
      </c>
      <c r="I4711" s="11" t="s">
        <v>45066</v>
      </c>
      <c r="J4711" s="11" t="s">
        <v>45066</v>
      </c>
      <c r="K4711" s="9" t="s">
        <v>45067</v>
      </c>
      <c r="L4711" s="9" t="s">
        <v>17759</v>
      </c>
      <c r="M4711" s="9" t="s">
        <v>17760</v>
      </c>
      <c r="N4711" s="9" t="s">
        <v>17746</v>
      </c>
      <c r="O4711" s="9" t="s">
        <v>45068</v>
      </c>
      <c r="P4711" s="9" t="s">
        <v>17748</v>
      </c>
      <c r="Q4711" s="11" t="s">
        <v>45069</v>
      </c>
      <c r="R4711" s="11" t="s">
        <v>45069</v>
      </c>
      <c r="S4711" s="11" t="s">
        <v>17750</v>
      </c>
    </row>
    <row r="4712" spans="1:19" x14ac:dyDescent="0.2">
      <c r="A4712" s="11" t="s">
        <v>45070</v>
      </c>
      <c r="B4712" s="9" t="s">
        <v>45071</v>
      </c>
      <c r="C4712" s="9" t="s">
        <v>45072</v>
      </c>
      <c r="D4712" s="9" t="s">
        <v>45073</v>
      </c>
      <c r="E4712" s="9" t="s">
        <v>17740</v>
      </c>
      <c r="F4712" s="9" t="s">
        <v>45074</v>
      </c>
      <c r="G4712" s="9" t="s">
        <v>17740</v>
      </c>
      <c r="H4712" s="11" t="s">
        <v>45075</v>
      </c>
      <c r="I4712" s="11" t="s">
        <v>45076</v>
      </c>
      <c r="J4712" s="11" t="s">
        <v>45076</v>
      </c>
      <c r="K4712" s="9" t="s">
        <v>18520</v>
      </c>
      <c r="L4712" s="9" t="s">
        <v>17744</v>
      </c>
      <c r="M4712" s="9" t="s">
        <v>17983</v>
      </c>
      <c r="N4712" s="9" t="s">
        <v>17746</v>
      </c>
      <c r="O4712" s="9" t="s">
        <v>793</v>
      </c>
      <c r="P4712" s="9" t="s">
        <v>17748</v>
      </c>
      <c r="Q4712" s="11" t="s">
        <v>17819</v>
      </c>
      <c r="R4712" s="11" t="s">
        <v>17819</v>
      </c>
      <c r="S4712" s="11" t="s">
        <v>17750</v>
      </c>
    </row>
    <row r="4713" spans="1:19" x14ac:dyDescent="0.2">
      <c r="A4713" s="11" t="s">
        <v>45077</v>
      </c>
      <c r="B4713" s="9" t="s">
        <v>45078</v>
      </c>
      <c r="C4713" s="9" t="s">
        <v>45079</v>
      </c>
      <c r="D4713" s="9" t="s">
        <v>45080</v>
      </c>
      <c r="E4713" s="9" t="s">
        <v>17740</v>
      </c>
      <c r="F4713" s="9" t="s">
        <v>45081</v>
      </c>
      <c r="G4713" s="9" t="s">
        <v>17740</v>
      </c>
      <c r="H4713" s="11" t="s">
        <v>45082</v>
      </c>
      <c r="I4713" s="11" t="s">
        <v>45083</v>
      </c>
      <c r="J4713" s="11" t="s">
        <v>45083</v>
      </c>
      <c r="K4713" s="9" t="s">
        <v>45084</v>
      </c>
      <c r="L4713" s="9" t="s">
        <v>18242</v>
      </c>
      <c r="M4713" s="9" t="s">
        <v>19168</v>
      </c>
      <c r="N4713" s="9" t="s">
        <v>17746</v>
      </c>
      <c r="O4713" s="9" t="s">
        <v>20004</v>
      </c>
      <c r="P4713" s="9" t="s">
        <v>17748</v>
      </c>
      <c r="Q4713" s="11" t="s">
        <v>18600</v>
      </c>
      <c r="R4713" s="11" t="s">
        <v>18600</v>
      </c>
      <c r="S4713" s="11" t="s">
        <v>17750</v>
      </c>
    </row>
    <row r="4714" spans="1:19" x14ac:dyDescent="0.2">
      <c r="A4714" s="11" t="s">
        <v>45085</v>
      </c>
      <c r="B4714" s="9" t="s">
        <v>3443</v>
      </c>
      <c r="C4714" s="9" t="s">
        <v>45086</v>
      </c>
      <c r="D4714" s="9" t="s">
        <v>45087</v>
      </c>
      <c r="E4714" s="9" t="s">
        <v>17740</v>
      </c>
      <c r="F4714" s="9" t="s">
        <v>17741</v>
      </c>
      <c r="G4714" s="9" t="s">
        <v>17740</v>
      </c>
      <c r="H4714" s="11" t="s">
        <v>3445</v>
      </c>
      <c r="I4714" s="11" t="s">
        <v>3444</v>
      </c>
      <c r="J4714" s="11" t="s">
        <v>3444</v>
      </c>
      <c r="K4714" s="9" t="s">
        <v>3446</v>
      </c>
      <c r="L4714" s="9" t="s">
        <v>17759</v>
      </c>
      <c r="M4714" s="9" t="s">
        <v>45088</v>
      </c>
      <c r="N4714" s="9" t="s">
        <v>17746</v>
      </c>
      <c r="O4714" s="9" t="s">
        <v>3734</v>
      </c>
      <c r="P4714" s="9" t="s">
        <v>17748</v>
      </c>
      <c r="Q4714" s="11" t="s">
        <v>38526</v>
      </c>
      <c r="R4714" s="11" t="s">
        <v>38526</v>
      </c>
      <c r="S4714" s="11" t="s">
        <v>17750</v>
      </c>
    </row>
    <row r="4715" spans="1:19" x14ac:dyDescent="0.2">
      <c r="A4715" s="11" t="s">
        <v>45089</v>
      </c>
      <c r="B4715" s="9" t="s">
        <v>45090</v>
      </c>
      <c r="C4715" s="9" t="s">
        <v>45091</v>
      </c>
      <c r="D4715" s="9" t="s">
        <v>45092</v>
      </c>
      <c r="E4715" s="9" t="s">
        <v>17740</v>
      </c>
      <c r="F4715" s="9" t="s">
        <v>17741</v>
      </c>
      <c r="G4715" s="9" t="s">
        <v>17740</v>
      </c>
      <c r="H4715" s="11" t="s">
        <v>7910</v>
      </c>
      <c r="I4715" s="11" t="s">
        <v>7909</v>
      </c>
      <c r="J4715" s="11" t="s">
        <v>7909</v>
      </c>
      <c r="K4715" s="9" t="s">
        <v>23594</v>
      </c>
      <c r="L4715" s="9" t="s">
        <v>17744</v>
      </c>
      <c r="M4715" s="9" t="s">
        <v>45093</v>
      </c>
      <c r="N4715" s="9" t="s">
        <v>17746</v>
      </c>
      <c r="O4715" s="9" t="s">
        <v>18543</v>
      </c>
      <c r="P4715" s="9" t="s">
        <v>17748</v>
      </c>
      <c r="Q4715" s="11" t="s">
        <v>18549</v>
      </c>
      <c r="R4715" s="11" t="s">
        <v>18549</v>
      </c>
      <c r="S4715" s="11" t="s">
        <v>17750</v>
      </c>
    </row>
    <row r="4716" spans="1:19" x14ac:dyDescent="0.2">
      <c r="A4716" s="11" t="s">
        <v>45094</v>
      </c>
      <c r="B4716" s="9" t="s">
        <v>3530</v>
      </c>
      <c r="C4716" s="9" t="s">
        <v>45095</v>
      </c>
      <c r="D4716" s="9" t="s">
        <v>45096</v>
      </c>
      <c r="E4716" s="9" t="s">
        <v>17740</v>
      </c>
      <c r="F4716" s="9" t="s">
        <v>17741</v>
      </c>
      <c r="G4716" s="9" t="s">
        <v>17740</v>
      </c>
      <c r="H4716" s="11" t="s">
        <v>17741</v>
      </c>
      <c r="I4716" s="11" t="s">
        <v>3531</v>
      </c>
      <c r="J4716" s="11" t="s">
        <v>3531</v>
      </c>
      <c r="K4716" s="9" t="s">
        <v>45097</v>
      </c>
      <c r="L4716" s="9" t="s">
        <v>17759</v>
      </c>
      <c r="M4716" s="9" t="s">
        <v>18745</v>
      </c>
      <c r="N4716" s="9" t="s">
        <v>17746</v>
      </c>
      <c r="O4716" s="9" t="s">
        <v>3391</v>
      </c>
      <c r="P4716" s="9" t="s">
        <v>17748</v>
      </c>
      <c r="Q4716" s="11" t="s">
        <v>18805</v>
      </c>
      <c r="R4716" s="11" t="s">
        <v>18805</v>
      </c>
      <c r="S4716" s="11" t="s">
        <v>17750</v>
      </c>
    </row>
    <row r="4717" spans="1:19" x14ac:dyDescent="0.2">
      <c r="A4717" s="11" t="s">
        <v>45098</v>
      </c>
      <c r="B4717" s="9" t="s">
        <v>45099</v>
      </c>
      <c r="C4717" s="9" t="s">
        <v>45100</v>
      </c>
      <c r="D4717" s="9" t="s">
        <v>45101</v>
      </c>
      <c r="E4717" s="9" t="s">
        <v>17748</v>
      </c>
      <c r="F4717" s="9" t="s">
        <v>45102</v>
      </c>
      <c r="G4717" s="9" t="s">
        <v>17740</v>
      </c>
      <c r="H4717" s="11" t="s">
        <v>45103</v>
      </c>
      <c r="I4717" s="11" t="s">
        <v>45104</v>
      </c>
      <c r="J4717" s="11" t="s">
        <v>45104</v>
      </c>
      <c r="K4717" s="9" t="s">
        <v>11354</v>
      </c>
      <c r="L4717" s="9" t="s">
        <v>17744</v>
      </c>
      <c r="M4717" s="9" t="s">
        <v>45105</v>
      </c>
      <c r="N4717" s="9" t="s">
        <v>17746</v>
      </c>
      <c r="O4717" s="9" t="s">
        <v>17977</v>
      </c>
      <c r="P4717" s="9" t="s">
        <v>17748</v>
      </c>
      <c r="Q4717" s="11" t="s">
        <v>17749</v>
      </c>
      <c r="R4717" s="11" t="s">
        <v>17749</v>
      </c>
      <c r="S4717" s="11" t="s">
        <v>17750</v>
      </c>
    </row>
    <row r="4718" spans="1:19" x14ac:dyDescent="0.2">
      <c r="A4718" s="11" t="s">
        <v>45106</v>
      </c>
      <c r="B4718" s="9" t="s">
        <v>45107</v>
      </c>
      <c r="C4718" s="9" t="s">
        <v>45108</v>
      </c>
      <c r="D4718" s="9" t="s">
        <v>45109</v>
      </c>
      <c r="E4718" s="9" t="s">
        <v>17748</v>
      </c>
      <c r="F4718" s="9" t="s">
        <v>45110</v>
      </c>
      <c r="G4718" s="9" t="s">
        <v>17740</v>
      </c>
      <c r="H4718" s="11" t="s">
        <v>45111</v>
      </c>
      <c r="I4718" s="11" t="s">
        <v>45112</v>
      </c>
      <c r="J4718" s="11" t="s">
        <v>45112</v>
      </c>
      <c r="K4718" s="9" t="s">
        <v>26253</v>
      </c>
      <c r="L4718" s="9" t="s">
        <v>17759</v>
      </c>
      <c r="M4718" s="9" t="s">
        <v>17769</v>
      </c>
      <c r="N4718" s="9" t="s">
        <v>17746</v>
      </c>
      <c r="O4718" s="9" t="s">
        <v>24351</v>
      </c>
      <c r="P4718" s="9" t="s">
        <v>17748</v>
      </c>
      <c r="Q4718" s="11" t="s">
        <v>17917</v>
      </c>
      <c r="R4718" s="11" t="s">
        <v>17917</v>
      </c>
      <c r="S4718" s="11" t="s">
        <v>17750</v>
      </c>
    </row>
    <row r="4719" spans="1:19" x14ac:dyDescent="0.2">
      <c r="A4719" s="11" t="s">
        <v>45113</v>
      </c>
      <c r="B4719" s="9" t="s">
        <v>45114</v>
      </c>
      <c r="C4719" s="9" t="s">
        <v>45115</v>
      </c>
      <c r="D4719" s="9" t="s">
        <v>45116</v>
      </c>
      <c r="E4719" s="9" t="s">
        <v>17740</v>
      </c>
      <c r="F4719" s="9" t="s">
        <v>45117</v>
      </c>
      <c r="G4719" s="9" t="s">
        <v>17740</v>
      </c>
      <c r="H4719" s="11" t="s">
        <v>17741</v>
      </c>
      <c r="I4719" s="11" t="s">
        <v>45118</v>
      </c>
      <c r="J4719" s="11" t="s">
        <v>45118</v>
      </c>
      <c r="K4719" s="9" t="s">
        <v>45119</v>
      </c>
      <c r="L4719" s="9" t="s">
        <v>17991</v>
      </c>
      <c r="M4719" s="9" t="s">
        <v>17760</v>
      </c>
      <c r="N4719" s="9" t="s">
        <v>20424</v>
      </c>
      <c r="O4719" s="9" t="s">
        <v>17800</v>
      </c>
      <c r="P4719" s="9" t="s">
        <v>17748</v>
      </c>
      <c r="Q4719" s="11" t="s">
        <v>18282</v>
      </c>
      <c r="R4719" s="11" t="s">
        <v>18282</v>
      </c>
      <c r="S4719" s="11" t="s">
        <v>17750</v>
      </c>
    </row>
    <row r="4720" spans="1:19" x14ac:dyDescent="0.2">
      <c r="A4720" s="11" t="s">
        <v>45120</v>
      </c>
      <c r="B4720" s="9" t="s">
        <v>45121</v>
      </c>
      <c r="C4720" s="9" t="s">
        <v>45122</v>
      </c>
      <c r="D4720" s="9" t="s">
        <v>45123</v>
      </c>
      <c r="E4720" s="9" t="s">
        <v>17748</v>
      </c>
      <c r="F4720" s="9" t="s">
        <v>45124</v>
      </c>
      <c r="G4720" s="9" t="s">
        <v>17740</v>
      </c>
      <c r="H4720" s="11" t="s">
        <v>17741</v>
      </c>
      <c r="I4720" s="11" t="s">
        <v>45125</v>
      </c>
      <c r="J4720" s="11" t="s">
        <v>45125</v>
      </c>
      <c r="K4720" s="9" t="s">
        <v>45126</v>
      </c>
      <c r="L4720" s="9" t="s">
        <v>17759</v>
      </c>
      <c r="M4720" s="9" t="s">
        <v>17769</v>
      </c>
      <c r="N4720" s="9" t="s">
        <v>17746</v>
      </c>
      <c r="O4720" s="9" t="s">
        <v>17857</v>
      </c>
      <c r="P4720" s="9" t="s">
        <v>17748</v>
      </c>
      <c r="Q4720" s="11" t="s">
        <v>17762</v>
      </c>
      <c r="R4720" s="11" t="s">
        <v>17762</v>
      </c>
      <c r="S4720" s="11" t="s">
        <v>17750</v>
      </c>
    </row>
    <row r="4721" spans="1:19" x14ac:dyDescent="0.2">
      <c r="A4721" s="11" t="s">
        <v>45127</v>
      </c>
      <c r="B4721" s="9" t="s">
        <v>45128</v>
      </c>
      <c r="C4721" s="9" t="s">
        <v>45129</v>
      </c>
      <c r="D4721" s="9" t="s">
        <v>45130</v>
      </c>
      <c r="E4721" s="9" t="s">
        <v>17740</v>
      </c>
      <c r="F4721" s="9" t="s">
        <v>45131</v>
      </c>
      <c r="G4721" s="9" t="s">
        <v>17740</v>
      </c>
      <c r="H4721" s="11" t="s">
        <v>17741</v>
      </c>
      <c r="I4721" s="11" t="s">
        <v>10840</v>
      </c>
      <c r="J4721" s="11" t="s">
        <v>10840</v>
      </c>
      <c r="K4721" s="9" t="s">
        <v>45132</v>
      </c>
      <c r="L4721" s="9" t="s">
        <v>18001</v>
      </c>
      <c r="M4721" s="9" t="s">
        <v>18745</v>
      </c>
      <c r="N4721" s="9" t="s">
        <v>17746</v>
      </c>
      <c r="O4721" s="9" t="s">
        <v>45133</v>
      </c>
      <c r="P4721" s="9" t="s">
        <v>17748</v>
      </c>
      <c r="Q4721" s="11" t="s">
        <v>17858</v>
      </c>
      <c r="R4721" s="11" t="s">
        <v>17858</v>
      </c>
      <c r="S4721" s="11" t="s">
        <v>17750</v>
      </c>
    </row>
    <row r="4722" spans="1:19" x14ac:dyDescent="0.2">
      <c r="A4722" s="11" t="s">
        <v>45134</v>
      </c>
      <c r="B4722" s="9" t="s">
        <v>45135</v>
      </c>
      <c r="C4722" s="9" t="s">
        <v>45136</v>
      </c>
      <c r="D4722" s="9" t="s">
        <v>45137</v>
      </c>
      <c r="E4722" s="9" t="s">
        <v>17740</v>
      </c>
      <c r="F4722" s="9" t="s">
        <v>17741</v>
      </c>
      <c r="G4722" s="9" t="s">
        <v>17740</v>
      </c>
      <c r="H4722" s="11" t="s">
        <v>17741</v>
      </c>
      <c r="I4722" s="11" t="s">
        <v>45138</v>
      </c>
      <c r="J4722" s="11" t="s">
        <v>45138</v>
      </c>
      <c r="K4722" s="9" t="s">
        <v>45139</v>
      </c>
      <c r="L4722" s="9" t="s">
        <v>20359</v>
      </c>
      <c r="M4722" s="9" t="s">
        <v>17769</v>
      </c>
      <c r="N4722" s="9" t="s">
        <v>18042</v>
      </c>
      <c r="O4722" s="9" t="s">
        <v>4025</v>
      </c>
      <c r="P4722" s="9" t="s">
        <v>17748</v>
      </c>
      <c r="Q4722" s="11" t="s">
        <v>18080</v>
      </c>
      <c r="R4722" s="11" t="s">
        <v>18080</v>
      </c>
      <c r="S4722" s="11" t="s">
        <v>17750</v>
      </c>
    </row>
    <row r="4723" spans="1:19" x14ac:dyDescent="0.2">
      <c r="A4723" s="11" t="s">
        <v>45140</v>
      </c>
      <c r="B4723" s="9" t="s">
        <v>45141</v>
      </c>
      <c r="C4723" s="9" t="s">
        <v>45142</v>
      </c>
      <c r="D4723" s="9" t="s">
        <v>45143</v>
      </c>
      <c r="E4723" s="9" t="s">
        <v>17740</v>
      </c>
      <c r="F4723" s="9" t="s">
        <v>45144</v>
      </c>
      <c r="G4723" s="9" t="s">
        <v>17740</v>
      </c>
      <c r="H4723" s="11" t="s">
        <v>45145</v>
      </c>
      <c r="I4723" s="11" t="s">
        <v>45146</v>
      </c>
      <c r="J4723" s="11" t="s">
        <v>45146</v>
      </c>
      <c r="K4723" s="9" t="s">
        <v>17865</v>
      </c>
      <c r="L4723" s="9" t="s">
        <v>17744</v>
      </c>
      <c r="M4723" s="9" t="s">
        <v>45147</v>
      </c>
      <c r="N4723" s="9" t="s">
        <v>17746</v>
      </c>
      <c r="O4723" s="9" t="s">
        <v>45148</v>
      </c>
      <c r="P4723" s="9" t="s">
        <v>17748</v>
      </c>
      <c r="Q4723" s="11" t="s">
        <v>17849</v>
      </c>
      <c r="R4723" s="11" t="s">
        <v>17849</v>
      </c>
      <c r="S4723" s="11" t="s">
        <v>17750</v>
      </c>
    </row>
    <row r="4724" spans="1:19" x14ac:dyDescent="0.2">
      <c r="A4724" s="11" t="s">
        <v>45149</v>
      </c>
      <c r="B4724" s="9" t="s">
        <v>45150</v>
      </c>
      <c r="C4724" s="9" t="s">
        <v>45151</v>
      </c>
      <c r="D4724" s="9" t="s">
        <v>45152</v>
      </c>
      <c r="E4724" s="9" t="s">
        <v>17740</v>
      </c>
      <c r="F4724" s="9" t="s">
        <v>17741</v>
      </c>
      <c r="G4724" s="9" t="s">
        <v>17740</v>
      </c>
      <c r="H4724" s="11" t="s">
        <v>3327</v>
      </c>
      <c r="I4724" s="11" t="s">
        <v>3326</v>
      </c>
      <c r="J4724" s="11" t="s">
        <v>3326</v>
      </c>
      <c r="K4724" s="9" t="s">
        <v>91</v>
      </c>
      <c r="L4724" s="9" t="s">
        <v>18001</v>
      </c>
      <c r="M4724" s="9" t="s">
        <v>17942</v>
      </c>
      <c r="N4724" s="9" t="s">
        <v>17746</v>
      </c>
      <c r="O4724" s="9" t="s">
        <v>903</v>
      </c>
      <c r="P4724" s="9" t="s">
        <v>17748</v>
      </c>
      <c r="Q4724" s="11" t="s">
        <v>17849</v>
      </c>
      <c r="R4724" s="11" t="s">
        <v>17849</v>
      </c>
      <c r="S4724" s="11" t="s">
        <v>17750</v>
      </c>
    </row>
    <row r="4725" spans="1:19" x14ac:dyDescent="0.2">
      <c r="A4725" s="11" t="s">
        <v>45153</v>
      </c>
      <c r="B4725" s="9" t="s">
        <v>45154</v>
      </c>
      <c r="C4725" s="9" t="s">
        <v>45155</v>
      </c>
      <c r="D4725" s="9" t="s">
        <v>45156</v>
      </c>
      <c r="E4725" s="9" t="s">
        <v>17740</v>
      </c>
      <c r="F4725" s="9" t="s">
        <v>17741</v>
      </c>
      <c r="G4725" s="9" t="s">
        <v>17740</v>
      </c>
      <c r="H4725" s="11" t="s">
        <v>3336</v>
      </c>
      <c r="I4725" s="11" t="s">
        <v>3335</v>
      </c>
      <c r="J4725" s="11" t="s">
        <v>3335</v>
      </c>
      <c r="K4725" s="9" t="s">
        <v>45157</v>
      </c>
      <c r="L4725" s="9" t="s">
        <v>17759</v>
      </c>
      <c r="M4725" s="9" t="s">
        <v>17769</v>
      </c>
      <c r="N4725" s="9" t="s">
        <v>17746</v>
      </c>
      <c r="O4725" s="9" t="s">
        <v>20367</v>
      </c>
      <c r="P4725" s="9" t="s">
        <v>17748</v>
      </c>
      <c r="Q4725" s="11" t="s">
        <v>18805</v>
      </c>
      <c r="R4725" s="11" t="s">
        <v>18805</v>
      </c>
      <c r="S4725" s="11" t="s">
        <v>17750</v>
      </c>
    </row>
    <row r="4726" spans="1:19" x14ac:dyDescent="0.2">
      <c r="A4726" s="11" t="s">
        <v>45158</v>
      </c>
      <c r="B4726" s="9" t="s">
        <v>45159</v>
      </c>
      <c r="C4726" s="9" t="s">
        <v>45160</v>
      </c>
      <c r="D4726" s="9" t="s">
        <v>45161</v>
      </c>
      <c r="E4726" s="9" t="s">
        <v>17740</v>
      </c>
      <c r="F4726" s="9" t="s">
        <v>17741</v>
      </c>
      <c r="G4726" s="9" t="s">
        <v>17740</v>
      </c>
      <c r="H4726" s="11" t="s">
        <v>45162</v>
      </c>
      <c r="I4726" s="11" t="s">
        <v>45163</v>
      </c>
      <c r="J4726" s="11" t="s">
        <v>45163</v>
      </c>
      <c r="K4726" s="9" t="s">
        <v>23783</v>
      </c>
      <c r="L4726" s="9" t="s">
        <v>17759</v>
      </c>
      <c r="M4726" s="9" t="s">
        <v>17760</v>
      </c>
      <c r="N4726" s="9" t="s">
        <v>17746</v>
      </c>
      <c r="O4726" s="9" t="s">
        <v>3524</v>
      </c>
      <c r="P4726" s="9" t="s">
        <v>17748</v>
      </c>
      <c r="Q4726" s="11" t="s">
        <v>17917</v>
      </c>
      <c r="R4726" s="11" t="s">
        <v>17917</v>
      </c>
      <c r="S4726" s="11" t="s">
        <v>17750</v>
      </c>
    </row>
    <row r="4727" spans="1:19" x14ac:dyDescent="0.2">
      <c r="A4727" s="11" t="s">
        <v>45164</v>
      </c>
      <c r="B4727" s="9" t="s">
        <v>45165</v>
      </c>
      <c r="C4727" s="9" t="s">
        <v>45166</v>
      </c>
      <c r="D4727" s="9" t="s">
        <v>45167</v>
      </c>
      <c r="E4727" s="9" t="s">
        <v>17740</v>
      </c>
      <c r="F4727" s="9" t="s">
        <v>45168</v>
      </c>
      <c r="G4727" s="9" t="s">
        <v>17740</v>
      </c>
      <c r="H4727" s="11" t="s">
        <v>17741</v>
      </c>
      <c r="I4727" s="11" t="s">
        <v>1617</v>
      </c>
      <c r="J4727" s="11" t="s">
        <v>1617</v>
      </c>
      <c r="K4727" s="9" t="s">
        <v>45169</v>
      </c>
      <c r="L4727" s="9" t="s">
        <v>18123</v>
      </c>
      <c r="M4727" s="9" t="s">
        <v>45170</v>
      </c>
      <c r="N4727" s="9" t="s">
        <v>17746</v>
      </c>
      <c r="O4727" s="9" t="s">
        <v>3391</v>
      </c>
      <c r="P4727" s="9" t="s">
        <v>17748</v>
      </c>
      <c r="Q4727" s="11" t="s">
        <v>17883</v>
      </c>
      <c r="R4727" s="11" t="s">
        <v>17883</v>
      </c>
      <c r="S4727" s="11" t="s">
        <v>17750</v>
      </c>
    </row>
    <row r="4728" spans="1:19" x14ac:dyDescent="0.2">
      <c r="A4728" s="11" t="s">
        <v>45171</v>
      </c>
      <c r="B4728" s="9" t="s">
        <v>45172</v>
      </c>
      <c r="C4728" s="9" t="s">
        <v>45173</v>
      </c>
      <c r="D4728" s="9" t="s">
        <v>45174</v>
      </c>
      <c r="E4728" s="9" t="s">
        <v>17740</v>
      </c>
      <c r="F4728" s="9" t="s">
        <v>17741</v>
      </c>
      <c r="G4728" s="9" t="s">
        <v>17740</v>
      </c>
      <c r="H4728" s="11" t="s">
        <v>45175</v>
      </c>
      <c r="I4728" s="11" t="s">
        <v>45176</v>
      </c>
      <c r="J4728" s="11" t="s">
        <v>45176</v>
      </c>
      <c r="K4728" s="9" t="s">
        <v>18122</v>
      </c>
      <c r="L4728" s="9" t="s">
        <v>18123</v>
      </c>
      <c r="M4728" s="9" t="s">
        <v>17942</v>
      </c>
      <c r="N4728" s="9" t="s">
        <v>17746</v>
      </c>
      <c r="O4728" s="9" t="s">
        <v>18363</v>
      </c>
      <c r="P4728" s="9" t="s">
        <v>17748</v>
      </c>
      <c r="Q4728" s="11" t="s">
        <v>18556</v>
      </c>
      <c r="R4728" s="11" t="s">
        <v>18556</v>
      </c>
      <c r="S4728" s="11" t="s">
        <v>17750</v>
      </c>
    </row>
    <row r="4729" spans="1:19" x14ac:dyDescent="0.2">
      <c r="A4729" s="11" t="s">
        <v>45177</v>
      </c>
      <c r="B4729" s="9" t="s">
        <v>45178</v>
      </c>
      <c r="C4729" s="9" t="s">
        <v>45179</v>
      </c>
      <c r="D4729" s="9" t="s">
        <v>45180</v>
      </c>
      <c r="E4729" s="9" t="s">
        <v>17740</v>
      </c>
      <c r="F4729" s="9" t="s">
        <v>17741</v>
      </c>
      <c r="G4729" s="9" t="s">
        <v>17740</v>
      </c>
      <c r="H4729" s="11" t="s">
        <v>3387</v>
      </c>
      <c r="I4729" s="11" t="s">
        <v>3386</v>
      </c>
      <c r="J4729" s="11" t="s">
        <v>3386</v>
      </c>
      <c r="K4729" s="9" t="s">
        <v>31234</v>
      </c>
      <c r="L4729" s="9" t="s">
        <v>18158</v>
      </c>
      <c r="M4729" s="9" t="s">
        <v>17760</v>
      </c>
      <c r="N4729" s="9" t="s">
        <v>17746</v>
      </c>
      <c r="O4729" s="9" t="s">
        <v>18186</v>
      </c>
      <c r="P4729" s="9" t="s">
        <v>17748</v>
      </c>
      <c r="Q4729" s="11" t="s">
        <v>18282</v>
      </c>
      <c r="R4729" s="11" t="s">
        <v>18282</v>
      </c>
      <c r="S4729" s="11" t="s">
        <v>17750</v>
      </c>
    </row>
    <row r="4730" spans="1:19" x14ac:dyDescent="0.2">
      <c r="A4730" s="11" t="s">
        <v>45181</v>
      </c>
      <c r="B4730" s="9" t="s">
        <v>45182</v>
      </c>
      <c r="C4730" s="9" t="s">
        <v>45183</v>
      </c>
      <c r="D4730" s="9" t="s">
        <v>45184</v>
      </c>
      <c r="E4730" s="9" t="s">
        <v>17740</v>
      </c>
      <c r="F4730" s="9" t="s">
        <v>45185</v>
      </c>
      <c r="G4730" s="9" t="s">
        <v>17740</v>
      </c>
      <c r="H4730" s="11" t="s">
        <v>3433</v>
      </c>
      <c r="I4730" s="11" t="s">
        <v>3432</v>
      </c>
      <c r="J4730" s="11" t="s">
        <v>3432</v>
      </c>
      <c r="K4730" s="9" t="s">
        <v>25921</v>
      </c>
      <c r="L4730" s="9" t="s">
        <v>17744</v>
      </c>
      <c r="M4730" s="9" t="s">
        <v>45186</v>
      </c>
      <c r="N4730" s="9" t="s">
        <v>17746</v>
      </c>
      <c r="O4730" s="9" t="s">
        <v>773</v>
      </c>
      <c r="P4730" s="9" t="s">
        <v>17748</v>
      </c>
      <c r="Q4730" s="11" t="s">
        <v>19335</v>
      </c>
      <c r="R4730" s="11" t="s">
        <v>19335</v>
      </c>
      <c r="S4730" s="11" t="s">
        <v>17750</v>
      </c>
    </row>
    <row r="4731" spans="1:19" x14ac:dyDescent="0.2">
      <c r="A4731" s="11" t="s">
        <v>45187</v>
      </c>
      <c r="B4731" s="9" t="s">
        <v>45188</v>
      </c>
      <c r="C4731" s="9" t="s">
        <v>45189</v>
      </c>
      <c r="D4731" s="9" t="s">
        <v>45190</v>
      </c>
      <c r="E4731" s="9" t="s">
        <v>17740</v>
      </c>
      <c r="F4731" s="9" t="s">
        <v>17741</v>
      </c>
      <c r="G4731" s="9" t="s">
        <v>17740</v>
      </c>
      <c r="H4731" s="11" t="s">
        <v>17741</v>
      </c>
      <c r="I4731" s="11" t="s">
        <v>10842</v>
      </c>
      <c r="J4731" s="11" t="s">
        <v>10842</v>
      </c>
      <c r="K4731" s="9" t="s">
        <v>91</v>
      </c>
      <c r="L4731" s="9" t="s">
        <v>18001</v>
      </c>
      <c r="M4731" s="9" t="s">
        <v>18745</v>
      </c>
      <c r="N4731" s="9" t="s">
        <v>17746</v>
      </c>
      <c r="O4731" s="9" t="s">
        <v>45191</v>
      </c>
      <c r="P4731" s="9" t="s">
        <v>17748</v>
      </c>
      <c r="Q4731" s="11" t="s">
        <v>18306</v>
      </c>
      <c r="R4731" s="11" t="s">
        <v>18306</v>
      </c>
      <c r="S4731" s="11" t="s">
        <v>17750</v>
      </c>
    </row>
    <row r="4732" spans="1:19" x14ac:dyDescent="0.2">
      <c r="A4732" s="11" t="s">
        <v>45192</v>
      </c>
      <c r="B4732" s="9" t="s">
        <v>45193</v>
      </c>
      <c r="C4732" s="9" t="s">
        <v>45194</v>
      </c>
      <c r="D4732" s="9" t="s">
        <v>45195</v>
      </c>
      <c r="E4732" s="9" t="s">
        <v>17740</v>
      </c>
      <c r="F4732" s="9" t="s">
        <v>17741</v>
      </c>
      <c r="G4732" s="9" t="s">
        <v>17740</v>
      </c>
      <c r="H4732" s="11" t="s">
        <v>17741</v>
      </c>
      <c r="I4732" s="11" t="s">
        <v>45196</v>
      </c>
      <c r="J4732" s="11" t="s">
        <v>45196</v>
      </c>
      <c r="K4732" s="9" t="s">
        <v>18727</v>
      </c>
      <c r="L4732" s="9" t="s">
        <v>17759</v>
      </c>
      <c r="M4732" s="9" t="s">
        <v>17942</v>
      </c>
      <c r="N4732" s="9" t="s">
        <v>17746</v>
      </c>
      <c r="O4732" s="9" t="s">
        <v>18762</v>
      </c>
      <c r="P4732" s="9" t="s">
        <v>17748</v>
      </c>
      <c r="Q4732" s="11" t="s">
        <v>17867</v>
      </c>
      <c r="R4732" s="11" t="s">
        <v>17867</v>
      </c>
      <c r="S4732" s="11" t="s">
        <v>17750</v>
      </c>
    </row>
    <row r="4733" spans="1:19" x14ac:dyDescent="0.2">
      <c r="A4733" s="11" t="s">
        <v>45197</v>
      </c>
      <c r="B4733" s="9" t="s">
        <v>45198</v>
      </c>
      <c r="C4733" s="9" t="s">
        <v>45199</v>
      </c>
      <c r="D4733" s="9" t="s">
        <v>45200</v>
      </c>
      <c r="E4733" s="9" t="s">
        <v>17748</v>
      </c>
      <c r="F4733" s="9" t="s">
        <v>45201</v>
      </c>
      <c r="G4733" s="9" t="s">
        <v>17740</v>
      </c>
      <c r="H4733" s="11" t="s">
        <v>45202</v>
      </c>
      <c r="I4733" s="11" t="s">
        <v>14700</v>
      </c>
      <c r="J4733" s="11" t="s">
        <v>14700</v>
      </c>
      <c r="K4733" s="9" t="s">
        <v>45203</v>
      </c>
      <c r="L4733" s="9" t="s">
        <v>18001</v>
      </c>
      <c r="M4733" s="9" t="s">
        <v>17741</v>
      </c>
      <c r="N4733" s="9" t="s">
        <v>17746</v>
      </c>
      <c r="O4733" s="9" t="s">
        <v>22268</v>
      </c>
      <c r="P4733" s="9" t="s">
        <v>17748</v>
      </c>
      <c r="Q4733" s="11" t="s">
        <v>18370</v>
      </c>
      <c r="R4733" s="11" t="s">
        <v>18370</v>
      </c>
      <c r="S4733" s="11" t="s">
        <v>17750</v>
      </c>
    </row>
    <row r="4734" spans="1:19" x14ac:dyDescent="0.2">
      <c r="A4734" s="11" t="s">
        <v>45204</v>
      </c>
      <c r="B4734" s="9" t="s">
        <v>45205</v>
      </c>
      <c r="C4734" s="9" t="s">
        <v>45206</v>
      </c>
      <c r="D4734" s="9" t="s">
        <v>45207</v>
      </c>
      <c r="E4734" s="9" t="s">
        <v>17740</v>
      </c>
      <c r="F4734" s="9" t="s">
        <v>17741</v>
      </c>
      <c r="G4734" s="9" t="s">
        <v>17740</v>
      </c>
      <c r="H4734" s="11" t="s">
        <v>3378</v>
      </c>
      <c r="I4734" s="11" t="s">
        <v>3377</v>
      </c>
      <c r="J4734" s="11" t="s">
        <v>3377</v>
      </c>
      <c r="K4734" s="9" t="s">
        <v>17865</v>
      </c>
      <c r="L4734" s="9" t="s">
        <v>17744</v>
      </c>
      <c r="M4734" s="9" t="s">
        <v>19203</v>
      </c>
      <c r="N4734" s="9" t="s">
        <v>17746</v>
      </c>
      <c r="O4734" s="9" t="s">
        <v>18281</v>
      </c>
      <c r="P4734" s="9" t="s">
        <v>17748</v>
      </c>
      <c r="Q4734" s="11" t="s">
        <v>18243</v>
      </c>
      <c r="R4734" s="11" t="s">
        <v>18243</v>
      </c>
      <c r="S4734" s="11" t="s">
        <v>17750</v>
      </c>
    </row>
    <row r="4735" spans="1:19" x14ac:dyDescent="0.2">
      <c r="A4735" s="11" t="s">
        <v>45208</v>
      </c>
      <c r="B4735" s="9" t="s">
        <v>45209</v>
      </c>
      <c r="C4735" s="9" t="s">
        <v>45210</v>
      </c>
      <c r="D4735" s="9" t="s">
        <v>45211</v>
      </c>
      <c r="E4735" s="9" t="s">
        <v>17740</v>
      </c>
      <c r="F4735" s="9" t="s">
        <v>17741</v>
      </c>
      <c r="G4735" s="9" t="s">
        <v>17740</v>
      </c>
      <c r="H4735" s="11" t="s">
        <v>45212</v>
      </c>
      <c r="I4735" s="11" t="s">
        <v>45213</v>
      </c>
      <c r="J4735" s="11" t="s">
        <v>45213</v>
      </c>
      <c r="K4735" s="9" t="s">
        <v>18122</v>
      </c>
      <c r="L4735" s="9" t="s">
        <v>18123</v>
      </c>
      <c r="M4735" s="9" t="s">
        <v>45214</v>
      </c>
      <c r="N4735" s="9" t="s">
        <v>17746</v>
      </c>
      <c r="O4735" s="9" t="s">
        <v>3176</v>
      </c>
      <c r="P4735" s="9" t="s">
        <v>17748</v>
      </c>
      <c r="Q4735" s="11" t="s">
        <v>20251</v>
      </c>
      <c r="R4735" s="11" t="s">
        <v>20251</v>
      </c>
      <c r="S4735" s="11" t="s">
        <v>17750</v>
      </c>
    </row>
    <row r="4736" spans="1:19" x14ac:dyDescent="0.2">
      <c r="A4736" s="11" t="s">
        <v>45215</v>
      </c>
      <c r="B4736" s="9" t="s">
        <v>45216</v>
      </c>
      <c r="C4736" s="9" t="s">
        <v>45217</v>
      </c>
      <c r="D4736" s="9" t="s">
        <v>45218</v>
      </c>
      <c r="E4736" s="9" t="s">
        <v>17740</v>
      </c>
      <c r="F4736" s="9" t="s">
        <v>45219</v>
      </c>
      <c r="G4736" s="9" t="s">
        <v>17740</v>
      </c>
      <c r="H4736" s="11" t="s">
        <v>3449</v>
      </c>
      <c r="I4736" s="11" t="s">
        <v>3448</v>
      </c>
      <c r="J4736" s="11" t="s">
        <v>3448</v>
      </c>
      <c r="K4736" s="9" t="s">
        <v>17865</v>
      </c>
      <c r="L4736" s="9" t="s">
        <v>17744</v>
      </c>
      <c r="M4736" s="9" t="s">
        <v>18177</v>
      </c>
      <c r="N4736" s="9" t="s">
        <v>17746</v>
      </c>
      <c r="O4736" s="9" t="s">
        <v>42590</v>
      </c>
      <c r="P4736" s="9" t="s">
        <v>17748</v>
      </c>
      <c r="Q4736" s="11" t="s">
        <v>19515</v>
      </c>
      <c r="R4736" s="11" t="s">
        <v>19515</v>
      </c>
      <c r="S4736" s="11" t="s">
        <v>17750</v>
      </c>
    </row>
    <row r="4737" spans="1:19" x14ac:dyDescent="0.2">
      <c r="A4737" s="11" t="s">
        <v>45220</v>
      </c>
      <c r="B4737" s="9" t="s">
        <v>45221</v>
      </c>
      <c r="C4737" s="9" t="s">
        <v>45222</v>
      </c>
      <c r="D4737" s="9" t="s">
        <v>45223</v>
      </c>
      <c r="E4737" s="9" t="s">
        <v>17740</v>
      </c>
      <c r="F4737" s="9" t="s">
        <v>17741</v>
      </c>
      <c r="G4737" s="9" t="s">
        <v>17740</v>
      </c>
      <c r="H4737" s="11" t="s">
        <v>45224</v>
      </c>
      <c r="I4737" s="11" t="s">
        <v>45225</v>
      </c>
      <c r="J4737" s="11" t="s">
        <v>45225</v>
      </c>
      <c r="K4737" s="9" t="s">
        <v>91</v>
      </c>
      <c r="L4737" s="9" t="s">
        <v>17744</v>
      </c>
      <c r="M4737" s="9" t="s">
        <v>45226</v>
      </c>
      <c r="N4737" s="9" t="s">
        <v>17746</v>
      </c>
      <c r="O4737" s="9" t="s">
        <v>20618</v>
      </c>
      <c r="P4737" s="9" t="s">
        <v>17748</v>
      </c>
      <c r="Q4737" s="11" t="s">
        <v>20251</v>
      </c>
      <c r="R4737" s="11" t="s">
        <v>20251</v>
      </c>
      <c r="S4737" s="11" t="s">
        <v>17750</v>
      </c>
    </row>
    <row r="4738" spans="1:19" x14ac:dyDescent="0.2">
      <c r="A4738" s="11" t="s">
        <v>45227</v>
      </c>
      <c r="B4738" s="9" t="s">
        <v>45228</v>
      </c>
      <c r="C4738" s="9" t="s">
        <v>45229</v>
      </c>
      <c r="D4738" s="9" t="s">
        <v>45230</v>
      </c>
      <c r="E4738" s="9" t="s">
        <v>17740</v>
      </c>
      <c r="F4738" s="9" t="s">
        <v>17741</v>
      </c>
      <c r="G4738" s="9" t="s">
        <v>17740</v>
      </c>
      <c r="H4738" s="11" t="s">
        <v>14550</v>
      </c>
      <c r="I4738" s="11" t="s">
        <v>14549</v>
      </c>
      <c r="J4738" s="11" t="s">
        <v>14549</v>
      </c>
      <c r="K4738" s="9" t="s">
        <v>91</v>
      </c>
      <c r="L4738" s="9" t="s">
        <v>18158</v>
      </c>
      <c r="M4738" s="9" t="s">
        <v>45231</v>
      </c>
      <c r="N4738" s="9" t="s">
        <v>17746</v>
      </c>
      <c r="O4738" s="9" t="s">
        <v>18340</v>
      </c>
      <c r="P4738" s="9" t="s">
        <v>17748</v>
      </c>
      <c r="Q4738" s="11" t="s">
        <v>17784</v>
      </c>
      <c r="R4738" s="11" t="s">
        <v>17784</v>
      </c>
      <c r="S4738" s="11" t="s">
        <v>17750</v>
      </c>
    </row>
    <row r="4739" spans="1:19" x14ac:dyDescent="0.2">
      <c r="A4739" s="11" t="s">
        <v>45232</v>
      </c>
      <c r="B4739" s="9" t="s">
        <v>45233</v>
      </c>
      <c r="C4739" s="9" t="s">
        <v>45234</v>
      </c>
      <c r="D4739" s="9" t="s">
        <v>45235</v>
      </c>
      <c r="E4739" s="9" t="s">
        <v>17740</v>
      </c>
      <c r="F4739" s="9" t="s">
        <v>45236</v>
      </c>
      <c r="G4739" s="9" t="s">
        <v>17740</v>
      </c>
      <c r="H4739" s="11" t="s">
        <v>6188</v>
      </c>
      <c r="I4739" s="11" t="s">
        <v>6187</v>
      </c>
      <c r="J4739" s="11" t="s">
        <v>6187</v>
      </c>
      <c r="K4739" s="9" t="s">
        <v>25921</v>
      </c>
      <c r="L4739" s="9" t="s">
        <v>17744</v>
      </c>
      <c r="M4739" s="9" t="s">
        <v>22041</v>
      </c>
      <c r="N4739" s="9" t="s">
        <v>17746</v>
      </c>
      <c r="O4739" s="9" t="s">
        <v>3255</v>
      </c>
      <c r="P4739" s="9" t="s">
        <v>17748</v>
      </c>
      <c r="Q4739" s="11" t="s">
        <v>17808</v>
      </c>
      <c r="R4739" s="11" t="s">
        <v>17808</v>
      </c>
      <c r="S4739" s="11" t="s">
        <v>17750</v>
      </c>
    </row>
    <row r="4740" spans="1:19" x14ac:dyDescent="0.2">
      <c r="A4740" s="11" t="s">
        <v>45237</v>
      </c>
      <c r="B4740" s="9" t="s">
        <v>45238</v>
      </c>
      <c r="C4740" s="9" t="s">
        <v>45239</v>
      </c>
      <c r="D4740" s="9" t="s">
        <v>45240</v>
      </c>
      <c r="E4740" s="9" t="s">
        <v>17748</v>
      </c>
      <c r="F4740" s="9" t="s">
        <v>45241</v>
      </c>
      <c r="G4740" s="9" t="s">
        <v>17740</v>
      </c>
      <c r="H4740" s="11" t="s">
        <v>17741</v>
      </c>
      <c r="I4740" s="11" t="s">
        <v>45242</v>
      </c>
      <c r="J4740" s="11" t="s">
        <v>45243</v>
      </c>
      <c r="K4740" s="9" t="s">
        <v>17741</v>
      </c>
      <c r="L4740" s="9" t="s">
        <v>18288</v>
      </c>
      <c r="M4740" s="9" t="s">
        <v>17942</v>
      </c>
      <c r="N4740" s="9" t="s">
        <v>17746</v>
      </c>
      <c r="O4740" s="9" t="s">
        <v>17882</v>
      </c>
      <c r="P4740" s="9" t="s">
        <v>17748</v>
      </c>
      <c r="Q4740" s="11" t="s">
        <v>17909</v>
      </c>
      <c r="R4740" s="11" t="s">
        <v>17909</v>
      </c>
      <c r="S4740" s="11" t="s">
        <v>17750</v>
      </c>
    </row>
    <row r="4741" spans="1:19" x14ac:dyDescent="0.2">
      <c r="A4741" s="11" t="s">
        <v>45244</v>
      </c>
      <c r="B4741" s="9" t="s">
        <v>45245</v>
      </c>
      <c r="C4741" s="9" t="s">
        <v>45246</v>
      </c>
      <c r="D4741" s="9" t="s">
        <v>45247</v>
      </c>
      <c r="E4741" s="9" t="s">
        <v>17748</v>
      </c>
      <c r="F4741" s="9" t="s">
        <v>45248</v>
      </c>
      <c r="G4741" s="9" t="s">
        <v>17740</v>
      </c>
      <c r="H4741" s="11" t="s">
        <v>17741</v>
      </c>
      <c r="I4741" s="11" t="s">
        <v>45249</v>
      </c>
      <c r="J4741" s="11" t="s">
        <v>45249</v>
      </c>
      <c r="K4741" s="9" t="s">
        <v>45250</v>
      </c>
      <c r="L4741" s="9" t="s">
        <v>17759</v>
      </c>
      <c r="M4741" s="9" t="s">
        <v>21794</v>
      </c>
      <c r="N4741" s="9" t="s">
        <v>17746</v>
      </c>
      <c r="O4741" s="9" t="s">
        <v>45251</v>
      </c>
      <c r="P4741" s="9" t="s">
        <v>17748</v>
      </c>
      <c r="Q4741" s="11" t="s">
        <v>17784</v>
      </c>
      <c r="R4741" s="11" t="s">
        <v>17784</v>
      </c>
      <c r="S4741" s="11" t="s">
        <v>17750</v>
      </c>
    </row>
    <row r="4742" spans="1:19" x14ac:dyDescent="0.2">
      <c r="A4742" s="11" t="s">
        <v>45252</v>
      </c>
      <c r="B4742" s="9" t="s">
        <v>45253</v>
      </c>
      <c r="C4742" s="9" t="s">
        <v>45254</v>
      </c>
      <c r="D4742" s="9" t="s">
        <v>45255</v>
      </c>
      <c r="E4742" s="9" t="s">
        <v>17748</v>
      </c>
      <c r="F4742" s="9" t="s">
        <v>45256</v>
      </c>
      <c r="G4742" s="9" t="s">
        <v>17740</v>
      </c>
      <c r="H4742" s="11" t="s">
        <v>17741</v>
      </c>
      <c r="I4742" s="11" t="s">
        <v>45257</v>
      </c>
      <c r="J4742" s="11" t="s">
        <v>45257</v>
      </c>
      <c r="K4742" s="9" t="s">
        <v>45258</v>
      </c>
      <c r="L4742" s="9" t="s">
        <v>17759</v>
      </c>
      <c r="M4742" s="9" t="s">
        <v>26369</v>
      </c>
      <c r="N4742" s="9" t="s">
        <v>17746</v>
      </c>
      <c r="O4742" s="9" t="s">
        <v>19147</v>
      </c>
      <c r="P4742" s="9" t="s">
        <v>17748</v>
      </c>
      <c r="Q4742" s="11" t="s">
        <v>18272</v>
      </c>
      <c r="R4742" s="11" t="s">
        <v>18272</v>
      </c>
      <c r="S4742" s="11" t="s">
        <v>17750</v>
      </c>
    </row>
    <row r="4743" spans="1:19" x14ac:dyDescent="0.2">
      <c r="A4743" s="11" t="s">
        <v>45259</v>
      </c>
      <c r="B4743" s="9" t="s">
        <v>45260</v>
      </c>
      <c r="C4743" s="9" t="s">
        <v>45261</v>
      </c>
      <c r="D4743" s="9" t="s">
        <v>45262</v>
      </c>
      <c r="E4743" s="9" t="s">
        <v>17748</v>
      </c>
      <c r="F4743" s="9" t="s">
        <v>45263</v>
      </c>
      <c r="G4743" s="9" t="s">
        <v>17740</v>
      </c>
      <c r="H4743" s="11" t="s">
        <v>17741</v>
      </c>
      <c r="I4743" s="11" t="s">
        <v>7856</v>
      </c>
      <c r="J4743" s="11" t="s">
        <v>7856</v>
      </c>
      <c r="K4743" s="9" t="s">
        <v>18661</v>
      </c>
      <c r="L4743" s="9" t="s">
        <v>17759</v>
      </c>
      <c r="M4743" s="9" t="s">
        <v>17817</v>
      </c>
      <c r="N4743" s="9" t="s">
        <v>17746</v>
      </c>
      <c r="O4743" s="9" t="s">
        <v>1535</v>
      </c>
      <c r="P4743" s="9" t="s">
        <v>17748</v>
      </c>
      <c r="Q4743" s="11" t="s">
        <v>18798</v>
      </c>
      <c r="R4743" s="11" t="s">
        <v>18798</v>
      </c>
      <c r="S4743" s="11" t="s">
        <v>17750</v>
      </c>
    </row>
    <row r="4744" spans="1:19" x14ac:dyDescent="0.2">
      <c r="A4744" s="11" t="s">
        <v>45264</v>
      </c>
      <c r="B4744" s="9" t="s">
        <v>45265</v>
      </c>
      <c r="C4744" s="9" t="s">
        <v>45266</v>
      </c>
      <c r="D4744" s="9" t="s">
        <v>45267</v>
      </c>
      <c r="E4744" s="9" t="s">
        <v>17740</v>
      </c>
      <c r="F4744" s="9" t="s">
        <v>45268</v>
      </c>
      <c r="G4744" s="9" t="s">
        <v>17740</v>
      </c>
      <c r="H4744" s="11" t="s">
        <v>4673</v>
      </c>
      <c r="I4744" s="11" t="s">
        <v>4672</v>
      </c>
      <c r="J4744" s="11" t="s">
        <v>4672</v>
      </c>
      <c r="K4744" s="9" t="s">
        <v>831</v>
      </c>
      <c r="L4744" s="9" t="s">
        <v>23607</v>
      </c>
      <c r="M4744" s="9" t="s">
        <v>17817</v>
      </c>
      <c r="N4744" s="9" t="s">
        <v>17746</v>
      </c>
      <c r="O4744" s="9" t="s">
        <v>1535</v>
      </c>
      <c r="P4744" s="9" t="s">
        <v>17748</v>
      </c>
      <c r="Q4744" s="11" t="s">
        <v>18678</v>
      </c>
      <c r="R4744" s="11" t="s">
        <v>18678</v>
      </c>
      <c r="S4744" s="11" t="s">
        <v>17750</v>
      </c>
    </row>
    <row r="4745" spans="1:19" x14ac:dyDescent="0.2">
      <c r="A4745" s="11" t="s">
        <v>45269</v>
      </c>
      <c r="B4745" s="9" t="s">
        <v>45270</v>
      </c>
      <c r="C4745" s="9" t="s">
        <v>45271</v>
      </c>
      <c r="D4745" s="9" t="s">
        <v>3472</v>
      </c>
      <c r="E4745" s="9" t="s">
        <v>17740</v>
      </c>
      <c r="F4745" s="9" t="s">
        <v>17741</v>
      </c>
      <c r="G4745" s="9" t="s">
        <v>17740</v>
      </c>
      <c r="H4745" s="11" t="s">
        <v>3474</v>
      </c>
      <c r="I4745" s="11" t="s">
        <v>3473</v>
      </c>
      <c r="J4745" s="11" t="s">
        <v>3473</v>
      </c>
      <c r="K4745" s="9" t="s">
        <v>19094</v>
      </c>
      <c r="L4745" s="9" t="s">
        <v>17759</v>
      </c>
      <c r="M4745" s="9" t="s">
        <v>45272</v>
      </c>
      <c r="N4745" s="9" t="s">
        <v>17746</v>
      </c>
      <c r="O4745" s="9" t="s">
        <v>4025</v>
      </c>
      <c r="P4745" s="9" t="s">
        <v>17748</v>
      </c>
      <c r="Q4745" s="11" t="s">
        <v>19222</v>
      </c>
      <c r="R4745" s="11" t="s">
        <v>19222</v>
      </c>
      <c r="S4745" s="11" t="s">
        <v>17750</v>
      </c>
    </row>
    <row r="4746" spans="1:19" x14ac:dyDescent="0.2">
      <c r="A4746" s="11" t="s">
        <v>45273</v>
      </c>
      <c r="B4746" s="9" t="s">
        <v>45274</v>
      </c>
      <c r="C4746" s="9" t="s">
        <v>45275</v>
      </c>
      <c r="D4746" s="9" t="s">
        <v>45276</v>
      </c>
      <c r="E4746" s="9" t="s">
        <v>17740</v>
      </c>
      <c r="F4746" s="9" t="s">
        <v>17741</v>
      </c>
      <c r="G4746" s="9" t="s">
        <v>17740</v>
      </c>
      <c r="H4746" s="11" t="s">
        <v>7585</v>
      </c>
      <c r="I4746" s="11" t="s">
        <v>7584</v>
      </c>
      <c r="J4746" s="11" t="s">
        <v>7584</v>
      </c>
      <c r="K4746" s="9" t="s">
        <v>315</v>
      </c>
      <c r="L4746" s="9" t="s">
        <v>17744</v>
      </c>
      <c r="M4746" s="9" t="s">
        <v>45277</v>
      </c>
      <c r="N4746" s="9" t="s">
        <v>17746</v>
      </c>
      <c r="O4746" s="9" t="s">
        <v>25294</v>
      </c>
      <c r="P4746" s="9" t="s">
        <v>17748</v>
      </c>
      <c r="Q4746" s="11" t="s">
        <v>18272</v>
      </c>
      <c r="R4746" s="11" t="s">
        <v>18272</v>
      </c>
      <c r="S4746" s="11" t="s">
        <v>17750</v>
      </c>
    </row>
    <row r="4747" spans="1:19" x14ac:dyDescent="0.2">
      <c r="A4747" s="11" t="s">
        <v>45278</v>
      </c>
      <c r="B4747" s="9" t="s">
        <v>45279</v>
      </c>
      <c r="C4747" s="9" t="s">
        <v>45280</v>
      </c>
      <c r="D4747" s="9" t="s">
        <v>45281</v>
      </c>
      <c r="E4747" s="9" t="s">
        <v>17740</v>
      </c>
      <c r="F4747" s="9" t="s">
        <v>45282</v>
      </c>
      <c r="G4747" s="9" t="s">
        <v>17740</v>
      </c>
      <c r="H4747" s="11" t="s">
        <v>3455</v>
      </c>
      <c r="I4747" s="11" t="s">
        <v>3454</v>
      </c>
      <c r="J4747" s="11" t="s">
        <v>3454</v>
      </c>
      <c r="K4747" s="9" t="s">
        <v>18520</v>
      </c>
      <c r="L4747" s="9" t="s">
        <v>17744</v>
      </c>
      <c r="M4747" s="9" t="s">
        <v>21317</v>
      </c>
      <c r="N4747" s="9" t="s">
        <v>17746</v>
      </c>
      <c r="O4747" s="9" t="s">
        <v>45283</v>
      </c>
      <c r="P4747" s="9" t="s">
        <v>17748</v>
      </c>
      <c r="Q4747" s="11" t="s">
        <v>18600</v>
      </c>
      <c r="R4747" s="11" t="s">
        <v>18600</v>
      </c>
      <c r="S4747" s="11" t="s">
        <v>17750</v>
      </c>
    </row>
    <row r="4748" spans="1:19" x14ac:dyDescent="0.2">
      <c r="A4748" s="11" t="s">
        <v>45284</v>
      </c>
      <c r="B4748" s="9" t="s">
        <v>45285</v>
      </c>
      <c r="C4748" s="9" t="s">
        <v>45286</v>
      </c>
      <c r="D4748" s="9" t="s">
        <v>45287</v>
      </c>
      <c r="E4748" s="9" t="s">
        <v>17740</v>
      </c>
      <c r="F4748" s="9" t="s">
        <v>17741</v>
      </c>
      <c r="G4748" s="9" t="s">
        <v>17740</v>
      </c>
      <c r="H4748" s="11" t="s">
        <v>15201</v>
      </c>
      <c r="I4748" s="11" t="s">
        <v>15200</v>
      </c>
      <c r="J4748" s="11" t="s">
        <v>17741</v>
      </c>
      <c r="K4748" s="9" t="s">
        <v>17783</v>
      </c>
      <c r="L4748" s="9" t="s">
        <v>18158</v>
      </c>
      <c r="M4748" s="9" t="s">
        <v>17817</v>
      </c>
      <c r="N4748" s="9" t="s">
        <v>17746</v>
      </c>
      <c r="O4748" s="9" t="s">
        <v>22302</v>
      </c>
      <c r="P4748" s="9" t="s">
        <v>17748</v>
      </c>
      <c r="Q4748" s="11" t="s">
        <v>17900</v>
      </c>
      <c r="R4748" s="11" t="s">
        <v>17900</v>
      </c>
      <c r="S4748" s="11" t="s">
        <v>17750</v>
      </c>
    </row>
    <row r="4749" spans="1:19" x14ac:dyDescent="0.2">
      <c r="A4749" s="11" t="s">
        <v>45288</v>
      </c>
      <c r="B4749" s="9" t="s">
        <v>45289</v>
      </c>
      <c r="C4749" s="9" t="s">
        <v>45290</v>
      </c>
      <c r="D4749" s="9" t="s">
        <v>45291</v>
      </c>
      <c r="E4749" s="9" t="s">
        <v>17740</v>
      </c>
      <c r="F4749" s="9" t="s">
        <v>17741</v>
      </c>
      <c r="G4749" s="9" t="s">
        <v>17740</v>
      </c>
      <c r="H4749" s="11" t="s">
        <v>45292</v>
      </c>
      <c r="I4749" s="11" t="s">
        <v>6408</v>
      </c>
      <c r="J4749" s="11" t="s">
        <v>6408</v>
      </c>
      <c r="K4749" s="9" t="s">
        <v>20956</v>
      </c>
      <c r="L4749" s="9" t="s">
        <v>18001</v>
      </c>
      <c r="M4749" s="9" t="s">
        <v>29147</v>
      </c>
      <c r="N4749" s="9" t="s">
        <v>17746</v>
      </c>
      <c r="O4749" s="9" t="s">
        <v>773</v>
      </c>
      <c r="P4749" s="9" t="s">
        <v>17748</v>
      </c>
      <c r="Q4749" s="11" t="s">
        <v>17808</v>
      </c>
      <c r="R4749" s="11" t="s">
        <v>17808</v>
      </c>
      <c r="S4749" s="11" t="s">
        <v>17750</v>
      </c>
    </row>
    <row r="4750" spans="1:19" x14ac:dyDescent="0.2">
      <c r="A4750" s="11" t="s">
        <v>45293</v>
      </c>
      <c r="B4750" s="9" t="s">
        <v>45294</v>
      </c>
      <c r="C4750" s="9" t="s">
        <v>45295</v>
      </c>
      <c r="D4750" s="9" t="s">
        <v>45296</v>
      </c>
      <c r="E4750" s="9" t="s">
        <v>17748</v>
      </c>
      <c r="F4750" s="9" t="s">
        <v>45297</v>
      </c>
      <c r="G4750" s="9" t="s">
        <v>17740</v>
      </c>
      <c r="H4750" s="11" t="s">
        <v>10147</v>
      </c>
      <c r="I4750" s="11" t="s">
        <v>10146</v>
      </c>
      <c r="J4750" s="11" t="s">
        <v>10146</v>
      </c>
      <c r="K4750" s="9" t="s">
        <v>55</v>
      </c>
      <c r="L4750" s="9" t="s">
        <v>17744</v>
      </c>
      <c r="M4750" s="9" t="s">
        <v>17817</v>
      </c>
      <c r="N4750" s="9" t="s">
        <v>17746</v>
      </c>
      <c r="O4750" s="9" t="s">
        <v>18754</v>
      </c>
      <c r="P4750" s="9" t="s">
        <v>17748</v>
      </c>
      <c r="Q4750" s="11" t="s">
        <v>17780</v>
      </c>
      <c r="R4750" s="11" t="s">
        <v>17780</v>
      </c>
      <c r="S4750" s="11" t="s">
        <v>17750</v>
      </c>
    </row>
    <row r="4751" spans="1:19" x14ac:dyDescent="0.2">
      <c r="A4751" s="11" t="s">
        <v>45298</v>
      </c>
      <c r="B4751" s="9" t="s">
        <v>45299</v>
      </c>
      <c r="C4751" s="9" t="s">
        <v>45300</v>
      </c>
      <c r="D4751" s="9" t="s">
        <v>45301</v>
      </c>
      <c r="E4751" s="9" t="s">
        <v>17740</v>
      </c>
      <c r="F4751" s="9" t="s">
        <v>17741</v>
      </c>
      <c r="G4751" s="9" t="s">
        <v>17740</v>
      </c>
      <c r="H4751" s="11" t="s">
        <v>45302</v>
      </c>
      <c r="I4751" s="11" t="s">
        <v>45303</v>
      </c>
      <c r="J4751" s="11" t="s">
        <v>45303</v>
      </c>
      <c r="K4751" s="9" t="s">
        <v>601</v>
      </c>
      <c r="L4751" s="9" t="s">
        <v>17759</v>
      </c>
      <c r="M4751" s="9" t="s">
        <v>27840</v>
      </c>
      <c r="N4751" s="9" t="s">
        <v>17746</v>
      </c>
      <c r="O4751" s="9" t="s">
        <v>22268</v>
      </c>
      <c r="P4751" s="9" t="s">
        <v>17748</v>
      </c>
      <c r="Q4751" s="11" t="s">
        <v>17749</v>
      </c>
      <c r="R4751" s="11" t="s">
        <v>17749</v>
      </c>
      <c r="S4751" s="11" t="s">
        <v>17750</v>
      </c>
    </row>
    <row r="4752" spans="1:19" x14ac:dyDescent="0.2">
      <c r="A4752" s="11" t="s">
        <v>45304</v>
      </c>
      <c r="B4752" s="9" t="s">
        <v>45305</v>
      </c>
      <c r="C4752" s="9" t="s">
        <v>45306</v>
      </c>
      <c r="D4752" s="9" t="s">
        <v>45307</v>
      </c>
      <c r="E4752" s="9" t="s">
        <v>17748</v>
      </c>
      <c r="F4752" s="9" t="s">
        <v>45308</v>
      </c>
      <c r="G4752" s="9" t="s">
        <v>17740</v>
      </c>
      <c r="H4752" s="11" t="s">
        <v>45309</v>
      </c>
      <c r="I4752" s="11" t="s">
        <v>10207</v>
      </c>
      <c r="J4752" s="11" t="s">
        <v>10207</v>
      </c>
      <c r="K4752" s="9" t="s">
        <v>17783</v>
      </c>
      <c r="L4752" s="9" t="s">
        <v>18001</v>
      </c>
      <c r="M4752" s="9" t="s">
        <v>20957</v>
      </c>
      <c r="N4752" s="9" t="s">
        <v>17746</v>
      </c>
      <c r="O4752" s="9" t="s">
        <v>773</v>
      </c>
      <c r="P4752" s="9" t="s">
        <v>17748</v>
      </c>
      <c r="Q4752" s="11" t="s">
        <v>17780</v>
      </c>
      <c r="R4752" s="11" t="s">
        <v>17780</v>
      </c>
      <c r="S4752" s="11" t="s">
        <v>17750</v>
      </c>
    </row>
    <row r="4753" spans="1:19" x14ac:dyDescent="0.2">
      <c r="A4753" s="11" t="s">
        <v>45310</v>
      </c>
      <c r="B4753" s="9" t="s">
        <v>45311</v>
      </c>
      <c r="C4753" s="9" t="s">
        <v>45312</v>
      </c>
      <c r="D4753" s="9" t="s">
        <v>45313</v>
      </c>
      <c r="E4753" s="9" t="s">
        <v>17740</v>
      </c>
      <c r="F4753" s="9" t="s">
        <v>17741</v>
      </c>
      <c r="G4753" s="9" t="s">
        <v>17740</v>
      </c>
      <c r="H4753" s="11" t="s">
        <v>5769</v>
      </c>
      <c r="I4753" s="11" t="s">
        <v>5768</v>
      </c>
      <c r="J4753" s="11" t="s">
        <v>5768</v>
      </c>
      <c r="K4753" s="9" t="s">
        <v>1307</v>
      </c>
      <c r="L4753" s="9" t="s">
        <v>17759</v>
      </c>
      <c r="M4753" s="9" t="s">
        <v>17817</v>
      </c>
      <c r="N4753" s="9" t="s">
        <v>17746</v>
      </c>
      <c r="O4753" s="9" t="s">
        <v>773</v>
      </c>
      <c r="P4753" s="9" t="s">
        <v>17748</v>
      </c>
      <c r="Q4753" s="11" t="s">
        <v>18147</v>
      </c>
      <c r="R4753" s="11" t="s">
        <v>18147</v>
      </c>
      <c r="S4753" s="11" t="s">
        <v>17750</v>
      </c>
    </row>
    <row r="4754" spans="1:19" x14ac:dyDescent="0.2">
      <c r="A4754" s="11" t="s">
        <v>45314</v>
      </c>
      <c r="B4754" s="9" t="s">
        <v>45315</v>
      </c>
      <c r="C4754" s="9" t="s">
        <v>45316</v>
      </c>
      <c r="D4754" s="9" t="s">
        <v>45315</v>
      </c>
      <c r="E4754" s="9" t="s">
        <v>17740</v>
      </c>
      <c r="F4754" s="9" t="s">
        <v>17741</v>
      </c>
      <c r="G4754" s="9" t="s">
        <v>17740</v>
      </c>
      <c r="H4754" s="11" t="s">
        <v>13055</v>
      </c>
      <c r="I4754" s="11" t="s">
        <v>13054</v>
      </c>
      <c r="J4754" s="11" t="s">
        <v>13054</v>
      </c>
      <c r="K4754" s="9" t="s">
        <v>19094</v>
      </c>
      <c r="L4754" s="9" t="s">
        <v>17759</v>
      </c>
      <c r="M4754" s="9" t="s">
        <v>45317</v>
      </c>
      <c r="N4754" s="9" t="s">
        <v>17746</v>
      </c>
      <c r="O4754" s="9" t="s">
        <v>773</v>
      </c>
      <c r="P4754" s="9" t="s">
        <v>17748</v>
      </c>
      <c r="Q4754" s="11" t="s">
        <v>18059</v>
      </c>
      <c r="R4754" s="11" t="s">
        <v>18059</v>
      </c>
      <c r="S4754" s="11" t="s">
        <v>17750</v>
      </c>
    </row>
    <row r="4755" spans="1:19" x14ac:dyDescent="0.2">
      <c r="A4755" s="11" t="s">
        <v>45318</v>
      </c>
      <c r="B4755" s="9" t="s">
        <v>9106</v>
      </c>
      <c r="C4755" s="9" t="s">
        <v>45319</v>
      </c>
      <c r="D4755" s="9" t="s">
        <v>9106</v>
      </c>
      <c r="E4755" s="9" t="s">
        <v>17740</v>
      </c>
      <c r="F4755" s="9" t="s">
        <v>17741</v>
      </c>
      <c r="G4755" s="9" t="s">
        <v>17740</v>
      </c>
      <c r="H4755" s="11" t="s">
        <v>9108</v>
      </c>
      <c r="I4755" s="11" t="s">
        <v>9107</v>
      </c>
      <c r="J4755" s="11" t="s">
        <v>9107</v>
      </c>
      <c r="K4755" s="9" t="s">
        <v>18712</v>
      </c>
      <c r="L4755" s="9" t="s">
        <v>18158</v>
      </c>
      <c r="M4755" s="9" t="s">
        <v>45320</v>
      </c>
      <c r="N4755" s="9" t="s">
        <v>17746</v>
      </c>
      <c r="O4755" s="9" t="s">
        <v>773</v>
      </c>
      <c r="P4755" s="9" t="s">
        <v>17748</v>
      </c>
      <c r="Q4755" s="11" t="s">
        <v>18922</v>
      </c>
      <c r="R4755" s="11" t="s">
        <v>18922</v>
      </c>
      <c r="S4755" s="11" t="s">
        <v>17750</v>
      </c>
    </row>
    <row r="4756" spans="1:19" x14ac:dyDescent="0.2">
      <c r="A4756" s="11" t="s">
        <v>45321</v>
      </c>
      <c r="B4756" s="9" t="s">
        <v>45322</v>
      </c>
      <c r="C4756" s="9" t="s">
        <v>45323</v>
      </c>
      <c r="D4756" s="9" t="s">
        <v>45324</v>
      </c>
      <c r="E4756" s="9" t="s">
        <v>17740</v>
      </c>
      <c r="F4756" s="9" t="s">
        <v>17741</v>
      </c>
      <c r="G4756" s="9" t="s">
        <v>17740</v>
      </c>
      <c r="H4756" s="11" t="s">
        <v>12299</v>
      </c>
      <c r="I4756" s="11" t="s">
        <v>12298</v>
      </c>
      <c r="J4756" s="11" t="s">
        <v>12298</v>
      </c>
      <c r="K4756" s="9" t="s">
        <v>18712</v>
      </c>
      <c r="L4756" s="9" t="s">
        <v>18158</v>
      </c>
      <c r="M4756" s="9" t="s">
        <v>17817</v>
      </c>
      <c r="N4756" s="9" t="s">
        <v>17746</v>
      </c>
      <c r="O4756" s="9" t="s">
        <v>773</v>
      </c>
      <c r="P4756" s="9" t="s">
        <v>17748</v>
      </c>
      <c r="Q4756" s="11" t="s">
        <v>17917</v>
      </c>
      <c r="R4756" s="11" t="s">
        <v>17917</v>
      </c>
      <c r="S4756" s="11" t="s">
        <v>17750</v>
      </c>
    </row>
    <row r="4757" spans="1:19" x14ac:dyDescent="0.2">
      <c r="A4757" s="11" t="s">
        <v>45325</v>
      </c>
      <c r="B4757" s="9" t="s">
        <v>45326</v>
      </c>
      <c r="C4757" s="9" t="s">
        <v>45327</v>
      </c>
      <c r="D4757" s="9" t="s">
        <v>45326</v>
      </c>
      <c r="E4757" s="9" t="s">
        <v>17740</v>
      </c>
      <c r="F4757" s="9" t="s">
        <v>45328</v>
      </c>
      <c r="G4757" s="9" t="s">
        <v>17740</v>
      </c>
      <c r="H4757" s="11" t="s">
        <v>45329</v>
      </c>
      <c r="I4757" s="11" t="s">
        <v>45330</v>
      </c>
      <c r="J4757" s="11" t="s">
        <v>45330</v>
      </c>
      <c r="K4757" s="9" t="s">
        <v>20465</v>
      </c>
      <c r="L4757" s="9" t="s">
        <v>18158</v>
      </c>
      <c r="M4757" s="9" t="s">
        <v>17760</v>
      </c>
      <c r="N4757" s="9" t="s">
        <v>17746</v>
      </c>
      <c r="O4757" s="9" t="s">
        <v>17977</v>
      </c>
      <c r="P4757" s="9" t="s">
        <v>17748</v>
      </c>
      <c r="Q4757" s="11" t="s">
        <v>18798</v>
      </c>
      <c r="R4757" s="11" t="s">
        <v>18798</v>
      </c>
      <c r="S4757" s="11" t="s">
        <v>17750</v>
      </c>
    </row>
    <row r="4758" spans="1:19" x14ac:dyDescent="0.2">
      <c r="A4758" s="11" t="s">
        <v>45331</v>
      </c>
      <c r="B4758" s="9" t="s">
        <v>45332</v>
      </c>
      <c r="C4758" s="9" t="s">
        <v>45333</v>
      </c>
      <c r="D4758" s="9" t="s">
        <v>45332</v>
      </c>
      <c r="E4758" s="9" t="s">
        <v>17740</v>
      </c>
      <c r="F4758" s="9" t="s">
        <v>17741</v>
      </c>
      <c r="G4758" s="9" t="s">
        <v>17740</v>
      </c>
      <c r="H4758" s="11" t="s">
        <v>45334</v>
      </c>
      <c r="I4758" s="11" t="s">
        <v>45335</v>
      </c>
      <c r="J4758" s="11" t="s">
        <v>45335</v>
      </c>
      <c r="K4758" s="9" t="s">
        <v>17783</v>
      </c>
      <c r="L4758" s="9" t="s">
        <v>18288</v>
      </c>
      <c r="M4758" s="9" t="s">
        <v>45336</v>
      </c>
      <c r="N4758" s="9" t="s">
        <v>17746</v>
      </c>
      <c r="O4758" s="9" t="s">
        <v>17977</v>
      </c>
      <c r="P4758" s="9" t="s">
        <v>17748</v>
      </c>
      <c r="Q4758" s="11" t="s">
        <v>18332</v>
      </c>
      <c r="R4758" s="11" t="s">
        <v>18332</v>
      </c>
      <c r="S4758" s="11" t="s">
        <v>17750</v>
      </c>
    </row>
    <row r="4759" spans="1:19" x14ac:dyDescent="0.2">
      <c r="A4759" s="11" t="s">
        <v>45337</v>
      </c>
      <c r="B4759" s="9" t="s">
        <v>45338</v>
      </c>
      <c r="C4759" s="9" t="s">
        <v>45339</v>
      </c>
      <c r="D4759" s="9" t="s">
        <v>45340</v>
      </c>
      <c r="E4759" s="9" t="s">
        <v>17740</v>
      </c>
      <c r="F4759" s="9" t="s">
        <v>45341</v>
      </c>
      <c r="G4759" s="9" t="s">
        <v>17740</v>
      </c>
      <c r="H4759" s="11" t="s">
        <v>17741</v>
      </c>
      <c r="I4759" s="11" t="s">
        <v>45342</v>
      </c>
      <c r="J4759" s="11" t="s">
        <v>45342</v>
      </c>
      <c r="K4759" s="9" t="s">
        <v>19282</v>
      </c>
      <c r="L4759" s="9" t="s">
        <v>17759</v>
      </c>
      <c r="M4759" s="9" t="s">
        <v>17817</v>
      </c>
      <c r="N4759" s="9" t="s">
        <v>17746</v>
      </c>
      <c r="O4759" s="9" t="s">
        <v>17848</v>
      </c>
      <c r="P4759" s="9" t="s">
        <v>17748</v>
      </c>
      <c r="Q4759" s="11" t="s">
        <v>18059</v>
      </c>
      <c r="R4759" s="11" t="s">
        <v>18059</v>
      </c>
      <c r="S4759" s="11" t="s">
        <v>17750</v>
      </c>
    </row>
    <row r="4760" spans="1:19" x14ac:dyDescent="0.2">
      <c r="A4760" s="11" t="s">
        <v>45343</v>
      </c>
      <c r="B4760" s="9" t="s">
        <v>45344</v>
      </c>
      <c r="C4760" s="9" t="s">
        <v>45345</v>
      </c>
      <c r="D4760" s="9" t="s">
        <v>45346</v>
      </c>
      <c r="E4760" s="9" t="s">
        <v>17740</v>
      </c>
      <c r="F4760" s="9" t="s">
        <v>17741</v>
      </c>
      <c r="G4760" s="9" t="s">
        <v>17740</v>
      </c>
      <c r="H4760" s="11" t="s">
        <v>17741</v>
      </c>
      <c r="I4760" s="11" t="s">
        <v>45347</v>
      </c>
      <c r="J4760" s="11" t="s">
        <v>45347</v>
      </c>
      <c r="K4760" s="9" t="s">
        <v>39416</v>
      </c>
      <c r="L4760" s="9" t="s">
        <v>17967</v>
      </c>
      <c r="M4760" s="9" t="s">
        <v>17760</v>
      </c>
      <c r="N4760" s="9" t="s">
        <v>18492</v>
      </c>
      <c r="O4760" s="9" t="s">
        <v>5136</v>
      </c>
      <c r="P4760" s="9" t="s">
        <v>17748</v>
      </c>
      <c r="Q4760" s="11" t="s">
        <v>18847</v>
      </c>
      <c r="R4760" s="11" t="s">
        <v>18847</v>
      </c>
      <c r="S4760" s="11" t="s">
        <v>17750</v>
      </c>
    </row>
    <row r="4761" spans="1:19" x14ac:dyDescent="0.2">
      <c r="A4761" s="11" t="s">
        <v>45348</v>
      </c>
      <c r="B4761" s="9" t="s">
        <v>45349</v>
      </c>
      <c r="C4761" s="9" t="s">
        <v>45350</v>
      </c>
      <c r="D4761" s="9" t="s">
        <v>45351</v>
      </c>
      <c r="E4761" s="9" t="s">
        <v>17740</v>
      </c>
      <c r="F4761" s="9" t="s">
        <v>17741</v>
      </c>
      <c r="G4761" s="9" t="s">
        <v>17740</v>
      </c>
      <c r="H4761" s="11" t="s">
        <v>17741</v>
      </c>
      <c r="I4761" s="11" t="s">
        <v>45352</v>
      </c>
      <c r="J4761" s="11" t="s">
        <v>45352</v>
      </c>
      <c r="K4761" s="9" t="s">
        <v>45353</v>
      </c>
      <c r="L4761" s="9" t="s">
        <v>17967</v>
      </c>
      <c r="M4761" s="9" t="s">
        <v>17817</v>
      </c>
      <c r="N4761" s="9" t="s">
        <v>18492</v>
      </c>
      <c r="O4761" s="9" t="s">
        <v>17993</v>
      </c>
      <c r="P4761" s="9" t="s">
        <v>17748</v>
      </c>
      <c r="Q4761" s="11" t="s">
        <v>22689</v>
      </c>
      <c r="R4761" s="11" t="s">
        <v>22689</v>
      </c>
      <c r="S4761" s="11" t="s">
        <v>17750</v>
      </c>
    </row>
    <row r="4762" spans="1:19" x14ac:dyDescent="0.2">
      <c r="A4762" s="11" t="s">
        <v>45354</v>
      </c>
      <c r="B4762" s="9" t="s">
        <v>45355</v>
      </c>
      <c r="C4762" s="9" t="s">
        <v>45356</v>
      </c>
      <c r="D4762" s="9" t="s">
        <v>45355</v>
      </c>
      <c r="E4762" s="9" t="s">
        <v>17740</v>
      </c>
      <c r="F4762" s="9" t="s">
        <v>17741</v>
      </c>
      <c r="G4762" s="9" t="s">
        <v>17740</v>
      </c>
      <c r="H4762" s="11" t="s">
        <v>45357</v>
      </c>
      <c r="I4762" s="11" t="s">
        <v>45358</v>
      </c>
      <c r="J4762" s="11" t="s">
        <v>45358</v>
      </c>
      <c r="K4762" s="9" t="s">
        <v>45359</v>
      </c>
      <c r="L4762" s="9" t="s">
        <v>18439</v>
      </c>
      <c r="M4762" s="9" t="s">
        <v>17778</v>
      </c>
      <c r="N4762" s="9" t="s">
        <v>17746</v>
      </c>
      <c r="O4762" s="9" t="s">
        <v>18514</v>
      </c>
      <c r="P4762" s="9" t="s">
        <v>17748</v>
      </c>
      <c r="Q4762" s="11" t="s">
        <v>17819</v>
      </c>
      <c r="R4762" s="11" t="s">
        <v>17819</v>
      </c>
      <c r="S4762" s="11" t="s">
        <v>17750</v>
      </c>
    </row>
    <row r="4763" spans="1:19" x14ac:dyDescent="0.2">
      <c r="A4763" s="11" t="s">
        <v>45360</v>
      </c>
      <c r="B4763" s="9" t="s">
        <v>5145</v>
      </c>
      <c r="C4763" s="9" t="s">
        <v>45361</v>
      </c>
      <c r="D4763" s="9" t="s">
        <v>45362</v>
      </c>
      <c r="E4763" s="9" t="s">
        <v>17740</v>
      </c>
      <c r="F4763" s="9" t="s">
        <v>17741</v>
      </c>
      <c r="G4763" s="9" t="s">
        <v>17740</v>
      </c>
      <c r="H4763" s="11" t="s">
        <v>17741</v>
      </c>
      <c r="I4763" s="11" t="s">
        <v>5146</v>
      </c>
      <c r="J4763" s="11" t="s">
        <v>5146</v>
      </c>
      <c r="K4763" s="9" t="s">
        <v>45363</v>
      </c>
      <c r="L4763" s="9" t="s">
        <v>18079</v>
      </c>
      <c r="M4763" s="9" t="s">
        <v>17760</v>
      </c>
      <c r="N4763" s="9" t="s">
        <v>17746</v>
      </c>
      <c r="O4763" s="9" t="s">
        <v>17834</v>
      </c>
      <c r="P4763" s="9" t="s">
        <v>17748</v>
      </c>
      <c r="Q4763" s="11" t="s">
        <v>17819</v>
      </c>
      <c r="R4763" s="11" t="s">
        <v>17819</v>
      </c>
      <c r="S4763" s="11" t="s">
        <v>17750</v>
      </c>
    </row>
    <row r="4764" spans="1:19" x14ac:dyDescent="0.2">
      <c r="A4764" s="11" t="s">
        <v>45364</v>
      </c>
      <c r="B4764" s="9" t="s">
        <v>45365</v>
      </c>
      <c r="C4764" s="9" t="s">
        <v>45366</v>
      </c>
      <c r="D4764" s="9" t="s">
        <v>45367</v>
      </c>
      <c r="E4764" s="9" t="s">
        <v>17740</v>
      </c>
      <c r="F4764" s="9" t="s">
        <v>17741</v>
      </c>
      <c r="G4764" s="9" t="s">
        <v>17740</v>
      </c>
      <c r="H4764" s="11" t="s">
        <v>17741</v>
      </c>
      <c r="I4764" s="11" t="s">
        <v>45368</v>
      </c>
      <c r="J4764" s="11" t="s">
        <v>45368</v>
      </c>
      <c r="K4764" s="9" t="s">
        <v>45369</v>
      </c>
      <c r="L4764" s="9" t="s">
        <v>17976</v>
      </c>
      <c r="M4764" s="9" t="s">
        <v>17760</v>
      </c>
      <c r="N4764" s="9" t="s">
        <v>18469</v>
      </c>
      <c r="O4764" s="9" t="s">
        <v>17834</v>
      </c>
      <c r="P4764" s="9" t="s">
        <v>17748</v>
      </c>
      <c r="Q4764" s="11" t="s">
        <v>18059</v>
      </c>
      <c r="R4764" s="11" t="s">
        <v>18059</v>
      </c>
      <c r="S4764" s="11" t="s">
        <v>17750</v>
      </c>
    </row>
    <row r="4765" spans="1:19" x14ac:dyDescent="0.2">
      <c r="A4765" s="11" t="s">
        <v>45370</v>
      </c>
      <c r="B4765" s="9" t="s">
        <v>45371</v>
      </c>
      <c r="C4765" s="9" t="s">
        <v>45372</v>
      </c>
      <c r="D4765" s="9" t="s">
        <v>45373</v>
      </c>
      <c r="E4765" s="9" t="s">
        <v>17740</v>
      </c>
      <c r="F4765" s="9" t="s">
        <v>45374</v>
      </c>
      <c r="G4765" s="9" t="s">
        <v>17740</v>
      </c>
      <c r="H4765" s="11" t="s">
        <v>17741</v>
      </c>
      <c r="I4765" s="11" t="s">
        <v>3485</v>
      </c>
      <c r="J4765" s="11" t="s">
        <v>3485</v>
      </c>
      <c r="K4765" s="9" t="s">
        <v>39416</v>
      </c>
      <c r="L4765" s="9" t="s">
        <v>17967</v>
      </c>
      <c r="M4765" s="9" t="s">
        <v>17769</v>
      </c>
      <c r="N4765" s="9" t="s">
        <v>18492</v>
      </c>
      <c r="O4765" s="9" t="s">
        <v>17834</v>
      </c>
      <c r="P4765" s="9" t="s">
        <v>17748</v>
      </c>
      <c r="Q4765" s="11" t="s">
        <v>18813</v>
      </c>
      <c r="R4765" s="11" t="s">
        <v>18813</v>
      </c>
      <c r="S4765" s="11" t="s">
        <v>17750</v>
      </c>
    </row>
    <row r="4766" spans="1:19" x14ac:dyDescent="0.2">
      <c r="A4766" s="11" t="s">
        <v>45375</v>
      </c>
      <c r="B4766" s="9" t="s">
        <v>45376</v>
      </c>
      <c r="C4766" s="9" t="s">
        <v>45377</v>
      </c>
      <c r="D4766" s="9" t="s">
        <v>45378</v>
      </c>
      <c r="E4766" s="9" t="s">
        <v>17740</v>
      </c>
      <c r="F4766" s="9" t="s">
        <v>17741</v>
      </c>
      <c r="G4766" s="9" t="s">
        <v>17740</v>
      </c>
      <c r="H4766" s="11" t="s">
        <v>3330</v>
      </c>
      <c r="I4766" s="11" t="s">
        <v>3329</v>
      </c>
      <c r="J4766" s="11" t="s">
        <v>3329</v>
      </c>
      <c r="K4766" s="9" t="s">
        <v>19564</v>
      </c>
      <c r="L4766" s="9" t="s">
        <v>17759</v>
      </c>
      <c r="M4766" s="9" t="s">
        <v>17760</v>
      </c>
      <c r="N4766" s="9" t="s">
        <v>17746</v>
      </c>
      <c r="O4766" s="9" t="s">
        <v>17834</v>
      </c>
      <c r="P4766" s="9" t="s">
        <v>17748</v>
      </c>
      <c r="Q4766" s="11" t="s">
        <v>19335</v>
      </c>
      <c r="R4766" s="11" t="s">
        <v>19335</v>
      </c>
      <c r="S4766" s="11" t="s">
        <v>17750</v>
      </c>
    </row>
    <row r="4767" spans="1:19" x14ac:dyDescent="0.2">
      <c r="A4767" s="11" t="s">
        <v>45379</v>
      </c>
      <c r="B4767" s="9" t="s">
        <v>45380</v>
      </c>
      <c r="C4767" s="9" t="s">
        <v>45381</v>
      </c>
      <c r="D4767" s="9" t="s">
        <v>45382</v>
      </c>
      <c r="E4767" s="9" t="s">
        <v>17740</v>
      </c>
      <c r="F4767" s="9" t="s">
        <v>17741</v>
      </c>
      <c r="G4767" s="9" t="s">
        <v>17740</v>
      </c>
      <c r="H4767" s="11" t="s">
        <v>5737</v>
      </c>
      <c r="I4767" s="11" t="s">
        <v>5736</v>
      </c>
      <c r="J4767" s="11" t="s">
        <v>5736</v>
      </c>
      <c r="K4767" s="9" t="s">
        <v>17758</v>
      </c>
      <c r="L4767" s="9" t="s">
        <v>17744</v>
      </c>
      <c r="M4767" s="9" t="s">
        <v>26122</v>
      </c>
      <c r="N4767" s="9" t="s">
        <v>17746</v>
      </c>
      <c r="O4767" s="9" t="s">
        <v>45383</v>
      </c>
      <c r="P4767" s="9" t="s">
        <v>17748</v>
      </c>
      <c r="Q4767" s="11" t="s">
        <v>17749</v>
      </c>
      <c r="R4767" s="11" t="s">
        <v>17749</v>
      </c>
      <c r="S4767" s="11" t="s">
        <v>17750</v>
      </c>
    </row>
    <row r="4768" spans="1:19" x14ac:dyDescent="0.2">
      <c r="A4768" s="11" t="s">
        <v>45384</v>
      </c>
      <c r="B4768" s="9" t="s">
        <v>45385</v>
      </c>
      <c r="C4768" s="9" t="s">
        <v>45386</v>
      </c>
      <c r="D4768" s="9" t="s">
        <v>45387</v>
      </c>
      <c r="E4768" s="9" t="s">
        <v>17740</v>
      </c>
      <c r="F4768" s="9" t="s">
        <v>45388</v>
      </c>
      <c r="G4768" s="9" t="s">
        <v>17740</v>
      </c>
      <c r="H4768" s="11" t="s">
        <v>3499</v>
      </c>
      <c r="I4768" s="11" t="s">
        <v>3498</v>
      </c>
      <c r="J4768" s="11" t="s">
        <v>3498</v>
      </c>
      <c r="K4768" s="9" t="s">
        <v>18832</v>
      </c>
      <c r="L4768" s="9" t="s">
        <v>17759</v>
      </c>
      <c r="M4768" s="9" t="s">
        <v>17760</v>
      </c>
      <c r="N4768" s="9" t="s">
        <v>17746</v>
      </c>
      <c r="O4768" s="9" t="s">
        <v>17834</v>
      </c>
      <c r="P4768" s="9" t="s">
        <v>17748</v>
      </c>
      <c r="Q4768" s="11" t="s">
        <v>20589</v>
      </c>
      <c r="R4768" s="11" t="s">
        <v>20589</v>
      </c>
      <c r="S4768" s="11" t="s">
        <v>17750</v>
      </c>
    </row>
    <row r="4769" spans="1:19" x14ac:dyDescent="0.2">
      <c r="A4769" s="11" t="s">
        <v>45389</v>
      </c>
      <c r="B4769" s="9" t="s">
        <v>45390</v>
      </c>
      <c r="C4769" s="9" t="s">
        <v>45391</v>
      </c>
      <c r="D4769" s="9" t="s">
        <v>45392</v>
      </c>
      <c r="E4769" s="9" t="s">
        <v>17740</v>
      </c>
      <c r="F4769" s="9" t="s">
        <v>45393</v>
      </c>
      <c r="G4769" s="9" t="s">
        <v>17740</v>
      </c>
      <c r="H4769" s="11" t="s">
        <v>45394</v>
      </c>
      <c r="I4769" s="11" t="s">
        <v>45395</v>
      </c>
      <c r="J4769" s="11" t="s">
        <v>45395</v>
      </c>
      <c r="K4769" s="9" t="s">
        <v>19767</v>
      </c>
      <c r="L4769" s="9" t="s">
        <v>17759</v>
      </c>
      <c r="M4769" s="9" t="s">
        <v>19058</v>
      </c>
      <c r="N4769" s="9" t="s">
        <v>17746</v>
      </c>
      <c r="O4769" s="9" t="s">
        <v>17834</v>
      </c>
      <c r="P4769" s="9" t="s">
        <v>17748</v>
      </c>
      <c r="Q4769" s="11" t="s">
        <v>19361</v>
      </c>
      <c r="R4769" s="11" t="s">
        <v>19361</v>
      </c>
      <c r="S4769" s="11" t="s">
        <v>17750</v>
      </c>
    </row>
    <row r="4770" spans="1:19" x14ac:dyDescent="0.2">
      <c r="A4770" s="11" t="s">
        <v>45396</v>
      </c>
      <c r="B4770" s="9" t="s">
        <v>45397</v>
      </c>
      <c r="C4770" s="9" t="s">
        <v>45398</v>
      </c>
      <c r="D4770" s="9" t="s">
        <v>45399</v>
      </c>
      <c r="E4770" s="9" t="s">
        <v>17748</v>
      </c>
      <c r="F4770" s="9" t="s">
        <v>45400</v>
      </c>
      <c r="G4770" s="9" t="s">
        <v>17740</v>
      </c>
      <c r="H4770" s="11" t="s">
        <v>6551</v>
      </c>
      <c r="I4770" s="11" t="s">
        <v>6550</v>
      </c>
      <c r="J4770" s="11" t="s">
        <v>6550</v>
      </c>
      <c r="K4770" s="9" t="s">
        <v>394</v>
      </c>
      <c r="L4770" s="9" t="s">
        <v>17759</v>
      </c>
      <c r="M4770" s="9" t="s">
        <v>17817</v>
      </c>
      <c r="N4770" s="9" t="s">
        <v>17746</v>
      </c>
      <c r="O4770" s="9" t="s">
        <v>17834</v>
      </c>
      <c r="P4770" s="9" t="s">
        <v>17748</v>
      </c>
      <c r="Q4770" s="11" t="s">
        <v>19361</v>
      </c>
      <c r="R4770" s="11" t="s">
        <v>19361</v>
      </c>
      <c r="S4770" s="11" t="s">
        <v>17750</v>
      </c>
    </row>
    <row r="4771" spans="1:19" x14ac:dyDescent="0.2">
      <c r="A4771" s="11" t="s">
        <v>45401</v>
      </c>
      <c r="B4771" s="9" t="s">
        <v>45402</v>
      </c>
      <c r="C4771" s="9" t="s">
        <v>45403</v>
      </c>
      <c r="D4771" s="9" t="s">
        <v>45404</v>
      </c>
      <c r="E4771" s="9" t="s">
        <v>17740</v>
      </c>
      <c r="F4771" s="9" t="s">
        <v>17741</v>
      </c>
      <c r="G4771" s="9" t="s">
        <v>17740</v>
      </c>
      <c r="H4771" s="11" t="s">
        <v>17741</v>
      </c>
      <c r="I4771" s="11" t="s">
        <v>45405</v>
      </c>
      <c r="J4771" s="11" t="s">
        <v>45405</v>
      </c>
      <c r="K4771" s="9" t="s">
        <v>45406</v>
      </c>
      <c r="L4771" s="9" t="s">
        <v>20969</v>
      </c>
      <c r="M4771" s="9" t="s">
        <v>17760</v>
      </c>
      <c r="N4771" s="9" t="s">
        <v>45407</v>
      </c>
      <c r="O4771" s="9" t="s">
        <v>17834</v>
      </c>
      <c r="P4771" s="9" t="s">
        <v>17748</v>
      </c>
      <c r="Q4771" s="11" t="s">
        <v>17749</v>
      </c>
      <c r="R4771" s="11" t="s">
        <v>17749</v>
      </c>
      <c r="S4771" s="11" t="s">
        <v>17750</v>
      </c>
    </row>
    <row r="4772" spans="1:19" x14ac:dyDescent="0.2">
      <c r="A4772" s="11" t="s">
        <v>45408</v>
      </c>
      <c r="B4772" s="9" t="s">
        <v>3494</v>
      </c>
      <c r="C4772" s="9" t="s">
        <v>45409</v>
      </c>
      <c r="D4772" s="9" t="s">
        <v>45410</v>
      </c>
      <c r="E4772" s="9" t="s">
        <v>17740</v>
      </c>
      <c r="F4772" s="9" t="s">
        <v>17741</v>
      </c>
      <c r="G4772" s="9" t="s">
        <v>17740</v>
      </c>
      <c r="H4772" s="11" t="s">
        <v>3496</v>
      </c>
      <c r="I4772" s="11" t="s">
        <v>3495</v>
      </c>
      <c r="J4772" s="11" t="s">
        <v>3495</v>
      </c>
      <c r="K4772" s="9" t="s">
        <v>412</v>
      </c>
      <c r="L4772" s="9" t="s">
        <v>18158</v>
      </c>
      <c r="M4772" s="9" t="s">
        <v>25378</v>
      </c>
      <c r="N4772" s="9" t="s">
        <v>18185</v>
      </c>
      <c r="O4772" s="9" t="s">
        <v>17834</v>
      </c>
      <c r="P4772" s="9" t="s">
        <v>17748</v>
      </c>
      <c r="Q4772" s="11" t="s">
        <v>17771</v>
      </c>
      <c r="R4772" s="11" t="s">
        <v>17771</v>
      </c>
      <c r="S4772" s="11" t="s">
        <v>17750</v>
      </c>
    </row>
    <row r="4773" spans="1:19" x14ac:dyDescent="0.2">
      <c r="A4773" s="11" t="s">
        <v>45411</v>
      </c>
      <c r="B4773" s="9" t="s">
        <v>17834</v>
      </c>
      <c r="C4773" s="9" t="s">
        <v>45412</v>
      </c>
      <c r="D4773" s="9" t="s">
        <v>17834</v>
      </c>
      <c r="E4773" s="9" t="s">
        <v>17740</v>
      </c>
      <c r="F4773" s="9" t="s">
        <v>17741</v>
      </c>
      <c r="G4773" s="9" t="s">
        <v>17740</v>
      </c>
      <c r="H4773" s="11" t="s">
        <v>3511</v>
      </c>
      <c r="I4773" s="11" t="s">
        <v>3510</v>
      </c>
      <c r="J4773" s="11" t="s">
        <v>3510</v>
      </c>
      <c r="K4773" s="9" t="s">
        <v>874</v>
      </c>
      <c r="L4773" s="9" t="s">
        <v>17759</v>
      </c>
      <c r="M4773" s="9" t="s">
        <v>17760</v>
      </c>
      <c r="N4773" s="9" t="s">
        <v>17746</v>
      </c>
      <c r="O4773" s="9" t="s">
        <v>17834</v>
      </c>
      <c r="P4773" s="9" t="s">
        <v>17748</v>
      </c>
      <c r="Q4773" s="11" t="s">
        <v>21578</v>
      </c>
      <c r="R4773" s="11" t="s">
        <v>21578</v>
      </c>
      <c r="S4773" s="11" t="s">
        <v>17750</v>
      </c>
    </row>
    <row r="4774" spans="1:19" x14ac:dyDescent="0.2">
      <c r="A4774" s="11" t="s">
        <v>45413</v>
      </c>
      <c r="B4774" s="9" t="s">
        <v>45414</v>
      </c>
      <c r="C4774" s="9" t="s">
        <v>45415</v>
      </c>
      <c r="D4774" s="9" t="s">
        <v>45416</v>
      </c>
      <c r="E4774" s="9" t="s">
        <v>17748</v>
      </c>
      <c r="F4774" s="9" t="s">
        <v>45417</v>
      </c>
      <c r="G4774" s="9" t="s">
        <v>17740</v>
      </c>
      <c r="H4774" s="11" t="s">
        <v>6603</v>
      </c>
      <c r="I4774" s="11" t="s">
        <v>6602</v>
      </c>
      <c r="J4774" s="11" t="s">
        <v>6602</v>
      </c>
      <c r="K4774" s="9" t="s">
        <v>22893</v>
      </c>
      <c r="L4774" s="9" t="s">
        <v>20082</v>
      </c>
      <c r="M4774" s="9" t="s">
        <v>17769</v>
      </c>
      <c r="N4774" s="9" t="s">
        <v>17746</v>
      </c>
      <c r="O4774" s="9" t="s">
        <v>19379</v>
      </c>
      <c r="P4774" s="9" t="s">
        <v>17748</v>
      </c>
      <c r="Q4774" s="11" t="s">
        <v>19361</v>
      </c>
      <c r="R4774" s="11" t="s">
        <v>19361</v>
      </c>
      <c r="S4774" s="11" t="s">
        <v>17750</v>
      </c>
    </row>
    <row r="4775" spans="1:19" x14ac:dyDescent="0.2">
      <c r="A4775" s="11" t="s">
        <v>45418</v>
      </c>
      <c r="B4775" s="9" t="s">
        <v>45419</v>
      </c>
      <c r="C4775" s="9" t="s">
        <v>45420</v>
      </c>
      <c r="D4775" s="9" t="s">
        <v>45421</v>
      </c>
      <c r="E4775" s="9" t="s">
        <v>17740</v>
      </c>
      <c r="F4775" s="9" t="s">
        <v>17741</v>
      </c>
      <c r="G4775" s="9" t="s">
        <v>17740</v>
      </c>
      <c r="H4775" s="11" t="s">
        <v>3502</v>
      </c>
      <c r="I4775" s="11" t="s">
        <v>3501</v>
      </c>
      <c r="J4775" s="11" t="s">
        <v>3501</v>
      </c>
      <c r="K4775" s="9" t="s">
        <v>38051</v>
      </c>
      <c r="L4775" s="9" t="s">
        <v>21771</v>
      </c>
      <c r="M4775" s="9" t="s">
        <v>29625</v>
      </c>
      <c r="N4775" s="9" t="s">
        <v>17746</v>
      </c>
      <c r="O4775" s="9" t="s">
        <v>17834</v>
      </c>
      <c r="P4775" s="9" t="s">
        <v>17748</v>
      </c>
      <c r="Q4775" s="11" t="s">
        <v>18251</v>
      </c>
      <c r="R4775" s="11" t="s">
        <v>18251</v>
      </c>
      <c r="S4775" s="11" t="s">
        <v>17750</v>
      </c>
    </row>
    <row r="4776" spans="1:19" x14ac:dyDescent="0.2">
      <c r="A4776" s="11" t="s">
        <v>45422</v>
      </c>
      <c r="B4776" s="9" t="s">
        <v>45423</v>
      </c>
      <c r="C4776" s="9" t="s">
        <v>45424</v>
      </c>
      <c r="D4776" s="9" t="s">
        <v>45425</v>
      </c>
      <c r="E4776" s="9" t="s">
        <v>17740</v>
      </c>
      <c r="F4776" s="9" t="s">
        <v>17741</v>
      </c>
      <c r="G4776" s="9" t="s">
        <v>17740</v>
      </c>
      <c r="H4776" s="11" t="s">
        <v>45426</v>
      </c>
      <c r="I4776" s="11" t="s">
        <v>45427</v>
      </c>
      <c r="J4776" s="11" t="s">
        <v>45427</v>
      </c>
      <c r="K4776" s="9" t="s">
        <v>970</v>
      </c>
      <c r="L4776" s="9" t="s">
        <v>17759</v>
      </c>
      <c r="M4776" s="9" t="s">
        <v>17760</v>
      </c>
      <c r="N4776" s="9" t="s">
        <v>17746</v>
      </c>
      <c r="O4776" s="9" t="s">
        <v>17834</v>
      </c>
      <c r="P4776" s="9" t="s">
        <v>17748</v>
      </c>
      <c r="Q4776" s="11" t="s">
        <v>20789</v>
      </c>
      <c r="R4776" s="11" t="s">
        <v>20789</v>
      </c>
      <c r="S4776" s="11" t="s">
        <v>17750</v>
      </c>
    </row>
    <row r="4777" spans="1:19" x14ac:dyDescent="0.2">
      <c r="A4777" s="11" t="s">
        <v>45428</v>
      </c>
      <c r="B4777" s="9" t="s">
        <v>45429</v>
      </c>
      <c r="C4777" s="9" t="s">
        <v>45430</v>
      </c>
      <c r="D4777" s="9" t="s">
        <v>45431</v>
      </c>
      <c r="E4777" s="9" t="s">
        <v>17740</v>
      </c>
      <c r="F4777" s="9" t="s">
        <v>45432</v>
      </c>
      <c r="G4777" s="9" t="s">
        <v>17740</v>
      </c>
      <c r="H4777" s="11" t="s">
        <v>45433</v>
      </c>
      <c r="I4777" s="11" t="s">
        <v>45434</v>
      </c>
      <c r="J4777" s="11" t="s">
        <v>45434</v>
      </c>
      <c r="K4777" s="9" t="s">
        <v>32539</v>
      </c>
      <c r="L4777" s="9" t="s">
        <v>17759</v>
      </c>
      <c r="M4777" s="9" t="s">
        <v>20344</v>
      </c>
      <c r="N4777" s="9" t="s">
        <v>17746</v>
      </c>
      <c r="O4777" s="9" t="s">
        <v>17834</v>
      </c>
      <c r="P4777" s="9" t="s">
        <v>17748</v>
      </c>
      <c r="Q4777" s="11" t="s">
        <v>17849</v>
      </c>
      <c r="R4777" s="11" t="s">
        <v>17849</v>
      </c>
      <c r="S4777" s="11" t="s">
        <v>17750</v>
      </c>
    </row>
    <row r="4778" spans="1:19" x14ac:dyDescent="0.2">
      <c r="A4778" s="11" t="s">
        <v>45435</v>
      </c>
      <c r="B4778" s="9" t="s">
        <v>45436</v>
      </c>
      <c r="C4778" s="9" t="s">
        <v>45437</v>
      </c>
      <c r="D4778" s="9" t="s">
        <v>45438</v>
      </c>
      <c r="E4778" s="9" t="s">
        <v>17740</v>
      </c>
      <c r="F4778" s="9" t="s">
        <v>17741</v>
      </c>
      <c r="G4778" s="9" t="s">
        <v>17740</v>
      </c>
      <c r="H4778" s="11" t="s">
        <v>17741</v>
      </c>
      <c r="I4778" s="11" t="s">
        <v>45439</v>
      </c>
      <c r="J4778" s="11" t="s">
        <v>45439</v>
      </c>
      <c r="K4778" s="9" t="s">
        <v>45440</v>
      </c>
      <c r="L4778" s="9" t="s">
        <v>17759</v>
      </c>
      <c r="M4778" s="9" t="s">
        <v>18745</v>
      </c>
      <c r="N4778" s="9" t="s">
        <v>17746</v>
      </c>
      <c r="O4778" s="9" t="s">
        <v>24787</v>
      </c>
      <c r="P4778" s="9" t="s">
        <v>17748</v>
      </c>
      <c r="Q4778" s="11" t="s">
        <v>22689</v>
      </c>
      <c r="R4778" s="11" t="s">
        <v>22689</v>
      </c>
      <c r="S4778" s="11" t="s">
        <v>17750</v>
      </c>
    </row>
    <row r="4779" spans="1:19" x14ac:dyDescent="0.2">
      <c r="A4779" s="11" t="s">
        <v>45441</v>
      </c>
      <c r="B4779" s="9" t="s">
        <v>45442</v>
      </c>
      <c r="C4779" s="9" t="s">
        <v>45443</v>
      </c>
      <c r="D4779" s="9" t="s">
        <v>45444</v>
      </c>
      <c r="E4779" s="9" t="s">
        <v>17748</v>
      </c>
      <c r="F4779" s="9" t="s">
        <v>45445</v>
      </c>
      <c r="G4779" s="9" t="s">
        <v>17740</v>
      </c>
      <c r="H4779" s="11" t="s">
        <v>45446</v>
      </c>
      <c r="I4779" s="11" t="s">
        <v>45447</v>
      </c>
      <c r="J4779" s="11" t="s">
        <v>17741</v>
      </c>
      <c r="K4779" s="9" t="s">
        <v>32539</v>
      </c>
      <c r="L4779" s="9" t="s">
        <v>17759</v>
      </c>
      <c r="M4779" s="9" t="s">
        <v>17760</v>
      </c>
      <c r="N4779" s="9" t="s">
        <v>17746</v>
      </c>
      <c r="O4779" s="9" t="s">
        <v>17834</v>
      </c>
      <c r="P4779" s="9" t="s">
        <v>17748</v>
      </c>
      <c r="Q4779" s="11" t="s">
        <v>17923</v>
      </c>
      <c r="R4779" s="11" t="s">
        <v>17923</v>
      </c>
      <c r="S4779" s="11" t="s">
        <v>17750</v>
      </c>
    </row>
    <row r="4780" spans="1:19" x14ac:dyDescent="0.2">
      <c r="A4780" s="11" t="s">
        <v>45448</v>
      </c>
      <c r="B4780" s="9" t="s">
        <v>45449</v>
      </c>
      <c r="C4780" s="9" t="s">
        <v>45450</v>
      </c>
      <c r="D4780" s="9" t="s">
        <v>9938</v>
      </c>
      <c r="E4780" s="9" t="s">
        <v>17740</v>
      </c>
      <c r="F4780" s="9" t="s">
        <v>17741</v>
      </c>
      <c r="G4780" s="9" t="s">
        <v>17740</v>
      </c>
      <c r="H4780" s="11" t="s">
        <v>9940</v>
      </c>
      <c r="I4780" s="11" t="s">
        <v>9939</v>
      </c>
      <c r="J4780" s="11" t="s">
        <v>9939</v>
      </c>
      <c r="K4780" s="9" t="s">
        <v>37711</v>
      </c>
      <c r="L4780" s="9" t="s">
        <v>17744</v>
      </c>
      <c r="M4780" s="9" t="s">
        <v>27799</v>
      </c>
      <c r="N4780" s="9" t="s">
        <v>17746</v>
      </c>
      <c r="O4780" s="9" t="s">
        <v>19109</v>
      </c>
      <c r="P4780" s="9" t="s">
        <v>17748</v>
      </c>
      <c r="Q4780" s="11" t="s">
        <v>18922</v>
      </c>
      <c r="R4780" s="11" t="s">
        <v>18922</v>
      </c>
      <c r="S4780" s="11" t="s">
        <v>17750</v>
      </c>
    </row>
    <row r="4781" spans="1:19" x14ac:dyDescent="0.2">
      <c r="A4781" s="11" t="s">
        <v>45451</v>
      </c>
      <c r="B4781" s="9" t="s">
        <v>45452</v>
      </c>
      <c r="C4781" s="9" t="s">
        <v>45453</v>
      </c>
      <c r="D4781" s="9" t="s">
        <v>45454</v>
      </c>
      <c r="E4781" s="9" t="s">
        <v>17740</v>
      </c>
      <c r="F4781" s="9" t="s">
        <v>45455</v>
      </c>
      <c r="G4781" s="9" t="s">
        <v>17740</v>
      </c>
      <c r="H4781" s="11" t="s">
        <v>6351</v>
      </c>
      <c r="I4781" s="11" t="s">
        <v>6350</v>
      </c>
      <c r="J4781" s="11" t="s">
        <v>6350</v>
      </c>
      <c r="K4781" s="9" t="s">
        <v>19767</v>
      </c>
      <c r="L4781" s="9" t="s">
        <v>17759</v>
      </c>
      <c r="M4781" s="9" t="s">
        <v>17760</v>
      </c>
      <c r="N4781" s="9" t="s">
        <v>17746</v>
      </c>
      <c r="O4781" s="9" t="s">
        <v>18514</v>
      </c>
      <c r="P4781" s="9" t="s">
        <v>17748</v>
      </c>
      <c r="Q4781" s="11" t="s">
        <v>17819</v>
      </c>
      <c r="R4781" s="11" t="s">
        <v>17819</v>
      </c>
      <c r="S4781" s="11" t="s">
        <v>17750</v>
      </c>
    </row>
    <row r="4782" spans="1:19" x14ac:dyDescent="0.2">
      <c r="A4782" s="11" t="s">
        <v>45456</v>
      </c>
      <c r="B4782" s="9" t="s">
        <v>45457</v>
      </c>
      <c r="C4782" s="9" t="s">
        <v>45458</v>
      </c>
      <c r="D4782" s="9" t="s">
        <v>45459</v>
      </c>
      <c r="E4782" s="9" t="s">
        <v>17740</v>
      </c>
      <c r="F4782" s="9" t="s">
        <v>17741</v>
      </c>
      <c r="G4782" s="9" t="s">
        <v>17740</v>
      </c>
      <c r="H4782" s="11" t="s">
        <v>45460</v>
      </c>
      <c r="I4782" s="11" t="s">
        <v>45461</v>
      </c>
      <c r="J4782" s="11" t="s">
        <v>45461</v>
      </c>
      <c r="K4782" s="9" t="s">
        <v>19767</v>
      </c>
      <c r="L4782" s="9" t="s">
        <v>17759</v>
      </c>
      <c r="M4782" s="9" t="s">
        <v>17769</v>
      </c>
      <c r="N4782" s="9" t="s">
        <v>17746</v>
      </c>
      <c r="O4782" s="9" t="s">
        <v>18514</v>
      </c>
      <c r="P4782" s="9" t="s">
        <v>17748</v>
      </c>
      <c r="Q4782" s="11" t="s">
        <v>36155</v>
      </c>
      <c r="R4782" s="11" t="s">
        <v>36155</v>
      </c>
      <c r="S4782" s="11" t="s">
        <v>17750</v>
      </c>
    </row>
    <row r="4783" spans="1:19" x14ac:dyDescent="0.2">
      <c r="A4783" s="11" t="s">
        <v>45462</v>
      </c>
      <c r="B4783" s="9" t="s">
        <v>45463</v>
      </c>
      <c r="C4783" s="9" t="s">
        <v>45464</v>
      </c>
      <c r="D4783" s="9" t="s">
        <v>45465</v>
      </c>
      <c r="E4783" s="9" t="s">
        <v>17740</v>
      </c>
      <c r="F4783" s="9" t="s">
        <v>17741</v>
      </c>
      <c r="G4783" s="9" t="s">
        <v>17740</v>
      </c>
      <c r="H4783" s="11" t="s">
        <v>45466</v>
      </c>
      <c r="I4783" s="11" t="s">
        <v>45467</v>
      </c>
      <c r="J4783" s="11" t="s">
        <v>45467</v>
      </c>
      <c r="K4783" s="9" t="s">
        <v>724</v>
      </c>
      <c r="L4783" s="9" t="s">
        <v>17744</v>
      </c>
      <c r="M4783" s="9" t="s">
        <v>25519</v>
      </c>
      <c r="N4783" s="9" t="s">
        <v>17746</v>
      </c>
      <c r="O4783" s="9" t="s">
        <v>18514</v>
      </c>
      <c r="P4783" s="9" t="s">
        <v>17748</v>
      </c>
      <c r="Q4783" s="11" t="s">
        <v>18282</v>
      </c>
      <c r="R4783" s="11" t="s">
        <v>18282</v>
      </c>
      <c r="S4783" s="11" t="s">
        <v>17750</v>
      </c>
    </row>
    <row r="4784" spans="1:19" x14ac:dyDescent="0.2">
      <c r="A4784" s="11" t="s">
        <v>45468</v>
      </c>
      <c r="B4784" s="9" t="s">
        <v>45469</v>
      </c>
      <c r="C4784" s="9" t="s">
        <v>45470</v>
      </c>
      <c r="D4784" s="9" t="s">
        <v>45471</v>
      </c>
      <c r="E4784" s="9" t="s">
        <v>17740</v>
      </c>
      <c r="F4784" s="9" t="s">
        <v>17741</v>
      </c>
      <c r="G4784" s="9" t="s">
        <v>17740</v>
      </c>
      <c r="H4784" s="11" t="s">
        <v>45472</v>
      </c>
      <c r="I4784" s="11" t="s">
        <v>45473</v>
      </c>
      <c r="J4784" s="11" t="s">
        <v>45473</v>
      </c>
      <c r="K4784" s="9" t="s">
        <v>19767</v>
      </c>
      <c r="L4784" s="9" t="s">
        <v>17759</v>
      </c>
      <c r="M4784" s="9" t="s">
        <v>17760</v>
      </c>
      <c r="N4784" s="9" t="s">
        <v>17746</v>
      </c>
      <c r="O4784" s="9" t="s">
        <v>18514</v>
      </c>
      <c r="P4784" s="9" t="s">
        <v>17748</v>
      </c>
      <c r="Q4784" s="11" t="s">
        <v>18201</v>
      </c>
      <c r="R4784" s="11" t="s">
        <v>18201</v>
      </c>
      <c r="S4784" s="11" t="s">
        <v>17750</v>
      </c>
    </row>
    <row r="4785" spans="1:19" x14ac:dyDescent="0.2">
      <c r="A4785" s="11" t="s">
        <v>45474</v>
      </c>
      <c r="B4785" s="9" t="s">
        <v>45475</v>
      </c>
      <c r="C4785" s="9" t="s">
        <v>45476</v>
      </c>
      <c r="D4785" s="9" t="s">
        <v>45477</v>
      </c>
      <c r="E4785" s="9" t="s">
        <v>17740</v>
      </c>
      <c r="F4785" s="9" t="s">
        <v>17741</v>
      </c>
      <c r="G4785" s="9" t="s">
        <v>17740</v>
      </c>
      <c r="H4785" s="11" t="s">
        <v>17741</v>
      </c>
      <c r="I4785" s="11" t="s">
        <v>45478</v>
      </c>
      <c r="J4785" s="11" t="s">
        <v>45478</v>
      </c>
      <c r="K4785" s="9" t="s">
        <v>43993</v>
      </c>
      <c r="L4785" s="9" t="s">
        <v>17759</v>
      </c>
      <c r="M4785" s="9" t="s">
        <v>17769</v>
      </c>
      <c r="N4785" s="9" t="s">
        <v>17746</v>
      </c>
      <c r="O4785" s="9" t="s">
        <v>18514</v>
      </c>
      <c r="P4785" s="9" t="s">
        <v>17748</v>
      </c>
      <c r="Q4785" s="11" t="s">
        <v>21569</v>
      </c>
      <c r="R4785" s="11" t="s">
        <v>21569</v>
      </c>
      <c r="S4785" s="11" t="s">
        <v>17750</v>
      </c>
    </row>
    <row r="4786" spans="1:19" x14ac:dyDescent="0.2">
      <c r="A4786" s="11" t="s">
        <v>45479</v>
      </c>
      <c r="B4786" s="9" t="s">
        <v>45480</v>
      </c>
      <c r="C4786" s="9" t="s">
        <v>45481</v>
      </c>
      <c r="D4786" s="9" t="s">
        <v>45482</v>
      </c>
      <c r="E4786" s="9" t="s">
        <v>17740</v>
      </c>
      <c r="F4786" s="9" t="s">
        <v>45483</v>
      </c>
      <c r="G4786" s="9" t="s">
        <v>17740</v>
      </c>
      <c r="H4786" s="11" t="s">
        <v>45484</v>
      </c>
      <c r="I4786" s="11" t="s">
        <v>45485</v>
      </c>
      <c r="J4786" s="11" t="s">
        <v>45485</v>
      </c>
      <c r="K4786" s="9" t="s">
        <v>18727</v>
      </c>
      <c r="L4786" s="9" t="s">
        <v>18158</v>
      </c>
      <c r="M4786" s="9" t="s">
        <v>24928</v>
      </c>
      <c r="N4786" s="9" t="s">
        <v>17746</v>
      </c>
      <c r="O4786" s="9" t="s">
        <v>18514</v>
      </c>
      <c r="P4786" s="9" t="s">
        <v>17748</v>
      </c>
      <c r="Q4786" s="11" t="s">
        <v>17771</v>
      </c>
      <c r="R4786" s="11" t="s">
        <v>17771</v>
      </c>
      <c r="S4786" s="11" t="s">
        <v>17750</v>
      </c>
    </row>
    <row r="4787" spans="1:19" x14ac:dyDescent="0.2">
      <c r="A4787" s="11" t="s">
        <v>45486</v>
      </c>
      <c r="B4787" s="9" t="s">
        <v>45487</v>
      </c>
      <c r="C4787" s="9" t="s">
        <v>45488</v>
      </c>
      <c r="D4787" s="9" t="s">
        <v>45489</v>
      </c>
      <c r="E4787" s="9" t="s">
        <v>17740</v>
      </c>
      <c r="F4787" s="9" t="s">
        <v>17741</v>
      </c>
      <c r="G4787" s="9" t="s">
        <v>17740</v>
      </c>
      <c r="H4787" s="11" t="s">
        <v>45490</v>
      </c>
      <c r="I4787" s="11" t="s">
        <v>45491</v>
      </c>
      <c r="J4787" s="11" t="s">
        <v>45491</v>
      </c>
      <c r="K4787" s="9" t="s">
        <v>19767</v>
      </c>
      <c r="L4787" s="9" t="s">
        <v>17759</v>
      </c>
      <c r="M4787" s="9" t="s">
        <v>17760</v>
      </c>
      <c r="N4787" s="9" t="s">
        <v>17746</v>
      </c>
      <c r="O4787" s="9" t="s">
        <v>18514</v>
      </c>
      <c r="P4787" s="9" t="s">
        <v>17748</v>
      </c>
      <c r="Q4787" s="11" t="s">
        <v>45492</v>
      </c>
      <c r="R4787" s="11" t="s">
        <v>45492</v>
      </c>
      <c r="S4787" s="11" t="s">
        <v>17750</v>
      </c>
    </row>
    <row r="4788" spans="1:19" x14ac:dyDescent="0.2">
      <c r="A4788" s="11" t="s">
        <v>45493</v>
      </c>
      <c r="B4788" s="9" t="s">
        <v>45494</v>
      </c>
      <c r="C4788" s="9" t="s">
        <v>45495</v>
      </c>
      <c r="D4788" s="9" t="s">
        <v>45496</v>
      </c>
      <c r="E4788" s="9" t="s">
        <v>17740</v>
      </c>
      <c r="F4788" s="9" t="s">
        <v>17741</v>
      </c>
      <c r="G4788" s="9" t="s">
        <v>17740</v>
      </c>
      <c r="H4788" s="11" t="s">
        <v>45497</v>
      </c>
      <c r="I4788" s="11" t="s">
        <v>45498</v>
      </c>
      <c r="J4788" s="11" t="s">
        <v>45498</v>
      </c>
      <c r="K4788" s="9" t="s">
        <v>18520</v>
      </c>
      <c r="L4788" s="9" t="s">
        <v>17759</v>
      </c>
      <c r="M4788" s="9" t="s">
        <v>20397</v>
      </c>
      <c r="N4788" s="9" t="s">
        <v>17746</v>
      </c>
      <c r="O4788" s="9" t="s">
        <v>18514</v>
      </c>
      <c r="P4788" s="9" t="s">
        <v>17748</v>
      </c>
      <c r="Q4788" s="11" t="s">
        <v>17749</v>
      </c>
      <c r="R4788" s="11" t="s">
        <v>17749</v>
      </c>
      <c r="S4788" s="11" t="s">
        <v>17750</v>
      </c>
    </row>
    <row r="4789" spans="1:19" x14ac:dyDescent="0.2">
      <c r="A4789" s="11" t="s">
        <v>45499</v>
      </c>
      <c r="B4789" s="9" t="s">
        <v>45500</v>
      </c>
      <c r="C4789" s="9" t="s">
        <v>45501</v>
      </c>
      <c r="D4789" s="9" t="s">
        <v>45502</v>
      </c>
      <c r="E4789" s="9" t="s">
        <v>17740</v>
      </c>
      <c r="F4789" s="9" t="s">
        <v>17741</v>
      </c>
      <c r="G4789" s="9" t="s">
        <v>17740</v>
      </c>
      <c r="H4789" s="11" t="s">
        <v>45503</v>
      </c>
      <c r="I4789" s="11" t="s">
        <v>45504</v>
      </c>
      <c r="J4789" s="11" t="s">
        <v>45504</v>
      </c>
      <c r="K4789" s="9" t="s">
        <v>6348</v>
      </c>
      <c r="L4789" s="9" t="s">
        <v>17759</v>
      </c>
      <c r="M4789" s="9" t="s">
        <v>18211</v>
      </c>
      <c r="N4789" s="9" t="s">
        <v>17746</v>
      </c>
      <c r="O4789" s="9" t="s">
        <v>18677</v>
      </c>
      <c r="P4789" s="9" t="s">
        <v>17748</v>
      </c>
      <c r="Q4789" s="11" t="s">
        <v>17780</v>
      </c>
      <c r="R4789" s="11" t="s">
        <v>17780</v>
      </c>
      <c r="S4789" s="11" t="s">
        <v>17750</v>
      </c>
    </row>
    <row r="4790" spans="1:19" x14ac:dyDescent="0.2">
      <c r="A4790" s="11" t="s">
        <v>45505</v>
      </c>
      <c r="B4790" s="9" t="s">
        <v>45506</v>
      </c>
      <c r="C4790" s="9" t="s">
        <v>45507</v>
      </c>
      <c r="D4790" s="9" t="s">
        <v>45508</v>
      </c>
      <c r="E4790" s="9" t="s">
        <v>17740</v>
      </c>
      <c r="F4790" s="9" t="s">
        <v>17741</v>
      </c>
      <c r="G4790" s="9" t="s">
        <v>17740</v>
      </c>
      <c r="H4790" s="11" t="s">
        <v>45509</v>
      </c>
      <c r="I4790" s="11" t="s">
        <v>45510</v>
      </c>
      <c r="J4790" s="11" t="s">
        <v>45510</v>
      </c>
      <c r="K4790" s="9" t="s">
        <v>689</v>
      </c>
      <c r="L4790" s="9" t="s">
        <v>17744</v>
      </c>
      <c r="M4790" s="9" t="s">
        <v>31305</v>
      </c>
      <c r="N4790" s="9" t="s">
        <v>17746</v>
      </c>
      <c r="O4790" s="9" t="s">
        <v>18514</v>
      </c>
      <c r="P4790" s="9" t="s">
        <v>17748</v>
      </c>
      <c r="Q4790" s="11" t="s">
        <v>18364</v>
      </c>
      <c r="R4790" s="11" t="s">
        <v>18364</v>
      </c>
      <c r="S4790" s="11" t="s">
        <v>17750</v>
      </c>
    </row>
    <row r="4791" spans="1:19" x14ac:dyDescent="0.2">
      <c r="A4791" s="11" t="s">
        <v>45511</v>
      </c>
      <c r="B4791" s="9" t="s">
        <v>45512</v>
      </c>
      <c r="C4791" s="9" t="s">
        <v>45513</v>
      </c>
      <c r="D4791" s="9" t="s">
        <v>45514</v>
      </c>
      <c r="E4791" s="9" t="s">
        <v>17740</v>
      </c>
      <c r="F4791" s="9" t="s">
        <v>17741</v>
      </c>
      <c r="G4791" s="9" t="s">
        <v>17740</v>
      </c>
      <c r="H4791" s="11" t="s">
        <v>6354</v>
      </c>
      <c r="I4791" s="11" t="s">
        <v>6353</v>
      </c>
      <c r="J4791" s="11" t="s">
        <v>6353</v>
      </c>
      <c r="K4791" s="9" t="s">
        <v>19767</v>
      </c>
      <c r="L4791" s="9" t="s">
        <v>17759</v>
      </c>
      <c r="M4791" s="9" t="s">
        <v>17760</v>
      </c>
      <c r="N4791" s="9" t="s">
        <v>17746</v>
      </c>
      <c r="O4791" s="9" t="s">
        <v>19109</v>
      </c>
      <c r="P4791" s="9" t="s">
        <v>17748</v>
      </c>
      <c r="Q4791" s="11" t="s">
        <v>18059</v>
      </c>
      <c r="R4791" s="11" t="s">
        <v>18059</v>
      </c>
      <c r="S4791" s="11" t="s">
        <v>17750</v>
      </c>
    </row>
    <row r="4792" spans="1:19" x14ac:dyDescent="0.2">
      <c r="A4792" s="11" t="s">
        <v>45515</v>
      </c>
      <c r="B4792" s="9" t="s">
        <v>45516</v>
      </c>
      <c r="C4792" s="9" t="s">
        <v>45517</v>
      </c>
      <c r="D4792" s="9" t="s">
        <v>45518</v>
      </c>
      <c r="E4792" s="9" t="s">
        <v>17748</v>
      </c>
      <c r="F4792" s="9" t="s">
        <v>45519</v>
      </c>
      <c r="G4792" s="9" t="s">
        <v>17740</v>
      </c>
      <c r="H4792" s="11" t="s">
        <v>45520</v>
      </c>
      <c r="I4792" s="11" t="s">
        <v>45521</v>
      </c>
      <c r="J4792" s="11" t="s">
        <v>45521</v>
      </c>
      <c r="K4792" s="9" t="s">
        <v>970</v>
      </c>
      <c r="L4792" s="9" t="s">
        <v>17744</v>
      </c>
      <c r="M4792" s="9" t="s">
        <v>17760</v>
      </c>
      <c r="N4792" s="9" t="s">
        <v>17746</v>
      </c>
      <c r="O4792" s="9" t="s">
        <v>25541</v>
      </c>
      <c r="P4792" s="9" t="s">
        <v>17748</v>
      </c>
      <c r="Q4792" s="11" t="s">
        <v>17994</v>
      </c>
      <c r="R4792" s="11" t="s">
        <v>17994</v>
      </c>
      <c r="S4792" s="11" t="s">
        <v>17750</v>
      </c>
    </row>
    <row r="4793" spans="1:19" x14ac:dyDescent="0.2">
      <c r="A4793" s="11" t="s">
        <v>45522</v>
      </c>
      <c r="B4793" s="9" t="s">
        <v>45523</v>
      </c>
      <c r="C4793" s="9" t="s">
        <v>45524</v>
      </c>
      <c r="D4793" s="9" t="s">
        <v>45525</v>
      </c>
      <c r="E4793" s="9" t="s">
        <v>17740</v>
      </c>
      <c r="F4793" s="9" t="s">
        <v>45526</v>
      </c>
      <c r="G4793" s="9" t="s">
        <v>17740</v>
      </c>
      <c r="H4793" s="11" t="s">
        <v>6347</v>
      </c>
      <c r="I4793" s="11" t="s">
        <v>6346</v>
      </c>
      <c r="J4793" s="11" t="s">
        <v>6346</v>
      </c>
      <c r="K4793" s="9" t="s">
        <v>19767</v>
      </c>
      <c r="L4793" s="9" t="s">
        <v>17759</v>
      </c>
      <c r="M4793" s="9" t="s">
        <v>45527</v>
      </c>
      <c r="N4793" s="9" t="s">
        <v>17746</v>
      </c>
      <c r="O4793" s="9" t="s">
        <v>45528</v>
      </c>
      <c r="P4793" s="9" t="s">
        <v>17748</v>
      </c>
      <c r="Q4793" s="11" t="s">
        <v>18364</v>
      </c>
      <c r="R4793" s="11" t="s">
        <v>18364</v>
      </c>
      <c r="S4793" s="11" t="s">
        <v>17750</v>
      </c>
    </row>
    <row r="4794" spans="1:19" x14ac:dyDescent="0.2">
      <c r="A4794" s="11" t="s">
        <v>45529</v>
      </c>
      <c r="B4794" s="9" t="s">
        <v>45530</v>
      </c>
      <c r="C4794" s="9" t="s">
        <v>45531</v>
      </c>
      <c r="D4794" s="9" t="s">
        <v>45532</v>
      </c>
      <c r="E4794" s="9" t="s">
        <v>17740</v>
      </c>
      <c r="F4794" s="9" t="s">
        <v>17741</v>
      </c>
      <c r="G4794" s="9" t="s">
        <v>17740</v>
      </c>
      <c r="H4794" s="11" t="s">
        <v>45533</v>
      </c>
      <c r="I4794" s="11" t="s">
        <v>45534</v>
      </c>
      <c r="J4794" s="11" t="s">
        <v>45534</v>
      </c>
      <c r="K4794" s="9" t="s">
        <v>689</v>
      </c>
      <c r="L4794" s="9" t="s">
        <v>17744</v>
      </c>
      <c r="M4794" s="9" t="s">
        <v>18065</v>
      </c>
      <c r="N4794" s="9" t="s">
        <v>17746</v>
      </c>
      <c r="O4794" s="9" t="s">
        <v>45535</v>
      </c>
      <c r="P4794" s="9" t="s">
        <v>17748</v>
      </c>
      <c r="Q4794" s="11" t="s">
        <v>18201</v>
      </c>
      <c r="R4794" s="11" t="s">
        <v>18201</v>
      </c>
      <c r="S4794" s="11" t="s">
        <v>17750</v>
      </c>
    </row>
    <row r="4795" spans="1:19" x14ac:dyDescent="0.2">
      <c r="A4795" s="11" t="s">
        <v>45536</v>
      </c>
      <c r="B4795" s="9" t="s">
        <v>45537</v>
      </c>
      <c r="C4795" s="9" t="s">
        <v>45538</v>
      </c>
      <c r="D4795" s="9" t="s">
        <v>45537</v>
      </c>
      <c r="E4795" s="9" t="s">
        <v>17740</v>
      </c>
      <c r="F4795" s="9" t="s">
        <v>17741</v>
      </c>
      <c r="G4795" s="9" t="s">
        <v>17740</v>
      </c>
      <c r="H4795" s="11" t="s">
        <v>45539</v>
      </c>
      <c r="I4795" s="11" t="s">
        <v>45540</v>
      </c>
      <c r="J4795" s="11" t="s">
        <v>45540</v>
      </c>
      <c r="K4795" s="9" t="s">
        <v>45541</v>
      </c>
      <c r="L4795" s="9" t="s">
        <v>17759</v>
      </c>
      <c r="M4795" s="9" t="s">
        <v>17760</v>
      </c>
      <c r="N4795" s="9" t="s">
        <v>17746</v>
      </c>
      <c r="O4795" s="9" t="s">
        <v>19095</v>
      </c>
      <c r="P4795" s="9" t="s">
        <v>17748</v>
      </c>
      <c r="Q4795" s="11" t="s">
        <v>20691</v>
      </c>
      <c r="R4795" s="11" t="s">
        <v>20691</v>
      </c>
      <c r="S4795" s="11" t="s">
        <v>17750</v>
      </c>
    </row>
    <row r="4796" spans="1:19" x14ac:dyDescent="0.2">
      <c r="A4796" s="11" t="s">
        <v>45542</v>
      </c>
      <c r="B4796" s="9" t="s">
        <v>3515</v>
      </c>
      <c r="C4796" s="9" t="s">
        <v>45543</v>
      </c>
      <c r="D4796" s="9" t="s">
        <v>3515</v>
      </c>
      <c r="E4796" s="9" t="s">
        <v>17740</v>
      </c>
      <c r="F4796" s="9" t="s">
        <v>17741</v>
      </c>
      <c r="G4796" s="9" t="s">
        <v>17740</v>
      </c>
      <c r="H4796" s="11" t="s">
        <v>3517</v>
      </c>
      <c r="I4796" s="11" t="s">
        <v>3516</v>
      </c>
      <c r="J4796" s="11" t="s">
        <v>3516</v>
      </c>
      <c r="K4796" s="9" t="s">
        <v>38888</v>
      </c>
      <c r="L4796" s="9" t="s">
        <v>17744</v>
      </c>
      <c r="M4796" s="9" t="s">
        <v>17908</v>
      </c>
      <c r="N4796" s="9" t="s">
        <v>17746</v>
      </c>
      <c r="O4796" s="9" t="s">
        <v>45544</v>
      </c>
      <c r="P4796" s="9" t="s">
        <v>17748</v>
      </c>
      <c r="Q4796" s="11" t="s">
        <v>18608</v>
      </c>
      <c r="R4796" s="11" t="s">
        <v>18608</v>
      </c>
      <c r="S4796" s="11" t="s">
        <v>17750</v>
      </c>
    </row>
    <row r="4797" spans="1:19" x14ac:dyDescent="0.2">
      <c r="A4797" s="11" t="s">
        <v>45545</v>
      </c>
      <c r="B4797" s="9" t="s">
        <v>45546</v>
      </c>
      <c r="C4797" s="9" t="s">
        <v>45547</v>
      </c>
      <c r="D4797" s="9" t="s">
        <v>45548</v>
      </c>
      <c r="E4797" s="9" t="s">
        <v>17740</v>
      </c>
      <c r="F4797" s="9" t="s">
        <v>45549</v>
      </c>
      <c r="G4797" s="9" t="s">
        <v>17740</v>
      </c>
      <c r="H4797" s="11" t="s">
        <v>45550</v>
      </c>
      <c r="I4797" s="11" t="s">
        <v>45551</v>
      </c>
      <c r="J4797" s="11" t="s">
        <v>45551</v>
      </c>
      <c r="K4797" s="9" t="s">
        <v>45552</v>
      </c>
      <c r="L4797" s="9" t="s">
        <v>17759</v>
      </c>
      <c r="M4797" s="9" t="s">
        <v>24928</v>
      </c>
      <c r="N4797" s="9" t="s">
        <v>17746</v>
      </c>
      <c r="O4797" s="9" t="s">
        <v>18514</v>
      </c>
      <c r="P4797" s="9" t="s">
        <v>17748</v>
      </c>
      <c r="Q4797" s="11" t="s">
        <v>17808</v>
      </c>
      <c r="R4797" s="11" t="s">
        <v>17808</v>
      </c>
      <c r="S4797" s="11" t="s">
        <v>17750</v>
      </c>
    </row>
    <row r="4798" spans="1:19" x14ac:dyDescent="0.2">
      <c r="A4798" s="11" t="s">
        <v>45553</v>
      </c>
      <c r="B4798" s="9" t="s">
        <v>45554</v>
      </c>
      <c r="C4798" s="9" t="s">
        <v>45555</v>
      </c>
      <c r="D4798" s="9" t="s">
        <v>45556</v>
      </c>
      <c r="E4798" s="9" t="s">
        <v>17740</v>
      </c>
      <c r="F4798" s="9" t="s">
        <v>17741</v>
      </c>
      <c r="G4798" s="9" t="s">
        <v>17740</v>
      </c>
      <c r="H4798" s="11" t="s">
        <v>5801</v>
      </c>
      <c r="I4798" s="11" t="s">
        <v>5800</v>
      </c>
      <c r="J4798" s="11" t="s">
        <v>5800</v>
      </c>
      <c r="K4798" s="9" t="s">
        <v>17805</v>
      </c>
      <c r="L4798" s="9" t="s">
        <v>17744</v>
      </c>
      <c r="M4798" s="9" t="s">
        <v>24588</v>
      </c>
      <c r="N4798" s="9" t="s">
        <v>17746</v>
      </c>
      <c r="O4798" s="9" t="s">
        <v>45557</v>
      </c>
      <c r="P4798" s="9" t="s">
        <v>17748</v>
      </c>
      <c r="Q4798" s="11" t="s">
        <v>18147</v>
      </c>
      <c r="R4798" s="11" t="s">
        <v>18147</v>
      </c>
      <c r="S4798" s="11" t="s">
        <v>17750</v>
      </c>
    </row>
    <row r="4799" spans="1:19" x14ac:dyDescent="0.2">
      <c r="A4799" s="11" t="s">
        <v>45558</v>
      </c>
      <c r="B4799" s="9" t="s">
        <v>45559</v>
      </c>
      <c r="C4799" s="9" t="s">
        <v>45560</v>
      </c>
      <c r="D4799" s="9" t="s">
        <v>45559</v>
      </c>
      <c r="E4799" s="9" t="s">
        <v>17740</v>
      </c>
      <c r="F4799" s="9" t="s">
        <v>45561</v>
      </c>
      <c r="G4799" s="9" t="s">
        <v>17740</v>
      </c>
      <c r="H4799" s="11" t="s">
        <v>45562</v>
      </c>
      <c r="I4799" s="11" t="s">
        <v>45563</v>
      </c>
      <c r="J4799" s="11" t="s">
        <v>45563</v>
      </c>
      <c r="K4799" s="9" t="s">
        <v>22922</v>
      </c>
      <c r="L4799" s="9" t="s">
        <v>18123</v>
      </c>
      <c r="M4799" s="9" t="s">
        <v>18065</v>
      </c>
      <c r="N4799" s="9" t="s">
        <v>17746</v>
      </c>
      <c r="O4799" s="9" t="s">
        <v>17834</v>
      </c>
      <c r="P4799" s="9" t="s">
        <v>17748</v>
      </c>
      <c r="Q4799" s="11" t="s">
        <v>18341</v>
      </c>
      <c r="R4799" s="11" t="s">
        <v>18341</v>
      </c>
      <c r="S4799" s="11" t="s">
        <v>17750</v>
      </c>
    </row>
    <row r="4800" spans="1:19" x14ac:dyDescent="0.2">
      <c r="A4800" s="11" t="s">
        <v>45564</v>
      </c>
      <c r="B4800" s="9" t="s">
        <v>3475</v>
      </c>
      <c r="C4800" s="9" t="s">
        <v>45565</v>
      </c>
      <c r="D4800" s="9" t="s">
        <v>45566</v>
      </c>
      <c r="E4800" s="9" t="s">
        <v>17740</v>
      </c>
      <c r="F4800" s="9" t="s">
        <v>45567</v>
      </c>
      <c r="G4800" s="9" t="s">
        <v>17740</v>
      </c>
      <c r="H4800" s="11" t="s">
        <v>3477</v>
      </c>
      <c r="I4800" s="11" t="s">
        <v>3476</v>
      </c>
      <c r="J4800" s="11" t="s">
        <v>3476</v>
      </c>
      <c r="K4800" s="9" t="s">
        <v>18727</v>
      </c>
      <c r="L4800" s="9" t="s">
        <v>18158</v>
      </c>
      <c r="M4800" s="9" t="s">
        <v>20172</v>
      </c>
      <c r="N4800" s="9" t="s">
        <v>17746</v>
      </c>
      <c r="O4800" s="9" t="s">
        <v>3475</v>
      </c>
      <c r="P4800" s="9" t="s">
        <v>17748</v>
      </c>
      <c r="Q4800" s="11" t="s">
        <v>19026</v>
      </c>
      <c r="R4800" s="11" t="s">
        <v>19026</v>
      </c>
      <c r="S4800" s="11" t="s">
        <v>17750</v>
      </c>
    </row>
    <row r="4801" spans="1:19" x14ac:dyDescent="0.2">
      <c r="A4801" s="11" t="s">
        <v>45568</v>
      </c>
      <c r="B4801" s="9" t="s">
        <v>45569</v>
      </c>
      <c r="C4801" s="9" t="s">
        <v>45570</v>
      </c>
      <c r="D4801" s="9" t="s">
        <v>45571</v>
      </c>
      <c r="E4801" s="9" t="s">
        <v>17740</v>
      </c>
      <c r="F4801" s="9" t="s">
        <v>45572</v>
      </c>
      <c r="G4801" s="9" t="s">
        <v>17740</v>
      </c>
      <c r="H4801" s="11" t="s">
        <v>17741</v>
      </c>
      <c r="I4801" s="11" t="s">
        <v>3507</v>
      </c>
      <c r="J4801" s="11" t="s">
        <v>3507</v>
      </c>
      <c r="K4801" s="9" t="s">
        <v>45573</v>
      </c>
      <c r="L4801" s="9" t="s">
        <v>17759</v>
      </c>
      <c r="M4801" s="9" t="s">
        <v>17760</v>
      </c>
      <c r="N4801" s="9" t="s">
        <v>17746</v>
      </c>
      <c r="O4801" s="9" t="s">
        <v>3475</v>
      </c>
      <c r="P4801" s="9" t="s">
        <v>17748</v>
      </c>
      <c r="Q4801" s="11" t="s">
        <v>20251</v>
      </c>
      <c r="R4801" s="11" t="s">
        <v>20251</v>
      </c>
      <c r="S4801" s="11" t="s">
        <v>17750</v>
      </c>
    </row>
    <row r="4802" spans="1:19" x14ac:dyDescent="0.2">
      <c r="A4802" s="11" t="s">
        <v>45574</v>
      </c>
      <c r="B4802" s="9" t="s">
        <v>22476</v>
      </c>
      <c r="C4802" s="9" t="s">
        <v>45575</v>
      </c>
      <c r="D4802" s="9" t="s">
        <v>22476</v>
      </c>
      <c r="E4802" s="9" t="s">
        <v>17740</v>
      </c>
      <c r="F4802" s="9" t="s">
        <v>45576</v>
      </c>
      <c r="G4802" s="9" t="s">
        <v>17740</v>
      </c>
      <c r="H4802" s="11" t="s">
        <v>45577</v>
      </c>
      <c r="I4802" s="11" t="s">
        <v>45578</v>
      </c>
      <c r="J4802" s="11" t="s">
        <v>45578</v>
      </c>
      <c r="K4802" s="9" t="s">
        <v>21146</v>
      </c>
      <c r="L4802" s="9" t="s">
        <v>17759</v>
      </c>
      <c r="M4802" s="9" t="s">
        <v>17769</v>
      </c>
      <c r="N4802" s="9" t="s">
        <v>17746</v>
      </c>
      <c r="O4802" s="9" t="s">
        <v>22476</v>
      </c>
      <c r="P4802" s="9" t="s">
        <v>17748</v>
      </c>
      <c r="Q4802" s="11" t="s">
        <v>19236</v>
      </c>
      <c r="R4802" s="11" t="s">
        <v>19236</v>
      </c>
      <c r="S4802" s="11" t="s">
        <v>17750</v>
      </c>
    </row>
    <row r="4803" spans="1:19" x14ac:dyDescent="0.2">
      <c r="A4803" s="11" t="s">
        <v>45579</v>
      </c>
      <c r="B4803" s="9" t="s">
        <v>45580</v>
      </c>
      <c r="C4803" s="9" t="s">
        <v>45581</v>
      </c>
      <c r="D4803" s="9" t="s">
        <v>45582</v>
      </c>
      <c r="E4803" s="9" t="s">
        <v>17740</v>
      </c>
      <c r="F4803" s="9" t="s">
        <v>17741</v>
      </c>
      <c r="G4803" s="9" t="s">
        <v>17740</v>
      </c>
      <c r="H4803" s="11" t="s">
        <v>3480</v>
      </c>
      <c r="I4803" s="11" t="s">
        <v>3479</v>
      </c>
      <c r="J4803" s="11" t="s">
        <v>3479</v>
      </c>
      <c r="K4803" s="9" t="s">
        <v>17758</v>
      </c>
      <c r="L4803" s="9" t="s">
        <v>17759</v>
      </c>
      <c r="M4803" s="9" t="s">
        <v>19565</v>
      </c>
      <c r="N4803" s="9" t="s">
        <v>17746</v>
      </c>
      <c r="O4803" s="9" t="s">
        <v>17834</v>
      </c>
      <c r="P4803" s="9" t="s">
        <v>17748</v>
      </c>
      <c r="Q4803" s="11" t="s">
        <v>18348</v>
      </c>
      <c r="R4803" s="11" t="s">
        <v>18348</v>
      </c>
      <c r="S4803" s="11" t="s">
        <v>17750</v>
      </c>
    </row>
    <row r="4804" spans="1:19" x14ac:dyDescent="0.2">
      <c r="A4804" s="11" t="s">
        <v>45583</v>
      </c>
      <c r="B4804" s="9" t="s">
        <v>3512</v>
      </c>
      <c r="C4804" s="9" t="s">
        <v>45584</v>
      </c>
      <c r="D4804" s="9" t="s">
        <v>3512</v>
      </c>
      <c r="E4804" s="9" t="s">
        <v>17740</v>
      </c>
      <c r="F4804" s="9" t="s">
        <v>17741</v>
      </c>
      <c r="G4804" s="9" t="s">
        <v>17740</v>
      </c>
      <c r="H4804" s="11" t="s">
        <v>3514</v>
      </c>
      <c r="I4804" s="11" t="s">
        <v>3513</v>
      </c>
      <c r="J4804" s="11" t="s">
        <v>3513</v>
      </c>
      <c r="K4804" s="9" t="s">
        <v>91</v>
      </c>
      <c r="L4804" s="9" t="s">
        <v>17744</v>
      </c>
      <c r="M4804" s="9" t="s">
        <v>45585</v>
      </c>
      <c r="N4804" s="9" t="s">
        <v>17746</v>
      </c>
      <c r="O4804" s="9" t="s">
        <v>17834</v>
      </c>
      <c r="P4804" s="9" t="s">
        <v>17748</v>
      </c>
      <c r="Q4804" s="11" t="s">
        <v>18556</v>
      </c>
      <c r="R4804" s="11" t="s">
        <v>18556</v>
      </c>
      <c r="S4804" s="11" t="s">
        <v>17750</v>
      </c>
    </row>
    <row r="4805" spans="1:19" x14ac:dyDescent="0.2">
      <c r="A4805" s="11" t="s">
        <v>45586</v>
      </c>
      <c r="B4805" s="9" t="s">
        <v>45587</v>
      </c>
      <c r="C4805" s="9" t="s">
        <v>45588</v>
      </c>
      <c r="D4805" s="9" t="s">
        <v>45589</v>
      </c>
      <c r="E4805" s="9" t="s">
        <v>17740</v>
      </c>
      <c r="F4805" s="9" t="s">
        <v>45590</v>
      </c>
      <c r="G4805" s="9" t="s">
        <v>17740</v>
      </c>
      <c r="H4805" s="11" t="s">
        <v>17741</v>
      </c>
      <c r="I4805" s="11" t="s">
        <v>3482</v>
      </c>
      <c r="J4805" s="11" t="s">
        <v>3482</v>
      </c>
      <c r="K4805" s="9" t="s">
        <v>19244</v>
      </c>
      <c r="L4805" s="9" t="s">
        <v>18158</v>
      </c>
      <c r="M4805" s="9" t="s">
        <v>17817</v>
      </c>
      <c r="N4805" s="9" t="s">
        <v>18185</v>
      </c>
      <c r="O4805" s="9" t="s">
        <v>17834</v>
      </c>
      <c r="P4805" s="9" t="s">
        <v>17748</v>
      </c>
      <c r="Q4805" s="11" t="s">
        <v>19222</v>
      </c>
      <c r="R4805" s="11" t="s">
        <v>19222</v>
      </c>
      <c r="S4805" s="11" t="s">
        <v>17750</v>
      </c>
    </row>
    <row r="4806" spans="1:19" x14ac:dyDescent="0.2">
      <c r="A4806" s="11" t="s">
        <v>45591</v>
      </c>
      <c r="B4806" s="9" t="s">
        <v>45592</v>
      </c>
      <c r="C4806" s="9" t="s">
        <v>45593</v>
      </c>
      <c r="D4806" s="9" t="s">
        <v>45594</v>
      </c>
      <c r="E4806" s="9" t="s">
        <v>17740</v>
      </c>
      <c r="F4806" s="9" t="s">
        <v>17741</v>
      </c>
      <c r="G4806" s="9" t="s">
        <v>17740</v>
      </c>
      <c r="H4806" s="11" t="s">
        <v>3520</v>
      </c>
      <c r="I4806" s="11" t="s">
        <v>3519</v>
      </c>
      <c r="J4806" s="11" t="s">
        <v>3519</v>
      </c>
      <c r="K4806" s="9" t="s">
        <v>45595</v>
      </c>
      <c r="L4806" s="9" t="s">
        <v>17759</v>
      </c>
      <c r="M4806" s="9" t="s">
        <v>17760</v>
      </c>
      <c r="N4806" s="9" t="s">
        <v>17746</v>
      </c>
      <c r="O4806" s="9" t="s">
        <v>19503</v>
      </c>
      <c r="P4806" s="9" t="s">
        <v>17748</v>
      </c>
      <c r="Q4806" s="11" t="s">
        <v>17849</v>
      </c>
      <c r="R4806" s="11" t="s">
        <v>17849</v>
      </c>
      <c r="S4806" s="11" t="s">
        <v>17750</v>
      </c>
    </row>
    <row r="4807" spans="1:19" x14ac:dyDescent="0.2">
      <c r="A4807" s="11" t="s">
        <v>45596</v>
      </c>
      <c r="B4807" s="9" t="s">
        <v>45597</v>
      </c>
      <c r="C4807" s="9" t="s">
        <v>45598</v>
      </c>
      <c r="D4807" s="9" t="s">
        <v>45599</v>
      </c>
      <c r="E4807" s="9" t="s">
        <v>17740</v>
      </c>
      <c r="F4807" s="9" t="s">
        <v>45600</v>
      </c>
      <c r="G4807" s="9" t="s">
        <v>17740</v>
      </c>
      <c r="H4807" s="11" t="s">
        <v>3490</v>
      </c>
      <c r="I4807" s="11" t="s">
        <v>3489</v>
      </c>
      <c r="J4807" s="11" t="s">
        <v>3489</v>
      </c>
      <c r="K4807" s="9" t="s">
        <v>18122</v>
      </c>
      <c r="L4807" s="9" t="s">
        <v>18123</v>
      </c>
      <c r="M4807" s="9" t="s">
        <v>20580</v>
      </c>
      <c r="N4807" s="9" t="s">
        <v>17746</v>
      </c>
      <c r="O4807" s="9" t="s">
        <v>19890</v>
      </c>
      <c r="P4807" s="9" t="s">
        <v>17748</v>
      </c>
      <c r="Q4807" s="11" t="s">
        <v>18072</v>
      </c>
      <c r="R4807" s="11" t="s">
        <v>18072</v>
      </c>
      <c r="S4807" s="11" t="s">
        <v>17750</v>
      </c>
    </row>
    <row r="4808" spans="1:19" x14ac:dyDescent="0.2">
      <c r="A4808" s="11" t="s">
        <v>45601</v>
      </c>
      <c r="B4808" s="9" t="s">
        <v>45602</v>
      </c>
      <c r="C4808" s="9" t="s">
        <v>45603</v>
      </c>
      <c r="D4808" s="9" t="s">
        <v>45604</v>
      </c>
      <c r="E4808" s="9" t="s">
        <v>17740</v>
      </c>
      <c r="F4808" s="9" t="s">
        <v>17741</v>
      </c>
      <c r="G4808" s="9" t="s">
        <v>17740</v>
      </c>
      <c r="H4808" s="11" t="s">
        <v>45605</v>
      </c>
      <c r="I4808" s="11" t="s">
        <v>45606</v>
      </c>
      <c r="J4808" s="11" t="s">
        <v>45606</v>
      </c>
      <c r="K4808" s="9" t="s">
        <v>45607</v>
      </c>
      <c r="L4808" s="9" t="s">
        <v>17744</v>
      </c>
      <c r="M4808" s="9" t="s">
        <v>45608</v>
      </c>
      <c r="N4808" s="9" t="s">
        <v>17746</v>
      </c>
      <c r="O4808" s="9" t="s">
        <v>25541</v>
      </c>
      <c r="P4808" s="9" t="s">
        <v>17748</v>
      </c>
      <c r="Q4808" s="11" t="s">
        <v>18080</v>
      </c>
      <c r="R4808" s="11" t="s">
        <v>18080</v>
      </c>
      <c r="S4808" s="11" t="s">
        <v>17750</v>
      </c>
    </row>
    <row r="4809" spans="1:19" x14ac:dyDescent="0.2">
      <c r="A4809" s="11" t="s">
        <v>45609</v>
      </c>
      <c r="B4809" s="9" t="s">
        <v>45610</v>
      </c>
      <c r="C4809" s="9" t="s">
        <v>45611</v>
      </c>
      <c r="D4809" s="9" t="s">
        <v>3524</v>
      </c>
      <c r="E4809" s="9" t="s">
        <v>17740</v>
      </c>
      <c r="F4809" s="9" t="s">
        <v>45612</v>
      </c>
      <c r="G4809" s="9" t="s">
        <v>17740</v>
      </c>
      <c r="H4809" s="11" t="s">
        <v>3526</v>
      </c>
      <c r="I4809" s="11" t="s">
        <v>3525</v>
      </c>
      <c r="J4809" s="11" t="s">
        <v>3525</v>
      </c>
      <c r="K4809" s="9" t="s">
        <v>91</v>
      </c>
      <c r="L4809" s="9" t="s">
        <v>18001</v>
      </c>
      <c r="M4809" s="9" t="s">
        <v>17769</v>
      </c>
      <c r="N4809" s="9" t="s">
        <v>17746</v>
      </c>
      <c r="O4809" s="9" t="s">
        <v>3524</v>
      </c>
      <c r="P4809" s="9" t="s">
        <v>17748</v>
      </c>
      <c r="Q4809" s="11" t="s">
        <v>45613</v>
      </c>
      <c r="R4809" s="11" t="s">
        <v>45613</v>
      </c>
      <c r="S4809" s="11" t="s">
        <v>17750</v>
      </c>
    </row>
    <row r="4810" spans="1:19" x14ac:dyDescent="0.2">
      <c r="A4810" s="11" t="s">
        <v>45614</v>
      </c>
      <c r="B4810" s="9" t="s">
        <v>45615</v>
      </c>
      <c r="C4810" s="9" t="s">
        <v>45616</v>
      </c>
      <c r="D4810" s="9" t="s">
        <v>13648</v>
      </c>
      <c r="E4810" s="9" t="s">
        <v>17748</v>
      </c>
      <c r="F4810" s="9" t="s">
        <v>45617</v>
      </c>
      <c r="G4810" s="9" t="s">
        <v>17740</v>
      </c>
      <c r="H4810" s="11" t="s">
        <v>13650</v>
      </c>
      <c r="I4810" s="11" t="s">
        <v>13649</v>
      </c>
      <c r="J4810" s="11" t="s">
        <v>13649</v>
      </c>
      <c r="K4810" s="9" t="s">
        <v>22922</v>
      </c>
      <c r="L4810" s="9" t="s">
        <v>18123</v>
      </c>
      <c r="M4810" s="9" t="s">
        <v>17741</v>
      </c>
      <c r="N4810" s="9" t="s">
        <v>17746</v>
      </c>
      <c r="O4810" s="9" t="s">
        <v>45618</v>
      </c>
      <c r="P4810" s="9" t="s">
        <v>17748</v>
      </c>
      <c r="Q4810" s="11" t="s">
        <v>18370</v>
      </c>
      <c r="R4810" s="11" t="s">
        <v>18370</v>
      </c>
      <c r="S4810" s="11" t="s">
        <v>17750</v>
      </c>
    </row>
    <row r="4811" spans="1:19" x14ac:dyDescent="0.2">
      <c r="A4811" s="11" t="s">
        <v>45619</v>
      </c>
      <c r="B4811" s="9" t="s">
        <v>45620</v>
      </c>
      <c r="C4811" s="9" t="s">
        <v>45621</v>
      </c>
      <c r="D4811" s="9" t="s">
        <v>45622</v>
      </c>
      <c r="E4811" s="9" t="s">
        <v>17740</v>
      </c>
      <c r="F4811" s="9" t="s">
        <v>17741</v>
      </c>
      <c r="G4811" s="9" t="s">
        <v>17740</v>
      </c>
      <c r="H4811" s="11" t="s">
        <v>45623</v>
      </c>
      <c r="I4811" s="11" t="s">
        <v>45624</v>
      </c>
      <c r="J4811" s="11" t="s">
        <v>45624</v>
      </c>
      <c r="K4811" s="9" t="s">
        <v>23527</v>
      </c>
      <c r="L4811" s="9" t="s">
        <v>17759</v>
      </c>
      <c r="M4811" s="9" t="s">
        <v>17769</v>
      </c>
      <c r="N4811" s="9" t="s">
        <v>17746</v>
      </c>
      <c r="O4811" s="9" t="s">
        <v>21923</v>
      </c>
      <c r="P4811" s="9" t="s">
        <v>17748</v>
      </c>
      <c r="Q4811" s="11" t="s">
        <v>18341</v>
      </c>
      <c r="R4811" s="11" t="s">
        <v>18341</v>
      </c>
      <c r="S4811" s="11" t="s">
        <v>17750</v>
      </c>
    </row>
    <row r="4812" spans="1:19" x14ac:dyDescent="0.2">
      <c r="A4812" s="11" t="s">
        <v>45625</v>
      </c>
      <c r="B4812" s="9" t="s">
        <v>45626</v>
      </c>
      <c r="C4812" s="9" t="s">
        <v>45627</v>
      </c>
      <c r="D4812" s="9" t="s">
        <v>45628</v>
      </c>
      <c r="E4812" s="9" t="s">
        <v>17740</v>
      </c>
      <c r="F4812" s="9" t="s">
        <v>17741</v>
      </c>
      <c r="G4812" s="9" t="s">
        <v>17740</v>
      </c>
      <c r="H4812" s="11" t="s">
        <v>45629</v>
      </c>
      <c r="I4812" s="11" t="s">
        <v>45630</v>
      </c>
      <c r="J4812" s="11" t="s">
        <v>45630</v>
      </c>
      <c r="K4812" s="9" t="s">
        <v>724</v>
      </c>
      <c r="L4812" s="9" t="s">
        <v>17744</v>
      </c>
      <c r="M4812" s="9" t="s">
        <v>28602</v>
      </c>
      <c r="N4812" s="9" t="s">
        <v>17746</v>
      </c>
      <c r="O4812" s="9" t="s">
        <v>35920</v>
      </c>
      <c r="P4812" s="9" t="s">
        <v>17748</v>
      </c>
      <c r="Q4812" s="11" t="s">
        <v>18798</v>
      </c>
      <c r="R4812" s="11" t="s">
        <v>18798</v>
      </c>
      <c r="S4812" s="11" t="s">
        <v>17750</v>
      </c>
    </row>
    <row r="4813" spans="1:19" x14ac:dyDescent="0.2">
      <c r="A4813" s="11" t="s">
        <v>45631</v>
      </c>
      <c r="B4813" s="9" t="s">
        <v>45632</v>
      </c>
      <c r="C4813" s="9" t="s">
        <v>45633</v>
      </c>
      <c r="D4813" s="9" t="s">
        <v>45634</v>
      </c>
      <c r="E4813" s="9" t="s">
        <v>17740</v>
      </c>
      <c r="F4813" s="9" t="s">
        <v>45635</v>
      </c>
      <c r="G4813" s="9" t="s">
        <v>17740</v>
      </c>
      <c r="H4813" s="11" t="s">
        <v>3408</v>
      </c>
      <c r="I4813" s="11" t="s">
        <v>3407</v>
      </c>
      <c r="J4813" s="11" t="s">
        <v>3407</v>
      </c>
      <c r="K4813" s="9" t="s">
        <v>3409</v>
      </c>
      <c r="L4813" s="9" t="s">
        <v>17759</v>
      </c>
      <c r="M4813" s="9" t="s">
        <v>17769</v>
      </c>
      <c r="N4813" s="9" t="s">
        <v>17746</v>
      </c>
      <c r="O4813" s="9" t="s">
        <v>3524</v>
      </c>
      <c r="P4813" s="9" t="s">
        <v>17748</v>
      </c>
      <c r="Q4813" s="11" t="s">
        <v>17771</v>
      </c>
      <c r="R4813" s="11" t="s">
        <v>17771</v>
      </c>
      <c r="S4813" s="11" t="s">
        <v>17750</v>
      </c>
    </row>
    <row r="4814" spans="1:19" x14ac:dyDescent="0.2">
      <c r="A4814" s="11" t="s">
        <v>45636</v>
      </c>
      <c r="B4814" s="9" t="s">
        <v>45637</v>
      </c>
      <c r="C4814" s="9" t="s">
        <v>45638</v>
      </c>
      <c r="D4814" s="9" t="s">
        <v>45639</v>
      </c>
      <c r="E4814" s="9" t="s">
        <v>17740</v>
      </c>
      <c r="F4814" s="9" t="s">
        <v>17741</v>
      </c>
      <c r="G4814" s="9" t="s">
        <v>17740</v>
      </c>
      <c r="H4814" s="11" t="s">
        <v>17741</v>
      </c>
      <c r="I4814" s="11" t="s">
        <v>45640</v>
      </c>
      <c r="J4814" s="11" t="s">
        <v>45640</v>
      </c>
      <c r="K4814" s="9" t="s">
        <v>35270</v>
      </c>
      <c r="L4814" s="9" t="s">
        <v>17759</v>
      </c>
      <c r="M4814" s="9" t="s">
        <v>17760</v>
      </c>
      <c r="N4814" s="9" t="s">
        <v>17746</v>
      </c>
      <c r="O4814" s="9" t="s">
        <v>17747</v>
      </c>
      <c r="P4814" s="9" t="s">
        <v>17748</v>
      </c>
      <c r="Q4814" s="11" t="s">
        <v>19335</v>
      </c>
      <c r="R4814" s="11" t="s">
        <v>19335</v>
      </c>
      <c r="S4814" s="11" t="s">
        <v>17750</v>
      </c>
    </row>
    <row r="4815" spans="1:19" x14ac:dyDescent="0.2">
      <c r="A4815" s="11" t="s">
        <v>45641</v>
      </c>
      <c r="B4815" s="9" t="s">
        <v>45642</v>
      </c>
      <c r="C4815" s="9" t="s">
        <v>45643</v>
      </c>
      <c r="D4815" s="9" t="s">
        <v>45644</v>
      </c>
      <c r="E4815" s="9" t="s">
        <v>17740</v>
      </c>
      <c r="F4815" s="9" t="s">
        <v>17741</v>
      </c>
      <c r="G4815" s="9" t="s">
        <v>17740</v>
      </c>
      <c r="H4815" s="11" t="s">
        <v>45645</v>
      </c>
      <c r="I4815" s="11" t="s">
        <v>45646</v>
      </c>
      <c r="J4815" s="11" t="s">
        <v>45646</v>
      </c>
      <c r="K4815" s="9" t="s">
        <v>18520</v>
      </c>
      <c r="L4815" s="9" t="s">
        <v>17744</v>
      </c>
      <c r="M4815" s="9" t="s">
        <v>21625</v>
      </c>
      <c r="N4815" s="9" t="s">
        <v>17746</v>
      </c>
      <c r="O4815" s="9" t="s">
        <v>20690</v>
      </c>
      <c r="P4815" s="9" t="s">
        <v>17748</v>
      </c>
      <c r="Q4815" s="11" t="s">
        <v>18147</v>
      </c>
      <c r="R4815" s="11" t="s">
        <v>18147</v>
      </c>
      <c r="S4815" s="11" t="s">
        <v>17750</v>
      </c>
    </row>
    <row r="4816" spans="1:19" x14ac:dyDescent="0.2">
      <c r="A4816" s="11" t="s">
        <v>45647</v>
      </c>
      <c r="B4816" s="9" t="s">
        <v>45648</v>
      </c>
      <c r="C4816" s="9" t="s">
        <v>45649</v>
      </c>
      <c r="D4816" s="9" t="s">
        <v>45650</v>
      </c>
      <c r="E4816" s="9" t="s">
        <v>17740</v>
      </c>
      <c r="F4816" s="9" t="s">
        <v>17741</v>
      </c>
      <c r="G4816" s="9" t="s">
        <v>17740</v>
      </c>
      <c r="H4816" s="11" t="s">
        <v>17741</v>
      </c>
      <c r="I4816" s="11" t="s">
        <v>45651</v>
      </c>
      <c r="J4816" s="11" t="s">
        <v>45651</v>
      </c>
      <c r="K4816" s="9" t="s">
        <v>45652</v>
      </c>
      <c r="L4816" s="9" t="s">
        <v>23216</v>
      </c>
      <c r="M4816" s="9" t="s">
        <v>42619</v>
      </c>
      <c r="N4816" s="9" t="s">
        <v>17746</v>
      </c>
      <c r="O4816" s="9" t="s">
        <v>17993</v>
      </c>
      <c r="P4816" s="9" t="s">
        <v>17748</v>
      </c>
      <c r="Q4816" s="11" t="s">
        <v>19515</v>
      </c>
      <c r="R4816" s="11" t="s">
        <v>19515</v>
      </c>
      <c r="S4816" s="11" t="s">
        <v>17750</v>
      </c>
    </row>
    <row r="4817" spans="1:19" x14ac:dyDescent="0.2">
      <c r="A4817" s="11" t="s">
        <v>45653</v>
      </c>
      <c r="B4817" s="9" t="s">
        <v>45654</v>
      </c>
      <c r="C4817" s="9" t="s">
        <v>45655</v>
      </c>
      <c r="D4817" s="9" t="s">
        <v>45656</v>
      </c>
      <c r="E4817" s="9" t="s">
        <v>17748</v>
      </c>
      <c r="F4817" s="9" t="s">
        <v>45657</v>
      </c>
      <c r="G4817" s="9" t="s">
        <v>17740</v>
      </c>
      <c r="H4817" s="11" t="s">
        <v>7687</v>
      </c>
      <c r="I4817" s="11" t="s">
        <v>7686</v>
      </c>
      <c r="J4817" s="11" t="s">
        <v>7686</v>
      </c>
      <c r="K4817" s="9" t="s">
        <v>601</v>
      </c>
      <c r="L4817" s="9" t="s">
        <v>17744</v>
      </c>
      <c r="M4817" s="9" t="s">
        <v>17769</v>
      </c>
      <c r="N4817" s="9" t="s">
        <v>17746</v>
      </c>
      <c r="O4817" s="9" t="s">
        <v>45658</v>
      </c>
      <c r="P4817" s="9" t="s">
        <v>17748</v>
      </c>
      <c r="Q4817" s="11" t="s">
        <v>18272</v>
      </c>
      <c r="R4817" s="11" t="s">
        <v>18272</v>
      </c>
      <c r="S4817" s="11" t="s">
        <v>17750</v>
      </c>
    </row>
    <row r="4818" spans="1:19" x14ac:dyDescent="0.2">
      <c r="A4818" s="11" t="s">
        <v>45659</v>
      </c>
      <c r="B4818" s="9" t="s">
        <v>45660</v>
      </c>
      <c r="C4818" s="9" t="s">
        <v>45661</v>
      </c>
      <c r="D4818" s="9" t="s">
        <v>45662</v>
      </c>
      <c r="E4818" s="9" t="s">
        <v>17740</v>
      </c>
      <c r="F4818" s="9" t="s">
        <v>17741</v>
      </c>
      <c r="G4818" s="9" t="s">
        <v>17740</v>
      </c>
      <c r="H4818" s="11" t="s">
        <v>10695</v>
      </c>
      <c r="I4818" s="11" t="s">
        <v>10694</v>
      </c>
      <c r="J4818" s="11" t="s">
        <v>17741</v>
      </c>
      <c r="K4818" s="9" t="s">
        <v>17783</v>
      </c>
      <c r="L4818" s="9" t="s">
        <v>18001</v>
      </c>
      <c r="M4818" s="9" t="s">
        <v>17760</v>
      </c>
      <c r="N4818" s="9" t="s">
        <v>17746</v>
      </c>
      <c r="O4818" s="9" t="s">
        <v>42113</v>
      </c>
      <c r="P4818" s="9" t="s">
        <v>17748</v>
      </c>
      <c r="Q4818" s="11" t="s">
        <v>17780</v>
      </c>
      <c r="R4818" s="11" t="s">
        <v>17780</v>
      </c>
      <c r="S4818" s="11" t="s">
        <v>17750</v>
      </c>
    </row>
    <row r="4819" spans="1:19" x14ac:dyDescent="0.2">
      <c r="A4819" s="11" t="s">
        <v>45663</v>
      </c>
      <c r="B4819" s="9" t="s">
        <v>45664</v>
      </c>
      <c r="C4819" s="9" t="s">
        <v>45665</v>
      </c>
      <c r="D4819" s="9" t="s">
        <v>6726</v>
      </c>
      <c r="E4819" s="9" t="s">
        <v>17748</v>
      </c>
      <c r="F4819" s="9" t="s">
        <v>45666</v>
      </c>
      <c r="G4819" s="9" t="s">
        <v>17740</v>
      </c>
      <c r="H4819" s="11" t="s">
        <v>6728</v>
      </c>
      <c r="I4819" s="11" t="s">
        <v>6727</v>
      </c>
      <c r="J4819" s="11" t="s">
        <v>6728</v>
      </c>
      <c r="K4819" s="9" t="s">
        <v>45667</v>
      </c>
      <c r="L4819" s="9" t="s">
        <v>17744</v>
      </c>
      <c r="M4819" s="9" t="s">
        <v>17817</v>
      </c>
      <c r="N4819" s="9" t="s">
        <v>17746</v>
      </c>
      <c r="O4819" s="9" t="s">
        <v>17993</v>
      </c>
      <c r="P4819" s="9" t="s">
        <v>17748</v>
      </c>
      <c r="Q4819" s="11" t="s">
        <v>17808</v>
      </c>
      <c r="R4819" s="11" t="s">
        <v>17808</v>
      </c>
      <c r="S4819" s="11" t="s">
        <v>17750</v>
      </c>
    </row>
    <row r="4820" spans="1:19" x14ac:dyDescent="0.2">
      <c r="A4820" s="11" t="s">
        <v>45668</v>
      </c>
      <c r="B4820" s="9" t="s">
        <v>45669</v>
      </c>
      <c r="C4820" s="9" t="s">
        <v>45670</v>
      </c>
      <c r="D4820" s="9" t="s">
        <v>45671</v>
      </c>
      <c r="E4820" s="9" t="s">
        <v>17740</v>
      </c>
      <c r="F4820" s="9" t="s">
        <v>17741</v>
      </c>
      <c r="G4820" s="9" t="s">
        <v>17740</v>
      </c>
      <c r="H4820" s="11" t="s">
        <v>17741</v>
      </c>
      <c r="I4820" s="11" t="s">
        <v>45672</v>
      </c>
      <c r="J4820" s="11" t="s">
        <v>45672</v>
      </c>
      <c r="K4820" s="9" t="s">
        <v>19447</v>
      </c>
      <c r="L4820" s="9" t="s">
        <v>17759</v>
      </c>
      <c r="M4820" s="9" t="s">
        <v>19012</v>
      </c>
      <c r="N4820" s="9" t="s">
        <v>17746</v>
      </c>
      <c r="O4820" s="9" t="s">
        <v>1802</v>
      </c>
      <c r="P4820" s="9" t="s">
        <v>17748</v>
      </c>
      <c r="Q4820" s="11" t="s">
        <v>18080</v>
      </c>
      <c r="R4820" s="11" t="s">
        <v>18080</v>
      </c>
      <c r="S4820" s="11" t="s">
        <v>17750</v>
      </c>
    </row>
    <row r="4821" spans="1:19" x14ac:dyDescent="0.2">
      <c r="A4821" s="11" t="s">
        <v>45673</v>
      </c>
      <c r="B4821" s="9" t="s">
        <v>45674</v>
      </c>
      <c r="C4821" s="9" t="s">
        <v>45675</v>
      </c>
      <c r="D4821" s="9" t="s">
        <v>45676</v>
      </c>
      <c r="E4821" s="9" t="s">
        <v>17740</v>
      </c>
      <c r="F4821" s="9" t="s">
        <v>17741</v>
      </c>
      <c r="G4821" s="9" t="s">
        <v>17740</v>
      </c>
      <c r="H4821" s="11" t="s">
        <v>17741</v>
      </c>
      <c r="I4821" s="11" t="s">
        <v>17741</v>
      </c>
      <c r="J4821" s="11" t="s">
        <v>17741</v>
      </c>
      <c r="K4821" s="9" t="s">
        <v>45677</v>
      </c>
      <c r="L4821" s="9" t="s">
        <v>17759</v>
      </c>
      <c r="M4821" s="9" t="s">
        <v>17760</v>
      </c>
      <c r="N4821" s="9" t="s">
        <v>17746</v>
      </c>
      <c r="O4821" s="9" t="s">
        <v>30620</v>
      </c>
      <c r="P4821" s="9" t="s">
        <v>17748</v>
      </c>
      <c r="Q4821" s="11" t="s">
        <v>18080</v>
      </c>
      <c r="R4821" s="11" t="s">
        <v>18080</v>
      </c>
      <c r="S4821" s="11" t="s">
        <v>17750</v>
      </c>
    </row>
    <row r="4822" spans="1:19" x14ac:dyDescent="0.2">
      <c r="A4822" s="11" t="s">
        <v>45678</v>
      </c>
      <c r="B4822" s="9" t="s">
        <v>45679</v>
      </c>
      <c r="C4822" s="9" t="s">
        <v>45680</v>
      </c>
      <c r="D4822" s="9" t="s">
        <v>45681</v>
      </c>
      <c r="E4822" s="9" t="s">
        <v>17740</v>
      </c>
      <c r="F4822" s="9" t="s">
        <v>45682</v>
      </c>
      <c r="G4822" s="9" t="s">
        <v>17740</v>
      </c>
      <c r="H4822" s="11" t="s">
        <v>45683</v>
      </c>
      <c r="I4822" s="11" t="s">
        <v>45684</v>
      </c>
      <c r="J4822" s="11" t="s">
        <v>45683</v>
      </c>
      <c r="K4822" s="9" t="s">
        <v>27881</v>
      </c>
      <c r="L4822" s="9" t="s">
        <v>17744</v>
      </c>
      <c r="M4822" s="9" t="s">
        <v>17760</v>
      </c>
      <c r="N4822" s="9" t="s">
        <v>17746</v>
      </c>
      <c r="O4822" s="9" t="s">
        <v>19423</v>
      </c>
      <c r="P4822" s="9" t="s">
        <v>17748</v>
      </c>
      <c r="Q4822" s="11" t="s">
        <v>17858</v>
      </c>
      <c r="R4822" s="11" t="s">
        <v>17858</v>
      </c>
      <c r="S4822" s="11" t="s">
        <v>17750</v>
      </c>
    </row>
    <row r="4823" spans="1:19" x14ac:dyDescent="0.2">
      <c r="A4823" s="11" t="s">
        <v>45685</v>
      </c>
      <c r="B4823" s="9" t="s">
        <v>45686</v>
      </c>
      <c r="C4823" s="9" t="s">
        <v>45687</v>
      </c>
      <c r="D4823" s="9" t="s">
        <v>45688</v>
      </c>
      <c r="E4823" s="9" t="s">
        <v>17740</v>
      </c>
      <c r="F4823" s="9" t="s">
        <v>17741</v>
      </c>
      <c r="G4823" s="9" t="s">
        <v>17740</v>
      </c>
      <c r="H4823" s="11" t="s">
        <v>45689</v>
      </c>
      <c r="I4823" s="11" t="s">
        <v>45690</v>
      </c>
      <c r="J4823" s="11" t="s">
        <v>45690</v>
      </c>
      <c r="K4823" s="9" t="s">
        <v>17758</v>
      </c>
      <c r="L4823" s="9" t="s">
        <v>17759</v>
      </c>
      <c r="M4823" s="9" t="s">
        <v>17760</v>
      </c>
      <c r="N4823" s="9" t="s">
        <v>17746</v>
      </c>
      <c r="O4823" s="9" t="s">
        <v>30620</v>
      </c>
      <c r="P4823" s="9" t="s">
        <v>17748</v>
      </c>
      <c r="Q4823" s="11" t="s">
        <v>18147</v>
      </c>
      <c r="R4823" s="11" t="s">
        <v>18147</v>
      </c>
      <c r="S4823" s="11" t="s">
        <v>17750</v>
      </c>
    </row>
    <row r="4824" spans="1:19" x14ac:dyDescent="0.2">
      <c r="A4824" s="11" t="s">
        <v>45691</v>
      </c>
      <c r="B4824" s="9" t="s">
        <v>45692</v>
      </c>
      <c r="C4824" s="9" t="s">
        <v>45693</v>
      </c>
      <c r="D4824" s="9" t="s">
        <v>45694</v>
      </c>
      <c r="E4824" s="9" t="s">
        <v>17740</v>
      </c>
      <c r="F4824" s="9" t="s">
        <v>17741</v>
      </c>
      <c r="G4824" s="9" t="s">
        <v>17740</v>
      </c>
      <c r="H4824" s="11" t="s">
        <v>45695</v>
      </c>
      <c r="I4824" s="11" t="s">
        <v>45696</v>
      </c>
      <c r="J4824" s="11" t="s">
        <v>45696</v>
      </c>
      <c r="K4824" s="9" t="s">
        <v>18876</v>
      </c>
      <c r="L4824" s="9" t="s">
        <v>18001</v>
      </c>
      <c r="M4824" s="9" t="s">
        <v>22601</v>
      </c>
      <c r="N4824" s="9" t="s">
        <v>17746</v>
      </c>
      <c r="O4824" s="9" t="s">
        <v>34358</v>
      </c>
      <c r="P4824" s="9" t="s">
        <v>17748</v>
      </c>
      <c r="Q4824" s="11" t="s">
        <v>18147</v>
      </c>
      <c r="R4824" s="11" t="s">
        <v>18147</v>
      </c>
      <c r="S4824" s="11" t="s">
        <v>17750</v>
      </c>
    </row>
    <row r="4825" spans="1:19" x14ac:dyDescent="0.2">
      <c r="A4825" s="11" t="s">
        <v>45697</v>
      </c>
      <c r="B4825" s="9" t="s">
        <v>45698</v>
      </c>
      <c r="C4825" s="9" t="s">
        <v>45699</v>
      </c>
      <c r="D4825" s="9" t="s">
        <v>45700</v>
      </c>
      <c r="E4825" s="9" t="s">
        <v>17748</v>
      </c>
      <c r="F4825" s="9" t="s">
        <v>45701</v>
      </c>
      <c r="G4825" s="9" t="s">
        <v>17740</v>
      </c>
      <c r="H4825" s="11" t="s">
        <v>45702</v>
      </c>
      <c r="I4825" s="11" t="s">
        <v>45703</v>
      </c>
      <c r="J4825" s="11" t="s">
        <v>45703</v>
      </c>
      <c r="K4825" s="9" t="s">
        <v>25444</v>
      </c>
      <c r="L4825" s="9" t="s">
        <v>17744</v>
      </c>
      <c r="M4825" s="9" t="s">
        <v>17817</v>
      </c>
      <c r="N4825" s="9" t="s">
        <v>17746</v>
      </c>
      <c r="O4825" s="9" t="s">
        <v>21802</v>
      </c>
      <c r="P4825" s="9" t="s">
        <v>17748</v>
      </c>
      <c r="Q4825" s="11" t="s">
        <v>17762</v>
      </c>
      <c r="R4825" s="11" t="s">
        <v>17762</v>
      </c>
      <c r="S4825" s="11" t="s">
        <v>17750</v>
      </c>
    </row>
    <row r="4826" spans="1:19" x14ac:dyDescent="0.2">
      <c r="A4826" s="11" t="s">
        <v>45704</v>
      </c>
      <c r="B4826" s="9" t="s">
        <v>45705</v>
      </c>
      <c r="C4826" s="9" t="s">
        <v>45706</v>
      </c>
      <c r="D4826" s="9" t="s">
        <v>45707</v>
      </c>
      <c r="E4826" s="9" t="s">
        <v>17748</v>
      </c>
      <c r="F4826" s="9" t="s">
        <v>45708</v>
      </c>
      <c r="G4826" s="9" t="s">
        <v>17740</v>
      </c>
      <c r="H4826" s="11" t="s">
        <v>45709</v>
      </c>
      <c r="I4826" s="11" t="s">
        <v>10292</v>
      </c>
      <c r="J4826" s="11" t="s">
        <v>10292</v>
      </c>
      <c r="K4826" s="9" t="s">
        <v>2964</v>
      </c>
      <c r="L4826" s="9" t="s">
        <v>17991</v>
      </c>
      <c r="M4826" s="9" t="s">
        <v>19058</v>
      </c>
      <c r="N4826" s="9" t="s">
        <v>17746</v>
      </c>
      <c r="O4826" s="9" t="s">
        <v>26827</v>
      </c>
      <c r="P4826" s="9" t="s">
        <v>17748</v>
      </c>
      <c r="Q4826" s="11" t="s">
        <v>17780</v>
      </c>
      <c r="R4826" s="11" t="s">
        <v>17780</v>
      </c>
      <c r="S4826" s="11" t="s">
        <v>17750</v>
      </c>
    </row>
    <row r="4827" spans="1:19" x14ac:dyDescent="0.2">
      <c r="A4827" s="11" t="s">
        <v>45710</v>
      </c>
      <c r="B4827" s="9" t="s">
        <v>45711</v>
      </c>
      <c r="C4827" s="9" t="s">
        <v>45712</v>
      </c>
      <c r="D4827" s="9" t="s">
        <v>45713</v>
      </c>
      <c r="E4827" s="9" t="s">
        <v>17740</v>
      </c>
      <c r="F4827" s="9" t="s">
        <v>17741</v>
      </c>
      <c r="G4827" s="9" t="s">
        <v>17740</v>
      </c>
      <c r="H4827" s="11" t="s">
        <v>45714</v>
      </c>
      <c r="I4827" s="11" t="s">
        <v>45715</v>
      </c>
      <c r="J4827" s="11" t="s">
        <v>45715</v>
      </c>
      <c r="K4827" s="9" t="s">
        <v>7339</v>
      </c>
      <c r="L4827" s="9" t="s">
        <v>17759</v>
      </c>
      <c r="M4827" s="9" t="s">
        <v>17760</v>
      </c>
      <c r="N4827" s="9" t="s">
        <v>17746</v>
      </c>
      <c r="O4827" s="9" t="s">
        <v>17977</v>
      </c>
      <c r="P4827" s="9" t="s">
        <v>17748</v>
      </c>
      <c r="Q4827" s="11" t="s">
        <v>18332</v>
      </c>
      <c r="R4827" s="11" t="s">
        <v>18332</v>
      </c>
      <c r="S4827" s="11" t="s">
        <v>17750</v>
      </c>
    </row>
    <row r="4828" spans="1:19" x14ac:dyDescent="0.2">
      <c r="A4828" s="11" t="s">
        <v>45716</v>
      </c>
      <c r="B4828" s="9" t="s">
        <v>45717</v>
      </c>
      <c r="C4828" s="9" t="s">
        <v>45718</v>
      </c>
      <c r="D4828" s="9" t="s">
        <v>45719</v>
      </c>
      <c r="E4828" s="9" t="s">
        <v>17740</v>
      </c>
      <c r="F4828" s="9" t="s">
        <v>45720</v>
      </c>
      <c r="G4828" s="9" t="s">
        <v>17740</v>
      </c>
      <c r="H4828" s="11" t="s">
        <v>17741</v>
      </c>
      <c r="I4828" s="11" t="s">
        <v>45721</v>
      </c>
      <c r="J4828" s="11" t="s">
        <v>45721</v>
      </c>
      <c r="K4828" s="9" t="s">
        <v>45722</v>
      </c>
      <c r="L4828" s="9" t="s">
        <v>17759</v>
      </c>
      <c r="M4828" s="9" t="s">
        <v>45723</v>
      </c>
      <c r="N4828" s="9" t="s">
        <v>17746</v>
      </c>
      <c r="O4828" s="9" t="s">
        <v>17848</v>
      </c>
      <c r="P4828" s="9" t="s">
        <v>17748</v>
      </c>
      <c r="Q4828" s="11" t="s">
        <v>18147</v>
      </c>
      <c r="R4828" s="11" t="s">
        <v>18147</v>
      </c>
      <c r="S4828" s="11" t="s">
        <v>17750</v>
      </c>
    </row>
    <row r="4829" spans="1:19" x14ac:dyDescent="0.2">
      <c r="A4829" s="11" t="s">
        <v>45724</v>
      </c>
      <c r="B4829" s="9" t="s">
        <v>45725</v>
      </c>
      <c r="C4829" s="9" t="s">
        <v>45726</v>
      </c>
      <c r="D4829" s="9" t="s">
        <v>45727</v>
      </c>
      <c r="E4829" s="9" t="s">
        <v>17740</v>
      </c>
      <c r="F4829" s="9" t="s">
        <v>17741</v>
      </c>
      <c r="G4829" s="9" t="s">
        <v>17740</v>
      </c>
      <c r="H4829" s="11" t="s">
        <v>45728</v>
      </c>
      <c r="I4829" s="11" t="s">
        <v>45729</v>
      </c>
      <c r="J4829" s="11" t="s">
        <v>45729</v>
      </c>
      <c r="K4829" s="9" t="s">
        <v>22076</v>
      </c>
      <c r="L4829" s="9" t="s">
        <v>17744</v>
      </c>
      <c r="M4829" s="9" t="s">
        <v>17760</v>
      </c>
      <c r="N4829" s="9" t="s">
        <v>17746</v>
      </c>
      <c r="O4829" s="9" t="s">
        <v>20799</v>
      </c>
      <c r="P4829" s="9" t="s">
        <v>17748</v>
      </c>
      <c r="Q4829" s="11" t="s">
        <v>17883</v>
      </c>
      <c r="R4829" s="11" t="s">
        <v>17883</v>
      </c>
      <c r="S4829" s="11" t="s">
        <v>17750</v>
      </c>
    </row>
    <row r="4830" spans="1:19" x14ac:dyDescent="0.2">
      <c r="A4830" s="11" t="s">
        <v>45730</v>
      </c>
      <c r="B4830" s="9" t="s">
        <v>45731</v>
      </c>
      <c r="C4830" s="9" t="s">
        <v>45732</v>
      </c>
      <c r="D4830" s="9" t="s">
        <v>45733</v>
      </c>
      <c r="E4830" s="9" t="s">
        <v>17740</v>
      </c>
      <c r="F4830" s="9" t="s">
        <v>17741</v>
      </c>
      <c r="G4830" s="9" t="s">
        <v>17740</v>
      </c>
      <c r="H4830" s="11" t="s">
        <v>17741</v>
      </c>
      <c r="I4830" s="11" t="s">
        <v>45734</v>
      </c>
      <c r="J4830" s="11" t="s">
        <v>45734</v>
      </c>
      <c r="K4830" s="9" t="s">
        <v>45735</v>
      </c>
      <c r="L4830" s="9" t="s">
        <v>20082</v>
      </c>
      <c r="M4830" s="9" t="s">
        <v>17769</v>
      </c>
      <c r="N4830" s="9" t="s">
        <v>17746</v>
      </c>
      <c r="O4830" s="9" t="s">
        <v>17800</v>
      </c>
      <c r="P4830" s="9" t="s">
        <v>17748</v>
      </c>
      <c r="Q4830" s="11" t="s">
        <v>19515</v>
      </c>
      <c r="R4830" s="11" t="s">
        <v>19515</v>
      </c>
      <c r="S4830" s="11" t="s">
        <v>17750</v>
      </c>
    </row>
    <row r="4831" spans="1:19" x14ac:dyDescent="0.2">
      <c r="A4831" s="11" t="s">
        <v>45736</v>
      </c>
      <c r="B4831" s="9" t="s">
        <v>45737</v>
      </c>
      <c r="C4831" s="9" t="s">
        <v>45738</v>
      </c>
      <c r="D4831" s="9" t="s">
        <v>45739</v>
      </c>
      <c r="E4831" s="9" t="s">
        <v>17748</v>
      </c>
      <c r="F4831" s="9" t="s">
        <v>45740</v>
      </c>
      <c r="G4831" s="9" t="s">
        <v>17740</v>
      </c>
      <c r="H4831" s="11" t="s">
        <v>45741</v>
      </c>
      <c r="I4831" s="11" t="s">
        <v>45742</v>
      </c>
      <c r="J4831" s="11" t="s">
        <v>45742</v>
      </c>
      <c r="K4831" s="9" t="s">
        <v>45743</v>
      </c>
      <c r="L4831" s="9" t="s">
        <v>18158</v>
      </c>
      <c r="M4831" s="9" t="s">
        <v>45744</v>
      </c>
      <c r="N4831" s="9" t="s">
        <v>17746</v>
      </c>
      <c r="O4831" s="9" t="s">
        <v>18340</v>
      </c>
      <c r="P4831" s="9" t="s">
        <v>17748</v>
      </c>
      <c r="Q4831" s="11" t="s">
        <v>18960</v>
      </c>
      <c r="R4831" s="11" t="s">
        <v>18960</v>
      </c>
      <c r="S4831" s="11" t="s">
        <v>17750</v>
      </c>
    </row>
    <row r="4832" spans="1:19" x14ac:dyDescent="0.2">
      <c r="A4832" s="11" t="s">
        <v>45745</v>
      </c>
      <c r="B4832" s="9" t="s">
        <v>45746</v>
      </c>
      <c r="C4832" s="9" t="s">
        <v>45747</v>
      </c>
      <c r="D4832" s="9" t="s">
        <v>45748</v>
      </c>
      <c r="E4832" s="9" t="s">
        <v>17740</v>
      </c>
      <c r="F4832" s="9" t="s">
        <v>45749</v>
      </c>
      <c r="G4832" s="9" t="s">
        <v>17740</v>
      </c>
      <c r="H4832" s="11" t="s">
        <v>45750</v>
      </c>
      <c r="I4832" s="11" t="s">
        <v>45751</v>
      </c>
      <c r="J4832" s="11" t="s">
        <v>45751</v>
      </c>
      <c r="K4832" s="9" t="s">
        <v>18727</v>
      </c>
      <c r="L4832" s="9" t="s">
        <v>18158</v>
      </c>
      <c r="M4832" s="9" t="s">
        <v>17778</v>
      </c>
      <c r="N4832" s="9" t="s">
        <v>17746</v>
      </c>
      <c r="O4832" s="9" t="s">
        <v>45752</v>
      </c>
      <c r="P4832" s="9" t="s">
        <v>17748</v>
      </c>
      <c r="Q4832" s="11" t="s">
        <v>17771</v>
      </c>
      <c r="R4832" s="11" t="s">
        <v>17771</v>
      </c>
      <c r="S4832" s="11" t="s">
        <v>17750</v>
      </c>
    </row>
    <row r="4833" spans="1:19" x14ac:dyDescent="0.2">
      <c r="A4833" s="11" t="s">
        <v>45753</v>
      </c>
      <c r="B4833" s="9" t="s">
        <v>45754</v>
      </c>
      <c r="C4833" s="9" t="s">
        <v>45755</v>
      </c>
      <c r="D4833" s="9" t="s">
        <v>45756</v>
      </c>
      <c r="E4833" s="9" t="s">
        <v>17740</v>
      </c>
      <c r="F4833" s="9" t="s">
        <v>17741</v>
      </c>
      <c r="G4833" s="9" t="s">
        <v>17740</v>
      </c>
      <c r="H4833" s="11" t="s">
        <v>11680</v>
      </c>
      <c r="I4833" s="11" t="s">
        <v>17741</v>
      </c>
      <c r="J4833" s="11" t="s">
        <v>11680</v>
      </c>
      <c r="K4833" s="9" t="s">
        <v>18570</v>
      </c>
      <c r="L4833" s="9" t="s">
        <v>17744</v>
      </c>
      <c r="M4833" s="9" t="s">
        <v>17741</v>
      </c>
      <c r="N4833" s="9" t="s">
        <v>17746</v>
      </c>
      <c r="O4833" s="9" t="s">
        <v>24192</v>
      </c>
      <c r="P4833" s="9" t="s">
        <v>17748</v>
      </c>
      <c r="Q4833" s="11" t="s">
        <v>17762</v>
      </c>
      <c r="R4833" s="11" t="s">
        <v>17762</v>
      </c>
      <c r="S4833" s="11" t="s">
        <v>17750</v>
      </c>
    </row>
    <row r="4834" spans="1:19" x14ac:dyDescent="0.2">
      <c r="A4834" s="11" t="s">
        <v>45757</v>
      </c>
      <c r="B4834" s="9" t="s">
        <v>45758</v>
      </c>
      <c r="C4834" s="9" t="s">
        <v>45759</v>
      </c>
      <c r="D4834" s="9" t="s">
        <v>45760</v>
      </c>
      <c r="E4834" s="9" t="s">
        <v>17740</v>
      </c>
      <c r="F4834" s="9" t="s">
        <v>17741</v>
      </c>
      <c r="G4834" s="9" t="s">
        <v>17740</v>
      </c>
      <c r="H4834" s="11" t="s">
        <v>45761</v>
      </c>
      <c r="I4834" s="11" t="s">
        <v>45762</v>
      </c>
      <c r="J4834" s="11" t="s">
        <v>45762</v>
      </c>
      <c r="K4834" s="9" t="s">
        <v>55</v>
      </c>
      <c r="L4834" s="9" t="s">
        <v>17744</v>
      </c>
      <c r="M4834" s="9" t="s">
        <v>45763</v>
      </c>
      <c r="N4834" s="9" t="s">
        <v>17746</v>
      </c>
      <c r="O4834" s="9" t="s">
        <v>20618</v>
      </c>
      <c r="P4834" s="9" t="s">
        <v>17748</v>
      </c>
      <c r="Q4834" s="11" t="s">
        <v>18433</v>
      </c>
      <c r="R4834" s="11" t="s">
        <v>18433</v>
      </c>
      <c r="S4834" s="11" t="s">
        <v>17750</v>
      </c>
    </row>
    <row r="4835" spans="1:19" x14ac:dyDescent="0.2">
      <c r="A4835" s="11" t="s">
        <v>45764</v>
      </c>
      <c r="B4835" s="9" t="s">
        <v>45765</v>
      </c>
      <c r="C4835" s="9" t="s">
        <v>45766</v>
      </c>
      <c r="D4835" s="9" t="s">
        <v>45767</v>
      </c>
      <c r="E4835" s="9" t="s">
        <v>17740</v>
      </c>
      <c r="F4835" s="9" t="s">
        <v>17741</v>
      </c>
      <c r="G4835" s="9" t="s">
        <v>17740</v>
      </c>
      <c r="H4835" s="11" t="s">
        <v>3555</v>
      </c>
      <c r="I4835" s="11" t="s">
        <v>3554</v>
      </c>
      <c r="J4835" s="11" t="s">
        <v>3554</v>
      </c>
      <c r="K4835" s="9" t="s">
        <v>45768</v>
      </c>
      <c r="L4835" s="9" t="s">
        <v>17759</v>
      </c>
      <c r="M4835" s="9" t="s">
        <v>17817</v>
      </c>
      <c r="N4835" s="9" t="s">
        <v>17746</v>
      </c>
      <c r="O4835" s="9" t="s">
        <v>45769</v>
      </c>
      <c r="P4835" s="9" t="s">
        <v>17748</v>
      </c>
      <c r="Q4835" s="11" t="s">
        <v>17969</v>
      </c>
      <c r="R4835" s="11" t="s">
        <v>17969</v>
      </c>
      <c r="S4835" s="11" t="s">
        <v>17750</v>
      </c>
    </row>
    <row r="4836" spans="1:19" x14ac:dyDescent="0.2">
      <c r="A4836" s="11" t="s">
        <v>45770</v>
      </c>
      <c r="B4836" s="9" t="s">
        <v>45771</v>
      </c>
      <c r="C4836" s="9" t="s">
        <v>45772</v>
      </c>
      <c r="D4836" s="9" t="s">
        <v>45773</v>
      </c>
      <c r="E4836" s="9" t="s">
        <v>17748</v>
      </c>
      <c r="F4836" s="9" t="s">
        <v>45774</v>
      </c>
      <c r="G4836" s="9" t="s">
        <v>17740</v>
      </c>
      <c r="H4836" s="11" t="s">
        <v>17741</v>
      </c>
      <c r="I4836" s="11" t="s">
        <v>45775</v>
      </c>
      <c r="J4836" s="11" t="s">
        <v>45775</v>
      </c>
      <c r="K4836" s="9" t="s">
        <v>22718</v>
      </c>
      <c r="L4836" s="9" t="s">
        <v>18854</v>
      </c>
      <c r="M4836" s="9" t="s">
        <v>17769</v>
      </c>
      <c r="N4836" s="9" t="s">
        <v>20237</v>
      </c>
      <c r="O4836" s="9" t="s">
        <v>45776</v>
      </c>
      <c r="P4836" s="9" t="s">
        <v>17748</v>
      </c>
      <c r="Q4836" s="11" t="s">
        <v>17792</v>
      </c>
      <c r="R4836" s="11" t="s">
        <v>17792</v>
      </c>
      <c r="S4836" s="11" t="s">
        <v>17750</v>
      </c>
    </row>
    <row r="4837" spans="1:19" x14ac:dyDescent="0.2">
      <c r="A4837" s="11" t="s">
        <v>45777</v>
      </c>
      <c r="B4837" s="9" t="s">
        <v>45778</v>
      </c>
      <c r="C4837" s="9" t="s">
        <v>45779</v>
      </c>
      <c r="D4837" s="9" t="s">
        <v>45780</v>
      </c>
      <c r="E4837" s="9" t="s">
        <v>17740</v>
      </c>
      <c r="F4837" s="9" t="s">
        <v>17741</v>
      </c>
      <c r="G4837" s="9" t="s">
        <v>17740</v>
      </c>
      <c r="H4837" s="11" t="s">
        <v>45781</v>
      </c>
      <c r="I4837" s="11" t="s">
        <v>45782</v>
      </c>
      <c r="J4837" s="11" t="s">
        <v>45782</v>
      </c>
      <c r="K4837" s="9" t="s">
        <v>45783</v>
      </c>
      <c r="L4837" s="9" t="s">
        <v>17759</v>
      </c>
      <c r="M4837" s="9" t="s">
        <v>17769</v>
      </c>
      <c r="N4837" s="9" t="s">
        <v>17746</v>
      </c>
      <c r="O4837" s="9" t="s">
        <v>3543</v>
      </c>
      <c r="P4837" s="9" t="s">
        <v>17748</v>
      </c>
      <c r="Q4837" s="11" t="s">
        <v>18433</v>
      </c>
      <c r="R4837" s="11" t="s">
        <v>18433</v>
      </c>
      <c r="S4837" s="11" t="s">
        <v>17750</v>
      </c>
    </row>
    <row r="4838" spans="1:19" x14ac:dyDescent="0.2">
      <c r="A4838" s="11" t="s">
        <v>45784</v>
      </c>
      <c r="B4838" s="9" t="s">
        <v>45785</v>
      </c>
      <c r="C4838" s="9" t="s">
        <v>45786</v>
      </c>
      <c r="D4838" s="9" t="s">
        <v>45787</v>
      </c>
      <c r="E4838" s="9" t="s">
        <v>17740</v>
      </c>
      <c r="F4838" s="9" t="s">
        <v>17741</v>
      </c>
      <c r="G4838" s="9" t="s">
        <v>17740</v>
      </c>
      <c r="H4838" s="11" t="s">
        <v>45788</v>
      </c>
      <c r="I4838" s="11" t="s">
        <v>45789</v>
      </c>
      <c r="J4838" s="11" t="s">
        <v>45789</v>
      </c>
      <c r="K4838" s="9" t="s">
        <v>167</v>
      </c>
      <c r="L4838" s="9" t="s">
        <v>18158</v>
      </c>
      <c r="M4838" s="9" t="s">
        <v>17817</v>
      </c>
      <c r="N4838" s="9" t="s">
        <v>18185</v>
      </c>
      <c r="O4838" s="9" t="s">
        <v>3543</v>
      </c>
      <c r="P4838" s="9" t="s">
        <v>17748</v>
      </c>
      <c r="Q4838" s="11" t="s">
        <v>18306</v>
      </c>
      <c r="R4838" s="11" t="s">
        <v>18306</v>
      </c>
      <c r="S4838" s="11" t="s">
        <v>17750</v>
      </c>
    </row>
    <row r="4839" spans="1:19" x14ac:dyDescent="0.2">
      <c r="A4839" s="11" t="s">
        <v>45790</v>
      </c>
      <c r="B4839" s="9" t="s">
        <v>45791</v>
      </c>
      <c r="C4839" s="9" t="s">
        <v>45792</v>
      </c>
      <c r="D4839" s="9" t="s">
        <v>3569</v>
      </c>
      <c r="E4839" s="9" t="s">
        <v>17740</v>
      </c>
      <c r="F4839" s="9" t="s">
        <v>17741</v>
      </c>
      <c r="G4839" s="9" t="s">
        <v>17740</v>
      </c>
      <c r="H4839" s="11" t="s">
        <v>17741</v>
      </c>
      <c r="I4839" s="11" t="s">
        <v>3570</v>
      </c>
      <c r="J4839" s="11" t="s">
        <v>3570</v>
      </c>
      <c r="K4839" s="9" t="s">
        <v>18438</v>
      </c>
      <c r="L4839" s="9" t="s">
        <v>18439</v>
      </c>
      <c r="M4839" s="9" t="s">
        <v>19215</v>
      </c>
      <c r="N4839" s="9" t="s">
        <v>18171</v>
      </c>
      <c r="O4839" s="9" t="s">
        <v>3543</v>
      </c>
      <c r="P4839" s="9" t="s">
        <v>17748</v>
      </c>
      <c r="Q4839" s="11" t="s">
        <v>18556</v>
      </c>
      <c r="R4839" s="11" t="s">
        <v>18556</v>
      </c>
      <c r="S4839" s="11" t="s">
        <v>17750</v>
      </c>
    </row>
    <row r="4840" spans="1:19" x14ac:dyDescent="0.2">
      <c r="A4840" s="11" t="s">
        <v>45793</v>
      </c>
      <c r="B4840" s="9" t="s">
        <v>45794</v>
      </c>
      <c r="C4840" s="9" t="s">
        <v>45795</v>
      </c>
      <c r="D4840" s="9" t="s">
        <v>45796</v>
      </c>
      <c r="E4840" s="9" t="s">
        <v>17740</v>
      </c>
      <c r="F4840" s="9" t="s">
        <v>45797</v>
      </c>
      <c r="G4840" s="9" t="s">
        <v>17740</v>
      </c>
      <c r="H4840" s="11" t="s">
        <v>45798</v>
      </c>
      <c r="I4840" s="11" t="s">
        <v>45799</v>
      </c>
      <c r="J4840" s="11" t="s">
        <v>45799</v>
      </c>
      <c r="K4840" s="9" t="s">
        <v>540</v>
      </c>
      <c r="L4840" s="9" t="s">
        <v>17991</v>
      </c>
      <c r="M4840" s="9" t="s">
        <v>17817</v>
      </c>
      <c r="N4840" s="9" t="s">
        <v>20424</v>
      </c>
      <c r="O4840" s="9" t="s">
        <v>3543</v>
      </c>
      <c r="P4840" s="9" t="s">
        <v>17748</v>
      </c>
      <c r="Q4840" s="11" t="s">
        <v>19471</v>
      </c>
      <c r="R4840" s="11" t="s">
        <v>19471</v>
      </c>
      <c r="S4840" s="11" t="s">
        <v>17750</v>
      </c>
    </row>
    <row r="4841" spans="1:19" x14ac:dyDescent="0.2">
      <c r="A4841" s="11" t="s">
        <v>45800</v>
      </c>
      <c r="B4841" s="9" t="s">
        <v>45801</v>
      </c>
      <c r="C4841" s="9" t="s">
        <v>45802</v>
      </c>
      <c r="D4841" s="9" t="s">
        <v>45803</v>
      </c>
      <c r="E4841" s="9" t="s">
        <v>17740</v>
      </c>
      <c r="F4841" s="9" t="s">
        <v>17741</v>
      </c>
      <c r="G4841" s="9" t="s">
        <v>17740</v>
      </c>
      <c r="H4841" s="11" t="s">
        <v>3580</v>
      </c>
      <c r="I4841" s="11" t="s">
        <v>3579</v>
      </c>
      <c r="J4841" s="11" t="s">
        <v>3579</v>
      </c>
      <c r="K4841" s="9" t="s">
        <v>19775</v>
      </c>
      <c r="L4841" s="9" t="s">
        <v>17759</v>
      </c>
      <c r="M4841" s="9" t="s">
        <v>45804</v>
      </c>
      <c r="N4841" s="9" t="s">
        <v>17746</v>
      </c>
      <c r="O4841" s="9" t="s">
        <v>3543</v>
      </c>
      <c r="P4841" s="9" t="s">
        <v>17748</v>
      </c>
      <c r="Q4841" s="11" t="s">
        <v>17849</v>
      </c>
      <c r="R4841" s="11" t="s">
        <v>17849</v>
      </c>
      <c r="S4841" s="11" t="s">
        <v>17750</v>
      </c>
    </row>
    <row r="4842" spans="1:19" x14ac:dyDescent="0.2">
      <c r="A4842" s="11" t="s">
        <v>45805</v>
      </c>
      <c r="B4842" s="9" t="s">
        <v>45806</v>
      </c>
      <c r="C4842" s="9" t="s">
        <v>45807</v>
      </c>
      <c r="D4842" s="9" t="s">
        <v>45808</v>
      </c>
      <c r="E4842" s="9" t="s">
        <v>17740</v>
      </c>
      <c r="F4842" s="9" t="s">
        <v>45809</v>
      </c>
      <c r="G4842" s="9" t="s">
        <v>17740</v>
      </c>
      <c r="H4842" s="11" t="s">
        <v>45810</v>
      </c>
      <c r="I4842" s="11" t="s">
        <v>45811</v>
      </c>
      <c r="J4842" s="11" t="s">
        <v>45811</v>
      </c>
      <c r="K4842" s="9" t="s">
        <v>45812</v>
      </c>
      <c r="L4842" s="9" t="s">
        <v>17759</v>
      </c>
      <c r="M4842" s="9" t="s">
        <v>17769</v>
      </c>
      <c r="N4842" s="9" t="s">
        <v>17746</v>
      </c>
      <c r="O4842" s="9" t="s">
        <v>3543</v>
      </c>
      <c r="P4842" s="9" t="s">
        <v>17748</v>
      </c>
      <c r="Q4842" s="11" t="s">
        <v>17849</v>
      </c>
      <c r="R4842" s="11" t="s">
        <v>17849</v>
      </c>
      <c r="S4842" s="11" t="s">
        <v>17750</v>
      </c>
    </row>
    <row r="4843" spans="1:19" x14ac:dyDescent="0.2">
      <c r="A4843" s="11" t="s">
        <v>45813</v>
      </c>
      <c r="B4843" s="9" t="s">
        <v>45814</v>
      </c>
      <c r="C4843" s="9" t="s">
        <v>45815</v>
      </c>
      <c r="D4843" s="9" t="s">
        <v>45816</v>
      </c>
      <c r="E4843" s="9" t="s">
        <v>17740</v>
      </c>
      <c r="F4843" s="9" t="s">
        <v>17741</v>
      </c>
      <c r="G4843" s="9" t="s">
        <v>17740</v>
      </c>
      <c r="H4843" s="11" t="s">
        <v>12915</v>
      </c>
      <c r="I4843" s="11" t="s">
        <v>12914</v>
      </c>
      <c r="J4843" s="11" t="s">
        <v>17741</v>
      </c>
      <c r="K4843" s="9" t="s">
        <v>1808</v>
      </c>
      <c r="L4843" s="9" t="s">
        <v>18242</v>
      </c>
      <c r="M4843" s="9" t="s">
        <v>18211</v>
      </c>
      <c r="N4843" s="9" t="s">
        <v>17746</v>
      </c>
      <c r="O4843" s="9" t="s">
        <v>45817</v>
      </c>
      <c r="P4843" s="9" t="s">
        <v>17748</v>
      </c>
      <c r="Q4843" s="11" t="s">
        <v>18370</v>
      </c>
      <c r="R4843" s="11" t="s">
        <v>18370</v>
      </c>
      <c r="S4843" s="11" t="s">
        <v>17750</v>
      </c>
    </row>
    <row r="4844" spans="1:19" x14ac:dyDescent="0.2">
      <c r="A4844" s="11" t="s">
        <v>45818</v>
      </c>
      <c r="B4844" s="9" t="s">
        <v>3543</v>
      </c>
      <c r="C4844" s="9" t="s">
        <v>45819</v>
      </c>
      <c r="D4844" s="9" t="s">
        <v>3543</v>
      </c>
      <c r="E4844" s="9" t="s">
        <v>17740</v>
      </c>
      <c r="F4844" s="9" t="s">
        <v>17741</v>
      </c>
      <c r="G4844" s="9" t="s">
        <v>17740</v>
      </c>
      <c r="H4844" s="11" t="s">
        <v>3545</v>
      </c>
      <c r="I4844" s="11" t="s">
        <v>3544</v>
      </c>
      <c r="J4844" s="11" t="s">
        <v>3544</v>
      </c>
      <c r="K4844" s="9" t="s">
        <v>45783</v>
      </c>
      <c r="L4844" s="9" t="s">
        <v>17759</v>
      </c>
      <c r="M4844" s="9" t="s">
        <v>17817</v>
      </c>
      <c r="N4844" s="9" t="s">
        <v>17746</v>
      </c>
      <c r="O4844" s="9" t="s">
        <v>3543</v>
      </c>
      <c r="P4844" s="9" t="s">
        <v>17748</v>
      </c>
      <c r="Q4844" s="11" t="s">
        <v>21244</v>
      </c>
      <c r="R4844" s="11" t="s">
        <v>21244</v>
      </c>
      <c r="S4844" s="11" t="s">
        <v>17750</v>
      </c>
    </row>
    <row r="4845" spans="1:19" x14ac:dyDescent="0.2">
      <c r="A4845" s="11" t="s">
        <v>45820</v>
      </c>
      <c r="B4845" s="9" t="s">
        <v>45821</v>
      </c>
      <c r="C4845" s="9" t="s">
        <v>45822</v>
      </c>
      <c r="D4845" s="9" t="s">
        <v>45823</v>
      </c>
      <c r="E4845" s="9" t="s">
        <v>17740</v>
      </c>
      <c r="F4845" s="9" t="s">
        <v>17741</v>
      </c>
      <c r="G4845" s="9" t="s">
        <v>17740</v>
      </c>
      <c r="H4845" s="11" t="s">
        <v>17741</v>
      </c>
      <c r="I4845" s="11" t="s">
        <v>45824</v>
      </c>
      <c r="J4845" s="11" t="s">
        <v>45824</v>
      </c>
      <c r="K4845" s="9" t="s">
        <v>45825</v>
      </c>
      <c r="L4845" s="9" t="s">
        <v>17759</v>
      </c>
      <c r="M4845" s="9" t="s">
        <v>20580</v>
      </c>
      <c r="N4845" s="9" t="s">
        <v>17746</v>
      </c>
      <c r="O4845" s="9" t="s">
        <v>45826</v>
      </c>
      <c r="P4845" s="9" t="s">
        <v>17748</v>
      </c>
      <c r="Q4845" s="11" t="s">
        <v>18251</v>
      </c>
      <c r="R4845" s="11" t="s">
        <v>18251</v>
      </c>
      <c r="S4845" s="11" t="s">
        <v>17750</v>
      </c>
    </row>
    <row r="4846" spans="1:19" x14ac:dyDescent="0.2">
      <c r="A4846" s="11" t="s">
        <v>45827</v>
      </c>
      <c r="B4846" s="9" t="s">
        <v>45828</v>
      </c>
      <c r="C4846" s="9" t="s">
        <v>45829</v>
      </c>
      <c r="D4846" s="9" t="s">
        <v>45830</v>
      </c>
      <c r="E4846" s="9" t="s">
        <v>17740</v>
      </c>
      <c r="F4846" s="9" t="s">
        <v>17741</v>
      </c>
      <c r="G4846" s="9" t="s">
        <v>17740</v>
      </c>
      <c r="H4846" s="11" t="s">
        <v>3552</v>
      </c>
      <c r="I4846" s="11" t="s">
        <v>3551</v>
      </c>
      <c r="J4846" s="11" t="s">
        <v>3551</v>
      </c>
      <c r="K4846" s="9" t="s">
        <v>26030</v>
      </c>
      <c r="L4846" s="9" t="s">
        <v>21771</v>
      </c>
      <c r="M4846" s="9" t="s">
        <v>18289</v>
      </c>
      <c r="N4846" s="9" t="s">
        <v>17746</v>
      </c>
      <c r="O4846" s="9" t="s">
        <v>24192</v>
      </c>
      <c r="P4846" s="9" t="s">
        <v>17748</v>
      </c>
      <c r="Q4846" s="11" t="s">
        <v>17978</v>
      </c>
      <c r="R4846" s="11" t="s">
        <v>17978</v>
      </c>
      <c r="S4846" s="11" t="s">
        <v>17750</v>
      </c>
    </row>
    <row r="4847" spans="1:19" x14ac:dyDescent="0.2">
      <c r="A4847" s="11" t="s">
        <v>45831</v>
      </c>
      <c r="B4847" s="9" t="s">
        <v>45832</v>
      </c>
      <c r="C4847" s="9" t="s">
        <v>45833</v>
      </c>
      <c r="D4847" s="9" t="s">
        <v>45834</v>
      </c>
      <c r="E4847" s="9" t="s">
        <v>17740</v>
      </c>
      <c r="F4847" s="9" t="s">
        <v>45835</v>
      </c>
      <c r="G4847" s="9" t="s">
        <v>17740</v>
      </c>
      <c r="H4847" s="11" t="s">
        <v>17741</v>
      </c>
      <c r="I4847" s="11" t="s">
        <v>45836</v>
      </c>
      <c r="J4847" s="11" t="s">
        <v>45836</v>
      </c>
      <c r="K4847" s="9" t="s">
        <v>45837</v>
      </c>
      <c r="L4847" s="9" t="s">
        <v>17759</v>
      </c>
      <c r="M4847" s="9" t="s">
        <v>17760</v>
      </c>
      <c r="N4847" s="9" t="s">
        <v>17746</v>
      </c>
      <c r="O4847" s="9" t="s">
        <v>17848</v>
      </c>
      <c r="P4847" s="9" t="s">
        <v>17748</v>
      </c>
      <c r="Q4847" s="11" t="s">
        <v>18341</v>
      </c>
      <c r="R4847" s="11" t="s">
        <v>18341</v>
      </c>
      <c r="S4847" s="11" t="s">
        <v>17750</v>
      </c>
    </row>
    <row r="4848" spans="1:19" x14ac:dyDescent="0.2">
      <c r="A4848" s="11" t="s">
        <v>45838</v>
      </c>
      <c r="B4848" s="9" t="s">
        <v>45839</v>
      </c>
      <c r="C4848" s="9" t="s">
        <v>45840</v>
      </c>
      <c r="D4848" s="9" t="s">
        <v>45841</v>
      </c>
      <c r="E4848" s="9" t="s">
        <v>17740</v>
      </c>
      <c r="F4848" s="9" t="s">
        <v>17741</v>
      </c>
      <c r="G4848" s="9" t="s">
        <v>17740</v>
      </c>
      <c r="H4848" s="11" t="s">
        <v>45842</v>
      </c>
      <c r="I4848" s="11" t="s">
        <v>45843</v>
      </c>
      <c r="J4848" s="11" t="s">
        <v>45843</v>
      </c>
      <c r="K4848" s="9" t="s">
        <v>45844</v>
      </c>
      <c r="L4848" s="9" t="s">
        <v>17744</v>
      </c>
      <c r="M4848" s="9" t="s">
        <v>20172</v>
      </c>
      <c r="N4848" s="9" t="s">
        <v>17746</v>
      </c>
      <c r="O4848" s="9" t="s">
        <v>18088</v>
      </c>
      <c r="P4848" s="9" t="s">
        <v>17748</v>
      </c>
      <c r="Q4848" s="11" t="s">
        <v>18364</v>
      </c>
      <c r="R4848" s="11" t="s">
        <v>18364</v>
      </c>
      <c r="S4848" s="11" t="s">
        <v>17750</v>
      </c>
    </row>
    <row r="4849" spans="1:19" x14ac:dyDescent="0.2">
      <c r="A4849" s="11" t="s">
        <v>45845</v>
      </c>
      <c r="B4849" s="9" t="s">
        <v>45846</v>
      </c>
      <c r="C4849" s="9" t="s">
        <v>45847</v>
      </c>
      <c r="D4849" s="9" t="s">
        <v>45848</v>
      </c>
      <c r="E4849" s="9" t="s">
        <v>17740</v>
      </c>
      <c r="F4849" s="9" t="s">
        <v>17741</v>
      </c>
      <c r="G4849" s="9" t="s">
        <v>17740</v>
      </c>
      <c r="H4849" s="11" t="s">
        <v>17741</v>
      </c>
      <c r="I4849" s="11" t="s">
        <v>45849</v>
      </c>
      <c r="J4849" s="11" t="s">
        <v>45849</v>
      </c>
      <c r="K4849" s="9" t="s">
        <v>45850</v>
      </c>
      <c r="L4849" s="9" t="s">
        <v>17759</v>
      </c>
      <c r="M4849" s="9" t="s">
        <v>18745</v>
      </c>
      <c r="N4849" s="9" t="s">
        <v>17746</v>
      </c>
      <c r="O4849" s="9" t="s">
        <v>18644</v>
      </c>
      <c r="P4849" s="9" t="s">
        <v>17748</v>
      </c>
      <c r="Q4849" s="11" t="s">
        <v>17978</v>
      </c>
      <c r="R4849" s="11" t="s">
        <v>17978</v>
      </c>
      <c r="S4849" s="11" t="s">
        <v>17750</v>
      </c>
    </row>
    <row r="4850" spans="1:19" x14ac:dyDescent="0.2">
      <c r="A4850" s="11" t="s">
        <v>45851</v>
      </c>
      <c r="B4850" s="9" t="s">
        <v>45852</v>
      </c>
      <c r="C4850" s="9" t="s">
        <v>45853</v>
      </c>
      <c r="D4850" s="9" t="s">
        <v>45854</v>
      </c>
      <c r="E4850" s="9" t="s">
        <v>17740</v>
      </c>
      <c r="F4850" s="9" t="s">
        <v>17741</v>
      </c>
      <c r="G4850" s="9" t="s">
        <v>17740</v>
      </c>
      <c r="H4850" s="11" t="s">
        <v>45855</v>
      </c>
      <c r="I4850" s="11" t="s">
        <v>11986</v>
      </c>
      <c r="J4850" s="11" t="s">
        <v>11986</v>
      </c>
      <c r="K4850" s="9" t="s">
        <v>20956</v>
      </c>
      <c r="L4850" s="9" t="s">
        <v>20976</v>
      </c>
      <c r="M4850" s="9" t="s">
        <v>18685</v>
      </c>
      <c r="N4850" s="9" t="s">
        <v>17746</v>
      </c>
      <c r="O4850" s="9" t="s">
        <v>45856</v>
      </c>
      <c r="P4850" s="9" t="s">
        <v>17748</v>
      </c>
      <c r="Q4850" s="11" t="s">
        <v>17762</v>
      </c>
      <c r="R4850" s="11" t="s">
        <v>17762</v>
      </c>
      <c r="S4850" s="11" t="s">
        <v>17750</v>
      </c>
    </row>
    <row r="4851" spans="1:19" x14ac:dyDescent="0.2">
      <c r="A4851" s="11" t="s">
        <v>45857</v>
      </c>
      <c r="B4851" s="9" t="s">
        <v>45858</v>
      </c>
      <c r="C4851" s="9" t="s">
        <v>45859</v>
      </c>
      <c r="D4851" s="9" t="s">
        <v>45860</v>
      </c>
      <c r="E4851" s="9" t="s">
        <v>17740</v>
      </c>
      <c r="F4851" s="9" t="s">
        <v>17741</v>
      </c>
      <c r="G4851" s="9" t="s">
        <v>17740</v>
      </c>
      <c r="H4851" s="11" t="s">
        <v>17741</v>
      </c>
      <c r="I4851" s="11" t="s">
        <v>11988</v>
      </c>
      <c r="J4851" s="11" t="s">
        <v>17741</v>
      </c>
      <c r="K4851" s="9" t="s">
        <v>20956</v>
      </c>
      <c r="L4851" s="9" t="s">
        <v>18001</v>
      </c>
      <c r="M4851" s="9" t="s">
        <v>18685</v>
      </c>
      <c r="N4851" s="9" t="s">
        <v>17746</v>
      </c>
      <c r="O4851" s="9" t="s">
        <v>45861</v>
      </c>
      <c r="P4851" s="9" t="s">
        <v>17748</v>
      </c>
      <c r="Q4851" s="11" t="s">
        <v>17762</v>
      </c>
      <c r="R4851" s="11" t="s">
        <v>17762</v>
      </c>
      <c r="S4851" s="11" t="s">
        <v>17750</v>
      </c>
    </row>
    <row r="4852" spans="1:19" x14ac:dyDescent="0.2">
      <c r="A4852" s="11" t="s">
        <v>45862</v>
      </c>
      <c r="B4852" s="9" t="s">
        <v>45863</v>
      </c>
      <c r="C4852" s="9" t="s">
        <v>45864</v>
      </c>
      <c r="D4852" s="9" t="s">
        <v>45865</v>
      </c>
      <c r="E4852" s="9" t="s">
        <v>17740</v>
      </c>
      <c r="F4852" s="9" t="s">
        <v>17741</v>
      </c>
      <c r="G4852" s="9" t="s">
        <v>17740</v>
      </c>
      <c r="H4852" s="11" t="s">
        <v>45866</v>
      </c>
      <c r="I4852" s="11" t="s">
        <v>12320</v>
      </c>
      <c r="J4852" s="11" t="s">
        <v>12320</v>
      </c>
      <c r="K4852" s="9" t="s">
        <v>20956</v>
      </c>
      <c r="L4852" s="9" t="s">
        <v>20976</v>
      </c>
      <c r="M4852" s="9" t="s">
        <v>17992</v>
      </c>
      <c r="N4852" s="9" t="s">
        <v>17746</v>
      </c>
      <c r="O4852" s="9" t="s">
        <v>22395</v>
      </c>
      <c r="P4852" s="9" t="s">
        <v>17748</v>
      </c>
      <c r="Q4852" s="11" t="s">
        <v>17917</v>
      </c>
      <c r="R4852" s="11" t="s">
        <v>17917</v>
      </c>
      <c r="S4852" s="11" t="s">
        <v>17750</v>
      </c>
    </row>
    <row r="4853" spans="1:19" x14ac:dyDescent="0.2">
      <c r="A4853" s="11" t="s">
        <v>45867</v>
      </c>
      <c r="B4853" s="9" t="s">
        <v>45868</v>
      </c>
      <c r="C4853" s="9" t="s">
        <v>45869</v>
      </c>
      <c r="D4853" s="9" t="s">
        <v>45870</v>
      </c>
      <c r="E4853" s="9" t="s">
        <v>17740</v>
      </c>
      <c r="F4853" s="9" t="s">
        <v>17741</v>
      </c>
      <c r="G4853" s="9" t="s">
        <v>17740</v>
      </c>
      <c r="H4853" s="11" t="s">
        <v>45871</v>
      </c>
      <c r="I4853" s="11" t="s">
        <v>11990</v>
      </c>
      <c r="J4853" s="11" t="s">
        <v>11990</v>
      </c>
      <c r="K4853" s="9" t="s">
        <v>45872</v>
      </c>
      <c r="L4853" s="9" t="s">
        <v>20976</v>
      </c>
      <c r="M4853" s="9" t="s">
        <v>18685</v>
      </c>
      <c r="N4853" s="9" t="s">
        <v>17746</v>
      </c>
      <c r="O4853" s="9" t="s">
        <v>45873</v>
      </c>
      <c r="P4853" s="9" t="s">
        <v>17748</v>
      </c>
      <c r="Q4853" s="11" t="s">
        <v>17762</v>
      </c>
      <c r="R4853" s="11" t="s">
        <v>17762</v>
      </c>
      <c r="S4853" s="11" t="s">
        <v>17750</v>
      </c>
    </row>
    <row r="4854" spans="1:19" x14ac:dyDescent="0.2">
      <c r="A4854" s="11" t="s">
        <v>45874</v>
      </c>
      <c r="B4854" s="9" t="s">
        <v>45875</v>
      </c>
      <c r="C4854" s="9" t="s">
        <v>45876</v>
      </c>
      <c r="D4854" s="9" t="s">
        <v>45877</v>
      </c>
      <c r="E4854" s="9" t="s">
        <v>17740</v>
      </c>
      <c r="F4854" s="9" t="s">
        <v>17741</v>
      </c>
      <c r="G4854" s="9" t="s">
        <v>17740</v>
      </c>
      <c r="H4854" s="11" t="s">
        <v>45878</v>
      </c>
      <c r="I4854" s="11" t="s">
        <v>11992</v>
      </c>
      <c r="J4854" s="11" t="s">
        <v>11992</v>
      </c>
      <c r="K4854" s="9" t="s">
        <v>20956</v>
      </c>
      <c r="L4854" s="9" t="s">
        <v>20976</v>
      </c>
      <c r="M4854" s="9" t="s">
        <v>17778</v>
      </c>
      <c r="N4854" s="9" t="s">
        <v>17746</v>
      </c>
      <c r="O4854" s="9" t="s">
        <v>25708</v>
      </c>
      <c r="P4854" s="9" t="s">
        <v>17748</v>
      </c>
      <c r="Q4854" s="11" t="s">
        <v>17762</v>
      </c>
      <c r="R4854" s="11" t="s">
        <v>17762</v>
      </c>
      <c r="S4854" s="11" t="s">
        <v>17750</v>
      </c>
    </row>
    <row r="4855" spans="1:19" x14ac:dyDescent="0.2">
      <c r="A4855" s="11" t="s">
        <v>45879</v>
      </c>
      <c r="B4855" s="9" t="s">
        <v>45880</v>
      </c>
      <c r="C4855" s="9" t="s">
        <v>45881</v>
      </c>
      <c r="D4855" s="9" t="s">
        <v>45882</v>
      </c>
      <c r="E4855" s="9" t="s">
        <v>17740</v>
      </c>
      <c r="F4855" s="9" t="s">
        <v>17741</v>
      </c>
      <c r="G4855" s="9" t="s">
        <v>17740</v>
      </c>
      <c r="H4855" s="11" t="s">
        <v>45883</v>
      </c>
      <c r="I4855" s="11" t="s">
        <v>12322</v>
      </c>
      <c r="J4855" s="11" t="s">
        <v>12322</v>
      </c>
      <c r="K4855" s="9" t="s">
        <v>20956</v>
      </c>
      <c r="L4855" s="9" t="s">
        <v>20976</v>
      </c>
      <c r="M4855" s="9" t="s">
        <v>17992</v>
      </c>
      <c r="N4855" s="9" t="s">
        <v>17746</v>
      </c>
      <c r="O4855" s="9" t="s">
        <v>27515</v>
      </c>
      <c r="P4855" s="9" t="s">
        <v>17748</v>
      </c>
      <c r="Q4855" s="11" t="s">
        <v>17917</v>
      </c>
      <c r="R4855" s="11" t="s">
        <v>17917</v>
      </c>
      <c r="S4855" s="11" t="s">
        <v>17750</v>
      </c>
    </row>
    <row r="4856" spans="1:19" x14ac:dyDescent="0.2">
      <c r="A4856" s="11" t="s">
        <v>45884</v>
      </c>
      <c r="B4856" s="9" t="s">
        <v>45885</v>
      </c>
      <c r="C4856" s="9" t="s">
        <v>45886</v>
      </c>
      <c r="D4856" s="9" t="s">
        <v>45887</v>
      </c>
      <c r="E4856" s="9" t="s">
        <v>17740</v>
      </c>
      <c r="F4856" s="9" t="s">
        <v>17741</v>
      </c>
      <c r="G4856" s="9" t="s">
        <v>17740</v>
      </c>
      <c r="H4856" s="11" t="s">
        <v>45888</v>
      </c>
      <c r="I4856" s="11" t="s">
        <v>12324</v>
      </c>
      <c r="J4856" s="11" t="s">
        <v>12324</v>
      </c>
      <c r="K4856" s="9" t="s">
        <v>20956</v>
      </c>
      <c r="L4856" s="9" t="s">
        <v>20976</v>
      </c>
      <c r="M4856" s="9" t="s">
        <v>17992</v>
      </c>
      <c r="N4856" s="9" t="s">
        <v>17746</v>
      </c>
      <c r="O4856" s="9" t="s">
        <v>3391</v>
      </c>
      <c r="P4856" s="9" t="s">
        <v>17748</v>
      </c>
      <c r="Q4856" s="11" t="s">
        <v>17917</v>
      </c>
      <c r="R4856" s="11" t="s">
        <v>17917</v>
      </c>
      <c r="S4856" s="11" t="s">
        <v>17750</v>
      </c>
    </row>
    <row r="4857" spans="1:19" x14ac:dyDescent="0.2">
      <c r="A4857" s="11" t="s">
        <v>45889</v>
      </c>
      <c r="B4857" s="9" t="s">
        <v>45890</v>
      </c>
      <c r="C4857" s="9" t="s">
        <v>45891</v>
      </c>
      <c r="D4857" s="9" t="s">
        <v>45892</v>
      </c>
      <c r="E4857" s="9" t="s">
        <v>17740</v>
      </c>
      <c r="F4857" s="9" t="s">
        <v>17741</v>
      </c>
      <c r="G4857" s="9" t="s">
        <v>17740</v>
      </c>
      <c r="H4857" s="11" t="s">
        <v>12326</v>
      </c>
      <c r="I4857" s="11" t="s">
        <v>12326</v>
      </c>
      <c r="J4857" s="11" t="s">
        <v>12326</v>
      </c>
      <c r="K4857" s="9" t="s">
        <v>20956</v>
      </c>
      <c r="L4857" s="9" t="s">
        <v>20976</v>
      </c>
      <c r="M4857" s="9" t="s">
        <v>17992</v>
      </c>
      <c r="N4857" s="9" t="s">
        <v>17746</v>
      </c>
      <c r="O4857" s="9" t="s">
        <v>45893</v>
      </c>
      <c r="P4857" s="9" t="s">
        <v>17748</v>
      </c>
      <c r="Q4857" s="11" t="s">
        <v>17917</v>
      </c>
      <c r="R4857" s="11" t="s">
        <v>17917</v>
      </c>
      <c r="S4857" s="11" t="s">
        <v>17750</v>
      </c>
    </row>
    <row r="4858" spans="1:19" x14ac:dyDescent="0.2">
      <c r="A4858" s="11" t="s">
        <v>45894</v>
      </c>
      <c r="B4858" s="9" t="s">
        <v>45895</v>
      </c>
      <c r="C4858" s="9" t="s">
        <v>45896</v>
      </c>
      <c r="D4858" s="9" t="s">
        <v>45897</v>
      </c>
      <c r="E4858" s="9" t="s">
        <v>17740</v>
      </c>
      <c r="F4858" s="9" t="s">
        <v>17741</v>
      </c>
      <c r="G4858" s="9" t="s">
        <v>17740</v>
      </c>
      <c r="H4858" s="11" t="s">
        <v>45898</v>
      </c>
      <c r="I4858" s="11" t="s">
        <v>45899</v>
      </c>
      <c r="J4858" s="11" t="s">
        <v>45898</v>
      </c>
      <c r="K4858" s="9" t="s">
        <v>20956</v>
      </c>
      <c r="L4858" s="9" t="s">
        <v>20976</v>
      </c>
      <c r="M4858" s="9" t="s">
        <v>18628</v>
      </c>
      <c r="N4858" s="9" t="s">
        <v>17746</v>
      </c>
      <c r="O4858" s="9" t="s">
        <v>18543</v>
      </c>
      <c r="P4858" s="9" t="s">
        <v>17748</v>
      </c>
      <c r="Q4858" s="11" t="s">
        <v>17825</v>
      </c>
      <c r="R4858" s="11" t="s">
        <v>17825</v>
      </c>
      <c r="S4858" s="11" t="s">
        <v>17750</v>
      </c>
    </row>
    <row r="4859" spans="1:19" x14ac:dyDescent="0.2">
      <c r="A4859" s="11" t="s">
        <v>45900</v>
      </c>
      <c r="B4859" s="9" t="s">
        <v>45901</v>
      </c>
      <c r="C4859" s="9" t="s">
        <v>45902</v>
      </c>
      <c r="D4859" s="9" t="s">
        <v>45903</v>
      </c>
      <c r="E4859" s="9" t="s">
        <v>17740</v>
      </c>
      <c r="F4859" s="9" t="s">
        <v>17741</v>
      </c>
      <c r="G4859" s="9" t="s">
        <v>17740</v>
      </c>
      <c r="H4859" s="11" t="s">
        <v>17741</v>
      </c>
      <c r="I4859" s="11" t="s">
        <v>12328</v>
      </c>
      <c r="J4859" s="11" t="s">
        <v>12328</v>
      </c>
      <c r="K4859" s="9" t="s">
        <v>20956</v>
      </c>
      <c r="L4859" s="9" t="s">
        <v>20976</v>
      </c>
      <c r="M4859" s="9" t="s">
        <v>17992</v>
      </c>
      <c r="N4859" s="9" t="s">
        <v>17746</v>
      </c>
      <c r="O4859" s="9" t="s">
        <v>32233</v>
      </c>
      <c r="P4859" s="9" t="s">
        <v>17748</v>
      </c>
      <c r="Q4859" s="11" t="s">
        <v>17917</v>
      </c>
      <c r="R4859" s="11" t="s">
        <v>17917</v>
      </c>
      <c r="S4859" s="11" t="s">
        <v>17750</v>
      </c>
    </row>
    <row r="4860" spans="1:19" x14ac:dyDescent="0.2">
      <c r="A4860" s="11" t="s">
        <v>45904</v>
      </c>
      <c r="B4860" s="9" t="s">
        <v>45905</v>
      </c>
      <c r="C4860" s="9" t="s">
        <v>45906</v>
      </c>
      <c r="D4860" s="9" t="s">
        <v>45907</v>
      </c>
      <c r="E4860" s="9" t="s">
        <v>17740</v>
      </c>
      <c r="F4860" s="9" t="s">
        <v>17741</v>
      </c>
      <c r="G4860" s="9" t="s">
        <v>17740</v>
      </c>
      <c r="H4860" s="11" t="s">
        <v>45908</v>
      </c>
      <c r="I4860" s="11" t="s">
        <v>45909</v>
      </c>
      <c r="J4860" s="11" t="s">
        <v>45909</v>
      </c>
      <c r="K4860" s="9" t="s">
        <v>20956</v>
      </c>
      <c r="L4860" s="9" t="s">
        <v>20976</v>
      </c>
      <c r="M4860" s="9" t="s">
        <v>18628</v>
      </c>
      <c r="N4860" s="9" t="s">
        <v>17746</v>
      </c>
      <c r="O4860" s="9" t="s">
        <v>17916</v>
      </c>
      <c r="P4860" s="9" t="s">
        <v>17748</v>
      </c>
      <c r="Q4860" s="11" t="s">
        <v>17917</v>
      </c>
      <c r="R4860" s="11" t="s">
        <v>17917</v>
      </c>
      <c r="S4860" s="11" t="s">
        <v>17750</v>
      </c>
    </row>
    <row r="4861" spans="1:19" x14ac:dyDescent="0.2">
      <c r="A4861" s="11" t="s">
        <v>45910</v>
      </c>
      <c r="B4861" s="9" t="s">
        <v>45911</v>
      </c>
      <c r="C4861" s="9" t="s">
        <v>45912</v>
      </c>
      <c r="D4861" s="9" t="s">
        <v>45913</v>
      </c>
      <c r="E4861" s="9" t="s">
        <v>17740</v>
      </c>
      <c r="F4861" s="9" t="s">
        <v>17741</v>
      </c>
      <c r="G4861" s="9" t="s">
        <v>17740</v>
      </c>
      <c r="H4861" s="11" t="s">
        <v>17741</v>
      </c>
      <c r="I4861" s="11" t="s">
        <v>3700</v>
      </c>
      <c r="J4861" s="11" t="s">
        <v>3700</v>
      </c>
      <c r="K4861" s="9" t="s">
        <v>167</v>
      </c>
      <c r="L4861" s="9" t="s">
        <v>18158</v>
      </c>
      <c r="M4861" s="9" t="s">
        <v>17942</v>
      </c>
      <c r="N4861" s="9" t="s">
        <v>17746</v>
      </c>
      <c r="O4861" s="9" t="s">
        <v>18363</v>
      </c>
      <c r="P4861" s="9" t="s">
        <v>17748</v>
      </c>
      <c r="Q4861" s="11" t="s">
        <v>18072</v>
      </c>
      <c r="R4861" s="11" t="s">
        <v>18072</v>
      </c>
      <c r="S4861" s="11" t="s">
        <v>17750</v>
      </c>
    </row>
    <row r="4862" spans="1:19" x14ac:dyDescent="0.2">
      <c r="A4862" s="11" t="s">
        <v>45914</v>
      </c>
      <c r="B4862" s="9" t="s">
        <v>45915</v>
      </c>
      <c r="C4862" s="9" t="s">
        <v>45916</v>
      </c>
      <c r="D4862" s="9" t="s">
        <v>45917</v>
      </c>
      <c r="E4862" s="9" t="s">
        <v>17740</v>
      </c>
      <c r="F4862" s="9" t="s">
        <v>17741</v>
      </c>
      <c r="G4862" s="9" t="s">
        <v>17740</v>
      </c>
      <c r="H4862" s="11" t="s">
        <v>17741</v>
      </c>
      <c r="I4862" s="11" t="s">
        <v>3693</v>
      </c>
      <c r="J4862" s="11" t="s">
        <v>3693</v>
      </c>
      <c r="K4862" s="9" t="s">
        <v>45918</v>
      </c>
      <c r="L4862" s="9" t="s">
        <v>17991</v>
      </c>
      <c r="M4862" s="9" t="s">
        <v>17817</v>
      </c>
      <c r="N4862" s="9" t="s">
        <v>20424</v>
      </c>
      <c r="O4862" s="9" t="s">
        <v>17993</v>
      </c>
      <c r="P4862" s="9" t="s">
        <v>17748</v>
      </c>
      <c r="Q4862" s="11" t="s">
        <v>18010</v>
      </c>
      <c r="R4862" s="11" t="s">
        <v>18010</v>
      </c>
      <c r="S4862" s="11" t="s">
        <v>17750</v>
      </c>
    </row>
    <row r="4863" spans="1:19" x14ac:dyDescent="0.2">
      <c r="A4863" s="11" t="s">
        <v>45919</v>
      </c>
      <c r="B4863" s="9" t="s">
        <v>45920</v>
      </c>
      <c r="C4863" s="9" t="s">
        <v>45921</v>
      </c>
      <c r="D4863" s="9" t="s">
        <v>45922</v>
      </c>
      <c r="E4863" s="9" t="s">
        <v>17740</v>
      </c>
      <c r="F4863" s="9" t="s">
        <v>17741</v>
      </c>
      <c r="G4863" s="9" t="s">
        <v>17740</v>
      </c>
      <c r="H4863" s="11" t="s">
        <v>17741</v>
      </c>
      <c r="I4863" s="11" t="s">
        <v>45923</v>
      </c>
      <c r="J4863" s="11" t="s">
        <v>45923</v>
      </c>
      <c r="K4863" s="9" t="s">
        <v>45924</v>
      </c>
      <c r="L4863" s="9" t="s">
        <v>20359</v>
      </c>
      <c r="M4863" s="9" t="s">
        <v>17760</v>
      </c>
      <c r="N4863" s="9" t="s">
        <v>18042</v>
      </c>
      <c r="O4863" s="9" t="s">
        <v>17800</v>
      </c>
      <c r="P4863" s="9" t="s">
        <v>17748</v>
      </c>
      <c r="Q4863" s="11" t="s">
        <v>18960</v>
      </c>
      <c r="R4863" s="11" t="s">
        <v>18960</v>
      </c>
      <c r="S4863" s="11" t="s">
        <v>17750</v>
      </c>
    </row>
    <row r="4864" spans="1:19" x14ac:dyDescent="0.2">
      <c r="A4864" s="11" t="s">
        <v>45925</v>
      </c>
      <c r="B4864" s="9" t="s">
        <v>45926</v>
      </c>
      <c r="C4864" s="9" t="s">
        <v>45927</v>
      </c>
      <c r="D4864" s="9" t="s">
        <v>45928</v>
      </c>
      <c r="E4864" s="9" t="s">
        <v>17740</v>
      </c>
      <c r="F4864" s="9" t="s">
        <v>17741</v>
      </c>
      <c r="G4864" s="9" t="s">
        <v>17740</v>
      </c>
      <c r="H4864" s="11" t="s">
        <v>7142</v>
      </c>
      <c r="I4864" s="11" t="s">
        <v>7141</v>
      </c>
      <c r="J4864" s="11" t="s">
        <v>7141</v>
      </c>
      <c r="K4864" s="9" t="s">
        <v>45929</v>
      </c>
      <c r="L4864" s="9" t="s">
        <v>17744</v>
      </c>
      <c r="M4864" s="9" t="s">
        <v>20580</v>
      </c>
      <c r="N4864" s="9" t="s">
        <v>17746</v>
      </c>
      <c r="O4864" s="9" t="s">
        <v>24236</v>
      </c>
      <c r="P4864" s="9" t="s">
        <v>17748</v>
      </c>
      <c r="Q4864" s="11" t="s">
        <v>17808</v>
      </c>
      <c r="R4864" s="11" t="s">
        <v>17808</v>
      </c>
      <c r="S4864" s="11" t="s">
        <v>17750</v>
      </c>
    </row>
    <row r="4865" spans="1:19" x14ac:dyDescent="0.2">
      <c r="A4865" s="11" t="s">
        <v>45930</v>
      </c>
      <c r="B4865" s="9" t="s">
        <v>45931</v>
      </c>
      <c r="C4865" s="9" t="s">
        <v>45932</v>
      </c>
      <c r="D4865" s="9" t="s">
        <v>45933</v>
      </c>
      <c r="E4865" s="9" t="s">
        <v>17748</v>
      </c>
      <c r="F4865" s="9" t="s">
        <v>45934</v>
      </c>
      <c r="G4865" s="9" t="s">
        <v>17740</v>
      </c>
      <c r="H4865" s="11" t="s">
        <v>17741</v>
      </c>
      <c r="I4865" s="11" t="s">
        <v>45935</v>
      </c>
      <c r="J4865" s="11" t="s">
        <v>45935</v>
      </c>
      <c r="K4865" s="9" t="s">
        <v>45936</v>
      </c>
      <c r="L4865" s="9" t="s">
        <v>19134</v>
      </c>
      <c r="M4865" s="9" t="s">
        <v>37465</v>
      </c>
      <c r="N4865" s="9" t="s">
        <v>17746</v>
      </c>
      <c r="O4865" s="9" t="s">
        <v>18340</v>
      </c>
      <c r="P4865" s="9" t="s">
        <v>17748</v>
      </c>
      <c r="Q4865" s="11" t="s">
        <v>17792</v>
      </c>
      <c r="R4865" s="11" t="s">
        <v>17792</v>
      </c>
      <c r="S4865" s="11" t="s">
        <v>17750</v>
      </c>
    </row>
    <row r="4866" spans="1:19" x14ac:dyDescent="0.2">
      <c r="A4866" s="11" t="s">
        <v>45937</v>
      </c>
      <c r="B4866" s="9" t="s">
        <v>45938</v>
      </c>
      <c r="C4866" s="9" t="s">
        <v>45939</v>
      </c>
      <c r="D4866" s="9" t="s">
        <v>45940</v>
      </c>
      <c r="E4866" s="9" t="s">
        <v>17740</v>
      </c>
      <c r="F4866" s="9" t="s">
        <v>17741</v>
      </c>
      <c r="G4866" s="9" t="s">
        <v>17740</v>
      </c>
      <c r="H4866" s="11" t="s">
        <v>11995</v>
      </c>
      <c r="I4866" s="11" t="s">
        <v>11994</v>
      </c>
      <c r="J4866" s="11" t="s">
        <v>11994</v>
      </c>
      <c r="K4866" s="9" t="s">
        <v>8442</v>
      </c>
      <c r="L4866" s="9" t="s">
        <v>17744</v>
      </c>
      <c r="M4866" s="9" t="s">
        <v>17769</v>
      </c>
      <c r="N4866" s="9" t="s">
        <v>17746</v>
      </c>
      <c r="O4866" s="9" t="s">
        <v>22395</v>
      </c>
      <c r="P4866" s="9" t="s">
        <v>17748</v>
      </c>
      <c r="Q4866" s="11" t="s">
        <v>17762</v>
      </c>
      <c r="R4866" s="11" t="s">
        <v>17762</v>
      </c>
      <c r="S4866" s="11" t="s">
        <v>17750</v>
      </c>
    </row>
    <row r="4867" spans="1:19" x14ac:dyDescent="0.2">
      <c r="A4867" s="11" t="s">
        <v>45941</v>
      </c>
      <c r="B4867" s="9" t="s">
        <v>45942</v>
      </c>
      <c r="C4867" s="9" t="s">
        <v>45943</v>
      </c>
      <c r="D4867" s="9" t="s">
        <v>45944</v>
      </c>
      <c r="E4867" s="9" t="s">
        <v>17748</v>
      </c>
      <c r="F4867" s="9" t="s">
        <v>45945</v>
      </c>
      <c r="G4867" s="9" t="s">
        <v>17740</v>
      </c>
      <c r="H4867" s="11" t="s">
        <v>7767</v>
      </c>
      <c r="I4867" s="11" t="s">
        <v>7766</v>
      </c>
      <c r="J4867" s="11" t="s">
        <v>7766</v>
      </c>
      <c r="K4867" s="9" t="s">
        <v>28451</v>
      </c>
      <c r="L4867" s="9" t="s">
        <v>17759</v>
      </c>
      <c r="M4867" s="9" t="s">
        <v>17769</v>
      </c>
      <c r="N4867" s="9" t="s">
        <v>17746</v>
      </c>
      <c r="O4867" s="9" t="s">
        <v>45946</v>
      </c>
      <c r="P4867" s="9" t="s">
        <v>17748</v>
      </c>
      <c r="Q4867" s="11" t="s">
        <v>18798</v>
      </c>
      <c r="R4867" s="11" t="s">
        <v>18798</v>
      </c>
      <c r="S4867" s="11" t="s">
        <v>17750</v>
      </c>
    </row>
    <row r="4868" spans="1:19" x14ac:dyDescent="0.2">
      <c r="A4868" s="11" t="s">
        <v>45947</v>
      </c>
      <c r="B4868" s="9" t="s">
        <v>45948</v>
      </c>
      <c r="C4868" s="9" t="s">
        <v>45949</v>
      </c>
      <c r="D4868" s="9" t="s">
        <v>45948</v>
      </c>
      <c r="E4868" s="9" t="s">
        <v>17740</v>
      </c>
      <c r="F4868" s="9" t="s">
        <v>17741</v>
      </c>
      <c r="G4868" s="9" t="s">
        <v>17740</v>
      </c>
      <c r="H4868" s="11" t="s">
        <v>17741</v>
      </c>
      <c r="I4868" s="11" t="s">
        <v>45950</v>
      </c>
      <c r="J4868" s="11" t="s">
        <v>45950</v>
      </c>
      <c r="K4868" s="9" t="s">
        <v>45951</v>
      </c>
      <c r="L4868" s="9" t="s">
        <v>17759</v>
      </c>
      <c r="M4868" s="9" t="s">
        <v>17760</v>
      </c>
      <c r="N4868" s="9" t="s">
        <v>17746</v>
      </c>
      <c r="O4868" s="9" t="s">
        <v>18869</v>
      </c>
      <c r="P4868" s="9" t="s">
        <v>17748</v>
      </c>
      <c r="Q4868" s="11" t="s">
        <v>18600</v>
      </c>
      <c r="R4868" s="11" t="s">
        <v>18600</v>
      </c>
      <c r="S4868" s="14" t="s">
        <v>18678</v>
      </c>
    </row>
    <row r="4869" spans="1:19" x14ac:dyDescent="0.2">
      <c r="A4869" s="11" t="s">
        <v>45952</v>
      </c>
      <c r="B4869" s="9" t="s">
        <v>45953</v>
      </c>
      <c r="C4869" s="9" t="s">
        <v>45954</v>
      </c>
      <c r="D4869" s="9" t="s">
        <v>45955</v>
      </c>
      <c r="E4869" s="9" t="s">
        <v>17740</v>
      </c>
      <c r="F4869" s="9" t="s">
        <v>17741</v>
      </c>
      <c r="G4869" s="9" t="s">
        <v>17740</v>
      </c>
      <c r="H4869" s="11" t="s">
        <v>3613</v>
      </c>
      <c r="I4869" s="11" t="s">
        <v>3612</v>
      </c>
      <c r="J4869" s="11" t="s">
        <v>3612</v>
      </c>
      <c r="K4869" s="9" t="s">
        <v>45956</v>
      </c>
      <c r="L4869" s="9" t="s">
        <v>18001</v>
      </c>
      <c r="M4869" s="9" t="s">
        <v>29625</v>
      </c>
      <c r="N4869" s="9" t="s">
        <v>17746</v>
      </c>
      <c r="O4869" s="9" t="s">
        <v>773</v>
      </c>
      <c r="P4869" s="9" t="s">
        <v>17748</v>
      </c>
      <c r="Q4869" s="11" t="s">
        <v>19222</v>
      </c>
      <c r="R4869" s="11" t="s">
        <v>19222</v>
      </c>
      <c r="S4869" s="11" t="s">
        <v>17750</v>
      </c>
    </row>
    <row r="4870" spans="1:19" x14ac:dyDescent="0.2">
      <c r="A4870" s="11" t="s">
        <v>45957</v>
      </c>
      <c r="B4870" s="9" t="s">
        <v>45958</v>
      </c>
      <c r="C4870" s="9" t="s">
        <v>45959</v>
      </c>
      <c r="D4870" s="9" t="s">
        <v>45960</v>
      </c>
      <c r="E4870" s="9" t="s">
        <v>17740</v>
      </c>
      <c r="F4870" s="9" t="s">
        <v>17741</v>
      </c>
      <c r="G4870" s="9" t="s">
        <v>17740</v>
      </c>
      <c r="H4870" s="11" t="s">
        <v>3710</v>
      </c>
      <c r="I4870" s="11" t="s">
        <v>3709</v>
      </c>
      <c r="J4870" s="11" t="s">
        <v>3709</v>
      </c>
      <c r="K4870" s="9" t="s">
        <v>601</v>
      </c>
      <c r="L4870" s="9" t="s">
        <v>17759</v>
      </c>
      <c r="M4870" s="9" t="s">
        <v>17769</v>
      </c>
      <c r="N4870" s="9" t="s">
        <v>17746</v>
      </c>
      <c r="O4870" s="9" t="s">
        <v>20881</v>
      </c>
      <c r="P4870" s="9" t="s">
        <v>17748</v>
      </c>
      <c r="Q4870" s="11" t="s">
        <v>18433</v>
      </c>
      <c r="R4870" s="11" t="s">
        <v>18433</v>
      </c>
      <c r="S4870" s="11" t="s">
        <v>17750</v>
      </c>
    </row>
    <row r="4871" spans="1:19" x14ac:dyDescent="0.2">
      <c r="A4871" s="11" t="s">
        <v>45961</v>
      </c>
      <c r="B4871" s="9" t="s">
        <v>45962</v>
      </c>
      <c r="C4871" s="9" t="s">
        <v>45963</v>
      </c>
      <c r="D4871" s="9" t="s">
        <v>45964</v>
      </c>
      <c r="E4871" s="9" t="s">
        <v>17740</v>
      </c>
      <c r="F4871" s="9" t="s">
        <v>17741</v>
      </c>
      <c r="G4871" s="9" t="s">
        <v>17740</v>
      </c>
      <c r="H4871" s="11" t="s">
        <v>17741</v>
      </c>
      <c r="I4871" s="11" t="s">
        <v>45965</v>
      </c>
      <c r="J4871" s="11" t="s">
        <v>45965</v>
      </c>
      <c r="K4871" s="9" t="s">
        <v>45966</v>
      </c>
      <c r="L4871" s="9" t="s">
        <v>17759</v>
      </c>
      <c r="M4871" s="9" t="s">
        <v>45967</v>
      </c>
      <c r="N4871" s="9" t="s">
        <v>17746</v>
      </c>
      <c r="O4871" s="9" t="s">
        <v>19740</v>
      </c>
      <c r="P4871" s="9" t="s">
        <v>17748</v>
      </c>
      <c r="Q4871" s="11" t="s">
        <v>18678</v>
      </c>
      <c r="R4871" s="11" t="s">
        <v>18678</v>
      </c>
      <c r="S4871" s="11" t="s">
        <v>17750</v>
      </c>
    </row>
    <row r="4872" spans="1:19" x14ac:dyDescent="0.2">
      <c r="A4872" s="11" t="s">
        <v>45968</v>
      </c>
      <c r="B4872" s="9" t="s">
        <v>45969</v>
      </c>
      <c r="C4872" s="9" t="s">
        <v>45970</v>
      </c>
      <c r="D4872" s="9" t="s">
        <v>45971</v>
      </c>
      <c r="E4872" s="9" t="s">
        <v>17740</v>
      </c>
      <c r="F4872" s="9" t="s">
        <v>17741</v>
      </c>
      <c r="G4872" s="9" t="s">
        <v>17740</v>
      </c>
      <c r="H4872" s="11" t="s">
        <v>45972</v>
      </c>
      <c r="I4872" s="11" t="s">
        <v>45973</v>
      </c>
      <c r="J4872" s="11" t="s">
        <v>45973</v>
      </c>
      <c r="K4872" s="9" t="s">
        <v>412</v>
      </c>
      <c r="L4872" s="9" t="s">
        <v>18158</v>
      </c>
      <c r="M4872" s="9" t="s">
        <v>21922</v>
      </c>
      <c r="N4872" s="9" t="s">
        <v>18185</v>
      </c>
      <c r="O4872" s="9" t="s">
        <v>19740</v>
      </c>
      <c r="P4872" s="9" t="s">
        <v>17748</v>
      </c>
      <c r="Q4872" s="11" t="s">
        <v>18314</v>
      </c>
      <c r="R4872" s="11" t="s">
        <v>18314</v>
      </c>
      <c r="S4872" s="11" t="s">
        <v>17750</v>
      </c>
    </row>
    <row r="4873" spans="1:19" x14ac:dyDescent="0.2">
      <c r="A4873" s="11" t="s">
        <v>45974</v>
      </c>
      <c r="B4873" s="9" t="s">
        <v>45975</v>
      </c>
      <c r="C4873" s="9" t="s">
        <v>45976</v>
      </c>
      <c r="D4873" s="9" t="s">
        <v>45977</v>
      </c>
      <c r="E4873" s="9" t="s">
        <v>17740</v>
      </c>
      <c r="F4873" s="9" t="s">
        <v>45978</v>
      </c>
      <c r="G4873" s="9" t="s">
        <v>17740</v>
      </c>
      <c r="H4873" s="11" t="s">
        <v>17741</v>
      </c>
      <c r="I4873" s="11" t="s">
        <v>45979</v>
      </c>
      <c r="J4873" s="11" t="s">
        <v>45979</v>
      </c>
      <c r="K4873" s="9" t="s">
        <v>970</v>
      </c>
      <c r="L4873" s="9" t="s">
        <v>17759</v>
      </c>
      <c r="M4873" s="9" t="s">
        <v>17769</v>
      </c>
      <c r="N4873" s="9" t="s">
        <v>17746</v>
      </c>
      <c r="O4873" s="9" t="s">
        <v>45980</v>
      </c>
      <c r="P4873" s="9" t="s">
        <v>17748</v>
      </c>
      <c r="Q4873" s="11" t="s">
        <v>18433</v>
      </c>
      <c r="R4873" s="11" t="s">
        <v>18433</v>
      </c>
      <c r="S4873" s="11" t="s">
        <v>17750</v>
      </c>
    </row>
    <row r="4874" spans="1:19" x14ac:dyDescent="0.2">
      <c r="A4874" s="11" t="s">
        <v>45981</v>
      </c>
      <c r="B4874" s="9" t="s">
        <v>45982</v>
      </c>
      <c r="C4874" s="9" t="s">
        <v>45983</v>
      </c>
      <c r="D4874" s="9" t="s">
        <v>45984</v>
      </c>
      <c r="E4874" s="9" t="s">
        <v>17740</v>
      </c>
      <c r="F4874" s="9" t="s">
        <v>45985</v>
      </c>
      <c r="G4874" s="9" t="s">
        <v>17740</v>
      </c>
      <c r="H4874" s="11" t="s">
        <v>3634</v>
      </c>
      <c r="I4874" s="11" t="s">
        <v>3633</v>
      </c>
      <c r="J4874" s="11" t="s">
        <v>3633</v>
      </c>
      <c r="K4874" s="9" t="s">
        <v>17741</v>
      </c>
      <c r="L4874" s="9" t="s">
        <v>17759</v>
      </c>
      <c r="M4874" s="9" t="s">
        <v>17760</v>
      </c>
      <c r="N4874" s="9" t="s">
        <v>17746</v>
      </c>
      <c r="O4874" s="9" t="s">
        <v>45986</v>
      </c>
      <c r="P4874" s="9" t="s">
        <v>17748</v>
      </c>
      <c r="Q4874" s="11" t="s">
        <v>19082</v>
      </c>
      <c r="R4874" s="11" t="s">
        <v>19082</v>
      </c>
      <c r="S4874" s="11" t="s">
        <v>17750</v>
      </c>
    </row>
    <row r="4875" spans="1:19" x14ac:dyDescent="0.2">
      <c r="A4875" s="11" t="s">
        <v>45987</v>
      </c>
      <c r="B4875" s="9" t="s">
        <v>45988</v>
      </c>
      <c r="C4875" s="9" t="s">
        <v>45989</v>
      </c>
      <c r="D4875" s="9" t="s">
        <v>45990</v>
      </c>
      <c r="E4875" s="9" t="s">
        <v>17748</v>
      </c>
      <c r="F4875" s="9" t="s">
        <v>45991</v>
      </c>
      <c r="G4875" s="9" t="s">
        <v>17740</v>
      </c>
      <c r="H4875" s="11" t="s">
        <v>10301</v>
      </c>
      <c r="I4875" s="11" t="s">
        <v>10300</v>
      </c>
      <c r="J4875" s="11" t="s">
        <v>10300</v>
      </c>
      <c r="K4875" s="9" t="s">
        <v>4337</v>
      </c>
      <c r="L4875" s="9" t="s">
        <v>17759</v>
      </c>
      <c r="M4875" s="9" t="s">
        <v>18065</v>
      </c>
      <c r="N4875" s="9" t="s">
        <v>17746</v>
      </c>
      <c r="O4875" s="9" t="s">
        <v>45992</v>
      </c>
      <c r="P4875" s="9" t="s">
        <v>17748</v>
      </c>
      <c r="Q4875" s="11" t="s">
        <v>17780</v>
      </c>
      <c r="R4875" s="11" t="s">
        <v>17780</v>
      </c>
      <c r="S4875" s="11" t="s">
        <v>17750</v>
      </c>
    </row>
    <row r="4876" spans="1:19" x14ac:dyDescent="0.2">
      <c r="A4876" s="11" t="s">
        <v>45993</v>
      </c>
      <c r="B4876" s="9" t="s">
        <v>45994</v>
      </c>
      <c r="C4876" s="9" t="s">
        <v>45995</v>
      </c>
      <c r="D4876" s="9" t="s">
        <v>45996</v>
      </c>
      <c r="E4876" s="9" t="s">
        <v>17740</v>
      </c>
      <c r="F4876" s="9" t="s">
        <v>45997</v>
      </c>
      <c r="G4876" s="9" t="s">
        <v>17740</v>
      </c>
      <c r="H4876" s="11" t="s">
        <v>17741</v>
      </c>
      <c r="I4876" s="11" t="s">
        <v>45998</v>
      </c>
      <c r="J4876" s="11" t="s">
        <v>45998</v>
      </c>
      <c r="K4876" s="9" t="s">
        <v>45999</v>
      </c>
      <c r="L4876" s="9" t="s">
        <v>18123</v>
      </c>
      <c r="M4876" s="9" t="s">
        <v>23186</v>
      </c>
      <c r="N4876" s="9" t="s">
        <v>17746</v>
      </c>
      <c r="O4876" s="9" t="s">
        <v>46000</v>
      </c>
      <c r="P4876" s="9" t="s">
        <v>17748</v>
      </c>
      <c r="Q4876" s="11" t="s">
        <v>23636</v>
      </c>
      <c r="R4876" s="11" t="s">
        <v>23636</v>
      </c>
      <c r="S4876" s="11" t="s">
        <v>17750</v>
      </c>
    </row>
    <row r="4877" spans="1:19" x14ac:dyDescent="0.2">
      <c r="A4877" s="11" t="s">
        <v>46001</v>
      </c>
      <c r="B4877" s="9" t="s">
        <v>46002</v>
      </c>
      <c r="C4877" s="9" t="s">
        <v>46003</v>
      </c>
      <c r="D4877" s="9" t="s">
        <v>46004</v>
      </c>
      <c r="E4877" s="9" t="s">
        <v>17740</v>
      </c>
      <c r="F4877" s="9" t="s">
        <v>46005</v>
      </c>
      <c r="G4877" s="9" t="s">
        <v>17740</v>
      </c>
      <c r="H4877" s="11" t="s">
        <v>4315</v>
      </c>
      <c r="I4877" s="11" t="s">
        <v>4314</v>
      </c>
      <c r="J4877" s="11" t="s">
        <v>4314</v>
      </c>
      <c r="K4877" s="9" t="s">
        <v>291</v>
      </c>
      <c r="L4877" s="9" t="s">
        <v>17744</v>
      </c>
      <c r="M4877" s="9" t="s">
        <v>46006</v>
      </c>
      <c r="N4877" s="9" t="s">
        <v>17746</v>
      </c>
      <c r="O4877" s="9" t="s">
        <v>7269</v>
      </c>
      <c r="P4877" s="9" t="s">
        <v>17748</v>
      </c>
      <c r="Q4877" s="11" t="s">
        <v>18364</v>
      </c>
      <c r="R4877" s="11" t="s">
        <v>18364</v>
      </c>
      <c r="S4877" s="11" t="s">
        <v>17750</v>
      </c>
    </row>
    <row r="4878" spans="1:19" x14ac:dyDescent="0.2">
      <c r="A4878" s="11" t="s">
        <v>46007</v>
      </c>
      <c r="B4878" s="9" t="s">
        <v>46008</v>
      </c>
      <c r="C4878" s="9" t="s">
        <v>46009</v>
      </c>
      <c r="D4878" s="9" t="s">
        <v>46010</v>
      </c>
      <c r="E4878" s="9" t="s">
        <v>17740</v>
      </c>
      <c r="F4878" s="9" t="s">
        <v>46011</v>
      </c>
      <c r="G4878" s="9" t="s">
        <v>17740</v>
      </c>
      <c r="H4878" s="11" t="s">
        <v>46012</v>
      </c>
      <c r="I4878" s="11" t="s">
        <v>46013</v>
      </c>
      <c r="J4878" s="11" t="s">
        <v>46013</v>
      </c>
      <c r="K4878" s="9" t="s">
        <v>46014</v>
      </c>
      <c r="L4878" s="9" t="s">
        <v>17759</v>
      </c>
      <c r="M4878" s="9" t="s">
        <v>31119</v>
      </c>
      <c r="N4878" s="9" t="s">
        <v>17746</v>
      </c>
      <c r="O4878" s="9" t="s">
        <v>31486</v>
      </c>
      <c r="P4878" s="9" t="s">
        <v>17748</v>
      </c>
      <c r="Q4878" s="11" t="s">
        <v>17784</v>
      </c>
      <c r="R4878" s="11" t="s">
        <v>17784</v>
      </c>
      <c r="S4878" s="11" t="s">
        <v>17750</v>
      </c>
    </row>
    <row r="4879" spans="1:19" x14ac:dyDescent="0.2">
      <c r="A4879" s="11" t="s">
        <v>46015</v>
      </c>
      <c r="B4879" s="9" t="s">
        <v>46016</v>
      </c>
      <c r="C4879" s="9" t="s">
        <v>46017</v>
      </c>
      <c r="D4879" s="9" t="s">
        <v>46018</v>
      </c>
      <c r="E4879" s="9" t="s">
        <v>17740</v>
      </c>
      <c r="F4879" s="9" t="s">
        <v>17741</v>
      </c>
      <c r="G4879" s="9" t="s">
        <v>17740</v>
      </c>
      <c r="H4879" s="11" t="s">
        <v>46019</v>
      </c>
      <c r="I4879" s="11" t="s">
        <v>46020</v>
      </c>
      <c r="J4879" s="11" t="s">
        <v>46019</v>
      </c>
      <c r="K4879" s="9" t="s">
        <v>41575</v>
      </c>
      <c r="L4879" s="9" t="s">
        <v>17759</v>
      </c>
      <c r="M4879" s="9" t="s">
        <v>18685</v>
      </c>
      <c r="N4879" s="9" t="s">
        <v>17746</v>
      </c>
      <c r="O4879" s="9" t="s">
        <v>31486</v>
      </c>
      <c r="P4879" s="9" t="s">
        <v>17748</v>
      </c>
      <c r="Q4879" s="11" t="s">
        <v>18370</v>
      </c>
      <c r="R4879" s="11" t="s">
        <v>18370</v>
      </c>
      <c r="S4879" s="11" t="s">
        <v>17750</v>
      </c>
    </row>
    <row r="4880" spans="1:19" x14ac:dyDescent="0.2">
      <c r="A4880" s="11" t="s">
        <v>46021</v>
      </c>
      <c r="B4880" s="9" t="s">
        <v>46022</v>
      </c>
      <c r="C4880" s="9" t="s">
        <v>46023</v>
      </c>
      <c r="D4880" s="9" t="s">
        <v>46024</v>
      </c>
      <c r="E4880" s="9" t="s">
        <v>17740</v>
      </c>
      <c r="F4880" s="9" t="s">
        <v>17741</v>
      </c>
      <c r="G4880" s="9" t="s">
        <v>17740</v>
      </c>
      <c r="H4880" s="11" t="s">
        <v>46025</v>
      </c>
      <c r="I4880" s="11" t="s">
        <v>46026</v>
      </c>
      <c r="J4880" s="11" t="s">
        <v>46026</v>
      </c>
      <c r="K4880" s="9" t="s">
        <v>46027</v>
      </c>
      <c r="L4880" s="9" t="s">
        <v>17744</v>
      </c>
      <c r="M4880" s="9" t="s">
        <v>46028</v>
      </c>
      <c r="N4880" s="9" t="s">
        <v>17746</v>
      </c>
      <c r="O4880" s="9" t="s">
        <v>20799</v>
      </c>
      <c r="P4880" s="9" t="s">
        <v>17748</v>
      </c>
      <c r="Q4880" s="11" t="s">
        <v>21012</v>
      </c>
      <c r="R4880" s="11" t="s">
        <v>21012</v>
      </c>
      <c r="S4880" s="11" t="s">
        <v>17750</v>
      </c>
    </row>
    <row r="4881" spans="1:19" x14ac:dyDescent="0.2">
      <c r="A4881" s="11" t="s">
        <v>46029</v>
      </c>
      <c r="B4881" s="9" t="s">
        <v>46030</v>
      </c>
      <c r="C4881" s="9" t="s">
        <v>46031</v>
      </c>
      <c r="D4881" s="9" t="s">
        <v>8826</v>
      </c>
      <c r="E4881" s="9" t="s">
        <v>17748</v>
      </c>
      <c r="F4881" s="9" t="s">
        <v>46032</v>
      </c>
      <c r="G4881" s="9" t="s">
        <v>17740</v>
      </c>
      <c r="H4881" s="11" t="s">
        <v>8828</v>
      </c>
      <c r="I4881" s="11" t="s">
        <v>8827</v>
      </c>
      <c r="J4881" s="11" t="s">
        <v>8827</v>
      </c>
      <c r="K4881" s="9" t="s">
        <v>46033</v>
      </c>
      <c r="L4881" s="9" t="s">
        <v>17744</v>
      </c>
      <c r="M4881" s="9" t="s">
        <v>17817</v>
      </c>
      <c r="N4881" s="9" t="s">
        <v>17746</v>
      </c>
      <c r="O4881" s="9" t="s">
        <v>19067</v>
      </c>
      <c r="P4881" s="9" t="s">
        <v>17748</v>
      </c>
      <c r="Q4881" s="11" t="s">
        <v>18922</v>
      </c>
      <c r="R4881" s="11" t="s">
        <v>18922</v>
      </c>
      <c r="S4881" s="11" t="s">
        <v>17750</v>
      </c>
    </row>
    <row r="4882" spans="1:19" x14ac:dyDescent="0.2">
      <c r="A4882" s="11" t="s">
        <v>46034</v>
      </c>
      <c r="B4882" s="9" t="s">
        <v>46035</v>
      </c>
      <c r="C4882" s="9" t="s">
        <v>46036</v>
      </c>
      <c r="D4882" s="9" t="s">
        <v>46037</v>
      </c>
      <c r="E4882" s="9" t="s">
        <v>17748</v>
      </c>
      <c r="F4882" s="9" t="s">
        <v>46038</v>
      </c>
      <c r="G4882" s="9" t="s">
        <v>17740</v>
      </c>
      <c r="H4882" s="11" t="s">
        <v>17741</v>
      </c>
      <c r="I4882" s="11" t="s">
        <v>46039</v>
      </c>
      <c r="J4882" s="11" t="s">
        <v>46039</v>
      </c>
      <c r="K4882" s="9" t="s">
        <v>46040</v>
      </c>
      <c r="L4882" s="9" t="s">
        <v>17744</v>
      </c>
      <c r="M4882" s="9" t="s">
        <v>17741</v>
      </c>
      <c r="N4882" s="9" t="s">
        <v>17746</v>
      </c>
      <c r="O4882" s="9" t="s">
        <v>19067</v>
      </c>
      <c r="P4882" s="9" t="s">
        <v>17748</v>
      </c>
      <c r="Q4882" s="11" t="s">
        <v>18922</v>
      </c>
      <c r="R4882" s="11" t="s">
        <v>18922</v>
      </c>
      <c r="S4882" s="11" t="s">
        <v>17750</v>
      </c>
    </row>
    <row r="4883" spans="1:19" x14ac:dyDescent="0.2">
      <c r="A4883" s="11" t="s">
        <v>46041</v>
      </c>
      <c r="B4883" s="9" t="s">
        <v>46042</v>
      </c>
      <c r="C4883" s="9" t="s">
        <v>46043</v>
      </c>
      <c r="D4883" s="9" t="s">
        <v>46044</v>
      </c>
      <c r="E4883" s="9" t="s">
        <v>17740</v>
      </c>
      <c r="F4883" s="9" t="s">
        <v>46045</v>
      </c>
      <c r="G4883" s="9" t="s">
        <v>17740</v>
      </c>
      <c r="H4883" s="11" t="s">
        <v>46046</v>
      </c>
      <c r="I4883" s="11" t="s">
        <v>46047</v>
      </c>
      <c r="J4883" s="11" t="s">
        <v>46047</v>
      </c>
      <c r="K4883" s="9" t="s">
        <v>46048</v>
      </c>
      <c r="L4883" s="9" t="s">
        <v>18158</v>
      </c>
      <c r="M4883" s="9" t="s">
        <v>18065</v>
      </c>
      <c r="N4883" s="9" t="s">
        <v>17746</v>
      </c>
      <c r="O4883" s="9" t="s">
        <v>20335</v>
      </c>
      <c r="P4883" s="9" t="s">
        <v>17748</v>
      </c>
      <c r="Q4883" s="11" t="s">
        <v>17749</v>
      </c>
      <c r="R4883" s="11" t="s">
        <v>17749</v>
      </c>
      <c r="S4883" s="11" t="s">
        <v>17750</v>
      </c>
    </row>
    <row r="4884" spans="1:19" x14ac:dyDescent="0.2">
      <c r="A4884" s="11" t="s">
        <v>46049</v>
      </c>
      <c r="B4884" s="9" t="s">
        <v>46050</v>
      </c>
      <c r="C4884" s="9" t="s">
        <v>46051</v>
      </c>
      <c r="D4884" s="9" t="s">
        <v>46052</v>
      </c>
      <c r="E4884" s="9" t="s">
        <v>17740</v>
      </c>
      <c r="F4884" s="9" t="s">
        <v>46053</v>
      </c>
      <c r="G4884" s="9" t="s">
        <v>17740</v>
      </c>
      <c r="H4884" s="11" t="s">
        <v>17741</v>
      </c>
      <c r="I4884" s="11" t="s">
        <v>5122</v>
      </c>
      <c r="J4884" s="11" t="s">
        <v>5122</v>
      </c>
      <c r="K4884" s="9" t="s">
        <v>46054</v>
      </c>
      <c r="L4884" s="9" t="s">
        <v>20082</v>
      </c>
      <c r="M4884" s="9" t="s">
        <v>45226</v>
      </c>
      <c r="N4884" s="9" t="s">
        <v>17746</v>
      </c>
      <c r="O4884" s="9" t="s">
        <v>19067</v>
      </c>
      <c r="P4884" s="9" t="s">
        <v>17748</v>
      </c>
      <c r="Q4884" s="11" t="s">
        <v>17819</v>
      </c>
      <c r="R4884" s="11" t="s">
        <v>17819</v>
      </c>
      <c r="S4884" s="11" t="s">
        <v>17750</v>
      </c>
    </row>
    <row r="4885" spans="1:19" x14ac:dyDescent="0.2">
      <c r="A4885" s="11" t="s">
        <v>46055</v>
      </c>
      <c r="B4885" s="9" t="s">
        <v>46056</v>
      </c>
      <c r="C4885" s="9" t="s">
        <v>46057</v>
      </c>
      <c r="D4885" s="9" t="s">
        <v>46058</v>
      </c>
      <c r="E4885" s="9" t="s">
        <v>17740</v>
      </c>
      <c r="F4885" s="9" t="s">
        <v>17741</v>
      </c>
      <c r="G4885" s="9" t="s">
        <v>17740</v>
      </c>
      <c r="H4885" s="11" t="s">
        <v>17741</v>
      </c>
      <c r="I4885" s="11" t="s">
        <v>46059</v>
      </c>
      <c r="J4885" s="11" t="s">
        <v>46059</v>
      </c>
      <c r="K4885" s="9" t="s">
        <v>43513</v>
      </c>
      <c r="L4885" s="9" t="s">
        <v>17967</v>
      </c>
      <c r="M4885" s="9" t="s">
        <v>40479</v>
      </c>
      <c r="N4885" s="9" t="s">
        <v>17746</v>
      </c>
      <c r="O4885" s="9" t="s">
        <v>19067</v>
      </c>
      <c r="P4885" s="9" t="s">
        <v>17748</v>
      </c>
      <c r="Q4885" s="11" t="s">
        <v>18922</v>
      </c>
      <c r="R4885" s="11" t="s">
        <v>18922</v>
      </c>
      <c r="S4885" s="11" t="s">
        <v>17750</v>
      </c>
    </row>
    <row r="4886" spans="1:19" x14ac:dyDescent="0.2">
      <c r="A4886" s="11" t="s">
        <v>46060</v>
      </c>
      <c r="B4886" s="9" t="s">
        <v>46061</v>
      </c>
      <c r="C4886" s="9" t="s">
        <v>46062</v>
      </c>
      <c r="D4886" s="9" t="s">
        <v>46063</v>
      </c>
      <c r="E4886" s="9" t="s">
        <v>17740</v>
      </c>
      <c r="F4886" s="9" t="s">
        <v>17741</v>
      </c>
      <c r="G4886" s="9" t="s">
        <v>17740</v>
      </c>
      <c r="H4886" s="11" t="s">
        <v>10275</v>
      </c>
      <c r="I4886" s="11" t="s">
        <v>17741</v>
      </c>
      <c r="J4886" s="11" t="s">
        <v>10275</v>
      </c>
      <c r="K4886" s="9" t="s">
        <v>18570</v>
      </c>
      <c r="L4886" s="9" t="s">
        <v>17744</v>
      </c>
      <c r="M4886" s="9" t="s">
        <v>17741</v>
      </c>
      <c r="N4886" s="9" t="s">
        <v>17746</v>
      </c>
      <c r="O4886" s="9" t="s">
        <v>46064</v>
      </c>
      <c r="P4886" s="9" t="s">
        <v>17748</v>
      </c>
      <c r="Q4886" s="11" t="s">
        <v>17858</v>
      </c>
      <c r="R4886" s="11" t="s">
        <v>17858</v>
      </c>
      <c r="S4886" s="11" t="s">
        <v>17750</v>
      </c>
    </row>
    <row r="4887" spans="1:19" x14ac:dyDescent="0.2">
      <c r="A4887" s="11" t="s">
        <v>46065</v>
      </c>
      <c r="B4887" s="9" t="s">
        <v>46066</v>
      </c>
      <c r="C4887" s="9" t="s">
        <v>46067</v>
      </c>
      <c r="D4887" s="9" t="s">
        <v>46068</v>
      </c>
      <c r="E4887" s="9" t="s">
        <v>17740</v>
      </c>
      <c r="F4887" s="9" t="s">
        <v>17741</v>
      </c>
      <c r="G4887" s="9" t="s">
        <v>17740</v>
      </c>
      <c r="H4887" s="11" t="s">
        <v>9320</v>
      </c>
      <c r="I4887" s="11" t="s">
        <v>9319</v>
      </c>
      <c r="J4887" s="11" t="s">
        <v>9319</v>
      </c>
      <c r="K4887" s="9" t="s">
        <v>91</v>
      </c>
      <c r="L4887" s="9" t="s">
        <v>18001</v>
      </c>
      <c r="M4887" s="9" t="s">
        <v>20397</v>
      </c>
      <c r="N4887" s="9" t="s">
        <v>17746</v>
      </c>
      <c r="O4887" s="9" t="s">
        <v>19067</v>
      </c>
      <c r="P4887" s="9" t="s">
        <v>17748</v>
      </c>
      <c r="Q4887" s="11" t="s">
        <v>17784</v>
      </c>
      <c r="R4887" s="11" t="s">
        <v>17784</v>
      </c>
      <c r="S4887" s="11" t="s">
        <v>17750</v>
      </c>
    </row>
    <row r="4888" spans="1:19" x14ac:dyDescent="0.2">
      <c r="A4888" s="11" t="s">
        <v>46069</v>
      </c>
      <c r="B4888" s="9" t="s">
        <v>46070</v>
      </c>
      <c r="C4888" s="9" t="s">
        <v>46071</v>
      </c>
      <c r="D4888" s="9" t="s">
        <v>46072</v>
      </c>
      <c r="E4888" s="9" t="s">
        <v>17740</v>
      </c>
      <c r="F4888" s="9" t="s">
        <v>17741</v>
      </c>
      <c r="G4888" s="9" t="s">
        <v>17740</v>
      </c>
      <c r="H4888" s="11" t="s">
        <v>10680</v>
      </c>
      <c r="I4888" s="11" t="s">
        <v>17741</v>
      </c>
      <c r="J4888" s="11" t="s">
        <v>10680</v>
      </c>
      <c r="K4888" s="9" t="s">
        <v>18570</v>
      </c>
      <c r="L4888" s="9" t="s">
        <v>17744</v>
      </c>
      <c r="M4888" s="9" t="s">
        <v>17741</v>
      </c>
      <c r="N4888" s="9" t="s">
        <v>17746</v>
      </c>
      <c r="O4888" s="9" t="s">
        <v>19067</v>
      </c>
      <c r="P4888" s="9" t="s">
        <v>17748</v>
      </c>
      <c r="Q4888" s="11" t="s">
        <v>17780</v>
      </c>
      <c r="R4888" s="11" t="s">
        <v>17780</v>
      </c>
      <c r="S4888" s="11" t="s">
        <v>17750</v>
      </c>
    </row>
    <row r="4889" spans="1:19" x14ac:dyDescent="0.2">
      <c r="A4889" s="11" t="s">
        <v>46073</v>
      </c>
      <c r="B4889" s="9" t="s">
        <v>46074</v>
      </c>
      <c r="C4889" s="9" t="s">
        <v>46075</v>
      </c>
      <c r="D4889" s="9" t="s">
        <v>46076</v>
      </c>
      <c r="E4889" s="9" t="s">
        <v>17740</v>
      </c>
      <c r="F4889" s="9" t="s">
        <v>17741</v>
      </c>
      <c r="G4889" s="9" t="s">
        <v>17740</v>
      </c>
      <c r="H4889" s="11" t="s">
        <v>6230</v>
      </c>
      <c r="I4889" s="11" t="s">
        <v>6229</v>
      </c>
      <c r="J4889" s="11" t="s">
        <v>6229</v>
      </c>
      <c r="K4889" s="9" t="s">
        <v>91</v>
      </c>
      <c r="L4889" s="9" t="s">
        <v>18001</v>
      </c>
      <c r="M4889" s="9" t="s">
        <v>18211</v>
      </c>
      <c r="N4889" s="9" t="s">
        <v>17746</v>
      </c>
      <c r="O4889" s="9" t="s">
        <v>19067</v>
      </c>
      <c r="P4889" s="9" t="s">
        <v>17748</v>
      </c>
      <c r="Q4889" s="11" t="s">
        <v>17792</v>
      </c>
      <c r="R4889" s="11" t="s">
        <v>17792</v>
      </c>
      <c r="S4889" s="11" t="s">
        <v>17750</v>
      </c>
    </row>
    <row r="4890" spans="1:19" x14ac:dyDescent="0.2">
      <c r="A4890" s="11" t="s">
        <v>46077</v>
      </c>
      <c r="B4890" s="9" t="s">
        <v>46078</v>
      </c>
      <c r="C4890" s="9" t="s">
        <v>46079</v>
      </c>
      <c r="D4890" s="9" t="s">
        <v>46080</v>
      </c>
      <c r="E4890" s="9" t="s">
        <v>17748</v>
      </c>
      <c r="F4890" s="9" t="s">
        <v>46081</v>
      </c>
      <c r="G4890" s="9" t="s">
        <v>17740</v>
      </c>
      <c r="H4890" s="11" t="s">
        <v>11651</v>
      </c>
      <c r="I4890" s="11" t="s">
        <v>11650</v>
      </c>
      <c r="J4890" s="11" t="s">
        <v>11650</v>
      </c>
      <c r="K4890" s="9" t="s">
        <v>18520</v>
      </c>
      <c r="L4890" s="9" t="s">
        <v>17759</v>
      </c>
      <c r="M4890" s="9" t="s">
        <v>20970</v>
      </c>
      <c r="N4890" s="9" t="s">
        <v>17746</v>
      </c>
      <c r="O4890" s="9" t="s">
        <v>19067</v>
      </c>
      <c r="P4890" s="9" t="s">
        <v>17748</v>
      </c>
      <c r="Q4890" s="11" t="s">
        <v>17917</v>
      </c>
      <c r="R4890" s="11" t="s">
        <v>17917</v>
      </c>
      <c r="S4890" s="11" t="s">
        <v>17750</v>
      </c>
    </row>
    <row r="4891" spans="1:19" x14ac:dyDescent="0.2">
      <c r="A4891" s="11" t="s">
        <v>46082</v>
      </c>
      <c r="B4891" s="9" t="s">
        <v>46083</v>
      </c>
      <c r="C4891" s="9" t="s">
        <v>46084</v>
      </c>
      <c r="D4891" s="9" t="s">
        <v>46085</v>
      </c>
      <c r="E4891" s="9" t="s">
        <v>17740</v>
      </c>
      <c r="F4891" s="9" t="s">
        <v>46086</v>
      </c>
      <c r="G4891" s="9" t="s">
        <v>17740</v>
      </c>
      <c r="H4891" s="11" t="s">
        <v>6949</v>
      </c>
      <c r="I4891" s="11" t="s">
        <v>6948</v>
      </c>
      <c r="J4891" s="11" t="s">
        <v>6948</v>
      </c>
      <c r="K4891" s="9" t="s">
        <v>46087</v>
      </c>
      <c r="L4891" s="9" t="s">
        <v>17759</v>
      </c>
      <c r="M4891" s="9" t="s">
        <v>18065</v>
      </c>
      <c r="N4891" s="9" t="s">
        <v>17746</v>
      </c>
      <c r="O4891" s="9" t="s">
        <v>46088</v>
      </c>
      <c r="P4891" s="9" t="s">
        <v>17748</v>
      </c>
      <c r="Q4891" s="11" t="s">
        <v>18364</v>
      </c>
      <c r="R4891" s="11" t="s">
        <v>18364</v>
      </c>
      <c r="S4891" s="11" t="s">
        <v>17750</v>
      </c>
    </row>
    <row r="4892" spans="1:19" x14ac:dyDescent="0.2">
      <c r="A4892" s="11" t="s">
        <v>46089</v>
      </c>
      <c r="B4892" s="9" t="s">
        <v>46090</v>
      </c>
      <c r="C4892" s="9" t="s">
        <v>46091</v>
      </c>
      <c r="D4892" s="9" t="s">
        <v>46092</v>
      </c>
      <c r="E4892" s="9" t="s">
        <v>17748</v>
      </c>
      <c r="F4892" s="9" t="s">
        <v>46093</v>
      </c>
      <c r="G4892" s="9" t="s">
        <v>17740</v>
      </c>
      <c r="H4892" s="11" t="s">
        <v>17741</v>
      </c>
      <c r="I4892" s="11" t="s">
        <v>46094</v>
      </c>
      <c r="J4892" s="11" t="s">
        <v>46094</v>
      </c>
      <c r="K4892" s="9" t="s">
        <v>20867</v>
      </c>
      <c r="L4892" s="9" t="s">
        <v>17759</v>
      </c>
      <c r="M4892" s="9" t="s">
        <v>17760</v>
      </c>
      <c r="N4892" s="9" t="s">
        <v>17746</v>
      </c>
      <c r="O4892" s="9" t="s">
        <v>17800</v>
      </c>
      <c r="P4892" s="9" t="s">
        <v>17748</v>
      </c>
      <c r="Q4892" s="11" t="s">
        <v>17994</v>
      </c>
      <c r="R4892" s="11" t="s">
        <v>17994</v>
      </c>
      <c r="S4892" s="11" t="s">
        <v>17750</v>
      </c>
    </row>
    <row r="4893" spans="1:19" x14ac:dyDescent="0.2">
      <c r="A4893" s="11" t="s">
        <v>46095</v>
      </c>
      <c r="B4893" s="9" t="s">
        <v>46096</v>
      </c>
      <c r="C4893" s="9" t="s">
        <v>46097</v>
      </c>
      <c r="D4893" s="9" t="s">
        <v>46098</v>
      </c>
      <c r="E4893" s="9" t="s">
        <v>17740</v>
      </c>
      <c r="F4893" s="9" t="s">
        <v>17741</v>
      </c>
      <c r="G4893" s="9" t="s">
        <v>17740</v>
      </c>
      <c r="H4893" s="11" t="s">
        <v>17741</v>
      </c>
      <c r="I4893" s="11" t="s">
        <v>17741</v>
      </c>
      <c r="J4893" s="11" t="s">
        <v>17741</v>
      </c>
      <c r="K4893" s="9" t="s">
        <v>46099</v>
      </c>
      <c r="L4893" s="9" t="s">
        <v>17759</v>
      </c>
      <c r="M4893" s="9" t="s">
        <v>17741</v>
      </c>
      <c r="N4893" s="9" t="s">
        <v>17746</v>
      </c>
      <c r="O4893" s="9" t="s">
        <v>18869</v>
      </c>
      <c r="P4893" s="9" t="s">
        <v>17748</v>
      </c>
      <c r="Q4893" s="11" t="s">
        <v>18370</v>
      </c>
      <c r="R4893" s="11" t="s">
        <v>18370</v>
      </c>
      <c r="S4893" s="11" t="s">
        <v>17750</v>
      </c>
    </row>
    <row r="4894" spans="1:19" x14ac:dyDescent="0.2">
      <c r="A4894" s="11" t="s">
        <v>46100</v>
      </c>
      <c r="B4894" s="9" t="s">
        <v>46101</v>
      </c>
      <c r="C4894" s="9" t="s">
        <v>46102</v>
      </c>
      <c r="D4894" s="9" t="s">
        <v>46103</v>
      </c>
      <c r="E4894" s="9" t="s">
        <v>17748</v>
      </c>
      <c r="F4894" s="9" t="s">
        <v>46104</v>
      </c>
      <c r="G4894" s="9" t="s">
        <v>17740</v>
      </c>
      <c r="H4894" s="11" t="s">
        <v>17741</v>
      </c>
      <c r="I4894" s="11" t="s">
        <v>6441</v>
      </c>
      <c r="J4894" s="11" t="s">
        <v>6441</v>
      </c>
      <c r="K4894" s="9" t="s">
        <v>46105</v>
      </c>
      <c r="L4894" s="9" t="s">
        <v>17759</v>
      </c>
      <c r="M4894" s="9" t="s">
        <v>17817</v>
      </c>
      <c r="N4894" s="9" t="s">
        <v>17746</v>
      </c>
      <c r="O4894" s="9" t="s">
        <v>46106</v>
      </c>
      <c r="P4894" s="9" t="s">
        <v>17748</v>
      </c>
      <c r="Q4894" s="11" t="s">
        <v>17808</v>
      </c>
      <c r="R4894" s="11" t="s">
        <v>17808</v>
      </c>
      <c r="S4894" s="11" t="s">
        <v>17750</v>
      </c>
    </row>
    <row r="4895" spans="1:19" x14ac:dyDescent="0.2">
      <c r="A4895" s="11" t="s">
        <v>46107</v>
      </c>
      <c r="B4895" s="9" t="s">
        <v>46108</v>
      </c>
      <c r="C4895" s="9" t="s">
        <v>46109</v>
      </c>
      <c r="D4895" s="9" t="s">
        <v>46110</v>
      </c>
      <c r="E4895" s="9" t="s">
        <v>17740</v>
      </c>
      <c r="F4895" s="9" t="s">
        <v>17741</v>
      </c>
      <c r="G4895" s="9" t="s">
        <v>17740</v>
      </c>
      <c r="H4895" s="11" t="s">
        <v>4452</v>
      </c>
      <c r="I4895" s="11" t="s">
        <v>4451</v>
      </c>
      <c r="J4895" s="11" t="s">
        <v>4451</v>
      </c>
      <c r="K4895" s="9" t="s">
        <v>17865</v>
      </c>
      <c r="L4895" s="9" t="s">
        <v>17759</v>
      </c>
      <c r="M4895" s="9" t="s">
        <v>46111</v>
      </c>
      <c r="N4895" s="9" t="s">
        <v>17746</v>
      </c>
      <c r="O4895" s="9" t="s">
        <v>17834</v>
      </c>
      <c r="P4895" s="9" t="s">
        <v>17748</v>
      </c>
      <c r="Q4895" s="11" t="s">
        <v>18364</v>
      </c>
      <c r="R4895" s="11" t="s">
        <v>18364</v>
      </c>
      <c r="S4895" s="11" t="s">
        <v>17750</v>
      </c>
    </row>
    <row r="4896" spans="1:19" x14ac:dyDescent="0.2">
      <c r="A4896" s="11" t="s">
        <v>46112</v>
      </c>
      <c r="B4896" s="9" t="s">
        <v>46113</v>
      </c>
      <c r="C4896" s="9" t="s">
        <v>46114</v>
      </c>
      <c r="D4896" s="9" t="s">
        <v>46115</v>
      </c>
      <c r="E4896" s="9" t="s">
        <v>17740</v>
      </c>
      <c r="F4896" s="9" t="s">
        <v>17741</v>
      </c>
      <c r="G4896" s="9" t="s">
        <v>17740</v>
      </c>
      <c r="H4896" s="11" t="s">
        <v>46116</v>
      </c>
      <c r="I4896" s="11" t="s">
        <v>46117</v>
      </c>
      <c r="J4896" s="11" t="s">
        <v>46116</v>
      </c>
      <c r="K4896" s="9" t="s">
        <v>46118</v>
      </c>
      <c r="L4896" s="9" t="s">
        <v>17759</v>
      </c>
      <c r="M4896" s="9" t="s">
        <v>19768</v>
      </c>
      <c r="N4896" s="9" t="s">
        <v>17746</v>
      </c>
      <c r="O4896" s="9" t="s">
        <v>30100</v>
      </c>
      <c r="P4896" s="9" t="s">
        <v>17748</v>
      </c>
      <c r="Q4896" s="11" t="s">
        <v>18370</v>
      </c>
      <c r="R4896" s="11" t="s">
        <v>18370</v>
      </c>
      <c r="S4896" s="11" t="s">
        <v>17750</v>
      </c>
    </row>
    <row r="4897" spans="1:19" x14ac:dyDescent="0.2">
      <c r="A4897" s="11" t="s">
        <v>46119</v>
      </c>
      <c r="B4897" s="9" t="s">
        <v>46120</v>
      </c>
      <c r="C4897" s="9" t="s">
        <v>46121</v>
      </c>
      <c r="D4897" s="9" t="s">
        <v>46122</v>
      </c>
      <c r="E4897" s="9" t="s">
        <v>17740</v>
      </c>
      <c r="F4897" s="9" t="s">
        <v>46123</v>
      </c>
      <c r="G4897" s="9" t="s">
        <v>17740</v>
      </c>
      <c r="H4897" s="11" t="s">
        <v>4956</v>
      </c>
      <c r="I4897" s="11" t="s">
        <v>4955</v>
      </c>
      <c r="J4897" s="11" t="s">
        <v>4955</v>
      </c>
      <c r="K4897" s="9" t="s">
        <v>91</v>
      </c>
      <c r="L4897" s="9" t="s">
        <v>20359</v>
      </c>
      <c r="M4897" s="9" t="s">
        <v>18583</v>
      </c>
      <c r="N4897" s="9" t="s">
        <v>17746</v>
      </c>
      <c r="O4897" s="9" t="s">
        <v>18746</v>
      </c>
      <c r="P4897" s="9" t="s">
        <v>17748</v>
      </c>
      <c r="Q4897" s="11" t="s">
        <v>17819</v>
      </c>
      <c r="R4897" s="11" t="s">
        <v>17819</v>
      </c>
      <c r="S4897" s="11" t="s">
        <v>17750</v>
      </c>
    </row>
    <row r="4898" spans="1:19" x14ac:dyDescent="0.2">
      <c r="A4898" s="11" t="s">
        <v>46124</v>
      </c>
      <c r="B4898" s="9" t="s">
        <v>46125</v>
      </c>
      <c r="C4898" s="9" t="s">
        <v>46126</v>
      </c>
      <c r="D4898" s="9" t="s">
        <v>46127</v>
      </c>
      <c r="E4898" s="9" t="s">
        <v>17740</v>
      </c>
      <c r="F4898" s="9" t="s">
        <v>17741</v>
      </c>
      <c r="G4898" s="9" t="s">
        <v>17740</v>
      </c>
      <c r="H4898" s="11" t="s">
        <v>46128</v>
      </c>
      <c r="I4898" s="11" t="s">
        <v>46129</v>
      </c>
      <c r="J4898" s="11" t="s">
        <v>46129</v>
      </c>
      <c r="K4898" s="9" t="s">
        <v>36361</v>
      </c>
      <c r="L4898" s="9" t="s">
        <v>17759</v>
      </c>
      <c r="M4898" s="9" t="s">
        <v>18065</v>
      </c>
      <c r="N4898" s="9" t="s">
        <v>17746</v>
      </c>
      <c r="O4898" s="9" t="s">
        <v>28917</v>
      </c>
      <c r="P4898" s="9" t="s">
        <v>17748</v>
      </c>
      <c r="Q4898" s="11" t="s">
        <v>19335</v>
      </c>
      <c r="R4898" s="11" t="s">
        <v>19335</v>
      </c>
      <c r="S4898" s="11" t="s">
        <v>17750</v>
      </c>
    </row>
    <row r="4899" spans="1:19" x14ac:dyDescent="0.2">
      <c r="A4899" s="11" t="s">
        <v>46130</v>
      </c>
      <c r="B4899" s="9" t="s">
        <v>46131</v>
      </c>
      <c r="C4899" s="9" t="s">
        <v>46132</v>
      </c>
      <c r="D4899" s="9" t="s">
        <v>46133</v>
      </c>
      <c r="E4899" s="9" t="s">
        <v>17740</v>
      </c>
      <c r="F4899" s="9" t="s">
        <v>17741</v>
      </c>
      <c r="G4899" s="9" t="s">
        <v>17740</v>
      </c>
      <c r="H4899" s="11" t="s">
        <v>46134</v>
      </c>
      <c r="I4899" s="11" t="s">
        <v>46135</v>
      </c>
      <c r="J4899" s="11" t="s">
        <v>46135</v>
      </c>
      <c r="K4899" s="9" t="s">
        <v>91</v>
      </c>
      <c r="L4899" s="9" t="s">
        <v>17759</v>
      </c>
      <c r="M4899" s="9" t="s">
        <v>46136</v>
      </c>
      <c r="N4899" s="9" t="s">
        <v>17746</v>
      </c>
      <c r="O4899" s="9" t="s">
        <v>21220</v>
      </c>
      <c r="P4899" s="9" t="s">
        <v>17748</v>
      </c>
      <c r="Q4899" s="11" t="s">
        <v>17984</v>
      </c>
      <c r="R4899" s="11" t="s">
        <v>17984</v>
      </c>
      <c r="S4899" s="11" t="s">
        <v>17750</v>
      </c>
    </row>
    <row r="4900" spans="1:19" x14ac:dyDescent="0.2">
      <c r="A4900" s="11" t="s">
        <v>46137</v>
      </c>
      <c r="B4900" s="9" t="s">
        <v>46138</v>
      </c>
      <c r="C4900" s="9" t="s">
        <v>46139</v>
      </c>
      <c r="D4900" s="9" t="s">
        <v>46140</v>
      </c>
      <c r="E4900" s="9" t="s">
        <v>17740</v>
      </c>
      <c r="F4900" s="9" t="s">
        <v>46141</v>
      </c>
      <c r="G4900" s="9" t="s">
        <v>17740</v>
      </c>
      <c r="H4900" s="11" t="s">
        <v>46142</v>
      </c>
      <c r="I4900" s="11" t="s">
        <v>46143</v>
      </c>
      <c r="J4900" s="11" t="s">
        <v>46143</v>
      </c>
      <c r="K4900" s="9" t="s">
        <v>291</v>
      </c>
      <c r="L4900" s="9" t="s">
        <v>17759</v>
      </c>
      <c r="M4900" s="9" t="s">
        <v>17760</v>
      </c>
      <c r="N4900" s="9" t="s">
        <v>17746</v>
      </c>
      <c r="O4900" s="9" t="s">
        <v>19939</v>
      </c>
      <c r="P4900" s="9" t="s">
        <v>17748</v>
      </c>
      <c r="Q4900" s="11" t="s">
        <v>17858</v>
      </c>
      <c r="R4900" s="11" t="s">
        <v>17858</v>
      </c>
      <c r="S4900" s="11" t="s">
        <v>17750</v>
      </c>
    </row>
    <row r="4901" spans="1:19" x14ac:dyDescent="0.2">
      <c r="A4901" s="11" t="s">
        <v>46144</v>
      </c>
      <c r="B4901" s="9" t="s">
        <v>46145</v>
      </c>
      <c r="C4901" s="9" t="s">
        <v>46146</v>
      </c>
      <c r="D4901" s="9" t="s">
        <v>46147</v>
      </c>
      <c r="E4901" s="9" t="s">
        <v>17740</v>
      </c>
      <c r="F4901" s="9" t="s">
        <v>17741</v>
      </c>
      <c r="G4901" s="9" t="s">
        <v>17740</v>
      </c>
      <c r="H4901" s="11" t="s">
        <v>3715</v>
      </c>
      <c r="I4901" s="11" t="s">
        <v>3714</v>
      </c>
      <c r="J4901" s="11" t="s">
        <v>3714</v>
      </c>
      <c r="K4901" s="9" t="s">
        <v>46148</v>
      </c>
      <c r="L4901" s="9" t="s">
        <v>17744</v>
      </c>
      <c r="M4901" s="9" t="s">
        <v>17769</v>
      </c>
      <c r="N4901" s="9" t="s">
        <v>17746</v>
      </c>
      <c r="O4901" s="9" t="s">
        <v>18563</v>
      </c>
      <c r="P4901" s="9" t="s">
        <v>17748</v>
      </c>
      <c r="Q4901" s="11" t="s">
        <v>18556</v>
      </c>
      <c r="R4901" s="11" t="s">
        <v>18556</v>
      </c>
      <c r="S4901" s="11" t="s">
        <v>17750</v>
      </c>
    </row>
    <row r="4902" spans="1:19" x14ac:dyDescent="0.2">
      <c r="A4902" s="11" t="s">
        <v>46149</v>
      </c>
      <c r="B4902" s="9" t="s">
        <v>46150</v>
      </c>
      <c r="C4902" s="9" t="s">
        <v>46151</v>
      </c>
      <c r="D4902" s="9" t="s">
        <v>46152</v>
      </c>
      <c r="E4902" s="9" t="s">
        <v>17740</v>
      </c>
      <c r="F4902" s="9" t="s">
        <v>17741</v>
      </c>
      <c r="G4902" s="9" t="s">
        <v>17740</v>
      </c>
      <c r="H4902" s="11" t="s">
        <v>17741</v>
      </c>
      <c r="I4902" s="11" t="s">
        <v>46153</v>
      </c>
      <c r="J4902" s="11" t="s">
        <v>46153</v>
      </c>
      <c r="K4902" s="9" t="s">
        <v>46154</v>
      </c>
      <c r="L4902" s="9" t="s">
        <v>17759</v>
      </c>
      <c r="M4902" s="9" t="s">
        <v>46155</v>
      </c>
      <c r="N4902" s="9" t="s">
        <v>17746</v>
      </c>
      <c r="O4902" s="9" t="s">
        <v>19147</v>
      </c>
      <c r="P4902" s="9" t="s">
        <v>17748</v>
      </c>
      <c r="Q4902" s="11" t="s">
        <v>19361</v>
      </c>
      <c r="R4902" s="11" t="s">
        <v>19361</v>
      </c>
      <c r="S4902" s="11" t="s">
        <v>17750</v>
      </c>
    </row>
    <row r="4903" spans="1:19" x14ac:dyDescent="0.2">
      <c r="A4903" s="11" t="s">
        <v>46156</v>
      </c>
      <c r="B4903" s="9" t="s">
        <v>46157</v>
      </c>
      <c r="C4903" s="9" t="s">
        <v>46158</v>
      </c>
      <c r="D4903" s="9" t="s">
        <v>46159</v>
      </c>
      <c r="E4903" s="9" t="s">
        <v>17740</v>
      </c>
      <c r="F4903" s="9" t="s">
        <v>46160</v>
      </c>
      <c r="G4903" s="9" t="s">
        <v>17740</v>
      </c>
      <c r="H4903" s="11" t="s">
        <v>17741</v>
      </c>
      <c r="I4903" s="11" t="s">
        <v>46161</v>
      </c>
      <c r="J4903" s="11" t="s">
        <v>46161</v>
      </c>
      <c r="K4903" s="9" t="s">
        <v>46162</v>
      </c>
      <c r="L4903" s="9" t="s">
        <v>17759</v>
      </c>
      <c r="M4903" s="9" t="s">
        <v>17760</v>
      </c>
      <c r="N4903" s="9" t="s">
        <v>17746</v>
      </c>
      <c r="O4903" s="9" t="s">
        <v>19939</v>
      </c>
      <c r="P4903" s="9" t="s">
        <v>17748</v>
      </c>
      <c r="Q4903" s="11" t="s">
        <v>19222</v>
      </c>
      <c r="R4903" s="11" t="s">
        <v>19222</v>
      </c>
      <c r="S4903" s="11" t="s">
        <v>17750</v>
      </c>
    </row>
    <row r="4904" spans="1:19" x14ac:dyDescent="0.2">
      <c r="A4904" s="11" t="s">
        <v>46163</v>
      </c>
      <c r="B4904" s="9" t="s">
        <v>46164</v>
      </c>
      <c r="C4904" s="9" t="s">
        <v>46165</v>
      </c>
      <c r="D4904" s="9" t="s">
        <v>46166</v>
      </c>
      <c r="E4904" s="9" t="s">
        <v>17740</v>
      </c>
      <c r="F4904" s="9" t="s">
        <v>17741</v>
      </c>
      <c r="G4904" s="9" t="s">
        <v>17740</v>
      </c>
      <c r="H4904" s="11" t="s">
        <v>17741</v>
      </c>
      <c r="I4904" s="11" t="s">
        <v>46167</v>
      </c>
      <c r="J4904" s="11" t="s">
        <v>46167</v>
      </c>
      <c r="K4904" s="9" t="s">
        <v>46168</v>
      </c>
      <c r="L4904" s="9" t="s">
        <v>17759</v>
      </c>
      <c r="M4904" s="9" t="s">
        <v>17942</v>
      </c>
      <c r="N4904" s="9" t="s">
        <v>17746</v>
      </c>
      <c r="O4904" s="9" t="s">
        <v>20453</v>
      </c>
      <c r="P4904" s="9" t="s">
        <v>17748</v>
      </c>
      <c r="Q4904" s="11" t="s">
        <v>18960</v>
      </c>
      <c r="R4904" s="11" t="s">
        <v>18960</v>
      </c>
      <c r="S4904" s="11" t="s">
        <v>17750</v>
      </c>
    </row>
    <row r="4905" spans="1:19" x14ac:dyDescent="0.2">
      <c r="A4905" s="11" t="s">
        <v>46169</v>
      </c>
      <c r="B4905" s="9" t="s">
        <v>46170</v>
      </c>
      <c r="C4905" s="9" t="s">
        <v>46171</v>
      </c>
      <c r="D4905" s="9" t="s">
        <v>3621</v>
      </c>
      <c r="E4905" s="9" t="s">
        <v>17740</v>
      </c>
      <c r="F4905" s="9" t="s">
        <v>46172</v>
      </c>
      <c r="G4905" s="9" t="s">
        <v>17740</v>
      </c>
      <c r="H4905" s="11" t="s">
        <v>3623</v>
      </c>
      <c r="I4905" s="11" t="s">
        <v>3622</v>
      </c>
      <c r="J4905" s="11" t="s">
        <v>3622</v>
      </c>
      <c r="K4905" s="9" t="s">
        <v>18122</v>
      </c>
      <c r="L4905" s="9" t="s">
        <v>18123</v>
      </c>
      <c r="M4905" s="9" t="s">
        <v>26163</v>
      </c>
      <c r="N4905" s="9" t="s">
        <v>17746</v>
      </c>
      <c r="O4905" s="9" t="s">
        <v>15733</v>
      </c>
      <c r="P4905" s="9" t="s">
        <v>17748</v>
      </c>
      <c r="Q4905" s="11" t="s">
        <v>17883</v>
      </c>
      <c r="R4905" s="11" t="s">
        <v>17883</v>
      </c>
      <c r="S4905" s="11" t="s">
        <v>17750</v>
      </c>
    </row>
    <row r="4906" spans="1:19" x14ac:dyDescent="0.2">
      <c r="A4906" s="11" t="s">
        <v>46173</v>
      </c>
      <c r="B4906" s="9" t="s">
        <v>46174</v>
      </c>
      <c r="C4906" s="9" t="s">
        <v>46175</v>
      </c>
      <c r="D4906" s="9" t="s">
        <v>46176</v>
      </c>
      <c r="E4906" s="9" t="s">
        <v>17740</v>
      </c>
      <c r="F4906" s="9" t="s">
        <v>46177</v>
      </c>
      <c r="G4906" s="9" t="s">
        <v>17740</v>
      </c>
      <c r="H4906" s="11" t="s">
        <v>3596</v>
      </c>
      <c r="I4906" s="11" t="s">
        <v>3595</v>
      </c>
      <c r="J4906" s="11" t="s">
        <v>3595</v>
      </c>
      <c r="K4906" s="9" t="s">
        <v>46178</v>
      </c>
      <c r="L4906" s="9" t="s">
        <v>17759</v>
      </c>
      <c r="M4906" s="9" t="s">
        <v>46179</v>
      </c>
      <c r="N4906" s="9" t="s">
        <v>17746</v>
      </c>
      <c r="O4906" s="9" t="s">
        <v>15733</v>
      </c>
      <c r="P4906" s="9" t="s">
        <v>17748</v>
      </c>
      <c r="Q4906" s="11" t="s">
        <v>19899</v>
      </c>
      <c r="R4906" s="11" t="s">
        <v>19899</v>
      </c>
      <c r="S4906" s="11" t="s">
        <v>17750</v>
      </c>
    </row>
    <row r="4907" spans="1:19" x14ac:dyDescent="0.2">
      <c r="A4907" s="11" t="s">
        <v>46180</v>
      </c>
      <c r="B4907" s="9" t="s">
        <v>46181</v>
      </c>
      <c r="C4907" s="9" t="s">
        <v>46182</v>
      </c>
      <c r="D4907" s="9" t="s">
        <v>46183</v>
      </c>
      <c r="E4907" s="9" t="s">
        <v>17748</v>
      </c>
      <c r="F4907" s="9" t="s">
        <v>46184</v>
      </c>
      <c r="G4907" s="9" t="s">
        <v>17740</v>
      </c>
      <c r="H4907" s="11" t="s">
        <v>46185</v>
      </c>
      <c r="I4907" s="11" t="s">
        <v>16246</v>
      </c>
      <c r="J4907" s="11" t="s">
        <v>16246</v>
      </c>
      <c r="K4907" s="9" t="s">
        <v>91</v>
      </c>
      <c r="L4907" s="9" t="s">
        <v>18001</v>
      </c>
      <c r="M4907" s="9" t="s">
        <v>17778</v>
      </c>
      <c r="N4907" s="9" t="s">
        <v>17746</v>
      </c>
      <c r="O4907" s="9" t="s">
        <v>15733</v>
      </c>
      <c r="P4907" s="9" t="s">
        <v>17748</v>
      </c>
      <c r="Q4907" s="11" t="s">
        <v>17923</v>
      </c>
      <c r="R4907" s="11" t="s">
        <v>17923</v>
      </c>
      <c r="S4907" s="11" t="s">
        <v>17750</v>
      </c>
    </row>
    <row r="4908" spans="1:19" x14ac:dyDescent="0.2">
      <c r="A4908" s="11" t="s">
        <v>46186</v>
      </c>
      <c r="B4908" s="9" t="s">
        <v>46187</v>
      </c>
      <c r="C4908" s="9" t="s">
        <v>46188</v>
      </c>
      <c r="D4908" s="9" t="s">
        <v>46189</v>
      </c>
      <c r="E4908" s="9" t="s">
        <v>17740</v>
      </c>
      <c r="F4908" s="9" t="s">
        <v>46190</v>
      </c>
      <c r="G4908" s="9" t="s">
        <v>17740</v>
      </c>
      <c r="H4908" s="11" t="s">
        <v>4941</v>
      </c>
      <c r="I4908" s="11" t="s">
        <v>4940</v>
      </c>
      <c r="J4908" s="11" t="s">
        <v>4940</v>
      </c>
      <c r="K4908" s="9" t="s">
        <v>303</v>
      </c>
      <c r="L4908" s="9" t="s">
        <v>17744</v>
      </c>
      <c r="M4908" s="9" t="s">
        <v>19168</v>
      </c>
      <c r="N4908" s="9" t="s">
        <v>17746</v>
      </c>
      <c r="O4908" s="9" t="s">
        <v>15733</v>
      </c>
      <c r="P4908" s="9" t="s">
        <v>17748</v>
      </c>
      <c r="Q4908" s="11" t="s">
        <v>17819</v>
      </c>
      <c r="R4908" s="11" t="s">
        <v>17819</v>
      </c>
      <c r="S4908" s="11" t="s">
        <v>17750</v>
      </c>
    </row>
    <row r="4909" spans="1:19" x14ac:dyDescent="0.2">
      <c r="A4909" s="11" t="s">
        <v>46191</v>
      </c>
      <c r="B4909" s="9" t="s">
        <v>46192</v>
      </c>
      <c r="C4909" s="9" t="s">
        <v>46193</v>
      </c>
      <c r="D4909" s="9" t="s">
        <v>46194</v>
      </c>
      <c r="E4909" s="9" t="s">
        <v>17748</v>
      </c>
      <c r="F4909" s="9" t="s">
        <v>46195</v>
      </c>
      <c r="G4909" s="9" t="s">
        <v>17740</v>
      </c>
      <c r="H4909" s="11" t="s">
        <v>9267</v>
      </c>
      <c r="I4909" s="11" t="s">
        <v>9266</v>
      </c>
      <c r="J4909" s="11" t="s">
        <v>9266</v>
      </c>
      <c r="K4909" s="9" t="s">
        <v>18661</v>
      </c>
      <c r="L4909" s="9" t="s">
        <v>18001</v>
      </c>
      <c r="M4909" s="9" t="s">
        <v>22237</v>
      </c>
      <c r="N4909" s="9" t="s">
        <v>17746</v>
      </c>
      <c r="O4909" s="9" t="s">
        <v>15733</v>
      </c>
      <c r="P4909" s="9" t="s">
        <v>17748</v>
      </c>
      <c r="Q4909" s="11" t="s">
        <v>17994</v>
      </c>
      <c r="R4909" s="11" t="s">
        <v>17994</v>
      </c>
      <c r="S4909" s="11" t="s">
        <v>17750</v>
      </c>
    </row>
    <row r="4910" spans="1:19" x14ac:dyDescent="0.2">
      <c r="A4910" s="11" t="s">
        <v>46196</v>
      </c>
      <c r="B4910" s="9" t="s">
        <v>46197</v>
      </c>
      <c r="C4910" s="9" t="s">
        <v>46198</v>
      </c>
      <c r="D4910" s="9" t="s">
        <v>46199</v>
      </c>
      <c r="E4910" s="9" t="s">
        <v>17740</v>
      </c>
      <c r="F4910" s="9" t="s">
        <v>17741</v>
      </c>
      <c r="G4910" s="9" t="s">
        <v>17740</v>
      </c>
      <c r="H4910" s="11" t="s">
        <v>8370</v>
      </c>
      <c r="I4910" s="11" t="s">
        <v>8369</v>
      </c>
      <c r="J4910" s="11" t="s">
        <v>8369</v>
      </c>
      <c r="K4910" s="9" t="s">
        <v>2299</v>
      </c>
      <c r="L4910" s="9" t="s">
        <v>17744</v>
      </c>
      <c r="M4910" s="9" t="s">
        <v>18065</v>
      </c>
      <c r="N4910" s="9" t="s">
        <v>17746</v>
      </c>
      <c r="O4910" s="9" t="s">
        <v>15733</v>
      </c>
      <c r="P4910" s="9" t="s">
        <v>17748</v>
      </c>
      <c r="Q4910" s="11" t="s">
        <v>17784</v>
      </c>
      <c r="R4910" s="11" t="s">
        <v>17784</v>
      </c>
      <c r="S4910" s="11" t="s">
        <v>17750</v>
      </c>
    </row>
    <row r="4911" spans="1:19" x14ac:dyDescent="0.2">
      <c r="A4911" s="11" t="s">
        <v>46200</v>
      </c>
      <c r="B4911" s="9" t="s">
        <v>46201</v>
      </c>
      <c r="C4911" s="9" t="s">
        <v>46202</v>
      </c>
      <c r="D4911" s="9" t="s">
        <v>7180</v>
      </c>
      <c r="E4911" s="9" t="s">
        <v>17740</v>
      </c>
      <c r="F4911" s="9" t="s">
        <v>17741</v>
      </c>
      <c r="G4911" s="9" t="s">
        <v>17740</v>
      </c>
      <c r="H4911" s="11" t="s">
        <v>7182</v>
      </c>
      <c r="I4911" s="11" t="s">
        <v>7181</v>
      </c>
      <c r="J4911" s="11" t="s">
        <v>7181</v>
      </c>
      <c r="K4911" s="9" t="s">
        <v>22893</v>
      </c>
      <c r="L4911" s="9" t="s">
        <v>20082</v>
      </c>
      <c r="M4911" s="9" t="s">
        <v>19546</v>
      </c>
      <c r="N4911" s="9" t="s">
        <v>17746</v>
      </c>
      <c r="O4911" s="9" t="s">
        <v>15733</v>
      </c>
      <c r="P4911" s="9" t="s">
        <v>17748</v>
      </c>
      <c r="Q4911" s="11" t="s">
        <v>18201</v>
      </c>
      <c r="R4911" s="11" t="s">
        <v>18201</v>
      </c>
      <c r="S4911" s="11" t="s">
        <v>17750</v>
      </c>
    </row>
    <row r="4912" spans="1:19" x14ac:dyDescent="0.2">
      <c r="A4912" s="11" t="s">
        <v>46203</v>
      </c>
      <c r="B4912" s="9" t="s">
        <v>46204</v>
      </c>
      <c r="C4912" s="9" t="s">
        <v>46205</v>
      </c>
      <c r="D4912" s="9" t="s">
        <v>46206</v>
      </c>
      <c r="E4912" s="9" t="s">
        <v>17740</v>
      </c>
      <c r="F4912" s="9" t="s">
        <v>17741</v>
      </c>
      <c r="G4912" s="9" t="s">
        <v>17740</v>
      </c>
      <c r="H4912" s="11" t="s">
        <v>5057</v>
      </c>
      <c r="I4912" s="11" t="s">
        <v>5056</v>
      </c>
      <c r="J4912" s="11" t="s">
        <v>5056</v>
      </c>
      <c r="K4912" s="9" t="s">
        <v>920</v>
      </c>
      <c r="L4912" s="9" t="s">
        <v>18001</v>
      </c>
      <c r="M4912" s="9" t="s">
        <v>18177</v>
      </c>
      <c r="N4912" s="9" t="s">
        <v>17746</v>
      </c>
      <c r="O4912" s="9" t="s">
        <v>3100</v>
      </c>
      <c r="P4912" s="9" t="s">
        <v>17748</v>
      </c>
      <c r="Q4912" s="11" t="s">
        <v>17819</v>
      </c>
      <c r="R4912" s="11" t="s">
        <v>17819</v>
      </c>
      <c r="S4912" s="11" t="s">
        <v>17750</v>
      </c>
    </row>
    <row r="4913" spans="1:19" x14ac:dyDescent="0.2">
      <c r="A4913" s="11" t="s">
        <v>46207</v>
      </c>
      <c r="B4913" s="9" t="s">
        <v>46208</v>
      </c>
      <c r="C4913" s="9" t="s">
        <v>46209</v>
      </c>
      <c r="D4913" s="9" t="s">
        <v>46210</v>
      </c>
      <c r="E4913" s="9" t="s">
        <v>17740</v>
      </c>
      <c r="F4913" s="9" t="s">
        <v>17741</v>
      </c>
      <c r="G4913" s="9" t="s">
        <v>17740</v>
      </c>
      <c r="H4913" s="11" t="s">
        <v>46211</v>
      </c>
      <c r="I4913" s="11" t="s">
        <v>46212</v>
      </c>
      <c r="J4913" s="11" t="s">
        <v>46212</v>
      </c>
      <c r="K4913" s="9" t="s">
        <v>18727</v>
      </c>
      <c r="L4913" s="9" t="s">
        <v>18158</v>
      </c>
      <c r="M4913" s="9" t="s">
        <v>17942</v>
      </c>
      <c r="N4913" s="9" t="s">
        <v>17746</v>
      </c>
      <c r="O4913" s="9" t="s">
        <v>18125</v>
      </c>
      <c r="P4913" s="9" t="s">
        <v>17748</v>
      </c>
      <c r="Q4913" s="11" t="s">
        <v>17883</v>
      </c>
      <c r="R4913" s="11" t="s">
        <v>17883</v>
      </c>
      <c r="S4913" s="11" t="s">
        <v>17750</v>
      </c>
    </row>
    <row r="4914" spans="1:19" x14ac:dyDescent="0.2">
      <c r="A4914" s="11" t="s">
        <v>46213</v>
      </c>
      <c r="B4914" s="9" t="s">
        <v>3705</v>
      </c>
      <c r="C4914" s="9" t="s">
        <v>46214</v>
      </c>
      <c r="D4914" s="9" t="s">
        <v>3705</v>
      </c>
      <c r="E4914" s="9" t="s">
        <v>17740</v>
      </c>
      <c r="F4914" s="9" t="s">
        <v>17741</v>
      </c>
      <c r="G4914" s="9" t="s">
        <v>17740</v>
      </c>
      <c r="H4914" s="11" t="s">
        <v>3707</v>
      </c>
      <c r="I4914" s="11" t="s">
        <v>3706</v>
      </c>
      <c r="J4914" s="11" t="s">
        <v>3706</v>
      </c>
      <c r="K4914" s="9" t="s">
        <v>46215</v>
      </c>
      <c r="L4914" s="9" t="s">
        <v>21771</v>
      </c>
      <c r="M4914" s="9" t="s">
        <v>18289</v>
      </c>
      <c r="N4914" s="9" t="s">
        <v>17746</v>
      </c>
      <c r="O4914" s="9" t="s">
        <v>17807</v>
      </c>
      <c r="P4914" s="9" t="s">
        <v>17748</v>
      </c>
      <c r="Q4914" s="11" t="s">
        <v>19082</v>
      </c>
      <c r="R4914" s="11" t="s">
        <v>19082</v>
      </c>
      <c r="S4914" s="11" t="s">
        <v>17750</v>
      </c>
    </row>
    <row r="4915" spans="1:19" x14ac:dyDescent="0.2">
      <c r="A4915" s="11" t="s">
        <v>46216</v>
      </c>
      <c r="B4915" s="9" t="s">
        <v>46217</v>
      </c>
      <c r="C4915" s="9" t="s">
        <v>46218</v>
      </c>
      <c r="D4915" s="9" t="s">
        <v>3627</v>
      </c>
      <c r="E4915" s="9" t="s">
        <v>17740</v>
      </c>
      <c r="F4915" s="9" t="s">
        <v>17741</v>
      </c>
      <c r="G4915" s="9" t="s">
        <v>17740</v>
      </c>
      <c r="H4915" s="11" t="s">
        <v>3629</v>
      </c>
      <c r="I4915" s="11" t="s">
        <v>3628</v>
      </c>
      <c r="J4915" s="11" t="s">
        <v>3628</v>
      </c>
      <c r="K4915" s="9" t="s">
        <v>17758</v>
      </c>
      <c r="L4915" s="9" t="s">
        <v>17759</v>
      </c>
      <c r="M4915" s="9" t="s">
        <v>34307</v>
      </c>
      <c r="N4915" s="9" t="s">
        <v>17746</v>
      </c>
      <c r="O4915" s="9" t="s">
        <v>3255</v>
      </c>
      <c r="P4915" s="9" t="s">
        <v>17748</v>
      </c>
      <c r="Q4915" s="11" t="s">
        <v>18433</v>
      </c>
      <c r="R4915" s="11" t="s">
        <v>18433</v>
      </c>
      <c r="S4915" s="11" t="s">
        <v>17750</v>
      </c>
    </row>
    <row r="4916" spans="1:19" x14ac:dyDescent="0.2">
      <c r="A4916" s="11" t="s">
        <v>46219</v>
      </c>
      <c r="B4916" s="9" t="s">
        <v>10276</v>
      </c>
      <c r="C4916" s="9" t="s">
        <v>46220</v>
      </c>
      <c r="D4916" s="9" t="s">
        <v>10276</v>
      </c>
      <c r="E4916" s="9" t="s">
        <v>17740</v>
      </c>
      <c r="F4916" s="9" t="s">
        <v>17741</v>
      </c>
      <c r="G4916" s="9" t="s">
        <v>17740</v>
      </c>
      <c r="H4916" s="11" t="s">
        <v>10277</v>
      </c>
      <c r="I4916" s="11" t="s">
        <v>17741</v>
      </c>
      <c r="J4916" s="11" t="s">
        <v>10277</v>
      </c>
      <c r="K4916" s="9" t="s">
        <v>18570</v>
      </c>
      <c r="L4916" s="9" t="s">
        <v>17744</v>
      </c>
      <c r="M4916" s="9" t="s">
        <v>17942</v>
      </c>
      <c r="N4916" s="9" t="s">
        <v>17746</v>
      </c>
      <c r="O4916" s="9" t="s">
        <v>4048</v>
      </c>
      <c r="P4916" s="9" t="s">
        <v>17748</v>
      </c>
      <c r="Q4916" s="11" t="s">
        <v>17780</v>
      </c>
      <c r="R4916" s="11" t="s">
        <v>17780</v>
      </c>
      <c r="S4916" s="11" t="s">
        <v>17750</v>
      </c>
    </row>
    <row r="4917" spans="1:19" x14ac:dyDescent="0.2">
      <c r="A4917" s="11" t="s">
        <v>46221</v>
      </c>
      <c r="B4917" s="9" t="s">
        <v>3630</v>
      </c>
      <c r="C4917" s="9" t="s">
        <v>46222</v>
      </c>
      <c r="D4917" s="9" t="s">
        <v>3630</v>
      </c>
      <c r="E4917" s="9" t="s">
        <v>17740</v>
      </c>
      <c r="F4917" s="9" t="s">
        <v>17741</v>
      </c>
      <c r="G4917" s="9" t="s">
        <v>17740</v>
      </c>
      <c r="H4917" s="11" t="s">
        <v>17741</v>
      </c>
      <c r="I4917" s="11" t="s">
        <v>3631</v>
      </c>
      <c r="J4917" s="11" t="s">
        <v>3631</v>
      </c>
      <c r="K4917" s="9" t="s">
        <v>21458</v>
      </c>
      <c r="L4917" s="9" t="s">
        <v>17991</v>
      </c>
      <c r="M4917" s="9" t="s">
        <v>17778</v>
      </c>
      <c r="N4917" s="9" t="s">
        <v>20424</v>
      </c>
      <c r="O4917" s="9" t="s">
        <v>18534</v>
      </c>
      <c r="P4917" s="9" t="s">
        <v>17748</v>
      </c>
      <c r="Q4917" s="11" t="s">
        <v>18440</v>
      </c>
      <c r="R4917" s="11" t="s">
        <v>18440</v>
      </c>
      <c r="S4917" s="11" t="s">
        <v>17750</v>
      </c>
    </row>
    <row r="4918" spans="1:19" x14ac:dyDescent="0.2">
      <c r="A4918" s="11" t="s">
        <v>46223</v>
      </c>
      <c r="B4918" s="9" t="s">
        <v>46224</v>
      </c>
      <c r="C4918" s="9" t="s">
        <v>46225</v>
      </c>
      <c r="D4918" s="9" t="s">
        <v>46224</v>
      </c>
      <c r="E4918" s="9" t="s">
        <v>17740</v>
      </c>
      <c r="F4918" s="9" t="s">
        <v>17741</v>
      </c>
      <c r="G4918" s="9" t="s">
        <v>17740</v>
      </c>
      <c r="H4918" s="11" t="s">
        <v>17741</v>
      </c>
      <c r="I4918" s="11" t="s">
        <v>46226</v>
      </c>
      <c r="J4918" s="11" t="s">
        <v>46226</v>
      </c>
      <c r="K4918" s="9" t="s">
        <v>46224</v>
      </c>
      <c r="L4918" s="9" t="s">
        <v>18079</v>
      </c>
      <c r="M4918" s="9" t="s">
        <v>18051</v>
      </c>
      <c r="N4918" s="9" t="s">
        <v>18052</v>
      </c>
      <c r="O4918" s="9" t="s">
        <v>18534</v>
      </c>
      <c r="P4918" s="9" t="s">
        <v>17748</v>
      </c>
      <c r="Q4918" s="11" t="s">
        <v>17969</v>
      </c>
      <c r="R4918" s="11" t="s">
        <v>17969</v>
      </c>
      <c r="S4918" s="11" t="s">
        <v>17750</v>
      </c>
    </row>
    <row r="4919" spans="1:19" x14ac:dyDescent="0.2">
      <c r="A4919" s="11" t="s">
        <v>46227</v>
      </c>
      <c r="B4919" s="9" t="s">
        <v>46228</v>
      </c>
      <c r="C4919" s="9" t="s">
        <v>46229</v>
      </c>
      <c r="D4919" s="9" t="s">
        <v>46230</v>
      </c>
      <c r="E4919" s="9" t="s">
        <v>17740</v>
      </c>
      <c r="F4919" s="9" t="s">
        <v>46231</v>
      </c>
      <c r="G4919" s="9" t="s">
        <v>17740</v>
      </c>
      <c r="H4919" s="11" t="s">
        <v>11129</v>
      </c>
      <c r="I4919" s="11" t="s">
        <v>11128</v>
      </c>
      <c r="J4919" s="11" t="s">
        <v>11128</v>
      </c>
      <c r="K4919" s="9" t="s">
        <v>175</v>
      </c>
      <c r="L4919" s="9" t="s">
        <v>18439</v>
      </c>
      <c r="M4919" s="9" t="s">
        <v>17769</v>
      </c>
      <c r="N4919" s="9" t="s">
        <v>18171</v>
      </c>
      <c r="O4919" s="9" t="s">
        <v>18534</v>
      </c>
      <c r="P4919" s="9" t="s">
        <v>17748</v>
      </c>
      <c r="Q4919" s="11" t="s">
        <v>17984</v>
      </c>
      <c r="R4919" s="11" t="s">
        <v>17984</v>
      </c>
      <c r="S4919" s="11" t="s">
        <v>17750</v>
      </c>
    </row>
    <row r="4920" spans="1:19" x14ac:dyDescent="0.2">
      <c r="A4920" s="11" t="s">
        <v>46232</v>
      </c>
      <c r="B4920" s="9" t="s">
        <v>46233</v>
      </c>
      <c r="C4920" s="9" t="s">
        <v>46234</v>
      </c>
      <c r="D4920" s="9" t="s">
        <v>46235</v>
      </c>
      <c r="E4920" s="9" t="s">
        <v>17748</v>
      </c>
      <c r="F4920" s="9" t="s">
        <v>46236</v>
      </c>
      <c r="G4920" s="9" t="s">
        <v>17740</v>
      </c>
      <c r="H4920" s="11" t="s">
        <v>17741</v>
      </c>
      <c r="I4920" s="11" t="s">
        <v>46237</v>
      </c>
      <c r="J4920" s="11" t="s">
        <v>46237</v>
      </c>
      <c r="K4920" s="9" t="s">
        <v>30840</v>
      </c>
      <c r="L4920" s="9" t="s">
        <v>17759</v>
      </c>
      <c r="M4920" s="9" t="s">
        <v>17817</v>
      </c>
      <c r="N4920" s="9" t="s">
        <v>17746</v>
      </c>
      <c r="O4920" s="9" t="s">
        <v>25252</v>
      </c>
      <c r="P4920" s="9" t="s">
        <v>17748</v>
      </c>
      <c r="Q4920" s="11" t="s">
        <v>17780</v>
      </c>
      <c r="R4920" s="11" t="s">
        <v>17780</v>
      </c>
      <c r="S4920" s="11" t="s">
        <v>17750</v>
      </c>
    </row>
    <row r="4921" spans="1:19" x14ac:dyDescent="0.2">
      <c r="A4921" s="11" t="s">
        <v>46238</v>
      </c>
      <c r="B4921" s="9" t="s">
        <v>46239</v>
      </c>
      <c r="C4921" s="9" t="s">
        <v>46240</v>
      </c>
      <c r="D4921" s="9" t="s">
        <v>46241</v>
      </c>
      <c r="E4921" s="9" t="s">
        <v>17740</v>
      </c>
      <c r="F4921" s="9" t="s">
        <v>17741</v>
      </c>
      <c r="G4921" s="9" t="s">
        <v>17740</v>
      </c>
      <c r="H4921" s="11" t="s">
        <v>46242</v>
      </c>
      <c r="I4921" s="11" t="s">
        <v>11997</v>
      </c>
      <c r="J4921" s="11" t="s">
        <v>11997</v>
      </c>
      <c r="K4921" s="9" t="s">
        <v>11999</v>
      </c>
      <c r="L4921" s="9" t="s">
        <v>18158</v>
      </c>
      <c r="M4921" s="9" t="s">
        <v>17760</v>
      </c>
      <c r="N4921" s="9" t="s">
        <v>17746</v>
      </c>
      <c r="O4921" s="9" t="s">
        <v>1535</v>
      </c>
      <c r="P4921" s="9" t="s">
        <v>17748</v>
      </c>
      <c r="Q4921" s="11" t="s">
        <v>17780</v>
      </c>
      <c r="R4921" s="11" t="s">
        <v>17780</v>
      </c>
      <c r="S4921" s="11" t="s">
        <v>17750</v>
      </c>
    </row>
    <row r="4922" spans="1:19" x14ac:dyDescent="0.2">
      <c r="A4922" s="11" t="s">
        <v>46243</v>
      </c>
      <c r="B4922" s="9" t="s">
        <v>46244</v>
      </c>
      <c r="C4922" s="9" t="s">
        <v>46245</v>
      </c>
      <c r="D4922" s="9" t="s">
        <v>46246</v>
      </c>
      <c r="E4922" s="9" t="s">
        <v>17740</v>
      </c>
      <c r="F4922" s="9" t="s">
        <v>17741</v>
      </c>
      <c r="G4922" s="9" t="s">
        <v>17740</v>
      </c>
      <c r="H4922" s="11" t="s">
        <v>17741</v>
      </c>
      <c r="I4922" s="11" t="s">
        <v>46247</v>
      </c>
      <c r="J4922" s="11" t="s">
        <v>46247</v>
      </c>
      <c r="K4922" s="9" t="s">
        <v>46248</v>
      </c>
      <c r="L4922" s="9" t="s">
        <v>17759</v>
      </c>
      <c r="M4922" s="9" t="s">
        <v>17760</v>
      </c>
      <c r="N4922" s="9" t="s">
        <v>17746</v>
      </c>
      <c r="O4922" s="9" t="s">
        <v>46249</v>
      </c>
      <c r="P4922" s="9" t="s">
        <v>17748</v>
      </c>
      <c r="Q4922" s="11" t="s">
        <v>19899</v>
      </c>
      <c r="R4922" s="11" t="s">
        <v>19899</v>
      </c>
      <c r="S4922" s="11" t="s">
        <v>17750</v>
      </c>
    </row>
    <row r="4923" spans="1:19" x14ac:dyDescent="0.2">
      <c r="A4923" s="11" t="s">
        <v>46250</v>
      </c>
      <c r="B4923" s="9" t="s">
        <v>46251</v>
      </c>
      <c r="C4923" s="9" t="s">
        <v>46252</v>
      </c>
      <c r="D4923" s="9" t="s">
        <v>46253</v>
      </c>
      <c r="E4923" s="9" t="s">
        <v>17740</v>
      </c>
      <c r="F4923" s="9" t="s">
        <v>17741</v>
      </c>
      <c r="G4923" s="9" t="s">
        <v>17740</v>
      </c>
      <c r="H4923" s="11" t="s">
        <v>46254</v>
      </c>
      <c r="I4923" s="11" t="s">
        <v>46255</v>
      </c>
      <c r="J4923" s="11" t="s">
        <v>46255</v>
      </c>
      <c r="K4923" s="9" t="s">
        <v>46256</v>
      </c>
      <c r="L4923" s="9" t="s">
        <v>17759</v>
      </c>
      <c r="M4923" s="9" t="s">
        <v>17817</v>
      </c>
      <c r="N4923" s="9" t="s">
        <v>17746</v>
      </c>
      <c r="O4923" s="9" t="s">
        <v>21843</v>
      </c>
      <c r="P4923" s="9" t="s">
        <v>17748</v>
      </c>
      <c r="Q4923" s="11" t="s">
        <v>19770</v>
      </c>
      <c r="R4923" s="11" t="s">
        <v>19770</v>
      </c>
      <c r="S4923" s="11" t="s">
        <v>17750</v>
      </c>
    </row>
    <row r="4924" spans="1:19" x14ac:dyDescent="0.2">
      <c r="A4924" s="11" t="s">
        <v>46257</v>
      </c>
      <c r="B4924" s="9" t="s">
        <v>46258</v>
      </c>
      <c r="C4924" s="9" t="s">
        <v>46259</v>
      </c>
      <c r="D4924" s="9" t="s">
        <v>46260</v>
      </c>
      <c r="E4924" s="9" t="s">
        <v>17740</v>
      </c>
      <c r="F4924" s="9" t="s">
        <v>17741</v>
      </c>
      <c r="G4924" s="9" t="s">
        <v>17740</v>
      </c>
      <c r="H4924" s="11" t="s">
        <v>46261</v>
      </c>
      <c r="I4924" s="11" t="s">
        <v>46262</v>
      </c>
      <c r="J4924" s="11" t="s">
        <v>46262</v>
      </c>
      <c r="K4924" s="9" t="s">
        <v>23783</v>
      </c>
      <c r="L4924" s="9" t="s">
        <v>17759</v>
      </c>
      <c r="M4924" s="9" t="s">
        <v>17760</v>
      </c>
      <c r="N4924" s="9" t="s">
        <v>17746</v>
      </c>
      <c r="O4924" s="9" t="s">
        <v>17747</v>
      </c>
      <c r="P4924" s="9" t="s">
        <v>17748</v>
      </c>
      <c r="Q4924" s="11" t="s">
        <v>18243</v>
      </c>
      <c r="R4924" s="11" t="s">
        <v>18243</v>
      </c>
      <c r="S4924" s="11" t="s">
        <v>17750</v>
      </c>
    </row>
    <row r="4925" spans="1:19" x14ac:dyDescent="0.2">
      <c r="A4925" s="11" t="s">
        <v>46263</v>
      </c>
      <c r="B4925" s="9" t="s">
        <v>46264</v>
      </c>
      <c r="C4925" s="9" t="s">
        <v>46265</v>
      </c>
      <c r="D4925" s="9" t="s">
        <v>46266</v>
      </c>
      <c r="E4925" s="9" t="s">
        <v>17740</v>
      </c>
      <c r="F4925" s="9" t="s">
        <v>17741</v>
      </c>
      <c r="G4925" s="9" t="s">
        <v>17740</v>
      </c>
      <c r="H4925" s="11" t="s">
        <v>17741</v>
      </c>
      <c r="I4925" s="11" t="s">
        <v>9169</v>
      </c>
      <c r="J4925" s="11" t="s">
        <v>9169</v>
      </c>
      <c r="K4925" s="9" t="s">
        <v>46267</v>
      </c>
      <c r="L4925" s="9" t="s">
        <v>17759</v>
      </c>
      <c r="M4925" s="9" t="s">
        <v>17760</v>
      </c>
      <c r="N4925" s="9" t="s">
        <v>17746</v>
      </c>
      <c r="O4925" s="9" t="s">
        <v>20367</v>
      </c>
      <c r="P4925" s="9" t="s">
        <v>17748</v>
      </c>
      <c r="Q4925" s="11" t="s">
        <v>17784</v>
      </c>
      <c r="R4925" s="11" t="s">
        <v>17784</v>
      </c>
      <c r="S4925" s="11" t="s">
        <v>17750</v>
      </c>
    </row>
    <row r="4926" spans="1:19" x14ac:dyDescent="0.2">
      <c r="A4926" s="11" t="s">
        <v>46268</v>
      </c>
      <c r="B4926" s="9" t="s">
        <v>46269</v>
      </c>
      <c r="C4926" s="9" t="s">
        <v>46270</v>
      </c>
      <c r="D4926" s="9" t="s">
        <v>46271</v>
      </c>
      <c r="E4926" s="9" t="s">
        <v>17740</v>
      </c>
      <c r="F4926" s="9" t="s">
        <v>17741</v>
      </c>
      <c r="G4926" s="9" t="s">
        <v>17740</v>
      </c>
      <c r="H4926" s="11" t="s">
        <v>9161</v>
      </c>
      <c r="I4926" s="11" t="s">
        <v>9160</v>
      </c>
      <c r="J4926" s="11" t="s">
        <v>9160</v>
      </c>
      <c r="K4926" s="9" t="s">
        <v>18876</v>
      </c>
      <c r="L4926" s="9" t="s">
        <v>17759</v>
      </c>
      <c r="M4926" s="9" t="s">
        <v>17760</v>
      </c>
      <c r="N4926" s="9" t="s">
        <v>17746</v>
      </c>
      <c r="O4926" s="9" t="s">
        <v>21568</v>
      </c>
      <c r="P4926" s="9" t="s">
        <v>17748</v>
      </c>
      <c r="Q4926" s="11" t="s">
        <v>17784</v>
      </c>
      <c r="R4926" s="11" t="s">
        <v>17784</v>
      </c>
      <c r="S4926" s="11" t="s">
        <v>17750</v>
      </c>
    </row>
    <row r="4927" spans="1:19" x14ac:dyDescent="0.2">
      <c r="A4927" s="11" t="s">
        <v>46272</v>
      </c>
      <c r="B4927" s="9" t="s">
        <v>46273</v>
      </c>
      <c r="C4927" s="9" t="s">
        <v>46274</v>
      </c>
      <c r="D4927" s="9" t="s">
        <v>46275</v>
      </c>
      <c r="E4927" s="9" t="s">
        <v>17740</v>
      </c>
      <c r="F4927" s="9" t="s">
        <v>17741</v>
      </c>
      <c r="G4927" s="9" t="s">
        <v>17740</v>
      </c>
      <c r="H4927" s="11" t="s">
        <v>5798</v>
      </c>
      <c r="I4927" s="11" t="s">
        <v>5797</v>
      </c>
      <c r="J4927" s="11" t="s">
        <v>5797</v>
      </c>
      <c r="K4927" s="9" t="s">
        <v>17805</v>
      </c>
      <c r="L4927" s="9" t="s">
        <v>17744</v>
      </c>
      <c r="M4927" s="9" t="s">
        <v>34372</v>
      </c>
      <c r="N4927" s="9" t="s">
        <v>17746</v>
      </c>
      <c r="O4927" s="9" t="s">
        <v>4048</v>
      </c>
      <c r="P4927" s="9" t="s">
        <v>17748</v>
      </c>
      <c r="Q4927" s="11" t="s">
        <v>18080</v>
      </c>
      <c r="R4927" s="11" t="s">
        <v>18080</v>
      </c>
      <c r="S4927" s="11" t="s">
        <v>17750</v>
      </c>
    </row>
    <row r="4928" spans="1:19" x14ac:dyDescent="0.2">
      <c r="A4928" s="11" t="s">
        <v>46276</v>
      </c>
      <c r="B4928" s="9" t="s">
        <v>46277</v>
      </c>
      <c r="C4928" s="9" t="s">
        <v>46278</v>
      </c>
      <c r="D4928" s="9" t="s">
        <v>46279</v>
      </c>
      <c r="E4928" s="9" t="s">
        <v>17740</v>
      </c>
      <c r="F4928" s="9" t="s">
        <v>17741</v>
      </c>
      <c r="G4928" s="9" t="s">
        <v>17740</v>
      </c>
      <c r="H4928" s="11" t="s">
        <v>46280</v>
      </c>
      <c r="I4928" s="11" t="s">
        <v>46281</v>
      </c>
      <c r="J4928" s="11" t="s">
        <v>46281</v>
      </c>
      <c r="K4928" s="9" t="s">
        <v>46282</v>
      </c>
      <c r="L4928" s="9" t="s">
        <v>17759</v>
      </c>
      <c r="M4928" s="9" t="s">
        <v>17778</v>
      </c>
      <c r="N4928" s="9" t="s">
        <v>17746</v>
      </c>
      <c r="O4928" s="9" t="s">
        <v>3100</v>
      </c>
      <c r="P4928" s="9" t="s">
        <v>17748</v>
      </c>
      <c r="Q4928" s="11" t="s">
        <v>17780</v>
      </c>
      <c r="R4928" s="11" t="s">
        <v>17780</v>
      </c>
      <c r="S4928" s="11" t="s">
        <v>17750</v>
      </c>
    </row>
    <row r="4929" spans="1:19" x14ac:dyDescent="0.2">
      <c r="A4929" s="11" t="s">
        <v>46283</v>
      </c>
      <c r="B4929" s="9" t="s">
        <v>46284</v>
      </c>
      <c r="C4929" s="9" t="s">
        <v>46285</v>
      </c>
      <c r="D4929" s="9" t="s">
        <v>46286</v>
      </c>
      <c r="E4929" s="9" t="s">
        <v>17740</v>
      </c>
      <c r="F4929" s="9" t="s">
        <v>17741</v>
      </c>
      <c r="G4929" s="9" t="s">
        <v>17740</v>
      </c>
      <c r="H4929" s="11" t="s">
        <v>17741</v>
      </c>
      <c r="I4929" s="11" t="s">
        <v>4309</v>
      </c>
      <c r="J4929" s="11" t="s">
        <v>4309</v>
      </c>
      <c r="K4929" s="9" t="s">
        <v>27619</v>
      </c>
      <c r="L4929" s="9" t="s">
        <v>18158</v>
      </c>
      <c r="M4929" s="9" t="s">
        <v>17760</v>
      </c>
      <c r="N4929" s="9" t="s">
        <v>17746</v>
      </c>
      <c r="O4929" s="9" t="s">
        <v>3100</v>
      </c>
      <c r="P4929" s="9" t="s">
        <v>17748</v>
      </c>
      <c r="Q4929" s="11" t="s">
        <v>18059</v>
      </c>
      <c r="R4929" s="11" t="s">
        <v>18059</v>
      </c>
      <c r="S4929" s="11" t="s">
        <v>17750</v>
      </c>
    </row>
    <row r="4930" spans="1:19" x14ac:dyDescent="0.2">
      <c r="A4930" s="11" t="s">
        <v>46287</v>
      </c>
      <c r="B4930" s="9" t="s">
        <v>46288</v>
      </c>
      <c r="C4930" s="9" t="s">
        <v>46289</v>
      </c>
      <c r="D4930" s="9" t="s">
        <v>46290</v>
      </c>
      <c r="E4930" s="9" t="s">
        <v>17740</v>
      </c>
      <c r="F4930" s="9" t="s">
        <v>46291</v>
      </c>
      <c r="G4930" s="9" t="s">
        <v>17740</v>
      </c>
      <c r="H4930" s="11" t="s">
        <v>17741</v>
      </c>
      <c r="I4930" s="11" t="s">
        <v>46292</v>
      </c>
      <c r="J4930" s="11" t="s">
        <v>46292</v>
      </c>
      <c r="K4930" s="9" t="s">
        <v>17089</v>
      </c>
      <c r="L4930" s="9" t="s">
        <v>17759</v>
      </c>
      <c r="M4930" s="9" t="s">
        <v>17942</v>
      </c>
      <c r="N4930" s="9" t="s">
        <v>17746</v>
      </c>
      <c r="O4930" s="9" t="s">
        <v>19391</v>
      </c>
      <c r="P4930" s="9" t="s">
        <v>17748</v>
      </c>
      <c r="Q4930" s="11" t="s">
        <v>18364</v>
      </c>
      <c r="R4930" s="11" t="s">
        <v>18364</v>
      </c>
      <c r="S4930" s="11" t="s">
        <v>17750</v>
      </c>
    </row>
    <row r="4931" spans="1:19" x14ac:dyDescent="0.2">
      <c r="A4931" s="11" t="s">
        <v>46293</v>
      </c>
      <c r="B4931" s="9" t="s">
        <v>46294</v>
      </c>
      <c r="C4931" s="9" t="s">
        <v>46295</v>
      </c>
      <c r="D4931" s="9" t="s">
        <v>46296</v>
      </c>
      <c r="E4931" s="9" t="s">
        <v>17740</v>
      </c>
      <c r="F4931" s="9" t="s">
        <v>46297</v>
      </c>
      <c r="G4931" s="9" t="s">
        <v>17740</v>
      </c>
      <c r="H4931" s="11" t="s">
        <v>17741</v>
      </c>
      <c r="I4931" s="11" t="s">
        <v>4834</v>
      </c>
      <c r="J4931" s="11" t="s">
        <v>4834</v>
      </c>
      <c r="K4931" s="9" t="s">
        <v>18727</v>
      </c>
      <c r="L4931" s="9" t="s">
        <v>18158</v>
      </c>
      <c r="M4931" s="9" t="s">
        <v>17942</v>
      </c>
      <c r="N4931" s="9" t="s">
        <v>17746</v>
      </c>
      <c r="O4931" s="9" t="s">
        <v>46298</v>
      </c>
      <c r="P4931" s="9" t="s">
        <v>17748</v>
      </c>
      <c r="Q4931" s="11" t="s">
        <v>17771</v>
      </c>
      <c r="R4931" s="11" t="s">
        <v>17771</v>
      </c>
      <c r="S4931" s="11" t="s">
        <v>17750</v>
      </c>
    </row>
    <row r="4932" spans="1:19" x14ac:dyDescent="0.2">
      <c r="A4932" s="11" t="s">
        <v>46299</v>
      </c>
      <c r="B4932" s="9" t="s">
        <v>46300</v>
      </c>
      <c r="C4932" s="9" t="s">
        <v>46301</v>
      </c>
      <c r="D4932" s="9" t="s">
        <v>46302</v>
      </c>
      <c r="E4932" s="9" t="s">
        <v>17740</v>
      </c>
      <c r="F4932" s="9" t="s">
        <v>17741</v>
      </c>
      <c r="G4932" s="9" t="s">
        <v>17740</v>
      </c>
      <c r="H4932" s="11" t="s">
        <v>46303</v>
      </c>
      <c r="I4932" s="11" t="s">
        <v>46304</v>
      </c>
      <c r="J4932" s="11" t="s">
        <v>46304</v>
      </c>
      <c r="K4932" s="9" t="s">
        <v>32265</v>
      </c>
      <c r="L4932" s="9" t="s">
        <v>18158</v>
      </c>
      <c r="M4932" s="9" t="s">
        <v>17760</v>
      </c>
      <c r="N4932" s="9" t="s">
        <v>17746</v>
      </c>
      <c r="O4932" s="9" t="s">
        <v>20453</v>
      </c>
      <c r="P4932" s="9" t="s">
        <v>17748</v>
      </c>
      <c r="Q4932" s="11" t="s">
        <v>19082</v>
      </c>
      <c r="R4932" s="11" t="s">
        <v>19082</v>
      </c>
      <c r="S4932" s="11" t="s">
        <v>17750</v>
      </c>
    </row>
    <row r="4933" spans="1:19" x14ac:dyDescent="0.2">
      <c r="A4933" s="11" t="s">
        <v>46305</v>
      </c>
      <c r="B4933" s="9" t="s">
        <v>46306</v>
      </c>
      <c r="C4933" s="9" t="s">
        <v>46307</v>
      </c>
      <c r="D4933" s="9" t="s">
        <v>46308</v>
      </c>
      <c r="E4933" s="9" t="s">
        <v>17740</v>
      </c>
      <c r="F4933" s="9" t="s">
        <v>17741</v>
      </c>
      <c r="G4933" s="9" t="s">
        <v>17740</v>
      </c>
      <c r="H4933" s="11" t="s">
        <v>12002</v>
      </c>
      <c r="I4933" s="11" t="s">
        <v>12001</v>
      </c>
      <c r="J4933" s="11" t="s">
        <v>17741</v>
      </c>
      <c r="K4933" s="9" t="s">
        <v>46309</v>
      </c>
      <c r="L4933" s="9" t="s">
        <v>20976</v>
      </c>
      <c r="M4933" s="9" t="s">
        <v>18685</v>
      </c>
      <c r="N4933" s="9" t="s">
        <v>17746</v>
      </c>
      <c r="O4933" s="9" t="s">
        <v>25630</v>
      </c>
      <c r="P4933" s="9" t="s">
        <v>17748</v>
      </c>
      <c r="Q4933" s="11" t="s">
        <v>17762</v>
      </c>
      <c r="R4933" s="11" t="s">
        <v>17762</v>
      </c>
      <c r="S4933" s="11" t="s">
        <v>17750</v>
      </c>
    </row>
    <row r="4934" spans="1:19" x14ac:dyDescent="0.2">
      <c r="A4934" s="11" t="s">
        <v>46310</v>
      </c>
      <c r="B4934" s="9" t="s">
        <v>46311</v>
      </c>
      <c r="C4934" s="9" t="s">
        <v>46312</v>
      </c>
      <c r="D4934" s="9" t="s">
        <v>46313</v>
      </c>
      <c r="E4934" s="9" t="s">
        <v>17748</v>
      </c>
      <c r="F4934" s="9" t="s">
        <v>46314</v>
      </c>
      <c r="G4934" s="9" t="s">
        <v>17740</v>
      </c>
      <c r="H4934" s="11" t="s">
        <v>17741</v>
      </c>
      <c r="I4934" s="11" t="s">
        <v>4795</v>
      </c>
      <c r="J4934" s="11" t="s">
        <v>17741</v>
      </c>
      <c r="K4934" s="9" t="s">
        <v>46315</v>
      </c>
      <c r="L4934" s="9" t="s">
        <v>18411</v>
      </c>
      <c r="M4934" s="9" t="s">
        <v>17769</v>
      </c>
      <c r="N4934" s="9" t="s">
        <v>18171</v>
      </c>
      <c r="O4934" s="9" t="s">
        <v>18882</v>
      </c>
      <c r="P4934" s="9" t="s">
        <v>17748</v>
      </c>
      <c r="Q4934" s="11" t="s">
        <v>17792</v>
      </c>
      <c r="R4934" s="11" t="s">
        <v>17792</v>
      </c>
      <c r="S4934" s="11" t="s">
        <v>17750</v>
      </c>
    </row>
    <row r="4935" spans="1:19" x14ac:dyDescent="0.2">
      <c r="A4935" s="11" t="s">
        <v>46316</v>
      </c>
      <c r="B4935" s="9" t="s">
        <v>46317</v>
      </c>
      <c r="C4935" s="9" t="s">
        <v>46318</v>
      </c>
      <c r="D4935" s="9" t="s">
        <v>46319</v>
      </c>
      <c r="E4935" s="9" t="s">
        <v>17740</v>
      </c>
      <c r="F4935" s="9" t="s">
        <v>46320</v>
      </c>
      <c r="G4935" s="9" t="s">
        <v>17740</v>
      </c>
      <c r="H4935" s="11" t="s">
        <v>17741</v>
      </c>
      <c r="I4935" s="11" t="s">
        <v>3548</v>
      </c>
      <c r="J4935" s="11" t="s">
        <v>3548</v>
      </c>
      <c r="K4935" s="9" t="s">
        <v>46321</v>
      </c>
      <c r="L4935" s="9" t="s">
        <v>18169</v>
      </c>
      <c r="M4935" s="9" t="s">
        <v>17778</v>
      </c>
      <c r="N4935" s="9" t="s">
        <v>18171</v>
      </c>
      <c r="O4935" s="9" t="s">
        <v>18746</v>
      </c>
      <c r="P4935" s="9" t="s">
        <v>17748</v>
      </c>
      <c r="Q4935" s="11" t="s">
        <v>18251</v>
      </c>
      <c r="R4935" s="11" t="s">
        <v>18251</v>
      </c>
      <c r="S4935" s="11" t="s">
        <v>17750</v>
      </c>
    </row>
    <row r="4936" spans="1:19" x14ac:dyDescent="0.2">
      <c r="A4936" s="11" t="s">
        <v>46322</v>
      </c>
      <c r="B4936" s="9" t="s">
        <v>46323</v>
      </c>
      <c r="C4936" s="9" t="s">
        <v>46324</v>
      </c>
      <c r="D4936" s="9" t="s">
        <v>46325</v>
      </c>
      <c r="E4936" s="9" t="s">
        <v>17740</v>
      </c>
      <c r="F4936" s="9" t="s">
        <v>17741</v>
      </c>
      <c r="G4936" s="9" t="s">
        <v>17740</v>
      </c>
      <c r="H4936" s="11" t="s">
        <v>46326</v>
      </c>
      <c r="I4936" s="11" t="s">
        <v>46327</v>
      </c>
      <c r="J4936" s="11" t="s">
        <v>46327</v>
      </c>
      <c r="K4936" s="9" t="s">
        <v>46328</v>
      </c>
      <c r="L4936" s="9" t="s">
        <v>18058</v>
      </c>
      <c r="M4936" s="9" t="s">
        <v>32695</v>
      </c>
      <c r="N4936" s="9" t="s">
        <v>21551</v>
      </c>
      <c r="O4936" s="9" t="s">
        <v>32020</v>
      </c>
      <c r="P4936" s="9" t="s">
        <v>17748</v>
      </c>
      <c r="Q4936" s="11" t="s">
        <v>18059</v>
      </c>
      <c r="R4936" s="11" t="s">
        <v>18059</v>
      </c>
      <c r="S4936" s="11" t="s">
        <v>17750</v>
      </c>
    </row>
    <row r="4937" spans="1:19" x14ac:dyDescent="0.2">
      <c r="A4937" s="11" t="s">
        <v>46329</v>
      </c>
      <c r="B4937" s="9" t="s">
        <v>46330</v>
      </c>
      <c r="C4937" s="9" t="s">
        <v>46331</v>
      </c>
      <c r="D4937" s="9" t="s">
        <v>46332</v>
      </c>
      <c r="E4937" s="9" t="s">
        <v>17740</v>
      </c>
      <c r="F4937" s="9" t="s">
        <v>46333</v>
      </c>
      <c r="G4937" s="9" t="s">
        <v>17740</v>
      </c>
      <c r="H4937" s="11" t="s">
        <v>17741</v>
      </c>
      <c r="I4937" s="11" t="s">
        <v>46334</v>
      </c>
      <c r="J4937" s="11" t="s">
        <v>46334</v>
      </c>
      <c r="K4937" s="9" t="s">
        <v>46335</v>
      </c>
      <c r="L4937" s="9" t="s">
        <v>18058</v>
      </c>
      <c r="M4937" s="9" t="s">
        <v>17760</v>
      </c>
      <c r="N4937" s="9" t="s">
        <v>21551</v>
      </c>
      <c r="O4937" s="9" t="s">
        <v>17800</v>
      </c>
      <c r="P4937" s="9" t="s">
        <v>17748</v>
      </c>
      <c r="Q4937" s="11" t="s">
        <v>21569</v>
      </c>
      <c r="R4937" s="11" t="s">
        <v>21569</v>
      </c>
      <c r="S4937" s="11" t="s">
        <v>17750</v>
      </c>
    </row>
    <row r="4938" spans="1:19" x14ac:dyDescent="0.2">
      <c r="A4938" s="11" t="s">
        <v>46336</v>
      </c>
      <c r="B4938" s="9" t="s">
        <v>46337</v>
      </c>
      <c r="C4938" s="9" t="s">
        <v>46338</v>
      </c>
      <c r="D4938" s="9" t="s">
        <v>46339</v>
      </c>
      <c r="E4938" s="9" t="s">
        <v>17740</v>
      </c>
      <c r="F4938" s="9" t="s">
        <v>17741</v>
      </c>
      <c r="G4938" s="9" t="s">
        <v>17740</v>
      </c>
      <c r="H4938" s="11" t="s">
        <v>46340</v>
      </c>
      <c r="I4938" s="11" t="s">
        <v>46341</v>
      </c>
      <c r="J4938" s="11" t="s">
        <v>46341</v>
      </c>
      <c r="K4938" s="9" t="s">
        <v>24971</v>
      </c>
      <c r="L4938" s="9" t="s">
        <v>18058</v>
      </c>
      <c r="M4938" s="9" t="s">
        <v>18685</v>
      </c>
      <c r="N4938" s="9" t="s">
        <v>17746</v>
      </c>
      <c r="O4938" s="9" t="s">
        <v>5136</v>
      </c>
      <c r="P4938" s="9" t="s">
        <v>17748</v>
      </c>
      <c r="Q4938" s="11" t="s">
        <v>18798</v>
      </c>
      <c r="R4938" s="11" t="s">
        <v>18798</v>
      </c>
      <c r="S4938" s="11" t="s">
        <v>17750</v>
      </c>
    </row>
    <row r="4939" spans="1:19" x14ac:dyDescent="0.2">
      <c r="A4939" s="11" t="s">
        <v>46342</v>
      </c>
      <c r="B4939" s="9" t="s">
        <v>46343</v>
      </c>
      <c r="C4939" s="9" t="s">
        <v>46344</v>
      </c>
      <c r="D4939" s="9" t="s">
        <v>46345</v>
      </c>
      <c r="E4939" s="9" t="s">
        <v>17740</v>
      </c>
      <c r="F4939" s="9" t="s">
        <v>17741</v>
      </c>
      <c r="G4939" s="9" t="s">
        <v>17740</v>
      </c>
      <c r="H4939" s="11" t="s">
        <v>46346</v>
      </c>
      <c r="I4939" s="11" t="s">
        <v>46347</v>
      </c>
      <c r="J4939" s="11" t="s">
        <v>46347</v>
      </c>
      <c r="K4939" s="9" t="s">
        <v>46348</v>
      </c>
      <c r="L4939" s="9" t="s">
        <v>18058</v>
      </c>
      <c r="M4939" s="9" t="s">
        <v>19168</v>
      </c>
      <c r="N4939" s="9" t="s">
        <v>21551</v>
      </c>
      <c r="O4939" s="9" t="s">
        <v>18331</v>
      </c>
      <c r="P4939" s="9" t="s">
        <v>17748</v>
      </c>
      <c r="Q4939" s="11" t="s">
        <v>18251</v>
      </c>
      <c r="R4939" s="11" t="s">
        <v>18251</v>
      </c>
      <c r="S4939" s="11" t="s">
        <v>17750</v>
      </c>
    </row>
    <row r="4940" spans="1:19" x14ac:dyDescent="0.2">
      <c r="A4940" s="11" t="s">
        <v>46349</v>
      </c>
      <c r="B4940" s="9" t="s">
        <v>46350</v>
      </c>
      <c r="C4940" s="9" t="s">
        <v>46351</v>
      </c>
      <c r="D4940" s="9" t="s">
        <v>46352</v>
      </c>
      <c r="E4940" s="9" t="s">
        <v>17740</v>
      </c>
      <c r="F4940" s="9" t="s">
        <v>17741</v>
      </c>
      <c r="G4940" s="9" t="s">
        <v>17740</v>
      </c>
      <c r="H4940" s="11" t="s">
        <v>46353</v>
      </c>
      <c r="I4940" s="11" t="s">
        <v>46354</v>
      </c>
      <c r="J4940" s="11" t="s">
        <v>46354</v>
      </c>
      <c r="K4940" s="9" t="s">
        <v>46355</v>
      </c>
      <c r="L4940" s="9" t="s">
        <v>18058</v>
      </c>
      <c r="M4940" s="9" t="s">
        <v>18226</v>
      </c>
      <c r="N4940" s="9" t="s">
        <v>17746</v>
      </c>
      <c r="O4940" s="9" t="s">
        <v>46356</v>
      </c>
      <c r="P4940" s="9" t="s">
        <v>17748</v>
      </c>
      <c r="Q4940" s="11" t="s">
        <v>18147</v>
      </c>
      <c r="R4940" s="11" t="s">
        <v>18147</v>
      </c>
      <c r="S4940" s="11" t="s">
        <v>17750</v>
      </c>
    </row>
    <row r="4941" spans="1:19" x14ac:dyDescent="0.2">
      <c r="A4941" s="11" t="s">
        <v>46357</v>
      </c>
      <c r="B4941" s="9" t="s">
        <v>46358</v>
      </c>
      <c r="C4941" s="9" t="s">
        <v>46359</v>
      </c>
      <c r="D4941" s="9" t="s">
        <v>46360</v>
      </c>
      <c r="E4941" s="9" t="s">
        <v>17740</v>
      </c>
      <c r="F4941" s="9" t="s">
        <v>46361</v>
      </c>
      <c r="G4941" s="9" t="s">
        <v>17740</v>
      </c>
      <c r="H4941" s="11" t="s">
        <v>46362</v>
      </c>
      <c r="I4941" s="11" t="s">
        <v>8268</v>
      </c>
      <c r="J4941" s="11" t="s">
        <v>8268</v>
      </c>
      <c r="K4941" s="9" t="s">
        <v>46363</v>
      </c>
      <c r="L4941" s="9" t="s">
        <v>18058</v>
      </c>
      <c r="M4941" s="9" t="s">
        <v>17760</v>
      </c>
      <c r="N4941" s="9" t="s">
        <v>17746</v>
      </c>
      <c r="O4941" s="9" t="s">
        <v>17834</v>
      </c>
      <c r="P4941" s="9" t="s">
        <v>17748</v>
      </c>
      <c r="Q4941" s="11" t="s">
        <v>18356</v>
      </c>
      <c r="R4941" s="11" t="s">
        <v>18356</v>
      </c>
      <c r="S4941" s="11" t="s">
        <v>17750</v>
      </c>
    </row>
    <row r="4942" spans="1:19" x14ac:dyDescent="0.2">
      <c r="A4942" s="11" t="s">
        <v>46364</v>
      </c>
      <c r="B4942" s="9" t="s">
        <v>46365</v>
      </c>
      <c r="C4942" s="9" t="s">
        <v>46366</v>
      </c>
      <c r="D4942" s="9" t="s">
        <v>46367</v>
      </c>
      <c r="E4942" s="9" t="s">
        <v>17740</v>
      </c>
      <c r="F4942" s="9" t="s">
        <v>17741</v>
      </c>
      <c r="G4942" s="9" t="s">
        <v>17740</v>
      </c>
      <c r="H4942" s="11" t="s">
        <v>46368</v>
      </c>
      <c r="I4942" s="11" t="s">
        <v>7103</v>
      </c>
      <c r="J4942" s="11" t="s">
        <v>7103</v>
      </c>
      <c r="K4942" s="9" t="s">
        <v>23382</v>
      </c>
      <c r="L4942" s="9" t="s">
        <v>18058</v>
      </c>
      <c r="M4942" s="9" t="s">
        <v>17769</v>
      </c>
      <c r="N4942" s="9" t="s">
        <v>21551</v>
      </c>
      <c r="O4942" s="9" t="s">
        <v>18534</v>
      </c>
      <c r="P4942" s="9" t="s">
        <v>17748</v>
      </c>
      <c r="Q4942" s="11" t="s">
        <v>17937</v>
      </c>
      <c r="R4942" s="11" t="s">
        <v>17937</v>
      </c>
      <c r="S4942" s="11" t="s">
        <v>17750</v>
      </c>
    </row>
    <row r="4943" spans="1:19" x14ac:dyDescent="0.2">
      <c r="A4943" s="11" t="s">
        <v>46369</v>
      </c>
      <c r="B4943" s="9" t="s">
        <v>46370</v>
      </c>
      <c r="C4943" s="9" t="s">
        <v>46371</v>
      </c>
      <c r="D4943" s="9" t="s">
        <v>46372</v>
      </c>
      <c r="E4943" s="9" t="s">
        <v>17740</v>
      </c>
      <c r="F4943" s="9" t="s">
        <v>17741</v>
      </c>
      <c r="G4943" s="9" t="s">
        <v>17740</v>
      </c>
      <c r="H4943" s="11" t="s">
        <v>46373</v>
      </c>
      <c r="I4943" s="11" t="s">
        <v>46374</v>
      </c>
      <c r="J4943" s="11" t="s">
        <v>46374</v>
      </c>
      <c r="K4943" s="9" t="s">
        <v>46375</v>
      </c>
      <c r="L4943" s="9" t="s">
        <v>18058</v>
      </c>
      <c r="M4943" s="9" t="s">
        <v>17760</v>
      </c>
      <c r="N4943" s="9" t="s">
        <v>21551</v>
      </c>
      <c r="O4943" s="9" t="s">
        <v>7317</v>
      </c>
      <c r="P4943" s="9" t="s">
        <v>17748</v>
      </c>
      <c r="Q4943" s="11" t="s">
        <v>17819</v>
      </c>
      <c r="R4943" s="11" t="s">
        <v>17819</v>
      </c>
      <c r="S4943" s="11" t="s">
        <v>17750</v>
      </c>
    </row>
    <row r="4944" spans="1:19" x14ac:dyDescent="0.2">
      <c r="A4944" s="11" t="s">
        <v>46376</v>
      </c>
      <c r="B4944" s="9" t="s">
        <v>46377</v>
      </c>
      <c r="C4944" s="9" t="s">
        <v>46378</v>
      </c>
      <c r="D4944" s="9" t="s">
        <v>46379</v>
      </c>
      <c r="E4944" s="9" t="s">
        <v>17740</v>
      </c>
      <c r="F4944" s="9" t="s">
        <v>17741</v>
      </c>
      <c r="G4944" s="9" t="s">
        <v>17740</v>
      </c>
      <c r="H4944" s="11" t="s">
        <v>46380</v>
      </c>
      <c r="I4944" s="11" t="s">
        <v>46381</v>
      </c>
      <c r="J4944" s="11" t="s">
        <v>46381</v>
      </c>
      <c r="K4944" s="9" t="s">
        <v>46382</v>
      </c>
      <c r="L4944" s="9" t="s">
        <v>46383</v>
      </c>
      <c r="M4944" s="9" t="s">
        <v>17778</v>
      </c>
      <c r="N4944" s="9" t="s">
        <v>18171</v>
      </c>
      <c r="O4944" s="9" t="s">
        <v>19659</v>
      </c>
      <c r="P4944" s="9" t="s">
        <v>17748</v>
      </c>
      <c r="Q4944" s="11" t="s">
        <v>18341</v>
      </c>
      <c r="R4944" s="11" t="s">
        <v>18341</v>
      </c>
      <c r="S4944" s="11" t="s">
        <v>17750</v>
      </c>
    </row>
    <row r="4945" spans="1:19" x14ac:dyDescent="0.2">
      <c r="A4945" s="11" t="s">
        <v>46384</v>
      </c>
      <c r="B4945" s="9" t="s">
        <v>46385</v>
      </c>
      <c r="C4945" s="9" t="s">
        <v>46386</v>
      </c>
      <c r="D4945" s="9" t="s">
        <v>46387</v>
      </c>
      <c r="E4945" s="9" t="s">
        <v>17740</v>
      </c>
      <c r="F4945" s="9" t="s">
        <v>46388</v>
      </c>
      <c r="G4945" s="9" t="s">
        <v>17740</v>
      </c>
      <c r="H4945" s="11" t="s">
        <v>3577</v>
      </c>
      <c r="I4945" s="11" t="s">
        <v>3576</v>
      </c>
      <c r="J4945" s="11" t="s">
        <v>3576</v>
      </c>
      <c r="K4945" s="9" t="s">
        <v>18438</v>
      </c>
      <c r="L4945" s="9" t="s">
        <v>18439</v>
      </c>
      <c r="M4945" s="9" t="s">
        <v>34665</v>
      </c>
      <c r="N4945" s="9" t="s">
        <v>18171</v>
      </c>
      <c r="O4945" s="9" t="s">
        <v>17993</v>
      </c>
      <c r="P4945" s="9" t="s">
        <v>17748</v>
      </c>
      <c r="Q4945" s="11" t="s">
        <v>19983</v>
      </c>
      <c r="R4945" s="11" t="s">
        <v>19983</v>
      </c>
      <c r="S4945" s="11" t="s">
        <v>17750</v>
      </c>
    </row>
    <row r="4946" spans="1:19" x14ac:dyDescent="0.2">
      <c r="A4946" s="11" t="s">
        <v>46389</v>
      </c>
      <c r="B4946" s="9" t="s">
        <v>46390</v>
      </c>
      <c r="C4946" s="9" t="s">
        <v>46391</v>
      </c>
      <c r="D4946" s="9" t="s">
        <v>46392</v>
      </c>
      <c r="E4946" s="9" t="s">
        <v>17740</v>
      </c>
      <c r="F4946" s="9" t="s">
        <v>46393</v>
      </c>
      <c r="G4946" s="9" t="s">
        <v>17740</v>
      </c>
      <c r="H4946" s="11" t="s">
        <v>46394</v>
      </c>
      <c r="I4946" s="11" t="s">
        <v>46395</v>
      </c>
      <c r="J4946" s="11" t="s">
        <v>46395</v>
      </c>
      <c r="K4946" s="9" t="s">
        <v>46396</v>
      </c>
      <c r="L4946" s="9" t="s">
        <v>46397</v>
      </c>
      <c r="M4946" s="9" t="s">
        <v>17992</v>
      </c>
      <c r="N4946" s="9" t="s">
        <v>18171</v>
      </c>
      <c r="O4946" s="9" t="s">
        <v>18548</v>
      </c>
      <c r="P4946" s="9" t="s">
        <v>17748</v>
      </c>
      <c r="Q4946" s="11" t="s">
        <v>20251</v>
      </c>
      <c r="R4946" s="11" t="s">
        <v>20251</v>
      </c>
      <c r="S4946" s="11" t="s">
        <v>17750</v>
      </c>
    </row>
    <row r="4947" spans="1:19" x14ac:dyDescent="0.2">
      <c r="A4947" s="11" t="s">
        <v>46398</v>
      </c>
      <c r="B4947" s="9" t="s">
        <v>46399</v>
      </c>
      <c r="C4947" s="9" t="s">
        <v>46400</v>
      </c>
      <c r="D4947" s="9" t="s">
        <v>46401</v>
      </c>
      <c r="E4947" s="9" t="s">
        <v>17748</v>
      </c>
      <c r="F4947" s="9" t="s">
        <v>46402</v>
      </c>
      <c r="G4947" s="9" t="s">
        <v>17740</v>
      </c>
      <c r="H4947" s="11" t="s">
        <v>17741</v>
      </c>
      <c r="I4947" s="11" t="s">
        <v>3658</v>
      </c>
      <c r="J4947" s="11" t="s">
        <v>3658</v>
      </c>
      <c r="K4947" s="9" t="s">
        <v>46403</v>
      </c>
      <c r="L4947" s="9" t="s">
        <v>18058</v>
      </c>
      <c r="M4947" s="9" t="s">
        <v>37465</v>
      </c>
      <c r="N4947" s="9" t="s">
        <v>21551</v>
      </c>
      <c r="O4947" s="9" t="s">
        <v>17993</v>
      </c>
      <c r="P4947" s="9" t="s">
        <v>17748</v>
      </c>
      <c r="Q4947" s="11" t="s">
        <v>18147</v>
      </c>
      <c r="R4947" s="11" t="s">
        <v>18147</v>
      </c>
      <c r="S4947" s="11" t="s">
        <v>17750</v>
      </c>
    </row>
    <row r="4948" spans="1:19" x14ac:dyDescent="0.2">
      <c r="A4948" s="11" t="s">
        <v>46404</v>
      </c>
      <c r="B4948" s="9" t="s">
        <v>46405</v>
      </c>
      <c r="C4948" s="9" t="s">
        <v>46406</v>
      </c>
      <c r="D4948" s="9" t="s">
        <v>46407</v>
      </c>
      <c r="E4948" s="9" t="s">
        <v>17740</v>
      </c>
      <c r="F4948" s="9" t="s">
        <v>17741</v>
      </c>
      <c r="G4948" s="9" t="s">
        <v>17740</v>
      </c>
      <c r="H4948" s="11" t="s">
        <v>17741</v>
      </c>
      <c r="I4948" s="11" t="s">
        <v>46408</v>
      </c>
      <c r="J4948" s="11" t="s">
        <v>46408</v>
      </c>
      <c r="K4948" s="9" t="s">
        <v>46409</v>
      </c>
      <c r="L4948" s="9" t="s">
        <v>18058</v>
      </c>
      <c r="M4948" s="9" t="s">
        <v>27470</v>
      </c>
      <c r="N4948" s="9" t="s">
        <v>21551</v>
      </c>
      <c r="O4948" s="9" t="s">
        <v>17800</v>
      </c>
      <c r="P4948" s="9" t="s">
        <v>17748</v>
      </c>
      <c r="Q4948" s="11" t="s">
        <v>18813</v>
      </c>
      <c r="R4948" s="11" t="s">
        <v>18813</v>
      </c>
      <c r="S4948" s="11" t="s">
        <v>17750</v>
      </c>
    </row>
    <row r="4949" spans="1:19" x14ac:dyDescent="0.2">
      <c r="A4949" s="11" t="s">
        <v>46410</v>
      </c>
      <c r="B4949" s="9" t="s">
        <v>3701</v>
      </c>
      <c r="C4949" s="9" t="s">
        <v>46411</v>
      </c>
      <c r="D4949" s="9" t="s">
        <v>46412</v>
      </c>
      <c r="E4949" s="9" t="s">
        <v>17740</v>
      </c>
      <c r="F4949" s="9" t="s">
        <v>17741</v>
      </c>
      <c r="G4949" s="9" t="s">
        <v>17740</v>
      </c>
      <c r="H4949" s="11" t="s">
        <v>46413</v>
      </c>
      <c r="I4949" s="11" t="s">
        <v>3702</v>
      </c>
      <c r="J4949" s="11" t="s">
        <v>3702</v>
      </c>
      <c r="K4949" s="9" t="s">
        <v>3703</v>
      </c>
      <c r="L4949" s="9" t="s">
        <v>18058</v>
      </c>
      <c r="M4949" s="9" t="s">
        <v>22301</v>
      </c>
      <c r="N4949" s="9" t="s">
        <v>17746</v>
      </c>
      <c r="O4949" s="9" t="s">
        <v>18548</v>
      </c>
      <c r="P4949" s="9" t="s">
        <v>17748</v>
      </c>
      <c r="Q4949" s="11" t="s">
        <v>18813</v>
      </c>
      <c r="R4949" s="11" t="s">
        <v>18813</v>
      </c>
      <c r="S4949" s="11" t="s">
        <v>17750</v>
      </c>
    </row>
    <row r="4950" spans="1:19" x14ac:dyDescent="0.2">
      <c r="A4950" s="11" t="s">
        <v>46414</v>
      </c>
      <c r="B4950" s="9" t="s">
        <v>46415</v>
      </c>
      <c r="C4950" s="9" t="s">
        <v>46416</v>
      </c>
      <c r="D4950" s="9" t="s">
        <v>46417</v>
      </c>
      <c r="E4950" s="9" t="s">
        <v>17740</v>
      </c>
      <c r="F4950" s="9" t="s">
        <v>17741</v>
      </c>
      <c r="G4950" s="9" t="s">
        <v>17740</v>
      </c>
      <c r="H4950" s="11" t="s">
        <v>46418</v>
      </c>
      <c r="I4950" s="11" t="s">
        <v>46419</v>
      </c>
      <c r="J4950" s="11" t="s">
        <v>46419</v>
      </c>
      <c r="K4950" s="9" t="s">
        <v>46420</v>
      </c>
      <c r="L4950" s="9" t="s">
        <v>46421</v>
      </c>
      <c r="M4950" s="9" t="s">
        <v>17992</v>
      </c>
      <c r="N4950" s="9" t="s">
        <v>18171</v>
      </c>
      <c r="O4950" s="9" t="s">
        <v>46422</v>
      </c>
      <c r="P4950" s="9" t="s">
        <v>17748</v>
      </c>
      <c r="Q4950" s="11" t="s">
        <v>18470</v>
      </c>
      <c r="R4950" s="11" t="s">
        <v>18470</v>
      </c>
      <c r="S4950" s="11" t="s">
        <v>17750</v>
      </c>
    </row>
    <row r="4951" spans="1:19" x14ac:dyDescent="0.2">
      <c r="A4951" s="11" t="s">
        <v>46423</v>
      </c>
      <c r="B4951" s="9" t="s">
        <v>46424</v>
      </c>
      <c r="C4951" s="9" t="s">
        <v>46425</v>
      </c>
      <c r="D4951" s="9" t="s">
        <v>46426</v>
      </c>
      <c r="E4951" s="9" t="s">
        <v>17740</v>
      </c>
      <c r="F4951" s="9" t="s">
        <v>46427</v>
      </c>
      <c r="G4951" s="9" t="s">
        <v>17740</v>
      </c>
      <c r="H4951" s="11" t="s">
        <v>46428</v>
      </c>
      <c r="I4951" s="11" t="s">
        <v>46429</v>
      </c>
      <c r="J4951" s="11" t="s">
        <v>46429</v>
      </c>
      <c r="K4951" s="9" t="s">
        <v>18438</v>
      </c>
      <c r="L4951" s="9" t="s">
        <v>18439</v>
      </c>
      <c r="M4951" s="9" t="s">
        <v>25300</v>
      </c>
      <c r="N4951" s="9" t="s">
        <v>18171</v>
      </c>
      <c r="O4951" s="9" t="s">
        <v>17848</v>
      </c>
      <c r="P4951" s="9" t="s">
        <v>17748</v>
      </c>
      <c r="Q4951" s="11" t="s">
        <v>23398</v>
      </c>
      <c r="R4951" s="11" t="s">
        <v>23398</v>
      </c>
      <c r="S4951" s="11" t="s">
        <v>17750</v>
      </c>
    </row>
    <row r="4952" spans="1:19" x14ac:dyDescent="0.2">
      <c r="A4952" s="11" t="s">
        <v>46430</v>
      </c>
      <c r="B4952" s="9" t="s">
        <v>46431</v>
      </c>
      <c r="C4952" s="9" t="s">
        <v>46432</v>
      </c>
      <c r="D4952" s="9" t="s">
        <v>46433</v>
      </c>
      <c r="E4952" s="9" t="s">
        <v>17740</v>
      </c>
      <c r="F4952" s="9" t="s">
        <v>46434</v>
      </c>
      <c r="G4952" s="9" t="s">
        <v>17740</v>
      </c>
      <c r="H4952" s="11" t="s">
        <v>17741</v>
      </c>
      <c r="I4952" s="11" t="s">
        <v>46435</v>
      </c>
      <c r="J4952" s="11" t="s">
        <v>46435</v>
      </c>
      <c r="K4952" s="9" t="s">
        <v>46436</v>
      </c>
      <c r="L4952" s="9" t="s">
        <v>18439</v>
      </c>
      <c r="M4952" s="9" t="s">
        <v>17741</v>
      </c>
      <c r="N4952" s="9" t="s">
        <v>17746</v>
      </c>
      <c r="O4952" s="9" t="s">
        <v>29630</v>
      </c>
      <c r="P4952" s="9" t="s">
        <v>17748</v>
      </c>
      <c r="Q4952" s="11" t="s">
        <v>17808</v>
      </c>
      <c r="R4952" s="11" t="s">
        <v>17808</v>
      </c>
      <c r="S4952" s="11" t="s">
        <v>17750</v>
      </c>
    </row>
    <row r="4953" spans="1:19" x14ac:dyDescent="0.2">
      <c r="A4953" s="11" t="s">
        <v>46437</v>
      </c>
      <c r="B4953" s="9" t="s">
        <v>46438</v>
      </c>
      <c r="C4953" s="9" t="s">
        <v>46439</v>
      </c>
      <c r="D4953" s="9" t="s">
        <v>46440</v>
      </c>
      <c r="E4953" s="9" t="s">
        <v>17740</v>
      </c>
      <c r="F4953" s="9" t="s">
        <v>17741</v>
      </c>
      <c r="G4953" s="9" t="s">
        <v>17740</v>
      </c>
      <c r="H4953" s="11" t="s">
        <v>17741</v>
      </c>
      <c r="I4953" s="11" t="s">
        <v>46441</v>
      </c>
      <c r="J4953" s="11" t="s">
        <v>46441</v>
      </c>
      <c r="K4953" s="9" t="s">
        <v>13004</v>
      </c>
      <c r="L4953" s="9" t="s">
        <v>18439</v>
      </c>
      <c r="M4953" s="9" t="s">
        <v>17817</v>
      </c>
      <c r="N4953" s="9" t="s">
        <v>18171</v>
      </c>
      <c r="O4953" s="9" t="s">
        <v>17800</v>
      </c>
      <c r="P4953" s="9" t="s">
        <v>17748</v>
      </c>
      <c r="Q4953" s="11" t="s">
        <v>19335</v>
      </c>
      <c r="R4953" s="11" t="s">
        <v>19335</v>
      </c>
      <c r="S4953" s="11" t="s">
        <v>17750</v>
      </c>
    </row>
    <row r="4954" spans="1:19" x14ac:dyDescent="0.2">
      <c r="A4954" s="11" t="s">
        <v>46442</v>
      </c>
      <c r="B4954" s="9" t="s">
        <v>46443</v>
      </c>
      <c r="C4954" s="9" t="s">
        <v>46444</v>
      </c>
      <c r="D4954" s="9" t="s">
        <v>46445</v>
      </c>
      <c r="E4954" s="9" t="s">
        <v>17740</v>
      </c>
      <c r="F4954" s="9" t="s">
        <v>17741</v>
      </c>
      <c r="G4954" s="9" t="s">
        <v>17740</v>
      </c>
      <c r="H4954" s="11" t="s">
        <v>17741</v>
      </c>
      <c r="I4954" s="11" t="s">
        <v>46446</v>
      </c>
      <c r="J4954" s="11" t="s">
        <v>46446</v>
      </c>
      <c r="K4954" s="9" t="s">
        <v>46447</v>
      </c>
      <c r="L4954" s="9" t="s">
        <v>18411</v>
      </c>
      <c r="M4954" s="9" t="s">
        <v>17760</v>
      </c>
      <c r="N4954" s="9" t="s">
        <v>18171</v>
      </c>
      <c r="O4954" s="9" t="s">
        <v>1675</v>
      </c>
      <c r="P4954" s="9" t="s">
        <v>17748</v>
      </c>
      <c r="Q4954" s="11" t="s">
        <v>18002</v>
      </c>
      <c r="R4954" s="11" t="s">
        <v>18002</v>
      </c>
      <c r="S4954" s="11" t="s">
        <v>17750</v>
      </c>
    </row>
    <row r="4955" spans="1:19" x14ac:dyDescent="0.2">
      <c r="A4955" s="11" t="s">
        <v>46448</v>
      </c>
      <c r="B4955" s="9" t="s">
        <v>46449</v>
      </c>
      <c r="C4955" s="9" t="s">
        <v>46450</v>
      </c>
      <c r="D4955" s="9" t="s">
        <v>46451</v>
      </c>
      <c r="E4955" s="9" t="s">
        <v>17740</v>
      </c>
      <c r="F4955" s="9" t="s">
        <v>17741</v>
      </c>
      <c r="G4955" s="9" t="s">
        <v>17740</v>
      </c>
      <c r="H4955" s="11" t="s">
        <v>46452</v>
      </c>
      <c r="I4955" s="11" t="s">
        <v>46453</v>
      </c>
      <c r="J4955" s="11" t="s">
        <v>46453</v>
      </c>
      <c r="K4955" s="9" t="s">
        <v>46454</v>
      </c>
      <c r="L4955" s="9" t="s">
        <v>46455</v>
      </c>
      <c r="M4955" s="9" t="s">
        <v>24813</v>
      </c>
      <c r="N4955" s="9" t="s">
        <v>18171</v>
      </c>
      <c r="O4955" s="9" t="s">
        <v>1675</v>
      </c>
      <c r="P4955" s="9" t="s">
        <v>17748</v>
      </c>
      <c r="Q4955" s="11" t="s">
        <v>18433</v>
      </c>
      <c r="R4955" s="11" t="s">
        <v>18433</v>
      </c>
      <c r="S4955" s="11" t="s">
        <v>17750</v>
      </c>
    </row>
    <row r="4956" spans="1:19" x14ac:dyDescent="0.2">
      <c r="A4956" s="11" t="s">
        <v>46456</v>
      </c>
      <c r="B4956" s="9" t="s">
        <v>46457</v>
      </c>
      <c r="C4956" s="9" t="s">
        <v>46458</v>
      </c>
      <c r="D4956" s="9" t="s">
        <v>46459</v>
      </c>
      <c r="E4956" s="9" t="s">
        <v>17740</v>
      </c>
      <c r="F4956" s="9" t="s">
        <v>17741</v>
      </c>
      <c r="G4956" s="9" t="s">
        <v>17740</v>
      </c>
      <c r="H4956" s="11" t="s">
        <v>17741</v>
      </c>
      <c r="I4956" s="11" t="s">
        <v>4497</v>
      </c>
      <c r="J4956" s="11" t="s">
        <v>4497</v>
      </c>
      <c r="K4956" s="9" t="s">
        <v>46460</v>
      </c>
      <c r="L4956" s="9" t="s">
        <v>18411</v>
      </c>
      <c r="M4956" s="9" t="s">
        <v>17769</v>
      </c>
      <c r="N4956" s="9" t="s">
        <v>17746</v>
      </c>
      <c r="O4956" s="9" t="s">
        <v>17993</v>
      </c>
      <c r="P4956" s="9" t="s">
        <v>17748</v>
      </c>
      <c r="Q4956" s="11" t="s">
        <v>18178</v>
      </c>
      <c r="R4956" s="11" t="s">
        <v>18178</v>
      </c>
      <c r="S4956" s="11" t="s">
        <v>17750</v>
      </c>
    </row>
    <row r="4957" spans="1:19" x14ac:dyDescent="0.2">
      <c r="A4957" s="11" t="s">
        <v>46461</v>
      </c>
      <c r="B4957" s="9" t="s">
        <v>46462</v>
      </c>
      <c r="C4957" s="9" t="s">
        <v>46463</v>
      </c>
      <c r="D4957" s="9" t="s">
        <v>46464</v>
      </c>
      <c r="E4957" s="9" t="s">
        <v>17740</v>
      </c>
      <c r="F4957" s="9" t="s">
        <v>46465</v>
      </c>
      <c r="G4957" s="9" t="s">
        <v>17740</v>
      </c>
      <c r="H4957" s="11" t="s">
        <v>46466</v>
      </c>
      <c r="I4957" s="11" t="s">
        <v>46467</v>
      </c>
      <c r="J4957" s="11" t="s">
        <v>46467</v>
      </c>
      <c r="K4957" s="9" t="s">
        <v>46468</v>
      </c>
      <c r="L4957" s="9" t="s">
        <v>18169</v>
      </c>
      <c r="M4957" s="9" t="s">
        <v>21317</v>
      </c>
      <c r="N4957" s="9" t="s">
        <v>18171</v>
      </c>
      <c r="O4957" s="9" t="s">
        <v>17993</v>
      </c>
      <c r="P4957" s="9" t="s">
        <v>17748</v>
      </c>
      <c r="Q4957" s="11" t="s">
        <v>18600</v>
      </c>
      <c r="R4957" s="11" t="s">
        <v>18600</v>
      </c>
      <c r="S4957" s="11" t="s">
        <v>17750</v>
      </c>
    </row>
    <row r="4958" spans="1:19" x14ac:dyDescent="0.2">
      <c r="A4958" s="11" t="s">
        <v>46469</v>
      </c>
      <c r="B4958" s="9" t="s">
        <v>46470</v>
      </c>
      <c r="C4958" s="9" t="s">
        <v>46471</v>
      </c>
      <c r="D4958" s="9" t="s">
        <v>46472</v>
      </c>
      <c r="E4958" s="9" t="s">
        <v>17740</v>
      </c>
      <c r="F4958" s="9" t="s">
        <v>46473</v>
      </c>
      <c r="G4958" s="9" t="s">
        <v>17740</v>
      </c>
      <c r="H4958" s="11" t="s">
        <v>17741</v>
      </c>
      <c r="I4958" s="11" t="s">
        <v>46474</v>
      </c>
      <c r="J4958" s="11" t="s">
        <v>46474</v>
      </c>
      <c r="K4958" s="9" t="s">
        <v>46475</v>
      </c>
      <c r="L4958" s="9" t="s">
        <v>18439</v>
      </c>
      <c r="M4958" s="9" t="s">
        <v>17760</v>
      </c>
      <c r="N4958" s="9" t="s">
        <v>18171</v>
      </c>
      <c r="O4958" s="9" t="s">
        <v>17993</v>
      </c>
      <c r="P4958" s="9" t="s">
        <v>17748</v>
      </c>
      <c r="Q4958" s="11" t="s">
        <v>17849</v>
      </c>
      <c r="R4958" s="11" t="s">
        <v>17849</v>
      </c>
      <c r="S4958" s="11" t="s">
        <v>17750</v>
      </c>
    </row>
    <row r="4959" spans="1:19" x14ac:dyDescent="0.2">
      <c r="A4959" s="11" t="s">
        <v>46476</v>
      </c>
      <c r="B4959" s="9" t="s">
        <v>46477</v>
      </c>
      <c r="C4959" s="9" t="s">
        <v>46478</v>
      </c>
      <c r="D4959" s="9" t="s">
        <v>46479</v>
      </c>
      <c r="E4959" s="9" t="s">
        <v>17740</v>
      </c>
      <c r="F4959" s="9" t="s">
        <v>17741</v>
      </c>
      <c r="G4959" s="9" t="s">
        <v>17740</v>
      </c>
      <c r="H4959" s="11" t="s">
        <v>46480</v>
      </c>
      <c r="I4959" s="11" t="s">
        <v>3712</v>
      </c>
      <c r="J4959" s="11" t="s">
        <v>3712</v>
      </c>
      <c r="K4959" s="9" t="s">
        <v>46481</v>
      </c>
      <c r="L4959" s="9" t="s">
        <v>18439</v>
      </c>
      <c r="M4959" s="9" t="s">
        <v>17817</v>
      </c>
      <c r="N4959" s="9" t="s">
        <v>18171</v>
      </c>
      <c r="O4959" s="9" t="s">
        <v>3100</v>
      </c>
      <c r="P4959" s="9" t="s">
        <v>17748</v>
      </c>
      <c r="Q4959" s="11" t="s">
        <v>19082</v>
      </c>
      <c r="R4959" s="11" t="s">
        <v>19082</v>
      </c>
      <c r="S4959" s="11" t="s">
        <v>17750</v>
      </c>
    </row>
    <row r="4960" spans="1:19" x14ac:dyDescent="0.2">
      <c r="A4960" s="11" t="s">
        <v>46482</v>
      </c>
      <c r="B4960" s="9" t="s">
        <v>46483</v>
      </c>
      <c r="C4960" s="9" t="s">
        <v>46484</v>
      </c>
      <c r="D4960" s="9" t="s">
        <v>46485</v>
      </c>
      <c r="E4960" s="9" t="s">
        <v>17740</v>
      </c>
      <c r="F4960" s="9" t="s">
        <v>17741</v>
      </c>
      <c r="G4960" s="9" t="s">
        <v>17740</v>
      </c>
      <c r="H4960" s="11" t="s">
        <v>13314</v>
      </c>
      <c r="I4960" s="11" t="s">
        <v>13313</v>
      </c>
      <c r="J4960" s="11" t="s">
        <v>13313</v>
      </c>
      <c r="K4960" s="9" t="s">
        <v>18438</v>
      </c>
      <c r="L4960" s="9" t="s">
        <v>18439</v>
      </c>
      <c r="M4960" s="9" t="s">
        <v>17760</v>
      </c>
      <c r="N4960" s="9" t="s">
        <v>17746</v>
      </c>
      <c r="O4960" s="9" t="s">
        <v>19769</v>
      </c>
      <c r="P4960" s="9" t="s">
        <v>17748</v>
      </c>
      <c r="Q4960" s="11" t="s">
        <v>18370</v>
      </c>
      <c r="R4960" s="11" t="s">
        <v>18370</v>
      </c>
      <c r="S4960" s="11" t="s">
        <v>17750</v>
      </c>
    </row>
    <row r="4961" spans="1:19" x14ac:dyDescent="0.2">
      <c r="A4961" s="11" t="s">
        <v>46486</v>
      </c>
      <c r="B4961" s="9" t="s">
        <v>46487</v>
      </c>
      <c r="C4961" s="9" t="s">
        <v>46488</v>
      </c>
      <c r="D4961" s="9" t="s">
        <v>46489</v>
      </c>
      <c r="E4961" s="9" t="s">
        <v>17740</v>
      </c>
      <c r="F4961" s="9" t="s">
        <v>17741</v>
      </c>
      <c r="G4961" s="9" t="s">
        <v>17740</v>
      </c>
      <c r="H4961" s="11" t="s">
        <v>17741</v>
      </c>
      <c r="I4961" s="11" t="s">
        <v>46490</v>
      </c>
      <c r="J4961" s="11" t="s">
        <v>46490</v>
      </c>
      <c r="K4961" s="9" t="s">
        <v>46491</v>
      </c>
      <c r="L4961" s="9" t="s">
        <v>22591</v>
      </c>
      <c r="M4961" s="9" t="s">
        <v>26369</v>
      </c>
      <c r="N4961" s="9" t="s">
        <v>18171</v>
      </c>
      <c r="O4961" s="9" t="s">
        <v>3524</v>
      </c>
      <c r="P4961" s="9" t="s">
        <v>17748</v>
      </c>
      <c r="Q4961" s="11" t="s">
        <v>18356</v>
      </c>
      <c r="R4961" s="11" t="s">
        <v>18356</v>
      </c>
      <c r="S4961" s="11" t="s">
        <v>17750</v>
      </c>
    </row>
    <row r="4962" spans="1:19" x14ac:dyDescent="0.2">
      <c r="A4962" s="11" t="s">
        <v>46492</v>
      </c>
      <c r="B4962" s="9" t="s">
        <v>46493</v>
      </c>
      <c r="C4962" s="9" t="s">
        <v>46494</v>
      </c>
      <c r="D4962" s="9" t="s">
        <v>46495</v>
      </c>
      <c r="E4962" s="9" t="s">
        <v>17740</v>
      </c>
      <c r="F4962" s="9" t="s">
        <v>46496</v>
      </c>
      <c r="G4962" s="9" t="s">
        <v>17740</v>
      </c>
      <c r="H4962" s="11" t="s">
        <v>46497</v>
      </c>
      <c r="I4962" s="11" t="s">
        <v>46498</v>
      </c>
      <c r="J4962" s="11" t="s">
        <v>46498</v>
      </c>
      <c r="K4962" s="9" t="s">
        <v>46499</v>
      </c>
      <c r="L4962" s="9" t="s">
        <v>18058</v>
      </c>
      <c r="M4962" s="9" t="s">
        <v>17769</v>
      </c>
      <c r="N4962" s="9" t="s">
        <v>21551</v>
      </c>
      <c r="O4962" s="9" t="s">
        <v>3524</v>
      </c>
      <c r="P4962" s="9" t="s">
        <v>17748</v>
      </c>
      <c r="Q4962" s="11" t="s">
        <v>18813</v>
      </c>
      <c r="R4962" s="11" t="s">
        <v>18813</v>
      </c>
      <c r="S4962" s="11" t="s">
        <v>17750</v>
      </c>
    </row>
    <row r="4963" spans="1:19" x14ac:dyDescent="0.2">
      <c r="A4963" s="11" t="s">
        <v>46500</v>
      </c>
      <c r="B4963" s="9" t="s">
        <v>46501</v>
      </c>
      <c r="C4963" s="9" t="s">
        <v>46502</v>
      </c>
      <c r="D4963" s="9" t="s">
        <v>46503</v>
      </c>
      <c r="E4963" s="9" t="s">
        <v>17740</v>
      </c>
      <c r="F4963" s="9" t="s">
        <v>17741</v>
      </c>
      <c r="G4963" s="9" t="s">
        <v>17740</v>
      </c>
      <c r="H4963" s="11" t="s">
        <v>46504</v>
      </c>
      <c r="I4963" s="11" t="s">
        <v>46505</v>
      </c>
      <c r="J4963" s="11" t="s">
        <v>46505</v>
      </c>
      <c r="K4963" s="9" t="s">
        <v>46506</v>
      </c>
      <c r="L4963" s="9" t="s">
        <v>18058</v>
      </c>
      <c r="M4963" s="9" t="s">
        <v>17769</v>
      </c>
      <c r="N4963" s="9" t="s">
        <v>21551</v>
      </c>
      <c r="O4963" s="9" t="s">
        <v>18035</v>
      </c>
      <c r="P4963" s="9" t="s">
        <v>17748</v>
      </c>
      <c r="Q4963" s="11" t="s">
        <v>17771</v>
      </c>
      <c r="R4963" s="11" t="s">
        <v>17771</v>
      </c>
      <c r="S4963" s="11" t="s">
        <v>17750</v>
      </c>
    </row>
    <row r="4964" spans="1:19" x14ac:dyDescent="0.2">
      <c r="A4964" s="11" t="s">
        <v>46507</v>
      </c>
      <c r="B4964" s="9" t="s">
        <v>46508</v>
      </c>
      <c r="C4964" s="9" t="s">
        <v>46509</v>
      </c>
      <c r="D4964" s="9" t="s">
        <v>46510</v>
      </c>
      <c r="E4964" s="9" t="s">
        <v>17740</v>
      </c>
      <c r="F4964" s="9" t="s">
        <v>17741</v>
      </c>
      <c r="G4964" s="9" t="s">
        <v>17740</v>
      </c>
      <c r="H4964" s="11" t="s">
        <v>3673</v>
      </c>
      <c r="I4964" s="11" t="s">
        <v>3672</v>
      </c>
      <c r="J4964" s="11" t="s">
        <v>3672</v>
      </c>
      <c r="K4964" s="9" t="s">
        <v>46511</v>
      </c>
      <c r="L4964" s="9" t="s">
        <v>18058</v>
      </c>
      <c r="M4964" s="9" t="s">
        <v>17769</v>
      </c>
      <c r="N4964" s="9" t="s">
        <v>17746</v>
      </c>
      <c r="O4964" s="9" t="s">
        <v>18548</v>
      </c>
      <c r="P4964" s="9" t="s">
        <v>17748</v>
      </c>
      <c r="Q4964" s="11" t="s">
        <v>17943</v>
      </c>
      <c r="R4964" s="11" t="s">
        <v>17943</v>
      </c>
      <c r="S4964" s="11" t="s">
        <v>17750</v>
      </c>
    </row>
    <row r="4965" spans="1:19" x14ac:dyDescent="0.2">
      <c r="A4965" s="11" t="s">
        <v>46512</v>
      </c>
      <c r="B4965" s="9" t="s">
        <v>46513</v>
      </c>
      <c r="C4965" s="9" t="s">
        <v>46514</v>
      </c>
      <c r="D4965" s="9" t="s">
        <v>46515</v>
      </c>
      <c r="E4965" s="9" t="s">
        <v>17740</v>
      </c>
      <c r="F4965" s="9" t="s">
        <v>46516</v>
      </c>
      <c r="G4965" s="9" t="s">
        <v>17740</v>
      </c>
      <c r="H4965" s="11" t="s">
        <v>46517</v>
      </c>
      <c r="I4965" s="11" t="s">
        <v>46518</v>
      </c>
      <c r="J4965" s="11" t="s">
        <v>46518</v>
      </c>
      <c r="K4965" s="9" t="s">
        <v>46519</v>
      </c>
      <c r="L4965" s="9" t="s">
        <v>18439</v>
      </c>
      <c r="M4965" s="9" t="s">
        <v>19168</v>
      </c>
      <c r="N4965" s="9" t="s">
        <v>18171</v>
      </c>
      <c r="O4965" s="9" t="s">
        <v>487</v>
      </c>
      <c r="P4965" s="9" t="s">
        <v>17748</v>
      </c>
      <c r="Q4965" s="11" t="s">
        <v>18813</v>
      </c>
      <c r="R4965" s="11" t="s">
        <v>18813</v>
      </c>
      <c r="S4965" s="11" t="s">
        <v>17750</v>
      </c>
    </row>
    <row r="4966" spans="1:19" x14ac:dyDescent="0.2">
      <c r="A4966" s="11" t="s">
        <v>46520</v>
      </c>
      <c r="B4966" s="9" t="s">
        <v>46521</v>
      </c>
      <c r="C4966" s="9" t="s">
        <v>46522</v>
      </c>
      <c r="D4966" s="9" t="s">
        <v>46523</v>
      </c>
      <c r="E4966" s="9" t="s">
        <v>17740</v>
      </c>
      <c r="F4966" s="9" t="s">
        <v>17741</v>
      </c>
      <c r="G4966" s="9" t="s">
        <v>17740</v>
      </c>
      <c r="H4966" s="11" t="s">
        <v>46524</v>
      </c>
      <c r="I4966" s="11" t="s">
        <v>17741</v>
      </c>
      <c r="J4966" s="11" t="s">
        <v>46524</v>
      </c>
      <c r="K4966" s="9" t="s">
        <v>175</v>
      </c>
      <c r="L4966" s="9" t="s">
        <v>18439</v>
      </c>
      <c r="M4966" s="9" t="s">
        <v>17817</v>
      </c>
      <c r="N4966" s="9" t="s">
        <v>17746</v>
      </c>
      <c r="O4966" s="9" t="s">
        <v>18009</v>
      </c>
      <c r="P4966" s="9" t="s">
        <v>17748</v>
      </c>
      <c r="Q4966" s="11" t="s">
        <v>18847</v>
      </c>
      <c r="R4966" s="11" t="s">
        <v>18847</v>
      </c>
      <c r="S4966" s="11" t="s">
        <v>17750</v>
      </c>
    </row>
    <row r="4967" spans="1:19" x14ac:dyDescent="0.2">
      <c r="A4967" s="11" t="s">
        <v>46525</v>
      </c>
      <c r="B4967" s="9" t="s">
        <v>46526</v>
      </c>
      <c r="C4967" s="9" t="s">
        <v>46527</v>
      </c>
      <c r="D4967" s="9" t="s">
        <v>46528</v>
      </c>
      <c r="E4967" s="9" t="s">
        <v>17740</v>
      </c>
      <c r="F4967" s="9" t="s">
        <v>46529</v>
      </c>
      <c r="G4967" s="9" t="s">
        <v>17740</v>
      </c>
      <c r="H4967" s="11" t="s">
        <v>46530</v>
      </c>
      <c r="I4967" s="11" t="s">
        <v>46531</v>
      </c>
      <c r="J4967" s="11" t="s">
        <v>46531</v>
      </c>
      <c r="K4967" s="9" t="s">
        <v>175</v>
      </c>
      <c r="L4967" s="9" t="s">
        <v>18439</v>
      </c>
      <c r="M4967" s="9" t="s">
        <v>17769</v>
      </c>
      <c r="N4967" s="9" t="s">
        <v>18171</v>
      </c>
      <c r="O4967" s="9" t="s">
        <v>18027</v>
      </c>
      <c r="P4967" s="9" t="s">
        <v>17748</v>
      </c>
      <c r="Q4967" s="11" t="s">
        <v>18370</v>
      </c>
      <c r="R4967" s="11" t="s">
        <v>18370</v>
      </c>
      <c r="S4967" s="11" t="s">
        <v>17750</v>
      </c>
    </row>
    <row r="4968" spans="1:19" x14ac:dyDescent="0.2">
      <c r="A4968" s="11" t="s">
        <v>46532</v>
      </c>
      <c r="B4968" s="9" t="s">
        <v>46533</v>
      </c>
      <c r="C4968" s="9" t="s">
        <v>46534</v>
      </c>
      <c r="D4968" s="9" t="s">
        <v>46535</v>
      </c>
      <c r="E4968" s="9" t="s">
        <v>17740</v>
      </c>
      <c r="F4968" s="9" t="s">
        <v>46536</v>
      </c>
      <c r="G4968" s="9" t="s">
        <v>17740</v>
      </c>
      <c r="H4968" s="11" t="s">
        <v>17741</v>
      </c>
      <c r="I4968" s="11" t="s">
        <v>5153</v>
      </c>
      <c r="J4968" s="11" t="s">
        <v>5153</v>
      </c>
      <c r="K4968" s="9" t="s">
        <v>46537</v>
      </c>
      <c r="L4968" s="9" t="s">
        <v>18439</v>
      </c>
      <c r="M4968" s="9" t="s">
        <v>17817</v>
      </c>
      <c r="N4968" s="9" t="s">
        <v>17746</v>
      </c>
      <c r="O4968" s="9" t="s">
        <v>1675</v>
      </c>
      <c r="P4968" s="9" t="s">
        <v>17748</v>
      </c>
      <c r="Q4968" s="11" t="s">
        <v>17749</v>
      </c>
      <c r="R4968" s="11" t="s">
        <v>17749</v>
      </c>
      <c r="S4968" s="11" t="s">
        <v>17750</v>
      </c>
    </row>
    <row r="4969" spans="1:19" x14ac:dyDescent="0.2">
      <c r="A4969" s="11" t="s">
        <v>46538</v>
      </c>
      <c r="B4969" s="9" t="s">
        <v>46539</v>
      </c>
      <c r="C4969" s="9" t="s">
        <v>46540</v>
      </c>
      <c r="D4969" s="9" t="s">
        <v>46541</v>
      </c>
      <c r="E4969" s="9" t="s">
        <v>17740</v>
      </c>
      <c r="F4969" s="9" t="s">
        <v>46542</v>
      </c>
      <c r="G4969" s="9" t="s">
        <v>17740</v>
      </c>
      <c r="H4969" s="11" t="s">
        <v>3600</v>
      </c>
      <c r="I4969" s="11" t="s">
        <v>3599</v>
      </c>
      <c r="J4969" s="11" t="s">
        <v>3599</v>
      </c>
      <c r="K4969" s="9" t="s">
        <v>18438</v>
      </c>
      <c r="L4969" s="9" t="s">
        <v>18439</v>
      </c>
      <c r="M4969" s="9" t="s">
        <v>17769</v>
      </c>
      <c r="N4969" s="9" t="s">
        <v>18171</v>
      </c>
      <c r="O4969" s="9" t="s">
        <v>18855</v>
      </c>
      <c r="P4969" s="9" t="s">
        <v>17748</v>
      </c>
      <c r="Q4969" s="11" t="s">
        <v>19222</v>
      </c>
      <c r="R4969" s="11" t="s">
        <v>19222</v>
      </c>
      <c r="S4969" s="11" t="s">
        <v>17750</v>
      </c>
    </row>
    <row r="4970" spans="1:19" x14ac:dyDescent="0.2">
      <c r="A4970" s="11" t="s">
        <v>46543</v>
      </c>
      <c r="B4970" s="9" t="s">
        <v>46544</v>
      </c>
      <c r="C4970" s="9" t="s">
        <v>46545</v>
      </c>
      <c r="D4970" s="9" t="s">
        <v>46546</v>
      </c>
      <c r="E4970" s="9" t="s">
        <v>17748</v>
      </c>
      <c r="F4970" s="9" t="s">
        <v>46547</v>
      </c>
      <c r="G4970" s="9" t="s">
        <v>17740</v>
      </c>
      <c r="H4970" s="11" t="s">
        <v>16251</v>
      </c>
      <c r="I4970" s="11" t="s">
        <v>16250</v>
      </c>
      <c r="J4970" s="11" t="s">
        <v>16250</v>
      </c>
      <c r="K4970" s="9" t="s">
        <v>18438</v>
      </c>
      <c r="L4970" s="9" t="s">
        <v>18439</v>
      </c>
      <c r="M4970" s="9" t="s">
        <v>17769</v>
      </c>
      <c r="N4970" s="9" t="s">
        <v>18171</v>
      </c>
      <c r="O4970" s="9" t="s">
        <v>20618</v>
      </c>
      <c r="P4970" s="9" t="s">
        <v>17748</v>
      </c>
      <c r="Q4970" s="11" t="s">
        <v>17923</v>
      </c>
      <c r="R4970" s="11" t="s">
        <v>17923</v>
      </c>
      <c r="S4970" s="11" t="s">
        <v>17750</v>
      </c>
    </row>
    <row r="4971" spans="1:19" x14ac:dyDescent="0.2">
      <c r="A4971" s="11" t="s">
        <v>46548</v>
      </c>
      <c r="B4971" s="9" t="s">
        <v>46549</v>
      </c>
      <c r="C4971" s="9" t="s">
        <v>46550</v>
      </c>
      <c r="D4971" s="9" t="s">
        <v>46551</v>
      </c>
      <c r="E4971" s="9" t="s">
        <v>17740</v>
      </c>
      <c r="F4971" s="9" t="s">
        <v>17741</v>
      </c>
      <c r="G4971" s="9" t="s">
        <v>17740</v>
      </c>
      <c r="H4971" s="11" t="s">
        <v>46552</v>
      </c>
      <c r="I4971" s="11" t="s">
        <v>4546</v>
      </c>
      <c r="J4971" s="11" t="s">
        <v>4546</v>
      </c>
      <c r="K4971" s="9" t="s">
        <v>46553</v>
      </c>
      <c r="L4971" s="9" t="s">
        <v>18439</v>
      </c>
      <c r="M4971" s="9" t="s">
        <v>17760</v>
      </c>
      <c r="N4971" s="9" t="s">
        <v>18171</v>
      </c>
      <c r="O4971" s="9" t="s">
        <v>24758</v>
      </c>
      <c r="P4971" s="9" t="s">
        <v>17748</v>
      </c>
      <c r="Q4971" s="11" t="s">
        <v>18678</v>
      </c>
      <c r="R4971" s="11" t="s">
        <v>18678</v>
      </c>
      <c r="S4971" s="11" t="s">
        <v>17750</v>
      </c>
    </row>
    <row r="4972" spans="1:19" x14ac:dyDescent="0.2">
      <c r="A4972" s="11" t="s">
        <v>46554</v>
      </c>
      <c r="B4972" s="9" t="s">
        <v>46555</v>
      </c>
      <c r="C4972" s="9" t="s">
        <v>46556</v>
      </c>
      <c r="D4972" s="9" t="s">
        <v>46557</v>
      </c>
      <c r="E4972" s="9" t="s">
        <v>17748</v>
      </c>
      <c r="F4972" s="9" t="s">
        <v>46558</v>
      </c>
      <c r="G4972" s="9" t="s">
        <v>17740</v>
      </c>
      <c r="H4972" s="11" t="s">
        <v>17741</v>
      </c>
      <c r="I4972" s="11" t="s">
        <v>46559</v>
      </c>
      <c r="J4972" s="11" t="s">
        <v>46559</v>
      </c>
      <c r="K4972" s="9" t="s">
        <v>46560</v>
      </c>
      <c r="L4972" s="9" t="s">
        <v>18439</v>
      </c>
      <c r="M4972" s="9" t="s">
        <v>17769</v>
      </c>
      <c r="N4972" s="9" t="s">
        <v>18171</v>
      </c>
      <c r="O4972" s="9" t="s">
        <v>3524</v>
      </c>
      <c r="P4972" s="9" t="s">
        <v>17748</v>
      </c>
      <c r="Q4972" s="11" t="s">
        <v>19361</v>
      </c>
      <c r="R4972" s="11" t="s">
        <v>19361</v>
      </c>
      <c r="S4972" s="11" t="s">
        <v>17750</v>
      </c>
    </row>
    <row r="4973" spans="1:19" x14ac:dyDescent="0.2">
      <c r="A4973" s="11" t="s">
        <v>46561</v>
      </c>
      <c r="B4973" s="9" t="s">
        <v>46562</v>
      </c>
      <c r="C4973" s="9" t="s">
        <v>46563</v>
      </c>
      <c r="D4973" s="9" t="s">
        <v>46564</v>
      </c>
      <c r="E4973" s="9" t="s">
        <v>17740</v>
      </c>
      <c r="F4973" s="9" t="s">
        <v>17741</v>
      </c>
      <c r="G4973" s="9" t="s">
        <v>17740</v>
      </c>
      <c r="H4973" s="11" t="s">
        <v>17741</v>
      </c>
      <c r="I4973" s="11" t="s">
        <v>46565</v>
      </c>
      <c r="J4973" s="11" t="s">
        <v>46565</v>
      </c>
      <c r="K4973" s="9" t="s">
        <v>46566</v>
      </c>
      <c r="L4973" s="9" t="s">
        <v>18439</v>
      </c>
      <c r="M4973" s="9" t="s">
        <v>17992</v>
      </c>
      <c r="N4973" s="9" t="s">
        <v>17746</v>
      </c>
      <c r="O4973" s="9" t="s">
        <v>19715</v>
      </c>
      <c r="P4973" s="9" t="s">
        <v>17748</v>
      </c>
      <c r="Q4973" s="11" t="s">
        <v>18798</v>
      </c>
      <c r="R4973" s="11" t="s">
        <v>18798</v>
      </c>
      <c r="S4973" s="11" t="s">
        <v>17750</v>
      </c>
    </row>
    <row r="4974" spans="1:19" x14ac:dyDescent="0.2">
      <c r="A4974" s="11" t="s">
        <v>46567</v>
      </c>
      <c r="B4974" s="9" t="s">
        <v>46568</v>
      </c>
      <c r="C4974" s="9" t="s">
        <v>46569</v>
      </c>
      <c r="D4974" s="9" t="s">
        <v>46570</v>
      </c>
      <c r="E4974" s="9" t="s">
        <v>17740</v>
      </c>
      <c r="F4974" s="9" t="s">
        <v>17741</v>
      </c>
      <c r="G4974" s="9" t="s">
        <v>17740</v>
      </c>
      <c r="H4974" s="11" t="s">
        <v>46571</v>
      </c>
      <c r="I4974" s="11" t="s">
        <v>46572</v>
      </c>
      <c r="J4974" s="11" t="s">
        <v>46572</v>
      </c>
      <c r="K4974" s="9" t="s">
        <v>46573</v>
      </c>
      <c r="L4974" s="9" t="s">
        <v>18058</v>
      </c>
      <c r="M4974" s="9" t="s">
        <v>18051</v>
      </c>
      <c r="N4974" s="9" t="s">
        <v>21551</v>
      </c>
      <c r="O4974" s="9" t="s">
        <v>17800</v>
      </c>
      <c r="P4974" s="9" t="s">
        <v>17748</v>
      </c>
      <c r="Q4974" s="11" t="s">
        <v>18251</v>
      </c>
      <c r="R4974" s="11" t="s">
        <v>18251</v>
      </c>
      <c r="S4974" s="11" t="s">
        <v>17750</v>
      </c>
    </row>
    <row r="4975" spans="1:19" x14ac:dyDescent="0.2">
      <c r="A4975" s="11" t="s">
        <v>46574</v>
      </c>
      <c r="B4975" s="9" t="s">
        <v>46575</v>
      </c>
      <c r="C4975" s="9" t="s">
        <v>46576</v>
      </c>
      <c r="D4975" s="9" t="s">
        <v>46577</v>
      </c>
      <c r="E4975" s="9" t="s">
        <v>17740</v>
      </c>
      <c r="F4975" s="9" t="s">
        <v>46578</v>
      </c>
      <c r="G4975" s="9" t="s">
        <v>17740</v>
      </c>
      <c r="H4975" s="11" t="s">
        <v>7425</v>
      </c>
      <c r="I4975" s="11" t="s">
        <v>7424</v>
      </c>
      <c r="J4975" s="11" t="s">
        <v>7424</v>
      </c>
      <c r="K4975" s="9" t="s">
        <v>18438</v>
      </c>
      <c r="L4975" s="9" t="s">
        <v>18439</v>
      </c>
      <c r="M4975" s="9" t="s">
        <v>46579</v>
      </c>
      <c r="N4975" s="9" t="s">
        <v>17746</v>
      </c>
      <c r="O4975" s="9" t="s">
        <v>18746</v>
      </c>
      <c r="P4975" s="9" t="s">
        <v>17748</v>
      </c>
      <c r="Q4975" s="11" t="s">
        <v>17749</v>
      </c>
      <c r="R4975" s="11" t="s">
        <v>17749</v>
      </c>
      <c r="S4975" s="11" t="s">
        <v>17750</v>
      </c>
    </row>
    <row r="4976" spans="1:19" x14ac:dyDescent="0.2">
      <c r="A4976" s="11" t="s">
        <v>46580</v>
      </c>
      <c r="B4976" s="9" t="s">
        <v>46581</v>
      </c>
      <c r="C4976" s="9" t="s">
        <v>46582</v>
      </c>
      <c r="D4976" s="9" t="s">
        <v>46583</v>
      </c>
      <c r="E4976" s="9" t="s">
        <v>17740</v>
      </c>
      <c r="F4976" s="9" t="s">
        <v>17741</v>
      </c>
      <c r="G4976" s="9" t="s">
        <v>17740</v>
      </c>
      <c r="H4976" s="11" t="s">
        <v>17741</v>
      </c>
      <c r="I4976" s="11" t="s">
        <v>46584</v>
      </c>
      <c r="J4976" s="11" t="s">
        <v>46584</v>
      </c>
      <c r="K4976" s="9" t="s">
        <v>46585</v>
      </c>
      <c r="L4976" s="9" t="s">
        <v>18058</v>
      </c>
      <c r="M4976" s="9" t="s">
        <v>17760</v>
      </c>
      <c r="N4976" s="9" t="s">
        <v>17746</v>
      </c>
      <c r="O4976" s="9" t="s">
        <v>17800</v>
      </c>
      <c r="P4976" s="9" t="s">
        <v>17748</v>
      </c>
      <c r="Q4976" s="11" t="s">
        <v>17792</v>
      </c>
      <c r="R4976" s="11" t="s">
        <v>17792</v>
      </c>
      <c r="S4976" s="11" t="s">
        <v>17750</v>
      </c>
    </row>
    <row r="4977" spans="1:19" x14ac:dyDescent="0.2">
      <c r="A4977" s="11" t="s">
        <v>46586</v>
      </c>
      <c r="B4977" s="9" t="s">
        <v>46587</v>
      </c>
      <c r="C4977" s="9" t="s">
        <v>46588</v>
      </c>
      <c r="D4977" s="9" t="s">
        <v>46589</v>
      </c>
      <c r="E4977" s="9" t="s">
        <v>17740</v>
      </c>
      <c r="F4977" s="9" t="s">
        <v>17741</v>
      </c>
      <c r="G4977" s="9" t="s">
        <v>17740</v>
      </c>
      <c r="H4977" s="11" t="s">
        <v>46590</v>
      </c>
      <c r="I4977" s="11" t="s">
        <v>46591</v>
      </c>
      <c r="J4977" s="11" t="s">
        <v>46591</v>
      </c>
      <c r="K4977" s="9" t="s">
        <v>46592</v>
      </c>
      <c r="L4977" s="9" t="s">
        <v>46383</v>
      </c>
      <c r="M4977" s="9" t="s">
        <v>17817</v>
      </c>
      <c r="N4977" s="9" t="s">
        <v>18171</v>
      </c>
      <c r="O4977" s="9" t="s">
        <v>17993</v>
      </c>
      <c r="P4977" s="9" t="s">
        <v>17748</v>
      </c>
      <c r="Q4977" s="11" t="s">
        <v>46593</v>
      </c>
      <c r="R4977" s="11" t="s">
        <v>46593</v>
      </c>
      <c r="S4977" s="11" t="s">
        <v>17750</v>
      </c>
    </row>
    <row r="4978" spans="1:19" x14ac:dyDescent="0.2">
      <c r="A4978" s="11" t="s">
        <v>46594</v>
      </c>
      <c r="B4978" s="9" t="s">
        <v>46595</v>
      </c>
      <c r="C4978" s="9" t="s">
        <v>46596</v>
      </c>
      <c r="D4978" s="9" t="s">
        <v>46597</v>
      </c>
      <c r="E4978" s="9" t="s">
        <v>17740</v>
      </c>
      <c r="F4978" s="9" t="s">
        <v>46598</v>
      </c>
      <c r="G4978" s="9" t="s">
        <v>17740</v>
      </c>
      <c r="H4978" s="11" t="s">
        <v>17741</v>
      </c>
      <c r="I4978" s="11" t="s">
        <v>46599</v>
      </c>
      <c r="J4978" s="11" t="s">
        <v>46599</v>
      </c>
      <c r="K4978" s="9" t="s">
        <v>46600</v>
      </c>
      <c r="L4978" s="9" t="s">
        <v>46601</v>
      </c>
      <c r="M4978" s="9" t="s">
        <v>18051</v>
      </c>
      <c r="N4978" s="9" t="s">
        <v>18171</v>
      </c>
      <c r="O4978" s="9" t="s">
        <v>17993</v>
      </c>
      <c r="P4978" s="9" t="s">
        <v>17748</v>
      </c>
      <c r="Q4978" s="11" t="s">
        <v>19026</v>
      </c>
      <c r="R4978" s="11" t="s">
        <v>19026</v>
      </c>
      <c r="S4978" s="11" t="s">
        <v>17750</v>
      </c>
    </row>
    <row r="4979" spans="1:19" x14ac:dyDescent="0.2">
      <c r="A4979" s="11" t="s">
        <v>46602</v>
      </c>
      <c r="B4979" s="9" t="s">
        <v>46603</v>
      </c>
      <c r="C4979" s="9" t="s">
        <v>46604</v>
      </c>
      <c r="D4979" s="9" t="s">
        <v>46605</v>
      </c>
      <c r="E4979" s="9" t="s">
        <v>17740</v>
      </c>
      <c r="F4979" s="9" t="s">
        <v>46606</v>
      </c>
      <c r="G4979" s="9" t="s">
        <v>17740</v>
      </c>
      <c r="H4979" s="11" t="s">
        <v>17741</v>
      </c>
      <c r="I4979" s="11" t="s">
        <v>46607</v>
      </c>
      <c r="J4979" s="11" t="s">
        <v>46607</v>
      </c>
      <c r="K4979" s="9" t="s">
        <v>46608</v>
      </c>
      <c r="L4979" s="9" t="s">
        <v>18411</v>
      </c>
      <c r="M4979" s="9" t="s">
        <v>17769</v>
      </c>
      <c r="N4979" s="9" t="s">
        <v>18171</v>
      </c>
      <c r="O4979" s="9" t="s">
        <v>46609</v>
      </c>
      <c r="P4979" s="9" t="s">
        <v>17748</v>
      </c>
      <c r="Q4979" s="11" t="s">
        <v>17978</v>
      </c>
      <c r="R4979" s="11" t="s">
        <v>17978</v>
      </c>
      <c r="S4979" s="11" t="s">
        <v>17750</v>
      </c>
    </row>
    <row r="4980" spans="1:19" x14ac:dyDescent="0.2">
      <c r="A4980" s="11" t="s">
        <v>46610</v>
      </c>
      <c r="B4980" s="9" t="s">
        <v>46611</v>
      </c>
      <c r="C4980" s="9" t="s">
        <v>46612</v>
      </c>
      <c r="D4980" s="9" t="s">
        <v>46613</v>
      </c>
      <c r="E4980" s="9" t="s">
        <v>17740</v>
      </c>
      <c r="F4980" s="9" t="s">
        <v>46614</v>
      </c>
      <c r="G4980" s="9" t="s">
        <v>17740</v>
      </c>
      <c r="H4980" s="11" t="s">
        <v>17741</v>
      </c>
      <c r="I4980" s="11" t="s">
        <v>46615</v>
      </c>
      <c r="J4980" s="11" t="s">
        <v>46615</v>
      </c>
      <c r="K4980" s="9" t="s">
        <v>46616</v>
      </c>
      <c r="L4980" s="9" t="s">
        <v>22017</v>
      </c>
      <c r="M4980" s="9" t="s">
        <v>17760</v>
      </c>
      <c r="N4980" s="9" t="s">
        <v>22018</v>
      </c>
      <c r="O4980" s="9" t="s">
        <v>38577</v>
      </c>
      <c r="P4980" s="9" t="s">
        <v>17748</v>
      </c>
      <c r="Q4980" s="11" t="s">
        <v>18234</v>
      </c>
      <c r="R4980" s="11" t="s">
        <v>18234</v>
      </c>
      <c r="S4980" s="11" t="s">
        <v>17750</v>
      </c>
    </row>
    <row r="4981" spans="1:19" x14ac:dyDescent="0.2">
      <c r="A4981" s="11" t="s">
        <v>46617</v>
      </c>
      <c r="B4981" s="9" t="s">
        <v>46618</v>
      </c>
      <c r="C4981" s="9" t="s">
        <v>46619</v>
      </c>
      <c r="D4981" s="9" t="s">
        <v>46620</v>
      </c>
      <c r="E4981" s="9" t="s">
        <v>17748</v>
      </c>
      <c r="F4981" s="9" t="s">
        <v>46621</v>
      </c>
      <c r="G4981" s="9" t="s">
        <v>17740</v>
      </c>
      <c r="H4981" s="11" t="s">
        <v>46622</v>
      </c>
      <c r="I4981" s="11" t="s">
        <v>46623</v>
      </c>
      <c r="J4981" s="11" t="s">
        <v>46623</v>
      </c>
      <c r="K4981" s="9" t="s">
        <v>46624</v>
      </c>
      <c r="L4981" s="9" t="s">
        <v>17759</v>
      </c>
      <c r="M4981" s="9" t="s">
        <v>17817</v>
      </c>
      <c r="N4981" s="9" t="s">
        <v>17746</v>
      </c>
      <c r="O4981" s="9" t="s">
        <v>3524</v>
      </c>
      <c r="P4981" s="9" t="s">
        <v>17748</v>
      </c>
      <c r="Q4981" s="11" t="s">
        <v>18272</v>
      </c>
      <c r="R4981" s="11" t="s">
        <v>18272</v>
      </c>
      <c r="S4981" s="11" t="s">
        <v>17750</v>
      </c>
    </row>
    <row r="4982" spans="1:19" x14ac:dyDescent="0.2">
      <c r="A4982" s="11" t="s">
        <v>46625</v>
      </c>
      <c r="B4982" s="9" t="s">
        <v>46626</v>
      </c>
      <c r="C4982" s="9" t="s">
        <v>46627</v>
      </c>
      <c r="D4982" s="9" t="s">
        <v>46628</v>
      </c>
      <c r="E4982" s="9" t="s">
        <v>17740</v>
      </c>
      <c r="F4982" s="9" t="s">
        <v>17741</v>
      </c>
      <c r="G4982" s="9" t="s">
        <v>17740</v>
      </c>
      <c r="H4982" s="11" t="s">
        <v>46629</v>
      </c>
      <c r="I4982" s="11" t="s">
        <v>14483</v>
      </c>
      <c r="J4982" s="11" t="s">
        <v>14483</v>
      </c>
      <c r="K4982" s="9" t="s">
        <v>46630</v>
      </c>
      <c r="L4982" s="9" t="s">
        <v>18058</v>
      </c>
      <c r="M4982" s="9" t="s">
        <v>17760</v>
      </c>
      <c r="N4982" s="9" t="s">
        <v>21551</v>
      </c>
      <c r="O4982" s="9" t="s">
        <v>3355</v>
      </c>
      <c r="P4982" s="9" t="s">
        <v>17748</v>
      </c>
      <c r="Q4982" s="11" t="s">
        <v>17978</v>
      </c>
      <c r="R4982" s="11" t="s">
        <v>17978</v>
      </c>
      <c r="S4982" s="11" t="s">
        <v>17750</v>
      </c>
    </row>
    <row r="4983" spans="1:19" x14ac:dyDescent="0.2">
      <c r="A4983" s="11" t="s">
        <v>46631</v>
      </c>
      <c r="B4983" s="9" t="s">
        <v>46632</v>
      </c>
      <c r="C4983" s="9" t="s">
        <v>46633</v>
      </c>
      <c r="D4983" s="9" t="s">
        <v>46634</v>
      </c>
      <c r="E4983" s="9" t="s">
        <v>17740</v>
      </c>
      <c r="F4983" s="9" t="s">
        <v>46635</v>
      </c>
      <c r="G4983" s="9" t="s">
        <v>17740</v>
      </c>
      <c r="H4983" s="11" t="s">
        <v>13636</v>
      </c>
      <c r="I4983" s="11" t="s">
        <v>13635</v>
      </c>
      <c r="J4983" s="11" t="s">
        <v>13635</v>
      </c>
      <c r="K4983" s="9" t="s">
        <v>13637</v>
      </c>
      <c r="L4983" s="9" t="s">
        <v>46455</v>
      </c>
      <c r="M4983" s="9" t="s">
        <v>17760</v>
      </c>
      <c r="N4983" s="9" t="s">
        <v>18171</v>
      </c>
      <c r="O4983" s="9" t="s">
        <v>3524</v>
      </c>
      <c r="P4983" s="9" t="s">
        <v>17748</v>
      </c>
      <c r="Q4983" s="11" t="s">
        <v>17994</v>
      </c>
      <c r="R4983" s="11" t="s">
        <v>17994</v>
      </c>
      <c r="S4983" s="11" t="s">
        <v>17750</v>
      </c>
    </row>
    <row r="4984" spans="1:19" x14ac:dyDescent="0.2">
      <c r="A4984" s="11" t="s">
        <v>46636</v>
      </c>
      <c r="B4984" s="9" t="s">
        <v>46637</v>
      </c>
      <c r="C4984" s="9" t="s">
        <v>46638</v>
      </c>
      <c r="D4984" s="9" t="s">
        <v>46639</v>
      </c>
      <c r="E4984" s="9" t="s">
        <v>17740</v>
      </c>
      <c r="F4984" s="9" t="s">
        <v>46640</v>
      </c>
      <c r="G4984" s="9" t="s">
        <v>17740</v>
      </c>
      <c r="H4984" s="11" t="s">
        <v>46641</v>
      </c>
      <c r="I4984" s="11" t="s">
        <v>3684</v>
      </c>
      <c r="J4984" s="11" t="s">
        <v>3684</v>
      </c>
      <c r="K4984" s="9" t="s">
        <v>46642</v>
      </c>
      <c r="L4984" s="9" t="s">
        <v>18249</v>
      </c>
      <c r="M4984" s="9" t="s">
        <v>17817</v>
      </c>
      <c r="N4984" s="9" t="s">
        <v>17746</v>
      </c>
      <c r="O4984" s="9" t="s">
        <v>18009</v>
      </c>
      <c r="P4984" s="9" t="s">
        <v>17748</v>
      </c>
      <c r="Q4984" s="11" t="s">
        <v>19515</v>
      </c>
      <c r="R4984" s="11" t="s">
        <v>19515</v>
      </c>
      <c r="S4984" s="11" t="s">
        <v>17750</v>
      </c>
    </row>
    <row r="4985" spans="1:19" x14ac:dyDescent="0.2">
      <c r="A4985" s="11" t="s">
        <v>46643</v>
      </c>
      <c r="B4985" s="9" t="s">
        <v>46644</v>
      </c>
      <c r="C4985" s="9" t="s">
        <v>46645</v>
      </c>
      <c r="D4985" s="9" t="s">
        <v>46646</v>
      </c>
      <c r="E4985" s="9" t="s">
        <v>17740</v>
      </c>
      <c r="F4985" s="9" t="s">
        <v>17741</v>
      </c>
      <c r="G4985" s="9" t="s">
        <v>17740</v>
      </c>
      <c r="H4985" s="11" t="s">
        <v>17741</v>
      </c>
      <c r="I4985" s="11" t="s">
        <v>46647</v>
      </c>
      <c r="J4985" s="11" t="s">
        <v>46647</v>
      </c>
      <c r="K4985" s="9" t="s">
        <v>46648</v>
      </c>
      <c r="L4985" s="9" t="s">
        <v>18249</v>
      </c>
      <c r="M4985" s="9" t="s">
        <v>17760</v>
      </c>
      <c r="N4985" s="9" t="s">
        <v>21551</v>
      </c>
      <c r="O4985" s="9" t="s">
        <v>32020</v>
      </c>
      <c r="P4985" s="9" t="s">
        <v>17748</v>
      </c>
      <c r="Q4985" s="11" t="s">
        <v>18147</v>
      </c>
      <c r="R4985" s="11" t="s">
        <v>18147</v>
      </c>
      <c r="S4985" s="11" t="s">
        <v>17750</v>
      </c>
    </row>
    <row r="4986" spans="1:19" x14ac:dyDescent="0.2">
      <c r="A4986" s="11" t="s">
        <v>46649</v>
      </c>
      <c r="B4986" s="9" t="s">
        <v>46650</v>
      </c>
      <c r="C4986" s="9" t="s">
        <v>46651</v>
      </c>
      <c r="D4986" s="9" t="s">
        <v>46652</v>
      </c>
      <c r="E4986" s="9" t="s">
        <v>17740</v>
      </c>
      <c r="F4986" s="9" t="s">
        <v>46653</v>
      </c>
      <c r="G4986" s="9" t="s">
        <v>17740</v>
      </c>
      <c r="H4986" s="11" t="s">
        <v>17741</v>
      </c>
      <c r="I4986" s="11" t="s">
        <v>8725</v>
      </c>
      <c r="J4986" s="11" t="s">
        <v>8725</v>
      </c>
      <c r="K4986" s="9" t="s">
        <v>175</v>
      </c>
      <c r="L4986" s="9" t="s">
        <v>18249</v>
      </c>
      <c r="M4986" s="9" t="s">
        <v>17769</v>
      </c>
      <c r="N4986" s="9" t="s">
        <v>21551</v>
      </c>
      <c r="O4986" s="9" t="s">
        <v>15733</v>
      </c>
      <c r="P4986" s="9" t="s">
        <v>17748</v>
      </c>
      <c r="Q4986" s="11" t="s">
        <v>19361</v>
      </c>
      <c r="R4986" s="11" t="s">
        <v>19361</v>
      </c>
      <c r="S4986" s="11" t="s">
        <v>17750</v>
      </c>
    </row>
    <row r="4987" spans="1:19" x14ac:dyDescent="0.2">
      <c r="A4987" s="11" t="s">
        <v>46654</v>
      </c>
      <c r="B4987" s="9" t="s">
        <v>46655</v>
      </c>
      <c r="C4987" s="9" t="s">
        <v>46656</v>
      </c>
      <c r="D4987" s="9" t="s">
        <v>46657</v>
      </c>
      <c r="E4987" s="9" t="s">
        <v>17748</v>
      </c>
      <c r="F4987" s="9" t="s">
        <v>46658</v>
      </c>
      <c r="G4987" s="9" t="s">
        <v>17740</v>
      </c>
      <c r="H4987" s="11" t="s">
        <v>17741</v>
      </c>
      <c r="I4987" s="11" t="s">
        <v>46659</v>
      </c>
      <c r="J4987" s="11" t="s">
        <v>46659</v>
      </c>
      <c r="K4987" s="9" t="s">
        <v>46660</v>
      </c>
      <c r="L4987" s="9" t="s">
        <v>17929</v>
      </c>
      <c r="M4987" s="9" t="s">
        <v>46661</v>
      </c>
      <c r="N4987" s="9" t="s">
        <v>18042</v>
      </c>
      <c r="O4987" s="9" t="s">
        <v>18340</v>
      </c>
      <c r="P4987" s="9" t="s">
        <v>17748</v>
      </c>
      <c r="Q4987" s="11" t="s">
        <v>17978</v>
      </c>
      <c r="R4987" s="11" t="s">
        <v>17978</v>
      </c>
      <c r="S4987" s="11" t="s">
        <v>17750</v>
      </c>
    </row>
    <row r="4988" spans="1:19" x14ac:dyDescent="0.2">
      <c r="A4988" s="11" t="s">
        <v>46662</v>
      </c>
      <c r="B4988" s="9" t="s">
        <v>46663</v>
      </c>
      <c r="C4988" s="9" t="s">
        <v>46664</v>
      </c>
      <c r="D4988" s="9" t="s">
        <v>46665</v>
      </c>
      <c r="E4988" s="9" t="s">
        <v>17740</v>
      </c>
      <c r="F4988" s="9" t="s">
        <v>46666</v>
      </c>
      <c r="G4988" s="9" t="s">
        <v>17740</v>
      </c>
      <c r="H4988" s="11" t="s">
        <v>17741</v>
      </c>
      <c r="I4988" s="11" t="s">
        <v>46667</v>
      </c>
      <c r="J4988" s="11" t="s">
        <v>46667</v>
      </c>
      <c r="K4988" s="9" t="s">
        <v>46668</v>
      </c>
      <c r="L4988" s="9" t="s">
        <v>20359</v>
      </c>
      <c r="M4988" s="9" t="s">
        <v>17760</v>
      </c>
      <c r="N4988" s="9" t="s">
        <v>18042</v>
      </c>
      <c r="O4988" s="9" t="s">
        <v>31120</v>
      </c>
      <c r="P4988" s="9" t="s">
        <v>17748</v>
      </c>
      <c r="Q4988" s="11" t="s">
        <v>17808</v>
      </c>
      <c r="R4988" s="11" t="s">
        <v>17808</v>
      </c>
      <c r="S4988" s="11" t="s">
        <v>17750</v>
      </c>
    </row>
    <row r="4989" spans="1:19" x14ac:dyDescent="0.2">
      <c r="A4989" s="11" t="s">
        <v>46669</v>
      </c>
      <c r="B4989" s="9" t="s">
        <v>46670</v>
      </c>
      <c r="C4989" s="9" t="s">
        <v>46671</v>
      </c>
      <c r="D4989" s="9" t="s">
        <v>46672</v>
      </c>
      <c r="E4989" s="9" t="s">
        <v>17740</v>
      </c>
      <c r="F4989" s="9" t="s">
        <v>46673</v>
      </c>
      <c r="G4989" s="9" t="s">
        <v>17740</v>
      </c>
      <c r="H4989" s="11" t="s">
        <v>17741</v>
      </c>
      <c r="I4989" s="11" t="s">
        <v>3645</v>
      </c>
      <c r="J4989" s="11" t="s">
        <v>3645</v>
      </c>
      <c r="K4989" s="9" t="s">
        <v>46674</v>
      </c>
      <c r="L4989" s="9" t="s">
        <v>20359</v>
      </c>
      <c r="M4989" s="9" t="s">
        <v>18170</v>
      </c>
      <c r="N4989" s="9" t="s">
        <v>18042</v>
      </c>
      <c r="O4989" s="9" t="s">
        <v>18418</v>
      </c>
      <c r="P4989" s="9" t="s">
        <v>17748</v>
      </c>
      <c r="Q4989" s="11" t="s">
        <v>46675</v>
      </c>
      <c r="R4989" s="11" t="s">
        <v>46675</v>
      </c>
      <c r="S4989" s="11" t="s">
        <v>17750</v>
      </c>
    </row>
    <row r="4990" spans="1:19" x14ac:dyDescent="0.2">
      <c r="A4990" s="11" t="s">
        <v>46676</v>
      </c>
      <c r="B4990" s="9" t="s">
        <v>46677</v>
      </c>
      <c r="C4990" s="9" t="s">
        <v>46678</v>
      </c>
      <c r="D4990" s="9" t="s">
        <v>46679</v>
      </c>
      <c r="E4990" s="9" t="s">
        <v>17740</v>
      </c>
      <c r="F4990" s="9" t="s">
        <v>46680</v>
      </c>
      <c r="G4990" s="9" t="s">
        <v>17740</v>
      </c>
      <c r="H4990" s="11" t="s">
        <v>17741</v>
      </c>
      <c r="I4990" s="11" t="s">
        <v>46681</v>
      </c>
      <c r="J4990" s="11" t="s">
        <v>46681</v>
      </c>
      <c r="K4990" s="9" t="s">
        <v>46682</v>
      </c>
      <c r="L4990" s="9" t="s">
        <v>20359</v>
      </c>
      <c r="M4990" s="9" t="s">
        <v>46683</v>
      </c>
      <c r="N4990" s="9" t="s">
        <v>18042</v>
      </c>
      <c r="O4990" s="9" t="s">
        <v>17800</v>
      </c>
      <c r="P4990" s="9" t="s">
        <v>17748</v>
      </c>
      <c r="Q4990" s="11" t="s">
        <v>19899</v>
      </c>
      <c r="R4990" s="11" t="s">
        <v>19899</v>
      </c>
      <c r="S4990" s="11" t="s">
        <v>17750</v>
      </c>
    </row>
    <row r="4991" spans="1:19" x14ac:dyDescent="0.2">
      <c r="A4991" s="11" t="s">
        <v>46684</v>
      </c>
      <c r="B4991" s="9" t="s">
        <v>46685</v>
      </c>
      <c r="C4991" s="9" t="s">
        <v>46686</v>
      </c>
      <c r="D4991" s="9" t="s">
        <v>46687</v>
      </c>
      <c r="E4991" s="9" t="s">
        <v>17740</v>
      </c>
      <c r="F4991" s="9" t="s">
        <v>46688</v>
      </c>
      <c r="G4991" s="9" t="s">
        <v>17740</v>
      </c>
      <c r="H4991" s="11" t="s">
        <v>3662</v>
      </c>
      <c r="I4991" s="11" t="s">
        <v>3661</v>
      </c>
      <c r="J4991" s="11" t="s">
        <v>3661</v>
      </c>
      <c r="K4991" s="9" t="s">
        <v>91</v>
      </c>
      <c r="L4991" s="9" t="s">
        <v>20359</v>
      </c>
      <c r="M4991" s="9" t="s">
        <v>18289</v>
      </c>
      <c r="N4991" s="9" t="s">
        <v>18042</v>
      </c>
      <c r="O4991" s="9" t="s">
        <v>5938</v>
      </c>
      <c r="P4991" s="9" t="s">
        <v>17748</v>
      </c>
      <c r="Q4991" s="11" t="s">
        <v>19222</v>
      </c>
      <c r="R4991" s="11" t="s">
        <v>19222</v>
      </c>
      <c r="S4991" s="11" t="s">
        <v>17750</v>
      </c>
    </row>
    <row r="4992" spans="1:19" x14ac:dyDescent="0.2">
      <c r="A4992" s="11" t="s">
        <v>46689</v>
      </c>
      <c r="B4992" s="9" t="s">
        <v>46690</v>
      </c>
      <c r="C4992" s="9" t="s">
        <v>46691</v>
      </c>
      <c r="D4992" s="9" t="s">
        <v>46692</v>
      </c>
      <c r="E4992" s="9" t="s">
        <v>17740</v>
      </c>
      <c r="F4992" s="9" t="s">
        <v>46693</v>
      </c>
      <c r="G4992" s="9" t="s">
        <v>17740</v>
      </c>
      <c r="H4992" s="11" t="s">
        <v>17741</v>
      </c>
      <c r="I4992" s="11" t="s">
        <v>3690</v>
      </c>
      <c r="J4992" s="11" t="s">
        <v>3690</v>
      </c>
      <c r="K4992" s="9" t="s">
        <v>20386</v>
      </c>
      <c r="L4992" s="9" t="s">
        <v>20359</v>
      </c>
      <c r="M4992" s="9" t="s">
        <v>18065</v>
      </c>
      <c r="N4992" s="9" t="s">
        <v>18042</v>
      </c>
      <c r="O4992" s="9" t="s">
        <v>15733</v>
      </c>
      <c r="P4992" s="9" t="s">
        <v>17748</v>
      </c>
      <c r="Q4992" s="11" t="s">
        <v>18341</v>
      </c>
      <c r="R4992" s="11" t="s">
        <v>18341</v>
      </c>
      <c r="S4992" s="11" t="s">
        <v>17750</v>
      </c>
    </row>
    <row r="4993" spans="1:19" x14ac:dyDescent="0.2">
      <c r="A4993" s="11" t="s">
        <v>46694</v>
      </c>
      <c r="B4993" s="9" t="s">
        <v>46695</v>
      </c>
      <c r="C4993" s="9" t="s">
        <v>46696</v>
      </c>
      <c r="D4993" s="9" t="s">
        <v>46697</v>
      </c>
      <c r="E4993" s="9" t="s">
        <v>17748</v>
      </c>
      <c r="F4993" s="9" t="s">
        <v>46698</v>
      </c>
      <c r="G4993" s="9" t="s">
        <v>17740</v>
      </c>
      <c r="H4993" s="11" t="s">
        <v>46699</v>
      </c>
      <c r="I4993" s="11" t="s">
        <v>46700</v>
      </c>
      <c r="J4993" s="11" t="s">
        <v>17741</v>
      </c>
      <c r="K4993" s="9" t="s">
        <v>17741</v>
      </c>
      <c r="L4993" s="9" t="s">
        <v>20359</v>
      </c>
      <c r="M4993" s="9" t="s">
        <v>17769</v>
      </c>
      <c r="N4993" s="9" t="s">
        <v>18042</v>
      </c>
      <c r="O4993" s="9" t="s">
        <v>20746</v>
      </c>
      <c r="P4993" s="9" t="s">
        <v>17748</v>
      </c>
      <c r="Q4993" s="11" t="s">
        <v>18089</v>
      </c>
      <c r="R4993" s="11" t="s">
        <v>18089</v>
      </c>
      <c r="S4993" s="11" t="s">
        <v>17750</v>
      </c>
    </row>
    <row r="4994" spans="1:19" x14ac:dyDescent="0.2">
      <c r="A4994" s="11" t="s">
        <v>46701</v>
      </c>
      <c r="B4994" s="9" t="s">
        <v>46702</v>
      </c>
      <c r="C4994" s="9" t="s">
        <v>46703</v>
      </c>
      <c r="D4994" s="9" t="s">
        <v>46704</v>
      </c>
      <c r="E4994" s="9" t="s">
        <v>17740</v>
      </c>
      <c r="F4994" s="9" t="s">
        <v>46705</v>
      </c>
      <c r="G4994" s="9" t="s">
        <v>17740</v>
      </c>
      <c r="H4994" s="11" t="s">
        <v>17741</v>
      </c>
      <c r="I4994" s="11" t="s">
        <v>46706</v>
      </c>
      <c r="J4994" s="11" t="s">
        <v>46706</v>
      </c>
      <c r="K4994" s="9" t="s">
        <v>46707</v>
      </c>
      <c r="L4994" s="9" t="s">
        <v>20359</v>
      </c>
      <c r="M4994" s="9" t="s">
        <v>31193</v>
      </c>
      <c r="N4994" s="9" t="s">
        <v>18042</v>
      </c>
      <c r="O4994" s="9" t="s">
        <v>17747</v>
      </c>
      <c r="P4994" s="9" t="s">
        <v>17748</v>
      </c>
      <c r="Q4994" s="11" t="s">
        <v>19522</v>
      </c>
      <c r="R4994" s="11" t="s">
        <v>19522</v>
      </c>
      <c r="S4994" s="11" t="s">
        <v>17750</v>
      </c>
    </row>
    <row r="4995" spans="1:19" x14ac:dyDescent="0.2">
      <c r="A4995" s="11" t="s">
        <v>46708</v>
      </c>
      <c r="B4995" s="9" t="s">
        <v>46709</v>
      </c>
      <c r="C4995" s="9" t="s">
        <v>46710</v>
      </c>
      <c r="D4995" s="9" t="s">
        <v>46711</v>
      </c>
      <c r="E4995" s="9" t="s">
        <v>17740</v>
      </c>
      <c r="F4995" s="9" t="s">
        <v>46712</v>
      </c>
      <c r="G4995" s="9" t="s">
        <v>17740</v>
      </c>
      <c r="H4995" s="11" t="s">
        <v>17741</v>
      </c>
      <c r="I4995" s="11" t="s">
        <v>3625</v>
      </c>
      <c r="J4995" s="11" t="s">
        <v>3625</v>
      </c>
      <c r="K4995" s="9" t="s">
        <v>20380</v>
      </c>
      <c r="L4995" s="9" t="s">
        <v>20359</v>
      </c>
      <c r="M4995" s="9" t="s">
        <v>17769</v>
      </c>
      <c r="N4995" s="9" t="s">
        <v>17746</v>
      </c>
      <c r="O4995" s="9" t="s">
        <v>24577</v>
      </c>
      <c r="P4995" s="9" t="s">
        <v>17748</v>
      </c>
      <c r="Q4995" s="11" t="s">
        <v>19026</v>
      </c>
      <c r="R4995" s="11" t="s">
        <v>19026</v>
      </c>
      <c r="S4995" s="11" t="s">
        <v>17750</v>
      </c>
    </row>
    <row r="4996" spans="1:19" x14ac:dyDescent="0.2">
      <c r="A4996" s="11" t="s">
        <v>46713</v>
      </c>
      <c r="B4996" s="9" t="s">
        <v>46714</v>
      </c>
      <c r="C4996" s="9" t="s">
        <v>46715</v>
      </c>
      <c r="D4996" s="9" t="s">
        <v>46716</v>
      </c>
      <c r="E4996" s="9" t="s">
        <v>17740</v>
      </c>
      <c r="F4996" s="9" t="s">
        <v>46717</v>
      </c>
      <c r="G4996" s="9" t="s">
        <v>17740</v>
      </c>
      <c r="H4996" s="11" t="s">
        <v>3667</v>
      </c>
      <c r="I4996" s="11" t="s">
        <v>3666</v>
      </c>
      <c r="J4996" s="11" t="s">
        <v>3666</v>
      </c>
      <c r="K4996" s="9" t="s">
        <v>46718</v>
      </c>
      <c r="L4996" s="9" t="s">
        <v>20359</v>
      </c>
      <c r="M4996" s="9" t="s">
        <v>17769</v>
      </c>
      <c r="N4996" s="9" t="s">
        <v>18042</v>
      </c>
      <c r="O4996" s="9" t="s">
        <v>15733</v>
      </c>
      <c r="P4996" s="9" t="s">
        <v>17748</v>
      </c>
      <c r="Q4996" s="11" t="s">
        <v>18341</v>
      </c>
      <c r="R4996" s="11" t="s">
        <v>18341</v>
      </c>
      <c r="S4996" s="11" t="s">
        <v>17750</v>
      </c>
    </row>
    <row r="4997" spans="1:19" x14ac:dyDescent="0.2">
      <c r="A4997" s="11" t="s">
        <v>46719</v>
      </c>
      <c r="B4997" s="9" t="s">
        <v>46720</v>
      </c>
      <c r="C4997" s="9" t="s">
        <v>46721</v>
      </c>
      <c r="D4997" s="9" t="s">
        <v>46722</v>
      </c>
      <c r="E4997" s="9" t="s">
        <v>17740</v>
      </c>
      <c r="F4997" s="9" t="s">
        <v>46723</v>
      </c>
      <c r="G4997" s="9" t="s">
        <v>17740</v>
      </c>
      <c r="H4997" s="11" t="s">
        <v>17741</v>
      </c>
      <c r="I4997" s="11" t="s">
        <v>46724</v>
      </c>
      <c r="J4997" s="11" t="s">
        <v>46724</v>
      </c>
      <c r="K4997" s="9" t="s">
        <v>46725</v>
      </c>
      <c r="L4997" s="9" t="s">
        <v>20359</v>
      </c>
      <c r="M4997" s="9" t="s">
        <v>17778</v>
      </c>
      <c r="N4997" s="9" t="s">
        <v>18042</v>
      </c>
      <c r="O4997" s="9" t="s">
        <v>23685</v>
      </c>
      <c r="P4997" s="9" t="s">
        <v>17748</v>
      </c>
      <c r="Q4997" s="11" t="s">
        <v>19770</v>
      </c>
      <c r="R4997" s="11" t="s">
        <v>19770</v>
      </c>
      <c r="S4997" s="11" t="s">
        <v>17750</v>
      </c>
    </row>
    <row r="4998" spans="1:19" x14ac:dyDescent="0.2">
      <c r="A4998" s="11" t="s">
        <v>46726</v>
      </c>
      <c r="B4998" s="9" t="s">
        <v>46727</v>
      </c>
      <c r="C4998" s="9" t="s">
        <v>46728</v>
      </c>
      <c r="D4998" s="9" t="s">
        <v>46729</v>
      </c>
      <c r="E4998" s="9" t="s">
        <v>17740</v>
      </c>
      <c r="F4998" s="9" t="s">
        <v>46730</v>
      </c>
      <c r="G4998" s="9" t="s">
        <v>17740</v>
      </c>
      <c r="H4998" s="11" t="s">
        <v>17741</v>
      </c>
      <c r="I4998" s="11" t="s">
        <v>3615</v>
      </c>
      <c r="J4998" s="11" t="s">
        <v>3615</v>
      </c>
      <c r="K4998" s="9" t="s">
        <v>46731</v>
      </c>
      <c r="L4998" s="9" t="s">
        <v>20359</v>
      </c>
      <c r="M4998" s="9" t="s">
        <v>46732</v>
      </c>
      <c r="N4998" s="9" t="s">
        <v>18042</v>
      </c>
      <c r="O4998" s="9" t="s">
        <v>17993</v>
      </c>
      <c r="P4998" s="9" t="s">
        <v>17748</v>
      </c>
      <c r="Q4998" s="11" t="s">
        <v>20021</v>
      </c>
      <c r="R4998" s="11" t="s">
        <v>20021</v>
      </c>
      <c r="S4998" s="11" t="s">
        <v>17750</v>
      </c>
    </row>
    <row r="4999" spans="1:19" x14ac:dyDescent="0.2">
      <c r="A4999" s="11" t="s">
        <v>46733</v>
      </c>
      <c r="B4999" s="9" t="s">
        <v>46734</v>
      </c>
      <c r="C4999" s="9" t="s">
        <v>46735</v>
      </c>
      <c r="D4999" s="9" t="s">
        <v>46736</v>
      </c>
      <c r="E4999" s="9" t="s">
        <v>17740</v>
      </c>
      <c r="F4999" s="9" t="s">
        <v>46737</v>
      </c>
      <c r="G4999" s="9" t="s">
        <v>17740</v>
      </c>
      <c r="H4999" s="11" t="s">
        <v>17741</v>
      </c>
      <c r="I4999" s="11" t="s">
        <v>3655</v>
      </c>
      <c r="J4999" s="11" t="s">
        <v>3655</v>
      </c>
      <c r="K4999" s="9" t="s">
        <v>46738</v>
      </c>
      <c r="L4999" s="9" t="s">
        <v>17929</v>
      </c>
      <c r="M4999" s="9" t="s">
        <v>18065</v>
      </c>
      <c r="N4999" s="9" t="s">
        <v>18042</v>
      </c>
      <c r="O4999" s="9" t="s">
        <v>17993</v>
      </c>
      <c r="P4999" s="9" t="s">
        <v>17748</v>
      </c>
      <c r="Q4999" s="11" t="s">
        <v>18549</v>
      </c>
      <c r="R4999" s="11" t="s">
        <v>18549</v>
      </c>
      <c r="S4999" s="11" t="s">
        <v>17750</v>
      </c>
    </row>
    <row r="5000" spans="1:19" x14ac:dyDescent="0.2">
      <c r="A5000" s="11" t="s">
        <v>46739</v>
      </c>
      <c r="B5000" s="9" t="s">
        <v>46740</v>
      </c>
      <c r="C5000" s="9" t="s">
        <v>46741</v>
      </c>
      <c r="D5000" s="9" t="s">
        <v>46742</v>
      </c>
      <c r="E5000" s="9" t="s">
        <v>17740</v>
      </c>
      <c r="F5000" s="9" t="s">
        <v>17741</v>
      </c>
      <c r="G5000" s="9" t="s">
        <v>17740</v>
      </c>
      <c r="H5000" s="11" t="s">
        <v>17741</v>
      </c>
      <c r="I5000" s="11" t="s">
        <v>3664</v>
      </c>
      <c r="J5000" s="11" t="s">
        <v>3664</v>
      </c>
      <c r="K5000" s="9" t="s">
        <v>46743</v>
      </c>
      <c r="L5000" s="9" t="s">
        <v>17929</v>
      </c>
      <c r="M5000" s="9" t="s">
        <v>17817</v>
      </c>
      <c r="N5000" s="9" t="s">
        <v>18042</v>
      </c>
      <c r="O5000" s="9" t="s">
        <v>17993</v>
      </c>
      <c r="P5000" s="9" t="s">
        <v>17748</v>
      </c>
      <c r="Q5000" s="11" t="s">
        <v>18010</v>
      </c>
      <c r="R5000" s="11" t="s">
        <v>18010</v>
      </c>
      <c r="S5000" s="11" t="s">
        <v>17750</v>
      </c>
    </row>
    <row r="5001" spans="1:19" x14ac:dyDescent="0.2">
      <c r="A5001" s="11" t="s">
        <v>46744</v>
      </c>
      <c r="B5001" s="9" t="s">
        <v>46745</v>
      </c>
      <c r="C5001" s="9" t="s">
        <v>46746</v>
      </c>
      <c r="D5001" s="9" t="s">
        <v>46747</v>
      </c>
      <c r="E5001" s="9" t="s">
        <v>17748</v>
      </c>
      <c r="F5001" s="9" t="s">
        <v>46748</v>
      </c>
      <c r="G5001" s="9" t="s">
        <v>17740</v>
      </c>
      <c r="H5001" s="11" t="s">
        <v>17741</v>
      </c>
      <c r="I5001" s="11" t="s">
        <v>11603</v>
      </c>
      <c r="J5001" s="11" t="s">
        <v>11603</v>
      </c>
      <c r="K5001" s="9" t="s">
        <v>46749</v>
      </c>
      <c r="L5001" s="9" t="s">
        <v>18123</v>
      </c>
      <c r="M5001" s="9" t="s">
        <v>46750</v>
      </c>
      <c r="N5001" s="9" t="s">
        <v>18042</v>
      </c>
      <c r="O5001" s="9" t="s">
        <v>17993</v>
      </c>
      <c r="P5001" s="9" t="s">
        <v>17748</v>
      </c>
      <c r="Q5001" s="11" t="s">
        <v>17984</v>
      </c>
      <c r="R5001" s="11" t="s">
        <v>17984</v>
      </c>
      <c r="S5001" s="11" t="s">
        <v>17750</v>
      </c>
    </row>
    <row r="5002" spans="1:19" x14ac:dyDescent="0.2">
      <c r="A5002" s="11" t="s">
        <v>46751</v>
      </c>
      <c r="B5002" s="9" t="s">
        <v>46752</v>
      </c>
      <c r="C5002" s="9" t="s">
        <v>46753</v>
      </c>
      <c r="D5002" s="9" t="s">
        <v>46754</v>
      </c>
      <c r="E5002" s="9" t="s">
        <v>17740</v>
      </c>
      <c r="F5002" s="9" t="s">
        <v>17741</v>
      </c>
      <c r="G5002" s="9" t="s">
        <v>17740</v>
      </c>
      <c r="H5002" s="11" t="s">
        <v>17741</v>
      </c>
      <c r="I5002" s="11" t="s">
        <v>3602</v>
      </c>
      <c r="J5002" s="11" t="s">
        <v>3602</v>
      </c>
      <c r="K5002" s="9" t="s">
        <v>20386</v>
      </c>
      <c r="L5002" s="9" t="s">
        <v>20359</v>
      </c>
      <c r="M5002" s="9" t="s">
        <v>17817</v>
      </c>
      <c r="N5002" s="9" t="s">
        <v>18042</v>
      </c>
      <c r="O5002" s="9" t="s">
        <v>3100</v>
      </c>
      <c r="P5002" s="9" t="s">
        <v>17748</v>
      </c>
      <c r="Q5002" s="11" t="s">
        <v>46755</v>
      </c>
      <c r="R5002" s="11" t="s">
        <v>46755</v>
      </c>
      <c r="S5002" s="11" t="s">
        <v>17750</v>
      </c>
    </row>
    <row r="5003" spans="1:19" x14ac:dyDescent="0.2">
      <c r="A5003" s="11" t="s">
        <v>46756</v>
      </c>
      <c r="B5003" s="9" t="s">
        <v>46757</v>
      </c>
      <c r="C5003" s="9" t="s">
        <v>46758</v>
      </c>
      <c r="D5003" s="9" t="s">
        <v>46759</v>
      </c>
      <c r="E5003" s="9" t="s">
        <v>17740</v>
      </c>
      <c r="F5003" s="9" t="s">
        <v>17741</v>
      </c>
      <c r="G5003" s="9" t="s">
        <v>17740</v>
      </c>
      <c r="H5003" s="11" t="s">
        <v>46760</v>
      </c>
      <c r="I5003" s="11" t="s">
        <v>46761</v>
      </c>
      <c r="J5003" s="11" t="s">
        <v>46761</v>
      </c>
      <c r="K5003" s="9" t="s">
        <v>46762</v>
      </c>
      <c r="L5003" s="9" t="s">
        <v>20359</v>
      </c>
      <c r="M5003" s="9" t="s">
        <v>46763</v>
      </c>
      <c r="N5003" s="9" t="s">
        <v>17746</v>
      </c>
      <c r="O5003" s="9" t="s">
        <v>46764</v>
      </c>
      <c r="P5003" s="9" t="s">
        <v>17748</v>
      </c>
      <c r="Q5003" s="11" t="s">
        <v>19515</v>
      </c>
      <c r="R5003" s="11" t="s">
        <v>19515</v>
      </c>
      <c r="S5003" s="11" t="s">
        <v>17750</v>
      </c>
    </row>
    <row r="5004" spans="1:19" x14ac:dyDescent="0.2">
      <c r="A5004" s="11" t="s">
        <v>46765</v>
      </c>
      <c r="B5004" s="9" t="s">
        <v>46766</v>
      </c>
      <c r="C5004" s="9" t="s">
        <v>46767</v>
      </c>
      <c r="D5004" s="9" t="s">
        <v>46768</v>
      </c>
      <c r="E5004" s="9" t="s">
        <v>17740</v>
      </c>
      <c r="F5004" s="9" t="s">
        <v>46769</v>
      </c>
      <c r="G5004" s="9" t="s">
        <v>17740</v>
      </c>
      <c r="H5004" s="11" t="s">
        <v>4544</v>
      </c>
      <c r="I5004" s="11" t="s">
        <v>4543</v>
      </c>
      <c r="J5004" s="11" t="s">
        <v>4543</v>
      </c>
      <c r="K5004" s="9" t="s">
        <v>18921</v>
      </c>
      <c r="L5004" s="9" t="s">
        <v>17759</v>
      </c>
      <c r="M5004" s="9" t="s">
        <v>17778</v>
      </c>
      <c r="N5004" s="9" t="s">
        <v>17746</v>
      </c>
      <c r="O5004" s="9" t="s">
        <v>18534</v>
      </c>
      <c r="P5004" s="9" t="s">
        <v>17748</v>
      </c>
      <c r="Q5004" s="11" t="s">
        <v>18364</v>
      </c>
      <c r="R5004" s="11" t="s">
        <v>18364</v>
      </c>
      <c r="S5004" s="11" t="s">
        <v>17750</v>
      </c>
    </row>
    <row r="5005" spans="1:19" x14ac:dyDescent="0.2">
      <c r="A5005" s="11" t="s">
        <v>46770</v>
      </c>
      <c r="B5005" s="9" t="s">
        <v>46771</v>
      </c>
      <c r="C5005" s="9" t="s">
        <v>46772</v>
      </c>
      <c r="D5005" s="9" t="s">
        <v>46773</v>
      </c>
      <c r="E5005" s="9" t="s">
        <v>17748</v>
      </c>
      <c r="F5005" s="9" t="s">
        <v>46774</v>
      </c>
      <c r="G5005" s="9" t="s">
        <v>17740</v>
      </c>
      <c r="H5005" s="11" t="s">
        <v>8335</v>
      </c>
      <c r="I5005" s="11" t="s">
        <v>8334</v>
      </c>
      <c r="J5005" s="11" t="s">
        <v>8334</v>
      </c>
      <c r="K5005" s="9" t="s">
        <v>55</v>
      </c>
      <c r="L5005" s="9" t="s">
        <v>17744</v>
      </c>
      <c r="M5005" s="9" t="s">
        <v>17817</v>
      </c>
      <c r="N5005" s="9" t="s">
        <v>17746</v>
      </c>
      <c r="O5005" s="9" t="s">
        <v>18534</v>
      </c>
      <c r="P5005" s="9" t="s">
        <v>17748</v>
      </c>
      <c r="Q5005" s="11" t="s">
        <v>18356</v>
      </c>
      <c r="R5005" s="11" t="s">
        <v>18356</v>
      </c>
      <c r="S5005" s="11" t="s">
        <v>17750</v>
      </c>
    </row>
    <row r="5006" spans="1:19" x14ac:dyDescent="0.2">
      <c r="A5006" s="11" t="s">
        <v>46775</v>
      </c>
      <c r="B5006" s="9" t="s">
        <v>46776</v>
      </c>
      <c r="C5006" s="9" t="s">
        <v>46777</v>
      </c>
      <c r="D5006" s="9" t="s">
        <v>46778</v>
      </c>
      <c r="E5006" s="9" t="s">
        <v>17740</v>
      </c>
      <c r="F5006" s="9" t="s">
        <v>17741</v>
      </c>
      <c r="G5006" s="9" t="s">
        <v>17740</v>
      </c>
      <c r="H5006" s="11" t="s">
        <v>3637</v>
      </c>
      <c r="I5006" s="11" t="s">
        <v>3636</v>
      </c>
      <c r="J5006" s="11" t="s">
        <v>3636</v>
      </c>
      <c r="K5006" s="9" t="s">
        <v>17790</v>
      </c>
      <c r="L5006" s="9" t="s">
        <v>18158</v>
      </c>
      <c r="M5006" s="9" t="s">
        <v>21005</v>
      </c>
      <c r="N5006" s="9" t="s">
        <v>17746</v>
      </c>
      <c r="O5006" s="9" t="s">
        <v>18534</v>
      </c>
      <c r="P5006" s="9" t="s">
        <v>17748</v>
      </c>
      <c r="Q5006" s="11" t="s">
        <v>18433</v>
      </c>
      <c r="R5006" s="11" t="s">
        <v>18433</v>
      </c>
      <c r="S5006" s="11" t="s">
        <v>17750</v>
      </c>
    </row>
    <row r="5007" spans="1:19" x14ac:dyDescent="0.2">
      <c r="A5007" s="11" t="s">
        <v>46779</v>
      </c>
      <c r="B5007" s="9" t="s">
        <v>46780</v>
      </c>
      <c r="C5007" s="9" t="s">
        <v>46781</v>
      </c>
      <c r="D5007" s="9" t="s">
        <v>46780</v>
      </c>
      <c r="E5007" s="9" t="s">
        <v>17740</v>
      </c>
      <c r="F5007" s="9" t="s">
        <v>46782</v>
      </c>
      <c r="G5007" s="9" t="s">
        <v>17740</v>
      </c>
      <c r="H5007" s="11" t="s">
        <v>17741</v>
      </c>
      <c r="I5007" s="11" t="s">
        <v>46783</v>
      </c>
      <c r="J5007" s="11" t="s">
        <v>46783</v>
      </c>
      <c r="K5007" s="9" t="s">
        <v>46784</v>
      </c>
      <c r="L5007" s="9" t="s">
        <v>18001</v>
      </c>
      <c r="M5007" s="9" t="s">
        <v>17760</v>
      </c>
      <c r="N5007" s="9" t="s">
        <v>17746</v>
      </c>
      <c r="O5007" s="9" t="s">
        <v>18418</v>
      </c>
      <c r="P5007" s="9" t="s">
        <v>17748</v>
      </c>
      <c r="Q5007" s="11" t="s">
        <v>18282</v>
      </c>
      <c r="R5007" s="11" t="s">
        <v>18282</v>
      </c>
      <c r="S5007" s="11" t="s">
        <v>17750</v>
      </c>
    </row>
    <row r="5008" spans="1:19" x14ac:dyDescent="0.2">
      <c r="A5008" s="11" t="s">
        <v>46785</v>
      </c>
      <c r="B5008" s="9" t="s">
        <v>46786</v>
      </c>
      <c r="C5008" s="9" t="s">
        <v>46787</v>
      </c>
      <c r="D5008" s="9" t="s">
        <v>46788</v>
      </c>
      <c r="E5008" s="9" t="s">
        <v>17740</v>
      </c>
      <c r="F5008" s="9" t="s">
        <v>17741</v>
      </c>
      <c r="G5008" s="9" t="s">
        <v>17740</v>
      </c>
      <c r="H5008" s="11" t="s">
        <v>17741</v>
      </c>
      <c r="I5008" s="11" t="s">
        <v>46789</v>
      </c>
      <c r="J5008" s="11" t="s">
        <v>46789</v>
      </c>
      <c r="K5008" s="9" t="s">
        <v>46784</v>
      </c>
      <c r="L5008" s="9" t="s">
        <v>18001</v>
      </c>
      <c r="M5008" s="9" t="s">
        <v>17942</v>
      </c>
      <c r="N5008" s="9" t="s">
        <v>17746</v>
      </c>
      <c r="O5008" s="9" t="s">
        <v>18418</v>
      </c>
      <c r="P5008" s="9" t="s">
        <v>17748</v>
      </c>
      <c r="Q5008" s="11" t="s">
        <v>18364</v>
      </c>
      <c r="R5008" s="11" t="s">
        <v>18364</v>
      </c>
      <c r="S5008" s="11" t="s">
        <v>17750</v>
      </c>
    </row>
    <row r="5009" spans="1:19" x14ac:dyDescent="0.2">
      <c r="A5009" s="11" t="s">
        <v>46790</v>
      </c>
      <c r="B5009" s="9" t="s">
        <v>46791</v>
      </c>
      <c r="C5009" s="9" t="s">
        <v>46792</v>
      </c>
      <c r="D5009" s="9" t="s">
        <v>46793</v>
      </c>
      <c r="E5009" s="9" t="s">
        <v>17748</v>
      </c>
      <c r="F5009" s="9" t="s">
        <v>46794</v>
      </c>
      <c r="G5009" s="9" t="s">
        <v>17740</v>
      </c>
      <c r="H5009" s="11" t="s">
        <v>46795</v>
      </c>
      <c r="I5009" s="11" t="s">
        <v>46796</v>
      </c>
      <c r="J5009" s="11" t="s">
        <v>46796</v>
      </c>
      <c r="K5009" s="9" t="s">
        <v>17741</v>
      </c>
      <c r="L5009" s="9" t="s">
        <v>17759</v>
      </c>
      <c r="M5009" s="9" t="s">
        <v>17817</v>
      </c>
      <c r="N5009" s="9" t="s">
        <v>17746</v>
      </c>
      <c r="O5009" s="9" t="s">
        <v>17993</v>
      </c>
      <c r="P5009" s="9" t="s">
        <v>17748</v>
      </c>
      <c r="Q5009" s="11" t="s">
        <v>18089</v>
      </c>
      <c r="R5009" s="11" t="s">
        <v>18089</v>
      </c>
      <c r="S5009" s="11" t="s">
        <v>17750</v>
      </c>
    </row>
    <row r="5010" spans="1:19" x14ac:dyDescent="0.2">
      <c r="A5010" s="11" t="s">
        <v>46797</v>
      </c>
      <c r="B5010" s="9" t="s">
        <v>46798</v>
      </c>
      <c r="C5010" s="9" t="s">
        <v>46799</v>
      </c>
      <c r="D5010" s="9" t="s">
        <v>46800</v>
      </c>
      <c r="E5010" s="9" t="s">
        <v>17740</v>
      </c>
      <c r="F5010" s="9" t="s">
        <v>17741</v>
      </c>
      <c r="G5010" s="9" t="s">
        <v>17740</v>
      </c>
      <c r="H5010" s="11" t="s">
        <v>17741</v>
      </c>
      <c r="I5010" s="11" t="s">
        <v>46801</v>
      </c>
      <c r="J5010" s="11" t="s">
        <v>46801</v>
      </c>
      <c r="K5010" s="9" t="s">
        <v>46802</v>
      </c>
      <c r="L5010" s="9" t="s">
        <v>18242</v>
      </c>
      <c r="M5010" s="9" t="s">
        <v>18211</v>
      </c>
      <c r="N5010" s="9" t="s">
        <v>21524</v>
      </c>
      <c r="O5010" s="9" t="s">
        <v>18746</v>
      </c>
      <c r="P5010" s="9" t="s">
        <v>17748</v>
      </c>
      <c r="Q5010" s="11" t="s">
        <v>18678</v>
      </c>
      <c r="R5010" s="11" t="s">
        <v>18678</v>
      </c>
      <c r="S5010" s="11" t="s">
        <v>17750</v>
      </c>
    </row>
    <row r="5011" spans="1:19" x14ac:dyDescent="0.2">
      <c r="A5011" s="11" t="s">
        <v>46803</v>
      </c>
      <c r="B5011" s="9" t="s">
        <v>46804</v>
      </c>
      <c r="C5011" s="9" t="s">
        <v>46805</v>
      </c>
      <c r="D5011" s="9" t="s">
        <v>46806</v>
      </c>
      <c r="E5011" s="9" t="s">
        <v>17740</v>
      </c>
      <c r="F5011" s="9" t="s">
        <v>17741</v>
      </c>
      <c r="G5011" s="9" t="s">
        <v>17740</v>
      </c>
      <c r="H5011" s="11" t="s">
        <v>17741</v>
      </c>
      <c r="I5011" s="11" t="s">
        <v>46807</v>
      </c>
      <c r="J5011" s="11" t="s">
        <v>46807</v>
      </c>
      <c r="K5011" s="9" t="s">
        <v>46808</v>
      </c>
      <c r="L5011" s="9" t="s">
        <v>18242</v>
      </c>
      <c r="M5011" s="9" t="s">
        <v>18289</v>
      </c>
      <c r="N5011" s="9" t="s">
        <v>21524</v>
      </c>
      <c r="O5011" s="9" t="s">
        <v>19521</v>
      </c>
      <c r="P5011" s="9" t="s">
        <v>17748</v>
      </c>
      <c r="Q5011" s="11" t="s">
        <v>18470</v>
      </c>
      <c r="R5011" s="11" t="s">
        <v>18470</v>
      </c>
      <c r="S5011" s="11" t="s">
        <v>17750</v>
      </c>
    </row>
    <row r="5012" spans="1:19" x14ac:dyDescent="0.2">
      <c r="A5012" s="11" t="s">
        <v>46809</v>
      </c>
      <c r="B5012" s="9" t="s">
        <v>46810</v>
      </c>
      <c r="C5012" s="9" t="s">
        <v>46811</v>
      </c>
      <c r="D5012" s="9" t="s">
        <v>46812</v>
      </c>
      <c r="E5012" s="9" t="s">
        <v>17740</v>
      </c>
      <c r="F5012" s="9" t="s">
        <v>17741</v>
      </c>
      <c r="G5012" s="9" t="s">
        <v>17740</v>
      </c>
      <c r="H5012" s="11" t="s">
        <v>46813</v>
      </c>
      <c r="I5012" s="11" t="s">
        <v>46814</v>
      </c>
      <c r="J5012" s="11" t="s">
        <v>46814</v>
      </c>
      <c r="K5012" s="9" t="s">
        <v>46815</v>
      </c>
      <c r="L5012" s="9" t="s">
        <v>18242</v>
      </c>
      <c r="M5012" s="9" t="s">
        <v>17817</v>
      </c>
      <c r="N5012" s="9" t="s">
        <v>21524</v>
      </c>
      <c r="O5012" s="9" t="s">
        <v>7097</v>
      </c>
      <c r="P5012" s="9" t="s">
        <v>17748</v>
      </c>
      <c r="Q5012" s="11" t="s">
        <v>18556</v>
      </c>
      <c r="R5012" s="11" t="s">
        <v>18556</v>
      </c>
      <c r="S5012" s="11" t="s">
        <v>17750</v>
      </c>
    </row>
    <row r="5013" spans="1:19" x14ac:dyDescent="0.2">
      <c r="A5013" s="11" t="s">
        <v>46816</v>
      </c>
      <c r="B5013" s="9" t="s">
        <v>46817</v>
      </c>
      <c r="C5013" s="9" t="s">
        <v>46818</v>
      </c>
      <c r="D5013" s="9" t="s">
        <v>46819</v>
      </c>
      <c r="E5013" s="9" t="s">
        <v>17740</v>
      </c>
      <c r="F5013" s="9" t="s">
        <v>17741</v>
      </c>
      <c r="G5013" s="9" t="s">
        <v>17740</v>
      </c>
      <c r="H5013" s="11" t="s">
        <v>46820</v>
      </c>
      <c r="I5013" s="11" t="s">
        <v>3642</v>
      </c>
      <c r="J5013" s="11" t="s">
        <v>3642</v>
      </c>
      <c r="K5013" s="9" t="s">
        <v>46821</v>
      </c>
      <c r="L5013" s="9" t="s">
        <v>18242</v>
      </c>
      <c r="M5013" s="9" t="s">
        <v>17817</v>
      </c>
      <c r="N5013" s="9" t="s">
        <v>21524</v>
      </c>
      <c r="O5013" s="9" t="s">
        <v>3100</v>
      </c>
      <c r="P5013" s="9" t="s">
        <v>17748</v>
      </c>
      <c r="Q5013" s="11" t="s">
        <v>18556</v>
      </c>
      <c r="R5013" s="11" t="s">
        <v>18556</v>
      </c>
      <c r="S5013" s="11" t="s">
        <v>17750</v>
      </c>
    </row>
    <row r="5014" spans="1:19" x14ac:dyDescent="0.2">
      <c r="A5014" s="11" t="s">
        <v>46822</v>
      </c>
      <c r="B5014" s="9" t="s">
        <v>46823</v>
      </c>
      <c r="C5014" s="9" t="s">
        <v>46824</v>
      </c>
      <c r="D5014" s="9" t="s">
        <v>46825</v>
      </c>
      <c r="E5014" s="9" t="s">
        <v>17740</v>
      </c>
      <c r="F5014" s="9" t="s">
        <v>17741</v>
      </c>
      <c r="G5014" s="9" t="s">
        <v>17740</v>
      </c>
      <c r="H5014" s="11" t="s">
        <v>46826</v>
      </c>
      <c r="I5014" s="11" t="s">
        <v>46827</v>
      </c>
      <c r="J5014" s="11" t="s">
        <v>46827</v>
      </c>
      <c r="K5014" s="9" t="s">
        <v>24794</v>
      </c>
      <c r="L5014" s="9" t="s">
        <v>17759</v>
      </c>
      <c r="M5014" s="9" t="s">
        <v>17769</v>
      </c>
      <c r="N5014" s="9" t="s">
        <v>17746</v>
      </c>
      <c r="O5014" s="9" t="s">
        <v>22682</v>
      </c>
      <c r="P5014" s="9" t="s">
        <v>17748</v>
      </c>
      <c r="Q5014" s="11" t="s">
        <v>18433</v>
      </c>
      <c r="R5014" s="11" t="s">
        <v>18433</v>
      </c>
      <c r="S5014" s="11" t="s">
        <v>17750</v>
      </c>
    </row>
    <row r="5015" spans="1:19" x14ac:dyDescent="0.2">
      <c r="A5015" s="11" t="s">
        <v>46828</v>
      </c>
      <c r="B5015" s="9" t="s">
        <v>46829</v>
      </c>
      <c r="C5015" s="9" t="s">
        <v>46830</v>
      </c>
      <c r="D5015" s="9" t="s">
        <v>46831</v>
      </c>
      <c r="E5015" s="9" t="s">
        <v>17740</v>
      </c>
      <c r="F5015" s="9" t="s">
        <v>17741</v>
      </c>
      <c r="G5015" s="9" t="s">
        <v>17740</v>
      </c>
      <c r="H5015" s="11" t="s">
        <v>3698</v>
      </c>
      <c r="I5015" s="11" t="s">
        <v>3697</v>
      </c>
      <c r="J5015" s="11" t="s">
        <v>3697</v>
      </c>
      <c r="K5015" s="9" t="s">
        <v>46832</v>
      </c>
      <c r="L5015" s="9" t="s">
        <v>17991</v>
      </c>
      <c r="M5015" s="9" t="s">
        <v>17769</v>
      </c>
      <c r="N5015" s="9" t="s">
        <v>20424</v>
      </c>
      <c r="O5015" s="9" t="s">
        <v>17834</v>
      </c>
      <c r="P5015" s="9" t="s">
        <v>17748</v>
      </c>
      <c r="Q5015" s="11" t="s">
        <v>18193</v>
      </c>
      <c r="R5015" s="11" t="s">
        <v>18193</v>
      </c>
      <c r="S5015" s="11" t="s">
        <v>17750</v>
      </c>
    </row>
    <row r="5016" spans="1:19" x14ac:dyDescent="0.2">
      <c r="A5016" s="11" t="s">
        <v>46833</v>
      </c>
      <c r="B5016" s="9" t="s">
        <v>46834</v>
      </c>
      <c r="C5016" s="9" t="s">
        <v>46835</v>
      </c>
      <c r="D5016" s="9" t="s">
        <v>6710</v>
      </c>
      <c r="E5016" s="9" t="s">
        <v>17740</v>
      </c>
      <c r="F5016" s="9" t="s">
        <v>17741</v>
      </c>
      <c r="G5016" s="9" t="s">
        <v>17740</v>
      </c>
      <c r="H5016" s="11" t="s">
        <v>6712</v>
      </c>
      <c r="I5016" s="11" t="s">
        <v>6711</v>
      </c>
      <c r="J5016" s="11" t="s">
        <v>6711</v>
      </c>
      <c r="K5016" s="9" t="s">
        <v>1307</v>
      </c>
      <c r="L5016" s="9" t="s">
        <v>17759</v>
      </c>
      <c r="M5016" s="9" t="s">
        <v>35959</v>
      </c>
      <c r="N5016" s="9" t="s">
        <v>17746</v>
      </c>
      <c r="O5016" s="9" t="s">
        <v>22268</v>
      </c>
      <c r="P5016" s="9" t="s">
        <v>17748</v>
      </c>
      <c r="Q5016" s="11" t="s">
        <v>19361</v>
      </c>
      <c r="R5016" s="11" t="s">
        <v>19361</v>
      </c>
      <c r="S5016" s="11" t="s">
        <v>17750</v>
      </c>
    </row>
    <row r="5017" spans="1:19" x14ac:dyDescent="0.2">
      <c r="A5017" s="11" t="s">
        <v>46836</v>
      </c>
      <c r="B5017" s="9" t="s">
        <v>46837</v>
      </c>
      <c r="C5017" s="9" t="s">
        <v>46838</v>
      </c>
      <c r="D5017" s="9" t="s">
        <v>46839</v>
      </c>
      <c r="E5017" s="9" t="s">
        <v>17740</v>
      </c>
      <c r="F5017" s="9" t="s">
        <v>17741</v>
      </c>
      <c r="G5017" s="9" t="s">
        <v>17740</v>
      </c>
      <c r="H5017" s="11" t="s">
        <v>10378</v>
      </c>
      <c r="I5017" s="11" t="s">
        <v>10377</v>
      </c>
      <c r="J5017" s="11" t="s">
        <v>10377</v>
      </c>
      <c r="K5017" s="9" t="s">
        <v>10332</v>
      </c>
      <c r="L5017" s="9" t="s">
        <v>17759</v>
      </c>
      <c r="M5017" s="9" t="s">
        <v>17760</v>
      </c>
      <c r="N5017" s="9" t="s">
        <v>17746</v>
      </c>
      <c r="O5017" s="9" t="s">
        <v>22268</v>
      </c>
      <c r="P5017" s="9" t="s">
        <v>17748</v>
      </c>
      <c r="Q5017" s="11" t="s">
        <v>17780</v>
      </c>
      <c r="R5017" s="11" t="s">
        <v>17780</v>
      </c>
      <c r="S5017" s="11" t="s">
        <v>17750</v>
      </c>
    </row>
    <row r="5018" spans="1:19" x14ac:dyDescent="0.2">
      <c r="A5018" s="11" t="s">
        <v>46840</v>
      </c>
      <c r="B5018" s="9" t="s">
        <v>46841</v>
      </c>
      <c r="C5018" s="9" t="s">
        <v>46842</v>
      </c>
      <c r="D5018" s="9" t="s">
        <v>46843</v>
      </c>
      <c r="E5018" s="9" t="s">
        <v>17740</v>
      </c>
      <c r="F5018" s="9" t="s">
        <v>17741</v>
      </c>
      <c r="G5018" s="9" t="s">
        <v>17740</v>
      </c>
      <c r="H5018" s="11" t="s">
        <v>17741</v>
      </c>
      <c r="I5018" s="11" t="s">
        <v>46844</v>
      </c>
      <c r="J5018" s="11" t="s">
        <v>46844</v>
      </c>
      <c r="K5018" s="9" t="s">
        <v>46845</v>
      </c>
      <c r="L5018" s="9" t="s">
        <v>17967</v>
      </c>
      <c r="M5018" s="9" t="s">
        <v>17760</v>
      </c>
      <c r="N5018" s="9" t="s">
        <v>18492</v>
      </c>
      <c r="O5018" s="9" t="s">
        <v>3524</v>
      </c>
      <c r="P5018" s="9" t="s">
        <v>17748</v>
      </c>
      <c r="Q5018" s="11" t="s">
        <v>17931</v>
      </c>
      <c r="R5018" s="11" t="s">
        <v>17931</v>
      </c>
      <c r="S5018" s="11" t="s">
        <v>17750</v>
      </c>
    </row>
    <row r="5019" spans="1:19" x14ac:dyDescent="0.2">
      <c r="A5019" s="11" t="s">
        <v>46846</v>
      </c>
      <c r="B5019" s="9" t="s">
        <v>46847</v>
      </c>
      <c r="C5019" s="9" t="s">
        <v>46848</v>
      </c>
      <c r="D5019" s="9" t="s">
        <v>46849</v>
      </c>
      <c r="E5019" s="9" t="s">
        <v>17740</v>
      </c>
      <c r="F5019" s="9" t="s">
        <v>46850</v>
      </c>
      <c r="G5019" s="9" t="s">
        <v>17740</v>
      </c>
      <c r="H5019" s="11" t="s">
        <v>8304</v>
      </c>
      <c r="I5019" s="11" t="s">
        <v>8303</v>
      </c>
      <c r="J5019" s="11" t="s">
        <v>8304</v>
      </c>
      <c r="K5019" s="9" t="s">
        <v>19244</v>
      </c>
      <c r="L5019" s="9" t="s">
        <v>18158</v>
      </c>
      <c r="M5019" s="9" t="s">
        <v>17817</v>
      </c>
      <c r="N5019" s="9" t="s">
        <v>18185</v>
      </c>
      <c r="O5019" s="9" t="s">
        <v>46851</v>
      </c>
      <c r="P5019" s="9" t="s">
        <v>17748</v>
      </c>
      <c r="Q5019" s="11" t="s">
        <v>18608</v>
      </c>
      <c r="R5019" s="11" t="s">
        <v>18608</v>
      </c>
      <c r="S5019" s="11" t="s">
        <v>17750</v>
      </c>
    </row>
    <row r="5020" spans="1:19" x14ac:dyDescent="0.2">
      <c r="A5020" s="11" t="s">
        <v>46852</v>
      </c>
      <c r="B5020" s="9" t="s">
        <v>46853</v>
      </c>
      <c r="C5020" s="9" t="s">
        <v>46854</v>
      </c>
      <c r="D5020" s="9" t="s">
        <v>46855</v>
      </c>
      <c r="E5020" s="9" t="s">
        <v>17748</v>
      </c>
      <c r="F5020" s="9" t="s">
        <v>46856</v>
      </c>
      <c r="G5020" s="9" t="s">
        <v>17740</v>
      </c>
      <c r="H5020" s="11" t="s">
        <v>17741</v>
      </c>
      <c r="I5020" s="11" t="s">
        <v>46857</v>
      </c>
      <c r="J5020" s="11" t="s">
        <v>46857</v>
      </c>
      <c r="K5020" s="9" t="s">
        <v>46858</v>
      </c>
      <c r="L5020" s="9" t="s">
        <v>22017</v>
      </c>
      <c r="M5020" s="9" t="s">
        <v>17760</v>
      </c>
      <c r="N5020" s="9" t="s">
        <v>17746</v>
      </c>
      <c r="O5020" s="9" t="s">
        <v>5938</v>
      </c>
      <c r="P5020" s="9" t="s">
        <v>17748</v>
      </c>
      <c r="Q5020" s="11" t="s">
        <v>18080</v>
      </c>
      <c r="R5020" s="11" t="s">
        <v>18080</v>
      </c>
      <c r="S5020" s="11" t="s">
        <v>17750</v>
      </c>
    </row>
    <row r="5021" spans="1:19" x14ac:dyDescent="0.2">
      <c r="A5021" s="11" t="s">
        <v>46859</v>
      </c>
      <c r="B5021" s="9" t="s">
        <v>46860</v>
      </c>
      <c r="C5021" s="9" t="s">
        <v>46861</v>
      </c>
      <c r="D5021" s="9" t="s">
        <v>46862</v>
      </c>
      <c r="E5021" s="9" t="s">
        <v>17740</v>
      </c>
      <c r="F5021" s="9" t="s">
        <v>46863</v>
      </c>
      <c r="G5021" s="9" t="s">
        <v>17740</v>
      </c>
      <c r="H5021" s="11" t="s">
        <v>17741</v>
      </c>
      <c r="I5021" s="11" t="s">
        <v>46864</v>
      </c>
      <c r="J5021" s="11" t="s">
        <v>46864</v>
      </c>
      <c r="K5021" s="9" t="s">
        <v>46858</v>
      </c>
      <c r="L5021" s="9" t="s">
        <v>22017</v>
      </c>
      <c r="M5021" s="9" t="s">
        <v>17760</v>
      </c>
      <c r="N5021" s="9" t="s">
        <v>17746</v>
      </c>
      <c r="O5021" s="9" t="s">
        <v>33388</v>
      </c>
      <c r="P5021" s="9" t="s">
        <v>17748</v>
      </c>
      <c r="Q5021" s="11" t="s">
        <v>17749</v>
      </c>
      <c r="R5021" s="11" t="s">
        <v>17749</v>
      </c>
      <c r="S5021" s="11" t="s">
        <v>17750</v>
      </c>
    </row>
    <row r="5022" spans="1:19" x14ac:dyDescent="0.2">
      <c r="A5022" s="11" t="s">
        <v>46865</v>
      </c>
      <c r="B5022" s="9" t="s">
        <v>46866</v>
      </c>
      <c r="C5022" s="9" t="s">
        <v>46867</v>
      </c>
      <c r="D5022" s="9" t="s">
        <v>46868</v>
      </c>
      <c r="E5022" s="9" t="s">
        <v>17748</v>
      </c>
      <c r="F5022" s="9" t="s">
        <v>46869</v>
      </c>
      <c r="G5022" s="9" t="s">
        <v>17740</v>
      </c>
      <c r="H5022" s="11" t="s">
        <v>17741</v>
      </c>
      <c r="I5022" s="11" t="s">
        <v>46870</v>
      </c>
      <c r="J5022" s="11" t="s">
        <v>46870</v>
      </c>
      <c r="K5022" s="9" t="s">
        <v>46858</v>
      </c>
      <c r="L5022" s="9" t="s">
        <v>22017</v>
      </c>
      <c r="M5022" s="9" t="s">
        <v>17778</v>
      </c>
      <c r="N5022" s="9" t="s">
        <v>17746</v>
      </c>
      <c r="O5022" s="9" t="s">
        <v>18481</v>
      </c>
      <c r="P5022" s="9" t="s">
        <v>17748</v>
      </c>
      <c r="Q5022" s="11" t="s">
        <v>17792</v>
      </c>
      <c r="R5022" s="11" t="s">
        <v>17792</v>
      </c>
      <c r="S5022" s="11" t="s">
        <v>17750</v>
      </c>
    </row>
    <row r="5023" spans="1:19" x14ac:dyDescent="0.2">
      <c r="A5023" s="11" t="s">
        <v>46871</v>
      </c>
      <c r="B5023" s="9" t="s">
        <v>46872</v>
      </c>
      <c r="C5023" s="9" t="s">
        <v>46873</v>
      </c>
      <c r="D5023" s="9" t="s">
        <v>46874</v>
      </c>
      <c r="E5023" s="9" t="s">
        <v>17740</v>
      </c>
      <c r="F5023" s="9" t="s">
        <v>46875</v>
      </c>
      <c r="G5023" s="9" t="s">
        <v>17740</v>
      </c>
      <c r="H5023" s="11" t="s">
        <v>17741</v>
      </c>
      <c r="I5023" s="11" t="s">
        <v>46876</v>
      </c>
      <c r="J5023" s="11" t="s">
        <v>46876</v>
      </c>
      <c r="K5023" s="9" t="s">
        <v>46877</v>
      </c>
      <c r="L5023" s="9" t="s">
        <v>18158</v>
      </c>
      <c r="M5023" s="9" t="s">
        <v>17817</v>
      </c>
      <c r="N5023" s="9" t="s">
        <v>18185</v>
      </c>
      <c r="O5023" s="9" t="s">
        <v>27338</v>
      </c>
      <c r="P5023" s="9" t="s">
        <v>17748</v>
      </c>
      <c r="Q5023" s="11" t="s">
        <v>17849</v>
      </c>
      <c r="R5023" s="11" t="s">
        <v>17849</v>
      </c>
      <c r="S5023" s="11" t="s">
        <v>17750</v>
      </c>
    </row>
    <row r="5024" spans="1:19" x14ac:dyDescent="0.2">
      <c r="A5024" s="11" t="s">
        <v>46878</v>
      </c>
      <c r="B5024" s="9" t="s">
        <v>46879</v>
      </c>
      <c r="C5024" s="9" t="s">
        <v>46880</v>
      </c>
      <c r="D5024" s="9" t="s">
        <v>46881</v>
      </c>
      <c r="E5024" s="9" t="s">
        <v>17748</v>
      </c>
      <c r="F5024" s="9" t="s">
        <v>46882</v>
      </c>
      <c r="G5024" s="9" t="s">
        <v>17740</v>
      </c>
      <c r="H5024" s="11" t="s">
        <v>17741</v>
      </c>
      <c r="I5024" s="11" t="s">
        <v>46883</v>
      </c>
      <c r="J5024" s="11" t="s">
        <v>46883</v>
      </c>
      <c r="K5024" s="9" t="s">
        <v>22718</v>
      </c>
      <c r="L5024" s="9" t="s">
        <v>18854</v>
      </c>
      <c r="M5024" s="9" t="s">
        <v>17817</v>
      </c>
      <c r="N5024" s="9" t="s">
        <v>20237</v>
      </c>
      <c r="O5024" s="9" t="s">
        <v>18481</v>
      </c>
      <c r="P5024" s="9" t="s">
        <v>17748</v>
      </c>
      <c r="Q5024" s="11" t="s">
        <v>18272</v>
      </c>
      <c r="R5024" s="11" t="s">
        <v>18272</v>
      </c>
      <c r="S5024" s="11" t="s">
        <v>17750</v>
      </c>
    </row>
    <row r="5025" spans="1:19" x14ac:dyDescent="0.2">
      <c r="A5025" s="11" t="s">
        <v>46884</v>
      </c>
      <c r="B5025" s="9" t="s">
        <v>46885</v>
      </c>
      <c r="C5025" s="9" t="s">
        <v>46886</v>
      </c>
      <c r="D5025" s="9" t="s">
        <v>46887</v>
      </c>
      <c r="E5025" s="9" t="s">
        <v>17748</v>
      </c>
      <c r="F5025" s="9" t="s">
        <v>46888</v>
      </c>
      <c r="G5025" s="9" t="s">
        <v>17740</v>
      </c>
      <c r="H5025" s="11" t="s">
        <v>17741</v>
      </c>
      <c r="I5025" s="11" t="s">
        <v>17741</v>
      </c>
      <c r="J5025" s="11" t="s">
        <v>17741</v>
      </c>
      <c r="K5025" s="9" t="s">
        <v>22718</v>
      </c>
      <c r="L5025" s="9" t="s">
        <v>18854</v>
      </c>
      <c r="M5025" s="9" t="s">
        <v>17778</v>
      </c>
      <c r="N5025" s="9" t="s">
        <v>20237</v>
      </c>
      <c r="O5025" s="9" t="s">
        <v>18882</v>
      </c>
      <c r="P5025" s="9" t="s">
        <v>17748</v>
      </c>
      <c r="Q5025" s="11" t="s">
        <v>17917</v>
      </c>
      <c r="R5025" s="11" t="s">
        <v>17917</v>
      </c>
      <c r="S5025" s="11" t="s">
        <v>17750</v>
      </c>
    </row>
    <row r="5026" spans="1:19" x14ac:dyDescent="0.2">
      <c r="A5026" s="11" t="s">
        <v>46889</v>
      </c>
      <c r="B5026" s="9" t="s">
        <v>46890</v>
      </c>
      <c r="C5026" s="9" t="s">
        <v>46891</v>
      </c>
      <c r="D5026" s="9" t="s">
        <v>46892</v>
      </c>
      <c r="E5026" s="9" t="s">
        <v>17740</v>
      </c>
      <c r="F5026" s="9" t="s">
        <v>46893</v>
      </c>
      <c r="G5026" s="9" t="s">
        <v>17740</v>
      </c>
      <c r="H5026" s="11" t="s">
        <v>17741</v>
      </c>
      <c r="I5026" s="11" t="s">
        <v>46894</v>
      </c>
      <c r="J5026" s="11" t="s">
        <v>46894</v>
      </c>
      <c r="K5026" s="9" t="s">
        <v>46895</v>
      </c>
      <c r="L5026" s="9" t="s">
        <v>22017</v>
      </c>
      <c r="M5026" s="9" t="s">
        <v>17760</v>
      </c>
      <c r="N5026" s="9" t="s">
        <v>17746</v>
      </c>
      <c r="O5026" s="9" t="s">
        <v>18264</v>
      </c>
      <c r="P5026" s="9" t="s">
        <v>17748</v>
      </c>
      <c r="Q5026" s="11" t="s">
        <v>18080</v>
      </c>
      <c r="R5026" s="11" t="s">
        <v>18080</v>
      </c>
      <c r="S5026" s="11" t="s">
        <v>17750</v>
      </c>
    </row>
    <row r="5027" spans="1:19" x14ac:dyDescent="0.2">
      <c r="A5027" s="11" t="s">
        <v>46896</v>
      </c>
      <c r="B5027" s="9" t="s">
        <v>46897</v>
      </c>
      <c r="C5027" s="9" t="s">
        <v>46898</v>
      </c>
      <c r="D5027" s="9" t="s">
        <v>46899</v>
      </c>
      <c r="E5027" s="9" t="s">
        <v>17740</v>
      </c>
      <c r="F5027" s="9" t="s">
        <v>46900</v>
      </c>
      <c r="G5027" s="9" t="s">
        <v>17740</v>
      </c>
      <c r="H5027" s="11" t="s">
        <v>17741</v>
      </c>
      <c r="I5027" s="11" t="s">
        <v>46901</v>
      </c>
      <c r="J5027" s="11" t="s">
        <v>46901</v>
      </c>
      <c r="K5027" s="9" t="s">
        <v>46902</v>
      </c>
      <c r="L5027" s="9" t="s">
        <v>18025</v>
      </c>
      <c r="M5027" s="9" t="s">
        <v>17817</v>
      </c>
      <c r="N5027" s="9" t="s">
        <v>18026</v>
      </c>
      <c r="O5027" s="9" t="s">
        <v>38433</v>
      </c>
      <c r="P5027" s="9" t="s">
        <v>17748</v>
      </c>
      <c r="Q5027" s="11" t="s">
        <v>21578</v>
      </c>
      <c r="R5027" s="11" t="s">
        <v>21578</v>
      </c>
      <c r="S5027" s="11" t="s">
        <v>17750</v>
      </c>
    </row>
    <row r="5028" spans="1:19" x14ac:dyDescent="0.2">
      <c r="A5028" s="11" t="s">
        <v>46903</v>
      </c>
      <c r="B5028" s="9" t="s">
        <v>46904</v>
      </c>
      <c r="C5028" s="9" t="s">
        <v>46905</v>
      </c>
      <c r="D5028" s="9" t="s">
        <v>46906</v>
      </c>
      <c r="E5028" s="9" t="s">
        <v>17740</v>
      </c>
      <c r="F5028" s="9" t="s">
        <v>17741</v>
      </c>
      <c r="G5028" s="9" t="s">
        <v>17740</v>
      </c>
      <c r="H5028" s="11" t="s">
        <v>46907</v>
      </c>
      <c r="I5028" s="11" t="s">
        <v>17741</v>
      </c>
      <c r="J5028" s="11" t="s">
        <v>46907</v>
      </c>
      <c r="K5028" s="9" t="s">
        <v>46908</v>
      </c>
      <c r="L5028" s="9" t="s">
        <v>20082</v>
      </c>
      <c r="M5028" s="9" t="s">
        <v>17741</v>
      </c>
      <c r="N5028" s="9" t="s">
        <v>17746</v>
      </c>
      <c r="O5028" s="9" t="s">
        <v>19715</v>
      </c>
      <c r="P5028" s="9" t="s">
        <v>17748</v>
      </c>
      <c r="Q5028" s="11" t="s">
        <v>18922</v>
      </c>
      <c r="R5028" s="11" t="s">
        <v>18922</v>
      </c>
      <c r="S5028" s="11" t="s">
        <v>17750</v>
      </c>
    </row>
    <row r="5029" spans="1:19" x14ac:dyDescent="0.2">
      <c r="A5029" s="11" t="s">
        <v>46909</v>
      </c>
      <c r="B5029" s="9" t="s">
        <v>46910</v>
      </c>
      <c r="C5029" s="9" t="s">
        <v>46911</v>
      </c>
      <c r="D5029" s="9" t="s">
        <v>46912</v>
      </c>
      <c r="E5029" s="9" t="s">
        <v>17740</v>
      </c>
      <c r="F5029" s="9" t="s">
        <v>17741</v>
      </c>
      <c r="G5029" s="9" t="s">
        <v>17740</v>
      </c>
      <c r="H5029" s="11" t="s">
        <v>46913</v>
      </c>
      <c r="I5029" s="11" t="s">
        <v>17741</v>
      </c>
      <c r="J5029" s="11" t="s">
        <v>46913</v>
      </c>
      <c r="K5029" s="9" t="s">
        <v>46914</v>
      </c>
      <c r="L5029" s="9" t="s">
        <v>17759</v>
      </c>
      <c r="M5029" s="9" t="s">
        <v>17741</v>
      </c>
      <c r="N5029" s="9" t="s">
        <v>17746</v>
      </c>
      <c r="O5029" s="9" t="s">
        <v>19715</v>
      </c>
      <c r="P5029" s="9" t="s">
        <v>17748</v>
      </c>
      <c r="Q5029" s="11" t="s">
        <v>18272</v>
      </c>
      <c r="R5029" s="11" t="s">
        <v>18272</v>
      </c>
      <c r="S5029" s="11" t="s">
        <v>17750</v>
      </c>
    </row>
    <row r="5030" spans="1:19" x14ac:dyDescent="0.2">
      <c r="A5030" s="11" t="s">
        <v>46915</v>
      </c>
      <c r="B5030" s="9" t="s">
        <v>46916</v>
      </c>
      <c r="C5030" s="9" t="s">
        <v>46917</v>
      </c>
      <c r="D5030" s="9" t="s">
        <v>46918</v>
      </c>
      <c r="E5030" s="9" t="s">
        <v>17740</v>
      </c>
      <c r="F5030" s="9" t="s">
        <v>17741</v>
      </c>
      <c r="G5030" s="9" t="s">
        <v>17740</v>
      </c>
      <c r="H5030" s="11" t="s">
        <v>17741</v>
      </c>
      <c r="I5030" s="11" t="s">
        <v>46919</v>
      </c>
      <c r="J5030" s="11" t="s">
        <v>46919</v>
      </c>
      <c r="K5030" s="9" t="s">
        <v>46920</v>
      </c>
      <c r="L5030" s="9" t="s">
        <v>17744</v>
      </c>
      <c r="M5030" s="9" t="s">
        <v>17760</v>
      </c>
      <c r="N5030" s="9" t="s">
        <v>17746</v>
      </c>
      <c r="O5030" s="9" t="s">
        <v>18340</v>
      </c>
      <c r="P5030" s="9" t="s">
        <v>17748</v>
      </c>
      <c r="Q5030" s="11" t="s">
        <v>18282</v>
      </c>
      <c r="R5030" s="11" t="s">
        <v>18282</v>
      </c>
      <c r="S5030" s="11" t="s">
        <v>17750</v>
      </c>
    </row>
    <row r="5031" spans="1:19" x14ac:dyDescent="0.2">
      <c r="A5031" s="11" t="s">
        <v>46921</v>
      </c>
      <c r="B5031" s="9" t="s">
        <v>46922</v>
      </c>
      <c r="C5031" s="9" t="s">
        <v>46923</v>
      </c>
      <c r="D5031" s="9" t="s">
        <v>46924</v>
      </c>
      <c r="E5031" s="9" t="s">
        <v>17748</v>
      </c>
      <c r="F5031" s="9" t="s">
        <v>46925</v>
      </c>
      <c r="G5031" s="9" t="s">
        <v>17740</v>
      </c>
      <c r="H5031" s="11" t="s">
        <v>17741</v>
      </c>
      <c r="I5031" s="11" t="s">
        <v>46926</v>
      </c>
      <c r="J5031" s="11" t="s">
        <v>46926</v>
      </c>
      <c r="K5031" s="9" t="s">
        <v>46927</v>
      </c>
      <c r="L5031" s="9" t="s">
        <v>24311</v>
      </c>
      <c r="M5031" s="9" t="s">
        <v>17817</v>
      </c>
      <c r="N5031" s="9" t="s">
        <v>26364</v>
      </c>
      <c r="O5031" s="9" t="s">
        <v>18340</v>
      </c>
      <c r="P5031" s="9" t="s">
        <v>17748</v>
      </c>
      <c r="Q5031" s="11" t="s">
        <v>18798</v>
      </c>
      <c r="R5031" s="11" t="s">
        <v>18798</v>
      </c>
      <c r="S5031" s="11" t="s">
        <v>17750</v>
      </c>
    </row>
    <row r="5032" spans="1:19" x14ac:dyDescent="0.2">
      <c r="A5032" s="11" t="s">
        <v>46928</v>
      </c>
      <c r="B5032" s="9" t="s">
        <v>46929</v>
      </c>
      <c r="C5032" s="9" t="s">
        <v>46930</v>
      </c>
      <c r="D5032" s="9" t="s">
        <v>46931</v>
      </c>
      <c r="E5032" s="9" t="s">
        <v>17740</v>
      </c>
      <c r="F5032" s="9" t="s">
        <v>17741</v>
      </c>
      <c r="G5032" s="9" t="s">
        <v>17740</v>
      </c>
      <c r="H5032" s="11" t="s">
        <v>46932</v>
      </c>
      <c r="I5032" s="11" t="s">
        <v>46933</v>
      </c>
      <c r="J5032" s="11" t="s">
        <v>46933</v>
      </c>
      <c r="K5032" s="9" t="s">
        <v>46934</v>
      </c>
      <c r="L5032" s="9" t="s">
        <v>24311</v>
      </c>
      <c r="M5032" s="9" t="s">
        <v>17760</v>
      </c>
      <c r="N5032" s="9" t="s">
        <v>17746</v>
      </c>
      <c r="O5032" s="9" t="s">
        <v>46935</v>
      </c>
      <c r="P5032" s="9" t="s">
        <v>17748</v>
      </c>
      <c r="Q5032" s="11" t="s">
        <v>17780</v>
      </c>
      <c r="R5032" s="11" t="s">
        <v>17780</v>
      </c>
      <c r="S5032" s="11" t="s">
        <v>17750</v>
      </c>
    </row>
    <row r="5033" spans="1:19" x14ac:dyDescent="0.2">
      <c r="A5033" s="11" t="s">
        <v>46936</v>
      </c>
      <c r="B5033" s="9" t="s">
        <v>46937</v>
      </c>
      <c r="C5033" s="9" t="s">
        <v>46938</v>
      </c>
      <c r="D5033" s="9" t="s">
        <v>46939</v>
      </c>
      <c r="E5033" s="9" t="s">
        <v>17740</v>
      </c>
      <c r="F5033" s="9" t="s">
        <v>17741</v>
      </c>
      <c r="G5033" s="9" t="s">
        <v>17740</v>
      </c>
      <c r="H5033" s="11" t="s">
        <v>46940</v>
      </c>
      <c r="I5033" s="11" t="s">
        <v>46941</v>
      </c>
      <c r="J5033" s="11" t="s">
        <v>46941</v>
      </c>
      <c r="K5033" s="9" t="s">
        <v>46942</v>
      </c>
      <c r="L5033" s="9" t="s">
        <v>18169</v>
      </c>
      <c r="M5033" s="9" t="s">
        <v>18628</v>
      </c>
      <c r="N5033" s="9" t="s">
        <v>18171</v>
      </c>
      <c r="O5033" s="9" t="s">
        <v>19715</v>
      </c>
      <c r="P5033" s="9" t="s">
        <v>17748</v>
      </c>
      <c r="Q5033" s="11" t="s">
        <v>17984</v>
      </c>
      <c r="R5033" s="11" t="s">
        <v>17984</v>
      </c>
      <c r="S5033" s="11" t="s">
        <v>17750</v>
      </c>
    </row>
    <row r="5034" spans="1:19" x14ac:dyDescent="0.2">
      <c r="A5034" s="11" t="s">
        <v>46943</v>
      </c>
      <c r="B5034" s="9" t="s">
        <v>46944</v>
      </c>
      <c r="C5034" s="9" t="s">
        <v>46945</v>
      </c>
      <c r="D5034" s="9" t="s">
        <v>46946</v>
      </c>
      <c r="E5034" s="9" t="s">
        <v>17740</v>
      </c>
      <c r="F5034" s="9" t="s">
        <v>17741</v>
      </c>
      <c r="G5034" s="9" t="s">
        <v>17740</v>
      </c>
      <c r="H5034" s="11" t="s">
        <v>46947</v>
      </c>
      <c r="I5034" s="11" t="s">
        <v>46948</v>
      </c>
      <c r="J5034" s="11" t="s">
        <v>46948</v>
      </c>
      <c r="K5034" s="9" t="s">
        <v>46949</v>
      </c>
      <c r="L5034" s="9" t="s">
        <v>18411</v>
      </c>
      <c r="M5034" s="9" t="s">
        <v>17769</v>
      </c>
      <c r="N5034" s="9" t="s">
        <v>17746</v>
      </c>
      <c r="O5034" s="9" t="s">
        <v>3524</v>
      </c>
      <c r="P5034" s="9" t="s">
        <v>17748</v>
      </c>
      <c r="Q5034" s="11" t="s">
        <v>17943</v>
      </c>
      <c r="R5034" s="11" t="s">
        <v>17943</v>
      </c>
      <c r="S5034" s="11" t="s">
        <v>17750</v>
      </c>
    </row>
    <row r="5035" spans="1:19" x14ac:dyDescent="0.2">
      <c r="A5035" s="11" t="s">
        <v>46950</v>
      </c>
      <c r="B5035" s="9" t="s">
        <v>46951</v>
      </c>
      <c r="C5035" s="9" t="s">
        <v>46952</v>
      </c>
      <c r="D5035" s="9" t="s">
        <v>46953</v>
      </c>
      <c r="E5035" s="9" t="s">
        <v>17748</v>
      </c>
      <c r="F5035" s="9" t="s">
        <v>46954</v>
      </c>
      <c r="G5035" s="9" t="s">
        <v>17740</v>
      </c>
      <c r="H5035" s="11" t="s">
        <v>46955</v>
      </c>
      <c r="I5035" s="11" t="s">
        <v>46956</v>
      </c>
      <c r="J5035" s="11" t="s">
        <v>46956</v>
      </c>
      <c r="K5035" s="9" t="s">
        <v>46957</v>
      </c>
      <c r="L5035" s="9" t="s">
        <v>18242</v>
      </c>
      <c r="M5035" s="9" t="s">
        <v>17769</v>
      </c>
      <c r="N5035" s="9" t="s">
        <v>21524</v>
      </c>
      <c r="O5035" s="9" t="s">
        <v>19653</v>
      </c>
      <c r="P5035" s="9" t="s">
        <v>17748</v>
      </c>
      <c r="Q5035" s="11" t="s">
        <v>19361</v>
      </c>
      <c r="R5035" s="11" t="s">
        <v>19361</v>
      </c>
      <c r="S5035" s="11" t="s">
        <v>17750</v>
      </c>
    </row>
    <row r="5036" spans="1:19" x14ac:dyDescent="0.2">
      <c r="A5036" s="11" t="s">
        <v>46958</v>
      </c>
      <c r="B5036" s="9" t="s">
        <v>46959</v>
      </c>
      <c r="C5036" s="9" t="s">
        <v>46960</v>
      </c>
      <c r="D5036" s="9" t="s">
        <v>46961</v>
      </c>
      <c r="E5036" s="9" t="s">
        <v>17740</v>
      </c>
      <c r="F5036" s="9" t="s">
        <v>17741</v>
      </c>
      <c r="G5036" s="9" t="s">
        <v>17740</v>
      </c>
      <c r="H5036" s="11" t="s">
        <v>17741</v>
      </c>
      <c r="I5036" s="11" t="s">
        <v>46962</v>
      </c>
      <c r="J5036" s="11" t="s">
        <v>46962</v>
      </c>
      <c r="K5036" s="9" t="s">
        <v>46963</v>
      </c>
      <c r="L5036" s="9" t="s">
        <v>18959</v>
      </c>
      <c r="M5036" s="9" t="s">
        <v>18211</v>
      </c>
      <c r="N5036" s="9" t="s">
        <v>18042</v>
      </c>
      <c r="O5036" s="9" t="s">
        <v>46964</v>
      </c>
      <c r="P5036" s="9" t="s">
        <v>17748</v>
      </c>
      <c r="Q5036" s="11" t="s">
        <v>19026</v>
      </c>
      <c r="R5036" s="11" t="s">
        <v>19026</v>
      </c>
      <c r="S5036" s="11" t="s">
        <v>17750</v>
      </c>
    </row>
    <row r="5037" spans="1:19" x14ac:dyDescent="0.2">
      <c r="A5037" s="11" t="s">
        <v>46965</v>
      </c>
      <c r="B5037" s="9" t="s">
        <v>46966</v>
      </c>
      <c r="C5037" s="9" t="s">
        <v>46967</v>
      </c>
      <c r="D5037" s="9" t="s">
        <v>46968</v>
      </c>
      <c r="E5037" s="9" t="s">
        <v>17740</v>
      </c>
      <c r="F5037" s="9" t="s">
        <v>46969</v>
      </c>
      <c r="G5037" s="9" t="s">
        <v>17740</v>
      </c>
      <c r="H5037" s="11" t="s">
        <v>46970</v>
      </c>
      <c r="I5037" s="11" t="s">
        <v>46971</v>
      </c>
      <c r="J5037" s="11" t="s">
        <v>46971</v>
      </c>
      <c r="K5037" s="9" t="s">
        <v>46972</v>
      </c>
      <c r="L5037" s="9" t="s">
        <v>20359</v>
      </c>
      <c r="M5037" s="9" t="s">
        <v>28990</v>
      </c>
      <c r="N5037" s="9" t="s">
        <v>18042</v>
      </c>
      <c r="O5037" s="9" t="s">
        <v>3524</v>
      </c>
      <c r="P5037" s="9" t="s">
        <v>17748</v>
      </c>
      <c r="Q5037" s="11" t="s">
        <v>18678</v>
      </c>
      <c r="R5037" s="11" t="s">
        <v>18678</v>
      </c>
      <c r="S5037" s="11" t="s">
        <v>17750</v>
      </c>
    </row>
    <row r="5038" spans="1:19" x14ac:dyDescent="0.2">
      <c r="A5038" s="11" t="s">
        <v>46973</v>
      </c>
      <c r="B5038" s="9" t="s">
        <v>46974</v>
      </c>
      <c r="C5038" s="9" t="s">
        <v>46975</v>
      </c>
      <c r="D5038" s="9" t="s">
        <v>46976</v>
      </c>
      <c r="E5038" s="9" t="s">
        <v>17748</v>
      </c>
      <c r="F5038" s="9" t="s">
        <v>46977</v>
      </c>
      <c r="G5038" s="9" t="s">
        <v>17740</v>
      </c>
      <c r="H5038" s="11" t="s">
        <v>46978</v>
      </c>
      <c r="I5038" s="11" t="s">
        <v>8202</v>
      </c>
      <c r="J5038" s="11" t="s">
        <v>8202</v>
      </c>
      <c r="K5038" s="9" t="s">
        <v>46979</v>
      </c>
      <c r="L5038" s="9" t="s">
        <v>18058</v>
      </c>
      <c r="M5038" s="9" t="s">
        <v>26099</v>
      </c>
      <c r="N5038" s="9" t="s">
        <v>17746</v>
      </c>
      <c r="O5038" s="9" t="s">
        <v>17993</v>
      </c>
      <c r="P5038" s="9" t="s">
        <v>17748</v>
      </c>
      <c r="Q5038" s="11" t="s">
        <v>17808</v>
      </c>
      <c r="R5038" s="11" t="s">
        <v>17808</v>
      </c>
      <c r="S5038" s="11" t="s">
        <v>17750</v>
      </c>
    </row>
    <row r="5039" spans="1:19" x14ac:dyDescent="0.2">
      <c r="A5039" s="11" t="s">
        <v>46980</v>
      </c>
      <c r="B5039" s="9" t="s">
        <v>46981</v>
      </c>
      <c r="C5039" s="9" t="s">
        <v>46982</v>
      </c>
      <c r="D5039" s="9" t="s">
        <v>46983</v>
      </c>
      <c r="E5039" s="9" t="s">
        <v>17740</v>
      </c>
      <c r="F5039" s="9" t="s">
        <v>17741</v>
      </c>
      <c r="G5039" s="9" t="s">
        <v>17740</v>
      </c>
      <c r="H5039" s="11" t="s">
        <v>46984</v>
      </c>
      <c r="I5039" s="11" t="s">
        <v>46985</v>
      </c>
      <c r="J5039" s="11" t="s">
        <v>46986</v>
      </c>
      <c r="K5039" s="9" t="s">
        <v>18404</v>
      </c>
      <c r="L5039" s="9" t="s">
        <v>17744</v>
      </c>
      <c r="M5039" s="9" t="s">
        <v>46987</v>
      </c>
      <c r="N5039" s="9" t="s">
        <v>17746</v>
      </c>
      <c r="O5039" s="9" t="s">
        <v>20453</v>
      </c>
      <c r="P5039" s="9" t="s">
        <v>17748</v>
      </c>
      <c r="Q5039" s="11" t="s">
        <v>17792</v>
      </c>
      <c r="R5039" s="11" t="s">
        <v>17792</v>
      </c>
      <c r="S5039" s="11" t="s">
        <v>17750</v>
      </c>
    </row>
    <row r="5040" spans="1:19" x14ac:dyDescent="0.2">
      <c r="A5040" s="11" t="s">
        <v>46988</v>
      </c>
      <c r="B5040" s="9" t="s">
        <v>46989</v>
      </c>
      <c r="C5040" s="9" t="s">
        <v>46990</v>
      </c>
      <c r="D5040" s="9" t="s">
        <v>46991</v>
      </c>
      <c r="E5040" s="9" t="s">
        <v>17748</v>
      </c>
      <c r="F5040" s="9" t="s">
        <v>46992</v>
      </c>
      <c r="G5040" s="9" t="s">
        <v>17740</v>
      </c>
      <c r="H5040" s="11" t="s">
        <v>17741</v>
      </c>
      <c r="I5040" s="11" t="s">
        <v>6909</v>
      </c>
      <c r="J5040" s="11" t="s">
        <v>6909</v>
      </c>
      <c r="K5040" s="9" t="s">
        <v>17990</v>
      </c>
      <c r="L5040" s="9" t="s">
        <v>17991</v>
      </c>
      <c r="M5040" s="9" t="s">
        <v>18051</v>
      </c>
      <c r="N5040" s="9" t="s">
        <v>17746</v>
      </c>
      <c r="O5040" s="9" t="s">
        <v>46993</v>
      </c>
      <c r="P5040" s="9" t="s">
        <v>17748</v>
      </c>
      <c r="Q5040" s="11" t="s">
        <v>18201</v>
      </c>
      <c r="R5040" s="11" t="s">
        <v>18201</v>
      </c>
      <c r="S5040" s="11" t="s">
        <v>17750</v>
      </c>
    </row>
    <row r="5041" spans="1:19" x14ac:dyDescent="0.2">
      <c r="A5041" s="11" t="s">
        <v>46994</v>
      </c>
      <c r="B5041" s="9" t="s">
        <v>46995</v>
      </c>
      <c r="C5041" s="9" t="s">
        <v>46996</v>
      </c>
      <c r="D5041" s="9" t="s">
        <v>46997</v>
      </c>
      <c r="E5041" s="9" t="s">
        <v>17740</v>
      </c>
      <c r="F5041" s="9" t="s">
        <v>17741</v>
      </c>
      <c r="G5041" s="9" t="s">
        <v>17740</v>
      </c>
      <c r="H5041" s="11" t="s">
        <v>11743</v>
      </c>
      <c r="I5041" s="11" t="s">
        <v>11742</v>
      </c>
      <c r="J5041" s="11" t="s">
        <v>11742</v>
      </c>
      <c r="K5041" s="9" t="s">
        <v>19057</v>
      </c>
      <c r="L5041" s="9" t="s">
        <v>20446</v>
      </c>
      <c r="M5041" s="9" t="s">
        <v>19714</v>
      </c>
      <c r="N5041" s="9" t="s">
        <v>17746</v>
      </c>
      <c r="O5041" s="9" t="s">
        <v>1675</v>
      </c>
      <c r="P5041" s="9" t="s">
        <v>17748</v>
      </c>
      <c r="Q5041" s="11" t="s">
        <v>19361</v>
      </c>
      <c r="R5041" s="11" t="s">
        <v>19361</v>
      </c>
      <c r="S5041" s="11" t="s">
        <v>17750</v>
      </c>
    </row>
    <row r="5042" spans="1:19" x14ac:dyDescent="0.2">
      <c r="A5042" s="11" t="s">
        <v>46998</v>
      </c>
      <c r="B5042" s="9" t="s">
        <v>46999</v>
      </c>
      <c r="C5042" s="9" t="s">
        <v>47000</v>
      </c>
      <c r="D5042" s="9" t="s">
        <v>47001</v>
      </c>
      <c r="E5042" s="9" t="s">
        <v>17740</v>
      </c>
      <c r="F5042" s="9" t="s">
        <v>47002</v>
      </c>
      <c r="G5042" s="9" t="s">
        <v>17740</v>
      </c>
      <c r="H5042" s="11" t="s">
        <v>17741</v>
      </c>
      <c r="I5042" s="11" t="s">
        <v>47003</v>
      </c>
      <c r="J5042" s="11" t="s">
        <v>47003</v>
      </c>
      <c r="K5042" s="9" t="s">
        <v>47004</v>
      </c>
      <c r="L5042" s="9" t="s">
        <v>42225</v>
      </c>
      <c r="M5042" s="9" t="s">
        <v>17760</v>
      </c>
      <c r="N5042" s="9" t="s">
        <v>17746</v>
      </c>
      <c r="O5042" s="9" t="s">
        <v>41872</v>
      </c>
      <c r="P5042" s="9" t="s">
        <v>17748</v>
      </c>
      <c r="Q5042" s="11" t="s">
        <v>17808</v>
      </c>
      <c r="R5042" s="11" t="s">
        <v>17808</v>
      </c>
      <c r="S5042" s="11" t="s">
        <v>17750</v>
      </c>
    </row>
    <row r="5043" spans="1:19" x14ac:dyDescent="0.2">
      <c r="A5043" s="11" t="s">
        <v>47005</v>
      </c>
      <c r="B5043" s="9" t="s">
        <v>47006</v>
      </c>
      <c r="C5043" s="9" t="s">
        <v>47007</v>
      </c>
      <c r="D5043" s="9" t="s">
        <v>47008</v>
      </c>
      <c r="E5043" s="9" t="s">
        <v>17740</v>
      </c>
      <c r="F5043" s="9" t="s">
        <v>17741</v>
      </c>
      <c r="G5043" s="9" t="s">
        <v>17740</v>
      </c>
      <c r="H5043" s="11" t="s">
        <v>17741</v>
      </c>
      <c r="I5043" s="11" t="s">
        <v>3727</v>
      </c>
      <c r="J5043" s="11" t="s">
        <v>3727</v>
      </c>
      <c r="K5043" s="9" t="s">
        <v>47009</v>
      </c>
      <c r="L5043" s="9" t="s">
        <v>42225</v>
      </c>
      <c r="M5043" s="9" t="s">
        <v>17817</v>
      </c>
      <c r="N5043" s="9" t="s">
        <v>17746</v>
      </c>
      <c r="O5043" s="9" t="s">
        <v>17993</v>
      </c>
      <c r="P5043" s="9" t="s">
        <v>17748</v>
      </c>
      <c r="Q5043" s="11" t="s">
        <v>18251</v>
      </c>
      <c r="R5043" s="11" t="s">
        <v>18251</v>
      </c>
      <c r="S5043" s="11" t="s">
        <v>17750</v>
      </c>
    </row>
    <row r="5044" spans="1:19" x14ac:dyDescent="0.2">
      <c r="A5044" s="11" t="s">
        <v>47010</v>
      </c>
      <c r="B5044" s="9" t="s">
        <v>47011</v>
      </c>
      <c r="C5044" s="9" t="s">
        <v>47012</v>
      </c>
      <c r="D5044" s="9" t="s">
        <v>47013</v>
      </c>
      <c r="E5044" s="9" t="s">
        <v>17748</v>
      </c>
      <c r="F5044" s="9" t="s">
        <v>47014</v>
      </c>
      <c r="G5044" s="9" t="s">
        <v>17740</v>
      </c>
      <c r="H5044" s="11" t="s">
        <v>7429</v>
      </c>
      <c r="I5044" s="11" t="s">
        <v>7428</v>
      </c>
      <c r="J5044" s="11" t="s">
        <v>7428</v>
      </c>
      <c r="K5044" s="9" t="s">
        <v>291</v>
      </c>
      <c r="L5044" s="9" t="s">
        <v>17744</v>
      </c>
      <c r="M5044" s="9" t="s">
        <v>17769</v>
      </c>
      <c r="N5044" s="9" t="s">
        <v>17746</v>
      </c>
      <c r="O5044" s="9" t="s">
        <v>20367</v>
      </c>
      <c r="P5044" s="9" t="s">
        <v>17748</v>
      </c>
      <c r="Q5044" s="11" t="s">
        <v>18272</v>
      </c>
      <c r="R5044" s="11" t="s">
        <v>18272</v>
      </c>
      <c r="S5044" s="11" t="s">
        <v>17750</v>
      </c>
    </row>
    <row r="5045" spans="1:19" x14ac:dyDescent="0.2">
      <c r="A5045" s="11" t="s">
        <v>47015</v>
      </c>
      <c r="B5045" s="9" t="s">
        <v>47016</v>
      </c>
      <c r="C5045" s="9" t="s">
        <v>47017</v>
      </c>
      <c r="D5045" s="9" t="s">
        <v>47018</v>
      </c>
      <c r="E5045" s="9" t="s">
        <v>17748</v>
      </c>
      <c r="F5045" s="9" t="s">
        <v>47019</v>
      </c>
      <c r="G5045" s="9" t="s">
        <v>17740</v>
      </c>
      <c r="H5045" s="11" t="s">
        <v>47020</v>
      </c>
      <c r="I5045" s="11" t="s">
        <v>47021</v>
      </c>
      <c r="J5045" s="11" t="s">
        <v>47021</v>
      </c>
      <c r="K5045" s="9" t="s">
        <v>18404</v>
      </c>
      <c r="L5045" s="9" t="s">
        <v>17744</v>
      </c>
      <c r="M5045" s="9" t="s">
        <v>17942</v>
      </c>
      <c r="N5045" s="9" t="s">
        <v>17746</v>
      </c>
      <c r="O5045" s="9" t="s">
        <v>20276</v>
      </c>
      <c r="P5045" s="9" t="s">
        <v>17748</v>
      </c>
      <c r="Q5045" s="11" t="s">
        <v>18272</v>
      </c>
      <c r="R5045" s="11" t="s">
        <v>18272</v>
      </c>
      <c r="S5045" s="11" t="s">
        <v>17750</v>
      </c>
    </row>
    <row r="5046" spans="1:19" x14ac:dyDescent="0.2">
      <c r="A5046" s="11" t="s">
        <v>47022</v>
      </c>
      <c r="B5046" s="9" t="s">
        <v>47023</v>
      </c>
      <c r="C5046" s="9" t="s">
        <v>47024</v>
      </c>
      <c r="D5046" s="9" t="s">
        <v>47025</v>
      </c>
      <c r="E5046" s="9" t="s">
        <v>17740</v>
      </c>
      <c r="F5046" s="9" t="s">
        <v>17741</v>
      </c>
      <c r="G5046" s="9" t="s">
        <v>17740</v>
      </c>
      <c r="H5046" s="11" t="s">
        <v>47026</v>
      </c>
      <c r="I5046" s="11" t="s">
        <v>47027</v>
      </c>
      <c r="J5046" s="11" t="s">
        <v>47027</v>
      </c>
      <c r="K5046" s="9" t="s">
        <v>18404</v>
      </c>
      <c r="L5046" s="9" t="s">
        <v>18130</v>
      </c>
      <c r="M5046" s="9" t="s">
        <v>17760</v>
      </c>
      <c r="N5046" s="9" t="s">
        <v>17746</v>
      </c>
      <c r="O5046" s="9" t="s">
        <v>17800</v>
      </c>
      <c r="P5046" s="9" t="s">
        <v>17748</v>
      </c>
      <c r="Q5046" s="11" t="s">
        <v>18364</v>
      </c>
      <c r="R5046" s="11" t="s">
        <v>18364</v>
      </c>
      <c r="S5046" s="11" t="s">
        <v>17750</v>
      </c>
    </row>
    <row r="5047" spans="1:19" x14ac:dyDescent="0.2">
      <c r="A5047" s="11" t="s">
        <v>47028</v>
      </c>
      <c r="B5047" s="9" t="s">
        <v>47029</v>
      </c>
      <c r="C5047" s="9" t="s">
        <v>47030</v>
      </c>
      <c r="D5047" s="9" t="s">
        <v>47031</v>
      </c>
      <c r="E5047" s="9" t="s">
        <v>17740</v>
      </c>
      <c r="F5047" s="9" t="s">
        <v>17741</v>
      </c>
      <c r="G5047" s="9" t="s">
        <v>17740</v>
      </c>
      <c r="H5047" s="11" t="s">
        <v>3800</v>
      </c>
      <c r="I5047" s="11" t="s">
        <v>3799</v>
      </c>
      <c r="J5047" s="11" t="s">
        <v>3799</v>
      </c>
      <c r="K5047" s="9" t="s">
        <v>291</v>
      </c>
      <c r="L5047" s="9" t="s">
        <v>17744</v>
      </c>
      <c r="M5047" s="9" t="s">
        <v>18177</v>
      </c>
      <c r="N5047" s="9" t="s">
        <v>17746</v>
      </c>
      <c r="O5047" s="9" t="s">
        <v>20498</v>
      </c>
      <c r="P5047" s="9" t="s">
        <v>17748</v>
      </c>
      <c r="Q5047" s="11" t="s">
        <v>18440</v>
      </c>
      <c r="R5047" s="11" t="s">
        <v>18440</v>
      </c>
      <c r="S5047" s="11" t="s">
        <v>17750</v>
      </c>
    </row>
    <row r="5048" spans="1:19" x14ac:dyDescent="0.2">
      <c r="A5048" s="11" t="s">
        <v>47032</v>
      </c>
      <c r="B5048" s="9" t="s">
        <v>47033</v>
      </c>
      <c r="C5048" s="9" t="s">
        <v>47034</v>
      </c>
      <c r="D5048" s="9" t="s">
        <v>47035</v>
      </c>
      <c r="E5048" s="9" t="s">
        <v>17740</v>
      </c>
      <c r="F5048" s="9" t="s">
        <v>17741</v>
      </c>
      <c r="G5048" s="9" t="s">
        <v>17740</v>
      </c>
      <c r="H5048" s="11" t="s">
        <v>17741</v>
      </c>
      <c r="I5048" s="11" t="s">
        <v>47036</v>
      </c>
      <c r="J5048" s="11" t="s">
        <v>47036</v>
      </c>
      <c r="K5048" s="9" t="s">
        <v>31718</v>
      </c>
      <c r="L5048" s="9" t="s">
        <v>18138</v>
      </c>
      <c r="M5048" s="9" t="s">
        <v>17942</v>
      </c>
      <c r="N5048" s="9" t="s">
        <v>17746</v>
      </c>
      <c r="O5048" s="9" t="s">
        <v>20498</v>
      </c>
      <c r="P5048" s="9" t="s">
        <v>17748</v>
      </c>
      <c r="Q5048" s="11" t="s">
        <v>20021</v>
      </c>
      <c r="R5048" s="11" t="s">
        <v>20021</v>
      </c>
      <c r="S5048" s="11" t="s">
        <v>17750</v>
      </c>
    </row>
    <row r="5049" spans="1:19" x14ac:dyDescent="0.2">
      <c r="A5049" s="11" t="s">
        <v>47037</v>
      </c>
      <c r="B5049" s="9" t="s">
        <v>47038</v>
      </c>
      <c r="C5049" s="9" t="s">
        <v>47039</v>
      </c>
      <c r="D5049" s="9" t="s">
        <v>47040</v>
      </c>
      <c r="E5049" s="9" t="s">
        <v>17740</v>
      </c>
      <c r="F5049" s="9" t="s">
        <v>17741</v>
      </c>
      <c r="G5049" s="9" t="s">
        <v>17740</v>
      </c>
      <c r="H5049" s="11" t="s">
        <v>3803</v>
      </c>
      <c r="I5049" s="11" t="s">
        <v>3802</v>
      </c>
      <c r="J5049" s="11" t="s">
        <v>3802</v>
      </c>
      <c r="K5049" s="9" t="s">
        <v>291</v>
      </c>
      <c r="L5049" s="9" t="s">
        <v>17744</v>
      </c>
      <c r="M5049" s="9" t="s">
        <v>23719</v>
      </c>
      <c r="N5049" s="9" t="s">
        <v>17746</v>
      </c>
      <c r="O5049" s="9" t="s">
        <v>1675</v>
      </c>
      <c r="P5049" s="9" t="s">
        <v>17748</v>
      </c>
      <c r="Q5049" s="11" t="s">
        <v>20251</v>
      </c>
      <c r="R5049" s="11" t="s">
        <v>20251</v>
      </c>
      <c r="S5049" s="11" t="s">
        <v>17750</v>
      </c>
    </row>
    <row r="5050" spans="1:19" x14ac:dyDescent="0.2">
      <c r="A5050" s="11" t="s">
        <v>47041</v>
      </c>
      <c r="B5050" s="9" t="s">
        <v>47042</v>
      </c>
      <c r="C5050" s="9" t="s">
        <v>47043</v>
      </c>
      <c r="D5050" s="9" t="s">
        <v>47044</v>
      </c>
      <c r="E5050" s="9" t="s">
        <v>17740</v>
      </c>
      <c r="F5050" s="9" t="s">
        <v>17741</v>
      </c>
      <c r="G5050" s="9" t="s">
        <v>17740</v>
      </c>
      <c r="H5050" s="11" t="s">
        <v>47045</v>
      </c>
      <c r="I5050" s="11" t="s">
        <v>47046</v>
      </c>
      <c r="J5050" s="11" t="s">
        <v>47046</v>
      </c>
      <c r="K5050" s="9" t="s">
        <v>291</v>
      </c>
      <c r="L5050" s="9" t="s">
        <v>17744</v>
      </c>
      <c r="M5050" s="9" t="s">
        <v>17741</v>
      </c>
      <c r="N5050" s="9" t="s">
        <v>17746</v>
      </c>
      <c r="O5050" s="9" t="s">
        <v>1675</v>
      </c>
      <c r="P5050" s="9" t="s">
        <v>17748</v>
      </c>
      <c r="Q5050" s="11" t="s">
        <v>17883</v>
      </c>
      <c r="R5050" s="11" t="s">
        <v>17883</v>
      </c>
      <c r="S5050" s="11" t="s">
        <v>17750</v>
      </c>
    </row>
    <row r="5051" spans="1:19" x14ac:dyDescent="0.2">
      <c r="A5051" s="11" t="s">
        <v>47047</v>
      </c>
      <c r="B5051" s="9" t="s">
        <v>47048</v>
      </c>
      <c r="C5051" s="9" t="s">
        <v>47049</v>
      </c>
      <c r="D5051" s="9" t="s">
        <v>47050</v>
      </c>
      <c r="E5051" s="9" t="s">
        <v>17740</v>
      </c>
      <c r="F5051" s="9" t="s">
        <v>17741</v>
      </c>
      <c r="G5051" s="9" t="s">
        <v>17740</v>
      </c>
      <c r="H5051" s="11" t="s">
        <v>3809</v>
      </c>
      <c r="I5051" s="11" t="s">
        <v>3808</v>
      </c>
      <c r="J5051" s="11" t="s">
        <v>3808</v>
      </c>
      <c r="K5051" s="9" t="s">
        <v>23527</v>
      </c>
      <c r="L5051" s="9" t="s">
        <v>17744</v>
      </c>
      <c r="M5051" s="9" t="s">
        <v>17817</v>
      </c>
      <c r="N5051" s="9" t="s">
        <v>17746</v>
      </c>
      <c r="O5051" s="9" t="s">
        <v>18882</v>
      </c>
      <c r="P5051" s="9" t="s">
        <v>17748</v>
      </c>
      <c r="Q5051" s="11" t="s">
        <v>19082</v>
      </c>
      <c r="R5051" s="11" t="s">
        <v>19082</v>
      </c>
      <c r="S5051" s="11" t="s">
        <v>17750</v>
      </c>
    </row>
    <row r="5052" spans="1:19" x14ac:dyDescent="0.2">
      <c r="A5052" s="11" t="s">
        <v>47051</v>
      </c>
      <c r="B5052" s="9" t="s">
        <v>47052</v>
      </c>
      <c r="C5052" s="9" t="s">
        <v>47053</v>
      </c>
      <c r="D5052" s="9" t="s">
        <v>47054</v>
      </c>
      <c r="E5052" s="9" t="s">
        <v>17740</v>
      </c>
      <c r="F5052" s="9" t="s">
        <v>17741</v>
      </c>
      <c r="G5052" s="9" t="s">
        <v>17740</v>
      </c>
      <c r="H5052" s="11" t="s">
        <v>3806</v>
      </c>
      <c r="I5052" s="11" t="s">
        <v>3805</v>
      </c>
      <c r="J5052" s="11" t="s">
        <v>3805</v>
      </c>
      <c r="K5052" s="9" t="s">
        <v>291</v>
      </c>
      <c r="L5052" s="9" t="s">
        <v>17744</v>
      </c>
      <c r="M5052" s="9" t="s">
        <v>24658</v>
      </c>
      <c r="N5052" s="9" t="s">
        <v>17746</v>
      </c>
      <c r="O5052" s="9" t="s">
        <v>19659</v>
      </c>
      <c r="P5052" s="9" t="s">
        <v>17748</v>
      </c>
      <c r="Q5052" s="11" t="s">
        <v>17867</v>
      </c>
      <c r="R5052" s="11" t="s">
        <v>17867</v>
      </c>
      <c r="S5052" s="11" t="s">
        <v>17750</v>
      </c>
    </row>
    <row r="5053" spans="1:19" x14ac:dyDescent="0.2">
      <c r="A5053" s="11" t="s">
        <v>47055</v>
      </c>
      <c r="B5053" s="9" t="s">
        <v>47056</v>
      </c>
      <c r="C5053" s="9" t="s">
        <v>47057</v>
      </c>
      <c r="D5053" s="9" t="s">
        <v>47058</v>
      </c>
      <c r="E5053" s="9" t="s">
        <v>17740</v>
      </c>
      <c r="F5053" s="9" t="s">
        <v>17741</v>
      </c>
      <c r="G5053" s="9" t="s">
        <v>17740</v>
      </c>
      <c r="H5053" s="11" t="s">
        <v>17741</v>
      </c>
      <c r="I5053" s="11" t="s">
        <v>47059</v>
      </c>
      <c r="J5053" s="11" t="s">
        <v>47059</v>
      </c>
      <c r="K5053" s="9" t="s">
        <v>291</v>
      </c>
      <c r="L5053" s="9" t="s">
        <v>17744</v>
      </c>
      <c r="M5053" s="9" t="s">
        <v>17942</v>
      </c>
      <c r="N5053" s="9" t="s">
        <v>17746</v>
      </c>
      <c r="O5053" s="9" t="s">
        <v>19659</v>
      </c>
      <c r="P5053" s="9" t="s">
        <v>17748</v>
      </c>
      <c r="Q5053" s="11" t="s">
        <v>18282</v>
      </c>
      <c r="R5053" s="11" t="s">
        <v>18282</v>
      </c>
      <c r="S5053" s="11" t="s">
        <v>17750</v>
      </c>
    </row>
    <row r="5054" spans="1:19" x14ac:dyDescent="0.2">
      <c r="A5054" s="11" t="s">
        <v>47060</v>
      </c>
      <c r="B5054" s="9" t="s">
        <v>47061</v>
      </c>
      <c r="C5054" s="9" t="s">
        <v>47062</v>
      </c>
      <c r="D5054" s="9" t="s">
        <v>47063</v>
      </c>
      <c r="E5054" s="9" t="s">
        <v>17740</v>
      </c>
      <c r="F5054" s="9" t="s">
        <v>17741</v>
      </c>
      <c r="G5054" s="9" t="s">
        <v>17740</v>
      </c>
      <c r="H5054" s="11" t="s">
        <v>47064</v>
      </c>
      <c r="I5054" s="11" t="s">
        <v>47065</v>
      </c>
      <c r="J5054" s="11" t="s">
        <v>47065</v>
      </c>
      <c r="K5054" s="9" t="s">
        <v>25895</v>
      </c>
      <c r="L5054" s="9" t="s">
        <v>18305</v>
      </c>
      <c r="M5054" s="9" t="s">
        <v>18065</v>
      </c>
      <c r="N5054" s="9" t="s">
        <v>17746</v>
      </c>
      <c r="O5054" s="9" t="s">
        <v>19939</v>
      </c>
      <c r="P5054" s="9" t="s">
        <v>17748</v>
      </c>
      <c r="Q5054" s="11" t="s">
        <v>18080</v>
      </c>
      <c r="R5054" s="11" t="s">
        <v>18080</v>
      </c>
      <c r="S5054" s="11" t="s">
        <v>17750</v>
      </c>
    </row>
    <row r="5055" spans="1:19" x14ac:dyDescent="0.2">
      <c r="A5055" s="11" t="s">
        <v>47066</v>
      </c>
      <c r="B5055" s="9" t="s">
        <v>47067</v>
      </c>
      <c r="C5055" s="9" t="s">
        <v>47068</v>
      </c>
      <c r="D5055" s="9" t="s">
        <v>47069</v>
      </c>
      <c r="E5055" s="9" t="s">
        <v>17740</v>
      </c>
      <c r="F5055" s="9" t="s">
        <v>17741</v>
      </c>
      <c r="G5055" s="9" t="s">
        <v>17740</v>
      </c>
      <c r="H5055" s="11" t="s">
        <v>47070</v>
      </c>
      <c r="I5055" s="11" t="s">
        <v>47071</v>
      </c>
      <c r="J5055" s="11" t="s">
        <v>47071</v>
      </c>
      <c r="K5055" s="9" t="s">
        <v>291</v>
      </c>
      <c r="L5055" s="9" t="s">
        <v>17744</v>
      </c>
      <c r="M5055" s="9" t="s">
        <v>17778</v>
      </c>
      <c r="N5055" s="9" t="s">
        <v>17746</v>
      </c>
      <c r="O5055" s="9" t="s">
        <v>19740</v>
      </c>
      <c r="P5055" s="9" t="s">
        <v>17748</v>
      </c>
      <c r="Q5055" s="11" t="s">
        <v>17808</v>
      </c>
      <c r="R5055" s="11" t="s">
        <v>17808</v>
      </c>
      <c r="S5055" s="11" t="s">
        <v>17750</v>
      </c>
    </row>
    <row r="5056" spans="1:19" x14ac:dyDescent="0.2">
      <c r="A5056" s="11" t="s">
        <v>47072</v>
      </c>
      <c r="B5056" s="9" t="s">
        <v>47073</v>
      </c>
      <c r="C5056" s="9" t="s">
        <v>47074</v>
      </c>
      <c r="D5056" s="9" t="s">
        <v>47075</v>
      </c>
      <c r="E5056" s="9" t="s">
        <v>17740</v>
      </c>
      <c r="F5056" s="9" t="s">
        <v>47076</v>
      </c>
      <c r="G5056" s="9" t="s">
        <v>17740</v>
      </c>
      <c r="H5056" s="11" t="s">
        <v>17741</v>
      </c>
      <c r="I5056" s="11" t="s">
        <v>47077</v>
      </c>
      <c r="J5056" s="11" t="s">
        <v>47077</v>
      </c>
      <c r="K5056" s="9" t="s">
        <v>18137</v>
      </c>
      <c r="L5056" s="9" t="s">
        <v>18130</v>
      </c>
      <c r="M5056" s="9" t="s">
        <v>17942</v>
      </c>
      <c r="N5056" s="9" t="s">
        <v>17746</v>
      </c>
      <c r="O5056" s="9" t="s">
        <v>18035</v>
      </c>
      <c r="P5056" s="9" t="s">
        <v>17748</v>
      </c>
      <c r="Q5056" s="11" t="s">
        <v>17749</v>
      </c>
      <c r="R5056" s="11" t="s">
        <v>17749</v>
      </c>
      <c r="S5056" s="11" t="s">
        <v>17750</v>
      </c>
    </row>
    <row r="5057" spans="1:19" x14ac:dyDescent="0.2">
      <c r="A5057" s="11" t="s">
        <v>47078</v>
      </c>
      <c r="B5057" s="9" t="s">
        <v>47079</v>
      </c>
      <c r="C5057" s="9" t="s">
        <v>47080</v>
      </c>
      <c r="D5057" s="9" t="s">
        <v>47081</v>
      </c>
      <c r="E5057" s="9" t="s">
        <v>17740</v>
      </c>
      <c r="F5057" s="9" t="s">
        <v>17741</v>
      </c>
      <c r="G5057" s="9" t="s">
        <v>17740</v>
      </c>
      <c r="H5057" s="11" t="s">
        <v>47082</v>
      </c>
      <c r="I5057" s="11" t="s">
        <v>47083</v>
      </c>
      <c r="J5057" s="11" t="s">
        <v>47083</v>
      </c>
      <c r="K5057" s="9" t="s">
        <v>291</v>
      </c>
      <c r="L5057" s="9" t="s">
        <v>17744</v>
      </c>
      <c r="M5057" s="9" t="s">
        <v>17778</v>
      </c>
      <c r="N5057" s="9" t="s">
        <v>17746</v>
      </c>
      <c r="O5057" s="9" t="s">
        <v>19423</v>
      </c>
      <c r="P5057" s="9" t="s">
        <v>17748</v>
      </c>
      <c r="Q5057" s="11" t="s">
        <v>17978</v>
      </c>
      <c r="R5057" s="11" t="s">
        <v>17978</v>
      </c>
      <c r="S5057" s="11" t="s">
        <v>17750</v>
      </c>
    </row>
    <row r="5058" spans="1:19" x14ac:dyDescent="0.2">
      <c r="A5058" s="11" t="s">
        <v>47084</v>
      </c>
      <c r="B5058" s="9" t="s">
        <v>47085</v>
      </c>
      <c r="C5058" s="9" t="s">
        <v>47086</v>
      </c>
      <c r="D5058" s="9" t="s">
        <v>47087</v>
      </c>
      <c r="E5058" s="9" t="s">
        <v>17740</v>
      </c>
      <c r="F5058" s="9" t="s">
        <v>17741</v>
      </c>
      <c r="G5058" s="9" t="s">
        <v>17740</v>
      </c>
      <c r="H5058" s="11" t="s">
        <v>17741</v>
      </c>
      <c r="I5058" s="11" t="s">
        <v>47088</v>
      </c>
      <c r="J5058" s="11" t="s">
        <v>47088</v>
      </c>
      <c r="K5058" s="9" t="s">
        <v>47089</v>
      </c>
      <c r="L5058" s="9" t="s">
        <v>18138</v>
      </c>
      <c r="M5058" s="9" t="s">
        <v>17942</v>
      </c>
      <c r="N5058" s="9" t="s">
        <v>17746</v>
      </c>
      <c r="O5058" s="9" t="s">
        <v>19423</v>
      </c>
      <c r="P5058" s="9" t="s">
        <v>17748</v>
      </c>
      <c r="Q5058" s="11" t="s">
        <v>18678</v>
      </c>
      <c r="R5058" s="11" t="s">
        <v>18678</v>
      </c>
      <c r="S5058" s="11" t="s">
        <v>17750</v>
      </c>
    </row>
    <row r="5059" spans="1:19" x14ac:dyDescent="0.2">
      <c r="A5059" s="11" t="s">
        <v>47090</v>
      </c>
      <c r="B5059" s="9" t="s">
        <v>47091</v>
      </c>
      <c r="C5059" s="9" t="s">
        <v>47092</v>
      </c>
      <c r="D5059" s="9" t="s">
        <v>47093</v>
      </c>
      <c r="E5059" s="9" t="s">
        <v>17740</v>
      </c>
      <c r="F5059" s="9" t="s">
        <v>17741</v>
      </c>
      <c r="G5059" s="9" t="s">
        <v>17740</v>
      </c>
      <c r="H5059" s="11" t="s">
        <v>47094</v>
      </c>
      <c r="I5059" s="11" t="s">
        <v>47095</v>
      </c>
      <c r="J5059" s="11" t="s">
        <v>47095</v>
      </c>
      <c r="K5059" s="9" t="s">
        <v>21146</v>
      </c>
      <c r="L5059" s="9" t="s">
        <v>17744</v>
      </c>
      <c r="M5059" s="9" t="s">
        <v>24928</v>
      </c>
      <c r="N5059" s="9" t="s">
        <v>17746</v>
      </c>
      <c r="O5059" s="9" t="s">
        <v>18514</v>
      </c>
      <c r="P5059" s="9" t="s">
        <v>17748</v>
      </c>
      <c r="Q5059" s="11" t="s">
        <v>18556</v>
      </c>
      <c r="R5059" s="11" t="s">
        <v>18556</v>
      </c>
      <c r="S5059" s="11" t="s">
        <v>17750</v>
      </c>
    </row>
    <row r="5060" spans="1:19" x14ac:dyDescent="0.2">
      <c r="A5060" s="11" t="s">
        <v>47096</v>
      </c>
      <c r="B5060" s="9" t="s">
        <v>47097</v>
      </c>
      <c r="C5060" s="9" t="s">
        <v>47098</v>
      </c>
      <c r="D5060" s="9" t="s">
        <v>47099</v>
      </c>
      <c r="E5060" s="9" t="s">
        <v>17748</v>
      </c>
      <c r="F5060" s="9" t="s">
        <v>47100</v>
      </c>
      <c r="G5060" s="9" t="s">
        <v>17740</v>
      </c>
      <c r="H5060" s="11" t="s">
        <v>47101</v>
      </c>
      <c r="I5060" s="11" t="s">
        <v>47102</v>
      </c>
      <c r="J5060" s="11" t="s">
        <v>47102</v>
      </c>
      <c r="K5060" s="9" t="s">
        <v>19447</v>
      </c>
      <c r="L5060" s="9" t="s">
        <v>18130</v>
      </c>
      <c r="M5060" s="9" t="s">
        <v>26134</v>
      </c>
      <c r="N5060" s="9" t="s">
        <v>17746</v>
      </c>
      <c r="O5060" s="9" t="s">
        <v>24577</v>
      </c>
      <c r="P5060" s="9" t="s">
        <v>17748</v>
      </c>
      <c r="Q5060" s="11" t="s">
        <v>18356</v>
      </c>
      <c r="R5060" s="11" t="s">
        <v>18356</v>
      </c>
      <c r="S5060" s="11" t="s">
        <v>17750</v>
      </c>
    </row>
    <row r="5061" spans="1:19" x14ac:dyDescent="0.2">
      <c r="A5061" s="11" t="s">
        <v>47103</v>
      </c>
      <c r="B5061" s="9" t="s">
        <v>47104</v>
      </c>
      <c r="C5061" s="9" t="s">
        <v>47105</v>
      </c>
      <c r="D5061" s="9" t="s">
        <v>47106</v>
      </c>
      <c r="E5061" s="9" t="s">
        <v>17740</v>
      </c>
      <c r="F5061" s="9" t="s">
        <v>47107</v>
      </c>
      <c r="G5061" s="9" t="s">
        <v>17740</v>
      </c>
      <c r="H5061" s="11" t="s">
        <v>3812</v>
      </c>
      <c r="I5061" s="11" t="s">
        <v>3811</v>
      </c>
      <c r="J5061" s="11" t="s">
        <v>3811</v>
      </c>
      <c r="K5061" s="9" t="s">
        <v>291</v>
      </c>
      <c r="L5061" s="9" t="s">
        <v>17744</v>
      </c>
      <c r="M5061" s="9" t="s">
        <v>17769</v>
      </c>
      <c r="N5061" s="9" t="s">
        <v>17746</v>
      </c>
      <c r="O5061" s="9" t="s">
        <v>18534</v>
      </c>
      <c r="P5061" s="9" t="s">
        <v>17748</v>
      </c>
      <c r="Q5061" s="11" t="s">
        <v>19082</v>
      </c>
      <c r="R5061" s="11" t="s">
        <v>19082</v>
      </c>
      <c r="S5061" s="11" t="s">
        <v>17750</v>
      </c>
    </row>
    <row r="5062" spans="1:19" x14ac:dyDescent="0.2">
      <c r="A5062" s="11" t="s">
        <v>47108</v>
      </c>
      <c r="B5062" s="9" t="s">
        <v>47109</v>
      </c>
      <c r="C5062" s="9" t="s">
        <v>47110</v>
      </c>
      <c r="D5062" s="9" t="s">
        <v>47111</v>
      </c>
      <c r="E5062" s="9" t="s">
        <v>17740</v>
      </c>
      <c r="F5062" s="9" t="s">
        <v>47112</v>
      </c>
      <c r="G5062" s="9" t="s">
        <v>17740</v>
      </c>
      <c r="H5062" s="11" t="s">
        <v>47113</v>
      </c>
      <c r="I5062" s="11" t="s">
        <v>47114</v>
      </c>
      <c r="J5062" s="11" t="s">
        <v>47114</v>
      </c>
      <c r="K5062" s="9" t="s">
        <v>47115</v>
      </c>
      <c r="L5062" s="9" t="s">
        <v>18138</v>
      </c>
      <c r="M5062" s="9" t="s">
        <v>17942</v>
      </c>
      <c r="N5062" s="9" t="s">
        <v>17746</v>
      </c>
      <c r="O5062" s="9" t="s">
        <v>18534</v>
      </c>
      <c r="P5062" s="9" t="s">
        <v>17748</v>
      </c>
      <c r="Q5062" s="11" t="s">
        <v>18243</v>
      </c>
      <c r="R5062" s="11" t="s">
        <v>18243</v>
      </c>
      <c r="S5062" s="11" t="s">
        <v>17750</v>
      </c>
    </row>
    <row r="5063" spans="1:19" x14ac:dyDescent="0.2">
      <c r="A5063" s="11" t="s">
        <v>47116</v>
      </c>
      <c r="B5063" s="9" t="s">
        <v>47117</v>
      </c>
      <c r="C5063" s="9" t="s">
        <v>47118</v>
      </c>
      <c r="D5063" s="9" t="s">
        <v>47119</v>
      </c>
      <c r="E5063" s="9" t="s">
        <v>17748</v>
      </c>
      <c r="F5063" s="9" t="s">
        <v>47120</v>
      </c>
      <c r="G5063" s="9" t="s">
        <v>17740</v>
      </c>
      <c r="H5063" s="11" t="s">
        <v>17741</v>
      </c>
      <c r="I5063" s="11" t="s">
        <v>47121</v>
      </c>
      <c r="J5063" s="11" t="s">
        <v>47121</v>
      </c>
      <c r="K5063" s="9" t="s">
        <v>47122</v>
      </c>
      <c r="L5063" s="9" t="s">
        <v>27710</v>
      </c>
      <c r="M5063" s="9" t="s">
        <v>17760</v>
      </c>
      <c r="N5063" s="9" t="s">
        <v>17746</v>
      </c>
      <c r="O5063" s="9" t="s">
        <v>18035</v>
      </c>
      <c r="P5063" s="9" t="s">
        <v>17748</v>
      </c>
      <c r="Q5063" s="11" t="s">
        <v>17994</v>
      </c>
      <c r="R5063" s="11" t="s">
        <v>17994</v>
      </c>
      <c r="S5063" s="11" t="s">
        <v>17750</v>
      </c>
    </row>
    <row r="5064" spans="1:19" x14ac:dyDescent="0.2">
      <c r="A5064" s="11" t="s">
        <v>47123</v>
      </c>
      <c r="B5064" s="9" t="s">
        <v>47124</v>
      </c>
      <c r="C5064" s="9" t="s">
        <v>47125</v>
      </c>
      <c r="D5064" s="9" t="s">
        <v>47126</v>
      </c>
      <c r="E5064" s="9" t="s">
        <v>17740</v>
      </c>
      <c r="F5064" s="9" t="s">
        <v>47127</v>
      </c>
      <c r="G5064" s="9" t="s">
        <v>17740</v>
      </c>
      <c r="H5064" s="11" t="s">
        <v>47128</v>
      </c>
      <c r="I5064" s="11" t="s">
        <v>17741</v>
      </c>
      <c r="J5064" s="11" t="s">
        <v>47128</v>
      </c>
      <c r="K5064" s="9" t="s">
        <v>18570</v>
      </c>
      <c r="L5064" s="9" t="s">
        <v>17744</v>
      </c>
      <c r="M5064" s="9" t="s">
        <v>17741</v>
      </c>
      <c r="N5064" s="9" t="s">
        <v>17746</v>
      </c>
      <c r="O5064" s="9" t="s">
        <v>47129</v>
      </c>
      <c r="P5064" s="9" t="s">
        <v>17748</v>
      </c>
      <c r="Q5064" s="11" t="s">
        <v>18370</v>
      </c>
      <c r="R5064" s="11" t="s">
        <v>18370</v>
      </c>
      <c r="S5064" s="11" t="s">
        <v>17750</v>
      </c>
    </row>
    <row r="5065" spans="1:19" x14ac:dyDescent="0.2">
      <c r="A5065" s="11" t="s">
        <v>47130</v>
      </c>
      <c r="B5065" s="9" t="s">
        <v>47131</v>
      </c>
      <c r="C5065" s="9" t="s">
        <v>47132</v>
      </c>
      <c r="D5065" s="9" t="s">
        <v>47133</v>
      </c>
      <c r="E5065" s="9" t="s">
        <v>17748</v>
      </c>
      <c r="F5065" s="9" t="s">
        <v>47134</v>
      </c>
      <c r="G5065" s="9" t="s">
        <v>17740</v>
      </c>
      <c r="H5065" s="11" t="s">
        <v>5009</v>
      </c>
      <c r="I5065" s="11" t="s">
        <v>5008</v>
      </c>
      <c r="J5065" s="11" t="s">
        <v>17741</v>
      </c>
      <c r="K5065" s="9" t="s">
        <v>291</v>
      </c>
      <c r="L5065" s="9" t="s">
        <v>17744</v>
      </c>
      <c r="M5065" s="9" t="s">
        <v>21625</v>
      </c>
      <c r="N5065" s="9" t="s">
        <v>17746</v>
      </c>
      <c r="O5065" s="9" t="s">
        <v>4025</v>
      </c>
      <c r="P5065" s="9" t="s">
        <v>17748</v>
      </c>
      <c r="Q5065" s="11" t="s">
        <v>18089</v>
      </c>
      <c r="R5065" s="11" t="s">
        <v>18089</v>
      </c>
      <c r="S5065" s="11" t="s">
        <v>17750</v>
      </c>
    </row>
    <row r="5066" spans="1:19" x14ac:dyDescent="0.2">
      <c r="A5066" s="11" t="s">
        <v>47135</v>
      </c>
      <c r="B5066" s="9" t="s">
        <v>47136</v>
      </c>
      <c r="C5066" s="9" t="s">
        <v>47137</v>
      </c>
      <c r="D5066" s="9" t="s">
        <v>47138</v>
      </c>
      <c r="E5066" s="9" t="s">
        <v>17740</v>
      </c>
      <c r="F5066" s="9" t="s">
        <v>47139</v>
      </c>
      <c r="G5066" s="9" t="s">
        <v>17740</v>
      </c>
      <c r="H5066" s="11" t="s">
        <v>3878</v>
      </c>
      <c r="I5066" s="11" t="s">
        <v>3877</v>
      </c>
      <c r="J5066" s="11" t="s">
        <v>3877</v>
      </c>
      <c r="K5066" s="9" t="s">
        <v>47140</v>
      </c>
      <c r="L5066" s="9" t="s">
        <v>27710</v>
      </c>
      <c r="M5066" s="9" t="s">
        <v>17769</v>
      </c>
      <c r="N5066" s="9" t="s">
        <v>17746</v>
      </c>
      <c r="O5066" s="9" t="s">
        <v>21318</v>
      </c>
      <c r="P5066" s="9" t="s">
        <v>17748</v>
      </c>
      <c r="Q5066" s="11" t="s">
        <v>18608</v>
      </c>
      <c r="R5066" s="11" t="s">
        <v>18608</v>
      </c>
      <c r="S5066" s="11" t="s">
        <v>17750</v>
      </c>
    </row>
    <row r="5067" spans="1:19" x14ac:dyDescent="0.2">
      <c r="A5067" s="11" t="s">
        <v>47141</v>
      </c>
      <c r="B5067" s="9" t="s">
        <v>3742</v>
      </c>
      <c r="C5067" s="9" t="s">
        <v>47142</v>
      </c>
      <c r="D5067" s="9" t="s">
        <v>3742</v>
      </c>
      <c r="E5067" s="9" t="s">
        <v>17740</v>
      </c>
      <c r="F5067" s="9" t="s">
        <v>17741</v>
      </c>
      <c r="G5067" s="9" t="s">
        <v>17740</v>
      </c>
      <c r="H5067" s="11" t="s">
        <v>3744</v>
      </c>
      <c r="I5067" s="11" t="s">
        <v>3743</v>
      </c>
      <c r="J5067" s="11" t="s">
        <v>3743</v>
      </c>
      <c r="K5067" s="9" t="s">
        <v>20207</v>
      </c>
      <c r="L5067" s="9" t="s">
        <v>17759</v>
      </c>
      <c r="M5067" s="9" t="s">
        <v>17769</v>
      </c>
      <c r="N5067" s="9" t="s">
        <v>17746</v>
      </c>
      <c r="O5067" s="9" t="s">
        <v>18125</v>
      </c>
      <c r="P5067" s="9" t="s">
        <v>17748</v>
      </c>
      <c r="Q5067" s="11" t="s">
        <v>19335</v>
      </c>
      <c r="R5067" s="11" t="s">
        <v>19335</v>
      </c>
      <c r="S5067" s="11" t="s">
        <v>17750</v>
      </c>
    </row>
    <row r="5068" spans="1:19" x14ac:dyDescent="0.2">
      <c r="A5068" s="11" t="s">
        <v>47143</v>
      </c>
      <c r="B5068" s="9" t="s">
        <v>47144</v>
      </c>
      <c r="C5068" s="9" t="s">
        <v>47145</v>
      </c>
      <c r="D5068" s="9" t="s">
        <v>47146</v>
      </c>
      <c r="E5068" s="9" t="s">
        <v>17740</v>
      </c>
      <c r="F5068" s="9" t="s">
        <v>17741</v>
      </c>
      <c r="G5068" s="9" t="s">
        <v>17740</v>
      </c>
      <c r="H5068" s="11" t="s">
        <v>3754</v>
      </c>
      <c r="I5068" s="11" t="s">
        <v>3753</v>
      </c>
      <c r="J5068" s="11" t="s">
        <v>3753</v>
      </c>
      <c r="K5068" s="9" t="s">
        <v>55</v>
      </c>
      <c r="L5068" s="9" t="s">
        <v>17759</v>
      </c>
      <c r="M5068" s="9" t="s">
        <v>17760</v>
      </c>
      <c r="N5068" s="9" t="s">
        <v>17746</v>
      </c>
      <c r="O5068" s="9" t="s">
        <v>17834</v>
      </c>
      <c r="P5068" s="9" t="s">
        <v>17748</v>
      </c>
      <c r="Q5068" s="11" t="s">
        <v>17867</v>
      </c>
      <c r="R5068" s="11" t="s">
        <v>17867</v>
      </c>
      <c r="S5068" s="11" t="s">
        <v>17750</v>
      </c>
    </row>
    <row r="5069" spans="1:19" x14ac:dyDescent="0.2">
      <c r="A5069" s="11" t="s">
        <v>47147</v>
      </c>
      <c r="B5069" s="9" t="s">
        <v>47148</v>
      </c>
      <c r="C5069" s="9" t="s">
        <v>47149</v>
      </c>
      <c r="D5069" s="9" t="s">
        <v>47150</v>
      </c>
      <c r="E5069" s="9" t="s">
        <v>17740</v>
      </c>
      <c r="F5069" s="9" t="s">
        <v>17741</v>
      </c>
      <c r="G5069" s="9" t="s">
        <v>17740</v>
      </c>
      <c r="H5069" s="11" t="s">
        <v>4609</v>
      </c>
      <c r="I5069" s="11" t="s">
        <v>4608</v>
      </c>
      <c r="J5069" s="11" t="s">
        <v>17741</v>
      </c>
      <c r="K5069" s="9" t="s">
        <v>91</v>
      </c>
      <c r="L5069" s="9" t="s">
        <v>18001</v>
      </c>
      <c r="M5069" s="9" t="s">
        <v>47151</v>
      </c>
      <c r="N5069" s="9" t="s">
        <v>17746</v>
      </c>
      <c r="O5069" s="9" t="s">
        <v>17834</v>
      </c>
      <c r="P5069" s="9" t="s">
        <v>17748</v>
      </c>
      <c r="Q5069" s="11" t="s">
        <v>18678</v>
      </c>
      <c r="R5069" s="11" t="s">
        <v>18678</v>
      </c>
      <c r="S5069" s="11" t="s">
        <v>17750</v>
      </c>
    </row>
    <row r="5070" spans="1:19" x14ac:dyDescent="0.2">
      <c r="A5070" s="11" t="s">
        <v>47152</v>
      </c>
      <c r="B5070" s="9" t="s">
        <v>47153</v>
      </c>
      <c r="C5070" s="9" t="s">
        <v>47154</v>
      </c>
      <c r="D5070" s="9" t="s">
        <v>6390</v>
      </c>
      <c r="E5070" s="9" t="s">
        <v>17740</v>
      </c>
      <c r="F5070" s="9" t="s">
        <v>17741</v>
      </c>
      <c r="G5070" s="9" t="s">
        <v>17740</v>
      </c>
      <c r="H5070" s="11" t="s">
        <v>6392</v>
      </c>
      <c r="I5070" s="11" t="s">
        <v>6391</v>
      </c>
      <c r="J5070" s="11" t="s">
        <v>6391</v>
      </c>
      <c r="K5070" s="9" t="s">
        <v>17089</v>
      </c>
      <c r="L5070" s="9" t="s">
        <v>18158</v>
      </c>
      <c r="M5070" s="9" t="s">
        <v>17769</v>
      </c>
      <c r="N5070" s="9" t="s">
        <v>18185</v>
      </c>
      <c r="O5070" s="9" t="s">
        <v>19127</v>
      </c>
      <c r="P5070" s="9" t="s">
        <v>17748</v>
      </c>
      <c r="Q5070" s="11" t="s">
        <v>18364</v>
      </c>
      <c r="R5070" s="11" t="s">
        <v>18364</v>
      </c>
      <c r="S5070" s="11" t="s">
        <v>17750</v>
      </c>
    </row>
    <row r="5071" spans="1:19" x14ac:dyDescent="0.2">
      <c r="A5071" s="11" t="s">
        <v>47155</v>
      </c>
      <c r="B5071" s="9" t="s">
        <v>47156</v>
      </c>
      <c r="C5071" s="9" t="s">
        <v>47157</v>
      </c>
      <c r="D5071" s="9" t="s">
        <v>47158</v>
      </c>
      <c r="E5071" s="9" t="s">
        <v>17740</v>
      </c>
      <c r="F5071" s="9" t="s">
        <v>47159</v>
      </c>
      <c r="G5071" s="9" t="s">
        <v>17740</v>
      </c>
      <c r="H5071" s="11" t="s">
        <v>17741</v>
      </c>
      <c r="I5071" s="11" t="s">
        <v>47160</v>
      </c>
      <c r="J5071" s="11" t="s">
        <v>47160</v>
      </c>
      <c r="K5071" s="9" t="s">
        <v>47161</v>
      </c>
      <c r="L5071" s="9" t="s">
        <v>17759</v>
      </c>
      <c r="M5071" s="9" t="s">
        <v>18170</v>
      </c>
      <c r="N5071" s="9" t="s">
        <v>17746</v>
      </c>
      <c r="O5071" s="9" t="s">
        <v>24351</v>
      </c>
      <c r="P5071" s="9" t="s">
        <v>17748</v>
      </c>
      <c r="Q5071" s="11" t="s">
        <v>18856</v>
      </c>
      <c r="R5071" s="11" t="s">
        <v>18856</v>
      </c>
      <c r="S5071" s="11" t="s">
        <v>17750</v>
      </c>
    </row>
    <row r="5072" spans="1:19" x14ac:dyDescent="0.2">
      <c r="A5072" s="11" t="s">
        <v>47162</v>
      </c>
      <c r="B5072" s="9" t="s">
        <v>47163</v>
      </c>
      <c r="C5072" s="9" t="s">
        <v>47164</v>
      </c>
      <c r="D5072" s="9" t="s">
        <v>47165</v>
      </c>
      <c r="E5072" s="9" t="s">
        <v>17740</v>
      </c>
      <c r="F5072" s="9" t="s">
        <v>17741</v>
      </c>
      <c r="G5072" s="9" t="s">
        <v>17740</v>
      </c>
      <c r="H5072" s="11" t="s">
        <v>47166</v>
      </c>
      <c r="I5072" s="11" t="s">
        <v>47167</v>
      </c>
      <c r="J5072" s="11" t="s">
        <v>47167</v>
      </c>
      <c r="K5072" s="9" t="s">
        <v>32539</v>
      </c>
      <c r="L5072" s="9" t="s">
        <v>17759</v>
      </c>
      <c r="M5072" s="9" t="s">
        <v>17760</v>
      </c>
      <c r="N5072" s="9" t="s">
        <v>17746</v>
      </c>
      <c r="O5072" s="9" t="s">
        <v>23543</v>
      </c>
      <c r="P5072" s="9" t="s">
        <v>17748</v>
      </c>
      <c r="Q5072" s="11" t="s">
        <v>17749</v>
      </c>
      <c r="R5072" s="11" t="s">
        <v>17749</v>
      </c>
      <c r="S5072" s="11" t="s">
        <v>17750</v>
      </c>
    </row>
    <row r="5073" spans="1:19" x14ac:dyDescent="0.2">
      <c r="A5073" s="11" t="s">
        <v>47168</v>
      </c>
      <c r="B5073" s="9" t="s">
        <v>47169</v>
      </c>
      <c r="C5073" s="9" t="s">
        <v>47170</v>
      </c>
      <c r="D5073" s="9" t="s">
        <v>47171</v>
      </c>
      <c r="E5073" s="9" t="s">
        <v>17740</v>
      </c>
      <c r="F5073" s="9" t="s">
        <v>17741</v>
      </c>
      <c r="G5073" s="9" t="s">
        <v>17740</v>
      </c>
      <c r="H5073" s="11" t="s">
        <v>17741</v>
      </c>
      <c r="I5073" s="11" t="s">
        <v>47172</v>
      </c>
      <c r="J5073" s="11" t="s">
        <v>47172</v>
      </c>
      <c r="K5073" s="9" t="s">
        <v>18183</v>
      </c>
      <c r="L5073" s="9" t="s">
        <v>18158</v>
      </c>
      <c r="M5073" s="9" t="s">
        <v>17942</v>
      </c>
      <c r="N5073" s="9" t="s">
        <v>18185</v>
      </c>
      <c r="O5073" s="9" t="s">
        <v>20453</v>
      </c>
      <c r="P5073" s="9" t="s">
        <v>17748</v>
      </c>
      <c r="Q5073" s="11" t="s">
        <v>18440</v>
      </c>
      <c r="R5073" s="11" t="s">
        <v>18440</v>
      </c>
      <c r="S5073" s="11" t="s">
        <v>17750</v>
      </c>
    </row>
    <row r="5074" spans="1:19" x14ac:dyDescent="0.2">
      <c r="A5074" s="11" t="s">
        <v>47173</v>
      </c>
      <c r="B5074" s="9" t="s">
        <v>47174</v>
      </c>
      <c r="C5074" s="9" t="s">
        <v>47175</v>
      </c>
      <c r="D5074" s="9" t="s">
        <v>47176</v>
      </c>
      <c r="E5074" s="9" t="s">
        <v>17740</v>
      </c>
      <c r="F5074" s="9" t="s">
        <v>47177</v>
      </c>
      <c r="G5074" s="9" t="s">
        <v>17740</v>
      </c>
      <c r="H5074" s="11" t="s">
        <v>17741</v>
      </c>
      <c r="I5074" s="11" t="s">
        <v>47178</v>
      </c>
      <c r="J5074" s="11" t="s">
        <v>47178</v>
      </c>
      <c r="K5074" s="9" t="s">
        <v>47179</v>
      </c>
      <c r="L5074" s="9" t="s">
        <v>18123</v>
      </c>
      <c r="M5074" s="9" t="s">
        <v>19168</v>
      </c>
      <c r="N5074" s="9" t="s">
        <v>18185</v>
      </c>
      <c r="O5074" s="9" t="s">
        <v>18563</v>
      </c>
      <c r="P5074" s="9" t="s">
        <v>17748</v>
      </c>
      <c r="Q5074" s="11" t="s">
        <v>47180</v>
      </c>
      <c r="R5074" s="11" t="s">
        <v>47180</v>
      </c>
      <c r="S5074" s="11" t="s">
        <v>17750</v>
      </c>
    </row>
    <row r="5075" spans="1:19" x14ac:dyDescent="0.2">
      <c r="A5075" s="11" t="s">
        <v>47181</v>
      </c>
      <c r="B5075" s="9" t="s">
        <v>47182</v>
      </c>
      <c r="C5075" s="9" t="s">
        <v>47183</v>
      </c>
      <c r="D5075" s="9" t="s">
        <v>47184</v>
      </c>
      <c r="E5075" s="9" t="s">
        <v>17748</v>
      </c>
      <c r="F5075" s="9" t="s">
        <v>47185</v>
      </c>
      <c r="G5075" s="9" t="s">
        <v>17740</v>
      </c>
      <c r="H5075" s="11" t="s">
        <v>17741</v>
      </c>
      <c r="I5075" s="11" t="s">
        <v>12121</v>
      </c>
      <c r="J5075" s="11" t="s">
        <v>12121</v>
      </c>
      <c r="K5075" s="9" t="s">
        <v>12123</v>
      </c>
      <c r="L5075" s="9" t="s">
        <v>17744</v>
      </c>
      <c r="M5075" s="9" t="s">
        <v>17760</v>
      </c>
      <c r="N5075" s="9" t="s">
        <v>17746</v>
      </c>
      <c r="O5075" s="9" t="s">
        <v>19275</v>
      </c>
      <c r="P5075" s="9" t="s">
        <v>17748</v>
      </c>
      <c r="Q5075" s="11" t="s">
        <v>19361</v>
      </c>
      <c r="R5075" s="11" t="s">
        <v>19361</v>
      </c>
      <c r="S5075" s="11" t="s">
        <v>17750</v>
      </c>
    </row>
    <row r="5076" spans="1:19" x14ac:dyDescent="0.2">
      <c r="A5076" s="11" t="s">
        <v>47186</v>
      </c>
      <c r="B5076" s="9" t="s">
        <v>47187</v>
      </c>
      <c r="C5076" s="9" t="s">
        <v>47188</v>
      </c>
      <c r="D5076" s="9" t="s">
        <v>3734</v>
      </c>
      <c r="E5076" s="9" t="s">
        <v>17740</v>
      </c>
      <c r="F5076" s="9" t="s">
        <v>47189</v>
      </c>
      <c r="G5076" s="9" t="s">
        <v>17740</v>
      </c>
      <c r="H5076" s="11" t="s">
        <v>3736</v>
      </c>
      <c r="I5076" s="11" t="s">
        <v>3735</v>
      </c>
      <c r="J5076" s="11" t="s">
        <v>3735</v>
      </c>
      <c r="K5076" s="9" t="s">
        <v>3737</v>
      </c>
      <c r="L5076" s="9" t="s">
        <v>17759</v>
      </c>
      <c r="M5076" s="9" t="s">
        <v>47190</v>
      </c>
      <c r="N5076" s="9" t="s">
        <v>17746</v>
      </c>
      <c r="O5076" s="9" t="s">
        <v>3734</v>
      </c>
      <c r="P5076" s="9" t="s">
        <v>17748</v>
      </c>
      <c r="Q5076" s="11" t="s">
        <v>47191</v>
      </c>
      <c r="R5076" s="11" t="s">
        <v>47191</v>
      </c>
      <c r="S5076" s="11" t="s">
        <v>17750</v>
      </c>
    </row>
    <row r="5077" spans="1:19" x14ac:dyDescent="0.2">
      <c r="A5077" s="11" t="s">
        <v>47192</v>
      </c>
      <c r="B5077" s="9" t="s">
        <v>47193</v>
      </c>
      <c r="C5077" s="9" t="s">
        <v>47194</v>
      </c>
      <c r="D5077" s="9" t="s">
        <v>47195</v>
      </c>
      <c r="E5077" s="9" t="s">
        <v>17740</v>
      </c>
      <c r="F5077" s="9" t="s">
        <v>17741</v>
      </c>
      <c r="G5077" s="9" t="s">
        <v>17740</v>
      </c>
      <c r="H5077" s="11" t="s">
        <v>47196</v>
      </c>
      <c r="I5077" s="11" t="s">
        <v>47197</v>
      </c>
      <c r="J5077" s="11" t="s">
        <v>47197</v>
      </c>
      <c r="K5077" s="9" t="s">
        <v>47198</v>
      </c>
      <c r="L5077" s="9" t="s">
        <v>17744</v>
      </c>
      <c r="M5077" s="9" t="s">
        <v>17760</v>
      </c>
      <c r="N5077" s="9" t="s">
        <v>17746</v>
      </c>
      <c r="O5077" s="9" t="s">
        <v>17874</v>
      </c>
      <c r="P5077" s="9" t="s">
        <v>17748</v>
      </c>
      <c r="Q5077" s="11" t="s">
        <v>19361</v>
      </c>
      <c r="R5077" s="11" t="s">
        <v>19361</v>
      </c>
      <c r="S5077" s="11" t="s">
        <v>17750</v>
      </c>
    </row>
    <row r="5078" spans="1:19" x14ac:dyDescent="0.2">
      <c r="A5078" s="11" t="s">
        <v>47199</v>
      </c>
      <c r="B5078" s="9" t="s">
        <v>47200</v>
      </c>
      <c r="C5078" s="9" t="s">
        <v>47201</v>
      </c>
      <c r="D5078" s="9" t="s">
        <v>47202</v>
      </c>
      <c r="E5078" s="9" t="s">
        <v>17748</v>
      </c>
      <c r="F5078" s="9" t="s">
        <v>47203</v>
      </c>
      <c r="G5078" s="9" t="s">
        <v>17740</v>
      </c>
      <c r="H5078" s="11" t="s">
        <v>47204</v>
      </c>
      <c r="I5078" s="11" t="s">
        <v>47205</v>
      </c>
      <c r="J5078" s="11" t="s">
        <v>47205</v>
      </c>
      <c r="K5078" s="9" t="s">
        <v>47206</v>
      </c>
      <c r="L5078" s="9" t="s">
        <v>17958</v>
      </c>
      <c r="M5078" s="9" t="s">
        <v>17817</v>
      </c>
      <c r="N5078" s="9" t="s">
        <v>17746</v>
      </c>
      <c r="O5078" s="9" t="s">
        <v>20004</v>
      </c>
      <c r="P5078" s="9" t="s">
        <v>17748</v>
      </c>
      <c r="Q5078" s="11" t="s">
        <v>17900</v>
      </c>
      <c r="R5078" s="11" t="s">
        <v>17900</v>
      </c>
      <c r="S5078" s="11" t="s">
        <v>17750</v>
      </c>
    </row>
    <row r="5079" spans="1:19" x14ac:dyDescent="0.2">
      <c r="A5079" s="11" t="s">
        <v>47207</v>
      </c>
      <c r="B5079" s="9" t="s">
        <v>47208</v>
      </c>
      <c r="C5079" s="9" t="s">
        <v>47209</v>
      </c>
      <c r="D5079" s="9" t="s">
        <v>47210</v>
      </c>
      <c r="E5079" s="9" t="s">
        <v>17740</v>
      </c>
      <c r="F5079" s="9" t="s">
        <v>17741</v>
      </c>
      <c r="G5079" s="9" t="s">
        <v>17740</v>
      </c>
      <c r="H5079" s="11" t="s">
        <v>17741</v>
      </c>
      <c r="I5079" s="11" t="s">
        <v>47211</v>
      </c>
      <c r="J5079" s="11" t="s">
        <v>47211</v>
      </c>
      <c r="K5079" s="9" t="s">
        <v>724</v>
      </c>
      <c r="L5079" s="9" t="s">
        <v>17744</v>
      </c>
      <c r="M5079" s="9" t="s">
        <v>17778</v>
      </c>
      <c r="N5079" s="9" t="s">
        <v>17746</v>
      </c>
      <c r="O5079" s="9" t="s">
        <v>20690</v>
      </c>
      <c r="P5079" s="9" t="s">
        <v>17748</v>
      </c>
      <c r="Q5079" s="11" t="s">
        <v>18364</v>
      </c>
      <c r="R5079" s="11" t="s">
        <v>18364</v>
      </c>
      <c r="S5079" s="11" t="s">
        <v>17750</v>
      </c>
    </row>
    <row r="5080" spans="1:19" x14ac:dyDescent="0.2">
      <c r="A5080" s="11" t="s">
        <v>47212</v>
      </c>
      <c r="B5080" s="9" t="s">
        <v>47213</v>
      </c>
      <c r="C5080" s="9" t="s">
        <v>47214</v>
      </c>
      <c r="D5080" s="9" t="s">
        <v>47215</v>
      </c>
      <c r="E5080" s="9" t="s">
        <v>17740</v>
      </c>
      <c r="F5080" s="9" t="s">
        <v>17741</v>
      </c>
      <c r="G5080" s="9" t="s">
        <v>17740</v>
      </c>
      <c r="H5080" s="11" t="s">
        <v>3857</v>
      </c>
      <c r="I5080" s="11" t="s">
        <v>3856</v>
      </c>
      <c r="J5080" s="11" t="s">
        <v>3856</v>
      </c>
      <c r="K5080" s="9" t="s">
        <v>25056</v>
      </c>
      <c r="L5080" s="9" t="s">
        <v>18001</v>
      </c>
      <c r="M5080" s="9" t="s">
        <v>47216</v>
      </c>
      <c r="N5080" s="9" t="s">
        <v>17746</v>
      </c>
      <c r="O5080" s="9" t="s">
        <v>20453</v>
      </c>
      <c r="P5080" s="9" t="s">
        <v>17748</v>
      </c>
      <c r="Q5080" s="11" t="s">
        <v>19082</v>
      </c>
      <c r="R5080" s="11" t="s">
        <v>19082</v>
      </c>
      <c r="S5080" s="11" t="s">
        <v>17750</v>
      </c>
    </row>
    <row r="5081" spans="1:19" x14ac:dyDescent="0.2">
      <c r="A5081" s="11" t="s">
        <v>47217</v>
      </c>
      <c r="B5081" s="9" t="s">
        <v>47218</v>
      </c>
      <c r="C5081" s="9" t="s">
        <v>47219</v>
      </c>
      <c r="D5081" s="9" t="s">
        <v>47220</v>
      </c>
      <c r="E5081" s="9" t="s">
        <v>17740</v>
      </c>
      <c r="F5081" s="9" t="s">
        <v>47221</v>
      </c>
      <c r="G5081" s="9" t="s">
        <v>17740</v>
      </c>
      <c r="H5081" s="11" t="s">
        <v>17741</v>
      </c>
      <c r="I5081" s="11" t="s">
        <v>47222</v>
      </c>
      <c r="J5081" s="11" t="s">
        <v>47222</v>
      </c>
      <c r="K5081" s="9" t="s">
        <v>47223</v>
      </c>
      <c r="L5081" s="9" t="s">
        <v>17744</v>
      </c>
      <c r="M5081" s="9" t="s">
        <v>17760</v>
      </c>
      <c r="N5081" s="9" t="s">
        <v>17746</v>
      </c>
      <c r="O5081" s="9" t="s">
        <v>3734</v>
      </c>
      <c r="P5081" s="9" t="s">
        <v>17748</v>
      </c>
      <c r="Q5081" s="11" t="s">
        <v>19349</v>
      </c>
      <c r="R5081" s="11" t="s">
        <v>19349</v>
      </c>
      <c r="S5081" s="11" t="s">
        <v>17750</v>
      </c>
    </row>
    <row r="5082" spans="1:19" x14ac:dyDescent="0.2">
      <c r="A5082" s="11" t="s">
        <v>47224</v>
      </c>
      <c r="B5082" s="9" t="s">
        <v>47225</v>
      </c>
      <c r="C5082" s="9" t="s">
        <v>47226</v>
      </c>
      <c r="D5082" s="9" t="s">
        <v>47227</v>
      </c>
      <c r="E5082" s="9" t="s">
        <v>17748</v>
      </c>
      <c r="F5082" s="9" t="s">
        <v>47228</v>
      </c>
      <c r="G5082" s="9" t="s">
        <v>17740</v>
      </c>
      <c r="H5082" s="11" t="s">
        <v>13903</v>
      </c>
      <c r="I5082" s="11" t="s">
        <v>17741</v>
      </c>
      <c r="J5082" s="11" t="s">
        <v>17741</v>
      </c>
      <c r="K5082" s="9" t="s">
        <v>3737</v>
      </c>
      <c r="L5082" s="9" t="s">
        <v>17759</v>
      </c>
      <c r="M5082" s="9" t="s">
        <v>23186</v>
      </c>
      <c r="N5082" s="9" t="s">
        <v>17746</v>
      </c>
      <c r="O5082" s="9" t="s">
        <v>47229</v>
      </c>
      <c r="P5082" s="9" t="s">
        <v>17748</v>
      </c>
      <c r="Q5082" s="11" t="s">
        <v>18370</v>
      </c>
      <c r="R5082" s="11" t="s">
        <v>18370</v>
      </c>
      <c r="S5082" s="11" t="s">
        <v>17750</v>
      </c>
    </row>
    <row r="5083" spans="1:19" x14ac:dyDescent="0.2">
      <c r="A5083" s="11" t="s">
        <v>47230</v>
      </c>
      <c r="B5083" s="9" t="s">
        <v>47231</v>
      </c>
      <c r="C5083" s="9" t="s">
        <v>47232</v>
      </c>
      <c r="D5083" s="9" t="s">
        <v>47233</v>
      </c>
      <c r="E5083" s="9" t="s">
        <v>17740</v>
      </c>
      <c r="F5083" s="9" t="s">
        <v>17741</v>
      </c>
      <c r="G5083" s="9" t="s">
        <v>17740</v>
      </c>
      <c r="H5083" s="11" t="s">
        <v>14419</v>
      </c>
      <c r="I5083" s="11" t="s">
        <v>14418</v>
      </c>
      <c r="J5083" s="11" t="s">
        <v>14418</v>
      </c>
      <c r="K5083" s="9" t="s">
        <v>3737</v>
      </c>
      <c r="L5083" s="9" t="s">
        <v>17759</v>
      </c>
      <c r="M5083" s="9" t="s">
        <v>17817</v>
      </c>
      <c r="N5083" s="9" t="s">
        <v>17746</v>
      </c>
      <c r="O5083" s="9" t="s">
        <v>25597</v>
      </c>
      <c r="P5083" s="9" t="s">
        <v>17748</v>
      </c>
      <c r="Q5083" s="11" t="s">
        <v>17825</v>
      </c>
      <c r="R5083" s="11" t="s">
        <v>17825</v>
      </c>
      <c r="S5083" s="11" t="s">
        <v>17750</v>
      </c>
    </row>
    <row r="5084" spans="1:19" x14ac:dyDescent="0.2">
      <c r="A5084" s="11" t="s">
        <v>47234</v>
      </c>
      <c r="B5084" s="9" t="s">
        <v>47235</v>
      </c>
      <c r="C5084" s="9" t="s">
        <v>47236</v>
      </c>
      <c r="D5084" s="9" t="s">
        <v>47237</v>
      </c>
      <c r="E5084" s="9" t="s">
        <v>17740</v>
      </c>
      <c r="F5084" s="9" t="s">
        <v>47238</v>
      </c>
      <c r="G5084" s="9" t="s">
        <v>17740</v>
      </c>
      <c r="H5084" s="11" t="s">
        <v>17741</v>
      </c>
      <c r="I5084" s="11" t="s">
        <v>47239</v>
      </c>
      <c r="J5084" s="11" t="s">
        <v>47239</v>
      </c>
      <c r="K5084" s="9" t="s">
        <v>47240</v>
      </c>
      <c r="L5084" s="9" t="s">
        <v>18959</v>
      </c>
      <c r="M5084" s="9" t="s">
        <v>18051</v>
      </c>
      <c r="N5084" s="9" t="s">
        <v>17746</v>
      </c>
      <c r="O5084" s="9" t="s">
        <v>20690</v>
      </c>
      <c r="P5084" s="9" t="s">
        <v>17748</v>
      </c>
      <c r="Q5084" s="11" t="s">
        <v>18341</v>
      </c>
      <c r="R5084" s="11" t="s">
        <v>18341</v>
      </c>
      <c r="S5084" s="11" t="s">
        <v>17750</v>
      </c>
    </row>
    <row r="5085" spans="1:19" x14ac:dyDescent="0.2">
      <c r="A5085" s="11" t="s">
        <v>47241</v>
      </c>
      <c r="B5085" s="9" t="s">
        <v>47242</v>
      </c>
      <c r="C5085" s="9" t="s">
        <v>47243</v>
      </c>
      <c r="D5085" s="9" t="s">
        <v>47244</v>
      </c>
      <c r="E5085" s="9" t="s">
        <v>17740</v>
      </c>
      <c r="F5085" s="9" t="s">
        <v>17741</v>
      </c>
      <c r="G5085" s="9" t="s">
        <v>17740</v>
      </c>
      <c r="H5085" s="11" t="s">
        <v>17741</v>
      </c>
      <c r="I5085" s="11" t="s">
        <v>47245</v>
      </c>
      <c r="J5085" s="11" t="s">
        <v>47245</v>
      </c>
      <c r="K5085" s="9" t="s">
        <v>47242</v>
      </c>
      <c r="L5085" s="9" t="s">
        <v>17759</v>
      </c>
      <c r="M5085" s="9" t="s">
        <v>17817</v>
      </c>
      <c r="N5085" s="9" t="s">
        <v>17746</v>
      </c>
      <c r="O5085" s="9" t="s">
        <v>3734</v>
      </c>
      <c r="P5085" s="9" t="s">
        <v>17748</v>
      </c>
      <c r="Q5085" s="11" t="s">
        <v>47246</v>
      </c>
      <c r="R5085" s="11" t="s">
        <v>47246</v>
      </c>
      <c r="S5085" s="11" t="s">
        <v>17750</v>
      </c>
    </row>
    <row r="5086" spans="1:19" x14ac:dyDescent="0.2">
      <c r="A5086" s="11" t="s">
        <v>47247</v>
      </c>
      <c r="B5086" s="9" t="s">
        <v>47248</v>
      </c>
      <c r="C5086" s="9" t="s">
        <v>47249</v>
      </c>
      <c r="D5086" s="9" t="s">
        <v>47250</v>
      </c>
      <c r="E5086" s="9" t="s">
        <v>17740</v>
      </c>
      <c r="F5086" s="9" t="s">
        <v>17741</v>
      </c>
      <c r="G5086" s="9" t="s">
        <v>17740</v>
      </c>
      <c r="H5086" s="11" t="s">
        <v>47251</v>
      </c>
      <c r="I5086" s="11" t="s">
        <v>17741</v>
      </c>
      <c r="J5086" s="11" t="s">
        <v>47251</v>
      </c>
      <c r="K5086" s="9" t="s">
        <v>315</v>
      </c>
      <c r="L5086" s="9" t="s">
        <v>17744</v>
      </c>
      <c r="M5086" s="9" t="s">
        <v>47252</v>
      </c>
      <c r="N5086" s="9" t="s">
        <v>17746</v>
      </c>
      <c r="O5086" s="9" t="s">
        <v>3734</v>
      </c>
      <c r="P5086" s="9" t="s">
        <v>17748</v>
      </c>
      <c r="Q5086" s="11" t="s">
        <v>17909</v>
      </c>
      <c r="R5086" s="11" t="s">
        <v>17909</v>
      </c>
      <c r="S5086" s="11" t="s">
        <v>17750</v>
      </c>
    </row>
    <row r="5087" spans="1:19" x14ac:dyDescent="0.2">
      <c r="A5087" s="11" t="s">
        <v>47253</v>
      </c>
      <c r="B5087" s="9" t="s">
        <v>47254</v>
      </c>
      <c r="C5087" s="9" t="s">
        <v>47255</v>
      </c>
      <c r="D5087" s="9" t="s">
        <v>47256</v>
      </c>
      <c r="E5087" s="9" t="s">
        <v>17740</v>
      </c>
      <c r="F5087" s="9" t="s">
        <v>47257</v>
      </c>
      <c r="G5087" s="9" t="s">
        <v>17740</v>
      </c>
      <c r="H5087" s="11" t="s">
        <v>17741</v>
      </c>
      <c r="I5087" s="11" t="s">
        <v>3831</v>
      </c>
      <c r="J5087" s="11" t="s">
        <v>3831</v>
      </c>
      <c r="K5087" s="9" t="s">
        <v>18520</v>
      </c>
      <c r="L5087" s="9" t="s">
        <v>23607</v>
      </c>
      <c r="M5087" s="9" t="s">
        <v>19354</v>
      </c>
      <c r="N5087" s="9" t="s">
        <v>17746</v>
      </c>
      <c r="O5087" s="9" t="s">
        <v>17993</v>
      </c>
      <c r="P5087" s="9" t="s">
        <v>17748</v>
      </c>
      <c r="Q5087" s="11" t="s">
        <v>18234</v>
      </c>
      <c r="R5087" s="11" t="s">
        <v>18234</v>
      </c>
      <c r="S5087" s="11" t="s">
        <v>17750</v>
      </c>
    </row>
    <row r="5088" spans="1:19" x14ac:dyDescent="0.2">
      <c r="A5088" s="11" t="s">
        <v>47258</v>
      </c>
      <c r="B5088" s="9" t="s">
        <v>47259</v>
      </c>
      <c r="C5088" s="9" t="s">
        <v>47260</v>
      </c>
      <c r="D5088" s="9" t="s">
        <v>47261</v>
      </c>
      <c r="E5088" s="9" t="s">
        <v>17740</v>
      </c>
      <c r="F5088" s="9" t="s">
        <v>17741</v>
      </c>
      <c r="G5088" s="9" t="s">
        <v>17740</v>
      </c>
      <c r="H5088" s="11" t="s">
        <v>17741</v>
      </c>
      <c r="I5088" s="11" t="s">
        <v>47262</v>
      </c>
      <c r="J5088" s="11" t="s">
        <v>47262</v>
      </c>
      <c r="K5088" s="9" t="s">
        <v>47263</v>
      </c>
      <c r="L5088" s="9" t="s">
        <v>17958</v>
      </c>
      <c r="M5088" s="9" t="s">
        <v>17769</v>
      </c>
      <c r="N5088" s="9" t="s">
        <v>22152</v>
      </c>
      <c r="O5088" s="9" t="s">
        <v>18088</v>
      </c>
      <c r="P5088" s="9" t="s">
        <v>17748</v>
      </c>
      <c r="Q5088" s="11" t="s">
        <v>18341</v>
      </c>
      <c r="R5088" s="11" t="s">
        <v>18341</v>
      </c>
      <c r="S5088" s="11" t="s">
        <v>17750</v>
      </c>
    </row>
    <row r="5089" spans="1:19" x14ac:dyDescent="0.2">
      <c r="A5089" s="11" t="s">
        <v>47264</v>
      </c>
      <c r="B5089" s="9" t="s">
        <v>47265</v>
      </c>
      <c r="C5089" s="9" t="s">
        <v>47266</v>
      </c>
      <c r="D5089" s="9" t="s">
        <v>47267</v>
      </c>
      <c r="E5089" s="9" t="s">
        <v>17748</v>
      </c>
      <c r="F5089" s="9" t="s">
        <v>47268</v>
      </c>
      <c r="G5089" s="9" t="s">
        <v>17740</v>
      </c>
      <c r="H5089" s="11" t="s">
        <v>17741</v>
      </c>
      <c r="I5089" s="11" t="s">
        <v>17741</v>
      </c>
      <c r="J5089" s="11" t="s">
        <v>17741</v>
      </c>
      <c r="K5089" s="9" t="s">
        <v>21108</v>
      </c>
      <c r="L5089" s="9" t="s">
        <v>17759</v>
      </c>
      <c r="M5089" s="9" t="s">
        <v>17741</v>
      </c>
      <c r="N5089" s="9" t="s">
        <v>17746</v>
      </c>
      <c r="O5089" s="9" t="s">
        <v>17977</v>
      </c>
      <c r="P5089" s="9" t="s">
        <v>17748</v>
      </c>
      <c r="Q5089" s="11" t="s">
        <v>17984</v>
      </c>
      <c r="R5089" s="11" t="s">
        <v>17984</v>
      </c>
      <c r="S5089" s="11" t="s">
        <v>17750</v>
      </c>
    </row>
    <row r="5090" spans="1:19" x14ac:dyDescent="0.2">
      <c r="A5090" s="11" t="s">
        <v>47269</v>
      </c>
      <c r="B5090" s="9" t="s">
        <v>47270</v>
      </c>
      <c r="C5090" s="9" t="s">
        <v>47271</v>
      </c>
      <c r="D5090" s="9" t="s">
        <v>47272</v>
      </c>
      <c r="E5090" s="9" t="s">
        <v>17740</v>
      </c>
      <c r="F5090" s="9" t="s">
        <v>47273</v>
      </c>
      <c r="G5090" s="9" t="s">
        <v>17740</v>
      </c>
      <c r="H5090" s="11" t="s">
        <v>17741</v>
      </c>
      <c r="I5090" s="11" t="s">
        <v>47274</v>
      </c>
      <c r="J5090" s="11" t="s">
        <v>47274</v>
      </c>
      <c r="K5090" s="9" t="s">
        <v>47275</v>
      </c>
      <c r="L5090" s="9" t="s">
        <v>18242</v>
      </c>
      <c r="M5090" s="9" t="s">
        <v>17817</v>
      </c>
      <c r="N5090" s="9" t="s">
        <v>21524</v>
      </c>
      <c r="O5090" s="9" t="s">
        <v>773</v>
      </c>
      <c r="P5090" s="9" t="s">
        <v>17748</v>
      </c>
      <c r="Q5090" s="11" t="s">
        <v>18178</v>
      </c>
      <c r="R5090" s="11" t="s">
        <v>18178</v>
      </c>
      <c r="S5090" s="11" t="s">
        <v>17750</v>
      </c>
    </row>
    <row r="5091" spans="1:19" x14ac:dyDescent="0.2">
      <c r="A5091" s="11" t="s">
        <v>47276</v>
      </c>
      <c r="B5091" s="9" t="s">
        <v>47277</v>
      </c>
      <c r="C5091" s="9" t="s">
        <v>47278</v>
      </c>
      <c r="D5091" s="9" t="s">
        <v>47279</v>
      </c>
      <c r="E5091" s="9" t="s">
        <v>17740</v>
      </c>
      <c r="F5091" s="9" t="s">
        <v>47280</v>
      </c>
      <c r="G5091" s="9" t="s">
        <v>17740</v>
      </c>
      <c r="H5091" s="11" t="s">
        <v>17741</v>
      </c>
      <c r="I5091" s="11" t="s">
        <v>47281</v>
      </c>
      <c r="J5091" s="11" t="s">
        <v>47281</v>
      </c>
      <c r="K5091" s="9" t="s">
        <v>47282</v>
      </c>
      <c r="L5091" s="9" t="s">
        <v>18242</v>
      </c>
      <c r="M5091" s="9" t="s">
        <v>17817</v>
      </c>
      <c r="N5091" s="9" t="s">
        <v>21524</v>
      </c>
      <c r="O5091" s="9" t="s">
        <v>19379</v>
      </c>
      <c r="P5091" s="9" t="s">
        <v>17748</v>
      </c>
      <c r="Q5091" s="11" t="s">
        <v>18002</v>
      </c>
      <c r="R5091" s="11" t="s">
        <v>18002</v>
      </c>
      <c r="S5091" s="11" t="s">
        <v>17750</v>
      </c>
    </row>
    <row r="5092" spans="1:19" x14ac:dyDescent="0.2">
      <c r="A5092" s="11" t="s">
        <v>47283</v>
      </c>
      <c r="B5092" s="9" t="s">
        <v>47284</v>
      </c>
      <c r="C5092" s="9" t="s">
        <v>47285</v>
      </c>
      <c r="D5092" s="9" t="s">
        <v>5965</v>
      </c>
      <c r="E5092" s="9" t="s">
        <v>17740</v>
      </c>
      <c r="F5092" s="9" t="s">
        <v>17741</v>
      </c>
      <c r="G5092" s="9" t="s">
        <v>17740</v>
      </c>
      <c r="H5092" s="11" t="s">
        <v>5967</v>
      </c>
      <c r="I5092" s="11" t="s">
        <v>5966</v>
      </c>
      <c r="J5092" s="11" t="s">
        <v>5966</v>
      </c>
      <c r="K5092" s="9" t="s">
        <v>303</v>
      </c>
      <c r="L5092" s="9" t="s">
        <v>17744</v>
      </c>
      <c r="M5092" s="9" t="s">
        <v>20957</v>
      </c>
      <c r="N5092" s="9" t="s">
        <v>17746</v>
      </c>
      <c r="O5092" s="9" t="s">
        <v>3100</v>
      </c>
      <c r="P5092" s="9" t="s">
        <v>17748</v>
      </c>
      <c r="Q5092" s="11" t="s">
        <v>18147</v>
      </c>
      <c r="R5092" s="11" t="s">
        <v>18147</v>
      </c>
      <c r="S5092" s="11" t="s">
        <v>17750</v>
      </c>
    </row>
    <row r="5093" spans="1:19" x14ac:dyDescent="0.2">
      <c r="A5093" s="11" t="s">
        <v>47286</v>
      </c>
      <c r="B5093" s="9" t="s">
        <v>47287</v>
      </c>
      <c r="C5093" s="9" t="s">
        <v>47288</v>
      </c>
      <c r="D5093" s="9" t="s">
        <v>47289</v>
      </c>
      <c r="E5093" s="9" t="s">
        <v>17740</v>
      </c>
      <c r="F5093" s="9" t="s">
        <v>47290</v>
      </c>
      <c r="G5093" s="9" t="s">
        <v>17740</v>
      </c>
      <c r="H5093" s="11" t="s">
        <v>47291</v>
      </c>
      <c r="I5093" s="11" t="s">
        <v>47292</v>
      </c>
      <c r="J5093" s="11" t="s">
        <v>47292</v>
      </c>
      <c r="K5093" s="9" t="s">
        <v>47293</v>
      </c>
      <c r="L5093" s="9" t="s">
        <v>18439</v>
      </c>
      <c r="M5093" s="9" t="s">
        <v>47294</v>
      </c>
      <c r="N5093" s="9" t="s">
        <v>18171</v>
      </c>
      <c r="O5093" s="9" t="s">
        <v>19423</v>
      </c>
      <c r="P5093" s="9" t="s">
        <v>17748</v>
      </c>
      <c r="Q5093" s="11" t="s">
        <v>18201</v>
      </c>
      <c r="R5093" s="11" t="s">
        <v>18201</v>
      </c>
      <c r="S5093" s="11" t="s">
        <v>17750</v>
      </c>
    </row>
    <row r="5094" spans="1:19" x14ac:dyDescent="0.2">
      <c r="A5094" s="11" t="s">
        <v>47295</v>
      </c>
      <c r="B5094" s="9" t="s">
        <v>47296</v>
      </c>
      <c r="C5094" s="9" t="s">
        <v>47297</v>
      </c>
      <c r="D5094" s="9" t="s">
        <v>47298</v>
      </c>
      <c r="E5094" s="9" t="s">
        <v>17740</v>
      </c>
      <c r="F5094" s="9" t="s">
        <v>17741</v>
      </c>
      <c r="G5094" s="9" t="s">
        <v>17740</v>
      </c>
      <c r="H5094" s="11" t="s">
        <v>3718</v>
      </c>
      <c r="I5094" s="11" t="s">
        <v>3717</v>
      </c>
      <c r="J5094" s="11" t="s">
        <v>3717</v>
      </c>
      <c r="K5094" s="9" t="s">
        <v>303</v>
      </c>
      <c r="L5094" s="9" t="s">
        <v>17759</v>
      </c>
      <c r="M5094" s="9" t="s">
        <v>17769</v>
      </c>
      <c r="N5094" s="9" t="s">
        <v>17746</v>
      </c>
      <c r="O5094" s="9" t="s">
        <v>18534</v>
      </c>
      <c r="P5094" s="9" t="s">
        <v>17748</v>
      </c>
      <c r="Q5094" s="11" t="s">
        <v>19899</v>
      </c>
      <c r="R5094" s="11" t="s">
        <v>19899</v>
      </c>
      <c r="S5094" s="11" t="s">
        <v>17750</v>
      </c>
    </row>
    <row r="5095" spans="1:19" x14ac:dyDescent="0.2">
      <c r="A5095" s="11" t="s">
        <v>47299</v>
      </c>
      <c r="B5095" s="9" t="s">
        <v>47300</v>
      </c>
      <c r="C5095" s="9" t="s">
        <v>47301</v>
      </c>
      <c r="D5095" s="9" t="s">
        <v>47302</v>
      </c>
      <c r="E5095" s="9" t="s">
        <v>17740</v>
      </c>
      <c r="F5095" s="9" t="s">
        <v>17741</v>
      </c>
      <c r="G5095" s="9" t="s">
        <v>17740</v>
      </c>
      <c r="H5095" s="11" t="s">
        <v>5494</v>
      </c>
      <c r="I5095" s="11" t="s">
        <v>5493</v>
      </c>
      <c r="J5095" s="11" t="s">
        <v>5493</v>
      </c>
      <c r="K5095" s="9" t="s">
        <v>601</v>
      </c>
      <c r="L5095" s="9" t="s">
        <v>17744</v>
      </c>
      <c r="M5095" s="9" t="s">
        <v>17769</v>
      </c>
      <c r="N5095" s="9" t="s">
        <v>17746</v>
      </c>
      <c r="O5095" s="9" t="s">
        <v>18363</v>
      </c>
      <c r="P5095" s="9" t="s">
        <v>17748</v>
      </c>
      <c r="Q5095" s="11" t="s">
        <v>17749</v>
      </c>
      <c r="R5095" s="11" t="s">
        <v>17749</v>
      </c>
      <c r="S5095" s="11" t="s">
        <v>17750</v>
      </c>
    </row>
    <row r="5096" spans="1:19" x14ac:dyDescent="0.2">
      <c r="A5096" s="11" t="s">
        <v>47303</v>
      </c>
      <c r="B5096" s="9" t="s">
        <v>47304</v>
      </c>
      <c r="C5096" s="9" t="s">
        <v>47305</v>
      </c>
      <c r="D5096" s="9" t="s">
        <v>47306</v>
      </c>
      <c r="E5096" s="9" t="s">
        <v>17740</v>
      </c>
      <c r="F5096" s="9" t="s">
        <v>17741</v>
      </c>
      <c r="G5096" s="9" t="s">
        <v>17740</v>
      </c>
      <c r="H5096" s="11" t="s">
        <v>7553</v>
      </c>
      <c r="I5096" s="11" t="s">
        <v>7552</v>
      </c>
      <c r="J5096" s="11" t="s">
        <v>7552</v>
      </c>
      <c r="K5096" s="9" t="s">
        <v>19447</v>
      </c>
      <c r="L5096" s="9" t="s">
        <v>17759</v>
      </c>
      <c r="M5096" s="9" t="s">
        <v>17760</v>
      </c>
      <c r="N5096" s="9" t="s">
        <v>17746</v>
      </c>
      <c r="O5096" s="9" t="s">
        <v>487</v>
      </c>
      <c r="P5096" s="9" t="s">
        <v>17748</v>
      </c>
      <c r="Q5096" s="11" t="s">
        <v>18272</v>
      </c>
      <c r="R5096" s="11" t="s">
        <v>18272</v>
      </c>
      <c r="S5096" s="11" t="s">
        <v>17750</v>
      </c>
    </row>
    <row r="5097" spans="1:19" x14ac:dyDescent="0.2">
      <c r="A5097" s="11" t="s">
        <v>47307</v>
      </c>
      <c r="B5097" s="9" t="s">
        <v>47308</v>
      </c>
      <c r="C5097" s="9" t="s">
        <v>47309</v>
      </c>
      <c r="D5097" s="9" t="s">
        <v>47310</v>
      </c>
      <c r="E5097" s="9" t="s">
        <v>17740</v>
      </c>
      <c r="F5097" s="9" t="s">
        <v>47311</v>
      </c>
      <c r="G5097" s="9" t="s">
        <v>17740</v>
      </c>
      <c r="H5097" s="11" t="s">
        <v>7591</v>
      </c>
      <c r="I5097" s="11" t="s">
        <v>7590</v>
      </c>
      <c r="J5097" s="11" t="s">
        <v>7590</v>
      </c>
      <c r="K5097" s="9" t="s">
        <v>601</v>
      </c>
      <c r="L5097" s="9" t="s">
        <v>17744</v>
      </c>
      <c r="M5097" s="9" t="s">
        <v>17769</v>
      </c>
      <c r="N5097" s="9" t="s">
        <v>17746</v>
      </c>
      <c r="O5097" s="9" t="s">
        <v>27178</v>
      </c>
      <c r="P5097" s="9" t="s">
        <v>17748</v>
      </c>
      <c r="Q5097" s="11" t="s">
        <v>18201</v>
      </c>
      <c r="R5097" s="11" t="s">
        <v>18201</v>
      </c>
      <c r="S5097" s="11" t="s">
        <v>17750</v>
      </c>
    </row>
    <row r="5098" spans="1:19" x14ac:dyDescent="0.2">
      <c r="A5098" s="11" t="s">
        <v>47312</v>
      </c>
      <c r="B5098" s="9" t="s">
        <v>47313</v>
      </c>
      <c r="C5098" s="9" t="s">
        <v>47314</v>
      </c>
      <c r="D5098" s="9" t="s">
        <v>47315</v>
      </c>
      <c r="E5098" s="9" t="s">
        <v>17748</v>
      </c>
      <c r="F5098" s="9" t="s">
        <v>47316</v>
      </c>
      <c r="G5098" s="9" t="s">
        <v>17740</v>
      </c>
      <c r="H5098" s="11" t="s">
        <v>7127</v>
      </c>
      <c r="I5098" s="11" t="s">
        <v>7126</v>
      </c>
      <c r="J5098" s="11" t="s">
        <v>7126</v>
      </c>
      <c r="K5098" s="9" t="s">
        <v>7128</v>
      </c>
      <c r="L5098" s="9" t="s">
        <v>17759</v>
      </c>
      <c r="M5098" s="9" t="s">
        <v>17760</v>
      </c>
      <c r="N5098" s="9" t="s">
        <v>17746</v>
      </c>
      <c r="O5098" s="9" t="s">
        <v>27102</v>
      </c>
      <c r="P5098" s="9" t="s">
        <v>17748</v>
      </c>
      <c r="Q5098" s="11" t="s">
        <v>18201</v>
      </c>
      <c r="R5098" s="11" t="s">
        <v>18201</v>
      </c>
      <c r="S5098" s="11" t="s">
        <v>17750</v>
      </c>
    </row>
    <row r="5099" spans="1:19" x14ac:dyDescent="0.2">
      <c r="A5099" s="11" t="s">
        <v>47317</v>
      </c>
      <c r="B5099" s="9" t="s">
        <v>47318</v>
      </c>
      <c r="C5099" s="9" t="s">
        <v>47319</v>
      </c>
      <c r="D5099" s="9" t="s">
        <v>47320</v>
      </c>
      <c r="E5099" s="9" t="s">
        <v>17740</v>
      </c>
      <c r="F5099" s="9" t="s">
        <v>17741</v>
      </c>
      <c r="G5099" s="9" t="s">
        <v>17740</v>
      </c>
      <c r="H5099" s="11" t="s">
        <v>17741</v>
      </c>
      <c r="I5099" s="11" t="s">
        <v>3759</v>
      </c>
      <c r="J5099" s="11" t="s">
        <v>3759</v>
      </c>
      <c r="K5099" s="9" t="s">
        <v>303</v>
      </c>
      <c r="L5099" s="9" t="s">
        <v>17759</v>
      </c>
      <c r="M5099" s="9" t="s">
        <v>17760</v>
      </c>
      <c r="N5099" s="9" t="s">
        <v>17746</v>
      </c>
      <c r="O5099" s="9" t="s">
        <v>19521</v>
      </c>
      <c r="P5099" s="9" t="s">
        <v>17748</v>
      </c>
      <c r="Q5099" s="11" t="s">
        <v>18341</v>
      </c>
      <c r="R5099" s="11" t="s">
        <v>18341</v>
      </c>
      <c r="S5099" s="11" t="s">
        <v>17750</v>
      </c>
    </row>
    <row r="5100" spans="1:19" x14ac:dyDescent="0.2">
      <c r="A5100" s="11" t="s">
        <v>47321</v>
      </c>
      <c r="B5100" s="9" t="s">
        <v>47322</v>
      </c>
      <c r="C5100" s="9" t="s">
        <v>47323</v>
      </c>
      <c r="D5100" s="9" t="s">
        <v>47324</v>
      </c>
      <c r="E5100" s="9" t="s">
        <v>17740</v>
      </c>
      <c r="F5100" s="9" t="s">
        <v>17741</v>
      </c>
      <c r="G5100" s="9" t="s">
        <v>17740</v>
      </c>
      <c r="H5100" s="11" t="s">
        <v>47325</v>
      </c>
      <c r="I5100" s="11" t="s">
        <v>47326</v>
      </c>
      <c r="J5100" s="11" t="s">
        <v>47326</v>
      </c>
      <c r="K5100" s="9" t="s">
        <v>22893</v>
      </c>
      <c r="L5100" s="9" t="s">
        <v>17759</v>
      </c>
      <c r="M5100" s="9" t="s">
        <v>17769</v>
      </c>
      <c r="N5100" s="9" t="s">
        <v>17746</v>
      </c>
      <c r="O5100" s="9" t="s">
        <v>7269</v>
      </c>
      <c r="P5100" s="9" t="s">
        <v>17748</v>
      </c>
      <c r="Q5100" s="11" t="s">
        <v>18678</v>
      </c>
      <c r="R5100" s="11" t="s">
        <v>18678</v>
      </c>
      <c r="S5100" s="11" t="s">
        <v>17750</v>
      </c>
    </row>
    <row r="5101" spans="1:19" x14ac:dyDescent="0.2">
      <c r="A5101" s="11" t="s">
        <v>47327</v>
      </c>
      <c r="B5101" s="9" t="s">
        <v>47328</v>
      </c>
      <c r="C5101" s="9" t="s">
        <v>47329</v>
      </c>
      <c r="D5101" s="9" t="s">
        <v>47330</v>
      </c>
      <c r="E5101" s="9" t="s">
        <v>17748</v>
      </c>
      <c r="F5101" s="9" t="s">
        <v>47331</v>
      </c>
      <c r="G5101" s="9" t="s">
        <v>17740</v>
      </c>
      <c r="H5101" s="11" t="s">
        <v>10710</v>
      </c>
      <c r="I5101" s="11" t="s">
        <v>10709</v>
      </c>
      <c r="J5101" s="11" t="s">
        <v>10709</v>
      </c>
      <c r="K5101" s="9" t="s">
        <v>91</v>
      </c>
      <c r="L5101" s="9" t="s">
        <v>18001</v>
      </c>
      <c r="M5101" s="9" t="s">
        <v>17769</v>
      </c>
      <c r="N5101" s="9" t="s">
        <v>17746</v>
      </c>
      <c r="O5101" s="9" t="s">
        <v>21310</v>
      </c>
      <c r="P5101" s="9" t="s">
        <v>17748</v>
      </c>
      <c r="Q5101" s="11" t="s">
        <v>17780</v>
      </c>
      <c r="R5101" s="11" t="s">
        <v>17780</v>
      </c>
      <c r="S5101" s="11" t="s">
        <v>17750</v>
      </c>
    </row>
    <row r="5102" spans="1:19" x14ac:dyDescent="0.2">
      <c r="A5102" s="11" t="s">
        <v>47332</v>
      </c>
      <c r="B5102" s="9" t="s">
        <v>47333</v>
      </c>
      <c r="C5102" s="9" t="s">
        <v>47334</v>
      </c>
      <c r="D5102" s="9" t="s">
        <v>47335</v>
      </c>
      <c r="E5102" s="9" t="s">
        <v>17740</v>
      </c>
      <c r="F5102" s="9" t="s">
        <v>17741</v>
      </c>
      <c r="G5102" s="9" t="s">
        <v>17740</v>
      </c>
      <c r="H5102" s="11" t="s">
        <v>3763</v>
      </c>
      <c r="I5102" s="11" t="s">
        <v>3762</v>
      </c>
      <c r="J5102" s="11" t="s">
        <v>3762</v>
      </c>
      <c r="K5102" s="9" t="s">
        <v>303</v>
      </c>
      <c r="L5102" s="9" t="s">
        <v>17759</v>
      </c>
      <c r="M5102" s="9" t="s">
        <v>17760</v>
      </c>
      <c r="N5102" s="9" t="s">
        <v>17746</v>
      </c>
      <c r="O5102" s="9" t="s">
        <v>7097</v>
      </c>
      <c r="P5102" s="9" t="s">
        <v>17748</v>
      </c>
      <c r="Q5102" s="11" t="s">
        <v>19236</v>
      </c>
      <c r="R5102" s="11" t="s">
        <v>19236</v>
      </c>
      <c r="S5102" s="11" t="s">
        <v>17750</v>
      </c>
    </row>
    <row r="5103" spans="1:19" x14ac:dyDescent="0.2">
      <c r="A5103" s="11" t="s">
        <v>47336</v>
      </c>
      <c r="B5103" s="9" t="s">
        <v>47337</v>
      </c>
      <c r="C5103" s="9" t="s">
        <v>47338</v>
      </c>
      <c r="D5103" s="9" t="s">
        <v>47339</v>
      </c>
      <c r="E5103" s="9" t="s">
        <v>17740</v>
      </c>
      <c r="F5103" s="9" t="s">
        <v>17741</v>
      </c>
      <c r="G5103" s="9" t="s">
        <v>17740</v>
      </c>
      <c r="H5103" s="11" t="s">
        <v>5279</v>
      </c>
      <c r="I5103" s="11" t="s">
        <v>5278</v>
      </c>
      <c r="J5103" s="11" t="s">
        <v>5278</v>
      </c>
      <c r="K5103" s="9" t="s">
        <v>601</v>
      </c>
      <c r="L5103" s="9" t="s">
        <v>17744</v>
      </c>
      <c r="M5103" s="9" t="s">
        <v>17769</v>
      </c>
      <c r="N5103" s="9" t="s">
        <v>17746</v>
      </c>
      <c r="O5103" s="9" t="s">
        <v>18882</v>
      </c>
      <c r="P5103" s="9" t="s">
        <v>17748</v>
      </c>
      <c r="Q5103" s="11" t="s">
        <v>17819</v>
      </c>
      <c r="R5103" s="11" t="s">
        <v>17819</v>
      </c>
      <c r="S5103" s="11" t="s">
        <v>17750</v>
      </c>
    </row>
    <row r="5104" spans="1:19" x14ac:dyDescent="0.2">
      <c r="A5104" s="11" t="s">
        <v>47340</v>
      </c>
      <c r="B5104" s="9" t="s">
        <v>47341</v>
      </c>
      <c r="C5104" s="9" t="s">
        <v>47342</v>
      </c>
      <c r="D5104" s="9" t="s">
        <v>47343</v>
      </c>
      <c r="E5104" s="9" t="s">
        <v>17748</v>
      </c>
      <c r="F5104" s="9" t="s">
        <v>47344</v>
      </c>
      <c r="G5104" s="9" t="s">
        <v>17740</v>
      </c>
      <c r="H5104" s="11" t="s">
        <v>12126</v>
      </c>
      <c r="I5104" s="11" t="s">
        <v>12125</v>
      </c>
      <c r="J5104" s="11" t="s">
        <v>12125</v>
      </c>
      <c r="K5104" s="9" t="s">
        <v>17783</v>
      </c>
      <c r="L5104" s="9" t="s">
        <v>18158</v>
      </c>
      <c r="M5104" s="9" t="s">
        <v>19714</v>
      </c>
      <c r="N5104" s="9" t="s">
        <v>17746</v>
      </c>
      <c r="O5104" s="9" t="s">
        <v>31949</v>
      </c>
      <c r="P5104" s="9" t="s">
        <v>17748</v>
      </c>
      <c r="Q5104" s="11" t="s">
        <v>17917</v>
      </c>
      <c r="R5104" s="11" t="s">
        <v>17917</v>
      </c>
      <c r="S5104" s="11" t="s">
        <v>17750</v>
      </c>
    </row>
    <row r="5105" spans="1:19" x14ac:dyDescent="0.2">
      <c r="A5105" s="11" t="s">
        <v>47345</v>
      </c>
      <c r="B5105" s="9" t="s">
        <v>47346</v>
      </c>
      <c r="C5105" s="9" t="s">
        <v>47347</v>
      </c>
      <c r="D5105" s="9" t="s">
        <v>47348</v>
      </c>
      <c r="E5105" s="9" t="s">
        <v>17740</v>
      </c>
      <c r="F5105" s="9" t="s">
        <v>17741</v>
      </c>
      <c r="G5105" s="9" t="s">
        <v>17740</v>
      </c>
      <c r="H5105" s="11" t="s">
        <v>3825</v>
      </c>
      <c r="I5105" s="11" t="s">
        <v>3824</v>
      </c>
      <c r="J5105" s="11" t="s">
        <v>3824</v>
      </c>
      <c r="K5105" s="9" t="s">
        <v>19244</v>
      </c>
      <c r="L5105" s="9" t="s">
        <v>17759</v>
      </c>
      <c r="M5105" s="9" t="s">
        <v>17760</v>
      </c>
      <c r="N5105" s="9" t="s">
        <v>17746</v>
      </c>
      <c r="O5105" s="9" t="s">
        <v>1675</v>
      </c>
      <c r="P5105" s="9" t="s">
        <v>17748</v>
      </c>
      <c r="Q5105" s="11" t="s">
        <v>18433</v>
      </c>
      <c r="R5105" s="11" t="s">
        <v>18433</v>
      </c>
      <c r="S5105" s="11" t="s">
        <v>17750</v>
      </c>
    </row>
    <row r="5106" spans="1:19" x14ac:dyDescent="0.2">
      <c r="A5106" s="11" t="s">
        <v>47349</v>
      </c>
      <c r="B5106" s="9" t="s">
        <v>47350</v>
      </c>
      <c r="C5106" s="9" t="s">
        <v>47351</v>
      </c>
      <c r="D5106" s="9" t="s">
        <v>47352</v>
      </c>
      <c r="E5106" s="9" t="s">
        <v>17740</v>
      </c>
      <c r="F5106" s="9" t="s">
        <v>17741</v>
      </c>
      <c r="G5106" s="9" t="s">
        <v>17740</v>
      </c>
      <c r="H5106" s="11" t="s">
        <v>8000</v>
      </c>
      <c r="I5106" s="11" t="s">
        <v>7999</v>
      </c>
      <c r="J5106" s="11" t="s">
        <v>7999</v>
      </c>
      <c r="K5106" s="9" t="s">
        <v>19244</v>
      </c>
      <c r="L5106" s="9" t="s">
        <v>17759</v>
      </c>
      <c r="M5106" s="9" t="s">
        <v>17760</v>
      </c>
      <c r="N5106" s="9" t="s">
        <v>17746</v>
      </c>
      <c r="O5106" s="9" t="s">
        <v>47353</v>
      </c>
      <c r="P5106" s="9" t="s">
        <v>17748</v>
      </c>
      <c r="Q5106" s="11" t="s">
        <v>18272</v>
      </c>
      <c r="R5106" s="11" t="s">
        <v>18272</v>
      </c>
      <c r="S5106" s="11" t="s">
        <v>17750</v>
      </c>
    </row>
    <row r="5107" spans="1:19" x14ac:dyDescent="0.2">
      <c r="A5107" s="11" t="s">
        <v>47354</v>
      </c>
      <c r="B5107" s="9" t="s">
        <v>47355</v>
      </c>
      <c r="C5107" s="9" t="s">
        <v>47356</v>
      </c>
      <c r="D5107" s="9" t="s">
        <v>47357</v>
      </c>
      <c r="E5107" s="9" t="s">
        <v>17740</v>
      </c>
      <c r="F5107" s="9" t="s">
        <v>17741</v>
      </c>
      <c r="G5107" s="9" t="s">
        <v>17740</v>
      </c>
      <c r="H5107" s="11" t="s">
        <v>4767</v>
      </c>
      <c r="I5107" s="11" t="s">
        <v>4766</v>
      </c>
      <c r="J5107" s="11" t="s">
        <v>4766</v>
      </c>
      <c r="K5107" s="9" t="s">
        <v>303</v>
      </c>
      <c r="L5107" s="9" t="s">
        <v>17759</v>
      </c>
      <c r="M5107" s="9" t="s">
        <v>17769</v>
      </c>
      <c r="N5107" s="9" t="s">
        <v>17746</v>
      </c>
      <c r="O5107" s="9" t="s">
        <v>7269</v>
      </c>
      <c r="P5107" s="9" t="s">
        <v>17748</v>
      </c>
      <c r="Q5107" s="11" t="s">
        <v>18433</v>
      </c>
      <c r="R5107" s="11" t="s">
        <v>18433</v>
      </c>
      <c r="S5107" s="11" t="s">
        <v>17750</v>
      </c>
    </row>
    <row r="5108" spans="1:19" x14ac:dyDescent="0.2">
      <c r="A5108" s="11" t="s">
        <v>47358</v>
      </c>
      <c r="B5108" s="9" t="s">
        <v>47359</v>
      </c>
      <c r="C5108" s="9" t="s">
        <v>47360</v>
      </c>
      <c r="D5108" s="9" t="s">
        <v>47361</v>
      </c>
      <c r="E5108" s="9" t="s">
        <v>17740</v>
      </c>
      <c r="F5108" s="9" t="s">
        <v>17741</v>
      </c>
      <c r="G5108" s="9" t="s">
        <v>17740</v>
      </c>
      <c r="H5108" s="11" t="s">
        <v>3772</v>
      </c>
      <c r="I5108" s="11" t="s">
        <v>3771</v>
      </c>
      <c r="J5108" s="11" t="s">
        <v>3771</v>
      </c>
      <c r="K5108" s="9" t="s">
        <v>47362</v>
      </c>
      <c r="L5108" s="9" t="s">
        <v>17759</v>
      </c>
      <c r="M5108" s="9" t="s">
        <v>17760</v>
      </c>
      <c r="N5108" s="9" t="s">
        <v>17746</v>
      </c>
      <c r="O5108" s="9" t="s">
        <v>3100</v>
      </c>
      <c r="P5108" s="9" t="s">
        <v>17748</v>
      </c>
      <c r="Q5108" s="11" t="s">
        <v>18433</v>
      </c>
      <c r="R5108" s="11" t="s">
        <v>18433</v>
      </c>
      <c r="S5108" s="11" t="s">
        <v>17750</v>
      </c>
    </row>
    <row r="5109" spans="1:19" x14ac:dyDescent="0.2">
      <c r="A5109" s="11" t="s">
        <v>47363</v>
      </c>
      <c r="B5109" s="9" t="s">
        <v>47364</v>
      </c>
      <c r="C5109" s="9" t="s">
        <v>47365</v>
      </c>
      <c r="D5109" s="9" t="s">
        <v>47366</v>
      </c>
      <c r="E5109" s="9" t="s">
        <v>17740</v>
      </c>
      <c r="F5109" s="9" t="s">
        <v>17741</v>
      </c>
      <c r="G5109" s="9" t="s">
        <v>17740</v>
      </c>
      <c r="H5109" s="11" t="s">
        <v>3840</v>
      </c>
      <c r="I5109" s="11" t="s">
        <v>3839</v>
      </c>
      <c r="J5109" s="11" t="s">
        <v>3839</v>
      </c>
      <c r="K5109" s="9" t="s">
        <v>303</v>
      </c>
      <c r="L5109" s="9" t="s">
        <v>17759</v>
      </c>
      <c r="M5109" s="9" t="s">
        <v>17760</v>
      </c>
      <c r="N5109" s="9" t="s">
        <v>17746</v>
      </c>
      <c r="O5109" s="9" t="s">
        <v>20618</v>
      </c>
      <c r="P5109" s="9" t="s">
        <v>17748</v>
      </c>
      <c r="Q5109" s="11" t="s">
        <v>19899</v>
      </c>
      <c r="R5109" s="11" t="s">
        <v>19899</v>
      </c>
      <c r="S5109" s="11" t="s">
        <v>17750</v>
      </c>
    </row>
    <row r="5110" spans="1:19" x14ac:dyDescent="0.2">
      <c r="A5110" s="11" t="s">
        <v>47367</v>
      </c>
      <c r="B5110" s="9" t="s">
        <v>47368</v>
      </c>
      <c r="C5110" s="9" t="s">
        <v>47369</v>
      </c>
      <c r="D5110" s="9" t="s">
        <v>47370</v>
      </c>
      <c r="E5110" s="9" t="s">
        <v>17740</v>
      </c>
      <c r="F5110" s="9" t="s">
        <v>17741</v>
      </c>
      <c r="G5110" s="9" t="s">
        <v>17740</v>
      </c>
      <c r="H5110" s="11" t="s">
        <v>47371</v>
      </c>
      <c r="I5110" s="11" t="s">
        <v>3842</v>
      </c>
      <c r="J5110" s="11" t="s">
        <v>3842</v>
      </c>
      <c r="K5110" s="9" t="s">
        <v>303</v>
      </c>
      <c r="L5110" s="9" t="s">
        <v>17759</v>
      </c>
      <c r="M5110" s="9" t="s">
        <v>17769</v>
      </c>
      <c r="N5110" s="9" t="s">
        <v>17746</v>
      </c>
      <c r="O5110" s="9" t="s">
        <v>18363</v>
      </c>
      <c r="P5110" s="9" t="s">
        <v>17748</v>
      </c>
      <c r="Q5110" s="11" t="s">
        <v>17771</v>
      </c>
      <c r="R5110" s="11" t="s">
        <v>17771</v>
      </c>
      <c r="S5110" s="11" t="s">
        <v>17750</v>
      </c>
    </row>
    <row r="5111" spans="1:19" x14ac:dyDescent="0.2">
      <c r="A5111" s="11" t="s">
        <v>47372</v>
      </c>
      <c r="B5111" s="9" t="s">
        <v>47373</v>
      </c>
      <c r="C5111" s="9" t="s">
        <v>47374</v>
      </c>
      <c r="D5111" s="9" t="s">
        <v>47375</v>
      </c>
      <c r="E5111" s="9" t="s">
        <v>17740</v>
      </c>
      <c r="F5111" s="9" t="s">
        <v>17741</v>
      </c>
      <c r="G5111" s="9" t="s">
        <v>17740</v>
      </c>
      <c r="H5111" s="11" t="s">
        <v>47376</v>
      </c>
      <c r="I5111" s="11" t="s">
        <v>47377</v>
      </c>
      <c r="J5111" s="11" t="s">
        <v>47377</v>
      </c>
      <c r="K5111" s="9" t="s">
        <v>303</v>
      </c>
      <c r="L5111" s="9" t="s">
        <v>17759</v>
      </c>
      <c r="M5111" s="9" t="s">
        <v>17760</v>
      </c>
      <c r="N5111" s="9" t="s">
        <v>17746</v>
      </c>
      <c r="O5111" s="9" t="s">
        <v>24046</v>
      </c>
      <c r="P5111" s="9" t="s">
        <v>17748</v>
      </c>
      <c r="Q5111" s="11" t="s">
        <v>18960</v>
      </c>
      <c r="R5111" s="11" t="s">
        <v>18960</v>
      </c>
      <c r="S5111" s="11" t="s">
        <v>17750</v>
      </c>
    </row>
    <row r="5112" spans="1:19" x14ac:dyDescent="0.2">
      <c r="A5112" s="11" t="s">
        <v>47378</v>
      </c>
      <c r="B5112" s="9" t="s">
        <v>47379</v>
      </c>
      <c r="C5112" s="9" t="s">
        <v>47380</v>
      </c>
      <c r="D5112" s="9" t="s">
        <v>47381</v>
      </c>
      <c r="E5112" s="9" t="s">
        <v>17740</v>
      </c>
      <c r="F5112" s="9" t="s">
        <v>17741</v>
      </c>
      <c r="G5112" s="9" t="s">
        <v>17740</v>
      </c>
      <c r="H5112" s="11" t="s">
        <v>4773</v>
      </c>
      <c r="I5112" s="11" t="s">
        <v>4772</v>
      </c>
      <c r="J5112" s="11" t="s">
        <v>4772</v>
      </c>
      <c r="K5112" s="9" t="s">
        <v>291</v>
      </c>
      <c r="L5112" s="9" t="s">
        <v>17744</v>
      </c>
      <c r="M5112" s="9" t="s">
        <v>17760</v>
      </c>
      <c r="N5112" s="9" t="s">
        <v>17746</v>
      </c>
      <c r="O5112" s="9" t="s">
        <v>3255</v>
      </c>
      <c r="P5112" s="9" t="s">
        <v>17748</v>
      </c>
      <c r="Q5112" s="11" t="s">
        <v>18059</v>
      </c>
      <c r="R5112" s="11" t="s">
        <v>18059</v>
      </c>
      <c r="S5112" s="11" t="s">
        <v>17750</v>
      </c>
    </row>
    <row r="5113" spans="1:19" x14ac:dyDescent="0.2">
      <c r="A5113" s="11" t="s">
        <v>47382</v>
      </c>
      <c r="B5113" s="9" t="s">
        <v>47383</v>
      </c>
      <c r="C5113" s="9" t="s">
        <v>47384</v>
      </c>
      <c r="D5113" s="9" t="s">
        <v>47385</v>
      </c>
      <c r="E5113" s="9" t="s">
        <v>17740</v>
      </c>
      <c r="F5113" s="9" t="s">
        <v>17741</v>
      </c>
      <c r="G5113" s="9" t="s">
        <v>17740</v>
      </c>
      <c r="H5113" s="11" t="s">
        <v>6697</v>
      </c>
      <c r="I5113" s="11" t="s">
        <v>6696</v>
      </c>
      <c r="J5113" s="11" t="s">
        <v>6696</v>
      </c>
      <c r="K5113" s="9" t="s">
        <v>303</v>
      </c>
      <c r="L5113" s="9" t="s">
        <v>17759</v>
      </c>
      <c r="M5113" s="9" t="s">
        <v>17760</v>
      </c>
      <c r="N5113" s="9" t="s">
        <v>17746</v>
      </c>
      <c r="O5113" s="9" t="s">
        <v>24849</v>
      </c>
      <c r="P5113" s="9" t="s">
        <v>17748</v>
      </c>
      <c r="Q5113" s="11" t="s">
        <v>17808</v>
      </c>
      <c r="R5113" s="11" t="s">
        <v>17808</v>
      </c>
      <c r="S5113" s="11" t="s">
        <v>17750</v>
      </c>
    </row>
    <row r="5114" spans="1:19" x14ac:dyDescent="0.2">
      <c r="A5114" s="11" t="s">
        <v>47386</v>
      </c>
      <c r="B5114" s="9" t="s">
        <v>47387</v>
      </c>
      <c r="C5114" s="9" t="s">
        <v>47388</v>
      </c>
      <c r="D5114" s="9" t="s">
        <v>47389</v>
      </c>
      <c r="E5114" s="9" t="s">
        <v>17740</v>
      </c>
      <c r="F5114" s="9" t="s">
        <v>17741</v>
      </c>
      <c r="G5114" s="9" t="s">
        <v>17740</v>
      </c>
      <c r="H5114" s="11" t="s">
        <v>6043</v>
      </c>
      <c r="I5114" s="11" t="s">
        <v>6042</v>
      </c>
      <c r="J5114" s="11" t="s">
        <v>6042</v>
      </c>
      <c r="K5114" s="9" t="s">
        <v>303</v>
      </c>
      <c r="L5114" s="9" t="s">
        <v>17759</v>
      </c>
      <c r="M5114" s="9" t="s">
        <v>17760</v>
      </c>
      <c r="N5114" s="9" t="s">
        <v>17746</v>
      </c>
      <c r="O5114" s="9" t="s">
        <v>19059</v>
      </c>
      <c r="P5114" s="9" t="s">
        <v>17748</v>
      </c>
      <c r="Q5114" s="11" t="s">
        <v>18147</v>
      </c>
      <c r="R5114" s="11" t="s">
        <v>18147</v>
      </c>
      <c r="S5114" s="11" t="s">
        <v>17750</v>
      </c>
    </row>
    <row r="5115" spans="1:19" x14ac:dyDescent="0.2">
      <c r="A5115" s="11" t="s">
        <v>47390</v>
      </c>
      <c r="B5115" s="9" t="s">
        <v>47391</v>
      </c>
      <c r="C5115" s="9" t="s">
        <v>47392</v>
      </c>
      <c r="D5115" s="9" t="s">
        <v>47393</v>
      </c>
      <c r="E5115" s="9" t="s">
        <v>17740</v>
      </c>
      <c r="F5115" s="9" t="s">
        <v>17741</v>
      </c>
      <c r="G5115" s="9" t="s">
        <v>17740</v>
      </c>
      <c r="H5115" s="11" t="s">
        <v>3775</v>
      </c>
      <c r="I5115" s="11" t="s">
        <v>3774</v>
      </c>
      <c r="J5115" s="11" t="s">
        <v>3774</v>
      </c>
      <c r="K5115" s="9" t="s">
        <v>303</v>
      </c>
      <c r="L5115" s="9" t="s">
        <v>17759</v>
      </c>
      <c r="M5115" s="9" t="s">
        <v>17769</v>
      </c>
      <c r="N5115" s="9" t="s">
        <v>17746</v>
      </c>
      <c r="O5115" s="9" t="s">
        <v>8489</v>
      </c>
      <c r="P5115" s="9" t="s">
        <v>17748</v>
      </c>
      <c r="Q5115" s="11" t="s">
        <v>18600</v>
      </c>
      <c r="R5115" s="11" t="s">
        <v>18600</v>
      </c>
      <c r="S5115" s="11" t="s">
        <v>17750</v>
      </c>
    </row>
    <row r="5116" spans="1:19" x14ac:dyDescent="0.2">
      <c r="A5116" s="11" t="s">
        <v>47394</v>
      </c>
      <c r="B5116" s="9" t="s">
        <v>47395</v>
      </c>
      <c r="C5116" s="9" t="s">
        <v>47396</v>
      </c>
      <c r="D5116" s="9" t="s">
        <v>47397</v>
      </c>
      <c r="E5116" s="9" t="s">
        <v>17740</v>
      </c>
      <c r="F5116" s="9" t="s">
        <v>17741</v>
      </c>
      <c r="G5116" s="9" t="s">
        <v>17740</v>
      </c>
      <c r="H5116" s="11" t="s">
        <v>5813</v>
      </c>
      <c r="I5116" s="11" t="s">
        <v>5812</v>
      </c>
      <c r="J5116" s="11" t="s">
        <v>5812</v>
      </c>
      <c r="K5116" s="9" t="s">
        <v>303</v>
      </c>
      <c r="L5116" s="9" t="s">
        <v>17759</v>
      </c>
      <c r="M5116" s="9" t="s">
        <v>17760</v>
      </c>
      <c r="N5116" s="9" t="s">
        <v>17746</v>
      </c>
      <c r="O5116" s="9" t="s">
        <v>47398</v>
      </c>
      <c r="P5116" s="9" t="s">
        <v>17748</v>
      </c>
      <c r="Q5116" s="11" t="s">
        <v>18080</v>
      </c>
      <c r="R5116" s="11" t="s">
        <v>18080</v>
      </c>
      <c r="S5116" s="11" t="s">
        <v>17750</v>
      </c>
    </row>
    <row r="5117" spans="1:19" x14ac:dyDescent="0.2">
      <c r="A5117" s="11" t="s">
        <v>47399</v>
      </c>
      <c r="B5117" s="9" t="s">
        <v>47400</v>
      </c>
      <c r="C5117" s="9" t="s">
        <v>47401</v>
      </c>
      <c r="D5117" s="9" t="s">
        <v>47402</v>
      </c>
      <c r="E5117" s="9" t="s">
        <v>17748</v>
      </c>
      <c r="F5117" s="9" t="s">
        <v>47403</v>
      </c>
      <c r="G5117" s="9" t="s">
        <v>17740</v>
      </c>
      <c r="H5117" s="11" t="s">
        <v>8863</v>
      </c>
      <c r="I5117" s="11" t="s">
        <v>8862</v>
      </c>
      <c r="J5117" s="11" t="s">
        <v>8863</v>
      </c>
      <c r="K5117" s="9" t="s">
        <v>19786</v>
      </c>
      <c r="L5117" s="9" t="s">
        <v>17759</v>
      </c>
      <c r="M5117" s="9" t="s">
        <v>17760</v>
      </c>
      <c r="N5117" s="9" t="s">
        <v>17746</v>
      </c>
      <c r="O5117" s="9" t="s">
        <v>19067</v>
      </c>
      <c r="P5117" s="9" t="s">
        <v>17748</v>
      </c>
      <c r="Q5117" s="11" t="s">
        <v>17784</v>
      </c>
      <c r="R5117" s="11" t="s">
        <v>17784</v>
      </c>
      <c r="S5117" s="11" t="s">
        <v>17750</v>
      </c>
    </row>
    <row r="5118" spans="1:19" x14ac:dyDescent="0.2">
      <c r="A5118" s="11" t="s">
        <v>47404</v>
      </c>
      <c r="B5118" s="9" t="s">
        <v>47405</v>
      </c>
      <c r="C5118" s="9" t="s">
        <v>47406</v>
      </c>
      <c r="D5118" s="9" t="s">
        <v>47407</v>
      </c>
      <c r="E5118" s="9" t="s">
        <v>17740</v>
      </c>
      <c r="F5118" s="9" t="s">
        <v>47408</v>
      </c>
      <c r="G5118" s="9" t="s">
        <v>17740</v>
      </c>
      <c r="H5118" s="11" t="s">
        <v>6233</v>
      </c>
      <c r="I5118" s="11" t="s">
        <v>6232</v>
      </c>
      <c r="J5118" s="11" t="s">
        <v>6232</v>
      </c>
      <c r="K5118" s="9" t="s">
        <v>19786</v>
      </c>
      <c r="L5118" s="9" t="s">
        <v>17759</v>
      </c>
      <c r="M5118" s="9" t="s">
        <v>17769</v>
      </c>
      <c r="N5118" s="9" t="s">
        <v>17746</v>
      </c>
      <c r="O5118" s="9" t="s">
        <v>19912</v>
      </c>
      <c r="P5118" s="9" t="s">
        <v>17748</v>
      </c>
      <c r="Q5118" s="11" t="s">
        <v>17808</v>
      </c>
      <c r="R5118" s="11" t="s">
        <v>17808</v>
      </c>
      <c r="S5118" s="11" t="s">
        <v>17750</v>
      </c>
    </row>
    <row r="5119" spans="1:19" x14ac:dyDescent="0.2">
      <c r="A5119" s="11" t="s">
        <v>47409</v>
      </c>
      <c r="B5119" s="9" t="s">
        <v>47410</v>
      </c>
      <c r="C5119" s="9" t="s">
        <v>47411</v>
      </c>
      <c r="D5119" s="9" t="s">
        <v>47412</v>
      </c>
      <c r="E5119" s="9" t="s">
        <v>17740</v>
      </c>
      <c r="F5119" s="9" t="s">
        <v>17741</v>
      </c>
      <c r="G5119" s="9" t="s">
        <v>17740</v>
      </c>
      <c r="H5119" s="11" t="s">
        <v>3778</v>
      </c>
      <c r="I5119" s="11" t="s">
        <v>3777</v>
      </c>
      <c r="J5119" s="11" t="s">
        <v>3777</v>
      </c>
      <c r="K5119" s="9" t="s">
        <v>303</v>
      </c>
      <c r="L5119" s="9" t="s">
        <v>17759</v>
      </c>
      <c r="M5119" s="9" t="s">
        <v>17760</v>
      </c>
      <c r="N5119" s="9" t="s">
        <v>17746</v>
      </c>
      <c r="O5119" s="9" t="s">
        <v>3543</v>
      </c>
      <c r="P5119" s="9" t="s">
        <v>17748</v>
      </c>
      <c r="Q5119" s="11" t="s">
        <v>20251</v>
      </c>
      <c r="R5119" s="11" t="s">
        <v>20251</v>
      </c>
      <c r="S5119" s="11" t="s">
        <v>17750</v>
      </c>
    </row>
    <row r="5120" spans="1:19" x14ac:dyDescent="0.2">
      <c r="A5120" s="11" t="s">
        <v>47413</v>
      </c>
      <c r="B5120" s="9" t="s">
        <v>47414</v>
      </c>
      <c r="C5120" s="9" t="s">
        <v>47415</v>
      </c>
      <c r="D5120" s="9" t="s">
        <v>47416</v>
      </c>
      <c r="E5120" s="9" t="s">
        <v>17740</v>
      </c>
      <c r="F5120" s="9" t="s">
        <v>47417</v>
      </c>
      <c r="G5120" s="9" t="s">
        <v>17740</v>
      </c>
      <c r="H5120" s="11" t="s">
        <v>47418</v>
      </c>
      <c r="I5120" s="11" t="s">
        <v>47419</v>
      </c>
      <c r="J5120" s="11" t="s">
        <v>47419</v>
      </c>
      <c r="K5120" s="9" t="s">
        <v>47362</v>
      </c>
      <c r="L5120" s="9" t="s">
        <v>17759</v>
      </c>
      <c r="M5120" s="9" t="s">
        <v>17760</v>
      </c>
      <c r="N5120" s="9" t="s">
        <v>17746</v>
      </c>
      <c r="O5120" s="9" t="s">
        <v>19930</v>
      </c>
      <c r="P5120" s="9" t="s">
        <v>17748</v>
      </c>
      <c r="Q5120" s="11" t="s">
        <v>17978</v>
      </c>
      <c r="R5120" s="11" t="s">
        <v>17978</v>
      </c>
      <c r="S5120" s="11" t="s">
        <v>17750</v>
      </c>
    </row>
    <row r="5121" spans="1:19" x14ac:dyDescent="0.2">
      <c r="A5121" s="11" t="s">
        <v>47420</v>
      </c>
      <c r="B5121" s="9" t="s">
        <v>47421</v>
      </c>
      <c r="C5121" s="9" t="s">
        <v>47422</v>
      </c>
      <c r="D5121" s="9" t="s">
        <v>47423</v>
      </c>
      <c r="E5121" s="9" t="s">
        <v>17740</v>
      </c>
      <c r="F5121" s="9" t="s">
        <v>17741</v>
      </c>
      <c r="G5121" s="9" t="s">
        <v>17740</v>
      </c>
      <c r="H5121" s="11" t="s">
        <v>5488</v>
      </c>
      <c r="I5121" s="11" t="s">
        <v>5487</v>
      </c>
      <c r="J5121" s="11" t="s">
        <v>5487</v>
      </c>
      <c r="K5121" s="9" t="s">
        <v>303</v>
      </c>
      <c r="L5121" s="9" t="s">
        <v>17759</v>
      </c>
      <c r="M5121" s="9" t="s">
        <v>17760</v>
      </c>
      <c r="N5121" s="9" t="s">
        <v>17746</v>
      </c>
      <c r="O5121" s="9" t="s">
        <v>20761</v>
      </c>
      <c r="P5121" s="9" t="s">
        <v>17748</v>
      </c>
      <c r="Q5121" s="11" t="s">
        <v>17819</v>
      </c>
      <c r="R5121" s="11" t="s">
        <v>17819</v>
      </c>
      <c r="S5121" s="11" t="s">
        <v>17750</v>
      </c>
    </row>
    <row r="5122" spans="1:19" x14ac:dyDescent="0.2">
      <c r="A5122" s="11" t="s">
        <v>47424</v>
      </c>
      <c r="B5122" s="9" t="s">
        <v>47425</v>
      </c>
      <c r="C5122" s="9" t="s">
        <v>47426</v>
      </c>
      <c r="D5122" s="9" t="s">
        <v>47427</v>
      </c>
      <c r="E5122" s="9" t="s">
        <v>17740</v>
      </c>
      <c r="F5122" s="9" t="s">
        <v>17741</v>
      </c>
      <c r="G5122" s="9" t="s">
        <v>17740</v>
      </c>
      <c r="H5122" s="11" t="s">
        <v>17741</v>
      </c>
      <c r="I5122" s="11" t="s">
        <v>9026</v>
      </c>
      <c r="J5122" s="11" t="s">
        <v>9026</v>
      </c>
      <c r="K5122" s="9" t="s">
        <v>303</v>
      </c>
      <c r="L5122" s="9" t="s">
        <v>17759</v>
      </c>
      <c r="M5122" s="9" t="s">
        <v>18745</v>
      </c>
      <c r="N5122" s="9" t="s">
        <v>17746</v>
      </c>
      <c r="O5122" s="9" t="s">
        <v>20761</v>
      </c>
      <c r="P5122" s="9" t="s">
        <v>17748</v>
      </c>
      <c r="Q5122" s="11" t="s">
        <v>18798</v>
      </c>
      <c r="R5122" s="11" t="s">
        <v>18798</v>
      </c>
      <c r="S5122" s="11" t="s">
        <v>17750</v>
      </c>
    </row>
    <row r="5123" spans="1:19" x14ac:dyDescent="0.2">
      <c r="A5123" s="11" t="s">
        <v>47428</v>
      </c>
      <c r="B5123" s="9" t="s">
        <v>47429</v>
      </c>
      <c r="C5123" s="9" t="s">
        <v>47430</v>
      </c>
      <c r="D5123" s="9" t="s">
        <v>47431</v>
      </c>
      <c r="E5123" s="9" t="s">
        <v>17740</v>
      </c>
      <c r="F5123" s="9" t="s">
        <v>47432</v>
      </c>
      <c r="G5123" s="9" t="s">
        <v>17740</v>
      </c>
      <c r="H5123" s="11" t="s">
        <v>3860</v>
      </c>
      <c r="I5123" s="11" t="s">
        <v>3859</v>
      </c>
      <c r="J5123" s="11" t="s">
        <v>3859</v>
      </c>
      <c r="K5123" s="9" t="s">
        <v>19244</v>
      </c>
      <c r="L5123" s="9" t="s">
        <v>17759</v>
      </c>
      <c r="M5123" s="9" t="s">
        <v>22301</v>
      </c>
      <c r="N5123" s="9" t="s">
        <v>17746</v>
      </c>
      <c r="O5123" s="9" t="s">
        <v>22908</v>
      </c>
      <c r="P5123" s="9" t="s">
        <v>17748</v>
      </c>
      <c r="Q5123" s="11" t="s">
        <v>17771</v>
      </c>
      <c r="R5123" s="11" t="s">
        <v>17771</v>
      </c>
      <c r="S5123" s="11" t="s">
        <v>17750</v>
      </c>
    </row>
    <row r="5124" spans="1:19" x14ac:dyDescent="0.2">
      <c r="A5124" s="11" t="s">
        <v>47433</v>
      </c>
      <c r="B5124" s="9" t="s">
        <v>47434</v>
      </c>
      <c r="C5124" s="9" t="s">
        <v>47435</v>
      </c>
      <c r="D5124" s="9" t="s">
        <v>47436</v>
      </c>
      <c r="E5124" s="9" t="s">
        <v>17740</v>
      </c>
      <c r="F5124" s="9" t="s">
        <v>47437</v>
      </c>
      <c r="G5124" s="9" t="s">
        <v>17740</v>
      </c>
      <c r="H5124" s="11" t="s">
        <v>3869</v>
      </c>
      <c r="I5124" s="11" t="s">
        <v>3868</v>
      </c>
      <c r="J5124" s="11" t="s">
        <v>3868</v>
      </c>
      <c r="K5124" s="9" t="s">
        <v>19564</v>
      </c>
      <c r="L5124" s="9" t="s">
        <v>17759</v>
      </c>
      <c r="M5124" s="9" t="s">
        <v>17769</v>
      </c>
      <c r="N5124" s="9" t="s">
        <v>17746</v>
      </c>
      <c r="O5124" s="9" t="s">
        <v>23061</v>
      </c>
      <c r="P5124" s="9" t="s">
        <v>17748</v>
      </c>
      <c r="Q5124" s="11" t="s">
        <v>18341</v>
      </c>
      <c r="R5124" s="11" t="s">
        <v>18341</v>
      </c>
      <c r="S5124" s="11" t="s">
        <v>17750</v>
      </c>
    </row>
    <row r="5125" spans="1:19" x14ac:dyDescent="0.2">
      <c r="A5125" s="11" t="s">
        <v>47438</v>
      </c>
      <c r="B5125" s="9" t="s">
        <v>47439</v>
      </c>
      <c r="C5125" s="9" t="s">
        <v>47440</v>
      </c>
      <c r="D5125" s="9" t="s">
        <v>47441</v>
      </c>
      <c r="E5125" s="9" t="s">
        <v>17740</v>
      </c>
      <c r="F5125" s="9" t="s">
        <v>17741</v>
      </c>
      <c r="G5125" s="9" t="s">
        <v>17740</v>
      </c>
      <c r="H5125" s="11" t="s">
        <v>5044</v>
      </c>
      <c r="I5125" s="11" t="s">
        <v>5043</v>
      </c>
      <c r="J5125" s="11" t="s">
        <v>5043</v>
      </c>
      <c r="K5125" s="9" t="s">
        <v>303</v>
      </c>
      <c r="L5125" s="9" t="s">
        <v>17759</v>
      </c>
      <c r="M5125" s="9" t="s">
        <v>17760</v>
      </c>
      <c r="N5125" s="9" t="s">
        <v>17746</v>
      </c>
      <c r="O5125" s="9" t="s">
        <v>20777</v>
      </c>
      <c r="P5125" s="9" t="s">
        <v>17748</v>
      </c>
      <c r="Q5125" s="11" t="s">
        <v>18678</v>
      </c>
      <c r="R5125" s="11" t="s">
        <v>18678</v>
      </c>
      <c r="S5125" s="11" t="s">
        <v>17750</v>
      </c>
    </row>
    <row r="5126" spans="1:19" x14ac:dyDescent="0.2">
      <c r="A5126" s="11" t="s">
        <v>47442</v>
      </c>
      <c r="B5126" s="9" t="s">
        <v>47443</v>
      </c>
      <c r="C5126" s="9" t="s">
        <v>47444</v>
      </c>
      <c r="D5126" s="9" t="s">
        <v>47445</v>
      </c>
      <c r="E5126" s="9" t="s">
        <v>17740</v>
      </c>
      <c r="F5126" s="9" t="s">
        <v>17741</v>
      </c>
      <c r="G5126" s="9" t="s">
        <v>17740</v>
      </c>
      <c r="H5126" s="11" t="s">
        <v>47446</v>
      </c>
      <c r="I5126" s="11" t="s">
        <v>17741</v>
      </c>
      <c r="J5126" s="11" t="s">
        <v>47446</v>
      </c>
      <c r="K5126" s="9" t="s">
        <v>32492</v>
      </c>
      <c r="L5126" s="9" t="s">
        <v>18123</v>
      </c>
      <c r="M5126" s="9" t="s">
        <v>17817</v>
      </c>
      <c r="N5126" s="9" t="s">
        <v>17746</v>
      </c>
      <c r="O5126" s="9" t="s">
        <v>47447</v>
      </c>
      <c r="P5126" s="9" t="s">
        <v>17748</v>
      </c>
      <c r="Q5126" s="11" t="s">
        <v>18922</v>
      </c>
      <c r="R5126" s="11" t="s">
        <v>18922</v>
      </c>
      <c r="S5126" s="11" t="s">
        <v>17750</v>
      </c>
    </row>
    <row r="5127" spans="1:19" x14ac:dyDescent="0.2">
      <c r="A5127" s="11" t="s">
        <v>47448</v>
      </c>
      <c r="B5127" s="9" t="s">
        <v>47449</v>
      </c>
      <c r="C5127" s="9" t="s">
        <v>47450</v>
      </c>
      <c r="D5127" s="9" t="s">
        <v>47451</v>
      </c>
      <c r="E5127" s="9" t="s">
        <v>17740</v>
      </c>
      <c r="F5127" s="9" t="s">
        <v>17741</v>
      </c>
      <c r="G5127" s="9" t="s">
        <v>17740</v>
      </c>
      <c r="H5127" s="11" t="s">
        <v>17741</v>
      </c>
      <c r="I5127" s="11" t="s">
        <v>17741</v>
      </c>
      <c r="J5127" s="11" t="s">
        <v>17741</v>
      </c>
      <c r="K5127" s="9" t="s">
        <v>47452</v>
      </c>
      <c r="L5127" s="9" t="s">
        <v>17759</v>
      </c>
      <c r="M5127" s="9" t="s">
        <v>17741</v>
      </c>
      <c r="N5127" s="9" t="s">
        <v>17746</v>
      </c>
      <c r="O5127" s="9" t="s">
        <v>1802</v>
      </c>
      <c r="P5127" s="9" t="s">
        <v>17748</v>
      </c>
      <c r="Q5127" s="11" t="s">
        <v>18798</v>
      </c>
      <c r="R5127" s="11" t="s">
        <v>18798</v>
      </c>
      <c r="S5127" s="11" t="s">
        <v>17750</v>
      </c>
    </row>
    <row r="5128" spans="1:19" x14ac:dyDescent="0.2">
      <c r="A5128" s="11" t="s">
        <v>47453</v>
      </c>
      <c r="B5128" s="9" t="s">
        <v>47454</v>
      </c>
      <c r="C5128" s="9" t="s">
        <v>47455</v>
      </c>
      <c r="D5128" s="9" t="s">
        <v>47456</v>
      </c>
      <c r="E5128" s="9" t="s">
        <v>17740</v>
      </c>
      <c r="F5128" s="9" t="s">
        <v>17741</v>
      </c>
      <c r="G5128" s="9" t="s">
        <v>17740</v>
      </c>
      <c r="H5128" s="11" t="s">
        <v>17741</v>
      </c>
      <c r="I5128" s="11" t="s">
        <v>47457</v>
      </c>
      <c r="J5128" s="11" t="s">
        <v>47457</v>
      </c>
      <c r="K5128" s="9" t="s">
        <v>47458</v>
      </c>
      <c r="L5128" s="9" t="s">
        <v>18249</v>
      </c>
      <c r="M5128" s="9" t="s">
        <v>17769</v>
      </c>
      <c r="N5128" s="9" t="s">
        <v>21551</v>
      </c>
      <c r="O5128" s="9" t="s">
        <v>17800</v>
      </c>
      <c r="P5128" s="9" t="s">
        <v>17748</v>
      </c>
      <c r="Q5128" s="11" t="s">
        <v>18470</v>
      </c>
      <c r="R5128" s="11" t="s">
        <v>18470</v>
      </c>
      <c r="S5128" s="11" t="s">
        <v>17750</v>
      </c>
    </row>
    <row r="5129" spans="1:19" x14ac:dyDescent="0.2">
      <c r="A5129" s="11" t="s">
        <v>47459</v>
      </c>
      <c r="B5129" s="9" t="s">
        <v>47460</v>
      </c>
      <c r="C5129" s="9" t="s">
        <v>47461</v>
      </c>
      <c r="D5129" s="9" t="s">
        <v>47462</v>
      </c>
      <c r="E5129" s="9" t="s">
        <v>17740</v>
      </c>
      <c r="F5129" s="9" t="s">
        <v>47463</v>
      </c>
      <c r="G5129" s="9" t="s">
        <v>17740</v>
      </c>
      <c r="H5129" s="11" t="s">
        <v>17741</v>
      </c>
      <c r="I5129" s="11" t="s">
        <v>47464</v>
      </c>
      <c r="J5129" s="11" t="s">
        <v>47464</v>
      </c>
      <c r="K5129" s="9" t="s">
        <v>47465</v>
      </c>
      <c r="L5129" s="9" t="s">
        <v>17759</v>
      </c>
      <c r="M5129" s="9" t="s">
        <v>47466</v>
      </c>
      <c r="N5129" s="9" t="s">
        <v>17746</v>
      </c>
      <c r="O5129" s="9" t="s">
        <v>19275</v>
      </c>
      <c r="P5129" s="9" t="s">
        <v>17748</v>
      </c>
      <c r="Q5129" s="11" t="s">
        <v>18282</v>
      </c>
      <c r="R5129" s="11" t="s">
        <v>18282</v>
      </c>
      <c r="S5129" s="11" t="s">
        <v>17750</v>
      </c>
    </row>
    <row r="5130" spans="1:19" x14ac:dyDescent="0.2">
      <c r="A5130" s="11" t="s">
        <v>47467</v>
      </c>
      <c r="B5130" s="9" t="s">
        <v>47468</v>
      </c>
      <c r="C5130" s="9" t="s">
        <v>47469</v>
      </c>
      <c r="D5130" s="9" t="s">
        <v>47470</v>
      </c>
      <c r="E5130" s="9" t="s">
        <v>17740</v>
      </c>
      <c r="F5130" s="9" t="s">
        <v>17741</v>
      </c>
      <c r="G5130" s="9" t="s">
        <v>17740</v>
      </c>
      <c r="H5130" s="11" t="s">
        <v>14355</v>
      </c>
      <c r="I5130" s="11" t="s">
        <v>14354</v>
      </c>
      <c r="J5130" s="11" t="s">
        <v>14354</v>
      </c>
      <c r="K5130" s="9" t="s">
        <v>91</v>
      </c>
      <c r="L5130" s="9" t="s">
        <v>18001</v>
      </c>
      <c r="M5130" s="9" t="s">
        <v>17760</v>
      </c>
      <c r="N5130" s="9" t="s">
        <v>17746</v>
      </c>
      <c r="O5130" s="9" t="s">
        <v>47471</v>
      </c>
      <c r="P5130" s="9" t="s">
        <v>17748</v>
      </c>
      <c r="Q5130" s="11" t="s">
        <v>17900</v>
      </c>
      <c r="R5130" s="11" t="s">
        <v>17900</v>
      </c>
      <c r="S5130" s="11" t="s">
        <v>17750</v>
      </c>
    </row>
    <row r="5131" spans="1:19" x14ac:dyDescent="0.2">
      <c r="A5131" s="11" t="s">
        <v>47472</v>
      </c>
      <c r="B5131" s="9" t="s">
        <v>47473</v>
      </c>
      <c r="C5131" s="9" t="s">
        <v>47474</v>
      </c>
      <c r="D5131" s="9" t="s">
        <v>47475</v>
      </c>
      <c r="E5131" s="9" t="s">
        <v>17740</v>
      </c>
      <c r="F5131" s="9" t="s">
        <v>47476</v>
      </c>
      <c r="G5131" s="9" t="s">
        <v>17740</v>
      </c>
      <c r="H5131" s="11" t="s">
        <v>47477</v>
      </c>
      <c r="I5131" s="11" t="s">
        <v>47478</v>
      </c>
      <c r="J5131" s="11" t="s">
        <v>47478</v>
      </c>
      <c r="K5131" s="9" t="s">
        <v>19447</v>
      </c>
      <c r="L5131" s="9" t="s">
        <v>17759</v>
      </c>
      <c r="M5131" s="9" t="s">
        <v>17760</v>
      </c>
      <c r="N5131" s="9" t="s">
        <v>17746</v>
      </c>
      <c r="O5131" s="9" t="s">
        <v>17834</v>
      </c>
      <c r="P5131" s="9" t="s">
        <v>17748</v>
      </c>
      <c r="Q5131" s="11" t="s">
        <v>19361</v>
      </c>
      <c r="R5131" s="11" t="s">
        <v>19361</v>
      </c>
      <c r="S5131" s="11" t="s">
        <v>17750</v>
      </c>
    </row>
    <row r="5132" spans="1:19" x14ac:dyDescent="0.2">
      <c r="A5132" s="11" t="s">
        <v>47479</v>
      </c>
      <c r="B5132" s="9" t="s">
        <v>47480</v>
      </c>
      <c r="C5132" s="9" t="s">
        <v>47481</v>
      </c>
      <c r="D5132" s="9" t="s">
        <v>47482</v>
      </c>
      <c r="E5132" s="9" t="s">
        <v>17740</v>
      </c>
      <c r="F5132" s="9" t="s">
        <v>17741</v>
      </c>
      <c r="G5132" s="9" t="s">
        <v>17740</v>
      </c>
      <c r="H5132" s="11" t="s">
        <v>47483</v>
      </c>
      <c r="I5132" s="11" t="s">
        <v>47484</v>
      </c>
      <c r="J5132" s="11" t="s">
        <v>47484</v>
      </c>
      <c r="K5132" s="9" t="s">
        <v>22922</v>
      </c>
      <c r="L5132" s="9" t="s">
        <v>18123</v>
      </c>
      <c r="M5132" s="9" t="s">
        <v>17769</v>
      </c>
      <c r="N5132" s="9" t="s">
        <v>17746</v>
      </c>
      <c r="O5132" s="9" t="s">
        <v>19095</v>
      </c>
      <c r="P5132" s="9" t="s">
        <v>17748</v>
      </c>
      <c r="Q5132" s="11" t="s">
        <v>17917</v>
      </c>
      <c r="R5132" s="11" t="s">
        <v>17917</v>
      </c>
      <c r="S5132" s="11" t="s">
        <v>17750</v>
      </c>
    </row>
    <row r="5133" spans="1:19" x14ac:dyDescent="0.2">
      <c r="A5133" s="11" t="s">
        <v>47485</v>
      </c>
      <c r="B5133" s="9" t="s">
        <v>47486</v>
      </c>
      <c r="C5133" s="9" t="s">
        <v>47487</v>
      </c>
      <c r="D5133" s="9" t="s">
        <v>47488</v>
      </c>
      <c r="E5133" s="9" t="s">
        <v>17740</v>
      </c>
      <c r="F5133" s="9" t="s">
        <v>17741</v>
      </c>
      <c r="G5133" s="9" t="s">
        <v>17740</v>
      </c>
      <c r="H5133" s="11" t="s">
        <v>11090</v>
      </c>
      <c r="I5133" s="11" t="s">
        <v>11089</v>
      </c>
      <c r="J5133" s="11" t="s">
        <v>11089</v>
      </c>
      <c r="K5133" s="9" t="s">
        <v>21900</v>
      </c>
      <c r="L5133" s="9" t="s">
        <v>20082</v>
      </c>
      <c r="M5133" s="9" t="s">
        <v>17778</v>
      </c>
      <c r="N5133" s="9" t="s">
        <v>17746</v>
      </c>
      <c r="O5133" s="9" t="s">
        <v>3864</v>
      </c>
      <c r="P5133" s="9" t="s">
        <v>17748</v>
      </c>
      <c r="Q5133" s="11" t="s">
        <v>17780</v>
      </c>
      <c r="R5133" s="11" t="s">
        <v>17780</v>
      </c>
      <c r="S5133" s="11" t="s">
        <v>17750</v>
      </c>
    </row>
    <row r="5134" spans="1:19" x14ac:dyDescent="0.2">
      <c r="A5134" s="11" t="s">
        <v>47489</v>
      </c>
      <c r="B5134" s="9" t="s">
        <v>47490</v>
      </c>
      <c r="C5134" s="9" t="s">
        <v>47491</v>
      </c>
      <c r="D5134" s="9" t="s">
        <v>47492</v>
      </c>
      <c r="E5134" s="9" t="s">
        <v>17740</v>
      </c>
      <c r="F5134" s="9" t="s">
        <v>47493</v>
      </c>
      <c r="G5134" s="9" t="s">
        <v>17740</v>
      </c>
      <c r="H5134" s="11" t="s">
        <v>3866</v>
      </c>
      <c r="I5134" s="11" t="s">
        <v>3865</v>
      </c>
      <c r="J5134" s="11" t="s">
        <v>3865</v>
      </c>
      <c r="K5134" s="9" t="s">
        <v>47494</v>
      </c>
      <c r="L5134" s="9" t="s">
        <v>17759</v>
      </c>
      <c r="M5134" s="9" t="s">
        <v>19168</v>
      </c>
      <c r="N5134" s="9" t="s">
        <v>17746</v>
      </c>
      <c r="O5134" s="9" t="s">
        <v>3864</v>
      </c>
      <c r="P5134" s="9" t="s">
        <v>17748</v>
      </c>
      <c r="Q5134" s="11" t="s">
        <v>18600</v>
      </c>
      <c r="R5134" s="11" t="s">
        <v>18600</v>
      </c>
      <c r="S5134" s="11" t="s">
        <v>17750</v>
      </c>
    </row>
    <row r="5135" spans="1:19" x14ac:dyDescent="0.2">
      <c r="A5135" s="11" t="s">
        <v>47495</v>
      </c>
      <c r="B5135" s="9" t="s">
        <v>47496</v>
      </c>
      <c r="C5135" s="9" t="s">
        <v>47497</v>
      </c>
      <c r="D5135" s="9" t="s">
        <v>47498</v>
      </c>
      <c r="E5135" s="9" t="s">
        <v>17748</v>
      </c>
      <c r="F5135" s="9" t="s">
        <v>47499</v>
      </c>
      <c r="G5135" s="9" t="s">
        <v>17740</v>
      </c>
      <c r="H5135" s="11" t="s">
        <v>7749</v>
      </c>
      <c r="I5135" s="11" t="s">
        <v>7748</v>
      </c>
      <c r="J5135" s="11" t="s">
        <v>7748</v>
      </c>
      <c r="K5135" s="9" t="s">
        <v>47500</v>
      </c>
      <c r="L5135" s="9" t="s">
        <v>17744</v>
      </c>
      <c r="M5135" s="9" t="s">
        <v>17769</v>
      </c>
      <c r="N5135" s="9" t="s">
        <v>17746</v>
      </c>
      <c r="O5135" s="9" t="s">
        <v>3864</v>
      </c>
      <c r="P5135" s="9" t="s">
        <v>17748</v>
      </c>
      <c r="Q5135" s="11" t="s">
        <v>18798</v>
      </c>
      <c r="R5135" s="11" t="s">
        <v>18798</v>
      </c>
      <c r="S5135" s="11" t="s">
        <v>17750</v>
      </c>
    </row>
    <row r="5136" spans="1:19" x14ac:dyDescent="0.2">
      <c r="A5136" s="11" t="s">
        <v>47501</v>
      </c>
      <c r="B5136" s="9" t="s">
        <v>47502</v>
      </c>
      <c r="C5136" s="9" t="s">
        <v>47503</v>
      </c>
      <c r="D5136" s="9" t="s">
        <v>47504</v>
      </c>
      <c r="E5136" s="9" t="s">
        <v>17740</v>
      </c>
      <c r="F5136" s="9" t="s">
        <v>17741</v>
      </c>
      <c r="G5136" s="9" t="s">
        <v>17740</v>
      </c>
      <c r="H5136" s="11" t="s">
        <v>17741</v>
      </c>
      <c r="I5136" s="11" t="s">
        <v>47505</v>
      </c>
      <c r="J5136" s="11" t="s">
        <v>47505</v>
      </c>
      <c r="K5136" s="9" t="s">
        <v>47506</v>
      </c>
      <c r="L5136" s="9" t="s">
        <v>17958</v>
      </c>
      <c r="M5136" s="9" t="s">
        <v>17760</v>
      </c>
      <c r="N5136" s="9" t="s">
        <v>22152</v>
      </c>
      <c r="O5136" s="9" t="s">
        <v>18340</v>
      </c>
      <c r="P5136" s="9" t="s">
        <v>17748</v>
      </c>
      <c r="Q5136" s="11" t="s">
        <v>18147</v>
      </c>
      <c r="R5136" s="11" t="s">
        <v>18147</v>
      </c>
      <c r="S5136" s="11" t="s">
        <v>17750</v>
      </c>
    </row>
    <row r="5137" spans="1:19" x14ac:dyDescent="0.2">
      <c r="A5137" s="11" t="s">
        <v>47507</v>
      </c>
      <c r="B5137" s="9" t="s">
        <v>47508</v>
      </c>
      <c r="C5137" s="9" t="s">
        <v>47509</v>
      </c>
      <c r="D5137" s="9" t="s">
        <v>47510</v>
      </c>
      <c r="E5137" s="9" t="s">
        <v>17740</v>
      </c>
      <c r="F5137" s="9" t="s">
        <v>17741</v>
      </c>
      <c r="G5137" s="9" t="s">
        <v>17740</v>
      </c>
      <c r="H5137" s="11" t="s">
        <v>17741</v>
      </c>
      <c r="I5137" s="11" t="s">
        <v>47511</v>
      </c>
      <c r="J5137" s="11" t="s">
        <v>47511</v>
      </c>
      <c r="K5137" s="9" t="s">
        <v>17741</v>
      </c>
      <c r="L5137" s="9" t="s">
        <v>17958</v>
      </c>
      <c r="M5137" s="9" t="s">
        <v>17760</v>
      </c>
      <c r="N5137" s="9" t="s">
        <v>22152</v>
      </c>
      <c r="O5137" s="9" t="s">
        <v>18481</v>
      </c>
      <c r="P5137" s="9" t="s">
        <v>17748</v>
      </c>
      <c r="Q5137" s="11" t="s">
        <v>17937</v>
      </c>
      <c r="R5137" s="11" t="s">
        <v>17937</v>
      </c>
      <c r="S5137" s="11" t="s">
        <v>17750</v>
      </c>
    </row>
    <row r="5138" spans="1:19" x14ac:dyDescent="0.2">
      <c r="A5138" s="11" t="s">
        <v>47512</v>
      </c>
      <c r="B5138" s="9" t="s">
        <v>47513</v>
      </c>
      <c r="C5138" s="9" t="s">
        <v>47514</v>
      </c>
      <c r="D5138" s="9" t="s">
        <v>47515</v>
      </c>
      <c r="E5138" s="9" t="s">
        <v>17740</v>
      </c>
      <c r="F5138" s="9" t="s">
        <v>47516</v>
      </c>
      <c r="G5138" s="9" t="s">
        <v>17740</v>
      </c>
      <c r="H5138" s="11" t="s">
        <v>17741</v>
      </c>
      <c r="I5138" s="11" t="s">
        <v>47517</v>
      </c>
      <c r="J5138" s="11" t="s">
        <v>47517</v>
      </c>
      <c r="K5138" s="9" t="s">
        <v>6433</v>
      </c>
      <c r="L5138" s="9" t="s">
        <v>17958</v>
      </c>
      <c r="M5138" s="9" t="s">
        <v>17769</v>
      </c>
      <c r="N5138" s="9" t="s">
        <v>22152</v>
      </c>
      <c r="O5138" s="9" t="s">
        <v>18481</v>
      </c>
      <c r="P5138" s="9" t="s">
        <v>17748</v>
      </c>
      <c r="Q5138" s="11" t="s">
        <v>18470</v>
      </c>
      <c r="R5138" s="11" t="s">
        <v>18470</v>
      </c>
      <c r="S5138" s="11" t="s">
        <v>17750</v>
      </c>
    </row>
    <row r="5139" spans="1:19" x14ac:dyDescent="0.2">
      <c r="A5139" s="11" t="s">
        <v>47518</v>
      </c>
      <c r="B5139" s="9" t="s">
        <v>47519</v>
      </c>
      <c r="C5139" s="9" t="s">
        <v>47520</v>
      </c>
      <c r="D5139" s="9" t="s">
        <v>47521</v>
      </c>
      <c r="E5139" s="9" t="s">
        <v>17740</v>
      </c>
      <c r="F5139" s="9" t="s">
        <v>17741</v>
      </c>
      <c r="G5139" s="9" t="s">
        <v>17740</v>
      </c>
      <c r="H5139" s="11" t="s">
        <v>17741</v>
      </c>
      <c r="I5139" s="11" t="s">
        <v>47522</v>
      </c>
      <c r="J5139" s="11" t="s">
        <v>47522</v>
      </c>
      <c r="K5139" s="9" t="s">
        <v>27549</v>
      </c>
      <c r="L5139" s="9" t="s">
        <v>17958</v>
      </c>
      <c r="M5139" s="9" t="s">
        <v>17760</v>
      </c>
      <c r="N5139" s="9" t="s">
        <v>22152</v>
      </c>
      <c r="O5139" s="9" t="s">
        <v>22395</v>
      </c>
      <c r="P5139" s="9" t="s">
        <v>17748</v>
      </c>
      <c r="Q5139" s="11" t="s">
        <v>18960</v>
      </c>
      <c r="R5139" s="11" t="s">
        <v>18960</v>
      </c>
      <c r="S5139" s="11" t="s">
        <v>17750</v>
      </c>
    </row>
    <row r="5140" spans="1:19" x14ac:dyDescent="0.2">
      <c r="A5140" s="11" t="s">
        <v>47523</v>
      </c>
      <c r="B5140" s="9" t="s">
        <v>47524</v>
      </c>
      <c r="C5140" s="9" t="s">
        <v>47525</v>
      </c>
      <c r="D5140" s="9" t="s">
        <v>47526</v>
      </c>
      <c r="E5140" s="9" t="s">
        <v>17740</v>
      </c>
      <c r="F5140" s="9" t="s">
        <v>17741</v>
      </c>
      <c r="G5140" s="9" t="s">
        <v>17740</v>
      </c>
      <c r="H5140" s="11" t="s">
        <v>17741</v>
      </c>
      <c r="I5140" s="11" t="s">
        <v>47527</v>
      </c>
      <c r="J5140" s="11" t="s">
        <v>47527</v>
      </c>
      <c r="K5140" s="9" t="s">
        <v>47528</v>
      </c>
      <c r="L5140" s="9" t="s">
        <v>17958</v>
      </c>
      <c r="M5140" s="9" t="s">
        <v>17760</v>
      </c>
      <c r="N5140" s="9" t="s">
        <v>22152</v>
      </c>
      <c r="O5140" s="9" t="s">
        <v>793</v>
      </c>
      <c r="P5140" s="9" t="s">
        <v>17748</v>
      </c>
      <c r="Q5140" s="11" t="s">
        <v>18341</v>
      </c>
      <c r="R5140" s="11" t="s">
        <v>18341</v>
      </c>
      <c r="S5140" s="11" t="s">
        <v>17750</v>
      </c>
    </row>
    <row r="5141" spans="1:19" x14ac:dyDescent="0.2">
      <c r="A5141" s="11" t="s">
        <v>47529</v>
      </c>
      <c r="B5141" s="9" t="s">
        <v>47530</v>
      </c>
      <c r="C5141" s="9" t="s">
        <v>47531</v>
      </c>
      <c r="D5141" s="9" t="s">
        <v>47532</v>
      </c>
      <c r="E5141" s="9" t="s">
        <v>17740</v>
      </c>
      <c r="F5141" s="9" t="s">
        <v>17741</v>
      </c>
      <c r="G5141" s="9" t="s">
        <v>17740</v>
      </c>
      <c r="H5141" s="11" t="s">
        <v>47533</v>
      </c>
      <c r="I5141" s="11" t="s">
        <v>47534</v>
      </c>
      <c r="J5141" s="11" t="s">
        <v>47534</v>
      </c>
      <c r="K5141" s="9" t="s">
        <v>47535</v>
      </c>
      <c r="L5141" s="9" t="s">
        <v>18242</v>
      </c>
      <c r="M5141" s="9" t="s">
        <v>17769</v>
      </c>
      <c r="N5141" s="9" t="s">
        <v>21524</v>
      </c>
      <c r="O5141" s="9" t="s">
        <v>18514</v>
      </c>
      <c r="P5141" s="9" t="s">
        <v>17748</v>
      </c>
      <c r="Q5141" s="11" t="s">
        <v>18332</v>
      </c>
      <c r="R5141" s="11" t="s">
        <v>18332</v>
      </c>
      <c r="S5141" s="11" t="s">
        <v>17750</v>
      </c>
    </row>
    <row r="5142" spans="1:19" x14ac:dyDescent="0.2">
      <c r="A5142" s="11" t="s">
        <v>47536</v>
      </c>
      <c r="B5142" s="9" t="s">
        <v>47537</v>
      </c>
      <c r="C5142" s="9" t="s">
        <v>47538</v>
      </c>
      <c r="D5142" s="9" t="s">
        <v>9371</v>
      </c>
      <c r="E5142" s="9" t="s">
        <v>17740</v>
      </c>
      <c r="F5142" s="9" t="s">
        <v>17741</v>
      </c>
      <c r="G5142" s="9" t="s">
        <v>17740</v>
      </c>
      <c r="H5142" s="11" t="s">
        <v>9373</v>
      </c>
      <c r="I5142" s="11" t="s">
        <v>9372</v>
      </c>
      <c r="J5142" s="11" t="s">
        <v>9372</v>
      </c>
      <c r="K5142" s="9" t="s">
        <v>47539</v>
      </c>
      <c r="L5142" s="9" t="s">
        <v>17759</v>
      </c>
      <c r="M5142" s="9" t="s">
        <v>47540</v>
      </c>
      <c r="N5142" s="9" t="s">
        <v>17746</v>
      </c>
      <c r="O5142" s="9" t="s">
        <v>20367</v>
      </c>
      <c r="P5142" s="9" t="s">
        <v>17748</v>
      </c>
      <c r="Q5142" s="11" t="s">
        <v>17808</v>
      </c>
      <c r="R5142" s="11" t="s">
        <v>17808</v>
      </c>
      <c r="S5142" s="11" t="s">
        <v>17750</v>
      </c>
    </row>
    <row r="5143" spans="1:19" x14ac:dyDescent="0.2">
      <c r="A5143" s="11" t="s">
        <v>47541</v>
      </c>
      <c r="B5143" s="9" t="s">
        <v>47542</v>
      </c>
      <c r="C5143" s="9" t="s">
        <v>47543</v>
      </c>
      <c r="D5143" s="9" t="s">
        <v>47544</v>
      </c>
      <c r="E5143" s="9" t="s">
        <v>17740</v>
      </c>
      <c r="F5143" s="9" t="s">
        <v>17741</v>
      </c>
      <c r="G5143" s="9" t="s">
        <v>17740</v>
      </c>
      <c r="H5143" s="11" t="s">
        <v>47545</v>
      </c>
      <c r="I5143" s="11" t="s">
        <v>47546</v>
      </c>
      <c r="J5143" s="11" t="s">
        <v>47546</v>
      </c>
      <c r="K5143" s="9" t="s">
        <v>47547</v>
      </c>
      <c r="L5143" s="9" t="s">
        <v>18242</v>
      </c>
      <c r="M5143" s="9" t="s">
        <v>17769</v>
      </c>
      <c r="N5143" s="9" t="s">
        <v>21524</v>
      </c>
      <c r="O5143" s="9" t="s">
        <v>3524</v>
      </c>
      <c r="P5143" s="9" t="s">
        <v>17748</v>
      </c>
      <c r="Q5143" s="11" t="s">
        <v>18556</v>
      </c>
      <c r="R5143" s="11" t="s">
        <v>18556</v>
      </c>
      <c r="S5143" s="11" t="s">
        <v>17750</v>
      </c>
    </row>
    <row r="5144" spans="1:19" x14ac:dyDescent="0.2">
      <c r="A5144" s="11" t="s">
        <v>47548</v>
      </c>
      <c r="B5144" s="9" t="s">
        <v>47549</v>
      </c>
      <c r="C5144" s="9" t="s">
        <v>47550</v>
      </c>
      <c r="D5144" s="9" t="s">
        <v>47551</v>
      </c>
      <c r="E5144" s="9" t="s">
        <v>17748</v>
      </c>
      <c r="F5144" s="9" t="s">
        <v>47552</v>
      </c>
      <c r="G5144" s="9" t="s">
        <v>17740</v>
      </c>
      <c r="H5144" s="11" t="s">
        <v>17741</v>
      </c>
      <c r="I5144" s="11" t="s">
        <v>47553</v>
      </c>
      <c r="J5144" s="11" t="s">
        <v>47553</v>
      </c>
      <c r="K5144" s="9" t="s">
        <v>47554</v>
      </c>
      <c r="L5144" s="9" t="s">
        <v>17958</v>
      </c>
      <c r="M5144" s="9" t="s">
        <v>17760</v>
      </c>
      <c r="N5144" s="9" t="s">
        <v>22152</v>
      </c>
      <c r="O5144" s="9" t="s">
        <v>17993</v>
      </c>
      <c r="P5144" s="9" t="s">
        <v>17748</v>
      </c>
      <c r="Q5144" s="11" t="s">
        <v>17858</v>
      </c>
      <c r="R5144" s="11" t="s">
        <v>17858</v>
      </c>
      <c r="S5144" s="11" t="s">
        <v>17750</v>
      </c>
    </row>
    <row r="5145" spans="1:19" x14ac:dyDescent="0.2">
      <c r="A5145" s="11" t="s">
        <v>47555</v>
      </c>
      <c r="B5145" s="9" t="s">
        <v>47556</v>
      </c>
      <c r="C5145" s="9" t="s">
        <v>47557</v>
      </c>
      <c r="D5145" s="9" t="s">
        <v>47558</v>
      </c>
      <c r="E5145" s="9" t="s">
        <v>17740</v>
      </c>
      <c r="F5145" s="9" t="s">
        <v>17741</v>
      </c>
      <c r="G5145" s="9" t="s">
        <v>17740</v>
      </c>
      <c r="H5145" s="11" t="s">
        <v>47559</v>
      </c>
      <c r="I5145" s="11" t="s">
        <v>47560</v>
      </c>
      <c r="J5145" s="11" t="s">
        <v>47560</v>
      </c>
      <c r="K5145" s="9" t="s">
        <v>17758</v>
      </c>
      <c r="L5145" s="9" t="s">
        <v>17759</v>
      </c>
      <c r="M5145" s="9" t="s">
        <v>17769</v>
      </c>
      <c r="N5145" s="9" t="s">
        <v>17746</v>
      </c>
      <c r="O5145" s="9" t="s">
        <v>1802</v>
      </c>
      <c r="P5145" s="9" t="s">
        <v>17748</v>
      </c>
      <c r="Q5145" s="11" t="s">
        <v>17762</v>
      </c>
      <c r="R5145" s="11" t="s">
        <v>17762</v>
      </c>
      <c r="S5145" s="11" t="s">
        <v>17750</v>
      </c>
    </row>
    <row r="5146" spans="1:19" x14ac:dyDescent="0.2">
      <c r="A5146" s="11" t="s">
        <v>47561</v>
      </c>
      <c r="B5146" s="9" t="s">
        <v>47562</v>
      </c>
      <c r="C5146" s="9" t="s">
        <v>47563</v>
      </c>
      <c r="D5146" s="9" t="s">
        <v>47564</v>
      </c>
      <c r="E5146" s="9" t="s">
        <v>17740</v>
      </c>
      <c r="F5146" s="9" t="s">
        <v>47565</v>
      </c>
      <c r="G5146" s="9" t="s">
        <v>17740</v>
      </c>
      <c r="H5146" s="11" t="s">
        <v>47566</v>
      </c>
      <c r="I5146" s="11" t="s">
        <v>47567</v>
      </c>
      <c r="J5146" s="11" t="s">
        <v>47567</v>
      </c>
      <c r="K5146" s="9" t="s">
        <v>91</v>
      </c>
      <c r="L5146" s="9" t="s">
        <v>19491</v>
      </c>
      <c r="M5146" s="9" t="s">
        <v>18745</v>
      </c>
      <c r="N5146" s="9" t="s">
        <v>17746</v>
      </c>
      <c r="O5146" s="9" t="s">
        <v>18340</v>
      </c>
      <c r="P5146" s="9" t="s">
        <v>17748</v>
      </c>
      <c r="Q5146" s="11" t="s">
        <v>17771</v>
      </c>
      <c r="R5146" s="11" t="s">
        <v>17771</v>
      </c>
      <c r="S5146" s="11" t="s">
        <v>17750</v>
      </c>
    </row>
    <row r="5147" spans="1:19" x14ac:dyDescent="0.2">
      <c r="A5147" s="11" t="s">
        <v>47568</v>
      </c>
      <c r="B5147" s="9" t="s">
        <v>47569</v>
      </c>
      <c r="C5147" s="9" t="s">
        <v>47570</v>
      </c>
      <c r="D5147" s="9" t="s">
        <v>47571</v>
      </c>
      <c r="E5147" s="9" t="s">
        <v>17740</v>
      </c>
      <c r="F5147" s="9" t="s">
        <v>47572</v>
      </c>
      <c r="G5147" s="9" t="s">
        <v>17740</v>
      </c>
      <c r="H5147" s="11" t="s">
        <v>17741</v>
      </c>
      <c r="I5147" s="11" t="s">
        <v>3787</v>
      </c>
      <c r="J5147" s="11" t="s">
        <v>3787</v>
      </c>
      <c r="K5147" s="9" t="s">
        <v>47573</v>
      </c>
      <c r="L5147" s="9" t="s">
        <v>19491</v>
      </c>
      <c r="M5147" s="9" t="s">
        <v>47574</v>
      </c>
      <c r="N5147" s="9" t="s">
        <v>17746</v>
      </c>
      <c r="O5147" s="9" t="s">
        <v>17993</v>
      </c>
      <c r="P5147" s="9" t="s">
        <v>17748</v>
      </c>
      <c r="Q5147" s="11" t="s">
        <v>18556</v>
      </c>
      <c r="R5147" s="11" t="s">
        <v>18556</v>
      </c>
      <c r="S5147" s="11" t="s">
        <v>17750</v>
      </c>
    </row>
    <row r="5148" spans="1:19" x14ac:dyDescent="0.2">
      <c r="A5148" s="11" t="s">
        <v>47575</v>
      </c>
      <c r="B5148" s="9" t="s">
        <v>47576</v>
      </c>
      <c r="C5148" s="9" t="s">
        <v>47577</v>
      </c>
      <c r="D5148" s="9" t="s">
        <v>47578</v>
      </c>
      <c r="E5148" s="9" t="s">
        <v>17740</v>
      </c>
      <c r="F5148" s="9" t="s">
        <v>17741</v>
      </c>
      <c r="G5148" s="9" t="s">
        <v>17740</v>
      </c>
      <c r="H5148" s="11" t="s">
        <v>3822</v>
      </c>
      <c r="I5148" s="11" t="s">
        <v>3821</v>
      </c>
      <c r="J5148" s="11" t="s">
        <v>3821</v>
      </c>
      <c r="K5148" s="9" t="s">
        <v>167</v>
      </c>
      <c r="L5148" s="9" t="s">
        <v>18158</v>
      </c>
      <c r="M5148" s="9" t="s">
        <v>18289</v>
      </c>
      <c r="N5148" s="9" t="s">
        <v>17746</v>
      </c>
      <c r="O5148" s="9" t="s">
        <v>47579</v>
      </c>
      <c r="P5148" s="9" t="s">
        <v>17748</v>
      </c>
      <c r="Q5148" s="11" t="s">
        <v>19026</v>
      </c>
      <c r="R5148" s="11" t="s">
        <v>19026</v>
      </c>
      <c r="S5148" s="11" t="s">
        <v>17750</v>
      </c>
    </row>
    <row r="5149" spans="1:19" x14ac:dyDescent="0.2">
      <c r="A5149" s="11" t="s">
        <v>47580</v>
      </c>
      <c r="B5149" s="9" t="s">
        <v>47581</v>
      </c>
      <c r="C5149" s="9" t="s">
        <v>47582</v>
      </c>
      <c r="D5149" s="9" t="s">
        <v>47583</v>
      </c>
      <c r="E5149" s="9" t="s">
        <v>17748</v>
      </c>
      <c r="F5149" s="9" t="s">
        <v>47584</v>
      </c>
      <c r="G5149" s="9" t="s">
        <v>17740</v>
      </c>
      <c r="H5149" s="11" t="s">
        <v>10096</v>
      </c>
      <c r="I5149" s="11" t="s">
        <v>10095</v>
      </c>
      <c r="J5149" s="11" t="s">
        <v>10095</v>
      </c>
      <c r="K5149" s="9" t="s">
        <v>18122</v>
      </c>
      <c r="L5149" s="9" t="s">
        <v>18123</v>
      </c>
      <c r="M5149" s="9" t="s">
        <v>17769</v>
      </c>
      <c r="N5149" s="9" t="s">
        <v>17746</v>
      </c>
      <c r="O5149" s="9" t="s">
        <v>47585</v>
      </c>
      <c r="P5149" s="9" t="s">
        <v>17748</v>
      </c>
      <c r="Q5149" s="11" t="s">
        <v>17780</v>
      </c>
      <c r="R5149" s="11" t="s">
        <v>17780</v>
      </c>
      <c r="S5149" s="11" t="s">
        <v>17750</v>
      </c>
    </row>
    <row r="5150" spans="1:19" x14ac:dyDescent="0.2">
      <c r="A5150" s="11" t="s">
        <v>47586</v>
      </c>
      <c r="B5150" s="9" t="s">
        <v>47587</v>
      </c>
      <c r="C5150" s="9" t="s">
        <v>47588</v>
      </c>
      <c r="D5150" s="9" t="s">
        <v>47589</v>
      </c>
      <c r="E5150" s="9" t="s">
        <v>17740</v>
      </c>
      <c r="F5150" s="9" t="s">
        <v>17741</v>
      </c>
      <c r="G5150" s="9" t="s">
        <v>17740</v>
      </c>
      <c r="H5150" s="11" t="s">
        <v>6653</v>
      </c>
      <c r="I5150" s="11" t="s">
        <v>6652</v>
      </c>
      <c r="J5150" s="11" t="s">
        <v>6652</v>
      </c>
      <c r="K5150" s="9" t="s">
        <v>21146</v>
      </c>
      <c r="L5150" s="9" t="s">
        <v>17744</v>
      </c>
      <c r="M5150" s="9" t="s">
        <v>17760</v>
      </c>
      <c r="N5150" s="9" t="s">
        <v>17746</v>
      </c>
      <c r="O5150" s="9" t="s">
        <v>5790</v>
      </c>
      <c r="P5150" s="9" t="s">
        <v>17748</v>
      </c>
      <c r="Q5150" s="11" t="s">
        <v>19361</v>
      </c>
      <c r="R5150" s="11" t="s">
        <v>19361</v>
      </c>
      <c r="S5150" s="11" t="s">
        <v>17750</v>
      </c>
    </row>
    <row r="5151" spans="1:19" x14ac:dyDescent="0.2">
      <c r="A5151" s="11" t="s">
        <v>47590</v>
      </c>
      <c r="B5151" s="9" t="s">
        <v>47591</v>
      </c>
      <c r="C5151" s="9" t="s">
        <v>47592</v>
      </c>
      <c r="D5151" s="9" t="s">
        <v>47593</v>
      </c>
      <c r="E5151" s="9" t="s">
        <v>17740</v>
      </c>
      <c r="F5151" s="9" t="s">
        <v>17741</v>
      </c>
      <c r="G5151" s="9" t="s">
        <v>17740</v>
      </c>
      <c r="H5151" s="11" t="s">
        <v>17741</v>
      </c>
      <c r="I5151" s="11" t="s">
        <v>47594</v>
      </c>
      <c r="J5151" s="11" t="s">
        <v>47594</v>
      </c>
      <c r="K5151" s="9" t="s">
        <v>47595</v>
      </c>
      <c r="L5151" s="9" t="s">
        <v>18959</v>
      </c>
      <c r="M5151" s="9" t="s">
        <v>40144</v>
      </c>
      <c r="N5151" s="9" t="s">
        <v>17746</v>
      </c>
      <c r="O5151" s="9" t="s">
        <v>5790</v>
      </c>
      <c r="P5151" s="9" t="s">
        <v>17748</v>
      </c>
      <c r="Q5151" s="11" t="s">
        <v>19361</v>
      </c>
      <c r="R5151" s="11" t="s">
        <v>19361</v>
      </c>
      <c r="S5151" s="11" t="s">
        <v>17750</v>
      </c>
    </row>
    <row r="5152" spans="1:19" x14ac:dyDescent="0.2">
      <c r="A5152" s="11" t="s">
        <v>47596</v>
      </c>
      <c r="B5152" s="9" t="s">
        <v>47597</v>
      </c>
      <c r="C5152" s="9" t="s">
        <v>47598</v>
      </c>
      <c r="D5152" s="9" t="s">
        <v>47597</v>
      </c>
      <c r="E5152" s="9" t="s">
        <v>17740</v>
      </c>
      <c r="F5152" s="9" t="s">
        <v>17741</v>
      </c>
      <c r="G5152" s="9" t="s">
        <v>17740</v>
      </c>
      <c r="H5152" s="11" t="s">
        <v>47599</v>
      </c>
      <c r="I5152" s="11" t="s">
        <v>47600</v>
      </c>
      <c r="J5152" s="11" t="s">
        <v>47600</v>
      </c>
      <c r="K5152" s="9" t="s">
        <v>47601</v>
      </c>
      <c r="L5152" s="9" t="s">
        <v>17759</v>
      </c>
      <c r="M5152" s="9" t="s">
        <v>17769</v>
      </c>
      <c r="N5152" s="9" t="s">
        <v>17746</v>
      </c>
      <c r="O5152" s="9" t="s">
        <v>5790</v>
      </c>
      <c r="P5152" s="9" t="s">
        <v>17748</v>
      </c>
      <c r="Q5152" s="11" t="s">
        <v>17994</v>
      </c>
      <c r="R5152" s="11" t="s">
        <v>17994</v>
      </c>
      <c r="S5152" s="11" t="s">
        <v>17750</v>
      </c>
    </row>
    <row r="5153" spans="1:19" x14ac:dyDescent="0.2">
      <c r="A5153" s="11" t="s">
        <v>47602</v>
      </c>
      <c r="B5153" s="9" t="s">
        <v>3826</v>
      </c>
      <c r="C5153" s="9" t="s">
        <v>47603</v>
      </c>
      <c r="D5153" s="9" t="s">
        <v>3826</v>
      </c>
      <c r="E5153" s="9" t="s">
        <v>17740</v>
      </c>
      <c r="F5153" s="9" t="s">
        <v>17741</v>
      </c>
      <c r="G5153" s="9" t="s">
        <v>17740</v>
      </c>
      <c r="H5153" s="11" t="s">
        <v>3828</v>
      </c>
      <c r="I5153" s="11" t="s">
        <v>3827</v>
      </c>
      <c r="J5153" s="11" t="s">
        <v>3827</v>
      </c>
      <c r="K5153" s="9" t="s">
        <v>47604</v>
      </c>
      <c r="L5153" s="9" t="s">
        <v>17759</v>
      </c>
      <c r="M5153" s="9" t="s">
        <v>18417</v>
      </c>
      <c r="N5153" s="9" t="s">
        <v>17746</v>
      </c>
      <c r="O5153" s="9" t="s">
        <v>22476</v>
      </c>
      <c r="P5153" s="9" t="s">
        <v>17748</v>
      </c>
      <c r="Q5153" s="11" t="s">
        <v>19335</v>
      </c>
      <c r="R5153" s="11" t="s">
        <v>19335</v>
      </c>
      <c r="S5153" s="11" t="s">
        <v>17750</v>
      </c>
    </row>
    <row r="5154" spans="1:19" x14ac:dyDescent="0.2">
      <c r="A5154" s="11" t="s">
        <v>47605</v>
      </c>
      <c r="B5154" s="9" t="s">
        <v>47606</v>
      </c>
      <c r="C5154" s="9" t="s">
        <v>47607</v>
      </c>
      <c r="D5154" s="9" t="s">
        <v>47608</v>
      </c>
      <c r="E5154" s="9" t="s">
        <v>17740</v>
      </c>
      <c r="F5154" s="9" t="s">
        <v>47609</v>
      </c>
      <c r="G5154" s="9" t="s">
        <v>17740</v>
      </c>
      <c r="H5154" s="11" t="s">
        <v>8954</v>
      </c>
      <c r="I5154" s="11" t="s">
        <v>8953</v>
      </c>
      <c r="J5154" s="11" t="s">
        <v>8953</v>
      </c>
      <c r="K5154" s="9" t="s">
        <v>17783</v>
      </c>
      <c r="L5154" s="9" t="s">
        <v>18158</v>
      </c>
      <c r="M5154" s="9" t="s">
        <v>17760</v>
      </c>
      <c r="N5154" s="9" t="s">
        <v>17746</v>
      </c>
      <c r="O5154" s="9" t="s">
        <v>47610</v>
      </c>
      <c r="P5154" s="9" t="s">
        <v>17748</v>
      </c>
      <c r="Q5154" s="11" t="s">
        <v>18201</v>
      </c>
      <c r="R5154" s="11" t="s">
        <v>18201</v>
      </c>
      <c r="S5154" s="11" t="s">
        <v>17750</v>
      </c>
    </row>
    <row r="5155" spans="1:19" x14ac:dyDescent="0.2">
      <c r="A5155" s="11" t="s">
        <v>47611</v>
      </c>
      <c r="B5155" s="9" t="s">
        <v>47612</v>
      </c>
      <c r="C5155" s="9" t="s">
        <v>47613</v>
      </c>
      <c r="D5155" s="9" t="s">
        <v>47614</v>
      </c>
      <c r="E5155" s="9" t="s">
        <v>17740</v>
      </c>
      <c r="F5155" s="9" t="s">
        <v>17741</v>
      </c>
      <c r="G5155" s="9" t="s">
        <v>17740</v>
      </c>
      <c r="H5155" s="11" t="s">
        <v>8573</v>
      </c>
      <c r="I5155" s="11" t="s">
        <v>8572</v>
      </c>
      <c r="J5155" s="11" t="s">
        <v>8572</v>
      </c>
      <c r="K5155" s="9" t="s">
        <v>18661</v>
      </c>
      <c r="L5155" s="9" t="s">
        <v>18001</v>
      </c>
      <c r="M5155" s="9" t="s">
        <v>47615</v>
      </c>
      <c r="N5155" s="9" t="s">
        <v>17746</v>
      </c>
      <c r="O5155" s="9" t="s">
        <v>19127</v>
      </c>
      <c r="P5155" s="9" t="s">
        <v>17748</v>
      </c>
      <c r="Q5155" s="11" t="s">
        <v>17784</v>
      </c>
      <c r="R5155" s="11" t="s">
        <v>17784</v>
      </c>
      <c r="S5155" s="11" t="s">
        <v>17750</v>
      </c>
    </row>
    <row r="5156" spans="1:19" x14ac:dyDescent="0.2">
      <c r="A5156" s="11" t="s">
        <v>47616</v>
      </c>
      <c r="B5156" s="9" t="s">
        <v>47617</v>
      </c>
      <c r="C5156" s="9" t="s">
        <v>47618</v>
      </c>
      <c r="D5156" s="9" t="s">
        <v>47619</v>
      </c>
      <c r="E5156" s="9" t="s">
        <v>17740</v>
      </c>
      <c r="F5156" s="9" t="s">
        <v>17741</v>
      </c>
      <c r="G5156" s="9" t="s">
        <v>17740</v>
      </c>
      <c r="H5156" s="11" t="s">
        <v>7394</v>
      </c>
      <c r="I5156" s="11" t="s">
        <v>7393</v>
      </c>
      <c r="J5156" s="11" t="s">
        <v>7393</v>
      </c>
      <c r="K5156" s="9" t="s">
        <v>18921</v>
      </c>
      <c r="L5156" s="9" t="s">
        <v>17744</v>
      </c>
      <c r="M5156" s="9" t="s">
        <v>18250</v>
      </c>
      <c r="N5156" s="9" t="s">
        <v>17746</v>
      </c>
      <c r="O5156" s="9" t="s">
        <v>19127</v>
      </c>
      <c r="P5156" s="9" t="s">
        <v>17748</v>
      </c>
      <c r="Q5156" s="11" t="s">
        <v>18272</v>
      </c>
      <c r="R5156" s="11" t="s">
        <v>18272</v>
      </c>
      <c r="S5156" s="11" t="s">
        <v>17750</v>
      </c>
    </row>
    <row r="5157" spans="1:19" x14ac:dyDescent="0.2">
      <c r="A5157" s="11" t="s">
        <v>47620</v>
      </c>
      <c r="B5157" s="9" t="s">
        <v>47621</v>
      </c>
      <c r="C5157" s="9" t="s">
        <v>47622</v>
      </c>
      <c r="D5157" s="9" t="s">
        <v>47623</v>
      </c>
      <c r="E5157" s="9" t="s">
        <v>17740</v>
      </c>
      <c r="F5157" s="9" t="s">
        <v>17741</v>
      </c>
      <c r="G5157" s="9" t="s">
        <v>17740</v>
      </c>
      <c r="H5157" s="11" t="s">
        <v>47624</v>
      </c>
      <c r="I5157" s="11" t="s">
        <v>47625</v>
      </c>
      <c r="J5157" s="11" t="s">
        <v>47625</v>
      </c>
      <c r="K5157" s="9" t="s">
        <v>18712</v>
      </c>
      <c r="L5157" s="9" t="s">
        <v>18158</v>
      </c>
      <c r="M5157" s="9" t="s">
        <v>47626</v>
      </c>
      <c r="N5157" s="9" t="s">
        <v>17746</v>
      </c>
      <c r="O5157" s="9" t="s">
        <v>33995</v>
      </c>
      <c r="P5157" s="9" t="s">
        <v>17748</v>
      </c>
      <c r="Q5157" s="11" t="s">
        <v>17984</v>
      </c>
      <c r="R5157" s="11" t="s">
        <v>17984</v>
      </c>
      <c r="S5157" s="11" t="s">
        <v>17750</v>
      </c>
    </row>
    <row r="5158" spans="1:19" x14ac:dyDescent="0.2">
      <c r="A5158" s="11" t="s">
        <v>47627</v>
      </c>
      <c r="B5158" s="9" t="s">
        <v>15234</v>
      </c>
      <c r="C5158" s="9" t="s">
        <v>47628</v>
      </c>
      <c r="D5158" s="9" t="s">
        <v>15234</v>
      </c>
      <c r="E5158" s="9" t="s">
        <v>17740</v>
      </c>
      <c r="F5158" s="9" t="s">
        <v>17741</v>
      </c>
      <c r="G5158" s="9" t="s">
        <v>17740</v>
      </c>
      <c r="H5158" s="11" t="s">
        <v>15236</v>
      </c>
      <c r="I5158" s="11" t="s">
        <v>15235</v>
      </c>
      <c r="J5158" s="11" t="s">
        <v>15235</v>
      </c>
      <c r="K5158" s="9" t="s">
        <v>10332</v>
      </c>
      <c r="L5158" s="9" t="s">
        <v>17759</v>
      </c>
      <c r="M5158" s="9" t="s">
        <v>17769</v>
      </c>
      <c r="N5158" s="9" t="s">
        <v>17746</v>
      </c>
      <c r="O5158" s="9" t="s">
        <v>22302</v>
      </c>
      <c r="P5158" s="9" t="s">
        <v>17748</v>
      </c>
      <c r="Q5158" s="11" t="s">
        <v>17900</v>
      </c>
      <c r="R5158" s="11" t="s">
        <v>17900</v>
      </c>
      <c r="S5158" s="11" t="s">
        <v>17750</v>
      </c>
    </row>
    <row r="5159" spans="1:19" x14ac:dyDescent="0.2">
      <c r="A5159" s="11" t="s">
        <v>47629</v>
      </c>
      <c r="B5159" s="9" t="s">
        <v>47630</v>
      </c>
      <c r="C5159" s="9" t="s">
        <v>47631</v>
      </c>
      <c r="D5159" s="9" t="s">
        <v>47632</v>
      </c>
      <c r="E5159" s="9" t="s">
        <v>17740</v>
      </c>
      <c r="F5159" s="9" t="s">
        <v>47633</v>
      </c>
      <c r="G5159" s="9" t="s">
        <v>17740</v>
      </c>
      <c r="H5159" s="11" t="s">
        <v>17741</v>
      </c>
      <c r="I5159" s="11" t="s">
        <v>47634</v>
      </c>
      <c r="J5159" s="11" t="s">
        <v>47634</v>
      </c>
      <c r="K5159" s="9" t="s">
        <v>47635</v>
      </c>
      <c r="L5159" s="9" t="s">
        <v>17759</v>
      </c>
      <c r="M5159" s="9" t="s">
        <v>47636</v>
      </c>
      <c r="N5159" s="9" t="s">
        <v>17746</v>
      </c>
      <c r="O5159" s="9" t="s">
        <v>26177</v>
      </c>
      <c r="P5159" s="9" t="s">
        <v>17748</v>
      </c>
      <c r="Q5159" s="11" t="s">
        <v>18147</v>
      </c>
      <c r="R5159" s="11" t="s">
        <v>18147</v>
      </c>
      <c r="S5159" s="11" t="s">
        <v>17750</v>
      </c>
    </row>
    <row r="5160" spans="1:19" x14ac:dyDescent="0.2">
      <c r="A5160" s="11" t="s">
        <v>47637</v>
      </c>
      <c r="B5160" s="9" t="s">
        <v>47638</v>
      </c>
      <c r="C5160" s="9" t="s">
        <v>47639</v>
      </c>
      <c r="D5160" s="9" t="s">
        <v>47640</v>
      </c>
      <c r="E5160" s="9" t="s">
        <v>17740</v>
      </c>
      <c r="F5160" s="9" t="s">
        <v>17741</v>
      </c>
      <c r="G5160" s="9" t="s">
        <v>17740</v>
      </c>
      <c r="H5160" s="11" t="s">
        <v>47641</v>
      </c>
      <c r="I5160" s="11" t="s">
        <v>47642</v>
      </c>
      <c r="J5160" s="11" t="s">
        <v>47642</v>
      </c>
      <c r="K5160" s="9" t="s">
        <v>47643</v>
      </c>
      <c r="L5160" s="9" t="s">
        <v>17744</v>
      </c>
      <c r="M5160" s="9" t="s">
        <v>17760</v>
      </c>
      <c r="N5160" s="9" t="s">
        <v>17746</v>
      </c>
      <c r="O5160" s="9" t="s">
        <v>47644</v>
      </c>
      <c r="P5160" s="9" t="s">
        <v>17748</v>
      </c>
      <c r="Q5160" s="11" t="s">
        <v>17762</v>
      </c>
      <c r="R5160" s="11" t="s">
        <v>17762</v>
      </c>
      <c r="S5160" s="11" t="s">
        <v>17750</v>
      </c>
    </row>
    <row r="5161" spans="1:19" x14ac:dyDescent="0.2">
      <c r="A5161" s="11" t="s">
        <v>47645</v>
      </c>
      <c r="B5161" s="9" t="s">
        <v>47646</v>
      </c>
      <c r="C5161" s="9" t="s">
        <v>47647</v>
      </c>
      <c r="D5161" s="9" t="s">
        <v>47648</v>
      </c>
      <c r="E5161" s="9" t="s">
        <v>17740</v>
      </c>
      <c r="F5161" s="9" t="s">
        <v>17741</v>
      </c>
      <c r="G5161" s="9" t="s">
        <v>17740</v>
      </c>
      <c r="H5161" s="11" t="s">
        <v>47649</v>
      </c>
      <c r="I5161" s="11" t="s">
        <v>47650</v>
      </c>
      <c r="J5161" s="11" t="s">
        <v>47650</v>
      </c>
      <c r="K5161" s="9" t="s">
        <v>689</v>
      </c>
      <c r="L5161" s="9" t="s">
        <v>17744</v>
      </c>
      <c r="M5161" s="9" t="s">
        <v>18533</v>
      </c>
      <c r="N5161" s="9" t="s">
        <v>17746</v>
      </c>
      <c r="O5161" s="9" t="s">
        <v>47644</v>
      </c>
      <c r="P5161" s="9" t="s">
        <v>17748</v>
      </c>
      <c r="Q5161" s="11" t="s">
        <v>17762</v>
      </c>
      <c r="R5161" s="11" t="s">
        <v>17762</v>
      </c>
      <c r="S5161" s="11" t="s">
        <v>17750</v>
      </c>
    </row>
    <row r="5162" spans="1:19" x14ac:dyDescent="0.2">
      <c r="A5162" s="11" t="s">
        <v>47651</v>
      </c>
      <c r="B5162" s="9" t="s">
        <v>47652</v>
      </c>
      <c r="C5162" s="9" t="s">
        <v>47653</v>
      </c>
      <c r="D5162" s="9" t="s">
        <v>47654</v>
      </c>
      <c r="E5162" s="9" t="s">
        <v>17740</v>
      </c>
      <c r="F5162" s="9" t="s">
        <v>47655</v>
      </c>
      <c r="G5162" s="9" t="s">
        <v>17740</v>
      </c>
      <c r="H5162" s="11" t="s">
        <v>47656</v>
      </c>
      <c r="I5162" s="11" t="s">
        <v>47657</v>
      </c>
      <c r="J5162" s="11" t="s">
        <v>47657</v>
      </c>
      <c r="K5162" s="9" t="s">
        <v>17790</v>
      </c>
      <c r="L5162" s="9" t="s">
        <v>18158</v>
      </c>
      <c r="M5162" s="9" t="s">
        <v>18289</v>
      </c>
      <c r="N5162" s="9" t="s">
        <v>17746</v>
      </c>
      <c r="O5162" s="9" t="s">
        <v>47658</v>
      </c>
      <c r="P5162" s="9" t="s">
        <v>17748</v>
      </c>
      <c r="Q5162" s="11" t="s">
        <v>18678</v>
      </c>
      <c r="R5162" s="11" t="s">
        <v>18678</v>
      </c>
      <c r="S5162" s="11" t="s">
        <v>17750</v>
      </c>
    </row>
    <row r="5163" spans="1:19" x14ac:dyDescent="0.2">
      <c r="A5163" s="11" t="s">
        <v>47659</v>
      </c>
      <c r="B5163" s="9" t="s">
        <v>47660</v>
      </c>
      <c r="C5163" s="9" t="s">
        <v>47661</v>
      </c>
      <c r="D5163" s="9" t="s">
        <v>47662</v>
      </c>
      <c r="E5163" s="9" t="s">
        <v>17740</v>
      </c>
      <c r="F5163" s="9" t="s">
        <v>47663</v>
      </c>
      <c r="G5163" s="9" t="s">
        <v>17740</v>
      </c>
      <c r="H5163" s="11" t="s">
        <v>3851</v>
      </c>
      <c r="I5163" s="11" t="s">
        <v>3850</v>
      </c>
      <c r="J5163" s="11" t="s">
        <v>3850</v>
      </c>
      <c r="K5163" s="9" t="s">
        <v>25921</v>
      </c>
      <c r="L5163" s="9" t="s">
        <v>17744</v>
      </c>
      <c r="M5163" s="9" t="s">
        <v>20172</v>
      </c>
      <c r="N5163" s="9" t="s">
        <v>17746</v>
      </c>
      <c r="O5163" s="9" t="s">
        <v>47664</v>
      </c>
      <c r="P5163" s="9" t="s">
        <v>17748</v>
      </c>
      <c r="Q5163" s="11" t="s">
        <v>19515</v>
      </c>
      <c r="R5163" s="11" t="s">
        <v>19515</v>
      </c>
      <c r="S5163" s="11" t="s">
        <v>17750</v>
      </c>
    </row>
    <row r="5164" spans="1:19" x14ac:dyDescent="0.2">
      <c r="A5164" s="11" t="s">
        <v>47665</v>
      </c>
      <c r="B5164" s="9" t="s">
        <v>47666</v>
      </c>
      <c r="C5164" s="9" t="s">
        <v>47667</v>
      </c>
      <c r="D5164" s="9" t="s">
        <v>47668</v>
      </c>
      <c r="E5164" s="9" t="s">
        <v>17740</v>
      </c>
      <c r="F5164" s="9" t="s">
        <v>17741</v>
      </c>
      <c r="G5164" s="9" t="s">
        <v>17740</v>
      </c>
      <c r="H5164" s="11" t="s">
        <v>17741</v>
      </c>
      <c r="I5164" s="11" t="s">
        <v>47669</v>
      </c>
      <c r="J5164" s="11" t="s">
        <v>47669</v>
      </c>
      <c r="K5164" s="9" t="s">
        <v>601</v>
      </c>
      <c r="L5164" s="9" t="s">
        <v>17759</v>
      </c>
      <c r="M5164" s="9" t="s">
        <v>17760</v>
      </c>
      <c r="N5164" s="9" t="s">
        <v>17746</v>
      </c>
      <c r="O5164" s="9" t="s">
        <v>19235</v>
      </c>
      <c r="P5164" s="9" t="s">
        <v>17748</v>
      </c>
      <c r="Q5164" s="11" t="s">
        <v>19082</v>
      </c>
      <c r="R5164" s="11" t="s">
        <v>19082</v>
      </c>
      <c r="S5164" s="11" t="s">
        <v>17750</v>
      </c>
    </row>
    <row r="5165" spans="1:19" x14ac:dyDescent="0.2">
      <c r="A5165" s="11" t="s">
        <v>47670</v>
      </c>
      <c r="B5165" s="9" t="s">
        <v>47671</v>
      </c>
      <c r="C5165" s="9" t="s">
        <v>47672</v>
      </c>
      <c r="D5165" s="9" t="s">
        <v>47673</v>
      </c>
      <c r="E5165" s="9" t="s">
        <v>17740</v>
      </c>
      <c r="F5165" s="9" t="s">
        <v>47674</v>
      </c>
      <c r="G5165" s="9" t="s">
        <v>17740</v>
      </c>
      <c r="H5165" s="11" t="s">
        <v>17741</v>
      </c>
      <c r="I5165" s="11" t="s">
        <v>47675</v>
      </c>
      <c r="J5165" s="11" t="s">
        <v>47675</v>
      </c>
      <c r="K5165" s="9" t="s">
        <v>47676</v>
      </c>
      <c r="L5165" s="9" t="s">
        <v>17759</v>
      </c>
      <c r="M5165" s="9" t="s">
        <v>17760</v>
      </c>
      <c r="N5165" s="9" t="s">
        <v>17746</v>
      </c>
      <c r="O5165" s="9" t="s">
        <v>1802</v>
      </c>
      <c r="P5165" s="9" t="s">
        <v>17748</v>
      </c>
      <c r="Q5165" s="11" t="s">
        <v>21578</v>
      </c>
      <c r="R5165" s="11" t="s">
        <v>21578</v>
      </c>
      <c r="S5165" s="11" t="s">
        <v>17750</v>
      </c>
    </row>
    <row r="5166" spans="1:19" x14ac:dyDescent="0.2">
      <c r="A5166" s="11" t="s">
        <v>47677</v>
      </c>
      <c r="B5166" s="9" t="s">
        <v>47678</v>
      </c>
      <c r="C5166" s="9" t="s">
        <v>47679</v>
      </c>
      <c r="D5166" s="9" t="s">
        <v>47680</v>
      </c>
      <c r="E5166" s="9" t="s">
        <v>17740</v>
      </c>
      <c r="F5166" s="9" t="s">
        <v>47681</v>
      </c>
      <c r="G5166" s="9" t="s">
        <v>17740</v>
      </c>
      <c r="H5166" s="11" t="s">
        <v>47682</v>
      </c>
      <c r="I5166" s="11" t="s">
        <v>47683</v>
      </c>
      <c r="J5166" s="11" t="s">
        <v>47683</v>
      </c>
      <c r="K5166" s="9" t="s">
        <v>19447</v>
      </c>
      <c r="L5166" s="9" t="s">
        <v>17759</v>
      </c>
      <c r="M5166" s="9" t="s">
        <v>18065</v>
      </c>
      <c r="N5166" s="9" t="s">
        <v>17746</v>
      </c>
      <c r="O5166" s="9" t="s">
        <v>19235</v>
      </c>
      <c r="P5166" s="9" t="s">
        <v>17748</v>
      </c>
      <c r="Q5166" s="11" t="s">
        <v>18608</v>
      </c>
      <c r="R5166" s="11" t="s">
        <v>18608</v>
      </c>
      <c r="S5166" s="11" t="s">
        <v>17750</v>
      </c>
    </row>
    <row r="5167" spans="1:19" x14ac:dyDescent="0.2">
      <c r="A5167" s="11" t="s">
        <v>47684</v>
      </c>
      <c r="B5167" s="9" t="s">
        <v>47685</v>
      </c>
      <c r="C5167" s="9" t="s">
        <v>47686</v>
      </c>
      <c r="D5167" s="9" t="s">
        <v>47687</v>
      </c>
      <c r="E5167" s="9" t="s">
        <v>17740</v>
      </c>
      <c r="F5167" s="9" t="s">
        <v>47688</v>
      </c>
      <c r="G5167" s="9" t="s">
        <v>17740</v>
      </c>
      <c r="H5167" s="11" t="s">
        <v>47689</v>
      </c>
      <c r="I5167" s="11" t="s">
        <v>47690</v>
      </c>
      <c r="J5167" s="11" t="s">
        <v>47690</v>
      </c>
      <c r="K5167" s="9" t="s">
        <v>55</v>
      </c>
      <c r="L5167" s="9" t="s">
        <v>17759</v>
      </c>
      <c r="M5167" s="9" t="s">
        <v>47691</v>
      </c>
      <c r="N5167" s="9" t="s">
        <v>17746</v>
      </c>
      <c r="O5167" s="9" t="s">
        <v>23651</v>
      </c>
      <c r="P5167" s="9" t="s">
        <v>17748</v>
      </c>
      <c r="Q5167" s="11" t="s">
        <v>18234</v>
      </c>
      <c r="R5167" s="11" t="s">
        <v>18234</v>
      </c>
      <c r="S5167" s="11" t="s">
        <v>17750</v>
      </c>
    </row>
    <row r="5168" spans="1:19" x14ac:dyDescent="0.2">
      <c r="A5168" s="11" t="s">
        <v>47692</v>
      </c>
      <c r="B5168" s="9" t="s">
        <v>47693</v>
      </c>
      <c r="C5168" s="9" t="s">
        <v>47694</v>
      </c>
      <c r="D5168" s="9" t="s">
        <v>47695</v>
      </c>
      <c r="E5168" s="9" t="s">
        <v>17740</v>
      </c>
      <c r="F5168" s="9" t="s">
        <v>17741</v>
      </c>
      <c r="G5168" s="9" t="s">
        <v>17740</v>
      </c>
      <c r="H5168" s="11" t="s">
        <v>47696</v>
      </c>
      <c r="I5168" s="11" t="s">
        <v>47697</v>
      </c>
      <c r="J5168" s="11" t="s">
        <v>47697</v>
      </c>
      <c r="K5168" s="9" t="s">
        <v>689</v>
      </c>
      <c r="L5168" s="9" t="s">
        <v>17759</v>
      </c>
      <c r="M5168" s="9" t="s">
        <v>17760</v>
      </c>
      <c r="N5168" s="9" t="s">
        <v>17746</v>
      </c>
      <c r="O5168" s="9" t="s">
        <v>47664</v>
      </c>
      <c r="P5168" s="9" t="s">
        <v>17748</v>
      </c>
      <c r="Q5168" s="11" t="s">
        <v>18608</v>
      </c>
      <c r="R5168" s="11" t="s">
        <v>18608</v>
      </c>
      <c r="S5168" s="11" t="s">
        <v>17750</v>
      </c>
    </row>
    <row r="5169" spans="1:19" x14ac:dyDescent="0.2">
      <c r="A5169" s="11" t="s">
        <v>47698</v>
      </c>
      <c r="B5169" s="9" t="s">
        <v>47699</v>
      </c>
      <c r="C5169" s="9" t="s">
        <v>47700</v>
      </c>
      <c r="D5169" s="9" t="s">
        <v>47701</v>
      </c>
      <c r="E5169" s="9" t="s">
        <v>17748</v>
      </c>
      <c r="F5169" s="9" t="s">
        <v>47702</v>
      </c>
      <c r="G5169" s="9" t="s">
        <v>17740</v>
      </c>
      <c r="H5169" s="11" t="s">
        <v>47703</v>
      </c>
      <c r="I5169" s="11" t="s">
        <v>47704</v>
      </c>
      <c r="J5169" s="11" t="s">
        <v>47703</v>
      </c>
      <c r="K5169" s="9" t="s">
        <v>689</v>
      </c>
      <c r="L5169" s="9" t="s">
        <v>17759</v>
      </c>
      <c r="M5169" s="9" t="s">
        <v>17769</v>
      </c>
      <c r="N5169" s="9" t="s">
        <v>17746</v>
      </c>
      <c r="O5169" s="9" t="s">
        <v>3524</v>
      </c>
      <c r="P5169" s="9" t="s">
        <v>17748</v>
      </c>
      <c r="Q5169" s="11" t="s">
        <v>17917</v>
      </c>
      <c r="R5169" s="11" t="s">
        <v>17917</v>
      </c>
      <c r="S5169" s="11" t="s">
        <v>17750</v>
      </c>
    </row>
    <row r="5170" spans="1:19" x14ac:dyDescent="0.2">
      <c r="A5170" s="11" t="s">
        <v>47705</v>
      </c>
      <c r="B5170" s="9" t="s">
        <v>47706</v>
      </c>
      <c r="C5170" s="9" t="s">
        <v>47707</v>
      </c>
      <c r="D5170" s="9" t="s">
        <v>47708</v>
      </c>
      <c r="E5170" s="9" t="s">
        <v>17748</v>
      </c>
      <c r="F5170" s="9" t="s">
        <v>47709</v>
      </c>
      <c r="G5170" s="9" t="s">
        <v>17740</v>
      </c>
      <c r="H5170" s="11" t="s">
        <v>17741</v>
      </c>
      <c r="I5170" s="11" t="s">
        <v>17741</v>
      </c>
      <c r="J5170" s="11" t="s">
        <v>17741</v>
      </c>
      <c r="K5170" s="9" t="s">
        <v>47710</v>
      </c>
      <c r="L5170" s="9" t="s">
        <v>17744</v>
      </c>
      <c r="M5170" s="9" t="s">
        <v>17942</v>
      </c>
      <c r="N5170" s="9" t="s">
        <v>17746</v>
      </c>
      <c r="O5170" s="9" t="s">
        <v>19067</v>
      </c>
      <c r="P5170" s="9" t="s">
        <v>17748</v>
      </c>
      <c r="Q5170" s="11" t="s">
        <v>17762</v>
      </c>
      <c r="R5170" s="11" t="s">
        <v>17762</v>
      </c>
      <c r="S5170" s="11" t="s">
        <v>17750</v>
      </c>
    </row>
    <row r="5171" spans="1:19" x14ac:dyDescent="0.2">
      <c r="A5171" s="11" t="s">
        <v>47711</v>
      </c>
      <c r="B5171" s="9" t="s">
        <v>47712</v>
      </c>
      <c r="C5171" s="9" t="s">
        <v>47713</v>
      </c>
      <c r="D5171" s="9" t="s">
        <v>47714</v>
      </c>
      <c r="E5171" s="9" t="s">
        <v>17740</v>
      </c>
      <c r="F5171" s="9" t="s">
        <v>17741</v>
      </c>
      <c r="G5171" s="9" t="s">
        <v>17740</v>
      </c>
      <c r="H5171" s="11" t="s">
        <v>47715</v>
      </c>
      <c r="I5171" s="11" t="s">
        <v>47716</v>
      </c>
      <c r="J5171" s="11" t="s">
        <v>47716</v>
      </c>
      <c r="K5171" s="9" t="s">
        <v>296</v>
      </c>
      <c r="L5171" s="9" t="s">
        <v>17744</v>
      </c>
      <c r="M5171" s="9" t="s">
        <v>42274</v>
      </c>
      <c r="N5171" s="9" t="s">
        <v>17746</v>
      </c>
      <c r="O5171" s="9" t="s">
        <v>23651</v>
      </c>
      <c r="P5171" s="9" t="s">
        <v>17748</v>
      </c>
      <c r="Q5171" s="11" t="s">
        <v>18251</v>
      </c>
      <c r="R5171" s="11" t="s">
        <v>18251</v>
      </c>
      <c r="S5171" s="11" t="s">
        <v>17750</v>
      </c>
    </row>
    <row r="5172" spans="1:19" x14ac:dyDescent="0.2">
      <c r="A5172" s="11" t="s">
        <v>47717</v>
      </c>
      <c r="B5172" s="9" t="s">
        <v>47718</v>
      </c>
      <c r="C5172" s="9" t="s">
        <v>47719</v>
      </c>
      <c r="D5172" s="9" t="s">
        <v>47720</v>
      </c>
      <c r="E5172" s="9" t="s">
        <v>17740</v>
      </c>
      <c r="F5172" s="9" t="s">
        <v>17741</v>
      </c>
      <c r="G5172" s="9" t="s">
        <v>17740</v>
      </c>
      <c r="H5172" s="11" t="s">
        <v>17741</v>
      </c>
      <c r="I5172" s="11" t="s">
        <v>47721</v>
      </c>
      <c r="J5172" s="11" t="s">
        <v>47721</v>
      </c>
      <c r="K5172" s="9" t="s">
        <v>20386</v>
      </c>
      <c r="L5172" s="9" t="s">
        <v>20359</v>
      </c>
      <c r="M5172" s="9" t="s">
        <v>18250</v>
      </c>
      <c r="N5172" s="9" t="s">
        <v>18042</v>
      </c>
      <c r="O5172" s="9" t="s">
        <v>30100</v>
      </c>
      <c r="P5172" s="9" t="s">
        <v>17748</v>
      </c>
      <c r="Q5172" s="11" t="s">
        <v>18201</v>
      </c>
      <c r="R5172" s="11" t="s">
        <v>18201</v>
      </c>
      <c r="S5172" s="11" t="s">
        <v>17750</v>
      </c>
    </row>
    <row r="5173" spans="1:19" x14ac:dyDescent="0.2">
      <c r="A5173" s="11" t="s">
        <v>47722</v>
      </c>
      <c r="B5173" s="9" t="s">
        <v>47723</v>
      </c>
      <c r="C5173" s="9" t="s">
        <v>47724</v>
      </c>
      <c r="D5173" s="9" t="s">
        <v>47725</v>
      </c>
      <c r="E5173" s="9" t="s">
        <v>17748</v>
      </c>
      <c r="F5173" s="9" t="s">
        <v>47726</v>
      </c>
      <c r="G5173" s="9" t="s">
        <v>17740</v>
      </c>
      <c r="H5173" s="11" t="s">
        <v>17741</v>
      </c>
      <c r="I5173" s="11" t="s">
        <v>47727</v>
      </c>
      <c r="J5173" s="11" t="s">
        <v>47727</v>
      </c>
      <c r="K5173" s="9" t="s">
        <v>20386</v>
      </c>
      <c r="L5173" s="9" t="s">
        <v>20359</v>
      </c>
      <c r="M5173" s="9" t="s">
        <v>17769</v>
      </c>
      <c r="N5173" s="9" t="s">
        <v>18042</v>
      </c>
      <c r="O5173" s="9" t="s">
        <v>33366</v>
      </c>
      <c r="P5173" s="9" t="s">
        <v>17748</v>
      </c>
      <c r="Q5173" s="11" t="s">
        <v>19361</v>
      </c>
      <c r="R5173" s="11" t="s">
        <v>19361</v>
      </c>
      <c r="S5173" s="11" t="s">
        <v>17750</v>
      </c>
    </row>
    <row r="5174" spans="1:19" x14ac:dyDescent="0.2">
      <c r="A5174" s="11" t="s">
        <v>47728</v>
      </c>
      <c r="B5174" s="9" t="s">
        <v>47729</v>
      </c>
      <c r="C5174" s="9" t="s">
        <v>47730</v>
      </c>
      <c r="D5174" s="9" t="s">
        <v>47731</v>
      </c>
      <c r="E5174" s="9" t="s">
        <v>17740</v>
      </c>
      <c r="F5174" s="9" t="s">
        <v>17741</v>
      </c>
      <c r="G5174" s="9" t="s">
        <v>17740</v>
      </c>
      <c r="H5174" s="11" t="s">
        <v>17741</v>
      </c>
      <c r="I5174" s="11" t="s">
        <v>47732</v>
      </c>
      <c r="J5174" s="11" t="s">
        <v>47732</v>
      </c>
      <c r="K5174" s="9" t="s">
        <v>20386</v>
      </c>
      <c r="L5174" s="9" t="s">
        <v>20359</v>
      </c>
      <c r="M5174" s="9" t="s">
        <v>19965</v>
      </c>
      <c r="N5174" s="9" t="s">
        <v>18042</v>
      </c>
      <c r="O5174" s="9" t="s">
        <v>21416</v>
      </c>
      <c r="P5174" s="9" t="s">
        <v>17748</v>
      </c>
      <c r="Q5174" s="11" t="s">
        <v>19222</v>
      </c>
      <c r="R5174" s="11" t="s">
        <v>19222</v>
      </c>
      <c r="S5174" s="11" t="s">
        <v>17750</v>
      </c>
    </row>
    <row r="5175" spans="1:19" x14ac:dyDescent="0.2">
      <c r="A5175" s="11" t="s">
        <v>47733</v>
      </c>
      <c r="B5175" s="9" t="s">
        <v>47734</v>
      </c>
      <c r="C5175" s="9" t="s">
        <v>47735</v>
      </c>
      <c r="D5175" s="9" t="s">
        <v>47736</v>
      </c>
      <c r="E5175" s="9" t="s">
        <v>17740</v>
      </c>
      <c r="F5175" s="9" t="s">
        <v>17741</v>
      </c>
      <c r="G5175" s="9" t="s">
        <v>17740</v>
      </c>
      <c r="H5175" s="11" t="s">
        <v>17741</v>
      </c>
      <c r="I5175" s="11" t="s">
        <v>47737</v>
      </c>
      <c r="J5175" s="11" t="s">
        <v>47737</v>
      </c>
      <c r="K5175" s="9" t="s">
        <v>20380</v>
      </c>
      <c r="L5175" s="9" t="s">
        <v>20359</v>
      </c>
      <c r="M5175" s="9" t="s">
        <v>19168</v>
      </c>
      <c r="N5175" s="9" t="s">
        <v>18042</v>
      </c>
      <c r="O5175" s="9" t="s">
        <v>17800</v>
      </c>
      <c r="P5175" s="9" t="s">
        <v>17748</v>
      </c>
      <c r="Q5175" s="11" t="s">
        <v>18234</v>
      </c>
      <c r="R5175" s="11" t="s">
        <v>18234</v>
      </c>
      <c r="S5175" s="11" t="s">
        <v>17750</v>
      </c>
    </row>
    <row r="5176" spans="1:19" x14ac:dyDescent="0.2">
      <c r="A5176" s="11" t="s">
        <v>47738</v>
      </c>
      <c r="B5176" s="9" t="s">
        <v>47739</v>
      </c>
      <c r="C5176" s="9" t="s">
        <v>47740</v>
      </c>
      <c r="D5176" s="9" t="s">
        <v>47741</v>
      </c>
      <c r="E5176" s="9" t="s">
        <v>17740</v>
      </c>
      <c r="F5176" s="9" t="s">
        <v>17741</v>
      </c>
      <c r="G5176" s="9" t="s">
        <v>17740</v>
      </c>
      <c r="H5176" s="11" t="s">
        <v>47742</v>
      </c>
      <c r="I5176" s="11" t="s">
        <v>47743</v>
      </c>
      <c r="J5176" s="11" t="s">
        <v>47743</v>
      </c>
      <c r="K5176" s="9" t="s">
        <v>91</v>
      </c>
      <c r="L5176" s="9" t="s">
        <v>18001</v>
      </c>
      <c r="M5176" s="9" t="s">
        <v>18812</v>
      </c>
      <c r="N5176" s="9" t="s">
        <v>17746</v>
      </c>
      <c r="O5176" s="9" t="s">
        <v>20618</v>
      </c>
      <c r="P5176" s="9" t="s">
        <v>17748</v>
      </c>
      <c r="Q5176" s="11" t="s">
        <v>18147</v>
      </c>
      <c r="R5176" s="11" t="s">
        <v>18147</v>
      </c>
      <c r="S5176" s="11" t="s">
        <v>17750</v>
      </c>
    </row>
    <row r="5177" spans="1:19" x14ac:dyDescent="0.2">
      <c r="A5177" s="11" t="s">
        <v>47744</v>
      </c>
      <c r="B5177" s="9" t="s">
        <v>47745</v>
      </c>
      <c r="C5177" s="9" t="s">
        <v>47746</v>
      </c>
      <c r="D5177" s="9" t="s">
        <v>47747</v>
      </c>
      <c r="E5177" s="9" t="s">
        <v>17740</v>
      </c>
      <c r="F5177" s="9" t="s">
        <v>47748</v>
      </c>
      <c r="G5177" s="9" t="s">
        <v>17740</v>
      </c>
      <c r="H5177" s="11" t="s">
        <v>47749</v>
      </c>
      <c r="I5177" s="11" t="s">
        <v>47750</v>
      </c>
      <c r="J5177" s="11" t="s">
        <v>47750</v>
      </c>
      <c r="K5177" s="9" t="s">
        <v>291</v>
      </c>
      <c r="L5177" s="9" t="s">
        <v>17744</v>
      </c>
      <c r="M5177" s="9" t="s">
        <v>17760</v>
      </c>
      <c r="N5177" s="9" t="s">
        <v>17746</v>
      </c>
      <c r="O5177" s="9" t="s">
        <v>19127</v>
      </c>
      <c r="P5177" s="9" t="s">
        <v>17748</v>
      </c>
      <c r="Q5177" s="11" t="s">
        <v>18678</v>
      </c>
      <c r="R5177" s="11" t="s">
        <v>18678</v>
      </c>
      <c r="S5177" s="11" t="s">
        <v>17750</v>
      </c>
    </row>
    <row r="5178" spans="1:19" x14ac:dyDescent="0.2">
      <c r="A5178" s="11" t="s">
        <v>47751</v>
      </c>
      <c r="B5178" s="9" t="s">
        <v>47752</v>
      </c>
      <c r="C5178" s="9" t="s">
        <v>47753</v>
      </c>
      <c r="D5178" s="9" t="s">
        <v>47754</v>
      </c>
      <c r="E5178" s="9" t="s">
        <v>17740</v>
      </c>
      <c r="F5178" s="9" t="s">
        <v>17741</v>
      </c>
      <c r="G5178" s="9" t="s">
        <v>17740</v>
      </c>
      <c r="H5178" s="11" t="s">
        <v>17741</v>
      </c>
      <c r="I5178" s="11" t="s">
        <v>47755</v>
      </c>
      <c r="J5178" s="11" t="s">
        <v>47755</v>
      </c>
      <c r="K5178" s="9" t="s">
        <v>47756</v>
      </c>
      <c r="L5178" s="9" t="s">
        <v>18025</v>
      </c>
      <c r="M5178" s="9" t="s">
        <v>17760</v>
      </c>
      <c r="N5178" s="9" t="s">
        <v>18026</v>
      </c>
      <c r="O5178" s="9" t="s">
        <v>19275</v>
      </c>
      <c r="P5178" s="9" t="s">
        <v>17748</v>
      </c>
      <c r="Q5178" s="11" t="s">
        <v>18234</v>
      </c>
      <c r="R5178" s="11" t="s">
        <v>18234</v>
      </c>
      <c r="S5178" s="11" t="s">
        <v>17750</v>
      </c>
    </row>
    <row r="5179" spans="1:19" x14ac:dyDescent="0.2">
      <c r="A5179" s="11" t="s">
        <v>47757</v>
      </c>
      <c r="B5179" s="9" t="s">
        <v>47758</v>
      </c>
      <c r="C5179" s="9" t="s">
        <v>47759</v>
      </c>
      <c r="D5179" s="9" t="s">
        <v>47760</v>
      </c>
      <c r="E5179" s="9" t="s">
        <v>17740</v>
      </c>
      <c r="F5179" s="9" t="s">
        <v>47761</v>
      </c>
      <c r="G5179" s="9" t="s">
        <v>17740</v>
      </c>
      <c r="H5179" s="11" t="s">
        <v>17741</v>
      </c>
      <c r="I5179" s="11" t="s">
        <v>47762</v>
      </c>
      <c r="J5179" s="11" t="s">
        <v>47762</v>
      </c>
      <c r="K5179" s="9" t="s">
        <v>47763</v>
      </c>
      <c r="L5179" s="9" t="s">
        <v>24311</v>
      </c>
      <c r="M5179" s="9" t="s">
        <v>18745</v>
      </c>
      <c r="N5179" s="9" t="s">
        <v>26364</v>
      </c>
      <c r="O5179" s="9" t="s">
        <v>25739</v>
      </c>
      <c r="P5179" s="9" t="s">
        <v>17748</v>
      </c>
      <c r="Q5179" s="11" t="s">
        <v>18600</v>
      </c>
      <c r="R5179" s="11" t="s">
        <v>18600</v>
      </c>
      <c r="S5179" s="11" t="s">
        <v>17750</v>
      </c>
    </row>
    <row r="5180" spans="1:19" x14ac:dyDescent="0.2">
      <c r="A5180" s="11" t="s">
        <v>47764</v>
      </c>
      <c r="B5180" s="9" t="s">
        <v>47765</v>
      </c>
      <c r="C5180" s="9" t="s">
        <v>47766</v>
      </c>
      <c r="D5180" s="9" t="s">
        <v>47767</v>
      </c>
      <c r="E5180" s="9" t="s">
        <v>17740</v>
      </c>
      <c r="F5180" s="9" t="s">
        <v>17741</v>
      </c>
      <c r="G5180" s="9" t="s">
        <v>17740</v>
      </c>
      <c r="H5180" s="11" t="s">
        <v>17741</v>
      </c>
      <c r="I5180" s="11" t="s">
        <v>47768</v>
      </c>
      <c r="J5180" s="11" t="s">
        <v>47768</v>
      </c>
      <c r="K5180" s="9" t="s">
        <v>47769</v>
      </c>
      <c r="L5180" s="9" t="s">
        <v>24311</v>
      </c>
      <c r="M5180" s="9" t="s">
        <v>17778</v>
      </c>
      <c r="N5180" s="9" t="s">
        <v>17746</v>
      </c>
      <c r="O5180" s="9" t="s">
        <v>18035</v>
      </c>
      <c r="P5180" s="9" t="s">
        <v>17748</v>
      </c>
      <c r="Q5180" s="11" t="s">
        <v>17849</v>
      </c>
      <c r="R5180" s="11" t="s">
        <v>17849</v>
      </c>
      <c r="S5180" s="11" t="s">
        <v>17750</v>
      </c>
    </row>
    <row r="5181" spans="1:19" x14ac:dyDescent="0.2">
      <c r="A5181" s="11" t="s">
        <v>47770</v>
      </c>
      <c r="B5181" s="9" t="s">
        <v>47771</v>
      </c>
      <c r="C5181" s="9" t="s">
        <v>47772</v>
      </c>
      <c r="D5181" s="9" t="s">
        <v>47773</v>
      </c>
      <c r="E5181" s="9" t="s">
        <v>17740</v>
      </c>
      <c r="F5181" s="9" t="s">
        <v>47774</v>
      </c>
      <c r="G5181" s="9" t="s">
        <v>17740</v>
      </c>
      <c r="H5181" s="11" t="s">
        <v>47775</v>
      </c>
      <c r="I5181" s="11" t="s">
        <v>47776</v>
      </c>
      <c r="J5181" s="11" t="s">
        <v>47776</v>
      </c>
      <c r="K5181" s="9" t="s">
        <v>3724</v>
      </c>
      <c r="L5181" s="9" t="s">
        <v>24311</v>
      </c>
      <c r="M5181" s="9" t="s">
        <v>38576</v>
      </c>
      <c r="N5181" s="9" t="s">
        <v>26364</v>
      </c>
      <c r="O5181" s="9" t="s">
        <v>17993</v>
      </c>
      <c r="P5181" s="9" t="s">
        <v>17748</v>
      </c>
      <c r="Q5181" s="11" t="s">
        <v>20789</v>
      </c>
      <c r="R5181" s="11" t="s">
        <v>20789</v>
      </c>
      <c r="S5181" s="11" t="s">
        <v>17750</v>
      </c>
    </row>
    <row r="5182" spans="1:19" x14ac:dyDescent="0.2">
      <c r="A5182" s="11" t="s">
        <v>47777</v>
      </c>
      <c r="B5182" s="9" t="s">
        <v>47778</v>
      </c>
      <c r="C5182" s="9" t="s">
        <v>47779</v>
      </c>
      <c r="D5182" s="9" t="s">
        <v>47780</v>
      </c>
      <c r="E5182" s="9" t="s">
        <v>17748</v>
      </c>
      <c r="F5182" s="9" t="s">
        <v>47781</v>
      </c>
      <c r="G5182" s="9" t="s">
        <v>17740</v>
      </c>
      <c r="H5182" s="11" t="s">
        <v>17741</v>
      </c>
      <c r="I5182" s="11" t="s">
        <v>47782</v>
      </c>
      <c r="J5182" s="11" t="s">
        <v>47782</v>
      </c>
      <c r="K5182" s="9" t="s">
        <v>47783</v>
      </c>
      <c r="L5182" s="9" t="s">
        <v>17759</v>
      </c>
      <c r="M5182" s="9" t="s">
        <v>17760</v>
      </c>
      <c r="N5182" s="9" t="s">
        <v>17746</v>
      </c>
      <c r="O5182" s="9" t="s">
        <v>17800</v>
      </c>
      <c r="P5182" s="9" t="s">
        <v>17748</v>
      </c>
      <c r="Q5182" s="11" t="s">
        <v>17808</v>
      </c>
      <c r="R5182" s="11" t="s">
        <v>17808</v>
      </c>
      <c r="S5182" s="11" t="s">
        <v>17750</v>
      </c>
    </row>
    <row r="5183" spans="1:19" x14ac:dyDescent="0.2">
      <c r="A5183" s="11" t="s">
        <v>47784</v>
      </c>
      <c r="B5183" s="9" t="s">
        <v>47785</v>
      </c>
      <c r="C5183" s="9" t="s">
        <v>47786</v>
      </c>
      <c r="D5183" s="9" t="s">
        <v>47787</v>
      </c>
      <c r="E5183" s="9" t="s">
        <v>17748</v>
      </c>
      <c r="F5183" s="9" t="s">
        <v>47788</v>
      </c>
      <c r="G5183" s="9" t="s">
        <v>17748</v>
      </c>
      <c r="H5183" s="11" t="s">
        <v>17741</v>
      </c>
      <c r="I5183" s="11" t="s">
        <v>47789</v>
      </c>
      <c r="J5183" s="11" t="s">
        <v>47789</v>
      </c>
      <c r="K5183" s="9" t="s">
        <v>47790</v>
      </c>
      <c r="L5183" s="9" t="s">
        <v>17759</v>
      </c>
      <c r="M5183" s="9" t="s">
        <v>17817</v>
      </c>
      <c r="N5183" s="9" t="s">
        <v>17746</v>
      </c>
      <c r="O5183" s="9" t="s">
        <v>17993</v>
      </c>
      <c r="P5183" s="9" t="s">
        <v>17748</v>
      </c>
      <c r="Q5183" s="11" t="s">
        <v>17762</v>
      </c>
      <c r="R5183" s="11" t="s">
        <v>17762</v>
      </c>
      <c r="S5183" s="11" t="s">
        <v>17750</v>
      </c>
    </row>
    <row r="5184" spans="1:19" x14ac:dyDescent="0.2">
      <c r="A5184" s="11" t="s">
        <v>47791</v>
      </c>
      <c r="B5184" s="9" t="s">
        <v>47792</v>
      </c>
      <c r="C5184" s="9" t="s">
        <v>47793</v>
      </c>
      <c r="D5184" s="9" t="s">
        <v>47794</v>
      </c>
      <c r="E5184" s="9" t="s">
        <v>17740</v>
      </c>
      <c r="F5184" s="9" t="s">
        <v>17741</v>
      </c>
      <c r="G5184" s="9" t="s">
        <v>17740</v>
      </c>
      <c r="H5184" s="11" t="s">
        <v>17741</v>
      </c>
      <c r="I5184" s="11" t="s">
        <v>47795</v>
      </c>
      <c r="J5184" s="11" t="s">
        <v>47795</v>
      </c>
      <c r="K5184" s="9" t="s">
        <v>47796</v>
      </c>
      <c r="L5184" s="9" t="s">
        <v>21693</v>
      </c>
      <c r="M5184" s="9" t="s">
        <v>17760</v>
      </c>
      <c r="N5184" s="9" t="s">
        <v>17746</v>
      </c>
      <c r="O5184" s="9" t="s">
        <v>32218</v>
      </c>
      <c r="P5184" s="9" t="s">
        <v>17748</v>
      </c>
      <c r="Q5184" s="11" t="s">
        <v>18282</v>
      </c>
      <c r="R5184" s="11" t="s">
        <v>18282</v>
      </c>
      <c r="S5184" s="11" t="s">
        <v>17750</v>
      </c>
    </row>
    <row r="5185" spans="1:19" x14ac:dyDescent="0.2">
      <c r="A5185" s="11" t="s">
        <v>47797</v>
      </c>
      <c r="B5185" s="9" t="s">
        <v>47798</v>
      </c>
      <c r="C5185" s="9" t="s">
        <v>47799</v>
      </c>
      <c r="D5185" s="9" t="s">
        <v>47800</v>
      </c>
      <c r="E5185" s="9" t="s">
        <v>17740</v>
      </c>
      <c r="F5185" s="9" t="s">
        <v>47801</v>
      </c>
      <c r="G5185" s="9" t="s">
        <v>17740</v>
      </c>
      <c r="H5185" s="11" t="s">
        <v>3837</v>
      </c>
      <c r="I5185" s="11" t="s">
        <v>3836</v>
      </c>
      <c r="J5185" s="11" t="s">
        <v>3836</v>
      </c>
      <c r="K5185" s="9" t="s">
        <v>47802</v>
      </c>
      <c r="L5185" s="9" t="s">
        <v>17759</v>
      </c>
      <c r="M5185" s="9" t="s">
        <v>17817</v>
      </c>
      <c r="N5185" s="9" t="s">
        <v>17746</v>
      </c>
      <c r="O5185" s="9" t="s">
        <v>17993</v>
      </c>
      <c r="P5185" s="9" t="s">
        <v>17748</v>
      </c>
      <c r="Q5185" s="11" t="s">
        <v>29447</v>
      </c>
      <c r="R5185" s="11" t="s">
        <v>29447</v>
      </c>
      <c r="S5185" s="11" t="s">
        <v>17750</v>
      </c>
    </row>
    <row r="5186" spans="1:19" x14ac:dyDescent="0.2">
      <c r="A5186" s="11" t="s">
        <v>47803</v>
      </c>
      <c r="B5186" s="9" t="s">
        <v>47804</v>
      </c>
      <c r="C5186" s="9" t="s">
        <v>47805</v>
      </c>
      <c r="D5186" s="9" t="s">
        <v>47806</v>
      </c>
      <c r="E5186" s="9" t="s">
        <v>17740</v>
      </c>
      <c r="F5186" s="9" t="s">
        <v>17741</v>
      </c>
      <c r="G5186" s="9" t="s">
        <v>17740</v>
      </c>
      <c r="H5186" s="11" t="s">
        <v>47807</v>
      </c>
      <c r="I5186" s="11" t="s">
        <v>47808</v>
      </c>
      <c r="J5186" s="11" t="s">
        <v>47808</v>
      </c>
      <c r="K5186" s="9" t="s">
        <v>724</v>
      </c>
      <c r="L5186" s="9" t="s">
        <v>17744</v>
      </c>
      <c r="M5186" s="9" t="s">
        <v>18211</v>
      </c>
      <c r="N5186" s="9" t="s">
        <v>17746</v>
      </c>
      <c r="O5186" s="9" t="s">
        <v>18514</v>
      </c>
      <c r="P5186" s="9" t="s">
        <v>17748</v>
      </c>
      <c r="Q5186" s="11" t="s">
        <v>18798</v>
      </c>
      <c r="R5186" s="11" t="s">
        <v>18798</v>
      </c>
      <c r="S5186" s="11" t="s">
        <v>17750</v>
      </c>
    </row>
    <row r="5187" spans="1:19" x14ac:dyDescent="0.2">
      <c r="A5187" s="11" t="s">
        <v>47809</v>
      </c>
      <c r="B5187" s="9" t="s">
        <v>47810</v>
      </c>
      <c r="C5187" s="9" t="s">
        <v>47811</v>
      </c>
      <c r="D5187" s="9" t="s">
        <v>47812</v>
      </c>
      <c r="E5187" s="9" t="s">
        <v>17740</v>
      </c>
      <c r="F5187" s="9" t="s">
        <v>17741</v>
      </c>
      <c r="G5187" s="9" t="s">
        <v>17740</v>
      </c>
      <c r="H5187" s="11" t="s">
        <v>13834</v>
      </c>
      <c r="I5187" s="11" t="s">
        <v>13833</v>
      </c>
      <c r="J5187" s="11" t="s">
        <v>13833</v>
      </c>
      <c r="K5187" s="9" t="s">
        <v>91</v>
      </c>
      <c r="L5187" s="9" t="s">
        <v>18001</v>
      </c>
      <c r="M5187" s="9" t="s">
        <v>17760</v>
      </c>
      <c r="N5187" s="9" t="s">
        <v>17746</v>
      </c>
      <c r="O5187" s="9" t="s">
        <v>5136</v>
      </c>
      <c r="P5187" s="9" t="s">
        <v>17748</v>
      </c>
      <c r="Q5187" s="11" t="s">
        <v>17825</v>
      </c>
      <c r="R5187" s="11" t="s">
        <v>17825</v>
      </c>
      <c r="S5187" s="11" t="s">
        <v>17750</v>
      </c>
    </row>
    <row r="5188" spans="1:19" x14ac:dyDescent="0.2">
      <c r="A5188" s="11" t="s">
        <v>47813</v>
      </c>
      <c r="B5188" s="9" t="s">
        <v>47814</v>
      </c>
      <c r="C5188" s="9" t="s">
        <v>47815</v>
      </c>
      <c r="D5188" s="9" t="s">
        <v>47816</v>
      </c>
      <c r="E5188" s="9" t="s">
        <v>17740</v>
      </c>
      <c r="F5188" s="9" t="s">
        <v>47817</v>
      </c>
      <c r="G5188" s="9" t="s">
        <v>17740</v>
      </c>
      <c r="H5188" s="11" t="s">
        <v>47818</v>
      </c>
      <c r="I5188" s="11" t="s">
        <v>47819</v>
      </c>
      <c r="J5188" s="11" t="s">
        <v>47819</v>
      </c>
      <c r="K5188" s="9" t="s">
        <v>38441</v>
      </c>
      <c r="L5188" s="9" t="s">
        <v>17759</v>
      </c>
      <c r="M5188" s="9" t="s">
        <v>17769</v>
      </c>
      <c r="N5188" s="9" t="s">
        <v>17746</v>
      </c>
      <c r="O5188" s="9" t="s">
        <v>18340</v>
      </c>
      <c r="P5188" s="9" t="s">
        <v>17748</v>
      </c>
      <c r="Q5188" s="11" t="s">
        <v>18433</v>
      </c>
      <c r="R5188" s="11" t="s">
        <v>18433</v>
      </c>
      <c r="S5188" s="11" t="s">
        <v>17750</v>
      </c>
    </row>
    <row r="5189" spans="1:19" x14ac:dyDescent="0.2">
      <c r="A5189" s="11" t="s">
        <v>47820</v>
      </c>
      <c r="B5189" s="9" t="s">
        <v>47821</v>
      </c>
      <c r="C5189" s="9" t="s">
        <v>47822</v>
      </c>
      <c r="D5189" s="9" t="s">
        <v>47823</v>
      </c>
      <c r="E5189" s="9" t="s">
        <v>17740</v>
      </c>
      <c r="F5189" s="9" t="s">
        <v>47824</v>
      </c>
      <c r="G5189" s="9" t="s">
        <v>17740</v>
      </c>
      <c r="H5189" s="11" t="s">
        <v>47825</v>
      </c>
      <c r="I5189" s="11" t="s">
        <v>47826</v>
      </c>
      <c r="J5189" s="11" t="s">
        <v>47826</v>
      </c>
      <c r="K5189" s="9" t="s">
        <v>91</v>
      </c>
      <c r="L5189" s="9" t="s">
        <v>17744</v>
      </c>
      <c r="M5189" s="9" t="s">
        <v>47827</v>
      </c>
      <c r="N5189" s="9" t="s">
        <v>17746</v>
      </c>
      <c r="O5189" s="9" t="s">
        <v>22268</v>
      </c>
      <c r="P5189" s="9" t="s">
        <v>17748</v>
      </c>
      <c r="Q5189" s="11" t="s">
        <v>19361</v>
      </c>
      <c r="R5189" s="11" t="s">
        <v>19361</v>
      </c>
      <c r="S5189" s="11" t="s">
        <v>17750</v>
      </c>
    </row>
    <row r="5190" spans="1:19" x14ac:dyDescent="0.2">
      <c r="A5190" s="11" t="s">
        <v>47828</v>
      </c>
      <c r="B5190" s="9" t="s">
        <v>47829</v>
      </c>
      <c r="C5190" s="9" t="s">
        <v>47830</v>
      </c>
      <c r="D5190" s="9" t="s">
        <v>6962</v>
      </c>
      <c r="E5190" s="9" t="s">
        <v>17748</v>
      </c>
      <c r="F5190" s="9" t="s">
        <v>47831</v>
      </c>
      <c r="G5190" s="9" t="s">
        <v>17740</v>
      </c>
      <c r="H5190" s="11" t="s">
        <v>6964</v>
      </c>
      <c r="I5190" s="11" t="s">
        <v>6963</v>
      </c>
      <c r="J5190" s="11" t="s">
        <v>6963</v>
      </c>
      <c r="K5190" s="9" t="s">
        <v>47832</v>
      </c>
      <c r="L5190" s="9" t="s">
        <v>17744</v>
      </c>
      <c r="M5190" s="9" t="s">
        <v>17817</v>
      </c>
      <c r="N5190" s="9" t="s">
        <v>17746</v>
      </c>
      <c r="O5190" s="9" t="s">
        <v>3100</v>
      </c>
      <c r="P5190" s="9" t="s">
        <v>17748</v>
      </c>
      <c r="Q5190" s="11" t="s">
        <v>18201</v>
      </c>
      <c r="R5190" s="11" t="s">
        <v>18201</v>
      </c>
      <c r="S5190" s="11" t="s">
        <v>17750</v>
      </c>
    </row>
    <row r="5191" spans="1:19" x14ac:dyDescent="0.2">
      <c r="A5191" s="11" t="s">
        <v>47833</v>
      </c>
      <c r="B5191" s="9" t="s">
        <v>3843</v>
      </c>
      <c r="C5191" s="9" t="s">
        <v>47834</v>
      </c>
      <c r="D5191" s="9" t="s">
        <v>47835</v>
      </c>
      <c r="E5191" s="9" t="s">
        <v>17740</v>
      </c>
      <c r="F5191" s="9" t="s">
        <v>17741</v>
      </c>
      <c r="G5191" s="9" t="s">
        <v>17740</v>
      </c>
      <c r="H5191" s="11" t="s">
        <v>3845</v>
      </c>
      <c r="I5191" s="11" t="s">
        <v>3844</v>
      </c>
      <c r="J5191" s="11" t="s">
        <v>3844</v>
      </c>
      <c r="K5191" s="9" t="s">
        <v>17758</v>
      </c>
      <c r="L5191" s="9" t="s">
        <v>17759</v>
      </c>
      <c r="M5191" s="9" t="s">
        <v>19571</v>
      </c>
      <c r="N5191" s="9" t="s">
        <v>17746</v>
      </c>
      <c r="O5191" s="9" t="s">
        <v>3276</v>
      </c>
      <c r="P5191" s="9" t="s">
        <v>17748</v>
      </c>
      <c r="Q5191" s="11" t="s">
        <v>19026</v>
      </c>
      <c r="R5191" s="11" t="s">
        <v>19026</v>
      </c>
      <c r="S5191" s="11" t="s">
        <v>17750</v>
      </c>
    </row>
    <row r="5192" spans="1:19" x14ac:dyDescent="0.2">
      <c r="A5192" s="11" t="s">
        <v>47836</v>
      </c>
      <c r="B5192" s="9" t="s">
        <v>47837</v>
      </c>
      <c r="C5192" s="9" t="s">
        <v>47838</v>
      </c>
      <c r="D5192" s="9" t="s">
        <v>47839</v>
      </c>
      <c r="E5192" s="9" t="s">
        <v>17740</v>
      </c>
      <c r="F5192" s="9" t="s">
        <v>17741</v>
      </c>
      <c r="G5192" s="9" t="s">
        <v>17740</v>
      </c>
      <c r="H5192" s="11" t="s">
        <v>9146</v>
      </c>
      <c r="I5192" s="11" t="s">
        <v>9145</v>
      </c>
      <c r="J5192" s="11" t="s">
        <v>9145</v>
      </c>
      <c r="K5192" s="9" t="s">
        <v>29048</v>
      </c>
      <c r="L5192" s="9" t="s">
        <v>17759</v>
      </c>
      <c r="M5192" s="9" t="s">
        <v>18065</v>
      </c>
      <c r="N5192" s="9" t="s">
        <v>17746</v>
      </c>
      <c r="O5192" s="9" t="s">
        <v>3276</v>
      </c>
      <c r="P5192" s="9" t="s">
        <v>17748</v>
      </c>
      <c r="Q5192" s="11" t="s">
        <v>18922</v>
      </c>
      <c r="R5192" s="11" t="s">
        <v>18922</v>
      </c>
      <c r="S5192" s="11" t="s">
        <v>17750</v>
      </c>
    </row>
    <row r="5193" spans="1:19" x14ac:dyDescent="0.2">
      <c r="A5193" s="11" t="s">
        <v>47840</v>
      </c>
      <c r="B5193" s="9" t="s">
        <v>47841</v>
      </c>
      <c r="C5193" s="9" t="s">
        <v>47842</v>
      </c>
      <c r="D5193" s="9" t="s">
        <v>47843</v>
      </c>
      <c r="E5193" s="9" t="s">
        <v>17740</v>
      </c>
      <c r="F5193" s="9" t="s">
        <v>17741</v>
      </c>
      <c r="G5193" s="9" t="s">
        <v>17740</v>
      </c>
      <c r="H5193" s="11" t="s">
        <v>17741</v>
      </c>
      <c r="I5193" s="11" t="s">
        <v>47844</v>
      </c>
      <c r="J5193" s="11" t="s">
        <v>47844</v>
      </c>
      <c r="K5193" s="9" t="s">
        <v>47845</v>
      </c>
      <c r="L5193" s="9" t="s">
        <v>23607</v>
      </c>
      <c r="M5193" s="9" t="s">
        <v>18211</v>
      </c>
      <c r="N5193" s="9" t="s">
        <v>17746</v>
      </c>
      <c r="O5193" s="9" t="s">
        <v>18636</v>
      </c>
      <c r="P5193" s="9" t="s">
        <v>17748</v>
      </c>
      <c r="Q5193" s="11" t="s">
        <v>17994</v>
      </c>
      <c r="R5193" s="11" t="s">
        <v>17994</v>
      </c>
      <c r="S5193" s="11" t="s">
        <v>17750</v>
      </c>
    </row>
    <row r="5194" spans="1:19" x14ac:dyDescent="0.2">
      <c r="A5194" s="11" t="s">
        <v>47846</v>
      </c>
      <c r="B5194" s="9" t="s">
        <v>47847</v>
      </c>
      <c r="C5194" s="9" t="s">
        <v>47848</v>
      </c>
      <c r="D5194" s="9" t="s">
        <v>47849</v>
      </c>
      <c r="E5194" s="9" t="s">
        <v>17740</v>
      </c>
      <c r="F5194" s="9" t="s">
        <v>17741</v>
      </c>
      <c r="G5194" s="9" t="s">
        <v>17740</v>
      </c>
      <c r="H5194" s="11" t="s">
        <v>47850</v>
      </c>
      <c r="I5194" s="11" t="s">
        <v>47851</v>
      </c>
      <c r="J5194" s="11" t="s">
        <v>47851</v>
      </c>
      <c r="K5194" s="9" t="s">
        <v>19482</v>
      </c>
      <c r="L5194" s="9" t="s">
        <v>19483</v>
      </c>
      <c r="M5194" s="9" t="s">
        <v>25519</v>
      </c>
      <c r="N5194" s="9" t="s">
        <v>17746</v>
      </c>
      <c r="O5194" s="9" t="s">
        <v>19939</v>
      </c>
      <c r="P5194" s="9" t="s">
        <v>17748</v>
      </c>
      <c r="Q5194" s="11" t="s">
        <v>18341</v>
      </c>
      <c r="R5194" s="11" t="s">
        <v>18341</v>
      </c>
      <c r="S5194" s="11" t="s">
        <v>17750</v>
      </c>
    </row>
    <row r="5195" spans="1:19" x14ac:dyDescent="0.2">
      <c r="A5195" s="11" t="s">
        <v>47852</v>
      </c>
      <c r="B5195" s="9" t="s">
        <v>47853</v>
      </c>
      <c r="C5195" s="9" t="s">
        <v>47854</v>
      </c>
      <c r="D5195" s="9" t="s">
        <v>47855</v>
      </c>
      <c r="E5195" s="9" t="s">
        <v>17740</v>
      </c>
      <c r="F5195" s="9" t="s">
        <v>17741</v>
      </c>
      <c r="G5195" s="9" t="s">
        <v>17740</v>
      </c>
      <c r="H5195" s="11" t="s">
        <v>8609</v>
      </c>
      <c r="I5195" s="11" t="s">
        <v>8608</v>
      </c>
      <c r="J5195" s="11" t="s">
        <v>8608</v>
      </c>
      <c r="K5195" s="9" t="s">
        <v>19952</v>
      </c>
      <c r="L5195" s="9" t="s">
        <v>17759</v>
      </c>
      <c r="M5195" s="9" t="s">
        <v>17760</v>
      </c>
      <c r="N5195" s="9" t="s">
        <v>17746</v>
      </c>
      <c r="O5195" s="9" t="s">
        <v>47856</v>
      </c>
      <c r="P5195" s="9" t="s">
        <v>17748</v>
      </c>
      <c r="Q5195" s="11" t="s">
        <v>17792</v>
      </c>
      <c r="R5195" s="11" t="s">
        <v>17792</v>
      </c>
      <c r="S5195" s="11" t="s">
        <v>17750</v>
      </c>
    </row>
    <row r="5196" spans="1:19" x14ac:dyDescent="0.2">
      <c r="A5196" s="11" t="s">
        <v>47857</v>
      </c>
      <c r="B5196" s="9" t="s">
        <v>47858</v>
      </c>
      <c r="C5196" s="9" t="s">
        <v>47859</v>
      </c>
      <c r="D5196" s="9" t="s">
        <v>47860</v>
      </c>
      <c r="E5196" s="9" t="s">
        <v>17740</v>
      </c>
      <c r="F5196" s="9" t="s">
        <v>17741</v>
      </c>
      <c r="G5196" s="9" t="s">
        <v>17740</v>
      </c>
      <c r="H5196" s="11" t="s">
        <v>47861</v>
      </c>
      <c r="I5196" s="11" t="s">
        <v>47862</v>
      </c>
      <c r="J5196" s="11" t="s">
        <v>47862</v>
      </c>
      <c r="K5196" s="9" t="s">
        <v>412</v>
      </c>
      <c r="L5196" s="9" t="s">
        <v>18158</v>
      </c>
      <c r="M5196" s="9" t="s">
        <v>17760</v>
      </c>
      <c r="N5196" s="9" t="s">
        <v>18185</v>
      </c>
      <c r="O5196" s="9" t="s">
        <v>47856</v>
      </c>
      <c r="P5196" s="9" t="s">
        <v>17748</v>
      </c>
      <c r="Q5196" s="11" t="s">
        <v>18364</v>
      </c>
      <c r="R5196" s="11" t="s">
        <v>18364</v>
      </c>
      <c r="S5196" s="11" t="s">
        <v>17750</v>
      </c>
    </row>
    <row r="5197" spans="1:19" x14ac:dyDescent="0.2">
      <c r="A5197" s="11" t="s">
        <v>47863</v>
      </c>
      <c r="B5197" s="9" t="s">
        <v>47864</v>
      </c>
      <c r="C5197" s="9" t="s">
        <v>47865</v>
      </c>
      <c r="D5197" s="9" t="s">
        <v>47866</v>
      </c>
      <c r="E5197" s="9" t="s">
        <v>17740</v>
      </c>
      <c r="F5197" s="9" t="s">
        <v>17741</v>
      </c>
      <c r="G5197" s="9" t="s">
        <v>17740</v>
      </c>
      <c r="H5197" s="11" t="s">
        <v>17741</v>
      </c>
      <c r="I5197" s="11" t="s">
        <v>47867</v>
      </c>
      <c r="J5197" s="11" t="s">
        <v>47867</v>
      </c>
      <c r="K5197" s="9" t="s">
        <v>47868</v>
      </c>
      <c r="L5197" s="9" t="s">
        <v>18050</v>
      </c>
      <c r="M5197" s="9" t="s">
        <v>17741</v>
      </c>
      <c r="N5197" s="9" t="s">
        <v>30219</v>
      </c>
      <c r="O5197" s="9" t="s">
        <v>17993</v>
      </c>
      <c r="P5197" s="9" t="s">
        <v>17748</v>
      </c>
      <c r="Q5197" s="11" t="s">
        <v>18856</v>
      </c>
      <c r="R5197" s="11" t="s">
        <v>18856</v>
      </c>
      <c r="S5197" s="11" t="s">
        <v>17750</v>
      </c>
    </row>
    <row r="5198" spans="1:19" x14ac:dyDescent="0.2">
      <c r="A5198" s="11" t="s">
        <v>47869</v>
      </c>
      <c r="B5198" s="9" t="s">
        <v>47870</v>
      </c>
      <c r="C5198" s="9" t="s">
        <v>47871</v>
      </c>
      <c r="D5198" s="9" t="s">
        <v>47872</v>
      </c>
      <c r="E5198" s="9" t="s">
        <v>17740</v>
      </c>
      <c r="F5198" s="9" t="s">
        <v>47873</v>
      </c>
      <c r="G5198" s="9" t="s">
        <v>17740</v>
      </c>
      <c r="H5198" s="11" t="s">
        <v>17741</v>
      </c>
      <c r="I5198" s="11" t="s">
        <v>47874</v>
      </c>
      <c r="J5198" s="11" t="s">
        <v>47874</v>
      </c>
      <c r="K5198" s="9" t="s">
        <v>47875</v>
      </c>
      <c r="L5198" s="9" t="s">
        <v>17759</v>
      </c>
      <c r="M5198" s="9" t="s">
        <v>17817</v>
      </c>
      <c r="N5198" s="9" t="s">
        <v>17746</v>
      </c>
      <c r="O5198" s="9" t="s">
        <v>28888</v>
      </c>
      <c r="P5198" s="9" t="s">
        <v>17748</v>
      </c>
      <c r="Q5198" s="11" t="s">
        <v>18960</v>
      </c>
      <c r="R5198" s="11" t="s">
        <v>18960</v>
      </c>
      <c r="S5198" s="11" t="s">
        <v>17750</v>
      </c>
    </row>
    <row r="5199" spans="1:19" x14ac:dyDescent="0.2">
      <c r="A5199" s="11" t="s">
        <v>47876</v>
      </c>
      <c r="B5199" s="9" t="s">
        <v>47877</v>
      </c>
      <c r="C5199" s="9" t="s">
        <v>47878</v>
      </c>
      <c r="D5199" s="9" t="s">
        <v>47879</v>
      </c>
      <c r="E5199" s="9" t="s">
        <v>17740</v>
      </c>
      <c r="F5199" s="9" t="s">
        <v>47880</v>
      </c>
      <c r="G5199" s="9" t="s">
        <v>17740</v>
      </c>
      <c r="H5199" s="11" t="s">
        <v>47881</v>
      </c>
      <c r="I5199" s="11" t="s">
        <v>47882</v>
      </c>
      <c r="J5199" s="11" t="s">
        <v>47882</v>
      </c>
      <c r="K5199" s="9" t="s">
        <v>47883</v>
      </c>
      <c r="L5199" s="9" t="s">
        <v>17759</v>
      </c>
      <c r="M5199" s="9" t="s">
        <v>47884</v>
      </c>
      <c r="N5199" s="9" t="s">
        <v>17746</v>
      </c>
      <c r="O5199" s="9" t="s">
        <v>19275</v>
      </c>
      <c r="P5199" s="9" t="s">
        <v>17748</v>
      </c>
      <c r="Q5199" s="11" t="s">
        <v>18178</v>
      </c>
      <c r="R5199" s="11" t="s">
        <v>18178</v>
      </c>
      <c r="S5199" s="11" t="s">
        <v>17750</v>
      </c>
    </row>
    <row r="5200" spans="1:19" x14ac:dyDescent="0.2">
      <c r="A5200" s="11" t="s">
        <v>47885</v>
      </c>
      <c r="B5200" s="9" t="s">
        <v>47886</v>
      </c>
      <c r="C5200" s="9" t="s">
        <v>47887</v>
      </c>
      <c r="D5200" s="9" t="s">
        <v>47888</v>
      </c>
      <c r="E5200" s="9" t="s">
        <v>17740</v>
      </c>
      <c r="F5200" s="9" t="s">
        <v>47889</v>
      </c>
      <c r="G5200" s="9" t="s">
        <v>17740</v>
      </c>
      <c r="H5200" s="11" t="s">
        <v>17741</v>
      </c>
      <c r="I5200" s="11" t="s">
        <v>47890</v>
      </c>
      <c r="J5200" s="11" t="s">
        <v>47890</v>
      </c>
      <c r="K5200" s="9" t="s">
        <v>47891</v>
      </c>
      <c r="L5200" s="9" t="s">
        <v>17759</v>
      </c>
      <c r="M5200" s="9" t="s">
        <v>18745</v>
      </c>
      <c r="N5200" s="9" t="s">
        <v>17746</v>
      </c>
      <c r="O5200" s="9" t="s">
        <v>17866</v>
      </c>
      <c r="P5200" s="9" t="s">
        <v>17748</v>
      </c>
      <c r="Q5200" s="11" t="s">
        <v>17784</v>
      </c>
      <c r="R5200" s="11" t="s">
        <v>17784</v>
      </c>
      <c r="S5200" s="11" t="s">
        <v>17750</v>
      </c>
    </row>
    <row r="5201" spans="1:19" x14ac:dyDescent="0.2">
      <c r="A5201" s="11" t="s">
        <v>47892</v>
      </c>
      <c r="B5201" s="9" t="s">
        <v>47893</v>
      </c>
      <c r="C5201" s="9" t="s">
        <v>47894</v>
      </c>
      <c r="D5201" s="9" t="s">
        <v>47895</v>
      </c>
      <c r="E5201" s="9" t="s">
        <v>17740</v>
      </c>
      <c r="F5201" s="9" t="s">
        <v>17741</v>
      </c>
      <c r="G5201" s="9" t="s">
        <v>17740</v>
      </c>
      <c r="H5201" s="11" t="s">
        <v>17741</v>
      </c>
      <c r="I5201" s="11" t="s">
        <v>17741</v>
      </c>
      <c r="J5201" s="11" t="s">
        <v>17741</v>
      </c>
      <c r="K5201" s="9" t="s">
        <v>47896</v>
      </c>
      <c r="L5201" s="9" t="s">
        <v>17759</v>
      </c>
      <c r="M5201" s="9" t="s">
        <v>17741</v>
      </c>
      <c r="N5201" s="9" t="s">
        <v>17746</v>
      </c>
      <c r="O5201" s="9" t="s">
        <v>1802</v>
      </c>
      <c r="P5201" s="9" t="s">
        <v>17748</v>
      </c>
      <c r="Q5201" s="11" t="s">
        <v>17784</v>
      </c>
      <c r="R5201" s="11" t="s">
        <v>17784</v>
      </c>
      <c r="S5201" s="11" t="s">
        <v>17750</v>
      </c>
    </row>
    <row r="5202" spans="1:19" x14ac:dyDescent="0.2">
      <c r="A5202" s="11" t="s">
        <v>47897</v>
      </c>
      <c r="B5202" s="9" t="s">
        <v>47898</v>
      </c>
      <c r="C5202" s="9" t="s">
        <v>47899</v>
      </c>
      <c r="D5202" s="9" t="s">
        <v>47900</v>
      </c>
      <c r="E5202" s="9" t="s">
        <v>17740</v>
      </c>
      <c r="F5202" s="9" t="s">
        <v>47901</v>
      </c>
      <c r="G5202" s="9" t="s">
        <v>17740</v>
      </c>
      <c r="H5202" s="11" t="s">
        <v>17741</v>
      </c>
      <c r="I5202" s="11" t="s">
        <v>47902</v>
      </c>
      <c r="J5202" s="11" t="s">
        <v>47902</v>
      </c>
      <c r="K5202" s="9" t="s">
        <v>47903</v>
      </c>
      <c r="L5202" s="9" t="s">
        <v>17759</v>
      </c>
      <c r="M5202" s="9" t="s">
        <v>47904</v>
      </c>
      <c r="N5202" s="9" t="s">
        <v>17746</v>
      </c>
      <c r="O5202" s="9" t="s">
        <v>19275</v>
      </c>
      <c r="P5202" s="9" t="s">
        <v>17748</v>
      </c>
      <c r="Q5202" s="11" t="s">
        <v>18608</v>
      </c>
      <c r="R5202" s="11" t="s">
        <v>18608</v>
      </c>
      <c r="S5202" s="11" t="s">
        <v>17750</v>
      </c>
    </row>
    <row r="5203" spans="1:19" x14ac:dyDescent="0.2">
      <c r="A5203" s="11" t="s">
        <v>47905</v>
      </c>
      <c r="B5203" s="9" t="s">
        <v>47906</v>
      </c>
      <c r="C5203" s="9" t="s">
        <v>47907</v>
      </c>
      <c r="D5203" s="9" t="s">
        <v>47908</v>
      </c>
      <c r="E5203" s="9" t="s">
        <v>17740</v>
      </c>
      <c r="F5203" s="9" t="s">
        <v>17741</v>
      </c>
      <c r="G5203" s="9" t="s">
        <v>17740</v>
      </c>
      <c r="H5203" s="11" t="s">
        <v>10283</v>
      </c>
      <c r="I5203" s="11" t="s">
        <v>47909</v>
      </c>
      <c r="J5203" s="11" t="s">
        <v>10283</v>
      </c>
      <c r="K5203" s="9" t="s">
        <v>32265</v>
      </c>
      <c r="L5203" s="9" t="s">
        <v>18158</v>
      </c>
      <c r="M5203" s="9" t="s">
        <v>17769</v>
      </c>
      <c r="N5203" s="9" t="s">
        <v>17746</v>
      </c>
      <c r="O5203" s="9" t="s">
        <v>47910</v>
      </c>
      <c r="P5203" s="9" t="s">
        <v>17748</v>
      </c>
      <c r="Q5203" s="11" t="s">
        <v>17994</v>
      </c>
      <c r="R5203" s="11" t="s">
        <v>17994</v>
      </c>
      <c r="S5203" s="11" t="s">
        <v>17750</v>
      </c>
    </row>
    <row r="5204" spans="1:19" x14ac:dyDescent="0.2">
      <c r="A5204" s="11" t="s">
        <v>47911</v>
      </c>
      <c r="B5204" s="9" t="s">
        <v>47912</v>
      </c>
      <c r="C5204" s="9" t="s">
        <v>47913</v>
      </c>
      <c r="D5204" s="9" t="s">
        <v>47914</v>
      </c>
      <c r="E5204" s="9" t="s">
        <v>17740</v>
      </c>
      <c r="F5204" s="9" t="s">
        <v>17741</v>
      </c>
      <c r="G5204" s="9" t="s">
        <v>17740</v>
      </c>
      <c r="H5204" s="11" t="s">
        <v>6265</v>
      </c>
      <c r="I5204" s="11" t="s">
        <v>6264</v>
      </c>
      <c r="J5204" s="11" t="s">
        <v>6264</v>
      </c>
      <c r="K5204" s="9" t="s">
        <v>21721</v>
      </c>
      <c r="L5204" s="9" t="s">
        <v>17744</v>
      </c>
      <c r="M5204" s="9" t="s">
        <v>18250</v>
      </c>
      <c r="N5204" s="9" t="s">
        <v>17746</v>
      </c>
      <c r="O5204" s="9" t="s">
        <v>22682</v>
      </c>
      <c r="P5204" s="9" t="s">
        <v>17748</v>
      </c>
      <c r="Q5204" s="11" t="s">
        <v>18147</v>
      </c>
      <c r="R5204" s="11" t="s">
        <v>18147</v>
      </c>
      <c r="S5204" s="11" t="s">
        <v>17750</v>
      </c>
    </row>
    <row r="5205" spans="1:19" x14ac:dyDescent="0.2">
      <c r="A5205" s="11" t="s">
        <v>47915</v>
      </c>
      <c r="B5205" s="9" t="s">
        <v>47916</v>
      </c>
      <c r="C5205" s="9" t="s">
        <v>47917</v>
      </c>
      <c r="D5205" s="9" t="s">
        <v>47918</v>
      </c>
      <c r="E5205" s="9" t="s">
        <v>17740</v>
      </c>
      <c r="F5205" s="9" t="s">
        <v>17741</v>
      </c>
      <c r="G5205" s="9" t="s">
        <v>17740</v>
      </c>
      <c r="H5205" s="11" t="s">
        <v>3834</v>
      </c>
      <c r="I5205" s="11" t="s">
        <v>3833</v>
      </c>
      <c r="J5205" s="11" t="s">
        <v>3833</v>
      </c>
      <c r="K5205" s="9" t="s">
        <v>17805</v>
      </c>
      <c r="L5205" s="9" t="s">
        <v>17744</v>
      </c>
      <c r="M5205" s="9" t="s">
        <v>20172</v>
      </c>
      <c r="N5205" s="9" t="s">
        <v>17746</v>
      </c>
      <c r="O5205" s="9" t="s">
        <v>22682</v>
      </c>
      <c r="P5205" s="9" t="s">
        <v>17748</v>
      </c>
      <c r="Q5205" s="11" t="s">
        <v>19515</v>
      </c>
      <c r="R5205" s="11" t="s">
        <v>19515</v>
      </c>
      <c r="S5205" s="11" t="s">
        <v>17750</v>
      </c>
    </row>
    <row r="5206" spans="1:19" x14ac:dyDescent="0.2">
      <c r="A5206" s="11" t="s">
        <v>47919</v>
      </c>
      <c r="B5206" s="9" t="s">
        <v>47920</v>
      </c>
      <c r="C5206" s="9" t="s">
        <v>47921</v>
      </c>
      <c r="D5206" s="9" t="s">
        <v>47922</v>
      </c>
      <c r="E5206" s="9" t="s">
        <v>17740</v>
      </c>
      <c r="F5206" s="9" t="s">
        <v>17741</v>
      </c>
      <c r="G5206" s="9" t="s">
        <v>17740</v>
      </c>
      <c r="H5206" s="11" t="s">
        <v>12281</v>
      </c>
      <c r="I5206" s="11" t="s">
        <v>12280</v>
      </c>
      <c r="J5206" s="11" t="s">
        <v>17741</v>
      </c>
      <c r="K5206" s="9" t="s">
        <v>91</v>
      </c>
      <c r="L5206" s="9" t="s">
        <v>17744</v>
      </c>
      <c r="M5206" s="9" t="s">
        <v>17769</v>
      </c>
      <c r="N5206" s="9" t="s">
        <v>17746</v>
      </c>
      <c r="O5206" s="9" t="s">
        <v>18125</v>
      </c>
      <c r="P5206" s="9" t="s">
        <v>17748</v>
      </c>
      <c r="Q5206" s="11" t="s">
        <v>17917</v>
      </c>
      <c r="R5206" s="11" t="s">
        <v>17917</v>
      </c>
      <c r="S5206" s="11" t="s">
        <v>17750</v>
      </c>
    </row>
    <row r="5207" spans="1:19" x14ac:dyDescent="0.2">
      <c r="A5207" s="11" t="s">
        <v>47923</v>
      </c>
      <c r="B5207" s="9" t="s">
        <v>47924</v>
      </c>
      <c r="C5207" s="9" t="s">
        <v>47925</v>
      </c>
      <c r="D5207" s="9" t="s">
        <v>47926</v>
      </c>
      <c r="E5207" s="9" t="s">
        <v>17740</v>
      </c>
      <c r="F5207" s="9" t="s">
        <v>17741</v>
      </c>
      <c r="G5207" s="9" t="s">
        <v>17740</v>
      </c>
      <c r="H5207" s="11" t="s">
        <v>15135</v>
      </c>
      <c r="I5207" s="11" t="s">
        <v>17741</v>
      </c>
      <c r="J5207" s="11" t="s">
        <v>15135</v>
      </c>
      <c r="K5207" s="9" t="s">
        <v>18570</v>
      </c>
      <c r="L5207" s="9" t="s">
        <v>17744</v>
      </c>
      <c r="M5207" s="9" t="s">
        <v>17741</v>
      </c>
      <c r="N5207" s="9" t="s">
        <v>17746</v>
      </c>
      <c r="O5207" s="9" t="s">
        <v>26840</v>
      </c>
      <c r="P5207" s="9" t="s">
        <v>17748</v>
      </c>
      <c r="Q5207" s="11" t="s">
        <v>17900</v>
      </c>
      <c r="R5207" s="11" t="s">
        <v>17900</v>
      </c>
      <c r="S5207" s="11" t="s">
        <v>17750</v>
      </c>
    </row>
    <row r="5208" spans="1:19" x14ac:dyDescent="0.2">
      <c r="A5208" s="11" t="s">
        <v>47927</v>
      </c>
      <c r="B5208" s="9" t="s">
        <v>47928</v>
      </c>
      <c r="C5208" s="9" t="s">
        <v>47929</v>
      </c>
      <c r="D5208" s="9" t="s">
        <v>47930</v>
      </c>
      <c r="E5208" s="9" t="s">
        <v>17740</v>
      </c>
      <c r="F5208" s="9" t="s">
        <v>17741</v>
      </c>
      <c r="G5208" s="9" t="s">
        <v>17740</v>
      </c>
      <c r="H5208" s="11" t="s">
        <v>47931</v>
      </c>
      <c r="I5208" s="11" t="s">
        <v>47932</v>
      </c>
      <c r="J5208" s="11" t="s">
        <v>47932</v>
      </c>
      <c r="K5208" s="9" t="s">
        <v>940</v>
      </c>
      <c r="L5208" s="9" t="s">
        <v>17759</v>
      </c>
      <c r="M5208" s="9" t="s">
        <v>17760</v>
      </c>
      <c r="N5208" s="9" t="s">
        <v>17746</v>
      </c>
      <c r="O5208" s="9" t="s">
        <v>18125</v>
      </c>
      <c r="P5208" s="9" t="s">
        <v>17748</v>
      </c>
      <c r="Q5208" s="11" t="s">
        <v>17984</v>
      </c>
      <c r="R5208" s="11" t="s">
        <v>17984</v>
      </c>
      <c r="S5208" s="11" t="s">
        <v>17750</v>
      </c>
    </row>
    <row r="5209" spans="1:19" x14ac:dyDescent="0.2">
      <c r="A5209" s="11" t="s">
        <v>47933</v>
      </c>
      <c r="B5209" s="9" t="s">
        <v>47934</v>
      </c>
      <c r="C5209" s="9" t="s">
        <v>47935</v>
      </c>
      <c r="D5209" s="9" t="s">
        <v>6029</v>
      </c>
      <c r="E5209" s="9" t="s">
        <v>17740</v>
      </c>
      <c r="F5209" s="9" t="s">
        <v>47936</v>
      </c>
      <c r="G5209" s="9" t="s">
        <v>17740</v>
      </c>
      <c r="H5209" s="11" t="s">
        <v>6031</v>
      </c>
      <c r="I5209" s="11" t="s">
        <v>6030</v>
      </c>
      <c r="J5209" s="11" t="s">
        <v>6030</v>
      </c>
      <c r="K5209" s="9" t="s">
        <v>7210</v>
      </c>
      <c r="L5209" s="9" t="s">
        <v>17759</v>
      </c>
      <c r="M5209" s="9" t="s">
        <v>19658</v>
      </c>
      <c r="N5209" s="9" t="s">
        <v>17746</v>
      </c>
      <c r="O5209" s="9" t="s">
        <v>27178</v>
      </c>
      <c r="P5209" s="9" t="s">
        <v>17748</v>
      </c>
      <c r="Q5209" s="11" t="s">
        <v>17792</v>
      </c>
      <c r="R5209" s="11" t="s">
        <v>17792</v>
      </c>
      <c r="S5209" s="11" t="s">
        <v>17750</v>
      </c>
    </row>
    <row r="5210" spans="1:19" x14ac:dyDescent="0.2">
      <c r="A5210" s="11" t="s">
        <v>47937</v>
      </c>
      <c r="B5210" s="9" t="s">
        <v>47938</v>
      </c>
      <c r="C5210" s="9" t="s">
        <v>47939</v>
      </c>
      <c r="D5210" s="9" t="s">
        <v>47940</v>
      </c>
      <c r="E5210" s="9" t="s">
        <v>17748</v>
      </c>
      <c r="F5210" s="9" t="s">
        <v>47941</v>
      </c>
      <c r="G5210" s="9" t="s">
        <v>17740</v>
      </c>
      <c r="H5210" s="11" t="s">
        <v>10202</v>
      </c>
      <c r="I5210" s="11" t="s">
        <v>10201</v>
      </c>
      <c r="J5210" s="11" t="s">
        <v>10201</v>
      </c>
      <c r="K5210" s="9" t="s">
        <v>19180</v>
      </c>
      <c r="L5210" s="9" t="s">
        <v>17759</v>
      </c>
      <c r="M5210" s="9" t="s">
        <v>47942</v>
      </c>
      <c r="N5210" s="9" t="s">
        <v>17746</v>
      </c>
      <c r="O5210" s="9" t="s">
        <v>47943</v>
      </c>
      <c r="P5210" s="9" t="s">
        <v>17748</v>
      </c>
      <c r="Q5210" s="11" t="s">
        <v>17780</v>
      </c>
      <c r="R5210" s="11" t="s">
        <v>17780</v>
      </c>
      <c r="S5210" s="11" t="s">
        <v>17750</v>
      </c>
    </row>
    <row r="5211" spans="1:19" x14ac:dyDescent="0.2">
      <c r="A5211" s="11" t="s">
        <v>47944</v>
      </c>
      <c r="B5211" s="9" t="s">
        <v>47945</v>
      </c>
      <c r="C5211" s="9" t="s">
        <v>47946</v>
      </c>
      <c r="D5211" s="9" t="s">
        <v>47947</v>
      </c>
      <c r="E5211" s="9" t="s">
        <v>17740</v>
      </c>
      <c r="F5211" s="9" t="s">
        <v>17741</v>
      </c>
      <c r="G5211" s="9" t="s">
        <v>17740</v>
      </c>
      <c r="H5211" s="11" t="s">
        <v>16703</v>
      </c>
      <c r="I5211" s="11" t="s">
        <v>16702</v>
      </c>
      <c r="J5211" s="11" t="s">
        <v>16702</v>
      </c>
      <c r="K5211" s="9" t="s">
        <v>7210</v>
      </c>
      <c r="L5211" s="9" t="s">
        <v>17759</v>
      </c>
      <c r="M5211" s="9" t="s">
        <v>17817</v>
      </c>
      <c r="N5211" s="9" t="s">
        <v>17746</v>
      </c>
      <c r="O5211" s="9" t="s">
        <v>26840</v>
      </c>
      <c r="P5211" s="9" t="s">
        <v>17748</v>
      </c>
      <c r="Q5211" s="11" t="s">
        <v>17909</v>
      </c>
      <c r="R5211" s="11" t="s">
        <v>17909</v>
      </c>
      <c r="S5211" s="11" t="s">
        <v>17750</v>
      </c>
    </row>
    <row r="5212" spans="1:19" x14ac:dyDescent="0.2">
      <c r="A5212" s="11" t="s">
        <v>47948</v>
      </c>
      <c r="B5212" s="9" t="s">
        <v>47949</v>
      </c>
      <c r="C5212" s="9" t="s">
        <v>47950</v>
      </c>
      <c r="D5212" s="9" t="s">
        <v>47951</v>
      </c>
      <c r="E5212" s="9" t="s">
        <v>17740</v>
      </c>
      <c r="F5212" s="9" t="s">
        <v>47952</v>
      </c>
      <c r="G5212" s="9" t="s">
        <v>17740</v>
      </c>
      <c r="H5212" s="11" t="s">
        <v>4720</v>
      </c>
      <c r="I5212" s="11" t="s">
        <v>4719</v>
      </c>
      <c r="J5212" s="11" t="s">
        <v>4719</v>
      </c>
      <c r="K5212" s="9" t="s">
        <v>18122</v>
      </c>
      <c r="L5212" s="9" t="s">
        <v>18123</v>
      </c>
      <c r="M5212" s="9" t="s">
        <v>18184</v>
      </c>
      <c r="N5212" s="9" t="s">
        <v>17746</v>
      </c>
      <c r="O5212" s="9" t="s">
        <v>3176</v>
      </c>
      <c r="P5212" s="9" t="s">
        <v>17748</v>
      </c>
      <c r="Q5212" s="11" t="s">
        <v>17819</v>
      </c>
      <c r="R5212" s="11" t="s">
        <v>17819</v>
      </c>
      <c r="S5212" s="11" t="s">
        <v>17750</v>
      </c>
    </row>
    <row r="5213" spans="1:19" x14ac:dyDescent="0.2">
      <c r="A5213" s="11" t="s">
        <v>47953</v>
      </c>
      <c r="B5213" s="9" t="s">
        <v>3852</v>
      </c>
      <c r="C5213" s="9" t="s">
        <v>47954</v>
      </c>
      <c r="D5213" s="9" t="s">
        <v>3852</v>
      </c>
      <c r="E5213" s="9" t="s">
        <v>17740</v>
      </c>
      <c r="F5213" s="9" t="s">
        <v>17741</v>
      </c>
      <c r="G5213" s="9" t="s">
        <v>17740</v>
      </c>
      <c r="H5213" s="11" t="s">
        <v>3854</v>
      </c>
      <c r="I5213" s="11" t="s">
        <v>3853</v>
      </c>
      <c r="J5213" s="11" t="s">
        <v>3853</v>
      </c>
      <c r="K5213" s="9" t="s">
        <v>91</v>
      </c>
      <c r="L5213" s="9" t="s">
        <v>17759</v>
      </c>
      <c r="M5213" s="9" t="s">
        <v>17817</v>
      </c>
      <c r="N5213" s="9" t="s">
        <v>17746</v>
      </c>
      <c r="O5213" s="9" t="s">
        <v>773</v>
      </c>
      <c r="P5213" s="9" t="s">
        <v>17748</v>
      </c>
      <c r="Q5213" s="11" t="s">
        <v>17849</v>
      </c>
      <c r="R5213" s="11" t="s">
        <v>17849</v>
      </c>
      <c r="S5213" s="11" t="s">
        <v>17750</v>
      </c>
    </row>
    <row r="5214" spans="1:19" x14ac:dyDescent="0.2">
      <c r="A5214" s="11" t="s">
        <v>47955</v>
      </c>
      <c r="B5214" s="9" t="s">
        <v>47956</v>
      </c>
      <c r="C5214" s="9" t="s">
        <v>47957</v>
      </c>
      <c r="D5214" s="9" t="s">
        <v>47958</v>
      </c>
      <c r="E5214" s="9" t="s">
        <v>17740</v>
      </c>
      <c r="F5214" s="9" t="s">
        <v>47959</v>
      </c>
      <c r="G5214" s="9" t="s">
        <v>17740</v>
      </c>
      <c r="H5214" s="11" t="s">
        <v>47960</v>
      </c>
      <c r="I5214" s="11" t="s">
        <v>47961</v>
      </c>
      <c r="J5214" s="11" t="s">
        <v>47961</v>
      </c>
      <c r="K5214" s="9" t="s">
        <v>21545</v>
      </c>
      <c r="L5214" s="9" t="s">
        <v>18854</v>
      </c>
      <c r="M5214" s="9" t="s">
        <v>18065</v>
      </c>
      <c r="N5214" s="9" t="s">
        <v>20237</v>
      </c>
      <c r="O5214" s="9" t="s">
        <v>18340</v>
      </c>
      <c r="P5214" s="9" t="s">
        <v>17748</v>
      </c>
      <c r="Q5214" s="11" t="s">
        <v>18493</v>
      </c>
      <c r="R5214" s="11" t="s">
        <v>18493</v>
      </c>
      <c r="S5214" s="11" t="s">
        <v>17750</v>
      </c>
    </row>
    <row r="5215" spans="1:19" x14ac:dyDescent="0.2">
      <c r="A5215" s="11" t="s">
        <v>47962</v>
      </c>
      <c r="B5215" s="9" t="s">
        <v>47963</v>
      </c>
      <c r="C5215" s="9" t="s">
        <v>47964</v>
      </c>
      <c r="D5215" s="9" t="s">
        <v>47965</v>
      </c>
      <c r="E5215" s="9" t="s">
        <v>17740</v>
      </c>
      <c r="F5215" s="9" t="s">
        <v>47966</v>
      </c>
      <c r="G5215" s="9" t="s">
        <v>17740</v>
      </c>
      <c r="H5215" s="11" t="s">
        <v>47967</v>
      </c>
      <c r="I5215" s="11" t="s">
        <v>47968</v>
      </c>
      <c r="J5215" s="11" t="s">
        <v>47968</v>
      </c>
      <c r="K5215" s="9" t="s">
        <v>47969</v>
      </c>
      <c r="L5215" s="9" t="s">
        <v>40395</v>
      </c>
      <c r="M5215" s="9" t="s">
        <v>17760</v>
      </c>
      <c r="N5215" s="9" t="s">
        <v>17746</v>
      </c>
      <c r="O5215" s="9" t="s">
        <v>18340</v>
      </c>
      <c r="P5215" s="9" t="s">
        <v>17748</v>
      </c>
      <c r="Q5215" s="11" t="s">
        <v>18356</v>
      </c>
      <c r="R5215" s="11" t="s">
        <v>18356</v>
      </c>
      <c r="S5215" s="11" t="s">
        <v>17750</v>
      </c>
    </row>
    <row r="5216" spans="1:19" x14ac:dyDescent="0.2">
      <c r="A5216" s="11" t="s">
        <v>47970</v>
      </c>
      <c r="B5216" s="9" t="s">
        <v>6804</v>
      </c>
      <c r="C5216" s="9" t="s">
        <v>47971</v>
      </c>
      <c r="D5216" s="9" t="s">
        <v>6804</v>
      </c>
      <c r="E5216" s="9" t="s">
        <v>17740</v>
      </c>
      <c r="F5216" s="9" t="s">
        <v>17741</v>
      </c>
      <c r="G5216" s="9" t="s">
        <v>17740</v>
      </c>
      <c r="H5216" s="11" t="s">
        <v>6806</v>
      </c>
      <c r="I5216" s="11" t="s">
        <v>6805</v>
      </c>
      <c r="J5216" s="11" t="s">
        <v>6805</v>
      </c>
      <c r="K5216" s="9" t="s">
        <v>291</v>
      </c>
      <c r="L5216" s="9" t="s">
        <v>17744</v>
      </c>
      <c r="M5216" s="9" t="s">
        <v>17760</v>
      </c>
      <c r="N5216" s="9" t="s">
        <v>17746</v>
      </c>
      <c r="O5216" s="9" t="s">
        <v>3255</v>
      </c>
      <c r="P5216" s="9" t="s">
        <v>17748</v>
      </c>
      <c r="Q5216" s="11" t="s">
        <v>17792</v>
      </c>
      <c r="R5216" s="11" t="s">
        <v>17792</v>
      </c>
      <c r="S5216" s="11" t="s">
        <v>17750</v>
      </c>
    </row>
    <row r="5217" spans="1:19" x14ac:dyDescent="0.2">
      <c r="A5217" s="11" t="s">
        <v>47972</v>
      </c>
      <c r="B5217" s="9" t="s">
        <v>47973</v>
      </c>
      <c r="C5217" s="9" t="s">
        <v>47974</v>
      </c>
      <c r="D5217" s="9" t="s">
        <v>47975</v>
      </c>
      <c r="E5217" s="9" t="s">
        <v>17740</v>
      </c>
      <c r="F5217" s="9" t="s">
        <v>47976</v>
      </c>
      <c r="G5217" s="9" t="s">
        <v>17740</v>
      </c>
      <c r="H5217" s="11" t="s">
        <v>4208</v>
      </c>
      <c r="I5217" s="11" t="s">
        <v>4207</v>
      </c>
      <c r="J5217" s="11" t="s">
        <v>4207</v>
      </c>
      <c r="K5217" s="9" t="s">
        <v>37296</v>
      </c>
      <c r="L5217" s="9" t="s">
        <v>18158</v>
      </c>
      <c r="M5217" s="9" t="s">
        <v>17817</v>
      </c>
      <c r="N5217" s="9" t="s">
        <v>18185</v>
      </c>
      <c r="O5217" s="9" t="s">
        <v>24192</v>
      </c>
      <c r="P5217" s="9" t="s">
        <v>17748</v>
      </c>
      <c r="Q5217" s="11" t="s">
        <v>18059</v>
      </c>
      <c r="R5217" s="11" t="s">
        <v>18059</v>
      </c>
      <c r="S5217" s="11" t="s">
        <v>17750</v>
      </c>
    </row>
    <row r="5218" spans="1:19" x14ac:dyDescent="0.2">
      <c r="A5218" s="11" t="s">
        <v>47977</v>
      </c>
      <c r="B5218" s="9" t="s">
        <v>47978</v>
      </c>
      <c r="C5218" s="9" t="s">
        <v>47979</v>
      </c>
      <c r="D5218" s="9" t="s">
        <v>7495</v>
      </c>
      <c r="E5218" s="9" t="s">
        <v>17740</v>
      </c>
      <c r="F5218" s="9" t="s">
        <v>17741</v>
      </c>
      <c r="G5218" s="9" t="s">
        <v>17740</v>
      </c>
      <c r="H5218" s="11" t="s">
        <v>7497</v>
      </c>
      <c r="I5218" s="11" t="s">
        <v>7496</v>
      </c>
      <c r="J5218" s="11" t="s">
        <v>7496</v>
      </c>
      <c r="K5218" s="9" t="s">
        <v>291</v>
      </c>
      <c r="L5218" s="9" t="s">
        <v>17744</v>
      </c>
      <c r="M5218" s="9" t="s">
        <v>17760</v>
      </c>
      <c r="N5218" s="9" t="s">
        <v>17746</v>
      </c>
      <c r="O5218" s="9" t="s">
        <v>3100</v>
      </c>
      <c r="P5218" s="9" t="s">
        <v>17748</v>
      </c>
      <c r="Q5218" s="11" t="s">
        <v>18201</v>
      </c>
      <c r="R5218" s="11" t="s">
        <v>18201</v>
      </c>
      <c r="S5218" s="11" t="s">
        <v>17750</v>
      </c>
    </row>
    <row r="5219" spans="1:19" x14ac:dyDescent="0.2">
      <c r="A5219" s="11" t="s">
        <v>47980</v>
      </c>
      <c r="B5219" s="9" t="s">
        <v>47981</v>
      </c>
      <c r="C5219" s="9" t="s">
        <v>47982</v>
      </c>
      <c r="D5219" s="9" t="s">
        <v>47983</v>
      </c>
      <c r="E5219" s="9" t="s">
        <v>17740</v>
      </c>
      <c r="F5219" s="9" t="s">
        <v>47984</v>
      </c>
      <c r="G5219" s="9" t="s">
        <v>17740</v>
      </c>
      <c r="H5219" s="11" t="s">
        <v>8884</v>
      </c>
      <c r="I5219" s="11" t="s">
        <v>8883</v>
      </c>
      <c r="J5219" s="11" t="s">
        <v>8883</v>
      </c>
      <c r="K5219" s="9" t="s">
        <v>20207</v>
      </c>
      <c r="L5219" s="9" t="s">
        <v>17744</v>
      </c>
      <c r="M5219" s="9" t="s">
        <v>18170</v>
      </c>
      <c r="N5219" s="9" t="s">
        <v>17746</v>
      </c>
      <c r="O5219" s="9" t="s">
        <v>18514</v>
      </c>
      <c r="P5219" s="9" t="s">
        <v>17748</v>
      </c>
      <c r="Q5219" s="11" t="s">
        <v>18922</v>
      </c>
      <c r="R5219" s="11" t="s">
        <v>18922</v>
      </c>
      <c r="S5219" s="11" t="s">
        <v>17750</v>
      </c>
    </row>
    <row r="5220" spans="1:19" x14ac:dyDescent="0.2">
      <c r="A5220" s="11" t="s">
        <v>47985</v>
      </c>
      <c r="B5220" s="9" t="s">
        <v>47986</v>
      </c>
      <c r="C5220" s="9" t="s">
        <v>47987</v>
      </c>
      <c r="D5220" s="9" t="s">
        <v>3795</v>
      </c>
      <c r="E5220" s="9" t="s">
        <v>17740</v>
      </c>
      <c r="F5220" s="9" t="s">
        <v>17741</v>
      </c>
      <c r="G5220" s="9" t="s">
        <v>17740</v>
      </c>
      <c r="H5220" s="11" t="s">
        <v>3797</v>
      </c>
      <c r="I5220" s="11" t="s">
        <v>3796</v>
      </c>
      <c r="J5220" s="11" t="s">
        <v>3796</v>
      </c>
      <c r="K5220" s="9" t="s">
        <v>17758</v>
      </c>
      <c r="L5220" s="9" t="s">
        <v>17759</v>
      </c>
      <c r="M5220" s="9" t="s">
        <v>25018</v>
      </c>
      <c r="N5220" s="9" t="s">
        <v>17746</v>
      </c>
      <c r="O5220" s="9" t="s">
        <v>24601</v>
      </c>
      <c r="P5220" s="9" t="s">
        <v>17748</v>
      </c>
      <c r="Q5220" s="11" t="s">
        <v>18282</v>
      </c>
      <c r="R5220" s="11" t="s">
        <v>18282</v>
      </c>
      <c r="S5220" s="11" t="s">
        <v>17750</v>
      </c>
    </row>
    <row r="5221" spans="1:19" x14ac:dyDescent="0.2">
      <c r="A5221" s="11" t="s">
        <v>47988</v>
      </c>
      <c r="B5221" s="9" t="s">
        <v>47989</v>
      </c>
      <c r="C5221" s="9" t="s">
        <v>47990</v>
      </c>
      <c r="D5221" s="9" t="s">
        <v>6472</v>
      </c>
      <c r="E5221" s="9" t="s">
        <v>17740</v>
      </c>
      <c r="F5221" s="9" t="s">
        <v>47991</v>
      </c>
      <c r="G5221" s="9" t="s">
        <v>17740</v>
      </c>
      <c r="H5221" s="11" t="s">
        <v>6474</v>
      </c>
      <c r="I5221" s="11" t="s">
        <v>6473</v>
      </c>
      <c r="J5221" s="11" t="s">
        <v>6473</v>
      </c>
      <c r="K5221" s="9" t="s">
        <v>324</v>
      </c>
      <c r="L5221" s="9" t="s">
        <v>17759</v>
      </c>
      <c r="M5221" s="9" t="s">
        <v>17817</v>
      </c>
      <c r="N5221" s="9" t="s">
        <v>17746</v>
      </c>
      <c r="O5221" s="9" t="s">
        <v>47992</v>
      </c>
      <c r="P5221" s="9" t="s">
        <v>17748</v>
      </c>
      <c r="Q5221" s="11" t="s">
        <v>17792</v>
      </c>
      <c r="R5221" s="11" t="s">
        <v>17792</v>
      </c>
      <c r="S5221" s="11" t="s">
        <v>17750</v>
      </c>
    </row>
    <row r="5222" spans="1:19" x14ac:dyDescent="0.2">
      <c r="A5222" s="11" t="s">
        <v>47993</v>
      </c>
      <c r="B5222" s="9" t="s">
        <v>47994</v>
      </c>
      <c r="C5222" s="9" t="s">
        <v>47995</v>
      </c>
      <c r="D5222" s="9" t="s">
        <v>47996</v>
      </c>
      <c r="E5222" s="9" t="s">
        <v>17740</v>
      </c>
      <c r="F5222" s="9" t="s">
        <v>17741</v>
      </c>
      <c r="G5222" s="9" t="s">
        <v>17740</v>
      </c>
      <c r="H5222" s="11" t="s">
        <v>17741</v>
      </c>
      <c r="I5222" s="11" t="s">
        <v>47997</v>
      </c>
      <c r="J5222" s="11" t="s">
        <v>47997</v>
      </c>
      <c r="K5222" s="9" t="s">
        <v>47998</v>
      </c>
      <c r="L5222" s="9" t="s">
        <v>18001</v>
      </c>
      <c r="M5222" s="9" t="s">
        <v>17942</v>
      </c>
      <c r="N5222" s="9" t="s">
        <v>17746</v>
      </c>
      <c r="O5222" s="9" t="s">
        <v>17747</v>
      </c>
      <c r="P5222" s="9" t="s">
        <v>17748</v>
      </c>
      <c r="Q5222" s="11" t="s">
        <v>18080</v>
      </c>
      <c r="R5222" s="11" t="s">
        <v>18080</v>
      </c>
      <c r="S5222" s="11" t="s">
        <v>17750</v>
      </c>
    </row>
    <row r="5223" spans="1:19" x14ac:dyDescent="0.2">
      <c r="A5223" s="11" t="s">
        <v>47999</v>
      </c>
      <c r="B5223" s="9" t="s">
        <v>48000</v>
      </c>
      <c r="C5223" s="9" t="s">
        <v>48001</v>
      </c>
      <c r="D5223" s="9" t="s">
        <v>48002</v>
      </c>
      <c r="E5223" s="9" t="s">
        <v>17740</v>
      </c>
      <c r="F5223" s="9" t="s">
        <v>17741</v>
      </c>
      <c r="G5223" s="9" t="s">
        <v>17740</v>
      </c>
      <c r="H5223" s="11" t="s">
        <v>17741</v>
      </c>
      <c r="I5223" s="11" t="s">
        <v>48003</v>
      </c>
      <c r="J5223" s="11" t="s">
        <v>48003</v>
      </c>
      <c r="K5223" s="9" t="s">
        <v>48004</v>
      </c>
      <c r="L5223" s="9" t="s">
        <v>17759</v>
      </c>
      <c r="M5223" s="9" t="s">
        <v>27727</v>
      </c>
      <c r="N5223" s="9" t="s">
        <v>17746</v>
      </c>
      <c r="O5223" s="9" t="s">
        <v>44093</v>
      </c>
      <c r="P5223" s="9" t="s">
        <v>17748</v>
      </c>
      <c r="Q5223" s="11" t="s">
        <v>17849</v>
      </c>
      <c r="R5223" s="11" t="s">
        <v>17849</v>
      </c>
      <c r="S5223" s="11" t="s">
        <v>17750</v>
      </c>
    </row>
    <row r="5224" spans="1:19" x14ac:dyDescent="0.2">
      <c r="A5224" s="11" t="s">
        <v>48005</v>
      </c>
      <c r="B5224" s="9" t="s">
        <v>48006</v>
      </c>
      <c r="C5224" s="9" t="s">
        <v>48007</v>
      </c>
      <c r="D5224" s="9" t="s">
        <v>48008</v>
      </c>
      <c r="E5224" s="9" t="s">
        <v>17740</v>
      </c>
      <c r="F5224" s="9" t="s">
        <v>17741</v>
      </c>
      <c r="G5224" s="9" t="s">
        <v>17740</v>
      </c>
      <c r="H5224" s="11" t="s">
        <v>17741</v>
      </c>
      <c r="I5224" s="11" t="s">
        <v>48009</v>
      </c>
      <c r="J5224" s="11" t="s">
        <v>48009</v>
      </c>
      <c r="K5224" s="9" t="s">
        <v>920</v>
      </c>
      <c r="L5224" s="9" t="s">
        <v>18001</v>
      </c>
      <c r="M5224" s="9" t="s">
        <v>17942</v>
      </c>
      <c r="N5224" s="9" t="s">
        <v>17746</v>
      </c>
      <c r="O5224" s="9" t="s">
        <v>48010</v>
      </c>
      <c r="P5224" s="9" t="s">
        <v>17748</v>
      </c>
      <c r="Q5224" s="11" t="s">
        <v>18080</v>
      </c>
      <c r="R5224" s="11" t="s">
        <v>18080</v>
      </c>
      <c r="S5224" s="11" t="s">
        <v>17750</v>
      </c>
    </row>
    <row r="5225" spans="1:19" x14ac:dyDescent="0.2">
      <c r="A5225" s="11" t="s">
        <v>48011</v>
      </c>
      <c r="B5225" s="9" t="s">
        <v>48012</v>
      </c>
      <c r="C5225" s="9" t="s">
        <v>48013</v>
      </c>
      <c r="D5225" s="9" t="s">
        <v>48014</v>
      </c>
      <c r="E5225" s="9" t="s">
        <v>17740</v>
      </c>
      <c r="F5225" s="9" t="s">
        <v>17741</v>
      </c>
      <c r="G5225" s="9" t="s">
        <v>17740</v>
      </c>
      <c r="H5225" s="11" t="s">
        <v>48015</v>
      </c>
      <c r="I5225" s="11" t="s">
        <v>48016</v>
      </c>
      <c r="J5225" s="11" t="s">
        <v>48016</v>
      </c>
      <c r="K5225" s="9" t="s">
        <v>91</v>
      </c>
      <c r="L5225" s="9" t="s">
        <v>17744</v>
      </c>
      <c r="M5225" s="9" t="s">
        <v>24813</v>
      </c>
      <c r="N5225" s="9" t="s">
        <v>17746</v>
      </c>
      <c r="O5225" s="9" t="s">
        <v>48017</v>
      </c>
      <c r="P5225" s="9" t="s">
        <v>17748</v>
      </c>
      <c r="Q5225" s="11" t="s">
        <v>18798</v>
      </c>
      <c r="R5225" s="11" t="s">
        <v>18798</v>
      </c>
      <c r="S5225" s="11" t="s">
        <v>17750</v>
      </c>
    </row>
    <row r="5226" spans="1:19" x14ac:dyDescent="0.2">
      <c r="A5226" s="11" t="s">
        <v>48018</v>
      </c>
      <c r="B5226" s="9" t="s">
        <v>48019</v>
      </c>
      <c r="C5226" s="9" t="s">
        <v>48020</v>
      </c>
      <c r="D5226" s="9" t="s">
        <v>48021</v>
      </c>
      <c r="E5226" s="9" t="s">
        <v>17740</v>
      </c>
      <c r="F5226" s="9" t="s">
        <v>48022</v>
      </c>
      <c r="G5226" s="9" t="s">
        <v>17740</v>
      </c>
      <c r="H5226" s="11" t="s">
        <v>17741</v>
      </c>
      <c r="I5226" s="11" t="s">
        <v>48023</v>
      </c>
      <c r="J5226" s="11" t="s">
        <v>48023</v>
      </c>
      <c r="K5226" s="9" t="s">
        <v>17865</v>
      </c>
      <c r="L5226" s="9" t="s">
        <v>17744</v>
      </c>
      <c r="M5226" s="9" t="s">
        <v>25613</v>
      </c>
      <c r="N5226" s="9" t="s">
        <v>17746</v>
      </c>
      <c r="O5226" s="9" t="s">
        <v>20690</v>
      </c>
      <c r="P5226" s="9" t="s">
        <v>17748</v>
      </c>
      <c r="Q5226" s="11" t="s">
        <v>18282</v>
      </c>
      <c r="R5226" s="11" t="s">
        <v>18282</v>
      </c>
      <c r="S5226" s="11" t="s">
        <v>17750</v>
      </c>
    </row>
    <row r="5227" spans="1:19" x14ac:dyDescent="0.2">
      <c r="A5227" s="11" t="s">
        <v>48024</v>
      </c>
      <c r="B5227" s="9" t="s">
        <v>48025</v>
      </c>
      <c r="C5227" s="9" t="s">
        <v>48026</v>
      </c>
      <c r="D5227" s="9" t="s">
        <v>48027</v>
      </c>
      <c r="E5227" s="9" t="s">
        <v>17740</v>
      </c>
      <c r="F5227" s="9" t="s">
        <v>48028</v>
      </c>
      <c r="G5227" s="9" t="s">
        <v>17740</v>
      </c>
      <c r="H5227" s="11" t="s">
        <v>17741</v>
      </c>
      <c r="I5227" s="11" t="s">
        <v>48029</v>
      </c>
      <c r="J5227" s="11" t="s">
        <v>48029</v>
      </c>
      <c r="K5227" s="9" t="s">
        <v>18934</v>
      </c>
      <c r="L5227" s="9" t="s">
        <v>17744</v>
      </c>
      <c r="M5227" s="9" t="s">
        <v>18745</v>
      </c>
      <c r="N5227" s="9" t="s">
        <v>17746</v>
      </c>
      <c r="O5227" s="9" t="s">
        <v>22302</v>
      </c>
      <c r="P5227" s="9" t="s">
        <v>17748</v>
      </c>
      <c r="Q5227" s="11" t="s">
        <v>19899</v>
      </c>
      <c r="R5227" s="11" t="s">
        <v>19899</v>
      </c>
      <c r="S5227" s="11" t="s">
        <v>17750</v>
      </c>
    </row>
    <row r="5228" spans="1:19" x14ac:dyDescent="0.2">
      <c r="A5228" s="11" t="s">
        <v>48030</v>
      </c>
      <c r="B5228" s="9" t="s">
        <v>48031</v>
      </c>
      <c r="C5228" s="9" t="s">
        <v>48032</v>
      </c>
      <c r="D5228" s="9" t="s">
        <v>48033</v>
      </c>
      <c r="E5228" s="9" t="s">
        <v>17740</v>
      </c>
      <c r="F5228" s="9" t="s">
        <v>48034</v>
      </c>
      <c r="G5228" s="9" t="s">
        <v>17740</v>
      </c>
      <c r="H5228" s="11" t="s">
        <v>48035</v>
      </c>
      <c r="I5228" s="11" t="s">
        <v>48036</v>
      </c>
      <c r="J5228" s="11" t="s">
        <v>48036</v>
      </c>
      <c r="K5228" s="9" t="s">
        <v>689</v>
      </c>
      <c r="L5228" s="9" t="s">
        <v>17759</v>
      </c>
      <c r="M5228" s="9" t="s">
        <v>17760</v>
      </c>
      <c r="N5228" s="9" t="s">
        <v>17746</v>
      </c>
      <c r="O5228" s="9" t="s">
        <v>18644</v>
      </c>
      <c r="P5228" s="9" t="s">
        <v>17748</v>
      </c>
      <c r="Q5228" s="11" t="s">
        <v>19222</v>
      </c>
      <c r="R5228" s="11" t="s">
        <v>19222</v>
      </c>
      <c r="S5228" s="11" t="s">
        <v>17750</v>
      </c>
    </row>
    <row r="5229" spans="1:19" x14ac:dyDescent="0.2">
      <c r="A5229" s="11" t="s">
        <v>48037</v>
      </c>
      <c r="B5229" s="9" t="s">
        <v>48038</v>
      </c>
      <c r="C5229" s="9" t="s">
        <v>48039</v>
      </c>
      <c r="D5229" s="9" t="s">
        <v>48040</v>
      </c>
      <c r="E5229" s="9" t="s">
        <v>17740</v>
      </c>
      <c r="F5229" s="9" t="s">
        <v>17741</v>
      </c>
      <c r="G5229" s="9" t="s">
        <v>17740</v>
      </c>
      <c r="H5229" s="11" t="s">
        <v>48041</v>
      </c>
      <c r="I5229" s="11" t="s">
        <v>17741</v>
      </c>
      <c r="J5229" s="11" t="s">
        <v>48041</v>
      </c>
      <c r="K5229" s="9" t="s">
        <v>18570</v>
      </c>
      <c r="L5229" s="9" t="s">
        <v>17744</v>
      </c>
      <c r="M5229" s="9" t="s">
        <v>17741</v>
      </c>
      <c r="N5229" s="9" t="s">
        <v>17746</v>
      </c>
      <c r="O5229" s="9" t="s">
        <v>18644</v>
      </c>
      <c r="P5229" s="9" t="s">
        <v>17748</v>
      </c>
      <c r="Q5229" s="11" t="s">
        <v>17762</v>
      </c>
      <c r="R5229" s="11" t="s">
        <v>17762</v>
      </c>
      <c r="S5229" s="11" t="s">
        <v>17750</v>
      </c>
    </row>
    <row r="5230" spans="1:19" x14ac:dyDescent="0.2">
      <c r="A5230" s="11" t="s">
        <v>48042</v>
      </c>
      <c r="B5230" s="9" t="s">
        <v>48043</v>
      </c>
      <c r="C5230" s="9" t="s">
        <v>48044</v>
      </c>
      <c r="D5230" s="9" t="s">
        <v>48045</v>
      </c>
      <c r="E5230" s="9" t="s">
        <v>17748</v>
      </c>
      <c r="F5230" s="9" t="s">
        <v>48046</v>
      </c>
      <c r="G5230" s="9" t="s">
        <v>17740</v>
      </c>
      <c r="H5230" s="11" t="s">
        <v>48047</v>
      </c>
      <c r="I5230" s="11" t="s">
        <v>48048</v>
      </c>
      <c r="J5230" s="11" t="s">
        <v>48048</v>
      </c>
      <c r="K5230" s="9" t="s">
        <v>291</v>
      </c>
      <c r="L5230" s="9" t="s">
        <v>17744</v>
      </c>
      <c r="M5230" s="9" t="s">
        <v>38323</v>
      </c>
      <c r="N5230" s="9" t="s">
        <v>17746</v>
      </c>
      <c r="O5230" s="9" t="s">
        <v>18644</v>
      </c>
      <c r="P5230" s="9" t="s">
        <v>17748</v>
      </c>
      <c r="Q5230" s="11" t="s">
        <v>18201</v>
      </c>
      <c r="R5230" s="11" t="s">
        <v>18201</v>
      </c>
      <c r="S5230" s="11" t="s">
        <v>17750</v>
      </c>
    </row>
    <row r="5231" spans="1:19" x14ac:dyDescent="0.2">
      <c r="A5231" s="11" t="s">
        <v>48049</v>
      </c>
      <c r="B5231" s="9" t="s">
        <v>48050</v>
      </c>
      <c r="C5231" s="9" t="s">
        <v>48051</v>
      </c>
      <c r="D5231" s="9" t="s">
        <v>48052</v>
      </c>
      <c r="E5231" s="9" t="s">
        <v>17740</v>
      </c>
      <c r="F5231" s="9" t="s">
        <v>17741</v>
      </c>
      <c r="G5231" s="9" t="s">
        <v>17740</v>
      </c>
      <c r="H5231" s="11" t="s">
        <v>48053</v>
      </c>
      <c r="I5231" s="11" t="s">
        <v>48054</v>
      </c>
      <c r="J5231" s="11" t="s">
        <v>48054</v>
      </c>
      <c r="K5231" s="9" t="s">
        <v>21545</v>
      </c>
      <c r="L5231" s="9" t="s">
        <v>18854</v>
      </c>
      <c r="M5231" s="9" t="s">
        <v>19965</v>
      </c>
      <c r="N5231" s="9" t="s">
        <v>20237</v>
      </c>
      <c r="O5231" s="9" t="s">
        <v>19275</v>
      </c>
      <c r="P5231" s="9" t="s">
        <v>17748</v>
      </c>
      <c r="Q5231" s="11" t="s">
        <v>18805</v>
      </c>
      <c r="R5231" s="11" t="s">
        <v>18805</v>
      </c>
      <c r="S5231" s="11" t="s">
        <v>17750</v>
      </c>
    </row>
    <row r="5232" spans="1:19" x14ac:dyDescent="0.2">
      <c r="A5232" s="11" t="s">
        <v>48055</v>
      </c>
      <c r="B5232" s="9" t="s">
        <v>48056</v>
      </c>
      <c r="C5232" s="9" t="s">
        <v>48057</v>
      </c>
      <c r="D5232" s="9" t="s">
        <v>48058</v>
      </c>
      <c r="E5232" s="9" t="s">
        <v>17740</v>
      </c>
      <c r="F5232" s="9" t="s">
        <v>48059</v>
      </c>
      <c r="G5232" s="9" t="s">
        <v>17740</v>
      </c>
      <c r="H5232" s="11" t="s">
        <v>17741</v>
      </c>
      <c r="I5232" s="11" t="s">
        <v>48060</v>
      </c>
      <c r="J5232" s="11" t="s">
        <v>48060</v>
      </c>
      <c r="K5232" s="9" t="s">
        <v>40542</v>
      </c>
      <c r="L5232" s="9" t="s">
        <v>18158</v>
      </c>
      <c r="M5232" s="9" t="s">
        <v>48061</v>
      </c>
      <c r="N5232" s="9" t="s">
        <v>18185</v>
      </c>
      <c r="O5232" s="9" t="s">
        <v>17747</v>
      </c>
      <c r="P5232" s="9" t="s">
        <v>17748</v>
      </c>
      <c r="Q5232" s="11" t="s">
        <v>20251</v>
      </c>
      <c r="R5232" s="11" t="s">
        <v>20251</v>
      </c>
      <c r="S5232" s="11" t="s">
        <v>17750</v>
      </c>
    </row>
    <row r="5233" spans="1:19" x14ac:dyDescent="0.2">
      <c r="A5233" s="11" t="s">
        <v>48062</v>
      </c>
      <c r="B5233" s="9" t="s">
        <v>48063</v>
      </c>
      <c r="C5233" s="9" t="s">
        <v>48064</v>
      </c>
      <c r="D5233" s="9" t="s">
        <v>48065</v>
      </c>
      <c r="E5233" s="9" t="s">
        <v>17740</v>
      </c>
      <c r="F5233" s="9" t="s">
        <v>48066</v>
      </c>
      <c r="G5233" s="9" t="s">
        <v>17740</v>
      </c>
      <c r="H5233" s="11" t="s">
        <v>17741</v>
      </c>
      <c r="I5233" s="11" t="s">
        <v>48067</v>
      </c>
      <c r="J5233" s="11" t="s">
        <v>48067</v>
      </c>
      <c r="K5233" s="9" t="s">
        <v>48068</v>
      </c>
      <c r="L5233" s="9" t="s">
        <v>18158</v>
      </c>
      <c r="M5233" s="9" t="s">
        <v>17942</v>
      </c>
      <c r="N5233" s="9" t="s">
        <v>18185</v>
      </c>
      <c r="O5233" s="9" t="s">
        <v>17747</v>
      </c>
      <c r="P5233" s="9" t="s">
        <v>17748</v>
      </c>
      <c r="Q5233" s="11" t="s">
        <v>18282</v>
      </c>
      <c r="R5233" s="11" t="s">
        <v>18282</v>
      </c>
      <c r="S5233" s="11" t="s">
        <v>17750</v>
      </c>
    </row>
    <row r="5234" spans="1:19" x14ac:dyDescent="0.2">
      <c r="A5234" s="11" t="s">
        <v>48069</v>
      </c>
      <c r="B5234" s="9" t="s">
        <v>48070</v>
      </c>
      <c r="C5234" s="9" t="s">
        <v>48071</v>
      </c>
      <c r="D5234" s="9" t="s">
        <v>48072</v>
      </c>
      <c r="E5234" s="9" t="s">
        <v>17740</v>
      </c>
      <c r="F5234" s="9" t="s">
        <v>48073</v>
      </c>
      <c r="G5234" s="9" t="s">
        <v>17740</v>
      </c>
      <c r="H5234" s="11" t="s">
        <v>48074</v>
      </c>
      <c r="I5234" s="11" t="s">
        <v>48075</v>
      </c>
      <c r="J5234" s="11" t="s">
        <v>48075</v>
      </c>
      <c r="K5234" s="9" t="s">
        <v>970</v>
      </c>
      <c r="L5234" s="9" t="s">
        <v>17744</v>
      </c>
      <c r="M5234" s="9" t="s">
        <v>24928</v>
      </c>
      <c r="N5234" s="9" t="s">
        <v>17746</v>
      </c>
      <c r="O5234" s="9" t="s">
        <v>21424</v>
      </c>
      <c r="P5234" s="9" t="s">
        <v>17748</v>
      </c>
      <c r="Q5234" s="11" t="s">
        <v>19026</v>
      </c>
      <c r="R5234" s="11" t="s">
        <v>19026</v>
      </c>
      <c r="S5234" s="11" t="s">
        <v>17750</v>
      </c>
    </row>
    <row r="5235" spans="1:19" x14ac:dyDescent="0.2">
      <c r="A5235" s="11" t="s">
        <v>48076</v>
      </c>
      <c r="B5235" s="9" t="s">
        <v>48077</v>
      </c>
      <c r="C5235" s="9" t="s">
        <v>48078</v>
      </c>
      <c r="D5235" s="9" t="s">
        <v>48079</v>
      </c>
      <c r="E5235" s="9" t="s">
        <v>17740</v>
      </c>
      <c r="F5235" s="9" t="s">
        <v>17741</v>
      </c>
      <c r="G5235" s="9" t="s">
        <v>17740</v>
      </c>
      <c r="H5235" s="11" t="s">
        <v>17741</v>
      </c>
      <c r="I5235" s="11" t="s">
        <v>17741</v>
      </c>
      <c r="J5235" s="11" t="s">
        <v>17741</v>
      </c>
      <c r="K5235" s="9" t="s">
        <v>21751</v>
      </c>
      <c r="L5235" s="9" t="s">
        <v>17991</v>
      </c>
      <c r="M5235" s="9" t="s">
        <v>17769</v>
      </c>
      <c r="N5235" s="9" t="s">
        <v>17746</v>
      </c>
      <c r="O5235" s="9" t="s">
        <v>18363</v>
      </c>
      <c r="P5235" s="9" t="s">
        <v>17748</v>
      </c>
      <c r="Q5235" s="11" t="s">
        <v>17994</v>
      </c>
      <c r="R5235" s="11" t="s">
        <v>17994</v>
      </c>
      <c r="S5235" s="11" t="s">
        <v>17750</v>
      </c>
    </row>
    <row r="5236" spans="1:19" x14ac:dyDescent="0.2">
      <c r="A5236" s="11" t="s">
        <v>48080</v>
      </c>
      <c r="B5236" s="9" t="s">
        <v>48081</v>
      </c>
      <c r="C5236" s="9" t="s">
        <v>48082</v>
      </c>
      <c r="D5236" s="9" t="s">
        <v>48083</v>
      </c>
      <c r="E5236" s="9" t="s">
        <v>17748</v>
      </c>
      <c r="F5236" s="9" t="s">
        <v>48084</v>
      </c>
      <c r="G5236" s="9" t="s">
        <v>17740</v>
      </c>
      <c r="H5236" s="11" t="s">
        <v>17741</v>
      </c>
      <c r="I5236" s="11" t="s">
        <v>48085</v>
      </c>
      <c r="J5236" s="11" t="s">
        <v>48085</v>
      </c>
      <c r="K5236" s="9" t="s">
        <v>91</v>
      </c>
      <c r="L5236" s="9" t="s">
        <v>18001</v>
      </c>
      <c r="M5236" s="9" t="s">
        <v>17741</v>
      </c>
      <c r="N5236" s="9" t="s">
        <v>17746</v>
      </c>
      <c r="O5236" s="9" t="s">
        <v>48086</v>
      </c>
      <c r="P5236" s="9" t="s">
        <v>17748</v>
      </c>
      <c r="Q5236" s="11" t="s">
        <v>17784</v>
      </c>
      <c r="R5236" s="11" t="s">
        <v>17784</v>
      </c>
      <c r="S5236" s="11" t="s">
        <v>17750</v>
      </c>
    </row>
    <row r="5237" spans="1:19" x14ac:dyDescent="0.2">
      <c r="A5237" s="11" t="s">
        <v>48087</v>
      </c>
      <c r="B5237" s="9" t="s">
        <v>48088</v>
      </c>
      <c r="C5237" s="9" t="s">
        <v>48089</v>
      </c>
      <c r="D5237" s="9" t="s">
        <v>48090</v>
      </c>
      <c r="E5237" s="9" t="s">
        <v>17740</v>
      </c>
      <c r="F5237" s="9" t="s">
        <v>17741</v>
      </c>
      <c r="G5237" s="9" t="s">
        <v>17740</v>
      </c>
      <c r="H5237" s="11" t="s">
        <v>6731</v>
      </c>
      <c r="I5237" s="11" t="s">
        <v>6730</v>
      </c>
      <c r="J5237" s="11" t="s">
        <v>6730</v>
      </c>
      <c r="K5237" s="9" t="s">
        <v>17790</v>
      </c>
      <c r="L5237" s="9" t="s">
        <v>18158</v>
      </c>
      <c r="M5237" s="9" t="s">
        <v>30633</v>
      </c>
      <c r="N5237" s="9" t="s">
        <v>17746</v>
      </c>
      <c r="O5237" s="9" t="s">
        <v>18363</v>
      </c>
      <c r="P5237" s="9" t="s">
        <v>17748</v>
      </c>
      <c r="Q5237" s="11" t="s">
        <v>17792</v>
      </c>
      <c r="R5237" s="11" t="s">
        <v>17792</v>
      </c>
      <c r="S5237" s="11" t="s">
        <v>17750</v>
      </c>
    </row>
    <row r="5238" spans="1:19" x14ac:dyDescent="0.2">
      <c r="A5238" s="11" t="s">
        <v>48091</v>
      </c>
      <c r="B5238" s="9" t="s">
        <v>48092</v>
      </c>
      <c r="C5238" s="9" t="s">
        <v>48093</v>
      </c>
      <c r="D5238" s="9" t="s">
        <v>48094</v>
      </c>
      <c r="E5238" s="9" t="s">
        <v>17748</v>
      </c>
      <c r="F5238" s="9" t="s">
        <v>48095</v>
      </c>
      <c r="G5238" s="9" t="s">
        <v>17740</v>
      </c>
      <c r="H5238" s="11" t="s">
        <v>17741</v>
      </c>
      <c r="I5238" s="11" t="s">
        <v>48096</v>
      </c>
      <c r="J5238" s="11" t="s">
        <v>48096</v>
      </c>
      <c r="K5238" s="9" t="s">
        <v>48097</v>
      </c>
      <c r="L5238" s="9" t="s">
        <v>23607</v>
      </c>
      <c r="M5238" s="9" t="s">
        <v>17769</v>
      </c>
      <c r="N5238" s="9" t="s">
        <v>17746</v>
      </c>
      <c r="O5238" s="9" t="s">
        <v>18035</v>
      </c>
      <c r="P5238" s="9" t="s">
        <v>17748</v>
      </c>
      <c r="Q5238" s="11" t="s">
        <v>17858</v>
      </c>
      <c r="R5238" s="11" t="s">
        <v>17858</v>
      </c>
      <c r="S5238" s="11" t="s">
        <v>17750</v>
      </c>
    </row>
    <row r="5239" spans="1:19" x14ac:dyDescent="0.2">
      <c r="A5239" s="11" t="s">
        <v>48098</v>
      </c>
      <c r="B5239" s="9" t="s">
        <v>48099</v>
      </c>
      <c r="C5239" s="9" t="s">
        <v>48100</v>
      </c>
      <c r="D5239" s="9" t="s">
        <v>48099</v>
      </c>
      <c r="E5239" s="9" t="s">
        <v>17740</v>
      </c>
      <c r="F5239" s="9" t="s">
        <v>17741</v>
      </c>
      <c r="G5239" s="9" t="s">
        <v>17740</v>
      </c>
      <c r="H5239" s="11" t="s">
        <v>3875</v>
      </c>
      <c r="I5239" s="11" t="s">
        <v>3874</v>
      </c>
      <c r="J5239" s="11" t="s">
        <v>3874</v>
      </c>
      <c r="K5239" s="9" t="s">
        <v>18951</v>
      </c>
      <c r="L5239" s="9" t="s">
        <v>17759</v>
      </c>
      <c r="M5239" s="9" t="s">
        <v>17817</v>
      </c>
      <c r="N5239" s="9" t="s">
        <v>17746</v>
      </c>
      <c r="O5239" s="9" t="s">
        <v>18035</v>
      </c>
      <c r="P5239" s="9" t="s">
        <v>17748</v>
      </c>
      <c r="Q5239" s="11" t="s">
        <v>18493</v>
      </c>
      <c r="R5239" s="11" t="s">
        <v>18493</v>
      </c>
      <c r="S5239" s="11" t="s">
        <v>17750</v>
      </c>
    </row>
    <row r="5240" spans="1:19" x14ac:dyDescent="0.2">
      <c r="A5240" s="11" t="s">
        <v>48101</v>
      </c>
      <c r="B5240" s="9" t="s">
        <v>48102</v>
      </c>
      <c r="C5240" s="9" t="s">
        <v>48103</v>
      </c>
      <c r="D5240" s="9" t="s">
        <v>48104</v>
      </c>
      <c r="E5240" s="9" t="s">
        <v>17740</v>
      </c>
      <c r="F5240" s="9" t="s">
        <v>17741</v>
      </c>
      <c r="G5240" s="9" t="s">
        <v>17740</v>
      </c>
      <c r="H5240" s="11" t="s">
        <v>11160</v>
      </c>
      <c r="I5240" s="11" t="s">
        <v>11159</v>
      </c>
      <c r="J5240" s="11" t="s">
        <v>11159</v>
      </c>
      <c r="K5240" s="9" t="s">
        <v>91</v>
      </c>
      <c r="L5240" s="9" t="s">
        <v>17759</v>
      </c>
      <c r="M5240" s="9" t="s">
        <v>18065</v>
      </c>
      <c r="N5240" s="9" t="s">
        <v>17746</v>
      </c>
      <c r="O5240" s="9" t="s">
        <v>20988</v>
      </c>
      <c r="P5240" s="9" t="s">
        <v>17748</v>
      </c>
      <c r="Q5240" s="11" t="s">
        <v>17984</v>
      </c>
      <c r="R5240" s="11" t="s">
        <v>17984</v>
      </c>
      <c r="S5240" s="11" t="s">
        <v>17750</v>
      </c>
    </row>
    <row r="5241" spans="1:19" x14ac:dyDescent="0.2">
      <c r="A5241" s="11" t="s">
        <v>48105</v>
      </c>
      <c r="B5241" s="9" t="s">
        <v>48106</v>
      </c>
      <c r="C5241" s="9" t="s">
        <v>48107</v>
      </c>
      <c r="D5241" s="9" t="s">
        <v>48108</v>
      </c>
      <c r="E5241" s="9" t="s">
        <v>17740</v>
      </c>
      <c r="F5241" s="9" t="s">
        <v>48109</v>
      </c>
      <c r="G5241" s="9" t="s">
        <v>17740</v>
      </c>
      <c r="H5241" s="11" t="s">
        <v>5874</v>
      </c>
      <c r="I5241" s="11" t="s">
        <v>5873</v>
      </c>
      <c r="J5241" s="11" t="s">
        <v>5873</v>
      </c>
      <c r="K5241" s="9" t="s">
        <v>17790</v>
      </c>
      <c r="L5241" s="9" t="s">
        <v>18242</v>
      </c>
      <c r="M5241" s="9" t="s">
        <v>18289</v>
      </c>
      <c r="N5241" s="9" t="s">
        <v>17746</v>
      </c>
      <c r="O5241" s="9" t="s">
        <v>18035</v>
      </c>
      <c r="P5241" s="9" t="s">
        <v>17748</v>
      </c>
      <c r="Q5241" s="11" t="s">
        <v>18147</v>
      </c>
      <c r="R5241" s="11" t="s">
        <v>18147</v>
      </c>
      <c r="S5241" s="11" t="s">
        <v>17750</v>
      </c>
    </row>
    <row r="5242" spans="1:19" x14ac:dyDescent="0.2">
      <c r="A5242" s="11" t="s">
        <v>48110</v>
      </c>
      <c r="B5242" s="9" t="s">
        <v>48111</v>
      </c>
      <c r="C5242" s="9" t="s">
        <v>48112</v>
      </c>
      <c r="D5242" s="9" t="s">
        <v>48113</v>
      </c>
      <c r="E5242" s="9" t="s">
        <v>17740</v>
      </c>
      <c r="F5242" s="9" t="s">
        <v>48114</v>
      </c>
      <c r="G5242" s="9" t="s">
        <v>17740</v>
      </c>
      <c r="H5242" s="11" t="s">
        <v>3848</v>
      </c>
      <c r="I5242" s="11" t="s">
        <v>3847</v>
      </c>
      <c r="J5242" s="11" t="s">
        <v>3847</v>
      </c>
      <c r="K5242" s="9" t="s">
        <v>17790</v>
      </c>
      <c r="L5242" s="9" t="s">
        <v>18158</v>
      </c>
      <c r="M5242" s="9" t="s">
        <v>20957</v>
      </c>
      <c r="N5242" s="9" t="s">
        <v>17746</v>
      </c>
      <c r="O5242" s="9" t="s">
        <v>48115</v>
      </c>
      <c r="P5242" s="9" t="s">
        <v>17748</v>
      </c>
      <c r="Q5242" s="11" t="s">
        <v>18059</v>
      </c>
      <c r="R5242" s="11" t="s">
        <v>18059</v>
      </c>
      <c r="S5242" s="11" t="s">
        <v>17750</v>
      </c>
    </row>
    <row r="5243" spans="1:19" x14ac:dyDescent="0.2">
      <c r="A5243" s="11" t="s">
        <v>48116</v>
      </c>
      <c r="B5243" s="9" t="s">
        <v>48117</v>
      </c>
      <c r="C5243" s="9" t="s">
        <v>48118</v>
      </c>
      <c r="D5243" s="9" t="s">
        <v>48119</v>
      </c>
      <c r="E5243" s="9" t="s">
        <v>17740</v>
      </c>
      <c r="F5243" s="9" t="s">
        <v>48120</v>
      </c>
      <c r="G5243" s="9" t="s">
        <v>17740</v>
      </c>
      <c r="H5243" s="11" t="s">
        <v>3741</v>
      </c>
      <c r="I5243" s="11" t="s">
        <v>3740</v>
      </c>
      <c r="J5243" s="11" t="s">
        <v>3740</v>
      </c>
      <c r="K5243" s="9" t="s">
        <v>303</v>
      </c>
      <c r="L5243" s="9" t="s">
        <v>17759</v>
      </c>
      <c r="M5243" s="9" t="s">
        <v>17769</v>
      </c>
      <c r="N5243" s="9" t="s">
        <v>17746</v>
      </c>
      <c r="O5243" s="9" t="s">
        <v>18035</v>
      </c>
      <c r="P5243" s="9" t="s">
        <v>17748</v>
      </c>
      <c r="Q5243" s="11" t="s">
        <v>19866</v>
      </c>
      <c r="R5243" s="11" t="s">
        <v>19866</v>
      </c>
      <c r="S5243" s="11" t="s">
        <v>17750</v>
      </c>
    </row>
    <row r="5244" spans="1:19" x14ac:dyDescent="0.2">
      <c r="A5244" s="11" t="s">
        <v>48121</v>
      </c>
      <c r="B5244" s="9" t="s">
        <v>48122</v>
      </c>
      <c r="C5244" s="9" t="s">
        <v>48123</v>
      </c>
      <c r="D5244" s="9" t="s">
        <v>48124</v>
      </c>
      <c r="E5244" s="9" t="s">
        <v>17740</v>
      </c>
      <c r="F5244" s="9" t="s">
        <v>17741</v>
      </c>
      <c r="G5244" s="9" t="s">
        <v>17740</v>
      </c>
      <c r="H5244" s="11" t="s">
        <v>13338</v>
      </c>
      <c r="I5244" s="11" t="s">
        <v>13337</v>
      </c>
      <c r="J5244" s="11" t="s">
        <v>13337</v>
      </c>
      <c r="K5244" s="9" t="s">
        <v>17783</v>
      </c>
      <c r="L5244" s="9" t="s">
        <v>18158</v>
      </c>
      <c r="M5244" s="9" t="s">
        <v>27672</v>
      </c>
      <c r="N5244" s="9" t="s">
        <v>17746</v>
      </c>
      <c r="O5244" s="9" t="s">
        <v>27398</v>
      </c>
      <c r="P5244" s="9" t="s">
        <v>17748</v>
      </c>
      <c r="Q5244" s="11" t="s">
        <v>18364</v>
      </c>
      <c r="R5244" s="11" t="s">
        <v>18364</v>
      </c>
      <c r="S5244" s="11" t="s">
        <v>17750</v>
      </c>
    </row>
    <row r="5245" spans="1:19" x14ac:dyDescent="0.2">
      <c r="A5245" s="11" t="s">
        <v>48125</v>
      </c>
      <c r="B5245" s="9" t="s">
        <v>48126</v>
      </c>
      <c r="C5245" s="9" t="s">
        <v>48127</v>
      </c>
      <c r="D5245" s="9" t="s">
        <v>48128</v>
      </c>
      <c r="E5245" s="9" t="s">
        <v>17740</v>
      </c>
      <c r="F5245" s="9" t="s">
        <v>17741</v>
      </c>
      <c r="G5245" s="9" t="s">
        <v>17740</v>
      </c>
      <c r="H5245" s="11" t="s">
        <v>8485</v>
      </c>
      <c r="I5245" s="11" t="s">
        <v>8484</v>
      </c>
      <c r="J5245" s="11" t="s">
        <v>8484</v>
      </c>
      <c r="K5245" s="9" t="s">
        <v>19180</v>
      </c>
      <c r="L5245" s="9" t="s">
        <v>17759</v>
      </c>
      <c r="M5245" s="9" t="s">
        <v>17760</v>
      </c>
      <c r="N5245" s="9" t="s">
        <v>17746</v>
      </c>
      <c r="O5245" s="9" t="s">
        <v>48129</v>
      </c>
      <c r="P5245" s="9" t="s">
        <v>17748</v>
      </c>
      <c r="Q5245" s="11" t="s">
        <v>17784</v>
      </c>
      <c r="R5245" s="11" t="s">
        <v>17784</v>
      </c>
      <c r="S5245" s="11" t="s">
        <v>17750</v>
      </c>
    </row>
    <row r="5246" spans="1:19" x14ac:dyDescent="0.2">
      <c r="A5246" s="11" t="s">
        <v>48130</v>
      </c>
      <c r="B5246" s="9" t="s">
        <v>48131</v>
      </c>
      <c r="C5246" s="9" t="s">
        <v>48132</v>
      </c>
      <c r="D5246" s="9" t="s">
        <v>48133</v>
      </c>
      <c r="E5246" s="9" t="s">
        <v>17748</v>
      </c>
      <c r="F5246" s="9" t="s">
        <v>48134</v>
      </c>
      <c r="G5246" s="9" t="s">
        <v>17740</v>
      </c>
      <c r="H5246" s="11" t="s">
        <v>10734</v>
      </c>
      <c r="I5246" s="11" t="s">
        <v>10733</v>
      </c>
      <c r="J5246" s="11" t="s">
        <v>10733</v>
      </c>
      <c r="K5246" s="9" t="s">
        <v>19447</v>
      </c>
      <c r="L5246" s="9" t="s">
        <v>17759</v>
      </c>
      <c r="M5246" s="9" t="s">
        <v>17760</v>
      </c>
      <c r="N5246" s="9" t="s">
        <v>17746</v>
      </c>
      <c r="O5246" s="9" t="s">
        <v>18035</v>
      </c>
      <c r="P5246" s="9" t="s">
        <v>17748</v>
      </c>
      <c r="Q5246" s="11" t="s">
        <v>17780</v>
      </c>
      <c r="R5246" s="11" t="s">
        <v>17780</v>
      </c>
      <c r="S5246" s="11" t="s">
        <v>17750</v>
      </c>
    </row>
    <row r="5247" spans="1:19" x14ac:dyDescent="0.2">
      <c r="A5247" s="11" t="s">
        <v>48135</v>
      </c>
      <c r="B5247" s="9" t="s">
        <v>48136</v>
      </c>
      <c r="C5247" s="9" t="s">
        <v>48137</v>
      </c>
      <c r="D5247" s="9" t="s">
        <v>48138</v>
      </c>
      <c r="E5247" s="9" t="s">
        <v>17748</v>
      </c>
      <c r="F5247" s="9" t="s">
        <v>48139</v>
      </c>
      <c r="G5247" s="9" t="s">
        <v>17740</v>
      </c>
      <c r="H5247" s="11" t="s">
        <v>8553</v>
      </c>
      <c r="I5247" s="11" t="s">
        <v>8552</v>
      </c>
      <c r="J5247" s="11" t="s">
        <v>8552</v>
      </c>
      <c r="K5247" s="9" t="s">
        <v>17758</v>
      </c>
      <c r="L5247" s="9" t="s">
        <v>17759</v>
      </c>
      <c r="M5247" s="9" t="s">
        <v>17769</v>
      </c>
      <c r="N5247" s="9" t="s">
        <v>17746</v>
      </c>
      <c r="O5247" s="9" t="s">
        <v>27398</v>
      </c>
      <c r="P5247" s="9" t="s">
        <v>17748</v>
      </c>
      <c r="Q5247" s="11" t="s">
        <v>18356</v>
      </c>
      <c r="R5247" s="11" t="s">
        <v>18356</v>
      </c>
      <c r="S5247" s="11" t="s">
        <v>17750</v>
      </c>
    </row>
    <row r="5248" spans="1:19" x14ac:dyDescent="0.2">
      <c r="A5248" s="11" t="s">
        <v>48140</v>
      </c>
      <c r="B5248" s="9" t="s">
        <v>48141</v>
      </c>
      <c r="C5248" s="9" t="s">
        <v>48142</v>
      </c>
      <c r="D5248" s="9" t="s">
        <v>48143</v>
      </c>
      <c r="E5248" s="9" t="s">
        <v>17740</v>
      </c>
      <c r="F5248" s="9" t="s">
        <v>17741</v>
      </c>
      <c r="G5248" s="9" t="s">
        <v>17740</v>
      </c>
      <c r="H5248" s="11" t="s">
        <v>5810</v>
      </c>
      <c r="I5248" s="11" t="s">
        <v>5809</v>
      </c>
      <c r="J5248" s="11" t="s">
        <v>5809</v>
      </c>
      <c r="K5248" s="9" t="s">
        <v>18661</v>
      </c>
      <c r="L5248" s="9" t="s">
        <v>18001</v>
      </c>
      <c r="M5248" s="9" t="s">
        <v>48144</v>
      </c>
      <c r="N5248" s="9" t="s">
        <v>17746</v>
      </c>
      <c r="O5248" s="9" t="s">
        <v>20701</v>
      </c>
      <c r="P5248" s="9" t="s">
        <v>17748</v>
      </c>
      <c r="Q5248" s="11" t="s">
        <v>18147</v>
      </c>
      <c r="R5248" s="11" t="s">
        <v>18147</v>
      </c>
      <c r="S5248" s="11" t="s">
        <v>17750</v>
      </c>
    </row>
    <row r="5249" spans="1:19" x14ac:dyDescent="0.2">
      <c r="A5249" s="11" t="s">
        <v>48145</v>
      </c>
      <c r="B5249" s="9" t="s">
        <v>48146</v>
      </c>
      <c r="C5249" s="9" t="s">
        <v>48147</v>
      </c>
      <c r="D5249" s="9" t="s">
        <v>48148</v>
      </c>
      <c r="E5249" s="9" t="s">
        <v>17740</v>
      </c>
      <c r="F5249" s="9" t="s">
        <v>17741</v>
      </c>
      <c r="G5249" s="9" t="s">
        <v>17740</v>
      </c>
      <c r="H5249" s="11" t="s">
        <v>6841</v>
      </c>
      <c r="I5249" s="11" t="s">
        <v>6840</v>
      </c>
      <c r="J5249" s="11" t="s">
        <v>6840</v>
      </c>
      <c r="K5249" s="9" t="s">
        <v>20259</v>
      </c>
      <c r="L5249" s="9" t="s">
        <v>17759</v>
      </c>
      <c r="M5249" s="9" t="s">
        <v>17760</v>
      </c>
      <c r="N5249" s="9" t="s">
        <v>17746</v>
      </c>
      <c r="O5249" s="9" t="s">
        <v>20701</v>
      </c>
      <c r="P5249" s="9" t="s">
        <v>17748</v>
      </c>
      <c r="Q5249" s="11" t="s">
        <v>18147</v>
      </c>
      <c r="R5249" s="11" t="s">
        <v>18147</v>
      </c>
      <c r="S5249" s="11" t="s">
        <v>17750</v>
      </c>
    </row>
    <row r="5250" spans="1:19" x14ac:dyDescent="0.2">
      <c r="A5250" s="11" t="s">
        <v>48149</v>
      </c>
      <c r="B5250" s="9" t="s">
        <v>48150</v>
      </c>
      <c r="C5250" s="9" t="s">
        <v>48151</v>
      </c>
      <c r="D5250" s="9" t="s">
        <v>48152</v>
      </c>
      <c r="E5250" s="9" t="s">
        <v>17740</v>
      </c>
      <c r="F5250" s="9" t="s">
        <v>17741</v>
      </c>
      <c r="G5250" s="9" t="s">
        <v>17740</v>
      </c>
      <c r="H5250" s="11" t="s">
        <v>17741</v>
      </c>
      <c r="I5250" s="11" t="s">
        <v>48153</v>
      </c>
      <c r="J5250" s="11" t="s">
        <v>48153</v>
      </c>
      <c r="K5250" s="9" t="s">
        <v>48154</v>
      </c>
      <c r="L5250" s="9" t="s">
        <v>17759</v>
      </c>
      <c r="M5250" s="9" t="s">
        <v>48155</v>
      </c>
      <c r="N5250" s="9" t="s">
        <v>17746</v>
      </c>
      <c r="O5250" s="9" t="s">
        <v>32670</v>
      </c>
      <c r="P5250" s="9" t="s">
        <v>17748</v>
      </c>
      <c r="Q5250" s="11" t="s">
        <v>18080</v>
      </c>
      <c r="R5250" s="11" t="s">
        <v>18080</v>
      </c>
      <c r="S5250" s="11" t="s">
        <v>17750</v>
      </c>
    </row>
    <row r="5251" spans="1:19" x14ac:dyDescent="0.2">
      <c r="A5251" s="11" t="s">
        <v>48156</v>
      </c>
      <c r="B5251" s="9" t="s">
        <v>48157</v>
      </c>
      <c r="C5251" s="9" t="s">
        <v>48158</v>
      </c>
      <c r="D5251" s="9" t="s">
        <v>48159</v>
      </c>
      <c r="E5251" s="9" t="s">
        <v>17740</v>
      </c>
      <c r="F5251" s="9" t="s">
        <v>17741</v>
      </c>
      <c r="G5251" s="9" t="s">
        <v>17740</v>
      </c>
      <c r="H5251" s="11" t="s">
        <v>3872</v>
      </c>
      <c r="I5251" s="11" t="s">
        <v>3871</v>
      </c>
      <c r="J5251" s="11" t="s">
        <v>3871</v>
      </c>
      <c r="K5251" s="9" t="s">
        <v>18661</v>
      </c>
      <c r="L5251" s="9" t="s">
        <v>17759</v>
      </c>
      <c r="M5251" s="9" t="s">
        <v>17769</v>
      </c>
      <c r="N5251" s="9" t="s">
        <v>17746</v>
      </c>
      <c r="O5251" s="9" t="s">
        <v>3255</v>
      </c>
      <c r="P5251" s="9" t="s">
        <v>17748</v>
      </c>
      <c r="Q5251" s="11" t="s">
        <v>18234</v>
      </c>
      <c r="R5251" s="11" t="s">
        <v>18234</v>
      </c>
      <c r="S5251" s="11" t="s">
        <v>17750</v>
      </c>
    </row>
    <row r="5252" spans="1:19" x14ac:dyDescent="0.2">
      <c r="A5252" s="11" t="s">
        <v>48160</v>
      </c>
      <c r="B5252" s="9" t="s">
        <v>48161</v>
      </c>
      <c r="C5252" s="9" t="s">
        <v>48162</v>
      </c>
      <c r="D5252" s="9" t="s">
        <v>48163</v>
      </c>
      <c r="E5252" s="9" t="s">
        <v>17740</v>
      </c>
      <c r="F5252" s="9" t="s">
        <v>48164</v>
      </c>
      <c r="G5252" s="9" t="s">
        <v>17740</v>
      </c>
      <c r="H5252" s="11" t="s">
        <v>17741</v>
      </c>
      <c r="I5252" s="11" t="s">
        <v>48165</v>
      </c>
      <c r="J5252" s="11" t="s">
        <v>48165</v>
      </c>
      <c r="K5252" s="9" t="s">
        <v>48166</v>
      </c>
      <c r="L5252" s="9" t="s">
        <v>18130</v>
      </c>
      <c r="M5252" s="9" t="s">
        <v>17769</v>
      </c>
      <c r="N5252" s="9" t="s">
        <v>17746</v>
      </c>
      <c r="O5252" s="9" t="s">
        <v>18340</v>
      </c>
      <c r="P5252" s="9" t="s">
        <v>17748</v>
      </c>
      <c r="Q5252" s="11" t="s">
        <v>18600</v>
      </c>
      <c r="R5252" s="11" t="s">
        <v>18600</v>
      </c>
      <c r="S5252" s="11" t="s">
        <v>17750</v>
      </c>
    </row>
    <row r="5253" spans="1:19" x14ac:dyDescent="0.2">
      <c r="A5253" s="11" t="s">
        <v>48167</v>
      </c>
      <c r="B5253" s="9" t="s">
        <v>48168</v>
      </c>
      <c r="C5253" s="9" t="s">
        <v>48169</v>
      </c>
      <c r="D5253" s="9" t="s">
        <v>48170</v>
      </c>
      <c r="E5253" s="9" t="s">
        <v>17740</v>
      </c>
      <c r="F5253" s="9" t="s">
        <v>48171</v>
      </c>
      <c r="G5253" s="9" t="s">
        <v>17740</v>
      </c>
      <c r="H5253" s="11" t="s">
        <v>17741</v>
      </c>
      <c r="I5253" s="11" t="s">
        <v>48172</v>
      </c>
      <c r="J5253" s="11" t="s">
        <v>48172</v>
      </c>
      <c r="K5253" s="9" t="s">
        <v>48173</v>
      </c>
      <c r="L5253" s="9" t="s">
        <v>18130</v>
      </c>
      <c r="M5253" s="9" t="s">
        <v>17942</v>
      </c>
      <c r="N5253" s="9" t="s">
        <v>17746</v>
      </c>
      <c r="O5253" s="9" t="s">
        <v>18340</v>
      </c>
      <c r="P5253" s="9" t="s">
        <v>17748</v>
      </c>
      <c r="Q5253" s="11" t="s">
        <v>18600</v>
      </c>
      <c r="R5253" s="11" t="s">
        <v>18600</v>
      </c>
      <c r="S5253" s="11" t="s">
        <v>17750</v>
      </c>
    </row>
    <row r="5254" spans="1:19" x14ac:dyDescent="0.2">
      <c r="A5254" s="11" t="s">
        <v>48174</v>
      </c>
      <c r="B5254" s="9" t="s">
        <v>48175</v>
      </c>
      <c r="C5254" s="9" t="s">
        <v>48176</v>
      </c>
      <c r="D5254" s="9" t="s">
        <v>48177</v>
      </c>
      <c r="E5254" s="9" t="s">
        <v>17748</v>
      </c>
      <c r="F5254" s="9" t="s">
        <v>48178</v>
      </c>
      <c r="G5254" s="9" t="s">
        <v>17740</v>
      </c>
      <c r="H5254" s="11" t="s">
        <v>48179</v>
      </c>
      <c r="I5254" s="11" t="s">
        <v>48180</v>
      </c>
      <c r="J5254" s="11" t="s">
        <v>48180</v>
      </c>
      <c r="K5254" s="9" t="s">
        <v>17741</v>
      </c>
      <c r="L5254" s="9" t="s">
        <v>18123</v>
      </c>
      <c r="M5254" s="9" t="s">
        <v>17741</v>
      </c>
      <c r="N5254" s="9" t="s">
        <v>17746</v>
      </c>
      <c r="O5254" s="9" t="s">
        <v>18340</v>
      </c>
      <c r="P5254" s="9" t="s">
        <v>17748</v>
      </c>
      <c r="Q5254" s="11" t="s">
        <v>18096</v>
      </c>
      <c r="R5254" s="11" t="s">
        <v>18096</v>
      </c>
      <c r="S5254" s="11" t="s">
        <v>17750</v>
      </c>
    </row>
    <row r="5255" spans="1:19" x14ac:dyDescent="0.2">
      <c r="A5255" s="11" t="s">
        <v>48181</v>
      </c>
      <c r="B5255" s="9" t="s">
        <v>48182</v>
      </c>
      <c r="C5255" s="9" t="s">
        <v>48183</v>
      </c>
      <c r="D5255" s="9" t="s">
        <v>48184</v>
      </c>
      <c r="E5255" s="9" t="s">
        <v>17748</v>
      </c>
      <c r="F5255" s="9" t="s">
        <v>48185</v>
      </c>
      <c r="G5255" s="9" t="s">
        <v>17740</v>
      </c>
      <c r="H5255" s="11" t="s">
        <v>8853</v>
      </c>
      <c r="I5255" s="11" t="s">
        <v>8852</v>
      </c>
      <c r="J5255" s="11" t="s">
        <v>48186</v>
      </c>
      <c r="K5255" s="9" t="s">
        <v>3733</v>
      </c>
      <c r="L5255" s="9" t="s">
        <v>18123</v>
      </c>
      <c r="M5255" s="9" t="s">
        <v>48187</v>
      </c>
      <c r="N5255" s="9" t="s">
        <v>17746</v>
      </c>
      <c r="O5255" s="9" t="s">
        <v>17993</v>
      </c>
      <c r="P5255" s="9" t="s">
        <v>17748</v>
      </c>
      <c r="Q5255" s="11" t="s">
        <v>18922</v>
      </c>
      <c r="R5255" s="11" t="s">
        <v>18922</v>
      </c>
      <c r="S5255" s="11" t="s">
        <v>17750</v>
      </c>
    </row>
    <row r="5256" spans="1:19" x14ac:dyDescent="0.2">
      <c r="A5256" s="11" t="s">
        <v>48188</v>
      </c>
      <c r="B5256" s="9" t="s">
        <v>48189</v>
      </c>
      <c r="C5256" s="9" t="s">
        <v>48190</v>
      </c>
      <c r="D5256" s="9" t="s">
        <v>4218</v>
      </c>
      <c r="E5256" s="9" t="s">
        <v>17740</v>
      </c>
      <c r="F5256" s="9" t="s">
        <v>17741</v>
      </c>
      <c r="G5256" s="9" t="s">
        <v>17740</v>
      </c>
      <c r="H5256" s="11" t="s">
        <v>4220</v>
      </c>
      <c r="I5256" s="11" t="s">
        <v>4219</v>
      </c>
      <c r="J5256" s="11" t="s">
        <v>4219</v>
      </c>
      <c r="K5256" s="9" t="s">
        <v>17741</v>
      </c>
      <c r="L5256" s="9" t="s">
        <v>17759</v>
      </c>
      <c r="M5256" s="9" t="s">
        <v>39141</v>
      </c>
      <c r="N5256" s="9" t="s">
        <v>17746</v>
      </c>
      <c r="O5256" s="9" t="s">
        <v>3100</v>
      </c>
      <c r="P5256" s="9" t="s">
        <v>17748</v>
      </c>
      <c r="Q5256" s="11" t="s">
        <v>18364</v>
      </c>
      <c r="R5256" s="11" t="s">
        <v>18364</v>
      </c>
      <c r="S5256" s="11" t="s">
        <v>17750</v>
      </c>
    </row>
    <row r="5257" spans="1:19" x14ac:dyDescent="0.2">
      <c r="A5257" s="11" t="s">
        <v>48191</v>
      </c>
      <c r="B5257" s="9" t="s">
        <v>48192</v>
      </c>
      <c r="C5257" s="9" t="s">
        <v>48193</v>
      </c>
      <c r="D5257" s="9" t="s">
        <v>48194</v>
      </c>
      <c r="E5257" s="9" t="s">
        <v>17740</v>
      </c>
      <c r="F5257" s="9" t="s">
        <v>17741</v>
      </c>
      <c r="G5257" s="9" t="s">
        <v>17740</v>
      </c>
      <c r="H5257" s="11" t="s">
        <v>48195</v>
      </c>
      <c r="I5257" s="11" t="s">
        <v>48196</v>
      </c>
      <c r="J5257" s="11" t="s">
        <v>48196</v>
      </c>
      <c r="K5257" s="9" t="s">
        <v>48197</v>
      </c>
      <c r="L5257" s="9" t="s">
        <v>17759</v>
      </c>
      <c r="M5257" s="9" t="s">
        <v>48198</v>
      </c>
      <c r="N5257" s="9" t="s">
        <v>17746</v>
      </c>
      <c r="O5257" s="9" t="s">
        <v>26112</v>
      </c>
      <c r="P5257" s="9" t="s">
        <v>17748</v>
      </c>
      <c r="Q5257" s="11" t="s">
        <v>17994</v>
      </c>
      <c r="R5257" s="11" t="s">
        <v>17994</v>
      </c>
      <c r="S5257" s="11" t="s">
        <v>17750</v>
      </c>
    </row>
    <row r="5258" spans="1:19" x14ac:dyDescent="0.2">
      <c r="A5258" s="11" t="s">
        <v>48199</v>
      </c>
      <c r="B5258" s="9" t="s">
        <v>48200</v>
      </c>
      <c r="C5258" s="9" t="s">
        <v>48201</v>
      </c>
      <c r="D5258" s="9" t="s">
        <v>48202</v>
      </c>
      <c r="E5258" s="9" t="s">
        <v>17740</v>
      </c>
      <c r="F5258" s="9" t="s">
        <v>48203</v>
      </c>
      <c r="G5258" s="9" t="s">
        <v>17740</v>
      </c>
      <c r="H5258" s="11" t="s">
        <v>3721</v>
      </c>
      <c r="I5258" s="11" t="s">
        <v>3720</v>
      </c>
      <c r="J5258" s="11" t="s">
        <v>3720</v>
      </c>
      <c r="K5258" s="9" t="s">
        <v>48204</v>
      </c>
      <c r="L5258" s="9" t="s">
        <v>18158</v>
      </c>
      <c r="M5258" s="9" t="s">
        <v>21005</v>
      </c>
      <c r="N5258" s="9" t="s">
        <v>17746</v>
      </c>
      <c r="O5258" s="9" t="s">
        <v>18746</v>
      </c>
      <c r="P5258" s="9" t="s">
        <v>17748</v>
      </c>
      <c r="Q5258" s="11" t="s">
        <v>17978</v>
      </c>
      <c r="R5258" s="11" t="s">
        <v>17978</v>
      </c>
      <c r="S5258" s="11" t="s">
        <v>17750</v>
      </c>
    </row>
    <row r="5259" spans="1:19" x14ac:dyDescent="0.2">
      <c r="A5259" s="11" t="s">
        <v>48205</v>
      </c>
      <c r="B5259" s="9" t="s">
        <v>48206</v>
      </c>
      <c r="C5259" s="9" t="s">
        <v>48207</v>
      </c>
      <c r="D5259" s="9" t="s">
        <v>48208</v>
      </c>
      <c r="E5259" s="9" t="s">
        <v>17740</v>
      </c>
      <c r="F5259" s="9" t="s">
        <v>48209</v>
      </c>
      <c r="G5259" s="9" t="s">
        <v>17740</v>
      </c>
      <c r="H5259" s="11" t="s">
        <v>48210</v>
      </c>
      <c r="I5259" s="11" t="s">
        <v>48211</v>
      </c>
      <c r="J5259" s="11" t="s">
        <v>48211</v>
      </c>
      <c r="K5259" s="9" t="s">
        <v>55</v>
      </c>
      <c r="L5259" s="9" t="s">
        <v>17744</v>
      </c>
      <c r="M5259" s="9" t="s">
        <v>22388</v>
      </c>
      <c r="N5259" s="9" t="s">
        <v>17746</v>
      </c>
      <c r="O5259" s="9" t="s">
        <v>17977</v>
      </c>
      <c r="P5259" s="9" t="s">
        <v>17748</v>
      </c>
      <c r="Q5259" s="11" t="s">
        <v>18147</v>
      </c>
      <c r="R5259" s="11" t="s">
        <v>18147</v>
      </c>
      <c r="S5259" s="11" t="s">
        <v>17750</v>
      </c>
    </row>
    <row r="5260" spans="1:19" x14ac:dyDescent="0.2">
      <c r="A5260" s="11" t="s">
        <v>48212</v>
      </c>
      <c r="B5260" s="9" t="s">
        <v>48213</v>
      </c>
      <c r="C5260" s="9" t="s">
        <v>48214</v>
      </c>
      <c r="D5260" s="9" t="s">
        <v>48215</v>
      </c>
      <c r="E5260" s="9" t="s">
        <v>17740</v>
      </c>
      <c r="F5260" s="9" t="s">
        <v>17741</v>
      </c>
      <c r="G5260" s="9" t="s">
        <v>17740</v>
      </c>
      <c r="H5260" s="11" t="s">
        <v>48216</v>
      </c>
      <c r="I5260" s="11" t="s">
        <v>48217</v>
      </c>
      <c r="J5260" s="11" t="s">
        <v>48217</v>
      </c>
      <c r="K5260" s="9" t="s">
        <v>48218</v>
      </c>
      <c r="L5260" s="9" t="s">
        <v>18001</v>
      </c>
      <c r="M5260" s="9" t="s">
        <v>18513</v>
      </c>
      <c r="N5260" s="9" t="s">
        <v>17746</v>
      </c>
      <c r="O5260" s="9" t="s">
        <v>3309</v>
      </c>
      <c r="P5260" s="9" t="s">
        <v>17748</v>
      </c>
      <c r="Q5260" s="11" t="s">
        <v>18251</v>
      </c>
      <c r="R5260" s="11" t="s">
        <v>18251</v>
      </c>
      <c r="S5260" s="11" t="s">
        <v>17750</v>
      </c>
    </row>
    <row r="5261" spans="1:19" x14ac:dyDescent="0.2">
      <c r="A5261" s="11" t="s">
        <v>48219</v>
      </c>
      <c r="B5261" s="9" t="s">
        <v>48220</v>
      </c>
      <c r="C5261" s="9" t="s">
        <v>48221</v>
      </c>
      <c r="D5261" s="9" t="s">
        <v>48222</v>
      </c>
      <c r="E5261" s="9" t="s">
        <v>17740</v>
      </c>
      <c r="F5261" s="9" t="s">
        <v>17741</v>
      </c>
      <c r="G5261" s="9" t="s">
        <v>17740</v>
      </c>
      <c r="H5261" s="11" t="s">
        <v>17021</v>
      </c>
      <c r="I5261" s="11" t="s">
        <v>17741</v>
      </c>
      <c r="J5261" s="11" t="s">
        <v>17021</v>
      </c>
      <c r="K5261" s="9" t="s">
        <v>18570</v>
      </c>
      <c r="L5261" s="9" t="s">
        <v>17744</v>
      </c>
      <c r="M5261" s="9" t="s">
        <v>17741</v>
      </c>
      <c r="N5261" s="9" t="s">
        <v>17746</v>
      </c>
      <c r="O5261" s="9" t="s">
        <v>17993</v>
      </c>
      <c r="P5261" s="9" t="s">
        <v>17748</v>
      </c>
      <c r="Q5261" s="11" t="s">
        <v>17923</v>
      </c>
      <c r="R5261" s="11" t="s">
        <v>17923</v>
      </c>
      <c r="S5261" s="11" t="s">
        <v>17750</v>
      </c>
    </row>
    <row r="5262" spans="1:19" x14ac:dyDescent="0.2">
      <c r="A5262" s="11" t="s">
        <v>48223</v>
      </c>
      <c r="B5262" s="9" t="s">
        <v>48224</v>
      </c>
      <c r="C5262" s="9" t="s">
        <v>48225</v>
      </c>
      <c r="D5262" s="9" t="s">
        <v>48226</v>
      </c>
      <c r="E5262" s="9" t="s">
        <v>17748</v>
      </c>
      <c r="F5262" s="9" t="s">
        <v>48227</v>
      </c>
      <c r="G5262" s="9" t="s">
        <v>17740</v>
      </c>
      <c r="H5262" s="11" t="s">
        <v>12867</v>
      </c>
      <c r="I5262" s="11" t="s">
        <v>12866</v>
      </c>
      <c r="J5262" s="11" t="s">
        <v>12866</v>
      </c>
      <c r="K5262" s="9" t="s">
        <v>291</v>
      </c>
      <c r="L5262" s="9" t="s">
        <v>17744</v>
      </c>
      <c r="M5262" s="9" t="s">
        <v>17769</v>
      </c>
      <c r="N5262" s="9" t="s">
        <v>17746</v>
      </c>
      <c r="O5262" s="9" t="s">
        <v>48228</v>
      </c>
      <c r="P5262" s="9" t="s">
        <v>17748</v>
      </c>
      <c r="Q5262" s="11" t="s">
        <v>18370</v>
      </c>
      <c r="R5262" s="11" t="s">
        <v>18370</v>
      </c>
      <c r="S5262" s="11" t="s">
        <v>17750</v>
      </c>
    </row>
    <row r="5263" spans="1:19" x14ac:dyDescent="0.2">
      <c r="A5263" s="11" t="s">
        <v>48229</v>
      </c>
      <c r="B5263" s="9" t="s">
        <v>48230</v>
      </c>
      <c r="C5263" s="9" t="s">
        <v>48231</v>
      </c>
      <c r="D5263" s="9" t="s">
        <v>48232</v>
      </c>
      <c r="E5263" s="9" t="s">
        <v>17740</v>
      </c>
      <c r="F5263" s="9" t="s">
        <v>48233</v>
      </c>
      <c r="G5263" s="9" t="s">
        <v>17740</v>
      </c>
      <c r="H5263" s="11" t="s">
        <v>48234</v>
      </c>
      <c r="I5263" s="11" t="s">
        <v>48235</v>
      </c>
      <c r="J5263" s="11" t="s">
        <v>48235</v>
      </c>
      <c r="K5263" s="9" t="s">
        <v>17783</v>
      </c>
      <c r="L5263" s="9" t="s">
        <v>18158</v>
      </c>
      <c r="M5263" s="9" t="s">
        <v>48236</v>
      </c>
      <c r="N5263" s="9" t="s">
        <v>17746</v>
      </c>
      <c r="O5263" s="9" t="s">
        <v>1690</v>
      </c>
      <c r="P5263" s="9" t="s">
        <v>17748</v>
      </c>
      <c r="Q5263" s="11" t="s">
        <v>17883</v>
      </c>
      <c r="R5263" s="11" t="s">
        <v>17883</v>
      </c>
      <c r="S5263" s="11" t="s">
        <v>17750</v>
      </c>
    </row>
    <row r="5264" spans="1:19" x14ac:dyDescent="0.2">
      <c r="A5264" s="11" t="s">
        <v>48237</v>
      </c>
      <c r="B5264" s="9" t="s">
        <v>48238</v>
      </c>
      <c r="C5264" s="9" t="s">
        <v>48239</v>
      </c>
      <c r="D5264" s="9" t="s">
        <v>48240</v>
      </c>
      <c r="E5264" s="9" t="s">
        <v>17740</v>
      </c>
      <c r="F5264" s="9" t="s">
        <v>17741</v>
      </c>
      <c r="G5264" s="9" t="s">
        <v>17740</v>
      </c>
      <c r="H5264" s="11" t="s">
        <v>10523</v>
      </c>
      <c r="I5264" s="11" t="s">
        <v>10522</v>
      </c>
      <c r="J5264" s="11" t="s">
        <v>10522</v>
      </c>
      <c r="K5264" s="9" t="s">
        <v>91</v>
      </c>
      <c r="L5264" s="9" t="s">
        <v>17950</v>
      </c>
      <c r="M5264" s="9" t="s">
        <v>17760</v>
      </c>
      <c r="N5264" s="9" t="s">
        <v>17746</v>
      </c>
      <c r="O5264" s="9" t="s">
        <v>18331</v>
      </c>
      <c r="P5264" s="9" t="s">
        <v>17748</v>
      </c>
      <c r="Q5264" s="11" t="s">
        <v>18960</v>
      </c>
      <c r="R5264" s="11" t="s">
        <v>18960</v>
      </c>
      <c r="S5264" s="11" t="s">
        <v>17750</v>
      </c>
    </row>
    <row r="5265" spans="1:19" x14ac:dyDescent="0.2">
      <c r="A5265" s="11" t="s">
        <v>48241</v>
      </c>
      <c r="B5265" s="9" t="s">
        <v>48242</v>
      </c>
      <c r="C5265" s="9" t="s">
        <v>48243</v>
      </c>
      <c r="D5265" s="9" t="s">
        <v>48242</v>
      </c>
      <c r="E5265" s="9" t="s">
        <v>17740</v>
      </c>
      <c r="F5265" s="9" t="s">
        <v>17741</v>
      </c>
      <c r="G5265" s="9" t="s">
        <v>17740</v>
      </c>
      <c r="H5265" s="11" t="s">
        <v>48244</v>
      </c>
      <c r="I5265" s="11" t="s">
        <v>48245</v>
      </c>
      <c r="J5265" s="11" t="s">
        <v>48245</v>
      </c>
      <c r="K5265" s="9" t="s">
        <v>91</v>
      </c>
      <c r="L5265" s="9" t="s">
        <v>18001</v>
      </c>
      <c r="M5265" s="9" t="s">
        <v>22727</v>
      </c>
      <c r="N5265" s="9" t="s">
        <v>17968</v>
      </c>
      <c r="O5265" s="9" t="s">
        <v>18088</v>
      </c>
      <c r="P5265" s="9" t="s">
        <v>17748</v>
      </c>
      <c r="Q5265" s="11" t="s">
        <v>18805</v>
      </c>
      <c r="R5265" s="11" t="s">
        <v>18805</v>
      </c>
      <c r="S5265" s="11" t="s">
        <v>17750</v>
      </c>
    </row>
    <row r="5266" spans="1:19" x14ac:dyDescent="0.2">
      <c r="A5266" s="11" t="s">
        <v>48246</v>
      </c>
      <c r="B5266" s="9" t="s">
        <v>48247</v>
      </c>
      <c r="C5266" s="9" t="s">
        <v>48248</v>
      </c>
      <c r="D5266" s="9" t="s">
        <v>48249</v>
      </c>
      <c r="E5266" s="9" t="s">
        <v>17748</v>
      </c>
      <c r="F5266" s="9" t="s">
        <v>48250</v>
      </c>
      <c r="G5266" s="9" t="s">
        <v>17740</v>
      </c>
      <c r="H5266" s="11" t="s">
        <v>17741</v>
      </c>
      <c r="I5266" s="11" t="s">
        <v>14084</v>
      </c>
      <c r="J5266" s="11" t="s">
        <v>17741</v>
      </c>
      <c r="K5266" s="9" t="s">
        <v>48251</v>
      </c>
      <c r="L5266" s="9" t="s">
        <v>27766</v>
      </c>
      <c r="M5266" s="9" t="s">
        <v>17778</v>
      </c>
      <c r="N5266" s="9" t="s">
        <v>17746</v>
      </c>
      <c r="O5266" s="9" t="s">
        <v>1802</v>
      </c>
      <c r="P5266" s="9" t="s">
        <v>17748</v>
      </c>
      <c r="Q5266" s="11" t="s">
        <v>18370</v>
      </c>
      <c r="R5266" s="11" t="s">
        <v>18370</v>
      </c>
      <c r="S5266" s="11" t="s">
        <v>17750</v>
      </c>
    </row>
    <row r="5267" spans="1:19" x14ac:dyDescent="0.2">
      <c r="A5267" s="11" t="s">
        <v>48252</v>
      </c>
      <c r="B5267" s="9" t="s">
        <v>48253</v>
      </c>
      <c r="C5267" s="9" t="s">
        <v>48254</v>
      </c>
      <c r="D5267" s="9" t="s">
        <v>48255</v>
      </c>
      <c r="E5267" s="9" t="s">
        <v>17740</v>
      </c>
      <c r="F5267" s="9" t="s">
        <v>48256</v>
      </c>
      <c r="G5267" s="9" t="s">
        <v>17740</v>
      </c>
      <c r="H5267" s="11" t="s">
        <v>17741</v>
      </c>
      <c r="I5267" s="11" t="s">
        <v>48257</v>
      </c>
      <c r="J5267" s="11" t="s">
        <v>48257</v>
      </c>
      <c r="K5267" s="9" t="s">
        <v>48258</v>
      </c>
      <c r="L5267" s="9" t="s">
        <v>17759</v>
      </c>
      <c r="M5267" s="9" t="s">
        <v>17769</v>
      </c>
      <c r="N5267" s="9" t="s">
        <v>17746</v>
      </c>
      <c r="O5267" s="9" t="s">
        <v>17800</v>
      </c>
      <c r="P5267" s="9" t="s">
        <v>17748</v>
      </c>
      <c r="Q5267" s="11" t="s">
        <v>19874</v>
      </c>
      <c r="R5267" s="11" t="s">
        <v>19874</v>
      </c>
      <c r="S5267" s="11" t="s">
        <v>17750</v>
      </c>
    </row>
    <row r="5268" spans="1:19" x14ac:dyDescent="0.2">
      <c r="A5268" s="11" t="s">
        <v>48259</v>
      </c>
      <c r="B5268" s="9" t="s">
        <v>48260</v>
      </c>
      <c r="C5268" s="9" t="s">
        <v>48261</v>
      </c>
      <c r="D5268" s="9" t="s">
        <v>48262</v>
      </c>
      <c r="E5268" s="9" t="s">
        <v>17740</v>
      </c>
      <c r="F5268" s="9" t="s">
        <v>17741</v>
      </c>
      <c r="G5268" s="9" t="s">
        <v>17740</v>
      </c>
      <c r="H5268" s="11" t="s">
        <v>11485</v>
      </c>
      <c r="I5268" s="11" t="s">
        <v>11484</v>
      </c>
      <c r="J5268" s="11" t="s">
        <v>11484</v>
      </c>
      <c r="K5268" s="9" t="s">
        <v>11245</v>
      </c>
      <c r="L5268" s="9" t="s">
        <v>20359</v>
      </c>
      <c r="M5268" s="9" t="s">
        <v>17760</v>
      </c>
      <c r="N5268" s="9" t="s">
        <v>17746</v>
      </c>
      <c r="O5268" s="9" t="s">
        <v>18363</v>
      </c>
      <c r="P5268" s="9" t="s">
        <v>17748</v>
      </c>
      <c r="Q5268" s="11" t="s">
        <v>17762</v>
      </c>
      <c r="R5268" s="11" t="s">
        <v>17762</v>
      </c>
      <c r="S5268" s="11" t="s">
        <v>17750</v>
      </c>
    </row>
    <row r="5269" spans="1:19" x14ac:dyDescent="0.2">
      <c r="A5269" s="11" t="s">
        <v>48263</v>
      </c>
      <c r="B5269" s="9" t="s">
        <v>48264</v>
      </c>
      <c r="C5269" s="9" t="s">
        <v>48265</v>
      </c>
      <c r="D5269" s="9" t="s">
        <v>48266</v>
      </c>
      <c r="E5269" s="9" t="s">
        <v>17740</v>
      </c>
      <c r="F5269" s="9" t="s">
        <v>17741</v>
      </c>
      <c r="G5269" s="9" t="s">
        <v>17740</v>
      </c>
      <c r="H5269" s="11" t="s">
        <v>48267</v>
      </c>
      <c r="I5269" s="11" t="s">
        <v>48268</v>
      </c>
      <c r="J5269" s="11" t="s">
        <v>48268</v>
      </c>
      <c r="K5269" s="9" t="s">
        <v>689</v>
      </c>
      <c r="L5269" s="9" t="s">
        <v>17759</v>
      </c>
      <c r="M5269" s="9" t="s">
        <v>20604</v>
      </c>
      <c r="N5269" s="9" t="s">
        <v>17746</v>
      </c>
      <c r="O5269" s="9" t="s">
        <v>34745</v>
      </c>
      <c r="P5269" s="9" t="s">
        <v>17748</v>
      </c>
      <c r="Q5269" s="11" t="s">
        <v>17819</v>
      </c>
      <c r="R5269" s="11" t="s">
        <v>17819</v>
      </c>
      <c r="S5269" s="11" t="s">
        <v>17750</v>
      </c>
    </row>
    <row r="5270" spans="1:19" x14ac:dyDescent="0.2">
      <c r="A5270" s="11" t="s">
        <v>48269</v>
      </c>
      <c r="B5270" s="9" t="s">
        <v>48270</v>
      </c>
      <c r="C5270" s="9" t="s">
        <v>48271</v>
      </c>
      <c r="D5270" s="9" t="s">
        <v>48272</v>
      </c>
      <c r="E5270" s="9" t="s">
        <v>17740</v>
      </c>
      <c r="F5270" s="9" t="s">
        <v>17741</v>
      </c>
      <c r="G5270" s="9" t="s">
        <v>17740</v>
      </c>
      <c r="H5270" s="11" t="s">
        <v>6972</v>
      </c>
      <c r="I5270" s="11" t="s">
        <v>6971</v>
      </c>
      <c r="J5270" s="11" t="s">
        <v>6971</v>
      </c>
      <c r="K5270" s="9" t="s">
        <v>25135</v>
      </c>
      <c r="L5270" s="9" t="s">
        <v>17991</v>
      </c>
      <c r="M5270" s="9" t="s">
        <v>17992</v>
      </c>
      <c r="N5270" s="9" t="s">
        <v>17746</v>
      </c>
      <c r="O5270" s="9" t="s">
        <v>21558</v>
      </c>
      <c r="P5270" s="9" t="s">
        <v>17748</v>
      </c>
      <c r="Q5270" s="11" t="s">
        <v>23398</v>
      </c>
      <c r="R5270" s="11" t="s">
        <v>23398</v>
      </c>
      <c r="S5270" s="11" t="s">
        <v>17750</v>
      </c>
    </row>
    <row r="5271" spans="1:19" x14ac:dyDescent="0.2">
      <c r="A5271" s="11" t="s">
        <v>48273</v>
      </c>
      <c r="B5271" s="9" t="s">
        <v>48274</v>
      </c>
      <c r="C5271" s="9" t="s">
        <v>48275</v>
      </c>
      <c r="D5271" s="9" t="s">
        <v>48276</v>
      </c>
      <c r="E5271" s="9" t="s">
        <v>17740</v>
      </c>
      <c r="F5271" s="9" t="s">
        <v>17741</v>
      </c>
      <c r="G5271" s="9" t="s">
        <v>17740</v>
      </c>
      <c r="H5271" s="11" t="s">
        <v>48277</v>
      </c>
      <c r="I5271" s="11" t="s">
        <v>48278</v>
      </c>
      <c r="J5271" s="11" t="s">
        <v>48278</v>
      </c>
      <c r="K5271" s="9" t="s">
        <v>17758</v>
      </c>
      <c r="L5271" s="9" t="s">
        <v>17759</v>
      </c>
      <c r="M5271" s="9" t="s">
        <v>17760</v>
      </c>
      <c r="N5271" s="9" t="s">
        <v>17746</v>
      </c>
      <c r="O5271" s="9" t="s">
        <v>18035</v>
      </c>
      <c r="P5271" s="9" t="s">
        <v>17748</v>
      </c>
      <c r="Q5271" s="11" t="s">
        <v>18272</v>
      </c>
      <c r="R5271" s="11" t="s">
        <v>18272</v>
      </c>
      <c r="S5271" s="11" t="s">
        <v>17750</v>
      </c>
    </row>
    <row r="5272" spans="1:19" x14ac:dyDescent="0.2">
      <c r="A5272" s="11" t="s">
        <v>48279</v>
      </c>
      <c r="B5272" s="9" t="s">
        <v>48280</v>
      </c>
      <c r="C5272" s="9" t="s">
        <v>48281</v>
      </c>
      <c r="D5272" s="9" t="s">
        <v>48282</v>
      </c>
      <c r="E5272" s="9" t="s">
        <v>17740</v>
      </c>
      <c r="F5272" s="9" t="s">
        <v>17741</v>
      </c>
      <c r="G5272" s="9" t="s">
        <v>17740</v>
      </c>
      <c r="H5272" s="11" t="s">
        <v>8175</v>
      </c>
      <c r="I5272" s="11" t="s">
        <v>8174</v>
      </c>
      <c r="J5272" s="11" t="s">
        <v>8175</v>
      </c>
      <c r="K5272" s="9" t="s">
        <v>303</v>
      </c>
      <c r="L5272" s="9" t="s">
        <v>17759</v>
      </c>
      <c r="M5272" s="9" t="s">
        <v>17760</v>
      </c>
      <c r="N5272" s="9" t="s">
        <v>17746</v>
      </c>
      <c r="O5272" s="9" t="s">
        <v>39031</v>
      </c>
      <c r="P5272" s="9" t="s">
        <v>17748</v>
      </c>
      <c r="Q5272" s="11" t="s">
        <v>18798</v>
      </c>
      <c r="R5272" s="11" t="s">
        <v>18798</v>
      </c>
      <c r="S5272" s="11" t="s">
        <v>17750</v>
      </c>
    </row>
    <row r="5273" spans="1:19" x14ac:dyDescent="0.2">
      <c r="A5273" s="11" t="s">
        <v>48283</v>
      </c>
      <c r="B5273" s="9" t="s">
        <v>48284</v>
      </c>
      <c r="C5273" s="9" t="s">
        <v>48285</v>
      </c>
      <c r="D5273" s="9" t="s">
        <v>48286</v>
      </c>
      <c r="E5273" s="9" t="s">
        <v>17740</v>
      </c>
      <c r="F5273" s="9" t="s">
        <v>17741</v>
      </c>
      <c r="G5273" s="9" t="s">
        <v>17740</v>
      </c>
      <c r="H5273" s="11" t="s">
        <v>48287</v>
      </c>
      <c r="I5273" s="11" t="s">
        <v>48288</v>
      </c>
      <c r="J5273" s="11" t="s">
        <v>48288</v>
      </c>
      <c r="K5273" s="9" t="s">
        <v>23783</v>
      </c>
      <c r="L5273" s="9" t="s">
        <v>17759</v>
      </c>
      <c r="M5273" s="9" t="s">
        <v>17760</v>
      </c>
      <c r="N5273" s="9" t="s">
        <v>17746</v>
      </c>
      <c r="O5273" s="9" t="s">
        <v>48289</v>
      </c>
      <c r="P5273" s="9" t="s">
        <v>17748</v>
      </c>
      <c r="Q5273" s="11" t="s">
        <v>17943</v>
      </c>
      <c r="R5273" s="11" t="s">
        <v>17943</v>
      </c>
      <c r="S5273" s="11" t="s">
        <v>17750</v>
      </c>
    </row>
    <row r="5274" spans="1:19" x14ac:dyDescent="0.2">
      <c r="A5274" s="11" t="s">
        <v>48290</v>
      </c>
      <c r="B5274" s="9" t="s">
        <v>48291</v>
      </c>
      <c r="C5274" s="9" t="s">
        <v>48292</v>
      </c>
      <c r="D5274" s="9" t="s">
        <v>48293</v>
      </c>
      <c r="E5274" s="9" t="s">
        <v>17740</v>
      </c>
      <c r="F5274" s="9" t="s">
        <v>17741</v>
      </c>
      <c r="G5274" s="9" t="s">
        <v>17740</v>
      </c>
      <c r="H5274" s="11" t="s">
        <v>48294</v>
      </c>
      <c r="I5274" s="11" t="s">
        <v>48295</v>
      </c>
      <c r="J5274" s="11" t="s">
        <v>48295</v>
      </c>
      <c r="K5274" s="9" t="s">
        <v>920</v>
      </c>
      <c r="L5274" s="9" t="s">
        <v>18001</v>
      </c>
      <c r="M5274" s="9" t="s">
        <v>20360</v>
      </c>
      <c r="N5274" s="9" t="s">
        <v>17746</v>
      </c>
      <c r="O5274" s="9" t="s">
        <v>48296</v>
      </c>
      <c r="P5274" s="9" t="s">
        <v>17748</v>
      </c>
      <c r="Q5274" s="11" t="s">
        <v>17792</v>
      </c>
      <c r="R5274" s="11" t="s">
        <v>17792</v>
      </c>
      <c r="S5274" s="11" t="s">
        <v>17750</v>
      </c>
    </row>
    <row r="5275" spans="1:19" x14ac:dyDescent="0.2">
      <c r="A5275" s="11" t="s">
        <v>48297</v>
      </c>
      <c r="B5275" s="9" t="s">
        <v>48298</v>
      </c>
      <c r="C5275" s="9" t="s">
        <v>48299</v>
      </c>
      <c r="D5275" s="9" t="s">
        <v>48300</v>
      </c>
      <c r="E5275" s="9" t="s">
        <v>17740</v>
      </c>
      <c r="F5275" s="9" t="s">
        <v>17741</v>
      </c>
      <c r="G5275" s="9" t="s">
        <v>17740</v>
      </c>
      <c r="H5275" s="11" t="s">
        <v>17741</v>
      </c>
      <c r="I5275" s="11" t="s">
        <v>17741</v>
      </c>
      <c r="J5275" s="11" t="s">
        <v>17741</v>
      </c>
      <c r="K5275" s="9" t="s">
        <v>48301</v>
      </c>
      <c r="L5275" s="9" t="s">
        <v>17759</v>
      </c>
      <c r="M5275" s="9" t="s">
        <v>17741</v>
      </c>
      <c r="N5275" s="9" t="s">
        <v>17746</v>
      </c>
      <c r="O5275" s="9" t="s">
        <v>1802</v>
      </c>
      <c r="P5275" s="9" t="s">
        <v>17748</v>
      </c>
      <c r="Q5275" s="11" t="s">
        <v>18922</v>
      </c>
      <c r="R5275" s="11" t="s">
        <v>18922</v>
      </c>
      <c r="S5275" s="11" t="s">
        <v>17750</v>
      </c>
    </row>
    <row r="5276" spans="1:19" x14ac:dyDescent="0.2">
      <c r="A5276" s="11" t="s">
        <v>48302</v>
      </c>
      <c r="B5276" s="9" t="s">
        <v>48303</v>
      </c>
      <c r="C5276" s="9" t="s">
        <v>48304</v>
      </c>
      <c r="D5276" s="9" t="s">
        <v>48305</v>
      </c>
      <c r="E5276" s="9" t="s">
        <v>17740</v>
      </c>
      <c r="F5276" s="9" t="s">
        <v>17741</v>
      </c>
      <c r="G5276" s="9" t="s">
        <v>17740</v>
      </c>
      <c r="H5276" s="11" t="s">
        <v>48306</v>
      </c>
      <c r="I5276" s="11" t="s">
        <v>9313</v>
      </c>
      <c r="J5276" s="11" t="s">
        <v>48306</v>
      </c>
      <c r="K5276" s="9" t="s">
        <v>9314</v>
      </c>
      <c r="L5276" s="9" t="s">
        <v>17759</v>
      </c>
      <c r="M5276" s="9" t="s">
        <v>17769</v>
      </c>
      <c r="N5276" s="9" t="s">
        <v>17746</v>
      </c>
      <c r="O5276" s="9" t="s">
        <v>24072</v>
      </c>
      <c r="P5276" s="9" t="s">
        <v>17748</v>
      </c>
      <c r="Q5276" s="11" t="s">
        <v>17994</v>
      </c>
      <c r="R5276" s="11" t="s">
        <v>17994</v>
      </c>
      <c r="S5276" s="11" t="s">
        <v>17750</v>
      </c>
    </row>
    <row r="5277" spans="1:19" x14ac:dyDescent="0.2">
      <c r="A5277" s="11" t="s">
        <v>48307</v>
      </c>
      <c r="B5277" s="9" t="s">
        <v>48308</v>
      </c>
      <c r="C5277" s="9" t="s">
        <v>48309</v>
      </c>
      <c r="D5277" s="9" t="s">
        <v>48310</v>
      </c>
      <c r="E5277" s="9" t="s">
        <v>17748</v>
      </c>
      <c r="F5277" s="9" t="s">
        <v>48311</v>
      </c>
      <c r="G5277" s="9" t="s">
        <v>17740</v>
      </c>
      <c r="H5277" s="11" t="s">
        <v>48312</v>
      </c>
      <c r="I5277" s="11" t="s">
        <v>48313</v>
      </c>
      <c r="J5277" s="11" t="s">
        <v>48313</v>
      </c>
      <c r="K5277" s="9" t="s">
        <v>19180</v>
      </c>
      <c r="L5277" s="9" t="s">
        <v>17759</v>
      </c>
      <c r="M5277" s="9" t="s">
        <v>34307</v>
      </c>
      <c r="N5277" s="9" t="s">
        <v>17746</v>
      </c>
      <c r="O5277" s="9" t="s">
        <v>30691</v>
      </c>
      <c r="P5277" s="9" t="s">
        <v>17748</v>
      </c>
      <c r="Q5277" s="11" t="s">
        <v>17784</v>
      </c>
      <c r="R5277" s="11" t="s">
        <v>17784</v>
      </c>
      <c r="S5277" s="11" t="s">
        <v>17750</v>
      </c>
    </row>
    <row r="5278" spans="1:19" x14ac:dyDescent="0.2">
      <c r="A5278" s="11" t="s">
        <v>48314</v>
      </c>
      <c r="B5278" s="9" t="s">
        <v>48315</v>
      </c>
      <c r="C5278" s="9" t="s">
        <v>48316</v>
      </c>
      <c r="D5278" s="9" t="s">
        <v>48317</v>
      </c>
      <c r="E5278" s="9" t="s">
        <v>17748</v>
      </c>
      <c r="F5278" s="9" t="s">
        <v>48318</v>
      </c>
      <c r="G5278" s="9" t="s">
        <v>17740</v>
      </c>
      <c r="H5278" s="11" t="s">
        <v>17741</v>
      </c>
      <c r="I5278" s="11" t="s">
        <v>48319</v>
      </c>
      <c r="J5278" s="11" t="s">
        <v>48319</v>
      </c>
      <c r="K5278" s="9" t="s">
        <v>48320</v>
      </c>
      <c r="L5278" s="9" t="s">
        <v>17759</v>
      </c>
      <c r="M5278" s="9" t="s">
        <v>17817</v>
      </c>
      <c r="N5278" s="9" t="s">
        <v>17746</v>
      </c>
      <c r="O5278" s="9" t="s">
        <v>17993</v>
      </c>
      <c r="P5278" s="9" t="s">
        <v>17748</v>
      </c>
      <c r="Q5278" s="11" t="s">
        <v>18201</v>
      </c>
      <c r="R5278" s="11" t="s">
        <v>18201</v>
      </c>
      <c r="S5278" s="11" t="s">
        <v>17750</v>
      </c>
    </row>
    <row r="5279" spans="1:19" x14ac:dyDescent="0.2">
      <c r="A5279" s="11" t="s">
        <v>48321</v>
      </c>
      <c r="B5279" s="9" t="s">
        <v>48322</v>
      </c>
      <c r="C5279" s="9" t="s">
        <v>48323</v>
      </c>
      <c r="D5279" s="9" t="s">
        <v>48324</v>
      </c>
      <c r="E5279" s="9" t="s">
        <v>17740</v>
      </c>
      <c r="F5279" s="9" t="s">
        <v>48325</v>
      </c>
      <c r="G5279" s="9" t="s">
        <v>17740</v>
      </c>
      <c r="H5279" s="11" t="s">
        <v>17741</v>
      </c>
      <c r="I5279" s="11" t="s">
        <v>48326</v>
      </c>
      <c r="J5279" s="11" t="s">
        <v>48326</v>
      </c>
      <c r="K5279" s="9" t="s">
        <v>48327</v>
      </c>
      <c r="L5279" s="9" t="s">
        <v>17759</v>
      </c>
      <c r="M5279" s="9" t="s">
        <v>17769</v>
      </c>
      <c r="N5279" s="9" t="s">
        <v>17746</v>
      </c>
      <c r="O5279" s="9" t="s">
        <v>17800</v>
      </c>
      <c r="P5279" s="9" t="s">
        <v>17748</v>
      </c>
      <c r="Q5279" s="11" t="s">
        <v>17749</v>
      </c>
      <c r="R5279" s="11" t="s">
        <v>17749</v>
      </c>
      <c r="S5279" s="11" t="s">
        <v>17750</v>
      </c>
    </row>
    <row r="5280" spans="1:19" x14ac:dyDescent="0.2">
      <c r="A5280" s="11" t="s">
        <v>48328</v>
      </c>
      <c r="B5280" s="9" t="s">
        <v>48329</v>
      </c>
      <c r="C5280" s="9" t="s">
        <v>48330</v>
      </c>
      <c r="D5280" s="9" t="s">
        <v>48331</v>
      </c>
      <c r="E5280" s="9" t="s">
        <v>17740</v>
      </c>
      <c r="F5280" s="9" t="s">
        <v>17741</v>
      </c>
      <c r="G5280" s="9" t="s">
        <v>17740</v>
      </c>
      <c r="H5280" s="11" t="s">
        <v>48332</v>
      </c>
      <c r="I5280" s="11" t="s">
        <v>48333</v>
      </c>
      <c r="J5280" s="11" t="s">
        <v>48333</v>
      </c>
      <c r="K5280" s="9" t="s">
        <v>21545</v>
      </c>
      <c r="L5280" s="9" t="s">
        <v>18854</v>
      </c>
      <c r="M5280" s="9" t="s">
        <v>48334</v>
      </c>
      <c r="N5280" s="9" t="s">
        <v>20237</v>
      </c>
      <c r="O5280" s="9" t="s">
        <v>19013</v>
      </c>
      <c r="P5280" s="9" t="s">
        <v>17748</v>
      </c>
      <c r="Q5280" s="11" t="s">
        <v>21244</v>
      </c>
      <c r="R5280" s="11" t="s">
        <v>21244</v>
      </c>
      <c r="S5280" s="11" t="s">
        <v>17750</v>
      </c>
    </row>
    <row r="5281" spans="1:19" x14ac:dyDescent="0.2">
      <c r="A5281" s="11" t="s">
        <v>48335</v>
      </c>
      <c r="B5281" s="9" t="s">
        <v>48336</v>
      </c>
      <c r="C5281" s="9" t="s">
        <v>48337</v>
      </c>
      <c r="D5281" s="9" t="s">
        <v>48338</v>
      </c>
      <c r="E5281" s="9" t="s">
        <v>17740</v>
      </c>
      <c r="F5281" s="9" t="s">
        <v>17741</v>
      </c>
      <c r="G5281" s="9" t="s">
        <v>17740</v>
      </c>
      <c r="H5281" s="11" t="s">
        <v>17741</v>
      </c>
      <c r="I5281" s="11" t="s">
        <v>48339</v>
      </c>
      <c r="J5281" s="11" t="s">
        <v>48339</v>
      </c>
      <c r="K5281" s="9" t="s">
        <v>48340</v>
      </c>
      <c r="L5281" s="9" t="s">
        <v>17759</v>
      </c>
      <c r="M5281" s="9" t="s">
        <v>17817</v>
      </c>
      <c r="N5281" s="9" t="s">
        <v>17746</v>
      </c>
      <c r="O5281" s="9" t="s">
        <v>18340</v>
      </c>
      <c r="P5281" s="9" t="s">
        <v>17748</v>
      </c>
      <c r="Q5281" s="11" t="s">
        <v>48341</v>
      </c>
      <c r="R5281" s="11" t="s">
        <v>48341</v>
      </c>
      <c r="S5281" s="11" t="s">
        <v>17750</v>
      </c>
    </row>
    <row r="5282" spans="1:19" x14ac:dyDescent="0.2">
      <c r="A5282" s="11" t="s">
        <v>48342</v>
      </c>
      <c r="B5282" s="9" t="s">
        <v>48343</v>
      </c>
      <c r="C5282" s="9" t="s">
        <v>48344</v>
      </c>
      <c r="D5282" s="9" t="s">
        <v>48345</v>
      </c>
      <c r="E5282" s="9" t="s">
        <v>17740</v>
      </c>
      <c r="F5282" s="9" t="s">
        <v>48346</v>
      </c>
      <c r="G5282" s="9" t="s">
        <v>17740</v>
      </c>
      <c r="H5282" s="11" t="s">
        <v>3922</v>
      </c>
      <c r="I5282" s="11" t="s">
        <v>3921</v>
      </c>
      <c r="J5282" s="11" t="s">
        <v>3921</v>
      </c>
      <c r="K5282" s="9" t="s">
        <v>48347</v>
      </c>
      <c r="L5282" s="9" t="s">
        <v>17759</v>
      </c>
      <c r="M5282" s="9" t="s">
        <v>18790</v>
      </c>
      <c r="N5282" s="9" t="s">
        <v>17746</v>
      </c>
      <c r="O5282" s="9" t="s">
        <v>18009</v>
      </c>
      <c r="P5282" s="9" t="s">
        <v>17748</v>
      </c>
      <c r="Q5282" s="11" t="s">
        <v>19515</v>
      </c>
      <c r="R5282" s="11" t="s">
        <v>19515</v>
      </c>
      <c r="S5282" s="11" t="s">
        <v>17750</v>
      </c>
    </row>
    <row r="5283" spans="1:19" x14ac:dyDescent="0.2">
      <c r="A5283" s="11" t="s">
        <v>48348</v>
      </c>
      <c r="B5283" s="9" t="s">
        <v>48349</v>
      </c>
      <c r="C5283" s="9" t="s">
        <v>48350</v>
      </c>
      <c r="D5283" s="9" t="s">
        <v>48351</v>
      </c>
      <c r="E5283" s="9" t="s">
        <v>17740</v>
      </c>
      <c r="F5283" s="9" t="s">
        <v>48352</v>
      </c>
      <c r="G5283" s="9" t="s">
        <v>17740</v>
      </c>
      <c r="H5283" s="11" t="s">
        <v>48353</v>
      </c>
      <c r="I5283" s="11" t="s">
        <v>48354</v>
      </c>
      <c r="J5283" s="11" t="s">
        <v>48354</v>
      </c>
      <c r="K5283" s="9" t="s">
        <v>48355</v>
      </c>
      <c r="L5283" s="9" t="s">
        <v>17759</v>
      </c>
      <c r="M5283" s="9" t="s">
        <v>17817</v>
      </c>
      <c r="N5283" s="9" t="s">
        <v>17746</v>
      </c>
      <c r="O5283" s="9" t="s">
        <v>17993</v>
      </c>
      <c r="P5283" s="9" t="s">
        <v>17748</v>
      </c>
      <c r="Q5283" s="11" t="s">
        <v>20251</v>
      </c>
      <c r="R5283" s="11" t="s">
        <v>20251</v>
      </c>
      <c r="S5283" s="11" t="s">
        <v>17750</v>
      </c>
    </row>
    <row r="5284" spans="1:19" x14ac:dyDescent="0.2">
      <c r="A5284" s="11" t="s">
        <v>48356</v>
      </c>
      <c r="B5284" s="9" t="s">
        <v>48357</v>
      </c>
      <c r="C5284" s="9" t="s">
        <v>48358</v>
      </c>
      <c r="D5284" s="9" t="s">
        <v>48359</v>
      </c>
      <c r="E5284" s="9" t="s">
        <v>17740</v>
      </c>
      <c r="F5284" s="9" t="s">
        <v>48360</v>
      </c>
      <c r="G5284" s="9" t="s">
        <v>17740</v>
      </c>
      <c r="H5284" s="11" t="s">
        <v>17741</v>
      </c>
      <c r="I5284" s="11" t="s">
        <v>48361</v>
      </c>
      <c r="J5284" s="11" t="s">
        <v>48361</v>
      </c>
      <c r="K5284" s="9" t="s">
        <v>48362</v>
      </c>
      <c r="L5284" s="9" t="s">
        <v>17759</v>
      </c>
      <c r="M5284" s="9" t="s">
        <v>19168</v>
      </c>
      <c r="N5284" s="9" t="s">
        <v>17746</v>
      </c>
      <c r="O5284" s="9" t="s">
        <v>17800</v>
      </c>
      <c r="P5284" s="9" t="s">
        <v>17748</v>
      </c>
      <c r="Q5284" s="11" t="s">
        <v>18243</v>
      </c>
      <c r="R5284" s="11" t="s">
        <v>18243</v>
      </c>
      <c r="S5284" s="11" t="s">
        <v>17750</v>
      </c>
    </row>
    <row r="5285" spans="1:19" x14ac:dyDescent="0.2">
      <c r="A5285" s="11" t="s">
        <v>48363</v>
      </c>
      <c r="B5285" s="9" t="s">
        <v>48364</v>
      </c>
      <c r="C5285" s="9" t="s">
        <v>48365</v>
      </c>
      <c r="D5285" s="9" t="s">
        <v>48366</v>
      </c>
      <c r="E5285" s="9" t="s">
        <v>17740</v>
      </c>
      <c r="F5285" s="9" t="s">
        <v>17741</v>
      </c>
      <c r="G5285" s="9" t="s">
        <v>17740</v>
      </c>
      <c r="H5285" s="11" t="s">
        <v>48367</v>
      </c>
      <c r="I5285" s="11" t="s">
        <v>17741</v>
      </c>
      <c r="J5285" s="11" t="s">
        <v>48367</v>
      </c>
      <c r="K5285" s="9" t="s">
        <v>18570</v>
      </c>
      <c r="L5285" s="9" t="s">
        <v>17744</v>
      </c>
      <c r="M5285" s="9" t="s">
        <v>17741</v>
      </c>
      <c r="N5285" s="9" t="s">
        <v>17746</v>
      </c>
      <c r="O5285" s="9" t="s">
        <v>18833</v>
      </c>
      <c r="P5285" s="9" t="s">
        <v>17748</v>
      </c>
      <c r="Q5285" s="11" t="s">
        <v>17780</v>
      </c>
      <c r="R5285" s="11" t="s">
        <v>17780</v>
      </c>
      <c r="S5285" s="11" t="s">
        <v>17750</v>
      </c>
    </row>
    <row r="5286" spans="1:19" x14ac:dyDescent="0.2">
      <c r="A5286" s="11" t="s">
        <v>48368</v>
      </c>
      <c r="B5286" s="9" t="s">
        <v>48369</v>
      </c>
      <c r="C5286" s="9" t="s">
        <v>48370</v>
      </c>
      <c r="D5286" s="9" t="s">
        <v>48371</v>
      </c>
      <c r="E5286" s="9" t="s">
        <v>17748</v>
      </c>
      <c r="F5286" s="9" t="s">
        <v>48372</v>
      </c>
      <c r="G5286" s="9" t="s">
        <v>17740</v>
      </c>
      <c r="H5286" s="11" t="s">
        <v>17741</v>
      </c>
      <c r="I5286" s="11" t="s">
        <v>48373</v>
      </c>
      <c r="J5286" s="11" t="s">
        <v>17741</v>
      </c>
      <c r="K5286" s="9" t="s">
        <v>48374</v>
      </c>
      <c r="L5286" s="9" t="s">
        <v>17991</v>
      </c>
      <c r="M5286" s="9" t="s">
        <v>18211</v>
      </c>
      <c r="N5286" s="9" t="s">
        <v>17746</v>
      </c>
      <c r="O5286" s="9" t="s">
        <v>17977</v>
      </c>
      <c r="P5286" s="9" t="s">
        <v>17748</v>
      </c>
      <c r="Q5286" s="11" t="s">
        <v>17909</v>
      </c>
      <c r="R5286" s="11" t="s">
        <v>17909</v>
      </c>
      <c r="S5286" s="11" t="s">
        <v>17750</v>
      </c>
    </row>
    <row r="5287" spans="1:19" x14ac:dyDescent="0.2">
      <c r="A5287" s="11" t="s">
        <v>48375</v>
      </c>
      <c r="B5287" s="9" t="s">
        <v>48376</v>
      </c>
      <c r="C5287" s="9" t="s">
        <v>48377</v>
      </c>
      <c r="D5287" s="9" t="s">
        <v>48378</v>
      </c>
      <c r="E5287" s="9" t="s">
        <v>17748</v>
      </c>
      <c r="F5287" s="9" t="s">
        <v>48379</v>
      </c>
      <c r="G5287" s="9" t="s">
        <v>17740</v>
      </c>
      <c r="H5287" s="11" t="s">
        <v>48380</v>
      </c>
      <c r="I5287" s="11" t="s">
        <v>48381</v>
      </c>
      <c r="J5287" s="11" t="s">
        <v>48381</v>
      </c>
      <c r="K5287" s="9" t="s">
        <v>48382</v>
      </c>
      <c r="L5287" s="9" t="s">
        <v>18001</v>
      </c>
      <c r="M5287" s="9" t="s">
        <v>18065</v>
      </c>
      <c r="N5287" s="9" t="s">
        <v>17746</v>
      </c>
      <c r="O5287" s="9" t="s">
        <v>17874</v>
      </c>
      <c r="P5287" s="9" t="s">
        <v>17748</v>
      </c>
      <c r="Q5287" s="11" t="s">
        <v>18798</v>
      </c>
      <c r="R5287" s="11" t="s">
        <v>18798</v>
      </c>
      <c r="S5287" s="11" t="s">
        <v>17750</v>
      </c>
    </row>
    <row r="5288" spans="1:19" x14ac:dyDescent="0.2">
      <c r="A5288" s="11" t="s">
        <v>48383</v>
      </c>
      <c r="B5288" s="9" t="s">
        <v>48384</v>
      </c>
      <c r="C5288" s="9" t="s">
        <v>48385</v>
      </c>
      <c r="D5288" s="9" t="s">
        <v>48386</v>
      </c>
      <c r="E5288" s="9" t="s">
        <v>17740</v>
      </c>
      <c r="F5288" s="9" t="s">
        <v>17741</v>
      </c>
      <c r="G5288" s="9" t="s">
        <v>17740</v>
      </c>
      <c r="H5288" s="11" t="s">
        <v>48387</v>
      </c>
      <c r="I5288" s="11" t="s">
        <v>48388</v>
      </c>
      <c r="J5288" s="11" t="s">
        <v>48388</v>
      </c>
      <c r="K5288" s="9" t="s">
        <v>21054</v>
      </c>
      <c r="L5288" s="9" t="s">
        <v>17759</v>
      </c>
      <c r="M5288" s="9" t="s">
        <v>48389</v>
      </c>
      <c r="N5288" s="9" t="s">
        <v>17746</v>
      </c>
      <c r="O5288" s="9" t="s">
        <v>48390</v>
      </c>
      <c r="P5288" s="9" t="s">
        <v>17748</v>
      </c>
      <c r="Q5288" s="11" t="s">
        <v>18282</v>
      </c>
      <c r="R5288" s="11" t="s">
        <v>18282</v>
      </c>
      <c r="S5288" s="11" t="s">
        <v>17750</v>
      </c>
    </row>
    <row r="5289" spans="1:19" x14ac:dyDescent="0.2">
      <c r="A5289" s="11" t="s">
        <v>48391</v>
      </c>
      <c r="B5289" s="9" t="s">
        <v>48392</v>
      </c>
      <c r="C5289" s="9" t="s">
        <v>48393</v>
      </c>
      <c r="D5289" s="9" t="s">
        <v>48394</v>
      </c>
      <c r="E5289" s="9" t="s">
        <v>17740</v>
      </c>
      <c r="F5289" s="9" t="s">
        <v>48395</v>
      </c>
      <c r="G5289" s="9" t="s">
        <v>17740</v>
      </c>
      <c r="H5289" s="11" t="s">
        <v>48396</v>
      </c>
      <c r="I5289" s="11" t="s">
        <v>48397</v>
      </c>
      <c r="J5289" s="11" t="s">
        <v>48397</v>
      </c>
      <c r="K5289" s="9" t="s">
        <v>31234</v>
      </c>
      <c r="L5289" s="9" t="s">
        <v>18158</v>
      </c>
      <c r="M5289" s="9" t="s">
        <v>17760</v>
      </c>
      <c r="N5289" s="9" t="s">
        <v>17746</v>
      </c>
      <c r="O5289" s="9" t="s">
        <v>17977</v>
      </c>
      <c r="P5289" s="9" t="s">
        <v>17748</v>
      </c>
      <c r="Q5289" s="11" t="s">
        <v>18272</v>
      </c>
      <c r="R5289" s="11" t="s">
        <v>18272</v>
      </c>
      <c r="S5289" s="11" t="s">
        <v>17750</v>
      </c>
    </row>
    <row r="5290" spans="1:19" x14ac:dyDescent="0.2">
      <c r="A5290" s="11" t="s">
        <v>48398</v>
      </c>
      <c r="B5290" s="9" t="s">
        <v>15871</v>
      </c>
      <c r="C5290" s="9" t="s">
        <v>48399</v>
      </c>
      <c r="D5290" s="9" t="s">
        <v>15871</v>
      </c>
      <c r="E5290" s="9" t="s">
        <v>17740</v>
      </c>
      <c r="F5290" s="9" t="s">
        <v>17741</v>
      </c>
      <c r="G5290" s="9" t="s">
        <v>17740</v>
      </c>
      <c r="H5290" s="11" t="s">
        <v>15872</v>
      </c>
      <c r="I5290" s="11" t="s">
        <v>17741</v>
      </c>
      <c r="J5290" s="11" t="s">
        <v>15872</v>
      </c>
      <c r="K5290" s="9" t="s">
        <v>10608</v>
      </c>
      <c r="L5290" s="9" t="s">
        <v>20082</v>
      </c>
      <c r="M5290" s="9" t="s">
        <v>17741</v>
      </c>
      <c r="N5290" s="9" t="s">
        <v>17746</v>
      </c>
      <c r="O5290" s="9" t="s">
        <v>48400</v>
      </c>
      <c r="P5290" s="9" t="s">
        <v>17748</v>
      </c>
      <c r="Q5290" s="11" t="s">
        <v>17909</v>
      </c>
      <c r="R5290" s="11" t="s">
        <v>17909</v>
      </c>
      <c r="S5290" s="11" t="s">
        <v>17750</v>
      </c>
    </row>
    <row r="5291" spans="1:19" x14ac:dyDescent="0.2">
      <c r="A5291" s="11" t="s">
        <v>48401</v>
      </c>
      <c r="B5291" s="9" t="s">
        <v>48402</v>
      </c>
      <c r="C5291" s="9" t="s">
        <v>48403</v>
      </c>
      <c r="D5291" s="9" t="s">
        <v>48404</v>
      </c>
      <c r="E5291" s="9" t="s">
        <v>17740</v>
      </c>
      <c r="F5291" s="9" t="s">
        <v>17741</v>
      </c>
      <c r="G5291" s="9" t="s">
        <v>17740</v>
      </c>
      <c r="H5291" s="11" t="s">
        <v>12399</v>
      </c>
      <c r="I5291" s="11" t="s">
        <v>12398</v>
      </c>
      <c r="J5291" s="11" t="s">
        <v>12398</v>
      </c>
      <c r="K5291" s="9" t="s">
        <v>19447</v>
      </c>
      <c r="L5291" s="9" t="s">
        <v>17744</v>
      </c>
      <c r="M5291" s="9" t="s">
        <v>17769</v>
      </c>
      <c r="N5291" s="9" t="s">
        <v>17746</v>
      </c>
      <c r="O5291" s="9" t="s">
        <v>24302</v>
      </c>
      <c r="P5291" s="9" t="s">
        <v>17748</v>
      </c>
      <c r="Q5291" s="11" t="s">
        <v>17917</v>
      </c>
      <c r="R5291" s="11" t="s">
        <v>17917</v>
      </c>
      <c r="S5291" s="11" t="s">
        <v>17750</v>
      </c>
    </row>
    <row r="5292" spans="1:19" x14ac:dyDescent="0.2">
      <c r="A5292" s="11" t="s">
        <v>48405</v>
      </c>
      <c r="B5292" s="9" t="s">
        <v>48406</v>
      </c>
      <c r="C5292" s="9" t="s">
        <v>48407</v>
      </c>
      <c r="D5292" s="9" t="s">
        <v>48408</v>
      </c>
      <c r="E5292" s="9" t="s">
        <v>17740</v>
      </c>
      <c r="F5292" s="9" t="s">
        <v>17741</v>
      </c>
      <c r="G5292" s="9" t="s">
        <v>17740</v>
      </c>
      <c r="H5292" s="11" t="s">
        <v>12402</v>
      </c>
      <c r="I5292" s="11" t="s">
        <v>12401</v>
      </c>
      <c r="J5292" s="11" t="s">
        <v>12401</v>
      </c>
      <c r="K5292" s="9" t="s">
        <v>21721</v>
      </c>
      <c r="L5292" s="9" t="s">
        <v>17744</v>
      </c>
      <c r="M5292" s="9" t="s">
        <v>17769</v>
      </c>
      <c r="N5292" s="9" t="s">
        <v>17746</v>
      </c>
      <c r="O5292" s="9" t="s">
        <v>48409</v>
      </c>
      <c r="P5292" s="9" t="s">
        <v>17748</v>
      </c>
      <c r="Q5292" s="11" t="s">
        <v>17917</v>
      </c>
      <c r="R5292" s="11" t="s">
        <v>17917</v>
      </c>
      <c r="S5292" s="11" t="s">
        <v>17750</v>
      </c>
    </row>
    <row r="5293" spans="1:19" x14ac:dyDescent="0.2">
      <c r="A5293" s="11" t="s">
        <v>48410</v>
      </c>
      <c r="B5293" s="9" t="s">
        <v>48411</v>
      </c>
      <c r="C5293" s="9" t="s">
        <v>48412</v>
      </c>
      <c r="D5293" s="9" t="s">
        <v>48413</v>
      </c>
      <c r="E5293" s="9" t="s">
        <v>17748</v>
      </c>
      <c r="F5293" s="9" t="s">
        <v>48414</v>
      </c>
      <c r="G5293" s="9" t="s">
        <v>17740</v>
      </c>
      <c r="H5293" s="11" t="s">
        <v>10227</v>
      </c>
      <c r="I5293" s="11" t="s">
        <v>10226</v>
      </c>
      <c r="J5293" s="11" t="s">
        <v>10226</v>
      </c>
      <c r="K5293" s="9" t="s">
        <v>20225</v>
      </c>
      <c r="L5293" s="9" t="s">
        <v>20082</v>
      </c>
      <c r="M5293" s="9" t="s">
        <v>17769</v>
      </c>
      <c r="N5293" s="9" t="s">
        <v>17746</v>
      </c>
      <c r="O5293" s="9" t="s">
        <v>7097</v>
      </c>
      <c r="P5293" s="9" t="s">
        <v>17748</v>
      </c>
      <c r="Q5293" s="11" t="s">
        <v>17858</v>
      </c>
      <c r="R5293" s="11" t="s">
        <v>17858</v>
      </c>
      <c r="S5293" s="11" t="s">
        <v>17750</v>
      </c>
    </row>
    <row r="5294" spans="1:19" x14ac:dyDescent="0.2">
      <c r="A5294" s="11" t="s">
        <v>48415</v>
      </c>
      <c r="B5294" s="9" t="s">
        <v>48416</v>
      </c>
      <c r="C5294" s="9" t="s">
        <v>48417</v>
      </c>
      <c r="D5294" s="9" t="s">
        <v>48418</v>
      </c>
      <c r="E5294" s="9" t="s">
        <v>17740</v>
      </c>
      <c r="F5294" s="9" t="s">
        <v>17741</v>
      </c>
      <c r="G5294" s="9" t="s">
        <v>17740</v>
      </c>
      <c r="H5294" s="11" t="s">
        <v>15231</v>
      </c>
      <c r="I5294" s="11" t="s">
        <v>15230</v>
      </c>
      <c r="J5294" s="11" t="s">
        <v>15230</v>
      </c>
      <c r="K5294" s="9" t="s">
        <v>13972</v>
      </c>
      <c r="L5294" s="9" t="s">
        <v>17744</v>
      </c>
      <c r="M5294" s="9" t="s">
        <v>17817</v>
      </c>
      <c r="N5294" s="9" t="s">
        <v>17746</v>
      </c>
      <c r="O5294" s="9" t="s">
        <v>25066</v>
      </c>
      <c r="P5294" s="9" t="s">
        <v>17748</v>
      </c>
      <c r="Q5294" s="11" t="s">
        <v>17900</v>
      </c>
      <c r="R5294" s="11" t="s">
        <v>17900</v>
      </c>
      <c r="S5294" s="11" t="s">
        <v>17750</v>
      </c>
    </row>
    <row r="5295" spans="1:19" x14ac:dyDescent="0.2">
      <c r="A5295" s="11" t="s">
        <v>48419</v>
      </c>
      <c r="B5295" s="9" t="s">
        <v>48420</v>
      </c>
      <c r="C5295" s="9" t="s">
        <v>48421</v>
      </c>
      <c r="D5295" s="9" t="s">
        <v>48422</v>
      </c>
      <c r="E5295" s="9" t="s">
        <v>17740</v>
      </c>
      <c r="F5295" s="9" t="s">
        <v>17741</v>
      </c>
      <c r="G5295" s="9" t="s">
        <v>17740</v>
      </c>
      <c r="H5295" s="11" t="s">
        <v>3894</v>
      </c>
      <c r="I5295" s="11" t="s">
        <v>3893</v>
      </c>
      <c r="J5295" s="11" t="s">
        <v>3893</v>
      </c>
      <c r="K5295" s="9" t="s">
        <v>17758</v>
      </c>
      <c r="L5295" s="9" t="s">
        <v>17759</v>
      </c>
      <c r="M5295" s="9" t="s">
        <v>17769</v>
      </c>
      <c r="N5295" s="9" t="s">
        <v>17746</v>
      </c>
      <c r="O5295" s="9" t="s">
        <v>24758</v>
      </c>
      <c r="P5295" s="9" t="s">
        <v>17748</v>
      </c>
      <c r="Q5295" s="11" t="s">
        <v>18251</v>
      </c>
      <c r="R5295" s="11" t="s">
        <v>18251</v>
      </c>
      <c r="S5295" s="11" t="s">
        <v>17750</v>
      </c>
    </row>
    <row r="5296" spans="1:19" x14ac:dyDescent="0.2">
      <c r="A5296" s="11" t="s">
        <v>48423</v>
      </c>
      <c r="B5296" s="9" t="s">
        <v>48424</v>
      </c>
      <c r="C5296" s="9" t="s">
        <v>48425</v>
      </c>
      <c r="D5296" s="9" t="s">
        <v>48426</v>
      </c>
      <c r="E5296" s="9" t="s">
        <v>17740</v>
      </c>
      <c r="F5296" s="9" t="s">
        <v>48427</v>
      </c>
      <c r="G5296" s="9" t="s">
        <v>17740</v>
      </c>
      <c r="H5296" s="11" t="s">
        <v>17741</v>
      </c>
      <c r="I5296" s="11" t="s">
        <v>3931</v>
      </c>
      <c r="J5296" s="11" t="s">
        <v>3931</v>
      </c>
      <c r="K5296" s="9" t="s">
        <v>32260</v>
      </c>
      <c r="L5296" s="9" t="s">
        <v>18123</v>
      </c>
      <c r="M5296" s="9" t="s">
        <v>17817</v>
      </c>
      <c r="N5296" s="9" t="s">
        <v>18185</v>
      </c>
      <c r="O5296" s="9" t="s">
        <v>19013</v>
      </c>
      <c r="P5296" s="9" t="s">
        <v>17748</v>
      </c>
      <c r="Q5296" s="11" t="s">
        <v>18306</v>
      </c>
      <c r="R5296" s="11" t="s">
        <v>18306</v>
      </c>
      <c r="S5296" s="11" t="s">
        <v>17750</v>
      </c>
    </row>
    <row r="5297" spans="1:19" x14ac:dyDescent="0.2">
      <c r="A5297" s="11" t="s">
        <v>48428</v>
      </c>
      <c r="B5297" s="9" t="s">
        <v>48429</v>
      </c>
      <c r="C5297" s="9" t="s">
        <v>48430</v>
      </c>
      <c r="D5297" s="9" t="s">
        <v>3913</v>
      </c>
      <c r="E5297" s="9" t="s">
        <v>17740</v>
      </c>
      <c r="F5297" s="9" t="s">
        <v>48431</v>
      </c>
      <c r="G5297" s="9" t="s">
        <v>17740</v>
      </c>
      <c r="H5297" s="11" t="s">
        <v>17741</v>
      </c>
      <c r="I5297" s="11" t="s">
        <v>3914</v>
      </c>
      <c r="J5297" s="11" t="s">
        <v>3914</v>
      </c>
      <c r="K5297" s="9" t="s">
        <v>3916</v>
      </c>
      <c r="L5297" s="9" t="s">
        <v>20359</v>
      </c>
      <c r="M5297" s="9" t="s">
        <v>17769</v>
      </c>
      <c r="N5297" s="9" t="s">
        <v>18042</v>
      </c>
      <c r="O5297" s="9" t="s">
        <v>19013</v>
      </c>
      <c r="P5297" s="9" t="s">
        <v>17748</v>
      </c>
      <c r="Q5297" s="11" t="s">
        <v>18010</v>
      </c>
      <c r="R5297" s="11" t="s">
        <v>18010</v>
      </c>
      <c r="S5297" s="11" t="s">
        <v>17750</v>
      </c>
    </row>
    <row r="5298" spans="1:19" x14ac:dyDescent="0.2">
      <c r="A5298" s="11" t="s">
        <v>48432</v>
      </c>
      <c r="B5298" s="9" t="s">
        <v>48433</v>
      </c>
      <c r="C5298" s="9" t="s">
        <v>48434</v>
      </c>
      <c r="D5298" s="9" t="s">
        <v>48433</v>
      </c>
      <c r="E5298" s="9" t="s">
        <v>17740</v>
      </c>
      <c r="F5298" s="9" t="s">
        <v>17741</v>
      </c>
      <c r="G5298" s="9" t="s">
        <v>17740</v>
      </c>
      <c r="H5298" s="11" t="s">
        <v>17741</v>
      </c>
      <c r="I5298" s="11" t="s">
        <v>48435</v>
      </c>
      <c r="J5298" s="11" t="s">
        <v>48435</v>
      </c>
      <c r="K5298" s="9" t="s">
        <v>48436</v>
      </c>
      <c r="L5298" s="9" t="s">
        <v>18305</v>
      </c>
      <c r="M5298" s="9" t="s">
        <v>18745</v>
      </c>
      <c r="N5298" s="9" t="s">
        <v>26962</v>
      </c>
      <c r="O5298" s="9" t="s">
        <v>23685</v>
      </c>
      <c r="P5298" s="9" t="s">
        <v>17748</v>
      </c>
      <c r="Q5298" s="11" t="s">
        <v>18234</v>
      </c>
      <c r="R5298" s="11" t="s">
        <v>18234</v>
      </c>
      <c r="S5298" s="11" t="s">
        <v>17750</v>
      </c>
    </row>
    <row r="5299" spans="1:19" x14ac:dyDescent="0.2">
      <c r="A5299" s="11" t="s">
        <v>48437</v>
      </c>
      <c r="B5299" s="9" t="s">
        <v>48438</v>
      </c>
      <c r="C5299" s="9" t="s">
        <v>48439</v>
      </c>
      <c r="D5299" s="9" t="s">
        <v>48438</v>
      </c>
      <c r="E5299" s="9" t="s">
        <v>17740</v>
      </c>
      <c r="F5299" s="9" t="s">
        <v>17741</v>
      </c>
      <c r="G5299" s="9" t="s">
        <v>17740</v>
      </c>
      <c r="H5299" s="11" t="s">
        <v>48440</v>
      </c>
      <c r="I5299" s="11" t="s">
        <v>48441</v>
      </c>
      <c r="J5299" s="11" t="s">
        <v>48441</v>
      </c>
      <c r="K5299" s="9" t="s">
        <v>91</v>
      </c>
      <c r="L5299" s="9" t="s">
        <v>17759</v>
      </c>
      <c r="M5299" s="9" t="s">
        <v>18812</v>
      </c>
      <c r="N5299" s="9" t="s">
        <v>17746</v>
      </c>
      <c r="O5299" s="9" t="s">
        <v>48442</v>
      </c>
      <c r="P5299" s="9" t="s">
        <v>17748</v>
      </c>
      <c r="Q5299" s="11" t="s">
        <v>17771</v>
      </c>
      <c r="R5299" s="11" t="s">
        <v>17771</v>
      </c>
      <c r="S5299" s="11" t="s">
        <v>17750</v>
      </c>
    </row>
    <row r="5300" spans="1:19" x14ac:dyDescent="0.2">
      <c r="A5300" s="11" t="s">
        <v>48443</v>
      </c>
      <c r="B5300" s="9" t="s">
        <v>48444</v>
      </c>
      <c r="C5300" s="9" t="s">
        <v>48445</v>
      </c>
      <c r="D5300" s="9" t="s">
        <v>48446</v>
      </c>
      <c r="E5300" s="9" t="s">
        <v>17740</v>
      </c>
      <c r="F5300" s="9" t="s">
        <v>17741</v>
      </c>
      <c r="G5300" s="9" t="s">
        <v>17740</v>
      </c>
      <c r="H5300" s="11" t="s">
        <v>11386</v>
      </c>
      <c r="I5300" s="11" t="s">
        <v>17741</v>
      </c>
      <c r="J5300" s="11" t="s">
        <v>11386</v>
      </c>
      <c r="K5300" s="9" t="s">
        <v>48447</v>
      </c>
      <c r="L5300" s="9" t="s">
        <v>17744</v>
      </c>
      <c r="M5300" s="9" t="s">
        <v>17741</v>
      </c>
      <c r="N5300" s="9" t="s">
        <v>17746</v>
      </c>
      <c r="O5300" s="9" t="s">
        <v>48448</v>
      </c>
      <c r="P5300" s="9" t="s">
        <v>17748</v>
      </c>
      <c r="Q5300" s="11" t="s">
        <v>17784</v>
      </c>
      <c r="R5300" s="11" t="s">
        <v>17784</v>
      </c>
      <c r="S5300" s="11" t="s">
        <v>17750</v>
      </c>
    </row>
    <row r="5301" spans="1:19" x14ac:dyDescent="0.2">
      <c r="A5301" s="11" t="s">
        <v>48449</v>
      </c>
      <c r="B5301" s="9" t="s">
        <v>48450</v>
      </c>
      <c r="C5301" s="9" t="s">
        <v>48451</v>
      </c>
      <c r="D5301" s="9" t="s">
        <v>48452</v>
      </c>
      <c r="E5301" s="9" t="s">
        <v>17740</v>
      </c>
      <c r="F5301" s="9" t="s">
        <v>48453</v>
      </c>
      <c r="G5301" s="9" t="s">
        <v>17740</v>
      </c>
      <c r="H5301" s="11" t="s">
        <v>4005</v>
      </c>
      <c r="I5301" s="11" t="s">
        <v>4004</v>
      </c>
      <c r="J5301" s="11" t="s">
        <v>4004</v>
      </c>
      <c r="K5301" s="9" t="s">
        <v>31244</v>
      </c>
      <c r="L5301" s="9" t="s">
        <v>18158</v>
      </c>
      <c r="M5301" s="9" t="s">
        <v>17769</v>
      </c>
      <c r="N5301" s="9" t="s">
        <v>17746</v>
      </c>
      <c r="O5301" s="9" t="s">
        <v>20761</v>
      </c>
      <c r="P5301" s="9" t="s">
        <v>17748</v>
      </c>
      <c r="Q5301" s="11" t="s">
        <v>18251</v>
      </c>
      <c r="R5301" s="11" t="s">
        <v>18251</v>
      </c>
      <c r="S5301" s="11" t="s">
        <v>17750</v>
      </c>
    </row>
    <row r="5302" spans="1:19" x14ac:dyDescent="0.2">
      <c r="A5302" s="11" t="s">
        <v>48454</v>
      </c>
      <c r="B5302" s="9" t="s">
        <v>48455</v>
      </c>
      <c r="C5302" s="9" t="s">
        <v>48456</v>
      </c>
      <c r="D5302" s="9" t="s">
        <v>48457</v>
      </c>
      <c r="E5302" s="9" t="s">
        <v>17748</v>
      </c>
      <c r="F5302" s="9" t="s">
        <v>48458</v>
      </c>
      <c r="G5302" s="9" t="s">
        <v>17740</v>
      </c>
      <c r="H5302" s="11" t="s">
        <v>17741</v>
      </c>
      <c r="I5302" s="11" t="s">
        <v>10290</v>
      </c>
      <c r="J5302" s="11" t="s">
        <v>17741</v>
      </c>
      <c r="K5302" s="9" t="s">
        <v>20259</v>
      </c>
      <c r="L5302" s="9" t="s">
        <v>17759</v>
      </c>
      <c r="M5302" s="9" t="s">
        <v>17760</v>
      </c>
      <c r="N5302" s="9" t="s">
        <v>17746</v>
      </c>
      <c r="O5302" s="9" t="s">
        <v>20766</v>
      </c>
      <c r="P5302" s="9" t="s">
        <v>17748</v>
      </c>
      <c r="Q5302" s="11" t="s">
        <v>17780</v>
      </c>
      <c r="R5302" s="11" t="s">
        <v>17780</v>
      </c>
      <c r="S5302" s="11" t="s">
        <v>17750</v>
      </c>
    </row>
    <row r="5303" spans="1:19" x14ac:dyDescent="0.2">
      <c r="A5303" s="11" t="s">
        <v>48459</v>
      </c>
      <c r="B5303" s="9" t="s">
        <v>3924</v>
      </c>
      <c r="C5303" s="9" t="s">
        <v>48460</v>
      </c>
      <c r="D5303" s="9" t="s">
        <v>3924</v>
      </c>
      <c r="E5303" s="9" t="s">
        <v>17740</v>
      </c>
      <c r="F5303" s="9" t="s">
        <v>17741</v>
      </c>
      <c r="G5303" s="9" t="s">
        <v>17740</v>
      </c>
      <c r="H5303" s="11" t="s">
        <v>3926</v>
      </c>
      <c r="I5303" s="11" t="s">
        <v>3925</v>
      </c>
      <c r="J5303" s="11" t="s">
        <v>3925</v>
      </c>
      <c r="K5303" s="9" t="s">
        <v>30323</v>
      </c>
      <c r="L5303" s="9" t="s">
        <v>17744</v>
      </c>
      <c r="M5303" s="9" t="s">
        <v>17817</v>
      </c>
      <c r="N5303" s="9" t="s">
        <v>17746</v>
      </c>
      <c r="O5303" s="9" t="s">
        <v>15733</v>
      </c>
      <c r="P5303" s="9" t="s">
        <v>17748</v>
      </c>
      <c r="Q5303" s="11" t="s">
        <v>18010</v>
      </c>
      <c r="R5303" s="11" t="s">
        <v>18010</v>
      </c>
      <c r="S5303" s="11" t="s">
        <v>17750</v>
      </c>
    </row>
    <row r="5304" spans="1:19" x14ac:dyDescent="0.2">
      <c r="A5304" s="11" t="s">
        <v>48461</v>
      </c>
      <c r="B5304" s="9" t="s">
        <v>48462</v>
      </c>
      <c r="C5304" s="9" t="s">
        <v>48463</v>
      </c>
      <c r="D5304" s="9" t="s">
        <v>48464</v>
      </c>
      <c r="E5304" s="9" t="s">
        <v>17740</v>
      </c>
      <c r="F5304" s="9" t="s">
        <v>48465</v>
      </c>
      <c r="G5304" s="9" t="s">
        <v>17740</v>
      </c>
      <c r="H5304" s="11" t="s">
        <v>17741</v>
      </c>
      <c r="I5304" s="11" t="s">
        <v>3919</v>
      </c>
      <c r="J5304" s="11" t="s">
        <v>3919</v>
      </c>
      <c r="K5304" s="9" t="s">
        <v>48466</v>
      </c>
      <c r="L5304" s="9" t="s">
        <v>18158</v>
      </c>
      <c r="M5304" s="9" t="s">
        <v>17817</v>
      </c>
      <c r="N5304" s="9" t="s">
        <v>17746</v>
      </c>
      <c r="O5304" s="9" t="s">
        <v>22908</v>
      </c>
      <c r="P5304" s="9" t="s">
        <v>17748</v>
      </c>
      <c r="Q5304" s="11" t="s">
        <v>19026</v>
      </c>
      <c r="R5304" s="11" t="s">
        <v>19026</v>
      </c>
      <c r="S5304" s="11" t="s">
        <v>17750</v>
      </c>
    </row>
    <row r="5305" spans="1:19" x14ac:dyDescent="0.2">
      <c r="A5305" s="11" t="s">
        <v>48467</v>
      </c>
      <c r="B5305" s="9" t="s">
        <v>48468</v>
      </c>
      <c r="C5305" s="9" t="s">
        <v>48469</v>
      </c>
      <c r="D5305" s="9" t="s">
        <v>48470</v>
      </c>
      <c r="E5305" s="9" t="s">
        <v>17740</v>
      </c>
      <c r="F5305" s="9" t="s">
        <v>17741</v>
      </c>
      <c r="G5305" s="9" t="s">
        <v>17740</v>
      </c>
      <c r="H5305" s="11" t="s">
        <v>3912</v>
      </c>
      <c r="I5305" s="11" t="s">
        <v>3911</v>
      </c>
      <c r="J5305" s="11" t="s">
        <v>3911</v>
      </c>
      <c r="K5305" s="9" t="s">
        <v>38888</v>
      </c>
      <c r="L5305" s="9" t="s">
        <v>17759</v>
      </c>
      <c r="M5305" s="9" t="s">
        <v>20172</v>
      </c>
      <c r="N5305" s="9" t="s">
        <v>17746</v>
      </c>
      <c r="O5305" s="9" t="s">
        <v>19646</v>
      </c>
      <c r="P5305" s="9" t="s">
        <v>17748</v>
      </c>
      <c r="Q5305" s="11" t="s">
        <v>19082</v>
      </c>
      <c r="R5305" s="11" t="s">
        <v>19082</v>
      </c>
      <c r="S5305" s="11" t="s">
        <v>17750</v>
      </c>
    </row>
    <row r="5306" spans="1:19" x14ac:dyDescent="0.2">
      <c r="A5306" s="11" t="s">
        <v>48471</v>
      </c>
      <c r="B5306" s="9" t="s">
        <v>48472</v>
      </c>
      <c r="C5306" s="9" t="s">
        <v>48473</v>
      </c>
      <c r="D5306" s="9" t="s">
        <v>5597</v>
      </c>
      <c r="E5306" s="9" t="s">
        <v>17740</v>
      </c>
      <c r="F5306" s="9" t="s">
        <v>17741</v>
      </c>
      <c r="G5306" s="9" t="s">
        <v>17740</v>
      </c>
      <c r="H5306" s="11" t="s">
        <v>5599</v>
      </c>
      <c r="I5306" s="11" t="s">
        <v>5598</v>
      </c>
      <c r="J5306" s="11" t="s">
        <v>5598</v>
      </c>
      <c r="K5306" s="9" t="s">
        <v>48474</v>
      </c>
      <c r="L5306" s="9" t="s">
        <v>17759</v>
      </c>
      <c r="M5306" s="9" t="s">
        <v>48475</v>
      </c>
      <c r="N5306" s="9" t="s">
        <v>17746</v>
      </c>
      <c r="O5306" s="9" t="s">
        <v>1535</v>
      </c>
      <c r="P5306" s="9" t="s">
        <v>17748</v>
      </c>
      <c r="Q5306" s="11" t="s">
        <v>17749</v>
      </c>
      <c r="R5306" s="11" t="s">
        <v>17749</v>
      </c>
      <c r="S5306" s="11" t="s">
        <v>17750</v>
      </c>
    </row>
    <row r="5307" spans="1:19" x14ac:dyDescent="0.2">
      <c r="A5307" s="11" t="s">
        <v>48476</v>
      </c>
      <c r="B5307" s="9" t="s">
        <v>48477</v>
      </c>
      <c r="C5307" s="9" t="s">
        <v>48478</v>
      </c>
      <c r="D5307" s="9" t="s">
        <v>48479</v>
      </c>
      <c r="E5307" s="9" t="s">
        <v>17740</v>
      </c>
      <c r="F5307" s="9" t="s">
        <v>17741</v>
      </c>
      <c r="G5307" s="9" t="s">
        <v>17740</v>
      </c>
      <c r="H5307" s="11" t="s">
        <v>14358</v>
      </c>
      <c r="I5307" s="11" t="s">
        <v>14357</v>
      </c>
      <c r="J5307" s="11" t="s">
        <v>14357</v>
      </c>
      <c r="K5307" s="9" t="s">
        <v>91</v>
      </c>
      <c r="L5307" s="9" t="s">
        <v>18001</v>
      </c>
      <c r="M5307" s="9" t="s">
        <v>17760</v>
      </c>
      <c r="N5307" s="9" t="s">
        <v>17746</v>
      </c>
      <c r="O5307" s="9" t="s">
        <v>48480</v>
      </c>
      <c r="P5307" s="9" t="s">
        <v>17748</v>
      </c>
      <c r="Q5307" s="11" t="s">
        <v>17900</v>
      </c>
      <c r="R5307" s="11" t="s">
        <v>17900</v>
      </c>
      <c r="S5307" s="11" t="s">
        <v>17750</v>
      </c>
    </row>
    <row r="5308" spans="1:19" x14ac:dyDescent="0.2">
      <c r="A5308" s="11" t="s">
        <v>48481</v>
      </c>
      <c r="B5308" s="9" t="s">
        <v>48482</v>
      </c>
      <c r="C5308" s="9" t="s">
        <v>48483</v>
      </c>
      <c r="D5308" s="9" t="s">
        <v>48484</v>
      </c>
      <c r="E5308" s="9" t="s">
        <v>17740</v>
      </c>
      <c r="F5308" s="9" t="s">
        <v>48485</v>
      </c>
      <c r="G5308" s="9" t="s">
        <v>17740</v>
      </c>
      <c r="H5308" s="11" t="s">
        <v>48486</v>
      </c>
      <c r="I5308" s="11" t="s">
        <v>48487</v>
      </c>
      <c r="J5308" s="11" t="s">
        <v>48487</v>
      </c>
      <c r="K5308" s="9" t="s">
        <v>48488</v>
      </c>
      <c r="L5308" s="9" t="s">
        <v>18138</v>
      </c>
      <c r="M5308" s="9" t="s">
        <v>48489</v>
      </c>
      <c r="N5308" s="9" t="s">
        <v>48490</v>
      </c>
      <c r="O5308" s="9" t="s">
        <v>17993</v>
      </c>
      <c r="P5308" s="9" t="s">
        <v>17748</v>
      </c>
      <c r="Q5308" s="11" t="s">
        <v>48491</v>
      </c>
      <c r="R5308" s="11" t="s">
        <v>48491</v>
      </c>
      <c r="S5308" s="11" t="s">
        <v>17750</v>
      </c>
    </row>
    <row r="5309" spans="1:19" x14ac:dyDescent="0.2">
      <c r="A5309" s="11" t="s">
        <v>48492</v>
      </c>
      <c r="B5309" s="9" t="s">
        <v>48493</v>
      </c>
      <c r="C5309" s="9" t="s">
        <v>48494</v>
      </c>
      <c r="D5309" s="9" t="s">
        <v>48495</v>
      </c>
      <c r="E5309" s="9" t="s">
        <v>17740</v>
      </c>
      <c r="F5309" s="9" t="s">
        <v>48496</v>
      </c>
      <c r="G5309" s="9" t="s">
        <v>17740</v>
      </c>
      <c r="H5309" s="11" t="s">
        <v>17741</v>
      </c>
      <c r="I5309" s="11" t="s">
        <v>48497</v>
      </c>
      <c r="J5309" s="11" t="s">
        <v>48497</v>
      </c>
      <c r="K5309" s="9" t="s">
        <v>48498</v>
      </c>
      <c r="L5309" s="9" t="s">
        <v>18158</v>
      </c>
      <c r="M5309" s="9" t="s">
        <v>18065</v>
      </c>
      <c r="N5309" s="9" t="s">
        <v>18185</v>
      </c>
      <c r="O5309" s="9" t="s">
        <v>18563</v>
      </c>
      <c r="P5309" s="9" t="s">
        <v>17748</v>
      </c>
      <c r="Q5309" s="11" t="s">
        <v>18272</v>
      </c>
      <c r="R5309" s="11" t="s">
        <v>18272</v>
      </c>
      <c r="S5309" s="11" t="s">
        <v>17750</v>
      </c>
    </row>
    <row r="5310" spans="1:19" x14ac:dyDescent="0.2">
      <c r="A5310" s="11" t="s">
        <v>48499</v>
      </c>
      <c r="B5310" s="9" t="s">
        <v>48500</v>
      </c>
      <c r="C5310" s="9" t="s">
        <v>48501</v>
      </c>
      <c r="D5310" s="9" t="s">
        <v>48502</v>
      </c>
      <c r="E5310" s="9" t="s">
        <v>17740</v>
      </c>
      <c r="F5310" s="9" t="s">
        <v>48496</v>
      </c>
      <c r="G5310" s="9" t="s">
        <v>17740</v>
      </c>
      <c r="H5310" s="11" t="s">
        <v>17741</v>
      </c>
      <c r="I5310" s="11" t="s">
        <v>48503</v>
      </c>
      <c r="J5310" s="11" t="s">
        <v>48503</v>
      </c>
      <c r="K5310" s="9" t="s">
        <v>48504</v>
      </c>
      <c r="L5310" s="9" t="s">
        <v>18158</v>
      </c>
      <c r="M5310" s="9" t="s">
        <v>18065</v>
      </c>
      <c r="N5310" s="9" t="s">
        <v>18185</v>
      </c>
      <c r="O5310" s="9" t="s">
        <v>18563</v>
      </c>
      <c r="P5310" s="9" t="s">
        <v>17748</v>
      </c>
      <c r="Q5310" s="11" t="s">
        <v>18272</v>
      </c>
      <c r="R5310" s="11" t="s">
        <v>18272</v>
      </c>
      <c r="S5310" s="11" t="s">
        <v>17750</v>
      </c>
    </row>
    <row r="5311" spans="1:19" x14ac:dyDescent="0.2">
      <c r="A5311" s="11" t="s">
        <v>48505</v>
      </c>
      <c r="B5311" s="9" t="s">
        <v>48506</v>
      </c>
      <c r="C5311" s="9" t="s">
        <v>48507</v>
      </c>
      <c r="D5311" s="9" t="s">
        <v>48508</v>
      </c>
      <c r="E5311" s="9" t="s">
        <v>17740</v>
      </c>
      <c r="F5311" s="9" t="s">
        <v>48509</v>
      </c>
      <c r="G5311" s="9" t="s">
        <v>17740</v>
      </c>
      <c r="H5311" s="11" t="s">
        <v>17741</v>
      </c>
      <c r="I5311" s="11" t="s">
        <v>48510</v>
      </c>
      <c r="J5311" s="11" t="s">
        <v>48510</v>
      </c>
      <c r="K5311" s="9" t="s">
        <v>48511</v>
      </c>
      <c r="L5311" s="9" t="s">
        <v>18001</v>
      </c>
      <c r="M5311" s="9" t="s">
        <v>18233</v>
      </c>
      <c r="N5311" s="9" t="s">
        <v>17746</v>
      </c>
      <c r="O5311" s="9" t="s">
        <v>18563</v>
      </c>
      <c r="P5311" s="9" t="s">
        <v>17748</v>
      </c>
      <c r="Q5311" s="11" t="s">
        <v>19349</v>
      </c>
      <c r="R5311" s="11" t="s">
        <v>19349</v>
      </c>
      <c r="S5311" s="11" t="s">
        <v>17750</v>
      </c>
    </row>
    <row r="5312" spans="1:19" x14ac:dyDescent="0.2">
      <c r="A5312" s="11" t="s">
        <v>48512</v>
      </c>
      <c r="B5312" s="9" t="s">
        <v>48513</v>
      </c>
      <c r="C5312" s="9" t="s">
        <v>48514</v>
      </c>
      <c r="D5312" s="9" t="s">
        <v>48515</v>
      </c>
      <c r="E5312" s="9" t="s">
        <v>17740</v>
      </c>
      <c r="F5312" s="9" t="s">
        <v>48516</v>
      </c>
      <c r="G5312" s="9" t="s">
        <v>17740</v>
      </c>
      <c r="H5312" s="11" t="s">
        <v>17741</v>
      </c>
      <c r="I5312" s="11" t="s">
        <v>48517</v>
      </c>
      <c r="J5312" s="11" t="s">
        <v>48517</v>
      </c>
      <c r="K5312" s="9" t="s">
        <v>48518</v>
      </c>
      <c r="L5312" s="9" t="s">
        <v>18001</v>
      </c>
      <c r="M5312" s="9" t="s">
        <v>17769</v>
      </c>
      <c r="N5312" s="9" t="s">
        <v>17930</v>
      </c>
      <c r="O5312" s="9" t="s">
        <v>18855</v>
      </c>
      <c r="P5312" s="9" t="s">
        <v>17748</v>
      </c>
      <c r="Q5312" s="11" t="s">
        <v>19515</v>
      </c>
      <c r="R5312" s="11" t="s">
        <v>19515</v>
      </c>
      <c r="S5312" s="11" t="s">
        <v>17750</v>
      </c>
    </row>
    <row r="5313" spans="1:19" x14ac:dyDescent="0.2">
      <c r="A5313" s="11" t="s">
        <v>48519</v>
      </c>
      <c r="B5313" s="9" t="s">
        <v>48520</v>
      </c>
      <c r="C5313" s="9" t="s">
        <v>48521</v>
      </c>
      <c r="D5313" s="9" t="s">
        <v>48522</v>
      </c>
      <c r="E5313" s="9" t="s">
        <v>17740</v>
      </c>
      <c r="F5313" s="9" t="s">
        <v>48523</v>
      </c>
      <c r="G5313" s="9" t="s">
        <v>17740</v>
      </c>
      <c r="H5313" s="11" t="s">
        <v>17741</v>
      </c>
      <c r="I5313" s="11" t="s">
        <v>3973</v>
      </c>
      <c r="J5313" s="11" t="s">
        <v>3973</v>
      </c>
      <c r="K5313" s="9" t="s">
        <v>48524</v>
      </c>
      <c r="L5313" s="9" t="s">
        <v>18001</v>
      </c>
      <c r="M5313" s="9" t="s">
        <v>19168</v>
      </c>
      <c r="N5313" s="9" t="s">
        <v>17930</v>
      </c>
      <c r="O5313" s="9" t="s">
        <v>17834</v>
      </c>
      <c r="P5313" s="9" t="s">
        <v>17748</v>
      </c>
      <c r="Q5313" s="11" t="s">
        <v>19082</v>
      </c>
      <c r="R5313" s="11" t="s">
        <v>19082</v>
      </c>
      <c r="S5313" s="11" t="s">
        <v>17750</v>
      </c>
    </row>
    <row r="5314" spans="1:19" x14ac:dyDescent="0.2">
      <c r="A5314" s="11" t="s">
        <v>48525</v>
      </c>
      <c r="B5314" s="9" t="s">
        <v>48526</v>
      </c>
      <c r="C5314" s="9" t="s">
        <v>48527</v>
      </c>
      <c r="D5314" s="9" t="s">
        <v>48526</v>
      </c>
      <c r="E5314" s="9" t="s">
        <v>17740</v>
      </c>
      <c r="F5314" s="9" t="s">
        <v>48528</v>
      </c>
      <c r="G5314" s="9" t="s">
        <v>17740</v>
      </c>
      <c r="H5314" s="11" t="s">
        <v>17741</v>
      </c>
      <c r="I5314" s="11" t="s">
        <v>48529</v>
      </c>
      <c r="J5314" s="11" t="s">
        <v>48529</v>
      </c>
      <c r="K5314" s="9" t="s">
        <v>48530</v>
      </c>
      <c r="L5314" s="9" t="s">
        <v>17759</v>
      </c>
      <c r="M5314" s="9" t="s">
        <v>48531</v>
      </c>
      <c r="N5314" s="9" t="s">
        <v>17746</v>
      </c>
      <c r="O5314" s="9" t="s">
        <v>17993</v>
      </c>
      <c r="P5314" s="9" t="s">
        <v>17748</v>
      </c>
      <c r="Q5314" s="11" t="s">
        <v>21244</v>
      </c>
      <c r="R5314" s="11" t="s">
        <v>21244</v>
      </c>
      <c r="S5314" s="11" t="s">
        <v>17750</v>
      </c>
    </row>
    <row r="5315" spans="1:19" x14ac:dyDescent="0.2">
      <c r="A5315" s="11" t="s">
        <v>48532</v>
      </c>
      <c r="B5315" s="9" t="s">
        <v>48533</v>
      </c>
      <c r="C5315" s="9" t="s">
        <v>48534</v>
      </c>
      <c r="D5315" s="9" t="s">
        <v>48535</v>
      </c>
      <c r="E5315" s="9" t="s">
        <v>17740</v>
      </c>
      <c r="F5315" s="9" t="s">
        <v>17741</v>
      </c>
      <c r="G5315" s="9" t="s">
        <v>17740</v>
      </c>
      <c r="H5315" s="11" t="s">
        <v>48536</v>
      </c>
      <c r="I5315" s="11" t="s">
        <v>17741</v>
      </c>
      <c r="J5315" s="11" t="s">
        <v>48536</v>
      </c>
      <c r="K5315" s="9" t="s">
        <v>27641</v>
      </c>
      <c r="L5315" s="9" t="s">
        <v>17759</v>
      </c>
      <c r="M5315" s="9" t="s">
        <v>17741</v>
      </c>
      <c r="N5315" s="9" t="s">
        <v>17746</v>
      </c>
      <c r="O5315" s="9" t="s">
        <v>20367</v>
      </c>
      <c r="P5315" s="9" t="s">
        <v>17748</v>
      </c>
      <c r="Q5315" s="11" t="s">
        <v>18272</v>
      </c>
      <c r="R5315" s="11" t="s">
        <v>18272</v>
      </c>
      <c r="S5315" s="11" t="s">
        <v>17750</v>
      </c>
    </row>
    <row r="5316" spans="1:19" x14ac:dyDescent="0.2">
      <c r="A5316" s="11" t="s">
        <v>48537</v>
      </c>
      <c r="B5316" s="9" t="s">
        <v>48538</v>
      </c>
      <c r="C5316" s="9" t="s">
        <v>48539</v>
      </c>
      <c r="D5316" s="9" t="s">
        <v>48540</v>
      </c>
      <c r="E5316" s="9" t="s">
        <v>17740</v>
      </c>
      <c r="F5316" s="9" t="s">
        <v>17741</v>
      </c>
      <c r="G5316" s="9" t="s">
        <v>17740</v>
      </c>
      <c r="H5316" s="11" t="s">
        <v>3934</v>
      </c>
      <c r="I5316" s="11" t="s">
        <v>3933</v>
      </c>
      <c r="J5316" s="11" t="s">
        <v>3933</v>
      </c>
      <c r="K5316" s="9" t="s">
        <v>831</v>
      </c>
      <c r="L5316" s="9" t="s">
        <v>23607</v>
      </c>
      <c r="M5316" s="9" t="s">
        <v>17769</v>
      </c>
      <c r="N5316" s="9" t="s">
        <v>17746</v>
      </c>
      <c r="O5316" s="9" t="s">
        <v>20154</v>
      </c>
      <c r="P5316" s="9" t="s">
        <v>17748</v>
      </c>
      <c r="Q5316" s="11" t="s">
        <v>17867</v>
      </c>
      <c r="R5316" s="11" t="s">
        <v>17867</v>
      </c>
      <c r="S5316" s="11" t="s">
        <v>17750</v>
      </c>
    </row>
    <row r="5317" spans="1:19" x14ac:dyDescent="0.2">
      <c r="A5317" s="11" t="s">
        <v>48541</v>
      </c>
      <c r="B5317" s="9" t="s">
        <v>48542</v>
      </c>
      <c r="C5317" s="9" t="s">
        <v>48543</v>
      </c>
      <c r="D5317" s="9" t="s">
        <v>3989</v>
      </c>
      <c r="E5317" s="9" t="s">
        <v>17740</v>
      </c>
      <c r="F5317" s="9" t="s">
        <v>17741</v>
      </c>
      <c r="G5317" s="9" t="s">
        <v>17740</v>
      </c>
      <c r="H5317" s="11" t="s">
        <v>3991</v>
      </c>
      <c r="I5317" s="11" t="s">
        <v>3990</v>
      </c>
      <c r="J5317" s="11" t="s">
        <v>3990</v>
      </c>
      <c r="K5317" s="9" t="s">
        <v>21146</v>
      </c>
      <c r="L5317" s="9" t="s">
        <v>17744</v>
      </c>
      <c r="M5317" s="9" t="s">
        <v>35959</v>
      </c>
      <c r="N5317" s="9" t="s">
        <v>17746</v>
      </c>
      <c r="O5317" s="9" t="s">
        <v>18882</v>
      </c>
      <c r="P5317" s="9" t="s">
        <v>17748</v>
      </c>
      <c r="Q5317" s="11" t="s">
        <v>19899</v>
      </c>
      <c r="R5317" s="11" t="s">
        <v>19899</v>
      </c>
      <c r="S5317" s="11" t="s">
        <v>17750</v>
      </c>
    </row>
    <row r="5318" spans="1:19" x14ac:dyDescent="0.2">
      <c r="A5318" s="11" t="s">
        <v>48544</v>
      </c>
      <c r="B5318" s="9" t="s">
        <v>48545</v>
      </c>
      <c r="C5318" s="9" t="s">
        <v>48546</v>
      </c>
      <c r="D5318" s="9" t="s">
        <v>48547</v>
      </c>
      <c r="E5318" s="9" t="s">
        <v>17748</v>
      </c>
      <c r="F5318" s="9" t="s">
        <v>48548</v>
      </c>
      <c r="G5318" s="9" t="s">
        <v>17740</v>
      </c>
      <c r="H5318" s="11" t="s">
        <v>12718</v>
      </c>
      <c r="I5318" s="11" t="s">
        <v>12717</v>
      </c>
      <c r="J5318" s="11" t="s">
        <v>12717</v>
      </c>
      <c r="K5318" s="9" t="s">
        <v>19180</v>
      </c>
      <c r="L5318" s="9" t="s">
        <v>17759</v>
      </c>
      <c r="M5318" s="9" t="s">
        <v>17817</v>
      </c>
      <c r="N5318" s="9" t="s">
        <v>17746</v>
      </c>
      <c r="O5318" s="9" t="s">
        <v>38915</v>
      </c>
      <c r="P5318" s="9" t="s">
        <v>17748</v>
      </c>
      <c r="Q5318" s="11" t="s">
        <v>18370</v>
      </c>
      <c r="R5318" s="11" t="s">
        <v>18370</v>
      </c>
      <c r="S5318" s="11" t="s">
        <v>17750</v>
      </c>
    </row>
    <row r="5319" spans="1:19" x14ac:dyDescent="0.2">
      <c r="A5319" s="11" t="s">
        <v>48549</v>
      </c>
      <c r="B5319" s="9" t="s">
        <v>48550</v>
      </c>
      <c r="C5319" s="9" t="s">
        <v>48551</v>
      </c>
      <c r="D5319" s="9" t="s">
        <v>48552</v>
      </c>
      <c r="E5319" s="9" t="s">
        <v>17748</v>
      </c>
      <c r="F5319" s="9" t="s">
        <v>48548</v>
      </c>
      <c r="G5319" s="9" t="s">
        <v>17740</v>
      </c>
      <c r="H5319" s="11" t="s">
        <v>12721</v>
      </c>
      <c r="I5319" s="11" t="s">
        <v>12720</v>
      </c>
      <c r="J5319" s="11" t="s">
        <v>12720</v>
      </c>
      <c r="K5319" s="9" t="s">
        <v>19180</v>
      </c>
      <c r="L5319" s="9" t="s">
        <v>17759</v>
      </c>
      <c r="M5319" s="9" t="s">
        <v>17760</v>
      </c>
      <c r="N5319" s="9" t="s">
        <v>17746</v>
      </c>
      <c r="O5319" s="9" t="s">
        <v>38915</v>
      </c>
      <c r="P5319" s="9" t="s">
        <v>17748</v>
      </c>
      <c r="Q5319" s="11" t="s">
        <v>18370</v>
      </c>
      <c r="R5319" s="11" t="s">
        <v>18370</v>
      </c>
      <c r="S5319" s="11" t="s">
        <v>17750</v>
      </c>
    </row>
    <row r="5320" spans="1:19" x14ac:dyDescent="0.2">
      <c r="A5320" s="11" t="s">
        <v>48553</v>
      </c>
      <c r="B5320" s="9" t="s">
        <v>48554</v>
      </c>
      <c r="C5320" s="9" t="s">
        <v>48555</v>
      </c>
      <c r="D5320" s="9" t="s">
        <v>48556</v>
      </c>
      <c r="E5320" s="9" t="s">
        <v>17748</v>
      </c>
      <c r="F5320" s="9" t="s">
        <v>48548</v>
      </c>
      <c r="G5320" s="9" t="s">
        <v>17740</v>
      </c>
      <c r="H5320" s="11" t="s">
        <v>12724</v>
      </c>
      <c r="I5320" s="11" t="s">
        <v>12723</v>
      </c>
      <c r="J5320" s="11" t="s">
        <v>12723</v>
      </c>
      <c r="K5320" s="9" t="s">
        <v>19180</v>
      </c>
      <c r="L5320" s="9" t="s">
        <v>17759</v>
      </c>
      <c r="M5320" s="9" t="s">
        <v>17760</v>
      </c>
      <c r="N5320" s="9" t="s">
        <v>17746</v>
      </c>
      <c r="O5320" s="9" t="s">
        <v>38915</v>
      </c>
      <c r="P5320" s="9" t="s">
        <v>17748</v>
      </c>
      <c r="Q5320" s="11" t="s">
        <v>18370</v>
      </c>
      <c r="R5320" s="11" t="s">
        <v>18370</v>
      </c>
      <c r="S5320" s="11" t="s">
        <v>17750</v>
      </c>
    </row>
    <row r="5321" spans="1:19" x14ac:dyDescent="0.2">
      <c r="A5321" s="11" t="s">
        <v>48557</v>
      </c>
      <c r="B5321" s="9" t="s">
        <v>48558</v>
      </c>
      <c r="C5321" s="9" t="s">
        <v>48559</v>
      </c>
      <c r="D5321" s="9" t="s">
        <v>48560</v>
      </c>
      <c r="E5321" s="9" t="s">
        <v>17740</v>
      </c>
      <c r="F5321" s="9" t="s">
        <v>17741</v>
      </c>
      <c r="G5321" s="9" t="s">
        <v>17740</v>
      </c>
      <c r="H5321" s="11" t="s">
        <v>48561</v>
      </c>
      <c r="I5321" s="11" t="s">
        <v>48562</v>
      </c>
      <c r="J5321" s="11" t="s">
        <v>48562</v>
      </c>
      <c r="K5321" s="9" t="s">
        <v>18616</v>
      </c>
      <c r="L5321" s="9" t="s">
        <v>17744</v>
      </c>
      <c r="M5321" s="9" t="s">
        <v>17760</v>
      </c>
      <c r="N5321" s="9" t="s">
        <v>17746</v>
      </c>
      <c r="O5321" s="9" t="s">
        <v>18644</v>
      </c>
      <c r="P5321" s="9" t="s">
        <v>17748</v>
      </c>
      <c r="Q5321" s="11" t="s">
        <v>18147</v>
      </c>
      <c r="R5321" s="11" t="s">
        <v>18147</v>
      </c>
      <c r="S5321" s="11" t="s">
        <v>17750</v>
      </c>
    </row>
    <row r="5322" spans="1:19" x14ac:dyDescent="0.2">
      <c r="A5322" s="11" t="s">
        <v>48563</v>
      </c>
      <c r="B5322" s="9" t="s">
        <v>48564</v>
      </c>
      <c r="C5322" s="9" t="s">
        <v>48565</v>
      </c>
      <c r="D5322" s="9" t="s">
        <v>48566</v>
      </c>
      <c r="E5322" s="9" t="s">
        <v>17740</v>
      </c>
      <c r="F5322" s="9" t="s">
        <v>48567</v>
      </c>
      <c r="G5322" s="9" t="s">
        <v>17740</v>
      </c>
      <c r="H5322" s="11" t="s">
        <v>17741</v>
      </c>
      <c r="I5322" s="11" t="s">
        <v>48568</v>
      </c>
      <c r="J5322" s="11" t="s">
        <v>48568</v>
      </c>
      <c r="K5322" s="9" t="s">
        <v>48569</v>
      </c>
      <c r="L5322" s="9" t="s">
        <v>17759</v>
      </c>
      <c r="M5322" s="9" t="s">
        <v>48570</v>
      </c>
      <c r="N5322" s="9" t="s">
        <v>17746</v>
      </c>
      <c r="O5322" s="9" t="s">
        <v>18340</v>
      </c>
      <c r="P5322" s="9" t="s">
        <v>17748</v>
      </c>
      <c r="Q5322" s="11" t="s">
        <v>17819</v>
      </c>
      <c r="R5322" s="11" t="s">
        <v>17819</v>
      </c>
      <c r="S5322" s="11" t="s">
        <v>17750</v>
      </c>
    </row>
    <row r="5323" spans="1:19" x14ac:dyDescent="0.2">
      <c r="A5323" s="11" t="s">
        <v>48571</v>
      </c>
      <c r="B5323" s="9" t="s">
        <v>48572</v>
      </c>
      <c r="C5323" s="9" t="s">
        <v>48573</v>
      </c>
      <c r="D5323" s="9" t="s">
        <v>48574</v>
      </c>
      <c r="E5323" s="9" t="s">
        <v>17740</v>
      </c>
      <c r="F5323" s="9" t="s">
        <v>17741</v>
      </c>
      <c r="G5323" s="9" t="s">
        <v>17740</v>
      </c>
      <c r="H5323" s="11" t="s">
        <v>3943</v>
      </c>
      <c r="I5323" s="11" t="s">
        <v>3942</v>
      </c>
      <c r="J5323" s="11" t="s">
        <v>3942</v>
      </c>
      <c r="K5323" s="9" t="s">
        <v>48575</v>
      </c>
      <c r="L5323" s="9" t="s">
        <v>18242</v>
      </c>
      <c r="M5323" s="9" t="s">
        <v>17817</v>
      </c>
      <c r="N5323" s="9" t="s">
        <v>17746</v>
      </c>
      <c r="O5323" s="9" t="s">
        <v>17993</v>
      </c>
      <c r="P5323" s="9" t="s">
        <v>17748</v>
      </c>
      <c r="Q5323" s="11" t="s">
        <v>18132</v>
      </c>
      <c r="R5323" s="11" t="s">
        <v>18132</v>
      </c>
      <c r="S5323" s="11" t="s">
        <v>17750</v>
      </c>
    </row>
    <row r="5324" spans="1:19" x14ac:dyDescent="0.2">
      <c r="A5324" s="11" t="s">
        <v>48576</v>
      </c>
      <c r="B5324" s="9" t="s">
        <v>48577</v>
      </c>
      <c r="C5324" s="9" t="s">
        <v>48578</v>
      </c>
      <c r="D5324" s="9" t="s">
        <v>48579</v>
      </c>
      <c r="E5324" s="9" t="s">
        <v>17740</v>
      </c>
      <c r="F5324" s="9" t="s">
        <v>17741</v>
      </c>
      <c r="G5324" s="9" t="s">
        <v>17740</v>
      </c>
      <c r="H5324" s="11" t="s">
        <v>3947</v>
      </c>
      <c r="I5324" s="11" t="s">
        <v>3946</v>
      </c>
      <c r="J5324" s="11" t="s">
        <v>3946</v>
      </c>
      <c r="K5324" s="9" t="s">
        <v>48580</v>
      </c>
      <c r="L5324" s="9" t="s">
        <v>18242</v>
      </c>
      <c r="M5324" s="9" t="s">
        <v>17769</v>
      </c>
      <c r="N5324" s="9" t="s">
        <v>17746</v>
      </c>
      <c r="O5324" s="9" t="s">
        <v>17993</v>
      </c>
      <c r="P5324" s="9" t="s">
        <v>17748</v>
      </c>
      <c r="Q5324" s="11" t="s">
        <v>19026</v>
      </c>
      <c r="R5324" s="11" t="s">
        <v>19026</v>
      </c>
      <c r="S5324" s="11" t="s">
        <v>17750</v>
      </c>
    </row>
    <row r="5325" spans="1:19" x14ac:dyDescent="0.2">
      <c r="A5325" s="11" t="s">
        <v>48581</v>
      </c>
      <c r="B5325" s="9" t="s">
        <v>48582</v>
      </c>
      <c r="C5325" s="9" t="s">
        <v>48583</v>
      </c>
      <c r="D5325" s="9" t="s">
        <v>48584</v>
      </c>
      <c r="E5325" s="9" t="s">
        <v>17748</v>
      </c>
      <c r="F5325" s="9" t="s">
        <v>48585</v>
      </c>
      <c r="G5325" s="9" t="s">
        <v>17740</v>
      </c>
      <c r="H5325" s="11" t="s">
        <v>17082</v>
      </c>
      <c r="I5325" s="11" t="s">
        <v>17081</v>
      </c>
      <c r="J5325" s="11" t="s">
        <v>17082</v>
      </c>
      <c r="K5325" s="9" t="s">
        <v>48586</v>
      </c>
      <c r="L5325" s="9" t="s">
        <v>17759</v>
      </c>
      <c r="M5325" s="9" t="s">
        <v>48587</v>
      </c>
      <c r="N5325" s="9" t="s">
        <v>17746</v>
      </c>
      <c r="O5325" s="9" t="s">
        <v>48588</v>
      </c>
      <c r="P5325" s="9" t="s">
        <v>17748</v>
      </c>
      <c r="Q5325" s="11" t="s">
        <v>17909</v>
      </c>
      <c r="R5325" s="11" t="s">
        <v>17909</v>
      </c>
      <c r="S5325" s="11" t="s">
        <v>17750</v>
      </c>
    </row>
    <row r="5326" spans="1:19" x14ac:dyDescent="0.2">
      <c r="A5326" s="11" t="s">
        <v>48589</v>
      </c>
      <c r="B5326" s="9" t="s">
        <v>48590</v>
      </c>
      <c r="C5326" s="9" t="s">
        <v>48591</v>
      </c>
      <c r="D5326" s="9" t="s">
        <v>48592</v>
      </c>
      <c r="E5326" s="9" t="s">
        <v>17740</v>
      </c>
      <c r="F5326" s="9" t="s">
        <v>17741</v>
      </c>
      <c r="G5326" s="9" t="s">
        <v>17740</v>
      </c>
      <c r="H5326" s="11" t="s">
        <v>48593</v>
      </c>
      <c r="I5326" s="11" t="s">
        <v>48594</v>
      </c>
      <c r="J5326" s="11" t="s">
        <v>48594</v>
      </c>
      <c r="K5326" s="9" t="s">
        <v>48595</v>
      </c>
      <c r="L5326" s="9" t="s">
        <v>17759</v>
      </c>
      <c r="M5326" s="9" t="s">
        <v>17760</v>
      </c>
      <c r="N5326" s="9" t="s">
        <v>17746</v>
      </c>
      <c r="O5326" s="9" t="s">
        <v>18514</v>
      </c>
      <c r="P5326" s="9" t="s">
        <v>17748</v>
      </c>
      <c r="Q5326" s="11" t="s">
        <v>17825</v>
      </c>
      <c r="R5326" s="11" t="s">
        <v>17825</v>
      </c>
      <c r="S5326" s="11" t="s">
        <v>17750</v>
      </c>
    </row>
    <row r="5327" spans="1:19" x14ac:dyDescent="0.2">
      <c r="A5327" s="11" t="s">
        <v>48596</v>
      </c>
      <c r="B5327" s="9" t="s">
        <v>48597</v>
      </c>
      <c r="C5327" s="9" t="s">
        <v>48598</v>
      </c>
      <c r="D5327" s="9" t="s">
        <v>48599</v>
      </c>
      <c r="E5327" s="9" t="s">
        <v>17748</v>
      </c>
      <c r="F5327" s="9" t="s">
        <v>48600</v>
      </c>
      <c r="G5327" s="9" t="s">
        <v>17740</v>
      </c>
      <c r="H5327" s="11" t="s">
        <v>17741</v>
      </c>
      <c r="I5327" s="11" t="s">
        <v>48601</v>
      </c>
      <c r="J5327" s="11" t="s">
        <v>17741</v>
      </c>
      <c r="K5327" s="9" t="s">
        <v>91</v>
      </c>
      <c r="L5327" s="9" t="s">
        <v>17759</v>
      </c>
      <c r="M5327" s="9" t="s">
        <v>17760</v>
      </c>
      <c r="N5327" s="9" t="s">
        <v>17746</v>
      </c>
      <c r="O5327" s="9" t="s">
        <v>18563</v>
      </c>
      <c r="P5327" s="9" t="s">
        <v>17748</v>
      </c>
      <c r="Q5327" s="11" t="s">
        <v>18370</v>
      </c>
      <c r="R5327" s="11" t="s">
        <v>18370</v>
      </c>
      <c r="S5327" s="11" t="s">
        <v>17750</v>
      </c>
    </row>
    <row r="5328" spans="1:19" x14ac:dyDescent="0.2">
      <c r="A5328" s="11" t="s">
        <v>48602</v>
      </c>
      <c r="B5328" s="9" t="s">
        <v>48603</v>
      </c>
      <c r="C5328" s="9" t="s">
        <v>48604</v>
      </c>
      <c r="D5328" s="9" t="s">
        <v>48605</v>
      </c>
      <c r="E5328" s="9" t="s">
        <v>17740</v>
      </c>
      <c r="F5328" s="9" t="s">
        <v>48606</v>
      </c>
      <c r="G5328" s="9" t="s">
        <v>17740</v>
      </c>
      <c r="H5328" s="11" t="s">
        <v>17741</v>
      </c>
      <c r="I5328" s="11" t="s">
        <v>48607</v>
      </c>
      <c r="J5328" s="11" t="s">
        <v>48607</v>
      </c>
      <c r="K5328" s="9" t="s">
        <v>18727</v>
      </c>
      <c r="L5328" s="9" t="s">
        <v>18158</v>
      </c>
      <c r="M5328" s="9" t="s">
        <v>17942</v>
      </c>
      <c r="N5328" s="9" t="s">
        <v>17746</v>
      </c>
      <c r="O5328" s="9" t="s">
        <v>17882</v>
      </c>
      <c r="P5328" s="9" t="s">
        <v>17748</v>
      </c>
      <c r="Q5328" s="11" t="s">
        <v>18243</v>
      </c>
      <c r="R5328" s="11" t="s">
        <v>18243</v>
      </c>
      <c r="S5328" s="11" t="s">
        <v>17750</v>
      </c>
    </row>
    <row r="5329" spans="1:19" x14ac:dyDescent="0.2">
      <c r="A5329" s="11" t="s">
        <v>48608</v>
      </c>
      <c r="B5329" s="9" t="s">
        <v>48609</v>
      </c>
      <c r="C5329" s="9" t="s">
        <v>48610</v>
      </c>
      <c r="D5329" s="9" t="s">
        <v>48611</v>
      </c>
      <c r="E5329" s="9" t="s">
        <v>17740</v>
      </c>
      <c r="F5329" s="9" t="s">
        <v>17741</v>
      </c>
      <c r="G5329" s="9" t="s">
        <v>17740</v>
      </c>
      <c r="H5329" s="11" t="s">
        <v>4931</v>
      </c>
      <c r="I5329" s="11" t="s">
        <v>4930</v>
      </c>
      <c r="J5329" s="11" t="s">
        <v>4930</v>
      </c>
      <c r="K5329" s="9" t="s">
        <v>17758</v>
      </c>
      <c r="L5329" s="9" t="s">
        <v>17759</v>
      </c>
      <c r="M5329" s="9" t="s">
        <v>17769</v>
      </c>
      <c r="N5329" s="9" t="s">
        <v>17746</v>
      </c>
      <c r="O5329" s="9" t="s">
        <v>23061</v>
      </c>
      <c r="P5329" s="9" t="s">
        <v>17748</v>
      </c>
      <c r="Q5329" s="11" t="s">
        <v>18678</v>
      </c>
      <c r="R5329" s="11" t="s">
        <v>18678</v>
      </c>
      <c r="S5329" s="11" t="s">
        <v>17750</v>
      </c>
    </row>
    <row r="5330" spans="1:19" x14ac:dyDescent="0.2">
      <c r="A5330" s="11" t="s">
        <v>48612</v>
      </c>
      <c r="B5330" s="9" t="s">
        <v>48613</v>
      </c>
      <c r="C5330" s="9" t="s">
        <v>48614</v>
      </c>
      <c r="D5330" s="9" t="s">
        <v>48615</v>
      </c>
      <c r="E5330" s="9" t="s">
        <v>17740</v>
      </c>
      <c r="F5330" s="9" t="s">
        <v>17741</v>
      </c>
      <c r="G5330" s="9" t="s">
        <v>17740</v>
      </c>
      <c r="H5330" s="11" t="s">
        <v>17741</v>
      </c>
      <c r="I5330" s="11" t="s">
        <v>6836</v>
      </c>
      <c r="J5330" s="11" t="s">
        <v>6836</v>
      </c>
      <c r="K5330" s="9" t="s">
        <v>48616</v>
      </c>
      <c r="L5330" s="9" t="s">
        <v>17759</v>
      </c>
      <c r="M5330" s="9" t="s">
        <v>17760</v>
      </c>
      <c r="N5330" s="9" t="s">
        <v>17746</v>
      </c>
      <c r="O5330" s="9" t="s">
        <v>48617</v>
      </c>
      <c r="P5330" s="9" t="s">
        <v>17748</v>
      </c>
      <c r="Q5330" s="11" t="s">
        <v>17808</v>
      </c>
      <c r="R5330" s="11" t="s">
        <v>17808</v>
      </c>
      <c r="S5330" s="11" t="s">
        <v>17750</v>
      </c>
    </row>
    <row r="5331" spans="1:19" x14ac:dyDescent="0.2">
      <c r="A5331" s="11" t="s">
        <v>48618</v>
      </c>
      <c r="B5331" s="9" t="s">
        <v>48619</v>
      </c>
      <c r="C5331" s="9" t="s">
        <v>48620</v>
      </c>
      <c r="D5331" s="9" t="s">
        <v>48621</v>
      </c>
      <c r="E5331" s="9" t="s">
        <v>17748</v>
      </c>
      <c r="F5331" s="9" t="s">
        <v>48622</v>
      </c>
      <c r="G5331" s="9" t="s">
        <v>17740</v>
      </c>
      <c r="H5331" s="11" t="s">
        <v>17741</v>
      </c>
      <c r="I5331" s="11" t="s">
        <v>48623</v>
      </c>
      <c r="J5331" s="11" t="s">
        <v>48623</v>
      </c>
      <c r="K5331" s="9" t="s">
        <v>48624</v>
      </c>
      <c r="L5331" s="9" t="s">
        <v>17759</v>
      </c>
      <c r="M5331" s="9" t="s">
        <v>17760</v>
      </c>
      <c r="N5331" s="9" t="s">
        <v>17746</v>
      </c>
      <c r="O5331" s="9" t="s">
        <v>19275</v>
      </c>
      <c r="P5331" s="9" t="s">
        <v>17748</v>
      </c>
      <c r="Q5331" s="11" t="s">
        <v>17994</v>
      </c>
      <c r="R5331" s="11" t="s">
        <v>17994</v>
      </c>
      <c r="S5331" s="11" t="s">
        <v>17750</v>
      </c>
    </row>
    <row r="5332" spans="1:19" x14ac:dyDescent="0.2">
      <c r="A5332" s="11" t="s">
        <v>48625</v>
      </c>
      <c r="B5332" s="9" t="s">
        <v>48626</v>
      </c>
      <c r="C5332" s="9" t="s">
        <v>48627</v>
      </c>
      <c r="D5332" s="9" t="s">
        <v>48628</v>
      </c>
      <c r="E5332" s="9" t="s">
        <v>17740</v>
      </c>
      <c r="F5332" s="9" t="s">
        <v>48629</v>
      </c>
      <c r="G5332" s="9" t="s">
        <v>17740</v>
      </c>
      <c r="H5332" s="11" t="s">
        <v>48630</v>
      </c>
      <c r="I5332" s="11" t="s">
        <v>48631</v>
      </c>
      <c r="J5332" s="11" t="s">
        <v>48631</v>
      </c>
      <c r="K5332" s="9" t="s">
        <v>48632</v>
      </c>
      <c r="L5332" s="9" t="s">
        <v>18305</v>
      </c>
      <c r="M5332" s="9" t="s">
        <v>17778</v>
      </c>
      <c r="N5332" s="9" t="s">
        <v>17746</v>
      </c>
      <c r="O5332" s="9" t="s">
        <v>48633</v>
      </c>
      <c r="P5332" s="9" t="s">
        <v>17748</v>
      </c>
      <c r="Q5332" s="11" t="s">
        <v>18080</v>
      </c>
      <c r="R5332" s="11" t="s">
        <v>18080</v>
      </c>
      <c r="S5332" s="11" t="s">
        <v>17750</v>
      </c>
    </row>
    <row r="5333" spans="1:19" x14ac:dyDescent="0.2">
      <c r="A5333" s="11" t="s">
        <v>48634</v>
      </c>
      <c r="B5333" s="9" t="s">
        <v>48635</v>
      </c>
      <c r="C5333" s="9" t="s">
        <v>48636</v>
      </c>
      <c r="D5333" s="9" t="s">
        <v>48637</v>
      </c>
      <c r="E5333" s="9" t="s">
        <v>17740</v>
      </c>
      <c r="F5333" s="9" t="s">
        <v>48638</v>
      </c>
      <c r="G5333" s="9" t="s">
        <v>17740</v>
      </c>
      <c r="H5333" s="11" t="s">
        <v>17741</v>
      </c>
      <c r="I5333" s="11" t="s">
        <v>48639</v>
      </c>
      <c r="J5333" s="11" t="s">
        <v>48639</v>
      </c>
      <c r="K5333" s="9" t="s">
        <v>48640</v>
      </c>
      <c r="L5333" s="9" t="s">
        <v>17759</v>
      </c>
      <c r="M5333" s="9" t="s">
        <v>17741</v>
      </c>
      <c r="N5333" s="9" t="s">
        <v>17746</v>
      </c>
      <c r="O5333" s="9" t="s">
        <v>4009</v>
      </c>
      <c r="P5333" s="9" t="s">
        <v>17748</v>
      </c>
      <c r="Q5333" s="11" t="s">
        <v>18147</v>
      </c>
      <c r="R5333" s="11" t="s">
        <v>18147</v>
      </c>
      <c r="S5333" s="11" t="s">
        <v>17750</v>
      </c>
    </row>
    <row r="5334" spans="1:19" x14ac:dyDescent="0.2">
      <c r="A5334" s="11" t="s">
        <v>48641</v>
      </c>
      <c r="B5334" s="9" t="s">
        <v>48642</v>
      </c>
      <c r="C5334" s="9" t="s">
        <v>48643</v>
      </c>
      <c r="D5334" s="9" t="s">
        <v>48644</v>
      </c>
      <c r="E5334" s="9" t="s">
        <v>17740</v>
      </c>
      <c r="F5334" s="9" t="s">
        <v>48645</v>
      </c>
      <c r="G5334" s="9" t="s">
        <v>17740</v>
      </c>
      <c r="H5334" s="11" t="s">
        <v>3962</v>
      </c>
      <c r="I5334" s="11" t="s">
        <v>3961</v>
      </c>
      <c r="J5334" s="11" t="s">
        <v>3961</v>
      </c>
      <c r="K5334" s="9" t="s">
        <v>19447</v>
      </c>
      <c r="L5334" s="9" t="s">
        <v>17759</v>
      </c>
      <c r="M5334" s="9" t="s">
        <v>48646</v>
      </c>
      <c r="N5334" s="9" t="s">
        <v>17746</v>
      </c>
      <c r="O5334" s="9" t="s">
        <v>29007</v>
      </c>
      <c r="P5334" s="9" t="s">
        <v>17748</v>
      </c>
      <c r="Q5334" s="11" t="s">
        <v>19335</v>
      </c>
      <c r="R5334" s="11" t="s">
        <v>19335</v>
      </c>
      <c r="S5334" s="11" t="s">
        <v>17750</v>
      </c>
    </row>
    <row r="5335" spans="1:19" x14ac:dyDescent="0.2">
      <c r="A5335" s="11" t="s">
        <v>48647</v>
      </c>
      <c r="B5335" s="9" t="s">
        <v>48648</v>
      </c>
      <c r="C5335" s="9" t="s">
        <v>48649</v>
      </c>
      <c r="D5335" s="9" t="s">
        <v>48650</v>
      </c>
      <c r="E5335" s="9" t="s">
        <v>17748</v>
      </c>
      <c r="F5335" s="9" t="s">
        <v>48651</v>
      </c>
      <c r="G5335" s="9" t="s">
        <v>17740</v>
      </c>
      <c r="H5335" s="11" t="s">
        <v>7738</v>
      </c>
      <c r="I5335" s="11" t="s">
        <v>7737</v>
      </c>
      <c r="J5335" s="11" t="s">
        <v>7738</v>
      </c>
      <c r="K5335" s="9" t="s">
        <v>55</v>
      </c>
      <c r="L5335" s="9" t="s">
        <v>17759</v>
      </c>
      <c r="M5335" s="9" t="s">
        <v>17817</v>
      </c>
      <c r="N5335" s="9" t="s">
        <v>17746</v>
      </c>
      <c r="O5335" s="9" t="s">
        <v>4009</v>
      </c>
      <c r="P5335" s="9" t="s">
        <v>17748</v>
      </c>
      <c r="Q5335" s="11" t="s">
        <v>18798</v>
      </c>
      <c r="R5335" s="11" t="s">
        <v>18798</v>
      </c>
      <c r="S5335" s="11" t="s">
        <v>17750</v>
      </c>
    </row>
    <row r="5336" spans="1:19" x14ac:dyDescent="0.2">
      <c r="A5336" s="11" t="s">
        <v>48652</v>
      </c>
      <c r="B5336" s="9" t="s">
        <v>4009</v>
      </c>
      <c r="C5336" s="9" t="s">
        <v>48653</v>
      </c>
      <c r="D5336" s="9" t="s">
        <v>4009</v>
      </c>
      <c r="E5336" s="9" t="s">
        <v>17740</v>
      </c>
      <c r="F5336" s="9" t="s">
        <v>17741</v>
      </c>
      <c r="G5336" s="9" t="s">
        <v>17740</v>
      </c>
      <c r="H5336" s="11" t="s">
        <v>4011</v>
      </c>
      <c r="I5336" s="11" t="s">
        <v>4010</v>
      </c>
      <c r="J5336" s="11" t="s">
        <v>4010</v>
      </c>
      <c r="K5336" s="9" t="s">
        <v>91</v>
      </c>
      <c r="L5336" s="9" t="s">
        <v>21771</v>
      </c>
      <c r="M5336" s="9" t="s">
        <v>48654</v>
      </c>
      <c r="N5336" s="9" t="s">
        <v>17746</v>
      </c>
      <c r="O5336" s="9" t="s">
        <v>4009</v>
      </c>
      <c r="P5336" s="9" t="s">
        <v>17748</v>
      </c>
      <c r="Q5336" s="11" t="s">
        <v>18243</v>
      </c>
      <c r="R5336" s="11" t="s">
        <v>18243</v>
      </c>
      <c r="S5336" s="11" t="s">
        <v>17750</v>
      </c>
    </row>
    <row r="5337" spans="1:19" x14ac:dyDescent="0.2">
      <c r="A5337" s="11" t="s">
        <v>48655</v>
      </c>
      <c r="B5337" s="9" t="s">
        <v>48656</v>
      </c>
      <c r="C5337" s="9" t="s">
        <v>48657</v>
      </c>
      <c r="D5337" s="9" t="s">
        <v>48658</v>
      </c>
      <c r="E5337" s="9" t="s">
        <v>17740</v>
      </c>
      <c r="F5337" s="9" t="s">
        <v>17741</v>
      </c>
      <c r="G5337" s="9" t="s">
        <v>17740</v>
      </c>
      <c r="H5337" s="11" t="s">
        <v>4008</v>
      </c>
      <c r="I5337" s="11" t="s">
        <v>4007</v>
      </c>
      <c r="J5337" s="11" t="s">
        <v>4007</v>
      </c>
      <c r="K5337" s="9" t="s">
        <v>601</v>
      </c>
      <c r="L5337" s="9" t="s">
        <v>17759</v>
      </c>
      <c r="M5337" s="9" t="s">
        <v>48659</v>
      </c>
      <c r="N5337" s="9" t="s">
        <v>17746</v>
      </c>
      <c r="O5337" s="9" t="s">
        <v>20881</v>
      </c>
      <c r="P5337" s="9" t="s">
        <v>17748</v>
      </c>
      <c r="Q5337" s="11" t="s">
        <v>17943</v>
      </c>
      <c r="R5337" s="11" t="s">
        <v>17943</v>
      </c>
      <c r="S5337" s="11" t="s">
        <v>17750</v>
      </c>
    </row>
    <row r="5338" spans="1:19" x14ac:dyDescent="0.2">
      <c r="A5338" s="11" t="s">
        <v>48660</v>
      </c>
      <c r="B5338" s="9" t="s">
        <v>48661</v>
      </c>
      <c r="C5338" s="9" t="s">
        <v>48662</v>
      </c>
      <c r="D5338" s="9" t="s">
        <v>48663</v>
      </c>
      <c r="E5338" s="9" t="s">
        <v>17740</v>
      </c>
      <c r="F5338" s="9" t="s">
        <v>17741</v>
      </c>
      <c r="G5338" s="9" t="s">
        <v>17740</v>
      </c>
      <c r="H5338" s="11" t="s">
        <v>3937</v>
      </c>
      <c r="I5338" s="11" t="s">
        <v>3936</v>
      </c>
      <c r="J5338" s="11" t="s">
        <v>3936</v>
      </c>
      <c r="K5338" s="9" t="s">
        <v>21721</v>
      </c>
      <c r="L5338" s="9" t="s">
        <v>17744</v>
      </c>
      <c r="M5338" s="9" t="s">
        <v>48664</v>
      </c>
      <c r="N5338" s="9" t="s">
        <v>17746</v>
      </c>
      <c r="O5338" s="9" t="s">
        <v>21537</v>
      </c>
      <c r="P5338" s="9" t="s">
        <v>17748</v>
      </c>
      <c r="Q5338" s="11" t="s">
        <v>18960</v>
      </c>
      <c r="R5338" s="11" t="s">
        <v>18960</v>
      </c>
      <c r="S5338" s="11" t="s">
        <v>17750</v>
      </c>
    </row>
    <row r="5339" spans="1:19" x14ac:dyDescent="0.2">
      <c r="A5339" s="11" t="s">
        <v>48665</v>
      </c>
      <c r="B5339" s="9" t="s">
        <v>48666</v>
      </c>
      <c r="C5339" s="9" t="s">
        <v>48667</v>
      </c>
      <c r="D5339" s="9" t="s">
        <v>48668</v>
      </c>
      <c r="E5339" s="9" t="s">
        <v>17740</v>
      </c>
      <c r="F5339" s="9" t="s">
        <v>17741</v>
      </c>
      <c r="G5339" s="9" t="s">
        <v>17740</v>
      </c>
      <c r="H5339" s="11" t="s">
        <v>4158</v>
      </c>
      <c r="I5339" s="11" t="s">
        <v>4157</v>
      </c>
      <c r="J5339" s="11" t="s">
        <v>4157</v>
      </c>
      <c r="K5339" s="9" t="s">
        <v>17865</v>
      </c>
      <c r="L5339" s="9" t="s">
        <v>17744</v>
      </c>
      <c r="M5339" s="9" t="s">
        <v>18065</v>
      </c>
      <c r="N5339" s="9" t="s">
        <v>17746</v>
      </c>
      <c r="O5339" s="9" t="s">
        <v>4009</v>
      </c>
      <c r="P5339" s="9" t="s">
        <v>17748</v>
      </c>
      <c r="Q5339" s="11" t="s">
        <v>18364</v>
      </c>
      <c r="R5339" s="11" t="s">
        <v>18364</v>
      </c>
      <c r="S5339" s="11" t="s">
        <v>17750</v>
      </c>
    </row>
    <row r="5340" spans="1:19" x14ac:dyDescent="0.2">
      <c r="A5340" s="11" t="s">
        <v>48669</v>
      </c>
      <c r="B5340" s="9" t="s">
        <v>48670</v>
      </c>
      <c r="C5340" s="9" t="s">
        <v>48671</v>
      </c>
      <c r="D5340" s="9" t="s">
        <v>48672</v>
      </c>
      <c r="E5340" s="9" t="s">
        <v>17740</v>
      </c>
      <c r="F5340" s="9" t="s">
        <v>17741</v>
      </c>
      <c r="G5340" s="9" t="s">
        <v>17740</v>
      </c>
      <c r="H5340" s="11" t="s">
        <v>3959</v>
      </c>
      <c r="I5340" s="11" t="s">
        <v>3958</v>
      </c>
      <c r="J5340" s="11" t="s">
        <v>3958</v>
      </c>
      <c r="K5340" s="9" t="s">
        <v>91</v>
      </c>
      <c r="L5340" s="9" t="s">
        <v>18001</v>
      </c>
      <c r="M5340" s="9" t="s">
        <v>20172</v>
      </c>
      <c r="N5340" s="9" t="s">
        <v>17746</v>
      </c>
      <c r="O5340" s="9" t="s">
        <v>4009</v>
      </c>
      <c r="P5340" s="9" t="s">
        <v>17748</v>
      </c>
      <c r="Q5340" s="11" t="s">
        <v>18600</v>
      </c>
      <c r="R5340" s="11" t="s">
        <v>18600</v>
      </c>
      <c r="S5340" s="11" t="s">
        <v>17750</v>
      </c>
    </row>
    <row r="5341" spans="1:19" x14ac:dyDescent="0.2">
      <c r="A5341" s="11" t="s">
        <v>48673</v>
      </c>
      <c r="B5341" s="9" t="s">
        <v>48674</v>
      </c>
      <c r="C5341" s="9" t="s">
        <v>48675</v>
      </c>
      <c r="D5341" s="9" t="s">
        <v>48676</v>
      </c>
      <c r="E5341" s="9" t="s">
        <v>17740</v>
      </c>
      <c r="F5341" s="9" t="s">
        <v>48677</v>
      </c>
      <c r="G5341" s="9" t="s">
        <v>17740</v>
      </c>
      <c r="H5341" s="11" t="s">
        <v>9457</v>
      </c>
      <c r="I5341" s="11" t="s">
        <v>9456</v>
      </c>
      <c r="J5341" s="11" t="s">
        <v>9456</v>
      </c>
      <c r="K5341" s="9" t="s">
        <v>291</v>
      </c>
      <c r="L5341" s="9" t="s">
        <v>17744</v>
      </c>
      <c r="M5341" s="9" t="s">
        <v>48678</v>
      </c>
      <c r="N5341" s="9" t="s">
        <v>17746</v>
      </c>
      <c r="O5341" s="9" t="s">
        <v>4009</v>
      </c>
      <c r="P5341" s="9" t="s">
        <v>17748</v>
      </c>
      <c r="Q5341" s="11" t="s">
        <v>17994</v>
      </c>
      <c r="R5341" s="11" t="s">
        <v>17994</v>
      </c>
      <c r="S5341" s="11" t="s">
        <v>17750</v>
      </c>
    </row>
    <row r="5342" spans="1:19" x14ac:dyDescent="0.2">
      <c r="A5342" s="11" t="s">
        <v>48679</v>
      </c>
      <c r="B5342" s="9" t="s">
        <v>48680</v>
      </c>
      <c r="C5342" s="9" t="s">
        <v>48681</v>
      </c>
      <c r="D5342" s="9" t="s">
        <v>3963</v>
      </c>
      <c r="E5342" s="9" t="s">
        <v>17740</v>
      </c>
      <c r="F5342" s="9" t="s">
        <v>17741</v>
      </c>
      <c r="G5342" s="9" t="s">
        <v>17740</v>
      </c>
      <c r="H5342" s="11" t="s">
        <v>3965</v>
      </c>
      <c r="I5342" s="11" t="s">
        <v>3964</v>
      </c>
      <c r="J5342" s="11" t="s">
        <v>3964</v>
      </c>
      <c r="K5342" s="9" t="s">
        <v>17865</v>
      </c>
      <c r="L5342" s="9" t="s">
        <v>17744</v>
      </c>
      <c r="M5342" s="9" t="s">
        <v>17817</v>
      </c>
      <c r="N5342" s="9" t="s">
        <v>17746</v>
      </c>
      <c r="O5342" s="9" t="s">
        <v>4009</v>
      </c>
      <c r="P5342" s="9" t="s">
        <v>17748</v>
      </c>
      <c r="Q5342" s="11" t="s">
        <v>18314</v>
      </c>
      <c r="R5342" s="11" t="s">
        <v>18314</v>
      </c>
      <c r="S5342" s="11" t="s">
        <v>17750</v>
      </c>
    </row>
    <row r="5343" spans="1:19" x14ac:dyDescent="0.2">
      <c r="A5343" s="11" t="s">
        <v>48682</v>
      </c>
      <c r="B5343" s="9" t="s">
        <v>15197</v>
      </c>
      <c r="C5343" s="9" t="s">
        <v>48683</v>
      </c>
      <c r="D5343" s="9" t="s">
        <v>48684</v>
      </c>
      <c r="E5343" s="9" t="s">
        <v>17740</v>
      </c>
      <c r="F5343" s="9" t="s">
        <v>17741</v>
      </c>
      <c r="G5343" s="9" t="s">
        <v>17740</v>
      </c>
      <c r="H5343" s="11" t="s">
        <v>15198</v>
      </c>
      <c r="I5343" s="11" t="s">
        <v>17741</v>
      </c>
      <c r="J5343" s="11" t="s">
        <v>15198</v>
      </c>
      <c r="K5343" s="9" t="s">
        <v>32492</v>
      </c>
      <c r="L5343" s="9" t="s">
        <v>18123</v>
      </c>
      <c r="M5343" s="9" t="s">
        <v>17817</v>
      </c>
      <c r="N5343" s="9" t="s">
        <v>17746</v>
      </c>
      <c r="O5343" s="9" t="s">
        <v>4009</v>
      </c>
      <c r="P5343" s="9" t="s">
        <v>17748</v>
      </c>
      <c r="Q5343" s="11" t="s">
        <v>17825</v>
      </c>
      <c r="R5343" s="11" t="s">
        <v>17825</v>
      </c>
      <c r="S5343" s="11" t="s">
        <v>17750</v>
      </c>
    </row>
    <row r="5344" spans="1:19" x14ac:dyDescent="0.2">
      <c r="A5344" s="11" t="s">
        <v>48685</v>
      </c>
      <c r="B5344" s="9" t="s">
        <v>48686</v>
      </c>
      <c r="C5344" s="9" t="s">
        <v>48687</v>
      </c>
      <c r="D5344" s="9" t="s">
        <v>48688</v>
      </c>
      <c r="E5344" s="9" t="s">
        <v>17740</v>
      </c>
      <c r="F5344" s="9" t="s">
        <v>17741</v>
      </c>
      <c r="G5344" s="9" t="s">
        <v>17740</v>
      </c>
      <c r="H5344" s="11" t="s">
        <v>48689</v>
      </c>
      <c r="I5344" s="11" t="s">
        <v>17741</v>
      </c>
      <c r="J5344" s="11" t="s">
        <v>48689</v>
      </c>
      <c r="K5344" s="9" t="s">
        <v>46099</v>
      </c>
      <c r="L5344" s="9" t="s">
        <v>17759</v>
      </c>
      <c r="M5344" s="9" t="s">
        <v>17741</v>
      </c>
      <c r="N5344" s="9" t="s">
        <v>17746</v>
      </c>
      <c r="O5344" s="9" t="s">
        <v>1802</v>
      </c>
      <c r="P5344" s="9" t="s">
        <v>17748</v>
      </c>
      <c r="Q5344" s="11" t="s">
        <v>17994</v>
      </c>
      <c r="R5344" s="11" t="s">
        <v>17994</v>
      </c>
      <c r="S5344" s="11" t="s">
        <v>17750</v>
      </c>
    </row>
    <row r="5345" spans="1:19" x14ac:dyDescent="0.2">
      <c r="A5345" s="11" t="s">
        <v>48690</v>
      </c>
      <c r="B5345" s="9" t="s">
        <v>48691</v>
      </c>
      <c r="C5345" s="9" t="s">
        <v>48692</v>
      </c>
      <c r="D5345" s="9" t="s">
        <v>8472</v>
      </c>
      <c r="E5345" s="9" t="s">
        <v>17740</v>
      </c>
      <c r="F5345" s="9" t="s">
        <v>17741</v>
      </c>
      <c r="G5345" s="9" t="s">
        <v>17740</v>
      </c>
      <c r="H5345" s="11" t="s">
        <v>8474</v>
      </c>
      <c r="I5345" s="11" t="s">
        <v>8473</v>
      </c>
      <c r="J5345" s="11" t="s">
        <v>8473</v>
      </c>
      <c r="K5345" s="9" t="s">
        <v>21146</v>
      </c>
      <c r="L5345" s="9" t="s">
        <v>17744</v>
      </c>
      <c r="M5345" s="9" t="s">
        <v>17817</v>
      </c>
      <c r="N5345" s="9" t="s">
        <v>17746</v>
      </c>
      <c r="O5345" s="9" t="s">
        <v>18481</v>
      </c>
      <c r="P5345" s="9" t="s">
        <v>17748</v>
      </c>
      <c r="Q5345" s="11" t="s">
        <v>17784</v>
      </c>
      <c r="R5345" s="11" t="s">
        <v>17784</v>
      </c>
      <c r="S5345" s="11" t="s">
        <v>17750</v>
      </c>
    </row>
    <row r="5346" spans="1:19" x14ac:dyDescent="0.2">
      <c r="A5346" s="11" t="s">
        <v>48693</v>
      </c>
      <c r="B5346" s="9" t="s">
        <v>48694</v>
      </c>
      <c r="C5346" s="9" t="s">
        <v>48695</v>
      </c>
      <c r="D5346" s="9" t="s">
        <v>48696</v>
      </c>
      <c r="E5346" s="9" t="s">
        <v>17740</v>
      </c>
      <c r="F5346" s="9" t="s">
        <v>48697</v>
      </c>
      <c r="G5346" s="9" t="s">
        <v>17740</v>
      </c>
      <c r="H5346" s="11" t="s">
        <v>48698</v>
      </c>
      <c r="I5346" s="11" t="s">
        <v>48699</v>
      </c>
      <c r="J5346" s="11" t="s">
        <v>48699</v>
      </c>
      <c r="K5346" s="9" t="s">
        <v>291</v>
      </c>
      <c r="L5346" s="9" t="s">
        <v>17744</v>
      </c>
      <c r="M5346" s="9" t="s">
        <v>48700</v>
      </c>
      <c r="N5346" s="9" t="s">
        <v>17746</v>
      </c>
      <c r="O5346" s="9" t="s">
        <v>17866</v>
      </c>
      <c r="P5346" s="9" t="s">
        <v>17748</v>
      </c>
      <c r="Q5346" s="11" t="s">
        <v>17994</v>
      </c>
      <c r="R5346" s="11" t="s">
        <v>17994</v>
      </c>
      <c r="S5346" s="11" t="s">
        <v>17750</v>
      </c>
    </row>
    <row r="5347" spans="1:19" x14ac:dyDescent="0.2">
      <c r="A5347" s="11" t="s">
        <v>48701</v>
      </c>
      <c r="B5347" s="9" t="s">
        <v>48702</v>
      </c>
      <c r="C5347" s="9" t="s">
        <v>48703</v>
      </c>
      <c r="D5347" s="9" t="s">
        <v>48704</v>
      </c>
      <c r="E5347" s="9" t="s">
        <v>17740</v>
      </c>
      <c r="F5347" s="9" t="s">
        <v>48705</v>
      </c>
      <c r="G5347" s="9" t="s">
        <v>17740</v>
      </c>
      <c r="H5347" s="11" t="s">
        <v>17741</v>
      </c>
      <c r="I5347" s="11" t="s">
        <v>48706</v>
      </c>
      <c r="J5347" s="11" t="s">
        <v>48706</v>
      </c>
      <c r="K5347" s="9" t="s">
        <v>48707</v>
      </c>
      <c r="L5347" s="9" t="s">
        <v>17759</v>
      </c>
      <c r="M5347" s="9" t="s">
        <v>18745</v>
      </c>
      <c r="N5347" s="9" t="s">
        <v>17746</v>
      </c>
      <c r="O5347" s="9" t="s">
        <v>19740</v>
      </c>
      <c r="P5347" s="9" t="s">
        <v>17748</v>
      </c>
      <c r="Q5347" s="11" t="s">
        <v>25031</v>
      </c>
      <c r="R5347" s="11" t="s">
        <v>25031</v>
      </c>
      <c r="S5347" s="11" t="s">
        <v>17750</v>
      </c>
    </row>
    <row r="5348" spans="1:19" x14ac:dyDescent="0.2">
      <c r="A5348" s="11" t="s">
        <v>48708</v>
      </c>
      <c r="B5348" s="9" t="s">
        <v>3887</v>
      </c>
      <c r="C5348" s="9" t="s">
        <v>48709</v>
      </c>
      <c r="D5348" s="9" t="s">
        <v>48710</v>
      </c>
      <c r="E5348" s="9" t="s">
        <v>17740</v>
      </c>
      <c r="F5348" s="9" t="s">
        <v>17741</v>
      </c>
      <c r="G5348" s="9" t="s">
        <v>17740</v>
      </c>
      <c r="H5348" s="11" t="s">
        <v>3888</v>
      </c>
      <c r="I5348" s="11" t="s">
        <v>48711</v>
      </c>
      <c r="J5348" s="11" t="s">
        <v>48711</v>
      </c>
      <c r="K5348" s="9" t="s">
        <v>3889</v>
      </c>
      <c r="L5348" s="9" t="s">
        <v>17759</v>
      </c>
      <c r="M5348" s="9" t="s">
        <v>18745</v>
      </c>
      <c r="N5348" s="9" t="s">
        <v>17746</v>
      </c>
      <c r="O5348" s="9" t="s">
        <v>3255</v>
      </c>
      <c r="P5348" s="9" t="s">
        <v>17748</v>
      </c>
      <c r="Q5348" s="11" t="s">
        <v>23707</v>
      </c>
      <c r="R5348" s="11" t="s">
        <v>23707</v>
      </c>
      <c r="S5348" s="11" t="s">
        <v>17750</v>
      </c>
    </row>
    <row r="5349" spans="1:19" x14ac:dyDescent="0.2">
      <c r="A5349" s="11" t="s">
        <v>48712</v>
      </c>
      <c r="B5349" s="9" t="s">
        <v>48713</v>
      </c>
      <c r="C5349" s="9" t="s">
        <v>48714</v>
      </c>
      <c r="D5349" s="9" t="s">
        <v>48715</v>
      </c>
      <c r="E5349" s="9" t="s">
        <v>17740</v>
      </c>
      <c r="F5349" s="9" t="s">
        <v>48716</v>
      </c>
      <c r="G5349" s="9" t="s">
        <v>17740</v>
      </c>
      <c r="H5349" s="11" t="s">
        <v>17741</v>
      </c>
      <c r="I5349" s="11" t="s">
        <v>48717</v>
      </c>
      <c r="J5349" s="11" t="s">
        <v>48717</v>
      </c>
      <c r="K5349" s="9" t="s">
        <v>48718</v>
      </c>
      <c r="L5349" s="9" t="s">
        <v>17744</v>
      </c>
      <c r="M5349" s="9" t="s">
        <v>18745</v>
      </c>
      <c r="N5349" s="9" t="s">
        <v>17746</v>
      </c>
      <c r="O5349" s="9" t="s">
        <v>17993</v>
      </c>
      <c r="P5349" s="9" t="s">
        <v>17748</v>
      </c>
      <c r="Q5349" s="11" t="s">
        <v>48719</v>
      </c>
      <c r="R5349" s="11" t="s">
        <v>48719</v>
      </c>
      <c r="S5349" s="11" t="s">
        <v>17750</v>
      </c>
    </row>
    <row r="5350" spans="1:19" x14ac:dyDescent="0.2">
      <c r="A5350" s="11" t="s">
        <v>48720</v>
      </c>
      <c r="B5350" s="9" t="s">
        <v>3986</v>
      </c>
      <c r="C5350" s="9" t="s">
        <v>48721</v>
      </c>
      <c r="D5350" s="9" t="s">
        <v>48722</v>
      </c>
      <c r="E5350" s="9" t="s">
        <v>17740</v>
      </c>
      <c r="F5350" s="9" t="s">
        <v>48723</v>
      </c>
      <c r="G5350" s="9" t="s">
        <v>17740</v>
      </c>
      <c r="H5350" s="11" t="s">
        <v>3988</v>
      </c>
      <c r="I5350" s="11" t="s">
        <v>3987</v>
      </c>
      <c r="J5350" s="11" t="s">
        <v>3987</v>
      </c>
      <c r="K5350" s="9" t="s">
        <v>55</v>
      </c>
      <c r="L5350" s="9" t="s">
        <v>17744</v>
      </c>
      <c r="M5350" s="9" t="s">
        <v>20397</v>
      </c>
      <c r="N5350" s="9" t="s">
        <v>17746</v>
      </c>
      <c r="O5350" s="9" t="s">
        <v>32218</v>
      </c>
      <c r="P5350" s="9" t="s">
        <v>17748</v>
      </c>
      <c r="Q5350" s="11" t="s">
        <v>18132</v>
      </c>
      <c r="R5350" s="11" t="s">
        <v>18132</v>
      </c>
      <c r="S5350" s="11" t="s">
        <v>17750</v>
      </c>
    </row>
    <row r="5351" spans="1:19" x14ac:dyDescent="0.2">
      <c r="A5351" s="11" t="s">
        <v>48724</v>
      </c>
      <c r="B5351" s="9" t="s">
        <v>48725</v>
      </c>
      <c r="C5351" s="9" t="s">
        <v>48726</v>
      </c>
      <c r="D5351" s="9" t="s">
        <v>48727</v>
      </c>
      <c r="E5351" s="9" t="s">
        <v>17748</v>
      </c>
      <c r="F5351" s="9" t="s">
        <v>48728</v>
      </c>
      <c r="G5351" s="9" t="s">
        <v>17740</v>
      </c>
      <c r="H5351" s="11" t="s">
        <v>48729</v>
      </c>
      <c r="I5351" s="11" t="s">
        <v>48730</v>
      </c>
      <c r="J5351" s="11" t="s">
        <v>17741</v>
      </c>
      <c r="K5351" s="9" t="s">
        <v>48731</v>
      </c>
      <c r="L5351" s="9" t="s">
        <v>18158</v>
      </c>
      <c r="M5351" s="9" t="s">
        <v>19283</v>
      </c>
      <c r="N5351" s="9" t="s">
        <v>17746</v>
      </c>
      <c r="O5351" s="9" t="s">
        <v>18563</v>
      </c>
      <c r="P5351" s="9" t="s">
        <v>17748</v>
      </c>
      <c r="Q5351" s="11" t="s">
        <v>18370</v>
      </c>
      <c r="R5351" s="11" t="s">
        <v>18370</v>
      </c>
      <c r="S5351" s="11" t="s">
        <v>17750</v>
      </c>
    </row>
    <row r="5352" spans="1:19" x14ac:dyDescent="0.2">
      <c r="A5352" s="11" t="s">
        <v>48732</v>
      </c>
      <c r="B5352" s="9" t="s">
        <v>15325</v>
      </c>
      <c r="C5352" s="9" t="s">
        <v>48733</v>
      </c>
      <c r="D5352" s="9" t="s">
        <v>15325</v>
      </c>
      <c r="E5352" s="9" t="s">
        <v>17740</v>
      </c>
      <c r="F5352" s="9" t="s">
        <v>17741</v>
      </c>
      <c r="G5352" s="9" t="s">
        <v>17740</v>
      </c>
      <c r="H5352" s="11" t="s">
        <v>15327</v>
      </c>
      <c r="I5352" s="11" t="s">
        <v>15326</v>
      </c>
      <c r="J5352" s="11" t="s">
        <v>15327</v>
      </c>
      <c r="K5352" s="9" t="s">
        <v>10332</v>
      </c>
      <c r="L5352" s="9" t="s">
        <v>17759</v>
      </c>
      <c r="M5352" s="9" t="s">
        <v>17769</v>
      </c>
      <c r="N5352" s="9" t="s">
        <v>17746</v>
      </c>
      <c r="O5352" s="9" t="s">
        <v>22268</v>
      </c>
      <c r="P5352" s="9" t="s">
        <v>17748</v>
      </c>
      <c r="Q5352" s="11" t="s">
        <v>17900</v>
      </c>
      <c r="R5352" s="11" t="s">
        <v>17900</v>
      </c>
      <c r="S5352" s="11" t="s">
        <v>17750</v>
      </c>
    </row>
    <row r="5353" spans="1:19" x14ac:dyDescent="0.2">
      <c r="A5353" s="11" t="s">
        <v>48734</v>
      </c>
      <c r="B5353" s="9" t="s">
        <v>48735</v>
      </c>
      <c r="C5353" s="9" t="s">
        <v>48736</v>
      </c>
      <c r="D5353" s="9" t="s">
        <v>48737</v>
      </c>
      <c r="E5353" s="9" t="s">
        <v>17740</v>
      </c>
      <c r="F5353" s="9" t="s">
        <v>48738</v>
      </c>
      <c r="G5353" s="9" t="s">
        <v>17740</v>
      </c>
      <c r="H5353" s="11" t="s">
        <v>7697</v>
      </c>
      <c r="I5353" s="11" t="s">
        <v>7696</v>
      </c>
      <c r="J5353" s="11" t="s">
        <v>7696</v>
      </c>
      <c r="K5353" s="9" t="s">
        <v>48739</v>
      </c>
      <c r="L5353" s="9" t="s">
        <v>17744</v>
      </c>
      <c r="M5353" s="9" t="s">
        <v>48740</v>
      </c>
      <c r="N5353" s="9" t="s">
        <v>17746</v>
      </c>
      <c r="O5353" s="9" t="s">
        <v>17834</v>
      </c>
      <c r="P5353" s="9" t="s">
        <v>17748</v>
      </c>
      <c r="Q5353" s="11" t="s">
        <v>18272</v>
      </c>
      <c r="R5353" s="11" t="s">
        <v>18272</v>
      </c>
      <c r="S5353" s="11" t="s">
        <v>17750</v>
      </c>
    </row>
    <row r="5354" spans="1:19" x14ac:dyDescent="0.2">
      <c r="A5354" s="11" t="s">
        <v>48741</v>
      </c>
      <c r="B5354" s="9" t="s">
        <v>3975</v>
      </c>
      <c r="C5354" s="9" t="s">
        <v>48742</v>
      </c>
      <c r="D5354" s="9" t="s">
        <v>3975</v>
      </c>
      <c r="E5354" s="9" t="s">
        <v>17740</v>
      </c>
      <c r="F5354" s="9" t="s">
        <v>48743</v>
      </c>
      <c r="G5354" s="9" t="s">
        <v>17740</v>
      </c>
      <c r="H5354" s="11" t="s">
        <v>3977</v>
      </c>
      <c r="I5354" s="11" t="s">
        <v>3976</v>
      </c>
      <c r="J5354" s="11" t="s">
        <v>3976</v>
      </c>
      <c r="K5354" s="9" t="s">
        <v>48744</v>
      </c>
      <c r="L5354" s="9" t="s">
        <v>17759</v>
      </c>
      <c r="M5354" s="9" t="s">
        <v>28615</v>
      </c>
      <c r="N5354" s="9" t="s">
        <v>17746</v>
      </c>
      <c r="O5354" s="9" t="s">
        <v>7097</v>
      </c>
      <c r="P5354" s="9" t="s">
        <v>17748</v>
      </c>
      <c r="Q5354" s="11" t="s">
        <v>18306</v>
      </c>
      <c r="R5354" s="11" t="s">
        <v>18306</v>
      </c>
      <c r="S5354" s="11" t="s">
        <v>17750</v>
      </c>
    </row>
    <row r="5355" spans="1:19" x14ac:dyDescent="0.2">
      <c r="A5355" s="11" t="s">
        <v>48745</v>
      </c>
      <c r="B5355" s="9" t="s">
        <v>48746</v>
      </c>
      <c r="C5355" s="9" t="s">
        <v>48747</v>
      </c>
      <c r="D5355" s="9" t="s">
        <v>48748</v>
      </c>
      <c r="E5355" s="9" t="s">
        <v>17748</v>
      </c>
      <c r="F5355" s="9" t="s">
        <v>48749</v>
      </c>
      <c r="G5355" s="9" t="s">
        <v>17740</v>
      </c>
      <c r="H5355" s="11" t="s">
        <v>17741</v>
      </c>
      <c r="I5355" s="11" t="s">
        <v>9154</v>
      </c>
      <c r="J5355" s="11" t="s">
        <v>9154</v>
      </c>
      <c r="K5355" s="9" t="s">
        <v>25921</v>
      </c>
      <c r="L5355" s="9" t="s">
        <v>17744</v>
      </c>
      <c r="M5355" s="9" t="s">
        <v>17769</v>
      </c>
      <c r="N5355" s="9" t="s">
        <v>17746</v>
      </c>
      <c r="O5355" s="9" t="s">
        <v>7097</v>
      </c>
      <c r="P5355" s="9" t="s">
        <v>17748</v>
      </c>
      <c r="Q5355" s="11" t="s">
        <v>18922</v>
      </c>
      <c r="R5355" s="11" t="s">
        <v>18922</v>
      </c>
      <c r="S5355" s="11" t="s">
        <v>17750</v>
      </c>
    </row>
    <row r="5356" spans="1:19" x14ac:dyDescent="0.2">
      <c r="A5356" s="11" t="s">
        <v>48750</v>
      </c>
      <c r="B5356" s="9" t="s">
        <v>48751</v>
      </c>
      <c r="C5356" s="9" t="s">
        <v>48752</v>
      </c>
      <c r="D5356" s="9" t="s">
        <v>48753</v>
      </c>
      <c r="E5356" s="9" t="s">
        <v>17748</v>
      </c>
      <c r="F5356" s="9" t="s">
        <v>48754</v>
      </c>
      <c r="G5356" s="9" t="s">
        <v>17740</v>
      </c>
      <c r="H5356" s="11" t="s">
        <v>6991</v>
      </c>
      <c r="I5356" s="11" t="s">
        <v>6990</v>
      </c>
      <c r="J5356" s="11" t="s">
        <v>6990</v>
      </c>
      <c r="K5356" s="9" t="s">
        <v>18661</v>
      </c>
      <c r="L5356" s="9" t="s">
        <v>20359</v>
      </c>
      <c r="M5356" s="9" t="s">
        <v>18065</v>
      </c>
      <c r="N5356" s="9" t="s">
        <v>18042</v>
      </c>
      <c r="O5356" s="9" t="s">
        <v>7097</v>
      </c>
      <c r="P5356" s="9" t="s">
        <v>17748</v>
      </c>
      <c r="Q5356" s="11" t="s">
        <v>17808</v>
      </c>
      <c r="R5356" s="11" t="s">
        <v>17808</v>
      </c>
      <c r="S5356" s="11" t="s">
        <v>17750</v>
      </c>
    </row>
    <row r="5357" spans="1:19" x14ac:dyDescent="0.2">
      <c r="A5357" s="11" t="s">
        <v>48755</v>
      </c>
      <c r="B5357" s="9" t="s">
        <v>48756</v>
      </c>
      <c r="C5357" s="9" t="s">
        <v>48757</v>
      </c>
      <c r="D5357" s="9" t="s">
        <v>48758</v>
      </c>
      <c r="E5357" s="9" t="s">
        <v>17740</v>
      </c>
      <c r="F5357" s="9" t="s">
        <v>17741</v>
      </c>
      <c r="G5357" s="9" t="s">
        <v>17740</v>
      </c>
      <c r="H5357" s="11" t="s">
        <v>5285</v>
      </c>
      <c r="I5357" s="11" t="s">
        <v>5284</v>
      </c>
      <c r="J5357" s="11" t="s">
        <v>5284</v>
      </c>
      <c r="K5357" s="9" t="s">
        <v>23527</v>
      </c>
      <c r="L5357" s="9" t="s">
        <v>17744</v>
      </c>
      <c r="M5357" s="9" t="s">
        <v>22388</v>
      </c>
      <c r="N5357" s="9" t="s">
        <v>17746</v>
      </c>
      <c r="O5357" s="9" t="s">
        <v>7097</v>
      </c>
      <c r="P5357" s="9" t="s">
        <v>17748</v>
      </c>
      <c r="Q5357" s="11" t="s">
        <v>18080</v>
      </c>
      <c r="R5357" s="11" t="s">
        <v>18080</v>
      </c>
      <c r="S5357" s="11" t="s">
        <v>17750</v>
      </c>
    </row>
    <row r="5358" spans="1:19" x14ac:dyDescent="0.2">
      <c r="A5358" s="11" t="s">
        <v>48759</v>
      </c>
      <c r="B5358" s="9" t="s">
        <v>48760</v>
      </c>
      <c r="C5358" s="9" t="s">
        <v>48761</v>
      </c>
      <c r="D5358" s="9" t="s">
        <v>48762</v>
      </c>
      <c r="E5358" s="9" t="s">
        <v>17740</v>
      </c>
      <c r="F5358" s="9" t="s">
        <v>17741</v>
      </c>
      <c r="G5358" s="9" t="s">
        <v>17740</v>
      </c>
      <c r="H5358" s="11" t="s">
        <v>4226</v>
      </c>
      <c r="I5358" s="11" t="s">
        <v>4225</v>
      </c>
      <c r="J5358" s="11" t="s">
        <v>4225</v>
      </c>
      <c r="K5358" s="9" t="s">
        <v>48763</v>
      </c>
      <c r="L5358" s="9" t="s">
        <v>17759</v>
      </c>
      <c r="M5358" s="9" t="s">
        <v>17760</v>
      </c>
      <c r="N5358" s="9" t="s">
        <v>17746</v>
      </c>
      <c r="O5358" s="9" t="s">
        <v>7097</v>
      </c>
      <c r="P5358" s="9" t="s">
        <v>17748</v>
      </c>
      <c r="Q5358" s="11" t="s">
        <v>18364</v>
      </c>
      <c r="R5358" s="11" t="s">
        <v>18364</v>
      </c>
      <c r="S5358" s="11" t="s">
        <v>17750</v>
      </c>
    </row>
    <row r="5359" spans="1:19" x14ac:dyDescent="0.2">
      <c r="A5359" s="11" t="s">
        <v>48764</v>
      </c>
      <c r="B5359" s="9" t="s">
        <v>48765</v>
      </c>
      <c r="C5359" s="9" t="s">
        <v>48766</v>
      </c>
      <c r="D5359" s="9" t="s">
        <v>48767</v>
      </c>
      <c r="E5359" s="9" t="s">
        <v>17740</v>
      </c>
      <c r="F5359" s="9" t="s">
        <v>17741</v>
      </c>
      <c r="G5359" s="9" t="s">
        <v>17740</v>
      </c>
      <c r="H5359" s="11" t="s">
        <v>48768</v>
      </c>
      <c r="I5359" s="11" t="s">
        <v>48769</v>
      </c>
      <c r="J5359" s="11" t="s">
        <v>48769</v>
      </c>
      <c r="K5359" s="9" t="s">
        <v>18876</v>
      </c>
      <c r="L5359" s="9" t="s">
        <v>18001</v>
      </c>
      <c r="M5359" s="9" t="s">
        <v>18065</v>
      </c>
      <c r="N5359" s="9" t="s">
        <v>17746</v>
      </c>
      <c r="O5359" s="9" t="s">
        <v>22268</v>
      </c>
      <c r="P5359" s="9" t="s">
        <v>17748</v>
      </c>
      <c r="Q5359" s="11" t="s">
        <v>18080</v>
      </c>
      <c r="R5359" s="11" t="s">
        <v>18080</v>
      </c>
      <c r="S5359" s="11" t="s">
        <v>17750</v>
      </c>
    </row>
    <row r="5360" spans="1:19" x14ac:dyDescent="0.2">
      <c r="A5360" s="11" t="s">
        <v>48770</v>
      </c>
      <c r="B5360" s="9" t="s">
        <v>48771</v>
      </c>
      <c r="C5360" s="9" t="s">
        <v>48772</v>
      </c>
      <c r="D5360" s="9" t="s">
        <v>48773</v>
      </c>
      <c r="E5360" s="9" t="s">
        <v>17740</v>
      </c>
      <c r="F5360" s="9" t="s">
        <v>17741</v>
      </c>
      <c r="G5360" s="9" t="s">
        <v>17740</v>
      </c>
      <c r="H5360" s="11" t="s">
        <v>15413</v>
      </c>
      <c r="I5360" s="11" t="s">
        <v>17741</v>
      </c>
      <c r="J5360" s="11" t="s">
        <v>15413</v>
      </c>
      <c r="K5360" s="9" t="s">
        <v>19584</v>
      </c>
      <c r="L5360" s="9" t="s">
        <v>17759</v>
      </c>
      <c r="M5360" s="9" t="s">
        <v>17942</v>
      </c>
      <c r="N5360" s="9" t="s">
        <v>17746</v>
      </c>
      <c r="O5360" s="9" t="s">
        <v>17834</v>
      </c>
      <c r="P5360" s="9" t="s">
        <v>17748</v>
      </c>
      <c r="Q5360" s="11" t="s">
        <v>17909</v>
      </c>
      <c r="R5360" s="11" t="s">
        <v>17909</v>
      </c>
      <c r="S5360" s="11" t="s">
        <v>17750</v>
      </c>
    </row>
    <row r="5361" spans="1:19" x14ac:dyDescent="0.2">
      <c r="A5361" s="11" t="s">
        <v>48774</v>
      </c>
      <c r="B5361" s="9" t="s">
        <v>48775</v>
      </c>
      <c r="C5361" s="9" t="s">
        <v>48776</v>
      </c>
      <c r="D5361" s="9" t="s">
        <v>48777</v>
      </c>
      <c r="E5361" s="9" t="s">
        <v>17748</v>
      </c>
      <c r="F5361" s="9" t="s">
        <v>48778</v>
      </c>
      <c r="G5361" s="9" t="s">
        <v>17740</v>
      </c>
      <c r="H5361" s="11" t="s">
        <v>11574</v>
      </c>
      <c r="I5361" s="11" t="s">
        <v>11573</v>
      </c>
      <c r="J5361" s="11" t="s">
        <v>11574</v>
      </c>
      <c r="K5361" s="9" t="s">
        <v>91</v>
      </c>
      <c r="L5361" s="9" t="s">
        <v>17759</v>
      </c>
      <c r="M5361" s="9" t="s">
        <v>17817</v>
      </c>
      <c r="N5361" s="9" t="s">
        <v>17746</v>
      </c>
      <c r="O5361" s="9" t="s">
        <v>48779</v>
      </c>
      <c r="P5361" s="9" t="s">
        <v>17748</v>
      </c>
      <c r="Q5361" s="11" t="s">
        <v>17762</v>
      </c>
      <c r="R5361" s="11" t="s">
        <v>17762</v>
      </c>
      <c r="S5361" s="11" t="s">
        <v>17750</v>
      </c>
    </row>
    <row r="5362" spans="1:19" x14ac:dyDescent="0.2">
      <c r="A5362" s="11" t="s">
        <v>48780</v>
      </c>
      <c r="B5362" s="9" t="s">
        <v>48781</v>
      </c>
      <c r="C5362" s="9" t="s">
        <v>48782</v>
      </c>
      <c r="D5362" s="9" t="s">
        <v>48783</v>
      </c>
      <c r="E5362" s="9" t="s">
        <v>17740</v>
      </c>
      <c r="F5362" s="9" t="s">
        <v>17741</v>
      </c>
      <c r="G5362" s="9" t="s">
        <v>17740</v>
      </c>
      <c r="H5362" s="11" t="s">
        <v>14564</v>
      </c>
      <c r="I5362" s="11" t="s">
        <v>14563</v>
      </c>
      <c r="J5362" s="11" t="s">
        <v>14563</v>
      </c>
      <c r="K5362" s="9" t="s">
        <v>17783</v>
      </c>
      <c r="L5362" s="9" t="s">
        <v>17759</v>
      </c>
      <c r="M5362" s="9" t="s">
        <v>17760</v>
      </c>
      <c r="N5362" s="9" t="s">
        <v>17746</v>
      </c>
      <c r="O5362" s="9" t="s">
        <v>24601</v>
      </c>
      <c r="P5362" s="9" t="s">
        <v>17748</v>
      </c>
      <c r="Q5362" s="11" t="s">
        <v>17900</v>
      </c>
      <c r="R5362" s="11" t="s">
        <v>17900</v>
      </c>
      <c r="S5362" s="11" t="s">
        <v>17750</v>
      </c>
    </row>
    <row r="5363" spans="1:19" x14ac:dyDescent="0.2">
      <c r="A5363" s="11" t="s">
        <v>48784</v>
      </c>
      <c r="B5363" s="9" t="s">
        <v>48785</v>
      </c>
      <c r="C5363" s="9" t="s">
        <v>48786</v>
      </c>
      <c r="D5363" s="9" t="s">
        <v>48787</v>
      </c>
      <c r="E5363" s="9" t="s">
        <v>17740</v>
      </c>
      <c r="F5363" s="9" t="s">
        <v>17741</v>
      </c>
      <c r="G5363" s="9" t="s">
        <v>17740</v>
      </c>
      <c r="H5363" s="11" t="s">
        <v>6107</v>
      </c>
      <c r="I5363" s="11" t="s">
        <v>6106</v>
      </c>
      <c r="J5363" s="11" t="s">
        <v>6106</v>
      </c>
      <c r="K5363" s="9" t="s">
        <v>48788</v>
      </c>
      <c r="L5363" s="9" t="s">
        <v>17744</v>
      </c>
      <c r="M5363" s="9" t="s">
        <v>17760</v>
      </c>
      <c r="N5363" s="9" t="s">
        <v>17746</v>
      </c>
      <c r="O5363" s="9" t="s">
        <v>31696</v>
      </c>
      <c r="P5363" s="9" t="s">
        <v>17748</v>
      </c>
      <c r="Q5363" s="11" t="s">
        <v>17792</v>
      </c>
      <c r="R5363" s="11" t="s">
        <v>17792</v>
      </c>
      <c r="S5363" s="11" t="s">
        <v>17750</v>
      </c>
    </row>
    <row r="5364" spans="1:19" x14ac:dyDescent="0.2">
      <c r="A5364" s="11" t="s">
        <v>48789</v>
      </c>
      <c r="B5364" s="9" t="s">
        <v>48790</v>
      </c>
      <c r="C5364" s="9" t="s">
        <v>48791</v>
      </c>
      <c r="D5364" s="9" t="s">
        <v>48792</v>
      </c>
      <c r="E5364" s="9" t="s">
        <v>17740</v>
      </c>
      <c r="F5364" s="9" t="s">
        <v>17741</v>
      </c>
      <c r="G5364" s="9" t="s">
        <v>17740</v>
      </c>
      <c r="H5364" s="11" t="s">
        <v>8053</v>
      </c>
      <c r="I5364" s="11" t="s">
        <v>8052</v>
      </c>
      <c r="J5364" s="11" t="s">
        <v>8052</v>
      </c>
      <c r="K5364" s="9" t="s">
        <v>21040</v>
      </c>
      <c r="L5364" s="9" t="s">
        <v>18305</v>
      </c>
      <c r="M5364" s="9" t="s">
        <v>26122</v>
      </c>
      <c r="N5364" s="9" t="s">
        <v>17746</v>
      </c>
      <c r="O5364" s="9" t="s">
        <v>3981</v>
      </c>
      <c r="P5364" s="9" t="s">
        <v>17748</v>
      </c>
      <c r="Q5364" s="11" t="s">
        <v>18356</v>
      </c>
      <c r="R5364" s="11" t="s">
        <v>18356</v>
      </c>
      <c r="S5364" s="11" t="s">
        <v>17750</v>
      </c>
    </row>
    <row r="5365" spans="1:19" x14ac:dyDescent="0.2">
      <c r="A5365" s="11" t="s">
        <v>48793</v>
      </c>
      <c r="B5365" s="9" t="s">
        <v>48794</v>
      </c>
      <c r="C5365" s="9" t="s">
        <v>48795</v>
      </c>
      <c r="D5365" s="9" t="s">
        <v>48796</v>
      </c>
      <c r="E5365" s="9" t="s">
        <v>17740</v>
      </c>
      <c r="F5365" s="9" t="s">
        <v>17741</v>
      </c>
      <c r="G5365" s="9" t="s">
        <v>17740</v>
      </c>
      <c r="H5365" s="11" t="s">
        <v>4965</v>
      </c>
      <c r="I5365" s="11" t="s">
        <v>4964</v>
      </c>
      <c r="J5365" s="11" t="s">
        <v>4964</v>
      </c>
      <c r="K5365" s="9" t="s">
        <v>20225</v>
      </c>
      <c r="L5365" s="9" t="s">
        <v>17744</v>
      </c>
      <c r="M5365" s="9" t="s">
        <v>24536</v>
      </c>
      <c r="N5365" s="9" t="s">
        <v>17746</v>
      </c>
      <c r="O5365" s="9" t="s">
        <v>3981</v>
      </c>
      <c r="P5365" s="9" t="s">
        <v>17748</v>
      </c>
      <c r="Q5365" s="11" t="s">
        <v>18678</v>
      </c>
      <c r="R5365" s="11" t="s">
        <v>18678</v>
      </c>
      <c r="S5365" s="11" t="s">
        <v>17750</v>
      </c>
    </row>
    <row r="5366" spans="1:19" x14ac:dyDescent="0.2">
      <c r="A5366" s="11" t="s">
        <v>48797</v>
      </c>
      <c r="B5366" s="9" t="s">
        <v>3981</v>
      </c>
      <c r="C5366" s="9" t="s">
        <v>48798</v>
      </c>
      <c r="D5366" s="9" t="s">
        <v>3981</v>
      </c>
      <c r="E5366" s="9" t="s">
        <v>17740</v>
      </c>
      <c r="F5366" s="9" t="s">
        <v>48799</v>
      </c>
      <c r="G5366" s="9" t="s">
        <v>17740</v>
      </c>
      <c r="H5366" s="11" t="s">
        <v>48800</v>
      </c>
      <c r="I5366" s="11" t="s">
        <v>3982</v>
      </c>
      <c r="J5366" s="11" t="s">
        <v>3982</v>
      </c>
      <c r="K5366" s="9" t="s">
        <v>17758</v>
      </c>
      <c r="L5366" s="9" t="s">
        <v>17759</v>
      </c>
      <c r="M5366" s="9" t="s">
        <v>48801</v>
      </c>
      <c r="N5366" s="9" t="s">
        <v>17746</v>
      </c>
      <c r="O5366" s="9" t="s">
        <v>3981</v>
      </c>
      <c r="P5366" s="9" t="s">
        <v>17748</v>
      </c>
      <c r="Q5366" s="11" t="s">
        <v>17849</v>
      </c>
      <c r="R5366" s="11" t="s">
        <v>17849</v>
      </c>
      <c r="S5366" s="11" t="s">
        <v>17750</v>
      </c>
    </row>
    <row r="5367" spans="1:19" x14ac:dyDescent="0.2">
      <c r="A5367" s="11" t="s">
        <v>48802</v>
      </c>
      <c r="B5367" s="9" t="s">
        <v>48803</v>
      </c>
      <c r="C5367" s="9" t="s">
        <v>48804</v>
      </c>
      <c r="D5367" s="9" t="s">
        <v>48805</v>
      </c>
      <c r="E5367" s="9" t="s">
        <v>17740</v>
      </c>
      <c r="F5367" s="9" t="s">
        <v>17741</v>
      </c>
      <c r="G5367" s="9" t="s">
        <v>17740</v>
      </c>
      <c r="H5367" s="11" t="s">
        <v>3985</v>
      </c>
      <c r="I5367" s="11" t="s">
        <v>3984</v>
      </c>
      <c r="J5367" s="11" t="s">
        <v>3984</v>
      </c>
      <c r="K5367" s="9" t="s">
        <v>29048</v>
      </c>
      <c r="L5367" s="9" t="s">
        <v>17759</v>
      </c>
      <c r="M5367" s="9" t="s">
        <v>18177</v>
      </c>
      <c r="N5367" s="9" t="s">
        <v>17746</v>
      </c>
      <c r="O5367" s="9" t="s">
        <v>3981</v>
      </c>
      <c r="P5367" s="9" t="s">
        <v>17748</v>
      </c>
      <c r="Q5367" s="11" t="s">
        <v>17867</v>
      </c>
      <c r="R5367" s="11" t="s">
        <v>17867</v>
      </c>
      <c r="S5367" s="11" t="s">
        <v>17750</v>
      </c>
    </row>
    <row r="5368" spans="1:19" x14ac:dyDescent="0.2">
      <c r="A5368" s="11" t="s">
        <v>48806</v>
      </c>
      <c r="B5368" s="9" t="s">
        <v>48807</v>
      </c>
      <c r="C5368" s="9" t="s">
        <v>48808</v>
      </c>
      <c r="D5368" s="9" t="s">
        <v>48809</v>
      </c>
      <c r="E5368" s="9" t="s">
        <v>17740</v>
      </c>
      <c r="F5368" s="9" t="s">
        <v>48810</v>
      </c>
      <c r="G5368" s="9" t="s">
        <v>17740</v>
      </c>
      <c r="H5368" s="11" t="s">
        <v>7626</v>
      </c>
      <c r="I5368" s="11" t="s">
        <v>7625</v>
      </c>
      <c r="J5368" s="11" t="s">
        <v>7625</v>
      </c>
      <c r="K5368" s="9" t="s">
        <v>303</v>
      </c>
      <c r="L5368" s="9" t="s">
        <v>17759</v>
      </c>
      <c r="M5368" s="9" t="s">
        <v>17760</v>
      </c>
      <c r="N5368" s="9" t="s">
        <v>17746</v>
      </c>
      <c r="O5368" s="9" t="s">
        <v>3981</v>
      </c>
      <c r="P5368" s="9" t="s">
        <v>17748</v>
      </c>
      <c r="Q5368" s="11" t="s">
        <v>18364</v>
      </c>
      <c r="R5368" s="11" t="s">
        <v>18364</v>
      </c>
      <c r="S5368" s="11" t="s">
        <v>17750</v>
      </c>
    </row>
    <row r="5369" spans="1:19" x14ac:dyDescent="0.2">
      <c r="A5369" s="11" t="s">
        <v>48811</v>
      </c>
      <c r="B5369" s="9" t="s">
        <v>48812</v>
      </c>
      <c r="C5369" s="9" t="s">
        <v>48813</v>
      </c>
      <c r="D5369" s="9" t="s">
        <v>48814</v>
      </c>
      <c r="E5369" s="9" t="s">
        <v>17740</v>
      </c>
      <c r="F5369" s="9" t="s">
        <v>17741</v>
      </c>
      <c r="G5369" s="9" t="s">
        <v>17740</v>
      </c>
      <c r="H5369" s="11" t="s">
        <v>48815</v>
      </c>
      <c r="I5369" s="11" t="s">
        <v>48816</v>
      </c>
      <c r="J5369" s="11" t="s">
        <v>48816</v>
      </c>
      <c r="K5369" s="9" t="s">
        <v>19447</v>
      </c>
      <c r="L5369" s="9" t="s">
        <v>17759</v>
      </c>
      <c r="M5369" s="9" t="s">
        <v>17760</v>
      </c>
      <c r="N5369" s="9" t="s">
        <v>17746</v>
      </c>
      <c r="O5369" s="9" t="s">
        <v>17866</v>
      </c>
      <c r="P5369" s="9" t="s">
        <v>17748</v>
      </c>
      <c r="Q5369" s="11" t="s">
        <v>17784</v>
      </c>
      <c r="R5369" s="11" t="s">
        <v>17784</v>
      </c>
      <c r="S5369" s="11" t="s">
        <v>17750</v>
      </c>
    </row>
    <row r="5370" spans="1:19" x14ac:dyDescent="0.2">
      <c r="A5370" s="11" t="s">
        <v>48817</v>
      </c>
      <c r="B5370" s="9" t="s">
        <v>48818</v>
      </c>
      <c r="C5370" s="9" t="s">
        <v>48819</v>
      </c>
      <c r="D5370" s="9" t="s">
        <v>48820</v>
      </c>
      <c r="E5370" s="9" t="s">
        <v>17740</v>
      </c>
      <c r="F5370" s="9" t="s">
        <v>17741</v>
      </c>
      <c r="G5370" s="9" t="s">
        <v>17740</v>
      </c>
      <c r="H5370" s="11" t="s">
        <v>10003</v>
      </c>
      <c r="I5370" s="11" t="s">
        <v>10002</v>
      </c>
      <c r="J5370" s="11" t="s">
        <v>10002</v>
      </c>
      <c r="K5370" s="9" t="s">
        <v>18661</v>
      </c>
      <c r="L5370" s="9" t="s">
        <v>18001</v>
      </c>
      <c r="M5370" s="9" t="s">
        <v>17760</v>
      </c>
      <c r="N5370" s="9" t="s">
        <v>17746</v>
      </c>
      <c r="O5370" s="9" t="s">
        <v>19659</v>
      </c>
      <c r="P5370" s="9" t="s">
        <v>17748</v>
      </c>
      <c r="Q5370" s="11" t="s">
        <v>17858</v>
      </c>
      <c r="R5370" s="11" t="s">
        <v>17858</v>
      </c>
      <c r="S5370" s="11" t="s">
        <v>17750</v>
      </c>
    </row>
    <row r="5371" spans="1:19" x14ac:dyDescent="0.2">
      <c r="A5371" s="11" t="s">
        <v>48821</v>
      </c>
      <c r="B5371" s="9" t="s">
        <v>48822</v>
      </c>
      <c r="C5371" s="9" t="s">
        <v>48823</v>
      </c>
      <c r="D5371" s="9" t="s">
        <v>48824</v>
      </c>
      <c r="E5371" s="9" t="s">
        <v>17740</v>
      </c>
      <c r="F5371" s="9" t="s">
        <v>17741</v>
      </c>
      <c r="G5371" s="9" t="s">
        <v>17740</v>
      </c>
      <c r="H5371" s="11" t="s">
        <v>48825</v>
      </c>
      <c r="I5371" s="11" t="s">
        <v>48826</v>
      </c>
      <c r="J5371" s="11" t="s">
        <v>48826</v>
      </c>
      <c r="K5371" s="9" t="s">
        <v>48827</v>
      </c>
      <c r="L5371" s="9" t="s">
        <v>17759</v>
      </c>
      <c r="M5371" s="9" t="s">
        <v>17817</v>
      </c>
      <c r="N5371" s="9" t="s">
        <v>17746</v>
      </c>
      <c r="O5371" s="9" t="s">
        <v>24758</v>
      </c>
      <c r="P5371" s="9" t="s">
        <v>17748</v>
      </c>
      <c r="Q5371" s="11" t="s">
        <v>17994</v>
      </c>
      <c r="R5371" s="11" t="s">
        <v>17994</v>
      </c>
      <c r="S5371" s="11" t="s">
        <v>17750</v>
      </c>
    </row>
    <row r="5372" spans="1:19" x14ac:dyDescent="0.2">
      <c r="A5372" s="11" t="s">
        <v>48828</v>
      </c>
      <c r="B5372" s="9" t="s">
        <v>48829</v>
      </c>
      <c r="C5372" s="9" t="s">
        <v>48830</v>
      </c>
      <c r="D5372" s="9" t="s">
        <v>48829</v>
      </c>
      <c r="E5372" s="9" t="s">
        <v>17740</v>
      </c>
      <c r="F5372" s="9" t="s">
        <v>48831</v>
      </c>
      <c r="G5372" s="9" t="s">
        <v>17740</v>
      </c>
      <c r="H5372" s="11" t="s">
        <v>17741</v>
      </c>
      <c r="I5372" s="11" t="s">
        <v>48832</v>
      </c>
      <c r="J5372" s="11" t="s">
        <v>48832</v>
      </c>
      <c r="K5372" s="9" t="s">
        <v>48833</v>
      </c>
      <c r="L5372" s="9" t="s">
        <v>18959</v>
      </c>
      <c r="M5372" s="9" t="s">
        <v>24052</v>
      </c>
      <c r="N5372" s="9" t="s">
        <v>17746</v>
      </c>
      <c r="O5372" s="9" t="s">
        <v>22217</v>
      </c>
      <c r="P5372" s="9" t="s">
        <v>17748</v>
      </c>
      <c r="Q5372" s="11" t="s">
        <v>17819</v>
      </c>
      <c r="R5372" s="11" t="s">
        <v>17819</v>
      </c>
      <c r="S5372" s="11" t="s">
        <v>17750</v>
      </c>
    </row>
    <row r="5373" spans="1:19" x14ac:dyDescent="0.2">
      <c r="A5373" s="11" t="s">
        <v>48834</v>
      </c>
      <c r="B5373" s="9" t="s">
        <v>48835</v>
      </c>
      <c r="C5373" s="9" t="s">
        <v>48836</v>
      </c>
      <c r="D5373" s="9" t="s">
        <v>48837</v>
      </c>
      <c r="E5373" s="9" t="s">
        <v>17740</v>
      </c>
      <c r="F5373" s="9" t="s">
        <v>17741</v>
      </c>
      <c r="G5373" s="9" t="s">
        <v>17740</v>
      </c>
      <c r="H5373" s="11" t="s">
        <v>48838</v>
      </c>
      <c r="I5373" s="11" t="s">
        <v>48839</v>
      </c>
      <c r="J5373" s="11" t="s">
        <v>48839</v>
      </c>
      <c r="K5373" s="9" t="s">
        <v>55</v>
      </c>
      <c r="L5373" s="9" t="s">
        <v>18959</v>
      </c>
      <c r="M5373" s="9" t="s">
        <v>48840</v>
      </c>
      <c r="N5373" s="9" t="s">
        <v>17746</v>
      </c>
      <c r="O5373" s="9" t="s">
        <v>19470</v>
      </c>
      <c r="P5373" s="9" t="s">
        <v>17748</v>
      </c>
      <c r="Q5373" s="11" t="s">
        <v>18059</v>
      </c>
      <c r="R5373" s="11" t="s">
        <v>18059</v>
      </c>
      <c r="S5373" s="11" t="s">
        <v>17750</v>
      </c>
    </row>
    <row r="5374" spans="1:19" x14ac:dyDescent="0.2">
      <c r="A5374" s="11" t="s">
        <v>48841</v>
      </c>
      <c r="B5374" s="9" t="s">
        <v>48842</v>
      </c>
      <c r="C5374" s="9" t="s">
        <v>48843</v>
      </c>
      <c r="D5374" s="9" t="s">
        <v>48844</v>
      </c>
      <c r="E5374" s="9" t="s">
        <v>17740</v>
      </c>
      <c r="F5374" s="9" t="s">
        <v>17741</v>
      </c>
      <c r="G5374" s="9" t="s">
        <v>17740</v>
      </c>
      <c r="H5374" s="11" t="s">
        <v>48845</v>
      </c>
      <c r="I5374" s="11" t="s">
        <v>48846</v>
      </c>
      <c r="J5374" s="11" t="s">
        <v>48846</v>
      </c>
      <c r="K5374" s="9" t="s">
        <v>19447</v>
      </c>
      <c r="L5374" s="9" t="s">
        <v>17759</v>
      </c>
      <c r="M5374" s="9" t="s">
        <v>17760</v>
      </c>
      <c r="N5374" s="9" t="s">
        <v>17746</v>
      </c>
      <c r="O5374" s="9" t="s">
        <v>19406</v>
      </c>
      <c r="P5374" s="9" t="s">
        <v>17748</v>
      </c>
      <c r="Q5374" s="11" t="s">
        <v>18201</v>
      </c>
      <c r="R5374" s="11" t="s">
        <v>18201</v>
      </c>
      <c r="S5374" s="11" t="s">
        <v>17750</v>
      </c>
    </row>
    <row r="5375" spans="1:19" x14ac:dyDescent="0.2">
      <c r="A5375" s="11" t="s">
        <v>48847</v>
      </c>
      <c r="B5375" s="9" t="s">
        <v>48848</v>
      </c>
      <c r="C5375" s="9" t="s">
        <v>48849</v>
      </c>
      <c r="D5375" s="9" t="s">
        <v>48850</v>
      </c>
      <c r="E5375" s="9" t="s">
        <v>17740</v>
      </c>
      <c r="F5375" s="9" t="s">
        <v>17741</v>
      </c>
      <c r="G5375" s="9" t="s">
        <v>17740</v>
      </c>
      <c r="H5375" s="11" t="s">
        <v>17741</v>
      </c>
      <c r="I5375" s="11" t="s">
        <v>3891</v>
      </c>
      <c r="J5375" s="11" t="s">
        <v>3891</v>
      </c>
      <c r="K5375" s="9" t="s">
        <v>48851</v>
      </c>
      <c r="L5375" s="9" t="s">
        <v>17744</v>
      </c>
      <c r="M5375" s="9" t="s">
        <v>17817</v>
      </c>
      <c r="N5375" s="9" t="s">
        <v>17746</v>
      </c>
      <c r="O5375" s="9" t="s">
        <v>773</v>
      </c>
      <c r="P5375" s="9" t="s">
        <v>17748</v>
      </c>
      <c r="Q5375" s="11" t="s">
        <v>19026</v>
      </c>
      <c r="R5375" s="11" t="s">
        <v>19026</v>
      </c>
      <c r="S5375" s="11" t="s">
        <v>17750</v>
      </c>
    </row>
    <row r="5376" spans="1:19" x14ac:dyDescent="0.2">
      <c r="A5376" s="11" t="s">
        <v>48852</v>
      </c>
      <c r="B5376" s="9" t="s">
        <v>48853</v>
      </c>
      <c r="C5376" s="9" t="s">
        <v>48854</v>
      </c>
      <c r="D5376" s="9" t="s">
        <v>48855</v>
      </c>
      <c r="E5376" s="9" t="s">
        <v>17740</v>
      </c>
      <c r="F5376" s="9" t="s">
        <v>17741</v>
      </c>
      <c r="G5376" s="9" t="s">
        <v>17740</v>
      </c>
      <c r="H5376" s="11" t="s">
        <v>3980</v>
      </c>
      <c r="I5376" s="11" t="s">
        <v>3979</v>
      </c>
      <c r="J5376" s="11" t="s">
        <v>3979</v>
      </c>
      <c r="K5376" s="9" t="s">
        <v>28282</v>
      </c>
      <c r="L5376" s="9" t="s">
        <v>17744</v>
      </c>
      <c r="M5376" s="9" t="s">
        <v>17817</v>
      </c>
      <c r="N5376" s="9" t="s">
        <v>17746</v>
      </c>
      <c r="O5376" s="9" t="s">
        <v>22395</v>
      </c>
      <c r="P5376" s="9" t="s">
        <v>17748</v>
      </c>
      <c r="Q5376" s="11" t="s">
        <v>17978</v>
      </c>
      <c r="R5376" s="11" t="s">
        <v>17978</v>
      </c>
      <c r="S5376" s="11" t="s">
        <v>17750</v>
      </c>
    </row>
    <row r="5377" spans="1:19" x14ac:dyDescent="0.2">
      <c r="A5377" s="11" t="s">
        <v>48856</v>
      </c>
      <c r="B5377" s="9" t="s">
        <v>48857</v>
      </c>
      <c r="C5377" s="9" t="s">
        <v>48858</v>
      </c>
      <c r="D5377" s="9" t="s">
        <v>48859</v>
      </c>
      <c r="E5377" s="9" t="s">
        <v>17740</v>
      </c>
      <c r="F5377" s="9" t="s">
        <v>17741</v>
      </c>
      <c r="G5377" s="9" t="s">
        <v>17740</v>
      </c>
      <c r="H5377" s="11" t="s">
        <v>5479</v>
      </c>
      <c r="I5377" s="11" t="s">
        <v>5478</v>
      </c>
      <c r="J5377" s="11" t="s">
        <v>5478</v>
      </c>
      <c r="K5377" s="9" t="s">
        <v>21635</v>
      </c>
      <c r="L5377" s="9" t="s">
        <v>17759</v>
      </c>
      <c r="M5377" s="9" t="s">
        <v>18177</v>
      </c>
      <c r="N5377" s="9" t="s">
        <v>17746</v>
      </c>
      <c r="O5377" s="9" t="s">
        <v>20367</v>
      </c>
      <c r="P5377" s="9" t="s">
        <v>17748</v>
      </c>
      <c r="Q5377" s="11" t="s">
        <v>18080</v>
      </c>
      <c r="R5377" s="11" t="s">
        <v>18080</v>
      </c>
      <c r="S5377" s="11" t="s">
        <v>17750</v>
      </c>
    </row>
    <row r="5378" spans="1:19" x14ac:dyDescent="0.2">
      <c r="A5378" s="11" t="s">
        <v>48860</v>
      </c>
      <c r="B5378" s="9" t="s">
        <v>48861</v>
      </c>
      <c r="C5378" s="9" t="s">
        <v>48862</v>
      </c>
      <c r="D5378" s="9" t="s">
        <v>48863</v>
      </c>
      <c r="E5378" s="9" t="s">
        <v>17740</v>
      </c>
      <c r="F5378" s="9" t="s">
        <v>17741</v>
      </c>
      <c r="G5378" s="9" t="s">
        <v>17740</v>
      </c>
      <c r="H5378" s="11" t="s">
        <v>5590</v>
      </c>
      <c r="I5378" s="11" t="s">
        <v>5589</v>
      </c>
      <c r="J5378" s="11" t="s">
        <v>5589</v>
      </c>
      <c r="K5378" s="9" t="s">
        <v>28282</v>
      </c>
      <c r="L5378" s="9" t="s">
        <v>17744</v>
      </c>
      <c r="M5378" s="9" t="s">
        <v>17817</v>
      </c>
      <c r="N5378" s="9" t="s">
        <v>17746</v>
      </c>
      <c r="O5378" s="9" t="s">
        <v>18125</v>
      </c>
      <c r="P5378" s="9" t="s">
        <v>17748</v>
      </c>
      <c r="Q5378" s="11" t="s">
        <v>18080</v>
      </c>
      <c r="R5378" s="11" t="s">
        <v>18080</v>
      </c>
      <c r="S5378" s="11" t="s">
        <v>17750</v>
      </c>
    </row>
    <row r="5379" spans="1:19" x14ac:dyDescent="0.2">
      <c r="A5379" s="11" t="s">
        <v>48864</v>
      </c>
      <c r="B5379" s="9" t="s">
        <v>48865</v>
      </c>
      <c r="C5379" s="9" t="s">
        <v>48866</v>
      </c>
      <c r="D5379" s="9" t="s">
        <v>48867</v>
      </c>
      <c r="E5379" s="9" t="s">
        <v>17740</v>
      </c>
      <c r="F5379" s="9" t="s">
        <v>17741</v>
      </c>
      <c r="G5379" s="9" t="s">
        <v>17740</v>
      </c>
      <c r="H5379" s="11" t="s">
        <v>7486</v>
      </c>
      <c r="I5379" s="11" t="s">
        <v>7485</v>
      </c>
      <c r="J5379" s="11" t="s">
        <v>7485</v>
      </c>
      <c r="K5379" s="9" t="s">
        <v>18661</v>
      </c>
      <c r="L5379" s="9" t="s">
        <v>17744</v>
      </c>
      <c r="M5379" s="9" t="s">
        <v>17817</v>
      </c>
      <c r="N5379" s="9" t="s">
        <v>17746</v>
      </c>
      <c r="O5379" s="9" t="s">
        <v>18514</v>
      </c>
      <c r="P5379" s="9" t="s">
        <v>17748</v>
      </c>
      <c r="Q5379" s="11" t="s">
        <v>18272</v>
      </c>
      <c r="R5379" s="11" t="s">
        <v>18272</v>
      </c>
      <c r="S5379" s="11" t="s">
        <v>17750</v>
      </c>
    </row>
    <row r="5380" spans="1:19" x14ac:dyDescent="0.2">
      <c r="A5380" s="11" t="s">
        <v>48868</v>
      </c>
      <c r="B5380" s="9" t="s">
        <v>48869</v>
      </c>
      <c r="C5380" s="9" t="s">
        <v>48870</v>
      </c>
      <c r="D5380" s="9" t="s">
        <v>48871</v>
      </c>
      <c r="E5380" s="9" t="s">
        <v>17740</v>
      </c>
      <c r="F5380" s="9" t="s">
        <v>17741</v>
      </c>
      <c r="G5380" s="9" t="s">
        <v>17740</v>
      </c>
      <c r="H5380" s="11" t="s">
        <v>17741</v>
      </c>
      <c r="I5380" s="11" t="s">
        <v>48872</v>
      </c>
      <c r="J5380" s="11" t="s">
        <v>48872</v>
      </c>
      <c r="K5380" s="9" t="s">
        <v>28282</v>
      </c>
      <c r="L5380" s="9" t="s">
        <v>17744</v>
      </c>
      <c r="M5380" s="9" t="s">
        <v>17817</v>
      </c>
      <c r="N5380" s="9" t="s">
        <v>17746</v>
      </c>
      <c r="O5380" s="9" t="s">
        <v>20453</v>
      </c>
      <c r="P5380" s="9" t="s">
        <v>17748</v>
      </c>
      <c r="Q5380" s="11" t="s">
        <v>18059</v>
      </c>
      <c r="R5380" s="11" t="s">
        <v>18059</v>
      </c>
      <c r="S5380" s="11" t="s">
        <v>17750</v>
      </c>
    </row>
    <row r="5381" spans="1:19" x14ac:dyDescent="0.2">
      <c r="A5381" s="11" t="s">
        <v>48873</v>
      </c>
      <c r="B5381" s="9" t="s">
        <v>48874</v>
      </c>
      <c r="C5381" s="9" t="s">
        <v>48875</v>
      </c>
      <c r="D5381" s="9" t="s">
        <v>48876</v>
      </c>
      <c r="E5381" s="9" t="s">
        <v>17740</v>
      </c>
      <c r="F5381" s="9" t="s">
        <v>17741</v>
      </c>
      <c r="G5381" s="9" t="s">
        <v>17740</v>
      </c>
      <c r="H5381" s="11" t="s">
        <v>5075</v>
      </c>
      <c r="I5381" s="11" t="s">
        <v>5074</v>
      </c>
      <c r="J5381" s="11" t="s">
        <v>5074</v>
      </c>
      <c r="K5381" s="9" t="s">
        <v>24317</v>
      </c>
      <c r="L5381" s="9" t="s">
        <v>17759</v>
      </c>
      <c r="M5381" s="9" t="s">
        <v>19168</v>
      </c>
      <c r="N5381" s="9" t="s">
        <v>17746</v>
      </c>
      <c r="O5381" s="9" t="s">
        <v>21568</v>
      </c>
      <c r="P5381" s="9" t="s">
        <v>17748</v>
      </c>
      <c r="Q5381" s="11" t="s">
        <v>17819</v>
      </c>
      <c r="R5381" s="11" t="s">
        <v>17819</v>
      </c>
      <c r="S5381" s="11" t="s">
        <v>17750</v>
      </c>
    </row>
    <row r="5382" spans="1:19" x14ac:dyDescent="0.2">
      <c r="A5382" s="11" t="s">
        <v>48877</v>
      </c>
      <c r="B5382" s="9" t="s">
        <v>48878</v>
      </c>
      <c r="C5382" s="9" t="s">
        <v>48879</v>
      </c>
      <c r="D5382" s="9" t="s">
        <v>48880</v>
      </c>
      <c r="E5382" s="9" t="s">
        <v>17740</v>
      </c>
      <c r="F5382" s="9" t="s">
        <v>17741</v>
      </c>
      <c r="G5382" s="9" t="s">
        <v>17740</v>
      </c>
      <c r="H5382" s="11" t="s">
        <v>17741</v>
      </c>
      <c r="I5382" s="11" t="s">
        <v>4286</v>
      </c>
      <c r="J5382" s="11" t="s">
        <v>4286</v>
      </c>
      <c r="K5382" s="9" t="s">
        <v>48851</v>
      </c>
      <c r="L5382" s="9" t="s">
        <v>17744</v>
      </c>
      <c r="M5382" s="9" t="s">
        <v>17817</v>
      </c>
      <c r="N5382" s="9" t="s">
        <v>17746</v>
      </c>
      <c r="O5382" s="9" t="s">
        <v>1690</v>
      </c>
      <c r="P5382" s="9" t="s">
        <v>17748</v>
      </c>
      <c r="Q5382" s="11" t="s">
        <v>18960</v>
      </c>
      <c r="R5382" s="11" t="s">
        <v>18960</v>
      </c>
      <c r="S5382" s="11" t="s">
        <v>17750</v>
      </c>
    </row>
    <row r="5383" spans="1:19" x14ac:dyDescent="0.2">
      <c r="A5383" s="11" t="s">
        <v>48881</v>
      </c>
      <c r="B5383" s="9" t="s">
        <v>48882</v>
      </c>
      <c r="C5383" s="9" t="s">
        <v>48883</v>
      </c>
      <c r="D5383" s="9" t="s">
        <v>48884</v>
      </c>
      <c r="E5383" s="9" t="s">
        <v>17748</v>
      </c>
      <c r="F5383" s="9" t="s">
        <v>48885</v>
      </c>
      <c r="G5383" s="9" t="s">
        <v>17740</v>
      </c>
      <c r="H5383" s="11" t="s">
        <v>8899</v>
      </c>
      <c r="I5383" s="11" t="s">
        <v>8898</v>
      </c>
      <c r="J5383" s="11" t="s">
        <v>8898</v>
      </c>
      <c r="K5383" s="9" t="s">
        <v>21614</v>
      </c>
      <c r="L5383" s="9" t="s">
        <v>17744</v>
      </c>
      <c r="M5383" s="9" t="s">
        <v>17817</v>
      </c>
      <c r="N5383" s="9" t="s">
        <v>17746</v>
      </c>
      <c r="O5383" s="9" t="s">
        <v>18882</v>
      </c>
      <c r="P5383" s="9" t="s">
        <v>17748</v>
      </c>
      <c r="Q5383" s="11" t="s">
        <v>18922</v>
      </c>
      <c r="R5383" s="11" t="s">
        <v>18922</v>
      </c>
      <c r="S5383" s="11" t="s">
        <v>17750</v>
      </c>
    </row>
    <row r="5384" spans="1:19" x14ac:dyDescent="0.2">
      <c r="A5384" s="11" t="s">
        <v>48886</v>
      </c>
      <c r="B5384" s="9" t="s">
        <v>48887</v>
      </c>
      <c r="C5384" s="9" t="s">
        <v>48888</v>
      </c>
      <c r="D5384" s="9" t="s">
        <v>48889</v>
      </c>
      <c r="E5384" s="9" t="s">
        <v>17740</v>
      </c>
      <c r="F5384" s="9" t="s">
        <v>17741</v>
      </c>
      <c r="G5384" s="9" t="s">
        <v>17740</v>
      </c>
      <c r="H5384" s="11" t="s">
        <v>5992</v>
      </c>
      <c r="I5384" s="11" t="s">
        <v>5991</v>
      </c>
      <c r="J5384" s="11" t="s">
        <v>5991</v>
      </c>
      <c r="K5384" s="9" t="s">
        <v>48851</v>
      </c>
      <c r="L5384" s="9" t="s">
        <v>17744</v>
      </c>
      <c r="M5384" s="9" t="s">
        <v>17817</v>
      </c>
      <c r="N5384" s="9" t="s">
        <v>17746</v>
      </c>
      <c r="O5384" s="9" t="s">
        <v>18746</v>
      </c>
      <c r="P5384" s="9" t="s">
        <v>17748</v>
      </c>
      <c r="Q5384" s="11" t="s">
        <v>17792</v>
      </c>
      <c r="R5384" s="11" t="s">
        <v>17792</v>
      </c>
      <c r="S5384" s="11" t="s">
        <v>17750</v>
      </c>
    </row>
    <row r="5385" spans="1:19" x14ac:dyDescent="0.2">
      <c r="A5385" s="11" t="s">
        <v>48890</v>
      </c>
      <c r="B5385" s="9" t="s">
        <v>48891</v>
      </c>
      <c r="C5385" s="9" t="s">
        <v>48892</v>
      </c>
      <c r="D5385" s="9" t="s">
        <v>48893</v>
      </c>
      <c r="E5385" s="9" t="s">
        <v>17748</v>
      </c>
      <c r="F5385" s="9" t="s">
        <v>48894</v>
      </c>
      <c r="G5385" s="9" t="s">
        <v>17740</v>
      </c>
      <c r="H5385" s="11" t="s">
        <v>8857</v>
      </c>
      <c r="I5385" s="11" t="s">
        <v>8856</v>
      </c>
      <c r="J5385" s="11" t="s">
        <v>8856</v>
      </c>
      <c r="K5385" s="9" t="s">
        <v>21614</v>
      </c>
      <c r="L5385" s="9" t="s">
        <v>17744</v>
      </c>
      <c r="M5385" s="9" t="s">
        <v>17817</v>
      </c>
      <c r="N5385" s="9" t="s">
        <v>17746</v>
      </c>
      <c r="O5385" s="9" t="s">
        <v>22268</v>
      </c>
      <c r="P5385" s="9" t="s">
        <v>17748</v>
      </c>
      <c r="Q5385" s="11" t="s">
        <v>18922</v>
      </c>
      <c r="R5385" s="11" t="s">
        <v>18922</v>
      </c>
      <c r="S5385" s="11" t="s">
        <v>17750</v>
      </c>
    </row>
    <row r="5386" spans="1:19" x14ac:dyDescent="0.2">
      <c r="A5386" s="11" t="s">
        <v>48895</v>
      </c>
      <c r="B5386" s="9" t="s">
        <v>48896</v>
      </c>
      <c r="C5386" s="9" t="s">
        <v>48897</v>
      </c>
      <c r="D5386" s="9" t="s">
        <v>48898</v>
      </c>
      <c r="E5386" s="9" t="s">
        <v>17740</v>
      </c>
      <c r="F5386" s="9" t="s">
        <v>17741</v>
      </c>
      <c r="G5386" s="9" t="s">
        <v>17740</v>
      </c>
      <c r="H5386" s="11" t="s">
        <v>3956</v>
      </c>
      <c r="I5386" s="11" t="s">
        <v>3955</v>
      </c>
      <c r="J5386" s="11" t="s">
        <v>3955</v>
      </c>
      <c r="K5386" s="9" t="s">
        <v>48899</v>
      </c>
      <c r="L5386" s="9" t="s">
        <v>17744</v>
      </c>
      <c r="M5386" s="9" t="s">
        <v>17817</v>
      </c>
      <c r="N5386" s="9" t="s">
        <v>17746</v>
      </c>
      <c r="O5386" s="9" t="s">
        <v>3100</v>
      </c>
      <c r="P5386" s="9" t="s">
        <v>17748</v>
      </c>
      <c r="Q5386" s="11" t="s">
        <v>19335</v>
      </c>
      <c r="R5386" s="11" t="s">
        <v>19335</v>
      </c>
      <c r="S5386" s="11" t="s">
        <v>17750</v>
      </c>
    </row>
    <row r="5387" spans="1:19" x14ac:dyDescent="0.2">
      <c r="A5387" s="11" t="s">
        <v>48900</v>
      </c>
      <c r="B5387" s="9" t="s">
        <v>48901</v>
      </c>
      <c r="C5387" s="9" t="s">
        <v>48902</v>
      </c>
      <c r="D5387" s="9" t="s">
        <v>48903</v>
      </c>
      <c r="E5387" s="9" t="s">
        <v>17748</v>
      </c>
      <c r="F5387" s="9" t="s">
        <v>48904</v>
      </c>
      <c r="G5387" s="9" t="s">
        <v>17740</v>
      </c>
      <c r="H5387" s="11" t="s">
        <v>8902</v>
      </c>
      <c r="I5387" s="11" t="s">
        <v>8901</v>
      </c>
      <c r="J5387" s="11" t="s">
        <v>8901</v>
      </c>
      <c r="K5387" s="9" t="s">
        <v>18661</v>
      </c>
      <c r="L5387" s="9" t="s">
        <v>17744</v>
      </c>
      <c r="M5387" s="9" t="s">
        <v>17817</v>
      </c>
      <c r="N5387" s="9" t="s">
        <v>17746</v>
      </c>
      <c r="O5387" s="9" t="s">
        <v>3309</v>
      </c>
      <c r="P5387" s="9" t="s">
        <v>17748</v>
      </c>
      <c r="Q5387" s="11" t="s">
        <v>18922</v>
      </c>
      <c r="R5387" s="11" t="s">
        <v>18922</v>
      </c>
      <c r="S5387" s="11" t="s">
        <v>17750</v>
      </c>
    </row>
    <row r="5388" spans="1:19" x14ac:dyDescent="0.2">
      <c r="A5388" s="11" t="s">
        <v>48905</v>
      </c>
      <c r="B5388" s="9" t="s">
        <v>48906</v>
      </c>
      <c r="C5388" s="9" t="s">
        <v>48907</v>
      </c>
      <c r="D5388" s="9" t="s">
        <v>48908</v>
      </c>
      <c r="E5388" s="9" t="s">
        <v>17740</v>
      </c>
      <c r="F5388" s="9" t="s">
        <v>17741</v>
      </c>
      <c r="G5388" s="9" t="s">
        <v>17740</v>
      </c>
      <c r="H5388" s="11" t="s">
        <v>3971</v>
      </c>
      <c r="I5388" s="11" t="s">
        <v>3970</v>
      </c>
      <c r="J5388" s="11" t="s">
        <v>3970</v>
      </c>
      <c r="K5388" s="9" t="s">
        <v>48909</v>
      </c>
      <c r="L5388" s="9" t="s">
        <v>17744</v>
      </c>
      <c r="M5388" s="9" t="s">
        <v>17817</v>
      </c>
      <c r="N5388" s="9" t="s">
        <v>17746</v>
      </c>
      <c r="O5388" s="9" t="s">
        <v>3391</v>
      </c>
      <c r="P5388" s="9" t="s">
        <v>17748</v>
      </c>
      <c r="Q5388" s="11" t="s">
        <v>18251</v>
      </c>
      <c r="R5388" s="11" t="s">
        <v>18251</v>
      </c>
      <c r="S5388" s="11" t="s">
        <v>17750</v>
      </c>
    </row>
    <row r="5389" spans="1:19" x14ac:dyDescent="0.2">
      <c r="A5389" s="11" t="s">
        <v>48910</v>
      </c>
      <c r="B5389" s="9" t="s">
        <v>48911</v>
      </c>
      <c r="C5389" s="9" t="s">
        <v>48912</v>
      </c>
      <c r="D5389" s="9" t="s">
        <v>48913</v>
      </c>
      <c r="E5389" s="9" t="s">
        <v>17740</v>
      </c>
      <c r="F5389" s="9" t="s">
        <v>17741</v>
      </c>
      <c r="G5389" s="9" t="s">
        <v>17740</v>
      </c>
      <c r="H5389" s="11" t="s">
        <v>48914</v>
      </c>
      <c r="I5389" s="11" t="s">
        <v>48915</v>
      </c>
      <c r="J5389" s="11" t="s">
        <v>48915</v>
      </c>
      <c r="K5389" s="9" t="s">
        <v>48916</v>
      </c>
      <c r="L5389" s="9" t="s">
        <v>17744</v>
      </c>
      <c r="M5389" s="9" t="s">
        <v>17817</v>
      </c>
      <c r="N5389" s="9" t="s">
        <v>17746</v>
      </c>
      <c r="O5389" s="9" t="s">
        <v>19470</v>
      </c>
      <c r="P5389" s="9" t="s">
        <v>17748</v>
      </c>
      <c r="Q5389" s="11" t="s">
        <v>18201</v>
      </c>
      <c r="R5389" s="11" t="s">
        <v>18201</v>
      </c>
      <c r="S5389" s="11" t="s">
        <v>17750</v>
      </c>
    </row>
    <row r="5390" spans="1:19" x14ac:dyDescent="0.2">
      <c r="A5390" s="11" t="s">
        <v>48917</v>
      </c>
      <c r="B5390" s="9" t="s">
        <v>11511</v>
      </c>
      <c r="C5390" s="9" t="s">
        <v>48918</v>
      </c>
      <c r="D5390" s="9" t="s">
        <v>11511</v>
      </c>
      <c r="E5390" s="9" t="s">
        <v>17748</v>
      </c>
      <c r="F5390" s="9" t="s">
        <v>48919</v>
      </c>
      <c r="G5390" s="9" t="s">
        <v>17740</v>
      </c>
      <c r="H5390" s="11" t="s">
        <v>11512</v>
      </c>
      <c r="I5390" s="11" t="s">
        <v>17741</v>
      </c>
      <c r="J5390" s="11" t="s">
        <v>11512</v>
      </c>
      <c r="K5390" s="9" t="s">
        <v>18570</v>
      </c>
      <c r="L5390" s="9" t="s">
        <v>17744</v>
      </c>
      <c r="M5390" s="9" t="s">
        <v>18745</v>
      </c>
      <c r="N5390" s="9" t="s">
        <v>17746</v>
      </c>
      <c r="O5390" s="9" t="s">
        <v>25630</v>
      </c>
      <c r="P5390" s="9" t="s">
        <v>17748</v>
      </c>
      <c r="Q5390" s="11" t="s">
        <v>17762</v>
      </c>
      <c r="R5390" s="11" t="s">
        <v>17762</v>
      </c>
      <c r="S5390" s="11" t="s">
        <v>17750</v>
      </c>
    </row>
    <row r="5391" spans="1:19" x14ac:dyDescent="0.2">
      <c r="A5391" s="11" t="s">
        <v>48920</v>
      </c>
      <c r="B5391" s="9" t="s">
        <v>48921</v>
      </c>
      <c r="C5391" s="9" t="s">
        <v>48922</v>
      </c>
      <c r="D5391" s="9" t="s">
        <v>48923</v>
      </c>
      <c r="E5391" s="9" t="s">
        <v>17740</v>
      </c>
      <c r="F5391" s="9" t="s">
        <v>17741</v>
      </c>
      <c r="G5391" s="9" t="s">
        <v>17740</v>
      </c>
      <c r="H5391" s="11" t="s">
        <v>48924</v>
      </c>
      <c r="I5391" s="11" t="s">
        <v>48925</v>
      </c>
      <c r="J5391" s="11" t="s">
        <v>48925</v>
      </c>
      <c r="K5391" s="9" t="s">
        <v>21011</v>
      </c>
      <c r="L5391" s="9" t="s">
        <v>17759</v>
      </c>
      <c r="M5391" s="9" t="s">
        <v>19938</v>
      </c>
      <c r="N5391" s="9" t="s">
        <v>17746</v>
      </c>
      <c r="O5391" s="9" t="s">
        <v>48926</v>
      </c>
      <c r="P5391" s="9" t="s">
        <v>17748</v>
      </c>
      <c r="Q5391" s="11" t="s">
        <v>17867</v>
      </c>
      <c r="R5391" s="11" t="s">
        <v>17867</v>
      </c>
      <c r="S5391" s="11" t="s">
        <v>17750</v>
      </c>
    </row>
    <row r="5392" spans="1:19" x14ac:dyDescent="0.2">
      <c r="A5392" s="11" t="s">
        <v>48927</v>
      </c>
      <c r="B5392" s="9" t="s">
        <v>48928</v>
      </c>
      <c r="C5392" s="9" t="s">
        <v>48929</v>
      </c>
      <c r="D5392" s="9" t="s">
        <v>48930</v>
      </c>
      <c r="E5392" s="9" t="s">
        <v>17740</v>
      </c>
      <c r="F5392" s="9" t="s">
        <v>17741</v>
      </c>
      <c r="G5392" s="9" t="s">
        <v>17740</v>
      </c>
      <c r="H5392" s="11" t="s">
        <v>17741</v>
      </c>
      <c r="I5392" s="11" t="s">
        <v>48931</v>
      </c>
      <c r="J5392" s="11" t="s">
        <v>48931</v>
      </c>
      <c r="K5392" s="9" t="s">
        <v>48932</v>
      </c>
      <c r="L5392" s="9" t="s">
        <v>39931</v>
      </c>
      <c r="M5392" s="9" t="s">
        <v>18211</v>
      </c>
      <c r="N5392" s="9" t="s">
        <v>17746</v>
      </c>
      <c r="O5392" s="9" t="s">
        <v>39057</v>
      </c>
      <c r="P5392" s="9" t="s">
        <v>17748</v>
      </c>
      <c r="Q5392" s="11" t="s">
        <v>18341</v>
      </c>
      <c r="R5392" s="11" t="s">
        <v>18341</v>
      </c>
      <c r="S5392" s="11" t="s">
        <v>17750</v>
      </c>
    </row>
    <row r="5393" spans="1:19" x14ac:dyDescent="0.2">
      <c r="A5393" s="11" t="s">
        <v>48933</v>
      </c>
      <c r="B5393" s="9" t="s">
        <v>48934</v>
      </c>
      <c r="C5393" s="9" t="s">
        <v>48935</v>
      </c>
      <c r="D5393" s="9" t="s">
        <v>48936</v>
      </c>
      <c r="E5393" s="9" t="s">
        <v>17740</v>
      </c>
      <c r="F5393" s="9" t="s">
        <v>17741</v>
      </c>
      <c r="G5393" s="9" t="s">
        <v>17740</v>
      </c>
      <c r="H5393" s="11" t="s">
        <v>3968</v>
      </c>
      <c r="I5393" s="11" t="s">
        <v>3967</v>
      </c>
      <c r="J5393" s="11" t="s">
        <v>3967</v>
      </c>
      <c r="K5393" s="9" t="s">
        <v>18520</v>
      </c>
      <c r="L5393" s="9" t="s">
        <v>17744</v>
      </c>
      <c r="M5393" s="9" t="s">
        <v>17760</v>
      </c>
      <c r="N5393" s="9" t="s">
        <v>17746</v>
      </c>
      <c r="O5393" s="9" t="s">
        <v>18548</v>
      </c>
      <c r="P5393" s="9" t="s">
        <v>17748</v>
      </c>
      <c r="Q5393" s="11" t="s">
        <v>19899</v>
      </c>
      <c r="R5393" s="11" t="s">
        <v>19899</v>
      </c>
      <c r="S5393" s="11" t="s">
        <v>17750</v>
      </c>
    </row>
    <row r="5394" spans="1:19" x14ac:dyDescent="0.2">
      <c r="A5394" s="11" t="s">
        <v>48937</v>
      </c>
      <c r="B5394" s="9" t="s">
        <v>48938</v>
      </c>
      <c r="C5394" s="9" t="s">
        <v>48939</v>
      </c>
      <c r="D5394" s="9" t="s">
        <v>48940</v>
      </c>
      <c r="E5394" s="9" t="s">
        <v>17740</v>
      </c>
      <c r="F5394" s="9" t="s">
        <v>17741</v>
      </c>
      <c r="G5394" s="9" t="s">
        <v>17740</v>
      </c>
      <c r="H5394" s="11" t="s">
        <v>17741</v>
      </c>
      <c r="I5394" s="11" t="s">
        <v>48941</v>
      </c>
      <c r="J5394" s="11" t="s">
        <v>48941</v>
      </c>
      <c r="K5394" s="9" t="s">
        <v>48942</v>
      </c>
      <c r="L5394" s="9" t="s">
        <v>20446</v>
      </c>
      <c r="M5394" s="9" t="s">
        <v>17760</v>
      </c>
      <c r="N5394" s="9" t="s">
        <v>17746</v>
      </c>
      <c r="O5394" s="9" t="s">
        <v>48943</v>
      </c>
      <c r="P5394" s="9" t="s">
        <v>17748</v>
      </c>
      <c r="Q5394" s="11" t="s">
        <v>19222</v>
      </c>
      <c r="R5394" s="11" t="s">
        <v>19222</v>
      </c>
      <c r="S5394" s="11" t="s">
        <v>17750</v>
      </c>
    </row>
    <row r="5395" spans="1:19" x14ac:dyDescent="0.2">
      <c r="A5395" s="11" t="s">
        <v>48944</v>
      </c>
      <c r="B5395" s="9" t="s">
        <v>48945</v>
      </c>
      <c r="C5395" s="9" t="s">
        <v>48946</v>
      </c>
      <c r="D5395" s="9" t="s">
        <v>48947</v>
      </c>
      <c r="E5395" s="9" t="s">
        <v>17748</v>
      </c>
      <c r="F5395" s="9" t="s">
        <v>48948</v>
      </c>
      <c r="G5395" s="9" t="s">
        <v>17740</v>
      </c>
      <c r="H5395" s="11" t="s">
        <v>6880</v>
      </c>
      <c r="I5395" s="11" t="s">
        <v>6879</v>
      </c>
      <c r="J5395" s="11" t="s">
        <v>6879</v>
      </c>
      <c r="K5395" s="9" t="s">
        <v>23527</v>
      </c>
      <c r="L5395" s="9" t="s">
        <v>17744</v>
      </c>
      <c r="M5395" s="9" t="s">
        <v>17817</v>
      </c>
      <c r="N5395" s="9" t="s">
        <v>17746</v>
      </c>
      <c r="O5395" s="9" t="s">
        <v>32218</v>
      </c>
      <c r="P5395" s="9" t="s">
        <v>17748</v>
      </c>
      <c r="Q5395" s="11" t="s">
        <v>18201</v>
      </c>
      <c r="R5395" s="11" t="s">
        <v>18201</v>
      </c>
      <c r="S5395" s="11" t="s">
        <v>17750</v>
      </c>
    </row>
    <row r="5396" spans="1:19" x14ac:dyDescent="0.2">
      <c r="A5396" s="11" t="s">
        <v>48949</v>
      </c>
      <c r="B5396" s="9" t="s">
        <v>48950</v>
      </c>
      <c r="C5396" s="9" t="s">
        <v>48951</v>
      </c>
      <c r="D5396" s="9" t="s">
        <v>48952</v>
      </c>
      <c r="E5396" s="9" t="s">
        <v>17740</v>
      </c>
      <c r="F5396" s="9" t="s">
        <v>17741</v>
      </c>
      <c r="G5396" s="9" t="s">
        <v>17740</v>
      </c>
      <c r="H5396" s="11" t="s">
        <v>17741</v>
      </c>
      <c r="I5396" s="11" t="s">
        <v>48953</v>
      </c>
      <c r="J5396" s="11" t="s">
        <v>48953</v>
      </c>
      <c r="K5396" s="9" t="s">
        <v>30676</v>
      </c>
      <c r="L5396" s="9" t="s">
        <v>17759</v>
      </c>
      <c r="M5396" s="9" t="s">
        <v>48954</v>
      </c>
      <c r="N5396" s="9" t="s">
        <v>17746</v>
      </c>
      <c r="O5396" s="9" t="s">
        <v>25252</v>
      </c>
      <c r="P5396" s="9" t="s">
        <v>17748</v>
      </c>
      <c r="Q5396" s="11" t="s">
        <v>18847</v>
      </c>
      <c r="R5396" s="11" t="s">
        <v>18847</v>
      </c>
      <c r="S5396" s="11" t="s">
        <v>17750</v>
      </c>
    </row>
    <row r="5397" spans="1:19" x14ac:dyDescent="0.2">
      <c r="A5397" s="11" t="s">
        <v>48955</v>
      </c>
      <c r="B5397" s="9" t="s">
        <v>48956</v>
      </c>
      <c r="C5397" s="9" t="s">
        <v>48957</v>
      </c>
      <c r="D5397" s="9" t="s">
        <v>48956</v>
      </c>
      <c r="E5397" s="9" t="s">
        <v>17740</v>
      </c>
      <c r="F5397" s="9" t="s">
        <v>17741</v>
      </c>
      <c r="G5397" s="9" t="s">
        <v>17740</v>
      </c>
      <c r="H5397" s="11" t="s">
        <v>17741</v>
      </c>
      <c r="I5397" s="11" t="s">
        <v>48958</v>
      </c>
      <c r="J5397" s="11" t="s">
        <v>48958</v>
      </c>
      <c r="K5397" s="9" t="s">
        <v>33405</v>
      </c>
      <c r="L5397" s="9" t="s">
        <v>18854</v>
      </c>
      <c r="M5397" s="9" t="s">
        <v>17817</v>
      </c>
      <c r="N5397" s="9" t="s">
        <v>20237</v>
      </c>
      <c r="O5397" s="9" t="s">
        <v>18125</v>
      </c>
      <c r="P5397" s="9" t="s">
        <v>17748</v>
      </c>
      <c r="Q5397" s="11" t="s">
        <v>17943</v>
      </c>
      <c r="R5397" s="11" t="s">
        <v>17943</v>
      </c>
      <c r="S5397" s="11" t="s">
        <v>17750</v>
      </c>
    </row>
    <row r="5398" spans="1:19" x14ac:dyDescent="0.2">
      <c r="A5398" s="11" t="s">
        <v>48959</v>
      </c>
      <c r="B5398" s="9" t="s">
        <v>48960</v>
      </c>
      <c r="C5398" s="9" t="s">
        <v>48961</v>
      </c>
      <c r="D5398" s="9" t="s">
        <v>48962</v>
      </c>
      <c r="E5398" s="9" t="s">
        <v>17740</v>
      </c>
      <c r="F5398" s="9" t="s">
        <v>48963</v>
      </c>
      <c r="G5398" s="9" t="s">
        <v>17740</v>
      </c>
      <c r="H5398" s="11" t="s">
        <v>17741</v>
      </c>
      <c r="I5398" s="11" t="s">
        <v>48964</v>
      </c>
      <c r="J5398" s="11" t="s">
        <v>48964</v>
      </c>
      <c r="K5398" s="9" t="s">
        <v>48965</v>
      </c>
      <c r="L5398" s="9" t="s">
        <v>29064</v>
      </c>
      <c r="M5398" s="9" t="s">
        <v>17769</v>
      </c>
      <c r="N5398" s="9" t="s">
        <v>20237</v>
      </c>
      <c r="O5398" s="9" t="s">
        <v>1690</v>
      </c>
      <c r="P5398" s="9" t="s">
        <v>17748</v>
      </c>
      <c r="Q5398" s="11" t="s">
        <v>18813</v>
      </c>
      <c r="R5398" s="11" t="s">
        <v>18813</v>
      </c>
      <c r="S5398" s="11" t="s">
        <v>17750</v>
      </c>
    </row>
    <row r="5399" spans="1:19" x14ac:dyDescent="0.2">
      <c r="A5399" s="11" t="s">
        <v>48966</v>
      </c>
      <c r="B5399" s="9" t="s">
        <v>48967</v>
      </c>
      <c r="C5399" s="9" t="s">
        <v>48968</v>
      </c>
      <c r="D5399" s="9" t="s">
        <v>48969</v>
      </c>
      <c r="E5399" s="9" t="s">
        <v>17748</v>
      </c>
      <c r="F5399" s="9" t="s">
        <v>48970</v>
      </c>
      <c r="G5399" s="9" t="s">
        <v>17740</v>
      </c>
      <c r="H5399" s="11" t="s">
        <v>8924</v>
      </c>
      <c r="I5399" s="11" t="s">
        <v>8923</v>
      </c>
      <c r="J5399" s="11" t="s">
        <v>8923</v>
      </c>
      <c r="K5399" s="9" t="s">
        <v>831</v>
      </c>
      <c r="L5399" s="9" t="s">
        <v>23607</v>
      </c>
      <c r="M5399" s="9" t="s">
        <v>17769</v>
      </c>
      <c r="N5399" s="9" t="s">
        <v>17746</v>
      </c>
      <c r="O5399" s="9" t="s">
        <v>15733</v>
      </c>
      <c r="P5399" s="9" t="s">
        <v>17748</v>
      </c>
      <c r="Q5399" s="11" t="s">
        <v>18922</v>
      </c>
      <c r="R5399" s="11" t="s">
        <v>18922</v>
      </c>
      <c r="S5399" s="11" t="s">
        <v>17750</v>
      </c>
    </row>
    <row r="5400" spans="1:19" x14ac:dyDescent="0.2">
      <c r="A5400" s="11" t="s">
        <v>48971</v>
      </c>
      <c r="B5400" s="9" t="s">
        <v>48972</v>
      </c>
      <c r="C5400" s="9" t="s">
        <v>48973</v>
      </c>
      <c r="D5400" s="9" t="s">
        <v>48974</v>
      </c>
      <c r="E5400" s="9" t="s">
        <v>17748</v>
      </c>
      <c r="F5400" s="9" t="s">
        <v>48975</v>
      </c>
      <c r="G5400" s="9" t="s">
        <v>17740</v>
      </c>
      <c r="H5400" s="11" t="s">
        <v>17741</v>
      </c>
      <c r="I5400" s="11" t="s">
        <v>48976</v>
      </c>
      <c r="J5400" s="11" t="s">
        <v>48976</v>
      </c>
      <c r="K5400" s="9" t="s">
        <v>48977</v>
      </c>
      <c r="L5400" s="9" t="s">
        <v>18854</v>
      </c>
      <c r="M5400" s="9" t="s">
        <v>18289</v>
      </c>
      <c r="N5400" s="9" t="s">
        <v>20237</v>
      </c>
      <c r="O5400" s="9" t="s">
        <v>15733</v>
      </c>
      <c r="P5400" s="9" t="s">
        <v>17748</v>
      </c>
      <c r="Q5400" s="11" t="s">
        <v>17825</v>
      </c>
      <c r="R5400" s="11" t="s">
        <v>17825</v>
      </c>
      <c r="S5400" s="11" t="s">
        <v>17750</v>
      </c>
    </row>
    <row r="5401" spans="1:19" x14ac:dyDescent="0.2">
      <c r="A5401" s="11" t="s">
        <v>48978</v>
      </c>
      <c r="B5401" s="9" t="s">
        <v>48979</v>
      </c>
      <c r="C5401" s="9" t="s">
        <v>48980</v>
      </c>
      <c r="D5401" s="9" t="s">
        <v>48981</v>
      </c>
      <c r="E5401" s="9" t="s">
        <v>17740</v>
      </c>
      <c r="F5401" s="9" t="s">
        <v>17741</v>
      </c>
      <c r="G5401" s="9" t="s">
        <v>17740</v>
      </c>
      <c r="H5401" s="11" t="s">
        <v>17741</v>
      </c>
      <c r="I5401" s="11" t="s">
        <v>11398</v>
      </c>
      <c r="J5401" s="11" t="s">
        <v>11398</v>
      </c>
      <c r="K5401" s="9" t="s">
        <v>48982</v>
      </c>
      <c r="L5401" s="9" t="s">
        <v>18396</v>
      </c>
      <c r="M5401" s="9" t="s">
        <v>25688</v>
      </c>
      <c r="N5401" s="9" t="s">
        <v>39516</v>
      </c>
      <c r="O5401" s="9" t="s">
        <v>15733</v>
      </c>
      <c r="P5401" s="9" t="s">
        <v>17748</v>
      </c>
      <c r="Q5401" s="11" t="s">
        <v>18470</v>
      </c>
      <c r="R5401" s="11" t="s">
        <v>18470</v>
      </c>
      <c r="S5401" s="11" t="s">
        <v>17750</v>
      </c>
    </row>
    <row r="5402" spans="1:19" x14ac:dyDescent="0.2">
      <c r="A5402" s="11" t="s">
        <v>48983</v>
      </c>
      <c r="B5402" s="9" t="s">
        <v>3997</v>
      </c>
      <c r="C5402" s="9" t="s">
        <v>48984</v>
      </c>
      <c r="D5402" s="9" t="s">
        <v>3997</v>
      </c>
      <c r="E5402" s="9" t="s">
        <v>17740</v>
      </c>
      <c r="F5402" s="9" t="s">
        <v>17741</v>
      </c>
      <c r="G5402" s="9" t="s">
        <v>17740</v>
      </c>
      <c r="H5402" s="11" t="s">
        <v>3999</v>
      </c>
      <c r="I5402" s="11" t="s">
        <v>3998</v>
      </c>
      <c r="J5402" s="11" t="s">
        <v>3998</v>
      </c>
      <c r="K5402" s="9" t="s">
        <v>21751</v>
      </c>
      <c r="L5402" s="9" t="s">
        <v>17991</v>
      </c>
      <c r="M5402" s="9" t="s">
        <v>17769</v>
      </c>
      <c r="N5402" s="9" t="s">
        <v>17746</v>
      </c>
      <c r="O5402" s="9" t="s">
        <v>18363</v>
      </c>
      <c r="P5402" s="9" t="s">
        <v>17748</v>
      </c>
      <c r="Q5402" s="11" t="s">
        <v>19415</v>
      </c>
      <c r="R5402" s="11" t="s">
        <v>19415</v>
      </c>
      <c r="S5402" s="11" t="s">
        <v>17750</v>
      </c>
    </row>
    <row r="5403" spans="1:19" x14ac:dyDescent="0.2">
      <c r="A5403" s="11" t="s">
        <v>48985</v>
      </c>
      <c r="B5403" s="9" t="s">
        <v>48986</v>
      </c>
      <c r="C5403" s="9" t="s">
        <v>48987</v>
      </c>
      <c r="D5403" s="9" t="s">
        <v>48988</v>
      </c>
      <c r="E5403" s="9" t="s">
        <v>17748</v>
      </c>
      <c r="F5403" s="9" t="s">
        <v>48989</v>
      </c>
      <c r="G5403" s="9" t="s">
        <v>17740</v>
      </c>
      <c r="H5403" s="11" t="s">
        <v>4421</v>
      </c>
      <c r="I5403" s="11" t="s">
        <v>4420</v>
      </c>
      <c r="J5403" s="11" t="s">
        <v>4420</v>
      </c>
      <c r="K5403" s="9" t="s">
        <v>217</v>
      </c>
      <c r="L5403" s="9" t="s">
        <v>18001</v>
      </c>
      <c r="M5403" s="9" t="s">
        <v>17769</v>
      </c>
      <c r="N5403" s="9" t="s">
        <v>17746</v>
      </c>
      <c r="O5403" s="9" t="s">
        <v>18363</v>
      </c>
      <c r="P5403" s="9" t="s">
        <v>17748</v>
      </c>
      <c r="Q5403" s="11" t="s">
        <v>18341</v>
      </c>
      <c r="R5403" s="11" t="s">
        <v>18341</v>
      </c>
      <c r="S5403" s="11" t="s">
        <v>17750</v>
      </c>
    </row>
    <row r="5404" spans="1:19" x14ac:dyDescent="0.2">
      <c r="A5404" s="11" t="s">
        <v>48990</v>
      </c>
      <c r="B5404" s="9" t="s">
        <v>48991</v>
      </c>
      <c r="C5404" s="9" t="s">
        <v>48992</v>
      </c>
      <c r="D5404" s="9" t="s">
        <v>48993</v>
      </c>
      <c r="E5404" s="9" t="s">
        <v>17740</v>
      </c>
      <c r="F5404" s="9" t="s">
        <v>17741</v>
      </c>
      <c r="G5404" s="9" t="s">
        <v>17740</v>
      </c>
      <c r="H5404" s="11" t="s">
        <v>17741</v>
      </c>
      <c r="I5404" s="11" t="s">
        <v>3993</v>
      </c>
      <c r="J5404" s="11" t="s">
        <v>3993</v>
      </c>
      <c r="K5404" s="9" t="s">
        <v>48994</v>
      </c>
      <c r="L5404" s="9" t="s">
        <v>21243</v>
      </c>
      <c r="M5404" s="9" t="s">
        <v>17817</v>
      </c>
      <c r="N5404" s="9" t="s">
        <v>18042</v>
      </c>
      <c r="O5404" s="9" t="s">
        <v>17993</v>
      </c>
      <c r="P5404" s="9" t="s">
        <v>17748</v>
      </c>
      <c r="Q5404" s="11" t="s">
        <v>18139</v>
      </c>
      <c r="R5404" s="11" t="s">
        <v>18139</v>
      </c>
      <c r="S5404" s="11" t="s">
        <v>17750</v>
      </c>
    </row>
    <row r="5405" spans="1:19" x14ac:dyDescent="0.2">
      <c r="A5405" s="11" t="s">
        <v>48995</v>
      </c>
      <c r="B5405" s="9" t="s">
        <v>48996</v>
      </c>
      <c r="C5405" s="9" t="s">
        <v>48997</v>
      </c>
      <c r="D5405" s="9" t="s">
        <v>48998</v>
      </c>
      <c r="E5405" s="9" t="s">
        <v>17740</v>
      </c>
      <c r="F5405" s="9" t="s">
        <v>17741</v>
      </c>
      <c r="G5405" s="9" t="s">
        <v>17740</v>
      </c>
      <c r="H5405" s="11" t="s">
        <v>48999</v>
      </c>
      <c r="I5405" s="11" t="s">
        <v>5419</v>
      </c>
      <c r="J5405" s="11" t="s">
        <v>5419</v>
      </c>
      <c r="K5405" s="9" t="s">
        <v>49000</v>
      </c>
      <c r="L5405" s="9" t="s">
        <v>18396</v>
      </c>
      <c r="M5405" s="9" t="s">
        <v>18109</v>
      </c>
      <c r="N5405" s="9" t="s">
        <v>17746</v>
      </c>
      <c r="O5405" s="9" t="s">
        <v>18009</v>
      </c>
      <c r="P5405" s="9" t="s">
        <v>17748</v>
      </c>
      <c r="Q5405" s="11" t="s">
        <v>19082</v>
      </c>
      <c r="R5405" s="11" t="s">
        <v>19082</v>
      </c>
      <c r="S5405" s="11" t="s">
        <v>17750</v>
      </c>
    </row>
    <row r="5406" spans="1:19" x14ac:dyDescent="0.2">
      <c r="A5406" s="11" t="s">
        <v>49001</v>
      </c>
      <c r="B5406" s="9" t="s">
        <v>49002</v>
      </c>
      <c r="C5406" s="9" t="s">
        <v>49003</v>
      </c>
      <c r="D5406" s="9" t="s">
        <v>49004</v>
      </c>
      <c r="E5406" s="9" t="s">
        <v>17740</v>
      </c>
      <c r="F5406" s="9" t="s">
        <v>17741</v>
      </c>
      <c r="G5406" s="9" t="s">
        <v>17740</v>
      </c>
      <c r="H5406" s="11" t="s">
        <v>17741</v>
      </c>
      <c r="I5406" s="11" t="s">
        <v>14518</v>
      </c>
      <c r="J5406" s="11" t="s">
        <v>14518</v>
      </c>
      <c r="K5406" s="9" t="s">
        <v>49005</v>
      </c>
      <c r="L5406" s="9" t="s">
        <v>18396</v>
      </c>
      <c r="M5406" s="9" t="s">
        <v>17992</v>
      </c>
      <c r="N5406" s="9" t="s">
        <v>17746</v>
      </c>
      <c r="O5406" s="9" t="s">
        <v>19521</v>
      </c>
      <c r="P5406" s="9" t="s">
        <v>17748</v>
      </c>
      <c r="Q5406" s="11" t="s">
        <v>18960</v>
      </c>
      <c r="R5406" s="11" t="s">
        <v>18960</v>
      </c>
      <c r="S5406" s="11" t="s">
        <v>17750</v>
      </c>
    </row>
    <row r="5407" spans="1:19" x14ac:dyDescent="0.2">
      <c r="A5407" s="11" t="s">
        <v>49006</v>
      </c>
      <c r="B5407" s="9" t="s">
        <v>49007</v>
      </c>
      <c r="C5407" s="9" t="s">
        <v>49008</v>
      </c>
      <c r="D5407" s="9" t="s">
        <v>49009</v>
      </c>
      <c r="E5407" s="9" t="s">
        <v>17740</v>
      </c>
      <c r="F5407" s="9" t="s">
        <v>17741</v>
      </c>
      <c r="G5407" s="9" t="s">
        <v>17740</v>
      </c>
      <c r="H5407" s="11" t="s">
        <v>17741</v>
      </c>
      <c r="I5407" s="11" t="s">
        <v>49010</v>
      </c>
      <c r="J5407" s="11" t="s">
        <v>49010</v>
      </c>
      <c r="K5407" s="9" t="s">
        <v>49011</v>
      </c>
      <c r="L5407" s="9" t="s">
        <v>18396</v>
      </c>
      <c r="M5407" s="9" t="s">
        <v>17760</v>
      </c>
      <c r="N5407" s="9" t="s">
        <v>39516</v>
      </c>
      <c r="O5407" s="9" t="s">
        <v>17834</v>
      </c>
      <c r="P5407" s="9" t="s">
        <v>17748</v>
      </c>
      <c r="Q5407" s="11" t="s">
        <v>17749</v>
      </c>
      <c r="R5407" s="11" t="s">
        <v>17749</v>
      </c>
      <c r="S5407" s="11" t="s">
        <v>17750</v>
      </c>
    </row>
    <row r="5408" spans="1:19" x14ac:dyDescent="0.2">
      <c r="A5408" s="11" t="s">
        <v>49012</v>
      </c>
      <c r="B5408" s="9" t="s">
        <v>49013</v>
      </c>
      <c r="C5408" s="9" t="s">
        <v>49014</v>
      </c>
      <c r="D5408" s="9" t="s">
        <v>49015</v>
      </c>
      <c r="E5408" s="9" t="s">
        <v>17740</v>
      </c>
      <c r="F5408" s="9" t="s">
        <v>49016</v>
      </c>
      <c r="G5408" s="9" t="s">
        <v>17740</v>
      </c>
      <c r="H5408" s="11" t="s">
        <v>17741</v>
      </c>
      <c r="I5408" s="11" t="s">
        <v>6799</v>
      </c>
      <c r="J5408" s="11" t="s">
        <v>6799</v>
      </c>
      <c r="K5408" s="9" t="s">
        <v>6800</v>
      </c>
      <c r="L5408" s="9" t="s">
        <v>18396</v>
      </c>
      <c r="M5408" s="9" t="s">
        <v>17760</v>
      </c>
      <c r="N5408" s="9" t="s">
        <v>17746</v>
      </c>
      <c r="O5408" s="9" t="s">
        <v>1675</v>
      </c>
      <c r="P5408" s="9" t="s">
        <v>17748</v>
      </c>
      <c r="Q5408" s="11" t="s">
        <v>19361</v>
      </c>
      <c r="R5408" s="11" t="s">
        <v>19361</v>
      </c>
      <c r="S5408" s="11" t="s">
        <v>17750</v>
      </c>
    </row>
    <row r="5409" spans="1:19" x14ac:dyDescent="0.2">
      <c r="A5409" s="11" t="s">
        <v>49017</v>
      </c>
      <c r="B5409" s="9" t="s">
        <v>49018</v>
      </c>
      <c r="C5409" s="9" t="s">
        <v>49019</v>
      </c>
      <c r="D5409" s="9" t="s">
        <v>49020</v>
      </c>
      <c r="E5409" s="9" t="s">
        <v>17740</v>
      </c>
      <c r="F5409" s="9" t="s">
        <v>17741</v>
      </c>
      <c r="G5409" s="9" t="s">
        <v>17740</v>
      </c>
      <c r="H5409" s="11" t="s">
        <v>17741</v>
      </c>
      <c r="I5409" s="11" t="s">
        <v>3953</v>
      </c>
      <c r="J5409" s="11" t="s">
        <v>3953</v>
      </c>
      <c r="K5409" s="9" t="s">
        <v>49021</v>
      </c>
      <c r="L5409" s="9" t="s">
        <v>18396</v>
      </c>
      <c r="M5409" s="9" t="s">
        <v>17778</v>
      </c>
      <c r="N5409" s="9" t="s">
        <v>17746</v>
      </c>
      <c r="O5409" s="9" t="s">
        <v>3355</v>
      </c>
      <c r="P5409" s="9" t="s">
        <v>17748</v>
      </c>
      <c r="Q5409" s="11" t="s">
        <v>18805</v>
      </c>
      <c r="R5409" s="11" t="s">
        <v>18805</v>
      </c>
      <c r="S5409" s="11" t="s">
        <v>17750</v>
      </c>
    </row>
    <row r="5410" spans="1:19" x14ac:dyDescent="0.2">
      <c r="A5410" s="11" t="s">
        <v>49022</v>
      </c>
      <c r="B5410" s="9" t="s">
        <v>49023</v>
      </c>
      <c r="C5410" s="9" t="s">
        <v>49024</v>
      </c>
      <c r="D5410" s="9" t="s">
        <v>49025</v>
      </c>
      <c r="E5410" s="9" t="s">
        <v>17740</v>
      </c>
      <c r="F5410" s="9" t="s">
        <v>17741</v>
      </c>
      <c r="G5410" s="9" t="s">
        <v>17740</v>
      </c>
      <c r="H5410" s="11" t="s">
        <v>17741</v>
      </c>
      <c r="I5410" s="11" t="s">
        <v>49026</v>
      </c>
      <c r="J5410" s="11" t="s">
        <v>49026</v>
      </c>
      <c r="K5410" s="9" t="s">
        <v>49027</v>
      </c>
      <c r="L5410" s="9" t="s">
        <v>18396</v>
      </c>
      <c r="M5410" s="9" t="s">
        <v>49028</v>
      </c>
      <c r="N5410" s="9" t="s">
        <v>17746</v>
      </c>
      <c r="O5410" s="9" t="s">
        <v>3176</v>
      </c>
      <c r="P5410" s="9" t="s">
        <v>17748</v>
      </c>
      <c r="Q5410" s="11" t="s">
        <v>17819</v>
      </c>
      <c r="R5410" s="11" t="s">
        <v>17819</v>
      </c>
      <c r="S5410" s="11" t="s">
        <v>17750</v>
      </c>
    </row>
    <row r="5411" spans="1:19" x14ac:dyDescent="0.2">
      <c r="A5411" s="11" t="s">
        <v>49029</v>
      </c>
      <c r="B5411" s="9" t="s">
        <v>49030</v>
      </c>
      <c r="C5411" s="9" t="s">
        <v>49031</v>
      </c>
      <c r="D5411" s="9" t="s">
        <v>49032</v>
      </c>
      <c r="E5411" s="9" t="s">
        <v>17740</v>
      </c>
      <c r="F5411" s="9" t="s">
        <v>17741</v>
      </c>
      <c r="G5411" s="9" t="s">
        <v>17740</v>
      </c>
      <c r="H5411" s="11" t="s">
        <v>17741</v>
      </c>
      <c r="I5411" s="11" t="s">
        <v>49033</v>
      </c>
      <c r="J5411" s="11" t="s">
        <v>49033</v>
      </c>
      <c r="K5411" s="9" t="s">
        <v>27344</v>
      </c>
      <c r="L5411" s="9" t="s">
        <v>18396</v>
      </c>
      <c r="M5411" s="9" t="s">
        <v>49034</v>
      </c>
      <c r="N5411" s="9" t="s">
        <v>17746</v>
      </c>
      <c r="O5411" s="9" t="s">
        <v>3309</v>
      </c>
      <c r="P5411" s="9" t="s">
        <v>17748</v>
      </c>
      <c r="Q5411" s="11" t="s">
        <v>19335</v>
      </c>
      <c r="R5411" s="11" t="s">
        <v>19335</v>
      </c>
      <c r="S5411" s="11" t="s">
        <v>17750</v>
      </c>
    </row>
    <row r="5412" spans="1:19" x14ac:dyDescent="0.2">
      <c r="A5412" s="11" t="s">
        <v>49035</v>
      </c>
      <c r="B5412" s="9" t="s">
        <v>49036</v>
      </c>
      <c r="C5412" s="9" t="s">
        <v>49037</v>
      </c>
      <c r="D5412" s="9" t="s">
        <v>49038</v>
      </c>
      <c r="E5412" s="9" t="s">
        <v>17748</v>
      </c>
      <c r="F5412" s="9" t="s">
        <v>49039</v>
      </c>
      <c r="G5412" s="9" t="s">
        <v>17740</v>
      </c>
      <c r="H5412" s="11" t="s">
        <v>17741</v>
      </c>
      <c r="I5412" s="11" t="s">
        <v>10739</v>
      </c>
      <c r="J5412" s="11" t="s">
        <v>10739</v>
      </c>
      <c r="K5412" s="9" t="s">
        <v>724</v>
      </c>
      <c r="L5412" s="9" t="s">
        <v>17744</v>
      </c>
      <c r="M5412" s="9" t="s">
        <v>17769</v>
      </c>
      <c r="N5412" s="9" t="s">
        <v>17746</v>
      </c>
      <c r="O5412" s="9" t="s">
        <v>18846</v>
      </c>
      <c r="P5412" s="9" t="s">
        <v>17748</v>
      </c>
      <c r="Q5412" s="11" t="s">
        <v>17984</v>
      </c>
      <c r="R5412" s="11" t="s">
        <v>17984</v>
      </c>
      <c r="S5412" s="11" t="s">
        <v>17750</v>
      </c>
    </row>
    <row r="5413" spans="1:19" x14ac:dyDescent="0.2">
      <c r="A5413" s="11" t="s">
        <v>49040</v>
      </c>
      <c r="B5413" s="9" t="s">
        <v>49041</v>
      </c>
      <c r="C5413" s="9" t="s">
        <v>49042</v>
      </c>
      <c r="D5413" s="9" t="s">
        <v>49043</v>
      </c>
      <c r="E5413" s="9" t="s">
        <v>17740</v>
      </c>
      <c r="F5413" s="9" t="s">
        <v>49044</v>
      </c>
      <c r="G5413" s="9" t="s">
        <v>17740</v>
      </c>
      <c r="H5413" s="11" t="s">
        <v>49045</v>
      </c>
      <c r="I5413" s="11" t="s">
        <v>49046</v>
      </c>
      <c r="J5413" s="11" t="s">
        <v>49046</v>
      </c>
      <c r="K5413" s="9" t="s">
        <v>49047</v>
      </c>
      <c r="L5413" s="9" t="s">
        <v>17759</v>
      </c>
      <c r="M5413" s="9" t="s">
        <v>17769</v>
      </c>
      <c r="N5413" s="9" t="s">
        <v>17746</v>
      </c>
      <c r="O5413" s="9" t="s">
        <v>38199</v>
      </c>
      <c r="P5413" s="9" t="s">
        <v>17748</v>
      </c>
      <c r="Q5413" s="11" t="s">
        <v>17808</v>
      </c>
      <c r="R5413" s="11" t="s">
        <v>17808</v>
      </c>
      <c r="S5413" s="11" t="s">
        <v>17750</v>
      </c>
    </row>
    <row r="5414" spans="1:19" x14ac:dyDescent="0.2">
      <c r="A5414" s="11" t="s">
        <v>49048</v>
      </c>
      <c r="B5414" s="9" t="s">
        <v>49049</v>
      </c>
      <c r="C5414" s="9" t="s">
        <v>49050</v>
      </c>
      <c r="D5414" s="9" t="s">
        <v>49051</v>
      </c>
      <c r="E5414" s="9" t="s">
        <v>17740</v>
      </c>
      <c r="F5414" s="9" t="s">
        <v>49052</v>
      </c>
      <c r="G5414" s="9" t="s">
        <v>17740</v>
      </c>
      <c r="H5414" s="11" t="s">
        <v>49053</v>
      </c>
      <c r="I5414" s="11" t="s">
        <v>49054</v>
      </c>
      <c r="J5414" s="11" t="s">
        <v>49054</v>
      </c>
      <c r="K5414" s="9" t="s">
        <v>49055</v>
      </c>
      <c r="L5414" s="9" t="s">
        <v>18305</v>
      </c>
      <c r="M5414" s="9" t="s">
        <v>23186</v>
      </c>
      <c r="N5414" s="9" t="s">
        <v>26962</v>
      </c>
      <c r="O5414" s="9" t="s">
        <v>17993</v>
      </c>
      <c r="P5414" s="9" t="s">
        <v>17748</v>
      </c>
      <c r="Q5414" s="11" t="s">
        <v>49056</v>
      </c>
      <c r="R5414" s="11" t="s">
        <v>49056</v>
      </c>
      <c r="S5414" s="11" t="s">
        <v>17750</v>
      </c>
    </row>
    <row r="5415" spans="1:19" x14ac:dyDescent="0.2">
      <c r="A5415" s="11" t="s">
        <v>49057</v>
      </c>
      <c r="B5415" s="9" t="s">
        <v>49058</v>
      </c>
      <c r="C5415" s="9" t="s">
        <v>49059</v>
      </c>
      <c r="D5415" s="9" t="s">
        <v>49060</v>
      </c>
      <c r="E5415" s="9" t="s">
        <v>17740</v>
      </c>
      <c r="F5415" s="9" t="s">
        <v>17741</v>
      </c>
      <c r="G5415" s="9" t="s">
        <v>17740</v>
      </c>
      <c r="H5415" s="11" t="s">
        <v>17741</v>
      </c>
      <c r="I5415" s="11" t="s">
        <v>49061</v>
      </c>
      <c r="J5415" s="11" t="s">
        <v>49061</v>
      </c>
      <c r="K5415" s="9" t="s">
        <v>49062</v>
      </c>
      <c r="L5415" s="9" t="s">
        <v>20598</v>
      </c>
      <c r="M5415" s="9" t="s">
        <v>18051</v>
      </c>
      <c r="N5415" s="9" t="s">
        <v>36348</v>
      </c>
      <c r="O5415" s="9" t="s">
        <v>17747</v>
      </c>
      <c r="P5415" s="9" t="s">
        <v>17748</v>
      </c>
      <c r="Q5415" s="11" t="s">
        <v>18147</v>
      </c>
      <c r="R5415" s="11" t="s">
        <v>18147</v>
      </c>
      <c r="S5415" s="11" t="s">
        <v>17750</v>
      </c>
    </row>
    <row r="5416" spans="1:19" x14ac:dyDescent="0.2">
      <c r="A5416" s="11" t="s">
        <v>49063</v>
      </c>
      <c r="B5416" s="9" t="s">
        <v>49064</v>
      </c>
      <c r="C5416" s="9" t="s">
        <v>49065</v>
      </c>
      <c r="D5416" s="9" t="s">
        <v>49064</v>
      </c>
      <c r="E5416" s="9" t="s">
        <v>17740</v>
      </c>
      <c r="F5416" s="9" t="s">
        <v>49066</v>
      </c>
      <c r="G5416" s="9" t="s">
        <v>17740</v>
      </c>
      <c r="H5416" s="11" t="s">
        <v>17741</v>
      </c>
      <c r="I5416" s="11" t="s">
        <v>49067</v>
      </c>
      <c r="J5416" s="11" t="s">
        <v>49067</v>
      </c>
      <c r="K5416" s="9" t="s">
        <v>49068</v>
      </c>
      <c r="L5416" s="9" t="s">
        <v>18242</v>
      </c>
      <c r="M5416" s="9" t="s">
        <v>18211</v>
      </c>
      <c r="N5416" s="9" t="s">
        <v>21524</v>
      </c>
      <c r="O5416" s="9" t="s">
        <v>4048</v>
      </c>
      <c r="P5416" s="9" t="s">
        <v>17748</v>
      </c>
      <c r="Q5416" s="11" t="s">
        <v>18805</v>
      </c>
      <c r="R5416" s="11" t="s">
        <v>18805</v>
      </c>
      <c r="S5416" s="11" t="s">
        <v>17750</v>
      </c>
    </row>
    <row r="5417" spans="1:19" x14ac:dyDescent="0.2">
      <c r="A5417" s="11" t="s">
        <v>49069</v>
      </c>
      <c r="B5417" s="9" t="s">
        <v>49070</v>
      </c>
      <c r="C5417" s="9" t="s">
        <v>49071</v>
      </c>
      <c r="D5417" s="9" t="s">
        <v>49072</v>
      </c>
      <c r="E5417" s="9" t="s">
        <v>17740</v>
      </c>
      <c r="F5417" s="9" t="s">
        <v>49073</v>
      </c>
      <c r="G5417" s="9" t="s">
        <v>17740</v>
      </c>
      <c r="H5417" s="11" t="s">
        <v>17741</v>
      </c>
      <c r="I5417" s="11" t="s">
        <v>49074</v>
      </c>
      <c r="J5417" s="11" t="s">
        <v>49074</v>
      </c>
      <c r="K5417" s="9" t="s">
        <v>48965</v>
      </c>
      <c r="L5417" s="9" t="s">
        <v>29064</v>
      </c>
      <c r="M5417" s="9" t="s">
        <v>17769</v>
      </c>
      <c r="N5417" s="9" t="s">
        <v>20237</v>
      </c>
      <c r="O5417" s="9" t="s">
        <v>773</v>
      </c>
      <c r="P5417" s="9" t="s">
        <v>17748</v>
      </c>
      <c r="Q5417" s="11" t="s">
        <v>19335</v>
      </c>
      <c r="R5417" s="11" t="s">
        <v>19335</v>
      </c>
      <c r="S5417" s="11" t="s">
        <v>17750</v>
      </c>
    </row>
    <row r="5418" spans="1:19" x14ac:dyDescent="0.2">
      <c r="A5418" s="11" t="s">
        <v>49075</v>
      </c>
      <c r="B5418" s="9" t="s">
        <v>49076</v>
      </c>
      <c r="C5418" s="9" t="s">
        <v>49077</v>
      </c>
      <c r="D5418" s="9" t="s">
        <v>49078</v>
      </c>
      <c r="E5418" s="9" t="s">
        <v>17740</v>
      </c>
      <c r="F5418" s="9" t="s">
        <v>49079</v>
      </c>
      <c r="G5418" s="9" t="s">
        <v>17740</v>
      </c>
      <c r="H5418" s="11" t="s">
        <v>17741</v>
      </c>
      <c r="I5418" s="11" t="s">
        <v>4019</v>
      </c>
      <c r="J5418" s="11" t="s">
        <v>4019</v>
      </c>
      <c r="K5418" s="9" t="s">
        <v>4020</v>
      </c>
      <c r="L5418" s="9" t="s">
        <v>49080</v>
      </c>
      <c r="M5418" s="9" t="s">
        <v>18211</v>
      </c>
      <c r="N5418" s="9" t="s">
        <v>17746</v>
      </c>
      <c r="O5418" s="9" t="s">
        <v>17993</v>
      </c>
      <c r="P5418" s="9" t="s">
        <v>17748</v>
      </c>
      <c r="Q5418" s="11" t="s">
        <v>20789</v>
      </c>
      <c r="R5418" s="11" t="s">
        <v>20789</v>
      </c>
      <c r="S5418" s="11" t="s">
        <v>17750</v>
      </c>
    </row>
    <row r="5419" spans="1:19" x14ac:dyDescent="0.2">
      <c r="A5419" s="11" t="s">
        <v>49081</v>
      </c>
      <c r="B5419" s="9" t="s">
        <v>4015</v>
      </c>
      <c r="C5419" s="9" t="s">
        <v>49082</v>
      </c>
      <c r="D5419" s="9" t="s">
        <v>4015</v>
      </c>
      <c r="E5419" s="9" t="s">
        <v>17740</v>
      </c>
      <c r="F5419" s="9" t="s">
        <v>17741</v>
      </c>
      <c r="G5419" s="9" t="s">
        <v>17740</v>
      </c>
      <c r="H5419" s="11" t="s">
        <v>4017</v>
      </c>
      <c r="I5419" s="11" t="s">
        <v>4016</v>
      </c>
      <c r="J5419" s="11" t="s">
        <v>4016</v>
      </c>
      <c r="K5419" s="9" t="s">
        <v>91</v>
      </c>
      <c r="L5419" s="9" t="s">
        <v>18001</v>
      </c>
      <c r="M5419" s="9" t="s">
        <v>49083</v>
      </c>
      <c r="N5419" s="9" t="s">
        <v>17746</v>
      </c>
      <c r="O5419" s="9" t="s">
        <v>23061</v>
      </c>
      <c r="P5419" s="9" t="s">
        <v>17748</v>
      </c>
      <c r="Q5419" s="11" t="s">
        <v>18608</v>
      </c>
      <c r="R5419" s="11" t="s">
        <v>18608</v>
      </c>
      <c r="S5419" s="11" t="s">
        <v>17750</v>
      </c>
    </row>
    <row r="5420" spans="1:19" x14ac:dyDescent="0.2">
      <c r="A5420" s="11" t="s">
        <v>49084</v>
      </c>
      <c r="B5420" s="9" t="s">
        <v>49085</v>
      </c>
      <c r="C5420" s="9" t="s">
        <v>49086</v>
      </c>
      <c r="D5420" s="9" t="s">
        <v>49087</v>
      </c>
      <c r="E5420" s="9" t="s">
        <v>17740</v>
      </c>
      <c r="F5420" s="9" t="s">
        <v>17741</v>
      </c>
      <c r="G5420" s="9" t="s">
        <v>17740</v>
      </c>
      <c r="H5420" s="11" t="s">
        <v>49088</v>
      </c>
      <c r="I5420" s="11" t="s">
        <v>49089</v>
      </c>
      <c r="J5420" s="11" t="s">
        <v>49089</v>
      </c>
      <c r="K5420" s="9" t="s">
        <v>49090</v>
      </c>
      <c r="L5420" s="9" t="s">
        <v>18158</v>
      </c>
      <c r="M5420" s="9" t="s">
        <v>17769</v>
      </c>
      <c r="N5420" s="9" t="s">
        <v>17746</v>
      </c>
      <c r="O5420" s="9" t="s">
        <v>23061</v>
      </c>
      <c r="P5420" s="9" t="s">
        <v>17748</v>
      </c>
      <c r="Q5420" s="11" t="s">
        <v>19222</v>
      </c>
      <c r="R5420" s="11" t="s">
        <v>19222</v>
      </c>
      <c r="S5420" s="11" t="s">
        <v>17750</v>
      </c>
    </row>
    <row r="5421" spans="1:19" x14ac:dyDescent="0.2">
      <c r="A5421" s="11" t="s">
        <v>49091</v>
      </c>
      <c r="B5421" s="9" t="s">
        <v>49092</v>
      </c>
      <c r="C5421" s="9" t="s">
        <v>49093</v>
      </c>
      <c r="D5421" s="9" t="s">
        <v>49094</v>
      </c>
      <c r="E5421" s="9" t="s">
        <v>17740</v>
      </c>
      <c r="F5421" s="9" t="s">
        <v>17741</v>
      </c>
      <c r="G5421" s="9" t="s">
        <v>17740</v>
      </c>
      <c r="H5421" s="11" t="s">
        <v>49095</v>
      </c>
      <c r="I5421" s="11" t="s">
        <v>49096</v>
      </c>
      <c r="J5421" s="11" t="s">
        <v>49096</v>
      </c>
      <c r="K5421" s="9" t="s">
        <v>18520</v>
      </c>
      <c r="L5421" s="9" t="s">
        <v>17744</v>
      </c>
      <c r="M5421" s="9" t="s">
        <v>17760</v>
      </c>
      <c r="N5421" s="9" t="s">
        <v>17746</v>
      </c>
      <c r="O5421" s="9" t="s">
        <v>23061</v>
      </c>
      <c r="P5421" s="9" t="s">
        <v>17748</v>
      </c>
      <c r="Q5421" s="11" t="s">
        <v>18251</v>
      </c>
      <c r="R5421" s="11" t="s">
        <v>18251</v>
      </c>
      <c r="S5421" s="11" t="s">
        <v>17750</v>
      </c>
    </row>
    <row r="5422" spans="1:19" x14ac:dyDescent="0.2">
      <c r="A5422" s="11" t="s">
        <v>49097</v>
      </c>
      <c r="B5422" s="9" t="s">
        <v>49098</v>
      </c>
      <c r="C5422" s="9" t="s">
        <v>49099</v>
      </c>
      <c r="D5422" s="9" t="s">
        <v>49098</v>
      </c>
      <c r="E5422" s="9" t="s">
        <v>17740</v>
      </c>
      <c r="F5422" s="9" t="s">
        <v>17741</v>
      </c>
      <c r="G5422" s="9" t="s">
        <v>17740</v>
      </c>
      <c r="H5422" s="11" t="s">
        <v>49100</v>
      </c>
      <c r="I5422" s="11" t="s">
        <v>49101</v>
      </c>
      <c r="J5422" s="11" t="s">
        <v>49101</v>
      </c>
      <c r="K5422" s="9" t="s">
        <v>18661</v>
      </c>
      <c r="L5422" s="9" t="s">
        <v>18001</v>
      </c>
      <c r="M5422" s="9" t="s">
        <v>21361</v>
      </c>
      <c r="N5422" s="9" t="s">
        <v>17746</v>
      </c>
      <c r="O5422" s="9" t="s">
        <v>23061</v>
      </c>
      <c r="P5422" s="9" t="s">
        <v>17748</v>
      </c>
      <c r="Q5422" s="11" t="s">
        <v>17849</v>
      </c>
      <c r="R5422" s="11" t="s">
        <v>17849</v>
      </c>
      <c r="S5422" s="11" t="s">
        <v>17750</v>
      </c>
    </row>
    <row r="5423" spans="1:19" x14ac:dyDescent="0.2">
      <c r="A5423" s="11" t="s">
        <v>49102</v>
      </c>
      <c r="B5423" s="9" t="s">
        <v>49103</v>
      </c>
      <c r="C5423" s="9" t="s">
        <v>49104</v>
      </c>
      <c r="D5423" s="9" t="s">
        <v>49105</v>
      </c>
      <c r="E5423" s="9" t="s">
        <v>17740</v>
      </c>
      <c r="F5423" s="9" t="s">
        <v>17741</v>
      </c>
      <c r="G5423" s="9" t="s">
        <v>17740</v>
      </c>
      <c r="H5423" s="11" t="s">
        <v>7880</v>
      </c>
      <c r="I5423" s="11" t="s">
        <v>7879</v>
      </c>
      <c r="J5423" s="11" t="s">
        <v>7879</v>
      </c>
      <c r="K5423" s="9" t="s">
        <v>18661</v>
      </c>
      <c r="L5423" s="9" t="s">
        <v>18001</v>
      </c>
      <c r="M5423" s="9" t="s">
        <v>22360</v>
      </c>
      <c r="N5423" s="9" t="s">
        <v>17746</v>
      </c>
      <c r="O5423" s="9" t="s">
        <v>23061</v>
      </c>
      <c r="P5423" s="9" t="s">
        <v>17748</v>
      </c>
      <c r="Q5423" s="11" t="s">
        <v>17808</v>
      </c>
      <c r="R5423" s="11" t="s">
        <v>17808</v>
      </c>
      <c r="S5423" s="11" t="s">
        <v>17750</v>
      </c>
    </row>
    <row r="5424" spans="1:19" x14ac:dyDescent="0.2">
      <c r="A5424" s="11" t="s">
        <v>49106</v>
      </c>
      <c r="B5424" s="9" t="s">
        <v>49107</v>
      </c>
      <c r="C5424" s="9" t="s">
        <v>49108</v>
      </c>
      <c r="D5424" s="9" t="s">
        <v>49109</v>
      </c>
      <c r="E5424" s="9" t="s">
        <v>17740</v>
      </c>
      <c r="F5424" s="9" t="s">
        <v>17741</v>
      </c>
      <c r="G5424" s="9" t="s">
        <v>17740</v>
      </c>
      <c r="H5424" s="11" t="s">
        <v>4033</v>
      </c>
      <c r="I5424" s="11" t="s">
        <v>4032</v>
      </c>
      <c r="J5424" s="11" t="s">
        <v>4032</v>
      </c>
      <c r="K5424" s="9" t="s">
        <v>38888</v>
      </c>
      <c r="L5424" s="9" t="s">
        <v>17744</v>
      </c>
      <c r="M5424" s="9" t="s">
        <v>18699</v>
      </c>
      <c r="N5424" s="9" t="s">
        <v>17746</v>
      </c>
      <c r="O5424" s="9" t="s">
        <v>23061</v>
      </c>
      <c r="P5424" s="9" t="s">
        <v>17748</v>
      </c>
      <c r="Q5424" s="11" t="s">
        <v>18243</v>
      </c>
      <c r="R5424" s="11" t="s">
        <v>18243</v>
      </c>
      <c r="S5424" s="11" t="s">
        <v>17750</v>
      </c>
    </row>
    <row r="5425" spans="1:19" x14ac:dyDescent="0.2">
      <c r="A5425" s="11" t="s">
        <v>49110</v>
      </c>
      <c r="B5425" s="9" t="s">
        <v>49111</v>
      </c>
      <c r="C5425" s="9" t="s">
        <v>49112</v>
      </c>
      <c r="D5425" s="9" t="s">
        <v>49113</v>
      </c>
      <c r="E5425" s="9" t="s">
        <v>17740</v>
      </c>
      <c r="F5425" s="9" t="s">
        <v>17741</v>
      </c>
      <c r="G5425" s="9" t="s">
        <v>17740</v>
      </c>
      <c r="H5425" s="11" t="s">
        <v>49114</v>
      </c>
      <c r="I5425" s="11" t="s">
        <v>49115</v>
      </c>
      <c r="J5425" s="11" t="s">
        <v>49115</v>
      </c>
      <c r="K5425" s="9" t="s">
        <v>49116</v>
      </c>
      <c r="L5425" s="9" t="s">
        <v>17744</v>
      </c>
      <c r="M5425" s="9" t="s">
        <v>18289</v>
      </c>
      <c r="N5425" s="9" t="s">
        <v>17746</v>
      </c>
      <c r="O5425" s="9" t="s">
        <v>49117</v>
      </c>
      <c r="P5425" s="9" t="s">
        <v>17748</v>
      </c>
      <c r="Q5425" s="11" t="s">
        <v>18080</v>
      </c>
      <c r="R5425" s="11" t="s">
        <v>18080</v>
      </c>
      <c r="S5425" s="11" t="s">
        <v>17750</v>
      </c>
    </row>
    <row r="5426" spans="1:19" x14ac:dyDescent="0.2">
      <c r="A5426" s="11" t="s">
        <v>49118</v>
      </c>
      <c r="B5426" s="9" t="s">
        <v>49119</v>
      </c>
      <c r="C5426" s="9" t="s">
        <v>49120</v>
      </c>
      <c r="D5426" s="9" t="s">
        <v>49121</v>
      </c>
      <c r="E5426" s="9" t="s">
        <v>17740</v>
      </c>
      <c r="F5426" s="9" t="s">
        <v>49122</v>
      </c>
      <c r="G5426" s="9" t="s">
        <v>17740</v>
      </c>
      <c r="H5426" s="11" t="s">
        <v>4711</v>
      </c>
      <c r="I5426" s="11" t="s">
        <v>4710</v>
      </c>
      <c r="J5426" s="11" t="s">
        <v>4710</v>
      </c>
      <c r="K5426" s="9" t="s">
        <v>17758</v>
      </c>
      <c r="L5426" s="9" t="s">
        <v>17759</v>
      </c>
      <c r="M5426" s="9" t="s">
        <v>17760</v>
      </c>
      <c r="N5426" s="9" t="s">
        <v>17746</v>
      </c>
      <c r="O5426" s="9" t="s">
        <v>23061</v>
      </c>
      <c r="P5426" s="9" t="s">
        <v>17748</v>
      </c>
      <c r="Q5426" s="11" t="s">
        <v>18678</v>
      </c>
      <c r="R5426" s="11" t="s">
        <v>18678</v>
      </c>
      <c r="S5426" s="11" t="s">
        <v>17750</v>
      </c>
    </row>
    <row r="5427" spans="1:19" x14ac:dyDescent="0.2">
      <c r="A5427" s="11" t="s">
        <v>49123</v>
      </c>
      <c r="B5427" s="9" t="s">
        <v>49124</v>
      </c>
      <c r="C5427" s="9" t="s">
        <v>49125</v>
      </c>
      <c r="D5427" s="9" t="s">
        <v>49126</v>
      </c>
      <c r="E5427" s="9" t="s">
        <v>17740</v>
      </c>
      <c r="F5427" s="9" t="s">
        <v>17741</v>
      </c>
      <c r="G5427" s="9" t="s">
        <v>17740</v>
      </c>
      <c r="H5427" s="11" t="s">
        <v>49127</v>
      </c>
      <c r="I5427" s="11" t="s">
        <v>49128</v>
      </c>
      <c r="J5427" s="11" t="s">
        <v>49128</v>
      </c>
      <c r="K5427" s="9" t="s">
        <v>291</v>
      </c>
      <c r="L5427" s="9" t="s">
        <v>17744</v>
      </c>
      <c r="M5427" s="9" t="s">
        <v>43871</v>
      </c>
      <c r="N5427" s="9" t="s">
        <v>17746</v>
      </c>
      <c r="O5427" s="9" t="s">
        <v>19521</v>
      </c>
      <c r="P5427" s="9" t="s">
        <v>17748</v>
      </c>
      <c r="Q5427" s="11" t="s">
        <v>19222</v>
      </c>
      <c r="R5427" s="11" t="s">
        <v>19222</v>
      </c>
      <c r="S5427" s="11" t="s">
        <v>17750</v>
      </c>
    </row>
    <row r="5428" spans="1:19" x14ac:dyDescent="0.2">
      <c r="A5428" s="11" t="s">
        <v>49129</v>
      </c>
      <c r="B5428" s="9" t="s">
        <v>49130</v>
      </c>
      <c r="C5428" s="9" t="s">
        <v>49131</v>
      </c>
      <c r="D5428" s="9" t="s">
        <v>49132</v>
      </c>
      <c r="E5428" s="9" t="s">
        <v>17748</v>
      </c>
      <c r="F5428" s="9" t="s">
        <v>49133</v>
      </c>
      <c r="G5428" s="9" t="s">
        <v>17740</v>
      </c>
      <c r="H5428" s="11" t="s">
        <v>17741</v>
      </c>
      <c r="I5428" s="11" t="s">
        <v>9980</v>
      </c>
      <c r="J5428" s="11" t="s">
        <v>17741</v>
      </c>
      <c r="K5428" s="9" t="s">
        <v>49134</v>
      </c>
      <c r="L5428" s="9" t="s">
        <v>18396</v>
      </c>
      <c r="M5428" s="9" t="s">
        <v>17760</v>
      </c>
      <c r="N5428" s="9" t="s">
        <v>17746</v>
      </c>
      <c r="O5428" s="9" t="s">
        <v>24894</v>
      </c>
      <c r="P5428" s="9" t="s">
        <v>17748</v>
      </c>
      <c r="Q5428" s="11" t="s">
        <v>17858</v>
      </c>
      <c r="R5428" s="11" t="s">
        <v>17858</v>
      </c>
      <c r="S5428" s="11" t="s">
        <v>17750</v>
      </c>
    </row>
    <row r="5429" spans="1:19" x14ac:dyDescent="0.2">
      <c r="A5429" s="11" t="s">
        <v>49135</v>
      </c>
      <c r="B5429" s="9" t="s">
        <v>49136</v>
      </c>
      <c r="C5429" s="9" t="s">
        <v>49137</v>
      </c>
      <c r="D5429" s="9" t="s">
        <v>49138</v>
      </c>
      <c r="E5429" s="9" t="s">
        <v>17740</v>
      </c>
      <c r="F5429" s="9" t="s">
        <v>49139</v>
      </c>
      <c r="G5429" s="9" t="s">
        <v>17740</v>
      </c>
      <c r="H5429" s="11" t="s">
        <v>17741</v>
      </c>
      <c r="I5429" s="11" t="s">
        <v>49140</v>
      </c>
      <c r="J5429" s="11" t="s">
        <v>49140</v>
      </c>
      <c r="K5429" s="9" t="s">
        <v>49141</v>
      </c>
      <c r="L5429" s="9" t="s">
        <v>17759</v>
      </c>
      <c r="M5429" s="9" t="s">
        <v>22224</v>
      </c>
      <c r="N5429" s="9" t="s">
        <v>17746</v>
      </c>
      <c r="O5429" s="9" t="s">
        <v>49142</v>
      </c>
      <c r="P5429" s="9" t="s">
        <v>17748</v>
      </c>
      <c r="Q5429" s="11" t="s">
        <v>17792</v>
      </c>
      <c r="R5429" s="11" t="s">
        <v>17792</v>
      </c>
      <c r="S5429" s="11" t="s">
        <v>17750</v>
      </c>
    </row>
    <row r="5430" spans="1:19" x14ac:dyDescent="0.2">
      <c r="A5430" s="11" t="s">
        <v>49143</v>
      </c>
      <c r="B5430" s="9" t="s">
        <v>49144</v>
      </c>
      <c r="C5430" s="9" t="s">
        <v>49145</v>
      </c>
      <c r="D5430" s="9" t="s">
        <v>49146</v>
      </c>
      <c r="E5430" s="9" t="s">
        <v>17740</v>
      </c>
      <c r="F5430" s="9" t="s">
        <v>49147</v>
      </c>
      <c r="G5430" s="9" t="s">
        <v>17740</v>
      </c>
      <c r="H5430" s="11" t="s">
        <v>49148</v>
      </c>
      <c r="I5430" s="11" t="s">
        <v>49149</v>
      </c>
      <c r="J5430" s="11" t="s">
        <v>49149</v>
      </c>
      <c r="K5430" s="9" t="s">
        <v>167</v>
      </c>
      <c r="L5430" s="9" t="s">
        <v>18158</v>
      </c>
      <c r="M5430" s="9" t="s">
        <v>17817</v>
      </c>
      <c r="N5430" s="9" t="s">
        <v>18185</v>
      </c>
      <c r="O5430" s="9" t="s">
        <v>17866</v>
      </c>
      <c r="P5430" s="9" t="s">
        <v>17748</v>
      </c>
      <c r="Q5430" s="11" t="s">
        <v>18960</v>
      </c>
      <c r="R5430" s="11" t="s">
        <v>18960</v>
      </c>
      <c r="S5430" s="11" t="s">
        <v>17750</v>
      </c>
    </row>
    <row r="5431" spans="1:19" x14ac:dyDescent="0.2">
      <c r="A5431" s="11" t="s">
        <v>49150</v>
      </c>
      <c r="B5431" s="9" t="s">
        <v>49151</v>
      </c>
      <c r="C5431" s="9" t="s">
        <v>49152</v>
      </c>
      <c r="D5431" s="9" t="s">
        <v>49153</v>
      </c>
      <c r="E5431" s="9" t="s">
        <v>17748</v>
      </c>
      <c r="F5431" s="9" t="s">
        <v>49154</v>
      </c>
      <c r="G5431" s="9" t="s">
        <v>17740</v>
      </c>
      <c r="H5431" s="11" t="s">
        <v>49155</v>
      </c>
      <c r="I5431" s="11" t="s">
        <v>49156</v>
      </c>
      <c r="J5431" s="11" t="s">
        <v>49156</v>
      </c>
      <c r="K5431" s="9" t="s">
        <v>25135</v>
      </c>
      <c r="L5431" s="9" t="s">
        <v>17991</v>
      </c>
      <c r="M5431" s="9" t="s">
        <v>32424</v>
      </c>
      <c r="N5431" s="9" t="s">
        <v>17746</v>
      </c>
      <c r="O5431" s="9" t="s">
        <v>18035</v>
      </c>
      <c r="P5431" s="9" t="s">
        <v>17748</v>
      </c>
      <c r="Q5431" s="11" t="s">
        <v>17900</v>
      </c>
      <c r="R5431" s="11" t="s">
        <v>17900</v>
      </c>
      <c r="S5431" s="11" t="s">
        <v>17750</v>
      </c>
    </row>
    <row r="5432" spans="1:19" x14ac:dyDescent="0.2">
      <c r="A5432" s="11" t="s">
        <v>49157</v>
      </c>
      <c r="B5432" s="9" t="s">
        <v>49158</v>
      </c>
      <c r="C5432" s="9" t="s">
        <v>49159</v>
      </c>
      <c r="D5432" s="9" t="s">
        <v>49160</v>
      </c>
      <c r="E5432" s="9" t="s">
        <v>17748</v>
      </c>
      <c r="F5432" s="9" t="s">
        <v>17741</v>
      </c>
      <c r="G5432" s="9" t="s">
        <v>17740</v>
      </c>
      <c r="H5432" s="11" t="s">
        <v>49161</v>
      </c>
      <c r="I5432" s="11" t="s">
        <v>49162</v>
      </c>
      <c r="J5432" s="11" t="s">
        <v>49162</v>
      </c>
      <c r="K5432" s="9" t="s">
        <v>291</v>
      </c>
    </row>
    <row r="5433" spans="1:19" x14ac:dyDescent="0.2">
      <c r="A5433" s="11" t="s">
        <v>49163</v>
      </c>
      <c r="B5433" s="9" t="s">
        <v>49164</v>
      </c>
      <c r="C5433" s="9" t="s">
        <v>49165</v>
      </c>
      <c r="D5433" s="9" t="s">
        <v>49166</v>
      </c>
      <c r="E5433" s="9" t="s">
        <v>17740</v>
      </c>
      <c r="F5433" s="9" t="s">
        <v>17741</v>
      </c>
      <c r="G5433" s="9" t="s">
        <v>17740</v>
      </c>
      <c r="H5433" s="11" t="s">
        <v>17741</v>
      </c>
      <c r="I5433" s="11" t="s">
        <v>49167</v>
      </c>
      <c r="J5433" s="11" t="s">
        <v>49167</v>
      </c>
      <c r="K5433" s="9" t="s">
        <v>49168</v>
      </c>
    </row>
    <row r="5434" spans="1:19" x14ac:dyDescent="0.2">
      <c r="A5434" s="11" t="s">
        <v>49169</v>
      </c>
      <c r="B5434" s="9" t="s">
        <v>17399</v>
      </c>
      <c r="C5434" s="9" t="s">
        <v>49170</v>
      </c>
      <c r="D5434" s="9" t="s">
        <v>17399</v>
      </c>
      <c r="E5434" s="9" t="s">
        <v>17748</v>
      </c>
      <c r="F5434" s="9" t="s">
        <v>49171</v>
      </c>
      <c r="G5434" s="9" t="s">
        <v>17740</v>
      </c>
      <c r="H5434" s="11" t="s">
        <v>17401</v>
      </c>
      <c r="I5434" s="11" t="s">
        <v>17400</v>
      </c>
      <c r="J5434" s="11" t="s">
        <v>17400</v>
      </c>
      <c r="K5434" s="9" t="s">
        <v>17741</v>
      </c>
      <c r="L5434" s="9" t="s">
        <v>18158</v>
      </c>
      <c r="M5434" s="9" t="s">
        <v>17741</v>
      </c>
      <c r="N5434" s="9" t="s">
        <v>17746</v>
      </c>
      <c r="O5434" s="9" t="s">
        <v>4025</v>
      </c>
      <c r="P5434" s="9" t="s">
        <v>17748</v>
      </c>
      <c r="Q5434" s="11" t="s">
        <v>18089</v>
      </c>
      <c r="R5434" s="11" t="s">
        <v>18089</v>
      </c>
      <c r="S5434" s="11" t="s">
        <v>17750</v>
      </c>
    </row>
    <row r="5435" spans="1:19" x14ac:dyDescent="0.2">
      <c r="A5435" s="11" t="s">
        <v>49172</v>
      </c>
      <c r="B5435" s="9" t="s">
        <v>49173</v>
      </c>
      <c r="C5435" s="9" t="s">
        <v>49174</v>
      </c>
      <c r="D5435" s="9" t="s">
        <v>49175</v>
      </c>
      <c r="E5435" s="9" t="s">
        <v>17740</v>
      </c>
      <c r="F5435" s="9" t="s">
        <v>49176</v>
      </c>
      <c r="G5435" s="9" t="s">
        <v>17740</v>
      </c>
      <c r="H5435" s="11" t="s">
        <v>4024</v>
      </c>
      <c r="I5435" s="11" t="s">
        <v>4023</v>
      </c>
      <c r="J5435" s="11" t="s">
        <v>4023</v>
      </c>
      <c r="K5435" s="9" t="s">
        <v>18727</v>
      </c>
      <c r="L5435" s="9" t="s">
        <v>18158</v>
      </c>
      <c r="M5435" s="9" t="s">
        <v>27840</v>
      </c>
      <c r="N5435" s="9" t="s">
        <v>18185</v>
      </c>
      <c r="O5435" s="9" t="s">
        <v>4025</v>
      </c>
      <c r="P5435" s="9" t="s">
        <v>17748</v>
      </c>
      <c r="Q5435" s="11" t="s">
        <v>18282</v>
      </c>
      <c r="R5435" s="11" t="s">
        <v>18282</v>
      </c>
      <c r="S5435" s="11" t="s">
        <v>17750</v>
      </c>
    </row>
    <row r="5436" spans="1:19" x14ac:dyDescent="0.2">
      <c r="A5436" s="11" t="s">
        <v>49177</v>
      </c>
      <c r="B5436" s="9" t="s">
        <v>11210</v>
      </c>
      <c r="C5436" s="9" t="s">
        <v>49178</v>
      </c>
      <c r="D5436" s="9" t="s">
        <v>11210</v>
      </c>
      <c r="E5436" s="9" t="s">
        <v>17740</v>
      </c>
      <c r="F5436" s="9" t="s">
        <v>17741</v>
      </c>
      <c r="G5436" s="9" t="s">
        <v>17740</v>
      </c>
      <c r="H5436" s="11" t="s">
        <v>17741</v>
      </c>
      <c r="I5436" s="11" t="s">
        <v>49179</v>
      </c>
      <c r="J5436" s="11" t="s">
        <v>49179</v>
      </c>
      <c r="K5436" s="9" t="s">
        <v>49180</v>
      </c>
      <c r="L5436" s="9" t="s">
        <v>17991</v>
      </c>
      <c r="M5436" s="9" t="s">
        <v>17778</v>
      </c>
      <c r="N5436" s="9" t="s">
        <v>20424</v>
      </c>
      <c r="O5436" s="9" t="s">
        <v>4025</v>
      </c>
      <c r="P5436" s="9" t="s">
        <v>17748</v>
      </c>
      <c r="Q5436" s="11" t="s">
        <v>21012</v>
      </c>
      <c r="R5436" s="11" t="s">
        <v>21012</v>
      </c>
      <c r="S5436" s="11" t="s">
        <v>17750</v>
      </c>
    </row>
    <row r="5437" spans="1:19" x14ac:dyDescent="0.2">
      <c r="A5437" s="11" t="s">
        <v>49181</v>
      </c>
      <c r="B5437" s="9" t="s">
        <v>49182</v>
      </c>
      <c r="C5437" s="9" t="s">
        <v>49183</v>
      </c>
      <c r="D5437" s="9" t="s">
        <v>49184</v>
      </c>
      <c r="E5437" s="9" t="s">
        <v>17740</v>
      </c>
      <c r="F5437" s="9" t="s">
        <v>49185</v>
      </c>
      <c r="G5437" s="9" t="s">
        <v>17740</v>
      </c>
      <c r="H5437" s="11" t="s">
        <v>4030</v>
      </c>
      <c r="I5437" s="11" t="s">
        <v>4029</v>
      </c>
      <c r="J5437" s="11" t="s">
        <v>4029</v>
      </c>
      <c r="K5437" s="9" t="s">
        <v>18122</v>
      </c>
      <c r="L5437" s="9" t="s">
        <v>18123</v>
      </c>
      <c r="M5437" s="9" t="s">
        <v>49186</v>
      </c>
      <c r="N5437" s="9" t="s">
        <v>17746</v>
      </c>
      <c r="O5437" s="9" t="s">
        <v>4025</v>
      </c>
      <c r="P5437" s="9" t="s">
        <v>17748</v>
      </c>
      <c r="Q5437" s="11" t="s">
        <v>21569</v>
      </c>
      <c r="R5437" s="11" t="s">
        <v>21569</v>
      </c>
      <c r="S5437" s="11" t="s">
        <v>17750</v>
      </c>
    </row>
    <row r="5438" spans="1:19" x14ac:dyDescent="0.2">
      <c r="A5438" s="11" t="s">
        <v>49187</v>
      </c>
      <c r="B5438" s="9" t="s">
        <v>49188</v>
      </c>
      <c r="C5438" s="9" t="s">
        <v>49189</v>
      </c>
      <c r="D5438" s="9" t="s">
        <v>49190</v>
      </c>
      <c r="E5438" s="9" t="s">
        <v>17740</v>
      </c>
      <c r="F5438" s="9" t="s">
        <v>17741</v>
      </c>
      <c r="G5438" s="9" t="s">
        <v>17740</v>
      </c>
      <c r="H5438" s="11" t="s">
        <v>4014</v>
      </c>
      <c r="I5438" s="11" t="s">
        <v>4013</v>
      </c>
      <c r="J5438" s="11" t="s">
        <v>4013</v>
      </c>
      <c r="K5438" s="9" t="s">
        <v>19775</v>
      </c>
      <c r="L5438" s="9" t="s">
        <v>17759</v>
      </c>
      <c r="M5438" s="9" t="s">
        <v>17760</v>
      </c>
      <c r="N5438" s="9" t="s">
        <v>17746</v>
      </c>
      <c r="O5438" s="9" t="s">
        <v>4025</v>
      </c>
      <c r="P5438" s="9" t="s">
        <v>17748</v>
      </c>
      <c r="Q5438" s="11" t="s">
        <v>17771</v>
      </c>
      <c r="R5438" s="11" t="s">
        <v>17771</v>
      </c>
      <c r="S5438" s="11" t="s">
        <v>17750</v>
      </c>
    </row>
    <row r="5439" spans="1:19" x14ac:dyDescent="0.2">
      <c r="A5439" s="11" t="s">
        <v>49191</v>
      </c>
      <c r="B5439" s="9" t="s">
        <v>49192</v>
      </c>
      <c r="C5439" s="9" t="s">
        <v>49193</v>
      </c>
      <c r="D5439" s="9" t="s">
        <v>49194</v>
      </c>
      <c r="E5439" s="9" t="s">
        <v>17740</v>
      </c>
      <c r="F5439" s="9" t="s">
        <v>17741</v>
      </c>
      <c r="G5439" s="9" t="s">
        <v>17740</v>
      </c>
      <c r="H5439" s="11" t="s">
        <v>17741</v>
      </c>
      <c r="I5439" s="11" t="s">
        <v>49195</v>
      </c>
      <c r="J5439" s="11" t="s">
        <v>49195</v>
      </c>
      <c r="K5439" s="9" t="s">
        <v>49196</v>
      </c>
      <c r="L5439" s="9" t="s">
        <v>17759</v>
      </c>
      <c r="M5439" s="9" t="s">
        <v>17769</v>
      </c>
      <c r="N5439" s="9" t="s">
        <v>17746</v>
      </c>
      <c r="O5439" s="9" t="s">
        <v>49197</v>
      </c>
      <c r="P5439" s="9" t="s">
        <v>17748</v>
      </c>
      <c r="Q5439" s="11" t="s">
        <v>18678</v>
      </c>
      <c r="R5439" s="11" t="s">
        <v>18678</v>
      </c>
      <c r="S5439" s="11" t="s">
        <v>17750</v>
      </c>
    </row>
    <row r="5440" spans="1:19" x14ac:dyDescent="0.2">
      <c r="A5440" s="11" t="s">
        <v>49198</v>
      </c>
      <c r="B5440" s="9" t="s">
        <v>49199</v>
      </c>
      <c r="C5440" s="9" t="s">
        <v>49200</v>
      </c>
      <c r="D5440" s="9" t="s">
        <v>49201</v>
      </c>
      <c r="E5440" s="9" t="s">
        <v>17740</v>
      </c>
      <c r="F5440" s="9" t="s">
        <v>49202</v>
      </c>
      <c r="G5440" s="9" t="s">
        <v>17740</v>
      </c>
      <c r="H5440" s="11" t="s">
        <v>10153</v>
      </c>
      <c r="I5440" s="11" t="s">
        <v>10152</v>
      </c>
      <c r="J5440" s="11" t="s">
        <v>10152</v>
      </c>
      <c r="K5440" s="9" t="s">
        <v>91</v>
      </c>
      <c r="L5440" s="9" t="s">
        <v>17759</v>
      </c>
      <c r="M5440" s="9" t="s">
        <v>49203</v>
      </c>
      <c r="N5440" s="9" t="s">
        <v>17746</v>
      </c>
      <c r="O5440" s="9" t="s">
        <v>25294</v>
      </c>
      <c r="P5440" s="9" t="s">
        <v>17748</v>
      </c>
      <c r="Q5440" s="11" t="s">
        <v>19361</v>
      </c>
      <c r="R5440" s="11" t="s">
        <v>19361</v>
      </c>
      <c r="S5440" s="11" t="s">
        <v>17750</v>
      </c>
    </row>
    <row r="5441" spans="1:19" x14ac:dyDescent="0.2">
      <c r="A5441" s="11" t="s">
        <v>49204</v>
      </c>
      <c r="B5441" s="9" t="s">
        <v>49205</v>
      </c>
      <c r="C5441" s="9" t="s">
        <v>49206</v>
      </c>
      <c r="D5441" s="9" t="s">
        <v>49207</v>
      </c>
      <c r="E5441" s="9" t="s">
        <v>17748</v>
      </c>
      <c r="F5441" s="9" t="s">
        <v>49208</v>
      </c>
      <c r="G5441" s="9" t="s">
        <v>17740</v>
      </c>
      <c r="H5441" s="11" t="s">
        <v>17741</v>
      </c>
      <c r="I5441" s="11" t="s">
        <v>49209</v>
      </c>
      <c r="J5441" s="11" t="s">
        <v>49209</v>
      </c>
      <c r="K5441" s="9" t="s">
        <v>45061</v>
      </c>
      <c r="L5441" s="9" t="s">
        <v>18854</v>
      </c>
      <c r="M5441" s="9" t="s">
        <v>17769</v>
      </c>
      <c r="N5441" s="9" t="s">
        <v>20237</v>
      </c>
      <c r="O5441" s="9" t="s">
        <v>4025</v>
      </c>
      <c r="P5441" s="9" t="s">
        <v>17748</v>
      </c>
      <c r="Q5441" s="11" t="s">
        <v>18356</v>
      </c>
      <c r="R5441" s="11" t="s">
        <v>18356</v>
      </c>
      <c r="S5441" s="11" t="s">
        <v>17750</v>
      </c>
    </row>
    <row r="5442" spans="1:19" x14ac:dyDescent="0.2">
      <c r="A5442" s="11" t="s">
        <v>49210</v>
      </c>
      <c r="B5442" s="9" t="s">
        <v>4025</v>
      </c>
      <c r="C5442" s="9" t="s">
        <v>49211</v>
      </c>
      <c r="D5442" s="9" t="s">
        <v>4025</v>
      </c>
      <c r="E5442" s="9" t="s">
        <v>17740</v>
      </c>
      <c r="F5442" s="9" t="s">
        <v>17741</v>
      </c>
      <c r="G5442" s="9" t="s">
        <v>17740</v>
      </c>
      <c r="H5442" s="11" t="s">
        <v>4027</v>
      </c>
      <c r="I5442" s="11" t="s">
        <v>4026</v>
      </c>
      <c r="J5442" s="11" t="s">
        <v>4026</v>
      </c>
      <c r="K5442" s="9" t="s">
        <v>18661</v>
      </c>
      <c r="L5442" s="9" t="s">
        <v>17759</v>
      </c>
      <c r="M5442" s="9" t="s">
        <v>17817</v>
      </c>
      <c r="N5442" s="9" t="s">
        <v>17746</v>
      </c>
      <c r="O5442" s="9" t="s">
        <v>4025</v>
      </c>
      <c r="P5442" s="9" t="s">
        <v>17748</v>
      </c>
      <c r="Q5442" s="11" t="s">
        <v>18243</v>
      </c>
      <c r="R5442" s="11" t="s">
        <v>18243</v>
      </c>
      <c r="S5442" s="11" t="s">
        <v>17750</v>
      </c>
    </row>
    <row r="5443" spans="1:19" x14ac:dyDescent="0.2">
      <c r="A5443" s="11" t="s">
        <v>49212</v>
      </c>
      <c r="B5443" s="9" t="s">
        <v>49213</v>
      </c>
      <c r="C5443" s="9" t="s">
        <v>49214</v>
      </c>
      <c r="D5443" s="9" t="s">
        <v>49215</v>
      </c>
      <c r="E5443" s="9" t="s">
        <v>17740</v>
      </c>
      <c r="F5443" s="9" t="s">
        <v>17741</v>
      </c>
      <c r="G5443" s="9" t="s">
        <v>17740</v>
      </c>
      <c r="H5443" s="11" t="s">
        <v>49216</v>
      </c>
      <c r="I5443" s="11" t="s">
        <v>49217</v>
      </c>
      <c r="J5443" s="11" t="s">
        <v>49217</v>
      </c>
      <c r="K5443" s="9" t="s">
        <v>49218</v>
      </c>
      <c r="L5443" s="9" t="s">
        <v>18232</v>
      </c>
      <c r="M5443" s="9" t="s">
        <v>19768</v>
      </c>
      <c r="N5443" s="9" t="s">
        <v>17746</v>
      </c>
      <c r="O5443" s="9" t="s">
        <v>4025</v>
      </c>
      <c r="P5443" s="9" t="s">
        <v>17748</v>
      </c>
      <c r="Q5443" s="11" t="s">
        <v>17780</v>
      </c>
      <c r="R5443" s="11" t="s">
        <v>17780</v>
      </c>
      <c r="S5443" s="11" t="s">
        <v>17750</v>
      </c>
    </row>
    <row r="5444" spans="1:19" x14ac:dyDescent="0.2">
      <c r="A5444" s="11" t="s">
        <v>49219</v>
      </c>
      <c r="B5444" s="9" t="s">
        <v>49220</v>
      </c>
      <c r="C5444" s="9" t="s">
        <v>49221</v>
      </c>
      <c r="D5444" s="9" t="s">
        <v>49222</v>
      </c>
      <c r="E5444" s="9" t="s">
        <v>17740</v>
      </c>
      <c r="F5444" s="9" t="s">
        <v>17741</v>
      </c>
      <c r="G5444" s="9" t="s">
        <v>17740</v>
      </c>
      <c r="H5444" s="11" t="s">
        <v>17741</v>
      </c>
      <c r="I5444" s="11" t="s">
        <v>49223</v>
      </c>
      <c r="J5444" s="11" t="s">
        <v>49223</v>
      </c>
      <c r="K5444" s="9" t="s">
        <v>49224</v>
      </c>
      <c r="L5444" s="9" t="s">
        <v>18854</v>
      </c>
      <c r="M5444" s="9" t="s">
        <v>17760</v>
      </c>
      <c r="N5444" s="9" t="s">
        <v>20237</v>
      </c>
      <c r="O5444" s="9" t="s">
        <v>18481</v>
      </c>
      <c r="P5444" s="9" t="s">
        <v>17748</v>
      </c>
      <c r="Q5444" s="11" t="s">
        <v>18282</v>
      </c>
      <c r="R5444" s="11" t="s">
        <v>18282</v>
      </c>
      <c r="S5444" s="11" t="s">
        <v>17750</v>
      </c>
    </row>
    <row r="5445" spans="1:19" x14ac:dyDescent="0.2">
      <c r="A5445" s="11" t="s">
        <v>49225</v>
      </c>
      <c r="B5445" s="9" t="s">
        <v>4034</v>
      </c>
      <c r="C5445" s="9" t="s">
        <v>49226</v>
      </c>
      <c r="D5445" s="9" t="s">
        <v>4034</v>
      </c>
      <c r="E5445" s="9" t="s">
        <v>17740</v>
      </c>
      <c r="F5445" s="9" t="s">
        <v>17741</v>
      </c>
      <c r="G5445" s="9" t="s">
        <v>17740</v>
      </c>
      <c r="H5445" s="11" t="s">
        <v>4036</v>
      </c>
      <c r="I5445" s="11" t="s">
        <v>4035</v>
      </c>
      <c r="J5445" s="11" t="s">
        <v>4035</v>
      </c>
      <c r="K5445" s="9" t="s">
        <v>18661</v>
      </c>
      <c r="L5445" s="9" t="s">
        <v>18001</v>
      </c>
      <c r="M5445" s="9" t="s">
        <v>49227</v>
      </c>
      <c r="N5445" s="9" t="s">
        <v>17746</v>
      </c>
      <c r="O5445" s="9" t="s">
        <v>18882</v>
      </c>
      <c r="P5445" s="9" t="s">
        <v>17748</v>
      </c>
      <c r="Q5445" s="11" t="s">
        <v>17978</v>
      </c>
      <c r="R5445" s="11" t="s">
        <v>17978</v>
      </c>
      <c r="S5445" s="11" t="s">
        <v>17750</v>
      </c>
    </row>
    <row r="5446" spans="1:19" x14ac:dyDescent="0.2">
      <c r="A5446" s="11" t="s">
        <v>49228</v>
      </c>
      <c r="B5446" s="9" t="s">
        <v>49229</v>
      </c>
      <c r="C5446" s="9" t="s">
        <v>49230</v>
      </c>
      <c r="D5446" s="9" t="s">
        <v>49231</v>
      </c>
      <c r="E5446" s="9" t="s">
        <v>17740</v>
      </c>
      <c r="F5446" s="9" t="s">
        <v>17741</v>
      </c>
      <c r="G5446" s="9" t="s">
        <v>17740</v>
      </c>
      <c r="H5446" s="11" t="s">
        <v>8151</v>
      </c>
      <c r="I5446" s="11" t="s">
        <v>8150</v>
      </c>
      <c r="J5446" s="11" t="s">
        <v>8150</v>
      </c>
      <c r="K5446" s="9" t="s">
        <v>91</v>
      </c>
      <c r="L5446" s="9" t="s">
        <v>17759</v>
      </c>
      <c r="M5446" s="9" t="s">
        <v>19032</v>
      </c>
      <c r="N5446" s="9" t="s">
        <v>17746</v>
      </c>
      <c r="O5446" s="9" t="s">
        <v>49232</v>
      </c>
      <c r="P5446" s="9" t="s">
        <v>17748</v>
      </c>
      <c r="Q5446" s="11" t="s">
        <v>18798</v>
      </c>
      <c r="R5446" s="11" t="s">
        <v>18798</v>
      </c>
      <c r="S5446" s="11" t="s">
        <v>17750</v>
      </c>
    </row>
    <row r="5447" spans="1:19" x14ac:dyDescent="0.2">
      <c r="A5447" s="11" t="s">
        <v>49233</v>
      </c>
      <c r="B5447" s="9" t="s">
        <v>49234</v>
      </c>
      <c r="C5447" s="9" t="s">
        <v>49235</v>
      </c>
      <c r="D5447" s="9" t="s">
        <v>49236</v>
      </c>
      <c r="E5447" s="9" t="s">
        <v>17740</v>
      </c>
      <c r="F5447" s="9" t="s">
        <v>49237</v>
      </c>
      <c r="G5447" s="9" t="s">
        <v>17740</v>
      </c>
      <c r="H5447" s="11" t="s">
        <v>49238</v>
      </c>
      <c r="I5447" s="11" t="s">
        <v>4038</v>
      </c>
      <c r="J5447" s="11" t="s">
        <v>4038</v>
      </c>
      <c r="K5447" s="9" t="s">
        <v>32260</v>
      </c>
      <c r="L5447" s="9" t="s">
        <v>18123</v>
      </c>
      <c r="M5447" s="9" t="s">
        <v>27470</v>
      </c>
      <c r="N5447" s="9" t="s">
        <v>17746</v>
      </c>
      <c r="O5447" s="9" t="s">
        <v>19646</v>
      </c>
      <c r="P5447" s="9" t="s">
        <v>17748</v>
      </c>
      <c r="Q5447" s="11" t="s">
        <v>19082</v>
      </c>
      <c r="R5447" s="11" t="s">
        <v>19082</v>
      </c>
      <c r="S5447" s="11" t="s">
        <v>17750</v>
      </c>
    </row>
    <row r="5448" spans="1:19" x14ac:dyDescent="0.2">
      <c r="A5448" s="11" t="s">
        <v>49239</v>
      </c>
      <c r="B5448" s="9" t="s">
        <v>10236</v>
      </c>
      <c r="C5448" s="9" t="s">
        <v>49240</v>
      </c>
      <c r="D5448" s="9" t="s">
        <v>10236</v>
      </c>
      <c r="E5448" s="9" t="s">
        <v>17748</v>
      </c>
      <c r="F5448" s="9" t="s">
        <v>49241</v>
      </c>
      <c r="G5448" s="9" t="s">
        <v>17740</v>
      </c>
      <c r="H5448" s="11" t="s">
        <v>10238</v>
      </c>
      <c r="I5448" s="11" t="s">
        <v>10237</v>
      </c>
      <c r="J5448" s="11" t="s">
        <v>10237</v>
      </c>
      <c r="K5448" s="9" t="s">
        <v>18520</v>
      </c>
      <c r="L5448" s="9" t="s">
        <v>17744</v>
      </c>
      <c r="M5448" s="9" t="s">
        <v>17769</v>
      </c>
      <c r="N5448" s="9" t="s">
        <v>17746</v>
      </c>
      <c r="O5448" s="9" t="s">
        <v>32020</v>
      </c>
      <c r="P5448" s="9" t="s">
        <v>17748</v>
      </c>
      <c r="Q5448" s="11" t="s">
        <v>17780</v>
      </c>
      <c r="R5448" s="11" t="s">
        <v>17780</v>
      </c>
      <c r="S5448" s="11" t="s">
        <v>17750</v>
      </c>
    </row>
    <row r="5449" spans="1:19" x14ac:dyDescent="0.2">
      <c r="A5449" s="11" t="s">
        <v>49242</v>
      </c>
      <c r="B5449" s="9" t="s">
        <v>49243</v>
      </c>
      <c r="C5449" s="9" t="s">
        <v>49244</v>
      </c>
      <c r="D5449" s="9" t="s">
        <v>49245</v>
      </c>
      <c r="E5449" s="9" t="s">
        <v>17748</v>
      </c>
      <c r="F5449" s="9" t="s">
        <v>49246</v>
      </c>
      <c r="G5449" s="9" t="s">
        <v>17740</v>
      </c>
      <c r="H5449" s="11" t="s">
        <v>9434</v>
      </c>
      <c r="I5449" s="11" t="s">
        <v>9433</v>
      </c>
      <c r="J5449" s="11" t="s">
        <v>9433</v>
      </c>
      <c r="K5449" s="9" t="s">
        <v>19447</v>
      </c>
      <c r="L5449" s="9" t="s">
        <v>17759</v>
      </c>
      <c r="M5449" s="9" t="s">
        <v>49247</v>
      </c>
      <c r="N5449" s="9" t="s">
        <v>17746</v>
      </c>
      <c r="O5449" s="9" t="s">
        <v>32020</v>
      </c>
      <c r="P5449" s="9" t="s">
        <v>17748</v>
      </c>
      <c r="Q5449" s="11" t="s">
        <v>17994</v>
      </c>
      <c r="R5449" s="11" t="s">
        <v>17994</v>
      </c>
      <c r="S5449" s="11" t="s">
        <v>17750</v>
      </c>
    </row>
    <row r="5450" spans="1:19" x14ac:dyDescent="0.2">
      <c r="A5450" s="11" t="s">
        <v>49248</v>
      </c>
      <c r="B5450" s="9" t="s">
        <v>49249</v>
      </c>
      <c r="C5450" s="9" t="s">
        <v>49250</v>
      </c>
      <c r="D5450" s="9" t="s">
        <v>49251</v>
      </c>
      <c r="E5450" s="9" t="s">
        <v>17740</v>
      </c>
      <c r="F5450" s="9" t="s">
        <v>17741</v>
      </c>
      <c r="G5450" s="9" t="s">
        <v>17740</v>
      </c>
      <c r="H5450" s="11" t="s">
        <v>11123</v>
      </c>
      <c r="I5450" s="11" t="s">
        <v>11122</v>
      </c>
      <c r="J5450" s="11" t="s">
        <v>11122</v>
      </c>
      <c r="K5450" s="9" t="s">
        <v>25328</v>
      </c>
      <c r="L5450" s="9" t="s">
        <v>19483</v>
      </c>
      <c r="M5450" s="9" t="s">
        <v>17778</v>
      </c>
      <c r="N5450" s="9" t="s">
        <v>17746</v>
      </c>
      <c r="O5450" s="9" t="s">
        <v>19646</v>
      </c>
      <c r="P5450" s="9" t="s">
        <v>17748</v>
      </c>
      <c r="Q5450" s="11" t="s">
        <v>17984</v>
      </c>
      <c r="R5450" s="11" t="s">
        <v>17984</v>
      </c>
      <c r="S5450" s="11" t="s">
        <v>17750</v>
      </c>
    </row>
    <row r="5451" spans="1:19" x14ac:dyDescent="0.2">
      <c r="A5451" s="11" t="s">
        <v>49252</v>
      </c>
      <c r="B5451" s="9" t="s">
        <v>49253</v>
      </c>
      <c r="C5451" s="9" t="s">
        <v>49254</v>
      </c>
      <c r="D5451" s="9" t="s">
        <v>49255</v>
      </c>
      <c r="E5451" s="9" t="s">
        <v>17740</v>
      </c>
      <c r="F5451" s="9" t="s">
        <v>49256</v>
      </c>
      <c r="G5451" s="9" t="s">
        <v>17740</v>
      </c>
      <c r="H5451" s="11" t="s">
        <v>6997</v>
      </c>
      <c r="I5451" s="11" t="s">
        <v>6996</v>
      </c>
      <c r="J5451" s="11" t="s">
        <v>6996</v>
      </c>
      <c r="K5451" s="9" t="s">
        <v>21721</v>
      </c>
      <c r="L5451" s="9" t="s">
        <v>17744</v>
      </c>
      <c r="M5451" s="9" t="s">
        <v>25199</v>
      </c>
      <c r="N5451" s="9" t="s">
        <v>17746</v>
      </c>
      <c r="O5451" s="9" t="s">
        <v>19646</v>
      </c>
      <c r="P5451" s="9" t="s">
        <v>17748</v>
      </c>
      <c r="Q5451" s="11" t="s">
        <v>18201</v>
      </c>
      <c r="R5451" s="11" t="s">
        <v>18201</v>
      </c>
      <c r="S5451" s="11" t="s">
        <v>17750</v>
      </c>
    </row>
    <row r="5452" spans="1:19" x14ac:dyDescent="0.2">
      <c r="A5452" s="11" t="s">
        <v>49257</v>
      </c>
      <c r="B5452" s="9" t="s">
        <v>49258</v>
      </c>
      <c r="C5452" s="9" t="s">
        <v>49259</v>
      </c>
      <c r="D5452" s="9" t="s">
        <v>49260</v>
      </c>
      <c r="E5452" s="9" t="s">
        <v>17748</v>
      </c>
      <c r="F5452" s="9" t="s">
        <v>49261</v>
      </c>
      <c r="G5452" s="9" t="s">
        <v>17740</v>
      </c>
      <c r="H5452" s="11" t="s">
        <v>9568</v>
      </c>
      <c r="I5452" s="11" t="s">
        <v>9567</v>
      </c>
      <c r="J5452" s="11" t="s">
        <v>9567</v>
      </c>
      <c r="K5452" s="9" t="s">
        <v>18661</v>
      </c>
      <c r="L5452" s="9" t="s">
        <v>17759</v>
      </c>
      <c r="M5452" s="9" t="s">
        <v>17817</v>
      </c>
      <c r="N5452" s="9" t="s">
        <v>17746</v>
      </c>
      <c r="O5452" s="9" t="s">
        <v>26879</v>
      </c>
      <c r="P5452" s="9" t="s">
        <v>17748</v>
      </c>
      <c r="Q5452" s="11" t="s">
        <v>17994</v>
      </c>
      <c r="R5452" s="11" t="s">
        <v>17994</v>
      </c>
      <c r="S5452" s="11" t="s">
        <v>17750</v>
      </c>
    </row>
    <row r="5453" spans="1:19" x14ac:dyDescent="0.2">
      <c r="A5453" s="11" t="s">
        <v>49262</v>
      </c>
      <c r="B5453" s="9" t="s">
        <v>49263</v>
      </c>
      <c r="C5453" s="9" t="s">
        <v>49264</v>
      </c>
      <c r="D5453" s="9" t="s">
        <v>49265</v>
      </c>
      <c r="E5453" s="9" t="s">
        <v>17740</v>
      </c>
      <c r="F5453" s="9" t="s">
        <v>17741</v>
      </c>
      <c r="G5453" s="9" t="s">
        <v>17740</v>
      </c>
      <c r="H5453" s="11" t="s">
        <v>9906</v>
      </c>
      <c r="I5453" s="11" t="s">
        <v>9905</v>
      </c>
      <c r="J5453" s="11" t="s">
        <v>9905</v>
      </c>
      <c r="K5453" s="9" t="s">
        <v>19180</v>
      </c>
      <c r="L5453" s="9" t="s">
        <v>17759</v>
      </c>
      <c r="M5453" s="9" t="s">
        <v>26122</v>
      </c>
      <c r="N5453" s="9" t="s">
        <v>17746</v>
      </c>
      <c r="O5453" s="9" t="s">
        <v>49266</v>
      </c>
      <c r="P5453" s="9" t="s">
        <v>17748</v>
      </c>
      <c r="Q5453" s="11" t="s">
        <v>18922</v>
      </c>
      <c r="R5453" s="11" t="s">
        <v>18922</v>
      </c>
      <c r="S5453" s="11" t="s">
        <v>17750</v>
      </c>
    </row>
    <row r="5454" spans="1:19" x14ac:dyDescent="0.2">
      <c r="A5454" s="11" t="s">
        <v>49267</v>
      </c>
      <c r="B5454" s="9" t="s">
        <v>49268</v>
      </c>
      <c r="C5454" s="9" t="s">
        <v>49269</v>
      </c>
      <c r="D5454" s="9" t="s">
        <v>49270</v>
      </c>
      <c r="E5454" s="9" t="s">
        <v>17740</v>
      </c>
      <c r="F5454" s="9" t="s">
        <v>49271</v>
      </c>
      <c r="G5454" s="9" t="s">
        <v>17740</v>
      </c>
      <c r="H5454" s="11" t="s">
        <v>17741</v>
      </c>
      <c r="I5454" s="11" t="s">
        <v>49272</v>
      </c>
      <c r="J5454" s="11" t="s">
        <v>49272</v>
      </c>
      <c r="K5454" s="9" t="s">
        <v>49273</v>
      </c>
      <c r="L5454" s="9" t="s">
        <v>17929</v>
      </c>
      <c r="M5454" s="9" t="s">
        <v>18065</v>
      </c>
      <c r="N5454" s="9" t="s">
        <v>17930</v>
      </c>
      <c r="O5454" s="9" t="s">
        <v>17993</v>
      </c>
      <c r="P5454" s="9" t="s">
        <v>17748</v>
      </c>
      <c r="Q5454" s="11" t="s">
        <v>18243</v>
      </c>
      <c r="R5454" s="11" t="s">
        <v>18243</v>
      </c>
      <c r="S5454" s="11" t="s">
        <v>17750</v>
      </c>
    </row>
    <row r="5455" spans="1:19" x14ac:dyDescent="0.2">
      <c r="A5455" s="11" t="s">
        <v>49274</v>
      </c>
      <c r="B5455" s="9" t="s">
        <v>49275</v>
      </c>
      <c r="C5455" s="9" t="s">
        <v>49276</v>
      </c>
      <c r="D5455" s="9" t="s">
        <v>49277</v>
      </c>
      <c r="E5455" s="9" t="s">
        <v>17740</v>
      </c>
      <c r="F5455" s="9" t="s">
        <v>17741</v>
      </c>
      <c r="G5455" s="9" t="s">
        <v>17740</v>
      </c>
      <c r="H5455" s="11" t="s">
        <v>17741</v>
      </c>
      <c r="I5455" s="11" t="s">
        <v>49278</v>
      </c>
      <c r="J5455" s="11" t="s">
        <v>49278</v>
      </c>
      <c r="K5455" s="9" t="s">
        <v>49279</v>
      </c>
      <c r="L5455" s="9" t="s">
        <v>18123</v>
      </c>
      <c r="M5455" s="9" t="s">
        <v>17942</v>
      </c>
      <c r="N5455" s="9" t="s">
        <v>18185</v>
      </c>
      <c r="O5455" s="9" t="s">
        <v>23685</v>
      </c>
      <c r="P5455" s="9" t="s">
        <v>17748</v>
      </c>
      <c r="Q5455" s="11" t="s">
        <v>19515</v>
      </c>
      <c r="R5455" s="11" t="s">
        <v>19515</v>
      </c>
      <c r="S5455" s="11" t="s">
        <v>17750</v>
      </c>
    </row>
    <row r="5456" spans="1:19" x14ac:dyDescent="0.2">
      <c r="A5456" s="11" t="s">
        <v>49280</v>
      </c>
      <c r="B5456" s="9" t="s">
        <v>49281</v>
      </c>
      <c r="C5456" s="9" t="s">
        <v>49282</v>
      </c>
      <c r="D5456" s="9" t="s">
        <v>49283</v>
      </c>
      <c r="E5456" s="9" t="s">
        <v>17740</v>
      </c>
      <c r="F5456" s="9" t="s">
        <v>49284</v>
      </c>
      <c r="G5456" s="9" t="s">
        <v>17740</v>
      </c>
      <c r="H5456" s="11" t="s">
        <v>17741</v>
      </c>
      <c r="I5456" s="11" t="s">
        <v>49285</v>
      </c>
      <c r="J5456" s="11" t="s">
        <v>17741</v>
      </c>
      <c r="K5456" s="9" t="s">
        <v>49286</v>
      </c>
      <c r="L5456" s="9" t="s">
        <v>18158</v>
      </c>
      <c r="M5456" s="9" t="s">
        <v>24813</v>
      </c>
      <c r="N5456" s="9" t="s">
        <v>18185</v>
      </c>
      <c r="O5456" s="9" t="s">
        <v>17993</v>
      </c>
      <c r="P5456" s="9" t="s">
        <v>17748</v>
      </c>
      <c r="Q5456" s="11" t="s">
        <v>18678</v>
      </c>
      <c r="R5456" s="11" t="s">
        <v>18678</v>
      </c>
      <c r="S5456" s="11" t="s">
        <v>17750</v>
      </c>
    </row>
    <row r="5457" spans="1:19" x14ac:dyDescent="0.2">
      <c r="A5457" s="11" t="s">
        <v>49287</v>
      </c>
      <c r="B5457" s="9" t="s">
        <v>49288</v>
      </c>
      <c r="C5457" s="9" t="s">
        <v>49289</v>
      </c>
      <c r="D5457" s="9" t="s">
        <v>49290</v>
      </c>
      <c r="E5457" s="9" t="s">
        <v>17740</v>
      </c>
      <c r="F5457" s="9" t="s">
        <v>17741</v>
      </c>
      <c r="G5457" s="9" t="s">
        <v>17740</v>
      </c>
      <c r="H5457" s="11" t="s">
        <v>17741</v>
      </c>
      <c r="I5457" s="11" t="s">
        <v>49291</v>
      </c>
      <c r="J5457" s="11" t="s">
        <v>49291</v>
      </c>
      <c r="K5457" s="9" t="s">
        <v>49292</v>
      </c>
      <c r="L5457" s="9" t="s">
        <v>18169</v>
      </c>
      <c r="M5457" s="9" t="s">
        <v>17760</v>
      </c>
      <c r="N5457" s="9" t="s">
        <v>18171</v>
      </c>
      <c r="O5457" s="9" t="s">
        <v>17834</v>
      </c>
      <c r="P5457" s="9" t="s">
        <v>17748</v>
      </c>
      <c r="Q5457" s="11" t="s">
        <v>17749</v>
      </c>
      <c r="R5457" s="11" t="s">
        <v>17749</v>
      </c>
      <c r="S5457" s="11" t="s">
        <v>17750</v>
      </c>
    </row>
    <row r="5458" spans="1:19" x14ac:dyDescent="0.2">
      <c r="A5458" s="11" t="s">
        <v>49293</v>
      </c>
      <c r="B5458" s="9" t="s">
        <v>49294</v>
      </c>
      <c r="C5458" s="9" t="s">
        <v>49295</v>
      </c>
      <c r="D5458" s="9" t="s">
        <v>49296</v>
      </c>
      <c r="E5458" s="9" t="s">
        <v>17740</v>
      </c>
      <c r="F5458" s="9" t="s">
        <v>17741</v>
      </c>
      <c r="G5458" s="9" t="s">
        <v>17740</v>
      </c>
      <c r="H5458" s="11" t="s">
        <v>17741</v>
      </c>
      <c r="I5458" s="11" t="s">
        <v>49297</v>
      </c>
      <c r="J5458" s="11" t="s">
        <v>49297</v>
      </c>
      <c r="K5458" s="9" t="s">
        <v>49298</v>
      </c>
      <c r="L5458" s="9" t="s">
        <v>17929</v>
      </c>
      <c r="M5458" s="9" t="s">
        <v>18211</v>
      </c>
      <c r="N5458" s="9" t="s">
        <v>17746</v>
      </c>
      <c r="O5458" s="9" t="s">
        <v>17747</v>
      </c>
      <c r="P5458" s="9" t="s">
        <v>17748</v>
      </c>
      <c r="Q5458" s="11" t="s">
        <v>19361</v>
      </c>
      <c r="R5458" s="11" t="s">
        <v>19361</v>
      </c>
      <c r="S5458" s="11" t="s">
        <v>17750</v>
      </c>
    </row>
    <row r="5459" spans="1:19" x14ac:dyDescent="0.2">
      <c r="A5459" s="11" t="s">
        <v>49299</v>
      </c>
      <c r="B5459" s="9" t="s">
        <v>49300</v>
      </c>
      <c r="C5459" s="9" t="s">
        <v>49301</v>
      </c>
      <c r="D5459" s="9" t="s">
        <v>49302</v>
      </c>
      <c r="E5459" s="9" t="s">
        <v>17740</v>
      </c>
      <c r="F5459" s="9" t="s">
        <v>49303</v>
      </c>
      <c r="G5459" s="9" t="s">
        <v>17740</v>
      </c>
      <c r="H5459" s="11" t="s">
        <v>17741</v>
      </c>
      <c r="I5459" s="11" t="s">
        <v>49304</v>
      </c>
      <c r="J5459" s="11" t="s">
        <v>49304</v>
      </c>
      <c r="K5459" s="9" t="s">
        <v>20950</v>
      </c>
      <c r="L5459" s="9" t="s">
        <v>18854</v>
      </c>
      <c r="M5459" s="9" t="s">
        <v>49305</v>
      </c>
      <c r="N5459" s="9" t="s">
        <v>20237</v>
      </c>
      <c r="O5459" s="9" t="s">
        <v>18035</v>
      </c>
      <c r="P5459" s="9" t="s">
        <v>17748</v>
      </c>
      <c r="Q5459" s="11" t="s">
        <v>18002</v>
      </c>
      <c r="R5459" s="11" t="s">
        <v>18002</v>
      </c>
      <c r="S5459" s="11" t="s">
        <v>17750</v>
      </c>
    </row>
    <row r="5460" spans="1:19" x14ac:dyDescent="0.2">
      <c r="A5460" s="11" t="s">
        <v>49306</v>
      </c>
      <c r="B5460" s="9" t="s">
        <v>49307</v>
      </c>
      <c r="C5460" s="9" t="s">
        <v>49308</v>
      </c>
      <c r="D5460" s="9" t="s">
        <v>49309</v>
      </c>
      <c r="E5460" s="9" t="s">
        <v>17740</v>
      </c>
      <c r="F5460" s="9" t="s">
        <v>49310</v>
      </c>
      <c r="G5460" s="9" t="s">
        <v>17740</v>
      </c>
      <c r="H5460" s="11" t="s">
        <v>49311</v>
      </c>
      <c r="I5460" s="11" t="s">
        <v>49312</v>
      </c>
      <c r="J5460" s="11" t="s">
        <v>49312</v>
      </c>
      <c r="K5460" s="9" t="s">
        <v>21545</v>
      </c>
      <c r="L5460" s="9" t="s">
        <v>18854</v>
      </c>
      <c r="M5460" s="9" t="s">
        <v>22712</v>
      </c>
      <c r="N5460" s="9" t="s">
        <v>20237</v>
      </c>
      <c r="O5460" s="9" t="s">
        <v>3255</v>
      </c>
      <c r="P5460" s="9" t="s">
        <v>17748</v>
      </c>
      <c r="Q5460" s="11" t="s">
        <v>18493</v>
      </c>
      <c r="R5460" s="11" t="s">
        <v>18493</v>
      </c>
      <c r="S5460" s="11" t="s">
        <v>17750</v>
      </c>
    </row>
    <row r="5461" spans="1:19" x14ac:dyDescent="0.2">
      <c r="A5461" s="11" t="s">
        <v>49313</v>
      </c>
      <c r="B5461" s="9" t="s">
        <v>49314</v>
      </c>
      <c r="C5461" s="9" t="s">
        <v>49315</v>
      </c>
      <c r="D5461" s="9" t="s">
        <v>49316</v>
      </c>
      <c r="E5461" s="9" t="s">
        <v>17740</v>
      </c>
      <c r="F5461" s="9" t="s">
        <v>49317</v>
      </c>
      <c r="G5461" s="9" t="s">
        <v>17740</v>
      </c>
      <c r="H5461" s="11" t="s">
        <v>49318</v>
      </c>
      <c r="I5461" s="11" t="s">
        <v>49319</v>
      </c>
      <c r="J5461" s="11" t="s">
        <v>49319</v>
      </c>
      <c r="K5461" s="9" t="s">
        <v>21545</v>
      </c>
      <c r="L5461" s="9" t="s">
        <v>18854</v>
      </c>
      <c r="M5461" s="9" t="s">
        <v>17769</v>
      </c>
      <c r="N5461" s="9" t="s">
        <v>20237</v>
      </c>
      <c r="O5461" s="9" t="s">
        <v>18418</v>
      </c>
      <c r="P5461" s="9" t="s">
        <v>17748</v>
      </c>
      <c r="Q5461" s="11" t="s">
        <v>20691</v>
      </c>
      <c r="R5461" s="11" t="s">
        <v>20691</v>
      </c>
      <c r="S5461" s="11" t="s">
        <v>17750</v>
      </c>
    </row>
    <row r="5462" spans="1:19" x14ac:dyDescent="0.2">
      <c r="A5462" s="11" t="s">
        <v>49320</v>
      </c>
      <c r="B5462" s="9" t="s">
        <v>49321</v>
      </c>
      <c r="C5462" s="9" t="s">
        <v>49322</v>
      </c>
      <c r="D5462" s="9" t="s">
        <v>49323</v>
      </c>
      <c r="E5462" s="9" t="s">
        <v>17740</v>
      </c>
      <c r="F5462" s="9" t="s">
        <v>17741</v>
      </c>
      <c r="G5462" s="9" t="s">
        <v>17740</v>
      </c>
      <c r="H5462" s="11" t="s">
        <v>17741</v>
      </c>
      <c r="I5462" s="11" t="s">
        <v>49324</v>
      </c>
      <c r="J5462" s="11" t="s">
        <v>49324</v>
      </c>
      <c r="K5462" s="9" t="s">
        <v>20950</v>
      </c>
      <c r="L5462" s="9" t="s">
        <v>18854</v>
      </c>
      <c r="M5462" s="9" t="s">
        <v>17769</v>
      </c>
      <c r="N5462" s="9" t="s">
        <v>20237</v>
      </c>
      <c r="O5462" s="9" t="s">
        <v>38657</v>
      </c>
      <c r="P5462" s="9" t="s">
        <v>17748</v>
      </c>
      <c r="Q5462" s="11" t="s">
        <v>18132</v>
      </c>
      <c r="R5462" s="11" t="s">
        <v>18132</v>
      </c>
      <c r="S5462" s="11" t="s">
        <v>17750</v>
      </c>
    </row>
    <row r="5463" spans="1:19" x14ac:dyDescent="0.2">
      <c r="A5463" s="11" t="s">
        <v>49325</v>
      </c>
      <c r="B5463" s="9" t="s">
        <v>49326</v>
      </c>
      <c r="C5463" s="9" t="s">
        <v>49327</v>
      </c>
      <c r="D5463" s="9" t="s">
        <v>49328</v>
      </c>
      <c r="E5463" s="9" t="s">
        <v>17740</v>
      </c>
      <c r="F5463" s="9" t="s">
        <v>49329</v>
      </c>
      <c r="G5463" s="9" t="s">
        <v>17740</v>
      </c>
      <c r="H5463" s="11" t="s">
        <v>17741</v>
      </c>
      <c r="I5463" s="11" t="s">
        <v>49330</v>
      </c>
      <c r="J5463" s="11" t="s">
        <v>49330</v>
      </c>
      <c r="K5463" s="9" t="s">
        <v>20236</v>
      </c>
      <c r="L5463" s="9" t="s">
        <v>18854</v>
      </c>
      <c r="M5463" s="9" t="s">
        <v>17817</v>
      </c>
      <c r="N5463" s="9" t="s">
        <v>20237</v>
      </c>
      <c r="O5463" s="9" t="s">
        <v>17993</v>
      </c>
      <c r="P5463" s="9" t="s">
        <v>17748</v>
      </c>
      <c r="Q5463" s="11" t="s">
        <v>18147</v>
      </c>
      <c r="R5463" s="11" t="s">
        <v>18147</v>
      </c>
      <c r="S5463" s="11" t="s">
        <v>17750</v>
      </c>
    </row>
    <row r="5464" spans="1:19" x14ac:dyDescent="0.2">
      <c r="A5464" s="11" t="s">
        <v>49331</v>
      </c>
      <c r="B5464" s="9" t="s">
        <v>49332</v>
      </c>
      <c r="C5464" s="9" t="s">
        <v>49333</v>
      </c>
      <c r="D5464" s="9" t="s">
        <v>49334</v>
      </c>
      <c r="E5464" s="9" t="s">
        <v>17740</v>
      </c>
      <c r="F5464" s="9" t="s">
        <v>49335</v>
      </c>
      <c r="G5464" s="9" t="s">
        <v>17740</v>
      </c>
      <c r="H5464" s="11" t="s">
        <v>49336</v>
      </c>
      <c r="I5464" s="11" t="s">
        <v>49337</v>
      </c>
      <c r="J5464" s="11" t="s">
        <v>49337</v>
      </c>
      <c r="K5464" s="9" t="s">
        <v>49338</v>
      </c>
      <c r="L5464" s="9" t="s">
        <v>17991</v>
      </c>
      <c r="M5464" s="9" t="s">
        <v>17778</v>
      </c>
      <c r="N5464" s="9" t="s">
        <v>17746</v>
      </c>
      <c r="O5464" s="9" t="s">
        <v>18563</v>
      </c>
      <c r="P5464" s="9" t="s">
        <v>17748</v>
      </c>
      <c r="Q5464" s="11" t="s">
        <v>17969</v>
      </c>
      <c r="R5464" s="11" t="s">
        <v>17969</v>
      </c>
      <c r="S5464" s="11" t="s">
        <v>17750</v>
      </c>
    </row>
    <row r="5465" spans="1:19" x14ac:dyDescent="0.2">
      <c r="A5465" s="11" t="s">
        <v>49339</v>
      </c>
      <c r="B5465" s="9" t="s">
        <v>49340</v>
      </c>
      <c r="C5465" s="9" t="s">
        <v>49341</v>
      </c>
      <c r="D5465" s="9" t="s">
        <v>49342</v>
      </c>
      <c r="E5465" s="9" t="s">
        <v>17740</v>
      </c>
      <c r="F5465" s="9" t="s">
        <v>49343</v>
      </c>
      <c r="G5465" s="9" t="s">
        <v>17740</v>
      </c>
      <c r="H5465" s="11" t="s">
        <v>49344</v>
      </c>
      <c r="I5465" s="11" t="s">
        <v>49345</v>
      </c>
      <c r="J5465" s="11" t="s">
        <v>49345</v>
      </c>
      <c r="K5465" s="9" t="s">
        <v>22893</v>
      </c>
      <c r="L5465" s="9" t="s">
        <v>17744</v>
      </c>
      <c r="M5465" s="9" t="s">
        <v>24928</v>
      </c>
      <c r="N5465" s="9" t="s">
        <v>17746</v>
      </c>
      <c r="O5465" s="9" t="s">
        <v>49346</v>
      </c>
      <c r="P5465" s="9" t="s">
        <v>17748</v>
      </c>
      <c r="Q5465" s="11" t="s">
        <v>17784</v>
      </c>
      <c r="R5465" s="11" t="s">
        <v>17784</v>
      </c>
      <c r="S5465" s="11" t="s">
        <v>17750</v>
      </c>
    </row>
    <row r="5466" spans="1:19" x14ac:dyDescent="0.2">
      <c r="A5466" s="11" t="s">
        <v>49347</v>
      </c>
      <c r="B5466" s="9" t="s">
        <v>49348</v>
      </c>
      <c r="C5466" s="9" t="s">
        <v>49349</v>
      </c>
      <c r="D5466" s="9" t="s">
        <v>49350</v>
      </c>
      <c r="E5466" s="9" t="s">
        <v>17740</v>
      </c>
      <c r="F5466" s="9" t="s">
        <v>17741</v>
      </c>
      <c r="G5466" s="9" t="s">
        <v>17740</v>
      </c>
      <c r="H5466" s="11" t="s">
        <v>49351</v>
      </c>
      <c r="I5466" s="11" t="s">
        <v>49352</v>
      </c>
      <c r="J5466" s="11" t="s">
        <v>49352</v>
      </c>
      <c r="K5466" s="9" t="s">
        <v>21146</v>
      </c>
      <c r="L5466" s="9" t="s">
        <v>17744</v>
      </c>
      <c r="M5466" s="9" t="s">
        <v>17760</v>
      </c>
      <c r="N5466" s="9" t="s">
        <v>17746</v>
      </c>
      <c r="O5466" s="9" t="s">
        <v>49353</v>
      </c>
      <c r="P5466" s="9" t="s">
        <v>17748</v>
      </c>
      <c r="Q5466" s="11" t="s">
        <v>17858</v>
      </c>
      <c r="R5466" s="11" t="s">
        <v>17858</v>
      </c>
      <c r="S5466" s="11" t="s">
        <v>17750</v>
      </c>
    </row>
    <row r="5467" spans="1:19" x14ac:dyDescent="0.2">
      <c r="A5467" s="11" t="s">
        <v>49354</v>
      </c>
      <c r="B5467" s="9" t="s">
        <v>49355</v>
      </c>
      <c r="C5467" s="9" t="s">
        <v>49356</v>
      </c>
      <c r="D5467" s="9" t="s">
        <v>49357</v>
      </c>
      <c r="E5467" s="9" t="s">
        <v>17740</v>
      </c>
      <c r="F5467" s="9" t="s">
        <v>17741</v>
      </c>
      <c r="G5467" s="9" t="s">
        <v>17740</v>
      </c>
      <c r="H5467" s="11" t="s">
        <v>17741</v>
      </c>
      <c r="I5467" s="11" t="s">
        <v>49358</v>
      </c>
      <c r="J5467" s="11" t="s">
        <v>49358</v>
      </c>
      <c r="K5467" s="9" t="s">
        <v>21075</v>
      </c>
      <c r="L5467" s="9" t="s">
        <v>18158</v>
      </c>
      <c r="M5467" s="9" t="s">
        <v>18533</v>
      </c>
      <c r="N5467" s="9" t="s">
        <v>17746</v>
      </c>
      <c r="O5467" s="9" t="s">
        <v>49359</v>
      </c>
      <c r="P5467" s="9" t="s">
        <v>17748</v>
      </c>
      <c r="Q5467" s="11" t="s">
        <v>18678</v>
      </c>
      <c r="R5467" s="11" t="s">
        <v>18678</v>
      </c>
      <c r="S5467" s="11" t="s">
        <v>17750</v>
      </c>
    </row>
    <row r="5468" spans="1:19" x14ac:dyDescent="0.2">
      <c r="A5468" s="11" t="s">
        <v>49360</v>
      </c>
      <c r="B5468" s="9" t="s">
        <v>49361</v>
      </c>
      <c r="C5468" s="9" t="s">
        <v>49362</v>
      </c>
      <c r="D5468" s="9" t="s">
        <v>49363</v>
      </c>
      <c r="E5468" s="9" t="s">
        <v>17740</v>
      </c>
      <c r="F5468" s="9" t="s">
        <v>49364</v>
      </c>
      <c r="G5468" s="9" t="s">
        <v>17740</v>
      </c>
      <c r="H5468" s="11" t="s">
        <v>49365</v>
      </c>
      <c r="I5468" s="11" t="s">
        <v>49366</v>
      </c>
      <c r="J5468" s="11" t="s">
        <v>49366</v>
      </c>
      <c r="K5468" s="9" t="s">
        <v>49367</v>
      </c>
      <c r="L5468" s="9" t="s">
        <v>17759</v>
      </c>
      <c r="M5468" s="9" t="s">
        <v>49368</v>
      </c>
      <c r="N5468" s="9" t="s">
        <v>17746</v>
      </c>
      <c r="O5468" s="9" t="s">
        <v>34906</v>
      </c>
      <c r="P5468" s="9" t="s">
        <v>17748</v>
      </c>
      <c r="Q5468" s="11" t="s">
        <v>18600</v>
      </c>
      <c r="R5468" s="11" t="s">
        <v>18600</v>
      </c>
      <c r="S5468" s="11" t="s">
        <v>17750</v>
      </c>
    </row>
    <row r="5469" spans="1:19" x14ac:dyDescent="0.2">
      <c r="A5469" s="11" t="s">
        <v>49369</v>
      </c>
      <c r="B5469" s="9" t="s">
        <v>49370</v>
      </c>
      <c r="C5469" s="9" t="s">
        <v>49371</v>
      </c>
      <c r="D5469" s="9" t="s">
        <v>49372</v>
      </c>
      <c r="E5469" s="9" t="s">
        <v>17740</v>
      </c>
      <c r="F5469" s="9" t="s">
        <v>49373</v>
      </c>
      <c r="G5469" s="9" t="s">
        <v>17740</v>
      </c>
      <c r="H5469" s="11" t="s">
        <v>49374</v>
      </c>
      <c r="I5469" s="11" t="s">
        <v>49375</v>
      </c>
      <c r="J5469" s="11" t="s">
        <v>49375</v>
      </c>
      <c r="K5469" s="9" t="s">
        <v>303</v>
      </c>
      <c r="L5469" s="9" t="s">
        <v>17759</v>
      </c>
      <c r="M5469" s="9" t="s">
        <v>17992</v>
      </c>
      <c r="N5469" s="9" t="s">
        <v>17746</v>
      </c>
      <c r="O5469" s="9" t="s">
        <v>18563</v>
      </c>
      <c r="P5469" s="9" t="s">
        <v>17748</v>
      </c>
      <c r="Q5469" s="11" t="s">
        <v>18960</v>
      </c>
      <c r="R5469" s="11" t="s">
        <v>18960</v>
      </c>
      <c r="S5469" s="11" t="s">
        <v>17750</v>
      </c>
    </row>
    <row r="5470" spans="1:19" x14ac:dyDescent="0.2">
      <c r="A5470" s="11" t="s">
        <v>49376</v>
      </c>
      <c r="B5470" s="9" t="s">
        <v>49377</v>
      </c>
      <c r="C5470" s="9" t="s">
        <v>49378</v>
      </c>
      <c r="D5470" s="9" t="s">
        <v>49379</v>
      </c>
      <c r="E5470" s="9" t="s">
        <v>17740</v>
      </c>
      <c r="F5470" s="9" t="s">
        <v>17741</v>
      </c>
      <c r="G5470" s="9" t="s">
        <v>17740</v>
      </c>
      <c r="H5470" s="11" t="s">
        <v>49380</v>
      </c>
      <c r="I5470" s="11" t="s">
        <v>49381</v>
      </c>
      <c r="J5470" s="11" t="s">
        <v>49381</v>
      </c>
      <c r="K5470" s="9" t="s">
        <v>18921</v>
      </c>
      <c r="L5470" s="9" t="s">
        <v>17759</v>
      </c>
      <c r="M5470" s="9" t="s">
        <v>17992</v>
      </c>
      <c r="N5470" s="9" t="s">
        <v>17746</v>
      </c>
      <c r="O5470" s="9" t="s">
        <v>18563</v>
      </c>
      <c r="P5470" s="9" t="s">
        <v>17748</v>
      </c>
      <c r="Q5470" s="11" t="s">
        <v>18798</v>
      </c>
      <c r="R5470" s="11" t="s">
        <v>18798</v>
      </c>
      <c r="S5470" s="11" t="s">
        <v>17750</v>
      </c>
    </row>
    <row r="5471" spans="1:19" x14ac:dyDescent="0.2">
      <c r="A5471" s="11" t="s">
        <v>49382</v>
      </c>
      <c r="B5471" s="9" t="s">
        <v>49383</v>
      </c>
      <c r="C5471" s="9" t="s">
        <v>49384</v>
      </c>
      <c r="D5471" s="9" t="s">
        <v>49385</v>
      </c>
      <c r="E5471" s="9" t="s">
        <v>17740</v>
      </c>
      <c r="F5471" s="9" t="s">
        <v>49386</v>
      </c>
      <c r="G5471" s="9" t="s">
        <v>17740</v>
      </c>
      <c r="H5471" s="11" t="s">
        <v>49387</v>
      </c>
      <c r="I5471" s="11" t="s">
        <v>49388</v>
      </c>
      <c r="J5471" s="11" t="s">
        <v>49388</v>
      </c>
      <c r="K5471" s="9" t="s">
        <v>303</v>
      </c>
      <c r="L5471" s="9" t="s">
        <v>17759</v>
      </c>
      <c r="M5471" s="9" t="s">
        <v>17992</v>
      </c>
      <c r="N5471" s="9" t="s">
        <v>17746</v>
      </c>
      <c r="O5471" s="9" t="s">
        <v>18563</v>
      </c>
      <c r="P5471" s="9" t="s">
        <v>17748</v>
      </c>
      <c r="Q5471" s="11" t="s">
        <v>18960</v>
      </c>
      <c r="R5471" s="11" t="s">
        <v>18960</v>
      </c>
      <c r="S5471" s="11" t="s">
        <v>17750</v>
      </c>
    </row>
    <row r="5472" spans="1:19" x14ac:dyDescent="0.2">
      <c r="A5472" s="11" t="s">
        <v>49389</v>
      </c>
      <c r="B5472" s="9" t="s">
        <v>49390</v>
      </c>
      <c r="C5472" s="9" t="s">
        <v>49391</v>
      </c>
      <c r="D5472" s="9" t="s">
        <v>49392</v>
      </c>
      <c r="E5472" s="9" t="s">
        <v>17740</v>
      </c>
      <c r="F5472" s="9" t="s">
        <v>49393</v>
      </c>
      <c r="G5472" s="9" t="s">
        <v>17740</v>
      </c>
      <c r="H5472" s="11" t="s">
        <v>4041</v>
      </c>
      <c r="I5472" s="11" t="s">
        <v>4040</v>
      </c>
      <c r="J5472" s="11" t="s">
        <v>4040</v>
      </c>
      <c r="K5472" s="9" t="s">
        <v>19775</v>
      </c>
      <c r="L5472" s="9" t="s">
        <v>17759</v>
      </c>
      <c r="M5472" s="9" t="s">
        <v>17769</v>
      </c>
      <c r="N5472" s="9" t="s">
        <v>17746</v>
      </c>
      <c r="O5472" s="9" t="s">
        <v>18563</v>
      </c>
      <c r="P5472" s="9" t="s">
        <v>17748</v>
      </c>
      <c r="Q5472" s="11" t="s">
        <v>18251</v>
      </c>
      <c r="R5472" s="11" t="s">
        <v>18251</v>
      </c>
      <c r="S5472" s="11" t="s">
        <v>17750</v>
      </c>
    </row>
    <row r="5473" spans="1:19" x14ac:dyDescent="0.2">
      <c r="A5473" s="11" t="s">
        <v>49394</v>
      </c>
      <c r="B5473" s="9" t="s">
        <v>49395</v>
      </c>
      <c r="C5473" s="9" t="s">
        <v>49396</v>
      </c>
      <c r="D5473" s="9" t="s">
        <v>49397</v>
      </c>
      <c r="E5473" s="9" t="s">
        <v>17740</v>
      </c>
      <c r="F5473" s="9" t="s">
        <v>17741</v>
      </c>
      <c r="G5473" s="9" t="s">
        <v>17740</v>
      </c>
      <c r="H5473" s="11" t="s">
        <v>49398</v>
      </c>
      <c r="I5473" s="11" t="s">
        <v>49399</v>
      </c>
      <c r="J5473" s="11" t="s">
        <v>49399</v>
      </c>
      <c r="K5473" s="9" t="s">
        <v>22893</v>
      </c>
      <c r="L5473" s="9" t="s">
        <v>17744</v>
      </c>
      <c r="M5473" s="9" t="s">
        <v>22559</v>
      </c>
      <c r="N5473" s="9" t="s">
        <v>17746</v>
      </c>
      <c r="O5473" s="9" t="s">
        <v>49400</v>
      </c>
      <c r="P5473" s="9" t="s">
        <v>17748</v>
      </c>
      <c r="Q5473" s="11" t="s">
        <v>17819</v>
      </c>
      <c r="R5473" s="11" t="s">
        <v>17819</v>
      </c>
      <c r="S5473" s="11" t="s">
        <v>17750</v>
      </c>
    </row>
    <row r="5474" spans="1:19" x14ac:dyDescent="0.2">
      <c r="A5474" s="11" t="s">
        <v>49401</v>
      </c>
      <c r="B5474" s="9" t="s">
        <v>49402</v>
      </c>
      <c r="C5474" s="9" t="s">
        <v>49403</v>
      </c>
      <c r="D5474" s="9" t="s">
        <v>49404</v>
      </c>
      <c r="E5474" s="9" t="s">
        <v>17740</v>
      </c>
      <c r="F5474" s="9" t="s">
        <v>49405</v>
      </c>
      <c r="G5474" s="9" t="s">
        <v>17740</v>
      </c>
      <c r="H5474" s="11" t="s">
        <v>17741</v>
      </c>
      <c r="I5474" s="11" t="s">
        <v>49406</v>
      </c>
      <c r="J5474" s="11" t="s">
        <v>17741</v>
      </c>
      <c r="K5474" s="9" t="s">
        <v>49407</v>
      </c>
      <c r="L5474" s="9" t="s">
        <v>17759</v>
      </c>
      <c r="M5474" s="9" t="s">
        <v>18051</v>
      </c>
      <c r="N5474" s="9" t="s">
        <v>17746</v>
      </c>
      <c r="O5474" s="9" t="s">
        <v>21531</v>
      </c>
      <c r="P5474" s="9" t="s">
        <v>17748</v>
      </c>
      <c r="Q5474" s="11" t="s">
        <v>19515</v>
      </c>
      <c r="R5474" s="11" t="s">
        <v>19515</v>
      </c>
      <c r="S5474" s="11" t="s">
        <v>17750</v>
      </c>
    </row>
    <row r="5475" spans="1:19" x14ac:dyDescent="0.2">
      <c r="A5475" s="11" t="s">
        <v>49408</v>
      </c>
      <c r="B5475" s="9" t="s">
        <v>49409</v>
      </c>
      <c r="C5475" s="9" t="s">
        <v>49410</v>
      </c>
      <c r="D5475" s="9" t="s">
        <v>49411</v>
      </c>
      <c r="E5475" s="9" t="s">
        <v>17740</v>
      </c>
      <c r="F5475" s="9" t="s">
        <v>17741</v>
      </c>
      <c r="G5475" s="9" t="s">
        <v>17740</v>
      </c>
      <c r="H5475" s="11" t="s">
        <v>4044</v>
      </c>
      <c r="I5475" s="11" t="s">
        <v>4043</v>
      </c>
      <c r="J5475" s="11" t="s">
        <v>4043</v>
      </c>
      <c r="K5475" s="9" t="s">
        <v>49412</v>
      </c>
      <c r="L5475" s="9" t="s">
        <v>18001</v>
      </c>
      <c r="M5475" s="9" t="s">
        <v>40001</v>
      </c>
      <c r="N5475" s="9" t="s">
        <v>17746</v>
      </c>
      <c r="O5475" s="9" t="s">
        <v>49413</v>
      </c>
      <c r="P5475" s="9" t="s">
        <v>17748</v>
      </c>
      <c r="Q5475" s="11" t="s">
        <v>18251</v>
      </c>
      <c r="R5475" s="11" t="s">
        <v>18251</v>
      </c>
      <c r="S5475" s="11" t="s">
        <v>17750</v>
      </c>
    </row>
    <row r="5476" spans="1:19" x14ac:dyDescent="0.2">
      <c r="A5476" s="11" t="s">
        <v>49414</v>
      </c>
      <c r="B5476" s="9" t="s">
        <v>49415</v>
      </c>
      <c r="C5476" s="9" t="s">
        <v>49416</v>
      </c>
      <c r="D5476" s="9" t="s">
        <v>49417</v>
      </c>
      <c r="E5476" s="9" t="s">
        <v>17748</v>
      </c>
      <c r="F5476" s="9" t="s">
        <v>49418</v>
      </c>
      <c r="G5476" s="9" t="s">
        <v>17740</v>
      </c>
      <c r="H5476" s="11" t="s">
        <v>7413</v>
      </c>
      <c r="I5476" s="11" t="s">
        <v>7412</v>
      </c>
      <c r="J5476" s="11" t="s">
        <v>7412</v>
      </c>
      <c r="K5476" s="9" t="s">
        <v>49419</v>
      </c>
      <c r="L5476" s="9" t="s">
        <v>17744</v>
      </c>
      <c r="M5476" s="9" t="s">
        <v>17769</v>
      </c>
      <c r="N5476" s="9" t="s">
        <v>17746</v>
      </c>
      <c r="O5476" s="9" t="s">
        <v>18563</v>
      </c>
      <c r="P5476" s="9" t="s">
        <v>17748</v>
      </c>
      <c r="Q5476" s="11" t="s">
        <v>18272</v>
      </c>
      <c r="R5476" s="11" t="s">
        <v>18272</v>
      </c>
      <c r="S5476" s="11" t="s">
        <v>17750</v>
      </c>
    </row>
    <row r="5477" spans="1:19" x14ac:dyDescent="0.2">
      <c r="A5477" s="11" t="s">
        <v>49420</v>
      </c>
      <c r="B5477" s="9" t="s">
        <v>49421</v>
      </c>
      <c r="C5477" s="9" t="s">
        <v>49422</v>
      </c>
      <c r="D5477" s="9" t="s">
        <v>49423</v>
      </c>
      <c r="E5477" s="9" t="s">
        <v>17740</v>
      </c>
      <c r="F5477" s="9" t="s">
        <v>17741</v>
      </c>
      <c r="G5477" s="9" t="s">
        <v>17740</v>
      </c>
      <c r="H5477" s="11" t="s">
        <v>4056</v>
      </c>
      <c r="I5477" s="11" t="s">
        <v>4055</v>
      </c>
      <c r="J5477" s="11" t="s">
        <v>4055</v>
      </c>
      <c r="K5477" s="9" t="s">
        <v>20333</v>
      </c>
      <c r="L5477" s="9" t="s">
        <v>18001</v>
      </c>
      <c r="M5477" s="9" t="s">
        <v>22274</v>
      </c>
      <c r="N5477" s="9" t="s">
        <v>17746</v>
      </c>
      <c r="O5477" s="9" t="s">
        <v>40300</v>
      </c>
      <c r="P5477" s="9" t="s">
        <v>17748</v>
      </c>
      <c r="Q5477" s="11" t="s">
        <v>19026</v>
      </c>
      <c r="R5477" s="11" t="s">
        <v>19026</v>
      </c>
      <c r="S5477" s="11" t="s">
        <v>17750</v>
      </c>
    </row>
    <row r="5478" spans="1:19" x14ac:dyDescent="0.2">
      <c r="A5478" s="11" t="s">
        <v>49424</v>
      </c>
      <c r="B5478" s="9" t="s">
        <v>49425</v>
      </c>
      <c r="C5478" s="9" t="s">
        <v>49426</v>
      </c>
      <c r="D5478" s="9" t="s">
        <v>49427</v>
      </c>
      <c r="E5478" s="9" t="s">
        <v>17740</v>
      </c>
      <c r="F5478" s="9" t="s">
        <v>49428</v>
      </c>
      <c r="G5478" s="9" t="s">
        <v>17740</v>
      </c>
      <c r="H5478" s="11" t="s">
        <v>49429</v>
      </c>
      <c r="I5478" s="11" t="s">
        <v>49430</v>
      </c>
      <c r="J5478" s="11" t="s">
        <v>49430</v>
      </c>
      <c r="K5478" s="9" t="s">
        <v>22893</v>
      </c>
      <c r="L5478" s="9" t="s">
        <v>17744</v>
      </c>
      <c r="M5478" s="9" t="s">
        <v>18184</v>
      </c>
      <c r="N5478" s="9" t="s">
        <v>17746</v>
      </c>
      <c r="O5478" s="9" t="s">
        <v>49431</v>
      </c>
      <c r="P5478" s="9" t="s">
        <v>17748</v>
      </c>
      <c r="Q5478" s="11" t="s">
        <v>18798</v>
      </c>
      <c r="R5478" s="11" t="s">
        <v>18798</v>
      </c>
      <c r="S5478" s="11" t="s">
        <v>17750</v>
      </c>
    </row>
    <row r="5479" spans="1:19" x14ac:dyDescent="0.2">
      <c r="A5479" s="11" t="s">
        <v>49432</v>
      </c>
      <c r="B5479" s="9" t="s">
        <v>49433</v>
      </c>
      <c r="C5479" s="9" t="s">
        <v>49434</v>
      </c>
      <c r="D5479" s="9" t="s">
        <v>49435</v>
      </c>
      <c r="E5479" s="9" t="s">
        <v>17740</v>
      </c>
      <c r="F5479" s="9" t="s">
        <v>17741</v>
      </c>
      <c r="G5479" s="9" t="s">
        <v>17740</v>
      </c>
      <c r="H5479" s="11" t="s">
        <v>4072</v>
      </c>
      <c r="I5479" s="11" t="s">
        <v>4071</v>
      </c>
      <c r="J5479" s="11" t="s">
        <v>4071</v>
      </c>
      <c r="K5479" s="9" t="s">
        <v>91</v>
      </c>
      <c r="L5479" s="9" t="s">
        <v>18001</v>
      </c>
      <c r="M5479" s="9" t="s">
        <v>49436</v>
      </c>
      <c r="N5479" s="9" t="s">
        <v>17746</v>
      </c>
      <c r="O5479" s="9" t="s">
        <v>46356</v>
      </c>
      <c r="P5479" s="9" t="s">
        <v>17748</v>
      </c>
      <c r="Q5479" s="11" t="s">
        <v>18608</v>
      </c>
      <c r="R5479" s="11" t="s">
        <v>18608</v>
      </c>
      <c r="S5479" s="11" t="s">
        <v>17750</v>
      </c>
    </row>
    <row r="5480" spans="1:19" x14ac:dyDescent="0.2">
      <c r="A5480" s="11" t="s">
        <v>49437</v>
      </c>
      <c r="B5480" s="9" t="s">
        <v>49438</v>
      </c>
      <c r="C5480" s="9" t="s">
        <v>49439</v>
      </c>
      <c r="D5480" s="9" t="s">
        <v>49440</v>
      </c>
      <c r="E5480" s="9" t="s">
        <v>17740</v>
      </c>
      <c r="F5480" s="9" t="s">
        <v>49441</v>
      </c>
      <c r="G5480" s="9" t="s">
        <v>17740</v>
      </c>
      <c r="H5480" s="11" t="s">
        <v>49442</v>
      </c>
      <c r="I5480" s="11" t="s">
        <v>49443</v>
      </c>
      <c r="J5480" s="11" t="s">
        <v>49443</v>
      </c>
      <c r="K5480" s="9" t="s">
        <v>18520</v>
      </c>
      <c r="L5480" s="9" t="s">
        <v>17759</v>
      </c>
      <c r="M5480" s="9" t="s">
        <v>17769</v>
      </c>
      <c r="N5480" s="9" t="s">
        <v>17746</v>
      </c>
      <c r="O5480" s="9" t="s">
        <v>34906</v>
      </c>
      <c r="P5480" s="9" t="s">
        <v>17748</v>
      </c>
      <c r="Q5480" s="11" t="s">
        <v>19899</v>
      </c>
      <c r="R5480" s="11" t="s">
        <v>19899</v>
      </c>
      <c r="S5480" s="11" t="s">
        <v>17750</v>
      </c>
    </row>
    <row r="5481" spans="1:19" x14ac:dyDescent="0.2">
      <c r="A5481" s="11" t="s">
        <v>49444</v>
      </c>
      <c r="B5481" s="9" t="s">
        <v>49445</v>
      </c>
      <c r="C5481" s="9" t="s">
        <v>49446</v>
      </c>
      <c r="D5481" s="9" t="s">
        <v>49447</v>
      </c>
      <c r="E5481" s="9" t="s">
        <v>17740</v>
      </c>
      <c r="F5481" s="9" t="s">
        <v>49448</v>
      </c>
      <c r="G5481" s="9" t="s">
        <v>17740</v>
      </c>
      <c r="H5481" s="11" t="s">
        <v>5141</v>
      </c>
      <c r="I5481" s="11" t="s">
        <v>5140</v>
      </c>
      <c r="J5481" s="11" t="s">
        <v>5140</v>
      </c>
      <c r="K5481" s="9" t="s">
        <v>18404</v>
      </c>
      <c r="L5481" s="9" t="s">
        <v>18001</v>
      </c>
      <c r="M5481" s="9" t="s">
        <v>17760</v>
      </c>
      <c r="N5481" s="9" t="s">
        <v>17746</v>
      </c>
      <c r="O5481" s="9" t="s">
        <v>18563</v>
      </c>
      <c r="P5481" s="9" t="s">
        <v>17748</v>
      </c>
      <c r="Q5481" s="11" t="s">
        <v>18251</v>
      </c>
      <c r="R5481" s="11" t="s">
        <v>18251</v>
      </c>
      <c r="S5481" s="11" t="s">
        <v>17750</v>
      </c>
    </row>
    <row r="5482" spans="1:19" x14ac:dyDescent="0.2">
      <c r="A5482" s="11" t="s">
        <v>49449</v>
      </c>
      <c r="B5482" s="9" t="s">
        <v>49450</v>
      </c>
      <c r="C5482" s="9" t="s">
        <v>49451</v>
      </c>
      <c r="D5482" s="9" t="s">
        <v>49452</v>
      </c>
      <c r="E5482" s="9" t="s">
        <v>17740</v>
      </c>
      <c r="F5482" s="9" t="s">
        <v>49453</v>
      </c>
      <c r="G5482" s="9" t="s">
        <v>17740</v>
      </c>
      <c r="H5482" s="11" t="s">
        <v>49454</v>
      </c>
      <c r="I5482" s="11" t="s">
        <v>49455</v>
      </c>
      <c r="J5482" s="11" t="s">
        <v>49455</v>
      </c>
      <c r="K5482" s="9" t="s">
        <v>21146</v>
      </c>
      <c r="L5482" s="9" t="s">
        <v>17744</v>
      </c>
      <c r="M5482" s="9" t="s">
        <v>17769</v>
      </c>
      <c r="N5482" s="9" t="s">
        <v>17746</v>
      </c>
      <c r="O5482" s="9" t="s">
        <v>49456</v>
      </c>
      <c r="P5482" s="9" t="s">
        <v>17748</v>
      </c>
      <c r="Q5482" s="11" t="s">
        <v>18147</v>
      </c>
      <c r="R5482" s="11" t="s">
        <v>18147</v>
      </c>
      <c r="S5482" s="11" t="s">
        <v>17750</v>
      </c>
    </row>
    <row r="5483" spans="1:19" x14ac:dyDescent="0.2">
      <c r="A5483" s="11" t="s">
        <v>49457</v>
      </c>
      <c r="B5483" s="9" t="s">
        <v>49458</v>
      </c>
      <c r="C5483" s="9" t="s">
        <v>49459</v>
      </c>
      <c r="D5483" s="9" t="s">
        <v>49460</v>
      </c>
      <c r="E5483" s="9" t="s">
        <v>17740</v>
      </c>
      <c r="F5483" s="9" t="s">
        <v>49461</v>
      </c>
      <c r="G5483" s="9" t="s">
        <v>17740</v>
      </c>
      <c r="H5483" s="11" t="s">
        <v>49462</v>
      </c>
      <c r="I5483" s="11" t="s">
        <v>49463</v>
      </c>
      <c r="J5483" s="11" t="s">
        <v>49463</v>
      </c>
      <c r="K5483" s="9" t="s">
        <v>49464</v>
      </c>
      <c r="L5483" s="9" t="s">
        <v>17744</v>
      </c>
      <c r="M5483" s="9" t="s">
        <v>23186</v>
      </c>
      <c r="N5483" s="9" t="s">
        <v>17746</v>
      </c>
      <c r="O5483" s="9" t="s">
        <v>18563</v>
      </c>
      <c r="P5483" s="9" t="s">
        <v>17748</v>
      </c>
      <c r="Q5483" s="11" t="s">
        <v>45613</v>
      </c>
      <c r="R5483" s="11" t="s">
        <v>45613</v>
      </c>
      <c r="S5483" s="11" t="s">
        <v>17750</v>
      </c>
    </row>
    <row r="5484" spans="1:19" x14ac:dyDescent="0.2">
      <c r="A5484" s="11" t="s">
        <v>49465</v>
      </c>
      <c r="B5484" s="9" t="s">
        <v>49466</v>
      </c>
      <c r="C5484" s="9" t="s">
        <v>49467</v>
      </c>
      <c r="D5484" s="9" t="s">
        <v>49468</v>
      </c>
      <c r="E5484" s="9" t="s">
        <v>17748</v>
      </c>
      <c r="F5484" s="9" t="s">
        <v>49469</v>
      </c>
      <c r="G5484" s="9" t="s">
        <v>17740</v>
      </c>
      <c r="H5484" s="11" t="s">
        <v>49470</v>
      </c>
      <c r="I5484" s="11" t="s">
        <v>49471</v>
      </c>
      <c r="J5484" s="11" t="s">
        <v>49471</v>
      </c>
      <c r="K5484" s="9" t="s">
        <v>18570</v>
      </c>
      <c r="L5484" s="9" t="s">
        <v>17744</v>
      </c>
      <c r="M5484" s="9" t="s">
        <v>17769</v>
      </c>
      <c r="N5484" s="9" t="s">
        <v>17746</v>
      </c>
      <c r="O5484" s="9" t="s">
        <v>18563</v>
      </c>
      <c r="P5484" s="9" t="s">
        <v>17748</v>
      </c>
      <c r="Q5484" s="11" t="s">
        <v>17792</v>
      </c>
      <c r="R5484" s="11" t="s">
        <v>17792</v>
      </c>
      <c r="S5484" s="11" t="s">
        <v>17750</v>
      </c>
    </row>
    <row r="5485" spans="1:19" x14ac:dyDescent="0.2">
      <c r="A5485" s="11" t="s">
        <v>49472</v>
      </c>
      <c r="B5485" s="9" t="s">
        <v>49473</v>
      </c>
      <c r="C5485" s="9" t="s">
        <v>49474</v>
      </c>
      <c r="D5485" s="9" t="s">
        <v>49475</v>
      </c>
      <c r="E5485" s="9" t="s">
        <v>17740</v>
      </c>
      <c r="F5485" s="9" t="s">
        <v>49476</v>
      </c>
      <c r="G5485" s="9" t="s">
        <v>17740</v>
      </c>
      <c r="H5485" s="11" t="s">
        <v>4075</v>
      </c>
      <c r="I5485" s="11" t="s">
        <v>4074</v>
      </c>
      <c r="J5485" s="11" t="s">
        <v>4074</v>
      </c>
      <c r="K5485" s="9" t="s">
        <v>27520</v>
      </c>
      <c r="L5485" s="9" t="s">
        <v>18001</v>
      </c>
      <c r="M5485" s="9" t="s">
        <v>18177</v>
      </c>
      <c r="N5485" s="9" t="s">
        <v>17746</v>
      </c>
      <c r="O5485" s="9" t="s">
        <v>18563</v>
      </c>
      <c r="P5485" s="9" t="s">
        <v>17748</v>
      </c>
      <c r="Q5485" s="11" t="s">
        <v>19222</v>
      </c>
      <c r="R5485" s="11" t="s">
        <v>19222</v>
      </c>
      <c r="S5485" s="11" t="s">
        <v>17750</v>
      </c>
    </row>
    <row r="5486" spans="1:19" x14ac:dyDescent="0.2">
      <c r="A5486" s="11" t="s">
        <v>49477</v>
      </c>
      <c r="B5486" s="9" t="s">
        <v>49478</v>
      </c>
      <c r="C5486" s="9" t="s">
        <v>49479</v>
      </c>
      <c r="D5486" s="9" t="s">
        <v>49480</v>
      </c>
      <c r="E5486" s="9" t="s">
        <v>17740</v>
      </c>
      <c r="F5486" s="9" t="s">
        <v>49481</v>
      </c>
      <c r="G5486" s="9" t="s">
        <v>17740</v>
      </c>
      <c r="H5486" s="11" t="s">
        <v>49482</v>
      </c>
      <c r="I5486" s="11" t="s">
        <v>49483</v>
      </c>
      <c r="J5486" s="11" t="s">
        <v>49483</v>
      </c>
      <c r="K5486" s="9" t="s">
        <v>20207</v>
      </c>
      <c r="L5486" s="9" t="s">
        <v>17759</v>
      </c>
      <c r="M5486" s="9" t="s">
        <v>49484</v>
      </c>
      <c r="N5486" s="9" t="s">
        <v>17746</v>
      </c>
      <c r="O5486" s="9" t="s">
        <v>49485</v>
      </c>
      <c r="P5486" s="9" t="s">
        <v>17748</v>
      </c>
      <c r="Q5486" s="11" t="s">
        <v>19335</v>
      </c>
      <c r="R5486" s="11" t="s">
        <v>19335</v>
      </c>
      <c r="S5486" s="11" t="s">
        <v>17750</v>
      </c>
    </row>
    <row r="5487" spans="1:19" x14ac:dyDescent="0.2">
      <c r="A5487" s="11" t="s">
        <v>49486</v>
      </c>
      <c r="B5487" s="9" t="s">
        <v>49487</v>
      </c>
      <c r="C5487" s="9" t="s">
        <v>49488</v>
      </c>
      <c r="D5487" s="9" t="s">
        <v>49489</v>
      </c>
      <c r="E5487" s="9" t="s">
        <v>17740</v>
      </c>
      <c r="F5487" s="9" t="s">
        <v>17741</v>
      </c>
      <c r="G5487" s="9" t="s">
        <v>17740</v>
      </c>
      <c r="H5487" s="11" t="s">
        <v>49490</v>
      </c>
      <c r="I5487" s="11" t="s">
        <v>49491</v>
      </c>
      <c r="J5487" s="11" t="s">
        <v>49491</v>
      </c>
      <c r="K5487" s="9" t="s">
        <v>19447</v>
      </c>
      <c r="L5487" s="9" t="s">
        <v>17759</v>
      </c>
      <c r="M5487" s="9" t="s">
        <v>18109</v>
      </c>
      <c r="N5487" s="9" t="s">
        <v>17746</v>
      </c>
      <c r="O5487" s="9" t="s">
        <v>49492</v>
      </c>
      <c r="P5487" s="9" t="s">
        <v>17748</v>
      </c>
      <c r="Q5487" s="11" t="s">
        <v>19361</v>
      </c>
      <c r="R5487" s="11" t="s">
        <v>19361</v>
      </c>
      <c r="S5487" s="11" t="s">
        <v>17750</v>
      </c>
    </row>
    <row r="5488" spans="1:19" x14ac:dyDescent="0.2">
      <c r="A5488" s="11" t="s">
        <v>49493</v>
      </c>
      <c r="B5488" s="9" t="s">
        <v>49494</v>
      </c>
      <c r="C5488" s="9" t="s">
        <v>49495</v>
      </c>
      <c r="D5488" s="9" t="s">
        <v>49496</v>
      </c>
      <c r="E5488" s="9" t="s">
        <v>17740</v>
      </c>
      <c r="F5488" s="9" t="s">
        <v>17741</v>
      </c>
      <c r="G5488" s="9" t="s">
        <v>17740</v>
      </c>
      <c r="H5488" s="11" t="s">
        <v>17741</v>
      </c>
      <c r="I5488" s="11" t="s">
        <v>49497</v>
      </c>
      <c r="J5488" s="11" t="s">
        <v>49497</v>
      </c>
      <c r="K5488" s="9" t="s">
        <v>17783</v>
      </c>
      <c r="L5488" s="9" t="s">
        <v>17759</v>
      </c>
      <c r="M5488" s="9" t="s">
        <v>17760</v>
      </c>
      <c r="N5488" s="9" t="s">
        <v>17746</v>
      </c>
      <c r="O5488" s="9" t="s">
        <v>21020</v>
      </c>
      <c r="P5488" s="9" t="s">
        <v>17748</v>
      </c>
      <c r="Q5488" s="11" t="s">
        <v>18059</v>
      </c>
      <c r="R5488" s="11" t="s">
        <v>18059</v>
      </c>
      <c r="S5488" s="11" t="s">
        <v>17750</v>
      </c>
    </row>
    <row r="5489" spans="1:19" x14ac:dyDescent="0.2">
      <c r="A5489" s="11" t="s">
        <v>49498</v>
      </c>
      <c r="B5489" s="9" t="s">
        <v>49499</v>
      </c>
      <c r="C5489" s="9" t="s">
        <v>49500</v>
      </c>
      <c r="D5489" s="9" t="s">
        <v>49501</v>
      </c>
      <c r="E5489" s="9" t="s">
        <v>17740</v>
      </c>
      <c r="F5489" s="9" t="s">
        <v>17741</v>
      </c>
      <c r="G5489" s="9" t="s">
        <v>17740</v>
      </c>
      <c r="H5489" s="11" t="s">
        <v>4336</v>
      </c>
      <c r="I5489" s="11" t="s">
        <v>4335</v>
      </c>
      <c r="J5489" s="11" t="s">
        <v>4335</v>
      </c>
      <c r="K5489" s="9" t="s">
        <v>19180</v>
      </c>
      <c r="L5489" s="9" t="s">
        <v>17759</v>
      </c>
      <c r="M5489" s="9" t="s">
        <v>18533</v>
      </c>
      <c r="N5489" s="9" t="s">
        <v>17746</v>
      </c>
      <c r="O5489" s="9" t="s">
        <v>49502</v>
      </c>
      <c r="P5489" s="9" t="s">
        <v>17748</v>
      </c>
      <c r="Q5489" s="11" t="s">
        <v>18364</v>
      </c>
      <c r="R5489" s="11" t="s">
        <v>18364</v>
      </c>
      <c r="S5489" s="11" t="s">
        <v>17750</v>
      </c>
    </row>
    <row r="5490" spans="1:19" x14ac:dyDescent="0.2">
      <c r="A5490" s="11" t="s">
        <v>49503</v>
      </c>
      <c r="B5490" s="9" t="s">
        <v>49504</v>
      </c>
      <c r="C5490" s="9" t="s">
        <v>49505</v>
      </c>
      <c r="D5490" s="9" t="s">
        <v>49506</v>
      </c>
      <c r="E5490" s="9" t="s">
        <v>17748</v>
      </c>
      <c r="F5490" s="9" t="s">
        <v>49507</v>
      </c>
      <c r="G5490" s="9" t="s">
        <v>17740</v>
      </c>
      <c r="H5490" s="11" t="s">
        <v>6223</v>
      </c>
      <c r="I5490" s="11" t="s">
        <v>6222</v>
      </c>
      <c r="J5490" s="11" t="s">
        <v>6222</v>
      </c>
      <c r="K5490" s="9" t="s">
        <v>17790</v>
      </c>
      <c r="L5490" s="9" t="s">
        <v>18158</v>
      </c>
      <c r="M5490" s="9" t="s">
        <v>18289</v>
      </c>
      <c r="N5490" s="9" t="s">
        <v>17746</v>
      </c>
      <c r="O5490" s="9" t="s">
        <v>40293</v>
      </c>
      <c r="P5490" s="9" t="s">
        <v>17748</v>
      </c>
      <c r="Q5490" s="11" t="s">
        <v>17808</v>
      </c>
      <c r="R5490" s="11" t="s">
        <v>17808</v>
      </c>
      <c r="S5490" s="11" t="s">
        <v>17750</v>
      </c>
    </row>
    <row r="5491" spans="1:19" x14ac:dyDescent="0.2">
      <c r="A5491" s="11" t="s">
        <v>49508</v>
      </c>
      <c r="B5491" s="9" t="s">
        <v>6430</v>
      </c>
      <c r="C5491" s="9" t="s">
        <v>49509</v>
      </c>
      <c r="D5491" s="9" t="s">
        <v>49510</v>
      </c>
      <c r="E5491" s="9" t="s">
        <v>17740</v>
      </c>
      <c r="F5491" s="9" t="s">
        <v>49511</v>
      </c>
      <c r="G5491" s="9" t="s">
        <v>17740</v>
      </c>
      <c r="H5491" s="11" t="s">
        <v>6432</v>
      </c>
      <c r="I5491" s="11" t="s">
        <v>6431</v>
      </c>
      <c r="J5491" s="11" t="s">
        <v>6432</v>
      </c>
      <c r="K5491" s="9" t="s">
        <v>49512</v>
      </c>
      <c r="L5491" s="9" t="s">
        <v>17958</v>
      </c>
      <c r="M5491" s="9" t="s">
        <v>17769</v>
      </c>
      <c r="N5491" s="9" t="s">
        <v>17746</v>
      </c>
      <c r="O5491" s="9" t="s">
        <v>4048</v>
      </c>
      <c r="P5491" s="9" t="s">
        <v>17748</v>
      </c>
      <c r="Q5491" s="11" t="s">
        <v>17917</v>
      </c>
      <c r="R5491" s="11" t="s">
        <v>17917</v>
      </c>
      <c r="S5491" s="11" t="s">
        <v>17750</v>
      </c>
    </row>
    <row r="5492" spans="1:19" x14ac:dyDescent="0.2">
      <c r="A5492" s="11" t="s">
        <v>49513</v>
      </c>
      <c r="B5492" s="9" t="s">
        <v>4048</v>
      </c>
      <c r="C5492" s="9" t="s">
        <v>49514</v>
      </c>
      <c r="D5492" s="9" t="s">
        <v>4048</v>
      </c>
      <c r="E5492" s="9" t="s">
        <v>17740</v>
      </c>
      <c r="F5492" s="9" t="s">
        <v>17741</v>
      </c>
      <c r="G5492" s="9" t="s">
        <v>17740</v>
      </c>
      <c r="H5492" s="11" t="s">
        <v>4050</v>
      </c>
      <c r="I5492" s="11" t="s">
        <v>4049</v>
      </c>
      <c r="J5492" s="11" t="s">
        <v>4049</v>
      </c>
      <c r="K5492" s="9" t="s">
        <v>21054</v>
      </c>
      <c r="L5492" s="9" t="s">
        <v>17759</v>
      </c>
      <c r="M5492" s="9" t="s">
        <v>24169</v>
      </c>
      <c r="N5492" s="9" t="s">
        <v>17746</v>
      </c>
      <c r="O5492" s="9" t="s">
        <v>4048</v>
      </c>
      <c r="P5492" s="9" t="s">
        <v>17748</v>
      </c>
      <c r="Q5492" s="11" t="s">
        <v>21569</v>
      </c>
      <c r="R5492" s="11" t="s">
        <v>21569</v>
      </c>
      <c r="S5492" s="11" t="s">
        <v>17750</v>
      </c>
    </row>
    <row r="5493" spans="1:19" x14ac:dyDescent="0.2">
      <c r="A5493" s="11" t="s">
        <v>49515</v>
      </c>
      <c r="B5493" s="9" t="s">
        <v>49516</v>
      </c>
      <c r="C5493" s="9" t="s">
        <v>49517</v>
      </c>
      <c r="D5493" s="9" t="s">
        <v>49518</v>
      </c>
      <c r="E5493" s="9" t="s">
        <v>17740</v>
      </c>
      <c r="F5493" s="9" t="s">
        <v>17741</v>
      </c>
      <c r="G5493" s="9" t="s">
        <v>17740</v>
      </c>
      <c r="H5493" s="11" t="s">
        <v>10682</v>
      </c>
      <c r="I5493" s="11" t="s">
        <v>17741</v>
      </c>
      <c r="J5493" s="11" t="s">
        <v>10682</v>
      </c>
      <c r="K5493" s="9" t="s">
        <v>18570</v>
      </c>
      <c r="L5493" s="9" t="s">
        <v>17744</v>
      </c>
      <c r="M5493" s="9" t="s">
        <v>17741</v>
      </c>
      <c r="N5493" s="9" t="s">
        <v>17746</v>
      </c>
      <c r="O5493" s="9" t="s">
        <v>4048</v>
      </c>
      <c r="P5493" s="9" t="s">
        <v>17748</v>
      </c>
      <c r="Q5493" s="11" t="s">
        <v>17780</v>
      </c>
      <c r="R5493" s="11" t="s">
        <v>17780</v>
      </c>
      <c r="S5493" s="11" t="s">
        <v>17750</v>
      </c>
    </row>
    <row r="5494" spans="1:19" x14ac:dyDescent="0.2">
      <c r="A5494" s="11" t="s">
        <v>49519</v>
      </c>
      <c r="B5494" s="9" t="s">
        <v>49520</v>
      </c>
      <c r="C5494" s="9" t="s">
        <v>49521</v>
      </c>
      <c r="D5494" s="9" t="s">
        <v>49522</v>
      </c>
      <c r="E5494" s="9" t="s">
        <v>17740</v>
      </c>
      <c r="F5494" s="9" t="s">
        <v>17741</v>
      </c>
      <c r="G5494" s="9" t="s">
        <v>17740</v>
      </c>
      <c r="H5494" s="11" t="s">
        <v>49523</v>
      </c>
      <c r="I5494" s="11" t="s">
        <v>17741</v>
      </c>
      <c r="J5494" s="11" t="s">
        <v>49523</v>
      </c>
      <c r="K5494" s="9" t="s">
        <v>2128</v>
      </c>
      <c r="L5494" s="9" t="s">
        <v>17759</v>
      </c>
      <c r="M5494" s="9" t="s">
        <v>17817</v>
      </c>
      <c r="N5494" s="9" t="s">
        <v>17746</v>
      </c>
      <c r="O5494" s="9" t="s">
        <v>17874</v>
      </c>
      <c r="P5494" s="9" t="s">
        <v>17748</v>
      </c>
      <c r="Q5494" s="11" t="s">
        <v>18356</v>
      </c>
      <c r="R5494" s="11" t="s">
        <v>18356</v>
      </c>
      <c r="S5494" s="11" t="s">
        <v>17750</v>
      </c>
    </row>
    <row r="5495" spans="1:19" x14ac:dyDescent="0.2">
      <c r="A5495" s="11" t="s">
        <v>49524</v>
      </c>
      <c r="B5495" s="9" t="s">
        <v>14579</v>
      </c>
      <c r="C5495" s="9" t="s">
        <v>49525</v>
      </c>
      <c r="D5495" s="9" t="s">
        <v>14579</v>
      </c>
      <c r="E5495" s="9" t="s">
        <v>17740</v>
      </c>
      <c r="F5495" s="9" t="s">
        <v>17741</v>
      </c>
      <c r="G5495" s="9" t="s">
        <v>17740</v>
      </c>
      <c r="H5495" s="11" t="s">
        <v>14581</v>
      </c>
      <c r="I5495" s="11" t="s">
        <v>14580</v>
      </c>
      <c r="J5495" s="11" t="s">
        <v>14580</v>
      </c>
      <c r="K5495" s="9" t="s">
        <v>10332</v>
      </c>
      <c r="L5495" s="9" t="s">
        <v>17759</v>
      </c>
      <c r="M5495" s="9" t="s">
        <v>34895</v>
      </c>
      <c r="N5495" s="9" t="s">
        <v>17746</v>
      </c>
      <c r="O5495" s="9" t="s">
        <v>18746</v>
      </c>
      <c r="P5495" s="9" t="s">
        <v>17748</v>
      </c>
      <c r="Q5495" s="11" t="s">
        <v>17900</v>
      </c>
      <c r="R5495" s="11" t="s">
        <v>17900</v>
      </c>
      <c r="S5495" s="11" t="s">
        <v>17750</v>
      </c>
    </row>
    <row r="5496" spans="1:19" x14ac:dyDescent="0.2">
      <c r="A5496" s="11" t="s">
        <v>49526</v>
      </c>
      <c r="B5496" s="9" t="s">
        <v>49527</v>
      </c>
      <c r="C5496" s="9" t="s">
        <v>49528</v>
      </c>
      <c r="D5496" s="9" t="s">
        <v>5186</v>
      </c>
      <c r="E5496" s="9" t="s">
        <v>17740</v>
      </c>
      <c r="F5496" s="9" t="s">
        <v>17741</v>
      </c>
      <c r="G5496" s="9" t="s">
        <v>17740</v>
      </c>
      <c r="H5496" s="11" t="s">
        <v>5188</v>
      </c>
      <c r="I5496" s="11" t="s">
        <v>5187</v>
      </c>
      <c r="J5496" s="11" t="s">
        <v>5187</v>
      </c>
      <c r="K5496" s="9" t="s">
        <v>21011</v>
      </c>
      <c r="L5496" s="9" t="s">
        <v>17759</v>
      </c>
      <c r="M5496" s="9" t="s">
        <v>18065</v>
      </c>
      <c r="N5496" s="9" t="s">
        <v>17746</v>
      </c>
      <c r="O5496" s="9" t="s">
        <v>49529</v>
      </c>
      <c r="P5496" s="9" t="s">
        <v>17748</v>
      </c>
      <c r="Q5496" s="11" t="s">
        <v>18364</v>
      </c>
      <c r="R5496" s="11" t="s">
        <v>18364</v>
      </c>
      <c r="S5496" s="11" t="s">
        <v>17750</v>
      </c>
    </row>
    <row r="5497" spans="1:19" x14ac:dyDescent="0.2">
      <c r="A5497" s="11" t="s">
        <v>49530</v>
      </c>
      <c r="B5497" s="9" t="s">
        <v>49531</v>
      </c>
      <c r="C5497" s="9" t="s">
        <v>49532</v>
      </c>
      <c r="D5497" s="9" t="s">
        <v>49533</v>
      </c>
      <c r="E5497" s="9" t="s">
        <v>17740</v>
      </c>
      <c r="F5497" s="9" t="s">
        <v>17741</v>
      </c>
      <c r="G5497" s="9" t="s">
        <v>17740</v>
      </c>
      <c r="H5497" s="11" t="s">
        <v>4047</v>
      </c>
      <c r="I5497" s="11" t="s">
        <v>4046</v>
      </c>
      <c r="J5497" s="11" t="s">
        <v>4046</v>
      </c>
      <c r="K5497" s="9" t="s">
        <v>18661</v>
      </c>
      <c r="L5497" s="9" t="s">
        <v>18001</v>
      </c>
      <c r="M5497" s="9" t="s">
        <v>49534</v>
      </c>
      <c r="N5497" s="9" t="s">
        <v>17746</v>
      </c>
      <c r="O5497" s="9" t="s">
        <v>4048</v>
      </c>
      <c r="P5497" s="9" t="s">
        <v>17748</v>
      </c>
      <c r="Q5497" s="11" t="s">
        <v>18341</v>
      </c>
      <c r="R5497" s="11" t="s">
        <v>18341</v>
      </c>
      <c r="S5497" s="11" t="s">
        <v>17750</v>
      </c>
    </row>
    <row r="5498" spans="1:19" x14ac:dyDescent="0.2">
      <c r="A5498" s="11" t="s">
        <v>49535</v>
      </c>
      <c r="B5498" s="9" t="s">
        <v>15193</v>
      </c>
      <c r="C5498" s="9" t="s">
        <v>49536</v>
      </c>
      <c r="D5498" s="9" t="s">
        <v>15193</v>
      </c>
      <c r="E5498" s="9" t="s">
        <v>17740</v>
      </c>
      <c r="F5498" s="9" t="s">
        <v>17741</v>
      </c>
      <c r="G5498" s="9" t="s">
        <v>17740</v>
      </c>
      <c r="H5498" s="11" t="s">
        <v>15194</v>
      </c>
      <c r="I5498" s="11" t="s">
        <v>17741</v>
      </c>
      <c r="J5498" s="11" t="s">
        <v>15194</v>
      </c>
      <c r="K5498" s="9" t="s">
        <v>32492</v>
      </c>
      <c r="L5498" s="9" t="s">
        <v>18123</v>
      </c>
      <c r="M5498" s="9" t="s">
        <v>17760</v>
      </c>
      <c r="N5498" s="9" t="s">
        <v>17746</v>
      </c>
      <c r="O5498" s="9" t="s">
        <v>4048</v>
      </c>
      <c r="P5498" s="9" t="s">
        <v>17748</v>
      </c>
      <c r="Q5498" s="11" t="s">
        <v>17825</v>
      </c>
      <c r="R5498" s="11" t="s">
        <v>17825</v>
      </c>
      <c r="S5498" s="11" t="s">
        <v>17750</v>
      </c>
    </row>
    <row r="5499" spans="1:19" x14ac:dyDescent="0.2">
      <c r="A5499" s="11" t="s">
        <v>49537</v>
      </c>
      <c r="B5499" s="9" t="s">
        <v>49538</v>
      </c>
      <c r="C5499" s="9" t="s">
        <v>49539</v>
      </c>
      <c r="D5499" s="9" t="s">
        <v>49540</v>
      </c>
      <c r="E5499" s="9" t="s">
        <v>17740</v>
      </c>
      <c r="F5499" s="9" t="s">
        <v>49541</v>
      </c>
      <c r="G5499" s="9" t="s">
        <v>17740</v>
      </c>
      <c r="H5499" s="11" t="s">
        <v>4053</v>
      </c>
      <c r="I5499" s="11" t="s">
        <v>4052</v>
      </c>
      <c r="J5499" s="11" t="s">
        <v>4052</v>
      </c>
      <c r="K5499" s="9" t="s">
        <v>21614</v>
      </c>
      <c r="L5499" s="9" t="s">
        <v>17744</v>
      </c>
      <c r="M5499" s="9" t="s">
        <v>49542</v>
      </c>
      <c r="N5499" s="9" t="s">
        <v>17746</v>
      </c>
      <c r="O5499" s="9" t="s">
        <v>3255</v>
      </c>
      <c r="P5499" s="9" t="s">
        <v>17748</v>
      </c>
      <c r="Q5499" s="11" t="s">
        <v>18306</v>
      </c>
      <c r="R5499" s="11" t="s">
        <v>18306</v>
      </c>
      <c r="S5499" s="11" t="s">
        <v>17750</v>
      </c>
    </row>
    <row r="5500" spans="1:19" x14ac:dyDescent="0.2">
      <c r="A5500" s="11" t="s">
        <v>49543</v>
      </c>
      <c r="B5500" s="9" t="s">
        <v>49544</v>
      </c>
      <c r="C5500" s="9" t="s">
        <v>49545</v>
      </c>
      <c r="D5500" s="9" t="s">
        <v>49546</v>
      </c>
      <c r="E5500" s="9" t="s">
        <v>17740</v>
      </c>
      <c r="F5500" s="9" t="s">
        <v>17741</v>
      </c>
      <c r="G5500" s="9" t="s">
        <v>17740</v>
      </c>
      <c r="H5500" s="11" t="s">
        <v>6940</v>
      </c>
      <c r="I5500" s="11" t="s">
        <v>6939</v>
      </c>
      <c r="J5500" s="11" t="s">
        <v>6939</v>
      </c>
      <c r="K5500" s="9" t="s">
        <v>724</v>
      </c>
      <c r="L5500" s="9" t="s">
        <v>17744</v>
      </c>
      <c r="M5500" s="9" t="s">
        <v>17769</v>
      </c>
      <c r="N5500" s="9" t="s">
        <v>17746</v>
      </c>
      <c r="O5500" s="9" t="s">
        <v>36953</v>
      </c>
      <c r="P5500" s="9" t="s">
        <v>17748</v>
      </c>
      <c r="Q5500" s="11" t="s">
        <v>18678</v>
      </c>
      <c r="R5500" s="11" t="s">
        <v>18678</v>
      </c>
      <c r="S5500" s="11" t="s">
        <v>17750</v>
      </c>
    </row>
    <row r="5501" spans="1:19" x14ac:dyDescent="0.2">
      <c r="A5501" s="11" t="s">
        <v>49547</v>
      </c>
      <c r="B5501" s="9" t="s">
        <v>49548</v>
      </c>
      <c r="C5501" s="9" t="s">
        <v>49549</v>
      </c>
      <c r="D5501" s="9" t="s">
        <v>49550</v>
      </c>
      <c r="E5501" s="9" t="s">
        <v>17740</v>
      </c>
      <c r="F5501" s="9" t="s">
        <v>49551</v>
      </c>
      <c r="G5501" s="9" t="s">
        <v>17740</v>
      </c>
      <c r="H5501" s="11" t="s">
        <v>17741</v>
      </c>
      <c r="I5501" s="11" t="s">
        <v>49552</v>
      </c>
      <c r="J5501" s="11" t="s">
        <v>49552</v>
      </c>
      <c r="K5501" s="9" t="s">
        <v>41768</v>
      </c>
      <c r="L5501" s="9" t="s">
        <v>17759</v>
      </c>
      <c r="M5501" s="9" t="s">
        <v>17942</v>
      </c>
      <c r="N5501" s="9" t="s">
        <v>17746</v>
      </c>
      <c r="O5501" s="9" t="s">
        <v>49553</v>
      </c>
      <c r="P5501" s="9" t="s">
        <v>17748</v>
      </c>
      <c r="Q5501" s="11" t="s">
        <v>17978</v>
      </c>
      <c r="R5501" s="11" t="s">
        <v>17978</v>
      </c>
      <c r="S5501" s="11" t="s">
        <v>17750</v>
      </c>
    </row>
    <row r="5502" spans="1:19" x14ac:dyDescent="0.2">
      <c r="A5502" s="11" t="s">
        <v>49554</v>
      </c>
      <c r="B5502" s="9" t="s">
        <v>49555</v>
      </c>
      <c r="C5502" s="9" t="s">
        <v>49556</v>
      </c>
      <c r="D5502" s="9" t="s">
        <v>49557</v>
      </c>
      <c r="E5502" s="9" t="s">
        <v>17740</v>
      </c>
      <c r="F5502" s="9" t="s">
        <v>49558</v>
      </c>
      <c r="G5502" s="9" t="s">
        <v>17740</v>
      </c>
      <c r="H5502" s="11" t="s">
        <v>17741</v>
      </c>
      <c r="I5502" s="11" t="s">
        <v>49559</v>
      </c>
      <c r="J5502" s="11" t="s">
        <v>49559</v>
      </c>
      <c r="K5502" s="9" t="s">
        <v>49560</v>
      </c>
      <c r="L5502" s="9" t="s">
        <v>17759</v>
      </c>
      <c r="M5502" s="9" t="s">
        <v>17942</v>
      </c>
      <c r="N5502" s="9" t="s">
        <v>17746</v>
      </c>
      <c r="O5502" s="9" t="s">
        <v>49553</v>
      </c>
      <c r="P5502" s="9" t="s">
        <v>17748</v>
      </c>
      <c r="Q5502" s="11" t="s">
        <v>17849</v>
      </c>
      <c r="R5502" s="11" t="s">
        <v>17849</v>
      </c>
      <c r="S5502" s="11" t="s">
        <v>17750</v>
      </c>
    </row>
    <row r="5503" spans="1:19" x14ac:dyDescent="0.2">
      <c r="A5503" s="11" t="s">
        <v>49561</v>
      </c>
      <c r="B5503" s="9" t="s">
        <v>49562</v>
      </c>
      <c r="C5503" s="9" t="s">
        <v>49563</v>
      </c>
      <c r="D5503" s="9" t="s">
        <v>49564</v>
      </c>
      <c r="E5503" s="9" t="s">
        <v>17740</v>
      </c>
      <c r="F5503" s="9" t="s">
        <v>17741</v>
      </c>
      <c r="G5503" s="9" t="s">
        <v>17740</v>
      </c>
      <c r="H5503" s="11" t="s">
        <v>17741</v>
      </c>
      <c r="I5503" s="11" t="s">
        <v>49565</v>
      </c>
      <c r="J5503" s="11" t="s">
        <v>49565</v>
      </c>
      <c r="K5503" s="9" t="s">
        <v>30892</v>
      </c>
      <c r="L5503" s="9" t="s">
        <v>17759</v>
      </c>
      <c r="M5503" s="9" t="s">
        <v>17942</v>
      </c>
      <c r="N5503" s="9" t="s">
        <v>17746</v>
      </c>
      <c r="O5503" s="9" t="s">
        <v>49553</v>
      </c>
      <c r="P5503" s="9" t="s">
        <v>17748</v>
      </c>
      <c r="Q5503" s="11" t="s">
        <v>18072</v>
      </c>
      <c r="R5503" s="11" t="s">
        <v>18072</v>
      </c>
      <c r="S5503" s="11" t="s">
        <v>17750</v>
      </c>
    </row>
    <row r="5504" spans="1:19" x14ac:dyDescent="0.2">
      <c r="A5504" s="11" t="s">
        <v>49566</v>
      </c>
      <c r="B5504" s="9" t="s">
        <v>49567</v>
      </c>
      <c r="C5504" s="9" t="s">
        <v>49568</v>
      </c>
      <c r="D5504" s="9" t="s">
        <v>49569</v>
      </c>
      <c r="E5504" s="9" t="s">
        <v>17740</v>
      </c>
      <c r="F5504" s="9" t="s">
        <v>17741</v>
      </c>
      <c r="G5504" s="9" t="s">
        <v>17740</v>
      </c>
      <c r="H5504" s="11" t="s">
        <v>17741</v>
      </c>
      <c r="I5504" s="11" t="s">
        <v>49570</v>
      </c>
      <c r="J5504" s="11" t="s">
        <v>49570</v>
      </c>
      <c r="K5504" s="9" t="s">
        <v>49571</v>
      </c>
      <c r="L5504" s="9" t="s">
        <v>17759</v>
      </c>
      <c r="M5504" s="9" t="s">
        <v>17942</v>
      </c>
      <c r="N5504" s="9" t="s">
        <v>17746</v>
      </c>
      <c r="O5504" s="9" t="s">
        <v>49553</v>
      </c>
      <c r="P5504" s="9" t="s">
        <v>17748</v>
      </c>
      <c r="Q5504" s="11" t="s">
        <v>17849</v>
      </c>
      <c r="R5504" s="11" t="s">
        <v>17849</v>
      </c>
      <c r="S5504" s="11" t="s">
        <v>17750</v>
      </c>
    </row>
    <row r="5505" spans="1:19" x14ac:dyDescent="0.2">
      <c r="A5505" s="11" t="s">
        <v>49572</v>
      </c>
      <c r="B5505" s="9" t="s">
        <v>49573</v>
      </c>
      <c r="C5505" s="9" t="s">
        <v>49574</v>
      </c>
      <c r="D5505" s="9" t="s">
        <v>49575</v>
      </c>
      <c r="E5505" s="9" t="s">
        <v>17740</v>
      </c>
      <c r="F5505" s="9" t="s">
        <v>17741</v>
      </c>
      <c r="G5505" s="9" t="s">
        <v>17740</v>
      </c>
      <c r="H5505" s="11" t="s">
        <v>17741</v>
      </c>
      <c r="I5505" s="11" t="s">
        <v>49576</v>
      </c>
      <c r="J5505" s="11" t="s">
        <v>49576</v>
      </c>
      <c r="K5505" s="9" t="s">
        <v>49560</v>
      </c>
      <c r="L5505" s="9" t="s">
        <v>17759</v>
      </c>
      <c r="M5505" s="9" t="s">
        <v>17942</v>
      </c>
      <c r="N5505" s="9" t="s">
        <v>17746</v>
      </c>
      <c r="O5505" s="9" t="s">
        <v>49553</v>
      </c>
      <c r="P5505" s="9" t="s">
        <v>17748</v>
      </c>
      <c r="Q5505" s="11" t="s">
        <v>19236</v>
      </c>
      <c r="R5505" s="11" t="s">
        <v>19236</v>
      </c>
      <c r="S5505" s="11" t="s">
        <v>17750</v>
      </c>
    </row>
    <row r="5506" spans="1:19" x14ac:dyDescent="0.2">
      <c r="A5506" s="11" t="s">
        <v>49577</v>
      </c>
      <c r="B5506" s="9" t="s">
        <v>49578</v>
      </c>
      <c r="C5506" s="9" t="s">
        <v>49579</v>
      </c>
      <c r="D5506" s="9" t="s">
        <v>49580</v>
      </c>
      <c r="E5506" s="9" t="s">
        <v>17740</v>
      </c>
      <c r="F5506" s="9" t="s">
        <v>49581</v>
      </c>
      <c r="G5506" s="9" t="s">
        <v>17740</v>
      </c>
      <c r="H5506" s="11" t="s">
        <v>17741</v>
      </c>
      <c r="I5506" s="11" t="s">
        <v>49582</v>
      </c>
      <c r="J5506" s="11" t="s">
        <v>49582</v>
      </c>
      <c r="K5506" s="9" t="s">
        <v>49560</v>
      </c>
      <c r="L5506" s="9" t="s">
        <v>17759</v>
      </c>
      <c r="M5506" s="9" t="s">
        <v>17942</v>
      </c>
      <c r="N5506" s="9" t="s">
        <v>17746</v>
      </c>
      <c r="O5506" s="9" t="s">
        <v>49553</v>
      </c>
      <c r="P5506" s="9" t="s">
        <v>17748</v>
      </c>
      <c r="Q5506" s="11" t="s">
        <v>20251</v>
      </c>
      <c r="R5506" s="11" t="s">
        <v>20251</v>
      </c>
      <c r="S5506" s="11" t="s">
        <v>17750</v>
      </c>
    </row>
    <row r="5507" spans="1:19" x14ac:dyDescent="0.2">
      <c r="A5507" s="11" t="s">
        <v>49583</v>
      </c>
      <c r="B5507" s="9" t="s">
        <v>49584</v>
      </c>
      <c r="C5507" s="9" t="s">
        <v>49585</v>
      </c>
      <c r="D5507" s="9" t="s">
        <v>49586</v>
      </c>
      <c r="E5507" s="9" t="s">
        <v>17740</v>
      </c>
      <c r="F5507" s="9" t="s">
        <v>49587</v>
      </c>
      <c r="G5507" s="9" t="s">
        <v>17740</v>
      </c>
      <c r="H5507" s="11" t="s">
        <v>17741</v>
      </c>
      <c r="I5507" s="11" t="s">
        <v>49588</v>
      </c>
      <c r="J5507" s="11" t="s">
        <v>49588</v>
      </c>
      <c r="K5507" s="9" t="s">
        <v>49560</v>
      </c>
      <c r="L5507" s="9" t="s">
        <v>17759</v>
      </c>
      <c r="M5507" s="9" t="s">
        <v>17942</v>
      </c>
      <c r="N5507" s="9" t="s">
        <v>17746</v>
      </c>
      <c r="O5507" s="9" t="s">
        <v>49553</v>
      </c>
      <c r="P5507" s="9" t="s">
        <v>17748</v>
      </c>
      <c r="Q5507" s="11" t="s">
        <v>17849</v>
      </c>
      <c r="R5507" s="11" t="s">
        <v>17849</v>
      </c>
      <c r="S5507" s="11" t="s">
        <v>17750</v>
      </c>
    </row>
    <row r="5508" spans="1:19" x14ac:dyDescent="0.2">
      <c r="A5508" s="11" t="s">
        <v>49589</v>
      </c>
      <c r="B5508" s="9" t="s">
        <v>49590</v>
      </c>
      <c r="C5508" s="9" t="s">
        <v>49591</v>
      </c>
      <c r="D5508" s="9" t="s">
        <v>49592</v>
      </c>
      <c r="E5508" s="9" t="s">
        <v>17740</v>
      </c>
      <c r="F5508" s="9" t="s">
        <v>17741</v>
      </c>
      <c r="G5508" s="9" t="s">
        <v>17740</v>
      </c>
      <c r="H5508" s="11" t="s">
        <v>17741</v>
      </c>
      <c r="I5508" s="11" t="s">
        <v>49593</v>
      </c>
      <c r="J5508" s="11" t="s">
        <v>49593</v>
      </c>
      <c r="K5508" s="9" t="s">
        <v>49560</v>
      </c>
      <c r="L5508" s="9" t="s">
        <v>17759</v>
      </c>
      <c r="M5508" s="9" t="s">
        <v>17942</v>
      </c>
      <c r="N5508" s="9" t="s">
        <v>17746</v>
      </c>
      <c r="O5508" s="9" t="s">
        <v>49553</v>
      </c>
      <c r="P5508" s="9" t="s">
        <v>17748</v>
      </c>
      <c r="Q5508" s="11" t="s">
        <v>18072</v>
      </c>
      <c r="R5508" s="11" t="s">
        <v>18072</v>
      </c>
      <c r="S5508" s="11" t="s">
        <v>17750</v>
      </c>
    </row>
    <row r="5509" spans="1:19" x14ac:dyDescent="0.2">
      <c r="A5509" s="11" t="s">
        <v>49594</v>
      </c>
      <c r="B5509" s="9" t="s">
        <v>49595</v>
      </c>
      <c r="C5509" s="9" t="s">
        <v>49596</v>
      </c>
      <c r="D5509" s="9" t="s">
        <v>49597</v>
      </c>
      <c r="E5509" s="9" t="s">
        <v>17748</v>
      </c>
      <c r="F5509" s="9" t="s">
        <v>49598</v>
      </c>
      <c r="G5509" s="9" t="s">
        <v>17740</v>
      </c>
      <c r="H5509" s="11" t="s">
        <v>17741</v>
      </c>
      <c r="I5509" s="11" t="s">
        <v>49599</v>
      </c>
      <c r="J5509" s="11" t="s">
        <v>49599</v>
      </c>
      <c r="K5509" s="9" t="s">
        <v>49600</v>
      </c>
      <c r="L5509" s="9" t="s">
        <v>17759</v>
      </c>
      <c r="M5509" s="9" t="s">
        <v>17942</v>
      </c>
      <c r="N5509" s="9" t="s">
        <v>17746</v>
      </c>
      <c r="O5509" s="9" t="s">
        <v>49553</v>
      </c>
      <c r="P5509" s="9" t="s">
        <v>17748</v>
      </c>
      <c r="Q5509" s="11" t="s">
        <v>17819</v>
      </c>
      <c r="R5509" s="11" t="s">
        <v>17819</v>
      </c>
      <c r="S5509" s="11" t="s">
        <v>17750</v>
      </c>
    </row>
    <row r="5510" spans="1:19" x14ac:dyDescent="0.2">
      <c r="A5510" s="11" t="s">
        <v>49601</v>
      </c>
      <c r="B5510" s="9" t="s">
        <v>49602</v>
      </c>
      <c r="C5510" s="9" t="s">
        <v>49603</v>
      </c>
      <c r="D5510" s="9" t="s">
        <v>49604</v>
      </c>
      <c r="E5510" s="9" t="s">
        <v>17740</v>
      </c>
      <c r="F5510" s="9" t="s">
        <v>17741</v>
      </c>
      <c r="G5510" s="9" t="s">
        <v>17740</v>
      </c>
      <c r="H5510" s="11" t="s">
        <v>17741</v>
      </c>
      <c r="I5510" s="11" t="s">
        <v>49605</v>
      </c>
      <c r="J5510" s="11" t="s">
        <v>49605</v>
      </c>
      <c r="K5510" s="9" t="s">
        <v>49606</v>
      </c>
      <c r="L5510" s="9" t="s">
        <v>17759</v>
      </c>
      <c r="M5510" s="9" t="s">
        <v>17942</v>
      </c>
      <c r="N5510" s="9" t="s">
        <v>17746</v>
      </c>
      <c r="O5510" s="9" t="s">
        <v>49553</v>
      </c>
      <c r="P5510" s="9" t="s">
        <v>17748</v>
      </c>
      <c r="Q5510" s="11" t="s">
        <v>18600</v>
      </c>
      <c r="R5510" s="11" t="s">
        <v>18600</v>
      </c>
      <c r="S5510" s="11" t="s">
        <v>17750</v>
      </c>
    </row>
    <row r="5511" spans="1:19" x14ac:dyDescent="0.2">
      <c r="A5511" s="11" t="s">
        <v>49607</v>
      </c>
      <c r="B5511" s="9" t="s">
        <v>49608</v>
      </c>
      <c r="C5511" s="9" t="s">
        <v>49609</v>
      </c>
      <c r="D5511" s="9" t="s">
        <v>49610</v>
      </c>
      <c r="E5511" s="9" t="s">
        <v>17740</v>
      </c>
      <c r="F5511" s="9" t="s">
        <v>17741</v>
      </c>
      <c r="G5511" s="9" t="s">
        <v>17740</v>
      </c>
      <c r="H5511" s="11" t="s">
        <v>17741</v>
      </c>
      <c r="I5511" s="11" t="s">
        <v>49611</v>
      </c>
      <c r="J5511" s="11" t="s">
        <v>49611</v>
      </c>
      <c r="K5511" s="9" t="s">
        <v>49612</v>
      </c>
      <c r="L5511" s="9" t="s">
        <v>17759</v>
      </c>
      <c r="M5511" s="9" t="s">
        <v>17942</v>
      </c>
      <c r="N5511" s="9" t="s">
        <v>17746</v>
      </c>
      <c r="O5511" s="9" t="s">
        <v>49553</v>
      </c>
      <c r="P5511" s="9" t="s">
        <v>17748</v>
      </c>
      <c r="Q5511" s="11" t="s">
        <v>18341</v>
      </c>
      <c r="R5511" s="11" t="s">
        <v>18341</v>
      </c>
      <c r="S5511" s="11" t="s">
        <v>17750</v>
      </c>
    </row>
    <row r="5512" spans="1:19" x14ac:dyDescent="0.2">
      <c r="A5512" s="11" t="s">
        <v>49613</v>
      </c>
      <c r="B5512" s="9" t="s">
        <v>49614</v>
      </c>
      <c r="C5512" s="9" t="s">
        <v>49615</v>
      </c>
      <c r="D5512" s="9" t="s">
        <v>49616</v>
      </c>
      <c r="E5512" s="9" t="s">
        <v>17740</v>
      </c>
      <c r="F5512" s="9" t="s">
        <v>17741</v>
      </c>
      <c r="G5512" s="9" t="s">
        <v>17740</v>
      </c>
      <c r="H5512" s="11" t="s">
        <v>17741</v>
      </c>
      <c r="I5512" s="11" t="s">
        <v>49617</v>
      </c>
      <c r="J5512" s="11" t="s">
        <v>49617</v>
      </c>
      <c r="K5512" s="9" t="s">
        <v>21054</v>
      </c>
      <c r="L5512" s="9" t="s">
        <v>17759</v>
      </c>
      <c r="M5512" s="9" t="s">
        <v>18745</v>
      </c>
      <c r="N5512" s="9" t="s">
        <v>17746</v>
      </c>
      <c r="O5512" s="9" t="s">
        <v>28068</v>
      </c>
      <c r="P5512" s="9" t="s">
        <v>17748</v>
      </c>
      <c r="Q5512" s="11" t="s">
        <v>20361</v>
      </c>
      <c r="R5512" s="11" t="s">
        <v>20361</v>
      </c>
      <c r="S5512" s="11" t="s">
        <v>17750</v>
      </c>
    </row>
    <row r="5513" spans="1:19" x14ac:dyDescent="0.2">
      <c r="A5513" s="11" t="s">
        <v>49618</v>
      </c>
      <c r="B5513" s="9" t="s">
        <v>49619</v>
      </c>
      <c r="C5513" s="9" t="s">
        <v>49620</v>
      </c>
      <c r="D5513" s="9" t="s">
        <v>49621</v>
      </c>
      <c r="E5513" s="9" t="s">
        <v>17740</v>
      </c>
      <c r="F5513" s="9" t="s">
        <v>49622</v>
      </c>
      <c r="G5513" s="9" t="s">
        <v>17740</v>
      </c>
      <c r="H5513" s="11" t="s">
        <v>4059</v>
      </c>
      <c r="I5513" s="11" t="s">
        <v>4058</v>
      </c>
      <c r="J5513" s="11" t="s">
        <v>4058</v>
      </c>
      <c r="K5513" s="9" t="s">
        <v>49623</v>
      </c>
      <c r="L5513" s="9" t="s">
        <v>18025</v>
      </c>
      <c r="M5513" s="9" t="s">
        <v>17817</v>
      </c>
      <c r="N5513" s="9" t="s">
        <v>18026</v>
      </c>
      <c r="O5513" s="9" t="s">
        <v>5938</v>
      </c>
      <c r="P5513" s="9" t="s">
        <v>17748</v>
      </c>
      <c r="Q5513" s="11" t="s">
        <v>21569</v>
      </c>
      <c r="R5513" s="11" t="s">
        <v>21569</v>
      </c>
      <c r="S5513" s="11" t="s">
        <v>17750</v>
      </c>
    </row>
    <row r="5514" spans="1:19" x14ac:dyDescent="0.2">
      <c r="A5514" s="11" t="s">
        <v>49624</v>
      </c>
      <c r="B5514" s="9" t="s">
        <v>49625</v>
      </c>
      <c r="C5514" s="9" t="s">
        <v>49626</v>
      </c>
      <c r="D5514" s="9" t="s">
        <v>49627</v>
      </c>
      <c r="E5514" s="9" t="s">
        <v>17740</v>
      </c>
      <c r="F5514" s="9" t="s">
        <v>49628</v>
      </c>
      <c r="G5514" s="9" t="s">
        <v>17740</v>
      </c>
      <c r="H5514" s="11" t="s">
        <v>17741</v>
      </c>
      <c r="I5514" s="11" t="s">
        <v>49629</v>
      </c>
      <c r="J5514" s="11" t="s">
        <v>49629</v>
      </c>
      <c r="K5514" s="9" t="s">
        <v>49630</v>
      </c>
      <c r="L5514" s="9" t="s">
        <v>18854</v>
      </c>
      <c r="M5514" s="9" t="s">
        <v>17817</v>
      </c>
      <c r="N5514" s="9" t="s">
        <v>20237</v>
      </c>
      <c r="O5514" s="9" t="s">
        <v>38199</v>
      </c>
      <c r="P5514" s="9" t="s">
        <v>17748</v>
      </c>
      <c r="Q5514" s="11" t="s">
        <v>18549</v>
      </c>
      <c r="R5514" s="11" t="s">
        <v>18549</v>
      </c>
      <c r="S5514" s="11" t="s">
        <v>17750</v>
      </c>
    </row>
    <row r="5515" spans="1:19" x14ac:dyDescent="0.2">
      <c r="A5515" s="11" t="s">
        <v>49631</v>
      </c>
      <c r="B5515" s="9" t="s">
        <v>49632</v>
      </c>
      <c r="C5515" s="9" t="s">
        <v>49633</v>
      </c>
      <c r="D5515" s="9" t="s">
        <v>49634</v>
      </c>
      <c r="E5515" s="9" t="s">
        <v>17740</v>
      </c>
      <c r="F5515" s="9" t="s">
        <v>17741</v>
      </c>
      <c r="G5515" s="9" t="s">
        <v>17740</v>
      </c>
      <c r="H5515" s="11" t="s">
        <v>17741</v>
      </c>
      <c r="I5515" s="11" t="s">
        <v>4077</v>
      </c>
      <c r="J5515" s="11" t="s">
        <v>4077</v>
      </c>
      <c r="K5515" s="9" t="s">
        <v>49635</v>
      </c>
      <c r="L5515" s="9" t="s">
        <v>18050</v>
      </c>
      <c r="M5515" s="9" t="s">
        <v>17769</v>
      </c>
      <c r="N5515" s="9" t="s">
        <v>30219</v>
      </c>
      <c r="O5515" s="9" t="s">
        <v>38199</v>
      </c>
      <c r="P5515" s="9" t="s">
        <v>17748</v>
      </c>
      <c r="Q5515" s="11" t="s">
        <v>18549</v>
      </c>
      <c r="R5515" s="11" t="s">
        <v>18549</v>
      </c>
      <c r="S5515" s="11" t="s">
        <v>17750</v>
      </c>
    </row>
    <row r="5516" spans="1:19" x14ac:dyDescent="0.2">
      <c r="A5516" s="11" t="s">
        <v>49636</v>
      </c>
      <c r="B5516" s="9" t="s">
        <v>49637</v>
      </c>
      <c r="C5516" s="9" t="s">
        <v>49638</v>
      </c>
      <c r="D5516" s="9" t="s">
        <v>49639</v>
      </c>
      <c r="E5516" s="9" t="s">
        <v>17740</v>
      </c>
      <c r="F5516" s="9" t="s">
        <v>49640</v>
      </c>
      <c r="G5516" s="9" t="s">
        <v>17740</v>
      </c>
      <c r="H5516" s="11" t="s">
        <v>49641</v>
      </c>
      <c r="I5516" s="11" t="s">
        <v>49642</v>
      </c>
      <c r="J5516" s="11" t="s">
        <v>49642</v>
      </c>
      <c r="K5516" s="9" t="s">
        <v>21545</v>
      </c>
      <c r="L5516" s="9" t="s">
        <v>18854</v>
      </c>
      <c r="M5516" s="9" t="s">
        <v>49643</v>
      </c>
      <c r="N5516" s="9" t="s">
        <v>20237</v>
      </c>
      <c r="O5516" s="9" t="s">
        <v>19740</v>
      </c>
      <c r="P5516" s="9" t="s">
        <v>17748</v>
      </c>
      <c r="Q5516" s="11" t="s">
        <v>21569</v>
      </c>
      <c r="R5516" s="11" t="s">
        <v>21569</v>
      </c>
      <c r="S5516" s="11" t="s">
        <v>17750</v>
      </c>
    </row>
    <row r="5517" spans="1:19" x14ac:dyDescent="0.2">
      <c r="A5517" s="11" t="s">
        <v>49644</v>
      </c>
      <c r="B5517" s="9" t="s">
        <v>49645</v>
      </c>
      <c r="C5517" s="9" t="s">
        <v>49646</v>
      </c>
      <c r="D5517" s="9" t="s">
        <v>49647</v>
      </c>
      <c r="E5517" s="9" t="s">
        <v>17740</v>
      </c>
      <c r="F5517" s="9" t="s">
        <v>49648</v>
      </c>
      <c r="G5517" s="9" t="s">
        <v>17740</v>
      </c>
      <c r="H5517" s="11" t="s">
        <v>17741</v>
      </c>
      <c r="I5517" s="11" t="s">
        <v>4061</v>
      </c>
      <c r="J5517" s="11" t="s">
        <v>4061</v>
      </c>
      <c r="K5517" s="9" t="s">
        <v>49649</v>
      </c>
      <c r="L5517" s="9" t="s">
        <v>18854</v>
      </c>
      <c r="M5517" s="9" t="s">
        <v>17817</v>
      </c>
      <c r="N5517" s="9" t="s">
        <v>20237</v>
      </c>
      <c r="O5517" s="9" t="s">
        <v>18363</v>
      </c>
      <c r="P5517" s="9" t="s">
        <v>17748</v>
      </c>
      <c r="Q5517" s="11" t="s">
        <v>21569</v>
      </c>
      <c r="R5517" s="11" t="s">
        <v>21569</v>
      </c>
      <c r="S5517" s="11" t="s">
        <v>17750</v>
      </c>
    </row>
    <row r="5518" spans="1:19" x14ac:dyDescent="0.2">
      <c r="A5518" s="11" t="s">
        <v>49650</v>
      </c>
      <c r="B5518" s="9" t="s">
        <v>49651</v>
      </c>
      <c r="C5518" s="9" t="s">
        <v>49652</v>
      </c>
      <c r="D5518" s="9" t="s">
        <v>49653</v>
      </c>
      <c r="E5518" s="9" t="s">
        <v>17740</v>
      </c>
      <c r="F5518" s="9" t="s">
        <v>17741</v>
      </c>
      <c r="G5518" s="9" t="s">
        <v>17740</v>
      </c>
      <c r="H5518" s="11" t="s">
        <v>17741</v>
      </c>
      <c r="I5518" s="11" t="s">
        <v>49654</v>
      </c>
      <c r="J5518" s="11" t="s">
        <v>49654</v>
      </c>
      <c r="K5518" s="9" t="s">
        <v>20950</v>
      </c>
      <c r="L5518" s="9" t="s">
        <v>18854</v>
      </c>
      <c r="M5518" s="9" t="s">
        <v>17769</v>
      </c>
      <c r="N5518" s="9" t="s">
        <v>20237</v>
      </c>
      <c r="O5518" s="9" t="s">
        <v>18543</v>
      </c>
      <c r="P5518" s="9" t="s">
        <v>17748</v>
      </c>
      <c r="Q5518" s="11" t="s">
        <v>20789</v>
      </c>
      <c r="R5518" s="11" t="s">
        <v>20789</v>
      </c>
      <c r="S5518" s="11" t="s">
        <v>17750</v>
      </c>
    </row>
    <row r="5519" spans="1:19" x14ac:dyDescent="0.2">
      <c r="A5519" s="11" t="s">
        <v>49655</v>
      </c>
      <c r="B5519" s="9" t="s">
        <v>49656</v>
      </c>
      <c r="C5519" s="9" t="s">
        <v>49657</v>
      </c>
      <c r="D5519" s="9" t="s">
        <v>49658</v>
      </c>
      <c r="E5519" s="9" t="s">
        <v>17740</v>
      </c>
      <c r="F5519" s="9" t="s">
        <v>17741</v>
      </c>
      <c r="G5519" s="9" t="s">
        <v>17740</v>
      </c>
      <c r="H5519" s="11" t="s">
        <v>17741</v>
      </c>
      <c r="I5519" s="11" t="s">
        <v>49659</v>
      </c>
      <c r="J5519" s="11" t="s">
        <v>49659</v>
      </c>
      <c r="K5519" s="9" t="s">
        <v>20950</v>
      </c>
      <c r="L5519" s="9" t="s">
        <v>18854</v>
      </c>
      <c r="M5519" s="9" t="s">
        <v>17769</v>
      </c>
      <c r="N5519" s="9" t="s">
        <v>20237</v>
      </c>
      <c r="O5519" s="9" t="s">
        <v>4048</v>
      </c>
      <c r="P5519" s="9" t="s">
        <v>17748</v>
      </c>
      <c r="Q5519" s="11" t="s">
        <v>18234</v>
      </c>
      <c r="R5519" s="11" t="s">
        <v>18234</v>
      </c>
      <c r="S5519" s="11" t="s">
        <v>17750</v>
      </c>
    </row>
    <row r="5520" spans="1:19" x14ac:dyDescent="0.2">
      <c r="A5520" s="11" t="s">
        <v>49660</v>
      </c>
      <c r="B5520" s="9" t="s">
        <v>49661</v>
      </c>
      <c r="C5520" s="9" t="s">
        <v>49662</v>
      </c>
      <c r="D5520" s="9" t="s">
        <v>49663</v>
      </c>
      <c r="E5520" s="9" t="s">
        <v>17740</v>
      </c>
      <c r="F5520" s="9" t="s">
        <v>49664</v>
      </c>
      <c r="G5520" s="9" t="s">
        <v>17740</v>
      </c>
      <c r="H5520" s="11" t="s">
        <v>4069</v>
      </c>
      <c r="I5520" s="11" t="s">
        <v>4068</v>
      </c>
      <c r="J5520" s="11" t="s">
        <v>4068</v>
      </c>
      <c r="K5520" s="9" t="s">
        <v>22893</v>
      </c>
      <c r="L5520" s="9" t="s">
        <v>17744</v>
      </c>
      <c r="M5520" s="9" t="s">
        <v>18177</v>
      </c>
      <c r="N5520" s="9" t="s">
        <v>17746</v>
      </c>
      <c r="O5520" s="9" t="s">
        <v>7097</v>
      </c>
      <c r="P5520" s="9" t="s">
        <v>17748</v>
      </c>
      <c r="Q5520" s="11" t="s">
        <v>18470</v>
      </c>
      <c r="R5520" s="11" t="s">
        <v>18470</v>
      </c>
      <c r="S5520" s="11" t="s">
        <v>17750</v>
      </c>
    </row>
    <row r="5521" spans="1:19" x14ac:dyDescent="0.2">
      <c r="A5521" s="11" t="s">
        <v>49665</v>
      </c>
      <c r="B5521" s="9" t="s">
        <v>49666</v>
      </c>
      <c r="C5521" s="9" t="s">
        <v>49667</v>
      </c>
      <c r="D5521" s="9" t="s">
        <v>49668</v>
      </c>
      <c r="E5521" s="9" t="s">
        <v>17740</v>
      </c>
      <c r="F5521" s="9" t="s">
        <v>17741</v>
      </c>
      <c r="G5521" s="9" t="s">
        <v>17740</v>
      </c>
      <c r="H5521" s="11" t="s">
        <v>49669</v>
      </c>
      <c r="I5521" s="11" t="s">
        <v>4099</v>
      </c>
      <c r="J5521" s="11" t="s">
        <v>17741</v>
      </c>
      <c r="K5521" s="9" t="s">
        <v>49670</v>
      </c>
      <c r="L5521" s="9" t="s">
        <v>17744</v>
      </c>
      <c r="M5521" s="9" t="s">
        <v>18233</v>
      </c>
      <c r="N5521" s="9" t="s">
        <v>17746</v>
      </c>
      <c r="O5521" s="9" t="s">
        <v>19391</v>
      </c>
      <c r="P5521" s="9" t="s">
        <v>17748</v>
      </c>
      <c r="Q5521" s="11" t="s">
        <v>17978</v>
      </c>
      <c r="R5521" s="11" t="s">
        <v>17978</v>
      </c>
      <c r="S5521" s="11" t="s">
        <v>17750</v>
      </c>
    </row>
    <row r="5522" spans="1:19" x14ac:dyDescent="0.2">
      <c r="A5522" s="11" t="s">
        <v>49671</v>
      </c>
      <c r="B5522" s="9" t="s">
        <v>49672</v>
      </c>
      <c r="C5522" s="9" t="s">
        <v>49673</v>
      </c>
      <c r="D5522" s="9" t="s">
        <v>49674</v>
      </c>
      <c r="E5522" s="9" t="s">
        <v>17740</v>
      </c>
      <c r="F5522" s="9" t="s">
        <v>49675</v>
      </c>
      <c r="G5522" s="9" t="s">
        <v>17740</v>
      </c>
      <c r="H5522" s="11" t="s">
        <v>4972</v>
      </c>
      <c r="I5522" s="11" t="s">
        <v>4971</v>
      </c>
      <c r="J5522" s="11" t="s">
        <v>4971</v>
      </c>
      <c r="K5522" s="9" t="s">
        <v>17865</v>
      </c>
      <c r="L5522" s="9" t="s">
        <v>17759</v>
      </c>
      <c r="M5522" s="9" t="s">
        <v>27165</v>
      </c>
      <c r="N5522" s="9" t="s">
        <v>17746</v>
      </c>
      <c r="O5522" s="9" t="s">
        <v>19391</v>
      </c>
      <c r="P5522" s="9" t="s">
        <v>17748</v>
      </c>
      <c r="Q5522" s="11" t="s">
        <v>17819</v>
      </c>
      <c r="R5522" s="11" t="s">
        <v>17819</v>
      </c>
      <c r="S5522" s="11" t="s">
        <v>17750</v>
      </c>
    </row>
    <row r="5523" spans="1:19" x14ac:dyDescent="0.2">
      <c r="A5523" s="11" t="s">
        <v>49676</v>
      </c>
      <c r="B5523" s="9" t="s">
        <v>49677</v>
      </c>
      <c r="C5523" s="9" t="s">
        <v>49678</v>
      </c>
      <c r="D5523" s="9" t="s">
        <v>49679</v>
      </c>
      <c r="E5523" s="9" t="s">
        <v>17740</v>
      </c>
      <c r="F5523" s="9" t="s">
        <v>49680</v>
      </c>
      <c r="G5523" s="9" t="s">
        <v>17740</v>
      </c>
      <c r="H5523" s="11" t="s">
        <v>5831</v>
      </c>
      <c r="I5523" s="11" t="s">
        <v>5830</v>
      </c>
      <c r="J5523" s="11" t="s">
        <v>5830</v>
      </c>
      <c r="K5523" s="9" t="s">
        <v>29318</v>
      </c>
      <c r="L5523" s="9" t="s">
        <v>17759</v>
      </c>
      <c r="M5523" s="9" t="s">
        <v>28372</v>
      </c>
      <c r="N5523" s="9" t="s">
        <v>17746</v>
      </c>
      <c r="O5523" s="9" t="s">
        <v>19391</v>
      </c>
      <c r="P5523" s="9" t="s">
        <v>17748</v>
      </c>
      <c r="Q5523" s="11" t="s">
        <v>18147</v>
      </c>
      <c r="R5523" s="11" t="s">
        <v>18147</v>
      </c>
      <c r="S5523" s="11" t="s">
        <v>17750</v>
      </c>
    </row>
    <row r="5524" spans="1:19" x14ac:dyDescent="0.2">
      <c r="A5524" s="11" t="s">
        <v>49681</v>
      </c>
      <c r="B5524" s="9" t="s">
        <v>49682</v>
      </c>
      <c r="C5524" s="9" t="s">
        <v>49683</v>
      </c>
      <c r="D5524" s="9" t="s">
        <v>49684</v>
      </c>
      <c r="E5524" s="9" t="s">
        <v>17740</v>
      </c>
      <c r="F5524" s="9" t="s">
        <v>49685</v>
      </c>
      <c r="G5524" s="9" t="s">
        <v>17740</v>
      </c>
      <c r="H5524" s="11" t="s">
        <v>4088</v>
      </c>
      <c r="I5524" s="11" t="s">
        <v>4087</v>
      </c>
      <c r="J5524" s="11" t="s">
        <v>4087</v>
      </c>
      <c r="K5524" s="9" t="s">
        <v>38888</v>
      </c>
      <c r="L5524" s="9" t="s">
        <v>17744</v>
      </c>
      <c r="M5524" s="9" t="s">
        <v>49686</v>
      </c>
      <c r="N5524" s="9" t="s">
        <v>17746</v>
      </c>
      <c r="O5524" s="9" t="s">
        <v>19391</v>
      </c>
      <c r="P5524" s="9" t="s">
        <v>17748</v>
      </c>
      <c r="Q5524" s="11" t="s">
        <v>18813</v>
      </c>
      <c r="R5524" s="11" t="s">
        <v>18813</v>
      </c>
      <c r="S5524" s="11" t="s">
        <v>17750</v>
      </c>
    </row>
    <row r="5525" spans="1:19" x14ac:dyDescent="0.2">
      <c r="A5525" s="11" t="s">
        <v>49687</v>
      </c>
      <c r="B5525" s="9" t="s">
        <v>49688</v>
      </c>
      <c r="C5525" s="9" t="s">
        <v>49689</v>
      </c>
      <c r="D5525" s="9" t="s">
        <v>49690</v>
      </c>
      <c r="E5525" s="9" t="s">
        <v>17740</v>
      </c>
      <c r="F5525" s="9" t="s">
        <v>49691</v>
      </c>
      <c r="G5525" s="9" t="s">
        <v>17740</v>
      </c>
      <c r="H5525" s="11" t="s">
        <v>17741</v>
      </c>
      <c r="I5525" s="11" t="s">
        <v>4108</v>
      </c>
      <c r="J5525" s="11" t="s">
        <v>4108</v>
      </c>
      <c r="K5525" s="9" t="s">
        <v>17865</v>
      </c>
      <c r="L5525" s="9" t="s">
        <v>17744</v>
      </c>
      <c r="M5525" s="9" t="s">
        <v>49692</v>
      </c>
      <c r="N5525" s="9" t="s">
        <v>17746</v>
      </c>
      <c r="O5525" s="9" t="s">
        <v>19391</v>
      </c>
      <c r="P5525" s="9" t="s">
        <v>17748</v>
      </c>
      <c r="Q5525" s="11" t="s">
        <v>18433</v>
      </c>
      <c r="R5525" s="11" t="s">
        <v>18433</v>
      </c>
      <c r="S5525" s="11" t="s">
        <v>17750</v>
      </c>
    </row>
    <row r="5526" spans="1:19" x14ac:dyDescent="0.2">
      <c r="A5526" s="11" t="s">
        <v>49693</v>
      </c>
      <c r="B5526" s="9" t="s">
        <v>49694</v>
      </c>
      <c r="C5526" s="9" t="s">
        <v>49695</v>
      </c>
      <c r="D5526" s="9" t="s">
        <v>49696</v>
      </c>
      <c r="E5526" s="9" t="s">
        <v>17740</v>
      </c>
      <c r="F5526" s="9" t="s">
        <v>17741</v>
      </c>
      <c r="G5526" s="9" t="s">
        <v>17740</v>
      </c>
      <c r="H5526" s="11" t="s">
        <v>17741</v>
      </c>
      <c r="I5526" s="11" t="s">
        <v>49697</v>
      </c>
      <c r="J5526" s="11" t="s">
        <v>49697</v>
      </c>
      <c r="K5526" s="9" t="s">
        <v>6433</v>
      </c>
      <c r="L5526" s="9" t="s">
        <v>17958</v>
      </c>
      <c r="M5526" s="9" t="s">
        <v>17769</v>
      </c>
      <c r="N5526" s="9" t="s">
        <v>22152</v>
      </c>
      <c r="O5526" s="9" t="s">
        <v>18746</v>
      </c>
      <c r="P5526" s="9" t="s">
        <v>17748</v>
      </c>
      <c r="Q5526" s="11" t="s">
        <v>18470</v>
      </c>
      <c r="R5526" s="11" t="s">
        <v>18470</v>
      </c>
      <c r="S5526" s="11" t="s">
        <v>17750</v>
      </c>
    </row>
    <row r="5527" spans="1:19" x14ac:dyDescent="0.2">
      <c r="A5527" s="11" t="s">
        <v>49698</v>
      </c>
      <c r="B5527" s="9" t="s">
        <v>49699</v>
      </c>
      <c r="C5527" s="9" t="s">
        <v>49700</v>
      </c>
      <c r="D5527" s="9" t="s">
        <v>49701</v>
      </c>
      <c r="E5527" s="9" t="s">
        <v>17740</v>
      </c>
      <c r="F5527" s="9" t="s">
        <v>17741</v>
      </c>
      <c r="G5527" s="9" t="s">
        <v>17740</v>
      </c>
      <c r="H5527" s="11" t="s">
        <v>17741</v>
      </c>
      <c r="I5527" s="11" t="s">
        <v>49702</v>
      </c>
      <c r="J5527" s="11" t="s">
        <v>49702</v>
      </c>
      <c r="K5527" s="9" t="s">
        <v>49703</v>
      </c>
      <c r="L5527" s="9" t="s">
        <v>17958</v>
      </c>
      <c r="M5527" s="9" t="s">
        <v>17769</v>
      </c>
      <c r="N5527" s="9" t="s">
        <v>22152</v>
      </c>
      <c r="O5527" s="9" t="s">
        <v>3524</v>
      </c>
      <c r="P5527" s="9" t="s">
        <v>17748</v>
      </c>
      <c r="Q5527" s="11" t="s">
        <v>19082</v>
      </c>
      <c r="R5527" s="11" t="s">
        <v>19082</v>
      </c>
      <c r="S5527" s="11" t="s">
        <v>17750</v>
      </c>
    </row>
    <row r="5528" spans="1:19" x14ac:dyDescent="0.2">
      <c r="A5528" s="11" t="s">
        <v>49704</v>
      </c>
      <c r="B5528" s="9" t="s">
        <v>49705</v>
      </c>
      <c r="C5528" s="9" t="s">
        <v>49706</v>
      </c>
      <c r="D5528" s="9" t="s">
        <v>49707</v>
      </c>
      <c r="E5528" s="9" t="s">
        <v>17740</v>
      </c>
      <c r="F5528" s="9" t="s">
        <v>17741</v>
      </c>
      <c r="G5528" s="9" t="s">
        <v>17740</v>
      </c>
      <c r="H5528" s="11" t="s">
        <v>17741</v>
      </c>
      <c r="I5528" s="11" t="s">
        <v>9375</v>
      </c>
      <c r="J5528" s="11" t="s">
        <v>9375</v>
      </c>
      <c r="K5528" s="9" t="s">
        <v>49708</v>
      </c>
      <c r="L5528" s="9" t="s">
        <v>19049</v>
      </c>
      <c r="M5528" s="9" t="s">
        <v>17760</v>
      </c>
      <c r="N5528" s="9" t="s">
        <v>17746</v>
      </c>
      <c r="O5528" s="9" t="s">
        <v>17993</v>
      </c>
      <c r="P5528" s="9" t="s">
        <v>17748</v>
      </c>
      <c r="Q5528" s="11" t="s">
        <v>18433</v>
      </c>
      <c r="R5528" s="11" t="s">
        <v>18433</v>
      </c>
      <c r="S5528" s="11" t="s">
        <v>17750</v>
      </c>
    </row>
    <row r="5529" spans="1:19" x14ac:dyDescent="0.2">
      <c r="A5529" s="11" t="s">
        <v>49709</v>
      </c>
      <c r="B5529" s="9" t="s">
        <v>49710</v>
      </c>
      <c r="C5529" s="9" t="s">
        <v>49711</v>
      </c>
      <c r="D5529" s="9" t="s">
        <v>49712</v>
      </c>
      <c r="E5529" s="9" t="s">
        <v>17740</v>
      </c>
      <c r="F5529" s="9" t="s">
        <v>49713</v>
      </c>
      <c r="G5529" s="9" t="s">
        <v>17740</v>
      </c>
      <c r="H5529" s="11" t="s">
        <v>17741</v>
      </c>
      <c r="I5529" s="11" t="s">
        <v>4092</v>
      </c>
      <c r="J5529" s="11" t="s">
        <v>4092</v>
      </c>
      <c r="K5529" s="9" t="s">
        <v>49714</v>
      </c>
      <c r="L5529" s="9" t="s">
        <v>49715</v>
      </c>
      <c r="M5529" s="9" t="s">
        <v>17760</v>
      </c>
      <c r="N5529" s="9" t="s">
        <v>17746</v>
      </c>
      <c r="O5529" s="9" t="s">
        <v>17993</v>
      </c>
      <c r="P5529" s="9" t="s">
        <v>17748</v>
      </c>
      <c r="Q5529" s="11" t="s">
        <v>20021</v>
      </c>
      <c r="R5529" s="11" t="s">
        <v>20021</v>
      </c>
      <c r="S5529" s="11" t="s">
        <v>17750</v>
      </c>
    </row>
    <row r="5530" spans="1:19" x14ac:dyDescent="0.2">
      <c r="A5530" s="11" t="s">
        <v>49716</v>
      </c>
      <c r="B5530" s="9" t="s">
        <v>49717</v>
      </c>
      <c r="C5530" s="9" t="s">
        <v>49718</v>
      </c>
      <c r="D5530" s="9" t="s">
        <v>49719</v>
      </c>
      <c r="E5530" s="9" t="s">
        <v>17740</v>
      </c>
      <c r="F5530" s="9" t="s">
        <v>49720</v>
      </c>
      <c r="G5530" s="9" t="s">
        <v>17740</v>
      </c>
      <c r="H5530" s="11" t="s">
        <v>17741</v>
      </c>
      <c r="I5530" s="11" t="s">
        <v>49721</v>
      </c>
      <c r="J5530" s="11" t="s">
        <v>49721</v>
      </c>
      <c r="K5530" s="9" t="s">
        <v>49722</v>
      </c>
      <c r="L5530" s="9" t="s">
        <v>17759</v>
      </c>
      <c r="M5530" s="9" t="s">
        <v>17769</v>
      </c>
      <c r="N5530" s="9" t="s">
        <v>17746</v>
      </c>
      <c r="O5530" s="9" t="s">
        <v>17993</v>
      </c>
      <c r="P5530" s="9" t="s">
        <v>17748</v>
      </c>
      <c r="Q5530" s="11" t="s">
        <v>22275</v>
      </c>
      <c r="R5530" s="11" t="s">
        <v>22275</v>
      </c>
      <c r="S5530" s="11" t="s">
        <v>17750</v>
      </c>
    </row>
    <row r="5531" spans="1:19" x14ac:dyDescent="0.2">
      <c r="A5531" s="11" t="s">
        <v>49723</v>
      </c>
      <c r="B5531" s="9" t="s">
        <v>49724</v>
      </c>
      <c r="C5531" s="9" t="s">
        <v>49725</v>
      </c>
      <c r="D5531" s="9" t="s">
        <v>49726</v>
      </c>
      <c r="E5531" s="9" t="s">
        <v>17740</v>
      </c>
      <c r="F5531" s="9" t="s">
        <v>17741</v>
      </c>
      <c r="G5531" s="9" t="s">
        <v>17740</v>
      </c>
      <c r="H5531" s="11" t="s">
        <v>49727</v>
      </c>
      <c r="I5531" s="11" t="s">
        <v>49728</v>
      </c>
      <c r="J5531" s="11" t="s">
        <v>49728</v>
      </c>
      <c r="K5531" s="9" t="s">
        <v>19447</v>
      </c>
      <c r="L5531" s="9" t="s">
        <v>17759</v>
      </c>
      <c r="M5531" s="9" t="s">
        <v>49729</v>
      </c>
      <c r="N5531" s="9" t="s">
        <v>17746</v>
      </c>
      <c r="O5531" s="9" t="s">
        <v>17800</v>
      </c>
      <c r="P5531" s="9" t="s">
        <v>17748</v>
      </c>
      <c r="Q5531" s="11" t="s">
        <v>18251</v>
      </c>
      <c r="R5531" s="11" t="s">
        <v>18251</v>
      </c>
      <c r="S5531" s="11" t="s">
        <v>17750</v>
      </c>
    </row>
    <row r="5532" spans="1:19" x14ac:dyDescent="0.2">
      <c r="A5532" s="11" t="s">
        <v>49730</v>
      </c>
      <c r="B5532" s="9" t="s">
        <v>49731</v>
      </c>
      <c r="C5532" s="9" t="s">
        <v>49732</v>
      </c>
      <c r="D5532" s="9" t="s">
        <v>49733</v>
      </c>
      <c r="E5532" s="9" t="s">
        <v>17740</v>
      </c>
      <c r="F5532" s="9" t="s">
        <v>17741</v>
      </c>
      <c r="G5532" s="9" t="s">
        <v>17740</v>
      </c>
      <c r="H5532" s="11" t="s">
        <v>49734</v>
      </c>
      <c r="I5532" s="11" t="s">
        <v>49735</v>
      </c>
      <c r="J5532" s="11" t="s">
        <v>49735</v>
      </c>
      <c r="K5532" s="9" t="s">
        <v>49736</v>
      </c>
      <c r="L5532" s="9" t="s">
        <v>49737</v>
      </c>
      <c r="M5532" s="9" t="s">
        <v>17760</v>
      </c>
      <c r="N5532" s="9" t="s">
        <v>17746</v>
      </c>
      <c r="O5532" s="9" t="s">
        <v>24577</v>
      </c>
      <c r="P5532" s="9" t="s">
        <v>17748</v>
      </c>
      <c r="Q5532" s="11" t="s">
        <v>17900</v>
      </c>
      <c r="R5532" s="11" t="s">
        <v>17900</v>
      </c>
      <c r="S5532" s="11" t="s">
        <v>17750</v>
      </c>
    </row>
    <row r="5533" spans="1:19" x14ac:dyDescent="0.2">
      <c r="A5533" s="11" t="s">
        <v>49738</v>
      </c>
      <c r="B5533" s="9" t="s">
        <v>49739</v>
      </c>
      <c r="C5533" s="9" t="s">
        <v>49740</v>
      </c>
      <c r="D5533" s="9" t="s">
        <v>49741</v>
      </c>
      <c r="E5533" s="9" t="s">
        <v>17740</v>
      </c>
      <c r="F5533" s="9" t="s">
        <v>17741</v>
      </c>
      <c r="G5533" s="9" t="s">
        <v>17740</v>
      </c>
      <c r="H5533" s="11" t="s">
        <v>17741</v>
      </c>
      <c r="I5533" s="11" t="s">
        <v>49742</v>
      </c>
      <c r="J5533" s="11" t="s">
        <v>49742</v>
      </c>
      <c r="K5533" s="9" t="s">
        <v>955</v>
      </c>
      <c r="L5533" s="9" t="s">
        <v>18305</v>
      </c>
      <c r="M5533" s="9" t="s">
        <v>17942</v>
      </c>
      <c r="N5533" s="9" t="s">
        <v>17746</v>
      </c>
      <c r="O5533" s="9" t="s">
        <v>20453</v>
      </c>
      <c r="P5533" s="9" t="s">
        <v>17748</v>
      </c>
      <c r="Q5533" s="11" t="s">
        <v>19026</v>
      </c>
      <c r="R5533" s="11" t="s">
        <v>19026</v>
      </c>
      <c r="S5533" s="11" t="s">
        <v>17750</v>
      </c>
    </row>
    <row r="5534" spans="1:19" x14ac:dyDescent="0.2">
      <c r="A5534" s="11" t="s">
        <v>49743</v>
      </c>
      <c r="B5534" s="9" t="s">
        <v>49744</v>
      </c>
      <c r="C5534" s="9" t="s">
        <v>49745</v>
      </c>
      <c r="D5534" s="9" t="s">
        <v>49746</v>
      </c>
      <c r="E5534" s="9" t="s">
        <v>17740</v>
      </c>
      <c r="F5534" s="9" t="s">
        <v>49747</v>
      </c>
      <c r="G5534" s="9" t="s">
        <v>17740</v>
      </c>
      <c r="H5534" s="11" t="s">
        <v>17741</v>
      </c>
      <c r="I5534" s="11" t="s">
        <v>49748</v>
      </c>
      <c r="J5534" s="11" t="s">
        <v>49748</v>
      </c>
      <c r="K5534" s="9" t="s">
        <v>49749</v>
      </c>
      <c r="L5534" s="9" t="s">
        <v>17967</v>
      </c>
      <c r="M5534" s="9" t="s">
        <v>18890</v>
      </c>
      <c r="N5534" s="9" t="s">
        <v>18492</v>
      </c>
      <c r="O5534" s="9" t="s">
        <v>17993</v>
      </c>
      <c r="P5534" s="9" t="s">
        <v>17748</v>
      </c>
      <c r="Q5534" s="11" t="s">
        <v>18556</v>
      </c>
      <c r="R5534" s="11" t="s">
        <v>18556</v>
      </c>
      <c r="S5534" s="11" t="s">
        <v>17750</v>
      </c>
    </row>
    <row r="5535" spans="1:19" x14ac:dyDescent="0.2">
      <c r="A5535" s="11" t="s">
        <v>49750</v>
      </c>
      <c r="B5535" s="9" t="s">
        <v>49751</v>
      </c>
      <c r="C5535" s="9" t="s">
        <v>49752</v>
      </c>
      <c r="D5535" s="9" t="s">
        <v>49753</v>
      </c>
      <c r="E5535" s="9" t="s">
        <v>17740</v>
      </c>
      <c r="F5535" s="9" t="s">
        <v>49754</v>
      </c>
      <c r="G5535" s="9" t="s">
        <v>17740</v>
      </c>
      <c r="H5535" s="11" t="s">
        <v>4097</v>
      </c>
      <c r="I5535" s="11" t="s">
        <v>4096</v>
      </c>
      <c r="J5535" s="11" t="s">
        <v>4096</v>
      </c>
      <c r="K5535" s="9" t="s">
        <v>17783</v>
      </c>
      <c r="L5535" s="9" t="s">
        <v>18288</v>
      </c>
      <c r="M5535" s="9" t="s">
        <v>20172</v>
      </c>
      <c r="N5535" s="9" t="s">
        <v>17746</v>
      </c>
      <c r="O5535" s="9" t="s">
        <v>17993</v>
      </c>
      <c r="P5535" s="9" t="s">
        <v>17748</v>
      </c>
      <c r="Q5535" s="11" t="s">
        <v>45613</v>
      </c>
      <c r="R5535" s="11" t="s">
        <v>45613</v>
      </c>
      <c r="S5535" s="11" t="s">
        <v>17750</v>
      </c>
    </row>
    <row r="5536" spans="1:19" x14ac:dyDescent="0.2">
      <c r="A5536" s="11" t="s">
        <v>49755</v>
      </c>
      <c r="B5536" s="9" t="s">
        <v>49756</v>
      </c>
      <c r="C5536" s="9" t="s">
        <v>49757</v>
      </c>
      <c r="D5536" s="9" t="s">
        <v>49758</v>
      </c>
      <c r="E5536" s="9" t="s">
        <v>17740</v>
      </c>
      <c r="F5536" s="9" t="s">
        <v>27120</v>
      </c>
      <c r="G5536" s="9" t="s">
        <v>17740</v>
      </c>
      <c r="H5536" s="11" t="s">
        <v>4106</v>
      </c>
      <c r="I5536" s="11" t="s">
        <v>4105</v>
      </c>
      <c r="J5536" s="11" t="s">
        <v>4105</v>
      </c>
      <c r="K5536" s="9" t="s">
        <v>167</v>
      </c>
      <c r="L5536" s="9" t="s">
        <v>18288</v>
      </c>
      <c r="M5536" s="9" t="s">
        <v>49759</v>
      </c>
      <c r="N5536" s="9" t="s">
        <v>18185</v>
      </c>
      <c r="O5536" s="9" t="s">
        <v>17993</v>
      </c>
      <c r="P5536" s="9" t="s">
        <v>17748</v>
      </c>
      <c r="Q5536" s="11" t="s">
        <v>18010</v>
      </c>
      <c r="R5536" s="11" t="s">
        <v>18010</v>
      </c>
      <c r="S5536" s="11" t="s">
        <v>17750</v>
      </c>
    </row>
    <row r="5537" spans="1:19" x14ac:dyDescent="0.2">
      <c r="A5537" s="11" t="s">
        <v>49760</v>
      </c>
      <c r="B5537" s="9" t="s">
        <v>49761</v>
      </c>
      <c r="C5537" s="9" t="s">
        <v>49762</v>
      </c>
      <c r="D5537" s="9" t="s">
        <v>49763</v>
      </c>
      <c r="E5537" s="9" t="s">
        <v>17740</v>
      </c>
      <c r="F5537" s="9" t="s">
        <v>17741</v>
      </c>
      <c r="G5537" s="9" t="s">
        <v>17740</v>
      </c>
      <c r="H5537" s="11" t="s">
        <v>17741</v>
      </c>
      <c r="I5537" s="11" t="s">
        <v>49764</v>
      </c>
      <c r="J5537" s="11" t="s">
        <v>49764</v>
      </c>
      <c r="K5537" s="9" t="s">
        <v>17783</v>
      </c>
      <c r="L5537" s="9" t="s">
        <v>18288</v>
      </c>
      <c r="M5537" s="9" t="s">
        <v>17942</v>
      </c>
      <c r="N5537" s="9" t="s">
        <v>18185</v>
      </c>
      <c r="O5537" s="9" t="s">
        <v>17993</v>
      </c>
      <c r="P5537" s="9" t="s">
        <v>17748</v>
      </c>
      <c r="Q5537" s="11" t="s">
        <v>19899</v>
      </c>
      <c r="R5537" s="11" t="s">
        <v>19899</v>
      </c>
      <c r="S5537" s="11" t="s">
        <v>17750</v>
      </c>
    </row>
    <row r="5538" spans="1:19" x14ac:dyDescent="0.2">
      <c r="A5538" s="11" t="s">
        <v>49765</v>
      </c>
      <c r="B5538" s="9" t="s">
        <v>49766</v>
      </c>
      <c r="C5538" s="9" t="s">
        <v>49767</v>
      </c>
      <c r="D5538" s="9" t="s">
        <v>49768</v>
      </c>
      <c r="E5538" s="9" t="s">
        <v>17740</v>
      </c>
      <c r="F5538" s="9" t="s">
        <v>49769</v>
      </c>
      <c r="G5538" s="9" t="s">
        <v>17740</v>
      </c>
      <c r="H5538" s="11" t="s">
        <v>49770</v>
      </c>
      <c r="I5538" s="11" t="s">
        <v>49771</v>
      </c>
      <c r="J5538" s="11" t="s">
        <v>49771</v>
      </c>
      <c r="K5538" s="9" t="s">
        <v>91</v>
      </c>
      <c r="L5538" s="9" t="s">
        <v>17759</v>
      </c>
      <c r="M5538" s="9" t="s">
        <v>17760</v>
      </c>
      <c r="N5538" s="9" t="s">
        <v>17746</v>
      </c>
      <c r="O5538" s="9" t="s">
        <v>20453</v>
      </c>
      <c r="P5538" s="9" t="s">
        <v>17748</v>
      </c>
      <c r="Q5538" s="11" t="s">
        <v>19361</v>
      </c>
      <c r="R5538" s="11" t="s">
        <v>19361</v>
      </c>
      <c r="S5538" s="11" t="s">
        <v>17750</v>
      </c>
    </row>
    <row r="5539" spans="1:19" x14ac:dyDescent="0.2">
      <c r="A5539" s="11" t="s">
        <v>49772</v>
      </c>
      <c r="B5539" s="9" t="s">
        <v>49773</v>
      </c>
      <c r="C5539" s="9" t="s">
        <v>49774</v>
      </c>
      <c r="D5539" s="9" t="s">
        <v>49775</v>
      </c>
      <c r="E5539" s="9" t="s">
        <v>17740</v>
      </c>
      <c r="F5539" s="9" t="s">
        <v>17741</v>
      </c>
      <c r="G5539" s="9" t="s">
        <v>17740</v>
      </c>
      <c r="H5539" s="11" t="s">
        <v>17150</v>
      </c>
      <c r="I5539" s="11" t="s">
        <v>17149</v>
      </c>
      <c r="J5539" s="11" t="s">
        <v>17741</v>
      </c>
      <c r="K5539" s="9" t="s">
        <v>20220</v>
      </c>
      <c r="L5539" s="9" t="s">
        <v>17759</v>
      </c>
      <c r="M5539" s="9" t="s">
        <v>17769</v>
      </c>
      <c r="N5539" s="9" t="s">
        <v>17746</v>
      </c>
      <c r="O5539" s="9" t="s">
        <v>17977</v>
      </c>
      <c r="P5539" s="9" t="s">
        <v>17748</v>
      </c>
      <c r="Q5539" s="11" t="s">
        <v>17923</v>
      </c>
      <c r="R5539" s="11" t="s">
        <v>17923</v>
      </c>
      <c r="S5539" s="11" t="s">
        <v>17750</v>
      </c>
    </row>
    <row r="5540" spans="1:19" x14ac:dyDescent="0.2">
      <c r="A5540" s="11" t="s">
        <v>49776</v>
      </c>
      <c r="B5540" s="9" t="s">
        <v>49777</v>
      </c>
      <c r="C5540" s="9" t="s">
        <v>49778</v>
      </c>
      <c r="D5540" s="9" t="s">
        <v>49779</v>
      </c>
      <c r="E5540" s="9" t="s">
        <v>17740</v>
      </c>
      <c r="F5540" s="9" t="s">
        <v>17741</v>
      </c>
      <c r="G5540" s="9" t="s">
        <v>17740</v>
      </c>
      <c r="H5540" s="11" t="s">
        <v>14174</v>
      </c>
      <c r="I5540" s="11" t="s">
        <v>14173</v>
      </c>
      <c r="J5540" s="11" t="s">
        <v>14174</v>
      </c>
      <c r="K5540" s="9" t="s">
        <v>20207</v>
      </c>
      <c r="L5540" s="9" t="s">
        <v>17759</v>
      </c>
      <c r="M5540" s="9" t="s">
        <v>17769</v>
      </c>
      <c r="N5540" s="9" t="s">
        <v>17746</v>
      </c>
      <c r="O5540" s="9" t="s">
        <v>21626</v>
      </c>
      <c r="P5540" s="9" t="s">
        <v>17748</v>
      </c>
      <c r="Q5540" s="11" t="s">
        <v>18370</v>
      </c>
      <c r="R5540" s="11" t="s">
        <v>18370</v>
      </c>
      <c r="S5540" s="11" t="s">
        <v>17750</v>
      </c>
    </row>
    <row r="5541" spans="1:19" x14ac:dyDescent="0.2">
      <c r="A5541" s="11" t="s">
        <v>49780</v>
      </c>
      <c r="B5541" s="9" t="s">
        <v>49781</v>
      </c>
      <c r="C5541" s="9" t="s">
        <v>49782</v>
      </c>
      <c r="D5541" s="9" t="s">
        <v>49783</v>
      </c>
      <c r="E5541" s="9" t="s">
        <v>17740</v>
      </c>
      <c r="F5541" s="9" t="s">
        <v>17741</v>
      </c>
      <c r="G5541" s="9" t="s">
        <v>17740</v>
      </c>
      <c r="H5541" s="11" t="s">
        <v>15822</v>
      </c>
      <c r="I5541" s="11" t="s">
        <v>15821</v>
      </c>
      <c r="J5541" s="11" t="s">
        <v>15821</v>
      </c>
      <c r="K5541" s="9" t="s">
        <v>17805</v>
      </c>
      <c r="L5541" s="9" t="s">
        <v>17759</v>
      </c>
      <c r="M5541" s="9" t="s">
        <v>17769</v>
      </c>
      <c r="N5541" s="9" t="s">
        <v>17746</v>
      </c>
      <c r="O5541" s="9" t="s">
        <v>22268</v>
      </c>
      <c r="P5541" s="9" t="s">
        <v>17748</v>
      </c>
      <c r="Q5541" s="11" t="s">
        <v>17900</v>
      </c>
      <c r="R5541" s="11" t="s">
        <v>17900</v>
      </c>
      <c r="S5541" s="11" t="s">
        <v>17750</v>
      </c>
    </row>
    <row r="5542" spans="1:19" x14ac:dyDescent="0.2">
      <c r="A5542" s="11" t="s">
        <v>49784</v>
      </c>
      <c r="B5542" s="9" t="s">
        <v>49785</v>
      </c>
      <c r="C5542" s="9" t="s">
        <v>49786</v>
      </c>
      <c r="D5542" s="9" t="s">
        <v>49787</v>
      </c>
      <c r="E5542" s="9" t="s">
        <v>17740</v>
      </c>
      <c r="F5542" s="9" t="s">
        <v>17741</v>
      </c>
      <c r="G5542" s="9" t="s">
        <v>17740</v>
      </c>
      <c r="H5542" s="11" t="s">
        <v>15422</v>
      </c>
      <c r="I5542" s="11" t="s">
        <v>15421</v>
      </c>
      <c r="J5542" s="11" t="s">
        <v>15422</v>
      </c>
      <c r="K5542" s="9" t="s">
        <v>20207</v>
      </c>
      <c r="L5542" s="9" t="s">
        <v>17759</v>
      </c>
      <c r="M5542" s="9" t="s">
        <v>19283</v>
      </c>
      <c r="N5542" s="9" t="s">
        <v>17746</v>
      </c>
      <c r="O5542" s="9" t="s">
        <v>49788</v>
      </c>
      <c r="P5542" s="9" t="s">
        <v>17748</v>
      </c>
      <c r="Q5542" s="11" t="s">
        <v>17825</v>
      </c>
      <c r="R5542" s="11" t="s">
        <v>17825</v>
      </c>
      <c r="S5542" s="11" t="s">
        <v>17750</v>
      </c>
    </row>
    <row r="5543" spans="1:19" x14ac:dyDescent="0.2">
      <c r="A5543" s="11" t="s">
        <v>49789</v>
      </c>
      <c r="B5543" s="9" t="s">
        <v>49790</v>
      </c>
      <c r="C5543" s="9" t="s">
        <v>49791</v>
      </c>
      <c r="D5543" s="9" t="s">
        <v>49792</v>
      </c>
      <c r="E5543" s="9" t="s">
        <v>17740</v>
      </c>
      <c r="F5543" s="9" t="s">
        <v>17741</v>
      </c>
      <c r="G5543" s="9" t="s">
        <v>17740</v>
      </c>
      <c r="H5543" s="11" t="s">
        <v>17741</v>
      </c>
      <c r="I5543" s="11" t="s">
        <v>17741</v>
      </c>
      <c r="J5543" s="11" t="s">
        <v>17741</v>
      </c>
      <c r="K5543" s="9" t="s">
        <v>49793</v>
      </c>
      <c r="L5543" s="9" t="s">
        <v>17759</v>
      </c>
      <c r="M5543" s="9" t="s">
        <v>18211</v>
      </c>
      <c r="N5543" s="9" t="s">
        <v>17746</v>
      </c>
      <c r="O5543" s="9" t="s">
        <v>49794</v>
      </c>
      <c r="P5543" s="9" t="s">
        <v>17748</v>
      </c>
      <c r="Q5543" s="11" t="s">
        <v>17792</v>
      </c>
      <c r="R5543" s="11" t="s">
        <v>17792</v>
      </c>
      <c r="S5543" s="11" t="s">
        <v>17750</v>
      </c>
    </row>
    <row r="5544" spans="1:19" x14ac:dyDescent="0.2">
      <c r="A5544" s="11" t="s">
        <v>49795</v>
      </c>
      <c r="B5544" s="9" t="s">
        <v>49796</v>
      </c>
      <c r="C5544" s="9" t="s">
        <v>49797</v>
      </c>
      <c r="D5544" s="9" t="s">
        <v>49798</v>
      </c>
      <c r="E5544" s="9" t="s">
        <v>17748</v>
      </c>
      <c r="F5544" s="9" t="s">
        <v>49799</v>
      </c>
      <c r="G5544" s="9" t="s">
        <v>17740</v>
      </c>
      <c r="H5544" s="11" t="s">
        <v>17741</v>
      </c>
      <c r="I5544" s="11" t="s">
        <v>4102</v>
      </c>
      <c r="J5544" s="11" t="s">
        <v>4102</v>
      </c>
      <c r="K5544" s="9" t="s">
        <v>4103</v>
      </c>
      <c r="L5544" s="9" t="s">
        <v>17759</v>
      </c>
      <c r="M5544" s="9" t="s">
        <v>20604</v>
      </c>
      <c r="N5544" s="9" t="s">
        <v>17746</v>
      </c>
      <c r="O5544" s="9" t="s">
        <v>17993</v>
      </c>
      <c r="P5544" s="9" t="s">
        <v>17748</v>
      </c>
      <c r="Q5544" s="11" t="s">
        <v>18272</v>
      </c>
      <c r="R5544" s="11" t="s">
        <v>18272</v>
      </c>
      <c r="S5544" s="11" t="s">
        <v>17750</v>
      </c>
    </row>
    <row r="5545" spans="1:19" x14ac:dyDescent="0.2">
      <c r="A5545" s="11" t="s">
        <v>49800</v>
      </c>
      <c r="B5545" s="9" t="s">
        <v>49801</v>
      </c>
      <c r="C5545" s="9" t="s">
        <v>49802</v>
      </c>
      <c r="D5545" s="9" t="s">
        <v>49803</v>
      </c>
      <c r="E5545" s="9" t="s">
        <v>17740</v>
      </c>
      <c r="F5545" s="9" t="s">
        <v>17741</v>
      </c>
      <c r="G5545" s="9" t="s">
        <v>17740</v>
      </c>
      <c r="H5545" s="11" t="s">
        <v>49804</v>
      </c>
      <c r="I5545" s="11" t="s">
        <v>49805</v>
      </c>
      <c r="J5545" s="11" t="s">
        <v>49805</v>
      </c>
      <c r="K5545" s="9" t="s">
        <v>689</v>
      </c>
      <c r="L5545" s="9" t="s">
        <v>17759</v>
      </c>
      <c r="M5545" s="9" t="s">
        <v>49806</v>
      </c>
      <c r="N5545" s="9" t="s">
        <v>17746</v>
      </c>
      <c r="O5545" s="9" t="s">
        <v>49807</v>
      </c>
      <c r="P5545" s="9" t="s">
        <v>17748</v>
      </c>
      <c r="Q5545" s="11" t="s">
        <v>19026</v>
      </c>
      <c r="R5545" s="11" t="s">
        <v>19026</v>
      </c>
      <c r="S5545" s="11" t="s">
        <v>17750</v>
      </c>
    </row>
    <row r="5546" spans="1:19" x14ac:dyDescent="0.2">
      <c r="A5546" s="11" t="s">
        <v>49808</v>
      </c>
      <c r="B5546" s="9" t="s">
        <v>49809</v>
      </c>
      <c r="C5546" s="9" t="s">
        <v>49810</v>
      </c>
      <c r="D5546" s="9" t="s">
        <v>49811</v>
      </c>
      <c r="E5546" s="9" t="s">
        <v>17748</v>
      </c>
      <c r="F5546" s="9" t="s">
        <v>49812</v>
      </c>
      <c r="G5546" s="9" t="s">
        <v>17740</v>
      </c>
      <c r="H5546" s="11" t="s">
        <v>11571</v>
      </c>
      <c r="I5546" s="11" t="s">
        <v>11570</v>
      </c>
      <c r="J5546" s="11" t="s">
        <v>11570</v>
      </c>
      <c r="K5546" s="9" t="s">
        <v>91</v>
      </c>
      <c r="L5546" s="9" t="s">
        <v>18001</v>
      </c>
      <c r="M5546" s="9" t="s">
        <v>17760</v>
      </c>
      <c r="N5546" s="9" t="s">
        <v>17746</v>
      </c>
      <c r="O5546" s="9" t="s">
        <v>36073</v>
      </c>
      <c r="P5546" s="9" t="s">
        <v>17748</v>
      </c>
      <c r="Q5546" s="11" t="s">
        <v>17762</v>
      </c>
      <c r="R5546" s="11" t="s">
        <v>17762</v>
      </c>
      <c r="S5546" s="11" t="s">
        <v>17750</v>
      </c>
    </row>
    <row r="5547" spans="1:19" x14ac:dyDescent="0.2">
      <c r="A5547" s="11" t="s">
        <v>49813</v>
      </c>
      <c r="B5547" s="9" t="s">
        <v>49814</v>
      </c>
      <c r="C5547" s="9" t="s">
        <v>49815</v>
      </c>
      <c r="D5547" s="9" t="s">
        <v>49816</v>
      </c>
      <c r="E5547" s="9" t="s">
        <v>17740</v>
      </c>
      <c r="F5547" s="9" t="s">
        <v>17741</v>
      </c>
      <c r="G5547" s="9" t="s">
        <v>17740</v>
      </c>
      <c r="H5547" s="11" t="s">
        <v>11199</v>
      </c>
      <c r="I5547" s="11" t="s">
        <v>11198</v>
      </c>
      <c r="J5547" s="11" t="s">
        <v>11198</v>
      </c>
      <c r="K5547" s="9" t="s">
        <v>8442</v>
      </c>
      <c r="L5547" s="9" t="s">
        <v>17744</v>
      </c>
      <c r="M5547" s="9" t="s">
        <v>17769</v>
      </c>
      <c r="N5547" s="9" t="s">
        <v>17746</v>
      </c>
      <c r="O5547" s="9" t="s">
        <v>11197</v>
      </c>
      <c r="P5547" s="9" t="s">
        <v>17748</v>
      </c>
      <c r="Q5547" s="11" t="s">
        <v>17984</v>
      </c>
      <c r="R5547" s="11" t="s">
        <v>17984</v>
      </c>
      <c r="S5547" s="11" t="s">
        <v>17750</v>
      </c>
    </row>
    <row r="5548" spans="1:19" x14ac:dyDescent="0.2">
      <c r="A5548" s="11" t="s">
        <v>49817</v>
      </c>
      <c r="B5548" s="9" t="s">
        <v>49818</v>
      </c>
      <c r="C5548" s="9" t="s">
        <v>49819</v>
      </c>
      <c r="D5548" s="9" t="s">
        <v>49820</v>
      </c>
      <c r="E5548" s="9" t="s">
        <v>17740</v>
      </c>
      <c r="F5548" s="9" t="s">
        <v>17741</v>
      </c>
      <c r="G5548" s="9" t="s">
        <v>17740</v>
      </c>
      <c r="H5548" s="11" t="s">
        <v>17741</v>
      </c>
      <c r="I5548" s="11" t="s">
        <v>49821</v>
      </c>
      <c r="J5548" s="11" t="s">
        <v>49821</v>
      </c>
      <c r="K5548" s="9" t="s">
        <v>49822</v>
      </c>
      <c r="L5548" s="9" t="s">
        <v>17759</v>
      </c>
      <c r="M5548" s="9" t="s">
        <v>40516</v>
      </c>
      <c r="N5548" s="9" t="s">
        <v>17746</v>
      </c>
      <c r="O5548" s="9" t="s">
        <v>49807</v>
      </c>
      <c r="P5548" s="9" t="s">
        <v>17748</v>
      </c>
      <c r="Q5548" s="11" t="s">
        <v>18147</v>
      </c>
      <c r="R5548" s="11" t="s">
        <v>18147</v>
      </c>
      <c r="S5548" s="11" t="s">
        <v>17750</v>
      </c>
    </row>
    <row r="5549" spans="1:19" x14ac:dyDescent="0.2">
      <c r="A5549" s="11" t="s">
        <v>49823</v>
      </c>
      <c r="B5549" s="9" t="s">
        <v>49824</v>
      </c>
      <c r="C5549" s="9" t="s">
        <v>49825</v>
      </c>
      <c r="D5549" s="9" t="s">
        <v>49826</v>
      </c>
      <c r="E5549" s="9" t="s">
        <v>17740</v>
      </c>
      <c r="F5549" s="9" t="s">
        <v>17741</v>
      </c>
      <c r="G5549" s="9" t="s">
        <v>17740</v>
      </c>
      <c r="H5549" s="11" t="s">
        <v>5704</v>
      </c>
      <c r="I5549" s="11" t="s">
        <v>5703</v>
      </c>
      <c r="J5549" s="11" t="s">
        <v>5703</v>
      </c>
      <c r="K5549" s="9" t="s">
        <v>21635</v>
      </c>
      <c r="L5549" s="9" t="s">
        <v>17759</v>
      </c>
      <c r="M5549" s="9" t="s">
        <v>17769</v>
      </c>
      <c r="N5549" s="9" t="s">
        <v>17746</v>
      </c>
      <c r="O5549" s="9" t="s">
        <v>49807</v>
      </c>
      <c r="P5549" s="9" t="s">
        <v>17748</v>
      </c>
      <c r="Q5549" s="11" t="s">
        <v>17749</v>
      </c>
      <c r="R5549" s="11" t="s">
        <v>17749</v>
      </c>
      <c r="S5549" s="11" t="s">
        <v>17750</v>
      </c>
    </row>
    <row r="5550" spans="1:19" x14ac:dyDescent="0.2">
      <c r="A5550" s="11" t="s">
        <v>49827</v>
      </c>
      <c r="B5550" s="9" t="s">
        <v>49828</v>
      </c>
      <c r="C5550" s="9" t="s">
        <v>49829</v>
      </c>
      <c r="D5550" s="9" t="s">
        <v>49830</v>
      </c>
      <c r="E5550" s="9" t="s">
        <v>17740</v>
      </c>
      <c r="F5550" s="9" t="s">
        <v>17741</v>
      </c>
      <c r="G5550" s="9" t="s">
        <v>17740</v>
      </c>
      <c r="H5550" s="11" t="s">
        <v>49831</v>
      </c>
      <c r="I5550" s="11" t="s">
        <v>49832</v>
      </c>
      <c r="J5550" s="11" t="s">
        <v>49832</v>
      </c>
      <c r="K5550" s="9" t="s">
        <v>920</v>
      </c>
      <c r="L5550" s="9" t="s">
        <v>18001</v>
      </c>
      <c r="M5550" s="9" t="s">
        <v>25514</v>
      </c>
      <c r="N5550" s="9" t="s">
        <v>17746</v>
      </c>
      <c r="O5550" s="9" t="s">
        <v>19653</v>
      </c>
      <c r="P5550" s="9" t="s">
        <v>17748</v>
      </c>
      <c r="Q5550" s="11" t="s">
        <v>17749</v>
      </c>
      <c r="R5550" s="11" t="s">
        <v>17749</v>
      </c>
      <c r="S5550" s="11" t="s">
        <v>17750</v>
      </c>
    </row>
    <row r="5551" spans="1:19" x14ac:dyDescent="0.2">
      <c r="A5551" s="11" t="s">
        <v>49833</v>
      </c>
      <c r="B5551" s="9" t="s">
        <v>49834</v>
      </c>
      <c r="C5551" s="9" t="s">
        <v>49835</v>
      </c>
      <c r="D5551" s="9" t="s">
        <v>49836</v>
      </c>
      <c r="E5551" s="9" t="s">
        <v>17748</v>
      </c>
      <c r="F5551" s="9" t="s">
        <v>49837</v>
      </c>
      <c r="G5551" s="9" t="s">
        <v>17740</v>
      </c>
      <c r="H5551" s="11" t="s">
        <v>49838</v>
      </c>
      <c r="I5551" s="11" t="s">
        <v>49839</v>
      </c>
      <c r="J5551" s="11" t="s">
        <v>49839</v>
      </c>
      <c r="K5551" s="9" t="s">
        <v>49840</v>
      </c>
      <c r="L5551" s="9" t="s">
        <v>17759</v>
      </c>
      <c r="M5551" s="9" t="s">
        <v>17817</v>
      </c>
      <c r="N5551" s="9" t="s">
        <v>17746</v>
      </c>
      <c r="O5551" s="9" t="s">
        <v>49841</v>
      </c>
      <c r="P5551" s="9" t="s">
        <v>17748</v>
      </c>
      <c r="Q5551" s="11" t="s">
        <v>17923</v>
      </c>
      <c r="R5551" s="11" t="s">
        <v>17923</v>
      </c>
      <c r="S5551" s="11" t="s">
        <v>17750</v>
      </c>
    </row>
    <row r="5552" spans="1:19" x14ac:dyDescent="0.2">
      <c r="A5552" s="11" t="s">
        <v>49842</v>
      </c>
      <c r="B5552" s="9" t="s">
        <v>49843</v>
      </c>
      <c r="C5552" s="9" t="s">
        <v>49844</v>
      </c>
      <c r="D5552" s="9" t="s">
        <v>49845</v>
      </c>
      <c r="E5552" s="9" t="s">
        <v>17740</v>
      </c>
      <c r="F5552" s="9" t="s">
        <v>49846</v>
      </c>
      <c r="G5552" s="9" t="s">
        <v>17740</v>
      </c>
      <c r="H5552" s="11" t="s">
        <v>49847</v>
      </c>
      <c r="I5552" s="11" t="s">
        <v>17741</v>
      </c>
      <c r="J5552" s="11" t="s">
        <v>17741</v>
      </c>
      <c r="K5552" s="9" t="s">
        <v>30874</v>
      </c>
      <c r="L5552" s="9" t="s">
        <v>18959</v>
      </c>
      <c r="M5552" s="9" t="s">
        <v>22065</v>
      </c>
      <c r="N5552" s="9" t="s">
        <v>17746</v>
      </c>
      <c r="O5552" s="9" t="s">
        <v>35378</v>
      </c>
      <c r="P5552" s="9" t="s">
        <v>17748</v>
      </c>
      <c r="Q5552" s="11" t="s">
        <v>17762</v>
      </c>
      <c r="R5552" s="11" t="s">
        <v>17762</v>
      </c>
      <c r="S5552" s="11" t="s">
        <v>17750</v>
      </c>
    </row>
    <row r="5553" spans="1:19" x14ac:dyDescent="0.2">
      <c r="A5553" s="11" t="s">
        <v>49848</v>
      </c>
      <c r="B5553" s="9" t="s">
        <v>49849</v>
      </c>
      <c r="C5553" s="9" t="s">
        <v>49850</v>
      </c>
      <c r="D5553" s="9" t="s">
        <v>49851</v>
      </c>
      <c r="E5553" s="9" t="s">
        <v>17740</v>
      </c>
      <c r="F5553" s="9" t="s">
        <v>17741</v>
      </c>
      <c r="G5553" s="9" t="s">
        <v>17740</v>
      </c>
      <c r="H5553" s="11" t="s">
        <v>17741</v>
      </c>
      <c r="I5553" s="11" t="s">
        <v>4090</v>
      </c>
      <c r="J5553" s="11" t="s">
        <v>4090</v>
      </c>
      <c r="K5553" s="9" t="s">
        <v>49852</v>
      </c>
      <c r="L5553" s="9" t="s">
        <v>18123</v>
      </c>
      <c r="M5553" s="9" t="s">
        <v>17942</v>
      </c>
      <c r="N5553" s="9" t="s">
        <v>17746</v>
      </c>
      <c r="O5553" s="9" t="s">
        <v>3524</v>
      </c>
      <c r="P5553" s="9" t="s">
        <v>17748</v>
      </c>
      <c r="Q5553" s="11" t="s">
        <v>17931</v>
      </c>
      <c r="R5553" s="11" t="s">
        <v>17931</v>
      </c>
      <c r="S5553" s="11" t="s">
        <v>17750</v>
      </c>
    </row>
    <row r="5554" spans="1:19" x14ac:dyDescent="0.2">
      <c r="A5554" s="11" t="s">
        <v>49853</v>
      </c>
      <c r="B5554" s="9" t="s">
        <v>49854</v>
      </c>
      <c r="C5554" s="9" t="s">
        <v>49855</v>
      </c>
      <c r="D5554" s="9" t="s">
        <v>49856</v>
      </c>
      <c r="E5554" s="9" t="s">
        <v>17748</v>
      </c>
      <c r="F5554" s="9" t="s">
        <v>49857</v>
      </c>
      <c r="G5554" s="9" t="s">
        <v>17740</v>
      </c>
      <c r="H5554" s="11" t="s">
        <v>17741</v>
      </c>
      <c r="I5554" s="11" t="s">
        <v>49858</v>
      </c>
      <c r="J5554" s="11" t="s">
        <v>49858</v>
      </c>
      <c r="K5554" s="9" t="s">
        <v>29318</v>
      </c>
      <c r="L5554" s="9" t="s">
        <v>17744</v>
      </c>
      <c r="M5554" s="9" t="s">
        <v>28364</v>
      </c>
      <c r="N5554" s="9" t="s">
        <v>17746</v>
      </c>
      <c r="O5554" s="9" t="s">
        <v>17857</v>
      </c>
      <c r="P5554" s="9" t="s">
        <v>17748</v>
      </c>
      <c r="Q5554" s="11" t="s">
        <v>17808</v>
      </c>
      <c r="R5554" s="11" t="s">
        <v>17808</v>
      </c>
      <c r="S5554" s="11" t="s">
        <v>17750</v>
      </c>
    </row>
    <row r="5555" spans="1:19" x14ac:dyDescent="0.2">
      <c r="A5555" s="11" t="s">
        <v>49859</v>
      </c>
      <c r="B5555" s="9" t="s">
        <v>49860</v>
      </c>
      <c r="C5555" s="9" t="s">
        <v>49861</v>
      </c>
      <c r="D5555" s="9" t="s">
        <v>49862</v>
      </c>
      <c r="E5555" s="9" t="s">
        <v>17740</v>
      </c>
      <c r="F5555" s="9" t="s">
        <v>17741</v>
      </c>
      <c r="G5555" s="9" t="s">
        <v>17740</v>
      </c>
      <c r="H5555" s="11" t="s">
        <v>16111</v>
      </c>
      <c r="I5555" s="11" t="s">
        <v>16110</v>
      </c>
      <c r="J5555" s="11" t="s">
        <v>16110</v>
      </c>
      <c r="K5555" s="9" t="s">
        <v>19447</v>
      </c>
      <c r="L5555" s="9" t="s">
        <v>17759</v>
      </c>
      <c r="M5555" s="9" t="s">
        <v>17760</v>
      </c>
      <c r="N5555" s="9" t="s">
        <v>17746</v>
      </c>
      <c r="O5555" s="9" t="s">
        <v>49863</v>
      </c>
      <c r="P5555" s="9" t="s">
        <v>17748</v>
      </c>
      <c r="Q5555" s="11" t="s">
        <v>17900</v>
      </c>
      <c r="R5555" s="11" t="s">
        <v>17900</v>
      </c>
      <c r="S5555" s="11" t="s">
        <v>17750</v>
      </c>
    </row>
    <row r="5556" spans="1:19" x14ac:dyDescent="0.2">
      <c r="A5556" s="11" t="s">
        <v>49864</v>
      </c>
      <c r="B5556" s="9" t="s">
        <v>49865</v>
      </c>
      <c r="C5556" s="9" t="s">
        <v>49866</v>
      </c>
      <c r="D5556" s="9" t="s">
        <v>49867</v>
      </c>
      <c r="E5556" s="9" t="s">
        <v>17740</v>
      </c>
      <c r="F5556" s="9" t="s">
        <v>17741</v>
      </c>
      <c r="G5556" s="9" t="s">
        <v>17740</v>
      </c>
      <c r="H5556" s="11" t="s">
        <v>10617</v>
      </c>
      <c r="I5556" s="11" t="s">
        <v>10616</v>
      </c>
      <c r="J5556" s="11" t="s">
        <v>10616</v>
      </c>
      <c r="K5556" s="9" t="s">
        <v>291</v>
      </c>
      <c r="L5556" s="9" t="s">
        <v>17744</v>
      </c>
      <c r="M5556" s="9" t="s">
        <v>19108</v>
      </c>
      <c r="N5556" s="9" t="s">
        <v>17746</v>
      </c>
      <c r="O5556" s="9" t="s">
        <v>17834</v>
      </c>
      <c r="P5556" s="9" t="s">
        <v>17748</v>
      </c>
      <c r="Q5556" s="11" t="s">
        <v>17784</v>
      </c>
      <c r="R5556" s="11" t="s">
        <v>17784</v>
      </c>
      <c r="S5556" s="11" t="s">
        <v>17750</v>
      </c>
    </row>
    <row r="5557" spans="1:19" x14ac:dyDescent="0.2">
      <c r="A5557" s="11" t="s">
        <v>49868</v>
      </c>
      <c r="B5557" s="9" t="s">
        <v>49869</v>
      </c>
      <c r="C5557" s="9" t="s">
        <v>49870</v>
      </c>
      <c r="D5557" s="9" t="s">
        <v>49871</v>
      </c>
      <c r="E5557" s="9" t="s">
        <v>17740</v>
      </c>
      <c r="F5557" s="9" t="s">
        <v>49872</v>
      </c>
      <c r="G5557" s="9" t="s">
        <v>17740</v>
      </c>
      <c r="H5557" s="11" t="s">
        <v>17741</v>
      </c>
      <c r="I5557" s="11" t="s">
        <v>8013</v>
      </c>
      <c r="J5557" s="11" t="s">
        <v>8013</v>
      </c>
      <c r="K5557" s="9" t="s">
        <v>17741</v>
      </c>
      <c r="L5557" s="9" t="s">
        <v>17958</v>
      </c>
      <c r="M5557" s="9" t="s">
        <v>19706</v>
      </c>
      <c r="N5557" s="9" t="s">
        <v>17746</v>
      </c>
      <c r="O5557" s="9" t="s">
        <v>1675</v>
      </c>
      <c r="P5557" s="9" t="s">
        <v>17748</v>
      </c>
      <c r="Q5557" s="11" t="s">
        <v>18272</v>
      </c>
      <c r="R5557" s="11" t="s">
        <v>18272</v>
      </c>
      <c r="S5557" s="11" t="s">
        <v>17750</v>
      </c>
    </row>
    <row r="5558" spans="1:19" x14ac:dyDescent="0.2">
      <c r="A5558" s="11" t="s">
        <v>49873</v>
      </c>
      <c r="B5558" s="9" t="s">
        <v>49874</v>
      </c>
      <c r="C5558" s="9" t="s">
        <v>49875</v>
      </c>
      <c r="D5558" s="9" t="s">
        <v>49876</v>
      </c>
      <c r="E5558" s="9" t="s">
        <v>17740</v>
      </c>
      <c r="F5558" s="9" t="s">
        <v>17741</v>
      </c>
      <c r="G5558" s="9" t="s">
        <v>17740</v>
      </c>
      <c r="H5558" s="11" t="s">
        <v>49877</v>
      </c>
      <c r="I5558" s="11" t="s">
        <v>49878</v>
      </c>
      <c r="J5558" s="11" t="s">
        <v>49878</v>
      </c>
      <c r="K5558" s="9" t="s">
        <v>17783</v>
      </c>
      <c r="L5558" s="9" t="s">
        <v>18158</v>
      </c>
      <c r="M5558" s="9" t="s">
        <v>49879</v>
      </c>
      <c r="N5558" s="9" t="s">
        <v>17746</v>
      </c>
      <c r="O5558" s="9" t="s">
        <v>21100</v>
      </c>
      <c r="P5558" s="9" t="s">
        <v>17748</v>
      </c>
      <c r="Q5558" s="11" t="s">
        <v>17749</v>
      </c>
      <c r="R5558" s="11" t="s">
        <v>17749</v>
      </c>
      <c r="S5558" s="11" t="s">
        <v>17750</v>
      </c>
    </row>
    <row r="5559" spans="1:19" x14ac:dyDescent="0.2">
      <c r="A5559" s="11" t="s">
        <v>49880</v>
      </c>
      <c r="B5559" s="9" t="s">
        <v>49881</v>
      </c>
      <c r="C5559" s="9" t="s">
        <v>49882</v>
      </c>
      <c r="D5559" s="9" t="s">
        <v>49883</v>
      </c>
      <c r="E5559" s="9" t="s">
        <v>17740</v>
      </c>
      <c r="F5559" s="9" t="s">
        <v>17741</v>
      </c>
      <c r="G5559" s="9" t="s">
        <v>17740</v>
      </c>
      <c r="H5559" s="11" t="s">
        <v>12034</v>
      </c>
      <c r="I5559" s="11" t="s">
        <v>12033</v>
      </c>
      <c r="J5559" s="11" t="s">
        <v>17741</v>
      </c>
      <c r="K5559" s="9" t="s">
        <v>12035</v>
      </c>
      <c r="L5559" s="9" t="s">
        <v>17958</v>
      </c>
      <c r="M5559" s="9" t="s">
        <v>17760</v>
      </c>
      <c r="N5559" s="9" t="s">
        <v>17746</v>
      </c>
      <c r="O5559" s="9" t="s">
        <v>3355</v>
      </c>
      <c r="P5559" s="9" t="s">
        <v>17748</v>
      </c>
      <c r="Q5559" s="11" t="s">
        <v>17984</v>
      </c>
      <c r="R5559" s="11" t="s">
        <v>17984</v>
      </c>
      <c r="S5559" s="11" t="s">
        <v>17750</v>
      </c>
    </row>
    <row r="5560" spans="1:19" x14ac:dyDescent="0.2">
      <c r="A5560" s="11" t="s">
        <v>49884</v>
      </c>
      <c r="B5560" s="9" t="s">
        <v>49885</v>
      </c>
      <c r="C5560" s="9" t="s">
        <v>49886</v>
      </c>
      <c r="D5560" s="9" t="s">
        <v>49887</v>
      </c>
      <c r="E5560" s="9" t="s">
        <v>17740</v>
      </c>
      <c r="F5560" s="9" t="s">
        <v>49888</v>
      </c>
      <c r="G5560" s="9" t="s">
        <v>17740</v>
      </c>
      <c r="H5560" s="11" t="s">
        <v>49889</v>
      </c>
      <c r="I5560" s="11" t="s">
        <v>49890</v>
      </c>
      <c r="J5560" s="11" t="s">
        <v>49890</v>
      </c>
      <c r="K5560" s="9" t="s">
        <v>167</v>
      </c>
      <c r="L5560" s="9" t="s">
        <v>17759</v>
      </c>
      <c r="M5560" s="9" t="s">
        <v>49891</v>
      </c>
      <c r="N5560" s="9" t="s">
        <v>17746</v>
      </c>
      <c r="O5560" s="9" t="s">
        <v>18035</v>
      </c>
      <c r="P5560" s="9" t="s">
        <v>17748</v>
      </c>
      <c r="Q5560" s="11" t="s">
        <v>18600</v>
      </c>
      <c r="R5560" s="11" t="s">
        <v>18600</v>
      </c>
      <c r="S5560" s="11" t="s">
        <v>17750</v>
      </c>
    </row>
    <row r="5561" spans="1:19" x14ac:dyDescent="0.2">
      <c r="A5561" s="11" t="s">
        <v>49892</v>
      </c>
      <c r="B5561" s="9" t="s">
        <v>49893</v>
      </c>
      <c r="C5561" s="9" t="s">
        <v>49894</v>
      </c>
      <c r="D5561" s="9" t="s">
        <v>49895</v>
      </c>
      <c r="E5561" s="9" t="s">
        <v>17740</v>
      </c>
      <c r="F5561" s="9" t="s">
        <v>17741</v>
      </c>
      <c r="G5561" s="9" t="s">
        <v>17740</v>
      </c>
      <c r="H5561" s="11" t="s">
        <v>10281</v>
      </c>
      <c r="I5561" s="11" t="s">
        <v>17741</v>
      </c>
      <c r="J5561" s="11" t="s">
        <v>10281</v>
      </c>
      <c r="K5561" s="9" t="s">
        <v>18570</v>
      </c>
      <c r="L5561" s="9" t="s">
        <v>17744</v>
      </c>
      <c r="M5561" s="9" t="s">
        <v>17741</v>
      </c>
      <c r="N5561" s="9" t="s">
        <v>17746</v>
      </c>
      <c r="O5561" s="9" t="s">
        <v>20701</v>
      </c>
      <c r="P5561" s="9" t="s">
        <v>17748</v>
      </c>
      <c r="Q5561" s="11" t="s">
        <v>17858</v>
      </c>
      <c r="R5561" s="11" t="s">
        <v>17858</v>
      </c>
      <c r="S5561" s="11" t="s">
        <v>17750</v>
      </c>
    </row>
    <row r="5562" spans="1:19" x14ac:dyDescent="0.2">
      <c r="A5562" s="11" t="s">
        <v>49896</v>
      </c>
      <c r="B5562" s="9" t="s">
        <v>49897</v>
      </c>
      <c r="C5562" s="9" t="s">
        <v>49898</v>
      </c>
      <c r="D5562" s="9" t="s">
        <v>49899</v>
      </c>
      <c r="E5562" s="9" t="s">
        <v>17740</v>
      </c>
      <c r="F5562" s="9" t="s">
        <v>17741</v>
      </c>
      <c r="G5562" s="9" t="s">
        <v>17740</v>
      </c>
      <c r="H5562" s="11" t="s">
        <v>49900</v>
      </c>
      <c r="I5562" s="11" t="s">
        <v>49901</v>
      </c>
      <c r="J5562" s="11" t="s">
        <v>49901</v>
      </c>
      <c r="K5562" s="9" t="s">
        <v>17790</v>
      </c>
      <c r="L5562" s="9" t="s">
        <v>18158</v>
      </c>
      <c r="M5562" s="9" t="s">
        <v>17799</v>
      </c>
      <c r="N5562" s="9" t="s">
        <v>17746</v>
      </c>
      <c r="O5562" s="9" t="s">
        <v>4025</v>
      </c>
      <c r="P5562" s="9" t="s">
        <v>17748</v>
      </c>
      <c r="Q5562" s="11" t="s">
        <v>17978</v>
      </c>
      <c r="R5562" s="11" t="s">
        <v>17978</v>
      </c>
      <c r="S5562" s="11" t="s">
        <v>17750</v>
      </c>
    </row>
    <row r="5563" spans="1:19" x14ac:dyDescent="0.2">
      <c r="A5563" s="11" t="s">
        <v>49902</v>
      </c>
      <c r="B5563" s="9" t="s">
        <v>49903</v>
      </c>
      <c r="C5563" s="9" t="s">
        <v>49904</v>
      </c>
      <c r="D5563" s="9" t="s">
        <v>49905</v>
      </c>
      <c r="E5563" s="9" t="s">
        <v>17748</v>
      </c>
      <c r="F5563" s="9" t="s">
        <v>49906</v>
      </c>
      <c r="G5563" s="9" t="s">
        <v>17740</v>
      </c>
      <c r="H5563" s="11" t="s">
        <v>17741</v>
      </c>
      <c r="I5563" s="11" t="s">
        <v>13838</v>
      </c>
      <c r="J5563" s="11" t="s">
        <v>17741</v>
      </c>
      <c r="K5563" s="9" t="s">
        <v>91</v>
      </c>
      <c r="L5563" s="9" t="s">
        <v>17759</v>
      </c>
      <c r="M5563" s="9" t="s">
        <v>17817</v>
      </c>
      <c r="N5563" s="9" t="s">
        <v>17746</v>
      </c>
      <c r="O5563" s="9" t="s">
        <v>3176</v>
      </c>
      <c r="P5563" s="9" t="s">
        <v>17748</v>
      </c>
      <c r="Q5563" s="11" t="s">
        <v>17900</v>
      </c>
      <c r="R5563" s="11" t="s">
        <v>17900</v>
      </c>
      <c r="S5563" s="11" t="s">
        <v>17750</v>
      </c>
    </row>
    <row r="5564" spans="1:19" x14ac:dyDescent="0.2">
      <c r="A5564" s="11" t="s">
        <v>49907</v>
      </c>
      <c r="B5564" s="9" t="s">
        <v>49908</v>
      </c>
      <c r="C5564" s="9" t="s">
        <v>49909</v>
      </c>
      <c r="D5564" s="9" t="s">
        <v>49910</v>
      </c>
      <c r="E5564" s="9" t="s">
        <v>17740</v>
      </c>
      <c r="F5564" s="9" t="s">
        <v>17741</v>
      </c>
      <c r="G5564" s="9" t="s">
        <v>17740</v>
      </c>
      <c r="H5564" s="11" t="s">
        <v>49911</v>
      </c>
      <c r="I5564" s="11" t="s">
        <v>49912</v>
      </c>
      <c r="J5564" s="11" t="s">
        <v>49912</v>
      </c>
      <c r="K5564" s="9" t="s">
        <v>18176</v>
      </c>
      <c r="L5564" s="9" t="s">
        <v>18123</v>
      </c>
      <c r="M5564" s="9" t="s">
        <v>17942</v>
      </c>
      <c r="N5564" s="9" t="s">
        <v>17746</v>
      </c>
      <c r="O5564" s="9" t="s">
        <v>18543</v>
      </c>
      <c r="P5564" s="9" t="s">
        <v>17748</v>
      </c>
      <c r="Q5564" s="11" t="s">
        <v>17943</v>
      </c>
      <c r="R5564" s="11" t="s">
        <v>17943</v>
      </c>
      <c r="S5564" s="11" t="s">
        <v>17750</v>
      </c>
    </row>
    <row r="5565" spans="1:19" x14ac:dyDescent="0.2">
      <c r="A5565" s="11" t="s">
        <v>49913</v>
      </c>
      <c r="B5565" s="9" t="s">
        <v>49914</v>
      </c>
      <c r="C5565" s="9" t="s">
        <v>49915</v>
      </c>
      <c r="D5565" s="9" t="s">
        <v>49916</v>
      </c>
      <c r="E5565" s="9" t="s">
        <v>17740</v>
      </c>
      <c r="F5565" s="9" t="s">
        <v>49917</v>
      </c>
      <c r="G5565" s="9" t="s">
        <v>17740</v>
      </c>
      <c r="H5565" s="11" t="s">
        <v>49918</v>
      </c>
      <c r="I5565" s="11" t="s">
        <v>49919</v>
      </c>
      <c r="J5565" s="11" t="s">
        <v>49919</v>
      </c>
      <c r="K5565" s="9" t="s">
        <v>49920</v>
      </c>
      <c r="L5565" s="9" t="s">
        <v>17759</v>
      </c>
      <c r="M5565" s="9" t="s">
        <v>17760</v>
      </c>
      <c r="N5565" s="9" t="s">
        <v>17746</v>
      </c>
      <c r="O5565" s="9" t="s">
        <v>17800</v>
      </c>
      <c r="P5565" s="9" t="s">
        <v>17748</v>
      </c>
      <c r="Q5565" s="11" t="s">
        <v>17780</v>
      </c>
      <c r="R5565" s="11" t="s">
        <v>17780</v>
      </c>
      <c r="S5565" s="11" t="s">
        <v>17750</v>
      </c>
    </row>
    <row r="5566" spans="1:19" x14ac:dyDescent="0.2">
      <c r="A5566" s="11" t="s">
        <v>49921</v>
      </c>
      <c r="B5566" s="9" t="s">
        <v>49922</v>
      </c>
      <c r="C5566" s="9" t="s">
        <v>49923</v>
      </c>
      <c r="D5566" s="9" t="s">
        <v>49924</v>
      </c>
      <c r="E5566" s="9" t="s">
        <v>17740</v>
      </c>
      <c r="F5566" s="9" t="s">
        <v>17741</v>
      </c>
      <c r="G5566" s="9" t="s">
        <v>17740</v>
      </c>
      <c r="H5566" s="11" t="s">
        <v>49925</v>
      </c>
      <c r="I5566" s="11" t="s">
        <v>17741</v>
      </c>
      <c r="J5566" s="11" t="s">
        <v>49925</v>
      </c>
      <c r="K5566" s="9" t="s">
        <v>49926</v>
      </c>
      <c r="L5566" s="9" t="s">
        <v>17759</v>
      </c>
      <c r="M5566" s="9" t="s">
        <v>49927</v>
      </c>
      <c r="N5566" s="9" t="s">
        <v>17746</v>
      </c>
      <c r="O5566" s="9" t="s">
        <v>19859</v>
      </c>
      <c r="P5566" s="9" t="s">
        <v>17748</v>
      </c>
      <c r="Q5566" s="11" t="s">
        <v>17984</v>
      </c>
      <c r="R5566" s="11" t="s">
        <v>17984</v>
      </c>
      <c r="S5566" s="11" t="s">
        <v>17750</v>
      </c>
    </row>
    <row r="5567" spans="1:19" x14ac:dyDescent="0.2">
      <c r="A5567" s="11" t="s">
        <v>49928</v>
      </c>
      <c r="B5567" s="9" t="s">
        <v>49929</v>
      </c>
      <c r="C5567" s="9" t="s">
        <v>49930</v>
      </c>
      <c r="D5567" s="9" t="s">
        <v>49931</v>
      </c>
      <c r="E5567" s="9" t="s">
        <v>17740</v>
      </c>
      <c r="F5567" s="9" t="s">
        <v>17741</v>
      </c>
      <c r="G5567" s="9" t="s">
        <v>17740</v>
      </c>
      <c r="H5567" s="11" t="s">
        <v>7358</v>
      </c>
      <c r="I5567" s="11" t="s">
        <v>7357</v>
      </c>
      <c r="J5567" s="11" t="s">
        <v>7357</v>
      </c>
      <c r="K5567" s="9" t="s">
        <v>22893</v>
      </c>
      <c r="L5567" s="9" t="s">
        <v>17759</v>
      </c>
      <c r="M5567" s="9" t="s">
        <v>21567</v>
      </c>
      <c r="N5567" s="9" t="s">
        <v>17746</v>
      </c>
      <c r="O5567" s="9" t="s">
        <v>5790</v>
      </c>
      <c r="P5567" s="9" t="s">
        <v>17748</v>
      </c>
      <c r="Q5567" s="11" t="s">
        <v>17792</v>
      </c>
      <c r="R5567" s="11" t="s">
        <v>17792</v>
      </c>
      <c r="S5567" s="11" t="s">
        <v>17750</v>
      </c>
    </row>
    <row r="5568" spans="1:19" x14ac:dyDescent="0.2">
      <c r="A5568" s="11" t="s">
        <v>49932</v>
      </c>
      <c r="B5568" s="9" t="s">
        <v>49933</v>
      </c>
      <c r="C5568" s="9" t="s">
        <v>49934</v>
      </c>
      <c r="D5568" s="9" t="s">
        <v>49935</v>
      </c>
      <c r="E5568" s="9" t="s">
        <v>17740</v>
      </c>
      <c r="F5568" s="9" t="s">
        <v>17741</v>
      </c>
      <c r="G5568" s="9" t="s">
        <v>17740</v>
      </c>
      <c r="H5568" s="11" t="s">
        <v>17741</v>
      </c>
      <c r="I5568" s="11" t="s">
        <v>49936</v>
      </c>
      <c r="J5568" s="11" t="s">
        <v>49936</v>
      </c>
      <c r="K5568" s="9" t="s">
        <v>49937</v>
      </c>
      <c r="L5568" s="9" t="s">
        <v>18158</v>
      </c>
      <c r="M5568" s="9" t="s">
        <v>18745</v>
      </c>
      <c r="N5568" s="9" t="s">
        <v>17746</v>
      </c>
      <c r="O5568" s="9" t="s">
        <v>17747</v>
      </c>
      <c r="P5568" s="9" t="s">
        <v>17748</v>
      </c>
      <c r="Q5568" s="11" t="s">
        <v>17978</v>
      </c>
      <c r="R5568" s="11" t="s">
        <v>17978</v>
      </c>
      <c r="S5568" s="11" t="s">
        <v>17750</v>
      </c>
    </row>
    <row r="5569" spans="1:19" x14ac:dyDescent="0.2">
      <c r="A5569" s="11" t="s">
        <v>49938</v>
      </c>
      <c r="B5569" s="9" t="s">
        <v>49939</v>
      </c>
      <c r="C5569" s="9" t="s">
        <v>49940</v>
      </c>
      <c r="D5569" s="9" t="s">
        <v>4110</v>
      </c>
      <c r="E5569" s="9" t="s">
        <v>17740</v>
      </c>
      <c r="F5569" s="9" t="s">
        <v>17741</v>
      </c>
      <c r="G5569" s="9" t="s">
        <v>17740</v>
      </c>
      <c r="H5569" s="11" t="s">
        <v>4112</v>
      </c>
      <c r="I5569" s="11" t="s">
        <v>4111</v>
      </c>
      <c r="J5569" s="11" t="s">
        <v>4111</v>
      </c>
      <c r="K5569" s="9" t="s">
        <v>291</v>
      </c>
      <c r="L5569" s="9" t="s">
        <v>17744</v>
      </c>
      <c r="M5569" s="9" t="s">
        <v>17817</v>
      </c>
      <c r="N5569" s="9" t="s">
        <v>17746</v>
      </c>
      <c r="O5569" s="9" t="s">
        <v>4009</v>
      </c>
      <c r="P5569" s="9" t="s">
        <v>17748</v>
      </c>
      <c r="Q5569" s="11" t="s">
        <v>19899</v>
      </c>
      <c r="R5569" s="11" t="s">
        <v>19899</v>
      </c>
      <c r="S5569" s="11" t="s">
        <v>17750</v>
      </c>
    </row>
    <row r="5570" spans="1:19" x14ac:dyDescent="0.2">
      <c r="A5570" s="11" t="s">
        <v>49941</v>
      </c>
      <c r="B5570" s="9" t="s">
        <v>7595</v>
      </c>
      <c r="C5570" s="9" t="s">
        <v>49942</v>
      </c>
      <c r="D5570" s="9" t="s">
        <v>7595</v>
      </c>
      <c r="E5570" s="9" t="s">
        <v>17740</v>
      </c>
      <c r="F5570" s="9" t="s">
        <v>17741</v>
      </c>
      <c r="G5570" s="9" t="s">
        <v>17740</v>
      </c>
      <c r="H5570" s="11" t="s">
        <v>7597</v>
      </c>
      <c r="I5570" s="11" t="s">
        <v>7596</v>
      </c>
      <c r="J5570" s="11" t="s">
        <v>7596</v>
      </c>
      <c r="K5570" s="9" t="s">
        <v>25895</v>
      </c>
      <c r="L5570" s="9" t="s">
        <v>18305</v>
      </c>
      <c r="M5570" s="9" t="s">
        <v>20344</v>
      </c>
      <c r="N5570" s="9" t="s">
        <v>17746</v>
      </c>
      <c r="O5570" s="9" t="s">
        <v>3981</v>
      </c>
      <c r="P5570" s="9" t="s">
        <v>17748</v>
      </c>
      <c r="Q5570" s="11" t="s">
        <v>17808</v>
      </c>
      <c r="R5570" s="11" t="s">
        <v>17808</v>
      </c>
      <c r="S5570" s="11" t="s">
        <v>17750</v>
      </c>
    </row>
    <row r="5571" spans="1:19" x14ac:dyDescent="0.2">
      <c r="A5571" s="11" t="s">
        <v>49943</v>
      </c>
      <c r="B5571" s="9" t="s">
        <v>49944</v>
      </c>
      <c r="C5571" s="9" t="s">
        <v>49945</v>
      </c>
      <c r="D5571" s="9" t="s">
        <v>49946</v>
      </c>
      <c r="E5571" s="9" t="s">
        <v>17740</v>
      </c>
      <c r="F5571" s="9" t="s">
        <v>49947</v>
      </c>
      <c r="G5571" s="9" t="s">
        <v>17740</v>
      </c>
      <c r="H5571" s="11" t="s">
        <v>17741</v>
      </c>
      <c r="I5571" s="11" t="s">
        <v>49948</v>
      </c>
      <c r="J5571" s="11" t="s">
        <v>49948</v>
      </c>
      <c r="K5571" s="9" t="s">
        <v>49949</v>
      </c>
      <c r="L5571" s="9" t="s">
        <v>17958</v>
      </c>
      <c r="M5571" s="9" t="s">
        <v>28602</v>
      </c>
      <c r="N5571" s="9" t="s">
        <v>22152</v>
      </c>
      <c r="O5571" s="9" t="s">
        <v>18882</v>
      </c>
      <c r="P5571" s="9" t="s">
        <v>17748</v>
      </c>
      <c r="Q5571" s="11" t="s">
        <v>18201</v>
      </c>
      <c r="R5571" s="11" t="s">
        <v>18201</v>
      </c>
      <c r="S5571" s="11" t="s">
        <v>17750</v>
      </c>
    </row>
    <row r="5572" spans="1:19" x14ac:dyDescent="0.2">
      <c r="A5572" s="11" t="s">
        <v>49950</v>
      </c>
      <c r="B5572" s="9" t="s">
        <v>49951</v>
      </c>
      <c r="C5572" s="9" t="s">
        <v>49952</v>
      </c>
      <c r="D5572" s="9" t="s">
        <v>4118</v>
      </c>
      <c r="E5572" s="9" t="s">
        <v>17740</v>
      </c>
      <c r="F5572" s="9" t="s">
        <v>17741</v>
      </c>
      <c r="G5572" s="9" t="s">
        <v>17740</v>
      </c>
      <c r="H5572" s="11" t="s">
        <v>4120</v>
      </c>
      <c r="I5572" s="11" t="s">
        <v>4119</v>
      </c>
      <c r="J5572" s="11" t="s">
        <v>4119</v>
      </c>
      <c r="K5572" s="9" t="s">
        <v>49953</v>
      </c>
      <c r="L5572" s="9" t="s">
        <v>18242</v>
      </c>
      <c r="M5572" s="9" t="s">
        <v>17817</v>
      </c>
      <c r="N5572" s="9" t="s">
        <v>21524</v>
      </c>
      <c r="O5572" s="9" t="s">
        <v>20404</v>
      </c>
      <c r="P5572" s="9" t="s">
        <v>17748</v>
      </c>
      <c r="Q5572" s="11" t="s">
        <v>49954</v>
      </c>
      <c r="R5572" s="11" t="s">
        <v>49954</v>
      </c>
      <c r="S5572" s="11" t="s">
        <v>17750</v>
      </c>
    </row>
    <row r="5573" spans="1:19" x14ac:dyDescent="0.2">
      <c r="A5573" s="11" t="s">
        <v>49955</v>
      </c>
      <c r="B5573" s="9" t="s">
        <v>49956</v>
      </c>
      <c r="C5573" s="9" t="s">
        <v>49957</v>
      </c>
      <c r="D5573" s="9" t="s">
        <v>49958</v>
      </c>
      <c r="E5573" s="9" t="s">
        <v>17740</v>
      </c>
      <c r="F5573" s="9" t="s">
        <v>17741</v>
      </c>
      <c r="G5573" s="9" t="s">
        <v>17740</v>
      </c>
      <c r="H5573" s="11" t="s">
        <v>17741</v>
      </c>
      <c r="I5573" s="11" t="s">
        <v>49959</v>
      </c>
      <c r="J5573" s="11" t="s">
        <v>49959</v>
      </c>
      <c r="K5573" s="9" t="s">
        <v>49960</v>
      </c>
      <c r="L5573" s="9" t="s">
        <v>18242</v>
      </c>
      <c r="M5573" s="9" t="s">
        <v>18211</v>
      </c>
      <c r="N5573" s="9" t="s">
        <v>21524</v>
      </c>
      <c r="O5573" s="9" t="s">
        <v>23685</v>
      </c>
      <c r="P5573" s="9" t="s">
        <v>17748</v>
      </c>
      <c r="Q5573" s="11" t="s">
        <v>20251</v>
      </c>
      <c r="R5573" s="11" t="s">
        <v>20251</v>
      </c>
      <c r="S5573" s="11" t="s">
        <v>17750</v>
      </c>
    </row>
    <row r="5574" spans="1:19" x14ac:dyDescent="0.2">
      <c r="A5574" s="11" t="s">
        <v>49961</v>
      </c>
      <c r="B5574" s="9" t="s">
        <v>49962</v>
      </c>
      <c r="C5574" s="9" t="s">
        <v>49963</v>
      </c>
      <c r="D5574" s="9" t="s">
        <v>49964</v>
      </c>
      <c r="E5574" s="9" t="s">
        <v>17740</v>
      </c>
      <c r="F5574" s="9" t="s">
        <v>17741</v>
      </c>
      <c r="G5574" s="9" t="s">
        <v>17740</v>
      </c>
      <c r="H5574" s="11" t="s">
        <v>49965</v>
      </c>
      <c r="I5574" s="11" t="s">
        <v>4116</v>
      </c>
      <c r="J5574" s="11" t="s">
        <v>4116</v>
      </c>
      <c r="K5574" s="9" t="s">
        <v>4115</v>
      </c>
      <c r="L5574" s="9" t="s">
        <v>17759</v>
      </c>
      <c r="M5574" s="9" t="s">
        <v>18065</v>
      </c>
      <c r="N5574" s="9" t="s">
        <v>17746</v>
      </c>
      <c r="O5574" s="9" t="s">
        <v>18833</v>
      </c>
      <c r="P5574" s="9" t="s">
        <v>17748</v>
      </c>
      <c r="Q5574" s="11" t="s">
        <v>23636</v>
      </c>
      <c r="R5574" s="11" t="s">
        <v>23636</v>
      </c>
      <c r="S5574" s="11" t="s">
        <v>17750</v>
      </c>
    </row>
    <row r="5575" spans="1:19" x14ac:dyDescent="0.2">
      <c r="A5575" s="11" t="s">
        <v>49966</v>
      </c>
      <c r="B5575" s="9" t="s">
        <v>49967</v>
      </c>
      <c r="C5575" s="9" t="s">
        <v>49968</v>
      </c>
      <c r="D5575" s="9" t="s">
        <v>49969</v>
      </c>
      <c r="E5575" s="9" t="s">
        <v>17740</v>
      </c>
      <c r="F5575" s="9" t="s">
        <v>17741</v>
      </c>
      <c r="G5575" s="9" t="s">
        <v>17740</v>
      </c>
      <c r="H5575" s="11" t="s">
        <v>17741</v>
      </c>
      <c r="I5575" s="11" t="s">
        <v>49970</v>
      </c>
      <c r="J5575" s="11" t="s">
        <v>49970</v>
      </c>
      <c r="K5575" s="9" t="s">
        <v>49971</v>
      </c>
      <c r="L5575" s="9" t="s">
        <v>17759</v>
      </c>
      <c r="M5575" s="9" t="s">
        <v>18211</v>
      </c>
      <c r="N5575" s="9" t="s">
        <v>17746</v>
      </c>
      <c r="O5575" s="9" t="s">
        <v>49972</v>
      </c>
      <c r="P5575" s="9" t="s">
        <v>17748</v>
      </c>
      <c r="Q5575" s="11" t="s">
        <v>18922</v>
      </c>
      <c r="R5575" s="11" t="s">
        <v>18922</v>
      </c>
      <c r="S5575" s="11" t="s">
        <v>17750</v>
      </c>
    </row>
    <row r="5576" spans="1:19" x14ac:dyDescent="0.2">
      <c r="A5576" s="11" t="s">
        <v>49973</v>
      </c>
      <c r="B5576" s="9" t="s">
        <v>49974</v>
      </c>
      <c r="C5576" s="9" t="s">
        <v>49975</v>
      </c>
      <c r="D5576" s="9" t="s">
        <v>49976</v>
      </c>
      <c r="E5576" s="9" t="s">
        <v>17740</v>
      </c>
      <c r="F5576" s="9" t="s">
        <v>49977</v>
      </c>
      <c r="G5576" s="9" t="s">
        <v>17740</v>
      </c>
      <c r="H5576" s="11" t="s">
        <v>17741</v>
      </c>
      <c r="I5576" s="11" t="s">
        <v>4630</v>
      </c>
      <c r="J5576" s="11" t="s">
        <v>4630</v>
      </c>
      <c r="K5576" s="9" t="s">
        <v>49978</v>
      </c>
      <c r="L5576" s="9" t="s">
        <v>17958</v>
      </c>
      <c r="M5576" s="9" t="s">
        <v>17817</v>
      </c>
      <c r="N5576" s="9" t="s">
        <v>22152</v>
      </c>
      <c r="O5576" s="9" t="s">
        <v>20404</v>
      </c>
      <c r="P5576" s="9" t="s">
        <v>17748</v>
      </c>
      <c r="Q5576" s="11" t="s">
        <v>18470</v>
      </c>
      <c r="R5576" s="11" t="s">
        <v>18470</v>
      </c>
      <c r="S5576" s="11" t="s">
        <v>17750</v>
      </c>
    </row>
    <row r="5577" spans="1:19" x14ac:dyDescent="0.2">
      <c r="A5577" s="11" t="s">
        <v>49979</v>
      </c>
      <c r="B5577" s="9" t="s">
        <v>49980</v>
      </c>
      <c r="C5577" s="9" t="s">
        <v>49981</v>
      </c>
      <c r="D5577" s="9" t="s">
        <v>49982</v>
      </c>
      <c r="E5577" s="9" t="s">
        <v>17740</v>
      </c>
      <c r="F5577" s="9" t="s">
        <v>17741</v>
      </c>
      <c r="G5577" s="9" t="s">
        <v>17740</v>
      </c>
      <c r="H5577" s="11" t="s">
        <v>17741</v>
      </c>
      <c r="I5577" s="11" t="s">
        <v>49983</v>
      </c>
      <c r="J5577" s="11" t="s">
        <v>49983</v>
      </c>
      <c r="K5577" s="9" t="s">
        <v>49984</v>
      </c>
      <c r="L5577" s="9" t="s">
        <v>18158</v>
      </c>
      <c r="M5577" s="9" t="s">
        <v>18745</v>
      </c>
      <c r="N5577" s="9" t="s">
        <v>17746</v>
      </c>
      <c r="O5577" s="9" t="s">
        <v>20056</v>
      </c>
      <c r="P5577" s="9" t="s">
        <v>17748</v>
      </c>
      <c r="Q5577" s="11" t="s">
        <v>18147</v>
      </c>
      <c r="R5577" s="11" t="s">
        <v>18147</v>
      </c>
      <c r="S5577" s="11" t="s">
        <v>17750</v>
      </c>
    </row>
    <row r="5578" spans="1:19" x14ac:dyDescent="0.2">
      <c r="A5578" s="11" t="s">
        <v>49985</v>
      </c>
      <c r="B5578" s="9" t="s">
        <v>49986</v>
      </c>
      <c r="C5578" s="9" t="s">
        <v>49987</v>
      </c>
      <c r="D5578" s="9" t="s">
        <v>4570</v>
      </c>
      <c r="E5578" s="9" t="s">
        <v>17740</v>
      </c>
      <c r="F5578" s="9" t="s">
        <v>17741</v>
      </c>
      <c r="G5578" s="9" t="s">
        <v>17740</v>
      </c>
      <c r="H5578" s="11" t="s">
        <v>4572</v>
      </c>
      <c r="I5578" s="11" t="s">
        <v>4571</v>
      </c>
      <c r="J5578" s="11" t="s">
        <v>4571</v>
      </c>
      <c r="K5578" s="9" t="s">
        <v>17805</v>
      </c>
      <c r="L5578" s="9" t="s">
        <v>17744</v>
      </c>
      <c r="M5578" s="9" t="s">
        <v>49988</v>
      </c>
      <c r="N5578" s="9" t="s">
        <v>17746</v>
      </c>
      <c r="O5578" s="9" t="s">
        <v>18746</v>
      </c>
      <c r="P5578" s="9" t="s">
        <v>17748</v>
      </c>
      <c r="Q5578" s="11" t="s">
        <v>18960</v>
      </c>
      <c r="R5578" s="11" t="s">
        <v>18960</v>
      </c>
      <c r="S5578" s="11" t="s">
        <v>17750</v>
      </c>
    </row>
    <row r="5579" spans="1:19" x14ac:dyDescent="0.2">
      <c r="A5579" s="11" t="s">
        <v>49989</v>
      </c>
      <c r="B5579" s="9" t="s">
        <v>49990</v>
      </c>
      <c r="C5579" s="9" t="s">
        <v>49991</v>
      </c>
      <c r="D5579" s="9" t="s">
        <v>49992</v>
      </c>
      <c r="E5579" s="9" t="s">
        <v>17740</v>
      </c>
      <c r="F5579" s="9" t="s">
        <v>17741</v>
      </c>
      <c r="G5579" s="9" t="s">
        <v>17740</v>
      </c>
      <c r="H5579" s="11" t="s">
        <v>17741</v>
      </c>
      <c r="I5579" s="11" t="s">
        <v>49993</v>
      </c>
      <c r="J5579" s="11" t="s">
        <v>49993</v>
      </c>
      <c r="K5579" s="9" t="s">
        <v>49994</v>
      </c>
      <c r="L5579" s="9" t="s">
        <v>18396</v>
      </c>
      <c r="M5579" s="9" t="s">
        <v>17741</v>
      </c>
      <c r="N5579" s="9" t="s">
        <v>39516</v>
      </c>
      <c r="O5579" s="9" t="s">
        <v>17747</v>
      </c>
      <c r="P5579" s="9" t="s">
        <v>17748</v>
      </c>
      <c r="Q5579" s="11" t="s">
        <v>19361</v>
      </c>
      <c r="R5579" s="11" t="s">
        <v>19361</v>
      </c>
      <c r="S5579" s="11" t="s">
        <v>17750</v>
      </c>
    </row>
    <row r="5580" spans="1:19" x14ac:dyDescent="0.2">
      <c r="A5580" s="11" t="s">
        <v>49995</v>
      </c>
      <c r="B5580" s="9" t="s">
        <v>49996</v>
      </c>
      <c r="C5580" s="9" t="s">
        <v>49997</v>
      </c>
      <c r="D5580" s="9" t="s">
        <v>49998</v>
      </c>
      <c r="E5580" s="9" t="s">
        <v>17740</v>
      </c>
      <c r="F5580" s="9" t="s">
        <v>17741</v>
      </c>
      <c r="G5580" s="9" t="s">
        <v>17740</v>
      </c>
      <c r="H5580" s="11" t="s">
        <v>17741</v>
      </c>
      <c r="I5580" s="11" t="s">
        <v>49999</v>
      </c>
      <c r="J5580" s="11" t="s">
        <v>49999</v>
      </c>
      <c r="K5580" s="9" t="s">
        <v>27549</v>
      </c>
      <c r="L5580" s="9" t="s">
        <v>17958</v>
      </c>
      <c r="M5580" s="9" t="s">
        <v>17769</v>
      </c>
      <c r="N5580" s="9" t="s">
        <v>22152</v>
      </c>
      <c r="O5580" s="9" t="s">
        <v>1690</v>
      </c>
      <c r="P5580" s="9" t="s">
        <v>17748</v>
      </c>
      <c r="Q5580" s="11" t="s">
        <v>18251</v>
      </c>
      <c r="R5580" s="11" t="s">
        <v>18251</v>
      </c>
      <c r="S5580" s="11" t="s">
        <v>17750</v>
      </c>
    </row>
    <row r="5581" spans="1:19" x14ac:dyDescent="0.2">
      <c r="A5581" s="11" t="s">
        <v>50000</v>
      </c>
      <c r="B5581" s="9" t="s">
        <v>50001</v>
      </c>
      <c r="C5581" s="9" t="s">
        <v>50002</v>
      </c>
      <c r="D5581" s="9" t="s">
        <v>50003</v>
      </c>
      <c r="E5581" s="9" t="s">
        <v>17740</v>
      </c>
      <c r="F5581" s="9" t="s">
        <v>17741</v>
      </c>
      <c r="G5581" s="9" t="s">
        <v>17740</v>
      </c>
      <c r="H5581" s="11" t="s">
        <v>17741</v>
      </c>
      <c r="I5581" s="11" t="s">
        <v>50004</v>
      </c>
      <c r="J5581" s="11" t="s">
        <v>50004</v>
      </c>
      <c r="K5581" s="9" t="s">
        <v>50005</v>
      </c>
      <c r="L5581" s="9" t="s">
        <v>17958</v>
      </c>
      <c r="M5581" s="9" t="s">
        <v>17769</v>
      </c>
      <c r="N5581" s="9" t="s">
        <v>22152</v>
      </c>
      <c r="O5581" s="9" t="s">
        <v>20453</v>
      </c>
      <c r="P5581" s="9" t="s">
        <v>17748</v>
      </c>
      <c r="Q5581" s="11" t="s">
        <v>17749</v>
      </c>
      <c r="R5581" s="11" t="s">
        <v>17749</v>
      </c>
      <c r="S5581" s="11" t="s">
        <v>17750</v>
      </c>
    </row>
    <row r="5582" spans="1:19" x14ac:dyDescent="0.2">
      <c r="A5582" s="11" t="s">
        <v>50006</v>
      </c>
      <c r="B5582" s="9" t="s">
        <v>50007</v>
      </c>
      <c r="C5582" s="9" t="s">
        <v>50008</v>
      </c>
      <c r="D5582" s="9" t="s">
        <v>50009</v>
      </c>
      <c r="E5582" s="9" t="s">
        <v>17740</v>
      </c>
      <c r="F5582" s="9" t="s">
        <v>17741</v>
      </c>
      <c r="G5582" s="9" t="s">
        <v>17740</v>
      </c>
      <c r="H5582" s="11" t="s">
        <v>50010</v>
      </c>
      <c r="I5582" s="11" t="s">
        <v>4126</v>
      </c>
      <c r="J5582" s="11" t="s">
        <v>4126</v>
      </c>
      <c r="K5582" s="9" t="s">
        <v>50011</v>
      </c>
      <c r="L5582" s="9" t="s">
        <v>20598</v>
      </c>
      <c r="M5582" s="9" t="s">
        <v>18065</v>
      </c>
      <c r="N5582" s="9" t="s">
        <v>17746</v>
      </c>
      <c r="O5582" s="9" t="s">
        <v>17993</v>
      </c>
      <c r="P5582" s="9" t="s">
        <v>17748</v>
      </c>
      <c r="Q5582" s="11" t="s">
        <v>18556</v>
      </c>
      <c r="R5582" s="11" t="s">
        <v>18556</v>
      </c>
      <c r="S5582" s="11" t="s">
        <v>17750</v>
      </c>
    </row>
    <row r="5583" spans="1:19" x14ac:dyDescent="0.2">
      <c r="A5583" s="11" t="s">
        <v>50012</v>
      </c>
      <c r="B5583" s="9" t="s">
        <v>50013</v>
      </c>
      <c r="C5583" s="9" t="s">
        <v>50014</v>
      </c>
      <c r="D5583" s="9" t="s">
        <v>50013</v>
      </c>
      <c r="E5583" s="9" t="s">
        <v>17740</v>
      </c>
      <c r="F5583" s="9" t="s">
        <v>17741</v>
      </c>
      <c r="G5583" s="9" t="s">
        <v>17740</v>
      </c>
      <c r="H5583" s="11" t="s">
        <v>50015</v>
      </c>
      <c r="I5583" s="11" t="s">
        <v>50016</v>
      </c>
      <c r="J5583" s="11" t="s">
        <v>50016</v>
      </c>
      <c r="K5583" s="9" t="s">
        <v>19180</v>
      </c>
      <c r="L5583" s="9" t="s">
        <v>17759</v>
      </c>
      <c r="M5583" s="9" t="s">
        <v>17760</v>
      </c>
      <c r="N5583" s="9" t="s">
        <v>17746</v>
      </c>
      <c r="O5583" s="9" t="s">
        <v>19859</v>
      </c>
      <c r="P5583" s="9" t="s">
        <v>17748</v>
      </c>
      <c r="Q5583" s="11" t="s">
        <v>17780</v>
      </c>
      <c r="R5583" s="11" t="s">
        <v>17780</v>
      </c>
      <c r="S5583" s="11" t="s">
        <v>17750</v>
      </c>
    </row>
    <row r="5584" spans="1:19" x14ac:dyDescent="0.2">
      <c r="A5584" s="11" t="s">
        <v>50017</v>
      </c>
      <c r="B5584" s="9" t="s">
        <v>50018</v>
      </c>
      <c r="C5584" s="9" t="s">
        <v>50019</v>
      </c>
      <c r="D5584" s="9" t="s">
        <v>50020</v>
      </c>
      <c r="E5584" s="9" t="s">
        <v>17748</v>
      </c>
      <c r="F5584" s="9" t="s">
        <v>50021</v>
      </c>
      <c r="G5584" s="9" t="s">
        <v>17740</v>
      </c>
      <c r="H5584" s="11" t="s">
        <v>50022</v>
      </c>
      <c r="I5584" s="11" t="s">
        <v>50023</v>
      </c>
      <c r="J5584" s="11" t="s">
        <v>50023</v>
      </c>
      <c r="K5584" s="9" t="s">
        <v>50024</v>
      </c>
      <c r="L5584" s="9" t="s">
        <v>18001</v>
      </c>
      <c r="M5584" s="9" t="s">
        <v>19168</v>
      </c>
      <c r="N5584" s="9" t="s">
        <v>18185</v>
      </c>
      <c r="O5584" s="9" t="s">
        <v>17993</v>
      </c>
      <c r="P5584" s="9" t="s">
        <v>17748</v>
      </c>
      <c r="Q5584" s="11" t="s">
        <v>18370</v>
      </c>
      <c r="R5584" s="11" t="s">
        <v>18370</v>
      </c>
      <c r="S5584" s="11" t="s">
        <v>17750</v>
      </c>
    </row>
    <row r="5585" spans="1:19" x14ac:dyDescent="0.2">
      <c r="A5585" s="11" t="s">
        <v>50025</v>
      </c>
      <c r="B5585" s="9" t="s">
        <v>50026</v>
      </c>
      <c r="C5585" s="9" t="s">
        <v>50027</v>
      </c>
      <c r="D5585" s="9" t="s">
        <v>50028</v>
      </c>
      <c r="E5585" s="9" t="s">
        <v>17740</v>
      </c>
      <c r="F5585" s="9" t="s">
        <v>17741</v>
      </c>
      <c r="G5585" s="9" t="s">
        <v>17740</v>
      </c>
      <c r="H5585" s="11" t="s">
        <v>4134</v>
      </c>
      <c r="I5585" s="11" t="s">
        <v>4133</v>
      </c>
      <c r="J5585" s="11" t="s">
        <v>4133</v>
      </c>
      <c r="K5585" s="9" t="s">
        <v>50029</v>
      </c>
      <c r="L5585" s="9" t="s">
        <v>18158</v>
      </c>
      <c r="M5585" s="9" t="s">
        <v>17817</v>
      </c>
      <c r="N5585" s="9" t="s">
        <v>18185</v>
      </c>
      <c r="O5585" s="9" t="s">
        <v>1675</v>
      </c>
      <c r="P5585" s="9" t="s">
        <v>17748</v>
      </c>
      <c r="Q5585" s="11" t="s">
        <v>17849</v>
      </c>
      <c r="R5585" s="11" t="s">
        <v>17849</v>
      </c>
      <c r="S5585" s="11" t="s">
        <v>17750</v>
      </c>
    </row>
    <row r="5586" spans="1:19" x14ac:dyDescent="0.2">
      <c r="A5586" s="11" t="s">
        <v>50030</v>
      </c>
      <c r="B5586" s="9" t="s">
        <v>50031</v>
      </c>
      <c r="C5586" s="9" t="s">
        <v>50032</v>
      </c>
      <c r="D5586" s="9" t="s">
        <v>50033</v>
      </c>
      <c r="E5586" s="9" t="s">
        <v>17748</v>
      </c>
      <c r="F5586" s="9" t="s">
        <v>50034</v>
      </c>
      <c r="G5586" s="9" t="s">
        <v>17740</v>
      </c>
      <c r="H5586" s="11" t="s">
        <v>50035</v>
      </c>
      <c r="I5586" s="11" t="s">
        <v>50036</v>
      </c>
      <c r="J5586" s="11" t="s">
        <v>50036</v>
      </c>
      <c r="K5586" s="9" t="s">
        <v>39427</v>
      </c>
      <c r="L5586" s="9" t="s">
        <v>18158</v>
      </c>
      <c r="M5586" s="9" t="s">
        <v>17769</v>
      </c>
      <c r="N5586" s="9" t="s">
        <v>18185</v>
      </c>
      <c r="O5586" s="9" t="s">
        <v>8489</v>
      </c>
      <c r="P5586" s="9" t="s">
        <v>17748</v>
      </c>
      <c r="Q5586" s="11" t="s">
        <v>19361</v>
      </c>
      <c r="R5586" s="11" t="s">
        <v>19361</v>
      </c>
      <c r="S5586" s="11" t="s">
        <v>17750</v>
      </c>
    </row>
    <row r="5587" spans="1:19" x14ac:dyDescent="0.2">
      <c r="A5587" s="11" t="s">
        <v>50037</v>
      </c>
      <c r="B5587" s="9" t="s">
        <v>50038</v>
      </c>
      <c r="C5587" s="9" t="s">
        <v>50039</v>
      </c>
      <c r="D5587" s="9" t="s">
        <v>50040</v>
      </c>
      <c r="E5587" s="9" t="s">
        <v>17748</v>
      </c>
      <c r="F5587" s="9" t="s">
        <v>50041</v>
      </c>
      <c r="G5587" s="9" t="s">
        <v>17740</v>
      </c>
      <c r="H5587" s="11" t="s">
        <v>50042</v>
      </c>
      <c r="I5587" s="11" t="s">
        <v>50043</v>
      </c>
      <c r="J5587" s="11" t="s">
        <v>50043</v>
      </c>
      <c r="K5587" s="9" t="s">
        <v>17783</v>
      </c>
      <c r="L5587" s="9" t="s">
        <v>18158</v>
      </c>
      <c r="M5587" s="9" t="s">
        <v>17769</v>
      </c>
      <c r="N5587" s="9" t="s">
        <v>17746</v>
      </c>
      <c r="O5587" s="9" t="s">
        <v>18855</v>
      </c>
      <c r="P5587" s="9" t="s">
        <v>17748</v>
      </c>
      <c r="Q5587" s="11" t="s">
        <v>19361</v>
      </c>
      <c r="R5587" s="11" t="s">
        <v>19361</v>
      </c>
      <c r="S5587" s="11" t="s">
        <v>17750</v>
      </c>
    </row>
    <row r="5588" spans="1:19" x14ac:dyDescent="0.2">
      <c r="A5588" s="11" t="s">
        <v>50044</v>
      </c>
      <c r="B5588" s="9" t="s">
        <v>50045</v>
      </c>
      <c r="C5588" s="9" t="s">
        <v>50046</v>
      </c>
      <c r="D5588" s="9" t="s">
        <v>50047</v>
      </c>
      <c r="E5588" s="9" t="s">
        <v>17748</v>
      </c>
      <c r="F5588" s="9" t="s">
        <v>50048</v>
      </c>
      <c r="G5588" s="9" t="s">
        <v>17740</v>
      </c>
      <c r="H5588" s="11" t="s">
        <v>17741</v>
      </c>
      <c r="I5588" s="11" t="s">
        <v>6985</v>
      </c>
      <c r="J5588" s="11" t="s">
        <v>6985</v>
      </c>
      <c r="K5588" s="9" t="s">
        <v>50049</v>
      </c>
      <c r="L5588" s="9" t="s">
        <v>18123</v>
      </c>
      <c r="M5588" s="9" t="s">
        <v>17760</v>
      </c>
      <c r="N5588" s="9" t="s">
        <v>18185</v>
      </c>
      <c r="O5588" s="9" t="s">
        <v>24787</v>
      </c>
      <c r="P5588" s="9" t="s">
        <v>17748</v>
      </c>
      <c r="Q5588" s="11" t="s">
        <v>18201</v>
      </c>
      <c r="R5588" s="11" t="s">
        <v>18201</v>
      </c>
      <c r="S5588" s="11" t="s">
        <v>17750</v>
      </c>
    </row>
    <row r="5589" spans="1:19" x14ac:dyDescent="0.2">
      <c r="A5589" s="11" t="s">
        <v>50050</v>
      </c>
      <c r="B5589" s="9" t="s">
        <v>50051</v>
      </c>
      <c r="C5589" s="9" t="s">
        <v>50052</v>
      </c>
      <c r="D5589" s="9" t="s">
        <v>50053</v>
      </c>
      <c r="E5589" s="9" t="s">
        <v>17740</v>
      </c>
      <c r="F5589" s="9" t="s">
        <v>17741</v>
      </c>
      <c r="G5589" s="9" t="s">
        <v>17740</v>
      </c>
      <c r="H5589" s="11" t="s">
        <v>6040</v>
      </c>
      <c r="I5589" s="11" t="s">
        <v>6039</v>
      </c>
      <c r="J5589" s="11" t="s">
        <v>6039</v>
      </c>
      <c r="K5589" s="9" t="s">
        <v>31234</v>
      </c>
      <c r="L5589" s="9" t="s">
        <v>18158</v>
      </c>
      <c r="M5589" s="9" t="s">
        <v>32424</v>
      </c>
      <c r="N5589" s="9" t="s">
        <v>17746</v>
      </c>
      <c r="O5589" s="9" t="s">
        <v>23256</v>
      </c>
      <c r="P5589" s="9" t="s">
        <v>17748</v>
      </c>
      <c r="Q5589" s="11" t="s">
        <v>18856</v>
      </c>
      <c r="R5589" s="11" t="s">
        <v>18856</v>
      </c>
      <c r="S5589" s="11" t="s">
        <v>17750</v>
      </c>
    </row>
    <row r="5590" spans="1:19" x14ac:dyDescent="0.2">
      <c r="A5590" s="11" t="s">
        <v>50054</v>
      </c>
      <c r="B5590" s="9" t="s">
        <v>50055</v>
      </c>
      <c r="C5590" s="9" t="s">
        <v>50056</v>
      </c>
      <c r="D5590" s="9" t="s">
        <v>50057</v>
      </c>
      <c r="E5590" s="9" t="s">
        <v>17740</v>
      </c>
      <c r="F5590" s="9" t="s">
        <v>50058</v>
      </c>
      <c r="G5590" s="9" t="s">
        <v>17740</v>
      </c>
      <c r="H5590" s="11" t="s">
        <v>50059</v>
      </c>
      <c r="I5590" s="11" t="s">
        <v>50060</v>
      </c>
      <c r="J5590" s="11" t="s">
        <v>50061</v>
      </c>
      <c r="K5590" s="9" t="s">
        <v>50062</v>
      </c>
      <c r="L5590" s="9" t="s">
        <v>18158</v>
      </c>
      <c r="M5590" s="9" t="s">
        <v>17817</v>
      </c>
      <c r="N5590" s="9" t="s">
        <v>17746</v>
      </c>
      <c r="O5590" s="9" t="s">
        <v>18762</v>
      </c>
      <c r="P5590" s="9" t="s">
        <v>17748</v>
      </c>
      <c r="Q5590" s="11" t="s">
        <v>18059</v>
      </c>
      <c r="R5590" s="11" t="s">
        <v>18059</v>
      </c>
      <c r="S5590" s="11" t="s">
        <v>17750</v>
      </c>
    </row>
    <row r="5591" spans="1:19" x14ac:dyDescent="0.2">
      <c r="A5591" s="11" t="s">
        <v>50063</v>
      </c>
      <c r="B5591" s="9" t="s">
        <v>50064</v>
      </c>
      <c r="C5591" s="9" t="s">
        <v>17718</v>
      </c>
      <c r="D5591" s="9" t="s">
        <v>50065</v>
      </c>
      <c r="E5591" s="9" t="s">
        <v>17748</v>
      </c>
      <c r="F5591" s="9" t="s">
        <v>50066</v>
      </c>
      <c r="G5591" s="9" t="s">
        <v>17740</v>
      </c>
      <c r="H5591" s="11" t="s">
        <v>50067</v>
      </c>
      <c r="I5591" s="11" t="s">
        <v>50068</v>
      </c>
      <c r="J5591" s="11" t="s">
        <v>50068</v>
      </c>
      <c r="K5591" s="9" t="s">
        <v>412</v>
      </c>
      <c r="L5591" s="9" t="s">
        <v>18158</v>
      </c>
      <c r="M5591" s="9" t="s">
        <v>18065</v>
      </c>
      <c r="N5591" s="9" t="s">
        <v>18185</v>
      </c>
      <c r="O5591" s="9" t="s">
        <v>18027</v>
      </c>
      <c r="P5591" s="9" t="s">
        <v>17748</v>
      </c>
      <c r="Q5591" s="11" t="s">
        <v>17917</v>
      </c>
      <c r="R5591" s="11" t="s">
        <v>17917</v>
      </c>
      <c r="S5591" s="11" t="s">
        <v>17750</v>
      </c>
    </row>
    <row r="5592" spans="1:19" x14ac:dyDescent="0.2">
      <c r="A5592" s="11" t="s">
        <v>50069</v>
      </c>
      <c r="B5592" s="9" t="s">
        <v>50070</v>
      </c>
      <c r="C5592" s="9" t="s">
        <v>50071</v>
      </c>
      <c r="D5592" s="9" t="s">
        <v>50072</v>
      </c>
      <c r="E5592" s="9" t="s">
        <v>17740</v>
      </c>
      <c r="F5592" s="9" t="s">
        <v>50073</v>
      </c>
      <c r="G5592" s="9" t="s">
        <v>17740</v>
      </c>
      <c r="H5592" s="11" t="s">
        <v>50074</v>
      </c>
      <c r="I5592" s="11" t="s">
        <v>8360</v>
      </c>
      <c r="J5592" s="11" t="s">
        <v>8360</v>
      </c>
      <c r="K5592" s="9" t="s">
        <v>50075</v>
      </c>
      <c r="L5592" s="9" t="s">
        <v>18158</v>
      </c>
      <c r="M5592" s="9" t="s">
        <v>17760</v>
      </c>
      <c r="N5592" s="9" t="s">
        <v>18185</v>
      </c>
      <c r="O5592" s="9" t="s">
        <v>22470</v>
      </c>
      <c r="P5592" s="9" t="s">
        <v>17748</v>
      </c>
      <c r="Q5592" s="11" t="s">
        <v>18356</v>
      </c>
      <c r="R5592" s="11" t="s">
        <v>18356</v>
      </c>
      <c r="S5592" s="11" t="s">
        <v>17750</v>
      </c>
    </row>
    <row r="5593" spans="1:19" x14ac:dyDescent="0.2">
      <c r="A5593" s="11" t="s">
        <v>50076</v>
      </c>
      <c r="B5593" s="9" t="s">
        <v>50077</v>
      </c>
      <c r="C5593" s="9" t="s">
        <v>50078</v>
      </c>
      <c r="D5593" s="9" t="s">
        <v>50079</v>
      </c>
      <c r="E5593" s="9" t="s">
        <v>17740</v>
      </c>
      <c r="F5593" s="9" t="s">
        <v>50080</v>
      </c>
      <c r="G5593" s="9" t="s">
        <v>17740</v>
      </c>
      <c r="H5593" s="11" t="s">
        <v>4143</v>
      </c>
      <c r="I5593" s="11" t="s">
        <v>4142</v>
      </c>
      <c r="J5593" s="11" t="s">
        <v>4142</v>
      </c>
      <c r="K5593" s="9" t="s">
        <v>17783</v>
      </c>
      <c r="L5593" s="9" t="s">
        <v>18158</v>
      </c>
      <c r="M5593" s="9" t="s">
        <v>50081</v>
      </c>
      <c r="N5593" s="9" t="s">
        <v>18185</v>
      </c>
      <c r="O5593" s="9" t="s">
        <v>18534</v>
      </c>
      <c r="P5593" s="9" t="s">
        <v>17748</v>
      </c>
      <c r="Q5593" s="11" t="s">
        <v>17771</v>
      </c>
      <c r="R5593" s="11" t="s">
        <v>17771</v>
      </c>
      <c r="S5593" s="11" t="s">
        <v>17750</v>
      </c>
    </row>
    <row r="5594" spans="1:19" x14ac:dyDescent="0.2">
      <c r="A5594" s="11" t="s">
        <v>50082</v>
      </c>
      <c r="B5594" s="9" t="s">
        <v>50083</v>
      </c>
      <c r="C5594" s="9" t="s">
        <v>50084</v>
      </c>
      <c r="D5594" s="9" t="s">
        <v>50085</v>
      </c>
      <c r="E5594" s="9" t="s">
        <v>17740</v>
      </c>
      <c r="F5594" s="9" t="s">
        <v>50086</v>
      </c>
      <c r="G5594" s="9" t="s">
        <v>17740</v>
      </c>
      <c r="H5594" s="11" t="s">
        <v>50087</v>
      </c>
      <c r="I5594" s="11" t="s">
        <v>50088</v>
      </c>
      <c r="J5594" s="11" t="s">
        <v>50088</v>
      </c>
      <c r="K5594" s="9" t="s">
        <v>18192</v>
      </c>
      <c r="L5594" s="9" t="s">
        <v>18158</v>
      </c>
      <c r="M5594" s="9" t="s">
        <v>23678</v>
      </c>
      <c r="N5594" s="9" t="s">
        <v>18185</v>
      </c>
      <c r="O5594" s="9" t="s">
        <v>18035</v>
      </c>
      <c r="P5594" s="9" t="s">
        <v>17748</v>
      </c>
      <c r="Q5594" s="11" t="s">
        <v>23218</v>
      </c>
      <c r="R5594" s="11" t="s">
        <v>23218</v>
      </c>
      <c r="S5594" s="11" t="s">
        <v>17750</v>
      </c>
    </row>
    <row r="5595" spans="1:19" x14ac:dyDescent="0.2">
      <c r="A5595" s="11" t="s">
        <v>50089</v>
      </c>
      <c r="B5595" s="9" t="s">
        <v>50090</v>
      </c>
      <c r="C5595" s="9" t="s">
        <v>50091</v>
      </c>
      <c r="D5595" s="9" t="s">
        <v>50092</v>
      </c>
      <c r="E5595" s="9" t="s">
        <v>17740</v>
      </c>
      <c r="F5595" s="9" t="s">
        <v>50093</v>
      </c>
      <c r="G5595" s="9" t="s">
        <v>17740</v>
      </c>
      <c r="H5595" s="11" t="s">
        <v>17741</v>
      </c>
      <c r="I5595" s="11" t="s">
        <v>50094</v>
      </c>
      <c r="J5595" s="11" t="s">
        <v>50094</v>
      </c>
      <c r="K5595" s="9" t="s">
        <v>50095</v>
      </c>
      <c r="L5595" s="9" t="s">
        <v>17958</v>
      </c>
      <c r="M5595" s="9" t="s">
        <v>17769</v>
      </c>
      <c r="N5595" s="9" t="s">
        <v>22152</v>
      </c>
      <c r="O5595" s="9" t="s">
        <v>17993</v>
      </c>
      <c r="P5595" s="9" t="s">
        <v>17748</v>
      </c>
      <c r="Q5595" s="11" t="s">
        <v>18356</v>
      </c>
      <c r="R5595" s="11" t="s">
        <v>18356</v>
      </c>
      <c r="S5595" s="11" t="s">
        <v>17750</v>
      </c>
    </row>
    <row r="5596" spans="1:19" x14ac:dyDescent="0.2">
      <c r="A5596" s="11" t="s">
        <v>50096</v>
      </c>
      <c r="B5596" s="9" t="s">
        <v>50097</v>
      </c>
      <c r="C5596" s="9" t="s">
        <v>50098</v>
      </c>
      <c r="D5596" s="9" t="s">
        <v>50099</v>
      </c>
      <c r="E5596" s="9" t="s">
        <v>17740</v>
      </c>
      <c r="F5596" s="9" t="s">
        <v>50100</v>
      </c>
      <c r="G5596" s="9" t="s">
        <v>17740</v>
      </c>
      <c r="H5596" s="11" t="s">
        <v>17741</v>
      </c>
      <c r="I5596" s="11" t="s">
        <v>50101</v>
      </c>
      <c r="J5596" s="11" t="s">
        <v>50101</v>
      </c>
      <c r="K5596" s="9" t="s">
        <v>50102</v>
      </c>
      <c r="L5596" s="9" t="s">
        <v>17958</v>
      </c>
      <c r="M5596" s="9" t="s">
        <v>17760</v>
      </c>
      <c r="N5596" s="9" t="s">
        <v>22152</v>
      </c>
      <c r="O5596" s="9" t="s">
        <v>18607</v>
      </c>
      <c r="P5596" s="9" t="s">
        <v>17748</v>
      </c>
      <c r="Q5596" s="11" t="s">
        <v>19222</v>
      </c>
      <c r="R5596" s="11" t="s">
        <v>19222</v>
      </c>
      <c r="S5596" s="11" t="s">
        <v>17750</v>
      </c>
    </row>
    <row r="5597" spans="1:19" x14ac:dyDescent="0.2">
      <c r="A5597" s="11" t="s">
        <v>50103</v>
      </c>
      <c r="B5597" s="9" t="s">
        <v>50104</v>
      </c>
      <c r="C5597" s="9" t="s">
        <v>50105</v>
      </c>
      <c r="D5597" s="9" t="s">
        <v>50106</v>
      </c>
      <c r="E5597" s="9" t="s">
        <v>17748</v>
      </c>
      <c r="F5597" s="9" t="s">
        <v>50107</v>
      </c>
      <c r="G5597" s="9" t="s">
        <v>17740</v>
      </c>
      <c r="H5597" s="11" t="s">
        <v>17741</v>
      </c>
      <c r="I5597" s="11" t="s">
        <v>50108</v>
      </c>
      <c r="J5597" s="11" t="s">
        <v>50108</v>
      </c>
      <c r="K5597" s="9" t="s">
        <v>50109</v>
      </c>
      <c r="L5597" s="9" t="s">
        <v>17958</v>
      </c>
      <c r="M5597" s="9" t="s">
        <v>24881</v>
      </c>
      <c r="N5597" s="9" t="s">
        <v>22152</v>
      </c>
      <c r="O5597" s="9" t="s">
        <v>17993</v>
      </c>
      <c r="P5597" s="9" t="s">
        <v>17748</v>
      </c>
      <c r="Q5597" s="11" t="s">
        <v>17780</v>
      </c>
      <c r="R5597" s="11" t="s">
        <v>17780</v>
      </c>
      <c r="S5597" s="11" t="s">
        <v>17750</v>
      </c>
    </row>
    <row r="5598" spans="1:19" x14ac:dyDescent="0.2">
      <c r="A5598" s="11" t="s">
        <v>50110</v>
      </c>
      <c r="B5598" s="9" t="s">
        <v>50111</v>
      </c>
      <c r="C5598" s="9" t="s">
        <v>50112</v>
      </c>
      <c r="D5598" s="9" t="s">
        <v>50113</v>
      </c>
      <c r="E5598" s="9" t="s">
        <v>17740</v>
      </c>
      <c r="F5598" s="9" t="s">
        <v>17741</v>
      </c>
      <c r="G5598" s="9" t="s">
        <v>17740</v>
      </c>
      <c r="H5598" s="11" t="s">
        <v>17741</v>
      </c>
      <c r="I5598" s="11" t="s">
        <v>50114</v>
      </c>
      <c r="J5598" s="11" t="s">
        <v>50114</v>
      </c>
      <c r="K5598" s="9" t="s">
        <v>50115</v>
      </c>
      <c r="L5598" s="9" t="s">
        <v>17958</v>
      </c>
      <c r="M5598" s="9" t="s">
        <v>17817</v>
      </c>
      <c r="N5598" s="9" t="s">
        <v>22152</v>
      </c>
      <c r="O5598" s="9" t="s">
        <v>18607</v>
      </c>
      <c r="P5598" s="9" t="s">
        <v>17748</v>
      </c>
      <c r="Q5598" s="11" t="s">
        <v>19335</v>
      </c>
      <c r="R5598" s="11" t="s">
        <v>19335</v>
      </c>
      <c r="S5598" s="11" t="s">
        <v>17750</v>
      </c>
    </row>
    <row r="5599" spans="1:19" x14ac:dyDescent="0.2">
      <c r="A5599" s="11" t="s">
        <v>50116</v>
      </c>
      <c r="B5599" s="9" t="s">
        <v>50117</v>
      </c>
      <c r="C5599" s="9" t="s">
        <v>50118</v>
      </c>
      <c r="D5599" s="9" t="s">
        <v>50119</v>
      </c>
      <c r="E5599" s="9" t="s">
        <v>17740</v>
      </c>
      <c r="F5599" s="9" t="s">
        <v>17741</v>
      </c>
      <c r="G5599" s="9" t="s">
        <v>17740</v>
      </c>
      <c r="H5599" s="11" t="s">
        <v>17741</v>
      </c>
      <c r="I5599" s="11" t="s">
        <v>10529</v>
      </c>
      <c r="J5599" s="11" t="s">
        <v>10529</v>
      </c>
      <c r="K5599" s="9" t="s">
        <v>50120</v>
      </c>
      <c r="L5599" s="9" t="s">
        <v>17958</v>
      </c>
      <c r="M5599" s="9" t="s">
        <v>17769</v>
      </c>
      <c r="N5599" s="9" t="s">
        <v>22152</v>
      </c>
      <c r="O5599" s="9" t="s">
        <v>3355</v>
      </c>
      <c r="P5599" s="9" t="s">
        <v>17748</v>
      </c>
      <c r="Q5599" s="11" t="s">
        <v>18356</v>
      </c>
      <c r="R5599" s="11" t="s">
        <v>18356</v>
      </c>
      <c r="S5599" s="11" t="s">
        <v>17750</v>
      </c>
    </row>
    <row r="5600" spans="1:19" x14ac:dyDescent="0.2">
      <c r="A5600" s="11" t="s">
        <v>50121</v>
      </c>
      <c r="B5600" s="9" t="s">
        <v>50122</v>
      </c>
      <c r="C5600" s="9" t="s">
        <v>50123</v>
      </c>
      <c r="D5600" s="9" t="s">
        <v>50124</v>
      </c>
      <c r="E5600" s="9" t="s">
        <v>17740</v>
      </c>
      <c r="F5600" s="9" t="s">
        <v>17741</v>
      </c>
      <c r="G5600" s="9" t="s">
        <v>17740</v>
      </c>
      <c r="H5600" s="11" t="s">
        <v>9212</v>
      </c>
      <c r="I5600" s="11" t="s">
        <v>9211</v>
      </c>
      <c r="J5600" s="11" t="s">
        <v>9211</v>
      </c>
      <c r="K5600" s="9" t="s">
        <v>50125</v>
      </c>
      <c r="L5600" s="9" t="s">
        <v>17958</v>
      </c>
      <c r="M5600" s="9" t="s">
        <v>20970</v>
      </c>
      <c r="N5600" s="9" t="s">
        <v>22152</v>
      </c>
      <c r="O5600" s="9" t="s">
        <v>25384</v>
      </c>
      <c r="P5600" s="9" t="s">
        <v>17748</v>
      </c>
      <c r="Q5600" s="11" t="s">
        <v>18798</v>
      </c>
      <c r="R5600" s="11" t="s">
        <v>18798</v>
      </c>
      <c r="S5600" s="11" t="s">
        <v>17750</v>
      </c>
    </row>
    <row r="5601" spans="1:19" x14ac:dyDescent="0.2">
      <c r="A5601" s="11" t="s">
        <v>50126</v>
      </c>
      <c r="B5601" s="9" t="s">
        <v>50127</v>
      </c>
      <c r="C5601" s="9" t="s">
        <v>50128</v>
      </c>
      <c r="D5601" s="9" t="s">
        <v>50129</v>
      </c>
      <c r="E5601" s="9" t="s">
        <v>17740</v>
      </c>
      <c r="F5601" s="9" t="s">
        <v>17741</v>
      </c>
      <c r="G5601" s="9" t="s">
        <v>17740</v>
      </c>
      <c r="H5601" s="11" t="s">
        <v>17741</v>
      </c>
      <c r="I5601" s="11" t="s">
        <v>50130</v>
      </c>
      <c r="J5601" s="11" t="s">
        <v>50130</v>
      </c>
      <c r="K5601" s="9" t="s">
        <v>50131</v>
      </c>
      <c r="L5601" s="9" t="s">
        <v>17958</v>
      </c>
      <c r="M5601" s="9" t="s">
        <v>33911</v>
      </c>
      <c r="N5601" s="9" t="s">
        <v>22152</v>
      </c>
      <c r="O5601" s="9" t="s">
        <v>18027</v>
      </c>
      <c r="P5601" s="9" t="s">
        <v>17748</v>
      </c>
      <c r="Q5601" s="11" t="s">
        <v>18364</v>
      </c>
      <c r="R5601" s="11" t="s">
        <v>18364</v>
      </c>
      <c r="S5601" s="11" t="s">
        <v>17750</v>
      </c>
    </row>
    <row r="5602" spans="1:19" x14ac:dyDescent="0.2">
      <c r="A5602" s="11" t="s">
        <v>50132</v>
      </c>
      <c r="B5602" s="9" t="s">
        <v>50133</v>
      </c>
      <c r="C5602" s="9" t="s">
        <v>50134</v>
      </c>
      <c r="D5602" s="9" t="s">
        <v>50135</v>
      </c>
      <c r="E5602" s="9" t="s">
        <v>17740</v>
      </c>
      <c r="F5602" s="9" t="s">
        <v>50136</v>
      </c>
      <c r="G5602" s="9" t="s">
        <v>17740</v>
      </c>
      <c r="H5602" s="11" t="s">
        <v>17741</v>
      </c>
      <c r="I5602" s="11" t="s">
        <v>50137</v>
      </c>
      <c r="J5602" s="11" t="s">
        <v>50137</v>
      </c>
      <c r="K5602" s="9" t="s">
        <v>50138</v>
      </c>
      <c r="L5602" s="9" t="s">
        <v>17958</v>
      </c>
      <c r="M5602" s="9" t="s">
        <v>17778</v>
      </c>
      <c r="N5602" s="9" t="s">
        <v>22152</v>
      </c>
      <c r="O5602" s="9" t="s">
        <v>3309</v>
      </c>
      <c r="P5602" s="9" t="s">
        <v>17748</v>
      </c>
      <c r="Q5602" s="11" t="s">
        <v>18364</v>
      </c>
      <c r="R5602" s="11" t="s">
        <v>18364</v>
      </c>
      <c r="S5602" s="11" t="s">
        <v>17750</v>
      </c>
    </row>
    <row r="5603" spans="1:19" x14ac:dyDescent="0.2">
      <c r="A5603" s="11" t="s">
        <v>50139</v>
      </c>
      <c r="B5603" s="9" t="s">
        <v>50140</v>
      </c>
      <c r="C5603" s="9" t="s">
        <v>50141</v>
      </c>
      <c r="D5603" s="9" t="s">
        <v>50142</v>
      </c>
      <c r="E5603" s="9" t="s">
        <v>17740</v>
      </c>
      <c r="F5603" s="9" t="s">
        <v>17741</v>
      </c>
      <c r="G5603" s="9" t="s">
        <v>17740</v>
      </c>
      <c r="H5603" s="11" t="s">
        <v>17741</v>
      </c>
      <c r="I5603" s="11" t="s">
        <v>50143</v>
      </c>
      <c r="J5603" s="11" t="s">
        <v>50143</v>
      </c>
      <c r="K5603" s="9" t="s">
        <v>50144</v>
      </c>
      <c r="L5603" s="9" t="s">
        <v>17958</v>
      </c>
      <c r="M5603" s="9" t="s">
        <v>20344</v>
      </c>
      <c r="N5603" s="9" t="s">
        <v>22152</v>
      </c>
      <c r="O5603" s="9" t="s">
        <v>7097</v>
      </c>
      <c r="P5603" s="9" t="s">
        <v>17748</v>
      </c>
      <c r="Q5603" s="11" t="s">
        <v>17792</v>
      </c>
      <c r="R5603" s="11" t="s">
        <v>17792</v>
      </c>
      <c r="S5603" s="11" t="s">
        <v>17750</v>
      </c>
    </row>
    <row r="5604" spans="1:19" x14ac:dyDescent="0.2">
      <c r="A5604" s="11" t="s">
        <v>50145</v>
      </c>
      <c r="B5604" s="9" t="s">
        <v>50146</v>
      </c>
      <c r="C5604" s="9" t="s">
        <v>50147</v>
      </c>
      <c r="D5604" s="9" t="s">
        <v>50148</v>
      </c>
      <c r="E5604" s="9" t="s">
        <v>17740</v>
      </c>
      <c r="F5604" s="9" t="s">
        <v>50149</v>
      </c>
      <c r="G5604" s="9" t="s">
        <v>17740</v>
      </c>
      <c r="H5604" s="11" t="s">
        <v>17741</v>
      </c>
      <c r="I5604" s="11" t="s">
        <v>50150</v>
      </c>
      <c r="J5604" s="11" t="s">
        <v>50150</v>
      </c>
      <c r="K5604" s="9" t="s">
        <v>50151</v>
      </c>
      <c r="L5604" s="9" t="s">
        <v>17958</v>
      </c>
      <c r="M5604" s="9" t="s">
        <v>17760</v>
      </c>
      <c r="N5604" s="9" t="s">
        <v>22152</v>
      </c>
      <c r="O5604" s="9" t="s">
        <v>18035</v>
      </c>
      <c r="P5604" s="9" t="s">
        <v>17748</v>
      </c>
      <c r="Q5604" s="11" t="s">
        <v>23398</v>
      </c>
      <c r="R5604" s="11" t="s">
        <v>23398</v>
      </c>
      <c r="S5604" s="11" t="s">
        <v>17750</v>
      </c>
    </row>
    <row r="5605" spans="1:19" x14ac:dyDescent="0.2">
      <c r="A5605" s="11" t="s">
        <v>50152</v>
      </c>
      <c r="B5605" s="9" t="s">
        <v>50153</v>
      </c>
      <c r="C5605" s="9" t="s">
        <v>50154</v>
      </c>
      <c r="D5605" s="9" t="s">
        <v>50155</v>
      </c>
      <c r="E5605" s="9" t="s">
        <v>17740</v>
      </c>
      <c r="F5605" s="9" t="s">
        <v>17741</v>
      </c>
      <c r="G5605" s="9" t="s">
        <v>17740</v>
      </c>
      <c r="H5605" s="11" t="s">
        <v>17741</v>
      </c>
      <c r="I5605" s="11" t="s">
        <v>14963</v>
      </c>
      <c r="J5605" s="11" t="s">
        <v>14963</v>
      </c>
      <c r="K5605" s="9" t="s">
        <v>50156</v>
      </c>
      <c r="L5605" s="9" t="s">
        <v>17958</v>
      </c>
      <c r="M5605" s="9" t="s">
        <v>17769</v>
      </c>
      <c r="N5605" s="9" t="s">
        <v>22152</v>
      </c>
      <c r="O5605" s="9" t="s">
        <v>3309</v>
      </c>
      <c r="P5605" s="9" t="s">
        <v>17748</v>
      </c>
      <c r="Q5605" s="11" t="s">
        <v>18678</v>
      </c>
      <c r="R5605" s="11" t="s">
        <v>18678</v>
      </c>
      <c r="S5605" s="11" t="s">
        <v>17750</v>
      </c>
    </row>
    <row r="5606" spans="1:19" x14ac:dyDescent="0.2">
      <c r="A5606" s="11" t="s">
        <v>50157</v>
      </c>
      <c r="B5606" s="9" t="s">
        <v>50158</v>
      </c>
      <c r="C5606" s="9" t="s">
        <v>50159</v>
      </c>
      <c r="D5606" s="9" t="s">
        <v>50160</v>
      </c>
      <c r="E5606" s="9" t="s">
        <v>17740</v>
      </c>
      <c r="F5606" s="9" t="s">
        <v>50161</v>
      </c>
      <c r="G5606" s="9" t="s">
        <v>17740</v>
      </c>
      <c r="H5606" s="11" t="s">
        <v>17741</v>
      </c>
      <c r="I5606" s="11" t="s">
        <v>50162</v>
      </c>
      <c r="J5606" s="11" t="s">
        <v>50162</v>
      </c>
      <c r="K5606" s="9" t="s">
        <v>50163</v>
      </c>
      <c r="L5606" s="9" t="s">
        <v>17958</v>
      </c>
      <c r="M5606" s="9" t="s">
        <v>17769</v>
      </c>
      <c r="N5606" s="9" t="s">
        <v>22152</v>
      </c>
      <c r="O5606" s="9" t="s">
        <v>36445</v>
      </c>
      <c r="P5606" s="9" t="s">
        <v>17748</v>
      </c>
      <c r="Q5606" s="11" t="s">
        <v>18678</v>
      </c>
      <c r="R5606" s="11" t="s">
        <v>18678</v>
      </c>
      <c r="S5606" s="11" t="s">
        <v>17750</v>
      </c>
    </row>
    <row r="5607" spans="1:19" x14ac:dyDescent="0.2">
      <c r="A5607" s="11" t="s">
        <v>50164</v>
      </c>
      <c r="B5607" s="9" t="s">
        <v>50165</v>
      </c>
      <c r="C5607" s="9" t="s">
        <v>50166</v>
      </c>
      <c r="D5607" s="9" t="s">
        <v>50167</v>
      </c>
      <c r="E5607" s="9" t="s">
        <v>17740</v>
      </c>
      <c r="F5607" s="9" t="s">
        <v>50168</v>
      </c>
      <c r="G5607" s="9" t="s">
        <v>17740</v>
      </c>
      <c r="H5607" s="11" t="s">
        <v>17741</v>
      </c>
      <c r="I5607" s="11" t="s">
        <v>50169</v>
      </c>
      <c r="J5607" s="11" t="s">
        <v>17741</v>
      </c>
      <c r="K5607" s="9" t="s">
        <v>50170</v>
      </c>
      <c r="L5607" s="9" t="s">
        <v>17958</v>
      </c>
      <c r="M5607" s="9" t="s">
        <v>17769</v>
      </c>
      <c r="N5607" s="9" t="s">
        <v>22152</v>
      </c>
      <c r="O5607" s="9" t="s">
        <v>18882</v>
      </c>
      <c r="P5607" s="9" t="s">
        <v>17748</v>
      </c>
      <c r="Q5607" s="11" t="s">
        <v>18370</v>
      </c>
      <c r="R5607" s="11" t="s">
        <v>18370</v>
      </c>
      <c r="S5607" s="11" t="s">
        <v>17750</v>
      </c>
    </row>
    <row r="5608" spans="1:19" x14ac:dyDescent="0.2">
      <c r="A5608" s="11" t="s">
        <v>50171</v>
      </c>
      <c r="B5608" s="9" t="s">
        <v>50172</v>
      </c>
      <c r="C5608" s="9" t="s">
        <v>50173</v>
      </c>
      <c r="D5608" s="9" t="s">
        <v>50174</v>
      </c>
      <c r="E5608" s="9" t="s">
        <v>17740</v>
      </c>
      <c r="F5608" s="9" t="s">
        <v>17741</v>
      </c>
      <c r="G5608" s="9" t="s">
        <v>17740</v>
      </c>
      <c r="H5608" s="11" t="s">
        <v>17741</v>
      </c>
      <c r="I5608" s="11" t="s">
        <v>11065</v>
      </c>
      <c r="J5608" s="11" t="s">
        <v>11065</v>
      </c>
      <c r="K5608" s="9" t="s">
        <v>50175</v>
      </c>
      <c r="L5608" s="9" t="s">
        <v>17958</v>
      </c>
      <c r="M5608" s="9" t="s">
        <v>17769</v>
      </c>
      <c r="N5608" s="9" t="s">
        <v>22152</v>
      </c>
      <c r="O5608" s="9" t="s">
        <v>17993</v>
      </c>
      <c r="P5608" s="9" t="s">
        <v>17748</v>
      </c>
      <c r="Q5608" s="11" t="s">
        <v>18251</v>
      </c>
      <c r="R5608" s="11" t="s">
        <v>18251</v>
      </c>
      <c r="S5608" s="11" t="s">
        <v>17750</v>
      </c>
    </row>
    <row r="5609" spans="1:19" x14ac:dyDescent="0.2">
      <c r="A5609" s="11" t="s">
        <v>50176</v>
      </c>
      <c r="B5609" s="9" t="s">
        <v>50177</v>
      </c>
      <c r="C5609" s="9" t="s">
        <v>50178</v>
      </c>
      <c r="D5609" s="9" t="s">
        <v>50179</v>
      </c>
      <c r="E5609" s="9" t="s">
        <v>17740</v>
      </c>
      <c r="F5609" s="9" t="s">
        <v>17741</v>
      </c>
      <c r="G5609" s="9" t="s">
        <v>17740</v>
      </c>
      <c r="H5609" s="11" t="s">
        <v>17741</v>
      </c>
      <c r="I5609" s="11" t="s">
        <v>50180</v>
      </c>
      <c r="J5609" s="11" t="s">
        <v>50180</v>
      </c>
      <c r="K5609" s="9" t="s">
        <v>50181</v>
      </c>
      <c r="L5609" s="9" t="s">
        <v>17958</v>
      </c>
      <c r="M5609" s="9" t="s">
        <v>17760</v>
      </c>
      <c r="N5609" s="9" t="s">
        <v>22152</v>
      </c>
      <c r="O5609" s="9" t="s">
        <v>18481</v>
      </c>
      <c r="P5609" s="9" t="s">
        <v>17748</v>
      </c>
      <c r="Q5609" s="11" t="s">
        <v>18960</v>
      </c>
      <c r="R5609" s="11" t="s">
        <v>18960</v>
      </c>
      <c r="S5609" s="11" t="s">
        <v>17750</v>
      </c>
    </row>
    <row r="5610" spans="1:19" x14ac:dyDescent="0.2">
      <c r="A5610" s="11" t="s">
        <v>50182</v>
      </c>
      <c r="B5610" s="9" t="s">
        <v>50183</v>
      </c>
      <c r="C5610" s="9" t="s">
        <v>50184</v>
      </c>
      <c r="D5610" s="9" t="s">
        <v>50185</v>
      </c>
      <c r="E5610" s="9" t="s">
        <v>17740</v>
      </c>
      <c r="F5610" s="9" t="s">
        <v>17741</v>
      </c>
      <c r="G5610" s="9" t="s">
        <v>17740</v>
      </c>
      <c r="H5610" s="11" t="s">
        <v>17741</v>
      </c>
      <c r="I5610" s="11" t="s">
        <v>50186</v>
      </c>
      <c r="J5610" s="11" t="s">
        <v>50186</v>
      </c>
      <c r="K5610" s="9" t="s">
        <v>50187</v>
      </c>
      <c r="L5610" s="9" t="s">
        <v>17958</v>
      </c>
      <c r="M5610" s="9" t="s">
        <v>17769</v>
      </c>
      <c r="N5610" s="9" t="s">
        <v>22152</v>
      </c>
      <c r="O5610" s="9" t="s">
        <v>18607</v>
      </c>
      <c r="P5610" s="9" t="s">
        <v>17748</v>
      </c>
      <c r="Q5610" s="11" t="s">
        <v>18433</v>
      </c>
      <c r="R5610" s="11" t="s">
        <v>18433</v>
      </c>
      <c r="S5610" s="11" t="s">
        <v>17750</v>
      </c>
    </row>
    <row r="5611" spans="1:19" x14ac:dyDescent="0.2">
      <c r="A5611" s="11" t="s">
        <v>50188</v>
      </c>
      <c r="B5611" s="9" t="s">
        <v>50189</v>
      </c>
      <c r="C5611" s="9" t="s">
        <v>50190</v>
      </c>
      <c r="D5611" s="9" t="s">
        <v>50191</v>
      </c>
      <c r="E5611" s="9" t="s">
        <v>17740</v>
      </c>
      <c r="F5611" s="9" t="s">
        <v>50192</v>
      </c>
      <c r="G5611" s="9" t="s">
        <v>17740</v>
      </c>
      <c r="H5611" s="11" t="s">
        <v>17741</v>
      </c>
      <c r="I5611" s="11" t="s">
        <v>50193</v>
      </c>
      <c r="J5611" s="11" t="s">
        <v>50193</v>
      </c>
      <c r="K5611" s="9" t="s">
        <v>50194</v>
      </c>
      <c r="L5611" s="9" t="s">
        <v>17958</v>
      </c>
      <c r="M5611" s="9" t="s">
        <v>17817</v>
      </c>
      <c r="N5611" s="9" t="s">
        <v>22152</v>
      </c>
      <c r="O5611" s="9" t="s">
        <v>18607</v>
      </c>
      <c r="P5611" s="9" t="s">
        <v>17748</v>
      </c>
      <c r="Q5611" s="11" t="s">
        <v>18147</v>
      </c>
      <c r="R5611" s="11" t="s">
        <v>18147</v>
      </c>
      <c r="S5611" s="11" t="s">
        <v>17750</v>
      </c>
    </row>
    <row r="5612" spans="1:19" x14ac:dyDescent="0.2">
      <c r="A5612" s="11" t="s">
        <v>50195</v>
      </c>
      <c r="B5612" s="9" t="s">
        <v>50196</v>
      </c>
      <c r="C5612" s="9" t="s">
        <v>50197</v>
      </c>
      <c r="D5612" s="9" t="s">
        <v>50198</v>
      </c>
      <c r="E5612" s="9" t="s">
        <v>17740</v>
      </c>
      <c r="F5612" s="9" t="s">
        <v>50199</v>
      </c>
      <c r="G5612" s="9" t="s">
        <v>17740</v>
      </c>
      <c r="H5612" s="11" t="s">
        <v>17741</v>
      </c>
      <c r="I5612" s="11" t="s">
        <v>9620</v>
      </c>
      <c r="J5612" s="11" t="s">
        <v>9620</v>
      </c>
      <c r="K5612" s="9" t="s">
        <v>50200</v>
      </c>
      <c r="L5612" s="9" t="s">
        <v>17958</v>
      </c>
      <c r="M5612" s="9" t="s">
        <v>17817</v>
      </c>
      <c r="N5612" s="9" t="s">
        <v>22152</v>
      </c>
      <c r="O5612" s="9" t="s">
        <v>50201</v>
      </c>
      <c r="P5612" s="9" t="s">
        <v>17748</v>
      </c>
      <c r="Q5612" s="11" t="s">
        <v>17819</v>
      </c>
      <c r="R5612" s="11" t="s">
        <v>17819</v>
      </c>
      <c r="S5612" s="11" t="s">
        <v>17750</v>
      </c>
    </row>
    <row r="5613" spans="1:19" x14ac:dyDescent="0.2">
      <c r="A5613" s="11" t="s">
        <v>50202</v>
      </c>
      <c r="B5613" s="9" t="s">
        <v>50203</v>
      </c>
      <c r="C5613" s="9" t="s">
        <v>50204</v>
      </c>
      <c r="D5613" s="9" t="s">
        <v>50205</v>
      </c>
      <c r="E5613" s="9" t="s">
        <v>17740</v>
      </c>
      <c r="F5613" s="9" t="s">
        <v>17741</v>
      </c>
      <c r="G5613" s="9" t="s">
        <v>17740</v>
      </c>
      <c r="H5613" s="11" t="s">
        <v>17741</v>
      </c>
      <c r="I5613" s="11" t="s">
        <v>50206</v>
      </c>
      <c r="J5613" s="11" t="s">
        <v>50206</v>
      </c>
      <c r="K5613" s="9" t="s">
        <v>1065</v>
      </c>
      <c r="L5613" s="9" t="s">
        <v>17958</v>
      </c>
      <c r="M5613" s="9" t="s">
        <v>17769</v>
      </c>
      <c r="N5613" s="9" t="s">
        <v>22152</v>
      </c>
      <c r="O5613" s="9" t="s">
        <v>19521</v>
      </c>
      <c r="P5613" s="9" t="s">
        <v>17748</v>
      </c>
      <c r="Q5613" s="11" t="s">
        <v>21569</v>
      </c>
      <c r="R5613" s="11" t="s">
        <v>21569</v>
      </c>
      <c r="S5613" s="11" t="s">
        <v>17750</v>
      </c>
    </row>
    <row r="5614" spans="1:19" x14ac:dyDescent="0.2">
      <c r="A5614" s="11" t="s">
        <v>50207</v>
      </c>
      <c r="B5614" s="9" t="s">
        <v>50208</v>
      </c>
      <c r="C5614" s="9" t="s">
        <v>50209</v>
      </c>
      <c r="D5614" s="9" t="s">
        <v>50210</v>
      </c>
      <c r="E5614" s="9" t="s">
        <v>17748</v>
      </c>
      <c r="F5614" s="9" t="s">
        <v>50211</v>
      </c>
      <c r="G5614" s="9" t="s">
        <v>17740</v>
      </c>
      <c r="H5614" s="11" t="s">
        <v>17741</v>
      </c>
      <c r="I5614" s="11" t="s">
        <v>50212</v>
      </c>
      <c r="J5614" s="11" t="s">
        <v>50212</v>
      </c>
      <c r="K5614" s="9" t="s">
        <v>50213</v>
      </c>
      <c r="L5614" s="9" t="s">
        <v>17958</v>
      </c>
      <c r="M5614" s="9" t="s">
        <v>17817</v>
      </c>
      <c r="N5614" s="9" t="s">
        <v>22152</v>
      </c>
      <c r="O5614" s="9" t="s">
        <v>18418</v>
      </c>
      <c r="P5614" s="9" t="s">
        <v>17748</v>
      </c>
      <c r="Q5614" s="11" t="s">
        <v>17984</v>
      </c>
      <c r="R5614" s="11" t="s">
        <v>17984</v>
      </c>
      <c r="S5614" s="11" t="s">
        <v>17750</v>
      </c>
    </row>
    <row r="5615" spans="1:19" x14ac:dyDescent="0.2">
      <c r="A5615" s="11" t="s">
        <v>50214</v>
      </c>
      <c r="B5615" s="9" t="s">
        <v>50215</v>
      </c>
      <c r="C5615" s="9" t="s">
        <v>50216</v>
      </c>
      <c r="D5615" s="9" t="s">
        <v>50217</v>
      </c>
      <c r="E5615" s="9" t="s">
        <v>17740</v>
      </c>
      <c r="F5615" s="9" t="s">
        <v>17741</v>
      </c>
      <c r="G5615" s="9" t="s">
        <v>17740</v>
      </c>
      <c r="H5615" s="11" t="s">
        <v>17741</v>
      </c>
      <c r="I5615" s="11" t="s">
        <v>50218</v>
      </c>
      <c r="J5615" s="11" t="s">
        <v>50218</v>
      </c>
      <c r="K5615" s="9" t="s">
        <v>1065</v>
      </c>
      <c r="L5615" s="9" t="s">
        <v>17958</v>
      </c>
      <c r="M5615" s="9" t="s">
        <v>17817</v>
      </c>
      <c r="N5615" s="9" t="s">
        <v>22152</v>
      </c>
      <c r="O5615" s="9" t="s">
        <v>3355</v>
      </c>
      <c r="P5615" s="9" t="s">
        <v>17748</v>
      </c>
      <c r="Q5615" s="11" t="s">
        <v>17931</v>
      </c>
      <c r="R5615" s="11" t="s">
        <v>17931</v>
      </c>
      <c r="S5615" s="11" t="s">
        <v>17750</v>
      </c>
    </row>
    <row r="5616" spans="1:19" x14ac:dyDescent="0.2">
      <c r="A5616" s="11" t="s">
        <v>50219</v>
      </c>
      <c r="B5616" s="9" t="s">
        <v>50220</v>
      </c>
      <c r="C5616" s="9" t="s">
        <v>50221</v>
      </c>
      <c r="D5616" s="9" t="s">
        <v>50222</v>
      </c>
      <c r="E5616" s="9" t="s">
        <v>17740</v>
      </c>
      <c r="F5616" s="9" t="s">
        <v>17741</v>
      </c>
      <c r="G5616" s="9" t="s">
        <v>17740</v>
      </c>
      <c r="H5616" s="11" t="s">
        <v>17741</v>
      </c>
      <c r="I5616" s="11" t="s">
        <v>50223</v>
      </c>
      <c r="J5616" s="11" t="s">
        <v>50223</v>
      </c>
      <c r="K5616" s="9" t="s">
        <v>1065</v>
      </c>
      <c r="L5616" s="9" t="s">
        <v>17958</v>
      </c>
      <c r="M5616" s="9" t="s">
        <v>17817</v>
      </c>
      <c r="N5616" s="9" t="s">
        <v>22152</v>
      </c>
      <c r="O5616" s="9" t="s">
        <v>18331</v>
      </c>
      <c r="P5616" s="9" t="s">
        <v>17748</v>
      </c>
      <c r="Q5616" s="11" t="s">
        <v>18470</v>
      </c>
      <c r="R5616" s="11" t="s">
        <v>18470</v>
      </c>
      <c r="S5616" s="11" t="s">
        <v>17750</v>
      </c>
    </row>
    <row r="5617" spans="1:19" x14ac:dyDescent="0.2">
      <c r="A5617" s="11" t="s">
        <v>50224</v>
      </c>
      <c r="B5617" s="9" t="s">
        <v>50225</v>
      </c>
      <c r="C5617" s="9" t="s">
        <v>50226</v>
      </c>
      <c r="D5617" s="9" t="s">
        <v>50227</v>
      </c>
      <c r="E5617" s="9" t="s">
        <v>17740</v>
      </c>
      <c r="F5617" s="9" t="s">
        <v>17741</v>
      </c>
      <c r="G5617" s="9" t="s">
        <v>17740</v>
      </c>
      <c r="H5617" s="11" t="s">
        <v>17741</v>
      </c>
      <c r="I5617" s="11" t="s">
        <v>50228</v>
      </c>
      <c r="J5617" s="11" t="s">
        <v>50228</v>
      </c>
      <c r="K5617" s="9" t="s">
        <v>50229</v>
      </c>
      <c r="L5617" s="9" t="s">
        <v>17958</v>
      </c>
      <c r="M5617" s="9" t="s">
        <v>18170</v>
      </c>
      <c r="N5617" s="9" t="s">
        <v>22152</v>
      </c>
      <c r="O5617" s="9" t="s">
        <v>1675</v>
      </c>
      <c r="P5617" s="9" t="s">
        <v>17748</v>
      </c>
      <c r="Q5617" s="11" t="s">
        <v>23398</v>
      </c>
      <c r="R5617" s="11" t="s">
        <v>23398</v>
      </c>
      <c r="S5617" s="11" t="s">
        <v>17750</v>
      </c>
    </row>
    <row r="5618" spans="1:19" x14ac:dyDescent="0.2">
      <c r="A5618" s="11" t="s">
        <v>50230</v>
      </c>
      <c r="B5618" s="9" t="s">
        <v>50231</v>
      </c>
      <c r="C5618" s="9" t="s">
        <v>50232</v>
      </c>
      <c r="D5618" s="9" t="s">
        <v>50233</v>
      </c>
      <c r="E5618" s="9" t="s">
        <v>17740</v>
      </c>
      <c r="F5618" s="9" t="s">
        <v>50234</v>
      </c>
      <c r="G5618" s="9" t="s">
        <v>17740</v>
      </c>
      <c r="H5618" s="11" t="s">
        <v>17741</v>
      </c>
      <c r="I5618" s="11" t="s">
        <v>50235</v>
      </c>
      <c r="J5618" s="11" t="s">
        <v>50235</v>
      </c>
      <c r="K5618" s="9" t="s">
        <v>1065</v>
      </c>
      <c r="L5618" s="9" t="s">
        <v>17958</v>
      </c>
      <c r="M5618" s="9" t="s">
        <v>19314</v>
      </c>
      <c r="N5618" s="9" t="s">
        <v>22152</v>
      </c>
      <c r="O5618" s="9" t="s">
        <v>15733</v>
      </c>
      <c r="P5618" s="9" t="s">
        <v>17748</v>
      </c>
      <c r="Q5618" s="11" t="s">
        <v>18364</v>
      </c>
      <c r="R5618" s="11" t="s">
        <v>18364</v>
      </c>
      <c r="S5618" s="11" t="s">
        <v>17750</v>
      </c>
    </row>
    <row r="5619" spans="1:19" x14ac:dyDescent="0.2">
      <c r="A5619" s="11" t="s">
        <v>50236</v>
      </c>
      <c r="B5619" s="9" t="s">
        <v>50237</v>
      </c>
      <c r="C5619" s="9" t="s">
        <v>50238</v>
      </c>
      <c r="D5619" s="9" t="s">
        <v>50239</v>
      </c>
      <c r="E5619" s="9" t="s">
        <v>17740</v>
      </c>
      <c r="F5619" s="9" t="s">
        <v>50240</v>
      </c>
      <c r="G5619" s="9" t="s">
        <v>17740</v>
      </c>
      <c r="H5619" s="11" t="s">
        <v>17741</v>
      </c>
      <c r="I5619" s="11" t="s">
        <v>50241</v>
      </c>
      <c r="J5619" s="11" t="s">
        <v>50241</v>
      </c>
      <c r="K5619" s="9" t="s">
        <v>1065</v>
      </c>
      <c r="L5619" s="9" t="s">
        <v>17958</v>
      </c>
      <c r="M5619" s="9" t="s">
        <v>17769</v>
      </c>
      <c r="N5619" s="9" t="s">
        <v>22152</v>
      </c>
      <c r="O5619" s="9" t="s">
        <v>18340</v>
      </c>
      <c r="P5619" s="9" t="s">
        <v>17748</v>
      </c>
      <c r="Q5619" s="11" t="s">
        <v>18364</v>
      </c>
      <c r="R5619" s="11" t="s">
        <v>18364</v>
      </c>
      <c r="S5619" s="11" t="s">
        <v>17750</v>
      </c>
    </row>
    <row r="5620" spans="1:19" x14ac:dyDescent="0.2">
      <c r="A5620" s="11" t="s">
        <v>50242</v>
      </c>
      <c r="B5620" s="9" t="s">
        <v>50243</v>
      </c>
      <c r="C5620" s="9" t="s">
        <v>50244</v>
      </c>
      <c r="D5620" s="9" t="s">
        <v>50245</v>
      </c>
      <c r="E5620" s="9" t="s">
        <v>17740</v>
      </c>
      <c r="F5620" s="9" t="s">
        <v>17741</v>
      </c>
      <c r="G5620" s="9" t="s">
        <v>17740</v>
      </c>
      <c r="H5620" s="11" t="s">
        <v>17741</v>
      </c>
      <c r="I5620" s="11" t="s">
        <v>50246</v>
      </c>
      <c r="J5620" s="11" t="s">
        <v>50246</v>
      </c>
      <c r="K5620" s="9" t="s">
        <v>50247</v>
      </c>
      <c r="L5620" s="9" t="s">
        <v>17958</v>
      </c>
      <c r="M5620" s="9" t="s">
        <v>17769</v>
      </c>
      <c r="N5620" s="9" t="s">
        <v>22152</v>
      </c>
      <c r="O5620" s="9" t="s">
        <v>19653</v>
      </c>
      <c r="P5620" s="9" t="s">
        <v>17748</v>
      </c>
      <c r="Q5620" s="11" t="s">
        <v>17978</v>
      </c>
      <c r="R5620" s="11" t="s">
        <v>17978</v>
      </c>
      <c r="S5620" s="11" t="s">
        <v>17750</v>
      </c>
    </row>
    <row r="5621" spans="1:19" x14ac:dyDescent="0.2">
      <c r="A5621" s="11" t="s">
        <v>50248</v>
      </c>
      <c r="B5621" s="9" t="s">
        <v>50249</v>
      </c>
      <c r="C5621" s="9" t="s">
        <v>50250</v>
      </c>
      <c r="D5621" s="9" t="s">
        <v>50251</v>
      </c>
      <c r="E5621" s="9" t="s">
        <v>17740</v>
      </c>
      <c r="F5621" s="9" t="s">
        <v>50252</v>
      </c>
      <c r="G5621" s="9" t="s">
        <v>17740</v>
      </c>
      <c r="H5621" s="11" t="s">
        <v>17741</v>
      </c>
      <c r="I5621" s="11" t="s">
        <v>50253</v>
      </c>
      <c r="J5621" s="11" t="s">
        <v>50253</v>
      </c>
      <c r="K5621" s="9" t="s">
        <v>50254</v>
      </c>
      <c r="L5621" s="9" t="s">
        <v>17958</v>
      </c>
      <c r="M5621" s="9" t="s">
        <v>17769</v>
      </c>
      <c r="N5621" s="9" t="s">
        <v>22152</v>
      </c>
      <c r="O5621" s="9" t="s">
        <v>23863</v>
      </c>
      <c r="P5621" s="9" t="s">
        <v>17748</v>
      </c>
      <c r="Q5621" s="11" t="s">
        <v>18433</v>
      </c>
      <c r="R5621" s="11" t="s">
        <v>18433</v>
      </c>
      <c r="S5621" s="11" t="s">
        <v>17750</v>
      </c>
    </row>
    <row r="5622" spans="1:19" x14ac:dyDescent="0.2">
      <c r="A5622" s="11" t="s">
        <v>50255</v>
      </c>
      <c r="B5622" s="9" t="s">
        <v>50256</v>
      </c>
      <c r="C5622" s="9" t="s">
        <v>50257</v>
      </c>
      <c r="D5622" s="9" t="s">
        <v>50258</v>
      </c>
      <c r="E5622" s="9" t="s">
        <v>17740</v>
      </c>
      <c r="F5622" s="9" t="s">
        <v>17741</v>
      </c>
      <c r="G5622" s="9" t="s">
        <v>17740</v>
      </c>
      <c r="H5622" s="11" t="s">
        <v>17741</v>
      </c>
      <c r="I5622" s="11" t="s">
        <v>50259</v>
      </c>
      <c r="J5622" s="11" t="s">
        <v>50259</v>
      </c>
      <c r="K5622" s="9" t="s">
        <v>50260</v>
      </c>
      <c r="L5622" s="9" t="s">
        <v>17958</v>
      </c>
      <c r="M5622" s="9" t="s">
        <v>50261</v>
      </c>
      <c r="N5622" s="9" t="s">
        <v>22152</v>
      </c>
      <c r="O5622" s="9" t="s">
        <v>19067</v>
      </c>
      <c r="P5622" s="9" t="s">
        <v>17748</v>
      </c>
      <c r="Q5622" s="11" t="s">
        <v>19361</v>
      </c>
      <c r="R5622" s="11" t="s">
        <v>19361</v>
      </c>
      <c r="S5622" s="11" t="s">
        <v>17750</v>
      </c>
    </row>
    <row r="5623" spans="1:19" x14ac:dyDescent="0.2">
      <c r="A5623" s="11" t="s">
        <v>50262</v>
      </c>
      <c r="B5623" s="9" t="s">
        <v>50263</v>
      </c>
      <c r="C5623" s="9" t="s">
        <v>50264</v>
      </c>
      <c r="D5623" s="9" t="s">
        <v>50265</v>
      </c>
      <c r="E5623" s="9" t="s">
        <v>17740</v>
      </c>
      <c r="F5623" s="9" t="s">
        <v>50266</v>
      </c>
      <c r="G5623" s="9" t="s">
        <v>17740</v>
      </c>
      <c r="H5623" s="11" t="s">
        <v>17741</v>
      </c>
      <c r="I5623" s="11" t="s">
        <v>50267</v>
      </c>
      <c r="J5623" s="11" t="s">
        <v>50267</v>
      </c>
      <c r="K5623" s="9" t="s">
        <v>50268</v>
      </c>
      <c r="L5623" s="9" t="s">
        <v>17958</v>
      </c>
      <c r="M5623" s="9" t="s">
        <v>17817</v>
      </c>
      <c r="N5623" s="9" t="s">
        <v>22152</v>
      </c>
      <c r="O5623" s="9" t="s">
        <v>5938</v>
      </c>
      <c r="P5623" s="9" t="s">
        <v>17748</v>
      </c>
      <c r="Q5623" s="11" t="s">
        <v>18470</v>
      </c>
      <c r="R5623" s="11" t="s">
        <v>18470</v>
      </c>
      <c r="S5623" s="11" t="s">
        <v>17750</v>
      </c>
    </row>
    <row r="5624" spans="1:19" x14ac:dyDescent="0.2">
      <c r="A5624" s="11" t="s">
        <v>50269</v>
      </c>
      <c r="B5624" s="9" t="s">
        <v>50270</v>
      </c>
      <c r="C5624" s="9" t="s">
        <v>50271</v>
      </c>
      <c r="D5624" s="9" t="s">
        <v>50272</v>
      </c>
      <c r="E5624" s="9" t="s">
        <v>17748</v>
      </c>
      <c r="F5624" s="9" t="s">
        <v>50273</v>
      </c>
      <c r="G5624" s="9" t="s">
        <v>17740</v>
      </c>
      <c r="H5624" s="11" t="s">
        <v>17741</v>
      </c>
      <c r="I5624" s="11" t="s">
        <v>11795</v>
      </c>
      <c r="J5624" s="11" t="s">
        <v>11795</v>
      </c>
      <c r="K5624" s="9" t="s">
        <v>50268</v>
      </c>
      <c r="L5624" s="9" t="s">
        <v>17958</v>
      </c>
      <c r="M5624" s="9" t="s">
        <v>17769</v>
      </c>
      <c r="N5624" s="9" t="s">
        <v>22152</v>
      </c>
      <c r="O5624" s="9" t="s">
        <v>24894</v>
      </c>
      <c r="P5624" s="9" t="s">
        <v>17748</v>
      </c>
      <c r="Q5624" s="11" t="s">
        <v>17784</v>
      </c>
      <c r="R5624" s="11" t="s">
        <v>17784</v>
      </c>
      <c r="S5624" s="11" t="s">
        <v>17750</v>
      </c>
    </row>
    <row r="5625" spans="1:19" x14ac:dyDescent="0.2">
      <c r="A5625" s="11" t="s">
        <v>50274</v>
      </c>
      <c r="B5625" s="9" t="s">
        <v>50275</v>
      </c>
      <c r="C5625" s="9" t="s">
        <v>50276</v>
      </c>
      <c r="D5625" s="9" t="s">
        <v>50277</v>
      </c>
      <c r="E5625" s="9" t="s">
        <v>17740</v>
      </c>
      <c r="F5625" s="9" t="s">
        <v>17741</v>
      </c>
      <c r="G5625" s="9" t="s">
        <v>17740</v>
      </c>
      <c r="H5625" s="11" t="s">
        <v>17741</v>
      </c>
      <c r="I5625" s="11" t="s">
        <v>50278</v>
      </c>
      <c r="J5625" s="11" t="s">
        <v>50278</v>
      </c>
      <c r="K5625" s="9" t="s">
        <v>50279</v>
      </c>
      <c r="L5625" s="9" t="s">
        <v>17958</v>
      </c>
      <c r="M5625" s="9" t="s">
        <v>17760</v>
      </c>
      <c r="N5625" s="9" t="s">
        <v>22152</v>
      </c>
      <c r="O5625" s="9" t="s">
        <v>4048</v>
      </c>
      <c r="P5625" s="9" t="s">
        <v>17748</v>
      </c>
      <c r="Q5625" s="11" t="s">
        <v>18364</v>
      </c>
      <c r="R5625" s="11" t="s">
        <v>18364</v>
      </c>
      <c r="S5625" s="11" t="s">
        <v>17750</v>
      </c>
    </row>
    <row r="5626" spans="1:19" x14ac:dyDescent="0.2">
      <c r="A5626" s="11" t="s">
        <v>50280</v>
      </c>
      <c r="B5626" s="9" t="s">
        <v>50281</v>
      </c>
      <c r="C5626" s="9" t="s">
        <v>50282</v>
      </c>
      <c r="D5626" s="9" t="s">
        <v>50283</v>
      </c>
      <c r="E5626" s="9" t="s">
        <v>17740</v>
      </c>
      <c r="F5626" s="9" t="s">
        <v>17741</v>
      </c>
      <c r="G5626" s="9" t="s">
        <v>17740</v>
      </c>
      <c r="H5626" s="11" t="s">
        <v>17741</v>
      </c>
      <c r="I5626" s="11" t="s">
        <v>50284</v>
      </c>
      <c r="J5626" s="11" t="s">
        <v>50284</v>
      </c>
      <c r="K5626" s="9" t="s">
        <v>50285</v>
      </c>
      <c r="L5626" s="9" t="s">
        <v>17958</v>
      </c>
      <c r="M5626" s="9" t="s">
        <v>17817</v>
      </c>
      <c r="N5626" s="9" t="s">
        <v>22152</v>
      </c>
      <c r="O5626" s="9" t="s">
        <v>18035</v>
      </c>
      <c r="P5626" s="9" t="s">
        <v>17748</v>
      </c>
      <c r="Q5626" s="11" t="s">
        <v>18470</v>
      </c>
      <c r="R5626" s="11" t="s">
        <v>18470</v>
      </c>
      <c r="S5626" s="11" t="s">
        <v>17750</v>
      </c>
    </row>
    <row r="5627" spans="1:19" x14ac:dyDescent="0.2">
      <c r="A5627" s="11" t="s">
        <v>50286</v>
      </c>
      <c r="B5627" s="9" t="s">
        <v>50287</v>
      </c>
      <c r="C5627" s="9" t="s">
        <v>50288</v>
      </c>
      <c r="D5627" s="9" t="s">
        <v>50289</v>
      </c>
      <c r="E5627" s="9" t="s">
        <v>17740</v>
      </c>
      <c r="F5627" s="9" t="s">
        <v>50290</v>
      </c>
      <c r="G5627" s="9" t="s">
        <v>17740</v>
      </c>
      <c r="H5627" s="11" t="s">
        <v>17741</v>
      </c>
      <c r="I5627" s="11" t="s">
        <v>50291</v>
      </c>
      <c r="J5627" s="11" t="s">
        <v>50291</v>
      </c>
      <c r="K5627" s="9" t="s">
        <v>50292</v>
      </c>
      <c r="L5627" s="9" t="s">
        <v>17958</v>
      </c>
      <c r="M5627" s="9" t="s">
        <v>17769</v>
      </c>
      <c r="N5627" s="9" t="s">
        <v>22152</v>
      </c>
      <c r="O5627" s="9" t="s">
        <v>21558</v>
      </c>
      <c r="P5627" s="9" t="s">
        <v>17748</v>
      </c>
      <c r="Q5627" s="11" t="s">
        <v>18798</v>
      </c>
      <c r="R5627" s="11" t="s">
        <v>18798</v>
      </c>
      <c r="S5627" s="11" t="s">
        <v>17750</v>
      </c>
    </row>
    <row r="5628" spans="1:19" x14ac:dyDescent="0.2">
      <c r="A5628" s="11" t="s">
        <v>50293</v>
      </c>
      <c r="B5628" s="9" t="s">
        <v>50294</v>
      </c>
      <c r="C5628" s="9" t="s">
        <v>50295</v>
      </c>
      <c r="D5628" s="9" t="s">
        <v>50296</v>
      </c>
      <c r="E5628" s="9" t="s">
        <v>17748</v>
      </c>
      <c r="F5628" s="9" t="s">
        <v>50297</v>
      </c>
      <c r="G5628" s="9" t="s">
        <v>17740</v>
      </c>
      <c r="H5628" s="11" t="s">
        <v>17741</v>
      </c>
      <c r="I5628" s="11" t="s">
        <v>50298</v>
      </c>
      <c r="J5628" s="11" t="s">
        <v>17741</v>
      </c>
      <c r="K5628" s="9" t="s">
        <v>17741</v>
      </c>
      <c r="L5628" s="9" t="s">
        <v>17958</v>
      </c>
      <c r="M5628" s="9" t="s">
        <v>17817</v>
      </c>
      <c r="N5628" s="9" t="s">
        <v>22152</v>
      </c>
      <c r="O5628" s="9" t="s">
        <v>50299</v>
      </c>
      <c r="P5628" s="9" t="s">
        <v>17748</v>
      </c>
      <c r="Q5628" s="11" t="s">
        <v>18089</v>
      </c>
      <c r="R5628" s="11" t="s">
        <v>18089</v>
      </c>
      <c r="S5628" s="11" t="s">
        <v>17750</v>
      </c>
    </row>
    <row r="5629" spans="1:19" x14ac:dyDescent="0.2">
      <c r="A5629" s="11" t="s">
        <v>50300</v>
      </c>
      <c r="B5629" s="9" t="s">
        <v>50301</v>
      </c>
      <c r="C5629" s="9" t="s">
        <v>50302</v>
      </c>
      <c r="D5629" s="9" t="s">
        <v>50303</v>
      </c>
      <c r="E5629" s="9" t="s">
        <v>17740</v>
      </c>
      <c r="F5629" s="9" t="s">
        <v>17741</v>
      </c>
      <c r="G5629" s="9" t="s">
        <v>17740</v>
      </c>
      <c r="H5629" s="11" t="s">
        <v>17741</v>
      </c>
      <c r="I5629" s="11" t="s">
        <v>1064</v>
      </c>
      <c r="J5629" s="11" t="s">
        <v>1064</v>
      </c>
      <c r="K5629" s="9" t="s">
        <v>50268</v>
      </c>
      <c r="L5629" s="9" t="s">
        <v>17958</v>
      </c>
      <c r="M5629" s="9" t="s">
        <v>17769</v>
      </c>
      <c r="N5629" s="9" t="s">
        <v>22152</v>
      </c>
      <c r="O5629" s="9" t="s">
        <v>20367</v>
      </c>
      <c r="P5629" s="9" t="s">
        <v>17748</v>
      </c>
      <c r="Q5629" s="11" t="s">
        <v>18243</v>
      </c>
      <c r="R5629" s="11" t="s">
        <v>18243</v>
      </c>
      <c r="S5629" s="11" t="s">
        <v>17750</v>
      </c>
    </row>
    <row r="5630" spans="1:19" x14ac:dyDescent="0.2">
      <c r="A5630" s="11" t="s">
        <v>50304</v>
      </c>
      <c r="B5630" s="9" t="s">
        <v>50305</v>
      </c>
      <c r="C5630" s="9" t="s">
        <v>50306</v>
      </c>
      <c r="D5630" s="9" t="s">
        <v>50307</v>
      </c>
      <c r="E5630" s="9" t="s">
        <v>17740</v>
      </c>
      <c r="F5630" s="9" t="s">
        <v>17741</v>
      </c>
      <c r="G5630" s="9" t="s">
        <v>17740</v>
      </c>
      <c r="H5630" s="11" t="s">
        <v>17741</v>
      </c>
      <c r="I5630" s="11" t="s">
        <v>50308</v>
      </c>
      <c r="J5630" s="11" t="s">
        <v>50308</v>
      </c>
      <c r="K5630" s="9" t="s">
        <v>50309</v>
      </c>
      <c r="L5630" s="9" t="s">
        <v>17958</v>
      </c>
      <c r="M5630" s="9" t="s">
        <v>17817</v>
      </c>
      <c r="N5630" s="9" t="s">
        <v>22152</v>
      </c>
      <c r="O5630" s="9" t="s">
        <v>7097</v>
      </c>
      <c r="P5630" s="9" t="s">
        <v>17748</v>
      </c>
      <c r="Q5630" s="11" t="s">
        <v>19222</v>
      </c>
      <c r="R5630" s="11" t="s">
        <v>19222</v>
      </c>
      <c r="S5630" s="11" t="s">
        <v>17750</v>
      </c>
    </row>
    <row r="5631" spans="1:19" x14ac:dyDescent="0.2">
      <c r="A5631" s="11" t="s">
        <v>50310</v>
      </c>
      <c r="B5631" s="9" t="s">
        <v>50311</v>
      </c>
      <c r="C5631" s="9" t="s">
        <v>50312</v>
      </c>
      <c r="D5631" s="9" t="s">
        <v>50313</v>
      </c>
      <c r="E5631" s="9" t="s">
        <v>17740</v>
      </c>
      <c r="F5631" s="9" t="s">
        <v>17741</v>
      </c>
      <c r="G5631" s="9" t="s">
        <v>17740</v>
      </c>
      <c r="H5631" s="11" t="s">
        <v>17741</v>
      </c>
      <c r="I5631" s="11" t="s">
        <v>50314</v>
      </c>
      <c r="J5631" s="11" t="s">
        <v>50314</v>
      </c>
      <c r="K5631" s="9" t="s">
        <v>1065</v>
      </c>
      <c r="L5631" s="9" t="s">
        <v>17958</v>
      </c>
      <c r="M5631" s="9" t="s">
        <v>17769</v>
      </c>
      <c r="N5631" s="9" t="s">
        <v>22152</v>
      </c>
      <c r="O5631" s="9" t="s">
        <v>3255</v>
      </c>
      <c r="P5631" s="9" t="s">
        <v>17748</v>
      </c>
      <c r="Q5631" s="11" t="s">
        <v>17931</v>
      </c>
      <c r="R5631" s="11" t="s">
        <v>17931</v>
      </c>
      <c r="S5631" s="11" t="s">
        <v>17750</v>
      </c>
    </row>
    <row r="5632" spans="1:19" x14ac:dyDescent="0.2">
      <c r="A5632" s="11" t="s">
        <v>50315</v>
      </c>
      <c r="B5632" s="9" t="s">
        <v>50316</v>
      </c>
      <c r="C5632" s="9" t="s">
        <v>50317</v>
      </c>
      <c r="D5632" s="9" t="s">
        <v>50318</v>
      </c>
      <c r="E5632" s="9" t="s">
        <v>17740</v>
      </c>
      <c r="F5632" s="9" t="s">
        <v>50319</v>
      </c>
      <c r="G5632" s="9" t="s">
        <v>17740</v>
      </c>
      <c r="H5632" s="11" t="s">
        <v>17741</v>
      </c>
      <c r="I5632" s="11" t="s">
        <v>50320</v>
      </c>
      <c r="J5632" s="11" t="s">
        <v>50320</v>
      </c>
      <c r="K5632" s="9" t="s">
        <v>50268</v>
      </c>
      <c r="L5632" s="9" t="s">
        <v>17958</v>
      </c>
      <c r="M5632" s="9" t="s">
        <v>17760</v>
      </c>
      <c r="N5632" s="9" t="s">
        <v>22152</v>
      </c>
      <c r="O5632" s="9" t="s">
        <v>17747</v>
      </c>
      <c r="P5632" s="9" t="s">
        <v>17748</v>
      </c>
      <c r="Q5632" s="11" t="s">
        <v>19222</v>
      </c>
      <c r="R5632" s="11" t="s">
        <v>19222</v>
      </c>
      <c r="S5632" s="11" t="s">
        <v>17750</v>
      </c>
    </row>
    <row r="5633" spans="1:19" x14ac:dyDescent="0.2">
      <c r="A5633" s="11" t="s">
        <v>50321</v>
      </c>
      <c r="B5633" s="9" t="s">
        <v>50322</v>
      </c>
      <c r="C5633" s="9" t="s">
        <v>50323</v>
      </c>
      <c r="D5633" s="9" t="s">
        <v>50324</v>
      </c>
      <c r="E5633" s="9" t="s">
        <v>17740</v>
      </c>
      <c r="F5633" s="9" t="s">
        <v>50325</v>
      </c>
      <c r="G5633" s="9" t="s">
        <v>17740</v>
      </c>
      <c r="H5633" s="11" t="s">
        <v>17741</v>
      </c>
      <c r="I5633" s="11" t="s">
        <v>6593</v>
      </c>
      <c r="J5633" s="11" t="s">
        <v>6593</v>
      </c>
      <c r="K5633" s="9" t="s">
        <v>6595</v>
      </c>
      <c r="L5633" s="9" t="s">
        <v>17958</v>
      </c>
      <c r="M5633" s="9" t="s">
        <v>17769</v>
      </c>
      <c r="N5633" s="9" t="s">
        <v>22152</v>
      </c>
      <c r="O5633" s="9" t="s">
        <v>18846</v>
      </c>
      <c r="P5633" s="9" t="s">
        <v>17748</v>
      </c>
      <c r="Q5633" s="11" t="s">
        <v>18147</v>
      </c>
      <c r="R5633" s="11" t="s">
        <v>18147</v>
      </c>
      <c r="S5633" s="11" t="s">
        <v>17750</v>
      </c>
    </row>
    <row r="5634" spans="1:19" x14ac:dyDescent="0.2">
      <c r="A5634" s="11" t="s">
        <v>50326</v>
      </c>
      <c r="B5634" s="9" t="s">
        <v>50327</v>
      </c>
      <c r="C5634" s="9" t="s">
        <v>50328</v>
      </c>
      <c r="D5634" s="9" t="s">
        <v>50329</v>
      </c>
      <c r="E5634" s="9" t="s">
        <v>17740</v>
      </c>
      <c r="F5634" s="9" t="s">
        <v>50330</v>
      </c>
      <c r="G5634" s="9" t="s">
        <v>17740</v>
      </c>
      <c r="H5634" s="11" t="s">
        <v>17741</v>
      </c>
      <c r="I5634" s="11" t="s">
        <v>10668</v>
      </c>
      <c r="J5634" s="11" t="s">
        <v>10668</v>
      </c>
      <c r="K5634" s="9" t="s">
        <v>50268</v>
      </c>
      <c r="L5634" s="9" t="s">
        <v>17958</v>
      </c>
      <c r="M5634" s="9" t="s">
        <v>50331</v>
      </c>
      <c r="N5634" s="9" t="s">
        <v>22152</v>
      </c>
      <c r="O5634" s="9" t="s">
        <v>18607</v>
      </c>
      <c r="P5634" s="9" t="s">
        <v>17748</v>
      </c>
      <c r="Q5634" s="11" t="s">
        <v>18556</v>
      </c>
      <c r="R5634" s="11" t="s">
        <v>18556</v>
      </c>
      <c r="S5634" s="11" t="s">
        <v>17750</v>
      </c>
    </row>
    <row r="5635" spans="1:19" x14ac:dyDescent="0.2">
      <c r="A5635" s="11" t="s">
        <v>50332</v>
      </c>
      <c r="B5635" s="9" t="s">
        <v>50333</v>
      </c>
      <c r="C5635" s="9" t="s">
        <v>50334</v>
      </c>
      <c r="D5635" s="9" t="s">
        <v>50335</v>
      </c>
      <c r="E5635" s="9" t="s">
        <v>17740</v>
      </c>
      <c r="F5635" s="9" t="s">
        <v>17741</v>
      </c>
      <c r="G5635" s="9" t="s">
        <v>17740</v>
      </c>
      <c r="H5635" s="11" t="s">
        <v>17741</v>
      </c>
      <c r="I5635" s="11" t="s">
        <v>50336</v>
      </c>
      <c r="J5635" s="11" t="s">
        <v>50336</v>
      </c>
      <c r="K5635" s="9" t="s">
        <v>50268</v>
      </c>
      <c r="L5635" s="9" t="s">
        <v>17958</v>
      </c>
      <c r="M5635" s="9" t="s">
        <v>17769</v>
      </c>
      <c r="N5635" s="9" t="s">
        <v>22152</v>
      </c>
      <c r="O5635" s="9" t="s">
        <v>50337</v>
      </c>
      <c r="P5635" s="9" t="s">
        <v>17748</v>
      </c>
      <c r="Q5635" s="11" t="s">
        <v>18813</v>
      </c>
      <c r="R5635" s="11" t="s">
        <v>18813</v>
      </c>
      <c r="S5635" s="11" t="s">
        <v>17750</v>
      </c>
    </row>
    <row r="5636" spans="1:19" x14ac:dyDescent="0.2">
      <c r="A5636" s="11" t="s">
        <v>50338</v>
      </c>
      <c r="B5636" s="9" t="s">
        <v>50339</v>
      </c>
      <c r="C5636" s="9" t="s">
        <v>50340</v>
      </c>
      <c r="D5636" s="9" t="s">
        <v>50341</v>
      </c>
      <c r="E5636" s="9" t="s">
        <v>17748</v>
      </c>
      <c r="F5636" s="9" t="s">
        <v>50273</v>
      </c>
      <c r="G5636" s="9" t="s">
        <v>17740</v>
      </c>
      <c r="H5636" s="11" t="s">
        <v>17741</v>
      </c>
      <c r="I5636" s="11" t="s">
        <v>50342</v>
      </c>
      <c r="J5636" s="11" t="s">
        <v>50342</v>
      </c>
      <c r="K5636" s="9" t="s">
        <v>17741</v>
      </c>
      <c r="L5636" s="9" t="s">
        <v>17958</v>
      </c>
      <c r="M5636" s="9" t="s">
        <v>17769</v>
      </c>
      <c r="N5636" s="9" t="s">
        <v>22152</v>
      </c>
      <c r="O5636" s="9" t="s">
        <v>18035</v>
      </c>
      <c r="P5636" s="9" t="s">
        <v>17748</v>
      </c>
      <c r="Q5636" s="11" t="s">
        <v>17784</v>
      </c>
      <c r="R5636" s="11" t="s">
        <v>17784</v>
      </c>
      <c r="S5636" s="11" t="s">
        <v>17750</v>
      </c>
    </row>
    <row r="5637" spans="1:19" x14ac:dyDescent="0.2">
      <c r="A5637" s="11" t="s">
        <v>50343</v>
      </c>
      <c r="B5637" s="9" t="s">
        <v>50344</v>
      </c>
      <c r="C5637" s="9" t="s">
        <v>50345</v>
      </c>
      <c r="D5637" s="9" t="s">
        <v>50346</v>
      </c>
      <c r="E5637" s="9" t="s">
        <v>17740</v>
      </c>
      <c r="F5637" s="9" t="s">
        <v>17741</v>
      </c>
      <c r="G5637" s="9" t="s">
        <v>17740</v>
      </c>
      <c r="H5637" s="11" t="s">
        <v>17741</v>
      </c>
      <c r="I5637" s="11" t="s">
        <v>1005</v>
      </c>
      <c r="J5637" s="11" t="s">
        <v>1005</v>
      </c>
      <c r="K5637" s="9" t="s">
        <v>1065</v>
      </c>
      <c r="L5637" s="9" t="s">
        <v>17958</v>
      </c>
      <c r="M5637" s="9" t="s">
        <v>17769</v>
      </c>
      <c r="N5637" s="9" t="s">
        <v>22152</v>
      </c>
      <c r="O5637" s="9" t="s">
        <v>18363</v>
      </c>
      <c r="P5637" s="9" t="s">
        <v>17748</v>
      </c>
      <c r="Q5637" s="11" t="s">
        <v>18251</v>
      </c>
      <c r="R5637" s="11" t="s">
        <v>18251</v>
      </c>
      <c r="S5637" s="11" t="s">
        <v>17750</v>
      </c>
    </row>
    <row r="5638" spans="1:19" x14ac:dyDescent="0.2">
      <c r="A5638" s="11" t="s">
        <v>50347</v>
      </c>
      <c r="B5638" s="9" t="s">
        <v>50348</v>
      </c>
      <c r="C5638" s="9" t="s">
        <v>50349</v>
      </c>
      <c r="D5638" s="9" t="s">
        <v>50350</v>
      </c>
      <c r="E5638" s="9" t="s">
        <v>17740</v>
      </c>
      <c r="F5638" s="9" t="s">
        <v>17741</v>
      </c>
      <c r="G5638" s="9" t="s">
        <v>17740</v>
      </c>
      <c r="H5638" s="11" t="s">
        <v>17741</v>
      </c>
      <c r="I5638" s="11" t="s">
        <v>50351</v>
      </c>
      <c r="J5638" s="11" t="s">
        <v>50351</v>
      </c>
      <c r="K5638" s="9" t="s">
        <v>22405</v>
      </c>
      <c r="L5638" s="9" t="s">
        <v>18854</v>
      </c>
      <c r="M5638" s="9" t="s">
        <v>17769</v>
      </c>
      <c r="N5638" s="9" t="s">
        <v>20237</v>
      </c>
      <c r="O5638" s="9" t="s">
        <v>39750</v>
      </c>
      <c r="P5638" s="9" t="s">
        <v>17748</v>
      </c>
      <c r="Q5638" s="11" t="s">
        <v>18072</v>
      </c>
      <c r="R5638" s="11" t="s">
        <v>18072</v>
      </c>
      <c r="S5638" s="11" t="s">
        <v>17750</v>
      </c>
    </row>
    <row r="5639" spans="1:19" x14ac:dyDescent="0.2">
      <c r="A5639" s="11" t="s">
        <v>50352</v>
      </c>
      <c r="B5639" s="9" t="s">
        <v>50353</v>
      </c>
      <c r="C5639" s="9" t="s">
        <v>50354</v>
      </c>
      <c r="D5639" s="9" t="s">
        <v>50355</v>
      </c>
      <c r="E5639" s="9" t="s">
        <v>17740</v>
      </c>
      <c r="F5639" s="9" t="s">
        <v>50356</v>
      </c>
      <c r="G5639" s="9" t="s">
        <v>17740</v>
      </c>
      <c r="H5639" s="11" t="s">
        <v>17741</v>
      </c>
      <c r="I5639" s="11" t="s">
        <v>50357</v>
      </c>
      <c r="J5639" s="11" t="s">
        <v>50357</v>
      </c>
      <c r="K5639" s="9" t="s">
        <v>20950</v>
      </c>
      <c r="L5639" s="9" t="s">
        <v>18854</v>
      </c>
      <c r="M5639" s="9" t="s">
        <v>18065</v>
      </c>
      <c r="N5639" s="9" t="s">
        <v>20237</v>
      </c>
      <c r="O5639" s="9" t="s">
        <v>28251</v>
      </c>
      <c r="P5639" s="9" t="s">
        <v>17748</v>
      </c>
      <c r="Q5639" s="11" t="s">
        <v>18002</v>
      </c>
      <c r="R5639" s="11" t="s">
        <v>18002</v>
      </c>
      <c r="S5639" s="11" t="s">
        <v>17750</v>
      </c>
    </row>
    <row r="5640" spans="1:19" x14ac:dyDescent="0.2">
      <c r="A5640" s="11" t="s">
        <v>50358</v>
      </c>
      <c r="B5640" s="9" t="s">
        <v>50359</v>
      </c>
      <c r="C5640" s="9" t="s">
        <v>50360</v>
      </c>
      <c r="D5640" s="9" t="s">
        <v>50361</v>
      </c>
      <c r="E5640" s="9" t="s">
        <v>17748</v>
      </c>
      <c r="F5640" s="9" t="s">
        <v>50362</v>
      </c>
      <c r="G5640" s="9" t="s">
        <v>17740</v>
      </c>
      <c r="H5640" s="11" t="s">
        <v>50363</v>
      </c>
      <c r="I5640" s="11" t="s">
        <v>9601</v>
      </c>
      <c r="J5640" s="11" t="s">
        <v>9601</v>
      </c>
      <c r="K5640" s="9" t="s">
        <v>21545</v>
      </c>
      <c r="L5640" s="9" t="s">
        <v>18854</v>
      </c>
      <c r="M5640" s="9" t="s">
        <v>18289</v>
      </c>
      <c r="N5640" s="9" t="s">
        <v>20237</v>
      </c>
      <c r="O5640" s="9" t="s">
        <v>19379</v>
      </c>
      <c r="P5640" s="9" t="s">
        <v>17748</v>
      </c>
      <c r="Q5640" s="11" t="s">
        <v>17792</v>
      </c>
      <c r="R5640" s="11" t="s">
        <v>17792</v>
      </c>
      <c r="S5640" s="11" t="s">
        <v>17750</v>
      </c>
    </row>
    <row r="5641" spans="1:19" x14ac:dyDescent="0.2">
      <c r="A5641" s="11" t="s">
        <v>50364</v>
      </c>
      <c r="B5641" s="9" t="s">
        <v>50365</v>
      </c>
      <c r="C5641" s="9" t="s">
        <v>50366</v>
      </c>
      <c r="D5641" s="9" t="s">
        <v>50367</v>
      </c>
      <c r="E5641" s="9" t="s">
        <v>17740</v>
      </c>
      <c r="F5641" s="9" t="s">
        <v>50368</v>
      </c>
      <c r="G5641" s="9" t="s">
        <v>17740</v>
      </c>
      <c r="H5641" s="11" t="s">
        <v>17741</v>
      </c>
      <c r="I5641" s="11" t="s">
        <v>50369</v>
      </c>
      <c r="J5641" s="11" t="s">
        <v>50369</v>
      </c>
      <c r="K5641" s="9" t="s">
        <v>22405</v>
      </c>
      <c r="L5641" s="9" t="s">
        <v>18854</v>
      </c>
      <c r="M5641" s="9" t="s">
        <v>17769</v>
      </c>
      <c r="N5641" s="9" t="s">
        <v>20237</v>
      </c>
      <c r="O5641" s="9" t="s">
        <v>17977</v>
      </c>
      <c r="P5641" s="9" t="s">
        <v>17748</v>
      </c>
      <c r="Q5641" s="11" t="s">
        <v>19983</v>
      </c>
      <c r="R5641" s="11" t="s">
        <v>19983</v>
      </c>
      <c r="S5641" s="11" t="s">
        <v>17750</v>
      </c>
    </row>
    <row r="5642" spans="1:19" x14ac:dyDescent="0.2">
      <c r="A5642" s="11" t="s">
        <v>50370</v>
      </c>
      <c r="B5642" s="9" t="s">
        <v>50371</v>
      </c>
      <c r="C5642" s="9" t="s">
        <v>50372</v>
      </c>
      <c r="D5642" s="9" t="s">
        <v>50373</v>
      </c>
      <c r="E5642" s="9" t="s">
        <v>17740</v>
      </c>
      <c r="F5642" s="9" t="s">
        <v>50374</v>
      </c>
      <c r="G5642" s="9" t="s">
        <v>17740</v>
      </c>
      <c r="H5642" s="11" t="s">
        <v>50375</v>
      </c>
      <c r="I5642" s="11" t="s">
        <v>50376</v>
      </c>
      <c r="J5642" s="11" t="s">
        <v>50376</v>
      </c>
      <c r="K5642" s="9" t="s">
        <v>21545</v>
      </c>
      <c r="L5642" s="9" t="s">
        <v>18854</v>
      </c>
      <c r="M5642" s="9" t="s">
        <v>17778</v>
      </c>
      <c r="N5642" s="9" t="s">
        <v>20237</v>
      </c>
      <c r="O5642" s="9" t="s">
        <v>3176</v>
      </c>
      <c r="P5642" s="9" t="s">
        <v>17748</v>
      </c>
      <c r="Q5642" s="11" t="s">
        <v>18600</v>
      </c>
      <c r="R5642" s="11" t="s">
        <v>18600</v>
      </c>
      <c r="S5642" s="11" t="s">
        <v>17750</v>
      </c>
    </row>
    <row r="5643" spans="1:19" x14ac:dyDescent="0.2">
      <c r="A5643" s="11" t="s">
        <v>50377</v>
      </c>
      <c r="B5643" s="9" t="s">
        <v>50378</v>
      </c>
      <c r="C5643" s="9" t="s">
        <v>50379</v>
      </c>
      <c r="D5643" s="9" t="s">
        <v>50380</v>
      </c>
      <c r="E5643" s="9" t="s">
        <v>17740</v>
      </c>
      <c r="F5643" s="9" t="s">
        <v>17741</v>
      </c>
      <c r="G5643" s="9" t="s">
        <v>17740</v>
      </c>
      <c r="H5643" s="11" t="s">
        <v>17741</v>
      </c>
      <c r="I5643" s="11" t="s">
        <v>50381</v>
      </c>
      <c r="J5643" s="11" t="s">
        <v>50381</v>
      </c>
      <c r="K5643" s="9" t="s">
        <v>50382</v>
      </c>
      <c r="L5643" s="9" t="s">
        <v>18854</v>
      </c>
      <c r="M5643" s="9" t="s">
        <v>17769</v>
      </c>
      <c r="N5643" s="9" t="s">
        <v>20237</v>
      </c>
      <c r="O5643" s="9" t="s">
        <v>3100</v>
      </c>
      <c r="P5643" s="9" t="s">
        <v>17748</v>
      </c>
      <c r="Q5643" s="11" t="s">
        <v>20021</v>
      </c>
      <c r="R5643" s="11" t="s">
        <v>20021</v>
      </c>
      <c r="S5643" s="11" t="s">
        <v>17750</v>
      </c>
    </row>
    <row r="5644" spans="1:19" x14ac:dyDescent="0.2">
      <c r="A5644" s="11" t="s">
        <v>50383</v>
      </c>
      <c r="B5644" s="9" t="s">
        <v>50384</v>
      </c>
      <c r="C5644" s="9" t="s">
        <v>50385</v>
      </c>
      <c r="D5644" s="9" t="s">
        <v>50386</v>
      </c>
      <c r="E5644" s="9" t="s">
        <v>17740</v>
      </c>
      <c r="F5644" s="9" t="s">
        <v>17741</v>
      </c>
      <c r="G5644" s="9" t="s">
        <v>17740</v>
      </c>
      <c r="H5644" s="11" t="s">
        <v>50387</v>
      </c>
      <c r="I5644" s="11" t="s">
        <v>50388</v>
      </c>
      <c r="J5644" s="11" t="s">
        <v>50388</v>
      </c>
      <c r="K5644" s="9" t="s">
        <v>50389</v>
      </c>
      <c r="L5644" s="9" t="s">
        <v>17759</v>
      </c>
      <c r="M5644" s="9" t="s">
        <v>17769</v>
      </c>
      <c r="N5644" s="9" t="s">
        <v>17746</v>
      </c>
      <c r="O5644" s="9" t="s">
        <v>19859</v>
      </c>
      <c r="P5644" s="9" t="s">
        <v>17748</v>
      </c>
      <c r="Q5644" s="11" t="s">
        <v>19515</v>
      </c>
      <c r="R5644" s="11" t="s">
        <v>19515</v>
      </c>
      <c r="S5644" s="11" t="s">
        <v>17750</v>
      </c>
    </row>
    <row r="5645" spans="1:19" x14ac:dyDescent="0.2">
      <c r="A5645" s="11" t="s">
        <v>50390</v>
      </c>
      <c r="B5645" s="9" t="s">
        <v>50391</v>
      </c>
      <c r="C5645" s="9" t="s">
        <v>50392</v>
      </c>
      <c r="D5645" s="9" t="s">
        <v>50393</v>
      </c>
      <c r="E5645" s="9" t="s">
        <v>17740</v>
      </c>
      <c r="F5645" s="9" t="s">
        <v>50394</v>
      </c>
      <c r="G5645" s="9" t="s">
        <v>17740</v>
      </c>
      <c r="H5645" s="11" t="s">
        <v>17741</v>
      </c>
      <c r="I5645" s="11" t="s">
        <v>50395</v>
      </c>
      <c r="J5645" s="11" t="s">
        <v>50395</v>
      </c>
      <c r="K5645" s="9" t="s">
        <v>50396</v>
      </c>
      <c r="L5645" s="9" t="s">
        <v>18242</v>
      </c>
      <c r="M5645" s="9" t="s">
        <v>19971</v>
      </c>
      <c r="N5645" s="9" t="s">
        <v>17746</v>
      </c>
      <c r="O5645" s="9" t="s">
        <v>19859</v>
      </c>
      <c r="P5645" s="9" t="s">
        <v>17748</v>
      </c>
      <c r="Q5645" s="11" t="s">
        <v>18341</v>
      </c>
      <c r="R5645" s="11" t="s">
        <v>18341</v>
      </c>
      <c r="S5645" s="11" t="s">
        <v>17750</v>
      </c>
    </row>
    <row r="5646" spans="1:19" x14ac:dyDescent="0.2">
      <c r="A5646" s="11" t="s">
        <v>50397</v>
      </c>
      <c r="B5646" s="9" t="s">
        <v>50398</v>
      </c>
      <c r="C5646" s="9" t="s">
        <v>50399</v>
      </c>
      <c r="D5646" s="9" t="s">
        <v>50400</v>
      </c>
      <c r="E5646" s="9" t="s">
        <v>17740</v>
      </c>
      <c r="F5646" s="9" t="s">
        <v>50401</v>
      </c>
      <c r="G5646" s="9" t="s">
        <v>17740</v>
      </c>
      <c r="H5646" s="11" t="s">
        <v>50402</v>
      </c>
      <c r="I5646" s="11" t="s">
        <v>50403</v>
      </c>
      <c r="J5646" s="11" t="s">
        <v>50403</v>
      </c>
      <c r="K5646" s="9" t="s">
        <v>31234</v>
      </c>
      <c r="L5646" s="9" t="s">
        <v>18158</v>
      </c>
      <c r="M5646" s="9" t="s">
        <v>26122</v>
      </c>
      <c r="N5646" s="9" t="s">
        <v>17746</v>
      </c>
      <c r="O5646" s="9" t="s">
        <v>19859</v>
      </c>
      <c r="P5646" s="9" t="s">
        <v>17748</v>
      </c>
      <c r="Q5646" s="11" t="s">
        <v>17808</v>
      </c>
      <c r="R5646" s="11" t="s">
        <v>17808</v>
      </c>
      <c r="S5646" s="11" t="s">
        <v>17750</v>
      </c>
    </row>
    <row r="5647" spans="1:19" x14ac:dyDescent="0.2">
      <c r="A5647" s="11" t="s">
        <v>50404</v>
      </c>
      <c r="B5647" s="9" t="s">
        <v>50405</v>
      </c>
      <c r="C5647" s="9" t="s">
        <v>50406</v>
      </c>
      <c r="D5647" s="9" t="s">
        <v>50407</v>
      </c>
      <c r="E5647" s="9" t="s">
        <v>17748</v>
      </c>
      <c r="F5647" s="9" t="s">
        <v>50408</v>
      </c>
      <c r="G5647" s="9" t="s">
        <v>17740</v>
      </c>
      <c r="H5647" s="11" t="s">
        <v>11755</v>
      </c>
      <c r="I5647" s="11" t="s">
        <v>11754</v>
      </c>
      <c r="J5647" s="11" t="s">
        <v>11754</v>
      </c>
      <c r="K5647" s="9" t="s">
        <v>48731</v>
      </c>
      <c r="L5647" s="9" t="s">
        <v>18158</v>
      </c>
      <c r="M5647" s="9" t="s">
        <v>19168</v>
      </c>
      <c r="N5647" s="9" t="s">
        <v>17746</v>
      </c>
      <c r="O5647" s="9" t="s">
        <v>50409</v>
      </c>
      <c r="P5647" s="9" t="s">
        <v>17748</v>
      </c>
      <c r="Q5647" s="11" t="s">
        <v>17917</v>
      </c>
      <c r="R5647" s="11" t="s">
        <v>17917</v>
      </c>
      <c r="S5647" s="11" t="s">
        <v>17750</v>
      </c>
    </row>
    <row r="5648" spans="1:19" x14ac:dyDescent="0.2">
      <c r="A5648" s="11" t="s">
        <v>50410</v>
      </c>
      <c r="B5648" s="9" t="s">
        <v>50411</v>
      </c>
      <c r="C5648" s="9" t="s">
        <v>50412</v>
      </c>
      <c r="D5648" s="9" t="s">
        <v>50411</v>
      </c>
      <c r="E5648" s="9" t="s">
        <v>17740</v>
      </c>
      <c r="F5648" s="9" t="s">
        <v>17741</v>
      </c>
      <c r="G5648" s="9" t="s">
        <v>17740</v>
      </c>
      <c r="H5648" s="11" t="s">
        <v>50413</v>
      </c>
      <c r="I5648" s="11" t="s">
        <v>50414</v>
      </c>
      <c r="J5648" s="11" t="s">
        <v>50414</v>
      </c>
      <c r="K5648" s="9" t="s">
        <v>50415</v>
      </c>
      <c r="L5648" s="9" t="s">
        <v>19483</v>
      </c>
      <c r="M5648" s="9" t="s">
        <v>17942</v>
      </c>
      <c r="N5648" s="9" t="s">
        <v>17746</v>
      </c>
      <c r="O5648" s="9" t="s">
        <v>19859</v>
      </c>
      <c r="P5648" s="9" t="s">
        <v>17748</v>
      </c>
      <c r="Q5648" s="11" t="s">
        <v>18922</v>
      </c>
      <c r="R5648" s="11" t="s">
        <v>18922</v>
      </c>
      <c r="S5648" s="11" t="s">
        <v>17750</v>
      </c>
    </row>
    <row r="5649" spans="1:19" x14ac:dyDescent="0.2">
      <c r="A5649" s="11" t="s">
        <v>50416</v>
      </c>
      <c r="B5649" s="9" t="s">
        <v>50417</v>
      </c>
      <c r="C5649" s="9" t="s">
        <v>50418</v>
      </c>
      <c r="D5649" s="9" t="s">
        <v>50419</v>
      </c>
      <c r="E5649" s="9" t="s">
        <v>17740</v>
      </c>
      <c r="F5649" s="9" t="s">
        <v>17741</v>
      </c>
      <c r="G5649" s="9" t="s">
        <v>17740</v>
      </c>
      <c r="H5649" s="11" t="s">
        <v>50420</v>
      </c>
      <c r="I5649" s="11" t="s">
        <v>50421</v>
      </c>
      <c r="J5649" s="11" t="s">
        <v>50421</v>
      </c>
      <c r="K5649" s="9" t="s">
        <v>724</v>
      </c>
      <c r="L5649" s="9" t="s">
        <v>17744</v>
      </c>
      <c r="M5649" s="9" t="s">
        <v>24813</v>
      </c>
      <c r="N5649" s="9" t="s">
        <v>17746</v>
      </c>
      <c r="O5649" s="9" t="s">
        <v>22985</v>
      </c>
      <c r="P5649" s="9" t="s">
        <v>17748</v>
      </c>
      <c r="Q5649" s="11" t="s">
        <v>17792</v>
      </c>
      <c r="R5649" s="11" t="s">
        <v>17792</v>
      </c>
      <c r="S5649" s="11" t="s">
        <v>17750</v>
      </c>
    </row>
    <row r="5650" spans="1:19" s="15" customFormat="1" x14ac:dyDescent="0.2">
      <c r="A5650" s="11">
        <v>101507284</v>
      </c>
      <c r="B5650" s="9" t="s">
        <v>50422</v>
      </c>
      <c r="C5650" s="9" t="s">
        <v>50423</v>
      </c>
      <c r="D5650" s="9" t="s">
        <v>50424</v>
      </c>
      <c r="E5650" s="9" t="s">
        <v>17748</v>
      </c>
      <c r="F5650" s="9" t="s">
        <v>50425</v>
      </c>
      <c r="G5650" s="9" t="s">
        <v>17740</v>
      </c>
      <c r="H5650" s="11" t="s">
        <v>14690</v>
      </c>
      <c r="I5650" s="11" t="s">
        <v>14689</v>
      </c>
      <c r="J5650" s="11"/>
      <c r="K5650" s="9" t="s">
        <v>19202</v>
      </c>
      <c r="L5650" s="9" t="s">
        <v>17759</v>
      </c>
      <c r="M5650" s="9" t="s">
        <v>21722</v>
      </c>
      <c r="N5650" s="9" t="s">
        <v>17746</v>
      </c>
      <c r="O5650" s="9" t="s">
        <v>50426</v>
      </c>
      <c r="P5650" s="9" t="s">
        <v>17748</v>
      </c>
      <c r="Q5650" s="11" t="s">
        <v>18370</v>
      </c>
      <c r="R5650" s="11" t="s">
        <v>18370</v>
      </c>
      <c r="S5650" s="11" t="s">
        <v>17750</v>
      </c>
    </row>
    <row r="5651" spans="1:19" s="15" customFormat="1" x14ac:dyDescent="0.2">
      <c r="A5651" s="11">
        <v>101614637</v>
      </c>
      <c r="B5651" s="9" t="s">
        <v>50427</v>
      </c>
      <c r="C5651" s="9" t="s">
        <v>50428</v>
      </c>
      <c r="D5651" s="9" t="s">
        <v>50429</v>
      </c>
      <c r="E5651" s="9" t="s">
        <v>17740</v>
      </c>
      <c r="F5651" s="9"/>
      <c r="G5651" s="9" t="s">
        <v>17740</v>
      </c>
      <c r="H5651" s="11" t="s">
        <v>50430</v>
      </c>
      <c r="I5651" s="11" t="s">
        <v>50431</v>
      </c>
      <c r="J5651" s="11"/>
      <c r="K5651" s="9" t="s">
        <v>24110</v>
      </c>
      <c r="L5651" s="9" t="s">
        <v>17759</v>
      </c>
      <c r="M5651" s="9" t="s">
        <v>17817</v>
      </c>
      <c r="N5651" s="9" t="s">
        <v>17746</v>
      </c>
      <c r="O5651" s="9" t="s">
        <v>50432</v>
      </c>
      <c r="P5651" s="9" t="s">
        <v>17748</v>
      </c>
      <c r="Q5651" s="11" t="s">
        <v>18089</v>
      </c>
      <c r="R5651" s="11" t="s">
        <v>18089</v>
      </c>
      <c r="S5651" s="11" t="s">
        <v>17750</v>
      </c>
    </row>
    <row r="5652" spans="1:19" s="15" customFormat="1" x14ac:dyDescent="0.2">
      <c r="A5652" s="11">
        <v>101261938</v>
      </c>
      <c r="B5652" s="9" t="s">
        <v>50433</v>
      </c>
      <c r="C5652" s="9" t="s">
        <v>50434</v>
      </c>
      <c r="D5652" s="9" t="s">
        <v>50435</v>
      </c>
      <c r="E5652" s="9" t="s">
        <v>17740</v>
      </c>
      <c r="F5652" s="9"/>
      <c r="G5652" s="9" t="s">
        <v>17740</v>
      </c>
      <c r="H5652" s="11" t="s">
        <v>11014</v>
      </c>
      <c r="I5652" s="11" t="s">
        <v>11013</v>
      </c>
      <c r="J5652" s="11" t="s">
        <v>11013</v>
      </c>
      <c r="K5652" s="9" t="s">
        <v>20956</v>
      </c>
      <c r="L5652" s="9" t="s">
        <v>20976</v>
      </c>
      <c r="M5652" s="9" t="s">
        <v>17992</v>
      </c>
      <c r="N5652" s="9" t="s">
        <v>17746</v>
      </c>
      <c r="O5652" s="9" t="s">
        <v>50436</v>
      </c>
      <c r="P5652" s="9" t="s">
        <v>17748</v>
      </c>
      <c r="Q5652" s="11" t="s">
        <v>17984</v>
      </c>
      <c r="R5652" s="11" t="s">
        <v>17984</v>
      </c>
      <c r="S5652" s="11" t="s">
        <v>17750</v>
      </c>
    </row>
    <row r="5653" spans="1:19" s="15" customFormat="1" x14ac:dyDescent="0.2">
      <c r="A5653" s="11">
        <v>8204468</v>
      </c>
      <c r="B5653" s="9" t="s">
        <v>50437</v>
      </c>
      <c r="C5653" s="9" t="s">
        <v>50438</v>
      </c>
      <c r="D5653" s="9" t="s">
        <v>50439</v>
      </c>
      <c r="E5653" s="9" t="s">
        <v>17740</v>
      </c>
      <c r="F5653" s="9"/>
      <c r="G5653" s="9" t="s">
        <v>17740</v>
      </c>
      <c r="H5653" s="11"/>
      <c r="I5653" s="11" t="s">
        <v>1359</v>
      </c>
      <c r="J5653" s="11" t="s">
        <v>1359</v>
      </c>
      <c r="K5653" s="9" t="s">
        <v>19094</v>
      </c>
      <c r="L5653" s="9" t="s">
        <v>17759</v>
      </c>
      <c r="M5653" s="9" t="s">
        <v>18289</v>
      </c>
      <c r="N5653" s="9" t="s">
        <v>17746</v>
      </c>
      <c r="O5653" s="9" t="s">
        <v>50440</v>
      </c>
      <c r="P5653" s="9" t="s">
        <v>17748</v>
      </c>
      <c r="Q5653" s="11" t="s">
        <v>18433</v>
      </c>
      <c r="R5653" s="11" t="s">
        <v>18433</v>
      </c>
      <c r="S5653" s="11" t="s">
        <v>17750</v>
      </c>
    </row>
    <row r="5654" spans="1:19" s="15" customFormat="1" x14ac:dyDescent="0.2">
      <c r="A5654" s="11" t="s">
        <v>50441</v>
      </c>
      <c r="B5654" s="9" t="s">
        <v>50442</v>
      </c>
      <c r="C5654" s="9" t="s">
        <v>50443</v>
      </c>
      <c r="D5654" s="9" t="s">
        <v>50442</v>
      </c>
      <c r="E5654" s="9" t="s">
        <v>17740</v>
      </c>
      <c r="F5654" s="9"/>
      <c r="G5654" s="9" t="s">
        <v>17740</v>
      </c>
      <c r="H5654" s="11" t="s">
        <v>50444</v>
      </c>
      <c r="I5654" s="11" t="s">
        <v>50445</v>
      </c>
      <c r="J5654" s="11" t="s">
        <v>50444</v>
      </c>
      <c r="K5654" s="9" t="s">
        <v>50446</v>
      </c>
      <c r="L5654" s="9" t="s">
        <v>17759</v>
      </c>
      <c r="M5654" s="9"/>
      <c r="N5654" s="9" t="s">
        <v>17746</v>
      </c>
      <c r="O5654" s="9" t="s">
        <v>50442</v>
      </c>
      <c r="P5654" s="9" t="s">
        <v>17748</v>
      </c>
      <c r="Q5654" s="11"/>
      <c r="R5654" s="11"/>
      <c r="S5654" s="11" t="s">
        <v>17750</v>
      </c>
    </row>
    <row r="5655" spans="1:19" s="15" customFormat="1" x14ac:dyDescent="0.2">
      <c r="A5655" s="11">
        <v>101598241</v>
      </c>
      <c r="B5655" s="9" t="s">
        <v>50447</v>
      </c>
      <c r="C5655" s="9" t="s">
        <v>50448</v>
      </c>
      <c r="D5655" s="9" t="s">
        <v>50449</v>
      </c>
      <c r="E5655" s="9" t="s">
        <v>17740</v>
      </c>
      <c r="F5655" s="9"/>
      <c r="G5655" s="9" t="s">
        <v>17740</v>
      </c>
      <c r="H5655" s="11" t="s">
        <v>50450</v>
      </c>
      <c r="I5655" s="11" t="s">
        <v>17002</v>
      </c>
      <c r="J5655" s="11" t="s">
        <v>17002</v>
      </c>
      <c r="K5655" s="9" t="s">
        <v>91</v>
      </c>
      <c r="L5655" s="9" t="s">
        <v>17759</v>
      </c>
      <c r="M5655" s="9" t="s">
        <v>17769</v>
      </c>
      <c r="N5655" s="9" t="s">
        <v>17746</v>
      </c>
      <c r="O5655" s="9" t="s">
        <v>50451</v>
      </c>
      <c r="P5655" s="9" t="s">
        <v>17748</v>
      </c>
      <c r="Q5655" s="11" t="s">
        <v>18089</v>
      </c>
      <c r="R5655" s="11" t="s">
        <v>18089</v>
      </c>
      <c r="S5655" s="11" t="s">
        <v>17750</v>
      </c>
    </row>
    <row r="5656" spans="1:19" s="15" customFormat="1" x14ac:dyDescent="0.2">
      <c r="A5656" s="11">
        <v>101556804</v>
      </c>
      <c r="B5656" s="9" t="s">
        <v>50452</v>
      </c>
      <c r="C5656" s="9" t="s">
        <v>50453</v>
      </c>
      <c r="D5656" s="9" t="s">
        <v>50454</v>
      </c>
      <c r="E5656" s="9" t="s">
        <v>17748</v>
      </c>
      <c r="F5656" s="9" t="s">
        <v>50455</v>
      </c>
      <c r="G5656" s="9" t="s">
        <v>17740</v>
      </c>
      <c r="H5656" s="11" t="s">
        <v>50456</v>
      </c>
      <c r="I5656" s="11" t="s">
        <v>50457</v>
      </c>
      <c r="J5656" s="11" t="s">
        <v>50456</v>
      </c>
      <c r="K5656" s="9" t="s">
        <v>19447</v>
      </c>
      <c r="L5656" s="9" t="s">
        <v>17759</v>
      </c>
      <c r="M5656" s="9" t="s">
        <v>50458</v>
      </c>
      <c r="N5656" s="9" t="s">
        <v>17746</v>
      </c>
      <c r="O5656" s="9" t="s">
        <v>18607</v>
      </c>
      <c r="P5656" s="9" t="s">
        <v>17748</v>
      </c>
      <c r="Q5656" s="11" t="s">
        <v>17909</v>
      </c>
      <c r="R5656" s="11" t="s">
        <v>17909</v>
      </c>
      <c r="S5656" s="11" t="s">
        <v>17750</v>
      </c>
    </row>
    <row r="5657" spans="1:19" s="15" customFormat="1" x14ac:dyDescent="0.2">
      <c r="A5657" s="11">
        <v>101627166</v>
      </c>
      <c r="B5657" s="9" t="s">
        <v>50459</v>
      </c>
      <c r="C5657" s="9" t="s">
        <v>50460</v>
      </c>
      <c r="D5657" s="9" t="s">
        <v>50461</v>
      </c>
      <c r="E5657" s="9" t="s">
        <v>17748</v>
      </c>
      <c r="F5657" s="9" t="s">
        <v>50462</v>
      </c>
      <c r="G5657" s="9" t="s">
        <v>17740</v>
      </c>
      <c r="H5657" s="11" t="s">
        <v>50463</v>
      </c>
      <c r="I5657" s="11" t="s">
        <v>50464</v>
      </c>
      <c r="J5657" s="11"/>
      <c r="K5657" s="9" t="s">
        <v>1412</v>
      </c>
      <c r="L5657" s="9" t="s">
        <v>17759</v>
      </c>
      <c r="M5657" s="9"/>
      <c r="N5657" s="9" t="s">
        <v>17746</v>
      </c>
      <c r="O5657" s="9" t="s">
        <v>18882</v>
      </c>
      <c r="P5657" s="9" t="s">
        <v>17748</v>
      </c>
      <c r="Q5657" s="11" t="s">
        <v>18096</v>
      </c>
      <c r="R5657" s="11" t="s">
        <v>18096</v>
      </c>
      <c r="S5657" s="11" t="s">
        <v>17750</v>
      </c>
    </row>
    <row r="5658" spans="1:19" s="15" customFormat="1" x14ac:dyDescent="0.2">
      <c r="A5658" s="11">
        <v>101628003</v>
      </c>
      <c r="B5658" s="9" t="s">
        <v>50465</v>
      </c>
      <c r="C5658" s="9" t="s">
        <v>50466</v>
      </c>
      <c r="D5658" s="9" t="s">
        <v>50467</v>
      </c>
      <c r="E5658" s="9" t="s">
        <v>17748</v>
      </c>
      <c r="F5658" s="9" t="s">
        <v>50468</v>
      </c>
      <c r="G5658" s="9" t="s">
        <v>17740</v>
      </c>
      <c r="H5658" s="16"/>
      <c r="I5658" s="11" t="s">
        <v>50469</v>
      </c>
      <c r="J5658" s="11" t="s">
        <v>50469</v>
      </c>
      <c r="K5658" s="9" t="s">
        <v>50470</v>
      </c>
      <c r="L5658" s="9" t="s">
        <v>20446</v>
      </c>
      <c r="M5658" s="9" t="s">
        <v>18211</v>
      </c>
      <c r="N5658" s="9" t="s">
        <v>17746</v>
      </c>
      <c r="O5658" s="9" t="s">
        <v>50471</v>
      </c>
      <c r="P5658" s="9" t="s">
        <v>17748</v>
      </c>
      <c r="Q5658" s="11" t="s">
        <v>17825</v>
      </c>
      <c r="R5658" s="11" t="s">
        <v>17825</v>
      </c>
      <c r="S5658" s="11" t="s">
        <v>17750</v>
      </c>
    </row>
    <row r="5659" spans="1:19" s="15" customFormat="1" x14ac:dyDescent="0.2">
      <c r="A5659" s="11">
        <v>101482903</v>
      </c>
      <c r="B5659" s="9" t="s">
        <v>50472</v>
      </c>
      <c r="C5659" s="9" t="s">
        <v>50473</v>
      </c>
      <c r="D5659" s="9" t="s">
        <v>50474</v>
      </c>
      <c r="E5659" s="9" t="s">
        <v>17740</v>
      </c>
      <c r="F5659" s="9"/>
      <c r="G5659" s="9" t="s">
        <v>17740</v>
      </c>
      <c r="H5659" s="11" t="s">
        <v>50475</v>
      </c>
      <c r="I5659" s="11" t="s">
        <v>50476</v>
      </c>
      <c r="J5659" s="11" t="s">
        <v>50475</v>
      </c>
      <c r="K5659" s="9" t="s">
        <v>175</v>
      </c>
      <c r="L5659" s="9" t="s">
        <v>18439</v>
      </c>
      <c r="M5659" s="9" t="s">
        <v>17760</v>
      </c>
      <c r="N5659" s="9" t="s">
        <v>17746</v>
      </c>
      <c r="O5659" s="9" t="s">
        <v>50477</v>
      </c>
      <c r="P5659" s="9" t="s">
        <v>17748</v>
      </c>
      <c r="Q5659" s="11" t="s">
        <v>18370</v>
      </c>
      <c r="R5659" s="11" t="s">
        <v>18370</v>
      </c>
      <c r="S5659" s="11" t="s">
        <v>17750</v>
      </c>
    </row>
    <row r="5660" spans="1:19" s="15" customFormat="1" x14ac:dyDescent="0.2">
      <c r="A5660" s="11">
        <v>250641</v>
      </c>
      <c r="B5660" s="9" t="s">
        <v>50478</v>
      </c>
      <c r="C5660" s="9" t="s">
        <v>50479</v>
      </c>
      <c r="D5660" s="9" t="s">
        <v>50480</v>
      </c>
      <c r="E5660" s="9" t="s">
        <v>17748</v>
      </c>
      <c r="F5660" s="9" t="s">
        <v>50481</v>
      </c>
      <c r="G5660" s="9" t="s">
        <v>17740</v>
      </c>
      <c r="H5660" s="11"/>
      <c r="I5660" s="11" t="s">
        <v>2829</v>
      </c>
      <c r="J5660" s="11" t="s">
        <v>2829</v>
      </c>
      <c r="K5660" s="9" t="s">
        <v>50482</v>
      </c>
      <c r="L5660" s="9" t="s">
        <v>17759</v>
      </c>
      <c r="M5660" s="9" t="s">
        <v>17760</v>
      </c>
      <c r="N5660" s="9" t="s">
        <v>17746</v>
      </c>
      <c r="O5660" s="9" t="s">
        <v>50483</v>
      </c>
      <c r="P5660" s="9" t="s">
        <v>17748</v>
      </c>
      <c r="Q5660" s="11" t="s">
        <v>18282</v>
      </c>
      <c r="R5660" s="11" t="s">
        <v>18282</v>
      </c>
      <c r="S5660" s="11" t="s">
        <v>17750</v>
      </c>
    </row>
    <row r="5661" spans="1:19" s="15" customFormat="1" x14ac:dyDescent="0.2">
      <c r="A5661" s="11">
        <v>101517977</v>
      </c>
      <c r="B5661" s="9" t="s">
        <v>50484</v>
      </c>
      <c r="C5661" s="9" t="s">
        <v>50485</v>
      </c>
      <c r="D5661" s="9" t="s">
        <v>50486</v>
      </c>
      <c r="E5661" s="9" t="s">
        <v>17740</v>
      </c>
      <c r="F5661" s="9"/>
      <c r="G5661" s="9" t="s">
        <v>17740</v>
      </c>
      <c r="H5661" s="11" t="s">
        <v>15659</v>
      </c>
      <c r="I5661" s="11" t="s">
        <v>15658</v>
      </c>
      <c r="J5661" s="11" t="s">
        <v>15658</v>
      </c>
      <c r="K5661" s="9" t="s">
        <v>22567</v>
      </c>
      <c r="L5661" s="9" t="s">
        <v>17744</v>
      </c>
      <c r="M5661" s="9" t="s">
        <v>18065</v>
      </c>
      <c r="N5661" s="9" t="s">
        <v>17746</v>
      </c>
      <c r="O5661" s="9" t="s">
        <v>50487</v>
      </c>
      <c r="P5661" s="9" t="s">
        <v>17748</v>
      </c>
      <c r="Q5661" s="11" t="s">
        <v>17909</v>
      </c>
      <c r="R5661" s="11" t="s">
        <v>17909</v>
      </c>
      <c r="S5661" s="11" t="s">
        <v>17750</v>
      </c>
    </row>
    <row r="5662" spans="1:19" s="15" customFormat="1" x14ac:dyDescent="0.2">
      <c r="A5662" s="11">
        <v>101627692</v>
      </c>
      <c r="B5662" s="9" t="s">
        <v>50488</v>
      </c>
      <c r="C5662" s="9" t="s">
        <v>50489</v>
      </c>
      <c r="D5662" s="9" t="s">
        <v>50490</v>
      </c>
      <c r="E5662" s="9" t="s">
        <v>17748</v>
      </c>
      <c r="F5662" s="9" t="s">
        <v>50491</v>
      </c>
      <c r="G5662" s="9" t="s">
        <v>17740</v>
      </c>
      <c r="H5662" s="11" t="s">
        <v>50492</v>
      </c>
      <c r="I5662" s="11" t="s">
        <v>50493</v>
      </c>
      <c r="J5662" s="11"/>
      <c r="K5662" s="9" t="s">
        <v>22922</v>
      </c>
      <c r="L5662" s="9" t="s">
        <v>18001</v>
      </c>
      <c r="M5662" s="9" t="s">
        <v>17817</v>
      </c>
      <c r="N5662" s="9" t="s">
        <v>17746</v>
      </c>
      <c r="O5662" s="9" t="s">
        <v>50494</v>
      </c>
      <c r="P5662" s="9" t="s">
        <v>17748</v>
      </c>
      <c r="Q5662" s="11" t="s">
        <v>18096</v>
      </c>
      <c r="R5662" s="11" t="s">
        <v>18096</v>
      </c>
      <c r="S5662" s="11" t="s">
        <v>17750</v>
      </c>
    </row>
    <row r="5663" spans="1:19" s="15" customFormat="1" x14ac:dyDescent="0.2">
      <c r="A5663" s="11">
        <v>101144015</v>
      </c>
      <c r="B5663" s="9" t="s">
        <v>50495</v>
      </c>
      <c r="C5663" s="9" t="s">
        <v>50496</v>
      </c>
      <c r="D5663" s="9" t="s">
        <v>50497</v>
      </c>
      <c r="E5663" s="9" t="s">
        <v>17748</v>
      </c>
      <c r="F5663" s="9" t="s">
        <v>50498</v>
      </c>
      <c r="G5663" s="9" t="s">
        <v>17740</v>
      </c>
      <c r="H5663" s="11" t="s">
        <v>50499</v>
      </c>
      <c r="I5663" s="11" t="s">
        <v>9451</v>
      </c>
      <c r="J5663" s="11" t="s">
        <v>9451</v>
      </c>
      <c r="K5663" s="9" t="s">
        <v>49840</v>
      </c>
      <c r="L5663" s="9" t="s">
        <v>17759</v>
      </c>
      <c r="M5663" s="9"/>
      <c r="N5663" s="9" t="s">
        <v>17746</v>
      </c>
      <c r="O5663" s="9" t="s">
        <v>50500</v>
      </c>
      <c r="P5663" s="9" t="s">
        <v>17748</v>
      </c>
      <c r="Q5663" s="11" t="s">
        <v>17994</v>
      </c>
      <c r="R5663" s="11" t="s">
        <v>17994</v>
      </c>
      <c r="S5663" s="11" t="s">
        <v>17750</v>
      </c>
    </row>
    <row r="5664" spans="1:19" s="15" customFormat="1" x14ac:dyDescent="0.2">
      <c r="A5664" s="11" t="s">
        <v>50501</v>
      </c>
      <c r="B5664" s="9" t="s">
        <v>50502</v>
      </c>
      <c r="C5664" s="9" t="s">
        <v>50503</v>
      </c>
      <c r="D5664" s="9" t="s">
        <v>50504</v>
      </c>
      <c r="E5664" s="9" t="s">
        <v>17740</v>
      </c>
      <c r="F5664" s="9"/>
      <c r="G5664" s="9" t="s">
        <v>17740</v>
      </c>
      <c r="H5664" s="11" t="s">
        <v>15662</v>
      </c>
      <c r="I5664" s="11" t="s">
        <v>15661</v>
      </c>
      <c r="J5664" s="11" t="s">
        <v>15661</v>
      </c>
      <c r="K5664" s="9" t="s">
        <v>22567</v>
      </c>
      <c r="L5664" s="9" t="s">
        <v>17744</v>
      </c>
      <c r="M5664" s="9" t="s">
        <v>18065</v>
      </c>
      <c r="N5664" s="9" t="s">
        <v>17746</v>
      </c>
      <c r="O5664" s="9" t="s">
        <v>50505</v>
      </c>
      <c r="P5664" s="9" t="s">
        <v>17748</v>
      </c>
      <c r="Q5664" s="11" t="s">
        <v>17909</v>
      </c>
      <c r="R5664" s="11" t="s">
        <v>17909</v>
      </c>
      <c r="S5664" s="11" t="s">
        <v>17750</v>
      </c>
    </row>
    <row r="5665" spans="1:19" s="15" customFormat="1" x14ac:dyDescent="0.2">
      <c r="A5665" s="11">
        <v>101558279</v>
      </c>
      <c r="B5665" s="9" t="s">
        <v>50506</v>
      </c>
      <c r="C5665" s="9" t="s">
        <v>50507</v>
      </c>
      <c r="D5665" s="9" t="s">
        <v>50508</v>
      </c>
      <c r="E5665" s="9" t="s">
        <v>17740</v>
      </c>
      <c r="F5665" s="9"/>
      <c r="G5665" s="9" t="s">
        <v>17740</v>
      </c>
      <c r="H5665" s="11"/>
      <c r="I5665" s="11" t="s">
        <v>15369</v>
      </c>
      <c r="J5665" s="11"/>
      <c r="K5665" s="9" t="s">
        <v>91</v>
      </c>
      <c r="L5665" s="9" t="s">
        <v>17759</v>
      </c>
      <c r="M5665" s="9" t="s">
        <v>17760</v>
      </c>
      <c r="N5665" s="9" t="s">
        <v>17746</v>
      </c>
      <c r="O5665" s="9" t="s">
        <v>50509</v>
      </c>
      <c r="P5665" s="9" t="s">
        <v>17748</v>
      </c>
      <c r="Q5665" s="11" t="s">
        <v>17909</v>
      </c>
      <c r="R5665" s="11" t="s">
        <v>17909</v>
      </c>
      <c r="S5665" s="11" t="s">
        <v>17750</v>
      </c>
    </row>
    <row r="5666" spans="1:19" s="15" customFormat="1" x14ac:dyDescent="0.2">
      <c r="A5666" s="11" t="s">
        <v>50510</v>
      </c>
      <c r="B5666" s="9" t="s">
        <v>50511</v>
      </c>
      <c r="C5666" s="9" t="s">
        <v>50512</v>
      </c>
      <c r="D5666" s="9" t="s">
        <v>50513</v>
      </c>
      <c r="E5666" s="9" t="s">
        <v>17740</v>
      </c>
      <c r="F5666" s="9"/>
      <c r="G5666" s="9" t="s">
        <v>17740</v>
      </c>
      <c r="H5666" s="11"/>
      <c r="I5666" s="11" t="s">
        <v>50514</v>
      </c>
      <c r="J5666" s="11" t="s">
        <v>50514</v>
      </c>
      <c r="K5666" s="9" t="s">
        <v>50515</v>
      </c>
      <c r="L5666" s="9" t="s">
        <v>29064</v>
      </c>
      <c r="M5666" s="9" t="s">
        <v>18745</v>
      </c>
      <c r="N5666" s="9" t="s">
        <v>29418</v>
      </c>
      <c r="O5666" s="9" t="s">
        <v>50516</v>
      </c>
      <c r="P5666" s="9" t="s">
        <v>17748</v>
      </c>
      <c r="Q5666" s="11" t="s">
        <v>18096</v>
      </c>
      <c r="R5666" s="11" t="s">
        <v>18096</v>
      </c>
      <c r="S5666" s="11" t="s">
        <v>17750</v>
      </c>
    </row>
    <row r="5667" spans="1:19" s="15" customFormat="1" x14ac:dyDescent="0.2">
      <c r="A5667" s="11" t="s">
        <v>50517</v>
      </c>
      <c r="B5667" s="9" t="s">
        <v>50518</v>
      </c>
      <c r="C5667" s="9" t="s">
        <v>50519</v>
      </c>
      <c r="D5667" s="9" t="s">
        <v>50518</v>
      </c>
      <c r="E5667" s="9" t="s">
        <v>17740</v>
      </c>
      <c r="F5667" s="9"/>
      <c r="G5667" s="9" t="s">
        <v>17740</v>
      </c>
      <c r="H5667" s="11" t="s">
        <v>50520</v>
      </c>
      <c r="I5667" s="11" t="s">
        <v>50521</v>
      </c>
      <c r="J5667" s="11" t="s">
        <v>50521</v>
      </c>
      <c r="K5667" s="9" t="s">
        <v>6914</v>
      </c>
      <c r="L5667" s="9" t="s">
        <v>17744</v>
      </c>
      <c r="M5667" s="9" t="s">
        <v>19571</v>
      </c>
      <c r="N5667" s="9" t="s">
        <v>17746</v>
      </c>
      <c r="O5667" s="9" t="s">
        <v>50522</v>
      </c>
      <c r="P5667" s="9" t="s">
        <v>17748</v>
      </c>
      <c r="Q5667" s="11" t="s">
        <v>17984</v>
      </c>
      <c r="R5667" s="11" t="s">
        <v>17984</v>
      </c>
      <c r="S5667" s="11" t="s">
        <v>17750</v>
      </c>
    </row>
    <row r="5668" spans="1:19" s="15" customFormat="1" x14ac:dyDescent="0.2">
      <c r="A5668" s="11">
        <v>101618821</v>
      </c>
      <c r="B5668" s="9" t="s">
        <v>50523</v>
      </c>
      <c r="C5668" s="9" t="s">
        <v>50524</v>
      </c>
      <c r="D5668" s="9" t="s">
        <v>50525</v>
      </c>
      <c r="E5668" s="9" t="s">
        <v>17740</v>
      </c>
      <c r="F5668" s="9"/>
      <c r="G5668" s="9" t="s">
        <v>17740</v>
      </c>
      <c r="H5668" s="11" t="s">
        <v>50526</v>
      </c>
      <c r="I5668" s="11" t="s">
        <v>16788</v>
      </c>
      <c r="J5668" s="11"/>
      <c r="K5668" s="9" t="s">
        <v>50527</v>
      </c>
      <c r="L5668" s="9" t="s">
        <v>17744</v>
      </c>
      <c r="M5668" s="9" t="s">
        <v>17817</v>
      </c>
      <c r="N5668" s="9" t="s">
        <v>17746</v>
      </c>
      <c r="O5668" s="9" t="s">
        <v>50528</v>
      </c>
      <c r="P5668" s="9" t="s">
        <v>17748</v>
      </c>
      <c r="Q5668" s="11" t="s">
        <v>18089</v>
      </c>
      <c r="R5668" s="11" t="s">
        <v>18089</v>
      </c>
      <c r="S5668" s="11" t="s">
        <v>17750</v>
      </c>
    </row>
    <row r="5669" spans="1:19" s="15" customFormat="1" x14ac:dyDescent="0.2">
      <c r="A5669" s="11">
        <v>101627814</v>
      </c>
      <c r="B5669" s="9" t="s">
        <v>50529</v>
      </c>
      <c r="C5669" s="9" t="s">
        <v>50530</v>
      </c>
      <c r="D5669" s="9" t="s">
        <v>50531</v>
      </c>
      <c r="E5669" s="9" t="s">
        <v>17748</v>
      </c>
      <c r="F5669" s="9" t="s">
        <v>50532</v>
      </c>
      <c r="G5669" s="9" t="s">
        <v>17740</v>
      </c>
      <c r="H5669" s="11" t="s">
        <v>50533</v>
      </c>
      <c r="I5669" s="11" t="s">
        <v>50534</v>
      </c>
      <c r="J5669" s="11" t="s">
        <v>50534</v>
      </c>
      <c r="K5669" s="9" t="s">
        <v>856</v>
      </c>
      <c r="L5669" s="9" t="s">
        <v>17744</v>
      </c>
      <c r="M5669" s="9" t="s">
        <v>33495</v>
      </c>
      <c r="N5669" s="9" t="s">
        <v>17746</v>
      </c>
      <c r="O5669" s="9" t="s">
        <v>50535</v>
      </c>
      <c r="P5669" s="9" t="s">
        <v>17748</v>
      </c>
      <c r="Q5669" s="11">
        <v>2012</v>
      </c>
      <c r="R5669" s="11">
        <v>2012</v>
      </c>
      <c r="S5669" s="11" t="s">
        <v>17750</v>
      </c>
    </row>
    <row r="5670" spans="1:19" s="15" customFormat="1" x14ac:dyDescent="0.2">
      <c r="A5670" s="11">
        <v>9425219</v>
      </c>
      <c r="B5670" s="9" t="s">
        <v>50536</v>
      </c>
      <c r="C5670" s="9" t="s">
        <v>50537</v>
      </c>
      <c r="D5670" s="9" t="s">
        <v>50538</v>
      </c>
      <c r="E5670" s="9" t="s">
        <v>17740</v>
      </c>
      <c r="F5670" s="9"/>
      <c r="G5670" s="9" t="s">
        <v>17740</v>
      </c>
      <c r="H5670" s="11"/>
      <c r="I5670" s="11" t="s">
        <v>6112</v>
      </c>
      <c r="J5670" s="11" t="s">
        <v>6112</v>
      </c>
      <c r="K5670" s="9" t="s">
        <v>50539</v>
      </c>
      <c r="L5670" s="9" t="s">
        <v>17958</v>
      </c>
      <c r="M5670" s="9" t="s">
        <v>17760</v>
      </c>
      <c r="N5670" s="9" t="s">
        <v>22152</v>
      </c>
      <c r="O5670" s="9" t="s">
        <v>50540</v>
      </c>
      <c r="P5670" s="9" t="s">
        <v>17748</v>
      </c>
      <c r="Q5670" s="11" t="s">
        <v>17792</v>
      </c>
      <c r="R5670" s="11" t="s">
        <v>17792</v>
      </c>
      <c r="S5670" s="11" t="s">
        <v>17750</v>
      </c>
    </row>
  </sheetData>
  <autoFilter ref="A1:S1"/>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F5949"/>
  <sheetViews>
    <sheetView zoomScale="80" zoomScaleNormal="80" workbookViewId="0">
      <pane ySplit="1" topLeftCell="A2" activePane="bottomLeft" state="frozen"/>
      <selection pane="bottomLeft"/>
    </sheetView>
  </sheetViews>
  <sheetFormatPr defaultRowHeight="12.75" x14ac:dyDescent="0.2"/>
  <cols>
    <col min="1" max="1" width="7" style="1" customWidth="1"/>
    <col min="2" max="2" width="46.42578125" style="1" customWidth="1"/>
    <col min="3" max="3" width="6.28515625" style="5" customWidth="1"/>
    <col min="4" max="4" width="9.85546875" style="1" customWidth="1"/>
    <col min="5" max="5" width="10.42578125" style="1" customWidth="1"/>
    <col min="6" max="6" width="19.42578125" style="1" customWidth="1"/>
    <col min="7" max="7" width="38.5703125" style="1" customWidth="1"/>
    <col min="8" max="8" width="8.28515625" style="1" customWidth="1"/>
    <col min="9" max="9" width="8.7109375" style="1" customWidth="1"/>
    <col min="10" max="10" width="7.42578125" style="1" customWidth="1"/>
    <col min="11" max="11" width="7.140625" style="1" customWidth="1"/>
    <col min="12" max="14" width="9.140625" style="1"/>
    <col min="15" max="15" width="6.5703125" style="1" customWidth="1"/>
    <col min="16" max="16" width="5.7109375" style="1" customWidth="1"/>
    <col min="17" max="17" width="5.7109375" style="5" customWidth="1"/>
    <col min="18" max="18" width="10.42578125" style="1" customWidth="1"/>
    <col min="19" max="19" width="8.7109375" style="1" customWidth="1"/>
    <col min="20" max="20" width="9.7109375" style="1" customWidth="1"/>
    <col min="21" max="31" width="9.140625" style="1"/>
    <col min="32" max="32" width="28.85546875" style="17" customWidth="1"/>
  </cols>
  <sheetData>
    <row r="1" spans="1:32" s="2" customFormat="1" ht="27.75" customHeight="1" x14ac:dyDescent="0.2">
      <c r="A1" s="3" t="s">
        <v>17608</v>
      </c>
      <c r="B1" s="3" t="s">
        <v>50554</v>
      </c>
      <c r="C1" s="21" t="s">
        <v>17609</v>
      </c>
      <c r="D1" s="21" t="s">
        <v>1</v>
      </c>
      <c r="E1" s="3" t="s">
        <v>2</v>
      </c>
      <c r="F1" s="3" t="s">
        <v>17610</v>
      </c>
      <c r="G1" s="3" t="s">
        <v>17611</v>
      </c>
      <c r="H1" s="3" t="s">
        <v>17612</v>
      </c>
      <c r="I1" s="3" t="s">
        <v>17613</v>
      </c>
      <c r="J1" s="3" t="s">
        <v>17614</v>
      </c>
      <c r="K1" s="3" t="s">
        <v>17615</v>
      </c>
      <c r="L1" s="3" t="s">
        <v>17616</v>
      </c>
      <c r="M1" s="3" t="s">
        <v>17617</v>
      </c>
      <c r="N1" s="3" t="s">
        <v>17618</v>
      </c>
      <c r="O1" s="3" t="s">
        <v>17619</v>
      </c>
      <c r="P1" s="3" t="s">
        <v>17620</v>
      </c>
      <c r="Q1" s="3" t="s">
        <v>17621</v>
      </c>
      <c r="R1" s="3" t="s">
        <v>17622</v>
      </c>
      <c r="S1" s="3" t="s">
        <v>17623</v>
      </c>
      <c r="T1" s="3" t="s">
        <v>17624</v>
      </c>
      <c r="U1" s="3" t="s">
        <v>17625</v>
      </c>
      <c r="V1" s="3" t="s">
        <v>17626</v>
      </c>
      <c r="W1" s="3" t="s">
        <v>17627</v>
      </c>
      <c r="X1" s="3" t="s">
        <v>3</v>
      </c>
      <c r="Y1" s="3" t="s">
        <v>4</v>
      </c>
      <c r="Z1" s="3" t="s">
        <v>5</v>
      </c>
      <c r="AA1" s="3" t="s">
        <v>6</v>
      </c>
      <c r="AB1" s="3" t="s">
        <v>7</v>
      </c>
      <c r="AC1" s="3" t="s">
        <v>8</v>
      </c>
      <c r="AD1" s="3" t="s">
        <v>9</v>
      </c>
      <c r="AE1" s="3" t="s">
        <v>10</v>
      </c>
      <c r="AF1" s="23" t="s">
        <v>50556</v>
      </c>
    </row>
    <row r="2" spans="1:32" s="15" customFormat="1" x14ac:dyDescent="0.2">
      <c r="A2" s="1">
        <v>4</v>
      </c>
      <c r="B2" s="1" t="s">
        <v>11</v>
      </c>
      <c r="C2" s="5" t="s">
        <v>0</v>
      </c>
      <c r="D2" s="1" t="s">
        <v>12</v>
      </c>
      <c r="E2" s="1"/>
      <c r="F2" s="1" t="s">
        <v>13</v>
      </c>
      <c r="G2" s="1" t="s">
        <v>14</v>
      </c>
      <c r="H2" s="1" t="s">
        <v>15</v>
      </c>
      <c r="I2" s="1" t="s">
        <v>16</v>
      </c>
      <c r="J2" s="1">
        <v>1</v>
      </c>
      <c r="K2" s="1">
        <v>4</v>
      </c>
      <c r="L2" s="1" t="s">
        <v>17</v>
      </c>
      <c r="M2" s="1" t="s">
        <v>18</v>
      </c>
      <c r="N2" s="1" t="s">
        <v>18</v>
      </c>
      <c r="O2" s="1">
        <v>3</v>
      </c>
      <c r="P2" s="1">
        <v>5</v>
      </c>
      <c r="Q2" s="5"/>
      <c r="R2" s="1" t="s">
        <v>19</v>
      </c>
      <c r="S2" s="1" t="s">
        <v>20</v>
      </c>
      <c r="T2" s="1" t="s">
        <v>21</v>
      </c>
      <c r="U2" s="1" t="s">
        <v>22</v>
      </c>
      <c r="V2" s="1" t="s">
        <v>23</v>
      </c>
      <c r="W2" s="1" t="s">
        <v>24</v>
      </c>
      <c r="X2" s="1">
        <v>2703</v>
      </c>
      <c r="Y2" s="1" t="s">
        <v>24</v>
      </c>
      <c r="Z2" s="1" t="s">
        <v>24</v>
      </c>
      <c r="AA2" s="1" t="s">
        <v>24</v>
      </c>
      <c r="AB2" s="1" t="s">
        <v>24</v>
      </c>
      <c r="AC2" s="1" t="s">
        <v>24</v>
      </c>
      <c r="AD2" s="1" t="s">
        <v>24</v>
      </c>
      <c r="AE2" s="1" t="s">
        <v>24</v>
      </c>
      <c r="AF2" s="22"/>
    </row>
    <row r="3" spans="1:32" x14ac:dyDescent="0.2">
      <c r="A3" s="1">
        <v>9</v>
      </c>
      <c r="B3" s="1" t="s">
        <v>25</v>
      </c>
      <c r="C3" s="5" t="s">
        <v>0</v>
      </c>
      <c r="D3" s="1" t="s">
        <v>26</v>
      </c>
      <c r="E3" s="1" t="s">
        <v>27</v>
      </c>
      <c r="F3" s="1" t="s">
        <v>28</v>
      </c>
      <c r="G3" s="1" t="s">
        <v>29</v>
      </c>
      <c r="H3" s="1" t="s">
        <v>30</v>
      </c>
      <c r="I3" s="1" t="s">
        <v>16</v>
      </c>
      <c r="J3" s="1">
        <v>2</v>
      </c>
      <c r="K3" s="1">
        <v>6</v>
      </c>
      <c r="L3" s="1" t="s">
        <v>31</v>
      </c>
      <c r="M3" s="1" t="s">
        <v>18</v>
      </c>
      <c r="N3" s="1" t="s">
        <v>18</v>
      </c>
      <c r="O3" s="1">
        <v>3</v>
      </c>
      <c r="P3" s="1">
        <v>7</v>
      </c>
      <c r="Q3" s="7" t="s">
        <v>17633</v>
      </c>
      <c r="R3" s="1" t="s">
        <v>19</v>
      </c>
      <c r="S3" s="1" t="s">
        <v>20</v>
      </c>
      <c r="T3" s="1" t="s">
        <v>21</v>
      </c>
      <c r="U3" s="1" t="s">
        <v>22</v>
      </c>
      <c r="V3" s="1" t="s">
        <v>23</v>
      </c>
      <c r="W3" s="1" t="s">
        <v>24</v>
      </c>
      <c r="X3" s="1">
        <v>2703</v>
      </c>
      <c r="Y3" s="1" t="s">
        <v>24</v>
      </c>
      <c r="Z3" s="1" t="s">
        <v>24</v>
      </c>
      <c r="AA3" s="1" t="s">
        <v>24</v>
      </c>
      <c r="AB3" s="1" t="s">
        <v>24</v>
      </c>
      <c r="AC3" s="1" t="s">
        <v>24</v>
      </c>
      <c r="AD3" s="1" t="s">
        <v>24</v>
      </c>
      <c r="AE3" s="1" t="s">
        <v>24</v>
      </c>
      <c r="AF3" s="22"/>
    </row>
    <row r="4" spans="1:32" x14ac:dyDescent="0.2">
      <c r="A4" s="1">
        <v>19</v>
      </c>
      <c r="B4" s="1" t="s">
        <v>32</v>
      </c>
      <c r="C4" s="5" t="s">
        <v>0</v>
      </c>
      <c r="D4" s="1" t="s">
        <v>33</v>
      </c>
      <c r="E4" s="1" t="s">
        <v>34</v>
      </c>
      <c r="F4" s="1" t="s">
        <v>35</v>
      </c>
      <c r="G4" s="1" t="s">
        <v>36</v>
      </c>
      <c r="H4" s="1" t="s">
        <v>37</v>
      </c>
      <c r="I4" s="1" t="s">
        <v>16</v>
      </c>
      <c r="J4" s="1">
        <v>2</v>
      </c>
      <c r="K4" s="1">
        <v>6</v>
      </c>
      <c r="L4" s="1" t="s">
        <v>31</v>
      </c>
      <c r="M4" s="1" t="s">
        <v>18</v>
      </c>
      <c r="N4" s="1" t="s">
        <v>18</v>
      </c>
      <c r="O4" s="1">
        <v>3</v>
      </c>
      <c r="P4" s="1">
        <v>7</v>
      </c>
      <c r="Q4" s="7" t="s">
        <v>17633</v>
      </c>
      <c r="R4" s="1" t="s">
        <v>19</v>
      </c>
      <c r="S4" s="1" t="s">
        <v>20</v>
      </c>
      <c r="T4" s="1" t="s">
        <v>21</v>
      </c>
      <c r="U4" s="1" t="s">
        <v>22</v>
      </c>
      <c r="V4" s="1" t="s">
        <v>24</v>
      </c>
      <c r="W4" s="1" t="s">
        <v>24</v>
      </c>
      <c r="X4" s="1">
        <v>2403</v>
      </c>
      <c r="Y4" s="1">
        <v>2723</v>
      </c>
      <c r="Z4" s="1">
        <v>2729</v>
      </c>
      <c r="AA4" s="1">
        <v>2743</v>
      </c>
      <c r="AB4" s="1" t="s">
        <v>24</v>
      </c>
      <c r="AC4" s="1" t="s">
        <v>24</v>
      </c>
      <c r="AD4" s="1" t="s">
        <v>24</v>
      </c>
      <c r="AE4" s="1" t="s">
        <v>24</v>
      </c>
      <c r="AF4" s="22"/>
    </row>
    <row r="5" spans="1:32" x14ac:dyDescent="0.2">
      <c r="A5" s="1">
        <v>20</v>
      </c>
      <c r="B5" s="1" t="s">
        <v>38</v>
      </c>
      <c r="C5" s="5" t="s">
        <v>0</v>
      </c>
      <c r="D5" s="1" t="s">
        <v>39</v>
      </c>
      <c r="E5" s="1" t="s">
        <v>40</v>
      </c>
      <c r="F5" s="1" t="s">
        <v>41</v>
      </c>
      <c r="G5" s="1" t="s">
        <v>41</v>
      </c>
      <c r="H5" s="1" t="s">
        <v>30</v>
      </c>
      <c r="I5" s="1" t="s">
        <v>16</v>
      </c>
      <c r="J5" s="1">
        <v>1</v>
      </c>
      <c r="K5" s="1">
        <v>12</v>
      </c>
      <c r="L5" s="1" t="s">
        <v>42</v>
      </c>
      <c r="M5" s="1" t="s">
        <v>18</v>
      </c>
      <c r="N5" s="1" t="s">
        <v>18</v>
      </c>
      <c r="O5" s="1">
        <v>3</v>
      </c>
      <c r="P5" s="1">
        <v>6</v>
      </c>
      <c r="R5" s="1" t="s">
        <v>19</v>
      </c>
      <c r="S5" s="1" t="s">
        <v>20</v>
      </c>
      <c r="T5" s="1" t="s">
        <v>21</v>
      </c>
      <c r="U5" s="1" t="s">
        <v>22</v>
      </c>
      <c r="V5" s="1" t="s">
        <v>24</v>
      </c>
      <c r="W5" s="1" t="s">
        <v>24</v>
      </c>
      <c r="X5" s="1">
        <v>2728</v>
      </c>
      <c r="Y5" s="1">
        <v>2741</v>
      </c>
      <c r="Z5" s="1" t="s">
        <v>24</v>
      </c>
      <c r="AA5" s="1" t="s">
        <v>24</v>
      </c>
      <c r="AB5" s="1" t="s">
        <v>24</v>
      </c>
      <c r="AC5" s="1" t="s">
        <v>24</v>
      </c>
      <c r="AD5" s="1" t="s">
        <v>24</v>
      </c>
      <c r="AE5" s="1" t="s">
        <v>24</v>
      </c>
      <c r="AF5" s="22"/>
    </row>
    <row r="6" spans="1:32" x14ac:dyDescent="0.2">
      <c r="A6" s="1">
        <v>30</v>
      </c>
      <c r="B6" s="1" t="s">
        <v>43</v>
      </c>
      <c r="C6" s="5" t="s">
        <v>0</v>
      </c>
      <c r="D6" s="1" t="s">
        <v>44</v>
      </c>
      <c r="F6" s="1" t="s">
        <v>45</v>
      </c>
      <c r="G6" s="1" t="s">
        <v>45</v>
      </c>
      <c r="H6" s="1" t="s">
        <v>46</v>
      </c>
      <c r="I6" s="1" t="s">
        <v>16</v>
      </c>
      <c r="J6" s="1">
        <v>1</v>
      </c>
      <c r="K6" s="1">
        <v>12</v>
      </c>
      <c r="L6" s="1" t="s">
        <v>42</v>
      </c>
      <c r="M6" s="1" t="s">
        <v>18</v>
      </c>
      <c r="N6" s="1" t="s">
        <v>18</v>
      </c>
      <c r="O6" s="1">
        <v>3</v>
      </c>
      <c r="P6" s="1">
        <v>6</v>
      </c>
      <c r="R6" s="1" t="s">
        <v>19</v>
      </c>
      <c r="S6" s="1" t="s">
        <v>20</v>
      </c>
      <c r="T6" s="1" t="s">
        <v>21</v>
      </c>
      <c r="U6" s="1" t="s">
        <v>22</v>
      </c>
      <c r="V6" s="1" t="s">
        <v>24</v>
      </c>
      <c r="W6" s="1" t="s">
        <v>24</v>
      </c>
      <c r="X6" s="1">
        <v>2700</v>
      </c>
      <c r="Y6" s="1" t="s">
        <v>24</v>
      </c>
      <c r="Z6" s="1" t="s">
        <v>24</v>
      </c>
      <c r="AA6" s="1" t="s">
        <v>24</v>
      </c>
      <c r="AB6" s="1" t="s">
        <v>24</v>
      </c>
      <c r="AC6" s="1" t="s">
        <v>24</v>
      </c>
      <c r="AD6" s="1" t="s">
        <v>24</v>
      </c>
      <c r="AE6" s="1" t="s">
        <v>24</v>
      </c>
      <c r="AF6" s="22"/>
    </row>
    <row r="7" spans="1:32" x14ac:dyDescent="0.2">
      <c r="A7" s="1">
        <v>31</v>
      </c>
      <c r="B7" s="1" t="s">
        <v>47</v>
      </c>
      <c r="C7" s="5" t="s">
        <v>0</v>
      </c>
      <c r="D7" s="1" t="s">
        <v>48</v>
      </c>
      <c r="E7" s="1" t="s">
        <v>49</v>
      </c>
      <c r="F7" s="1" t="s">
        <v>50</v>
      </c>
      <c r="G7" s="1" t="s">
        <v>36</v>
      </c>
      <c r="H7" s="1" t="s">
        <v>51</v>
      </c>
      <c r="I7" s="1" t="s">
        <v>16</v>
      </c>
      <c r="J7" s="1">
        <v>1</v>
      </c>
      <c r="K7" s="1">
        <v>10</v>
      </c>
      <c r="L7" s="1" t="s">
        <v>31</v>
      </c>
      <c r="M7" s="1" t="s">
        <v>18</v>
      </c>
      <c r="N7" s="1" t="s">
        <v>18</v>
      </c>
      <c r="O7" s="1">
        <v>3</v>
      </c>
      <c r="P7" s="1">
        <v>7</v>
      </c>
      <c r="Q7" s="7" t="s">
        <v>17633</v>
      </c>
      <c r="R7" s="1" t="s">
        <v>19</v>
      </c>
      <c r="S7" s="1" t="s">
        <v>20</v>
      </c>
      <c r="T7" s="1" t="s">
        <v>21</v>
      </c>
      <c r="U7" s="1" t="s">
        <v>22</v>
      </c>
      <c r="V7" s="1" t="s">
        <v>23</v>
      </c>
      <c r="W7" s="1" t="s">
        <v>24</v>
      </c>
      <c r="X7" s="1">
        <v>2703</v>
      </c>
      <c r="Y7" s="1" t="s">
        <v>24</v>
      </c>
      <c r="Z7" s="1" t="s">
        <v>24</v>
      </c>
      <c r="AA7" s="1" t="s">
        <v>24</v>
      </c>
      <c r="AB7" s="1" t="s">
        <v>24</v>
      </c>
      <c r="AC7" s="1" t="s">
        <v>24</v>
      </c>
      <c r="AD7" s="1" t="s">
        <v>24</v>
      </c>
      <c r="AE7" s="1" t="s">
        <v>24</v>
      </c>
      <c r="AF7" s="22"/>
    </row>
    <row r="8" spans="1:32" x14ac:dyDescent="0.2">
      <c r="A8" s="1">
        <v>33</v>
      </c>
      <c r="B8" s="1" t="s">
        <v>52</v>
      </c>
      <c r="C8" s="5" t="s">
        <v>0</v>
      </c>
      <c r="D8" s="1" t="s">
        <v>53</v>
      </c>
      <c r="E8" s="1" t="s">
        <v>54</v>
      </c>
      <c r="F8" s="1" t="s">
        <v>55</v>
      </c>
      <c r="G8" s="1" t="s">
        <v>56</v>
      </c>
      <c r="H8" s="1" t="s">
        <v>37</v>
      </c>
      <c r="I8" s="1" t="s">
        <v>16</v>
      </c>
      <c r="J8" s="1">
        <v>1</v>
      </c>
      <c r="K8" s="1">
        <v>6</v>
      </c>
      <c r="L8" s="1" t="s">
        <v>31</v>
      </c>
      <c r="M8" s="1" t="s">
        <v>18</v>
      </c>
      <c r="N8" s="1" t="s">
        <v>18</v>
      </c>
      <c r="O8" s="1">
        <v>3</v>
      </c>
      <c r="P8" s="1">
        <v>7</v>
      </c>
      <c r="Q8" s="7" t="s">
        <v>17633</v>
      </c>
      <c r="R8" s="1" t="s">
        <v>19</v>
      </c>
      <c r="S8" s="1" t="s">
        <v>20</v>
      </c>
      <c r="T8" s="1" t="s">
        <v>21</v>
      </c>
      <c r="U8" s="1" t="s">
        <v>22</v>
      </c>
      <c r="V8" s="1" t="s">
        <v>23</v>
      </c>
      <c r="W8" s="1" t="s">
        <v>24</v>
      </c>
      <c r="X8" s="1">
        <v>1302</v>
      </c>
      <c r="Y8" s="1">
        <v>2717</v>
      </c>
      <c r="Z8" s="1" t="s">
        <v>24</v>
      </c>
      <c r="AA8" s="1" t="s">
        <v>24</v>
      </c>
      <c r="AB8" s="1" t="s">
        <v>24</v>
      </c>
      <c r="AC8" s="1" t="s">
        <v>24</v>
      </c>
      <c r="AD8" s="1" t="s">
        <v>24</v>
      </c>
      <c r="AE8" s="1" t="s">
        <v>24</v>
      </c>
      <c r="AF8" s="22"/>
    </row>
    <row r="9" spans="1:32" x14ac:dyDescent="0.2">
      <c r="A9" s="1">
        <v>57</v>
      </c>
      <c r="B9" s="1" t="s">
        <v>57</v>
      </c>
      <c r="C9" s="5" t="s">
        <v>0</v>
      </c>
      <c r="D9" s="1" t="s">
        <v>58</v>
      </c>
      <c r="E9" s="1" t="s">
        <v>59</v>
      </c>
      <c r="F9" s="1" t="s">
        <v>60</v>
      </c>
      <c r="G9" s="1" t="s">
        <v>61</v>
      </c>
      <c r="H9" s="1" t="s">
        <v>30</v>
      </c>
      <c r="I9" s="1" t="s">
        <v>16</v>
      </c>
      <c r="J9" s="1">
        <v>12</v>
      </c>
      <c r="K9" s="1">
        <v>2</v>
      </c>
      <c r="L9" s="1" t="s">
        <v>31</v>
      </c>
      <c r="M9" s="1" t="s">
        <v>18</v>
      </c>
      <c r="N9" s="1" t="s">
        <v>18</v>
      </c>
      <c r="O9" s="1">
        <v>3</v>
      </c>
      <c r="P9" s="1">
        <v>8</v>
      </c>
      <c r="Q9" s="7" t="s">
        <v>17633</v>
      </c>
      <c r="R9" s="1" t="s">
        <v>62</v>
      </c>
      <c r="S9" s="1" t="s">
        <v>63</v>
      </c>
      <c r="T9" s="1" t="s">
        <v>21</v>
      </c>
      <c r="U9" s="1" t="s">
        <v>22</v>
      </c>
      <c r="V9" s="1" t="s">
        <v>24</v>
      </c>
      <c r="W9" s="1" t="s">
        <v>64</v>
      </c>
      <c r="X9" s="1">
        <v>1303</v>
      </c>
      <c r="Y9" s="1">
        <v>1304</v>
      </c>
      <c r="Z9" s="1">
        <v>1312</v>
      </c>
      <c r="AA9" s="1" t="s">
        <v>24</v>
      </c>
      <c r="AB9" s="1" t="s">
        <v>24</v>
      </c>
      <c r="AC9" s="1" t="s">
        <v>24</v>
      </c>
      <c r="AD9" s="1" t="s">
        <v>24</v>
      </c>
      <c r="AE9" s="1" t="s">
        <v>24</v>
      </c>
      <c r="AF9" s="22"/>
    </row>
    <row r="10" spans="1:32" x14ac:dyDescent="0.2">
      <c r="A10" s="1">
        <v>59</v>
      </c>
      <c r="B10" s="1" t="s">
        <v>65</v>
      </c>
      <c r="C10" s="5" t="s">
        <v>0</v>
      </c>
      <c r="D10" s="1" t="s">
        <v>66</v>
      </c>
      <c r="E10" s="1" t="s">
        <v>67</v>
      </c>
      <c r="F10" s="1" t="s">
        <v>65</v>
      </c>
      <c r="G10" s="1" t="s">
        <v>68</v>
      </c>
      <c r="H10" s="1" t="s">
        <v>69</v>
      </c>
      <c r="I10" s="1" t="s">
        <v>16</v>
      </c>
      <c r="J10" s="1">
        <v>1</v>
      </c>
      <c r="K10" s="1">
        <v>6</v>
      </c>
      <c r="L10" s="1" t="s">
        <v>42</v>
      </c>
      <c r="M10" s="1" t="s">
        <v>70</v>
      </c>
      <c r="N10" s="1" t="s">
        <v>18</v>
      </c>
      <c r="O10" s="1">
        <v>0</v>
      </c>
      <c r="P10" s="1">
        <v>4</v>
      </c>
      <c r="R10" s="1" t="s">
        <v>19</v>
      </c>
      <c r="S10" s="1" t="s">
        <v>20</v>
      </c>
      <c r="T10" s="1" t="s">
        <v>21</v>
      </c>
      <c r="U10" s="1" t="s">
        <v>22</v>
      </c>
      <c r="V10" s="1" t="s">
        <v>24</v>
      </c>
      <c r="W10" s="1" t="s">
        <v>24</v>
      </c>
      <c r="X10" s="1">
        <v>2705</v>
      </c>
      <c r="Y10" s="1" t="s">
        <v>24</v>
      </c>
      <c r="Z10" s="1" t="s">
        <v>24</v>
      </c>
      <c r="AA10" s="1" t="s">
        <v>24</v>
      </c>
      <c r="AB10" s="1" t="s">
        <v>24</v>
      </c>
      <c r="AC10" s="1" t="s">
        <v>24</v>
      </c>
      <c r="AD10" s="1" t="s">
        <v>24</v>
      </c>
      <c r="AE10" s="1" t="s">
        <v>24</v>
      </c>
      <c r="AF10" s="22"/>
    </row>
    <row r="11" spans="1:32" x14ac:dyDescent="0.2">
      <c r="A11" s="1">
        <v>63</v>
      </c>
      <c r="B11" s="1" t="s">
        <v>71</v>
      </c>
      <c r="C11" s="5" t="s">
        <v>0</v>
      </c>
      <c r="D11" s="1" t="s">
        <v>72</v>
      </c>
      <c r="E11" s="1" t="s">
        <v>73</v>
      </c>
      <c r="F11" s="1" t="s">
        <v>74</v>
      </c>
      <c r="G11" s="1" t="s">
        <v>74</v>
      </c>
      <c r="H11" s="1" t="s">
        <v>69</v>
      </c>
      <c r="I11" s="1" t="s">
        <v>16</v>
      </c>
      <c r="J11" s="1">
        <v>1</v>
      </c>
      <c r="K11" s="1">
        <v>6</v>
      </c>
      <c r="L11" s="1" t="s">
        <v>42</v>
      </c>
      <c r="M11" s="1" t="s">
        <v>70</v>
      </c>
      <c r="N11" s="1" t="s">
        <v>75</v>
      </c>
      <c r="O11" s="1">
        <v>1</v>
      </c>
      <c r="P11" s="1">
        <v>5</v>
      </c>
      <c r="R11" s="1" t="s">
        <v>19</v>
      </c>
      <c r="S11" s="1" t="s">
        <v>20</v>
      </c>
      <c r="T11" s="1" t="s">
        <v>21</v>
      </c>
      <c r="U11" s="1" t="s">
        <v>22</v>
      </c>
      <c r="V11" s="1" t="s">
        <v>24</v>
      </c>
      <c r="W11" s="1" t="s">
        <v>24</v>
      </c>
      <c r="X11" s="1">
        <v>2708</v>
      </c>
      <c r="Y11" s="1" t="s">
        <v>24</v>
      </c>
      <c r="Z11" s="1" t="s">
        <v>24</v>
      </c>
      <c r="AA11" s="1" t="s">
        <v>24</v>
      </c>
      <c r="AB11" s="1" t="s">
        <v>24</v>
      </c>
      <c r="AC11" s="1" t="s">
        <v>24</v>
      </c>
      <c r="AD11" s="1" t="s">
        <v>24</v>
      </c>
      <c r="AE11" s="1" t="s">
        <v>24</v>
      </c>
      <c r="AF11" s="22"/>
    </row>
    <row r="12" spans="1:32" x14ac:dyDescent="0.2">
      <c r="A12" s="1">
        <v>66</v>
      </c>
      <c r="B12" s="1" t="s">
        <v>76</v>
      </c>
      <c r="C12" s="5" t="s">
        <v>0</v>
      </c>
      <c r="D12" s="1" t="s">
        <v>77</v>
      </c>
      <c r="E12" s="1" t="s">
        <v>78</v>
      </c>
      <c r="F12" s="1" t="s">
        <v>79</v>
      </c>
      <c r="G12" s="1" t="s">
        <v>80</v>
      </c>
      <c r="H12" s="1" t="s">
        <v>81</v>
      </c>
      <c r="I12" s="1" t="s">
        <v>16</v>
      </c>
      <c r="J12" s="1">
        <v>1</v>
      </c>
      <c r="K12" s="1">
        <v>4</v>
      </c>
      <c r="L12" s="1" t="s">
        <v>31</v>
      </c>
      <c r="M12" s="1" t="s">
        <v>18</v>
      </c>
      <c r="N12" s="1" t="s">
        <v>18</v>
      </c>
      <c r="O12" s="1">
        <v>3</v>
      </c>
      <c r="P12" s="1">
        <v>6</v>
      </c>
      <c r="R12" s="1" t="s">
        <v>19</v>
      </c>
      <c r="S12" s="1" t="s">
        <v>20</v>
      </c>
      <c r="T12" s="1" t="s">
        <v>21</v>
      </c>
      <c r="U12" s="1" t="s">
        <v>22</v>
      </c>
      <c r="V12" s="1" t="s">
        <v>24</v>
      </c>
      <c r="W12" s="1" t="s">
        <v>24</v>
      </c>
      <c r="X12" s="1">
        <v>1300</v>
      </c>
      <c r="Y12" s="1">
        <v>2300</v>
      </c>
      <c r="Z12" s="1">
        <v>2808</v>
      </c>
      <c r="AA12" s="1" t="s">
        <v>24</v>
      </c>
      <c r="AB12" s="1" t="s">
        <v>24</v>
      </c>
      <c r="AC12" s="1" t="s">
        <v>24</v>
      </c>
      <c r="AD12" s="1" t="s">
        <v>24</v>
      </c>
      <c r="AE12" s="1" t="s">
        <v>24</v>
      </c>
      <c r="AF12" s="22"/>
    </row>
    <row r="13" spans="1:32" x14ac:dyDescent="0.2">
      <c r="A13" s="1">
        <v>87</v>
      </c>
      <c r="B13" s="1" t="s">
        <v>82</v>
      </c>
      <c r="C13" s="5" t="s">
        <v>0</v>
      </c>
      <c r="D13" s="1" t="s">
        <v>83</v>
      </c>
      <c r="E13" s="1" t="s">
        <v>84</v>
      </c>
      <c r="F13" s="1" t="s">
        <v>85</v>
      </c>
      <c r="G13" s="1" t="s">
        <v>61</v>
      </c>
      <c r="H13" s="1" t="s">
        <v>86</v>
      </c>
      <c r="I13" s="1" t="s">
        <v>16</v>
      </c>
      <c r="J13" s="1">
        <v>1</v>
      </c>
      <c r="K13" s="1">
        <v>6</v>
      </c>
      <c r="L13" s="1" t="s">
        <v>31</v>
      </c>
      <c r="M13" s="1" t="s">
        <v>87</v>
      </c>
      <c r="N13" s="1" t="s">
        <v>18</v>
      </c>
      <c r="O13" s="1">
        <v>1</v>
      </c>
      <c r="P13" s="1">
        <v>5</v>
      </c>
      <c r="R13" s="1" t="s">
        <v>19</v>
      </c>
      <c r="S13" s="1" t="s">
        <v>20</v>
      </c>
      <c r="T13" s="1" t="s">
        <v>21</v>
      </c>
      <c r="U13" s="1" t="s">
        <v>22</v>
      </c>
      <c r="V13" s="1" t="s">
        <v>24</v>
      </c>
      <c r="W13" s="1" t="s">
        <v>24</v>
      </c>
      <c r="X13" s="1">
        <v>2705</v>
      </c>
      <c r="Y13" s="1" t="s">
        <v>24</v>
      </c>
      <c r="Z13" s="1" t="s">
        <v>24</v>
      </c>
      <c r="AA13" s="1" t="s">
        <v>24</v>
      </c>
      <c r="AB13" s="1" t="s">
        <v>24</v>
      </c>
      <c r="AC13" s="1" t="s">
        <v>24</v>
      </c>
      <c r="AD13" s="1" t="s">
        <v>24</v>
      </c>
      <c r="AE13" s="1" t="s">
        <v>24</v>
      </c>
      <c r="AF13" s="22"/>
    </row>
    <row r="14" spans="1:32" x14ac:dyDescent="0.2">
      <c r="A14" s="1">
        <v>88</v>
      </c>
      <c r="B14" s="1" t="s">
        <v>88</v>
      </c>
      <c r="C14" s="5" t="s">
        <v>0</v>
      </c>
      <c r="D14" s="1" t="s">
        <v>89</v>
      </c>
      <c r="E14" s="1" t="s">
        <v>90</v>
      </c>
      <c r="F14" s="1" t="s">
        <v>91</v>
      </c>
      <c r="G14" s="1" t="s">
        <v>61</v>
      </c>
      <c r="H14" s="1" t="s">
        <v>92</v>
      </c>
      <c r="I14" s="1" t="s">
        <v>16</v>
      </c>
      <c r="J14" s="1">
        <v>25</v>
      </c>
      <c r="K14" s="1">
        <v>2</v>
      </c>
      <c r="L14" s="1" t="s">
        <v>31</v>
      </c>
      <c r="M14" s="1" t="s">
        <v>93</v>
      </c>
      <c r="N14" s="1" t="s">
        <v>18</v>
      </c>
      <c r="O14" s="1">
        <v>3</v>
      </c>
      <c r="P14" s="1">
        <v>7</v>
      </c>
      <c r="Q14" s="7" t="s">
        <v>17633</v>
      </c>
      <c r="R14" s="1" t="s">
        <v>62</v>
      </c>
      <c r="S14" s="1" t="s">
        <v>20</v>
      </c>
      <c r="T14" s="1" t="s">
        <v>21</v>
      </c>
      <c r="U14" s="1" t="s">
        <v>22</v>
      </c>
      <c r="V14" s="1" t="s">
        <v>24</v>
      </c>
      <c r="W14" s="1" t="s">
        <v>24</v>
      </c>
      <c r="X14" s="1">
        <v>1303</v>
      </c>
      <c r="Y14" s="1">
        <v>1602</v>
      </c>
      <c r="Z14" s="1">
        <v>1607</v>
      </c>
      <c r="AA14" s="1">
        <v>2304</v>
      </c>
      <c r="AB14" s="1" t="s">
        <v>24</v>
      </c>
      <c r="AC14" s="1" t="s">
        <v>24</v>
      </c>
      <c r="AD14" s="1" t="s">
        <v>24</v>
      </c>
      <c r="AE14" s="1" t="s">
        <v>24</v>
      </c>
      <c r="AF14" s="22"/>
    </row>
    <row r="15" spans="1:32" x14ac:dyDescent="0.2">
      <c r="A15" s="1">
        <v>97</v>
      </c>
      <c r="B15" s="1" t="s">
        <v>94</v>
      </c>
      <c r="C15" s="5" t="s">
        <v>0</v>
      </c>
      <c r="D15" s="1" t="s">
        <v>95</v>
      </c>
      <c r="E15" s="1" t="s">
        <v>96</v>
      </c>
      <c r="F15" s="1" t="s">
        <v>97</v>
      </c>
      <c r="G15" s="1" t="s">
        <v>98</v>
      </c>
      <c r="H15" s="1" t="s">
        <v>37</v>
      </c>
      <c r="I15" s="1" t="s">
        <v>16</v>
      </c>
      <c r="J15" s="1">
        <v>1</v>
      </c>
      <c r="K15" s="1">
        <v>6</v>
      </c>
      <c r="L15" s="1" t="s">
        <v>31</v>
      </c>
      <c r="M15" s="1" t="s">
        <v>18</v>
      </c>
      <c r="N15" s="1" t="s">
        <v>18</v>
      </c>
      <c r="O15" s="1">
        <v>3</v>
      </c>
      <c r="P15" s="1">
        <v>7</v>
      </c>
      <c r="Q15" s="7" t="s">
        <v>17633</v>
      </c>
      <c r="R15" s="1" t="s">
        <v>19</v>
      </c>
      <c r="S15" s="1" t="s">
        <v>20</v>
      </c>
      <c r="T15" s="1" t="s">
        <v>21</v>
      </c>
      <c r="U15" s="1" t="s">
        <v>22</v>
      </c>
      <c r="V15" s="1" t="s">
        <v>24</v>
      </c>
      <c r="W15" s="1" t="s">
        <v>24</v>
      </c>
      <c r="X15" s="1">
        <v>1308</v>
      </c>
      <c r="Y15" s="1" t="s">
        <v>24</v>
      </c>
      <c r="Z15" s="1" t="s">
        <v>24</v>
      </c>
      <c r="AA15" s="1" t="s">
        <v>24</v>
      </c>
      <c r="AB15" s="1" t="s">
        <v>24</v>
      </c>
      <c r="AC15" s="1" t="s">
        <v>24</v>
      </c>
      <c r="AD15" s="1" t="s">
        <v>24</v>
      </c>
      <c r="AE15" s="1" t="s">
        <v>24</v>
      </c>
      <c r="AF15" s="22"/>
    </row>
    <row r="16" spans="1:32" x14ac:dyDescent="0.2">
      <c r="A16" s="1">
        <v>100</v>
      </c>
      <c r="B16" s="1" t="s">
        <v>99</v>
      </c>
      <c r="C16" s="5" t="s">
        <v>0</v>
      </c>
      <c r="D16" s="1" t="s">
        <v>100</v>
      </c>
      <c r="E16" s="1" t="s">
        <v>101</v>
      </c>
      <c r="F16" s="1" t="s">
        <v>99</v>
      </c>
      <c r="G16" s="1" t="s">
        <v>99</v>
      </c>
      <c r="H16" s="1" t="s">
        <v>15</v>
      </c>
      <c r="I16" s="1" t="s">
        <v>16</v>
      </c>
      <c r="J16" s="1">
        <v>1</v>
      </c>
      <c r="K16" s="1">
        <v>6</v>
      </c>
      <c r="L16" s="1" t="s">
        <v>42</v>
      </c>
      <c r="M16" s="1" t="s">
        <v>18</v>
      </c>
      <c r="N16" s="1" t="s">
        <v>18</v>
      </c>
      <c r="O16" s="1">
        <v>3</v>
      </c>
      <c r="P16" s="1">
        <v>6</v>
      </c>
      <c r="R16" s="1" t="s">
        <v>19</v>
      </c>
      <c r="S16" s="1" t="s">
        <v>20</v>
      </c>
      <c r="T16" s="1" t="s">
        <v>21</v>
      </c>
      <c r="U16" s="1" t="s">
        <v>22</v>
      </c>
      <c r="V16" s="1" t="s">
        <v>24</v>
      </c>
      <c r="W16" s="1" t="s">
        <v>24</v>
      </c>
      <c r="X16" s="1">
        <v>2705</v>
      </c>
      <c r="Y16" s="1" t="s">
        <v>24</v>
      </c>
      <c r="Z16" s="1" t="s">
        <v>24</v>
      </c>
      <c r="AA16" s="1" t="s">
        <v>24</v>
      </c>
      <c r="AB16" s="1" t="s">
        <v>24</v>
      </c>
      <c r="AC16" s="1" t="s">
        <v>24</v>
      </c>
      <c r="AD16" s="1" t="s">
        <v>24</v>
      </c>
      <c r="AE16" s="1" t="s">
        <v>24</v>
      </c>
      <c r="AF16" s="22"/>
    </row>
    <row r="17" spans="1:32" x14ac:dyDescent="0.2">
      <c r="A17" s="1">
        <v>101</v>
      </c>
      <c r="B17" s="1" t="s">
        <v>102</v>
      </c>
      <c r="C17" s="5" t="s">
        <v>0</v>
      </c>
      <c r="D17" s="1" t="s">
        <v>103</v>
      </c>
      <c r="F17" s="1" t="s">
        <v>102</v>
      </c>
      <c r="G17" s="1" t="s">
        <v>104</v>
      </c>
      <c r="H17" s="1" t="s">
        <v>15</v>
      </c>
      <c r="I17" s="1" t="s">
        <v>16</v>
      </c>
      <c r="J17" s="1">
        <v>1</v>
      </c>
      <c r="K17" s="1">
        <v>6</v>
      </c>
      <c r="L17" s="1" t="s">
        <v>31</v>
      </c>
      <c r="M17" s="1" t="s">
        <v>105</v>
      </c>
      <c r="N17" s="1" t="s">
        <v>105</v>
      </c>
      <c r="O17" s="1">
        <v>3</v>
      </c>
      <c r="P17" s="1">
        <v>5</v>
      </c>
      <c r="R17" s="1" t="s">
        <v>19</v>
      </c>
      <c r="S17" s="1" t="s">
        <v>20</v>
      </c>
      <c r="T17" s="1" t="s">
        <v>21</v>
      </c>
      <c r="U17" s="1" t="s">
        <v>22</v>
      </c>
      <c r="V17" s="1" t="s">
        <v>24</v>
      </c>
      <c r="W17" s="1" t="s">
        <v>24</v>
      </c>
      <c r="X17" s="1">
        <v>2700</v>
      </c>
      <c r="Y17" s="1" t="s">
        <v>24</v>
      </c>
      <c r="Z17" s="1" t="s">
        <v>24</v>
      </c>
      <c r="AA17" s="1" t="s">
        <v>24</v>
      </c>
      <c r="AB17" s="1" t="s">
        <v>24</v>
      </c>
      <c r="AC17" s="1" t="s">
        <v>24</v>
      </c>
      <c r="AD17" s="1" t="s">
        <v>24</v>
      </c>
      <c r="AE17" s="1" t="s">
        <v>24</v>
      </c>
      <c r="AF17" s="22" t="s">
        <v>50555</v>
      </c>
    </row>
    <row r="18" spans="1:32" x14ac:dyDescent="0.2">
      <c r="A18" s="1">
        <v>106</v>
      </c>
      <c r="B18" s="1" t="s">
        <v>106</v>
      </c>
      <c r="C18" s="5" t="s">
        <v>0</v>
      </c>
      <c r="D18" s="1" t="s">
        <v>107</v>
      </c>
      <c r="E18" s="1" t="s">
        <v>108</v>
      </c>
      <c r="F18" s="1" t="s">
        <v>109</v>
      </c>
      <c r="G18" s="1" t="s">
        <v>110</v>
      </c>
      <c r="H18" s="1" t="s">
        <v>111</v>
      </c>
      <c r="I18" s="1" t="s">
        <v>112</v>
      </c>
      <c r="J18" s="1">
        <v>0</v>
      </c>
      <c r="K18" s="1">
        <v>0</v>
      </c>
      <c r="L18" s="1" t="s">
        <v>31</v>
      </c>
      <c r="M18" s="1" t="s">
        <v>18</v>
      </c>
      <c r="N18" s="1" t="s">
        <v>18</v>
      </c>
      <c r="O18" s="1">
        <v>3</v>
      </c>
      <c r="P18" s="1">
        <v>7</v>
      </c>
      <c r="Q18" s="7" t="s">
        <v>17633</v>
      </c>
      <c r="R18" s="1" t="s">
        <v>19</v>
      </c>
      <c r="S18" s="1" t="s">
        <v>20</v>
      </c>
      <c r="T18" s="1" t="s">
        <v>21</v>
      </c>
      <c r="U18" s="1" t="s">
        <v>22</v>
      </c>
      <c r="V18" s="1" t="s">
        <v>24</v>
      </c>
      <c r="W18" s="1" t="s">
        <v>24</v>
      </c>
      <c r="X18" s="1">
        <v>2705</v>
      </c>
      <c r="Y18" s="1" t="s">
        <v>24</v>
      </c>
      <c r="Z18" s="1" t="s">
        <v>24</v>
      </c>
      <c r="AA18" s="1" t="s">
        <v>24</v>
      </c>
      <c r="AB18" s="1" t="s">
        <v>24</v>
      </c>
      <c r="AC18" s="1" t="s">
        <v>24</v>
      </c>
      <c r="AD18" s="1" t="s">
        <v>24</v>
      </c>
      <c r="AE18" s="1" t="s">
        <v>24</v>
      </c>
      <c r="AF18" s="22"/>
    </row>
    <row r="19" spans="1:32" x14ac:dyDescent="0.2">
      <c r="A19" s="1">
        <v>114</v>
      </c>
      <c r="B19" s="1" t="s">
        <v>113</v>
      </c>
      <c r="C19" s="5" t="s">
        <v>0</v>
      </c>
      <c r="D19" s="1" t="s">
        <v>114</v>
      </c>
      <c r="F19" s="1" t="s">
        <v>115</v>
      </c>
      <c r="G19" s="1" t="s">
        <v>113</v>
      </c>
      <c r="H19" s="1" t="s">
        <v>116</v>
      </c>
      <c r="I19" s="1" t="s">
        <v>16</v>
      </c>
      <c r="J19" s="1">
        <v>1</v>
      </c>
      <c r="K19" s="1">
        <v>3</v>
      </c>
      <c r="L19" s="1" t="s">
        <v>17</v>
      </c>
      <c r="M19" s="1" t="s">
        <v>117</v>
      </c>
      <c r="N19" s="1" t="s">
        <v>118</v>
      </c>
      <c r="O19" s="1">
        <v>2</v>
      </c>
      <c r="P19" s="1">
        <v>4</v>
      </c>
      <c r="R19" s="1" t="s">
        <v>19</v>
      </c>
      <c r="S19" s="1" t="s">
        <v>20</v>
      </c>
      <c r="T19" s="1" t="s">
        <v>21</v>
      </c>
      <c r="U19" s="1" t="s">
        <v>22</v>
      </c>
      <c r="V19" s="1" t="s">
        <v>24</v>
      </c>
      <c r="W19" s="1" t="s">
        <v>24</v>
      </c>
      <c r="X19" s="1">
        <v>2729</v>
      </c>
      <c r="Y19" s="1" t="s">
        <v>24</v>
      </c>
      <c r="Z19" s="1" t="s">
        <v>24</v>
      </c>
      <c r="AA19" s="1" t="s">
        <v>24</v>
      </c>
      <c r="AB19" s="1" t="s">
        <v>24</v>
      </c>
      <c r="AC19" s="1" t="s">
        <v>24</v>
      </c>
      <c r="AD19" s="1" t="s">
        <v>24</v>
      </c>
      <c r="AE19" s="1" t="s">
        <v>24</v>
      </c>
      <c r="AF19" s="22"/>
    </row>
    <row r="20" spans="1:32" x14ac:dyDescent="0.2">
      <c r="A20" s="1">
        <v>116</v>
      </c>
      <c r="B20" s="1" t="s">
        <v>119</v>
      </c>
      <c r="C20" s="5" t="s">
        <v>0</v>
      </c>
      <c r="D20" s="1" t="s">
        <v>120</v>
      </c>
      <c r="E20" s="1" t="s">
        <v>121</v>
      </c>
      <c r="F20" s="1" t="s">
        <v>109</v>
      </c>
      <c r="G20" s="1" t="s">
        <v>110</v>
      </c>
      <c r="H20" s="1" t="s">
        <v>111</v>
      </c>
      <c r="I20" s="1" t="s">
        <v>16</v>
      </c>
      <c r="J20" s="1">
        <v>2</v>
      </c>
      <c r="K20" s="1">
        <v>4</v>
      </c>
      <c r="L20" s="1" t="s">
        <v>31</v>
      </c>
      <c r="M20" s="1" t="s">
        <v>18</v>
      </c>
      <c r="N20" s="1" t="s">
        <v>18</v>
      </c>
      <c r="O20" s="1">
        <v>3</v>
      </c>
      <c r="P20" s="1">
        <v>7</v>
      </c>
      <c r="Q20" s="7" t="s">
        <v>17633</v>
      </c>
      <c r="R20" s="1" t="s">
        <v>19</v>
      </c>
      <c r="S20" s="1" t="s">
        <v>20</v>
      </c>
      <c r="T20" s="1" t="s">
        <v>21</v>
      </c>
      <c r="U20" s="1" t="s">
        <v>22</v>
      </c>
      <c r="V20" s="1" t="s">
        <v>24</v>
      </c>
      <c r="W20" s="1" t="s">
        <v>24</v>
      </c>
      <c r="X20" s="1">
        <v>2720</v>
      </c>
      <c r="Y20" s="1" t="s">
        <v>24</v>
      </c>
      <c r="Z20" s="1" t="s">
        <v>24</v>
      </c>
      <c r="AA20" s="1" t="s">
        <v>24</v>
      </c>
      <c r="AB20" s="1" t="s">
        <v>24</v>
      </c>
      <c r="AC20" s="1" t="s">
        <v>24</v>
      </c>
      <c r="AD20" s="1" t="s">
        <v>24</v>
      </c>
      <c r="AE20" s="1" t="s">
        <v>24</v>
      </c>
      <c r="AF20" s="22"/>
    </row>
    <row r="21" spans="1:32" x14ac:dyDescent="0.2">
      <c r="A21" s="1">
        <v>129</v>
      </c>
      <c r="B21" s="1" t="s">
        <v>122</v>
      </c>
      <c r="C21" s="5" t="s">
        <v>0</v>
      </c>
      <c r="D21" s="1" t="s">
        <v>123</v>
      </c>
      <c r="E21" s="1" t="s">
        <v>124</v>
      </c>
      <c r="F21" s="1" t="s">
        <v>125</v>
      </c>
      <c r="G21" s="1" t="s">
        <v>125</v>
      </c>
      <c r="H21" s="1" t="s">
        <v>30</v>
      </c>
      <c r="I21" s="1" t="s">
        <v>16</v>
      </c>
      <c r="J21" s="1">
        <v>1</v>
      </c>
      <c r="K21" s="1">
        <v>4</v>
      </c>
      <c r="L21" s="1" t="s">
        <v>42</v>
      </c>
      <c r="M21" s="1" t="s">
        <v>18</v>
      </c>
      <c r="N21" s="1" t="s">
        <v>18</v>
      </c>
      <c r="O21" s="1">
        <v>3</v>
      </c>
      <c r="P21" s="1">
        <v>7</v>
      </c>
      <c r="Q21" s="7" t="s">
        <v>17633</v>
      </c>
      <c r="R21" s="1" t="s">
        <v>19</v>
      </c>
      <c r="S21" s="1" t="s">
        <v>20</v>
      </c>
      <c r="T21" s="1" t="s">
        <v>21</v>
      </c>
      <c r="U21" s="1" t="s">
        <v>22</v>
      </c>
      <c r="V21" s="1" t="s">
        <v>23</v>
      </c>
      <c r="W21" s="1" t="s">
        <v>24</v>
      </c>
      <c r="X21" s="1">
        <v>1308</v>
      </c>
      <c r="Y21" s="1">
        <v>1312</v>
      </c>
      <c r="Z21" s="1">
        <v>2403</v>
      </c>
      <c r="AA21" s="1">
        <v>2404</v>
      </c>
      <c r="AB21" s="1">
        <v>2720</v>
      </c>
      <c r="AC21" s="1">
        <v>2723</v>
      </c>
      <c r="AD21" s="1">
        <v>2734</v>
      </c>
      <c r="AE21" s="1">
        <v>3607</v>
      </c>
      <c r="AF21" s="22"/>
    </row>
    <row r="22" spans="1:32" x14ac:dyDescent="0.2">
      <c r="A22" s="1">
        <v>138</v>
      </c>
      <c r="B22" s="1" t="s">
        <v>126</v>
      </c>
      <c r="C22" s="5" t="s">
        <v>0</v>
      </c>
      <c r="D22" s="1" t="s">
        <v>127</v>
      </c>
      <c r="E22" s="1" t="s">
        <v>128</v>
      </c>
      <c r="F22" s="1" t="s">
        <v>129</v>
      </c>
      <c r="G22" s="1" t="s">
        <v>130</v>
      </c>
      <c r="H22" s="1" t="s">
        <v>131</v>
      </c>
      <c r="I22" s="1" t="s">
        <v>16</v>
      </c>
      <c r="J22" s="1">
        <v>1</v>
      </c>
      <c r="K22" s="1">
        <v>12</v>
      </c>
      <c r="L22" s="1" t="s">
        <v>31</v>
      </c>
      <c r="M22" s="1" t="s">
        <v>18</v>
      </c>
      <c r="N22" s="1" t="s">
        <v>18</v>
      </c>
      <c r="O22" s="1">
        <v>3</v>
      </c>
      <c r="P22" s="1">
        <v>7</v>
      </c>
      <c r="Q22" s="7" t="s">
        <v>17633</v>
      </c>
      <c r="R22" s="1" t="s">
        <v>19</v>
      </c>
      <c r="S22" s="1" t="s">
        <v>20</v>
      </c>
      <c r="T22" s="1" t="s">
        <v>21</v>
      </c>
      <c r="U22" s="1" t="s">
        <v>22</v>
      </c>
      <c r="V22" s="1" t="s">
        <v>24</v>
      </c>
      <c r="W22" s="1" t="s">
        <v>24</v>
      </c>
      <c r="X22" s="1">
        <v>2728</v>
      </c>
      <c r="Y22" s="1">
        <v>2746</v>
      </c>
      <c r="Z22" s="1" t="s">
        <v>24</v>
      </c>
      <c r="AA22" s="1" t="s">
        <v>24</v>
      </c>
      <c r="AB22" s="1" t="s">
        <v>24</v>
      </c>
      <c r="AC22" s="1" t="s">
        <v>24</v>
      </c>
      <c r="AD22" s="1" t="s">
        <v>24</v>
      </c>
      <c r="AE22" s="1" t="s">
        <v>24</v>
      </c>
      <c r="AF22" s="22"/>
    </row>
    <row r="23" spans="1:32" x14ac:dyDescent="0.2">
      <c r="A23" s="1">
        <v>143</v>
      </c>
      <c r="B23" s="1" t="s">
        <v>132</v>
      </c>
      <c r="C23" s="5" t="s">
        <v>0</v>
      </c>
      <c r="D23" s="1" t="s">
        <v>133</v>
      </c>
      <c r="F23" s="1" t="s">
        <v>134</v>
      </c>
      <c r="G23" s="1" t="s">
        <v>134</v>
      </c>
      <c r="H23" s="1" t="s">
        <v>135</v>
      </c>
      <c r="I23" s="1" t="s">
        <v>16</v>
      </c>
      <c r="J23" s="1">
        <v>1</v>
      </c>
      <c r="K23" s="1">
        <v>6</v>
      </c>
      <c r="L23" s="1" t="s">
        <v>42</v>
      </c>
      <c r="M23" s="1" t="s">
        <v>136</v>
      </c>
      <c r="N23" s="1" t="s">
        <v>137</v>
      </c>
      <c r="O23" s="1">
        <v>3</v>
      </c>
      <c r="P23" s="1">
        <v>6</v>
      </c>
      <c r="R23" s="1" t="s">
        <v>19</v>
      </c>
      <c r="S23" s="1" t="s">
        <v>20</v>
      </c>
      <c r="T23" s="1" t="s">
        <v>21</v>
      </c>
      <c r="U23" s="1" t="s">
        <v>22</v>
      </c>
      <c r="V23" s="1" t="s">
        <v>23</v>
      </c>
      <c r="W23" s="1" t="s">
        <v>24</v>
      </c>
      <c r="X23" s="1">
        <v>2746</v>
      </c>
      <c r="Y23" s="1">
        <v>2732</v>
      </c>
      <c r="Z23" s="1" t="s">
        <v>24</v>
      </c>
      <c r="AA23" s="1" t="s">
        <v>24</v>
      </c>
      <c r="AB23" s="1" t="s">
        <v>24</v>
      </c>
      <c r="AC23" s="1" t="s">
        <v>24</v>
      </c>
      <c r="AD23" s="1" t="s">
        <v>24</v>
      </c>
      <c r="AE23" s="1" t="s">
        <v>24</v>
      </c>
      <c r="AF23" s="22"/>
    </row>
    <row r="24" spans="1:32" x14ac:dyDescent="0.2">
      <c r="A24" s="1">
        <v>149</v>
      </c>
      <c r="B24" s="1" t="s">
        <v>138</v>
      </c>
      <c r="C24" s="5" t="s">
        <v>0</v>
      </c>
      <c r="D24" s="1" t="s">
        <v>139</v>
      </c>
      <c r="E24" s="1" t="s">
        <v>140</v>
      </c>
      <c r="F24" s="1" t="s">
        <v>35</v>
      </c>
      <c r="G24" s="1" t="s">
        <v>36</v>
      </c>
      <c r="H24" s="1" t="s">
        <v>37</v>
      </c>
      <c r="I24" s="1" t="s">
        <v>16</v>
      </c>
      <c r="J24" s="1">
        <v>1</v>
      </c>
      <c r="K24" s="1">
        <v>12</v>
      </c>
      <c r="L24" s="1" t="s">
        <v>31</v>
      </c>
      <c r="M24" s="1" t="s">
        <v>18</v>
      </c>
      <c r="N24" s="1" t="s">
        <v>18</v>
      </c>
      <c r="O24" s="1">
        <v>3</v>
      </c>
      <c r="P24" s="1">
        <v>7</v>
      </c>
      <c r="Q24" s="7" t="s">
        <v>17633</v>
      </c>
      <c r="R24" s="1" t="s">
        <v>19</v>
      </c>
      <c r="S24" s="1" t="s">
        <v>20</v>
      </c>
      <c r="T24" s="1" t="s">
        <v>21</v>
      </c>
      <c r="U24" s="1" t="s">
        <v>22</v>
      </c>
      <c r="V24" s="1" t="s">
        <v>23</v>
      </c>
      <c r="W24" s="1" t="s">
        <v>24</v>
      </c>
      <c r="X24" s="1">
        <v>2701</v>
      </c>
      <c r="Y24" s="1">
        <v>2738</v>
      </c>
      <c r="Z24" s="1">
        <v>3005</v>
      </c>
      <c r="AA24" s="1" t="s">
        <v>24</v>
      </c>
      <c r="AB24" s="1" t="s">
        <v>24</v>
      </c>
      <c r="AC24" s="1" t="s">
        <v>24</v>
      </c>
      <c r="AD24" s="1" t="s">
        <v>24</v>
      </c>
      <c r="AE24" s="1" t="s">
        <v>24</v>
      </c>
      <c r="AF24" s="22"/>
    </row>
    <row r="25" spans="1:32" x14ac:dyDescent="0.2">
      <c r="A25" s="1">
        <v>155</v>
      </c>
      <c r="B25" s="1" t="s">
        <v>141</v>
      </c>
      <c r="C25" s="5" t="s">
        <v>0</v>
      </c>
      <c r="D25" s="1" t="s">
        <v>142</v>
      </c>
      <c r="E25" s="1" t="s">
        <v>143</v>
      </c>
      <c r="F25" s="1" t="s">
        <v>91</v>
      </c>
      <c r="G25" s="1" t="s">
        <v>61</v>
      </c>
      <c r="H25" s="1" t="s">
        <v>92</v>
      </c>
      <c r="I25" s="1" t="s">
        <v>16</v>
      </c>
      <c r="J25" s="1">
        <v>4</v>
      </c>
      <c r="K25" s="1">
        <v>3</v>
      </c>
      <c r="L25" s="1" t="s">
        <v>31</v>
      </c>
      <c r="M25" s="1" t="s">
        <v>18</v>
      </c>
      <c r="N25" s="1" t="s">
        <v>18</v>
      </c>
      <c r="O25" s="1">
        <v>3</v>
      </c>
      <c r="P25" s="1">
        <v>6</v>
      </c>
      <c r="R25" s="1" t="s">
        <v>19</v>
      </c>
      <c r="S25" s="1" t="s">
        <v>63</v>
      </c>
      <c r="T25" s="1" t="s">
        <v>21</v>
      </c>
      <c r="U25" s="1" t="s">
        <v>22</v>
      </c>
      <c r="V25" s="1" t="s">
        <v>24</v>
      </c>
      <c r="W25" s="1" t="s">
        <v>24</v>
      </c>
      <c r="X25" s="1">
        <v>2405</v>
      </c>
      <c r="Y25" s="1">
        <v>2725</v>
      </c>
      <c r="Z25" s="1" t="s">
        <v>24</v>
      </c>
      <c r="AA25" s="1" t="s">
        <v>24</v>
      </c>
      <c r="AB25" s="1" t="s">
        <v>24</v>
      </c>
      <c r="AC25" s="1" t="s">
        <v>24</v>
      </c>
      <c r="AD25" s="1" t="s">
        <v>24</v>
      </c>
      <c r="AE25" s="1" t="s">
        <v>24</v>
      </c>
      <c r="AF25" s="22"/>
    </row>
    <row r="26" spans="1:32" x14ac:dyDescent="0.2">
      <c r="A26" s="1">
        <v>160</v>
      </c>
      <c r="B26" s="1" t="s">
        <v>144</v>
      </c>
      <c r="C26" s="5" t="s">
        <v>0</v>
      </c>
      <c r="D26" s="1" t="s">
        <v>145</v>
      </c>
      <c r="F26" s="1" t="s">
        <v>146</v>
      </c>
      <c r="G26" s="1" t="s">
        <v>146</v>
      </c>
      <c r="H26" s="1" t="s">
        <v>147</v>
      </c>
      <c r="I26" s="1" t="s">
        <v>16</v>
      </c>
      <c r="J26" s="1">
        <v>0</v>
      </c>
      <c r="K26" s="1">
        <v>0</v>
      </c>
      <c r="L26" s="1" t="s">
        <v>42</v>
      </c>
      <c r="M26" s="1" t="s">
        <v>118</v>
      </c>
      <c r="N26" s="1" t="s">
        <v>118</v>
      </c>
      <c r="O26" s="1">
        <v>3</v>
      </c>
      <c r="P26" s="1">
        <v>6</v>
      </c>
      <c r="R26" s="1" t="s">
        <v>19</v>
      </c>
      <c r="S26" s="1" t="s">
        <v>20</v>
      </c>
      <c r="T26" s="1" t="s">
        <v>21</v>
      </c>
      <c r="U26" s="1" t="s">
        <v>22</v>
      </c>
      <c r="V26" s="1" t="s">
        <v>24</v>
      </c>
      <c r="W26" s="1" t="s">
        <v>24</v>
      </c>
      <c r="X26" s="1">
        <v>1100</v>
      </c>
      <c r="Y26" s="1">
        <v>1300</v>
      </c>
      <c r="Z26" s="1">
        <v>2300</v>
      </c>
      <c r="AA26" s="1" t="s">
        <v>24</v>
      </c>
      <c r="AB26" s="1" t="s">
        <v>24</v>
      </c>
      <c r="AC26" s="1" t="s">
        <v>24</v>
      </c>
      <c r="AD26" s="1" t="s">
        <v>24</v>
      </c>
      <c r="AE26" s="1" t="s">
        <v>24</v>
      </c>
      <c r="AF26" s="22"/>
    </row>
    <row r="27" spans="1:32" x14ac:dyDescent="0.2">
      <c r="A27" s="1">
        <v>163</v>
      </c>
      <c r="B27" s="1" t="s">
        <v>148</v>
      </c>
      <c r="C27" s="5" t="s">
        <v>0</v>
      </c>
      <c r="D27" s="1" t="s">
        <v>149</v>
      </c>
      <c r="F27" s="1" t="s">
        <v>109</v>
      </c>
      <c r="G27" s="1" t="s">
        <v>110</v>
      </c>
      <c r="H27" s="1" t="s">
        <v>30</v>
      </c>
      <c r="I27" s="1" t="s">
        <v>16</v>
      </c>
      <c r="J27" s="1">
        <v>1</v>
      </c>
      <c r="K27" s="1">
        <v>6</v>
      </c>
      <c r="L27" s="1" t="s">
        <v>31</v>
      </c>
      <c r="M27" s="1" t="s">
        <v>18</v>
      </c>
      <c r="N27" s="1" t="s">
        <v>18</v>
      </c>
      <c r="O27" s="1">
        <v>2</v>
      </c>
      <c r="P27" s="1">
        <v>7</v>
      </c>
      <c r="Q27" s="7" t="s">
        <v>17633</v>
      </c>
      <c r="R27" s="1" t="s">
        <v>19</v>
      </c>
      <c r="S27" s="1" t="s">
        <v>20</v>
      </c>
      <c r="T27" s="1" t="s">
        <v>21</v>
      </c>
      <c r="U27" s="1" t="s">
        <v>22</v>
      </c>
      <c r="V27" s="1" t="s">
        <v>24</v>
      </c>
      <c r="W27" s="1" t="s">
        <v>24</v>
      </c>
      <c r="X27" s="1">
        <v>2734</v>
      </c>
      <c r="Y27" s="1">
        <v>2722</v>
      </c>
      <c r="Z27" s="1" t="s">
        <v>24</v>
      </c>
      <c r="AA27" s="1" t="s">
        <v>24</v>
      </c>
      <c r="AB27" s="1" t="s">
        <v>24</v>
      </c>
      <c r="AC27" s="1" t="s">
        <v>24</v>
      </c>
      <c r="AD27" s="1" t="s">
        <v>24</v>
      </c>
      <c r="AE27" s="1" t="s">
        <v>24</v>
      </c>
      <c r="AF27" s="22" t="s">
        <v>17674</v>
      </c>
    </row>
    <row r="28" spans="1:32" x14ac:dyDescent="0.2">
      <c r="A28" s="1">
        <v>164</v>
      </c>
      <c r="B28" s="1" t="s">
        <v>150</v>
      </c>
      <c r="C28" s="5" t="s">
        <v>0</v>
      </c>
      <c r="D28" s="1" t="s">
        <v>151</v>
      </c>
      <c r="F28" s="1" t="s">
        <v>60</v>
      </c>
      <c r="G28" s="1" t="s">
        <v>61</v>
      </c>
      <c r="H28" s="1" t="s">
        <v>30</v>
      </c>
      <c r="I28" s="1" t="s">
        <v>112</v>
      </c>
      <c r="J28" s="1">
        <v>0</v>
      </c>
      <c r="K28" s="1">
        <v>0</v>
      </c>
      <c r="L28" s="1" t="s">
        <v>31</v>
      </c>
      <c r="M28" s="1" t="s">
        <v>18</v>
      </c>
      <c r="N28" s="1" t="s">
        <v>18</v>
      </c>
      <c r="O28" s="1">
        <v>3</v>
      </c>
      <c r="P28" s="1">
        <v>6</v>
      </c>
      <c r="R28" s="1" t="s">
        <v>19</v>
      </c>
      <c r="S28" s="1" t="s">
        <v>20</v>
      </c>
      <c r="T28" s="1" t="s">
        <v>21</v>
      </c>
      <c r="U28" s="1" t="s">
        <v>22</v>
      </c>
      <c r="V28" s="1" t="s">
        <v>24</v>
      </c>
      <c r="W28" s="1" t="s">
        <v>24</v>
      </c>
      <c r="X28" s="1">
        <v>2402</v>
      </c>
      <c r="Y28" s="1" t="s">
        <v>24</v>
      </c>
      <c r="Z28" s="1" t="s">
        <v>24</v>
      </c>
      <c r="AA28" s="1" t="s">
        <v>24</v>
      </c>
      <c r="AB28" s="1" t="s">
        <v>24</v>
      </c>
      <c r="AC28" s="1" t="s">
        <v>24</v>
      </c>
      <c r="AD28" s="1" t="s">
        <v>24</v>
      </c>
      <c r="AE28" s="1" t="s">
        <v>24</v>
      </c>
      <c r="AF28" s="22"/>
    </row>
    <row r="29" spans="1:32" x14ac:dyDescent="0.2">
      <c r="A29" s="1">
        <v>166</v>
      </c>
      <c r="B29" s="1" t="s">
        <v>152</v>
      </c>
      <c r="C29" s="5" t="s">
        <v>0</v>
      </c>
      <c r="D29" s="1" t="s">
        <v>153</v>
      </c>
      <c r="E29" s="1" t="s">
        <v>154</v>
      </c>
      <c r="F29" s="1" t="s">
        <v>155</v>
      </c>
      <c r="G29" s="1" t="s">
        <v>61</v>
      </c>
      <c r="H29" s="1" t="s">
        <v>37</v>
      </c>
      <c r="I29" s="1" t="s">
        <v>16</v>
      </c>
      <c r="J29" s="1">
        <v>1</v>
      </c>
      <c r="K29" s="1">
        <v>12</v>
      </c>
      <c r="L29" s="1" t="s">
        <v>31</v>
      </c>
      <c r="M29" s="1" t="s">
        <v>18</v>
      </c>
      <c r="N29" s="1" t="s">
        <v>18</v>
      </c>
      <c r="O29" s="1">
        <v>2</v>
      </c>
      <c r="P29" s="1">
        <v>5</v>
      </c>
      <c r="R29" s="1" t="s">
        <v>19</v>
      </c>
      <c r="S29" s="1" t="s">
        <v>63</v>
      </c>
      <c r="T29" s="1" t="s">
        <v>21</v>
      </c>
      <c r="U29" s="1" t="s">
        <v>22</v>
      </c>
      <c r="V29" s="1" t="s">
        <v>23</v>
      </c>
      <c r="W29" s="1" t="s">
        <v>24</v>
      </c>
      <c r="X29" s="1">
        <v>2738</v>
      </c>
      <c r="Y29" s="1">
        <v>3203</v>
      </c>
      <c r="Z29" s="1">
        <v>3005</v>
      </c>
      <c r="AA29" s="1">
        <v>2701</v>
      </c>
      <c r="AB29" s="1" t="s">
        <v>24</v>
      </c>
      <c r="AC29" s="1" t="s">
        <v>24</v>
      </c>
      <c r="AD29" s="1" t="s">
        <v>24</v>
      </c>
      <c r="AE29" s="1" t="s">
        <v>24</v>
      </c>
      <c r="AF29" s="22"/>
    </row>
    <row r="30" spans="1:32" x14ac:dyDescent="0.2">
      <c r="A30" s="1">
        <v>167</v>
      </c>
      <c r="B30" s="1" t="s">
        <v>156</v>
      </c>
      <c r="C30" s="5" t="s">
        <v>0</v>
      </c>
      <c r="D30" s="1" t="s">
        <v>157</v>
      </c>
      <c r="E30" s="1" t="s">
        <v>158</v>
      </c>
      <c r="F30" s="1" t="s">
        <v>159</v>
      </c>
      <c r="G30" s="1" t="s">
        <v>160</v>
      </c>
      <c r="H30" s="1" t="s">
        <v>37</v>
      </c>
      <c r="I30" s="1" t="s">
        <v>16</v>
      </c>
      <c r="J30" s="1">
        <v>1</v>
      </c>
      <c r="K30" s="1">
        <v>12</v>
      </c>
      <c r="L30" s="1" t="s">
        <v>42</v>
      </c>
      <c r="M30" s="1" t="s">
        <v>18</v>
      </c>
      <c r="N30" s="1" t="s">
        <v>18</v>
      </c>
      <c r="O30" s="1">
        <v>3</v>
      </c>
      <c r="P30" s="1">
        <v>7</v>
      </c>
      <c r="Q30" s="7" t="s">
        <v>17633</v>
      </c>
      <c r="R30" s="1" t="s">
        <v>19</v>
      </c>
      <c r="S30" s="1" t="s">
        <v>20</v>
      </c>
      <c r="T30" s="1" t="s">
        <v>21</v>
      </c>
      <c r="U30" s="1" t="s">
        <v>22</v>
      </c>
      <c r="V30" s="1" t="s">
        <v>23</v>
      </c>
      <c r="W30" s="1" t="s">
        <v>24</v>
      </c>
      <c r="X30" s="1">
        <v>2735</v>
      </c>
      <c r="Y30" s="1" t="s">
        <v>24</v>
      </c>
      <c r="Z30" s="1" t="s">
        <v>24</v>
      </c>
      <c r="AA30" s="1" t="s">
        <v>24</v>
      </c>
      <c r="AB30" s="1" t="s">
        <v>24</v>
      </c>
      <c r="AC30" s="1" t="s">
        <v>24</v>
      </c>
      <c r="AD30" s="1" t="s">
        <v>24</v>
      </c>
      <c r="AE30" s="1" t="s">
        <v>24</v>
      </c>
      <c r="AF30" s="22"/>
    </row>
    <row r="31" spans="1:32" x14ac:dyDescent="0.2">
      <c r="A31" s="1">
        <v>177</v>
      </c>
      <c r="B31" s="1" t="s">
        <v>161</v>
      </c>
      <c r="C31" s="5" t="s">
        <v>0</v>
      </c>
      <c r="D31" s="1" t="s">
        <v>162</v>
      </c>
      <c r="E31" s="1" t="s">
        <v>163</v>
      </c>
      <c r="F31" s="1" t="s">
        <v>60</v>
      </c>
      <c r="G31" s="1" t="s">
        <v>61</v>
      </c>
      <c r="H31" s="1" t="s">
        <v>30</v>
      </c>
      <c r="I31" s="1" t="s">
        <v>112</v>
      </c>
      <c r="J31" s="1">
        <v>0</v>
      </c>
      <c r="K31" s="1">
        <v>0</v>
      </c>
      <c r="L31" s="1" t="s">
        <v>31</v>
      </c>
      <c r="M31" s="1" t="s">
        <v>18</v>
      </c>
      <c r="N31" s="1" t="s">
        <v>18</v>
      </c>
      <c r="O31" s="1">
        <v>3</v>
      </c>
      <c r="P31" s="1">
        <v>8</v>
      </c>
      <c r="Q31" s="7" t="s">
        <v>17633</v>
      </c>
      <c r="R31" s="1" t="s">
        <v>62</v>
      </c>
      <c r="S31" s="1" t="s">
        <v>20</v>
      </c>
      <c r="T31" s="1" t="s">
        <v>21</v>
      </c>
      <c r="U31" s="1" t="s">
        <v>22</v>
      </c>
      <c r="V31" s="1" t="s">
        <v>24</v>
      </c>
      <c r="W31" s="1" t="s">
        <v>24</v>
      </c>
      <c r="X31" s="1">
        <v>2403</v>
      </c>
      <c r="Y31" s="1">
        <v>2723</v>
      </c>
      <c r="Z31" s="1" t="s">
        <v>24</v>
      </c>
      <c r="AA31" s="1" t="s">
        <v>24</v>
      </c>
      <c r="AB31" s="1" t="s">
        <v>24</v>
      </c>
      <c r="AC31" s="1" t="s">
        <v>24</v>
      </c>
      <c r="AD31" s="1" t="s">
        <v>24</v>
      </c>
      <c r="AE31" s="1" t="s">
        <v>24</v>
      </c>
      <c r="AF31" s="22"/>
    </row>
    <row r="32" spans="1:32" x14ac:dyDescent="0.2">
      <c r="A32" s="1">
        <v>179</v>
      </c>
      <c r="B32" s="1" t="s">
        <v>164</v>
      </c>
      <c r="C32" s="5" t="s">
        <v>0</v>
      </c>
      <c r="D32" s="1" t="s">
        <v>165</v>
      </c>
      <c r="E32" s="1" t="s">
        <v>166</v>
      </c>
      <c r="F32" s="1" t="s">
        <v>167</v>
      </c>
      <c r="G32" s="1" t="s">
        <v>130</v>
      </c>
      <c r="H32" s="1" t="s">
        <v>168</v>
      </c>
      <c r="I32" s="1" t="s">
        <v>16</v>
      </c>
      <c r="J32" s="1">
        <v>1</v>
      </c>
      <c r="K32" s="1">
        <v>12</v>
      </c>
      <c r="L32" s="1" t="s">
        <v>31</v>
      </c>
      <c r="M32" s="1" t="s">
        <v>18</v>
      </c>
      <c r="N32" s="1" t="s">
        <v>18</v>
      </c>
      <c r="O32" s="1">
        <v>3</v>
      </c>
      <c r="P32" s="1">
        <v>7</v>
      </c>
      <c r="Q32" s="7" t="s">
        <v>17633</v>
      </c>
      <c r="R32" s="1" t="s">
        <v>19</v>
      </c>
      <c r="S32" s="1" t="s">
        <v>20</v>
      </c>
      <c r="T32" s="1" t="s">
        <v>21</v>
      </c>
      <c r="U32" s="1" t="s">
        <v>22</v>
      </c>
      <c r="V32" s="1" t="s">
        <v>24</v>
      </c>
      <c r="W32" s="1" t="s">
        <v>24</v>
      </c>
      <c r="X32" s="1">
        <v>2708</v>
      </c>
      <c r="Y32" s="1" t="s">
        <v>24</v>
      </c>
      <c r="Z32" s="1" t="s">
        <v>24</v>
      </c>
      <c r="AA32" s="1" t="s">
        <v>24</v>
      </c>
      <c r="AB32" s="1" t="s">
        <v>24</v>
      </c>
      <c r="AC32" s="1" t="s">
        <v>24</v>
      </c>
      <c r="AD32" s="1" t="s">
        <v>24</v>
      </c>
      <c r="AE32" s="1" t="s">
        <v>24</v>
      </c>
      <c r="AF32" s="22"/>
    </row>
    <row r="33" spans="1:32" x14ac:dyDescent="0.2">
      <c r="A33" s="1">
        <v>183</v>
      </c>
      <c r="B33" s="1" t="s">
        <v>169</v>
      </c>
      <c r="C33" s="5" t="s">
        <v>0</v>
      </c>
      <c r="D33" s="1" t="s">
        <v>170</v>
      </c>
      <c r="E33" s="1" t="s">
        <v>171</v>
      </c>
      <c r="F33" s="1" t="s">
        <v>28</v>
      </c>
      <c r="G33" s="1" t="s">
        <v>29</v>
      </c>
      <c r="H33" s="1" t="s">
        <v>37</v>
      </c>
      <c r="I33" s="1" t="s">
        <v>16</v>
      </c>
      <c r="J33" s="1">
        <v>1</v>
      </c>
      <c r="K33" s="1">
        <v>6</v>
      </c>
      <c r="L33" s="1" t="s">
        <v>31</v>
      </c>
      <c r="M33" s="1" t="s">
        <v>18</v>
      </c>
      <c r="N33" s="1" t="s">
        <v>18</v>
      </c>
      <c r="O33" s="1">
        <v>0</v>
      </c>
      <c r="P33" s="1">
        <v>6</v>
      </c>
      <c r="R33" s="1" t="s">
        <v>19</v>
      </c>
      <c r="S33" s="1" t="s">
        <v>20</v>
      </c>
      <c r="T33" s="1" t="s">
        <v>21</v>
      </c>
      <c r="U33" s="1" t="s">
        <v>22</v>
      </c>
      <c r="V33" s="1" t="s">
        <v>24</v>
      </c>
      <c r="W33" s="1" t="s">
        <v>24</v>
      </c>
      <c r="X33" s="1">
        <v>3004</v>
      </c>
      <c r="Y33" s="1">
        <v>2736</v>
      </c>
      <c r="Z33" s="1" t="s">
        <v>24</v>
      </c>
      <c r="AA33" s="1" t="s">
        <v>24</v>
      </c>
      <c r="AB33" s="1" t="s">
        <v>24</v>
      </c>
      <c r="AC33" s="1" t="s">
        <v>24</v>
      </c>
      <c r="AD33" s="1" t="s">
        <v>24</v>
      </c>
      <c r="AE33" s="1" t="s">
        <v>24</v>
      </c>
      <c r="AF33" s="22"/>
    </row>
    <row r="34" spans="1:32" x14ac:dyDescent="0.2">
      <c r="A34" s="1">
        <v>187</v>
      </c>
      <c r="B34" s="1" t="s">
        <v>172</v>
      </c>
      <c r="C34" s="5" t="s">
        <v>0</v>
      </c>
      <c r="D34" s="1" t="s">
        <v>173</v>
      </c>
      <c r="E34" s="1" t="s">
        <v>174</v>
      </c>
      <c r="F34" s="1" t="s">
        <v>175</v>
      </c>
      <c r="G34" s="1" t="s">
        <v>61</v>
      </c>
      <c r="H34" s="1" t="s">
        <v>116</v>
      </c>
      <c r="I34" s="1" t="s">
        <v>16</v>
      </c>
      <c r="J34" s="1">
        <v>1</v>
      </c>
      <c r="K34" s="1">
        <v>10</v>
      </c>
      <c r="L34" s="1" t="s">
        <v>31</v>
      </c>
      <c r="M34" s="1" t="s">
        <v>117</v>
      </c>
      <c r="N34" s="1" t="s">
        <v>117</v>
      </c>
      <c r="O34" s="1">
        <v>1</v>
      </c>
      <c r="P34" s="1">
        <v>4</v>
      </c>
      <c r="R34" s="1" t="s">
        <v>19</v>
      </c>
      <c r="S34" s="1" t="s">
        <v>20</v>
      </c>
      <c r="T34" s="1" t="s">
        <v>21</v>
      </c>
      <c r="U34" s="1" t="s">
        <v>22</v>
      </c>
      <c r="V34" s="1" t="s">
        <v>24</v>
      </c>
      <c r="W34" s="1" t="s">
        <v>24</v>
      </c>
      <c r="X34" s="1">
        <v>2708</v>
      </c>
      <c r="Y34" s="1">
        <v>2734</v>
      </c>
      <c r="Z34" s="1">
        <v>2722</v>
      </c>
      <c r="AA34" s="1" t="s">
        <v>24</v>
      </c>
      <c r="AB34" s="1" t="s">
        <v>24</v>
      </c>
      <c r="AC34" s="1" t="s">
        <v>24</v>
      </c>
      <c r="AD34" s="1" t="s">
        <v>24</v>
      </c>
      <c r="AE34" s="1" t="s">
        <v>24</v>
      </c>
      <c r="AF34" s="22"/>
    </row>
    <row r="35" spans="1:32" x14ac:dyDescent="0.2">
      <c r="A35" s="1">
        <v>189</v>
      </c>
      <c r="B35" s="1" t="s">
        <v>176</v>
      </c>
      <c r="C35" s="5" t="s">
        <v>0</v>
      </c>
      <c r="D35" s="1" t="s">
        <v>177</v>
      </c>
      <c r="E35" s="1" t="s">
        <v>178</v>
      </c>
      <c r="F35" s="1" t="s">
        <v>179</v>
      </c>
      <c r="G35" s="1" t="s">
        <v>130</v>
      </c>
      <c r="H35" s="1" t="s">
        <v>30</v>
      </c>
      <c r="I35" s="1" t="s">
        <v>16</v>
      </c>
      <c r="J35" s="1">
        <v>1</v>
      </c>
      <c r="K35" s="1">
        <v>6</v>
      </c>
      <c r="L35" s="1" t="s">
        <v>31</v>
      </c>
      <c r="M35" s="1" t="s">
        <v>18</v>
      </c>
      <c r="N35" s="1" t="s">
        <v>18</v>
      </c>
      <c r="O35" s="1">
        <v>3</v>
      </c>
      <c r="P35" s="1">
        <v>5</v>
      </c>
      <c r="R35" s="1" t="s">
        <v>19</v>
      </c>
      <c r="S35" s="1" t="s">
        <v>20</v>
      </c>
      <c r="T35" s="1" t="s">
        <v>21</v>
      </c>
      <c r="U35" s="1" t="s">
        <v>22</v>
      </c>
      <c r="V35" s="1" t="s">
        <v>23</v>
      </c>
      <c r="W35" s="1" t="s">
        <v>24</v>
      </c>
      <c r="X35" s="1">
        <v>2736</v>
      </c>
      <c r="Y35" s="1">
        <v>2700</v>
      </c>
      <c r="Z35" s="1" t="s">
        <v>24</v>
      </c>
      <c r="AA35" s="1" t="s">
        <v>24</v>
      </c>
      <c r="AB35" s="1" t="s">
        <v>24</v>
      </c>
      <c r="AC35" s="1" t="s">
        <v>24</v>
      </c>
      <c r="AD35" s="1" t="s">
        <v>24</v>
      </c>
      <c r="AE35" s="1" t="s">
        <v>24</v>
      </c>
      <c r="AF35" s="22"/>
    </row>
    <row r="36" spans="1:32" x14ac:dyDescent="0.2">
      <c r="A36" s="1">
        <v>191</v>
      </c>
      <c r="B36" s="1" t="s">
        <v>180</v>
      </c>
      <c r="C36" s="5" t="s">
        <v>0</v>
      </c>
      <c r="D36" s="1" t="s">
        <v>181</v>
      </c>
      <c r="E36" s="1" t="s">
        <v>182</v>
      </c>
      <c r="F36" s="1" t="s">
        <v>183</v>
      </c>
      <c r="G36" s="1" t="s">
        <v>183</v>
      </c>
      <c r="H36" s="1" t="s">
        <v>184</v>
      </c>
      <c r="I36" s="1" t="s">
        <v>16</v>
      </c>
      <c r="J36" s="1">
        <v>1</v>
      </c>
      <c r="K36" s="1">
        <v>6</v>
      </c>
      <c r="L36" s="1" t="s">
        <v>42</v>
      </c>
      <c r="M36" s="1" t="s">
        <v>18</v>
      </c>
      <c r="N36" s="1" t="s">
        <v>18</v>
      </c>
      <c r="O36" s="1">
        <v>3</v>
      </c>
      <c r="P36" s="1">
        <v>7</v>
      </c>
      <c r="Q36" s="7" t="s">
        <v>17633</v>
      </c>
      <c r="R36" s="1" t="s">
        <v>19</v>
      </c>
      <c r="S36" s="1" t="s">
        <v>20</v>
      </c>
      <c r="T36" s="1" t="s">
        <v>21</v>
      </c>
      <c r="U36" s="1" t="s">
        <v>22</v>
      </c>
      <c r="V36" s="1" t="s">
        <v>24</v>
      </c>
      <c r="W36" s="1" t="s">
        <v>24</v>
      </c>
      <c r="X36" s="1">
        <v>2708</v>
      </c>
      <c r="Y36" s="1" t="s">
        <v>24</v>
      </c>
      <c r="Z36" s="1" t="s">
        <v>24</v>
      </c>
      <c r="AA36" s="1" t="s">
        <v>24</v>
      </c>
      <c r="AB36" s="1" t="s">
        <v>24</v>
      </c>
      <c r="AC36" s="1" t="s">
        <v>24</v>
      </c>
      <c r="AD36" s="1" t="s">
        <v>24</v>
      </c>
      <c r="AE36" s="1" t="s">
        <v>24</v>
      </c>
      <c r="AF36" s="22"/>
    </row>
    <row r="37" spans="1:32" x14ac:dyDescent="0.2">
      <c r="A37" s="1">
        <v>192</v>
      </c>
      <c r="B37" s="1" t="s">
        <v>185</v>
      </c>
      <c r="C37" s="5" t="s">
        <v>0</v>
      </c>
      <c r="D37" s="1" t="s">
        <v>186</v>
      </c>
      <c r="F37" s="1" t="s">
        <v>85</v>
      </c>
      <c r="G37" s="1" t="s">
        <v>61</v>
      </c>
      <c r="H37" s="1" t="s">
        <v>86</v>
      </c>
      <c r="I37" s="1" t="s">
        <v>16</v>
      </c>
      <c r="J37" s="1">
        <v>1</v>
      </c>
      <c r="K37" s="1">
        <v>12</v>
      </c>
      <c r="L37" s="1" t="s">
        <v>31</v>
      </c>
      <c r="M37" s="1" t="s">
        <v>87</v>
      </c>
      <c r="N37" s="1" t="s">
        <v>105</v>
      </c>
      <c r="O37" s="1">
        <v>2</v>
      </c>
      <c r="P37" s="1">
        <v>6</v>
      </c>
      <c r="R37" s="1" t="s">
        <v>19</v>
      </c>
      <c r="S37" s="1" t="s">
        <v>20</v>
      </c>
      <c r="T37" s="1" t="s">
        <v>21</v>
      </c>
      <c r="U37" s="1" t="s">
        <v>22</v>
      </c>
      <c r="V37" s="1" t="s">
        <v>24</v>
      </c>
      <c r="W37" s="1" t="s">
        <v>24</v>
      </c>
      <c r="X37" s="1">
        <v>2708</v>
      </c>
      <c r="Y37" s="1" t="s">
        <v>24</v>
      </c>
      <c r="Z37" s="1" t="s">
        <v>24</v>
      </c>
      <c r="AA37" s="1" t="s">
        <v>24</v>
      </c>
      <c r="AB37" s="1" t="s">
        <v>24</v>
      </c>
      <c r="AC37" s="1" t="s">
        <v>24</v>
      </c>
      <c r="AD37" s="1" t="s">
        <v>24</v>
      </c>
      <c r="AE37" s="1" t="s">
        <v>24</v>
      </c>
      <c r="AF37" s="22"/>
    </row>
    <row r="38" spans="1:32" x14ac:dyDescent="0.2">
      <c r="A38" s="1">
        <v>196</v>
      </c>
      <c r="B38" s="1" t="s">
        <v>187</v>
      </c>
      <c r="C38" s="5" t="s">
        <v>0</v>
      </c>
      <c r="D38" s="1" t="s">
        <v>188</v>
      </c>
      <c r="E38" s="1" t="s">
        <v>189</v>
      </c>
      <c r="F38" s="1" t="s">
        <v>190</v>
      </c>
      <c r="G38" s="1" t="s">
        <v>130</v>
      </c>
      <c r="H38" s="1" t="s">
        <v>30</v>
      </c>
      <c r="I38" s="1" t="s">
        <v>16</v>
      </c>
      <c r="J38" s="1">
        <v>2</v>
      </c>
      <c r="K38" s="1">
        <v>4</v>
      </c>
      <c r="L38" s="1" t="s">
        <v>31</v>
      </c>
      <c r="M38" s="1" t="s">
        <v>18</v>
      </c>
      <c r="N38" s="1" t="s">
        <v>18</v>
      </c>
      <c r="O38" s="1">
        <v>3</v>
      </c>
      <c r="P38" s="1">
        <v>7</v>
      </c>
      <c r="Q38" s="7" t="s">
        <v>17633</v>
      </c>
      <c r="R38" s="1" t="s">
        <v>19</v>
      </c>
      <c r="S38" s="1" t="s">
        <v>20</v>
      </c>
      <c r="T38" s="1" t="s">
        <v>21</v>
      </c>
      <c r="U38" s="1" t="s">
        <v>22</v>
      </c>
      <c r="V38" s="1" t="s">
        <v>24</v>
      </c>
      <c r="W38" s="1" t="s">
        <v>24</v>
      </c>
      <c r="X38" s="1">
        <v>2307</v>
      </c>
      <c r="Y38" s="1">
        <v>2310</v>
      </c>
      <c r="Z38" s="1">
        <v>3005</v>
      </c>
      <c r="AA38" s="1" t="s">
        <v>24</v>
      </c>
      <c r="AB38" s="1" t="s">
        <v>24</v>
      </c>
      <c r="AC38" s="1" t="s">
        <v>24</v>
      </c>
      <c r="AD38" s="1" t="s">
        <v>24</v>
      </c>
      <c r="AE38" s="1" t="s">
        <v>24</v>
      </c>
      <c r="AF38" s="22"/>
    </row>
    <row r="39" spans="1:32" x14ac:dyDescent="0.2">
      <c r="A39" s="1">
        <v>208</v>
      </c>
      <c r="B39" s="1" t="s">
        <v>191</v>
      </c>
      <c r="C39" s="5" t="s">
        <v>0</v>
      </c>
      <c r="D39" s="1" t="s">
        <v>192</v>
      </c>
      <c r="E39" s="1" t="s">
        <v>193</v>
      </c>
      <c r="F39" s="1" t="s">
        <v>194</v>
      </c>
      <c r="G39" s="1" t="s">
        <v>61</v>
      </c>
      <c r="H39" s="1" t="s">
        <v>30</v>
      </c>
      <c r="I39" s="1" t="s">
        <v>16</v>
      </c>
      <c r="J39" s="1">
        <v>2</v>
      </c>
      <c r="K39" s="1">
        <v>6</v>
      </c>
      <c r="L39" s="1" t="s">
        <v>31</v>
      </c>
      <c r="M39" s="1" t="s">
        <v>18</v>
      </c>
      <c r="N39" s="1" t="s">
        <v>18</v>
      </c>
      <c r="O39" s="1">
        <v>3</v>
      </c>
      <c r="P39" s="1">
        <v>7</v>
      </c>
      <c r="Q39" s="7" t="s">
        <v>17633</v>
      </c>
      <c r="R39" s="1" t="s">
        <v>62</v>
      </c>
      <c r="S39" s="1" t="s">
        <v>20</v>
      </c>
      <c r="T39" s="1" t="s">
        <v>21</v>
      </c>
      <c r="U39" s="1" t="s">
        <v>22</v>
      </c>
      <c r="V39" s="1" t="s">
        <v>23</v>
      </c>
      <c r="W39" s="1" t="s">
        <v>24</v>
      </c>
      <c r="X39" s="1">
        <v>2711</v>
      </c>
      <c r="Y39" s="1" t="s">
        <v>24</v>
      </c>
      <c r="Z39" s="1" t="s">
        <v>24</v>
      </c>
      <c r="AA39" s="1" t="s">
        <v>24</v>
      </c>
      <c r="AB39" s="1" t="s">
        <v>24</v>
      </c>
      <c r="AC39" s="1" t="s">
        <v>24</v>
      </c>
      <c r="AD39" s="1" t="s">
        <v>24</v>
      </c>
      <c r="AE39" s="1" t="s">
        <v>24</v>
      </c>
      <c r="AF39" s="22"/>
    </row>
    <row r="40" spans="1:32" x14ac:dyDescent="0.2">
      <c r="A40" s="1">
        <v>215</v>
      </c>
      <c r="B40" s="1" t="s">
        <v>195</v>
      </c>
      <c r="C40" s="5" t="s">
        <v>0</v>
      </c>
      <c r="D40" s="1" t="s">
        <v>196</v>
      </c>
      <c r="E40" s="1" t="s">
        <v>197</v>
      </c>
      <c r="F40" s="1" t="s">
        <v>198</v>
      </c>
      <c r="G40" s="1" t="s">
        <v>130</v>
      </c>
      <c r="H40" s="1" t="s">
        <v>86</v>
      </c>
      <c r="I40" s="1" t="s">
        <v>16</v>
      </c>
      <c r="J40" s="1">
        <v>1</v>
      </c>
      <c r="K40" s="1">
        <v>5</v>
      </c>
      <c r="L40" s="1" t="s">
        <v>31</v>
      </c>
      <c r="M40" s="1" t="s">
        <v>199</v>
      </c>
      <c r="N40" s="1" t="s">
        <v>199</v>
      </c>
      <c r="O40" s="1">
        <v>1</v>
      </c>
      <c r="P40" s="1">
        <v>6</v>
      </c>
      <c r="R40" s="1" t="s">
        <v>19</v>
      </c>
      <c r="S40" s="1" t="s">
        <v>20</v>
      </c>
      <c r="T40" s="1" t="s">
        <v>21</v>
      </c>
      <c r="U40" s="1" t="s">
        <v>22</v>
      </c>
      <c r="V40" s="1" t="s">
        <v>23</v>
      </c>
      <c r="W40" s="1" t="s">
        <v>24</v>
      </c>
      <c r="X40" s="1">
        <v>2741</v>
      </c>
      <c r="Y40" s="1" t="s">
        <v>24</v>
      </c>
      <c r="Z40" s="1" t="s">
        <v>24</v>
      </c>
      <c r="AA40" s="1" t="s">
        <v>24</v>
      </c>
      <c r="AB40" s="1" t="s">
        <v>24</v>
      </c>
      <c r="AC40" s="1" t="s">
        <v>24</v>
      </c>
      <c r="AD40" s="1" t="s">
        <v>24</v>
      </c>
      <c r="AE40" s="1" t="s">
        <v>24</v>
      </c>
      <c r="AF40" s="22"/>
    </row>
    <row r="41" spans="1:32" x14ac:dyDescent="0.2">
      <c r="A41" s="1">
        <v>222</v>
      </c>
      <c r="B41" s="1" t="s">
        <v>200</v>
      </c>
      <c r="C41" s="5" t="s">
        <v>0</v>
      </c>
      <c r="D41" s="1" t="s">
        <v>201</v>
      </c>
      <c r="E41" s="1" t="s">
        <v>202</v>
      </c>
      <c r="F41" s="1" t="s">
        <v>155</v>
      </c>
      <c r="G41" s="1" t="s">
        <v>61</v>
      </c>
      <c r="H41" s="1" t="s">
        <v>37</v>
      </c>
      <c r="I41" s="1" t="s">
        <v>16</v>
      </c>
      <c r="J41" s="1">
        <v>1</v>
      </c>
      <c r="K41" s="1">
        <v>6</v>
      </c>
      <c r="L41" s="1" t="s">
        <v>31</v>
      </c>
      <c r="M41" s="1" t="s">
        <v>18</v>
      </c>
      <c r="N41" s="1" t="s">
        <v>18</v>
      </c>
      <c r="O41" s="1">
        <v>3</v>
      </c>
      <c r="P41" s="1">
        <v>6</v>
      </c>
      <c r="R41" s="1" t="s">
        <v>19</v>
      </c>
      <c r="S41" s="1" t="s">
        <v>20</v>
      </c>
      <c r="T41" s="1" t="s">
        <v>21</v>
      </c>
      <c r="U41" s="1" t="s">
        <v>22</v>
      </c>
      <c r="V41" s="1" t="s">
        <v>23</v>
      </c>
      <c r="W41" s="1" t="s">
        <v>24</v>
      </c>
      <c r="X41" s="1">
        <v>3307</v>
      </c>
      <c r="Y41" s="1">
        <v>3612</v>
      </c>
      <c r="Z41" s="1" t="s">
        <v>24</v>
      </c>
      <c r="AA41" s="1" t="s">
        <v>24</v>
      </c>
      <c r="AB41" s="1" t="s">
        <v>24</v>
      </c>
      <c r="AC41" s="1" t="s">
        <v>24</v>
      </c>
      <c r="AD41" s="1" t="s">
        <v>24</v>
      </c>
      <c r="AE41" s="1" t="s">
        <v>24</v>
      </c>
      <c r="AF41" s="22"/>
    </row>
    <row r="42" spans="1:32" x14ac:dyDescent="0.2">
      <c r="A42" s="1">
        <v>234</v>
      </c>
      <c r="B42" s="1" t="s">
        <v>203</v>
      </c>
      <c r="C42" s="5" t="s">
        <v>0</v>
      </c>
      <c r="D42" s="1" t="s">
        <v>204</v>
      </c>
      <c r="E42" s="1" t="s">
        <v>205</v>
      </c>
      <c r="F42" s="1" t="s">
        <v>85</v>
      </c>
      <c r="G42" s="1" t="s">
        <v>61</v>
      </c>
      <c r="H42" s="1" t="s">
        <v>86</v>
      </c>
      <c r="I42" s="1" t="s">
        <v>16</v>
      </c>
      <c r="J42" s="1">
        <v>1</v>
      </c>
      <c r="K42" s="1">
        <v>10</v>
      </c>
      <c r="L42" s="1" t="s">
        <v>31</v>
      </c>
      <c r="M42" s="1" t="s">
        <v>87</v>
      </c>
      <c r="N42" s="1" t="s">
        <v>105</v>
      </c>
      <c r="O42" s="1">
        <v>3</v>
      </c>
      <c r="P42" s="1">
        <v>5</v>
      </c>
      <c r="R42" s="1" t="s">
        <v>19</v>
      </c>
      <c r="S42" s="1" t="s">
        <v>20</v>
      </c>
      <c r="T42" s="1" t="s">
        <v>21</v>
      </c>
      <c r="U42" s="1" t="s">
        <v>22</v>
      </c>
      <c r="V42" s="1" t="s">
        <v>23</v>
      </c>
      <c r="W42" s="1" t="s">
        <v>24</v>
      </c>
      <c r="X42" s="1">
        <v>2703</v>
      </c>
      <c r="Y42" s="1" t="s">
        <v>24</v>
      </c>
      <c r="Z42" s="1" t="s">
        <v>24</v>
      </c>
      <c r="AA42" s="1" t="s">
        <v>24</v>
      </c>
      <c r="AB42" s="1" t="s">
        <v>24</v>
      </c>
      <c r="AC42" s="1" t="s">
        <v>24</v>
      </c>
      <c r="AD42" s="1" t="s">
        <v>24</v>
      </c>
      <c r="AE42" s="1" t="s">
        <v>24</v>
      </c>
      <c r="AF42" s="22"/>
    </row>
    <row r="43" spans="1:32" x14ac:dyDescent="0.2">
      <c r="A43" s="1">
        <v>250</v>
      </c>
      <c r="B43" s="1" t="s">
        <v>206</v>
      </c>
      <c r="C43" s="5" t="s">
        <v>0</v>
      </c>
      <c r="D43" s="1" t="s">
        <v>207</v>
      </c>
      <c r="E43" s="1" t="s">
        <v>208</v>
      </c>
      <c r="F43" s="1" t="s">
        <v>209</v>
      </c>
      <c r="G43" s="1" t="s">
        <v>209</v>
      </c>
      <c r="H43" s="1" t="s">
        <v>30</v>
      </c>
      <c r="I43" s="1" t="s">
        <v>16</v>
      </c>
      <c r="J43" s="1">
        <v>2</v>
      </c>
      <c r="K43" s="1">
        <v>12</v>
      </c>
      <c r="L43" s="1" t="s">
        <v>42</v>
      </c>
      <c r="M43" s="1" t="s">
        <v>18</v>
      </c>
      <c r="N43" s="1" t="s">
        <v>18</v>
      </c>
      <c r="O43" s="1">
        <v>3</v>
      </c>
      <c r="P43" s="1">
        <v>6</v>
      </c>
      <c r="R43" s="1" t="s">
        <v>19</v>
      </c>
      <c r="S43" s="1" t="s">
        <v>20</v>
      </c>
      <c r="T43" s="1" t="s">
        <v>21</v>
      </c>
      <c r="U43" s="1" t="s">
        <v>22</v>
      </c>
      <c r="V43" s="1" t="s">
        <v>23</v>
      </c>
      <c r="W43" s="1" t="s">
        <v>24</v>
      </c>
      <c r="X43" s="1">
        <v>2714</v>
      </c>
      <c r="Y43" s="1" t="s">
        <v>24</v>
      </c>
      <c r="Z43" s="1" t="s">
        <v>24</v>
      </c>
      <c r="AA43" s="1" t="s">
        <v>24</v>
      </c>
      <c r="AB43" s="1" t="s">
        <v>24</v>
      </c>
      <c r="AC43" s="1" t="s">
        <v>24</v>
      </c>
      <c r="AD43" s="1" t="s">
        <v>24</v>
      </c>
      <c r="AE43" s="1" t="s">
        <v>24</v>
      </c>
      <c r="AF43" s="22"/>
    </row>
    <row r="44" spans="1:32" x14ac:dyDescent="0.2">
      <c r="A44" s="1">
        <v>264</v>
      </c>
      <c r="B44" s="1" t="s">
        <v>210</v>
      </c>
      <c r="C44" s="5" t="s">
        <v>0</v>
      </c>
      <c r="D44" s="1" t="s">
        <v>211</v>
      </c>
      <c r="F44" s="1" t="s">
        <v>212</v>
      </c>
      <c r="G44" s="1" t="s">
        <v>213</v>
      </c>
      <c r="H44" s="1" t="s">
        <v>15</v>
      </c>
      <c r="I44" s="1" t="s">
        <v>16</v>
      </c>
      <c r="J44" s="1">
        <v>1</v>
      </c>
      <c r="K44" s="1">
        <v>4</v>
      </c>
      <c r="L44" s="1" t="s">
        <v>31</v>
      </c>
      <c r="M44" s="1" t="s">
        <v>199</v>
      </c>
      <c r="N44" s="1" t="s">
        <v>18</v>
      </c>
      <c r="O44" s="1">
        <v>2</v>
      </c>
      <c r="P44" s="1">
        <v>5</v>
      </c>
      <c r="R44" s="1" t="s">
        <v>19</v>
      </c>
      <c r="S44" s="1" t="s">
        <v>20</v>
      </c>
      <c r="T44" s="1" t="s">
        <v>21</v>
      </c>
      <c r="U44" s="1" t="s">
        <v>22</v>
      </c>
      <c r="V44" s="1" t="s">
        <v>24</v>
      </c>
      <c r="W44" s="1" t="s">
        <v>24</v>
      </c>
      <c r="X44" s="1">
        <v>2715</v>
      </c>
      <c r="Y44" s="1" t="s">
        <v>24</v>
      </c>
      <c r="Z44" s="1" t="s">
        <v>24</v>
      </c>
      <c r="AA44" s="1" t="s">
        <v>24</v>
      </c>
      <c r="AB44" s="1" t="s">
        <v>24</v>
      </c>
      <c r="AC44" s="1" t="s">
        <v>24</v>
      </c>
      <c r="AD44" s="1" t="s">
        <v>24</v>
      </c>
      <c r="AE44" s="1" t="s">
        <v>24</v>
      </c>
      <c r="AF44" s="22"/>
    </row>
    <row r="45" spans="1:32" x14ac:dyDescent="0.2">
      <c r="A45" s="1">
        <v>265</v>
      </c>
      <c r="B45" s="1" t="s">
        <v>214</v>
      </c>
      <c r="C45" s="5" t="s">
        <v>0</v>
      </c>
      <c r="D45" s="1" t="s">
        <v>215</v>
      </c>
      <c r="E45" s="1" t="s">
        <v>216</v>
      </c>
      <c r="F45" s="1" t="s">
        <v>217</v>
      </c>
      <c r="G45" s="1" t="s">
        <v>130</v>
      </c>
      <c r="H45" s="1" t="s">
        <v>92</v>
      </c>
      <c r="I45" s="1" t="s">
        <v>16</v>
      </c>
      <c r="J45" s="1">
        <v>1</v>
      </c>
      <c r="K45" s="1">
        <v>4</v>
      </c>
      <c r="L45" s="1" t="s">
        <v>31</v>
      </c>
      <c r="M45" s="1" t="s">
        <v>18</v>
      </c>
      <c r="N45" s="1" t="s">
        <v>18</v>
      </c>
      <c r="O45" s="1">
        <v>3</v>
      </c>
      <c r="P45" s="1">
        <v>6</v>
      </c>
      <c r="R45" s="1" t="s">
        <v>19</v>
      </c>
      <c r="S45" s="1" t="s">
        <v>20</v>
      </c>
      <c r="T45" s="1" t="s">
        <v>21</v>
      </c>
      <c r="U45" s="1" t="s">
        <v>22</v>
      </c>
      <c r="V45" s="1" t="s">
        <v>23</v>
      </c>
      <c r="W45" s="1" t="s">
        <v>24</v>
      </c>
      <c r="X45" s="1">
        <v>1302</v>
      </c>
      <c r="Y45" s="1">
        <v>2717</v>
      </c>
      <c r="Z45" s="1" t="s">
        <v>24</v>
      </c>
      <c r="AA45" s="1" t="s">
        <v>24</v>
      </c>
      <c r="AB45" s="1" t="s">
        <v>24</v>
      </c>
      <c r="AC45" s="1" t="s">
        <v>24</v>
      </c>
      <c r="AD45" s="1" t="s">
        <v>24</v>
      </c>
      <c r="AE45" s="1" t="s">
        <v>24</v>
      </c>
      <c r="AF45" s="22"/>
    </row>
    <row r="46" spans="1:32" x14ac:dyDescent="0.2">
      <c r="A46" s="1">
        <v>272</v>
      </c>
      <c r="B46" s="1" t="s">
        <v>218</v>
      </c>
      <c r="C46" s="5" t="s">
        <v>0</v>
      </c>
      <c r="D46" s="1" t="s">
        <v>219</v>
      </c>
      <c r="E46" s="1" t="s">
        <v>220</v>
      </c>
      <c r="F46" s="1" t="s">
        <v>221</v>
      </c>
      <c r="G46" s="1" t="s">
        <v>61</v>
      </c>
      <c r="H46" s="1" t="s">
        <v>222</v>
      </c>
      <c r="I46" s="1" t="s">
        <v>16</v>
      </c>
      <c r="J46" s="1">
        <v>2</v>
      </c>
      <c r="K46" s="1">
        <v>3</v>
      </c>
      <c r="L46" s="1" t="s">
        <v>31</v>
      </c>
      <c r="M46" s="1" t="s">
        <v>18</v>
      </c>
      <c r="N46" s="1" t="s">
        <v>18</v>
      </c>
      <c r="O46" s="1">
        <v>3</v>
      </c>
      <c r="P46" s="1">
        <v>7</v>
      </c>
      <c r="Q46" s="7" t="s">
        <v>17633</v>
      </c>
      <c r="R46" s="1" t="s">
        <v>19</v>
      </c>
      <c r="S46" s="1" t="s">
        <v>20</v>
      </c>
      <c r="T46" s="1" t="s">
        <v>21</v>
      </c>
      <c r="U46" s="1" t="s">
        <v>22</v>
      </c>
      <c r="V46" s="1" t="s">
        <v>23</v>
      </c>
      <c r="W46" s="1" t="s">
        <v>24</v>
      </c>
      <c r="X46" s="1">
        <v>1302</v>
      </c>
      <c r="Y46" s="1">
        <v>2717</v>
      </c>
      <c r="Z46" s="1">
        <v>3306</v>
      </c>
      <c r="AA46" s="1">
        <v>2909</v>
      </c>
      <c r="AB46" s="1" t="s">
        <v>24</v>
      </c>
      <c r="AC46" s="1" t="s">
        <v>24</v>
      </c>
      <c r="AD46" s="1" t="s">
        <v>24</v>
      </c>
      <c r="AE46" s="1" t="s">
        <v>24</v>
      </c>
      <c r="AF46" s="22"/>
    </row>
    <row r="47" spans="1:32" x14ac:dyDescent="0.2">
      <c r="A47" s="1">
        <v>277</v>
      </c>
      <c r="B47" s="1" t="s">
        <v>223</v>
      </c>
      <c r="C47" s="5" t="s">
        <v>0</v>
      </c>
      <c r="D47" s="1" t="s">
        <v>224</v>
      </c>
      <c r="E47" s="1" t="s">
        <v>225</v>
      </c>
      <c r="F47" s="1" t="s">
        <v>175</v>
      </c>
      <c r="G47" s="1" t="s">
        <v>61</v>
      </c>
      <c r="H47" s="1" t="s">
        <v>116</v>
      </c>
      <c r="I47" s="1" t="s">
        <v>16</v>
      </c>
      <c r="J47" s="1">
        <v>1</v>
      </c>
      <c r="K47" s="1">
        <v>6</v>
      </c>
      <c r="L47" s="1" t="s">
        <v>31</v>
      </c>
      <c r="M47" s="1" t="s">
        <v>226</v>
      </c>
      <c r="N47" s="1" t="s">
        <v>226</v>
      </c>
      <c r="O47" s="1">
        <v>3</v>
      </c>
      <c r="P47" s="1">
        <v>6</v>
      </c>
      <c r="R47" s="1" t="s">
        <v>19</v>
      </c>
      <c r="S47" s="1" t="s">
        <v>20</v>
      </c>
      <c r="T47" s="1" t="s">
        <v>21</v>
      </c>
      <c r="U47" s="1" t="s">
        <v>22</v>
      </c>
      <c r="V47" s="1" t="s">
        <v>24</v>
      </c>
      <c r="W47" s="1" t="s">
        <v>24</v>
      </c>
      <c r="X47" s="1">
        <v>2723</v>
      </c>
      <c r="Y47" s="1" t="s">
        <v>24</v>
      </c>
      <c r="Z47" s="1" t="s">
        <v>24</v>
      </c>
      <c r="AA47" s="1" t="s">
        <v>24</v>
      </c>
      <c r="AB47" s="1" t="s">
        <v>24</v>
      </c>
      <c r="AC47" s="1" t="s">
        <v>24</v>
      </c>
      <c r="AD47" s="1" t="s">
        <v>24</v>
      </c>
      <c r="AE47" s="1" t="s">
        <v>24</v>
      </c>
      <c r="AF47" s="22"/>
    </row>
    <row r="48" spans="1:32" x14ac:dyDescent="0.2">
      <c r="A48" s="1">
        <v>281</v>
      </c>
      <c r="B48" s="1" t="s">
        <v>227</v>
      </c>
      <c r="C48" s="5" t="s">
        <v>0</v>
      </c>
      <c r="D48" s="1" t="s">
        <v>228</v>
      </c>
      <c r="F48" s="1" t="s">
        <v>229</v>
      </c>
      <c r="G48" s="1" t="s">
        <v>229</v>
      </c>
      <c r="H48" s="1" t="s">
        <v>86</v>
      </c>
      <c r="I48" s="1" t="s">
        <v>16</v>
      </c>
      <c r="J48" s="1">
        <v>1</v>
      </c>
      <c r="K48" s="1">
        <v>6</v>
      </c>
      <c r="L48" s="1" t="s">
        <v>17</v>
      </c>
      <c r="M48" s="1" t="s">
        <v>87</v>
      </c>
      <c r="N48" s="1" t="s">
        <v>87</v>
      </c>
      <c r="O48" s="1">
        <v>1</v>
      </c>
      <c r="P48" s="1">
        <v>5</v>
      </c>
      <c r="R48" s="1" t="s">
        <v>19</v>
      </c>
      <c r="S48" s="1" t="s">
        <v>20</v>
      </c>
      <c r="T48" s="1" t="s">
        <v>21</v>
      </c>
      <c r="U48" s="1" t="s">
        <v>22</v>
      </c>
      <c r="V48" s="1" t="s">
        <v>24</v>
      </c>
      <c r="W48" s="1" t="s">
        <v>24</v>
      </c>
      <c r="X48" s="1">
        <v>2705</v>
      </c>
      <c r="Y48" s="1" t="s">
        <v>24</v>
      </c>
      <c r="Z48" s="1" t="s">
        <v>24</v>
      </c>
      <c r="AA48" s="1" t="s">
        <v>24</v>
      </c>
      <c r="AB48" s="1" t="s">
        <v>24</v>
      </c>
      <c r="AC48" s="1" t="s">
        <v>24</v>
      </c>
      <c r="AD48" s="1" t="s">
        <v>24</v>
      </c>
      <c r="AE48" s="1" t="s">
        <v>24</v>
      </c>
      <c r="AF48" s="22"/>
    </row>
    <row r="49" spans="1:32" x14ac:dyDescent="0.2">
      <c r="A49" s="1">
        <v>282</v>
      </c>
      <c r="B49" s="1" t="s">
        <v>230</v>
      </c>
      <c r="C49" s="5" t="s">
        <v>0</v>
      </c>
      <c r="D49" s="1" t="s">
        <v>231</v>
      </c>
      <c r="F49" s="1" t="s">
        <v>232</v>
      </c>
      <c r="G49" s="1" t="s">
        <v>232</v>
      </c>
      <c r="H49" s="1" t="s">
        <v>233</v>
      </c>
      <c r="I49" s="1" t="s">
        <v>16</v>
      </c>
      <c r="J49" s="1">
        <v>1</v>
      </c>
      <c r="K49" s="1">
        <v>4</v>
      </c>
      <c r="L49" s="1" t="s">
        <v>42</v>
      </c>
      <c r="M49" s="1" t="s">
        <v>117</v>
      </c>
      <c r="N49" s="1" t="s">
        <v>118</v>
      </c>
      <c r="O49" s="1">
        <v>3</v>
      </c>
      <c r="P49" s="1">
        <v>5</v>
      </c>
      <c r="R49" s="1" t="s">
        <v>19</v>
      </c>
      <c r="S49" s="1" t="s">
        <v>20</v>
      </c>
      <c r="T49" s="1" t="s">
        <v>21</v>
      </c>
      <c r="U49" s="1" t="s">
        <v>22</v>
      </c>
      <c r="V49" s="1" t="s">
        <v>24</v>
      </c>
      <c r="W49" s="1" t="s">
        <v>24</v>
      </c>
      <c r="X49" s="1">
        <v>2715</v>
      </c>
      <c r="Y49" s="1" t="s">
        <v>24</v>
      </c>
      <c r="Z49" s="1" t="s">
        <v>24</v>
      </c>
      <c r="AA49" s="1" t="s">
        <v>24</v>
      </c>
      <c r="AB49" s="1" t="s">
        <v>24</v>
      </c>
      <c r="AC49" s="1" t="s">
        <v>24</v>
      </c>
      <c r="AD49" s="1" t="s">
        <v>24</v>
      </c>
      <c r="AE49" s="1" t="s">
        <v>24</v>
      </c>
      <c r="AF49" s="22"/>
    </row>
    <row r="50" spans="1:32" x14ac:dyDescent="0.2">
      <c r="A50" s="1">
        <v>308</v>
      </c>
      <c r="B50" s="1" t="s">
        <v>234</v>
      </c>
      <c r="C50" s="5" t="s">
        <v>0</v>
      </c>
      <c r="D50" s="1" t="s">
        <v>235</v>
      </c>
      <c r="E50" s="1" t="s">
        <v>236</v>
      </c>
      <c r="F50" s="1" t="s">
        <v>237</v>
      </c>
      <c r="G50" s="1" t="s">
        <v>68</v>
      </c>
      <c r="H50" s="1" t="s">
        <v>233</v>
      </c>
      <c r="I50" s="1" t="s">
        <v>16</v>
      </c>
      <c r="J50" s="1">
        <v>1</v>
      </c>
      <c r="K50" s="1">
        <v>6</v>
      </c>
      <c r="L50" s="1" t="s">
        <v>42</v>
      </c>
      <c r="M50" s="1" t="s">
        <v>117</v>
      </c>
      <c r="N50" s="1" t="s">
        <v>117</v>
      </c>
      <c r="O50" s="1">
        <v>3</v>
      </c>
      <c r="P50" s="1">
        <v>5</v>
      </c>
      <c r="R50" s="1" t="s">
        <v>19</v>
      </c>
      <c r="S50" s="1" t="s">
        <v>20</v>
      </c>
      <c r="T50" s="1" t="s">
        <v>21</v>
      </c>
      <c r="U50" s="1" t="s">
        <v>22</v>
      </c>
      <c r="V50" s="1" t="s">
        <v>23</v>
      </c>
      <c r="W50" s="1" t="s">
        <v>24</v>
      </c>
      <c r="X50" s="1">
        <v>2735</v>
      </c>
      <c r="Y50" s="1" t="s">
        <v>24</v>
      </c>
      <c r="Z50" s="1" t="s">
        <v>24</v>
      </c>
      <c r="AA50" s="1" t="s">
        <v>24</v>
      </c>
      <c r="AB50" s="1" t="s">
        <v>24</v>
      </c>
      <c r="AC50" s="1" t="s">
        <v>24</v>
      </c>
      <c r="AD50" s="1" t="s">
        <v>24</v>
      </c>
      <c r="AE50" s="1" t="s">
        <v>24</v>
      </c>
      <c r="AF50" s="22"/>
    </row>
    <row r="51" spans="1:32" x14ac:dyDescent="0.2">
      <c r="A51" s="1">
        <v>315</v>
      </c>
      <c r="B51" s="1" t="s">
        <v>238</v>
      </c>
      <c r="C51" s="5" t="s">
        <v>0</v>
      </c>
      <c r="D51" s="1" t="s">
        <v>239</v>
      </c>
      <c r="E51" s="1" t="s">
        <v>240</v>
      </c>
      <c r="F51" s="1" t="s">
        <v>241</v>
      </c>
      <c r="G51" s="1" t="s">
        <v>61</v>
      </c>
      <c r="H51" s="1" t="s">
        <v>168</v>
      </c>
      <c r="I51" s="1" t="s">
        <v>16</v>
      </c>
      <c r="J51" s="1">
        <v>1</v>
      </c>
      <c r="K51" s="1">
        <v>6</v>
      </c>
      <c r="L51" s="1" t="s">
        <v>31</v>
      </c>
      <c r="M51" s="1" t="s">
        <v>242</v>
      </c>
      <c r="N51" s="1" t="s">
        <v>18</v>
      </c>
      <c r="O51" s="1">
        <v>3</v>
      </c>
      <c r="P51" s="1">
        <v>6</v>
      </c>
      <c r="R51" s="1" t="s">
        <v>19</v>
      </c>
      <c r="S51" s="1" t="s">
        <v>20</v>
      </c>
      <c r="T51" s="1" t="s">
        <v>21</v>
      </c>
      <c r="U51" s="1" t="s">
        <v>22</v>
      </c>
      <c r="V51" s="1" t="s">
        <v>24</v>
      </c>
      <c r="W51" s="1" t="s">
        <v>24</v>
      </c>
      <c r="X51" s="1">
        <v>1307</v>
      </c>
      <c r="Y51" s="1">
        <v>2722</v>
      </c>
      <c r="Z51" s="1" t="s">
        <v>24</v>
      </c>
      <c r="AA51" s="1" t="s">
        <v>24</v>
      </c>
      <c r="AB51" s="1" t="s">
        <v>24</v>
      </c>
      <c r="AC51" s="1" t="s">
        <v>24</v>
      </c>
      <c r="AD51" s="1" t="s">
        <v>24</v>
      </c>
      <c r="AE51" s="1" t="s">
        <v>24</v>
      </c>
      <c r="AF51" s="22"/>
    </row>
    <row r="52" spans="1:32" x14ac:dyDescent="0.2">
      <c r="A52" s="1">
        <v>316</v>
      </c>
      <c r="B52" s="1" t="s">
        <v>243</v>
      </c>
      <c r="C52" s="5" t="s">
        <v>0</v>
      </c>
      <c r="D52" s="1" t="s">
        <v>244</v>
      </c>
      <c r="E52" s="1" t="s">
        <v>245</v>
      </c>
      <c r="F52" s="1" t="s">
        <v>194</v>
      </c>
      <c r="G52" s="1" t="s">
        <v>61</v>
      </c>
      <c r="H52" s="1" t="s">
        <v>30</v>
      </c>
      <c r="I52" s="1" t="s">
        <v>16</v>
      </c>
      <c r="J52" s="1">
        <v>2</v>
      </c>
      <c r="K52" s="1">
        <v>6</v>
      </c>
      <c r="L52" s="1" t="s">
        <v>31</v>
      </c>
      <c r="M52" s="1" t="s">
        <v>18</v>
      </c>
      <c r="N52" s="1" t="s">
        <v>18</v>
      </c>
      <c r="O52" s="1">
        <v>3</v>
      </c>
      <c r="P52" s="1">
        <v>8</v>
      </c>
      <c r="Q52" s="7" t="s">
        <v>17633</v>
      </c>
      <c r="R52" s="1" t="s">
        <v>62</v>
      </c>
      <c r="S52" s="1" t="s">
        <v>20</v>
      </c>
      <c r="T52" s="1" t="s">
        <v>21</v>
      </c>
      <c r="U52" s="1" t="s">
        <v>22</v>
      </c>
      <c r="V52" s="1" t="s">
        <v>24</v>
      </c>
      <c r="W52" s="1" t="s">
        <v>24</v>
      </c>
      <c r="X52" s="1">
        <v>2705</v>
      </c>
      <c r="Y52" s="1" t="s">
        <v>24</v>
      </c>
      <c r="Z52" s="1" t="s">
        <v>24</v>
      </c>
      <c r="AA52" s="1" t="s">
        <v>24</v>
      </c>
      <c r="AB52" s="1" t="s">
        <v>24</v>
      </c>
      <c r="AC52" s="1" t="s">
        <v>24</v>
      </c>
      <c r="AD52" s="1" t="s">
        <v>24</v>
      </c>
      <c r="AE52" s="1" t="s">
        <v>24</v>
      </c>
      <c r="AF52" s="22"/>
    </row>
    <row r="53" spans="1:32" x14ac:dyDescent="0.2">
      <c r="A53" s="1">
        <v>321</v>
      </c>
      <c r="B53" s="1" t="s">
        <v>246</v>
      </c>
      <c r="C53" s="5" t="s">
        <v>0</v>
      </c>
      <c r="D53" s="1" t="s">
        <v>247</v>
      </c>
      <c r="F53" s="1" t="s">
        <v>248</v>
      </c>
      <c r="G53" s="1" t="s">
        <v>61</v>
      </c>
      <c r="H53" s="1" t="s">
        <v>249</v>
      </c>
      <c r="I53" s="1" t="s">
        <v>16</v>
      </c>
      <c r="J53" s="1">
        <v>1</v>
      </c>
      <c r="K53" s="1">
        <v>4</v>
      </c>
      <c r="L53" s="1" t="s">
        <v>31</v>
      </c>
      <c r="M53" s="1" t="s">
        <v>250</v>
      </c>
      <c r="N53" s="1" t="s">
        <v>18</v>
      </c>
      <c r="O53" s="1">
        <v>2</v>
      </c>
      <c r="P53" s="1">
        <v>4</v>
      </c>
      <c r="R53" s="1" t="s">
        <v>19</v>
      </c>
      <c r="S53" s="1" t="s">
        <v>20</v>
      </c>
      <c r="T53" s="1" t="s">
        <v>21</v>
      </c>
      <c r="U53" s="1" t="s">
        <v>22</v>
      </c>
      <c r="V53" s="1" t="s">
        <v>24</v>
      </c>
      <c r="W53" s="1" t="s">
        <v>24</v>
      </c>
      <c r="X53" s="1">
        <v>2720</v>
      </c>
      <c r="Y53" s="1" t="s">
        <v>24</v>
      </c>
      <c r="Z53" s="1" t="s">
        <v>24</v>
      </c>
      <c r="AA53" s="1" t="s">
        <v>24</v>
      </c>
      <c r="AB53" s="1" t="s">
        <v>24</v>
      </c>
      <c r="AC53" s="1" t="s">
        <v>24</v>
      </c>
      <c r="AD53" s="1" t="s">
        <v>24</v>
      </c>
      <c r="AE53" s="1" t="s">
        <v>24</v>
      </c>
      <c r="AF53" s="22"/>
    </row>
    <row r="54" spans="1:32" x14ac:dyDescent="0.2">
      <c r="A54" s="1">
        <v>323</v>
      </c>
      <c r="B54" s="1" t="s">
        <v>251</v>
      </c>
      <c r="C54" s="5" t="s">
        <v>0</v>
      </c>
      <c r="D54" s="1" t="s">
        <v>252</v>
      </c>
      <c r="F54" s="1" t="s">
        <v>253</v>
      </c>
      <c r="G54" s="1" t="s">
        <v>254</v>
      </c>
      <c r="H54" s="1" t="s">
        <v>168</v>
      </c>
      <c r="I54" s="1" t="s">
        <v>16</v>
      </c>
      <c r="J54" s="1">
        <v>1</v>
      </c>
      <c r="K54" s="1">
        <v>4</v>
      </c>
      <c r="L54" s="1" t="s">
        <v>31</v>
      </c>
      <c r="M54" s="1" t="s">
        <v>255</v>
      </c>
      <c r="N54" s="1" t="s">
        <v>18</v>
      </c>
      <c r="O54" s="1">
        <v>1</v>
      </c>
      <c r="P54" s="1">
        <v>6</v>
      </c>
      <c r="R54" s="1" t="s">
        <v>19</v>
      </c>
      <c r="S54" s="1" t="s">
        <v>20</v>
      </c>
      <c r="T54" s="1" t="s">
        <v>21</v>
      </c>
      <c r="U54" s="1" t="s">
        <v>22</v>
      </c>
      <c r="V54" s="1" t="s">
        <v>23</v>
      </c>
      <c r="W54" s="1" t="s">
        <v>24</v>
      </c>
      <c r="X54" s="1">
        <v>2739</v>
      </c>
      <c r="Y54" s="1">
        <v>3005</v>
      </c>
      <c r="Z54" s="1" t="s">
        <v>24</v>
      </c>
      <c r="AA54" s="1" t="s">
        <v>24</v>
      </c>
      <c r="AB54" s="1" t="s">
        <v>24</v>
      </c>
      <c r="AC54" s="1" t="s">
        <v>24</v>
      </c>
      <c r="AD54" s="1" t="s">
        <v>24</v>
      </c>
      <c r="AE54" s="1" t="s">
        <v>24</v>
      </c>
      <c r="AF54" s="22"/>
    </row>
    <row r="55" spans="1:32" x14ac:dyDescent="0.2">
      <c r="A55" s="1">
        <v>350</v>
      </c>
      <c r="B55" s="1" t="s">
        <v>256</v>
      </c>
      <c r="C55" s="5" t="s">
        <v>0</v>
      </c>
      <c r="D55" s="1" t="s">
        <v>257</v>
      </c>
      <c r="E55" s="1" t="s">
        <v>258</v>
      </c>
      <c r="F55" s="1" t="s">
        <v>259</v>
      </c>
      <c r="G55" s="1" t="s">
        <v>259</v>
      </c>
      <c r="H55" s="1" t="s">
        <v>30</v>
      </c>
      <c r="I55" s="1" t="s">
        <v>16</v>
      </c>
      <c r="J55" s="1">
        <v>2</v>
      </c>
      <c r="K55" s="1">
        <v>12</v>
      </c>
      <c r="L55" s="1" t="s">
        <v>42</v>
      </c>
      <c r="M55" s="1" t="s">
        <v>18</v>
      </c>
      <c r="N55" s="1" t="s">
        <v>18</v>
      </c>
      <c r="O55" s="1">
        <v>3</v>
      </c>
      <c r="P55" s="1">
        <v>8</v>
      </c>
      <c r="Q55" s="7" t="s">
        <v>17633</v>
      </c>
      <c r="R55" s="1" t="s">
        <v>62</v>
      </c>
      <c r="S55" s="1" t="s">
        <v>20</v>
      </c>
      <c r="T55" s="1" t="s">
        <v>21</v>
      </c>
      <c r="U55" s="1" t="s">
        <v>22</v>
      </c>
      <c r="V55" s="1" t="s">
        <v>23</v>
      </c>
      <c r="W55" s="1" t="s">
        <v>24</v>
      </c>
      <c r="X55" s="1">
        <v>2724</v>
      </c>
      <c r="Y55" s="1" t="s">
        <v>24</v>
      </c>
      <c r="Z55" s="1" t="s">
        <v>24</v>
      </c>
      <c r="AA55" s="1" t="s">
        <v>24</v>
      </c>
      <c r="AB55" s="1" t="s">
        <v>24</v>
      </c>
      <c r="AC55" s="1" t="s">
        <v>24</v>
      </c>
      <c r="AD55" s="1" t="s">
        <v>24</v>
      </c>
      <c r="AE55" s="1" t="s">
        <v>24</v>
      </c>
      <c r="AF55" s="22"/>
    </row>
    <row r="56" spans="1:32" x14ac:dyDescent="0.2">
      <c r="A56" s="1">
        <v>353</v>
      </c>
      <c r="B56" s="1" t="s">
        <v>260</v>
      </c>
      <c r="C56" s="5" t="s">
        <v>0</v>
      </c>
      <c r="D56" s="1" t="s">
        <v>261</v>
      </c>
      <c r="E56" s="1" t="s">
        <v>262</v>
      </c>
      <c r="F56" s="1" t="s">
        <v>263</v>
      </c>
      <c r="G56" s="1" t="s">
        <v>263</v>
      </c>
      <c r="H56" s="1" t="s">
        <v>264</v>
      </c>
      <c r="I56" s="1" t="s">
        <v>16</v>
      </c>
      <c r="J56" s="1">
        <v>1</v>
      </c>
      <c r="K56" s="1">
        <v>6</v>
      </c>
      <c r="L56" s="1" t="s">
        <v>42</v>
      </c>
      <c r="M56" s="1" t="s">
        <v>18</v>
      </c>
      <c r="N56" s="1" t="s">
        <v>18</v>
      </c>
      <c r="O56" s="1">
        <v>3</v>
      </c>
      <c r="P56" s="1">
        <v>6</v>
      </c>
      <c r="R56" s="1" t="s">
        <v>19</v>
      </c>
      <c r="S56" s="1" t="s">
        <v>20</v>
      </c>
      <c r="T56" s="1" t="s">
        <v>21</v>
      </c>
      <c r="U56" s="1" t="s">
        <v>22</v>
      </c>
      <c r="V56" s="1" t="s">
        <v>23</v>
      </c>
      <c r="W56" s="1" t="s">
        <v>24</v>
      </c>
      <c r="X56" s="1">
        <v>2703</v>
      </c>
      <c r="Y56" s="1">
        <v>2706</v>
      </c>
      <c r="Z56" s="1" t="s">
        <v>24</v>
      </c>
      <c r="AA56" s="1" t="s">
        <v>24</v>
      </c>
      <c r="AB56" s="1" t="s">
        <v>24</v>
      </c>
      <c r="AC56" s="1" t="s">
        <v>24</v>
      </c>
      <c r="AD56" s="1" t="s">
        <v>24</v>
      </c>
      <c r="AE56" s="1" t="s">
        <v>24</v>
      </c>
      <c r="AF56" s="22"/>
    </row>
    <row r="57" spans="1:32" x14ac:dyDescent="0.2">
      <c r="A57" s="1">
        <v>369</v>
      </c>
      <c r="B57" s="1" t="s">
        <v>265</v>
      </c>
      <c r="C57" s="5" t="s">
        <v>0</v>
      </c>
      <c r="D57" s="1" t="s">
        <v>266</v>
      </c>
      <c r="E57" s="1" t="s">
        <v>267</v>
      </c>
      <c r="F57" s="1" t="s">
        <v>268</v>
      </c>
      <c r="G57" s="1" t="s">
        <v>130</v>
      </c>
      <c r="H57" s="1" t="s">
        <v>111</v>
      </c>
      <c r="I57" s="1" t="s">
        <v>16</v>
      </c>
      <c r="J57" s="1">
        <v>1</v>
      </c>
      <c r="K57" s="1">
        <v>6</v>
      </c>
      <c r="L57" s="1" t="s">
        <v>31</v>
      </c>
      <c r="M57" s="1" t="s">
        <v>18</v>
      </c>
      <c r="N57" s="1" t="s">
        <v>18</v>
      </c>
      <c r="O57" s="1">
        <v>2</v>
      </c>
      <c r="P57" s="1">
        <v>5</v>
      </c>
      <c r="R57" s="1" t="s">
        <v>19</v>
      </c>
      <c r="S57" s="1" t="s">
        <v>20</v>
      </c>
      <c r="T57" s="1" t="s">
        <v>21</v>
      </c>
      <c r="U57" s="1" t="s">
        <v>22</v>
      </c>
      <c r="V57" s="1" t="s">
        <v>24</v>
      </c>
      <c r="W57" s="1" t="s">
        <v>24</v>
      </c>
      <c r="X57" s="1">
        <v>2403</v>
      </c>
      <c r="Y57" s="1">
        <v>2723</v>
      </c>
      <c r="Z57" s="1" t="s">
        <v>24</v>
      </c>
      <c r="AA57" s="1" t="s">
        <v>24</v>
      </c>
      <c r="AB57" s="1" t="s">
        <v>24</v>
      </c>
      <c r="AC57" s="1" t="s">
        <v>24</v>
      </c>
      <c r="AD57" s="1" t="s">
        <v>24</v>
      </c>
      <c r="AE57" s="1" t="s">
        <v>24</v>
      </c>
      <c r="AF57" s="22"/>
    </row>
    <row r="58" spans="1:32" x14ac:dyDescent="0.2">
      <c r="A58" s="1">
        <v>383</v>
      </c>
      <c r="B58" s="1" t="s">
        <v>269</v>
      </c>
      <c r="C58" s="5" t="s">
        <v>0</v>
      </c>
      <c r="D58" s="1" t="s">
        <v>270</v>
      </c>
      <c r="E58" s="1" t="s">
        <v>271</v>
      </c>
      <c r="F58" s="1" t="s">
        <v>272</v>
      </c>
      <c r="G58" s="1" t="s">
        <v>61</v>
      </c>
      <c r="H58" s="1" t="s">
        <v>30</v>
      </c>
      <c r="I58" s="1" t="s">
        <v>16</v>
      </c>
      <c r="J58" s="1">
        <v>2</v>
      </c>
      <c r="K58" s="1">
        <v>12</v>
      </c>
      <c r="L58" s="1" t="s">
        <v>31</v>
      </c>
      <c r="M58" s="1" t="s">
        <v>18</v>
      </c>
      <c r="N58" s="1" t="s">
        <v>18</v>
      </c>
      <c r="O58" s="1">
        <v>3</v>
      </c>
      <c r="P58" s="1">
        <v>8</v>
      </c>
      <c r="Q58" s="7" t="s">
        <v>17633</v>
      </c>
      <c r="R58" s="1" t="s">
        <v>62</v>
      </c>
      <c r="S58" s="1" t="s">
        <v>20</v>
      </c>
      <c r="T58" s="1" t="s">
        <v>21</v>
      </c>
      <c r="U58" s="1" t="s">
        <v>22</v>
      </c>
      <c r="V58" s="1" t="s">
        <v>23</v>
      </c>
      <c r="W58" s="1" t="s">
        <v>24</v>
      </c>
      <c r="X58" s="1">
        <v>2705</v>
      </c>
      <c r="Y58" s="1" t="s">
        <v>24</v>
      </c>
      <c r="Z58" s="1" t="s">
        <v>24</v>
      </c>
      <c r="AA58" s="1" t="s">
        <v>24</v>
      </c>
      <c r="AB58" s="1" t="s">
        <v>24</v>
      </c>
      <c r="AC58" s="1" t="s">
        <v>24</v>
      </c>
      <c r="AD58" s="1" t="s">
        <v>24</v>
      </c>
      <c r="AE58" s="1" t="s">
        <v>24</v>
      </c>
      <c r="AF58" s="22"/>
    </row>
    <row r="59" spans="1:32" x14ac:dyDescent="0.2">
      <c r="A59" s="1">
        <v>386</v>
      </c>
      <c r="B59" s="1" t="s">
        <v>273</v>
      </c>
      <c r="C59" s="5" t="s">
        <v>0</v>
      </c>
      <c r="D59" s="1" t="s">
        <v>274</v>
      </c>
      <c r="F59" s="1" t="s">
        <v>275</v>
      </c>
      <c r="G59" s="1" t="s">
        <v>276</v>
      </c>
      <c r="H59" s="1" t="s">
        <v>46</v>
      </c>
      <c r="I59" s="1" t="s">
        <v>16</v>
      </c>
      <c r="J59" s="1">
        <v>1</v>
      </c>
      <c r="K59" s="1">
        <v>6</v>
      </c>
      <c r="L59" s="1" t="s">
        <v>31</v>
      </c>
      <c r="M59" s="1" t="s">
        <v>18</v>
      </c>
      <c r="N59" s="1" t="s">
        <v>18</v>
      </c>
      <c r="O59" s="1">
        <v>3</v>
      </c>
      <c r="P59" s="1">
        <v>6</v>
      </c>
      <c r="R59" s="1" t="s">
        <v>19</v>
      </c>
      <c r="S59" s="1" t="s">
        <v>20</v>
      </c>
      <c r="T59" s="1" t="s">
        <v>21</v>
      </c>
      <c r="U59" s="1" t="s">
        <v>22</v>
      </c>
      <c r="V59" s="1" t="s">
        <v>23</v>
      </c>
      <c r="W59" s="1" t="s">
        <v>24</v>
      </c>
      <c r="X59" s="1">
        <v>2707</v>
      </c>
      <c r="Y59" s="1" t="s">
        <v>24</v>
      </c>
      <c r="Z59" s="1" t="s">
        <v>24</v>
      </c>
      <c r="AA59" s="1" t="s">
        <v>24</v>
      </c>
      <c r="AB59" s="1" t="s">
        <v>24</v>
      </c>
      <c r="AC59" s="1" t="s">
        <v>24</v>
      </c>
      <c r="AD59" s="1" t="s">
        <v>24</v>
      </c>
      <c r="AE59" s="1" t="s">
        <v>24</v>
      </c>
      <c r="AF59" s="22"/>
    </row>
    <row r="60" spans="1:32" x14ac:dyDescent="0.2">
      <c r="A60" s="1">
        <v>387</v>
      </c>
      <c r="B60" s="1" t="s">
        <v>277</v>
      </c>
      <c r="C60" s="5" t="s">
        <v>0</v>
      </c>
      <c r="D60" s="1" t="s">
        <v>278</v>
      </c>
      <c r="E60" s="1" t="s">
        <v>279</v>
      </c>
      <c r="F60" s="1" t="s">
        <v>280</v>
      </c>
      <c r="G60" s="1" t="s">
        <v>280</v>
      </c>
      <c r="H60" s="1" t="s">
        <v>30</v>
      </c>
      <c r="I60" s="1" t="s">
        <v>16</v>
      </c>
      <c r="J60" s="1">
        <v>2</v>
      </c>
      <c r="K60" s="1">
        <v>6</v>
      </c>
      <c r="L60" s="1" t="s">
        <v>42</v>
      </c>
      <c r="M60" s="1" t="s">
        <v>18</v>
      </c>
      <c r="N60" s="1" t="s">
        <v>18</v>
      </c>
      <c r="O60" s="1">
        <v>3</v>
      </c>
      <c r="P60" s="1">
        <v>6</v>
      </c>
      <c r="R60" s="1" t="s">
        <v>62</v>
      </c>
      <c r="S60" s="1" t="s">
        <v>20</v>
      </c>
      <c r="T60" s="1" t="s">
        <v>21</v>
      </c>
      <c r="U60" s="1" t="s">
        <v>22</v>
      </c>
      <c r="V60" s="1" t="s">
        <v>23</v>
      </c>
      <c r="W60" s="1" t="s">
        <v>24</v>
      </c>
      <c r="X60" s="1">
        <v>2701</v>
      </c>
      <c r="Y60" s="1">
        <v>2916</v>
      </c>
      <c r="Z60" s="1" t="s">
        <v>24</v>
      </c>
      <c r="AA60" s="1" t="s">
        <v>24</v>
      </c>
      <c r="AB60" s="1" t="s">
        <v>24</v>
      </c>
      <c r="AC60" s="1" t="s">
        <v>24</v>
      </c>
      <c r="AD60" s="1" t="s">
        <v>24</v>
      </c>
      <c r="AE60" s="1" t="s">
        <v>24</v>
      </c>
      <c r="AF60" s="22"/>
    </row>
    <row r="61" spans="1:32" x14ac:dyDescent="0.2">
      <c r="A61" s="1">
        <v>388</v>
      </c>
      <c r="B61" s="1" t="s">
        <v>281</v>
      </c>
      <c r="C61" s="5" t="s">
        <v>0</v>
      </c>
      <c r="D61" s="1" t="s">
        <v>282</v>
      </c>
      <c r="E61" s="1" t="s">
        <v>283</v>
      </c>
      <c r="F61" s="1" t="s">
        <v>28</v>
      </c>
      <c r="G61" s="1" t="s">
        <v>29</v>
      </c>
      <c r="H61" s="1" t="s">
        <v>30</v>
      </c>
      <c r="I61" s="1" t="s">
        <v>16</v>
      </c>
      <c r="J61" s="1">
        <v>1</v>
      </c>
      <c r="K61" s="1">
        <v>6</v>
      </c>
      <c r="L61" s="1" t="s">
        <v>31</v>
      </c>
      <c r="M61" s="1" t="s">
        <v>18</v>
      </c>
      <c r="N61" s="1" t="s">
        <v>18</v>
      </c>
      <c r="O61" s="1">
        <v>3</v>
      </c>
      <c r="P61" s="1">
        <v>6</v>
      </c>
      <c r="R61" s="1" t="s">
        <v>19</v>
      </c>
      <c r="S61" s="1" t="s">
        <v>20</v>
      </c>
      <c r="T61" s="1" t="s">
        <v>21</v>
      </c>
      <c r="U61" s="1" t="s">
        <v>22</v>
      </c>
      <c r="V61" s="1" t="s">
        <v>24</v>
      </c>
      <c r="W61" s="1" t="s">
        <v>24</v>
      </c>
      <c r="X61" s="1">
        <v>2730</v>
      </c>
      <c r="Y61" s="1">
        <v>1306</v>
      </c>
      <c r="Z61" s="1" t="s">
        <v>24</v>
      </c>
      <c r="AA61" s="1" t="s">
        <v>24</v>
      </c>
      <c r="AB61" s="1" t="s">
        <v>24</v>
      </c>
      <c r="AC61" s="1" t="s">
        <v>24</v>
      </c>
      <c r="AD61" s="1" t="s">
        <v>24</v>
      </c>
      <c r="AE61" s="1" t="s">
        <v>24</v>
      </c>
      <c r="AF61" s="22"/>
    </row>
    <row r="62" spans="1:32" x14ac:dyDescent="0.2">
      <c r="A62" s="1">
        <v>389</v>
      </c>
      <c r="B62" s="1" t="s">
        <v>284</v>
      </c>
      <c r="C62" s="5" t="s">
        <v>0</v>
      </c>
      <c r="D62" s="1" t="s">
        <v>285</v>
      </c>
      <c r="E62" s="1" t="s">
        <v>286</v>
      </c>
      <c r="F62" s="1" t="s">
        <v>287</v>
      </c>
      <c r="G62" s="1" t="s">
        <v>287</v>
      </c>
      <c r="H62" s="1" t="s">
        <v>30</v>
      </c>
      <c r="I62" s="1" t="s">
        <v>16</v>
      </c>
      <c r="J62" s="1">
        <v>2</v>
      </c>
      <c r="K62" s="1">
        <v>6</v>
      </c>
      <c r="L62" s="1" t="s">
        <v>42</v>
      </c>
      <c r="M62" s="1" t="s">
        <v>18</v>
      </c>
      <c r="N62" s="1" t="s">
        <v>18</v>
      </c>
      <c r="O62" s="1">
        <v>3</v>
      </c>
      <c r="P62" s="1">
        <v>7</v>
      </c>
      <c r="Q62" s="7" t="s">
        <v>17633</v>
      </c>
      <c r="R62" s="1" t="s">
        <v>62</v>
      </c>
      <c r="S62" s="1" t="s">
        <v>20</v>
      </c>
      <c r="T62" s="1" t="s">
        <v>21</v>
      </c>
      <c r="U62" s="1" t="s">
        <v>22</v>
      </c>
      <c r="V62" s="1" t="s">
        <v>24</v>
      </c>
      <c r="W62" s="1" t="s">
        <v>24</v>
      </c>
      <c r="X62" s="1">
        <v>2734</v>
      </c>
      <c r="Y62" s="1" t="s">
        <v>24</v>
      </c>
      <c r="Z62" s="1" t="s">
        <v>24</v>
      </c>
      <c r="AA62" s="1" t="s">
        <v>24</v>
      </c>
      <c r="AB62" s="1" t="s">
        <v>24</v>
      </c>
      <c r="AC62" s="1" t="s">
        <v>24</v>
      </c>
      <c r="AD62" s="1" t="s">
        <v>24</v>
      </c>
      <c r="AE62" s="1" t="s">
        <v>24</v>
      </c>
      <c r="AF62" s="22"/>
    </row>
    <row r="63" spans="1:32" x14ac:dyDescent="0.2">
      <c r="A63" s="1">
        <v>391</v>
      </c>
      <c r="B63" s="1" t="s">
        <v>288</v>
      </c>
      <c r="C63" s="5" t="s">
        <v>0</v>
      </c>
      <c r="D63" s="1" t="s">
        <v>289</v>
      </c>
      <c r="E63" s="1" t="s">
        <v>290</v>
      </c>
      <c r="F63" s="1" t="s">
        <v>291</v>
      </c>
      <c r="G63" s="1" t="s">
        <v>292</v>
      </c>
      <c r="H63" s="1" t="s">
        <v>30</v>
      </c>
      <c r="I63" s="1" t="s">
        <v>16</v>
      </c>
      <c r="J63" s="1">
        <v>1</v>
      </c>
      <c r="K63" s="1">
        <v>6</v>
      </c>
      <c r="L63" s="1" t="s">
        <v>31</v>
      </c>
      <c r="M63" s="1" t="s">
        <v>18</v>
      </c>
      <c r="N63" s="1" t="s">
        <v>18</v>
      </c>
      <c r="O63" s="1">
        <v>3</v>
      </c>
      <c r="P63" s="1">
        <v>6</v>
      </c>
      <c r="R63" s="1" t="s">
        <v>19</v>
      </c>
      <c r="S63" s="1" t="s">
        <v>20</v>
      </c>
      <c r="T63" s="1" t="s">
        <v>21</v>
      </c>
      <c r="U63" s="1" t="s">
        <v>22</v>
      </c>
      <c r="V63" s="1" t="s">
        <v>23</v>
      </c>
      <c r="W63" s="1" t="s">
        <v>24</v>
      </c>
      <c r="X63" s="1">
        <v>2701</v>
      </c>
      <c r="Y63" s="1">
        <v>2738</v>
      </c>
      <c r="Z63" s="1">
        <v>3203</v>
      </c>
      <c r="AA63" s="1" t="s">
        <v>24</v>
      </c>
      <c r="AB63" s="1" t="s">
        <v>24</v>
      </c>
      <c r="AC63" s="1" t="s">
        <v>24</v>
      </c>
      <c r="AD63" s="1" t="s">
        <v>24</v>
      </c>
      <c r="AE63" s="1" t="s">
        <v>24</v>
      </c>
      <c r="AF63" s="22"/>
    </row>
    <row r="64" spans="1:32" x14ac:dyDescent="0.2">
      <c r="A64" s="1">
        <v>394</v>
      </c>
      <c r="B64" s="1" t="s">
        <v>293</v>
      </c>
      <c r="C64" s="5" t="s">
        <v>0</v>
      </c>
      <c r="D64" s="1" t="s">
        <v>294</v>
      </c>
      <c r="E64" s="1" t="s">
        <v>295</v>
      </c>
      <c r="F64" s="1" t="s">
        <v>296</v>
      </c>
      <c r="G64" s="1" t="s">
        <v>36</v>
      </c>
      <c r="H64" s="1" t="s">
        <v>264</v>
      </c>
      <c r="I64" s="1" t="s">
        <v>16</v>
      </c>
      <c r="J64" s="1">
        <v>1</v>
      </c>
      <c r="K64" s="1">
        <v>4</v>
      </c>
      <c r="L64" s="1" t="s">
        <v>31</v>
      </c>
      <c r="M64" s="1" t="s">
        <v>18</v>
      </c>
      <c r="N64" s="1" t="s">
        <v>18</v>
      </c>
      <c r="O64" s="1">
        <v>3</v>
      </c>
      <c r="P64" s="1">
        <v>6</v>
      </c>
      <c r="R64" s="1" t="s">
        <v>19</v>
      </c>
      <c r="S64" s="1" t="s">
        <v>20</v>
      </c>
      <c r="T64" s="1" t="s">
        <v>21</v>
      </c>
      <c r="U64" s="1" t="s">
        <v>22</v>
      </c>
      <c r="V64" s="1" t="s">
        <v>24</v>
      </c>
      <c r="W64" s="1" t="s">
        <v>24</v>
      </c>
      <c r="X64" s="1">
        <v>2708</v>
      </c>
      <c r="Y64" s="1" t="s">
        <v>24</v>
      </c>
      <c r="Z64" s="1" t="s">
        <v>24</v>
      </c>
      <c r="AA64" s="1" t="s">
        <v>24</v>
      </c>
      <c r="AB64" s="1" t="s">
        <v>24</v>
      </c>
      <c r="AC64" s="1" t="s">
        <v>24</v>
      </c>
      <c r="AD64" s="1" t="s">
        <v>24</v>
      </c>
      <c r="AE64" s="1" t="s">
        <v>24</v>
      </c>
      <c r="AF64" s="22"/>
    </row>
    <row r="65" spans="1:32" x14ac:dyDescent="0.2">
      <c r="A65" s="1">
        <v>395</v>
      </c>
      <c r="B65" s="1" t="s">
        <v>297</v>
      </c>
      <c r="C65" s="5" t="s">
        <v>0</v>
      </c>
      <c r="D65" s="1" t="s">
        <v>298</v>
      </c>
      <c r="E65" s="1" t="s">
        <v>299</v>
      </c>
      <c r="F65" s="1" t="s">
        <v>28</v>
      </c>
      <c r="G65" s="1" t="s">
        <v>29</v>
      </c>
      <c r="H65" s="1" t="s">
        <v>30</v>
      </c>
      <c r="I65" s="1" t="s">
        <v>16</v>
      </c>
      <c r="J65" s="1">
        <v>1</v>
      </c>
      <c r="K65" s="1">
        <v>8</v>
      </c>
      <c r="L65" s="1" t="s">
        <v>31</v>
      </c>
      <c r="M65" s="1" t="s">
        <v>18</v>
      </c>
      <c r="N65" s="1" t="s">
        <v>18</v>
      </c>
      <c r="O65" s="1">
        <v>3</v>
      </c>
      <c r="P65" s="1">
        <v>7</v>
      </c>
      <c r="Q65" s="7" t="s">
        <v>17633</v>
      </c>
      <c r="R65" s="1" t="s">
        <v>19</v>
      </c>
      <c r="S65" s="1" t="s">
        <v>20</v>
      </c>
      <c r="T65" s="1" t="s">
        <v>21</v>
      </c>
      <c r="U65" s="1" t="s">
        <v>22</v>
      </c>
      <c r="V65" s="1" t="s">
        <v>24</v>
      </c>
      <c r="W65" s="1" t="s">
        <v>24</v>
      </c>
      <c r="X65" s="1">
        <v>2734</v>
      </c>
      <c r="Y65" s="1">
        <v>2708</v>
      </c>
      <c r="Z65" s="1" t="s">
        <v>24</v>
      </c>
      <c r="AA65" s="1" t="s">
        <v>24</v>
      </c>
      <c r="AB65" s="1" t="s">
        <v>24</v>
      </c>
      <c r="AC65" s="1" t="s">
        <v>24</v>
      </c>
      <c r="AD65" s="1" t="s">
        <v>24</v>
      </c>
      <c r="AE65" s="1" t="s">
        <v>24</v>
      </c>
      <c r="AF65" s="22"/>
    </row>
    <row r="66" spans="1:32" x14ac:dyDescent="0.2">
      <c r="A66" s="1">
        <v>399</v>
      </c>
      <c r="B66" s="1" t="s">
        <v>300</v>
      </c>
      <c r="C66" s="5" t="s">
        <v>0</v>
      </c>
      <c r="D66" s="1" t="s">
        <v>301</v>
      </c>
      <c r="E66" s="1" t="s">
        <v>302</v>
      </c>
      <c r="F66" s="1" t="s">
        <v>303</v>
      </c>
      <c r="G66" s="1" t="s">
        <v>61</v>
      </c>
      <c r="H66" s="1" t="s">
        <v>30</v>
      </c>
      <c r="I66" s="1" t="s">
        <v>16</v>
      </c>
      <c r="J66" s="1">
        <v>1</v>
      </c>
      <c r="K66" s="1">
        <v>7</v>
      </c>
      <c r="L66" s="1" t="s">
        <v>31</v>
      </c>
      <c r="M66" s="1" t="s">
        <v>18</v>
      </c>
      <c r="N66" s="1" t="s">
        <v>18</v>
      </c>
      <c r="O66" s="1">
        <v>3</v>
      </c>
      <c r="P66" s="1">
        <v>7</v>
      </c>
      <c r="Q66" s="7" t="s">
        <v>17633</v>
      </c>
      <c r="R66" s="1" t="s">
        <v>19</v>
      </c>
      <c r="S66" s="1" t="s">
        <v>20</v>
      </c>
      <c r="T66" s="1" t="s">
        <v>21</v>
      </c>
      <c r="U66" s="1" t="s">
        <v>22</v>
      </c>
      <c r="V66" s="1" t="s">
        <v>23</v>
      </c>
      <c r="W66" s="1" t="s">
        <v>24</v>
      </c>
      <c r="X66" s="1">
        <v>2711</v>
      </c>
      <c r="Y66" s="1" t="s">
        <v>24</v>
      </c>
      <c r="Z66" s="1" t="s">
        <v>24</v>
      </c>
      <c r="AA66" s="1" t="s">
        <v>24</v>
      </c>
      <c r="AB66" s="1" t="s">
        <v>24</v>
      </c>
      <c r="AC66" s="1" t="s">
        <v>24</v>
      </c>
      <c r="AD66" s="1" t="s">
        <v>24</v>
      </c>
      <c r="AE66" s="1" t="s">
        <v>24</v>
      </c>
      <c r="AF66" s="22"/>
    </row>
    <row r="67" spans="1:32" x14ac:dyDescent="0.2">
      <c r="A67" s="1">
        <v>400</v>
      </c>
      <c r="B67" s="1" t="s">
        <v>304</v>
      </c>
      <c r="C67" s="5" t="s">
        <v>0</v>
      </c>
      <c r="D67" s="1" t="s">
        <v>305</v>
      </c>
      <c r="E67" s="1" t="s">
        <v>306</v>
      </c>
      <c r="F67" s="1" t="s">
        <v>55</v>
      </c>
      <c r="G67" s="1" t="s">
        <v>56</v>
      </c>
      <c r="H67" s="1" t="s">
        <v>37</v>
      </c>
      <c r="I67" s="1" t="s">
        <v>16</v>
      </c>
      <c r="J67" s="1">
        <v>2</v>
      </c>
      <c r="K67" s="1">
        <v>12</v>
      </c>
      <c r="L67" s="1" t="s">
        <v>31</v>
      </c>
      <c r="M67" s="1" t="s">
        <v>18</v>
      </c>
      <c r="N67" s="1" t="s">
        <v>18</v>
      </c>
      <c r="O67" s="1">
        <v>3</v>
      </c>
      <c r="P67" s="1">
        <v>6</v>
      </c>
      <c r="R67" s="1" t="s">
        <v>62</v>
      </c>
      <c r="S67" s="1" t="s">
        <v>20</v>
      </c>
      <c r="T67" s="1" t="s">
        <v>21</v>
      </c>
      <c r="U67" s="1" t="s">
        <v>22</v>
      </c>
      <c r="V67" s="1" t="s">
        <v>23</v>
      </c>
      <c r="W67" s="1" t="s">
        <v>24</v>
      </c>
      <c r="X67" s="1">
        <v>2713</v>
      </c>
      <c r="Y67" s="1" t="s">
        <v>24</v>
      </c>
      <c r="Z67" s="1" t="s">
        <v>24</v>
      </c>
      <c r="AA67" s="1" t="s">
        <v>24</v>
      </c>
      <c r="AB67" s="1" t="s">
        <v>24</v>
      </c>
      <c r="AC67" s="1" t="s">
        <v>24</v>
      </c>
      <c r="AD67" s="1" t="s">
        <v>24</v>
      </c>
      <c r="AE67" s="1" t="s">
        <v>24</v>
      </c>
      <c r="AF67" s="22"/>
    </row>
    <row r="68" spans="1:32" x14ac:dyDescent="0.2">
      <c r="A68" s="1">
        <v>404</v>
      </c>
      <c r="B68" s="1" t="s">
        <v>307</v>
      </c>
      <c r="C68" s="5" t="s">
        <v>0</v>
      </c>
      <c r="D68" s="1" t="s">
        <v>308</v>
      </c>
      <c r="E68" s="1" t="s">
        <v>309</v>
      </c>
      <c r="F68" s="1" t="s">
        <v>310</v>
      </c>
      <c r="G68" s="1" t="s">
        <v>311</v>
      </c>
      <c r="H68" s="1" t="s">
        <v>37</v>
      </c>
      <c r="I68" s="1" t="s">
        <v>16</v>
      </c>
      <c r="J68" s="1">
        <v>1</v>
      </c>
      <c r="K68" s="1">
        <v>4</v>
      </c>
      <c r="L68" s="1" t="s">
        <v>31</v>
      </c>
      <c r="M68" s="1" t="s">
        <v>18</v>
      </c>
      <c r="N68" s="1" t="s">
        <v>18</v>
      </c>
      <c r="O68" s="1">
        <v>3</v>
      </c>
      <c r="P68" s="1">
        <v>6</v>
      </c>
      <c r="R68" s="1" t="s">
        <v>19</v>
      </c>
      <c r="S68" s="1" t="s">
        <v>20</v>
      </c>
      <c r="T68" s="1" t="s">
        <v>21</v>
      </c>
      <c r="U68" s="1" t="s">
        <v>22</v>
      </c>
      <c r="V68" s="1" t="s">
        <v>24</v>
      </c>
      <c r="W68" s="1" t="s">
        <v>24</v>
      </c>
      <c r="X68" s="1">
        <v>2734</v>
      </c>
      <c r="Y68" s="1" t="s">
        <v>24</v>
      </c>
      <c r="Z68" s="1" t="s">
        <v>24</v>
      </c>
      <c r="AA68" s="1" t="s">
        <v>24</v>
      </c>
      <c r="AB68" s="1" t="s">
        <v>24</v>
      </c>
      <c r="AC68" s="1" t="s">
        <v>24</v>
      </c>
      <c r="AD68" s="1" t="s">
        <v>24</v>
      </c>
      <c r="AE68" s="1" t="s">
        <v>24</v>
      </c>
      <c r="AF68" s="22"/>
    </row>
    <row r="69" spans="1:32" x14ac:dyDescent="0.2">
      <c r="A69" s="1">
        <v>405</v>
      </c>
      <c r="B69" s="1" t="s">
        <v>312</v>
      </c>
      <c r="C69" s="5" t="s">
        <v>0</v>
      </c>
      <c r="D69" s="1" t="s">
        <v>313</v>
      </c>
      <c r="E69" s="1" t="s">
        <v>314</v>
      </c>
      <c r="F69" s="1" t="s">
        <v>315</v>
      </c>
      <c r="G69" s="1" t="s">
        <v>316</v>
      </c>
      <c r="H69" s="1" t="s">
        <v>37</v>
      </c>
      <c r="I69" s="1" t="s">
        <v>16</v>
      </c>
      <c r="J69" s="1">
        <v>1</v>
      </c>
      <c r="K69" s="1">
        <v>12</v>
      </c>
      <c r="L69" s="1" t="s">
        <v>31</v>
      </c>
      <c r="M69" s="1" t="s">
        <v>18</v>
      </c>
      <c r="N69" s="1" t="s">
        <v>18</v>
      </c>
      <c r="O69" s="1">
        <v>3</v>
      </c>
      <c r="P69" s="1">
        <v>8</v>
      </c>
      <c r="Q69" s="7" t="s">
        <v>17633</v>
      </c>
      <c r="R69" s="1" t="s">
        <v>62</v>
      </c>
      <c r="S69" s="1" t="s">
        <v>20</v>
      </c>
      <c r="T69" s="1" t="s">
        <v>21</v>
      </c>
      <c r="U69" s="1" t="s">
        <v>22</v>
      </c>
      <c r="V69" s="1" t="s">
        <v>24</v>
      </c>
      <c r="W69" s="1" t="s">
        <v>24</v>
      </c>
      <c r="X69" s="1">
        <v>2715</v>
      </c>
      <c r="Y69" s="1" t="s">
        <v>24</v>
      </c>
      <c r="Z69" s="1" t="s">
        <v>24</v>
      </c>
      <c r="AA69" s="1" t="s">
        <v>24</v>
      </c>
      <c r="AB69" s="1" t="s">
        <v>24</v>
      </c>
      <c r="AC69" s="1" t="s">
        <v>24</v>
      </c>
      <c r="AD69" s="1" t="s">
        <v>24</v>
      </c>
      <c r="AE69" s="1" t="s">
        <v>24</v>
      </c>
      <c r="AF69" s="22"/>
    </row>
    <row r="70" spans="1:32" x14ac:dyDescent="0.2">
      <c r="A70" s="1">
        <v>406</v>
      </c>
      <c r="B70" s="1" t="s">
        <v>317</v>
      </c>
      <c r="C70" s="5" t="s">
        <v>0</v>
      </c>
      <c r="D70" s="1" t="s">
        <v>318</v>
      </c>
      <c r="E70" s="1" t="s">
        <v>319</v>
      </c>
      <c r="F70" s="1" t="s">
        <v>320</v>
      </c>
      <c r="G70" s="1" t="s">
        <v>36</v>
      </c>
      <c r="H70" s="1" t="s">
        <v>30</v>
      </c>
      <c r="I70" s="1" t="s">
        <v>16</v>
      </c>
      <c r="J70" s="1">
        <v>3</v>
      </c>
      <c r="K70" s="1">
        <v>4</v>
      </c>
      <c r="L70" s="1" t="s">
        <v>31</v>
      </c>
      <c r="M70" s="1" t="s">
        <v>18</v>
      </c>
      <c r="N70" s="1" t="s">
        <v>18</v>
      </c>
      <c r="O70" s="1">
        <v>3</v>
      </c>
      <c r="P70" s="1">
        <v>7</v>
      </c>
      <c r="Q70" s="7" t="s">
        <v>17633</v>
      </c>
      <c r="R70" s="1" t="s">
        <v>19</v>
      </c>
      <c r="S70" s="1" t="s">
        <v>20</v>
      </c>
      <c r="T70" s="1" t="s">
        <v>21</v>
      </c>
      <c r="U70" s="1" t="s">
        <v>22</v>
      </c>
      <c r="V70" s="1" t="s">
        <v>24</v>
      </c>
      <c r="W70" s="1" t="s">
        <v>24</v>
      </c>
      <c r="X70" s="1">
        <v>2720</v>
      </c>
      <c r="Y70" s="1" t="s">
        <v>24</v>
      </c>
      <c r="Z70" s="1" t="s">
        <v>24</v>
      </c>
      <c r="AA70" s="1" t="s">
        <v>24</v>
      </c>
      <c r="AB70" s="1" t="s">
        <v>24</v>
      </c>
      <c r="AC70" s="1" t="s">
        <v>24</v>
      </c>
      <c r="AD70" s="1" t="s">
        <v>24</v>
      </c>
      <c r="AE70" s="1" t="s">
        <v>24</v>
      </c>
      <c r="AF70" s="22"/>
    </row>
    <row r="71" spans="1:32" x14ac:dyDescent="0.2">
      <c r="A71" s="1">
        <v>407</v>
      </c>
      <c r="B71" s="1" t="s">
        <v>321</v>
      </c>
      <c r="C71" s="5" t="s">
        <v>0</v>
      </c>
      <c r="D71" s="1" t="s">
        <v>322</v>
      </c>
      <c r="E71" s="1" t="s">
        <v>323</v>
      </c>
      <c r="F71" s="1" t="s">
        <v>324</v>
      </c>
      <c r="G71" s="1" t="s">
        <v>61</v>
      </c>
      <c r="H71" s="1" t="s">
        <v>30</v>
      </c>
      <c r="I71" s="1" t="s">
        <v>16</v>
      </c>
      <c r="J71" s="1">
        <v>2</v>
      </c>
      <c r="K71" s="1">
        <v>6</v>
      </c>
      <c r="L71" s="1" t="s">
        <v>31</v>
      </c>
      <c r="M71" s="1" t="s">
        <v>18</v>
      </c>
      <c r="N71" s="1" t="s">
        <v>18</v>
      </c>
      <c r="O71" s="1">
        <v>3</v>
      </c>
      <c r="P71" s="1">
        <v>7</v>
      </c>
      <c r="Q71" s="7" t="s">
        <v>17633</v>
      </c>
      <c r="R71" s="1" t="s">
        <v>62</v>
      </c>
      <c r="S71" s="1" t="s">
        <v>20</v>
      </c>
      <c r="T71" s="1" t="s">
        <v>21</v>
      </c>
      <c r="U71" s="1" t="s">
        <v>22</v>
      </c>
      <c r="V71" s="1" t="s">
        <v>24</v>
      </c>
      <c r="W71" s="1" t="s">
        <v>24</v>
      </c>
      <c r="X71" s="1">
        <v>1311</v>
      </c>
      <c r="Y71" s="1">
        <v>2716</v>
      </c>
      <c r="Z71" s="1" t="s">
        <v>24</v>
      </c>
      <c r="AA71" s="1" t="s">
        <v>24</v>
      </c>
      <c r="AB71" s="1" t="s">
        <v>24</v>
      </c>
      <c r="AC71" s="1" t="s">
        <v>24</v>
      </c>
      <c r="AD71" s="1" t="s">
        <v>24</v>
      </c>
      <c r="AE71" s="1" t="s">
        <v>24</v>
      </c>
      <c r="AF71" s="22"/>
    </row>
    <row r="72" spans="1:32" x14ac:dyDescent="0.2">
      <c r="A72" s="1">
        <v>410</v>
      </c>
      <c r="B72" s="1" t="s">
        <v>325</v>
      </c>
      <c r="C72" s="5" t="s">
        <v>0</v>
      </c>
      <c r="D72" s="1" t="s">
        <v>326</v>
      </c>
      <c r="E72" s="1" t="s">
        <v>327</v>
      </c>
      <c r="F72" s="1" t="s">
        <v>194</v>
      </c>
      <c r="G72" s="1" t="s">
        <v>61</v>
      </c>
      <c r="H72" s="1" t="s">
        <v>30</v>
      </c>
      <c r="I72" s="1" t="s">
        <v>16</v>
      </c>
      <c r="J72" s="1">
        <v>1</v>
      </c>
      <c r="K72" s="1">
        <v>10</v>
      </c>
      <c r="L72" s="1" t="s">
        <v>31</v>
      </c>
      <c r="M72" s="1" t="s">
        <v>18</v>
      </c>
      <c r="N72" s="1" t="s">
        <v>18</v>
      </c>
      <c r="O72" s="1">
        <v>2</v>
      </c>
      <c r="P72" s="1">
        <v>6</v>
      </c>
      <c r="R72" s="1" t="s">
        <v>19</v>
      </c>
      <c r="S72" s="1" t="s">
        <v>20</v>
      </c>
      <c r="T72" s="1" t="s">
        <v>21</v>
      </c>
      <c r="U72" s="1" t="s">
        <v>22</v>
      </c>
      <c r="V72" s="1" t="s">
        <v>23</v>
      </c>
      <c r="W72" s="1" t="s">
        <v>24</v>
      </c>
      <c r="X72" s="1">
        <v>2725</v>
      </c>
      <c r="Y72" s="1">
        <v>2739</v>
      </c>
      <c r="Z72" s="1">
        <v>2713</v>
      </c>
      <c r="AA72" s="1">
        <v>2719</v>
      </c>
      <c r="AB72" s="1" t="s">
        <v>24</v>
      </c>
      <c r="AC72" s="1" t="s">
        <v>24</v>
      </c>
      <c r="AD72" s="1" t="s">
        <v>24</v>
      </c>
      <c r="AE72" s="1" t="s">
        <v>24</v>
      </c>
      <c r="AF72" s="22"/>
    </row>
    <row r="73" spans="1:32" x14ac:dyDescent="0.2">
      <c r="A73" s="1">
        <v>414</v>
      </c>
      <c r="B73" s="1" t="s">
        <v>328</v>
      </c>
      <c r="C73" s="5" t="s">
        <v>0</v>
      </c>
      <c r="D73" s="1" t="s">
        <v>329</v>
      </c>
      <c r="E73" s="1" t="s">
        <v>330</v>
      </c>
      <c r="F73" s="1" t="s">
        <v>303</v>
      </c>
      <c r="G73" s="1" t="s">
        <v>61</v>
      </c>
      <c r="H73" s="1" t="s">
        <v>30</v>
      </c>
      <c r="I73" s="1" t="s">
        <v>16</v>
      </c>
      <c r="J73" s="1">
        <v>2</v>
      </c>
      <c r="K73" s="1">
        <v>6</v>
      </c>
      <c r="L73" s="1" t="s">
        <v>31</v>
      </c>
      <c r="M73" s="1" t="s">
        <v>18</v>
      </c>
      <c r="N73" s="1" t="s">
        <v>18</v>
      </c>
      <c r="O73" s="1">
        <v>3</v>
      </c>
      <c r="P73" s="1">
        <v>6</v>
      </c>
      <c r="R73" s="1" t="s">
        <v>62</v>
      </c>
      <c r="S73" s="1" t="s">
        <v>20</v>
      </c>
      <c r="T73" s="1" t="s">
        <v>21</v>
      </c>
      <c r="U73" s="1" t="s">
        <v>22</v>
      </c>
      <c r="V73" s="1" t="s">
        <v>23</v>
      </c>
      <c r="W73" s="1" t="s">
        <v>24</v>
      </c>
      <c r="X73" s="1">
        <v>2727</v>
      </c>
      <c r="Y73" s="1" t="s">
        <v>24</v>
      </c>
      <c r="Z73" s="1" t="s">
        <v>24</v>
      </c>
      <c r="AA73" s="1" t="s">
        <v>24</v>
      </c>
      <c r="AB73" s="1" t="s">
        <v>24</v>
      </c>
      <c r="AC73" s="1" t="s">
        <v>24</v>
      </c>
      <c r="AD73" s="1" t="s">
        <v>24</v>
      </c>
      <c r="AE73" s="1" t="s">
        <v>24</v>
      </c>
      <c r="AF73" s="22"/>
    </row>
    <row r="74" spans="1:32" x14ac:dyDescent="0.2">
      <c r="A74" s="1">
        <v>417</v>
      </c>
      <c r="B74" s="1" t="s">
        <v>331</v>
      </c>
      <c r="C74" s="5" t="s">
        <v>0</v>
      </c>
      <c r="D74" s="1" t="s">
        <v>332</v>
      </c>
      <c r="E74" s="1" t="s">
        <v>333</v>
      </c>
      <c r="F74" s="1" t="s">
        <v>272</v>
      </c>
      <c r="G74" s="1" t="s">
        <v>61</v>
      </c>
      <c r="H74" s="1" t="s">
        <v>30</v>
      </c>
      <c r="I74" s="1" t="s">
        <v>16</v>
      </c>
      <c r="J74" s="1">
        <v>1</v>
      </c>
      <c r="K74" s="1">
        <v>12</v>
      </c>
      <c r="L74" s="1" t="s">
        <v>31</v>
      </c>
      <c r="M74" s="1" t="s">
        <v>18</v>
      </c>
      <c r="N74" s="1" t="s">
        <v>18</v>
      </c>
      <c r="O74" s="1">
        <v>3</v>
      </c>
      <c r="P74" s="1">
        <v>7</v>
      </c>
      <c r="Q74" s="7" t="s">
        <v>17633</v>
      </c>
      <c r="R74" s="1" t="s">
        <v>62</v>
      </c>
      <c r="S74" s="1" t="s">
        <v>20</v>
      </c>
      <c r="T74" s="1" t="s">
        <v>21</v>
      </c>
      <c r="U74" s="1" t="s">
        <v>22</v>
      </c>
      <c r="V74" s="1" t="s">
        <v>23</v>
      </c>
      <c r="W74" s="1" t="s">
        <v>24</v>
      </c>
      <c r="X74" s="1">
        <v>2700</v>
      </c>
      <c r="Y74" s="1" t="s">
        <v>24</v>
      </c>
      <c r="Z74" s="1" t="s">
        <v>24</v>
      </c>
      <c r="AA74" s="1" t="s">
        <v>24</v>
      </c>
      <c r="AB74" s="1" t="s">
        <v>24</v>
      </c>
      <c r="AC74" s="1" t="s">
        <v>24</v>
      </c>
      <c r="AD74" s="1" t="s">
        <v>24</v>
      </c>
      <c r="AE74" s="1" t="s">
        <v>24</v>
      </c>
      <c r="AF74" s="22"/>
    </row>
    <row r="75" spans="1:32" x14ac:dyDescent="0.2">
      <c r="A75" s="1">
        <v>419</v>
      </c>
      <c r="B75" s="1" t="s">
        <v>334</v>
      </c>
      <c r="C75" s="5" t="s">
        <v>0</v>
      </c>
      <c r="D75" s="1" t="s">
        <v>335</v>
      </c>
      <c r="E75" s="1" t="s">
        <v>336</v>
      </c>
      <c r="F75" s="1" t="s">
        <v>320</v>
      </c>
      <c r="G75" s="1" t="s">
        <v>36</v>
      </c>
      <c r="H75" s="1" t="s">
        <v>30</v>
      </c>
      <c r="I75" s="1" t="s">
        <v>16</v>
      </c>
      <c r="J75" s="1">
        <v>0</v>
      </c>
      <c r="K75" s="1">
        <v>0</v>
      </c>
      <c r="L75" s="1" t="s">
        <v>31</v>
      </c>
      <c r="M75" s="1" t="s">
        <v>18</v>
      </c>
      <c r="N75" s="1" t="s">
        <v>18</v>
      </c>
      <c r="O75" s="1">
        <v>3</v>
      </c>
      <c r="P75" s="1">
        <v>8</v>
      </c>
      <c r="Q75" s="7" t="s">
        <v>17633</v>
      </c>
      <c r="R75" s="1" t="s">
        <v>19</v>
      </c>
      <c r="S75" s="1" t="s">
        <v>20</v>
      </c>
      <c r="T75" s="1" t="s">
        <v>21</v>
      </c>
      <c r="U75" s="1" t="s">
        <v>22</v>
      </c>
      <c r="V75" s="1" t="s">
        <v>24</v>
      </c>
      <c r="W75" s="1" t="s">
        <v>24</v>
      </c>
      <c r="X75" s="1">
        <v>2716</v>
      </c>
      <c r="Y75" s="1">
        <v>1311</v>
      </c>
      <c r="Z75" s="1" t="s">
        <v>24</v>
      </c>
      <c r="AA75" s="1" t="s">
        <v>24</v>
      </c>
      <c r="AB75" s="1" t="s">
        <v>24</v>
      </c>
      <c r="AC75" s="1" t="s">
        <v>24</v>
      </c>
      <c r="AD75" s="1" t="s">
        <v>24</v>
      </c>
      <c r="AE75" s="1" t="s">
        <v>24</v>
      </c>
      <c r="AF75" s="22"/>
    </row>
    <row r="76" spans="1:32" x14ac:dyDescent="0.2">
      <c r="A76" s="1">
        <v>422</v>
      </c>
      <c r="B76" s="1" t="s">
        <v>337</v>
      </c>
      <c r="C76" s="5" t="s">
        <v>0</v>
      </c>
      <c r="D76" s="1" t="s">
        <v>338</v>
      </c>
      <c r="E76" s="1" t="s">
        <v>339</v>
      </c>
      <c r="F76" s="1" t="s">
        <v>28</v>
      </c>
      <c r="G76" s="1" t="s">
        <v>29</v>
      </c>
      <c r="H76" s="1" t="s">
        <v>30</v>
      </c>
      <c r="I76" s="1" t="s">
        <v>16</v>
      </c>
      <c r="J76" s="1">
        <v>2</v>
      </c>
      <c r="K76" s="1">
        <v>6</v>
      </c>
      <c r="L76" s="1" t="s">
        <v>31</v>
      </c>
      <c r="M76" s="1" t="s">
        <v>18</v>
      </c>
      <c r="N76" s="1" t="s">
        <v>18</v>
      </c>
      <c r="O76" s="1">
        <v>3</v>
      </c>
      <c r="P76" s="1">
        <v>6</v>
      </c>
      <c r="R76" s="1" t="s">
        <v>19</v>
      </c>
      <c r="S76" s="1" t="s">
        <v>20</v>
      </c>
      <c r="T76" s="1" t="s">
        <v>21</v>
      </c>
      <c r="U76" s="1" t="s">
        <v>22</v>
      </c>
      <c r="V76" s="1" t="s">
        <v>24</v>
      </c>
      <c r="W76" s="1" t="s">
        <v>24</v>
      </c>
      <c r="X76" s="1">
        <v>2700</v>
      </c>
      <c r="Y76" s="1" t="s">
        <v>24</v>
      </c>
      <c r="Z76" s="1" t="s">
        <v>24</v>
      </c>
      <c r="AA76" s="1" t="s">
        <v>24</v>
      </c>
      <c r="AB76" s="1" t="s">
        <v>24</v>
      </c>
      <c r="AC76" s="1" t="s">
        <v>24</v>
      </c>
      <c r="AD76" s="1" t="s">
        <v>24</v>
      </c>
      <c r="AE76" s="1" t="s">
        <v>24</v>
      </c>
      <c r="AF76" s="22"/>
    </row>
    <row r="77" spans="1:32" x14ac:dyDescent="0.2">
      <c r="A77" s="1">
        <v>425</v>
      </c>
      <c r="B77" s="1" t="s">
        <v>340</v>
      </c>
      <c r="C77" s="5" t="s">
        <v>0</v>
      </c>
      <c r="D77" s="1" t="s">
        <v>341</v>
      </c>
      <c r="E77" s="1" t="s">
        <v>342</v>
      </c>
      <c r="F77" s="1" t="s">
        <v>109</v>
      </c>
      <c r="G77" s="1" t="s">
        <v>110</v>
      </c>
      <c r="H77" s="1" t="s">
        <v>111</v>
      </c>
      <c r="I77" s="1" t="s">
        <v>16</v>
      </c>
      <c r="J77" s="1">
        <v>1</v>
      </c>
      <c r="K77" s="1">
        <v>6</v>
      </c>
      <c r="L77" s="1" t="s">
        <v>31</v>
      </c>
      <c r="M77" s="1" t="s">
        <v>18</v>
      </c>
      <c r="N77" s="1" t="s">
        <v>18</v>
      </c>
      <c r="O77" s="1">
        <v>3</v>
      </c>
      <c r="P77" s="1">
        <v>7</v>
      </c>
      <c r="Q77" s="7" t="s">
        <v>17633</v>
      </c>
      <c r="R77" s="1" t="s">
        <v>19</v>
      </c>
      <c r="S77" s="1" t="s">
        <v>20</v>
      </c>
      <c r="T77" s="1" t="s">
        <v>21</v>
      </c>
      <c r="U77" s="1" t="s">
        <v>22</v>
      </c>
      <c r="V77" s="1" t="s">
        <v>24</v>
      </c>
      <c r="W77" s="1" t="s">
        <v>24</v>
      </c>
      <c r="X77" s="1">
        <v>2727</v>
      </c>
      <c r="Y77" s="1" t="s">
        <v>24</v>
      </c>
      <c r="Z77" s="1" t="s">
        <v>24</v>
      </c>
      <c r="AA77" s="1" t="s">
        <v>24</v>
      </c>
      <c r="AB77" s="1" t="s">
        <v>24</v>
      </c>
      <c r="AC77" s="1" t="s">
        <v>24</v>
      </c>
      <c r="AD77" s="1" t="s">
        <v>24</v>
      </c>
      <c r="AE77" s="1" t="s">
        <v>24</v>
      </c>
      <c r="AF77" s="22"/>
    </row>
    <row r="78" spans="1:32" x14ac:dyDescent="0.2">
      <c r="A78" s="1">
        <v>426</v>
      </c>
      <c r="B78" s="1" t="s">
        <v>343</v>
      </c>
      <c r="C78" s="5" t="s">
        <v>0</v>
      </c>
      <c r="D78" s="1" t="s">
        <v>344</v>
      </c>
      <c r="E78" s="1" t="s">
        <v>345</v>
      </c>
      <c r="F78" s="1" t="s">
        <v>346</v>
      </c>
      <c r="G78" s="1" t="s">
        <v>346</v>
      </c>
      <c r="H78" s="1" t="s">
        <v>86</v>
      </c>
      <c r="I78" s="1" t="s">
        <v>16</v>
      </c>
      <c r="J78" s="1">
        <v>0</v>
      </c>
      <c r="K78" s="1">
        <v>0</v>
      </c>
      <c r="L78" s="1" t="s">
        <v>42</v>
      </c>
      <c r="M78" s="1" t="s">
        <v>105</v>
      </c>
      <c r="N78" s="1" t="s">
        <v>105</v>
      </c>
      <c r="O78" s="1">
        <v>3</v>
      </c>
      <c r="P78" s="1">
        <v>6</v>
      </c>
      <c r="R78" s="1" t="s">
        <v>19</v>
      </c>
      <c r="S78" s="1" t="s">
        <v>20</v>
      </c>
      <c r="T78" s="1" t="s">
        <v>21</v>
      </c>
      <c r="U78" s="1" t="s">
        <v>22</v>
      </c>
      <c r="V78" s="1" t="s">
        <v>24</v>
      </c>
      <c r="W78" s="1" t="s">
        <v>24</v>
      </c>
      <c r="X78" s="1">
        <v>2728</v>
      </c>
      <c r="Y78" s="1">
        <v>2808</v>
      </c>
      <c r="Z78" s="1" t="s">
        <v>24</v>
      </c>
      <c r="AA78" s="1" t="s">
        <v>24</v>
      </c>
      <c r="AB78" s="1" t="s">
        <v>24</v>
      </c>
      <c r="AC78" s="1" t="s">
        <v>24</v>
      </c>
      <c r="AD78" s="1" t="s">
        <v>24</v>
      </c>
      <c r="AE78" s="1" t="s">
        <v>24</v>
      </c>
      <c r="AF78" s="22"/>
    </row>
    <row r="79" spans="1:32" x14ac:dyDescent="0.2">
      <c r="A79" s="1">
        <v>429</v>
      </c>
      <c r="B79" s="1" t="s">
        <v>347</v>
      </c>
      <c r="C79" s="5" t="s">
        <v>0</v>
      </c>
      <c r="D79" s="1" t="s">
        <v>348</v>
      </c>
      <c r="E79" s="1" t="s">
        <v>349</v>
      </c>
      <c r="F79" s="1" t="s">
        <v>194</v>
      </c>
      <c r="G79" s="1" t="s">
        <v>61</v>
      </c>
      <c r="H79" s="1" t="s">
        <v>30</v>
      </c>
      <c r="I79" s="1" t="s">
        <v>16</v>
      </c>
      <c r="J79" s="1">
        <v>2</v>
      </c>
      <c r="K79" s="1">
        <v>6</v>
      </c>
      <c r="L79" s="1" t="s">
        <v>31</v>
      </c>
      <c r="M79" s="1" t="s">
        <v>18</v>
      </c>
      <c r="N79" s="1" t="s">
        <v>18</v>
      </c>
      <c r="O79" s="1">
        <v>3</v>
      </c>
      <c r="P79" s="1">
        <v>8</v>
      </c>
      <c r="Q79" s="7" t="s">
        <v>17633</v>
      </c>
      <c r="R79" s="1" t="s">
        <v>62</v>
      </c>
      <c r="S79" s="1" t="s">
        <v>20</v>
      </c>
      <c r="T79" s="1" t="s">
        <v>21</v>
      </c>
      <c r="U79" s="1" t="s">
        <v>22</v>
      </c>
      <c r="V79" s="1" t="s">
        <v>23</v>
      </c>
      <c r="W79" s="1" t="s">
        <v>24</v>
      </c>
      <c r="X79" s="1">
        <v>2729</v>
      </c>
      <c r="Y79" s="1" t="s">
        <v>24</v>
      </c>
      <c r="Z79" s="1" t="s">
        <v>24</v>
      </c>
      <c r="AA79" s="1" t="s">
        <v>24</v>
      </c>
      <c r="AB79" s="1" t="s">
        <v>24</v>
      </c>
      <c r="AC79" s="1" t="s">
        <v>24</v>
      </c>
      <c r="AD79" s="1" t="s">
        <v>24</v>
      </c>
      <c r="AE79" s="1" t="s">
        <v>24</v>
      </c>
      <c r="AF79" s="22"/>
    </row>
    <row r="80" spans="1:32" x14ac:dyDescent="0.2">
      <c r="A80" s="1">
        <v>433</v>
      </c>
      <c r="B80" s="1" t="s">
        <v>350</v>
      </c>
      <c r="C80" s="5" t="s">
        <v>0</v>
      </c>
      <c r="D80" s="1" t="s">
        <v>351</v>
      </c>
      <c r="E80" s="1" t="s">
        <v>352</v>
      </c>
      <c r="F80" s="1" t="s">
        <v>272</v>
      </c>
      <c r="G80" s="1" t="s">
        <v>61</v>
      </c>
      <c r="H80" s="1" t="s">
        <v>30</v>
      </c>
      <c r="I80" s="1" t="s">
        <v>16</v>
      </c>
      <c r="J80" s="1">
        <v>2</v>
      </c>
      <c r="K80" s="1">
        <v>6</v>
      </c>
      <c r="L80" s="1" t="s">
        <v>31</v>
      </c>
      <c r="M80" s="1" t="s">
        <v>18</v>
      </c>
      <c r="N80" s="1" t="s">
        <v>18</v>
      </c>
      <c r="O80" s="1">
        <v>3</v>
      </c>
      <c r="P80" s="1">
        <v>7</v>
      </c>
      <c r="Q80" s="7" t="s">
        <v>17633</v>
      </c>
      <c r="R80" s="1" t="s">
        <v>19</v>
      </c>
      <c r="S80" s="1" t="s">
        <v>20</v>
      </c>
      <c r="T80" s="1" t="s">
        <v>21</v>
      </c>
      <c r="U80" s="1" t="s">
        <v>22</v>
      </c>
      <c r="V80" s="1" t="s">
        <v>24</v>
      </c>
      <c r="W80" s="1" t="s">
        <v>24</v>
      </c>
      <c r="X80" s="1">
        <v>2731</v>
      </c>
      <c r="Y80" s="1" t="s">
        <v>24</v>
      </c>
      <c r="Z80" s="1" t="s">
        <v>24</v>
      </c>
      <c r="AA80" s="1" t="s">
        <v>24</v>
      </c>
      <c r="AB80" s="1" t="s">
        <v>24</v>
      </c>
      <c r="AC80" s="1" t="s">
        <v>24</v>
      </c>
      <c r="AD80" s="1" t="s">
        <v>24</v>
      </c>
      <c r="AE80" s="1" t="s">
        <v>24</v>
      </c>
      <c r="AF80" s="22"/>
    </row>
    <row r="81" spans="1:32" x14ac:dyDescent="0.2">
      <c r="A81" s="1">
        <v>434</v>
      </c>
      <c r="B81" s="1" t="s">
        <v>353</v>
      </c>
      <c r="C81" s="5" t="s">
        <v>0</v>
      </c>
      <c r="D81" s="1" t="s">
        <v>354</v>
      </c>
      <c r="E81" s="1" t="s">
        <v>355</v>
      </c>
      <c r="F81" s="1" t="s">
        <v>356</v>
      </c>
      <c r="G81" s="1" t="s">
        <v>357</v>
      </c>
      <c r="H81" s="1" t="s">
        <v>30</v>
      </c>
      <c r="I81" s="1" t="s">
        <v>16</v>
      </c>
      <c r="J81" s="1">
        <v>1</v>
      </c>
      <c r="K81" s="1">
        <v>4</v>
      </c>
      <c r="L81" s="1" t="s">
        <v>31</v>
      </c>
      <c r="M81" s="1" t="s">
        <v>18</v>
      </c>
      <c r="N81" s="1" t="s">
        <v>18</v>
      </c>
      <c r="O81" s="1">
        <v>2</v>
      </c>
      <c r="P81" s="1">
        <v>6</v>
      </c>
      <c r="R81" s="1" t="s">
        <v>19</v>
      </c>
      <c r="S81" s="1" t="s">
        <v>20</v>
      </c>
      <c r="T81" s="1" t="s">
        <v>21</v>
      </c>
      <c r="U81" s="1" t="s">
        <v>22</v>
      </c>
      <c r="V81" s="1" t="s">
        <v>23</v>
      </c>
      <c r="W81" s="1" t="s">
        <v>24</v>
      </c>
      <c r="X81" s="1">
        <v>2738</v>
      </c>
      <c r="Y81" s="1">
        <v>3201</v>
      </c>
      <c r="Z81" s="1">
        <v>1201</v>
      </c>
      <c r="AA81" s="1">
        <v>3204</v>
      </c>
      <c r="AB81" s="1" t="s">
        <v>24</v>
      </c>
      <c r="AC81" s="1" t="s">
        <v>24</v>
      </c>
      <c r="AD81" s="1" t="s">
        <v>24</v>
      </c>
      <c r="AE81" s="1" t="s">
        <v>24</v>
      </c>
      <c r="AF81" s="22"/>
    </row>
    <row r="82" spans="1:32" x14ac:dyDescent="0.2">
      <c r="A82" s="1">
        <v>437</v>
      </c>
      <c r="B82" s="1" t="s">
        <v>358</v>
      </c>
      <c r="C82" s="5" t="s">
        <v>0</v>
      </c>
      <c r="D82" s="1" t="s">
        <v>359</v>
      </c>
      <c r="E82" s="1" t="s">
        <v>360</v>
      </c>
      <c r="F82" s="1" t="s">
        <v>303</v>
      </c>
      <c r="G82" s="1" t="s">
        <v>61</v>
      </c>
      <c r="H82" s="1" t="s">
        <v>30</v>
      </c>
      <c r="I82" s="1" t="s">
        <v>16</v>
      </c>
      <c r="J82" s="1">
        <v>1</v>
      </c>
      <c r="K82" s="1">
        <v>6</v>
      </c>
      <c r="L82" s="1" t="s">
        <v>31</v>
      </c>
      <c r="M82" s="1" t="s">
        <v>18</v>
      </c>
      <c r="N82" s="1" t="s">
        <v>18</v>
      </c>
      <c r="O82" s="1">
        <v>3</v>
      </c>
      <c r="P82" s="1">
        <v>7</v>
      </c>
      <c r="Q82" s="7" t="s">
        <v>17633</v>
      </c>
      <c r="R82" s="1" t="s">
        <v>19</v>
      </c>
      <c r="S82" s="1" t="s">
        <v>20</v>
      </c>
      <c r="T82" s="1" t="s">
        <v>21</v>
      </c>
      <c r="U82" s="1" t="s">
        <v>22</v>
      </c>
      <c r="V82" s="1" t="s">
        <v>23</v>
      </c>
      <c r="W82" s="1" t="s">
        <v>24</v>
      </c>
      <c r="X82" s="1">
        <v>2733</v>
      </c>
      <c r="Y82" s="1" t="s">
        <v>24</v>
      </c>
      <c r="Z82" s="1" t="s">
        <v>24</v>
      </c>
      <c r="AA82" s="1" t="s">
        <v>24</v>
      </c>
      <c r="AB82" s="1" t="s">
        <v>24</v>
      </c>
      <c r="AC82" s="1" t="s">
        <v>24</v>
      </c>
      <c r="AD82" s="1" t="s">
        <v>24</v>
      </c>
      <c r="AE82" s="1" t="s">
        <v>24</v>
      </c>
      <c r="AF82" s="22"/>
    </row>
    <row r="83" spans="1:32" x14ac:dyDescent="0.2">
      <c r="A83" s="1">
        <v>438</v>
      </c>
      <c r="B83" s="1" t="s">
        <v>361</v>
      </c>
      <c r="C83" s="5" t="s">
        <v>0</v>
      </c>
      <c r="D83" s="1" t="s">
        <v>362</v>
      </c>
      <c r="E83" s="1" t="s">
        <v>363</v>
      </c>
      <c r="F83" s="1" t="s">
        <v>272</v>
      </c>
      <c r="G83" s="1" t="s">
        <v>61</v>
      </c>
      <c r="H83" s="1" t="s">
        <v>30</v>
      </c>
      <c r="I83" s="1" t="s">
        <v>16</v>
      </c>
      <c r="J83" s="1">
        <v>2</v>
      </c>
      <c r="K83" s="1">
        <v>6</v>
      </c>
      <c r="L83" s="1" t="s">
        <v>31</v>
      </c>
      <c r="M83" s="1" t="s">
        <v>18</v>
      </c>
      <c r="N83" s="1" t="s">
        <v>18</v>
      </c>
      <c r="O83" s="1">
        <v>3</v>
      </c>
      <c r="P83" s="1">
        <v>7</v>
      </c>
      <c r="Q83" s="7" t="s">
        <v>17633</v>
      </c>
      <c r="R83" s="1" t="s">
        <v>62</v>
      </c>
      <c r="S83" s="1" t="s">
        <v>20</v>
      </c>
      <c r="T83" s="1" t="s">
        <v>21</v>
      </c>
      <c r="U83" s="1" t="s">
        <v>22</v>
      </c>
      <c r="V83" s="1" t="s">
        <v>24</v>
      </c>
      <c r="W83" s="1" t="s">
        <v>24</v>
      </c>
      <c r="X83" s="1">
        <v>2734</v>
      </c>
      <c r="Y83" s="1" t="s">
        <v>24</v>
      </c>
      <c r="Z83" s="1" t="s">
        <v>24</v>
      </c>
      <c r="AA83" s="1" t="s">
        <v>24</v>
      </c>
      <c r="AB83" s="1" t="s">
        <v>24</v>
      </c>
      <c r="AC83" s="1" t="s">
        <v>24</v>
      </c>
      <c r="AD83" s="1" t="s">
        <v>24</v>
      </c>
      <c r="AE83" s="1" t="s">
        <v>24</v>
      </c>
      <c r="AF83" s="22"/>
    </row>
    <row r="84" spans="1:32" x14ac:dyDescent="0.2">
      <c r="A84" s="1">
        <v>440</v>
      </c>
      <c r="B84" s="1" t="s">
        <v>364</v>
      </c>
      <c r="C84" s="5" t="s">
        <v>0</v>
      </c>
      <c r="D84" s="1" t="s">
        <v>365</v>
      </c>
      <c r="E84" s="1" t="s">
        <v>366</v>
      </c>
      <c r="F84" s="1" t="s">
        <v>367</v>
      </c>
      <c r="G84" s="1" t="s">
        <v>367</v>
      </c>
      <c r="H84" s="1" t="s">
        <v>30</v>
      </c>
      <c r="I84" s="1" t="s">
        <v>16</v>
      </c>
      <c r="J84" s="1">
        <v>2</v>
      </c>
      <c r="K84" s="1">
        <v>6</v>
      </c>
      <c r="L84" s="1" t="s">
        <v>42</v>
      </c>
      <c r="M84" s="1" t="s">
        <v>18</v>
      </c>
      <c r="N84" s="1" t="s">
        <v>18</v>
      </c>
      <c r="O84" s="1">
        <v>3</v>
      </c>
      <c r="P84" s="1">
        <v>8</v>
      </c>
      <c r="Q84" s="7" t="s">
        <v>17633</v>
      </c>
      <c r="R84" s="1" t="s">
        <v>62</v>
      </c>
      <c r="S84" s="1" t="s">
        <v>20</v>
      </c>
      <c r="T84" s="1" t="s">
        <v>21</v>
      </c>
      <c r="U84" s="1" t="s">
        <v>22</v>
      </c>
      <c r="V84" s="1" t="s">
        <v>24</v>
      </c>
      <c r="W84" s="1" t="s">
        <v>24</v>
      </c>
      <c r="X84" s="1">
        <v>1307</v>
      </c>
      <c r="Y84" s="1">
        <v>1314</v>
      </c>
      <c r="Z84" s="1" t="s">
        <v>24</v>
      </c>
      <c r="AA84" s="1" t="s">
        <v>24</v>
      </c>
      <c r="AB84" s="1" t="s">
        <v>24</v>
      </c>
      <c r="AC84" s="1" t="s">
        <v>24</v>
      </c>
      <c r="AD84" s="1" t="s">
        <v>24</v>
      </c>
      <c r="AE84" s="1" t="s">
        <v>24</v>
      </c>
      <c r="AF84" s="22"/>
    </row>
    <row r="85" spans="1:32" x14ac:dyDescent="0.2">
      <c r="A85" s="1">
        <v>443</v>
      </c>
      <c r="B85" s="1" t="s">
        <v>368</v>
      </c>
      <c r="C85" s="5" t="s">
        <v>0</v>
      </c>
      <c r="D85" s="1" t="s">
        <v>369</v>
      </c>
      <c r="E85" s="1" t="s">
        <v>370</v>
      </c>
      <c r="F85" s="1" t="s">
        <v>371</v>
      </c>
      <c r="G85" s="1" t="s">
        <v>372</v>
      </c>
      <c r="H85" s="1" t="s">
        <v>30</v>
      </c>
      <c r="I85" s="1" t="s">
        <v>16</v>
      </c>
      <c r="J85" s="1">
        <v>1</v>
      </c>
      <c r="K85" s="1">
        <v>12</v>
      </c>
      <c r="L85" s="1" t="s">
        <v>31</v>
      </c>
      <c r="M85" s="1" t="s">
        <v>18</v>
      </c>
      <c r="N85" s="1" t="s">
        <v>18</v>
      </c>
      <c r="O85" s="1">
        <v>3</v>
      </c>
      <c r="P85" s="1">
        <v>7</v>
      </c>
      <c r="Q85" s="7" t="s">
        <v>17633</v>
      </c>
      <c r="R85" s="1" t="s">
        <v>19</v>
      </c>
      <c r="S85" s="1" t="s">
        <v>63</v>
      </c>
      <c r="T85" s="1" t="s">
        <v>21</v>
      </c>
      <c r="U85" s="1" t="s">
        <v>22</v>
      </c>
      <c r="V85" s="1" t="s">
        <v>23</v>
      </c>
      <c r="W85" s="1" t="s">
        <v>24</v>
      </c>
      <c r="X85" s="1">
        <v>2735</v>
      </c>
      <c r="Y85" s="1">
        <v>2729</v>
      </c>
      <c r="Z85" s="1" t="s">
        <v>24</v>
      </c>
      <c r="AA85" s="1" t="s">
        <v>24</v>
      </c>
      <c r="AB85" s="1" t="s">
        <v>24</v>
      </c>
      <c r="AC85" s="1" t="s">
        <v>24</v>
      </c>
      <c r="AD85" s="1" t="s">
        <v>24</v>
      </c>
      <c r="AE85" s="1" t="s">
        <v>24</v>
      </c>
      <c r="AF85" s="22"/>
    </row>
    <row r="86" spans="1:32" x14ac:dyDescent="0.2">
      <c r="A86" s="1">
        <v>447</v>
      </c>
      <c r="B86" s="1" t="s">
        <v>373</v>
      </c>
      <c r="C86" s="5" t="s">
        <v>0</v>
      </c>
      <c r="D86" s="1" t="s">
        <v>374</v>
      </c>
      <c r="E86" s="1" t="s">
        <v>375</v>
      </c>
      <c r="F86" s="1" t="s">
        <v>367</v>
      </c>
      <c r="G86" s="1" t="s">
        <v>367</v>
      </c>
      <c r="H86" s="1" t="s">
        <v>30</v>
      </c>
      <c r="I86" s="1" t="s">
        <v>16</v>
      </c>
      <c r="J86" s="1">
        <v>2</v>
      </c>
      <c r="K86" s="1">
        <v>6</v>
      </c>
      <c r="L86" s="1" t="s">
        <v>42</v>
      </c>
      <c r="M86" s="1" t="s">
        <v>18</v>
      </c>
      <c r="N86" s="1" t="s">
        <v>18</v>
      </c>
      <c r="O86" s="1">
        <v>3</v>
      </c>
      <c r="P86" s="1">
        <v>8</v>
      </c>
      <c r="Q86" s="7" t="s">
        <v>17633</v>
      </c>
      <c r="R86" s="1" t="s">
        <v>62</v>
      </c>
      <c r="S86" s="1" t="s">
        <v>20</v>
      </c>
      <c r="T86" s="1" t="s">
        <v>21</v>
      </c>
      <c r="U86" s="1" t="s">
        <v>22</v>
      </c>
      <c r="V86" s="1" t="s">
        <v>24</v>
      </c>
      <c r="W86" s="1" t="s">
        <v>24</v>
      </c>
      <c r="X86" s="1">
        <v>1314</v>
      </c>
      <c r="Y86" s="1">
        <v>2737</v>
      </c>
      <c r="Z86" s="1">
        <v>2712</v>
      </c>
      <c r="AA86" s="1" t="s">
        <v>24</v>
      </c>
      <c r="AB86" s="1" t="s">
        <v>24</v>
      </c>
      <c r="AC86" s="1" t="s">
        <v>24</v>
      </c>
      <c r="AD86" s="1" t="s">
        <v>24</v>
      </c>
      <c r="AE86" s="1" t="s">
        <v>24</v>
      </c>
      <c r="AF86" s="22"/>
    </row>
    <row r="87" spans="1:32" x14ac:dyDescent="0.2">
      <c r="A87" s="1">
        <v>448</v>
      </c>
      <c r="B87" s="1" t="s">
        <v>376</v>
      </c>
      <c r="C87" s="5" t="s">
        <v>0</v>
      </c>
      <c r="D87" s="1" t="s">
        <v>377</v>
      </c>
      <c r="E87" s="1" t="s">
        <v>378</v>
      </c>
      <c r="F87" s="1" t="s">
        <v>272</v>
      </c>
      <c r="G87" s="1" t="s">
        <v>61</v>
      </c>
      <c r="H87" s="1" t="s">
        <v>30</v>
      </c>
      <c r="I87" s="1" t="s">
        <v>16</v>
      </c>
      <c r="J87" s="1">
        <v>2</v>
      </c>
      <c r="K87" s="1">
        <v>6</v>
      </c>
      <c r="L87" s="1" t="s">
        <v>31</v>
      </c>
      <c r="M87" s="1" t="s">
        <v>18</v>
      </c>
      <c r="N87" s="1" t="s">
        <v>18</v>
      </c>
      <c r="O87" s="1">
        <v>3</v>
      </c>
      <c r="P87" s="1">
        <v>6</v>
      </c>
      <c r="R87" s="1" t="s">
        <v>62</v>
      </c>
      <c r="S87" s="1" t="s">
        <v>20</v>
      </c>
      <c r="T87" s="1" t="s">
        <v>21</v>
      </c>
      <c r="U87" s="1" t="s">
        <v>22</v>
      </c>
      <c r="V87" s="1" t="s">
        <v>24</v>
      </c>
      <c r="W87" s="1" t="s">
        <v>24</v>
      </c>
      <c r="X87" s="1">
        <v>2739</v>
      </c>
      <c r="Y87" s="1">
        <v>2713</v>
      </c>
      <c r="Z87" s="1" t="s">
        <v>24</v>
      </c>
      <c r="AA87" s="1" t="s">
        <v>24</v>
      </c>
      <c r="AB87" s="1" t="s">
        <v>24</v>
      </c>
      <c r="AC87" s="1" t="s">
        <v>24</v>
      </c>
      <c r="AD87" s="1" t="s">
        <v>24</v>
      </c>
      <c r="AE87" s="1" t="s">
        <v>24</v>
      </c>
      <c r="AF87" s="22"/>
    </row>
    <row r="88" spans="1:32" x14ac:dyDescent="0.2">
      <c r="A88" s="1">
        <v>449</v>
      </c>
      <c r="B88" s="1" t="s">
        <v>379</v>
      </c>
      <c r="C88" s="5" t="s">
        <v>0</v>
      </c>
      <c r="D88" s="1" t="s">
        <v>380</v>
      </c>
      <c r="E88" s="1" t="s">
        <v>381</v>
      </c>
      <c r="F88" s="1" t="s">
        <v>320</v>
      </c>
      <c r="G88" s="1" t="s">
        <v>36</v>
      </c>
      <c r="H88" s="1" t="s">
        <v>30</v>
      </c>
      <c r="I88" s="1" t="s">
        <v>16</v>
      </c>
      <c r="J88" s="1">
        <v>3</v>
      </c>
      <c r="K88" s="1">
        <v>4</v>
      </c>
      <c r="L88" s="1" t="s">
        <v>31</v>
      </c>
      <c r="M88" s="1" t="s">
        <v>18</v>
      </c>
      <c r="N88" s="1" t="s">
        <v>18</v>
      </c>
      <c r="O88" s="1">
        <v>3</v>
      </c>
      <c r="P88" s="1">
        <v>6</v>
      </c>
      <c r="R88" s="1" t="s">
        <v>19</v>
      </c>
      <c r="S88" s="1" t="s">
        <v>20</v>
      </c>
      <c r="T88" s="1" t="s">
        <v>21</v>
      </c>
      <c r="U88" s="1" t="s">
        <v>22</v>
      </c>
      <c r="V88" s="1" t="s">
        <v>24</v>
      </c>
      <c r="W88" s="1" t="s">
        <v>24</v>
      </c>
      <c r="X88" s="1">
        <v>3314</v>
      </c>
      <c r="Y88" s="1">
        <v>2702</v>
      </c>
      <c r="Z88" s="1" t="s">
        <v>24</v>
      </c>
      <c r="AA88" s="1" t="s">
        <v>24</v>
      </c>
      <c r="AB88" s="1" t="s">
        <v>24</v>
      </c>
      <c r="AC88" s="1" t="s">
        <v>24</v>
      </c>
      <c r="AD88" s="1" t="s">
        <v>24</v>
      </c>
      <c r="AE88" s="1" t="s">
        <v>24</v>
      </c>
      <c r="AF88" s="22"/>
    </row>
    <row r="89" spans="1:32" x14ac:dyDescent="0.2">
      <c r="A89" s="1">
        <v>453</v>
      </c>
      <c r="B89" s="1" t="s">
        <v>382</v>
      </c>
      <c r="C89" s="5" t="s">
        <v>0</v>
      </c>
      <c r="D89" s="1" t="s">
        <v>383</v>
      </c>
      <c r="E89" s="1" t="s">
        <v>384</v>
      </c>
      <c r="F89" s="1" t="s">
        <v>367</v>
      </c>
      <c r="G89" s="1" t="s">
        <v>367</v>
      </c>
      <c r="H89" s="1" t="s">
        <v>30</v>
      </c>
      <c r="I89" s="1" t="s">
        <v>16</v>
      </c>
      <c r="J89" s="1">
        <v>2</v>
      </c>
      <c r="K89" s="1">
        <v>6</v>
      </c>
      <c r="L89" s="1" t="s">
        <v>42</v>
      </c>
      <c r="M89" s="1" t="s">
        <v>18</v>
      </c>
      <c r="N89" s="1" t="s">
        <v>18</v>
      </c>
      <c r="O89" s="1">
        <v>3</v>
      </c>
      <c r="P89" s="1">
        <v>8</v>
      </c>
      <c r="Q89" s="7" t="s">
        <v>17633</v>
      </c>
      <c r="R89" s="1" t="s">
        <v>62</v>
      </c>
      <c r="S89" s="1" t="s">
        <v>20</v>
      </c>
      <c r="T89" s="1" t="s">
        <v>21</v>
      </c>
      <c r="U89" s="1" t="s">
        <v>22</v>
      </c>
      <c r="V89" s="1" t="s">
        <v>24</v>
      </c>
      <c r="W89" s="1" t="s">
        <v>24</v>
      </c>
      <c r="X89" s="1">
        <v>1314</v>
      </c>
      <c r="Y89" s="1">
        <v>2737</v>
      </c>
      <c r="Z89" s="1">
        <v>2705</v>
      </c>
      <c r="AA89" s="1" t="s">
        <v>24</v>
      </c>
      <c r="AB89" s="1" t="s">
        <v>24</v>
      </c>
      <c r="AC89" s="1" t="s">
        <v>24</v>
      </c>
      <c r="AD89" s="1" t="s">
        <v>24</v>
      </c>
      <c r="AE89" s="1" t="s">
        <v>24</v>
      </c>
      <c r="AF89" s="22"/>
    </row>
    <row r="90" spans="1:32" x14ac:dyDescent="0.2">
      <c r="A90" s="1">
        <v>455</v>
      </c>
      <c r="B90" s="1" t="s">
        <v>385</v>
      </c>
      <c r="C90" s="5" t="s">
        <v>0</v>
      </c>
      <c r="D90" s="1" t="s">
        <v>386</v>
      </c>
      <c r="F90" s="1" t="s">
        <v>387</v>
      </c>
      <c r="G90" s="1" t="s">
        <v>387</v>
      </c>
      <c r="H90" s="1" t="s">
        <v>264</v>
      </c>
      <c r="I90" s="1" t="s">
        <v>16</v>
      </c>
      <c r="J90" s="1">
        <v>1</v>
      </c>
      <c r="K90" s="1">
        <v>12</v>
      </c>
      <c r="L90" s="1" t="s">
        <v>42</v>
      </c>
      <c r="M90" s="1" t="s">
        <v>18</v>
      </c>
      <c r="N90" s="1" t="s">
        <v>18</v>
      </c>
      <c r="O90" s="1">
        <v>0</v>
      </c>
      <c r="P90" s="1">
        <v>5</v>
      </c>
      <c r="R90" s="1" t="s">
        <v>19</v>
      </c>
      <c r="S90" s="1" t="s">
        <v>20</v>
      </c>
      <c r="T90" s="1" t="s">
        <v>21</v>
      </c>
      <c r="U90" s="1" t="s">
        <v>22</v>
      </c>
      <c r="V90" s="1" t="s">
        <v>23</v>
      </c>
      <c r="W90" s="1" t="s">
        <v>24</v>
      </c>
      <c r="X90" s="1">
        <v>3611</v>
      </c>
      <c r="Y90" s="1">
        <v>2736</v>
      </c>
      <c r="Z90" s="1" t="s">
        <v>24</v>
      </c>
      <c r="AA90" s="1" t="s">
        <v>24</v>
      </c>
      <c r="AB90" s="1" t="s">
        <v>24</v>
      </c>
      <c r="AC90" s="1" t="s">
        <v>24</v>
      </c>
      <c r="AD90" s="1" t="s">
        <v>24</v>
      </c>
      <c r="AE90" s="1" t="s">
        <v>24</v>
      </c>
      <c r="AF90" s="22"/>
    </row>
    <row r="91" spans="1:32" x14ac:dyDescent="0.2">
      <c r="A91" s="1">
        <v>456</v>
      </c>
      <c r="B91" s="1" t="s">
        <v>388</v>
      </c>
      <c r="C91" s="5" t="s">
        <v>0</v>
      </c>
      <c r="D91" s="1" t="s">
        <v>389</v>
      </c>
      <c r="E91" s="1" t="s">
        <v>390</v>
      </c>
      <c r="F91" s="1" t="s">
        <v>367</v>
      </c>
      <c r="G91" s="1" t="s">
        <v>367</v>
      </c>
      <c r="H91" s="1" t="s">
        <v>30</v>
      </c>
      <c r="I91" s="1" t="s">
        <v>16</v>
      </c>
      <c r="J91" s="1">
        <v>2</v>
      </c>
      <c r="K91" s="1">
        <v>6</v>
      </c>
      <c r="L91" s="1" t="s">
        <v>42</v>
      </c>
      <c r="M91" s="1" t="s">
        <v>18</v>
      </c>
      <c r="N91" s="1" t="s">
        <v>18</v>
      </c>
      <c r="O91" s="1">
        <v>3</v>
      </c>
      <c r="P91" s="1">
        <v>8</v>
      </c>
      <c r="Q91" s="7" t="s">
        <v>17633</v>
      </c>
      <c r="R91" s="1" t="s">
        <v>62</v>
      </c>
      <c r="S91" s="1" t="s">
        <v>20</v>
      </c>
      <c r="T91" s="1" t="s">
        <v>21</v>
      </c>
      <c r="U91" s="1" t="s">
        <v>22</v>
      </c>
      <c r="V91" s="1" t="s">
        <v>24</v>
      </c>
      <c r="W91" s="1" t="s">
        <v>24</v>
      </c>
      <c r="X91" s="1">
        <v>1314</v>
      </c>
      <c r="Y91" s="1">
        <v>2737</v>
      </c>
      <c r="Z91" s="1" t="s">
        <v>24</v>
      </c>
      <c r="AA91" s="1" t="s">
        <v>24</v>
      </c>
      <c r="AB91" s="1" t="s">
        <v>24</v>
      </c>
      <c r="AC91" s="1" t="s">
        <v>24</v>
      </c>
      <c r="AD91" s="1" t="s">
        <v>24</v>
      </c>
      <c r="AE91" s="1" t="s">
        <v>24</v>
      </c>
      <c r="AF91" s="22"/>
    </row>
    <row r="92" spans="1:32" x14ac:dyDescent="0.2">
      <c r="A92" s="1">
        <v>457</v>
      </c>
      <c r="B92" s="1" t="s">
        <v>391</v>
      </c>
      <c r="C92" s="5" t="s">
        <v>0</v>
      </c>
      <c r="D92" s="1" t="s">
        <v>392</v>
      </c>
      <c r="E92" s="1" t="s">
        <v>393</v>
      </c>
      <c r="F92" s="1" t="s">
        <v>394</v>
      </c>
      <c r="G92" s="1" t="s">
        <v>394</v>
      </c>
      <c r="H92" s="1" t="s">
        <v>30</v>
      </c>
      <c r="I92" s="1" t="s">
        <v>16</v>
      </c>
      <c r="J92" s="1">
        <v>1</v>
      </c>
      <c r="K92" s="1">
        <v>12</v>
      </c>
      <c r="L92" s="1" t="s">
        <v>42</v>
      </c>
      <c r="M92" s="1" t="s">
        <v>18</v>
      </c>
      <c r="N92" s="1" t="s">
        <v>18</v>
      </c>
      <c r="O92" s="1">
        <v>3</v>
      </c>
      <c r="P92" s="1">
        <v>7</v>
      </c>
      <c r="Q92" s="7" t="s">
        <v>17633</v>
      </c>
      <c r="R92" s="1" t="s">
        <v>62</v>
      </c>
      <c r="S92" s="1" t="s">
        <v>20</v>
      </c>
      <c r="T92" s="1" t="s">
        <v>21</v>
      </c>
      <c r="U92" s="1" t="s">
        <v>22</v>
      </c>
      <c r="V92" s="1" t="s">
        <v>23</v>
      </c>
      <c r="W92" s="1" t="s">
        <v>24</v>
      </c>
      <c r="X92" s="1">
        <v>2738</v>
      </c>
      <c r="Y92" s="1">
        <v>1201</v>
      </c>
      <c r="Z92" s="1" t="s">
        <v>24</v>
      </c>
      <c r="AA92" s="1" t="s">
        <v>24</v>
      </c>
      <c r="AB92" s="1" t="s">
        <v>24</v>
      </c>
      <c r="AC92" s="1" t="s">
        <v>24</v>
      </c>
      <c r="AD92" s="1" t="s">
        <v>24</v>
      </c>
      <c r="AE92" s="1" t="s">
        <v>24</v>
      </c>
      <c r="AF92" s="22"/>
    </row>
    <row r="93" spans="1:32" x14ac:dyDescent="0.2">
      <c r="A93" s="1">
        <v>465</v>
      </c>
      <c r="B93" s="1" t="s">
        <v>395</v>
      </c>
      <c r="C93" s="5" t="s">
        <v>0</v>
      </c>
      <c r="D93" s="1" t="s">
        <v>396</v>
      </c>
      <c r="E93" s="1" t="s">
        <v>397</v>
      </c>
      <c r="F93" s="1" t="s">
        <v>398</v>
      </c>
      <c r="G93" s="1" t="s">
        <v>398</v>
      </c>
      <c r="H93" s="1" t="s">
        <v>30</v>
      </c>
      <c r="I93" s="1" t="s">
        <v>16</v>
      </c>
      <c r="J93" s="1">
        <v>2</v>
      </c>
      <c r="K93" s="1">
        <v>6</v>
      </c>
      <c r="L93" s="1" t="s">
        <v>42</v>
      </c>
      <c r="M93" s="1" t="s">
        <v>18</v>
      </c>
      <c r="N93" s="1" t="s">
        <v>18</v>
      </c>
      <c r="O93" s="1">
        <v>3</v>
      </c>
      <c r="P93" s="1">
        <v>7</v>
      </c>
      <c r="Q93" s="7" t="s">
        <v>17633</v>
      </c>
      <c r="R93" s="1" t="s">
        <v>19</v>
      </c>
      <c r="S93" s="1" t="s">
        <v>20</v>
      </c>
      <c r="T93" s="1" t="s">
        <v>21</v>
      </c>
      <c r="U93" s="1" t="s">
        <v>22</v>
      </c>
      <c r="V93" s="1" t="s">
        <v>23</v>
      </c>
      <c r="W93" s="1" t="s">
        <v>24</v>
      </c>
      <c r="X93" s="1">
        <v>2741</v>
      </c>
      <c r="Y93" s="1" t="s">
        <v>24</v>
      </c>
      <c r="Z93" s="1" t="s">
        <v>24</v>
      </c>
      <c r="AA93" s="1" t="s">
        <v>24</v>
      </c>
      <c r="AB93" s="1" t="s">
        <v>24</v>
      </c>
      <c r="AC93" s="1" t="s">
        <v>24</v>
      </c>
      <c r="AD93" s="1" t="s">
        <v>24</v>
      </c>
      <c r="AE93" s="1" t="s">
        <v>24</v>
      </c>
      <c r="AF93" s="22"/>
    </row>
    <row r="94" spans="1:32" x14ac:dyDescent="0.2">
      <c r="A94" s="1">
        <v>470</v>
      </c>
      <c r="B94" s="1" t="s">
        <v>399</v>
      </c>
      <c r="C94" s="5" t="s">
        <v>0</v>
      </c>
      <c r="D94" s="1" t="s">
        <v>400</v>
      </c>
      <c r="E94" s="1" t="s">
        <v>401</v>
      </c>
      <c r="F94" s="1" t="s">
        <v>272</v>
      </c>
      <c r="G94" s="1" t="s">
        <v>61</v>
      </c>
      <c r="H94" s="1" t="s">
        <v>30</v>
      </c>
      <c r="I94" s="1" t="s">
        <v>16</v>
      </c>
      <c r="J94" s="1">
        <v>2</v>
      </c>
      <c r="K94" s="1">
        <v>6</v>
      </c>
      <c r="L94" s="1" t="s">
        <v>31</v>
      </c>
      <c r="M94" s="1" t="s">
        <v>18</v>
      </c>
      <c r="N94" s="1" t="s">
        <v>18</v>
      </c>
      <c r="O94" s="1">
        <v>3</v>
      </c>
      <c r="P94" s="1">
        <v>7</v>
      </c>
      <c r="Q94" s="7" t="s">
        <v>17633</v>
      </c>
      <c r="R94" s="1" t="s">
        <v>19</v>
      </c>
      <c r="S94" s="1" t="s">
        <v>20</v>
      </c>
      <c r="T94" s="1" t="s">
        <v>21</v>
      </c>
      <c r="U94" s="1" t="s">
        <v>22</v>
      </c>
      <c r="V94" s="1" t="s">
        <v>24</v>
      </c>
      <c r="W94" s="1" t="s">
        <v>24</v>
      </c>
      <c r="X94" s="1">
        <v>2746</v>
      </c>
      <c r="Y94" s="1" t="s">
        <v>24</v>
      </c>
      <c r="Z94" s="1" t="s">
        <v>24</v>
      </c>
      <c r="AA94" s="1" t="s">
        <v>24</v>
      </c>
      <c r="AB94" s="1" t="s">
        <v>24</v>
      </c>
      <c r="AC94" s="1" t="s">
        <v>24</v>
      </c>
      <c r="AD94" s="1" t="s">
        <v>24</v>
      </c>
      <c r="AE94" s="1" t="s">
        <v>24</v>
      </c>
      <c r="AF94" s="22"/>
    </row>
    <row r="95" spans="1:32" x14ac:dyDescent="0.2">
      <c r="A95" s="1">
        <v>471</v>
      </c>
      <c r="B95" s="1" t="s">
        <v>402</v>
      </c>
      <c r="C95" s="5" t="s">
        <v>0</v>
      </c>
      <c r="D95" s="1" t="s">
        <v>403</v>
      </c>
      <c r="F95" s="1" t="s">
        <v>404</v>
      </c>
      <c r="G95" s="1" t="s">
        <v>404</v>
      </c>
      <c r="H95" s="1" t="s">
        <v>30</v>
      </c>
      <c r="I95" s="1" t="s">
        <v>16</v>
      </c>
      <c r="J95" s="1">
        <v>2</v>
      </c>
      <c r="K95" s="1">
        <v>6</v>
      </c>
      <c r="L95" s="1" t="s">
        <v>42</v>
      </c>
      <c r="M95" s="1" t="s">
        <v>18</v>
      </c>
      <c r="N95" s="1" t="s">
        <v>18</v>
      </c>
      <c r="O95" s="1">
        <v>3</v>
      </c>
      <c r="P95" s="1">
        <v>6</v>
      </c>
      <c r="R95" s="1" t="s">
        <v>19</v>
      </c>
      <c r="S95" s="1" t="s">
        <v>20</v>
      </c>
      <c r="T95" s="1" t="s">
        <v>21</v>
      </c>
      <c r="U95" s="1" t="s">
        <v>22</v>
      </c>
      <c r="V95" s="1" t="s">
        <v>24</v>
      </c>
      <c r="W95" s="1" t="s">
        <v>24</v>
      </c>
      <c r="X95" s="1">
        <v>2405</v>
      </c>
      <c r="Y95" s="1">
        <v>2725</v>
      </c>
      <c r="Z95" s="1">
        <v>2406</v>
      </c>
      <c r="AA95" s="1" t="s">
        <v>24</v>
      </c>
      <c r="AB95" s="1" t="s">
        <v>24</v>
      </c>
      <c r="AC95" s="1" t="s">
        <v>24</v>
      </c>
      <c r="AD95" s="1" t="s">
        <v>24</v>
      </c>
      <c r="AE95" s="1" t="s">
        <v>24</v>
      </c>
      <c r="AF95" s="22"/>
    </row>
    <row r="96" spans="1:32" x14ac:dyDescent="0.2">
      <c r="A96" s="1">
        <v>473</v>
      </c>
      <c r="B96" s="1" t="s">
        <v>405</v>
      </c>
      <c r="C96" s="5" t="s">
        <v>0</v>
      </c>
      <c r="D96" s="1" t="s">
        <v>406</v>
      </c>
      <c r="E96" s="1" t="s">
        <v>407</v>
      </c>
      <c r="F96" s="1" t="s">
        <v>408</v>
      </c>
      <c r="G96" s="1" t="s">
        <v>408</v>
      </c>
      <c r="H96" s="1" t="s">
        <v>30</v>
      </c>
      <c r="I96" s="1" t="s">
        <v>16</v>
      </c>
      <c r="J96" s="1">
        <v>1</v>
      </c>
      <c r="K96" s="1">
        <v>12</v>
      </c>
      <c r="L96" s="1" t="s">
        <v>42</v>
      </c>
      <c r="M96" s="1" t="s">
        <v>18</v>
      </c>
      <c r="N96" s="1" t="s">
        <v>18</v>
      </c>
      <c r="O96" s="1">
        <v>3</v>
      </c>
      <c r="P96" s="1">
        <v>6</v>
      </c>
      <c r="R96" s="1" t="s">
        <v>19</v>
      </c>
      <c r="S96" s="1" t="s">
        <v>20</v>
      </c>
      <c r="T96" s="1" t="s">
        <v>21</v>
      </c>
      <c r="U96" s="1" t="s">
        <v>22</v>
      </c>
      <c r="V96" s="1" t="s">
        <v>24</v>
      </c>
      <c r="W96" s="1" t="s">
        <v>24</v>
      </c>
      <c r="X96" s="1">
        <v>3400</v>
      </c>
      <c r="Y96" s="1" t="s">
        <v>24</v>
      </c>
      <c r="Z96" s="1" t="s">
        <v>24</v>
      </c>
      <c r="AA96" s="1" t="s">
        <v>24</v>
      </c>
      <c r="AB96" s="1" t="s">
        <v>24</v>
      </c>
      <c r="AC96" s="1" t="s">
        <v>24</v>
      </c>
      <c r="AD96" s="1" t="s">
        <v>24</v>
      </c>
      <c r="AE96" s="1" t="s">
        <v>24</v>
      </c>
      <c r="AF96" s="22"/>
    </row>
    <row r="97" spans="1:32" x14ac:dyDescent="0.2">
      <c r="A97" s="1">
        <v>479</v>
      </c>
      <c r="B97" s="1" t="s">
        <v>409</v>
      </c>
      <c r="C97" s="5" t="s">
        <v>0</v>
      </c>
      <c r="D97" s="1" t="s">
        <v>410</v>
      </c>
      <c r="E97" s="1" t="s">
        <v>411</v>
      </c>
      <c r="F97" s="1" t="s">
        <v>412</v>
      </c>
      <c r="G97" s="1" t="s">
        <v>372</v>
      </c>
      <c r="H97" s="1" t="s">
        <v>168</v>
      </c>
      <c r="I97" s="1" t="s">
        <v>16</v>
      </c>
      <c r="J97" s="1">
        <v>1</v>
      </c>
      <c r="K97" s="1">
        <v>12</v>
      </c>
      <c r="L97" s="1" t="s">
        <v>31</v>
      </c>
      <c r="M97" s="1" t="s">
        <v>413</v>
      </c>
      <c r="N97" s="1" t="s">
        <v>18</v>
      </c>
      <c r="O97" s="1">
        <v>2</v>
      </c>
      <c r="P97" s="1">
        <v>5</v>
      </c>
      <c r="R97" s="1" t="s">
        <v>19</v>
      </c>
      <c r="S97" s="1" t="s">
        <v>63</v>
      </c>
      <c r="T97" s="1" t="s">
        <v>21</v>
      </c>
      <c r="U97" s="1" t="s">
        <v>22</v>
      </c>
      <c r="V97" s="1" t="s">
        <v>24</v>
      </c>
      <c r="W97" s="1" t="s">
        <v>24</v>
      </c>
      <c r="X97" s="1">
        <v>2708</v>
      </c>
      <c r="Y97" s="1" t="s">
        <v>24</v>
      </c>
      <c r="Z97" s="1" t="s">
        <v>24</v>
      </c>
      <c r="AA97" s="1" t="s">
        <v>24</v>
      </c>
      <c r="AB97" s="1" t="s">
        <v>24</v>
      </c>
      <c r="AC97" s="1" t="s">
        <v>24</v>
      </c>
      <c r="AD97" s="1" t="s">
        <v>24</v>
      </c>
      <c r="AE97" s="1" t="s">
        <v>24</v>
      </c>
      <c r="AF97" s="22"/>
    </row>
    <row r="98" spans="1:32" x14ac:dyDescent="0.2">
      <c r="A98" s="1">
        <v>486</v>
      </c>
      <c r="B98" s="1" t="s">
        <v>414</v>
      </c>
      <c r="C98" s="5" t="s">
        <v>0</v>
      </c>
      <c r="D98" s="1" t="s">
        <v>415</v>
      </c>
      <c r="E98" s="1" t="s">
        <v>416</v>
      </c>
      <c r="F98" s="1" t="s">
        <v>412</v>
      </c>
      <c r="G98" s="1" t="s">
        <v>372</v>
      </c>
      <c r="H98" s="1" t="s">
        <v>168</v>
      </c>
      <c r="I98" s="1" t="s">
        <v>16</v>
      </c>
      <c r="J98" s="1">
        <v>1</v>
      </c>
      <c r="K98" s="1">
        <v>10</v>
      </c>
      <c r="L98" s="1" t="s">
        <v>31</v>
      </c>
      <c r="M98" s="1" t="s">
        <v>413</v>
      </c>
      <c r="N98" s="1" t="s">
        <v>18</v>
      </c>
      <c r="O98" s="1">
        <v>2</v>
      </c>
      <c r="P98" s="1">
        <v>5</v>
      </c>
      <c r="R98" s="1" t="s">
        <v>19</v>
      </c>
      <c r="S98" s="1" t="s">
        <v>63</v>
      </c>
      <c r="T98" s="1" t="s">
        <v>21</v>
      </c>
      <c r="U98" s="1" t="s">
        <v>22</v>
      </c>
      <c r="V98" s="1" t="s">
        <v>24</v>
      </c>
      <c r="W98" s="1" t="s">
        <v>24</v>
      </c>
      <c r="X98" s="1">
        <v>2728</v>
      </c>
      <c r="Y98" s="1" t="s">
        <v>24</v>
      </c>
      <c r="Z98" s="1" t="s">
        <v>24</v>
      </c>
      <c r="AA98" s="1" t="s">
        <v>24</v>
      </c>
      <c r="AB98" s="1" t="s">
        <v>24</v>
      </c>
      <c r="AC98" s="1" t="s">
        <v>24</v>
      </c>
      <c r="AD98" s="1" t="s">
        <v>24</v>
      </c>
      <c r="AE98" s="1" t="s">
        <v>24</v>
      </c>
      <c r="AF98" s="22"/>
    </row>
    <row r="99" spans="1:32" x14ac:dyDescent="0.2">
      <c r="A99" s="1">
        <v>488</v>
      </c>
      <c r="B99" s="1" t="s">
        <v>417</v>
      </c>
      <c r="C99" s="5" t="s">
        <v>0</v>
      </c>
      <c r="D99" s="1" t="s">
        <v>418</v>
      </c>
      <c r="E99" s="1" t="s">
        <v>419</v>
      </c>
      <c r="F99" s="1" t="s">
        <v>412</v>
      </c>
      <c r="G99" s="1" t="s">
        <v>372</v>
      </c>
      <c r="H99" s="1" t="s">
        <v>168</v>
      </c>
      <c r="I99" s="1" t="s">
        <v>16</v>
      </c>
      <c r="J99" s="1">
        <v>1</v>
      </c>
      <c r="K99" s="1">
        <v>6</v>
      </c>
      <c r="L99" s="1" t="s">
        <v>31</v>
      </c>
      <c r="M99" s="1" t="s">
        <v>413</v>
      </c>
      <c r="N99" s="1" t="s">
        <v>18</v>
      </c>
      <c r="O99" s="1">
        <v>2</v>
      </c>
      <c r="P99" s="1">
        <v>5</v>
      </c>
      <c r="R99" s="1" t="s">
        <v>19</v>
      </c>
      <c r="S99" s="1" t="s">
        <v>63</v>
      </c>
      <c r="T99" s="1" t="s">
        <v>21</v>
      </c>
      <c r="U99" s="1" t="s">
        <v>22</v>
      </c>
      <c r="V99" s="1" t="s">
        <v>24</v>
      </c>
      <c r="W99" s="1" t="s">
        <v>24</v>
      </c>
      <c r="X99" s="1">
        <v>2745</v>
      </c>
      <c r="Y99" s="1" t="s">
        <v>24</v>
      </c>
      <c r="Z99" s="1" t="s">
        <v>24</v>
      </c>
      <c r="AA99" s="1" t="s">
        <v>24</v>
      </c>
      <c r="AB99" s="1" t="s">
        <v>24</v>
      </c>
      <c r="AC99" s="1" t="s">
        <v>24</v>
      </c>
      <c r="AD99" s="1" t="s">
        <v>24</v>
      </c>
      <c r="AE99" s="1" t="s">
        <v>24</v>
      </c>
      <c r="AF99" s="22"/>
    </row>
    <row r="100" spans="1:32" x14ac:dyDescent="0.2">
      <c r="A100" s="1">
        <v>492</v>
      </c>
      <c r="B100" s="1" t="s">
        <v>420</v>
      </c>
      <c r="C100" s="5" t="s">
        <v>0</v>
      </c>
      <c r="D100" s="1" t="s">
        <v>421</v>
      </c>
      <c r="E100" s="1" t="s">
        <v>422</v>
      </c>
      <c r="F100" s="1" t="s">
        <v>55</v>
      </c>
      <c r="G100" s="1" t="s">
        <v>56</v>
      </c>
      <c r="H100" s="1" t="s">
        <v>37</v>
      </c>
      <c r="I100" s="1" t="s">
        <v>16</v>
      </c>
      <c r="J100" s="1">
        <v>1</v>
      </c>
      <c r="K100" s="1">
        <v>6</v>
      </c>
      <c r="L100" s="1" t="s">
        <v>31</v>
      </c>
      <c r="M100" s="1" t="s">
        <v>18</v>
      </c>
      <c r="N100" s="1" t="s">
        <v>18</v>
      </c>
      <c r="O100" s="1">
        <v>3</v>
      </c>
      <c r="P100" s="1">
        <v>7</v>
      </c>
      <c r="Q100" s="7" t="s">
        <v>17633</v>
      </c>
      <c r="R100" s="1" t="s">
        <v>19</v>
      </c>
      <c r="S100" s="1" t="s">
        <v>20</v>
      </c>
      <c r="T100" s="1" t="s">
        <v>21</v>
      </c>
      <c r="U100" s="1" t="s">
        <v>22</v>
      </c>
      <c r="V100" s="1" t="s">
        <v>23</v>
      </c>
      <c r="W100" s="1" t="s">
        <v>24</v>
      </c>
      <c r="X100" s="1">
        <v>2701</v>
      </c>
      <c r="Y100" s="1">
        <v>2738</v>
      </c>
      <c r="Z100" s="1">
        <v>3005</v>
      </c>
      <c r="AA100" s="1" t="s">
        <v>24</v>
      </c>
      <c r="AB100" s="1" t="s">
        <v>24</v>
      </c>
      <c r="AC100" s="1" t="s">
        <v>24</v>
      </c>
      <c r="AD100" s="1" t="s">
        <v>24</v>
      </c>
      <c r="AE100" s="1" t="s">
        <v>24</v>
      </c>
      <c r="AF100" s="22"/>
    </row>
    <row r="101" spans="1:32" x14ac:dyDescent="0.2">
      <c r="A101" s="1">
        <v>496</v>
      </c>
      <c r="B101" s="1" t="s">
        <v>423</v>
      </c>
      <c r="C101" s="5" t="s">
        <v>0</v>
      </c>
      <c r="D101" s="1" t="s">
        <v>424</v>
      </c>
      <c r="E101" s="1" t="s">
        <v>425</v>
      </c>
      <c r="F101" s="1" t="s">
        <v>426</v>
      </c>
      <c r="G101" s="1" t="s">
        <v>427</v>
      </c>
      <c r="H101" s="1" t="s">
        <v>428</v>
      </c>
      <c r="I101" s="1" t="s">
        <v>16</v>
      </c>
      <c r="J101" s="1">
        <v>1</v>
      </c>
      <c r="K101" s="1">
        <v>2</v>
      </c>
      <c r="L101" s="1" t="s">
        <v>31</v>
      </c>
      <c r="M101" s="1" t="s">
        <v>18</v>
      </c>
      <c r="N101" s="1" t="s">
        <v>18</v>
      </c>
      <c r="O101" s="1">
        <v>1</v>
      </c>
      <c r="P101" s="1">
        <v>5</v>
      </c>
      <c r="R101" s="1" t="s">
        <v>19</v>
      </c>
      <c r="S101" s="1" t="s">
        <v>20</v>
      </c>
      <c r="T101" s="1" t="s">
        <v>21</v>
      </c>
      <c r="U101" s="1" t="s">
        <v>22</v>
      </c>
      <c r="V101" s="1" t="s">
        <v>23</v>
      </c>
      <c r="W101" s="1" t="s">
        <v>24</v>
      </c>
      <c r="X101" s="1">
        <v>2701</v>
      </c>
      <c r="Y101" s="1">
        <v>2738</v>
      </c>
      <c r="Z101" s="1" t="s">
        <v>24</v>
      </c>
      <c r="AA101" s="1" t="s">
        <v>24</v>
      </c>
      <c r="AB101" s="1" t="s">
        <v>24</v>
      </c>
      <c r="AC101" s="1" t="s">
        <v>24</v>
      </c>
      <c r="AD101" s="1" t="s">
        <v>24</v>
      </c>
      <c r="AE101" s="1" t="s">
        <v>24</v>
      </c>
      <c r="AF101" s="22"/>
    </row>
    <row r="102" spans="1:32" x14ac:dyDescent="0.2">
      <c r="A102" s="1">
        <v>497</v>
      </c>
      <c r="B102" s="1" t="s">
        <v>429</v>
      </c>
      <c r="C102" s="5" t="s">
        <v>0</v>
      </c>
      <c r="D102" s="1" t="s">
        <v>430</v>
      </c>
      <c r="E102" s="1" t="s">
        <v>431</v>
      </c>
      <c r="F102" s="1" t="s">
        <v>272</v>
      </c>
      <c r="G102" s="1" t="s">
        <v>61</v>
      </c>
      <c r="H102" s="1" t="s">
        <v>30</v>
      </c>
      <c r="I102" s="1" t="s">
        <v>16</v>
      </c>
      <c r="J102" s="1">
        <v>3</v>
      </c>
      <c r="K102" s="1">
        <v>3</v>
      </c>
      <c r="L102" s="1" t="s">
        <v>31</v>
      </c>
      <c r="M102" s="1" t="s">
        <v>18</v>
      </c>
      <c r="N102" s="1" t="s">
        <v>18</v>
      </c>
      <c r="O102" s="1">
        <v>3</v>
      </c>
      <c r="P102" s="1">
        <v>6</v>
      </c>
      <c r="R102" s="1" t="s">
        <v>19</v>
      </c>
      <c r="S102" s="1" t="s">
        <v>20</v>
      </c>
      <c r="T102" s="1" t="s">
        <v>21</v>
      </c>
      <c r="U102" s="1" t="s">
        <v>22</v>
      </c>
      <c r="V102" s="1" t="s">
        <v>23</v>
      </c>
      <c r="W102" s="1" t="s">
        <v>24</v>
      </c>
      <c r="X102" s="1">
        <v>1303</v>
      </c>
      <c r="Y102" s="1">
        <v>2700</v>
      </c>
      <c r="Z102" s="1">
        <v>2802</v>
      </c>
      <c r="AA102" s="1">
        <v>2808</v>
      </c>
      <c r="AB102" s="1">
        <v>3005</v>
      </c>
      <c r="AC102" s="1">
        <v>3306</v>
      </c>
      <c r="AD102" s="1" t="s">
        <v>24</v>
      </c>
      <c r="AE102" s="1" t="s">
        <v>24</v>
      </c>
      <c r="AF102" s="22"/>
    </row>
    <row r="103" spans="1:32" x14ac:dyDescent="0.2">
      <c r="A103" s="1">
        <v>504</v>
      </c>
      <c r="B103" s="1" t="s">
        <v>432</v>
      </c>
      <c r="C103" s="5" t="s">
        <v>0</v>
      </c>
      <c r="D103" s="1" t="s">
        <v>433</v>
      </c>
      <c r="E103" s="1" t="s">
        <v>434</v>
      </c>
      <c r="F103" s="1" t="s">
        <v>217</v>
      </c>
      <c r="G103" s="1" t="s">
        <v>130</v>
      </c>
      <c r="H103" s="1" t="s">
        <v>92</v>
      </c>
      <c r="I103" s="1" t="s">
        <v>16</v>
      </c>
      <c r="J103" s="1">
        <v>2</v>
      </c>
      <c r="K103" s="1">
        <v>4</v>
      </c>
      <c r="L103" s="1" t="s">
        <v>31</v>
      </c>
      <c r="M103" s="1" t="s">
        <v>18</v>
      </c>
      <c r="N103" s="1" t="s">
        <v>18</v>
      </c>
      <c r="O103" s="1">
        <v>3</v>
      </c>
      <c r="P103" s="1">
        <v>7</v>
      </c>
      <c r="Q103" s="7" t="s">
        <v>17633</v>
      </c>
      <c r="R103" s="1" t="s">
        <v>19</v>
      </c>
      <c r="S103" s="1" t="s">
        <v>20</v>
      </c>
      <c r="T103" s="1" t="s">
        <v>21</v>
      </c>
      <c r="U103" s="1" t="s">
        <v>22</v>
      </c>
      <c r="V103" s="1" t="s">
        <v>24</v>
      </c>
      <c r="W103" s="1" t="s">
        <v>24</v>
      </c>
      <c r="X103" s="1">
        <v>2404</v>
      </c>
      <c r="Y103" s="1">
        <v>1312</v>
      </c>
      <c r="Z103" s="1" t="s">
        <v>24</v>
      </c>
      <c r="AA103" s="1" t="s">
        <v>24</v>
      </c>
      <c r="AB103" s="1" t="s">
        <v>24</v>
      </c>
      <c r="AC103" s="1" t="s">
        <v>24</v>
      </c>
      <c r="AD103" s="1" t="s">
        <v>24</v>
      </c>
      <c r="AE103" s="1" t="s">
        <v>24</v>
      </c>
      <c r="AF103" s="22"/>
    </row>
    <row r="104" spans="1:32" x14ac:dyDescent="0.2">
      <c r="A104" s="1">
        <v>505</v>
      </c>
      <c r="B104" s="1" t="s">
        <v>435</v>
      </c>
      <c r="C104" s="5" t="s">
        <v>0</v>
      </c>
      <c r="D104" s="1" t="s">
        <v>436</v>
      </c>
      <c r="F104" s="1" t="s">
        <v>437</v>
      </c>
      <c r="G104" s="1" t="s">
        <v>437</v>
      </c>
      <c r="H104" s="1" t="s">
        <v>168</v>
      </c>
      <c r="I104" s="1" t="s">
        <v>16</v>
      </c>
      <c r="J104" s="1">
        <v>1</v>
      </c>
      <c r="K104" s="1">
        <v>12</v>
      </c>
      <c r="L104" s="1" t="s">
        <v>42</v>
      </c>
      <c r="M104" s="1" t="s">
        <v>413</v>
      </c>
      <c r="N104" s="1" t="s">
        <v>18</v>
      </c>
      <c r="O104" s="1">
        <v>2</v>
      </c>
      <c r="P104" s="1">
        <v>5</v>
      </c>
      <c r="R104" s="1" t="s">
        <v>19</v>
      </c>
      <c r="S104" s="1" t="s">
        <v>20</v>
      </c>
      <c r="T104" s="1" t="s">
        <v>21</v>
      </c>
      <c r="U104" s="1" t="s">
        <v>22</v>
      </c>
      <c r="V104" s="1" t="s">
        <v>24</v>
      </c>
      <c r="W104" s="1" t="s">
        <v>24</v>
      </c>
      <c r="X104" s="1">
        <v>2723</v>
      </c>
      <c r="Y104" s="1" t="s">
        <v>24</v>
      </c>
      <c r="Z104" s="1" t="s">
        <v>24</v>
      </c>
      <c r="AA104" s="1" t="s">
        <v>24</v>
      </c>
      <c r="AB104" s="1" t="s">
        <v>24</v>
      </c>
      <c r="AC104" s="1" t="s">
        <v>24</v>
      </c>
      <c r="AD104" s="1" t="s">
        <v>24</v>
      </c>
      <c r="AE104" s="1" t="s">
        <v>24</v>
      </c>
      <c r="AF104" s="22"/>
    </row>
    <row r="105" spans="1:32" x14ac:dyDescent="0.2">
      <c r="A105" s="1">
        <v>516</v>
      </c>
      <c r="B105" s="1" t="s">
        <v>438</v>
      </c>
      <c r="C105" s="5" t="s">
        <v>0</v>
      </c>
      <c r="D105" s="1" t="s">
        <v>439</v>
      </c>
      <c r="E105" s="1" t="s">
        <v>440</v>
      </c>
      <c r="F105" s="1" t="s">
        <v>441</v>
      </c>
      <c r="G105" s="1" t="s">
        <v>441</v>
      </c>
      <c r="H105" s="1" t="s">
        <v>30</v>
      </c>
      <c r="I105" s="1" t="s">
        <v>16</v>
      </c>
      <c r="J105" s="1">
        <v>1</v>
      </c>
      <c r="K105" s="1">
        <v>12</v>
      </c>
      <c r="L105" s="1" t="s">
        <v>42</v>
      </c>
      <c r="M105" s="1" t="s">
        <v>18</v>
      </c>
      <c r="N105" s="1" t="s">
        <v>18</v>
      </c>
      <c r="O105" s="1">
        <v>3</v>
      </c>
      <c r="P105" s="1">
        <v>7</v>
      </c>
      <c r="Q105" s="7" t="s">
        <v>17633</v>
      </c>
      <c r="R105" s="1" t="s">
        <v>62</v>
      </c>
      <c r="S105" s="1" t="s">
        <v>20</v>
      </c>
      <c r="T105" s="1" t="s">
        <v>21</v>
      </c>
      <c r="U105" s="1" t="s">
        <v>22</v>
      </c>
      <c r="V105" s="1" t="s">
        <v>24</v>
      </c>
      <c r="W105" s="1" t="s">
        <v>64</v>
      </c>
      <c r="X105" s="1">
        <v>2736</v>
      </c>
      <c r="Y105" s="1">
        <v>3004</v>
      </c>
      <c r="Z105" s="1">
        <v>2725</v>
      </c>
      <c r="AA105" s="1" t="s">
        <v>24</v>
      </c>
      <c r="AB105" s="1" t="s">
        <v>24</v>
      </c>
      <c r="AC105" s="1" t="s">
        <v>24</v>
      </c>
      <c r="AD105" s="1" t="s">
        <v>24</v>
      </c>
      <c r="AE105" s="1" t="s">
        <v>24</v>
      </c>
      <c r="AF105" s="22"/>
    </row>
    <row r="106" spans="1:32" x14ac:dyDescent="0.2">
      <c r="A106" s="1">
        <v>524</v>
      </c>
      <c r="B106" s="1" t="s">
        <v>442</v>
      </c>
      <c r="C106" s="5" t="s">
        <v>0</v>
      </c>
      <c r="D106" s="1" t="s">
        <v>443</v>
      </c>
      <c r="F106" s="1" t="s">
        <v>444</v>
      </c>
      <c r="G106" s="1" t="s">
        <v>444</v>
      </c>
      <c r="H106" s="1" t="s">
        <v>445</v>
      </c>
      <c r="I106" s="1" t="s">
        <v>16</v>
      </c>
      <c r="J106" s="1">
        <v>1</v>
      </c>
      <c r="K106" s="1">
        <v>4</v>
      </c>
      <c r="L106" s="1" t="s">
        <v>17</v>
      </c>
      <c r="M106" s="1" t="s">
        <v>446</v>
      </c>
      <c r="N106" s="1" t="s">
        <v>18</v>
      </c>
      <c r="O106" s="1">
        <v>2</v>
      </c>
      <c r="P106" s="1">
        <v>5</v>
      </c>
      <c r="R106" s="1" t="s">
        <v>19</v>
      </c>
      <c r="S106" s="1" t="s">
        <v>20</v>
      </c>
      <c r="T106" s="1" t="s">
        <v>21</v>
      </c>
      <c r="U106" s="1" t="s">
        <v>22</v>
      </c>
      <c r="V106" s="1" t="s">
        <v>24</v>
      </c>
      <c r="W106" s="1" t="s">
        <v>24</v>
      </c>
      <c r="X106" s="1">
        <v>2726</v>
      </c>
      <c r="Y106" s="1" t="s">
        <v>24</v>
      </c>
      <c r="Z106" s="1" t="s">
        <v>24</v>
      </c>
      <c r="AA106" s="1" t="s">
        <v>24</v>
      </c>
      <c r="AB106" s="1" t="s">
        <v>24</v>
      </c>
      <c r="AC106" s="1" t="s">
        <v>24</v>
      </c>
      <c r="AD106" s="1" t="s">
        <v>24</v>
      </c>
      <c r="AE106" s="1" t="s">
        <v>24</v>
      </c>
      <c r="AF106" s="22"/>
    </row>
    <row r="107" spans="1:32" x14ac:dyDescent="0.2">
      <c r="A107" s="1">
        <v>525</v>
      </c>
      <c r="B107" s="1" t="s">
        <v>447</v>
      </c>
      <c r="C107" s="5" t="s">
        <v>0</v>
      </c>
      <c r="D107" s="1" t="s">
        <v>448</v>
      </c>
      <c r="E107" s="1" t="s">
        <v>449</v>
      </c>
      <c r="F107" s="1" t="s">
        <v>167</v>
      </c>
      <c r="G107" s="1" t="s">
        <v>130</v>
      </c>
      <c r="H107" s="1" t="s">
        <v>168</v>
      </c>
      <c r="I107" s="1" t="s">
        <v>16</v>
      </c>
      <c r="J107" s="1">
        <v>3</v>
      </c>
      <c r="K107" s="1">
        <v>6</v>
      </c>
      <c r="L107" s="1" t="s">
        <v>31</v>
      </c>
      <c r="M107" s="1" t="s">
        <v>18</v>
      </c>
      <c r="N107" s="1" t="s">
        <v>18</v>
      </c>
      <c r="O107" s="1">
        <v>3</v>
      </c>
      <c r="P107" s="1">
        <v>6</v>
      </c>
      <c r="R107" s="1" t="s">
        <v>19</v>
      </c>
      <c r="S107" s="1" t="s">
        <v>20</v>
      </c>
      <c r="T107" s="1" t="s">
        <v>21</v>
      </c>
      <c r="U107" s="1" t="s">
        <v>22</v>
      </c>
      <c r="V107" s="1" t="s">
        <v>24</v>
      </c>
      <c r="W107" s="1" t="s">
        <v>24</v>
      </c>
      <c r="X107" s="1">
        <v>1305</v>
      </c>
      <c r="Y107" s="1">
        <v>2402</v>
      </c>
      <c r="Z107" s="1" t="s">
        <v>24</v>
      </c>
      <c r="AA107" s="1" t="s">
        <v>24</v>
      </c>
      <c r="AB107" s="1" t="s">
        <v>24</v>
      </c>
      <c r="AC107" s="1" t="s">
        <v>24</v>
      </c>
      <c r="AD107" s="1" t="s">
        <v>24</v>
      </c>
      <c r="AE107" s="1" t="s">
        <v>24</v>
      </c>
      <c r="AF107" s="22"/>
    </row>
    <row r="108" spans="1:32" x14ac:dyDescent="0.2">
      <c r="A108" s="1">
        <v>530</v>
      </c>
      <c r="B108" s="1" t="s">
        <v>450</v>
      </c>
      <c r="C108" s="5" t="s">
        <v>0</v>
      </c>
      <c r="D108" s="1" t="s">
        <v>451</v>
      </c>
      <c r="F108" s="1" t="s">
        <v>452</v>
      </c>
      <c r="G108" s="1" t="s">
        <v>452</v>
      </c>
      <c r="H108" s="1" t="s">
        <v>453</v>
      </c>
      <c r="I108" s="1" t="s">
        <v>16</v>
      </c>
      <c r="J108" s="1">
        <v>1</v>
      </c>
      <c r="K108" s="1">
        <v>2</v>
      </c>
      <c r="L108" s="1" t="s">
        <v>17</v>
      </c>
      <c r="M108" s="1" t="s">
        <v>18</v>
      </c>
      <c r="N108" s="1" t="s">
        <v>18</v>
      </c>
      <c r="O108" s="1">
        <v>3</v>
      </c>
      <c r="P108" s="1">
        <v>5</v>
      </c>
      <c r="R108" s="1" t="s">
        <v>19</v>
      </c>
      <c r="S108" s="1" t="s">
        <v>20</v>
      </c>
      <c r="T108" s="1" t="s">
        <v>21</v>
      </c>
      <c r="U108" s="1" t="s">
        <v>22</v>
      </c>
      <c r="V108" s="1" t="s">
        <v>24</v>
      </c>
      <c r="W108" s="1" t="s">
        <v>24</v>
      </c>
      <c r="X108" s="1">
        <v>2700</v>
      </c>
      <c r="Y108" s="1" t="s">
        <v>24</v>
      </c>
      <c r="Z108" s="1" t="s">
        <v>24</v>
      </c>
      <c r="AA108" s="1" t="s">
        <v>24</v>
      </c>
      <c r="AB108" s="1" t="s">
        <v>24</v>
      </c>
      <c r="AC108" s="1" t="s">
        <v>24</v>
      </c>
      <c r="AD108" s="1" t="s">
        <v>24</v>
      </c>
      <c r="AE108" s="1" t="s">
        <v>24</v>
      </c>
      <c r="AF108" s="22"/>
    </row>
    <row r="109" spans="1:32" x14ac:dyDescent="0.2">
      <c r="A109" s="1">
        <v>547</v>
      </c>
      <c r="B109" s="1" t="s">
        <v>454</v>
      </c>
      <c r="C109" s="5" t="s">
        <v>0</v>
      </c>
      <c r="D109" s="1" t="s">
        <v>455</v>
      </c>
      <c r="E109" s="1" t="s">
        <v>456</v>
      </c>
      <c r="F109" s="1" t="s">
        <v>167</v>
      </c>
      <c r="G109" s="1" t="s">
        <v>130</v>
      </c>
      <c r="H109" s="1" t="s">
        <v>168</v>
      </c>
      <c r="I109" s="1" t="s">
        <v>16</v>
      </c>
      <c r="J109" s="1">
        <v>2</v>
      </c>
      <c r="K109" s="1">
        <v>6</v>
      </c>
      <c r="L109" s="1" t="s">
        <v>31</v>
      </c>
      <c r="M109" s="1" t="s">
        <v>18</v>
      </c>
      <c r="N109" s="1" t="s">
        <v>18</v>
      </c>
      <c r="O109" s="1">
        <v>3</v>
      </c>
      <c r="P109" s="1">
        <v>8</v>
      </c>
      <c r="Q109" s="7" t="s">
        <v>17633</v>
      </c>
      <c r="R109" s="1" t="s">
        <v>19</v>
      </c>
      <c r="S109" s="1" t="s">
        <v>20</v>
      </c>
      <c r="T109" s="1" t="s">
        <v>21</v>
      </c>
      <c r="U109" s="1" t="s">
        <v>22</v>
      </c>
      <c r="V109" s="1" t="s">
        <v>24</v>
      </c>
      <c r="W109" s="1" t="s">
        <v>24</v>
      </c>
      <c r="X109" s="1">
        <v>2404</v>
      </c>
      <c r="Y109" s="1">
        <v>1312</v>
      </c>
      <c r="Z109" s="1">
        <v>1303</v>
      </c>
      <c r="AA109" s="1">
        <v>1311</v>
      </c>
      <c r="AB109" s="1" t="s">
        <v>24</v>
      </c>
      <c r="AC109" s="1" t="s">
        <v>24</v>
      </c>
      <c r="AD109" s="1" t="s">
        <v>24</v>
      </c>
      <c r="AE109" s="1" t="s">
        <v>24</v>
      </c>
      <c r="AF109" s="22"/>
    </row>
    <row r="110" spans="1:32" x14ac:dyDescent="0.2">
      <c r="A110" s="1">
        <v>558</v>
      </c>
      <c r="B110" s="1" t="s">
        <v>457</v>
      </c>
      <c r="C110" s="5" t="s">
        <v>0</v>
      </c>
      <c r="D110" s="1" t="s">
        <v>458</v>
      </c>
      <c r="F110" s="1" t="s">
        <v>459</v>
      </c>
      <c r="G110" s="1" t="s">
        <v>460</v>
      </c>
      <c r="H110" s="1" t="s">
        <v>461</v>
      </c>
      <c r="I110" s="1" t="s">
        <v>16</v>
      </c>
      <c r="J110" s="1">
        <v>1</v>
      </c>
      <c r="K110" s="1">
        <v>3</v>
      </c>
      <c r="L110" s="1" t="s">
        <v>42</v>
      </c>
      <c r="M110" s="1" t="s">
        <v>18</v>
      </c>
      <c r="N110" s="1" t="s">
        <v>18</v>
      </c>
      <c r="O110" s="1">
        <v>3</v>
      </c>
      <c r="P110" s="1">
        <v>6</v>
      </c>
      <c r="R110" s="1" t="s">
        <v>19</v>
      </c>
      <c r="S110" s="1" t="s">
        <v>20</v>
      </c>
      <c r="T110" s="1" t="s">
        <v>21</v>
      </c>
      <c r="U110" s="1" t="s">
        <v>22</v>
      </c>
      <c r="V110" s="1" t="s">
        <v>24</v>
      </c>
      <c r="W110" s="1" t="s">
        <v>24</v>
      </c>
      <c r="X110" s="1">
        <v>2700</v>
      </c>
      <c r="Y110" s="1" t="s">
        <v>24</v>
      </c>
      <c r="Z110" s="1" t="s">
        <v>24</v>
      </c>
      <c r="AA110" s="1" t="s">
        <v>24</v>
      </c>
      <c r="AB110" s="1" t="s">
        <v>24</v>
      </c>
      <c r="AC110" s="1" t="s">
        <v>24</v>
      </c>
      <c r="AD110" s="1" t="s">
        <v>24</v>
      </c>
      <c r="AE110" s="1" t="s">
        <v>24</v>
      </c>
      <c r="AF110" s="22"/>
    </row>
    <row r="111" spans="1:32" x14ac:dyDescent="0.2">
      <c r="A111" s="1">
        <v>575</v>
      </c>
      <c r="B111" s="1" t="s">
        <v>462</v>
      </c>
      <c r="C111" s="5" t="s">
        <v>0</v>
      </c>
      <c r="D111" s="1" t="s">
        <v>463</v>
      </c>
      <c r="E111" s="1" t="s">
        <v>464</v>
      </c>
      <c r="F111" s="1" t="s">
        <v>465</v>
      </c>
      <c r="G111" s="1" t="s">
        <v>465</v>
      </c>
      <c r="H111" s="1" t="s">
        <v>466</v>
      </c>
      <c r="I111" s="1" t="s">
        <v>16</v>
      </c>
      <c r="J111" s="1">
        <v>1</v>
      </c>
      <c r="K111" s="1">
        <v>6</v>
      </c>
      <c r="L111" s="1" t="s">
        <v>42</v>
      </c>
      <c r="M111" s="1" t="s">
        <v>70</v>
      </c>
      <c r="N111" s="1" t="s">
        <v>18</v>
      </c>
      <c r="O111" s="1">
        <v>2</v>
      </c>
      <c r="P111" s="1">
        <v>5</v>
      </c>
      <c r="R111" s="1" t="s">
        <v>19</v>
      </c>
      <c r="S111" s="1" t="s">
        <v>20</v>
      </c>
      <c r="T111" s="1" t="s">
        <v>21</v>
      </c>
      <c r="U111" s="1" t="s">
        <v>22</v>
      </c>
      <c r="V111" s="1" t="s">
        <v>24</v>
      </c>
      <c r="W111" s="1" t="s">
        <v>24</v>
      </c>
      <c r="X111" s="1">
        <v>2700</v>
      </c>
      <c r="Y111" s="1" t="s">
        <v>24</v>
      </c>
      <c r="Z111" s="1" t="s">
        <v>24</v>
      </c>
      <c r="AA111" s="1" t="s">
        <v>24</v>
      </c>
      <c r="AB111" s="1" t="s">
        <v>24</v>
      </c>
      <c r="AC111" s="1" t="s">
        <v>24</v>
      </c>
      <c r="AD111" s="1" t="s">
        <v>24</v>
      </c>
      <c r="AE111" s="1" t="s">
        <v>24</v>
      </c>
      <c r="AF111" s="22"/>
    </row>
    <row r="112" spans="1:32" x14ac:dyDescent="0.2">
      <c r="A112" s="1">
        <v>577</v>
      </c>
      <c r="B112" s="1" t="s">
        <v>467</v>
      </c>
      <c r="C112" s="5" t="s">
        <v>0</v>
      </c>
      <c r="D112" s="1" t="s">
        <v>468</v>
      </c>
      <c r="E112" s="1" t="s">
        <v>469</v>
      </c>
      <c r="F112" s="1" t="s">
        <v>85</v>
      </c>
      <c r="G112" s="1" t="s">
        <v>61</v>
      </c>
      <c r="H112" s="1" t="s">
        <v>86</v>
      </c>
      <c r="I112" s="1" t="s">
        <v>16</v>
      </c>
      <c r="J112" s="1">
        <v>1</v>
      </c>
      <c r="K112" s="1">
        <v>10</v>
      </c>
      <c r="L112" s="1" t="s">
        <v>31</v>
      </c>
      <c r="M112" s="1" t="s">
        <v>87</v>
      </c>
      <c r="N112" s="1" t="s">
        <v>18</v>
      </c>
      <c r="O112" s="1">
        <v>1</v>
      </c>
      <c r="P112" s="1">
        <v>6</v>
      </c>
      <c r="R112" s="1" t="s">
        <v>19</v>
      </c>
      <c r="S112" s="1" t="s">
        <v>20</v>
      </c>
      <c r="T112" s="1" t="s">
        <v>21</v>
      </c>
      <c r="U112" s="1" t="s">
        <v>22</v>
      </c>
      <c r="V112" s="1" t="s">
        <v>24</v>
      </c>
      <c r="W112" s="1" t="s">
        <v>24</v>
      </c>
      <c r="X112" s="1">
        <v>2738</v>
      </c>
      <c r="Y112" s="1">
        <v>3202</v>
      </c>
      <c r="Z112" s="1">
        <v>1201</v>
      </c>
      <c r="AA112" s="1" t="s">
        <v>24</v>
      </c>
      <c r="AB112" s="1" t="s">
        <v>24</v>
      </c>
      <c r="AC112" s="1" t="s">
        <v>24</v>
      </c>
      <c r="AD112" s="1" t="s">
        <v>24</v>
      </c>
      <c r="AE112" s="1" t="s">
        <v>24</v>
      </c>
      <c r="AF112" s="22"/>
    </row>
    <row r="113" spans="1:32" x14ac:dyDescent="0.2">
      <c r="A113" s="1">
        <v>584</v>
      </c>
      <c r="B113" s="1" t="s">
        <v>470</v>
      </c>
      <c r="C113" s="5" t="s">
        <v>0</v>
      </c>
      <c r="D113" s="1" t="s">
        <v>471</v>
      </c>
      <c r="F113" s="1" t="s">
        <v>472</v>
      </c>
      <c r="G113" s="1" t="s">
        <v>472</v>
      </c>
      <c r="H113" s="1" t="s">
        <v>30</v>
      </c>
      <c r="I113" s="1" t="s">
        <v>16</v>
      </c>
      <c r="J113" s="1">
        <v>1</v>
      </c>
      <c r="K113" s="1">
        <v>12</v>
      </c>
      <c r="L113" s="1" t="s">
        <v>42</v>
      </c>
      <c r="M113" s="1" t="s">
        <v>18</v>
      </c>
      <c r="N113" s="1" t="s">
        <v>18</v>
      </c>
      <c r="O113" s="1">
        <v>3</v>
      </c>
      <c r="P113" s="1">
        <v>6</v>
      </c>
      <c r="R113" s="1" t="s">
        <v>19</v>
      </c>
      <c r="S113" s="1" t="s">
        <v>20</v>
      </c>
      <c r="T113" s="1" t="s">
        <v>21</v>
      </c>
      <c r="U113" s="1" t="s">
        <v>22</v>
      </c>
      <c r="V113" s="1" t="s">
        <v>24</v>
      </c>
      <c r="W113" s="1" t="s">
        <v>24</v>
      </c>
      <c r="X113" s="1">
        <v>2746</v>
      </c>
      <c r="Y113" s="1" t="s">
        <v>24</v>
      </c>
      <c r="Z113" s="1" t="s">
        <v>24</v>
      </c>
      <c r="AA113" s="1" t="s">
        <v>24</v>
      </c>
      <c r="AB113" s="1" t="s">
        <v>24</v>
      </c>
      <c r="AC113" s="1" t="s">
        <v>24</v>
      </c>
      <c r="AD113" s="1" t="s">
        <v>24</v>
      </c>
      <c r="AE113" s="1" t="s">
        <v>24</v>
      </c>
      <c r="AF113" s="22"/>
    </row>
    <row r="114" spans="1:32" x14ac:dyDescent="0.2">
      <c r="A114" s="1">
        <v>602</v>
      </c>
      <c r="B114" s="1" t="s">
        <v>473</v>
      </c>
      <c r="C114" s="5" t="s">
        <v>0</v>
      </c>
      <c r="D114" s="1" t="s">
        <v>474</v>
      </c>
      <c r="E114" s="1" t="s">
        <v>475</v>
      </c>
      <c r="F114" s="1" t="s">
        <v>35</v>
      </c>
      <c r="G114" s="1" t="s">
        <v>36</v>
      </c>
      <c r="H114" s="1" t="s">
        <v>37</v>
      </c>
      <c r="I114" s="1" t="s">
        <v>16</v>
      </c>
      <c r="J114" s="1">
        <v>1</v>
      </c>
      <c r="K114" s="1">
        <v>12</v>
      </c>
      <c r="L114" s="1" t="s">
        <v>31</v>
      </c>
      <c r="M114" s="1" t="s">
        <v>18</v>
      </c>
      <c r="N114" s="1" t="s">
        <v>18</v>
      </c>
      <c r="O114" s="1">
        <v>3</v>
      </c>
      <c r="P114" s="1">
        <v>6</v>
      </c>
      <c r="R114" s="1" t="s">
        <v>19</v>
      </c>
      <c r="S114" s="1" t="s">
        <v>20</v>
      </c>
      <c r="T114" s="1" t="s">
        <v>21</v>
      </c>
      <c r="U114" s="1" t="s">
        <v>22</v>
      </c>
      <c r="V114" s="1" t="s">
        <v>23</v>
      </c>
      <c r="W114" s="1" t="s">
        <v>24</v>
      </c>
      <c r="X114" s="1">
        <v>2703</v>
      </c>
      <c r="Y114" s="1" t="s">
        <v>24</v>
      </c>
      <c r="Z114" s="1" t="s">
        <v>24</v>
      </c>
      <c r="AA114" s="1" t="s">
        <v>24</v>
      </c>
      <c r="AB114" s="1" t="s">
        <v>24</v>
      </c>
      <c r="AC114" s="1" t="s">
        <v>24</v>
      </c>
      <c r="AD114" s="1" t="s">
        <v>24</v>
      </c>
      <c r="AE114" s="1" t="s">
        <v>24</v>
      </c>
      <c r="AF114" s="22"/>
    </row>
    <row r="115" spans="1:32" x14ac:dyDescent="0.2">
      <c r="A115" s="1">
        <v>603</v>
      </c>
      <c r="B115" s="1" t="s">
        <v>476</v>
      </c>
      <c r="C115" s="5" t="s">
        <v>0</v>
      </c>
      <c r="D115" s="1" t="s">
        <v>477</v>
      </c>
      <c r="E115" s="1" t="s">
        <v>478</v>
      </c>
      <c r="F115" s="1" t="s">
        <v>167</v>
      </c>
      <c r="G115" s="1" t="s">
        <v>130</v>
      </c>
      <c r="H115" s="1" t="s">
        <v>168</v>
      </c>
      <c r="I115" s="1" t="s">
        <v>16</v>
      </c>
      <c r="J115" s="1">
        <v>1</v>
      </c>
      <c r="K115" s="1">
        <v>12</v>
      </c>
      <c r="L115" s="1" t="s">
        <v>31</v>
      </c>
      <c r="M115" s="1" t="s">
        <v>413</v>
      </c>
      <c r="N115" s="1" t="s">
        <v>18</v>
      </c>
      <c r="O115" s="1">
        <v>3</v>
      </c>
      <c r="P115" s="1">
        <v>6</v>
      </c>
      <c r="R115" s="1" t="s">
        <v>19</v>
      </c>
      <c r="S115" s="1" t="s">
        <v>20</v>
      </c>
      <c r="T115" s="1" t="s">
        <v>21</v>
      </c>
      <c r="U115" s="1" t="s">
        <v>22</v>
      </c>
      <c r="V115" s="1" t="s">
        <v>23</v>
      </c>
      <c r="W115" s="1" t="s">
        <v>24</v>
      </c>
      <c r="X115" s="1">
        <v>2703</v>
      </c>
      <c r="Y115" s="1" t="s">
        <v>24</v>
      </c>
      <c r="Z115" s="1" t="s">
        <v>24</v>
      </c>
      <c r="AA115" s="1" t="s">
        <v>24</v>
      </c>
      <c r="AB115" s="1" t="s">
        <v>24</v>
      </c>
      <c r="AC115" s="1" t="s">
        <v>24</v>
      </c>
      <c r="AD115" s="1" t="s">
        <v>24</v>
      </c>
      <c r="AE115" s="1" t="s">
        <v>24</v>
      </c>
      <c r="AF115" s="22"/>
    </row>
    <row r="116" spans="1:32" x14ac:dyDescent="0.2">
      <c r="A116" s="1">
        <v>604</v>
      </c>
      <c r="B116" s="1" t="s">
        <v>479</v>
      </c>
      <c r="C116" s="5" t="s">
        <v>0</v>
      </c>
      <c r="D116" s="1" t="s">
        <v>480</v>
      </c>
      <c r="E116" s="1" t="s">
        <v>481</v>
      </c>
      <c r="F116" s="1" t="s">
        <v>60</v>
      </c>
      <c r="G116" s="1" t="s">
        <v>61</v>
      </c>
      <c r="H116" s="1" t="s">
        <v>30</v>
      </c>
      <c r="I116" s="1" t="s">
        <v>16</v>
      </c>
      <c r="J116" s="1">
        <v>6</v>
      </c>
      <c r="K116" s="1">
        <v>2</v>
      </c>
      <c r="L116" s="1" t="s">
        <v>31</v>
      </c>
      <c r="M116" s="1" t="s">
        <v>18</v>
      </c>
      <c r="N116" s="1" t="s">
        <v>18</v>
      </c>
      <c r="O116" s="1">
        <v>3</v>
      </c>
      <c r="P116" s="1">
        <v>7</v>
      </c>
      <c r="Q116" s="7" t="s">
        <v>17633</v>
      </c>
      <c r="R116" s="1" t="s">
        <v>19</v>
      </c>
      <c r="S116" s="1" t="s">
        <v>63</v>
      </c>
      <c r="T116" s="1" t="s">
        <v>21</v>
      </c>
      <c r="U116" s="1" t="s">
        <v>22</v>
      </c>
      <c r="V116" s="1" t="s">
        <v>24</v>
      </c>
      <c r="W116" s="1" t="s">
        <v>64</v>
      </c>
      <c r="X116" s="1">
        <v>1303</v>
      </c>
      <c r="Y116" s="1">
        <v>1304</v>
      </c>
      <c r="Z116" s="1">
        <v>1312</v>
      </c>
      <c r="AA116" s="1">
        <v>1307</v>
      </c>
      <c r="AB116" s="1" t="s">
        <v>24</v>
      </c>
      <c r="AC116" s="1" t="s">
        <v>24</v>
      </c>
      <c r="AD116" s="1" t="s">
        <v>24</v>
      </c>
      <c r="AE116" s="1" t="s">
        <v>24</v>
      </c>
      <c r="AF116" s="22"/>
    </row>
    <row r="117" spans="1:32" x14ac:dyDescent="0.2">
      <c r="A117" s="1">
        <v>618</v>
      </c>
      <c r="B117" s="1" t="s">
        <v>482</v>
      </c>
      <c r="C117" s="5" t="s">
        <v>0</v>
      </c>
      <c r="D117" s="1" t="s">
        <v>483</v>
      </c>
      <c r="E117" s="1" t="s">
        <v>484</v>
      </c>
      <c r="F117" s="1" t="s">
        <v>35</v>
      </c>
      <c r="G117" s="1" t="s">
        <v>36</v>
      </c>
      <c r="H117" s="1" t="s">
        <v>37</v>
      </c>
      <c r="I117" s="1" t="s">
        <v>16</v>
      </c>
      <c r="J117" s="1">
        <v>1</v>
      </c>
      <c r="K117" s="1">
        <v>6</v>
      </c>
      <c r="L117" s="1" t="s">
        <v>31</v>
      </c>
      <c r="M117" s="1" t="s">
        <v>242</v>
      </c>
      <c r="N117" s="1" t="s">
        <v>18</v>
      </c>
      <c r="O117" s="1">
        <v>3</v>
      </c>
      <c r="P117" s="1">
        <v>6</v>
      </c>
      <c r="R117" s="1" t="s">
        <v>19</v>
      </c>
      <c r="S117" s="1" t="s">
        <v>20</v>
      </c>
      <c r="T117" s="1" t="s">
        <v>21</v>
      </c>
      <c r="U117" s="1" t="s">
        <v>22</v>
      </c>
      <c r="V117" s="1" t="s">
        <v>24</v>
      </c>
      <c r="W117" s="1" t="s">
        <v>24</v>
      </c>
      <c r="X117" s="1">
        <v>2748</v>
      </c>
      <c r="Y117" s="1">
        <v>1310</v>
      </c>
      <c r="Z117" s="1" t="s">
        <v>24</v>
      </c>
      <c r="AA117" s="1" t="s">
        <v>24</v>
      </c>
      <c r="AB117" s="1" t="s">
        <v>24</v>
      </c>
      <c r="AC117" s="1" t="s">
        <v>24</v>
      </c>
      <c r="AD117" s="1" t="s">
        <v>24</v>
      </c>
      <c r="AE117" s="1" t="s">
        <v>24</v>
      </c>
      <c r="AF117" s="22"/>
    </row>
    <row r="118" spans="1:32" x14ac:dyDescent="0.2">
      <c r="A118" s="1">
        <v>620</v>
      </c>
      <c r="B118" s="1" t="s">
        <v>485</v>
      </c>
      <c r="C118" s="5" t="s">
        <v>0</v>
      </c>
      <c r="D118" s="1" t="s">
        <v>486</v>
      </c>
      <c r="F118" s="1" t="s">
        <v>85</v>
      </c>
      <c r="G118" s="1" t="s">
        <v>61</v>
      </c>
      <c r="H118" s="1" t="s">
        <v>86</v>
      </c>
      <c r="I118" s="1" t="s">
        <v>16</v>
      </c>
      <c r="J118" s="1">
        <v>1</v>
      </c>
      <c r="K118" s="1">
        <v>6</v>
      </c>
      <c r="L118" s="1" t="s">
        <v>31</v>
      </c>
      <c r="M118" s="1" t="s">
        <v>87</v>
      </c>
      <c r="N118" s="1" t="s">
        <v>18</v>
      </c>
      <c r="O118" s="1">
        <v>2</v>
      </c>
      <c r="P118" s="1">
        <v>5</v>
      </c>
      <c r="R118" s="1" t="s">
        <v>19</v>
      </c>
      <c r="S118" s="1" t="s">
        <v>20</v>
      </c>
      <c r="T118" s="1" t="s">
        <v>21</v>
      </c>
      <c r="U118" s="1" t="s">
        <v>22</v>
      </c>
      <c r="V118" s="1" t="s">
        <v>24</v>
      </c>
      <c r="W118" s="1" t="s">
        <v>24</v>
      </c>
      <c r="X118" s="1">
        <v>1310</v>
      </c>
      <c r="Y118" s="1">
        <v>2712</v>
      </c>
      <c r="Z118" s="1" t="s">
        <v>24</v>
      </c>
      <c r="AA118" s="1" t="s">
        <v>24</v>
      </c>
      <c r="AB118" s="1" t="s">
        <v>24</v>
      </c>
      <c r="AC118" s="1" t="s">
        <v>24</v>
      </c>
      <c r="AD118" s="1" t="s">
        <v>24</v>
      </c>
      <c r="AE118" s="1" t="s">
        <v>24</v>
      </c>
      <c r="AF118" s="22"/>
    </row>
    <row r="119" spans="1:32" x14ac:dyDescent="0.2">
      <c r="A119" s="1">
        <v>622</v>
      </c>
      <c r="B119" s="1" t="s">
        <v>487</v>
      </c>
      <c r="C119" s="5" t="s">
        <v>0</v>
      </c>
      <c r="D119" s="1" t="s">
        <v>488</v>
      </c>
      <c r="E119" s="1" t="s">
        <v>489</v>
      </c>
      <c r="F119" s="1" t="s">
        <v>28</v>
      </c>
      <c r="G119" s="1" t="s">
        <v>29</v>
      </c>
      <c r="H119" s="1" t="s">
        <v>30</v>
      </c>
      <c r="I119" s="1" t="s">
        <v>16</v>
      </c>
      <c r="J119" s="1">
        <v>2</v>
      </c>
      <c r="K119" s="1">
        <v>6</v>
      </c>
      <c r="L119" s="1" t="s">
        <v>31</v>
      </c>
      <c r="M119" s="1" t="s">
        <v>18</v>
      </c>
      <c r="N119" s="1" t="s">
        <v>18</v>
      </c>
      <c r="O119" s="1">
        <v>3</v>
      </c>
      <c r="P119" s="1">
        <v>7</v>
      </c>
      <c r="Q119" s="7" t="s">
        <v>17633</v>
      </c>
      <c r="R119" s="1" t="s">
        <v>62</v>
      </c>
      <c r="S119" s="1" t="s">
        <v>20</v>
      </c>
      <c r="T119" s="1" t="s">
        <v>21</v>
      </c>
      <c r="U119" s="1" t="s">
        <v>22</v>
      </c>
      <c r="V119" s="1" t="s">
        <v>23</v>
      </c>
      <c r="W119" s="1" t="s">
        <v>24</v>
      </c>
      <c r="X119" s="1">
        <v>2703</v>
      </c>
      <c r="Y119" s="1" t="s">
        <v>24</v>
      </c>
      <c r="Z119" s="1" t="s">
        <v>24</v>
      </c>
      <c r="AA119" s="1" t="s">
        <v>24</v>
      </c>
      <c r="AB119" s="1" t="s">
        <v>24</v>
      </c>
      <c r="AC119" s="1" t="s">
        <v>24</v>
      </c>
      <c r="AD119" s="1" t="s">
        <v>24</v>
      </c>
      <c r="AE119" s="1" t="s">
        <v>24</v>
      </c>
      <c r="AF119" s="22"/>
    </row>
    <row r="120" spans="1:32" x14ac:dyDescent="0.2">
      <c r="A120" s="1">
        <v>624</v>
      </c>
      <c r="B120" s="1" t="s">
        <v>490</v>
      </c>
      <c r="C120" s="5" t="s">
        <v>0</v>
      </c>
      <c r="D120" s="1" t="s">
        <v>491</v>
      </c>
      <c r="E120" s="1" t="s">
        <v>492</v>
      </c>
      <c r="F120" s="1" t="s">
        <v>493</v>
      </c>
      <c r="G120" s="1" t="s">
        <v>98</v>
      </c>
      <c r="H120" s="1" t="s">
        <v>30</v>
      </c>
      <c r="I120" s="1" t="s">
        <v>16</v>
      </c>
      <c r="J120" s="1">
        <v>1</v>
      </c>
      <c r="K120" s="1">
        <v>6</v>
      </c>
      <c r="L120" s="1" t="s">
        <v>31</v>
      </c>
      <c r="M120" s="1" t="s">
        <v>18</v>
      </c>
      <c r="N120" s="1" t="s">
        <v>18</v>
      </c>
      <c r="O120" s="1">
        <v>3</v>
      </c>
      <c r="P120" s="1">
        <v>6</v>
      </c>
      <c r="R120" s="1" t="s">
        <v>19</v>
      </c>
      <c r="S120" s="1" t="s">
        <v>20</v>
      </c>
      <c r="T120" s="1" t="s">
        <v>21</v>
      </c>
      <c r="U120" s="1" t="s">
        <v>22</v>
      </c>
      <c r="V120" s="1" t="s">
        <v>24</v>
      </c>
      <c r="W120" s="1" t="s">
        <v>24</v>
      </c>
      <c r="X120" s="1">
        <v>2705</v>
      </c>
      <c r="Y120" s="1" t="s">
        <v>24</v>
      </c>
      <c r="Z120" s="1" t="s">
        <v>24</v>
      </c>
      <c r="AA120" s="1" t="s">
        <v>24</v>
      </c>
      <c r="AB120" s="1" t="s">
        <v>24</v>
      </c>
      <c r="AC120" s="1" t="s">
        <v>24</v>
      </c>
      <c r="AD120" s="1" t="s">
        <v>24</v>
      </c>
      <c r="AE120" s="1" t="s">
        <v>24</v>
      </c>
      <c r="AF120" s="22"/>
    </row>
    <row r="121" spans="1:32" x14ac:dyDescent="0.2">
      <c r="A121" s="1">
        <v>625</v>
      </c>
      <c r="B121" s="1" t="s">
        <v>494</v>
      </c>
      <c r="C121" s="5" t="s">
        <v>0</v>
      </c>
      <c r="D121" s="1" t="s">
        <v>495</v>
      </c>
      <c r="E121" s="1" t="s">
        <v>496</v>
      </c>
      <c r="F121" s="1" t="s">
        <v>497</v>
      </c>
      <c r="G121" s="1" t="s">
        <v>61</v>
      </c>
      <c r="H121" s="1" t="s">
        <v>116</v>
      </c>
      <c r="I121" s="1" t="s">
        <v>16</v>
      </c>
      <c r="J121" s="1">
        <v>1</v>
      </c>
      <c r="K121" s="1">
        <v>6</v>
      </c>
      <c r="L121" s="1" t="s">
        <v>31</v>
      </c>
      <c r="M121" s="1" t="s">
        <v>117</v>
      </c>
      <c r="N121" s="1" t="s">
        <v>117</v>
      </c>
      <c r="O121" s="1">
        <v>1</v>
      </c>
      <c r="P121" s="1">
        <v>5</v>
      </c>
      <c r="R121" s="1" t="s">
        <v>19</v>
      </c>
      <c r="S121" s="1" t="s">
        <v>20</v>
      </c>
      <c r="T121" s="1" t="s">
        <v>21</v>
      </c>
      <c r="U121" s="1" t="s">
        <v>22</v>
      </c>
      <c r="V121" s="1" t="s">
        <v>24</v>
      </c>
      <c r="W121" s="1" t="s">
        <v>24</v>
      </c>
      <c r="X121" s="1">
        <v>2705</v>
      </c>
      <c r="Y121" s="1" t="s">
        <v>24</v>
      </c>
      <c r="Z121" s="1" t="s">
        <v>24</v>
      </c>
      <c r="AA121" s="1" t="s">
        <v>24</v>
      </c>
      <c r="AB121" s="1" t="s">
        <v>24</v>
      </c>
      <c r="AC121" s="1" t="s">
        <v>24</v>
      </c>
      <c r="AD121" s="1" t="s">
        <v>24</v>
      </c>
      <c r="AE121" s="1" t="s">
        <v>24</v>
      </c>
      <c r="AF121" s="22"/>
    </row>
    <row r="122" spans="1:32" x14ac:dyDescent="0.2">
      <c r="A122" s="1">
        <v>626</v>
      </c>
      <c r="B122" s="1" t="s">
        <v>498</v>
      </c>
      <c r="C122" s="5" t="s">
        <v>0</v>
      </c>
      <c r="D122" s="1" t="s">
        <v>499</v>
      </c>
      <c r="E122" s="1" t="s">
        <v>500</v>
      </c>
      <c r="F122" s="1" t="s">
        <v>35</v>
      </c>
      <c r="G122" s="1" t="s">
        <v>36</v>
      </c>
      <c r="H122" s="1" t="s">
        <v>37</v>
      </c>
      <c r="I122" s="1" t="s">
        <v>16</v>
      </c>
      <c r="J122" s="1">
        <v>1</v>
      </c>
      <c r="K122" s="1">
        <v>6</v>
      </c>
      <c r="L122" s="1" t="s">
        <v>31</v>
      </c>
      <c r="M122" s="1" t="s">
        <v>18</v>
      </c>
      <c r="N122" s="1" t="s">
        <v>18</v>
      </c>
      <c r="O122" s="1">
        <v>3</v>
      </c>
      <c r="P122" s="1">
        <v>7</v>
      </c>
      <c r="Q122" s="7" t="s">
        <v>17633</v>
      </c>
      <c r="R122" s="1" t="s">
        <v>62</v>
      </c>
      <c r="S122" s="1" t="s">
        <v>20</v>
      </c>
      <c r="T122" s="1" t="s">
        <v>21</v>
      </c>
      <c r="U122" s="1" t="s">
        <v>22</v>
      </c>
      <c r="V122" s="1" t="s">
        <v>24</v>
      </c>
      <c r="W122" s="1" t="s">
        <v>24</v>
      </c>
      <c r="X122" s="1">
        <v>2716</v>
      </c>
      <c r="Y122" s="1">
        <v>1311</v>
      </c>
      <c r="Z122" s="1" t="s">
        <v>24</v>
      </c>
      <c r="AA122" s="1" t="s">
        <v>24</v>
      </c>
      <c r="AB122" s="1" t="s">
        <v>24</v>
      </c>
      <c r="AC122" s="1" t="s">
        <v>24</v>
      </c>
      <c r="AD122" s="1" t="s">
        <v>24</v>
      </c>
      <c r="AE122" s="1" t="s">
        <v>24</v>
      </c>
      <c r="AF122" s="22"/>
    </row>
    <row r="123" spans="1:32" x14ac:dyDescent="0.2">
      <c r="A123" s="1">
        <v>629</v>
      </c>
      <c r="B123" s="1" t="s">
        <v>501</v>
      </c>
      <c r="C123" s="5" t="s">
        <v>0</v>
      </c>
      <c r="D123" s="1" t="s">
        <v>502</v>
      </c>
      <c r="E123" s="1" t="s">
        <v>503</v>
      </c>
      <c r="F123" s="1" t="s">
        <v>97</v>
      </c>
      <c r="G123" s="1" t="s">
        <v>98</v>
      </c>
      <c r="H123" s="1" t="s">
        <v>37</v>
      </c>
      <c r="I123" s="1" t="s">
        <v>16</v>
      </c>
      <c r="J123" s="1">
        <v>1</v>
      </c>
      <c r="K123" s="1">
        <v>4</v>
      </c>
      <c r="L123" s="1" t="s">
        <v>31</v>
      </c>
      <c r="M123" s="1" t="s">
        <v>18</v>
      </c>
      <c r="N123" s="1" t="s">
        <v>18</v>
      </c>
      <c r="O123" s="1">
        <v>0</v>
      </c>
      <c r="P123" s="1">
        <v>6</v>
      </c>
      <c r="R123" s="1" t="s">
        <v>19</v>
      </c>
      <c r="S123" s="1" t="s">
        <v>20</v>
      </c>
      <c r="T123" s="1" t="s">
        <v>21</v>
      </c>
      <c r="U123" s="1" t="s">
        <v>22</v>
      </c>
      <c r="V123" s="1" t="s">
        <v>23</v>
      </c>
      <c r="W123" s="1" t="s">
        <v>24</v>
      </c>
      <c r="X123" s="1">
        <v>2741</v>
      </c>
      <c r="Y123" s="1">
        <v>3614</v>
      </c>
      <c r="Z123" s="1">
        <v>2739</v>
      </c>
      <c r="AA123" s="1" t="s">
        <v>24</v>
      </c>
      <c r="AB123" s="1" t="s">
        <v>24</v>
      </c>
      <c r="AC123" s="1" t="s">
        <v>24</v>
      </c>
      <c r="AD123" s="1" t="s">
        <v>24</v>
      </c>
      <c r="AE123" s="1" t="s">
        <v>24</v>
      </c>
      <c r="AF123" s="22"/>
    </row>
    <row r="124" spans="1:32" x14ac:dyDescent="0.2">
      <c r="A124" s="1">
        <v>633</v>
      </c>
      <c r="B124" s="1" t="s">
        <v>504</v>
      </c>
      <c r="C124" s="5" t="s">
        <v>0</v>
      </c>
      <c r="D124" s="1" t="s">
        <v>505</v>
      </c>
      <c r="E124" s="1" t="s">
        <v>506</v>
      </c>
      <c r="F124" s="1" t="s">
        <v>507</v>
      </c>
      <c r="G124" s="1" t="s">
        <v>507</v>
      </c>
      <c r="H124" s="1" t="s">
        <v>168</v>
      </c>
      <c r="I124" s="1" t="s">
        <v>16</v>
      </c>
      <c r="J124" s="1">
        <v>1</v>
      </c>
      <c r="K124" s="1">
        <v>12</v>
      </c>
      <c r="L124" s="1" t="s">
        <v>42</v>
      </c>
      <c r="M124" s="1" t="s">
        <v>413</v>
      </c>
      <c r="N124" s="1" t="s">
        <v>18</v>
      </c>
      <c r="O124" s="1">
        <v>2</v>
      </c>
      <c r="P124" s="1">
        <v>5</v>
      </c>
      <c r="R124" s="1" t="s">
        <v>19</v>
      </c>
      <c r="S124" s="1" t="s">
        <v>20</v>
      </c>
      <c r="T124" s="1" t="s">
        <v>21</v>
      </c>
      <c r="U124" s="1" t="s">
        <v>22</v>
      </c>
      <c r="V124" s="1" t="s">
        <v>23</v>
      </c>
      <c r="W124" s="1" t="s">
        <v>24</v>
      </c>
      <c r="X124" s="1">
        <v>2703</v>
      </c>
      <c r="Y124" s="1">
        <v>2706</v>
      </c>
      <c r="Z124" s="1" t="s">
        <v>24</v>
      </c>
      <c r="AA124" s="1" t="s">
        <v>24</v>
      </c>
      <c r="AB124" s="1" t="s">
        <v>24</v>
      </c>
      <c r="AC124" s="1" t="s">
        <v>24</v>
      </c>
      <c r="AD124" s="1" t="s">
        <v>24</v>
      </c>
      <c r="AE124" s="1" t="s">
        <v>24</v>
      </c>
      <c r="AF124" s="22"/>
    </row>
    <row r="125" spans="1:32" x14ac:dyDescent="0.2">
      <c r="A125" s="1">
        <v>638</v>
      </c>
      <c r="B125" s="1" t="s">
        <v>508</v>
      </c>
      <c r="C125" s="5" t="s">
        <v>0</v>
      </c>
      <c r="D125" s="1" t="s">
        <v>509</v>
      </c>
      <c r="E125" s="1" t="s">
        <v>510</v>
      </c>
      <c r="F125" s="1" t="s">
        <v>221</v>
      </c>
      <c r="G125" s="1" t="s">
        <v>61</v>
      </c>
      <c r="H125" s="1" t="s">
        <v>222</v>
      </c>
      <c r="I125" s="1" t="s">
        <v>16</v>
      </c>
      <c r="J125" s="1">
        <v>1</v>
      </c>
      <c r="K125" s="1">
        <v>6</v>
      </c>
      <c r="L125" s="1" t="s">
        <v>31</v>
      </c>
      <c r="M125" s="1" t="s">
        <v>18</v>
      </c>
      <c r="N125" s="1" t="s">
        <v>18</v>
      </c>
      <c r="O125" s="1">
        <v>2</v>
      </c>
      <c r="P125" s="1">
        <v>6</v>
      </c>
      <c r="R125" s="1" t="s">
        <v>19</v>
      </c>
      <c r="S125" s="1" t="s">
        <v>20</v>
      </c>
      <c r="T125" s="1" t="s">
        <v>21</v>
      </c>
      <c r="U125" s="1" t="s">
        <v>22</v>
      </c>
      <c r="V125" s="1" t="s">
        <v>24</v>
      </c>
      <c r="W125" s="1" t="s">
        <v>24</v>
      </c>
      <c r="X125" s="1">
        <v>2733</v>
      </c>
      <c r="Y125" s="1">
        <v>2746</v>
      </c>
      <c r="Z125" s="1" t="s">
        <v>24</v>
      </c>
      <c r="AA125" s="1" t="s">
        <v>24</v>
      </c>
      <c r="AB125" s="1" t="s">
        <v>24</v>
      </c>
      <c r="AC125" s="1" t="s">
        <v>24</v>
      </c>
      <c r="AD125" s="1" t="s">
        <v>24</v>
      </c>
      <c r="AE125" s="1" t="s">
        <v>24</v>
      </c>
      <c r="AF125" s="22"/>
    </row>
    <row r="126" spans="1:32" x14ac:dyDescent="0.2">
      <c r="A126" s="1">
        <v>646</v>
      </c>
      <c r="B126" s="1" t="s">
        <v>511</v>
      </c>
      <c r="C126" s="5" t="s">
        <v>0</v>
      </c>
      <c r="D126" s="1" t="s">
        <v>512</v>
      </c>
      <c r="E126" s="1" t="s">
        <v>513</v>
      </c>
      <c r="F126" s="1" t="s">
        <v>109</v>
      </c>
      <c r="G126" s="1" t="s">
        <v>110</v>
      </c>
      <c r="H126" s="1" t="s">
        <v>111</v>
      </c>
      <c r="I126" s="1" t="s">
        <v>16</v>
      </c>
      <c r="J126" s="1">
        <v>1</v>
      </c>
      <c r="K126" s="1">
        <v>3</v>
      </c>
      <c r="L126" s="1" t="s">
        <v>31</v>
      </c>
      <c r="M126" s="1" t="s">
        <v>18</v>
      </c>
      <c r="N126" s="1" t="s">
        <v>18</v>
      </c>
      <c r="O126" s="1">
        <v>0</v>
      </c>
      <c r="P126" s="1">
        <v>6</v>
      </c>
      <c r="R126" s="1" t="s">
        <v>19</v>
      </c>
      <c r="S126" s="1" t="s">
        <v>20</v>
      </c>
      <c r="T126" s="1" t="s">
        <v>21</v>
      </c>
      <c r="U126" s="1" t="s">
        <v>22</v>
      </c>
      <c r="V126" s="1" t="s">
        <v>24</v>
      </c>
      <c r="W126" s="1" t="s">
        <v>24</v>
      </c>
      <c r="X126" s="1">
        <v>2735</v>
      </c>
      <c r="Y126" s="1" t="s">
        <v>24</v>
      </c>
      <c r="Z126" s="1" t="s">
        <v>24</v>
      </c>
      <c r="AA126" s="1" t="s">
        <v>24</v>
      </c>
      <c r="AB126" s="1" t="s">
        <v>24</v>
      </c>
      <c r="AC126" s="1" t="s">
        <v>24</v>
      </c>
      <c r="AD126" s="1" t="s">
        <v>24</v>
      </c>
      <c r="AE126" s="1" t="s">
        <v>24</v>
      </c>
      <c r="AF126" s="22"/>
    </row>
    <row r="127" spans="1:32" x14ac:dyDescent="0.2">
      <c r="A127" s="1">
        <v>647</v>
      </c>
      <c r="B127" s="1" t="s">
        <v>514</v>
      </c>
      <c r="C127" s="5" t="s">
        <v>0</v>
      </c>
      <c r="D127" s="1" t="s">
        <v>515</v>
      </c>
      <c r="E127" s="1" t="s">
        <v>516</v>
      </c>
      <c r="F127" s="1" t="s">
        <v>517</v>
      </c>
      <c r="G127" s="1" t="s">
        <v>36</v>
      </c>
      <c r="H127" s="1" t="s">
        <v>30</v>
      </c>
      <c r="I127" s="1" t="s">
        <v>16</v>
      </c>
      <c r="J127" s="1">
        <v>2</v>
      </c>
      <c r="K127" s="1">
        <v>6</v>
      </c>
      <c r="L127" s="1" t="s">
        <v>31</v>
      </c>
      <c r="M127" s="1" t="s">
        <v>18</v>
      </c>
      <c r="N127" s="1" t="s">
        <v>18</v>
      </c>
      <c r="O127" s="1">
        <v>3</v>
      </c>
      <c r="P127" s="1">
        <v>8</v>
      </c>
      <c r="Q127" s="7" t="s">
        <v>17633</v>
      </c>
      <c r="R127" s="1" t="s">
        <v>62</v>
      </c>
      <c r="S127" s="1" t="s">
        <v>20</v>
      </c>
      <c r="T127" s="1" t="s">
        <v>21</v>
      </c>
      <c r="U127" s="1" t="s">
        <v>22</v>
      </c>
      <c r="V127" s="1" t="s">
        <v>23</v>
      </c>
      <c r="W127" s="1" t="s">
        <v>24</v>
      </c>
      <c r="X127" s="1">
        <v>2808</v>
      </c>
      <c r="Y127" s="1">
        <v>2728</v>
      </c>
      <c r="Z127" s="1" t="s">
        <v>24</v>
      </c>
      <c r="AA127" s="1" t="s">
        <v>24</v>
      </c>
      <c r="AB127" s="1" t="s">
        <v>24</v>
      </c>
      <c r="AC127" s="1" t="s">
        <v>24</v>
      </c>
      <c r="AD127" s="1" t="s">
        <v>24</v>
      </c>
      <c r="AE127" s="1" t="s">
        <v>24</v>
      </c>
      <c r="AF127" s="22"/>
    </row>
    <row r="128" spans="1:32" x14ac:dyDescent="0.2">
      <c r="A128" s="1">
        <v>652</v>
      </c>
      <c r="B128" s="1" t="s">
        <v>518</v>
      </c>
      <c r="C128" s="5" t="s">
        <v>0</v>
      </c>
      <c r="D128" s="1" t="s">
        <v>519</v>
      </c>
      <c r="F128" s="1" t="s">
        <v>85</v>
      </c>
      <c r="G128" s="1" t="s">
        <v>61</v>
      </c>
      <c r="H128" s="1" t="s">
        <v>86</v>
      </c>
      <c r="I128" s="1" t="s">
        <v>16</v>
      </c>
      <c r="J128" s="1">
        <v>1</v>
      </c>
      <c r="K128" s="1">
        <v>6</v>
      </c>
      <c r="L128" s="1" t="s">
        <v>31</v>
      </c>
      <c r="M128" s="1" t="s">
        <v>87</v>
      </c>
      <c r="N128" s="1" t="s">
        <v>18</v>
      </c>
      <c r="O128" s="1">
        <v>2</v>
      </c>
      <c r="P128" s="1">
        <v>5</v>
      </c>
      <c r="R128" s="1" t="s">
        <v>19</v>
      </c>
      <c r="S128" s="1" t="s">
        <v>20</v>
      </c>
      <c r="T128" s="1" t="s">
        <v>21</v>
      </c>
      <c r="U128" s="1" t="s">
        <v>22</v>
      </c>
      <c r="V128" s="1" t="s">
        <v>24</v>
      </c>
      <c r="W128" s="1" t="s">
        <v>24</v>
      </c>
      <c r="X128" s="1">
        <v>2734</v>
      </c>
      <c r="Y128" s="1" t="s">
        <v>24</v>
      </c>
      <c r="Z128" s="1" t="s">
        <v>24</v>
      </c>
      <c r="AA128" s="1" t="s">
        <v>24</v>
      </c>
      <c r="AB128" s="1" t="s">
        <v>24</v>
      </c>
      <c r="AC128" s="1" t="s">
        <v>24</v>
      </c>
      <c r="AD128" s="1" t="s">
        <v>24</v>
      </c>
      <c r="AE128" s="1" t="s">
        <v>24</v>
      </c>
      <c r="AF128" s="22"/>
    </row>
    <row r="129" spans="1:32" x14ac:dyDescent="0.2">
      <c r="A129" s="1">
        <v>654</v>
      </c>
      <c r="B129" s="1" t="s">
        <v>520</v>
      </c>
      <c r="C129" s="5" t="s">
        <v>0</v>
      </c>
      <c r="D129" s="1" t="s">
        <v>521</v>
      </c>
      <c r="E129" s="1" t="s">
        <v>522</v>
      </c>
      <c r="F129" s="1" t="s">
        <v>523</v>
      </c>
      <c r="G129" s="1" t="s">
        <v>523</v>
      </c>
      <c r="H129" s="1" t="s">
        <v>69</v>
      </c>
      <c r="I129" s="1" t="s">
        <v>16</v>
      </c>
      <c r="J129" s="1">
        <v>1</v>
      </c>
      <c r="K129" s="1">
        <v>12</v>
      </c>
      <c r="L129" s="1" t="s">
        <v>42</v>
      </c>
      <c r="M129" s="1" t="s">
        <v>524</v>
      </c>
      <c r="N129" s="1" t="s">
        <v>18</v>
      </c>
      <c r="O129" s="1">
        <v>2</v>
      </c>
      <c r="P129" s="1">
        <v>5</v>
      </c>
      <c r="R129" s="1" t="s">
        <v>19</v>
      </c>
      <c r="S129" s="1" t="s">
        <v>20</v>
      </c>
      <c r="T129" s="1" t="s">
        <v>21</v>
      </c>
      <c r="U129" s="1" t="s">
        <v>22</v>
      </c>
      <c r="V129" s="1" t="s">
        <v>24</v>
      </c>
      <c r="W129" s="1" t="s">
        <v>24</v>
      </c>
      <c r="X129" s="1">
        <v>2728</v>
      </c>
      <c r="Y129" s="1">
        <v>2803</v>
      </c>
      <c r="Z129" s="1" t="s">
        <v>24</v>
      </c>
      <c r="AA129" s="1" t="s">
        <v>24</v>
      </c>
      <c r="AB129" s="1" t="s">
        <v>24</v>
      </c>
      <c r="AC129" s="1" t="s">
        <v>24</v>
      </c>
      <c r="AD129" s="1" t="s">
        <v>24</v>
      </c>
      <c r="AE129" s="1" t="s">
        <v>24</v>
      </c>
      <c r="AF129" s="22"/>
    </row>
    <row r="130" spans="1:32" x14ac:dyDescent="0.2">
      <c r="A130" s="1">
        <v>657</v>
      </c>
      <c r="B130" s="1" t="s">
        <v>525</v>
      </c>
      <c r="C130" s="5" t="s">
        <v>0</v>
      </c>
      <c r="D130" s="1" t="s">
        <v>526</v>
      </c>
      <c r="E130" s="1" t="s">
        <v>527</v>
      </c>
      <c r="F130" s="1" t="s">
        <v>167</v>
      </c>
      <c r="G130" s="1" t="s">
        <v>130</v>
      </c>
      <c r="H130" s="1" t="s">
        <v>168</v>
      </c>
      <c r="I130" s="1" t="s">
        <v>16</v>
      </c>
      <c r="J130" s="1">
        <v>2</v>
      </c>
      <c r="K130" s="1">
        <v>6</v>
      </c>
      <c r="L130" s="1" t="s">
        <v>31</v>
      </c>
      <c r="M130" s="1" t="s">
        <v>18</v>
      </c>
      <c r="N130" s="1" t="s">
        <v>18</v>
      </c>
      <c r="O130" s="1">
        <v>3</v>
      </c>
      <c r="P130" s="1">
        <v>7</v>
      </c>
      <c r="Q130" s="7" t="s">
        <v>17633</v>
      </c>
      <c r="R130" s="1" t="s">
        <v>19</v>
      </c>
      <c r="S130" s="1" t="s">
        <v>20</v>
      </c>
      <c r="T130" s="1" t="s">
        <v>21</v>
      </c>
      <c r="U130" s="1" t="s">
        <v>22</v>
      </c>
      <c r="V130" s="1" t="s">
        <v>24</v>
      </c>
      <c r="W130" s="1" t="s">
        <v>24</v>
      </c>
      <c r="X130" s="1">
        <v>2728</v>
      </c>
      <c r="Y130" s="1">
        <v>2734</v>
      </c>
      <c r="Z130" s="1">
        <v>2804</v>
      </c>
      <c r="AA130" s="1" t="s">
        <v>24</v>
      </c>
      <c r="AB130" s="1" t="s">
        <v>24</v>
      </c>
      <c r="AC130" s="1" t="s">
        <v>24</v>
      </c>
      <c r="AD130" s="1" t="s">
        <v>24</v>
      </c>
      <c r="AE130" s="1" t="s">
        <v>24</v>
      </c>
      <c r="AF130" s="22"/>
    </row>
    <row r="131" spans="1:32" x14ac:dyDescent="0.2">
      <c r="A131" s="1">
        <v>663</v>
      </c>
      <c r="B131" s="1" t="s">
        <v>528</v>
      </c>
      <c r="C131" s="5" t="s">
        <v>0</v>
      </c>
      <c r="D131" s="1" t="s">
        <v>529</v>
      </c>
      <c r="E131" s="1" t="s">
        <v>530</v>
      </c>
      <c r="F131" s="1" t="s">
        <v>35</v>
      </c>
      <c r="G131" s="1" t="s">
        <v>36</v>
      </c>
      <c r="H131" s="1" t="s">
        <v>37</v>
      </c>
      <c r="I131" s="1" t="s">
        <v>16</v>
      </c>
      <c r="J131" s="1">
        <v>2</v>
      </c>
      <c r="K131" s="1">
        <v>6</v>
      </c>
      <c r="L131" s="1" t="s">
        <v>31</v>
      </c>
      <c r="M131" s="1" t="s">
        <v>18</v>
      </c>
      <c r="N131" s="1" t="s">
        <v>18</v>
      </c>
      <c r="O131" s="1">
        <v>3</v>
      </c>
      <c r="P131" s="1">
        <v>6</v>
      </c>
      <c r="R131" s="1" t="s">
        <v>19</v>
      </c>
      <c r="S131" s="1" t="s">
        <v>20</v>
      </c>
      <c r="T131" s="1" t="s">
        <v>21</v>
      </c>
      <c r="U131" s="1" t="s">
        <v>22</v>
      </c>
      <c r="V131" s="1" t="s">
        <v>24</v>
      </c>
      <c r="W131" s="1" t="s">
        <v>24</v>
      </c>
      <c r="X131" s="1">
        <v>2728</v>
      </c>
      <c r="Y131" s="1">
        <v>2808</v>
      </c>
      <c r="Z131" s="1" t="s">
        <v>24</v>
      </c>
      <c r="AA131" s="1" t="s">
        <v>24</v>
      </c>
      <c r="AB131" s="1" t="s">
        <v>24</v>
      </c>
      <c r="AC131" s="1" t="s">
        <v>24</v>
      </c>
      <c r="AD131" s="1" t="s">
        <v>24</v>
      </c>
      <c r="AE131" s="1" t="s">
        <v>24</v>
      </c>
      <c r="AF131" s="22"/>
    </row>
    <row r="132" spans="1:32" x14ac:dyDescent="0.2">
      <c r="A132" s="1">
        <v>667</v>
      </c>
      <c r="B132" s="1" t="s">
        <v>531</v>
      </c>
      <c r="C132" s="5" t="s">
        <v>0</v>
      </c>
      <c r="D132" s="1" t="s">
        <v>532</v>
      </c>
      <c r="E132" s="1" t="s">
        <v>533</v>
      </c>
      <c r="F132" s="1" t="s">
        <v>28</v>
      </c>
      <c r="G132" s="1" t="s">
        <v>29</v>
      </c>
      <c r="H132" s="1" t="s">
        <v>30</v>
      </c>
      <c r="I132" s="1" t="s">
        <v>16</v>
      </c>
      <c r="J132" s="1">
        <v>2</v>
      </c>
      <c r="K132" s="1">
        <v>6</v>
      </c>
      <c r="L132" s="1" t="s">
        <v>31</v>
      </c>
      <c r="M132" s="1" t="s">
        <v>18</v>
      </c>
      <c r="N132" s="1" t="s">
        <v>18</v>
      </c>
      <c r="O132" s="1">
        <v>3</v>
      </c>
      <c r="P132" s="1">
        <v>7</v>
      </c>
      <c r="Q132" s="7" t="s">
        <v>17633</v>
      </c>
      <c r="R132" s="1" t="s">
        <v>62</v>
      </c>
      <c r="S132" s="1" t="s">
        <v>20</v>
      </c>
      <c r="T132" s="1" t="s">
        <v>21</v>
      </c>
      <c r="U132" s="1" t="s">
        <v>22</v>
      </c>
      <c r="V132" s="1" t="s">
        <v>24</v>
      </c>
      <c r="W132" s="1" t="s">
        <v>24</v>
      </c>
      <c r="X132" s="1">
        <v>2746</v>
      </c>
      <c r="Y132" s="1" t="s">
        <v>24</v>
      </c>
      <c r="Z132" s="1" t="s">
        <v>24</v>
      </c>
      <c r="AA132" s="1" t="s">
        <v>24</v>
      </c>
      <c r="AB132" s="1" t="s">
        <v>24</v>
      </c>
      <c r="AC132" s="1" t="s">
        <v>24</v>
      </c>
      <c r="AD132" s="1" t="s">
        <v>24</v>
      </c>
      <c r="AE132" s="1" t="s">
        <v>24</v>
      </c>
      <c r="AF132" s="22"/>
    </row>
    <row r="133" spans="1:32" x14ac:dyDescent="0.2">
      <c r="A133" s="1">
        <v>673</v>
      </c>
      <c r="B133" s="1" t="s">
        <v>534</v>
      </c>
      <c r="C133" s="5" t="s">
        <v>0</v>
      </c>
      <c r="D133" s="1" t="s">
        <v>535</v>
      </c>
      <c r="F133" s="1" t="s">
        <v>536</v>
      </c>
      <c r="G133" s="1" t="s">
        <v>536</v>
      </c>
      <c r="H133" s="1" t="s">
        <v>445</v>
      </c>
      <c r="I133" s="1" t="s">
        <v>16</v>
      </c>
      <c r="J133" s="1">
        <v>1</v>
      </c>
      <c r="K133" s="1">
        <v>6</v>
      </c>
      <c r="L133" s="1" t="s">
        <v>42</v>
      </c>
      <c r="M133" s="1" t="s">
        <v>18</v>
      </c>
      <c r="N133" s="1" t="s">
        <v>18</v>
      </c>
      <c r="O133" s="1">
        <v>3</v>
      </c>
      <c r="P133" s="1">
        <v>8</v>
      </c>
      <c r="Q133" s="7" t="s">
        <v>17633</v>
      </c>
      <c r="R133" s="1" t="s">
        <v>19</v>
      </c>
      <c r="S133" s="1" t="s">
        <v>20</v>
      </c>
      <c r="T133" s="1" t="s">
        <v>21</v>
      </c>
      <c r="U133" s="1" t="s">
        <v>22</v>
      </c>
      <c r="V133" s="1" t="s">
        <v>24</v>
      </c>
      <c r="W133" s="1" t="s">
        <v>24</v>
      </c>
      <c r="X133" s="1">
        <v>1306</v>
      </c>
      <c r="Y133" s="1">
        <v>2730</v>
      </c>
      <c r="Z133" s="1" t="s">
        <v>24</v>
      </c>
      <c r="AA133" s="1" t="s">
        <v>24</v>
      </c>
      <c r="AB133" s="1" t="s">
        <v>24</v>
      </c>
      <c r="AC133" s="1" t="s">
        <v>24</v>
      </c>
      <c r="AD133" s="1" t="s">
        <v>24</v>
      </c>
      <c r="AE133" s="1" t="s">
        <v>24</v>
      </c>
      <c r="AF133" s="22"/>
    </row>
    <row r="134" spans="1:32" x14ac:dyDescent="0.2">
      <c r="A134" s="1">
        <v>674</v>
      </c>
      <c r="B134" s="1" t="s">
        <v>537</v>
      </c>
      <c r="C134" s="5" t="s">
        <v>0</v>
      </c>
      <c r="D134" s="1" t="s">
        <v>538</v>
      </c>
      <c r="E134" s="1" t="s">
        <v>539</v>
      </c>
      <c r="F134" s="1" t="s">
        <v>540</v>
      </c>
      <c r="G134" s="1" t="s">
        <v>130</v>
      </c>
      <c r="H134" s="1" t="s">
        <v>15</v>
      </c>
      <c r="I134" s="1" t="s">
        <v>16</v>
      </c>
      <c r="J134" s="1">
        <v>1</v>
      </c>
      <c r="K134" s="1">
        <v>4</v>
      </c>
      <c r="L134" s="1" t="s">
        <v>31</v>
      </c>
      <c r="M134" s="1" t="s">
        <v>541</v>
      </c>
      <c r="N134" s="1" t="s">
        <v>105</v>
      </c>
      <c r="O134" s="1">
        <v>2</v>
      </c>
      <c r="P134" s="1">
        <v>5</v>
      </c>
      <c r="R134" s="1" t="s">
        <v>19</v>
      </c>
      <c r="S134" s="1" t="s">
        <v>20</v>
      </c>
      <c r="T134" s="1" t="s">
        <v>21</v>
      </c>
      <c r="U134" s="1" t="s">
        <v>22</v>
      </c>
      <c r="V134" s="1" t="s">
        <v>24</v>
      </c>
      <c r="W134" s="1" t="s">
        <v>24</v>
      </c>
      <c r="X134" s="1">
        <v>2728</v>
      </c>
      <c r="Y134" s="1" t="s">
        <v>24</v>
      </c>
      <c r="Z134" s="1" t="s">
        <v>24</v>
      </c>
      <c r="AA134" s="1" t="s">
        <v>24</v>
      </c>
      <c r="AB134" s="1" t="s">
        <v>24</v>
      </c>
      <c r="AC134" s="1" t="s">
        <v>24</v>
      </c>
      <c r="AD134" s="1" t="s">
        <v>24</v>
      </c>
      <c r="AE134" s="1" t="s">
        <v>24</v>
      </c>
      <c r="AF134" s="22" t="s">
        <v>17670</v>
      </c>
    </row>
    <row r="135" spans="1:32" x14ac:dyDescent="0.2">
      <c r="A135" s="1">
        <v>676</v>
      </c>
      <c r="B135" s="1" t="s">
        <v>542</v>
      </c>
      <c r="C135" s="5" t="s">
        <v>0</v>
      </c>
      <c r="D135" s="1" t="s">
        <v>543</v>
      </c>
      <c r="E135" s="1" t="s">
        <v>544</v>
      </c>
      <c r="F135" s="1" t="s">
        <v>109</v>
      </c>
      <c r="G135" s="1" t="s">
        <v>110</v>
      </c>
      <c r="H135" s="1" t="s">
        <v>111</v>
      </c>
      <c r="I135" s="1" t="s">
        <v>16</v>
      </c>
      <c r="J135" s="1">
        <v>1</v>
      </c>
      <c r="K135" s="1">
        <v>6</v>
      </c>
      <c r="L135" s="1" t="s">
        <v>31</v>
      </c>
      <c r="M135" s="1" t="s">
        <v>18</v>
      </c>
      <c r="N135" s="1" t="s">
        <v>18</v>
      </c>
      <c r="O135" s="1">
        <v>3</v>
      </c>
      <c r="P135" s="1">
        <v>7</v>
      </c>
      <c r="Q135" s="7" t="s">
        <v>17633</v>
      </c>
      <c r="R135" s="1" t="s">
        <v>19</v>
      </c>
      <c r="S135" s="1" t="s">
        <v>20</v>
      </c>
      <c r="T135" s="1" t="s">
        <v>21</v>
      </c>
      <c r="U135" s="1" t="s">
        <v>22</v>
      </c>
      <c r="V135" s="1" t="s">
        <v>23</v>
      </c>
      <c r="W135" s="1" t="s">
        <v>24</v>
      </c>
      <c r="X135" s="1">
        <v>2701</v>
      </c>
      <c r="Y135" s="1">
        <v>2916</v>
      </c>
      <c r="Z135" s="1" t="s">
        <v>24</v>
      </c>
      <c r="AA135" s="1" t="s">
        <v>24</v>
      </c>
      <c r="AB135" s="1" t="s">
        <v>24</v>
      </c>
      <c r="AC135" s="1" t="s">
        <v>24</v>
      </c>
      <c r="AD135" s="1" t="s">
        <v>24</v>
      </c>
      <c r="AE135" s="1" t="s">
        <v>24</v>
      </c>
      <c r="AF135" s="22"/>
    </row>
    <row r="136" spans="1:32" x14ac:dyDescent="0.2">
      <c r="A136" s="1">
        <v>679</v>
      </c>
      <c r="B136" s="1" t="s">
        <v>545</v>
      </c>
      <c r="C136" s="5" t="s">
        <v>0</v>
      </c>
      <c r="D136" s="1" t="s">
        <v>546</v>
      </c>
      <c r="E136" s="1" t="s">
        <v>547</v>
      </c>
      <c r="F136" s="1" t="s">
        <v>548</v>
      </c>
      <c r="G136" s="1" t="s">
        <v>36</v>
      </c>
      <c r="H136" s="1" t="s">
        <v>30</v>
      </c>
      <c r="I136" s="1" t="s">
        <v>112</v>
      </c>
      <c r="J136" s="1">
        <v>0</v>
      </c>
      <c r="K136" s="1">
        <v>0</v>
      </c>
      <c r="L136" s="1" t="s">
        <v>31</v>
      </c>
      <c r="M136" s="1" t="s">
        <v>18</v>
      </c>
      <c r="N136" s="1" t="s">
        <v>18</v>
      </c>
      <c r="O136" s="1">
        <v>3</v>
      </c>
      <c r="P136" s="1">
        <v>6</v>
      </c>
      <c r="R136" s="1" t="s">
        <v>19</v>
      </c>
      <c r="S136" s="1" t="s">
        <v>20</v>
      </c>
      <c r="T136" s="1" t="s">
        <v>21</v>
      </c>
      <c r="U136" s="1" t="s">
        <v>22</v>
      </c>
      <c r="V136" s="1" t="s">
        <v>24</v>
      </c>
      <c r="W136" s="1" t="s">
        <v>24</v>
      </c>
      <c r="X136" s="1">
        <v>1300</v>
      </c>
      <c r="Y136" s="1">
        <v>1207</v>
      </c>
      <c r="Z136" s="1" t="s">
        <v>24</v>
      </c>
      <c r="AA136" s="1" t="s">
        <v>24</v>
      </c>
      <c r="AB136" s="1" t="s">
        <v>24</v>
      </c>
      <c r="AC136" s="1" t="s">
        <v>24</v>
      </c>
      <c r="AD136" s="1" t="s">
        <v>24</v>
      </c>
      <c r="AE136" s="1" t="s">
        <v>24</v>
      </c>
      <c r="AF136" s="22"/>
    </row>
    <row r="137" spans="1:32" x14ac:dyDescent="0.2">
      <c r="A137" s="1">
        <v>684</v>
      </c>
      <c r="B137" s="1" t="s">
        <v>549</v>
      </c>
      <c r="C137" s="5" t="s">
        <v>0</v>
      </c>
      <c r="D137" s="1" t="s">
        <v>550</v>
      </c>
      <c r="E137" s="1" t="s">
        <v>551</v>
      </c>
      <c r="F137" s="1" t="s">
        <v>97</v>
      </c>
      <c r="G137" s="1" t="s">
        <v>98</v>
      </c>
      <c r="H137" s="1" t="s">
        <v>37</v>
      </c>
      <c r="I137" s="1" t="s">
        <v>16</v>
      </c>
      <c r="J137" s="1">
        <v>1</v>
      </c>
      <c r="K137" s="1">
        <v>12</v>
      </c>
      <c r="L137" s="1" t="s">
        <v>31</v>
      </c>
      <c r="M137" s="1" t="s">
        <v>18</v>
      </c>
      <c r="N137" s="1" t="s">
        <v>18</v>
      </c>
      <c r="O137" s="1">
        <v>3</v>
      </c>
      <c r="P137" s="1">
        <v>6</v>
      </c>
      <c r="R137" s="1" t="s">
        <v>19</v>
      </c>
      <c r="S137" s="1" t="s">
        <v>20</v>
      </c>
      <c r="T137" s="1" t="s">
        <v>21</v>
      </c>
      <c r="U137" s="1" t="s">
        <v>22</v>
      </c>
      <c r="V137" s="1" t="s">
        <v>23</v>
      </c>
      <c r="W137" s="1" t="s">
        <v>24</v>
      </c>
      <c r="X137" s="1">
        <v>2738</v>
      </c>
      <c r="Y137" s="1" t="s">
        <v>24</v>
      </c>
      <c r="Z137" s="1" t="s">
        <v>24</v>
      </c>
      <c r="AA137" s="1" t="s">
        <v>24</v>
      </c>
      <c r="AB137" s="1" t="s">
        <v>24</v>
      </c>
      <c r="AC137" s="1" t="s">
        <v>24</v>
      </c>
      <c r="AD137" s="1" t="s">
        <v>24</v>
      </c>
      <c r="AE137" s="1" t="s">
        <v>24</v>
      </c>
      <c r="AF137" s="22"/>
    </row>
    <row r="138" spans="1:32" x14ac:dyDescent="0.2">
      <c r="A138" s="1">
        <v>695</v>
      </c>
      <c r="B138" s="1" t="s">
        <v>552</v>
      </c>
      <c r="C138" s="5" t="s">
        <v>0</v>
      </c>
      <c r="D138" s="1" t="s">
        <v>553</v>
      </c>
      <c r="E138" s="1" t="s">
        <v>554</v>
      </c>
      <c r="F138" s="1" t="s">
        <v>555</v>
      </c>
      <c r="G138" s="1" t="s">
        <v>36</v>
      </c>
      <c r="H138" s="1" t="s">
        <v>37</v>
      </c>
      <c r="I138" s="1" t="s">
        <v>16</v>
      </c>
      <c r="J138" s="1">
        <v>1</v>
      </c>
      <c r="K138" s="1">
        <v>12</v>
      </c>
      <c r="L138" s="1" t="s">
        <v>31</v>
      </c>
      <c r="M138" s="1" t="s">
        <v>18</v>
      </c>
      <c r="N138" s="1" t="s">
        <v>18</v>
      </c>
      <c r="O138" s="1">
        <v>3</v>
      </c>
      <c r="P138" s="1">
        <v>7</v>
      </c>
      <c r="Q138" s="7" t="s">
        <v>17633</v>
      </c>
      <c r="R138" s="1" t="s">
        <v>19</v>
      </c>
      <c r="S138" s="1" t="s">
        <v>20</v>
      </c>
      <c r="T138" s="1" t="s">
        <v>21</v>
      </c>
      <c r="U138" s="1" t="s">
        <v>22</v>
      </c>
      <c r="V138" s="1" t="s">
        <v>24</v>
      </c>
      <c r="W138" s="1" t="s">
        <v>24</v>
      </c>
      <c r="X138" s="1">
        <v>2729</v>
      </c>
      <c r="Y138" s="1" t="s">
        <v>24</v>
      </c>
      <c r="Z138" s="1" t="s">
        <v>24</v>
      </c>
      <c r="AA138" s="1" t="s">
        <v>24</v>
      </c>
      <c r="AB138" s="1" t="s">
        <v>24</v>
      </c>
      <c r="AC138" s="1" t="s">
        <v>24</v>
      </c>
      <c r="AD138" s="1" t="s">
        <v>24</v>
      </c>
      <c r="AE138" s="1" t="s">
        <v>24</v>
      </c>
      <c r="AF138" s="22"/>
    </row>
    <row r="139" spans="1:32" x14ac:dyDescent="0.2">
      <c r="A139" s="1">
        <v>701</v>
      </c>
      <c r="B139" s="1" t="s">
        <v>556</v>
      </c>
      <c r="C139" s="5" t="s">
        <v>0</v>
      </c>
      <c r="D139" s="1" t="s">
        <v>557</v>
      </c>
      <c r="E139" s="1" t="s">
        <v>558</v>
      </c>
      <c r="F139" s="1" t="s">
        <v>291</v>
      </c>
      <c r="G139" s="1" t="s">
        <v>292</v>
      </c>
      <c r="H139" s="1" t="s">
        <v>37</v>
      </c>
      <c r="I139" s="1" t="s">
        <v>16</v>
      </c>
      <c r="J139" s="1">
        <v>1</v>
      </c>
      <c r="K139" s="1">
        <v>12</v>
      </c>
      <c r="L139" s="1" t="s">
        <v>31</v>
      </c>
      <c r="M139" s="1" t="s">
        <v>18</v>
      </c>
      <c r="N139" s="1" t="s">
        <v>18</v>
      </c>
      <c r="O139" s="1">
        <v>3</v>
      </c>
      <c r="P139" s="1">
        <v>8</v>
      </c>
      <c r="Q139" s="7" t="s">
        <v>17633</v>
      </c>
      <c r="R139" s="1" t="s">
        <v>19</v>
      </c>
      <c r="S139" s="1" t="s">
        <v>20</v>
      </c>
      <c r="T139" s="1" t="s">
        <v>21</v>
      </c>
      <c r="U139" s="1" t="s">
        <v>22</v>
      </c>
      <c r="V139" s="1" t="s">
        <v>23</v>
      </c>
      <c r="W139" s="1" t="s">
        <v>24</v>
      </c>
      <c r="X139" s="1">
        <v>2733</v>
      </c>
      <c r="Y139" s="1" t="s">
        <v>24</v>
      </c>
      <c r="Z139" s="1" t="s">
        <v>24</v>
      </c>
      <c r="AA139" s="1" t="s">
        <v>24</v>
      </c>
      <c r="AB139" s="1" t="s">
        <v>24</v>
      </c>
      <c r="AC139" s="1" t="s">
        <v>24</v>
      </c>
      <c r="AD139" s="1" t="s">
        <v>24</v>
      </c>
      <c r="AE139" s="1" t="s">
        <v>24</v>
      </c>
      <c r="AF139" s="22"/>
    </row>
    <row r="140" spans="1:32" x14ac:dyDescent="0.2">
      <c r="A140" s="1">
        <v>704</v>
      </c>
      <c r="B140" s="1" t="s">
        <v>559</v>
      </c>
      <c r="C140" s="5" t="s">
        <v>0</v>
      </c>
      <c r="D140" s="1" t="s">
        <v>560</v>
      </c>
      <c r="F140" s="1" t="s">
        <v>561</v>
      </c>
      <c r="G140" s="1" t="s">
        <v>561</v>
      </c>
      <c r="H140" s="1" t="s">
        <v>30</v>
      </c>
      <c r="I140" s="1" t="s">
        <v>16</v>
      </c>
      <c r="J140" s="1">
        <v>1</v>
      </c>
      <c r="K140" s="1">
        <v>12</v>
      </c>
      <c r="L140" s="1" t="s">
        <v>42</v>
      </c>
      <c r="M140" s="1" t="s">
        <v>18</v>
      </c>
      <c r="N140" s="1" t="s">
        <v>18</v>
      </c>
      <c r="O140" s="1">
        <v>3</v>
      </c>
      <c r="P140" s="1">
        <v>7</v>
      </c>
      <c r="Q140" s="7" t="s">
        <v>17633</v>
      </c>
      <c r="R140" s="1" t="s">
        <v>19</v>
      </c>
      <c r="S140" s="1" t="s">
        <v>20</v>
      </c>
      <c r="T140" s="1" t="s">
        <v>21</v>
      </c>
      <c r="U140" s="1" t="s">
        <v>22</v>
      </c>
      <c r="V140" s="1" t="s">
        <v>23</v>
      </c>
      <c r="W140" s="1" t="s">
        <v>24</v>
      </c>
      <c r="X140" s="1">
        <v>2733</v>
      </c>
      <c r="Y140" s="1" t="s">
        <v>24</v>
      </c>
      <c r="Z140" s="1" t="s">
        <v>24</v>
      </c>
      <c r="AA140" s="1" t="s">
        <v>24</v>
      </c>
      <c r="AB140" s="1" t="s">
        <v>24</v>
      </c>
      <c r="AC140" s="1" t="s">
        <v>24</v>
      </c>
      <c r="AD140" s="1" t="s">
        <v>24</v>
      </c>
      <c r="AE140" s="1" t="s">
        <v>24</v>
      </c>
      <c r="AF140" s="22"/>
    </row>
    <row r="141" spans="1:32" x14ac:dyDescent="0.2">
      <c r="A141" s="1">
        <v>712</v>
      </c>
      <c r="B141" s="1" t="s">
        <v>562</v>
      </c>
      <c r="C141" s="5" t="s">
        <v>0</v>
      </c>
      <c r="D141" s="1" t="s">
        <v>563</v>
      </c>
      <c r="E141" s="1" t="s">
        <v>564</v>
      </c>
      <c r="F141" s="1" t="s">
        <v>175</v>
      </c>
      <c r="G141" s="1" t="s">
        <v>61</v>
      </c>
      <c r="H141" s="1" t="s">
        <v>116</v>
      </c>
      <c r="I141" s="1" t="s">
        <v>16</v>
      </c>
      <c r="J141" s="1">
        <v>1</v>
      </c>
      <c r="K141" s="1">
        <v>6</v>
      </c>
      <c r="L141" s="1" t="s">
        <v>31</v>
      </c>
      <c r="M141" s="1" t="s">
        <v>117</v>
      </c>
      <c r="N141" s="1" t="s">
        <v>118</v>
      </c>
      <c r="O141" s="1">
        <v>2</v>
      </c>
      <c r="P141" s="1">
        <v>6</v>
      </c>
      <c r="R141" s="1" t="s">
        <v>19</v>
      </c>
      <c r="S141" s="1" t="s">
        <v>20</v>
      </c>
      <c r="T141" s="1" t="s">
        <v>21</v>
      </c>
      <c r="U141" s="1" t="s">
        <v>22</v>
      </c>
      <c r="V141" s="1" t="s">
        <v>24</v>
      </c>
      <c r="W141" s="1" t="s">
        <v>24</v>
      </c>
      <c r="X141" s="1">
        <v>2733</v>
      </c>
      <c r="Y141" s="1" t="s">
        <v>24</v>
      </c>
      <c r="Z141" s="1" t="s">
        <v>24</v>
      </c>
      <c r="AA141" s="1" t="s">
        <v>24</v>
      </c>
      <c r="AB141" s="1" t="s">
        <v>24</v>
      </c>
      <c r="AC141" s="1" t="s">
        <v>24</v>
      </c>
      <c r="AD141" s="1" t="s">
        <v>24</v>
      </c>
      <c r="AE141" s="1" t="s">
        <v>24</v>
      </c>
      <c r="AF141" s="22"/>
    </row>
    <row r="142" spans="1:32" x14ac:dyDescent="0.2">
      <c r="A142" s="1">
        <v>727</v>
      </c>
      <c r="B142" s="1" t="s">
        <v>565</v>
      </c>
      <c r="C142" s="5" t="s">
        <v>0</v>
      </c>
      <c r="D142" s="1" t="s">
        <v>566</v>
      </c>
      <c r="E142" s="1" t="s">
        <v>567</v>
      </c>
      <c r="F142" s="1" t="s">
        <v>155</v>
      </c>
      <c r="G142" s="1" t="s">
        <v>61</v>
      </c>
      <c r="H142" s="1" t="s">
        <v>37</v>
      </c>
      <c r="I142" s="1" t="s">
        <v>16</v>
      </c>
      <c r="J142" s="1">
        <v>1</v>
      </c>
      <c r="K142" s="1">
        <v>5</v>
      </c>
      <c r="L142" s="1" t="s">
        <v>31</v>
      </c>
      <c r="M142" s="1" t="s">
        <v>18</v>
      </c>
      <c r="N142" s="1" t="s">
        <v>18</v>
      </c>
      <c r="O142" s="1">
        <v>0</v>
      </c>
      <c r="P142" s="1">
        <v>7</v>
      </c>
      <c r="Q142" s="7" t="s">
        <v>17633</v>
      </c>
      <c r="R142" s="1" t="s">
        <v>19</v>
      </c>
      <c r="S142" s="1" t="s">
        <v>63</v>
      </c>
      <c r="T142" s="1" t="s">
        <v>21</v>
      </c>
      <c r="U142" s="1" t="s">
        <v>22</v>
      </c>
      <c r="V142" s="1" t="s">
        <v>24</v>
      </c>
      <c r="W142" s="1" t="s">
        <v>24</v>
      </c>
      <c r="X142" s="1">
        <v>3203</v>
      </c>
      <c r="Y142" s="1">
        <v>3601</v>
      </c>
      <c r="Z142" s="1">
        <v>2738</v>
      </c>
      <c r="AA142" s="1" t="s">
        <v>24</v>
      </c>
      <c r="AB142" s="1" t="s">
        <v>24</v>
      </c>
      <c r="AC142" s="1" t="s">
        <v>24</v>
      </c>
      <c r="AD142" s="1" t="s">
        <v>24</v>
      </c>
      <c r="AE142" s="1" t="s">
        <v>24</v>
      </c>
      <c r="AF142" s="22"/>
    </row>
    <row r="143" spans="1:32" x14ac:dyDescent="0.2">
      <c r="A143" s="1">
        <v>733</v>
      </c>
      <c r="B143" s="1" t="s">
        <v>568</v>
      </c>
      <c r="C143" s="5" t="s">
        <v>0</v>
      </c>
      <c r="D143" s="1" t="s">
        <v>569</v>
      </c>
      <c r="F143" s="1" t="s">
        <v>570</v>
      </c>
      <c r="G143" s="1" t="s">
        <v>568</v>
      </c>
      <c r="H143" s="1" t="s">
        <v>116</v>
      </c>
      <c r="I143" s="1" t="s">
        <v>16</v>
      </c>
      <c r="J143" s="1">
        <v>1</v>
      </c>
      <c r="K143" s="1">
        <v>11</v>
      </c>
      <c r="L143" s="1" t="s">
        <v>17</v>
      </c>
      <c r="M143" s="1" t="s">
        <v>117</v>
      </c>
      <c r="N143" s="1" t="s">
        <v>18</v>
      </c>
      <c r="O143" s="1">
        <v>2</v>
      </c>
      <c r="P143" s="1">
        <v>4</v>
      </c>
      <c r="R143" s="1" t="s">
        <v>19</v>
      </c>
      <c r="S143" s="1" t="s">
        <v>20</v>
      </c>
      <c r="T143" s="1" t="s">
        <v>21</v>
      </c>
      <c r="U143" s="1" t="s">
        <v>22</v>
      </c>
      <c r="V143" s="1" t="s">
        <v>24</v>
      </c>
      <c r="W143" s="1" t="s">
        <v>24</v>
      </c>
      <c r="X143" s="1">
        <v>2735</v>
      </c>
      <c r="Y143" s="1" t="s">
        <v>24</v>
      </c>
      <c r="Z143" s="1" t="s">
        <v>24</v>
      </c>
      <c r="AA143" s="1" t="s">
        <v>24</v>
      </c>
      <c r="AB143" s="1" t="s">
        <v>24</v>
      </c>
      <c r="AC143" s="1" t="s">
        <v>24</v>
      </c>
      <c r="AD143" s="1" t="s">
        <v>24</v>
      </c>
      <c r="AE143" s="1" t="s">
        <v>24</v>
      </c>
      <c r="AF143" s="22"/>
    </row>
    <row r="144" spans="1:32" x14ac:dyDescent="0.2">
      <c r="A144" s="1">
        <v>735</v>
      </c>
      <c r="B144" s="1" t="s">
        <v>571</v>
      </c>
      <c r="C144" s="5" t="s">
        <v>0</v>
      </c>
      <c r="D144" s="1" t="s">
        <v>572</v>
      </c>
      <c r="F144" s="1" t="s">
        <v>85</v>
      </c>
      <c r="G144" s="1" t="s">
        <v>61</v>
      </c>
      <c r="H144" s="1" t="s">
        <v>86</v>
      </c>
      <c r="I144" s="1" t="s">
        <v>16</v>
      </c>
      <c r="J144" s="1">
        <v>1</v>
      </c>
      <c r="K144" s="1">
        <v>6</v>
      </c>
      <c r="L144" s="1" t="s">
        <v>31</v>
      </c>
      <c r="M144" s="1" t="s">
        <v>87</v>
      </c>
      <c r="N144" s="1" t="s">
        <v>18</v>
      </c>
      <c r="O144" s="1">
        <v>1</v>
      </c>
      <c r="P144" s="1">
        <v>6</v>
      </c>
      <c r="R144" s="1" t="s">
        <v>19</v>
      </c>
      <c r="S144" s="1" t="s">
        <v>20</v>
      </c>
      <c r="T144" s="1" t="s">
        <v>21</v>
      </c>
      <c r="U144" s="1" t="s">
        <v>22</v>
      </c>
      <c r="V144" s="1" t="s">
        <v>24</v>
      </c>
      <c r="W144" s="1" t="s">
        <v>24</v>
      </c>
      <c r="X144" s="1">
        <v>3003</v>
      </c>
      <c r="Y144" s="1">
        <v>3004</v>
      </c>
      <c r="Z144" s="1" t="s">
        <v>24</v>
      </c>
      <c r="AA144" s="1" t="s">
        <v>24</v>
      </c>
      <c r="AB144" s="1" t="s">
        <v>24</v>
      </c>
      <c r="AC144" s="1" t="s">
        <v>24</v>
      </c>
      <c r="AD144" s="1" t="s">
        <v>24</v>
      </c>
      <c r="AE144" s="1" t="s">
        <v>24</v>
      </c>
      <c r="AF144" s="22"/>
    </row>
    <row r="145" spans="1:32" x14ac:dyDescent="0.2">
      <c r="A145" s="1">
        <v>739</v>
      </c>
      <c r="B145" s="1" t="s">
        <v>573</v>
      </c>
      <c r="C145" s="5" t="s">
        <v>0</v>
      </c>
      <c r="D145" s="1" t="s">
        <v>574</v>
      </c>
      <c r="E145" s="1" t="s">
        <v>575</v>
      </c>
      <c r="F145" s="1" t="s">
        <v>367</v>
      </c>
      <c r="G145" s="1" t="s">
        <v>367</v>
      </c>
      <c r="H145" s="1" t="s">
        <v>30</v>
      </c>
      <c r="I145" s="1" t="s">
        <v>16</v>
      </c>
      <c r="J145" s="1">
        <v>2</v>
      </c>
      <c r="K145" s="1">
        <v>6</v>
      </c>
      <c r="L145" s="1" t="s">
        <v>42</v>
      </c>
      <c r="M145" s="1" t="s">
        <v>18</v>
      </c>
      <c r="N145" s="1" t="s">
        <v>18</v>
      </c>
      <c r="O145" s="1">
        <v>3</v>
      </c>
      <c r="P145" s="1">
        <v>8</v>
      </c>
      <c r="Q145" s="7" t="s">
        <v>17633</v>
      </c>
      <c r="R145" s="1" t="s">
        <v>62</v>
      </c>
      <c r="S145" s="1" t="s">
        <v>20</v>
      </c>
      <c r="T145" s="1" t="s">
        <v>21</v>
      </c>
      <c r="U145" s="1" t="s">
        <v>22</v>
      </c>
      <c r="V145" s="1" t="s">
        <v>24</v>
      </c>
      <c r="W145" s="1" t="s">
        <v>24</v>
      </c>
      <c r="X145" s="1">
        <v>2715</v>
      </c>
      <c r="Y145" s="1">
        <v>2737</v>
      </c>
      <c r="Z145" s="1">
        <v>1314</v>
      </c>
      <c r="AA145" s="1">
        <v>2721</v>
      </c>
      <c r="AB145" s="1" t="s">
        <v>24</v>
      </c>
      <c r="AC145" s="1" t="s">
        <v>24</v>
      </c>
      <c r="AD145" s="1" t="s">
        <v>24</v>
      </c>
      <c r="AE145" s="1" t="s">
        <v>24</v>
      </c>
      <c r="AF145" s="22"/>
    </row>
    <row r="146" spans="1:32" x14ac:dyDescent="0.2">
      <c r="A146" s="1">
        <v>742</v>
      </c>
      <c r="B146" s="1" t="s">
        <v>576</v>
      </c>
      <c r="C146" s="5" t="s">
        <v>0</v>
      </c>
      <c r="D146" s="1" t="s">
        <v>577</v>
      </c>
      <c r="E146" s="1" t="s">
        <v>578</v>
      </c>
      <c r="F146" s="1" t="s">
        <v>79</v>
      </c>
      <c r="G146" s="1" t="s">
        <v>80</v>
      </c>
      <c r="H146" s="1" t="s">
        <v>81</v>
      </c>
      <c r="I146" s="1" t="s">
        <v>16</v>
      </c>
      <c r="J146" s="1">
        <v>1</v>
      </c>
      <c r="K146" s="1">
        <v>4</v>
      </c>
      <c r="L146" s="1" t="s">
        <v>31</v>
      </c>
      <c r="M146" s="1" t="s">
        <v>18</v>
      </c>
      <c r="N146" s="1" t="s">
        <v>18</v>
      </c>
      <c r="O146" s="1">
        <v>3</v>
      </c>
      <c r="P146" s="1">
        <v>6</v>
      </c>
      <c r="R146" s="1" t="s">
        <v>19</v>
      </c>
      <c r="S146" s="1" t="s">
        <v>20</v>
      </c>
      <c r="T146" s="1" t="s">
        <v>21</v>
      </c>
      <c r="U146" s="1" t="s">
        <v>22</v>
      </c>
      <c r="V146" s="1" t="s">
        <v>24</v>
      </c>
      <c r="W146" s="1" t="s">
        <v>24</v>
      </c>
      <c r="X146" s="1">
        <v>2737</v>
      </c>
      <c r="Y146" s="1" t="s">
        <v>24</v>
      </c>
      <c r="Z146" s="1" t="s">
        <v>24</v>
      </c>
      <c r="AA146" s="1" t="s">
        <v>24</v>
      </c>
      <c r="AB146" s="1" t="s">
        <v>24</v>
      </c>
      <c r="AC146" s="1" t="s">
        <v>24</v>
      </c>
      <c r="AD146" s="1" t="s">
        <v>24</v>
      </c>
      <c r="AE146" s="1" t="s">
        <v>24</v>
      </c>
      <c r="AF146" s="22"/>
    </row>
    <row r="147" spans="1:32" x14ac:dyDescent="0.2">
      <c r="A147" s="1">
        <v>744</v>
      </c>
      <c r="B147" s="1" t="s">
        <v>579</v>
      </c>
      <c r="C147" s="5" t="s">
        <v>0</v>
      </c>
      <c r="D147" s="1" t="s">
        <v>580</v>
      </c>
      <c r="F147" s="1" t="s">
        <v>581</v>
      </c>
      <c r="G147" s="1" t="s">
        <v>579</v>
      </c>
      <c r="H147" s="1" t="s">
        <v>81</v>
      </c>
      <c r="I147" s="1" t="s">
        <v>16</v>
      </c>
      <c r="J147" s="1">
        <v>1</v>
      </c>
      <c r="K147" s="1">
        <v>4</v>
      </c>
      <c r="L147" s="1" t="s">
        <v>17</v>
      </c>
      <c r="M147" s="1" t="s">
        <v>582</v>
      </c>
      <c r="N147" s="1" t="s">
        <v>18</v>
      </c>
      <c r="O147" s="1">
        <v>3</v>
      </c>
      <c r="P147" s="1">
        <v>5</v>
      </c>
      <c r="R147" s="1" t="s">
        <v>19</v>
      </c>
      <c r="S147" s="1" t="s">
        <v>20</v>
      </c>
      <c r="T147" s="1" t="s">
        <v>21</v>
      </c>
      <c r="U147" s="1" t="s">
        <v>22</v>
      </c>
      <c r="V147" s="1" t="s">
        <v>24</v>
      </c>
      <c r="W147" s="1" t="s">
        <v>24</v>
      </c>
      <c r="X147" s="1">
        <v>3003</v>
      </c>
      <c r="Y147" s="1" t="s">
        <v>24</v>
      </c>
      <c r="Z147" s="1" t="s">
        <v>24</v>
      </c>
      <c r="AA147" s="1" t="s">
        <v>24</v>
      </c>
      <c r="AB147" s="1" t="s">
        <v>24</v>
      </c>
      <c r="AC147" s="1" t="s">
        <v>24</v>
      </c>
      <c r="AD147" s="1" t="s">
        <v>24</v>
      </c>
      <c r="AE147" s="1" t="s">
        <v>24</v>
      </c>
      <c r="AF147" s="22"/>
    </row>
    <row r="148" spans="1:32" x14ac:dyDescent="0.2">
      <c r="A148" s="1">
        <v>747</v>
      </c>
      <c r="B148" s="1" t="s">
        <v>583</v>
      </c>
      <c r="C148" s="5" t="s">
        <v>0</v>
      </c>
      <c r="D148" s="1" t="s">
        <v>584</v>
      </c>
      <c r="F148" s="1" t="s">
        <v>585</v>
      </c>
      <c r="G148" s="1" t="s">
        <v>585</v>
      </c>
      <c r="H148" s="1" t="s">
        <v>116</v>
      </c>
      <c r="I148" s="1" t="s">
        <v>16</v>
      </c>
      <c r="J148" s="1">
        <v>1</v>
      </c>
      <c r="K148" s="1">
        <v>4</v>
      </c>
      <c r="L148" s="1" t="s">
        <v>42</v>
      </c>
      <c r="M148" s="1" t="s">
        <v>117</v>
      </c>
      <c r="N148" s="1" t="s">
        <v>117</v>
      </c>
      <c r="O148" s="1">
        <v>1</v>
      </c>
      <c r="P148" s="1">
        <v>3</v>
      </c>
      <c r="R148" s="1" t="s">
        <v>19</v>
      </c>
      <c r="S148" s="1" t="s">
        <v>20</v>
      </c>
      <c r="T148" s="1" t="s">
        <v>21</v>
      </c>
      <c r="U148" s="1" t="s">
        <v>22</v>
      </c>
      <c r="V148" s="1" t="s">
        <v>24</v>
      </c>
      <c r="W148" s="1" t="s">
        <v>24</v>
      </c>
      <c r="X148" s="1">
        <v>3003</v>
      </c>
      <c r="Y148" s="1">
        <v>1207</v>
      </c>
      <c r="Z148" s="1" t="s">
        <v>24</v>
      </c>
      <c r="AA148" s="1" t="s">
        <v>24</v>
      </c>
      <c r="AB148" s="1" t="s">
        <v>24</v>
      </c>
      <c r="AC148" s="1" t="s">
        <v>24</v>
      </c>
      <c r="AD148" s="1" t="s">
        <v>24</v>
      </c>
      <c r="AE148" s="1" t="s">
        <v>24</v>
      </c>
      <c r="AF148" s="22"/>
    </row>
    <row r="149" spans="1:32" x14ac:dyDescent="0.2">
      <c r="A149" s="1">
        <v>751</v>
      </c>
      <c r="B149" s="1" t="s">
        <v>586</v>
      </c>
      <c r="C149" s="5" t="s">
        <v>0</v>
      </c>
      <c r="D149" s="1" t="s">
        <v>587</v>
      </c>
      <c r="E149" s="1" t="s">
        <v>588</v>
      </c>
      <c r="F149" s="1" t="s">
        <v>589</v>
      </c>
      <c r="G149" s="1" t="s">
        <v>590</v>
      </c>
      <c r="H149" s="1" t="s">
        <v>591</v>
      </c>
      <c r="I149" s="1" t="s">
        <v>16</v>
      </c>
      <c r="J149" s="1">
        <v>1</v>
      </c>
      <c r="K149" s="1">
        <v>4</v>
      </c>
      <c r="L149" s="1" t="s">
        <v>42</v>
      </c>
      <c r="M149" s="1" t="s">
        <v>18</v>
      </c>
      <c r="N149" s="1" t="s">
        <v>18</v>
      </c>
      <c r="O149" s="1">
        <v>3</v>
      </c>
      <c r="P149" s="1">
        <v>6</v>
      </c>
      <c r="R149" s="1" t="s">
        <v>19</v>
      </c>
      <c r="S149" s="1" t="s">
        <v>20</v>
      </c>
      <c r="T149" s="1" t="s">
        <v>21</v>
      </c>
      <c r="U149" s="1" t="s">
        <v>22</v>
      </c>
      <c r="V149" s="1" t="s">
        <v>24</v>
      </c>
      <c r="W149" s="1" t="s">
        <v>24</v>
      </c>
      <c r="X149" s="1">
        <v>2723</v>
      </c>
      <c r="Y149" s="1">
        <v>2403</v>
      </c>
      <c r="Z149" s="1" t="s">
        <v>24</v>
      </c>
      <c r="AA149" s="1" t="s">
        <v>24</v>
      </c>
      <c r="AB149" s="1" t="s">
        <v>24</v>
      </c>
      <c r="AC149" s="1" t="s">
        <v>24</v>
      </c>
      <c r="AD149" s="1" t="s">
        <v>24</v>
      </c>
      <c r="AE149" s="1" t="s">
        <v>24</v>
      </c>
      <c r="AF149" s="22"/>
    </row>
    <row r="150" spans="1:32" x14ac:dyDescent="0.2">
      <c r="A150" s="1">
        <v>760</v>
      </c>
      <c r="B150" s="1" t="s">
        <v>592</v>
      </c>
      <c r="C150" s="5" t="s">
        <v>0</v>
      </c>
      <c r="D150" s="1" t="s">
        <v>593</v>
      </c>
      <c r="E150" s="1" t="s">
        <v>594</v>
      </c>
      <c r="F150" s="1" t="s">
        <v>303</v>
      </c>
      <c r="G150" s="1" t="s">
        <v>61</v>
      </c>
      <c r="H150" s="1" t="s">
        <v>30</v>
      </c>
      <c r="I150" s="1" t="s">
        <v>16</v>
      </c>
      <c r="J150" s="1">
        <v>1</v>
      </c>
      <c r="K150" s="1">
        <v>12</v>
      </c>
      <c r="L150" s="1" t="s">
        <v>31</v>
      </c>
      <c r="M150" s="1" t="s">
        <v>18</v>
      </c>
      <c r="N150" s="1" t="s">
        <v>18</v>
      </c>
      <c r="O150" s="1">
        <v>3</v>
      </c>
      <c r="P150" s="1">
        <v>6</v>
      </c>
      <c r="R150" s="1" t="s">
        <v>19</v>
      </c>
      <c r="S150" s="1" t="s">
        <v>20</v>
      </c>
      <c r="T150" s="1" t="s">
        <v>21</v>
      </c>
      <c r="U150" s="1" t="s">
        <v>22</v>
      </c>
      <c r="V150" s="1" t="s">
        <v>23</v>
      </c>
      <c r="W150" s="1" t="s">
        <v>24</v>
      </c>
      <c r="X150" s="1">
        <v>2742</v>
      </c>
      <c r="Y150" s="1">
        <v>3612</v>
      </c>
      <c r="Z150" s="1" t="s">
        <v>24</v>
      </c>
      <c r="AA150" s="1" t="s">
        <v>24</v>
      </c>
      <c r="AB150" s="1" t="s">
        <v>24</v>
      </c>
      <c r="AC150" s="1" t="s">
        <v>24</v>
      </c>
      <c r="AD150" s="1" t="s">
        <v>24</v>
      </c>
      <c r="AE150" s="1" t="s">
        <v>24</v>
      </c>
      <c r="AF150" s="22"/>
    </row>
    <row r="151" spans="1:32" x14ac:dyDescent="0.2">
      <c r="A151" s="1">
        <v>769</v>
      </c>
      <c r="B151" s="1" t="s">
        <v>595</v>
      </c>
      <c r="C151" s="5" t="s">
        <v>0</v>
      </c>
      <c r="D151" s="1" t="s">
        <v>596</v>
      </c>
      <c r="F151" s="1" t="s">
        <v>597</v>
      </c>
      <c r="G151" s="1" t="s">
        <v>597</v>
      </c>
      <c r="H151" s="1" t="s">
        <v>249</v>
      </c>
      <c r="I151" s="1" t="s">
        <v>16</v>
      </c>
      <c r="J151" s="1">
        <v>1</v>
      </c>
      <c r="K151" s="1">
        <v>6</v>
      </c>
      <c r="L151" s="1" t="s">
        <v>42</v>
      </c>
      <c r="M151" s="1" t="s">
        <v>18</v>
      </c>
      <c r="N151" s="1" t="s">
        <v>18</v>
      </c>
      <c r="O151" s="1">
        <v>2</v>
      </c>
      <c r="P151" s="1">
        <v>5</v>
      </c>
      <c r="R151" s="1" t="s">
        <v>19</v>
      </c>
      <c r="S151" s="1" t="s">
        <v>20</v>
      </c>
      <c r="T151" s="1" t="s">
        <v>21</v>
      </c>
      <c r="U151" s="1" t="s">
        <v>22</v>
      </c>
      <c r="V151" s="1" t="s">
        <v>24</v>
      </c>
      <c r="W151" s="1" t="s">
        <v>64</v>
      </c>
      <c r="X151" s="1">
        <v>3003</v>
      </c>
      <c r="Y151" s="1">
        <v>3004</v>
      </c>
      <c r="Z151" s="1" t="s">
        <v>24</v>
      </c>
      <c r="AA151" s="1" t="s">
        <v>24</v>
      </c>
      <c r="AB151" s="1" t="s">
        <v>24</v>
      </c>
      <c r="AC151" s="1" t="s">
        <v>24</v>
      </c>
      <c r="AD151" s="1" t="s">
        <v>24</v>
      </c>
      <c r="AE151" s="1" t="s">
        <v>24</v>
      </c>
      <c r="AF151" s="22"/>
    </row>
    <row r="152" spans="1:32" x14ac:dyDescent="0.2">
      <c r="A152" s="1">
        <v>775</v>
      </c>
      <c r="B152" s="1" t="s">
        <v>598</v>
      </c>
      <c r="C152" s="5" t="s">
        <v>0</v>
      </c>
      <c r="D152" s="1" t="s">
        <v>599</v>
      </c>
      <c r="E152" s="1" t="s">
        <v>600</v>
      </c>
      <c r="F152" s="1" t="s">
        <v>601</v>
      </c>
      <c r="G152" s="1" t="s">
        <v>61</v>
      </c>
      <c r="H152" s="1" t="s">
        <v>37</v>
      </c>
      <c r="I152" s="1" t="s">
        <v>16</v>
      </c>
      <c r="J152" s="1">
        <v>2</v>
      </c>
      <c r="K152" s="1">
        <v>3</v>
      </c>
      <c r="L152" s="1" t="s">
        <v>31</v>
      </c>
      <c r="M152" s="1" t="s">
        <v>18</v>
      </c>
      <c r="N152" s="1" t="s">
        <v>18</v>
      </c>
      <c r="O152" s="1">
        <v>3</v>
      </c>
      <c r="P152" s="1">
        <v>6</v>
      </c>
      <c r="R152" s="1" t="s">
        <v>19</v>
      </c>
      <c r="S152" s="1" t="s">
        <v>63</v>
      </c>
      <c r="T152" s="1" t="s">
        <v>21</v>
      </c>
      <c r="U152" s="1" t="s">
        <v>22</v>
      </c>
      <c r="V152" s="1" t="s">
        <v>23</v>
      </c>
      <c r="W152" s="1" t="s">
        <v>24</v>
      </c>
      <c r="X152" s="1">
        <v>2916</v>
      </c>
      <c r="Y152" s="1">
        <v>3200</v>
      </c>
      <c r="Z152" s="1" t="s">
        <v>24</v>
      </c>
      <c r="AA152" s="1" t="s">
        <v>24</v>
      </c>
      <c r="AB152" s="1" t="s">
        <v>24</v>
      </c>
      <c r="AC152" s="1" t="s">
        <v>24</v>
      </c>
      <c r="AD152" s="1" t="s">
        <v>24</v>
      </c>
      <c r="AE152" s="1" t="s">
        <v>24</v>
      </c>
      <c r="AF152" s="22"/>
    </row>
    <row r="153" spans="1:32" x14ac:dyDescent="0.2">
      <c r="A153" s="1">
        <v>798</v>
      </c>
      <c r="B153" s="1" t="s">
        <v>602</v>
      </c>
      <c r="C153" s="5" t="s">
        <v>0</v>
      </c>
      <c r="D153" s="1" t="s">
        <v>603</v>
      </c>
      <c r="E153" s="1" t="s">
        <v>604</v>
      </c>
      <c r="F153" s="1" t="s">
        <v>35</v>
      </c>
      <c r="G153" s="1" t="s">
        <v>36</v>
      </c>
      <c r="H153" s="1" t="s">
        <v>37</v>
      </c>
      <c r="I153" s="1" t="s">
        <v>16</v>
      </c>
      <c r="J153" s="1">
        <v>2</v>
      </c>
      <c r="K153" s="1">
        <v>6</v>
      </c>
      <c r="L153" s="1" t="s">
        <v>31</v>
      </c>
      <c r="M153" s="1" t="s">
        <v>18</v>
      </c>
      <c r="N153" s="1" t="s">
        <v>18</v>
      </c>
      <c r="O153" s="1">
        <v>3</v>
      </c>
      <c r="P153" s="1">
        <v>7</v>
      </c>
      <c r="Q153" s="7" t="s">
        <v>17633</v>
      </c>
      <c r="R153" s="1" t="s">
        <v>62</v>
      </c>
      <c r="S153" s="1" t="s">
        <v>20</v>
      </c>
      <c r="T153" s="1" t="s">
        <v>21</v>
      </c>
      <c r="U153" s="1" t="s">
        <v>22</v>
      </c>
      <c r="V153" s="1" t="s">
        <v>24</v>
      </c>
      <c r="W153" s="1" t="s">
        <v>24</v>
      </c>
      <c r="X153" s="1">
        <v>2738</v>
      </c>
      <c r="Y153" s="1" t="s">
        <v>24</v>
      </c>
      <c r="Z153" s="1" t="s">
        <v>24</v>
      </c>
      <c r="AA153" s="1" t="s">
        <v>24</v>
      </c>
      <c r="AB153" s="1" t="s">
        <v>24</v>
      </c>
      <c r="AC153" s="1" t="s">
        <v>24</v>
      </c>
      <c r="AD153" s="1" t="s">
        <v>24</v>
      </c>
      <c r="AE153" s="1" t="s">
        <v>24</v>
      </c>
      <c r="AF153" s="22"/>
    </row>
    <row r="154" spans="1:32" x14ac:dyDescent="0.2">
      <c r="A154" s="1">
        <v>802</v>
      </c>
      <c r="B154" s="1" t="s">
        <v>605</v>
      </c>
      <c r="C154" s="5" t="s">
        <v>0</v>
      </c>
      <c r="D154" s="1" t="s">
        <v>606</v>
      </c>
      <c r="F154" s="1" t="s">
        <v>607</v>
      </c>
      <c r="G154" s="1" t="s">
        <v>608</v>
      </c>
      <c r="H154" s="1" t="s">
        <v>30</v>
      </c>
      <c r="I154" s="1" t="s">
        <v>16</v>
      </c>
      <c r="J154" s="1">
        <v>1</v>
      </c>
      <c r="K154" s="1">
        <v>6</v>
      </c>
      <c r="L154" s="1" t="s">
        <v>42</v>
      </c>
      <c r="M154" s="1" t="s">
        <v>18</v>
      </c>
      <c r="N154" s="1" t="s">
        <v>18</v>
      </c>
      <c r="O154" s="1">
        <v>3</v>
      </c>
      <c r="P154" s="1">
        <v>8</v>
      </c>
      <c r="Q154" s="7" t="s">
        <v>17633</v>
      </c>
      <c r="R154" s="1" t="s">
        <v>19</v>
      </c>
      <c r="S154" s="1" t="s">
        <v>20</v>
      </c>
      <c r="T154" s="1" t="s">
        <v>21</v>
      </c>
      <c r="U154" s="1" t="s">
        <v>22</v>
      </c>
      <c r="V154" s="1" t="s">
        <v>24</v>
      </c>
      <c r="W154" s="1" t="s">
        <v>24</v>
      </c>
      <c r="X154" s="1">
        <v>2702</v>
      </c>
      <c r="Y154" s="1">
        <v>2722</v>
      </c>
      <c r="Z154" s="1" t="s">
        <v>24</v>
      </c>
      <c r="AA154" s="1" t="s">
        <v>24</v>
      </c>
      <c r="AB154" s="1" t="s">
        <v>24</v>
      </c>
      <c r="AC154" s="1" t="s">
        <v>24</v>
      </c>
      <c r="AD154" s="1" t="s">
        <v>24</v>
      </c>
      <c r="AE154" s="1" t="s">
        <v>24</v>
      </c>
      <c r="AF154" s="22"/>
    </row>
    <row r="155" spans="1:32" x14ac:dyDescent="0.2">
      <c r="A155" s="1">
        <v>805</v>
      </c>
      <c r="B155" s="1" t="s">
        <v>609</v>
      </c>
      <c r="C155" s="5" t="s">
        <v>0</v>
      </c>
      <c r="D155" s="1" t="s">
        <v>610</v>
      </c>
      <c r="E155" s="1" t="s">
        <v>611</v>
      </c>
      <c r="F155" s="1" t="s">
        <v>91</v>
      </c>
      <c r="G155" s="1" t="s">
        <v>61</v>
      </c>
      <c r="H155" s="1" t="s">
        <v>92</v>
      </c>
      <c r="I155" s="1" t="s">
        <v>16</v>
      </c>
      <c r="J155" s="1">
        <v>5</v>
      </c>
      <c r="K155" s="1">
        <v>4</v>
      </c>
      <c r="L155" s="1" t="s">
        <v>31</v>
      </c>
      <c r="M155" s="1" t="s">
        <v>18</v>
      </c>
      <c r="N155" s="1" t="s">
        <v>18</v>
      </c>
      <c r="O155" s="1">
        <v>3</v>
      </c>
      <c r="P155" s="1">
        <v>7</v>
      </c>
      <c r="Q155" s="7" t="s">
        <v>17633</v>
      </c>
      <c r="R155" s="1" t="s">
        <v>62</v>
      </c>
      <c r="S155" s="1" t="s">
        <v>63</v>
      </c>
      <c r="T155" s="1" t="s">
        <v>21</v>
      </c>
      <c r="U155" s="1" t="s">
        <v>22</v>
      </c>
      <c r="V155" s="1" t="s">
        <v>24</v>
      </c>
      <c r="W155" s="1" t="s">
        <v>24</v>
      </c>
      <c r="X155" s="1">
        <v>1104</v>
      </c>
      <c r="Y155" s="1">
        <v>2307</v>
      </c>
      <c r="Z155" s="1" t="s">
        <v>24</v>
      </c>
      <c r="AA155" s="1" t="s">
        <v>24</v>
      </c>
      <c r="AB155" s="1" t="s">
        <v>24</v>
      </c>
      <c r="AC155" s="1" t="s">
        <v>24</v>
      </c>
      <c r="AD155" s="1" t="s">
        <v>24</v>
      </c>
      <c r="AE155" s="1" t="s">
        <v>24</v>
      </c>
      <c r="AF155" s="22"/>
    </row>
    <row r="156" spans="1:32" x14ac:dyDescent="0.2">
      <c r="A156" s="1">
        <v>807</v>
      </c>
      <c r="B156" s="1" t="s">
        <v>612</v>
      </c>
      <c r="C156" s="5" t="s">
        <v>0</v>
      </c>
      <c r="E156" s="1" t="s">
        <v>613</v>
      </c>
      <c r="F156" s="1" t="s">
        <v>614</v>
      </c>
      <c r="G156" s="1" t="s">
        <v>614</v>
      </c>
      <c r="H156" s="1" t="s">
        <v>116</v>
      </c>
      <c r="I156" s="1" t="s">
        <v>16</v>
      </c>
      <c r="J156" s="1">
        <v>1</v>
      </c>
      <c r="K156" s="1">
        <v>4</v>
      </c>
      <c r="L156" s="1" t="s">
        <v>17</v>
      </c>
      <c r="M156" s="1" t="s">
        <v>117</v>
      </c>
      <c r="N156" s="1" t="s">
        <v>18</v>
      </c>
      <c r="O156" s="1">
        <v>3</v>
      </c>
      <c r="P156" s="1">
        <v>5</v>
      </c>
      <c r="R156" s="1" t="s">
        <v>19</v>
      </c>
      <c r="S156" s="1" t="s">
        <v>20</v>
      </c>
      <c r="T156" s="1" t="s">
        <v>21</v>
      </c>
      <c r="U156" s="1" t="s">
        <v>22</v>
      </c>
      <c r="V156" s="1" t="s">
        <v>24</v>
      </c>
      <c r="W156" s="1" t="s">
        <v>24</v>
      </c>
      <c r="X156" s="1">
        <v>2736</v>
      </c>
      <c r="Y156" s="1">
        <v>3003</v>
      </c>
      <c r="Z156" s="1">
        <v>1307</v>
      </c>
      <c r="AA156" s="1">
        <v>1312</v>
      </c>
      <c r="AB156" s="1" t="s">
        <v>24</v>
      </c>
      <c r="AC156" s="1" t="s">
        <v>24</v>
      </c>
      <c r="AD156" s="1" t="s">
        <v>24</v>
      </c>
      <c r="AE156" s="1" t="s">
        <v>24</v>
      </c>
      <c r="AF156" s="22"/>
    </row>
    <row r="157" spans="1:32" x14ac:dyDescent="0.2">
      <c r="A157" s="1">
        <v>813</v>
      </c>
      <c r="B157" s="1" t="s">
        <v>615</v>
      </c>
      <c r="C157" s="5" t="s">
        <v>0</v>
      </c>
      <c r="D157" s="1" t="s">
        <v>616</v>
      </c>
      <c r="E157" s="1" t="s">
        <v>617</v>
      </c>
      <c r="F157" s="1" t="s">
        <v>618</v>
      </c>
      <c r="G157" s="1" t="s">
        <v>619</v>
      </c>
      <c r="H157" s="1" t="s">
        <v>30</v>
      </c>
      <c r="I157" s="1" t="s">
        <v>112</v>
      </c>
      <c r="J157" s="1">
        <v>1</v>
      </c>
      <c r="K157" s="1">
        <v>1</v>
      </c>
      <c r="L157" s="1" t="s">
        <v>31</v>
      </c>
      <c r="M157" s="1" t="s">
        <v>18</v>
      </c>
      <c r="N157" s="1" t="s">
        <v>18</v>
      </c>
      <c r="O157" s="1">
        <v>2</v>
      </c>
      <c r="P157" s="1">
        <v>7</v>
      </c>
      <c r="Q157" s="7" t="s">
        <v>17633</v>
      </c>
      <c r="R157" s="1" t="s">
        <v>62</v>
      </c>
      <c r="S157" s="1" t="s">
        <v>20</v>
      </c>
      <c r="T157" s="1" t="s">
        <v>21</v>
      </c>
      <c r="U157" s="1" t="s">
        <v>22</v>
      </c>
      <c r="V157" s="1" t="s">
        <v>24</v>
      </c>
      <c r="W157" s="1" t="s">
        <v>24</v>
      </c>
      <c r="X157" s="1">
        <v>1303</v>
      </c>
      <c r="Y157" s="1" t="s">
        <v>24</v>
      </c>
      <c r="Z157" s="1" t="s">
        <v>24</v>
      </c>
      <c r="AA157" s="1" t="s">
        <v>24</v>
      </c>
      <c r="AB157" s="1" t="s">
        <v>24</v>
      </c>
      <c r="AC157" s="1" t="s">
        <v>24</v>
      </c>
      <c r="AD157" s="1" t="s">
        <v>24</v>
      </c>
      <c r="AE157" s="1" t="s">
        <v>24</v>
      </c>
      <c r="AF157" s="22"/>
    </row>
    <row r="158" spans="1:32" x14ac:dyDescent="0.2">
      <c r="A158" s="1">
        <v>814</v>
      </c>
      <c r="B158" s="1" t="s">
        <v>620</v>
      </c>
      <c r="C158" s="5" t="s">
        <v>0</v>
      </c>
      <c r="D158" s="1" t="s">
        <v>621</v>
      </c>
      <c r="E158" s="1" t="s">
        <v>622</v>
      </c>
      <c r="F158" s="1" t="s">
        <v>175</v>
      </c>
      <c r="G158" s="1" t="s">
        <v>61</v>
      </c>
      <c r="H158" s="1" t="s">
        <v>116</v>
      </c>
      <c r="I158" s="1" t="s">
        <v>16</v>
      </c>
      <c r="J158" s="1">
        <v>1</v>
      </c>
      <c r="K158" s="1">
        <v>12</v>
      </c>
      <c r="L158" s="1" t="s">
        <v>31</v>
      </c>
      <c r="M158" s="1" t="s">
        <v>117</v>
      </c>
      <c r="N158" s="1" t="s">
        <v>18</v>
      </c>
      <c r="O158" s="1">
        <v>3</v>
      </c>
      <c r="P158" s="1">
        <v>5</v>
      </c>
      <c r="R158" s="1" t="s">
        <v>19</v>
      </c>
      <c r="S158" s="1" t="s">
        <v>20</v>
      </c>
      <c r="T158" s="1" t="s">
        <v>21</v>
      </c>
      <c r="U158" s="1" t="s">
        <v>22</v>
      </c>
      <c r="V158" s="1" t="s">
        <v>24</v>
      </c>
      <c r="W158" s="1" t="s">
        <v>24</v>
      </c>
      <c r="X158" s="1">
        <v>2740</v>
      </c>
      <c r="Y158" s="1" t="s">
        <v>24</v>
      </c>
      <c r="Z158" s="1" t="s">
        <v>24</v>
      </c>
      <c r="AA158" s="1" t="s">
        <v>24</v>
      </c>
      <c r="AB158" s="1" t="s">
        <v>24</v>
      </c>
      <c r="AC158" s="1" t="s">
        <v>24</v>
      </c>
      <c r="AD158" s="1" t="s">
        <v>24</v>
      </c>
      <c r="AE158" s="1" t="s">
        <v>24</v>
      </c>
      <c r="AF158" s="22"/>
    </row>
    <row r="159" spans="1:32" x14ac:dyDescent="0.2">
      <c r="A159" s="1">
        <v>825</v>
      </c>
      <c r="B159" s="1" t="s">
        <v>623</v>
      </c>
      <c r="C159" s="5" t="s">
        <v>0</v>
      </c>
      <c r="D159" s="1" t="s">
        <v>624</v>
      </c>
      <c r="E159" s="1" t="s">
        <v>625</v>
      </c>
      <c r="F159" s="1" t="s">
        <v>159</v>
      </c>
      <c r="G159" s="1" t="s">
        <v>160</v>
      </c>
      <c r="H159" s="1" t="s">
        <v>37</v>
      </c>
      <c r="I159" s="1" t="s">
        <v>16</v>
      </c>
      <c r="J159" s="1">
        <v>1</v>
      </c>
      <c r="K159" s="1">
        <v>12</v>
      </c>
      <c r="L159" s="1" t="s">
        <v>42</v>
      </c>
      <c r="M159" s="1" t="s">
        <v>18</v>
      </c>
      <c r="N159" s="1" t="s">
        <v>18</v>
      </c>
      <c r="O159" s="1">
        <v>3</v>
      </c>
      <c r="P159" s="1">
        <v>7</v>
      </c>
      <c r="Q159" s="7" t="s">
        <v>17633</v>
      </c>
      <c r="R159" s="1" t="s">
        <v>62</v>
      </c>
      <c r="S159" s="1" t="s">
        <v>63</v>
      </c>
      <c r="T159" s="1" t="s">
        <v>21</v>
      </c>
      <c r="U159" s="1" t="s">
        <v>22</v>
      </c>
      <c r="V159" s="1" t="s">
        <v>24</v>
      </c>
      <c r="W159" s="1" t="s">
        <v>24</v>
      </c>
      <c r="X159" s="1">
        <v>2745</v>
      </c>
      <c r="Y159" s="1">
        <v>2403</v>
      </c>
      <c r="Z159" s="1">
        <v>1300</v>
      </c>
      <c r="AA159" s="1">
        <v>2723</v>
      </c>
      <c r="AB159" s="1" t="s">
        <v>24</v>
      </c>
      <c r="AC159" s="1" t="s">
        <v>24</v>
      </c>
      <c r="AD159" s="1" t="s">
        <v>24</v>
      </c>
      <c r="AE159" s="1" t="s">
        <v>24</v>
      </c>
      <c r="AF159" s="22"/>
    </row>
    <row r="160" spans="1:32" x14ac:dyDescent="0.2">
      <c r="A160" s="1">
        <v>829</v>
      </c>
      <c r="B160" s="1" t="s">
        <v>626</v>
      </c>
      <c r="C160" s="5" t="s">
        <v>0</v>
      </c>
      <c r="D160" s="1" t="s">
        <v>627</v>
      </c>
      <c r="E160" s="1" t="s">
        <v>628</v>
      </c>
      <c r="F160" s="1" t="s">
        <v>629</v>
      </c>
      <c r="G160" s="1" t="s">
        <v>630</v>
      </c>
      <c r="H160" s="1" t="s">
        <v>30</v>
      </c>
      <c r="I160" s="1" t="s">
        <v>16</v>
      </c>
      <c r="J160" s="1">
        <v>1</v>
      </c>
      <c r="K160" s="1">
        <v>12</v>
      </c>
      <c r="L160" s="1" t="s">
        <v>31</v>
      </c>
      <c r="M160" s="1" t="s">
        <v>18</v>
      </c>
      <c r="N160" s="1" t="s">
        <v>18</v>
      </c>
      <c r="O160" s="1">
        <v>0</v>
      </c>
      <c r="P160" s="1">
        <v>6</v>
      </c>
      <c r="R160" s="1" t="s">
        <v>19</v>
      </c>
      <c r="S160" s="1" t="s">
        <v>20</v>
      </c>
      <c r="T160" s="1" t="s">
        <v>21</v>
      </c>
      <c r="U160" s="1" t="s">
        <v>22</v>
      </c>
      <c r="V160" s="1" t="s">
        <v>23</v>
      </c>
      <c r="W160" s="1" t="s">
        <v>24</v>
      </c>
      <c r="X160" s="1">
        <v>2741</v>
      </c>
      <c r="Y160" s="1" t="s">
        <v>24</v>
      </c>
      <c r="Z160" s="1" t="s">
        <v>24</v>
      </c>
      <c r="AA160" s="1" t="s">
        <v>24</v>
      </c>
      <c r="AB160" s="1" t="s">
        <v>24</v>
      </c>
      <c r="AC160" s="1" t="s">
        <v>24</v>
      </c>
      <c r="AD160" s="1" t="s">
        <v>24</v>
      </c>
      <c r="AE160" s="1" t="s">
        <v>24</v>
      </c>
      <c r="AF160" s="22"/>
    </row>
    <row r="161" spans="1:32" x14ac:dyDescent="0.2">
      <c r="A161" s="1">
        <v>833</v>
      </c>
      <c r="B161" s="1" t="s">
        <v>631</v>
      </c>
      <c r="C161" s="5" t="s">
        <v>0</v>
      </c>
      <c r="D161" s="1" t="s">
        <v>632</v>
      </c>
      <c r="E161" s="1" t="s">
        <v>633</v>
      </c>
      <c r="F161" s="1" t="s">
        <v>634</v>
      </c>
      <c r="G161" s="1" t="s">
        <v>634</v>
      </c>
      <c r="H161" s="1" t="s">
        <v>461</v>
      </c>
      <c r="I161" s="1" t="s">
        <v>16</v>
      </c>
      <c r="J161" s="1">
        <v>1</v>
      </c>
      <c r="K161" s="1">
        <v>12</v>
      </c>
      <c r="L161" s="1" t="s">
        <v>17</v>
      </c>
      <c r="M161" s="1" t="s">
        <v>635</v>
      </c>
      <c r="N161" s="1" t="s">
        <v>18</v>
      </c>
      <c r="O161" s="1">
        <v>3</v>
      </c>
      <c r="P161" s="1">
        <v>4</v>
      </c>
      <c r="R161" s="1" t="s">
        <v>19</v>
      </c>
      <c r="S161" s="1" t="s">
        <v>20</v>
      </c>
      <c r="T161" s="1" t="s">
        <v>21</v>
      </c>
      <c r="U161" s="1" t="s">
        <v>22</v>
      </c>
      <c r="V161" s="1" t="s">
        <v>24</v>
      </c>
      <c r="W161" s="1" t="s">
        <v>24</v>
      </c>
      <c r="X161" s="1">
        <v>2723</v>
      </c>
      <c r="Y161" s="1" t="s">
        <v>24</v>
      </c>
      <c r="Z161" s="1" t="s">
        <v>24</v>
      </c>
      <c r="AA161" s="1" t="s">
        <v>24</v>
      </c>
      <c r="AB161" s="1" t="s">
        <v>24</v>
      </c>
      <c r="AC161" s="1" t="s">
        <v>24</v>
      </c>
      <c r="AD161" s="1" t="s">
        <v>24</v>
      </c>
      <c r="AE161" s="1" t="s">
        <v>24</v>
      </c>
      <c r="AF161" s="22"/>
    </row>
    <row r="162" spans="1:32" x14ac:dyDescent="0.2">
      <c r="A162" s="1">
        <v>845</v>
      </c>
      <c r="B162" s="1" t="s">
        <v>636</v>
      </c>
      <c r="C162" s="5" t="s">
        <v>0</v>
      </c>
      <c r="D162" s="1" t="s">
        <v>637</v>
      </c>
      <c r="E162" s="1" t="s">
        <v>638</v>
      </c>
      <c r="F162" s="1" t="s">
        <v>155</v>
      </c>
      <c r="G162" s="1" t="s">
        <v>61</v>
      </c>
      <c r="H162" s="1" t="s">
        <v>37</v>
      </c>
      <c r="I162" s="1" t="s">
        <v>16</v>
      </c>
      <c r="J162" s="1">
        <v>2</v>
      </c>
      <c r="K162" s="1">
        <v>6</v>
      </c>
      <c r="L162" s="1" t="s">
        <v>31</v>
      </c>
      <c r="M162" s="1" t="s">
        <v>18</v>
      </c>
      <c r="N162" s="1" t="s">
        <v>18</v>
      </c>
      <c r="O162" s="1">
        <v>3</v>
      </c>
      <c r="P162" s="1">
        <v>7</v>
      </c>
      <c r="Q162" s="7" t="s">
        <v>17633</v>
      </c>
      <c r="R162" s="1" t="s">
        <v>19</v>
      </c>
      <c r="S162" s="1" t="s">
        <v>63</v>
      </c>
      <c r="T162" s="1" t="s">
        <v>21</v>
      </c>
      <c r="U162" s="1" t="s">
        <v>22</v>
      </c>
      <c r="V162" s="1" t="s">
        <v>23</v>
      </c>
      <c r="W162" s="1" t="s">
        <v>24</v>
      </c>
      <c r="X162" s="1">
        <v>3108</v>
      </c>
      <c r="Y162" s="1" t="s">
        <v>24</v>
      </c>
      <c r="Z162" s="1" t="s">
        <v>24</v>
      </c>
      <c r="AA162" s="1" t="s">
        <v>24</v>
      </c>
      <c r="AB162" s="1" t="s">
        <v>24</v>
      </c>
      <c r="AC162" s="1" t="s">
        <v>24</v>
      </c>
      <c r="AD162" s="1" t="s">
        <v>24</v>
      </c>
      <c r="AE162" s="1" t="s">
        <v>24</v>
      </c>
      <c r="AF162" s="22"/>
    </row>
    <row r="163" spans="1:32" x14ac:dyDescent="0.2">
      <c r="A163" s="1">
        <v>858</v>
      </c>
      <c r="B163" s="1" t="s">
        <v>639</v>
      </c>
      <c r="C163" s="5" t="s">
        <v>0</v>
      </c>
      <c r="D163" s="1" t="s">
        <v>640</v>
      </c>
      <c r="E163" s="1" t="s">
        <v>641</v>
      </c>
      <c r="F163" s="1" t="s">
        <v>618</v>
      </c>
      <c r="G163" s="1" t="s">
        <v>619</v>
      </c>
      <c r="H163" s="1" t="s">
        <v>30</v>
      </c>
      <c r="I163" s="1" t="s">
        <v>112</v>
      </c>
      <c r="J163" s="1">
        <v>1</v>
      </c>
      <c r="K163" s="1">
        <v>1</v>
      </c>
      <c r="L163" s="1" t="s">
        <v>31</v>
      </c>
      <c r="M163" s="1" t="s">
        <v>18</v>
      </c>
      <c r="N163" s="1" t="s">
        <v>18</v>
      </c>
      <c r="O163" s="1">
        <v>2</v>
      </c>
      <c r="P163" s="1">
        <v>7</v>
      </c>
      <c r="Q163" s="7" t="s">
        <v>17633</v>
      </c>
      <c r="R163" s="1" t="s">
        <v>62</v>
      </c>
      <c r="S163" s="1" t="s">
        <v>20</v>
      </c>
      <c r="T163" s="1" t="s">
        <v>21</v>
      </c>
      <c r="U163" s="1" t="s">
        <v>22</v>
      </c>
      <c r="V163" s="1" t="s">
        <v>24</v>
      </c>
      <c r="W163" s="1" t="s">
        <v>24</v>
      </c>
      <c r="X163" s="1">
        <v>2800</v>
      </c>
      <c r="Y163" s="1" t="s">
        <v>24</v>
      </c>
      <c r="Z163" s="1" t="s">
        <v>24</v>
      </c>
      <c r="AA163" s="1" t="s">
        <v>24</v>
      </c>
      <c r="AB163" s="1" t="s">
        <v>24</v>
      </c>
      <c r="AC163" s="1" t="s">
        <v>24</v>
      </c>
      <c r="AD163" s="1" t="s">
        <v>24</v>
      </c>
      <c r="AE163" s="1" t="s">
        <v>24</v>
      </c>
      <c r="AF163" s="22"/>
    </row>
    <row r="164" spans="1:32" x14ac:dyDescent="0.2">
      <c r="A164" s="1">
        <v>864</v>
      </c>
      <c r="B164" s="1" t="s">
        <v>642</v>
      </c>
      <c r="C164" s="5" t="s">
        <v>0</v>
      </c>
      <c r="D164" s="1" t="s">
        <v>643</v>
      </c>
      <c r="E164" s="1" t="s">
        <v>644</v>
      </c>
      <c r="F164" s="1" t="s">
        <v>548</v>
      </c>
      <c r="G164" s="1" t="s">
        <v>36</v>
      </c>
      <c r="H164" s="1" t="s">
        <v>30</v>
      </c>
      <c r="I164" s="1" t="s">
        <v>16</v>
      </c>
      <c r="J164" s="1">
        <v>1</v>
      </c>
      <c r="K164" s="1">
        <v>12</v>
      </c>
      <c r="L164" s="1" t="s">
        <v>31</v>
      </c>
      <c r="M164" s="1" t="s">
        <v>18</v>
      </c>
      <c r="N164" s="1" t="s">
        <v>18</v>
      </c>
      <c r="O164" s="1">
        <v>3</v>
      </c>
      <c r="P164" s="1">
        <v>7</v>
      </c>
      <c r="Q164" s="7" t="s">
        <v>17633</v>
      </c>
      <c r="R164" s="1" t="s">
        <v>19</v>
      </c>
      <c r="S164" s="1" t="s">
        <v>20</v>
      </c>
      <c r="T164" s="1" t="s">
        <v>21</v>
      </c>
      <c r="U164" s="1" t="s">
        <v>22</v>
      </c>
      <c r="V164" s="1" t="s">
        <v>23</v>
      </c>
      <c r="W164" s="1" t="s">
        <v>24</v>
      </c>
      <c r="X164" s="1">
        <v>2502</v>
      </c>
      <c r="Y164" s="1">
        <v>2204</v>
      </c>
      <c r="Z164" s="1">
        <v>1502</v>
      </c>
      <c r="AA164" s="1">
        <v>2701</v>
      </c>
      <c r="AB164" s="1" t="s">
        <v>24</v>
      </c>
      <c r="AC164" s="1" t="s">
        <v>24</v>
      </c>
      <c r="AD164" s="1" t="s">
        <v>24</v>
      </c>
      <c r="AE164" s="1" t="s">
        <v>24</v>
      </c>
      <c r="AF164" s="22"/>
    </row>
    <row r="165" spans="1:32" x14ac:dyDescent="0.2">
      <c r="A165" s="1">
        <v>868</v>
      </c>
      <c r="B165" s="1" t="s">
        <v>645</v>
      </c>
      <c r="C165" s="5" t="s">
        <v>0</v>
      </c>
      <c r="D165" s="1" t="s">
        <v>646</v>
      </c>
      <c r="E165" s="1" t="s">
        <v>647</v>
      </c>
      <c r="F165" s="1" t="s">
        <v>618</v>
      </c>
      <c r="G165" s="1" t="s">
        <v>619</v>
      </c>
      <c r="H165" s="1" t="s">
        <v>30</v>
      </c>
      <c r="I165" s="1" t="s">
        <v>112</v>
      </c>
      <c r="J165" s="1">
        <v>1</v>
      </c>
      <c r="K165" s="1">
        <v>1</v>
      </c>
      <c r="L165" s="1" t="s">
        <v>31</v>
      </c>
      <c r="M165" s="1" t="s">
        <v>18</v>
      </c>
      <c r="N165" s="1" t="s">
        <v>18</v>
      </c>
      <c r="O165" s="1">
        <v>2</v>
      </c>
      <c r="P165" s="1">
        <v>7</v>
      </c>
      <c r="Q165" s="7" t="s">
        <v>17633</v>
      </c>
      <c r="R165" s="1" t="s">
        <v>62</v>
      </c>
      <c r="S165" s="1" t="s">
        <v>20</v>
      </c>
      <c r="T165" s="1" t="s">
        <v>21</v>
      </c>
      <c r="U165" s="1" t="s">
        <v>22</v>
      </c>
      <c r="V165" s="1" t="s">
        <v>24</v>
      </c>
      <c r="W165" s="1" t="s">
        <v>24</v>
      </c>
      <c r="X165" s="1">
        <v>1314</v>
      </c>
      <c r="Y165" s="1" t="s">
        <v>24</v>
      </c>
      <c r="Z165" s="1" t="s">
        <v>24</v>
      </c>
      <c r="AA165" s="1" t="s">
        <v>24</v>
      </c>
      <c r="AB165" s="1" t="s">
        <v>24</v>
      </c>
      <c r="AC165" s="1" t="s">
        <v>24</v>
      </c>
      <c r="AD165" s="1" t="s">
        <v>24</v>
      </c>
      <c r="AE165" s="1" t="s">
        <v>24</v>
      </c>
      <c r="AF165" s="22"/>
    </row>
    <row r="166" spans="1:32" x14ac:dyDescent="0.2">
      <c r="A166" s="1">
        <v>869</v>
      </c>
      <c r="B166" s="1" t="s">
        <v>648</v>
      </c>
      <c r="C166" s="5" t="s">
        <v>0</v>
      </c>
      <c r="D166" s="1" t="s">
        <v>649</v>
      </c>
      <c r="E166" s="1" t="s">
        <v>650</v>
      </c>
      <c r="F166" s="1" t="s">
        <v>651</v>
      </c>
      <c r="G166" s="1" t="s">
        <v>36</v>
      </c>
      <c r="H166" s="1" t="s">
        <v>168</v>
      </c>
      <c r="I166" s="1" t="s">
        <v>16</v>
      </c>
      <c r="J166" s="1">
        <v>1</v>
      </c>
      <c r="K166" s="1">
        <v>12</v>
      </c>
      <c r="L166" s="1" t="s">
        <v>31</v>
      </c>
      <c r="M166" s="1" t="s">
        <v>18</v>
      </c>
      <c r="N166" s="1" t="s">
        <v>18</v>
      </c>
      <c r="O166" s="1">
        <v>3</v>
      </c>
      <c r="P166" s="1">
        <v>7</v>
      </c>
      <c r="Q166" s="7" t="s">
        <v>17633</v>
      </c>
      <c r="R166" s="1" t="s">
        <v>19</v>
      </c>
      <c r="S166" s="1" t="s">
        <v>20</v>
      </c>
      <c r="T166" s="1" t="s">
        <v>21</v>
      </c>
      <c r="U166" s="1" t="s">
        <v>22</v>
      </c>
      <c r="V166" s="1" t="s">
        <v>24</v>
      </c>
      <c r="W166" s="1" t="s">
        <v>64</v>
      </c>
      <c r="X166" s="1">
        <v>3002</v>
      </c>
      <c r="Y166" s="1">
        <v>3003</v>
      </c>
      <c r="Z166" s="1" t="s">
        <v>24</v>
      </c>
      <c r="AA166" s="1" t="s">
        <v>24</v>
      </c>
      <c r="AB166" s="1" t="s">
        <v>24</v>
      </c>
      <c r="AC166" s="1" t="s">
        <v>24</v>
      </c>
      <c r="AD166" s="1" t="s">
        <v>24</v>
      </c>
      <c r="AE166" s="1" t="s">
        <v>24</v>
      </c>
      <c r="AF166" s="22"/>
    </row>
    <row r="167" spans="1:32" x14ac:dyDescent="0.2">
      <c r="A167" s="1">
        <v>872</v>
      </c>
      <c r="B167" s="1" t="s">
        <v>652</v>
      </c>
      <c r="C167" s="5" t="s">
        <v>0</v>
      </c>
      <c r="D167" s="1" t="s">
        <v>653</v>
      </c>
      <c r="E167" s="1" t="s">
        <v>654</v>
      </c>
      <c r="F167" s="1" t="s">
        <v>618</v>
      </c>
      <c r="G167" s="1" t="s">
        <v>619</v>
      </c>
      <c r="H167" s="1" t="s">
        <v>30</v>
      </c>
      <c r="I167" s="1" t="s">
        <v>112</v>
      </c>
      <c r="J167" s="1">
        <v>1</v>
      </c>
      <c r="K167" s="1">
        <v>1</v>
      </c>
      <c r="L167" s="1" t="s">
        <v>31</v>
      </c>
      <c r="M167" s="1" t="s">
        <v>18</v>
      </c>
      <c r="N167" s="1" t="s">
        <v>18</v>
      </c>
      <c r="O167" s="1">
        <v>2</v>
      </c>
      <c r="P167" s="1">
        <v>7</v>
      </c>
      <c r="Q167" s="7" t="s">
        <v>17633</v>
      </c>
      <c r="R167" s="1" t="s">
        <v>62</v>
      </c>
      <c r="S167" s="1" t="s">
        <v>20</v>
      </c>
      <c r="T167" s="1" t="s">
        <v>21</v>
      </c>
      <c r="U167" s="1" t="s">
        <v>22</v>
      </c>
      <c r="V167" s="1" t="s">
        <v>24</v>
      </c>
      <c r="W167" s="1" t="s">
        <v>24</v>
      </c>
      <c r="X167" s="1">
        <v>3004</v>
      </c>
      <c r="Y167" s="1">
        <v>3005</v>
      </c>
      <c r="Z167" s="1" t="s">
        <v>24</v>
      </c>
      <c r="AA167" s="1" t="s">
        <v>24</v>
      </c>
      <c r="AB167" s="1" t="s">
        <v>24</v>
      </c>
      <c r="AC167" s="1" t="s">
        <v>24</v>
      </c>
      <c r="AD167" s="1" t="s">
        <v>24</v>
      </c>
      <c r="AE167" s="1" t="s">
        <v>24</v>
      </c>
      <c r="AF167" s="22"/>
    </row>
    <row r="168" spans="1:32" x14ac:dyDescent="0.2">
      <c r="A168" s="1">
        <v>873</v>
      </c>
      <c r="B168" s="1" t="s">
        <v>655</v>
      </c>
      <c r="C168" s="5" t="s">
        <v>0</v>
      </c>
      <c r="D168" s="1" t="s">
        <v>656</v>
      </c>
      <c r="E168" s="1" t="s">
        <v>657</v>
      </c>
      <c r="F168" s="1" t="s">
        <v>658</v>
      </c>
      <c r="G168" s="1" t="s">
        <v>659</v>
      </c>
      <c r="H168" s="1" t="s">
        <v>69</v>
      </c>
      <c r="I168" s="1" t="s">
        <v>16</v>
      </c>
      <c r="J168" s="1">
        <v>1</v>
      </c>
      <c r="K168" s="1">
        <v>4</v>
      </c>
      <c r="L168" s="1" t="s">
        <v>42</v>
      </c>
      <c r="M168" s="1" t="s">
        <v>70</v>
      </c>
      <c r="N168" s="1" t="s">
        <v>18</v>
      </c>
      <c r="O168" s="1">
        <v>2</v>
      </c>
      <c r="P168" s="1">
        <v>5</v>
      </c>
      <c r="R168" s="1" t="s">
        <v>19</v>
      </c>
      <c r="S168" s="1" t="s">
        <v>20</v>
      </c>
      <c r="T168" s="1" t="s">
        <v>21</v>
      </c>
      <c r="U168" s="1" t="s">
        <v>22</v>
      </c>
      <c r="V168" s="1" t="s">
        <v>24</v>
      </c>
      <c r="W168" s="1" t="s">
        <v>24</v>
      </c>
      <c r="X168" s="1">
        <v>2715</v>
      </c>
      <c r="Y168" s="1" t="s">
        <v>24</v>
      </c>
      <c r="Z168" s="1" t="s">
        <v>24</v>
      </c>
      <c r="AA168" s="1" t="s">
        <v>24</v>
      </c>
      <c r="AB168" s="1" t="s">
        <v>24</v>
      </c>
      <c r="AC168" s="1" t="s">
        <v>24</v>
      </c>
      <c r="AD168" s="1" t="s">
        <v>24</v>
      </c>
      <c r="AE168" s="1" t="s">
        <v>24</v>
      </c>
      <c r="AF168" s="22"/>
    </row>
    <row r="169" spans="1:32" x14ac:dyDescent="0.2">
      <c r="A169" s="1">
        <v>875</v>
      </c>
      <c r="B169" s="1" t="s">
        <v>660</v>
      </c>
      <c r="C169" s="5" t="s">
        <v>0</v>
      </c>
      <c r="D169" s="1" t="s">
        <v>661</v>
      </c>
      <c r="E169" s="1" t="s">
        <v>662</v>
      </c>
      <c r="F169" s="1" t="s">
        <v>91</v>
      </c>
      <c r="G169" s="1" t="s">
        <v>61</v>
      </c>
      <c r="H169" s="1" t="s">
        <v>92</v>
      </c>
      <c r="I169" s="1" t="s">
        <v>16</v>
      </c>
      <c r="J169" s="1">
        <v>4</v>
      </c>
      <c r="K169" s="1">
        <v>3</v>
      </c>
      <c r="L169" s="1" t="s">
        <v>31</v>
      </c>
      <c r="M169" s="1" t="s">
        <v>18</v>
      </c>
      <c r="N169" s="1" t="s">
        <v>18</v>
      </c>
      <c r="O169" s="1">
        <v>3</v>
      </c>
      <c r="P169" s="1">
        <v>7</v>
      </c>
      <c r="Q169" s="7" t="s">
        <v>17633</v>
      </c>
      <c r="R169" s="1" t="s">
        <v>62</v>
      </c>
      <c r="S169" s="1" t="s">
        <v>63</v>
      </c>
      <c r="T169" s="1" t="s">
        <v>21</v>
      </c>
      <c r="U169" s="1" t="s">
        <v>22</v>
      </c>
      <c r="V169" s="1" t="s">
        <v>24</v>
      </c>
      <c r="W169" s="1" t="s">
        <v>64</v>
      </c>
      <c r="X169" s="1">
        <v>2406</v>
      </c>
      <c r="Y169" s="1">
        <v>3004</v>
      </c>
      <c r="Z169" s="1" t="s">
        <v>24</v>
      </c>
      <c r="AA169" s="1" t="s">
        <v>24</v>
      </c>
      <c r="AB169" s="1" t="s">
        <v>24</v>
      </c>
      <c r="AC169" s="1" t="s">
        <v>24</v>
      </c>
      <c r="AD169" s="1" t="s">
        <v>24</v>
      </c>
      <c r="AE169" s="1" t="s">
        <v>24</v>
      </c>
      <c r="AF169" s="22"/>
    </row>
    <row r="170" spans="1:32" x14ac:dyDescent="0.2">
      <c r="A170" s="1">
        <v>881</v>
      </c>
      <c r="B170" s="1" t="s">
        <v>663</v>
      </c>
      <c r="C170" s="5" t="s">
        <v>0</v>
      </c>
      <c r="D170" s="1" t="s">
        <v>664</v>
      </c>
      <c r="E170" s="1" t="s">
        <v>665</v>
      </c>
      <c r="F170" s="1" t="s">
        <v>167</v>
      </c>
      <c r="G170" s="1" t="s">
        <v>130</v>
      </c>
      <c r="H170" s="1" t="s">
        <v>168</v>
      </c>
      <c r="I170" s="1" t="s">
        <v>16</v>
      </c>
      <c r="J170" s="1">
        <v>1</v>
      </c>
      <c r="K170" s="1">
        <v>12</v>
      </c>
      <c r="L170" s="1" t="s">
        <v>31</v>
      </c>
      <c r="M170" s="1" t="s">
        <v>18</v>
      </c>
      <c r="N170" s="1" t="s">
        <v>18</v>
      </c>
      <c r="O170" s="1">
        <v>3</v>
      </c>
      <c r="P170" s="1">
        <v>7</v>
      </c>
      <c r="Q170" s="7" t="s">
        <v>17633</v>
      </c>
      <c r="R170" s="1" t="s">
        <v>19</v>
      </c>
      <c r="S170" s="1" t="s">
        <v>20</v>
      </c>
      <c r="T170" s="1" t="s">
        <v>21</v>
      </c>
      <c r="U170" s="1" t="s">
        <v>22</v>
      </c>
      <c r="V170" s="1" t="s">
        <v>24</v>
      </c>
      <c r="W170" s="1" t="s">
        <v>24</v>
      </c>
      <c r="X170" s="1">
        <v>3005</v>
      </c>
      <c r="Y170" s="1">
        <v>2307</v>
      </c>
      <c r="Z170" s="1" t="s">
        <v>24</v>
      </c>
      <c r="AA170" s="1" t="s">
        <v>24</v>
      </c>
      <c r="AB170" s="1" t="s">
        <v>24</v>
      </c>
      <c r="AC170" s="1" t="s">
        <v>24</v>
      </c>
      <c r="AD170" s="1" t="s">
        <v>24</v>
      </c>
      <c r="AE170" s="1" t="s">
        <v>24</v>
      </c>
      <c r="AF170" s="22"/>
    </row>
    <row r="171" spans="1:32" x14ac:dyDescent="0.2">
      <c r="A171" s="1">
        <v>926</v>
      </c>
      <c r="B171" s="1" t="s">
        <v>666</v>
      </c>
      <c r="C171" s="5" t="s">
        <v>0</v>
      </c>
      <c r="D171" s="1" t="s">
        <v>667</v>
      </c>
      <c r="E171" s="1" t="s">
        <v>668</v>
      </c>
      <c r="F171" s="1" t="s">
        <v>669</v>
      </c>
      <c r="G171" s="1" t="s">
        <v>311</v>
      </c>
      <c r="H171" s="1" t="s">
        <v>30</v>
      </c>
      <c r="I171" s="1" t="s">
        <v>16</v>
      </c>
      <c r="J171" s="1">
        <v>1</v>
      </c>
      <c r="K171" s="1">
        <v>12</v>
      </c>
      <c r="L171" s="1" t="s">
        <v>31</v>
      </c>
      <c r="M171" s="1" t="s">
        <v>18</v>
      </c>
      <c r="N171" s="1" t="s">
        <v>18</v>
      </c>
      <c r="O171" s="1">
        <v>3</v>
      </c>
      <c r="P171" s="1">
        <v>7</v>
      </c>
      <c r="Q171" s="7" t="s">
        <v>17633</v>
      </c>
      <c r="R171" s="1" t="s">
        <v>19</v>
      </c>
      <c r="S171" s="1" t="s">
        <v>20</v>
      </c>
      <c r="T171" s="1" t="s">
        <v>21</v>
      </c>
      <c r="U171" s="1" t="s">
        <v>22</v>
      </c>
      <c r="V171" s="1" t="s">
        <v>24</v>
      </c>
      <c r="W171" s="1" t="s">
        <v>24</v>
      </c>
      <c r="X171" s="1">
        <v>2500</v>
      </c>
      <c r="Y171" s="1">
        <v>2304</v>
      </c>
      <c r="Z171" s="1">
        <v>2310</v>
      </c>
      <c r="AA171" s="1" t="s">
        <v>24</v>
      </c>
      <c r="AB171" s="1" t="s">
        <v>24</v>
      </c>
      <c r="AC171" s="1" t="s">
        <v>24</v>
      </c>
      <c r="AD171" s="1" t="s">
        <v>24</v>
      </c>
      <c r="AE171" s="1" t="s">
        <v>24</v>
      </c>
      <c r="AF171" s="22"/>
    </row>
    <row r="172" spans="1:32" x14ac:dyDescent="0.2">
      <c r="A172" s="1">
        <v>940</v>
      </c>
      <c r="B172" s="1" t="s">
        <v>670</v>
      </c>
      <c r="C172" s="5" t="s">
        <v>0</v>
      </c>
      <c r="D172" s="1" t="s">
        <v>671</v>
      </c>
      <c r="E172" s="1" t="s">
        <v>672</v>
      </c>
      <c r="F172" s="1" t="s">
        <v>673</v>
      </c>
      <c r="G172" s="1" t="s">
        <v>61</v>
      </c>
      <c r="H172" s="1" t="s">
        <v>30</v>
      </c>
      <c r="I172" s="1" t="s">
        <v>16</v>
      </c>
      <c r="J172" s="1">
        <v>2</v>
      </c>
      <c r="K172" s="1">
        <v>6</v>
      </c>
      <c r="L172" s="1" t="s">
        <v>31</v>
      </c>
      <c r="M172" s="1" t="s">
        <v>18</v>
      </c>
      <c r="N172" s="1" t="s">
        <v>18</v>
      </c>
      <c r="O172" s="1">
        <v>3</v>
      </c>
      <c r="P172" s="1">
        <v>8</v>
      </c>
      <c r="Q172" s="7" t="s">
        <v>17633</v>
      </c>
      <c r="R172" s="1" t="s">
        <v>19</v>
      </c>
      <c r="S172" s="1" t="s">
        <v>20</v>
      </c>
      <c r="T172" s="1" t="s">
        <v>21</v>
      </c>
      <c r="U172" s="1" t="s">
        <v>22</v>
      </c>
      <c r="V172" s="1" t="s">
        <v>24</v>
      </c>
      <c r="W172" s="1" t="s">
        <v>24</v>
      </c>
      <c r="X172" s="1">
        <v>2705</v>
      </c>
      <c r="Y172" s="1">
        <v>2746</v>
      </c>
      <c r="Z172" s="1">
        <v>2740</v>
      </c>
      <c r="AA172" s="1" t="s">
        <v>24</v>
      </c>
      <c r="AB172" s="1" t="s">
        <v>24</v>
      </c>
      <c r="AC172" s="1" t="s">
        <v>24</v>
      </c>
      <c r="AD172" s="1" t="s">
        <v>24</v>
      </c>
      <c r="AE172" s="1" t="s">
        <v>24</v>
      </c>
      <c r="AF172" s="22"/>
    </row>
    <row r="173" spans="1:32" x14ac:dyDescent="0.2">
      <c r="A173" s="1">
        <v>941</v>
      </c>
      <c r="B173" s="1" t="s">
        <v>674</v>
      </c>
      <c r="C173" s="5" t="s">
        <v>0</v>
      </c>
      <c r="D173" s="1" t="s">
        <v>675</v>
      </c>
      <c r="E173" s="1" t="s">
        <v>676</v>
      </c>
      <c r="F173" s="1" t="s">
        <v>221</v>
      </c>
      <c r="G173" s="1" t="s">
        <v>61</v>
      </c>
      <c r="H173" s="1" t="s">
        <v>222</v>
      </c>
      <c r="I173" s="1" t="s">
        <v>16</v>
      </c>
      <c r="J173" s="1">
        <v>6</v>
      </c>
      <c r="K173" s="1">
        <v>2</v>
      </c>
      <c r="L173" s="1" t="s">
        <v>31</v>
      </c>
      <c r="M173" s="1" t="s">
        <v>18</v>
      </c>
      <c r="N173" s="1" t="s">
        <v>18</v>
      </c>
      <c r="O173" s="1">
        <v>3</v>
      </c>
      <c r="P173" s="1">
        <v>8</v>
      </c>
      <c r="Q173" s="7" t="s">
        <v>17633</v>
      </c>
      <c r="R173" s="1" t="s">
        <v>62</v>
      </c>
      <c r="S173" s="1" t="s">
        <v>63</v>
      </c>
      <c r="T173" s="1" t="s">
        <v>21</v>
      </c>
      <c r="U173" s="1" t="s">
        <v>22</v>
      </c>
      <c r="V173" s="1" t="s">
        <v>24</v>
      </c>
      <c r="W173" s="1" t="s">
        <v>24</v>
      </c>
      <c r="X173" s="1">
        <v>2705</v>
      </c>
      <c r="Y173" s="1" t="s">
        <v>24</v>
      </c>
      <c r="Z173" s="1" t="s">
        <v>24</v>
      </c>
      <c r="AA173" s="1" t="s">
        <v>24</v>
      </c>
      <c r="AB173" s="1" t="s">
        <v>24</v>
      </c>
      <c r="AC173" s="1" t="s">
        <v>24</v>
      </c>
      <c r="AD173" s="1" t="s">
        <v>24</v>
      </c>
      <c r="AE173" s="1" t="s">
        <v>24</v>
      </c>
      <c r="AF173" s="22"/>
    </row>
    <row r="174" spans="1:32" x14ac:dyDescent="0.2">
      <c r="A174" s="1">
        <v>948</v>
      </c>
      <c r="B174" s="1" t="s">
        <v>677</v>
      </c>
      <c r="C174" s="5" t="s">
        <v>0</v>
      </c>
      <c r="D174" s="1" t="s">
        <v>678</v>
      </c>
      <c r="F174" s="1" t="s">
        <v>437</v>
      </c>
      <c r="G174" s="1" t="s">
        <v>437</v>
      </c>
      <c r="H174" s="1" t="s">
        <v>168</v>
      </c>
      <c r="I174" s="1" t="s">
        <v>16</v>
      </c>
      <c r="J174" s="1">
        <v>1</v>
      </c>
      <c r="K174" s="1">
        <v>12</v>
      </c>
      <c r="L174" s="1" t="s">
        <v>42</v>
      </c>
      <c r="M174" s="1" t="s">
        <v>413</v>
      </c>
      <c r="N174" s="1" t="s">
        <v>679</v>
      </c>
      <c r="O174" s="1">
        <v>3</v>
      </c>
      <c r="P174" s="1">
        <v>5</v>
      </c>
      <c r="R174" s="1" t="s">
        <v>19</v>
      </c>
      <c r="S174" s="1" t="s">
        <v>20</v>
      </c>
      <c r="T174" s="1" t="s">
        <v>21</v>
      </c>
      <c r="U174" s="1" t="s">
        <v>22</v>
      </c>
      <c r="V174" s="1" t="s">
        <v>24</v>
      </c>
      <c r="W174" s="1" t="s">
        <v>24</v>
      </c>
      <c r="X174" s="1">
        <v>2740</v>
      </c>
      <c r="Y174" s="1" t="s">
        <v>24</v>
      </c>
      <c r="Z174" s="1" t="s">
        <v>24</v>
      </c>
      <c r="AA174" s="1" t="s">
        <v>24</v>
      </c>
      <c r="AB174" s="1" t="s">
        <v>24</v>
      </c>
      <c r="AC174" s="1" t="s">
        <v>24</v>
      </c>
      <c r="AD174" s="1" t="s">
        <v>24</v>
      </c>
      <c r="AE174" s="1" t="s">
        <v>24</v>
      </c>
      <c r="AF174" s="22"/>
    </row>
    <row r="175" spans="1:32" x14ac:dyDescent="0.2">
      <c r="A175" s="1">
        <v>956</v>
      </c>
      <c r="B175" s="1" t="s">
        <v>680</v>
      </c>
      <c r="C175" s="5" t="s">
        <v>0</v>
      </c>
      <c r="D175" s="1" t="s">
        <v>681</v>
      </c>
      <c r="F175" s="1" t="s">
        <v>682</v>
      </c>
      <c r="G175" s="1" t="s">
        <v>683</v>
      </c>
      <c r="H175" s="1" t="s">
        <v>684</v>
      </c>
      <c r="I175" s="1" t="s">
        <v>16</v>
      </c>
      <c r="J175" s="1">
        <v>1</v>
      </c>
      <c r="K175" s="1">
        <v>3</v>
      </c>
      <c r="L175" s="1" t="s">
        <v>31</v>
      </c>
      <c r="M175" s="1" t="s">
        <v>685</v>
      </c>
      <c r="N175" s="1" t="s">
        <v>685</v>
      </c>
      <c r="O175" s="1">
        <v>2</v>
      </c>
      <c r="P175" s="1">
        <v>5</v>
      </c>
      <c r="R175" s="1" t="s">
        <v>19</v>
      </c>
      <c r="S175" s="1" t="s">
        <v>20</v>
      </c>
      <c r="T175" s="1" t="s">
        <v>21</v>
      </c>
      <c r="U175" s="1" t="s">
        <v>22</v>
      </c>
      <c r="V175" s="1" t="s">
        <v>24</v>
      </c>
      <c r="W175" s="1" t="s">
        <v>24</v>
      </c>
      <c r="X175" s="1">
        <v>2700</v>
      </c>
      <c r="Y175" s="1" t="s">
        <v>24</v>
      </c>
      <c r="Z175" s="1" t="s">
        <v>24</v>
      </c>
      <c r="AA175" s="1" t="s">
        <v>24</v>
      </c>
      <c r="AB175" s="1" t="s">
        <v>24</v>
      </c>
      <c r="AC175" s="1" t="s">
        <v>24</v>
      </c>
      <c r="AD175" s="1" t="s">
        <v>24</v>
      </c>
      <c r="AE175" s="1" t="s">
        <v>24</v>
      </c>
      <c r="AF175" s="22"/>
    </row>
    <row r="176" spans="1:32" x14ac:dyDescent="0.2">
      <c r="A176" s="1">
        <v>957</v>
      </c>
      <c r="B176" s="1" t="s">
        <v>686</v>
      </c>
      <c r="C176" s="5" t="s">
        <v>0</v>
      </c>
      <c r="D176" s="1" t="s">
        <v>687</v>
      </c>
      <c r="E176" s="1" t="s">
        <v>688</v>
      </c>
      <c r="F176" s="1" t="s">
        <v>689</v>
      </c>
      <c r="G176" s="1" t="s">
        <v>311</v>
      </c>
      <c r="H176" s="1" t="s">
        <v>30</v>
      </c>
      <c r="I176" s="1" t="s">
        <v>16</v>
      </c>
      <c r="J176" s="1">
        <v>1</v>
      </c>
      <c r="K176" s="1">
        <v>4</v>
      </c>
      <c r="L176" s="1" t="s">
        <v>31</v>
      </c>
      <c r="M176" s="1" t="s">
        <v>18</v>
      </c>
      <c r="N176" s="1" t="s">
        <v>18</v>
      </c>
      <c r="O176" s="1">
        <v>2</v>
      </c>
      <c r="P176" s="1">
        <v>5</v>
      </c>
      <c r="R176" s="1" t="s">
        <v>19</v>
      </c>
      <c r="S176" s="1" t="s">
        <v>20</v>
      </c>
      <c r="T176" s="1" t="s">
        <v>21</v>
      </c>
      <c r="U176" s="1" t="s">
        <v>22</v>
      </c>
      <c r="V176" s="1" t="s">
        <v>23</v>
      </c>
      <c r="W176" s="1" t="s">
        <v>24</v>
      </c>
      <c r="X176" s="1">
        <v>2738</v>
      </c>
      <c r="Y176" s="1">
        <v>2701</v>
      </c>
      <c r="Z176" s="1" t="s">
        <v>24</v>
      </c>
      <c r="AA176" s="1" t="s">
        <v>24</v>
      </c>
      <c r="AB176" s="1" t="s">
        <v>24</v>
      </c>
      <c r="AC176" s="1" t="s">
        <v>24</v>
      </c>
      <c r="AD176" s="1" t="s">
        <v>24</v>
      </c>
      <c r="AE176" s="1" t="s">
        <v>24</v>
      </c>
      <c r="AF176" s="22"/>
    </row>
    <row r="177" spans="1:32" x14ac:dyDescent="0.2">
      <c r="A177" s="1">
        <v>1003</v>
      </c>
      <c r="B177" s="1" t="s">
        <v>690</v>
      </c>
      <c r="C177" s="5" t="s">
        <v>0</v>
      </c>
      <c r="D177" s="1" t="s">
        <v>691</v>
      </c>
      <c r="F177" s="1" t="s">
        <v>692</v>
      </c>
      <c r="G177" s="1" t="s">
        <v>692</v>
      </c>
      <c r="H177" s="1" t="s">
        <v>693</v>
      </c>
      <c r="I177" s="1" t="s">
        <v>16</v>
      </c>
      <c r="J177" s="1">
        <v>1</v>
      </c>
      <c r="K177" s="1">
        <v>4</v>
      </c>
      <c r="L177" s="1" t="s">
        <v>42</v>
      </c>
      <c r="M177" s="1" t="s">
        <v>18</v>
      </c>
      <c r="N177" s="1" t="s">
        <v>18</v>
      </c>
      <c r="O177" s="1">
        <v>3</v>
      </c>
      <c r="P177" s="1">
        <v>5</v>
      </c>
      <c r="R177" s="1" t="s">
        <v>19</v>
      </c>
      <c r="S177" s="1" t="s">
        <v>20</v>
      </c>
      <c r="T177" s="1" t="s">
        <v>21</v>
      </c>
      <c r="U177" s="1" t="s">
        <v>22</v>
      </c>
      <c r="V177" s="1" t="s">
        <v>24</v>
      </c>
      <c r="W177" s="1" t="s">
        <v>24</v>
      </c>
      <c r="X177" s="1">
        <v>2406</v>
      </c>
      <c r="Y177" s="1">
        <v>2725</v>
      </c>
      <c r="Z177" s="1" t="s">
        <v>24</v>
      </c>
      <c r="AA177" s="1" t="s">
        <v>24</v>
      </c>
      <c r="AB177" s="1" t="s">
        <v>24</v>
      </c>
      <c r="AC177" s="1" t="s">
        <v>24</v>
      </c>
      <c r="AD177" s="1" t="s">
        <v>24</v>
      </c>
      <c r="AE177" s="1" t="s">
        <v>24</v>
      </c>
      <c r="AF177" s="22"/>
    </row>
    <row r="178" spans="1:32" x14ac:dyDescent="0.2">
      <c r="A178" s="1">
        <v>1021</v>
      </c>
      <c r="B178" s="1" t="s">
        <v>694</v>
      </c>
      <c r="C178" s="5" t="s">
        <v>0</v>
      </c>
      <c r="D178" s="1" t="s">
        <v>695</v>
      </c>
      <c r="E178" s="1" t="s">
        <v>696</v>
      </c>
      <c r="F178" s="1" t="s">
        <v>296</v>
      </c>
      <c r="G178" s="1" t="s">
        <v>36</v>
      </c>
      <c r="H178" s="1" t="s">
        <v>264</v>
      </c>
      <c r="I178" s="1" t="s">
        <v>16</v>
      </c>
      <c r="J178" s="1">
        <v>1</v>
      </c>
      <c r="K178" s="1">
        <v>6</v>
      </c>
      <c r="L178" s="1" t="s">
        <v>31</v>
      </c>
      <c r="M178" s="1" t="s">
        <v>18</v>
      </c>
      <c r="N178" s="1" t="s">
        <v>18</v>
      </c>
      <c r="O178" s="1">
        <v>3</v>
      </c>
      <c r="P178" s="1">
        <v>7</v>
      </c>
      <c r="Q178" s="7" t="s">
        <v>17633</v>
      </c>
      <c r="R178" s="1" t="s">
        <v>19</v>
      </c>
      <c r="S178" s="1" t="s">
        <v>20</v>
      </c>
      <c r="T178" s="1" t="s">
        <v>21</v>
      </c>
      <c r="U178" s="1" t="s">
        <v>22</v>
      </c>
      <c r="V178" s="1" t="s">
        <v>24</v>
      </c>
      <c r="W178" s="1" t="s">
        <v>24</v>
      </c>
      <c r="X178" s="1">
        <v>2729</v>
      </c>
      <c r="Y178" s="1" t="s">
        <v>24</v>
      </c>
      <c r="Z178" s="1" t="s">
        <v>24</v>
      </c>
      <c r="AA178" s="1" t="s">
        <v>24</v>
      </c>
      <c r="AB178" s="1" t="s">
        <v>24</v>
      </c>
      <c r="AC178" s="1" t="s">
        <v>24</v>
      </c>
      <c r="AD178" s="1" t="s">
        <v>24</v>
      </c>
      <c r="AE178" s="1" t="s">
        <v>24</v>
      </c>
      <c r="AF178" s="22"/>
    </row>
    <row r="179" spans="1:32" x14ac:dyDescent="0.2">
      <c r="A179" s="1">
        <v>1027</v>
      </c>
      <c r="B179" s="1" t="s">
        <v>697</v>
      </c>
      <c r="C179" s="5" t="s">
        <v>0</v>
      </c>
      <c r="D179" s="1" t="s">
        <v>698</v>
      </c>
      <c r="E179" s="1" t="s">
        <v>699</v>
      </c>
      <c r="F179" s="1" t="s">
        <v>555</v>
      </c>
      <c r="G179" s="1" t="s">
        <v>36</v>
      </c>
      <c r="H179" s="1" t="s">
        <v>37</v>
      </c>
      <c r="I179" s="1" t="s">
        <v>16</v>
      </c>
      <c r="J179" s="1">
        <v>3</v>
      </c>
      <c r="K179" s="1">
        <v>4</v>
      </c>
      <c r="L179" s="1" t="s">
        <v>31</v>
      </c>
      <c r="M179" s="1" t="s">
        <v>18</v>
      </c>
      <c r="N179" s="1" t="s">
        <v>18</v>
      </c>
      <c r="O179" s="1">
        <v>3</v>
      </c>
      <c r="P179" s="1">
        <v>6</v>
      </c>
      <c r="R179" s="1" t="s">
        <v>19</v>
      </c>
      <c r="S179" s="1" t="s">
        <v>20</v>
      </c>
      <c r="T179" s="1" t="s">
        <v>21</v>
      </c>
      <c r="U179" s="1" t="s">
        <v>22</v>
      </c>
      <c r="V179" s="1" t="s">
        <v>24</v>
      </c>
      <c r="W179" s="1" t="s">
        <v>24</v>
      </c>
      <c r="X179" s="1">
        <v>1305</v>
      </c>
      <c r="Y179" s="1">
        <v>1313</v>
      </c>
      <c r="Z179" s="1">
        <v>1502</v>
      </c>
      <c r="AA179" s="1">
        <v>1508</v>
      </c>
      <c r="AB179" s="1">
        <v>2204</v>
      </c>
      <c r="AC179" s="1">
        <v>2402</v>
      </c>
      <c r="AD179" s="1">
        <v>3002</v>
      </c>
      <c r="AE179" s="1" t="s">
        <v>24</v>
      </c>
      <c r="AF179" s="22"/>
    </row>
    <row r="180" spans="1:32" x14ac:dyDescent="0.2">
      <c r="A180" s="1">
        <v>1033</v>
      </c>
      <c r="B180" s="1" t="s">
        <v>700</v>
      </c>
      <c r="C180" s="5" t="s">
        <v>0</v>
      </c>
      <c r="D180" s="1" t="s">
        <v>701</v>
      </c>
      <c r="E180" s="1" t="s">
        <v>702</v>
      </c>
      <c r="F180" s="1" t="s">
        <v>91</v>
      </c>
      <c r="G180" s="1" t="s">
        <v>61</v>
      </c>
      <c r="H180" s="1" t="s">
        <v>92</v>
      </c>
      <c r="I180" s="1" t="s">
        <v>16</v>
      </c>
      <c r="J180" s="1">
        <v>5</v>
      </c>
      <c r="K180" s="1">
        <v>3</v>
      </c>
      <c r="L180" s="1" t="s">
        <v>31</v>
      </c>
      <c r="M180" s="1" t="s">
        <v>18</v>
      </c>
      <c r="N180" s="1" t="s">
        <v>18</v>
      </c>
      <c r="O180" s="1">
        <v>3</v>
      </c>
      <c r="P180" s="1">
        <v>8</v>
      </c>
      <c r="Q180" s="7" t="s">
        <v>17633</v>
      </c>
      <c r="R180" s="1" t="s">
        <v>62</v>
      </c>
      <c r="S180" s="1" t="s">
        <v>63</v>
      </c>
      <c r="T180" s="1" t="s">
        <v>21</v>
      </c>
      <c r="U180" s="1" t="s">
        <v>22</v>
      </c>
      <c r="V180" s="1" t="s">
        <v>24</v>
      </c>
      <c r="W180" s="1" t="s">
        <v>24</v>
      </c>
      <c r="X180" s="1">
        <v>1307</v>
      </c>
      <c r="Y180" s="1">
        <v>1312</v>
      </c>
      <c r="Z180" s="1" t="s">
        <v>24</v>
      </c>
      <c r="AA180" s="1" t="s">
        <v>24</v>
      </c>
      <c r="AB180" s="1" t="s">
        <v>24</v>
      </c>
      <c r="AC180" s="1" t="s">
        <v>24</v>
      </c>
      <c r="AD180" s="1" t="s">
        <v>24</v>
      </c>
      <c r="AE180" s="1" t="s">
        <v>24</v>
      </c>
      <c r="AF180" s="22"/>
    </row>
    <row r="181" spans="1:32" x14ac:dyDescent="0.2">
      <c r="A181" s="1">
        <v>1052</v>
      </c>
      <c r="B181" s="1" t="s">
        <v>703</v>
      </c>
      <c r="C181" s="5" t="s">
        <v>0</v>
      </c>
      <c r="D181" s="1" t="s">
        <v>704</v>
      </c>
      <c r="E181" s="1" t="s">
        <v>705</v>
      </c>
      <c r="F181" s="1" t="s">
        <v>91</v>
      </c>
      <c r="G181" s="1" t="s">
        <v>61</v>
      </c>
      <c r="H181" s="1" t="s">
        <v>92</v>
      </c>
      <c r="I181" s="1" t="s">
        <v>16</v>
      </c>
      <c r="J181" s="1">
        <v>2</v>
      </c>
      <c r="K181" s="1">
        <v>2</v>
      </c>
      <c r="L181" s="1" t="s">
        <v>31</v>
      </c>
      <c r="M181" s="1" t="s">
        <v>18</v>
      </c>
      <c r="N181" s="1" t="s">
        <v>18</v>
      </c>
      <c r="O181" s="1">
        <v>3</v>
      </c>
      <c r="P181" s="1">
        <v>7</v>
      </c>
      <c r="Q181" s="7" t="s">
        <v>17633</v>
      </c>
      <c r="R181" s="1" t="s">
        <v>62</v>
      </c>
      <c r="S181" s="1" t="s">
        <v>63</v>
      </c>
      <c r="T181" s="1" t="s">
        <v>21</v>
      </c>
      <c r="U181" s="1" t="s">
        <v>22</v>
      </c>
      <c r="V181" s="1" t="s">
        <v>24</v>
      </c>
      <c r="W181" s="1" t="s">
        <v>24</v>
      </c>
      <c r="X181" s="1">
        <v>2730</v>
      </c>
      <c r="Y181" s="1">
        <v>1306</v>
      </c>
      <c r="Z181" s="1">
        <v>1311</v>
      </c>
      <c r="AA181" s="1" t="s">
        <v>24</v>
      </c>
      <c r="AB181" s="1" t="s">
        <v>24</v>
      </c>
      <c r="AC181" s="1" t="s">
        <v>24</v>
      </c>
      <c r="AD181" s="1" t="s">
        <v>24</v>
      </c>
      <c r="AE181" s="1" t="s">
        <v>24</v>
      </c>
      <c r="AF181" s="22"/>
    </row>
    <row r="182" spans="1:32" x14ac:dyDescent="0.2">
      <c r="A182" s="1">
        <v>1055</v>
      </c>
      <c r="B182" s="1" t="s">
        <v>706</v>
      </c>
      <c r="C182" s="5" t="s">
        <v>0</v>
      </c>
      <c r="D182" s="1" t="s">
        <v>707</v>
      </c>
      <c r="E182" s="1" t="s">
        <v>708</v>
      </c>
      <c r="F182" s="1" t="s">
        <v>91</v>
      </c>
      <c r="G182" s="1" t="s">
        <v>61</v>
      </c>
      <c r="H182" s="1" t="s">
        <v>92</v>
      </c>
      <c r="I182" s="1" t="s">
        <v>16</v>
      </c>
      <c r="J182" s="1">
        <v>0</v>
      </c>
      <c r="K182" s="1">
        <v>0</v>
      </c>
      <c r="L182" s="1" t="s">
        <v>31</v>
      </c>
      <c r="M182" s="1" t="s">
        <v>18</v>
      </c>
      <c r="N182" s="1" t="s">
        <v>18</v>
      </c>
      <c r="O182" s="1">
        <v>3</v>
      </c>
      <c r="P182" s="1">
        <v>7</v>
      </c>
      <c r="Q182" s="7" t="s">
        <v>17633</v>
      </c>
      <c r="R182" s="1" t="s">
        <v>62</v>
      </c>
      <c r="S182" s="1" t="s">
        <v>63</v>
      </c>
      <c r="T182" s="1" t="s">
        <v>21</v>
      </c>
      <c r="U182" s="1" t="s">
        <v>22</v>
      </c>
      <c r="V182" s="1" t="s">
        <v>24</v>
      </c>
      <c r="W182" s="1" t="s">
        <v>64</v>
      </c>
      <c r="X182" s="1">
        <v>1303</v>
      </c>
      <c r="Y182" s="1">
        <v>1304</v>
      </c>
      <c r="Z182" s="1">
        <v>1307</v>
      </c>
      <c r="AA182" s="1" t="s">
        <v>24</v>
      </c>
      <c r="AB182" s="1" t="s">
        <v>24</v>
      </c>
      <c r="AC182" s="1" t="s">
        <v>24</v>
      </c>
      <c r="AD182" s="1" t="s">
        <v>24</v>
      </c>
      <c r="AE182" s="1" t="s">
        <v>24</v>
      </c>
      <c r="AF182" s="22"/>
    </row>
    <row r="183" spans="1:32" x14ac:dyDescent="0.2">
      <c r="A183" s="1">
        <v>1056</v>
      </c>
      <c r="B183" s="1" t="s">
        <v>709</v>
      </c>
      <c r="C183" s="5" t="s">
        <v>0</v>
      </c>
      <c r="D183" s="1" t="s">
        <v>710</v>
      </c>
      <c r="E183" s="1" t="s">
        <v>711</v>
      </c>
      <c r="F183" s="1" t="s">
        <v>91</v>
      </c>
      <c r="G183" s="1" t="s">
        <v>61</v>
      </c>
      <c r="H183" s="1" t="s">
        <v>92</v>
      </c>
      <c r="I183" s="1" t="s">
        <v>16</v>
      </c>
      <c r="J183" s="1">
        <v>10</v>
      </c>
      <c r="K183" s="1">
        <v>2</v>
      </c>
      <c r="L183" s="1" t="s">
        <v>31</v>
      </c>
      <c r="M183" s="1" t="s">
        <v>18</v>
      </c>
      <c r="N183" s="1" t="s">
        <v>18</v>
      </c>
      <c r="O183" s="1">
        <v>3</v>
      </c>
      <c r="P183" s="1">
        <v>8</v>
      </c>
      <c r="Q183" s="7" t="s">
        <v>17633</v>
      </c>
      <c r="R183" s="1" t="s">
        <v>62</v>
      </c>
      <c r="S183" s="1" t="s">
        <v>63</v>
      </c>
      <c r="T183" s="1" t="s">
        <v>21</v>
      </c>
      <c r="U183" s="1" t="s">
        <v>22</v>
      </c>
      <c r="V183" s="1" t="s">
        <v>24</v>
      </c>
      <c r="W183" s="1" t="s">
        <v>64</v>
      </c>
      <c r="X183" s="1">
        <v>1303</v>
      </c>
      <c r="Y183" s="1">
        <v>1307</v>
      </c>
      <c r="Z183" s="1">
        <v>1304</v>
      </c>
      <c r="AA183" s="1" t="s">
        <v>24</v>
      </c>
      <c r="AB183" s="1" t="s">
        <v>24</v>
      </c>
      <c r="AC183" s="1" t="s">
        <v>24</v>
      </c>
      <c r="AD183" s="1" t="s">
        <v>24</v>
      </c>
      <c r="AE183" s="1" t="s">
        <v>24</v>
      </c>
      <c r="AF183" s="22"/>
    </row>
    <row r="184" spans="1:32" x14ac:dyDescent="0.2">
      <c r="A184" s="1">
        <v>1060</v>
      </c>
      <c r="B184" s="1" t="s">
        <v>712</v>
      </c>
      <c r="C184" s="5" t="s">
        <v>0</v>
      </c>
      <c r="D184" s="1" t="s">
        <v>713</v>
      </c>
      <c r="E184" s="1" t="s">
        <v>714</v>
      </c>
      <c r="F184" s="1" t="s">
        <v>91</v>
      </c>
      <c r="G184" s="1" t="s">
        <v>61</v>
      </c>
      <c r="H184" s="1" t="s">
        <v>92</v>
      </c>
      <c r="I184" s="1" t="s">
        <v>16</v>
      </c>
      <c r="J184" s="1">
        <v>1</v>
      </c>
      <c r="K184" s="1">
        <v>12</v>
      </c>
      <c r="L184" s="1" t="s">
        <v>31</v>
      </c>
      <c r="M184" s="1" t="s">
        <v>18</v>
      </c>
      <c r="N184" s="1" t="s">
        <v>18</v>
      </c>
      <c r="O184" s="1">
        <v>3</v>
      </c>
      <c r="P184" s="1">
        <v>8</v>
      </c>
      <c r="Q184" s="7" t="s">
        <v>17633</v>
      </c>
      <c r="R184" s="1" t="s">
        <v>19</v>
      </c>
      <c r="S184" s="1" t="s">
        <v>63</v>
      </c>
      <c r="T184" s="1" t="s">
        <v>21</v>
      </c>
      <c r="U184" s="1" t="s">
        <v>22</v>
      </c>
      <c r="V184" s="1" t="s">
        <v>24</v>
      </c>
      <c r="W184" s="1" t="s">
        <v>64</v>
      </c>
      <c r="X184" s="1">
        <v>1303</v>
      </c>
      <c r="Y184" s="1">
        <v>1304</v>
      </c>
      <c r="Z184" s="1">
        <v>1312</v>
      </c>
      <c r="AA184" s="1" t="s">
        <v>24</v>
      </c>
      <c r="AB184" s="1" t="s">
        <v>24</v>
      </c>
      <c r="AC184" s="1" t="s">
        <v>24</v>
      </c>
      <c r="AD184" s="1" t="s">
        <v>24</v>
      </c>
      <c r="AE184" s="1" t="s">
        <v>24</v>
      </c>
      <c r="AF184" s="22"/>
    </row>
    <row r="185" spans="1:32" x14ac:dyDescent="0.2">
      <c r="A185" s="1">
        <v>1067</v>
      </c>
      <c r="B185" s="1" t="s">
        <v>715</v>
      </c>
      <c r="C185" s="5" t="s">
        <v>0</v>
      </c>
      <c r="D185" s="1" t="s">
        <v>716</v>
      </c>
      <c r="E185" s="1" t="s">
        <v>717</v>
      </c>
      <c r="F185" s="1" t="s">
        <v>60</v>
      </c>
      <c r="G185" s="1" t="s">
        <v>61</v>
      </c>
      <c r="H185" s="1" t="s">
        <v>30</v>
      </c>
      <c r="I185" s="1" t="s">
        <v>16</v>
      </c>
      <c r="J185" s="1">
        <v>13</v>
      </c>
      <c r="K185" s="1">
        <v>4</v>
      </c>
      <c r="L185" s="1" t="s">
        <v>31</v>
      </c>
      <c r="M185" s="1" t="s">
        <v>18</v>
      </c>
      <c r="N185" s="1" t="s">
        <v>18</v>
      </c>
      <c r="O185" s="1">
        <v>3</v>
      </c>
      <c r="P185" s="1">
        <v>8</v>
      </c>
      <c r="Q185" s="7" t="s">
        <v>17633</v>
      </c>
      <c r="R185" s="1" t="s">
        <v>62</v>
      </c>
      <c r="S185" s="1" t="s">
        <v>20</v>
      </c>
      <c r="T185" s="1" t="s">
        <v>21</v>
      </c>
      <c r="U185" s="1" t="s">
        <v>22</v>
      </c>
      <c r="V185" s="1" t="s">
        <v>24</v>
      </c>
      <c r="W185" s="1" t="s">
        <v>64</v>
      </c>
      <c r="X185" s="1">
        <v>1303</v>
      </c>
      <c r="Y185" s="1">
        <v>1304</v>
      </c>
      <c r="Z185" s="1">
        <v>1307</v>
      </c>
      <c r="AA185" s="1">
        <v>1312</v>
      </c>
      <c r="AB185" s="1" t="s">
        <v>24</v>
      </c>
      <c r="AC185" s="1" t="s">
        <v>24</v>
      </c>
      <c r="AD185" s="1" t="s">
        <v>24</v>
      </c>
      <c r="AE185" s="1" t="s">
        <v>24</v>
      </c>
      <c r="AF185" s="22"/>
    </row>
    <row r="186" spans="1:32" x14ac:dyDescent="0.2">
      <c r="A186" s="1">
        <v>1068</v>
      </c>
      <c r="B186" s="1" t="s">
        <v>718</v>
      </c>
      <c r="C186" s="5" t="s">
        <v>0</v>
      </c>
      <c r="D186" s="1" t="s">
        <v>719</v>
      </c>
      <c r="E186" s="1" t="s">
        <v>720</v>
      </c>
      <c r="F186" s="1" t="s">
        <v>91</v>
      </c>
      <c r="G186" s="1" t="s">
        <v>61</v>
      </c>
      <c r="H186" s="1" t="s">
        <v>92</v>
      </c>
      <c r="I186" s="1" t="s">
        <v>16</v>
      </c>
      <c r="J186" s="1">
        <v>10</v>
      </c>
      <c r="K186" s="1">
        <v>2</v>
      </c>
      <c r="L186" s="1" t="s">
        <v>31</v>
      </c>
      <c r="M186" s="1" t="s">
        <v>18</v>
      </c>
      <c r="N186" s="1" t="s">
        <v>18</v>
      </c>
      <c r="O186" s="1">
        <v>3</v>
      </c>
      <c r="P186" s="1">
        <v>8</v>
      </c>
      <c r="Q186" s="7" t="s">
        <v>17633</v>
      </c>
      <c r="R186" s="1" t="s">
        <v>62</v>
      </c>
      <c r="S186" s="1" t="s">
        <v>63</v>
      </c>
      <c r="T186" s="1" t="s">
        <v>21</v>
      </c>
      <c r="U186" s="1" t="s">
        <v>22</v>
      </c>
      <c r="V186" s="1" t="s">
        <v>24</v>
      </c>
      <c r="W186" s="1" t="s">
        <v>24</v>
      </c>
      <c r="X186" s="1">
        <v>2802</v>
      </c>
      <c r="Y186" s="1" t="s">
        <v>24</v>
      </c>
      <c r="Z186" s="1" t="s">
        <v>24</v>
      </c>
      <c r="AA186" s="1" t="s">
        <v>24</v>
      </c>
      <c r="AB186" s="1" t="s">
        <v>24</v>
      </c>
      <c r="AC186" s="1" t="s">
        <v>24</v>
      </c>
      <c r="AD186" s="1" t="s">
        <v>24</v>
      </c>
      <c r="AE186" s="1" t="s">
        <v>24</v>
      </c>
      <c r="AF186" s="22"/>
    </row>
    <row r="187" spans="1:32" x14ac:dyDescent="0.2">
      <c r="A187" s="1">
        <v>1070</v>
      </c>
      <c r="B187" s="1" t="s">
        <v>721</v>
      </c>
      <c r="C187" s="5" t="s">
        <v>0</v>
      </c>
      <c r="D187" s="1" t="s">
        <v>722</v>
      </c>
      <c r="E187" s="1" t="s">
        <v>723</v>
      </c>
      <c r="F187" s="1" t="s">
        <v>724</v>
      </c>
      <c r="G187" s="1" t="s">
        <v>725</v>
      </c>
      <c r="H187" s="1" t="s">
        <v>37</v>
      </c>
      <c r="I187" s="1" t="s">
        <v>16</v>
      </c>
      <c r="J187" s="1">
        <v>1</v>
      </c>
      <c r="K187" s="1">
        <v>6</v>
      </c>
      <c r="L187" s="1" t="s">
        <v>31</v>
      </c>
      <c r="M187" s="1" t="s">
        <v>18</v>
      </c>
      <c r="N187" s="1" t="s">
        <v>18</v>
      </c>
      <c r="O187" s="1">
        <v>3</v>
      </c>
      <c r="P187" s="1">
        <v>6</v>
      </c>
      <c r="R187" s="1" t="s">
        <v>62</v>
      </c>
      <c r="S187" s="1" t="s">
        <v>20</v>
      </c>
      <c r="T187" s="1" t="s">
        <v>21</v>
      </c>
      <c r="U187" s="1" t="s">
        <v>22</v>
      </c>
      <c r="V187" s="1" t="s">
        <v>24</v>
      </c>
      <c r="W187" s="1" t="s">
        <v>24</v>
      </c>
      <c r="X187" s="1">
        <v>2802</v>
      </c>
      <c r="Y187" s="1">
        <v>3206</v>
      </c>
      <c r="Z187" s="1">
        <v>1314</v>
      </c>
      <c r="AA187" s="1">
        <v>1203</v>
      </c>
      <c r="AB187" s="1">
        <v>3310</v>
      </c>
      <c r="AC187" s="1" t="s">
        <v>24</v>
      </c>
      <c r="AD187" s="1" t="s">
        <v>24</v>
      </c>
      <c r="AE187" s="1" t="s">
        <v>24</v>
      </c>
      <c r="AF187" s="22"/>
    </row>
    <row r="188" spans="1:32" x14ac:dyDescent="0.2">
      <c r="A188" s="1">
        <v>1073</v>
      </c>
      <c r="B188" s="1" t="s">
        <v>726</v>
      </c>
      <c r="C188" s="5" t="s">
        <v>0</v>
      </c>
      <c r="D188" s="1" t="s">
        <v>727</v>
      </c>
      <c r="E188" s="1" t="s">
        <v>728</v>
      </c>
      <c r="F188" s="1" t="s">
        <v>729</v>
      </c>
      <c r="G188" s="1" t="s">
        <v>730</v>
      </c>
      <c r="H188" s="1" t="s">
        <v>731</v>
      </c>
      <c r="I188" s="1" t="s">
        <v>16</v>
      </c>
      <c r="J188" s="1">
        <v>1</v>
      </c>
      <c r="K188" s="1">
        <v>6</v>
      </c>
      <c r="L188" s="1" t="s">
        <v>31</v>
      </c>
      <c r="M188" s="1" t="s">
        <v>18</v>
      </c>
      <c r="N188" s="1" t="s">
        <v>18</v>
      </c>
      <c r="O188" s="1">
        <v>3</v>
      </c>
      <c r="P188" s="1">
        <v>6</v>
      </c>
      <c r="R188" s="1" t="s">
        <v>62</v>
      </c>
      <c r="S188" s="1" t="s">
        <v>20</v>
      </c>
      <c r="T188" s="1" t="s">
        <v>21</v>
      </c>
      <c r="U188" s="1" t="s">
        <v>22</v>
      </c>
      <c r="V188" s="1" t="s">
        <v>24</v>
      </c>
      <c r="W188" s="1" t="s">
        <v>64</v>
      </c>
      <c r="X188" s="1">
        <v>1303</v>
      </c>
      <c r="Y188" s="1">
        <v>1307</v>
      </c>
      <c r="Z188" s="1">
        <v>1312</v>
      </c>
      <c r="AA188" s="1" t="s">
        <v>24</v>
      </c>
      <c r="AB188" s="1" t="s">
        <v>24</v>
      </c>
      <c r="AC188" s="1" t="s">
        <v>24</v>
      </c>
      <c r="AD188" s="1" t="s">
        <v>24</v>
      </c>
      <c r="AE188" s="1" t="s">
        <v>24</v>
      </c>
      <c r="AF188" s="22"/>
    </row>
    <row r="189" spans="1:32" x14ac:dyDescent="0.2">
      <c r="A189" s="1">
        <v>1075</v>
      </c>
      <c r="B189" s="1" t="s">
        <v>732</v>
      </c>
      <c r="C189" s="5" t="s">
        <v>0</v>
      </c>
      <c r="D189" s="1" t="s">
        <v>733</v>
      </c>
      <c r="E189" s="1" t="s">
        <v>734</v>
      </c>
      <c r="F189" s="1" t="s">
        <v>555</v>
      </c>
      <c r="G189" s="1" t="s">
        <v>36</v>
      </c>
      <c r="H189" s="1" t="s">
        <v>37</v>
      </c>
      <c r="I189" s="1" t="s">
        <v>16</v>
      </c>
      <c r="J189" s="1">
        <v>1</v>
      </c>
      <c r="K189" s="1">
        <v>12</v>
      </c>
      <c r="L189" s="1" t="s">
        <v>31</v>
      </c>
      <c r="M189" s="1" t="s">
        <v>18</v>
      </c>
      <c r="N189" s="1" t="s">
        <v>18</v>
      </c>
      <c r="O189" s="1">
        <v>3</v>
      </c>
      <c r="P189" s="1">
        <v>7</v>
      </c>
      <c r="Q189" s="7" t="s">
        <v>17633</v>
      </c>
      <c r="R189" s="1" t="s">
        <v>62</v>
      </c>
      <c r="S189" s="1" t="s">
        <v>20</v>
      </c>
      <c r="T189" s="1" t="s">
        <v>21</v>
      </c>
      <c r="U189" s="1" t="s">
        <v>22</v>
      </c>
      <c r="V189" s="1" t="s">
        <v>24</v>
      </c>
      <c r="W189" s="1" t="s">
        <v>24</v>
      </c>
      <c r="X189" s="1">
        <v>1307</v>
      </c>
      <c r="Y189" s="1" t="s">
        <v>24</v>
      </c>
      <c r="Z189" s="1" t="s">
        <v>24</v>
      </c>
      <c r="AA189" s="1" t="s">
        <v>24</v>
      </c>
      <c r="AB189" s="1" t="s">
        <v>24</v>
      </c>
      <c r="AC189" s="1" t="s">
        <v>24</v>
      </c>
      <c r="AD189" s="1" t="s">
        <v>24</v>
      </c>
      <c r="AE189" s="1" t="s">
        <v>24</v>
      </c>
      <c r="AF189" s="22"/>
    </row>
    <row r="190" spans="1:32" x14ac:dyDescent="0.2">
      <c r="A190" s="1">
        <v>1083</v>
      </c>
      <c r="B190" s="1" t="s">
        <v>735</v>
      </c>
      <c r="C190" s="5" t="s">
        <v>0</v>
      </c>
      <c r="D190" s="1" t="s">
        <v>736</v>
      </c>
      <c r="E190" s="1" t="s">
        <v>737</v>
      </c>
      <c r="F190" s="1" t="s">
        <v>272</v>
      </c>
      <c r="G190" s="1" t="s">
        <v>61</v>
      </c>
      <c r="H190" s="1" t="s">
        <v>30</v>
      </c>
      <c r="I190" s="1" t="s">
        <v>16</v>
      </c>
      <c r="J190" s="1">
        <v>2</v>
      </c>
      <c r="K190" s="1">
        <v>12</v>
      </c>
      <c r="L190" s="1" t="s">
        <v>31</v>
      </c>
      <c r="M190" s="1" t="s">
        <v>18</v>
      </c>
      <c r="N190" s="1" t="s">
        <v>18</v>
      </c>
      <c r="O190" s="1">
        <v>3</v>
      </c>
      <c r="P190" s="1">
        <v>7</v>
      </c>
      <c r="Q190" s="7" t="s">
        <v>17633</v>
      </c>
      <c r="R190" s="1" t="s">
        <v>62</v>
      </c>
      <c r="S190" s="1" t="s">
        <v>63</v>
      </c>
      <c r="T190" s="1" t="s">
        <v>21</v>
      </c>
      <c r="U190" s="1" t="s">
        <v>22</v>
      </c>
      <c r="V190" s="1" t="s">
        <v>24</v>
      </c>
      <c r="W190" s="1" t="s">
        <v>64</v>
      </c>
      <c r="X190" s="1">
        <v>3004</v>
      </c>
      <c r="Y190" s="1">
        <v>1303</v>
      </c>
      <c r="Z190" s="1" t="s">
        <v>24</v>
      </c>
      <c r="AA190" s="1" t="s">
        <v>24</v>
      </c>
      <c r="AB190" s="1" t="s">
        <v>24</v>
      </c>
      <c r="AC190" s="1" t="s">
        <v>24</v>
      </c>
      <c r="AD190" s="1" t="s">
        <v>24</v>
      </c>
      <c r="AE190" s="1" t="s">
        <v>24</v>
      </c>
      <c r="AF190" s="22"/>
    </row>
    <row r="191" spans="1:32" x14ac:dyDescent="0.2">
      <c r="A191" s="1">
        <v>1086</v>
      </c>
      <c r="B191" s="1" t="s">
        <v>738</v>
      </c>
      <c r="C191" s="5" t="s">
        <v>0</v>
      </c>
      <c r="D191" s="1" t="s">
        <v>739</v>
      </c>
      <c r="E191" s="1" t="s">
        <v>740</v>
      </c>
      <c r="F191" s="1" t="s">
        <v>35</v>
      </c>
      <c r="G191" s="1" t="s">
        <v>36</v>
      </c>
      <c r="H191" s="1" t="s">
        <v>37</v>
      </c>
      <c r="I191" s="1" t="s">
        <v>16</v>
      </c>
      <c r="J191" s="1">
        <v>2</v>
      </c>
      <c r="K191" s="1">
        <v>6</v>
      </c>
      <c r="L191" s="1" t="s">
        <v>31</v>
      </c>
      <c r="M191" s="1" t="s">
        <v>18</v>
      </c>
      <c r="N191" s="1" t="s">
        <v>18</v>
      </c>
      <c r="O191" s="1">
        <v>3</v>
      </c>
      <c r="P191" s="1">
        <v>7</v>
      </c>
      <c r="Q191" s="7" t="s">
        <v>17633</v>
      </c>
      <c r="R191" s="1" t="s">
        <v>62</v>
      </c>
      <c r="S191" s="1" t="s">
        <v>20</v>
      </c>
      <c r="T191" s="1" t="s">
        <v>21</v>
      </c>
      <c r="U191" s="1" t="s">
        <v>22</v>
      </c>
      <c r="V191" s="1" t="s">
        <v>24</v>
      </c>
      <c r="W191" s="1" t="s">
        <v>64</v>
      </c>
      <c r="X191" s="1">
        <v>2736</v>
      </c>
      <c r="Y191" s="1">
        <v>3004</v>
      </c>
      <c r="Z191" s="1" t="s">
        <v>24</v>
      </c>
      <c r="AA191" s="1" t="s">
        <v>24</v>
      </c>
      <c r="AB191" s="1" t="s">
        <v>24</v>
      </c>
      <c r="AC191" s="1" t="s">
        <v>24</v>
      </c>
      <c r="AD191" s="1" t="s">
        <v>24</v>
      </c>
      <c r="AE191" s="1" t="s">
        <v>24</v>
      </c>
      <c r="AF191" s="22"/>
    </row>
    <row r="192" spans="1:32" x14ac:dyDescent="0.2">
      <c r="A192" s="1">
        <v>1091</v>
      </c>
      <c r="B192" s="1" t="s">
        <v>741</v>
      </c>
      <c r="C192" s="5" t="s">
        <v>0</v>
      </c>
      <c r="D192" s="1" t="s">
        <v>742</v>
      </c>
      <c r="E192" s="1" t="s">
        <v>743</v>
      </c>
      <c r="F192" s="1" t="s">
        <v>744</v>
      </c>
      <c r="G192" s="1" t="s">
        <v>744</v>
      </c>
      <c r="H192" s="1" t="s">
        <v>37</v>
      </c>
      <c r="I192" s="1" t="s">
        <v>16</v>
      </c>
      <c r="J192" s="1">
        <v>1</v>
      </c>
      <c r="K192" s="1">
        <v>6</v>
      </c>
      <c r="L192" s="1" t="s">
        <v>42</v>
      </c>
      <c r="M192" s="1" t="s">
        <v>18</v>
      </c>
      <c r="N192" s="1" t="s">
        <v>18</v>
      </c>
      <c r="O192" s="1">
        <v>0</v>
      </c>
      <c r="P192" s="1">
        <v>7</v>
      </c>
      <c r="Q192" s="7" t="s">
        <v>17633</v>
      </c>
      <c r="R192" s="1" t="s">
        <v>62</v>
      </c>
      <c r="S192" s="1" t="s">
        <v>20</v>
      </c>
      <c r="T192" s="1" t="s">
        <v>21</v>
      </c>
      <c r="U192" s="1" t="s">
        <v>22</v>
      </c>
      <c r="V192" s="1" t="s">
        <v>24</v>
      </c>
      <c r="W192" s="1" t="s">
        <v>64</v>
      </c>
      <c r="X192" s="1">
        <v>1303</v>
      </c>
      <c r="Y192" s="1" t="s">
        <v>24</v>
      </c>
      <c r="Z192" s="1" t="s">
        <v>24</v>
      </c>
      <c r="AA192" s="1" t="s">
        <v>24</v>
      </c>
      <c r="AB192" s="1" t="s">
        <v>24</v>
      </c>
      <c r="AC192" s="1" t="s">
        <v>24</v>
      </c>
      <c r="AD192" s="1" t="s">
        <v>24</v>
      </c>
      <c r="AE192" s="1" t="s">
        <v>24</v>
      </c>
      <c r="AF192" s="22"/>
    </row>
    <row r="193" spans="1:32" x14ac:dyDescent="0.2">
      <c r="A193" s="1">
        <v>1093</v>
      </c>
      <c r="B193" s="1" t="s">
        <v>745</v>
      </c>
      <c r="C193" s="5" t="s">
        <v>0</v>
      </c>
      <c r="D193" s="1" t="s">
        <v>746</v>
      </c>
      <c r="E193" s="1" t="s">
        <v>747</v>
      </c>
      <c r="F193" s="1" t="s">
        <v>190</v>
      </c>
      <c r="G193" s="1" t="s">
        <v>130</v>
      </c>
      <c r="H193" s="1" t="s">
        <v>30</v>
      </c>
      <c r="I193" s="1" t="s">
        <v>16</v>
      </c>
      <c r="J193" s="1">
        <v>6</v>
      </c>
      <c r="K193" s="1">
        <v>3</v>
      </c>
      <c r="L193" s="1" t="s">
        <v>31</v>
      </c>
      <c r="M193" s="1" t="s">
        <v>18</v>
      </c>
      <c r="N193" s="1" t="s">
        <v>18</v>
      </c>
      <c r="O193" s="1">
        <v>3</v>
      </c>
      <c r="P193" s="1">
        <v>7</v>
      </c>
      <c r="Q193" s="7" t="s">
        <v>17633</v>
      </c>
      <c r="R193" s="1" t="s">
        <v>62</v>
      </c>
      <c r="S193" s="1" t="s">
        <v>20</v>
      </c>
      <c r="T193" s="1" t="s">
        <v>21</v>
      </c>
      <c r="U193" s="1" t="s">
        <v>22</v>
      </c>
      <c r="V193" s="1" t="s">
        <v>24</v>
      </c>
      <c r="W193" s="1" t="s">
        <v>24</v>
      </c>
      <c r="X193" s="1">
        <v>2730</v>
      </c>
      <c r="Y193" s="1">
        <v>1306</v>
      </c>
      <c r="Z193" s="1" t="s">
        <v>24</v>
      </c>
      <c r="AA193" s="1" t="s">
        <v>24</v>
      </c>
      <c r="AB193" s="1" t="s">
        <v>24</v>
      </c>
      <c r="AC193" s="1" t="s">
        <v>24</v>
      </c>
      <c r="AD193" s="1" t="s">
        <v>24</v>
      </c>
      <c r="AE193" s="1" t="s">
        <v>24</v>
      </c>
      <c r="AF193" s="22"/>
    </row>
    <row r="194" spans="1:32" x14ac:dyDescent="0.2">
      <c r="A194" s="1">
        <v>1099</v>
      </c>
      <c r="B194" s="1" t="s">
        <v>748</v>
      </c>
      <c r="C194" s="5" t="s">
        <v>0</v>
      </c>
      <c r="D194" s="1" t="s">
        <v>749</v>
      </c>
      <c r="E194" s="1" t="s">
        <v>750</v>
      </c>
      <c r="F194" s="1" t="s">
        <v>751</v>
      </c>
      <c r="G194" s="1" t="s">
        <v>36</v>
      </c>
      <c r="H194" s="1" t="s">
        <v>37</v>
      </c>
      <c r="I194" s="1" t="s">
        <v>16</v>
      </c>
      <c r="J194" s="1">
        <v>1</v>
      </c>
      <c r="K194" s="1">
        <v>9</v>
      </c>
      <c r="L194" s="1" t="s">
        <v>31</v>
      </c>
      <c r="M194" s="1" t="s">
        <v>18</v>
      </c>
      <c r="N194" s="1" t="s">
        <v>18</v>
      </c>
      <c r="O194" s="1">
        <v>3</v>
      </c>
      <c r="P194" s="1">
        <v>6</v>
      </c>
      <c r="R194" s="1" t="s">
        <v>19</v>
      </c>
      <c r="S194" s="1" t="s">
        <v>20</v>
      </c>
      <c r="T194" s="1" t="s">
        <v>21</v>
      </c>
      <c r="U194" s="1" t="s">
        <v>22</v>
      </c>
      <c r="V194" s="1" t="s">
        <v>24</v>
      </c>
      <c r="W194" s="1" t="s">
        <v>64</v>
      </c>
      <c r="X194" s="1">
        <v>2736</v>
      </c>
      <c r="Y194" s="1">
        <v>3003</v>
      </c>
      <c r="Z194" s="1">
        <v>3004</v>
      </c>
      <c r="AA194" s="1" t="s">
        <v>24</v>
      </c>
      <c r="AB194" s="1" t="s">
        <v>24</v>
      </c>
      <c r="AC194" s="1" t="s">
        <v>24</v>
      </c>
      <c r="AD194" s="1" t="s">
        <v>24</v>
      </c>
      <c r="AE194" s="1" t="s">
        <v>24</v>
      </c>
      <c r="AF194" s="22"/>
    </row>
    <row r="195" spans="1:32" x14ac:dyDescent="0.2">
      <c r="A195" s="1">
        <v>1100</v>
      </c>
      <c r="B195" s="1" t="s">
        <v>752</v>
      </c>
      <c r="C195" s="5" t="s">
        <v>0</v>
      </c>
      <c r="D195" s="1" t="s">
        <v>753</v>
      </c>
      <c r="E195" s="1" t="s">
        <v>754</v>
      </c>
      <c r="F195" s="1" t="s">
        <v>91</v>
      </c>
      <c r="G195" s="1" t="s">
        <v>61</v>
      </c>
      <c r="H195" s="1" t="s">
        <v>92</v>
      </c>
      <c r="I195" s="1" t="s">
        <v>16</v>
      </c>
      <c r="J195" s="1">
        <v>1</v>
      </c>
      <c r="K195" s="1">
        <v>10</v>
      </c>
      <c r="L195" s="1" t="s">
        <v>31</v>
      </c>
      <c r="M195" s="1" t="s">
        <v>18</v>
      </c>
      <c r="N195" s="1" t="s">
        <v>18</v>
      </c>
      <c r="O195" s="1">
        <v>3</v>
      </c>
      <c r="P195" s="1">
        <v>6</v>
      </c>
      <c r="R195" s="1" t="s">
        <v>19</v>
      </c>
      <c r="S195" s="1" t="s">
        <v>20</v>
      </c>
      <c r="T195" s="1" t="s">
        <v>21</v>
      </c>
      <c r="U195" s="1" t="s">
        <v>22</v>
      </c>
      <c r="V195" s="1" t="s">
        <v>24</v>
      </c>
      <c r="W195" s="1" t="s">
        <v>24</v>
      </c>
      <c r="X195" s="1">
        <v>2728</v>
      </c>
      <c r="Y195" s="1">
        <v>2806</v>
      </c>
      <c r="Z195" s="1">
        <v>2735</v>
      </c>
      <c r="AA195" s="1" t="s">
        <v>24</v>
      </c>
      <c r="AB195" s="1" t="s">
        <v>24</v>
      </c>
      <c r="AC195" s="1" t="s">
        <v>24</v>
      </c>
      <c r="AD195" s="1" t="s">
        <v>24</v>
      </c>
      <c r="AE195" s="1" t="s">
        <v>24</v>
      </c>
      <c r="AF195" s="22"/>
    </row>
    <row r="196" spans="1:32" x14ac:dyDescent="0.2">
      <c r="A196" s="1">
        <v>1108</v>
      </c>
      <c r="B196" s="1" t="s">
        <v>755</v>
      </c>
      <c r="C196" s="5" t="s">
        <v>0</v>
      </c>
      <c r="D196" s="1" t="s">
        <v>756</v>
      </c>
      <c r="E196" s="1" t="s">
        <v>757</v>
      </c>
      <c r="F196" s="1" t="s">
        <v>724</v>
      </c>
      <c r="G196" s="1" t="s">
        <v>725</v>
      </c>
      <c r="H196" s="1" t="s">
        <v>37</v>
      </c>
      <c r="I196" s="1" t="s">
        <v>16</v>
      </c>
      <c r="J196" s="1">
        <v>1</v>
      </c>
      <c r="K196" s="1">
        <v>4</v>
      </c>
      <c r="L196" s="1" t="s">
        <v>31</v>
      </c>
      <c r="M196" s="1" t="s">
        <v>18</v>
      </c>
      <c r="N196" s="1" t="s">
        <v>18</v>
      </c>
      <c r="O196" s="1">
        <v>2</v>
      </c>
      <c r="P196" s="1">
        <v>6</v>
      </c>
      <c r="R196" s="1" t="s">
        <v>19</v>
      </c>
      <c r="S196" s="1" t="s">
        <v>20</v>
      </c>
      <c r="T196" s="1" t="s">
        <v>21</v>
      </c>
      <c r="U196" s="1" t="s">
        <v>22</v>
      </c>
      <c r="V196" s="1" t="s">
        <v>23</v>
      </c>
      <c r="W196" s="1" t="s">
        <v>24</v>
      </c>
      <c r="X196" s="1">
        <v>3203</v>
      </c>
      <c r="Y196" s="1">
        <v>3205</v>
      </c>
      <c r="Z196" s="1" t="s">
        <v>24</v>
      </c>
      <c r="AA196" s="1" t="s">
        <v>24</v>
      </c>
      <c r="AB196" s="1" t="s">
        <v>24</v>
      </c>
      <c r="AC196" s="1" t="s">
        <v>24</v>
      </c>
      <c r="AD196" s="1" t="s">
        <v>24</v>
      </c>
      <c r="AE196" s="1" t="s">
        <v>24</v>
      </c>
      <c r="AF196" s="22"/>
    </row>
    <row r="197" spans="1:32" x14ac:dyDescent="0.2">
      <c r="A197" s="1">
        <v>1124</v>
      </c>
      <c r="B197" s="1" t="s">
        <v>758</v>
      </c>
      <c r="C197" s="5" t="s">
        <v>0</v>
      </c>
      <c r="D197" s="1" t="s">
        <v>759</v>
      </c>
      <c r="E197" s="1" t="s">
        <v>760</v>
      </c>
      <c r="F197" s="1" t="s">
        <v>356</v>
      </c>
      <c r="G197" s="1" t="s">
        <v>357</v>
      </c>
      <c r="H197" s="1" t="s">
        <v>30</v>
      </c>
      <c r="I197" s="1" t="s">
        <v>16</v>
      </c>
      <c r="J197" s="1">
        <v>1</v>
      </c>
      <c r="K197" s="1">
        <v>6</v>
      </c>
      <c r="L197" s="1" t="s">
        <v>31</v>
      </c>
      <c r="M197" s="1" t="s">
        <v>18</v>
      </c>
      <c r="N197" s="1" t="s">
        <v>18</v>
      </c>
      <c r="O197" s="1">
        <v>3</v>
      </c>
      <c r="P197" s="1">
        <v>6</v>
      </c>
      <c r="R197" s="1" t="s">
        <v>62</v>
      </c>
      <c r="S197" s="1" t="s">
        <v>20</v>
      </c>
      <c r="T197" s="1" t="s">
        <v>21</v>
      </c>
      <c r="U197" s="1" t="s">
        <v>22</v>
      </c>
      <c r="V197" s="1" t="s">
        <v>24</v>
      </c>
      <c r="W197" s="1" t="s">
        <v>24</v>
      </c>
      <c r="X197" s="1">
        <v>2802</v>
      </c>
      <c r="Y197" s="1" t="s">
        <v>24</v>
      </c>
      <c r="Z197" s="1" t="s">
        <v>24</v>
      </c>
      <c r="AA197" s="1" t="s">
        <v>24</v>
      </c>
      <c r="AB197" s="1" t="s">
        <v>24</v>
      </c>
      <c r="AC197" s="1" t="s">
        <v>24</v>
      </c>
      <c r="AD197" s="1" t="s">
        <v>24</v>
      </c>
      <c r="AE197" s="1" t="s">
        <v>24</v>
      </c>
      <c r="AF197" s="22"/>
    </row>
    <row r="198" spans="1:32" x14ac:dyDescent="0.2">
      <c r="A198" s="1">
        <v>1139</v>
      </c>
      <c r="B198" s="1" t="s">
        <v>761</v>
      </c>
      <c r="C198" s="5" t="s">
        <v>0</v>
      </c>
      <c r="D198" s="1" t="s">
        <v>762</v>
      </c>
      <c r="E198" s="1" t="s">
        <v>763</v>
      </c>
      <c r="F198" s="1" t="s">
        <v>190</v>
      </c>
      <c r="G198" s="1" t="s">
        <v>130</v>
      </c>
      <c r="H198" s="1" t="s">
        <v>30</v>
      </c>
      <c r="I198" s="1" t="s">
        <v>16</v>
      </c>
      <c r="J198" s="1">
        <v>2</v>
      </c>
      <c r="K198" s="1">
        <v>6</v>
      </c>
      <c r="L198" s="1" t="s">
        <v>31</v>
      </c>
      <c r="M198" s="1" t="s">
        <v>18</v>
      </c>
      <c r="N198" s="1" t="s">
        <v>18</v>
      </c>
      <c r="O198" s="1">
        <v>3</v>
      </c>
      <c r="P198" s="1">
        <v>6</v>
      </c>
      <c r="R198" s="1" t="s">
        <v>19</v>
      </c>
      <c r="S198" s="1" t="s">
        <v>20</v>
      </c>
      <c r="T198" s="1" t="s">
        <v>21</v>
      </c>
      <c r="U198" s="1" t="s">
        <v>22</v>
      </c>
      <c r="V198" s="1" t="s">
        <v>24</v>
      </c>
      <c r="W198" s="1" t="s">
        <v>24</v>
      </c>
      <c r="X198" s="1">
        <v>1300</v>
      </c>
      <c r="Y198" s="1" t="s">
        <v>24</v>
      </c>
      <c r="Z198" s="1" t="s">
        <v>24</v>
      </c>
      <c r="AA198" s="1" t="s">
        <v>24</v>
      </c>
      <c r="AB198" s="1" t="s">
        <v>24</v>
      </c>
      <c r="AC198" s="1" t="s">
        <v>24</v>
      </c>
      <c r="AD198" s="1" t="s">
        <v>24</v>
      </c>
      <c r="AE198" s="1" t="s">
        <v>24</v>
      </c>
      <c r="AF198" s="22"/>
    </row>
    <row r="199" spans="1:32" x14ac:dyDescent="0.2">
      <c r="A199" s="1">
        <v>1150</v>
      </c>
      <c r="B199" s="1" t="s">
        <v>764</v>
      </c>
      <c r="C199" s="5" t="s">
        <v>0</v>
      </c>
      <c r="D199" s="1" t="s">
        <v>765</v>
      </c>
      <c r="E199" s="1" t="s">
        <v>766</v>
      </c>
      <c r="F199" s="1" t="s">
        <v>190</v>
      </c>
      <c r="G199" s="1" t="s">
        <v>130</v>
      </c>
      <c r="H199" s="1" t="s">
        <v>30</v>
      </c>
      <c r="I199" s="1" t="s">
        <v>16</v>
      </c>
      <c r="J199" s="1">
        <v>1</v>
      </c>
      <c r="K199" s="1">
        <v>6</v>
      </c>
      <c r="L199" s="1" t="s">
        <v>31</v>
      </c>
      <c r="M199" s="1" t="s">
        <v>18</v>
      </c>
      <c r="N199" s="1" t="s">
        <v>18</v>
      </c>
      <c r="O199" s="1">
        <v>3</v>
      </c>
      <c r="P199" s="1">
        <v>6</v>
      </c>
      <c r="R199" s="1" t="s">
        <v>62</v>
      </c>
      <c r="S199" s="1" t="s">
        <v>20</v>
      </c>
      <c r="T199" s="1" t="s">
        <v>21</v>
      </c>
      <c r="U199" s="1" t="s">
        <v>22</v>
      </c>
      <c r="V199" s="1" t="s">
        <v>24</v>
      </c>
      <c r="W199" s="1" t="s">
        <v>24</v>
      </c>
      <c r="X199" s="1">
        <v>1311</v>
      </c>
      <c r="Y199" s="1">
        <v>2716</v>
      </c>
      <c r="Z199" s="1">
        <v>1105</v>
      </c>
      <c r="AA199" s="1" t="s">
        <v>24</v>
      </c>
      <c r="AB199" s="1" t="s">
        <v>24</v>
      </c>
      <c r="AC199" s="1" t="s">
        <v>24</v>
      </c>
      <c r="AD199" s="1" t="s">
        <v>24</v>
      </c>
      <c r="AE199" s="1" t="s">
        <v>24</v>
      </c>
      <c r="AF199" s="22"/>
    </row>
    <row r="200" spans="1:32" x14ac:dyDescent="0.2">
      <c r="A200" s="1">
        <v>1162</v>
      </c>
      <c r="B200" s="1" t="s">
        <v>767</v>
      </c>
      <c r="C200" s="5" t="s">
        <v>0</v>
      </c>
      <c r="D200" s="1" t="s">
        <v>768</v>
      </c>
      <c r="E200" s="1" t="s">
        <v>769</v>
      </c>
      <c r="F200" s="1" t="s">
        <v>272</v>
      </c>
      <c r="G200" s="1" t="s">
        <v>61</v>
      </c>
      <c r="H200" s="1" t="s">
        <v>30</v>
      </c>
      <c r="I200" s="1" t="s">
        <v>16</v>
      </c>
      <c r="J200" s="1">
        <v>1</v>
      </c>
      <c r="K200" s="1">
        <v>4</v>
      </c>
      <c r="L200" s="1" t="s">
        <v>31</v>
      </c>
      <c r="M200" s="1" t="s">
        <v>18</v>
      </c>
      <c r="N200" s="1" t="s">
        <v>18</v>
      </c>
      <c r="O200" s="1">
        <v>3</v>
      </c>
      <c r="P200" s="1">
        <v>6</v>
      </c>
      <c r="R200" s="1" t="s">
        <v>19</v>
      </c>
      <c r="S200" s="1" t="s">
        <v>63</v>
      </c>
      <c r="T200" s="1" t="s">
        <v>21</v>
      </c>
      <c r="U200" s="1" t="s">
        <v>22</v>
      </c>
      <c r="V200" s="1" t="s">
        <v>23</v>
      </c>
      <c r="W200" s="1" t="s">
        <v>24</v>
      </c>
      <c r="X200" s="1">
        <v>3203</v>
      </c>
      <c r="Y200" s="1" t="s">
        <v>24</v>
      </c>
      <c r="Z200" s="1" t="s">
        <v>24</v>
      </c>
      <c r="AA200" s="1" t="s">
        <v>24</v>
      </c>
      <c r="AB200" s="1" t="s">
        <v>24</v>
      </c>
      <c r="AC200" s="1" t="s">
        <v>24</v>
      </c>
      <c r="AD200" s="1" t="s">
        <v>24</v>
      </c>
      <c r="AE200" s="1" t="s">
        <v>24</v>
      </c>
      <c r="AF200" s="22"/>
    </row>
    <row r="201" spans="1:32" x14ac:dyDescent="0.2">
      <c r="A201" s="1">
        <v>1166</v>
      </c>
      <c r="B201" s="1" t="s">
        <v>770</v>
      </c>
      <c r="C201" s="5" t="s">
        <v>0</v>
      </c>
      <c r="D201" s="1" t="s">
        <v>771</v>
      </c>
      <c r="E201" s="1" t="s">
        <v>772</v>
      </c>
      <c r="F201" s="1" t="s">
        <v>517</v>
      </c>
      <c r="G201" s="1" t="s">
        <v>36</v>
      </c>
      <c r="H201" s="1" t="s">
        <v>30</v>
      </c>
      <c r="I201" s="1" t="s">
        <v>16</v>
      </c>
      <c r="J201" s="1">
        <v>3</v>
      </c>
      <c r="K201" s="1">
        <v>6</v>
      </c>
      <c r="L201" s="1" t="s">
        <v>31</v>
      </c>
      <c r="M201" s="1" t="s">
        <v>18</v>
      </c>
      <c r="N201" s="1" t="s">
        <v>18</v>
      </c>
      <c r="O201" s="1">
        <v>3</v>
      </c>
      <c r="P201" s="1">
        <v>6</v>
      </c>
      <c r="R201" s="1" t="s">
        <v>19</v>
      </c>
      <c r="S201" s="1" t="s">
        <v>20</v>
      </c>
      <c r="T201" s="1" t="s">
        <v>21</v>
      </c>
      <c r="U201" s="1" t="s">
        <v>22</v>
      </c>
      <c r="V201" s="1" t="s">
        <v>24</v>
      </c>
      <c r="W201" s="1" t="s">
        <v>24</v>
      </c>
      <c r="X201" s="1">
        <v>1305</v>
      </c>
      <c r="Y201" s="1">
        <v>1502</v>
      </c>
      <c r="Z201" s="1">
        <v>2402</v>
      </c>
      <c r="AA201" s="1" t="s">
        <v>24</v>
      </c>
      <c r="AB201" s="1" t="s">
        <v>24</v>
      </c>
      <c r="AC201" s="1" t="s">
        <v>24</v>
      </c>
      <c r="AD201" s="1" t="s">
        <v>24</v>
      </c>
      <c r="AE201" s="1" t="s">
        <v>24</v>
      </c>
      <c r="AF201" s="22"/>
    </row>
    <row r="202" spans="1:32" x14ac:dyDescent="0.2">
      <c r="A202" s="1">
        <v>1170</v>
      </c>
      <c r="B202" s="1" t="s">
        <v>773</v>
      </c>
      <c r="C202" s="5" t="s">
        <v>0</v>
      </c>
      <c r="D202" s="1" t="s">
        <v>774</v>
      </c>
      <c r="E202" s="1" t="s">
        <v>775</v>
      </c>
      <c r="F202" s="1" t="s">
        <v>776</v>
      </c>
      <c r="G202" s="1" t="s">
        <v>777</v>
      </c>
      <c r="H202" s="1" t="s">
        <v>30</v>
      </c>
      <c r="I202" s="1" t="s">
        <v>16</v>
      </c>
      <c r="J202" s="1">
        <v>1</v>
      </c>
      <c r="K202" s="1">
        <v>52</v>
      </c>
      <c r="L202" s="1" t="s">
        <v>31</v>
      </c>
      <c r="M202" s="1" t="s">
        <v>18</v>
      </c>
      <c r="N202" s="1" t="s">
        <v>18</v>
      </c>
      <c r="O202" s="1">
        <v>3</v>
      </c>
      <c r="P202" s="1">
        <v>7</v>
      </c>
      <c r="Q202" s="7" t="s">
        <v>17633</v>
      </c>
      <c r="R202" s="1" t="s">
        <v>62</v>
      </c>
      <c r="S202" s="1" t="s">
        <v>20</v>
      </c>
      <c r="T202" s="1" t="s">
        <v>21</v>
      </c>
      <c r="U202" s="1" t="s">
        <v>22</v>
      </c>
      <c r="V202" s="1" t="s">
        <v>24</v>
      </c>
      <c r="W202" s="1" t="s">
        <v>64</v>
      </c>
      <c r="X202" s="1">
        <v>1303</v>
      </c>
      <c r="Y202" s="1" t="s">
        <v>24</v>
      </c>
      <c r="Z202" s="1" t="s">
        <v>24</v>
      </c>
      <c r="AA202" s="1" t="s">
        <v>24</v>
      </c>
      <c r="AB202" s="1" t="s">
        <v>24</v>
      </c>
      <c r="AC202" s="1" t="s">
        <v>24</v>
      </c>
      <c r="AD202" s="1" t="s">
        <v>24</v>
      </c>
      <c r="AE202" s="1" t="s">
        <v>24</v>
      </c>
      <c r="AF202" s="22"/>
    </row>
    <row r="203" spans="1:32" x14ac:dyDescent="0.2">
      <c r="A203" s="1">
        <v>1172</v>
      </c>
      <c r="B203" s="1" t="s">
        <v>778</v>
      </c>
      <c r="C203" s="5" t="s">
        <v>0</v>
      </c>
      <c r="D203" s="1" t="s">
        <v>779</v>
      </c>
      <c r="E203" s="1" t="s">
        <v>780</v>
      </c>
      <c r="F203" s="1" t="s">
        <v>91</v>
      </c>
      <c r="G203" s="1" t="s">
        <v>61</v>
      </c>
      <c r="H203" s="1" t="s">
        <v>92</v>
      </c>
      <c r="I203" s="1" t="s">
        <v>16</v>
      </c>
      <c r="J203" s="1">
        <v>7</v>
      </c>
      <c r="K203" s="1">
        <v>3</v>
      </c>
      <c r="L203" s="1" t="s">
        <v>31</v>
      </c>
      <c r="M203" s="1" t="s">
        <v>18</v>
      </c>
      <c r="N203" s="1" t="s">
        <v>18</v>
      </c>
      <c r="O203" s="1">
        <v>3</v>
      </c>
      <c r="P203" s="1">
        <v>8</v>
      </c>
      <c r="Q203" s="7" t="s">
        <v>17633</v>
      </c>
      <c r="R203" s="1" t="s">
        <v>19</v>
      </c>
      <c r="S203" s="1" t="s">
        <v>63</v>
      </c>
      <c r="T203" s="1" t="s">
        <v>21</v>
      </c>
      <c r="U203" s="1" t="s">
        <v>22</v>
      </c>
      <c r="V203" s="1" t="s">
        <v>24</v>
      </c>
      <c r="W203" s="1" t="s">
        <v>64</v>
      </c>
      <c r="X203" s="1">
        <v>1303</v>
      </c>
      <c r="Y203" s="1">
        <v>1304</v>
      </c>
      <c r="Z203" s="1">
        <v>1605</v>
      </c>
      <c r="AA203" s="1" t="s">
        <v>24</v>
      </c>
      <c r="AB203" s="1" t="s">
        <v>24</v>
      </c>
      <c r="AC203" s="1" t="s">
        <v>24</v>
      </c>
      <c r="AD203" s="1" t="s">
        <v>24</v>
      </c>
      <c r="AE203" s="1" t="s">
        <v>24</v>
      </c>
      <c r="AF203" s="22"/>
    </row>
    <row r="204" spans="1:32" x14ac:dyDescent="0.2">
      <c r="A204" s="1">
        <v>1173</v>
      </c>
      <c r="B204" s="1" t="s">
        <v>781</v>
      </c>
      <c r="C204" s="5" t="s">
        <v>0</v>
      </c>
      <c r="D204" s="1" t="s">
        <v>782</v>
      </c>
      <c r="E204" s="1" t="s">
        <v>783</v>
      </c>
      <c r="F204" s="1" t="s">
        <v>91</v>
      </c>
      <c r="G204" s="1" t="s">
        <v>61</v>
      </c>
      <c r="H204" s="1" t="s">
        <v>92</v>
      </c>
      <c r="I204" s="1" t="s">
        <v>16</v>
      </c>
      <c r="J204" s="1">
        <v>1</v>
      </c>
      <c r="K204" s="1">
        <v>12</v>
      </c>
      <c r="L204" s="1" t="s">
        <v>31</v>
      </c>
      <c r="M204" s="1" t="s">
        <v>18</v>
      </c>
      <c r="N204" s="1" t="s">
        <v>18</v>
      </c>
      <c r="O204" s="1">
        <v>2</v>
      </c>
      <c r="P204" s="1">
        <v>6</v>
      </c>
      <c r="R204" s="1" t="s">
        <v>19</v>
      </c>
      <c r="S204" s="1" t="s">
        <v>20</v>
      </c>
      <c r="T204" s="1" t="s">
        <v>21</v>
      </c>
      <c r="U204" s="1" t="s">
        <v>22</v>
      </c>
      <c r="V204" s="1" t="s">
        <v>24</v>
      </c>
      <c r="W204" s="1" t="s">
        <v>64</v>
      </c>
      <c r="X204" s="1">
        <v>1303</v>
      </c>
      <c r="Y204" s="1" t="s">
        <v>24</v>
      </c>
      <c r="Z204" s="1" t="s">
        <v>24</v>
      </c>
      <c r="AA204" s="1" t="s">
        <v>24</v>
      </c>
      <c r="AB204" s="1" t="s">
        <v>24</v>
      </c>
      <c r="AC204" s="1" t="s">
        <v>24</v>
      </c>
      <c r="AD204" s="1" t="s">
        <v>24</v>
      </c>
      <c r="AE204" s="1" t="s">
        <v>24</v>
      </c>
      <c r="AF204" s="22"/>
    </row>
    <row r="205" spans="1:32" x14ac:dyDescent="0.2">
      <c r="A205" s="1">
        <v>1180</v>
      </c>
      <c r="B205" s="1" t="s">
        <v>784</v>
      </c>
      <c r="C205" s="5" t="s">
        <v>0</v>
      </c>
      <c r="D205" s="1" t="s">
        <v>785</v>
      </c>
      <c r="E205" s="1" t="s">
        <v>786</v>
      </c>
      <c r="F205" s="1" t="s">
        <v>190</v>
      </c>
      <c r="G205" s="1" t="s">
        <v>130</v>
      </c>
      <c r="H205" s="1" t="s">
        <v>30</v>
      </c>
      <c r="I205" s="1" t="s">
        <v>16</v>
      </c>
      <c r="J205" s="1">
        <v>1</v>
      </c>
      <c r="K205" s="1">
        <v>12</v>
      </c>
      <c r="L205" s="1" t="s">
        <v>31</v>
      </c>
      <c r="M205" s="1" t="s">
        <v>18</v>
      </c>
      <c r="N205" s="1" t="s">
        <v>18</v>
      </c>
      <c r="O205" s="1">
        <v>3</v>
      </c>
      <c r="P205" s="1">
        <v>6</v>
      </c>
      <c r="R205" s="1" t="s">
        <v>19</v>
      </c>
      <c r="S205" s="1" t="s">
        <v>20</v>
      </c>
      <c r="T205" s="1" t="s">
        <v>21</v>
      </c>
      <c r="U205" s="1" t="s">
        <v>22</v>
      </c>
      <c r="V205" s="1" t="s">
        <v>24</v>
      </c>
      <c r="W205" s="1" t="s">
        <v>24</v>
      </c>
      <c r="X205" s="1">
        <v>1303</v>
      </c>
      <c r="Y205" s="1">
        <v>1311</v>
      </c>
      <c r="Z205" s="1">
        <v>1312</v>
      </c>
      <c r="AA205" s="1">
        <v>1105</v>
      </c>
      <c r="AB205" s="1" t="s">
        <v>24</v>
      </c>
      <c r="AC205" s="1" t="s">
        <v>24</v>
      </c>
      <c r="AD205" s="1" t="s">
        <v>24</v>
      </c>
      <c r="AE205" s="1" t="s">
        <v>24</v>
      </c>
      <c r="AF205" s="22"/>
    </row>
    <row r="206" spans="1:32" x14ac:dyDescent="0.2">
      <c r="A206" s="1">
        <v>1183</v>
      </c>
      <c r="B206" s="1" t="s">
        <v>787</v>
      </c>
      <c r="C206" s="5" t="s">
        <v>0</v>
      </c>
      <c r="D206" s="1" t="s">
        <v>788</v>
      </c>
      <c r="E206" s="1" t="s">
        <v>789</v>
      </c>
      <c r="F206" s="1" t="s">
        <v>744</v>
      </c>
      <c r="G206" s="1" t="s">
        <v>744</v>
      </c>
      <c r="H206" s="1" t="s">
        <v>37</v>
      </c>
      <c r="I206" s="1" t="s">
        <v>16</v>
      </c>
      <c r="J206" s="1">
        <v>8</v>
      </c>
      <c r="K206" s="1">
        <v>3</v>
      </c>
      <c r="L206" s="1" t="s">
        <v>42</v>
      </c>
      <c r="M206" s="1" t="s">
        <v>18</v>
      </c>
      <c r="N206" s="1" t="s">
        <v>18</v>
      </c>
      <c r="O206" s="1">
        <v>3</v>
      </c>
      <c r="P206" s="1">
        <v>8</v>
      </c>
      <c r="Q206" s="7" t="s">
        <v>17633</v>
      </c>
      <c r="R206" s="1" t="s">
        <v>62</v>
      </c>
      <c r="S206" s="1" t="s">
        <v>20</v>
      </c>
      <c r="T206" s="1" t="s">
        <v>21</v>
      </c>
      <c r="U206" s="1" t="s">
        <v>22</v>
      </c>
      <c r="V206" s="1" t="s">
        <v>24</v>
      </c>
      <c r="W206" s="1" t="s">
        <v>64</v>
      </c>
      <c r="X206" s="1">
        <v>1303</v>
      </c>
      <c r="Y206" s="1">
        <v>1307</v>
      </c>
      <c r="Z206" s="1">
        <v>1312</v>
      </c>
      <c r="AA206" s="1" t="s">
        <v>24</v>
      </c>
      <c r="AB206" s="1" t="s">
        <v>24</v>
      </c>
      <c r="AC206" s="1" t="s">
        <v>24</v>
      </c>
      <c r="AD206" s="1" t="s">
        <v>24</v>
      </c>
      <c r="AE206" s="1" t="s">
        <v>24</v>
      </c>
      <c r="AF206" s="22"/>
    </row>
    <row r="207" spans="1:32" x14ac:dyDescent="0.2">
      <c r="A207" s="1">
        <v>1188</v>
      </c>
      <c r="B207" s="1" t="s">
        <v>790</v>
      </c>
      <c r="C207" s="5" t="s">
        <v>0</v>
      </c>
      <c r="D207" s="1" t="s">
        <v>791</v>
      </c>
      <c r="E207" s="1" t="s">
        <v>792</v>
      </c>
      <c r="F207" s="1" t="s">
        <v>155</v>
      </c>
      <c r="G207" s="1" t="s">
        <v>61</v>
      </c>
      <c r="H207" s="1" t="s">
        <v>37</v>
      </c>
      <c r="I207" s="1" t="s">
        <v>16</v>
      </c>
      <c r="J207" s="1">
        <v>1</v>
      </c>
      <c r="K207" s="1">
        <v>36</v>
      </c>
      <c r="L207" s="1" t="s">
        <v>31</v>
      </c>
      <c r="M207" s="1" t="s">
        <v>18</v>
      </c>
      <c r="N207" s="1" t="s">
        <v>18</v>
      </c>
      <c r="O207" s="1">
        <v>3</v>
      </c>
      <c r="P207" s="1">
        <v>7</v>
      </c>
      <c r="Q207" s="7" t="s">
        <v>17633</v>
      </c>
      <c r="R207" s="1" t="s">
        <v>62</v>
      </c>
      <c r="S207" s="1" t="s">
        <v>20</v>
      </c>
      <c r="T207" s="1" t="s">
        <v>21</v>
      </c>
      <c r="U207" s="1" t="s">
        <v>22</v>
      </c>
      <c r="V207" s="1" t="s">
        <v>23</v>
      </c>
      <c r="W207" s="1" t="s">
        <v>24</v>
      </c>
      <c r="X207" s="1">
        <v>2502</v>
      </c>
      <c r="Y207" s="1">
        <v>1502</v>
      </c>
      <c r="Z207" s="1">
        <v>2503</v>
      </c>
      <c r="AA207" s="1">
        <v>2211</v>
      </c>
      <c r="AB207" s="1">
        <v>1304</v>
      </c>
      <c r="AC207" s="1" t="s">
        <v>24</v>
      </c>
      <c r="AD207" s="1" t="s">
        <v>24</v>
      </c>
      <c r="AE207" s="1" t="s">
        <v>24</v>
      </c>
      <c r="AF207" s="22"/>
    </row>
    <row r="208" spans="1:32" x14ac:dyDescent="0.2">
      <c r="A208" s="1">
        <v>1199</v>
      </c>
      <c r="B208" s="5" t="s">
        <v>793</v>
      </c>
      <c r="C208" s="5" t="s">
        <v>50553</v>
      </c>
      <c r="D208" s="1" t="s">
        <v>794</v>
      </c>
      <c r="E208" s="1" t="s">
        <v>795</v>
      </c>
      <c r="F208" s="1" t="s">
        <v>17606</v>
      </c>
      <c r="G208" s="1" t="s">
        <v>130</v>
      </c>
      <c r="H208" s="1" t="s">
        <v>30</v>
      </c>
      <c r="I208" s="1" t="s">
        <v>16</v>
      </c>
      <c r="J208" s="1">
        <v>1</v>
      </c>
      <c r="K208" s="1">
        <v>6</v>
      </c>
      <c r="L208" s="1" t="s">
        <v>31</v>
      </c>
      <c r="M208" s="1" t="s">
        <v>18</v>
      </c>
      <c r="N208" s="5" t="s">
        <v>18</v>
      </c>
      <c r="O208" s="1">
        <v>3</v>
      </c>
      <c r="P208" s="1">
        <v>7</v>
      </c>
      <c r="Q208" s="5" t="s">
        <v>17633</v>
      </c>
      <c r="R208" s="1" t="s">
        <v>19</v>
      </c>
      <c r="S208" s="1" t="s">
        <v>20</v>
      </c>
      <c r="T208" s="1" t="s">
        <v>21</v>
      </c>
      <c r="X208" s="5">
        <v>2204</v>
      </c>
      <c r="Y208" s="1">
        <v>2701</v>
      </c>
      <c r="Z208" s="1">
        <v>3607</v>
      </c>
      <c r="AF208" s="22"/>
    </row>
    <row r="209" spans="1:32" x14ac:dyDescent="0.2">
      <c r="A209" s="1">
        <v>1210</v>
      </c>
      <c r="B209" s="1" t="s">
        <v>796</v>
      </c>
      <c r="C209" s="5" t="s">
        <v>0</v>
      </c>
      <c r="D209" s="1" t="s">
        <v>797</v>
      </c>
      <c r="E209" s="1" t="s">
        <v>798</v>
      </c>
      <c r="F209" s="1" t="s">
        <v>673</v>
      </c>
      <c r="G209" s="1" t="s">
        <v>61</v>
      </c>
      <c r="H209" s="1" t="s">
        <v>30</v>
      </c>
      <c r="I209" s="1" t="s">
        <v>16</v>
      </c>
      <c r="J209" s="1">
        <v>2</v>
      </c>
      <c r="K209" s="1">
        <v>12</v>
      </c>
      <c r="L209" s="1" t="s">
        <v>31</v>
      </c>
      <c r="M209" s="1" t="s">
        <v>18</v>
      </c>
      <c r="N209" s="1" t="s">
        <v>18</v>
      </c>
      <c r="O209" s="1">
        <v>3</v>
      </c>
      <c r="P209" s="1">
        <v>7</v>
      </c>
      <c r="Q209" s="7" t="s">
        <v>17633</v>
      </c>
      <c r="R209" s="1" t="s">
        <v>62</v>
      </c>
      <c r="S209" s="1" t="s">
        <v>20</v>
      </c>
      <c r="T209" s="1" t="s">
        <v>21</v>
      </c>
      <c r="U209" s="1" t="s">
        <v>22</v>
      </c>
      <c r="V209" s="1" t="s">
        <v>24</v>
      </c>
      <c r="W209" s="1" t="s">
        <v>24</v>
      </c>
      <c r="X209" s="1">
        <v>2803</v>
      </c>
      <c r="Y209" s="1" t="s">
        <v>24</v>
      </c>
      <c r="Z209" s="1" t="s">
        <v>24</v>
      </c>
      <c r="AA209" s="1" t="s">
        <v>24</v>
      </c>
      <c r="AB209" s="1" t="s">
        <v>24</v>
      </c>
      <c r="AC209" s="1" t="s">
        <v>24</v>
      </c>
      <c r="AD209" s="1" t="s">
        <v>24</v>
      </c>
      <c r="AE209" s="1" t="s">
        <v>24</v>
      </c>
      <c r="AF209" s="22"/>
    </row>
    <row r="210" spans="1:32" x14ac:dyDescent="0.2">
      <c r="A210" s="1">
        <v>1211</v>
      </c>
      <c r="B210" s="1" t="s">
        <v>799</v>
      </c>
      <c r="C210" s="5" t="s">
        <v>0</v>
      </c>
      <c r="D210" s="1" t="s">
        <v>800</v>
      </c>
      <c r="E210" s="1" t="s">
        <v>801</v>
      </c>
      <c r="F210" s="1" t="s">
        <v>85</v>
      </c>
      <c r="G210" s="1" t="s">
        <v>61</v>
      </c>
      <c r="H210" s="1" t="s">
        <v>86</v>
      </c>
      <c r="I210" s="1" t="s">
        <v>16</v>
      </c>
      <c r="J210" s="1">
        <v>1</v>
      </c>
      <c r="K210" s="1">
        <v>8</v>
      </c>
      <c r="L210" s="1" t="s">
        <v>31</v>
      </c>
      <c r="M210" s="1" t="s">
        <v>18</v>
      </c>
      <c r="N210" s="1" t="s">
        <v>105</v>
      </c>
      <c r="O210" s="1">
        <v>3</v>
      </c>
      <c r="P210" s="1">
        <v>7</v>
      </c>
      <c r="Q210" s="7" t="s">
        <v>17633</v>
      </c>
      <c r="R210" s="1" t="s">
        <v>19</v>
      </c>
      <c r="S210" s="1" t="s">
        <v>20</v>
      </c>
      <c r="T210" s="1" t="s">
        <v>21</v>
      </c>
      <c r="U210" s="1" t="s">
        <v>22</v>
      </c>
      <c r="V210" s="1" t="s">
        <v>24</v>
      </c>
      <c r="W210" s="1" t="s">
        <v>24</v>
      </c>
      <c r="X210" s="1">
        <v>3004</v>
      </c>
      <c r="Y210" s="1" t="s">
        <v>24</v>
      </c>
      <c r="Z210" s="1" t="s">
        <v>24</v>
      </c>
      <c r="AA210" s="1" t="s">
        <v>24</v>
      </c>
      <c r="AB210" s="1" t="s">
        <v>24</v>
      </c>
      <c r="AC210" s="1" t="s">
        <v>24</v>
      </c>
      <c r="AD210" s="1" t="s">
        <v>24</v>
      </c>
      <c r="AE210" s="1" t="s">
        <v>24</v>
      </c>
      <c r="AF210" s="22"/>
    </row>
    <row r="211" spans="1:32" x14ac:dyDescent="0.2">
      <c r="A211" s="1">
        <v>1212</v>
      </c>
      <c r="B211" s="1" t="s">
        <v>802</v>
      </c>
      <c r="C211" s="5" t="s">
        <v>0</v>
      </c>
      <c r="D211" s="1" t="s">
        <v>803</v>
      </c>
      <c r="E211" s="1" t="s">
        <v>804</v>
      </c>
      <c r="F211" s="1" t="s">
        <v>517</v>
      </c>
      <c r="G211" s="1" t="s">
        <v>36</v>
      </c>
      <c r="H211" s="1" t="s">
        <v>30</v>
      </c>
      <c r="I211" s="1" t="s">
        <v>16</v>
      </c>
      <c r="J211" s="1">
        <v>2</v>
      </c>
      <c r="K211" s="1">
        <v>12</v>
      </c>
      <c r="L211" s="1" t="s">
        <v>31</v>
      </c>
      <c r="M211" s="1" t="s">
        <v>18</v>
      </c>
      <c r="N211" s="1" t="s">
        <v>18</v>
      </c>
      <c r="O211" s="1">
        <v>3</v>
      </c>
      <c r="P211" s="1">
        <v>5</v>
      </c>
      <c r="R211" s="1" t="s">
        <v>19</v>
      </c>
      <c r="S211" s="1" t="s">
        <v>20</v>
      </c>
      <c r="T211" s="1" t="s">
        <v>21</v>
      </c>
      <c r="U211" s="1" t="s">
        <v>22</v>
      </c>
      <c r="V211" s="1" t="s">
        <v>24</v>
      </c>
      <c r="W211" s="1" t="s">
        <v>64</v>
      </c>
      <c r="X211" s="1">
        <v>1303</v>
      </c>
      <c r="Y211" s="1">
        <v>1304</v>
      </c>
      <c r="Z211" s="1">
        <v>2502</v>
      </c>
      <c r="AA211" s="1">
        <v>1605</v>
      </c>
      <c r="AB211" s="1" t="s">
        <v>24</v>
      </c>
      <c r="AC211" s="1" t="s">
        <v>24</v>
      </c>
      <c r="AD211" s="1" t="s">
        <v>24</v>
      </c>
      <c r="AE211" s="1" t="s">
        <v>24</v>
      </c>
      <c r="AF211" s="22"/>
    </row>
    <row r="212" spans="1:32" x14ac:dyDescent="0.2">
      <c r="A212" s="1">
        <v>1213</v>
      </c>
      <c r="B212" s="1" t="s">
        <v>805</v>
      </c>
      <c r="C212" s="5" t="s">
        <v>0</v>
      </c>
      <c r="D212" s="1" t="s">
        <v>806</v>
      </c>
      <c r="E212" s="1" t="s">
        <v>807</v>
      </c>
      <c r="F212" s="1" t="s">
        <v>808</v>
      </c>
      <c r="G212" s="1" t="s">
        <v>809</v>
      </c>
      <c r="H212" s="1" t="s">
        <v>30</v>
      </c>
      <c r="I212" s="1" t="s">
        <v>16</v>
      </c>
      <c r="J212" s="1">
        <v>2</v>
      </c>
      <c r="K212" s="1">
        <v>6</v>
      </c>
      <c r="L212" s="1" t="s">
        <v>31</v>
      </c>
      <c r="M212" s="1" t="s">
        <v>18</v>
      </c>
      <c r="N212" s="1" t="s">
        <v>18</v>
      </c>
      <c r="O212" s="1">
        <v>3</v>
      </c>
      <c r="P212" s="1">
        <v>7</v>
      </c>
      <c r="Q212" s="7" t="s">
        <v>17633</v>
      </c>
      <c r="R212" s="1" t="s">
        <v>62</v>
      </c>
      <c r="S212" s="1" t="s">
        <v>20</v>
      </c>
      <c r="T212" s="1" t="s">
        <v>21</v>
      </c>
      <c r="U212" s="1" t="s">
        <v>22</v>
      </c>
      <c r="V212" s="1" t="s">
        <v>24</v>
      </c>
      <c r="W212" s="1" t="s">
        <v>24</v>
      </c>
      <c r="X212" s="1">
        <v>1307</v>
      </c>
      <c r="Y212" s="1" t="s">
        <v>24</v>
      </c>
      <c r="Z212" s="1" t="s">
        <v>24</v>
      </c>
      <c r="AA212" s="1" t="s">
        <v>24</v>
      </c>
      <c r="AB212" s="1" t="s">
        <v>24</v>
      </c>
      <c r="AC212" s="1" t="s">
        <v>24</v>
      </c>
      <c r="AD212" s="1" t="s">
        <v>24</v>
      </c>
      <c r="AE212" s="1" t="s">
        <v>24</v>
      </c>
      <c r="AF212" s="22"/>
    </row>
    <row r="213" spans="1:32" x14ac:dyDescent="0.2">
      <c r="A213" s="1">
        <v>1227</v>
      </c>
      <c r="B213" s="1" t="s">
        <v>810</v>
      </c>
      <c r="C213" s="5" t="s">
        <v>0</v>
      </c>
      <c r="D213" s="1" t="s">
        <v>811</v>
      </c>
      <c r="E213" s="1" t="s">
        <v>812</v>
      </c>
      <c r="F213" s="1" t="s">
        <v>55</v>
      </c>
      <c r="G213" s="1" t="s">
        <v>56</v>
      </c>
      <c r="H213" s="1" t="s">
        <v>37</v>
      </c>
      <c r="I213" s="1" t="s">
        <v>16</v>
      </c>
      <c r="J213" s="1">
        <v>2</v>
      </c>
      <c r="K213" s="1">
        <v>6</v>
      </c>
      <c r="L213" s="1" t="s">
        <v>31</v>
      </c>
      <c r="M213" s="1" t="s">
        <v>18</v>
      </c>
      <c r="N213" s="1" t="s">
        <v>18</v>
      </c>
      <c r="O213" s="1">
        <v>3</v>
      </c>
      <c r="P213" s="1">
        <v>7</v>
      </c>
      <c r="Q213" s="7" t="s">
        <v>17633</v>
      </c>
      <c r="R213" s="1" t="s">
        <v>19</v>
      </c>
      <c r="S213" s="1" t="s">
        <v>20</v>
      </c>
      <c r="T213" s="1" t="s">
        <v>21</v>
      </c>
      <c r="U213" s="1" t="s">
        <v>22</v>
      </c>
      <c r="V213" s="1" t="s">
        <v>23</v>
      </c>
      <c r="W213" s="1" t="s">
        <v>24</v>
      </c>
      <c r="X213" s="1">
        <v>2703</v>
      </c>
      <c r="Y213" s="1" t="s">
        <v>24</v>
      </c>
      <c r="Z213" s="1" t="s">
        <v>24</v>
      </c>
      <c r="AA213" s="1" t="s">
        <v>24</v>
      </c>
      <c r="AB213" s="1" t="s">
        <v>24</v>
      </c>
      <c r="AC213" s="1" t="s">
        <v>24</v>
      </c>
      <c r="AD213" s="1" t="s">
        <v>24</v>
      </c>
      <c r="AE213" s="1" t="s">
        <v>24</v>
      </c>
      <c r="AF213" s="22"/>
    </row>
    <row r="214" spans="1:32" x14ac:dyDescent="0.2">
      <c r="A214" s="1">
        <v>1230</v>
      </c>
      <c r="B214" s="1" t="s">
        <v>813</v>
      </c>
      <c r="C214" s="5" t="s">
        <v>0</v>
      </c>
      <c r="D214" s="1" t="s">
        <v>814</v>
      </c>
      <c r="E214" s="1" t="s">
        <v>815</v>
      </c>
      <c r="F214" s="1" t="s">
        <v>315</v>
      </c>
      <c r="G214" s="1" t="s">
        <v>316</v>
      </c>
      <c r="H214" s="1" t="s">
        <v>37</v>
      </c>
      <c r="I214" s="1" t="s">
        <v>16</v>
      </c>
      <c r="J214" s="1">
        <v>2</v>
      </c>
      <c r="K214" s="1">
        <v>12</v>
      </c>
      <c r="L214" s="1" t="s">
        <v>31</v>
      </c>
      <c r="M214" s="1" t="s">
        <v>18</v>
      </c>
      <c r="N214" s="1" t="s">
        <v>18</v>
      </c>
      <c r="O214" s="1">
        <v>3</v>
      </c>
      <c r="P214" s="1">
        <v>7</v>
      </c>
      <c r="Q214" s="7" t="s">
        <v>17633</v>
      </c>
      <c r="R214" s="1" t="s">
        <v>62</v>
      </c>
      <c r="S214" s="1" t="s">
        <v>20</v>
      </c>
      <c r="T214" s="1" t="s">
        <v>21</v>
      </c>
      <c r="U214" s="1" t="s">
        <v>22</v>
      </c>
      <c r="V214" s="1" t="s">
        <v>24</v>
      </c>
      <c r="W214" s="1" t="s">
        <v>24</v>
      </c>
      <c r="X214" s="1">
        <v>1306</v>
      </c>
      <c r="Y214" s="1">
        <v>2730</v>
      </c>
      <c r="Z214" s="1" t="s">
        <v>24</v>
      </c>
      <c r="AA214" s="1" t="s">
        <v>24</v>
      </c>
      <c r="AB214" s="1" t="s">
        <v>24</v>
      </c>
      <c r="AC214" s="1" t="s">
        <v>24</v>
      </c>
      <c r="AD214" s="1" t="s">
        <v>24</v>
      </c>
      <c r="AE214" s="1" t="s">
        <v>24</v>
      </c>
      <c r="AF214" s="22"/>
    </row>
    <row r="215" spans="1:32" x14ac:dyDescent="0.2">
      <c r="A215" s="1">
        <v>1240</v>
      </c>
      <c r="B215" s="1" t="s">
        <v>816</v>
      </c>
      <c r="C215" s="5" t="s">
        <v>0</v>
      </c>
      <c r="D215" s="1" t="s">
        <v>817</v>
      </c>
      <c r="E215" s="1" t="s">
        <v>818</v>
      </c>
      <c r="F215" s="1" t="s">
        <v>35</v>
      </c>
      <c r="G215" s="1" t="s">
        <v>36</v>
      </c>
      <c r="H215" s="1" t="s">
        <v>37</v>
      </c>
      <c r="I215" s="1" t="s">
        <v>16</v>
      </c>
      <c r="J215" s="1">
        <v>2</v>
      </c>
      <c r="K215" s="1">
        <v>6</v>
      </c>
      <c r="L215" s="1" t="s">
        <v>31</v>
      </c>
      <c r="M215" s="1" t="s">
        <v>18</v>
      </c>
      <c r="N215" s="1" t="s">
        <v>18</v>
      </c>
      <c r="O215" s="1">
        <v>3</v>
      </c>
      <c r="P215" s="1">
        <v>7</v>
      </c>
      <c r="Q215" s="7" t="s">
        <v>17633</v>
      </c>
      <c r="R215" s="1" t="s">
        <v>62</v>
      </c>
      <c r="S215" s="1" t="s">
        <v>20</v>
      </c>
      <c r="T215" s="1" t="s">
        <v>21</v>
      </c>
      <c r="U215" s="1" t="s">
        <v>22</v>
      </c>
      <c r="V215" s="1" t="s">
        <v>24</v>
      </c>
      <c r="W215" s="1" t="s">
        <v>24</v>
      </c>
      <c r="X215" s="1">
        <v>2708</v>
      </c>
      <c r="Y215" s="1" t="s">
        <v>24</v>
      </c>
      <c r="Z215" s="1" t="s">
        <v>24</v>
      </c>
      <c r="AA215" s="1" t="s">
        <v>24</v>
      </c>
      <c r="AB215" s="1" t="s">
        <v>24</v>
      </c>
      <c r="AC215" s="1" t="s">
        <v>24</v>
      </c>
      <c r="AD215" s="1" t="s">
        <v>24</v>
      </c>
      <c r="AE215" s="1" t="s">
        <v>24</v>
      </c>
      <c r="AF215" s="22"/>
    </row>
    <row r="216" spans="1:32" x14ac:dyDescent="0.2">
      <c r="A216" s="1">
        <v>1244</v>
      </c>
      <c r="B216" s="1" t="s">
        <v>819</v>
      </c>
      <c r="C216" s="5" t="s">
        <v>0</v>
      </c>
      <c r="D216" s="1" t="s">
        <v>820</v>
      </c>
      <c r="E216" s="1" t="s">
        <v>821</v>
      </c>
      <c r="F216" s="1" t="s">
        <v>35</v>
      </c>
      <c r="G216" s="1" t="s">
        <v>36</v>
      </c>
      <c r="H216" s="1" t="s">
        <v>37</v>
      </c>
      <c r="I216" s="1" t="s">
        <v>16</v>
      </c>
      <c r="J216" s="1">
        <v>4</v>
      </c>
      <c r="K216" s="1">
        <v>6</v>
      </c>
      <c r="L216" s="1" t="s">
        <v>31</v>
      </c>
      <c r="M216" s="1" t="s">
        <v>18</v>
      </c>
      <c r="N216" s="1" t="s">
        <v>18</v>
      </c>
      <c r="O216" s="1">
        <v>3</v>
      </c>
      <c r="P216" s="1">
        <v>8</v>
      </c>
      <c r="Q216" s="7" t="s">
        <v>17633</v>
      </c>
      <c r="R216" s="1" t="s">
        <v>62</v>
      </c>
      <c r="S216" s="1" t="s">
        <v>20</v>
      </c>
      <c r="T216" s="1" t="s">
        <v>21</v>
      </c>
      <c r="U216" s="1" t="s">
        <v>22</v>
      </c>
      <c r="V216" s="1" t="s">
        <v>24</v>
      </c>
      <c r="W216" s="1" t="s">
        <v>24</v>
      </c>
      <c r="X216" s="1">
        <v>2720</v>
      </c>
      <c r="Y216" s="1" t="s">
        <v>24</v>
      </c>
      <c r="Z216" s="1" t="s">
        <v>24</v>
      </c>
      <c r="AA216" s="1" t="s">
        <v>24</v>
      </c>
      <c r="AB216" s="1" t="s">
        <v>24</v>
      </c>
      <c r="AC216" s="1" t="s">
        <v>24</v>
      </c>
      <c r="AD216" s="1" t="s">
        <v>24</v>
      </c>
      <c r="AE216" s="1" t="s">
        <v>24</v>
      </c>
      <c r="AF216" s="22"/>
    </row>
    <row r="217" spans="1:32" x14ac:dyDescent="0.2">
      <c r="A217" s="1">
        <v>1254</v>
      </c>
      <c r="B217" s="1" t="s">
        <v>822</v>
      </c>
      <c r="C217" s="5" t="s">
        <v>0</v>
      </c>
      <c r="D217" s="1" t="s">
        <v>823</v>
      </c>
      <c r="E217" s="1" t="s">
        <v>824</v>
      </c>
      <c r="F217" s="1" t="s">
        <v>724</v>
      </c>
      <c r="G217" s="1" t="s">
        <v>725</v>
      </c>
      <c r="H217" s="1" t="s">
        <v>37</v>
      </c>
      <c r="I217" s="1" t="s">
        <v>16</v>
      </c>
      <c r="J217" s="1">
        <v>2</v>
      </c>
      <c r="K217" s="1">
        <v>12</v>
      </c>
      <c r="L217" s="1" t="s">
        <v>31</v>
      </c>
      <c r="M217" s="1" t="s">
        <v>18</v>
      </c>
      <c r="N217" s="1" t="s">
        <v>18</v>
      </c>
      <c r="O217" s="1">
        <v>3</v>
      </c>
      <c r="P217" s="1">
        <v>6</v>
      </c>
      <c r="R217" s="1" t="s">
        <v>62</v>
      </c>
      <c r="S217" s="1" t="s">
        <v>20</v>
      </c>
      <c r="T217" s="1" t="s">
        <v>21</v>
      </c>
      <c r="U217" s="1" t="s">
        <v>22</v>
      </c>
      <c r="V217" s="1" t="s">
        <v>23</v>
      </c>
      <c r="W217" s="1" t="s">
        <v>24</v>
      </c>
      <c r="X217" s="1">
        <v>2701</v>
      </c>
      <c r="Y217" s="1">
        <v>2916</v>
      </c>
      <c r="Z217" s="1" t="s">
        <v>24</v>
      </c>
      <c r="AA217" s="1" t="s">
        <v>24</v>
      </c>
      <c r="AB217" s="1" t="s">
        <v>24</v>
      </c>
      <c r="AC217" s="1" t="s">
        <v>24</v>
      </c>
      <c r="AD217" s="1" t="s">
        <v>24</v>
      </c>
      <c r="AE217" s="1" t="s">
        <v>24</v>
      </c>
      <c r="AF217" s="22"/>
    </row>
    <row r="218" spans="1:32" x14ac:dyDescent="0.2">
      <c r="A218" s="1">
        <v>1256</v>
      </c>
      <c r="B218" s="1" t="s">
        <v>825</v>
      </c>
      <c r="C218" s="5" t="s">
        <v>0</v>
      </c>
      <c r="D218" s="1" t="s">
        <v>826</v>
      </c>
      <c r="E218" s="1" t="s">
        <v>827</v>
      </c>
      <c r="F218" s="1" t="s">
        <v>159</v>
      </c>
      <c r="G218" s="1" t="s">
        <v>160</v>
      </c>
      <c r="H218" s="1" t="s">
        <v>37</v>
      </c>
      <c r="I218" s="1" t="s">
        <v>16</v>
      </c>
      <c r="J218" s="1">
        <v>1</v>
      </c>
      <c r="K218" s="1">
        <v>12</v>
      </c>
      <c r="L218" s="1" t="s">
        <v>42</v>
      </c>
      <c r="M218" s="1" t="s">
        <v>18</v>
      </c>
      <c r="N218" s="1" t="s">
        <v>18</v>
      </c>
      <c r="O218" s="1">
        <v>3</v>
      </c>
      <c r="P218" s="1">
        <v>8</v>
      </c>
      <c r="Q218" s="7" t="s">
        <v>17633</v>
      </c>
      <c r="R218" s="1" t="s">
        <v>19</v>
      </c>
      <c r="S218" s="1" t="s">
        <v>20</v>
      </c>
      <c r="T218" s="1" t="s">
        <v>21</v>
      </c>
      <c r="U218" s="1" t="s">
        <v>22</v>
      </c>
      <c r="V218" s="1" t="s">
        <v>24</v>
      </c>
      <c r="W218" s="1" t="s">
        <v>24</v>
      </c>
      <c r="X218" s="1">
        <v>2731</v>
      </c>
      <c r="Y218" s="1">
        <v>2809</v>
      </c>
      <c r="Z218" s="1">
        <v>2804</v>
      </c>
      <c r="AA218" s="1" t="s">
        <v>24</v>
      </c>
      <c r="AB218" s="1" t="s">
        <v>24</v>
      </c>
      <c r="AC218" s="1" t="s">
        <v>24</v>
      </c>
      <c r="AD218" s="1" t="s">
        <v>24</v>
      </c>
      <c r="AE218" s="1" t="s">
        <v>24</v>
      </c>
      <c r="AF218" s="22"/>
    </row>
    <row r="219" spans="1:32" x14ac:dyDescent="0.2">
      <c r="A219" s="1">
        <v>1258</v>
      </c>
      <c r="B219" s="1" t="s">
        <v>828</v>
      </c>
      <c r="C219" s="5" t="s">
        <v>0</v>
      </c>
      <c r="D219" s="1" t="s">
        <v>829</v>
      </c>
      <c r="E219" s="1" t="s">
        <v>830</v>
      </c>
      <c r="F219" s="1" t="s">
        <v>831</v>
      </c>
      <c r="G219" s="1" t="s">
        <v>61</v>
      </c>
      <c r="H219" s="1" t="s">
        <v>37</v>
      </c>
      <c r="I219" s="1" t="s">
        <v>16</v>
      </c>
      <c r="J219" s="1">
        <v>1</v>
      </c>
      <c r="K219" s="1">
        <v>6</v>
      </c>
      <c r="L219" s="1" t="s">
        <v>31</v>
      </c>
      <c r="M219" s="1" t="s">
        <v>18</v>
      </c>
      <c r="N219" s="1" t="s">
        <v>18</v>
      </c>
      <c r="O219" s="1">
        <v>3</v>
      </c>
      <c r="P219" s="1">
        <v>6</v>
      </c>
      <c r="R219" s="1" t="s">
        <v>19</v>
      </c>
      <c r="S219" s="1" t="s">
        <v>20</v>
      </c>
      <c r="T219" s="1" t="s">
        <v>21</v>
      </c>
      <c r="U219" s="1" t="s">
        <v>22</v>
      </c>
      <c r="V219" s="1" t="s">
        <v>24</v>
      </c>
      <c r="W219" s="1" t="s">
        <v>24</v>
      </c>
      <c r="X219" s="1">
        <v>3504</v>
      </c>
      <c r="Y219" s="1">
        <v>2733</v>
      </c>
      <c r="Z219" s="1">
        <v>2746</v>
      </c>
      <c r="AA219" s="1" t="s">
        <v>24</v>
      </c>
      <c r="AB219" s="1" t="s">
        <v>24</v>
      </c>
      <c r="AC219" s="1" t="s">
        <v>24</v>
      </c>
      <c r="AD219" s="1" t="s">
        <v>24</v>
      </c>
      <c r="AE219" s="1" t="s">
        <v>24</v>
      </c>
      <c r="AF219" s="22"/>
    </row>
    <row r="220" spans="1:32" x14ac:dyDescent="0.2">
      <c r="A220" s="1">
        <v>1259</v>
      </c>
      <c r="B220" s="1" t="s">
        <v>832</v>
      </c>
      <c r="C220" s="5" t="s">
        <v>0</v>
      </c>
      <c r="D220" s="1" t="s">
        <v>833</v>
      </c>
      <c r="E220" s="1" t="s">
        <v>834</v>
      </c>
      <c r="F220" s="1" t="s">
        <v>517</v>
      </c>
      <c r="G220" s="1" t="s">
        <v>36</v>
      </c>
      <c r="H220" s="1" t="s">
        <v>30</v>
      </c>
      <c r="I220" s="1" t="s">
        <v>16</v>
      </c>
      <c r="J220" s="1">
        <v>1</v>
      </c>
      <c r="K220" s="1">
        <v>24</v>
      </c>
      <c r="L220" s="1" t="s">
        <v>31</v>
      </c>
      <c r="M220" s="1" t="s">
        <v>18</v>
      </c>
      <c r="N220" s="1" t="s">
        <v>18</v>
      </c>
      <c r="O220" s="1">
        <v>3</v>
      </c>
      <c r="P220" s="1">
        <v>8</v>
      </c>
      <c r="Q220" s="7" t="s">
        <v>17633</v>
      </c>
      <c r="R220" s="1" t="s">
        <v>62</v>
      </c>
      <c r="S220" s="1" t="s">
        <v>20</v>
      </c>
      <c r="T220" s="1" t="s">
        <v>21</v>
      </c>
      <c r="U220" s="1" t="s">
        <v>22</v>
      </c>
      <c r="V220" s="1" t="s">
        <v>24</v>
      </c>
      <c r="W220" s="1" t="s">
        <v>64</v>
      </c>
      <c r="X220" s="1">
        <v>3004</v>
      </c>
      <c r="Y220" s="1" t="s">
        <v>24</v>
      </c>
      <c r="Z220" s="1" t="s">
        <v>24</v>
      </c>
      <c r="AA220" s="1" t="s">
        <v>24</v>
      </c>
      <c r="AB220" s="1" t="s">
        <v>24</v>
      </c>
      <c r="AC220" s="1" t="s">
        <v>24</v>
      </c>
      <c r="AD220" s="1" t="s">
        <v>24</v>
      </c>
      <c r="AE220" s="1" t="s">
        <v>24</v>
      </c>
      <c r="AF220" s="22"/>
    </row>
    <row r="221" spans="1:32" x14ac:dyDescent="0.2">
      <c r="A221" s="1">
        <v>1262</v>
      </c>
      <c r="B221" s="1" t="s">
        <v>835</v>
      </c>
      <c r="C221" s="5" t="s">
        <v>0</v>
      </c>
      <c r="D221" s="1" t="s">
        <v>836</v>
      </c>
      <c r="E221" s="1" t="s">
        <v>837</v>
      </c>
      <c r="F221" s="1" t="s">
        <v>35</v>
      </c>
      <c r="G221" s="1" t="s">
        <v>36</v>
      </c>
      <c r="H221" s="1" t="s">
        <v>37</v>
      </c>
      <c r="I221" s="1" t="s">
        <v>16</v>
      </c>
      <c r="J221" s="1">
        <v>1</v>
      </c>
      <c r="K221" s="1">
        <v>4</v>
      </c>
      <c r="L221" s="1" t="s">
        <v>31</v>
      </c>
      <c r="M221" s="1" t="s">
        <v>18</v>
      </c>
      <c r="N221" s="1" t="s">
        <v>18</v>
      </c>
      <c r="O221" s="1">
        <v>3</v>
      </c>
      <c r="P221" s="1">
        <v>6</v>
      </c>
      <c r="R221" s="1" t="s">
        <v>19</v>
      </c>
      <c r="S221" s="1" t="s">
        <v>20</v>
      </c>
      <c r="T221" s="1" t="s">
        <v>21</v>
      </c>
      <c r="U221" s="1" t="s">
        <v>22</v>
      </c>
      <c r="V221" s="1" t="s">
        <v>24</v>
      </c>
      <c r="W221" s="1" t="s">
        <v>24</v>
      </c>
      <c r="X221" s="1">
        <v>2738</v>
      </c>
      <c r="Y221" s="1">
        <v>3203</v>
      </c>
      <c r="Z221" s="1" t="s">
        <v>24</v>
      </c>
      <c r="AA221" s="1" t="s">
        <v>24</v>
      </c>
      <c r="AB221" s="1" t="s">
        <v>24</v>
      </c>
      <c r="AC221" s="1" t="s">
        <v>24</v>
      </c>
      <c r="AD221" s="1" t="s">
        <v>24</v>
      </c>
      <c r="AE221" s="1" t="s">
        <v>24</v>
      </c>
      <c r="AF221" s="22"/>
    </row>
    <row r="222" spans="1:32" x14ac:dyDescent="0.2">
      <c r="A222" s="1">
        <v>1265</v>
      </c>
      <c r="B222" s="1" t="s">
        <v>838</v>
      </c>
      <c r="C222" s="5" t="s">
        <v>0</v>
      </c>
      <c r="D222" s="1" t="s">
        <v>839</v>
      </c>
      <c r="E222" s="1" t="s">
        <v>840</v>
      </c>
      <c r="F222" s="1" t="s">
        <v>841</v>
      </c>
      <c r="G222" s="1" t="s">
        <v>841</v>
      </c>
      <c r="H222" s="1" t="s">
        <v>37</v>
      </c>
      <c r="I222" s="1" t="s">
        <v>16</v>
      </c>
      <c r="J222" s="1">
        <v>2</v>
      </c>
      <c r="K222" s="1">
        <v>6</v>
      </c>
      <c r="L222" s="1" t="s">
        <v>42</v>
      </c>
      <c r="M222" s="1" t="s">
        <v>18</v>
      </c>
      <c r="N222" s="1" t="s">
        <v>18</v>
      </c>
      <c r="O222" s="1">
        <v>3</v>
      </c>
      <c r="P222" s="1">
        <v>6</v>
      </c>
      <c r="R222" s="1" t="s">
        <v>62</v>
      </c>
      <c r="S222" s="1" t="s">
        <v>20</v>
      </c>
      <c r="T222" s="1" t="s">
        <v>21</v>
      </c>
      <c r="U222" s="1" t="s">
        <v>22</v>
      </c>
      <c r="V222" s="1" t="s">
        <v>24</v>
      </c>
      <c r="W222" s="1" t="s">
        <v>24</v>
      </c>
      <c r="X222" s="1">
        <v>2738</v>
      </c>
      <c r="Y222" s="1" t="s">
        <v>24</v>
      </c>
      <c r="Z222" s="1" t="s">
        <v>24</v>
      </c>
      <c r="AA222" s="1" t="s">
        <v>24</v>
      </c>
      <c r="AB222" s="1" t="s">
        <v>24</v>
      </c>
      <c r="AC222" s="1" t="s">
        <v>24</v>
      </c>
      <c r="AD222" s="1" t="s">
        <v>24</v>
      </c>
      <c r="AE222" s="1" t="s">
        <v>24</v>
      </c>
      <c r="AF222" s="22"/>
    </row>
    <row r="223" spans="1:32" x14ac:dyDescent="0.2">
      <c r="A223" s="1">
        <v>1266</v>
      </c>
      <c r="B223" s="1" t="s">
        <v>842</v>
      </c>
      <c r="C223" s="5" t="s">
        <v>0</v>
      </c>
      <c r="D223" s="1" t="s">
        <v>843</v>
      </c>
      <c r="F223" s="1" t="s">
        <v>844</v>
      </c>
      <c r="G223" s="1" t="s">
        <v>844</v>
      </c>
      <c r="H223" s="1" t="s">
        <v>37</v>
      </c>
      <c r="I223" s="1" t="s">
        <v>16</v>
      </c>
      <c r="J223" s="1">
        <v>1</v>
      </c>
      <c r="K223" s="1">
        <v>12</v>
      </c>
      <c r="L223" s="1" t="s">
        <v>42</v>
      </c>
      <c r="M223" s="1" t="s">
        <v>18</v>
      </c>
      <c r="N223" s="1" t="s">
        <v>18</v>
      </c>
      <c r="O223" s="1">
        <v>3</v>
      </c>
      <c r="P223" s="1">
        <v>6</v>
      </c>
      <c r="R223" s="1" t="s">
        <v>19</v>
      </c>
      <c r="S223" s="1" t="s">
        <v>20</v>
      </c>
      <c r="T223" s="1" t="s">
        <v>21</v>
      </c>
      <c r="U223" s="1" t="s">
        <v>22</v>
      </c>
      <c r="V223" s="1" t="s">
        <v>23</v>
      </c>
      <c r="W223" s="1" t="s">
        <v>24</v>
      </c>
      <c r="X223" s="1">
        <v>2741</v>
      </c>
      <c r="Y223" s="1" t="s">
        <v>24</v>
      </c>
      <c r="Z223" s="1" t="s">
        <v>24</v>
      </c>
      <c r="AA223" s="1" t="s">
        <v>24</v>
      </c>
      <c r="AB223" s="1" t="s">
        <v>24</v>
      </c>
      <c r="AC223" s="1" t="s">
        <v>24</v>
      </c>
      <c r="AD223" s="1" t="s">
        <v>24</v>
      </c>
      <c r="AE223" s="1" t="s">
        <v>24</v>
      </c>
      <c r="AF223" s="22"/>
    </row>
    <row r="224" spans="1:32" x14ac:dyDescent="0.2">
      <c r="A224" s="1">
        <v>1275</v>
      </c>
      <c r="B224" s="1" t="s">
        <v>845</v>
      </c>
      <c r="C224" s="5" t="s">
        <v>0</v>
      </c>
      <c r="D224" s="1" t="s">
        <v>846</v>
      </c>
      <c r="F224" s="1" t="s">
        <v>847</v>
      </c>
      <c r="G224" s="1" t="s">
        <v>848</v>
      </c>
      <c r="H224" s="1" t="s">
        <v>168</v>
      </c>
      <c r="I224" s="1" t="s">
        <v>16</v>
      </c>
      <c r="J224" s="1">
        <v>1</v>
      </c>
      <c r="K224" s="1">
        <v>6</v>
      </c>
      <c r="L224" s="1" t="s">
        <v>17</v>
      </c>
      <c r="M224" s="1" t="s">
        <v>413</v>
      </c>
      <c r="N224" s="1" t="s">
        <v>679</v>
      </c>
      <c r="O224" s="1">
        <v>2</v>
      </c>
      <c r="P224" s="1">
        <v>5</v>
      </c>
      <c r="R224" s="1" t="s">
        <v>19</v>
      </c>
      <c r="S224" s="1" t="s">
        <v>20</v>
      </c>
      <c r="T224" s="1" t="s">
        <v>21</v>
      </c>
      <c r="U224" s="1" t="s">
        <v>22</v>
      </c>
      <c r="V224" s="1" t="s">
        <v>23</v>
      </c>
      <c r="W224" s="1" t="s">
        <v>24</v>
      </c>
      <c r="X224" s="1">
        <v>2701</v>
      </c>
      <c r="Y224" s="1">
        <v>3005</v>
      </c>
      <c r="Z224" s="1" t="s">
        <v>24</v>
      </c>
      <c r="AA224" s="1" t="s">
        <v>24</v>
      </c>
      <c r="AB224" s="1" t="s">
        <v>24</v>
      </c>
      <c r="AC224" s="1" t="s">
        <v>24</v>
      </c>
      <c r="AD224" s="1" t="s">
        <v>24</v>
      </c>
      <c r="AE224" s="1" t="s">
        <v>24</v>
      </c>
      <c r="AF224" s="22"/>
    </row>
    <row r="225" spans="1:32" x14ac:dyDescent="0.2">
      <c r="A225" s="1">
        <v>1280</v>
      </c>
      <c r="B225" s="1" t="s">
        <v>849</v>
      </c>
      <c r="C225" s="5" t="s">
        <v>0</v>
      </c>
      <c r="D225" s="1" t="s">
        <v>850</v>
      </c>
      <c r="F225" s="1" t="s">
        <v>851</v>
      </c>
      <c r="G225" s="1" t="s">
        <v>851</v>
      </c>
      <c r="H225" s="1" t="s">
        <v>684</v>
      </c>
      <c r="I225" s="1" t="s">
        <v>16</v>
      </c>
      <c r="J225" s="1">
        <v>1</v>
      </c>
      <c r="K225" s="1">
        <v>1</v>
      </c>
      <c r="L225" s="1" t="s">
        <v>17</v>
      </c>
      <c r="M225" s="1" t="s">
        <v>852</v>
      </c>
      <c r="N225" s="1" t="s">
        <v>18</v>
      </c>
      <c r="O225" s="1">
        <v>2</v>
      </c>
      <c r="P225" s="1">
        <v>5</v>
      </c>
      <c r="R225" s="1" t="s">
        <v>19</v>
      </c>
      <c r="S225" s="1" t="s">
        <v>20</v>
      </c>
      <c r="T225" s="1" t="s">
        <v>21</v>
      </c>
      <c r="U225" s="1" t="s">
        <v>22</v>
      </c>
      <c r="V225" s="1" t="s">
        <v>24</v>
      </c>
      <c r="W225" s="1" t="s">
        <v>24</v>
      </c>
      <c r="X225" s="1">
        <v>2728</v>
      </c>
      <c r="Y225" s="1" t="s">
        <v>24</v>
      </c>
      <c r="Z225" s="1" t="s">
        <v>24</v>
      </c>
      <c r="AA225" s="1" t="s">
        <v>24</v>
      </c>
      <c r="AB225" s="1" t="s">
        <v>24</v>
      </c>
      <c r="AC225" s="1" t="s">
        <v>24</v>
      </c>
      <c r="AD225" s="1" t="s">
        <v>24</v>
      </c>
      <c r="AE225" s="1" t="s">
        <v>24</v>
      </c>
      <c r="AF225" s="22"/>
    </row>
    <row r="226" spans="1:32" x14ac:dyDescent="0.2">
      <c r="A226" s="1">
        <v>1281</v>
      </c>
      <c r="B226" s="1" t="s">
        <v>853</v>
      </c>
      <c r="C226" s="5" t="s">
        <v>0</v>
      </c>
      <c r="D226" s="1" t="s">
        <v>854</v>
      </c>
      <c r="E226" s="1" t="s">
        <v>855</v>
      </c>
      <c r="F226" s="1" t="s">
        <v>856</v>
      </c>
      <c r="G226" s="1" t="s">
        <v>857</v>
      </c>
      <c r="H226" s="1" t="s">
        <v>37</v>
      </c>
      <c r="I226" s="1" t="s">
        <v>16</v>
      </c>
      <c r="J226" s="1">
        <v>1</v>
      </c>
      <c r="K226" s="1">
        <v>4</v>
      </c>
      <c r="L226" s="1" t="s">
        <v>42</v>
      </c>
      <c r="M226" s="1" t="s">
        <v>18</v>
      </c>
      <c r="N226" s="1" t="s">
        <v>18</v>
      </c>
      <c r="O226" s="1">
        <v>3</v>
      </c>
      <c r="P226" s="1">
        <v>6</v>
      </c>
      <c r="R226" s="1" t="s">
        <v>19</v>
      </c>
      <c r="S226" s="1" t="s">
        <v>20</v>
      </c>
      <c r="T226" s="1" t="s">
        <v>21</v>
      </c>
      <c r="U226" s="1" t="s">
        <v>22</v>
      </c>
      <c r="V226" s="1" t="s">
        <v>24</v>
      </c>
      <c r="W226" s="1" t="s">
        <v>24</v>
      </c>
      <c r="X226" s="1">
        <v>2735</v>
      </c>
      <c r="Y226" s="1" t="s">
        <v>24</v>
      </c>
      <c r="Z226" s="1" t="s">
        <v>24</v>
      </c>
      <c r="AA226" s="1" t="s">
        <v>24</v>
      </c>
      <c r="AB226" s="1" t="s">
        <v>24</v>
      </c>
      <c r="AC226" s="1" t="s">
        <v>24</v>
      </c>
      <c r="AD226" s="1" t="s">
        <v>24</v>
      </c>
      <c r="AE226" s="1" t="s">
        <v>24</v>
      </c>
      <c r="AF226" s="22"/>
    </row>
    <row r="227" spans="1:32" x14ac:dyDescent="0.2">
      <c r="A227" s="1">
        <v>1284</v>
      </c>
      <c r="B227" s="1" t="s">
        <v>858</v>
      </c>
      <c r="C227" s="5" t="s">
        <v>0</v>
      </c>
      <c r="D227" s="1" t="s">
        <v>859</v>
      </c>
      <c r="E227" s="1" t="s">
        <v>860</v>
      </c>
      <c r="F227" s="1" t="s">
        <v>861</v>
      </c>
      <c r="G227" s="1" t="s">
        <v>861</v>
      </c>
      <c r="H227" s="1" t="s">
        <v>30</v>
      </c>
      <c r="I227" s="1" t="s">
        <v>16</v>
      </c>
      <c r="J227" s="1">
        <v>2</v>
      </c>
      <c r="K227" s="1">
        <v>12</v>
      </c>
      <c r="L227" s="1" t="s">
        <v>42</v>
      </c>
      <c r="M227" s="1" t="s">
        <v>18</v>
      </c>
      <c r="N227" s="1" t="s">
        <v>18</v>
      </c>
      <c r="O227" s="1">
        <v>3</v>
      </c>
      <c r="P227" s="1">
        <v>7</v>
      </c>
      <c r="Q227" s="7" t="s">
        <v>17633</v>
      </c>
      <c r="R227" s="1" t="s">
        <v>62</v>
      </c>
      <c r="S227" s="1" t="s">
        <v>63</v>
      </c>
      <c r="T227" s="1" t="s">
        <v>21</v>
      </c>
      <c r="U227" s="1" t="s">
        <v>22</v>
      </c>
      <c r="V227" s="1" t="s">
        <v>24</v>
      </c>
      <c r="W227" s="1" t="s">
        <v>64</v>
      </c>
      <c r="X227" s="1">
        <v>2720</v>
      </c>
      <c r="Y227" s="1">
        <v>1303</v>
      </c>
      <c r="Z227" s="1">
        <v>1307</v>
      </c>
      <c r="AA227" s="1">
        <v>2403</v>
      </c>
      <c r="AB227" s="1" t="s">
        <v>24</v>
      </c>
      <c r="AC227" s="1" t="s">
        <v>24</v>
      </c>
      <c r="AD227" s="1" t="s">
        <v>24</v>
      </c>
      <c r="AE227" s="1" t="s">
        <v>24</v>
      </c>
      <c r="AF227" s="22"/>
    </row>
    <row r="228" spans="1:32" x14ac:dyDescent="0.2">
      <c r="A228" s="1">
        <v>1286</v>
      </c>
      <c r="B228" s="1" t="s">
        <v>862</v>
      </c>
      <c r="C228" s="5" t="s">
        <v>0</v>
      </c>
      <c r="D228" s="1" t="s">
        <v>863</v>
      </c>
      <c r="E228" s="1" t="s">
        <v>864</v>
      </c>
      <c r="F228" s="1" t="s">
        <v>109</v>
      </c>
      <c r="G228" s="1" t="s">
        <v>110</v>
      </c>
      <c r="H228" s="1" t="s">
        <v>111</v>
      </c>
      <c r="I228" s="1" t="s">
        <v>16</v>
      </c>
      <c r="J228" s="1">
        <v>1</v>
      </c>
      <c r="K228" s="1">
        <v>6</v>
      </c>
      <c r="L228" s="1" t="s">
        <v>31</v>
      </c>
      <c r="M228" s="1" t="s">
        <v>18</v>
      </c>
      <c r="N228" s="1" t="s">
        <v>18</v>
      </c>
      <c r="O228" s="1">
        <v>3</v>
      </c>
      <c r="P228" s="1">
        <v>7</v>
      </c>
      <c r="Q228" s="7" t="s">
        <v>17633</v>
      </c>
      <c r="R228" s="1" t="s">
        <v>19</v>
      </c>
      <c r="S228" s="1" t="s">
        <v>20</v>
      </c>
      <c r="T228" s="1" t="s">
        <v>21</v>
      </c>
      <c r="U228" s="1" t="s">
        <v>22</v>
      </c>
      <c r="V228" s="1" t="s">
        <v>24</v>
      </c>
      <c r="W228" s="1" t="s">
        <v>24</v>
      </c>
      <c r="X228" s="1">
        <v>2727</v>
      </c>
      <c r="Y228" s="1">
        <v>2720</v>
      </c>
      <c r="Z228" s="1" t="s">
        <v>24</v>
      </c>
      <c r="AA228" s="1" t="s">
        <v>24</v>
      </c>
      <c r="AB228" s="1" t="s">
        <v>24</v>
      </c>
      <c r="AC228" s="1" t="s">
        <v>24</v>
      </c>
      <c r="AD228" s="1" t="s">
        <v>24</v>
      </c>
      <c r="AE228" s="1" t="s">
        <v>24</v>
      </c>
      <c r="AF228" s="22"/>
    </row>
    <row r="229" spans="1:32" x14ac:dyDescent="0.2">
      <c r="A229" s="1">
        <v>1287</v>
      </c>
      <c r="B229" s="1" t="s">
        <v>865</v>
      </c>
      <c r="C229" s="5" t="s">
        <v>0</v>
      </c>
      <c r="D229" s="1" t="s">
        <v>866</v>
      </c>
      <c r="E229" s="1" t="s">
        <v>867</v>
      </c>
      <c r="F229" s="1" t="s">
        <v>91</v>
      </c>
      <c r="G229" s="1" t="s">
        <v>61</v>
      </c>
      <c r="H229" s="1" t="s">
        <v>92</v>
      </c>
      <c r="I229" s="1" t="s">
        <v>16</v>
      </c>
      <c r="J229" s="1">
        <v>3</v>
      </c>
      <c r="K229" s="1">
        <v>3</v>
      </c>
      <c r="L229" s="1" t="s">
        <v>31</v>
      </c>
      <c r="M229" s="1" t="s">
        <v>18</v>
      </c>
      <c r="N229" s="1" t="s">
        <v>18</v>
      </c>
      <c r="O229" s="1">
        <v>3</v>
      </c>
      <c r="P229" s="1">
        <v>7</v>
      </c>
      <c r="Q229" s="7" t="s">
        <v>17633</v>
      </c>
      <c r="R229" s="1" t="s">
        <v>62</v>
      </c>
      <c r="S229" s="1" t="s">
        <v>63</v>
      </c>
      <c r="T229" s="1" t="s">
        <v>21</v>
      </c>
      <c r="U229" s="1" t="s">
        <v>22</v>
      </c>
      <c r="V229" s="1" t="s">
        <v>24</v>
      </c>
      <c r="W229" s="1" t="s">
        <v>24</v>
      </c>
      <c r="X229" s="1">
        <v>2800</v>
      </c>
      <c r="Y229" s="1">
        <v>3206</v>
      </c>
      <c r="Z229" s="1" t="s">
        <v>24</v>
      </c>
      <c r="AA229" s="1" t="s">
        <v>24</v>
      </c>
      <c r="AB229" s="1" t="s">
        <v>24</v>
      </c>
      <c r="AC229" s="1" t="s">
        <v>24</v>
      </c>
      <c r="AD229" s="1" t="s">
        <v>24</v>
      </c>
      <c r="AE229" s="1" t="s">
        <v>24</v>
      </c>
      <c r="AF229" s="22"/>
    </row>
    <row r="230" spans="1:32" x14ac:dyDescent="0.2">
      <c r="A230" s="1">
        <v>1296</v>
      </c>
      <c r="B230" s="1" t="s">
        <v>868</v>
      </c>
      <c r="C230" s="5" t="s">
        <v>0</v>
      </c>
      <c r="D230" s="1" t="s">
        <v>869</v>
      </c>
      <c r="E230" s="1" t="s">
        <v>870</v>
      </c>
      <c r="F230" s="1" t="s">
        <v>55</v>
      </c>
      <c r="G230" s="1" t="s">
        <v>56</v>
      </c>
      <c r="H230" s="1" t="s">
        <v>37</v>
      </c>
      <c r="I230" s="1" t="s">
        <v>16</v>
      </c>
      <c r="J230" s="1">
        <v>1</v>
      </c>
      <c r="K230" s="1">
        <v>4</v>
      </c>
      <c r="L230" s="1" t="s">
        <v>31</v>
      </c>
      <c r="M230" s="1" t="s">
        <v>18</v>
      </c>
      <c r="N230" s="1" t="s">
        <v>18</v>
      </c>
      <c r="O230" s="1">
        <v>3</v>
      </c>
      <c r="P230" s="1">
        <v>7</v>
      </c>
      <c r="Q230" s="7" t="s">
        <v>17633</v>
      </c>
      <c r="R230" s="1" t="s">
        <v>62</v>
      </c>
      <c r="S230" s="1" t="s">
        <v>20</v>
      </c>
      <c r="T230" s="1" t="s">
        <v>21</v>
      </c>
      <c r="U230" s="1" t="s">
        <v>22</v>
      </c>
      <c r="V230" s="1" t="s">
        <v>24</v>
      </c>
      <c r="W230" s="1" t="s">
        <v>24</v>
      </c>
      <c r="X230" s="1">
        <v>2700</v>
      </c>
      <c r="Y230" s="1" t="s">
        <v>24</v>
      </c>
      <c r="Z230" s="1" t="s">
        <v>24</v>
      </c>
      <c r="AA230" s="1" t="s">
        <v>24</v>
      </c>
      <c r="AB230" s="1" t="s">
        <v>24</v>
      </c>
      <c r="AC230" s="1" t="s">
        <v>24</v>
      </c>
      <c r="AD230" s="1" t="s">
        <v>24</v>
      </c>
      <c r="AE230" s="1" t="s">
        <v>24</v>
      </c>
      <c r="AF230" s="22"/>
    </row>
    <row r="231" spans="1:32" x14ac:dyDescent="0.2">
      <c r="A231" s="1">
        <v>1297</v>
      </c>
      <c r="B231" s="1" t="s">
        <v>871</v>
      </c>
      <c r="C231" s="5" t="s">
        <v>0</v>
      </c>
      <c r="D231" s="1" t="s">
        <v>872</v>
      </c>
      <c r="E231" s="1" t="s">
        <v>873</v>
      </c>
      <c r="F231" s="1" t="s">
        <v>874</v>
      </c>
      <c r="G231" s="1" t="s">
        <v>874</v>
      </c>
      <c r="H231" s="1" t="s">
        <v>30</v>
      </c>
      <c r="I231" s="1" t="s">
        <v>16</v>
      </c>
      <c r="J231" s="1">
        <v>1</v>
      </c>
      <c r="K231" s="1">
        <v>4</v>
      </c>
      <c r="L231" s="1" t="s">
        <v>42</v>
      </c>
      <c r="M231" s="1" t="s">
        <v>18</v>
      </c>
      <c r="N231" s="1" t="s">
        <v>18</v>
      </c>
      <c r="O231" s="1">
        <v>3</v>
      </c>
      <c r="P231" s="1">
        <v>6</v>
      </c>
      <c r="R231" s="1" t="s">
        <v>19</v>
      </c>
      <c r="S231" s="1" t="s">
        <v>20</v>
      </c>
      <c r="T231" s="1" t="s">
        <v>21</v>
      </c>
      <c r="U231" s="1" t="s">
        <v>22</v>
      </c>
      <c r="V231" s="1" t="s">
        <v>24</v>
      </c>
      <c r="W231" s="1" t="s">
        <v>24</v>
      </c>
      <c r="X231" s="1">
        <v>2738</v>
      </c>
      <c r="Y231" s="1">
        <v>3203</v>
      </c>
      <c r="Z231" s="1">
        <v>2921</v>
      </c>
      <c r="AA231" s="1" t="s">
        <v>24</v>
      </c>
      <c r="AB231" s="1" t="s">
        <v>24</v>
      </c>
      <c r="AC231" s="1" t="s">
        <v>24</v>
      </c>
      <c r="AD231" s="1" t="s">
        <v>24</v>
      </c>
      <c r="AE231" s="1" t="s">
        <v>24</v>
      </c>
      <c r="AF231" s="22"/>
    </row>
    <row r="232" spans="1:32" x14ac:dyDescent="0.2">
      <c r="A232" s="1">
        <v>1304</v>
      </c>
      <c r="B232" s="1" t="s">
        <v>875</v>
      </c>
      <c r="C232" s="5" t="s">
        <v>0</v>
      </c>
      <c r="D232" s="1" t="s">
        <v>876</v>
      </c>
      <c r="F232" s="1" t="s">
        <v>877</v>
      </c>
      <c r="G232" s="1" t="s">
        <v>877</v>
      </c>
      <c r="H232" s="1" t="s">
        <v>878</v>
      </c>
      <c r="I232" s="1" t="s">
        <v>16</v>
      </c>
      <c r="J232" s="1">
        <v>1</v>
      </c>
      <c r="K232" s="1">
        <v>6</v>
      </c>
      <c r="L232" s="1" t="s">
        <v>42</v>
      </c>
      <c r="M232" s="1" t="s">
        <v>18</v>
      </c>
      <c r="N232" s="1" t="s">
        <v>18</v>
      </c>
      <c r="O232" s="1">
        <v>2</v>
      </c>
      <c r="P232" s="1">
        <v>5</v>
      </c>
      <c r="R232" s="1" t="s">
        <v>19</v>
      </c>
      <c r="S232" s="1" t="s">
        <v>20</v>
      </c>
      <c r="T232" s="1" t="s">
        <v>21</v>
      </c>
      <c r="U232" s="1" t="s">
        <v>22</v>
      </c>
      <c r="V232" s="1" t="s">
        <v>23</v>
      </c>
      <c r="W232" s="1" t="s">
        <v>24</v>
      </c>
      <c r="X232" s="1">
        <v>2735</v>
      </c>
      <c r="Y232" s="1" t="s">
        <v>24</v>
      </c>
      <c r="Z232" s="1" t="s">
        <v>24</v>
      </c>
      <c r="AA232" s="1" t="s">
        <v>24</v>
      </c>
      <c r="AB232" s="1" t="s">
        <v>24</v>
      </c>
      <c r="AC232" s="1" t="s">
        <v>24</v>
      </c>
      <c r="AD232" s="1" t="s">
        <v>24</v>
      </c>
      <c r="AE232" s="1" t="s">
        <v>24</v>
      </c>
      <c r="AF232" s="22"/>
    </row>
    <row r="233" spans="1:32" x14ac:dyDescent="0.2">
      <c r="A233" s="1">
        <v>1305</v>
      </c>
      <c r="B233" s="1" t="s">
        <v>879</v>
      </c>
      <c r="C233" s="5" t="s">
        <v>0</v>
      </c>
      <c r="E233" s="1" t="s">
        <v>880</v>
      </c>
      <c r="F233" s="1" t="s">
        <v>159</v>
      </c>
      <c r="G233" s="1" t="s">
        <v>160</v>
      </c>
      <c r="H233" s="1" t="s">
        <v>37</v>
      </c>
      <c r="I233" s="1" t="s">
        <v>16</v>
      </c>
      <c r="J233" s="1">
        <v>2</v>
      </c>
      <c r="K233" s="1">
        <v>26</v>
      </c>
      <c r="L233" s="1" t="s">
        <v>42</v>
      </c>
      <c r="M233" s="1" t="s">
        <v>18</v>
      </c>
      <c r="N233" s="1" t="s">
        <v>18</v>
      </c>
      <c r="O233" s="1">
        <v>3</v>
      </c>
      <c r="P233" s="1">
        <v>7</v>
      </c>
      <c r="Q233" s="7" t="s">
        <v>17633</v>
      </c>
      <c r="R233" s="1" t="s">
        <v>881</v>
      </c>
      <c r="S233" s="1" t="s">
        <v>63</v>
      </c>
      <c r="T233" s="1" t="s">
        <v>21</v>
      </c>
      <c r="U233" s="1" t="s">
        <v>22</v>
      </c>
      <c r="V233" s="1" t="s">
        <v>23</v>
      </c>
      <c r="W233" s="1" t="s">
        <v>24</v>
      </c>
      <c r="X233" s="1">
        <v>2700</v>
      </c>
      <c r="Y233" s="1" t="s">
        <v>24</v>
      </c>
      <c r="Z233" s="1" t="s">
        <v>24</v>
      </c>
      <c r="AA233" s="1" t="s">
        <v>24</v>
      </c>
      <c r="AB233" s="1" t="s">
        <v>24</v>
      </c>
      <c r="AC233" s="1" t="s">
        <v>24</v>
      </c>
      <c r="AD233" s="1" t="s">
        <v>24</v>
      </c>
      <c r="AE233" s="1" t="s">
        <v>24</v>
      </c>
      <c r="AF233" s="22"/>
    </row>
    <row r="234" spans="1:32" x14ac:dyDescent="0.2">
      <c r="A234" s="1">
        <v>1310</v>
      </c>
      <c r="B234" s="1" t="s">
        <v>882</v>
      </c>
      <c r="C234" s="5" t="s">
        <v>0</v>
      </c>
      <c r="D234" s="1" t="s">
        <v>883</v>
      </c>
      <c r="F234" s="1" t="s">
        <v>884</v>
      </c>
      <c r="G234" s="1" t="s">
        <v>884</v>
      </c>
      <c r="H234" s="1" t="s">
        <v>885</v>
      </c>
      <c r="I234" s="1" t="s">
        <v>16</v>
      </c>
      <c r="J234" s="1">
        <v>1</v>
      </c>
      <c r="K234" s="1">
        <v>3</v>
      </c>
      <c r="L234" s="1" t="s">
        <v>42</v>
      </c>
      <c r="M234" s="1" t="s">
        <v>18</v>
      </c>
      <c r="N234" s="1" t="s">
        <v>18</v>
      </c>
      <c r="O234" s="1">
        <v>3</v>
      </c>
      <c r="P234" s="1">
        <v>5</v>
      </c>
      <c r="R234" s="1" t="s">
        <v>19</v>
      </c>
      <c r="S234" s="1" t="s">
        <v>20</v>
      </c>
      <c r="T234" s="1" t="s">
        <v>21</v>
      </c>
      <c r="U234" s="1" t="s">
        <v>22</v>
      </c>
      <c r="V234" s="1" t="s">
        <v>24</v>
      </c>
      <c r="W234" s="1" t="s">
        <v>24</v>
      </c>
      <c r="X234" s="1">
        <v>2700</v>
      </c>
      <c r="Y234" s="1" t="s">
        <v>24</v>
      </c>
      <c r="Z234" s="1" t="s">
        <v>24</v>
      </c>
      <c r="AA234" s="1" t="s">
        <v>24</v>
      </c>
      <c r="AB234" s="1" t="s">
        <v>24</v>
      </c>
      <c r="AC234" s="1" t="s">
        <v>24</v>
      </c>
      <c r="AD234" s="1" t="s">
        <v>24</v>
      </c>
      <c r="AE234" s="1" t="s">
        <v>24</v>
      </c>
      <c r="AF234" s="22"/>
    </row>
    <row r="235" spans="1:32" x14ac:dyDescent="0.2">
      <c r="A235" s="1">
        <v>1312</v>
      </c>
      <c r="B235" s="1" t="s">
        <v>886</v>
      </c>
      <c r="C235" s="5" t="s">
        <v>0</v>
      </c>
      <c r="D235" s="1" t="s">
        <v>887</v>
      </c>
      <c r="F235" s="1" t="s">
        <v>888</v>
      </c>
      <c r="G235" s="1" t="s">
        <v>889</v>
      </c>
      <c r="H235" s="1" t="s">
        <v>30</v>
      </c>
      <c r="I235" s="1" t="s">
        <v>16</v>
      </c>
      <c r="J235" s="1">
        <v>1</v>
      </c>
      <c r="K235" s="1">
        <v>1</v>
      </c>
      <c r="L235" s="1" t="s">
        <v>31</v>
      </c>
      <c r="M235" s="1" t="s">
        <v>18</v>
      </c>
      <c r="N235" s="1" t="s">
        <v>18</v>
      </c>
      <c r="O235" s="1">
        <v>3</v>
      </c>
      <c r="P235" s="1">
        <v>6</v>
      </c>
      <c r="R235" s="1" t="s">
        <v>19</v>
      </c>
      <c r="S235" s="1" t="s">
        <v>20</v>
      </c>
      <c r="T235" s="1" t="s">
        <v>21</v>
      </c>
      <c r="U235" s="1" t="s">
        <v>22</v>
      </c>
      <c r="V235" s="1" t="s">
        <v>23</v>
      </c>
      <c r="W235" s="1" t="s">
        <v>24</v>
      </c>
      <c r="X235" s="1">
        <v>3607</v>
      </c>
      <c r="Y235" s="1">
        <v>1304</v>
      </c>
      <c r="Z235" s="1" t="s">
        <v>24</v>
      </c>
      <c r="AA235" s="1" t="s">
        <v>24</v>
      </c>
      <c r="AB235" s="1" t="s">
        <v>24</v>
      </c>
      <c r="AC235" s="1" t="s">
        <v>24</v>
      </c>
      <c r="AD235" s="1" t="s">
        <v>24</v>
      </c>
      <c r="AE235" s="1" t="s">
        <v>24</v>
      </c>
      <c r="AF235" s="22"/>
    </row>
    <row r="236" spans="1:32" x14ac:dyDescent="0.2">
      <c r="A236" s="1">
        <v>1326</v>
      </c>
      <c r="B236" s="1" t="s">
        <v>890</v>
      </c>
      <c r="C236" s="5" t="s">
        <v>0</v>
      </c>
      <c r="D236" s="1" t="s">
        <v>891</v>
      </c>
      <c r="E236" s="1" t="s">
        <v>892</v>
      </c>
      <c r="F236" s="1" t="s">
        <v>60</v>
      </c>
      <c r="G236" s="1" t="s">
        <v>61</v>
      </c>
      <c r="H236" s="1" t="s">
        <v>30</v>
      </c>
      <c r="I236" s="1" t="s">
        <v>16</v>
      </c>
      <c r="J236" s="1">
        <v>1</v>
      </c>
      <c r="K236" s="1">
        <v>6</v>
      </c>
      <c r="L236" s="1" t="s">
        <v>31</v>
      </c>
      <c r="M236" s="1" t="s">
        <v>18</v>
      </c>
      <c r="N236" s="1" t="s">
        <v>18</v>
      </c>
      <c r="O236" s="1">
        <v>3</v>
      </c>
      <c r="P236" s="1">
        <v>7</v>
      </c>
      <c r="Q236" s="7" t="s">
        <v>17633</v>
      </c>
      <c r="R236" s="1" t="s">
        <v>19</v>
      </c>
      <c r="S236" s="1" t="s">
        <v>63</v>
      </c>
      <c r="T236" s="1" t="s">
        <v>21</v>
      </c>
      <c r="U236" s="1" t="s">
        <v>22</v>
      </c>
      <c r="V236" s="1" t="s">
        <v>24</v>
      </c>
      <c r="W236" s="1" t="s">
        <v>64</v>
      </c>
      <c r="X236" s="1">
        <v>1303</v>
      </c>
      <c r="Y236" s="1">
        <v>1312</v>
      </c>
      <c r="Z236" s="1">
        <v>1605</v>
      </c>
      <c r="AA236" s="1">
        <v>3002</v>
      </c>
      <c r="AB236" s="1" t="s">
        <v>24</v>
      </c>
      <c r="AC236" s="1" t="s">
        <v>24</v>
      </c>
      <c r="AD236" s="1" t="s">
        <v>24</v>
      </c>
      <c r="AE236" s="1" t="s">
        <v>24</v>
      </c>
      <c r="AF236" s="22"/>
    </row>
    <row r="237" spans="1:32" x14ac:dyDescent="0.2">
      <c r="A237" s="1">
        <v>1338</v>
      </c>
      <c r="B237" s="1" t="s">
        <v>893</v>
      </c>
      <c r="C237" s="5" t="s">
        <v>0</v>
      </c>
      <c r="D237" s="1" t="s">
        <v>894</v>
      </c>
      <c r="F237" s="1" t="s">
        <v>272</v>
      </c>
      <c r="G237" s="1" t="s">
        <v>61</v>
      </c>
      <c r="H237" s="1" t="s">
        <v>30</v>
      </c>
      <c r="I237" s="1" t="s">
        <v>16</v>
      </c>
      <c r="J237" s="1">
        <v>2</v>
      </c>
      <c r="K237" s="1">
        <v>6</v>
      </c>
      <c r="L237" s="1" t="s">
        <v>31</v>
      </c>
      <c r="M237" s="1" t="s">
        <v>18</v>
      </c>
      <c r="N237" s="1" t="s">
        <v>18</v>
      </c>
      <c r="O237" s="1">
        <v>3</v>
      </c>
      <c r="P237" s="1">
        <v>6</v>
      </c>
      <c r="R237" s="1" t="s">
        <v>62</v>
      </c>
      <c r="S237" s="1" t="s">
        <v>63</v>
      </c>
      <c r="T237" s="1" t="s">
        <v>21</v>
      </c>
      <c r="U237" s="1" t="s">
        <v>22</v>
      </c>
      <c r="V237" s="1" t="s">
        <v>24</v>
      </c>
      <c r="W237" s="1" t="s">
        <v>24</v>
      </c>
      <c r="X237" s="1">
        <v>1314</v>
      </c>
      <c r="Y237" s="1">
        <v>2712</v>
      </c>
      <c r="Z237" s="1">
        <v>2722</v>
      </c>
      <c r="AA237" s="1" t="s">
        <v>24</v>
      </c>
      <c r="AB237" s="1" t="s">
        <v>24</v>
      </c>
      <c r="AC237" s="1" t="s">
        <v>24</v>
      </c>
      <c r="AD237" s="1" t="s">
        <v>24</v>
      </c>
      <c r="AE237" s="1" t="s">
        <v>24</v>
      </c>
      <c r="AF237" s="22"/>
    </row>
    <row r="238" spans="1:32" x14ac:dyDescent="0.2">
      <c r="A238" s="1">
        <v>1356</v>
      </c>
      <c r="B238" s="1" t="s">
        <v>895</v>
      </c>
      <c r="C238" s="5" t="s">
        <v>0</v>
      </c>
      <c r="D238" s="1" t="s">
        <v>896</v>
      </c>
      <c r="F238" s="1" t="s">
        <v>897</v>
      </c>
      <c r="G238" s="1" t="s">
        <v>898</v>
      </c>
      <c r="H238" s="1" t="s">
        <v>899</v>
      </c>
      <c r="I238" s="1" t="s">
        <v>16</v>
      </c>
      <c r="J238" s="1">
        <v>1</v>
      </c>
      <c r="K238" s="1">
        <v>2</v>
      </c>
      <c r="L238" s="1" t="s">
        <v>17</v>
      </c>
      <c r="M238" s="1" t="s">
        <v>18</v>
      </c>
      <c r="N238" s="1" t="s">
        <v>18</v>
      </c>
      <c r="O238" s="1">
        <v>1</v>
      </c>
      <c r="P238" s="1">
        <v>3</v>
      </c>
      <c r="R238" s="1" t="s">
        <v>19</v>
      </c>
      <c r="S238" s="1" t="s">
        <v>20</v>
      </c>
      <c r="T238" s="1" t="s">
        <v>21</v>
      </c>
      <c r="U238" s="1" t="s">
        <v>22</v>
      </c>
      <c r="V238" s="1" t="s">
        <v>24</v>
      </c>
      <c r="W238" s="1" t="s">
        <v>24</v>
      </c>
      <c r="X238" s="1">
        <v>2700</v>
      </c>
      <c r="Y238" s="1" t="s">
        <v>24</v>
      </c>
      <c r="Z238" s="1" t="s">
        <v>24</v>
      </c>
      <c r="AA238" s="1" t="s">
        <v>24</v>
      </c>
      <c r="AB238" s="1" t="s">
        <v>24</v>
      </c>
      <c r="AC238" s="1" t="s">
        <v>24</v>
      </c>
      <c r="AD238" s="1" t="s">
        <v>24</v>
      </c>
      <c r="AE238" s="1" t="s">
        <v>24</v>
      </c>
      <c r="AF238" s="22"/>
    </row>
    <row r="239" spans="1:32" x14ac:dyDescent="0.2">
      <c r="A239" s="1">
        <v>1363</v>
      </c>
      <c r="B239" s="1" t="s">
        <v>900</v>
      </c>
      <c r="C239" s="5" t="s">
        <v>0</v>
      </c>
      <c r="D239" s="1" t="s">
        <v>901</v>
      </c>
      <c r="E239" s="1" t="s">
        <v>902</v>
      </c>
      <c r="F239" s="1" t="s">
        <v>91</v>
      </c>
      <c r="G239" s="1" t="s">
        <v>61</v>
      </c>
      <c r="H239" s="1" t="s">
        <v>92</v>
      </c>
      <c r="I239" s="1" t="s">
        <v>16</v>
      </c>
      <c r="J239" s="1">
        <v>3</v>
      </c>
      <c r="K239" s="1">
        <v>3</v>
      </c>
      <c r="L239" s="1" t="s">
        <v>31</v>
      </c>
      <c r="M239" s="1" t="s">
        <v>105</v>
      </c>
      <c r="N239" s="1" t="s">
        <v>18</v>
      </c>
      <c r="O239" s="1">
        <v>3</v>
      </c>
      <c r="P239" s="1">
        <v>6</v>
      </c>
      <c r="R239" s="1" t="s">
        <v>19</v>
      </c>
      <c r="S239" s="1" t="s">
        <v>63</v>
      </c>
      <c r="T239" s="1" t="s">
        <v>21</v>
      </c>
      <c r="U239" s="1" t="s">
        <v>22</v>
      </c>
      <c r="V239" s="1" t="s">
        <v>24</v>
      </c>
      <c r="W239" s="1" t="s">
        <v>24</v>
      </c>
      <c r="X239" s="1">
        <v>1103</v>
      </c>
      <c r="Y239" s="1">
        <v>2802</v>
      </c>
      <c r="Z239" s="1" t="s">
        <v>24</v>
      </c>
      <c r="AA239" s="1" t="s">
        <v>24</v>
      </c>
      <c r="AB239" s="1" t="s">
        <v>24</v>
      </c>
      <c r="AC239" s="1" t="s">
        <v>24</v>
      </c>
      <c r="AD239" s="1" t="s">
        <v>24</v>
      </c>
      <c r="AE239" s="1" t="s">
        <v>24</v>
      </c>
      <c r="AF239" s="22"/>
    </row>
    <row r="240" spans="1:32" x14ac:dyDescent="0.2">
      <c r="A240" s="1">
        <v>1368</v>
      </c>
      <c r="B240" s="1" t="s">
        <v>903</v>
      </c>
      <c r="C240" s="5" t="s">
        <v>0</v>
      </c>
      <c r="D240" s="1" t="s">
        <v>904</v>
      </c>
      <c r="E240" s="1" t="s">
        <v>905</v>
      </c>
      <c r="F240" s="1" t="s">
        <v>55</v>
      </c>
      <c r="G240" s="1" t="s">
        <v>56</v>
      </c>
      <c r="H240" s="1" t="s">
        <v>37</v>
      </c>
      <c r="I240" s="1" t="s">
        <v>16</v>
      </c>
      <c r="J240" s="1">
        <v>1</v>
      </c>
      <c r="K240" s="1">
        <v>12</v>
      </c>
      <c r="L240" s="1" t="s">
        <v>31</v>
      </c>
      <c r="M240" s="1" t="s">
        <v>18</v>
      </c>
      <c r="N240" s="1" t="s">
        <v>18</v>
      </c>
      <c r="O240" s="1">
        <v>3</v>
      </c>
      <c r="P240" s="1">
        <v>8</v>
      </c>
      <c r="Q240" s="7" t="s">
        <v>17633</v>
      </c>
      <c r="R240" s="1" t="s">
        <v>62</v>
      </c>
      <c r="S240" s="1" t="s">
        <v>20</v>
      </c>
      <c r="T240" s="1" t="s">
        <v>21</v>
      </c>
      <c r="U240" s="1" t="s">
        <v>22</v>
      </c>
      <c r="V240" s="1" t="s">
        <v>23</v>
      </c>
      <c r="W240" s="1" t="s">
        <v>24</v>
      </c>
      <c r="X240" s="1">
        <v>2728</v>
      </c>
      <c r="Y240" s="1">
        <v>1201</v>
      </c>
      <c r="Z240" s="1" t="s">
        <v>24</v>
      </c>
      <c r="AA240" s="1" t="s">
        <v>24</v>
      </c>
      <c r="AB240" s="1" t="s">
        <v>24</v>
      </c>
      <c r="AC240" s="1" t="s">
        <v>24</v>
      </c>
      <c r="AD240" s="1" t="s">
        <v>24</v>
      </c>
      <c r="AE240" s="1" t="s">
        <v>24</v>
      </c>
      <c r="AF240" s="22"/>
    </row>
    <row r="241" spans="1:32" x14ac:dyDescent="0.2">
      <c r="A241" s="1">
        <v>1371</v>
      </c>
      <c r="B241" s="1" t="s">
        <v>906</v>
      </c>
      <c r="C241" s="5" t="s">
        <v>0</v>
      </c>
      <c r="D241" s="1" t="s">
        <v>907</v>
      </c>
      <c r="E241" s="1" t="s">
        <v>908</v>
      </c>
      <c r="F241" s="1" t="s">
        <v>272</v>
      </c>
      <c r="G241" s="1" t="s">
        <v>61</v>
      </c>
      <c r="H241" s="1" t="s">
        <v>30</v>
      </c>
      <c r="I241" s="1" t="s">
        <v>16</v>
      </c>
      <c r="J241" s="1">
        <v>3</v>
      </c>
      <c r="K241" s="1">
        <v>6</v>
      </c>
      <c r="L241" s="1" t="s">
        <v>31</v>
      </c>
      <c r="M241" s="1" t="s">
        <v>18</v>
      </c>
      <c r="N241" s="1" t="s">
        <v>18</v>
      </c>
      <c r="O241" s="1">
        <v>3</v>
      </c>
      <c r="P241" s="1">
        <v>8</v>
      </c>
      <c r="Q241" s="7" t="s">
        <v>17633</v>
      </c>
      <c r="R241" s="1" t="s">
        <v>19</v>
      </c>
      <c r="S241" s="1" t="s">
        <v>63</v>
      </c>
      <c r="T241" s="1" t="s">
        <v>21</v>
      </c>
      <c r="U241" s="1" t="s">
        <v>22</v>
      </c>
      <c r="V241" s="1" t="s">
        <v>24</v>
      </c>
      <c r="W241" s="1" t="s">
        <v>24</v>
      </c>
      <c r="X241" s="1">
        <v>2800</v>
      </c>
      <c r="Y241" s="1" t="s">
        <v>24</v>
      </c>
      <c r="Z241" s="1" t="s">
        <v>24</v>
      </c>
      <c r="AA241" s="1" t="s">
        <v>24</v>
      </c>
      <c r="AB241" s="1" t="s">
        <v>24</v>
      </c>
      <c r="AC241" s="1" t="s">
        <v>24</v>
      </c>
      <c r="AD241" s="1" t="s">
        <v>24</v>
      </c>
      <c r="AE241" s="1" t="s">
        <v>24</v>
      </c>
      <c r="AF241" s="22"/>
    </row>
    <row r="242" spans="1:32" x14ac:dyDescent="0.2">
      <c r="A242" s="1">
        <v>1372</v>
      </c>
      <c r="B242" s="1" t="s">
        <v>909</v>
      </c>
      <c r="C242" s="5" t="s">
        <v>0</v>
      </c>
      <c r="D242" s="1" t="s">
        <v>910</v>
      </c>
      <c r="E242" s="1" t="s">
        <v>911</v>
      </c>
      <c r="F242" s="1" t="s">
        <v>912</v>
      </c>
      <c r="G242" s="1" t="s">
        <v>130</v>
      </c>
      <c r="H242" s="1" t="s">
        <v>168</v>
      </c>
      <c r="I242" s="1" t="s">
        <v>16</v>
      </c>
      <c r="J242" s="1">
        <v>1</v>
      </c>
      <c r="K242" s="1">
        <v>6</v>
      </c>
      <c r="L242" s="1" t="s">
        <v>31</v>
      </c>
      <c r="M242" s="1" t="s">
        <v>18</v>
      </c>
      <c r="N242" s="1" t="s">
        <v>18</v>
      </c>
      <c r="O242" s="1">
        <v>3</v>
      </c>
      <c r="P242" s="1">
        <v>6</v>
      </c>
      <c r="R242" s="1" t="s">
        <v>62</v>
      </c>
      <c r="S242" s="1" t="s">
        <v>63</v>
      </c>
      <c r="T242" s="1" t="s">
        <v>21</v>
      </c>
      <c r="U242" s="1" t="s">
        <v>22</v>
      </c>
      <c r="V242" s="1" t="s">
        <v>24</v>
      </c>
      <c r="W242" s="1" t="s">
        <v>24</v>
      </c>
      <c r="X242" s="1">
        <v>2705</v>
      </c>
      <c r="Y242" s="1">
        <v>2737</v>
      </c>
      <c r="Z242" s="1">
        <v>1314</v>
      </c>
      <c r="AA242" s="1" t="s">
        <v>24</v>
      </c>
      <c r="AB242" s="1" t="s">
        <v>24</v>
      </c>
      <c r="AC242" s="1" t="s">
        <v>24</v>
      </c>
      <c r="AD242" s="1" t="s">
        <v>24</v>
      </c>
      <c r="AE242" s="1" t="s">
        <v>24</v>
      </c>
      <c r="AF242" s="22"/>
    </row>
    <row r="243" spans="1:32" x14ac:dyDescent="0.2">
      <c r="A243" s="1">
        <v>1378</v>
      </c>
      <c r="B243" s="1" t="s">
        <v>913</v>
      </c>
      <c r="C243" s="5" t="s">
        <v>0</v>
      </c>
      <c r="D243" s="1" t="s">
        <v>914</v>
      </c>
      <c r="E243" s="1" t="s">
        <v>915</v>
      </c>
      <c r="F243" s="1" t="s">
        <v>916</v>
      </c>
      <c r="G243" s="1" t="s">
        <v>460</v>
      </c>
      <c r="H243" s="1" t="s">
        <v>461</v>
      </c>
      <c r="I243" s="1" t="s">
        <v>16</v>
      </c>
      <c r="J243" s="1">
        <v>1</v>
      </c>
      <c r="K243" s="1">
        <v>6</v>
      </c>
      <c r="L243" s="1" t="s">
        <v>42</v>
      </c>
      <c r="M243" s="1" t="s">
        <v>18</v>
      </c>
      <c r="N243" s="1" t="s">
        <v>18</v>
      </c>
      <c r="O243" s="1">
        <v>3</v>
      </c>
      <c r="P243" s="1">
        <v>6</v>
      </c>
      <c r="R243" s="1" t="s">
        <v>19</v>
      </c>
      <c r="S243" s="1" t="s">
        <v>20</v>
      </c>
      <c r="T243" s="1" t="s">
        <v>21</v>
      </c>
      <c r="U243" s="1" t="s">
        <v>22</v>
      </c>
      <c r="V243" s="1" t="s">
        <v>24</v>
      </c>
      <c r="W243" s="1" t="s">
        <v>24</v>
      </c>
      <c r="X243" s="1">
        <v>1300</v>
      </c>
      <c r="Y243" s="1" t="s">
        <v>24</v>
      </c>
      <c r="Z243" s="1" t="s">
        <v>24</v>
      </c>
      <c r="AA243" s="1" t="s">
        <v>24</v>
      </c>
      <c r="AB243" s="1" t="s">
        <v>24</v>
      </c>
      <c r="AC243" s="1" t="s">
        <v>24</v>
      </c>
      <c r="AD243" s="1" t="s">
        <v>24</v>
      </c>
      <c r="AE243" s="1" t="s">
        <v>24</v>
      </c>
      <c r="AF243" s="22"/>
    </row>
    <row r="244" spans="1:32" x14ac:dyDescent="0.2">
      <c r="A244" s="1">
        <v>1383</v>
      </c>
      <c r="B244" s="1" t="s">
        <v>917</v>
      </c>
      <c r="C244" s="5" t="s">
        <v>0</v>
      </c>
      <c r="D244" s="1" t="s">
        <v>918</v>
      </c>
      <c r="E244" s="1" t="s">
        <v>919</v>
      </c>
      <c r="F244" s="1" t="s">
        <v>920</v>
      </c>
      <c r="G244" s="1" t="s">
        <v>921</v>
      </c>
      <c r="H244" s="1" t="s">
        <v>92</v>
      </c>
      <c r="I244" s="1" t="s">
        <v>16</v>
      </c>
      <c r="J244" s="1">
        <v>1</v>
      </c>
      <c r="K244" s="1">
        <v>6</v>
      </c>
      <c r="L244" s="1" t="s">
        <v>31</v>
      </c>
      <c r="M244" s="1" t="s">
        <v>18</v>
      </c>
      <c r="N244" s="1" t="s">
        <v>18</v>
      </c>
      <c r="O244" s="1">
        <v>2</v>
      </c>
      <c r="P244" s="1">
        <v>6</v>
      </c>
      <c r="R244" s="1" t="s">
        <v>19</v>
      </c>
      <c r="S244" s="1" t="s">
        <v>20</v>
      </c>
      <c r="T244" s="1" t="s">
        <v>21</v>
      </c>
      <c r="U244" s="1" t="s">
        <v>22</v>
      </c>
      <c r="V244" s="1" t="s">
        <v>24</v>
      </c>
      <c r="W244" s="1" t="s">
        <v>24</v>
      </c>
      <c r="X244" s="1">
        <v>2737</v>
      </c>
      <c r="Y244" s="1">
        <v>1314</v>
      </c>
      <c r="Z244" s="1" t="s">
        <v>24</v>
      </c>
      <c r="AA244" s="1" t="s">
        <v>24</v>
      </c>
      <c r="AB244" s="1" t="s">
        <v>24</v>
      </c>
      <c r="AC244" s="1" t="s">
        <v>24</v>
      </c>
      <c r="AD244" s="1" t="s">
        <v>24</v>
      </c>
      <c r="AE244" s="1" t="s">
        <v>24</v>
      </c>
      <c r="AF244" s="22"/>
    </row>
    <row r="245" spans="1:32" x14ac:dyDescent="0.2">
      <c r="A245" s="1">
        <v>1384</v>
      </c>
      <c r="B245" s="1" t="s">
        <v>922</v>
      </c>
      <c r="C245" s="5" t="s">
        <v>0</v>
      </c>
      <c r="D245" s="1" t="s">
        <v>923</v>
      </c>
      <c r="E245" s="1" t="s">
        <v>924</v>
      </c>
      <c r="F245" s="1" t="s">
        <v>60</v>
      </c>
      <c r="G245" s="1" t="s">
        <v>61</v>
      </c>
      <c r="H245" s="1" t="s">
        <v>30</v>
      </c>
      <c r="I245" s="1" t="s">
        <v>16</v>
      </c>
      <c r="J245" s="1">
        <v>4</v>
      </c>
      <c r="K245" s="1">
        <v>3</v>
      </c>
      <c r="L245" s="1" t="s">
        <v>31</v>
      </c>
      <c r="M245" s="1" t="s">
        <v>18</v>
      </c>
      <c r="N245" s="1" t="s">
        <v>18</v>
      </c>
      <c r="O245" s="1">
        <v>3</v>
      </c>
      <c r="P245" s="1">
        <v>6</v>
      </c>
      <c r="R245" s="1" t="s">
        <v>19</v>
      </c>
      <c r="S245" s="1" t="s">
        <v>63</v>
      </c>
      <c r="T245" s="1" t="s">
        <v>21</v>
      </c>
      <c r="U245" s="1" t="s">
        <v>22</v>
      </c>
      <c r="V245" s="1" t="s">
        <v>23</v>
      </c>
      <c r="W245" s="1" t="s">
        <v>24</v>
      </c>
      <c r="X245" s="1">
        <v>3310</v>
      </c>
      <c r="Y245" s="1">
        <v>3616</v>
      </c>
      <c r="Z245" s="1">
        <v>3205</v>
      </c>
      <c r="AA245" s="1">
        <v>2805</v>
      </c>
      <c r="AB245" s="1">
        <v>1203</v>
      </c>
      <c r="AC245" s="1" t="s">
        <v>24</v>
      </c>
      <c r="AD245" s="1" t="s">
        <v>24</v>
      </c>
      <c r="AE245" s="1" t="s">
        <v>24</v>
      </c>
      <c r="AF245" s="22"/>
    </row>
    <row r="246" spans="1:32" x14ac:dyDescent="0.2">
      <c r="A246" s="1">
        <v>1388</v>
      </c>
      <c r="B246" s="1" t="s">
        <v>925</v>
      </c>
      <c r="C246" s="5" t="s">
        <v>0</v>
      </c>
      <c r="D246" s="1" t="s">
        <v>926</v>
      </c>
      <c r="E246" s="1" t="s">
        <v>927</v>
      </c>
      <c r="F246" s="1" t="s">
        <v>744</v>
      </c>
      <c r="G246" s="1" t="s">
        <v>744</v>
      </c>
      <c r="H246" s="1" t="s">
        <v>37</v>
      </c>
      <c r="I246" s="1" t="s">
        <v>16</v>
      </c>
      <c r="J246" s="1">
        <v>1</v>
      </c>
      <c r="K246" s="1">
        <v>6</v>
      </c>
      <c r="L246" s="1" t="s">
        <v>42</v>
      </c>
      <c r="M246" s="1" t="s">
        <v>18</v>
      </c>
      <c r="N246" s="1" t="s">
        <v>18</v>
      </c>
      <c r="O246" s="1">
        <v>3</v>
      </c>
      <c r="P246" s="1">
        <v>6</v>
      </c>
      <c r="R246" s="1" t="s">
        <v>19</v>
      </c>
      <c r="S246" s="1" t="s">
        <v>63</v>
      </c>
      <c r="T246" s="1" t="s">
        <v>21</v>
      </c>
      <c r="U246" s="1" t="s">
        <v>22</v>
      </c>
      <c r="V246" s="1" t="s">
        <v>24</v>
      </c>
      <c r="W246" s="1" t="s">
        <v>24</v>
      </c>
      <c r="X246" s="1">
        <v>1303</v>
      </c>
      <c r="Y246" s="1">
        <v>1304</v>
      </c>
      <c r="Z246" s="1">
        <v>1307</v>
      </c>
      <c r="AA246" s="1">
        <v>1312</v>
      </c>
      <c r="AB246" s="1" t="s">
        <v>24</v>
      </c>
      <c r="AC246" s="1" t="s">
        <v>24</v>
      </c>
      <c r="AD246" s="1" t="s">
        <v>24</v>
      </c>
      <c r="AE246" s="1" t="s">
        <v>24</v>
      </c>
      <c r="AF246" s="22"/>
    </row>
    <row r="247" spans="1:32" x14ac:dyDescent="0.2">
      <c r="A247" s="1">
        <v>1389</v>
      </c>
      <c r="B247" s="1" t="s">
        <v>928</v>
      </c>
      <c r="C247" s="5" t="s">
        <v>0</v>
      </c>
      <c r="D247" s="1" t="s">
        <v>929</v>
      </c>
      <c r="E247" s="1" t="s">
        <v>930</v>
      </c>
      <c r="F247" s="1" t="s">
        <v>91</v>
      </c>
      <c r="G247" s="1" t="s">
        <v>61</v>
      </c>
      <c r="H247" s="1" t="s">
        <v>92</v>
      </c>
      <c r="I247" s="1" t="s">
        <v>16</v>
      </c>
      <c r="J247" s="1">
        <v>60</v>
      </c>
      <c r="K247" s="1">
        <v>1</v>
      </c>
      <c r="L247" s="1" t="s">
        <v>31</v>
      </c>
      <c r="M247" s="1" t="s">
        <v>18</v>
      </c>
      <c r="N247" s="1" t="s">
        <v>18</v>
      </c>
      <c r="O247" s="1">
        <v>3</v>
      </c>
      <c r="P247" s="1">
        <v>8</v>
      </c>
      <c r="Q247" s="7" t="s">
        <v>17633</v>
      </c>
      <c r="R247" s="1" t="s">
        <v>19</v>
      </c>
      <c r="S247" s="1" t="s">
        <v>20</v>
      </c>
      <c r="T247" s="1" t="s">
        <v>21</v>
      </c>
      <c r="U247" s="1" t="s">
        <v>22</v>
      </c>
      <c r="V247" s="1" t="s">
        <v>24</v>
      </c>
      <c r="W247" s="1" t="s">
        <v>24</v>
      </c>
      <c r="X247" s="1">
        <v>2800</v>
      </c>
      <c r="Y247" s="1">
        <v>2728</v>
      </c>
      <c r="Z247" s="1">
        <v>1309</v>
      </c>
      <c r="AA247" s="1">
        <v>1312</v>
      </c>
      <c r="AB247" s="1" t="s">
        <v>24</v>
      </c>
      <c r="AC247" s="1" t="s">
        <v>24</v>
      </c>
      <c r="AD247" s="1" t="s">
        <v>24</v>
      </c>
      <c r="AE247" s="1" t="s">
        <v>24</v>
      </c>
      <c r="AF247" s="22"/>
    </row>
    <row r="248" spans="1:32" x14ac:dyDescent="0.2">
      <c r="A248" s="1">
        <v>1391</v>
      </c>
      <c r="B248" s="1" t="s">
        <v>931</v>
      </c>
      <c r="C248" s="5" t="s">
        <v>0</v>
      </c>
      <c r="D248" s="1" t="s">
        <v>932</v>
      </c>
      <c r="E248" s="1" t="s">
        <v>933</v>
      </c>
      <c r="F248" s="1" t="s">
        <v>155</v>
      </c>
      <c r="G248" s="1" t="s">
        <v>61</v>
      </c>
      <c r="H248" s="1" t="s">
        <v>37</v>
      </c>
      <c r="I248" s="1" t="s">
        <v>16</v>
      </c>
      <c r="J248" s="1">
        <v>1</v>
      </c>
      <c r="K248" s="1">
        <v>12</v>
      </c>
      <c r="L248" s="1" t="s">
        <v>31</v>
      </c>
      <c r="M248" s="1" t="s">
        <v>18</v>
      </c>
      <c r="N248" s="1" t="s">
        <v>18</v>
      </c>
      <c r="O248" s="1">
        <v>3</v>
      </c>
      <c r="P248" s="1">
        <v>6</v>
      </c>
      <c r="R248" s="1" t="s">
        <v>62</v>
      </c>
      <c r="S248" s="1" t="s">
        <v>63</v>
      </c>
      <c r="T248" s="1" t="s">
        <v>21</v>
      </c>
      <c r="U248" s="1" t="s">
        <v>22</v>
      </c>
      <c r="V248" s="1" t="s">
        <v>23</v>
      </c>
      <c r="W248" s="1" t="s">
        <v>24</v>
      </c>
      <c r="X248" s="1">
        <v>2738</v>
      </c>
      <c r="Y248" s="1">
        <v>3203</v>
      </c>
      <c r="Z248" s="1">
        <v>3205</v>
      </c>
      <c r="AA248" s="1">
        <v>1201</v>
      </c>
      <c r="AB248" s="1">
        <v>3204</v>
      </c>
      <c r="AC248" s="1" t="s">
        <v>24</v>
      </c>
      <c r="AD248" s="1" t="s">
        <v>24</v>
      </c>
      <c r="AE248" s="1" t="s">
        <v>24</v>
      </c>
      <c r="AF248" s="22"/>
    </row>
    <row r="249" spans="1:32" x14ac:dyDescent="0.2">
      <c r="A249" s="1">
        <v>1431</v>
      </c>
      <c r="B249" s="1" t="s">
        <v>934</v>
      </c>
      <c r="C249" s="5" t="s">
        <v>0</v>
      </c>
      <c r="D249" s="1" t="s">
        <v>935</v>
      </c>
      <c r="E249" s="1" t="s">
        <v>936</v>
      </c>
      <c r="F249" s="1" t="s">
        <v>221</v>
      </c>
      <c r="G249" s="1" t="s">
        <v>61</v>
      </c>
      <c r="H249" s="1" t="s">
        <v>222</v>
      </c>
      <c r="I249" s="1" t="s">
        <v>16</v>
      </c>
      <c r="J249" s="1">
        <v>4</v>
      </c>
      <c r="K249" s="1">
        <v>3</v>
      </c>
      <c r="L249" s="1" t="s">
        <v>31</v>
      </c>
      <c r="M249" s="1" t="s">
        <v>18</v>
      </c>
      <c r="N249" s="1" t="s">
        <v>18</v>
      </c>
      <c r="O249" s="1">
        <v>3</v>
      </c>
      <c r="P249" s="1">
        <v>6</v>
      </c>
      <c r="R249" s="1" t="s">
        <v>19</v>
      </c>
      <c r="S249" s="1" t="s">
        <v>63</v>
      </c>
      <c r="T249" s="1" t="s">
        <v>21</v>
      </c>
      <c r="U249" s="1" t="s">
        <v>22</v>
      </c>
      <c r="V249" s="1" t="s">
        <v>24</v>
      </c>
      <c r="W249" s="1" t="s">
        <v>24</v>
      </c>
      <c r="X249" s="1">
        <v>1300</v>
      </c>
      <c r="Y249" s="1">
        <v>2604</v>
      </c>
      <c r="Z249" s="1">
        <v>2611</v>
      </c>
      <c r="AA249" s="1">
        <v>2613</v>
      </c>
      <c r="AB249" s="1" t="s">
        <v>24</v>
      </c>
      <c r="AC249" s="1" t="s">
        <v>24</v>
      </c>
      <c r="AD249" s="1" t="s">
        <v>24</v>
      </c>
      <c r="AE249" s="1" t="s">
        <v>24</v>
      </c>
      <c r="AF249" s="22"/>
    </row>
    <row r="250" spans="1:32" x14ac:dyDescent="0.2">
      <c r="A250" s="1">
        <v>1438</v>
      </c>
      <c r="B250" s="1" t="s">
        <v>937</v>
      </c>
      <c r="C250" s="5" t="s">
        <v>0</v>
      </c>
      <c r="D250" s="1" t="s">
        <v>938</v>
      </c>
      <c r="E250" s="1" t="s">
        <v>939</v>
      </c>
      <c r="F250" s="1" t="s">
        <v>940</v>
      </c>
      <c r="G250" s="1" t="s">
        <v>130</v>
      </c>
      <c r="H250" s="1" t="s">
        <v>30</v>
      </c>
      <c r="I250" s="1" t="s">
        <v>16</v>
      </c>
      <c r="J250" s="1">
        <v>6</v>
      </c>
      <c r="K250" s="1">
        <v>3</v>
      </c>
      <c r="L250" s="1" t="s">
        <v>31</v>
      </c>
      <c r="M250" s="1" t="s">
        <v>18</v>
      </c>
      <c r="N250" s="1" t="s">
        <v>18</v>
      </c>
      <c r="O250" s="1">
        <v>3</v>
      </c>
      <c r="P250" s="1">
        <v>6</v>
      </c>
      <c r="R250" s="1" t="s">
        <v>19</v>
      </c>
      <c r="S250" s="1" t="s">
        <v>20</v>
      </c>
      <c r="T250" s="1" t="s">
        <v>21</v>
      </c>
      <c r="U250" s="1" t="s">
        <v>22</v>
      </c>
      <c r="V250" s="1" t="s">
        <v>24</v>
      </c>
      <c r="W250" s="1" t="s">
        <v>24</v>
      </c>
      <c r="X250" s="1">
        <v>1303</v>
      </c>
      <c r="Y250" s="1">
        <v>1308</v>
      </c>
      <c r="Z250" s="1">
        <v>1604</v>
      </c>
      <c r="AA250" s="1">
        <v>2704</v>
      </c>
      <c r="AB250" s="1">
        <v>2712</v>
      </c>
      <c r="AC250" s="1" t="s">
        <v>24</v>
      </c>
      <c r="AD250" s="1" t="s">
        <v>24</v>
      </c>
      <c r="AE250" s="1" t="s">
        <v>24</v>
      </c>
      <c r="AF250" s="22"/>
    </row>
    <row r="251" spans="1:32" x14ac:dyDescent="0.2">
      <c r="A251" s="1">
        <v>1448</v>
      </c>
      <c r="B251" s="1" t="s">
        <v>941</v>
      </c>
      <c r="C251" s="5" t="s">
        <v>0</v>
      </c>
      <c r="D251" s="1" t="s">
        <v>942</v>
      </c>
      <c r="E251" s="1" t="s">
        <v>943</v>
      </c>
      <c r="F251" s="1" t="s">
        <v>944</v>
      </c>
      <c r="G251" s="1" t="s">
        <v>944</v>
      </c>
      <c r="H251" s="1" t="s">
        <v>30</v>
      </c>
      <c r="I251" s="1" t="s">
        <v>16</v>
      </c>
      <c r="J251" s="1">
        <v>2</v>
      </c>
      <c r="K251" s="1">
        <v>6</v>
      </c>
      <c r="L251" s="1" t="s">
        <v>42</v>
      </c>
      <c r="M251" s="1" t="s">
        <v>18</v>
      </c>
      <c r="N251" s="1" t="s">
        <v>18</v>
      </c>
      <c r="O251" s="1">
        <v>2</v>
      </c>
      <c r="P251" s="1">
        <v>6</v>
      </c>
      <c r="R251" s="1" t="s">
        <v>19</v>
      </c>
      <c r="S251" s="1" t="s">
        <v>20</v>
      </c>
      <c r="T251" s="1" t="s">
        <v>21</v>
      </c>
      <c r="U251" s="1" t="s">
        <v>22</v>
      </c>
      <c r="V251" s="1" t="s">
        <v>24</v>
      </c>
      <c r="W251" s="1" t="s">
        <v>24</v>
      </c>
      <c r="X251" s="1">
        <v>1300</v>
      </c>
      <c r="Y251" s="1">
        <v>1305</v>
      </c>
      <c r="Z251" s="1" t="s">
        <v>24</v>
      </c>
      <c r="AA251" s="1" t="s">
        <v>24</v>
      </c>
      <c r="AB251" s="1" t="s">
        <v>24</v>
      </c>
      <c r="AC251" s="1" t="s">
        <v>24</v>
      </c>
      <c r="AD251" s="1" t="s">
        <v>24</v>
      </c>
      <c r="AE251" s="1" t="s">
        <v>24</v>
      </c>
      <c r="AF251" s="22"/>
    </row>
    <row r="252" spans="1:32" x14ac:dyDescent="0.2">
      <c r="A252" s="1">
        <v>1459</v>
      </c>
      <c r="B252" s="1" t="s">
        <v>945</v>
      </c>
      <c r="C252" s="5" t="s">
        <v>0</v>
      </c>
      <c r="D252" s="1" t="s">
        <v>946</v>
      </c>
      <c r="E252" s="1" t="s">
        <v>947</v>
      </c>
      <c r="F252" s="1" t="s">
        <v>948</v>
      </c>
      <c r="G252" s="1" t="s">
        <v>948</v>
      </c>
      <c r="H252" s="1" t="s">
        <v>86</v>
      </c>
      <c r="I252" s="1" t="s">
        <v>16</v>
      </c>
      <c r="J252" s="1">
        <v>1</v>
      </c>
      <c r="K252" s="1">
        <v>12</v>
      </c>
      <c r="L252" s="1" t="s">
        <v>42</v>
      </c>
      <c r="M252" s="1" t="s">
        <v>199</v>
      </c>
      <c r="N252" s="1" t="s">
        <v>18</v>
      </c>
      <c r="O252" s="1">
        <v>2</v>
      </c>
      <c r="P252" s="1">
        <v>6</v>
      </c>
      <c r="R252" s="1" t="s">
        <v>19</v>
      </c>
      <c r="S252" s="1" t="s">
        <v>20</v>
      </c>
      <c r="T252" s="1" t="s">
        <v>21</v>
      </c>
      <c r="U252" s="1" t="s">
        <v>22</v>
      </c>
      <c r="V252" s="1" t="s">
        <v>24</v>
      </c>
      <c r="W252" s="1" t="s">
        <v>24</v>
      </c>
      <c r="X252" s="1">
        <v>2730</v>
      </c>
      <c r="Y252" s="1">
        <v>1306</v>
      </c>
      <c r="Z252" s="1">
        <v>2741</v>
      </c>
      <c r="AA252" s="1">
        <v>2720</v>
      </c>
      <c r="AB252" s="1" t="s">
        <v>24</v>
      </c>
      <c r="AC252" s="1" t="s">
        <v>24</v>
      </c>
      <c r="AD252" s="1" t="s">
        <v>24</v>
      </c>
      <c r="AE252" s="1" t="s">
        <v>24</v>
      </c>
      <c r="AF252" s="22"/>
    </row>
    <row r="253" spans="1:32" x14ac:dyDescent="0.2">
      <c r="A253" s="1">
        <v>1464</v>
      </c>
      <c r="B253" s="1" t="s">
        <v>949</v>
      </c>
      <c r="C253" s="5" t="s">
        <v>0</v>
      </c>
      <c r="D253" s="1" t="s">
        <v>950</v>
      </c>
      <c r="E253" s="1" t="s">
        <v>951</v>
      </c>
      <c r="F253" s="1" t="s">
        <v>155</v>
      </c>
      <c r="G253" s="1" t="s">
        <v>61</v>
      </c>
      <c r="H253" s="1" t="s">
        <v>37</v>
      </c>
      <c r="I253" s="1" t="s">
        <v>16</v>
      </c>
      <c r="J253" s="1">
        <v>1</v>
      </c>
      <c r="K253" s="1">
        <v>8</v>
      </c>
      <c r="L253" s="1" t="s">
        <v>31</v>
      </c>
      <c r="M253" s="1" t="s">
        <v>18</v>
      </c>
      <c r="N253" s="1" t="s">
        <v>18</v>
      </c>
      <c r="O253" s="1">
        <v>3</v>
      </c>
      <c r="P253" s="1">
        <v>6</v>
      </c>
      <c r="R253" s="1" t="s">
        <v>19</v>
      </c>
      <c r="S253" s="1" t="s">
        <v>20</v>
      </c>
      <c r="T253" s="1" t="s">
        <v>21</v>
      </c>
      <c r="U253" s="1" t="s">
        <v>22</v>
      </c>
      <c r="V253" s="1" t="s">
        <v>23</v>
      </c>
      <c r="W253" s="1" t="s">
        <v>24</v>
      </c>
      <c r="X253" s="1">
        <v>2711</v>
      </c>
      <c r="Y253" s="1">
        <v>2706</v>
      </c>
      <c r="Z253" s="1">
        <v>2746</v>
      </c>
      <c r="AA253" s="1" t="s">
        <v>24</v>
      </c>
      <c r="AB253" s="1" t="s">
        <v>24</v>
      </c>
      <c r="AC253" s="1" t="s">
        <v>24</v>
      </c>
      <c r="AD253" s="1" t="s">
        <v>24</v>
      </c>
      <c r="AE253" s="1" t="s">
        <v>24</v>
      </c>
      <c r="AF253" s="22"/>
    </row>
    <row r="254" spans="1:32" x14ac:dyDescent="0.2">
      <c r="A254" s="1">
        <v>1478</v>
      </c>
      <c r="B254" s="1" t="s">
        <v>952</v>
      </c>
      <c r="C254" s="5" t="s">
        <v>0</v>
      </c>
      <c r="D254" s="1" t="s">
        <v>953</v>
      </c>
      <c r="E254" s="1" t="s">
        <v>954</v>
      </c>
      <c r="F254" s="1" t="s">
        <v>955</v>
      </c>
      <c r="G254" s="1" t="s">
        <v>955</v>
      </c>
      <c r="H254" s="1" t="s">
        <v>111</v>
      </c>
      <c r="I254" s="1" t="s">
        <v>16</v>
      </c>
      <c r="J254" s="1">
        <v>1</v>
      </c>
      <c r="K254" s="1">
        <v>12</v>
      </c>
      <c r="L254" s="1" t="s">
        <v>42</v>
      </c>
      <c r="M254" s="1" t="s">
        <v>18</v>
      </c>
      <c r="N254" s="1" t="s">
        <v>18</v>
      </c>
      <c r="O254" s="1">
        <v>3</v>
      </c>
      <c r="P254" s="1">
        <v>6</v>
      </c>
      <c r="R254" s="1" t="s">
        <v>62</v>
      </c>
      <c r="S254" s="1" t="s">
        <v>20</v>
      </c>
      <c r="T254" s="1" t="s">
        <v>21</v>
      </c>
      <c r="U254" s="1" t="s">
        <v>22</v>
      </c>
      <c r="V254" s="1" t="s">
        <v>23</v>
      </c>
      <c r="W254" s="1" t="s">
        <v>24</v>
      </c>
      <c r="X254" s="1">
        <v>2739</v>
      </c>
      <c r="Y254" s="1" t="s">
        <v>24</v>
      </c>
      <c r="Z254" s="1" t="s">
        <v>24</v>
      </c>
      <c r="AA254" s="1" t="s">
        <v>24</v>
      </c>
      <c r="AB254" s="1" t="s">
        <v>24</v>
      </c>
      <c r="AC254" s="1" t="s">
        <v>24</v>
      </c>
      <c r="AD254" s="1" t="s">
        <v>24</v>
      </c>
      <c r="AE254" s="1" t="s">
        <v>24</v>
      </c>
      <c r="AF254" s="22"/>
    </row>
    <row r="255" spans="1:32" x14ac:dyDescent="0.2">
      <c r="A255" s="1">
        <v>1493</v>
      </c>
      <c r="B255" s="1" t="s">
        <v>956</v>
      </c>
      <c r="C255" s="5" t="s">
        <v>0</v>
      </c>
      <c r="D255" s="1" t="s">
        <v>957</v>
      </c>
      <c r="E255" s="1" t="s">
        <v>958</v>
      </c>
      <c r="F255" s="1" t="s">
        <v>303</v>
      </c>
      <c r="G255" s="1" t="s">
        <v>61</v>
      </c>
      <c r="H255" s="1" t="s">
        <v>30</v>
      </c>
      <c r="I255" s="1" t="s">
        <v>16</v>
      </c>
      <c r="J255" s="1">
        <v>1</v>
      </c>
      <c r="K255" s="1">
        <v>4</v>
      </c>
      <c r="L255" s="1" t="s">
        <v>31</v>
      </c>
      <c r="M255" s="1" t="s">
        <v>18</v>
      </c>
      <c r="N255" s="1" t="s">
        <v>18</v>
      </c>
      <c r="O255" s="1">
        <v>3</v>
      </c>
      <c r="P255" s="1">
        <v>7</v>
      </c>
      <c r="Q255" s="7" t="s">
        <v>17633</v>
      </c>
      <c r="R255" s="1" t="s">
        <v>19</v>
      </c>
      <c r="S255" s="1" t="s">
        <v>20</v>
      </c>
      <c r="T255" s="1" t="s">
        <v>21</v>
      </c>
      <c r="U255" s="1" t="s">
        <v>22</v>
      </c>
      <c r="V255" s="1" t="s">
        <v>23</v>
      </c>
      <c r="W255" s="1" t="s">
        <v>24</v>
      </c>
      <c r="X255" s="1">
        <v>2705</v>
      </c>
      <c r="Y255" s="1" t="s">
        <v>24</v>
      </c>
      <c r="Z255" s="1" t="s">
        <v>24</v>
      </c>
      <c r="AA255" s="1" t="s">
        <v>24</v>
      </c>
      <c r="AB255" s="1" t="s">
        <v>24</v>
      </c>
      <c r="AC255" s="1" t="s">
        <v>24</v>
      </c>
      <c r="AD255" s="1" t="s">
        <v>24</v>
      </c>
      <c r="AE255" s="1" t="s">
        <v>24</v>
      </c>
      <c r="AF255" s="22"/>
    </row>
    <row r="256" spans="1:32" x14ac:dyDescent="0.2">
      <c r="A256" s="1">
        <v>1503</v>
      </c>
      <c r="B256" s="1" t="s">
        <v>959</v>
      </c>
      <c r="C256" s="5" t="s">
        <v>0</v>
      </c>
      <c r="D256" s="1" t="s">
        <v>960</v>
      </c>
      <c r="E256" s="1" t="s">
        <v>961</v>
      </c>
      <c r="F256" s="1" t="s">
        <v>109</v>
      </c>
      <c r="G256" s="1" t="s">
        <v>110</v>
      </c>
      <c r="H256" s="1" t="s">
        <v>111</v>
      </c>
      <c r="I256" s="1" t="s">
        <v>16</v>
      </c>
      <c r="J256" s="1">
        <v>2</v>
      </c>
      <c r="K256" s="1">
        <v>4</v>
      </c>
      <c r="L256" s="1" t="s">
        <v>31</v>
      </c>
      <c r="M256" s="1" t="s">
        <v>18</v>
      </c>
      <c r="N256" s="1" t="s">
        <v>18</v>
      </c>
      <c r="O256" s="1">
        <v>3</v>
      </c>
      <c r="P256" s="1">
        <v>7</v>
      </c>
      <c r="Q256" s="7" t="s">
        <v>17633</v>
      </c>
      <c r="R256" s="1" t="s">
        <v>19</v>
      </c>
      <c r="S256" s="1" t="s">
        <v>20</v>
      </c>
      <c r="T256" s="1" t="s">
        <v>21</v>
      </c>
      <c r="U256" s="1" t="s">
        <v>22</v>
      </c>
      <c r="V256" s="1" t="s">
        <v>24</v>
      </c>
      <c r="W256" s="1" t="s">
        <v>24</v>
      </c>
      <c r="X256" s="1">
        <v>2705</v>
      </c>
      <c r="Y256" s="1">
        <v>2736</v>
      </c>
      <c r="Z256" s="1" t="s">
        <v>24</v>
      </c>
      <c r="AA256" s="1" t="s">
        <v>24</v>
      </c>
      <c r="AB256" s="1" t="s">
        <v>24</v>
      </c>
      <c r="AC256" s="1" t="s">
        <v>24</v>
      </c>
      <c r="AD256" s="1" t="s">
        <v>24</v>
      </c>
      <c r="AE256" s="1" t="s">
        <v>24</v>
      </c>
      <c r="AF256" s="22"/>
    </row>
    <row r="257" spans="1:32" x14ac:dyDescent="0.2">
      <c r="A257" s="1">
        <v>1505</v>
      </c>
      <c r="B257" s="1" t="s">
        <v>962</v>
      </c>
      <c r="C257" s="5" t="s">
        <v>0</v>
      </c>
      <c r="D257" s="1" t="s">
        <v>963</v>
      </c>
      <c r="F257" s="1" t="s">
        <v>91</v>
      </c>
      <c r="G257" s="1" t="s">
        <v>61</v>
      </c>
      <c r="H257" s="1" t="s">
        <v>92</v>
      </c>
      <c r="I257" s="1" t="s">
        <v>16</v>
      </c>
      <c r="J257" s="1">
        <v>1</v>
      </c>
      <c r="K257" s="1">
        <v>6</v>
      </c>
      <c r="L257" s="1" t="s">
        <v>31</v>
      </c>
      <c r="M257" s="1" t="s">
        <v>105</v>
      </c>
      <c r="N257" s="1" t="s">
        <v>18</v>
      </c>
      <c r="O257" s="1">
        <v>3</v>
      </c>
      <c r="P257" s="1">
        <v>6</v>
      </c>
      <c r="R257" s="1" t="s">
        <v>19</v>
      </c>
      <c r="S257" s="1" t="s">
        <v>20</v>
      </c>
      <c r="T257" s="1" t="s">
        <v>21</v>
      </c>
      <c r="U257" s="1" t="s">
        <v>22</v>
      </c>
      <c r="V257" s="1" t="s">
        <v>24</v>
      </c>
      <c r="W257" s="1" t="s">
        <v>24</v>
      </c>
      <c r="X257" s="1">
        <v>2731</v>
      </c>
      <c r="Y257" s="1" t="s">
        <v>24</v>
      </c>
      <c r="Z257" s="1" t="s">
        <v>24</v>
      </c>
      <c r="AA257" s="1" t="s">
        <v>24</v>
      </c>
      <c r="AB257" s="1" t="s">
        <v>24</v>
      </c>
      <c r="AC257" s="1" t="s">
        <v>24</v>
      </c>
      <c r="AD257" s="1" t="s">
        <v>24</v>
      </c>
      <c r="AE257" s="1" t="s">
        <v>24</v>
      </c>
      <c r="AF257" s="22" t="s">
        <v>17679</v>
      </c>
    </row>
    <row r="258" spans="1:32" x14ac:dyDescent="0.2">
      <c r="A258" s="1">
        <v>1508</v>
      </c>
      <c r="B258" s="1" t="s">
        <v>964</v>
      </c>
      <c r="C258" s="5" t="s">
        <v>0</v>
      </c>
      <c r="D258" s="1" t="s">
        <v>965</v>
      </c>
      <c r="E258" s="1" t="s">
        <v>966</v>
      </c>
      <c r="F258" s="1" t="s">
        <v>221</v>
      </c>
      <c r="G258" s="1" t="s">
        <v>61</v>
      </c>
      <c r="H258" s="1" t="s">
        <v>222</v>
      </c>
      <c r="I258" s="1" t="s">
        <v>16</v>
      </c>
      <c r="J258" s="1">
        <v>14</v>
      </c>
      <c r="K258" s="1">
        <v>2</v>
      </c>
      <c r="L258" s="1" t="s">
        <v>31</v>
      </c>
      <c r="M258" s="1" t="s">
        <v>18</v>
      </c>
      <c r="N258" s="1" t="s">
        <v>18</v>
      </c>
      <c r="O258" s="1">
        <v>3</v>
      </c>
      <c r="P258" s="1">
        <v>7</v>
      </c>
      <c r="Q258" s="7" t="s">
        <v>17633</v>
      </c>
      <c r="R258" s="1" t="s">
        <v>62</v>
      </c>
      <c r="S258" s="1" t="s">
        <v>20</v>
      </c>
      <c r="T258" s="1" t="s">
        <v>21</v>
      </c>
      <c r="U258" s="1" t="s">
        <v>22</v>
      </c>
      <c r="V258" s="1" t="s">
        <v>24</v>
      </c>
      <c r="W258" s="1" t="s">
        <v>24</v>
      </c>
      <c r="X258" s="1">
        <v>1306</v>
      </c>
      <c r="Y258" s="1">
        <v>2730</v>
      </c>
      <c r="Z258" s="1" t="s">
        <v>24</v>
      </c>
      <c r="AA258" s="1" t="s">
        <v>24</v>
      </c>
      <c r="AB258" s="1" t="s">
        <v>24</v>
      </c>
      <c r="AC258" s="1" t="s">
        <v>24</v>
      </c>
      <c r="AD258" s="1" t="s">
        <v>24</v>
      </c>
      <c r="AE258" s="1" t="s">
        <v>24</v>
      </c>
      <c r="AF258" s="22"/>
    </row>
    <row r="259" spans="1:32" x14ac:dyDescent="0.2">
      <c r="A259" s="1">
        <v>1510</v>
      </c>
      <c r="B259" s="1" t="s">
        <v>967</v>
      </c>
      <c r="C259" s="5" t="s">
        <v>0</v>
      </c>
      <c r="D259" s="1" t="s">
        <v>968</v>
      </c>
      <c r="E259" s="1" t="s">
        <v>969</v>
      </c>
      <c r="F259" s="1" t="s">
        <v>970</v>
      </c>
      <c r="G259" s="1" t="s">
        <v>36</v>
      </c>
      <c r="H259" s="1" t="s">
        <v>30</v>
      </c>
      <c r="I259" s="1" t="s">
        <v>16</v>
      </c>
      <c r="J259" s="1">
        <v>1</v>
      </c>
      <c r="K259" s="1">
        <v>6</v>
      </c>
      <c r="L259" s="1" t="s">
        <v>31</v>
      </c>
      <c r="M259" s="1" t="s">
        <v>18</v>
      </c>
      <c r="N259" s="1" t="s">
        <v>18</v>
      </c>
      <c r="O259" s="1">
        <v>3</v>
      </c>
      <c r="P259" s="1">
        <v>7</v>
      </c>
      <c r="Q259" s="7" t="s">
        <v>17633</v>
      </c>
      <c r="R259" s="1" t="s">
        <v>62</v>
      </c>
      <c r="S259" s="1" t="s">
        <v>20</v>
      </c>
      <c r="T259" s="1" t="s">
        <v>21</v>
      </c>
      <c r="U259" s="1" t="s">
        <v>22</v>
      </c>
      <c r="V259" s="1" t="s">
        <v>23</v>
      </c>
      <c r="W259" s="1" t="s">
        <v>24</v>
      </c>
      <c r="X259" s="1">
        <v>2730</v>
      </c>
      <c r="Y259" s="1">
        <v>2720</v>
      </c>
      <c r="Z259" s="1" t="s">
        <v>24</v>
      </c>
      <c r="AA259" s="1" t="s">
        <v>24</v>
      </c>
      <c r="AB259" s="1" t="s">
        <v>24</v>
      </c>
      <c r="AC259" s="1" t="s">
        <v>24</v>
      </c>
      <c r="AD259" s="1" t="s">
        <v>24</v>
      </c>
      <c r="AE259" s="1" t="s">
        <v>24</v>
      </c>
      <c r="AF259" s="22"/>
    </row>
    <row r="260" spans="1:32" x14ac:dyDescent="0.2">
      <c r="A260" s="1">
        <v>1512</v>
      </c>
      <c r="B260" s="1" t="s">
        <v>971</v>
      </c>
      <c r="C260" s="5" t="s">
        <v>0</v>
      </c>
      <c r="D260" s="1" t="s">
        <v>972</v>
      </c>
      <c r="E260" s="1" t="s">
        <v>973</v>
      </c>
      <c r="F260" s="1" t="s">
        <v>517</v>
      </c>
      <c r="G260" s="1" t="s">
        <v>36</v>
      </c>
      <c r="H260" s="1" t="s">
        <v>30</v>
      </c>
      <c r="I260" s="1" t="s">
        <v>16</v>
      </c>
      <c r="J260" s="1">
        <v>2</v>
      </c>
      <c r="K260" s="1">
        <v>10</v>
      </c>
      <c r="L260" s="1" t="s">
        <v>31</v>
      </c>
      <c r="M260" s="1" t="s">
        <v>18</v>
      </c>
      <c r="N260" s="1" t="s">
        <v>18</v>
      </c>
      <c r="O260" s="1">
        <v>3</v>
      </c>
      <c r="P260" s="1">
        <v>7</v>
      </c>
      <c r="Q260" s="7" t="s">
        <v>17633</v>
      </c>
      <c r="R260" s="1" t="s">
        <v>62</v>
      </c>
      <c r="S260" s="1" t="s">
        <v>20</v>
      </c>
      <c r="T260" s="1" t="s">
        <v>21</v>
      </c>
      <c r="U260" s="1" t="s">
        <v>22</v>
      </c>
      <c r="V260" s="1" t="s">
        <v>24</v>
      </c>
      <c r="W260" s="1" t="s">
        <v>24</v>
      </c>
      <c r="X260" s="1">
        <v>1306</v>
      </c>
      <c r="Y260" s="1">
        <v>2730</v>
      </c>
      <c r="Z260" s="1" t="s">
        <v>24</v>
      </c>
      <c r="AA260" s="1" t="s">
        <v>24</v>
      </c>
      <c r="AB260" s="1" t="s">
        <v>24</v>
      </c>
      <c r="AC260" s="1" t="s">
        <v>24</v>
      </c>
      <c r="AD260" s="1" t="s">
        <v>24</v>
      </c>
      <c r="AE260" s="1" t="s">
        <v>24</v>
      </c>
      <c r="AF260" s="22"/>
    </row>
    <row r="261" spans="1:32" x14ac:dyDescent="0.2">
      <c r="A261" s="1">
        <v>1521</v>
      </c>
      <c r="B261" s="1" t="s">
        <v>974</v>
      </c>
      <c r="C261" s="5" t="s">
        <v>0</v>
      </c>
      <c r="D261" s="1" t="s">
        <v>975</v>
      </c>
      <c r="E261" s="1" t="s">
        <v>976</v>
      </c>
      <c r="F261" s="1" t="s">
        <v>190</v>
      </c>
      <c r="G261" s="1" t="s">
        <v>130</v>
      </c>
      <c r="H261" s="1" t="s">
        <v>30</v>
      </c>
      <c r="I261" s="1" t="s">
        <v>16</v>
      </c>
      <c r="J261" s="1">
        <v>1</v>
      </c>
      <c r="K261" s="1">
        <v>6</v>
      </c>
      <c r="L261" s="1" t="s">
        <v>31</v>
      </c>
      <c r="M261" s="1" t="s">
        <v>18</v>
      </c>
      <c r="N261" s="1" t="s">
        <v>18</v>
      </c>
      <c r="O261" s="1">
        <v>3</v>
      </c>
      <c r="P261" s="1">
        <v>7</v>
      </c>
      <c r="Q261" s="7" t="s">
        <v>17633</v>
      </c>
      <c r="R261" s="1" t="s">
        <v>19</v>
      </c>
      <c r="S261" s="1" t="s">
        <v>20</v>
      </c>
      <c r="T261" s="1" t="s">
        <v>21</v>
      </c>
      <c r="U261" s="1" t="s">
        <v>22</v>
      </c>
      <c r="V261" s="1" t="s">
        <v>23</v>
      </c>
      <c r="W261" s="1" t="s">
        <v>24</v>
      </c>
      <c r="X261" s="1">
        <v>2741</v>
      </c>
      <c r="Y261" s="1">
        <v>2705</v>
      </c>
      <c r="Z261" s="1" t="s">
        <v>24</v>
      </c>
      <c r="AA261" s="1" t="s">
        <v>24</v>
      </c>
      <c r="AB261" s="1" t="s">
        <v>24</v>
      </c>
      <c r="AC261" s="1" t="s">
        <v>24</v>
      </c>
      <c r="AD261" s="1" t="s">
        <v>24</v>
      </c>
      <c r="AE261" s="1" t="s">
        <v>24</v>
      </c>
      <c r="AF261" s="22"/>
    </row>
    <row r="262" spans="1:32" x14ac:dyDescent="0.2">
      <c r="A262" s="1">
        <v>1533</v>
      </c>
      <c r="B262" s="1" t="s">
        <v>977</v>
      </c>
      <c r="C262" s="5" t="s">
        <v>0</v>
      </c>
      <c r="D262" s="1" t="s">
        <v>978</v>
      </c>
      <c r="E262" s="1" t="s">
        <v>979</v>
      </c>
      <c r="F262" s="1" t="s">
        <v>272</v>
      </c>
      <c r="G262" s="1" t="s">
        <v>61</v>
      </c>
      <c r="H262" s="1" t="s">
        <v>30</v>
      </c>
      <c r="I262" s="1" t="s">
        <v>16</v>
      </c>
      <c r="J262" s="1">
        <v>3</v>
      </c>
      <c r="K262" s="1">
        <v>4</v>
      </c>
      <c r="L262" s="1" t="s">
        <v>31</v>
      </c>
      <c r="M262" s="1" t="s">
        <v>18</v>
      </c>
      <c r="N262" s="1" t="s">
        <v>18</v>
      </c>
      <c r="O262" s="1">
        <v>3</v>
      </c>
      <c r="P262" s="1">
        <v>8</v>
      </c>
      <c r="Q262" s="7" t="s">
        <v>17633</v>
      </c>
      <c r="R262" s="1" t="s">
        <v>19</v>
      </c>
      <c r="S262" s="1" t="s">
        <v>63</v>
      </c>
      <c r="T262" s="1" t="s">
        <v>21</v>
      </c>
      <c r="U262" s="1" t="s">
        <v>22</v>
      </c>
      <c r="V262" s="1" t="s">
        <v>24</v>
      </c>
      <c r="W262" s="1" t="s">
        <v>24</v>
      </c>
      <c r="X262" s="1">
        <v>3100</v>
      </c>
      <c r="Y262" s="1">
        <v>1500</v>
      </c>
      <c r="Z262" s="1">
        <v>2102</v>
      </c>
      <c r="AA262" s="1">
        <v>2103</v>
      </c>
      <c r="AB262" s="1">
        <v>1600</v>
      </c>
      <c r="AC262" s="1" t="s">
        <v>24</v>
      </c>
      <c r="AD262" s="1" t="s">
        <v>24</v>
      </c>
      <c r="AE262" s="1" t="s">
        <v>24</v>
      </c>
      <c r="AF262" s="22"/>
    </row>
    <row r="263" spans="1:32" x14ac:dyDescent="0.2">
      <c r="A263" s="1">
        <v>1534</v>
      </c>
      <c r="B263" s="1" t="s">
        <v>980</v>
      </c>
      <c r="C263" s="5" t="s">
        <v>0</v>
      </c>
      <c r="D263" s="1" t="s">
        <v>981</v>
      </c>
      <c r="E263" s="1" t="s">
        <v>982</v>
      </c>
      <c r="F263" s="1" t="s">
        <v>751</v>
      </c>
      <c r="G263" s="1" t="s">
        <v>36</v>
      </c>
      <c r="H263" s="1" t="s">
        <v>37</v>
      </c>
      <c r="I263" s="1" t="s">
        <v>16</v>
      </c>
      <c r="J263" s="1">
        <v>1</v>
      </c>
      <c r="K263" s="1">
        <v>8</v>
      </c>
      <c r="L263" s="1" t="s">
        <v>31</v>
      </c>
      <c r="M263" s="1" t="s">
        <v>18</v>
      </c>
      <c r="N263" s="1" t="s">
        <v>18</v>
      </c>
      <c r="O263" s="1">
        <v>3</v>
      </c>
      <c r="P263" s="1">
        <v>7</v>
      </c>
      <c r="Q263" s="7" t="s">
        <v>17633</v>
      </c>
      <c r="R263" s="1" t="s">
        <v>19</v>
      </c>
      <c r="S263" s="1" t="s">
        <v>20</v>
      </c>
      <c r="T263" s="1" t="s">
        <v>21</v>
      </c>
      <c r="U263" s="1" t="s">
        <v>22</v>
      </c>
      <c r="V263" s="1" t="s">
        <v>24</v>
      </c>
      <c r="W263" s="1" t="s">
        <v>24</v>
      </c>
      <c r="X263" s="1">
        <v>1303</v>
      </c>
      <c r="Y263" s="1">
        <v>1307</v>
      </c>
      <c r="Z263" s="1">
        <v>1308</v>
      </c>
      <c r="AA263" s="1" t="s">
        <v>24</v>
      </c>
      <c r="AB263" s="1" t="s">
        <v>24</v>
      </c>
      <c r="AC263" s="1" t="s">
        <v>24</v>
      </c>
      <c r="AD263" s="1" t="s">
        <v>24</v>
      </c>
      <c r="AE263" s="1" t="s">
        <v>24</v>
      </c>
      <c r="AF263" s="22"/>
    </row>
    <row r="264" spans="1:32" x14ac:dyDescent="0.2">
      <c r="A264" s="1">
        <v>1536</v>
      </c>
      <c r="B264" s="1" t="s">
        <v>983</v>
      </c>
      <c r="C264" s="5" t="s">
        <v>0</v>
      </c>
      <c r="D264" s="1" t="s">
        <v>984</v>
      </c>
      <c r="E264" s="1" t="s">
        <v>985</v>
      </c>
      <c r="F264" s="1" t="s">
        <v>221</v>
      </c>
      <c r="G264" s="1" t="s">
        <v>61</v>
      </c>
      <c r="H264" s="1" t="s">
        <v>222</v>
      </c>
      <c r="I264" s="1" t="s">
        <v>16</v>
      </c>
      <c r="J264" s="1">
        <v>6</v>
      </c>
      <c r="K264" s="1">
        <v>3</v>
      </c>
      <c r="L264" s="1" t="s">
        <v>31</v>
      </c>
      <c r="M264" s="1" t="s">
        <v>18</v>
      </c>
      <c r="N264" s="1" t="s">
        <v>18</v>
      </c>
      <c r="O264" s="1">
        <v>3</v>
      </c>
      <c r="P264" s="1">
        <v>6</v>
      </c>
      <c r="R264" s="1" t="s">
        <v>19</v>
      </c>
      <c r="S264" s="1" t="s">
        <v>63</v>
      </c>
      <c r="T264" s="1" t="s">
        <v>21</v>
      </c>
      <c r="U264" s="1" t="s">
        <v>22</v>
      </c>
      <c r="V264" s="1" t="s">
        <v>24</v>
      </c>
      <c r="W264" s="1" t="s">
        <v>64</v>
      </c>
      <c r="X264" s="1">
        <v>3005</v>
      </c>
      <c r="Y264" s="1" t="s">
        <v>24</v>
      </c>
      <c r="Z264" s="1" t="s">
        <v>24</v>
      </c>
      <c r="AA264" s="1" t="s">
        <v>24</v>
      </c>
      <c r="AB264" s="1" t="s">
        <v>24</v>
      </c>
      <c r="AC264" s="1" t="s">
        <v>24</v>
      </c>
      <c r="AD264" s="1" t="s">
        <v>24</v>
      </c>
      <c r="AE264" s="1" t="s">
        <v>24</v>
      </c>
      <c r="AF264" s="22"/>
    </row>
    <row r="265" spans="1:32" x14ac:dyDescent="0.2">
      <c r="A265" s="1">
        <v>1540</v>
      </c>
      <c r="B265" s="1" t="s">
        <v>986</v>
      </c>
      <c r="C265" s="5" t="s">
        <v>0</v>
      </c>
      <c r="D265" s="1" t="s">
        <v>987</v>
      </c>
      <c r="E265" s="1" t="s">
        <v>988</v>
      </c>
      <c r="F265" s="1" t="s">
        <v>155</v>
      </c>
      <c r="G265" s="1" t="s">
        <v>61</v>
      </c>
      <c r="H265" s="1" t="s">
        <v>37</v>
      </c>
      <c r="I265" s="1" t="s">
        <v>16</v>
      </c>
      <c r="J265" s="1">
        <v>1</v>
      </c>
      <c r="K265" s="1">
        <v>12</v>
      </c>
      <c r="L265" s="1" t="s">
        <v>31</v>
      </c>
      <c r="M265" s="1" t="s">
        <v>18</v>
      </c>
      <c r="N265" s="1" t="s">
        <v>18</v>
      </c>
      <c r="O265" s="1">
        <v>2</v>
      </c>
      <c r="P265" s="1">
        <v>7</v>
      </c>
      <c r="Q265" s="7" t="s">
        <v>17633</v>
      </c>
      <c r="R265" s="1" t="s">
        <v>19</v>
      </c>
      <c r="S265" s="1" t="s">
        <v>63</v>
      </c>
      <c r="T265" s="1" t="s">
        <v>21</v>
      </c>
      <c r="U265" s="1" t="s">
        <v>22</v>
      </c>
      <c r="V265" s="1" t="s">
        <v>23</v>
      </c>
      <c r="W265" s="1" t="s">
        <v>24</v>
      </c>
      <c r="X265" s="1">
        <v>1706</v>
      </c>
      <c r="Y265" s="1">
        <v>2718</v>
      </c>
      <c r="Z265" s="1" t="s">
        <v>24</v>
      </c>
      <c r="AA265" s="1" t="s">
        <v>24</v>
      </c>
      <c r="AB265" s="1" t="s">
        <v>24</v>
      </c>
      <c r="AC265" s="1" t="s">
        <v>24</v>
      </c>
      <c r="AD265" s="1" t="s">
        <v>24</v>
      </c>
      <c r="AE265" s="1" t="s">
        <v>24</v>
      </c>
      <c r="AF265" s="22"/>
    </row>
    <row r="266" spans="1:32" x14ac:dyDescent="0.2">
      <c r="A266" s="1">
        <v>1543</v>
      </c>
      <c r="B266" s="1" t="s">
        <v>989</v>
      </c>
      <c r="C266" s="5" t="s">
        <v>0</v>
      </c>
      <c r="D266" s="1" t="s">
        <v>990</v>
      </c>
      <c r="E266" s="1" t="s">
        <v>991</v>
      </c>
      <c r="F266" s="1" t="s">
        <v>272</v>
      </c>
      <c r="G266" s="1" t="s">
        <v>61</v>
      </c>
      <c r="H266" s="1" t="s">
        <v>30</v>
      </c>
      <c r="I266" s="1" t="s">
        <v>16</v>
      </c>
      <c r="J266" s="1">
        <v>3</v>
      </c>
      <c r="K266" s="1">
        <v>4</v>
      </c>
      <c r="L266" s="1" t="s">
        <v>31</v>
      </c>
      <c r="M266" s="1" t="s">
        <v>18</v>
      </c>
      <c r="N266" s="1" t="s">
        <v>18</v>
      </c>
      <c r="O266" s="1">
        <v>3</v>
      </c>
      <c r="P266" s="1">
        <v>7</v>
      </c>
      <c r="Q266" s="7" t="s">
        <v>17633</v>
      </c>
      <c r="R266" s="1" t="s">
        <v>19</v>
      </c>
      <c r="S266" s="1" t="s">
        <v>63</v>
      </c>
      <c r="T266" s="1" t="s">
        <v>21</v>
      </c>
      <c r="U266" s="1" t="s">
        <v>22</v>
      </c>
      <c r="V266" s="1" t="s">
        <v>24</v>
      </c>
      <c r="W266" s="1" t="s">
        <v>24</v>
      </c>
      <c r="X266" s="1">
        <v>1303</v>
      </c>
      <c r="Y266" s="1">
        <v>1312</v>
      </c>
      <c r="Z266" s="1">
        <v>1314</v>
      </c>
      <c r="AA266" s="1" t="s">
        <v>24</v>
      </c>
      <c r="AB266" s="1" t="s">
        <v>24</v>
      </c>
      <c r="AC266" s="1" t="s">
        <v>24</v>
      </c>
      <c r="AD266" s="1" t="s">
        <v>24</v>
      </c>
      <c r="AE266" s="1" t="s">
        <v>24</v>
      </c>
      <c r="AF266" s="22" t="s">
        <v>17665</v>
      </c>
    </row>
    <row r="267" spans="1:32" x14ac:dyDescent="0.2">
      <c r="A267" s="1">
        <v>1550</v>
      </c>
      <c r="B267" s="1" t="s">
        <v>992</v>
      </c>
      <c r="C267" s="5" t="s">
        <v>0</v>
      </c>
      <c r="D267" s="1" t="s">
        <v>993</v>
      </c>
      <c r="E267" s="1" t="s">
        <v>994</v>
      </c>
      <c r="F267" s="1" t="s">
        <v>217</v>
      </c>
      <c r="G267" s="1" t="s">
        <v>130</v>
      </c>
      <c r="H267" s="1" t="s">
        <v>92</v>
      </c>
      <c r="I267" s="1" t="s">
        <v>16</v>
      </c>
      <c r="J267" s="1">
        <v>1</v>
      </c>
      <c r="K267" s="1">
        <v>6</v>
      </c>
      <c r="L267" s="1" t="s">
        <v>31</v>
      </c>
      <c r="M267" s="1" t="s">
        <v>18</v>
      </c>
      <c r="N267" s="1" t="s">
        <v>18</v>
      </c>
      <c r="O267" s="1">
        <v>3</v>
      </c>
      <c r="P267" s="1">
        <v>7</v>
      </c>
      <c r="Q267" s="7" t="s">
        <v>17633</v>
      </c>
      <c r="R267" s="1" t="s">
        <v>19</v>
      </c>
      <c r="S267" s="1" t="s">
        <v>20</v>
      </c>
      <c r="T267" s="1" t="s">
        <v>21</v>
      </c>
      <c r="U267" s="1" t="s">
        <v>22</v>
      </c>
      <c r="V267" s="1" t="s">
        <v>24</v>
      </c>
      <c r="W267" s="1" t="s">
        <v>24</v>
      </c>
      <c r="X267" s="1">
        <v>1307</v>
      </c>
      <c r="Y267" s="1">
        <v>3005</v>
      </c>
      <c r="Z267" s="1">
        <v>2307</v>
      </c>
      <c r="AA267" s="1" t="s">
        <v>24</v>
      </c>
      <c r="AB267" s="1" t="s">
        <v>24</v>
      </c>
      <c r="AC267" s="1" t="s">
        <v>24</v>
      </c>
      <c r="AD267" s="1" t="s">
        <v>24</v>
      </c>
      <c r="AE267" s="1" t="s">
        <v>24</v>
      </c>
      <c r="AF267" s="22"/>
    </row>
    <row r="268" spans="1:32" x14ac:dyDescent="0.2">
      <c r="A268" s="1">
        <v>1551</v>
      </c>
      <c r="B268" s="1" t="s">
        <v>995</v>
      </c>
      <c r="C268" s="5" t="s">
        <v>0</v>
      </c>
      <c r="D268" s="1" t="s">
        <v>996</v>
      </c>
      <c r="E268" s="1" t="s">
        <v>997</v>
      </c>
      <c r="F268" s="1" t="s">
        <v>91</v>
      </c>
      <c r="G268" s="1" t="s">
        <v>61</v>
      </c>
      <c r="H268" s="1" t="s">
        <v>92</v>
      </c>
      <c r="I268" s="1" t="s">
        <v>16</v>
      </c>
      <c r="J268" s="1">
        <v>12</v>
      </c>
      <c r="K268" s="1">
        <v>2</v>
      </c>
      <c r="L268" s="1" t="s">
        <v>31</v>
      </c>
      <c r="M268" s="1" t="s">
        <v>18</v>
      </c>
      <c r="N268" s="1" t="s">
        <v>18</v>
      </c>
      <c r="O268" s="1">
        <v>3</v>
      </c>
      <c r="P268" s="1">
        <v>7</v>
      </c>
      <c r="Q268" s="7" t="s">
        <v>17633</v>
      </c>
      <c r="R268" s="1" t="s">
        <v>19</v>
      </c>
      <c r="S268" s="1" t="s">
        <v>63</v>
      </c>
      <c r="T268" s="1" t="s">
        <v>21</v>
      </c>
      <c r="U268" s="1" t="s">
        <v>22</v>
      </c>
      <c r="V268" s="1" t="s">
        <v>24</v>
      </c>
      <c r="W268" s="1" t="s">
        <v>24</v>
      </c>
      <c r="X268" s="1">
        <v>1303</v>
      </c>
      <c r="Y268" s="1">
        <v>1308</v>
      </c>
      <c r="Z268" s="1">
        <v>2704</v>
      </c>
      <c r="AA268" s="1" t="s">
        <v>24</v>
      </c>
      <c r="AB268" s="1" t="s">
        <v>24</v>
      </c>
      <c r="AC268" s="1" t="s">
        <v>24</v>
      </c>
      <c r="AD268" s="1" t="s">
        <v>24</v>
      </c>
      <c r="AE268" s="1" t="s">
        <v>24</v>
      </c>
      <c r="AF268" s="22"/>
    </row>
    <row r="269" spans="1:32" x14ac:dyDescent="0.2">
      <c r="A269" s="1">
        <v>1555</v>
      </c>
      <c r="B269" s="1" t="s">
        <v>998</v>
      </c>
      <c r="C269" s="5" t="s">
        <v>0</v>
      </c>
      <c r="D269" s="1" t="s">
        <v>999</v>
      </c>
      <c r="E269" s="1" t="s">
        <v>1000</v>
      </c>
      <c r="F269" s="1" t="s">
        <v>303</v>
      </c>
      <c r="G269" s="1" t="s">
        <v>61</v>
      </c>
      <c r="H269" s="1" t="s">
        <v>30</v>
      </c>
      <c r="I269" s="1" t="s">
        <v>16</v>
      </c>
      <c r="J269" s="1">
        <v>1</v>
      </c>
      <c r="K269" s="1">
        <v>4</v>
      </c>
      <c r="L269" s="1" t="s">
        <v>31</v>
      </c>
      <c r="M269" s="1" t="s">
        <v>18</v>
      </c>
      <c r="N269" s="1" t="s">
        <v>18</v>
      </c>
      <c r="O269" s="1">
        <v>2</v>
      </c>
      <c r="P269" s="1">
        <v>7</v>
      </c>
      <c r="Q269" s="7" t="s">
        <v>17633</v>
      </c>
      <c r="R269" s="1" t="s">
        <v>19</v>
      </c>
      <c r="S269" s="1" t="s">
        <v>20</v>
      </c>
      <c r="T269" s="1" t="s">
        <v>21</v>
      </c>
      <c r="U269" s="1" t="s">
        <v>22</v>
      </c>
      <c r="V269" s="1" t="s">
        <v>23</v>
      </c>
      <c r="W269" s="1" t="s">
        <v>24</v>
      </c>
      <c r="X269" s="1">
        <v>2706</v>
      </c>
      <c r="Y269" s="1" t="s">
        <v>24</v>
      </c>
      <c r="Z269" s="1" t="s">
        <v>24</v>
      </c>
      <c r="AA269" s="1" t="s">
        <v>24</v>
      </c>
      <c r="AB269" s="1" t="s">
        <v>24</v>
      </c>
      <c r="AC269" s="1" t="s">
        <v>24</v>
      </c>
      <c r="AD269" s="1" t="s">
        <v>24</v>
      </c>
      <c r="AE269" s="1" t="s">
        <v>24</v>
      </c>
      <c r="AF269" s="22"/>
    </row>
    <row r="270" spans="1:32" x14ac:dyDescent="0.2">
      <c r="A270" s="1">
        <v>1562</v>
      </c>
      <c r="B270" s="1" t="s">
        <v>1001</v>
      </c>
      <c r="C270" s="5" t="s">
        <v>0</v>
      </c>
      <c r="D270" s="1" t="s">
        <v>1002</v>
      </c>
      <c r="E270" s="1" t="s">
        <v>1003</v>
      </c>
      <c r="F270" s="1" t="s">
        <v>303</v>
      </c>
      <c r="G270" s="1" t="s">
        <v>61</v>
      </c>
      <c r="H270" s="1" t="s">
        <v>30</v>
      </c>
      <c r="I270" s="1" t="s">
        <v>16</v>
      </c>
      <c r="J270" s="1">
        <v>1</v>
      </c>
      <c r="K270" s="1">
        <v>4</v>
      </c>
      <c r="L270" s="1" t="s">
        <v>31</v>
      </c>
      <c r="M270" s="1" t="s">
        <v>18</v>
      </c>
      <c r="N270" s="1" t="s">
        <v>18</v>
      </c>
      <c r="O270" s="1">
        <v>2</v>
      </c>
      <c r="P270" s="1">
        <v>7</v>
      </c>
      <c r="Q270" s="7" t="s">
        <v>17633</v>
      </c>
      <c r="R270" s="1" t="s">
        <v>19</v>
      </c>
      <c r="S270" s="1" t="s">
        <v>20</v>
      </c>
      <c r="T270" s="1" t="s">
        <v>21</v>
      </c>
      <c r="U270" s="1" t="s">
        <v>22</v>
      </c>
      <c r="V270" s="1" t="s">
        <v>23</v>
      </c>
      <c r="W270" s="1" t="s">
        <v>24</v>
      </c>
      <c r="X270" s="1">
        <v>2740</v>
      </c>
      <c r="Y270" s="1" t="s">
        <v>24</v>
      </c>
      <c r="Z270" s="1" t="s">
        <v>24</v>
      </c>
      <c r="AA270" s="1" t="s">
        <v>24</v>
      </c>
      <c r="AB270" s="1" t="s">
        <v>24</v>
      </c>
      <c r="AC270" s="1" t="s">
        <v>24</v>
      </c>
      <c r="AD270" s="1" t="s">
        <v>24</v>
      </c>
      <c r="AE270" s="1" t="s">
        <v>24</v>
      </c>
      <c r="AF270" s="22"/>
    </row>
    <row r="271" spans="1:32" x14ac:dyDescent="0.2">
      <c r="A271" s="1">
        <v>1565</v>
      </c>
      <c r="B271" s="1" t="s">
        <v>1004</v>
      </c>
      <c r="C271" s="5" t="s">
        <v>0</v>
      </c>
      <c r="D271" s="1" t="s">
        <v>1005</v>
      </c>
      <c r="F271" s="1" t="s">
        <v>1006</v>
      </c>
      <c r="G271" s="1" t="s">
        <v>1006</v>
      </c>
      <c r="H271" s="1" t="s">
        <v>1007</v>
      </c>
      <c r="I271" s="1" t="s">
        <v>16</v>
      </c>
      <c r="J271" s="1">
        <v>1</v>
      </c>
      <c r="K271" s="1">
        <v>6</v>
      </c>
      <c r="L271" s="1" t="s">
        <v>17</v>
      </c>
      <c r="M271" s="1" t="s">
        <v>1008</v>
      </c>
      <c r="N271" s="1" t="s">
        <v>1009</v>
      </c>
      <c r="O271" s="1">
        <v>2</v>
      </c>
      <c r="P271" s="1">
        <v>5</v>
      </c>
      <c r="R271" s="1" t="s">
        <v>19</v>
      </c>
      <c r="S271" s="1" t="s">
        <v>20</v>
      </c>
      <c r="T271" s="1" t="s">
        <v>21</v>
      </c>
      <c r="U271" s="1" t="s">
        <v>22</v>
      </c>
      <c r="V271" s="1" t="s">
        <v>24</v>
      </c>
      <c r="W271" s="1" t="s">
        <v>24</v>
      </c>
      <c r="X271" s="1">
        <v>2730</v>
      </c>
      <c r="Y271" s="1" t="s">
        <v>24</v>
      </c>
      <c r="Z271" s="1" t="s">
        <v>24</v>
      </c>
      <c r="AA271" s="1" t="s">
        <v>24</v>
      </c>
      <c r="AB271" s="1" t="s">
        <v>24</v>
      </c>
      <c r="AC271" s="1" t="s">
        <v>24</v>
      </c>
      <c r="AD271" s="1" t="s">
        <v>24</v>
      </c>
      <c r="AE271" s="1" t="s">
        <v>24</v>
      </c>
      <c r="AF271" s="22"/>
    </row>
    <row r="272" spans="1:32" x14ac:dyDescent="0.2">
      <c r="A272" s="1">
        <v>1569</v>
      </c>
      <c r="B272" s="1" t="s">
        <v>1010</v>
      </c>
      <c r="C272" s="5" t="s">
        <v>0</v>
      </c>
      <c r="D272" s="1" t="s">
        <v>1011</v>
      </c>
      <c r="E272" s="1" t="s">
        <v>1012</v>
      </c>
      <c r="F272" s="1" t="s">
        <v>28</v>
      </c>
      <c r="G272" s="1" t="s">
        <v>29</v>
      </c>
      <c r="H272" s="1" t="s">
        <v>30</v>
      </c>
      <c r="I272" s="1" t="s">
        <v>16</v>
      </c>
      <c r="J272" s="1">
        <v>1</v>
      </c>
      <c r="K272" s="1">
        <v>12</v>
      </c>
      <c r="L272" s="1" t="s">
        <v>31</v>
      </c>
      <c r="M272" s="1" t="s">
        <v>18</v>
      </c>
      <c r="N272" s="1" t="s">
        <v>18</v>
      </c>
      <c r="O272" s="1">
        <v>3</v>
      </c>
      <c r="P272" s="1">
        <v>7</v>
      </c>
      <c r="Q272" s="7" t="s">
        <v>17633</v>
      </c>
      <c r="R272" s="1" t="s">
        <v>62</v>
      </c>
      <c r="S272" s="1" t="s">
        <v>20</v>
      </c>
      <c r="T272" s="1" t="s">
        <v>21</v>
      </c>
      <c r="U272" s="1" t="s">
        <v>22</v>
      </c>
      <c r="V272" s="1" t="s">
        <v>23</v>
      </c>
      <c r="W272" s="1" t="s">
        <v>24</v>
      </c>
      <c r="X272" s="1">
        <v>2706</v>
      </c>
      <c r="Y272" s="1" t="s">
        <v>24</v>
      </c>
      <c r="Z272" s="1" t="s">
        <v>24</v>
      </c>
      <c r="AA272" s="1" t="s">
        <v>24</v>
      </c>
      <c r="AB272" s="1" t="s">
        <v>24</v>
      </c>
      <c r="AC272" s="1" t="s">
        <v>24</v>
      </c>
      <c r="AD272" s="1" t="s">
        <v>24</v>
      </c>
      <c r="AE272" s="1" t="s">
        <v>24</v>
      </c>
      <c r="AF272" s="22"/>
    </row>
    <row r="273" spans="1:32" x14ac:dyDescent="0.2">
      <c r="A273" s="1">
        <v>1572</v>
      </c>
      <c r="B273" s="1" t="s">
        <v>1013</v>
      </c>
      <c r="C273" s="5" t="s">
        <v>0</v>
      </c>
      <c r="D273" s="1" t="s">
        <v>1014</v>
      </c>
      <c r="E273" s="1" t="s">
        <v>1015</v>
      </c>
      <c r="F273" s="1" t="s">
        <v>167</v>
      </c>
      <c r="G273" s="1" t="s">
        <v>130</v>
      </c>
      <c r="H273" s="1" t="s">
        <v>168</v>
      </c>
      <c r="I273" s="1" t="s">
        <v>16</v>
      </c>
      <c r="J273" s="1">
        <v>2</v>
      </c>
      <c r="K273" s="1">
        <v>6</v>
      </c>
      <c r="L273" s="1" t="s">
        <v>31</v>
      </c>
      <c r="M273" s="1" t="s">
        <v>18</v>
      </c>
      <c r="N273" s="1" t="s">
        <v>18</v>
      </c>
      <c r="O273" s="1">
        <v>3</v>
      </c>
      <c r="P273" s="1">
        <v>7</v>
      </c>
      <c r="Q273" s="7" t="s">
        <v>17633</v>
      </c>
      <c r="R273" s="1" t="s">
        <v>19</v>
      </c>
      <c r="S273" s="1" t="s">
        <v>20</v>
      </c>
      <c r="T273" s="1" t="s">
        <v>21</v>
      </c>
      <c r="U273" s="1" t="s">
        <v>22</v>
      </c>
      <c r="V273" s="1" t="s">
        <v>23</v>
      </c>
      <c r="W273" s="1" t="s">
        <v>64</v>
      </c>
      <c r="X273" s="1">
        <v>1306</v>
      </c>
      <c r="Y273" s="1">
        <v>2730</v>
      </c>
      <c r="Z273" s="1">
        <v>3004</v>
      </c>
      <c r="AA273" s="1">
        <v>2736</v>
      </c>
      <c r="AB273" s="1">
        <v>3005</v>
      </c>
      <c r="AC273" s="1" t="s">
        <v>24</v>
      </c>
      <c r="AD273" s="1" t="s">
        <v>24</v>
      </c>
      <c r="AE273" s="1" t="s">
        <v>24</v>
      </c>
      <c r="AF273" s="22"/>
    </row>
    <row r="274" spans="1:32" x14ac:dyDescent="0.2">
      <c r="A274" s="1">
        <v>1574</v>
      </c>
      <c r="B274" s="1" t="s">
        <v>1016</v>
      </c>
      <c r="C274" s="5" t="s">
        <v>0</v>
      </c>
      <c r="D274" s="1" t="s">
        <v>1017</v>
      </c>
      <c r="E274" s="1" t="s">
        <v>1018</v>
      </c>
      <c r="F274" s="1" t="s">
        <v>673</v>
      </c>
      <c r="G274" s="1" t="s">
        <v>61</v>
      </c>
      <c r="H274" s="1" t="s">
        <v>30</v>
      </c>
      <c r="I274" s="1" t="s">
        <v>16</v>
      </c>
      <c r="J274" s="1">
        <v>2</v>
      </c>
      <c r="K274" s="1">
        <v>6</v>
      </c>
      <c r="L274" s="1" t="s">
        <v>31</v>
      </c>
      <c r="M274" s="1" t="s">
        <v>18</v>
      </c>
      <c r="N274" s="1" t="s">
        <v>18</v>
      </c>
      <c r="O274" s="1">
        <v>3</v>
      </c>
      <c r="P274" s="1">
        <v>6</v>
      </c>
      <c r="R274" s="1" t="s">
        <v>19</v>
      </c>
      <c r="S274" s="1" t="s">
        <v>20</v>
      </c>
      <c r="T274" s="1" t="s">
        <v>21</v>
      </c>
      <c r="U274" s="1" t="s">
        <v>22</v>
      </c>
      <c r="V274" s="1" t="s">
        <v>23</v>
      </c>
      <c r="W274" s="1" t="s">
        <v>24</v>
      </c>
      <c r="X274" s="1">
        <v>2743</v>
      </c>
      <c r="Y274" s="1">
        <v>2729</v>
      </c>
      <c r="Z274" s="1" t="s">
        <v>24</v>
      </c>
      <c r="AA274" s="1" t="s">
        <v>24</v>
      </c>
      <c r="AB274" s="1" t="s">
        <v>24</v>
      </c>
      <c r="AC274" s="1" t="s">
        <v>24</v>
      </c>
      <c r="AD274" s="1" t="s">
        <v>24</v>
      </c>
      <c r="AE274" s="1" t="s">
        <v>24</v>
      </c>
      <c r="AF274" s="22"/>
    </row>
    <row r="275" spans="1:32" x14ac:dyDescent="0.2">
      <c r="A275" s="1">
        <v>1577</v>
      </c>
      <c r="B275" s="1" t="s">
        <v>1019</v>
      </c>
      <c r="C275" s="5" t="s">
        <v>0</v>
      </c>
      <c r="D275" s="1" t="s">
        <v>1020</v>
      </c>
      <c r="E275" s="1" t="s">
        <v>1021</v>
      </c>
      <c r="F275" s="1" t="s">
        <v>221</v>
      </c>
      <c r="G275" s="1" t="s">
        <v>61</v>
      </c>
      <c r="H275" s="1" t="s">
        <v>222</v>
      </c>
      <c r="I275" s="1" t="s">
        <v>16</v>
      </c>
      <c r="J275" s="1">
        <v>4</v>
      </c>
      <c r="K275" s="1">
        <v>3</v>
      </c>
      <c r="L275" s="1" t="s">
        <v>31</v>
      </c>
      <c r="M275" s="1" t="s">
        <v>18</v>
      </c>
      <c r="N275" s="1" t="s">
        <v>18</v>
      </c>
      <c r="O275" s="1">
        <v>3</v>
      </c>
      <c r="P275" s="1">
        <v>6</v>
      </c>
      <c r="R275" s="1" t="s">
        <v>62</v>
      </c>
      <c r="S275" s="1" t="s">
        <v>20</v>
      </c>
      <c r="T275" s="1" t="s">
        <v>21</v>
      </c>
      <c r="U275" s="1" t="s">
        <v>22</v>
      </c>
      <c r="V275" s="1" t="s">
        <v>24</v>
      </c>
      <c r="W275" s="1" t="s">
        <v>24</v>
      </c>
      <c r="X275" s="1">
        <v>2730</v>
      </c>
      <c r="Y275" s="1">
        <v>2720</v>
      </c>
      <c r="Z275" s="1">
        <v>2717</v>
      </c>
      <c r="AA275" s="1" t="s">
        <v>24</v>
      </c>
      <c r="AB275" s="1" t="s">
        <v>24</v>
      </c>
      <c r="AC275" s="1" t="s">
        <v>24</v>
      </c>
      <c r="AD275" s="1" t="s">
        <v>24</v>
      </c>
      <c r="AE275" s="1" t="s">
        <v>24</v>
      </c>
      <c r="AF275" s="22"/>
    </row>
    <row r="276" spans="1:32" x14ac:dyDescent="0.2">
      <c r="A276" s="1">
        <v>1592</v>
      </c>
      <c r="B276" s="1" t="s">
        <v>1022</v>
      </c>
      <c r="C276" s="5" t="s">
        <v>0</v>
      </c>
      <c r="D276" s="1" t="s">
        <v>1023</v>
      </c>
      <c r="E276" s="1" t="s">
        <v>1024</v>
      </c>
      <c r="F276" s="1" t="s">
        <v>831</v>
      </c>
      <c r="G276" s="1" t="s">
        <v>61</v>
      </c>
      <c r="H276" s="1" t="s">
        <v>37</v>
      </c>
      <c r="I276" s="1" t="s">
        <v>16</v>
      </c>
      <c r="J276" s="1">
        <v>2</v>
      </c>
      <c r="K276" s="1">
        <v>6</v>
      </c>
      <c r="L276" s="1" t="s">
        <v>31</v>
      </c>
      <c r="M276" s="1" t="s">
        <v>18</v>
      </c>
      <c r="N276" s="1" t="s">
        <v>18</v>
      </c>
      <c r="O276" s="1">
        <v>3</v>
      </c>
      <c r="P276" s="1">
        <v>7</v>
      </c>
      <c r="Q276" s="7" t="s">
        <v>17633</v>
      </c>
      <c r="R276" s="1" t="s">
        <v>62</v>
      </c>
      <c r="S276" s="1" t="s">
        <v>20</v>
      </c>
      <c r="T276" s="1" t="s">
        <v>21</v>
      </c>
      <c r="U276" s="1" t="s">
        <v>22</v>
      </c>
      <c r="V276" s="1" t="s">
        <v>24</v>
      </c>
      <c r="W276" s="1" t="s">
        <v>24</v>
      </c>
      <c r="X276" s="1">
        <v>1307</v>
      </c>
      <c r="Y276" s="1">
        <v>1312</v>
      </c>
      <c r="Z276" s="1">
        <v>1314</v>
      </c>
      <c r="AA276" s="1" t="s">
        <v>24</v>
      </c>
      <c r="AB276" s="1" t="s">
        <v>24</v>
      </c>
      <c r="AC276" s="1" t="s">
        <v>24</v>
      </c>
      <c r="AD276" s="1" t="s">
        <v>24</v>
      </c>
      <c r="AE276" s="1" t="s">
        <v>24</v>
      </c>
      <c r="AF276" s="22"/>
    </row>
    <row r="277" spans="1:32" x14ac:dyDescent="0.2">
      <c r="A277" s="1">
        <v>1598</v>
      </c>
      <c r="B277" s="1" t="s">
        <v>1025</v>
      </c>
      <c r="C277" s="5" t="s">
        <v>0</v>
      </c>
      <c r="D277" s="1" t="s">
        <v>1026</v>
      </c>
      <c r="E277" s="1" t="s">
        <v>1027</v>
      </c>
      <c r="F277" s="1" t="s">
        <v>35</v>
      </c>
      <c r="G277" s="1" t="s">
        <v>36</v>
      </c>
      <c r="H277" s="1" t="s">
        <v>37</v>
      </c>
      <c r="I277" s="1" t="s">
        <v>16</v>
      </c>
      <c r="J277" s="1">
        <v>1</v>
      </c>
      <c r="K277" s="1">
        <v>6</v>
      </c>
      <c r="L277" s="1" t="s">
        <v>31</v>
      </c>
      <c r="M277" s="1" t="s">
        <v>18</v>
      </c>
      <c r="N277" s="1" t="s">
        <v>18</v>
      </c>
      <c r="O277" s="1">
        <v>3</v>
      </c>
      <c r="P277" s="1">
        <v>7</v>
      </c>
      <c r="Q277" s="7" t="s">
        <v>17633</v>
      </c>
      <c r="R277" s="1" t="s">
        <v>19</v>
      </c>
      <c r="S277" s="1" t="s">
        <v>20</v>
      </c>
      <c r="T277" s="1" t="s">
        <v>21</v>
      </c>
      <c r="U277" s="1" t="s">
        <v>22</v>
      </c>
      <c r="V277" s="1" t="s">
        <v>24</v>
      </c>
      <c r="W277" s="1" t="s">
        <v>24</v>
      </c>
      <c r="X277" s="1">
        <v>2708</v>
      </c>
      <c r="Y277" s="1" t="s">
        <v>24</v>
      </c>
      <c r="Z277" s="1" t="s">
        <v>24</v>
      </c>
      <c r="AA277" s="1" t="s">
        <v>24</v>
      </c>
      <c r="AB277" s="1" t="s">
        <v>24</v>
      </c>
      <c r="AC277" s="1" t="s">
        <v>24</v>
      </c>
      <c r="AD277" s="1" t="s">
        <v>24</v>
      </c>
      <c r="AE277" s="1" t="s">
        <v>24</v>
      </c>
      <c r="AF277" s="22"/>
    </row>
    <row r="278" spans="1:32" x14ac:dyDescent="0.2">
      <c r="A278" s="1">
        <v>1609</v>
      </c>
      <c r="B278" s="1" t="s">
        <v>1028</v>
      </c>
      <c r="C278" s="5" t="s">
        <v>0</v>
      </c>
      <c r="D278" s="1" t="s">
        <v>1029</v>
      </c>
      <c r="E278" s="1" t="s">
        <v>1030</v>
      </c>
      <c r="F278" s="1" t="s">
        <v>324</v>
      </c>
      <c r="G278" s="1" t="s">
        <v>61</v>
      </c>
      <c r="H278" s="1" t="s">
        <v>30</v>
      </c>
      <c r="I278" s="1" t="s">
        <v>16</v>
      </c>
      <c r="J278" s="1">
        <v>7</v>
      </c>
      <c r="K278" s="1">
        <v>4</v>
      </c>
      <c r="L278" s="1" t="s">
        <v>31</v>
      </c>
      <c r="M278" s="1" t="s">
        <v>18</v>
      </c>
      <c r="N278" s="1" t="s">
        <v>18</v>
      </c>
      <c r="O278" s="1">
        <v>3</v>
      </c>
      <c r="P278" s="1">
        <v>8</v>
      </c>
      <c r="Q278" s="7" t="s">
        <v>17633</v>
      </c>
      <c r="R278" s="1" t="s">
        <v>62</v>
      </c>
      <c r="S278" s="1" t="s">
        <v>20</v>
      </c>
      <c r="T278" s="1" t="s">
        <v>21</v>
      </c>
      <c r="U278" s="1" t="s">
        <v>22</v>
      </c>
      <c r="V278" s="1" t="s">
        <v>24</v>
      </c>
      <c r="W278" s="1" t="s">
        <v>64</v>
      </c>
      <c r="X278" s="1">
        <v>1300</v>
      </c>
      <c r="Y278" s="1" t="s">
        <v>24</v>
      </c>
      <c r="Z278" s="1" t="s">
        <v>24</v>
      </c>
      <c r="AA278" s="1" t="s">
        <v>24</v>
      </c>
      <c r="AB278" s="1" t="s">
        <v>24</v>
      </c>
      <c r="AC278" s="1" t="s">
        <v>24</v>
      </c>
      <c r="AD278" s="1" t="s">
        <v>24</v>
      </c>
      <c r="AE278" s="1" t="s">
        <v>24</v>
      </c>
      <c r="AF278" s="22"/>
    </row>
    <row r="279" spans="1:32" x14ac:dyDescent="0.2">
      <c r="A279" s="1">
        <v>1619</v>
      </c>
      <c r="B279" s="1" t="s">
        <v>1031</v>
      </c>
      <c r="C279" s="5" t="s">
        <v>0</v>
      </c>
      <c r="D279" s="1" t="s">
        <v>1032</v>
      </c>
      <c r="F279" s="1" t="s">
        <v>1033</v>
      </c>
      <c r="G279" s="1" t="s">
        <v>1033</v>
      </c>
      <c r="H279" s="1" t="s">
        <v>731</v>
      </c>
      <c r="I279" s="1" t="s">
        <v>16</v>
      </c>
      <c r="J279" s="1">
        <v>1</v>
      </c>
      <c r="K279" s="1">
        <v>4</v>
      </c>
      <c r="L279" s="1" t="s">
        <v>17</v>
      </c>
      <c r="M279" s="1" t="s">
        <v>18</v>
      </c>
      <c r="N279" s="1" t="s">
        <v>18</v>
      </c>
      <c r="O279" s="1">
        <v>3</v>
      </c>
      <c r="P279" s="1">
        <v>6</v>
      </c>
      <c r="R279" s="1" t="s">
        <v>19</v>
      </c>
      <c r="S279" s="1" t="s">
        <v>20</v>
      </c>
      <c r="T279" s="1" t="s">
        <v>21</v>
      </c>
      <c r="U279" s="1" t="s">
        <v>22</v>
      </c>
      <c r="V279" s="1" t="s">
        <v>24</v>
      </c>
      <c r="W279" s="1" t="s">
        <v>24</v>
      </c>
      <c r="X279" s="1">
        <v>2729</v>
      </c>
      <c r="Y279" s="1">
        <v>2743</v>
      </c>
      <c r="Z279" s="1" t="s">
        <v>24</v>
      </c>
      <c r="AA279" s="1" t="s">
        <v>24</v>
      </c>
      <c r="AB279" s="1" t="s">
        <v>24</v>
      </c>
      <c r="AC279" s="1" t="s">
        <v>24</v>
      </c>
      <c r="AD279" s="1" t="s">
        <v>24</v>
      </c>
      <c r="AE279" s="1" t="s">
        <v>24</v>
      </c>
      <c r="AF279" s="22"/>
    </row>
    <row r="280" spans="1:32" x14ac:dyDescent="0.2">
      <c r="A280" s="1">
        <v>1624</v>
      </c>
      <c r="B280" s="1" t="s">
        <v>1034</v>
      </c>
      <c r="C280" s="5" t="s">
        <v>0</v>
      </c>
      <c r="D280" s="1" t="s">
        <v>1035</v>
      </c>
      <c r="E280" s="1" t="s">
        <v>1036</v>
      </c>
      <c r="F280" s="1" t="s">
        <v>97</v>
      </c>
      <c r="G280" s="1" t="s">
        <v>98</v>
      </c>
      <c r="H280" s="1" t="s">
        <v>37</v>
      </c>
      <c r="I280" s="1" t="s">
        <v>16</v>
      </c>
      <c r="J280" s="1">
        <v>1</v>
      </c>
      <c r="K280" s="1">
        <v>12</v>
      </c>
      <c r="L280" s="1" t="s">
        <v>31</v>
      </c>
      <c r="M280" s="1" t="s">
        <v>18</v>
      </c>
      <c r="N280" s="1" t="s">
        <v>18</v>
      </c>
      <c r="O280" s="1">
        <v>3</v>
      </c>
      <c r="P280" s="1">
        <v>6</v>
      </c>
      <c r="R280" s="1" t="s">
        <v>62</v>
      </c>
      <c r="S280" s="1" t="s">
        <v>20</v>
      </c>
      <c r="T280" s="1" t="s">
        <v>21</v>
      </c>
      <c r="U280" s="1" t="s">
        <v>22</v>
      </c>
      <c r="V280" s="1" t="s">
        <v>24</v>
      </c>
      <c r="W280" s="1" t="s">
        <v>24</v>
      </c>
      <c r="X280" s="1">
        <v>2728</v>
      </c>
      <c r="Y280" s="1" t="s">
        <v>24</v>
      </c>
      <c r="Z280" s="1" t="s">
        <v>24</v>
      </c>
      <c r="AA280" s="1" t="s">
        <v>24</v>
      </c>
      <c r="AB280" s="1" t="s">
        <v>24</v>
      </c>
      <c r="AC280" s="1" t="s">
        <v>24</v>
      </c>
      <c r="AD280" s="1" t="s">
        <v>24</v>
      </c>
      <c r="AE280" s="1" t="s">
        <v>24</v>
      </c>
      <c r="AF280" s="22"/>
    </row>
    <row r="281" spans="1:32" x14ac:dyDescent="0.2">
      <c r="A281" s="1">
        <v>1631</v>
      </c>
      <c r="B281" s="1" t="s">
        <v>1037</v>
      </c>
      <c r="C281" s="5" t="s">
        <v>0</v>
      </c>
      <c r="D281" s="1" t="s">
        <v>1038</v>
      </c>
      <c r="E281" s="1" t="s">
        <v>1039</v>
      </c>
      <c r="F281" s="1" t="s">
        <v>1040</v>
      </c>
      <c r="G281" s="1" t="s">
        <v>1037</v>
      </c>
      <c r="H281" s="1" t="s">
        <v>684</v>
      </c>
      <c r="I281" s="1" t="s">
        <v>16</v>
      </c>
      <c r="J281" s="1">
        <v>1</v>
      </c>
      <c r="K281" s="1">
        <v>6</v>
      </c>
      <c r="L281" s="1" t="s">
        <v>42</v>
      </c>
      <c r="M281" s="1" t="s">
        <v>18</v>
      </c>
      <c r="N281" s="1" t="s">
        <v>18</v>
      </c>
      <c r="O281" s="1">
        <v>3</v>
      </c>
      <c r="P281" s="1">
        <v>7</v>
      </c>
      <c r="Q281" s="7" t="s">
        <v>17633</v>
      </c>
      <c r="R281" s="1" t="s">
        <v>19</v>
      </c>
      <c r="S281" s="1" t="s">
        <v>20</v>
      </c>
      <c r="T281" s="1" t="s">
        <v>21</v>
      </c>
      <c r="U281" s="1" t="s">
        <v>22</v>
      </c>
      <c r="V281" s="1" t="s">
        <v>24</v>
      </c>
      <c r="W281" s="1" t="s">
        <v>24</v>
      </c>
      <c r="X281" s="1">
        <v>2745</v>
      </c>
      <c r="Y281" s="1">
        <v>2403</v>
      </c>
      <c r="Z281" s="1">
        <v>2723</v>
      </c>
      <c r="AA281" s="1" t="s">
        <v>24</v>
      </c>
      <c r="AB281" s="1" t="s">
        <v>24</v>
      </c>
      <c r="AC281" s="1" t="s">
        <v>24</v>
      </c>
      <c r="AD281" s="1" t="s">
        <v>24</v>
      </c>
      <c r="AE281" s="1" t="s">
        <v>24</v>
      </c>
      <c r="AF281" s="22"/>
    </row>
    <row r="282" spans="1:32" x14ac:dyDescent="0.2">
      <c r="A282" s="1">
        <v>1636</v>
      </c>
      <c r="B282" s="1" t="s">
        <v>1041</v>
      </c>
      <c r="C282" s="5" t="s">
        <v>0</v>
      </c>
      <c r="D282" s="1" t="s">
        <v>1042</v>
      </c>
      <c r="E282" s="1" t="s">
        <v>1043</v>
      </c>
      <c r="F282" s="1" t="s">
        <v>35</v>
      </c>
      <c r="G282" s="1" t="s">
        <v>36</v>
      </c>
      <c r="H282" s="1" t="s">
        <v>37</v>
      </c>
      <c r="I282" s="1" t="s">
        <v>16</v>
      </c>
      <c r="J282" s="1">
        <v>4</v>
      </c>
      <c r="K282" s="1">
        <v>3</v>
      </c>
      <c r="L282" s="1" t="s">
        <v>31</v>
      </c>
      <c r="M282" s="1" t="s">
        <v>18</v>
      </c>
      <c r="N282" s="1" t="s">
        <v>18</v>
      </c>
      <c r="O282" s="1">
        <v>3</v>
      </c>
      <c r="P282" s="1">
        <v>8</v>
      </c>
      <c r="Q282" s="7" t="s">
        <v>17633</v>
      </c>
      <c r="R282" s="1" t="s">
        <v>62</v>
      </c>
      <c r="S282" s="1" t="s">
        <v>20</v>
      </c>
      <c r="T282" s="1" t="s">
        <v>21</v>
      </c>
      <c r="U282" s="1" t="s">
        <v>22</v>
      </c>
      <c r="V282" s="1" t="s">
        <v>24</v>
      </c>
      <c r="W282" s="1" t="s">
        <v>24</v>
      </c>
      <c r="X282" s="1">
        <v>2403</v>
      </c>
      <c r="Y282" s="1">
        <v>2723</v>
      </c>
      <c r="Z282" s="1" t="s">
        <v>24</v>
      </c>
      <c r="AA282" s="1" t="s">
        <v>24</v>
      </c>
      <c r="AB282" s="1" t="s">
        <v>24</v>
      </c>
      <c r="AC282" s="1" t="s">
        <v>24</v>
      </c>
      <c r="AD282" s="1" t="s">
        <v>24</v>
      </c>
      <c r="AE282" s="1" t="s">
        <v>24</v>
      </c>
      <c r="AF282" s="22"/>
    </row>
    <row r="283" spans="1:32" x14ac:dyDescent="0.2">
      <c r="A283" s="1">
        <v>1637</v>
      </c>
      <c r="B283" s="1" t="s">
        <v>1044</v>
      </c>
      <c r="C283" s="5" t="s">
        <v>0</v>
      </c>
      <c r="D283" s="1" t="s">
        <v>1045</v>
      </c>
      <c r="E283" s="1" t="s">
        <v>1046</v>
      </c>
      <c r="F283" s="1" t="s">
        <v>217</v>
      </c>
      <c r="G283" s="1" t="s">
        <v>130</v>
      </c>
      <c r="H283" s="1" t="s">
        <v>92</v>
      </c>
      <c r="I283" s="1" t="s">
        <v>16</v>
      </c>
      <c r="J283" s="1">
        <v>1</v>
      </c>
      <c r="K283" s="1">
        <v>8</v>
      </c>
      <c r="L283" s="1" t="s">
        <v>31</v>
      </c>
      <c r="M283" s="1" t="s">
        <v>18</v>
      </c>
      <c r="N283" s="1" t="s">
        <v>18</v>
      </c>
      <c r="O283" s="1">
        <v>3</v>
      </c>
      <c r="P283" s="1">
        <v>6</v>
      </c>
      <c r="R283" s="1" t="s">
        <v>62</v>
      </c>
      <c r="S283" s="1" t="s">
        <v>20</v>
      </c>
      <c r="T283" s="1" t="s">
        <v>21</v>
      </c>
      <c r="U283" s="1" t="s">
        <v>22</v>
      </c>
      <c r="V283" s="1" t="s">
        <v>24</v>
      </c>
      <c r="W283" s="1" t="s">
        <v>24</v>
      </c>
      <c r="X283" s="1">
        <v>1306</v>
      </c>
      <c r="Y283" s="1">
        <v>2730</v>
      </c>
      <c r="Z283" s="1" t="s">
        <v>24</v>
      </c>
      <c r="AA283" s="1" t="s">
        <v>24</v>
      </c>
      <c r="AB283" s="1" t="s">
        <v>24</v>
      </c>
      <c r="AC283" s="1" t="s">
        <v>24</v>
      </c>
      <c r="AD283" s="1" t="s">
        <v>24</v>
      </c>
      <c r="AE283" s="1" t="s">
        <v>24</v>
      </c>
      <c r="AF283" s="22"/>
    </row>
    <row r="284" spans="1:32" x14ac:dyDescent="0.2">
      <c r="A284" s="1">
        <v>1638</v>
      </c>
      <c r="B284" s="1" t="s">
        <v>1047</v>
      </c>
      <c r="C284" s="5" t="s">
        <v>0</v>
      </c>
      <c r="D284" s="1" t="s">
        <v>1048</v>
      </c>
      <c r="E284" s="1" t="s">
        <v>1049</v>
      </c>
      <c r="F284" s="1" t="s">
        <v>296</v>
      </c>
      <c r="G284" s="1" t="s">
        <v>36</v>
      </c>
      <c r="H284" s="1" t="s">
        <v>264</v>
      </c>
      <c r="I284" s="1" t="s">
        <v>16</v>
      </c>
      <c r="J284" s="1">
        <v>1</v>
      </c>
      <c r="K284" s="1">
        <v>12</v>
      </c>
      <c r="L284" s="1" t="s">
        <v>31</v>
      </c>
      <c r="M284" s="1" t="s">
        <v>18</v>
      </c>
      <c r="N284" s="1" t="s">
        <v>18</v>
      </c>
      <c r="O284" s="1">
        <v>3</v>
      </c>
      <c r="P284" s="1">
        <v>6</v>
      </c>
      <c r="R284" s="1" t="s">
        <v>19</v>
      </c>
      <c r="S284" s="1" t="s">
        <v>20</v>
      </c>
      <c r="T284" s="1" t="s">
        <v>21</v>
      </c>
      <c r="U284" s="1" t="s">
        <v>22</v>
      </c>
      <c r="V284" s="1" t="s">
        <v>24</v>
      </c>
      <c r="W284" s="1" t="s">
        <v>24</v>
      </c>
      <c r="X284" s="1">
        <v>1314</v>
      </c>
      <c r="Y284" s="1">
        <v>2737</v>
      </c>
      <c r="Z284" s="1">
        <v>3004</v>
      </c>
      <c r="AA284" s="1" t="s">
        <v>24</v>
      </c>
      <c r="AB284" s="1" t="s">
        <v>24</v>
      </c>
      <c r="AC284" s="1" t="s">
        <v>24</v>
      </c>
      <c r="AD284" s="1" t="s">
        <v>24</v>
      </c>
      <c r="AE284" s="1" t="s">
        <v>24</v>
      </c>
      <c r="AF284" s="22"/>
    </row>
    <row r="285" spans="1:32" x14ac:dyDescent="0.2">
      <c r="A285" s="1">
        <v>1639</v>
      </c>
      <c r="B285" s="1" t="s">
        <v>1050</v>
      </c>
      <c r="C285" s="5" t="s">
        <v>0</v>
      </c>
      <c r="D285" s="1" t="s">
        <v>1051</v>
      </c>
      <c r="E285" s="1" t="s">
        <v>1052</v>
      </c>
      <c r="F285" s="1" t="s">
        <v>291</v>
      </c>
      <c r="G285" s="1" t="s">
        <v>292</v>
      </c>
      <c r="H285" s="1" t="s">
        <v>37</v>
      </c>
      <c r="I285" s="1" t="s">
        <v>16</v>
      </c>
      <c r="J285" s="1">
        <v>1</v>
      </c>
      <c r="K285" s="1">
        <v>12</v>
      </c>
      <c r="L285" s="1" t="s">
        <v>31</v>
      </c>
      <c r="M285" s="1" t="s">
        <v>18</v>
      </c>
      <c r="N285" s="1" t="s">
        <v>18</v>
      </c>
      <c r="O285" s="1">
        <v>3</v>
      </c>
      <c r="P285" s="1">
        <v>7</v>
      </c>
      <c r="Q285" s="7" t="s">
        <v>17633</v>
      </c>
      <c r="R285" s="1" t="s">
        <v>19</v>
      </c>
      <c r="S285" s="1" t="s">
        <v>20</v>
      </c>
      <c r="T285" s="1" t="s">
        <v>21</v>
      </c>
      <c r="U285" s="1" t="s">
        <v>22</v>
      </c>
      <c r="V285" s="1" t="s">
        <v>24</v>
      </c>
      <c r="W285" s="1" t="s">
        <v>24</v>
      </c>
      <c r="X285" s="1">
        <v>2731</v>
      </c>
      <c r="Y285" s="1">
        <v>2809</v>
      </c>
      <c r="Z285" s="1">
        <v>2804</v>
      </c>
      <c r="AA285" s="1" t="s">
        <v>24</v>
      </c>
      <c r="AB285" s="1" t="s">
        <v>24</v>
      </c>
      <c r="AC285" s="1" t="s">
        <v>24</v>
      </c>
      <c r="AD285" s="1" t="s">
        <v>24</v>
      </c>
      <c r="AE285" s="1" t="s">
        <v>24</v>
      </c>
      <c r="AF285" s="22"/>
    </row>
    <row r="286" spans="1:32" x14ac:dyDescent="0.2">
      <c r="A286" s="1">
        <v>1651</v>
      </c>
      <c r="B286" s="1" t="s">
        <v>1053</v>
      </c>
      <c r="C286" s="5" t="s">
        <v>0</v>
      </c>
      <c r="D286" s="1" t="s">
        <v>1054</v>
      </c>
      <c r="E286" s="1" t="s">
        <v>1055</v>
      </c>
      <c r="F286" s="1" t="s">
        <v>303</v>
      </c>
      <c r="G286" s="1" t="s">
        <v>61</v>
      </c>
      <c r="H286" s="1" t="s">
        <v>30</v>
      </c>
      <c r="I286" s="1" t="s">
        <v>16</v>
      </c>
      <c r="J286" s="1">
        <v>1</v>
      </c>
      <c r="K286" s="1">
        <v>4</v>
      </c>
      <c r="L286" s="1" t="s">
        <v>31</v>
      </c>
      <c r="M286" s="1" t="s">
        <v>18</v>
      </c>
      <c r="N286" s="1" t="s">
        <v>18</v>
      </c>
      <c r="O286" s="1">
        <v>2</v>
      </c>
      <c r="P286" s="1">
        <v>6</v>
      </c>
      <c r="R286" s="1" t="s">
        <v>19</v>
      </c>
      <c r="S286" s="1" t="s">
        <v>20</v>
      </c>
      <c r="T286" s="1" t="s">
        <v>21</v>
      </c>
      <c r="U286" s="1" t="s">
        <v>22</v>
      </c>
      <c r="V286" s="1" t="s">
        <v>23</v>
      </c>
      <c r="W286" s="1" t="s">
        <v>24</v>
      </c>
      <c r="X286" s="1">
        <v>2717</v>
      </c>
      <c r="Y286" s="1" t="s">
        <v>24</v>
      </c>
      <c r="Z286" s="1" t="s">
        <v>24</v>
      </c>
      <c r="AA286" s="1" t="s">
        <v>24</v>
      </c>
      <c r="AB286" s="1" t="s">
        <v>24</v>
      </c>
      <c r="AC286" s="1" t="s">
        <v>24</v>
      </c>
      <c r="AD286" s="1" t="s">
        <v>24</v>
      </c>
      <c r="AE286" s="1" t="s">
        <v>24</v>
      </c>
      <c r="AF286" s="22"/>
    </row>
    <row r="287" spans="1:32" x14ac:dyDescent="0.2">
      <c r="A287" s="1">
        <v>1652</v>
      </c>
      <c r="B287" s="1" t="s">
        <v>1056</v>
      </c>
      <c r="C287" s="5" t="s">
        <v>0</v>
      </c>
      <c r="D287" s="1" t="s">
        <v>1057</v>
      </c>
      <c r="E287" s="1" t="s">
        <v>1058</v>
      </c>
      <c r="F287" s="1" t="s">
        <v>109</v>
      </c>
      <c r="G287" s="1" t="s">
        <v>110</v>
      </c>
      <c r="H287" s="1" t="s">
        <v>111</v>
      </c>
      <c r="I287" s="1" t="s">
        <v>112</v>
      </c>
      <c r="J287" s="1">
        <v>0</v>
      </c>
      <c r="K287" s="1">
        <v>0</v>
      </c>
      <c r="L287" s="1" t="s">
        <v>31</v>
      </c>
      <c r="M287" s="1" t="s">
        <v>18</v>
      </c>
      <c r="N287" s="1" t="s">
        <v>18</v>
      </c>
      <c r="O287" s="1">
        <v>3</v>
      </c>
      <c r="P287" s="1">
        <v>7</v>
      </c>
      <c r="Q287" s="7" t="s">
        <v>17633</v>
      </c>
      <c r="R287" s="1" t="s">
        <v>19</v>
      </c>
      <c r="S287" s="1" t="s">
        <v>20</v>
      </c>
      <c r="T287" s="1" t="s">
        <v>21</v>
      </c>
      <c r="U287" s="1" t="s">
        <v>22</v>
      </c>
      <c r="V287" s="1" t="s">
        <v>24</v>
      </c>
      <c r="W287" s="1" t="s">
        <v>24</v>
      </c>
      <c r="X287" s="1">
        <v>2729</v>
      </c>
      <c r="Y287" s="1" t="s">
        <v>24</v>
      </c>
      <c r="Z287" s="1" t="s">
        <v>24</v>
      </c>
      <c r="AA287" s="1" t="s">
        <v>24</v>
      </c>
      <c r="AB287" s="1" t="s">
        <v>24</v>
      </c>
      <c r="AC287" s="1" t="s">
        <v>24</v>
      </c>
      <c r="AD287" s="1" t="s">
        <v>24</v>
      </c>
      <c r="AE287" s="1" t="s">
        <v>24</v>
      </c>
      <c r="AF287" s="22"/>
    </row>
    <row r="288" spans="1:32" x14ac:dyDescent="0.2">
      <c r="A288" s="1">
        <v>1672</v>
      </c>
      <c r="B288" s="1" t="s">
        <v>1059</v>
      </c>
      <c r="C288" s="5" t="s">
        <v>0</v>
      </c>
      <c r="D288" s="1" t="s">
        <v>1060</v>
      </c>
      <c r="E288" s="1" t="s">
        <v>1061</v>
      </c>
      <c r="F288" s="1" t="s">
        <v>1062</v>
      </c>
      <c r="G288" s="1" t="s">
        <v>1062</v>
      </c>
      <c r="H288" s="1" t="s">
        <v>30</v>
      </c>
      <c r="I288" s="1" t="s">
        <v>16</v>
      </c>
      <c r="J288" s="1">
        <v>2</v>
      </c>
      <c r="K288" s="1">
        <v>6</v>
      </c>
      <c r="L288" s="1" t="s">
        <v>42</v>
      </c>
      <c r="M288" s="1" t="s">
        <v>18</v>
      </c>
      <c r="N288" s="1" t="s">
        <v>18</v>
      </c>
      <c r="O288" s="1">
        <v>3</v>
      </c>
      <c r="P288" s="1">
        <v>7</v>
      </c>
      <c r="Q288" s="7" t="s">
        <v>17633</v>
      </c>
      <c r="R288" s="1" t="s">
        <v>62</v>
      </c>
      <c r="S288" s="1" t="s">
        <v>20</v>
      </c>
      <c r="T288" s="1" t="s">
        <v>21</v>
      </c>
      <c r="U288" s="1" t="s">
        <v>22</v>
      </c>
      <c r="V288" s="1" t="s">
        <v>23</v>
      </c>
      <c r="W288" s="1" t="s">
        <v>24</v>
      </c>
      <c r="X288" s="1">
        <v>2740</v>
      </c>
      <c r="Y288" s="1">
        <v>2706</v>
      </c>
      <c r="Z288" s="1">
        <v>2705</v>
      </c>
      <c r="AA288" s="1" t="s">
        <v>24</v>
      </c>
      <c r="AB288" s="1" t="s">
        <v>24</v>
      </c>
      <c r="AC288" s="1" t="s">
        <v>24</v>
      </c>
      <c r="AD288" s="1" t="s">
        <v>24</v>
      </c>
      <c r="AE288" s="1" t="s">
        <v>24</v>
      </c>
      <c r="AF288" s="22"/>
    </row>
    <row r="289" spans="1:32" x14ac:dyDescent="0.2">
      <c r="A289" s="1">
        <v>1674</v>
      </c>
      <c r="B289" s="1" t="s">
        <v>1063</v>
      </c>
      <c r="C289" s="5" t="s">
        <v>0</v>
      </c>
      <c r="D289" s="1" t="s">
        <v>1064</v>
      </c>
      <c r="F289" s="1" t="s">
        <v>1065</v>
      </c>
      <c r="G289" s="1" t="s">
        <v>1066</v>
      </c>
      <c r="H289" s="1" t="s">
        <v>1007</v>
      </c>
      <c r="I289" s="1" t="s">
        <v>16</v>
      </c>
      <c r="J289" s="1">
        <v>1</v>
      </c>
      <c r="K289" s="1">
        <v>12</v>
      </c>
      <c r="L289" s="1" t="s">
        <v>17</v>
      </c>
      <c r="M289" s="1" t="s">
        <v>1008</v>
      </c>
      <c r="N289" s="1" t="s">
        <v>1009</v>
      </c>
      <c r="O289" s="1">
        <v>2</v>
      </c>
      <c r="P289" s="1">
        <v>5</v>
      </c>
      <c r="R289" s="1" t="s">
        <v>19</v>
      </c>
      <c r="S289" s="1" t="s">
        <v>20</v>
      </c>
      <c r="T289" s="1" t="s">
        <v>21</v>
      </c>
      <c r="U289" s="1" t="s">
        <v>22</v>
      </c>
      <c r="V289" s="1" t="s">
        <v>24</v>
      </c>
      <c r="W289" s="1" t="s">
        <v>24</v>
      </c>
      <c r="X289" s="1">
        <v>2705</v>
      </c>
      <c r="Y289" s="1" t="s">
        <v>24</v>
      </c>
      <c r="Z289" s="1" t="s">
        <v>24</v>
      </c>
      <c r="AA289" s="1" t="s">
        <v>24</v>
      </c>
      <c r="AB289" s="1" t="s">
        <v>24</v>
      </c>
      <c r="AC289" s="1" t="s">
        <v>24</v>
      </c>
      <c r="AD289" s="1" t="s">
        <v>24</v>
      </c>
      <c r="AE289" s="1" t="s">
        <v>24</v>
      </c>
      <c r="AF289" s="22"/>
    </row>
    <row r="290" spans="1:32" x14ac:dyDescent="0.2">
      <c r="A290" s="1">
        <v>1701</v>
      </c>
      <c r="B290" s="1" t="s">
        <v>1067</v>
      </c>
      <c r="C290" s="5" t="s">
        <v>0</v>
      </c>
      <c r="D290" s="1" t="s">
        <v>1068</v>
      </c>
      <c r="E290" s="1" t="s">
        <v>1069</v>
      </c>
      <c r="F290" s="1" t="s">
        <v>1070</v>
      </c>
      <c r="G290" s="1" t="s">
        <v>130</v>
      </c>
      <c r="H290" s="1" t="s">
        <v>168</v>
      </c>
      <c r="I290" s="1" t="s">
        <v>16</v>
      </c>
      <c r="J290" s="1">
        <v>1</v>
      </c>
      <c r="K290" s="1">
        <v>6</v>
      </c>
      <c r="L290" s="1" t="s">
        <v>31</v>
      </c>
      <c r="M290" s="1" t="s">
        <v>18</v>
      </c>
      <c r="N290" s="1" t="s">
        <v>18</v>
      </c>
      <c r="O290" s="1">
        <v>3</v>
      </c>
      <c r="P290" s="1">
        <v>6</v>
      </c>
      <c r="R290" s="1" t="s">
        <v>62</v>
      </c>
      <c r="S290" s="1" t="s">
        <v>20</v>
      </c>
      <c r="T290" s="1" t="s">
        <v>21</v>
      </c>
      <c r="U290" s="1" t="s">
        <v>22</v>
      </c>
      <c r="V290" s="1" t="s">
        <v>24</v>
      </c>
      <c r="W290" s="1" t="s">
        <v>24</v>
      </c>
      <c r="X290" s="1">
        <v>1311</v>
      </c>
      <c r="Y290" s="1">
        <v>2716</v>
      </c>
      <c r="Z290" s="1" t="s">
        <v>24</v>
      </c>
      <c r="AA290" s="1" t="s">
        <v>24</v>
      </c>
      <c r="AB290" s="1" t="s">
        <v>24</v>
      </c>
      <c r="AC290" s="1" t="s">
        <v>24</v>
      </c>
      <c r="AD290" s="1" t="s">
        <v>24</v>
      </c>
      <c r="AE290" s="1" t="s">
        <v>24</v>
      </c>
      <c r="AF290" s="22"/>
    </row>
    <row r="291" spans="1:32" x14ac:dyDescent="0.2">
      <c r="A291" s="1">
        <v>1703</v>
      </c>
      <c r="B291" s="1" t="s">
        <v>1071</v>
      </c>
      <c r="C291" s="5" t="s">
        <v>0</v>
      </c>
      <c r="D291" s="1" t="s">
        <v>1072</v>
      </c>
      <c r="E291" s="1" t="s">
        <v>1073</v>
      </c>
      <c r="F291" s="1" t="s">
        <v>55</v>
      </c>
      <c r="G291" s="1" t="s">
        <v>56</v>
      </c>
      <c r="H291" s="1" t="s">
        <v>37</v>
      </c>
      <c r="I291" s="1" t="s">
        <v>16</v>
      </c>
      <c r="J291" s="1">
        <v>1</v>
      </c>
      <c r="K291" s="1">
        <v>9</v>
      </c>
      <c r="L291" s="1" t="s">
        <v>31</v>
      </c>
      <c r="M291" s="1" t="s">
        <v>18</v>
      </c>
      <c r="N291" s="1" t="s">
        <v>18</v>
      </c>
      <c r="O291" s="1">
        <v>3</v>
      </c>
      <c r="P291" s="1">
        <v>7</v>
      </c>
      <c r="Q291" s="7" t="s">
        <v>17633</v>
      </c>
      <c r="R291" s="1" t="s">
        <v>19</v>
      </c>
      <c r="S291" s="1" t="s">
        <v>20</v>
      </c>
      <c r="T291" s="1" t="s">
        <v>21</v>
      </c>
      <c r="U291" s="1" t="s">
        <v>22</v>
      </c>
      <c r="V291" s="1" t="s">
        <v>24</v>
      </c>
      <c r="W291" s="1" t="s">
        <v>24</v>
      </c>
      <c r="X291" s="1">
        <v>2809</v>
      </c>
      <c r="Y291" s="1">
        <v>2802</v>
      </c>
      <c r="Z291" s="1">
        <v>1314</v>
      </c>
      <c r="AA291" s="1">
        <v>2737</v>
      </c>
      <c r="AB291" s="1" t="s">
        <v>24</v>
      </c>
      <c r="AC291" s="1" t="s">
        <v>24</v>
      </c>
      <c r="AD291" s="1" t="s">
        <v>24</v>
      </c>
      <c r="AE291" s="1" t="s">
        <v>24</v>
      </c>
      <c r="AF291" s="22"/>
    </row>
    <row r="292" spans="1:32" x14ac:dyDescent="0.2">
      <c r="A292" s="1">
        <v>1712</v>
      </c>
      <c r="B292" s="1" t="s">
        <v>1074</v>
      </c>
      <c r="C292" s="5" t="s">
        <v>0</v>
      </c>
      <c r="D292" s="1" t="s">
        <v>1075</v>
      </c>
      <c r="E292" s="1" t="s">
        <v>1076</v>
      </c>
      <c r="F292" s="1" t="s">
        <v>109</v>
      </c>
      <c r="G292" s="1" t="s">
        <v>110</v>
      </c>
      <c r="H292" s="1" t="s">
        <v>111</v>
      </c>
      <c r="I292" s="1" t="s">
        <v>16</v>
      </c>
      <c r="J292" s="1">
        <v>1</v>
      </c>
      <c r="K292" s="1">
        <v>6</v>
      </c>
      <c r="L292" s="1" t="s">
        <v>31</v>
      </c>
      <c r="M292" s="1" t="s">
        <v>18</v>
      </c>
      <c r="N292" s="1" t="s">
        <v>18</v>
      </c>
      <c r="O292" s="1">
        <v>3</v>
      </c>
      <c r="P292" s="1">
        <v>7</v>
      </c>
      <c r="Q292" s="7" t="s">
        <v>17633</v>
      </c>
      <c r="R292" s="1" t="s">
        <v>19</v>
      </c>
      <c r="S292" s="1" t="s">
        <v>20</v>
      </c>
      <c r="T292" s="1" t="s">
        <v>21</v>
      </c>
      <c r="U292" s="1" t="s">
        <v>22</v>
      </c>
      <c r="V292" s="1" t="s">
        <v>24</v>
      </c>
      <c r="W292" s="1" t="s">
        <v>24</v>
      </c>
      <c r="X292" s="1">
        <v>2736</v>
      </c>
      <c r="Y292" s="1">
        <v>2730</v>
      </c>
      <c r="Z292" s="1">
        <v>2725</v>
      </c>
      <c r="AA292" s="1">
        <v>3004</v>
      </c>
      <c r="AB292" s="1">
        <v>3002</v>
      </c>
      <c r="AC292" s="1" t="s">
        <v>24</v>
      </c>
      <c r="AD292" s="1" t="s">
        <v>24</v>
      </c>
      <c r="AE292" s="1" t="s">
        <v>24</v>
      </c>
      <c r="AF292" s="22"/>
    </row>
    <row r="293" spans="1:32" x14ac:dyDescent="0.2">
      <c r="A293" s="1">
        <v>1725</v>
      </c>
      <c r="B293" s="1" t="s">
        <v>1077</v>
      </c>
      <c r="C293" s="5" t="s">
        <v>0</v>
      </c>
      <c r="D293" s="1" t="s">
        <v>1078</v>
      </c>
      <c r="E293" s="1" t="s">
        <v>1079</v>
      </c>
      <c r="F293" s="1" t="s">
        <v>175</v>
      </c>
      <c r="G293" s="1" t="s">
        <v>61</v>
      </c>
      <c r="H293" s="1" t="s">
        <v>116</v>
      </c>
      <c r="I293" s="1" t="s">
        <v>16</v>
      </c>
      <c r="J293" s="1">
        <v>1</v>
      </c>
      <c r="K293" s="1">
        <v>6</v>
      </c>
      <c r="L293" s="1" t="s">
        <v>31</v>
      </c>
      <c r="M293" s="1" t="s">
        <v>117</v>
      </c>
      <c r="N293" s="1" t="s">
        <v>18</v>
      </c>
      <c r="O293" s="1">
        <v>2</v>
      </c>
      <c r="P293" s="1">
        <v>4</v>
      </c>
      <c r="R293" s="1" t="s">
        <v>19</v>
      </c>
      <c r="S293" s="1" t="s">
        <v>20</v>
      </c>
      <c r="T293" s="1" t="s">
        <v>21</v>
      </c>
      <c r="U293" s="1" t="s">
        <v>22</v>
      </c>
      <c r="V293" s="1" t="s">
        <v>24</v>
      </c>
      <c r="W293" s="1" t="s">
        <v>24</v>
      </c>
      <c r="X293" s="1">
        <v>2729</v>
      </c>
      <c r="Y293" s="1">
        <v>2743</v>
      </c>
      <c r="Z293" s="1" t="s">
        <v>24</v>
      </c>
      <c r="AA293" s="1" t="s">
        <v>24</v>
      </c>
      <c r="AB293" s="1" t="s">
        <v>24</v>
      </c>
      <c r="AC293" s="1" t="s">
        <v>24</v>
      </c>
      <c r="AD293" s="1" t="s">
        <v>24</v>
      </c>
      <c r="AE293" s="1" t="s">
        <v>24</v>
      </c>
      <c r="AF293" s="22"/>
    </row>
    <row r="294" spans="1:32" x14ac:dyDescent="0.2">
      <c r="A294" s="1">
        <v>1727</v>
      </c>
      <c r="B294" s="1" t="s">
        <v>1080</v>
      </c>
      <c r="C294" s="5" t="s">
        <v>0</v>
      </c>
      <c r="D294" s="1" t="s">
        <v>1081</v>
      </c>
      <c r="E294" s="1" t="s">
        <v>1082</v>
      </c>
      <c r="F294" s="1" t="s">
        <v>1070</v>
      </c>
      <c r="G294" s="1" t="s">
        <v>130</v>
      </c>
      <c r="H294" s="1" t="s">
        <v>168</v>
      </c>
      <c r="I294" s="1" t="s">
        <v>16</v>
      </c>
      <c r="J294" s="1">
        <v>1</v>
      </c>
      <c r="K294" s="1">
        <v>12</v>
      </c>
      <c r="L294" s="1" t="s">
        <v>31</v>
      </c>
      <c r="M294" s="1" t="s">
        <v>18</v>
      </c>
      <c r="N294" s="1" t="s">
        <v>18</v>
      </c>
      <c r="O294" s="1">
        <v>3</v>
      </c>
      <c r="P294" s="1">
        <v>7</v>
      </c>
      <c r="Q294" s="7" t="s">
        <v>17633</v>
      </c>
      <c r="R294" s="1" t="s">
        <v>62</v>
      </c>
      <c r="S294" s="1" t="s">
        <v>20</v>
      </c>
      <c r="T294" s="1" t="s">
        <v>21</v>
      </c>
      <c r="U294" s="1" t="s">
        <v>22</v>
      </c>
      <c r="V294" s="1" t="s">
        <v>24</v>
      </c>
      <c r="W294" s="1" t="s">
        <v>24</v>
      </c>
      <c r="X294" s="1">
        <v>1306</v>
      </c>
      <c r="Y294" s="1">
        <v>2730</v>
      </c>
      <c r="Z294" s="1">
        <v>2403</v>
      </c>
      <c r="AA294" s="1">
        <v>2723</v>
      </c>
      <c r="AB294" s="1" t="s">
        <v>24</v>
      </c>
      <c r="AC294" s="1" t="s">
        <v>24</v>
      </c>
      <c r="AD294" s="1" t="s">
        <v>24</v>
      </c>
      <c r="AE294" s="1" t="s">
        <v>24</v>
      </c>
      <c r="AF294" s="22"/>
    </row>
    <row r="295" spans="1:32" x14ac:dyDescent="0.2">
      <c r="A295" s="1">
        <v>1734</v>
      </c>
      <c r="B295" s="1" t="s">
        <v>1083</v>
      </c>
      <c r="C295" s="5" t="s">
        <v>0</v>
      </c>
      <c r="D295" s="1" t="s">
        <v>1084</v>
      </c>
      <c r="E295" s="1" t="s">
        <v>1085</v>
      </c>
      <c r="F295" s="1" t="s">
        <v>155</v>
      </c>
      <c r="G295" s="1" t="s">
        <v>61</v>
      </c>
      <c r="H295" s="1" t="s">
        <v>37</v>
      </c>
      <c r="I295" s="1" t="s">
        <v>16</v>
      </c>
      <c r="J295" s="1">
        <v>1</v>
      </c>
      <c r="K295" s="1">
        <v>6</v>
      </c>
      <c r="L295" s="1" t="s">
        <v>31</v>
      </c>
      <c r="M295" s="1" t="s">
        <v>18</v>
      </c>
      <c r="N295" s="1" t="s">
        <v>18</v>
      </c>
      <c r="O295" s="1">
        <v>3</v>
      </c>
      <c r="P295" s="1">
        <v>6</v>
      </c>
      <c r="R295" s="1" t="s">
        <v>19</v>
      </c>
      <c r="S295" s="1" t="s">
        <v>20</v>
      </c>
      <c r="T295" s="1" t="s">
        <v>21</v>
      </c>
      <c r="U295" s="1" t="s">
        <v>22</v>
      </c>
      <c r="V295" s="1" t="s">
        <v>24</v>
      </c>
      <c r="W295" s="1" t="s">
        <v>24</v>
      </c>
      <c r="X295" s="1">
        <v>2403</v>
      </c>
      <c r="Y295" s="1">
        <v>2404</v>
      </c>
      <c r="Z295" s="1">
        <v>2725</v>
      </c>
      <c r="AA295" s="1">
        <v>2723</v>
      </c>
      <c r="AB295" s="1">
        <v>3400</v>
      </c>
      <c r="AC295" s="1" t="s">
        <v>24</v>
      </c>
      <c r="AD295" s="1" t="s">
        <v>24</v>
      </c>
      <c r="AE295" s="1" t="s">
        <v>24</v>
      </c>
      <c r="AF295" s="22"/>
    </row>
    <row r="296" spans="1:32" x14ac:dyDescent="0.2">
      <c r="A296" s="1">
        <v>1737</v>
      </c>
      <c r="B296" s="1" t="s">
        <v>1086</v>
      </c>
      <c r="C296" s="5" t="s">
        <v>0</v>
      </c>
      <c r="D296" s="1" t="s">
        <v>1087</v>
      </c>
      <c r="F296" s="1" t="s">
        <v>291</v>
      </c>
      <c r="G296" s="1" t="s">
        <v>292</v>
      </c>
      <c r="H296" s="1" t="s">
        <v>30</v>
      </c>
      <c r="I296" s="1" t="s">
        <v>16</v>
      </c>
      <c r="J296" s="1">
        <v>1</v>
      </c>
      <c r="K296" s="1">
        <v>10</v>
      </c>
      <c r="L296" s="1" t="s">
        <v>31</v>
      </c>
      <c r="M296" s="1" t="s">
        <v>18</v>
      </c>
      <c r="N296" s="1" t="s">
        <v>18</v>
      </c>
      <c r="O296" s="1">
        <v>3</v>
      </c>
      <c r="P296" s="1">
        <v>7</v>
      </c>
      <c r="Q296" s="7" t="s">
        <v>17633</v>
      </c>
      <c r="R296" s="1" t="s">
        <v>19</v>
      </c>
      <c r="S296" s="1" t="s">
        <v>20</v>
      </c>
      <c r="T296" s="1" t="s">
        <v>21</v>
      </c>
      <c r="U296" s="1" t="s">
        <v>22</v>
      </c>
      <c r="V296" s="1" t="s">
        <v>24</v>
      </c>
      <c r="W296" s="1" t="s">
        <v>24</v>
      </c>
      <c r="X296" s="1">
        <v>1306</v>
      </c>
      <c r="Y296" s="1">
        <v>2730</v>
      </c>
      <c r="Z296" s="1" t="s">
        <v>24</v>
      </c>
      <c r="AA296" s="1" t="s">
        <v>24</v>
      </c>
      <c r="AB296" s="1" t="s">
        <v>24</v>
      </c>
      <c r="AC296" s="1" t="s">
        <v>24</v>
      </c>
      <c r="AD296" s="1" t="s">
        <v>24</v>
      </c>
      <c r="AE296" s="1" t="s">
        <v>24</v>
      </c>
      <c r="AF296" s="22" t="s">
        <v>17679</v>
      </c>
    </row>
    <row r="297" spans="1:32" x14ac:dyDescent="0.2">
      <c r="A297" s="1">
        <v>1740</v>
      </c>
      <c r="B297" s="1" t="s">
        <v>1088</v>
      </c>
      <c r="C297" s="5" t="s">
        <v>0</v>
      </c>
      <c r="D297" s="1" t="s">
        <v>1089</v>
      </c>
      <c r="E297" s="1" t="s">
        <v>1090</v>
      </c>
      <c r="F297" s="1" t="s">
        <v>28</v>
      </c>
      <c r="G297" s="1" t="s">
        <v>29</v>
      </c>
      <c r="H297" s="1" t="s">
        <v>30</v>
      </c>
      <c r="I297" s="1" t="s">
        <v>16</v>
      </c>
      <c r="J297" s="1">
        <v>2</v>
      </c>
      <c r="K297" s="1">
        <v>26</v>
      </c>
      <c r="L297" s="1" t="s">
        <v>31</v>
      </c>
      <c r="M297" s="1" t="s">
        <v>18</v>
      </c>
      <c r="N297" s="1" t="s">
        <v>18</v>
      </c>
      <c r="O297" s="1">
        <v>3</v>
      </c>
      <c r="P297" s="1">
        <v>8</v>
      </c>
      <c r="Q297" s="7" t="s">
        <v>17633</v>
      </c>
      <c r="R297" s="1" t="s">
        <v>62</v>
      </c>
      <c r="S297" s="1" t="s">
        <v>20</v>
      </c>
      <c r="T297" s="1" t="s">
        <v>21</v>
      </c>
      <c r="U297" s="1" t="s">
        <v>22</v>
      </c>
      <c r="V297" s="1" t="s">
        <v>23</v>
      </c>
      <c r="W297" s="1" t="s">
        <v>24</v>
      </c>
      <c r="X297" s="1">
        <v>2737</v>
      </c>
      <c r="Y297" s="1">
        <v>2705</v>
      </c>
      <c r="Z297" s="1" t="s">
        <v>24</v>
      </c>
      <c r="AA297" s="1" t="s">
        <v>24</v>
      </c>
      <c r="AB297" s="1" t="s">
        <v>24</v>
      </c>
      <c r="AC297" s="1" t="s">
        <v>24</v>
      </c>
      <c r="AD297" s="1" t="s">
        <v>24</v>
      </c>
      <c r="AE297" s="1" t="s">
        <v>24</v>
      </c>
      <c r="AF297" s="22"/>
    </row>
    <row r="298" spans="1:32" x14ac:dyDescent="0.2">
      <c r="A298" s="1">
        <v>1741</v>
      </c>
      <c r="B298" s="1" t="s">
        <v>1091</v>
      </c>
      <c r="C298" s="5" t="s">
        <v>0</v>
      </c>
      <c r="D298" s="1" t="s">
        <v>1092</v>
      </c>
      <c r="E298" s="1" t="s">
        <v>1093</v>
      </c>
      <c r="F298" s="1" t="s">
        <v>28</v>
      </c>
      <c r="G298" s="1" t="s">
        <v>29</v>
      </c>
      <c r="H298" s="1" t="s">
        <v>30</v>
      </c>
      <c r="I298" s="1" t="s">
        <v>16</v>
      </c>
      <c r="J298" s="1">
        <v>2</v>
      </c>
      <c r="K298" s="1">
        <v>12</v>
      </c>
      <c r="L298" s="1" t="s">
        <v>31</v>
      </c>
      <c r="M298" s="1" t="s">
        <v>18</v>
      </c>
      <c r="N298" s="1" t="s">
        <v>18</v>
      </c>
      <c r="O298" s="1">
        <v>3</v>
      </c>
      <c r="P298" s="1">
        <v>8</v>
      </c>
      <c r="Q298" s="7" t="s">
        <v>17633</v>
      </c>
      <c r="R298" s="1" t="s">
        <v>62</v>
      </c>
      <c r="S298" s="1" t="s">
        <v>20</v>
      </c>
      <c r="T298" s="1" t="s">
        <v>21</v>
      </c>
      <c r="U298" s="1" t="s">
        <v>22</v>
      </c>
      <c r="V298" s="1" t="s">
        <v>24</v>
      </c>
      <c r="W298" s="1" t="s">
        <v>24</v>
      </c>
      <c r="X298" s="1">
        <v>1314</v>
      </c>
      <c r="Y298" s="1">
        <v>2705</v>
      </c>
      <c r="Z298" s="1" t="s">
        <v>24</v>
      </c>
      <c r="AA298" s="1" t="s">
        <v>24</v>
      </c>
      <c r="AB298" s="1" t="s">
        <v>24</v>
      </c>
      <c r="AC298" s="1" t="s">
        <v>24</v>
      </c>
      <c r="AD298" s="1" t="s">
        <v>24</v>
      </c>
      <c r="AE298" s="1" t="s">
        <v>24</v>
      </c>
      <c r="AF298" s="22"/>
    </row>
    <row r="299" spans="1:32" x14ac:dyDescent="0.2">
      <c r="A299" s="1">
        <v>1745</v>
      </c>
      <c r="B299" s="1" t="s">
        <v>1094</v>
      </c>
      <c r="C299" s="5" t="s">
        <v>0</v>
      </c>
      <c r="D299" s="1" t="s">
        <v>1095</v>
      </c>
      <c r="F299" s="1" t="s">
        <v>1096</v>
      </c>
      <c r="G299" s="1" t="s">
        <v>1096</v>
      </c>
      <c r="H299" s="1" t="s">
        <v>461</v>
      </c>
      <c r="I299" s="1" t="s">
        <v>16</v>
      </c>
      <c r="J299" s="1">
        <v>1</v>
      </c>
      <c r="K299" s="1">
        <v>6</v>
      </c>
      <c r="L299" s="1" t="s">
        <v>42</v>
      </c>
      <c r="M299" s="1" t="s">
        <v>1097</v>
      </c>
      <c r="N299" s="1" t="s">
        <v>1097</v>
      </c>
      <c r="O299" s="1">
        <v>3</v>
      </c>
      <c r="P299" s="1">
        <v>6</v>
      </c>
      <c r="R299" s="1" t="s">
        <v>19</v>
      </c>
      <c r="S299" s="1" t="s">
        <v>20</v>
      </c>
      <c r="T299" s="1" t="s">
        <v>21</v>
      </c>
      <c r="U299" s="1" t="s">
        <v>22</v>
      </c>
      <c r="V299" s="1" t="s">
        <v>24</v>
      </c>
      <c r="W299" s="1" t="s">
        <v>24</v>
      </c>
      <c r="X299" s="1">
        <v>2700</v>
      </c>
      <c r="Y299" s="1" t="s">
        <v>24</v>
      </c>
      <c r="Z299" s="1" t="s">
        <v>24</v>
      </c>
      <c r="AA299" s="1" t="s">
        <v>24</v>
      </c>
      <c r="AB299" s="1" t="s">
        <v>24</v>
      </c>
      <c r="AC299" s="1" t="s">
        <v>24</v>
      </c>
      <c r="AD299" s="1" t="s">
        <v>24</v>
      </c>
      <c r="AE299" s="1" t="s">
        <v>24</v>
      </c>
      <c r="AF299" s="22"/>
    </row>
    <row r="300" spans="1:32" x14ac:dyDescent="0.2">
      <c r="A300" s="1">
        <v>1754</v>
      </c>
      <c r="B300" s="1" t="s">
        <v>1098</v>
      </c>
      <c r="C300" s="5" t="s">
        <v>0</v>
      </c>
      <c r="D300" s="1" t="s">
        <v>1099</v>
      </c>
      <c r="F300" s="1" t="s">
        <v>1100</v>
      </c>
      <c r="G300" s="1" t="s">
        <v>61</v>
      </c>
      <c r="H300" s="1" t="s">
        <v>731</v>
      </c>
      <c r="I300" s="1" t="s">
        <v>16</v>
      </c>
      <c r="J300" s="1">
        <v>1</v>
      </c>
      <c r="K300" s="1">
        <v>6</v>
      </c>
      <c r="L300" s="1" t="s">
        <v>31</v>
      </c>
      <c r="M300" s="1" t="s">
        <v>18</v>
      </c>
      <c r="N300" s="1" t="s">
        <v>18</v>
      </c>
      <c r="O300" s="1">
        <v>3</v>
      </c>
      <c r="P300" s="1">
        <v>6</v>
      </c>
      <c r="R300" s="1" t="s">
        <v>19</v>
      </c>
      <c r="S300" s="1" t="s">
        <v>20</v>
      </c>
      <c r="T300" s="1" t="s">
        <v>21</v>
      </c>
      <c r="U300" s="1" t="s">
        <v>22</v>
      </c>
      <c r="V300" s="1" t="s">
        <v>24</v>
      </c>
      <c r="W300" s="1" t="s">
        <v>24</v>
      </c>
      <c r="X300" s="1">
        <v>2705</v>
      </c>
      <c r="Y300" s="1" t="s">
        <v>24</v>
      </c>
      <c r="Z300" s="1" t="s">
        <v>24</v>
      </c>
      <c r="AA300" s="1" t="s">
        <v>24</v>
      </c>
      <c r="AB300" s="1" t="s">
        <v>24</v>
      </c>
      <c r="AC300" s="1" t="s">
        <v>24</v>
      </c>
      <c r="AD300" s="1" t="s">
        <v>24</v>
      </c>
      <c r="AE300" s="1" t="s">
        <v>24</v>
      </c>
      <c r="AF300" s="22"/>
    </row>
    <row r="301" spans="1:32" x14ac:dyDescent="0.2">
      <c r="A301" s="1">
        <v>1763</v>
      </c>
      <c r="B301" s="1" t="s">
        <v>1101</v>
      </c>
      <c r="C301" s="5" t="s">
        <v>0</v>
      </c>
      <c r="D301" s="1" t="s">
        <v>1102</v>
      </c>
      <c r="E301" s="1" t="s">
        <v>1103</v>
      </c>
      <c r="F301" s="1" t="s">
        <v>1104</v>
      </c>
      <c r="G301" s="1" t="s">
        <v>1104</v>
      </c>
      <c r="H301" s="1" t="s">
        <v>731</v>
      </c>
      <c r="I301" s="1" t="s">
        <v>16</v>
      </c>
      <c r="J301" s="1">
        <v>1</v>
      </c>
      <c r="K301" s="1">
        <v>6</v>
      </c>
      <c r="L301" s="1" t="s">
        <v>17</v>
      </c>
      <c r="M301" s="1" t="s">
        <v>105</v>
      </c>
      <c r="N301" s="1" t="s">
        <v>105</v>
      </c>
      <c r="O301" s="1">
        <v>3</v>
      </c>
      <c r="P301" s="1">
        <v>6</v>
      </c>
      <c r="R301" s="1" t="s">
        <v>19</v>
      </c>
      <c r="S301" s="1" t="s">
        <v>20</v>
      </c>
      <c r="T301" s="1" t="s">
        <v>21</v>
      </c>
      <c r="U301" s="1" t="s">
        <v>22</v>
      </c>
      <c r="V301" s="1" t="s">
        <v>23</v>
      </c>
      <c r="W301" s="1" t="s">
        <v>24</v>
      </c>
      <c r="X301" s="1">
        <v>2736</v>
      </c>
      <c r="Y301" s="1">
        <v>3611</v>
      </c>
      <c r="Z301" s="1" t="s">
        <v>24</v>
      </c>
      <c r="AA301" s="1" t="s">
        <v>24</v>
      </c>
      <c r="AB301" s="1" t="s">
        <v>24</v>
      </c>
      <c r="AC301" s="1" t="s">
        <v>24</v>
      </c>
      <c r="AD301" s="1" t="s">
        <v>24</v>
      </c>
      <c r="AE301" s="1" t="s">
        <v>24</v>
      </c>
      <c r="AF301" s="22"/>
    </row>
    <row r="302" spans="1:32" x14ac:dyDescent="0.2">
      <c r="A302" s="1">
        <v>1765</v>
      </c>
      <c r="B302" s="1" t="s">
        <v>1105</v>
      </c>
      <c r="C302" s="5" t="s">
        <v>0</v>
      </c>
      <c r="D302" s="1" t="s">
        <v>1106</v>
      </c>
      <c r="E302" s="1" t="s">
        <v>1107</v>
      </c>
      <c r="F302" s="1" t="s">
        <v>729</v>
      </c>
      <c r="G302" s="1" t="s">
        <v>730</v>
      </c>
      <c r="H302" s="1" t="s">
        <v>731</v>
      </c>
      <c r="I302" s="1" t="s">
        <v>16</v>
      </c>
      <c r="J302" s="1">
        <v>1</v>
      </c>
      <c r="K302" s="1">
        <v>12</v>
      </c>
      <c r="L302" s="1" t="s">
        <v>31</v>
      </c>
      <c r="M302" s="1" t="s">
        <v>105</v>
      </c>
      <c r="N302" s="1" t="s">
        <v>18</v>
      </c>
      <c r="O302" s="1">
        <v>3</v>
      </c>
      <c r="P302" s="1">
        <v>7</v>
      </c>
      <c r="Q302" s="7" t="s">
        <v>17633</v>
      </c>
      <c r="R302" s="1" t="s">
        <v>19</v>
      </c>
      <c r="S302" s="1" t="s">
        <v>20</v>
      </c>
      <c r="T302" s="1" t="s">
        <v>21</v>
      </c>
      <c r="U302" s="1" t="s">
        <v>22</v>
      </c>
      <c r="V302" s="1" t="s">
        <v>24</v>
      </c>
      <c r="W302" s="1" t="s">
        <v>24</v>
      </c>
      <c r="X302" s="1">
        <v>2402</v>
      </c>
      <c r="Y302" s="1">
        <v>2404</v>
      </c>
      <c r="Z302" s="1">
        <v>2403</v>
      </c>
      <c r="AA302" s="1">
        <v>1311</v>
      </c>
      <c r="AB302" s="1">
        <v>1312</v>
      </c>
      <c r="AC302" s="1" t="s">
        <v>24</v>
      </c>
      <c r="AD302" s="1" t="s">
        <v>24</v>
      </c>
      <c r="AE302" s="1" t="s">
        <v>24</v>
      </c>
      <c r="AF302" s="22"/>
    </row>
    <row r="303" spans="1:32" x14ac:dyDescent="0.2">
      <c r="A303" s="1">
        <v>1766</v>
      </c>
      <c r="B303" s="1" t="s">
        <v>1108</v>
      </c>
      <c r="C303" s="5" t="s">
        <v>0</v>
      </c>
      <c r="D303" s="1" t="s">
        <v>1109</v>
      </c>
      <c r="F303" s="1" t="s">
        <v>1108</v>
      </c>
      <c r="G303" s="1" t="s">
        <v>80</v>
      </c>
      <c r="H303" s="1" t="s">
        <v>731</v>
      </c>
      <c r="I303" s="1" t="s">
        <v>16</v>
      </c>
      <c r="J303" s="1">
        <v>1</v>
      </c>
      <c r="K303" s="1">
        <v>4</v>
      </c>
      <c r="L303" s="1" t="s">
        <v>31</v>
      </c>
      <c r="M303" s="1" t="s">
        <v>105</v>
      </c>
      <c r="N303" s="1" t="s">
        <v>18</v>
      </c>
      <c r="O303" s="1">
        <v>3</v>
      </c>
      <c r="P303" s="1">
        <v>7</v>
      </c>
      <c r="Q303" s="7" t="s">
        <v>17633</v>
      </c>
      <c r="R303" s="1" t="s">
        <v>19</v>
      </c>
      <c r="S303" s="1" t="s">
        <v>20</v>
      </c>
      <c r="T303" s="1" t="s">
        <v>21</v>
      </c>
      <c r="U303" s="1" t="s">
        <v>22</v>
      </c>
      <c r="V303" s="1" t="s">
        <v>24</v>
      </c>
      <c r="W303" s="1" t="s">
        <v>24</v>
      </c>
      <c r="X303" s="1">
        <v>2728</v>
      </c>
      <c r="Y303" s="1">
        <v>2808</v>
      </c>
      <c r="Z303" s="1" t="s">
        <v>24</v>
      </c>
      <c r="AA303" s="1" t="s">
        <v>24</v>
      </c>
      <c r="AB303" s="1" t="s">
        <v>24</v>
      </c>
      <c r="AC303" s="1" t="s">
        <v>24</v>
      </c>
      <c r="AD303" s="1" t="s">
        <v>24</v>
      </c>
      <c r="AE303" s="1" t="s">
        <v>24</v>
      </c>
      <c r="AF303" s="22"/>
    </row>
    <row r="304" spans="1:32" x14ac:dyDescent="0.2">
      <c r="A304" s="1">
        <v>1768</v>
      </c>
      <c r="B304" s="1" t="s">
        <v>1110</v>
      </c>
      <c r="C304" s="5" t="s">
        <v>0</v>
      </c>
      <c r="D304" s="1" t="s">
        <v>1111</v>
      </c>
      <c r="E304" s="1" t="s">
        <v>1112</v>
      </c>
      <c r="F304" s="1" t="s">
        <v>28</v>
      </c>
      <c r="G304" s="1" t="s">
        <v>29</v>
      </c>
      <c r="H304" s="1" t="s">
        <v>30</v>
      </c>
      <c r="I304" s="1" t="s">
        <v>16</v>
      </c>
      <c r="J304" s="1">
        <v>1</v>
      </c>
      <c r="K304" s="1">
        <v>12</v>
      </c>
      <c r="L304" s="1" t="s">
        <v>31</v>
      </c>
      <c r="M304" s="1" t="s">
        <v>18</v>
      </c>
      <c r="N304" s="1" t="s">
        <v>18</v>
      </c>
      <c r="O304" s="1">
        <v>3</v>
      </c>
      <c r="P304" s="1">
        <v>7</v>
      </c>
      <c r="Q304" s="7" t="s">
        <v>17633</v>
      </c>
      <c r="R304" s="1" t="s">
        <v>62</v>
      </c>
      <c r="S304" s="1" t="s">
        <v>20</v>
      </c>
      <c r="T304" s="1" t="s">
        <v>21</v>
      </c>
      <c r="U304" s="1" t="s">
        <v>22</v>
      </c>
      <c r="V304" s="1" t="s">
        <v>23</v>
      </c>
      <c r="W304" s="1" t="s">
        <v>24</v>
      </c>
      <c r="X304" s="1">
        <v>2703</v>
      </c>
      <c r="Y304" s="1">
        <v>2728</v>
      </c>
      <c r="Z304" s="1" t="s">
        <v>24</v>
      </c>
      <c r="AA304" s="1" t="s">
        <v>24</v>
      </c>
      <c r="AB304" s="1" t="s">
        <v>24</v>
      </c>
      <c r="AC304" s="1" t="s">
        <v>24</v>
      </c>
      <c r="AD304" s="1" t="s">
        <v>24</v>
      </c>
      <c r="AE304" s="1" t="s">
        <v>24</v>
      </c>
      <c r="AF304" s="22"/>
    </row>
    <row r="305" spans="1:32" x14ac:dyDescent="0.2">
      <c r="A305" s="1">
        <v>1771</v>
      </c>
      <c r="B305" s="1" t="s">
        <v>1113</v>
      </c>
      <c r="C305" s="5" t="s">
        <v>0</v>
      </c>
      <c r="D305" s="1" t="s">
        <v>1114</v>
      </c>
      <c r="F305" s="1" t="s">
        <v>1115</v>
      </c>
      <c r="G305" s="1" t="s">
        <v>1115</v>
      </c>
      <c r="H305" s="1" t="s">
        <v>1116</v>
      </c>
      <c r="I305" s="1" t="s">
        <v>16</v>
      </c>
      <c r="J305" s="1">
        <v>1</v>
      </c>
      <c r="K305" s="1">
        <v>4</v>
      </c>
      <c r="L305" s="1" t="s">
        <v>42</v>
      </c>
      <c r="M305" s="1" t="s">
        <v>1009</v>
      </c>
      <c r="N305" s="1" t="s">
        <v>18</v>
      </c>
      <c r="O305" s="1">
        <v>3</v>
      </c>
      <c r="P305" s="1">
        <v>6</v>
      </c>
      <c r="R305" s="1" t="s">
        <v>19</v>
      </c>
      <c r="S305" s="1" t="s">
        <v>63</v>
      </c>
      <c r="T305" s="1" t="s">
        <v>21</v>
      </c>
      <c r="U305" s="1" t="s">
        <v>22</v>
      </c>
      <c r="V305" s="1" t="s">
        <v>24</v>
      </c>
      <c r="W305" s="1" t="s">
        <v>24</v>
      </c>
      <c r="X305" s="1">
        <v>1314</v>
      </c>
      <c r="Y305" s="1">
        <v>2737</v>
      </c>
      <c r="Z305" s="1" t="s">
        <v>24</v>
      </c>
      <c r="AA305" s="1" t="s">
        <v>24</v>
      </c>
      <c r="AB305" s="1" t="s">
        <v>24</v>
      </c>
      <c r="AC305" s="1" t="s">
        <v>24</v>
      </c>
      <c r="AD305" s="1" t="s">
        <v>24</v>
      </c>
      <c r="AE305" s="1" t="s">
        <v>24</v>
      </c>
      <c r="AF305" s="22"/>
    </row>
    <row r="306" spans="1:32" x14ac:dyDescent="0.2">
      <c r="A306" s="1">
        <v>1772</v>
      </c>
      <c r="B306" s="1" t="s">
        <v>1117</v>
      </c>
      <c r="C306" s="5" t="s">
        <v>0</v>
      </c>
      <c r="D306" s="1" t="s">
        <v>1118</v>
      </c>
      <c r="E306" s="1" t="s">
        <v>1119</v>
      </c>
      <c r="F306" s="1" t="s">
        <v>729</v>
      </c>
      <c r="G306" s="1" t="s">
        <v>730</v>
      </c>
      <c r="H306" s="1" t="s">
        <v>731</v>
      </c>
      <c r="I306" s="1" t="s">
        <v>16</v>
      </c>
      <c r="J306" s="1">
        <v>1</v>
      </c>
      <c r="K306" s="1">
        <v>12</v>
      </c>
      <c r="L306" s="1" t="s">
        <v>31</v>
      </c>
      <c r="M306" s="1" t="s">
        <v>105</v>
      </c>
      <c r="N306" s="1" t="s">
        <v>105</v>
      </c>
      <c r="O306" s="1">
        <v>3</v>
      </c>
      <c r="P306" s="1">
        <v>7</v>
      </c>
      <c r="Q306" s="7" t="s">
        <v>17633</v>
      </c>
      <c r="R306" s="1" t="s">
        <v>19</v>
      </c>
      <c r="S306" s="1" t="s">
        <v>20</v>
      </c>
      <c r="T306" s="1" t="s">
        <v>21</v>
      </c>
      <c r="U306" s="1" t="s">
        <v>22</v>
      </c>
      <c r="V306" s="1" t="s">
        <v>24</v>
      </c>
      <c r="W306" s="1" t="s">
        <v>24</v>
      </c>
      <c r="X306" s="1">
        <v>1314</v>
      </c>
      <c r="Y306" s="1">
        <v>2737</v>
      </c>
      <c r="Z306" s="1">
        <v>3004</v>
      </c>
      <c r="AA306" s="1" t="s">
        <v>24</v>
      </c>
      <c r="AB306" s="1" t="s">
        <v>24</v>
      </c>
      <c r="AC306" s="1" t="s">
        <v>24</v>
      </c>
      <c r="AD306" s="1" t="s">
        <v>24</v>
      </c>
      <c r="AE306" s="1" t="s">
        <v>24</v>
      </c>
      <c r="AF306" s="22"/>
    </row>
    <row r="307" spans="1:32" x14ac:dyDescent="0.2">
      <c r="A307" s="1">
        <v>1774</v>
      </c>
      <c r="B307" s="1" t="s">
        <v>1120</v>
      </c>
      <c r="C307" s="5" t="s">
        <v>0</v>
      </c>
      <c r="D307" s="1" t="s">
        <v>1121</v>
      </c>
      <c r="E307" s="1" t="s">
        <v>1122</v>
      </c>
      <c r="F307" s="1" t="s">
        <v>1123</v>
      </c>
      <c r="G307" s="1" t="s">
        <v>1123</v>
      </c>
      <c r="H307" s="1" t="s">
        <v>731</v>
      </c>
      <c r="I307" s="1" t="s">
        <v>16</v>
      </c>
      <c r="J307" s="1">
        <v>1</v>
      </c>
      <c r="K307" s="1">
        <v>12</v>
      </c>
      <c r="L307" s="1" t="s">
        <v>42</v>
      </c>
      <c r="M307" s="1" t="s">
        <v>105</v>
      </c>
      <c r="N307" s="1" t="s">
        <v>105</v>
      </c>
      <c r="O307" s="1">
        <v>3</v>
      </c>
      <c r="P307" s="1">
        <v>6</v>
      </c>
      <c r="R307" s="1" t="s">
        <v>19</v>
      </c>
      <c r="S307" s="1" t="s">
        <v>20</v>
      </c>
      <c r="T307" s="1" t="s">
        <v>21</v>
      </c>
      <c r="U307" s="1" t="s">
        <v>22</v>
      </c>
      <c r="V307" s="1" t="s">
        <v>24</v>
      </c>
      <c r="W307" s="1" t="s">
        <v>24</v>
      </c>
      <c r="X307" s="1">
        <v>2738</v>
      </c>
      <c r="Y307" s="1" t="s">
        <v>24</v>
      </c>
      <c r="Z307" s="1" t="s">
        <v>24</v>
      </c>
      <c r="AA307" s="1" t="s">
        <v>24</v>
      </c>
      <c r="AB307" s="1" t="s">
        <v>24</v>
      </c>
      <c r="AC307" s="1" t="s">
        <v>24</v>
      </c>
      <c r="AD307" s="1" t="s">
        <v>24</v>
      </c>
      <c r="AE307" s="1" t="s">
        <v>24</v>
      </c>
      <c r="AF307" s="22"/>
    </row>
    <row r="308" spans="1:32" x14ac:dyDescent="0.2">
      <c r="A308" s="1">
        <v>1780</v>
      </c>
      <c r="B308" s="1" t="s">
        <v>1124</v>
      </c>
      <c r="C308" s="5" t="s">
        <v>0</v>
      </c>
      <c r="D308" s="1" t="s">
        <v>1125</v>
      </c>
      <c r="F308" s="1" t="s">
        <v>1126</v>
      </c>
      <c r="G308" s="1" t="s">
        <v>1126</v>
      </c>
      <c r="H308" s="1" t="s">
        <v>731</v>
      </c>
      <c r="I308" s="1" t="s">
        <v>16</v>
      </c>
      <c r="J308" s="1">
        <v>1</v>
      </c>
      <c r="K308" s="1">
        <v>4</v>
      </c>
      <c r="L308" s="1" t="s">
        <v>42</v>
      </c>
      <c r="M308" s="1" t="s">
        <v>105</v>
      </c>
      <c r="N308" s="1" t="s">
        <v>18</v>
      </c>
      <c r="O308" s="1">
        <v>3</v>
      </c>
      <c r="P308" s="1">
        <v>6</v>
      </c>
      <c r="R308" s="1" t="s">
        <v>19</v>
      </c>
      <c r="S308" s="1" t="s">
        <v>20</v>
      </c>
      <c r="T308" s="1" t="s">
        <v>21</v>
      </c>
      <c r="U308" s="1" t="s">
        <v>22</v>
      </c>
      <c r="V308" s="1" t="s">
        <v>24</v>
      </c>
      <c r="W308" s="1" t="s">
        <v>24</v>
      </c>
      <c r="X308" s="1">
        <v>3400</v>
      </c>
      <c r="Y308" s="1" t="s">
        <v>24</v>
      </c>
      <c r="Z308" s="1" t="s">
        <v>24</v>
      </c>
      <c r="AA308" s="1" t="s">
        <v>24</v>
      </c>
      <c r="AB308" s="1" t="s">
        <v>24</v>
      </c>
      <c r="AC308" s="1" t="s">
        <v>24</v>
      </c>
      <c r="AD308" s="1" t="s">
        <v>24</v>
      </c>
      <c r="AE308" s="1" t="s">
        <v>24</v>
      </c>
      <c r="AF308" s="22"/>
    </row>
    <row r="309" spans="1:32" x14ac:dyDescent="0.2">
      <c r="A309" s="1">
        <v>1789</v>
      </c>
      <c r="B309" s="1" t="s">
        <v>1127</v>
      </c>
      <c r="C309" s="5" t="s">
        <v>0</v>
      </c>
      <c r="D309" s="1" t="s">
        <v>1128</v>
      </c>
      <c r="E309" s="1" t="s">
        <v>1129</v>
      </c>
      <c r="F309" s="1" t="s">
        <v>1130</v>
      </c>
      <c r="G309" s="1" t="s">
        <v>1130</v>
      </c>
      <c r="H309" s="1" t="s">
        <v>135</v>
      </c>
      <c r="I309" s="1" t="s">
        <v>16</v>
      </c>
      <c r="J309" s="1">
        <v>1</v>
      </c>
      <c r="K309" s="1">
        <v>6</v>
      </c>
      <c r="L309" s="1" t="s">
        <v>17</v>
      </c>
      <c r="M309" s="1" t="s">
        <v>1131</v>
      </c>
      <c r="N309" s="1" t="s">
        <v>1132</v>
      </c>
      <c r="O309" s="1">
        <v>3</v>
      </c>
      <c r="P309" s="1">
        <v>5</v>
      </c>
      <c r="R309" s="1" t="s">
        <v>19</v>
      </c>
      <c r="S309" s="1" t="s">
        <v>20</v>
      </c>
      <c r="T309" s="1" t="s">
        <v>21</v>
      </c>
      <c r="U309" s="1" t="s">
        <v>22</v>
      </c>
      <c r="V309" s="1" t="s">
        <v>24</v>
      </c>
      <c r="W309" s="1" t="s">
        <v>24</v>
      </c>
      <c r="X309" s="1">
        <v>2728</v>
      </c>
      <c r="Y309" s="1">
        <v>2746</v>
      </c>
      <c r="Z309" s="1" t="s">
        <v>24</v>
      </c>
      <c r="AA309" s="1" t="s">
        <v>24</v>
      </c>
      <c r="AB309" s="1" t="s">
        <v>24</v>
      </c>
      <c r="AC309" s="1" t="s">
        <v>24</v>
      </c>
      <c r="AD309" s="1" t="s">
        <v>24</v>
      </c>
      <c r="AE309" s="1" t="s">
        <v>24</v>
      </c>
      <c r="AF309" s="22"/>
    </row>
    <row r="310" spans="1:32" x14ac:dyDescent="0.2">
      <c r="A310" s="1">
        <v>1793</v>
      </c>
      <c r="B310" s="1" t="s">
        <v>1133</v>
      </c>
      <c r="C310" s="5" t="s">
        <v>0</v>
      </c>
      <c r="D310" s="1" t="s">
        <v>1134</v>
      </c>
      <c r="E310" s="1" t="s">
        <v>1135</v>
      </c>
      <c r="F310" s="1" t="s">
        <v>272</v>
      </c>
      <c r="G310" s="1" t="s">
        <v>61</v>
      </c>
      <c r="H310" s="1" t="s">
        <v>30</v>
      </c>
      <c r="I310" s="1" t="s">
        <v>16</v>
      </c>
      <c r="J310" s="1">
        <v>1</v>
      </c>
      <c r="K310" s="1">
        <v>1</v>
      </c>
      <c r="L310" s="1" t="s">
        <v>31</v>
      </c>
      <c r="M310" s="1" t="s">
        <v>18</v>
      </c>
      <c r="N310" s="1" t="s">
        <v>18</v>
      </c>
      <c r="O310" s="1">
        <v>3</v>
      </c>
      <c r="P310" s="1">
        <v>7</v>
      </c>
      <c r="Q310" s="7" t="s">
        <v>17633</v>
      </c>
      <c r="R310" s="1" t="s">
        <v>19</v>
      </c>
      <c r="S310" s="1" t="s">
        <v>63</v>
      </c>
      <c r="T310" s="1" t="s">
        <v>21</v>
      </c>
      <c r="U310" s="1" t="s">
        <v>22</v>
      </c>
      <c r="V310" s="1" t="s">
        <v>24</v>
      </c>
      <c r="W310" s="1" t="s">
        <v>24</v>
      </c>
      <c r="X310" s="1">
        <v>1308</v>
      </c>
      <c r="Y310" s="1" t="s">
        <v>24</v>
      </c>
      <c r="Z310" s="1" t="s">
        <v>24</v>
      </c>
      <c r="AA310" s="1" t="s">
        <v>24</v>
      </c>
      <c r="AB310" s="1" t="s">
        <v>24</v>
      </c>
      <c r="AC310" s="1" t="s">
        <v>24</v>
      </c>
      <c r="AD310" s="1" t="s">
        <v>24</v>
      </c>
      <c r="AE310" s="1" t="s">
        <v>24</v>
      </c>
      <c r="AF310" s="22"/>
    </row>
    <row r="311" spans="1:32" x14ac:dyDescent="0.2">
      <c r="A311" s="1">
        <v>1794</v>
      </c>
      <c r="B311" s="1" t="s">
        <v>1136</v>
      </c>
      <c r="C311" s="5" t="s">
        <v>0</v>
      </c>
      <c r="D311" s="1" t="s">
        <v>1137</v>
      </c>
      <c r="E311" s="1" t="s">
        <v>1138</v>
      </c>
      <c r="F311" s="1" t="s">
        <v>155</v>
      </c>
      <c r="G311" s="1" t="s">
        <v>61</v>
      </c>
      <c r="H311" s="1" t="s">
        <v>37</v>
      </c>
      <c r="I311" s="1" t="s">
        <v>16</v>
      </c>
      <c r="J311" s="1">
        <v>1</v>
      </c>
      <c r="K311" s="1">
        <v>10</v>
      </c>
      <c r="L311" s="1" t="s">
        <v>31</v>
      </c>
      <c r="M311" s="1" t="s">
        <v>18</v>
      </c>
      <c r="N311" s="1" t="s">
        <v>18</v>
      </c>
      <c r="O311" s="1">
        <v>3</v>
      </c>
      <c r="P311" s="1">
        <v>7</v>
      </c>
      <c r="Q311" s="7" t="s">
        <v>17633</v>
      </c>
      <c r="R311" s="1" t="s">
        <v>19</v>
      </c>
      <c r="S311" s="1" t="s">
        <v>20</v>
      </c>
      <c r="T311" s="1" t="s">
        <v>21</v>
      </c>
      <c r="U311" s="1" t="s">
        <v>22</v>
      </c>
      <c r="V311" s="1" t="s">
        <v>23</v>
      </c>
      <c r="W311" s="1" t="s">
        <v>24</v>
      </c>
      <c r="X311" s="1">
        <v>2732</v>
      </c>
      <c r="Y311" s="1">
        <v>1304</v>
      </c>
      <c r="Z311" s="1" t="s">
        <v>24</v>
      </c>
      <c r="AA311" s="1" t="s">
        <v>24</v>
      </c>
      <c r="AB311" s="1" t="s">
        <v>24</v>
      </c>
      <c r="AC311" s="1" t="s">
        <v>24</v>
      </c>
      <c r="AD311" s="1" t="s">
        <v>24</v>
      </c>
      <c r="AE311" s="1" t="s">
        <v>24</v>
      </c>
      <c r="AF311" s="22"/>
    </row>
    <row r="312" spans="1:32" x14ac:dyDescent="0.2">
      <c r="A312" s="1">
        <v>1796</v>
      </c>
      <c r="B312" s="1" t="s">
        <v>1139</v>
      </c>
      <c r="C312" s="5" t="s">
        <v>0</v>
      </c>
      <c r="D312" s="1" t="s">
        <v>1140</v>
      </c>
      <c r="E312" s="1" t="s">
        <v>1141</v>
      </c>
      <c r="F312" s="1" t="s">
        <v>517</v>
      </c>
      <c r="G312" s="1" t="s">
        <v>36</v>
      </c>
      <c r="H312" s="1" t="s">
        <v>30</v>
      </c>
      <c r="I312" s="1" t="s">
        <v>16</v>
      </c>
      <c r="J312" s="1">
        <v>1</v>
      </c>
      <c r="K312" s="1">
        <v>12</v>
      </c>
      <c r="L312" s="1" t="s">
        <v>31</v>
      </c>
      <c r="M312" s="1" t="s">
        <v>18</v>
      </c>
      <c r="N312" s="1" t="s">
        <v>18</v>
      </c>
      <c r="O312" s="1">
        <v>3</v>
      </c>
      <c r="P312" s="1">
        <v>6</v>
      </c>
      <c r="R312" s="1" t="s">
        <v>19</v>
      </c>
      <c r="S312" s="1" t="s">
        <v>20</v>
      </c>
      <c r="T312" s="1" t="s">
        <v>21</v>
      </c>
      <c r="U312" s="1" t="s">
        <v>22</v>
      </c>
      <c r="V312" s="1" t="s">
        <v>24</v>
      </c>
      <c r="W312" s="1" t="s">
        <v>24</v>
      </c>
      <c r="X312" s="1">
        <v>2705</v>
      </c>
      <c r="Y312" s="1" t="s">
        <v>24</v>
      </c>
      <c r="Z312" s="1" t="s">
        <v>24</v>
      </c>
      <c r="AA312" s="1" t="s">
        <v>24</v>
      </c>
      <c r="AB312" s="1" t="s">
        <v>24</v>
      </c>
      <c r="AC312" s="1" t="s">
        <v>24</v>
      </c>
      <c r="AD312" s="1" t="s">
        <v>24</v>
      </c>
      <c r="AE312" s="1" t="s">
        <v>24</v>
      </c>
      <c r="AF312" s="22"/>
    </row>
    <row r="313" spans="1:32" x14ac:dyDescent="0.2">
      <c r="A313" s="1">
        <v>1798</v>
      </c>
      <c r="B313" s="1" t="s">
        <v>1142</v>
      </c>
      <c r="C313" s="5" t="s">
        <v>0</v>
      </c>
      <c r="D313" s="1" t="s">
        <v>1143</v>
      </c>
      <c r="E313" s="1" t="s">
        <v>1144</v>
      </c>
      <c r="F313" s="1" t="s">
        <v>1145</v>
      </c>
      <c r="G313" s="1" t="s">
        <v>1145</v>
      </c>
      <c r="H313" s="1" t="s">
        <v>30</v>
      </c>
      <c r="I313" s="1" t="s">
        <v>16</v>
      </c>
      <c r="J313" s="1">
        <v>1</v>
      </c>
      <c r="K313" s="1">
        <v>12</v>
      </c>
      <c r="L313" s="1" t="s">
        <v>42</v>
      </c>
      <c r="M313" s="1" t="s">
        <v>18</v>
      </c>
      <c r="N313" s="1" t="s">
        <v>18</v>
      </c>
      <c r="O313" s="1">
        <v>3</v>
      </c>
      <c r="P313" s="1">
        <v>6</v>
      </c>
      <c r="R313" s="1" t="s">
        <v>62</v>
      </c>
      <c r="S313" s="1" t="s">
        <v>20</v>
      </c>
      <c r="T313" s="1" t="s">
        <v>21</v>
      </c>
      <c r="U313" s="1" t="s">
        <v>22</v>
      </c>
      <c r="V313" s="1" t="s">
        <v>24</v>
      </c>
      <c r="W313" s="1" t="s">
        <v>24</v>
      </c>
      <c r="X313" s="1">
        <v>1308</v>
      </c>
      <c r="Y313" s="1">
        <v>2704</v>
      </c>
      <c r="Z313" s="1" t="s">
        <v>24</v>
      </c>
      <c r="AA313" s="1" t="s">
        <v>24</v>
      </c>
      <c r="AB313" s="1" t="s">
        <v>24</v>
      </c>
      <c r="AC313" s="1" t="s">
        <v>24</v>
      </c>
      <c r="AD313" s="1" t="s">
        <v>24</v>
      </c>
      <c r="AE313" s="1" t="s">
        <v>24</v>
      </c>
      <c r="AF313" s="22"/>
    </row>
    <row r="314" spans="1:32" x14ac:dyDescent="0.2">
      <c r="A314" s="1">
        <v>1802</v>
      </c>
      <c r="B314" s="1" t="s">
        <v>1146</v>
      </c>
      <c r="C314" s="5" t="s">
        <v>0</v>
      </c>
      <c r="D314" s="1" t="s">
        <v>1147</v>
      </c>
      <c r="E314" s="1" t="s">
        <v>1148</v>
      </c>
      <c r="F314" s="1" t="s">
        <v>35</v>
      </c>
      <c r="G314" s="1" t="s">
        <v>36</v>
      </c>
      <c r="H314" s="1" t="s">
        <v>37</v>
      </c>
      <c r="I314" s="1" t="s">
        <v>16</v>
      </c>
      <c r="J314" s="1">
        <v>2</v>
      </c>
      <c r="K314" s="1">
        <v>6</v>
      </c>
      <c r="L314" s="1" t="s">
        <v>31</v>
      </c>
      <c r="M314" s="1" t="s">
        <v>18</v>
      </c>
      <c r="N314" s="1" t="s">
        <v>18</v>
      </c>
      <c r="O314" s="1">
        <v>3</v>
      </c>
      <c r="P314" s="1">
        <v>7</v>
      </c>
      <c r="Q314" s="7" t="s">
        <v>17633</v>
      </c>
      <c r="R314" s="1" t="s">
        <v>62</v>
      </c>
      <c r="S314" s="1" t="s">
        <v>20</v>
      </c>
      <c r="T314" s="1" t="s">
        <v>21</v>
      </c>
      <c r="U314" s="1" t="s">
        <v>22</v>
      </c>
      <c r="V314" s="1" t="s">
        <v>24</v>
      </c>
      <c r="W314" s="1" t="s">
        <v>24</v>
      </c>
      <c r="X314" s="1">
        <v>2712</v>
      </c>
      <c r="Y314" s="1" t="s">
        <v>24</v>
      </c>
      <c r="Z314" s="1" t="s">
        <v>24</v>
      </c>
      <c r="AA314" s="1" t="s">
        <v>24</v>
      </c>
      <c r="AB314" s="1" t="s">
        <v>24</v>
      </c>
      <c r="AC314" s="1" t="s">
        <v>24</v>
      </c>
      <c r="AD314" s="1" t="s">
        <v>24</v>
      </c>
      <c r="AE314" s="1" t="s">
        <v>24</v>
      </c>
      <c r="AF314" s="22"/>
    </row>
    <row r="315" spans="1:32" x14ac:dyDescent="0.2">
      <c r="A315" s="1">
        <v>1807</v>
      </c>
      <c r="B315" s="1" t="s">
        <v>1149</v>
      </c>
      <c r="C315" s="5" t="s">
        <v>0</v>
      </c>
      <c r="D315" s="1" t="s">
        <v>1150</v>
      </c>
      <c r="E315" s="1" t="s">
        <v>1151</v>
      </c>
      <c r="F315" s="1" t="s">
        <v>35</v>
      </c>
      <c r="G315" s="1" t="s">
        <v>36</v>
      </c>
      <c r="H315" s="1" t="s">
        <v>37</v>
      </c>
      <c r="I315" s="1" t="s">
        <v>16</v>
      </c>
      <c r="J315" s="1">
        <v>2</v>
      </c>
      <c r="K315" s="1">
        <v>6</v>
      </c>
      <c r="L315" s="1" t="s">
        <v>31</v>
      </c>
      <c r="M315" s="1" t="s">
        <v>18</v>
      </c>
      <c r="N315" s="1" t="s">
        <v>18</v>
      </c>
      <c r="O315" s="1">
        <v>3</v>
      </c>
      <c r="P315" s="1">
        <v>7</v>
      </c>
      <c r="Q315" s="7" t="s">
        <v>17633</v>
      </c>
      <c r="R315" s="1" t="s">
        <v>62</v>
      </c>
      <c r="S315" s="1" t="s">
        <v>20</v>
      </c>
      <c r="T315" s="1" t="s">
        <v>21</v>
      </c>
      <c r="U315" s="1" t="s">
        <v>22</v>
      </c>
      <c r="V315" s="1" t="s">
        <v>24</v>
      </c>
      <c r="W315" s="1" t="s">
        <v>24</v>
      </c>
      <c r="X315" s="1">
        <v>2716</v>
      </c>
      <c r="Y315" s="1">
        <v>1311</v>
      </c>
      <c r="Z315" s="1" t="s">
        <v>24</v>
      </c>
      <c r="AA315" s="1" t="s">
        <v>24</v>
      </c>
      <c r="AB315" s="1" t="s">
        <v>24</v>
      </c>
      <c r="AC315" s="1" t="s">
        <v>24</v>
      </c>
      <c r="AD315" s="1" t="s">
        <v>24</v>
      </c>
      <c r="AE315" s="1" t="s">
        <v>24</v>
      </c>
      <c r="AF315" s="22"/>
    </row>
    <row r="316" spans="1:32" x14ac:dyDescent="0.2">
      <c r="A316" s="1">
        <v>1814</v>
      </c>
      <c r="B316" s="1" t="s">
        <v>1152</v>
      </c>
      <c r="C316" s="5" t="s">
        <v>0</v>
      </c>
      <c r="D316" s="1" t="s">
        <v>1153</v>
      </c>
      <c r="E316" s="1" t="s">
        <v>1154</v>
      </c>
      <c r="F316" s="1" t="s">
        <v>60</v>
      </c>
      <c r="G316" s="1" t="s">
        <v>61</v>
      </c>
      <c r="H316" s="1" t="s">
        <v>30</v>
      </c>
      <c r="I316" s="1" t="s">
        <v>16</v>
      </c>
      <c r="J316" s="1">
        <v>6</v>
      </c>
      <c r="K316" s="1">
        <v>2</v>
      </c>
      <c r="L316" s="1" t="s">
        <v>31</v>
      </c>
      <c r="M316" s="1" t="s">
        <v>18</v>
      </c>
      <c r="N316" s="1" t="s">
        <v>18</v>
      </c>
      <c r="O316" s="1">
        <v>3</v>
      </c>
      <c r="P316" s="1">
        <v>7</v>
      </c>
      <c r="Q316" s="7" t="s">
        <v>17633</v>
      </c>
      <c r="R316" s="1" t="s">
        <v>19</v>
      </c>
      <c r="S316" s="1" t="s">
        <v>63</v>
      </c>
      <c r="T316" s="1" t="s">
        <v>21</v>
      </c>
      <c r="U316" s="1" t="s">
        <v>22</v>
      </c>
      <c r="V316" s="1" t="s">
        <v>24</v>
      </c>
      <c r="W316" s="1" t="s">
        <v>24</v>
      </c>
      <c r="X316" s="1">
        <v>2403</v>
      </c>
      <c r="Y316" s="1" t="s">
        <v>24</v>
      </c>
      <c r="Z316" s="1" t="s">
        <v>24</v>
      </c>
      <c r="AA316" s="1" t="s">
        <v>24</v>
      </c>
      <c r="AB316" s="1" t="s">
        <v>24</v>
      </c>
      <c r="AC316" s="1" t="s">
        <v>24</v>
      </c>
      <c r="AD316" s="1" t="s">
        <v>24</v>
      </c>
      <c r="AE316" s="1" t="s">
        <v>24</v>
      </c>
      <c r="AF316" s="22"/>
    </row>
    <row r="317" spans="1:32" x14ac:dyDescent="0.2">
      <c r="A317" s="1">
        <v>1817</v>
      </c>
      <c r="B317" s="1" t="s">
        <v>1155</v>
      </c>
      <c r="C317" s="5" t="s">
        <v>0</v>
      </c>
      <c r="D317" s="1" t="s">
        <v>1156</v>
      </c>
      <c r="E317" s="1" t="s">
        <v>1157</v>
      </c>
      <c r="F317" s="1" t="s">
        <v>303</v>
      </c>
      <c r="G317" s="1" t="s">
        <v>61</v>
      </c>
      <c r="H317" s="1" t="s">
        <v>30</v>
      </c>
      <c r="I317" s="1" t="s">
        <v>16</v>
      </c>
      <c r="J317" s="1">
        <v>1</v>
      </c>
      <c r="K317" s="1">
        <v>4</v>
      </c>
      <c r="L317" s="1" t="s">
        <v>31</v>
      </c>
      <c r="M317" s="1" t="s">
        <v>18</v>
      </c>
      <c r="N317" s="1" t="s">
        <v>18</v>
      </c>
      <c r="O317" s="1">
        <v>2</v>
      </c>
      <c r="P317" s="1">
        <v>7</v>
      </c>
      <c r="Q317" s="7" t="s">
        <v>17633</v>
      </c>
      <c r="R317" s="1" t="s">
        <v>19</v>
      </c>
      <c r="S317" s="1" t="s">
        <v>20</v>
      </c>
      <c r="T317" s="1" t="s">
        <v>21</v>
      </c>
      <c r="U317" s="1" t="s">
        <v>22</v>
      </c>
      <c r="V317" s="1" t="s">
        <v>23</v>
      </c>
      <c r="W317" s="1" t="s">
        <v>24</v>
      </c>
      <c r="X317" s="1">
        <v>2704</v>
      </c>
      <c r="Y317" s="1">
        <v>1308</v>
      </c>
      <c r="Z317" s="1" t="s">
        <v>24</v>
      </c>
      <c r="AA317" s="1" t="s">
        <v>24</v>
      </c>
      <c r="AB317" s="1" t="s">
        <v>24</v>
      </c>
      <c r="AC317" s="1" t="s">
        <v>24</v>
      </c>
      <c r="AD317" s="1" t="s">
        <v>24</v>
      </c>
      <c r="AE317" s="1" t="s">
        <v>24</v>
      </c>
      <c r="AF317" s="22"/>
    </row>
    <row r="318" spans="1:32" x14ac:dyDescent="0.2">
      <c r="A318" s="1">
        <v>1820</v>
      </c>
      <c r="B318" s="1" t="s">
        <v>1158</v>
      </c>
      <c r="C318" s="5" t="s">
        <v>0</v>
      </c>
      <c r="D318" s="1" t="s">
        <v>1159</v>
      </c>
      <c r="E318" s="1" t="s">
        <v>1160</v>
      </c>
      <c r="F318" s="1" t="s">
        <v>28</v>
      </c>
      <c r="G318" s="1" t="s">
        <v>29</v>
      </c>
      <c r="H318" s="1" t="s">
        <v>30</v>
      </c>
      <c r="I318" s="1" t="s">
        <v>16</v>
      </c>
      <c r="J318" s="1">
        <v>1</v>
      </c>
      <c r="K318" s="1">
        <v>6</v>
      </c>
      <c r="L318" s="1" t="s">
        <v>31</v>
      </c>
      <c r="M318" s="1" t="s">
        <v>18</v>
      </c>
      <c r="N318" s="1" t="s">
        <v>18</v>
      </c>
      <c r="O318" s="1">
        <v>3</v>
      </c>
      <c r="P318" s="1">
        <v>7</v>
      </c>
      <c r="Q318" s="7" t="s">
        <v>17633</v>
      </c>
      <c r="R318" s="1" t="s">
        <v>19</v>
      </c>
      <c r="S318" s="1" t="s">
        <v>20</v>
      </c>
      <c r="T318" s="1" t="s">
        <v>21</v>
      </c>
      <c r="U318" s="1" t="s">
        <v>22</v>
      </c>
      <c r="V318" s="1" t="s">
        <v>24</v>
      </c>
      <c r="W318" s="1" t="s">
        <v>24</v>
      </c>
      <c r="X318" s="1">
        <v>2736</v>
      </c>
      <c r="Y318" s="1">
        <v>3004</v>
      </c>
      <c r="Z318" s="1">
        <v>2728</v>
      </c>
      <c r="AA318" s="1" t="s">
        <v>24</v>
      </c>
      <c r="AB318" s="1" t="s">
        <v>24</v>
      </c>
      <c r="AC318" s="1" t="s">
        <v>24</v>
      </c>
      <c r="AD318" s="1" t="s">
        <v>24</v>
      </c>
      <c r="AE318" s="1" t="s">
        <v>24</v>
      </c>
      <c r="AF318" s="22"/>
    </row>
    <row r="319" spans="1:32" x14ac:dyDescent="0.2">
      <c r="A319" s="1">
        <v>1821</v>
      </c>
      <c r="B319" s="1" t="s">
        <v>1161</v>
      </c>
      <c r="C319" s="5" t="s">
        <v>0</v>
      </c>
      <c r="D319" s="1" t="s">
        <v>1162</v>
      </c>
      <c r="F319" s="1" t="s">
        <v>437</v>
      </c>
      <c r="G319" s="1" t="s">
        <v>437</v>
      </c>
      <c r="H319" s="1" t="s">
        <v>168</v>
      </c>
      <c r="I319" s="1" t="s">
        <v>16</v>
      </c>
      <c r="J319" s="1">
        <v>2</v>
      </c>
      <c r="K319" s="1">
        <v>6</v>
      </c>
      <c r="L319" s="1" t="s">
        <v>42</v>
      </c>
      <c r="M319" s="1" t="s">
        <v>18</v>
      </c>
      <c r="N319" s="1" t="s">
        <v>18</v>
      </c>
      <c r="O319" s="1">
        <v>3</v>
      </c>
      <c r="P319" s="1">
        <v>6</v>
      </c>
      <c r="R319" s="1" t="s">
        <v>19</v>
      </c>
      <c r="S319" s="1" t="s">
        <v>20</v>
      </c>
      <c r="T319" s="1" t="s">
        <v>21</v>
      </c>
      <c r="U319" s="1" t="s">
        <v>22</v>
      </c>
      <c r="V319" s="1" t="s">
        <v>24</v>
      </c>
      <c r="W319" s="1" t="s">
        <v>24</v>
      </c>
      <c r="X319" s="1">
        <v>2727</v>
      </c>
      <c r="Y319" s="1" t="s">
        <v>24</v>
      </c>
      <c r="Z319" s="1" t="s">
        <v>24</v>
      </c>
      <c r="AA319" s="1" t="s">
        <v>24</v>
      </c>
      <c r="AB319" s="1" t="s">
        <v>24</v>
      </c>
      <c r="AC319" s="1" t="s">
        <v>24</v>
      </c>
      <c r="AD319" s="1" t="s">
        <v>24</v>
      </c>
      <c r="AE319" s="1" t="s">
        <v>24</v>
      </c>
      <c r="AF319" s="22"/>
    </row>
    <row r="320" spans="1:32" x14ac:dyDescent="0.2">
      <c r="A320" s="1">
        <v>1822</v>
      </c>
      <c r="B320" s="1" t="s">
        <v>1163</v>
      </c>
      <c r="C320" s="5" t="s">
        <v>0</v>
      </c>
      <c r="D320" s="1" t="s">
        <v>1164</v>
      </c>
      <c r="F320" s="1" t="s">
        <v>437</v>
      </c>
      <c r="G320" s="1" t="s">
        <v>437</v>
      </c>
      <c r="H320" s="1" t="s">
        <v>168</v>
      </c>
      <c r="I320" s="1" t="s">
        <v>16</v>
      </c>
      <c r="J320" s="1">
        <v>1</v>
      </c>
      <c r="K320" s="1">
        <v>6</v>
      </c>
      <c r="L320" s="1" t="s">
        <v>42</v>
      </c>
      <c r="M320" s="1" t="s">
        <v>18</v>
      </c>
      <c r="N320" s="1" t="s">
        <v>18</v>
      </c>
      <c r="O320" s="1">
        <v>3</v>
      </c>
      <c r="P320" s="1">
        <v>7</v>
      </c>
      <c r="Q320" s="7" t="s">
        <v>17633</v>
      </c>
      <c r="R320" s="1" t="s">
        <v>19</v>
      </c>
      <c r="S320" s="1" t="s">
        <v>20</v>
      </c>
      <c r="T320" s="1" t="s">
        <v>21</v>
      </c>
      <c r="U320" s="1" t="s">
        <v>22</v>
      </c>
      <c r="V320" s="1" t="s">
        <v>24</v>
      </c>
      <c r="W320" s="1" t="s">
        <v>24</v>
      </c>
      <c r="X320" s="1">
        <v>2728</v>
      </c>
      <c r="Y320" s="1">
        <v>2734</v>
      </c>
      <c r="Z320" s="1">
        <v>2808</v>
      </c>
      <c r="AA320" s="1" t="s">
        <v>24</v>
      </c>
      <c r="AB320" s="1" t="s">
        <v>24</v>
      </c>
      <c r="AC320" s="1" t="s">
        <v>24</v>
      </c>
      <c r="AD320" s="1" t="s">
        <v>24</v>
      </c>
      <c r="AE320" s="1" t="s">
        <v>24</v>
      </c>
      <c r="AF320" s="22"/>
    </row>
    <row r="321" spans="1:32" x14ac:dyDescent="0.2">
      <c r="A321" s="1">
        <v>1823</v>
      </c>
      <c r="B321" s="1" t="s">
        <v>1165</v>
      </c>
      <c r="C321" s="5" t="s">
        <v>0</v>
      </c>
      <c r="D321" s="1" t="s">
        <v>1166</v>
      </c>
      <c r="E321" s="1" t="s">
        <v>1167</v>
      </c>
      <c r="F321" s="1" t="s">
        <v>831</v>
      </c>
      <c r="G321" s="1" t="s">
        <v>61</v>
      </c>
      <c r="H321" s="1" t="s">
        <v>37</v>
      </c>
      <c r="I321" s="1" t="s">
        <v>16</v>
      </c>
      <c r="J321" s="1">
        <v>1</v>
      </c>
      <c r="K321" s="1">
        <v>6</v>
      </c>
      <c r="L321" s="1" t="s">
        <v>31</v>
      </c>
      <c r="M321" s="1" t="s">
        <v>18</v>
      </c>
      <c r="N321" s="1" t="s">
        <v>18</v>
      </c>
      <c r="O321" s="1">
        <v>3</v>
      </c>
      <c r="P321" s="1">
        <v>5</v>
      </c>
      <c r="R321" s="1" t="s">
        <v>19</v>
      </c>
      <c r="S321" s="1" t="s">
        <v>20</v>
      </c>
      <c r="T321" s="1" t="s">
        <v>21</v>
      </c>
      <c r="U321" s="1" t="s">
        <v>22</v>
      </c>
      <c r="V321" s="1" t="s">
        <v>23</v>
      </c>
      <c r="W321" s="1" t="s">
        <v>24</v>
      </c>
      <c r="X321" s="1">
        <v>2706</v>
      </c>
      <c r="Y321" s="1">
        <v>2916</v>
      </c>
      <c r="Z321" s="1" t="s">
        <v>24</v>
      </c>
      <c r="AA321" s="1" t="s">
        <v>24</v>
      </c>
      <c r="AB321" s="1" t="s">
        <v>24</v>
      </c>
      <c r="AC321" s="1" t="s">
        <v>24</v>
      </c>
      <c r="AD321" s="1" t="s">
        <v>24</v>
      </c>
      <c r="AE321" s="1" t="s">
        <v>24</v>
      </c>
      <c r="AF321" s="22"/>
    </row>
    <row r="322" spans="1:32" x14ac:dyDescent="0.2">
      <c r="A322" s="1">
        <v>1828</v>
      </c>
      <c r="B322" s="1" t="s">
        <v>1168</v>
      </c>
      <c r="C322" s="5" t="s">
        <v>0</v>
      </c>
      <c r="D322" s="1" t="s">
        <v>1169</v>
      </c>
      <c r="E322" s="1" t="s">
        <v>1170</v>
      </c>
      <c r="F322" s="1" t="s">
        <v>303</v>
      </c>
      <c r="G322" s="1" t="s">
        <v>61</v>
      </c>
      <c r="H322" s="1" t="s">
        <v>30</v>
      </c>
      <c r="I322" s="1" t="s">
        <v>16</v>
      </c>
      <c r="J322" s="1">
        <v>1</v>
      </c>
      <c r="K322" s="1">
        <v>4</v>
      </c>
      <c r="L322" s="1" t="s">
        <v>31</v>
      </c>
      <c r="M322" s="1" t="s">
        <v>18</v>
      </c>
      <c r="N322" s="1" t="s">
        <v>18</v>
      </c>
      <c r="O322" s="1">
        <v>2</v>
      </c>
      <c r="P322" s="1">
        <v>7</v>
      </c>
      <c r="Q322" s="7" t="s">
        <v>17633</v>
      </c>
      <c r="R322" s="1" t="s">
        <v>19</v>
      </c>
      <c r="S322" s="1" t="s">
        <v>20</v>
      </c>
      <c r="T322" s="1" t="s">
        <v>21</v>
      </c>
      <c r="U322" s="1" t="s">
        <v>22</v>
      </c>
      <c r="V322" s="1" t="s">
        <v>23</v>
      </c>
      <c r="W322" s="1" t="s">
        <v>24</v>
      </c>
      <c r="X322" s="1">
        <v>2735</v>
      </c>
      <c r="Y322" s="1">
        <v>2729</v>
      </c>
      <c r="Z322" s="1" t="s">
        <v>24</v>
      </c>
      <c r="AA322" s="1" t="s">
        <v>24</v>
      </c>
      <c r="AB322" s="1" t="s">
        <v>24</v>
      </c>
      <c r="AC322" s="1" t="s">
        <v>24</v>
      </c>
      <c r="AD322" s="1" t="s">
        <v>24</v>
      </c>
      <c r="AE322" s="1" t="s">
        <v>24</v>
      </c>
      <c r="AF322" s="22"/>
    </row>
    <row r="323" spans="1:32" x14ac:dyDescent="0.2">
      <c r="A323" s="1">
        <v>1833</v>
      </c>
      <c r="B323" s="1" t="s">
        <v>1171</v>
      </c>
      <c r="C323" s="5" t="s">
        <v>0</v>
      </c>
      <c r="D323" s="1" t="s">
        <v>1172</v>
      </c>
      <c r="E323" s="1" t="s">
        <v>1173</v>
      </c>
      <c r="F323" s="1" t="s">
        <v>315</v>
      </c>
      <c r="G323" s="1" t="s">
        <v>316</v>
      </c>
      <c r="H323" s="1" t="s">
        <v>37</v>
      </c>
      <c r="I323" s="1" t="s">
        <v>16</v>
      </c>
      <c r="J323" s="1">
        <v>2</v>
      </c>
      <c r="K323" s="1">
        <v>6</v>
      </c>
      <c r="L323" s="1" t="s">
        <v>31</v>
      </c>
      <c r="M323" s="1" t="s">
        <v>18</v>
      </c>
      <c r="N323" s="1" t="s">
        <v>18</v>
      </c>
      <c r="O323" s="1">
        <v>3</v>
      </c>
      <c r="P323" s="1">
        <v>7</v>
      </c>
      <c r="Q323" s="7" t="s">
        <v>17633</v>
      </c>
      <c r="R323" s="1" t="s">
        <v>62</v>
      </c>
      <c r="S323" s="1" t="s">
        <v>20</v>
      </c>
      <c r="T323" s="1" t="s">
        <v>21</v>
      </c>
      <c r="U323" s="1" t="s">
        <v>22</v>
      </c>
      <c r="V323" s="1" t="s">
        <v>24</v>
      </c>
      <c r="W323" s="1" t="s">
        <v>64</v>
      </c>
      <c r="X323" s="1">
        <v>3004</v>
      </c>
      <c r="Y323" s="1">
        <v>2736</v>
      </c>
      <c r="Z323" s="1" t="s">
        <v>24</v>
      </c>
      <c r="AA323" s="1" t="s">
        <v>24</v>
      </c>
      <c r="AB323" s="1" t="s">
        <v>24</v>
      </c>
      <c r="AC323" s="1" t="s">
        <v>24</v>
      </c>
      <c r="AD323" s="1" t="s">
        <v>24</v>
      </c>
      <c r="AE323" s="1" t="s">
        <v>24</v>
      </c>
      <c r="AF323" s="22"/>
    </row>
    <row r="324" spans="1:32" x14ac:dyDescent="0.2">
      <c r="A324" s="1">
        <v>1834</v>
      </c>
      <c r="B324" s="1" t="s">
        <v>1174</v>
      </c>
      <c r="C324" s="5" t="s">
        <v>0</v>
      </c>
      <c r="D324" s="1" t="s">
        <v>1175</v>
      </c>
      <c r="E324" s="1" t="s">
        <v>1176</v>
      </c>
      <c r="F324" s="1" t="s">
        <v>1177</v>
      </c>
      <c r="G324" s="1" t="s">
        <v>61</v>
      </c>
      <c r="H324" s="1" t="s">
        <v>37</v>
      </c>
      <c r="I324" s="1" t="s">
        <v>16</v>
      </c>
      <c r="J324" s="1">
        <v>1</v>
      </c>
      <c r="K324" s="1">
        <v>12</v>
      </c>
      <c r="L324" s="1" t="s">
        <v>31</v>
      </c>
      <c r="M324" s="1" t="s">
        <v>18</v>
      </c>
      <c r="N324" s="1" t="s">
        <v>18</v>
      </c>
      <c r="O324" s="1">
        <v>3</v>
      </c>
      <c r="P324" s="1">
        <v>7</v>
      </c>
      <c r="Q324" s="7" t="s">
        <v>17633</v>
      </c>
      <c r="R324" s="1" t="s">
        <v>19</v>
      </c>
      <c r="S324" s="1" t="s">
        <v>20</v>
      </c>
      <c r="T324" s="1" t="s">
        <v>21</v>
      </c>
      <c r="U324" s="1" t="s">
        <v>22</v>
      </c>
      <c r="V324" s="1" t="s">
        <v>23</v>
      </c>
      <c r="W324" s="1" t="s">
        <v>24</v>
      </c>
      <c r="X324" s="1">
        <v>2741</v>
      </c>
      <c r="Y324" s="1" t="s">
        <v>24</v>
      </c>
      <c r="Z324" s="1" t="s">
        <v>24</v>
      </c>
      <c r="AA324" s="1" t="s">
        <v>24</v>
      </c>
      <c r="AB324" s="1" t="s">
        <v>24</v>
      </c>
      <c r="AC324" s="1" t="s">
        <v>24</v>
      </c>
      <c r="AD324" s="1" t="s">
        <v>24</v>
      </c>
      <c r="AE324" s="1" t="s">
        <v>24</v>
      </c>
      <c r="AF324" s="22"/>
    </row>
    <row r="325" spans="1:32" x14ac:dyDescent="0.2">
      <c r="A325" s="1">
        <v>1836</v>
      </c>
      <c r="B325" s="1" t="s">
        <v>1178</v>
      </c>
      <c r="C325" s="5" t="s">
        <v>0</v>
      </c>
      <c r="D325" s="1" t="s">
        <v>1179</v>
      </c>
      <c r="E325" s="1" t="s">
        <v>1180</v>
      </c>
      <c r="F325" s="1" t="s">
        <v>1181</v>
      </c>
      <c r="G325" s="1" t="s">
        <v>130</v>
      </c>
      <c r="H325" s="1" t="s">
        <v>37</v>
      </c>
      <c r="I325" s="1" t="s">
        <v>16</v>
      </c>
      <c r="J325" s="1">
        <v>1</v>
      </c>
      <c r="K325" s="1">
        <v>12</v>
      </c>
      <c r="L325" s="1" t="s">
        <v>31</v>
      </c>
      <c r="M325" s="1" t="s">
        <v>18</v>
      </c>
      <c r="N325" s="1" t="s">
        <v>18</v>
      </c>
      <c r="O325" s="1">
        <v>3</v>
      </c>
      <c r="P325" s="1">
        <v>7</v>
      </c>
      <c r="Q325" s="7" t="s">
        <v>17633</v>
      </c>
      <c r="R325" s="1" t="s">
        <v>19</v>
      </c>
      <c r="S325" s="1" t="s">
        <v>20</v>
      </c>
      <c r="T325" s="1" t="s">
        <v>21</v>
      </c>
      <c r="U325" s="1" t="s">
        <v>22</v>
      </c>
      <c r="V325" s="1" t="s">
        <v>24</v>
      </c>
      <c r="W325" s="1" t="s">
        <v>24</v>
      </c>
      <c r="X325" s="1">
        <v>2745</v>
      </c>
      <c r="Y325" s="1" t="s">
        <v>24</v>
      </c>
      <c r="Z325" s="1" t="s">
        <v>24</v>
      </c>
      <c r="AA325" s="1" t="s">
        <v>24</v>
      </c>
      <c r="AB325" s="1" t="s">
        <v>24</v>
      </c>
      <c r="AC325" s="1" t="s">
        <v>24</v>
      </c>
      <c r="AD325" s="1" t="s">
        <v>24</v>
      </c>
      <c r="AE325" s="1" t="s">
        <v>24</v>
      </c>
      <c r="AF325" s="22"/>
    </row>
    <row r="326" spans="1:32" x14ac:dyDescent="0.2">
      <c r="A326" s="1">
        <v>1837</v>
      </c>
      <c r="B326" s="1" t="s">
        <v>1182</v>
      </c>
      <c r="C326" s="5" t="s">
        <v>0</v>
      </c>
      <c r="D326" s="1" t="s">
        <v>1183</v>
      </c>
      <c r="E326" s="1" t="s">
        <v>1184</v>
      </c>
      <c r="F326" s="1" t="s">
        <v>1185</v>
      </c>
      <c r="G326" s="1" t="s">
        <v>1185</v>
      </c>
      <c r="H326" s="1" t="s">
        <v>684</v>
      </c>
      <c r="I326" s="1" t="s">
        <v>16</v>
      </c>
      <c r="J326" s="1">
        <v>1</v>
      </c>
      <c r="K326" s="1">
        <v>6</v>
      </c>
      <c r="L326" s="1" t="s">
        <v>42</v>
      </c>
      <c r="M326" s="1" t="s">
        <v>852</v>
      </c>
      <c r="N326" s="1" t="s">
        <v>18</v>
      </c>
      <c r="O326" s="1">
        <v>2</v>
      </c>
      <c r="P326" s="1">
        <v>4</v>
      </c>
      <c r="R326" s="1" t="s">
        <v>19</v>
      </c>
      <c r="S326" s="1" t="s">
        <v>20</v>
      </c>
      <c r="T326" s="1" t="s">
        <v>21</v>
      </c>
      <c r="U326" s="1" t="s">
        <v>22</v>
      </c>
      <c r="V326" s="1" t="s">
        <v>24</v>
      </c>
      <c r="W326" s="1" t="s">
        <v>24</v>
      </c>
      <c r="X326" s="1">
        <v>2700</v>
      </c>
      <c r="Y326" s="1" t="s">
        <v>24</v>
      </c>
      <c r="Z326" s="1" t="s">
        <v>24</v>
      </c>
      <c r="AA326" s="1" t="s">
        <v>24</v>
      </c>
      <c r="AB326" s="1" t="s">
        <v>24</v>
      </c>
      <c r="AC326" s="1" t="s">
        <v>24</v>
      </c>
      <c r="AD326" s="1" t="s">
        <v>24</v>
      </c>
      <c r="AE326" s="1" t="s">
        <v>24</v>
      </c>
      <c r="AF326" s="22"/>
    </row>
    <row r="327" spans="1:32" x14ac:dyDescent="0.2">
      <c r="A327" s="1">
        <v>1838</v>
      </c>
      <c r="B327" s="1" t="s">
        <v>1186</v>
      </c>
      <c r="C327" s="5" t="s">
        <v>0</v>
      </c>
      <c r="D327" s="1" t="s">
        <v>1187</v>
      </c>
      <c r="E327" s="1" t="s">
        <v>1188</v>
      </c>
      <c r="F327" s="1" t="s">
        <v>1189</v>
      </c>
      <c r="G327" s="1" t="s">
        <v>61</v>
      </c>
      <c r="H327" s="1" t="s">
        <v>30</v>
      </c>
      <c r="I327" s="1" t="s">
        <v>16</v>
      </c>
      <c r="J327" s="1">
        <v>1</v>
      </c>
      <c r="K327" s="1">
        <v>12</v>
      </c>
      <c r="L327" s="1" t="s">
        <v>31</v>
      </c>
      <c r="M327" s="1" t="s">
        <v>18</v>
      </c>
      <c r="N327" s="1" t="s">
        <v>18</v>
      </c>
      <c r="O327" s="1">
        <v>3</v>
      </c>
      <c r="P327" s="1">
        <v>6</v>
      </c>
      <c r="R327" s="1" t="s">
        <v>62</v>
      </c>
      <c r="S327" s="1" t="s">
        <v>20</v>
      </c>
      <c r="T327" s="1" t="s">
        <v>21</v>
      </c>
      <c r="U327" s="1" t="s">
        <v>22</v>
      </c>
      <c r="V327" s="1" t="s">
        <v>23</v>
      </c>
      <c r="W327" s="1" t="s">
        <v>64</v>
      </c>
      <c r="X327" s="1">
        <v>3004</v>
      </c>
      <c r="Y327" s="1">
        <v>2736</v>
      </c>
      <c r="Z327" s="1" t="s">
        <v>24</v>
      </c>
      <c r="AA327" s="1" t="s">
        <v>24</v>
      </c>
      <c r="AB327" s="1" t="s">
        <v>24</v>
      </c>
      <c r="AC327" s="1" t="s">
        <v>24</v>
      </c>
      <c r="AD327" s="1" t="s">
        <v>24</v>
      </c>
      <c r="AE327" s="1" t="s">
        <v>24</v>
      </c>
      <c r="AF327" s="22"/>
    </row>
    <row r="328" spans="1:32" x14ac:dyDescent="0.2">
      <c r="A328" s="1">
        <v>1843</v>
      </c>
      <c r="B328" s="1" t="s">
        <v>1190</v>
      </c>
      <c r="C328" s="5" t="s">
        <v>0</v>
      </c>
      <c r="D328" s="1" t="s">
        <v>1191</v>
      </c>
      <c r="E328" s="1" t="s">
        <v>1192</v>
      </c>
      <c r="F328" s="1" t="s">
        <v>1193</v>
      </c>
      <c r="G328" s="1" t="s">
        <v>1194</v>
      </c>
      <c r="H328" s="1" t="s">
        <v>731</v>
      </c>
      <c r="I328" s="1" t="s">
        <v>16</v>
      </c>
      <c r="J328" s="1">
        <v>2</v>
      </c>
      <c r="K328" s="1">
        <v>12</v>
      </c>
      <c r="L328" s="1" t="s">
        <v>42</v>
      </c>
      <c r="M328" s="1" t="s">
        <v>105</v>
      </c>
      <c r="N328" s="1" t="s">
        <v>105</v>
      </c>
      <c r="O328" s="1">
        <v>3</v>
      </c>
      <c r="P328" s="1">
        <v>6</v>
      </c>
      <c r="R328" s="1" t="s">
        <v>62</v>
      </c>
      <c r="S328" s="1" t="s">
        <v>20</v>
      </c>
      <c r="T328" s="1" t="s">
        <v>21</v>
      </c>
      <c r="U328" s="1" t="s">
        <v>22</v>
      </c>
      <c r="V328" s="1" t="s">
        <v>23</v>
      </c>
      <c r="W328" s="1" t="s">
        <v>24</v>
      </c>
      <c r="X328" s="1">
        <v>2700</v>
      </c>
      <c r="Y328" s="1" t="s">
        <v>24</v>
      </c>
      <c r="Z328" s="1" t="s">
        <v>24</v>
      </c>
      <c r="AA328" s="1" t="s">
        <v>24</v>
      </c>
      <c r="AB328" s="1" t="s">
        <v>24</v>
      </c>
      <c r="AC328" s="1" t="s">
        <v>24</v>
      </c>
      <c r="AD328" s="1" t="s">
        <v>24</v>
      </c>
      <c r="AE328" s="1" t="s">
        <v>24</v>
      </c>
      <c r="AF328" s="22"/>
    </row>
    <row r="329" spans="1:32" x14ac:dyDescent="0.2">
      <c r="A329" s="1">
        <v>1844</v>
      </c>
      <c r="B329" s="1" t="s">
        <v>1195</v>
      </c>
      <c r="C329" s="5" t="s">
        <v>0</v>
      </c>
      <c r="D329" s="1" t="s">
        <v>1196</v>
      </c>
      <c r="E329" s="1" t="s">
        <v>1197</v>
      </c>
      <c r="F329" s="1" t="s">
        <v>1198</v>
      </c>
      <c r="G329" s="1" t="s">
        <v>1198</v>
      </c>
      <c r="H329" s="1" t="s">
        <v>86</v>
      </c>
      <c r="I329" s="1" t="s">
        <v>16</v>
      </c>
      <c r="J329" s="1">
        <v>1</v>
      </c>
      <c r="K329" s="1">
        <v>1</v>
      </c>
      <c r="L329" s="1" t="s">
        <v>42</v>
      </c>
      <c r="M329" s="1" t="s">
        <v>18</v>
      </c>
      <c r="N329" s="1" t="s">
        <v>18</v>
      </c>
      <c r="O329" s="1">
        <v>3</v>
      </c>
      <c r="P329" s="1">
        <v>6</v>
      </c>
      <c r="R329" s="1" t="s">
        <v>19</v>
      </c>
      <c r="S329" s="1" t="s">
        <v>63</v>
      </c>
      <c r="T329" s="1" t="s">
        <v>21</v>
      </c>
      <c r="U329" s="1" t="s">
        <v>22</v>
      </c>
      <c r="V329" s="1" t="s">
        <v>24</v>
      </c>
      <c r="W329" s="1" t="s">
        <v>24</v>
      </c>
      <c r="X329" s="1">
        <v>1312</v>
      </c>
      <c r="Y329" s="1">
        <v>1307</v>
      </c>
      <c r="Z329" s="1">
        <v>1303</v>
      </c>
      <c r="AA329" s="1" t="s">
        <v>24</v>
      </c>
      <c r="AB329" s="1" t="s">
        <v>24</v>
      </c>
      <c r="AC329" s="1" t="s">
        <v>24</v>
      </c>
      <c r="AD329" s="1" t="s">
        <v>24</v>
      </c>
      <c r="AE329" s="1" t="s">
        <v>24</v>
      </c>
      <c r="AF329" s="22"/>
    </row>
    <row r="330" spans="1:32" x14ac:dyDescent="0.2">
      <c r="A330" s="1">
        <v>1848</v>
      </c>
      <c r="B330" s="1" t="s">
        <v>1199</v>
      </c>
      <c r="C330" s="5" t="s">
        <v>0</v>
      </c>
      <c r="D330" s="1" t="s">
        <v>1200</v>
      </c>
      <c r="F330" s="1" t="s">
        <v>1065</v>
      </c>
      <c r="G330" s="1" t="s">
        <v>1065</v>
      </c>
      <c r="H330" s="1" t="s">
        <v>1007</v>
      </c>
      <c r="I330" s="1" t="s">
        <v>16</v>
      </c>
      <c r="J330" s="1">
        <v>1</v>
      </c>
      <c r="K330" s="1">
        <v>24</v>
      </c>
      <c r="L330" s="1" t="s">
        <v>42</v>
      </c>
      <c r="M330" s="1" t="s">
        <v>18</v>
      </c>
      <c r="N330" s="1" t="s">
        <v>18</v>
      </c>
      <c r="O330" s="1">
        <v>3</v>
      </c>
      <c r="P330" s="1">
        <v>5</v>
      </c>
      <c r="R330" s="1" t="s">
        <v>19</v>
      </c>
      <c r="S330" s="1" t="s">
        <v>20</v>
      </c>
      <c r="T330" s="1" t="s">
        <v>21</v>
      </c>
      <c r="U330" s="1" t="s">
        <v>22</v>
      </c>
      <c r="V330" s="1" t="s">
        <v>24</v>
      </c>
      <c r="W330" s="1" t="s">
        <v>24</v>
      </c>
      <c r="X330" s="1">
        <v>2700</v>
      </c>
      <c r="Y330" s="1" t="s">
        <v>24</v>
      </c>
      <c r="Z330" s="1" t="s">
        <v>24</v>
      </c>
      <c r="AA330" s="1" t="s">
        <v>24</v>
      </c>
      <c r="AB330" s="1" t="s">
        <v>24</v>
      </c>
      <c r="AC330" s="1" t="s">
        <v>24</v>
      </c>
      <c r="AD330" s="1" t="s">
        <v>24</v>
      </c>
      <c r="AE330" s="1" t="s">
        <v>24</v>
      </c>
      <c r="AF330" s="22"/>
    </row>
    <row r="331" spans="1:32" x14ac:dyDescent="0.2">
      <c r="A331" s="1">
        <v>1861</v>
      </c>
      <c r="B331" s="1" t="s">
        <v>1201</v>
      </c>
      <c r="C331" s="5" t="s">
        <v>0</v>
      </c>
      <c r="D331" s="1" t="s">
        <v>1202</v>
      </c>
      <c r="E331" s="1" t="s">
        <v>1203</v>
      </c>
      <c r="F331" s="1" t="s">
        <v>190</v>
      </c>
      <c r="G331" s="1" t="s">
        <v>130</v>
      </c>
      <c r="H331" s="1" t="s">
        <v>30</v>
      </c>
      <c r="I331" s="1" t="s">
        <v>16</v>
      </c>
      <c r="J331" s="1">
        <v>1</v>
      </c>
      <c r="K331" s="1">
        <v>6</v>
      </c>
      <c r="L331" s="1" t="s">
        <v>31</v>
      </c>
      <c r="M331" s="1" t="s">
        <v>18</v>
      </c>
      <c r="N331" s="1" t="s">
        <v>18</v>
      </c>
      <c r="O331" s="1">
        <v>3</v>
      </c>
      <c r="P331" s="1">
        <v>7</v>
      </c>
      <c r="Q331" s="7" t="s">
        <v>17633</v>
      </c>
      <c r="R331" s="1" t="s">
        <v>19</v>
      </c>
      <c r="S331" s="1" t="s">
        <v>20</v>
      </c>
      <c r="T331" s="1" t="s">
        <v>21</v>
      </c>
      <c r="U331" s="1" t="s">
        <v>22</v>
      </c>
      <c r="V331" s="1" t="s">
        <v>24</v>
      </c>
      <c r="W331" s="1" t="s">
        <v>24</v>
      </c>
      <c r="X331" s="1">
        <v>2804</v>
      </c>
      <c r="Y331" s="1">
        <v>1307</v>
      </c>
      <c r="Z331" s="1" t="s">
        <v>24</v>
      </c>
      <c r="AA331" s="1" t="s">
        <v>24</v>
      </c>
      <c r="AB331" s="1" t="s">
        <v>24</v>
      </c>
      <c r="AC331" s="1" t="s">
        <v>24</v>
      </c>
      <c r="AD331" s="1" t="s">
        <v>24</v>
      </c>
      <c r="AE331" s="1" t="s">
        <v>24</v>
      </c>
      <c r="AF331" s="22"/>
    </row>
    <row r="332" spans="1:32" x14ac:dyDescent="0.2">
      <c r="A332" s="1">
        <v>1867</v>
      </c>
      <c r="B332" s="1" t="s">
        <v>1204</v>
      </c>
      <c r="C332" s="5" t="s">
        <v>0</v>
      </c>
      <c r="D332" s="1" t="s">
        <v>1205</v>
      </c>
      <c r="E332" s="1" t="s">
        <v>1206</v>
      </c>
      <c r="F332" s="1" t="s">
        <v>221</v>
      </c>
      <c r="G332" s="1" t="s">
        <v>61</v>
      </c>
      <c r="H332" s="1" t="s">
        <v>222</v>
      </c>
      <c r="I332" s="1" t="s">
        <v>16</v>
      </c>
      <c r="J332" s="1">
        <v>4</v>
      </c>
      <c r="K332" s="1">
        <v>3</v>
      </c>
      <c r="L332" s="1" t="s">
        <v>31</v>
      </c>
      <c r="M332" s="1" t="s">
        <v>18</v>
      </c>
      <c r="N332" s="1" t="s">
        <v>18</v>
      </c>
      <c r="O332" s="1">
        <v>3</v>
      </c>
      <c r="P332" s="1">
        <v>6</v>
      </c>
      <c r="R332" s="1" t="s">
        <v>19</v>
      </c>
      <c r="S332" s="1" t="s">
        <v>20</v>
      </c>
      <c r="T332" s="1" t="s">
        <v>21</v>
      </c>
      <c r="U332" s="1" t="s">
        <v>22</v>
      </c>
      <c r="V332" s="1" t="s">
        <v>23</v>
      </c>
      <c r="W332" s="1" t="s">
        <v>24</v>
      </c>
      <c r="X332" s="1">
        <v>1706</v>
      </c>
      <c r="Y332" s="1">
        <v>1712</v>
      </c>
      <c r="Z332" s="1">
        <v>2718</v>
      </c>
      <c r="AA332" s="1" t="s">
        <v>24</v>
      </c>
      <c r="AB332" s="1" t="s">
        <v>24</v>
      </c>
      <c r="AC332" s="1" t="s">
        <v>24</v>
      </c>
      <c r="AD332" s="1" t="s">
        <v>24</v>
      </c>
      <c r="AE332" s="1" t="s">
        <v>24</v>
      </c>
      <c r="AF332" s="22"/>
    </row>
    <row r="333" spans="1:32" x14ac:dyDescent="0.2">
      <c r="A333" s="1">
        <v>1873</v>
      </c>
      <c r="B333" s="1" t="s">
        <v>1207</v>
      </c>
      <c r="C333" s="5" t="s">
        <v>0</v>
      </c>
      <c r="D333" s="1" t="s">
        <v>1208</v>
      </c>
      <c r="E333" s="1" t="s">
        <v>1209</v>
      </c>
      <c r="F333" s="1" t="s">
        <v>291</v>
      </c>
      <c r="G333" s="1" t="s">
        <v>292</v>
      </c>
      <c r="H333" s="1" t="s">
        <v>37</v>
      </c>
      <c r="I333" s="1" t="s">
        <v>16</v>
      </c>
      <c r="J333" s="1">
        <v>1</v>
      </c>
      <c r="K333" s="1">
        <v>12</v>
      </c>
      <c r="L333" s="1" t="s">
        <v>31</v>
      </c>
      <c r="M333" s="1" t="s">
        <v>18</v>
      </c>
      <c r="N333" s="1" t="s">
        <v>18</v>
      </c>
      <c r="O333" s="1">
        <v>3</v>
      </c>
      <c r="P333" s="1">
        <v>6</v>
      </c>
      <c r="R333" s="1" t="s">
        <v>62</v>
      </c>
      <c r="S333" s="1" t="s">
        <v>20</v>
      </c>
      <c r="T333" s="1" t="s">
        <v>21</v>
      </c>
      <c r="U333" s="1" t="s">
        <v>22</v>
      </c>
      <c r="V333" s="1" t="s">
        <v>24</v>
      </c>
      <c r="W333" s="1" t="s">
        <v>24</v>
      </c>
      <c r="X333" s="1">
        <v>2700</v>
      </c>
      <c r="Y333" s="1" t="s">
        <v>24</v>
      </c>
      <c r="Z333" s="1" t="s">
        <v>24</v>
      </c>
      <c r="AA333" s="1" t="s">
        <v>24</v>
      </c>
      <c r="AB333" s="1" t="s">
        <v>24</v>
      </c>
      <c r="AC333" s="1" t="s">
        <v>24</v>
      </c>
      <c r="AD333" s="1" t="s">
        <v>24</v>
      </c>
      <c r="AE333" s="1" t="s">
        <v>24</v>
      </c>
      <c r="AF333" s="22"/>
    </row>
    <row r="334" spans="1:32" x14ac:dyDescent="0.2">
      <c r="A334" s="1">
        <v>1876</v>
      </c>
      <c r="B334" s="1" t="s">
        <v>1210</v>
      </c>
      <c r="C334" s="5" t="s">
        <v>0</v>
      </c>
      <c r="D334" s="1" t="s">
        <v>1211</v>
      </c>
      <c r="E334" s="1" t="s">
        <v>1212</v>
      </c>
      <c r="F334" s="1" t="s">
        <v>155</v>
      </c>
      <c r="G334" s="1" t="s">
        <v>61</v>
      </c>
      <c r="H334" s="1" t="s">
        <v>37</v>
      </c>
      <c r="I334" s="1" t="s">
        <v>16</v>
      </c>
      <c r="J334" s="1">
        <v>4</v>
      </c>
      <c r="K334" s="1">
        <v>11</v>
      </c>
      <c r="L334" s="1" t="s">
        <v>31</v>
      </c>
      <c r="M334" s="1" t="s">
        <v>18</v>
      </c>
      <c r="N334" s="1" t="s">
        <v>18</v>
      </c>
      <c r="O334" s="1">
        <v>2</v>
      </c>
      <c r="P334" s="1">
        <v>6</v>
      </c>
      <c r="R334" s="1" t="s">
        <v>881</v>
      </c>
      <c r="S334" s="1" t="s">
        <v>20</v>
      </c>
      <c r="T334" s="1" t="s">
        <v>21</v>
      </c>
      <c r="U334" s="1" t="s">
        <v>22</v>
      </c>
      <c r="V334" s="1" t="s">
        <v>24</v>
      </c>
      <c r="W334" s="1" t="s">
        <v>24</v>
      </c>
      <c r="X334" s="1">
        <v>2304</v>
      </c>
      <c r="Y334" s="1">
        <v>1600</v>
      </c>
      <c r="Z334" s="1" t="s">
        <v>24</v>
      </c>
      <c r="AA334" s="1" t="s">
        <v>24</v>
      </c>
      <c r="AB334" s="1" t="s">
        <v>24</v>
      </c>
      <c r="AC334" s="1" t="s">
        <v>24</v>
      </c>
      <c r="AD334" s="1" t="s">
        <v>24</v>
      </c>
      <c r="AE334" s="1" t="s">
        <v>24</v>
      </c>
      <c r="AF334" s="22"/>
    </row>
    <row r="335" spans="1:32" x14ac:dyDescent="0.2">
      <c r="A335" s="1">
        <v>1884</v>
      </c>
      <c r="B335" s="1" t="s">
        <v>1213</v>
      </c>
      <c r="C335" s="5" t="s">
        <v>0</v>
      </c>
      <c r="D335" s="1" t="s">
        <v>1214</v>
      </c>
      <c r="F335" s="1" t="s">
        <v>85</v>
      </c>
      <c r="G335" s="1" t="s">
        <v>61</v>
      </c>
      <c r="H335" s="1" t="s">
        <v>86</v>
      </c>
      <c r="I335" s="1" t="s">
        <v>16</v>
      </c>
      <c r="J335" s="1">
        <v>1</v>
      </c>
      <c r="K335" s="1">
        <v>6</v>
      </c>
      <c r="L335" s="1" t="s">
        <v>31</v>
      </c>
      <c r="M335" s="1" t="s">
        <v>87</v>
      </c>
      <c r="N335" s="1" t="s">
        <v>105</v>
      </c>
      <c r="O335" s="1">
        <v>2</v>
      </c>
      <c r="P335" s="1">
        <v>5</v>
      </c>
      <c r="R335" s="1" t="s">
        <v>19</v>
      </c>
      <c r="S335" s="1" t="s">
        <v>20</v>
      </c>
      <c r="T335" s="1" t="s">
        <v>21</v>
      </c>
      <c r="U335" s="1" t="s">
        <v>22</v>
      </c>
      <c r="V335" s="1" t="s">
        <v>23</v>
      </c>
      <c r="W335" s="1" t="s">
        <v>24</v>
      </c>
      <c r="X335" s="1">
        <v>2701</v>
      </c>
      <c r="Y335" s="1">
        <v>2916</v>
      </c>
      <c r="Z335" s="1" t="s">
        <v>24</v>
      </c>
      <c r="AA335" s="1" t="s">
        <v>24</v>
      </c>
      <c r="AB335" s="1" t="s">
        <v>24</v>
      </c>
      <c r="AC335" s="1" t="s">
        <v>24</v>
      </c>
      <c r="AD335" s="1" t="s">
        <v>24</v>
      </c>
      <c r="AE335" s="1" t="s">
        <v>24</v>
      </c>
      <c r="AF335" s="22"/>
    </row>
    <row r="336" spans="1:32" x14ac:dyDescent="0.2">
      <c r="A336" s="1">
        <v>1891</v>
      </c>
      <c r="B336" s="1" t="s">
        <v>1215</v>
      </c>
      <c r="C336" s="5" t="s">
        <v>0</v>
      </c>
      <c r="D336" s="1" t="s">
        <v>1216</v>
      </c>
      <c r="E336" s="1" t="s">
        <v>1217</v>
      </c>
      <c r="F336" s="1" t="s">
        <v>28</v>
      </c>
      <c r="G336" s="1" t="s">
        <v>29</v>
      </c>
      <c r="H336" s="1" t="s">
        <v>30</v>
      </c>
      <c r="I336" s="1" t="s">
        <v>16</v>
      </c>
      <c r="J336" s="1">
        <v>1</v>
      </c>
      <c r="K336" s="1">
        <v>12</v>
      </c>
      <c r="L336" s="1" t="s">
        <v>31</v>
      </c>
      <c r="M336" s="1" t="s">
        <v>18</v>
      </c>
      <c r="N336" s="1" t="s">
        <v>18</v>
      </c>
      <c r="O336" s="1">
        <v>3</v>
      </c>
      <c r="P336" s="1">
        <v>6</v>
      </c>
      <c r="R336" s="1" t="s">
        <v>19</v>
      </c>
      <c r="S336" s="1" t="s">
        <v>20</v>
      </c>
      <c r="T336" s="1" t="s">
        <v>21</v>
      </c>
      <c r="U336" s="1" t="s">
        <v>22</v>
      </c>
      <c r="V336" s="1" t="s">
        <v>23</v>
      </c>
      <c r="W336" s="1" t="s">
        <v>24</v>
      </c>
      <c r="X336" s="1">
        <v>2741</v>
      </c>
      <c r="Y336" s="1" t="s">
        <v>24</v>
      </c>
      <c r="Z336" s="1" t="s">
        <v>24</v>
      </c>
      <c r="AA336" s="1" t="s">
        <v>24</v>
      </c>
      <c r="AB336" s="1" t="s">
        <v>24</v>
      </c>
      <c r="AC336" s="1" t="s">
        <v>24</v>
      </c>
      <c r="AD336" s="1" t="s">
        <v>24</v>
      </c>
      <c r="AE336" s="1" t="s">
        <v>24</v>
      </c>
      <c r="AF336" s="22"/>
    </row>
    <row r="337" spans="1:32" x14ac:dyDescent="0.2">
      <c r="A337" s="1">
        <v>1893</v>
      </c>
      <c r="B337" s="1" t="s">
        <v>1218</v>
      </c>
      <c r="C337" s="5" t="s">
        <v>0</v>
      </c>
      <c r="D337" s="1" t="s">
        <v>1219</v>
      </c>
      <c r="E337" s="1" t="s">
        <v>1220</v>
      </c>
      <c r="F337" s="1" t="s">
        <v>91</v>
      </c>
      <c r="G337" s="1" t="s">
        <v>61</v>
      </c>
      <c r="H337" s="1" t="s">
        <v>92</v>
      </c>
      <c r="I337" s="1" t="s">
        <v>16</v>
      </c>
      <c r="J337" s="1">
        <v>1</v>
      </c>
      <c r="K337" s="1">
        <v>4</v>
      </c>
      <c r="L337" s="1" t="s">
        <v>31</v>
      </c>
      <c r="M337" s="1" t="s">
        <v>18</v>
      </c>
      <c r="N337" s="1" t="s">
        <v>18</v>
      </c>
      <c r="O337" s="1">
        <v>3</v>
      </c>
      <c r="P337" s="1">
        <v>6</v>
      </c>
      <c r="R337" s="1" t="s">
        <v>19</v>
      </c>
      <c r="S337" s="1" t="s">
        <v>63</v>
      </c>
      <c r="T337" s="1" t="s">
        <v>21</v>
      </c>
      <c r="U337" s="1" t="s">
        <v>22</v>
      </c>
      <c r="V337" s="1" t="s">
        <v>24</v>
      </c>
      <c r="W337" s="1" t="s">
        <v>24</v>
      </c>
      <c r="X337" s="1">
        <v>2728</v>
      </c>
      <c r="Y337" s="1">
        <v>2746</v>
      </c>
      <c r="Z337" s="1" t="s">
        <v>24</v>
      </c>
      <c r="AA337" s="1" t="s">
        <v>24</v>
      </c>
      <c r="AB337" s="1" t="s">
        <v>24</v>
      </c>
      <c r="AC337" s="1" t="s">
        <v>24</v>
      </c>
      <c r="AD337" s="1" t="s">
        <v>24</v>
      </c>
      <c r="AE337" s="1" t="s">
        <v>24</v>
      </c>
      <c r="AF337" s="22"/>
    </row>
    <row r="338" spans="1:32" x14ac:dyDescent="0.2">
      <c r="A338" s="1">
        <v>1895</v>
      </c>
      <c r="B338" s="1" t="s">
        <v>1221</v>
      </c>
      <c r="C338" s="5" t="s">
        <v>0</v>
      </c>
      <c r="D338" s="1" t="s">
        <v>1222</v>
      </c>
      <c r="E338" s="1" t="s">
        <v>1223</v>
      </c>
      <c r="F338" s="1" t="s">
        <v>1224</v>
      </c>
      <c r="G338" s="1" t="s">
        <v>1224</v>
      </c>
      <c r="H338" s="1" t="s">
        <v>30</v>
      </c>
      <c r="I338" s="1" t="s">
        <v>16</v>
      </c>
      <c r="J338" s="1">
        <v>1</v>
      </c>
      <c r="K338" s="1">
        <v>24</v>
      </c>
      <c r="L338" s="1" t="s">
        <v>42</v>
      </c>
      <c r="M338" s="1" t="s">
        <v>18</v>
      </c>
      <c r="N338" s="1" t="s">
        <v>18</v>
      </c>
      <c r="O338" s="1">
        <v>3</v>
      </c>
      <c r="P338" s="1">
        <v>8</v>
      </c>
      <c r="Q338" s="7" t="s">
        <v>17633</v>
      </c>
      <c r="R338" s="1" t="s">
        <v>62</v>
      </c>
      <c r="S338" s="1" t="s">
        <v>20</v>
      </c>
      <c r="T338" s="1" t="s">
        <v>21</v>
      </c>
      <c r="U338" s="1" t="s">
        <v>22</v>
      </c>
      <c r="V338" s="1" t="s">
        <v>24</v>
      </c>
      <c r="W338" s="1" t="s">
        <v>64</v>
      </c>
      <c r="X338" s="1">
        <v>1306</v>
      </c>
      <c r="Y338" s="1">
        <v>2730</v>
      </c>
      <c r="Z338" s="1" t="s">
        <v>24</v>
      </c>
      <c r="AA338" s="1" t="s">
        <v>24</v>
      </c>
      <c r="AB338" s="1" t="s">
        <v>24</v>
      </c>
      <c r="AC338" s="1" t="s">
        <v>24</v>
      </c>
      <c r="AD338" s="1" t="s">
        <v>24</v>
      </c>
      <c r="AE338" s="1" t="s">
        <v>24</v>
      </c>
      <c r="AF338" s="22"/>
    </row>
    <row r="339" spans="1:32" x14ac:dyDescent="0.2">
      <c r="A339" s="1">
        <v>1900</v>
      </c>
      <c r="B339" s="1" t="s">
        <v>1225</v>
      </c>
      <c r="C339" s="5" t="s">
        <v>0</v>
      </c>
      <c r="D339" s="1" t="s">
        <v>1226</v>
      </c>
      <c r="E339" s="1" t="s">
        <v>1227</v>
      </c>
      <c r="F339" s="1" t="s">
        <v>167</v>
      </c>
      <c r="G339" s="1" t="s">
        <v>130</v>
      </c>
      <c r="H339" s="1" t="s">
        <v>168</v>
      </c>
      <c r="I339" s="1" t="s">
        <v>16</v>
      </c>
      <c r="J339" s="1">
        <v>1</v>
      </c>
      <c r="K339" s="1">
        <v>12</v>
      </c>
      <c r="L339" s="1" t="s">
        <v>31</v>
      </c>
      <c r="M339" s="1" t="s">
        <v>18</v>
      </c>
      <c r="N339" s="1" t="s">
        <v>18</v>
      </c>
      <c r="O339" s="1">
        <v>3</v>
      </c>
      <c r="P339" s="1">
        <v>7</v>
      </c>
      <c r="Q339" s="7" t="s">
        <v>17633</v>
      </c>
      <c r="R339" s="1" t="s">
        <v>19</v>
      </c>
      <c r="S339" s="1" t="s">
        <v>20</v>
      </c>
      <c r="T339" s="1" t="s">
        <v>21</v>
      </c>
      <c r="U339" s="1" t="s">
        <v>22</v>
      </c>
      <c r="V339" s="1" t="s">
        <v>24</v>
      </c>
      <c r="W339" s="1" t="s">
        <v>24</v>
      </c>
      <c r="X339" s="1">
        <v>2735</v>
      </c>
      <c r="Y339" s="1">
        <v>2728</v>
      </c>
      <c r="Z339" s="1" t="s">
        <v>24</v>
      </c>
      <c r="AA339" s="1" t="s">
        <v>24</v>
      </c>
      <c r="AB339" s="1" t="s">
        <v>24</v>
      </c>
      <c r="AC339" s="1" t="s">
        <v>24</v>
      </c>
      <c r="AD339" s="1" t="s">
        <v>24</v>
      </c>
      <c r="AE339" s="1" t="s">
        <v>24</v>
      </c>
      <c r="AF339" s="22"/>
    </row>
    <row r="340" spans="1:32" x14ac:dyDescent="0.2">
      <c r="A340" s="1">
        <v>1908</v>
      </c>
      <c r="B340" s="1" t="s">
        <v>1228</v>
      </c>
      <c r="C340" s="5" t="s">
        <v>0</v>
      </c>
      <c r="D340" s="1" t="s">
        <v>1229</v>
      </c>
      <c r="E340" s="1" t="s">
        <v>1230</v>
      </c>
      <c r="F340" s="1" t="s">
        <v>35</v>
      </c>
      <c r="G340" s="1" t="s">
        <v>36</v>
      </c>
      <c r="H340" s="1" t="s">
        <v>37</v>
      </c>
      <c r="I340" s="1" t="s">
        <v>16</v>
      </c>
      <c r="J340" s="1">
        <v>2</v>
      </c>
      <c r="K340" s="1">
        <v>6</v>
      </c>
      <c r="L340" s="1" t="s">
        <v>31</v>
      </c>
      <c r="M340" s="1" t="s">
        <v>18</v>
      </c>
      <c r="N340" s="1" t="s">
        <v>18</v>
      </c>
      <c r="O340" s="1">
        <v>3</v>
      </c>
      <c r="P340" s="1">
        <v>6</v>
      </c>
      <c r="R340" s="1" t="s">
        <v>19</v>
      </c>
      <c r="S340" s="1" t="s">
        <v>20</v>
      </c>
      <c r="T340" s="1" t="s">
        <v>21</v>
      </c>
      <c r="U340" s="1" t="s">
        <v>22</v>
      </c>
      <c r="V340" s="1" t="s">
        <v>24</v>
      </c>
      <c r="W340" s="1" t="s">
        <v>24</v>
      </c>
      <c r="X340" s="1">
        <v>2708</v>
      </c>
      <c r="Y340" s="1">
        <v>2723</v>
      </c>
      <c r="Z340" s="1" t="s">
        <v>24</v>
      </c>
      <c r="AA340" s="1" t="s">
        <v>24</v>
      </c>
      <c r="AB340" s="1" t="s">
        <v>24</v>
      </c>
      <c r="AC340" s="1" t="s">
        <v>24</v>
      </c>
      <c r="AD340" s="1" t="s">
        <v>24</v>
      </c>
      <c r="AE340" s="1" t="s">
        <v>24</v>
      </c>
      <c r="AF340" s="22"/>
    </row>
    <row r="341" spans="1:32" x14ac:dyDescent="0.2">
      <c r="A341" s="1">
        <v>1912</v>
      </c>
      <c r="B341" s="1" t="s">
        <v>1231</v>
      </c>
      <c r="C341" s="5" t="s">
        <v>0</v>
      </c>
      <c r="D341" s="1" t="s">
        <v>1232</v>
      </c>
      <c r="E341" s="1" t="s">
        <v>1233</v>
      </c>
      <c r="F341" s="1" t="s">
        <v>28</v>
      </c>
      <c r="G341" s="1" t="s">
        <v>29</v>
      </c>
      <c r="H341" s="1" t="s">
        <v>30</v>
      </c>
      <c r="I341" s="1" t="s">
        <v>16</v>
      </c>
      <c r="J341" s="1">
        <v>1</v>
      </c>
      <c r="K341" s="1">
        <v>4</v>
      </c>
      <c r="L341" s="1" t="s">
        <v>31</v>
      </c>
      <c r="M341" s="1" t="s">
        <v>18</v>
      </c>
      <c r="N341" s="1" t="s">
        <v>18</v>
      </c>
      <c r="O341" s="1">
        <v>2</v>
      </c>
      <c r="P341" s="1">
        <v>6</v>
      </c>
      <c r="R341" s="1" t="s">
        <v>19</v>
      </c>
      <c r="S341" s="1" t="s">
        <v>20</v>
      </c>
      <c r="T341" s="1" t="s">
        <v>21</v>
      </c>
      <c r="U341" s="1" t="s">
        <v>22</v>
      </c>
      <c r="V341" s="1" t="s">
        <v>23</v>
      </c>
      <c r="W341" s="1" t="s">
        <v>24</v>
      </c>
      <c r="X341" s="1">
        <v>2729</v>
      </c>
      <c r="Y341" s="1" t="s">
        <v>24</v>
      </c>
      <c r="Z341" s="1" t="s">
        <v>24</v>
      </c>
      <c r="AA341" s="1" t="s">
        <v>24</v>
      </c>
      <c r="AB341" s="1" t="s">
        <v>24</v>
      </c>
      <c r="AC341" s="1" t="s">
        <v>24</v>
      </c>
      <c r="AD341" s="1" t="s">
        <v>24</v>
      </c>
      <c r="AE341" s="1" t="s">
        <v>24</v>
      </c>
      <c r="AF341" s="22"/>
    </row>
    <row r="342" spans="1:32" x14ac:dyDescent="0.2">
      <c r="A342" s="1">
        <v>1933</v>
      </c>
      <c r="B342" s="1" t="s">
        <v>1234</v>
      </c>
      <c r="C342" s="5" t="s">
        <v>0</v>
      </c>
      <c r="D342" s="1" t="s">
        <v>1235</v>
      </c>
      <c r="E342" s="1" t="s">
        <v>1236</v>
      </c>
      <c r="F342" s="1" t="s">
        <v>303</v>
      </c>
      <c r="G342" s="1" t="s">
        <v>61</v>
      </c>
      <c r="H342" s="1" t="s">
        <v>30</v>
      </c>
      <c r="I342" s="1" t="s">
        <v>16</v>
      </c>
      <c r="J342" s="1">
        <v>1</v>
      </c>
      <c r="K342" s="1">
        <v>6</v>
      </c>
      <c r="L342" s="1" t="s">
        <v>31</v>
      </c>
      <c r="M342" s="1" t="s">
        <v>18</v>
      </c>
      <c r="N342" s="1" t="s">
        <v>18</v>
      </c>
      <c r="O342" s="1">
        <v>3</v>
      </c>
      <c r="P342" s="1">
        <v>6</v>
      </c>
      <c r="R342" s="1" t="s">
        <v>19</v>
      </c>
      <c r="S342" s="1" t="s">
        <v>20</v>
      </c>
      <c r="T342" s="1" t="s">
        <v>21</v>
      </c>
      <c r="U342" s="1" t="s">
        <v>22</v>
      </c>
      <c r="V342" s="1" t="s">
        <v>23</v>
      </c>
      <c r="W342" s="1" t="s">
        <v>24</v>
      </c>
      <c r="X342" s="1">
        <v>2738</v>
      </c>
      <c r="Y342" s="1">
        <v>3203</v>
      </c>
      <c r="Z342" s="1" t="s">
        <v>24</v>
      </c>
      <c r="AA342" s="1" t="s">
        <v>24</v>
      </c>
      <c r="AB342" s="1" t="s">
        <v>24</v>
      </c>
      <c r="AC342" s="1" t="s">
        <v>24</v>
      </c>
      <c r="AD342" s="1" t="s">
        <v>24</v>
      </c>
      <c r="AE342" s="1" t="s">
        <v>24</v>
      </c>
      <c r="AF342" s="22"/>
    </row>
    <row r="343" spans="1:32" x14ac:dyDescent="0.2">
      <c r="A343" s="1">
        <v>1935</v>
      </c>
      <c r="B343" s="1" t="s">
        <v>1237</v>
      </c>
      <c r="C343" s="5" t="s">
        <v>0</v>
      </c>
      <c r="D343" s="1" t="s">
        <v>1238</v>
      </c>
      <c r="E343" s="1" t="s">
        <v>1239</v>
      </c>
      <c r="F343" s="1" t="s">
        <v>28</v>
      </c>
      <c r="G343" s="1" t="s">
        <v>29</v>
      </c>
      <c r="H343" s="1" t="s">
        <v>30</v>
      </c>
      <c r="I343" s="1" t="s">
        <v>16</v>
      </c>
      <c r="J343" s="1">
        <v>1</v>
      </c>
      <c r="K343" s="1">
        <v>12</v>
      </c>
      <c r="L343" s="1" t="s">
        <v>31</v>
      </c>
      <c r="M343" s="1" t="s">
        <v>18</v>
      </c>
      <c r="N343" s="1" t="s">
        <v>18</v>
      </c>
      <c r="O343" s="1">
        <v>3</v>
      </c>
      <c r="P343" s="1">
        <v>7</v>
      </c>
      <c r="Q343" s="7" t="s">
        <v>17633</v>
      </c>
      <c r="R343" s="1" t="s">
        <v>19</v>
      </c>
      <c r="S343" s="1" t="s">
        <v>20</v>
      </c>
      <c r="T343" s="1" t="s">
        <v>21</v>
      </c>
      <c r="U343" s="1" t="s">
        <v>22</v>
      </c>
      <c r="V343" s="1" t="s">
        <v>24</v>
      </c>
      <c r="W343" s="1" t="s">
        <v>24</v>
      </c>
      <c r="X343" s="1">
        <v>2731</v>
      </c>
      <c r="Y343" s="1" t="s">
        <v>24</v>
      </c>
      <c r="Z343" s="1" t="s">
        <v>24</v>
      </c>
      <c r="AA343" s="1" t="s">
        <v>24</v>
      </c>
      <c r="AB343" s="1" t="s">
        <v>24</v>
      </c>
      <c r="AC343" s="1" t="s">
        <v>24</v>
      </c>
      <c r="AD343" s="1" t="s">
        <v>24</v>
      </c>
      <c r="AE343" s="1" t="s">
        <v>24</v>
      </c>
      <c r="AF343" s="22"/>
    </row>
    <row r="344" spans="1:32" x14ac:dyDescent="0.2">
      <c r="A344" s="1">
        <v>1937</v>
      </c>
      <c r="B344" s="1" t="s">
        <v>1240</v>
      </c>
      <c r="C344" s="5" t="s">
        <v>0</v>
      </c>
      <c r="D344" s="1" t="s">
        <v>1241</v>
      </c>
      <c r="E344" s="1" t="s">
        <v>1242</v>
      </c>
      <c r="F344" s="1" t="s">
        <v>190</v>
      </c>
      <c r="G344" s="1" t="s">
        <v>130</v>
      </c>
      <c r="H344" s="1" t="s">
        <v>30</v>
      </c>
      <c r="I344" s="1" t="s">
        <v>16</v>
      </c>
      <c r="J344" s="1">
        <v>1</v>
      </c>
      <c r="K344" s="1">
        <v>12</v>
      </c>
      <c r="L344" s="1" t="s">
        <v>31</v>
      </c>
      <c r="M344" s="1" t="s">
        <v>18</v>
      </c>
      <c r="N344" s="1" t="s">
        <v>18</v>
      </c>
      <c r="O344" s="1">
        <v>3</v>
      </c>
      <c r="P344" s="1">
        <v>7</v>
      </c>
      <c r="Q344" s="7" t="s">
        <v>17633</v>
      </c>
      <c r="R344" s="1" t="s">
        <v>19</v>
      </c>
      <c r="S344" s="1" t="s">
        <v>20</v>
      </c>
      <c r="T344" s="1" t="s">
        <v>21</v>
      </c>
      <c r="U344" s="1" t="s">
        <v>22</v>
      </c>
      <c r="V344" s="1" t="s">
        <v>23</v>
      </c>
      <c r="W344" s="1" t="s">
        <v>24</v>
      </c>
      <c r="X344" s="1">
        <v>2732</v>
      </c>
      <c r="Y344" s="1" t="s">
        <v>24</v>
      </c>
      <c r="Z344" s="1" t="s">
        <v>24</v>
      </c>
      <c r="AA344" s="1" t="s">
        <v>24</v>
      </c>
      <c r="AB344" s="1" t="s">
        <v>24</v>
      </c>
      <c r="AC344" s="1" t="s">
        <v>24</v>
      </c>
      <c r="AD344" s="1" t="s">
        <v>24</v>
      </c>
      <c r="AE344" s="1" t="s">
        <v>24</v>
      </c>
      <c r="AF344" s="22"/>
    </row>
    <row r="345" spans="1:32" x14ac:dyDescent="0.2">
      <c r="A345" s="1">
        <v>1941</v>
      </c>
      <c r="B345" s="1" t="s">
        <v>1243</v>
      </c>
      <c r="C345" s="5" t="s">
        <v>0</v>
      </c>
      <c r="D345" s="1" t="s">
        <v>1244</v>
      </c>
      <c r="E345" s="1" t="s">
        <v>1245</v>
      </c>
      <c r="F345" s="1" t="s">
        <v>940</v>
      </c>
      <c r="G345" s="1" t="s">
        <v>130</v>
      </c>
      <c r="H345" s="1" t="s">
        <v>30</v>
      </c>
      <c r="I345" s="1" t="s">
        <v>16</v>
      </c>
      <c r="J345" s="1">
        <v>1</v>
      </c>
      <c r="K345" s="1">
        <v>4</v>
      </c>
      <c r="L345" s="1" t="s">
        <v>31</v>
      </c>
      <c r="M345" s="1" t="s">
        <v>18</v>
      </c>
      <c r="N345" s="1" t="s">
        <v>18</v>
      </c>
      <c r="O345" s="1">
        <v>3</v>
      </c>
      <c r="P345" s="1">
        <v>6</v>
      </c>
      <c r="R345" s="1" t="s">
        <v>19</v>
      </c>
      <c r="S345" s="1" t="s">
        <v>20</v>
      </c>
      <c r="T345" s="1" t="s">
        <v>21</v>
      </c>
      <c r="U345" s="1" t="s">
        <v>22</v>
      </c>
      <c r="V345" s="1" t="s">
        <v>23</v>
      </c>
      <c r="W345" s="1" t="s">
        <v>24</v>
      </c>
      <c r="X345" s="1">
        <v>2700</v>
      </c>
      <c r="Y345" s="1" t="s">
        <v>24</v>
      </c>
      <c r="Z345" s="1" t="s">
        <v>24</v>
      </c>
      <c r="AA345" s="1" t="s">
        <v>24</v>
      </c>
      <c r="AB345" s="1" t="s">
        <v>24</v>
      </c>
      <c r="AC345" s="1" t="s">
        <v>24</v>
      </c>
      <c r="AD345" s="1" t="s">
        <v>24</v>
      </c>
      <c r="AE345" s="1" t="s">
        <v>24</v>
      </c>
      <c r="AF345" s="22"/>
    </row>
    <row r="346" spans="1:32" x14ac:dyDescent="0.2">
      <c r="A346" s="1">
        <v>1946</v>
      </c>
      <c r="B346" s="1" t="s">
        <v>1246</v>
      </c>
      <c r="C346" s="5" t="s">
        <v>0</v>
      </c>
      <c r="D346" s="1" t="s">
        <v>1247</v>
      </c>
      <c r="E346" s="1" t="s">
        <v>1248</v>
      </c>
      <c r="F346" s="1" t="s">
        <v>1249</v>
      </c>
      <c r="G346" s="1" t="s">
        <v>61</v>
      </c>
      <c r="H346" s="1" t="s">
        <v>135</v>
      </c>
      <c r="I346" s="1" t="s">
        <v>16</v>
      </c>
      <c r="J346" s="1">
        <v>1</v>
      </c>
      <c r="K346" s="1">
        <v>6</v>
      </c>
      <c r="L346" s="1" t="s">
        <v>31</v>
      </c>
      <c r="M346" s="1" t="s">
        <v>18</v>
      </c>
      <c r="N346" s="1" t="s">
        <v>18</v>
      </c>
      <c r="O346" s="1">
        <v>3</v>
      </c>
      <c r="P346" s="1">
        <v>6</v>
      </c>
      <c r="R346" s="1" t="s">
        <v>19</v>
      </c>
      <c r="S346" s="1" t="s">
        <v>20</v>
      </c>
      <c r="T346" s="1" t="s">
        <v>21</v>
      </c>
      <c r="U346" s="1" t="s">
        <v>22</v>
      </c>
      <c r="V346" s="1" t="s">
        <v>24</v>
      </c>
      <c r="W346" s="1" t="s">
        <v>24</v>
      </c>
      <c r="X346" s="1">
        <v>2705</v>
      </c>
      <c r="Y346" s="1" t="s">
        <v>24</v>
      </c>
      <c r="Z346" s="1" t="s">
        <v>24</v>
      </c>
      <c r="AA346" s="1" t="s">
        <v>24</v>
      </c>
      <c r="AB346" s="1" t="s">
        <v>24</v>
      </c>
      <c r="AC346" s="1" t="s">
        <v>24</v>
      </c>
      <c r="AD346" s="1" t="s">
        <v>24</v>
      </c>
      <c r="AE346" s="1" t="s">
        <v>24</v>
      </c>
      <c r="AF346" s="22"/>
    </row>
    <row r="347" spans="1:32" x14ac:dyDescent="0.2">
      <c r="A347" s="1">
        <v>1952</v>
      </c>
      <c r="B347" s="1" t="s">
        <v>1250</v>
      </c>
      <c r="C347" s="5" t="s">
        <v>0</v>
      </c>
      <c r="D347" s="1" t="s">
        <v>1251</v>
      </c>
      <c r="E347" s="1" t="s">
        <v>1252</v>
      </c>
      <c r="F347" s="1" t="s">
        <v>1253</v>
      </c>
      <c r="G347" s="1" t="s">
        <v>460</v>
      </c>
      <c r="H347" s="1" t="s">
        <v>461</v>
      </c>
      <c r="I347" s="1" t="s">
        <v>16</v>
      </c>
      <c r="J347" s="1">
        <v>1</v>
      </c>
      <c r="K347" s="1">
        <v>12</v>
      </c>
      <c r="L347" s="1" t="s">
        <v>42</v>
      </c>
      <c r="M347" s="1" t="s">
        <v>18</v>
      </c>
      <c r="N347" s="1" t="s">
        <v>18</v>
      </c>
      <c r="O347" s="1">
        <v>3</v>
      </c>
      <c r="P347" s="1">
        <v>6</v>
      </c>
      <c r="R347" s="1" t="s">
        <v>19</v>
      </c>
      <c r="S347" s="1" t="s">
        <v>20</v>
      </c>
      <c r="T347" s="1" t="s">
        <v>21</v>
      </c>
      <c r="U347" s="1" t="s">
        <v>22</v>
      </c>
      <c r="V347" s="1" t="s">
        <v>24</v>
      </c>
      <c r="W347" s="1" t="s">
        <v>64</v>
      </c>
      <c r="X347" s="1">
        <v>3002</v>
      </c>
      <c r="Y347" s="1">
        <v>1600</v>
      </c>
      <c r="Z347" s="1" t="s">
        <v>24</v>
      </c>
      <c r="AA347" s="1" t="s">
        <v>24</v>
      </c>
      <c r="AB347" s="1" t="s">
        <v>24</v>
      </c>
      <c r="AC347" s="1" t="s">
        <v>24</v>
      </c>
      <c r="AD347" s="1" t="s">
        <v>24</v>
      </c>
      <c r="AE347" s="1" t="s">
        <v>24</v>
      </c>
      <c r="AF347" s="22"/>
    </row>
    <row r="348" spans="1:32" x14ac:dyDescent="0.2">
      <c r="A348" s="1">
        <v>1955</v>
      </c>
      <c r="B348" s="1" t="s">
        <v>1254</v>
      </c>
      <c r="C348" s="5" t="s">
        <v>0</v>
      </c>
      <c r="D348" s="1" t="s">
        <v>1255</v>
      </c>
      <c r="E348" s="1" t="s">
        <v>1256</v>
      </c>
      <c r="F348" s="1" t="s">
        <v>493</v>
      </c>
      <c r="G348" s="1" t="s">
        <v>98</v>
      </c>
      <c r="H348" s="1" t="s">
        <v>30</v>
      </c>
      <c r="I348" s="1" t="s">
        <v>16</v>
      </c>
      <c r="J348" s="1">
        <v>1</v>
      </c>
      <c r="K348" s="1">
        <v>9</v>
      </c>
      <c r="L348" s="1" t="s">
        <v>31</v>
      </c>
      <c r="M348" s="1" t="s">
        <v>18</v>
      </c>
      <c r="N348" s="1" t="s">
        <v>18</v>
      </c>
      <c r="O348" s="1">
        <v>3</v>
      </c>
      <c r="P348" s="1">
        <v>6</v>
      </c>
      <c r="R348" s="1" t="s">
        <v>19</v>
      </c>
      <c r="S348" s="1" t="s">
        <v>20</v>
      </c>
      <c r="T348" s="1" t="s">
        <v>21</v>
      </c>
      <c r="U348" s="1" t="s">
        <v>22</v>
      </c>
      <c r="V348" s="1" t="s">
        <v>23</v>
      </c>
      <c r="W348" s="1" t="s">
        <v>24</v>
      </c>
      <c r="X348" s="1">
        <v>2735</v>
      </c>
      <c r="Y348" s="1" t="s">
        <v>24</v>
      </c>
      <c r="Z348" s="1" t="s">
        <v>24</v>
      </c>
      <c r="AA348" s="1" t="s">
        <v>24</v>
      </c>
      <c r="AB348" s="1" t="s">
        <v>24</v>
      </c>
      <c r="AC348" s="1" t="s">
        <v>24</v>
      </c>
      <c r="AD348" s="1" t="s">
        <v>24</v>
      </c>
      <c r="AE348" s="1" t="s">
        <v>24</v>
      </c>
      <c r="AF348" s="22"/>
    </row>
    <row r="349" spans="1:32" x14ac:dyDescent="0.2">
      <c r="A349" s="1">
        <v>1963</v>
      </c>
      <c r="B349" s="1" t="s">
        <v>1257</v>
      </c>
      <c r="C349" s="5" t="s">
        <v>0</v>
      </c>
      <c r="D349" s="1" t="s">
        <v>1258</v>
      </c>
      <c r="E349" s="1" t="s">
        <v>1259</v>
      </c>
      <c r="F349" s="1" t="s">
        <v>1260</v>
      </c>
      <c r="G349" s="1" t="s">
        <v>130</v>
      </c>
      <c r="H349" s="1" t="s">
        <v>111</v>
      </c>
      <c r="I349" s="1" t="s">
        <v>16</v>
      </c>
      <c r="J349" s="1">
        <v>1</v>
      </c>
      <c r="K349" s="1">
        <v>12</v>
      </c>
      <c r="L349" s="1" t="s">
        <v>31</v>
      </c>
      <c r="M349" s="1" t="s">
        <v>18</v>
      </c>
      <c r="N349" s="1" t="s">
        <v>18</v>
      </c>
      <c r="O349" s="1">
        <v>3</v>
      </c>
      <c r="P349" s="1">
        <v>7</v>
      </c>
      <c r="Q349" s="7" t="s">
        <v>17633</v>
      </c>
      <c r="R349" s="1" t="s">
        <v>62</v>
      </c>
      <c r="S349" s="1" t="s">
        <v>20</v>
      </c>
      <c r="T349" s="1" t="s">
        <v>21</v>
      </c>
      <c r="U349" s="1" t="s">
        <v>22</v>
      </c>
      <c r="V349" s="1" t="s">
        <v>24</v>
      </c>
      <c r="W349" s="1" t="s">
        <v>24</v>
      </c>
      <c r="X349" s="1">
        <v>2736</v>
      </c>
      <c r="Y349" s="1">
        <v>3004</v>
      </c>
      <c r="Z349" s="1" t="s">
        <v>24</v>
      </c>
      <c r="AA349" s="1" t="s">
        <v>24</v>
      </c>
      <c r="AB349" s="1" t="s">
        <v>24</v>
      </c>
      <c r="AC349" s="1" t="s">
        <v>24</v>
      </c>
      <c r="AD349" s="1" t="s">
        <v>24</v>
      </c>
      <c r="AE349" s="1" t="s">
        <v>24</v>
      </c>
      <c r="AF349" s="22"/>
    </row>
    <row r="350" spans="1:32" x14ac:dyDescent="0.2">
      <c r="A350" s="1">
        <v>1965</v>
      </c>
      <c r="B350" s="1" t="s">
        <v>1261</v>
      </c>
      <c r="C350" s="5" t="s">
        <v>0</v>
      </c>
      <c r="D350" s="1" t="s">
        <v>1262</v>
      </c>
      <c r="E350" s="1" t="s">
        <v>1263</v>
      </c>
      <c r="F350" s="1" t="s">
        <v>221</v>
      </c>
      <c r="G350" s="1" t="s">
        <v>61</v>
      </c>
      <c r="H350" s="1" t="s">
        <v>222</v>
      </c>
      <c r="I350" s="1" t="s">
        <v>16</v>
      </c>
      <c r="J350" s="1">
        <v>1</v>
      </c>
      <c r="K350" s="1">
        <v>8</v>
      </c>
      <c r="L350" s="1" t="s">
        <v>31</v>
      </c>
      <c r="M350" s="1" t="s">
        <v>18</v>
      </c>
      <c r="N350" s="1" t="s">
        <v>18</v>
      </c>
      <c r="O350" s="1">
        <v>3</v>
      </c>
      <c r="P350" s="1">
        <v>7</v>
      </c>
      <c r="Q350" s="7" t="s">
        <v>17633</v>
      </c>
      <c r="R350" s="1" t="s">
        <v>19</v>
      </c>
      <c r="S350" s="1" t="s">
        <v>63</v>
      </c>
      <c r="T350" s="1" t="s">
        <v>21</v>
      </c>
      <c r="U350" s="1" t="s">
        <v>22</v>
      </c>
      <c r="V350" s="1" t="s">
        <v>24</v>
      </c>
      <c r="W350" s="1" t="s">
        <v>64</v>
      </c>
      <c r="X350" s="1">
        <v>1303</v>
      </c>
      <c r="Y350" s="1">
        <v>1312</v>
      </c>
      <c r="Z350" s="1">
        <v>1605</v>
      </c>
      <c r="AA350" s="1">
        <v>1307</v>
      </c>
      <c r="AB350" s="1" t="s">
        <v>24</v>
      </c>
      <c r="AC350" s="1" t="s">
        <v>24</v>
      </c>
      <c r="AD350" s="1" t="s">
        <v>24</v>
      </c>
      <c r="AE350" s="1" t="s">
        <v>24</v>
      </c>
      <c r="AF350" s="22"/>
    </row>
    <row r="351" spans="1:32" x14ac:dyDescent="0.2">
      <c r="A351" s="1">
        <v>1974</v>
      </c>
      <c r="B351" s="1" t="s">
        <v>1264</v>
      </c>
      <c r="C351" s="5" t="s">
        <v>0</v>
      </c>
      <c r="D351" s="1" t="s">
        <v>1265</v>
      </c>
      <c r="E351" s="1" t="s">
        <v>1266</v>
      </c>
      <c r="F351" s="1" t="s">
        <v>272</v>
      </c>
      <c r="G351" s="1" t="s">
        <v>61</v>
      </c>
      <c r="H351" s="1" t="s">
        <v>30</v>
      </c>
      <c r="I351" s="1" t="s">
        <v>16</v>
      </c>
      <c r="J351" s="1">
        <v>1</v>
      </c>
      <c r="K351" s="1">
        <v>8</v>
      </c>
      <c r="L351" s="1" t="s">
        <v>31</v>
      </c>
      <c r="M351" s="1" t="s">
        <v>18</v>
      </c>
      <c r="N351" s="1" t="s">
        <v>18</v>
      </c>
      <c r="O351" s="1">
        <v>3</v>
      </c>
      <c r="P351" s="1">
        <v>5</v>
      </c>
      <c r="R351" s="1" t="s">
        <v>62</v>
      </c>
      <c r="S351" s="1" t="s">
        <v>63</v>
      </c>
      <c r="T351" s="1" t="s">
        <v>21</v>
      </c>
      <c r="U351" s="1" t="s">
        <v>22</v>
      </c>
      <c r="V351" s="1" t="s">
        <v>24</v>
      </c>
      <c r="W351" s="1" t="s">
        <v>24</v>
      </c>
      <c r="X351" s="1">
        <v>2738</v>
      </c>
      <c r="Y351" s="1">
        <v>3203</v>
      </c>
      <c r="Z351" s="1" t="s">
        <v>24</v>
      </c>
      <c r="AA351" s="1" t="s">
        <v>24</v>
      </c>
      <c r="AB351" s="1" t="s">
        <v>24</v>
      </c>
      <c r="AC351" s="1" t="s">
        <v>24</v>
      </c>
      <c r="AD351" s="1" t="s">
        <v>24</v>
      </c>
      <c r="AE351" s="1" t="s">
        <v>24</v>
      </c>
      <c r="AF351" s="22"/>
    </row>
    <row r="352" spans="1:32" x14ac:dyDescent="0.2">
      <c r="A352" s="1">
        <v>1975</v>
      </c>
      <c r="B352" s="1" t="s">
        <v>1267</v>
      </c>
      <c r="C352" s="5" t="s">
        <v>0</v>
      </c>
      <c r="D352" s="1" t="s">
        <v>1268</v>
      </c>
      <c r="E352" s="1" t="s">
        <v>1269</v>
      </c>
      <c r="F352" s="1" t="s">
        <v>194</v>
      </c>
      <c r="G352" s="1" t="s">
        <v>61</v>
      </c>
      <c r="H352" s="1" t="s">
        <v>30</v>
      </c>
      <c r="I352" s="1" t="s">
        <v>16</v>
      </c>
      <c r="J352" s="1">
        <v>1</v>
      </c>
      <c r="K352" s="1">
        <v>12</v>
      </c>
      <c r="L352" s="1" t="s">
        <v>31</v>
      </c>
      <c r="M352" s="1" t="s">
        <v>18</v>
      </c>
      <c r="N352" s="1" t="s">
        <v>18</v>
      </c>
      <c r="O352" s="1">
        <v>0</v>
      </c>
      <c r="P352" s="1">
        <v>6</v>
      </c>
      <c r="R352" s="1" t="s">
        <v>19</v>
      </c>
      <c r="S352" s="1" t="s">
        <v>20</v>
      </c>
      <c r="T352" s="1" t="s">
        <v>21</v>
      </c>
      <c r="U352" s="1" t="s">
        <v>22</v>
      </c>
      <c r="V352" s="1" t="s">
        <v>24</v>
      </c>
      <c r="W352" s="1" t="s">
        <v>24</v>
      </c>
      <c r="X352" s="1">
        <v>2746</v>
      </c>
      <c r="Y352" s="1" t="s">
        <v>24</v>
      </c>
      <c r="Z352" s="1" t="s">
        <v>24</v>
      </c>
      <c r="AA352" s="1" t="s">
        <v>24</v>
      </c>
      <c r="AB352" s="1" t="s">
        <v>24</v>
      </c>
      <c r="AC352" s="1" t="s">
        <v>24</v>
      </c>
      <c r="AD352" s="1" t="s">
        <v>24</v>
      </c>
      <c r="AE352" s="1" t="s">
        <v>24</v>
      </c>
      <c r="AF352" s="22"/>
    </row>
    <row r="353" spans="1:32" x14ac:dyDescent="0.2">
      <c r="A353" s="1">
        <v>1976</v>
      </c>
      <c r="B353" s="1" t="s">
        <v>1270</v>
      </c>
      <c r="C353" s="5" t="s">
        <v>0</v>
      </c>
      <c r="D353" s="1" t="s">
        <v>1271</v>
      </c>
      <c r="E353" s="1" t="s">
        <v>1272</v>
      </c>
      <c r="F353" s="1" t="s">
        <v>303</v>
      </c>
      <c r="G353" s="1" t="s">
        <v>61</v>
      </c>
      <c r="H353" s="1" t="s">
        <v>30</v>
      </c>
      <c r="I353" s="1" t="s">
        <v>16</v>
      </c>
      <c r="J353" s="1">
        <v>1</v>
      </c>
      <c r="K353" s="1">
        <v>4</v>
      </c>
      <c r="L353" s="1" t="s">
        <v>31</v>
      </c>
      <c r="M353" s="1" t="s">
        <v>18</v>
      </c>
      <c r="N353" s="1" t="s">
        <v>18</v>
      </c>
      <c r="O353" s="1">
        <v>1</v>
      </c>
      <c r="P353" s="1">
        <v>6</v>
      </c>
      <c r="R353" s="1" t="s">
        <v>19</v>
      </c>
      <c r="S353" s="1" t="s">
        <v>20</v>
      </c>
      <c r="T353" s="1" t="s">
        <v>21</v>
      </c>
      <c r="U353" s="1" t="s">
        <v>22</v>
      </c>
      <c r="V353" s="1" t="s">
        <v>24</v>
      </c>
      <c r="W353" s="1" t="s">
        <v>24</v>
      </c>
      <c r="X353" s="1">
        <v>2746</v>
      </c>
      <c r="Y353" s="1" t="s">
        <v>24</v>
      </c>
      <c r="Z353" s="1" t="s">
        <v>24</v>
      </c>
      <c r="AA353" s="1" t="s">
        <v>24</v>
      </c>
      <c r="AB353" s="1" t="s">
        <v>24</v>
      </c>
      <c r="AC353" s="1" t="s">
        <v>24</v>
      </c>
      <c r="AD353" s="1" t="s">
        <v>24</v>
      </c>
      <c r="AE353" s="1" t="s">
        <v>24</v>
      </c>
      <c r="AF353" s="22"/>
    </row>
    <row r="354" spans="1:32" x14ac:dyDescent="0.2">
      <c r="A354" s="1">
        <v>1977</v>
      </c>
      <c r="B354" s="1" t="s">
        <v>1273</v>
      </c>
      <c r="C354" s="5" t="s">
        <v>0</v>
      </c>
      <c r="D354" s="1" t="s">
        <v>1274</v>
      </c>
      <c r="E354" s="1" t="s">
        <v>1275</v>
      </c>
      <c r="F354" s="1" t="s">
        <v>303</v>
      </c>
      <c r="G354" s="1" t="s">
        <v>61</v>
      </c>
      <c r="H354" s="1" t="s">
        <v>30</v>
      </c>
      <c r="I354" s="1" t="s">
        <v>16</v>
      </c>
      <c r="J354" s="1">
        <v>1</v>
      </c>
      <c r="K354" s="1">
        <v>4</v>
      </c>
      <c r="L354" s="1" t="s">
        <v>31</v>
      </c>
      <c r="M354" s="1" t="s">
        <v>18</v>
      </c>
      <c r="N354" s="1" t="s">
        <v>18</v>
      </c>
      <c r="O354" s="1">
        <v>3</v>
      </c>
      <c r="P354" s="1">
        <v>7</v>
      </c>
      <c r="Q354" s="7" t="s">
        <v>17633</v>
      </c>
      <c r="R354" s="1" t="s">
        <v>19</v>
      </c>
      <c r="S354" s="1" t="s">
        <v>20</v>
      </c>
      <c r="T354" s="1" t="s">
        <v>21</v>
      </c>
      <c r="U354" s="1" t="s">
        <v>22</v>
      </c>
      <c r="V354" s="1" t="s">
        <v>23</v>
      </c>
      <c r="W354" s="1" t="s">
        <v>24</v>
      </c>
      <c r="X354" s="1">
        <v>2746</v>
      </c>
      <c r="Y354" s="1">
        <v>2732</v>
      </c>
      <c r="Z354" s="1" t="s">
        <v>24</v>
      </c>
      <c r="AA354" s="1" t="s">
        <v>24</v>
      </c>
      <c r="AB354" s="1" t="s">
        <v>24</v>
      </c>
      <c r="AC354" s="1" t="s">
        <v>24</v>
      </c>
      <c r="AD354" s="1" t="s">
        <v>24</v>
      </c>
      <c r="AE354" s="1" t="s">
        <v>24</v>
      </c>
      <c r="AF354" s="22"/>
    </row>
    <row r="355" spans="1:32" x14ac:dyDescent="0.2">
      <c r="A355" s="1">
        <v>1984</v>
      </c>
      <c r="B355" s="1" t="s">
        <v>1276</v>
      </c>
      <c r="C355" s="5" t="s">
        <v>0</v>
      </c>
      <c r="D355" s="1" t="s">
        <v>1277</v>
      </c>
      <c r="F355" s="1" t="s">
        <v>1278</v>
      </c>
      <c r="G355" s="1" t="s">
        <v>1279</v>
      </c>
      <c r="H355" s="1" t="s">
        <v>30</v>
      </c>
      <c r="I355" s="1" t="s">
        <v>16</v>
      </c>
      <c r="J355" s="1">
        <v>1</v>
      </c>
      <c r="K355" s="1">
        <v>6</v>
      </c>
      <c r="L355" s="1" t="s">
        <v>42</v>
      </c>
      <c r="M355" s="1" t="s">
        <v>18</v>
      </c>
      <c r="N355" s="1" t="s">
        <v>18</v>
      </c>
      <c r="O355" s="1">
        <v>3</v>
      </c>
      <c r="P355" s="1">
        <v>7</v>
      </c>
      <c r="Q355" s="7" t="s">
        <v>17633</v>
      </c>
      <c r="R355" s="1" t="s">
        <v>19</v>
      </c>
      <c r="S355" s="1" t="s">
        <v>20</v>
      </c>
      <c r="T355" s="1" t="s">
        <v>21</v>
      </c>
      <c r="U355" s="1" t="s">
        <v>22</v>
      </c>
      <c r="V355" s="1" t="s">
        <v>23</v>
      </c>
      <c r="W355" s="1" t="s">
        <v>24</v>
      </c>
      <c r="X355" s="1">
        <v>2204</v>
      </c>
      <c r="Y355" s="1" t="s">
        <v>24</v>
      </c>
      <c r="Z355" s="1" t="s">
        <v>24</v>
      </c>
      <c r="AA355" s="1" t="s">
        <v>24</v>
      </c>
      <c r="AB355" s="1" t="s">
        <v>24</v>
      </c>
      <c r="AC355" s="1" t="s">
        <v>24</v>
      </c>
      <c r="AD355" s="1" t="s">
        <v>24</v>
      </c>
      <c r="AE355" s="1" t="s">
        <v>24</v>
      </c>
      <c r="AF355" s="22"/>
    </row>
    <row r="356" spans="1:32" x14ac:dyDescent="0.2">
      <c r="A356" s="1">
        <v>2004</v>
      </c>
      <c r="B356" s="1" t="s">
        <v>1280</v>
      </c>
      <c r="C356" s="5" t="s">
        <v>0</v>
      </c>
      <c r="D356" s="1" t="s">
        <v>1281</v>
      </c>
      <c r="E356" s="1" t="s">
        <v>1282</v>
      </c>
      <c r="F356" s="1" t="s">
        <v>55</v>
      </c>
      <c r="G356" s="1" t="s">
        <v>56</v>
      </c>
      <c r="H356" s="1" t="s">
        <v>37</v>
      </c>
      <c r="I356" s="1" t="s">
        <v>16</v>
      </c>
      <c r="J356" s="1">
        <v>1</v>
      </c>
      <c r="K356" s="1">
        <v>12</v>
      </c>
      <c r="L356" s="1" t="s">
        <v>31</v>
      </c>
      <c r="M356" s="1" t="s">
        <v>18</v>
      </c>
      <c r="N356" s="1" t="s">
        <v>18</v>
      </c>
      <c r="O356" s="1">
        <v>3</v>
      </c>
      <c r="P356" s="1">
        <v>8</v>
      </c>
      <c r="Q356" s="7" t="s">
        <v>17633</v>
      </c>
      <c r="R356" s="1" t="s">
        <v>62</v>
      </c>
      <c r="S356" s="1" t="s">
        <v>20</v>
      </c>
      <c r="T356" s="1" t="s">
        <v>21</v>
      </c>
      <c r="U356" s="1" t="s">
        <v>22</v>
      </c>
      <c r="V356" s="1" t="s">
        <v>24</v>
      </c>
      <c r="W356" s="1" t="s">
        <v>24</v>
      </c>
      <c r="X356" s="1">
        <v>1306</v>
      </c>
      <c r="Y356" s="1" t="s">
        <v>24</v>
      </c>
      <c r="Z356" s="1" t="s">
        <v>24</v>
      </c>
      <c r="AA356" s="1" t="s">
        <v>24</v>
      </c>
      <c r="AB356" s="1" t="s">
        <v>24</v>
      </c>
      <c r="AC356" s="1" t="s">
        <v>24</v>
      </c>
      <c r="AD356" s="1" t="s">
        <v>24</v>
      </c>
      <c r="AE356" s="1" t="s">
        <v>24</v>
      </c>
      <c r="AF356" s="22"/>
    </row>
    <row r="357" spans="1:32" x14ac:dyDescent="0.2">
      <c r="A357" s="1">
        <v>2019</v>
      </c>
      <c r="B357" s="1" t="s">
        <v>1283</v>
      </c>
      <c r="C357" s="5" t="s">
        <v>0</v>
      </c>
      <c r="D357" s="1" t="s">
        <v>1284</v>
      </c>
      <c r="E357" s="1" t="s">
        <v>1285</v>
      </c>
      <c r="F357" s="1" t="s">
        <v>1278</v>
      </c>
      <c r="G357" s="1" t="s">
        <v>1279</v>
      </c>
      <c r="H357" s="1" t="s">
        <v>30</v>
      </c>
      <c r="I357" s="1" t="s">
        <v>16</v>
      </c>
      <c r="J357" s="1">
        <v>1</v>
      </c>
      <c r="K357" s="1">
        <v>6</v>
      </c>
      <c r="L357" s="1" t="s">
        <v>42</v>
      </c>
      <c r="M357" s="1" t="s">
        <v>18</v>
      </c>
      <c r="N357" s="1" t="s">
        <v>18</v>
      </c>
      <c r="O357" s="1">
        <v>3</v>
      </c>
      <c r="P357" s="1">
        <v>6</v>
      </c>
      <c r="R357" s="1" t="s">
        <v>62</v>
      </c>
      <c r="S357" s="1" t="s">
        <v>20</v>
      </c>
      <c r="T357" s="1" t="s">
        <v>21</v>
      </c>
      <c r="U357" s="1" t="s">
        <v>22</v>
      </c>
      <c r="V357" s="1" t="s">
        <v>24</v>
      </c>
      <c r="W357" s="1" t="s">
        <v>24</v>
      </c>
      <c r="X357" s="1">
        <v>3004</v>
      </c>
      <c r="Y357" s="1">
        <v>3003</v>
      </c>
      <c r="Z357" s="1" t="s">
        <v>24</v>
      </c>
      <c r="AA357" s="1" t="s">
        <v>24</v>
      </c>
      <c r="AB357" s="1" t="s">
        <v>24</v>
      </c>
      <c r="AC357" s="1" t="s">
        <v>24</v>
      </c>
      <c r="AD357" s="1" t="s">
        <v>24</v>
      </c>
      <c r="AE357" s="1" t="s">
        <v>24</v>
      </c>
      <c r="AF357" s="22"/>
    </row>
    <row r="358" spans="1:32" x14ac:dyDescent="0.2">
      <c r="A358" s="1">
        <v>2020</v>
      </c>
      <c r="B358" s="1" t="s">
        <v>1286</v>
      </c>
      <c r="C358" s="5" t="s">
        <v>0</v>
      </c>
      <c r="D358" s="1" t="s">
        <v>1287</v>
      </c>
      <c r="E358" s="1" t="s">
        <v>1288</v>
      </c>
      <c r="F358" s="1" t="s">
        <v>1289</v>
      </c>
      <c r="G358" s="1" t="s">
        <v>61</v>
      </c>
      <c r="H358" s="1" t="s">
        <v>684</v>
      </c>
      <c r="I358" s="1" t="s">
        <v>16</v>
      </c>
      <c r="J358" s="1">
        <v>1</v>
      </c>
      <c r="K358" s="1">
        <v>8</v>
      </c>
      <c r="L358" s="1" t="s">
        <v>31</v>
      </c>
      <c r="M358" s="1" t="s">
        <v>18</v>
      </c>
      <c r="N358" s="1" t="s">
        <v>18</v>
      </c>
      <c r="O358" s="1">
        <v>3</v>
      </c>
      <c r="P358" s="1">
        <v>6</v>
      </c>
      <c r="R358" s="1" t="s">
        <v>62</v>
      </c>
      <c r="S358" s="1" t="s">
        <v>63</v>
      </c>
      <c r="T358" s="1" t="s">
        <v>21</v>
      </c>
      <c r="U358" s="1" t="s">
        <v>22</v>
      </c>
      <c r="V358" s="1" t="s">
        <v>23</v>
      </c>
      <c r="W358" s="1" t="s">
        <v>24</v>
      </c>
      <c r="X358" s="1">
        <v>2728</v>
      </c>
      <c r="Y358" s="1">
        <v>2808</v>
      </c>
      <c r="Z358" s="1">
        <v>1201</v>
      </c>
      <c r="AA358" s="1">
        <v>3204</v>
      </c>
      <c r="AB358" s="1" t="s">
        <v>24</v>
      </c>
      <c r="AC358" s="1" t="s">
        <v>24</v>
      </c>
      <c r="AD358" s="1" t="s">
        <v>24</v>
      </c>
      <c r="AE358" s="1" t="s">
        <v>24</v>
      </c>
      <c r="AF358" s="22"/>
    </row>
    <row r="359" spans="1:32" x14ac:dyDescent="0.2">
      <c r="A359" s="1">
        <v>2021</v>
      </c>
      <c r="B359" s="1" t="s">
        <v>1290</v>
      </c>
      <c r="C359" s="5" t="s">
        <v>0</v>
      </c>
      <c r="D359" s="1" t="s">
        <v>1291</v>
      </c>
      <c r="E359" s="1" t="s">
        <v>1292</v>
      </c>
      <c r="F359" s="1" t="s">
        <v>291</v>
      </c>
      <c r="G359" s="1" t="s">
        <v>292</v>
      </c>
      <c r="H359" s="1" t="s">
        <v>30</v>
      </c>
      <c r="I359" s="1" t="s">
        <v>16</v>
      </c>
      <c r="J359" s="1">
        <v>1</v>
      </c>
      <c r="K359" s="1">
        <v>10</v>
      </c>
      <c r="L359" s="1" t="s">
        <v>31</v>
      </c>
      <c r="M359" s="1" t="s">
        <v>18</v>
      </c>
      <c r="N359" s="1" t="s">
        <v>18</v>
      </c>
      <c r="O359" s="1">
        <v>3</v>
      </c>
      <c r="P359" s="1">
        <v>6</v>
      </c>
      <c r="R359" s="1" t="s">
        <v>62</v>
      </c>
      <c r="S359" s="1" t="s">
        <v>20</v>
      </c>
      <c r="T359" s="1" t="s">
        <v>21</v>
      </c>
      <c r="U359" s="1" t="s">
        <v>22</v>
      </c>
      <c r="V359" s="1" t="s">
        <v>24</v>
      </c>
      <c r="W359" s="1" t="s">
        <v>24</v>
      </c>
      <c r="X359" s="1">
        <v>3005</v>
      </c>
      <c r="Y359" s="1" t="s">
        <v>24</v>
      </c>
      <c r="Z359" s="1" t="s">
        <v>24</v>
      </c>
      <c r="AA359" s="1" t="s">
        <v>24</v>
      </c>
      <c r="AB359" s="1" t="s">
        <v>24</v>
      </c>
      <c r="AC359" s="1" t="s">
        <v>24</v>
      </c>
      <c r="AD359" s="1" t="s">
        <v>24</v>
      </c>
      <c r="AE359" s="1" t="s">
        <v>24</v>
      </c>
      <c r="AF359" s="22"/>
    </row>
    <row r="360" spans="1:32" x14ac:dyDescent="0.2">
      <c r="A360" s="1">
        <v>2022</v>
      </c>
      <c r="B360" s="1" t="s">
        <v>1293</v>
      </c>
      <c r="C360" s="5" t="s">
        <v>0</v>
      </c>
      <c r="D360" s="1" t="s">
        <v>1294</v>
      </c>
      <c r="E360" s="1" t="s">
        <v>1295</v>
      </c>
      <c r="F360" s="1" t="s">
        <v>291</v>
      </c>
      <c r="G360" s="1" t="s">
        <v>292</v>
      </c>
      <c r="H360" s="1" t="s">
        <v>37</v>
      </c>
      <c r="I360" s="1" t="s">
        <v>16</v>
      </c>
      <c r="J360" s="1">
        <v>1</v>
      </c>
      <c r="K360" s="1">
        <v>4</v>
      </c>
      <c r="L360" s="1" t="s">
        <v>31</v>
      </c>
      <c r="M360" s="1" t="s">
        <v>18</v>
      </c>
      <c r="N360" s="1" t="s">
        <v>18</v>
      </c>
      <c r="O360" s="1">
        <v>3</v>
      </c>
      <c r="P360" s="1">
        <v>8</v>
      </c>
      <c r="Q360" s="7" t="s">
        <v>17633</v>
      </c>
      <c r="R360" s="1" t="s">
        <v>62</v>
      </c>
      <c r="S360" s="1" t="s">
        <v>20</v>
      </c>
      <c r="T360" s="1" t="s">
        <v>21</v>
      </c>
      <c r="U360" s="1" t="s">
        <v>22</v>
      </c>
      <c r="V360" s="1" t="s">
        <v>24</v>
      </c>
      <c r="W360" s="1" t="s">
        <v>24</v>
      </c>
      <c r="X360" s="1">
        <v>2404</v>
      </c>
      <c r="Y360" s="1">
        <v>2402</v>
      </c>
      <c r="Z360" s="1" t="s">
        <v>24</v>
      </c>
      <c r="AA360" s="1" t="s">
        <v>24</v>
      </c>
      <c r="AB360" s="1" t="s">
        <v>24</v>
      </c>
      <c r="AC360" s="1" t="s">
        <v>24</v>
      </c>
      <c r="AD360" s="1" t="s">
        <v>24</v>
      </c>
      <c r="AE360" s="1" t="s">
        <v>24</v>
      </c>
      <c r="AF360" s="22"/>
    </row>
    <row r="361" spans="1:32" x14ac:dyDescent="0.2">
      <c r="A361" s="1">
        <v>2023</v>
      </c>
      <c r="B361" s="1" t="s">
        <v>1296</v>
      </c>
      <c r="C361" s="5" t="s">
        <v>0</v>
      </c>
      <c r="D361" s="1" t="s">
        <v>1297</v>
      </c>
      <c r="E361" s="1" t="s">
        <v>1298</v>
      </c>
      <c r="F361" s="1" t="s">
        <v>60</v>
      </c>
      <c r="G361" s="1" t="s">
        <v>61</v>
      </c>
      <c r="H361" s="1" t="s">
        <v>30</v>
      </c>
      <c r="I361" s="1" t="s">
        <v>16</v>
      </c>
      <c r="J361" s="1">
        <v>2</v>
      </c>
      <c r="K361" s="1">
        <v>3</v>
      </c>
      <c r="L361" s="1" t="s">
        <v>31</v>
      </c>
      <c r="M361" s="1" t="s">
        <v>18</v>
      </c>
      <c r="N361" s="1" t="s">
        <v>18</v>
      </c>
      <c r="O361" s="1">
        <v>3</v>
      </c>
      <c r="P361" s="1">
        <v>7</v>
      </c>
      <c r="Q361" s="7" t="s">
        <v>17633</v>
      </c>
      <c r="R361" s="1" t="s">
        <v>19</v>
      </c>
      <c r="S361" s="1" t="s">
        <v>20</v>
      </c>
      <c r="T361" s="1" t="s">
        <v>21</v>
      </c>
      <c r="U361" s="1" t="s">
        <v>22</v>
      </c>
      <c r="V361" s="1" t="s">
        <v>24</v>
      </c>
      <c r="W361" s="1" t="s">
        <v>24</v>
      </c>
      <c r="X361" s="1">
        <v>1100</v>
      </c>
      <c r="Y361" s="1">
        <v>1300</v>
      </c>
      <c r="Z361" s="1">
        <v>2700</v>
      </c>
      <c r="AA361" s="1" t="s">
        <v>24</v>
      </c>
      <c r="AB361" s="1" t="s">
        <v>24</v>
      </c>
      <c r="AC361" s="1" t="s">
        <v>24</v>
      </c>
      <c r="AD361" s="1" t="s">
        <v>24</v>
      </c>
      <c r="AE361" s="1" t="s">
        <v>24</v>
      </c>
      <c r="AF361" s="22"/>
    </row>
    <row r="362" spans="1:32" x14ac:dyDescent="0.2">
      <c r="A362" s="1">
        <v>2025</v>
      </c>
      <c r="B362" s="1" t="s">
        <v>1299</v>
      </c>
      <c r="C362" s="5" t="s">
        <v>0</v>
      </c>
      <c r="D362" s="1" t="s">
        <v>1300</v>
      </c>
      <c r="F362" s="1" t="s">
        <v>744</v>
      </c>
      <c r="G362" s="1" t="s">
        <v>744</v>
      </c>
      <c r="H362" s="1" t="s">
        <v>37</v>
      </c>
      <c r="I362" s="1" t="s">
        <v>16</v>
      </c>
      <c r="J362" s="1">
        <v>2</v>
      </c>
      <c r="K362" s="1">
        <v>12</v>
      </c>
      <c r="L362" s="1" t="s">
        <v>42</v>
      </c>
      <c r="M362" s="1" t="s">
        <v>18</v>
      </c>
      <c r="N362" s="1" t="s">
        <v>18</v>
      </c>
      <c r="O362" s="1">
        <v>3</v>
      </c>
      <c r="P362" s="1">
        <v>7</v>
      </c>
      <c r="Q362" s="7" t="s">
        <v>17633</v>
      </c>
      <c r="R362" s="1" t="s">
        <v>19</v>
      </c>
      <c r="S362" s="1" t="s">
        <v>20</v>
      </c>
      <c r="T362" s="1" t="s">
        <v>21</v>
      </c>
      <c r="U362" s="1" t="s">
        <v>22</v>
      </c>
      <c r="V362" s="1" t="s">
        <v>24</v>
      </c>
      <c r="W362" s="1" t="s">
        <v>24</v>
      </c>
      <c r="X362" s="1">
        <v>2700</v>
      </c>
      <c r="Y362" s="1" t="s">
        <v>24</v>
      </c>
      <c r="Z362" s="1" t="s">
        <v>24</v>
      </c>
      <c r="AA362" s="1" t="s">
        <v>24</v>
      </c>
      <c r="AB362" s="1" t="s">
        <v>24</v>
      </c>
      <c r="AC362" s="1" t="s">
        <v>24</v>
      </c>
      <c r="AD362" s="1" t="s">
        <v>24</v>
      </c>
      <c r="AE362" s="1" t="s">
        <v>24</v>
      </c>
      <c r="AF362" s="22"/>
    </row>
    <row r="363" spans="1:32" x14ac:dyDescent="0.2">
      <c r="A363" s="1">
        <v>2029</v>
      </c>
      <c r="B363" s="1" t="s">
        <v>1301</v>
      </c>
      <c r="C363" s="5" t="s">
        <v>0</v>
      </c>
      <c r="D363" s="1" t="s">
        <v>1302</v>
      </c>
      <c r="E363" s="1" t="s">
        <v>1303</v>
      </c>
      <c r="F363" s="1" t="s">
        <v>1304</v>
      </c>
      <c r="G363" s="1" t="s">
        <v>460</v>
      </c>
      <c r="H363" s="1" t="s">
        <v>461</v>
      </c>
      <c r="I363" s="1" t="s">
        <v>16</v>
      </c>
      <c r="J363" s="1">
        <v>1</v>
      </c>
      <c r="K363" s="1">
        <v>2</v>
      </c>
      <c r="L363" s="1" t="s">
        <v>42</v>
      </c>
      <c r="M363" s="1" t="s">
        <v>18</v>
      </c>
      <c r="N363" s="1" t="s">
        <v>18</v>
      </c>
      <c r="O363" s="1">
        <v>2</v>
      </c>
      <c r="P363" s="1">
        <v>7</v>
      </c>
      <c r="Q363" s="7" t="s">
        <v>17633</v>
      </c>
      <c r="R363" s="1" t="s">
        <v>62</v>
      </c>
      <c r="S363" s="1" t="s">
        <v>63</v>
      </c>
      <c r="T363" s="1" t="s">
        <v>21</v>
      </c>
      <c r="U363" s="1" t="s">
        <v>22</v>
      </c>
      <c r="V363" s="1" t="s">
        <v>24</v>
      </c>
      <c r="W363" s="1" t="s">
        <v>24</v>
      </c>
      <c r="X363" s="1">
        <v>1307</v>
      </c>
      <c r="Y363" s="1">
        <v>1312</v>
      </c>
      <c r="Z363" s="1">
        <v>1314</v>
      </c>
      <c r="AA363" s="1" t="s">
        <v>24</v>
      </c>
      <c r="AB363" s="1" t="s">
        <v>24</v>
      </c>
      <c r="AC363" s="1" t="s">
        <v>24</v>
      </c>
      <c r="AD363" s="1" t="s">
        <v>24</v>
      </c>
      <c r="AE363" s="1" t="s">
        <v>24</v>
      </c>
      <c r="AF363" s="22"/>
    </row>
    <row r="364" spans="1:32" x14ac:dyDescent="0.2">
      <c r="A364" s="1">
        <v>2031</v>
      </c>
      <c r="B364" s="1" t="s">
        <v>1305</v>
      </c>
      <c r="C364" s="5" t="s">
        <v>0</v>
      </c>
      <c r="D364" s="1" t="s">
        <v>1306</v>
      </c>
      <c r="F364" s="1" t="s">
        <v>1307</v>
      </c>
      <c r="G364" s="1" t="s">
        <v>1307</v>
      </c>
      <c r="H364" s="1" t="s">
        <v>30</v>
      </c>
      <c r="I364" s="1" t="s">
        <v>112</v>
      </c>
      <c r="J364" s="1">
        <v>0</v>
      </c>
      <c r="K364" s="1">
        <v>0</v>
      </c>
      <c r="L364" s="1" t="s">
        <v>42</v>
      </c>
      <c r="M364" s="1" t="s">
        <v>18</v>
      </c>
      <c r="N364" s="1" t="s">
        <v>18</v>
      </c>
      <c r="O364" s="1">
        <v>0</v>
      </c>
      <c r="P364" s="1">
        <v>8</v>
      </c>
      <c r="Q364" s="7" t="s">
        <v>17633</v>
      </c>
      <c r="R364" s="1" t="s">
        <v>19</v>
      </c>
      <c r="S364" s="1" t="s">
        <v>20</v>
      </c>
      <c r="T364" s="1" t="s">
        <v>21</v>
      </c>
      <c r="U364" s="1" t="s">
        <v>22</v>
      </c>
      <c r="V364" s="1" t="s">
        <v>24</v>
      </c>
      <c r="W364" s="1" t="s">
        <v>24</v>
      </c>
      <c r="X364" s="1">
        <v>1312</v>
      </c>
      <c r="Y364" s="1">
        <v>1311</v>
      </c>
      <c r="Z364" s="1">
        <v>1303</v>
      </c>
      <c r="AA364" s="1" t="s">
        <v>24</v>
      </c>
      <c r="AB364" s="1" t="s">
        <v>24</v>
      </c>
      <c r="AC364" s="1" t="s">
        <v>24</v>
      </c>
      <c r="AD364" s="1" t="s">
        <v>24</v>
      </c>
      <c r="AE364" s="1" t="s">
        <v>24</v>
      </c>
      <c r="AF364" s="22"/>
    </row>
    <row r="365" spans="1:32" x14ac:dyDescent="0.2">
      <c r="A365" s="1">
        <v>2048</v>
      </c>
      <c r="B365" s="1" t="s">
        <v>1308</v>
      </c>
      <c r="C365" s="5" t="s">
        <v>0</v>
      </c>
      <c r="D365" s="1" t="s">
        <v>1309</v>
      </c>
      <c r="E365" s="1" t="s">
        <v>1310</v>
      </c>
      <c r="F365" s="1" t="s">
        <v>1189</v>
      </c>
      <c r="G365" s="1" t="s">
        <v>61</v>
      </c>
      <c r="H365" s="1" t="s">
        <v>30</v>
      </c>
      <c r="I365" s="1" t="s">
        <v>16</v>
      </c>
      <c r="J365" s="1">
        <v>1</v>
      </c>
      <c r="K365" s="1">
        <v>6</v>
      </c>
      <c r="L365" s="1" t="s">
        <v>31</v>
      </c>
      <c r="M365" s="1" t="s">
        <v>18</v>
      </c>
      <c r="N365" s="1" t="s">
        <v>18</v>
      </c>
      <c r="O365" s="1">
        <v>3</v>
      </c>
      <c r="P365" s="1">
        <v>7</v>
      </c>
      <c r="Q365" s="7" t="s">
        <v>17633</v>
      </c>
      <c r="R365" s="1" t="s">
        <v>19</v>
      </c>
      <c r="S365" s="1" t="s">
        <v>63</v>
      </c>
      <c r="T365" s="1" t="s">
        <v>21</v>
      </c>
      <c r="U365" s="1" t="s">
        <v>22</v>
      </c>
      <c r="V365" s="1" t="s">
        <v>23</v>
      </c>
      <c r="W365" s="1" t="s">
        <v>24</v>
      </c>
      <c r="X365" s="1">
        <v>2736</v>
      </c>
      <c r="Y365" s="1">
        <v>3004</v>
      </c>
      <c r="Z365" s="1" t="s">
        <v>24</v>
      </c>
      <c r="AA365" s="1" t="s">
        <v>24</v>
      </c>
      <c r="AB365" s="1" t="s">
        <v>24</v>
      </c>
      <c r="AC365" s="1" t="s">
        <v>24</v>
      </c>
      <c r="AD365" s="1" t="s">
        <v>24</v>
      </c>
      <c r="AE365" s="1" t="s">
        <v>24</v>
      </c>
      <c r="AF365" s="22"/>
    </row>
    <row r="366" spans="1:32" x14ac:dyDescent="0.2">
      <c r="A366" s="1">
        <v>2054</v>
      </c>
      <c r="B366" s="1" t="s">
        <v>1311</v>
      </c>
      <c r="C366" s="5" t="s">
        <v>0</v>
      </c>
      <c r="D366" s="1" t="s">
        <v>1312</v>
      </c>
      <c r="E366" s="1" t="s">
        <v>1313</v>
      </c>
      <c r="F366" s="1" t="s">
        <v>190</v>
      </c>
      <c r="G366" s="1" t="s">
        <v>130</v>
      </c>
      <c r="H366" s="1" t="s">
        <v>30</v>
      </c>
      <c r="I366" s="1" t="s">
        <v>16</v>
      </c>
      <c r="J366" s="1">
        <v>1</v>
      </c>
      <c r="K366" s="1">
        <v>6</v>
      </c>
      <c r="L366" s="1" t="s">
        <v>31</v>
      </c>
      <c r="M366" s="1" t="s">
        <v>18</v>
      </c>
      <c r="N366" s="1" t="s">
        <v>18</v>
      </c>
      <c r="O366" s="1">
        <v>3</v>
      </c>
      <c r="P366" s="1">
        <v>6</v>
      </c>
      <c r="R366" s="1" t="s">
        <v>19</v>
      </c>
      <c r="S366" s="1" t="s">
        <v>20</v>
      </c>
      <c r="T366" s="1" t="s">
        <v>21</v>
      </c>
      <c r="U366" s="1" t="s">
        <v>22</v>
      </c>
      <c r="V366" s="1" t="s">
        <v>24</v>
      </c>
      <c r="W366" s="1" t="s">
        <v>24</v>
      </c>
      <c r="X366" s="1">
        <v>3205</v>
      </c>
      <c r="Y366" s="1">
        <v>3203</v>
      </c>
      <c r="Z366" s="1" t="s">
        <v>24</v>
      </c>
      <c r="AA366" s="1" t="s">
        <v>24</v>
      </c>
      <c r="AB366" s="1" t="s">
        <v>24</v>
      </c>
      <c r="AC366" s="1" t="s">
        <v>24</v>
      </c>
      <c r="AD366" s="1" t="s">
        <v>24</v>
      </c>
      <c r="AE366" s="1" t="s">
        <v>24</v>
      </c>
      <c r="AF366" s="22"/>
    </row>
    <row r="367" spans="1:32" x14ac:dyDescent="0.2">
      <c r="A367" s="1">
        <v>2055</v>
      </c>
      <c r="B367" s="1" t="s">
        <v>1314</v>
      </c>
      <c r="C367" s="5" t="s">
        <v>0</v>
      </c>
      <c r="D367" s="1" t="s">
        <v>1315</v>
      </c>
      <c r="E367" s="1" t="s">
        <v>1316</v>
      </c>
      <c r="F367" s="1" t="s">
        <v>190</v>
      </c>
      <c r="G367" s="1" t="s">
        <v>130</v>
      </c>
      <c r="H367" s="1" t="s">
        <v>30</v>
      </c>
      <c r="I367" s="1" t="s">
        <v>16</v>
      </c>
      <c r="J367" s="1">
        <v>2</v>
      </c>
      <c r="K367" s="1">
        <v>6</v>
      </c>
      <c r="L367" s="1" t="s">
        <v>31</v>
      </c>
      <c r="M367" s="1" t="s">
        <v>18</v>
      </c>
      <c r="N367" s="1" t="s">
        <v>18</v>
      </c>
      <c r="O367" s="1">
        <v>3</v>
      </c>
      <c r="P367" s="1">
        <v>7</v>
      </c>
      <c r="Q367" s="7" t="s">
        <v>17633</v>
      </c>
      <c r="R367" s="1" t="s">
        <v>19</v>
      </c>
      <c r="S367" s="1" t="s">
        <v>20</v>
      </c>
      <c r="T367" s="1" t="s">
        <v>21</v>
      </c>
      <c r="U367" s="1" t="s">
        <v>22</v>
      </c>
      <c r="V367" s="1" t="s">
        <v>24</v>
      </c>
      <c r="W367" s="1" t="s">
        <v>24</v>
      </c>
      <c r="X367" s="1">
        <v>2732</v>
      </c>
      <c r="Y367" s="1">
        <v>2712</v>
      </c>
      <c r="Z367" s="1">
        <v>1310</v>
      </c>
      <c r="AA367" s="1" t="s">
        <v>24</v>
      </c>
      <c r="AB367" s="1" t="s">
        <v>24</v>
      </c>
      <c r="AC367" s="1" t="s">
        <v>24</v>
      </c>
      <c r="AD367" s="1" t="s">
        <v>24</v>
      </c>
      <c r="AE367" s="1" t="s">
        <v>24</v>
      </c>
      <c r="AF367" s="22"/>
    </row>
    <row r="368" spans="1:32" x14ac:dyDescent="0.2">
      <c r="A368" s="1">
        <v>2065</v>
      </c>
      <c r="B368" s="1" t="s">
        <v>1317</v>
      </c>
      <c r="C368" s="5" t="s">
        <v>0</v>
      </c>
      <c r="D368" s="1" t="s">
        <v>1318</v>
      </c>
      <c r="E368" s="1" t="s">
        <v>1319</v>
      </c>
      <c r="F368" s="1" t="s">
        <v>1177</v>
      </c>
      <c r="G368" s="1" t="s">
        <v>61</v>
      </c>
      <c r="H368" s="1" t="s">
        <v>37</v>
      </c>
      <c r="I368" s="1" t="s">
        <v>16</v>
      </c>
      <c r="J368" s="1">
        <v>1</v>
      </c>
      <c r="K368" s="1">
        <v>8</v>
      </c>
      <c r="L368" s="1" t="s">
        <v>31</v>
      </c>
      <c r="M368" s="1" t="s">
        <v>18</v>
      </c>
      <c r="N368" s="1" t="s">
        <v>18</v>
      </c>
      <c r="O368" s="1">
        <v>3</v>
      </c>
      <c r="P368" s="1">
        <v>6</v>
      </c>
      <c r="R368" s="1" t="s">
        <v>62</v>
      </c>
      <c r="S368" s="1" t="s">
        <v>20</v>
      </c>
      <c r="T368" s="1" t="s">
        <v>21</v>
      </c>
      <c r="U368" s="1" t="s">
        <v>22</v>
      </c>
      <c r="V368" s="1" t="s">
        <v>24</v>
      </c>
      <c r="W368" s="1" t="s">
        <v>24</v>
      </c>
      <c r="X368" s="1">
        <v>2730</v>
      </c>
      <c r="Y368" s="1">
        <v>2741</v>
      </c>
      <c r="Z368" s="1" t="s">
        <v>24</v>
      </c>
      <c r="AA368" s="1" t="s">
        <v>24</v>
      </c>
      <c r="AB368" s="1" t="s">
        <v>24</v>
      </c>
      <c r="AC368" s="1" t="s">
        <v>24</v>
      </c>
      <c r="AD368" s="1" t="s">
        <v>24</v>
      </c>
      <c r="AE368" s="1" t="s">
        <v>24</v>
      </c>
      <c r="AF368" s="22"/>
    </row>
    <row r="369" spans="1:32" x14ac:dyDescent="0.2">
      <c r="A369" s="1">
        <v>2067</v>
      </c>
      <c r="B369" s="1" t="s">
        <v>1320</v>
      </c>
      <c r="C369" s="5" t="s">
        <v>0</v>
      </c>
      <c r="D369" s="1" t="s">
        <v>1321</v>
      </c>
      <c r="E369" s="1" t="s">
        <v>1322</v>
      </c>
      <c r="F369" s="1" t="s">
        <v>167</v>
      </c>
      <c r="G369" s="1" t="s">
        <v>130</v>
      </c>
      <c r="H369" s="1" t="s">
        <v>168</v>
      </c>
      <c r="I369" s="1" t="s">
        <v>16</v>
      </c>
      <c r="J369" s="1">
        <v>4</v>
      </c>
      <c r="K369" s="1">
        <v>3</v>
      </c>
      <c r="L369" s="1" t="s">
        <v>31</v>
      </c>
      <c r="M369" s="1" t="s">
        <v>18</v>
      </c>
      <c r="N369" s="1" t="s">
        <v>18</v>
      </c>
      <c r="O369" s="1">
        <v>2</v>
      </c>
      <c r="P369" s="1">
        <v>7</v>
      </c>
      <c r="Q369" s="7" t="s">
        <v>17633</v>
      </c>
      <c r="R369" s="1" t="s">
        <v>19</v>
      </c>
      <c r="S369" s="1" t="s">
        <v>20</v>
      </c>
      <c r="T369" s="1" t="s">
        <v>21</v>
      </c>
      <c r="U369" s="1" t="s">
        <v>22</v>
      </c>
      <c r="V369" s="1" t="s">
        <v>24</v>
      </c>
      <c r="W369" s="1" t="s">
        <v>24</v>
      </c>
      <c r="X369" s="1">
        <v>2734</v>
      </c>
      <c r="Y369" s="1">
        <v>1307</v>
      </c>
      <c r="Z369" s="1">
        <v>2722</v>
      </c>
      <c r="AA369" s="1" t="s">
        <v>24</v>
      </c>
      <c r="AB369" s="1" t="s">
        <v>24</v>
      </c>
      <c r="AC369" s="1" t="s">
        <v>24</v>
      </c>
      <c r="AD369" s="1" t="s">
        <v>24</v>
      </c>
      <c r="AE369" s="1" t="s">
        <v>24</v>
      </c>
      <c r="AF369" s="22"/>
    </row>
    <row r="370" spans="1:32" x14ac:dyDescent="0.2">
      <c r="A370" s="1">
        <v>2070</v>
      </c>
      <c r="B370" s="1" t="s">
        <v>1323</v>
      </c>
      <c r="C370" s="5" t="s">
        <v>0</v>
      </c>
      <c r="D370" s="1" t="s">
        <v>1324</v>
      </c>
      <c r="E370" s="1" t="s">
        <v>1325</v>
      </c>
      <c r="F370" s="1" t="s">
        <v>167</v>
      </c>
      <c r="G370" s="1" t="s">
        <v>130</v>
      </c>
      <c r="H370" s="1" t="s">
        <v>168</v>
      </c>
      <c r="I370" s="1" t="s">
        <v>16</v>
      </c>
      <c r="J370" s="1">
        <v>2</v>
      </c>
      <c r="K370" s="1">
        <v>6</v>
      </c>
      <c r="L370" s="1" t="s">
        <v>31</v>
      </c>
      <c r="M370" s="1" t="s">
        <v>18</v>
      </c>
      <c r="N370" s="1" t="s">
        <v>18</v>
      </c>
      <c r="O370" s="1">
        <v>3</v>
      </c>
      <c r="P370" s="1">
        <v>7</v>
      </c>
      <c r="Q370" s="7" t="s">
        <v>17633</v>
      </c>
      <c r="R370" s="1" t="s">
        <v>19</v>
      </c>
      <c r="S370" s="1" t="s">
        <v>20</v>
      </c>
      <c r="T370" s="1" t="s">
        <v>21</v>
      </c>
      <c r="U370" s="1" t="s">
        <v>22</v>
      </c>
      <c r="V370" s="1" t="s">
        <v>24</v>
      </c>
      <c r="W370" s="1" t="s">
        <v>24</v>
      </c>
      <c r="X370" s="1">
        <v>1311</v>
      </c>
      <c r="Y370" s="1" t="s">
        <v>24</v>
      </c>
      <c r="Z370" s="1" t="s">
        <v>24</v>
      </c>
      <c r="AA370" s="1" t="s">
        <v>24</v>
      </c>
      <c r="AB370" s="1" t="s">
        <v>24</v>
      </c>
      <c r="AC370" s="1" t="s">
        <v>24</v>
      </c>
      <c r="AD370" s="1" t="s">
        <v>24</v>
      </c>
      <c r="AE370" s="1" t="s">
        <v>24</v>
      </c>
      <c r="AF370" s="22"/>
    </row>
    <row r="371" spans="1:32" x14ac:dyDescent="0.2">
      <c r="A371" s="1">
        <v>2072</v>
      </c>
      <c r="B371" s="1" t="s">
        <v>1326</v>
      </c>
      <c r="C371" s="5" t="s">
        <v>0</v>
      </c>
      <c r="D371" s="1" t="s">
        <v>1327</v>
      </c>
      <c r="E371" s="1" t="s">
        <v>1328</v>
      </c>
      <c r="F371" s="1" t="s">
        <v>190</v>
      </c>
      <c r="G371" s="1" t="s">
        <v>130</v>
      </c>
      <c r="H371" s="1" t="s">
        <v>30</v>
      </c>
      <c r="I371" s="1" t="s">
        <v>16</v>
      </c>
      <c r="J371" s="1">
        <v>2</v>
      </c>
      <c r="K371" s="1">
        <v>6</v>
      </c>
      <c r="L371" s="1" t="s">
        <v>31</v>
      </c>
      <c r="M371" s="1" t="s">
        <v>18</v>
      </c>
      <c r="N371" s="1" t="s">
        <v>18</v>
      </c>
      <c r="O371" s="1">
        <v>3</v>
      </c>
      <c r="P371" s="1">
        <v>7</v>
      </c>
      <c r="Q371" s="7" t="s">
        <v>17633</v>
      </c>
      <c r="R371" s="1" t="s">
        <v>19</v>
      </c>
      <c r="S371" s="1" t="s">
        <v>20</v>
      </c>
      <c r="T371" s="1" t="s">
        <v>21</v>
      </c>
      <c r="U371" s="1" t="s">
        <v>22</v>
      </c>
      <c r="V371" s="1" t="s">
        <v>24</v>
      </c>
      <c r="W371" s="1" t="s">
        <v>24</v>
      </c>
      <c r="X371" s="1">
        <v>2404</v>
      </c>
      <c r="Y371" s="1">
        <v>2402</v>
      </c>
      <c r="Z371" s="1" t="s">
        <v>24</v>
      </c>
      <c r="AA371" s="1" t="s">
        <v>24</v>
      </c>
      <c r="AB371" s="1" t="s">
        <v>24</v>
      </c>
      <c r="AC371" s="1" t="s">
        <v>24</v>
      </c>
      <c r="AD371" s="1" t="s">
        <v>24</v>
      </c>
      <c r="AE371" s="1" t="s">
        <v>24</v>
      </c>
      <c r="AF371" s="22"/>
    </row>
    <row r="372" spans="1:32" x14ac:dyDescent="0.2">
      <c r="A372" s="1">
        <v>2080</v>
      </c>
      <c r="B372" s="1" t="s">
        <v>1329</v>
      </c>
      <c r="C372" s="5" t="s">
        <v>0</v>
      </c>
      <c r="D372" s="1" t="s">
        <v>1330</v>
      </c>
      <c r="E372" s="1" t="s">
        <v>1331</v>
      </c>
      <c r="F372" s="1" t="s">
        <v>55</v>
      </c>
      <c r="G372" s="1" t="s">
        <v>56</v>
      </c>
      <c r="H372" s="1" t="s">
        <v>37</v>
      </c>
      <c r="I372" s="1" t="s">
        <v>16</v>
      </c>
      <c r="J372" s="1">
        <v>4</v>
      </c>
      <c r="K372" s="1">
        <v>4</v>
      </c>
      <c r="L372" s="1" t="s">
        <v>31</v>
      </c>
      <c r="M372" s="1" t="s">
        <v>18</v>
      </c>
      <c r="N372" s="1" t="s">
        <v>18</v>
      </c>
      <c r="O372" s="1">
        <v>3</v>
      </c>
      <c r="P372" s="1">
        <v>7</v>
      </c>
      <c r="Q372" s="7" t="s">
        <v>17633</v>
      </c>
      <c r="R372" s="1" t="s">
        <v>62</v>
      </c>
      <c r="S372" s="1" t="s">
        <v>20</v>
      </c>
      <c r="T372" s="1" t="s">
        <v>21</v>
      </c>
      <c r="U372" s="1" t="s">
        <v>22</v>
      </c>
      <c r="V372" s="1" t="s">
        <v>24</v>
      </c>
      <c r="W372" s="1" t="s">
        <v>24</v>
      </c>
      <c r="X372" s="1">
        <v>2705</v>
      </c>
      <c r="Y372" s="1">
        <v>2737</v>
      </c>
      <c r="Z372" s="1">
        <v>1314</v>
      </c>
      <c r="AA372" s="1" t="s">
        <v>24</v>
      </c>
      <c r="AB372" s="1" t="s">
        <v>24</v>
      </c>
      <c r="AC372" s="1" t="s">
        <v>24</v>
      </c>
      <c r="AD372" s="1" t="s">
        <v>24</v>
      </c>
      <c r="AE372" s="1" t="s">
        <v>24</v>
      </c>
      <c r="AF372" s="22"/>
    </row>
    <row r="373" spans="1:32" x14ac:dyDescent="0.2">
      <c r="A373" s="1">
        <v>2081</v>
      </c>
      <c r="B373" s="1" t="s">
        <v>1332</v>
      </c>
      <c r="C373" s="5" t="s">
        <v>0</v>
      </c>
      <c r="D373" s="1" t="s">
        <v>1333</v>
      </c>
      <c r="E373" s="1" t="s">
        <v>1334</v>
      </c>
      <c r="F373" s="1" t="s">
        <v>291</v>
      </c>
      <c r="G373" s="1" t="s">
        <v>292</v>
      </c>
      <c r="H373" s="1" t="s">
        <v>37</v>
      </c>
      <c r="I373" s="1" t="s">
        <v>16</v>
      </c>
      <c r="J373" s="1">
        <v>1</v>
      </c>
      <c r="K373" s="1">
        <v>6</v>
      </c>
      <c r="L373" s="1" t="s">
        <v>31</v>
      </c>
      <c r="M373" s="1" t="s">
        <v>18</v>
      </c>
      <c r="N373" s="1" t="s">
        <v>18</v>
      </c>
      <c r="O373" s="1">
        <v>3</v>
      </c>
      <c r="P373" s="1">
        <v>6</v>
      </c>
      <c r="R373" s="1" t="s">
        <v>19</v>
      </c>
      <c r="S373" s="1" t="s">
        <v>20</v>
      </c>
      <c r="T373" s="1" t="s">
        <v>21</v>
      </c>
      <c r="U373" s="1" t="s">
        <v>22</v>
      </c>
      <c r="V373" s="1" t="s">
        <v>24</v>
      </c>
      <c r="W373" s="1" t="s">
        <v>24</v>
      </c>
      <c r="X373" s="1">
        <v>1303</v>
      </c>
      <c r="Y373" s="1">
        <v>1307</v>
      </c>
      <c r="Z373" s="1">
        <v>1312</v>
      </c>
      <c r="AA373" s="1">
        <v>2732</v>
      </c>
      <c r="AB373" s="1">
        <v>2745</v>
      </c>
      <c r="AC373" s="1" t="s">
        <v>24</v>
      </c>
      <c r="AD373" s="1" t="s">
        <v>24</v>
      </c>
      <c r="AE373" s="1" t="s">
        <v>24</v>
      </c>
      <c r="AF373" s="22"/>
    </row>
    <row r="374" spans="1:32" x14ac:dyDescent="0.2">
      <c r="A374" s="1">
        <v>2087</v>
      </c>
      <c r="B374" s="1" t="s">
        <v>1335</v>
      </c>
      <c r="C374" s="5" t="s">
        <v>0</v>
      </c>
      <c r="D374" s="1" t="s">
        <v>1336</v>
      </c>
      <c r="E374" s="1" t="s">
        <v>1337</v>
      </c>
      <c r="F374" s="1" t="s">
        <v>315</v>
      </c>
      <c r="G374" s="1" t="s">
        <v>316</v>
      </c>
      <c r="H374" s="1" t="s">
        <v>37</v>
      </c>
      <c r="I374" s="1" t="s">
        <v>16</v>
      </c>
      <c r="J374" s="1">
        <v>1</v>
      </c>
      <c r="K374" s="1">
        <v>12</v>
      </c>
      <c r="L374" s="1" t="s">
        <v>31</v>
      </c>
      <c r="M374" s="1" t="s">
        <v>1009</v>
      </c>
      <c r="N374" s="1" t="s">
        <v>18</v>
      </c>
      <c r="O374" s="1">
        <v>2</v>
      </c>
      <c r="P374" s="1">
        <v>6</v>
      </c>
      <c r="R374" s="1" t="s">
        <v>19</v>
      </c>
      <c r="S374" s="1" t="s">
        <v>20</v>
      </c>
      <c r="T374" s="1" t="s">
        <v>21</v>
      </c>
      <c r="U374" s="1" t="s">
        <v>22</v>
      </c>
      <c r="V374" s="1" t="s">
        <v>24</v>
      </c>
      <c r="W374" s="1" t="s">
        <v>64</v>
      </c>
      <c r="X374" s="1">
        <v>3004</v>
      </c>
      <c r="Y374" s="1">
        <v>2736</v>
      </c>
      <c r="Z374" s="1" t="s">
        <v>24</v>
      </c>
      <c r="AA374" s="1" t="s">
        <v>24</v>
      </c>
      <c r="AB374" s="1" t="s">
        <v>24</v>
      </c>
      <c r="AC374" s="1" t="s">
        <v>24</v>
      </c>
      <c r="AD374" s="1" t="s">
        <v>24</v>
      </c>
      <c r="AE374" s="1" t="s">
        <v>24</v>
      </c>
      <c r="AF374" s="22"/>
    </row>
    <row r="375" spans="1:32" x14ac:dyDescent="0.2">
      <c r="A375" s="1">
        <v>2098</v>
      </c>
      <c r="B375" s="1" t="s">
        <v>1338</v>
      </c>
      <c r="C375" s="5" t="s">
        <v>0</v>
      </c>
      <c r="D375" s="1" t="s">
        <v>1339</v>
      </c>
      <c r="E375" s="1" t="s">
        <v>1340</v>
      </c>
      <c r="F375" s="1" t="s">
        <v>221</v>
      </c>
      <c r="G375" s="1" t="s">
        <v>61</v>
      </c>
      <c r="H375" s="1" t="s">
        <v>222</v>
      </c>
      <c r="I375" s="1" t="s">
        <v>16</v>
      </c>
      <c r="J375" s="1">
        <v>7</v>
      </c>
      <c r="K375" s="1">
        <v>3</v>
      </c>
      <c r="L375" s="1" t="s">
        <v>31</v>
      </c>
      <c r="M375" s="1" t="s">
        <v>18</v>
      </c>
      <c r="N375" s="1" t="s">
        <v>18</v>
      </c>
      <c r="O375" s="1">
        <v>3</v>
      </c>
      <c r="P375" s="1">
        <v>7</v>
      </c>
      <c r="Q375" s="7" t="s">
        <v>17633</v>
      </c>
      <c r="R375" s="1" t="s">
        <v>62</v>
      </c>
      <c r="S375" s="1" t="s">
        <v>20</v>
      </c>
      <c r="T375" s="1" t="s">
        <v>21</v>
      </c>
      <c r="U375" s="1" t="s">
        <v>22</v>
      </c>
      <c r="V375" s="1" t="s">
        <v>23</v>
      </c>
      <c r="W375" s="1" t="s">
        <v>24</v>
      </c>
      <c r="X375" s="1">
        <v>2738</v>
      </c>
      <c r="Y375" s="1">
        <v>3005</v>
      </c>
      <c r="Z375" s="1">
        <v>3004</v>
      </c>
      <c r="AA375" s="1">
        <v>2736</v>
      </c>
      <c r="AB375" s="1" t="s">
        <v>24</v>
      </c>
      <c r="AC375" s="1" t="s">
        <v>24</v>
      </c>
      <c r="AD375" s="1" t="s">
        <v>24</v>
      </c>
      <c r="AE375" s="1" t="s">
        <v>24</v>
      </c>
      <c r="AF375" s="22"/>
    </row>
    <row r="376" spans="1:32" x14ac:dyDescent="0.2">
      <c r="A376" s="1">
        <v>2102</v>
      </c>
      <c r="B376" s="1" t="s">
        <v>1341</v>
      </c>
      <c r="C376" s="5" t="s">
        <v>0</v>
      </c>
      <c r="D376" s="1" t="s">
        <v>1342</v>
      </c>
      <c r="F376" s="1" t="s">
        <v>1343</v>
      </c>
      <c r="G376" s="1" t="s">
        <v>1343</v>
      </c>
      <c r="H376" s="1" t="s">
        <v>168</v>
      </c>
      <c r="I376" s="1" t="s">
        <v>16</v>
      </c>
      <c r="J376" s="1">
        <v>1</v>
      </c>
      <c r="K376" s="1">
        <v>52</v>
      </c>
      <c r="L376" s="1" t="s">
        <v>17</v>
      </c>
      <c r="M376" s="1" t="s">
        <v>413</v>
      </c>
      <c r="N376" s="1" t="s">
        <v>413</v>
      </c>
      <c r="O376" s="1">
        <v>0</v>
      </c>
      <c r="P376" s="1">
        <v>5</v>
      </c>
      <c r="R376" s="1" t="s">
        <v>19</v>
      </c>
      <c r="S376" s="1" t="s">
        <v>20</v>
      </c>
      <c r="T376" s="1" t="s">
        <v>21</v>
      </c>
      <c r="U376" s="1" t="s">
        <v>22</v>
      </c>
      <c r="V376" s="1" t="s">
        <v>23</v>
      </c>
      <c r="W376" s="1" t="s">
        <v>24</v>
      </c>
      <c r="X376" s="1">
        <v>2736</v>
      </c>
      <c r="Y376" s="1" t="s">
        <v>24</v>
      </c>
      <c r="Z376" s="1" t="s">
        <v>24</v>
      </c>
      <c r="AA376" s="1" t="s">
        <v>24</v>
      </c>
      <c r="AB376" s="1" t="s">
        <v>24</v>
      </c>
      <c r="AC376" s="1" t="s">
        <v>24</v>
      </c>
      <c r="AD376" s="1" t="s">
        <v>24</v>
      </c>
      <c r="AE376" s="1" t="s">
        <v>24</v>
      </c>
      <c r="AF376" s="22"/>
    </row>
    <row r="377" spans="1:32" x14ac:dyDescent="0.2">
      <c r="A377" s="1">
        <v>2103</v>
      </c>
      <c r="B377" s="1" t="s">
        <v>1344</v>
      </c>
      <c r="C377" s="5" t="s">
        <v>0</v>
      </c>
      <c r="D377" s="1" t="s">
        <v>1345</v>
      </c>
      <c r="F377" s="1" t="s">
        <v>1346</v>
      </c>
      <c r="G377" s="1" t="s">
        <v>1346</v>
      </c>
      <c r="H377" s="1" t="s">
        <v>428</v>
      </c>
      <c r="I377" s="1" t="s">
        <v>16</v>
      </c>
      <c r="J377" s="1">
        <v>1</v>
      </c>
      <c r="K377" s="1">
        <v>4</v>
      </c>
      <c r="L377" s="1" t="s">
        <v>42</v>
      </c>
      <c r="M377" s="1" t="s">
        <v>18</v>
      </c>
      <c r="N377" s="1" t="s">
        <v>18</v>
      </c>
      <c r="O377" s="1">
        <v>3</v>
      </c>
      <c r="P377" s="1">
        <v>6</v>
      </c>
      <c r="R377" s="1" t="s">
        <v>19</v>
      </c>
      <c r="S377" s="1" t="s">
        <v>20</v>
      </c>
      <c r="T377" s="1" t="s">
        <v>21</v>
      </c>
      <c r="U377" s="1" t="s">
        <v>22</v>
      </c>
      <c r="V377" s="1" t="s">
        <v>24</v>
      </c>
      <c r="W377" s="1" t="s">
        <v>24</v>
      </c>
      <c r="X377" s="1">
        <v>1310</v>
      </c>
      <c r="Y377" s="1">
        <v>2724</v>
      </c>
      <c r="Z377" s="1">
        <v>2712</v>
      </c>
      <c r="AA377" s="1" t="s">
        <v>24</v>
      </c>
      <c r="AB377" s="1" t="s">
        <v>24</v>
      </c>
      <c r="AC377" s="1" t="s">
        <v>24</v>
      </c>
      <c r="AD377" s="1" t="s">
        <v>24</v>
      </c>
      <c r="AE377" s="1" t="s">
        <v>24</v>
      </c>
      <c r="AF377" s="22"/>
    </row>
    <row r="378" spans="1:32" x14ac:dyDescent="0.2">
      <c r="A378" s="1">
        <v>2107</v>
      </c>
      <c r="B378" s="1" t="s">
        <v>1347</v>
      </c>
      <c r="C378" s="5" t="s">
        <v>0</v>
      </c>
      <c r="D378" s="1" t="s">
        <v>1348</v>
      </c>
      <c r="E378" s="1" t="s">
        <v>1349</v>
      </c>
      <c r="F378" s="1" t="s">
        <v>167</v>
      </c>
      <c r="G378" s="1" t="s">
        <v>130</v>
      </c>
      <c r="H378" s="1" t="s">
        <v>168</v>
      </c>
      <c r="I378" s="1" t="s">
        <v>16</v>
      </c>
      <c r="J378" s="1">
        <v>1</v>
      </c>
      <c r="K378" s="1">
        <v>12</v>
      </c>
      <c r="L378" s="1" t="s">
        <v>31</v>
      </c>
      <c r="M378" s="1" t="s">
        <v>18</v>
      </c>
      <c r="N378" s="1" t="s">
        <v>18</v>
      </c>
      <c r="O378" s="1">
        <v>3</v>
      </c>
      <c r="P378" s="1">
        <v>7</v>
      </c>
      <c r="Q378" s="7" t="s">
        <v>17633</v>
      </c>
      <c r="R378" s="1" t="s">
        <v>62</v>
      </c>
      <c r="S378" s="1" t="s">
        <v>20</v>
      </c>
      <c r="T378" s="1" t="s">
        <v>21</v>
      </c>
      <c r="U378" s="1" t="s">
        <v>22</v>
      </c>
      <c r="V378" s="1" t="s">
        <v>24</v>
      </c>
      <c r="W378" s="1" t="s">
        <v>24</v>
      </c>
      <c r="X378" s="1">
        <v>2724</v>
      </c>
      <c r="Y378" s="1">
        <v>2712</v>
      </c>
      <c r="Z378" s="1" t="s">
        <v>24</v>
      </c>
      <c r="AA378" s="1" t="s">
        <v>24</v>
      </c>
      <c r="AB378" s="1" t="s">
        <v>24</v>
      </c>
      <c r="AC378" s="1" t="s">
        <v>24</v>
      </c>
      <c r="AD378" s="1" t="s">
        <v>24</v>
      </c>
      <c r="AE378" s="1" t="s">
        <v>24</v>
      </c>
      <c r="AF378" s="22"/>
    </row>
    <row r="379" spans="1:32" x14ac:dyDescent="0.2">
      <c r="A379" s="1">
        <v>2110</v>
      </c>
      <c r="B379" s="1" t="s">
        <v>1350</v>
      </c>
      <c r="C379" s="5" t="s">
        <v>0</v>
      </c>
      <c r="D379" s="1" t="s">
        <v>1351</v>
      </c>
      <c r="F379" s="1" t="s">
        <v>155</v>
      </c>
      <c r="G379" s="1" t="s">
        <v>61</v>
      </c>
      <c r="H379" s="1" t="s">
        <v>37</v>
      </c>
      <c r="I379" s="1" t="s">
        <v>16</v>
      </c>
      <c r="J379" s="1">
        <v>1</v>
      </c>
      <c r="K379" s="1">
        <v>12</v>
      </c>
      <c r="L379" s="1" t="s">
        <v>31</v>
      </c>
      <c r="M379" s="1" t="s">
        <v>18</v>
      </c>
      <c r="N379" s="1" t="s">
        <v>18</v>
      </c>
      <c r="O379" s="1">
        <v>3</v>
      </c>
      <c r="P379" s="1">
        <v>7</v>
      </c>
      <c r="Q379" s="7" t="s">
        <v>17633</v>
      </c>
      <c r="R379" s="1" t="s">
        <v>62</v>
      </c>
      <c r="S379" s="1" t="s">
        <v>63</v>
      </c>
      <c r="T379" s="1" t="s">
        <v>21</v>
      </c>
      <c r="U379" s="1" t="s">
        <v>22</v>
      </c>
      <c r="V379" s="1" t="s">
        <v>24</v>
      </c>
      <c r="W379" s="1" t="s">
        <v>24</v>
      </c>
      <c r="X379" s="1">
        <v>1309</v>
      </c>
      <c r="Y379" s="1">
        <v>2403</v>
      </c>
      <c r="Z379" s="1" t="s">
        <v>24</v>
      </c>
      <c r="AA379" s="1" t="s">
        <v>24</v>
      </c>
      <c r="AB379" s="1" t="s">
        <v>24</v>
      </c>
      <c r="AC379" s="1" t="s">
        <v>24</v>
      </c>
      <c r="AD379" s="1" t="s">
        <v>24</v>
      </c>
      <c r="AE379" s="1" t="s">
        <v>24</v>
      </c>
      <c r="AF379" s="22"/>
    </row>
    <row r="380" spans="1:32" x14ac:dyDescent="0.2">
      <c r="A380" s="1">
        <v>2114</v>
      </c>
      <c r="B380" s="1" t="s">
        <v>1352</v>
      </c>
      <c r="C380" s="5" t="s">
        <v>0</v>
      </c>
      <c r="D380" s="1" t="s">
        <v>1353</v>
      </c>
      <c r="E380" s="1" t="s">
        <v>1354</v>
      </c>
      <c r="F380" s="1" t="s">
        <v>291</v>
      </c>
      <c r="G380" s="1" t="s">
        <v>292</v>
      </c>
      <c r="H380" s="1" t="s">
        <v>30</v>
      </c>
      <c r="I380" s="1" t="s">
        <v>16</v>
      </c>
      <c r="J380" s="1">
        <v>1</v>
      </c>
      <c r="K380" s="1">
        <v>4</v>
      </c>
      <c r="L380" s="1" t="s">
        <v>31</v>
      </c>
      <c r="M380" s="1" t="s">
        <v>18</v>
      </c>
      <c r="N380" s="1" t="s">
        <v>18</v>
      </c>
      <c r="O380" s="1">
        <v>3</v>
      </c>
      <c r="P380" s="1">
        <v>6</v>
      </c>
      <c r="R380" s="1" t="s">
        <v>19</v>
      </c>
      <c r="S380" s="1" t="s">
        <v>20</v>
      </c>
      <c r="T380" s="1" t="s">
        <v>21</v>
      </c>
      <c r="U380" s="1" t="s">
        <v>22</v>
      </c>
      <c r="V380" s="1" t="s">
        <v>24</v>
      </c>
      <c r="W380" s="1" t="s">
        <v>24</v>
      </c>
      <c r="X380" s="1">
        <v>3005</v>
      </c>
      <c r="Y380" s="1">
        <v>3004</v>
      </c>
      <c r="Z380" s="1">
        <v>2307</v>
      </c>
      <c r="AA380" s="1">
        <v>2739</v>
      </c>
      <c r="AB380" s="1">
        <v>1504</v>
      </c>
      <c r="AC380" s="1" t="s">
        <v>24</v>
      </c>
      <c r="AD380" s="1" t="s">
        <v>24</v>
      </c>
      <c r="AE380" s="1" t="s">
        <v>24</v>
      </c>
      <c r="AF380" s="22"/>
    </row>
    <row r="381" spans="1:32" x14ac:dyDescent="0.2">
      <c r="A381" s="1">
        <v>2115</v>
      </c>
      <c r="B381" s="1" t="s">
        <v>1355</v>
      </c>
      <c r="C381" s="5" t="s">
        <v>0</v>
      </c>
      <c r="D381" s="1" t="s">
        <v>1356</v>
      </c>
      <c r="E381" s="1" t="s">
        <v>1357</v>
      </c>
      <c r="F381" s="1" t="s">
        <v>291</v>
      </c>
      <c r="G381" s="1" t="s">
        <v>292</v>
      </c>
      <c r="H381" s="1" t="s">
        <v>30</v>
      </c>
      <c r="I381" s="1" t="s">
        <v>16</v>
      </c>
      <c r="J381" s="1">
        <v>1</v>
      </c>
      <c r="K381" s="1">
        <v>12</v>
      </c>
      <c r="L381" s="1" t="s">
        <v>31</v>
      </c>
      <c r="M381" s="1" t="s">
        <v>18</v>
      </c>
      <c r="N381" s="1" t="s">
        <v>18</v>
      </c>
      <c r="O381" s="1">
        <v>3</v>
      </c>
      <c r="P381" s="1">
        <v>6</v>
      </c>
      <c r="R381" s="1" t="s">
        <v>19</v>
      </c>
      <c r="S381" s="1" t="s">
        <v>20</v>
      </c>
      <c r="T381" s="1" t="s">
        <v>21</v>
      </c>
      <c r="U381" s="1" t="s">
        <v>22</v>
      </c>
      <c r="V381" s="1" t="s">
        <v>24</v>
      </c>
      <c r="W381" s="1" t="s">
        <v>24</v>
      </c>
      <c r="X381" s="1">
        <v>3002</v>
      </c>
      <c r="Y381" s="1">
        <v>3004</v>
      </c>
      <c r="Z381" s="1">
        <v>1605</v>
      </c>
      <c r="AA381" s="1" t="s">
        <v>24</v>
      </c>
      <c r="AB381" s="1" t="s">
        <v>24</v>
      </c>
      <c r="AC381" s="1" t="s">
        <v>24</v>
      </c>
      <c r="AD381" s="1" t="s">
        <v>24</v>
      </c>
      <c r="AE381" s="1" t="s">
        <v>24</v>
      </c>
      <c r="AF381" s="22"/>
    </row>
    <row r="382" spans="1:32" x14ac:dyDescent="0.2">
      <c r="A382" s="1">
        <v>2117</v>
      </c>
      <c r="B382" s="1" t="s">
        <v>1358</v>
      </c>
      <c r="C382" s="5" t="s">
        <v>0</v>
      </c>
      <c r="D382" s="1" t="s">
        <v>1359</v>
      </c>
      <c r="E382" s="1" t="s">
        <v>1360</v>
      </c>
      <c r="F382" s="1" t="s">
        <v>320</v>
      </c>
      <c r="G382" s="1" t="s">
        <v>36</v>
      </c>
      <c r="H382" s="1" t="s">
        <v>30</v>
      </c>
      <c r="I382" s="1" t="s">
        <v>16</v>
      </c>
      <c r="J382" s="1">
        <v>3</v>
      </c>
      <c r="K382" s="1">
        <v>4</v>
      </c>
      <c r="L382" s="1" t="s">
        <v>31</v>
      </c>
      <c r="M382" s="1" t="s">
        <v>18</v>
      </c>
      <c r="N382" s="1" t="s">
        <v>18</v>
      </c>
      <c r="O382" s="1">
        <v>3</v>
      </c>
      <c r="P382" s="1">
        <v>6</v>
      </c>
      <c r="R382" s="1" t="s">
        <v>19</v>
      </c>
      <c r="S382" s="1" t="s">
        <v>20</v>
      </c>
      <c r="T382" s="1" t="s">
        <v>21</v>
      </c>
      <c r="U382" s="1" t="s">
        <v>22</v>
      </c>
      <c r="V382" s="1" t="s">
        <v>24</v>
      </c>
      <c r="W382" s="1" t="s">
        <v>64</v>
      </c>
      <c r="X382" s="1">
        <v>3002</v>
      </c>
      <c r="Y382" s="1" t="s">
        <v>24</v>
      </c>
      <c r="Z382" s="1" t="s">
        <v>24</v>
      </c>
      <c r="AA382" s="1" t="s">
        <v>24</v>
      </c>
      <c r="AB382" s="1" t="s">
        <v>24</v>
      </c>
      <c r="AC382" s="1" t="s">
        <v>24</v>
      </c>
      <c r="AD382" s="1" t="s">
        <v>24</v>
      </c>
      <c r="AE382" s="1" t="s">
        <v>24</v>
      </c>
      <c r="AF382" s="22"/>
    </row>
    <row r="383" spans="1:32" x14ac:dyDescent="0.2">
      <c r="A383" s="1">
        <v>2119</v>
      </c>
      <c r="B383" s="1" t="s">
        <v>1361</v>
      </c>
      <c r="C383" s="5" t="s">
        <v>0</v>
      </c>
      <c r="D383" s="1" t="s">
        <v>1362</v>
      </c>
      <c r="E383" s="1" t="s">
        <v>1363</v>
      </c>
      <c r="F383" s="1" t="s">
        <v>190</v>
      </c>
      <c r="G383" s="1" t="s">
        <v>130</v>
      </c>
      <c r="H383" s="1" t="s">
        <v>30</v>
      </c>
      <c r="I383" s="1" t="s">
        <v>16</v>
      </c>
      <c r="J383" s="1">
        <v>1</v>
      </c>
      <c r="K383" s="1">
        <v>12</v>
      </c>
      <c r="L383" s="1" t="s">
        <v>31</v>
      </c>
      <c r="M383" s="1" t="s">
        <v>18</v>
      </c>
      <c r="N383" s="1" t="s">
        <v>18</v>
      </c>
      <c r="O383" s="1">
        <v>3</v>
      </c>
      <c r="P383" s="1">
        <v>7</v>
      </c>
      <c r="Q383" s="7" t="s">
        <v>17633</v>
      </c>
      <c r="R383" s="1" t="s">
        <v>19</v>
      </c>
      <c r="S383" s="1" t="s">
        <v>20</v>
      </c>
      <c r="T383" s="1" t="s">
        <v>21</v>
      </c>
      <c r="U383" s="1" t="s">
        <v>22</v>
      </c>
      <c r="V383" s="1" t="s">
        <v>24</v>
      </c>
      <c r="W383" s="1" t="s">
        <v>24</v>
      </c>
      <c r="X383" s="1">
        <v>2715</v>
      </c>
      <c r="Y383" s="1">
        <v>1314</v>
      </c>
      <c r="Z383" s="1" t="s">
        <v>24</v>
      </c>
      <c r="AA383" s="1" t="s">
        <v>24</v>
      </c>
      <c r="AB383" s="1" t="s">
        <v>24</v>
      </c>
      <c r="AC383" s="1" t="s">
        <v>24</v>
      </c>
      <c r="AD383" s="1" t="s">
        <v>24</v>
      </c>
      <c r="AE383" s="1" t="s">
        <v>24</v>
      </c>
      <c r="AF383" s="22"/>
    </row>
    <row r="384" spans="1:32" x14ac:dyDescent="0.2">
      <c r="A384" s="1">
        <v>2125</v>
      </c>
      <c r="B384" s="1" t="s">
        <v>1364</v>
      </c>
      <c r="C384" s="5" t="s">
        <v>0</v>
      </c>
      <c r="D384" s="1" t="s">
        <v>1365</v>
      </c>
      <c r="E384" s="1" t="s">
        <v>1366</v>
      </c>
      <c r="F384" s="1" t="s">
        <v>60</v>
      </c>
      <c r="G384" s="1" t="s">
        <v>61</v>
      </c>
      <c r="H384" s="1" t="s">
        <v>30</v>
      </c>
      <c r="I384" s="1" t="s">
        <v>16</v>
      </c>
      <c r="J384" s="1">
        <v>12</v>
      </c>
      <c r="K384" s="1">
        <v>2</v>
      </c>
      <c r="L384" s="1" t="s">
        <v>31</v>
      </c>
      <c r="M384" s="1" t="s">
        <v>18</v>
      </c>
      <c r="N384" s="1" t="s">
        <v>18</v>
      </c>
      <c r="O384" s="1">
        <v>3</v>
      </c>
      <c r="P384" s="1">
        <v>7</v>
      </c>
      <c r="Q384" s="7" t="s">
        <v>17633</v>
      </c>
      <c r="R384" s="1" t="s">
        <v>62</v>
      </c>
      <c r="S384" s="1" t="s">
        <v>20</v>
      </c>
      <c r="T384" s="1" t="s">
        <v>21</v>
      </c>
      <c r="U384" s="1" t="s">
        <v>22</v>
      </c>
      <c r="V384" s="1" t="s">
        <v>24</v>
      </c>
      <c r="W384" s="1" t="s">
        <v>24</v>
      </c>
      <c r="X384" s="1">
        <v>1309</v>
      </c>
      <c r="Y384" s="1">
        <v>1307</v>
      </c>
      <c r="Z384" s="1">
        <v>1312</v>
      </c>
      <c r="AA384" s="1" t="s">
        <v>24</v>
      </c>
      <c r="AB384" s="1" t="s">
        <v>24</v>
      </c>
      <c r="AC384" s="1" t="s">
        <v>24</v>
      </c>
      <c r="AD384" s="1" t="s">
        <v>24</v>
      </c>
      <c r="AE384" s="1" t="s">
        <v>24</v>
      </c>
      <c r="AF384" s="22"/>
    </row>
    <row r="385" spans="1:32" x14ac:dyDescent="0.2">
      <c r="A385" s="1">
        <v>2134</v>
      </c>
      <c r="B385" s="1" t="s">
        <v>1367</v>
      </c>
      <c r="C385" s="5" t="s">
        <v>0</v>
      </c>
      <c r="D385" s="1" t="s">
        <v>1368</v>
      </c>
      <c r="E385" s="1" t="s">
        <v>1369</v>
      </c>
      <c r="F385" s="1" t="s">
        <v>109</v>
      </c>
      <c r="G385" s="1" t="s">
        <v>110</v>
      </c>
      <c r="H385" s="1" t="s">
        <v>111</v>
      </c>
      <c r="I385" s="1" t="s">
        <v>16</v>
      </c>
      <c r="J385" s="1">
        <v>1</v>
      </c>
      <c r="K385" s="1">
        <v>6</v>
      </c>
      <c r="L385" s="1" t="s">
        <v>31</v>
      </c>
      <c r="M385" s="1" t="s">
        <v>18</v>
      </c>
      <c r="N385" s="1" t="s">
        <v>18</v>
      </c>
      <c r="O385" s="1">
        <v>3</v>
      </c>
      <c r="P385" s="1">
        <v>7</v>
      </c>
      <c r="Q385" s="7" t="s">
        <v>17633</v>
      </c>
      <c r="R385" s="1" t="s">
        <v>19</v>
      </c>
      <c r="S385" s="1" t="s">
        <v>20</v>
      </c>
      <c r="T385" s="1" t="s">
        <v>21</v>
      </c>
      <c r="U385" s="1" t="s">
        <v>22</v>
      </c>
      <c r="V385" s="1" t="s">
        <v>24</v>
      </c>
      <c r="W385" s="1" t="s">
        <v>24</v>
      </c>
      <c r="X385" s="1">
        <v>2806</v>
      </c>
      <c r="Y385" s="1">
        <v>2808</v>
      </c>
      <c r="Z385" s="1" t="s">
        <v>24</v>
      </c>
      <c r="AA385" s="1" t="s">
        <v>24</v>
      </c>
      <c r="AB385" s="1" t="s">
        <v>24</v>
      </c>
      <c r="AC385" s="1" t="s">
        <v>24</v>
      </c>
      <c r="AD385" s="1" t="s">
        <v>24</v>
      </c>
      <c r="AE385" s="1" t="s">
        <v>24</v>
      </c>
      <c r="AF385" s="22"/>
    </row>
    <row r="386" spans="1:32" x14ac:dyDescent="0.2">
      <c r="A386" s="1">
        <v>2138</v>
      </c>
      <c r="B386" s="1" t="s">
        <v>1370</v>
      </c>
      <c r="C386" s="5" t="s">
        <v>0</v>
      </c>
      <c r="D386" s="1" t="s">
        <v>1371</v>
      </c>
      <c r="F386" s="1" t="s">
        <v>1372</v>
      </c>
      <c r="G386" s="1" t="s">
        <v>1373</v>
      </c>
      <c r="H386" s="1" t="s">
        <v>878</v>
      </c>
      <c r="I386" s="1" t="s">
        <v>16</v>
      </c>
      <c r="J386" s="1">
        <v>1</v>
      </c>
      <c r="K386" s="1">
        <v>6</v>
      </c>
      <c r="L386" s="1" t="s">
        <v>42</v>
      </c>
      <c r="M386" s="1" t="s">
        <v>117</v>
      </c>
      <c r="N386" s="1" t="s">
        <v>118</v>
      </c>
      <c r="O386" s="1">
        <v>3</v>
      </c>
      <c r="P386" s="1">
        <v>5</v>
      </c>
      <c r="R386" s="1" t="s">
        <v>19</v>
      </c>
      <c r="S386" s="1" t="s">
        <v>20</v>
      </c>
      <c r="T386" s="1" t="s">
        <v>21</v>
      </c>
      <c r="U386" s="1" t="s">
        <v>22</v>
      </c>
      <c r="V386" s="1" t="s">
        <v>24</v>
      </c>
      <c r="W386" s="1" t="s">
        <v>24</v>
      </c>
      <c r="X386" s="1">
        <v>2708</v>
      </c>
      <c r="Y386" s="1" t="s">
        <v>24</v>
      </c>
      <c r="Z386" s="1" t="s">
        <v>24</v>
      </c>
      <c r="AA386" s="1" t="s">
        <v>24</v>
      </c>
      <c r="AB386" s="1" t="s">
        <v>24</v>
      </c>
      <c r="AC386" s="1" t="s">
        <v>24</v>
      </c>
      <c r="AD386" s="1" t="s">
        <v>24</v>
      </c>
      <c r="AE386" s="1" t="s">
        <v>24</v>
      </c>
      <c r="AF386" s="22"/>
    </row>
    <row r="387" spans="1:32" x14ac:dyDescent="0.2">
      <c r="A387" s="1">
        <v>2146</v>
      </c>
      <c r="B387" s="1" t="s">
        <v>1374</v>
      </c>
      <c r="C387" s="5" t="s">
        <v>0</v>
      </c>
      <c r="D387" s="1" t="s">
        <v>1375</v>
      </c>
      <c r="E387" s="1" t="s">
        <v>1376</v>
      </c>
      <c r="F387" s="1" t="s">
        <v>155</v>
      </c>
      <c r="G387" s="1" t="s">
        <v>61</v>
      </c>
      <c r="H387" s="1" t="s">
        <v>37</v>
      </c>
      <c r="I387" s="1" t="s">
        <v>16</v>
      </c>
      <c r="J387" s="1">
        <v>1</v>
      </c>
      <c r="K387" s="1">
        <v>10</v>
      </c>
      <c r="L387" s="1" t="s">
        <v>31</v>
      </c>
      <c r="M387" s="1" t="s">
        <v>18</v>
      </c>
      <c r="N387" s="1" t="s">
        <v>18</v>
      </c>
      <c r="O387" s="1">
        <v>3</v>
      </c>
      <c r="P387" s="1">
        <v>7</v>
      </c>
      <c r="Q387" s="7" t="s">
        <v>17633</v>
      </c>
      <c r="R387" s="1" t="s">
        <v>62</v>
      </c>
      <c r="S387" s="1" t="s">
        <v>63</v>
      </c>
      <c r="T387" s="1" t="s">
        <v>21</v>
      </c>
      <c r="U387" s="1" t="s">
        <v>22</v>
      </c>
      <c r="V387" s="1" t="s">
        <v>24</v>
      </c>
      <c r="W387" s="1" t="s">
        <v>24</v>
      </c>
      <c r="X387" s="1">
        <v>1309</v>
      </c>
      <c r="Y387" s="1">
        <v>1307</v>
      </c>
      <c r="Z387" s="1">
        <v>1312</v>
      </c>
      <c r="AA387" s="1">
        <v>1306</v>
      </c>
      <c r="AB387" s="1" t="s">
        <v>24</v>
      </c>
      <c r="AC387" s="1" t="s">
        <v>24</v>
      </c>
      <c r="AD387" s="1" t="s">
        <v>24</v>
      </c>
      <c r="AE387" s="1" t="s">
        <v>24</v>
      </c>
      <c r="AF387" s="22"/>
    </row>
    <row r="388" spans="1:32" x14ac:dyDescent="0.2">
      <c r="A388" s="1">
        <v>2149</v>
      </c>
      <c r="B388" s="1" t="s">
        <v>1377</v>
      </c>
      <c r="C388" s="5" t="s">
        <v>0</v>
      </c>
      <c r="D388" s="1" t="s">
        <v>1378</v>
      </c>
      <c r="E388" s="1" t="s">
        <v>1379</v>
      </c>
      <c r="F388" s="1" t="s">
        <v>296</v>
      </c>
      <c r="G388" s="1" t="s">
        <v>36</v>
      </c>
      <c r="H388" s="1" t="s">
        <v>264</v>
      </c>
      <c r="I388" s="1" t="s">
        <v>16</v>
      </c>
      <c r="J388" s="1">
        <v>1</v>
      </c>
      <c r="K388" s="1">
        <v>9</v>
      </c>
      <c r="L388" s="1" t="s">
        <v>31</v>
      </c>
      <c r="M388" s="1" t="s">
        <v>18</v>
      </c>
      <c r="N388" s="1" t="s">
        <v>18</v>
      </c>
      <c r="O388" s="1">
        <v>3</v>
      </c>
      <c r="P388" s="1">
        <v>6</v>
      </c>
      <c r="R388" s="1" t="s">
        <v>19</v>
      </c>
      <c r="S388" s="1" t="s">
        <v>20</v>
      </c>
      <c r="T388" s="1" t="s">
        <v>21</v>
      </c>
      <c r="U388" s="1" t="s">
        <v>22</v>
      </c>
      <c r="V388" s="1" t="s">
        <v>24</v>
      </c>
      <c r="W388" s="1" t="s">
        <v>24</v>
      </c>
      <c r="X388" s="1">
        <v>1309</v>
      </c>
      <c r="Y388" s="1">
        <v>1307</v>
      </c>
      <c r="Z388" s="1" t="s">
        <v>24</v>
      </c>
      <c r="AA388" s="1" t="s">
        <v>24</v>
      </c>
      <c r="AB388" s="1" t="s">
        <v>24</v>
      </c>
      <c r="AC388" s="1" t="s">
        <v>24</v>
      </c>
      <c r="AD388" s="1" t="s">
        <v>24</v>
      </c>
      <c r="AE388" s="1" t="s">
        <v>24</v>
      </c>
      <c r="AF388" s="22"/>
    </row>
    <row r="389" spans="1:32" x14ac:dyDescent="0.2">
      <c r="A389" s="1">
        <v>2157</v>
      </c>
      <c r="B389" s="1" t="s">
        <v>1380</v>
      </c>
      <c r="C389" s="5" t="s">
        <v>0</v>
      </c>
      <c r="D389" s="1" t="s">
        <v>1381</v>
      </c>
      <c r="F389" s="1" t="s">
        <v>1382</v>
      </c>
      <c r="G389" s="1" t="s">
        <v>1383</v>
      </c>
      <c r="H389" s="1" t="s">
        <v>1384</v>
      </c>
      <c r="I389" s="1" t="s">
        <v>16</v>
      </c>
      <c r="J389" s="1">
        <v>1</v>
      </c>
      <c r="K389" s="1">
        <v>4</v>
      </c>
      <c r="L389" s="1" t="s">
        <v>42</v>
      </c>
      <c r="M389" s="1" t="s">
        <v>1385</v>
      </c>
      <c r="N389" s="1" t="s">
        <v>18</v>
      </c>
      <c r="O389" s="1">
        <v>2</v>
      </c>
      <c r="P389" s="1">
        <v>4</v>
      </c>
      <c r="R389" s="1" t="s">
        <v>19</v>
      </c>
      <c r="S389" s="1" t="s">
        <v>20</v>
      </c>
      <c r="T389" s="1" t="s">
        <v>21</v>
      </c>
      <c r="U389" s="1" t="s">
        <v>22</v>
      </c>
      <c r="V389" s="1" t="s">
        <v>24</v>
      </c>
      <c r="W389" s="1" t="s">
        <v>24</v>
      </c>
      <c r="X389" s="1">
        <v>2708</v>
      </c>
      <c r="Y389" s="1" t="s">
        <v>24</v>
      </c>
      <c r="Z389" s="1" t="s">
        <v>24</v>
      </c>
      <c r="AA389" s="1" t="s">
        <v>24</v>
      </c>
      <c r="AB389" s="1" t="s">
        <v>24</v>
      </c>
      <c r="AC389" s="1" t="s">
        <v>24</v>
      </c>
      <c r="AD389" s="1" t="s">
        <v>24</v>
      </c>
      <c r="AE389" s="1" t="s">
        <v>24</v>
      </c>
      <c r="AF389" s="22"/>
    </row>
    <row r="390" spans="1:32" x14ac:dyDescent="0.2">
      <c r="A390" s="1">
        <v>2160</v>
      </c>
      <c r="B390" s="1" t="s">
        <v>1386</v>
      </c>
      <c r="C390" s="5" t="s">
        <v>0</v>
      </c>
      <c r="D390" s="1" t="s">
        <v>1387</v>
      </c>
      <c r="E390" s="1" t="s">
        <v>1388</v>
      </c>
      <c r="F390" s="1" t="s">
        <v>1389</v>
      </c>
      <c r="G390" s="1" t="s">
        <v>1389</v>
      </c>
      <c r="H390" s="1" t="s">
        <v>30</v>
      </c>
      <c r="I390" s="1" t="s">
        <v>16</v>
      </c>
      <c r="J390" s="1">
        <v>1</v>
      </c>
      <c r="K390" s="1">
        <v>12</v>
      </c>
      <c r="L390" s="1" t="s">
        <v>42</v>
      </c>
      <c r="M390" s="1" t="s">
        <v>18</v>
      </c>
      <c r="N390" s="1" t="s">
        <v>18</v>
      </c>
      <c r="O390" s="1">
        <v>3</v>
      </c>
      <c r="P390" s="1">
        <v>7</v>
      </c>
      <c r="Q390" s="7" t="s">
        <v>17633</v>
      </c>
      <c r="R390" s="1" t="s">
        <v>62</v>
      </c>
      <c r="S390" s="1" t="s">
        <v>20</v>
      </c>
      <c r="T390" s="1" t="s">
        <v>21</v>
      </c>
      <c r="U390" s="1" t="s">
        <v>22</v>
      </c>
      <c r="V390" s="1" t="s">
        <v>23</v>
      </c>
      <c r="W390" s="1" t="s">
        <v>24</v>
      </c>
      <c r="X390" s="1">
        <v>2724</v>
      </c>
      <c r="Y390" s="1">
        <v>2712</v>
      </c>
      <c r="Z390" s="1" t="s">
        <v>24</v>
      </c>
      <c r="AA390" s="1" t="s">
        <v>24</v>
      </c>
      <c r="AB390" s="1" t="s">
        <v>24</v>
      </c>
      <c r="AC390" s="1" t="s">
        <v>24</v>
      </c>
      <c r="AD390" s="1" t="s">
        <v>24</v>
      </c>
      <c r="AE390" s="1" t="s">
        <v>24</v>
      </c>
      <c r="AF390" s="22"/>
    </row>
    <row r="391" spans="1:32" x14ac:dyDescent="0.2">
      <c r="A391" s="1">
        <v>2163</v>
      </c>
      <c r="B391" s="1" t="s">
        <v>1390</v>
      </c>
      <c r="C391" s="5" t="s">
        <v>0</v>
      </c>
      <c r="D391" s="1" t="s">
        <v>1391</v>
      </c>
      <c r="E391" s="1" t="s">
        <v>1392</v>
      </c>
      <c r="F391" s="1" t="s">
        <v>1389</v>
      </c>
      <c r="G391" s="1" t="s">
        <v>1389</v>
      </c>
      <c r="H391" s="1" t="s">
        <v>30</v>
      </c>
      <c r="I391" s="1" t="s">
        <v>16</v>
      </c>
      <c r="J391" s="1">
        <v>1</v>
      </c>
      <c r="K391" s="1">
        <v>12</v>
      </c>
      <c r="L391" s="1" t="s">
        <v>42</v>
      </c>
      <c r="M391" s="1" t="s">
        <v>18</v>
      </c>
      <c r="N391" s="1" t="s">
        <v>18</v>
      </c>
      <c r="O391" s="1">
        <v>3</v>
      </c>
      <c r="P391" s="1">
        <v>6</v>
      </c>
      <c r="R391" s="1" t="s">
        <v>62</v>
      </c>
      <c r="S391" s="1" t="s">
        <v>20</v>
      </c>
      <c r="T391" s="1" t="s">
        <v>21</v>
      </c>
      <c r="U391" s="1" t="s">
        <v>22</v>
      </c>
      <c r="V391" s="1" t="s">
        <v>23</v>
      </c>
      <c r="W391" s="1" t="s">
        <v>24</v>
      </c>
      <c r="X391" s="1">
        <v>2724</v>
      </c>
      <c r="Y391" s="1">
        <v>2712</v>
      </c>
      <c r="Z391" s="1">
        <v>2902</v>
      </c>
      <c r="AA391" s="1" t="s">
        <v>24</v>
      </c>
      <c r="AB391" s="1" t="s">
        <v>24</v>
      </c>
      <c r="AC391" s="1" t="s">
        <v>24</v>
      </c>
      <c r="AD391" s="1" t="s">
        <v>24</v>
      </c>
      <c r="AE391" s="1" t="s">
        <v>24</v>
      </c>
      <c r="AF391" s="22"/>
    </row>
    <row r="392" spans="1:32" x14ac:dyDescent="0.2">
      <c r="A392" s="1">
        <v>2166</v>
      </c>
      <c r="B392" s="1" t="s">
        <v>1393</v>
      </c>
      <c r="C392" s="5" t="s">
        <v>0</v>
      </c>
      <c r="D392" s="1" t="s">
        <v>1394</v>
      </c>
      <c r="E392" s="1" t="s">
        <v>1395</v>
      </c>
      <c r="F392" s="1" t="s">
        <v>28</v>
      </c>
      <c r="G392" s="1" t="s">
        <v>29</v>
      </c>
      <c r="H392" s="1" t="s">
        <v>30</v>
      </c>
      <c r="I392" s="1" t="s">
        <v>16</v>
      </c>
      <c r="J392" s="1">
        <v>1</v>
      </c>
      <c r="K392" s="1">
        <v>12</v>
      </c>
      <c r="L392" s="1" t="s">
        <v>31</v>
      </c>
      <c r="M392" s="1" t="s">
        <v>18</v>
      </c>
      <c r="N392" s="1" t="s">
        <v>18</v>
      </c>
      <c r="O392" s="1">
        <v>3</v>
      </c>
      <c r="P392" s="1">
        <v>6</v>
      </c>
      <c r="R392" s="1" t="s">
        <v>19</v>
      </c>
      <c r="S392" s="1" t="s">
        <v>20</v>
      </c>
      <c r="T392" s="1" t="s">
        <v>21</v>
      </c>
      <c r="U392" s="1" t="s">
        <v>22</v>
      </c>
      <c r="V392" s="1" t="s">
        <v>24</v>
      </c>
      <c r="W392" s="1" t="s">
        <v>24</v>
      </c>
      <c r="X392" s="1">
        <v>2715</v>
      </c>
      <c r="Y392" s="1" t="s">
        <v>24</v>
      </c>
      <c r="Z392" s="1" t="s">
        <v>24</v>
      </c>
      <c r="AA392" s="1" t="s">
        <v>24</v>
      </c>
      <c r="AB392" s="1" t="s">
        <v>24</v>
      </c>
      <c r="AC392" s="1" t="s">
        <v>24</v>
      </c>
      <c r="AD392" s="1" t="s">
        <v>24</v>
      </c>
      <c r="AE392" s="1" t="s">
        <v>24</v>
      </c>
      <c r="AF392" s="22"/>
    </row>
    <row r="393" spans="1:32" x14ac:dyDescent="0.2">
      <c r="A393" s="1">
        <v>2167</v>
      </c>
      <c r="B393" s="1" t="s">
        <v>1396</v>
      </c>
      <c r="C393" s="5" t="s">
        <v>0</v>
      </c>
      <c r="D393" s="1" t="s">
        <v>1397</v>
      </c>
      <c r="E393" s="1" t="s">
        <v>1398</v>
      </c>
      <c r="F393" s="1" t="s">
        <v>109</v>
      </c>
      <c r="G393" s="1" t="s">
        <v>110</v>
      </c>
      <c r="H393" s="1" t="s">
        <v>111</v>
      </c>
      <c r="I393" s="1" t="s">
        <v>16</v>
      </c>
      <c r="J393" s="1">
        <v>2</v>
      </c>
      <c r="K393" s="1">
        <v>4</v>
      </c>
      <c r="L393" s="1" t="s">
        <v>31</v>
      </c>
      <c r="M393" s="1" t="s">
        <v>18</v>
      </c>
      <c r="N393" s="1" t="s">
        <v>18</v>
      </c>
      <c r="O393" s="1">
        <v>3</v>
      </c>
      <c r="P393" s="1">
        <v>7</v>
      </c>
      <c r="Q393" s="7" t="s">
        <v>17633</v>
      </c>
      <c r="R393" s="1" t="s">
        <v>19</v>
      </c>
      <c r="S393" s="1" t="s">
        <v>20</v>
      </c>
      <c r="T393" s="1" t="s">
        <v>21</v>
      </c>
      <c r="U393" s="1" t="s">
        <v>22</v>
      </c>
      <c r="V393" s="1" t="s">
        <v>24</v>
      </c>
      <c r="W393" s="1" t="s">
        <v>24</v>
      </c>
      <c r="X393" s="1">
        <v>2715</v>
      </c>
      <c r="Y393" s="1" t="s">
        <v>24</v>
      </c>
      <c r="Z393" s="1" t="s">
        <v>24</v>
      </c>
      <c r="AA393" s="1" t="s">
        <v>24</v>
      </c>
      <c r="AB393" s="1" t="s">
        <v>24</v>
      </c>
      <c r="AC393" s="1" t="s">
        <v>24</v>
      </c>
      <c r="AD393" s="1" t="s">
        <v>24</v>
      </c>
      <c r="AE393" s="1" t="s">
        <v>24</v>
      </c>
      <c r="AF393" s="22"/>
    </row>
    <row r="394" spans="1:32" x14ac:dyDescent="0.2">
      <c r="A394" s="1">
        <v>2174</v>
      </c>
      <c r="B394" s="1" t="s">
        <v>1399</v>
      </c>
      <c r="C394" s="5" t="s">
        <v>0</v>
      </c>
      <c r="D394" s="1" t="s">
        <v>1400</v>
      </c>
      <c r="E394" s="1" t="s">
        <v>1401</v>
      </c>
      <c r="F394" s="1" t="s">
        <v>35</v>
      </c>
      <c r="G394" s="1" t="s">
        <v>36</v>
      </c>
      <c r="H394" s="1" t="s">
        <v>37</v>
      </c>
      <c r="I394" s="1" t="s">
        <v>16</v>
      </c>
      <c r="J394" s="1">
        <v>1</v>
      </c>
      <c r="K394" s="1">
        <v>12</v>
      </c>
      <c r="L394" s="1" t="s">
        <v>31</v>
      </c>
      <c r="M394" s="1" t="s">
        <v>18</v>
      </c>
      <c r="N394" s="1" t="s">
        <v>18</v>
      </c>
      <c r="O394" s="1">
        <v>3</v>
      </c>
      <c r="P394" s="1">
        <v>6</v>
      </c>
      <c r="R394" s="1" t="s">
        <v>62</v>
      </c>
      <c r="S394" s="1" t="s">
        <v>20</v>
      </c>
      <c r="T394" s="1" t="s">
        <v>21</v>
      </c>
      <c r="U394" s="1" t="s">
        <v>22</v>
      </c>
      <c r="V394" s="1" t="s">
        <v>24</v>
      </c>
      <c r="W394" s="1" t="s">
        <v>24</v>
      </c>
      <c r="X394" s="1">
        <v>1310</v>
      </c>
      <c r="Y394" s="1">
        <v>2724</v>
      </c>
      <c r="Z394" s="1">
        <v>2712</v>
      </c>
      <c r="AA394" s="1" t="s">
        <v>24</v>
      </c>
      <c r="AB394" s="1" t="s">
        <v>24</v>
      </c>
      <c r="AC394" s="1" t="s">
        <v>24</v>
      </c>
      <c r="AD394" s="1" t="s">
        <v>24</v>
      </c>
      <c r="AE394" s="1" t="s">
        <v>24</v>
      </c>
      <c r="AF394" s="22"/>
    </row>
    <row r="395" spans="1:32" x14ac:dyDescent="0.2">
      <c r="A395" s="1">
        <v>2175</v>
      </c>
      <c r="B395" s="1" t="s">
        <v>1402</v>
      </c>
      <c r="C395" s="5" t="s">
        <v>0</v>
      </c>
      <c r="D395" s="1" t="s">
        <v>1403</v>
      </c>
      <c r="E395" s="1" t="s">
        <v>1404</v>
      </c>
      <c r="F395" s="1" t="s">
        <v>194</v>
      </c>
      <c r="G395" s="1" t="s">
        <v>61</v>
      </c>
      <c r="H395" s="1" t="s">
        <v>30</v>
      </c>
      <c r="I395" s="1" t="s">
        <v>16</v>
      </c>
      <c r="J395" s="1">
        <v>1</v>
      </c>
      <c r="K395" s="1">
        <v>12</v>
      </c>
      <c r="L395" s="1" t="s">
        <v>31</v>
      </c>
      <c r="M395" s="1" t="s">
        <v>18</v>
      </c>
      <c r="N395" s="1" t="s">
        <v>18</v>
      </c>
      <c r="O395" s="1">
        <v>3</v>
      </c>
      <c r="P395" s="1">
        <v>6</v>
      </c>
      <c r="R395" s="1" t="s">
        <v>19</v>
      </c>
      <c r="S395" s="1" t="s">
        <v>20</v>
      </c>
      <c r="T395" s="1" t="s">
        <v>21</v>
      </c>
      <c r="U395" s="1" t="s">
        <v>22</v>
      </c>
      <c r="V395" s="1" t="s">
        <v>24</v>
      </c>
      <c r="W395" s="1" t="s">
        <v>24</v>
      </c>
      <c r="X395" s="1">
        <v>2700</v>
      </c>
      <c r="Y395" s="1" t="s">
        <v>24</v>
      </c>
      <c r="Z395" s="1" t="s">
        <v>24</v>
      </c>
      <c r="AA395" s="1" t="s">
        <v>24</v>
      </c>
      <c r="AB395" s="1" t="s">
        <v>24</v>
      </c>
      <c r="AC395" s="1" t="s">
        <v>24</v>
      </c>
      <c r="AD395" s="1" t="s">
        <v>24</v>
      </c>
      <c r="AE395" s="1" t="s">
        <v>24</v>
      </c>
      <c r="AF395" s="22"/>
    </row>
    <row r="396" spans="1:32" x14ac:dyDescent="0.2">
      <c r="A396" s="1">
        <v>2181</v>
      </c>
      <c r="B396" s="1" t="s">
        <v>1405</v>
      </c>
      <c r="C396" s="5" t="s">
        <v>0</v>
      </c>
      <c r="D396" s="1" t="s">
        <v>1406</v>
      </c>
      <c r="E396" s="1" t="s">
        <v>1407</v>
      </c>
      <c r="F396" s="1" t="s">
        <v>1408</v>
      </c>
      <c r="G396" s="1" t="s">
        <v>1408</v>
      </c>
      <c r="H396" s="1" t="s">
        <v>461</v>
      </c>
      <c r="I396" s="1" t="s">
        <v>16</v>
      </c>
      <c r="J396" s="1">
        <v>1</v>
      </c>
      <c r="K396" s="1">
        <v>3</v>
      </c>
      <c r="L396" s="1" t="s">
        <v>42</v>
      </c>
      <c r="M396" s="1" t="s">
        <v>18</v>
      </c>
      <c r="N396" s="1" t="s">
        <v>18</v>
      </c>
      <c r="O396" s="1">
        <v>2</v>
      </c>
      <c r="P396" s="1">
        <v>5</v>
      </c>
      <c r="R396" s="1" t="s">
        <v>19</v>
      </c>
      <c r="S396" s="1" t="s">
        <v>20</v>
      </c>
      <c r="T396" s="1" t="s">
        <v>21</v>
      </c>
      <c r="U396" s="1" t="s">
        <v>22</v>
      </c>
      <c r="V396" s="1" t="s">
        <v>24</v>
      </c>
      <c r="W396" s="1" t="s">
        <v>24</v>
      </c>
      <c r="X396" s="1">
        <v>2700</v>
      </c>
      <c r="Y396" s="1" t="s">
        <v>24</v>
      </c>
      <c r="Z396" s="1" t="s">
        <v>24</v>
      </c>
      <c r="AA396" s="1" t="s">
        <v>24</v>
      </c>
      <c r="AB396" s="1" t="s">
        <v>24</v>
      </c>
      <c r="AC396" s="1" t="s">
        <v>24</v>
      </c>
      <c r="AD396" s="1" t="s">
        <v>24</v>
      </c>
      <c r="AE396" s="1" t="s">
        <v>24</v>
      </c>
      <c r="AF396" s="22"/>
    </row>
    <row r="397" spans="1:32" x14ac:dyDescent="0.2">
      <c r="A397" s="1">
        <v>2189</v>
      </c>
      <c r="B397" s="1" t="s">
        <v>1409</v>
      </c>
      <c r="C397" s="5" t="s">
        <v>0</v>
      </c>
      <c r="D397" s="1" t="s">
        <v>1410</v>
      </c>
      <c r="E397" s="1" t="s">
        <v>1411</v>
      </c>
      <c r="F397" s="1" t="s">
        <v>1412</v>
      </c>
      <c r="G397" s="1" t="s">
        <v>1413</v>
      </c>
      <c r="H397" s="1" t="s">
        <v>30</v>
      </c>
      <c r="I397" s="1" t="s">
        <v>16</v>
      </c>
      <c r="J397" s="1">
        <v>1</v>
      </c>
      <c r="K397" s="1">
        <v>4</v>
      </c>
      <c r="L397" s="1" t="s">
        <v>31</v>
      </c>
      <c r="M397" s="1" t="s">
        <v>18</v>
      </c>
      <c r="N397" s="1" t="s">
        <v>18</v>
      </c>
      <c r="O397" s="1">
        <v>3</v>
      </c>
      <c r="P397" s="1">
        <v>8</v>
      </c>
      <c r="Q397" s="7" t="s">
        <v>17633</v>
      </c>
      <c r="R397" s="1" t="s">
        <v>19</v>
      </c>
      <c r="S397" s="1" t="s">
        <v>20</v>
      </c>
      <c r="T397" s="1" t="s">
        <v>21</v>
      </c>
      <c r="U397" s="1" t="s">
        <v>22</v>
      </c>
      <c r="V397" s="1" t="s">
        <v>24</v>
      </c>
      <c r="W397" s="1" t="s">
        <v>24</v>
      </c>
      <c r="X397" s="1">
        <v>2704</v>
      </c>
      <c r="Y397" s="1">
        <v>1308</v>
      </c>
      <c r="Z397" s="1">
        <v>1312</v>
      </c>
      <c r="AA397" s="1">
        <v>1311</v>
      </c>
      <c r="AB397" s="1" t="s">
        <v>24</v>
      </c>
      <c r="AC397" s="1" t="s">
        <v>24</v>
      </c>
      <c r="AD397" s="1" t="s">
        <v>24</v>
      </c>
      <c r="AE397" s="1" t="s">
        <v>24</v>
      </c>
      <c r="AF397" s="22"/>
    </row>
    <row r="398" spans="1:32" x14ac:dyDescent="0.2">
      <c r="A398" s="1">
        <v>2191</v>
      </c>
      <c r="B398" s="1" t="s">
        <v>1414</v>
      </c>
      <c r="C398" s="5" t="s">
        <v>0</v>
      </c>
      <c r="D398" s="1" t="s">
        <v>1415</v>
      </c>
      <c r="E398" s="1" t="s">
        <v>1416</v>
      </c>
      <c r="F398" s="1" t="s">
        <v>35</v>
      </c>
      <c r="G398" s="1" t="s">
        <v>36</v>
      </c>
      <c r="H398" s="1" t="s">
        <v>37</v>
      </c>
      <c r="I398" s="1" t="s">
        <v>16</v>
      </c>
      <c r="J398" s="1">
        <v>1</v>
      </c>
      <c r="K398" s="1">
        <v>12</v>
      </c>
      <c r="L398" s="1" t="s">
        <v>31</v>
      </c>
      <c r="M398" s="1" t="s">
        <v>18</v>
      </c>
      <c r="N398" s="1" t="s">
        <v>18</v>
      </c>
      <c r="O398" s="1">
        <v>3</v>
      </c>
      <c r="P398" s="1">
        <v>7</v>
      </c>
      <c r="Q398" s="7" t="s">
        <v>17633</v>
      </c>
      <c r="R398" s="1" t="s">
        <v>19</v>
      </c>
      <c r="S398" s="1" t="s">
        <v>20</v>
      </c>
      <c r="T398" s="1" t="s">
        <v>21</v>
      </c>
      <c r="U398" s="1" t="s">
        <v>22</v>
      </c>
      <c r="V398" s="1" t="s">
        <v>23</v>
      </c>
      <c r="W398" s="1" t="s">
        <v>24</v>
      </c>
      <c r="X398" s="1">
        <v>2728</v>
      </c>
      <c r="Y398" s="1">
        <v>2735</v>
      </c>
      <c r="Z398" s="1">
        <v>2806</v>
      </c>
      <c r="AA398" s="1" t="s">
        <v>24</v>
      </c>
      <c r="AB398" s="1" t="s">
        <v>24</v>
      </c>
      <c r="AC398" s="1" t="s">
        <v>24</v>
      </c>
      <c r="AD398" s="1" t="s">
        <v>24</v>
      </c>
      <c r="AE398" s="1" t="s">
        <v>24</v>
      </c>
      <c r="AF398" s="22"/>
    </row>
    <row r="399" spans="1:32" x14ac:dyDescent="0.2">
      <c r="A399" s="1">
        <v>2192</v>
      </c>
      <c r="B399" s="1" t="s">
        <v>1417</v>
      </c>
      <c r="C399" s="5" t="s">
        <v>0</v>
      </c>
      <c r="D399" s="1" t="s">
        <v>1418</v>
      </c>
      <c r="E399" s="1" t="s">
        <v>1419</v>
      </c>
      <c r="F399" s="1" t="s">
        <v>1420</v>
      </c>
      <c r="G399" s="1" t="s">
        <v>1421</v>
      </c>
      <c r="H399" s="1" t="s">
        <v>30</v>
      </c>
      <c r="I399" s="1" t="s">
        <v>16</v>
      </c>
      <c r="J399" s="1">
        <v>1</v>
      </c>
      <c r="K399" s="1">
        <v>12</v>
      </c>
      <c r="L399" s="1" t="s">
        <v>42</v>
      </c>
      <c r="M399" s="1" t="s">
        <v>18</v>
      </c>
      <c r="N399" s="1" t="s">
        <v>18</v>
      </c>
      <c r="O399" s="1">
        <v>3</v>
      </c>
      <c r="P399" s="1">
        <v>7</v>
      </c>
      <c r="Q399" s="7" t="s">
        <v>17633</v>
      </c>
      <c r="R399" s="1" t="s">
        <v>62</v>
      </c>
      <c r="S399" s="1" t="s">
        <v>20</v>
      </c>
      <c r="T399" s="1" t="s">
        <v>21</v>
      </c>
      <c r="U399" s="1" t="s">
        <v>22</v>
      </c>
      <c r="V399" s="1" t="s">
        <v>24</v>
      </c>
      <c r="W399" s="1" t="s">
        <v>64</v>
      </c>
      <c r="X399" s="1">
        <v>3004</v>
      </c>
      <c r="Y399" s="1">
        <v>3003</v>
      </c>
      <c r="Z399" s="1" t="s">
        <v>24</v>
      </c>
      <c r="AA399" s="1" t="s">
        <v>24</v>
      </c>
      <c r="AB399" s="1" t="s">
        <v>24</v>
      </c>
      <c r="AC399" s="1" t="s">
        <v>24</v>
      </c>
      <c r="AD399" s="1" t="s">
        <v>24</v>
      </c>
      <c r="AE399" s="1" t="s">
        <v>24</v>
      </c>
      <c r="AF399" s="22"/>
    </row>
    <row r="400" spans="1:32" x14ac:dyDescent="0.2">
      <c r="A400" s="1">
        <v>2193</v>
      </c>
      <c r="B400" s="1" t="s">
        <v>1422</v>
      </c>
      <c r="C400" s="5" t="s">
        <v>0</v>
      </c>
      <c r="D400" s="1" t="s">
        <v>1423</v>
      </c>
      <c r="E400" s="1" t="s">
        <v>1424</v>
      </c>
      <c r="F400" s="1" t="s">
        <v>272</v>
      </c>
      <c r="G400" s="1" t="s">
        <v>61</v>
      </c>
      <c r="H400" s="1" t="s">
        <v>30</v>
      </c>
      <c r="I400" s="1" t="s">
        <v>16</v>
      </c>
      <c r="J400" s="1">
        <v>3</v>
      </c>
      <c r="K400" s="1">
        <v>4</v>
      </c>
      <c r="L400" s="1" t="s">
        <v>31</v>
      </c>
      <c r="M400" s="1" t="s">
        <v>18</v>
      </c>
      <c r="N400" s="1" t="s">
        <v>18</v>
      </c>
      <c r="O400" s="1">
        <v>3</v>
      </c>
      <c r="P400" s="1">
        <v>7</v>
      </c>
      <c r="Q400" s="7" t="s">
        <v>17633</v>
      </c>
      <c r="R400" s="1" t="s">
        <v>62</v>
      </c>
      <c r="S400" s="1" t="s">
        <v>20</v>
      </c>
      <c r="T400" s="1" t="s">
        <v>21</v>
      </c>
      <c r="U400" s="1" t="s">
        <v>22</v>
      </c>
      <c r="V400" s="1" t="s">
        <v>24</v>
      </c>
      <c r="W400" s="1" t="s">
        <v>24</v>
      </c>
      <c r="X400" s="1">
        <v>2726</v>
      </c>
      <c r="Y400" s="1">
        <v>2725</v>
      </c>
      <c r="Z400" s="1" t="s">
        <v>24</v>
      </c>
      <c r="AA400" s="1" t="s">
        <v>24</v>
      </c>
      <c r="AB400" s="1" t="s">
        <v>24</v>
      </c>
      <c r="AC400" s="1" t="s">
        <v>24</v>
      </c>
      <c r="AD400" s="1" t="s">
        <v>24</v>
      </c>
      <c r="AE400" s="1" t="s">
        <v>24</v>
      </c>
      <c r="AF400" s="22"/>
    </row>
    <row r="401" spans="1:32" x14ac:dyDescent="0.2">
      <c r="A401" s="1">
        <v>2196</v>
      </c>
      <c r="B401" s="1" t="s">
        <v>1425</v>
      </c>
      <c r="C401" s="5" t="s">
        <v>0</v>
      </c>
      <c r="D401" s="1" t="s">
        <v>1426</v>
      </c>
      <c r="E401" s="1" t="s">
        <v>1427</v>
      </c>
      <c r="F401" s="1" t="s">
        <v>291</v>
      </c>
      <c r="G401" s="1" t="s">
        <v>292</v>
      </c>
      <c r="H401" s="1" t="s">
        <v>30</v>
      </c>
      <c r="I401" s="1" t="s">
        <v>16</v>
      </c>
      <c r="J401" s="1">
        <v>1</v>
      </c>
      <c r="K401" s="1">
        <v>4</v>
      </c>
      <c r="L401" s="1" t="s">
        <v>31</v>
      </c>
      <c r="M401" s="1" t="s">
        <v>18</v>
      </c>
      <c r="N401" s="1" t="s">
        <v>18</v>
      </c>
      <c r="O401" s="1">
        <v>1</v>
      </c>
      <c r="P401" s="1">
        <v>6</v>
      </c>
      <c r="R401" s="1" t="s">
        <v>62</v>
      </c>
      <c r="S401" s="1" t="s">
        <v>20</v>
      </c>
      <c r="T401" s="1" t="s">
        <v>21</v>
      </c>
      <c r="U401" s="1" t="s">
        <v>22</v>
      </c>
      <c r="V401" s="1" t="s">
        <v>24</v>
      </c>
      <c r="W401" s="1" t="s">
        <v>24</v>
      </c>
      <c r="X401" s="1">
        <v>2736</v>
      </c>
      <c r="Y401" s="1">
        <v>3000</v>
      </c>
      <c r="Z401" s="1" t="s">
        <v>24</v>
      </c>
      <c r="AA401" s="1" t="s">
        <v>24</v>
      </c>
      <c r="AB401" s="1" t="s">
        <v>24</v>
      </c>
      <c r="AC401" s="1" t="s">
        <v>24</v>
      </c>
      <c r="AD401" s="1" t="s">
        <v>24</v>
      </c>
      <c r="AE401" s="1" t="s">
        <v>24</v>
      </c>
      <c r="AF401" s="22"/>
    </row>
    <row r="402" spans="1:32" x14ac:dyDescent="0.2">
      <c r="A402" s="1">
        <v>2198</v>
      </c>
      <c r="B402" s="1" t="s">
        <v>1428</v>
      </c>
      <c r="C402" s="5" t="s">
        <v>0</v>
      </c>
      <c r="D402" s="1" t="s">
        <v>1429</v>
      </c>
      <c r="E402" s="1" t="s">
        <v>1430</v>
      </c>
      <c r="F402" s="1" t="s">
        <v>412</v>
      </c>
      <c r="G402" s="1" t="s">
        <v>372</v>
      </c>
      <c r="H402" s="1" t="s">
        <v>168</v>
      </c>
      <c r="I402" s="1" t="s">
        <v>16</v>
      </c>
      <c r="J402" s="1">
        <v>1</v>
      </c>
      <c r="K402" s="1">
        <v>52</v>
      </c>
      <c r="L402" s="1" t="s">
        <v>31</v>
      </c>
      <c r="M402" s="1" t="s">
        <v>413</v>
      </c>
      <c r="N402" s="1" t="s">
        <v>242</v>
      </c>
      <c r="O402" s="1">
        <v>2</v>
      </c>
      <c r="P402" s="1">
        <v>6</v>
      </c>
      <c r="R402" s="1" t="s">
        <v>19</v>
      </c>
      <c r="S402" s="1" t="s">
        <v>63</v>
      </c>
      <c r="T402" s="1" t="s">
        <v>21</v>
      </c>
      <c r="U402" s="1" t="s">
        <v>22</v>
      </c>
      <c r="V402" s="1" t="s">
        <v>24</v>
      </c>
      <c r="W402" s="1" t="s">
        <v>24</v>
      </c>
      <c r="X402" s="1">
        <v>2700</v>
      </c>
      <c r="Y402" s="1" t="s">
        <v>24</v>
      </c>
      <c r="Z402" s="1" t="s">
        <v>24</v>
      </c>
      <c r="AA402" s="1" t="s">
        <v>24</v>
      </c>
      <c r="AB402" s="1" t="s">
        <v>24</v>
      </c>
      <c r="AC402" s="1" t="s">
        <v>24</v>
      </c>
      <c r="AD402" s="1" t="s">
        <v>24</v>
      </c>
      <c r="AE402" s="1" t="s">
        <v>24</v>
      </c>
      <c r="AF402" s="22"/>
    </row>
    <row r="403" spans="1:32" x14ac:dyDescent="0.2">
      <c r="A403" s="1">
        <v>2205</v>
      </c>
      <c r="B403" s="1" t="s">
        <v>1431</v>
      </c>
      <c r="C403" s="5" t="s">
        <v>0</v>
      </c>
      <c r="D403" s="1" t="s">
        <v>1432</v>
      </c>
      <c r="E403" s="1" t="s">
        <v>1433</v>
      </c>
      <c r="F403" s="1" t="s">
        <v>217</v>
      </c>
      <c r="G403" s="1" t="s">
        <v>130</v>
      </c>
      <c r="H403" s="1" t="s">
        <v>92</v>
      </c>
      <c r="I403" s="1" t="s">
        <v>16</v>
      </c>
      <c r="J403" s="1">
        <v>2</v>
      </c>
      <c r="K403" s="1">
        <v>3</v>
      </c>
      <c r="L403" s="1" t="s">
        <v>31</v>
      </c>
      <c r="M403" s="1" t="s">
        <v>18</v>
      </c>
      <c r="N403" s="1" t="s">
        <v>18</v>
      </c>
      <c r="O403" s="1">
        <v>3</v>
      </c>
      <c r="P403" s="1">
        <v>7</v>
      </c>
      <c r="Q403" s="7" t="s">
        <v>17633</v>
      </c>
      <c r="R403" s="1" t="s">
        <v>19</v>
      </c>
      <c r="S403" s="1" t="s">
        <v>20</v>
      </c>
      <c r="T403" s="1" t="s">
        <v>21</v>
      </c>
      <c r="U403" s="1" t="s">
        <v>22</v>
      </c>
      <c r="V403" s="1" t="s">
        <v>24</v>
      </c>
      <c r="W403" s="1" t="s">
        <v>24</v>
      </c>
      <c r="X403" s="1">
        <v>2731</v>
      </c>
      <c r="Y403" s="1">
        <v>2809</v>
      </c>
      <c r="Z403" s="1">
        <v>2737</v>
      </c>
      <c r="AA403" s="1" t="s">
        <v>24</v>
      </c>
      <c r="AB403" s="1" t="s">
        <v>24</v>
      </c>
      <c r="AC403" s="1" t="s">
        <v>24</v>
      </c>
      <c r="AD403" s="1" t="s">
        <v>24</v>
      </c>
      <c r="AE403" s="1" t="s">
        <v>24</v>
      </c>
      <c r="AF403" s="22"/>
    </row>
    <row r="404" spans="1:32" x14ac:dyDescent="0.2">
      <c r="A404" s="1">
        <v>2211</v>
      </c>
      <c r="B404" s="1" t="s">
        <v>1434</v>
      </c>
      <c r="C404" s="5" t="s">
        <v>0</v>
      </c>
      <c r="D404" s="1" t="s">
        <v>1435</v>
      </c>
      <c r="E404" s="1" t="s">
        <v>1436</v>
      </c>
      <c r="F404" s="1" t="s">
        <v>221</v>
      </c>
      <c r="G404" s="1" t="s">
        <v>61</v>
      </c>
      <c r="H404" s="1" t="s">
        <v>222</v>
      </c>
      <c r="I404" s="1" t="s">
        <v>16</v>
      </c>
      <c r="J404" s="1">
        <v>4</v>
      </c>
      <c r="K404" s="1">
        <v>3</v>
      </c>
      <c r="L404" s="1" t="s">
        <v>31</v>
      </c>
      <c r="M404" s="1" t="s">
        <v>18</v>
      </c>
      <c r="N404" s="1" t="s">
        <v>18</v>
      </c>
      <c r="O404" s="1">
        <v>3</v>
      </c>
      <c r="P404" s="1">
        <v>6</v>
      </c>
      <c r="R404" s="1" t="s">
        <v>19</v>
      </c>
      <c r="S404" s="1" t="s">
        <v>20</v>
      </c>
      <c r="T404" s="1" t="s">
        <v>21</v>
      </c>
      <c r="U404" s="1" t="s">
        <v>22</v>
      </c>
      <c r="V404" s="1" t="s">
        <v>23</v>
      </c>
      <c r="W404" s="1" t="s">
        <v>24</v>
      </c>
      <c r="X404" s="1">
        <v>2712</v>
      </c>
      <c r="Y404" s="1">
        <v>2724</v>
      </c>
      <c r="Z404" s="1">
        <v>1310</v>
      </c>
      <c r="AA404" s="1" t="s">
        <v>24</v>
      </c>
      <c r="AB404" s="1" t="s">
        <v>24</v>
      </c>
      <c r="AC404" s="1" t="s">
        <v>24</v>
      </c>
      <c r="AD404" s="1" t="s">
        <v>24</v>
      </c>
      <c r="AE404" s="1" t="s">
        <v>24</v>
      </c>
      <c r="AF404" s="22"/>
    </row>
    <row r="405" spans="1:32" x14ac:dyDescent="0.2">
      <c r="A405" s="1">
        <v>2215</v>
      </c>
      <c r="B405" s="1" t="s">
        <v>1437</v>
      </c>
      <c r="C405" s="5" t="s">
        <v>0</v>
      </c>
      <c r="D405" s="1" t="s">
        <v>1438</v>
      </c>
      <c r="F405" s="1" t="s">
        <v>1439</v>
      </c>
      <c r="G405" s="1" t="s">
        <v>1439</v>
      </c>
      <c r="H405" s="1" t="s">
        <v>116</v>
      </c>
      <c r="I405" s="1" t="s">
        <v>16</v>
      </c>
      <c r="J405" s="1">
        <v>1</v>
      </c>
      <c r="K405" s="1">
        <v>12</v>
      </c>
      <c r="L405" s="1" t="s">
        <v>42</v>
      </c>
      <c r="M405" s="1" t="s">
        <v>18</v>
      </c>
      <c r="N405" s="1" t="s">
        <v>18</v>
      </c>
      <c r="O405" s="1">
        <v>0</v>
      </c>
      <c r="P405" s="1">
        <v>5</v>
      </c>
      <c r="R405" s="1" t="s">
        <v>19</v>
      </c>
      <c r="S405" s="1" t="s">
        <v>20</v>
      </c>
      <c r="T405" s="1" t="s">
        <v>21</v>
      </c>
      <c r="U405" s="1" t="s">
        <v>22</v>
      </c>
      <c r="V405" s="1" t="s">
        <v>24</v>
      </c>
      <c r="W405" s="1" t="s">
        <v>64</v>
      </c>
      <c r="X405" s="1">
        <v>3004</v>
      </c>
      <c r="Y405" s="1">
        <v>2736</v>
      </c>
      <c r="Z405" s="1" t="s">
        <v>24</v>
      </c>
      <c r="AA405" s="1" t="s">
        <v>24</v>
      </c>
      <c r="AB405" s="1" t="s">
        <v>24</v>
      </c>
      <c r="AC405" s="1" t="s">
        <v>24</v>
      </c>
      <c r="AD405" s="1" t="s">
        <v>24</v>
      </c>
      <c r="AE405" s="1" t="s">
        <v>24</v>
      </c>
      <c r="AF405" s="22"/>
    </row>
    <row r="406" spans="1:32" x14ac:dyDescent="0.2">
      <c r="A406" s="1">
        <v>2217</v>
      </c>
      <c r="B406" s="1" t="s">
        <v>1440</v>
      </c>
      <c r="C406" s="5" t="s">
        <v>0</v>
      </c>
      <c r="D406" s="1" t="s">
        <v>1441</v>
      </c>
      <c r="E406" s="1" t="s">
        <v>1442</v>
      </c>
      <c r="F406" s="1" t="s">
        <v>303</v>
      </c>
      <c r="G406" s="1" t="s">
        <v>61</v>
      </c>
      <c r="H406" s="1" t="s">
        <v>30</v>
      </c>
      <c r="I406" s="1" t="s">
        <v>16</v>
      </c>
      <c r="J406" s="1">
        <v>1</v>
      </c>
      <c r="K406" s="1">
        <v>4</v>
      </c>
      <c r="L406" s="1" t="s">
        <v>31</v>
      </c>
      <c r="M406" s="1" t="s">
        <v>18</v>
      </c>
      <c r="N406" s="1" t="s">
        <v>18</v>
      </c>
      <c r="O406" s="1">
        <v>2</v>
      </c>
      <c r="P406" s="1">
        <v>7</v>
      </c>
      <c r="Q406" s="7" t="s">
        <v>17633</v>
      </c>
      <c r="R406" s="1" t="s">
        <v>19</v>
      </c>
      <c r="S406" s="1" t="s">
        <v>20</v>
      </c>
      <c r="T406" s="1" t="s">
        <v>21</v>
      </c>
      <c r="U406" s="1" t="s">
        <v>22</v>
      </c>
      <c r="V406" s="1" t="s">
        <v>23</v>
      </c>
      <c r="W406" s="1" t="s">
        <v>24</v>
      </c>
      <c r="X406" s="1">
        <v>2708</v>
      </c>
      <c r="Y406" s="1" t="s">
        <v>24</v>
      </c>
      <c r="Z406" s="1" t="s">
        <v>24</v>
      </c>
      <c r="AA406" s="1" t="s">
        <v>24</v>
      </c>
      <c r="AB406" s="1" t="s">
        <v>24</v>
      </c>
      <c r="AC406" s="1" t="s">
        <v>24</v>
      </c>
      <c r="AD406" s="1" t="s">
        <v>24</v>
      </c>
      <c r="AE406" s="1" t="s">
        <v>24</v>
      </c>
      <c r="AF406" s="22"/>
    </row>
    <row r="407" spans="1:32" x14ac:dyDescent="0.2">
      <c r="A407" s="1">
        <v>2222</v>
      </c>
      <c r="B407" s="1" t="s">
        <v>1443</v>
      </c>
      <c r="C407" s="5" t="s">
        <v>0</v>
      </c>
      <c r="D407" s="1" t="s">
        <v>1444</v>
      </c>
      <c r="E407" s="1" t="s">
        <v>1445</v>
      </c>
      <c r="F407" s="1" t="s">
        <v>159</v>
      </c>
      <c r="G407" s="1" t="s">
        <v>160</v>
      </c>
      <c r="H407" s="1" t="s">
        <v>37</v>
      </c>
      <c r="I407" s="1" t="s">
        <v>16</v>
      </c>
      <c r="J407" s="1">
        <v>1</v>
      </c>
      <c r="K407" s="1">
        <v>12</v>
      </c>
      <c r="L407" s="1" t="s">
        <v>42</v>
      </c>
      <c r="M407" s="1" t="s">
        <v>18</v>
      </c>
      <c r="N407" s="1" t="s">
        <v>18</v>
      </c>
      <c r="O407" s="1">
        <v>0</v>
      </c>
      <c r="P407" s="1">
        <v>5</v>
      </c>
      <c r="R407" s="1" t="s">
        <v>19</v>
      </c>
      <c r="S407" s="1" t="s">
        <v>20</v>
      </c>
      <c r="T407" s="1" t="s">
        <v>21</v>
      </c>
      <c r="U407" s="1" t="s">
        <v>22</v>
      </c>
      <c r="V407" s="1" t="s">
        <v>24</v>
      </c>
      <c r="W407" s="1" t="s">
        <v>24</v>
      </c>
      <c r="X407" s="1">
        <v>2736</v>
      </c>
      <c r="Y407" s="1" t="s">
        <v>24</v>
      </c>
      <c r="Z407" s="1" t="s">
        <v>24</v>
      </c>
      <c r="AA407" s="1" t="s">
        <v>24</v>
      </c>
      <c r="AB407" s="1" t="s">
        <v>24</v>
      </c>
      <c r="AC407" s="1" t="s">
        <v>24</v>
      </c>
      <c r="AD407" s="1" t="s">
        <v>24</v>
      </c>
      <c r="AE407" s="1" t="s">
        <v>24</v>
      </c>
      <c r="AF407" s="22"/>
    </row>
    <row r="408" spans="1:32" x14ac:dyDescent="0.2">
      <c r="A408" s="1">
        <v>2223</v>
      </c>
      <c r="B408" s="1" t="s">
        <v>1446</v>
      </c>
      <c r="C408" s="5" t="s">
        <v>0</v>
      </c>
      <c r="D408" s="1" t="s">
        <v>1447</v>
      </c>
      <c r="E408" s="1" t="s">
        <v>1448</v>
      </c>
      <c r="F408" s="1" t="s">
        <v>1260</v>
      </c>
      <c r="G408" s="1" t="s">
        <v>130</v>
      </c>
      <c r="H408" s="1" t="s">
        <v>111</v>
      </c>
      <c r="I408" s="1" t="s">
        <v>16</v>
      </c>
      <c r="J408" s="1">
        <v>1</v>
      </c>
      <c r="K408" s="1">
        <v>18</v>
      </c>
      <c r="L408" s="1" t="s">
        <v>31</v>
      </c>
      <c r="M408" s="1" t="s">
        <v>18</v>
      </c>
      <c r="N408" s="1" t="s">
        <v>18</v>
      </c>
      <c r="O408" s="1">
        <v>3</v>
      </c>
      <c r="P408" s="1">
        <v>6</v>
      </c>
      <c r="R408" s="1" t="s">
        <v>62</v>
      </c>
      <c r="S408" s="1" t="s">
        <v>20</v>
      </c>
      <c r="T408" s="1" t="s">
        <v>21</v>
      </c>
      <c r="U408" s="1" t="s">
        <v>22</v>
      </c>
      <c r="V408" s="1" t="s">
        <v>23</v>
      </c>
      <c r="W408" s="1" t="s">
        <v>64</v>
      </c>
      <c r="X408" s="1">
        <v>2736</v>
      </c>
      <c r="Y408" s="1" t="s">
        <v>24</v>
      </c>
      <c r="Z408" s="1" t="s">
        <v>24</v>
      </c>
      <c r="AA408" s="1" t="s">
        <v>24</v>
      </c>
      <c r="AB408" s="1" t="s">
        <v>24</v>
      </c>
      <c r="AC408" s="1" t="s">
        <v>24</v>
      </c>
      <c r="AD408" s="1" t="s">
        <v>24</v>
      </c>
      <c r="AE408" s="1" t="s">
        <v>24</v>
      </c>
      <c r="AF408" s="22"/>
    </row>
    <row r="409" spans="1:32" x14ac:dyDescent="0.2">
      <c r="A409" s="1">
        <v>2241</v>
      </c>
      <c r="B409" s="1" t="s">
        <v>1449</v>
      </c>
      <c r="C409" s="5" t="s">
        <v>0</v>
      </c>
      <c r="D409" s="1" t="s">
        <v>1450</v>
      </c>
      <c r="F409" s="1" t="s">
        <v>241</v>
      </c>
      <c r="G409" s="1" t="s">
        <v>61</v>
      </c>
      <c r="H409" s="1" t="s">
        <v>168</v>
      </c>
      <c r="I409" s="1" t="s">
        <v>16</v>
      </c>
      <c r="J409" s="1">
        <v>1</v>
      </c>
      <c r="K409" s="1">
        <v>4</v>
      </c>
      <c r="L409" s="1" t="s">
        <v>31</v>
      </c>
      <c r="M409" s="1" t="s">
        <v>413</v>
      </c>
      <c r="N409" s="1" t="s">
        <v>1451</v>
      </c>
      <c r="O409" s="1">
        <v>1</v>
      </c>
      <c r="P409" s="1">
        <v>5</v>
      </c>
      <c r="R409" s="1" t="s">
        <v>19</v>
      </c>
      <c r="S409" s="1" t="s">
        <v>20</v>
      </c>
      <c r="T409" s="1" t="s">
        <v>21</v>
      </c>
      <c r="U409" s="1" t="s">
        <v>22</v>
      </c>
      <c r="V409" s="1" t="s">
        <v>24</v>
      </c>
      <c r="W409" s="1" t="s">
        <v>24</v>
      </c>
      <c r="X409" s="1">
        <v>2728</v>
      </c>
      <c r="Y409" s="1">
        <v>2707</v>
      </c>
      <c r="Z409" s="1" t="s">
        <v>24</v>
      </c>
      <c r="AA409" s="1" t="s">
        <v>24</v>
      </c>
      <c r="AB409" s="1" t="s">
        <v>24</v>
      </c>
      <c r="AC409" s="1" t="s">
        <v>24</v>
      </c>
      <c r="AD409" s="1" t="s">
        <v>24</v>
      </c>
      <c r="AE409" s="1" t="s">
        <v>24</v>
      </c>
      <c r="AF409" s="22" t="s">
        <v>17679</v>
      </c>
    </row>
    <row r="410" spans="1:32" x14ac:dyDescent="0.2">
      <c r="A410" s="1">
        <v>2258</v>
      </c>
      <c r="B410" s="1" t="s">
        <v>1452</v>
      </c>
      <c r="C410" s="5" t="s">
        <v>0</v>
      </c>
      <c r="D410" s="1" t="s">
        <v>1453</v>
      </c>
      <c r="F410" s="1" t="s">
        <v>167</v>
      </c>
      <c r="G410" s="1" t="s">
        <v>130</v>
      </c>
      <c r="H410" s="1" t="s">
        <v>168</v>
      </c>
      <c r="I410" s="1" t="s">
        <v>16</v>
      </c>
      <c r="J410" s="1">
        <v>1</v>
      </c>
      <c r="K410" s="1">
        <v>8</v>
      </c>
      <c r="L410" s="1" t="s">
        <v>31</v>
      </c>
      <c r="M410" s="1" t="s">
        <v>18</v>
      </c>
      <c r="N410" s="1" t="s">
        <v>18</v>
      </c>
      <c r="O410" s="1">
        <v>3</v>
      </c>
      <c r="P410" s="1">
        <v>7</v>
      </c>
      <c r="Q410" s="7" t="s">
        <v>17633</v>
      </c>
      <c r="R410" s="1" t="s">
        <v>19</v>
      </c>
      <c r="S410" s="1" t="s">
        <v>20</v>
      </c>
      <c r="T410" s="1" t="s">
        <v>21</v>
      </c>
      <c r="U410" s="1" t="s">
        <v>22</v>
      </c>
      <c r="V410" s="1" t="s">
        <v>24</v>
      </c>
      <c r="W410" s="1" t="s">
        <v>24</v>
      </c>
      <c r="X410" s="1">
        <v>1304</v>
      </c>
      <c r="Y410" s="1" t="s">
        <v>24</v>
      </c>
      <c r="Z410" s="1" t="s">
        <v>24</v>
      </c>
      <c r="AA410" s="1" t="s">
        <v>24</v>
      </c>
      <c r="AB410" s="1" t="s">
        <v>24</v>
      </c>
      <c r="AC410" s="1" t="s">
        <v>24</v>
      </c>
      <c r="AD410" s="1" t="s">
        <v>24</v>
      </c>
      <c r="AE410" s="1" t="s">
        <v>24</v>
      </c>
      <c r="AF410" s="22" t="s">
        <v>17679</v>
      </c>
    </row>
    <row r="411" spans="1:32" x14ac:dyDescent="0.2">
      <c r="A411" s="1">
        <v>2259</v>
      </c>
      <c r="B411" s="1" t="s">
        <v>1454</v>
      </c>
      <c r="C411" s="5" t="s">
        <v>0</v>
      </c>
      <c r="D411" s="1" t="s">
        <v>1455</v>
      </c>
      <c r="E411" s="1" t="s">
        <v>1456</v>
      </c>
      <c r="F411" s="1" t="s">
        <v>548</v>
      </c>
      <c r="G411" s="1" t="s">
        <v>36</v>
      </c>
      <c r="H411" s="1" t="s">
        <v>30</v>
      </c>
      <c r="I411" s="1" t="s">
        <v>16</v>
      </c>
      <c r="J411" s="1">
        <v>1</v>
      </c>
      <c r="K411" s="1">
        <v>10</v>
      </c>
      <c r="L411" s="1" t="s">
        <v>31</v>
      </c>
      <c r="M411" s="1" t="s">
        <v>18</v>
      </c>
      <c r="N411" s="1" t="s">
        <v>18</v>
      </c>
      <c r="O411" s="1">
        <v>3</v>
      </c>
      <c r="P411" s="1">
        <v>7</v>
      </c>
      <c r="Q411" s="7" t="s">
        <v>17633</v>
      </c>
      <c r="R411" s="1" t="s">
        <v>19</v>
      </c>
      <c r="S411" s="1" t="s">
        <v>20</v>
      </c>
      <c r="T411" s="1" t="s">
        <v>21</v>
      </c>
      <c r="U411" s="1" t="s">
        <v>22</v>
      </c>
      <c r="V411" s="1" t="s">
        <v>23</v>
      </c>
      <c r="W411" s="1" t="s">
        <v>24</v>
      </c>
      <c r="X411" s="1">
        <v>2705</v>
      </c>
      <c r="Y411" s="1">
        <v>2741</v>
      </c>
      <c r="Z411" s="1" t="s">
        <v>24</v>
      </c>
      <c r="AA411" s="1" t="s">
        <v>24</v>
      </c>
      <c r="AB411" s="1" t="s">
        <v>24</v>
      </c>
      <c r="AC411" s="1" t="s">
        <v>24</v>
      </c>
      <c r="AD411" s="1" t="s">
        <v>24</v>
      </c>
      <c r="AE411" s="1" t="s">
        <v>24</v>
      </c>
      <c r="AF411" s="22"/>
    </row>
    <row r="412" spans="1:32" x14ac:dyDescent="0.2">
      <c r="A412" s="1">
        <v>2283</v>
      </c>
      <c r="B412" s="1" t="s">
        <v>1457</v>
      </c>
      <c r="C412" s="5" t="s">
        <v>0</v>
      </c>
      <c r="D412" s="1" t="s">
        <v>1458</v>
      </c>
      <c r="E412" s="1" t="s">
        <v>1459</v>
      </c>
      <c r="F412" s="1" t="s">
        <v>60</v>
      </c>
      <c r="G412" s="1" t="s">
        <v>61</v>
      </c>
      <c r="H412" s="1" t="s">
        <v>30</v>
      </c>
      <c r="I412" s="1" t="s">
        <v>16</v>
      </c>
      <c r="J412" s="1">
        <v>1</v>
      </c>
      <c r="K412" s="1">
        <v>20</v>
      </c>
      <c r="L412" s="1" t="s">
        <v>31</v>
      </c>
      <c r="M412" s="1" t="s">
        <v>18</v>
      </c>
      <c r="N412" s="1" t="s">
        <v>18</v>
      </c>
      <c r="O412" s="1">
        <v>3</v>
      </c>
      <c r="P412" s="1">
        <v>8</v>
      </c>
      <c r="Q412" s="7" t="s">
        <v>17633</v>
      </c>
      <c r="R412" s="1" t="s">
        <v>62</v>
      </c>
      <c r="S412" s="1" t="s">
        <v>20</v>
      </c>
      <c r="T412" s="1" t="s">
        <v>21</v>
      </c>
      <c r="U412" s="1" t="s">
        <v>22</v>
      </c>
      <c r="V412" s="1" t="s">
        <v>24</v>
      </c>
      <c r="W412" s="1" t="s">
        <v>24</v>
      </c>
      <c r="X412" s="1">
        <v>1307</v>
      </c>
      <c r="Y412" s="1" t="s">
        <v>24</v>
      </c>
      <c r="Z412" s="1" t="s">
        <v>24</v>
      </c>
      <c r="AA412" s="1" t="s">
        <v>24</v>
      </c>
      <c r="AB412" s="1" t="s">
        <v>24</v>
      </c>
      <c r="AC412" s="1" t="s">
        <v>24</v>
      </c>
      <c r="AD412" s="1" t="s">
        <v>24</v>
      </c>
      <c r="AE412" s="1" t="s">
        <v>24</v>
      </c>
      <c r="AF412" s="22"/>
    </row>
    <row r="413" spans="1:32" x14ac:dyDescent="0.2">
      <c r="A413" s="1">
        <v>2294</v>
      </c>
      <c r="B413" s="1" t="s">
        <v>1460</v>
      </c>
      <c r="C413" s="5" t="s">
        <v>0</v>
      </c>
      <c r="D413" s="1" t="s">
        <v>1461</v>
      </c>
      <c r="F413" s="1" t="s">
        <v>1462</v>
      </c>
      <c r="G413" s="1" t="s">
        <v>1462</v>
      </c>
      <c r="H413" s="1" t="s">
        <v>249</v>
      </c>
      <c r="I413" s="1" t="s">
        <v>16</v>
      </c>
      <c r="J413" s="1">
        <v>1</v>
      </c>
      <c r="K413" s="1">
        <v>6</v>
      </c>
      <c r="L413" s="1" t="s">
        <v>42</v>
      </c>
      <c r="M413" s="1" t="s">
        <v>1463</v>
      </c>
      <c r="N413" s="1" t="s">
        <v>18</v>
      </c>
      <c r="O413" s="1">
        <v>2</v>
      </c>
      <c r="P413" s="1">
        <v>5</v>
      </c>
      <c r="R413" s="1" t="s">
        <v>19</v>
      </c>
      <c r="S413" s="1" t="s">
        <v>20</v>
      </c>
      <c r="T413" s="1" t="s">
        <v>21</v>
      </c>
      <c r="U413" s="1" t="s">
        <v>22</v>
      </c>
      <c r="V413" s="1" t="s">
        <v>24</v>
      </c>
      <c r="W413" s="1" t="s">
        <v>24</v>
      </c>
      <c r="X413" s="1">
        <v>1310</v>
      </c>
      <c r="Y413" s="1" t="s">
        <v>24</v>
      </c>
      <c r="Z413" s="1" t="s">
        <v>24</v>
      </c>
      <c r="AA413" s="1" t="s">
        <v>24</v>
      </c>
      <c r="AB413" s="1" t="s">
        <v>24</v>
      </c>
      <c r="AC413" s="1" t="s">
        <v>24</v>
      </c>
      <c r="AD413" s="1" t="s">
        <v>24</v>
      </c>
      <c r="AE413" s="1" t="s">
        <v>24</v>
      </c>
      <c r="AF413" s="22"/>
    </row>
    <row r="414" spans="1:32" x14ac:dyDescent="0.2">
      <c r="A414" s="1">
        <v>2304</v>
      </c>
      <c r="B414" s="1" t="s">
        <v>1464</v>
      </c>
      <c r="C414" s="5" t="s">
        <v>0</v>
      </c>
      <c r="D414" s="1" t="s">
        <v>1465</v>
      </c>
      <c r="E414" s="1" t="s">
        <v>1466</v>
      </c>
      <c r="F414" s="1" t="s">
        <v>601</v>
      </c>
      <c r="G414" s="1" t="s">
        <v>61</v>
      </c>
      <c r="H414" s="1" t="s">
        <v>37</v>
      </c>
      <c r="I414" s="1" t="s">
        <v>16</v>
      </c>
      <c r="J414" s="1">
        <v>3</v>
      </c>
      <c r="K414" s="1">
        <v>3</v>
      </c>
      <c r="L414" s="1" t="s">
        <v>31</v>
      </c>
      <c r="M414" s="1" t="s">
        <v>18</v>
      </c>
      <c r="N414" s="1" t="s">
        <v>18</v>
      </c>
      <c r="O414" s="1">
        <v>3</v>
      </c>
      <c r="P414" s="1">
        <v>6</v>
      </c>
      <c r="R414" s="1" t="s">
        <v>19</v>
      </c>
      <c r="S414" s="1" t="s">
        <v>63</v>
      </c>
      <c r="T414" s="1" t="s">
        <v>21</v>
      </c>
      <c r="U414" s="1" t="s">
        <v>22</v>
      </c>
      <c r="V414" s="1" t="s">
        <v>24</v>
      </c>
      <c r="W414" s="1" t="s">
        <v>24</v>
      </c>
      <c r="X414" s="1">
        <v>2307</v>
      </c>
      <c r="Y414" s="1">
        <v>2739</v>
      </c>
      <c r="Z414" s="1">
        <v>2310</v>
      </c>
      <c r="AA414" s="1" t="s">
        <v>24</v>
      </c>
      <c r="AB414" s="1" t="s">
        <v>24</v>
      </c>
      <c r="AC414" s="1" t="s">
        <v>24</v>
      </c>
      <c r="AD414" s="1" t="s">
        <v>24</v>
      </c>
      <c r="AE414" s="1" t="s">
        <v>24</v>
      </c>
      <c r="AF414" s="22"/>
    </row>
    <row r="415" spans="1:32" x14ac:dyDescent="0.2">
      <c r="A415" s="1">
        <v>2321</v>
      </c>
      <c r="B415" s="1" t="s">
        <v>1467</v>
      </c>
      <c r="C415" s="5" t="s">
        <v>0</v>
      </c>
      <c r="D415" s="1" t="s">
        <v>1468</v>
      </c>
      <c r="E415" s="1" t="s">
        <v>1469</v>
      </c>
      <c r="F415" s="1" t="s">
        <v>221</v>
      </c>
      <c r="G415" s="1" t="s">
        <v>61</v>
      </c>
      <c r="H415" s="1" t="s">
        <v>222</v>
      </c>
      <c r="I415" s="1" t="s">
        <v>16</v>
      </c>
      <c r="J415" s="1">
        <v>1</v>
      </c>
      <c r="K415" s="1">
        <v>12</v>
      </c>
      <c r="L415" s="1" t="s">
        <v>31</v>
      </c>
      <c r="M415" s="1" t="s">
        <v>18</v>
      </c>
      <c r="N415" s="1" t="s">
        <v>18</v>
      </c>
      <c r="O415" s="1">
        <v>3</v>
      </c>
      <c r="P415" s="1">
        <v>6</v>
      </c>
      <c r="R415" s="1" t="s">
        <v>19</v>
      </c>
      <c r="S415" s="1" t="s">
        <v>20</v>
      </c>
      <c r="T415" s="1" t="s">
        <v>21</v>
      </c>
      <c r="U415" s="1" t="s">
        <v>22</v>
      </c>
      <c r="V415" s="1" t="s">
        <v>23</v>
      </c>
      <c r="W415" s="1" t="s">
        <v>24</v>
      </c>
      <c r="X415" s="1">
        <v>2735</v>
      </c>
      <c r="Y415" s="1">
        <v>2729</v>
      </c>
      <c r="Z415" s="1" t="s">
        <v>24</v>
      </c>
      <c r="AA415" s="1" t="s">
        <v>24</v>
      </c>
      <c r="AB415" s="1" t="s">
        <v>24</v>
      </c>
      <c r="AC415" s="1" t="s">
        <v>24</v>
      </c>
      <c r="AD415" s="1" t="s">
        <v>24</v>
      </c>
      <c r="AE415" s="1" t="s">
        <v>24</v>
      </c>
      <c r="AF415" s="22"/>
    </row>
    <row r="416" spans="1:32" x14ac:dyDescent="0.2">
      <c r="A416" s="1">
        <v>2323</v>
      </c>
      <c r="B416" s="1" t="s">
        <v>1470</v>
      </c>
      <c r="C416" s="5" t="s">
        <v>0</v>
      </c>
      <c r="D416" s="1" t="s">
        <v>1471</v>
      </c>
      <c r="E416" s="1" t="s">
        <v>1472</v>
      </c>
      <c r="F416" s="1" t="s">
        <v>55</v>
      </c>
      <c r="G416" s="1" t="s">
        <v>56</v>
      </c>
      <c r="H416" s="1" t="s">
        <v>37</v>
      </c>
      <c r="I416" s="1" t="s">
        <v>16</v>
      </c>
      <c r="J416" s="1">
        <v>1</v>
      </c>
      <c r="K416" s="1">
        <v>48</v>
      </c>
      <c r="L416" s="1" t="s">
        <v>31</v>
      </c>
      <c r="M416" s="1" t="s">
        <v>18</v>
      </c>
      <c r="N416" s="1" t="s">
        <v>18</v>
      </c>
      <c r="O416" s="1">
        <v>3</v>
      </c>
      <c r="P416" s="1">
        <v>7</v>
      </c>
      <c r="Q416" s="7" t="s">
        <v>17633</v>
      </c>
      <c r="R416" s="1" t="s">
        <v>62</v>
      </c>
      <c r="S416" s="1" t="s">
        <v>20</v>
      </c>
      <c r="T416" s="1" t="s">
        <v>21</v>
      </c>
      <c r="U416" s="1" t="s">
        <v>22</v>
      </c>
      <c r="V416" s="1" t="s">
        <v>24</v>
      </c>
      <c r="W416" s="1" t="s">
        <v>24</v>
      </c>
      <c r="X416" s="1">
        <v>2705</v>
      </c>
      <c r="Y416" s="1" t="s">
        <v>24</v>
      </c>
      <c r="Z416" s="1" t="s">
        <v>24</v>
      </c>
      <c r="AA416" s="1" t="s">
        <v>24</v>
      </c>
      <c r="AB416" s="1" t="s">
        <v>24</v>
      </c>
      <c r="AC416" s="1" t="s">
        <v>24</v>
      </c>
      <c r="AD416" s="1" t="s">
        <v>24</v>
      </c>
      <c r="AE416" s="1" t="s">
        <v>24</v>
      </c>
      <c r="AF416" s="22"/>
    </row>
    <row r="417" spans="1:32" x14ac:dyDescent="0.2">
      <c r="A417" s="1">
        <v>2335</v>
      </c>
      <c r="B417" s="1" t="s">
        <v>1473</v>
      </c>
      <c r="C417" s="5" t="s">
        <v>0</v>
      </c>
      <c r="D417" s="1" t="s">
        <v>1474</v>
      </c>
      <c r="E417" s="1" t="s">
        <v>1475</v>
      </c>
      <c r="F417" s="1" t="s">
        <v>28</v>
      </c>
      <c r="G417" s="1" t="s">
        <v>29</v>
      </c>
      <c r="H417" s="1" t="s">
        <v>37</v>
      </c>
      <c r="I417" s="1" t="s">
        <v>16</v>
      </c>
      <c r="J417" s="1">
        <v>1</v>
      </c>
      <c r="K417" s="1">
        <v>12</v>
      </c>
      <c r="L417" s="1" t="s">
        <v>31</v>
      </c>
      <c r="M417" s="1" t="s">
        <v>18</v>
      </c>
      <c r="N417" s="1" t="s">
        <v>18</v>
      </c>
      <c r="O417" s="1">
        <v>3</v>
      </c>
      <c r="P417" s="1">
        <v>6</v>
      </c>
      <c r="R417" s="1" t="s">
        <v>19</v>
      </c>
      <c r="S417" s="1" t="s">
        <v>20</v>
      </c>
      <c r="T417" s="1" t="s">
        <v>21</v>
      </c>
      <c r="U417" s="1" t="s">
        <v>22</v>
      </c>
      <c r="V417" s="1" t="s">
        <v>23</v>
      </c>
      <c r="W417" s="1" t="s">
        <v>24</v>
      </c>
      <c r="X417" s="1">
        <v>2703</v>
      </c>
      <c r="Y417" s="1" t="s">
        <v>24</v>
      </c>
      <c r="Z417" s="1" t="s">
        <v>24</v>
      </c>
      <c r="AA417" s="1" t="s">
        <v>24</v>
      </c>
      <c r="AB417" s="1" t="s">
        <v>24</v>
      </c>
      <c r="AC417" s="1" t="s">
        <v>24</v>
      </c>
      <c r="AD417" s="1" t="s">
        <v>24</v>
      </c>
      <c r="AE417" s="1" t="s">
        <v>24</v>
      </c>
      <c r="AF417" s="22"/>
    </row>
    <row r="418" spans="1:32" x14ac:dyDescent="0.2">
      <c r="A418" s="1">
        <v>2341</v>
      </c>
      <c r="B418" s="1" t="s">
        <v>1476</v>
      </c>
      <c r="C418" s="5" t="s">
        <v>0</v>
      </c>
      <c r="D418" s="1" t="s">
        <v>1477</v>
      </c>
      <c r="E418" s="1" t="s">
        <v>1478</v>
      </c>
      <c r="F418" s="1" t="s">
        <v>1479</v>
      </c>
      <c r="G418" s="1" t="s">
        <v>61</v>
      </c>
      <c r="H418" s="1" t="s">
        <v>168</v>
      </c>
      <c r="I418" s="1" t="s">
        <v>16</v>
      </c>
      <c r="J418" s="1">
        <v>1</v>
      </c>
      <c r="K418" s="1">
        <v>12</v>
      </c>
      <c r="L418" s="1" t="s">
        <v>31</v>
      </c>
      <c r="M418" s="1" t="s">
        <v>18</v>
      </c>
      <c r="N418" s="1" t="s">
        <v>18</v>
      </c>
      <c r="O418" s="1">
        <v>3</v>
      </c>
      <c r="P418" s="1">
        <v>7</v>
      </c>
      <c r="Q418" s="7" t="s">
        <v>17633</v>
      </c>
      <c r="R418" s="1" t="s">
        <v>19</v>
      </c>
      <c r="S418" s="1" t="s">
        <v>20</v>
      </c>
      <c r="T418" s="1" t="s">
        <v>21</v>
      </c>
      <c r="U418" s="1" t="s">
        <v>22</v>
      </c>
      <c r="V418" s="1" t="s">
        <v>24</v>
      </c>
      <c r="W418" s="1" t="s">
        <v>24</v>
      </c>
      <c r="X418" s="1">
        <v>1307</v>
      </c>
      <c r="Y418" s="1">
        <v>2722</v>
      </c>
      <c r="Z418" s="1">
        <v>2734</v>
      </c>
      <c r="AA418" s="1" t="s">
        <v>24</v>
      </c>
      <c r="AB418" s="1" t="s">
        <v>24</v>
      </c>
      <c r="AC418" s="1" t="s">
        <v>24</v>
      </c>
      <c r="AD418" s="1" t="s">
        <v>24</v>
      </c>
      <c r="AE418" s="1" t="s">
        <v>24</v>
      </c>
      <c r="AF418" s="22"/>
    </row>
    <row r="419" spans="1:32" x14ac:dyDescent="0.2">
      <c r="A419" s="1">
        <v>2343</v>
      </c>
      <c r="B419" s="1" t="s">
        <v>1480</v>
      </c>
      <c r="C419" s="5" t="s">
        <v>0</v>
      </c>
      <c r="D419" s="1" t="s">
        <v>1481</v>
      </c>
      <c r="E419" s="1" t="s">
        <v>1482</v>
      </c>
      <c r="F419" s="1" t="s">
        <v>35</v>
      </c>
      <c r="G419" s="1" t="s">
        <v>36</v>
      </c>
      <c r="H419" s="1" t="s">
        <v>37</v>
      </c>
      <c r="I419" s="1" t="s">
        <v>16</v>
      </c>
      <c r="J419" s="1">
        <v>1</v>
      </c>
      <c r="K419" s="1">
        <v>12</v>
      </c>
      <c r="L419" s="1" t="s">
        <v>31</v>
      </c>
      <c r="M419" s="1" t="s">
        <v>18</v>
      </c>
      <c r="N419" s="1" t="s">
        <v>18</v>
      </c>
      <c r="O419" s="1">
        <v>3</v>
      </c>
      <c r="P419" s="1">
        <v>7</v>
      </c>
      <c r="Q419" s="7" t="s">
        <v>17633</v>
      </c>
      <c r="R419" s="1" t="s">
        <v>19</v>
      </c>
      <c r="S419" s="1" t="s">
        <v>20</v>
      </c>
      <c r="T419" s="1" t="s">
        <v>21</v>
      </c>
      <c r="U419" s="1" t="s">
        <v>22</v>
      </c>
      <c r="V419" s="1" t="s">
        <v>24</v>
      </c>
      <c r="W419" s="1" t="s">
        <v>24</v>
      </c>
      <c r="X419" s="1">
        <v>2700</v>
      </c>
      <c r="Y419" s="1">
        <v>1308</v>
      </c>
      <c r="Z419" s="1">
        <v>1303</v>
      </c>
      <c r="AA419" s="1" t="s">
        <v>24</v>
      </c>
      <c r="AB419" s="1" t="s">
        <v>24</v>
      </c>
      <c r="AC419" s="1" t="s">
        <v>24</v>
      </c>
      <c r="AD419" s="1" t="s">
        <v>24</v>
      </c>
      <c r="AE419" s="1" t="s">
        <v>24</v>
      </c>
      <c r="AF419" s="22"/>
    </row>
    <row r="420" spans="1:32" x14ac:dyDescent="0.2">
      <c r="A420" s="1">
        <v>2345</v>
      </c>
      <c r="B420" s="1" t="s">
        <v>1483</v>
      </c>
      <c r="C420" s="5" t="s">
        <v>0</v>
      </c>
      <c r="D420" s="1" t="s">
        <v>1484</v>
      </c>
      <c r="E420" s="1" t="s">
        <v>1485</v>
      </c>
      <c r="F420" s="1" t="s">
        <v>167</v>
      </c>
      <c r="G420" s="1" t="s">
        <v>130</v>
      </c>
      <c r="H420" s="1" t="s">
        <v>168</v>
      </c>
      <c r="I420" s="1" t="s">
        <v>16</v>
      </c>
      <c r="J420" s="1">
        <v>1</v>
      </c>
      <c r="K420" s="1">
        <v>12</v>
      </c>
      <c r="L420" s="1" t="s">
        <v>31</v>
      </c>
      <c r="M420" s="1" t="s">
        <v>18</v>
      </c>
      <c r="N420" s="1" t="s">
        <v>18</v>
      </c>
      <c r="O420" s="1">
        <v>3</v>
      </c>
      <c r="P420" s="1">
        <v>7</v>
      </c>
      <c r="Q420" s="7" t="s">
        <v>17633</v>
      </c>
      <c r="R420" s="1" t="s">
        <v>19</v>
      </c>
      <c r="S420" s="1" t="s">
        <v>20</v>
      </c>
      <c r="T420" s="1" t="s">
        <v>21</v>
      </c>
      <c r="U420" s="1" t="s">
        <v>22</v>
      </c>
      <c r="V420" s="1" t="s">
        <v>24</v>
      </c>
      <c r="W420" s="1" t="s">
        <v>64</v>
      </c>
      <c r="X420" s="1">
        <v>2736</v>
      </c>
      <c r="Y420" s="1">
        <v>3004</v>
      </c>
      <c r="Z420" s="1" t="s">
        <v>24</v>
      </c>
      <c r="AA420" s="1" t="s">
        <v>24</v>
      </c>
      <c r="AB420" s="1" t="s">
        <v>24</v>
      </c>
      <c r="AC420" s="1" t="s">
        <v>24</v>
      </c>
      <c r="AD420" s="1" t="s">
        <v>24</v>
      </c>
      <c r="AE420" s="1" t="s">
        <v>24</v>
      </c>
      <c r="AF420" s="22"/>
    </row>
    <row r="421" spans="1:32" x14ac:dyDescent="0.2">
      <c r="A421" s="1">
        <v>2347</v>
      </c>
      <c r="B421" s="1" t="s">
        <v>1486</v>
      </c>
      <c r="C421" s="5" t="s">
        <v>0</v>
      </c>
      <c r="D421" s="1" t="s">
        <v>1487</v>
      </c>
      <c r="E421" s="1" t="s">
        <v>1488</v>
      </c>
      <c r="F421" s="1" t="s">
        <v>198</v>
      </c>
      <c r="G421" s="1" t="s">
        <v>130</v>
      </c>
      <c r="H421" s="1" t="s">
        <v>86</v>
      </c>
      <c r="I421" s="1" t="s">
        <v>16</v>
      </c>
      <c r="J421" s="1">
        <v>1</v>
      </c>
      <c r="K421" s="1">
        <v>4</v>
      </c>
      <c r="L421" s="1" t="s">
        <v>31</v>
      </c>
      <c r="M421" s="1" t="s">
        <v>18</v>
      </c>
      <c r="N421" s="1" t="s">
        <v>18</v>
      </c>
      <c r="O421" s="1">
        <v>3</v>
      </c>
      <c r="P421" s="1">
        <v>6</v>
      </c>
      <c r="R421" s="1" t="s">
        <v>19</v>
      </c>
      <c r="S421" s="1" t="s">
        <v>20</v>
      </c>
      <c r="T421" s="1" t="s">
        <v>21</v>
      </c>
      <c r="U421" s="1" t="s">
        <v>22</v>
      </c>
      <c r="V421" s="1" t="s">
        <v>24</v>
      </c>
      <c r="W421" s="1" t="s">
        <v>64</v>
      </c>
      <c r="X421" s="1">
        <v>2736</v>
      </c>
      <c r="Y421" s="1">
        <v>3004</v>
      </c>
      <c r="Z421" s="1" t="s">
        <v>24</v>
      </c>
      <c r="AA421" s="1" t="s">
        <v>24</v>
      </c>
      <c r="AB421" s="1" t="s">
        <v>24</v>
      </c>
      <c r="AC421" s="1" t="s">
        <v>24</v>
      </c>
      <c r="AD421" s="1" t="s">
        <v>24</v>
      </c>
      <c r="AE421" s="1" t="s">
        <v>24</v>
      </c>
      <c r="AF421" s="22"/>
    </row>
    <row r="422" spans="1:32" x14ac:dyDescent="0.2">
      <c r="A422" s="1">
        <v>2348</v>
      </c>
      <c r="B422" s="1" t="s">
        <v>1489</v>
      </c>
      <c r="C422" s="5" t="s">
        <v>0</v>
      </c>
      <c r="D422" s="1" t="s">
        <v>1490</v>
      </c>
      <c r="E422" s="1" t="s">
        <v>1491</v>
      </c>
      <c r="F422" s="1" t="s">
        <v>217</v>
      </c>
      <c r="G422" s="1" t="s">
        <v>130</v>
      </c>
      <c r="H422" s="1" t="s">
        <v>92</v>
      </c>
      <c r="I422" s="1" t="s">
        <v>16</v>
      </c>
      <c r="J422" s="1">
        <v>1</v>
      </c>
      <c r="K422" s="1">
        <v>12</v>
      </c>
      <c r="L422" s="1" t="s">
        <v>31</v>
      </c>
      <c r="M422" s="1" t="s">
        <v>18</v>
      </c>
      <c r="N422" s="1" t="s">
        <v>18</v>
      </c>
      <c r="O422" s="1">
        <v>2</v>
      </c>
      <c r="P422" s="1">
        <v>6</v>
      </c>
      <c r="R422" s="1" t="s">
        <v>19</v>
      </c>
      <c r="S422" s="1" t="s">
        <v>20</v>
      </c>
      <c r="T422" s="1" t="s">
        <v>21</v>
      </c>
      <c r="U422" s="1" t="s">
        <v>22</v>
      </c>
      <c r="V422" s="1" t="s">
        <v>24</v>
      </c>
      <c r="W422" s="1" t="s">
        <v>24</v>
      </c>
      <c r="X422" s="1">
        <v>2713</v>
      </c>
      <c r="Y422" s="1" t="s">
        <v>24</v>
      </c>
      <c r="Z422" s="1" t="s">
        <v>24</v>
      </c>
      <c r="AA422" s="1" t="s">
        <v>24</v>
      </c>
      <c r="AB422" s="1" t="s">
        <v>24</v>
      </c>
      <c r="AC422" s="1" t="s">
        <v>24</v>
      </c>
      <c r="AD422" s="1" t="s">
        <v>24</v>
      </c>
      <c r="AE422" s="1" t="s">
        <v>24</v>
      </c>
      <c r="AF422" s="22"/>
    </row>
    <row r="423" spans="1:32" x14ac:dyDescent="0.2">
      <c r="A423" s="1">
        <v>2353</v>
      </c>
      <c r="B423" s="1" t="s">
        <v>1492</v>
      </c>
      <c r="C423" s="5" t="s">
        <v>0</v>
      </c>
      <c r="D423" s="1" t="s">
        <v>1493</v>
      </c>
      <c r="F423" s="1" t="s">
        <v>1033</v>
      </c>
      <c r="G423" s="1" t="s">
        <v>1033</v>
      </c>
      <c r="H423" s="1" t="s">
        <v>731</v>
      </c>
      <c r="I423" s="1" t="s">
        <v>16</v>
      </c>
      <c r="J423" s="1">
        <v>1</v>
      </c>
      <c r="K423" s="1">
        <v>6</v>
      </c>
      <c r="L423" s="1" t="s">
        <v>17</v>
      </c>
      <c r="M423" s="1" t="s">
        <v>18</v>
      </c>
      <c r="N423" s="1" t="s">
        <v>18</v>
      </c>
      <c r="O423" s="1">
        <v>2</v>
      </c>
      <c r="P423" s="1">
        <v>6</v>
      </c>
      <c r="R423" s="1" t="s">
        <v>19</v>
      </c>
      <c r="S423" s="1" t="s">
        <v>20</v>
      </c>
      <c r="T423" s="1" t="s">
        <v>21</v>
      </c>
      <c r="U423" s="1" t="s">
        <v>22</v>
      </c>
      <c r="V423" s="1" t="s">
        <v>24</v>
      </c>
      <c r="W423" s="1" t="s">
        <v>24</v>
      </c>
      <c r="X423" s="1">
        <v>2729</v>
      </c>
      <c r="Y423" s="1">
        <v>2730</v>
      </c>
      <c r="Z423" s="1" t="s">
        <v>24</v>
      </c>
      <c r="AA423" s="1" t="s">
        <v>24</v>
      </c>
      <c r="AB423" s="1" t="s">
        <v>24</v>
      </c>
      <c r="AC423" s="1" t="s">
        <v>24</v>
      </c>
      <c r="AD423" s="1" t="s">
        <v>24</v>
      </c>
      <c r="AE423" s="1" t="s">
        <v>24</v>
      </c>
      <c r="AF423" s="22"/>
    </row>
    <row r="424" spans="1:32" x14ac:dyDescent="0.2">
      <c r="A424" s="1">
        <v>2354</v>
      </c>
      <c r="B424" s="1" t="s">
        <v>1494</v>
      </c>
      <c r="C424" s="5" t="s">
        <v>0</v>
      </c>
      <c r="D424" s="1" t="s">
        <v>1495</v>
      </c>
      <c r="E424" s="1" t="s">
        <v>1496</v>
      </c>
      <c r="F424" s="1" t="s">
        <v>651</v>
      </c>
      <c r="G424" s="1" t="s">
        <v>36</v>
      </c>
      <c r="H424" s="1" t="s">
        <v>168</v>
      </c>
      <c r="I424" s="1" t="s">
        <v>16</v>
      </c>
      <c r="J424" s="1">
        <v>1</v>
      </c>
      <c r="K424" s="1">
        <v>12</v>
      </c>
      <c r="L424" s="1" t="s">
        <v>31</v>
      </c>
      <c r="M424" s="1" t="s">
        <v>18</v>
      </c>
      <c r="N424" s="1" t="s">
        <v>18</v>
      </c>
      <c r="O424" s="1">
        <v>3</v>
      </c>
      <c r="P424" s="1">
        <v>8</v>
      </c>
      <c r="Q424" s="7" t="s">
        <v>17633</v>
      </c>
      <c r="R424" s="1" t="s">
        <v>62</v>
      </c>
      <c r="S424" s="1" t="s">
        <v>20</v>
      </c>
      <c r="T424" s="1" t="s">
        <v>21</v>
      </c>
      <c r="U424" s="1" t="s">
        <v>22</v>
      </c>
      <c r="V424" s="1" t="s">
        <v>24</v>
      </c>
      <c r="W424" s="1" t="s">
        <v>24</v>
      </c>
      <c r="X424" s="1">
        <v>2403</v>
      </c>
      <c r="Y424" s="1">
        <v>2723</v>
      </c>
      <c r="Z424" s="1" t="s">
        <v>24</v>
      </c>
      <c r="AA424" s="1" t="s">
        <v>24</v>
      </c>
      <c r="AB424" s="1" t="s">
        <v>24</v>
      </c>
      <c r="AC424" s="1" t="s">
        <v>24</v>
      </c>
      <c r="AD424" s="1" t="s">
        <v>24</v>
      </c>
      <c r="AE424" s="1" t="s">
        <v>24</v>
      </c>
      <c r="AF424" s="22"/>
    </row>
    <row r="425" spans="1:32" x14ac:dyDescent="0.2">
      <c r="A425" s="1">
        <v>2356</v>
      </c>
      <c r="B425" s="1" t="s">
        <v>1497</v>
      </c>
      <c r="C425" s="5" t="s">
        <v>0</v>
      </c>
      <c r="D425" s="1" t="s">
        <v>1498</v>
      </c>
      <c r="E425" s="1" t="s">
        <v>1499</v>
      </c>
      <c r="F425" s="1" t="s">
        <v>85</v>
      </c>
      <c r="G425" s="1" t="s">
        <v>61</v>
      </c>
      <c r="H425" s="1" t="s">
        <v>86</v>
      </c>
      <c r="I425" s="1" t="s">
        <v>16</v>
      </c>
      <c r="J425" s="1">
        <v>1</v>
      </c>
      <c r="K425" s="1">
        <v>12</v>
      </c>
      <c r="L425" s="1" t="s">
        <v>31</v>
      </c>
      <c r="M425" s="1" t="s">
        <v>105</v>
      </c>
      <c r="N425" s="1" t="s">
        <v>18</v>
      </c>
      <c r="O425" s="1">
        <v>2</v>
      </c>
      <c r="P425" s="1">
        <v>6</v>
      </c>
      <c r="R425" s="1" t="s">
        <v>19</v>
      </c>
      <c r="S425" s="1" t="s">
        <v>63</v>
      </c>
      <c r="T425" s="1" t="s">
        <v>21</v>
      </c>
      <c r="U425" s="1" t="s">
        <v>22</v>
      </c>
      <c r="V425" s="1" t="s">
        <v>24</v>
      </c>
      <c r="W425" s="1" t="s">
        <v>64</v>
      </c>
      <c r="X425" s="1">
        <v>3002</v>
      </c>
      <c r="Y425" s="1">
        <v>1605</v>
      </c>
      <c r="Z425" s="1">
        <v>3004</v>
      </c>
      <c r="AA425" s="1" t="s">
        <v>24</v>
      </c>
      <c r="AB425" s="1" t="s">
        <v>24</v>
      </c>
      <c r="AC425" s="1" t="s">
        <v>24</v>
      </c>
      <c r="AD425" s="1" t="s">
        <v>24</v>
      </c>
      <c r="AE425" s="1" t="s">
        <v>24</v>
      </c>
      <c r="AF425" s="22"/>
    </row>
    <row r="426" spans="1:32" x14ac:dyDescent="0.2">
      <c r="A426" s="1">
        <v>2360</v>
      </c>
      <c r="B426" s="1" t="s">
        <v>1500</v>
      </c>
      <c r="C426" s="5" t="s">
        <v>0</v>
      </c>
      <c r="D426" s="1" t="s">
        <v>1501</v>
      </c>
      <c r="E426" s="1" t="s">
        <v>1502</v>
      </c>
      <c r="F426" s="1" t="s">
        <v>167</v>
      </c>
      <c r="G426" s="1" t="s">
        <v>130</v>
      </c>
      <c r="H426" s="1" t="s">
        <v>168</v>
      </c>
      <c r="I426" s="1" t="s">
        <v>16</v>
      </c>
      <c r="J426" s="1">
        <v>1</v>
      </c>
      <c r="K426" s="1">
        <v>12</v>
      </c>
      <c r="L426" s="1" t="s">
        <v>31</v>
      </c>
      <c r="M426" s="1" t="s">
        <v>18</v>
      </c>
      <c r="N426" s="1" t="s">
        <v>18</v>
      </c>
      <c r="O426" s="1">
        <v>3</v>
      </c>
      <c r="P426" s="1">
        <v>7</v>
      </c>
      <c r="Q426" s="7" t="s">
        <v>17633</v>
      </c>
      <c r="R426" s="1" t="s">
        <v>19</v>
      </c>
      <c r="S426" s="1" t="s">
        <v>20</v>
      </c>
      <c r="T426" s="1" t="s">
        <v>21</v>
      </c>
      <c r="U426" s="1" t="s">
        <v>22</v>
      </c>
      <c r="V426" s="1" t="s">
        <v>24</v>
      </c>
      <c r="W426" s="1" t="s">
        <v>24</v>
      </c>
      <c r="X426" s="1">
        <v>2735</v>
      </c>
      <c r="Y426" s="1" t="s">
        <v>24</v>
      </c>
      <c r="Z426" s="1" t="s">
        <v>24</v>
      </c>
      <c r="AA426" s="1" t="s">
        <v>24</v>
      </c>
      <c r="AB426" s="1" t="s">
        <v>24</v>
      </c>
      <c r="AC426" s="1" t="s">
        <v>24</v>
      </c>
      <c r="AD426" s="1" t="s">
        <v>24</v>
      </c>
      <c r="AE426" s="1" t="s">
        <v>24</v>
      </c>
      <c r="AF426" s="22"/>
    </row>
    <row r="427" spans="1:32" x14ac:dyDescent="0.2">
      <c r="A427" s="1">
        <v>2361</v>
      </c>
      <c r="B427" s="1" t="s">
        <v>1503</v>
      </c>
      <c r="C427" s="5" t="s">
        <v>0</v>
      </c>
      <c r="D427" s="1" t="s">
        <v>1504</v>
      </c>
      <c r="E427" s="1" t="s">
        <v>1505</v>
      </c>
      <c r="F427" s="1" t="s">
        <v>91</v>
      </c>
      <c r="G427" s="1" t="s">
        <v>61</v>
      </c>
      <c r="H427" s="1" t="s">
        <v>92</v>
      </c>
      <c r="I427" s="1" t="s">
        <v>16</v>
      </c>
      <c r="J427" s="1">
        <v>23</v>
      </c>
      <c r="K427" s="1">
        <v>3</v>
      </c>
      <c r="L427" s="1" t="s">
        <v>31</v>
      </c>
      <c r="M427" s="1" t="s">
        <v>18</v>
      </c>
      <c r="N427" s="1" t="s">
        <v>18</v>
      </c>
      <c r="O427" s="1">
        <v>3</v>
      </c>
      <c r="P427" s="1">
        <v>8</v>
      </c>
      <c r="Q427" s="7" t="s">
        <v>17633</v>
      </c>
      <c r="R427" s="1" t="s">
        <v>19</v>
      </c>
      <c r="S427" s="1" t="s">
        <v>63</v>
      </c>
      <c r="T427" s="1" t="s">
        <v>21</v>
      </c>
      <c r="U427" s="1" t="s">
        <v>22</v>
      </c>
      <c r="V427" s="1" t="s">
        <v>24</v>
      </c>
      <c r="W427" s="1" t="s">
        <v>64</v>
      </c>
      <c r="X427" s="1">
        <v>3004</v>
      </c>
      <c r="Y427" s="1" t="s">
        <v>24</v>
      </c>
      <c r="Z427" s="1" t="s">
        <v>24</v>
      </c>
      <c r="AA427" s="1" t="s">
        <v>24</v>
      </c>
      <c r="AB427" s="1" t="s">
        <v>24</v>
      </c>
      <c r="AC427" s="1" t="s">
        <v>24</v>
      </c>
      <c r="AD427" s="1" t="s">
        <v>24</v>
      </c>
      <c r="AE427" s="1" t="s">
        <v>24</v>
      </c>
      <c r="AF427" s="22"/>
    </row>
    <row r="428" spans="1:32" x14ac:dyDescent="0.2">
      <c r="A428" s="1">
        <v>2363</v>
      </c>
      <c r="B428" s="1" t="s">
        <v>1506</v>
      </c>
      <c r="C428" s="5" t="s">
        <v>0</v>
      </c>
      <c r="D428" s="1" t="s">
        <v>1507</v>
      </c>
      <c r="E428" s="1" t="s">
        <v>1508</v>
      </c>
      <c r="F428" s="1" t="s">
        <v>221</v>
      </c>
      <c r="G428" s="1" t="s">
        <v>61</v>
      </c>
      <c r="H428" s="1" t="s">
        <v>222</v>
      </c>
      <c r="I428" s="1" t="s">
        <v>16</v>
      </c>
      <c r="J428" s="1">
        <v>4</v>
      </c>
      <c r="K428" s="1">
        <v>3</v>
      </c>
      <c r="L428" s="1" t="s">
        <v>31</v>
      </c>
      <c r="M428" s="1" t="s">
        <v>18</v>
      </c>
      <c r="N428" s="1" t="s">
        <v>18</v>
      </c>
      <c r="O428" s="1">
        <v>3</v>
      </c>
      <c r="P428" s="1">
        <v>8</v>
      </c>
      <c r="Q428" s="7" t="s">
        <v>17633</v>
      </c>
      <c r="R428" s="1" t="s">
        <v>19</v>
      </c>
      <c r="S428" s="1" t="s">
        <v>20</v>
      </c>
      <c r="T428" s="1" t="s">
        <v>21</v>
      </c>
      <c r="U428" s="1" t="s">
        <v>22</v>
      </c>
      <c r="V428" s="1" t="s">
        <v>23</v>
      </c>
      <c r="W428" s="1" t="s">
        <v>24</v>
      </c>
      <c r="X428" s="1">
        <v>2741</v>
      </c>
      <c r="Y428" s="1" t="s">
        <v>24</v>
      </c>
      <c r="Z428" s="1" t="s">
        <v>24</v>
      </c>
      <c r="AA428" s="1" t="s">
        <v>24</v>
      </c>
      <c r="AB428" s="1" t="s">
        <v>24</v>
      </c>
      <c r="AC428" s="1" t="s">
        <v>24</v>
      </c>
      <c r="AD428" s="1" t="s">
        <v>24</v>
      </c>
      <c r="AE428" s="1" t="s">
        <v>24</v>
      </c>
      <c r="AF428" s="22"/>
    </row>
    <row r="429" spans="1:32" x14ac:dyDescent="0.2">
      <c r="A429" s="1">
        <v>2368</v>
      </c>
      <c r="B429" s="1" t="s">
        <v>1509</v>
      </c>
      <c r="C429" s="5" t="s">
        <v>0</v>
      </c>
      <c r="D429" s="1" t="s">
        <v>1510</v>
      </c>
      <c r="E429" s="1" t="s">
        <v>1511</v>
      </c>
      <c r="F429" s="1" t="s">
        <v>1177</v>
      </c>
      <c r="G429" s="1" t="s">
        <v>61</v>
      </c>
      <c r="H429" s="1" t="s">
        <v>37</v>
      </c>
      <c r="I429" s="1" t="s">
        <v>16</v>
      </c>
      <c r="J429" s="1">
        <v>1</v>
      </c>
      <c r="K429" s="1">
        <v>10</v>
      </c>
      <c r="L429" s="1" t="s">
        <v>31</v>
      </c>
      <c r="M429" s="1" t="s">
        <v>18</v>
      </c>
      <c r="N429" s="1" t="s">
        <v>18</v>
      </c>
      <c r="O429" s="1">
        <v>3</v>
      </c>
      <c r="P429" s="1">
        <v>8</v>
      </c>
      <c r="Q429" s="7" t="s">
        <v>17633</v>
      </c>
      <c r="R429" s="1" t="s">
        <v>62</v>
      </c>
      <c r="S429" s="1" t="s">
        <v>20</v>
      </c>
      <c r="T429" s="1" t="s">
        <v>21</v>
      </c>
      <c r="U429" s="1" t="s">
        <v>22</v>
      </c>
      <c r="V429" s="1" t="s">
        <v>24</v>
      </c>
      <c r="W429" s="1" t="s">
        <v>24</v>
      </c>
      <c r="X429" s="1">
        <v>2730</v>
      </c>
      <c r="Y429" s="1">
        <v>2746</v>
      </c>
      <c r="Z429" s="1" t="s">
        <v>24</v>
      </c>
      <c r="AA429" s="1" t="s">
        <v>24</v>
      </c>
      <c r="AB429" s="1" t="s">
        <v>24</v>
      </c>
      <c r="AC429" s="1" t="s">
        <v>24</v>
      </c>
      <c r="AD429" s="1" t="s">
        <v>24</v>
      </c>
      <c r="AE429" s="1" t="s">
        <v>24</v>
      </c>
      <c r="AF429" s="22"/>
    </row>
    <row r="430" spans="1:32" x14ac:dyDescent="0.2">
      <c r="A430" s="1">
        <v>2392</v>
      </c>
      <c r="B430" s="1" t="s">
        <v>1512</v>
      </c>
      <c r="C430" s="5" t="s">
        <v>0</v>
      </c>
      <c r="D430" s="1" t="s">
        <v>1513</v>
      </c>
      <c r="E430" s="1" t="s">
        <v>1514</v>
      </c>
      <c r="F430" s="1" t="s">
        <v>651</v>
      </c>
      <c r="G430" s="1" t="s">
        <v>36</v>
      </c>
      <c r="H430" s="1" t="s">
        <v>168</v>
      </c>
      <c r="I430" s="1" t="s">
        <v>16</v>
      </c>
      <c r="J430" s="1">
        <v>1</v>
      </c>
      <c r="K430" s="1">
        <v>24</v>
      </c>
      <c r="L430" s="1" t="s">
        <v>31</v>
      </c>
      <c r="M430" s="1" t="s">
        <v>18</v>
      </c>
      <c r="N430" s="1" t="s">
        <v>18</v>
      </c>
      <c r="O430" s="1">
        <v>3</v>
      </c>
      <c r="P430" s="1">
        <v>6</v>
      </c>
      <c r="R430" s="1" t="s">
        <v>62</v>
      </c>
      <c r="S430" s="1" t="s">
        <v>20</v>
      </c>
      <c r="T430" s="1" t="s">
        <v>21</v>
      </c>
      <c r="U430" s="1" t="s">
        <v>22</v>
      </c>
      <c r="V430" s="1" t="s">
        <v>24</v>
      </c>
      <c r="W430" s="1" t="s">
        <v>24</v>
      </c>
      <c r="X430" s="1">
        <v>1303</v>
      </c>
      <c r="Y430" s="1">
        <v>1308</v>
      </c>
      <c r="Z430" s="1" t="s">
        <v>24</v>
      </c>
      <c r="AA430" s="1" t="s">
        <v>24</v>
      </c>
      <c r="AB430" s="1" t="s">
        <v>24</v>
      </c>
      <c r="AC430" s="1" t="s">
        <v>24</v>
      </c>
      <c r="AD430" s="1" t="s">
        <v>24</v>
      </c>
      <c r="AE430" s="1" t="s">
        <v>24</v>
      </c>
      <c r="AF430" s="22"/>
    </row>
    <row r="431" spans="1:32" x14ac:dyDescent="0.2">
      <c r="A431" s="1">
        <v>2408</v>
      </c>
      <c r="B431" s="1" t="s">
        <v>1515</v>
      </c>
      <c r="C431" s="5" t="s">
        <v>0</v>
      </c>
      <c r="D431" s="1" t="s">
        <v>1516</v>
      </c>
      <c r="E431" s="1" t="s">
        <v>1517</v>
      </c>
      <c r="F431" s="1" t="s">
        <v>217</v>
      </c>
      <c r="G431" s="1" t="s">
        <v>130</v>
      </c>
      <c r="H431" s="1" t="s">
        <v>92</v>
      </c>
      <c r="I431" s="1" t="s">
        <v>16</v>
      </c>
      <c r="J431" s="1">
        <v>12</v>
      </c>
      <c r="K431" s="1">
        <v>3</v>
      </c>
      <c r="L431" s="1" t="s">
        <v>31</v>
      </c>
      <c r="M431" s="1" t="s">
        <v>18</v>
      </c>
      <c r="N431" s="1" t="s">
        <v>18</v>
      </c>
      <c r="O431" s="1">
        <v>3</v>
      </c>
      <c r="P431" s="1">
        <v>6</v>
      </c>
      <c r="R431" s="1" t="s">
        <v>19</v>
      </c>
      <c r="S431" s="1" t="s">
        <v>20</v>
      </c>
      <c r="T431" s="1" t="s">
        <v>21</v>
      </c>
      <c r="U431" s="1" t="s">
        <v>22</v>
      </c>
      <c r="V431" s="1" t="s">
        <v>24</v>
      </c>
      <c r="W431" s="1" t="s">
        <v>24</v>
      </c>
      <c r="X431" s="1">
        <v>2300</v>
      </c>
      <c r="Y431" s="1">
        <v>2308</v>
      </c>
      <c r="Z431" s="1">
        <v>2310</v>
      </c>
      <c r="AA431" s="1" t="s">
        <v>24</v>
      </c>
      <c r="AB431" s="1" t="s">
        <v>24</v>
      </c>
      <c r="AC431" s="1" t="s">
        <v>24</v>
      </c>
      <c r="AD431" s="1" t="s">
        <v>24</v>
      </c>
      <c r="AE431" s="1" t="s">
        <v>24</v>
      </c>
      <c r="AF431" s="22"/>
    </row>
    <row r="432" spans="1:32" x14ac:dyDescent="0.2">
      <c r="A432" s="1">
        <v>2409</v>
      </c>
      <c r="B432" s="1" t="s">
        <v>1518</v>
      </c>
      <c r="C432" s="5" t="s">
        <v>0</v>
      </c>
      <c r="D432" s="1" t="s">
        <v>1519</v>
      </c>
      <c r="F432" s="1" t="s">
        <v>303</v>
      </c>
      <c r="G432" s="1" t="s">
        <v>61</v>
      </c>
      <c r="H432" s="1" t="s">
        <v>30</v>
      </c>
      <c r="I432" s="1" t="s">
        <v>16</v>
      </c>
      <c r="J432" s="1">
        <v>1</v>
      </c>
      <c r="K432" s="1">
        <v>4</v>
      </c>
      <c r="L432" s="1" t="s">
        <v>31</v>
      </c>
      <c r="M432" s="1" t="s">
        <v>18</v>
      </c>
      <c r="N432" s="1" t="s">
        <v>18</v>
      </c>
      <c r="O432" s="1">
        <v>2</v>
      </c>
      <c r="P432" s="1">
        <v>7</v>
      </c>
      <c r="Q432" s="7" t="s">
        <v>17633</v>
      </c>
      <c r="R432" s="1" t="s">
        <v>19</v>
      </c>
      <c r="S432" s="1" t="s">
        <v>20</v>
      </c>
      <c r="T432" s="1" t="s">
        <v>21</v>
      </c>
      <c r="U432" s="1" t="s">
        <v>22</v>
      </c>
      <c r="V432" s="1" t="s">
        <v>23</v>
      </c>
      <c r="W432" s="1" t="s">
        <v>24</v>
      </c>
      <c r="X432" s="1">
        <v>2711</v>
      </c>
      <c r="Y432" s="1" t="s">
        <v>24</v>
      </c>
      <c r="Z432" s="1" t="s">
        <v>24</v>
      </c>
      <c r="AA432" s="1" t="s">
        <v>24</v>
      </c>
      <c r="AB432" s="1" t="s">
        <v>24</v>
      </c>
      <c r="AC432" s="1" t="s">
        <v>24</v>
      </c>
      <c r="AD432" s="1" t="s">
        <v>24</v>
      </c>
      <c r="AE432" s="1" t="s">
        <v>24</v>
      </c>
      <c r="AF432" s="22" t="s">
        <v>17678</v>
      </c>
    </row>
    <row r="433" spans="1:32" x14ac:dyDescent="0.2">
      <c r="A433" s="1">
        <v>2413</v>
      </c>
      <c r="B433" s="1" t="s">
        <v>1520</v>
      </c>
      <c r="C433" s="5" t="s">
        <v>0</v>
      </c>
      <c r="D433" s="1" t="s">
        <v>1521</v>
      </c>
      <c r="F433" s="1" t="s">
        <v>1522</v>
      </c>
      <c r="G433" s="1" t="s">
        <v>1522</v>
      </c>
      <c r="H433" s="1" t="s">
        <v>1523</v>
      </c>
      <c r="I433" s="1" t="s">
        <v>16</v>
      </c>
      <c r="J433" s="1">
        <v>1</v>
      </c>
      <c r="K433" s="1">
        <v>3</v>
      </c>
      <c r="L433" s="1" t="s">
        <v>17</v>
      </c>
      <c r="M433" s="1" t="s">
        <v>18</v>
      </c>
      <c r="N433" s="1" t="s">
        <v>18</v>
      </c>
      <c r="O433" s="1">
        <v>3</v>
      </c>
      <c r="P433" s="1">
        <v>5</v>
      </c>
      <c r="R433" s="1" t="s">
        <v>19</v>
      </c>
      <c r="S433" s="1" t="s">
        <v>20</v>
      </c>
      <c r="T433" s="1" t="s">
        <v>21</v>
      </c>
      <c r="U433" s="1" t="s">
        <v>22</v>
      </c>
      <c r="V433" s="1" t="s">
        <v>24</v>
      </c>
      <c r="W433" s="1" t="s">
        <v>24</v>
      </c>
      <c r="X433" s="1">
        <v>2700</v>
      </c>
      <c r="Y433" s="1" t="s">
        <v>24</v>
      </c>
      <c r="Z433" s="1" t="s">
        <v>24</v>
      </c>
      <c r="AA433" s="1" t="s">
        <v>24</v>
      </c>
      <c r="AB433" s="1" t="s">
        <v>24</v>
      </c>
      <c r="AC433" s="1" t="s">
        <v>24</v>
      </c>
      <c r="AD433" s="1" t="s">
        <v>24</v>
      </c>
      <c r="AE433" s="1" t="s">
        <v>24</v>
      </c>
      <c r="AF433" s="22"/>
    </row>
    <row r="434" spans="1:32" x14ac:dyDescent="0.2">
      <c r="A434" s="1">
        <v>2416</v>
      </c>
      <c r="B434" s="1" t="s">
        <v>1524</v>
      </c>
      <c r="C434" s="5" t="s">
        <v>0</v>
      </c>
      <c r="D434" s="1" t="s">
        <v>1525</v>
      </c>
      <c r="E434" s="1" t="s">
        <v>1526</v>
      </c>
      <c r="F434" s="1" t="s">
        <v>190</v>
      </c>
      <c r="G434" s="1" t="s">
        <v>130</v>
      </c>
      <c r="H434" s="1" t="s">
        <v>30</v>
      </c>
      <c r="I434" s="1" t="s">
        <v>16</v>
      </c>
      <c r="J434" s="1">
        <v>2</v>
      </c>
      <c r="K434" s="1">
        <v>6</v>
      </c>
      <c r="L434" s="1" t="s">
        <v>31</v>
      </c>
      <c r="M434" s="1" t="s">
        <v>18</v>
      </c>
      <c r="N434" s="1" t="s">
        <v>18</v>
      </c>
      <c r="O434" s="1">
        <v>2</v>
      </c>
      <c r="P434" s="1">
        <v>6</v>
      </c>
      <c r="R434" s="1" t="s">
        <v>19</v>
      </c>
      <c r="S434" s="1" t="s">
        <v>20</v>
      </c>
      <c r="T434" s="1" t="s">
        <v>21</v>
      </c>
      <c r="U434" s="1" t="s">
        <v>22</v>
      </c>
      <c r="V434" s="1" t="s">
        <v>24</v>
      </c>
      <c r="W434" s="1" t="s">
        <v>24</v>
      </c>
      <c r="X434" s="1">
        <v>2303</v>
      </c>
      <c r="Y434" s="1">
        <v>2306</v>
      </c>
      <c r="Z434" s="1">
        <v>2310</v>
      </c>
      <c r="AA434" s="1" t="s">
        <v>24</v>
      </c>
      <c r="AB434" s="1" t="s">
        <v>24</v>
      </c>
      <c r="AC434" s="1" t="s">
        <v>24</v>
      </c>
      <c r="AD434" s="1" t="s">
        <v>24</v>
      </c>
      <c r="AE434" s="1" t="s">
        <v>24</v>
      </c>
      <c r="AF434" s="22"/>
    </row>
    <row r="435" spans="1:32" x14ac:dyDescent="0.2">
      <c r="A435" s="1">
        <v>2418</v>
      </c>
      <c r="B435" s="1" t="s">
        <v>1527</v>
      </c>
      <c r="C435" s="5" t="s">
        <v>0</v>
      </c>
      <c r="D435" s="1" t="s">
        <v>1528</v>
      </c>
      <c r="E435" s="1" t="s">
        <v>1529</v>
      </c>
      <c r="F435" s="1" t="s">
        <v>272</v>
      </c>
      <c r="G435" s="1" t="s">
        <v>61</v>
      </c>
      <c r="H435" s="1" t="s">
        <v>30</v>
      </c>
      <c r="I435" s="1" t="s">
        <v>16</v>
      </c>
      <c r="J435" s="1">
        <v>2</v>
      </c>
      <c r="K435" s="1">
        <v>7</v>
      </c>
      <c r="L435" s="1" t="s">
        <v>31</v>
      </c>
      <c r="M435" s="1" t="s">
        <v>18</v>
      </c>
      <c r="N435" s="1" t="s">
        <v>18</v>
      </c>
      <c r="O435" s="1">
        <v>3</v>
      </c>
      <c r="P435" s="1">
        <v>6</v>
      </c>
      <c r="R435" s="1" t="s">
        <v>19</v>
      </c>
      <c r="S435" s="1" t="s">
        <v>63</v>
      </c>
      <c r="T435" s="1" t="s">
        <v>21</v>
      </c>
      <c r="U435" s="1" t="s">
        <v>22</v>
      </c>
      <c r="V435" s="1" t="s">
        <v>24</v>
      </c>
      <c r="W435" s="1" t="s">
        <v>24</v>
      </c>
      <c r="X435" s="1">
        <v>1303</v>
      </c>
      <c r="Y435" s="1">
        <v>1305</v>
      </c>
      <c r="Z435" s="1">
        <v>2402</v>
      </c>
      <c r="AA435" s="1" t="s">
        <v>24</v>
      </c>
      <c r="AB435" s="1" t="s">
        <v>24</v>
      </c>
      <c r="AC435" s="1" t="s">
        <v>24</v>
      </c>
      <c r="AD435" s="1" t="s">
        <v>24</v>
      </c>
      <c r="AE435" s="1" t="s">
        <v>24</v>
      </c>
      <c r="AF435" s="22"/>
    </row>
    <row r="436" spans="1:32" x14ac:dyDescent="0.2">
      <c r="A436" s="1">
        <v>2420</v>
      </c>
      <c r="B436" s="1" t="s">
        <v>1530</v>
      </c>
      <c r="C436" s="5" t="s">
        <v>0</v>
      </c>
      <c r="D436" s="1" t="s">
        <v>1531</v>
      </c>
      <c r="F436" s="1" t="s">
        <v>85</v>
      </c>
      <c r="G436" s="1" t="s">
        <v>61</v>
      </c>
      <c r="H436" s="1" t="s">
        <v>86</v>
      </c>
      <c r="I436" s="1" t="s">
        <v>16</v>
      </c>
      <c r="J436" s="1">
        <v>1</v>
      </c>
      <c r="K436" s="1">
        <v>6</v>
      </c>
      <c r="L436" s="1" t="s">
        <v>31</v>
      </c>
      <c r="M436" s="1" t="s">
        <v>87</v>
      </c>
      <c r="N436" s="1" t="s">
        <v>105</v>
      </c>
      <c r="O436" s="1">
        <v>1</v>
      </c>
      <c r="P436" s="1">
        <v>6</v>
      </c>
      <c r="R436" s="1" t="s">
        <v>19</v>
      </c>
      <c r="S436" s="1" t="s">
        <v>20</v>
      </c>
      <c r="T436" s="1" t="s">
        <v>21</v>
      </c>
      <c r="U436" s="1" t="s">
        <v>22</v>
      </c>
      <c r="V436" s="1" t="s">
        <v>24</v>
      </c>
      <c r="W436" s="1" t="s">
        <v>24</v>
      </c>
      <c r="X436" s="1">
        <v>2738</v>
      </c>
      <c r="Y436" s="1">
        <v>1201</v>
      </c>
      <c r="Z436" s="1" t="s">
        <v>24</v>
      </c>
      <c r="AA436" s="1" t="s">
        <v>24</v>
      </c>
      <c r="AB436" s="1" t="s">
        <v>24</v>
      </c>
      <c r="AC436" s="1" t="s">
        <v>24</v>
      </c>
      <c r="AD436" s="1" t="s">
        <v>24</v>
      </c>
      <c r="AE436" s="1" t="s">
        <v>24</v>
      </c>
      <c r="AF436" s="22"/>
    </row>
    <row r="437" spans="1:32" x14ac:dyDescent="0.2">
      <c r="A437" s="1">
        <v>2422</v>
      </c>
      <c r="B437" s="1" t="s">
        <v>1532</v>
      </c>
      <c r="C437" s="5" t="s">
        <v>0</v>
      </c>
      <c r="D437" s="1" t="s">
        <v>1533</v>
      </c>
      <c r="E437" s="1" t="s">
        <v>1534</v>
      </c>
      <c r="F437" s="1" t="s">
        <v>412</v>
      </c>
      <c r="G437" s="1" t="s">
        <v>372</v>
      </c>
      <c r="H437" s="1" t="s">
        <v>168</v>
      </c>
      <c r="I437" s="1" t="s">
        <v>16</v>
      </c>
      <c r="J437" s="1">
        <v>1</v>
      </c>
      <c r="K437" s="1">
        <v>12</v>
      </c>
      <c r="L437" s="1" t="s">
        <v>31</v>
      </c>
      <c r="M437" s="1" t="s">
        <v>18</v>
      </c>
      <c r="N437" s="1" t="s">
        <v>18</v>
      </c>
      <c r="O437" s="1">
        <v>3</v>
      </c>
      <c r="P437" s="1">
        <v>7</v>
      </c>
      <c r="Q437" s="7" t="s">
        <v>17633</v>
      </c>
      <c r="R437" s="1" t="s">
        <v>62</v>
      </c>
      <c r="S437" s="1" t="s">
        <v>63</v>
      </c>
      <c r="T437" s="1" t="s">
        <v>21</v>
      </c>
      <c r="U437" s="1" t="s">
        <v>22</v>
      </c>
      <c r="V437" s="1" t="s">
        <v>23</v>
      </c>
      <c r="W437" s="1" t="s">
        <v>24</v>
      </c>
      <c r="X437" s="1">
        <v>2715</v>
      </c>
      <c r="Y437" s="1" t="s">
        <v>24</v>
      </c>
      <c r="Z437" s="1" t="s">
        <v>24</v>
      </c>
      <c r="AA437" s="1" t="s">
        <v>24</v>
      </c>
      <c r="AB437" s="1" t="s">
        <v>24</v>
      </c>
      <c r="AC437" s="1" t="s">
        <v>24</v>
      </c>
      <c r="AD437" s="1" t="s">
        <v>24</v>
      </c>
      <c r="AE437" s="1" t="s">
        <v>24</v>
      </c>
      <c r="AF437" s="22"/>
    </row>
    <row r="438" spans="1:32" x14ac:dyDescent="0.2">
      <c r="A438" s="1">
        <v>2427</v>
      </c>
      <c r="B438" s="1" t="s">
        <v>1535</v>
      </c>
      <c r="C438" s="5" t="s">
        <v>0</v>
      </c>
      <c r="D438" s="1" t="s">
        <v>1536</v>
      </c>
      <c r="E438" s="1" t="s">
        <v>1537</v>
      </c>
      <c r="F438" s="1" t="s">
        <v>1538</v>
      </c>
      <c r="G438" s="1" t="s">
        <v>1538</v>
      </c>
      <c r="H438" s="1" t="s">
        <v>30</v>
      </c>
      <c r="I438" s="1" t="s">
        <v>16</v>
      </c>
      <c r="J438" s="1">
        <v>1</v>
      </c>
      <c r="K438" s="1">
        <v>12</v>
      </c>
      <c r="L438" s="1" t="s">
        <v>42</v>
      </c>
      <c r="M438" s="1" t="s">
        <v>18</v>
      </c>
      <c r="N438" s="1" t="s">
        <v>18</v>
      </c>
      <c r="O438" s="1">
        <v>3</v>
      </c>
      <c r="P438" s="1">
        <v>8</v>
      </c>
      <c r="Q438" s="7" t="s">
        <v>17633</v>
      </c>
      <c r="R438" s="1" t="s">
        <v>62</v>
      </c>
      <c r="S438" s="1" t="s">
        <v>20</v>
      </c>
      <c r="T438" s="1" t="s">
        <v>21</v>
      </c>
      <c r="U438" s="1" t="s">
        <v>22</v>
      </c>
      <c r="V438" s="1" t="s">
        <v>24</v>
      </c>
      <c r="W438" s="1" t="s">
        <v>24</v>
      </c>
      <c r="X438" s="1">
        <v>1310</v>
      </c>
      <c r="Y438" s="1" t="s">
        <v>24</v>
      </c>
      <c r="Z438" s="1" t="s">
        <v>24</v>
      </c>
      <c r="AA438" s="1" t="s">
        <v>24</v>
      </c>
      <c r="AB438" s="1" t="s">
        <v>24</v>
      </c>
      <c r="AC438" s="1" t="s">
        <v>24</v>
      </c>
      <c r="AD438" s="1" t="s">
        <v>24</v>
      </c>
      <c r="AE438" s="1" t="s">
        <v>24</v>
      </c>
      <c r="AF438" s="22"/>
    </row>
    <row r="439" spans="1:32" x14ac:dyDescent="0.2">
      <c r="A439" s="1">
        <v>2451</v>
      </c>
      <c r="B439" s="1" t="s">
        <v>1539</v>
      </c>
      <c r="C439" s="5" t="s">
        <v>0</v>
      </c>
      <c r="D439" s="1" t="s">
        <v>1540</v>
      </c>
      <c r="F439" s="1" t="s">
        <v>291</v>
      </c>
      <c r="G439" s="1" t="s">
        <v>292</v>
      </c>
      <c r="H439" s="1" t="s">
        <v>30</v>
      </c>
      <c r="I439" s="1" t="s">
        <v>16</v>
      </c>
      <c r="J439" s="1">
        <v>1</v>
      </c>
      <c r="K439" s="1">
        <v>4</v>
      </c>
      <c r="L439" s="1" t="s">
        <v>31</v>
      </c>
      <c r="M439" s="1" t="s">
        <v>18</v>
      </c>
      <c r="N439" s="1" t="s">
        <v>18</v>
      </c>
      <c r="O439" s="1">
        <v>3</v>
      </c>
      <c r="P439" s="1">
        <v>7</v>
      </c>
      <c r="Q439" s="7" t="s">
        <v>17633</v>
      </c>
      <c r="R439" s="1" t="s">
        <v>19</v>
      </c>
      <c r="S439" s="1" t="s">
        <v>20</v>
      </c>
      <c r="T439" s="1" t="s">
        <v>21</v>
      </c>
      <c r="U439" s="1" t="s">
        <v>22</v>
      </c>
      <c r="V439" s="1" t="s">
        <v>24</v>
      </c>
      <c r="W439" s="1" t="s">
        <v>24</v>
      </c>
      <c r="X439" s="1">
        <v>1310</v>
      </c>
      <c r="Y439" s="1" t="s">
        <v>24</v>
      </c>
      <c r="Z439" s="1" t="s">
        <v>24</v>
      </c>
      <c r="AA439" s="1" t="s">
        <v>24</v>
      </c>
      <c r="AB439" s="1" t="s">
        <v>24</v>
      </c>
      <c r="AC439" s="1" t="s">
        <v>24</v>
      </c>
      <c r="AD439" s="1" t="s">
        <v>24</v>
      </c>
      <c r="AE439" s="1" t="s">
        <v>24</v>
      </c>
      <c r="AF439" s="22" t="s">
        <v>17679</v>
      </c>
    </row>
    <row r="440" spans="1:32" x14ac:dyDescent="0.2">
      <c r="A440" s="1">
        <v>2454</v>
      </c>
      <c r="B440" s="1" t="s">
        <v>1541</v>
      </c>
      <c r="C440" s="5" t="s">
        <v>0</v>
      </c>
      <c r="D440" s="1" t="s">
        <v>1542</v>
      </c>
      <c r="F440" s="1" t="s">
        <v>1543</v>
      </c>
      <c r="G440" s="1" t="s">
        <v>1543</v>
      </c>
      <c r="H440" s="1" t="s">
        <v>30</v>
      </c>
      <c r="I440" s="1" t="s">
        <v>16</v>
      </c>
      <c r="J440" s="1">
        <v>1</v>
      </c>
      <c r="K440" s="1">
        <v>12</v>
      </c>
      <c r="L440" s="1" t="s">
        <v>42</v>
      </c>
      <c r="M440" s="1" t="s">
        <v>18</v>
      </c>
      <c r="N440" s="1" t="s">
        <v>18</v>
      </c>
      <c r="O440" s="1">
        <v>2</v>
      </c>
      <c r="P440" s="1">
        <v>6</v>
      </c>
      <c r="R440" s="1" t="s">
        <v>19</v>
      </c>
      <c r="S440" s="1" t="s">
        <v>20</v>
      </c>
      <c r="T440" s="1" t="s">
        <v>21</v>
      </c>
      <c r="U440" s="1" t="s">
        <v>22</v>
      </c>
      <c r="V440" s="1" t="s">
        <v>24</v>
      </c>
      <c r="W440" s="1" t="s">
        <v>24</v>
      </c>
      <c r="X440" s="1">
        <v>2733</v>
      </c>
      <c r="Y440" s="1" t="s">
        <v>24</v>
      </c>
      <c r="Z440" s="1" t="s">
        <v>24</v>
      </c>
      <c r="AA440" s="1" t="s">
        <v>24</v>
      </c>
      <c r="AB440" s="1" t="s">
        <v>24</v>
      </c>
      <c r="AC440" s="1" t="s">
        <v>24</v>
      </c>
      <c r="AD440" s="1" t="s">
        <v>24</v>
      </c>
      <c r="AE440" s="1" t="s">
        <v>24</v>
      </c>
      <c r="AF440" s="22"/>
    </row>
    <row r="441" spans="1:32" x14ac:dyDescent="0.2">
      <c r="A441" s="1">
        <v>2457</v>
      </c>
      <c r="B441" s="1" t="s">
        <v>1544</v>
      </c>
      <c r="C441" s="5" t="s">
        <v>0</v>
      </c>
      <c r="D441" s="1" t="s">
        <v>1545</v>
      </c>
      <c r="E441" s="1" t="s">
        <v>1546</v>
      </c>
      <c r="F441" s="1" t="s">
        <v>155</v>
      </c>
      <c r="G441" s="1" t="s">
        <v>61</v>
      </c>
      <c r="H441" s="1" t="s">
        <v>37</v>
      </c>
      <c r="I441" s="1" t="s">
        <v>16</v>
      </c>
      <c r="J441" s="1">
        <v>1</v>
      </c>
      <c r="K441" s="1">
        <v>8</v>
      </c>
      <c r="L441" s="1" t="s">
        <v>31</v>
      </c>
      <c r="M441" s="1" t="s">
        <v>18</v>
      </c>
      <c r="N441" s="1" t="s">
        <v>18</v>
      </c>
      <c r="O441" s="1">
        <v>3</v>
      </c>
      <c r="P441" s="1">
        <v>7</v>
      </c>
      <c r="Q441" s="7" t="s">
        <v>17633</v>
      </c>
      <c r="R441" s="1" t="s">
        <v>62</v>
      </c>
      <c r="S441" s="1" t="s">
        <v>63</v>
      </c>
      <c r="T441" s="1" t="s">
        <v>21</v>
      </c>
      <c r="U441" s="1" t="s">
        <v>22</v>
      </c>
      <c r="V441" s="1" t="s">
        <v>24</v>
      </c>
      <c r="W441" s="1" t="s">
        <v>24</v>
      </c>
      <c r="X441" s="1">
        <v>2300</v>
      </c>
      <c r="Y441" s="1" t="s">
        <v>24</v>
      </c>
      <c r="Z441" s="1" t="s">
        <v>24</v>
      </c>
      <c r="AA441" s="1" t="s">
        <v>24</v>
      </c>
      <c r="AB441" s="1" t="s">
        <v>24</v>
      </c>
      <c r="AC441" s="1" t="s">
        <v>24</v>
      </c>
      <c r="AD441" s="1" t="s">
        <v>24</v>
      </c>
      <c r="AE441" s="1" t="s">
        <v>24</v>
      </c>
      <c r="AF441" s="22"/>
    </row>
    <row r="442" spans="1:32" x14ac:dyDescent="0.2">
      <c r="A442" s="1">
        <v>2459</v>
      </c>
      <c r="B442" s="1" t="s">
        <v>1547</v>
      </c>
      <c r="C442" s="5" t="s">
        <v>0</v>
      </c>
      <c r="D442" s="1" t="s">
        <v>1548</v>
      </c>
      <c r="E442" s="1" t="s">
        <v>1549</v>
      </c>
      <c r="F442" s="1" t="s">
        <v>60</v>
      </c>
      <c r="G442" s="1" t="s">
        <v>61</v>
      </c>
      <c r="H442" s="1" t="s">
        <v>30</v>
      </c>
      <c r="I442" s="1" t="s">
        <v>16</v>
      </c>
      <c r="J442" s="1">
        <v>1</v>
      </c>
      <c r="K442" s="1">
        <v>8</v>
      </c>
      <c r="L442" s="1" t="s">
        <v>31</v>
      </c>
      <c r="M442" s="1" t="s">
        <v>18</v>
      </c>
      <c r="N442" s="1" t="s">
        <v>18</v>
      </c>
      <c r="O442" s="1">
        <v>3</v>
      </c>
      <c r="P442" s="1">
        <v>7</v>
      </c>
      <c r="Q442" s="7" t="s">
        <v>17633</v>
      </c>
      <c r="R442" s="1" t="s">
        <v>19</v>
      </c>
      <c r="S442" s="1" t="s">
        <v>63</v>
      </c>
      <c r="T442" s="1" t="s">
        <v>21</v>
      </c>
      <c r="U442" s="1" t="s">
        <v>22</v>
      </c>
      <c r="V442" s="1" t="s">
        <v>24</v>
      </c>
      <c r="W442" s="1" t="s">
        <v>24</v>
      </c>
      <c r="X442" s="1">
        <v>2300</v>
      </c>
      <c r="Y442" s="1">
        <v>1303</v>
      </c>
      <c r="Z442" s="1" t="s">
        <v>24</v>
      </c>
      <c r="AA442" s="1" t="s">
        <v>24</v>
      </c>
      <c r="AB442" s="1" t="s">
        <v>24</v>
      </c>
      <c r="AC442" s="1" t="s">
        <v>24</v>
      </c>
      <c r="AD442" s="1" t="s">
        <v>24</v>
      </c>
      <c r="AE442" s="1" t="s">
        <v>24</v>
      </c>
      <c r="AF442" s="22"/>
    </row>
    <row r="443" spans="1:32" x14ac:dyDescent="0.2">
      <c r="A443" s="1">
        <v>2464</v>
      </c>
      <c r="B443" s="1" t="s">
        <v>1550</v>
      </c>
      <c r="C443" s="5" t="s">
        <v>0</v>
      </c>
      <c r="D443" s="1" t="s">
        <v>1551</v>
      </c>
      <c r="E443" s="1" t="s">
        <v>1552</v>
      </c>
      <c r="F443" s="1" t="s">
        <v>221</v>
      </c>
      <c r="G443" s="1" t="s">
        <v>61</v>
      </c>
      <c r="H443" s="1" t="s">
        <v>222</v>
      </c>
      <c r="I443" s="1" t="s">
        <v>16</v>
      </c>
      <c r="J443" s="1">
        <v>6</v>
      </c>
      <c r="K443" s="1">
        <v>2</v>
      </c>
      <c r="L443" s="1" t="s">
        <v>31</v>
      </c>
      <c r="M443" s="1" t="s">
        <v>18</v>
      </c>
      <c r="N443" s="1" t="s">
        <v>18</v>
      </c>
      <c r="O443" s="1">
        <v>3</v>
      </c>
      <c r="P443" s="1">
        <v>7</v>
      </c>
      <c r="Q443" s="7" t="s">
        <v>17633</v>
      </c>
      <c r="R443" s="1" t="s">
        <v>19</v>
      </c>
      <c r="S443" s="1" t="s">
        <v>20</v>
      </c>
      <c r="T443" s="1" t="s">
        <v>21</v>
      </c>
      <c r="U443" s="1" t="s">
        <v>22</v>
      </c>
      <c r="V443" s="1" t="s">
        <v>24</v>
      </c>
      <c r="W443" s="1" t="s">
        <v>24</v>
      </c>
      <c r="X443" s="1">
        <v>2729</v>
      </c>
      <c r="Y443" s="1">
        <v>2743</v>
      </c>
      <c r="Z443" s="1" t="s">
        <v>24</v>
      </c>
      <c r="AA443" s="1" t="s">
        <v>24</v>
      </c>
      <c r="AB443" s="1" t="s">
        <v>24</v>
      </c>
      <c r="AC443" s="1" t="s">
        <v>24</v>
      </c>
      <c r="AD443" s="1" t="s">
        <v>24</v>
      </c>
      <c r="AE443" s="1" t="s">
        <v>24</v>
      </c>
      <c r="AF443" s="22"/>
    </row>
    <row r="444" spans="1:32" x14ac:dyDescent="0.2">
      <c r="A444" s="1">
        <v>2474</v>
      </c>
      <c r="B444" s="1" t="s">
        <v>1553</v>
      </c>
      <c r="C444" s="5" t="s">
        <v>0</v>
      </c>
      <c r="D444" s="1" t="s">
        <v>1554</v>
      </c>
      <c r="E444" s="1" t="s">
        <v>1555</v>
      </c>
      <c r="F444" s="1" t="s">
        <v>548</v>
      </c>
      <c r="G444" s="1" t="s">
        <v>36</v>
      </c>
      <c r="H444" s="1" t="s">
        <v>30</v>
      </c>
      <c r="I444" s="1" t="s">
        <v>16</v>
      </c>
      <c r="J444" s="1">
        <v>1</v>
      </c>
      <c r="K444" s="1">
        <v>12</v>
      </c>
      <c r="L444" s="1" t="s">
        <v>31</v>
      </c>
      <c r="M444" s="1" t="s">
        <v>18</v>
      </c>
      <c r="N444" s="1" t="s">
        <v>18</v>
      </c>
      <c r="O444" s="1">
        <v>3</v>
      </c>
      <c r="P444" s="1">
        <v>7</v>
      </c>
      <c r="Q444" s="7" t="s">
        <v>17633</v>
      </c>
      <c r="R444" s="1" t="s">
        <v>62</v>
      </c>
      <c r="S444" s="1" t="s">
        <v>20</v>
      </c>
      <c r="T444" s="1" t="s">
        <v>21</v>
      </c>
      <c r="U444" s="1" t="s">
        <v>22</v>
      </c>
      <c r="V444" s="1" t="s">
        <v>24</v>
      </c>
      <c r="W444" s="1" t="s">
        <v>24</v>
      </c>
      <c r="X444" s="1">
        <v>2728</v>
      </c>
      <c r="Y444" s="1">
        <v>2808</v>
      </c>
      <c r="Z444" s="1" t="s">
        <v>24</v>
      </c>
      <c r="AA444" s="1" t="s">
        <v>24</v>
      </c>
      <c r="AB444" s="1" t="s">
        <v>24</v>
      </c>
      <c r="AC444" s="1" t="s">
        <v>24</v>
      </c>
      <c r="AD444" s="1" t="s">
        <v>24</v>
      </c>
      <c r="AE444" s="1" t="s">
        <v>24</v>
      </c>
      <c r="AF444" s="22"/>
    </row>
    <row r="445" spans="1:32" x14ac:dyDescent="0.2">
      <c r="A445" s="1">
        <v>2475</v>
      </c>
      <c r="B445" s="1" t="s">
        <v>1556</v>
      </c>
      <c r="C445" s="5" t="s">
        <v>0</v>
      </c>
      <c r="D445" s="1" t="s">
        <v>1557</v>
      </c>
      <c r="E445" s="1" t="s">
        <v>1558</v>
      </c>
      <c r="F445" s="1" t="s">
        <v>55</v>
      </c>
      <c r="G445" s="1" t="s">
        <v>56</v>
      </c>
      <c r="H445" s="1" t="s">
        <v>37</v>
      </c>
      <c r="I445" s="1" t="s">
        <v>16</v>
      </c>
      <c r="J445" s="1">
        <v>1</v>
      </c>
      <c r="K445" s="1">
        <v>1</v>
      </c>
      <c r="L445" s="1" t="s">
        <v>31</v>
      </c>
      <c r="M445" s="1" t="s">
        <v>18</v>
      </c>
      <c r="N445" s="1" t="s">
        <v>18</v>
      </c>
      <c r="O445" s="1">
        <v>2</v>
      </c>
      <c r="P445" s="1">
        <v>7</v>
      </c>
      <c r="Q445" s="7" t="s">
        <v>17633</v>
      </c>
      <c r="R445" s="1" t="s">
        <v>62</v>
      </c>
      <c r="S445" s="1" t="s">
        <v>20</v>
      </c>
      <c r="T445" s="1" t="s">
        <v>21</v>
      </c>
      <c r="U445" s="1" t="s">
        <v>22</v>
      </c>
      <c r="V445" s="1" t="s">
        <v>23</v>
      </c>
      <c r="W445" s="1" t="s">
        <v>24</v>
      </c>
      <c r="X445" s="1">
        <v>2713</v>
      </c>
      <c r="Y445" s="1" t="s">
        <v>24</v>
      </c>
      <c r="Z445" s="1" t="s">
        <v>24</v>
      </c>
      <c r="AA445" s="1" t="s">
        <v>24</v>
      </c>
      <c r="AB445" s="1" t="s">
        <v>24</v>
      </c>
      <c r="AC445" s="1" t="s">
        <v>24</v>
      </c>
      <c r="AD445" s="1" t="s">
        <v>24</v>
      </c>
      <c r="AE445" s="1" t="s">
        <v>24</v>
      </c>
      <c r="AF445" s="22"/>
    </row>
    <row r="446" spans="1:32" x14ac:dyDescent="0.2">
      <c r="A446" s="1">
        <v>2492</v>
      </c>
      <c r="B446" s="1" t="s">
        <v>1559</v>
      </c>
      <c r="C446" s="5" t="s">
        <v>0</v>
      </c>
      <c r="D446" s="1" t="s">
        <v>1560</v>
      </c>
      <c r="F446" s="1" t="s">
        <v>1538</v>
      </c>
      <c r="G446" s="1" t="s">
        <v>1538</v>
      </c>
      <c r="H446" s="1" t="s">
        <v>30</v>
      </c>
      <c r="I446" s="1" t="s">
        <v>16</v>
      </c>
      <c r="J446" s="1">
        <v>1</v>
      </c>
      <c r="K446" s="1">
        <v>7</v>
      </c>
      <c r="L446" s="1" t="s">
        <v>42</v>
      </c>
      <c r="M446" s="1" t="s">
        <v>18</v>
      </c>
      <c r="N446" s="1" t="s">
        <v>18</v>
      </c>
      <c r="O446" s="1">
        <v>2</v>
      </c>
      <c r="P446" s="1">
        <v>8</v>
      </c>
      <c r="Q446" s="7" t="s">
        <v>17633</v>
      </c>
      <c r="R446" s="1" t="s">
        <v>62</v>
      </c>
      <c r="S446" s="1" t="s">
        <v>20</v>
      </c>
      <c r="T446" s="1" t="s">
        <v>21</v>
      </c>
      <c r="U446" s="1" t="s">
        <v>22</v>
      </c>
      <c r="V446" s="1" t="s">
        <v>24</v>
      </c>
      <c r="W446" s="1" t="s">
        <v>24</v>
      </c>
      <c r="X446" s="1">
        <v>1310</v>
      </c>
      <c r="Y446" s="1">
        <v>2712</v>
      </c>
      <c r="Z446" s="1" t="s">
        <v>24</v>
      </c>
      <c r="AA446" s="1" t="s">
        <v>24</v>
      </c>
      <c r="AB446" s="1" t="s">
        <v>24</v>
      </c>
      <c r="AC446" s="1" t="s">
        <v>24</v>
      </c>
      <c r="AD446" s="1" t="s">
        <v>24</v>
      </c>
      <c r="AE446" s="1" t="s">
        <v>24</v>
      </c>
      <c r="AF446" s="22" t="s">
        <v>17679</v>
      </c>
    </row>
    <row r="447" spans="1:32" x14ac:dyDescent="0.2">
      <c r="A447" s="1">
        <v>2507</v>
      </c>
      <c r="B447" s="1" t="s">
        <v>1561</v>
      </c>
      <c r="C447" s="5" t="s">
        <v>0</v>
      </c>
      <c r="D447" s="1" t="s">
        <v>1562</v>
      </c>
      <c r="E447" s="1" t="s">
        <v>1563</v>
      </c>
      <c r="F447" s="1" t="s">
        <v>776</v>
      </c>
      <c r="G447" s="1" t="s">
        <v>777</v>
      </c>
      <c r="H447" s="1" t="s">
        <v>30</v>
      </c>
      <c r="I447" s="1" t="s">
        <v>16</v>
      </c>
      <c r="J447" s="1">
        <v>1</v>
      </c>
      <c r="K447" s="1">
        <v>24</v>
      </c>
      <c r="L447" s="1" t="s">
        <v>31</v>
      </c>
      <c r="M447" s="1" t="s">
        <v>18</v>
      </c>
      <c r="N447" s="1" t="s">
        <v>18</v>
      </c>
      <c r="O447" s="1">
        <v>3</v>
      </c>
      <c r="P447" s="1">
        <v>6</v>
      </c>
      <c r="R447" s="1" t="s">
        <v>881</v>
      </c>
      <c r="S447" s="1" t="s">
        <v>20</v>
      </c>
      <c r="T447" s="1" t="s">
        <v>21</v>
      </c>
      <c r="U447" s="1" t="s">
        <v>22</v>
      </c>
      <c r="V447" s="1" t="s">
        <v>24</v>
      </c>
      <c r="W447" s="1" t="s">
        <v>24</v>
      </c>
      <c r="X447" s="1">
        <v>1600</v>
      </c>
      <c r="Y447" s="1">
        <v>2304</v>
      </c>
      <c r="Z447" s="1" t="s">
        <v>24</v>
      </c>
      <c r="AA447" s="1" t="s">
        <v>24</v>
      </c>
      <c r="AB447" s="1" t="s">
        <v>24</v>
      </c>
      <c r="AC447" s="1" t="s">
        <v>24</v>
      </c>
      <c r="AD447" s="1" t="s">
        <v>24</v>
      </c>
      <c r="AE447" s="1" t="s">
        <v>24</v>
      </c>
      <c r="AF447" s="22"/>
    </row>
    <row r="448" spans="1:32" x14ac:dyDescent="0.2">
      <c r="A448" s="1">
        <v>2515</v>
      </c>
      <c r="B448" s="1" t="s">
        <v>1564</v>
      </c>
      <c r="C448" s="5" t="s">
        <v>0</v>
      </c>
      <c r="D448" s="1" t="s">
        <v>1565</v>
      </c>
      <c r="E448" s="1" t="s">
        <v>1566</v>
      </c>
      <c r="F448" s="1" t="s">
        <v>1567</v>
      </c>
      <c r="G448" s="1" t="s">
        <v>36</v>
      </c>
      <c r="H448" s="1" t="s">
        <v>30</v>
      </c>
      <c r="I448" s="1" t="s">
        <v>16</v>
      </c>
      <c r="J448" s="1">
        <v>1</v>
      </c>
      <c r="K448" s="1">
        <v>12</v>
      </c>
      <c r="L448" s="1" t="s">
        <v>31</v>
      </c>
      <c r="M448" s="1" t="s">
        <v>18</v>
      </c>
      <c r="N448" s="1" t="s">
        <v>18</v>
      </c>
      <c r="O448" s="1">
        <v>3</v>
      </c>
      <c r="P448" s="1">
        <v>7</v>
      </c>
      <c r="Q448" s="7" t="s">
        <v>17633</v>
      </c>
      <c r="R448" s="1" t="s">
        <v>19</v>
      </c>
      <c r="S448" s="1" t="s">
        <v>20</v>
      </c>
      <c r="T448" s="1" t="s">
        <v>21</v>
      </c>
      <c r="U448" s="1" t="s">
        <v>22</v>
      </c>
      <c r="V448" s="1" t="s">
        <v>24</v>
      </c>
      <c r="W448" s="1" t="s">
        <v>24</v>
      </c>
      <c r="X448" s="1">
        <v>2307</v>
      </c>
      <c r="Y448" s="1">
        <v>2304</v>
      </c>
      <c r="Z448" s="1" t="s">
        <v>24</v>
      </c>
      <c r="AA448" s="1" t="s">
        <v>24</v>
      </c>
      <c r="AB448" s="1" t="s">
        <v>24</v>
      </c>
      <c r="AC448" s="1" t="s">
        <v>24</v>
      </c>
      <c r="AD448" s="1" t="s">
        <v>24</v>
      </c>
      <c r="AE448" s="1" t="s">
        <v>24</v>
      </c>
      <c r="AF448" s="22" t="s">
        <v>17703</v>
      </c>
    </row>
    <row r="449" spans="1:32" x14ac:dyDescent="0.2">
      <c r="A449" s="1">
        <v>2522</v>
      </c>
      <c r="B449" s="1" t="s">
        <v>1568</v>
      </c>
      <c r="C449" s="5" t="s">
        <v>0</v>
      </c>
      <c r="D449" s="1" t="s">
        <v>1569</v>
      </c>
      <c r="E449" s="1" t="s">
        <v>1570</v>
      </c>
      <c r="F449" s="1" t="s">
        <v>109</v>
      </c>
      <c r="G449" s="1" t="s">
        <v>110</v>
      </c>
      <c r="H449" s="1" t="s">
        <v>111</v>
      </c>
      <c r="I449" s="1" t="s">
        <v>16</v>
      </c>
      <c r="J449" s="1">
        <v>2</v>
      </c>
      <c r="K449" s="1">
        <v>4</v>
      </c>
      <c r="L449" s="1" t="s">
        <v>31</v>
      </c>
      <c r="M449" s="1" t="s">
        <v>18</v>
      </c>
      <c r="N449" s="1" t="s">
        <v>18</v>
      </c>
      <c r="O449" s="1">
        <v>3</v>
      </c>
      <c r="P449" s="1">
        <v>7</v>
      </c>
      <c r="Q449" s="7" t="s">
        <v>17633</v>
      </c>
      <c r="R449" s="1" t="s">
        <v>19</v>
      </c>
      <c r="S449" s="1" t="s">
        <v>20</v>
      </c>
      <c r="T449" s="1" t="s">
        <v>21</v>
      </c>
      <c r="U449" s="1" t="s">
        <v>22</v>
      </c>
      <c r="V449" s="1" t="s">
        <v>24</v>
      </c>
      <c r="W449" s="1" t="s">
        <v>24</v>
      </c>
      <c r="X449" s="1">
        <v>2728</v>
      </c>
      <c r="Y449" s="1">
        <v>2808</v>
      </c>
      <c r="Z449" s="1" t="s">
        <v>24</v>
      </c>
      <c r="AA449" s="1" t="s">
        <v>24</v>
      </c>
      <c r="AB449" s="1" t="s">
        <v>24</v>
      </c>
      <c r="AC449" s="1" t="s">
        <v>24</v>
      </c>
      <c r="AD449" s="1" t="s">
        <v>24</v>
      </c>
      <c r="AE449" s="1" t="s">
        <v>24</v>
      </c>
      <c r="AF449" s="22"/>
    </row>
    <row r="450" spans="1:32" x14ac:dyDescent="0.2">
      <c r="A450" s="1">
        <v>2525</v>
      </c>
      <c r="B450" s="1" t="s">
        <v>1571</v>
      </c>
      <c r="C450" s="5" t="s">
        <v>0</v>
      </c>
      <c r="D450" s="1" t="s">
        <v>1572</v>
      </c>
      <c r="E450" s="1" t="s">
        <v>1573</v>
      </c>
      <c r="F450" s="1" t="s">
        <v>109</v>
      </c>
      <c r="G450" s="1" t="s">
        <v>110</v>
      </c>
      <c r="H450" s="1" t="s">
        <v>111</v>
      </c>
      <c r="I450" s="1" t="s">
        <v>16</v>
      </c>
      <c r="J450" s="1">
        <v>1</v>
      </c>
      <c r="K450" s="1">
        <v>6</v>
      </c>
      <c r="L450" s="1" t="s">
        <v>31</v>
      </c>
      <c r="M450" s="1" t="s">
        <v>18</v>
      </c>
      <c r="N450" s="1" t="s">
        <v>18</v>
      </c>
      <c r="O450" s="1">
        <v>3</v>
      </c>
      <c r="P450" s="1">
        <v>7</v>
      </c>
      <c r="Q450" s="7" t="s">
        <v>17633</v>
      </c>
      <c r="R450" s="1" t="s">
        <v>19</v>
      </c>
      <c r="S450" s="1" t="s">
        <v>20</v>
      </c>
      <c r="T450" s="1" t="s">
        <v>21</v>
      </c>
      <c r="U450" s="1" t="s">
        <v>22</v>
      </c>
      <c r="V450" s="1" t="s">
        <v>24</v>
      </c>
      <c r="W450" s="1" t="s">
        <v>24</v>
      </c>
      <c r="X450" s="1">
        <v>2746</v>
      </c>
      <c r="Y450" s="1" t="s">
        <v>24</v>
      </c>
      <c r="Z450" s="1" t="s">
        <v>24</v>
      </c>
      <c r="AA450" s="1" t="s">
        <v>24</v>
      </c>
      <c r="AB450" s="1" t="s">
        <v>24</v>
      </c>
      <c r="AC450" s="1" t="s">
        <v>24</v>
      </c>
      <c r="AD450" s="1" t="s">
        <v>24</v>
      </c>
      <c r="AE450" s="1" t="s">
        <v>24</v>
      </c>
      <c r="AF450" s="22"/>
    </row>
    <row r="451" spans="1:32" x14ac:dyDescent="0.2">
      <c r="A451" s="1">
        <v>2526</v>
      </c>
      <c r="B451" s="1" t="s">
        <v>1574</v>
      </c>
      <c r="C451" s="5" t="s">
        <v>0</v>
      </c>
      <c r="D451" s="1" t="s">
        <v>1575</v>
      </c>
      <c r="E451" s="1" t="s">
        <v>1576</v>
      </c>
      <c r="F451" s="1" t="s">
        <v>91</v>
      </c>
      <c r="G451" s="1" t="s">
        <v>61</v>
      </c>
      <c r="H451" s="1" t="s">
        <v>92</v>
      </c>
      <c r="I451" s="1" t="s">
        <v>16</v>
      </c>
      <c r="J451" s="1">
        <v>2</v>
      </c>
      <c r="K451" s="1">
        <v>6</v>
      </c>
      <c r="L451" s="1" t="s">
        <v>31</v>
      </c>
      <c r="M451" s="1" t="s">
        <v>18</v>
      </c>
      <c r="N451" s="1" t="s">
        <v>18</v>
      </c>
      <c r="O451" s="1">
        <v>3</v>
      </c>
      <c r="P451" s="1">
        <v>7</v>
      </c>
      <c r="Q451" s="7" t="s">
        <v>17633</v>
      </c>
      <c r="R451" s="1" t="s">
        <v>62</v>
      </c>
      <c r="S451" s="1" t="s">
        <v>20</v>
      </c>
      <c r="T451" s="1" t="s">
        <v>21</v>
      </c>
      <c r="U451" s="1" t="s">
        <v>22</v>
      </c>
      <c r="V451" s="1" t="s">
        <v>24</v>
      </c>
      <c r="W451" s="1" t="s">
        <v>24</v>
      </c>
      <c r="X451" s="1">
        <v>2748</v>
      </c>
      <c r="Y451" s="1" t="s">
        <v>24</v>
      </c>
      <c r="Z451" s="1" t="s">
        <v>24</v>
      </c>
      <c r="AA451" s="1" t="s">
        <v>24</v>
      </c>
      <c r="AB451" s="1" t="s">
        <v>24</v>
      </c>
      <c r="AC451" s="1" t="s">
        <v>24</v>
      </c>
      <c r="AD451" s="1" t="s">
        <v>24</v>
      </c>
      <c r="AE451" s="1" t="s">
        <v>24</v>
      </c>
      <c r="AF451" s="22"/>
    </row>
    <row r="452" spans="1:32" x14ac:dyDescent="0.2">
      <c r="A452" s="1">
        <v>2531</v>
      </c>
      <c r="B452" s="1" t="s">
        <v>1577</v>
      </c>
      <c r="C452" s="5" t="s">
        <v>0</v>
      </c>
      <c r="D452" s="1" t="s">
        <v>1578</v>
      </c>
      <c r="E452" s="1" t="s">
        <v>1579</v>
      </c>
      <c r="F452" s="1" t="s">
        <v>1580</v>
      </c>
      <c r="G452" s="1" t="s">
        <v>1581</v>
      </c>
      <c r="H452" s="1" t="s">
        <v>30</v>
      </c>
      <c r="I452" s="1" t="s">
        <v>16</v>
      </c>
      <c r="J452" s="1">
        <v>1</v>
      </c>
      <c r="K452" s="1">
        <v>12</v>
      </c>
      <c r="L452" s="1" t="s">
        <v>42</v>
      </c>
      <c r="M452" s="1" t="s">
        <v>18</v>
      </c>
      <c r="N452" s="1" t="s">
        <v>18</v>
      </c>
      <c r="O452" s="1">
        <v>3</v>
      </c>
      <c r="P452" s="1">
        <v>7</v>
      </c>
      <c r="Q452" s="7" t="s">
        <v>17633</v>
      </c>
      <c r="R452" s="1" t="s">
        <v>62</v>
      </c>
      <c r="S452" s="1" t="s">
        <v>20</v>
      </c>
      <c r="T452" s="1" t="s">
        <v>21</v>
      </c>
      <c r="U452" s="1" t="s">
        <v>22</v>
      </c>
      <c r="V452" s="1" t="s">
        <v>23</v>
      </c>
      <c r="W452" s="1" t="s">
        <v>24</v>
      </c>
      <c r="X452" s="1">
        <v>2307</v>
      </c>
      <c r="Y452" s="1">
        <v>2739</v>
      </c>
      <c r="Z452" s="1" t="s">
        <v>24</v>
      </c>
      <c r="AA452" s="1" t="s">
        <v>24</v>
      </c>
      <c r="AB452" s="1" t="s">
        <v>24</v>
      </c>
      <c r="AC452" s="1" t="s">
        <v>24</v>
      </c>
      <c r="AD452" s="1" t="s">
        <v>24</v>
      </c>
      <c r="AE452" s="1" t="s">
        <v>24</v>
      </c>
      <c r="AF452" s="22"/>
    </row>
    <row r="453" spans="1:32" x14ac:dyDescent="0.2">
      <c r="A453" s="1">
        <v>2535</v>
      </c>
      <c r="B453" s="1" t="s">
        <v>1582</v>
      </c>
      <c r="C453" s="5" t="s">
        <v>0</v>
      </c>
      <c r="D453" s="1" t="s">
        <v>1583</v>
      </c>
      <c r="E453" s="1" t="s">
        <v>1584</v>
      </c>
      <c r="F453" s="1" t="s">
        <v>85</v>
      </c>
      <c r="G453" s="1" t="s">
        <v>61</v>
      </c>
      <c r="H453" s="1" t="s">
        <v>86</v>
      </c>
      <c r="I453" s="1" t="s">
        <v>16</v>
      </c>
      <c r="J453" s="1">
        <v>1</v>
      </c>
      <c r="K453" s="1">
        <v>4</v>
      </c>
      <c r="L453" s="1" t="s">
        <v>31</v>
      </c>
      <c r="M453" s="1" t="s">
        <v>87</v>
      </c>
      <c r="N453" s="1" t="s">
        <v>199</v>
      </c>
      <c r="O453" s="1">
        <v>3</v>
      </c>
      <c r="P453" s="1">
        <v>5</v>
      </c>
      <c r="R453" s="1" t="s">
        <v>19</v>
      </c>
      <c r="S453" s="1" t="s">
        <v>20</v>
      </c>
      <c r="T453" s="1" t="s">
        <v>21</v>
      </c>
      <c r="U453" s="1" t="s">
        <v>22</v>
      </c>
      <c r="V453" s="1" t="s">
        <v>24</v>
      </c>
      <c r="W453" s="1" t="s">
        <v>24</v>
      </c>
      <c r="X453" s="1">
        <v>2738</v>
      </c>
      <c r="Y453" s="1" t="s">
        <v>24</v>
      </c>
      <c r="Z453" s="1" t="s">
        <v>24</v>
      </c>
      <c r="AA453" s="1" t="s">
        <v>24</v>
      </c>
      <c r="AB453" s="1" t="s">
        <v>24</v>
      </c>
      <c r="AC453" s="1" t="s">
        <v>24</v>
      </c>
      <c r="AD453" s="1" t="s">
        <v>24</v>
      </c>
      <c r="AE453" s="1" t="s">
        <v>24</v>
      </c>
      <c r="AF453" s="22"/>
    </row>
    <row r="454" spans="1:32" x14ac:dyDescent="0.2">
      <c r="A454" s="1">
        <v>2543</v>
      </c>
      <c r="B454" s="1" t="s">
        <v>1585</v>
      </c>
      <c r="C454" s="5" t="s">
        <v>0</v>
      </c>
      <c r="D454" s="1" t="s">
        <v>1586</v>
      </c>
      <c r="E454" s="1" t="s">
        <v>1587</v>
      </c>
      <c r="F454" s="1" t="s">
        <v>167</v>
      </c>
      <c r="G454" s="1" t="s">
        <v>130</v>
      </c>
      <c r="H454" s="1" t="s">
        <v>168</v>
      </c>
      <c r="I454" s="1" t="s">
        <v>16</v>
      </c>
      <c r="J454" s="1">
        <v>8</v>
      </c>
      <c r="K454" s="1">
        <v>4</v>
      </c>
      <c r="L454" s="1" t="s">
        <v>31</v>
      </c>
      <c r="M454" s="1" t="s">
        <v>18</v>
      </c>
      <c r="N454" s="1" t="s">
        <v>18</v>
      </c>
      <c r="O454" s="1">
        <v>3</v>
      </c>
      <c r="P454" s="1">
        <v>7</v>
      </c>
      <c r="Q454" s="7" t="s">
        <v>17633</v>
      </c>
      <c r="R454" s="1" t="s">
        <v>19</v>
      </c>
      <c r="S454" s="1" t="s">
        <v>20</v>
      </c>
      <c r="T454" s="1" t="s">
        <v>21</v>
      </c>
      <c r="U454" s="1" t="s">
        <v>22</v>
      </c>
      <c r="V454" s="1" t="s">
        <v>24</v>
      </c>
      <c r="W454" s="1" t="s">
        <v>24</v>
      </c>
      <c r="X454" s="1">
        <v>2800</v>
      </c>
      <c r="Y454" s="1" t="s">
        <v>24</v>
      </c>
      <c r="Z454" s="1" t="s">
        <v>24</v>
      </c>
      <c r="AA454" s="1" t="s">
        <v>24</v>
      </c>
      <c r="AB454" s="1" t="s">
        <v>24</v>
      </c>
      <c r="AC454" s="1" t="s">
        <v>24</v>
      </c>
      <c r="AD454" s="1" t="s">
        <v>24</v>
      </c>
      <c r="AE454" s="1" t="s">
        <v>24</v>
      </c>
      <c r="AF454" s="22"/>
    </row>
    <row r="455" spans="1:32" x14ac:dyDescent="0.2">
      <c r="A455" s="1">
        <v>2546</v>
      </c>
      <c r="B455" s="1" t="s">
        <v>1588</v>
      </c>
      <c r="C455" s="5" t="s">
        <v>0</v>
      </c>
      <c r="D455" s="1" t="s">
        <v>1589</v>
      </c>
      <c r="E455" s="1" t="s">
        <v>1590</v>
      </c>
      <c r="F455" s="1" t="s">
        <v>601</v>
      </c>
      <c r="G455" s="1" t="s">
        <v>61</v>
      </c>
      <c r="H455" s="1" t="s">
        <v>37</v>
      </c>
      <c r="I455" s="1" t="s">
        <v>16</v>
      </c>
      <c r="J455" s="1">
        <v>2</v>
      </c>
      <c r="K455" s="1">
        <v>6</v>
      </c>
      <c r="L455" s="1" t="s">
        <v>31</v>
      </c>
      <c r="M455" s="1" t="s">
        <v>18</v>
      </c>
      <c r="N455" s="1" t="s">
        <v>18</v>
      </c>
      <c r="O455" s="1">
        <v>3</v>
      </c>
      <c r="P455" s="1">
        <v>8</v>
      </c>
      <c r="Q455" s="7" t="s">
        <v>17633</v>
      </c>
      <c r="R455" s="1" t="s">
        <v>19</v>
      </c>
      <c r="S455" s="1" t="s">
        <v>63</v>
      </c>
      <c r="T455" s="1" t="s">
        <v>21</v>
      </c>
      <c r="U455" s="1" t="s">
        <v>22</v>
      </c>
      <c r="V455" s="1" t="s">
        <v>24</v>
      </c>
      <c r="W455" s="1" t="s">
        <v>24</v>
      </c>
      <c r="X455" s="1">
        <v>2731</v>
      </c>
      <c r="Y455" s="1">
        <v>2809</v>
      </c>
      <c r="Z455" s="1">
        <v>2804</v>
      </c>
      <c r="AA455" s="1" t="s">
        <v>24</v>
      </c>
      <c r="AB455" s="1" t="s">
        <v>24</v>
      </c>
      <c r="AC455" s="1" t="s">
        <v>24</v>
      </c>
      <c r="AD455" s="1" t="s">
        <v>24</v>
      </c>
      <c r="AE455" s="1" t="s">
        <v>24</v>
      </c>
      <c r="AF455" s="22"/>
    </row>
    <row r="456" spans="1:32" x14ac:dyDescent="0.2">
      <c r="A456" s="1">
        <v>2548</v>
      </c>
      <c r="B456" s="1" t="s">
        <v>1591</v>
      </c>
      <c r="C456" s="5" t="s">
        <v>0</v>
      </c>
      <c r="D456" s="1" t="s">
        <v>1592</v>
      </c>
      <c r="E456" s="1" t="s">
        <v>1593</v>
      </c>
      <c r="F456" s="1" t="s">
        <v>272</v>
      </c>
      <c r="G456" s="1" t="s">
        <v>61</v>
      </c>
      <c r="H456" s="1" t="s">
        <v>30</v>
      </c>
      <c r="I456" s="1" t="s">
        <v>16</v>
      </c>
      <c r="J456" s="1">
        <v>1</v>
      </c>
      <c r="K456" s="1">
        <v>12</v>
      </c>
      <c r="L456" s="1" t="s">
        <v>31</v>
      </c>
      <c r="M456" s="1" t="s">
        <v>18</v>
      </c>
      <c r="N456" s="1" t="s">
        <v>18</v>
      </c>
      <c r="O456" s="1">
        <v>3</v>
      </c>
      <c r="P456" s="1">
        <v>7</v>
      </c>
      <c r="Q456" s="7" t="s">
        <v>17633</v>
      </c>
      <c r="R456" s="1" t="s">
        <v>62</v>
      </c>
      <c r="S456" s="1" t="s">
        <v>63</v>
      </c>
      <c r="T456" s="1" t="s">
        <v>21</v>
      </c>
      <c r="U456" s="1" t="s">
        <v>22</v>
      </c>
      <c r="V456" s="1" t="s">
        <v>24</v>
      </c>
      <c r="W456" s="1" t="s">
        <v>24</v>
      </c>
      <c r="X456" s="1">
        <v>1302</v>
      </c>
      <c r="Y456" s="1">
        <v>1303</v>
      </c>
      <c r="Z456" s="1">
        <v>1307</v>
      </c>
      <c r="AA456" s="1">
        <v>1310</v>
      </c>
      <c r="AB456" s="1">
        <v>1311</v>
      </c>
      <c r="AC456" s="1">
        <v>1312</v>
      </c>
      <c r="AD456" s="1" t="s">
        <v>24</v>
      </c>
      <c r="AE456" s="1" t="s">
        <v>24</v>
      </c>
      <c r="AF456" s="22"/>
    </row>
    <row r="457" spans="1:32" x14ac:dyDescent="0.2">
      <c r="A457" s="1">
        <v>2549</v>
      </c>
      <c r="B457" s="1" t="s">
        <v>1594</v>
      </c>
      <c r="C457" s="5" t="s">
        <v>0</v>
      </c>
      <c r="D457" s="1" t="s">
        <v>1595</v>
      </c>
      <c r="E457" s="1" t="s">
        <v>1596</v>
      </c>
      <c r="F457" s="1" t="s">
        <v>272</v>
      </c>
      <c r="G457" s="1" t="s">
        <v>61</v>
      </c>
      <c r="H457" s="1" t="s">
        <v>30</v>
      </c>
      <c r="I457" s="1" t="s">
        <v>16</v>
      </c>
      <c r="J457" s="1">
        <v>1</v>
      </c>
      <c r="K457" s="1">
        <v>12</v>
      </c>
      <c r="L457" s="1" t="s">
        <v>31</v>
      </c>
      <c r="M457" s="1" t="s">
        <v>18</v>
      </c>
      <c r="N457" s="1" t="s">
        <v>18</v>
      </c>
      <c r="O457" s="1">
        <v>3</v>
      </c>
      <c r="P457" s="1">
        <v>7</v>
      </c>
      <c r="Q457" s="7" t="s">
        <v>17633</v>
      </c>
      <c r="R457" s="1" t="s">
        <v>62</v>
      </c>
      <c r="S457" s="1" t="s">
        <v>20</v>
      </c>
      <c r="T457" s="1" t="s">
        <v>21</v>
      </c>
      <c r="U457" s="1" t="s">
        <v>22</v>
      </c>
      <c r="V457" s="1" t="s">
        <v>24</v>
      </c>
      <c r="W457" s="1" t="s">
        <v>24</v>
      </c>
      <c r="X457" s="1">
        <v>1306</v>
      </c>
      <c r="Y457" s="1">
        <v>1307</v>
      </c>
      <c r="Z457" s="1">
        <v>1311</v>
      </c>
      <c r="AA457" s="1">
        <v>1312</v>
      </c>
      <c r="AB457" s="1">
        <v>2720</v>
      </c>
      <c r="AC457" s="1" t="s">
        <v>24</v>
      </c>
      <c r="AD457" s="1" t="s">
        <v>24</v>
      </c>
      <c r="AE457" s="1" t="s">
        <v>24</v>
      </c>
      <c r="AF457" s="22"/>
    </row>
    <row r="458" spans="1:32" x14ac:dyDescent="0.2">
      <c r="A458" s="1">
        <v>2550</v>
      </c>
      <c r="B458" s="1" t="s">
        <v>1597</v>
      </c>
      <c r="C458" s="5" t="s">
        <v>0</v>
      </c>
      <c r="D458" s="1" t="s">
        <v>1598</v>
      </c>
      <c r="E458" s="1" t="s">
        <v>1599</v>
      </c>
      <c r="F458" s="1" t="s">
        <v>291</v>
      </c>
      <c r="G458" s="1" t="s">
        <v>292</v>
      </c>
      <c r="H458" s="1" t="s">
        <v>30</v>
      </c>
      <c r="I458" s="1" t="s">
        <v>16</v>
      </c>
      <c r="J458" s="1">
        <v>1</v>
      </c>
      <c r="K458" s="1">
        <v>10</v>
      </c>
      <c r="L458" s="1" t="s">
        <v>31</v>
      </c>
      <c r="M458" s="1" t="s">
        <v>18</v>
      </c>
      <c r="N458" s="1" t="s">
        <v>18</v>
      </c>
      <c r="O458" s="1">
        <v>3</v>
      </c>
      <c r="P458" s="1">
        <v>7</v>
      </c>
      <c r="Q458" s="7" t="s">
        <v>17633</v>
      </c>
      <c r="R458" s="1" t="s">
        <v>19</v>
      </c>
      <c r="S458" s="1" t="s">
        <v>20</v>
      </c>
      <c r="T458" s="1" t="s">
        <v>21</v>
      </c>
      <c r="U458" s="1" t="s">
        <v>22</v>
      </c>
      <c r="V458" s="1" t="s">
        <v>24</v>
      </c>
      <c r="W458" s="1" t="s">
        <v>24</v>
      </c>
      <c r="X458" s="1">
        <v>2740</v>
      </c>
      <c r="Y458" s="1">
        <v>1312</v>
      </c>
      <c r="Z458" s="1">
        <v>1308</v>
      </c>
      <c r="AA458" s="1" t="s">
        <v>24</v>
      </c>
      <c r="AB458" s="1" t="s">
        <v>24</v>
      </c>
      <c r="AC458" s="1" t="s">
        <v>24</v>
      </c>
      <c r="AD458" s="1" t="s">
        <v>24</v>
      </c>
      <c r="AE458" s="1" t="s">
        <v>24</v>
      </c>
      <c r="AF458" s="22"/>
    </row>
    <row r="459" spans="1:32" x14ac:dyDescent="0.2">
      <c r="A459" s="1">
        <v>2552</v>
      </c>
      <c r="B459" s="1" t="s">
        <v>1600</v>
      </c>
      <c r="C459" s="5" t="s">
        <v>0</v>
      </c>
      <c r="D459" s="1" t="s">
        <v>1601</v>
      </c>
      <c r="E459" s="1" t="s">
        <v>1602</v>
      </c>
      <c r="F459" s="1" t="s">
        <v>60</v>
      </c>
      <c r="G459" s="1" t="s">
        <v>61</v>
      </c>
      <c r="H459" s="1" t="s">
        <v>30</v>
      </c>
      <c r="I459" s="1" t="s">
        <v>16</v>
      </c>
      <c r="J459" s="1">
        <v>2</v>
      </c>
      <c r="K459" s="1">
        <v>3</v>
      </c>
      <c r="L459" s="1" t="s">
        <v>31</v>
      </c>
      <c r="M459" s="1" t="s">
        <v>18</v>
      </c>
      <c r="N459" s="1" t="s">
        <v>18</v>
      </c>
      <c r="O459" s="1">
        <v>3</v>
      </c>
      <c r="P459" s="1">
        <v>6</v>
      </c>
      <c r="R459" s="1" t="s">
        <v>19</v>
      </c>
      <c r="S459" s="1" t="s">
        <v>63</v>
      </c>
      <c r="T459" s="1" t="s">
        <v>21</v>
      </c>
      <c r="U459" s="1" t="s">
        <v>22</v>
      </c>
      <c r="V459" s="1" t="s">
        <v>24</v>
      </c>
      <c r="W459" s="1" t="s">
        <v>24</v>
      </c>
      <c r="X459" s="1">
        <v>1308</v>
      </c>
      <c r="Y459" s="1">
        <v>1312</v>
      </c>
      <c r="Z459" s="1">
        <v>2734</v>
      </c>
      <c r="AA459" s="1" t="s">
        <v>24</v>
      </c>
      <c r="AB459" s="1" t="s">
        <v>24</v>
      </c>
      <c r="AC459" s="1" t="s">
        <v>24</v>
      </c>
      <c r="AD459" s="1" t="s">
        <v>24</v>
      </c>
      <c r="AE459" s="1" t="s">
        <v>24</v>
      </c>
      <c r="AF459" s="22"/>
    </row>
    <row r="460" spans="1:32" x14ac:dyDescent="0.2">
      <c r="A460" s="1">
        <v>2554</v>
      </c>
      <c r="B460" s="1" t="s">
        <v>1603</v>
      </c>
      <c r="C460" s="5" t="s">
        <v>0</v>
      </c>
      <c r="D460" s="1" t="s">
        <v>1604</v>
      </c>
      <c r="E460" s="1" t="s">
        <v>1605</v>
      </c>
      <c r="F460" s="1" t="s">
        <v>60</v>
      </c>
      <c r="G460" s="1" t="s">
        <v>61</v>
      </c>
      <c r="H460" s="1" t="s">
        <v>30</v>
      </c>
      <c r="I460" s="1" t="s">
        <v>16</v>
      </c>
      <c r="J460" s="1">
        <v>6</v>
      </c>
      <c r="K460" s="1">
        <v>2</v>
      </c>
      <c r="L460" s="1" t="s">
        <v>31</v>
      </c>
      <c r="M460" s="1" t="s">
        <v>18</v>
      </c>
      <c r="N460" s="1" t="s">
        <v>18</v>
      </c>
      <c r="O460" s="1">
        <v>3</v>
      </c>
      <c r="P460" s="1">
        <v>7</v>
      </c>
      <c r="Q460" s="7" t="s">
        <v>17633</v>
      </c>
      <c r="R460" s="1" t="s">
        <v>62</v>
      </c>
      <c r="S460" s="1" t="s">
        <v>63</v>
      </c>
      <c r="T460" s="1" t="s">
        <v>21</v>
      </c>
      <c r="U460" s="1" t="s">
        <v>22</v>
      </c>
      <c r="V460" s="1" t="s">
        <v>24</v>
      </c>
      <c r="W460" s="1" t="s">
        <v>24</v>
      </c>
      <c r="X460" s="1">
        <v>2808</v>
      </c>
      <c r="Y460" s="1">
        <v>2806</v>
      </c>
      <c r="Z460" s="1" t="s">
        <v>24</v>
      </c>
      <c r="AA460" s="1" t="s">
        <v>24</v>
      </c>
      <c r="AB460" s="1" t="s">
        <v>24</v>
      </c>
      <c r="AC460" s="1" t="s">
        <v>24</v>
      </c>
      <c r="AD460" s="1" t="s">
        <v>24</v>
      </c>
      <c r="AE460" s="1" t="s">
        <v>24</v>
      </c>
      <c r="AF460" s="22"/>
    </row>
    <row r="461" spans="1:32" x14ac:dyDescent="0.2">
      <c r="A461" s="1">
        <v>2556</v>
      </c>
      <c r="B461" s="1" t="s">
        <v>1606</v>
      </c>
      <c r="C461" s="5" t="s">
        <v>0</v>
      </c>
      <c r="D461" s="1" t="s">
        <v>1607</v>
      </c>
      <c r="E461" s="1" t="s">
        <v>1608</v>
      </c>
      <c r="F461" s="1" t="s">
        <v>60</v>
      </c>
      <c r="G461" s="1" t="s">
        <v>61</v>
      </c>
      <c r="H461" s="1" t="s">
        <v>30</v>
      </c>
      <c r="I461" s="1" t="s">
        <v>16</v>
      </c>
      <c r="J461" s="1">
        <v>3</v>
      </c>
      <c r="K461" s="1">
        <v>4</v>
      </c>
      <c r="L461" s="1" t="s">
        <v>31</v>
      </c>
      <c r="M461" s="1" t="s">
        <v>18</v>
      </c>
      <c r="N461" s="1" t="s">
        <v>18</v>
      </c>
      <c r="O461" s="1">
        <v>3</v>
      </c>
      <c r="P461" s="1">
        <v>7</v>
      </c>
      <c r="Q461" s="7" t="s">
        <v>17633</v>
      </c>
      <c r="R461" s="1" t="s">
        <v>19</v>
      </c>
      <c r="S461" s="1" t="s">
        <v>63</v>
      </c>
      <c r="T461" s="1" t="s">
        <v>21</v>
      </c>
      <c r="U461" s="1" t="s">
        <v>22</v>
      </c>
      <c r="V461" s="1" t="s">
        <v>24</v>
      </c>
      <c r="W461" s="1" t="s">
        <v>24</v>
      </c>
      <c r="X461" s="1">
        <v>2405</v>
      </c>
      <c r="Y461" s="1">
        <v>2403</v>
      </c>
      <c r="Z461" s="1" t="s">
        <v>24</v>
      </c>
      <c r="AA461" s="1" t="s">
        <v>24</v>
      </c>
      <c r="AB461" s="1" t="s">
        <v>24</v>
      </c>
      <c r="AC461" s="1" t="s">
        <v>24</v>
      </c>
      <c r="AD461" s="1" t="s">
        <v>24</v>
      </c>
      <c r="AE461" s="1" t="s">
        <v>24</v>
      </c>
      <c r="AF461" s="22"/>
    </row>
    <row r="462" spans="1:32" x14ac:dyDescent="0.2">
      <c r="A462" s="1">
        <v>2571</v>
      </c>
      <c r="B462" s="1" t="s">
        <v>1609</v>
      </c>
      <c r="C462" s="5" t="s">
        <v>0</v>
      </c>
      <c r="D462" s="1" t="s">
        <v>1610</v>
      </c>
      <c r="F462" s="1" t="s">
        <v>1611</v>
      </c>
      <c r="G462" s="1" t="s">
        <v>1611</v>
      </c>
      <c r="H462" s="1" t="s">
        <v>693</v>
      </c>
      <c r="I462" s="1" t="s">
        <v>16</v>
      </c>
      <c r="J462" s="1">
        <v>1</v>
      </c>
      <c r="K462" s="1">
        <v>12</v>
      </c>
      <c r="L462" s="1" t="s">
        <v>17</v>
      </c>
      <c r="M462" s="1" t="s">
        <v>1612</v>
      </c>
      <c r="N462" s="1" t="s">
        <v>18</v>
      </c>
      <c r="O462" s="1">
        <v>1</v>
      </c>
      <c r="P462" s="1">
        <v>5</v>
      </c>
      <c r="R462" s="1" t="s">
        <v>19</v>
      </c>
      <c r="S462" s="1" t="s">
        <v>20</v>
      </c>
      <c r="T462" s="1" t="s">
        <v>21</v>
      </c>
      <c r="U462" s="1" t="s">
        <v>22</v>
      </c>
      <c r="V462" s="1" t="s">
        <v>24</v>
      </c>
      <c r="W462" s="1" t="s">
        <v>24</v>
      </c>
      <c r="X462" s="1">
        <v>3003</v>
      </c>
      <c r="Y462" s="1" t="s">
        <v>24</v>
      </c>
      <c r="Z462" s="1" t="s">
        <v>24</v>
      </c>
      <c r="AA462" s="1" t="s">
        <v>24</v>
      </c>
      <c r="AB462" s="1" t="s">
        <v>24</v>
      </c>
      <c r="AC462" s="1" t="s">
        <v>24</v>
      </c>
      <c r="AD462" s="1" t="s">
        <v>24</v>
      </c>
      <c r="AE462" s="1" t="s">
        <v>24</v>
      </c>
      <c r="AF462" s="22"/>
    </row>
    <row r="463" spans="1:32" x14ac:dyDescent="0.2">
      <c r="A463" s="1">
        <v>2575</v>
      </c>
      <c r="B463" s="1" t="s">
        <v>1613</v>
      </c>
      <c r="C463" s="5" t="s">
        <v>0</v>
      </c>
      <c r="D463" s="1" t="s">
        <v>1614</v>
      </c>
      <c r="E463" s="1" t="s">
        <v>1615</v>
      </c>
      <c r="F463" s="1" t="s">
        <v>55</v>
      </c>
      <c r="G463" s="1" t="s">
        <v>56</v>
      </c>
      <c r="H463" s="1" t="s">
        <v>37</v>
      </c>
      <c r="I463" s="1" t="s">
        <v>16</v>
      </c>
      <c r="J463" s="1">
        <v>1</v>
      </c>
      <c r="K463" s="1">
        <v>6</v>
      </c>
      <c r="L463" s="1" t="s">
        <v>31</v>
      </c>
      <c r="M463" s="1" t="s">
        <v>18</v>
      </c>
      <c r="N463" s="1" t="s">
        <v>18</v>
      </c>
      <c r="O463" s="1">
        <v>2</v>
      </c>
      <c r="P463" s="1">
        <v>6</v>
      </c>
      <c r="R463" s="1" t="s">
        <v>19</v>
      </c>
      <c r="S463" s="1" t="s">
        <v>20</v>
      </c>
      <c r="T463" s="1" t="s">
        <v>21</v>
      </c>
      <c r="U463" s="1" t="s">
        <v>22</v>
      </c>
      <c r="V463" s="1" t="s">
        <v>23</v>
      </c>
      <c r="W463" s="1" t="s">
        <v>24</v>
      </c>
      <c r="X463" s="1">
        <v>2714</v>
      </c>
      <c r="Y463" s="1" t="s">
        <v>24</v>
      </c>
      <c r="Z463" s="1" t="s">
        <v>24</v>
      </c>
      <c r="AA463" s="1" t="s">
        <v>24</v>
      </c>
      <c r="AB463" s="1" t="s">
        <v>24</v>
      </c>
      <c r="AC463" s="1" t="s">
        <v>24</v>
      </c>
      <c r="AD463" s="1" t="s">
        <v>24</v>
      </c>
      <c r="AE463" s="1" t="s">
        <v>24</v>
      </c>
      <c r="AF463" s="22"/>
    </row>
    <row r="464" spans="1:32" x14ac:dyDescent="0.2">
      <c r="A464" s="1">
        <v>2579</v>
      </c>
      <c r="B464" s="1" t="s">
        <v>1616</v>
      </c>
      <c r="C464" s="5" t="s">
        <v>0</v>
      </c>
      <c r="D464" s="1" t="s">
        <v>1617</v>
      </c>
      <c r="F464" s="1" t="s">
        <v>268</v>
      </c>
      <c r="G464" s="1" t="s">
        <v>130</v>
      </c>
      <c r="H464" s="1" t="s">
        <v>111</v>
      </c>
      <c r="I464" s="1" t="s">
        <v>112</v>
      </c>
      <c r="J464" s="1">
        <v>1</v>
      </c>
      <c r="K464" s="1">
        <v>1</v>
      </c>
      <c r="L464" s="1" t="s">
        <v>31</v>
      </c>
      <c r="M464" s="1" t="s">
        <v>18</v>
      </c>
      <c r="N464" s="1" t="s">
        <v>18</v>
      </c>
      <c r="O464" s="1">
        <v>1</v>
      </c>
      <c r="P464" s="1">
        <v>7</v>
      </c>
      <c r="Q464" s="7" t="s">
        <v>17633</v>
      </c>
      <c r="R464" s="1" t="s">
        <v>19</v>
      </c>
      <c r="S464" s="1" t="s">
        <v>20</v>
      </c>
      <c r="T464" s="1" t="s">
        <v>21</v>
      </c>
      <c r="U464" s="1" t="s">
        <v>22</v>
      </c>
      <c r="V464" s="1" t="s">
        <v>24</v>
      </c>
      <c r="W464" s="1" t="s">
        <v>24</v>
      </c>
      <c r="X464" s="1">
        <v>3000</v>
      </c>
      <c r="Y464" s="1">
        <v>1313</v>
      </c>
      <c r="Z464" s="1" t="s">
        <v>24</v>
      </c>
      <c r="AA464" s="1" t="s">
        <v>24</v>
      </c>
      <c r="AB464" s="1" t="s">
        <v>24</v>
      </c>
      <c r="AC464" s="1" t="s">
        <v>24</v>
      </c>
      <c r="AD464" s="1" t="s">
        <v>24</v>
      </c>
      <c r="AE464" s="1" t="s">
        <v>24</v>
      </c>
      <c r="AF464" s="22"/>
    </row>
    <row r="465" spans="1:32" x14ac:dyDescent="0.2">
      <c r="A465" s="1">
        <v>2593</v>
      </c>
      <c r="B465" s="1" t="s">
        <v>1618</v>
      </c>
      <c r="C465" s="5" t="s">
        <v>0</v>
      </c>
      <c r="D465" s="1" t="s">
        <v>1619</v>
      </c>
      <c r="E465" s="1" t="s">
        <v>1620</v>
      </c>
      <c r="F465" s="1" t="s">
        <v>155</v>
      </c>
      <c r="G465" s="1" t="s">
        <v>61</v>
      </c>
      <c r="H465" s="1" t="s">
        <v>37</v>
      </c>
      <c r="I465" s="1" t="s">
        <v>16</v>
      </c>
      <c r="J465" s="1">
        <v>1</v>
      </c>
      <c r="K465" s="1">
        <v>12</v>
      </c>
      <c r="L465" s="1" t="s">
        <v>31</v>
      </c>
      <c r="M465" s="1" t="s">
        <v>18</v>
      </c>
      <c r="N465" s="1" t="s">
        <v>18</v>
      </c>
      <c r="O465" s="1">
        <v>3</v>
      </c>
      <c r="P465" s="1">
        <v>6</v>
      </c>
      <c r="R465" s="1" t="s">
        <v>19</v>
      </c>
      <c r="S465" s="1" t="s">
        <v>63</v>
      </c>
      <c r="T465" s="1" t="s">
        <v>21</v>
      </c>
      <c r="U465" s="1" t="s">
        <v>22</v>
      </c>
      <c r="V465" s="1" t="s">
        <v>24</v>
      </c>
      <c r="W465" s="1" t="s">
        <v>24</v>
      </c>
      <c r="X465" s="1">
        <v>1106</v>
      </c>
      <c r="Y465" s="1">
        <v>3005</v>
      </c>
      <c r="Z465" s="1" t="s">
        <v>24</v>
      </c>
      <c r="AA465" s="1" t="s">
        <v>24</v>
      </c>
      <c r="AB465" s="1" t="s">
        <v>24</v>
      </c>
      <c r="AC465" s="1" t="s">
        <v>24</v>
      </c>
      <c r="AD465" s="1" t="s">
        <v>24</v>
      </c>
      <c r="AE465" s="1" t="s">
        <v>24</v>
      </c>
      <c r="AF465" s="22"/>
    </row>
    <row r="466" spans="1:32" x14ac:dyDescent="0.2">
      <c r="A466" s="1">
        <v>2600</v>
      </c>
      <c r="B466" s="1" t="s">
        <v>1621</v>
      </c>
      <c r="C466" s="5" t="s">
        <v>0</v>
      </c>
      <c r="D466" s="1" t="s">
        <v>1622</v>
      </c>
      <c r="E466" s="1" t="s">
        <v>1623</v>
      </c>
      <c r="F466" s="1" t="s">
        <v>91</v>
      </c>
      <c r="G466" s="1" t="s">
        <v>61</v>
      </c>
      <c r="H466" s="1" t="s">
        <v>92</v>
      </c>
      <c r="I466" s="1" t="s">
        <v>16</v>
      </c>
      <c r="J466" s="1">
        <v>1</v>
      </c>
      <c r="K466" s="1">
        <v>30</v>
      </c>
      <c r="L466" s="1" t="s">
        <v>31</v>
      </c>
      <c r="M466" s="1" t="s">
        <v>18</v>
      </c>
      <c r="N466" s="1" t="s">
        <v>18</v>
      </c>
      <c r="O466" s="1">
        <v>3</v>
      </c>
      <c r="P466" s="1">
        <v>8</v>
      </c>
      <c r="Q466" s="7" t="s">
        <v>17633</v>
      </c>
      <c r="R466" s="1" t="s">
        <v>62</v>
      </c>
      <c r="S466" s="1" t="s">
        <v>20</v>
      </c>
      <c r="T466" s="1" t="s">
        <v>21</v>
      </c>
      <c r="U466" s="1" t="s">
        <v>22</v>
      </c>
      <c r="V466" s="1" t="s">
        <v>24</v>
      </c>
      <c r="W466" s="1" t="s">
        <v>64</v>
      </c>
      <c r="X466" s="1">
        <v>1303</v>
      </c>
      <c r="Y466" s="1">
        <v>1304</v>
      </c>
      <c r="Z466" s="1">
        <v>1307</v>
      </c>
      <c r="AA466" s="1">
        <v>1311</v>
      </c>
      <c r="AB466" s="1">
        <v>1312</v>
      </c>
      <c r="AC466" s="1">
        <v>1315</v>
      </c>
      <c r="AD466" s="1" t="s">
        <v>24</v>
      </c>
      <c r="AE466" s="1" t="s">
        <v>24</v>
      </c>
      <c r="AF466" s="22"/>
    </row>
    <row r="467" spans="1:32" x14ac:dyDescent="0.2">
      <c r="A467" s="1">
        <v>2609</v>
      </c>
      <c r="B467" s="1" t="s">
        <v>1624</v>
      </c>
      <c r="C467" s="5" t="s">
        <v>0</v>
      </c>
      <c r="D467" s="1" t="s">
        <v>1625</v>
      </c>
      <c r="E467" s="1" t="s">
        <v>1626</v>
      </c>
      <c r="F467" s="1" t="s">
        <v>85</v>
      </c>
      <c r="G467" s="1" t="s">
        <v>61</v>
      </c>
      <c r="H467" s="1" t="s">
        <v>86</v>
      </c>
      <c r="I467" s="1" t="s">
        <v>16</v>
      </c>
      <c r="J467" s="1">
        <v>1</v>
      </c>
      <c r="K467" s="1">
        <v>6</v>
      </c>
      <c r="L467" s="1" t="s">
        <v>31</v>
      </c>
      <c r="M467" s="1" t="s">
        <v>87</v>
      </c>
      <c r="N467" s="1" t="s">
        <v>105</v>
      </c>
      <c r="O467" s="1">
        <v>2</v>
      </c>
      <c r="P467" s="1">
        <v>5</v>
      </c>
      <c r="R467" s="1" t="s">
        <v>19</v>
      </c>
      <c r="S467" s="1" t="s">
        <v>20</v>
      </c>
      <c r="T467" s="1" t="s">
        <v>21</v>
      </c>
      <c r="U467" s="1" t="s">
        <v>22</v>
      </c>
      <c r="V467" s="1" t="s">
        <v>23</v>
      </c>
      <c r="W467" s="1" t="s">
        <v>24</v>
      </c>
      <c r="X467" s="1">
        <v>2741</v>
      </c>
      <c r="Y467" s="1" t="s">
        <v>24</v>
      </c>
      <c r="Z467" s="1" t="s">
        <v>24</v>
      </c>
      <c r="AA467" s="1" t="s">
        <v>24</v>
      </c>
      <c r="AB467" s="1" t="s">
        <v>24</v>
      </c>
      <c r="AC467" s="1" t="s">
        <v>24</v>
      </c>
      <c r="AD467" s="1" t="s">
        <v>24</v>
      </c>
      <c r="AE467" s="1" t="s">
        <v>24</v>
      </c>
      <c r="AF467" s="22"/>
    </row>
    <row r="468" spans="1:32" x14ac:dyDescent="0.2">
      <c r="A468" s="1">
        <v>2611</v>
      </c>
      <c r="B468" s="1" t="s">
        <v>1627</v>
      </c>
      <c r="C468" s="5" t="s">
        <v>0</v>
      </c>
      <c r="D468" s="1" t="s">
        <v>1628</v>
      </c>
      <c r="E468" s="1" t="s">
        <v>1629</v>
      </c>
      <c r="F468" s="1" t="s">
        <v>272</v>
      </c>
      <c r="G468" s="1" t="s">
        <v>61</v>
      </c>
      <c r="H468" s="1" t="s">
        <v>30</v>
      </c>
      <c r="I468" s="1" t="s">
        <v>16</v>
      </c>
      <c r="J468" s="1">
        <v>2</v>
      </c>
      <c r="K468" s="1">
        <v>6</v>
      </c>
      <c r="L468" s="1" t="s">
        <v>31</v>
      </c>
      <c r="M468" s="1" t="s">
        <v>18</v>
      </c>
      <c r="N468" s="1" t="s">
        <v>18</v>
      </c>
      <c r="O468" s="1">
        <v>3</v>
      </c>
      <c r="P468" s="1">
        <v>7</v>
      </c>
      <c r="Q468" s="7" t="s">
        <v>17633</v>
      </c>
      <c r="R468" s="1" t="s">
        <v>62</v>
      </c>
      <c r="S468" s="1" t="s">
        <v>20</v>
      </c>
      <c r="T468" s="1" t="s">
        <v>21</v>
      </c>
      <c r="U468" s="1" t="s">
        <v>22</v>
      </c>
      <c r="V468" s="1" t="s">
        <v>24</v>
      </c>
      <c r="W468" s="1" t="s">
        <v>24</v>
      </c>
      <c r="X468" s="1">
        <v>2729</v>
      </c>
      <c r="Y468" s="1">
        <v>2743</v>
      </c>
      <c r="Z468" s="1" t="s">
        <v>24</v>
      </c>
      <c r="AA468" s="1" t="s">
        <v>24</v>
      </c>
      <c r="AB468" s="1" t="s">
        <v>24</v>
      </c>
      <c r="AC468" s="1" t="s">
        <v>24</v>
      </c>
      <c r="AD468" s="1" t="s">
        <v>24</v>
      </c>
      <c r="AE468" s="1" t="s">
        <v>24</v>
      </c>
      <c r="AF468" s="22"/>
    </row>
    <row r="469" spans="1:32" x14ac:dyDescent="0.2">
      <c r="A469" s="1">
        <v>2617</v>
      </c>
      <c r="B469" s="1" t="s">
        <v>1630</v>
      </c>
      <c r="C469" s="5" t="s">
        <v>0</v>
      </c>
      <c r="D469" s="1" t="s">
        <v>1631</v>
      </c>
      <c r="E469" s="1" t="s">
        <v>1632</v>
      </c>
      <c r="F469" s="1" t="s">
        <v>751</v>
      </c>
      <c r="G469" s="1" t="s">
        <v>36</v>
      </c>
      <c r="H469" s="1" t="s">
        <v>37</v>
      </c>
      <c r="I469" s="1" t="s">
        <v>16</v>
      </c>
      <c r="J469" s="1">
        <v>1</v>
      </c>
      <c r="K469" s="1">
        <v>6</v>
      </c>
      <c r="L469" s="1" t="s">
        <v>31</v>
      </c>
      <c r="M469" s="1" t="s">
        <v>18</v>
      </c>
      <c r="N469" s="1" t="s">
        <v>18</v>
      </c>
      <c r="O469" s="1">
        <v>2</v>
      </c>
      <c r="P469" s="1">
        <v>5</v>
      </c>
      <c r="R469" s="1" t="s">
        <v>19</v>
      </c>
      <c r="S469" s="1" t="s">
        <v>20</v>
      </c>
      <c r="T469" s="1" t="s">
        <v>21</v>
      </c>
      <c r="U469" s="1" t="s">
        <v>22</v>
      </c>
      <c r="V469" s="1" t="s">
        <v>24</v>
      </c>
      <c r="W469" s="1" t="s">
        <v>24</v>
      </c>
      <c r="X469" s="1">
        <v>1106</v>
      </c>
      <c r="Y469" s="1">
        <v>1600</v>
      </c>
      <c r="Z469" s="1" t="s">
        <v>24</v>
      </c>
      <c r="AA469" s="1" t="s">
        <v>24</v>
      </c>
      <c r="AB469" s="1" t="s">
        <v>24</v>
      </c>
      <c r="AC469" s="1" t="s">
        <v>24</v>
      </c>
      <c r="AD469" s="1" t="s">
        <v>24</v>
      </c>
      <c r="AE469" s="1" t="s">
        <v>24</v>
      </c>
      <c r="AF469" s="22"/>
    </row>
    <row r="470" spans="1:32" x14ac:dyDescent="0.2">
      <c r="A470" s="1">
        <v>2627</v>
      </c>
      <c r="B470" s="1" t="s">
        <v>1633</v>
      </c>
      <c r="C470" s="5" t="s">
        <v>0</v>
      </c>
      <c r="D470" s="1" t="s">
        <v>1634</v>
      </c>
      <c r="E470" s="1" t="s">
        <v>1635</v>
      </c>
      <c r="F470" s="1" t="s">
        <v>1462</v>
      </c>
      <c r="G470" s="1" t="s">
        <v>1462</v>
      </c>
      <c r="H470" s="1" t="s">
        <v>249</v>
      </c>
      <c r="I470" s="1" t="s">
        <v>16</v>
      </c>
      <c r="J470" s="1">
        <v>1</v>
      </c>
      <c r="K470" s="1">
        <v>4</v>
      </c>
      <c r="L470" s="1" t="s">
        <v>42</v>
      </c>
      <c r="M470" s="1" t="s">
        <v>18</v>
      </c>
      <c r="N470" s="1" t="s">
        <v>18</v>
      </c>
      <c r="O470" s="1">
        <v>3</v>
      </c>
      <c r="P470" s="1">
        <v>5</v>
      </c>
      <c r="R470" s="1" t="s">
        <v>19</v>
      </c>
      <c r="S470" s="1" t="s">
        <v>20</v>
      </c>
      <c r="T470" s="1" t="s">
        <v>21</v>
      </c>
      <c r="U470" s="1" t="s">
        <v>22</v>
      </c>
      <c r="V470" s="1" t="s">
        <v>24</v>
      </c>
      <c r="W470" s="1" t="s">
        <v>24</v>
      </c>
      <c r="X470" s="1">
        <v>2734</v>
      </c>
      <c r="Y470" s="1">
        <v>2722</v>
      </c>
      <c r="Z470" s="1" t="s">
        <v>24</v>
      </c>
      <c r="AA470" s="1" t="s">
        <v>24</v>
      </c>
      <c r="AB470" s="1" t="s">
        <v>24</v>
      </c>
      <c r="AC470" s="1" t="s">
        <v>24</v>
      </c>
      <c r="AD470" s="1" t="s">
        <v>24</v>
      </c>
      <c r="AE470" s="1" t="s">
        <v>24</v>
      </c>
      <c r="AF470" s="22"/>
    </row>
    <row r="471" spans="1:32" x14ac:dyDescent="0.2">
      <c r="A471" s="1">
        <v>2660</v>
      </c>
      <c r="B471" s="1" t="s">
        <v>1636</v>
      </c>
      <c r="C471" s="5" t="s">
        <v>0</v>
      </c>
      <c r="D471" s="1" t="s">
        <v>1637</v>
      </c>
      <c r="E471" s="1" t="s">
        <v>1638</v>
      </c>
      <c r="F471" s="1" t="s">
        <v>35</v>
      </c>
      <c r="G471" s="1" t="s">
        <v>36</v>
      </c>
      <c r="H471" s="1" t="s">
        <v>37</v>
      </c>
      <c r="I471" s="1" t="s">
        <v>16</v>
      </c>
      <c r="J471" s="1">
        <v>12</v>
      </c>
      <c r="K471" s="1">
        <v>2</v>
      </c>
      <c r="L471" s="1" t="s">
        <v>31</v>
      </c>
      <c r="M471" s="1" t="s">
        <v>18</v>
      </c>
      <c r="N471" s="1" t="s">
        <v>18</v>
      </c>
      <c r="O471" s="1">
        <v>3</v>
      </c>
      <c r="P471" s="1">
        <v>7</v>
      </c>
      <c r="Q471" s="7" t="s">
        <v>17633</v>
      </c>
      <c r="R471" s="1" t="s">
        <v>19</v>
      </c>
      <c r="S471" s="1" t="s">
        <v>20</v>
      </c>
      <c r="T471" s="1" t="s">
        <v>21</v>
      </c>
      <c r="U471" s="1" t="s">
        <v>22</v>
      </c>
      <c r="V471" s="1" t="s">
        <v>24</v>
      </c>
      <c r="W471" s="1" t="s">
        <v>24</v>
      </c>
      <c r="X471" s="1">
        <v>2404</v>
      </c>
      <c r="Y471" s="1">
        <v>1311</v>
      </c>
      <c r="Z471" s="1">
        <v>1312</v>
      </c>
      <c r="AA471" s="1" t="s">
        <v>24</v>
      </c>
      <c r="AB471" s="1" t="s">
        <v>24</v>
      </c>
      <c r="AC471" s="1" t="s">
        <v>24</v>
      </c>
      <c r="AD471" s="1" t="s">
        <v>24</v>
      </c>
      <c r="AE471" s="1" t="s">
        <v>24</v>
      </c>
      <c r="AF471" s="22"/>
    </row>
    <row r="472" spans="1:32" x14ac:dyDescent="0.2">
      <c r="A472" s="1">
        <v>2665</v>
      </c>
      <c r="B472" s="1" t="s">
        <v>1639</v>
      </c>
      <c r="C472" s="5" t="s">
        <v>0</v>
      </c>
      <c r="D472" s="1" t="s">
        <v>1640</v>
      </c>
      <c r="E472" s="1" t="s">
        <v>1641</v>
      </c>
      <c r="F472" s="1" t="s">
        <v>35</v>
      </c>
      <c r="G472" s="1" t="s">
        <v>36</v>
      </c>
      <c r="H472" s="1" t="s">
        <v>37</v>
      </c>
      <c r="I472" s="1" t="s">
        <v>16</v>
      </c>
      <c r="J472" s="1">
        <v>1</v>
      </c>
      <c r="K472" s="1">
        <v>6</v>
      </c>
      <c r="L472" s="1" t="s">
        <v>31</v>
      </c>
      <c r="M472" s="1" t="s">
        <v>18</v>
      </c>
      <c r="N472" s="1" t="s">
        <v>18</v>
      </c>
      <c r="O472" s="1">
        <v>3</v>
      </c>
      <c r="P472" s="1">
        <v>6</v>
      </c>
      <c r="R472" s="1" t="s">
        <v>62</v>
      </c>
      <c r="S472" s="1" t="s">
        <v>20</v>
      </c>
      <c r="T472" s="1" t="s">
        <v>21</v>
      </c>
      <c r="U472" s="1" t="s">
        <v>22</v>
      </c>
      <c r="V472" s="1" t="s">
        <v>24</v>
      </c>
      <c r="W472" s="1" t="s">
        <v>24</v>
      </c>
      <c r="X472" s="1">
        <v>2404</v>
      </c>
      <c r="Y472" s="1">
        <v>2725</v>
      </c>
      <c r="Z472" s="1" t="s">
        <v>24</v>
      </c>
      <c r="AA472" s="1" t="s">
        <v>24</v>
      </c>
      <c r="AB472" s="1" t="s">
        <v>24</v>
      </c>
      <c r="AC472" s="1" t="s">
        <v>24</v>
      </c>
      <c r="AD472" s="1" t="s">
        <v>24</v>
      </c>
      <c r="AE472" s="1" t="s">
        <v>24</v>
      </c>
      <c r="AF472" s="22"/>
    </row>
    <row r="473" spans="1:32" x14ac:dyDescent="0.2">
      <c r="A473" s="1">
        <v>2668</v>
      </c>
      <c r="B473" s="1" t="s">
        <v>1642</v>
      </c>
      <c r="C473" s="5" t="s">
        <v>0</v>
      </c>
      <c r="D473" s="1" t="s">
        <v>1643</v>
      </c>
      <c r="F473" s="1" t="s">
        <v>1644</v>
      </c>
      <c r="G473" s="1" t="s">
        <v>1642</v>
      </c>
      <c r="H473" s="1" t="s">
        <v>15</v>
      </c>
      <c r="I473" s="1" t="s">
        <v>16</v>
      </c>
      <c r="J473" s="1">
        <v>1</v>
      </c>
      <c r="K473" s="1">
        <v>6</v>
      </c>
      <c r="L473" s="1" t="s">
        <v>17</v>
      </c>
      <c r="M473" s="1" t="s">
        <v>1645</v>
      </c>
      <c r="N473" s="1" t="s">
        <v>1646</v>
      </c>
      <c r="O473" s="1">
        <v>2</v>
      </c>
      <c r="P473" s="1">
        <v>5</v>
      </c>
      <c r="R473" s="1" t="s">
        <v>19</v>
      </c>
      <c r="S473" s="1" t="s">
        <v>20</v>
      </c>
      <c r="T473" s="1" t="s">
        <v>21</v>
      </c>
      <c r="U473" s="1" t="s">
        <v>22</v>
      </c>
      <c r="V473" s="1" t="s">
        <v>24</v>
      </c>
      <c r="W473" s="1" t="s">
        <v>24</v>
      </c>
      <c r="X473" s="1">
        <v>3004</v>
      </c>
      <c r="Y473" s="1">
        <v>2736</v>
      </c>
      <c r="Z473" s="1" t="s">
        <v>24</v>
      </c>
      <c r="AA473" s="1" t="s">
        <v>24</v>
      </c>
      <c r="AB473" s="1" t="s">
        <v>24</v>
      </c>
      <c r="AC473" s="1" t="s">
        <v>24</v>
      </c>
      <c r="AD473" s="1" t="s">
        <v>24</v>
      </c>
      <c r="AE473" s="1" t="s">
        <v>24</v>
      </c>
      <c r="AF473" s="22"/>
    </row>
    <row r="474" spans="1:32" x14ac:dyDescent="0.2">
      <c r="A474" s="1">
        <v>2673</v>
      </c>
      <c r="B474" s="1" t="s">
        <v>1647</v>
      </c>
      <c r="C474" s="5" t="s">
        <v>0</v>
      </c>
      <c r="D474" s="1" t="s">
        <v>1648</v>
      </c>
      <c r="E474" s="1" t="s">
        <v>1649</v>
      </c>
      <c r="F474" s="1" t="s">
        <v>412</v>
      </c>
      <c r="G474" s="1" t="s">
        <v>372</v>
      </c>
      <c r="H474" s="1" t="s">
        <v>168</v>
      </c>
      <c r="I474" s="1" t="s">
        <v>16</v>
      </c>
      <c r="J474" s="1">
        <v>1</v>
      </c>
      <c r="K474" s="1">
        <v>12</v>
      </c>
      <c r="L474" s="1" t="s">
        <v>31</v>
      </c>
      <c r="M474" s="1" t="s">
        <v>413</v>
      </c>
      <c r="N474" s="1" t="s">
        <v>18</v>
      </c>
      <c r="O474" s="1">
        <v>3</v>
      </c>
      <c r="P474" s="1">
        <v>6</v>
      </c>
      <c r="R474" s="1" t="s">
        <v>19</v>
      </c>
      <c r="S474" s="1" t="s">
        <v>63</v>
      </c>
      <c r="T474" s="1" t="s">
        <v>21</v>
      </c>
      <c r="U474" s="1" t="s">
        <v>22</v>
      </c>
      <c r="V474" s="1" t="s">
        <v>24</v>
      </c>
      <c r="W474" s="1" t="s">
        <v>24</v>
      </c>
      <c r="X474" s="1">
        <v>2728</v>
      </c>
      <c r="Y474" s="1">
        <v>2808</v>
      </c>
      <c r="Z474" s="1">
        <v>2738</v>
      </c>
      <c r="AA474" s="1" t="s">
        <v>24</v>
      </c>
      <c r="AB474" s="1" t="s">
        <v>24</v>
      </c>
      <c r="AC474" s="1" t="s">
        <v>24</v>
      </c>
      <c r="AD474" s="1" t="s">
        <v>24</v>
      </c>
      <c r="AE474" s="1" t="s">
        <v>24</v>
      </c>
      <c r="AF474" s="22"/>
    </row>
    <row r="475" spans="1:32" x14ac:dyDescent="0.2">
      <c r="A475" s="1">
        <v>2678</v>
      </c>
      <c r="B475" s="1" t="s">
        <v>1650</v>
      </c>
      <c r="C475" s="5" t="s">
        <v>0</v>
      </c>
      <c r="D475" s="1" t="s">
        <v>1651</v>
      </c>
      <c r="E475" s="1" t="s">
        <v>1652</v>
      </c>
      <c r="F475" s="1" t="s">
        <v>1653</v>
      </c>
      <c r="G475" s="1" t="s">
        <v>1653</v>
      </c>
      <c r="H475" s="1" t="s">
        <v>135</v>
      </c>
      <c r="I475" s="1" t="s">
        <v>16</v>
      </c>
      <c r="J475" s="1">
        <v>1</v>
      </c>
      <c r="K475" s="1">
        <v>4</v>
      </c>
      <c r="L475" s="1" t="s">
        <v>42</v>
      </c>
      <c r="M475" s="1" t="s">
        <v>18</v>
      </c>
      <c r="N475" s="1" t="s">
        <v>18</v>
      </c>
      <c r="O475" s="1">
        <v>2</v>
      </c>
      <c r="P475" s="1">
        <v>6</v>
      </c>
      <c r="R475" s="1" t="s">
        <v>19</v>
      </c>
      <c r="S475" s="1" t="s">
        <v>20</v>
      </c>
      <c r="T475" s="1" t="s">
        <v>21</v>
      </c>
      <c r="U475" s="1" t="s">
        <v>22</v>
      </c>
      <c r="V475" s="1" t="s">
        <v>24</v>
      </c>
      <c r="W475" s="1" t="s">
        <v>24</v>
      </c>
      <c r="X475" s="1">
        <v>1312</v>
      </c>
      <c r="Y475" s="1">
        <v>1307</v>
      </c>
      <c r="Z475" s="1">
        <v>1311</v>
      </c>
      <c r="AA475" s="1">
        <v>1303</v>
      </c>
      <c r="AB475" s="1">
        <v>2403</v>
      </c>
      <c r="AC475" s="1">
        <v>1309</v>
      </c>
      <c r="AD475" s="1" t="s">
        <v>24</v>
      </c>
      <c r="AE475" s="1" t="s">
        <v>24</v>
      </c>
      <c r="AF475" s="22"/>
    </row>
    <row r="476" spans="1:32" x14ac:dyDescent="0.2">
      <c r="A476" s="1">
        <v>2680</v>
      </c>
      <c r="B476" s="1" t="s">
        <v>1654</v>
      </c>
      <c r="C476" s="5" t="s">
        <v>0</v>
      </c>
      <c r="D476" s="1" t="s">
        <v>1655</v>
      </c>
      <c r="E476" s="1" t="s">
        <v>1656</v>
      </c>
      <c r="F476" s="1" t="s">
        <v>155</v>
      </c>
      <c r="G476" s="1" t="s">
        <v>61</v>
      </c>
      <c r="H476" s="1" t="s">
        <v>37</v>
      </c>
      <c r="I476" s="1" t="s">
        <v>16</v>
      </c>
      <c r="J476" s="1">
        <v>4</v>
      </c>
      <c r="K476" s="1">
        <v>4</v>
      </c>
      <c r="L476" s="1" t="s">
        <v>31</v>
      </c>
      <c r="M476" s="1" t="s">
        <v>18</v>
      </c>
      <c r="N476" s="1" t="s">
        <v>18</v>
      </c>
      <c r="O476" s="1">
        <v>3</v>
      </c>
      <c r="P476" s="1">
        <v>6</v>
      </c>
      <c r="R476" s="1" t="s">
        <v>19</v>
      </c>
      <c r="S476" s="1" t="s">
        <v>63</v>
      </c>
      <c r="T476" s="1" t="s">
        <v>21</v>
      </c>
      <c r="U476" s="1" t="s">
        <v>22</v>
      </c>
      <c r="V476" s="1" t="s">
        <v>23</v>
      </c>
      <c r="W476" s="1" t="s">
        <v>64</v>
      </c>
      <c r="X476" s="1">
        <v>1106</v>
      </c>
      <c r="Y476" s="1">
        <v>1602</v>
      </c>
      <c r="Z476" s="1" t="s">
        <v>24</v>
      </c>
      <c r="AA476" s="1" t="s">
        <v>24</v>
      </c>
      <c r="AB476" s="1" t="s">
        <v>24</v>
      </c>
      <c r="AC476" s="1" t="s">
        <v>24</v>
      </c>
      <c r="AD476" s="1" t="s">
        <v>24</v>
      </c>
      <c r="AE476" s="1" t="s">
        <v>24</v>
      </c>
      <c r="AF476" s="22"/>
    </row>
    <row r="477" spans="1:32" x14ac:dyDescent="0.2">
      <c r="A477" s="1">
        <v>2725</v>
      </c>
      <c r="B477" s="1" t="s">
        <v>1657</v>
      </c>
      <c r="C477" s="5" t="s">
        <v>0</v>
      </c>
      <c r="D477" s="1" t="s">
        <v>1658</v>
      </c>
      <c r="F477" s="1" t="s">
        <v>1659</v>
      </c>
      <c r="G477" s="1" t="s">
        <v>1659</v>
      </c>
      <c r="H477" s="1" t="s">
        <v>1660</v>
      </c>
      <c r="I477" s="1" t="s">
        <v>16</v>
      </c>
      <c r="J477" s="1">
        <v>1</v>
      </c>
      <c r="K477" s="1">
        <v>6</v>
      </c>
      <c r="L477" s="1" t="s">
        <v>42</v>
      </c>
      <c r="M477" s="1" t="s">
        <v>1661</v>
      </c>
      <c r="N477" s="1" t="s">
        <v>1662</v>
      </c>
      <c r="O477" s="1">
        <v>3</v>
      </c>
      <c r="P477" s="1">
        <v>6</v>
      </c>
      <c r="R477" s="1" t="s">
        <v>19</v>
      </c>
      <c r="S477" s="1" t="s">
        <v>20</v>
      </c>
      <c r="T477" s="1" t="s">
        <v>21</v>
      </c>
      <c r="U477" s="1" t="s">
        <v>22</v>
      </c>
      <c r="V477" s="1" t="s">
        <v>24</v>
      </c>
      <c r="W477" s="1" t="s">
        <v>24</v>
      </c>
      <c r="X477" s="1">
        <v>3000</v>
      </c>
      <c r="Y477" s="1" t="s">
        <v>24</v>
      </c>
      <c r="Z477" s="1" t="s">
        <v>24</v>
      </c>
      <c r="AA477" s="1" t="s">
        <v>24</v>
      </c>
      <c r="AB477" s="1" t="s">
        <v>24</v>
      </c>
      <c r="AC477" s="1" t="s">
        <v>24</v>
      </c>
      <c r="AD477" s="1" t="s">
        <v>24</v>
      </c>
      <c r="AE477" s="1" t="s">
        <v>24</v>
      </c>
      <c r="AF477" s="22"/>
    </row>
    <row r="478" spans="1:32" x14ac:dyDescent="0.2">
      <c r="A478" s="1">
        <v>2737</v>
      </c>
      <c r="B478" s="1" t="s">
        <v>1663</v>
      </c>
      <c r="C478" s="5" t="s">
        <v>0</v>
      </c>
      <c r="D478" s="1" t="s">
        <v>1664</v>
      </c>
      <c r="E478" s="1" t="s">
        <v>1665</v>
      </c>
      <c r="F478" s="1" t="s">
        <v>221</v>
      </c>
      <c r="G478" s="1" t="s">
        <v>61</v>
      </c>
      <c r="H478" s="1" t="s">
        <v>222</v>
      </c>
      <c r="I478" s="1" t="s">
        <v>16</v>
      </c>
      <c r="J478" s="1">
        <v>8</v>
      </c>
      <c r="K478" s="1">
        <v>3</v>
      </c>
      <c r="L478" s="1" t="s">
        <v>31</v>
      </c>
      <c r="M478" s="1" t="s">
        <v>18</v>
      </c>
      <c r="N478" s="1" t="s">
        <v>18</v>
      </c>
      <c r="O478" s="1">
        <v>3</v>
      </c>
      <c r="P478" s="1">
        <v>7</v>
      </c>
      <c r="Q478" s="7" t="s">
        <v>17633</v>
      </c>
      <c r="R478" s="1" t="s">
        <v>19</v>
      </c>
      <c r="S478" s="1" t="s">
        <v>63</v>
      </c>
      <c r="T478" s="1" t="s">
        <v>21</v>
      </c>
      <c r="U478" s="1" t="s">
        <v>22</v>
      </c>
      <c r="V478" s="1" t="s">
        <v>24</v>
      </c>
      <c r="W478" s="1" t="s">
        <v>24</v>
      </c>
      <c r="X478" s="1">
        <v>2734</v>
      </c>
      <c r="Y478" s="1" t="s">
        <v>24</v>
      </c>
      <c r="Z478" s="1" t="s">
        <v>24</v>
      </c>
      <c r="AA478" s="1" t="s">
        <v>24</v>
      </c>
      <c r="AB478" s="1" t="s">
        <v>24</v>
      </c>
      <c r="AC478" s="1" t="s">
        <v>24</v>
      </c>
      <c r="AD478" s="1" t="s">
        <v>24</v>
      </c>
      <c r="AE478" s="1" t="s">
        <v>24</v>
      </c>
      <c r="AF478" s="22"/>
    </row>
    <row r="479" spans="1:32" x14ac:dyDescent="0.2">
      <c r="A479" s="1">
        <v>2749</v>
      </c>
      <c r="B479" s="1" t="s">
        <v>1666</v>
      </c>
      <c r="C479" s="5" t="s">
        <v>0</v>
      </c>
      <c r="D479" s="1" t="s">
        <v>1667</v>
      </c>
      <c r="E479" s="1" t="s">
        <v>1668</v>
      </c>
      <c r="F479" s="1" t="s">
        <v>91</v>
      </c>
      <c r="G479" s="1" t="s">
        <v>61</v>
      </c>
      <c r="H479" s="1" t="s">
        <v>92</v>
      </c>
      <c r="I479" s="1" t="s">
        <v>16</v>
      </c>
      <c r="J479" s="1">
        <v>1</v>
      </c>
      <c r="K479" s="1">
        <v>8</v>
      </c>
      <c r="L479" s="1" t="s">
        <v>31</v>
      </c>
      <c r="M479" s="1" t="s">
        <v>18</v>
      </c>
      <c r="N479" s="1" t="s">
        <v>18</v>
      </c>
      <c r="O479" s="1">
        <v>3</v>
      </c>
      <c r="P479" s="1">
        <v>7</v>
      </c>
      <c r="Q479" s="7" t="s">
        <v>17633</v>
      </c>
      <c r="R479" s="1" t="s">
        <v>19</v>
      </c>
      <c r="S479" s="1" t="s">
        <v>63</v>
      </c>
      <c r="T479" s="1" t="s">
        <v>21</v>
      </c>
      <c r="U479" s="1" t="s">
        <v>22</v>
      </c>
      <c r="V479" s="1" t="s">
        <v>23</v>
      </c>
      <c r="W479" s="1" t="s">
        <v>64</v>
      </c>
      <c r="X479" s="1">
        <v>3004</v>
      </c>
      <c r="Y479" s="1">
        <v>3002</v>
      </c>
      <c r="Z479" s="1" t="s">
        <v>24</v>
      </c>
      <c r="AA479" s="1" t="s">
        <v>24</v>
      </c>
      <c r="AB479" s="1" t="s">
        <v>24</v>
      </c>
      <c r="AC479" s="1" t="s">
        <v>24</v>
      </c>
      <c r="AD479" s="1" t="s">
        <v>24</v>
      </c>
      <c r="AE479" s="1" t="s">
        <v>24</v>
      </c>
      <c r="AF479" s="22"/>
    </row>
    <row r="480" spans="1:32" x14ac:dyDescent="0.2">
      <c r="A480" s="1">
        <v>2769</v>
      </c>
      <c r="B480" s="1" t="s">
        <v>1669</v>
      </c>
      <c r="C480" s="5" t="s">
        <v>0</v>
      </c>
      <c r="D480" s="1" t="s">
        <v>1670</v>
      </c>
      <c r="E480" s="1" t="s">
        <v>1671</v>
      </c>
      <c r="F480" s="1" t="s">
        <v>167</v>
      </c>
      <c r="G480" s="1" t="s">
        <v>130</v>
      </c>
      <c r="H480" s="1" t="s">
        <v>168</v>
      </c>
      <c r="I480" s="1" t="s">
        <v>16</v>
      </c>
      <c r="J480" s="1">
        <v>1</v>
      </c>
      <c r="K480" s="1">
        <v>12</v>
      </c>
      <c r="L480" s="1" t="s">
        <v>31</v>
      </c>
      <c r="M480" s="1" t="s">
        <v>18</v>
      </c>
      <c r="N480" s="1" t="s">
        <v>18</v>
      </c>
      <c r="O480" s="1">
        <v>3</v>
      </c>
      <c r="P480" s="1">
        <v>7</v>
      </c>
      <c r="Q480" s="7" t="s">
        <v>17633</v>
      </c>
      <c r="R480" s="1" t="s">
        <v>19</v>
      </c>
      <c r="S480" s="1" t="s">
        <v>20</v>
      </c>
      <c r="T480" s="1" t="s">
        <v>21</v>
      </c>
      <c r="U480" s="1" t="s">
        <v>22</v>
      </c>
      <c r="V480" s="1" t="s">
        <v>24</v>
      </c>
      <c r="W480" s="1" t="s">
        <v>24</v>
      </c>
      <c r="X480" s="1">
        <v>2731</v>
      </c>
      <c r="Y480" s="1">
        <v>2809</v>
      </c>
      <c r="Z480" s="1">
        <v>2804</v>
      </c>
      <c r="AA480" s="1" t="s">
        <v>24</v>
      </c>
      <c r="AB480" s="1" t="s">
        <v>24</v>
      </c>
      <c r="AC480" s="1" t="s">
        <v>24</v>
      </c>
      <c r="AD480" s="1" t="s">
        <v>24</v>
      </c>
      <c r="AE480" s="1" t="s">
        <v>24</v>
      </c>
      <c r="AF480" s="22"/>
    </row>
    <row r="481" spans="1:32" x14ac:dyDescent="0.2">
      <c r="A481" s="1">
        <v>2770</v>
      </c>
      <c r="B481" s="1" t="s">
        <v>1672</v>
      </c>
      <c r="C481" s="5" t="s">
        <v>0</v>
      </c>
      <c r="D481" s="1" t="s">
        <v>1673</v>
      </c>
      <c r="E481" s="1" t="s">
        <v>1674</v>
      </c>
      <c r="F481" s="1" t="s">
        <v>194</v>
      </c>
      <c r="G481" s="1" t="s">
        <v>61</v>
      </c>
      <c r="H481" s="1" t="s">
        <v>30</v>
      </c>
      <c r="I481" s="1" t="s">
        <v>16</v>
      </c>
      <c r="J481" s="1">
        <v>2</v>
      </c>
      <c r="K481" s="1">
        <v>6</v>
      </c>
      <c r="L481" s="1" t="s">
        <v>31</v>
      </c>
      <c r="M481" s="1" t="s">
        <v>18</v>
      </c>
      <c r="N481" s="1" t="s">
        <v>18</v>
      </c>
      <c r="O481" s="1">
        <v>3</v>
      </c>
      <c r="P481" s="1">
        <v>7</v>
      </c>
      <c r="Q481" s="7" t="s">
        <v>17633</v>
      </c>
      <c r="R481" s="1" t="s">
        <v>62</v>
      </c>
      <c r="S481" s="1" t="s">
        <v>20</v>
      </c>
      <c r="T481" s="1" t="s">
        <v>21</v>
      </c>
      <c r="U481" s="1" t="s">
        <v>22</v>
      </c>
      <c r="V481" s="1" t="s">
        <v>23</v>
      </c>
      <c r="W481" s="1" t="s">
        <v>24</v>
      </c>
      <c r="X481" s="1">
        <v>2715</v>
      </c>
      <c r="Y481" s="1">
        <v>2741</v>
      </c>
      <c r="Z481" s="1" t="s">
        <v>24</v>
      </c>
      <c r="AA481" s="1" t="s">
        <v>24</v>
      </c>
      <c r="AB481" s="1" t="s">
        <v>24</v>
      </c>
      <c r="AC481" s="1" t="s">
        <v>24</v>
      </c>
      <c r="AD481" s="1" t="s">
        <v>24</v>
      </c>
      <c r="AE481" s="1" t="s">
        <v>24</v>
      </c>
      <c r="AF481" s="22"/>
    </row>
    <row r="482" spans="1:32" x14ac:dyDescent="0.2">
      <c r="A482" s="1">
        <v>2786</v>
      </c>
      <c r="B482" s="1" t="s">
        <v>1675</v>
      </c>
      <c r="C482" s="5" t="s">
        <v>0</v>
      </c>
      <c r="D482" s="1" t="s">
        <v>1676</v>
      </c>
      <c r="E482" s="1" t="s">
        <v>1677</v>
      </c>
      <c r="F482" s="1" t="s">
        <v>303</v>
      </c>
      <c r="G482" s="1" t="s">
        <v>61</v>
      </c>
      <c r="H482" s="1" t="s">
        <v>30</v>
      </c>
      <c r="I482" s="1" t="s">
        <v>16</v>
      </c>
      <c r="J482" s="1">
        <v>2</v>
      </c>
      <c r="K482" s="1">
        <v>6</v>
      </c>
      <c r="L482" s="1" t="s">
        <v>31</v>
      </c>
      <c r="M482" s="1" t="s">
        <v>18</v>
      </c>
      <c r="N482" s="1" t="s">
        <v>18</v>
      </c>
      <c r="O482" s="1">
        <v>3</v>
      </c>
      <c r="P482" s="1">
        <v>8</v>
      </c>
      <c r="Q482" s="7" t="s">
        <v>17633</v>
      </c>
      <c r="R482" s="1" t="s">
        <v>62</v>
      </c>
      <c r="S482" s="1" t="s">
        <v>20</v>
      </c>
      <c r="T482" s="1" t="s">
        <v>21</v>
      </c>
      <c r="U482" s="1" t="s">
        <v>22</v>
      </c>
      <c r="V482" s="1" t="s">
        <v>24</v>
      </c>
      <c r="W482" s="1" t="s">
        <v>24</v>
      </c>
      <c r="X482" s="1">
        <v>2715</v>
      </c>
      <c r="Y482" s="1" t="s">
        <v>24</v>
      </c>
      <c r="Z482" s="1" t="s">
        <v>24</v>
      </c>
      <c r="AA482" s="1" t="s">
        <v>24</v>
      </c>
      <c r="AB482" s="1" t="s">
        <v>24</v>
      </c>
      <c r="AC482" s="1" t="s">
        <v>24</v>
      </c>
      <c r="AD482" s="1" t="s">
        <v>24</v>
      </c>
      <c r="AE482" s="1" t="s">
        <v>24</v>
      </c>
      <c r="AF482" s="22"/>
    </row>
    <row r="483" spans="1:32" x14ac:dyDescent="0.2">
      <c r="A483" s="1">
        <v>2797</v>
      </c>
      <c r="B483" s="1" t="s">
        <v>1678</v>
      </c>
      <c r="C483" s="5" t="s">
        <v>0</v>
      </c>
      <c r="D483" s="1" t="s">
        <v>1679</v>
      </c>
      <c r="E483" s="1" t="s">
        <v>1680</v>
      </c>
      <c r="F483" s="1" t="s">
        <v>60</v>
      </c>
      <c r="G483" s="1" t="s">
        <v>61</v>
      </c>
      <c r="H483" s="1" t="s">
        <v>30</v>
      </c>
      <c r="I483" s="1" t="s">
        <v>16</v>
      </c>
      <c r="J483" s="1">
        <v>5</v>
      </c>
      <c r="K483" s="1">
        <v>3</v>
      </c>
      <c r="L483" s="1" t="s">
        <v>31</v>
      </c>
      <c r="M483" s="1" t="s">
        <v>18</v>
      </c>
      <c r="N483" s="1" t="s">
        <v>18</v>
      </c>
      <c r="O483" s="1">
        <v>3</v>
      </c>
      <c r="P483" s="1">
        <v>7</v>
      </c>
      <c r="Q483" s="7" t="s">
        <v>17633</v>
      </c>
      <c r="R483" s="1" t="s">
        <v>19</v>
      </c>
      <c r="S483" s="1" t="s">
        <v>63</v>
      </c>
      <c r="T483" s="1" t="s">
        <v>21</v>
      </c>
      <c r="U483" s="1" t="s">
        <v>22</v>
      </c>
      <c r="V483" s="1" t="s">
        <v>24</v>
      </c>
      <c r="W483" s="1" t="s">
        <v>24</v>
      </c>
      <c r="X483" s="1">
        <v>1310</v>
      </c>
      <c r="Y483" s="1" t="s">
        <v>24</v>
      </c>
      <c r="Z483" s="1" t="s">
        <v>24</v>
      </c>
      <c r="AA483" s="1" t="s">
        <v>24</v>
      </c>
      <c r="AB483" s="1" t="s">
        <v>24</v>
      </c>
      <c r="AC483" s="1" t="s">
        <v>24</v>
      </c>
      <c r="AD483" s="1" t="s">
        <v>24</v>
      </c>
      <c r="AE483" s="1" t="s">
        <v>24</v>
      </c>
      <c r="AF483" s="22"/>
    </row>
    <row r="484" spans="1:32" x14ac:dyDescent="0.2">
      <c r="A484" s="1">
        <v>2798</v>
      </c>
      <c r="B484" s="1" t="s">
        <v>1681</v>
      </c>
      <c r="C484" s="5" t="s">
        <v>0</v>
      </c>
      <c r="D484" s="1" t="s">
        <v>1682</v>
      </c>
      <c r="F484" s="1" t="s">
        <v>1683</v>
      </c>
      <c r="G484" s="1" t="s">
        <v>61</v>
      </c>
      <c r="H484" s="1" t="s">
        <v>116</v>
      </c>
      <c r="I484" s="1" t="s">
        <v>16</v>
      </c>
      <c r="J484" s="1">
        <v>1</v>
      </c>
      <c r="K484" s="1">
        <v>4</v>
      </c>
      <c r="L484" s="1" t="s">
        <v>31</v>
      </c>
      <c r="M484" s="1" t="s">
        <v>117</v>
      </c>
      <c r="N484" s="1" t="s">
        <v>226</v>
      </c>
      <c r="O484" s="1">
        <v>3</v>
      </c>
      <c r="P484" s="1">
        <v>6</v>
      </c>
      <c r="R484" s="1" t="s">
        <v>19</v>
      </c>
      <c r="S484" s="1" t="s">
        <v>20</v>
      </c>
      <c r="T484" s="1" t="s">
        <v>21</v>
      </c>
      <c r="U484" s="1" t="s">
        <v>22</v>
      </c>
      <c r="V484" s="1" t="s">
        <v>24</v>
      </c>
      <c r="W484" s="1" t="s">
        <v>24</v>
      </c>
      <c r="X484" s="1">
        <v>2700</v>
      </c>
      <c r="Y484" s="1" t="s">
        <v>24</v>
      </c>
      <c r="Z484" s="1" t="s">
        <v>24</v>
      </c>
      <c r="AA484" s="1" t="s">
        <v>24</v>
      </c>
      <c r="AB484" s="1" t="s">
        <v>24</v>
      </c>
      <c r="AC484" s="1" t="s">
        <v>24</v>
      </c>
      <c r="AD484" s="1" t="s">
        <v>24</v>
      </c>
      <c r="AE484" s="1" t="s">
        <v>24</v>
      </c>
      <c r="AF484" s="22"/>
    </row>
    <row r="485" spans="1:32" x14ac:dyDescent="0.2">
      <c r="A485" s="1">
        <v>2805</v>
      </c>
      <c r="B485" s="1" t="s">
        <v>1684</v>
      </c>
      <c r="C485" s="5" t="s">
        <v>0</v>
      </c>
      <c r="D485" s="1" t="s">
        <v>1685</v>
      </c>
      <c r="E485" s="1" t="s">
        <v>1686</v>
      </c>
      <c r="F485" s="1" t="s">
        <v>412</v>
      </c>
      <c r="G485" s="1" t="s">
        <v>372</v>
      </c>
      <c r="H485" s="1" t="s">
        <v>168</v>
      </c>
      <c r="I485" s="1" t="s">
        <v>16</v>
      </c>
      <c r="J485" s="1">
        <v>1</v>
      </c>
      <c r="K485" s="1">
        <v>12</v>
      </c>
      <c r="L485" s="1" t="s">
        <v>31</v>
      </c>
      <c r="M485" s="1" t="s">
        <v>413</v>
      </c>
      <c r="N485" s="1" t="s">
        <v>18</v>
      </c>
      <c r="O485" s="1">
        <v>2</v>
      </c>
      <c r="P485" s="1">
        <v>6</v>
      </c>
      <c r="R485" s="1" t="s">
        <v>19</v>
      </c>
      <c r="S485" s="1" t="s">
        <v>63</v>
      </c>
      <c r="T485" s="1" t="s">
        <v>21</v>
      </c>
      <c r="U485" s="1" t="s">
        <v>22</v>
      </c>
      <c r="V485" s="1" t="s">
        <v>23</v>
      </c>
      <c r="W485" s="1" t="s">
        <v>24</v>
      </c>
      <c r="X485" s="1">
        <v>2729</v>
      </c>
      <c r="Y485" s="1">
        <v>2913</v>
      </c>
      <c r="Z485" s="1" t="s">
        <v>24</v>
      </c>
      <c r="AA485" s="1" t="s">
        <v>24</v>
      </c>
      <c r="AB485" s="1" t="s">
        <v>24</v>
      </c>
      <c r="AC485" s="1" t="s">
        <v>24</v>
      </c>
      <c r="AD485" s="1" t="s">
        <v>24</v>
      </c>
      <c r="AE485" s="1" t="s">
        <v>24</v>
      </c>
      <c r="AF485" s="22"/>
    </row>
    <row r="486" spans="1:32" x14ac:dyDescent="0.2">
      <c r="A486" s="1">
        <v>2814</v>
      </c>
      <c r="B486" s="1" t="s">
        <v>1687</v>
      </c>
      <c r="C486" s="5" t="s">
        <v>0</v>
      </c>
      <c r="D486" s="1" t="s">
        <v>1688</v>
      </c>
      <c r="E486" s="1" t="s">
        <v>1689</v>
      </c>
      <c r="F486" s="1" t="s">
        <v>91</v>
      </c>
      <c r="G486" s="1" t="s">
        <v>61</v>
      </c>
      <c r="H486" s="1" t="s">
        <v>92</v>
      </c>
      <c r="I486" s="1" t="s">
        <v>16</v>
      </c>
      <c r="J486" s="1">
        <v>21</v>
      </c>
      <c r="K486" s="1">
        <v>2</v>
      </c>
      <c r="L486" s="1" t="s">
        <v>31</v>
      </c>
      <c r="M486" s="1" t="s">
        <v>18</v>
      </c>
      <c r="N486" s="1" t="s">
        <v>18</v>
      </c>
      <c r="O486" s="1">
        <v>3</v>
      </c>
      <c r="P486" s="1">
        <v>8</v>
      </c>
      <c r="Q486" s="7" t="s">
        <v>17633</v>
      </c>
      <c r="R486" s="1" t="s">
        <v>19</v>
      </c>
      <c r="S486" s="1" t="s">
        <v>20</v>
      </c>
      <c r="T486" s="1" t="s">
        <v>21</v>
      </c>
      <c r="U486" s="1" t="s">
        <v>22</v>
      </c>
      <c r="V486" s="1" t="s">
        <v>24</v>
      </c>
      <c r="W486" s="1" t="s">
        <v>24</v>
      </c>
      <c r="X486" s="1">
        <v>1311</v>
      </c>
      <c r="Y486" s="1" t="s">
        <v>24</v>
      </c>
      <c r="Z486" s="1" t="s">
        <v>24</v>
      </c>
      <c r="AA486" s="1" t="s">
        <v>24</v>
      </c>
      <c r="AB486" s="1" t="s">
        <v>24</v>
      </c>
      <c r="AC486" s="1" t="s">
        <v>24</v>
      </c>
      <c r="AD486" s="1" t="s">
        <v>24</v>
      </c>
      <c r="AE486" s="1" t="s">
        <v>24</v>
      </c>
      <c r="AF486" s="22"/>
    </row>
    <row r="487" spans="1:32" x14ac:dyDescent="0.2">
      <c r="A487" s="1">
        <v>2817</v>
      </c>
      <c r="B487" s="1" t="s">
        <v>1690</v>
      </c>
      <c r="C487" s="5" t="s">
        <v>0</v>
      </c>
      <c r="D487" s="1" t="s">
        <v>1691</v>
      </c>
      <c r="E487" s="1" t="s">
        <v>1692</v>
      </c>
      <c r="F487" s="1" t="s">
        <v>1690</v>
      </c>
      <c r="G487" s="1" t="s">
        <v>1693</v>
      </c>
      <c r="H487" s="1" t="s">
        <v>30</v>
      </c>
      <c r="I487" s="1" t="s">
        <v>16</v>
      </c>
      <c r="J487" s="1">
        <v>3</v>
      </c>
      <c r="K487" s="1">
        <v>4</v>
      </c>
      <c r="L487" s="1" t="s">
        <v>42</v>
      </c>
      <c r="M487" s="1" t="s">
        <v>18</v>
      </c>
      <c r="N487" s="1" t="s">
        <v>18</v>
      </c>
      <c r="O487" s="1">
        <v>3</v>
      </c>
      <c r="P487" s="1">
        <v>7</v>
      </c>
      <c r="Q487" s="7" t="s">
        <v>17633</v>
      </c>
      <c r="R487" s="1" t="s">
        <v>62</v>
      </c>
      <c r="S487" s="1" t="s">
        <v>20</v>
      </c>
      <c r="T487" s="1" t="s">
        <v>21</v>
      </c>
      <c r="U487" s="1" t="s">
        <v>22</v>
      </c>
      <c r="V487" s="1" t="s">
        <v>24</v>
      </c>
      <c r="W487" s="1" t="s">
        <v>24</v>
      </c>
      <c r="X487" s="1">
        <v>1311</v>
      </c>
      <c r="Y487" s="1" t="s">
        <v>24</v>
      </c>
      <c r="Z487" s="1" t="s">
        <v>24</v>
      </c>
      <c r="AA487" s="1" t="s">
        <v>24</v>
      </c>
      <c r="AB487" s="1" t="s">
        <v>24</v>
      </c>
      <c r="AC487" s="1" t="s">
        <v>24</v>
      </c>
      <c r="AD487" s="1" t="s">
        <v>24</v>
      </c>
      <c r="AE487" s="1" t="s">
        <v>24</v>
      </c>
      <c r="AF487" s="22"/>
    </row>
    <row r="488" spans="1:32" x14ac:dyDescent="0.2">
      <c r="A488" s="1">
        <v>2818</v>
      </c>
      <c r="B488" s="1" t="s">
        <v>1694</v>
      </c>
      <c r="C488" s="5" t="s">
        <v>0</v>
      </c>
      <c r="D488" s="1" t="s">
        <v>1695</v>
      </c>
      <c r="E488" s="1" t="s">
        <v>1696</v>
      </c>
      <c r="F488" s="1" t="s">
        <v>320</v>
      </c>
      <c r="G488" s="1" t="s">
        <v>36</v>
      </c>
      <c r="H488" s="1" t="s">
        <v>30</v>
      </c>
      <c r="I488" s="1" t="s">
        <v>16</v>
      </c>
      <c r="J488" s="1">
        <v>1</v>
      </c>
      <c r="K488" s="1">
        <v>8</v>
      </c>
      <c r="L488" s="1" t="s">
        <v>31</v>
      </c>
      <c r="M488" s="1" t="s">
        <v>18</v>
      </c>
      <c r="N488" s="1" t="s">
        <v>18</v>
      </c>
      <c r="O488" s="1">
        <v>3</v>
      </c>
      <c r="P488" s="1">
        <v>6</v>
      </c>
      <c r="R488" s="1" t="s">
        <v>62</v>
      </c>
      <c r="S488" s="1" t="s">
        <v>20</v>
      </c>
      <c r="T488" s="1" t="s">
        <v>21</v>
      </c>
      <c r="U488" s="1" t="s">
        <v>22</v>
      </c>
      <c r="V488" s="1" t="s">
        <v>24</v>
      </c>
      <c r="W488" s="1" t="s">
        <v>24</v>
      </c>
      <c r="X488" s="1">
        <v>2716</v>
      </c>
      <c r="Y488" s="1">
        <v>2713</v>
      </c>
      <c r="Z488" s="1" t="s">
        <v>24</v>
      </c>
      <c r="AA488" s="1" t="s">
        <v>24</v>
      </c>
      <c r="AB488" s="1" t="s">
        <v>24</v>
      </c>
      <c r="AC488" s="1" t="s">
        <v>24</v>
      </c>
      <c r="AD488" s="1" t="s">
        <v>24</v>
      </c>
      <c r="AE488" s="1" t="s">
        <v>24</v>
      </c>
      <c r="AF488" s="22"/>
    </row>
    <row r="489" spans="1:32" x14ac:dyDescent="0.2">
      <c r="A489" s="1">
        <v>2826</v>
      </c>
      <c r="B489" s="1" t="s">
        <v>1697</v>
      </c>
      <c r="C489" s="5" t="s">
        <v>0</v>
      </c>
      <c r="D489" s="1" t="s">
        <v>1698</v>
      </c>
      <c r="E489" s="1" t="s">
        <v>1699</v>
      </c>
      <c r="F489" s="1" t="s">
        <v>109</v>
      </c>
      <c r="G489" s="1" t="s">
        <v>110</v>
      </c>
      <c r="H489" s="1" t="s">
        <v>111</v>
      </c>
      <c r="I489" s="1" t="s">
        <v>16</v>
      </c>
      <c r="J489" s="1">
        <v>1</v>
      </c>
      <c r="K489" s="1">
        <v>6</v>
      </c>
      <c r="L489" s="1" t="s">
        <v>31</v>
      </c>
      <c r="M489" s="1" t="s">
        <v>18</v>
      </c>
      <c r="N489" s="1" t="s">
        <v>18</v>
      </c>
      <c r="O489" s="1">
        <v>3</v>
      </c>
      <c r="P489" s="1">
        <v>7</v>
      </c>
      <c r="Q489" s="7" t="s">
        <v>17633</v>
      </c>
      <c r="R489" s="1" t="s">
        <v>19</v>
      </c>
      <c r="S489" s="1" t="s">
        <v>20</v>
      </c>
      <c r="T489" s="1" t="s">
        <v>21</v>
      </c>
      <c r="U489" s="1" t="s">
        <v>22</v>
      </c>
      <c r="V489" s="1" t="s">
        <v>23</v>
      </c>
      <c r="W489" s="1" t="s">
        <v>24</v>
      </c>
      <c r="X489" s="1">
        <v>1302</v>
      </c>
      <c r="Y489" s="1">
        <v>2717</v>
      </c>
      <c r="Z489" s="1" t="s">
        <v>24</v>
      </c>
      <c r="AA489" s="1" t="s">
        <v>24</v>
      </c>
      <c r="AB489" s="1" t="s">
        <v>24</v>
      </c>
      <c r="AC489" s="1" t="s">
        <v>24</v>
      </c>
      <c r="AD489" s="1" t="s">
        <v>24</v>
      </c>
      <c r="AE489" s="1" t="s">
        <v>24</v>
      </c>
      <c r="AF489" s="22"/>
    </row>
    <row r="490" spans="1:32" x14ac:dyDescent="0.2">
      <c r="A490" s="1">
        <v>2845</v>
      </c>
      <c r="B490" s="1" t="s">
        <v>1700</v>
      </c>
      <c r="C490" s="5" t="s">
        <v>0</v>
      </c>
      <c r="D490" s="1" t="s">
        <v>1701</v>
      </c>
      <c r="E490" s="1" t="s">
        <v>1702</v>
      </c>
      <c r="F490" s="1" t="s">
        <v>1683</v>
      </c>
      <c r="G490" s="1" t="s">
        <v>61</v>
      </c>
      <c r="H490" s="1" t="s">
        <v>116</v>
      </c>
      <c r="I490" s="1" t="s">
        <v>16</v>
      </c>
      <c r="J490" s="1">
        <v>1</v>
      </c>
      <c r="K490" s="1">
        <v>10</v>
      </c>
      <c r="L490" s="1" t="s">
        <v>31</v>
      </c>
      <c r="M490" s="1" t="s">
        <v>117</v>
      </c>
      <c r="N490" s="1" t="s">
        <v>18</v>
      </c>
      <c r="O490" s="1">
        <v>1</v>
      </c>
      <c r="P490" s="1">
        <v>3</v>
      </c>
      <c r="R490" s="1" t="s">
        <v>19</v>
      </c>
      <c r="S490" s="1" t="s">
        <v>20</v>
      </c>
      <c r="T490" s="1" t="s">
        <v>21</v>
      </c>
      <c r="U490" s="1" t="s">
        <v>22</v>
      </c>
      <c r="V490" s="1" t="s">
        <v>24</v>
      </c>
      <c r="W490" s="1" t="s">
        <v>24</v>
      </c>
      <c r="X490" s="1">
        <v>2715</v>
      </c>
      <c r="Y490" s="1">
        <v>2721</v>
      </c>
      <c r="Z490" s="1" t="s">
        <v>24</v>
      </c>
      <c r="AA490" s="1" t="s">
        <v>24</v>
      </c>
      <c r="AB490" s="1" t="s">
        <v>24</v>
      </c>
      <c r="AC490" s="1" t="s">
        <v>24</v>
      </c>
      <c r="AD490" s="1" t="s">
        <v>24</v>
      </c>
      <c r="AE490" s="1" t="s">
        <v>24</v>
      </c>
      <c r="AF490" s="22"/>
    </row>
    <row r="491" spans="1:32" x14ac:dyDescent="0.2">
      <c r="A491" s="1">
        <v>2847</v>
      </c>
      <c r="B491" s="1" t="s">
        <v>1703</v>
      </c>
      <c r="C491" s="5" t="s">
        <v>0</v>
      </c>
      <c r="D491" s="1" t="s">
        <v>1704</v>
      </c>
      <c r="E491" s="1" t="s">
        <v>1705</v>
      </c>
      <c r="F491" s="1" t="s">
        <v>272</v>
      </c>
      <c r="G491" s="1" t="s">
        <v>61</v>
      </c>
      <c r="H491" s="1" t="s">
        <v>30</v>
      </c>
      <c r="I491" s="1" t="s">
        <v>16</v>
      </c>
      <c r="J491" s="1">
        <v>1</v>
      </c>
      <c r="K491" s="1">
        <v>6</v>
      </c>
      <c r="L491" s="1" t="s">
        <v>31</v>
      </c>
      <c r="M491" s="1" t="s">
        <v>18</v>
      </c>
      <c r="N491" s="1" t="s">
        <v>18</v>
      </c>
      <c r="O491" s="1">
        <v>3</v>
      </c>
      <c r="P491" s="1">
        <v>6</v>
      </c>
      <c r="R491" s="1" t="s">
        <v>19</v>
      </c>
      <c r="S491" s="1" t="s">
        <v>20</v>
      </c>
      <c r="T491" s="1" t="s">
        <v>21</v>
      </c>
      <c r="U491" s="1" t="s">
        <v>22</v>
      </c>
      <c r="V491" s="1" t="s">
        <v>23</v>
      </c>
      <c r="W491" s="1" t="s">
        <v>24</v>
      </c>
      <c r="X491" s="1">
        <v>2738</v>
      </c>
      <c r="Y491" s="1" t="s">
        <v>24</v>
      </c>
      <c r="Z491" s="1" t="s">
        <v>24</v>
      </c>
      <c r="AA491" s="1" t="s">
        <v>24</v>
      </c>
      <c r="AB491" s="1" t="s">
        <v>24</v>
      </c>
      <c r="AC491" s="1" t="s">
        <v>24</v>
      </c>
      <c r="AD491" s="1" t="s">
        <v>24</v>
      </c>
      <c r="AE491" s="1" t="s">
        <v>24</v>
      </c>
      <c r="AF491" s="22"/>
    </row>
    <row r="492" spans="1:32" x14ac:dyDescent="0.2">
      <c r="A492" s="1">
        <v>2858</v>
      </c>
      <c r="B492" s="1" t="s">
        <v>1706</v>
      </c>
      <c r="C492" s="5" t="s">
        <v>0</v>
      </c>
      <c r="D492" s="1" t="s">
        <v>1707</v>
      </c>
      <c r="F492" s="1" t="s">
        <v>1708</v>
      </c>
      <c r="G492" s="1" t="s">
        <v>1708</v>
      </c>
      <c r="H492" s="1" t="s">
        <v>684</v>
      </c>
      <c r="I492" s="1" t="s">
        <v>16</v>
      </c>
      <c r="J492" s="1">
        <v>1</v>
      </c>
      <c r="K492" s="1">
        <v>6</v>
      </c>
      <c r="L492" s="1" t="s">
        <v>17</v>
      </c>
      <c r="M492" s="1" t="s">
        <v>852</v>
      </c>
      <c r="N492" s="1" t="s">
        <v>18</v>
      </c>
      <c r="O492" s="1">
        <v>2</v>
      </c>
      <c r="P492" s="1">
        <v>5</v>
      </c>
      <c r="R492" s="1" t="s">
        <v>19</v>
      </c>
      <c r="S492" s="1" t="s">
        <v>20</v>
      </c>
      <c r="T492" s="1" t="s">
        <v>21</v>
      </c>
      <c r="U492" s="1" t="s">
        <v>22</v>
      </c>
      <c r="V492" s="1" t="s">
        <v>23</v>
      </c>
      <c r="W492" s="1" t="s">
        <v>24</v>
      </c>
      <c r="X492" s="1">
        <v>2708</v>
      </c>
      <c r="Y492" s="1" t="s">
        <v>24</v>
      </c>
      <c r="Z492" s="1" t="s">
        <v>24</v>
      </c>
      <c r="AA492" s="1" t="s">
        <v>24</v>
      </c>
      <c r="AB492" s="1" t="s">
        <v>24</v>
      </c>
      <c r="AC492" s="1" t="s">
        <v>24</v>
      </c>
      <c r="AD492" s="1" t="s">
        <v>24</v>
      </c>
      <c r="AE492" s="1" t="s">
        <v>24</v>
      </c>
      <c r="AF492" s="22" t="s">
        <v>17716</v>
      </c>
    </row>
    <row r="493" spans="1:32" x14ac:dyDescent="0.2">
      <c r="A493" s="1">
        <v>2861</v>
      </c>
      <c r="B493" s="1" t="s">
        <v>1709</v>
      </c>
      <c r="C493" s="5" t="s">
        <v>0</v>
      </c>
      <c r="D493" s="1" t="s">
        <v>1710</v>
      </c>
      <c r="F493" s="1" t="s">
        <v>1711</v>
      </c>
      <c r="G493" s="1" t="s">
        <v>1712</v>
      </c>
      <c r="H493" s="1" t="s">
        <v>684</v>
      </c>
      <c r="I493" s="1" t="s">
        <v>16</v>
      </c>
      <c r="J493" s="1">
        <v>1</v>
      </c>
      <c r="K493" s="1">
        <v>6</v>
      </c>
      <c r="L493" s="1" t="s">
        <v>31</v>
      </c>
      <c r="M493" s="1" t="s">
        <v>852</v>
      </c>
      <c r="N493" s="1" t="s">
        <v>685</v>
      </c>
      <c r="O493" s="1">
        <v>3</v>
      </c>
      <c r="P493" s="1">
        <v>5</v>
      </c>
      <c r="R493" s="1" t="s">
        <v>19</v>
      </c>
      <c r="S493" s="1" t="s">
        <v>20</v>
      </c>
      <c r="T493" s="1" t="s">
        <v>21</v>
      </c>
      <c r="U493" s="1" t="s">
        <v>22</v>
      </c>
      <c r="V493" s="1" t="s">
        <v>23</v>
      </c>
      <c r="W493" s="1" t="s">
        <v>24</v>
      </c>
      <c r="X493" s="1">
        <v>1302</v>
      </c>
      <c r="Y493" s="1">
        <v>2717</v>
      </c>
      <c r="Z493" s="1" t="s">
        <v>24</v>
      </c>
      <c r="AA493" s="1" t="s">
        <v>24</v>
      </c>
      <c r="AB493" s="1" t="s">
        <v>24</v>
      </c>
      <c r="AC493" s="1" t="s">
        <v>24</v>
      </c>
      <c r="AD493" s="1" t="s">
        <v>24</v>
      </c>
      <c r="AE493" s="1" t="s">
        <v>24</v>
      </c>
      <c r="AF493" s="22"/>
    </row>
    <row r="494" spans="1:32" x14ac:dyDescent="0.2">
      <c r="A494" s="1">
        <v>2866</v>
      </c>
      <c r="B494" s="1" t="s">
        <v>1713</v>
      </c>
      <c r="C494" s="5" t="s">
        <v>0</v>
      </c>
      <c r="D494" s="1" t="s">
        <v>1714</v>
      </c>
      <c r="E494" s="1" t="s">
        <v>1715</v>
      </c>
      <c r="F494" s="1" t="s">
        <v>1716</v>
      </c>
      <c r="G494" s="1" t="s">
        <v>1716</v>
      </c>
      <c r="H494" s="1" t="s">
        <v>684</v>
      </c>
      <c r="I494" s="1" t="s">
        <v>16</v>
      </c>
      <c r="J494" s="1">
        <v>1</v>
      </c>
      <c r="K494" s="1">
        <v>6</v>
      </c>
      <c r="L494" s="1" t="s">
        <v>42</v>
      </c>
      <c r="M494" s="1" t="s">
        <v>852</v>
      </c>
      <c r="N494" s="1" t="s">
        <v>852</v>
      </c>
      <c r="O494" s="1">
        <v>2</v>
      </c>
      <c r="P494" s="1">
        <v>4</v>
      </c>
      <c r="R494" s="1" t="s">
        <v>19</v>
      </c>
      <c r="S494" s="1" t="s">
        <v>20</v>
      </c>
      <c r="T494" s="1" t="s">
        <v>21</v>
      </c>
      <c r="U494" s="1" t="s">
        <v>22</v>
      </c>
      <c r="V494" s="1" t="s">
        <v>24</v>
      </c>
      <c r="W494" s="1" t="s">
        <v>24</v>
      </c>
      <c r="X494" s="1">
        <v>2729</v>
      </c>
      <c r="Y494" s="1" t="s">
        <v>24</v>
      </c>
      <c r="Z494" s="1" t="s">
        <v>24</v>
      </c>
      <c r="AA494" s="1" t="s">
        <v>24</v>
      </c>
      <c r="AB494" s="1" t="s">
        <v>24</v>
      </c>
      <c r="AC494" s="1" t="s">
        <v>24</v>
      </c>
      <c r="AD494" s="1" t="s">
        <v>24</v>
      </c>
      <c r="AE494" s="1" t="s">
        <v>24</v>
      </c>
      <c r="AF494" s="22"/>
    </row>
    <row r="495" spans="1:32" x14ac:dyDescent="0.2">
      <c r="A495" s="1">
        <v>2878</v>
      </c>
      <c r="B495" s="1" t="s">
        <v>1717</v>
      </c>
      <c r="C495" s="5" t="s">
        <v>0</v>
      </c>
      <c r="D495" s="1" t="s">
        <v>1718</v>
      </c>
      <c r="E495" s="1" t="s">
        <v>1719</v>
      </c>
      <c r="F495" s="1" t="s">
        <v>217</v>
      </c>
      <c r="G495" s="1" t="s">
        <v>130</v>
      </c>
      <c r="H495" s="1" t="s">
        <v>92</v>
      </c>
      <c r="I495" s="1" t="s">
        <v>16</v>
      </c>
      <c r="J495" s="1">
        <v>1</v>
      </c>
      <c r="K495" s="1">
        <v>9</v>
      </c>
      <c r="L495" s="1" t="s">
        <v>31</v>
      </c>
      <c r="M495" s="1" t="s">
        <v>18</v>
      </c>
      <c r="N495" s="1" t="s">
        <v>18</v>
      </c>
      <c r="O495" s="1">
        <v>3</v>
      </c>
      <c r="P495" s="1">
        <v>7</v>
      </c>
      <c r="Q495" s="7" t="s">
        <v>17633</v>
      </c>
      <c r="R495" s="1" t="s">
        <v>62</v>
      </c>
      <c r="S495" s="1" t="s">
        <v>20</v>
      </c>
      <c r="T495" s="1" t="s">
        <v>21</v>
      </c>
      <c r="U495" s="1" t="s">
        <v>22</v>
      </c>
      <c r="V495" s="1" t="s">
        <v>24</v>
      </c>
      <c r="W495" s="1" t="s">
        <v>64</v>
      </c>
      <c r="X495" s="1">
        <v>1303</v>
      </c>
      <c r="Y495" s="1">
        <v>1307</v>
      </c>
      <c r="Z495" s="1">
        <v>1312</v>
      </c>
      <c r="AA495" s="1" t="s">
        <v>24</v>
      </c>
      <c r="AB495" s="1" t="s">
        <v>24</v>
      </c>
      <c r="AC495" s="1" t="s">
        <v>24</v>
      </c>
      <c r="AD495" s="1" t="s">
        <v>24</v>
      </c>
      <c r="AE495" s="1" t="s">
        <v>24</v>
      </c>
      <c r="AF495" s="22"/>
    </row>
    <row r="496" spans="1:32" x14ac:dyDescent="0.2">
      <c r="A496" s="1">
        <v>2885</v>
      </c>
      <c r="B496" s="1" t="s">
        <v>1720</v>
      </c>
      <c r="C496" s="5" t="s">
        <v>0</v>
      </c>
      <c r="D496" s="1" t="s">
        <v>1721</v>
      </c>
      <c r="F496" s="1" t="s">
        <v>1708</v>
      </c>
      <c r="G496" s="1" t="s">
        <v>1708</v>
      </c>
      <c r="H496" s="1" t="s">
        <v>684</v>
      </c>
      <c r="I496" s="1" t="s">
        <v>16</v>
      </c>
      <c r="J496" s="1">
        <v>1</v>
      </c>
      <c r="K496" s="1">
        <v>6</v>
      </c>
      <c r="L496" s="1" t="s">
        <v>17</v>
      </c>
      <c r="M496" s="1" t="s">
        <v>852</v>
      </c>
      <c r="N496" s="1" t="s">
        <v>18</v>
      </c>
      <c r="O496" s="1">
        <v>2</v>
      </c>
      <c r="P496" s="1">
        <v>4</v>
      </c>
      <c r="R496" s="1" t="s">
        <v>19</v>
      </c>
      <c r="S496" s="1" t="s">
        <v>20</v>
      </c>
      <c r="T496" s="1" t="s">
        <v>21</v>
      </c>
      <c r="U496" s="1" t="s">
        <v>22</v>
      </c>
      <c r="V496" s="1" t="s">
        <v>24</v>
      </c>
      <c r="W496" s="1" t="s">
        <v>24</v>
      </c>
      <c r="X496" s="1">
        <v>2700</v>
      </c>
      <c r="Y496" s="1" t="s">
        <v>24</v>
      </c>
      <c r="Z496" s="1" t="s">
        <v>24</v>
      </c>
      <c r="AA496" s="1" t="s">
        <v>24</v>
      </c>
      <c r="AB496" s="1" t="s">
        <v>24</v>
      </c>
      <c r="AC496" s="1" t="s">
        <v>24</v>
      </c>
      <c r="AD496" s="1" t="s">
        <v>24</v>
      </c>
      <c r="AE496" s="1" t="s">
        <v>24</v>
      </c>
      <c r="AF496" s="22"/>
    </row>
    <row r="497" spans="1:32" x14ac:dyDescent="0.2">
      <c r="A497" s="1">
        <v>2895</v>
      </c>
      <c r="B497" s="1" t="s">
        <v>1722</v>
      </c>
      <c r="C497" s="5" t="s">
        <v>0</v>
      </c>
      <c r="D497" s="1" t="s">
        <v>1723</v>
      </c>
      <c r="F497" s="1" t="s">
        <v>1724</v>
      </c>
      <c r="G497" s="1" t="s">
        <v>1724</v>
      </c>
      <c r="H497" s="1" t="s">
        <v>92</v>
      </c>
      <c r="I497" s="1" t="s">
        <v>16</v>
      </c>
      <c r="J497" s="1">
        <v>1</v>
      </c>
      <c r="K497" s="1">
        <v>12</v>
      </c>
      <c r="L497" s="1" t="s">
        <v>42</v>
      </c>
      <c r="M497" s="1" t="s">
        <v>1646</v>
      </c>
      <c r="N497" s="1" t="s">
        <v>1646</v>
      </c>
      <c r="O497" s="1">
        <v>0</v>
      </c>
      <c r="P497" s="1">
        <v>5</v>
      </c>
      <c r="R497" s="1" t="s">
        <v>19</v>
      </c>
      <c r="S497" s="1" t="s">
        <v>20</v>
      </c>
      <c r="T497" s="1" t="s">
        <v>21</v>
      </c>
      <c r="U497" s="1" t="s">
        <v>22</v>
      </c>
      <c r="V497" s="1" t="s">
        <v>24</v>
      </c>
      <c r="W497" s="1" t="s">
        <v>24</v>
      </c>
      <c r="X497" s="1">
        <v>3004</v>
      </c>
      <c r="Y497" s="1">
        <v>2736</v>
      </c>
      <c r="Z497" s="1" t="s">
        <v>24</v>
      </c>
      <c r="AA497" s="1" t="s">
        <v>24</v>
      </c>
      <c r="AB497" s="1" t="s">
        <v>24</v>
      </c>
      <c r="AC497" s="1" t="s">
        <v>24</v>
      </c>
      <c r="AD497" s="1" t="s">
        <v>24</v>
      </c>
      <c r="AE497" s="1" t="s">
        <v>24</v>
      </c>
      <c r="AF497" s="22"/>
    </row>
    <row r="498" spans="1:32" x14ac:dyDescent="0.2">
      <c r="A498" s="1">
        <v>2897</v>
      </c>
      <c r="B498" s="1" t="s">
        <v>1725</v>
      </c>
      <c r="C498" s="5" t="s">
        <v>0</v>
      </c>
      <c r="D498" s="1" t="s">
        <v>1726</v>
      </c>
      <c r="E498" s="1" t="s">
        <v>1727</v>
      </c>
      <c r="F498" s="1" t="s">
        <v>109</v>
      </c>
      <c r="G498" s="1" t="s">
        <v>110</v>
      </c>
      <c r="H498" s="1" t="s">
        <v>111</v>
      </c>
      <c r="I498" s="1" t="s">
        <v>16</v>
      </c>
      <c r="J498" s="1">
        <v>2</v>
      </c>
      <c r="K498" s="1">
        <v>4</v>
      </c>
      <c r="L498" s="1" t="s">
        <v>31</v>
      </c>
      <c r="M498" s="1" t="s">
        <v>18</v>
      </c>
      <c r="N498" s="1" t="s">
        <v>18</v>
      </c>
      <c r="O498" s="1">
        <v>3</v>
      </c>
      <c r="P498" s="1">
        <v>7</v>
      </c>
      <c r="Q498" s="7" t="s">
        <v>17633</v>
      </c>
      <c r="R498" s="1" t="s">
        <v>19</v>
      </c>
      <c r="S498" s="1" t="s">
        <v>20</v>
      </c>
      <c r="T498" s="1" t="s">
        <v>21</v>
      </c>
      <c r="U498" s="1" t="s">
        <v>22</v>
      </c>
      <c r="V498" s="1" t="s">
        <v>24</v>
      </c>
      <c r="W498" s="1" t="s">
        <v>24</v>
      </c>
      <c r="X498" s="1">
        <v>2729</v>
      </c>
      <c r="Y498" s="1">
        <v>2743</v>
      </c>
      <c r="Z498" s="1" t="s">
        <v>24</v>
      </c>
      <c r="AA498" s="1" t="s">
        <v>24</v>
      </c>
      <c r="AB498" s="1" t="s">
        <v>24</v>
      </c>
      <c r="AC498" s="1" t="s">
        <v>24</v>
      </c>
      <c r="AD498" s="1" t="s">
        <v>24</v>
      </c>
      <c r="AE498" s="1" t="s">
        <v>24</v>
      </c>
      <c r="AF498" s="22"/>
    </row>
    <row r="499" spans="1:32" x14ac:dyDescent="0.2">
      <c r="A499" s="1">
        <v>2898</v>
      </c>
      <c r="B499" s="1" t="s">
        <v>1728</v>
      </c>
      <c r="C499" s="5" t="s">
        <v>0</v>
      </c>
      <c r="D499" s="1" t="s">
        <v>1729</v>
      </c>
      <c r="F499" s="1" t="s">
        <v>1730</v>
      </c>
      <c r="G499" s="1" t="s">
        <v>1373</v>
      </c>
      <c r="H499" s="1" t="s">
        <v>878</v>
      </c>
      <c r="I499" s="1" t="s">
        <v>16</v>
      </c>
      <c r="J499" s="1">
        <v>1</v>
      </c>
      <c r="K499" s="1">
        <v>12</v>
      </c>
      <c r="L499" s="1" t="s">
        <v>42</v>
      </c>
      <c r="M499" s="1" t="s">
        <v>117</v>
      </c>
      <c r="N499" s="1" t="s">
        <v>118</v>
      </c>
      <c r="O499" s="1">
        <v>2</v>
      </c>
      <c r="P499" s="1">
        <v>4</v>
      </c>
      <c r="R499" s="1" t="s">
        <v>19</v>
      </c>
      <c r="S499" s="1" t="s">
        <v>20</v>
      </c>
      <c r="T499" s="1" t="s">
        <v>21</v>
      </c>
      <c r="U499" s="1" t="s">
        <v>22</v>
      </c>
      <c r="V499" s="1" t="s">
        <v>24</v>
      </c>
      <c r="W499" s="1" t="s">
        <v>24</v>
      </c>
      <c r="X499" s="1">
        <v>2729</v>
      </c>
      <c r="Y499" s="1" t="s">
        <v>24</v>
      </c>
      <c r="Z499" s="1" t="s">
        <v>24</v>
      </c>
      <c r="AA499" s="1" t="s">
        <v>24</v>
      </c>
      <c r="AB499" s="1" t="s">
        <v>24</v>
      </c>
      <c r="AC499" s="1" t="s">
        <v>24</v>
      </c>
      <c r="AD499" s="1" t="s">
        <v>24</v>
      </c>
      <c r="AE499" s="1" t="s">
        <v>24</v>
      </c>
      <c r="AF499" s="22"/>
    </row>
    <row r="500" spans="1:32" x14ac:dyDescent="0.2">
      <c r="A500" s="1">
        <v>2932</v>
      </c>
      <c r="B500" s="1" t="s">
        <v>1731</v>
      </c>
      <c r="C500" s="5" t="s">
        <v>0</v>
      </c>
      <c r="D500" s="1" t="s">
        <v>1732</v>
      </c>
      <c r="F500" s="1" t="s">
        <v>1733</v>
      </c>
      <c r="G500" s="1" t="s">
        <v>1734</v>
      </c>
      <c r="H500" s="1" t="s">
        <v>461</v>
      </c>
      <c r="I500" s="1" t="s">
        <v>16</v>
      </c>
      <c r="J500" s="1">
        <v>1</v>
      </c>
      <c r="K500" s="1">
        <v>13</v>
      </c>
      <c r="L500" s="1" t="s">
        <v>17</v>
      </c>
      <c r="M500" s="1" t="s">
        <v>1735</v>
      </c>
      <c r="N500" s="1" t="s">
        <v>1097</v>
      </c>
      <c r="O500" s="1">
        <v>3</v>
      </c>
      <c r="P500" s="1">
        <v>5</v>
      </c>
      <c r="R500" s="1" t="s">
        <v>19</v>
      </c>
      <c r="S500" s="1" t="s">
        <v>20</v>
      </c>
      <c r="T500" s="1" t="s">
        <v>21</v>
      </c>
      <c r="U500" s="1" t="s">
        <v>22</v>
      </c>
      <c r="V500" s="1" t="s">
        <v>24</v>
      </c>
      <c r="W500" s="1" t="s">
        <v>24</v>
      </c>
      <c r="X500" s="1">
        <v>1306</v>
      </c>
      <c r="Y500" s="1">
        <v>2730</v>
      </c>
      <c r="Z500" s="1" t="s">
        <v>24</v>
      </c>
      <c r="AA500" s="1" t="s">
        <v>24</v>
      </c>
      <c r="AB500" s="1" t="s">
        <v>24</v>
      </c>
      <c r="AC500" s="1" t="s">
        <v>24</v>
      </c>
      <c r="AD500" s="1" t="s">
        <v>24</v>
      </c>
      <c r="AE500" s="1" t="s">
        <v>24</v>
      </c>
      <c r="AF500" s="22"/>
    </row>
    <row r="501" spans="1:32" x14ac:dyDescent="0.2">
      <c r="A501" s="1">
        <v>2939</v>
      </c>
      <c r="B501" s="1" t="s">
        <v>1736</v>
      </c>
      <c r="C501" s="5" t="s">
        <v>0</v>
      </c>
      <c r="D501" s="1" t="s">
        <v>1737</v>
      </c>
      <c r="E501" s="1" t="s">
        <v>1738</v>
      </c>
      <c r="F501" s="1" t="s">
        <v>159</v>
      </c>
      <c r="G501" s="1" t="s">
        <v>160</v>
      </c>
      <c r="H501" s="1" t="s">
        <v>37</v>
      </c>
      <c r="I501" s="1" t="s">
        <v>16</v>
      </c>
      <c r="J501" s="1">
        <v>1</v>
      </c>
      <c r="K501" s="1">
        <v>12</v>
      </c>
      <c r="L501" s="1" t="s">
        <v>42</v>
      </c>
      <c r="M501" s="1" t="s">
        <v>18</v>
      </c>
      <c r="N501" s="1" t="s">
        <v>18</v>
      </c>
      <c r="O501" s="1">
        <v>3</v>
      </c>
      <c r="P501" s="1">
        <v>8</v>
      </c>
      <c r="Q501" s="7" t="s">
        <v>17633</v>
      </c>
      <c r="R501" s="1" t="s">
        <v>62</v>
      </c>
      <c r="S501" s="1" t="s">
        <v>63</v>
      </c>
      <c r="T501" s="1" t="s">
        <v>21</v>
      </c>
      <c r="U501" s="1" t="s">
        <v>22</v>
      </c>
      <c r="V501" s="1" t="s">
        <v>24</v>
      </c>
      <c r="W501" s="1" t="s">
        <v>24</v>
      </c>
      <c r="X501" s="1">
        <v>2715</v>
      </c>
      <c r="Y501" s="1" t="s">
        <v>24</v>
      </c>
      <c r="Z501" s="1" t="s">
        <v>24</v>
      </c>
      <c r="AA501" s="1" t="s">
        <v>24</v>
      </c>
      <c r="AB501" s="1" t="s">
        <v>24</v>
      </c>
      <c r="AC501" s="1" t="s">
        <v>24</v>
      </c>
      <c r="AD501" s="1" t="s">
        <v>24</v>
      </c>
      <c r="AE501" s="1" t="s">
        <v>24</v>
      </c>
      <c r="AF501" s="22"/>
    </row>
    <row r="502" spans="1:32" x14ac:dyDescent="0.2">
      <c r="A502" s="1">
        <v>2954</v>
      </c>
      <c r="B502" s="1" t="s">
        <v>1739</v>
      </c>
      <c r="C502" s="5" t="s">
        <v>0</v>
      </c>
      <c r="D502" s="1" t="s">
        <v>1740</v>
      </c>
      <c r="E502" s="1" t="s">
        <v>1741</v>
      </c>
      <c r="F502" s="1" t="s">
        <v>167</v>
      </c>
      <c r="G502" s="1" t="s">
        <v>130</v>
      </c>
      <c r="H502" s="1" t="s">
        <v>168</v>
      </c>
      <c r="I502" s="1" t="s">
        <v>16</v>
      </c>
      <c r="J502" s="1">
        <v>1</v>
      </c>
      <c r="K502" s="1">
        <v>12</v>
      </c>
      <c r="L502" s="1" t="s">
        <v>31</v>
      </c>
      <c r="M502" s="1" t="s">
        <v>413</v>
      </c>
      <c r="N502" s="1" t="s">
        <v>679</v>
      </c>
      <c r="O502" s="1">
        <v>3</v>
      </c>
      <c r="P502" s="1">
        <v>5</v>
      </c>
      <c r="R502" s="1" t="s">
        <v>19</v>
      </c>
      <c r="S502" s="1" t="s">
        <v>20</v>
      </c>
      <c r="T502" s="1" t="s">
        <v>21</v>
      </c>
      <c r="U502" s="1" t="s">
        <v>22</v>
      </c>
      <c r="V502" s="1" t="s">
        <v>24</v>
      </c>
      <c r="W502" s="1" t="s">
        <v>24</v>
      </c>
      <c r="X502" s="1">
        <v>2729</v>
      </c>
      <c r="Y502" s="1" t="s">
        <v>24</v>
      </c>
      <c r="Z502" s="1" t="s">
        <v>24</v>
      </c>
      <c r="AA502" s="1" t="s">
        <v>24</v>
      </c>
      <c r="AB502" s="1" t="s">
        <v>24</v>
      </c>
      <c r="AC502" s="1" t="s">
        <v>24</v>
      </c>
      <c r="AD502" s="1" t="s">
        <v>24</v>
      </c>
      <c r="AE502" s="1" t="s">
        <v>24</v>
      </c>
      <c r="AF502" s="22"/>
    </row>
    <row r="503" spans="1:32" x14ac:dyDescent="0.2">
      <c r="A503" s="1">
        <v>2955</v>
      </c>
      <c r="B503" s="1" t="s">
        <v>1742</v>
      </c>
      <c r="C503" s="5" t="s">
        <v>0</v>
      </c>
      <c r="D503" s="1" t="s">
        <v>1743</v>
      </c>
      <c r="E503" s="1" t="s">
        <v>1744</v>
      </c>
      <c r="F503" s="1" t="s">
        <v>60</v>
      </c>
      <c r="G503" s="1" t="s">
        <v>61</v>
      </c>
      <c r="H503" s="1" t="s">
        <v>30</v>
      </c>
      <c r="I503" s="1" t="s">
        <v>16</v>
      </c>
      <c r="J503" s="1">
        <v>4</v>
      </c>
      <c r="K503" s="1">
        <v>3</v>
      </c>
      <c r="L503" s="1" t="s">
        <v>31</v>
      </c>
      <c r="M503" s="1" t="s">
        <v>18</v>
      </c>
      <c r="N503" s="1" t="s">
        <v>18</v>
      </c>
      <c r="O503" s="1">
        <v>3</v>
      </c>
      <c r="P503" s="1">
        <v>7</v>
      </c>
      <c r="Q503" s="7" t="s">
        <v>17633</v>
      </c>
      <c r="R503" s="1" t="s">
        <v>19</v>
      </c>
      <c r="S503" s="1" t="s">
        <v>20</v>
      </c>
      <c r="T503" s="1" t="s">
        <v>21</v>
      </c>
      <c r="U503" s="1" t="s">
        <v>22</v>
      </c>
      <c r="V503" s="1" t="s">
        <v>24</v>
      </c>
      <c r="W503" s="1" t="s">
        <v>24</v>
      </c>
      <c r="X503" s="1">
        <v>2729</v>
      </c>
      <c r="Y503" s="1">
        <v>2730</v>
      </c>
      <c r="Z503" s="1" t="s">
        <v>24</v>
      </c>
      <c r="AA503" s="1" t="s">
        <v>24</v>
      </c>
      <c r="AB503" s="1" t="s">
        <v>24</v>
      </c>
      <c r="AC503" s="1" t="s">
        <v>24</v>
      </c>
      <c r="AD503" s="1" t="s">
        <v>24</v>
      </c>
      <c r="AE503" s="1" t="s">
        <v>24</v>
      </c>
      <c r="AF503" s="22"/>
    </row>
    <row r="504" spans="1:32" x14ac:dyDescent="0.2">
      <c r="A504" s="1">
        <v>2957</v>
      </c>
      <c r="B504" s="1" t="s">
        <v>1745</v>
      </c>
      <c r="C504" s="5" t="s">
        <v>0</v>
      </c>
      <c r="D504" s="1" t="s">
        <v>1746</v>
      </c>
      <c r="F504" s="1" t="s">
        <v>1747</v>
      </c>
      <c r="G504" s="1" t="s">
        <v>1747</v>
      </c>
      <c r="H504" s="1" t="s">
        <v>168</v>
      </c>
      <c r="I504" s="1" t="s">
        <v>16</v>
      </c>
      <c r="J504" s="1">
        <v>1</v>
      </c>
      <c r="K504" s="1">
        <v>4</v>
      </c>
      <c r="L504" s="1" t="s">
        <v>17</v>
      </c>
      <c r="M504" s="1" t="s">
        <v>413</v>
      </c>
      <c r="N504" s="1" t="s">
        <v>679</v>
      </c>
      <c r="O504" s="1">
        <v>3</v>
      </c>
      <c r="P504" s="1">
        <v>5</v>
      </c>
      <c r="R504" s="1" t="s">
        <v>19</v>
      </c>
      <c r="S504" s="1" t="s">
        <v>20</v>
      </c>
      <c r="T504" s="1" t="s">
        <v>21</v>
      </c>
      <c r="U504" s="1" t="s">
        <v>22</v>
      </c>
      <c r="V504" s="1" t="s">
        <v>24</v>
      </c>
      <c r="W504" s="1" t="s">
        <v>24</v>
      </c>
      <c r="X504" s="1">
        <v>2729</v>
      </c>
      <c r="Y504" s="1" t="s">
        <v>24</v>
      </c>
      <c r="Z504" s="1" t="s">
        <v>24</v>
      </c>
      <c r="AA504" s="1" t="s">
        <v>24</v>
      </c>
      <c r="AB504" s="1" t="s">
        <v>24</v>
      </c>
      <c r="AC504" s="1" t="s">
        <v>24</v>
      </c>
      <c r="AD504" s="1" t="s">
        <v>24</v>
      </c>
      <c r="AE504" s="1" t="s">
        <v>24</v>
      </c>
      <c r="AF504" s="22"/>
    </row>
    <row r="505" spans="1:32" x14ac:dyDescent="0.2">
      <c r="A505" s="1">
        <v>2961</v>
      </c>
      <c r="B505" s="1" t="s">
        <v>1748</v>
      </c>
      <c r="C505" s="5" t="s">
        <v>0</v>
      </c>
      <c r="D505" s="1" t="s">
        <v>1749</v>
      </c>
      <c r="E505" s="1" t="s">
        <v>1750</v>
      </c>
      <c r="F505" s="1" t="s">
        <v>303</v>
      </c>
      <c r="G505" s="1" t="s">
        <v>61</v>
      </c>
      <c r="H505" s="1" t="s">
        <v>30</v>
      </c>
      <c r="I505" s="1" t="s">
        <v>16</v>
      </c>
      <c r="J505" s="1">
        <v>1</v>
      </c>
      <c r="K505" s="1">
        <v>4</v>
      </c>
      <c r="L505" s="1" t="s">
        <v>31</v>
      </c>
      <c r="M505" s="1" t="s">
        <v>18</v>
      </c>
      <c r="N505" s="1" t="s">
        <v>18</v>
      </c>
      <c r="O505" s="1">
        <v>2</v>
      </c>
      <c r="P505" s="1">
        <v>6</v>
      </c>
      <c r="R505" s="1" t="s">
        <v>19</v>
      </c>
      <c r="S505" s="1" t="s">
        <v>20</v>
      </c>
      <c r="T505" s="1" t="s">
        <v>21</v>
      </c>
      <c r="U505" s="1" t="s">
        <v>22</v>
      </c>
      <c r="V505" s="1" t="s">
        <v>23</v>
      </c>
      <c r="W505" s="1" t="s">
        <v>24</v>
      </c>
      <c r="X505" s="1">
        <v>2746</v>
      </c>
      <c r="Y505" s="1">
        <v>2732</v>
      </c>
      <c r="Z505" s="1" t="s">
        <v>24</v>
      </c>
      <c r="AA505" s="1" t="s">
        <v>24</v>
      </c>
      <c r="AB505" s="1" t="s">
        <v>24</v>
      </c>
      <c r="AC505" s="1" t="s">
        <v>24</v>
      </c>
      <c r="AD505" s="1" t="s">
        <v>24</v>
      </c>
      <c r="AE505" s="1" t="s">
        <v>24</v>
      </c>
      <c r="AF505" s="22"/>
    </row>
    <row r="506" spans="1:32" x14ac:dyDescent="0.2">
      <c r="A506" s="1">
        <v>2962</v>
      </c>
      <c r="B506" s="1" t="s">
        <v>1751</v>
      </c>
      <c r="C506" s="5" t="s">
        <v>0</v>
      </c>
      <c r="D506" s="1" t="s">
        <v>1752</v>
      </c>
      <c r="E506" s="1" t="s">
        <v>1753</v>
      </c>
      <c r="F506" s="1" t="s">
        <v>1754</v>
      </c>
      <c r="G506" s="1" t="s">
        <v>1754</v>
      </c>
      <c r="H506" s="1" t="s">
        <v>684</v>
      </c>
      <c r="I506" s="1" t="s">
        <v>16</v>
      </c>
      <c r="J506" s="1">
        <v>1</v>
      </c>
      <c r="K506" s="1">
        <v>12</v>
      </c>
      <c r="L506" s="1" t="s">
        <v>42</v>
      </c>
      <c r="M506" s="1" t="s">
        <v>1755</v>
      </c>
      <c r="N506" s="1" t="s">
        <v>18</v>
      </c>
      <c r="O506" s="1">
        <v>2</v>
      </c>
      <c r="P506" s="1">
        <v>6</v>
      </c>
      <c r="R506" s="1" t="s">
        <v>62</v>
      </c>
      <c r="S506" s="1" t="s">
        <v>20</v>
      </c>
      <c r="T506" s="1" t="s">
        <v>21</v>
      </c>
      <c r="U506" s="1" t="s">
        <v>22</v>
      </c>
      <c r="V506" s="1" t="s">
        <v>24</v>
      </c>
      <c r="W506" s="1" t="s">
        <v>24</v>
      </c>
      <c r="X506" s="1">
        <v>2720</v>
      </c>
      <c r="Y506" s="1" t="s">
        <v>24</v>
      </c>
      <c r="Z506" s="1" t="s">
        <v>24</v>
      </c>
      <c r="AA506" s="1" t="s">
        <v>24</v>
      </c>
      <c r="AB506" s="1" t="s">
        <v>24</v>
      </c>
      <c r="AC506" s="1" t="s">
        <v>24</v>
      </c>
      <c r="AD506" s="1" t="s">
        <v>24</v>
      </c>
      <c r="AE506" s="1" t="s">
        <v>24</v>
      </c>
      <c r="AF506" s="22"/>
    </row>
    <row r="507" spans="1:32" x14ac:dyDescent="0.2">
      <c r="A507" s="1">
        <v>2964</v>
      </c>
      <c r="B507" s="1" t="s">
        <v>1756</v>
      </c>
      <c r="C507" s="5" t="s">
        <v>0</v>
      </c>
      <c r="D507" s="1" t="s">
        <v>1757</v>
      </c>
      <c r="F507" s="1" t="s">
        <v>1758</v>
      </c>
      <c r="G507" s="1" t="s">
        <v>1758</v>
      </c>
      <c r="H507" s="1" t="s">
        <v>168</v>
      </c>
      <c r="I507" s="1" t="s">
        <v>16</v>
      </c>
      <c r="J507" s="1">
        <v>1</v>
      </c>
      <c r="K507" s="1">
        <v>4</v>
      </c>
      <c r="L507" s="1" t="s">
        <v>42</v>
      </c>
      <c r="M507" s="1" t="s">
        <v>413</v>
      </c>
      <c r="N507" s="1" t="s">
        <v>18</v>
      </c>
      <c r="O507" s="1">
        <v>3</v>
      </c>
      <c r="P507" s="1">
        <v>5</v>
      </c>
      <c r="R507" s="1" t="s">
        <v>19</v>
      </c>
      <c r="S507" s="1" t="s">
        <v>20</v>
      </c>
      <c r="T507" s="1" t="s">
        <v>21</v>
      </c>
      <c r="U507" s="1" t="s">
        <v>22</v>
      </c>
      <c r="V507" s="1" t="s">
        <v>24</v>
      </c>
      <c r="W507" s="1" t="s">
        <v>24</v>
      </c>
      <c r="X507" s="1">
        <v>2720</v>
      </c>
      <c r="Y507" s="1" t="s">
        <v>24</v>
      </c>
      <c r="Z507" s="1" t="s">
        <v>24</v>
      </c>
      <c r="AA507" s="1" t="s">
        <v>24</v>
      </c>
      <c r="AB507" s="1" t="s">
        <v>24</v>
      </c>
      <c r="AC507" s="1" t="s">
        <v>24</v>
      </c>
      <c r="AD507" s="1" t="s">
        <v>24</v>
      </c>
      <c r="AE507" s="1" t="s">
        <v>24</v>
      </c>
      <c r="AF507" s="22"/>
    </row>
    <row r="508" spans="1:32" x14ac:dyDescent="0.2">
      <c r="A508" s="1">
        <v>2969</v>
      </c>
      <c r="B508" s="1" t="s">
        <v>1759</v>
      </c>
      <c r="C508" s="5" t="s">
        <v>0</v>
      </c>
      <c r="D508" s="1" t="s">
        <v>1760</v>
      </c>
      <c r="E508" s="1" t="s">
        <v>1761</v>
      </c>
      <c r="F508" s="1" t="s">
        <v>751</v>
      </c>
      <c r="G508" s="1" t="s">
        <v>36</v>
      </c>
      <c r="H508" s="1" t="s">
        <v>37</v>
      </c>
      <c r="I508" s="1" t="s">
        <v>16</v>
      </c>
      <c r="J508" s="1">
        <v>1</v>
      </c>
      <c r="K508" s="1">
        <v>4</v>
      </c>
      <c r="L508" s="1" t="s">
        <v>31</v>
      </c>
      <c r="M508" s="1" t="s">
        <v>18</v>
      </c>
      <c r="N508" s="1" t="s">
        <v>18</v>
      </c>
      <c r="O508" s="1">
        <v>3</v>
      </c>
      <c r="P508" s="1">
        <v>7</v>
      </c>
      <c r="Q508" s="7" t="s">
        <v>17633</v>
      </c>
      <c r="R508" s="1" t="s">
        <v>19</v>
      </c>
      <c r="S508" s="1" t="s">
        <v>20</v>
      </c>
      <c r="T508" s="1" t="s">
        <v>21</v>
      </c>
      <c r="U508" s="1" t="s">
        <v>22</v>
      </c>
      <c r="V508" s="1" t="s">
        <v>24</v>
      </c>
      <c r="W508" s="1" t="s">
        <v>24</v>
      </c>
      <c r="X508" s="1">
        <v>2720</v>
      </c>
      <c r="Y508" s="1">
        <v>2730</v>
      </c>
      <c r="Z508" s="1">
        <v>1306</v>
      </c>
      <c r="AA508" s="1" t="s">
        <v>24</v>
      </c>
      <c r="AB508" s="1" t="s">
        <v>24</v>
      </c>
      <c r="AC508" s="1" t="s">
        <v>24</v>
      </c>
      <c r="AD508" s="1" t="s">
        <v>24</v>
      </c>
      <c r="AE508" s="1" t="s">
        <v>24</v>
      </c>
      <c r="AF508" s="22"/>
    </row>
    <row r="509" spans="1:32" x14ac:dyDescent="0.2">
      <c r="A509" s="1">
        <v>2974</v>
      </c>
      <c r="B509" s="1" t="s">
        <v>1762</v>
      </c>
      <c r="C509" s="5" t="s">
        <v>0</v>
      </c>
      <c r="D509" s="1" t="s">
        <v>1763</v>
      </c>
      <c r="E509" s="1" t="s">
        <v>1764</v>
      </c>
      <c r="F509" s="1" t="s">
        <v>167</v>
      </c>
      <c r="G509" s="1" t="s">
        <v>130</v>
      </c>
      <c r="H509" s="1" t="s">
        <v>168</v>
      </c>
      <c r="I509" s="1" t="s">
        <v>16</v>
      </c>
      <c r="J509" s="1">
        <v>1</v>
      </c>
      <c r="K509" s="1">
        <v>12</v>
      </c>
      <c r="L509" s="1" t="s">
        <v>31</v>
      </c>
      <c r="M509" s="1" t="s">
        <v>413</v>
      </c>
      <c r="N509" s="1" t="s">
        <v>242</v>
      </c>
      <c r="O509" s="1">
        <v>3</v>
      </c>
      <c r="P509" s="1">
        <v>6</v>
      </c>
      <c r="R509" s="1" t="s">
        <v>19</v>
      </c>
      <c r="S509" s="1" t="s">
        <v>20</v>
      </c>
      <c r="T509" s="1" t="s">
        <v>21</v>
      </c>
      <c r="U509" s="1" t="s">
        <v>22</v>
      </c>
      <c r="V509" s="1" t="s">
        <v>24</v>
      </c>
      <c r="W509" s="1" t="s">
        <v>24</v>
      </c>
      <c r="X509" s="1">
        <v>2708</v>
      </c>
      <c r="Y509" s="1" t="s">
        <v>24</v>
      </c>
      <c r="Z509" s="1" t="s">
        <v>24</v>
      </c>
      <c r="AA509" s="1" t="s">
        <v>24</v>
      </c>
      <c r="AB509" s="1" t="s">
        <v>24</v>
      </c>
      <c r="AC509" s="1" t="s">
        <v>24</v>
      </c>
      <c r="AD509" s="1" t="s">
        <v>24</v>
      </c>
      <c r="AE509" s="1" t="s">
        <v>24</v>
      </c>
      <c r="AF509" s="22"/>
    </row>
    <row r="510" spans="1:32" x14ac:dyDescent="0.2">
      <c r="A510" s="1">
        <v>2982</v>
      </c>
      <c r="B510" s="1" t="s">
        <v>1765</v>
      </c>
      <c r="C510" s="5" t="s">
        <v>0</v>
      </c>
      <c r="D510" s="1" t="s">
        <v>1766</v>
      </c>
      <c r="E510" s="1" t="s">
        <v>1767</v>
      </c>
      <c r="F510" s="1" t="s">
        <v>1768</v>
      </c>
      <c r="G510" s="1" t="s">
        <v>36</v>
      </c>
      <c r="H510" s="1" t="s">
        <v>111</v>
      </c>
      <c r="I510" s="1" t="s">
        <v>16</v>
      </c>
      <c r="J510" s="1">
        <v>1</v>
      </c>
      <c r="K510" s="1">
        <v>12</v>
      </c>
      <c r="L510" s="1" t="s">
        <v>31</v>
      </c>
      <c r="M510" s="1" t="s">
        <v>242</v>
      </c>
      <c r="N510" s="1" t="s">
        <v>18</v>
      </c>
      <c r="O510" s="1">
        <v>3</v>
      </c>
      <c r="P510" s="1">
        <v>7</v>
      </c>
      <c r="Q510" s="7" t="s">
        <v>17633</v>
      </c>
      <c r="R510" s="1" t="s">
        <v>19</v>
      </c>
      <c r="S510" s="1" t="s">
        <v>20</v>
      </c>
      <c r="T510" s="1" t="s">
        <v>21</v>
      </c>
      <c r="U510" s="1" t="s">
        <v>22</v>
      </c>
      <c r="V510" s="1" t="s">
        <v>24</v>
      </c>
      <c r="W510" s="1" t="s">
        <v>64</v>
      </c>
      <c r="X510" s="1">
        <v>1303</v>
      </c>
      <c r="Y510" s="1">
        <v>1605</v>
      </c>
      <c r="Z510" s="1">
        <v>1503</v>
      </c>
      <c r="AA510" s="1">
        <v>3002</v>
      </c>
      <c r="AB510" s="1">
        <v>1606</v>
      </c>
      <c r="AC510" s="1">
        <v>1604</v>
      </c>
      <c r="AD510" s="1" t="s">
        <v>24</v>
      </c>
      <c r="AE510" s="1" t="s">
        <v>24</v>
      </c>
      <c r="AF510" s="22" t="s">
        <v>17703</v>
      </c>
    </row>
    <row r="511" spans="1:32" x14ac:dyDescent="0.2">
      <c r="A511" s="1">
        <v>2996</v>
      </c>
      <c r="B511" s="1" t="s">
        <v>1769</v>
      </c>
      <c r="C511" s="5" t="s">
        <v>0</v>
      </c>
      <c r="D511" s="1" t="s">
        <v>1770</v>
      </c>
      <c r="E511" s="1" t="s">
        <v>1771</v>
      </c>
      <c r="F511" s="1" t="s">
        <v>548</v>
      </c>
      <c r="G511" s="1" t="s">
        <v>36</v>
      </c>
      <c r="H511" s="1" t="s">
        <v>30</v>
      </c>
      <c r="I511" s="1" t="s">
        <v>16</v>
      </c>
      <c r="J511" s="1">
        <v>1</v>
      </c>
      <c r="K511" s="1">
        <v>10</v>
      </c>
      <c r="L511" s="1" t="s">
        <v>31</v>
      </c>
      <c r="M511" s="1" t="s">
        <v>18</v>
      </c>
      <c r="N511" s="1" t="s">
        <v>18</v>
      </c>
      <c r="O511" s="1">
        <v>3</v>
      </c>
      <c r="P511" s="1">
        <v>7</v>
      </c>
      <c r="Q511" s="7" t="s">
        <v>17633</v>
      </c>
      <c r="R511" s="1" t="s">
        <v>19</v>
      </c>
      <c r="S511" s="1" t="s">
        <v>20</v>
      </c>
      <c r="T511" s="1" t="s">
        <v>21</v>
      </c>
      <c r="U511" s="1" t="s">
        <v>22</v>
      </c>
      <c r="V511" s="1" t="s">
        <v>23</v>
      </c>
      <c r="W511" s="1" t="s">
        <v>24</v>
      </c>
      <c r="X511" s="1">
        <v>2728</v>
      </c>
      <c r="Y511" s="1">
        <v>2808</v>
      </c>
      <c r="Z511" s="1" t="s">
        <v>24</v>
      </c>
      <c r="AA511" s="1" t="s">
        <v>24</v>
      </c>
      <c r="AB511" s="1" t="s">
        <v>24</v>
      </c>
      <c r="AC511" s="1" t="s">
        <v>24</v>
      </c>
      <c r="AD511" s="1" t="s">
        <v>24</v>
      </c>
      <c r="AE511" s="1" t="s">
        <v>24</v>
      </c>
      <c r="AF511" s="22"/>
    </row>
    <row r="512" spans="1:32" x14ac:dyDescent="0.2">
      <c r="A512" s="1">
        <v>2997</v>
      </c>
      <c r="B512" s="1" t="s">
        <v>1772</v>
      </c>
      <c r="C512" s="5" t="s">
        <v>0</v>
      </c>
      <c r="D512" s="1" t="s">
        <v>1773</v>
      </c>
      <c r="E512" s="1" t="s">
        <v>1774</v>
      </c>
      <c r="F512" s="1" t="s">
        <v>1775</v>
      </c>
      <c r="G512" s="1" t="s">
        <v>1775</v>
      </c>
      <c r="H512" s="1" t="s">
        <v>30</v>
      </c>
      <c r="I512" s="1" t="s">
        <v>16</v>
      </c>
      <c r="J512" s="1">
        <v>1</v>
      </c>
      <c r="K512" s="1">
        <v>12</v>
      </c>
      <c r="L512" s="1" t="s">
        <v>42</v>
      </c>
      <c r="M512" s="1" t="s">
        <v>18</v>
      </c>
      <c r="N512" s="1" t="s">
        <v>18</v>
      </c>
      <c r="O512" s="1">
        <v>2</v>
      </c>
      <c r="P512" s="1">
        <v>6</v>
      </c>
      <c r="R512" s="1" t="s">
        <v>62</v>
      </c>
      <c r="S512" s="1" t="s">
        <v>20</v>
      </c>
      <c r="T512" s="1" t="s">
        <v>21</v>
      </c>
      <c r="U512" s="1" t="s">
        <v>22</v>
      </c>
      <c r="V512" s="1" t="s">
        <v>23</v>
      </c>
      <c r="W512" s="1" t="s">
        <v>24</v>
      </c>
      <c r="X512" s="1">
        <v>2719</v>
      </c>
      <c r="Y512" s="1" t="s">
        <v>24</v>
      </c>
      <c r="Z512" s="1" t="s">
        <v>24</v>
      </c>
      <c r="AA512" s="1" t="s">
        <v>24</v>
      </c>
      <c r="AB512" s="1" t="s">
        <v>24</v>
      </c>
      <c r="AC512" s="1" t="s">
        <v>24</v>
      </c>
      <c r="AD512" s="1" t="s">
        <v>24</v>
      </c>
      <c r="AE512" s="1" t="s">
        <v>24</v>
      </c>
      <c r="AF512" s="22"/>
    </row>
    <row r="513" spans="1:32" x14ac:dyDescent="0.2">
      <c r="A513" s="1">
        <v>3000</v>
      </c>
      <c r="B513" s="1" t="s">
        <v>1776</v>
      </c>
      <c r="C513" s="5" t="s">
        <v>0</v>
      </c>
      <c r="D513" s="1" t="s">
        <v>1777</v>
      </c>
      <c r="E513" s="1" t="s">
        <v>1778</v>
      </c>
      <c r="F513" s="1" t="s">
        <v>97</v>
      </c>
      <c r="G513" s="1" t="s">
        <v>98</v>
      </c>
      <c r="H513" s="1" t="s">
        <v>37</v>
      </c>
      <c r="I513" s="1" t="s">
        <v>16</v>
      </c>
      <c r="J513" s="1">
        <v>1</v>
      </c>
      <c r="K513" s="1">
        <v>4</v>
      </c>
      <c r="L513" s="1" t="s">
        <v>31</v>
      </c>
      <c r="M513" s="1" t="s">
        <v>18</v>
      </c>
      <c r="N513" s="1" t="s">
        <v>18</v>
      </c>
      <c r="O513" s="1">
        <v>3</v>
      </c>
      <c r="P513" s="1">
        <v>7</v>
      </c>
      <c r="Q513" s="7" t="s">
        <v>17633</v>
      </c>
      <c r="R513" s="1" t="s">
        <v>19</v>
      </c>
      <c r="S513" s="1" t="s">
        <v>20</v>
      </c>
      <c r="T513" s="1" t="s">
        <v>21</v>
      </c>
      <c r="U513" s="1" t="s">
        <v>22</v>
      </c>
      <c r="V513" s="1" t="s">
        <v>23</v>
      </c>
      <c r="W513" s="1" t="s">
        <v>24</v>
      </c>
      <c r="X513" s="1">
        <v>2739</v>
      </c>
      <c r="Y513" s="1" t="s">
        <v>24</v>
      </c>
      <c r="Z513" s="1" t="s">
        <v>24</v>
      </c>
      <c r="AA513" s="1" t="s">
        <v>24</v>
      </c>
      <c r="AB513" s="1" t="s">
        <v>24</v>
      </c>
      <c r="AC513" s="1" t="s">
        <v>24</v>
      </c>
      <c r="AD513" s="1" t="s">
        <v>24</v>
      </c>
      <c r="AE513" s="1" t="s">
        <v>24</v>
      </c>
      <c r="AF513" s="22"/>
    </row>
    <row r="514" spans="1:32" x14ac:dyDescent="0.2">
      <c r="A514" s="1">
        <v>3001</v>
      </c>
      <c r="B514" s="1" t="s">
        <v>1779</v>
      </c>
      <c r="C514" s="5" t="s">
        <v>0</v>
      </c>
      <c r="D514" s="1" t="s">
        <v>1780</v>
      </c>
      <c r="F514" s="1" t="s">
        <v>1781</v>
      </c>
      <c r="G514" s="1" t="s">
        <v>1782</v>
      </c>
      <c r="H514" s="1" t="s">
        <v>445</v>
      </c>
      <c r="I514" s="1" t="s">
        <v>16</v>
      </c>
      <c r="J514" s="1">
        <v>1</v>
      </c>
      <c r="K514" s="1">
        <v>6</v>
      </c>
      <c r="L514" s="1" t="s">
        <v>17</v>
      </c>
      <c r="M514" s="1" t="s">
        <v>18</v>
      </c>
      <c r="N514" s="1" t="s">
        <v>18</v>
      </c>
      <c r="O514" s="1">
        <v>3</v>
      </c>
      <c r="P514" s="1">
        <v>7</v>
      </c>
      <c r="Q514" s="7" t="s">
        <v>17633</v>
      </c>
      <c r="R514" s="1" t="s">
        <v>19</v>
      </c>
      <c r="S514" s="1" t="s">
        <v>20</v>
      </c>
      <c r="T514" s="1" t="s">
        <v>21</v>
      </c>
      <c r="U514" s="1" t="s">
        <v>22</v>
      </c>
      <c r="V514" s="1" t="s">
        <v>24</v>
      </c>
      <c r="W514" s="1" t="s">
        <v>24</v>
      </c>
      <c r="X514" s="1">
        <v>2715</v>
      </c>
      <c r="Y514" s="1">
        <v>2721</v>
      </c>
      <c r="Z514" s="1" t="s">
        <v>24</v>
      </c>
      <c r="AA514" s="1" t="s">
        <v>24</v>
      </c>
      <c r="AB514" s="1" t="s">
        <v>24</v>
      </c>
      <c r="AC514" s="1" t="s">
        <v>24</v>
      </c>
      <c r="AD514" s="1" t="s">
        <v>24</v>
      </c>
      <c r="AE514" s="1" t="s">
        <v>24</v>
      </c>
      <c r="AF514" s="22"/>
    </row>
    <row r="515" spans="1:32" x14ac:dyDescent="0.2">
      <c r="A515" s="1">
        <v>3005</v>
      </c>
      <c r="B515" s="1" t="s">
        <v>1783</v>
      </c>
      <c r="C515" s="5" t="s">
        <v>0</v>
      </c>
      <c r="D515" s="1" t="s">
        <v>1784</v>
      </c>
      <c r="E515" s="1" t="s">
        <v>1785</v>
      </c>
      <c r="F515" s="1" t="s">
        <v>194</v>
      </c>
      <c r="G515" s="1" t="s">
        <v>61</v>
      </c>
      <c r="H515" s="1" t="s">
        <v>30</v>
      </c>
      <c r="I515" s="1" t="s">
        <v>16</v>
      </c>
      <c r="J515" s="1">
        <v>1</v>
      </c>
      <c r="K515" s="1">
        <v>6</v>
      </c>
      <c r="L515" s="1" t="s">
        <v>31</v>
      </c>
      <c r="M515" s="1" t="s">
        <v>18</v>
      </c>
      <c r="N515" s="1" t="s">
        <v>18</v>
      </c>
      <c r="O515" s="1">
        <v>3</v>
      </c>
      <c r="P515" s="1">
        <v>7</v>
      </c>
      <c r="Q515" s="7" t="s">
        <v>17633</v>
      </c>
      <c r="R515" s="1" t="s">
        <v>19</v>
      </c>
      <c r="S515" s="1" t="s">
        <v>20</v>
      </c>
      <c r="T515" s="1" t="s">
        <v>21</v>
      </c>
      <c r="U515" s="1" t="s">
        <v>22</v>
      </c>
      <c r="V515" s="1" t="s">
        <v>23</v>
      </c>
      <c r="W515" s="1" t="s">
        <v>24</v>
      </c>
      <c r="X515" s="1">
        <v>2705</v>
      </c>
      <c r="Y515" s="1">
        <v>2706</v>
      </c>
      <c r="Z515" s="1">
        <v>2740</v>
      </c>
      <c r="AA515" s="1" t="s">
        <v>24</v>
      </c>
      <c r="AB515" s="1" t="s">
        <v>24</v>
      </c>
      <c r="AC515" s="1" t="s">
        <v>24</v>
      </c>
      <c r="AD515" s="1" t="s">
        <v>24</v>
      </c>
      <c r="AE515" s="1" t="s">
        <v>24</v>
      </c>
      <c r="AF515" s="22"/>
    </row>
    <row r="516" spans="1:32" x14ac:dyDescent="0.2">
      <c r="A516" s="1">
        <v>3007</v>
      </c>
      <c r="B516" s="1" t="s">
        <v>1786</v>
      </c>
      <c r="C516" s="5" t="s">
        <v>0</v>
      </c>
      <c r="D516" s="1" t="s">
        <v>1787</v>
      </c>
      <c r="E516" s="1" t="s">
        <v>1788</v>
      </c>
      <c r="F516" s="1" t="s">
        <v>291</v>
      </c>
      <c r="G516" s="1" t="s">
        <v>292</v>
      </c>
      <c r="H516" s="1" t="s">
        <v>30</v>
      </c>
      <c r="I516" s="1" t="s">
        <v>16</v>
      </c>
      <c r="J516" s="1">
        <v>1</v>
      </c>
      <c r="K516" s="1">
        <v>6</v>
      </c>
      <c r="L516" s="1" t="s">
        <v>31</v>
      </c>
      <c r="M516" s="1" t="s">
        <v>18</v>
      </c>
      <c r="N516" s="1" t="s">
        <v>18</v>
      </c>
      <c r="O516" s="1">
        <v>3</v>
      </c>
      <c r="P516" s="1">
        <v>6</v>
      </c>
      <c r="R516" s="1" t="s">
        <v>19</v>
      </c>
      <c r="S516" s="1" t="s">
        <v>20</v>
      </c>
      <c r="T516" s="1" t="s">
        <v>21</v>
      </c>
      <c r="U516" s="1" t="s">
        <v>22</v>
      </c>
      <c r="V516" s="1" t="s">
        <v>24</v>
      </c>
      <c r="W516" s="1" t="s">
        <v>24</v>
      </c>
      <c r="X516" s="1">
        <v>2720</v>
      </c>
      <c r="Y516" s="1">
        <v>2716</v>
      </c>
      <c r="Z516" s="1">
        <v>1308</v>
      </c>
      <c r="AA516" s="1">
        <v>2704</v>
      </c>
      <c r="AB516" s="1" t="s">
        <v>24</v>
      </c>
      <c r="AC516" s="1" t="s">
        <v>24</v>
      </c>
      <c r="AD516" s="1" t="s">
        <v>24</v>
      </c>
      <c r="AE516" s="1" t="s">
        <v>24</v>
      </c>
      <c r="AF516" s="22"/>
    </row>
    <row r="517" spans="1:32" x14ac:dyDescent="0.2">
      <c r="A517" s="1">
        <v>3008</v>
      </c>
      <c r="B517" s="1" t="s">
        <v>1789</v>
      </c>
      <c r="C517" s="5" t="s">
        <v>0</v>
      </c>
      <c r="D517" s="1" t="s">
        <v>1790</v>
      </c>
      <c r="E517" s="1" t="s">
        <v>1791</v>
      </c>
      <c r="F517" s="1" t="s">
        <v>221</v>
      </c>
      <c r="G517" s="1" t="s">
        <v>61</v>
      </c>
      <c r="H517" s="1" t="s">
        <v>222</v>
      </c>
      <c r="I517" s="1" t="s">
        <v>16</v>
      </c>
      <c r="J517" s="1">
        <v>4</v>
      </c>
      <c r="K517" s="1">
        <v>3</v>
      </c>
      <c r="L517" s="1" t="s">
        <v>31</v>
      </c>
      <c r="M517" s="1" t="s">
        <v>18</v>
      </c>
      <c r="N517" s="1" t="s">
        <v>18</v>
      </c>
      <c r="O517" s="1">
        <v>3</v>
      </c>
      <c r="P517" s="1">
        <v>6</v>
      </c>
      <c r="R517" s="1" t="s">
        <v>19</v>
      </c>
      <c r="S517" s="1" t="s">
        <v>20</v>
      </c>
      <c r="T517" s="1" t="s">
        <v>21</v>
      </c>
      <c r="U517" s="1" t="s">
        <v>22</v>
      </c>
      <c r="V517" s="1" t="s">
        <v>23</v>
      </c>
      <c r="W517" s="1" t="s">
        <v>24</v>
      </c>
      <c r="X517" s="1">
        <v>2719</v>
      </c>
      <c r="Y517" s="1" t="s">
        <v>24</v>
      </c>
      <c r="Z517" s="1" t="s">
        <v>24</v>
      </c>
      <c r="AA517" s="1" t="s">
        <v>24</v>
      </c>
      <c r="AB517" s="1" t="s">
        <v>24</v>
      </c>
      <c r="AC517" s="1" t="s">
        <v>24</v>
      </c>
      <c r="AD517" s="1" t="s">
        <v>24</v>
      </c>
      <c r="AE517" s="1" t="s">
        <v>24</v>
      </c>
      <c r="AF517" s="22"/>
    </row>
    <row r="518" spans="1:32" x14ac:dyDescent="0.2">
      <c r="A518" s="1">
        <v>3012</v>
      </c>
      <c r="B518" s="1" t="s">
        <v>1792</v>
      </c>
      <c r="C518" s="5" t="s">
        <v>0</v>
      </c>
      <c r="D518" s="1" t="s">
        <v>1793</v>
      </c>
      <c r="E518" s="1" t="s">
        <v>1794</v>
      </c>
      <c r="F518" s="1" t="s">
        <v>35</v>
      </c>
      <c r="G518" s="1" t="s">
        <v>36</v>
      </c>
      <c r="H518" s="1" t="s">
        <v>37</v>
      </c>
      <c r="I518" s="1" t="s">
        <v>16</v>
      </c>
      <c r="J518" s="1">
        <v>1</v>
      </c>
      <c r="K518" s="1">
        <v>6</v>
      </c>
      <c r="L518" s="1" t="s">
        <v>31</v>
      </c>
      <c r="M518" s="1" t="s">
        <v>18</v>
      </c>
      <c r="N518" s="1" t="s">
        <v>18</v>
      </c>
      <c r="O518" s="1">
        <v>2</v>
      </c>
      <c r="P518" s="1">
        <v>5</v>
      </c>
      <c r="R518" s="1" t="s">
        <v>19</v>
      </c>
      <c r="S518" s="1" t="s">
        <v>20</v>
      </c>
      <c r="T518" s="1" t="s">
        <v>21</v>
      </c>
      <c r="U518" s="1" t="s">
        <v>22</v>
      </c>
      <c r="V518" s="1" t="s">
        <v>24</v>
      </c>
      <c r="W518" s="1" t="s">
        <v>24</v>
      </c>
      <c r="X518" s="1">
        <v>1311</v>
      </c>
      <c r="Y518" s="1" t="s">
        <v>24</v>
      </c>
      <c r="Z518" s="1" t="s">
        <v>24</v>
      </c>
      <c r="AA518" s="1" t="s">
        <v>24</v>
      </c>
      <c r="AB518" s="1" t="s">
        <v>24</v>
      </c>
      <c r="AC518" s="1" t="s">
        <v>24</v>
      </c>
      <c r="AD518" s="1" t="s">
        <v>24</v>
      </c>
      <c r="AE518" s="1" t="s">
        <v>24</v>
      </c>
      <c r="AF518" s="22"/>
    </row>
    <row r="519" spans="1:32" x14ac:dyDescent="0.2">
      <c r="A519" s="1">
        <v>3013</v>
      </c>
      <c r="B519" s="1" t="s">
        <v>1795</v>
      </c>
      <c r="C519" s="5" t="s">
        <v>0</v>
      </c>
      <c r="D519" s="1" t="s">
        <v>1796</v>
      </c>
      <c r="E519" s="1" t="s">
        <v>1797</v>
      </c>
      <c r="F519" s="1" t="s">
        <v>91</v>
      </c>
      <c r="G519" s="1" t="s">
        <v>61</v>
      </c>
      <c r="H519" s="1" t="s">
        <v>92</v>
      </c>
      <c r="I519" s="1" t="s">
        <v>16</v>
      </c>
      <c r="J519" s="1">
        <v>12</v>
      </c>
      <c r="K519" s="1">
        <v>2</v>
      </c>
      <c r="L519" s="1" t="s">
        <v>31</v>
      </c>
      <c r="M519" s="1" t="s">
        <v>18</v>
      </c>
      <c r="N519" s="1" t="s">
        <v>18</v>
      </c>
      <c r="O519" s="1">
        <v>3</v>
      </c>
      <c r="P519" s="1">
        <v>8</v>
      </c>
      <c r="Q519" s="7" t="s">
        <v>17633</v>
      </c>
      <c r="R519" s="1" t="s">
        <v>19</v>
      </c>
      <c r="S519" s="1" t="s">
        <v>63</v>
      </c>
      <c r="T519" s="1" t="s">
        <v>21</v>
      </c>
      <c r="U519" s="1" t="s">
        <v>22</v>
      </c>
      <c r="V519" s="1" t="s">
        <v>23</v>
      </c>
      <c r="W519" s="1" t="s">
        <v>24</v>
      </c>
      <c r="X519" s="1">
        <v>2809</v>
      </c>
      <c r="Y519" s="1" t="s">
        <v>24</v>
      </c>
      <c r="Z519" s="1" t="s">
        <v>24</v>
      </c>
      <c r="AA519" s="1" t="s">
        <v>24</v>
      </c>
      <c r="AB519" s="1" t="s">
        <v>24</v>
      </c>
      <c r="AC519" s="1" t="s">
        <v>24</v>
      </c>
      <c r="AD519" s="1" t="s">
        <v>24</v>
      </c>
      <c r="AE519" s="1" t="s">
        <v>24</v>
      </c>
      <c r="AF519" s="22"/>
    </row>
    <row r="520" spans="1:32" x14ac:dyDescent="0.2">
      <c r="A520" s="1">
        <v>3015</v>
      </c>
      <c r="B520" s="1" t="s">
        <v>1798</v>
      </c>
      <c r="C520" s="5" t="s">
        <v>0</v>
      </c>
      <c r="D520" s="1" t="s">
        <v>1799</v>
      </c>
      <c r="E520" s="1" t="s">
        <v>1800</v>
      </c>
      <c r="F520" s="1" t="s">
        <v>1801</v>
      </c>
      <c r="G520" s="1" t="s">
        <v>130</v>
      </c>
      <c r="H520" s="1" t="s">
        <v>168</v>
      </c>
      <c r="I520" s="1" t="s">
        <v>16</v>
      </c>
      <c r="J520" s="1">
        <v>1</v>
      </c>
      <c r="K520" s="1">
        <v>8</v>
      </c>
      <c r="L520" s="1" t="s">
        <v>31</v>
      </c>
      <c r="M520" s="1" t="s">
        <v>413</v>
      </c>
      <c r="N520" s="1" t="s">
        <v>18</v>
      </c>
      <c r="O520" s="1">
        <v>3</v>
      </c>
      <c r="P520" s="1">
        <v>6</v>
      </c>
      <c r="R520" s="1" t="s">
        <v>19</v>
      </c>
      <c r="S520" s="1" t="s">
        <v>20</v>
      </c>
      <c r="T520" s="1" t="s">
        <v>21</v>
      </c>
      <c r="U520" s="1" t="s">
        <v>22</v>
      </c>
      <c r="V520" s="1" t="s">
        <v>24</v>
      </c>
      <c r="W520" s="1" t="s">
        <v>24</v>
      </c>
      <c r="X520" s="1">
        <v>2705</v>
      </c>
      <c r="Y520" s="1" t="s">
        <v>24</v>
      </c>
      <c r="Z520" s="1" t="s">
        <v>24</v>
      </c>
      <c r="AA520" s="1" t="s">
        <v>24</v>
      </c>
      <c r="AB520" s="1" t="s">
        <v>24</v>
      </c>
      <c r="AC520" s="1" t="s">
        <v>24</v>
      </c>
      <c r="AD520" s="1" t="s">
        <v>24</v>
      </c>
      <c r="AE520" s="1" t="s">
        <v>24</v>
      </c>
      <c r="AF520" s="22"/>
    </row>
    <row r="521" spans="1:32" x14ac:dyDescent="0.2">
      <c r="A521" s="1">
        <v>3016</v>
      </c>
      <c r="B521" s="1" t="s">
        <v>1802</v>
      </c>
      <c r="C521" s="5" t="s">
        <v>0</v>
      </c>
      <c r="D521" s="1" t="s">
        <v>1803</v>
      </c>
      <c r="E521" s="1" t="s">
        <v>1804</v>
      </c>
      <c r="F521" s="1" t="s">
        <v>548</v>
      </c>
      <c r="G521" s="1" t="s">
        <v>36</v>
      </c>
      <c r="H521" s="1" t="s">
        <v>30</v>
      </c>
      <c r="I521" s="1" t="s">
        <v>16</v>
      </c>
      <c r="J521" s="1">
        <v>1</v>
      </c>
      <c r="K521" s="1">
        <v>6</v>
      </c>
      <c r="L521" s="1" t="s">
        <v>31</v>
      </c>
      <c r="M521" s="1" t="s">
        <v>18</v>
      </c>
      <c r="N521" s="1" t="s">
        <v>18</v>
      </c>
      <c r="O521" s="1">
        <v>3</v>
      </c>
      <c r="P521" s="1">
        <v>6</v>
      </c>
      <c r="R521" s="1" t="s">
        <v>19</v>
      </c>
      <c r="S521" s="1" t="s">
        <v>20</v>
      </c>
      <c r="T521" s="1" t="s">
        <v>21</v>
      </c>
      <c r="U521" s="1" t="s">
        <v>22</v>
      </c>
      <c r="V521" s="1" t="s">
        <v>23</v>
      </c>
      <c r="W521" s="1" t="s">
        <v>24</v>
      </c>
      <c r="X521" s="1">
        <v>2719</v>
      </c>
      <c r="Y521" s="1" t="s">
        <v>24</v>
      </c>
      <c r="Z521" s="1" t="s">
        <v>24</v>
      </c>
      <c r="AA521" s="1" t="s">
        <v>24</v>
      </c>
      <c r="AB521" s="1" t="s">
        <v>24</v>
      </c>
      <c r="AC521" s="1" t="s">
        <v>24</v>
      </c>
      <c r="AD521" s="1" t="s">
        <v>24</v>
      </c>
      <c r="AE521" s="1" t="s">
        <v>24</v>
      </c>
      <c r="AF521" s="22"/>
    </row>
    <row r="522" spans="1:32" x14ac:dyDescent="0.2">
      <c r="A522" s="1">
        <v>3019</v>
      </c>
      <c r="B522" s="1" t="s">
        <v>1805</v>
      </c>
      <c r="C522" s="5" t="s">
        <v>0</v>
      </c>
      <c r="D522" s="1" t="s">
        <v>1806</v>
      </c>
      <c r="E522" s="1" t="s">
        <v>1807</v>
      </c>
      <c r="F522" s="1" t="s">
        <v>1808</v>
      </c>
      <c r="G522" s="1" t="s">
        <v>130</v>
      </c>
      <c r="H522" s="1" t="s">
        <v>461</v>
      </c>
      <c r="I522" s="1" t="s">
        <v>16</v>
      </c>
      <c r="J522" s="1">
        <v>1</v>
      </c>
      <c r="K522" s="1">
        <v>4</v>
      </c>
      <c r="L522" s="1" t="s">
        <v>31</v>
      </c>
      <c r="M522" s="1" t="s">
        <v>18</v>
      </c>
      <c r="N522" s="1" t="s">
        <v>18</v>
      </c>
      <c r="O522" s="1">
        <v>3</v>
      </c>
      <c r="P522" s="1">
        <v>7</v>
      </c>
      <c r="Q522" s="7" t="s">
        <v>17633</v>
      </c>
      <c r="R522" s="1" t="s">
        <v>19</v>
      </c>
      <c r="S522" s="1" t="s">
        <v>20</v>
      </c>
      <c r="T522" s="1" t="s">
        <v>21</v>
      </c>
      <c r="U522" s="1" t="s">
        <v>22</v>
      </c>
      <c r="V522" s="1" t="s">
        <v>24</v>
      </c>
      <c r="W522" s="1" t="s">
        <v>24</v>
      </c>
      <c r="X522" s="1">
        <v>2705</v>
      </c>
      <c r="Y522" s="1" t="s">
        <v>24</v>
      </c>
      <c r="Z522" s="1" t="s">
        <v>24</v>
      </c>
      <c r="AA522" s="1" t="s">
        <v>24</v>
      </c>
      <c r="AB522" s="1" t="s">
        <v>24</v>
      </c>
      <c r="AC522" s="1" t="s">
        <v>24</v>
      </c>
      <c r="AD522" s="1" t="s">
        <v>24</v>
      </c>
      <c r="AE522" s="1" t="s">
        <v>24</v>
      </c>
      <c r="AF522" s="22"/>
    </row>
    <row r="523" spans="1:32" x14ac:dyDescent="0.2">
      <c r="A523" s="1">
        <v>3025</v>
      </c>
      <c r="B523" s="1" t="s">
        <v>1809</v>
      </c>
      <c r="C523" s="5" t="s">
        <v>0</v>
      </c>
      <c r="D523" s="1" t="s">
        <v>1810</v>
      </c>
      <c r="F523" s="1" t="s">
        <v>1811</v>
      </c>
      <c r="G523" s="1" t="s">
        <v>460</v>
      </c>
      <c r="H523" s="1" t="s">
        <v>461</v>
      </c>
      <c r="I523" s="1" t="s">
        <v>16</v>
      </c>
      <c r="J523" s="1">
        <v>1</v>
      </c>
      <c r="K523" s="1">
        <v>7</v>
      </c>
      <c r="L523" s="1" t="s">
        <v>42</v>
      </c>
      <c r="M523" s="1" t="s">
        <v>1735</v>
      </c>
      <c r="N523" s="1" t="s">
        <v>18</v>
      </c>
      <c r="O523" s="1">
        <v>2</v>
      </c>
      <c r="P523" s="1">
        <v>6</v>
      </c>
      <c r="R523" s="1" t="s">
        <v>19</v>
      </c>
      <c r="S523" s="1" t="s">
        <v>20</v>
      </c>
      <c r="T523" s="1" t="s">
        <v>21</v>
      </c>
      <c r="U523" s="1" t="s">
        <v>22</v>
      </c>
      <c r="V523" s="1" t="s">
        <v>24</v>
      </c>
      <c r="W523" s="1" t="s">
        <v>24</v>
      </c>
      <c r="X523" s="1">
        <v>2730</v>
      </c>
      <c r="Y523" s="1">
        <v>2740</v>
      </c>
      <c r="Z523" s="1" t="s">
        <v>24</v>
      </c>
      <c r="AA523" s="1" t="s">
        <v>24</v>
      </c>
      <c r="AB523" s="1" t="s">
        <v>24</v>
      </c>
      <c r="AC523" s="1" t="s">
        <v>24</v>
      </c>
      <c r="AD523" s="1" t="s">
        <v>24</v>
      </c>
      <c r="AE523" s="1" t="s">
        <v>24</v>
      </c>
      <c r="AF523" s="22"/>
    </row>
    <row r="524" spans="1:32" x14ac:dyDescent="0.2">
      <c r="A524" s="1">
        <v>3034</v>
      </c>
      <c r="B524" s="1" t="s">
        <v>1812</v>
      </c>
      <c r="C524" s="5" t="s">
        <v>0</v>
      </c>
      <c r="D524" s="1" t="s">
        <v>1813</v>
      </c>
      <c r="F524" s="1" t="s">
        <v>1814</v>
      </c>
      <c r="G524" s="1" t="s">
        <v>1814</v>
      </c>
      <c r="H524" s="1" t="s">
        <v>461</v>
      </c>
      <c r="I524" s="1" t="s">
        <v>16</v>
      </c>
      <c r="J524" s="1">
        <v>1</v>
      </c>
      <c r="K524" s="1">
        <v>4</v>
      </c>
      <c r="L524" s="1" t="s">
        <v>17</v>
      </c>
      <c r="M524" s="1" t="s">
        <v>18</v>
      </c>
      <c r="N524" s="1" t="s">
        <v>18</v>
      </c>
      <c r="O524" s="1">
        <v>2</v>
      </c>
      <c r="P524" s="1">
        <v>6</v>
      </c>
      <c r="R524" s="1" t="s">
        <v>19</v>
      </c>
      <c r="S524" s="1" t="s">
        <v>20</v>
      </c>
      <c r="T524" s="1" t="s">
        <v>21</v>
      </c>
      <c r="U524" s="1" t="s">
        <v>22</v>
      </c>
      <c r="V524" s="1" t="s">
        <v>24</v>
      </c>
      <c r="W524" s="1" t="s">
        <v>24</v>
      </c>
      <c r="X524" s="1">
        <v>2700</v>
      </c>
      <c r="Y524" s="1" t="s">
        <v>24</v>
      </c>
      <c r="Z524" s="1" t="s">
        <v>24</v>
      </c>
      <c r="AA524" s="1" t="s">
        <v>24</v>
      </c>
      <c r="AB524" s="1" t="s">
        <v>24</v>
      </c>
      <c r="AC524" s="1" t="s">
        <v>24</v>
      </c>
      <c r="AD524" s="1" t="s">
        <v>24</v>
      </c>
      <c r="AE524" s="1" t="s">
        <v>24</v>
      </c>
      <c r="AF524" s="22"/>
    </row>
    <row r="525" spans="1:32" x14ac:dyDescent="0.2">
      <c r="A525" s="1">
        <v>3046</v>
      </c>
      <c r="B525" s="1" t="s">
        <v>1815</v>
      </c>
      <c r="C525" s="5" t="s">
        <v>0</v>
      </c>
      <c r="D525" s="1" t="s">
        <v>1816</v>
      </c>
      <c r="E525" s="1" t="s">
        <v>1817</v>
      </c>
      <c r="F525" s="1" t="s">
        <v>35</v>
      </c>
      <c r="G525" s="1" t="s">
        <v>36</v>
      </c>
      <c r="H525" s="1" t="s">
        <v>37</v>
      </c>
      <c r="I525" s="1" t="s">
        <v>16</v>
      </c>
      <c r="J525" s="1">
        <v>2</v>
      </c>
      <c r="K525" s="1">
        <v>6</v>
      </c>
      <c r="L525" s="1" t="s">
        <v>31</v>
      </c>
      <c r="M525" s="1" t="s">
        <v>18</v>
      </c>
      <c r="N525" s="1" t="s">
        <v>18</v>
      </c>
      <c r="O525" s="1">
        <v>3</v>
      </c>
      <c r="P525" s="1">
        <v>7</v>
      </c>
      <c r="Q525" s="7" t="s">
        <v>17633</v>
      </c>
      <c r="R525" s="1" t="s">
        <v>19</v>
      </c>
      <c r="S525" s="1" t="s">
        <v>20</v>
      </c>
      <c r="T525" s="1" t="s">
        <v>21</v>
      </c>
      <c r="U525" s="1" t="s">
        <v>22</v>
      </c>
      <c r="V525" s="1" t="s">
        <v>24</v>
      </c>
      <c r="W525" s="1" t="s">
        <v>24</v>
      </c>
      <c r="X525" s="1">
        <v>2722</v>
      </c>
      <c r="Y525" s="1">
        <v>2734</v>
      </c>
      <c r="Z525" s="1" t="s">
        <v>24</v>
      </c>
      <c r="AA525" s="1" t="s">
        <v>24</v>
      </c>
      <c r="AB525" s="1" t="s">
        <v>24</v>
      </c>
      <c r="AC525" s="1" t="s">
        <v>24</v>
      </c>
      <c r="AD525" s="1" t="s">
        <v>24</v>
      </c>
      <c r="AE525" s="1" t="s">
        <v>24</v>
      </c>
      <c r="AF525" s="22"/>
    </row>
    <row r="526" spans="1:32" x14ac:dyDescent="0.2">
      <c r="A526" s="1">
        <v>3060</v>
      </c>
      <c r="B526" s="1" t="s">
        <v>1818</v>
      </c>
      <c r="C526" s="5" t="s">
        <v>0</v>
      </c>
      <c r="D526" s="1" t="s">
        <v>1819</v>
      </c>
      <c r="F526" s="1" t="s">
        <v>1820</v>
      </c>
      <c r="G526" s="1" t="s">
        <v>1820</v>
      </c>
      <c r="H526" s="1" t="s">
        <v>445</v>
      </c>
      <c r="I526" s="1" t="s">
        <v>16</v>
      </c>
      <c r="J526" s="1">
        <v>1</v>
      </c>
      <c r="K526" s="1">
        <v>6</v>
      </c>
      <c r="L526" s="1" t="s">
        <v>42</v>
      </c>
      <c r="M526" s="1" t="s">
        <v>446</v>
      </c>
      <c r="N526" s="1" t="s">
        <v>18</v>
      </c>
      <c r="O526" s="1">
        <v>3</v>
      </c>
      <c r="P526" s="1">
        <v>5</v>
      </c>
      <c r="R526" s="1" t="s">
        <v>19</v>
      </c>
      <c r="S526" s="1" t="s">
        <v>20</v>
      </c>
      <c r="T526" s="1" t="s">
        <v>21</v>
      </c>
      <c r="U526" s="1" t="s">
        <v>22</v>
      </c>
      <c r="V526" s="1" t="s">
        <v>24</v>
      </c>
      <c r="W526" s="1" t="s">
        <v>24</v>
      </c>
      <c r="X526" s="1">
        <v>2705</v>
      </c>
      <c r="Y526" s="1" t="s">
        <v>24</v>
      </c>
      <c r="Z526" s="1" t="s">
        <v>24</v>
      </c>
      <c r="AA526" s="1" t="s">
        <v>24</v>
      </c>
      <c r="AB526" s="1" t="s">
        <v>24</v>
      </c>
      <c r="AC526" s="1" t="s">
        <v>24</v>
      </c>
      <c r="AD526" s="1" t="s">
        <v>24</v>
      </c>
      <c r="AE526" s="1" t="s">
        <v>24</v>
      </c>
      <c r="AF526" s="22"/>
    </row>
    <row r="527" spans="1:32" x14ac:dyDescent="0.2">
      <c r="A527" s="1">
        <v>3073</v>
      </c>
      <c r="B527" s="1" t="s">
        <v>1821</v>
      </c>
      <c r="C527" s="5" t="s">
        <v>0</v>
      </c>
      <c r="D527" s="1" t="s">
        <v>1822</v>
      </c>
      <c r="E527" s="1" t="s">
        <v>1823</v>
      </c>
      <c r="F527" s="1" t="s">
        <v>412</v>
      </c>
      <c r="G527" s="1" t="s">
        <v>372</v>
      </c>
      <c r="H527" s="1" t="s">
        <v>168</v>
      </c>
      <c r="I527" s="1" t="s">
        <v>16</v>
      </c>
      <c r="J527" s="1">
        <v>1</v>
      </c>
      <c r="K527" s="1">
        <v>13</v>
      </c>
      <c r="L527" s="1" t="s">
        <v>31</v>
      </c>
      <c r="M527" s="1" t="s">
        <v>18</v>
      </c>
      <c r="N527" s="1" t="s">
        <v>18</v>
      </c>
      <c r="O527" s="1">
        <v>3</v>
      </c>
      <c r="P527" s="1">
        <v>7</v>
      </c>
      <c r="Q527" s="7" t="s">
        <v>17633</v>
      </c>
      <c r="R527" s="1" t="s">
        <v>19</v>
      </c>
      <c r="S527" s="1" t="s">
        <v>63</v>
      </c>
      <c r="T527" s="1" t="s">
        <v>21</v>
      </c>
      <c r="U527" s="1" t="s">
        <v>22</v>
      </c>
      <c r="V527" s="1" t="s">
        <v>24</v>
      </c>
      <c r="W527" s="1" t="s">
        <v>24</v>
      </c>
      <c r="X527" s="1">
        <v>1303</v>
      </c>
      <c r="Y527" s="1">
        <v>1310</v>
      </c>
      <c r="Z527" s="1">
        <v>1308</v>
      </c>
      <c r="AA527" s="1">
        <v>2704</v>
      </c>
      <c r="AB527" s="1">
        <v>2712</v>
      </c>
      <c r="AC527" s="1" t="s">
        <v>24</v>
      </c>
      <c r="AD527" s="1" t="s">
        <v>24</v>
      </c>
      <c r="AE527" s="1" t="s">
        <v>24</v>
      </c>
      <c r="AF527" s="22"/>
    </row>
    <row r="528" spans="1:32" x14ac:dyDescent="0.2">
      <c r="A528" s="1">
        <v>3076</v>
      </c>
      <c r="B528" s="1" t="s">
        <v>1824</v>
      </c>
      <c r="C528" s="5" t="s">
        <v>0</v>
      </c>
      <c r="D528" s="1" t="s">
        <v>1825</v>
      </c>
      <c r="E528" s="1" t="s">
        <v>1826</v>
      </c>
      <c r="F528" s="1" t="s">
        <v>91</v>
      </c>
      <c r="G528" s="1" t="s">
        <v>61</v>
      </c>
      <c r="H528" s="1" t="s">
        <v>92</v>
      </c>
      <c r="I528" s="1" t="s">
        <v>16</v>
      </c>
      <c r="J528" s="1">
        <v>1</v>
      </c>
      <c r="K528" s="1">
        <v>6</v>
      </c>
      <c r="L528" s="1" t="s">
        <v>31</v>
      </c>
      <c r="M528" s="1" t="s">
        <v>18</v>
      </c>
      <c r="N528" s="1" t="s">
        <v>18</v>
      </c>
      <c r="O528" s="1">
        <v>3</v>
      </c>
      <c r="P528" s="1">
        <v>6</v>
      </c>
      <c r="R528" s="1" t="s">
        <v>19</v>
      </c>
      <c r="S528" s="1" t="s">
        <v>63</v>
      </c>
      <c r="T528" s="1" t="s">
        <v>21</v>
      </c>
      <c r="U528" s="1" t="s">
        <v>22</v>
      </c>
      <c r="V528" s="1" t="s">
        <v>23</v>
      </c>
      <c r="W528" s="1" t="s">
        <v>24</v>
      </c>
      <c r="X528" s="1">
        <v>2732</v>
      </c>
      <c r="Y528" s="1">
        <v>1304</v>
      </c>
      <c r="Z528" s="1">
        <v>3205</v>
      </c>
      <c r="AA528" s="1" t="s">
        <v>24</v>
      </c>
      <c r="AB528" s="1" t="s">
        <v>24</v>
      </c>
      <c r="AC528" s="1" t="s">
        <v>24</v>
      </c>
      <c r="AD528" s="1" t="s">
        <v>24</v>
      </c>
      <c r="AE528" s="1" t="s">
        <v>24</v>
      </c>
      <c r="AF528" s="22"/>
    </row>
    <row r="529" spans="1:32" x14ac:dyDescent="0.2">
      <c r="A529" s="1">
        <v>3091</v>
      </c>
      <c r="B529" s="1" t="s">
        <v>1827</v>
      </c>
      <c r="C529" s="5" t="s">
        <v>0</v>
      </c>
      <c r="D529" s="1" t="s">
        <v>1828</v>
      </c>
      <c r="E529" s="1" t="s">
        <v>1829</v>
      </c>
      <c r="F529" s="1" t="s">
        <v>60</v>
      </c>
      <c r="G529" s="1" t="s">
        <v>61</v>
      </c>
      <c r="H529" s="1" t="s">
        <v>30</v>
      </c>
      <c r="I529" s="1" t="s">
        <v>16</v>
      </c>
      <c r="J529" s="1">
        <v>2</v>
      </c>
      <c r="K529" s="1">
        <v>5</v>
      </c>
      <c r="L529" s="1" t="s">
        <v>31</v>
      </c>
      <c r="M529" s="1" t="s">
        <v>18</v>
      </c>
      <c r="N529" s="1" t="s">
        <v>18</v>
      </c>
      <c r="O529" s="1">
        <v>3</v>
      </c>
      <c r="P529" s="1">
        <v>7</v>
      </c>
      <c r="Q529" s="7" t="s">
        <v>17633</v>
      </c>
      <c r="R529" s="1" t="s">
        <v>62</v>
      </c>
      <c r="S529" s="1" t="s">
        <v>63</v>
      </c>
      <c r="T529" s="1" t="s">
        <v>21</v>
      </c>
      <c r="U529" s="1" t="s">
        <v>22</v>
      </c>
      <c r="V529" s="1" t="s">
        <v>24</v>
      </c>
      <c r="W529" s="1" t="s">
        <v>24</v>
      </c>
      <c r="X529" s="1">
        <v>1310</v>
      </c>
      <c r="Y529" s="1">
        <v>2802</v>
      </c>
      <c r="Z529" s="1">
        <v>2807</v>
      </c>
      <c r="AA529" s="1" t="s">
        <v>24</v>
      </c>
      <c r="AB529" s="1" t="s">
        <v>24</v>
      </c>
      <c r="AC529" s="1" t="s">
        <v>24</v>
      </c>
      <c r="AD529" s="1" t="s">
        <v>24</v>
      </c>
      <c r="AE529" s="1" t="s">
        <v>24</v>
      </c>
      <c r="AF529" s="22"/>
    </row>
    <row r="530" spans="1:32" x14ac:dyDescent="0.2">
      <c r="A530" s="1">
        <v>3100</v>
      </c>
      <c r="B530" s="1" t="s">
        <v>1830</v>
      </c>
      <c r="C530" s="5" t="s">
        <v>0</v>
      </c>
      <c r="D530" s="1" t="s">
        <v>1831</v>
      </c>
      <c r="E530" s="1" t="s">
        <v>1832</v>
      </c>
      <c r="F530" s="1" t="s">
        <v>1833</v>
      </c>
      <c r="G530" s="1" t="s">
        <v>80</v>
      </c>
      <c r="H530" s="1" t="s">
        <v>30</v>
      </c>
      <c r="I530" s="1" t="s">
        <v>16</v>
      </c>
      <c r="J530" s="1">
        <v>1</v>
      </c>
      <c r="K530" s="1">
        <v>12</v>
      </c>
      <c r="L530" s="1" t="s">
        <v>31</v>
      </c>
      <c r="M530" s="1" t="s">
        <v>18</v>
      </c>
      <c r="N530" s="1" t="s">
        <v>18</v>
      </c>
      <c r="O530" s="1">
        <v>3</v>
      </c>
      <c r="P530" s="1">
        <v>5</v>
      </c>
      <c r="R530" s="1" t="s">
        <v>19</v>
      </c>
      <c r="S530" s="1" t="s">
        <v>20</v>
      </c>
      <c r="T530" s="1" t="s">
        <v>21</v>
      </c>
      <c r="U530" s="1" t="s">
        <v>22</v>
      </c>
      <c r="V530" s="1" t="s">
        <v>23</v>
      </c>
      <c r="W530" s="1" t="s">
        <v>24</v>
      </c>
      <c r="X530" s="1">
        <v>3004</v>
      </c>
      <c r="Y530" s="1">
        <v>2736</v>
      </c>
      <c r="Z530" s="1">
        <v>3611</v>
      </c>
      <c r="AA530" s="1" t="s">
        <v>24</v>
      </c>
      <c r="AB530" s="1" t="s">
        <v>24</v>
      </c>
      <c r="AC530" s="1" t="s">
        <v>24</v>
      </c>
      <c r="AD530" s="1" t="s">
        <v>24</v>
      </c>
      <c r="AE530" s="1" t="s">
        <v>24</v>
      </c>
      <c r="AF530" s="22"/>
    </row>
    <row r="531" spans="1:32" x14ac:dyDescent="0.2">
      <c r="A531" s="1">
        <v>3113</v>
      </c>
      <c r="B531" s="1" t="s">
        <v>1834</v>
      </c>
      <c r="C531" s="5" t="s">
        <v>0</v>
      </c>
      <c r="D531" s="1" t="s">
        <v>1835</v>
      </c>
      <c r="E531" s="1" t="s">
        <v>1836</v>
      </c>
      <c r="F531" s="1" t="s">
        <v>303</v>
      </c>
      <c r="G531" s="1" t="s">
        <v>61</v>
      </c>
      <c r="H531" s="1" t="s">
        <v>30</v>
      </c>
      <c r="I531" s="1" t="s">
        <v>16</v>
      </c>
      <c r="J531" s="1">
        <v>1</v>
      </c>
      <c r="K531" s="1">
        <v>12</v>
      </c>
      <c r="L531" s="1" t="s">
        <v>31</v>
      </c>
      <c r="M531" s="1" t="s">
        <v>18</v>
      </c>
      <c r="N531" s="1" t="s">
        <v>18</v>
      </c>
      <c r="O531" s="1">
        <v>3</v>
      </c>
      <c r="P531" s="1">
        <v>6</v>
      </c>
      <c r="R531" s="1" t="s">
        <v>19</v>
      </c>
      <c r="S531" s="1" t="s">
        <v>20</v>
      </c>
      <c r="T531" s="1" t="s">
        <v>21</v>
      </c>
      <c r="U531" s="1" t="s">
        <v>22</v>
      </c>
      <c r="V531" s="1" t="s">
        <v>24</v>
      </c>
      <c r="W531" s="1" t="s">
        <v>24</v>
      </c>
      <c r="X531" s="1">
        <v>2734</v>
      </c>
      <c r="Y531" s="1" t="s">
        <v>24</v>
      </c>
      <c r="Z531" s="1" t="s">
        <v>24</v>
      </c>
      <c r="AA531" s="1" t="s">
        <v>24</v>
      </c>
      <c r="AB531" s="1" t="s">
        <v>24</v>
      </c>
      <c r="AC531" s="1" t="s">
        <v>24</v>
      </c>
      <c r="AD531" s="1" t="s">
        <v>24</v>
      </c>
      <c r="AE531" s="1" t="s">
        <v>24</v>
      </c>
      <c r="AF531" s="22"/>
    </row>
    <row r="532" spans="1:32" x14ac:dyDescent="0.2">
      <c r="A532" s="1">
        <v>3119</v>
      </c>
      <c r="B532" s="1" t="s">
        <v>1837</v>
      </c>
      <c r="C532" s="5" t="s">
        <v>0</v>
      </c>
      <c r="D532" s="1" t="s">
        <v>1838</v>
      </c>
      <c r="E532" s="1" t="s">
        <v>1839</v>
      </c>
      <c r="F532" s="1" t="s">
        <v>28</v>
      </c>
      <c r="G532" s="1" t="s">
        <v>29</v>
      </c>
      <c r="H532" s="1" t="s">
        <v>30</v>
      </c>
      <c r="I532" s="1" t="s">
        <v>16</v>
      </c>
      <c r="J532" s="1">
        <v>2</v>
      </c>
      <c r="K532" s="1">
        <v>6</v>
      </c>
      <c r="L532" s="1" t="s">
        <v>31</v>
      </c>
      <c r="M532" s="1" t="s">
        <v>18</v>
      </c>
      <c r="N532" s="1" t="s">
        <v>18</v>
      </c>
      <c r="O532" s="1">
        <v>3</v>
      </c>
      <c r="P532" s="1">
        <v>7</v>
      </c>
      <c r="Q532" s="7" t="s">
        <v>17633</v>
      </c>
      <c r="R532" s="1" t="s">
        <v>62</v>
      </c>
      <c r="S532" s="1" t="s">
        <v>20</v>
      </c>
      <c r="T532" s="1" t="s">
        <v>21</v>
      </c>
      <c r="U532" s="1" t="s">
        <v>22</v>
      </c>
      <c r="V532" s="1" t="s">
        <v>24</v>
      </c>
      <c r="W532" s="1" t="s">
        <v>24</v>
      </c>
      <c r="X532" s="1">
        <v>2724</v>
      </c>
      <c r="Y532" s="1" t="s">
        <v>24</v>
      </c>
      <c r="Z532" s="1" t="s">
        <v>24</v>
      </c>
      <c r="AA532" s="1" t="s">
        <v>24</v>
      </c>
      <c r="AB532" s="1" t="s">
        <v>24</v>
      </c>
      <c r="AC532" s="1" t="s">
        <v>24</v>
      </c>
      <c r="AD532" s="1" t="s">
        <v>24</v>
      </c>
      <c r="AE532" s="1" t="s">
        <v>24</v>
      </c>
      <c r="AF532" s="22"/>
    </row>
    <row r="533" spans="1:32" x14ac:dyDescent="0.2">
      <c r="A533" s="1">
        <v>3121</v>
      </c>
      <c r="B533" s="1" t="s">
        <v>1840</v>
      </c>
      <c r="C533" s="5" t="s">
        <v>0</v>
      </c>
      <c r="D533" s="1" t="s">
        <v>1841</v>
      </c>
      <c r="E533" s="1" t="s">
        <v>1842</v>
      </c>
      <c r="F533" s="1" t="s">
        <v>517</v>
      </c>
      <c r="G533" s="1" t="s">
        <v>36</v>
      </c>
      <c r="H533" s="1" t="s">
        <v>30</v>
      </c>
      <c r="I533" s="1" t="s">
        <v>16</v>
      </c>
      <c r="J533" s="1">
        <v>2</v>
      </c>
      <c r="K533" s="1">
        <v>6</v>
      </c>
      <c r="L533" s="1" t="s">
        <v>31</v>
      </c>
      <c r="M533" s="1" t="s">
        <v>18</v>
      </c>
      <c r="N533" s="1" t="s">
        <v>18</v>
      </c>
      <c r="O533" s="1">
        <v>3</v>
      </c>
      <c r="P533" s="1">
        <v>7</v>
      </c>
      <c r="Q533" s="7" t="s">
        <v>17633</v>
      </c>
      <c r="R533" s="1" t="s">
        <v>62</v>
      </c>
      <c r="S533" s="1" t="s">
        <v>20</v>
      </c>
      <c r="T533" s="1" t="s">
        <v>21</v>
      </c>
      <c r="U533" s="1" t="s">
        <v>22</v>
      </c>
      <c r="V533" s="1" t="s">
        <v>24</v>
      </c>
      <c r="W533" s="1" t="s">
        <v>24</v>
      </c>
      <c r="X533" s="1">
        <v>2721</v>
      </c>
      <c r="Y533" s="1" t="s">
        <v>24</v>
      </c>
      <c r="Z533" s="1" t="s">
        <v>24</v>
      </c>
      <c r="AA533" s="1" t="s">
        <v>24</v>
      </c>
      <c r="AB533" s="1" t="s">
        <v>24</v>
      </c>
      <c r="AC533" s="1" t="s">
        <v>24</v>
      </c>
      <c r="AD533" s="1" t="s">
        <v>24</v>
      </c>
      <c r="AE533" s="1" t="s">
        <v>24</v>
      </c>
      <c r="AF533" s="22"/>
    </row>
    <row r="534" spans="1:32" x14ac:dyDescent="0.2">
      <c r="A534" s="1">
        <v>3142</v>
      </c>
      <c r="B534" s="1" t="s">
        <v>1843</v>
      </c>
      <c r="C534" s="5" t="s">
        <v>0</v>
      </c>
      <c r="D534" s="1" t="s">
        <v>1844</v>
      </c>
      <c r="E534" s="1" t="s">
        <v>1845</v>
      </c>
      <c r="F534" s="1" t="s">
        <v>109</v>
      </c>
      <c r="G534" s="1" t="s">
        <v>110</v>
      </c>
      <c r="H534" s="1" t="s">
        <v>111</v>
      </c>
      <c r="I534" s="1" t="s">
        <v>16</v>
      </c>
      <c r="J534" s="1">
        <v>1</v>
      </c>
      <c r="K534" s="1">
        <v>6</v>
      </c>
      <c r="L534" s="1" t="s">
        <v>31</v>
      </c>
      <c r="M534" s="1" t="s">
        <v>18</v>
      </c>
      <c r="N534" s="1" t="s">
        <v>18</v>
      </c>
      <c r="O534" s="1">
        <v>3</v>
      </c>
      <c r="P534" s="1">
        <v>7</v>
      </c>
      <c r="Q534" s="7" t="s">
        <v>17633</v>
      </c>
      <c r="R534" s="1" t="s">
        <v>19</v>
      </c>
      <c r="S534" s="1" t="s">
        <v>20</v>
      </c>
      <c r="T534" s="1" t="s">
        <v>21</v>
      </c>
      <c r="U534" s="1" t="s">
        <v>22</v>
      </c>
      <c r="V534" s="1" t="s">
        <v>23</v>
      </c>
      <c r="W534" s="1" t="s">
        <v>24</v>
      </c>
      <c r="X534" s="1">
        <v>3204</v>
      </c>
      <c r="Y534" s="1" t="s">
        <v>24</v>
      </c>
      <c r="Z534" s="1" t="s">
        <v>24</v>
      </c>
      <c r="AA534" s="1" t="s">
        <v>24</v>
      </c>
      <c r="AB534" s="1" t="s">
        <v>24</v>
      </c>
      <c r="AC534" s="1" t="s">
        <v>24</v>
      </c>
      <c r="AD534" s="1" t="s">
        <v>24</v>
      </c>
      <c r="AE534" s="1" t="s">
        <v>24</v>
      </c>
      <c r="AF534" s="22"/>
    </row>
    <row r="535" spans="1:32" x14ac:dyDescent="0.2">
      <c r="A535" s="1">
        <v>3146</v>
      </c>
      <c r="B535" s="1" t="s">
        <v>1846</v>
      </c>
      <c r="C535" s="5" t="s">
        <v>0</v>
      </c>
      <c r="D535" s="1" t="s">
        <v>1847</v>
      </c>
      <c r="E535" s="1" t="s">
        <v>1848</v>
      </c>
      <c r="F535" s="1" t="s">
        <v>167</v>
      </c>
      <c r="G535" s="1" t="s">
        <v>130</v>
      </c>
      <c r="H535" s="1" t="s">
        <v>168</v>
      </c>
      <c r="I535" s="1" t="s">
        <v>16</v>
      </c>
      <c r="J535" s="1">
        <v>2</v>
      </c>
      <c r="K535" s="1">
        <v>6</v>
      </c>
      <c r="L535" s="1" t="s">
        <v>31</v>
      </c>
      <c r="M535" s="1" t="s">
        <v>18</v>
      </c>
      <c r="N535" s="1" t="s">
        <v>18</v>
      </c>
      <c r="O535" s="1">
        <v>3</v>
      </c>
      <c r="P535" s="1">
        <v>7</v>
      </c>
      <c r="Q535" s="7" t="s">
        <v>17633</v>
      </c>
      <c r="R535" s="1" t="s">
        <v>62</v>
      </c>
      <c r="S535" s="1" t="s">
        <v>20</v>
      </c>
      <c r="T535" s="1" t="s">
        <v>21</v>
      </c>
      <c r="U535" s="1" t="s">
        <v>22</v>
      </c>
      <c r="V535" s="1" t="s">
        <v>24</v>
      </c>
      <c r="W535" s="1" t="s">
        <v>24</v>
      </c>
      <c r="X535" s="1">
        <v>2716</v>
      </c>
      <c r="Y535" s="1">
        <v>1311</v>
      </c>
      <c r="Z535" s="1" t="s">
        <v>24</v>
      </c>
      <c r="AA535" s="1" t="s">
        <v>24</v>
      </c>
      <c r="AB535" s="1" t="s">
        <v>24</v>
      </c>
      <c r="AC535" s="1" t="s">
        <v>24</v>
      </c>
      <c r="AD535" s="1" t="s">
        <v>24</v>
      </c>
      <c r="AE535" s="1" t="s">
        <v>24</v>
      </c>
      <c r="AF535" s="22"/>
    </row>
    <row r="536" spans="1:32" x14ac:dyDescent="0.2">
      <c r="A536" s="1">
        <v>3147</v>
      </c>
      <c r="B536" s="1" t="s">
        <v>1849</v>
      </c>
      <c r="C536" s="5" t="s">
        <v>0</v>
      </c>
      <c r="D536" s="1" t="s">
        <v>1850</v>
      </c>
      <c r="E536" s="1" t="s">
        <v>1851</v>
      </c>
      <c r="F536" s="1" t="s">
        <v>109</v>
      </c>
      <c r="G536" s="1" t="s">
        <v>110</v>
      </c>
      <c r="H536" s="1" t="s">
        <v>111</v>
      </c>
      <c r="I536" s="1" t="s">
        <v>16</v>
      </c>
      <c r="J536" s="1">
        <v>2</v>
      </c>
      <c r="K536" s="1">
        <v>4</v>
      </c>
      <c r="L536" s="1" t="s">
        <v>31</v>
      </c>
      <c r="M536" s="1" t="s">
        <v>18</v>
      </c>
      <c r="N536" s="1" t="s">
        <v>18</v>
      </c>
      <c r="O536" s="1">
        <v>3</v>
      </c>
      <c r="P536" s="1">
        <v>6</v>
      </c>
      <c r="R536" s="1" t="s">
        <v>62</v>
      </c>
      <c r="S536" s="1" t="s">
        <v>20</v>
      </c>
      <c r="T536" s="1" t="s">
        <v>21</v>
      </c>
      <c r="U536" s="1" t="s">
        <v>22</v>
      </c>
      <c r="V536" s="1" t="s">
        <v>24</v>
      </c>
      <c r="W536" s="1" t="s">
        <v>24</v>
      </c>
      <c r="X536" s="1">
        <v>2716</v>
      </c>
      <c r="Y536" s="1">
        <v>1311</v>
      </c>
      <c r="Z536" s="1" t="s">
        <v>24</v>
      </c>
      <c r="AA536" s="1" t="s">
        <v>24</v>
      </c>
      <c r="AB536" s="1" t="s">
        <v>24</v>
      </c>
      <c r="AC536" s="1" t="s">
        <v>24</v>
      </c>
      <c r="AD536" s="1" t="s">
        <v>24</v>
      </c>
      <c r="AE536" s="1" t="s">
        <v>24</v>
      </c>
      <c r="AF536" s="22"/>
    </row>
    <row r="537" spans="1:32" x14ac:dyDescent="0.2">
      <c r="A537" s="1">
        <v>3148</v>
      </c>
      <c r="B537" s="1" t="s">
        <v>1852</v>
      </c>
      <c r="C537" s="5" t="s">
        <v>0</v>
      </c>
      <c r="D537" s="1" t="s">
        <v>1853</v>
      </c>
      <c r="E537" s="1" t="s">
        <v>1854</v>
      </c>
      <c r="F537" s="1" t="s">
        <v>272</v>
      </c>
      <c r="G537" s="1" t="s">
        <v>61</v>
      </c>
      <c r="H537" s="1" t="s">
        <v>30</v>
      </c>
      <c r="I537" s="1" t="s">
        <v>16</v>
      </c>
      <c r="J537" s="1">
        <v>1</v>
      </c>
      <c r="K537" s="1">
        <v>12</v>
      </c>
      <c r="L537" s="1" t="s">
        <v>31</v>
      </c>
      <c r="M537" s="1" t="s">
        <v>18</v>
      </c>
      <c r="N537" s="1" t="s">
        <v>18</v>
      </c>
      <c r="O537" s="1">
        <v>3</v>
      </c>
      <c r="P537" s="1">
        <v>7</v>
      </c>
      <c r="Q537" s="7" t="s">
        <v>17633</v>
      </c>
      <c r="R537" s="1" t="s">
        <v>19</v>
      </c>
      <c r="S537" s="1" t="s">
        <v>20</v>
      </c>
      <c r="T537" s="1" t="s">
        <v>21</v>
      </c>
      <c r="U537" s="1" t="s">
        <v>22</v>
      </c>
      <c r="V537" s="1" t="s">
        <v>24</v>
      </c>
      <c r="W537" s="1" t="s">
        <v>24</v>
      </c>
      <c r="X537" s="1">
        <v>2403</v>
      </c>
      <c r="Y537" s="1">
        <v>2723</v>
      </c>
      <c r="Z537" s="1" t="s">
        <v>24</v>
      </c>
      <c r="AA537" s="1" t="s">
        <v>24</v>
      </c>
      <c r="AB537" s="1" t="s">
        <v>24</v>
      </c>
      <c r="AC537" s="1" t="s">
        <v>24</v>
      </c>
      <c r="AD537" s="1" t="s">
        <v>24</v>
      </c>
      <c r="AE537" s="1" t="s">
        <v>24</v>
      </c>
      <c r="AF537" s="22"/>
    </row>
    <row r="538" spans="1:32" x14ac:dyDescent="0.2">
      <c r="A538" s="1">
        <v>3151</v>
      </c>
      <c r="B538" s="1" t="s">
        <v>1855</v>
      </c>
      <c r="C538" s="5" t="s">
        <v>0</v>
      </c>
      <c r="D538" s="1" t="s">
        <v>1856</v>
      </c>
      <c r="E538" s="1" t="s">
        <v>1857</v>
      </c>
      <c r="F538" s="1" t="s">
        <v>55</v>
      </c>
      <c r="G538" s="1" t="s">
        <v>56</v>
      </c>
      <c r="H538" s="1" t="s">
        <v>37</v>
      </c>
      <c r="I538" s="1" t="s">
        <v>16</v>
      </c>
      <c r="J538" s="1">
        <v>1</v>
      </c>
      <c r="K538" s="1">
        <v>12</v>
      </c>
      <c r="L538" s="1" t="s">
        <v>31</v>
      </c>
      <c r="M538" s="1" t="s">
        <v>18</v>
      </c>
      <c r="N538" s="1" t="s">
        <v>18</v>
      </c>
      <c r="O538" s="1">
        <v>3</v>
      </c>
      <c r="P538" s="1">
        <v>6</v>
      </c>
      <c r="R538" s="1" t="s">
        <v>62</v>
      </c>
      <c r="S538" s="1" t="s">
        <v>20</v>
      </c>
      <c r="T538" s="1" t="s">
        <v>21</v>
      </c>
      <c r="U538" s="1" t="s">
        <v>22</v>
      </c>
      <c r="V538" s="1" t="s">
        <v>24</v>
      </c>
      <c r="W538" s="1" t="s">
        <v>24</v>
      </c>
      <c r="X538" s="1">
        <v>2742</v>
      </c>
      <c r="Y538" s="1">
        <v>2729</v>
      </c>
      <c r="Z538" s="1">
        <v>2743</v>
      </c>
      <c r="AA538" s="1" t="s">
        <v>24</v>
      </c>
      <c r="AB538" s="1" t="s">
        <v>24</v>
      </c>
      <c r="AC538" s="1" t="s">
        <v>24</v>
      </c>
      <c r="AD538" s="1" t="s">
        <v>24</v>
      </c>
      <c r="AE538" s="1" t="s">
        <v>24</v>
      </c>
      <c r="AF538" s="22"/>
    </row>
    <row r="539" spans="1:32" x14ac:dyDescent="0.2">
      <c r="A539" s="1">
        <v>3173</v>
      </c>
      <c r="B539" s="1" t="s">
        <v>1858</v>
      </c>
      <c r="C539" s="5" t="s">
        <v>0</v>
      </c>
      <c r="D539" s="1" t="s">
        <v>1859</v>
      </c>
      <c r="E539" s="1" t="s">
        <v>1860</v>
      </c>
      <c r="F539" s="1" t="s">
        <v>28</v>
      </c>
      <c r="G539" s="1" t="s">
        <v>29</v>
      </c>
      <c r="H539" s="1" t="s">
        <v>30</v>
      </c>
      <c r="I539" s="1" t="s">
        <v>16</v>
      </c>
      <c r="J539" s="1">
        <v>1</v>
      </c>
      <c r="K539" s="1">
        <v>4</v>
      </c>
      <c r="L539" s="1" t="s">
        <v>31</v>
      </c>
      <c r="M539" s="1" t="s">
        <v>18</v>
      </c>
      <c r="N539" s="1" t="s">
        <v>18</v>
      </c>
      <c r="O539" s="1">
        <v>2</v>
      </c>
      <c r="P539" s="1">
        <v>7</v>
      </c>
      <c r="Q539" s="7" t="s">
        <v>17633</v>
      </c>
      <c r="R539" s="1" t="s">
        <v>19</v>
      </c>
      <c r="S539" s="1" t="s">
        <v>20</v>
      </c>
      <c r="T539" s="1" t="s">
        <v>21</v>
      </c>
      <c r="U539" s="1" t="s">
        <v>22</v>
      </c>
      <c r="V539" s="1" t="s">
        <v>23</v>
      </c>
      <c r="W539" s="1" t="s">
        <v>24</v>
      </c>
      <c r="X539" s="1">
        <v>2703</v>
      </c>
      <c r="Y539" s="1" t="s">
        <v>24</v>
      </c>
      <c r="Z539" s="1" t="s">
        <v>24</v>
      </c>
      <c r="AA539" s="1" t="s">
        <v>24</v>
      </c>
      <c r="AB539" s="1" t="s">
        <v>24</v>
      </c>
      <c r="AC539" s="1" t="s">
        <v>24</v>
      </c>
      <c r="AD539" s="1" t="s">
        <v>24</v>
      </c>
      <c r="AE539" s="1" t="s">
        <v>24</v>
      </c>
      <c r="AF539" s="22"/>
    </row>
    <row r="540" spans="1:32" x14ac:dyDescent="0.2">
      <c r="A540" s="1">
        <v>3190</v>
      </c>
      <c r="B540" s="1" t="s">
        <v>1861</v>
      </c>
      <c r="C540" s="5" t="s">
        <v>0</v>
      </c>
      <c r="D540" s="1" t="s">
        <v>1862</v>
      </c>
      <c r="F540" s="1" t="s">
        <v>155</v>
      </c>
      <c r="G540" s="1" t="s">
        <v>61</v>
      </c>
      <c r="H540" s="1" t="s">
        <v>37</v>
      </c>
      <c r="I540" s="1" t="s">
        <v>16</v>
      </c>
      <c r="J540" s="1">
        <v>1</v>
      </c>
      <c r="K540" s="1">
        <v>4</v>
      </c>
      <c r="L540" s="1" t="s">
        <v>31</v>
      </c>
      <c r="M540" s="1" t="s">
        <v>18</v>
      </c>
      <c r="N540" s="1" t="s">
        <v>18</v>
      </c>
      <c r="O540" s="1">
        <v>3</v>
      </c>
      <c r="P540" s="1">
        <v>7</v>
      </c>
      <c r="Q540" s="7" t="s">
        <v>17633</v>
      </c>
      <c r="R540" s="1" t="s">
        <v>19</v>
      </c>
      <c r="S540" s="1" t="s">
        <v>63</v>
      </c>
      <c r="T540" s="1" t="s">
        <v>21</v>
      </c>
      <c r="U540" s="1" t="s">
        <v>22</v>
      </c>
      <c r="V540" s="1" t="s">
        <v>23</v>
      </c>
      <c r="W540" s="1" t="s">
        <v>24</v>
      </c>
      <c r="X540" s="1">
        <v>3204</v>
      </c>
      <c r="Y540" s="1" t="s">
        <v>24</v>
      </c>
      <c r="Z540" s="1" t="s">
        <v>24</v>
      </c>
      <c r="AA540" s="1" t="s">
        <v>24</v>
      </c>
      <c r="AB540" s="1" t="s">
        <v>24</v>
      </c>
      <c r="AC540" s="1" t="s">
        <v>24</v>
      </c>
      <c r="AD540" s="1" t="s">
        <v>24</v>
      </c>
      <c r="AE540" s="1" t="s">
        <v>24</v>
      </c>
      <c r="AF540" s="22"/>
    </row>
    <row r="541" spans="1:32" x14ac:dyDescent="0.2">
      <c r="A541" s="1">
        <v>3201</v>
      </c>
      <c r="B541" s="1" t="s">
        <v>1863</v>
      </c>
      <c r="C541" s="5" t="s">
        <v>0</v>
      </c>
      <c r="D541" s="1" t="s">
        <v>1864</v>
      </c>
      <c r="F541" s="1" t="s">
        <v>1865</v>
      </c>
      <c r="G541" s="1" t="s">
        <v>1865</v>
      </c>
      <c r="H541" s="1" t="s">
        <v>147</v>
      </c>
      <c r="I541" s="1" t="s">
        <v>16</v>
      </c>
      <c r="J541" s="1">
        <v>1</v>
      </c>
      <c r="K541" s="1">
        <v>4</v>
      </c>
      <c r="L541" s="1" t="s">
        <v>42</v>
      </c>
      <c r="M541" s="1" t="s">
        <v>117</v>
      </c>
      <c r="N541" s="1" t="s">
        <v>18</v>
      </c>
      <c r="O541" s="1">
        <v>3</v>
      </c>
      <c r="P541" s="1">
        <v>5</v>
      </c>
      <c r="R541" s="1" t="s">
        <v>19</v>
      </c>
      <c r="S541" s="1" t="s">
        <v>20</v>
      </c>
      <c r="T541" s="1" t="s">
        <v>21</v>
      </c>
      <c r="U541" s="1" t="s">
        <v>22</v>
      </c>
      <c r="V541" s="1" t="s">
        <v>24</v>
      </c>
      <c r="W541" s="1" t="s">
        <v>24</v>
      </c>
      <c r="X541" s="1">
        <v>2700</v>
      </c>
      <c r="Y541" s="1" t="s">
        <v>24</v>
      </c>
      <c r="Z541" s="1" t="s">
        <v>24</v>
      </c>
      <c r="AA541" s="1" t="s">
        <v>24</v>
      </c>
      <c r="AB541" s="1" t="s">
        <v>24</v>
      </c>
      <c r="AC541" s="1" t="s">
        <v>24</v>
      </c>
      <c r="AD541" s="1" t="s">
        <v>24</v>
      </c>
      <c r="AE541" s="1" t="s">
        <v>24</v>
      </c>
      <c r="AF541" s="22"/>
    </row>
    <row r="542" spans="1:32" x14ac:dyDescent="0.2">
      <c r="A542" s="1">
        <v>3203</v>
      </c>
      <c r="B542" s="1" t="s">
        <v>1866</v>
      </c>
      <c r="C542" s="5" t="s">
        <v>0</v>
      </c>
      <c r="D542" s="1" t="s">
        <v>1867</v>
      </c>
      <c r="E542" s="1" t="s">
        <v>1868</v>
      </c>
      <c r="F542" s="1" t="s">
        <v>167</v>
      </c>
      <c r="G542" s="1" t="s">
        <v>130</v>
      </c>
      <c r="H542" s="1" t="s">
        <v>168</v>
      </c>
      <c r="I542" s="1" t="s">
        <v>16</v>
      </c>
      <c r="J542" s="1">
        <v>1</v>
      </c>
      <c r="K542" s="1">
        <v>12</v>
      </c>
      <c r="L542" s="1" t="s">
        <v>31</v>
      </c>
      <c r="M542" s="1" t="s">
        <v>18</v>
      </c>
      <c r="N542" s="1" t="s">
        <v>18</v>
      </c>
      <c r="O542" s="1">
        <v>3</v>
      </c>
      <c r="P542" s="1">
        <v>6</v>
      </c>
      <c r="R542" s="1" t="s">
        <v>62</v>
      </c>
      <c r="S542" s="1" t="s">
        <v>20</v>
      </c>
      <c r="T542" s="1" t="s">
        <v>21</v>
      </c>
      <c r="U542" s="1" t="s">
        <v>22</v>
      </c>
      <c r="V542" s="1" t="s">
        <v>23</v>
      </c>
      <c r="W542" s="1" t="s">
        <v>24</v>
      </c>
      <c r="X542" s="1">
        <v>2706</v>
      </c>
      <c r="Y542" s="1" t="s">
        <v>24</v>
      </c>
      <c r="Z542" s="1" t="s">
        <v>24</v>
      </c>
      <c r="AA542" s="1" t="s">
        <v>24</v>
      </c>
      <c r="AB542" s="1" t="s">
        <v>24</v>
      </c>
      <c r="AC542" s="1" t="s">
        <v>24</v>
      </c>
      <c r="AD542" s="1" t="s">
        <v>24</v>
      </c>
      <c r="AE542" s="1" t="s">
        <v>24</v>
      </c>
      <c r="AF542" s="22"/>
    </row>
    <row r="543" spans="1:32" x14ac:dyDescent="0.2">
      <c r="A543" s="1">
        <v>3224</v>
      </c>
      <c r="B543" s="1" t="s">
        <v>1869</v>
      </c>
      <c r="C543" s="5" t="s">
        <v>0</v>
      </c>
      <c r="D543" s="1" t="s">
        <v>1870</v>
      </c>
      <c r="F543" s="1" t="s">
        <v>1871</v>
      </c>
      <c r="G543" s="1" t="s">
        <v>1734</v>
      </c>
      <c r="H543" s="1" t="s">
        <v>81</v>
      </c>
      <c r="I543" s="1" t="s">
        <v>16</v>
      </c>
      <c r="J543" s="1">
        <v>1</v>
      </c>
      <c r="K543" s="1">
        <v>12</v>
      </c>
      <c r="L543" s="1" t="s">
        <v>17</v>
      </c>
      <c r="M543" s="1" t="s">
        <v>1872</v>
      </c>
      <c r="N543" s="1" t="s">
        <v>1873</v>
      </c>
      <c r="O543" s="1">
        <v>3</v>
      </c>
      <c r="P543" s="1">
        <v>5</v>
      </c>
      <c r="R543" s="1" t="s">
        <v>19</v>
      </c>
      <c r="S543" s="1" t="s">
        <v>20</v>
      </c>
      <c r="T543" s="1" t="s">
        <v>21</v>
      </c>
      <c r="U543" s="1" t="s">
        <v>22</v>
      </c>
      <c r="V543" s="1" t="s">
        <v>24</v>
      </c>
      <c r="W543" s="1" t="s">
        <v>24</v>
      </c>
      <c r="X543" s="1">
        <v>2728</v>
      </c>
      <c r="Y543" s="1">
        <v>2808</v>
      </c>
      <c r="Z543" s="1" t="s">
        <v>24</v>
      </c>
      <c r="AA543" s="1" t="s">
        <v>24</v>
      </c>
      <c r="AB543" s="1" t="s">
        <v>24</v>
      </c>
      <c r="AC543" s="1" t="s">
        <v>24</v>
      </c>
      <c r="AD543" s="1" t="s">
        <v>24</v>
      </c>
      <c r="AE543" s="1" t="s">
        <v>24</v>
      </c>
      <c r="AF543" s="22"/>
    </row>
    <row r="544" spans="1:32" x14ac:dyDescent="0.2">
      <c r="A544" s="1">
        <v>3228</v>
      </c>
      <c r="B544" s="1" t="s">
        <v>1874</v>
      </c>
      <c r="C544" s="5" t="s">
        <v>0</v>
      </c>
      <c r="D544" s="1" t="s">
        <v>1875</v>
      </c>
      <c r="E544" s="1" t="s">
        <v>1876</v>
      </c>
      <c r="F544" s="1" t="s">
        <v>1877</v>
      </c>
      <c r="G544" s="1" t="s">
        <v>1878</v>
      </c>
      <c r="H544" s="1" t="s">
        <v>30</v>
      </c>
      <c r="I544" s="1" t="s">
        <v>16</v>
      </c>
      <c r="J544" s="1">
        <v>1</v>
      </c>
      <c r="K544" s="1">
        <v>12</v>
      </c>
      <c r="L544" s="1" t="s">
        <v>31</v>
      </c>
      <c r="M544" s="1" t="s">
        <v>18</v>
      </c>
      <c r="N544" s="1" t="s">
        <v>18</v>
      </c>
      <c r="O544" s="1">
        <v>3</v>
      </c>
      <c r="P544" s="1">
        <v>6</v>
      </c>
      <c r="R544" s="1" t="s">
        <v>19</v>
      </c>
      <c r="S544" s="1" t="s">
        <v>63</v>
      </c>
      <c r="T544" s="1" t="s">
        <v>21</v>
      </c>
      <c r="U544" s="1" t="s">
        <v>22</v>
      </c>
      <c r="V544" s="1" t="s">
        <v>23</v>
      </c>
      <c r="W544" s="1" t="s">
        <v>24</v>
      </c>
      <c r="X544" s="1">
        <v>2204</v>
      </c>
      <c r="Y544" s="1" t="s">
        <v>24</v>
      </c>
      <c r="Z544" s="1" t="s">
        <v>24</v>
      </c>
      <c r="AA544" s="1" t="s">
        <v>24</v>
      </c>
      <c r="AB544" s="1" t="s">
        <v>24</v>
      </c>
      <c r="AC544" s="1" t="s">
        <v>24</v>
      </c>
      <c r="AD544" s="1" t="s">
        <v>24</v>
      </c>
      <c r="AE544" s="1" t="s">
        <v>24</v>
      </c>
      <c r="AF544" s="22"/>
    </row>
    <row r="545" spans="1:32" x14ac:dyDescent="0.2">
      <c r="A545" s="1">
        <v>3257</v>
      </c>
      <c r="B545" s="1" t="s">
        <v>1879</v>
      </c>
      <c r="C545" s="5" t="s">
        <v>0</v>
      </c>
      <c r="D545" s="1" t="s">
        <v>1880</v>
      </c>
      <c r="E545" s="1" t="s">
        <v>1881</v>
      </c>
      <c r="F545" s="1" t="s">
        <v>1801</v>
      </c>
      <c r="G545" s="1" t="s">
        <v>130</v>
      </c>
      <c r="H545" s="1" t="s">
        <v>168</v>
      </c>
      <c r="I545" s="1" t="s">
        <v>16</v>
      </c>
      <c r="J545" s="1">
        <v>1</v>
      </c>
      <c r="K545" s="1">
        <v>6</v>
      </c>
      <c r="L545" s="1" t="s">
        <v>31</v>
      </c>
      <c r="M545" s="1" t="s">
        <v>18</v>
      </c>
      <c r="N545" s="1" t="s">
        <v>18</v>
      </c>
      <c r="O545" s="1">
        <v>3</v>
      </c>
      <c r="P545" s="1">
        <v>6</v>
      </c>
      <c r="R545" s="1" t="s">
        <v>19</v>
      </c>
      <c r="S545" s="1" t="s">
        <v>20</v>
      </c>
      <c r="T545" s="1" t="s">
        <v>21</v>
      </c>
      <c r="U545" s="1" t="s">
        <v>22</v>
      </c>
      <c r="V545" s="1" t="s">
        <v>23</v>
      </c>
      <c r="W545" s="1" t="s">
        <v>24</v>
      </c>
      <c r="X545" s="1">
        <v>2726</v>
      </c>
      <c r="Y545" s="1">
        <v>2725</v>
      </c>
      <c r="Z545" s="1" t="s">
        <v>24</v>
      </c>
      <c r="AA545" s="1" t="s">
        <v>24</v>
      </c>
      <c r="AB545" s="1" t="s">
        <v>24</v>
      </c>
      <c r="AC545" s="1" t="s">
        <v>24</v>
      </c>
      <c r="AD545" s="1" t="s">
        <v>24</v>
      </c>
      <c r="AE545" s="1" t="s">
        <v>24</v>
      </c>
      <c r="AF545" s="22"/>
    </row>
    <row r="546" spans="1:32" x14ac:dyDescent="0.2">
      <c r="A546" s="1">
        <v>3266</v>
      </c>
      <c r="B546" s="1" t="s">
        <v>1882</v>
      </c>
      <c r="C546" s="5" t="s">
        <v>0</v>
      </c>
      <c r="D546" s="1" t="s">
        <v>1883</v>
      </c>
      <c r="F546" s="1" t="s">
        <v>91</v>
      </c>
      <c r="G546" s="1" t="s">
        <v>61</v>
      </c>
      <c r="H546" s="1" t="s">
        <v>92</v>
      </c>
      <c r="I546" s="1" t="s">
        <v>16</v>
      </c>
      <c r="J546" s="1">
        <v>1</v>
      </c>
      <c r="K546" s="1">
        <v>5</v>
      </c>
      <c r="L546" s="1" t="s">
        <v>31</v>
      </c>
      <c r="M546" s="1" t="s">
        <v>18</v>
      </c>
      <c r="N546" s="1" t="s">
        <v>18</v>
      </c>
      <c r="O546" s="1">
        <v>2</v>
      </c>
      <c r="P546" s="1">
        <v>4</v>
      </c>
      <c r="R546" s="1" t="s">
        <v>19</v>
      </c>
      <c r="S546" s="1" t="s">
        <v>20</v>
      </c>
      <c r="T546" s="1" t="s">
        <v>21</v>
      </c>
      <c r="U546" s="1" t="s">
        <v>22</v>
      </c>
      <c r="V546" s="1" t="s">
        <v>24</v>
      </c>
      <c r="W546" s="1" t="s">
        <v>24</v>
      </c>
      <c r="X546" s="1">
        <v>2705</v>
      </c>
      <c r="Y546" s="1" t="s">
        <v>24</v>
      </c>
      <c r="Z546" s="1" t="s">
        <v>24</v>
      </c>
      <c r="AA546" s="1" t="s">
        <v>24</v>
      </c>
      <c r="AB546" s="1" t="s">
        <v>24</v>
      </c>
      <c r="AC546" s="1" t="s">
        <v>24</v>
      </c>
      <c r="AD546" s="1" t="s">
        <v>24</v>
      </c>
      <c r="AE546" s="1" t="s">
        <v>24</v>
      </c>
      <c r="AF546" s="22"/>
    </row>
    <row r="547" spans="1:32" x14ac:dyDescent="0.2">
      <c r="A547" s="1">
        <v>3274</v>
      </c>
      <c r="B547" s="1" t="s">
        <v>1884</v>
      </c>
      <c r="C547" s="5" t="s">
        <v>0</v>
      </c>
      <c r="D547" s="1" t="s">
        <v>1885</v>
      </c>
      <c r="E547" s="1" t="s">
        <v>1886</v>
      </c>
      <c r="F547" s="1" t="s">
        <v>1887</v>
      </c>
      <c r="G547" s="1" t="s">
        <v>254</v>
      </c>
      <c r="H547" s="1" t="s">
        <v>168</v>
      </c>
      <c r="I547" s="1" t="s">
        <v>16</v>
      </c>
      <c r="J547" s="1">
        <v>1</v>
      </c>
      <c r="K547" s="1">
        <v>4</v>
      </c>
      <c r="L547" s="1" t="s">
        <v>31</v>
      </c>
      <c r="M547" s="1" t="s">
        <v>18</v>
      </c>
      <c r="N547" s="1" t="s">
        <v>18</v>
      </c>
      <c r="O547" s="1">
        <v>2</v>
      </c>
      <c r="P547" s="1">
        <v>5</v>
      </c>
      <c r="R547" s="1" t="s">
        <v>19</v>
      </c>
      <c r="S547" s="1" t="s">
        <v>20</v>
      </c>
      <c r="T547" s="1" t="s">
        <v>21</v>
      </c>
      <c r="U547" s="1" t="s">
        <v>22</v>
      </c>
      <c r="V547" s="1" t="s">
        <v>23</v>
      </c>
      <c r="W547" s="1" t="s">
        <v>24</v>
      </c>
      <c r="X547" s="1">
        <v>2735</v>
      </c>
      <c r="Y547" s="1">
        <v>2739</v>
      </c>
      <c r="Z547" s="1" t="s">
        <v>24</v>
      </c>
      <c r="AA547" s="1" t="s">
        <v>24</v>
      </c>
      <c r="AB547" s="1" t="s">
        <v>24</v>
      </c>
      <c r="AC547" s="1" t="s">
        <v>24</v>
      </c>
      <c r="AD547" s="1" t="s">
        <v>24</v>
      </c>
      <c r="AE547" s="1" t="s">
        <v>24</v>
      </c>
      <c r="AF547" s="22"/>
    </row>
    <row r="548" spans="1:32" x14ac:dyDescent="0.2">
      <c r="A548" s="1">
        <v>3277</v>
      </c>
      <c r="B548" s="1" t="s">
        <v>1888</v>
      </c>
      <c r="C548" s="5" t="s">
        <v>0</v>
      </c>
      <c r="D548" s="1" t="s">
        <v>1889</v>
      </c>
      <c r="F548" s="1" t="s">
        <v>1890</v>
      </c>
      <c r="G548" s="1" t="s">
        <v>1890</v>
      </c>
      <c r="H548" s="1" t="s">
        <v>684</v>
      </c>
      <c r="I548" s="1" t="s">
        <v>16</v>
      </c>
      <c r="J548" s="1">
        <v>1</v>
      </c>
      <c r="K548" s="1">
        <v>12</v>
      </c>
      <c r="L548" s="1" t="s">
        <v>42</v>
      </c>
      <c r="M548" s="1" t="s">
        <v>18</v>
      </c>
      <c r="N548" s="1" t="s">
        <v>18</v>
      </c>
      <c r="O548" s="1">
        <v>3</v>
      </c>
      <c r="P548" s="1">
        <v>6</v>
      </c>
      <c r="R548" s="1" t="s">
        <v>19</v>
      </c>
      <c r="S548" s="1" t="s">
        <v>20</v>
      </c>
      <c r="T548" s="1" t="s">
        <v>21</v>
      </c>
      <c r="U548" s="1" t="s">
        <v>22</v>
      </c>
      <c r="V548" s="1" t="s">
        <v>23</v>
      </c>
      <c r="W548" s="1" t="s">
        <v>24</v>
      </c>
      <c r="X548" s="1">
        <v>2502</v>
      </c>
      <c r="Y548" s="1">
        <v>2204</v>
      </c>
      <c r="Z548" s="1">
        <v>1502</v>
      </c>
      <c r="AA548" s="1">
        <v>2701</v>
      </c>
      <c r="AB548" s="1" t="s">
        <v>24</v>
      </c>
      <c r="AC548" s="1" t="s">
        <v>24</v>
      </c>
      <c r="AD548" s="1" t="s">
        <v>24</v>
      </c>
      <c r="AE548" s="1" t="s">
        <v>24</v>
      </c>
      <c r="AF548" s="22"/>
    </row>
    <row r="549" spans="1:32" x14ac:dyDescent="0.2">
      <c r="A549" s="1">
        <v>3287</v>
      </c>
      <c r="B549" s="1" t="s">
        <v>1891</v>
      </c>
      <c r="C549" s="5" t="s">
        <v>0</v>
      </c>
      <c r="D549" s="1" t="s">
        <v>1892</v>
      </c>
      <c r="E549" s="1" t="s">
        <v>1893</v>
      </c>
      <c r="F549" s="1" t="s">
        <v>91</v>
      </c>
      <c r="G549" s="1" t="s">
        <v>61</v>
      </c>
      <c r="H549" s="1" t="s">
        <v>92</v>
      </c>
      <c r="I549" s="1" t="s">
        <v>16</v>
      </c>
      <c r="J549" s="1">
        <v>2</v>
      </c>
      <c r="K549" s="1">
        <v>5</v>
      </c>
      <c r="L549" s="1" t="s">
        <v>31</v>
      </c>
      <c r="M549" s="1" t="s">
        <v>18</v>
      </c>
      <c r="N549" s="1" t="s">
        <v>18</v>
      </c>
      <c r="O549" s="1">
        <v>3</v>
      </c>
      <c r="P549" s="1">
        <v>6</v>
      </c>
      <c r="R549" s="1" t="s">
        <v>19</v>
      </c>
      <c r="S549" s="1" t="s">
        <v>63</v>
      </c>
      <c r="T549" s="1" t="s">
        <v>21</v>
      </c>
      <c r="U549" s="1" t="s">
        <v>22</v>
      </c>
      <c r="V549" s="1" t="s">
        <v>24</v>
      </c>
      <c r="W549" s="1" t="s">
        <v>24</v>
      </c>
      <c r="X549" s="1">
        <v>1303</v>
      </c>
      <c r="Y549" s="1">
        <v>1312</v>
      </c>
      <c r="Z549" s="1">
        <v>1315</v>
      </c>
      <c r="AA549" s="1" t="s">
        <v>24</v>
      </c>
      <c r="AB549" s="1" t="s">
        <v>24</v>
      </c>
      <c r="AC549" s="1" t="s">
        <v>24</v>
      </c>
      <c r="AD549" s="1" t="s">
        <v>24</v>
      </c>
      <c r="AE549" s="1" t="s">
        <v>24</v>
      </c>
      <c r="AF549" s="22"/>
    </row>
    <row r="550" spans="1:32" x14ac:dyDescent="0.2">
      <c r="A550" s="1">
        <v>3292</v>
      </c>
      <c r="B550" s="1" t="s">
        <v>1894</v>
      </c>
      <c r="C550" s="5" t="s">
        <v>0</v>
      </c>
      <c r="D550" s="1" t="s">
        <v>1895</v>
      </c>
      <c r="E550" s="1" t="s">
        <v>1896</v>
      </c>
      <c r="F550" s="1" t="s">
        <v>1897</v>
      </c>
      <c r="G550" s="1" t="s">
        <v>1898</v>
      </c>
      <c r="H550" s="1" t="s">
        <v>899</v>
      </c>
      <c r="I550" s="1" t="s">
        <v>16</v>
      </c>
      <c r="J550" s="1">
        <v>1</v>
      </c>
      <c r="K550" s="1">
        <v>4</v>
      </c>
      <c r="L550" s="1" t="s">
        <v>31</v>
      </c>
      <c r="M550" s="1" t="s">
        <v>18</v>
      </c>
      <c r="N550" s="1" t="s">
        <v>18</v>
      </c>
      <c r="O550" s="1">
        <v>2</v>
      </c>
      <c r="P550" s="1">
        <v>6</v>
      </c>
      <c r="R550" s="1" t="s">
        <v>19</v>
      </c>
      <c r="S550" s="1" t="s">
        <v>20</v>
      </c>
      <c r="T550" s="1" t="s">
        <v>21</v>
      </c>
      <c r="U550" s="1" t="s">
        <v>22</v>
      </c>
      <c r="V550" s="1" t="s">
        <v>24</v>
      </c>
      <c r="W550" s="1" t="s">
        <v>24</v>
      </c>
      <c r="X550" s="1">
        <v>2730</v>
      </c>
      <c r="Y550" s="1" t="s">
        <v>24</v>
      </c>
      <c r="Z550" s="1" t="s">
        <v>24</v>
      </c>
      <c r="AA550" s="1" t="s">
        <v>24</v>
      </c>
      <c r="AB550" s="1" t="s">
        <v>24</v>
      </c>
      <c r="AC550" s="1" t="s">
        <v>24</v>
      </c>
      <c r="AD550" s="1" t="s">
        <v>24</v>
      </c>
      <c r="AE550" s="1" t="s">
        <v>24</v>
      </c>
      <c r="AF550" s="22"/>
    </row>
    <row r="551" spans="1:32" x14ac:dyDescent="0.2">
      <c r="A551" s="1">
        <v>3296</v>
      </c>
      <c r="B551" s="1" t="s">
        <v>1899</v>
      </c>
      <c r="C551" s="5" t="s">
        <v>0</v>
      </c>
      <c r="D551" s="1" t="s">
        <v>1900</v>
      </c>
      <c r="E551" s="1" t="s">
        <v>1901</v>
      </c>
      <c r="F551" s="1" t="s">
        <v>221</v>
      </c>
      <c r="G551" s="1" t="s">
        <v>61</v>
      </c>
      <c r="H551" s="1" t="s">
        <v>222</v>
      </c>
      <c r="I551" s="1" t="s">
        <v>16</v>
      </c>
      <c r="J551" s="1">
        <v>5</v>
      </c>
      <c r="K551" s="1">
        <v>3</v>
      </c>
      <c r="L551" s="1" t="s">
        <v>31</v>
      </c>
      <c r="M551" s="1" t="s">
        <v>18</v>
      </c>
      <c r="N551" s="1" t="s">
        <v>18</v>
      </c>
      <c r="O551" s="1">
        <v>3</v>
      </c>
      <c r="P551" s="1">
        <v>8</v>
      </c>
      <c r="Q551" s="7" t="s">
        <v>17633</v>
      </c>
      <c r="R551" s="1" t="s">
        <v>19</v>
      </c>
      <c r="S551" s="1" t="s">
        <v>20</v>
      </c>
      <c r="T551" s="1" t="s">
        <v>21</v>
      </c>
      <c r="U551" s="1" t="s">
        <v>22</v>
      </c>
      <c r="V551" s="1" t="s">
        <v>24</v>
      </c>
      <c r="W551" s="1" t="s">
        <v>24</v>
      </c>
      <c r="X551" s="1">
        <v>2705</v>
      </c>
      <c r="Y551" s="1" t="s">
        <v>24</v>
      </c>
      <c r="Z551" s="1" t="s">
        <v>24</v>
      </c>
      <c r="AA551" s="1" t="s">
        <v>24</v>
      </c>
      <c r="AB551" s="1" t="s">
        <v>24</v>
      </c>
      <c r="AC551" s="1" t="s">
        <v>24</v>
      </c>
      <c r="AD551" s="1" t="s">
        <v>24</v>
      </c>
      <c r="AE551" s="1" t="s">
        <v>24</v>
      </c>
      <c r="AF551" s="22"/>
    </row>
    <row r="552" spans="1:32" x14ac:dyDescent="0.2">
      <c r="A552" s="1">
        <v>3298</v>
      </c>
      <c r="B552" s="1" t="s">
        <v>1902</v>
      </c>
      <c r="C552" s="5" t="s">
        <v>0</v>
      </c>
      <c r="D552" s="1" t="s">
        <v>1903</v>
      </c>
      <c r="E552" s="1" t="s">
        <v>1904</v>
      </c>
      <c r="F552" s="1" t="s">
        <v>35</v>
      </c>
      <c r="G552" s="1" t="s">
        <v>36</v>
      </c>
      <c r="H552" s="1" t="s">
        <v>37</v>
      </c>
      <c r="I552" s="1" t="s">
        <v>16</v>
      </c>
      <c r="J552" s="1">
        <v>1</v>
      </c>
      <c r="K552" s="1">
        <v>6</v>
      </c>
      <c r="L552" s="1" t="s">
        <v>31</v>
      </c>
      <c r="M552" s="1" t="s">
        <v>105</v>
      </c>
      <c r="N552" s="1" t="s">
        <v>18</v>
      </c>
      <c r="O552" s="1">
        <v>2</v>
      </c>
      <c r="P552" s="1">
        <v>5</v>
      </c>
      <c r="R552" s="1" t="s">
        <v>19</v>
      </c>
      <c r="S552" s="1" t="s">
        <v>20</v>
      </c>
      <c r="T552" s="1" t="s">
        <v>21</v>
      </c>
      <c r="U552" s="1" t="s">
        <v>22</v>
      </c>
      <c r="V552" s="1" t="s">
        <v>23</v>
      </c>
      <c r="W552" s="1" t="s">
        <v>24</v>
      </c>
      <c r="X552" s="1">
        <v>2708</v>
      </c>
      <c r="Y552" s="1">
        <v>1505</v>
      </c>
      <c r="Z552" s="1">
        <v>1302</v>
      </c>
      <c r="AA552" s="1">
        <v>3002</v>
      </c>
      <c r="AB552" s="1">
        <v>3003</v>
      </c>
      <c r="AC552" s="1">
        <v>1601</v>
      </c>
      <c r="AD552" s="1" t="s">
        <v>24</v>
      </c>
      <c r="AE552" s="1" t="s">
        <v>24</v>
      </c>
      <c r="AF552" s="22"/>
    </row>
    <row r="553" spans="1:32" x14ac:dyDescent="0.2">
      <c r="A553" s="1">
        <v>3300</v>
      </c>
      <c r="B553" s="1" t="s">
        <v>1905</v>
      </c>
      <c r="C553" s="5" t="s">
        <v>0</v>
      </c>
      <c r="D553" s="1" t="s">
        <v>1906</v>
      </c>
      <c r="E553" s="1" t="s">
        <v>1907</v>
      </c>
      <c r="F553" s="1" t="s">
        <v>320</v>
      </c>
      <c r="G553" s="1" t="s">
        <v>36</v>
      </c>
      <c r="H553" s="1" t="s">
        <v>30</v>
      </c>
      <c r="I553" s="1" t="s">
        <v>16</v>
      </c>
      <c r="J553" s="1">
        <v>2</v>
      </c>
      <c r="K553" s="1">
        <v>12</v>
      </c>
      <c r="L553" s="1" t="s">
        <v>31</v>
      </c>
      <c r="M553" s="1" t="s">
        <v>105</v>
      </c>
      <c r="N553" s="1" t="s">
        <v>18</v>
      </c>
      <c r="O553" s="1">
        <v>3</v>
      </c>
      <c r="P553" s="1">
        <v>8</v>
      </c>
      <c r="Q553" s="7" t="s">
        <v>17633</v>
      </c>
      <c r="R553" s="1" t="s">
        <v>62</v>
      </c>
      <c r="S553" s="1" t="s">
        <v>20</v>
      </c>
      <c r="T553" s="1" t="s">
        <v>21</v>
      </c>
      <c r="U553" s="1" t="s">
        <v>22</v>
      </c>
      <c r="V553" s="1" t="s">
        <v>24</v>
      </c>
      <c r="W553" s="1" t="s">
        <v>24</v>
      </c>
      <c r="X553" s="1">
        <v>1306</v>
      </c>
      <c r="Y553" s="1">
        <v>2730</v>
      </c>
      <c r="Z553" s="1" t="s">
        <v>24</v>
      </c>
      <c r="AA553" s="1" t="s">
        <v>24</v>
      </c>
      <c r="AB553" s="1" t="s">
        <v>24</v>
      </c>
      <c r="AC553" s="1" t="s">
        <v>24</v>
      </c>
      <c r="AD553" s="1" t="s">
        <v>24</v>
      </c>
      <c r="AE553" s="1" t="s">
        <v>24</v>
      </c>
      <c r="AF553" s="22"/>
    </row>
    <row r="554" spans="1:32" x14ac:dyDescent="0.2">
      <c r="A554" s="1">
        <v>3305</v>
      </c>
      <c r="B554" s="1" t="s">
        <v>1908</v>
      </c>
      <c r="C554" s="5" t="s">
        <v>0</v>
      </c>
      <c r="D554" s="1" t="s">
        <v>1909</v>
      </c>
      <c r="E554" s="1" t="s">
        <v>1910</v>
      </c>
      <c r="F554" s="1" t="s">
        <v>35</v>
      </c>
      <c r="G554" s="1" t="s">
        <v>36</v>
      </c>
      <c r="H554" s="1" t="s">
        <v>37</v>
      </c>
      <c r="I554" s="1" t="s">
        <v>16</v>
      </c>
      <c r="J554" s="1">
        <v>1</v>
      </c>
      <c r="K554" s="1">
        <v>12</v>
      </c>
      <c r="L554" s="1" t="s">
        <v>31</v>
      </c>
      <c r="M554" s="1" t="s">
        <v>18</v>
      </c>
      <c r="N554" s="1" t="s">
        <v>18</v>
      </c>
      <c r="O554" s="1">
        <v>3</v>
      </c>
      <c r="P554" s="1">
        <v>6</v>
      </c>
      <c r="R554" s="1" t="s">
        <v>19</v>
      </c>
      <c r="S554" s="1" t="s">
        <v>20</v>
      </c>
      <c r="T554" s="1" t="s">
        <v>21</v>
      </c>
      <c r="U554" s="1" t="s">
        <v>22</v>
      </c>
      <c r="V554" s="1" t="s">
        <v>24</v>
      </c>
      <c r="W554" s="1" t="s">
        <v>24</v>
      </c>
      <c r="X554" s="1">
        <v>2708</v>
      </c>
      <c r="Y554" s="1" t="s">
        <v>24</v>
      </c>
      <c r="Z554" s="1" t="s">
        <v>24</v>
      </c>
      <c r="AA554" s="1" t="s">
        <v>24</v>
      </c>
      <c r="AB554" s="1" t="s">
        <v>24</v>
      </c>
      <c r="AC554" s="1" t="s">
        <v>24</v>
      </c>
      <c r="AD554" s="1" t="s">
        <v>24</v>
      </c>
      <c r="AE554" s="1" t="s">
        <v>24</v>
      </c>
      <c r="AF554" s="22"/>
    </row>
    <row r="555" spans="1:32" x14ac:dyDescent="0.2">
      <c r="A555" s="1">
        <v>3306</v>
      </c>
      <c r="B555" s="1" t="s">
        <v>1911</v>
      </c>
      <c r="C555" s="5" t="s">
        <v>0</v>
      </c>
      <c r="D555" s="1" t="s">
        <v>1912</v>
      </c>
      <c r="E555" s="1" t="s">
        <v>1913</v>
      </c>
      <c r="F555" s="1" t="s">
        <v>1897</v>
      </c>
      <c r="G555" s="1" t="s">
        <v>1898</v>
      </c>
      <c r="H555" s="1" t="s">
        <v>899</v>
      </c>
      <c r="I555" s="1" t="s">
        <v>16</v>
      </c>
      <c r="J555" s="1">
        <v>1</v>
      </c>
      <c r="K555" s="1">
        <v>6</v>
      </c>
      <c r="L555" s="1" t="s">
        <v>31</v>
      </c>
      <c r="M555" s="1" t="s">
        <v>18</v>
      </c>
      <c r="N555" s="1" t="s">
        <v>18</v>
      </c>
      <c r="O555" s="1">
        <v>2</v>
      </c>
      <c r="P555" s="1">
        <v>6</v>
      </c>
      <c r="R555" s="1" t="s">
        <v>19</v>
      </c>
      <c r="S555" s="1" t="s">
        <v>20</v>
      </c>
      <c r="T555" s="1" t="s">
        <v>21</v>
      </c>
      <c r="U555" s="1" t="s">
        <v>22</v>
      </c>
      <c r="V555" s="1" t="s">
        <v>24</v>
      </c>
      <c r="W555" s="1" t="s">
        <v>24</v>
      </c>
      <c r="X555" s="1">
        <v>2708</v>
      </c>
      <c r="Y555" s="1">
        <v>2725</v>
      </c>
      <c r="Z555" s="1" t="s">
        <v>24</v>
      </c>
      <c r="AA555" s="1" t="s">
        <v>24</v>
      </c>
      <c r="AB555" s="1" t="s">
        <v>24</v>
      </c>
      <c r="AC555" s="1" t="s">
        <v>24</v>
      </c>
      <c r="AD555" s="1" t="s">
        <v>24</v>
      </c>
      <c r="AE555" s="1" t="s">
        <v>24</v>
      </c>
      <c r="AF555" s="22"/>
    </row>
    <row r="556" spans="1:32" x14ac:dyDescent="0.2">
      <c r="A556" s="1">
        <v>3307</v>
      </c>
      <c r="B556" s="1" t="s">
        <v>1914</v>
      </c>
      <c r="C556" s="5" t="s">
        <v>0</v>
      </c>
      <c r="D556" s="1" t="s">
        <v>1915</v>
      </c>
      <c r="E556" s="1" t="s">
        <v>1916</v>
      </c>
      <c r="F556" s="1" t="s">
        <v>155</v>
      </c>
      <c r="G556" s="1" t="s">
        <v>61</v>
      </c>
      <c r="H556" s="1" t="s">
        <v>37</v>
      </c>
      <c r="I556" s="1" t="s">
        <v>16</v>
      </c>
      <c r="J556" s="1">
        <v>1</v>
      </c>
      <c r="K556" s="1">
        <v>8</v>
      </c>
      <c r="L556" s="1" t="s">
        <v>31</v>
      </c>
      <c r="M556" s="1" t="s">
        <v>18</v>
      </c>
      <c r="N556" s="1" t="s">
        <v>18</v>
      </c>
      <c r="O556" s="1">
        <v>3</v>
      </c>
      <c r="P556" s="1">
        <v>7</v>
      </c>
      <c r="Q556" s="7" t="s">
        <v>17633</v>
      </c>
      <c r="R556" s="1" t="s">
        <v>19</v>
      </c>
      <c r="S556" s="1" t="s">
        <v>63</v>
      </c>
      <c r="T556" s="1" t="s">
        <v>21</v>
      </c>
      <c r="U556" s="1" t="s">
        <v>22</v>
      </c>
      <c r="V556" s="1" t="s">
        <v>24</v>
      </c>
      <c r="W556" s="1" t="s">
        <v>24</v>
      </c>
      <c r="X556" s="1">
        <v>1309</v>
      </c>
      <c r="Y556" s="1">
        <v>2806</v>
      </c>
      <c r="Z556" s="1" t="s">
        <v>24</v>
      </c>
      <c r="AA556" s="1" t="s">
        <v>24</v>
      </c>
      <c r="AB556" s="1" t="s">
        <v>24</v>
      </c>
      <c r="AC556" s="1" t="s">
        <v>24</v>
      </c>
      <c r="AD556" s="1" t="s">
        <v>24</v>
      </c>
      <c r="AE556" s="1" t="s">
        <v>24</v>
      </c>
      <c r="AF556" s="22"/>
    </row>
    <row r="557" spans="1:32" x14ac:dyDescent="0.2">
      <c r="A557" s="1">
        <v>3313</v>
      </c>
      <c r="B557" s="1" t="s">
        <v>1917</v>
      </c>
      <c r="C557" s="5" t="s">
        <v>0</v>
      </c>
      <c r="D557" s="1" t="s">
        <v>1918</v>
      </c>
      <c r="E557" s="1" t="s">
        <v>1919</v>
      </c>
      <c r="F557" s="1" t="s">
        <v>689</v>
      </c>
      <c r="G557" s="1" t="s">
        <v>311</v>
      </c>
      <c r="H557" s="1" t="s">
        <v>37</v>
      </c>
      <c r="I557" s="1" t="s">
        <v>16</v>
      </c>
      <c r="J557" s="1">
        <v>1</v>
      </c>
      <c r="K557" s="1">
        <v>4</v>
      </c>
      <c r="L557" s="1" t="s">
        <v>31</v>
      </c>
      <c r="M557" s="1" t="s">
        <v>18</v>
      </c>
      <c r="N557" s="1" t="s">
        <v>18</v>
      </c>
      <c r="O557" s="1">
        <v>3</v>
      </c>
      <c r="P557" s="1">
        <v>6</v>
      </c>
      <c r="R557" s="1" t="s">
        <v>19</v>
      </c>
      <c r="S557" s="1" t="s">
        <v>20</v>
      </c>
      <c r="T557" s="1" t="s">
        <v>21</v>
      </c>
      <c r="U557" s="1" t="s">
        <v>22</v>
      </c>
      <c r="V557" s="1" t="s">
        <v>23</v>
      </c>
      <c r="W557" s="1" t="s">
        <v>24</v>
      </c>
      <c r="X557" s="1">
        <v>3603</v>
      </c>
      <c r="Y557" s="1">
        <v>3203</v>
      </c>
      <c r="Z557" s="1" t="s">
        <v>24</v>
      </c>
      <c r="AA557" s="1" t="s">
        <v>24</v>
      </c>
      <c r="AB557" s="1" t="s">
        <v>24</v>
      </c>
      <c r="AC557" s="1" t="s">
        <v>24</v>
      </c>
      <c r="AD557" s="1" t="s">
        <v>24</v>
      </c>
      <c r="AE557" s="1" t="s">
        <v>24</v>
      </c>
      <c r="AF557" s="22"/>
    </row>
    <row r="558" spans="1:32" x14ac:dyDescent="0.2">
      <c r="A558" s="1">
        <v>3317</v>
      </c>
      <c r="B558" s="1" t="s">
        <v>1920</v>
      </c>
      <c r="C558" s="5" t="s">
        <v>0</v>
      </c>
      <c r="D558" s="1" t="s">
        <v>1921</v>
      </c>
      <c r="E558" s="1" t="s">
        <v>1922</v>
      </c>
      <c r="F558" s="1" t="s">
        <v>55</v>
      </c>
      <c r="G558" s="1" t="s">
        <v>56</v>
      </c>
      <c r="H558" s="1" t="s">
        <v>37</v>
      </c>
      <c r="I558" s="1" t="s">
        <v>16</v>
      </c>
      <c r="J558" s="1">
        <v>1</v>
      </c>
      <c r="K558" s="1">
        <v>6</v>
      </c>
      <c r="L558" s="1" t="s">
        <v>31</v>
      </c>
      <c r="M558" s="1" t="s">
        <v>18</v>
      </c>
      <c r="N558" s="1" t="s">
        <v>18</v>
      </c>
      <c r="O558" s="1">
        <v>3</v>
      </c>
      <c r="P558" s="1">
        <v>7</v>
      </c>
      <c r="Q558" s="7" t="s">
        <v>17633</v>
      </c>
      <c r="R558" s="1" t="s">
        <v>62</v>
      </c>
      <c r="S558" s="1" t="s">
        <v>20</v>
      </c>
      <c r="T558" s="1" t="s">
        <v>21</v>
      </c>
      <c r="U558" s="1" t="s">
        <v>22</v>
      </c>
      <c r="V558" s="1" t="s">
        <v>24</v>
      </c>
      <c r="W558" s="1" t="s">
        <v>24</v>
      </c>
      <c r="X558" s="1">
        <v>2713</v>
      </c>
      <c r="Y558" s="1" t="s">
        <v>24</v>
      </c>
      <c r="Z558" s="1" t="s">
        <v>24</v>
      </c>
      <c r="AA558" s="1" t="s">
        <v>24</v>
      </c>
      <c r="AB558" s="1" t="s">
        <v>24</v>
      </c>
      <c r="AC558" s="1" t="s">
        <v>24</v>
      </c>
      <c r="AD558" s="1" t="s">
        <v>24</v>
      </c>
      <c r="AE558" s="1" t="s">
        <v>24</v>
      </c>
      <c r="AF558" s="22"/>
    </row>
    <row r="559" spans="1:32" x14ac:dyDescent="0.2">
      <c r="A559" s="1">
        <v>3324</v>
      </c>
      <c r="B559" s="1" t="s">
        <v>1923</v>
      </c>
      <c r="C559" s="5" t="s">
        <v>0</v>
      </c>
      <c r="D559" s="1" t="s">
        <v>1924</v>
      </c>
      <c r="E559" s="1" t="s">
        <v>1925</v>
      </c>
      <c r="F559" s="1" t="s">
        <v>91</v>
      </c>
      <c r="G559" s="1" t="s">
        <v>61</v>
      </c>
      <c r="H559" s="1" t="s">
        <v>92</v>
      </c>
      <c r="I559" s="1" t="s">
        <v>16</v>
      </c>
      <c r="J559" s="1">
        <v>7</v>
      </c>
      <c r="K559" s="1">
        <v>3</v>
      </c>
      <c r="L559" s="1" t="s">
        <v>31</v>
      </c>
      <c r="M559" s="1" t="s">
        <v>18</v>
      </c>
      <c r="N559" s="1" t="s">
        <v>18</v>
      </c>
      <c r="O559" s="1">
        <v>3</v>
      </c>
      <c r="P559" s="1">
        <v>6</v>
      </c>
      <c r="R559" s="1" t="s">
        <v>19</v>
      </c>
      <c r="S559" s="1" t="s">
        <v>63</v>
      </c>
      <c r="T559" s="1" t="s">
        <v>21</v>
      </c>
      <c r="U559" s="1" t="s">
        <v>22</v>
      </c>
      <c r="V559" s="1" t="s">
        <v>23</v>
      </c>
      <c r="W559" s="1" t="s">
        <v>24</v>
      </c>
      <c r="X559" s="1">
        <v>1106</v>
      </c>
      <c r="Y559" s="1">
        <v>2404</v>
      </c>
      <c r="Z559" s="1">
        <v>2213</v>
      </c>
      <c r="AA559" s="1" t="s">
        <v>24</v>
      </c>
      <c r="AB559" s="1" t="s">
        <v>24</v>
      </c>
      <c r="AC559" s="1" t="s">
        <v>24</v>
      </c>
      <c r="AD559" s="1" t="s">
        <v>24</v>
      </c>
      <c r="AE559" s="1" t="s">
        <v>24</v>
      </c>
      <c r="AF559" s="22"/>
    </row>
    <row r="560" spans="1:32" x14ac:dyDescent="0.2">
      <c r="A560" s="1">
        <v>3326</v>
      </c>
      <c r="B560" s="1" t="s">
        <v>1926</v>
      </c>
      <c r="C560" s="5" t="s">
        <v>0</v>
      </c>
      <c r="D560" s="1" t="s">
        <v>1927</v>
      </c>
      <c r="E560" s="1" t="s">
        <v>1928</v>
      </c>
      <c r="F560" s="1" t="s">
        <v>221</v>
      </c>
      <c r="G560" s="1" t="s">
        <v>61</v>
      </c>
      <c r="H560" s="1" t="s">
        <v>222</v>
      </c>
      <c r="I560" s="1" t="s">
        <v>16</v>
      </c>
      <c r="J560" s="1">
        <v>4</v>
      </c>
      <c r="K560" s="1">
        <v>3</v>
      </c>
      <c r="L560" s="1" t="s">
        <v>31</v>
      </c>
      <c r="M560" s="1" t="s">
        <v>18</v>
      </c>
      <c r="N560" s="1" t="s">
        <v>18</v>
      </c>
      <c r="O560" s="1">
        <v>3</v>
      </c>
      <c r="P560" s="1">
        <v>7</v>
      </c>
      <c r="Q560" s="7" t="s">
        <v>17633</v>
      </c>
      <c r="R560" s="1" t="s">
        <v>19</v>
      </c>
      <c r="S560" s="1" t="s">
        <v>20</v>
      </c>
      <c r="T560" s="1" t="s">
        <v>21</v>
      </c>
      <c r="U560" s="1" t="s">
        <v>22</v>
      </c>
      <c r="V560" s="1" t="s">
        <v>24</v>
      </c>
      <c r="W560" s="1" t="s">
        <v>24</v>
      </c>
      <c r="X560" s="1">
        <v>2729</v>
      </c>
      <c r="Y560" s="1" t="s">
        <v>24</v>
      </c>
      <c r="Z560" s="1" t="s">
        <v>24</v>
      </c>
      <c r="AA560" s="1" t="s">
        <v>24</v>
      </c>
      <c r="AB560" s="1" t="s">
        <v>24</v>
      </c>
      <c r="AC560" s="1" t="s">
        <v>24</v>
      </c>
      <c r="AD560" s="1" t="s">
        <v>24</v>
      </c>
      <c r="AE560" s="1" t="s">
        <v>24</v>
      </c>
      <c r="AF560" s="22"/>
    </row>
    <row r="561" spans="1:32" x14ac:dyDescent="0.2">
      <c r="A561" s="1">
        <v>3328</v>
      </c>
      <c r="B561" s="1" t="s">
        <v>1929</v>
      </c>
      <c r="C561" s="5" t="s">
        <v>0</v>
      </c>
      <c r="D561" s="1" t="s">
        <v>1930</v>
      </c>
      <c r="E561" s="1" t="s">
        <v>1931</v>
      </c>
      <c r="F561" s="1" t="s">
        <v>28</v>
      </c>
      <c r="G561" s="1" t="s">
        <v>29</v>
      </c>
      <c r="H561" s="1" t="s">
        <v>30</v>
      </c>
      <c r="I561" s="1" t="s">
        <v>16</v>
      </c>
      <c r="J561" s="1">
        <v>1</v>
      </c>
      <c r="K561" s="1">
        <v>6</v>
      </c>
      <c r="L561" s="1" t="s">
        <v>31</v>
      </c>
      <c r="M561" s="1" t="s">
        <v>18</v>
      </c>
      <c r="N561" s="1" t="s">
        <v>18</v>
      </c>
      <c r="O561" s="1">
        <v>3</v>
      </c>
      <c r="P561" s="1">
        <v>7</v>
      </c>
      <c r="Q561" s="7" t="s">
        <v>17633</v>
      </c>
      <c r="R561" s="1" t="s">
        <v>19</v>
      </c>
      <c r="S561" s="1" t="s">
        <v>20</v>
      </c>
      <c r="T561" s="1" t="s">
        <v>21</v>
      </c>
      <c r="U561" s="1" t="s">
        <v>22</v>
      </c>
      <c r="V561" s="1" t="s">
        <v>24</v>
      </c>
      <c r="W561" s="1" t="s">
        <v>24</v>
      </c>
      <c r="X561" s="1">
        <v>2734</v>
      </c>
      <c r="Y561" s="1">
        <v>2729</v>
      </c>
      <c r="Z561" s="1" t="s">
        <v>24</v>
      </c>
      <c r="AA561" s="1" t="s">
        <v>24</v>
      </c>
      <c r="AB561" s="1" t="s">
        <v>24</v>
      </c>
      <c r="AC561" s="1" t="s">
        <v>24</v>
      </c>
      <c r="AD561" s="1" t="s">
        <v>24</v>
      </c>
      <c r="AE561" s="1" t="s">
        <v>24</v>
      </c>
      <c r="AF561" s="22"/>
    </row>
    <row r="562" spans="1:32" x14ac:dyDescent="0.2">
      <c r="A562" s="1">
        <v>3333</v>
      </c>
      <c r="B562" s="1" t="s">
        <v>1932</v>
      </c>
      <c r="C562" s="5" t="s">
        <v>0</v>
      </c>
      <c r="D562" s="1" t="s">
        <v>1933</v>
      </c>
      <c r="E562" s="1" t="s">
        <v>1934</v>
      </c>
      <c r="F562" s="1" t="s">
        <v>291</v>
      </c>
      <c r="G562" s="1" t="s">
        <v>292</v>
      </c>
      <c r="H562" s="1" t="s">
        <v>37</v>
      </c>
      <c r="I562" s="1" t="s">
        <v>16</v>
      </c>
      <c r="J562" s="1">
        <v>1</v>
      </c>
      <c r="K562" s="1">
        <v>8</v>
      </c>
      <c r="L562" s="1" t="s">
        <v>31</v>
      </c>
      <c r="M562" s="1" t="s">
        <v>18</v>
      </c>
      <c r="N562" s="1" t="s">
        <v>18</v>
      </c>
      <c r="O562" s="1">
        <v>3</v>
      </c>
      <c r="P562" s="1">
        <v>6</v>
      </c>
      <c r="R562" s="1" t="s">
        <v>19</v>
      </c>
      <c r="S562" s="1" t="s">
        <v>20</v>
      </c>
      <c r="T562" s="1" t="s">
        <v>21</v>
      </c>
      <c r="U562" s="1" t="s">
        <v>22</v>
      </c>
      <c r="V562" s="1" t="s">
        <v>24</v>
      </c>
      <c r="W562" s="1" t="s">
        <v>24</v>
      </c>
      <c r="X562" s="1">
        <v>1306</v>
      </c>
      <c r="Y562" s="1">
        <v>1314</v>
      </c>
      <c r="Z562" s="1">
        <v>3614</v>
      </c>
      <c r="AA562" s="1">
        <v>2737</v>
      </c>
      <c r="AB562" s="1" t="s">
        <v>24</v>
      </c>
      <c r="AC562" s="1" t="s">
        <v>24</v>
      </c>
      <c r="AD562" s="1" t="s">
        <v>24</v>
      </c>
      <c r="AE562" s="1" t="s">
        <v>24</v>
      </c>
      <c r="AF562" s="22"/>
    </row>
    <row r="563" spans="1:32" x14ac:dyDescent="0.2">
      <c r="A563" s="1">
        <v>3338</v>
      </c>
      <c r="B563" s="1" t="s">
        <v>1935</v>
      </c>
      <c r="C563" s="5" t="s">
        <v>0</v>
      </c>
      <c r="D563" s="1" t="s">
        <v>1936</v>
      </c>
      <c r="F563" s="1" t="s">
        <v>1937</v>
      </c>
      <c r="G563" s="1" t="s">
        <v>1938</v>
      </c>
      <c r="H563" s="1" t="s">
        <v>899</v>
      </c>
      <c r="I563" s="1" t="s">
        <v>16</v>
      </c>
      <c r="J563" s="1">
        <v>1</v>
      </c>
      <c r="K563" s="1">
        <v>4</v>
      </c>
      <c r="L563" s="1" t="s">
        <v>42</v>
      </c>
      <c r="M563" s="1" t="s">
        <v>18</v>
      </c>
      <c r="N563" s="1" t="s">
        <v>18</v>
      </c>
      <c r="O563" s="1">
        <v>2</v>
      </c>
      <c r="P563" s="1">
        <v>5</v>
      </c>
      <c r="R563" s="1" t="s">
        <v>19</v>
      </c>
      <c r="S563" s="1" t="s">
        <v>20</v>
      </c>
      <c r="T563" s="1" t="s">
        <v>21</v>
      </c>
      <c r="U563" s="1" t="s">
        <v>22</v>
      </c>
      <c r="V563" s="1" t="s">
        <v>24</v>
      </c>
      <c r="W563" s="1" t="s">
        <v>24</v>
      </c>
      <c r="X563" s="1">
        <v>2708</v>
      </c>
      <c r="Y563" s="1">
        <v>2725</v>
      </c>
      <c r="Z563" s="1" t="s">
        <v>24</v>
      </c>
      <c r="AA563" s="1" t="s">
        <v>24</v>
      </c>
      <c r="AB563" s="1" t="s">
        <v>24</v>
      </c>
      <c r="AC563" s="1" t="s">
        <v>24</v>
      </c>
      <c r="AD563" s="1" t="s">
        <v>24</v>
      </c>
      <c r="AE563" s="1" t="s">
        <v>24</v>
      </c>
      <c r="AF563" s="22"/>
    </row>
    <row r="564" spans="1:32" x14ac:dyDescent="0.2">
      <c r="A564" s="1">
        <v>3339</v>
      </c>
      <c r="B564" s="1" t="s">
        <v>1939</v>
      </c>
      <c r="C564" s="5" t="s">
        <v>0</v>
      </c>
      <c r="D564" s="1" t="s">
        <v>1940</v>
      </c>
      <c r="E564" s="1" t="s">
        <v>1941</v>
      </c>
      <c r="F564" s="1" t="s">
        <v>155</v>
      </c>
      <c r="G564" s="1" t="s">
        <v>61</v>
      </c>
      <c r="H564" s="1" t="s">
        <v>37</v>
      </c>
      <c r="I564" s="1" t="s">
        <v>16</v>
      </c>
      <c r="J564" s="1">
        <v>1</v>
      </c>
      <c r="K564" s="1">
        <v>6</v>
      </c>
      <c r="L564" s="1" t="s">
        <v>31</v>
      </c>
      <c r="M564" s="1" t="s">
        <v>18</v>
      </c>
      <c r="N564" s="1" t="s">
        <v>18</v>
      </c>
      <c r="O564" s="1">
        <v>0</v>
      </c>
      <c r="P564" s="1">
        <v>6</v>
      </c>
      <c r="R564" s="1" t="s">
        <v>19</v>
      </c>
      <c r="S564" s="1" t="s">
        <v>20</v>
      </c>
      <c r="T564" s="1" t="s">
        <v>21</v>
      </c>
      <c r="U564" s="1" t="s">
        <v>22</v>
      </c>
      <c r="V564" s="1" t="s">
        <v>23</v>
      </c>
      <c r="W564" s="1" t="s">
        <v>24</v>
      </c>
      <c r="X564" s="1">
        <v>2734</v>
      </c>
      <c r="Y564" s="1">
        <v>2738</v>
      </c>
      <c r="Z564" s="1">
        <v>3308</v>
      </c>
      <c r="AA564" s="1" t="s">
        <v>24</v>
      </c>
      <c r="AB564" s="1" t="s">
        <v>24</v>
      </c>
      <c r="AC564" s="1" t="s">
        <v>24</v>
      </c>
      <c r="AD564" s="1" t="s">
        <v>24</v>
      </c>
      <c r="AE564" s="1" t="s">
        <v>24</v>
      </c>
      <c r="AF564" s="22"/>
    </row>
    <row r="565" spans="1:32" x14ac:dyDescent="0.2">
      <c r="A565" s="1">
        <v>3345</v>
      </c>
      <c r="B565" s="1" t="s">
        <v>1942</v>
      </c>
      <c r="C565" s="5" t="s">
        <v>0</v>
      </c>
      <c r="D565" s="1" t="s">
        <v>1943</v>
      </c>
      <c r="E565" s="1" t="s">
        <v>1944</v>
      </c>
      <c r="F565" s="1" t="s">
        <v>1945</v>
      </c>
      <c r="G565" s="1" t="s">
        <v>80</v>
      </c>
      <c r="H565" s="1" t="s">
        <v>30</v>
      </c>
      <c r="I565" s="1" t="s">
        <v>16</v>
      </c>
      <c r="J565" s="1">
        <v>1</v>
      </c>
      <c r="K565" s="1">
        <v>4</v>
      </c>
      <c r="L565" s="1" t="s">
        <v>31</v>
      </c>
      <c r="M565" s="1" t="s">
        <v>18</v>
      </c>
      <c r="N565" s="1" t="s">
        <v>18</v>
      </c>
      <c r="O565" s="1">
        <v>3</v>
      </c>
      <c r="P565" s="1">
        <v>6</v>
      </c>
      <c r="R565" s="1" t="s">
        <v>19</v>
      </c>
      <c r="S565" s="1" t="s">
        <v>20</v>
      </c>
      <c r="T565" s="1" t="s">
        <v>21</v>
      </c>
      <c r="U565" s="1" t="s">
        <v>22</v>
      </c>
      <c r="V565" s="1" t="s">
        <v>23</v>
      </c>
      <c r="W565" s="1" t="s">
        <v>24</v>
      </c>
      <c r="X565" s="1">
        <v>2738</v>
      </c>
      <c r="Y565" s="1" t="s">
        <v>24</v>
      </c>
      <c r="Z565" s="1" t="s">
        <v>24</v>
      </c>
      <c r="AA565" s="1" t="s">
        <v>24</v>
      </c>
      <c r="AB565" s="1" t="s">
        <v>24</v>
      </c>
      <c r="AC565" s="1" t="s">
        <v>24</v>
      </c>
      <c r="AD565" s="1" t="s">
        <v>24</v>
      </c>
      <c r="AE565" s="1" t="s">
        <v>24</v>
      </c>
      <c r="AF565" s="22"/>
    </row>
    <row r="566" spans="1:32" x14ac:dyDescent="0.2">
      <c r="A566" s="1">
        <v>3346</v>
      </c>
      <c r="B566" s="1" t="s">
        <v>1946</v>
      </c>
      <c r="C566" s="5" t="s">
        <v>0</v>
      </c>
      <c r="D566" s="1" t="s">
        <v>1947</v>
      </c>
      <c r="E566" s="1" t="s">
        <v>1948</v>
      </c>
      <c r="F566" s="1" t="s">
        <v>1949</v>
      </c>
      <c r="G566" s="1" t="s">
        <v>1949</v>
      </c>
      <c r="H566" s="1" t="s">
        <v>684</v>
      </c>
      <c r="I566" s="1" t="s">
        <v>16</v>
      </c>
      <c r="J566" s="1">
        <v>1</v>
      </c>
      <c r="K566" s="1">
        <v>4</v>
      </c>
      <c r="L566" s="1" t="s">
        <v>42</v>
      </c>
      <c r="M566" s="1" t="s">
        <v>852</v>
      </c>
      <c r="N566" s="1" t="s">
        <v>685</v>
      </c>
      <c r="O566" s="1">
        <v>3</v>
      </c>
      <c r="P566" s="1">
        <v>6</v>
      </c>
      <c r="R566" s="1" t="s">
        <v>19</v>
      </c>
      <c r="S566" s="1" t="s">
        <v>20</v>
      </c>
      <c r="T566" s="1" t="s">
        <v>21</v>
      </c>
      <c r="U566" s="1" t="s">
        <v>22</v>
      </c>
      <c r="V566" s="1" t="s">
        <v>24</v>
      </c>
      <c r="W566" s="1" t="s">
        <v>24</v>
      </c>
      <c r="X566" s="1">
        <v>2700</v>
      </c>
      <c r="Y566" s="1" t="s">
        <v>24</v>
      </c>
      <c r="Z566" s="1" t="s">
        <v>24</v>
      </c>
      <c r="AA566" s="1" t="s">
        <v>24</v>
      </c>
      <c r="AB566" s="1" t="s">
        <v>24</v>
      </c>
      <c r="AC566" s="1" t="s">
        <v>24</v>
      </c>
      <c r="AD566" s="1" t="s">
        <v>24</v>
      </c>
      <c r="AE566" s="1" t="s">
        <v>24</v>
      </c>
      <c r="AF566" s="22"/>
    </row>
    <row r="567" spans="1:32" x14ac:dyDescent="0.2">
      <c r="A567" s="1">
        <v>3354</v>
      </c>
      <c r="B567" s="1" t="s">
        <v>1950</v>
      </c>
      <c r="C567" s="5" t="s">
        <v>0</v>
      </c>
      <c r="D567" s="1" t="s">
        <v>1951</v>
      </c>
      <c r="E567" s="1" t="s">
        <v>1952</v>
      </c>
      <c r="F567" s="1" t="s">
        <v>1181</v>
      </c>
      <c r="G567" s="1" t="s">
        <v>130</v>
      </c>
      <c r="H567" s="1" t="s">
        <v>37</v>
      </c>
      <c r="I567" s="1" t="s">
        <v>16</v>
      </c>
      <c r="J567" s="1">
        <v>1</v>
      </c>
      <c r="K567" s="1">
        <v>4</v>
      </c>
      <c r="L567" s="1" t="s">
        <v>31</v>
      </c>
      <c r="M567" s="1" t="s">
        <v>18</v>
      </c>
      <c r="N567" s="1" t="s">
        <v>18</v>
      </c>
      <c r="O567" s="1">
        <v>3</v>
      </c>
      <c r="P567" s="1">
        <v>6</v>
      </c>
      <c r="R567" s="1" t="s">
        <v>19</v>
      </c>
      <c r="S567" s="1" t="s">
        <v>20</v>
      </c>
      <c r="T567" s="1" t="s">
        <v>21</v>
      </c>
      <c r="U567" s="1" t="s">
        <v>22</v>
      </c>
      <c r="V567" s="1" t="s">
        <v>24</v>
      </c>
      <c r="W567" s="1" t="s">
        <v>24</v>
      </c>
      <c r="X567" s="1">
        <v>2700</v>
      </c>
      <c r="Y567" s="1" t="s">
        <v>24</v>
      </c>
      <c r="Z567" s="1" t="s">
        <v>24</v>
      </c>
      <c r="AA567" s="1" t="s">
        <v>24</v>
      </c>
      <c r="AB567" s="1" t="s">
        <v>24</v>
      </c>
      <c r="AC567" s="1" t="s">
        <v>24</v>
      </c>
      <c r="AD567" s="1" t="s">
        <v>24</v>
      </c>
      <c r="AE567" s="1" t="s">
        <v>24</v>
      </c>
      <c r="AF567" s="22"/>
    </row>
    <row r="568" spans="1:32" x14ac:dyDescent="0.2">
      <c r="A568" s="1">
        <v>3355</v>
      </c>
      <c r="B568" s="1" t="s">
        <v>1953</v>
      </c>
      <c r="C568" s="5" t="s">
        <v>0</v>
      </c>
      <c r="D568" s="1" t="s">
        <v>1954</v>
      </c>
      <c r="E568" s="1" t="s">
        <v>1955</v>
      </c>
      <c r="F568" s="1" t="s">
        <v>1956</v>
      </c>
      <c r="G568" s="1" t="s">
        <v>1956</v>
      </c>
      <c r="H568" s="1" t="s">
        <v>1957</v>
      </c>
      <c r="I568" s="1" t="s">
        <v>16</v>
      </c>
      <c r="J568" s="1">
        <v>1</v>
      </c>
      <c r="K568" s="1">
        <v>4</v>
      </c>
      <c r="L568" s="1" t="s">
        <v>42</v>
      </c>
      <c r="M568" s="1" t="s">
        <v>18</v>
      </c>
      <c r="N568" s="1" t="s">
        <v>18</v>
      </c>
      <c r="O568" s="1">
        <v>2</v>
      </c>
      <c r="P568" s="1">
        <v>5</v>
      </c>
      <c r="R568" s="1" t="s">
        <v>19</v>
      </c>
      <c r="S568" s="1" t="s">
        <v>63</v>
      </c>
      <c r="T568" s="1" t="s">
        <v>21</v>
      </c>
      <c r="U568" s="1" t="s">
        <v>22</v>
      </c>
      <c r="V568" s="1" t="s">
        <v>24</v>
      </c>
      <c r="W568" s="1" t="s">
        <v>24</v>
      </c>
      <c r="X568" s="1">
        <v>2700</v>
      </c>
      <c r="Y568" s="1" t="s">
        <v>24</v>
      </c>
      <c r="Z568" s="1" t="s">
        <v>24</v>
      </c>
      <c r="AA568" s="1" t="s">
        <v>24</v>
      </c>
      <c r="AB568" s="1" t="s">
        <v>24</v>
      </c>
      <c r="AC568" s="1" t="s">
        <v>24</v>
      </c>
      <c r="AD568" s="1" t="s">
        <v>24</v>
      </c>
      <c r="AE568" s="1" t="s">
        <v>24</v>
      </c>
      <c r="AF568" s="22"/>
    </row>
    <row r="569" spans="1:32" x14ac:dyDescent="0.2">
      <c r="A569" s="1">
        <v>3358</v>
      </c>
      <c r="B569" s="1" t="s">
        <v>1958</v>
      </c>
      <c r="C569" s="5" t="s">
        <v>0</v>
      </c>
      <c r="D569" s="1" t="s">
        <v>1959</v>
      </c>
      <c r="E569" s="1" t="s">
        <v>1960</v>
      </c>
      <c r="F569" s="1" t="s">
        <v>291</v>
      </c>
      <c r="G569" s="1" t="s">
        <v>292</v>
      </c>
      <c r="H569" s="1" t="s">
        <v>37</v>
      </c>
      <c r="I569" s="1" t="s">
        <v>16</v>
      </c>
      <c r="J569" s="1">
        <v>1</v>
      </c>
      <c r="K569" s="1">
        <v>12</v>
      </c>
      <c r="L569" s="1" t="s">
        <v>31</v>
      </c>
      <c r="M569" s="1" t="s">
        <v>18</v>
      </c>
      <c r="N569" s="1" t="s">
        <v>18</v>
      </c>
      <c r="O569" s="1">
        <v>3</v>
      </c>
      <c r="P569" s="1">
        <v>6</v>
      </c>
      <c r="R569" s="1" t="s">
        <v>19</v>
      </c>
      <c r="S569" s="1" t="s">
        <v>20</v>
      </c>
      <c r="T569" s="1" t="s">
        <v>21</v>
      </c>
      <c r="U569" s="1" t="s">
        <v>22</v>
      </c>
      <c r="V569" s="1" t="s">
        <v>24</v>
      </c>
      <c r="W569" s="1" t="s">
        <v>24</v>
      </c>
      <c r="X569" s="1">
        <v>2800</v>
      </c>
      <c r="Y569" s="1" t="s">
        <v>24</v>
      </c>
      <c r="Z569" s="1" t="s">
        <v>24</v>
      </c>
      <c r="AA569" s="1" t="s">
        <v>24</v>
      </c>
      <c r="AB569" s="1" t="s">
        <v>24</v>
      </c>
      <c r="AC569" s="1" t="s">
        <v>24</v>
      </c>
      <c r="AD569" s="1" t="s">
        <v>24</v>
      </c>
      <c r="AE569" s="1" t="s">
        <v>24</v>
      </c>
      <c r="AF569" s="22"/>
    </row>
    <row r="570" spans="1:32" x14ac:dyDescent="0.2">
      <c r="A570" s="1">
        <v>3359</v>
      </c>
      <c r="B570" s="1" t="s">
        <v>1961</v>
      </c>
      <c r="C570" s="5" t="s">
        <v>0</v>
      </c>
      <c r="D570" s="1" t="s">
        <v>1962</v>
      </c>
      <c r="E570" s="1" t="s">
        <v>1963</v>
      </c>
      <c r="F570" s="1" t="s">
        <v>315</v>
      </c>
      <c r="G570" s="1" t="s">
        <v>316</v>
      </c>
      <c r="H570" s="1" t="s">
        <v>37</v>
      </c>
      <c r="I570" s="1" t="s">
        <v>16</v>
      </c>
      <c r="J570" s="1">
        <v>1</v>
      </c>
      <c r="K570" s="1">
        <v>12</v>
      </c>
      <c r="L570" s="1" t="s">
        <v>31</v>
      </c>
      <c r="M570" s="1" t="s">
        <v>18</v>
      </c>
      <c r="N570" s="1" t="s">
        <v>18</v>
      </c>
      <c r="O570" s="1">
        <v>3</v>
      </c>
      <c r="P570" s="1">
        <v>7</v>
      </c>
      <c r="Q570" s="7" t="s">
        <v>17633</v>
      </c>
      <c r="R570" s="1" t="s">
        <v>62</v>
      </c>
      <c r="S570" s="1" t="s">
        <v>20</v>
      </c>
      <c r="T570" s="1" t="s">
        <v>21</v>
      </c>
      <c r="U570" s="1" t="s">
        <v>22</v>
      </c>
      <c r="V570" s="1" t="s">
        <v>23</v>
      </c>
      <c r="W570" s="1" t="s">
        <v>24</v>
      </c>
      <c r="X570" s="1">
        <v>2701</v>
      </c>
      <c r="Y570" s="1">
        <v>2916</v>
      </c>
      <c r="Z570" s="1">
        <v>2712</v>
      </c>
      <c r="AA570" s="1" t="s">
        <v>24</v>
      </c>
      <c r="AB570" s="1" t="s">
        <v>24</v>
      </c>
      <c r="AC570" s="1" t="s">
        <v>24</v>
      </c>
      <c r="AD570" s="1" t="s">
        <v>24</v>
      </c>
      <c r="AE570" s="1" t="s">
        <v>24</v>
      </c>
      <c r="AF570" s="22"/>
    </row>
    <row r="571" spans="1:32" x14ac:dyDescent="0.2">
      <c r="A571" s="1">
        <v>3361</v>
      </c>
      <c r="B571" s="1" t="s">
        <v>1964</v>
      </c>
      <c r="C571" s="5" t="s">
        <v>0</v>
      </c>
      <c r="D571" s="1" t="s">
        <v>1965</v>
      </c>
      <c r="E571" s="1" t="s">
        <v>1966</v>
      </c>
      <c r="F571" s="1" t="s">
        <v>1967</v>
      </c>
      <c r="G571" s="1" t="s">
        <v>130</v>
      </c>
      <c r="H571" s="1" t="s">
        <v>899</v>
      </c>
      <c r="I571" s="1" t="s">
        <v>16</v>
      </c>
      <c r="J571" s="1">
        <v>1</v>
      </c>
      <c r="K571" s="1">
        <v>6</v>
      </c>
      <c r="L571" s="1" t="s">
        <v>31</v>
      </c>
      <c r="M571" s="1" t="s">
        <v>18</v>
      </c>
      <c r="N571" s="1" t="s">
        <v>18</v>
      </c>
      <c r="O571" s="1">
        <v>2</v>
      </c>
      <c r="P571" s="1">
        <v>4</v>
      </c>
      <c r="R571" s="1" t="s">
        <v>19</v>
      </c>
      <c r="S571" s="1" t="s">
        <v>20</v>
      </c>
      <c r="T571" s="1" t="s">
        <v>21</v>
      </c>
      <c r="U571" s="1" t="s">
        <v>22</v>
      </c>
      <c r="V571" s="1" t="s">
        <v>24</v>
      </c>
      <c r="W571" s="1" t="s">
        <v>24</v>
      </c>
      <c r="X571" s="1">
        <v>2715</v>
      </c>
      <c r="Y571" s="1" t="s">
        <v>24</v>
      </c>
      <c r="Z571" s="1" t="s">
        <v>24</v>
      </c>
      <c r="AA571" s="1" t="s">
        <v>24</v>
      </c>
      <c r="AB571" s="1" t="s">
        <v>24</v>
      </c>
      <c r="AC571" s="1" t="s">
        <v>24</v>
      </c>
      <c r="AD571" s="1" t="s">
        <v>24</v>
      </c>
      <c r="AE571" s="1" t="s">
        <v>24</v>
      </c>
      <c r="AF571" s="22"/>
    </row>
    <row r="572" spans="1:32" x14ac:dyDescent="0.2">
      <c r="A572" s="1">
        <v>3369</v>
      </c>
      <c r="B572" s="1" t="s">
        <v>1968</v>
      </c>
      <c r="C572" s="5" t="s">
        <v>0</v>
      </c>
      <c r="D572" s="1" t="s">
        <v>1969</v>
      </c>
      <c r="E572" s="1" t="s">
        <v>1970</v>
      </c>
      <c r="F572" s="1" t="s">
        <v>831</v>
      </c>
      <c r="G572" s="1" t="s">
        <v>61</v>
      </c>
      <c r="H572" s="1" t="s">
        <v>37</v>
      </c>
      <c r="I572" s="1" t="s">
        <v>16</v>
      </c>
      <c r="J572" s="1">
        <v>1</v>
      </c>
      <c r="K572" s="1">
        <v>12</v>
      </c>
      <c r="L572" s="1" t="s">
        <v>31</v>
      </c>
      <c r="M572" s="1" t="s">
        <v>18</v>
      </c>
      <c r="N572" s="1" t="s">
        <v>18</v>
      </c>
      <c r="O572" s="1">
        <v>3</v>
      </c>
      <c r="P572" s="1">
        <v>6</v>
      </c>
      <c r="R572" s="1" t="s">
        <v>19</v>
      </c>
      <c r="S572" s="1" t="s">
        <v>20</v>
      </c>
      <c r="T572" s="1" t="s">
        <v>21</v>
      </c>
      <c r="U572" s="1" t="s">
        <v>22</v>
      </c>
      <c r="V572" s="1" t="s">
        <v>24</v>
      </c>
      <c r="W572" s="1" t="s">
        <v>24</v>
      </c>
      <c r="X572" s="1">
        <v>3504</v>
      </c>
      <c r="Y572" s="1">
        <v>2733</v>
      </c>
      <c r="Z572" s="1">
        <v>2746</v>
      </c>
      <c r="AA572" s="1" t="s">
        <v>24</v>
      </c>
      <c r="AB572" s="1" t="s">
        <v>24</v>
      </c>
      <c r="AC572" s="1" t="s">
        <v>24</v>
      </c>
      <c r="AD572" s="1" t="s">
        <v>24</v>
      </c>
      <c r="AE572" s="1" t="s">
        <v>24</v>
      </c>
      <c r="AF572" s="22"/>
    </row>
    <row r="573" spans="1:32" x14ac:dyDescent="0.2">
      <c r="A573" s="1">
        <v>3373</v>
      </c>
      <c r="B573" s="1" t="s">
        <v>1971</v>
      </c>
      <c r="C573" s="5" t="s">
        <v>0</v>
      </c>
      <c r="D573" s="1" t="s">
        <v>1972</v>
      </c>
      <c r="E573" s="1" t="s">
        <v>1973</v>
      </c>
      <c r="F573" s="1" t="s">
        <v>1897</v>
      </c>
      <c r="G573" s="1" t="s">
        <v>1898</v>
      </c>
      <c r="H573" s="1" t="s">
        <v>899</v>
      </c>
      <c r="I573" s="1" t="s">
        <v>16</v>
      </c>
      <c r="J573" s="1">
        <v>1</v>
      </c>
      <c r="K573" s="1">
        <v>4</v>
      </c>
      <c r="L573" s="1" t="s">
        <v>31</v>
      </c>
      <c r="M573" s="1" t="s">
        <v>18</v>
      </c>
      <c r="N573" s="1" t="s">
        <v>18</v>
      </c>
      <c r="O573" s="1">
        <v>2</v>
      </c>
      <c r="P573" s="1">
        <v>4</v>
      </c>
      <c r="R573" s="1" t="s">
        <v>19</v>
      </c>
      <c r="S573" s="1" t="s">
        <v>20</v>
      </c>
      <c r="T573" s="1" t="s">
        <v>21</v>
      </c>
      <c r="U573" s="1" t="s">
        <v>22</v>
      </c>
      <c r="V573" s="1" t="s">
        <v>24</v>
      </c>
      <c r="W573" s="1" t="s">
        <v>24</v>
      </c>
      <c r="X573" s="1">
        <v>2734</v>
      </c>
      <c r="Y573" s="1">
        <v>2726</v>
      </c>
      <c r="Z573" s="1" t="s">
        <v>24</v>
      </c>
      <c r="AA573" s="1" t="s">
        <v>24</v>
      </c>
      <c r="AB573" s="1" t="s">
        <v>24</v>
      </c>
      <c r="AC573" s="1" t="s">
        <v>24</v>
      </c>
      <c r="AD573" s="1" t="s">
        <v>24</v>
      </c>
      <c r="AE573" s="1" t="s">
        <v>24</v>
      </c>
      <c r="AF573" s="22"/>
    </row>
    <row r="574" spans="1:32" x14ac:dyDescent="0.2">
      <c r="A574" s="1">
        <v>3374</v>
      </c>
      <c r="B574" s="1" t="s">
        <v>1974</v>
      </c>
      <c r="C574" s="5" t="s">
        <v>0</v>
      </c>
      <c r="D574" s="1" t="s">
        <v>1975</v>
      </c>
      <c r="E574" s="1" t="s">
        <v>1976</v>
      </c>
      <c r="F574" s="1" t="s">
        <v>1977</v>
      </c>
      <c r="G574" s="1" t="s">
        <v>130</v>
      </c>
      <c r="H574" s="1" t="s">
        <v>899</v>
      </c>
      <c r="I574" s="1" t="s">
        <v>16</v>
      </c>
      <c r="J574" s="1">
        <v>1</v>
      </c>
      <c r="K574" s="1">
        <v>12</v>
      </c>
      <c r="L574" s="1" t="s">
        <v>31</v>
      </c>
      <c r="M574" s="1" t="s">
        <v>18</v>
      </c>
      <c r="N574" s="1" t="s">
        <v>18</v>
      </c>
      <c r="O574" s="1">
        <v>3</v>
      </c>
      <c r="P574" s="1">
        <v>5</v>
      </c>
      <c r="R574" s="1" t="s">
        <v>19</v>
      </c>
      <c r="S574" s="1" t="s">
        <v>20</v>
      </c>
      <c r="T574" s="1" t="s">
        <v>21</v>
      </c>
      <c r="U574" s="1" t="s">
        <v>22</v>
      </c>
      <c r="V574" s="1" t="s">
        <v>24</v>
      </c>
      <c r="W574" s="1" t="s">
        <v>24</v>
      </c>
      <c r="X574" s="1">
        <v>2735</v>
      </c>
      <c r="Y574" s="1" t="s">
        <v>24</v>
      </c>
      <c r="Z574" s="1" t="s">
        <v>24</v>
      </c>
      <c r="AA574" s="1" t="s">
        <v>24</v>
      </c>
      <c r="AB574" s="1" t="s">
        <v>24</v>
      </c>
      <c r="AC574" s="1" t="s">
        <v>24</v>
      </c>
      <c r="AD574" s="1" t="s">
        <v>24</v>
      </c>
      <c r="AE574" s="1" t="s">
        <v>24</v>
      </c>
      <c r="AF574" s="22"/>
    </row>
    <row r="575" spans="1:32" x14ac:dyDescent="0.2">
      <c r="A575" s="1">
        <v>3376</v>
      </c>
      <c r="B575" s="1" t="s">
        <v>1978</v>
      </c>
      <c r="C575" s="5" t="s">
        <v>0</v>
      </c>
      <c r="D575" s="1" t="s">
        <v>1979</v>
      </c>
      <c r="E575" s="1" t="s">
        <v>1980</v>
      </c>
      <c r="F575" s="1" t="s">
        <v>91</v>
      </c>
      <c r="G575" s="1" t="s">
        <v>61</v>
      </c>
      <c r="H575" s="1" t="s">
        <v>92</v>
      </c>
      <c r="I575" s="1" t="s">
        <v>16</v>
      </c>
      <c r="J575" s="1">
        <v>16</v>
      </c>
      <c r="K575" s="1">
        <v>2</v>
      </c>
      <c r="L575" s="1" t="s">
        <v>31</v>
      </c>
      <c r="M575" s="1" t="s">
        <v>18</v>
      </c>
      <c r="N575" s="1" t="s">
        <v>18</v>
      </c>
      <c r="O575" s="1">
        <v>3</v>
      </c>
      <c r="P575" s="1">
        <v>8</v>
      </c>
      <c r="Q575" s="7" t="s">
        <v>17633</v>
      </c>
      <c r="R575" s="1" t="s">
        <v>19</v>
      </c>
      <c r="S575" s="1" t="s">
        <v>63</v>
      </c>
      <c r="T575" s="1" t="s">
        <v>21</v>
      </c>
      <c r="U575" s="1" t="s">
        <v>22</v>
      </c>
      <c r="V575" s="1" t="s">
        <v>24</v>
      </c>
      <c r="W575" s="1" t="s">
        <v>64</v>
      </c>
      <c r="X575" s="1">
        <v>3003</v>
      </c>
      <c r="Y575" s="1" t="s">
        <v>24</v>
      </c>
      <c r="Z575" s="1" t="s">
        <v>24</v>
      </c>
      <c r="AA575" s="1" t="s">
        <v>24</v>
      </c>
      <c r="AB575" s="1" t="s">
        <v>24</v>
      </c>
      <c r="AC575" s="1" t="s">
        <v>24</v>
      </c>
      <c r="AD575" s="1" t="s">
        <v>24</v>
      </c>
      <c r="AE575" s="1" t="s">
        <v>24</v>
      </c>
      <c r="AF575" s="22"/>
    </row>
    <row r="576" spans="1:32" x14ac:dyDescent="0.2">
      <c r="A576" s="1">
        <v>3379</v>
      </c>
      <c r="B576" s="1" t="s">
        <v>1981</v>
      </c>
      <c r="C576" s="5" t="s">
        <v>0</v>
      </c>
      <c r="D576" s="1" t="s">
        <v>1982</v>
      </c>
      <c r="F576" s="1" t="s">
        <v>1983</v>
      </c>
      <c r="G576" s="1" t="s">
        <v>1984</v>
      </c>
      <c r="H576" s="1" t="s">
        <v>899</v>
      </c>
      <c r="I576" s="1" t="s">
        <v>16</v>
      </c>
      <c r="J576" s="1">
        <v>1</v>
      </c>
      <c r="K576" s="1">
        <v>4</v>
      </c>
      <c r="L576" s="1" t="s">
        <v>42</v>
      </c>
      <c r="M576" s="1" t="s">
        <v>18</v>
      </c>
      <c r="N576" s="1" t="s">
        <v>18</v>
      </c>
      <c r="O576" s="1">
        <v>2</v>
      </c>
      <c r="P576" s="1">
        <v>5</v>
      </c>
      <c r="R576" s="1" t="s">
        <v>19</v>
      </c>
      <c r="S576" s="1" t="s">
        <v>20</v>
      </c>
      <c r="T576" s="1" t="s">
        <v>21</v>
      </c>
      <c r="U576" s="1" t="s">
        <v>22</v>
      </c>
      <c r="V576" s="1" t="s">
        <v>24</v>
      </c>
      <c r="W576" s="1" t="s">
        <v>24</v>
      </c>
      <c r="X576" s="1">
        <v>2737</v>
      </c>
      <c r="Y576" s="1">
        <v>3004</v>
      </c>
      <c r="Z576" s="1">
        <v>1314</v>
      </c>
      <c r="AA576" s="1" t="s">
        <v>24</v>
      </c>
      <c r="AB576" s="1" t="s">
        <v>24</v>
      </c>
      <c r="AC576" s="1" t="s">
        <v>24</v>
      </c>
      <c r="AD576" s="1" t="s">
        <v>24</v>
      </c>
      <c r="AE576" s="1" t="s">
        <v>24</v>
      </c>
      <c r="AF576" s="22"/>
    </row>
    <row r="577" spans="1:32" x14ac:dyDescent="0.2">
      <c r="A577" s="1">
        <v>3383</v>
      </c>
      <c r="B577" s="1" t="s">
        <v>1985</v>
      </c>
      <c r="C577" s="5" t="s">
        <v>0</v>
      </c>
      <c r="D577" s="1" t="s">
        <v>1986</v>
      </c>
      <c r="E577" s="1" t="s">
        <v>1987</v>
      </c>
      <c r="F577" s="1" t="s">
        <v>91</v>
      </c>
      <c r="G577" s="1" t="s">
        <v>61</v>
      </c>
      <c r="H577" s="1" t="s">
        <v>92</v>
      </c>
      <c r="I577" s="1" t="s">
        <v>16</v>
      </c>
      <c r="J577" s="1">
        <v>4</v>
      </c>
      <c r="K577" s="1">
        <v>3</v>
      </c>
      <c r="L577" s="1" t="s">
        <v>31</v>
      </c>
      <c r="M577" s="1" t="s">
        <v>18</v>
      </c>
      <c r="N577" s="1" t="s">
        <v>18</v>
      </c>
      <c r="O577" s="1">
        <v>2</v>
      </c>
      <c r="P577" s="1">
        <v>6</v>
      </c>
      <c r="R577" s="1" t="s">
        <v>19</v>
      </c>
      <c r="S577" s="1" t="s">
        <v>63</v>
      </c>
      <c r="T577" s="1" t="s">
        <v>21</v>
      </c>
      <c r="U577" s="1" t="s">
        <v>22</v>
      </c>
      <c r="V577" s="1" t="s">
        <v>24</v>
      </c>
      <c r="W577" s="1" t="s">
        <v>24</v>
      </c>
      <c r="X577" s="1">
        <v>2800</v>
      </c>
      <c r="Y577" s="1">
        <v>2737</v>
      </c>
      <c r="Z577" s="1">
        <v>3206</v>
      </c>
      <c r="AA577" s="1" t="s">
        <v>24</v>
      </c>
      <c r="AB577" s="1" t="s">
        <v>24</v>
      </c>
      <c r="AC577" s="1" t="s">
        <v>24</v>
      </c>
      <c r="AD577" s="1" t="s">
        <v>24</v>
      </c>
      <c r="AE577" s="1" t="s">
        <v>24</v>
      </c>
      <c r="AF577" s="22"/>
    </row>
    <row r="578" spans="1:32" x14ac:dyDescent="0.2">
      <c r="A578" s="1">
        <v>3384</v>
      </c>
      <c r="B578" s="1" t="s">
        <v>1988</v>
      </c>
      <c r="C578" s="5" t="s">
        <v>0</v>
      </c>
      <c r="D578" s="1" t="s">
        <v>1989</v>
      </c>
      <c r="E578" s="1" t="s">
        <v>1990</v>
      </c>
      <c r="F578" s="1" t="s">
        <v>155</v>
      </c>
      <c r="G578" s="1" t="s">
        <v>61</v>
      </c>
      <c r="H578" s="1" t="s">
        <v>37</v>
      </c>
      <c r="I578" s="1" t="s">
        <v>16</v>
      </c>
      <c r="J578" s="1">
        <v>1</v>
      </c>
      <c r="K578" s="1">
        <v>14</v>
      </c>
      <c r="L578" s="1" t="s">
        <v>31</v>
      </c>
      <c r="M578" s="1" t="s">
        <v>18</v>
      </c>
      <c r="N578" s="1" t="s">
        <v>18</v>
      </c>
      <c r="O578" s="1">
        <v>3</v>
      </c>
      <c r="P578" s="1">
        <v>6</v>
      </c>
      <c r="R578" s="1" t="s">
        <v>62</v>
      </c>
      <c r="S578" s="1" t="s">
        <v>20</v>
      </c>
      <c r="T578" s="1" t="s">
        <v>21</v>
      </c>
      <c r="U578" s="1" t="s">
        <v>22</v>
      </c>
      <c r="V578" s="1" t="s">
        <v>24</v>
      </c>
      <c r="W578" s="1" t="s">
        <v>24</v>
      </c>
      <c r="X578" s="1">
        <v>2405</v>
      </c>
      <c r="Y578" s="1">
        <v>2725</v>
      </c>
      <c r="Z578" s="1" t="s">
        <v>24</v>
      </c>
      <c r="AA578" s="1" t="s">
        <v>24</v>
      </c>
      <c r="AB578" s="1" t="s">
        <v>24</v>
      </c>
      <c r="AC578" s="1" t="s">
        <v>24</v>
      </c>
      <c r="AD578" s="1" t="s">
        <v>24</v>
      </c>
      <c r="AE578" s="1" t="s">
        <v>24</v>
      </c>
      <c r="AF578" s="22"/>
    </row>
    <row r="579" spans="1:32" x14ac:dyDescent="0.2">
      <c r="A579" s="1">
        <v>3386</v>
      </c>
      <c r="B579" s="1" t="s">
        <v>1991</v>
      </c>
      <c r="C579" s="5" t="s">
        <v>0</v>
      </c>
      <c r="D579" s="1" t="s">
        <v>1992</v>
      </c>
      <c r="E579" s="1" t="s">
        <v>1993</v>
      </c>
      <c r="F579" s="1" t="s">
        <v>291</v>
      </c>
      <c r="G579" s="1" t="s">
        <v>292</v>
      </c>
      <c r="H579" s="1" t="s">
        <v>37</v>
      </c>
      <c r="I579" s="1" t="s">
        <v>16</v>
      </c>
      <c r="J579" s="1">
        <v>1</v>
      </c>
      <c r="K579" s="1">
        <v>12</v>
      </c>
      <c r="L579" s="1" t="s">
        <v>31</v>
      </c>
      <c r="M579" s="1" t="s">
        <v>18</v>
      </c>
      <c r="N579" s="1" t="s">
        <v>18</v>
      </c>
      <c r="O579" s="1">
        <v>3</v>
      </c>
      <c r="P579" s="1">
        <v>7</v>
      </c>
      <c r="Q579" s="7" t="s">
        <v>17633</v>
      </c>
      <c r="R579" s="1" t="s">
        <v>19</v>
      </c>
      <c r="S579" s="1" t="s">
        <v>20</v>
      </c>
      <c r="T579" s="1" t="s">
        <v>21</v>
      </c>
      <c r="U579" s="1" t="s">
        <v>22</v>
      </c>
      <c r="V579" s="1" t="s">
        <v>24</v>
      </c>
      <c r="W579" s="1" t="s">
        <v>24</v>
      </c>
      <c r="X579" s="1">
        <v>2741</v>
      </c>
      <c r="Y579" s="1">
        <v>3614</v>
      </c>
      <c r="Z579" s="1" t="s">
        <v>24</v>
      </c>
      <c r="AA579" s="1" t="s">
        <v>24</v>
      </c>
      <c r="AB579" s="1" t="s">
        <v>24</v>
      </c>
      <c r="AC579" s="1" t="s">
        <v>24</v>
      </c>
      <c r="AD579" s="1" t="s">
        <v>24</v>
      </c>
      <c r="AE579" s="1" t="s">
        <v>24</v>
      </c>
      <c r="AF579" s="22"/>
    </row>
    <row r="580" spans="1:32" x14ac:dyDescent="0.2">
      <c r="A580" s="1">
        <v>3388</v>
      </c>
      <c r="B580" s="1" t="s">
        <v>1994</v>
      </c>
      <c r="C580" s="5" t="s">
        <v>0</v>
      </c>
      <c r="D580" s="1" t="s">
        <v>1995</v>
      </c>
      <c r="E580" s="1" t="s">
        <v>1996</v>
      </c>
      <c r="F580" s="1" t="s">
        <v>1897</v>
      </c>
      <c r="G580" s="1" t="s">
        <v>1898</v>
      </c>
      <c r="H580" s="1" t="s">
        <v>899</v>
      </c>
      <c r="I580" s="1" t="s">
        <v>16</v>
      </c>
      <c r="J580" s="1">
        <v>1</v>
      </c>
      <c r="K580" s="1">
        <v>4</v>
      </c>
      <c r="L580" s="1" t="s">
        <v>31</v>
      </c>
      <c r="M580" s="1" t="s">
        <v>18</v>
      </c>
      <c r="N580" s="1" t="s">
        <v>18</v>
      </c>
      <c r="O580" s="1">
        <v>3</v>
      </c>
      <c r="P580" s="1">
        <v>5</v>
      </c>
      <c r="R580" s="1" t="s">
        <v>19</v>
      </c>
      <c r="S580" s="1" t="s">
        <v>20</v>
      </c>
      <c r="T580" s="1" t="s">
        <v>21</v>
      </c>
      <c r="U580" s="1" t="s">
        <v>22</v>
      </c>
      <c r="V580" s="1" t="s">
        <v>23</v>
      </c>
      <c r="W580" s="1" t="s">
        <v>24</v>
      </c>
      <c r="X580" s="1">
        <v>2741</v>
      </c>
      <c r="Y580" s="1" t="s">
        <v>24</v>
      </c>
      <c r="Z580" s="1" t="s">
        <v>24</v>
      </c>
      <c r="AA580" s="1" t="s">
        <v>24</v>
      </c>
      <c r="AB580" s="1" t="s">
        <v>24</v>
      </c>
      <c r="AC580" s="1" t="s">
        <v>24</v>
      </c>
      <c r="AD580" s="1" t="s">
        <v>24</v>
      </c>
      <c r="AE580" s="1" t="s">
        <v>24</v>
      </c>
      <c r="AF580" s="22"/>
    </row>
    <row r="581" spans="1:32" x14ac:dyDescent="0.2">
      <c r="A581" s="1">
        <v>3390</v>
      </c>
      <c r="B581" s="1" t="s">
        <v>1997</v>
      </c>
      <c r="C581" s="5" t="s">
        <v>0</v>
      </c>
      <c r="D581" s="1" t="s">
        <v>1998</v>
      </c>
      <c r="E581" s="1" t="s">
        <v>1999</v>
      </c>
      <c r="F581" s="1" t="s">
        <v>1897</v>
      </c>
      <c r="G581" s="1" t="s">
        <v>1898</v>
      </c>
      <c r="H581" s="1" t="s">
        <v>899</v>
      </c>
      <c r="I581" s="1" t="s">
        <v>16</v>
      </c>
      <c r="J581" s="1">
        <v>1</v>
      </c>
      <c r="K581" s="1">
        <v>4</v>
      </c>
      <c r="L581" s="1" t="s">
        <v>31</v>
      </c>
      <c r="M581" s="1" t="s">
        <v>18</v>
      </c>
      <c r="N581" s="1" t="s">
        <v>18</v>
      </c>
      <c r="O581" s="1">
        <v>2</v>
      </c>
      <c r="P581" s="1">
        <v>6</v>
      </c>
      <c r="R581" s="1" t="s">
        <v>19</v>
      </c>
      <c r="S581" s="1" t="s">
        <v>20</v>
      </c>
      <c r="T581" s="1" t="s">
        <v>21</v>
      </c>
      <c r="U581" s="1" t="s">
        <v>22</v>
      </c>
      <c r="V581" s="1" t="s">
        <v>24</v>
      </c>
      <c r="W581" s="1" t="s">
        <v>24</v>
      </c>
      <c r="X581" s="1">
        <v>2738</v>
      </c>
      <c r="Y581" s="1" t="s">
        <v>24</v>
      </c>
      <c r="Z581" s="1" t="s">
        <v>24</v>
      </c>
      <c r="AA581" s="1" t="s">
        <v>24</v>
      </c>
      <c r="AB581" s="1" t="s">
        <v>24</v>
      </c>
      <c r="AC581" s="1" t="s">
        <v>24</v>
      </c>
      <c r="AD581" s="1" t="s">
        <v>24</v>
      </c>
      <c r="AE581" s="1" t="s">
        <v>24</v>
      </c>
      <c r="AF581" s="22"/>
    </row>
    <row r="582" spans="1:32" x14ac:dyDescent="0.2">
      <c r="A582" s="1">
        <v>3394</v>
      </c>
      <c r="B582" s="1" t="s">
        <v>2000</v>
      </c>
      <c r="C582" s="5" t="s">
        <v>0</v>
      </c>
      <c r="D582" s="1" t="s">
        <v>2001</v>
      </c>
      <c r="E582" s="1" t="s">
        <v>2002</v>
      </c>
      <c r="F582" s="1" t="s">
        <v>1897</v>
      </c>
      <c r="G582" s="1" t="s">
        <v>1898</v>
      </c>
      <c r="H582" s="1" t="s">
        <v>899</v>
      </c>
      <c r="I582" s="1" t="s">
        <v>16</v>
      </c>
      <c r="J582" s="1">
        <v>1</v>
      </c>
      <c r="K582" s="1">
        <v>6</v>
      </c>
      <c r="L582" s="1" t="s">
        <v>31</v>
      </c>
      <c r="M582" s="1" t="s">
        <v>18</v>
      </c>
      <c r="N582" s="1" t="s">
        <v>18</v>
      </c>
      <c r="O582" s="1">
        <v>3</v>
      </c>
      <c r="P582" s="1">
        <v>6</v>
      </c>
      <c r="R582" s="1" t="s">
        <v>19</v>
      </c>
      <c r="S582" s="1" t="s">
        <v>20</v>
      </c>
      <c r="T582" s="1" t="s">
        <v>21</v>
      </c>
      <c r="U582" s="1" t="s">
        <v>22</v>
      </c>
      <c r="V582" s="1" t="s">
        <v>24</v>
      </c>
      <c r="W582" s="1" t="s">
        <v>24</v>
      </c>
      <c r="X582" s="1">
        <v>3003</v>
      </c>
      <c r="Y582" s="1" t="s">
        <v>24</v>
      </c>
      <c r="Z582" s="1" t="s">
        <v>24</v>
      </c>
      <c r="AA582" s="1" t="s">
        <v>24</v>
      </c>
      <c r="AB582" s="1" t="s">
        <v>24</v>
      </c>
      <c r="AC582" s="1" t="s">
        <v>24</v>
      </c>
      <c r="AD582" s="1" t="s">
        <v>24</v>
      </c>
      <c r="AE582" s="1" t="s">
        <v>24</v>
      </c>
      <c r="AF582" s="22"/>
    </row>
    <row r="583" spans="1:32" x14ac:dyDescent="0.2">
      <c r="A583" s="1">
        <v>3402</v>
      </c>
      <c r="B583" s="1" t="s">
        <v>2003</v>
      </c>
      <c r="C583" s="5" t="s">
        <v>0</v>
      </c>
      <c r="D583" s="1" t="s">
        <v>2004</v>
      </c>
      <c r="F583" s="1" t="s">
        <v>2005</v>
      </c>
      <c r="G583" s="1" t="s">
        <v>2005</v>
      </c>
      <c r="H583" s="1" t="s">
        <v>899</v>
      </c>
      <c r="I583" s="1" t="s">
        <v>16</v>
      </c>
      <c r="J583" s="1">
        <v>1</v>
      </c>
      <c r="K583" s="1">
        <v>4</v>
      </c>
      <c r="L583" s="1" t="s">
        <v>42</v>
      </c>
      <c r="M583" s="1" t="s">
        <v>18</v>
      </c>
      <c r="N583" s="1" t="s">
        <v>18</v>
      </c>
      <c r="O583" s="1">
        <v>3</v>
      </c>
      <c r="P583" s="1">
        <v>6</v>
      </c>
      <c r="R583" s="1" t="s">
        <v>19</v>
      </c>
      <c r="S583" s="1" t="s">
        <v>20</v>
      </c>
      <c r="T583" s="1" t="s">
        <v>21</v>
      </c>
      <c r="U583" s="1" t="s">
        <v>22</v>
      </c>
      <c r="V583" s="1" t="s">
        <v>23</v>
      </c>
      <c r="W583" s="1" t="s">
        <v>24</v>
      </c>
      <c r="X583" s="1">
        <v>2725</v>
      </c>
      <c r="Y583" s="1" t="s">
        <v>24</v>
      </c>
      <c r="Z583" s="1" t="s">
        <v>24</v>
      </c>
      <c r="AA583" s="1" t="s">
        <v>24</v>
      </c>
      <c r="AB583" s="1" t="s">
        <v>24</v>
      </c>
      <c r="AC583" s="1" t="s">
        <v>24</v>
      </c>
      <c r="AD583" s="1" t="s">
        <v>24</v>
      </c>
      <c r="AE583" s="1" t="s">
        <v>24</v>
      </c>
      <c r="AF583" s="22"/>
    </row>
    <row r="584" spans="1:32" x14ac:dyDescent="0.2">
      <c r="A584" s="1">
        <v>3407</v>
      </c>
      <c r="B584" s="1" t="s">
        <v>2006</v>
      </c>
      <c r="C584" s="5" t="s">
        <v>0</v>
      </c>
      <c r="D584" s="1" t="s">
        <v>2007</v>
      </c>
      <c r="E584" s="1" t="s">
        <v>2008</v>
      </c>
      <c r="F584" s="1" t="s">
        <v>2009</v>
      </c>
      <c r="G584" s="1" t="s">
        <v>2009</v>
      </c>
      <c r="H584" s="1" t="s">
        <v>111</v>
      </c>
      <c r="I584" s="1" t="s">
        <v>16</v>
      </c>
      <c r="J584" s="1">
        <v>1</v>
      </c>
      <c r="K584" s="1">
        <v>6</v>
      </c>
      <c r="L584" s="1" t="s">
        <v>42</v>
      </c>
      <c r="M584" s="1" t="s">
        <v>18</v>
      </c>
      <c r="N584" s="1" t="s">
        <v>18</v>
      </c>
      <c r="O584" s="1">
        <v>3</v>
      </c>
      <c r="P584" s="1">
        <v>6</v>
      </c>
      <c r="R584" s="1" t="s">
        <v>19</v>
      </c>
      <c r="S584" s="1" t="s">
        <v>20</v>
      </c>
      <c r="T584" s="1" t="s">
        <v>21</v>
      </c>
      <c r="U584" s="1" t="s">
        <v>22</v>
      </c>
      <c r="V584" s="1" t="s">
        <v>23</v>
      </c>
      <c r="W584" s="1" t="s">
        <v>24</v>
      </c>
      <c r="X584" s="1">
        <v>2701</v>
      </c>
      <c r="Y584" s="1">
        <v>2916</v>
      </c>
      <c r="Z584" s="1">
        <v>2712</v>
      </c>
      <c r="AA584" s="1" t="s">
        <v>24</v>
      </c>
      <c r="AB584" s="1" t="s">
        <v>24</v>
      </c>
      <c r="AC584" s="1" t="s">
        <v>24</v>
      </c>
      <c r="AD584" s="1" t="s">
        <v>24</v>
      </c>
      <c r="AE584" s="1" t="s">
        <v>24</v>
      </c>
      <c r="AF584" s="22"/>
    </row>
    <row r="585" spans="1:32" x14ac:dyDescent="0.2">
      <c r="A585" s="1">
        <v>3420</v>
      </c>
      <c r="B585" s="1" t="s">
        <v>2010</v>
      </c>
      <c r="C585" s="5" t="s">
        <v>0</v>
      </c>
      <c r="D585" s="1" t="s">
        <v>2011</v>
      </c>
      <c r="E585" s="1" t="s">
        <v>2012</v>
      </c>
      <c r="F585" s="1" t="s">
        <v>155</v>
      </c>
      <c r="G585" s="1" t="s">
        <v>61</v>
      </c>
      <c r="H585" s="1" t="s">
        <v>37</v>
      </c>
      <c r="I585" s="1" t="s">
        <v>16</v>
      </c>
      <c r="J585" s="1">
        <v>1</v>
      </c>
      <c r="K585" s="1">
        <v>1</v>
      </c>
      <c r="L585" s="1" t="s">
        <v>31</v>
      </c>
      <c r="M585" s="1" t="s">
        <v>18</v>
      </c>
      <c r="N585" s="1" t="s">
        <v>18</v>
      </c>
      <c r="O585" s="1">
        <v>3</v>
      </c>
      <c r="P585" s="1">
        <v>7</v>
      </c>
      <c r="Q585" s="7" t="s">
        <v>17633</v>
      </c>
      <c r="R585" s="1" t="s">
        <v>62</v>
      </c>
      <c r="S585" s="1" t="s">
        <v>63</v>
      </c>
      <c r="T585" s="1" t="s">
        <v>21</v>
      </c>
      <c r="U585" s="1" t="s">
        <v>22</v>
      </c>
      <c r="V585" s="1" t="s">
        <v>24</v>
      </c>
      <c r="W585" s="1" t="s">
        <v>24</v>
      </c>
      <c r="X585" s="1">
        <v>1312</v>
      </c>
      <c r="Y585" s="1">
        <v>2403</v>
      </c>
      <c r="Z585" s="1" t="s">
        <v>24</v>
      </c>
      <c r="AA585" s="1" t="s">
        <v>24</v>
      </c>
      <c r="AB585" s="1" t="s">
        <v>24</v>
      </c>
      <c r="AC585" s="1" t="s">
        <v>24</v>
      </c>
      <c r="AD585" s="1" t="s">
        <v>24</v>
      </c>
      <c r="AE585" s="1" t="s">
        <v>24</v>
      </c>
      <c r="AF585" s="22"/>
    </row>
    <row r="586" spans="1:32" x14ac:dyDescent="0.2">
      <c r="A586" s="1">
        <v>3422</v>
      </c>
      <c r="B586" s="1" t="s">
        <v>2013</v>
      </c>
      <c r="C586" s="5" t="s">
        <v>0</v>
      </c>
      <c r="D586" s="1" t="s">
        <v>2014</v>
      </c>
      <c r="F586" s="1" t="s">
        <v>2015</v>
      </c>
      <c r="G586" s="1" t="s">
        <v>2015</v>
      </c>
      <c r="H586" s="1" t="s">
        <v>222</v>
      </c>
      <c r="I586" s="1" t="s">
        <v>16</v>
      </c>
      <c r="J586" s="1">
        <v>1</v>
      </c>
      <c r="K586" s="1">
        <v>10</v>
      </c>
      <c r="L586" s="1" t="s">
        <v>42</v>
      </c>
      <c r="M586" s="1" t="s">
        <v>18</v>
      </c>
      <c r="N586" s="1" t="s">
        <v>18</v>
      </c>
      <c r="O586" s="1">
        <v>3</v>
      </c>
      <c r="P586" s="1">
        <v>5</v>
      </c>
      <c r="R586" s="1" t="s">
        <v>19</v>
      </c>
      <c r="S586" s="1" t="s">
        <v>20</v>
      </c>
      <c r="T586" s="1" t="s">
        <v>21</v>
      </c>
      <c r="U586" s="1" t="s">
        <v>22</v>
      </c>
      <c r="V586" s="1" t="s">
        <v>24</v>
      </c>
      <c r="W586" s="1" t="s">
        <v>24</v>
      </c>
      <c r="X586" s="1">
        <v>2700</v>
      </c>
      <c r="Y586" s="1" t="s">
        <v>24</v>
      </c>
      <c r="Z586" s="1" t="s">
        <v>24</v>
      </c>
      <c r="AA586" s="1" t="s">
        <v>24</v>
      </c>
      <c r="AB586" s="1" t="s">
        <v>24</v>
      </c>
      <c r="AC586" s="1" t="s">
        <v>24</v>
      </c>
      <c r="AD586" s="1" t="s">
        <v>24</v>
      </c>
      <c r="AE586" s="1" t="s">
        <v>24</v>
      </c>
      <c r="AF586" s="22"/>
    </row>
    <row r="587" spans="1:32" x14ac:dyDescent="0.2">
      <c r="A587" s="1">
        <v>3428</v>
      </c>
      <c r="B587" s="1" t="s">
        <v>2016</v>
      </c>
      <c r="C587" s="5" t="s">
        <v>0</v>
      </c>
      <c r="D587" s="1" t="s">
        <v>2017</v>
      </c>
      <c r="E587" s="1" t="s">
        <v>2018</v>
      </c>
      <c r="F587" s="1" t="s">
        <v>291</v>
      </c>
      <c r="G587" s="1" t="s">
        <v>292</v>
      </c>
      <c r="H587" s="1" t="s">
        <v>30</v>
      </c>
      <c r="I587" s="1" t="s">
        <v>16</v>
      </c>
      <c r="J587" s="1">
        <v>1</v>
      </c>
      <c r="K587" s="1">
        <v>8</v>
      </c>
      <c r="L587" s="1" t="s">
        <v>31</v>
      </c>
      <c r="M587" s="1" t="s">
        <v>18</v>
      </c>
      <c r="N587" s="1" t="s">
        <v>18</v>
      </c>
      <c r="O587" s="1">
        <v>3</v>
      </c>
      <c r="P587" s="1">
        <v>7</v>
      </c>
      <c r="Q587" s="7" t="s">
        <v>17633</v>
      </c>
      <c r="R587" s="1" t="s">
        <v>19</v>
      </c>
      <c r="S587" s="1" t="s">
        <v>20</v>
      </c>
      <c r="T587" s="1" t="s">
        <v>21</v>
      </c>
      <c r="U587" s="1" t="s">
        <v>22</v>
      </c>
      <c r="V587" s="1" t="s">
        <v>24</v>
      </c>
      <c r="W587" s="1" t="s">
        <v>24</v>
      </c>
      <c r="X587" s="1">
        <v>2403</v>
      </c>
      <c r="Y587" s="1" t="s">
        <v>24</v>
      </c>
      <c r="Z587" s="1" t="s">
        <v>24</v>
      </c>
      <c r="AA587" s="1" t="s">
        <v>24</v>
      </c>
      <c r="AB587" s="1" t="s">
        <v>24</v>
      </c>
      <c r="AC587" s="1" t="s">
        <v>24</v>
      </c>
      <c r="AD587" s="1" t="s">
        <v>24</v>
      </c>
      <c r="AE587" s="1" t="s">
        <v>24</v>
      </c>
      <c r="AF587" s="22"/>
    </row>
    <row r="588" spans="1:32" x14ac:dyDescent="0.2">
      <c r="A588" s="1">
        <v>3434</v>
      </c>
      <c r="B588" s="1" t="s">
        <v>2019</v>
      </c>
      <c r="C588" s="5" t="s">
        <v>0</v>
      </c>
      <c r="D588" s="1" t="s">
        <v>2020</v>
      </c>
      <c r="E588" s="1" t="s">
        <v>2021</v>
      </c>
      <c r="F588" s="1" t="s">
        <v>91</v>
      </c>
      <c r="G588" s="1" t="s">
        <v>61</v>
      </c>
      <c r="H588" s="1" t="s">
        <v>92</v>
      </c>
      <c r="I588" s="1" t="s">
        <v>16</v>
      </c>
      <c r="J588" s="1">
        <v>6</v>
      </c>
      <c r="K588" s="1">
        <v>2</v>
      </c>
      <c r="L588" s="1" t="s">
        <v>31</v>
      </c>
      <c r="M588" s="1" t="s">
        <v>18</v>
      </c>
      <c r="N588" s="1" t="s">
        <v>18</v>
      </c>
      <c r="O588" s="1">
        <v>3</v>
      </c>
      <c r="P588" s="1">
        <v>7</v>
      </c>
      <c r="Q588" s="7" t="s">
        <v>17633</v>
      </c>
      <c r="R588" s="1" t="s">
        <v>19</v>
      </c>
      <c r="S588" s="1" t="s">
        <v>63</v>
      </c>
      <c r="T588" s="1" t="s">
        <v>21</v>
      </c>
      <c r="U588" s="1" t="s">
        <v>22</v>
      </c>
      <c r="V588" s="1" t="s">
        <v>24</v>
      </c>
      <c r="W588" s="1" t="s">
        <v>24</v>
      </c>
      <c r="X588" s="1">
        <v>2403</v>
      </c>
      <c r="Y588" s="1">
        <v>2723</v>
      </c>
      <c r="Z588" s="1" t="s">
        <v>24</v>
      </c>
      <c r="AA588" s="1" t="s">
        <v>24</v>
      </c>
      <c r="AB588" s="1" t="s">
        <v>24</v>
      </c>
      <c r="AC588" s="1" t="s">
        <v>24</v>
      </c>
      <c r="AD588" s="1" t="s">
        <v>24</v>
      </c>
      <c r="AE588" s="1" t="s">
        <v>24</v>
      </c>
      <c r="AF588" s="22"/>
    </row>
    <row r="589" spans="1:32" x14ac:dyDescent="0.2">
      <c r="A589" s="1">
        <v>3437</v>
      </c>
      <c r="B589" s="1" t="s">
        <v>2022</v>
      </c>
      <c r="C589" s="5" t="s">
        <v>0</v>
      </c>
      <c r="D589" s="1" t="s">
        <v>2023</v>
      </c>
      <c r="E589" s="1" t="s">
        <v>2024</v>
      </c>
      <c r="F589" s="1" t="s">
        <v>35</v>
      </c>
      <c r="G589" s="1" t="s">
        <v>36</v>
      </c>
      <c r="H589" s="1" t="s">
        <v>37</v>
      </c>
      <c r="I589" s="1" t="s">
        <v>16</v>
      </c>
      <c r="J589" s="1">
        <v>3</v>
      </c>
      <c r="K589" s="1">
        <v>4</v>
      </c>
      <c r="L589" s="1" t="s">
        <v>31</v>
      </c>
      <c r="M589" s="1" t="s">
        <v>18</v>
      </c>
      <c r="N589" s="1" t="s">
        <v>18</v>
      </c>
      <c r="O589" s="1">
        <v>3</v>
      </c>
      <c r="P589" s="1">
        <v>7</v>
      </c>
      <c r="Q589" s="7" t="s">
        <v>17633</v>
      </c>
      <c r="R589" s="1" t="s">
        <v>62</v>
      </c>
      <c r="S589" s="1" t="s">
        <v>20</v>
      </c>
      <c r="T589" s="1" t="s">
        <v>21</v>
      </c>
      <c r="U589" s="1" t="s">
        <v>22</v>
      </c>
      <c r="V589" s="1" t="s">
        <v>24</v>
      </c>
      <c r="W589" s="1" t="s">
        <v>24</v>
      </c>
      <c r="X589" s="1">
        <v>2403</v>
      </c>
      <c r="Y589" s="1">
        <v>2723</v>
      </c>
      <c r="Z589" s="1" t="s">
        <v>24</v>
      </c>
      <c r="AA589" s="1" t="s">
        <v>24</v>
      </c>
      <c r="AB589" s="1" t="s">
        <v>24</v>
      </c>
      <c r="AC589" s="1" t="s">
        <v>24</v>
      </c>
      <c r="AD589" s="1" t="s">
        <v>24</v>
      </c>
      <c r="AE589" s="1" t="s">
        <v>24</v>
      </c>
      <c r="AF589" s="22"/>
    </row>
    <row r="590" spans="1:32" x14ac:dyDescent="0.2">
      <c r="A590" s="1">
        <v>3439</v>
      </c>
      <c r="B590" s="1" t="s">
        <v>2025</v>
      </c>
      <c r="C590" s="5" t="s">
        <v>0</v>
      </c>
      <c r="D590" s="1" t="s">
        <v>2026</v>
      </c>
      <c r="E590" s="1" t="s">
        <v>2027</v>
      </c>
      <c r="F590" s="1" t="s">
        <v>167</v>
      </c>
      <c r="G590" s="1" t="s">
        <v>130</v>
      </c>
      <c r="H590" s="1" t="s">
        <v>168</v>
      </c>
      <c r="I590" s="1" t="s">
        <v>16</v>
      </c>
      <c r="J590" s="1">
        <v>1</v>
      </c>
      <c r="K590" s="1">
        <v>12</v>
      </c>
      <c r="L590" s="1" t="s">
        <v>31</v>
      </c>
      <c r="M590" s="1" t="s">
        <v>18</v>
      </c>
      <c r="N590" s="1" t="s">
        <v>18</v>
      </c>
      <c r="O590" s="1">
        <v>3</v>
      </c>
      <c r="P590" s="1">
        <v>7</v>
      </c>
      <c r="Q590" s="7" t="s">
        <v>17633</v>
      </c>
      <c r="R590" s="1" t="s">
        <v>62</v>
      </c>
      <c r="S590" s="1" t="s">
        <v>20</v>
      </c>
      <c r="T590" s="1" t="s">
        <v>21</v>
      </c>
      <c r="U590" s="1" t="s">
        <v>22</v>
      </c>
      <c r="V590" s="1" t="s">
        <v>24</v>
      </c>
      <c r="W590" s="1" t="s">
        <v>24</v>
      </c>
      <c r="X590" s="1">
        <v>2403</v>
      </c>
      <c r="Y590" s="1">
        <v>1311</v>
      </c>
      <c r="Z590" s="1" t="s">
        <v>24</v>
      </c>
      <c r="AA590" s="1" t="s">
        <v>24</v>
      </c>
      <c r="AB590" s="1" t="s">
        <v>24</v>
      </c>
      <c r="AC590" s="1" t="s">
        <v>24</v>
      </c>
      <c r="AD590" s="1" t="s">
        <v>24</v>
      </c>
      <c r="AE590" s="1" t="s">
        <v>24</v>
      </c>
      <c r="AF590" s="22"/>
    </row>
    <row r="591" spans="1:32" x14ac:dyDescent="0.2">
      <c r="A591" s="1">
        <v>3442</v>
      </c>
      <c r="B591" s="1" t="s">
        <v>2028</v>
      </c>
      <c r="C591" s="5" t="s">
        <v>0</v>
      </c>
      <c r="D591" s="1" t="s">
        <v>2029</v>
      </c>
      <c r="E591" s="1" t="s">
        <v>2030</v>
      </c>
      <c r="F591" s="1" t="s">
        <v>35</v>
      </c>
      <c r="G591" s="1" t="s">
        <v>36</v>
      </c>
      <c r="H591" s="1" t="s">
        <v>37</v>
      </c>
      <c r="I591" s="1" t="s">
        <v>16</v>
      </c>
      <c r="J591" s="1">
        <v>6</v>
      </c>
      <c r="K591" s="1">
        <v>1</v>
      </c>
      <c r="L591" s="1" t="s">
        <v>31</v>
      </c>
      <c r="M591" s="1" t="s">
        <v>18</v>
      </c>
      <c r="N591" s="1" t="s">
        <v>18</v>
      </c>
      <c r="O591" s="1">
        <v>3</v>
      </c>
      <c r="P591" s="1">
        <v>7</v>
      </c>
      <c r="Q591" s="7" t="s">
        <v>17633</v>
      </c>
      <c r="R591" s="1" t="s">
        <v>62</v>
      </c>
      <c r="S591" s="1" t="s">
        <v>20</v>
      </c>
      <c r="T591" s="1" t="s">
        <v>21</v>
      </c>
      <c r="U591" s="1" t="s">
        <v>22</v>
      </c>
      <c r="V591" s="1" t="s">
        <v>24</v>
      </c>
      <c r="W591" s="1" t="s">
        <v>24</v>
      </c>
      <c r="X591" s="1">
        <v>2403</v>
      </c>
      <c r="Y591" s="1">
        <v>2723</v>
      </c>
      <c r="Z591" s="1" t="s">
        <v>24</v>
      </c>
      <c r="AA591" s="1" t="s">
        <v>24</v>
      </c>
      <c r="AB591" s="1" t="s">
        <v>24</v>
      </c>
      <c r="AC591" s="1" t="s">
        <v>24</v>
      </c>
      <c r="AD591" s="1" t="s">
        <v>24</v>
      </c>
      <c r="AE591" s="1" t="s">
        <v>24</v>
      </c>
      <c r="AF591" s="22"/>
    </row>
    <row r="592" spans="1:32" x14ac:dyDescent="0.2">
      <c r="A592" s="1">
        <v>3443</v>
      </c>
      <c r="B592" s="1" t="s">
        <v>2031</v>
      </c>
      <c r="C592" s="5" t="s">
        <v>0</v>
      </c>
      <c r="D592" s="1" t="s">
        <v>2032</v>
      </c>
      <c r="E592" s="1" t="s">
        <v>2033</v>
      </c>
      <c r="F592" s="1" t="s">
        <v>940</v>
      </c>
      <c r="G592" s="1" t="s">
        <v>130</v>
      </c>
      <c r="H592" s="1" t="s">
        <v>30</v>
      </c>
      <c r="I592" s="1" t="s">
        <v>16</v>
      </c>
      <c r="J592" s="1">
        <v>2</v>
      </c>
      <c r="K592" s="1">
        <v>3</v>
      </c>
      <c r="L592" s="1" t="s">
        <v>31</v>
      </c>
      <c r="M592" s="1" t="s">
        <v>18</v>
      </c>
      <c r="N592" s="1" t="s">
        <v>18</v>
      </c>
      <c r="O592" s="1">
        <v>3</v>
      </c>
      <c r="P592" s="1">
        <v>7</v>
      </c>
      <c r="Q592" s="7" t="s">
        <v>17633</v>
      </c>
      <c r="R592" s="1" t="s">
        <v>19</v>
      </c>
      <c r="S592" s="1" t="s">
        <v>20</v>
      </c>
      <c r="T592" s="1" t="s">
        <v>21</v>
      </c>
      <c r="U592" s="1" t="s">
        <v>22</v>
      </c>
      <c r="V592" s="1" t="s">
        <v>24</v>
      </c>
      <c r="W592" s="1" t="s">
        <v>24</v>
      </c>
      <c r="X592" s="1">
        <v>2403</v>
      </c>
      <c r="Y592" s="1" t="s">
        <v>24</v>
      </c>
      <c r="Z592" s="1" t="s">
        <v>24</v>
      </c>
      <c r="AA592" s="1" t="s">
        <v>24</v>
      </c>
      <c r="AB592" s="1" t="s">
        <v>24</v>
      </c>
      <c r="AC592" s="1" t="s">
        <v>24</v>
      </c>
      <c r="AD592" s="1" t="s">
        <v>24</v>
      </c>
      <c r="AE592" s="1" t="s">
        <v>24</v>
      </c>
      <c r="AF592" s="22"/>
    </row>
    <row r="593" spans="1:32" x14ac:dyDescent="0.2">
      <c r="A593" s="1">
        <v>3455</v>
      </c>
      <c r="B593" s="1" t="s">
        <v>2034</v>
      </c>
      <c r="C593" s="5" t="s">
        <v>0</v>
      </c>
      <c r="D593" s="1" t="s">
        <v>2035</v>
      </c>
      <c r="F593" s="1" t="s">
        <v>1708</v>
      </c>
      <c r="G593" s="1" t="s">
        <v>1708</v>
      </c>
      <c r="H593" s="1" t="s">
        <v>684</v>
      </c>
      <c r="I593" s="1" t="s">
        <v>16</v>
      </c>
      <c r="J593" s="1">
        <v>1</v>
      </c>
      <c r="K593" s="1">
        <v>6</v>
      </c>
      <c r="L593" s="1" t="s">
        <v>17</v>
      </c>
      <c r="M593" s="1" t="s">
        <v>18</v>
      </c>
      <c r="N593" s="1" t="s">
        <v>18</v>
      </c>
      <c r="O593" s="1">
        <v>3</v>
      </c>
      <c r="P593" s="1">
        <v>6</v>
      </c>
      <c r="R593" s="1" t="s">
        <v>19</v>
      </c>
      <c r="S593" s="1" t="s">
        <v>20</v>
      </c>
      <c r="T593" s="1" t="s">
        <v>21</v>
      </c>
      <c r="U593" s="1" t="s">
        <v>22</v>
      </c>
      <c r="V593" s="1" t="s">
        <v>24</v>
      </c>
      <c r="W593" s="1" t="s">
        <v>24</v>
      </c>
      <c r="X593" s="1">
        <v>2705</v>
      </c>
      <c r="Y593" s="1" t="s">
        <v>24</v>
      </c>
      <c r="Z593" s="1" t="s">
        <v>24</v>
      </c>
      <c r="AA593" s="1" t="s">
        <v>24</v>
      </c>
      <c r="AB593" s="1" t="s">
        <v>24</v>
      </c>
      <c r="AC593" s="1" t="s">
        <v>24</v>
      </c>
      <c r="AD593" s="1" t="s">
        <v>24</v>
      </c>
      <c r="AE593" s="1" t="s">
        <v>24</v>
      </c>
      <c r="AF593" s="22"/>
    </row>
    <row r="594" spans="1:32" x14ac:dyDescent="0.2">
      <c r="A594" s="1">
        <v>3464</v>
      </c>
      <c r="B594" s="1" t="s">
        <v>2036</v>
      </c>
      <c r="C594" s="5" t="s">
        <v>0</v>
      </c>
      <c r="D594" s="1" t="s">
        <v>2037</v>
      </c>
      <c r="E594" s="1" t="s">
        <v>2038</v>
      </c>
      <c r="F594" s="1" t="s">
        <v>517</v>
      </c>
      <c r="G594" s="1" t="s">
        <v>36</v>
      </c>
      <c r="H594" s="1" t="s">
        <v>30</v>
      </c>
      <c r="I594" s="1" t="s">
        <v>16</v>
      </c>
      <c r="J594" s="1">
        <v>2</v>
      </c>
      <c r="K594" s="1">
        <v>4</v>
      </c>
      <c r="L594" s="1" t="s">
        <v>31</v>
      </c>
      <c r="M594" s="1" t="s">
        <v>18</v>
      </c>
      <c r="N594" s="1" t="s">
        <v>18</v>
      </c>
      <c r="O594" s="1">
        <v>2</v>
      </c>
      <c r="P594" s="1">
        <v>7</v>
      </c>
      <c r="Q594" s="7" t="s">
        <v>17633</v>
      </c>
      <c r="R594" s="1" t="s">
        <v>19</v>
      </c>
      <c r="S594" s="1" t="s">
        <v>20</v>
      </c>
      <c r="T594" s="1" t="s">
        <v>21</v>
      </c>
      <c r="U594" s="1" t="s">
        <v>22</v>
      </c>
      <c r="V594" s="1" t="s">
        <v>23</v>
      </c>
      <c r="W594" s="1" t="s">
        <v>24</v>
      </c>
      <c r="X594" s="1">
        <v>2738</v>
      </c>
      <c r="Y594" s="1" t="s">
        <v>24</v>
      </c>
      <c r="Z594" s="1" t="s">
        <v>24</v>
      </c>
      <c r="AA594" s="1" t="s">
        <v>24</v>
      </c>
      <c r="AB594" s="1" t="s">
        <v>24</v>
      </c>
      <c r="AC594" s="1" t="s">
        <v>24</v>
      </c>
      <c r="AD594" s="1" t="s">
        <v>24</v>
      </c>
      <c r="AE594" s="1" t="s">
        <v>24</v>
      </c>
      <c r="AF594" s="22"/>
    </row>
    <row r="595" spans="1:32" x14ac:dyDescent="0.2">
      <c r="A595" s="1">
        <v>3474</v>
      </c>
      <c r="B595" s="1" t="s">
        <v>2039</v>
      </c>
      <c r="C595" s="5" t="s">
        <v>0</v>
      </c>
      <c r="D595" s="1" t="s">
        <v>2040</v>
      </c>
      <c r="E595" s="1" t="s">
        <v>2041</v>
      </c>
      <c r="F595" s="1" t="s">
        <v>441</v>
      </c>
      <c r="G595" s="1" t="s">
        <v>441</v>
      </c>
      <c r="H595" s="1" t="s">
        <v>30</v>
      </c>
      <c r="I595" s="1" t="s">
        <v>16</v>
      </c>
      <c r="J595" s="1">
        <v>1</v>
      </c>
      <c r="K595" s="1">
        <v>12</v>
      </c>
      <c r="L595" s="1" t="s">
        <v>42</v>
      </c>
      <c r="M595" s="1" t="s">
        <v>18</v>
      </c>
      <c r="N595" s="1" t="s">
        <v>18</v>
      </c>
      <c r="O595" s="1">
        <v>3</v>
      </c>
      <c r="P595" s="1">
        <v>7</v>
      </c>
      <c r="Q595" s="7" t="s">
        <v>17633</v>
      </c>
      <c r="R595" s="1" t="s">
        <v>62</v>
      </c>
      <c r="S595" s="1" t="s">
        <v>20</v>
      </c>
      <c r="T595" s="1" t="s">
        <v>21</v>
      </c>
      <c r="U595" s="1" t="s">
        <v>22</v>
      </c>
      <c r="V595" s="1" t="s">
        <v>24</v>
      </c>
      <c r="W595" s="1" t="s">
        <v>24</v>
      </c>
      <c r="X595" s="1">
        <v>2403</v>
      </c>
      <c r="Y595" s="1">
        <v>2404</v>
      </c>
      <c r="Z595" s="1">
        <v>2405</v>
      </c>
      <c r="AA595" s="1">
        <v>2725</v>
      </c>
      <c r="AB595" s="1" t="s">
        <v>24</v>
      </c>
      <c r="AC595" s="1" t="s">
        <v>24</v>
      </c>
      <c r="AD595" s="1" t="s">
        <v>24</v>
      </c>
      <c r="AE595" s="1" t="s">
        <v>24</v>
      </c>
      <c r="AF595" s="22"/>
    </row>
    <row r="596" spans="1:32" x14ac:dyDescent="0.2">
      <c r="A596" s="1">
        <v>3475</v>
      </c>
      <c r="B596" s="1" t="s">
        <v>2042</v>
      </c>
      <c r="C596" s="5" t="s">
        <v>0</v>
      </c>
      <c r="D596" s="1" t="s">
        <v>2043</v>
      </c>
      <c r="E596" s="1" t="s">
        <v>2044</v>
      </c>
      <c r="F596" s="1" t="s">
        <v>190</v>
      </c>
      <c r="G596" s="1" t="s">
        <v>130</v>
      </c>
      <c r="H596" s="1" t="s">
        <v>30</v>
      </c>
      <c r="I596" s="1" t="s">
        <v>16</v>
      </c>
      <c r="J596" s="1">
        <v>1</v>
      </c>
      <c r="K596" s="1">
        <v>6</v>
      </c>
      <c r="L596" s="1" t="s">
        <v>31</v>
      </c>
      <c r="M596" s="1" t="s">
        <v>18</v>
      </c>
      <c r="N596" s="1" t="s">
        <v>18</v>
      </c>
      <c r="O596" s="1">
        <v>3</v>
      </c>
      <c r="P596" s="1">
        <v>6</v>
      </c>
      <c r="R596" s="1" t="s">
        <v>19</v>
      </c>
      <c r="S596" s="1" t="s">
        <v>20</v>
      </c>
      <c r="T596" s="1" t="s">
        <v>21</v>
      </c>
      <c r="U596" s="1" t="s">
        <v>22</v>
      </c>
      <c r="V596" s="1" t="s">
        <v>24</v>
      </c>
      <c r="W596" s="1" t="s">
        <v>24</v>
      </c>
      <c r="X596" s="1">
        <v>2403</v>
      </c>
      <c r="Y596" s="1">
        <v>2723</v>
      </c>
      <c r="Z596" s="1" t="s">
        <v>24</v>
      </c>
      <c r="AA596" s="1" t="s">
        <v>24</v>
      </c>
      <c r="AB596" s="1" t="s">
        <v>24</v>
      </c>
      <c r="AC596" s="1" t="s">
        <v>24</v>
      </c>
      <c r="AD596" s="1" t="s">
        <v>24</v>
      </c>
      <c r="AE596" s="1" t="s">
        <v>24</v>
      </c>
      <c r="AF596" s="22"/>
    </row>
    <row r="597" spans="1:32" x14ac:dyDescent="0.2">
      <c r="A597" s="1">
        <v>3483</v>
      </c>
      <c r="B597" s="1" t="s">
        <v>2045</v>
      </c>
      <c r="C597" s="5" t="s">
        <v>0</v>
      </c>
      <c r="D597" s="1" t="s">
        <v>2046</v>
      </c>
      <c r="E597" s="1" t="s">
        <v>2047</v>
      </c>
      <c r="F597" s="1" t="s">
        <v>1897</v>
      </c>
      <c r="G597" s="1" t="s">
        <v>1898</v>
      </c>
      <c r="H597" s="1" t="s">
        <v>899</v>
      </c>
      <c r="I597" s="1" t="s">
        <v>16</v>
      </c>
      <c r="J597" s="1">
        <v>1</v>
      </c>
      <c r="K597" s="1">
        <v>12</v>
      </c>
      <c r="L597" s="1" t="s">
        <v>31</v>
      </c>
      <c r="M597" s="1" t="s">
        <v>18</v>
      </c>
      <c r="N597" s="1" t="s">
        <v>18</v>
      </c>
      <c r="O597" s="1">
        <v>3</v>
      </c>
      <c r="P597" s="1">
        <v>6</v>
      </c>
      <c r="R597" s="1" t="s">
        <v>19</v>
      </c>
      <c r="S597" s="1" t="s">
        <v>20</v>
      </c>
      <c r="T597" s="1" t="s">
        <v>21</v>
      </c>
      <c r="U597" s="1" t="s">
        <v>22</v>
      </c>
      <c r="V597" s="1" t="s">
        <v>24</v>
      </c>
      <c r="W597" s="1" t="s">
        <v>24</v>
      </c>
      <c r="X597" s="1">
        <v>2700</v>
      </c>
      <c r="Y597" s="1" t="s">
        <v>24</v>
      </c>
      <c r="Z597" s="1" t="s">
        <v>24</v>
      </c>
      <c r="AA597" s="1" t="s">
        <v>24</v>
      </c>
      <c r="AB597" s="1" t="s">
        <v>24</v>
      </c>
      <c r="AC597" s="1" t="s">
        <v>24</v>
      </c>
      <c r="AD597" s="1" t="s">
        <v>24</v>
      </c>
      <c r="AE597" s="1" t="s">
        <v>24</v>
      </c>
      <c r="AF597" s="22"/>
    </row>
    <row r="598" spans="1:32" x14ac:dyDescent="0.2">
      <c r="A598" s="1">
        <v>3485</v>
      </c>
      <c r="B598" s="1" t="s">
        <v>2048</v>
      </c>
      <c r="C598" s="5" t="s">
        <v>0</v>
      </c>
      <c r="D598" s="1" t="s">
        <v>2049</v>
      </c>
      <c r="E598" s="1" t="s">
        <v>2050</v>
      </c>
      <c r="F598" s="1" t="s">
        <v>1897</v>
      </c>
      <c r="G598" s="1" t="s">
        <v>1898</v>
      </c>
      <c r="H598" s="1" t="s">
        <v>899</v>
      </c>
      <c r="I598" s="1" t="s">
        <v>16</v>
      </c>
      <c r="J598" s="1">
        <v>1</v>
      </c>
      <c r="K598" s="1">
        <v>6</v>
      </c>
      <c r="L598" s="1" t="s">
        <v>31</v>
      </c>
      <c r="M598" s="1" t="s">
        <v>18</v>
      </c>
      <c r="N598" s="1" t="s">
        <v>18</v>
      </c>
      <c r="O598" s="1">
        <v>2</v>
      </c>
      <c r="P598" s="1">
        <v>5</v>
      </c>
      <c r="R598" s="1" t="s">
        <v>19</v>
      </c>
      <c r="S598" s="1" t="s">
        <v>20</v>
      </c>
      <c r="T598" s="1" t="s">
        <v>21</v>
      </c>
      <c r="U598" s="1" t="s">
        <v>22</v>
      </c>
      <c r="V598" s="1" t="s">
        <v>23</v>
      </c>
      <c r="W598" s="1" t="s">
        <v>24</v>
      </c>
      <c r="X598" s="1">
        <v>3004</v>
      </c>
      <c r="Y598" s="1">
        <v>2736</v>
      </c>
      <c r="Z598" s="1" t="s">
        <v>24</v>
      </c>
      <c r="AA598" s="1" t="s">
        <v>24</v>
      </c>
      <c r="AB598" s="1" t="s">
        <v>24</v>
      </c>
      <c r="AC598" s="1" t="s">
        <v>24</v>
      </c>
      <c r="AD598" s="1" t="s">
        <v>24</v>
      </c>
      <c r="AE598" s="1" t="s">
        <v>24</v>
      </c>
      <c r="AF598" s="22"/>
    </row>
    <row r="599" spans="1:32" x14ac:dyDescent="0.2">
      <c r="A599" s="1">
        <v>3486</v>
      </c>
      <c r="B599" s="1" t="s">
        <v>2051</v>
      </c>
      <c r="C599" s="5" t="s">
        <v>0</v>
      </c>
      <c r="D599" s="1" t="s">
        <v>2052</v>
      </c>
      <c r="E599" s="1" t="s">
        <v>2053</v>
      </c>
      <c r="F599" s="1" t="s">
        <v>155</v>
      </c>
      <c r="G599" s="1" t="s">
        <v>61</v>
      </c>
      <c r="H599" s="1" t="s">
        <v>37</v>
      </c>
      <c r="I599" s="1" t="s">
        <v>16</v>
      </c>
      <c r="J599" s="1">
        <v>1</v>
      </c>
      <c r="K599" s="1">
        <v>12</v>
      </c>
      <c r="L599" s="1" t="s">
        <v>31</v>
      </c>
      <c r="M599" s="1" t="s">
        <v>18</v>
      </c>
      <c r="N599" s="1" t="s">
        <v>18</v>
      </c>
      <c r="O599" s="1">
        <v>3</v>
      </c>
      <c r="P599" s="1">
        <v>7</v>
      </c>
      <c r="Q599" s="7" t="s">
        <v>17633</v>
      </c>
      <c r="R599" s="1" t="s">
        <v>19</v>
      </c>
      <c r="S599" s="1" t="s">
        <v>20</v>
      </c>
      <c r="T599" s="1" t="s">
        <v>21</v>
      </c>
      <c r="U599" s="1" t="s">
        <v>22</v>
      </c>
      <c r="V599" s="1" t="s">
        <v>23</v>
      </c>
      <c r="W599" s="1" t="s">
        <v>24</v>
      </c>
      <c r="X599" s="1">
        <v>2711</v>
      </c>
      <c r="Y599" s="1">
        <v>2732</v>
      </c>
      <c r="Z599" s="1" t="s">
        <v>24</v>
      </c>
      <c r="AA599" s="1" t="s">
        <v>24</v>
      </c>
      <c r="AB599" s="1" t="s">
        <v>24</v>
      </c>
      <c r="AC599" s="1" t="s">
        <v>24</v>
      </c>
      <c r="AD599" s="1" t="s">
        <v>24</v>
      </c>
      <c r="AE599" s="1" t="s">
        <v>24</v>
      </c>
      <c r="AF599" s="22"/>
    </row>
    <row r="600" spans="1:32" x14ac:dyDescent="0.2">
      <c r="A600" s="1">
        <v>3491</v>
      </c>
      <c r="B600" s="1" t="s">
        <v>2054</v>
      </c>
      <c r="C600" s="5" t="s">
        <v>0</v>
      </c>
      <c r="D600" s="1" t="s">
        <v>2055</v>
      </c>
      <c r="E600" s="1" t="s">
        <v>2056</v>
      </c>
      <c r="F600" s="1" t="s">
        <v>190</v>
      </c>
      <c r="G600" s="1" t="s">
        <v>130</v>
      </c>
      <c r="H600" s="1" t="s">
        <v>30</v>
      </c>
      <c r="I600" s="1" t="s">
        <v>16</v>
      </c>
      <c r="J600" s="1">
        <v>1</v>
      </c>
      <c r="K600" s="1">
        <v>4</v>
      </c>
      <c r="L600" s="1" t="s">
        <v>31</v>
      </c>
      <c r="M600" s="1" t="s">
        <v>18</v>
      </c>
      <c r="N600" s="1" t="s">
        <v>18</v>
      </c>
      <c r="O600" s="1">
        <v>3</v>
      </c>
      <c r="P600" s="1">
        <v>7</v>
      </c>
      <c r="Q600" s="7" t="s">
        <v>17633</v>
      </c>
      <c r="R600" s="1" t="s">
        <v>19</v>
      </c>
      <c r="S600" s="1" t="s">
        <v>20</v>
      </c>
      <c r="T600" s="1" t="s">
        <v>21</v>
      </c>
      <c r="U600" s="1" t="s">
        <v>22</v>
      </c>
      <c r="V600" s="1" t="s">
        <v>24</v>
      </c>
      <c r="W600" s="1" t="s">
        <v>64</v>
      </c>
      <c r="X600" s="1">
        <v>3004</v>
      </c>
      <c r="Y600" s="1">
        <v>2736</v>
      </c>
      <c r="Z600" s="1">
        <v>2730</v>
      </c>
      <c r="AA600" s="1" t="s">
        <v>24</v>
      </c>
      <c r="AB600" s="1" t="s">
        <v>24</v>
      </c>
      <c r="AC600" s="1" t="s">
        <v>24</v>
      </c>
      <c r="AD600" s="1" t="s">
        <v>24</v>
      </c>
      <c r="AE600" s="1" t="s">
        <v>24</v>
      </c>
      <c r="AF600" s="22"/>
    </row>
    <row r="601" spans="1:32" x14ac:dyDescent="0.2">
      <c r="A601" s="1">
        <v>3497</v>
      </c>
      <c r="B601" s="1" t="s">
        <v>2057</v>
      </c>
      <c r="C601" s="5" t="s">
        <v>0</v>
      </c>
      <c r="D601" s="1" t="s">
        <v>2058</v>
      </c>
      <c r="E601" s="1" t="s">
        <v>2059</v>
      </c>
      <c r="F601" s="1" t="s">
        <v>217</v>
      </c>
      <c r="G601" s="1" t="s">
        <v>130</v>
      </c>
      <c r="H601" s="1" t="s">
        <v>92</v>
      </c>
      <c r="I601" s="1" t="s">
        <v>16</v>
      </c>
      <c r="J601" s="1">
        <v>1</v>
      </c>
      <c r="K601" s="1">
        <v>6</v>
      </c>
      <c r="L601" s="1" t="s">
        <v>31</v>
      </c>
      <c r="M601" s="1" t="s">
        <v>18</v>
      </c>
      <c r="N601" s="1" t="s">
        <v>18</v>
      </c>
      <c r="O601" s="1">
        <v>3</v>
      </c>
      <c r="P601" s="1">
        <v>6</v>
      </c>
      <c r="R601" s="1" t="s">
        <v>19</v>
      </c>
      <c r="S601" s="1" t="s">
        <v>20</v>
      </c>
      <c r="T601" s="1" t="s">
        <v>21</v>
      </c>
      <c r="U601" s="1" t="s">
        <v>22</v>
      </c>
      <c r="V601" s="1" t="s">
        <v>24</v>
      </c>
      <c r="W601" s="1" t="s">
        <v>24</v>
      </c>
      <c r="X601" s="1">
        <v>2731</v>
      </c>
      <c r="Y601" s="1" t="s">
        <v>24</v>
      </c>
      <c r="Z601" s="1" t="s">
        <v>24</v>
      </c>
      <c r="AA601" s="1" t="s">
        <v>24</v>
      </c>
      <c r="AB601" s="1" t="s">
        <v>24</v>
      </c>
      <c r="AC601" s="1" t="s">
        <v>24</v>
      </c>
      <c r="AD601" s="1" t="s">
        <v>24</v>
      </c>
      <c r="AE601" s="1" t="s">
        <v>24</v>
      </c>
      <c r="AF601" s="22"/>
    </row>
    <row r="602" spans="1:32" x14ac:dyDescent="0.2">
      <c r="A602" s="1">
        <v>3498</v>
      </c>
      <c r="B602" s="1" t="s">
        <v>2060</v>
      </c>
      <c r="C602" s="5" t="s">
        <v>0</v>
      </c>
      <c r="D602" s="1" t="s">
        <v>2061</v>
      </c>
      <c r="E602" s="1" t="s">
        <v>2062</v>
      </c>
      <c r="F602" s="1" t="s">
        <v>1977</v>
      </c>
      <c r="G602" s="1" t="s">
        <v>130</v>
      </c>
      <c r="H602" s="1" t="s">
        <v>899</v>
      </c>
      <c r="I602" s="1" t="s">
        <v>16</v>
      </c>
      <c r="J602" s="1">
        <v>1</v>
      </c>
      <c r="K602" s="1">
        <v>12</v>
      </c>
      <c r="L602" s="1" t="s">
        <v>31</v>
      </c>
      <c r="M602" s="1" t="s">
        <v>18</v>
      </c>
      <c r="N602" s="1" t="s">
        <v>18</v>
      </c>
      <c r="O602" s="1">
        <v>3</v>
      </c>
      <c r="P602" s="1">
        <v>4</v>
      </c>
      <c r="R602" s="1" t="s">
        <v>19</v>
      </c>
      <c r="S602" s="1" t="s">
        <v>20</v>
      </c>
      <c r="T602" s="1" t="s">
        <v>21</v>
      </c>
      <c r="U602" s="1" t="s">
        <v>22</v>
      </c>
      <c r="V602" s="1" t="s">
        <v>24</v>
      </c>
      <c r="W602" s="1" t="s">
        <v>24</v>
      </c>
      <c r="X602" s="1">
        <v>2735</v>
      </c>
      <c r="Y602" s="1" t="s">
        <v>24</v>
      </c>
      <c r="Z602" s="1" t="s">
        <v>24</v>
      </c>
      <c r="AA602" s="1" t="s">
        <v>24</v>
      </c>
      <c r="AB602" s="1" t="s">
        <v>24</v>
      </c>
      <c r="AC602" s="1" t="s">
        <v>24</v>
      </c>
      <c r="AD602" s="1" t="s">
        <v>24</v>
      </c>
      <c r="AE602" s="1" t="s">
        <v>24</v>
      </c>
      <c r="AF602" s="22"/>
    </row>
    <row r="603" spans="1:32" x14ac:dyDescent="0.2">
      <c r="A603" s="1">
        <v>3500</v>
      </c>
      <c r="B603" s="1" t="s">
        <v>2063</v>
      </c>
      <c r="C603" s="5" t="s">
        <v>0</v>
      </c>
      <c r="D603" s="1" t="s">
        <v>2064</v>
      </c>
      <c r="F603" s="1" t="s">
        <v>1747</v>
      </c>
      <c r="G603" s="1" t="s">
        <v>1747</v>
      </c>
      <c r="H603" s="1" t="s">
        <v>168</v>
      </c>
      <c r="I603" s="1" t="s">
        <v>16</v>
      </c>
      <c r="J603" s="1">
        <v>1</v>
      </c>
      <c r="K603" s="1">
        <v>4</v>
      </c>
      <c r="L603" s="1" t="s">
        <v>17</v>
      </c>
      <c r="M603" s="1" t="s">
        <v>413</v>
      </c>
      <c r="N603" s="1" t="s">
        <v>679</v>
      </c>
      <c r="O603" s="1">
        <v>3</v>
      </c>
      <c r="P603" s="1">
        <v>5</v>
      </c>
      <c r="R603" s="1" t="s">
        <v>19</v>
      </c>
      <c r="S603" s="1" t="s">
        <v>20</v>
      </c>
      <c r="T603" s="1" t="s">
        <v>21</v>
      </c>
      <c r="U603" s="1" t="s">
        <v>22</v>
      </c>
      <c r="V603" s="1" t="s">
        <v>24</v>
      </c>
      <c r="W603" s="1" t="s">
        <v>24</v>
      </c>
      <c r="X603" s="1">
        <v>2724</v>
      </c>
      <c r="Y603" s="1" t="s">
        <v>24</v>
      </c>
      <c r="Z603" s="1" t="s">
        <v>24</v>
      </c>
      <c r="AA603" s="1" t="s">
        <v>24</v>
      </c>
      <c r="AB603" s="1" t="s">
        <v>24</v>
      </c>
      <c r="AC603" s="1" t="s">
        <v>24</v>
      </c>
      <c r="AD603" s="1" t="s">
        <v>24</v>
      </c>
      <c r="AE603" s="1" t="s">
        <v>24</v>
      </c>
      <c r="AF603" s="22"/>
    </row>
    <row r="604" spans="1:32" x14ac:dyDescent="0.2">
      <c r="A604" s="1">
        <v>3510</v>
      </c>
      <c r="B604" s="1" t="s">
        <v>2065</v>
      </c>
      <c r="C604" s="5" t="s">
        <v>0</v>
      </c>
      <c r="D604" s="1" t="s">
        <v>2066</v>
      </c>
      <c r="E604" s="1" t="s">
        <v>2067</v>
      </c>
      <c r="F604" s="1" t="s">
        <v>167</v>
      </c>
      <c r="G604" s="1" t="s">
        <v>130</v>
      </c>
      <c r="H604" s="1" t="s">
        <v>168</v>
      </c>
      <c r="I604" s="1" t="s">
        <v>16</v>
      </c>
      <c r="J604" s="1">
        <v>1</v>
      </c>
      <c r="K604" s="1">
        <v>12</v>
      </c>
      <c r="L604" s="1" t="s">
        <v>31</v>
      </c>
      <c r="M604" s="1" t="s">
        <v>413</v>
      </c>
      <c r="N604" s="1" t="s">
        <v>413</v>
      </c>
      <c r="O604" s="1">
        <v>0</v>
      </c>
      <c r="P604" s="1">
        <v>6</v>
      </c>
      <c r="R604" s="1" t="s">
        <v>19</v>
      </c>
      <c r="S604" s="1" t="s">
        <v>20</v>
      </c>
      <c r="T604" s="1" t="s">
        <v>21</v>
      </c>
      <c r="U604" s="1" t="s">
        <v>22</v>
      </c>
      <c r="V604" s="1" t="s">
        <v>24</v>
      </c>
      <c r="W604" s="1" t="s">
        <v>24</v>
      </c>
      <c r="X604" s="1">
        <v>2724</v>
      </c>
      <c r="Y604" s="1" t="s">
        <v>24</v>
      </c>
      <c r="Z604" s="1" t="s">
        <v>24</v>
      </c>
      <c r="AA604" s="1" t="s">
        <v>24</v>
      </c>
      <c r="AB604" s="1" t="s">
        <v>24</v>
      </c>
      <c r="AC604" s="1" t="s">
        <v>24</v>
      </c>
      <c r="AD604" s="1" t="s">
        <v>24</v>
      </c>
      <c r="AE604" s="1" t="s">
        <v>24</v>
      </c>
      <c r="AF604" s="22"/>
    </row>
    <row r="605" spans="1:32" x14ac:dyDescent="0.2">
      <c r="A605" s="1">
        <v>3517</v>
      </c>
      <c r="B605" s="1" t="s">
        <v>2068</v>
      </c>
      <c r="C605" s="5" t="s">
        <v>0</v>
      </c>
      <c r="D605" s="1" t="s">
        <v>2069</v>
      </c>
      <c r="E605" s="1" t="s">
        <v>2070</v>
      </c>
      <c r="F605" s="1" t="s">
        <v>28</v>
      </c>
      <c r="G605" s="1" t="s">
        <v>29</v>
      </c>
      <c r="H605" s="1" t="s">
        <v>30</v>
      </c>
      <c r="I605" s="1" t="s">
        <v>16</v>
      </c>
      <c r="J605" s="1">
        <v>1</v>
      </c>
      <c r="K605" s="1">
        <v>12</v>
      </c>
      <c r="L605" s="1" t="s">
        <v>31</v>
      </c>
      <c r="M605" s="1" t="s">
        <v>18</v>
      </c>
      <c r="N605" s="1" t="s">
        <v>18</v>
      </c>
      <c r="O605" s="1">
        <v>3</v>
      </c>
      <c r="P605" s="1">
        <v>7</v>
      </c>
      <c r="Q605" s="7" t="s">
        <v>17633</v>
      </c>
      <c r="R605" s="1" t="s">
        <v>62</v>
      </c>
      <c r="S605" s="1" t="s">
        <v>20</v>
      </c>
      <c r="T605" s="1" t="s">
        <v>21</v>
      </c>
      <c r="U605" s="1" t="s">
        <v>22</v>
      </c>
      <c r="V605" s="1" t="s">
        <v>24</v>
      </c>
      <c r="W605" s="1" t="s">
        <v>24</v>
      </c>
      <c r="X605" s="1">
        <v>2741</v>
      </c>
      <c r="Y605" s="1" t="s">
        <v>24</v>
      </c>
      <c r="Z605" s="1" t="s">
        <v>24</v>
      </c>
      <c r="AA605" s="1" t="s">
        <v>24</v>
      </c>
      <c r="AB605" s="1" t="s">
        <v>24</v>
      </c>
      <c r="AC605" s="1" t="s">
        <v>24</v>
      </c>
      <c r="AD605" s="1" t="s">
        <v>24</v>
      </c>
      <c r="AE605" s="1" t="s">
        <v>24</v>
      </c>
      <c r="AF605" s="22"/>
    </row>
    <row r="606" spans="1:32" x14ac:dyDescent="0.2">
      <c r="A606" s="1">
        <v>3521</v>
      </c>
      <c r="B606" s="1" t="s">
        <v>2071</v>
      </c>
      <c r="C606" s="5" t="s">
        <v>0</v>
      </c>
      <c r="D606" s="1" t="s">
        <v>2072</v>
      </c>
      <c r="E606" s="1" t="s">
        <v>2073</v>
      </c>
      <c r="F606" s="1" t="s">
        <v>272</v>
      </c>
      <c r="G606" s="1" t="s">
        <v>61</v>
      </c>
      <c r="H606" s="1" t="s">
        <v>30</v>
      </c>
      <c r="I606" s="1" t="s">
        <v>16</v>
      </c>
      <c r="J606" s="1">
        <v>3</v>
      </c>
      <c r="K606" s="1">
        <v>5</v>
      </c>
      <c r="L606" s="1" t="s">
        <v>31</v>
      </c>
      <c r="M606" s="1" t="s">
        <v>18</v>
      </c>
      <c r="N606" s="1" t="s">
        <v>18</v>
      </c>
      <c r="O606" s="1">
        <v>3</v>
      </c>
      <c r="P606" s="1">
        <v>7</v>
      </c>
      <c r="Q606" s="7" t="s">
        <v>17633</v>
      </c>
      <c r="R606" s="1" t="s">
        <v>62</v>
      </c>
      <c r="S606" s="1" t="s">
        <v>20</v>
      </c>
      <c r="T606" s="1" t="s">
        <v>21</v>
      </c>
      <c r="U606" s="1" t="s">
        <v>22</v>
      </c>
      <c r="V606" s="1" t="s">
        <v>23</v>
      </c>
      <c r="W606" s="1" t="s">
        <v>24</v>
      </c>
      <c r="X606" s="1">
        <v>2730</v>
      </c>
      <c r="Y606" s="1">
        <v>2741</v>
      </c>
      <c r="Z606" s="1">
        <v>3108</v>
      </c>
      <c r="AA606" s="1">
        <v>1306</v>
      </c>
      <c r="AB606" s="1" t="s">
        <v>24</v>
      </c>
      <c r="AC606" s="1" t="s">
        <v>24</v>
      </c>
      <c r="AD606" s="1" t="s">
        <v>24</v>
      </c>
      <c r="AE606" s="1" t="s">
        <v>24</v>
      </c>
      <c r="AF606" s="22"/>
    </row>
    <row r="607" spans="1:32" x14ac:dyDescent="0.2">
      <c r="A607" s="1">
        <v>3525</v>
      </c>
      <c r="B607" s="1" t="s">
        <v>2074</v>
      </c>
      <c r="C607" s="5" t="s">
        <v>0</v>
      </c>
      <c r="D607" s="1" t="s">
        <v>2075</v>
      </c>
      <c r="E607" s="1" t="s">
        <v>2076</v>
      </c>
      <c r="F607" s="1" t="s">
        <v>28</v>
      </c>
      <c r="G607" s="1" t="s">
        <v>29</v>
      </c>
      <c r="H607" s="1" t="s">
        <v>30</v>
      </c>
      <c r="I607" s="1" t="s">
        <v>16</v>
      </c>
      <c r="J607" s="1">
        <v>1</v>
      </c>
      <c r="K607" s="1">
        <v>4</v>
      </c>
      <c r="L607" s="1" t="s">
        <v>31</v>
      </c>
      <c r="M607" s="1" t="s">
        <v>18</v>
      </c>
      <c r="N607" s="1" t="s">
        <v>18</v>
      </c>
      <c r="O607" s="1">
        <v>0</v>
      </c>
      <c r="P607" s="1">
        <v>7</v>
      </c>
      <c r="Q607" s="7" t="s">
        <v>17633</v>
      </c>
      <c r="R607" s="1" t="s">
        <v>19</v>
      </c>
      <c r="S607" s="1" t="s">
        <v>20</v>
      </c>
      <c r="T607" s="1" t="s">
        <v>21</v>
      </c>
      <c r="U607" s="1" t="s">
        <v>22</v>
      </c>
      <c r="V607" s="1" t="s">
        <v>24</v>
      </c>
      <c r="W607" s="1" t="s">
        <v>24</v>
      </c>
      <c r="X607" s="1">
        <v>2731</v>
      </c>
      <c r="Y607" s="1" t="s">
        <v>24</v>
      </c>
      <c r="Z607" s="1" t="s">
        <v>24</v>
      </c>
      <c r="AA607" s="1" t="s">
        <v>24</v>
      </c>
      <c r="AB607" s="1" t="s">
        <v>24</v>
      </c>
      <c r="AC607" s="1" t="s">
        <v>24</v>
      </c>
      <c r="AD607" s="1" t="s">
        <v>24</v>
      </c>
      <c r="AE607" s="1" t="s">
        <v>24</v>
      </c>
      <c r="AF607" s="22"/>
    </row>
    <row r="608" spans="1:32" x14ac:dyDescent="0.2">
      <c r="A608" s="1">
        <v>3526</v>
      </c>
      <c r="B608" s="1" t="s">
        <v>2077</v>
      </c>
      <c r="C608" s="5" t="s">
        <v>0</v>
      </c>
      <c r="D608" s="1" t="s">
        <v>2078</v>
      </c>
      <c r="E608" s="1" t="s">
        <v>2079</v>
      </c>
      <c r="F608" s="1" t="s">
        <v>167</v>
      </c>
      <c r="G608" s="1" t="s">
        <v>130</v>
      </c>
      <c r="H608" s="1" t="s">
        <v>168</v>
      </c>
      <c r="I608" s="1" t="s">
        <v>16</v>
      </c>
      <c r="J608" s="1">
        <v>1</v>
      </c>
      <c r="K608" s="1">
        <v>12</v>
      </c>
      <c r="L608" s="1" t="s">
        <v>31</v>
      </c>
      <c r="M608" s="1" t="s">
        <v>18</v>
      </c>
      <c r="N608" s="1" t="s">
        <v>18</v>
      </c>
      <c r="O608" s="1">
        <v>3</v>
      </c>
      <c r="P608" s="1">
        <v>7</v>
      </c>
      <c r="Q608" s="7" t="s">
        <v>17633</v>
      </c>
      <c r="R608" s="1" t="s">
        <v>19</v>
      </c>
      <c r="S608" s="1" t="s">
        <v>20</v>
      </c>
      <c r="T608" s="1" t="s">
        <v>21</v>
      </c>
      <c r="U608" s="1" t="s">
        <v>22</v>
      </c>
      <c r="V608" s="1" t="s">
        <v>23</v>
      </c>
      <c r="W608" s="1" t="s">
        <v>24</v>
      </c>
      <c r="X608" s="1">
        <v>2732</v>
      </c>
      <c r="Y608" s="1" t="s">
        <v>24</v>
      </c>
      <c r="Z608" s="1" t="s">
        <v>24</v>
      </c>
      <c r="AA608" s="1" t="s">
        <v>24</v>
      </c>
      <c r="AB608" s="1" t="s">
        <v>24</v>
      </c>
      <c r="AC608" s="1" t="s">
        <v>24</v>
      </c>
      <c r="AD608" s="1" t="s">
        <v>24</v>
      </c>
      <c r="AE608" s="1" t="s">
        <v>24</v>
      </c>
      <c r="AF608" s="22"/>
    </row>
    <row r="609" spans="1:32" x14ac:dyDescent="0.2">
      <c r="A609" s="1">
        <v>3527</v>
      </c>
      <c r="B609" s="1" t="s">
        <v>2080</v>
      </c>
      <c r="C609" s="5" t="s">
        <v>0</v>
      </c>
      <c r="D609" s="1" t="s">
        <v>2081</v>
      </c>
      <c r="E609" s="1" t="s">
        <v>2082</v>
      </c>
      <c r="F609" s="1" t="s">
        <v>2083</v>
      </c>
      <c r="G609" s="1" t="s">
        <v>2083</v>
      </c>
      <c r="H609" s="1" t="s">
        <v>30</v>
      </c>
      <c r="I609" s="1" t="s">
        <v>16</v>
      </c>
      <c r="J609" s="1">
        <v>1</v>
      </c>
      <c r="K609" s="1">
        <v>12</v>
      </c>
      <c r="L609" s="1" t="s">
        <v>42</v>
      </c>
      <c r="M609" s="1" t="s">
        <v>18</v>
      </c>
      <c r="N609" s="1" t="s">
        <v>18</v>
      </c>
      <c r="O609" s="1">
        <v>3</v>
      </c>
      <c r="P609" s="1">
        <v>7</v>
      </c>
      <c r="Q609" s="7" t="s">
        <v>17633</v>
      </c>
      <c r="R609" s="1" t="s">
        <v>62</v>
      </c>
      <c r="S609" s="1" t="s">
        <v>63</v>
      </c>
      <c r="T609" s="1" t="s">
        <v>21</v>
      </c>
      <c r="U609" s="1" t="s">
        <v>22</v>
      </c>
      <c r="V609" s="1" t="s">
        <v>24</v>
      </c>
      <c r="W609" s="1" t="s">
        <v>24</v>
      </c>
      <c r="X609" s="1">
        <v>2731</v>
      </c>
      <c r="Y609" s="1">
        <v>2809</v>
      </c>
      <c r="Z609" s="1">
        <v>2804</v>
      </c>
      <c r="AA609" s="1" t="s">
        <v>24</v>
      </c>
      <c r="AB609" s="1" t="s">
        <v>24</v>
      </c>
      <c r="AC609" s="1" t="s">
        <v>24</v>
      </c>
      <c r="AD609" s="1" t="s">
        <v>24</v>
      </c>
      <c r="AE609" s="1" t="s">
        <v>24</v>
      </c>
      <c r="AF609" s="22"/>
    </row>
    <row r="610" spans="1:32" x14ac:dyDescent="0.2">
      <c r="A610" s="1">
        <v>3544</v>
      </c>
      <c r="B610" s="1" t="s">
        <v>2084</v>
      </c>
      <c r="C610" s="5" t="s">
        <v>0</v>
      </c>
      <c r="D610" s="1" t="s">
        <v>2085</v>
      </c>
      <c r="E610" s="1" t="s">
        <v>2086</v>
      </c>
      <c r="F610" s="1" t="s">
        <v>221</v>
      </c>
      <c r="G610" s="1" t="s">
        <v>61</v>
      </c>
      <c r="H610" s="1" t="s">
        <v>222</v>
      </c>
      <c r="I610" s="1" t="s">
        <v>16</v>
      </c>
      <c r="J610" s="1">
        <v>1</v>
      </c>
      <c r="K610" s="1">
        <v>12</v>
      </c>
      <c r="L610" s="1" t="s">
        <v>31</v>
      </c>
      <c r="M610" s="1" t="s">
        <v>18</v>
      </c>
      <c r="N610" s="1" t="s">
        <v>18</v>
      </c>
      <c r="O610" s="1">
        <v>3</v>
      </c>
      <c r="P610" s="1">
        <v>7</v>
      </c>
      <c r="Q610" s="7" t="s">
        <v>17633</v>
      </c>
      <c r="R610" s="1" t="s">
        <v>19</v>
      </c>
      <c r="S610" s="1" t="s">
        <v>20</v>
      </c>
      <c r="T610" s="1" t="s">
        <v>21</v>
      </c>
      <c r="U610" s="1" t="s">
        <v>22</v>
      </c>
      <c r="V610" s="1" t="s">
        <v>24</v>
      </c>
      <c r="W610" s="1" t="s">
        <v>24</v>
      </c>
      <c r="X610" s="1">
        <v>2733</v>
      </c>
      <c r="Y610" s="1">
        <v>2735</v>
      </c>
      <c r="Z610" s="1" t="s">
        <v>24</v>
      </c>
      <c r="AA610" s="1" t="s">
        <v>24</v>
      </c>
      <c r="AB610" s="1" t="s">
        <v>24</v>
      </c>
      <c r="AC610" s="1" t="s">
        <v>24</v>
      </c>
      <c r="AD610" s="1" t="s">
        <v>24</v>
      </c>
      <c r="AE610" s="1" t="s">
        <v>24</v>
      </c>
      <c r="AF610" s="22"/>
    </row>
    <row r="611" spans="1:32" x14ac:dyDescent="0.2">
      <c r="A611" s="1">
        <v>3569</v>
      </c>
      <c r="B611" s="1" t="s">
        <v>2087</v>
      </c>
      <c r="C611" s="5" t="s">
        <v>0</v>
      </c>
      <c r="D611" s="1" t="s">
        <v>2088</v>
      </c>
      <c r="F611" s="1" t="s">
        <v>60</v>
      </c>
      <c r="G611" s="1" t="s">
        <v>61</v>
      </c>
      <c r="H611" s="1" t="s">
        <v>30</v>
      </c>
      <c r="I611" s="1" t="s">
        <v>112</v>
      </c>
      <c r="J611" s="1">
        <v>0</v>
      </c>
      <c r="K611" s="1">
        <v>0</v>
      </c>
      <c r="L611" s="1" t="s">
        <v>31</v>
      </c>
      <c r="M611" s="1" t="s">
        <v>18</v>
      </c>
      <c r="N611" s="1" t="s">
        <v>18</v>
      </c>
      <c r="O611" s="1">
        <v>3</v>
      </c>
      <c r="P611" s="1">
        <v>7</v>
      </c>
      <c r="Q611" s="7" t="s">
        <v>17633</v>
      </c>
      <c r="R611" s="1" t="s">
        <v>19</v>
      </c>
      <c r="S611" s="1" t="s">
        <v>20</v>
      </c>
      <c r="T611" s="1" t="s">
        <v>21</v>
      </c>
      <c r="U611" s="1" t="s">
        <v>22</v>
      </c>
      <c r="V611" s="1" t="s">
        <v>24</v>
      </c>
      <c r="W611" s="1" t="s">
        <v>24</v>
      </c>
      <c r="X611" s="1">
        <v>2728</v>
      </c>
      <c r="Y611" s="1">
        <v>2804</v>
      </c>
      <c r="Z611" s="1" t="s">
        <v>24</v>
      </c>
      <c r="AA611" s="1" t="s">
        <v>24</v>
      </c>
      <c r="AB611" s="1" t="s">
        <v>24</v>
      </c>
      <c r="AC611" s="1" t="s">
        <v>24</v>
      </c>
      <c r="AD611" s="1" t="s">
        <v>24</v>
      </c>
      <c r="AE611" s="1" t="s">
        <v>24</v>
      </c>
      <c r="AF611" s="22"/>
    </row>
    <row r="612" spans="1:32" x14ac:dyDescent="0.2">
      <c r="A612" s="1">
        <v>3605</v>
      </c>
      <c r="B612" s="1" t="s">
        <v>2089</v>
      </c>
      <c r="C612" s="5" t="s">
        <v>0</v>
      </c>
      <c r="D612" s="1" t="s">
        <v>2090</v>
      </c>
      <c r="E612" s="1" t="s">
        <v>2091</v>
      </c>
      <c r="F612" s="1" t="s">
        <v>1897</v>
      </c>
      <c r="G612" s="1" t="s">
        <v>1898</v>
      </c>
      <c r="H612" s="1" t="s">
        <v>899</v>
      </c>
      <c r="I612" s="1" t="s">
        <v>16</v>
      </c>
      <c r="J612" s="1">
        <v>1</v>
      </c>
      <c r="K612" s="1">
        <v>2</v>
      </c>
      <c r="L612" s="1" t="s">
        <v>31</v>
      </c>
      <c r="M612" s="1" t="s">
        <v>18</v>
      </c>
      <c r="N612" s="1" t="s">
        <v>18</v>
      </c>
      <c r="O612" s="1">
        <v>2</v>
      </c>
      <c r="P612" s="1">
        <v>6</v>
      </c>
      <c r="R612" s="1" t="s">
        <v>19</v>
      </c>
      <c r="S612" s="1" t="s">
        <v>20</v>
      </c>
      <c r="T612" s="1" t="s">
        <v>21</v>
      </c>
      <c r="U612" s="1" t="s">
        <v>22</v>
      </c>
      <c r="V612" s="1" t="s">
        <v>24</v>
      </c>
      <c r="W612" s="1" t="s">
        <v>24</v>
      </c>
      <c r="X612" s="1">
        <v>2739</v>
      </c>
      <c r="Y612" s="1">
        <v>2725</v>
      </c>
      <c r="Z612" s="1">
        <v>2708</v>
      </c>
      <c r="AA612" s="1" t="s">
        <v>24</v>
      </c>
      <c r="AB612" s="1" t="s">
        <v>24</v>
      </c>
      <c r="AC612" s="1" t="s">
        <v>24</v>
      </c>
      <c r="AD612" s="1" t="s">
        <v>24</v>
      </c>
      <c r="AE612" s="1" t="s">
        <v>24</v>
      </c>
      <c r="AF612" s="22"/>
    </row>
    <row r="613" spans="1:32" x14ac:dyDescent="0.2">
      <c r="A613" s="1">
        <v>3631</v>
      </c>
      <c r="B613" s="1" t="s">
        <v>2092</v>
      </c>
      <c r="C613" s="5" t="s">
        <v>0</v>
      </c>
      <c r="D613" s="1" t="s">
        <v>2093</v>
      </c>
      <c r="E613" s="1" t="s">
        <v>2094</v>
      </c>
      <c r="F613" s="1" t="s">
        <v>217</v>
      </c>
      <c r="G613" s="1" t="s">
        <v>130</v>
      </c>
      <c r="H613" s="1" t="s">
        <v>92</v>
      </c>
      <c r="I613" s="1" t="s">
        <v>16</v>
      </c>
      <c r="J613" s="1">
        <v>1</v>
      </c>
      <c r="K613" s="1">
        <v>6</v>
      </c>
      <c r="L613" s="1" t="s">
        <v>31</v>
      </c>
      <c r="M613" s="1" t="s">
        <v>18</v>
      </c>
      <c r="N613" s="1" t="s">
        <v>18</v>
      </c>
      <c r="O613" s="1">
        <v>3</v>
      </c>
      <c r="P613" s="1">
        <v>6</v>
      </c>
      <c r="R613" s="1" t="s">
        <v>19</v>
      </c>
      <c r="S613" s="1" t="s">
        <v>20</v>
      </c>
      <c r="T613" s="1" t="s">
        <v>21</v>
      </c>
      <c r="U613" s="1" t="s">
        <v>22</v>
      </c>
      <c r="V613" s="1" t="s">
        <v>24</v>
      </c>
      <c r="W613" s="1" t="s">
        <v>24</v>
      </c>
      <c r="X613" s="1">
        <v>2727</v>
      </c>
      <c r="Y613" s="1">
        <v>2748</v>
      </c>
      <c r="Z613" s="1" t="s">
        <v>24</v>
      </c>
      <c r="AA613" s="1" t="s">
        <v>24</v>
      </c>
      <c r="AB613" s="1" t="s">
        <v>24</v>
      </c>
      <c r="AC613" s="1" t="s">
        <v>24</v>
      </c>
      <c r="AD613" s="1" t="s">
        <v>24</v>
      </c>
      <c r="AE613" s="1" t="s">
        <v>24</v>
      </c>
      <c r="AF613" s="22"/>
    </row>
    <row r="614" spans="1:32" x14ac:dyDescent="0.2">
      <c r="A614" s="1">
        <v>3636</v>
      </c>
      <c r="B614" s="1" t="s">
        <v>2095</v>
      </c>
      <c r="C614" s="5" t="s">
        <v>0</v>
      </c>
      <c r="D614" s="1" t="s">
        <v>2096</v>
      </c>
      <c r="E614" s="1" t="s">
        <v>2097</v>
      </c>
      <c r="F614" s="1" t="s">
        <v>109</v>
      </c>
      <c r="G614" s="1" t="s">
        <v>110</v>
      </c>
      <c r="H614" s="1" t="s">
        <v>111</v>
      </c>
      <c r="I614" s="1" t="s">
        <v>16</v>
      </c>
      <c r="J614" s="1">
        <v>1</v>
      </c>
      <c r="K614" s="1">
        <v>6</v>
      </c>
      <c r="L614" s="1" t="s">
        <v>31</v>
      </c>
      <c r="M614" s="1" t="s">
        <v>18</v>
      </c>
      <c r="N614" s="1" t="s">
        <v>18</v>
      </c>
      <c r="O614" s="1">
        <v>3</v>
      </c>
      <c r="P614" s="1">
        <v>7</v>
      </c>
      <c r="Q614" s="7" t="s">
        <v>17633</v>
      </c>
      <c r="R614" s="1" t="s">
        <v>19</v>
      </c>
      <c r="S614" s="1" t="s">
        <v>20</v>
      </c>
      <c r="T614" s="1" t="s">
        <v>21</v>
      </c>
      <c r="U614" s="1" t="s">
        <v>22</v>
      </c>
      <c r="V614" s="1" t="s">
        <v>24</v>
      </c>
      <c r="W614" s="1" t="s">
        <v>24</v>
      </c>
      <c r="X614" s="1">
        <v>2406</v>
      </c>
      <c r="Y614" s="1">
        <v>2725</v>
      </c>
      <c r="Z614" s="1" t="s">
        <v>24</v>
      </c>
      <c r="AA614" s="1" t="s">
        <v>24</v>
      </c>
      <c r="AB614" s="1" t="s">
        <v>24</v>
      </c>
      <c r="AC614" s="1" t="s">
        <v>24</v>
      </c>
      <c r="AD614" s="1" t="s">
        <v>24</v>
      </c>
      <c r="AE614" s="1" t="s">
        <v>24</v>
      </c>
      <c r="AF614" s="22"/>
    </row>
    <row r="615" spans="1:32" x14ac:dyDescent="0.2">
      <c r="A615" s="1">
        <v>3644</v>
      </c>
      <c r="B615" s="1" t="s">
        <v>2098</v>
      </c>
      <c r="C615" s="5" t="s">
        <v>0</v>
      </c>
      <c r="D615" s="1" t="s">
        <v>2099</v>
      </c>
      <c r="E615" s="1" t="s">
        <v>2100</v>
      </c>
      <c r="F615" s="1" t="s">
        <v>194</v>
      </c>
      <c r="G615" s="1" t="s">
        <v>61</v>
      </c>
      <c r="H615" s="1" t="s">
        <v>30</v>
      </c>
      <c r="I615" s="1" t="s">
        <v>16</v>
      </c>
      <c r="J615" s="1">
        <v>2</v>
      </c>
      <c r="K615" s="1">
        <v>6</v>
      </c>
      <c r="L615" s="1" t="s">
        <v>31</v>
      </c>
      <c r="M615" s="1" t="s">
        <v>18</v>
      </c>
      <c r="N615" s="1" t="s">
        <v>18</v>
      </c>
      <c r="O615" s="1">
        <v>3</v>
      </c>
      <c r="P615" s="1">
        <v>8</v>
      </c>
      <c r="Q615" s="7" t="s">
        <v>17633</v>
      </c>
      <c r="R615" s="1" t="s">
        <v>19</v>
      </c>
      <c r="S615" s="1" t="s">
        <v>20</v>
      </c>
      <c r="T615" s="1" t="s">
        <v>21</v>
      </c>
      <c r="U615" s="1" t="s">
        <v>22</v>
      </c>
      <c r="V615" s="1" t="s">
        <v>24</v>
      </c>
      <c r="W615" s="1" t="s">
        <v>24</v>
      </c>
      <c r="X615" s="1">
        <v>2708</v>
      </c>
      <c r="Y615" s="1" t="s">
        <v>24</v>
      </c>
      <c r="Z615" s="1" t="s">
        <v>24</v>
      </c>
      <c r="AA615" s="1" t="s">
        <v>24</v>
      </c>
      <c r="AB615" s="1" t="s">
        <v>24</v>
      </c>
      <c r="AC615" s="1" t="s">
        <v>24</v>
      </c>
      <c r="AD615" s="1" t="s">
        <v>24</v>
      </c>
      <c r="AE615" s="1" t="s">
        <v>24</v>
      </c>
      <c r="AF615" s="22"/>
    </row>
    <row r="616" spans="1:32" x14ac:dyDescent="0.2">
      <c r="A616" s="1">
        <v>3655</v>
      </c>
      <c r="B616" s="1" t="s">
        <v>2101</v>
      </c>
      <c r="C616" s="5" t="s">
        <v>0</v>
      </c>
      <c r="D616" s="1" t="s">
        <v>2102</v>
      </c>
      <c r="E616" s="1" t="s">
        <v>2103</v>
      </c>
      <c r="F616" s="1" t="s">
        <v>673</v>
      </c>
      <c r="G616" s="1" t="s">
        <v>61</v>
      </c>
      <c r="H616" s="1" t="s">
        <v>30</v>
      </c>
      <c r="I616" s="1" t="s">
        <v>16</v>
      </c>
      <c r="J616" s="1">
        <v>2</v>
      </c>
      <c r="K616" s="1">
        <v>25</v>
      </c>
      <c r="L616" s="1" t="s">
        <v>31</v>
      </c>
      <c r="M616" s="1" t="s">
        <v>18</v>
      </c>
      <c r="N616" s="1" t="s">
        <v>18</v>
      </c>
      <c r="O616" s="1">
        <v>3</v>
      </c>
      <c r="P616" s="1">
        <v>8</v>
      </c>
      <c r="Q616" s="7" t="s">
        <v>17633</v>
      </c>
      <c r="R616" s="1" t="s">
        <v>62</v>
      </c>
      <c r="S616" s="1" t="s">
        <v>20</v>
      </c>
      <c r="T616" s="1" t="s">
        <v>21</v>
      </c>
      <c r="U616" s="1" t="s">
        <v>22</v>
      </c>
      <c r="V616" s="1" t="s">
        <v>23</v>
      </c>
      <c r="W616" s="1" t="s">
        <v>24</v>
      </c>
      <c r="X616" s="1">
        <v>2705</v>
      </c>
      <c r="Y616" s="1" t="s">
        <v>24</v>
      </c>
      <c r="Z616" s="1" t="s">
        <v>24</v>
      </c>
      <c r="AA616" s="1" t="s">
        <v>24</v>
      </c>
      <c r="AB616" s="1" t="s">
        <v>24</v>
      </c>
      <c r="AC616" s="1" t="s">
        <v>24</v>
      </c>
      <c r="AD616" s="1" t="s">
        <v>24</v>
      </c>
      <c r="AE616" s="1" t="s">
        <v>24</v>
      </c>
      <c r="AF616" s="22"/>
    </row>
    <row r="617" spans="1:32" x14ac:dyDescent="0.2">
      <c r="A617" s="1">
        <v>3657</v>
      </c>
      <c r="B617" s="1" t="s">
        <v>2104</v>
      </c>
      <c r="C617" s="5" t="s">
        <v>0</v>
      </c>
      <c r="D617" s="1" t="s">
        <v>2105</v>
      </c>
      <c r="E617" s="1" t="s">
        <v>2106</v>
      </c>
      <c r="F617" s="1" t="s">
        <v>55</v>
      </c>
      <c r="G617" s="1" t="s">
        <v>56</v>
      </c>
      <c r="H617" s="1" t="s">
        <v>37</v>
      </c>
      <c r="I617" s="1" t="s">
        <v>16</v>
      </c>
      <c r="J617" s="1">
        <v>2</v>
      </c>
      <c r="K617" s="1">
        <v>6</v>
      </c>
      <c r="L617" s="1" t="s">
        <v>31</v>
      </c>
      <c r="M617" s="1" t="s">
        <v>18</v>
      </c>
      <c r="N617" s="1" t="s">
        <v>18</v>
      </c>
      <c r="O617" s="1">
        <v>3</v>
      </c>
      <c r="P617" s="1">
        <v>6</v>
      </c>
      <c r="R617" s="1" t="s">
        <v>62</v>
      </c>
      <c r="S617" s="1" t="s">
        <v>20</v>
      </c>
      <c r="T617" s="1" t="s">
        <v>21</v>
      </c>
      <c r="U617" s="1" t="s">
        <v>22</v>
      </c>
      <c r="V617" s="1" t="s">
        <v>24</v>
      </c>
      <c r="W617" s="1" t="s">
        <v>24</v>
      </c>
      <c r="X617" s="1">
        <v>3004</v>
      </c>
      <c r="Y617" s="1">
        <v>2736</v>
      </c>
      <c r="Z617" s="1">
        <v>2725</v>
      </c>
      <c r="AA617" s="1" t="s">
        <v>24</v>
      </c>
      <c r="AB617" s="1" t="s">
        <v>24</v>
      </c>
      <c r="AC617" s="1" t="s">
        <v>24</v>
      </c>
      <c r="AD617" s="1" t="s">
        <v>24</v>
      </c>
      <c r="AE617" s="1" t="s">
        <v>24</v>
      </c>
      <c r="AF617" s="22"/>
    </row>
    <row r="618" spans="1:32" x14ac:dyDescent="0.2">
      <c r="A618" s="1">
        <v>3659</v>
      </c>
      <c r="B618" s="1" t="s">
        <v>2107</v>
      </c>
      <c r="C618" s="5" t="s">
        <v>0</v>
      </c>
      <c r="D618" s="1" t="s">
        <v>2108</v>
      </c>
      <c r="E618" s="1" t="s">
        <v>2109</v>
      </c>
      <c r="F618" s="1" t="s">
        <v>194</v>
      </c>
      <c r="G618" s="1" t="s">
        <v>61</v>
      </c>
      <c r="H618" s="1" t="s">
        <v>30</v>
      </c>
      <c r="I618" s="1" t="s">
        <v>16</v>
      </c>
      <c r="J618" s="1">
        <v>2</v>
      </c>
      <c r="K618" s="1">
        <v>6</v>
      </c>
      <c r="L618" s="1" t="s">
        <v>31</v>
      </c>
      <c r="M618" s="1" t="s">
        <v>18</v>
      </c>
      <c r="N618" s="1" t="s">
        <v>18</v>
      </c>
      <c r="O618" s="1">
        <v>3</v>
      </c>
      <c r="P618" s="1">
        <v>7</v>
      </c>
      <c r="Q618" s="7" t="s">
        <v>17633</v>
      </c>
      <c r="R618" s="1" t="s">
        <v>62</v>
      </c>
      <c r="S618" s="1" t="s">
        <v>20</v>
      </c>
      <c r="T618" s="1" t="s">
        <v>21</v>
      </c>
      <c r="U618" s="1" t="s">
        <v>22</v>
      </c>
      <c r="V618" s="1" t="s">
        <v>24</v>
      </c>
      <c r="W618" s="1" t="s">
        <v>24</v>
      </c>
      <c r="X618" s="1">
        <v>2723</v>
      </c>
      <c r="Y618" s="1">
        <v>2403</v>
      </c>
      <c r="Z618" s="1" t="s">
        <v>24</v>
      </c>
      <c r="AA618" s="1" t="s">
        <v>24</v>
      </c>
      <c r="AB618" s="1" t="s">
        <v>24</v>
      </c>
      <c r="AC618" s="1" t="s">
        <v>24</v>
      </c>
      <c r="AD618" s="1" t="s">
        <v>24</v>
      </c>
      <c r="AE618" s="1" t="s">
        <v>24</v>
      </c>
      <c r="AF618" s="22"/>
    </row>
    <row r="619" spans="1:32" x14ac:dyDescent="0.2">
      <c r="A619" s="1">
        <v>3662</v>
      </c>
      <c r="B619" s="1" t="s">
        <v>2110</v>
      </c>
      <c r="C619" s="5" t="s">
        <v>0</v>
      </c>
      <c r="D619" s="1" t="s">
        <v>2111</v>
      </c>
      <c r="F619" s="1" t="s">
        <v>2112</v>
      </c>
      <c r="G619" s="1" t="s">
        <v>2112</v>
      </c>
      <c r="H619" s="1" t="s">
        <v>684</v>
      </c>
      <c r="I619" s="1" t="s">
        <v>16</v>
      </c>
      <c r="J619" s="1">
        <v>1</v>
      </c>
      <c r="K619" s="1">
        <v>4</v>
      </c>
      <c r="L619" s="1" t="s">
        <v>17</v>
      </c>
      <c r="M619" s="1" t="s">
        <v>1755</v>
      </c>
      <c r="N619" s="1" t="s">
        <v>18</v>
      </c>
      <c r="O619" s="1">
        <v>1</v>
      </c>
      <c r="P619" s="1">
        <v>3</v>
      </c>
      <c r="R619" s="1" t="s">
        <v>19</v>
      </c>
      <c r="S619" s="1" t="s">
        <v>20</v>
      </c>
      <c r="T619" s="1" t="s">
        <v>21</v>
      </c>
      <c r="U619" s="1" t="s">
        <v>22</v>
      </c>
      <c r="V619" s="1" t="s">
        <v>24</v>
      </c>
      <c r="W619" s="1" t="s">
        <v>24</v>
      </c>
      <c r="X619" s="1">
        <v>2708</v>
      </c>
      <c r="Y619" s="1" t="s">
        <v>24</v>
      </c>
      <c r="Z619" s="1" t="s">
        <v>24</v>
      </c>
      <c r="AA619" s="1" t="s">
        <v>24</v>
      </c>
      <c r="AB619" s="1" t="s">
        <v>24</v>
      </c>
      <c r="AC619" s="1" t="s">
        <v>24</v>
      </c>
      <c r="AD619" s="1" t="s">
        <v>24</v>
      </c>
      <c r="AE619" s="1" t="s">
        <v>24</v>
      </c>
      <c r="AF619" s="22"/>
    </row>
    <row r="620" spans="1:32" x14ac:dyDescent="0.2">
      <c r="A620" s="1">
        <v>3664</v>
      </c>
      <c r="B620" s="1" t="s">
        <v>2113</v>
      </c>
      <c r="C620" s="5" t="s">
        <v>0</v>
      </c>
      <c r="D620" s="1" t="s">
        <v>2114</v>
      </c>
      <c r="E620" s="1" t="s">
        <v>2115</v>
      </c>
      <c r="F620" s="1" t="s">
        <v>776</v>
      </c>
      <c r="G620" s="1" t="s">
        <v>777</v>
      </c>
      <c r="H620" s="1" t="s">
        <v>30</v>
      </c>
      <c r="I620" s="1" t="s">
        <v>16</v>
      </c>
      <c r="J620" s="1">
        <v>1</v>
      </c>
      <c r="K620" s="1">
        <v>51</v>
      </c>
      <c r="L620" s="1" t="s">
        <v>31</v>
      </c>
      <c r="M620" s="1" t="s">
        <v>18</v>
      </c>
      <c r="N620" s="1" t="s">
        <v>18</v>
      </c>
      <c r="O620" s="1">
        <v>3</v>
      </c>
      <c r="P620" s="1">
        <v>6</v>
      </c>
      <c r="R620" s="1" t="s">
        <v>881</v>
      </c>
      <c r="S620" s="1" t="s">
        <v>20</v>
      </c>
      <c r="T620" s="1" t="s">
        <v>21</v>
      </c>
      <c r="U620" s="1" t="s">
        <v>22</v>
      </c>
      <c r="V620" s="1" t="s">
        <v>24</v>
      </c>
      <c r="W620" s="1" t="s">
        <v>64</v>
      </c>
      <c r="X620" s="1">
        <v>1600</v>
      </c>
      <c r="Y620" s="1">
        <v>1503</v>
      </c>
      <c r="Z620" s="1">
        <v>1303</v>
      </c>
      <c r="AA620" s="1">
        <v>1505</v>
      </c>
      <c r="AB620" s="1" t="s">
        <v>24</v>
      </c>
      <c r="AC620" s="1" t="s">
        <v>24</v>
      </c>
      <c r="AD620" s="1" t="s">
        <v>24</v>
      </c>
      <c r="AE620" s="1" t="s">
        <v>24</v>
      </c>
      <c r="AF620" s="22"/>
    </row>
    <row r="621" spans="1:32" x14ac:dyDescent="0.2">
      <c r="A621" s="1">
        <v>3669</v>
      </c>
      <c r="B621" s="1" t="s">
        <v>2116</v>
      </c>
      <c r="C621" s="5" t="s">
        <v>0</v>
      </c>
      <c r="D621" s="1" t="s">
        <v>2117</v>
      </c>
      <c r="E621" s="1" t="s">
        <v>2118</v>
      </c>
      <c r="F621" s="1" t="s">
        <v>190</v>
      </c>
      <c r="G621" s="1" t="s">
        <v>130</v>
      </c>
      <c r="H621" s="1" t="s">
        <v>30</v>
      </c>
      <c r="I621" s="1" t="s">
        <v>16</v>
      </c>
      <c r="J621" s="1">
        <v>1</v>
      </c>
      <c r="K621" s="1">
        <v>12</v>
      </c>
      <c r="L621" s="1" t="s">
        <v>31</v>
      </c>
      <c r="M621" s="1" t="s">
        <v>18</v>
      </c>
      <c r="N621" s="1" t="s">
        <v>18</v>
      </c>
      <c r="O621" s="1">
        <v>3</v>
      </c>
      <c r="P621" s="1">
        <v>7</v>
      </c>
      <c r="Q621" s="7" t="s">
        <v>17633</v>
      </c>
      <c r="R621" s="1" t="s">
        <v>19</v>
      </c>
      <c r="S621" s="1" t="s">
        <v>20</v>
      </c>
      <c r="T621" s="1" t="s">
        <v>21</v>
      </c>
      <c r="U621" s="1" t="s">
        <v>22</v>
      </c>
      <c r="V621" s="1" t="s">
        <v>23</v>
      </c>
      <c r="W621" s="1" t="s">
        <v>24</v>
      </c>
      <c r="X621" s="1">
        <v>3204</v>
      </c>
      <c r="Y621" s="1" t="s">
        <v>24</v>
      </c>
      <c r="Z621" s="1" t="s">
        <v>24</v>
      </c>
      <c r="AA621" s="1" t="s">
        <v>24</v>
      </c>
      <c r="AB621" s="1" t="s">
        <v>24</v>
      </c>
      <c r="AC621" s="1" t="s">
        <v>24</v>
      </c>
      <c r="AD621" s="1" t="s">
        <v>24</v>
      </c>
      <c r="AE621" s="1" t="s">
        <v>24</v>
      </c>
      <c r="AF621" s="22"/>
    </row>
    <row r="622" spans="1:32" x14ac:dyDescent="0.2">
      <c r="A622" s="1">
        <v>3670</v>
      </c>
      <c r="B622" s="1" t="s">
        <v>2119</v>
      </c>
      <c r="C622" s="5" t="s">
        <v>0</v>
      </c>
      <c r="D622" s="1" t="s">
        <v>2120</v>
      </c>
      <c r="E622" s="1" t="s">
        <v>2121</v>
      </c>
      <c r="F622" s="1" t="s">
        <v>91</v>
      </c>
      <c r="G622" s="1" t="s">
        <v>61</v>
      </c>
      <c r="H622" s="1" t="s">
        <v>92</v>
      </c>
      <c r="I622" s="1" t="s">
        <v>16</v>
      </c>
      <c r="J622" s="1">
        <v>6</v>
      </c>
      <c r="K622" s="1">
        <v>3</v>
      </c>
      <c r="L622" s="1" t="s">
        <v>31</v>
      </c>
      <c r="M622" s="1" t="s">
        <v>18</v>
      </c>
      <c r="N622" s="1" t="s">
        <v>18</v>
      </c>
      <c r="O622" s="1">
        <v>2</v>
      </c>
      <c r="P622" s="1">
        <v>7</v>
      </c>
      <c r="Q622" s="7" t="s">
        <v>17633</v>
      </c>
      <c r="R622" s="1" t="s">
        <v>62</v>
      </c>
      <c r="S622" s="1" t="s">
        <v>63</v>
      </c>
      <c r="T622" s="1" t="s">
        <v>21</v>
      </c>
      <c r="U622" s="1" t="s">
        <v>22</v>
      </c>
      <c r="V622" s="1" t="s">
        <v>23</v>
      </c>
      <c r="W622" s="1" t="s">
        <v>24</v>
      </c>
      <c r="X622" s="1">
        <v>2738</v>
      </c>
      <c r="Y622" s="1">
        <v>3203</v>
      </c>
      <c r="Z622" s="1" t="s">
        <v>24</v>
      </c>
      <c r="AA622" s="1" t="s">
        <v>24</v>
      </c>
      <c r="AB622" s="1" t="s">
        <v>24</v>
      </c>
      <c r="AC622" s="1" t="s">
        <v>24</v>
      </c>
      <c r="AD622" s="1" t="s">
        <v>24</v>
      </c>
      <c r="AE622" s="1" t="s">
        <v>24</v>
      </c>
      <c r="AF622" s="22"/>
    </row>
    <row r="623" spans="1:32" x14ac:dyDescent="0.2">
      <c r="A623" s="1">
        <v>3676</v>
      </c>
      <c r="B623" s="1" t="s">
        <v>2122</v>
      </c>
      <c r="C623" s="5" t="s">
        <v>0</v>
      </c>
      <c r="D623" s="1" t="s">
        <v>2123</v>
      </c>
      <c r="E623" s="1" t="s">
        <v>2124</v>
      </c>
      <c r="F623" s="1" t="s">
        <v>548</v>
      </c>
      <c r="G623" s="1" t="s">
        <v>36</v>
      </c>
      <c r="H623" s="1" t="s">
        <v>30</v>
      </c>
      <c r="I623" s="1" t="s">
        <v>16</v>
      </c>
      <c r="J623" s="1">
        <v>1</v>
      </c>
      <c r="K623" s="1">
        <v>12</v>
      </c>
      <c r="L623" s="1" t="s">
        <v>31</v>
      </c>
      <c r="M623" s="1" t="s">
        <v>18</v>
      </c>
      <c r="N623" s="1" t="s">
        <v>18</v>
      </c>
      <c r="O623" s="1">
        <v>3</v>
      </c>
      <c r="P623" s="1">
        <v>6</v>
      </c>
      <c r="R623" s="1" t="s">
        <v>62</v>
      </c>
      <c r="S623" s="1" t="s">
        <v>20</v>
      </c>
      <c r="T623" s="1" t="s">
        <v>21</v>
      </c>
      <c r="U623" s="1" t="s">
        <v>22</v>
      </c>
      <c r="V623" s="1" t="s">
        <v>23</v>
      </c>
      <c r="W623" s="1" t="s">
        <v>24</v>
      </c>
      <c r="X623" s="1">
        <v>2717</v>
      </c>
      <c r="Y623" s="1" t="s">
        <v>24</v>
      </c>
      <c r="Z623" s="1" t="s">
        <v>24</v>
      </c>
      <c r="AA623" s="1" t="s">
        <v>24</v>
      </c>
      <c r="AB623" s="1" t="s">
        <v>24</v>
      </c>
      <c r="AC623" s="1" t="s">
        <v>24</v>
      </c>
      <c r="AD623" s="1" t="s">
        <v>24</v>
      </c>
      <c r="AE623" s="1" t="s">
        <v>24</v>
      </c>
      <c r="AF623" s="22"/>
    </row>
    <row r="624" spans="1:32" x14ac:dyDescent="0.2">
      <c r="A624" s="1">
        <v>3682</v>
      </c>
      <c r="B624" s="1" t="s">
        <v>2125</v>
      </c>
      <c r="C624" s="5" t="s">
        <v>0</v>
      </c>
      <c r="D624" s="1" t="s">
        <v>2126</v>
      </c>
      <c r="E624" s="1" t="s">
        <v>2127</v>
      </c>
      <c r="F624" s="1" t="s">
        <v>2128</v>
      </c>
      <c r="G624" s="1" t="s">
        <v>2128</v>
      </c>
      <c r="H624" s="1" t="s">
        <v>30</v>
      </c>
      <c r="I624" s="1" t="s">
        <v>16</v>
      </c>
      <c r="J624" s="1">
        <v>2</v>
      </c>
      <c r="K624" s="1">
        <v>24</v>
      </c>
      <c r="L624" s="1" t="s">
        <v>42</v>
      </c>
      <c r="M624" s="1" t="s">
        <v>18</v>
      </c>
      <c r="N624" s="1" t="s">
        <v>18</v>
      </c>
      <c r="O624" s="1">
        <v>3</v>
      </c>
      <c r="P624" s="1">
        <v>7</v>
      </c>
      <c r="Q624" s="7" t="s">
        <v>17633</v>
      </c>
      <c r="R624" s="1" t="s">
        <v>62</v>
      </c>
      <c r="S624" s="1" t="s">
        <v>20</v>
      </c>
      <c r="T624" s="1" t="s">
        <v>21</v>
      </c>
      <c r="U624" s="1" t="s">
        <v>22</v>
      </c>
      <c r="V624" s="1" t="s">
        <v>23</v>
      </c>
      <c r="W624" s="1" t="s">
        <v>24</v>
      </c>
      <c r="X624" s="1">
        <v>2700</v>
      </c>
      <c r="Y624" s="1" t="s">
        <v>24</v>
      </c>
      <c r="Z624" s="1" t="s">
        <v>24</v>
      </c>
      <c r="AA624" s="1" t="s">
        <v>24</v>
      </c>
      <c r="AB624" s="1" t="s">
        <v>24</v>
      </c>
      <c r="AC624" s="1" t="s">
        <v>24</v>
      </c>
      <c r="AD624" s="1" t="s">
        <v>24</v>
      </c>
      <c r="AE624" s="1" t="s">
        <v>24</v>
      </c>
      <c r="AF624" s="22"/>
    </row>
    <row r="625" spans="1:32" x14ac:dyDescent="0.2">
      <c r="A625" s="1">
        <v>3691</v>
      </c>
      <c r="B625" s="1" t="s">
        <v>2129</v>
      </c>
      <c r="C625" s="5" t="s">
        <v>0</v>
      </c>
      <c r="D625" s="1" t="s">
        <v>2130</v>
      </c>
      <c r="E625" s="1" t="s">
        <v>2131</v>
      </c>
      <c r="F625" s="1" t="s">
        <v>315</v>
      </c>
      <c r="G625" s="1" t="s">
        <v>316</v>
      </c>
      <c r="H625" s="1" t="s">
        <v>461</v>
      </c>
      <c r="I625" s="1" t="s">
        <v>16</v>
      </c>
      <c r="J625" s="1">
        <v>1</v>
      </c>
      <c r="K625" s="1">
        <v>12</v>
      </c>
      <c r="L625" s="1" t="s">
        <v>31</v>
      </c>
      <c r="M625" s="1" t="s">
        <v>18</v>
      </c>
      <c r="N625" s="1" t="s">
        <v>18</v>
      </c>
      <c r="O625" s="1">
        <v>2</v>
      </c>
      <c r="P625" s="1">
        <v>7</v>
      </c>
      <c r="Q625" s="7" t="s">
        <v>17633</v>
      </c>
      <c r="R625" s="1" t="s">
        <v>19</v>
      </c>
      <c r="S625" s="1" t="s">
        <v>20</v>
      </c>
      <c r="T625" s="1" t="s">
        <v>21</v>
      </c>
      <c r="U625" s="1" t="s">
        <v>22</v>
      </c>
      <c r="V625" s="1" t="s">
        <v>24</v>
      </c>
      <c r="W625" s="1" t="s">
        <v>64</v>
      </c>
      <c r="X625" s="1">
        <v>3004</v>
      </c>
      <c r="Y625" s="1">
        <v>3002</v>
      </c>
      <c r="Z625" s="1" t="s">
        <v>24</v>
      </c>
      <c r="AA625" s="1" t="s">
        <v>24</v>
      </c>
      <c r="AB625" s="1" t="s">
        <v>24</v>
      </c>
      <c r="AC625" s="1" t="s">
        <v>24</v>
      </c>
      <c r="AD625" s="1" t="s">
        <v>24</v>
      </c>
      <c r="AE625" s="1" t="s">
        <v>24</v>
      </c>
      <c r="AF625" s="22" t="s">
        <v>17670</v>
      </c>
    </row>
    <row r="626" spans="1:32" x14ac:dyDescent="0.2">
      <c r="A626" s="1">
        <v>3697</v>
      </c>
      <c r="B626" s="1" t="s">
        <v>2132</v>
      </c>
      <c r="C626" s="5" t="s">
        <v>0</v>
      </c>
      <c r="D626" s="1" t="s">
        <v>2133</v>
      </c>
      <c r="E626" s="1" t="s">
        <v>2134</v>
      </c>
      <c r="F626" s="1" t="s">
        <v>356</v>
      </c>
      <c r="G626" s="1" t="s">
        <v>357</v>
      </c>
      <c r="H626" s="1" t="s">
        <v>30</v>
      </c>
      <c r="I626" s="1" t="s">
        <v>16</v>
      </c>
      <c r="J626" s="1">
        <v>1</v>
      </c>
      <c r="K626" s="1">
        <v>4</v>
      </c>
      <c r="L626" s="1" t="s">
        <v>31</v>
      </c>
      <c r="M626" s="1" t="s">
        <v>18</v>
      </c>
      <c r="N626" s="1" t="s">
        <v>18</v>
      </c>
      <c r="O626" s="1">
        <v>3</v>
      </c>
      <c r="P626" s="1">
        <v>6</v>
      </c>
      <c r="R626" s="1" t="s">
        <v>62</v>
      </c>
      <c r="S626" s="1" t="s">
        <v>20</v>
      </c>
      <c r="T626" s="1" t="s">
        <v>21</v>
      </c>
      <c r="U626" s="1" t="s">
        <v>22</v>
      </c>
      <c r="V626" s="1" t="s">
        <v>24</v>
      </c>
      <c r="W626" s="1" t="s">
        <v>24</v>
      </c>
      <c r="X626" s="1">
        <v>3203</v>
      </c>
      <c r="Y626" s="1">
        <v>3204</v>
      </c>
      <c r="Z626" s="1">
        <v>1201</v>
      </c>
      <c r="AA626" s="1" t="s">
        <v>24</v>
      </c>
      <c r="AB626" s="1" t="s">
        <v>24</v>
      </c>
      <c r="AC626" s="1" t="s">
        <v>24</v>
      </c>
      <c r="AD626" s="1" t="s">
        <v>24</v>
      </c>
      <c r="AE626" s="1" t="s">
        <v>24</v>
      </c>
      <c r="AF626" s="22"/>
    </row>
    <row r="627" spans="1:32" x14ac:dyDescent="0.2">
      <c r="A627" s="1">
        <v>3717</v>
      </c>
      <c r="B627" s="1" t="s">
        <v>2135</v>
      </c>
      <c r="C627" s="5" t="s">
        <v>0</v>
      </c>
      <c r="D627" s="1" t="s">
        <v>2136</v>
      </c>
      <c r="E627" s="1" t="s">
        <v>2137</v>
      </c>
      <c r="F627" s="1" t="s">
        <v>217</v>
      </c>
      <c r="G627" s="1" t="s">
        <v>130</v>
      </c>
      <c r="H627" s="1" t="s">
        <v>92</v>
      </c>
      <c r="I627" s="1" t="s">
        <v>16</v>
      </c>
      <c r="J627" s="1">
        <v>3</v>
      </c>
      <c r="K627" s="1">
        <v>3</v>
      </c>
      <c r="L627" s="1" t="s">
        <v>31</v>
      </c>
      <c r="M627" s="1" t="s">
        <v>18</v>
      </c>
      <c r="N627" s="1" t="s">
        <v>18</v>
      </c>
      <c r="O627" s="1">
        <v>3</v>
      </c>
      <c r="P627" s="1">
        <v>6</v>
      </c>
      <c r="R627" s="1" t="s">
        <v>19</v>
      </c>
      <c r="S627" s="1" t="s">
        <v>20</v>
      </c>
      <c r="T627" s="1" t="s">
        <v>21</v>
      </c>
      <c r="U627" s="1" t="s">
        <v>22</v>
      </c>
      <c r="V627" s="1" t="s">
        <v>24</v>
      </c>
      <c r="W627" s="1" t="s">
        <v>24</v>
      </c>
      <c r="X627" s="1">
        <v>1902</v>
      </c>
      <c r="Y627" s="1">
        <v>2304</v>
      </c>
      <c r="Z627" s="1" t="s">
        <v>24</v>
      </c>
      <c r="AA627" s="1" t="s">
        <v>24</v>
      </c>
      <c r="AB627" s="1" t="s">
        <v>24</v>
      </c>
      <c r="AC627" s="1" t="s">
        <v>24</v>
      </c>
      <c r="AD627" s="1" t="s">
        <v>24</v>
      </c>
      <c r="AE627" s="1" t="s">
        <v>24</v>
      </c>
      <c r="AF627" s="22"/>
    </row>
    <row r="628" spans="1:32" x14ac:dyDescent="0.2">
      <c r="A628" s="1">
        <v>3718</v>
      </c>
      <c r="B628" s="1" t="s">
        <v>2138</v>
      </c>
      <c r="C628" s="5" t="s">
        <v>0</v>
      </c>
      <c r="D628" s="1" t="s">
        <v>2139</v>
      </c>
      <c r="E628" s="1" t="s">
        <v>2140</v>
      </c>
      <c r="F628" s="1" t="s">
        <v>2141</v>
      </c>
      <c r="G628" s="1" t="s">
        <v>56</v>
      </c>
      <c r="H628" s="1" t="s">
        <v>30</v>
      </c>
      <c r="I628" s="1" t="s">
        <v>16</v>
      </c>
      <c r="J628" s="1">
        <v>1</v>
      </c>
      <c r="K628" s="1">
        <v>8</v>
      </c>
      <c r="L628" s="1" t="s">
        <v>31</v>
      </c>
      <c r="M628" s="1" t="s">
        <v>18</v>
      </c>
      <c r="N628" s="1" t="s">
        <v>18</v>
      </c>
      <c r="O628" s="1">
        <v>3</v>
      </c>
      <c r="P628" s="1">
        <v>6</v>
      </c>
      <c r="R628" s="1" t="s">
        <v>19</v>
      </c>
      <c r="S628" s="1" t="s">
        <v>20</v>
      </c>
      <c r="T628" s="1" t="s">
        <v>21</v>
      </c>
      <c r="U628" s="1" t="s">
        <v>22</v>
      </c>
      <c r="V628" s="1" t="s">
        <v>24</v>
      </c>
      <c r="W628" s="1" t="s">
        <v>24</v>
      </c>
      <c r="X628" s="1">
        <v>1602</v>
      </c>
      <c r="Y628" s="1">
        <v>3005</v>
      </c>
      <c r="Z628" s="1">
        <v>2307</v>
      </c>
      <c r="AA628" s="1">
        <v>1504</v>
      </c>
      <c r="AB628" s="1">
        <v>2304</v>
      </c>
      <c r="AC628" s="1" t="s">
        <v>24</v>
      </c>
      <c r="AD628" s="1" t="s">
        <v>24</v>
      </c>
      <c r="AE628" s="1" t="s">
        <v>24</v>
      </c>
      <c r="AF628" s="22"/>
    </row>
    <row r="629" spans="1:32" x14ac:dyDescent="0.2">
      <c r="A629" s="1">
        <v>3725</v>
      </c>
      <c r="B629" s="1" t="s">
        <v>2142</v>
      </c>
      <c r="C629" s="5" t="s">
        <v>0</v>
      </c>
      <c r="D629" s="1" t="s">
        <v>2143</v>
      </c>
      <c r="E629" s="1" t="s">
        <v>2144</v>
      </c>
      <c r="F629" s="1" t="s">
        <v>2145</v>
      </c>
      <c r="G629" s="1" t="s">
        <v>2146</v>
      </c>
      <c r="H629" s="1" t="s">
        <v>2147</v>
      </c>
      <c r="I629" s="1" t="s">
        <v>16</v>
      </c>
      <c r="J629" s="1">
        <v>1</v>
      </c>
      <c r="K629" s="1">
        <v>1</v>
      </c>
      <c r="L629" s="1" t="s">
        <v>42</v>
      </c>
      <c r="M629" s="1" t="s">
        <v>18</v>
      </c>
      <c r="N629" s="1" t="s">
        <v>18</v>
      </c>
      <c r="O629" s="1">
        <v>3</v>
      </c>
      <c r="P629" s="1">
        <v>6</v>
      </c>
      <c r="R629" s="1" t="s">
        <v>19</v>
      </c>
      <c r="S629" s="1" t="s">
        <v>20</v>
      </c>
      <c r="T629" s="1" t="s">
        <v>21</v>
      </c>
      <c r="U629" s="1" t="s">
        <v>22</v>
      </c>
      <c r="V629" s="1" t="s">
        <v>24</v>
      </c>
      <c r="W629" s="1" t="s">
        <v>24</v>
      </c>
      <c r="X629" s="1">
        <v>3400</v>
      </c>
      <c r="Y629" s="1" t="s">
        <v>24</v>
      </c>
      <c r="Z629" s="1" t="s">
        <v>24</v>
      </c>
      <c r="AA629" s="1" t="s">
        <v>24</v>
      </c>
      <c r="AB629" s="1" t="s">
        <v>24</v>
      </c>
      <c r="AC629" s="1" t="s">
        <v>24</v>
      </c>
      <c r="AD629" s="1" t="s">
        <v>24</v>
      </c>
      <c r="AE629" s="1" t="s">
        <v>24</v>
      </c>
      <c r="AF629" s="22"/>
    </row>
    <row r="630" spans="1:32" x14ac:dyDescent="0.2">
      <c r="A630" s="1">
        <v>3729</v>
      </c>
      <c r="B630" s="1" t="s">
        <v>2148</v>
      </c>
      <c r="C630" s="5" t="s">
        <v>0</v>
      </c>
      <c r="D630" s="1" t="s">
        <v>2149</v>
      </c>
      <c r="E630" s="1" t="s">
        <v>2150</v>
      </c>
      <c r="F630" s="1" t="s">
        <v>190</v>
      </c>
      <c r="G630" s="1" t="s">
        <v>130</v>
      </c>
      <c r="H630" s="1" t="s">
        <v>30</v>
      </c>
      <c r="I630" s="1" t="s">
        <v>16</v>
      </c>
      <c r="J630" s="1">
        <v>1</v>
      </c>
      <c r="K630" s="1">
        <v>6</v>
      </c>
      <c r="L630" s="1" t="s">
        <v>31</v>
      </c>
      <c r="M630" s="1" t="s">
        <v>18</v>
      </c>
      <c r="N630" s="1" t="s">
        <v>18</v>
      </c>
      <c r="O630" s="1">
        <v>3</v>
      </c>
      <c r="P630" s="1">
        <v>6</v>
      </c>
      <c r="R630" s="1" t="s">
        <v>19</v>
      </c>
      <c r="S630" s="1" t="s">
        <v>20</v>
      </c>
      <c r="T630" s="1" t="s">
        <v>21</v>
      </c>
      <c r="U630" s="1" t="s">
        <v>22</v>
      </c>
      <c r="V630" s="1" t="s">
        <v>24</v>
      </c>
      <c r="W630" s="1" t="s">
        <v>24</v>
      </c>
      <c r="X630" s="1">
        <v>1314</v>
      </c>
      <c r="Y630" s="1">
        <v>1307</v>
      </c>
      <c r="Z630" s="1" t="s">
        <v>24</v>
      </c>
      <c r="AA630" s="1" t="s">
        <v>24</v>
      </c>
      <c r="AB630" s="1" t="s">
        <v>24</v>
      </c>
      <c r="AC630" s="1" t="s">
        <v>24</v>
      </c>
      <c r="AD630" s="1" t="s">
        <v>24</v>
      </c>
      <c r="AE630" s="1" t="s">
        <v>24</v>
      </c>
      <c r="AF630" s="22"/>
    </row>
    <row r="631" spans="1:32" x14ac:dyDescent="0.2">
      <c r="A631" s="1">
        <v>3733</v>
      </c>
      <c r="B631" s="1" t="s">
        <v>2151</v>
      </c>
      <c r="C631" s="5" t="s">
        <v>0</v>
      </c>
      <c r="D631" s="1" t="s">
        <v>2152</v>
      </c>
      <c r="E631" s="1" t="s">
        <v>2153</v>
      </c>
      <c r="F631" s="1" t="s">
        <v>2154</v>
      </c>
      <c r="G631" s="1" t="s">
        <v>2155</v>
      </c>
      <c r="H631" s="1" t="s">
        <v>30</v>
      </c>
      <c r="I631" s="1" t="s">
        <v>16</v>
      </c>
      <c r="J631" s="1">
        <v>1</v>
      </c>
      <c r="K631" s="1">
        <v>52</v>
      </c>
      <c r="L631" s="1" t="s">
        <v>42</v>
      </c>
      <c r="M631" s="1" t="s">
        <v>18</v>
      </c>
      <c r="N631" s="1" t="s">
        <v>18</v>
      </c>
      <c r="O631" s="1">
        <v>3</v>
      </c>
      <c r="P631" s="1">
        <v>8</v>
      </c>
      <c r="Q631" s="7" t="s">
        <v>17633</v>
      </c>
      <c r="R631" s="1" t="s">
        <v>62</v>
      </c>
      <c r="S631" s="1" t="s">
        <v>20</v>
      </c>
      <c r="T631" s="1" t="s">
        <v>21</v>
      </c>
      <c r="U631" s="1" t="s">
        <v>22</v>
      </c>
      <c r="V631" s="1" t="s">
        <v>24</v>
      </c>
      <c r="W631" s="1" t="s">
        <v>64</v>
      </c>
      <c r="X631" s="1">
        <v>1303</v>
      </c>
      <c r="Y631" s="1">
        <v>1307</v>
      </c>
      <c r="Z631" s="1">
        <v>1312</v>
      </c>
      <c r="AA631" s="1" t="s">
        <v>24</v>
      </c>
      <c r="AB631" s="1" t="s">
        <v>24</v>
      </c>
      <c r="AC631" s="1" t="s">
        <v>24</v>
      </c>
      <c r="AD631" s="1" t="s">
        <v>24</v>
      </c>
      <c r="AE631" s="1" t="s">
        <v>24</v>
      </c>
      <c r="AF631" s="22"/>
    </row>
    <row r="632" spans="1:32" x14ac:dyDescent="0.2">
      <c r="A632" s="1">
        <v>3737</v>
      </c>
      <c r="B632" s="1" t="s">
        <v>2156</v>
      </c>
      <c r="C632" s="5" t="s">
        <v>0</v>
      </c>
      <c r="D632" s="1" t="s">
        <v>2157</v>
      </c>
      <c r="E632" s="1" t="s">
        <v>2158</v>
      </c>
      <c r="F632" s="1" t="s">
        <v>2159</v>
      </c>
      <c r="G632" s="1" t="s">
        <v>2160</v>
      </c>
      <c r="H632" s="1" t="s">
        <v>30</v>
      </c>
      <c r="I632" s="1" t="s">
        <v>16</v>
      </c>
      <c r="J632" s="1">
        <v>1</v>
      </c>
      <c r="K632" s="1">
        <v>9</v>
      </c>
      <c r="L632" s="1" t="s">
        <v>31</v>
      </c>
      <c r="M632" s="1" t="s">
        <v>18</v>
      </c>
      <c r="N632" s="1" t="s">
        <v>18</v>
      </c>
      <c r="O632" s="1">
        <v>3</v>
      </c>
      <c r="P632" s="1">
        <v>6</v>
      </c>
      <c r="R632" s="1" t="s">
        <v>19</v>
      </c>
      <c r="S632" s="1" t="s">
        <v>63</v>
      </c>
      <c r="T632" s="1" t="s">
        <v>21</v>
      </c>
      <c r="U632" s="1" t="s">
        <v>22</v>
      </c>
      <c r="V632" s="1" t="s">
        <v>23</v>
      </c>
      <c r="W632" s="1" t="s">
        <v>24</v>
      </c>
      <c r="X632" s="1">
        <v>2204</v>
      </c>
      <c r="Y632" s="1">
        <v>2737</v>
      </c>
      <c r="Z632" s="1" t="s">
        <v>24</v>
      </c>
      <c r="AA632" s="1" t="s">
        <v>24</v>
      </c>
      <c r="AB632" s="1" t="s">
        <v>24</v>
      </c>
      <c r="AC632" s="1" t="s">
        <v>24</v>
      </c>
      <c r="AD632" s="1" t="s">
        <v>24</v>
      </c>
      <c r="AE632" s="1" t="s">
        <v>24</v>
      </c>
      <c r="AF632" s="22"/>
    </row>
    <row r="633" spans="1:32" x14ac:dyDescent="0.2">
      <c r="A633" s="1">
        <v>3741</v>
      </c>
      <c r="B633" s="1" t="s">
        <v>2161</v>
      </c>
      <c r="C633" s="5" t="s">
        <v>0</v>
      </c>
      <c r="D633" s="1" t="s">
        <v>2162</v>
      </c>
      <c r="E633" s="1" t="s">
        <v>2163</v>
      </c>
      <c r="F633" s="1" t="s">
        <v>91</v>
      </c>
      <c r="G633" s="1" t="s">
        <v>61</v>
      </c>
      <c r="H633" s="1" t="s">
        <v>92</v>
      </c>
      <c r="I633" s="1" t="s">
        <v>16</v>
      </c>
      <c r="J633" s="1">
        <v>6</v>
      </c>
      <c r="K633" s="1">
        <v>4</v>
      </c>
      <c r="L633" s="1" t="s">
        <v>31</v>
      </c>
      <c r="M633" s="1" t="s">
        <v>18</v>
      </c>
      <c r="N633" s="1" t="s">
        <v>18</v>
      </c>
      <c r="O633" s="1">
        <v>3</v>
      </c>
      <c r="P633" s="1">
        <v>7</v>
      </c>
      <c r="Q633" s="7" t="s">
        <v>17633</v>
      </c>
      <c r="R633" s="1" t="s">
        <v>19</v>
      </c>
      <c r="S633" s="1" t="s">
        <v>63</v>
      </c>
      <c r="T633" s="1" t="s">
        <v>21</v>
      </c>
      <c r="U633" s="1" t="s">
        <v>22</v>
      </c>
      <c r="V633" s="1" t="s">
        <v>24</v>
      </c>
      <c r="W633" s="1" t="s">
        <v>24</v>
      </c>
      <c r="X633" s="1">
        <v>1305</v>
      </c>
      <c r="Y633" s="1">
        <v>2402</v>
      </c>
      <c r="Z633" s="1" t="s">
        <v>24</v>
      </c>
      <c r="AA633" s="1" t="s">
        <v>24</v>
      </c>
      <c r="AB633" s="1" t="s">
        <v>24</v>
      </c>
      <c r="AC633" s="1" t="s">
        <v>24</v>
      </c>
      <c r="AD633" s="1" t="s">
        <v>24</v>
      </c>
      <c r="AE633" s="1" t="s">
        <v>24</v>
      </c>
      <c r="AF633" s="22"/>
    </row>
    <row r="634" spans="1:32" x14ac:dyDescent="0.2">
      <c r="A634" s="1">
        <v>3742</v>
      </c>
      <c r="B634" s="1" t="s">
        <v>2164</v>
      </c>
      <c r="C634" s="5" t="s">
        <v>0</v>
      </c>
      <c r="D634" s="1" t="s">
        <v>2165</v>
      </c>
      <c r="E634" s="1" t="s">
        <v>2166</v>
      </c>
      <c r="F634" s="1" t="s">
        <v>2167</v>
      </c>
      <c r="G634" s="1" t="s">
        <v>2168</v>
      </c>
      <c r="H634" s="1" t="s">
        <v>30</v>
      </c>
      <c r="I634" s="1" t="s">
        <v>16</v>
      </c>
      <c r="J634" s="1">
        <v>1</v>
      </c>
      <c r="K634" s="1">
        <v>24</v>
      </c>
      <c r="L634" s="1" t="s">
        <v>42</v>
      </c>
      <c r="M634" s="1" t="s">
        <v>18</v>
      </c>
      <c r="N634" s="1" t="s">
        <v>18</v>
      </c>
      <c r="O634" s="1">
        <v>3</v>
      </c>
      <c r="P634" s="1">
        <v>8</v>
      </c>
      <c r="Q634" s="7" t="s">
        <v>17633</v>
      </c>
      <c r="R634" s="1" t="s">
        <v>19</v>
      </c>
      <c r="S634" s="1" t="s">
        <v>20</v>
      </c>
      <c r="T634" s="1" t="s">
        <v>21</v>
      </c>
      <c r="U634" s="1" t="s">
        <v>22</v>
      </c>
      <c r="V634" s="1" t="s">
        <v>23</v>
      </c>
      <c r="W634" s="1" t="s">
        <v>24</v>
      </c>
      <c r="X634" s="1">
        <v>2746</v>
      </c>
      <c r="Y634" s="1">
        <v>2732</v>
      </c>
      <c r="Z634" s="1" t="s">
        <v>24</v>
      </c>
      <c r="AA634" s="1" t="s">
        <v>24</v>
      </c>
      <c r="AB634" s="1" t="s">
        <v>24</v>
      </c>
      <c r="AC634" s="1" t="s">
        <v>24</v>
      </c>
      <c r="AD634" s="1" t="s">
        <v>24</v>
      </c>
      <c r="AE634" s="1" t="s">
        <v>24</v>
      </c>
      <c r="AF634" s="22" t="s">
        <v>50547</v>
      </c>
    </row>
    <row r="635" spans="1:32" x14ac:dyDescent="0.2">
      <c r="A635" s="1">
        <v>3743</v>
      </c>
      <c r="B635" s="1" t="s">
        <v>2169</v>
      </c>
      <c r="C635" s="5" t="s">
        <v>0</v>
      </c>
      <c r="D635" s="1" t="s">
        <v>2170</v>
      </c>
      <c r="E635" s="1" t="s">
        <v>2171</v>
      </c>
      <c r="F635" s="1" t="s">
        <v>155</v>
      </c>
      <c r="G635" s="1" t="s">
        <v>61</v>
      </c>
      <c r="H635" s="1" t="s">
        <v>37</v>
      </c>
      <c r="I635" s="1" t="s">
        <v>16</v>
      </c>
      <c r="J635" s="1">
        <v>1</v>
      </c>
      <c r="K635" s="1">
        <v>12</v>
      </c>
      <c r="L635" s="1" t="s">
        <v>31</v>
      </c>
      <c r="M635" s="1" t="s">
        <v>18</v>
      </c>
      <c r="N635" s="1" t="s">
        <v>18</v>
      </c>
      <c r="O635" s="1">
        <v>3</v>
      </c>
      <c r="P635" s="1">
        <v>7</v>
      </c>
      <c r="Q635" s="7" t="s">
        <v>17633</v>
      </c>
      <c r="R635" s="1" t="s">
        <v>19</v>
      </c>
      <c r="S635" s="1" t="s">
        <v>20</v>
      </c>
      <c r="T635" s="1" t="s">
        <v>21</v>
      </c>
      <c r="U635" s="1" t="s">
        <v>22</v>
      </c>
      <c r="V635" s="1" t="s">
        <v>23</v>
      </c>
      <c r="W635" s="1" t="s">
        <v>24</v>
      </c>
      <c r="X635" s="1">
        <v>2732</v>
      </c>
      <c r="Y635" s="1">
        <v>2742</v>
      </c>
      <c r="Z635" s="1">
        <v>1304</v>
      </c>
      <c r="AA635" s="1">
        <v>2204</v>
      </c>
      <c r="AB635" s="1" t="s">
        <v>24</v>
      </c>
      <c r="AC635" s="1" t="s">
        <v>24</v>
      </c>
      <c r="AD635" s="1" t="s">
        <v>24</v>
      </c>
      <c r="AE635" s="1" t="s">
        <v>24</v>
      </c>
      <c r="AF635" s="22"/>
    </row>
    <row r="636" spans="1:32" x14ac:dyDescent="0.2">
      <c r="A636" s="1">
        <v>3754</v>
      </c>
      <c r="B636" s="1" t="s">
        <v>2172</v>
      </c>
      <c r="C636" s="5" t="s">
        <v>0</v>
      </c>
      <c r="D636" s="1" t="s">
        <v>2173</v>
      </c>
      <c r="E636" s="1" t="s">
        <v>2174</v>
      </c>
      <c r="F636" s="1" t="s">
        <v>217</v>
      </c>
      <c r="G636" s="1" t="s">
        <v>130</v>
      </c>
      <c r="H636" s="1" t="s">
        <v>92</v>
      </c>
      <c r="I636" s="1" t="s">
        <v>16</v>
      </c>
      <c r="J636" s="1">
        <v>1</v>
      </c>
      <c r="K636" s="1">
        <v>4</v>
      </c>
      <c r="L636" s="1" t="s">
        <v>31</v>
      </c>
      <c r="M636" s="1" t="s">
        <v>18</v>
      </c>
      <c r="N636" s="1" t="s">
        <v>18</v>
      </c>
      <c r="O636" s="1">
        <v>3</v>
      </c>
      <c r="P636" s="1">
        <v>7</v>
      </c>
      <c r="Q636" s="7" t="s">
        <v>17633</v>
      </c>
      <c r="R636" s="1" t="s">
        <v>19</v>
      </c>
      <c r="S636" s="1" t="s">
        <v>20</v>
      </c>
      <c r="T636" s="1" t="s">
        <v>21</v>
      </c>
      <c r="U636" s="1" t="s">
        <v>22</v>
      </c>
      <c r="V636" s="1" t="s">
        <v>24</v>
      </c>
      <c r="W636" s="1" t="s">
        <v>24</v>
      </c>
      <c r="X636" s="1">
        <v>1304</v>
      </c>
      <c r="Y636" s="1">
        <v>1307</v>
      </c>
      <c r="Z636" s="1">
        <v>1312</v>
      </c>
      <c r="AA636" s="1">
        <v>3107</v>
      </c>
      <c r="AB636" s="1" t="s">
        <v>24</v>
      </c>
      <c r="AC636" s="1" t="s">
        <v>24</v>
      </c>
      <c r="AD636" s="1" t="s">
        <v>24</v>
      </c>
      <c r="AE636" s="1" t="s">
        <v>24</v>
      </c>
      <c r="AF636" s="22"/>
    </row>
    <row r="637" spans="1:32" x14ac:dyDescent="0.2">
      <c r="A637" s="1">
        <v>3755</v>
      </c>
      <c r="B637" s="1" t="s">
        <v>2175</v>
      </c>
      <c r="C637" s="5" t="s">
        <v>0</v>
      </c>
      <c r="D637" s="1" t="s">
        <v>2176</v>
      </c>
      <c r="E637" s="1" t="s">
        <v>2177</v>
      </c>
      <c r="F637" s="1" t="s">
        <v>2178</v>
      </c>
      <c r="G637" s="1" t="s">
        <v>2178</v>
      </c>
      <c r="H637" s="1" t="s">
        <v>69</v>
      </c>
      <c r="I637" s="1" t="s">
        <v>16</v>
      </c>
      <c r="J637" s="1">
        <v>1</v>
      </c>
      <c r="K637" s="1">
        <v>4</v>
      </c>
      <c r="L637" s="1" t="s">
        <v>42</v>
      </c>
      <c r="M637" s="1" t="s">
        <v>70</v>
      </c>
      <c r="N637" s="1" t="s">
        <v>75</v>
      </c>
      <c r="O637" s="1">
        <v>1</v>
      </c>
      <c r="P637" s="1">
        <v>3</v>
      </c>
      <c r="R637" s="1" t="s">
        <v>19</v>
      </c>
      <c r="S637" s="1" t="s">
        <v>20</v>
      </c>
      <c r="T637" s="1" t="s">
        <v>21</v>
      </c>
      <c r="U637" s="1" t="s">
        <v>22</v>
      </c>
      <c r="V637" s="1" t="s">
        <v>24</v>
      </c>
      <c r="W637" s="1" t="s">
        <v>24</v>
      </c>
      <c r="X637" s="1">
        <v>2738</v>
      </c>
      <c r="Y637" s="1" t="s">
        <v>24</v>
      </c>
      <c r="Z637" s="1" t="s">
        <v>24</v>
      </c>
      <c r="AA637" s="1" t="s">
        <v>24</v>
      </c>
      <c r="AB637" s="1" t="s">
        <v>24</v>
      </c>
      <c r="AC637" s="1" t="s">
        <v>24</v>
      </c>
      <c r="AD637" s="1" t="s">
        <v>24</v>
      </c>
      <c r="AE637" s="1" t="s">
        <v>24</v>
      </c>
      <c r="AF637" s="22"/>
    </row>
    <row r="638" spans="1:32" x14ac:dyDescent="0.2">
      <c r="A638" s="1">
        <v>3759</v>
      </c>
      <c r="B638" s="1" t="s">
        <v>2179</v>
      </c>
      <c r="C638" s="5" t="s">
        <v>0</v>
      </c>
      <c r="D638" s="1" t="s">
        <v>2180</v>
      </c>
      <c r="E638" s="1" t="s">
        <v>2181</v>
      </c>
      <c r="F638" s="1" t="s">
        <v>310</v>
      </c>
      <c r="G638" s="1" t="s">
        <v>311</v>
      </c>
      <c r="H638" s="1" t="s">
        <v>37</v>
      </c>
      <c r="I638" s="1" t="s">
        <v>16</v>
      </c>
      <c r="J638" s="1">
        <v>1</v>
      </c>
      <c r="K638" s="1">
        <v>12</v>
      </c>
      <c r="L638" s="1" t="s">
        <v>31</v>
      </c>
      <c r="M638" s="1" t="s">
        <v>18</v>
      </c>
      <c r="N638" s="1" t="s">
        <v>18</v>
      </c>
      <c r="O638" s="1">
        <v>3</v>
      </c>
      <c r="P638" s="1">
        <v>7</v>
      </c>
      <c r="Q638" s="7" t="s">
        <v>17633</v>
      </c>
      <c r="R638" s="1" t="s">
        <v>19</v>
      </c>
      <c r="S638" s="1" t="s">
        <v>20</v>
      </c>
      <c r="T638" s="1" t="s">
        <v>21</v>
      </c>
      <c r="U638" s="1" t="s">
        <v>22</v>
      </c>
      <c r="V638" s="1" t="s">
        <v>24</v>
      </c>
      <c r="W638" s="1" t="s">
        <v>64</v>
      </c>
      <c r="X638" s="1">
        <v>1312</v>
      </c>
      <c r="Y638" s="1">
        <v>1315</v>
      </c>
      <c r="Z638" s="1" t="s">
        <v>24</v>
      </c>
      <c r="AA638" s="1" t="s">
        <v>24</v>
      </c>
      <c r="AB638" s="1" t="s">
        <v>24</v>
      </c>
      <c r="AC638" s="1" t="s">
        <v>24</v>
      </c>
      <c r="AD638" s="1" t="s">
        <v>24</v>
      </c>
      <c r="AE638" s="1" t="s">
        <v>24</v>
      </c>
      <c r="AF638" s="22"/>
    </row>
    <row r="639" spans="1:32" x14ac:dyDescent="0.2">
      <c r="A639" s="1">
        <v>3763</v>
      </c>
      <c r="B639" s="1" t="s">
        <v>2182</v>
      </c>
      <c r="C639" s="5" t="s">
        <v>0</v>
      </c>
      <c r="D639" s="1" t="s">
        <v>2183</v>
      </c>
      <c r="E639" s="1" t="s">
        <v>2184</v>
      </c>
      <c r="F639" s="1" t="s">
        <v>155</v>
      </c>
      <c r="G639" s="1" t="s">
        <v>61</v>
      </c>
      <c r="H639" s="1" t="s">
        <v>37</v>
      </c>
      <c r="I639" s="1" t="s">
        <v>16</v>
      </c>
      <c r="J639" s="1">
        <v>1</v>
      </c>
      <c r="K639" s="1">
        <v>4</v>
      </c>
      <c r="L639" s="1" t="s">
        <v>31</v>
      </c>
      <c r="M639" s="1" t="s">
        <v>18</v>
      </c>
      <c r="N639" s="1" t="s">
        <v>18</v>
      </c>
      <c r="O639" s="1">
        <v>3</v>
      </c>
      <c r="P639" s="1">
        <v>6</v>
      </c>
      <c r="R639" s="1" t="s">
        <v>19</v>
      </c>
      <c r="S639" s="1" t="s">
        <v>63</v>
      </c>
      <c r="T639" s="1" t="s">
        <v>21</v>
      </c>
      <c r="U639" s="1" t="s">
        <v>22</v>
      </c>
      <c r="V639" s="1" t="s">
        <v>23</v>
      </c>
      <c r="W639" s="1" t="s">
        <v>24</v>
      </c>
      <c r="X639" s="1">
        <v>2738</v>
      </c>
      <c r="Y639" s="1">
        <v>3205</v>
      </c>
      <c r="Z639" s="1">
        <v>3203</v>
      </c>
      <c r="AA639" s="1">
        <v>1201</v>
      </c>
      <c r="AB639" s="1" t="s">
        <v>24</v>
      </c>
      <c r="AC639" s="1" t="s">
        <v>24</v>
      </c>
      <c r="AD639" s="1" t="s">
        <v>24</v>
      </c>
      <c r="AE639" s="1" t="s">
        <v>24</v>
      </c>
      <c r="AF639" s="22"/>
    </row>
    <row r="640" spans="1:32" x14ac:dyDescent="0.2">
      <c r="A640" s="1">
        <v>3767</v>
      </c>
      <c r="B640" s="1" t="s">
        <v>2185</v>
      </c>
      <c r="C640" s="5" t="s">
        <v>0</v>
      </c>
      <c r="D640" s="1" t="s">
        <v>2186</v>
      </c>
      <c r="E640" s="1" t="s">
        <v>2187</v>
      </c>
      <c r="F640" s="1" t="s">
        <v>320</v>
      </c>
      <c r="G640" s="1" t="s">
        <v>36</v>
      </c>
      <c r="H640" s="1" t="s">
        <v>30</v>
      </c>
      <c r="I640" s="1" t="s">
        <v>16</v>
      </c>
      <c r="J640" s="1">
        <v>1</v>
      </c>
      <c r="K640" s="1">
        <v>4</v>
      </c>
      <c r="L640" s="1" t="s">
        <v>31</v>
      </c>
      <c r="M640" s="1" t="s">
        <v>18</v>
      </c>
      <c r="N640" s="1" t="s">
        <v>18</v>
      </c>
      <c r="O640" s="1">
        <v>2</v>
      </c>
      <c r="P640" s="1">
        <v>6</v>
      </c>
      <c r="R640" s="1" t="s">
        <v>19</v>
      </c>
      <c r="S640" s="1" t="s">
        <v>20</v>
      </c>
      <c r="T640" s="1" t="s">
        <v>21</v>
      </c>
      <c r="U640" s="1" t="s">
        <v>22</v>
      </c>
      <c r="V640" s="1" t="s">
        <v>24</v>
      </c>
      <c r="W640" s="1" t="s">
        <v>24</v>
      </c>
      <c r="X640" s="1">
        <v>2720</v>
      </c>
      <c r="Y640" s="1" t="s">
        <v>24</v>
      </c>
      <c r="Z640" s="1" t="s">
        <v>24</v>
      </c>
      <c r="AA640" s="1" t="s">
        <v>24</v>
      </c>
      <c r="AB640" s="1" t="s">
        <v>24</v>
      </c>
      <c r="AC640" s="1" t="s">
        <v>24</v>
      </c>
      <c r="AD640" s="1" t="s">
        <v>24</v>
      </c>
      <c r="AE640" s="1" t="s">
        <v>24</v>
      </c>
      <c r="AF640" s="22"/>
    </row>
    <row r="641" spans="1:32" x14ac:dyDescent="0.2">
      <c r="A641" s="1">
        <v>3768</v>
      </c>
      <c r="B641" s="1" t="s">
        <v>2188</v>
      </c>
      <c r="C641" s="5" t="s">
        <v>0</v>
      </c>
      <c r="D641" s="1" t="s">
        <v>2189</v>
      </c>
      <c r="E641" s="1" t="s">
        <v>2190</v>
      </c>
      <c r="F641" s="1" t="s">
        <v>1193</v>
      </c>
      <c r="G641" s="1" t="s">
        <v>61</v>
      </c>
      <c r="H641" s="1" t="s">
        <v>731</v>
      </c>
      <c r="I641" s="1" t="s">
        <v>16</v>
      </c>
      <c r="J641" s="1">
        <v>1</v>
      </c>
      <c r="K641" s="1">
        <v>5</v>
      </c>
      <c r="L641" s="1" t="s">
        <v>31</v>
      </c>
      <c r="M641" s="1" t="s">
        <v>105</v>
      </c>
      <c r="N641" s="1" t="s">
        <v>18</v>
      </c>
      <c r="O641" s="1">
        <v>3</v>
      </c>
      <c r="P641" s="1">
        <v>6</v>
      </c>
      <c r="R641" s="1" t="s">
        <v>19</v>
      </c>
      <c r="S641" s="1" t="s">
        <v>20</v>
      </c>
      <c r="T641" s="1" t="s">
        <v>21</v>
      </c>
      <c r="U641" s="1" t="s">
        <v>22</v>
      </c>
      <c r="V641" s="1" t="s">
        <v>23</v>
      </c>
      <c r="W641" s="1" t="s">
        <v>24</v>
      </c>
      <c r="X641" s="1">
        <v>2741</v>
      </c>
      <c r="Y641" s="1" t="s">
        <v>24</v>
      </c>
      <c r="Z641" s="1" t="s">
        <v>24</v>
      </c>
      <c r="AA641" s="1" t="s">
        <v>24</v>
      </c>
      <c r="AB641" s="1" t="s">
        <v>24</v>
      </c>
      <c r="AC641" s="1" t="s">
        <v>24</v>
      </c>
      <c r="AD641" s="1" t="s">
        <v>24</v>
      </c>
      <c r="AE641" s="1" t="s">
        <v>24</v>
      </c>
      <c r="AF641" s="22"/>
    </row>
    <row r="642" spans="1:32" x14ac:dyDescent="0.2">
      <c r="A642" s="1">
        <v>3771</v>
      </c>
      <c r="B642" s="1" t="s">
        <v>2191</v>
      </c>
      <c r="C642" s="5" t="s">
        <v>0</v>
      </c>
      <c r="D642" s="1" t="s">
        <v>2192</v>
      </c>
      <c r="E642" s="1" t="s">
        <v>2193</v>
      </c>
      <c r="F642" s="1" t="s">
        <v>28</v>
      </c>
      <c r="G642" s="1" t="s">
        <v>29</v>
      </c>
      <c r="H642" s="1" t="s">
        <v>30</v>
      </c>
      <c r="I642" s="1" t="s">
        <v>16</v>
      </c>
      <c r="J642" s="1">
        <v>1</v>
      </c>
      <c r="K642" s="1">
        <v>6</v>
      </c>
      <c r="L642" s="1" t="s">
        <v>31</v>
      </c>
      <c r="M642" s="1" t="s">
        <v>18</v>
      </c>
      <c r="N642" s="1" t="s">
        <v>18</v>
      </c>
      <c r="O642" s="1">
        <v>3</v>
      </c>
      <c r="P642" s="1">
        <v>8</v>
      </c>
      <c r="Q642" s="7" t="s">
        <v>17633</v>
      </c>
      <c r="R642" s="1" t="s">
        <v>19</v>
      </c>
      <c r="S642" s="1" t="s">
        <v>20</v>
      </c>
      <c r="T642" s="1" t="s">
        <v>21</v>
      </c>
      <c r="U642" s="1" t="s">
        <v>22</v>
      </c>
      <c r="V642" s="1" t="s">
        <v>23</v>
      </c>
      <c r="W642" s="1" t="s">
        <v>24</v>
      </c>
      <c r="X642" s="1">
        <v>2741</v>
      </c>
      <c r="Y642" s="1" t="s">
        <v>24</v>
      </c>
      <c r="Z642" s="1" t="s">
        <v>24</v>
      </c>
      <c r="AA642" s="1" t="s">
        <v>24</v>
      </c>
      <c r="AB642" s="1" t="s">
        <v>24</v>
      </c>
      <c r="AC642" s="1" t="s">
        <v>24</v>
      </c>
      <c r="AD642" s="1" t="s">
        <v>24</v>
      </c>
      <c r="AE642" s="1" t="s">
        <v>24</v>
      </c>
      <c r="AF642" s="22"/>
    </row>
    <row r="643" spans="1:32" x14ac:dyDescent="0.2">
      <c r="A643" s="1">
        <v>3774</v>
      </c>
      <c r="B643" s="1" t="s">
        <v>2194</v>
      </c>
      <c r="C643" s="5" t="s">
        <v>0</v>
      </c>
      <c r="D643" s="1" t="s">
        <v>2195</v>
      </c>
      <c r="E643" s="1" t="s">
        <v>2196</v>
      </c>
      <c r="F643" s="1" t="s">
        <v>315</v>
      </c>
      <c r="G643" s="1" t="s">
        <v>316</v>
      </c>
      <c r="H643" s="1" t="s">
        <v>30</v>
      </c>
      <c r="I643" s="1" t="s">
        <v>16</v>
      </c>
      <c r="J643" s="1">
        <v>1</v>
      </c>
      <c r="K643" s="1">
        <v>12</v>
      </c>
      <c r="L643" s="1" t="s">
        <v>31</v>
      </c>
      <c r="M643" s="1" t="s">
        <v>18</v>
      </c>
      <c r="N643" s="1" t="s">
        <v>18</v>
      </c>
      <c r="O643" s="1">
        <v>3</v>
      </c>
      <c r="P643" s="1">
        <v>7</v>
      </c>
      <c r="Q643" s="7" t="s">
        <v>17633</v>
      </c>
      <c r="R643" s="1" t="s">
        <v>62</v>
      </c>
      <c r="S643" s="1" t="s">
        <v>20</v>
      </c>
      <c r="T643" s="1" t="s">
        <v>21</v>
      </c>
      <c r="U643" s="1" t="s">
        <v>22</v>
      </c>
      <c r="V643" s="1" t="s">
        <v>24</v>
      </c>
      <c r="W643" s="1" t="s">
        <v>24</v>
      </c>
      <c r="X643" s="1">
        <v>2705</v>
      </c>
      <c r="Y643" s="1">
        <v>2728</v>
      </c>
      <c r="Z643" s="1">
        <v>2808</v>
      </c>
      <c r="AA643" s="1" t="s">
        <v>24</v>
      </c>
      <c r="AB643" s="1" t="s">
        <v>24</v>
      </c>
      <c r="AC643" s="1" t="s">
        <v>24</v>
      </c>
      <c r="AD643" s="1" t="s">
        <v>24</v>
      </c>
      <c r="AE643" s="1" t="s">
        <v>24</v>
      </c>
      <c r="AF643" s="22"/>
    </row>
    <row r="644" spans="1:32" x14ac:dyDescent="0.2">
      <c r="A644" s="1">
        <v>3780</v>
      </c>
      <c r="B644" s="1" t="s">
        <v>2197</v>
      </c>
      <c r="C644" s="5" t="s">
        <v>0</v>
      </c>
      <c r="D644" s="1" t="s">
        <v>2198</v>
      </c>
      <c r="E644" s="1" t="s">
        <v>2199</v>
      </c>
      <c r="F644" s="1" t="s">
        <v>272</v>
      </c>
      <c r="G644" s="1" t="s">
        <v>61</v>
      </c>
      <c r="H644" s="1" t="s">
        <v>30</v>
      </c>
      <c r="I644" s="1" t="s">
        <v>16</v>
      </c>
      <c r="J644" s="1">
        <v>1</v>
      </c>
      <c r="K644" s="1">
        <v>6</v>
      </c>
      <c r="L644" s="1" t="s">
        <v>31</v>
      </c>
      <c r="M644" s="1" t="s">
        <v>18</v>
      </c>
      <c r="N644" s="1" t="s">
        <v>18</v>
      </c>
      <c r="O644" s="1">
        <v>2</v>
      </c>
      <c r="P644" s="1">
        <v>6</v>
      </c>
      <c r="R644" s="1" t="s">
        <v>19</v>
      </c>
      <c r="S644" s="1" t="s">
        <v>20</v>
      </c>
      <c r="T644" s="1" t="s">
        <v>21</v>
      </c>
      <c r="U644" s="1" t="s">
        <v>22</v>
      </c>
      <c r="V644" s="1" t="s">
        <v>23</v>
      </c>
      <c r="W644" s="1" t="s">
        <v>24</v>
      </c>
      <c r="X644" s="1">
        <v>3310</v>
      </c>
      <c r="Y644" s="1">
        <v>3616</v>
      </c>
      <c r="Z644" s="1">
        <v>2805</v>
      </c>
      <c r="AA644" s="1">
        <v>3205</v>
      </c>
      <c r="AB644" s="1">
        <v>2912</v>
      </c>
      <c r="AC644" s="1" t="s">
        <v>24</v>
      </c>
      <c r="AD644" s="1" t="s">
        <v>24</v>
      </c>
      <c r="AE644" s="1" t="s">
        <v>24</v>
      </c>
      <c r="AF644" s="22"/>
    </row>
    <row r="645" spans="1:32" x14ac:dyDescent="0.2">
      <c r="A645" s="1">
        <v>3784</v>
      </c>
      <c r="B645" s="1" t="s">
        <v>2200</v>
      </c>
      <c r="C645" s="5" t="s">
        <v>0</v>
      </c>
      <c r="D645" s="1" t="s">
        <v>2201</v>
      </c>
      <c r="E645" s="1" t="s">
        <v>2202</v>
      </c>
      <c r="F645" s="1" t="s">
        <v>320</v>
      </c>
      <c r="G645" s="1" t="s">
        <v>36</v>
      </c>
      <c r="H645" s="1" t="s">
        <v>30</v>
      </c>
      <c r="I645" s="1" t="s">
        <v>16</v>
      </c>
      <c r="J645" s="1">
        <v>3</v>
      </c>
      <c r="K645" s="1">
        <v>6</v>
      </c>
      <c r="L645" s="1" t="s">
        <v>31</v>
      </c>
      <c r="M645" s="1" t="s">
        <v>18</v>
      </c>
      <c r="N645" s="1" t="s">
        <v>18</v>
      </c>
      <c r="O645" s="1">
        <v>3</v>
      </c>
      <c r="P645" s="1">
        <v>7</v>
      </c>
      <c r="Q645" s="7" t="s">
        <v>17633</v>
      </c>
      <c r="R645" s="1" t="s">
        <v>62</v>
      </c>
      <c r="S645" s="1" t="s">
        <v>20</v>
      </c>
      <c r="T645" s="1" t="s">
        <v>21</v>
      </c>
      <c r="U645" s="1" t="s">
        <v>22</v>
      </c>
      <c r="V645" s="1" t="s">
        <v>24</v>
      </c>
      <c r="W645" s="1" t="s">
        <v>64</v>
      </c>
      <c r="X645" s="1">
        <v>1303</v>
      </c>
      <c r="Y645" s="1">
        <v>1307</v>
      </c>
      <c r="Z645" s="1">
        <v>1312</v>
      </c>
      <c r="AA645" s="1" t="s">
        <v>24</v>
      </c>
      <c r="AB645" s="1" t="s">
        <v>24</v>
      </c>
      <c r="AC645" s="1" t="s">
        <v>24</v>
      </c>
      <c r="AD645" s="1" t="s">
        <v>24</v>
      </c>
      <c r="AE645" s="1" t="s">
        <v>24</v>
      </c>
      <c r="AF645" s="22"/>
    </row>
    <row r="646" spans="1:32" x14ac:dyDescent="0.2">
      <c r="A646" s="1">
        <v>3789</v>
      </c>
      <c r="B646" s="1" t="s">
        <v>2203</v>
      </c>
      <c r="C646" s="5" t="s">
        <v>0</v>
      </c>
      <c r="D646" s="1" t="s">
        <v>2204</v>
      </c>
      <c r="E646" s="1" t="s">
        <v>2205</v>
      </c>
      <c r="F646" s="1" t="s">
        <v>1538</v>
      </c>
      <c r="G646" s="1" t="s">
        <v>1538</v>
      </c>
      <c r="H646" s="1" t="s">
        <v>30</v>
      </c>
      <c r="I646" s="1" t="s">
        <v>16</v>
      </c>
      <c r="J646" s="1">
        <v>1</v>
      </c>
      <c r="K646" s="1">
        <v>12</v>
      </c>
      <c r="L646" s="1" t="s">
        <v>42</v>
      </c>
      <c r="M646" s="1" t="s">
        <v>18</v>
      </c>
      <c r="N646" s="1" t="s">
        <v>18</v>
      </c>
      <c r="O646" s="1">
        <v>3</v>
      </c>
      <c r="P646" s="1">
        <v>8</v>
      </c>
      <c r="Q646" s="7" t="s">
        <v>17633</v>
      </c>
      <c r="R646" s="1" t="s">
        <v>62</v>
      </c>
      <c r="S646" s="1" t="s">
        <v>20</v>
      </c>
      <c r="T646" s="1" t="s">
        <v>21</v>
      </c>
      <c r="U646" s="1" t="s">
        <v>22</v>
      </c>
      <c r="V646" s="1" t="s">
        <v>24</v>
      </c>
      <c r="W646" s="1" t="s">
        <v>24</v>
      </c>
      <c r="X646" s="1">
        <v>1303</v>
      </c>
      <c r="Y646" s="1">
        <v>1308</v>
      </c>
      <c r="Z646" s="1">
        <v>1310</v>
      </c>
      <c r="AA646" s="1">
        <v>2704</v>
      </c>
      <c r="AB646" s="1">
        <v>2712</v>
      </c>
      <c r="AC646" s="1" t="s">
        <v>24</v>
      </c>
      <c r="AD646" s="1" t="s">
        <v>24</v>
      </c>
      <c r="AE646" s="1" t="s">
        <v>24</v>
      </c>
      <c r="AF646" s="22"/>
    </row>
    <row r="647" spans="1:32" x14ac:dyDescent="0.2">
      <c r="A647" s="1">
        <v>3791</v>
      </c>
      <c r="B647" s="1" t="s">
        <v>2206</v>
      </c>
      <c r="C647" s="5" t="s">
        <v>0</v>
      </c>
      <c r="D647" s="1" t="s">
        <v>2207</v>
      </c>
      <c r="E647" s="1" t="s">
        <v>2208</v>
      </c>
      <c r="F647" s="1" t="s">
        <v>28</v>
      </c>
      <c r="G647" s="1" t="s">
        <v>29</v>
      </c>
      <c r="H647" s="1" t="s">
        <v>30</v>
      </c>
      <c r="I647" s="1" t="s">
        <v>16</v>
      </c>
      <c r="J647" s="1">
        <v>1</v>
      </c>
      <c r="K647" s="1">
        <v>4</v>
      </c>
      <c r="L647" s="1" t="s">
        <v>31</v>
      </c>
      <c r="M647" s="1" t="s">
        <v>18</v>
      </c>
      <c r="N647" s="1" t="s">
        <v>18</v>
      </c>
      <c r="O647" s="1">
        <v>2</v>
      </c>
      <c r="P647" s="1">
        <v>6</v>
      </c>
      <c r="R647" s="1" t="s">
        <v>19</v>
      </c>
      <c r="S647" s="1" t="s">
        <v>20</v>
      </c>
      <c r="T647" s="1" t="s">
        <v>21</v>
      </c>
      <c r="U647" s="1" t="s">
        <v>22</v>
      </c>
      <c r="V647" s="1" t="s">
        <v>24</v>
      </c>
      <c r="W647" s="1" t="s">
        <v>24</v>
      </c>
      <c r="X647" s="1">
        <v>2701</v>
      </c>
      <c r="Y647" s="1">
        <v>2204</v>
      </c>
      <c r="Z647" s="1" t="s">
        <v>24</v>
      </c>
      <c r="AA647" s="1" t="s">
        <v>24</v>
      </c>
      <c r="AB647" s="1" t="s">
        <v>24</v>
      </c>
      <c r="AC647" s="1" t="s">
        <v>24</v>
      </c>
      <c r="AD647" s="1" t="s">
        <v>24</v>
      </c>
      <c r="AE647" s="1" t="s">
        <v>24</v>
      </c>
      <c r="AF647" s="22"/>
    </row>
    <row r="648" spans="1:32" x14ac:dyDescent="0.2">
      <c r="A648" s="1">
        <v>3796</v>
      </c>
      <c r="B648" s="1" t="s">
        <v>2209</v>
      </c>
      <c r="C648" s="5" t="s">
        <v>0</v>
      </c>
      <c r="D648" s="1" t="s">
        <v>2210</v>
      </c>
      <c r="F648" s="1" t="s">
        <v>2211</v>
      </c>
      <c r="G648" s="1" t="s">
        <v>2211</v>
      </c>
      <c r="H648" s="1" t="s">
        <v>731</v>
      </c>
      <c r="I648" s="1" t="s">
        <v>16</v>
      </c>
      <c r="J648" s="1">
        <v>1</v>
      </c>
      <c r="K648" s="1">
        <v>4</v>
      </c>
      <c r="L648" s="1" t="s">
        <v>17</v>
      </c>
      <c r="M648" s="1" t="s">
        <v>18</v>
      </c>
      <c r="N648" s="1" t="s">
        <v>18</v>
      </c>
      <c r="O648" s="1">
        <v>2</v>
      </c>
      <c r="P648" s="1">
        <v>6</v>
      </c>
      <c r="R648" s="1" t="s">
        <v>19</v>
      </c>
      <c r="S648" s="1" t="s">
        <v>20</v>
      </c>
      <c r="T648" s="1" t="s">
        <v>21</v>
      </c>
      <c r="U648" s="1" t="s">
        <v>22</v>
      </c>
      <c r="V648" s="1" t="s">
        <v>24</v>
      </c>
      <c r="W648" s="1" t="s">
        <v>24</v>
      </c>
      <c r="X648" s="1">
        <v>2734</v>
      </c>
      <c r="Y648" s="1" t="s">
        <v>24</v>
      </c>
      <c r="Z648" s="1" t="s">
        <v>24</v>
      </c>
      <c r="AA648" s="1" t="s">
        <v>24</v>
      </c>
      <c r="AB648" s="1" t="s">
        <v>24</v>
      </c>
      <c r="AC648" s="1" t="s">
        <v>24</v>
      </c>
      <c r="AD648" s="1" t="s">
        <v>24</v>
      </c>
      <c r="AE648" s="1" t="s">
        <v>24</v>
      </c>
      <c r="AF648" s="22"/>
    </row>
    <row r="649" spans="1:32" x14ac:dyDescent="0.2">
      <c r="A649" s="1">
        <v>3799</v>
      </c>
      <c r="B649" s="1" t="s">
        <v>2212</v>
      </c>
      <c r="C649" s="5" t="s">
        <v>0</v>
      </c>
      <c r="D649" s="1" t="s">
        <v>2213</v>
      </c>
      <c r="E649" s="1" t="s">
        <v>2214</v>
      </c>
      <c r="F649" s="1" t="s">
        <v>28</v>
      </c>
      <c r="G649" s="1" t="s">
        <v>29</v>
      </c>
      <c r="H649" s="1" t="s">
        <v>30</v>
      </c>
      <c r="I649" s="1" t="s">
        <v>16</v>
      </c>
      <c r="J649" s="1">
        <v>1</v>
      </c>
      <c r="K649" s="1">
        <v>10</v>
      </c>
      <c r="L649" s="1" t="s">
        <v>31</v>
      </c>
      <c r="M649" s="1" t="s">
        <v>18</v>
      </c>
      <c r="N649" s="1" t="s">
        <v>18</v>
      </c>
      <c r="O649" s="1">
        <v>3</v>
      </c>
      <c r="P649" s="1">
        <v>7</v>
      </c>
      <c r="Q649" s="7" t="s">
        <v>17633</v>
      </c>
      <c r="R649" s="1" t="s">
        <v>19</v>
      </c>
      <c r="S649" s="1" t="s">
        <v>20</v>
      </c>
      <c r="T649" s="1" t="s">
        <v>21</v>
      </c>
      <c r="U649" s="1" t="s">
        <v>22</v>
      </c>
      <c r="V649" s="1" t="s">
        <v>24</v>
      </c>
      <c r="W649" s="1" t="s">
        <v>24</v>
      </c>
      <c r="X649" s="1">
        <v>2715</v>
      </c>
      <c r="Y649" s="1" t="s">
        <v>24</v>
      </c>
      <c r="Z649" s="1" t="s">
        <v>24</v>
      </c>
      <c r="AA649" s="1" t="s">
        <v>24</v>
      </c>
      <c r="AB649" s="1" t="s">
        <v>24</v>
      </c>
      <c r="AC649" s="1" t="s">
        <v>24</v>
      </c>
      <c r="AD649" s="1" t="s">
        <v>24</v>
      </c>
      <c r="AE649" s="1" t="s">
        <v>24</v>
      </c>
      <c r="AF649" s="22"/>
    </row>
    <row r="650" spans="1:32" x14ac:dyDescent="0.2">
      <c r="A650" s="1">
        <v>3806</v>
      </c>
      <c r="B650" s="1" t="s">
        <v>2215</v>
      </c>
      <c r="C650" s="5" t="s">
        <v>0</v>
      </c>
      <c r="D650" s="1" t="s">
        <v>2216</v>
      </c>
      <c r="E650" s="1" t="s">
        <v>2217</v>
      </c>
      <c r="F650" s="1" t="s">
        <v>190</v>
      </c>
      <c r="G650" s="1" t="s">
        <v>130</v>
      </c>
      <c r="H650" s="1" t="s">
        <v>30</v>
      </c>
      <c r="I650" s="1" t="s">
        <v>16</v>
      </c>
      <c r="J650" s="1">
        <v>1</v>
      </c>
      <c r="K650" s="1">
        <v>6</v>
      </c>
      <c r="L650" s="1" t="s">
        <v>31</v>
      </c>
      <c r="M650" s="1" t="s">
        <v>18</v>
      </c>
      <c r="N650" s="1" t="s">
        <v>18</v>
      </c>
      <c r="O650" s="1">
        <v>3</v>
      </c>
      <c r="P650" s="1">
        <v>7</v>
      </c>
      <c r="Q650" s="7" t="s">
        <v>17633</v>
      </c>
      <c r="R650" s="1" t="s">
        <v>19</v>
      </c>
      <c r="S650" s="1" t="s">
        <v>20</v>
      </c>
      <c r="T650" s="1" t="s">
        <v>21</v>
      </c>
      <c r="U650" s="1" t="s">
        <v>22</v>
      </c>
      <c r="V650" s="1" t="s">
        <v>24</v>
      </c>
      <c r="W650" s="1" t="s">
        <v>24</v>
      </c>
      <c r="X650" s="1">
        <v>2723</v>
      </c>
      <c r="Y650" s="1">
        <v>2403</v>
      </c>
      <c r="Z650" s="1" t="s">
        <v>24</v>
      </c>
      <c r="AA650" s="1" t="s">
        <v>24</v>
      </c>
      <c r="AB650" s="1" t="s">
        <v>24</v>
      </c>
      <c r="AC650" s="1" t="s">
        <v>24</v>
      </c>
      <c r="AD650" s="1" t="s">
        <v>24</v>
      </c>
      <c r="AE650" s="1" t="s">
        <v>24</v>
      </c>
      <c r="AF650" s="22"/>
    </row>
    <row r="651" spans="1:32" x14ac:dyDescent="0.2">
      <c r="A651" s="1">
        <v>3807</v>
      </c>
      <c r="B651" s="1" t="s">
        <v>2218</v>
      </c>
      <c r="C651" s="5" t="s">
        <v>0</v>
      </c>
      <c r="D651" s="1" t="s">
        <v>2219</v>
      </c>
      <c r="E651" s="1" t="s">
        <v>2220</v>
      </c>
      <c r="F651" s="1" t="s">
        <v>2221</v>
      </c>
      <c r="G651" s="1" t="s">
        <v>2221</v>
      </c>
      <c r="H651" s="1" t="s">
        <v>30</v>
      </c>
      <c r="I651" s="1" t="s">
        <v>16</v>
      </c>
      <c r="J651" s="1">
        <v>12</v>
      </c>
      <c r="K651" s="1">
        <v>1</v>
      </c>
      <c r="L651" s="1" t="s">
        <v>42</v>
      </c>
      <c r="M651" s="1" t="s">
        <v>18</v>
      </c>
      <c r="N651" s="1" t="s">
        <v>18</v>
      </c>
      <c r="O651" s="1">
        <v>3</v>
      </c>
      <c r="P651" s="1">
        <v>7</v>
      </c>
      <c r="Q651" s="7" t="s">
        <v>17633</v>
      </c>
      <c r="R651" s="1" t="s">
        <v>62</v>
      </c>
      <c r="S651" s="1" t="s">
        <v>20</v>
      </c>
      <c r="T651" s="1" t="s">
        <v>21</v>
      </c>
      <c r="U651" s="1" t="s">
        <v>22</v>
      </c>
      <c r="V651" s="1" t="s">
        <v>24</v>
      </c>
      <c r="W651" s="1" t="s">
        <v>24</v>
      </c>
      <c r="X651" s="1">
        <v>2700</v>
      </c>
      <c r="Y651" s="1" t="s">
        <v>24</v>
      </c>
      <c r="Z651" s="1" t="s">
        <v>24</v>
      </c>
      <c r="AA651" s="1" t="s">
        <v>24</v>
      </c>
      <c r="AB651" s="1" t="s">
        <v>24</v>
      </c>
      <c r="AC651" s="1" t="s">
        <v>24</v>
      </c>
      <c r="AD651" s="1" t="s">
        <v>24</v>
      </c>
      <c r="AE651" s="1" t="s">
        <v>24</v>
      </c>
      <c r="AF651" s="22"/>
    </row>
    <row r="652" spans="1:32" x14ac:dyDescent="0.2">
      <c r="A652" s="1">
        <v>3811</v>
      </c>
      <c r="B652" s="1" t="s">
        <v>2222</v>
      </c>
      <c r="C652" s="5" t="s">
        <v>0</v>
      </c>
      <c r="D652" s="1" t="s">
        <v>2223</v>
      </c>
      <c r="E652" s="1" t="s">
        <v>2224</v>
      </c>
      <c r="F652" s="1" t="s">
        <v>2225</v>
      </c>
      <c r="G652" s="1" t="s">
        <v>2225</v>
      </c>
      <c r="H652" s="1" t="s">
        <v>30</v>
      </c>
      <c r="I652" s="1" t="s">
        <v>16</v>
      </c>
      <c r="J652" s="1">
        <v>6</v>
      </c>
      <c r="K652" s="1">
        <v>4</v>
      </c>
      <c r="L652" s="1" t="s">
        <v>42</v>
      </c>
      <c r="M652" s="1" t="s">
        <v>18</v>
      </c>
      <c r="N652" s="1" t="s">
        <v>18</v>
      </c>
      <c r="O652" s="1">
        <v>3</v>
      </c>
      <c r="P652" s="1">
        <v>7</v>
      </c>
      <c r="Q652" s="7" t="s">
        <v>17633</v>
      </c>
      <c r="R652" s="1" t="s">
        <v>62</v>
      </c>
      <c r="S652" s="1" t="s">
        <v>20</v>
      </c>
      <c r="T652" s="1" t="s">
        <v>21</v>
      </c>
      <c r="U652" s="1" t="s">
        <v>22</v>
      </c>
      <c r="V652" s="1" t="s">
        <v>24</v>
      </c>
      <c r="W652" s="1" t="s">
        <v>24</v>
      </c>
      <c r="X652" s="1">
        <v>1307</v>
      </c>
      <c r="Y652" s="1" t="s">
        <v>24</v>
      </c>
      <c r="Z652" s="1" t="s">
        <v>24</v>
      </c>
      <c r="AA652" s="1" t="s">
        <v>24</v>
      </c>
      <c r="AB652" s="1" t="s">
        <v>24</v>
      </c>
      <c r="AC652" s="1" t="s">
        <v>24</v>
      </c>
      <c r="AD652" s="1" t="s">
        <v>24</v>
      </c>
      <c r="AE652" s="1" t="s">
        <v>24</v>
      </c>
      <c r="AF652" s="22"/>
    </row>
    <row r="653" spans="1:32" x14ac:dyDescent="0.2">
      <c r="A653" s="1">
        <v>3813</v>
      </c>
      <c r="B653" s="1" t="s">
        <v>2226</v>
      </c>
      <c r="C653" s="5" t="s">
        <v>0</v>
      </c>
      <c r="D653" s="1" t="s">
        <v>2227</v>
      </c>
      <c r="E653" s="1" t="s">
        <v>2228</v>
      </c>
      <c r="F653" s="1" t="s">
        <v>320</v>
      </c>
      <c r="G653" s="1" t="s">
        <v>36</v>
      </c>
      <c r="H653" s="1" t="s">
        <v>30</v>
      </c>
      <c r="I653" s="1" t="s">
        <v>16</v>
      </c>
      <c r="J653" s="1">
        <v>4</v>
      </c>
      <c r="K653" s="1">
        <v>3</v>
      </c>
      <c r="L653" s="1" t="s">
        <v>31</v>
      </c>
      <c r="M653" s="1" t="s">
        <v>18</v>
      </c>
      <c r="N653" s="1" t="s">
        <v>18</v>
      </c>
      <c r="O653" s="1">
        <v>3</v>
      </c>
      <c r="P653" s="1">
        <v>8</v>
      </c>
      <c r="Q653" s="7" t="s">
        <v>17633</v>
      </c>
      <c r="R653" s="1" t="s">
        <v>62</v>
      </c>
      <c r="S653" s="1" t="s">
        <v>20</v>
      </c>
      <c r="T653" s="1" t="s">
        <v>21</v>
      </c>
      <c r="U653" s="1" t="s">
        <v>22</v>
      </c>
      <c r="V653" s="1" t="s">
        <v>24</v>
      </c>
      <c r="W653" s="1" t="s">
        <v>24</v>
      </c>
      <c r="X653" s="1">
        <v>1308</v>
      </c>
      <c r="Y653" s="1">
        <v>1307</v>
      </c>
      <c r="Z653" s="1">
        <v>1314</v>
      </c>
      <c r="AA653" s="1" t="s">
        <v>24</v>
      </c>
      <c r="AB653" s="1" t="s">
        <v>24</v>
      </c>
      <c r="AC653" s="1" t="s">
        <v>24</v>
      </c>
      <c r="AD653" s="1" t="s">
        <v>24</v>
      </c>
      <c r="AE653" s="1" t="s">
        <v>24</v>
      </c>
      <c r="AF653" s="22"/>
    </row>
    <row r="654" spans="1:32" x14ac:dyDescent="0.2">
      <c r="A654" s="1">
        <v>3814</v>
      </c>
      <c r="B654" s="1" t="s">
        <v>2229</v>
      </c>
      <c r="C654" s="5" t="s">
        <v>0</v>
      </c>
      <c r="D654" s="1" t="s">
        <v>2230</v>
      </c>
      <c r="E654" s="1" t="s">
        <v>2231</v>
      </c>
      <c r="F654" s="1" t="s">
        <v>356</v>
      </c>
      <c r="G654" s="1" t="s">
        <v>357</v>
      </c>
      <c r="H654" s="1" t="s">
        <v>30</v>
      </c>
      <c r="I654" s="1" t="s">
        <v>16</v>
      </c>
      <c r="J654" s="1">
        <v>1</v>
      </c>
      <c r="K654" s="1">
        <v>6</v>
      </c>
      <c r="L654" s="1" t="s">
        <v>31</v>
      </c>
      <c r="M654" s="1" t="s">
        <v>18</v>
      </c>
      <c r="N654" s="1" t="s">
        <v>18</v>
      </c>
      <c r="O654" s="1">
        <v>3</v>
      </c>
      <c r="P654" s="1">
        <v>6</v>
      </c>
      <c r="R654" s="1" t="s">
        <v>62</v>
      </c>
      <c r="S654" s="1" t="s">
        <v>20</v>
      </c>
      <c r="T654" s="1" t="s">
        <v>21</v>
      </c>
      <c r="U654" s="1" t="s">
        <v>22</v>
      </c>
      <c r="V654" s="1" t="s">
        <v>24</v>
      </c>
      <c r="W654" s="1" t="s">
        <v>24</v>
      </c>
      <c r="X654" s="1">
        <v>2738</v>
      </c>
      <c r="Y654" s="1">
        <v>3203</v>
      </c>
      <c r="Z654" s="1">
        <v>1201</v>
      </c>
      <c r="AA654" s="1" t="s">
        <v>24</v>
      </c>
      <c r="AB654" s="1" t="s">
        <v>24</v>
      </c>
      <c r="AC654" s="1" t="s">
        <v>24</v>
      </c>
      <c r="AD654" s="1" t="s">
        <v>24</v>
      </c>
      <c r="AE654" s="1" t="s">
        <v>24</v>
      </c>
      <c r="AF654" s="22"/>
    </row>
    <row r="655" spans="1:32" x14ac:dyDescent="0.2">
      <c r="A655" s="1">
        <v>3815</v>
      </c>
      <c r="B655" s="1" t="s">
        <v>2232</v>
      </c>
      <c r="C655" s="5" t="s">
        <v>0</v>
      </c>
      <c r="D655" s="1" t="s">
        <v>2233</v>
      </c>
      <c r="F655" s="1" t="s">
        <v>2234</v>
      </c>
      <c r="G655" s="1" t="s">
        <v>2234</v>
      </c>
      <c r="H655" s="1" t="s">
        <v>30</v>
      </c>
      <c r="I655" s="1" t="s">
        <v>16</v>
      </c>
      <c r="J655" s="1">
        <v>1</v>
      </c>
      <c r="K655" s="1">
        <v>12</v>
      </c>
      <c r="L655" s="1" t="s">
        <v>42</v>
      </c>
      <c r="M655" s="1" t="s">
        <v>18</v>
      </c>
      <c r="N655" s="1" t="s">
        <v>18</v>
      </c>
      <c r="O655" s="1">
        <v>3</v>
      </c>
      <c r="P655" s="1">
        <v>7</v>
      </c>
      <c r="Q655" s="7" t="s">
        <v>17633</v>
      </c>
      <c r="R655" s="1" t="s">
        <v>62</v>
      </c>
      <c r="S655" s="1" t="s">
        <v>20</v>
      </c>
      <c r="T655" s="1" t="s">
        <v>21</v>
      </c>
      <c r="U655" s="1" t="s">
        <v>22</v>
      </c>
      <c r="V655" s="1" t="s">
        <v>24</v>
      </c>
      <c r="W655" s="1" t="s">
        <v>24</v>
      </c>
      <c r="X655" s="1">
        <v>2738</v>
      </c>
      <c r="Y655" s="1">
        <v>1201</v>
      </c>
      <c r="Z655" s="1" t="s">
        <v>24</v>
      </c>
      <c r="AA655" s="1" t="s">
        <v>24</v>
      </c>
      <c r="AB655" s="1" t="s">
        <v>24</v>
      </c>
      <c r="AC655" s="1" t="s">
        <v>24</v>
      </c>
      <c r="AD655" s="1" t="s">
        <v>24</v>
      </c>
      <c r="AE655" s="1" t="s">
        <v>24</v>
      </c>
      <c r="AF655" s="22"/>
    </row>
    <row r="656" spans="1:32" x14ac:dyDescent="0.2">
      <c r="A656" s="1">
        <v>3818</v>
      </c>
      <c r="B656" s="1" t="s">
        <v>2235</v>
      </c>
      <c r="C656" s="5" t="s">
        <v>0</v>
      </c>
      <c r="D656" s="1" t="s">
        <v>2236</v>
      </c>
      <c r="E656" s="1" t="s">
        <v>2237</v>
      </c>
      <c r="F656" s="1" t="s">
        <v>441</v>
      </c>
      <c r="G656" s="1" t="s">
        <v>441</v>
      </c>
      <c r="H656" s="1" t="s">
        <v>30</v>
      </c>
      <c r="I656" s="1" t="s">
        <v>16</v>
      </c>
      <c r="J656" s="1">
        <v>1</v>
      </c>
      <c r="K656" s="1">
        <v>12</v>
      </c>
      <c r="L656" s="1" t="s">
        <v>42</v>
      </c>
      <c r="M656" s="1" t="s">
        <v>18</v>
      </c>
      <c r="N656" s="1" t="s">
        <v>18</v>
      </c>
      <c r="O656" s="1">
        <v>3</v>
      </c>
      <c r="P656" s="1">
        <v>7</v>
      </c>
      <c r="Q656" s="7" t="s">
        <v>17633</v>
      </c>
      <c r="R656" s="1" t="s">
        <v>62</v>
      </c>
      <c r="S656" s="1" t="s">
        <v>20</v>
      </c>
      <c r="T656" s="1" t="s">
        <v>21</v>
      </c>
      <c r="U656" s="1" t="s">
        <v>22</v>
      </c>
      <c r="V656" s="1" t="s">
        <v>24</v>
      </c>
      <c r="W656" s="1" t="s">
        <v>24</v>
      </c>
      <c r="X656" s="1">
        <v>2726</v>
      </c>
      <c r="Y656" s="1" t="s">
        <v>24</v>
      </c>
      <c r="Z656" s="1" t="s">
        <v>24</v>
      </c>
      <c r="AA656" s="1" t="s">
        <v>24</v>
      </c>
      <c r="AB656" s="1" t="s">
        <v>24</v>
      </c>
      <c r="AC656" s="1" t="s">
        <v>24</v>
      </c>
      <c r="AD656" s="1" t="s">
        <v>24</v>
      </c>
      <c r="AE656" s="1" t="s">
        <v>24</v>
      </c>
      <c r="AF656" s="22"/>
    </row>
    <row r="657" spans="1:32" x14ac:dyDescent="0.2">
      <c r="A657" s="1">
        <v>3821</v>
      </c>
      <c r="B657" s="1" t="s">
        <v>2238</v>
      </c>
      <c r="C657" s="5" t="s">
        <v>0</v>
      </c>
      <c r="D657" s="1" t="s">
        <v>2239</v>
      </c>
      <c r="E657" s="1" t="s">
        <v>2240</v>
      </c>
      <c r="F657" s="1" t="s">
        <v>320</v>
      </c>
      <c r="G657" s="1" t="s">
        <v>36</v>
      </c>
      <c r="H657" s="1" t="s">
        <v>30</v>
      </c>
      <c r="I657" s="1" t="s">
        <v>16</v>
      </c>
      <c r="J657" s="1">
        <v>1</v>
      </c>
      <c r="K657" s="1">
        <v>36</v>
      </c>
      <c r="L657" s="1" t="s">
        <v>31</v>
      </c>
      <c r="M657" s="1" t="s">
        <v>18</v>
      </c>
      <c r="N657" s="1" t="s">
        <v>18</v>
      </c>
      <c r="O657" s="1">
        <v>3</v>
      </c>
      <c r="P657" s="1">
        <v>8</v>
      </c>
      <c r="Q657" s="7" t="s">
        <v>17633</v>
      </c>
      <c r="R657" s="1" t="s">
        <v>62</v>
      </c>
      <c r="S657" s="1" t="s">
        <v>20</v>
      </c>
      <c r="T657" s="1" t="s">
        <v>21</v>
      </c>
      <c r="U657" s="1" t="s">
        <v>22</v>
      </c>
      <c r="V657" s="1" t="s">
        <v>24</v>
      </c>
      <c r="W657" s="1" t="s">
        <v>24</v>
      </c>
      <c r="X657" s="1">
        <v>2800</v>
      </c>
      <c r="Y657" s="1" t="s">
        <v>24</v>
      </c>
      <c r="Z657" s="1" t="s">
        <v>24</v>
      </c>
      <c r="AA657" s="1" t="s">
        <v>24</v>
      </c>
      <c r="AB657" s="1" t="s">
        <v>24</v>
      </c>
      <c r="AC657" s="1" t="s">
        <v>24</v>
      </c>
      <c r="AD657" s="1" t="s">
        <v>24</v>
      </c>
      <c r="AE657" s="1" t="s">
        <v>24</v>
      </c>
      <c r="AF657" s="22"/>
    </row>
    <row r="658" spans="1:32" x14ac:dyDescent="0.2">
      <c r="A658" s="1">
        <v>3823</v>
      </c>
      <c r="B658" s="1" t="s">
        <v>2241</v>
      </c>
      <c r="C658" s="5" t="s">
        <v>0</v>
      </c>
      <c r="D658" s="1" t="s">
        <v>2242</v>
      </c>
      <c r="E658" s="1" t="s">
        <v>2243</v>
      </c>
      <c r="F658" s="1" t="s">
        <v>28</v>
      </c>
      <c r="G658" s="1" t="s">
        <v>29</v>
      </c>
      <c r="H658" s="1" t="s">
        <v>30</v>
      </c>
      <c r="I658" s="1" t="s">
        <v>16</v>
      </c>
      <c r="J658" s="1">
        <v>1</v>
      </c>
      <c r="K658" s="1">
        <v>6</v>
      </c>
      <c r="L658" s="1" t="s">
        <v>31</v>
      </c>
      <c r="M658" s="1" t="s">
        <v>18</v>
      </c>
      <c r="N658" s="1" t="s">
        <v>18</v>
      </c>
      <c r="O658" s="1">
        <v>3</v>
      </c>
      <c r="P658" s="1">
        <v>6</v>
      </c>
      <c r="R658" s="1" t="s">
        <v>19</v>
      </c>
      <c r="S658" s="1" t="s">
        <v>20</v>
      </c>
      <c r="T658" s="1" t="s">
        <v>21</v>
      </c>
      <c r="U658" s="1" t="s">
        <v>22</v>
      </c>
      <c r="V658" s="1" t="s">
        <v>23</v>
      </c>
      <c r="W658" s="1" t="s">
        <v>24</v>
      </c>
      <c r="X658" s="1">
        <v>2728</v>
      </c>
      <c r="Y658" s="1">
        <v>2808</v>
      </c>
      <c r="Z658" s="1">
        <v>1314</v>
      </c>
      <c r="AA658" s="1">
        <v>2737</v>
      </c>
      <c r="AB658" s="1" t="s">
        <v>24</v>
      </c>
      <c r="AC658" s="1" t="s">
        <v>24</v>
      </c>
      <c r="AD658" s="1" t="s">
        <v>24</v>
      </c>
      <c r="AE658" s="1" t="s">
        <v>24</v>
      </c>
      <c r="AF658" s="22"/>
    </row>
    <row r="659" spans="1:32" x14ac:dyDescent="0.2">
      <c r="A659" s="1">
        <v>3828</v>
      </c>
      <c r="B659" s="1" t="s">
        <v>2244</v>
      </c>
      <c r="C659" s="5" t="s">
        <v>0</v>
      </c>
      <c r="D659" s="1" t="s">
        <v>2245</v>
      </c>
      <c r="E659" s="1" t="s">
        <v>2246</v>
      </c>
      <c r="F659" s="1" t="s">
        <v>2247</v>
      </c>
      <c r="G659" s="1" t="s">
        <v>2247</v>
      </c>
      <c r="H659" s="1" t="s">
        <v>30</v>
      </c>
      <c r="I659" s="1" t="s">
        <v>16</v>
      </c>
      <c r="J659" s="1">
        <v>1</v>
      </c>
      <c r="K659" s="1">
        <v>36</v>
      </c>
      <c r="L659" s="1" t="s">
        <v>42</v>
      </c>
      <c r="M659" s="1" t="s">
        <v>18</v>
      </c>
      <c r="N659" s="1" t="s">
        <v>18</v>
      </c>
      <c r="O659" s="1">
        <v>3</v>
      </c>
      <c r="P659" s="1">
        <v>7</v>
      </c>
      <c r="Q659" s="7" t="s">
        <v>17633</v>
      </c>
      <c r="R659" s="1" t="s">
        <v>62</v>
      </c>
      <c r="S659" s="1" t="s">
        <v>63</v>
      </c>
      <c r="T659" s="1" t="s">
        <v>21</v>
      </c>
      <c r="U659" s="1" t="s">
        <v>22</v>
      </c>
      <c r="V659" s="1" t="s">
        <v>23</v>
      </c>
      <c r="W659" s="1" t="s">
        <v>24</v>
      </c>
      <c r="X659" s="1">
        <v>1306</v>
      </c>
      <c r="Y659" s="1">
        <v>2730</v>
      </c>
      <c r="Z659" s="1" t="s">
        <v>24</v>
      </c>
      <c r="AA659" s="1" t="s">
        <v>24</v>
      </c>
      <c r="AB659" s="1" t="s">
        <v>24</v>
      </c>
      <c r="AC659" s="1" t="s">
        <v>24</v>
      </c>
      <c r="AD659" s="1" t="s">
        <v>24</v>
      </c>
      <c r="AE659" s="1" t="s">
        <v>24</v>
      </c>
      <c r="AF659" s="22"/>
    </row>
    <row r="660" spans="1:32" x14ac:dyDescent="0.2">
      <c r="A660" s="1">
        <v>3829</v>
      </c>
      <c r="B660" s="1" t="s">
        <v>2248</v>
      </c>
      <c r="C660" s="5" t="s">
        <v>0</v>
      </c>
      <c r="D660" s="1" t="s">
        <v>2249</v>
      </c>
      <c r="E660" s="1" t="s">
        <v>2250</v>
      </c>
      <c r="F660" s="1" t="s">
        <v>159</v>
      </c>
      <c r="G660" s="1" t="s">
        <v>160</v>
      </c>
      <c r="H660" s="1" t="s">
        <v>37</v>
      </c>
      <c r="I660" s="1" t="s">
        <v>16</v>
      </c>
      <c r="J660" s="1">
        <v>1</v>
      </c>
      <c r="K660" s="1">
        <v>12</v>
      </c>
      <c r="L660" s="1" t="s">
        <v>42</v>
      </c>
      <c r="M660" s="1" t="s">
        <v>18</v>
      </c>
      <c r="N660" s="1" t="s">
        <v>18</v>
      </c>
      <c r="O660" s="1">
        <v>3</v>
      </c>
      <c r="P660" s="1">
        <v>7</v>
      </c>
      <c r="Q660" s="7" t="s">
        <v>17633</v>
      </c>
      <c r="R660" s="1" t="s">
        <v>19</v>
      </c>
      <c r="S660" s="1" t="s">
        <v>20</v>
      </c>
      <c r="T660" s="1" t="s">
        <v>21</v>
      </c>
      <c r="U660" s="1" t="s">
        <v>22</v>
      </c>
      <c r="V660" s="1" t="s">
        <v>24</v>
      </c>
      <c r="W660" s="1" t="s">
        <v>24</v>
      </c>
      <c r="X660" s="1">
        <v>2734</v>
      </c>
      <c r="Y660" s="1" t="s">
        <v>24</v>
      </c>
      <c r="Z660" s="1" t="s">
        <v>24</v>
      </c>
      <c r="AA660" s="1" t="s">
        <v>24</v>
      </c>
      <c r="AB660" s="1" t="s">
        <v>24</v>
      </c>
      <c r="AC660" s="1" t="s">
        <v>24</v>
      </c>
      <c r="AD660" s="1" t="s">
        <v>24</v>
      </c>
      <c r="AE660" s="1" t="s">
        <v>24</v>
      </c>
      <c r="AF660" s="22"/>
    </row>
    <row r="661" spans="1:32" x14ac:dyDescent="0.2">
      <c r="A661" s="1">
        <v>3832</v>
      </c>
      <c r="B661" s="1" t="s">
        <v>2251</v>
      </c>
      <c r="C661" s="5" t="s">
        <v>0</v>
      </c>
      <c r="D661" s="1" t="s">
        <v>2252</v>
      </c>
      <c r="E661" s="1" t="s">
        <v>2253</v>
      </c>
      <c r="F661" s="1" t="s">
        <v>555</v>
      </c>
      <c r="G661" s="1" t="s">
        <v>36</v>
      </c>
      <c r="H661" s="1" t="s">
        <v>37</v>
      </c>
      <c r="I661" s="1" t="s">
        <v>16</v>
      </c>
      <c r="J661" s="1">
        <v>1</v>
      </c>
      <c r="K661" s="1">
        <v>12</v>
      </c>
      <c r="L661" s="1" t="s">
        <v>31</v>
      </c>
      <c r="M661" s="1" t="s">
        <v>18</v>
      </c>
      <c r="N661" s="1" t="s">
        <v>18</v>
      </c>
      <c r="O661" s="1">
        <v>3</v>
      </c>
      <c r="P661" s="1">
        <v>6</v>
      </c>
      <c r="R661" s="1" t="s">
        <v>62</v>
      </c>
      <c r="S661" s="1" t="s">
        <v>20</v>
      </c>
      <c r="T661" s="1" t="s">
        <v>21</v>
      </c>
      <c r="U661" s="1" t="s">
        <v>22</v>
      </c>
      <c r="V661" s="1" t="s">
        <v>23</v>
      </c>
      <c r="W661" s="1" t="s">
        <v>64</v>
      </c>
      <c r="X661" s="1">
        <v>2736</v>
      </c>
      <c r="Y661" s="1">
        <v>3004</v>
      </c>
      <c r="Z661" s="1" t="s">
        <v>24</v>
      </c>
      <c r="AA661" s="1" t="s">
        <v>24</v>
      </c>
      <c r="AB661" s="1" t="s">
        <v>24</v>
      </c>
      <c r="AC661" s="1" t="s">
        <v>24</v>
      </c>
      <c r="AD661" s="1" t="s">
        <v>24</v>
      </c>
      <c r="AE661" s="1" t="s">
        <v>24</v>
      </c>
      <c r="AF661" s="22"/>
    </row>
    <row r="662" spans="1:32" x14ac:dyDescent="0.2">
      <c r="A662" s="1">
        <v>3833</v>
      </c>
      <c r="B662" s="1" t="s">
        <v>2254</v>
      </c>
      <c r="C662" s="5" t="s">
        <v>0</v>
      </c>
      <c r="D662" s="1" t="s">
        <v>2255</v>
      </c>
      <c r="E662" s="1" t="s">
        <v>2256</v>
      </c>
      <c r="F662" s="1" t="s">
        <v>28</v>
      </c>
      <c r="G662" s="1" t="s">
        <v>29</v>
      </c>
      <c r="H662" s="1" t="s">
        <v>30</v>
      </c>
      <c r="I662" s="1" t="s">
        <v>16</v>
      </c>
      <c r="J662" s="1">
        <v>2</v>
      </c>
      <c r="K662" s="1">
        <v>6</v>
      </c>
      <c r="L662" s="1" t="s">
        <v>31</v>
      </c>
      <c r="M662" s="1" t="s">
        <v>18</v>
      </c>
      <c r="N662" s="1" t="s">
        <v>18</v>
      </c>
      <c r="O662" s="1">
        <v>3</v>
      </c>
      <c r="P662" s="1">
        <v>7</v>
      </c>
      <c r="Q662" s="7" t="s">
        <v>17633</v>
      </c>
      <c r="R662" s="1" t="s">
        <v>19</v>
      </c>
      <c r="S662" s="1" t="s">
        <v>20</v>
      </c>
      <c r="T662" s="1" t="s">
        <v>21</v>
      </c>
      <c r="U662" s="1" t="s">
        <v>22</v>
      </c>
      <c r="V662" s="1" t="s">
        <v>24</v>
      </c>
      <c r="W662" s="1" t="s">
        <v>64</v>
      </c>
      <c r="X662" s="1">
        <v>3004</v>
      </c>
      <c r="Y662" s="1">
        <v>2705</v>
      </c>
      <c r="Z662" s="1" t="s">
        <v>24</v>
      </c>
      <c r="AA662" s="1" t="s">
        <v>24</v>
      </c>
      <c r="AB662" s="1" t="s">
        <v>24</v>
      </c>
      <c r="AC662" s="1" t="s">
        <v>24</v>
      </c>
      <c r="AD662" s="1" t="s">
        <v>24</v>
      </c>
      <c r="AE662" s="1" t="s">
        <v>24</v>
      </c>
      <c r="AF662" s="22"/>
    </row>
    <row r="663" spans="1:32" x14ac:dyDescent="0.2">
      <c r="A663" s="1">
        <v>3839</v>
      </c>
      <c r="B663" s="1" t="s">
        <v>2257</v>
      </c>
      <c r="C663" s="5" t="s">
        <v>0</v>
      </c>
      <c r="D663" s="1" t="s">
        <v>2258</v>
      </c>
      <c r="E663" s="1" t="s">
        <v>2259</v>
      </c>
      <c r="F663" s="1" t="s">
        <v>190</v>
      </c>
      <c r="G663" s="1" t="s">
        <v>130</v>
      </c>
      <c r="H663" s="1" t="s">
        <v>30</v>
      </c>
      <c r="I663" s="1" t="s">
        <v>16</v>
      </c>
      <c r="J663" s="1">
        <v>1</v>
      </c>
      <c r="K663" s="1">
        <v>4</v>
      </c>
      <c r="L663" s="1" t="s">
        <v>31</v>
      </c>
      <c r="M663" s="1" t="s">
        <v>18</v>
      </c>
      <c r="N663" s="1" t="s">
        <v>18</v>
      </c>
      <c r="O663" s="1">
        <v>3</v>
      </c>
      <c r="P663" s="1">
        <v>6</v>
      </c>
      <c r="R663" s="1" t="s">
        <v>19</v>
      </c>
      <c r="S663" s="1" t="s">
        <v>20</v>
      </c>
      <c r="T663" s="1" t="s">
        <v>21</v>
      </c>
      <c r="U663" s="1" t="s">
        <v>22</v>
      </c>
      <c r="V663" s="1" t="s">
        <v>23</v>
      </c>
      <c r="W663" s="1" t="s">
        <v>24</v>
      </c>
      <c r="X663" s="1">
        <v>2738</v>
      </c>
      <c r="Y663" s="1">
        <v>3203</v>
      </c>
      <c r="Z663" s="1" t="s">
        <v>24</v>
      </c>
      <c r="AA663" s="1" t="s">
        <v>24</v>
      </c>
      <c r="AB663" s="1" t="s">
        <v>24</v>
      </c>
      <c r="AC663" s="1" t="s">
        <v>24</v>
      </c>
      <c r="AD663" s="1" t="s">
        <v>24</v>
      </c>
      <c r="AE663" s="1" t="s">
        <v>24</v>
      </c>
      <c r="AF663" s="22"/>
    </row>
    <row r="664" spans="1:32" x14ac:dyDescent="0.2">
      <c r="A664" s="1">
        <v>3841</v>
      </c>
      <c r="B664" s="1" t="s">
        <v>2260</v>
      </c>
      <c r="C664" s="5" t="s">
        <v>0</v>
      </c>
      <c r="D664" s="1" t="s">
        <v>2261</v>
      </c>
      <c r="E664" s="1" t="s">
        <v>2262</v>
      </c>
      <c r="F664" s="1" t="s">
        <v>28</v>
      </c>
      <c r="G664" s="1" t="s">
        <v>29</v>
      </c>
      <c r="H664" s="1" t="s">
        <v>30</v>
      </c>
      <c r="I664" s="1" t="s">
        <v>16</v>
      </c>
      <c r="J664" s="1">
        <v>1</v>
      </c>
      <c r="K664" s="1">
        <v>6</v>
      </c>
      <c r="L664" s="1" t="s">
        <v>31</v>
      </c>
      <c r="M664" s="1" t="s">
        <v>18</v>
      </c>
      <c r="N664" s="1" t="s">
        <v>18</v>
      </c>
      <c r="O664" s="1">
        <v>3</v>
      </c>
      <c r="P664" s="1">
        <v>7</v>
      </c>
      <c r="Q664" s="7" t="s">
        <v>17633</v>
      </c>
      <c r="R664" s="1" t="s">
        <v>62</v>
      </c>
      <c r="S664" s="1" t="s">
        <v>20</v>
      </c>
      <c r="T664" s="1" t="s">
        <v>21</v>
      </c>
      <c r="U664" s="1" t="s">
        <v>22</v>
      </c>
      <c r="V664" s="1" t="s">
        <v>24</v>
      </c>
      <c r="W664" s="1" t="s">
        <v>24</v>
      </c>
      <c r="X664" s="1">
        <v>2738</v>
      </c>
      <c r="Y664" s="1">
        <v>2736</v>
      </c>
      <c r="Z664" s="1" t="s">
        <v>24</v>
      </c>
      <c r="AA664" s="1" t="s">
        <v>24</v>
      </c>
      <c r="AB664" s="1" t="s">
        <v>24</v>
      </c>
      <c r="AC664" s="1" t="s">
        <v>24</v>
      </c>
      <c r="AD664" s="1" t="s">
        <v>24</v>
      </c>
      <c r="AE664" s="1" t="s">
        <v>24</v>
      </c>
      <c r="AF664" s="22"/>
    </row>
    <row r="665" spans="1:32" x14ac:dyDescent="0.2">
      <c r="A665" s="1">
        <v>3843</v>
      </c>
      <c r="B665" s="1" t="s">
        <v>2263</v>
      </c>
      <c r="C665" s="5" t="s">
        <v>0</v>
      </c>
      <c r="D665" s="1" t="s">
        <v>2264</v>
      </c>
      <c r="E665" s="1" t="s">
        <v>2265</v>
      </c>
      <c r="F665" s="1" t="s">
        <v>91</v>
      </c>
      <c r="G665" s="1" t="s">
        <v>61</v>
      </c>
      <c r="H665" s="1" t="s">
        <v>92</v>
      </c>
      <c r="I665" s="1" t="s">
        <v>16</v>
      </c>
      <c r="J665" s="1">
        <v>8</v>
      </c>
      <c r="K665" s="1">
        <v>3</v>
      </c>
      <c r="L665" s="1" t="s">
        <v>31</v>
      </c>
      <c r="M665" s="1" t="s">
        <v>18</v>
      </c>
      <c r="N665" s="1" t="s">
        <v>18</v>
      </c>
      <c r="O665" s="1">
        <v>3</v>
      </c>
      <c r="P665" s="1">
        <v>7</v>
      </c>
      <c r="Q665" s="7" t="s">
        <v>17633</v>
      </c>
      <c r="R665" s="1" t="s">
        <v>62</v>
      </c>
      <c r="S665" s="1" t="s">
        <v>63</v>
      </c>
      <c r="T665" s="1" t="s">
        <v>21</v>
      </c>
      <c r="U665" s="1" t="s">
        <v>22</v>
      </c>
      <c r="V665" s="1" t="s">
        <v>24</v>
      </c>
      <c r="W665" s="1" t="s">
        <v>64</v>
      </c>
      <c r="X665" s="1">
        <v>3003</v>
      </c>
      <c r="Y665" s="1" t="s">
        <v>24</v>
      </c>
      <c r="Z665" s="1" t="s">
        <v>24</v>
      </c>
      <c r="AA665" s="1" t="s">
        <v>24</v>
      </c>
      <c r="AB665" s="1" t="s">
        <v>24</v>
      </c>
      <c r="AC665" s="1" t="s">
        <v>24</v>
      </c>
      <c r="AD665" s="1" t="s">
        <v>24</v>
      </c>
      <c r="AE665" s="1" t="s">
        <v>24</v>
      </c>
      <c r="AF665" s="22"/>
    </row>
    <row r="666" spans="1:32" x14ac:dyDescent="0.2">
      <c r="A666" s="1">
        <v>3845</v>
      </c>
      <c r="B666" s="1" t="s">
        <v>2266</v>
      </c>
      <c r="C666" s="5" t="s">
        <v>0</v>
      </c>
      <c r="D666" s="1" t="s">
        <v>2267</v>
      </c>
      <c r="E666" s="1" t="s">
        <v>2268</v>
      </c>
      <c r="F666" s="1" t="s">
        <v>167</v>
      </c>
      <c r="G666" s="1" t="s">
        <v>130</v>
      </c>
      <c r="H666" s="1" t="s">
        <v>168</v>
      </c>
      <c r="I666" s="1" t="s">
        <v>16</v>
      </c>
      <c r="J666" s="1">
        <v>1</v>
      </c>
      <c r="K666" s="1">
        <v>12</v>
      </c>
      <c r="L666" s="1" t="s">
        <v>31</v>
      </c>
      <c r="M666" s="1" t="s">
        <v>18</v>
      </c>
      <c r="N666" s="1" t="s">
        <v>18</v>
      </c>
      <c r="O666" s="1">
        <v>3</v>
      </c>
      <c r="P666" s="1">
        <v>7</v>
      </c>
      <c r="Q666" s="7" t="s">
        <v>17633</v>
      </c>
      <c r="R666" s="1" t="s">
        <v>19</v>
      </c>
      <c r="S666" s="1" t="s">
        <v>20</v>
      </c>
      <c r="T666" s="1" t="s">
        <v>21</v>
      </c>
      <c r="U666" s="1" t="s">
        <v>22</v>
      </c>
      <c r="V666" s="1" t="s">
        <v>24</v>
      </c>
      <c r="W666" s="1" t="s">
        <v>24</v>
      </c>
      <c r="X666" s="1">
        <v>1306</v>
      </c>
      <c r="Y666" s="1">
        <v>2730</v>
      </c>
      <c r="Z666" s="1" t="s">
        <v>24</v>
      </c>
      <c r="AA666" s="1" t="s">
        <v>24</v>
      </c>
      <c r="AB666" s="1" t="s">
        <v>24</v>
      </c>
      <c r="AC666" s="1" t="s">
        <v>24</v>
      </c>
      <c r="AD666" s="1" t="s">
        <v>24</v>
      </c>
      <c r="AE666" s="1" t="s">
        <v>24</v>
      </c>
      <c r="AF666" s="22"/>
    </row>
    <row r="667" spans="1:32" x14ac:dyDescent="0.2">
      <c r="A667" s="1">
        <v>3848</v>
      </c>
      <c r="B667" s="1" t="s">
        <v>2269</v>
      </c>
      <c r="C667" s="5" t="s">
        <v>0</v>
      </c>
      <c r="D667" s="1" t="s">
        <v>2270</v>
      </c>
      <c r="E667" s="1" t="s">
        <v>2271</v>
      </c>
      <c r="F667" s="1" t="s">
        <v>272</v>
      </c>
      <c r="G667" s="1" t="s">
        <v>61</v>
      </c>
      <c r="H667" s="1" t="s">
        <v>30</v>
      </c>
      <c r="I667" s="1" t="s">
        <v>16</v>
      </c>
      <c r="J667" s="1">
        <v>1</v>
      </c>
      <c r="K667" s="1">
        <v>12</v>
      </c>
      <c r="L667" s="1" t="s">
        <v>31</v>
      </c>
      <c r="M667" s="1" t="s">
        <v>18</v>
      </c>
      <c r="N667" s="1" t="s">
        <v>18</v>
      </c>
      <c r="O667" s="1">
        <v>2</v>
      </c>
      <c r="P667" s="1">
        <v>7</v>
      </c>
      <c r="Q667" s="7" t="s">
        <v>17633</v>
      </c>
      <c r="R667" s="1" t="s">
        <v>19</v>
      </c>
      <c r="S667" s="1" t="s">
        <v>20</v>
      </c>
      <c r="T667" s="1" t="s">
        <v>21</v>
      </c>
      <c r="U667" s="1" t="s">
        <v>22</v>
      </c>
      <c r="V667" s="1" t="s">
        <v>24</v>
      </c>
      <c r="W667" s="1" t="s">
        <v>24</v>
      </c>
      <c r="X667" s="1">
        <v>2731</v>
      </c>
      <c r="Y667" s="1">
        <v>2809</v>
      </c>
      <c r="Z667" s="1">
        <v>2746</v>
      </c>
      <c r="AA667" s="1" t="s">
        <v>24</v>
      </c>
      <c r="AB667" s="1" t="s">
        <v>24</v>
      </c>
      <c r="AC667" s="1" t="s">
        <v>24</v>
      </c>
      <c r="AD667" s="1" t="s">
        <v>24</v>
      </c>
      <c r="AE667" s="1" t="s">
        <v>24</v>
      </c>
      <c r="AF667" s="22"/>
    </row>
    <row r="668" spans="1:32" x14ac:dyDescent="0.2">
      <c r="A668" s="1">
        <v>3849</v>
      </c>
      <c r="B668" s="1" t="s">
        <v>2272</v>
      </c>
      <c r="C668" s="5" t="s">
        <v>0</v>
      </c>
      <c r="D668" s="1" t="s">
        <v>2273</v>
      </c>
      <c r="E668" s="1" t="s">
        <v>2274</v>
      </c>
      <c r="F668" s="1" t="s">
        <v>751</v>
      </c>
      <c r="G668" s="1" t="s">
        <v>36</v>
      </c>
      <c r="H668" s="1" t="s">
        <v>37</v>
      </c>
      <c r="I668" s="1" t="s">
        <v>16</v>
      </c>
      <c r="J668" s="1">
        <v>1</v>
      </c>
      <c r="K668" s="1">
        <v>12</v>
      </c>
      <c r="L668" s="1" t="s">
        <v>31</v>
      </c>
      <c r="M668" s="1" t="s">
        <v>18</v>
      </c>
      <c r="N668" s="1" t="s">
        <v>18</v>
      </c>
      <c r="O668" s="1">
        <v>3</v>
      </c>
      <c r="P668" s="1">
        <v>6</v>
      </c>
      <c r="R668" s="1" t="s">
        <v>19</v>
      </c>
      <c r="S668" s="1" t="s">
        <v>20</v>
      </c>
      <c r="T668" s="1" t="s">
        <v>21</v>
      </c>
      <c r="U668" s="1" t="s">
        <v>22</v>
      </c>
      <c r="V668" s="1" t="s">
        <v>24</v>
      </c>
      <c r="W668" s="1" t="s">
        <v>24</v>
      </c>
      <c r="X668" s="1">
        <v>1500</v>
      </c>
      <c r="Y668" s="1">
        <v>1305</v>
      </c>
      <c r="Z668" s="1">
        <v>2103</v>
      </c>
      <c r="AA668" s="1">
        <v>2105</v>
      </c>
      <c r="AB668" s="1">
        <v>2310</v>
      </c>
      <c r="AC668" s="1">
        <v>2311</v>
      </c>
      <c r="AD668" s="1">
        <v>1604</v>
      </c>
      <c r="AE668" s="1">
        <v>1605</v>
      </c>
      <c r="AF668" s="22"/>
    </row>
    <row r="669" spans="1:32" x14ac:dyDescent="0.2">
      <c r="A669" s="1">
        <v>3856</v>
      </c>
      <c r="B669" s="1" t="s">
        <v>2275</v>
      </c>
      <c r="C669" s="5" t="s">
        <v>0</v>
      </c>
      <c r="D669" s="1" t="s">
        <v>2276</v>
      </c>
      <c r="E669" s="1" t="s">
        <v>2277</v>
      </c>
      <c r="F669" s="1" t="s">
        <v>1177</v>
      </c>
      <c r="G669" s="1" t="s">
        <v>61</v>
      </c>
      <c r="H669" s="1" t="s">
        <v>37</v>
      </c>
      <c r="I669" s="1" t="s">
        <v>16</v>
      </c>
      <c r="J669" s="1">
        <v>2</v>
      </c>
      <c r="K669" s="1">
        <v>4</v>
      </c>
      <c r="L669" s="1" t="s">
        <v>31</v>
      </c>
      <c r="M669" s="1" t="s">
        <v>18</v>
      </c>
      <c r="N669" s="1" t="s">
        <v>18</v>
      </c>
      <c r="O669" s="1">
        <v>3</v>
      </c>
      <c r="P669" s="1">
        <v>7</v>
      </c>
      <c r="Q669" s="7" t="s">
        <v>17633</v>
      </c>
      <c r="R669" s="1" t="s">
        <v>19</v>
      </c>
      <c r="S669" s="1" t="s">
        <v>20</v>
      </c>
      <c r="T669" s="1" t="s">
        <v>21</v>
      </c>
      <c r="U669" s="1" t="s">
        <v>22</v>
      </c>
      <c r="V669" s="1" t="s">
        <v>24</v>
      </c>
      <c r="W669" s="1" t="s">
        <v>24</v>
      </c>
      <c r="X669" s="1">
        <v>2734</v>
      </c>
      <c r="Y669" s="1">
        <v>3400</v>
      </c>
      <c r="Z669" s="1" t="s">
        <v>24</v>
      </c>
      <c r="AA669" s="1" t="s">
        <v>24</v>
      </c>
      <c r="AB669" s="1" t="s">
        <v>24</v>
      </c>
      <c r="AC669" s="1" t="s">
        <v>24</v>
      </c>
      <c r="AD669" s="1" t="s">
        <v>24</v>
      </c>
      <c r="AE669" s="1" t="s">
        <v>24</v>
      </c>
      <c r="AF669" s="22"/>
    </row>
    <row r="670" spans="1:32" x14ac:dyDescent="0.2">
      <c r="A670" s="1">
        <v>3857</v>
      </c>
      <c r="B670" s="1" t="s">
        <v>2278</v>
      </c>
      <c r="C670" s="5" t="s">
        <v>0</v>
      </c>
      <c r="D670" s="1" t="s">
        <v>2279</v>
      </c>
      <c r="F670" s="1" t="s">
        <v>1708</v>
      </c>
      <c r="G670" s="1" t="s">
        <v>1708</v>
      </c>
      <c r="H670" s="1" t="s">
        <v>684</v>
      </c>
      <c r="I670" s="1" t="s">
        <v>16</v>
      </c>
      <c r="J670" s="1">
        <v>1</v>
      </c>
      <c r="K670" s="1">
        <v>6</v>
      </c>
      <c r="L670" s="1" t="s">
        <v>17</v>
      </c>
      <c r="M670" s="1" t="s">
        <v>18</v>
      </c>
      <c r="N670" s="1" t="s">
        <v>18</v>
      </c>
      <c r="O670" s="1">
        <v>3</v>
      </c>
      <c r="P670" s="1">
        <v>6</v>
      </c>
      <c r="R670" s="1" t="s">
        <v>19</v>
      </c>
      <c r="S670" s="1" t="s">
        <v>20</v>
      </c>
      <c r="T670" s="1" t="s">
        <v>21</v>
      </c>
      <c r="U670" s="1" t="s">
        <v>22</v>
      </c>
      <c r="V670" s="1" t="s">
        <v>24</v>
      </c>
      <c r="W670" s="1" t="s">
        <v>24</v>
      </c>
      <c r="X670" s="1">
        <v>2705</v>
      </c>
      <c r="Y670" s="1">
        <v>2746</v>
      </c>
      <c r="Z670" s="1" t="s">
        <v>24</v>
      </c>
      <c r="AA670" s="1" t="s">
        <v>24</v>
      </c>
      <c r="AB670" s="1" t="s">
        <v>24</v>
      </c>
      <c r="AC670" s="1" t="s">
        <v>24</v>
      </c>
      <c r="AD670" s="1" t="s">
        <v>24</v>
      </c>
      <c r="AE670" s="1" t="s">
        <v>24</v>
      </c>
      <c r="AF670" s="22"/>
    </row>
    <row r="671" spans="1:32" x14ac:dyDescent="0.2">
      <c r="A671" s="1">
        <v>3859</v>
      </c>
      <c r="B671" s="1" t="s">
        <v>2280</v>
      </c>
      <c r="C671" s="5" t="s">
        <v>0</v>
      </c>
      <c r="D671" s="1" t="s">
        <v>2281</v>
      </c>
      <c r="F671" s="1" t="s">
        <v>2282</v>
      </c>
      <c r="G671" s="1" t="s">
        <v>2282</v>
      </c>
      <c r="H671" s="1" t="s">
        <v>899</v>
      </c>
      <c r="I671" s="1" t="s">
        <v>16</v>
      </c>
      <c r="J671" s="1">
        <v>1</v>
      </c>
      <c r="K671" s="1">
        <v>4</v>
      </c>
      <c r="L671" s="1" t="s">
        <v>17</v>
      </c>
      <c r="M671" s="1" t="s">
        <v>18</v>
      </c>
      <c r="N671" s="1" t="s">
        <v>18</v>
      </c>
      <c r="O671" s="1">
        <v>2</v>
      </c>
      <c r="P671" s="1">
        <v>3</v>
      </c>
      <c r="R671" s="1" t="s">
        <v>19</v>
      </c>
      <c r="S671" s="1" t="s">
        <v>20</v>
      </c>
      <c r="T671" s="1" t="s">
        <v>21</v>
      </c>
      <c r="U671" s="1" t="s">
        <v>22</v>
      </c>
      <c r="V671" s="1" t="s">
        <v>24</v>
      </c>
      <c r="W671" s="1" t="s">
        <v>24</v>
      </c>
      <c r="X671" s="1">
        <v>2712</v>
      </c>
      <c r="Y671" s="1">
        <v>2724</v>
      </c>
      <c r="Z671" s="1" t="s">
        <v>24</v>
      </c>
      <c r="AA671" s="1" t="s">
        <v>24</v>
      </c>
      <c r="AB671" s="1" t="s">
        <v>24</v>
      </c>
      <c r="AC671" s="1" t="s">
        <v>24</v>
      </c>
      <c r="AD671" s="1" t="s">
        <v>24</v>
      </c>
      <c r="AE671" s="1" t="s">
        <v>24</v>
      </c>
      <c r="AF671" s="22"/>
    </row>
    <row r="672" spans="1:32" x14ac:dyDescent="0.2">
      <c r="A672" s="1">
        <v>3863</v>
      </c>
      <c r="B672" s="1" t="s">
        <v>2283</v>
      </c>
      <c r="C672" s="5" t="s">
        <v>0</v>
      </c>
      <c r="D672" s="1" t="s">
        <v>2284</v>
      </c>
      <c r="E672" s="1" t="s">
        <v>2285</v>
      </c>
      <c r="F672" s="1" t="s">
        <v>1945</v>
      </c>
      <c r="G672" s="1" t="s">
        <v>80</v>
      </c>
      <c r="H672" s="1" t="s">
        <v>30</v>
      </c>
      <c r="I672" s="1" t="s">
        <v>16</v>
      </c>
      <c r="J672" s="1">
        <v>1</v>
      </c>
      <c r="K672" s="1">
        <v>4</v>
      </c>
      <c r="L672" s="1" t="s">
        <v>31</v>
      </c>
      <c r="M672" s="1" t="s">
        <v>18</v>
      </c>
      <c r="N672" s="1" t="s">
        <v>18</v>
      </c>
      <c r="O672" s="1">
        <v>3</v>
      </c>
      <c r="P672" s="1">
        <v>6</v>
      </c>
      <c r="R672" s="1" t="s">
        <v>19</v>
      </c>
      <c r="S672" s="1" t="s">
        <v>20</v>
      </c>
      <c r="T672" s="1" t="s">
        <v>21</v>
      </c>
      <c r="U672" s="1" t="s">
        <v>22</v>
      </c>
      <c r="V672" s="1" t="s">
        <v>23</v>
      </c>
      <c r="W672" s="1" t="s">
        <v>24</v>
      </c>
      <c r="X672" s="1">
        <v>2701</v>
      </c>
      <c r="Y672" s="1">
        <v>2738</v>
      </c>
      <c r="Z672" s="1">
        <v>2739</v>
      </c>
      <c r="AA672" s="1">
        <v>3306</v>
      </c>
      <c r="AB672" s="1" t="s">
        <v>24</v>
      </c>
      <c r="AC672" s="1" t="s">
        <v>24</v>
      </c>
      <c r="AD672" s="1" t="s">
        <v>24</v>
      </c>
      <c r="AE672" s="1" t="s">
        <v>24</v>
      </c>
      <c r="AF672" s="22"/>
    </row>
    <row r="673" spans="1:32" x14ac:dyDescent="0.2">
      <c r="A673" s="1">
        <v>3867</v>
      </c>
      <c r="B673" s="1" t="s">
        <v>2286</v>
      </c>
      <c r="C673" s="5" t="s">
        <v>0</v>
      </c>
      <c r="D673" s="1" t="s">
        <v>2287</v>
      </c>
      <c r="E673" s="1" t="s">
        <v>2288</v>
      </c>
      <c r="F673" s="1" t="s">
        <v>493</v>
      </c>
      <c r="G673" s="1" t="s">
        <v>98</v>
      </c>
      <c r="H673" s="1" t="s">
        <v>30</v>
      </c>
      <c r="I673" s="1" t="s">
        <v>16</v>
      </c>
      <c r="J673" s="1">
        <v>1</v>
      </c>
      <c r="K673" s="1">
        <v>6</v>
      </c>
      <c r="L673" s="1" t="s">
        <v>31</v>
      </c>
      <c r="M673" s="1" t="s">
        <v>18</v>
      </c>
      <c r="N673" s="1" t="s">
        <v>18</v>
      </c>
      <c r="O673" s="1">
        <v>3</v>
      </c>
      <c r="P673" s="1">
        <v>7</v>
      </c>
      <c r="Q673" s="7" t="s">
        <v>17633</v>
      </c>
      <c r="R673" s="1" t="s">
        <v>19</v>
      </c>
      <c r="S673" s="1" t="s">
        <v>20</v>
      </c>
      <c r="T673" s="1" t="s">
        <v>21</v>
      </c>
      <c r="U673" s="1" t="s">
        <v>22</v>
      </c>
      <c r="V673" s="1" t="s">
        <v>23</v>
      </c>
      <c r="W673" s="1" t="s">
        <v>24</v>
      </c>
      <c r="X673" s="1">
        <v>2741</v>
      </c>
      <c r="Y673" s="1">
        <v>3614</v>
      </c>
      <c r="Z673" s="1" t="s">
        <v>24</v>
      </c>
      <c r="AA673" s="1" t="s">
        <v>24</v>
      </c>
      <c r="AB673" s="1" t="s">
        <v>24</v>
      </c>
      <c r="AC673" s="1" t="s">
        <v>24</v>
      </c>
      <c r="AD673" s="1" t="s">
        <v>24</v>
      </c>
      <c r="AE673" s="1" t="s">
        <v>24</v>
      </c>
      <c r="AF673" s="22"/>
    </row>
    <row r="674" spans="1:32" x14ac:dyDescent="0.2">
      <c r="A674" s="1">
        <v>3868</v>
      </c>
      <c r="B674" s="1" t="s">
        <v>2289</v>
      </c>
      <c r="C674" s="5" t="s">
        <v>0</v>
      </c>
      <c r="D674" s="1" t="s">
        <v>2290</v>
      </c>
      <c r="E674" s="1" t="s">
        <v>2291</v>
      </c>
      <c r="F674" s="1" t="s">
        <v>35</v>
      </c>
      <c r="G674" s="1" t="s">
        <v>36</v>
      </c>
      <c r="H674" s="1" t="s">
        <v>37</v>
      </c>
      <c r="I674" s="1" t="s">
        <v>16</v>
      </c>
      <c r="J674" s="1">
        <v>1</v>
      </c>
      <c r="K674" s="1">
        <v>12</v>
      </c>
      <c r="L674" s="1" t="s">
        <v>31</v>
      </c>
      <c r="M674" s="1" t="s">
        <v>2292</v>
      </c>
      <c r="N674" s="1" t="s">
        <v>18</v>
      </c>
      <c r="O674" s="1">
        <v>3</v>
      </c>
      <c r="P674" s="1">
        <v>6</v>
      </c>
      <c r="R674" s="1" t="s">
        <v>19</v>
      </c>
      <c r="S674" s="1" t="s">
        <v>20</v>
      </c>
      <c r="T674" s="1" t="s">
        <v>21</v>
      </c>
      <c r="U674" s="1" t="s">
        <v>22</v>
      </c>
      <c r="V674" s="1" t="s">
        <v>24</v>
      </c>
      <c r="W674" s="1" t="s">
        <v>24</v>
      </c>
      <c r="X674" s="1">
        <v>2708</v>
      </c>
      <c r="Y674" s="1" t="s">
        <v>24</v>
      </c>
      <c r="Z674" s="1" t="s">
        <v>24</v>
      </c>
      <c r="AA674" s="1" t="s">
        <v>24</v>
      </c>
      <c r="AB674" s="1" t="s">
        <v>24</v>
      </c>
      <c r="AC674" s="1" t="s">
        <v>24</v>
      </c>
      <c r="AD674" s="1" t="s">
        <v>24</v>
      </c>
      <c r="AE674" s="1" t="s">
        <v>24</v>
      </c>
      <c r="AF674" s="22"/>
    </row>
    <row r="675" spans="1:32" x14ac:dyDescent="0.2">
      <c r="A675" s="1">
        <v>3880</v>
      </c>
      <c r="B675" s="1" t="s">
        <v>2293</v>
      </c>
      <c r="C675" s="5" t="s">
        <v>0</v>
      </c>
      <c r="D675" s="1" t="s">
        <v>2294</v>
      </c>
      <c r="E675" s="1" t="s">
        <v>2295</v>
      </c>
      <c r="F675" s="1" t="s">
        <v>2296</v>
      </c>
      <c r="G675" s="1" t="s">
        <v>61</v>
      </c>
      <c r="H675" s="1" t="s">
        <v>30</v>
      </c>
      <c r="I675" s="1" t="s">
        <v>16</v>
      </c>
      <c r="J675" s="1">
        <v>1</v>
      </c>
      <c r="K675" s="1">
        <v>6</v>
      </c>
      <c r="L675" s="1" t="s">
        <v>31</v>
      </c>
      <c r="M675" s="1" t="s">
        <v>18</v>
      </c>
      <c r="N675" s="1" t="s">
        <v>18</v>
      </c>
      <c r="O675" s="1">
        <v>3</v>
      </c>
      <c r="P675" s="1">
        <v>7</v>
      </c>
      <c r="Q675" s="7" t="s">
        <v>17633</v>
      </c>
      <c r="R675" s="1" t="s">
        <v>19</v>
      </c>
      <c r="S675" s="1" t="s">
        <v>20</v>
      </c>
      <c r="T675" s="1" t="s">
        <v>21</v>
      </c>
      <c r="U675" s="1" t="s">
        <v>22</v>
      </c>
      <c r="V675" s="1" t="s">
        <v>23</v>
      </c>
      <c r="W675" s="1" t="s">
        <v>24</v>
      </c>
      <c r="X675" s="1">
        <v>2705</v>
      </c>
      <c r="Y675" s="1" t="s">
        <v>24</v>
      </c>
      <c r="Z675" s="1" t="s">
        <v>24</v>
      </c>
      <c r="AA675" s="1" t="s">
        <v>24</v>
      </c>
      <c r="AB675" s="1" t="s">
        <v>24</v>
      </c>
      <c r="AC675" s="1" t="s">
        <v>24</v>
      </c>
      <c r="AD675" s="1" t="s">
        <v>24</v>
      </c>
      <c r="AE675" s="1" t="s">
        <v>24</v>
      </c>
      <c r="AF675" s="22"/>
    </row>
    <row r="676" spans="1:32" x14ac:dyDescent="0.2">
      <c r="A676" s="1">
        <v>3883</v>
      </c>
      <c r="B676" s="1" t="s">
        <v>2297</v>
      </c>
      <c r="C676" s="5" t="s">
        <v>0</v>
      </c>
      <c r="E676" s="1" t="s">
        <v>2298</v>
      </c>
      <c r="F676" s="1" t="s">
        <v>2299</v>
      </c>
      <c r="G676" s="1" t="s">
        <v>2300</v>
      </c>
      <c r="H676" s="1" t="s">
        <v>37</v>
      </c>
      <c r="I676" s="1" t="s">
        <v>16</v>
      </c>
      <c r="J676" s="1">
        <v>1</v>
      </c>
      <c r="K676" s="1">
        <v>4</v>
      </c>
      <c r="L676" s="1" t="s">
        <v>31</v>
      </c>
      <c r="M676" s="1" t="s">
        <v>18</v>
      </c>
      <c r="N676" s="1" t="s">
        <v>18</v>
      </c>
      <c r="O676" s="1">
        <v>3</v>
      </c>
      <c r="P676" s="1">
        <v>7</v>
      </c>
      <c r="Q676" s="7" t="s">
        <v>17633</v>
      </c>
      <c r="R676" s="1" t="s">
        <v>19</v>
      </c>
      <c r="S676" s="1" t="s">
        <v>63</v>
      </c>
      <c r="T676" s="1" t="s">
        <v>21</v>
      </c>
      <c r="U676" s="1" t="s">
        <v>22</v>
      </c>
      <c r="V676" s="1" t="s">
        <v>24</v>
      </c>
      <c r="W676" s="1" t="s">
        <v>24</v>
      </c>
      <c r="X676" s="1">
        <v>1306</v>
      </c>
      <c r="Y676" s="1">
        <v>2730</v>
      </c>
      <c r="Z676" s="1" t="s">
        <v>24</v>
      </c>
      <c r="AA676" s="1" t="s">
        <v>24</v>
      </c>
      <c r="AB676" s="1" t="s">
        <v>24</v>
      </c>
      <c r="AC676" s="1" t="s">
        <v>24</v>
      </c>
      <c r="AD676" s="1" t="s">
        <v>24</v>
      </c>
      <c r="AE676" s="1" t="s">
        <v>24</v>
      </c>
      <c r="AF676" s="22"/>
    </row>
    <row r="677" spans="1:32" x14ac:dyDescent="0.2">
      <c r="A677" s="1">
        <v>3895</v>
      </c>
      <c r="B677" s="1" t="s">
        <v>2301</v>
      </c>
      <c r="C677" s="5" t="s">
        <v>0</v>
      </c>
      <c r="D677" s="1" t="s">
        <v>2302</v>
      </c>
      <c r="E677" s="1" t="s">
        <v>2303</v>
      </c>
      <c r="F677" s="1" t="s">
        <v>2304</v>
      </c>
      <c r="G677" s="1" t="s">
        <v>2304</v>
      </c>
      <c r="H677" s="1" t="s">
        <v>684</v>
      </c>
      <c r="I677" s="1" t="s">
        <v>16</v>
      </c>
      <c r="J677" s="1">
        <v>1</v>
      </c>
      <c r="K677" s="1">
        <v>12</v>
      </c>
      <c r="L677" s="1" t="s">
        <v>42</v>
      </c>
      <c r="M677" s="1" t="s">
        <v>18</v>
      </c>
      <c r="N677" s="1" t="s">
        <v>18</v>
      </c>
      <c r="O677" s="1">
        <v>3</v>
      </c>
      <c r="P677" s="1">
        <v>6</v>
      </c>
      <c r="R677" s="1" t="s">
        <v>19</v>
      </c>
      <c r="S677" s="1" t="s">
        <v>20</v>
      </c>
      <c r="T677" s="1" t="s">
        <v>21</v>
      </c>
      <c r="U677" s="1" t="s">
        <v>22</v>
      </c>
      <c r="V677" s="1" t="s">
        <v>24</v>
      </c>
      <c r="W677" s="1" t="s">
        <v>24</v>
      </c>
      <c r="X677" s="1">
        <v>2712</v>
      </c>
      <c r="Y677" s="1">
        <v>1310</v>
      </c>
      <c r="Z677" s="1" t="s">
        <v>24</v>
      </c>
      <c r="AA677" s="1" t="s">
        <v>24</v>
      </c>
      <c r="AB677" s="1" t="s">
        <v>24</v>
      </c>
      <c r="AC677" s="1" t="s">
        <v>24</v>
      </c>
      <c r="AD677" s="1" t="s">
        <v>24</v>
      </c>
      <c r="AE677" s="1" t="s">
        <v>24</v>
      </c>
      <c r="AF677" s="22"/>
    </row>
    <row r="678" spans="1:32" x14ac:dyDescent="0.2">
      <c r="A678" s="1">
        <v>3901</v>
      </c>
      <c r="B678" s="1" t="s">
        <v>2305</v>
      </c>
      <c r="C678" s="5" t="s">
        <v>0</v>
      </c>
      <c r="D678" s="1" t="s">
        <v>2306</v>
      </c>
      <c r="E678" s="1" t="s">
        <v>2307</v>
      </c>
      <c r="F678" s="1" t="s">
        <v>2225</v>
      </c>
      <c r="G678" s="1" t="s">
        <v>2225</v>
      </c>
      <c r="H678" s="1" t="s">
        <v>30</v>
      </c>
      <c r="I678" s="1" t="s">
        <v>16</v>
      </c>
      <c r="J678" s="1">
        <v>1</v>
      </c>
      <c r="K678" s="1">
        <v>13</v>
      </c>
      <c r="L678" s="1" t="s">
        <v>42</v>
      </c>
      <c r="M678" s="1" t="s">
        <v>18</v>
      </c>
      <c r="N678" s="1" t="s">
        <v>18</v>
      </c>
      <c r="O678" s="1">
        <v>3</v>
      </c>
      <c r="P678" s="1">
        <v>8</v>
      </c>
      <c r="Q678" s="7" t="s">
        <v>17633</v>
      </c>
      <c r="R678" s="1" t="s">
        <v>62</v>
      </c>
      <c r="S678" s="1" t="s">
        <v>20</v>
      </c>
      <c r="T678" s="1" t="s">
        <v>21</v>
      </c>
      <c r="U678" s="1" t="s">
        <v>22</v>
      </c>
      <c r="V678" s="1" t="s">
        <v>24</v>
      </c>
      <c r="W678" s="1" t="s">
        <v>24</v>
      </c>
      <c r="X678" s="1">
        <v>2403</v>
      </c>
      <c r="Y678" s="1">
        <v>2723</v>
      </c>
      <c r="Z678" s="1" t="s">
        <v>24</v>
      </c>
      <c r="AA678" s="1" t="s">
        <v>24</v>
      </c>
      <c r="AB678" s="1" t="s">
        <v>24</v>
      </c>
      <c r="AC678" s="1" t="s">
        <v>24</v>
      </c>
      <c r="AD678" s="1" t="s">
        <v>24</v>
      </c>
      <c r="AE678" s="1" t="s">
        <v>24</v>
      </c>
      <c r="AF678" s="22"/>
    </row>
    <row r="679" spans="1:32" x14ac:dyDescent="0.2">
      <c r="A679" s="1">
        <v>3902</v>
      </c>
      <c r="B679" s="1" t="s">
        <v>2308</v>
      </c>
      <c r="C679" s="5" t="s">
        <v>0</v>
      </c>
      <c r="D679" s="1" t="s">
        <v>2309</v>
      </c>
      <c r="F679" s="1" t="s">
        <v>673</v>
      </c>
      <c r="G679" s="1" t="s">
        <v>61</v>
      </c>
      <c r="H679" s="1" t="s">
        <v>30</v>
      </c>
      <c r="I679" s="1" t="s">
        <v>16</v>
      </c>
      <c r="J679" s="1">
        <v>2</v>
      </c>
      <c r="K679" s="1">
        <v>4</v>
      </c>
      <c r="L679" s="1" t="s">
        <v>31</v>
      </c>
      <c r="M679" s="1" t="s">
        <v>18</v>
      </c>
      <c r="N679" s="1" t="s">
        <v>18</v>
      </c>
      <c r="O679" s="1">
        <v>3</v>
      </c>
      <c r="P679" s="1">
        <v>7</v>
      </c>
      <c r="Q679" s="7" t="s">
        <v>17633</v>
      </c>
      <c r="R679" s="1" t="s">
        <v>19</v>
      </c>
      <c r="S679" s="1" t="s">
        <v>20</v>
      </c>
      <c r="T679" s="1" t="s">
        <v>21</v>
      </c>
      <c r="U679" s="1" t="s">
        <v>22</v>
      </c>
      <c r="V679" s="1" t="s">
        <v>23</v>
      </c>
      <c r="W679" s="1" t="s">
        <v>24</v>
      </c>
      <c r="X679" s="1">
        <v>2711</v>
      </c>
      <c r="Y679" s="1" t="s">
        <v>24</v>
      </c>
      <c r="Z679" s="1" t="s">
        <v>24</v>
      </c>
      <c r="AA679" s="1" t="s">
        <v>24</v>
      </c>
      <c r="AB679" s="1" t="s">
        <v>24</v>
      </c>
      <c r="AC679" s="1" t="s">
        <v>24</v>
      </c>
      <c r="AD679" s="1" t="s">
        <v>24</v>
      </c>
      <c r="AE679" s="1" t="s">
        <v>24</v>
      </c>
      <c r="AF679" s="22"/>
    </row>
    <row r="680" spans="1:32" x14ac:dyDescent="0.2">
      <c r="A680" s="1">
        <v>3910</v>
      </c>
      <c r="B680" s="1" t="s">
        <v>2310</v>
      </c>
      <c r="C680" s="5" t="s">
        <v>0</v>
      </c>
      <c r="D680" s="1" t="s">
        <v>2311</v>
      </c>
      <c r="F680" s="1" t="s">
        <v>1278</v>
      </c>
      <c r="G680" s="1" t="s">
        <v>1279</v>
      </c>
      <c r="H680" s="1" t="s">
        <v>30</v>
      </c>
      <c r="I680" s="1" t="s">
        <v>16</v>
      </c>
      <c r="J680" s="1">
        <v>1</v>
      </c>
      <c r="K680" s="1">
        <v>4</v>
      </c>
      <c r="L680" s="1" t="s">
        <v>42</v>
      </c>
      <c r="M680" s="1" t="s">
        <v>18</v>
      </c>
      <c r="N680" s="1" t="s">
        <v>18</v>
      </c>
      <c r="O680" s="1">
        <v>3</v>
      </c>
      <c r="P680" s="1">
        <v>7</v>
      </c>
      <c r="Q680" s="7" t="s">
        <v>17633</v>
      </c>
      <c r="R680" s="1" t="s">
        <v>19</v>
      </c>
      <c r="S680" s="1" t="s">
        <v>20</v>
      </c>
      <c r="T680" s="1" t="s">
        <v>21</v>
      </c>
      <c r="U680" s="1" t="s">
        <v>22</v>
      </c>
      <c r="V680" s="1" t="s">
        <v>24</v>
      </c>
      <c r="W680" s="1" t="s">
        <v>24</v>
      </c>
      <c r="X680" s="1">
        <v>2307</v>
      </c>
      <c r="Y680" s="1">
        <v>2734</v>
      </c>
      <c r="Z680" s="1">
        <v>3005</v>
      </c>
      <c r="AA680" s="1" t="s">
        <v>24</v>
      </c>
      <c r="AB680" s="1" t="s">
        <v>24</v>
      </c>
      <c r="AC680" s="1" t="s">
        <v>24</v>
      </c>
      <c r="AD680" s="1" t="s">
        <v>24</v>
      </c>
      <c r="AE680" s="1" t="s">
        <v>24</v>
      </c>
      <c r="AF680" s="22"/>
    </row>
    <row r="681" spans="1:32" x14ac:dyDescent="0.2">
      <c r="A681" s="1">
        <v>3913</v>
      </c>
      <c r="B681" s="1" t="s">
        <v>2312</v>
      </c>
      <c r="C681" s="5" t="s">
        <v>0</v>
      </c>
      <c r="D681" s="1" t="s">
        <v>2313</v>
      </c>
      <c r="E681" s="1" t="s">
        <v>2314</v>
      </c>
      <c r="F681" s="1" t="s">
        <v>155</v>
      </c>
      <c r="G681" s="1" t="s">
        <v>61</v>
      </c>
      <c r="H681" s="1" t="s">
        <v>37</v>
      </c>
      <c r="I681" s="1" t="s">
        <v>16</v>
      </c>
      <c r="J681" s="1">
        <v>4</v>
      </c>
      <c r="K681" s="1">
        <v>3</v>
      </c>
      <c r="L681" s="1" t="s">
        <v>31</v>
      </c>
      <c r="M681" s="1" t="s">
        <v>18</v>
      </c>
      <c r="N681" s="1" t="s">
        <v>18</v>
      </c>
      <c r="O681" s="1">
        <v>3</v>
      </c>
      <c r="P681" s="1">
        <v>6</v>
      </c>
      <c r="R681" s="1" t="s">
        <v>19</v>
      </c>
      <c r="S681" s="1" t="s">
        <v>63</v>
      </c>
      <c r="T681" s="1" t="s">
        <v>21</v>
      </c>
      <c r="U681" s="1" t="s">
        <v>22</v>
      </c>
      <c r="V681" s="1" t="s">
        <v>24</v>
      </c>
      <c r="W681" s="1" t="s">
        <v>24</v>
      </c>
      <c r="X681" s="1">
        <v>2304</v>
      </c>
      <c r="Y681" s="1">
        <v>2307</v>
      </c>
      <c r="Z681" s="1">
        <v>2311</v>
      </c>
      <c r="AA681" s="1">
        <v>2310</v>
      </c>
      <c r="AB681" s="1" t="s">
        <v>24</v>
      </c>
      <c r="AC681" s="1" t="s">
        <v>24</v>
      </c>
      <c r="AD681" s="1" t="s">
        <v>24</v>
      </c>
      <c r="AE681" s="1" t="s">
        <v>24</v>
      </c>
      <c r="AF681" s="22"/>
    </row>
    <row r="682" spans="1:32" x14ac:dyDescent="0.2">
      <c r="A682" s="1">
        <v>3922</v>
      </c>
      <c r="B682" s="1" t="s">
        <v>2315</v>
      </c>
      <c r="C682" s="5" t="s">
        <v>0</v>
      </c>
      <c r="D682" s="1" t="s">
        <v>2316</v>
      </c>
      <c r="E682" s="1" t="s">
        <v>2317</v>
      </c>
      <c r="F682" s="1" t="s">
        <v>601</v>
      </c>
      <c r="G682" s="1" t="s">
        <v>61</v>
      </c>
      <c r="H682" s="1" t="s">
        <v>37</v>
      </c>
      <c r="I682" s="1" t="s">
        <v>16</v>
      </c>
      <c r="J682" s="1">
        <v>3</v>
      </c>
      <c r="K682" s="1">
        <v>4</v>
      </c>
      <c r="L682" s="1" t="s">
        <v>31</v>
      </c>
      <c r="M682" s="1" t="s">
        <v>18</v>
      </c>
      <c r="N682" s="1" t="s">
        <v>18</v>
      </c>
      <c r="O682" s="1">
        <v>3</v>
      </c>
      <c r="P682" s="1">
        <v>6</v>
      </c>
      <c r="R682" s="1" t="s">
        <v>19</v>
      </c>
      <c r="S682" s="1" t="s">
        <v>63</v>
      </c>
      <c r="T682" s="1" t="s">
        <v>21</v>
      </c>
      <c r="U682" s="1" t="s">
        <v>22</v>
      </c>
      <c r="V682" s="1" t="s">
        <v>24</v>
      </c>
      <c r="W682" s="1" t="s">
        <v>24</v>
      </c>
      <c r="X682" s="1">
        <v>2305</v>
      </c>
      <c r="Y682" s="1">
        <v>2311</v>
      </c>
      <c r="Z682" s="1">
        <v>2308</v>
      </c>
      <c r="AA682" s="1" t="s">
        <v>24</v>
      </c>
      <c r="AB682" s="1" t="s">
        <v>24</v>
      </c>
      <c r="AC682" s="1" t="s">
        <v>24</v>
      </c>
      <c r="AD682" s="1" t="s">
        <v>24</v>
      </c>
      <c r="AE682" s="1" t="s">
        <v>24</v>
      </c>
      <c r="AF682" s="22"/>
    </row>
    <row r="683" spans="1:32" x14ac:dyDescent="0.2">
      <c r="A683" s="1">
        <v>3923</v>
      </c>
      <c r="B683" s="1" t="s">
        <v>2318</v>
      </c>
      <c r="C683" s="5" t="s">
        <v>0</v>
      </c>
      <c r="D683" s="1" t="s">
        <v>2319</v>
      </c>
      <c r="E683" s="1" t="s">
        <v>2320</v>
      </c>
      <c r="F683" s="1" t="s">
        <v>2321</v>
      </c>
      <c r="G683" s="1" t="s">
        <v>2322</v>
      </c>
      <c r="H683" s="1" t="s">
        <v>30</v>
      </c>
      <c r="I683" s="1" t="s">
        <v>16</v>
      </c>
      <c r="J683" s="1">
        <v>1</v>
      </c>
      <c r="K683" s="1">
        <v>6</v>
      </c>
      <c r="L683" s="1" t="s">
        <v>42</v>
      </c>
      <c r="M683" s="1" t="s">
        <v>18</v>
      </c>
      <c r="N683" s="1" t="s">
        <v>18</v>
      </c>
      <c r="O683" s="1">
        <v>3</v>
      </c>
      <c r="P683" s="1">
        <v>6</v>
      </c>
      <c r="R683" s="1" t="s">
        <v>19</v>
      </c>
      <c r="S683" s="1" t="s">
        <v>20</v>
      </c>
      <c r="T683" s="1" t="s">
        <v>21</v>
      </c>
      <c r="U683" s="1" t="s">
        <v>22</v>
      </c>
      <c r="V683" s="1" t="s">
        <v>24</v>
      </c>
      <c r="W683" s="1" t="s">
        <v>24</v>
      </c>
      <c r="X683" s="1">
        <v>2305</v>
      </c>
      <c r="Y683" s="1">
        <v>2310</v>
      </c>
      <c r="Z683" s="1">
        <v>2308</v>
      </c>
      <c r="AA683" s="1">
        <v>2311</v>
      </c>
      <c r="AB683" s="1">
        <v>2312</v>
      </c>
      <c r="AC683" s="1" t="s">
        <v>24</v>
      </c>
      <c r="AD683" s="1" t="s">
        <v>24</v>
      </c>
      <c r="AE683" s="1" t="s">
        <v>24</v>
      </c>
      <c r="AF683" s="22"/>
    </row>
    <row r="684" spans="1:32" x14ac:dyDescent="0.2">
      <c r="A684" s="1">
        <v>3926</v>
      </c>
      <c r="B684" s="1" t="s">
        <v>2323</v>
      </c>
      <c r="C684" s="5" t="s">
        <v>0</v>
      </c>
      <c r="D684" s="1" t="s">
        <v>2324</v>
      </c>
      <c r="F684" s="1" t="s">
        <v>2325</v>
      </c>
      <c r="G684" s="1" t="s">
        <v>2326</v>
      </c>
      <c r="H684" s="1" t="s">
        <v>30</v>
      </c>
      <c r="I684" s="1" t="s">
        <v>16</v>
      </c>
      <c r="J684" s="1">
        <v>1</v>
      </c>
      <c r="K684" s="1">
        <v>4</v>
      </c>
      <c r="L684" s="1" t="s">
        <v>42</v>
      </c>
      <c r="M684" s="1" t="s">
        <v>18</v>
      </c>
      <c r="N684" s="1" t="s">
        <v>18</v>
      </c>
      <c r="O684" s="1">
        <v>3</v>
      </c>
      <c r="P684" s="1">
        <v>6</v>
      </c>
      <c r="R684" s="1" t="s">
        <v>19</v>
      </c>
      <c r="S684" s="1" t="s">
        <v>20</v>
      </c>
      <c r="T684" s="1" t="s">
        <v>21</v>
      </c>
      <c r="U684" s="1" t="s">
        <v>22</v>
      </c>
      <c r="V684" s="1" t="s">
        <v>23</v>
      </c>
      <c r="W684" s="1" t="s">
        <v>24</v>
      </c>
      <c r="X684" s="1">
        <v>2701</v>
      </c>
      <c r="Y684" s="1">
        <v>2705</v>
      </c>
      <c r="Z684" s="1">
        <v>3601</v>
      </c>
      <c r="AA684" s="1" t="s">
        <v>24</v>
      </c>
      <c r="AB684" s="1" t="s">
        <v>24</v>
      </c>
      <c r="AC684" s="1" t="s">
        <v>24</v>
      </c>
      <c r="AD684" s="1" t="s">
        <v>24</v>
      </c>
      <c r="AE684" s="1" t="s">
        <v>24</v>
      </c>
      <c r="AF684" s="22"/>
    </row>
    <row r="685" spans="1:32" x14ac:dyDescent="0.2">
      <c r="A685" s="1">
        <v>3929</v>
      </c>
      <c r="B685" s="1" t="s">
        <v>2327</v>
      </c>
      <c r="C685" s="5" t="s">
        <v>0</v>
      </c>
      <c r="D685" s="1" t="s">
        <v>2328</v>
      </c>
      <c r="E685" s="1" t="s">
        <v>2329</v>
      </c>
      <c r="F685" s="1" t="s">
        <v>2330</v>
      </c>
      <c r="G685" s="1" t="s">
        <v>2330</v>
      </c>
      <c r="H685" s="1" t="s">
        <v>30</v>
      </c>
      <c r="I685" s="1" t="s">
        <v>16</v>
      </c>
      <c r="J685" s="1">
        <v>1</v>
      </c>
      <c r="K685" s="1">
        <v>12</v>
      </c>
      <c r="L685" s="1" t="s">
        <v>42</v>
      </c>
      <c r="M685" s="1" t="s">
        <v>18</v>
      </c>
      <c r="N685" s="1" t="s">
        <v>18</v>
      </c>
      <c r="O685" s="1">
        <v>3</v>
      </c>
      <c r="P685" s="1">
        <v>6</v>
      </c>
      <c r="R685" s="1" t="s">
        <v>19</v>
      </c>
      <c r="S685" s="1" t="s">
        <v>20</v>
      </c>
      <c r="T685" s="1" t="s">
        <v>21</v>
      </c>
      <c r="U685" s="1" t="s">
        <v>22</v>
      </c>
      <c r="V685" s="1" t="s">
        <v>23</v>
      </c>
      <c r="W685" s="1" t="s">
        <v>24</v>
      </c>
      <c r="X685" s="1">
        <v>2714</v>
      </c>
      <c r="Y685" s="1" t="s">
        <v>24</v>
      </c>
      <c r="Z685" s="1" t="s">
        <v>24</v>
      </c>
      <c r="AA685" s="1" t="s">
        <v>24</v>
      </c>
      <c r="AB685" s="1" t="s">
        <v>24</v>
      </c>
      <c r="AC685" s="1" t="s">
        <v>24</v>
      </c>
      <c r="AD685" s="1" t="s">
        <v>24</v>
      </c>
      <c r="AE685" s="1" t="s">
        <v>24</v>
      </c>
      <c r="AF685" s="22"/>
    </row>
    <row r="686" spans="1:32" x14ac:dyDescent="0.2">
      <c r="A686" s="1">
        <v>3955</v>
      </c>
      <c r="B686" s="1" t="s">
        <v>2331</v>
      </c>
      <c r="C686" s="5" t="s">
        <v>0</v>
      </c>
      <c r="D686" s="1" t="s">
        <v>2332</v>
      </c>
      <c r="E686" s="1" t="s">
        <v>2333</v>
      </c>
      <c r="F686" s="1" t="s">
        <v>2334</v>
      </c>
      <c r="G686" s="1" t="s">
        <v>460</v>
      </c>
      <c r="H686" s="1" t="s">
        <v>461</v>
      </c>
      <c r="I686" s="1" t="s">
        <v>16</v>
      </c>
      <c r="J686" s="1">
        <v>1</v>
      </c>
      <c r="K686" s="1">
        <v>6</v>
      </c>
      <c r="L686" s="1" t="s">
        <v>42</v>
      </c>
      <c r="M686" s="1" t="s">
        <v>18</v>
      </c>
      <c r="N686" s="1" t="s">
        <v>18</v>
      </c>
      <c r="O686" s="1">
        <v>3</v>
      </c>
      <c r="P686" s="1">
        <v>6</v>
      </c>
      <c r="R686" s="1" t="s">
        <v>19</v>
      </c>
      <c r="S686" s="1" t="s">
        <v>20</v>
      </c>
      <c r="T686" s="1" t="s">
        <v>21</v>
      </c>
      <c r="U686" s="1" t="s">
        <v>22</v>
      </c>
      <c r="V686" s="1" t="s">
        <v>24</v>
      </c>
      <c r="W686" s="1" t="s">
        <v>24</v>
      </c>
      <c r="X686" s="1">
        <v>2402</v>
      </c>
      <c r="Y686" s="1">
        <v>2404</v>
      </c>
      <c r="Z686" s="1" t="s">
        <v>24</v>
      </c>
      <c r="AA686" s="1" t="s">
        <v>24</v>
      </c>
      <c r="AB686" s="1" t="s">
        <v>24</v>
      </c>
      <c r="AC686" s="1" t="s">
        <v>24</v>
      </c>
      <c r="AD686" s="1" t="s">
        <v>24</v>
      </c>
      <c r="AE686" s="1" t="s">
        <v>24</v>
      </c>
      <c r="AF686" s="22"/>
    </row>
    <row r="687" spans="1:32" x14ac:dyDescent="0.2">
      <c r="A687" s="1">
        <v>3963</v>
      </c>
      <c r="B687" s="1" t="s">
        <v>2335</v>
      </c>
      <c r="C687" s="5" t="s">
        <v>0</v>
      </c>
      <c r="D687" s="1" t="s">
        <v>2336</v>
      </c>
      <c r="E687" s="1" t="s">
        <v>2337</v>
      </c>
      <c r="F687" s="1" t="s">
        <v>85</v>
      </c>
      <c r="G687" s="1" t="s">
        <v>61</v>
      </c>
      <c r="H687" s="1" t="s">
        <v>86</v>
      </c>
      <c r="I687" s="1" t="s">
        <v>16</v>
      </c>
      <c r="J687" s="1">
        <v>1</v>
      </c>
      <c r="K687" s="1">
        <v>8</v>
      </c>
      <c r="L687" s="1" t="s">
        <v>31</v>
      </c>
      <c r="M687" s="1" t="s">
        <v>87</v>
      </c>
      <c r="N687" s="1" t="s">
        <v>105</v>
      </c>
      <c r="O687" s="1">
        <v>1</v>
      </c>
      <c r="P687" s="1">
        <v>6</v>
      </c>
      <c r="R687" s="1" t="s">
        <v>19</v>
      </c>
      <c r="S687" s="1" t="s">
        <v>20</v>
      </c>
      <c r="T687" s="1" t="s">
        <v>21</v>
      </c>
      <c r="U687" s="1" t="s">
        <v>22</v>
      </c>
      <c r="V687" s="1" t="s">
        <v>24</v>
      </c>
      <c r="W687" s="1" t="s">
        <v>24</v>
      </c>
      <c r="X687" s="1">
        <v>2729</v>
      </c>
      <c r="Y687" s="1">
        <v>2743</v>
      </c>
      <c r="Z687" s="1" t="s">
        <v>24</v>
      </c>
      <c r="AA687" s="1" t="s">
        <v>24</v>
      </c>
      <c r="AB687" s="1" t="s">
        <v>24</v>
      </c>
      <c r="AC687" s="1" t="s">
        <v>24</v>
      </c>
      <c r="AD687" s="1" t="s">
        <v>24</v>
      </c>
      <c r="AE687" s="1" t="s">
        <v>24</v>
      </c>
      <c r="AF687" s="22"/>
    </row>
    <row r="688" spans="1:32" x14ac:dyDescent="0.2">
      <c r="A688" s="1">
        <v>3969</v>
      </c>
      <c r="B688" s="1" t="s">
        <v>2338</v>
      </c>
      <c r="C688" s="5" t="s">
        <v>0</v>
      </c>
      <c r="D688" s="1" t="s">
        <v>2339</v>
      </c>
      <c r="E688" s="1" t="s">
        <v>2340</v>
      </c>
      <c r="F688" s="1" t="s">
        <v>2341</v>
      </c>
      <c r="G688" s="1" t="s">
        <v>2341</v>
      </c>
      <c r="H688" s="1" t="s">
        <v>37</v>
      </c>
      <c r="I688" s="1" t="s">
        <v>16</v>
      </c>
      <c r="J688" s="1">
        <v>1</v>
      </c>
      <c r="K688" s="1">
        <v>12</v>
      </c>
      <c r="L688" s="1" t="s">
        <v>42</v>
      </c>
      <c r="M688" s="1" t="s">
        <v>18</v>
      </c>
      <c r="N688" s="1" t="s">
        <v>18</v>
      </c>
      <c r="O688" s="1">
        <v>3</v>
      </c>
      <c r="P688" s="1">
        <v>7</v>
      </c>
      <c r="Q688" s="7" t="s">
        <v>17633</v>
      </c>
      <c r="R688" s="1" t="s">
        <v>62</v>
      </c>
      <c r="S688" s="1" t="s">
        <v>20</v>
      </c>
      <c r="T688" s="1" t="s">
        <v>21</v>
      </c>
      <c r="U688" s="1" t="s">
        <v>22</v>
      </c>
      <c r="V688" s="1" t="s">
        <v>24</v>
      </c>
      <c r="W688" s="1" t="s">
        <v>24</v>
      </c>
      <c r="X688" s="1">
        <v>2406</v>
      </c>
      <c r="Y688" s="1" t="s">
        <v>24</v>
      </c>
      <c r="Z688" s="1" t="s">
        <v>24</v>
      </c>
      <c r="AA688" s="1" t="s">
        <v>24</v>
      </c>
      <c r="AB688" s="1" t="s">
        <v>24</v>
      </c>
      <c r="AC688" s="1" t="s">
        <v>24</v>
      </c>
      <c r="AD688" s="1" t="s">
        <v>24</v>
      </c>
      <c r="AE688" s="1" t="s">
        <v>24</v>
      </c>
      <c r="AF688" s="22"/>
    </row>
    <row r="689" spans="1:32" x14ac:dyDescent="0.2">
      <c r="A689" s="1">
        <v>3972</v>
      </c>
      <c r="B689" s="1" t="s">
        <v>2342</v>
      </c>
      <c r="C689" s="5" t="s">
        <v>0</v>
      </c>
      <c r="D689" s="1" t="s">
        <v>2343</v>
      </c>
      <c r="F689" s="1" t="s">
        <v>2344</v>
      </c>
      <c r="G689" s="1" t="s">
        <v>98</v>
      </c>
      <c r="H689" s="1" t="s">
        <v>30</v>
      </c>
      <c r="I689" s="1" t="s">
        <v>16</v>
      </c>
      <c r="J689" s="1">
        <v>1</v>
      </c>
      <c r="K689" s="1">
        <v>12</v>
      </c>
      <c r="L689" s="1" t="s">
        <v>31</v>
      </c>
      <c r="M689" s="1" t="s">
        <v>18</v>
      </c>
      <c r="N689" s="1" t="s">
        <v>18</v>
      </c>
      <c r="O689" s="1">
        <v>3</v>
      </c>
      <c r="P689" s="1">
        <v>7</v>
      </c>
      <c r="Q689" s="7" t="s">
        <v>17633</v>
      </c>
      <c r="R689" s="1" t="s">
        <v>19</v>
      </c>
      <c r="S689" s="1" t="s">
        <v>20</v>
      </c>
      <c r="T689" s="1" t="s">
        <v>21</v>
      </c>
      <c r="U689" s="1" t="s">
        <v>22</v>
      </c>
      <c r="V689" s="1" t="s">
        <v>24</v>
      </c>
      <c r="W689" s="1" t="s">
        <v>24</v>
      </c>
      <c r="X689" s="1">
        <v>2702</v>
      </c>
      <c r="Y689" s="1">
        <v>2722</v>
      </c>
      <c r="Z689" s="1" t="s">
        <v>24</v>
      </c>
      <c r="AA689" s="1" t="s">
        <v>24</v>
      </c>
      <c r="AB689" s="1" t="s">
        <v>24</v>
      </c>
      <c r="AC689" s="1" t="s">
        <v>24</v>
      </c>
      <c r="AD689" s="1" t="s">
        <v>24</v>
      </c>
      <c r="AE689" s="1" t="s">
        <v>24</v>
      </c>
      <c r="AF689" s="22" t="s">
        <v>17679</v>
      </c>
    </row>
    <row r="690" spans="1:32" x14ac:dyDescent="0.2">
      <c r="A690" s="1">
        <v>3973</v>
      </c>
      <c r="B690" s="1" t="s">
        <v>2345</v>
      </c>
      <c r="C690" s="5" t="s">
        <v>0</v>
      </c>
      <c r="D690" s="1" t="s">
        <v>2346</v>
      </c>
      <c r="E690" s="1" t="s">
        <v>2347</v>
      </c>
      <c r="F690" s="1" t="s">
        <v>91</v>
      </c>
      <c r="G690" s="1" t="s">
        <v>61</v>
      </c>
      <c r="H690" s="1" t="s">
        <v>92</v>
      </c>
      <c r="I690" s="1" t="s">
        <v>16</v>
      </c>
      <c r="J690" s="1">
        <v>1</v>
      </c>
      <c r="K690" s="1">
        <v>6</v>
      </c>
      <c r="L690" s="1" t="s">
        <v>31</v>
      </c>
      <c r="M690" s="1" t="s">
        <v>18</v>
      </c>
      <c r="N690" s="1" t="s">
        <v>18</v>
      </c>
      <c r="O690" s="1">
        <v>2</v>
      </c>
      <c r="P690" s="1">
        <v>6</v>
      </c>
      <c r="R690" s="1" t="s">
        <v>62</v>
      </c>
      <c r="S690" s="1" t="s">
        <v>63</v>
      </c>
      <c r="T690" s="1" t="s">
        <v>21</v>
      </c>
      <c r="U690" s="1" t="s">
        <v>22</v>
      </c>
      <c r="V690" s="1" t="s">
        <v>23</v>
      </c>
      <c r="W690" s="1" t="s">
        <v>24</v>
      </c>
      <c r="X690" s="1">
        <v>2719</v>
      </c>
      <c r="Y690" s="1">
        <v>2739</v>
      </c>
      <c r="Z690" s="1" t="s">
        <v>24</v>
      </c>
      <c r="AA690" s="1" t="s">
        <v>24</v>
      </c>
      <c r="AB690" s="1" t="s">
        <v>24</v>
      </c>
      <c r="AC690" s="1" t="s">
        <v>24</v>
      </c>
      <c r="AD690" s="1" t="s">
        <v>24</v>
      </c>
      <c r="AE690" s="1" t="s">
        <v>24</v>
      </c>
      <c r="AF690" s="22"/>
    </row>
    <row r="691" spans="1:32" x14ac:dyDescent="0.2">
      <c r="A691" s="1">
        <v>3980</v>
      </c>
      <c r="B691" s="1" t="s">
        <v>2348</v>
      </c>
      <c r="C691" s="5" t="s">
        <v>0</v>
      </c>
      <c r="D691" s="1" t="s">
        <v>2349</v>
      </c>
      <c r="E691" s="1" t="s">
        <v>2350</v>
      </c>
      <c r="F691" s="1" t="s">
        <v>1177</v>
      </c>
      <c r="G691" s="1" t="s">
        <v>61</v>
      </c>
      <c r="H691" s="1" t="s">
        <v>37</v>
      </c>
      <c r="I691" s="1" t="s">
        <v>16</v>
      </c>
      <c r="J691" s="1">
        <v>3</v>
      </c>
      <c r="K691" s="1">
        <v>4</v>
      </c>
      <c r="L691" s="1" t="s">
        <v>31</v>
      </c>
      <c r="M691" s="1" t="s">
        <v>18</v>
      </c>
      <c r="N691" s="1" t="s">
        <v>18</v>
      </c>
      <c r="O691" s="1">
        <v>3</v>
      </c>
      <c r="P691" s="1">
        <v>6</v>
      </c>
      <c r="R691" s="1" t="s">
        <v>19</v>
      </c>
      <c r="S691" s="1" t="s">
        <v>20</v>
      </c>
      <c r="T691" s="1" t="s">
        <v>21</v>
      </c>
      <c r="U691" s="1" t="s">
        <v>22</v>
      </c>
      <c r="V691" s="1" t="s">
        <v>23</v>
      </c>
      <c r="W691" s="1" t="s">
        <v>24</v>
      </c>
      <c r="X691" s="1">
        <v>2726</v>
      </c>
      <c r="Y691" s="1">
        <v>2725</v>
      </c>
      <c r="Z691" s="1" t="s">
        <v>24</v>
      </c>
      <c r="AA691" s="1" t="s">
        <v>24</v>
      </c>
      <c r="AB691" s="1" t="s">
        <v>24</v>
      </c>
      <c r="AC691" s="1" t="s">
        <v>24</v>
      </c>
      <c r="AD691" s="1" t="s">
        <v>24</v>
      </c>
      <c r="AE691" s="1" t="s">
        <v>24</v>
      </c>
      <c r="AF691" s="22"/>
    </row>
    <row r="692" spans="1:32" x14ac:dyDescent="0.2">
      <c r="A692" s="1">
        <v>3983</v>
      </c>
      <c r="B692" s="1" t="s">
        <v>2351</v>
      </c>
      <c r="C692" s="5" t="s">
        <v>0</v>
      </c>
      <c r="D692" s="1" t="s">
        <v>2352</v>
      </c>
      <c r="E692" s="1" t="s">
        <v>2353</v>
      </c>
      <c r="F692" s="1" t="s">
        <v>91</v>
      </c>
      <c r="G692" s="1" t="s">
        <v>61</v>
      </c>
      <c r="H692" s="1" t="s">
        <v>92</v>
      </c>
      <c r="I692" s="1" t="s">
        <v>16</v>
      </c>
      <c r="J692" s="1">
        <v>11</v>
      </c>
      <c r="K692" s="1">
        <v>3</v>
      </c>
      <c r="L692" s="1" t="s">
        <v>31</v>
      </c>
      <c r="M692" s="1" t="s">
        <v>18</v>
      </c>
      <c r="N692" s="1" t="s">
        <v>18</v>
      </c>
      <c r="O692" s="1">
        <v>3</v>
      </c>
      <c r="P692" s="1">
        <v>6</v>
      </c>
      <c r="R692" s="1" t="s">
        <v>881</v>
      </c>
      <c r="S692" s="1" t="s">
        <v>63</v>
      </c>
      <c r="T692" s="1" t="s">
        <v>21</v>
      </c>
      <c r="U692" s="1" t="s">
        <v>22</v>
      </c>
      <c r="V692" s="1" t="s">
        <v>24</v>
      </c>
      <c r="W692" s="1" t="s">
        <v>24</v>
      </c>
      <c r="X692" s="1">
        <v>2307</v>
      </c>
      <c r="Y692" s="1">
        <v>2310</v>
      </c>
      <c r="Z692" s="1">
        <v>2311</v>
      </c>
      <c r="AA692" s="1">
        <v>2304</v>
      </c>
      <c r="AB692" s="1">
        <v>2305</v>
      </c>
      <c r="AC692" s="1" t="s">
        <v>24</v>
      </c>
      <c r="AD692" s="1" t="s">
        <v>24</v>
      </c>
      <c r="AE692" s="1" t="s">
        <v>24</v>
      </c>
      <c r="AF692" s="22"/>
    </row>
    <row r="693" spans="1:32" x14ac:dyDescent="0.2">
      <c r="A693" s="1">
        <v>3993</v>
      </c>
      <c r="B693" s="1" t="s">
        <v>2354</v>
      </c>
      <c r="C693" s="5" t="s">
        <v>0</v>
      </c>
      <c r="D693" s="1" t="s">
        <v>2355</v>
      </c>
      <c r="E693" s="1" t="s">
        <v>2356</v>
      </c>
      <c r="F693" s="1" t="s">
        <v>303</v>
      </c>
      <c r="G693" s="1" t="s">
        <v>61</v>
      </c>
      <c r="H693" s="1" t="s">
        <v>30</v>
      </c>
      <c r="I693" s="1" t="s">
        <v>16</v>
      </c>
      <c r="J693" s="1">
        <v>1</v>
      </c>
      <c r="K693" s="1">
        <v>10</v>
      </c>
      <c r="L693" s="1" t="s">
        <v>31</v>
      </c>
      <c r="M693" s="1" t="s">
        <v>18</v>
      </c>
      <c r="N693" s="1" t="s">
        <v>18</v>
      </c>
      <c r="O693" s="1">
        <v>3</v>
      </c>
      <c r="P693" s="1">
        <v>7</v>
      </c>
      <c r="Q693" s="7" t="s">
        <v>17633</v>
      </c>
      <c r="R693" s="1" t="s">
        <v>19</v>
      </c>
      <c r="S693" s="1" t="s">
        <v>20</v>
      </c>
      <c r="T693" s="1" t="s">
        <v>21</v>
      </c>
      <c r="U693" s="1" t="s">
        <v>22</v>
      </c>
      <c r="V693" s="1" t="s">
        <v>24</v>
      </c>
      <c r="W693" s="1" t="s">
        <v>24</v>
      </c>
      <c r="X693" s="1">
        <v>2732</v>
      </c>
      <c r="Y693" s="1">
        <v>2746</v>
      </c>
      <c r="Z693" s="1" t="s">
        <v>24</v>
      </c>
      <c r="AA693" s="1" t="s">
        <v>24</v>
      </c>
      <c r="AB693" s="1" t="s">
        <v>24</v>
      </c>
      <c r="AC693" s="1" t="s">
        <v>24</v>
      </c>
      <c r="AD693" s="1" t="s">
        <v>24</v>
      </c>
      <c r="AE693" s="1" t="s">
        <v>24</v>
      </c>
      <c r="AF693" s="22"/>
    </row>
    <row r="694" spans="1:32" x14ac:dyDescent="0.2">
      <c r="A694" s="1">
        <v>3995</v>
      </c>
      <c r="B694" s="1" t="s">
        <v>2357</v>
      </c>
      <c r="C694" s="5" t="s">
        <v>0</v>
      </c>
      <c r="D694" s="1" t="s">
        <v>2358</v>
      </c>
      <c r="E694" s="1" t="s">
        <v>2359</v>
      </c>
      <c r="F694" s="1" t="s">
        <v>2360</v>
      </c>
      <c r="G694" s="1" t="s">
        <v>36</v>
      </c>
      <c r="H694" s="1" t="s">
        <v>30</v>
      </c>
      <c r="I694" s="1" t="s">
        <v>16</v>
      </c>
      <c r="J694" s="1">
        <v>1</v>
      </c>
      <c r="K694" s="1">
        <v>6</v>
      </c>
      <c r="L694" s="1" t="s">
        <v>31</v>
      </c>
      <c r="M694" s="1" t="s">
        <v>18</v>
      </c>
      <c r="N694" s="1" t="s">
        <v>18</v>
      </c>
      <c r="O694" s="1">
        <v>2</v>
      </c>
      <c r="P694" s="1">
        <v>6</v>
      </c>
      <c r="R694" s="1" t="s">
        <v>881</v>
      </c>
      <c r="S694" s="1" t="s">
        <v>20</v>
      </c>
      <c r="T694" s="1" t="s">
        <v>21</v>
      </c>
      <c r="U694" s="1" t="s">
        <v>22</v>
      </c>
      <c r="V694" s="1" t="s">
        <v>24</v>
      </c>
      <c r="W694" s="1" t="s">
        <v>64</v>
      </c>
      <c r="X694" s="1">
        <v>1605</v>
      </c>
      <c r="Y694" s="1" t="s">
        <v>24</v>
      </c>
      <c r="Z694" s="1" t="s">
        <v>24</v>
      </c>
      <c r="AA694" s="1" t="s">
        <v>24</v>
      </c>
      <c r="AB694" s="1" t="s">
        <v>24</v>
      </c>
      <c r="AC694" s="1" t="s">
        <v>24</v>
      </c>
      <c r="AD694" s="1" t="s">
        <v>24</v>
      </c>
      <c r="AE694" s="1" t="s">
        <v>24</v>
      </c>
      <c r="AF694" s="22"/>
    </row>
    <row r="695" spans="1:32" x14ac:dyDescent="0.2">
      <c r="A695" s="1">
        <v>4005</v>
      </c>
      <c r="B695" s="1" t="s">
        <v>2361</v>
      </c>
      <c r="C695" s="5" t="s">
        <v>0</v>
      </c>
      <c r="D695" s="1" t="s">
        <v>2362</v>
      </c>
      <c r="E695" s="1" t="s">
        <v>2363</v>
      </c>
      <c r="F695" s="1" t="s">
        <v>272</v>
      </c>
      <c r="G695" s="1" t="s">
        <v>61</v>
      </c>
      <c r="H695" s="1" t="s">
        <v>30</v>
      </c>
      <c r="I695" s="1" t="s">
        <v>16</v>
      </c>
      <c r="J695" s="1">
        <v>1</v>
      </c>
      <c r="K695" s="1">
        <v>12</v>
      </c>
      <c r="L695" s="1" t="s">
        <v>31</v>
      </c>
      <c r="M695" s="1" t="s">
        <v>18</v>
      </c>
      <c r="N695" s="1" t="s">
        <v>18</v>
      </c>
      <c r="O695" s="1">
        <v>3</v>
      </c>
      <c r="P695" s="1">
        <v>6</v>
      </c>
      <c r="R695" s="1" t="s">
        <v>19</v>
      </c>
      <c r="S695" s="1" t="s">
        <v>63</v>
      </c>
      <c r="T695" s="1" t="s">
        <v>21</v>
      </c>
      <c r="U695" s="1" t="s">
        <v>22</v>
      </c>
      <c r="V695" s="1" t="s">
        <v>24</v>
      </c>
      <c r="W695" s="1" t="s">
        <v>64</v>
      </c>
      <c r="X695" s="1">
        <v>1303</v>
      </c>
      <c r="Y695" s="1">
        <v>1604</v>
      </c>
      <c r="Z695" s="1" t="s">
        <v>24</v>
      </c>
      <c r="AA695" s="1" t="s">
        <v>24</v>
      </c>
      <c r="AB695" s="1" t="s">
        <v>24</v>
      </c>
      <c r="AC695" s="1" t="s">
        <v>24</v>
      </c>
      <c r="AD695" s="1" t="s">
        <v>24</v>
      </c>
      <c r="AE695" s="1" t="s">
        <v>24</v>
      </c>
      <c r="AF695" s="22"/>
    </row>
    <row r="696" spans="1:32" x14ac:dyDescent="0.2">
      <c r="A696" s="1">
        <v>4009</v>
      </c>
      <c r="B696" s="1" t="s">
        <v>2364</v>
      </c>
      <c r="C696" s="5" t="s">
        <v>0</v>
      </c>
      <c r="D696" s="1" t="s">
        <v>2365</v>
      </c>
      <c r="E696" s="1" t="s">
        <v>2366</v>
      </c>
      <c r="F696" s="1" t="s">
        <v>493</v>
      </c>
      <c r="G696" s="1" t="s">
        <v>98</v>
      </c>
      <c r="H696" s="1" t="s">
        <v>30</v>
      </c>
      <c r="I696" s="1" t="s">
        <v>16</v>
      </c>
      <c r="J696" s="1">
        <v>1</v>
      </c>
      <c r="K696" s="1">
        <v>6</v>
      </c>
      <c r="L696" s="1" t="s">
        <v>31</v>
      </c>
      <c r="M696" s="1" t="s">
        <v>18</v>
      </c>
      <c r="N696" s="1" t="s">
        <v>18</v>
      </c>
      <c r="O696" s="1">
        <v>3</v>
      </c>
      <c r="P696" s="1">
        <v>7</v>
      </c>
      <c r="Q696" s="7" t="s">
        <v>17633</v>
      </c>
      <c r="R696" s="1" t="s">
        <v>19</v>
      </c>
      <c r="S696" s="1" t="s">
        <v>20</v>
      </c>
      <c r="T696" s="1" t="s">
        <v>21</v>
      </c>
      <c r="U696" s="1" t="s">
        <v>22</v>
      </c>
      <c r="V696" s="1" t="s">
        <v>23</v>
      </c>
      <c r="W696" s="1" t="s">
        <v>24</v>
      </c>
      <c r="X696" s="1">
        <v>2706</v>
      </c>
      <c r="Y696" s="1" t="s">
        <v>24</v>
      </c>
      <c r="Z696" s="1" t="s">
        <v>24</v>
      </c>
      <c r="AA696" s="1" t="s">
        <v>24</v>
      </c>
      <c r="AB696" s="1" t="s">
        <v>24</v>
      </c>
      <c r="AC696" s="1" t="s">
        <v>24</v>
      </c>
      <c r="AD696" s="1" t="s">
        <v>24</v>
      </c>
      <c r="AE696" s="1" t="s">
        <v>24</v>
      </c>
      <c r="AF696" s="22"/>
    </row>
    <row r="697" spans="1:32" x14ac:dyDescent="0.2">
      <c r="A697" s="1">
        <v>4011</v>
      </c>
      <c r="B697" s="1" t="s">
        <v>2367</v>
      </c>
      <c r="C697" s="5" t="s">
        <v>0</v>
      </c>
      <c r="D697" s="1" t="s">
        <v>2368</v>
      </c>
      <c r="F697" s="1" t="s">
        <v>2369</v>
      </c>
      <c r="G697" s="1" t="s">
        <v>2369</v>
      </c>
      <c r="H697" s="1" t="s">
        <v>899</v>
      </c>
      <c r="I697" s="1" t="s">
        <v>16</v>
      </c>
      <c r="J697" s="1">
        <v>1</v>
      </c>
      <c r="K697" s="1">
        <v>12</v>
      </c>
      <c r="L697" s="1" t="s">
        <v>17</v>
      </c>
      <c r="M697" s="1" t="s">
        <v>18</v>
      </c>
      <c r="N697" s="1" t="s">
        <v>18</v>
      </c>
      <c r="O697" s="1">
        <v>2</v>
      </c>
      <c r="P697" s="1">
        <v>5</v>
      </c>
      <c r="R697" s="1" t="s">
        <v>19</v>
      </c>
      <c r="S697" s="1" t="s">
        <v>20</v>
      </c>
      <c r="T697" s="1" t="s">
        <v>21</v>
      </c>
      <c r="U697" s="1" t="s">
        <v>22</v>
      </c>
      <c r="V697" s="1" t="s">
        <v>24</v>
      </c>
      <c r="W697" s="1" t="s">
        <v>64</v>
      </c>
      <c r="X697" s="1">
        <v>1605</v>
      </c>
      <c r="Y697" s="1">
        <v>1604</v>
      </c>
      <c r="Z697" s="1">
        <v>1603</v>
      </c>
      <c r="AA697" s="1">
        <v>3002</v>
      </c>
      <c r="AB697" s="1">
        <v>1606</v>
      </c>
      <c r="AC697" s="1" t="s">
        <v>24</v>
      </c>
      <c r="AD697" s="1" t="s">
        <v>24</v>
      </c>
      <c r="AE697" s="1" t="s">
        <v>24</v>
      </c>
      <c r="AF697" s="22"/>
    </row>
    <row r="698" spans="1:32" x14ac:dyDescent="0.2">
      <c r="A698" s="1">
        <v>4012</v>
      </c>
      <c r="B698" s="1" t="s">
        <v>2370</v>
      </c>
      <c r="C698" s="5" t="s">
        <v>0</v>
      </c>
      <c r="D698" s="1" t="s">
        <v>2371</v>
      </c>
      <c r="E698" s="1" t="s">
        <v>2372</v>
      </c>
      <c r="F698" s="1" t="s">
        <v>315</v>
      </c>
      <c r="G698" s="1" t="s">
        <v>316</v>
      </c>
      <c r="H698" s="1" t="s">
        <v>30</v>
      </c>
      <c r="I698" s="1" t="s">
        <v>16</v>
      </c>
      <c r="J698" s="1">
        <v>1</v>
      </c>
      <c r="K698" s="1">
        <v>12</v>
      </c>
      <c r="L698" s="1" t="s">
        <v>31</v>
      </c>
      <c r="M698" s="1" t="s">
        <v>18</v>
      </c>
      <c r="N698" s="1" t="s">
        <v>18</v>
      </c>
      <c r="O698" s="1">
        <v>3</v>
      </c>
      <c r="P698" s="1">
        <v>7</v>
      </c>
      <c r="Q698" s="7" t="s">
        <v>17633</v>
      </c>
      <c r="R698" s="1" t="s">
        <v>62</v>
      </c>
      <c r="S698" s="1" t="s">
        <v>20</v>
      </c>
      <c r="T698" s="1" t="s">
        <v>21</v>
      </c>
      <c r="U698" s="1" t="s">
        <v>22</v>
      </c>
      <c r="V698" s="1" t="s">
        <v>24</v>
      </c>
      <c r="W698" s="1" t="s">
        <v>24</v>
      </c>
      <c r="X698" s="1">
        <v>2708</v>
      </c>
      <c r="Y698" s="1">
        <v>1303</v>
      </c>
      <c r="Z698" s="1">
        <v>1307</v>
      </c>
      <c r="AA698" s="1">
        <v>1312</v>
      </c>
      <c r="AB698" s="1" t="s">
        <v>24</v>
      </c>
      <c r="AC698" s="1" t="s">
        <v>24</v>
      </c>
      <c r="AD698" s="1" t="s">
        <v>24</v>
      </c>
      <c r="AE698" s="1" t="s">
        <v>24</v>
      </c>
      <c r="AF698" s="22"/>
    </row>
    <row r="699" spans="1:32" x14ac:dyDescent="0.2">
      <c r="A699" s="1">
        <v>4014</v>
      </c>
      <c r="B699" s="1" t="s">
        <v>2373</v>
      </c>
      <c r="C699" s="5" t="s">
        <v>0</v>
      </c>
      <c r="D699" s="1" t="s">
        <v>2374</v>
      </c>
      <c r="F699" s="1" t="s">
        <v>55</v>
      </c>
      <c r="G699" s="1" t="s">
        <v>56</v>
      </c>
      <c r="H699" s="1" t="s">
        <v>37</v>
      </c>
      <c r="I699" s="1" t="s">
        <v>16</v>
      </c>
      <c r="J699" s="1">
        <v>2</v>
      </c>
      <c r="K699" s="1">
        <v>12</v>
      </c>
      <c r="L699" s="1" t="s">
        <v>31</v>
      </c>
      <c r="M699" s="1" t="s">
        <v>18</v>
      </c>
      <c r="N699" s="1" t="s">
        <v>18</v>
      </c>
      <c r="O699" s="1">
        <v>3</v>
      </c>
      <c r="P699" s="1">
        <v>8</v>
      </c>
      <c r="Q699" s="7" t="s">
        <v>17633</v>
      </c>
      <c r="R699" s="1" t="s">
        <v>62</v>
      </c>
      <c r="S699" s="1" t="s">
        <v>20</v>
      </c>
      <c r="T699" s="1" t="s">
        <v>21</v>
      </c>
      <c r="U699" s="1" t="s">
        <v>22</v>
      </c>
      <c r="V699" s="1" t="s">
        <v>23</v>
      </c>
      <c r="W699" s="1" t="s">
        <v>24</v>
      </c>
      <c r="X699" s="1">
        <v>2725</v>
      </c>
      <c r="Y699" s="1">
        <v>2723</v>
      </c>
      <c r="Z699" s="1" t="s">
        <v>24</v>
      </c>
      <c r="AA699" s="1" t="s">
        <v>24</v>
      </c>
      <c r="AB699" s="1" t="s">
        <v>24</v>
      </c>
      <c r="AC699" s="1" t="s">
        <v>24</v>
      </c>
      <c r="AD699" s="1" t="s">
        <v>24</v>
      </c>
      <c r="AE699" s="1" t="s">
        <v>24</v>
      </c>
      <c r="AF699" s="22" t="s">
        <v>17679</v>
      </c>
    </row>
    <row r="700" spans="1:32" x14ac:dyDescent="0.2">
      <c r="A700" s="1">
        <v>4023</v>
      </c>
      <c r="B700" s="1" t="s">
        <v>2375</v>
      </c>
      <c r="C700" s="5" t="s">
        <v>0</v>
      </c>
      <c r="D700" s="1" t="s">
        <v>2376</v>
      </c>
      <c r="F700" s="1" t="s">
        <v>2377</v>
      </c>
      <c r="G700" s="1" t="s">
        <v>2377</v>
      </c>
      <c r="H700" s="1" t="s">
        <v>899</v>
      </c>
      <c r="I700" s="1" t="s">
        <v>16</v>
      </c>
      <c r="J700" s="1">
        <v>1</v>
      </c>
      <c r="K700" s="1">
        <v>12</v>
      </c>
      <c r="L700" s="1" t="s">
        <v>42</v>
      </c>
      <c r="M700" s="1" t="s">
        <v>18</v>
      </c>
      <c r="N700" s="1" t="s">
        <v>18</v>
      </c>
      <c r="O700" s="1">
        <v>0</v>
      </c>
      <c r="P700" s="1">
        <v>3</v>
      </c>
      <c r="R700" s="1" t="s">
        <v>19</v>
      </c>
      <c r="S700" s="1" t="s">
        <v>20</v>
      </c>
      <c r="T700" s="1" t="s">
        <v>21</v>
      </c>
      <c r="U700" s="1" t="s">
        <v>22</v>
      </c>
      <c r="V700" s="1" t="s">
        <v>24</v>
      </c>
      <c r="W700" s="1" t="s">
        <v>24</v>
      </c>
      <c r="X700" s="1">
        <v>2700</v>
      </c>
      <c r="Y700" s="1" t="s">
        <v>24</v>
      </c>
      <c r="Z700" s="1" t="s">
        <v>24</v>
      </c>
      <c r="AA700" s="1" t="s">
        <v>24</v>
      </c>
      <c r="AB700" s="1" t="s">
        <v>24</v>
      </c>
      <c r="AC700" s="1" t="s">
        <v>24</v>
      </c>
      <c r="AD700" s="1" t="s">
        <v>24</v>
      </c>
      <c r="AE700" s="1" t="s">
        <v>24</v>
      </c>
      <c r="AF700" s="22"/>
    </row>
    <row r="701" spans="1:32" x14ac:dyDescent="0.2">
      <c r="A701" s="1">
        <v>4024</v>
      </c>
      <c r="B701" s="1" t="s">
        <v>2378</v>
      </c>
      <c r="C701" s="5" t="s">
        <v>0</v>
      </c>
      <c r="D701" s="1" t="s">
        <v>2379</v>
      </c>
      <c r="E701" s="1" t="s">
        <v>2380</v>
      </c>
      <c r="F701" s="1" t="s">
        <v>217</v>
      </c>
      <c r="G701" s="1" t="s">
        <v>130</v>
      </c>
      <c r="H701" s="1" t="s">
        <v>92</v>
      </c>
      <c r="I701" s="1" t="s">
        <v>16</v>
      </c>
      <c r="J701" s="1">
        <v>1</v>
      </c>
      <c r="K701" s="1">
        <v>6</v>
      </c>
      <c r="L701" s="1" t="s">
        <v>31</v>
      </c>
      <c r="M701" s="1" t="s">
        <v>18</v>
      </c>
      <c r="N701" s="1" t="s">
        <v>18</v>
      </c>
      <c r="O701" s="1">
        <v>3</v>
      </c>
      <c r="P701" s="1">
        <v>6</v>
      </c>
      <c r="R701" s="1" t="s">
        <v>19</v>
      </c>
      <c r="S701" s="1" t="s">
        <v>20</v>
      </c>
      <c r="T701" s="1" t="s">
        <v>21</v>
      </c>
      <c r="U701" s="1" t="s">
        <v>22</v>
      </c>
      <c r="V701" s="1" t="s">
        <v>24</v>
      </c>
      <c r="W701" s="1" t="s">
        <v>24</v>
      </c>
      <c r="X701" s="1">
        <v>2716</v>
      </c>
      <c r="Y701" s="1">
        <v>1311</v>
      </c>
      <c r="Z701" s="1" t="s">
        <v>24</v>
      </c>
      <c r="AA701" s="1" t="s">
        <v>24</v>
      </c>
      <c r="AB701" s="1" t="s">
        <v>24</v>
      </c>
      <c r="AC701" s="1" t="s">
        <v>24</v>
      </c>
      <c r="AD701" s="1" t="s">
        <v>24</v>
      </c>
      <c r="AE701" s="1" t="s">
        <v>24</v>
      </c>
      <c r="AF701" s="22"/>
    </row>
    <row r="702" spans="1:32" x14ac:dyDescent="0.2">
      <c r="A702" s="1">
        <v>4027</v>
      </c>
      <c r="B702" s="1" t="s">
        <v>2381</v>
      </c>
      <c r="C702" s="5" t="s">
        <v>0</v>
      </c>
      <c r="D702" s="1" t="s">
        <v>2382</v>
      </c>
      <c r="E702" s="1" t="s">
        <v>2383</v>
      </c>
      <c r="F702" s="1" t="s">
        <v>91</v>
      </c>
      <c r="G702" s="1" t="s">
        <v>61</v>
      </c>
      <c r="H702" s="1" t="s">
        <v>92</v>
      </c>
      <c r="I702" s="1" t="s">
        <v>16</v>
      </c>
      <c r="J702" s="1">
        <v>12</v>
      </c>
      <c r="K702" s="1">
        <v>2</v>
      </c>
      <c r="L702" s="1" t="s">
        <v>31</v>
      </c>
      <c r="M702" s="1" t="s">
        <v>18</v>
      </c>
      <c r="N702" s="1" t="s">
        <v>18</v>
      </c>
      <c r="O702" s="1">
        <v>3</v>
      </c>
      <c r="P702" s="1">
        <v>8</v>
      </c>
      <c r="Q702" s="7" t="s">
        <v>17633</v>
      </c>
      <c r="R702" s="1" t="s">
        <v>19</v>
      </c>
      <c r="S702" s="1" t="s">
        <v>63</v>
      </c>
      <c r="T702" s="1" t="s">
        <v>21</v>
      </c>
      <c r="U702" s="1" t="s">
        <v>22</v>
      </c>
      <c r="V702" s="1" t="s">
        <v>24</v>
      </c>
      <c r="W702" s="1" t="s">
        <v>24</v>
      </c>
      <c r="X702" s="1">
        <v>2403</v>
      </c>
      <c r="Y702" s="1">
        <v>2723</v>
      </c>
      <c r="Z702" s="1" t="s">
        <v>24</v>
      </c>
      <c r="AA702" s="1" t="s">
        <v>24</v>
      </c>
      <c r="AB702" s="1" t="s">
        <v>24</v>
      </c>
      <c r="AC702" s="1" t="s">
        <v>24</v>
      </c>
      <c r="AD702" s="1" t="s">
        <v>24</v>
      </c>
      <c r="AE702" s="1" t="s">
        <v>24</v>
      </c>
      <c r="AF702" s="22"/>
    </row>
    <row r="703" spans="1:32" x14ac:dyDescent="0.2">
      <c r="A703" s="1">
        <v>4028</v>
      </c>
      <c r="B703" s="1" t="s">
        <v>2384</v>
      </c>
      <c r="C703" s="5" t="s">
        <v>0</v>
      </c>
      <c r="D703" s="1" t="s">
        <v>2385</v>
      </c>
      <c r="E703" s="1" t="s">
        <v>2386</v>
      </c>
      <c r="F703" s="1" t="s">
        <v>97</v>
      </c>
      <c r="G703" s="1" t="s">
        <v>98</v>
      </c>
      <c r="H703" s="1" t="s">
        <v>37</v>
      </c>
      <c r="I703" s="1" t="s">
        <v>16</v>
      </c>
      <c r="J703" s="1">
        <v>1</v>
      </c>
      <c r="K703" s="1">
        <v>6</v>
      </c>
      <c r="L703" s="1" t="s">
        <v>31</v>
      </c>
      <c r="M703" s="1" t="s">
        <v>18</v>
      </c>
      <c r="N703" s="1" t="s">
        <v>18</v>
      </c>
      <c r="O703" s="1">
        <v>3</v>
      </c>
      <c r="P703" s="1">
        <v>6</v>
      </c>
      <c r="R703" s="1" t="s">
        <v>19</v>
      </c>
      <c r="S703" s="1" t="s">
        <v>20</v>
      </c>
      <c r="T703" s="1" t="s">
        <v>21</v>
      </c>
      <c r="U703" s="1" t="s">
        <v>22</v>
      </c>
      <c r="V703" s="1" t="s">
        <v>24</v>
      </c>
      <c r="W703" s="1" t="s">
        <v>24</v>
      </c>
      <c r="X703" s="1">
        <v>2700</v>
      </c>
      <c r="Y703" s="1">
        <v>1303</v>
      </c>
      <c r="Z703" s="1">
        <v>1307</v>
      </c>
      <c r="AA703" s="1">
        <v>2704</v>
      </c>
      <c r="AB703" s="1" t="s">
        <v>24</v>
      </c>
      <c r="AC703" s="1" t="s">
        <v>24</v>
      </c>
      <c r="AD703" s="1" t="s">
        <v>24</v>
      </c>
      <c r="AE703" s="1" t="s">
        <v>24</v>
      </c>
      <c r="AF703" s="22"/>
    </row>
    <row r="704" spans="1:32" x14ac:dyDescent="0.2">
      <c r="A704" s="1">
        <v>4032</v>
      </c>
      <c r="B704" s="1" t="s">
        <v>2387</v>
      </c>
      <c r="C704" s="5" t="s">
        <v>0</v>
      </c>
      <c r="D704" s="1" t="s">
        <v>2388</v>
      </c>
      <c r="E704" s="1" t="s">
        <v>2389</v>
      </c>
      <c r="F704" s="1" t="s">
        <v>1177</v>
      </c>
      <c r="G704" s="1" t="s">
        <v>61</v>
      </c>
      <c r="H704" s="1" t="s">
        <v>37</v>
      </c>
      <c r="I704" s="1" t="s">
        <v>16</v>
      </c>
      <c r="J704" s="1">
        <v>2</v>
      </c>
      <c r="K704" s="1">
        <v>4</v>
      </c>
      <c r="L704" s="1" t="s">
        <v>31</v>
      </c>
      <c r="M704" s="1" t="s">
        <v>18</v>
      </c>
      <c r="N704" s="1" t="s">
        <v>18</v>
      </c>
      <c r="O704" s="1">
        <v>3</v>
      </c>
      <c r="P704" s="1">
        <v>6</v>
      </c>
      <c r="R704" s="1" t="s">
        <v>19</v>
      </c>
      <c r="S704" s="1" t="s">
        <v>20</v>
      </c>
      <c r="T704" s="1" t="s">
        <v>21</v>
      </c>
      <c r="U704" s="1" t="s">
        <v>22</v>
      </c>
      <c r="V704" s="1" t="s">
        <v>24</v>
      </c>
      <c r="W704" s="1" t="s">
        <v>24</v>
      </c>
      <c r="X704" s="1">
        <v>2726</v>
      </c>
      <c r="Y704" s="1">
        <v>2725</v>
      </c>
      <c r="Z704" s="1" t="s">
        <v>24</v>
      </c>
      <c r="AA704" s="1" t="s">
        <v>24</v>
      </c>
      <c r="AB704" s="1" t="s">
        <v>24</v>
      </c>
      <c r="AC704" s="1" t="s">
        <v>24</v>
      </c>
      <c r="AD704" s="1" t="s">
        <v>24</v>
      </c>
      <c r="AE704" s="1" t="s">
        <v>24</v>
      </c>
      <c r="AF704" s="22"/>
    </row>
    <row r="705" spans="1:32" x14ac:dyDescent="0.2">
      <c r="A705" s="1">
        <v>4039</v>
      </c>
      <c r="B705" s="1" t="s">
        <v>2390</v>
      </c>
      <c r="C705" s="5" t="s">
        <v>0</v>
      </c>
      <c r="D705" s="1" t="s">
        <v>2391</v>
      </c>
      <c r="F705" s="1" t="s">
        <v>2392</v>
      </c>
      <c r="G705" s="1" t="s">
        <v>2392</v>
      </c>
      <c r="H705" s="1" t="s">
        <v>461</v>
      </c>
      <c r="I705" s="1" t="s">
        <v>16</v>
      </c>
      <c r="J705" s="1">
        <v>1</v>
      </c>
      <c r="K705" s="1">
        <v>6</v>
      </c>
      <c r="L705" s="1" t="s">
        <v>17</v>
      </c>
      <c r="M705" s="1" t="s">
        <v>1735</v>
      </c>
      <c r="N705" s="1" t="s">
        <v>18</v>
      </c>
      <c r="O705" s="1">
        <v>1</v>
      </c>
      <c r="P705" s="1">
        <v>6</v>
      </c>
      <c r="R705" s="1" t="s">
        <v>19</v>
      </c>
      <c r="S705" s="1" t="s">
        <v>20</v>
      </c>
      <c r="T705" s="1" t="s">
        <v>21</v>
      </c>
      <c r="U705" s="1" t="s">
        <v>22</v>
      </c>
      <c r="V705" s="1" t="s">
        <v>24</v>
      </c>
      <c r="W705" s="1" t="s">
        <v>24</v>
      </c>
      <c r="X705" s="1">
        <v>2733</v>
      </c>
      <c r="Y705" s="1" t="s">
        <v>24</v>
      </c>
      <c r="Z705" s="1" t="s">
        <v>24</v>
      </c>
      <c r="AA705" s="1" t="s">
        <v>24</v>
      </c>
      <c r="AB705" s="1" t="s">
        <v>24</v>
      </c>
      <c r="AC705" s="1" t="s">
        <v>24</v>
      </c>
      <c r="AD705" s="1" t="s">
        <v>24</v>
      </c>
      <c r="AE705" s="1" t="s">
        <v>24</v>
      </c>
      <c r="AF705" s="22"/>
    </row>
    <row r="706" spans="1:32" x14ac:dyDescent="0.2">
      <c r="A706" s="1">
        <v>4045</v>
      </c>
      <c r="B706" s="1" t="s">
        <v>2393</v>
      </c>
      <c r="C706" s="5" t="s">
        <v>0</v>
      </c>
      <c r="D706" s="1" t="s">
        <v>2394</v>
      </c>
      <c r="F706" s="1" t="s">
        <v>2395</v>
      </c>
      <c r="G706" s="1" t="s">
        <v>2396</v>
      </c>
      <c r="H706" s="1" t="s">
        <v>461</v>
      </c>
      <c r="I706" s="1" t="s">
        <v>16</v>
      </c>
      <c r="J706" s="1">
        <v>1</v>
      </c>
      <c r="K706" s="1">
        <v>6</v>
      </c>
      <c r="L706" s="1" t="s">
        <v>17</v>
      </c>
      <c r="M706" s="1" t="s">
        <v>1735</v>
      </c>
      <c r="N706" s="1" t="s">
        <v>18</v>
      </c>
      <c r="O706" s="1">
        <v>1</v>
      </c>
      <c r="P706" s="1">
        <v>6</v>
      </c>
      <c r="R706" s="1" t="s">
        <v>19</v>
      </c>
      <c r="S706" s="1" t="s">
        <v>20</v>
      </c>
      <c r="T706" s="1" t="s">
        <v>21</v>
      </c>
      <c r="U706" s="1" t="s">
        <v>22</v>
      </c>
      <c r="V706" s="1" t="s">
        <v>24</v>
      </c>
      <c r="W706" s="1" t="s">
        <v>24</v>
      </c>
      <c r="X706" s="1">
        <v>2736</v>
      </c>
      <c r="Y706" s="1">
        <v>2725</v>
      </c>
      <c r="Z706" s="1">
        <v>2726</v>
      </c>
      <c r="AA706" s="1" t="s">
        <v>24</v>
      </c>
      <c r="AB706" s="1" t="s">
        <v>24</v>
      </c>
      <c r="AC706" s="1" t="s">
        <v>24</v>
      </c>
      <c r="AD706" s="1" t="s">
        <v>24</v>
      </c>
      <c r="AE706" s="1" t="s">
        <v>24</v>
      </c>
      <c r="AF706" s="22"/>
    </row>
    <row r="707" spans="1:32" x14ac:dyDescent="0.2">
      <c r="A707" s="1">
        <v>4046</v>
      </c>
      <c r="B707" s="1" t="s">
        <v>2397</v>
      </c>
      <c r="C707" s="5" t="s">
        <v>0</v>
      </c>
      <c r="D707" s="1" t="s">
        <v>2398</v>
      </c>
      <c r="E707" s="1" t="s">
        <v>2399</v>
      </c>
      <c r="F707" s="1" t="s">
        <v>751</v>
      </c>
      <c r="G707" s="1" t="s">
        <v>36</v>
      </c>
      <c r="H707" s="1" t="s">
        <v>37</v>
      </c>
      <c r="I707" s="1" t="s">
        <v>16</v>
      </c>
      <c r="J707" s="1">
        <v>1</v>
      </c>
      <c r="K707" s="1">
        <v>6</v>
      </c>
      <c r="L707" s="1" t="s">
        <v>31</v>
      </c>
      <c r="M707" s="1" t="s">
        <v>18</v>
      </c>
      <c r="N707" s="1" t="s">
        <v>18</v>
      </c>
      <c r="O707" s="1">
        <v>3</v>
      </c>
      <c r="P707" s="1">
        <v>7</v>
      </c>
      <c r="Q707" s="7" t="s">
        <v>17633</v>
      </c>
      <c r="R707" s="1" t="s">
        <v>19</v>
      </c>
      <c r="S707" s="1" t="s">
        <v>20</v>
      </c>
      <c r="T707" s="1" t="s">
        <v>21</v>
      </c>
      <c r="U707" s="1" t="s">
        <v>22</v>
      </c>
      <c r="V707" s="1" t="s">
        <v>24</v>
      </c>
      <c r="W707" s="1" t="s">
        <v>24</v>
      </c>
      <c r="X707" s="1">
        <v>3005</v>
      </c>
      <c r="Y707" s="1" t="s">
        <v>24</v>
      </c>
      <c r="Z707" s="1" t="s">
        <v>24</v>
      </c>
      <c r="AA707" s="1" t="s">
        <v>24</v>
      </c>
      <c r="AB707" s="1" t="s">
        <v>24</v>
      </c>
      <c r="AC707" s="1" t="s">
        <v>24</v>
      </c>
      <c r="AD707" s="1" t="s">
        <v>24</v>
      </c>
      <c r="AE707" s="1" t="s">
        <v>24</v>
      </c>
      <c r="AF707" s="22"/>
    </row>
    <row r="708" spans="1:32" x14ac:dyDescent="0.2">
      <c r="A708" s="1">
        <v>4047</v>
      </c>
      <c r="B708" s="1" t="s">
        <v>2400</v>
      </c>
      <c r="C708" s="5" t="s">
        <v>0</v>
      </c>
      <c r="D708" s="1" t="s">
        <v>2401</v>
      </c>
      <c r="E708" s="1" t="s">
        <v>2402</v>
      </c>
      <c r="F708" s="1" t="s">
        <v>55</v>
      </c>
      <c r="G708" s="1" t="s">
        <v>56</v>
      </c>
      <c r="H708" s="1" t="s">
        <v>37</v>
      </c>
      <c r="I708" s="1" t="s">
        <v>16</v>
      </c>
      <c r="J708" s="1">
        <v>1</v>
      </c>
      <c r="K708" s="1">
        <v>12</v>
      </c>
      <c r="L708" s="1" t="s">
        <v>31</v>
      </c>
      <c r="M708" s="1" t="s">
        <v>18</v>
      </c>
      <c r="N708" s="1" t="s">
        <v>18</v>
      </c>
      <c r="O708" s="1">
        <v>3</v>
      </c>
      <c r="P708" s="1">
        <v>6</v>
      </c>
      <c r="R708" s="1" t="s">
        <v>19</v>
      </c>
      <c r="S708" s="1" t="s">
        <v>20</v>
      </c>
      <c r="T708" s="1" t="s">
        <v>21</v>
      </c>
      <c r="U708" s="1" t="s">
        <v>22</v>
      </c>
      <c r="V708" s="1" t="s">
        <v>24</v>
      </c>
      <c r="W708" s="1" t="s">
        <v>24</v>
      </c>
      <c r="X708" s="1">
        <v>2730</v>
      </c>
      <c r="Y708" s="1">
        <v>1306</v>
      </c>
      <c r="Z708" s="1">
        <v>2741</v>
      </c>
      <c r="AA708" s="1" t="s">
        <v>24</v>
      </c>
      <c r="AB708" s="1" t="s">
        <v>24</v>
      </c>
      <c r="AC708" s="1" t="s">
        <v>24</v>
      </c>
      <c r="AD708" s="1" t="s">
        <v>24</v>
      </c>
      <c r="AE708" s="1" t="s">
        <v>24</v>
      </c>
      <c r="AF708" s="22"/>
    </row>
    <row r="709" spans="1:32" x14ac:dyDescent="0.2">
      <c r="A709" s="1">
        <v>4048</v>
      </c>
      <c r="B709" s="1" t="s">
        <v>2403</v>
      </c>
      <c r="C709" s="5" t="s">
        <v>0</v>
      </c>
      <c r="D709" s="1" t="s">
        <v>2404</v>
      </c>
      <c r="F709" s="1" t="s">
        <v>2405</v>
      </c>
      <c r="G709" s="1" t="s">
        <v>2405</v>
      </c>
      <c r="H709" s="1" t="s">
        <v>461</v>
      </c>
      <c r="I709" s="1" t="s">
        <v>16</v>
      </c>
      <c r="J709" s="1">
        <v>1</v>
      </c>
      <c r="K709" s="1">
        <v>12</v>
      </c>
      <c r="L709" s="1" t="s">
        <v>17</v>
      </c>
      <c r="M709" s="1" t="s">
        <v>1735</v>
      </c>
      <c r="N709" s="1" t="s">
        <v>18</v>
      </c>
      <c r="O709" s="1">
        <v>2</v>
      </c>
      <c r="P709" s="1">
        <v>5</v>
      </c>
      <c r="R709" s="1" t="s">
        <v>19</v>
      </c>
      <c r="S709" s="1" t="s">
        <v>20</v>
      </c>
      <c r="T709" s="1" t="s">
        <v>21</v>
      </c>
      <c r="U709" s="1" t="s">
        <v>22</v>
      </c>
      <c r="V709" s="1" t="s">
        <v>23</v>
      </c>
      <c r="W709" s="1" t="s">
        <v>24</v>
      </c>
      <c r="X709" s="1">
        <v>2741</v>
      </c>
      <c r="Y709" s="1" t="s">
        <v>24</v>
      </c>
      <c r="Z709" s="1" t="s">
        <v>24</v>
      </c>
      <c r="AA709" s="1" t="s">
        <v>24</v>
      </c>
      <c r="AB709" s="1" t="s">
        <v>24</v>
      </c>
      <c r="AC709" s="1" t="s">
        <v>24</v>
      </c>
      <c r="AD709" s="1" t="s">
        <v>24</v>
      </c>
      <c r="AE709" s="1" t="s">
        <v>24</v>
      </c>
      <c r="AF709" s="22"/>
    </row>
    <row r="710" spans="1:32" x14ac:dyDescent="0.2">
      <c r="A710" s="1">
        <v>4054</v>
      </c>
      <c r="B710" s="1" t="s">
        <v>2406</v>
      </c>
      <c r="C710" s="5" t="s">
        <v>0</v>
      </c>
      <c r="D710" s="1" t="s">
        <v>2407</v>
      </c>
      <c r="E710" s="1" t="s">
        <v>2408</v>
      </c>
      <c r="F710" s="1" t="s">
        <v>1808</v>
      </c>
      <c r="G710" s="1" t="s">
        <v>130</v>
      </c>
      <c r="H710" s="1" t="s">
        <v>461</v>
      </c>
      <c r="I710" s="1" t="s">
        <v>16</v>
      </c>
      <c r="J710" s="1">
        <v>1</v>
      </c>
      <c r="K710" s="1">
        <v>6</v>
      </c>
      <c r="L710" s="1" t="s">
        <v>31</v>
      </c>
      <c r="M710" s="1" t="s">
        <v>18</v>
      </c>
      <c r="N710" s="1" t="s">
        <v>18</v>
      </c>
      <c r="O710" s="1">
        <v>3</v>
      </c>
      <c r="P710" s="1">
        <v>7</v>
      </c>
      <c r="Q710" s="7" t="s">
        <v>17633</v>
      </c>
      <c r="R710" s="1" t="s">
        <v>19</v>
      </c>
      <c r="S710" s="1" t="s">
        <v>20</v>
      </c>
      <c r="T710" s="1" t="s">
        <v>21</v>
      </c>
      <c r="U710" s="1" t="s">
        <v>22</v>
      </c>
      <c r="V710" s="1" t="s">
        <v>24</v>
      </c>
      <c r="W710" s="1" t="s">
        <v>24</v>
      </c>
      <c r="X710" s="1">
        <v>2731</v>
      </c>
      <c r="Y710" s="1" t="s">
        <v>24</v>
      </c>
      <c r="Z710" s="1" t="s">
        <v>24</v>
      </c>
      <c r="AA710" s="1" t="s">
        <v>24</v>
      </c>
      <c r="AB710" s="1" t="s">
        <v>24</v>
      </c>
      <c r="AC710" s="1" t="s">
        <v>24</v>
      </c>
      <c r="AD710" s="1" t="s">
        <v>24</v>
      </c>
      <c r="AE710" s="1" t="s">
        <v>24</v>
      </c>
      <c r="AF710" s="22"/>
    </row>
    <row r="711" spans="1:32" x14ac:dyDescent="0.2">
      <c r="A711" s="1">
        <v>4064</v>
      </c>
      <c r="B711" s="1" t="s">
        <v>2409</v>
      </c>
      <c r="C711" s="5" t="s">
        <v>0</v>
      </c>
      <c r="D711" s="1" t="s">
        <v>2410</v>
      </c>
      <c r="E711" s="1" t="s">
        <v>2411</v>
      </c>
      <c r="F711" s="1" t="s">
        <v>2412</v>
      </c>
      <c r="G711" s="1" t="s">
        <v>2413</v>
      </c>
      <c r="H711" s="1" t="s">
        <v>30</v>
      </c>
      <c r="I711" s="1" t="s">
        <v>16</v>
      </c>
      <c r="J711" s="1">
        <v>2</v>
      </c>
      <c r="K711" s="1">
        <v>6</v>
      </c>
      <c r="L711" s="1" t="s">
        <v>42</v>
      </c>
      <c r="M711" s="1" t="s">
        <v>18</v>
      </c>
      <c r="N711" s="1" t="s">
        <v>18</v>
      </c>
      <c r="O711" s="1">
        <v>3</v>
      </c>
      <c r="P711" s="1">
        <v>8</v>
      </c>
      <c r="Q711" s="7" t="s">
        <v>17633</v>
      </c>
      <c r="R711" s="1" t="s">
        <v>62</v>
      </c>
      <c r="S711" s="1" t="s">
        <v>20</v>
      </c>
      <c r="T711" s="1" t="s">
        <v>21</v>
      </c>
      <c r="U711" s="1" t="s">
        <v>22</v>
      </c>
      <c r="V711" s="1" t="s">
        <v>24</v>
      </c>
      <c r="W711" s="1" t="s">
        <v>24</v>
      </c>
      <c r="X711" s="1">
        <v>1307</v>
      </c>
      <c r="Y711" s="1">
        <v>2403</v>
      </c>
      <c r="Z711" s="1" t="s">
        <v>24</v>
      </c>
      <c r="AA711" s="1" t="s">
        <v>24</v>
      </c>
      <c r="AB711" s="1" t="s">
        <v>24</v>
      </c>
      <c r="AC711" s="1" t="s">
        <v>24</v>
      </c>
      <c r="AD711" s="1" t="s">
        <v>24</v>
      </c>
      <c r="AE711" s="1" t="s">
        <v>24</v>
      </c>
      <c r="AF711" s="22"/>
    </row>
    <row r="712" spans="1:32" x14ac:dyDescent="0.2">
      <c r="A712" s="1">
        <v>4067</v>
      </c>
      <c r="B712" s="1" t="s">
        <v>2414</v>
      </c>
      <c r="C712" s="5" t="s">
        <v>0</v>
      </c>
      <c r="D712" s="1" t="s">
        <v>2415</v>
      </c>
      <c r="E712" s="1" t="s">
        <v>2416</v>
      </c>
      <c r="F712" s="1" t="s">
        <v>751</v>
      </c>
      <c r="G712" s="1" t="s">
        <v>36</v>
      </c>
      <c r="H712" s="1" t="s">
        <v>37</v>
      </c>
      <c r="I712" s="1" t="s">
        <v>16</v>
      </c>
      <c r="J712" s="1">
        <v>1</v>
      </c>
      <c r="K712" s="1">
        <v>14</v>
      </c>
      <c r="L712" s="1" t="s">
        <v>31</v>
      </c>
      <c r="M712" s="1" t="s">
        <v>105</v>
      </c>
      <c r="N712" s="1" t="s">
        <v>18</v>
      </c>
      <c r="O712" s="1">
        <v>2</v>
      </c>
      <c r="P712" s="1">
        <v>6</v>
      </c>
      <c r="R712" s="1" t="s">
        <v>19</v>
      </c>
      <c r="S712" s="1" t="s">
        <v>20</v>
      </c>
      <c r="T712" s="1" t="s">
        <v>21</v>
      </c>
      <c r="U712" s="1" t="s">
        <v>22</v>
      </c>
      <c r="V712" s="1" t="s">
        <v>24</v>
      </c>
      <c r="W712" s="1" t="s">
        <v>64</v>
      </c>
      <c r="X712" s="1">
        <v>1602</v>
      </c>
      <c r="Y712" s="1">
        <v>1605</v>
      </c>
      <c r="Z712" s="1">
        <v>1607</v>
      </c>
      <c r="AA712" s="1">
        <v>3002</v>
      </c>
      <c r="AB712" s="1">
        <v>2741</v>
      </c>
      <c r="AC712" s="1">
        <v>1303</v>
      </c>
      <c r="AD712" s="1" t="s">
        <v>24</v>
      </c>
      <c r="AE712" s="1" t="s">
        <v>24</v>
      </c>
      <c r="AF712" s="22"/>
    </row>
    <row r="713" spans="1:32" x14ac:dyDescent="0.2">
      <c r="A713" s="1">
        <v>4077</v>
      </c>
      <c r="B713" s="1" t="s">
        <v>2417</v>
      </c>
      <c r="C713" s="5" t="s">
        <v>0</v>
      </c>
      <c r="D713" s="1" t="s">
        <v>2418</v>
      </c>
      <c r="E713" s="1" t="s">
        <v>2419</v>
      </c>
      <c r="F713" s="1" t="s">
        <v>291</v>
      </c>
      <c r="G713" s="1" t="s">
        <v>292</v>
      </c>
      <c r="H713" s="1" t="s">
        <v>30</v>
      </c>
      <c r="I713" s="1" t="s">
        <v>16</v>
      </c>
      <c r="J713" s="1">
        <v>1</v>
      </c>
      <c r="K713" s="1">
        <v>4</v>
      </c>
      <c r="L713" s="1" t="s">
        <v>31</v>
      </c>
      <c r="M713" s="1" t="s">
        <v>18</v>
      </c>
      <c r="N713" s="1" t="s">
        <v>18</v>
      </c>
      <c r="O713" s="1">
        <v>3</v>
      </c>
      <c r="P713" s="1">
        <v>7</v>
      </c>
      <c r="Q713" s="7" t="s">
        <v>17633</v>
      </c>
      <c r="R713" s="1" t="s">
        <v>19</v>
      </c>
      <c r="S713" s="1" t="s">
        <v>20</v>
      </c>
      <c r="T713" s="1" t="s">
        <v>21</v>
      </c>
      <c r="U713" s="1" t="s">
        <v>22</v>
      </c>
      <c r="V713" s="1" t="s">
        <v>24</v>
      </c>
      <c r="W713" s="1" t="s">
        <v>24</v>
      </c>
      <c r="X713" s="1">
        <v>2804</v>
      </c>
      <c r="Y713" s="1">
        <v>1311</v>
      </c>
      <c r="Z713" s="1" t="s">
        <v>24</v>
      </c>
      <c r="AA713" s="1" t="s">
        <v>24</v>
      </c>
      <c r="AB713" s="1" t="s">
        <v>24</v>
      </c>
      <c r="AC713" s="1" t="s">
        <v>24</v>
      </c>
      <c r="AD713" s="1" t="s">
        <v>24</v>
      </c>
      <c r="AE713" s="1" t="s">
        <v>24</v>
      </c>
      <c r="AF713" s="22"/>
    </row>
    <row r="714" spans="1:32" x14ac:dyDescent="0.2">
      <c r="A714" s="1">
        <v>4078</v>
      </c>
      <c r="B714" s="1" t="s">
        <v>2420</v>
      </c>
      <c r="C714" s="5" t="s">
        <v>0</v>
      </c>
      <c r="D714" s="1" t="s">
        <v>2421</v>
      </c>
      <c r="E714" s="1" t="s">
        <v>2422</v>
      </c>
      <c r="F714" s="1" t="s">
        <v>724</v>
      </c>
      <c r="G714" s="1" t="s">
        <v>725</v>
      </c>
      <c r="H714" s="1" t="s">
        <v>37</v>
      </c>
      <c r="I714" s="1" t="s">
        <v>16</v>
      </c>
      <c r="J714" s="1">
        <v>1</v>
      </c>
      <c r="K714" s="1">
        <v>12</v>
      </c>
      <c r="L714" s="1" t="s">
        <v>31</v>
      </c>
      <c r="M714" s="1" t="s">
        <v>18</v>
      </c>
      <c r="N714" s="1" t="s">
        <v>18</v>
      </c>
      <c r="O714" s="1">
        <v>3</v>
      </c>
      <c r="P714" s="1">
        <v>6</v>
      </c>
      <c r="R714" s="1" t="s">
        <v>19</v>
      </c>
      <c r="S714" s="1" t="s">
        <v>20</v>
      </c>
      <c r="T714" s="1" t="s">
        <v>21</v>
      </c>
      <c r="U714" s="1" t="s">
        <v>22</v>
      </c>
      <c r="V714" s="1" t="s">
        <v>23</v>
      </c>
      <c r="W714" s="1" t="s">
        <v>24</v>
      </c>
      <c r="X714" s="1">
        <v>2733</v>
      </c>
      <c r="Y714" s="1" t="s">
        <v>24</v>
      </c>
      <c r="Z714" s="1" t="s">
        <v>24</v>
      </c>
      <c r="AA714" s="1" t="s">
        <v>24</v>
      </c>
      <c r="AB714" s="1" t="s">
        <v>24</v>
      </c>
      <c r="AC714" s="1" t="s">
        <v>24</v>
      </c>
      <c r="AD714" s="1" t="s">
        <v>24</v>
      </c>
      <c r="AE714" s="1" t="s">
        <v>24</v>
      </c>
      <c r="AF714" s="22"/>
    </row>
    <row r="715" spans="1:32" x14ac:dyDescent="0.2">
      <c r="A715" s="1">
        <v>4080</v>
      </c>
      <c r="B715" s="1" t="s">
        <v>2423</v>
      </c>
      <c r="C715" s="5" t="s">
        <v>0</v>
      </c>
      <c r="D715" s="1" t="s">
        <v>2424</v>
      </c>
      <c r="E715" s="1" t="s">
        <v>2425</v>
      </c>
      <c r="F715" s="1" t="s">
        <v>2154</v>
      </c>
      <c r="G715" s="1" t="s">
        <v>2155</v>
      </c>
      <c r="H715" s="1" t="s">
        <v>30</v>
      </c>
      <c r="I715" s="1" t="s">
        <v>16</v>
      </c>
      <c r="J715" s="1">
        <v>1</v>
      </c>
      <c r="K715" s="1">
        <v>12</v>
      </c>
      <c r="L715" s="1" t="s">
        <v>42</v>
      </c>
      <c r="M715" s="1" t="s">
        <v>18</v>
      </c>
      <c r="N715" s="1" t="s">
        <v>18</v>
      </c>
      <c r="O715" s="1">
        <v>3</v>
      </c>
      <c r="P715" s="1">
        <v>7</v>
      </c>
      <c r="Q715" s="7" t="s">
        <v>17633</v>
      </c>
      <c r="R715" s="1" t="s">
        <v>62</v>
      </c>
      <c r="S715" s="1" t="s">
        <v>20</v>
      </c>
      <c r="T715" s="1" t="s">
        <v>21</v>
      </c>
      <c r="U715" s="1" t="s">
        <v>22</v>
      </c>
      <c r="V715" s="1" t="s">
        <v>24</v>
      </c>
      <c r="W715" s="1" t="s">
        <v>64</v>
      </c>
      <c r="X715" s="1">
        <v>1303</v>
      </c>
      <c r="Y715" s="1">
        <v>1307</v>
      </c>
      <c r="Z715" s="1">
        <v>1310</v>
      </c>
      <c r="AA715" s="1" t="s">
        <v>24</v>
      </c>
      <c r="AB715" s="1" t="s">
        <v>24</v>
      </c>
      <c r="AC715" s="1" t="s">
        <v>24</v>
      </c>
      <c r="AD715" s="1" t="s">
        <v>24</v>
      </c>
      <c r="AE715" s="1" t="s">
        <v>24</v>
      </c>
      <c r="AF715" s="22"/>
    </row>
    <row r="716" spans="1:32" x14ac:dyDescent="0.2">
      <c r="A716" s="1">
        <v>4087</v>
      </c>
      <c r="B716" s="1" t="s">
        <v>2426</v>
      </c>
      <c r="C716" s="5" t="s">
        <v>0</v>
      </c>
      <c r="D716" s="1" t="s">
        <v>2427</v>
      </c>
      <c r="E716" s="1" t="s">
        <v>2428</v>
      </c>
      <c r="F716" s="1" t="s">
        <v>190</v>
      </c>
      <c r="G716" s="1" t="s">
        <v>130</v>
      </c>
      <c r="H716" s="1" t="s">
        <v>30</v>
      </c>
      <c r="I716" s="1" t="s">
        <v>16</v>
      </c>
      <c r="J716" s="1">
        <v>6</v>
      </c>
      <c r="K716" s="1">
        <v>3</v>
      </c>
      <c r="L716" s="1" t="s">
        <v>31</v>
      </c>
      <c r="M716" s="1" t="s">
        <v>18</v>
      </c>
      <c r="N716" s="1" t="s">
        <v>18</v>
      </c>
      <c r="O716" s="1">
        <v>3</v>
      </c>
      <c r="P716" s="1">
        <v>6</v>
      </c>
      <c r="R716" s="1" t="s">
        <v>19</v>
      </c>
      <c r="S716" s="1" t="s">
        <v>20</v>
      </c>
      <c r="T716" s="1" t="s">
        <v>21</v>
      </c>
      <c r="U716" s="1" t="s">
        <v>22</v>
      </c>
      <c r="V716" s="1" t="s">
        <v>24</v>
      </c>
      <c r="W716" s="1" t="s">
        <v>24</v>
      </c>
      <c r="X716" s="1">
        <v>1304</v>
      </c>
      <c r="Y716" s="1">
        <v>1314</v>
      </c>
      <c r="Z716" s="1">
        <v>1307</v>
      </c>
      <c r="AA716" s="1" t="s">
        <v>24</v>
      </c>
      <c r="AB716" s="1" t="s">
        <v>24</v>
      </c>
      <c r="AC716" s="1" t="s">
        <v>24</v>
      </c>
      <c r="AD716" s="1" t="s">
        <v>24</v>
      </c>
      <c r="AE716" s="1" t="s">
        <v>24</v>
      </c>
      <c r="AF716" s="22"/>
    </row>
    <row r="717" spans="1:32" x14ac:dyDescent="0.2">
      <c r="A717" s="1">
        <v>4091</v>
      </c>
      <c r="B717" s="1" t="s">
        <v>2429</v>
      </c>
      <c r="C717" s="5" t="s">
        <v>0</v>
      </c>
      <c r="D717" s="1" t="s">
        <v>2430</v>
      </c>
      <c r="E717" s="1" t="s">
        <v>2431</v>
      </c>
      <c r="F717" s="1" t="s">
        <v>601</v>
      </c>
      <c r="G717" s="1" t="s">
        <v>61</v>
      </c>
      <c r="H717" s="1" t="s">
        <v>37</v>
      </c>
      <c r="I717" s="1" t="s">
        <v>16</v>
      </c>
      <c r="J717" s="1">
        <v>2</v>
      </c>
      <c r="K717" s="1">
        <v>6</v>
      </c>
      <c r="L717" s="1" t="s">
        <v>31</v>
      </c>
      <c r="M717" s="1" t="s">
        <v>18</v>
      </c>
      <c r="N717" s="1" t="s">
        <v>18</v>
      </c>
      <c r="O717" s="1">
        <v>3</v>
      </c>
      <c r="P717" s="1">
        <v>7</v>
      </c>
      <c r="Q717" s="7" t="s">
        <v>17633</v>
      </c>
      <c r="R717" s="1" t="s">
        <v>62</v>
      </c>
      <c r="S717" s="1" t="s">
        <v>63</v>
      </c>
      <c r="T717" s="1" t="s">
        <v>21</v>
      </c>
      <c r="U717" s="1" t="s">
        <v>22</v>
      </c>
      <c r="V717" s="1" t="s">
        <v>24</v>
      </c>
      <c r="W717" s="1" t="s">
        <v>24</v>
      </c>
      <c r="X717" s="1">
        <v>1312</v>
      </c>
      <c r="Y717" s="1">
        <v>2705</v>
      </c>
      <c r="Z717" s="1" t="s">
        <v>24</v>
      </c>
      <c r="AA717" s="1" t="s">
        <v>24</v>
      </c>
      <c r="AB717" s="1" t="s">
        <v>24</v>
      </c>
      <c r="AC717" s="1" t="s">
        <v>24</v>
      </c>
      <c r="AD717" s="1" t="s">
        <v>24</v>
      </c>
      <c r="AE717" s="1" t="s">
        <v>24</v>
      </c>
      <c r="AF717" s="22"/>
    </row>
    <row r="718" spans="1:32" x14ac:dyDescent="0.2">
      <c r="A718" s="1">
        <v>4095</v>
      </c>
      <c r="B718" s="1" t="s">
        <v>2432</v>
      </c>
      <c r="C718" s="5" t="s">
        <v>0</v>
      </c>
      <c r="D718" s="1" t="s">
        <v>2433</v>
      </c>
      <c r="E718" s="1" t="s">
        <v>2434</v>
      </c>
      <c r="F718" s="1" t="s">
        <v>776</v>
      </c>
      <c r="G718" s="1" t="s">
        <v>777</v>
      </c>
      <c r="H718" s="1" t="s">
        <v>30</v>
      </c>
      <c r="I718" s="1" t="s">
        <v>16</v>
      </c>
      <c r="J718" s="1">
        <v>1</v>
      </c>
      <c r="K718" s="1">
        <v>24</v>
      </c>
      <c r="L718" s="1" t="s">
        <v>31</v>
      </c>
      <c r="M718" s="1" t="s">
        <v>18</v>
      </c>
      <c r="N718" s="1" t="s">
        <v>18</v>
      </c>
      <c r="O718" s="1">
        <v>2</v>
      </c>
      <c r="P718" s="1">
        <v>6</v>
      </c>
      <c r="R718" s="1" t="s">
        <v>881</v>
      </c>
      <c r="S718" s="1" t="s">
        <v>20</v>
      </c>
      <c r="T718" s="1" t="s">
        <v>21</v>
      </c>
      <c r="U718" s="1" t="s">
        <v>22</v>
      </c>
      <c r="V718" s="1" t="s">
        <v>24</v>
      </c>
      <c r="W718" s="1" t="s">
        <v>64</v>
      </c>
      <c r="X718" s="1">
        <v>1313</v>
      </c>
      <c r="Y718" s="1">
        <v>3002</v>
      </c>
      <c r="Z718" s="1" t="s">
        <v>24</v>
      </c>
      <c r="AA718" s="1" t="s">
        <v>24</v>
      </c>
      <c r="AB718" s="1" t="s">
        <v>24</v>
      </c>
      <c r="AC718" s="1" t="s">
        <v>24</v>
      </c>
      <c r="AD718" s="1" t="s">
        <v>24</v>
      </c>
      <c r="AE718" s="1" t="s">
        <v>24</v>
      </c>
      <c r="AF718" s="22"/>
    </row>
    <row r="719" spans="1:32" x14ac:dyDescent="0.2">
      <c r="A719" s="1">
        <v>4099</v>
      </c>
      <c r="B719" s="1" t="s">
        <v>2435</v>
      </c>
      <c r="C719" s="5" t="s">
        <v>0</v>
      </c>
      <c r="D719" s="1" t="s">
        <v>2436</v>
      </c>
      <c r="E719" s="1" t="s">
        <v>2437</v>
      </c>
      <c r="F719" s="1" t="s">
        <v>159</v>
      </c>
      <c r="G719" s="1" t="s">
        <v>160</v>
      </c>
      <c r="H719" s="1" t="s">
        <v>37</v>
      </c>
      <c r="I719" s="1" t="s">
        <v>16</v>
      </c>
      <c r="J719" s="1">
        <v>1</v>
      </c>
      <c r="K719" s="1">
        <v>12</v>
      </c>
      <c r="L719" s="1" t="s">
        <v>42</v>
      </c>
      <c r="M719" s="1" t="s">
        <v>18</v>
      </c>
      <c r="N719" s="1" t="s">
        <v>18</v>
      </c>
      <c r="O719" s="1">
        <v>3</v>
      </c>
      <c r="P719" s="1">
        <v>7</v>
      </c>
      <c r="Q719" s="7" t="s">
        <v>17633</v>
      </c>
      <c r="R719" s="1" t="s">
        <v>62</v>
      </c>
      <c r="S719" s="1" t="s">
        <v>63</v>
      </c>
      <c r="T719" s="1" t="s">
        <v>21</v>
      </c>
      <c r="U719" s="1" t="s">
        <v>22</v>
      </c>
      <c r="V719" s="1" t="s">
        <v>24</v>
      </c>
      <c r="W719" s="1" t="s">
        <v>24</v>
      </c>
      <c r="X719" s="1">
        <v>1311</v>
      </c>
      <c r="Y719" s="1">
        <v>2716</v>
      </c>
      <c r="Z719" s="1" t="s">
        <v>24</v>
      </c>
      <c r="AA719" s="1" t="s">
        <v>24</v>
      </c>
      <c r="AB719" s="1" t="s">
        <v>24</v>
      </c>
      <c r="AC719" s="1" t="s">
        <v>24</v>
      </c>
      <c r="AD719" s="1" t="s">
        <v>24</v>
      </c>
      <c r="AE719" s="1" t="s">
        <v>24</v>
      </c>
      <c r="AF719" s="22"/>
    </row>
    <row r="720" spans="1:32" x14ac:dyDescent="0.2">
      <c r="A720" s="1">
        <v>4104</v>
      </c>
      <c r="B720" s="1" t="s">
        <v>2438</v>
      </c>
      <c r="C720" s="5" t="s">
        <v>0</v>
      </c>
      <c r="D720" s="1" t="s">
        <v>2439</v>
      </c>
      <c r="E720" s="1" t="s">
        <v>2440</v>
      </c>
      <c r="F720" s="1" t="s">
        <v>91</v>
      </c>
      <c r="G720" s="1" t="s">
        <v>61</v>
      </c>
      <c r="H720" s="1" t="s">
        <v>92</v>
      </c>
      <c r="I720" s="1" t="s">
        <v>16</v>
      </c>
      <c r="J720" s="1">
        <v>18</v>
      </c>
      <c r="K720" s="1">
        <v>2</v>
      </c>
      <c r="L720" s="1" t="s">
        <v>31</v>
      </c>
      <c r="M720" s="1" t="s">
        <v>18</v>
      </c>
      <c r="N720" s="1" t="s">
        <v>18</v>
      </c>
      <c r="O720" s="1">
        <v>3</v>
      </c>
      <c r="P720" s="1">
        <v>7</v>
      </c>
      <c r="Q720" s="7" t="s">
        <v>17633</v>
      </c>
      <c r="R720" s="1" t="s">
        <v>19</v>
      </c>
      <c r="S720" s="1" t="s">
        <v>63</v>
      </c>
      <c r="T720" s="1" t="s">
        <v>21</v>
      </c>
      <c r="U720" s="1" t="s">
        <v>22</v>
      </c>
      <c r="V720" s="1" t="s">
        <v>24</v>
      </c>
      <c r="W720" s="1" t="s">
        <v>24</v>
      </c>
      <c r="X720" s="1">
        <v>1606</v>
      </c>
      <c r="Y720" s="1">
        <v>2500</v>
      </c>
      <c r="Z720" s="1">
        <v>1303</v>
      </c>
      <c r="AA720" s="1">
        <v>1506</v>
      </c>
      <c r="AB720" s="1" t="s">
        <v>24</v>
      </c>
      <c r="AC720" s="1" t="s">
        <v>24</v>
      </c>
      <c r="AD720" s="1" t="s">
        <v>24</v>
      </c>
      <c r="AE720" s="1" t="s">
        <v>24</v>
      </c>
      <c r="AF720" s="22"/>
    </row>
    <row r="721" spans="1:32" x14ac:dyDescent="0.2">
      <c r="A721" s="1">
        <v>4110</v>
      </c>
      <c r="B721" s="1" t="s">
        <v>2441</v>
      </c>
      <c r="C721" s="5" t="s">
        <v>0</v>
      </c>
      <c r="D721" s="1" t="s">
        <v>2442</v>
      </c>
      <c r="E721" s="1" t="s">
        <v>2443</v>
      </c>
      <c r="F721" s="1" t="s">
        <v>35</v>
      </c>
      <c r="G721" s="1" t="s">
        <v>36</v>
      </c>
      <c r="H721" s="1" t="s">
        <v>37</v>
      </c>
      <c r="I721" s="1" t="s">
        <v>16</v>
      </c>
      <c r="J721" s="1">
        <v>4</v>
      </c>
      <c r="K721" s="1">
        <v>3</v>
      </c>
      <c r="L721" s="1" t="s">
        <v>31</v>
      </c>
      <c r="M721" s="1" t="s">
        <v>18</v>
      </c>
      <c r="N721" s="1" t="s">
        <v>18</v>
      </c>
      <c r="O721" s="1">
        <v>3</v>
      </c>
      <c r="P721" s="1">
        <v>7</v>
      </c>
      <c r="Q721" s="7" t="s">
        <v>17633</v>
      </c>
      <c r="R721" s="1" t="s">
        <v>19</v>
      </c>
      <c r="S721" s="1" t="s">
        <v>20</v>
      </c>
      <c r="T721" s="1" t="s">
        <v>21</v>
      </c>
      <c r="U721" s="1" t="s">
        <v>22</v>
      </c>
      <c r="V721" s="1" t="s">
        <v>24</v>
      </c>
      <c r="W721" s="1" t="s">
        <v>24</v>
      </c>
      <c r="X721" s="1">
        <v>2722</v>
      </c>
      <c r="Y721" s="1">
        <v>2734</v>
      </c>
      <c r="Z721" s="1" t="s">
        <v>24</v>
      </c>
      <c r="AA721" s="1" t="s">
        <v>24</v>
      </c>
      <c r="AB721" s="1" t="s">
        <v>24</v>
      </c>
      <c r="AC721" s="1" t="s">
        <v>24</v>
      </c>
      <c r="AD721" s="1" t="s">
        <v>24</v>
      </c>
      <c r="AE721" s="1" t="s">
        <v>24</v>
      </c>
      <c r="AF721" s="22"/>
    </row>
    <row r="722" spans="1:32" x14ac:dyDescent="0.2">
      <c r="A722" s="1">
        <v>4111</v>
      </c>
      <c r="B722" s="1" t="s">
        <v>2444</v>
      </c>
      <c r="C722" s="5" t="s">
        <v>0</v>
      </c>
      <c r="D722" s="1" t="s">
        <v>2445</v>
      </c>
      <c r="E722" s="1" t="s">
        <v>2446</v>
      </c>
      <c r="F722" s="1" t="s">
        <v>91</v>
      </c>
      <c r="G722" s="1" t="s">
        <v>61</v>
      </c>
      <c r="H722" s="1" t="s">
        <v>92</v>
      </c>
      <c r="I722" s="1" t="s">
        <v>16</v>
      </c>
      <c r="J722" s="1">
        <v>4</v>
      </c>
      <c r="K722" s="1">
        <v>3</v>
      </c>
      <c r="L722" s="1" t="s">
        <v>31</v>
      </c>
      <c r="M722" s="1" t="s">
        <v>18</v>
      </c>
      <c r="N722" s="1" t="s">
        <v>18</v>
      </c>
      <c r="O722" s="1">
        <v>3</v>
      </c>
      <c r="P722" s="1">
        <v>7</v>
      </c>
      <c r="Q722" s="7" t="s">
        <v>17633</v>
      </c>
      <c r="R722" s="1" t="s">
        <v>19</v>
      </c>
      <c r="S722" s="1" t="s">
        <v>63</v>
      </c>
      <c r="T722" s="1" t="s">
        <v>21</v>
      </c>
      <c r="U722" s="1" t="s">
        <v>22</v>
      </c>
      <c r="V722" s="1" t="s">
        <v>24</v>
      </c>
      <c r="W722" s="1" t="s">
        <v>24</v>
      </c>
      <c r="X722" s="1">
        <v>2404</v>
      </c>
      <c r="Y722" s="1">
        <v>1312</v>
      </c>
      <c r="Z722" s="1">
        <v>2726</v>
      </c>
      <c r="AA722" s="1" t="s">
        <v>24</v>
      </c>
      <c r="AB722" s="1" t="s">
        <v>24</v>
      </c>
      <c r="AC722" s="1" t="s">
        <v>24</v>
      </c>
      <c r="AD722" s="1" t="s">
        <v>24</v>
      </c>
      <c r="AE722" s="1" t="s">
        <v>24</v>
      </c>
      <c r="AF722" s="22"/>
    </row>
    <row r="723" spans="1:32" x14ac:dyDescent="0.2">
      <c r="A723" s="1">
        <v>4114</v>
      </c>
      <c r="B723" s="1" t="s">
        <v>2447</v>
      </c>
      <c r="C723" s="5" t="s">
        <v>0</v>
      </c>
      <c r="D723" s="1" t="s">
        <v>2448</v>
      </c>
      <c r="F723" s="1" t="s">
        <v>2449</v>
      </c>
      <c r="G723" s="1" t="s">
        <v>229</v>
      </c>
      <c r="H723" s="1" t="s">
        <v>86</v>
      </c>
      <c r="I723" s="1" t="s">
        <v>16</v>
      </c>
      <c r="J723" s="1">
        <v>1</v>
      </c>
      <c r="K723" s="1">
        <v>8</v>
      </c>
      <c r="L723" s="1" t="s">
        <v>17</v>
      </c>
      <c r="M723" s="1" t="s">
        <v>87</v>
      </c>
      <c r="N723" s="1" t="s">
        <v>18</v>
      </c>
      <c r="O723" s="1">
        <v>2</v>
      </c>
      <c r="P723" s="1">
        <v>5</v>
      </c>
      <c r="R723" s="1" t="s">
        <v>19</v>
      </c>
      <c r="S723" s="1" t="s">
        <v>20</v>
      </c>
      <c r="T723" s="1" t="s">
        <v>21</v>
      </c>
      <c r="U723" s="1" t="s">
        <v>22</v>
      </c>
      <c r="V723" s="1" t="s">
        <v>23</v>
      </c>
      <c r="W723" s="1" t="s">
        <v>24</v>
      </c>
      <c r="X723" s="1">
        <v>2734</v>
      </c>
      <c r="Y723" s="1" t="s">
        <v>24</v>
      </c>
      <c r="Z723" s="1" t="s">
        <v>24</v>
      </c>
      <c r="AA723" s="1" t="s">
        <v>24</v>
      </c>
      <c r="AB723" s="1" t="s">
        <v>24</v>
      </c>
      <c r="AC723" s="1" t="s">
        <v>24</v>
      </c>
      <c r="AD723" s="1" t="s">
        <v>24</v>
      </c>
      <c r="AE723" s="1" t="s">
        <v>24</v>
      </c>
      <c r="AF723" s="22"/>
    </row>
    <row r="724" spans="1:32" x14ac:dyDescent="0.2">
      <c r="A724" s="1">
        <v>4120</v>
      </c>
      <c r="B724" s="1" t="s">
        <v>2450</v>
      </c>
      <c r="C724" s="5" t="s">
        <v>0</v>
      </c>
      <c r="D724" s="1" t="s">
        <v>2451</v>
      </c>
      <c r="F724" s="1" t="s">
        <v>2341</v>
      </c>
      <c r="G724" s="1" t="s">
        <v>2341</v>
      </c>
      <c r="H724" s="1" t="s">
        <v>37</v>
      </c>
      <c r="I724" s="1" t="s">
        <v>16</v>
      </c>
      <c r="J724" s="1">
        <v>1</v>
      </c>
      <c r="K724" s="1">
        <v>12</v>
      </c>
      <c r="L724" s="1" t="s">
        <v>42</v>
      </c>
      <c r="M724" s="1" t="s">
        <v>18</v>
      </c>
      <c r="N724" s="1" t="s">
        <v>18</v>
      </c>
      <c r="O724" s="1">
        <v>3</v>
      </c>
      <c r="P724" s="1">
        <v>7</v>
      </c>
      <c r="Q724" s="7" t="s">
        <v>17633</v>
      </c>
      <c r="R724" s="1" t="s">
        <v>19</v>
      </c>
      <c r="S724" s="1" t="s">
        <v>20</v>
      </c>
      <c r="T724" s="1" t="s">
        <v>21</v>
      </c>
      <c r="U724" s="1" t="s">
        <v>22</v>
      </c>
      <c r="V724" s="1" t="s">
        <v>24</v>
      </c>
      <c r="W724" s="1" t="s">
        <v>24</v>
      </c>
      <c r="X724" s="1">
        <v>2726</v>
      </c>
      <c r="Y724" s="1">
        <v>2404</v>
      </c>
      <c r="Z724" s="1" t="s">
        <v>24</v>
      </c>
      <c r="AA724" s="1" t="s">
        <v>24</v>
      </c>
      <c r="AB724" s="1" t="s">
        <v>24</v>
      </c>
      <c r="AC724" s="1" t="s">
        <v>24</v>
      </c>
      <c r="AD724" s="1" t="s">
        <v>24</v>
      </c>
      <c r="AE724" s="1" t="s">
        <v>24</v>
      </c>
      <c r="AF724" s="22"/>
    </row>
    <row r="725" spans="1:32" x14ac:dyDescent="0.2">
      <c r="A725" s="1">
        <v>4124</v>
      </c>
      <c r="B725" s="1" t="s">
        <v>2452</v>
      </c>
      <c r="C725" s="5" t="s">
        <v>0</v>
      </c>
      <c r="D725" s="1" t="s">
        <v>2453</v>
      </c>
      <c r="E725" s="1" t="s">
        <v>2454</v>
      </c>
      <c r="F725" s="1" t="s">
        <v>601</v>
      </c>
      <c r="G725" s="1" t="s">
        <v>61</v>
      </c>
      <c r="H725" s="1" t="s">
        <v>37</v>
      </c>
      <c r="I725" s="1" t="s">
        <v>16</v>
      </c>
      <c r="J725" s="1">
        <v>10</v>
      </c>
      <c r="K725" s="1">
        <v>5</v>
      </c>
      <c r="L725" s="1" t="s">
        <v>31</v>
      </c>
      <c r="M725" s="1" t="s">
        <v>18</v>
      </c>
      <c r="N725" s="1" t="s">
        <v>18</v>
      </c>
      <c r="O725" s="1">
        <v>3</v>
      </c>
      <c r="P725" s="1">
        <v>9</v>
      </c>
      <c r="Q725" s="7" t="s">
        <v>17633</v>
      </c>
      <c r="R725" s="1" t="s">
        <v>62</v>
      </c>
      <c r="S725" s="1" t="s">
        <v>20</v>
      </c>
      <c r="T725" s="1" t="s">
        <v>21</v>
      </c>
      <c r="U725" s="1" t="s">
        <v>22</v>
      </c>
      <c r="V725" s="1" t="s">
        <v>24</v>
      </c>
      <c r="W725" s="1" t="s">
        <v>64</v>
      </c>
      <c r="X725" s="1">
        <v>1312</v>
      </c>
      <c r="Y725" s="1" t="s">
        <v>24</v>
      </c>
      <c r="Z725" s="1" t="s">
        <v>24</v>
      </c>
      <c r="AA725" s="1" t="s">
        <v>24</v>
      </c>
      <c r="AB725" s="1" t="s">
        <v>24</v>
      </c>
      <c r="AC725" s="1" t="s">
        <v>24</v>
      </c>
      <c r="AD725" s="1" t="s">
        <v>24</v>
      </c>
      <c r="AE725" s="1" t="s">
        <v>24</v>
      </c>
      <c r="AF725" s="22"/>
    </row>
    <row r="726" spans="1:32" x14ac:dyDescent="0.2">
      <c r="A726" s="1">
        <v>4128</v>
      </c>
      <c r="B726" s="1" t="s">
        <v>2455</v>
      </c>
      <c r="C726" s="5" t="s">
        <v>0</v>
      </c>
      <c r="D726" s="1" t="s">
        <v>2456</v>
      </c>
      <c r="E726" s="1" t="s">
        <v>2457</v>
      </c>
      <c r="F726" s="1" t="s">
        <v>50</v>
      </c>
      <c r="G726" s="1" t="s">
        <v>36</v>
      </c>
      <c r="H726" s="1" t="s">
        <v>51</v>
      </c>
      <c r="I726" s="1" t="s">
        <v>16</v>
      </c>
      <c r="J726" s="1">
        <v>1</v>
      </c>
      <c r="K726" s="1">
        <v>6</v>
      </c>
      <c r="L726" s="1" t="s">
        <v>31</v>
      </c>
      <c r="M726" s="1" t="s">
        <v>18</v>
      </c>
      <c r="N726" s="1" t="s">
        <v>18</v>
      </c>
      <c r="O726" s="1">
        <v>3</v>
      </c>
      <c r="P726" s="1">
        <v>7</v>
      </c>
      <c r="Q726" s="7" t="s">
        <v>17633</v>
      </c>
      <c r="R726" s="1" t="s">
        <v>19</v>
      </c>
      <c r="S726" s="1" t="s">
        <v>20</v>
      </c>
      <c r="T726" s="1" t="s">
        <v>21</v>
      </c>
      <c r="U726" s="1" t="s">
        <v>22</v>
      </c>
      <c r="V726" s="1" t="s">
        <v>24</v>
      </c>
      <c r="W726" s="1" t="s">
        <v>24</v>
      </c>
      <c r="X726" s="1">
        <v>1103</v>
      </c>
      <c r="Y726" s="1">
        <v>3400</v>
      </c>
      <c r="Z726" s="1" t="s">
        <v>24</v>
      </c>
      <c r="AA726" s="1" t="s">
        <v>24</v>
      </c>
      <c r="AB726" s="1" t="s">
        <v>24</v>
      </c>
      <c r="AC726" s="1" t="s">
        <v>24</v>
      </c>
      <c r="AD726" s="1" t="s">
        <v>24</v>
      </c>
      <c r="AE726" s="1" t="s">
        <v>24</v>
      </c>
      <c r="AF726" s="22"/>
    </row>
    <row r="727" spans="1:32" x14ac:dyDescent="0.2">
      <c r="A727" s="1">
        <v>4137</v>
      </c>
      <c r="B727" s="1" t="s">
        <v>2458</v>
      </c>
      <c r="C727" s="5" t="s">
        <v>0</v>
      </c>
      <c r="D727" s="1" t="s">
        <v>2459</v>
      </c>
      <c r="E727" s="1" t="s">
        <v>2460</v>
      </c>
      <c r="F727" s="1" t="s">
        <v>190</v>
      </c>
      <c r="G727" s="1" t="s">
        <v>130</v>
      </c>
      <c r="H727" s="1" t="s">
        <v>30</v>
      </c>
      <c r="I727" s="1" t="s">
        <v>16</v>
      </c>
      <c r="J727" s="1">
        <v>1</v>
      </c>
      <c r="K727" s="1">
        <v>6</v>
      </c>
      <c r="L727" s="1" t="s">
        <v>31</v>
      </c>
      <c r="M727" s="1" t="s">
        <v>18</v>
      </c>
      <c r="N727" s="1" t="s">
        <v>18</v>
      </c>
      <c r="O727" s="1">
        <v>2</v>
      </c>
      <c r="P727" s="1">
        <v>6</v>
      </c>
      <c r="R727" s="1" t="s">
        <v>19</v>
      </c>
      <c r="S727" s="1" t="s">
        <v>20</v>
      </c>
      <c r="T727" s="1" t="s">
        <v>21</v>
      </c>
      <c r="U727" s="1" t="s">
        <v>22</v>
      </c>
      <c r="V727" s="1" t="s">
        <v>23</v>
      </c>
      <c r="W727" s="1" t="s">
        <v>24</v>
      </c>
      <c r="X727" s="1">
        <v>2701</v>
      </c>
      <c r="Y727" s="1">
        <v>2718</v>
      </c>
      <c r="Z727" s="1">
        <v>3605</v>
      </c>
      <c r="AA727" s="1">
        <v>1710</v>
      </c>
      <c r="AB727" s="1" t="s">
        <v>24</v>
      </c>
      <c r="AC727" s="1" t="s">
        <v>24</v>
      </c>
      <c r="AD727" s="1" t="s">
        <v>24</v>
      </c>
      <c r="AE727" s="1" t="s">
        <v>24</v>
      </c>
      <c r="AF727" s="22"/>
    </row>
    <row r="728" spans="1:32" x14ac:dyDescent="0.2">
      <c r="A728" s="1">
        <v>4140</v>
      </c>
      <c r="B728" s="1" t="s">
        <v>2461</v>
      </c>
      <c r="C728" s="5" t="s">
        <v>0</v>
      </c>
      <c r="D728" s="1" t="s">
        <v>2462</v>
      </c>
      <c r="E728" s="1" t="s">
        <v>2463</v>
      </c>
      <c r="F728" s="1" t="s">
        <v>291</v>
      </c>
      <c r="G728" s="1" t="s">
        <v>292</v>
      </c>
      <c r="H728" s="1" t="s">
        <v>37</v>
      </c>
      <c r="I728" s="1" t="s">
        <v>16</v>
      </c>
      <c r="J728" s="1">
        <v>1</v>
      </c>
      <c r="K728" s="1">
        <v>8</v>
      </c>
      <c r="L728" s="1" t="s">
        <v>31</v>
      </c>
      <c r="M728" s="1" t="s">
        <v>18</v>
      </c>
      <c r="N728" s="1" t="s">
        <v>18</v>
      </c>
      <c r="O728" s="1">
        <v>3</v>
      </c>
      <c r="P728" s="1">
        <v>7</v>
      </c>
      <c r="Q728" s="7" t="s">
        <v>17633</v>
      </c>
      <c r="R728" s="1" t="s">
        <v>19</v>
      </c>
      <c r="S728" s="1" t="s">
        <v>20</v>
      </c>
      <c r="T728" s="1" t="s">
        <v>21</v>
      </c>
      <c r="U728" s="1" t="s">
        <v>22</v>
      </c>
      <c r="V728" s="1" t="s">
        <v>23</v>
      </c>
      <c r="W728" s="1" t="s">
        <v>24</v>
      </c>
      <c r="X728" s="1">
        <v>2204</v>
      </c>
      <c r="Y728" s="1" t="s">
        <v>24</v>
      </c>
      <c r="Z728" s="1" t="s">
        <v>24</v>
      </c>
      <c r="AA728" s="1" t="s">
        <v>24</v>
      </c>
      <c r="AB728" s="1" t="s">
        <v>24</v>
      </c>
      <c r="AC728" s="1" t="s">
        <v>24</v>
      </c>
      <c r="AD728" s="1" t="s">
        <v>24</v>
      </c>
      <c r="AE728" s="1" t="s">
        <v>24</v>
      </c>
      <c r="AF728" s="22"/>
    </row>
    <row r="729" spans="1:32" x14ac:dyDescent="0.2">
      <c r="A729" s="1">
        <v>4142</v>
      </c>
      <c r="B729" s="1" t="s">
        <v>2464</v>
      </c>
      <c r="C729" s="5" t="s">
        <v>0</v>
      </c>
      <c r="D729" s="1" t="s">
        <v>2465</v>
      </c>
      <c r="F729" s="1" t="s">
        <v>2466</v>
      </c>
      <c r="G729" s="1" t="s">
        <v>2466</v>
      </c>
      <c r="H729" s="1" t="s">
        <v>591</v>
      </c>
      <c r="I729" s="1" t="s">
        <v>16</v>
      </c>
      <c r="J729" s="1">
        <v>1</v>
      </c>
      <c r="K729" s="1">
        <v>12</v>
      </c>
      <c r="L729" s="1" t="s">
        <v>42</v>
      </c>
      <c r="M729" s="1" t="s">
        <v>18</v>
      </c>
      <c r="N729" s="1" t="s">
        <v>18</v>
      </c>
      <c r="O729" s="1">
        <v>2</v>
      </c>
      <c r="P729" s="1">
        <v>4</v>
      </c>
      <c r="R729" s="1" t="s">
        <v>19</v>
      </c>
      <c r="S729" s="1" t="s">
        <v>20</v>
      </c>
      <c r="T729" s="1" t="s">
        <v>21</v>
      </c>
      <c r="U729" s="1" t="s">
        <v>22</v>
      </c>
      <c r="V729" s="1" t="s">
        <v>24</v>
      </c>
      <c r="W729" s="1" t="s">
        <v>24</v>
      </c>
      <c r="X729" s="1">
        <v>2700</v>
      </c>
      <c r="Y729" s="1" t="s">
        <v>24</v>
      </c>
      <c r="Z729" s="1" t="s">
        <v>24</v>
      </c>
      <c r="AA729" s="1" t="s">
        <v>24</v>
      </c>
      <c r="AB729" s="1" t="s">
        <v>24</v>
      </c>
      <c r="AC729" s="1" t="s">
        <v>24</v>
      </c>
      <c r="AD729" s="1" t="s">
        <v>24</v>
      </c>
      <c r="AE729" s="1" t="s">
        <v>24</v>
      </c>
      <c r="AF729" s="22"/>
    </row>
    <row r="730" spans="1:32" x14ac:dyDescent="0.2">
      <c r="A730" s="1">
        <v>4145</v>
      </c>
      <c r="B730" s="1" t="s">
        <v>2467</v>
      </c>
      <c r="C730" s="5" t="s">
        <v>0</v>
      </c>
      <c r="D730" s="1" t="s">
        <v>2468</v>
      </c>
      <c r="F730" s="1" t="s">
        <v>85</v>
      </c>
      <c r="G730" s="1" t="s">
        <v>61</v>
      </c>
      <c r="H730" s="1" t="s">
        <v>86</v>
      </c>
      <c r="I730" s="1" t="s">
        <v>16</v>
      </c>
      <c r="J730" s="1">
        <v>1</v>
      </c>
      <c r="K730" s="1">
        <v>5</v>
      </c>
      <c r="L730" s="1" t="s">
        <v>31</v>
      </c>
      <c r="M730" s="1" t="s">
        <v>87</v>
      </c>
      <c r="N730" s="1" t="s">
        <v>18</v>
      </c>
      <c r="O730" s="1">
        <v>3</v>
      </c>
      <c r="P730" s="1">
        <v>6</v>
      </c>
      <c r="R730" s="1" t="s">
        <v>19</v>
      </c>
      <c r="S730" s="1" t="s">
        <v>20</v>
      </c>
      <c r="T730" s="1" t="s">
        <v>21</v>
      </c>
      <c r="U730" s="1" t="s">
        <v>22</v>
      </c>
      <c r="V730" s="1" t="s">
        <v>24</v>
      </c>
      <c r="W730" s="1" t="s">
        <v>24</v>
      </c>
      <c r="X730" s="1">
        <v>2705</v>
      </c>
      <c r="Y730" s="1" t="s">
        <v>24</v>
      </c>
      <c r="Z730" s="1" t="s">
        <v>24</v>
      </c>
      <c r="AA730" s="1" t="s">
        <v>24</v>
      </c>
      <c r="AB730" s="1" t="s">
        <v>24</v>
      </c>
      <c r="AC730" s="1" t="s">
        <v>24</v>
      </c>
      <c r="AD730" s="1" t="s">
        <v>24</v>
      </c>
      <c r="AE730" s="1" t="s">
        <v>24</v>
      </c>
      <c r="AF730" s="22"/>
    </row>
    <row r="731" spans="1:32" x14ac:dyDescent="0.2">
      <c r="A731" s="1">
        <v>4146</v>
      </c>
      <c r="B731" s="1" t="s">
        <v>2469</v>
      </c>
      <c r="C731" s="5" t="s">
        <v>0</v>
      </c>
      <c r="D731" s="1" t="s">
        <v>2470</v>
      </c>
      <c r="E731" s="1" t="s">
        <v>2471</v>
      </c>
      <c r="F731" s="1" t="s">
        <v>320</v>
      </c>
      <c r="G731" s="1" t="s">
        <v>36</v>
      </c>
      <c r="H731" s="1" t="s">
        <v>30</v>
      </c>
      <c r="I731" s="1" t="s">
        <v>16</v>
      </c>
      <c r="J731" s="1">
        <v>3</v>
      </c>
      <c r="K731" s="1">
        <v>4</v>
      </c>
      <c r="L731" s="1" t="s">
        <v>31</v>
      </c>
      <c r="M731" s="1" t="s">
        <v>18</v>
      </c>
      <c r="N731" s="1" t="s">
        <v>18</v>
      </c>
      <c r="O731" s="1">
        <v>3</v>
      </c>
      <c r="P731" s="1">
        <v>6</v>
      </c>
      <c r="R731" s="1" t="s">
        <v>19</v>
      </c>
      <c r="S731" s="1" t="s">
        <v>20</v>
      </c>
      <c r="T731" s="1" t="s">
        <v>21</v>
      </c>
      <c r="U731" s="1" t="s">
        <v>22</v>
      </c>
      <c r="V731" s="1" t="s">
        <v>24</v>
      </c>
      <c r="W731" s="1" t="s">
        <v>24</v>
      </c>
      <c r="X731" s="1">
        <v>2406</v>
      </c>
      <c r="Y731" s="1">
        <v>2725</v>
      </c>
      <c r="Z731" s="1" t="s">
        <v>24</v>
      </c>
      <c r="AA731" s="1" t="s">
        <v>24</v>
      </c>
      <c r="AB731" s="1" t="s">
        <v>24</v>
      </c>
      <c r="AC731" s="1" t="s">
        <v>24</v>
      </c>
      <c r="AD731" s="1" t="s">
        <v>24</v>
      </c>
      <c r="AE731" s="1" t="s">
        <v>24</v>
      </c>
      <c r="AF731" s="22"/>
    </row>
    <row r="732" spans="1:32" x14ac:dyDescent="0.2">
      <c r="A732" s="1">
        <v>4153</v>
      </c>
      <c r="B732" s="1" t="s">
        <v>2472</v>
      </c>
      <c r="C732" s="5" t="s">
        <v>0</v>
      </c>
      <c r="D732" s="1" t="s">
        <v>2473</v>
      </c>
      <c r="E732" s="1" t="s">
        <v>2474</v>
      </c>
      <c r="F732" s="1" t="s">
        <v>55</v>
      </c>
      <c r="G732" s="1" t="s">
        <v>56</v>
      </c>
      <c r="H732" s="1" t="s">
        <v>37</v>
      </c>
      <c r="I732" s="1" t="s">
        <v>16</v>
      </c>
      <c r="J732" s="1">
        <v>1</v>
      </c>
      <c r="K732" s="1">
        <v>12</v>
      </c>
      <c r="L732" s="1" t="s">
        <v>31</v>
      </c>
      <c r="M732" s="1" t="s">
        <v>18</v>
      </c>
      <c r="N732" s="1" t="s">
        <v>18</v>
      </c>
      <c r="O732" s="1">
        <v>3</v>
      </c>
      <c r="P732" s="1">
        <v>7</v>
      </c>
      <c r="Q732" s="7" t="s">
        <v>17633</v>
      </c>
      <c r="R732" s="1" t="s">
        <v>62</v>
      </c>
      <c r="S732" s="1" t="s">
        <v>20</v>
      </c>
      <c r="T732" s="1" t="s">
        <v>21</v>
      </c>
      <c r="U732" s="1" t="s">
        <v>22</v>
      </c>
      <c r="V732" s="1" t="s">
        <v>23</v>
      </c>
      <c r="W732" s="1" t="s">
        <v>24</v>
      </c>
      <c r="X732" s="1">
        <v>1306</v>
      </c>
      <c r="Y732" s="1">
        <v>2730</v>
      </c>
      <c r="Z732" s="1" t="s">
        <v>24</v>
      </c>
      <c r="AA732" s="1" t="s">
        <v>24</v>
      </c>
      <c r="AB732" s="1" t="s">
        <v>24</v>
      </c>
      <c r="AC732" s="1" t="s">
        <v>24</v>
      </c>
      <c r="AD732" s="1" t="s">
        <v>24</v>
      </c>
      <c r="AE732" s="1" t="s">
        <v>24</v>
      </c>
      <c r="AF732" s="22"/>
    </row>
    <row r="733" spans="1:32" x14ac:dyDescent="0.2">
      <c r="A733" s="1">
        <v>4154</v>
      </c>
      <c r="B733" s="1" t="s">
        <v>2475</v>
      </c>
      <c r="C733" s="5" t="s">
        <v>0</v>
      </c>
      <c r="D733" s="1" t="s">
        <v>2476</v>
      </c>
      <c r="E733" s="1" t="s">
        <v>2477</v>
      </c>
      <c r="F733" s="1" t="s">
        <v>2478</v>
      </c>
      <c r="G733" s="1" t="s">
        <v>2478</v>
      </c>
      <c r="H733" s="1" t="s">
        <v>37</v>
      </c>
      <c r="I733" s="1" t="s">
        <v>16</v>
      </c>
      <c r="J733" s="1">
        <v>1</v>
      </c>
      <c r="K733" s="1">
        <v>24</v>
      </c>
      <c r="L733" s="1" t="s">
        <v>42</v>
      </c>
      <c r="M733" s="1" t="s">
        <v>18</v>
      </c>
      <c r="N733" s="1" t="s">
        <v>18</v>
      </c>
      <c r="O733" s="1">
        <v>3</v>
      </c>
      <c r="P733" s="1">
        <v>8</v>
      </c>
      <c r="Q733" s="7" t="s">
        <v>17633</v>
      </c>
      <c r="R733" s="1" t="s">
        <v>62</v>
      </c>
      <c r="S733" s="1" t="s">
        <v>20</v>
      </c>
      <c r="T733" s="1" t="s">
        <v>21</v>
      </c>
      <c r="U733" s="1" t="s">
        <v>22</v>
      </c>
      <c r="V733" s="1" t="s">
        <v>24</v>
      </c>
      <c r="W733" s="1" t="s">
        <v>24</v>
      </c>
      <c r="X733" s="1">
        <v>1307</v>
      </c>
      <c r="Y733" s="1" t="s">
        <v>24</v>
      </c>
      <c r="Z733" s="1" t="s">
        <v>24</v>
      </c>
      <c r="AA733" s="1" t="s">
        <v>24</v>
      </c>
      <c r="AB733" s="1" t="s">
        <v>24</v>
      </c>
      <c r="AC733" s="1" t="s">
        <v>24</v>
      </c>
      <c r="AD733" s="1" t="s">
        <v>24</v>
      </c>
      <c r="AE733" s="1" t="s">
        <v>24</v>
      </c>
      <c r="AF733" s="22"/>
    </row>
    <row r="734" spans="1:32" x14ac:dyDescent="0.2">
      <c r="A734" s="1">
        <v>4157</v>
      </c>
      <c r="B734" s="1" t="s">
        <v>2479</v>
      </c>
      <c r="C734" s="5" t="s">
        <v>0</v>
      </c>
      <c r="D734" s="1" t="s">
        <v>2480</v>
      </c>
      <c r="E734" s="1" t="s">
        <v>2481</v>
      </c>
      <c r="F734" s="1" t="s">
        <v>28</v>
      </c>
      <c r="G734" s="1" t="s">
        <v>29</v>
      </c>
      <c r="H734" s="1" t="s">
        <v>37</v>
      </c>
      <c r="I734" s="1" t="s">
        <v>16</v>
      </c>
      <c r="J734" s="1">
        <v>1</v>
      </c>
      <c r="K734" s="1">
        <v>12</v>
      </c>
      <c r="L734" s="1" t="s">
        <v>31</v>
      </c>
      <c r="M734" s="1" t="s">
        <v>18</v>
      </c>
      <c r="N734" s="1" t="s">
        <v>18</v>
      </c>
      <c r="O734" s="1">
        <v>3</v>
      </c>
      <c r="P734" s="1">
        <v>7</v>
      </c>
      <c r="Q734" s="7" t="s">
        <v>17633</v>
      </c>
      <c r="R734" s="1" t="s">
        <v>62</v>
      </c>
      <c r="S734" s="1" t="s">
        <v>20</v>
      </c>
      <c r="T734" s="1" t="s">
        <v>21</v>
      </c>
      <c r="U734" s="1" t="s">
        <v>22</v>
      </c>
      <c r="V734" s="1" t="s">
        <v>24</v>
      </c>
      <c r="W734" s="1" t="s">
        <v>24</v>
      </c>
      <c r="X734" s="1">
        <v>2734</v>
      </c>
      <c r="Y734" s="1">
        <v>2728</v>
      </c>
      <c r="Z734" s="1">
        <v>2808</v>
      </c>
      <c r="AA734" s="1">
        <v>2804</v>
      </c>
      <c r="AB734" s="1" t="s">
        <v>24</v>
      </c>
      <c r="AC734" s="1" t="s">
        <v>24</v>
      </c>
      <c r="AD734" s="1" t="s">
        <v>24</v>
      </c>
      <c r="AE734" s="1" t="s">
        <v>24</v>
      </c>
      <c r="AF734" s="22"/>
    </row>
    <row r="735" spans="1:32" x14ac:dyDescent="0.2">
      <c r="A735" s="1">
        <v>4159</v>
      </c>
      <c r="B735" s="1" t="s">
        <v>2482</v>
      </c>
      <c r="C735" s="5" t="s">
        <v>0</v>
      </c>
      <c r="D735" s="1" t="s">
        <v>2483</v>
      </c>
      <c r="E735" s="1" t="s">
        <v>2484</v>
      </c>
      <c r="F735" s="1" t="s">
        <v>85</v>
      </c>
      <c r="G735" s="1" t="s">
        <v>61</v>
      </c>
      <c r="H735" s="1" t="s">
        <v>86</v>
      </c>
      <c r="I735" s="1" t="s">
        <v>16</v>
      </c>
      <c r="J735" s="1">
        <v>1</v>
      </c>
      <c r="K735" s="1">
        <v>5</v>
      </c>
      <c r="L735" s="1" t="s">
        <v>31</v>
      </c>
      <c r="M735" s="1" t="s">
        <v>105</v>
      </c>
      <c r="N735" s="1" t="s">
        <v>18</v>
      </c>
      <c r="O735" s="1">
        <v>3</v>
      </c>
      <c r="P735" s="1">
        <v>6</v>
      </c>
      <c r="R735" s="1" t="s">
        <v>19</v>
      </c>
      <c r="S735" s="1" t="s">
        <v>20</v>
      </c>
      <c r="T735" s="1" t="s">
        <v>21</v>
      </c>
      <c r="U735" s="1" t="s">
        <v>22</v>
      </c>
      <c r="V735" s="1" t="s">
        <v>24</v>
      </c>
      <c r="W735" s="1" t="s">
        <v>24</v>
      </c>
      <c r="X735" s="1">
        <v>2728</v>
      </c>
      <c r="Y735" s="1">
        <v>2741</v>
      </c>
      <c r="Z735" s="1">
        <v>3614</v>
      </c>
      <c r="AA735" s="1" t="s">
        <v>24</v>
      </c>
      <c r="AB735" s="1" t="s">
        <v>24</v>
      </c>
      <c r="AC735" s="1" t="s">
        <v>24</v>
      </c>
      <c r="AD735" s="1" t="s">
        <v>24</v>
      </c>
      <c r="AE735" s="1" t="s">
        <v>24</v>
      </c>
      <c r="AF735" s="22"/>
    </row>
    <row r="736" spans="1:32" x14ac:dyDescent="0.2">
      <c r="A736" s="1">
        <v>4162</v>
      </c>
      <c r="B736" s="1" t="s">
        <v>2485</v>
      </c>
      <c r="C736" s="5" t="s">
        <v>0</v>
      </c>
      <c r="D736" s="1" t="s">
        <v>2486</v>
      </c>
      <c r="F736" s="1" t="s">
        <v>2487</v>
      </c>
      <c r="G736" s="1" t="s">
        <v>2487</v>
      </c>
      <c r="H736" s="1" t="s">
        <v>30</v>
      </c>
      <c r="I736" s="1" t="s">
        <v>16</v>
      </c>
      <c r="J736" s="1">
        <v>1</v>
      </c>
      <c r="K736" s="1">
        <v>12</v>
      </c>
      <c r="L736" s="1" t="s">
        <v>42</v>
      </c>
      <c r="M736" s="1" t="s">
        <v>18</v>
      </c>
      <c r="N736" s="1" t="s">
        <v>18</v>
      </c>
      <c r="O736" s="1">
        <v>3</v>
      </c>
      <c r="P736" s="1">
        <v>7</v>
      </c>
      <c r="Q736" s="7" t="s">
        <v>17633</v>
      </c>
      <c r="R736" s="1" t="s">
        <v>19</v>
      </c>
      <c r="S736" s="1" t="s">
        <v>20</v>
      </c>
      <c r="T736" s="1" t="s">
        <v>21</v>
      </c>
      <c r="U736" s="1" t="s">
        <v>22</v>
      </c>
      <c r="V736" s="1" t="s">
        <v>24</v>
      </c>
      <c r="W736" s="1" t="s">
        <v>24</v>
      </c>
      <c r="X736" s="1">
        <v>2700</v>
      </c>
      <c r="Y736" s="1" t="s">
        <v>24</v>
      </c>
      <c r="Z736" s="1" t="s">
        <v>24</v>
      </c>
      <c r="AA736" s="1" t="s">
        <v>24</v>
      </c>
      <c r="AB736" s="1" t="s">
        <v>24</v>
      </c>
      <c r="AC736" s="1" t="s">
        <v>24</v>
      </c>
      <c r="AD736" s="1" t="s">
        <v>24</v>
      </c>
      <c r="AE736" s="1" t="s">
        <v>24</v>
      </c>
      <c r="AF736" s="22"/>
    </row>
    <row r="737" spans="1:32" x14ac:dyDescent="0.2">
      <c r="A737" s="1">
        <v>4163</v>
      </c>
      <c r="B737" s="1" t="s">
        <v>2488</v>
      </c>
      <c r="C737" s="5" t="s">
        <v>0</v>
      </c>
      <c r="D737" s="1" t="s">
        <v>2489</v>
      </c>
      <c r="E737" s="1" t="s">
        <v>2490</v>
      </c>
      <c r="F737" s="1" t="s">
        <v>28</v>
      </c>
      <c r="G737" s="1" t="s">
        <v>29</v>
      </c>
      <c r="H737" s="1" t="s">
        <v>30</v>
      </c>
      <c r="I737" s="1" t="s">
        <v>16</v>
      </c>
      <c r="J737" s="1">
        <v>1</v>
      </c>
      <c r="K737" s="1">
        <v>12</v>
      </c>
      <c r="L737" s="1" t="s">
        <v>31</v>
      </c>
      <c r="M737" s="1" t="s">
        <v>18</v>
      </c>
      <c r="N737" s="1" t="s">
        <v>18</v>
      </c>
      <c r="O737" s="1">
        <v>3</v>
      </c>
      <c r="P737" s="1">
        <v>6</v>
      </c>
      <c r="R737" s="1" t="s">
        <v>19</v>
      </c>
      <c r="S737" s="1" t="s">
        <v>20</v>
      </c>
      <c r="T737" s="1" t="s">
        <v>21</v>
      </c>
      <c r="U737" s="1" t="s">
        <v>22</v>
      </c>
      <c r="V737" s="1" t="s">
        <v>23</v>
      </c>
      <c r="W737" s="1" t="s">
        <v>24</v>
      </c>
      <c r="X737" s="1">
        <v>2738</v>
      </c>
      <c r="Y737" s="1" t="s">
        <v>24</v>
      </c>
      <c r="Z737" s="1" t="s">
        <v>24</v>
      </c>
      <c r="AA737" s="1" t="s">
        <v>24</v>
      </c>
      <c r="AB737" s="1" t="s">
        <v>24</v>
      </c>
      <c r="AC737" s="1" t="s">
        <v>24</v>
      </c>
      <c r="AD737" s="1" t="s">
        <v>24</v>
      </c>
      <c r="AE737" s="1" t="s">
        <v>24</v>
      </c>
      <c r="AF737" s="22"/>
    </row>
    <row r="738" spans="1:32" x14ac:dyDescent="0.2">
      <c r="A738" s="1">
        <v>4165</v>
      </c>
      <c r="B738" s="1" t="s">
        <v>2491</v>
      </c>
      <c r="C738" s="5" t="s">
        <v>0</v>
      </c>
      <c r="D738" s="1" t="s">
        <v>2492</v>
      </c>
      <c r="F738" s="1" t="s">
        <v>2493</v>
      </c>
      <c r="G738" s="1" t="s">
        <v>2494</v>
      </c>
      <c r="H738" s="1" t="s">
        <v>30</v>
      </c>
      <c r="I738" s="1" t="s">
        <v>16</v>
      </c>
      <c r="J738" s="1">
        <v>1</v>
      </c>
      <c r="K738" s="1">
        <v>12</v>
      </c>
      <c r="L738" s="1" t="s">
        <v>42</v>
      </c>
      <c r="M738" s="1" t="s">
        <v>18</v>
      </c>
      <c r="N738" s="1" t="s">
        <v>18</v>
      </c>
      <c r="O738" s="1">
        <v>3</v>
      </c>
      <c r="P738" s="1">
        <v>7</v>
      </c>
      <c r="Q738" s="7" t="s">
        <v>17633</v>
      </c>
      <c r="R738" s="1" t="s">
        <v>62</v>
      </c>
      <c r="S738" s="1" t="s">
        <v>20</v>
      </c>
      <c r="T738" s="1" t="s">
        <v>21</v>
      </c>
      <c r="U738" s="1" t="s">
        <v>22</v>
      </c>
      <c r="V738" s="1" t="s">
        <v>24</v>
      </c>
      <c r="W738" s="1" t="s">
        <v>24</v>
      </c>
      <c r="X738" s="1">
        <v>2741</v>
      </c>
      <c r="Y738" s="1" t="s">
        <v>24</v>
      </c>
      <c r="Z738" s="1" t="s">
        <v>24</v>
      </c>
      <c r="AA738" s="1" t="s">
        <v>24</v>
      </c>
      <c r="AB738" s="1" t="s">
        <v>24</v>
      </c>
      <c r="AC738" s="1" t="s">
        <v>24</v>
      </c>
      <c r="AD738" s="1" t="s">
        <v>24</v>
      </c>
      <c r="AE738" s="1" t="s">
        <v>24</v>
      </c>
      <c r="AF738" s="22"/>
    </row>
    <row r="739" spans="1:32" x14ac:dyDescent="0.2">
      <c r="A739" s="1">
        <v>4166</v>
      </c>
      <c r="B739" s="1" t="s">
        <v>2495</v>
      </c>
      <c r="C739" s="5" t="s">
        <v>0</v>
      </c>
      <c r="D739" s="1" t="s">
        <v>2496</v>
      </c>
      <c r="E739" s="1" t="s">
        <v>2497</v>
      </c>
      <c r="F739" s="1" t="s">
        <v>91</v>
      </c>
      <c r="G739" s="1" t="s">
        <v>61</v>
      </c>
      <c r="H739" s="1" t="s">
        <v>92</v>
      </c>
      <c r="I739" s="1" t="s">
        <v>16</v>
      </c>
      <c r="J739" s="1">
        <v>8</v>
      </c>
      <c r="K739" s="1">
        <v>2</v>
      </c>
      <c r="L739" s="1" t="s">
        <v>31</v>
      </c>
      <c r="M739" s="1" t="s">
        <v>18</v>
      </c>
      <c r="N739" s="1" t="s">
        <v>18</v>
      </c>
      <c r="O739" s="1">
        <v>3</v>
      </c>
      <c r="P739" s="1">
        <v>7</v>
      </c>
      <c r="Q739" s="7" t="s">
        <v>17633</v>
      </c>
      <c r="R739" s="1" t="s">
        <v>19</v>
      </c>
      <c r="S739" s="1" t="s">
        <v>63</v>
      </c>
      <c r="T739" s="1" t="s">
        <v>21</v>
      </c>
      <c r="U739" s="1" t="s">
        <v>22</v>
      </c>
      <c r="V739" s="1" t="s">
        <v>24</v>
      </c>
      <c r="W739" s="1" t="s">
        <v>24</v>
      </c>
      <c r="X739" s="1">
        <v>2800</v>
      </c>
      <c r="Y739" s="1" t="s">
        <v>24</v>
      </c>
      <c r="Z739" s="1" t="s">
        <v>24</v>
      </c>
      <c r="AA739" s="1" t="s">
        <v>24</v>
      </c>
      <c r="AB739" s="1" t="s">
        <v>24</v>
      </c>
      <c r="AC739" s="1" t="s">
        <v>24</v>
      </c>
      <c r="AD739" s="1" t="s">
        <v>24</v>
      </c>
      <c r="AE739" s="1" t="s">
        <v>24</v>
      </c>
      <c r="AF739" s="22"/>
    </row>
    <row r="740" spans="1:32" x14ac:dyDescent="0.2">
      <c r="A740" s="1">
        <v>4168</v>
      </c>
      <c r="B740" s="1" t="s">
        <v>2498</v>
      </c>
      <c r="C740" s="5" t="s">
        <v>0</v>
      </c>
      <c r="D740" s="1" t="s">
        <v>2499</v>
      </c>
      <c r="F740" s="1" t="s">
        <v>2493</v>
      </c>
      <c r="G740" s="1" t="s">
        <v>2494</v>
      </c>
      <c r="H740" s="1" t="s">
        <v>30</v>
      </c>
      <c r="I740" s="1" t="s">
        <v>16</v>
      </c>
      <c r="J740" s="1">
        <v>1</v>
      </c>
      <c r="K740" s="1">
        <v>4</v>
      </c>
      <c r="L740" s="1" t="s">
        <v>42</v>
      </c>
      <c r="M740" s="1" t="s">
        <v>18</v>
      </c>
      <c r="N740" s="1" t="s">
        <v>18</v>
      </c>
      <c r="O740" s="1">
        <v>3</v>
      </c>
      <c r="P740" s="1">
        <v>6</v>
      </c>
      <c r="R740" s="1" t="s">
        <v>19</v>
      </c>
      <c r="S740" s="1" t="s">
        <v>20</v>
      </c>
      <c r="T740" s="1" t="s">
        <v>21</v>
      </c>
      <c r="U740" s="1" t="s">
        <v>22</v>
      </c>
      <c r="V740" s="1" t="s">
        <v>23</v>
      </c>
      <c r="W740" s="1" t="s">
        <v>24</v>
      </c>
      <c r="X740" s="1">
        <v>2741</v>
      </c>
      <c r="Y740" s="1">
        <v>3614</v>
      </c>
      <c r="Z740" s="1" t="s">
        <v>24</v>
      </c>
      <c r="AA740" s="1" t="s">
        <v>24</v>
      </c>
      <c r="AB740" s="1" t="s">
        <v>24</v>
      </c>
      <c r="AC740" s="1" t="s">
        <v>24</v>
      </c>
      <c r="AD740" s="1" t="s">
        <v>24</v>
      </c>
      <c r="AE740" s="1" t="s">
        <v>24</v>
      </c>
      <c r="AF740" s="22"/>
    </row>
    <row r="741" spans="1:32" x14ac:dyDescent="0.2">
      <c r="A741" s="1">
        <v>4169</v>
      </c>
      <c r="B741" s="1" t="s">
        <v>2500</v>
      </c>
      <c r="C741" s="5" t="s">
        <v>0</v>
      </c>
      <c r="D741" s="1" t="s">
        <v>2501</v>
      </c>
      <c r="E741" s="1" t="s">
        <v>2502</v>
      </c>
      <c r="F741" s="1" t="s">
        <v>159</v>
      </c>
      <c r="G741" s="1" t="s">
        <v>160</v>
      </c>
      <c r="H741" s="1" t="s">
        <v>37</v>
      </c>
      <c r="I741" s="1" t="s">
        <v>16</v>
      </c>
      <c r="J741" s="1">
        <v>1</v>
      </c>
      <c r="K741" s="1">
        <v>12</v>
      </c>
      <c r="L741" s="1" t="s">
        <v>42</v>
      </c>
      <c r="M741" s="1" t="s">
        <v>18</v>
      </c>
      <c r="N741" s="1" t="s">
        <v>18</v>
      </c>
      <c r="O741" s="1">
        <v>3</v>
      </c>
      <c r="P741" s="1">
        <v>7</v>
      </c>
      <c r="Q741" s="7" t="s">
        <v>17633</v>
      </c>
      <c r="R741" s="1" t="s">
        <v>62</v>
      </c>
      <c r="S741" s="1" t="s">
        <v>63</v>
      </c>
      <c r="T741" s="1" t="s">
        <v>21</v>
      </c>
      <c r="U741" s="1" t="s">
        <v>22</v>
      </c>
      <c r="V741" s="1" t="s">
        <v>23</v>
      </c>
      <c r="W741" s="1" t="s">
        <v>24</v>
      </c>
      <c r="X741" s="1">
        <v>2728</v>
      </c>
      <c r="Y741" s="1">
        <v>2738</v>
      </c>
      <c r="Z741" s="1">
        <v>2746</v>
      </c>
      <c r="AA741" s="1">
        <v>1201</v>
      </c>
      <c r="AB741" s="1" t="s">
        <v>24</v>
      </c>
      <c r="AC741" s="1" t="s">
        <v>24</v>
      </c>
      <c r="AD741" s="1" t="s">
        <v>24</v>
      </c>
      <c r="AE741" s="1" t="s">
        <v>24</v>
      </c>
      <c r="AF741" s="22"/>
    </row>
    <row r="742" spans="1:32" x14ac:dyDescent="0.2">
      <c r="A742" s="1">
        <v>4170</v>
      </c>
      <c r="B742" s="1" t="s">
        <v>2503</v>
      </c>
      <c r="C742" s="5" t="s">
        <v>0</v>
      </c>
      <c r="D742" s="1" t="s">
        <v>2504</v>
      </c>
      <c r="E742" s="1" t="s">
        <v>2505</v>
      </c>
      <c r="F742" s="1" t="s">
        <v>190</v>
      </c>
      <c r="G742" s="1" t="s">
        <v>130</v>
      </c>
      <c r="H742" s="1" t="s">
        <v>30</v>
      </c>
      <c r="I742" s="1" t="s">
        <v>16</v>
      </c>
      <c r="J742" s="1">
        <v>5</v>
      </c>
      <c r="K742" s="1">
        <v>3</v>
      </c>
      <c r="L742" s="1" t="s">
        <v>31</v>
      </c>
      <c r="M742" s="1" t="s">
        <v>18</v>
      </c>
      <c r="N742" s="1" t="s">
        <v>18</v>
      </c>
      <c r="O742" s="1">
        <v>3</v>
      </c>
      <c r="P742" s="1">
        <v>6</v>
      </c>
      <c r="R742" s="1" t="s">
        <v>19</v>
      </c>
      <c r="S742" s="1" t="s">
        <v>20</v>
      </c>
      <c r="T742" s="1" t="s">
        <v>21</v>
      </c>
      <c r="U742" s="1" t="s">
        <v>22</v>
      </c>
      <c r="V742" s="1" t="s">
        <v>24</v>
      </c>
      <c r="W742" s="1" t="s">
        <v>24</v>
      </c>
      <c r="X742" s="1">
        <v>2728</v>
      </c>
      <c r="Y742" s="1">
        <v>1306</v>
      </c>
      <c r="Z742" s="1">
        <v>2730</v>
      </c>
      <c r="AA742" s="1">
        <v>2808</v>
      </c>
      <c r="AB742" s="1" t="s">
        <v>24</v>
      </c>
      <c r="AC742" s="1" t="s">
        <v>24</v>
      </c>
      <c r="AD742" s="1" t="s">
        <v>24</v>
      </c>
      <c r="AE742" s="1" t="s">
        <v>24</v>
      </c>
      <c r="AF742" s="22"/>
    </row>
    <row r="743" spans="1:32" x14ac:dyDescent="0.2">
      <c r="A743" s="1">
        <v>4174</v>
      </c>
      <c r="B743" s="1" t="s">
        <v>2506</v>
      </c>
      <c r="C743" s="5" t="s">
        <v>0</v>
      </c>
      <c r="D743" s="1" t="s">
        <v>2507</v>
      </c>
      <c r="E743" s="1" t="s">
        <v>2508</v>
      </c>
      <c r="F743" s="1" t="s">
        <v>776</v>
      </c>
      <c r="G743" s="1" t="s">
        <v>777</v>
      </c>
      <c r="H743" s="1" t="s">
        <v>30</v>
      </c>
      <c r="I743" s="1" t="s">
        <v>16</v>
      </c>
      <c r="J743" s="1">
        <v>1</v>
      </c>
      <c r="K743" s="1">
        <v>12</v>
      </c>
      <c r="L743" s="1" t="s">
        <v>31</v>
      </c>
      <c r="M743" s="1" t="s">
        <v>18</v>
      </c>
      <c r="N743" s="1" t="s">
        <v>18</v>
      </c>
      <c r="O743" s="1">
        <v>2</v>
      </c>
      <c r="P743" s="1">
        <v>6</v>
      </c>
      <c r="R743" s="1" t="s">
        <v>19</v>
      </c>
      <c r="S743" s="1" t="s">
        <v>20</v>
      </c>
      <c r="T743" s="1" t="s">
        <v>21</v>
      </c>
      <c r="U743" s="1" t="s">
        <v>22</v>
      </c>
      <c r="V743" s="1" t="s">
        <v>24</v>
      </c>
      <c r="W743" s="1" t="s">
        <v>64</v>
      </c>
      <c r="X743" s="1">
        <v>3002</v>
      </c>
      <c r="Y743" s="1">
        <v>3004</v>
      </c>
      <c r="Z743" s="1">
        <v>3003</v>
      </c>
      <c r="AA743" s="1">
        <v>1602</v>
      </c>
      <c r="AB743" s="1">
        <v>1605</v>
      </c>
      <c r="AC743" s="1">
        <v>1313</v>
      </c>
      <c r="AD743" s="1">
        <v>2707</v>
      </c>
      <c r="AE743" s="1" t="s">
        <v>24</v>
      </c>
      <c r="AF743" s="22"/>
    </row>
    <row r="744" spans="1:32" x14ac:dyDescent="0.2">
      <c r="A744" s="1">
        <v>4175</v>
      </c>
      <c r="B744" s="1" t="s">
        <v>2509</v>
      </c>
      <c r="C744" s="5" t="s">
        <v>0</v>
      </c>
      <c r="D744" s="1" t="s">
        <v>2510</v>
      </c>
      <c r="E744" s="1" t="s">
        <v>2511</v>
      </c>
      <c r="F744" s="1" t="s">
        <v>320</v>
      </c>
      <c r="G744" s="1" t="s">
        <v>36</v>
      </c>
      <c r="H744" s="1" t="s">
        <v>30</v>
      </c>
      <c r="I744" s="1" t="s">
        <v>16</v>
      </c>
      <c r="J744" s="1">
        <v>1</v>
      </c>
      <c r="K744" s="1">
        <v>12</v>
      </c>
      <c r="L744" s="1" t="s">
        <v>31</v>
      </c>
      <c r="M744" s="1" t="s">
        <v>18</v>
      </c>
      <c r="N744" s="1" t="s">
        <v>18</v>
      </c>
      <c r="O744" s="1">
        <v>3</v>
      </c>
      <c r="P744" s="1">
        <v>8</v>
      </c>
      <c r="Q744" s="7" t="s">
        <v>17633</v>
      </c>
      <c r="R744" s="1" t="s">
        <v>62</v>
      </c>
      <c r="S744" s="1" t="s">
        <v>20</v>
      </c>
      <c r="T744" s="1" t="s">
        <v>21</v>
      </c>
      <c r="U744" s="1" t="s">
        <v>22</v>
      </c>
      <c r="V744" s="1" t="s">
        <v>24</v>
      </c>
      <c r="W744" s="1" t="s">
        <v>24</v>
      </c>
      <c r="X744" s="1">
        <v>2804</v>
      </c>
      <c r="Y744" s="1" t="s">
        <v>24</v>
      </c>
      <c r="Z744" s="1" t="s">
        <v>24</v>
      </c>
      <c r="AA744" s="1" t="s">
        <v>24</v>
      </c>
      <c r="AB744" s="1" t="s">
        <v>24</v>
      </c>
      <c r="AC744" s="1" t="s">
        <v>24</v>
      </c>
      <c r="AD744" s="1" t="s">
        <v>24</v>
      </c>
      <c r="AE744" s="1" t="s">
        <v>24</v>
      </c>
      <c r="AF744" s="22"/>
    </row>
    <row r="745" spans="1:32" x14ac:dyDescent="0.2">
      <c r="A745" s="1">
        <v>4176</v>
      </c>
      <c r="B745" s="1" t="s">
        <v>2512</v>
      </c>
      <c r="C745" s="5" t="s">
        <v>0</v>
      </c>
      <c r="D745" s="1" t="s">
        <v>2513</v>
      </c>
      <c r="E745" s="1" t="s">
        <v>2514</v>
      </c>
      <c r="F745" s="1" t="s">
        <v>91</v>
      </c>
      <c r="G745" s="1" t="s">
        <v>61</v>
      </c>
      <c r="H745" s="1" t="s">
        <v>92</v>
      </c>
      <c r="I745" s="1" t="s">
        <v>16</v>
      </c>
      <c r="J745" s="1">
        <v>2</v>
      </c>
      <c r="K745" s="1">
        <v>12</v>
      </c>
      <c r="L745" s="1" t="s">
        <v>31</v>
      </c>
      <c r="M745" s="1" t="s">
        <v>18</v>
      </c>
      <c r="N745" s="1" t="s">
        <v>18</v>
      </c>
      <c r="O745" s="1">
        <v>3</v>
      </c>
      <c r="P745" s="1">
        <v>7</v>
      </c>
      <c r="Q745" s="7" t="s">
        <v>17633</v>
      </c>
      <c r="R745" s="1" t="s">
        <v>62</v>
      </c>
      <c r="S745" s="1" t="s">
        <v>20</v>
      </c>
      <c r="T745" s="1" t="s">
        <v>21</v>
      </c>
      <c r="U745" s="1" t="s">
        <v>22</v>
      </c>
      <c r="V745" s="1" t="s">
        <v>24</v>
      </c>
      <c r="W745" s="1" t="s">
        <v>24</v>
      </c>
      <c r="X745" s="1">
        <v>2403</v>
      </c>
      <c r="Y745" s="1">
        <v>2728</v>
      </c>
      <c r="Z745" s="1">
        <v>2723</v>
      </c>
      <c r="AA745" s="1">
        <v>2808</v>
      </c>
      <c r="AB745" s="1" t="s">
        <v>24</v>
      </c>
      <c r="AC745" s="1" t="s">
        <v>24</v>
      </c>
      <c r="AD745" s="1" t="s">
        <v>24</v>
      </c>
      <c r="AE745" s="1" t="s">
        <v>24</v>
      </c>
      <c r="AF745" s="22"/>
    </row>
    <row r="746" spans="1:32" x14ac:dyDescent="0.2">
      <c r="A746" s="1">
        <v>4177</v>
      </c>
      <c r="B746" s="1" t="s">
        <v>2515</v>
      </c>
      <c r="C746" s="5" t="s">
        <v>0</v>
      </c>
      <c r="D746" s="1" t="s">
        <v>2516</v>
      </c>
      <c r="E746" s="1" t="s">
        <v>2517</v>
      </c>
      <c r="F746" s="1" t="s">
        <v>2518</v>
      </c>
      <c r="G746" s="1" t="s">
        <v>2518</v>
      </c>
      <c r="H746" s="1" t="s">
        <v>30</v>
      </c>
      <c r="I746" s="1" t="s">
        <v>16</v>
      </c>
      <c r="J746" s="1">
        <v>1</v>
      </c>
      <c r="K746" s="1">
        <v>52</v>
      </c>
      <c r="L746" s="1" t="s">
        <v>42</v>
      </c>
      <c r="M746" s="1" t="s">
        <v>18</v>
      </c>
      <c r="N746" s="1" t="s">
        <v>18</v>
      </c>
      <c r="O746" s="1">
        <v>3</v>
      </c>
      <c r="P746" s="1">
        <v>8</v>
      </c>
      <c r="Q746" s="7" t="s">
        <v>17633</v>
      </c>
      <c r="R746" s="1" t="s">
        <v>62</v>
      </c>
      <c r="S746" s="1" t="s">
        <v>20</v>
      </c>
      <c r="T746" s="1" t="s">
        <v>21</v>
      </c>
      <c r="U746" s="1" t="s">
        <v>22</v>
      </c>
      <c r="V746" s="1" t="s">
        <v>24</v>
      </c>
      <c r="W746" s="1" t="s">
        <v>24</v>
      </c>
      <c r="X746" s="1">
        <v>2800</v>
      </c>
      <c r="Y746" s="1" t="s">
        <v>24</v>
      </c>
      <c r="Z746" s="1" t="s">
        <v>24</v>
      </c>
      <c r="AA746" s="1" t="s">
        <v>24</v>
      </c>
      <c r="AB746" s="1" t="s">
        <v>24</v>
      </c>
      <c r="AC746" s="1" t="s">
        <v>24</v>
      </c>
      <c r="AD746" s="1" t="s">
        <v>24</v>
      </c>
      <c r="AE746" s="1" t="s">
        <v>24</v>
      </c>
      <c r="AF746" s="22"/>
    </row>
    <row r="747" spans="1:32" x14ac:dyDescent="0.2">
      <c r="A747" s="1">
        <v>4178</v>
      </c>
      <c r="B747" s="1" t="s">
        <v>2519</v>
      </c>
      <c r="C747" s="5" t="s">
        <v>0</v>
      </c>
      <c r="D747" s="1" t="s">
        <v>2520</v>
      </c>
      <c r="E747" s="1" t="s">
        <v>2521</v>
      </c>
      <c r="F747" s="1" t="s">
        <v>912</v>
      </c>
      <c r="G747" s="1" t="s">
        <v>130</v>
      </c>
      <c r="H747" s="1" t="s">
        <v>168</v>
      </c>
      <c r="I747" s="1" t="s">
        <v>16</v>
      </c>
      <c r="J747" s="1">
        <v>1</v>
      </c>
      <c r="K747" s="1">
        <v>12</v>
      </c>
      <c r="L747" s="1" t="s">
        <v>31</v>
      </c>
      <c r="M747" s="1" t="s">
        <v>18</v>
      </c>
      <c r="N747" s="1" t="s">
        <v>18</v>
      </c>
      <c r="O747" s="1">
        <v>3</v>
      </c>
      <c r="P747" s="1">
        <v>7</v>
      </c>
      <c r="Q747" s="7" t="s">
        <v>17633</v>
      </c>
      <c r="R747" s="1" t="s">
        <v>62</v>
      </c>
      <c r="S747" s="1" t="s">
        <v>20</v>
      </c>
      <c r="T747" s="1" t="s">
        <v>21</v>
      </c>
      <c r="U747" s="1" t="s">
        <v>22</v>
      </c>
      <c r="V747" s="1" t="s">
        <v>24</v>
      </c>
      <c r="W747" s="1" t="s">
        <v>24</v>
      </c>
      <c r="X747" s="1">
        <v>2728</v>
      </c>
      <c r="Y747" s="1">
        <v>2808</v>
      </c>
      <c r="Z747" s="1" t="s">
        <v>24</v>
      </c>
      <c r="AA747" s="1" t="s">
        <v>24</v>
      </c>
      <c r="AB747" s="1" t="s">
        <v>24</v>
      </c>
      <c r="AC747" s="1" t="s">
        <v>24</v>
      </c>
      <c r="AD747" s="1" t="s">
        <v>24</v>
      </c>
      <c r="AE747" s="1" t="s">
        <v>24</v>
      </c>
      <c r="AF747" s="22"/>
    </row>
    <row r="748" spans="1:32" x14ac:dyDescent="0.2">
      <c r="A748" s="1">
        <v>4179</v>
      </c>
      <c r="B748" s="1" t="s">
        <v>2522</v>
      </c>
      <c r="C748" s="5" t="s">
        <v>0</v>
      </c>
      <c r="D748" s="1" t="s">
        <v>2523</v>
      </c>
      <c r="E748" s="1" t="s">
        <v>2524</v>
      </c>
      <c r="F748" s="1" t="s">
        <v>91</v>
      </c>
      <c r="G748" s="1" t="s">
        <v>61</v>
      </c>
      <c r="H748" s="1" t="s">
        <v>92</v>
      </c>
      <c r="I748" s="1" t="s">
        <v>16</v>
      </c>
      <c r="J748" s="1">
        <v>11</v>
      </c>
      <c r="K748" s="1">
        <v>2</v>
      </c>
      <c r="L748" s="1" t="s">
        <v>31</v>
      </c>
      <c r="M748" s="1" t="s">
        <v>18</v>
      </c>
      <c r="N748" s="1" t="s">
        <v>18</v>
      </c>
      <c r="O748" s="1">
        <v>3</v>
      </c>
      <c r="P748" s="1">
        <v>8</v>
      </c>
      <c r="Q748" s="7" t="s">
        <v>17633</v>
      </c>
      <c r="R748" s="1" t="s">
        <v>19</v>
      </c>
      <c r="S748" s="1" t="s">
        <v>20</v>
      </c>
      <c r="T748" s="1" t="s">
        <v>21</v>
      </c>
      <c r="U748" s="1" t="s">
        <v>22</v>
      </c>
      <c r="V748" s="1" t="s">
        <v>24</v>
      </c>
      <c r="W748" s="1" t="s">
        <v>24</v>
      </c>
      <c r="X748" s="1">
        <v>2728</v>
      </c>
      <c r="Y748" s="1">
        <v>2808</v>
      </c>
      <c r="Z748" s="1" t="s">
        <v>24</v>
      </c>
      <c r="AA748" s="1" t="s">
        <v>24</v>
      </c>
      <c r="AB748" s="1" t="s">
        <v>24</v>
      </c>
      <c r="AC748" s="1" t="s">
        <v>24</v>
      </c>
      <c r="AD748" s="1" t="s">
        <v>24</v>
      </c>
      <c r="AE748" s="1" t="s">
        <v>24</v>
      </c>
      <c r="AF748" s="22"/>
    </row>
    <row r="749" spans="1:32" x14ac:dyDescent="0.2">
      <c r="A749" s="1">
        <v>4181</v>
      </c>
      <c r="B749" s="1" t="s">
        <v>2525</v>
      </c>
      <c r="C749" s="5" t="s">
        <v>0</v>
      </c>
      <c r="D749" s="1" t="s">
        <v>2526</v>
      </c>
      <c r="E749" s="1" t="s">
        <v>2527</v>
      </c>
      <c r="F749" s="1" t="s">
        <v>1708</v>
      </c>
      <c r="G749" s="1" t="s">
        <v>1708</v>
      </c>
      <c r="H749" s="1" t="s">
        <v>684</v>
      </c>
      <c r="I749" s="1" t="s">
        <v>16</v>
      </c>
      <c r="J749" s="1">
        <v>1</v>
      </c>
      <c r="K749" s="1">
        <v>4</v>
      </c>
      <c r="L749" s="1" t="s">
        <v>17</v>
      </c>
      <c r="M749" s="1" t="s">
        <v>18</v>
      </c>
      <c r="N749" s="1" t="s">
        <v>18</v>
      </c>
      <c r="O749" s="1">
        <v>2</v>
      </c>
      <c r="P749" s="1">
        <v>5</v>
      </c>
      <c r="R749" s="1" t="s">
        <v>19</v>
      </c>
      <c r="S749" s="1" t="s">
        <v>20</v>
      </c>
      <c r="T749" s="1" t="s">
        <v>21</v>
      </c>
      <c r="U749" s="1" t="s">
        <v>22</v>
      </c>
      <c r="V749" s="1" t="s">
        <v>24</v>
      </c>
      <c r="W749" s="1" t="s">
        <v>24</v>
      </c>
      <c r="X749" s="1">
        <v>2728</v>
      </c>
      <c r="Y749" s="1">
        <v>2746</v>
      </c>
      <c r="Z749" s="1" t="s">
        <v>24</v>
      </c>
      <c r="AA749" s="1" t="s">
        <v>24</v>
      </c>
      <c r="AB749" s="1" t="s">
        <v>24</v>
      </c>
      <c r="AC749" s="1" t="s">
        <v>24</v>
      </c>
      <c r="AD749" s="1" t="s">
        <v>24</v>
      </c>
      <c r="AE749" s="1" t="s">
        <v>24</v>
      </c>
      <c r="AF749" s="22"/>
    </row>
    <row r="750" spans="1:32" x14ac:dyDescent="0.2">
      <c r="A750" s="1">
        <v>4183</v>
      </c>
      <c r="B750" s="1" t="s">
        <v>2528</v>
      </c>
      <c r="C750" s="5" t="s">
        <v>0</v>
      </c>
      <c r="D750" s="1" t="s">
        <v>2529</v>
      </c>
      <c r="E750" s="1" t="s">
        <v>2530</v>
      </c>
      <c r="F750" s="1" t="s">
        <v>2531</v>
      </c>
      <c r="G750" s="1" t="s">
        <v>460</v>
      </c>
      <c r="H750" s="1" t="s">
        <v>461</v>
      </c>
      <c r="I750" s="1" t="s">
        <v>16</v>
      </c>
      <c r="J750" s="1">
        <v>1</v>
      </c>
      <c r="K750" s="1">
        <v>6</v>
      </c>
      <c r="L750" s="1" t="s">
        <v>42</v>
      </c>
      <c r="M750" s="1" t="s">
        <v>18</v>
      </c>
      <c r="N750" s="1" t="s">
        <v>18</v>
      </c>
      <c r="O750" s="1">
        <v>3</v>
      </c>
      <c r="P750" s="1">
        <v>6</v>
      </c>
      <c r="R750" s="1" t="s">
        <v>19</v>
      </c>
      <c r="S750" s="1" t="s">
        <v>20</v>
      </c>
      <c r="T750" s="1" t="s">
        <v>21</v>
      </c>
      <c r="U750" s="1" t="s">
        <v>22</v>
      </c>
      <c r="V750" s="1" t="s">
        <v>23</v>
      </c>
      <c r="W750" s="1" t="s">
        <v>24</v>
      </c>
      <c r="X750" s="1">
        <v>2701</v>
      </c>
      <c r="Y750" s="1">
        <v>2916</v>
      </c>
      <c r="Z750" s="1" t="s">
        <v>24</v>
      </c>
      <c r="AA750" s="1" t="s">
        <v>24</v>
      </c>
      <c r="AB750" s="1" t="s">
        <v>24</v>
      </c>
      <c r="AC750" s="1" t="s">
        <v>24</v>
      </c>
      <c r="AD750" s="1" t="s">
        <v>24</v>
      </c>
      <c r="AE750" s="1" t="s">
        <v>24</v>
      </c>
      <c r="AF750" s="22"/>
    </row>
    <row r="751" spans="1:32" x14ac:dyDescent="0.2">
      <c r="A751" s="1">
        <v>4190</v>
      </c>
      <c r="B751" s="1" t="s">
        <v>2532</v>
      </c>
      <c r="C751" s="5" t="s">
        <v>0</v>
      </c>
      <c r="D751" s="1" t="s">
        <v>2533</v>
      </c>
      <c r="E751" s="1" t="s">
        <v>2534</v>
      </c>
      <c r="F751" s="1" t="s">
        <v>601</v>
      </c>
      <c r="G751" s="1" t="s">
        <v>61</v>
      </c>
      <c r="H751" s="1" t="s">
        <v>37</v>
      </c>
      <c r="I751" s="1" t="s">
        <v>16</v>
      </c>
      <c r="J751" s="1">
        <v>1</v>
      </c>
      <c r="K751" s="1">
        <v>6</v>
      </c>
      <c r="L751" s="1" t="s">
        <v>31</v>
      </c>
      <c r="M751" s="1" t="s">
        <v>18</v>
      </c>
      <c r="N751" s="1" t="s">
        <v>18</v>
      </c>
      <c r="O751" s="1">
        <v>2</v>
      </c>
      <c r="P751" s="1">
        <v>6</v>
      </c>
      <c r="R751" s="1" t="s">
        <v>19</v>
      </c>
      <c r="S751" s="1" t="s">
        <v>63</v>
      </c>
      <c r="T751" s="1" t="s">
        <v>21</v>
      </c>
      <c r="U751" s="1" t="s">
        <v>22</v>
      </c>
      <c r="V751" s="1" t="s">
        <v>23</v>
      </c>
      <c r="W751" s="1" t="s">
        <v>24</v>
      </c>
      <c r="X751" s="1">
        <v>2735</v>
      </c>
      <c r="Y751" s="1">
        <v>2738</v>
      </c>
      <c r="Z751" s="1">
        <v>3204</v>
      </c>
      <c r="AA751" s="1">
        <v>3207</v>
      </c>
      <c r="AB751" s="1" t="s">
        <v>24</v>
      </c>
      <c r="AC751" s="1" t="s">
        <v>24</v>
      </c>
      <c r="AD751" s="1" t="s">
        <v>24</v>
      </c>
      <c r="AE751" s="1" t="s">
        <v>24</v>
      </c>
      <c r="AF751" s="22"/>
    </row>
    <row r="752" spans="1:32" x14ac:dyDescent="0.2">
      <c r="A752" s="1">
        <v>4191</v>
      </c>
      <c r="B752" s="1" t="s">
        <v>2535</v>
      </c>
      <c r="C752" s="5" t="s">
        <v>0</v>
      </c>
      <c r="D752" s="1" t="s">
        <v>2536</v>
      </c>
      <c r="E752" s="1" t="s">
        <v>2537</v>
      </c>
      <c r="F752" s="1" t="s">
        <v>35</v>
      </c>
      <c r="G752" s="1" t="s">
        <v>36</v>
      </c>
      <c r="H752" s="1" t="s">
        <v>37</v>
      </c>
      <c r="I752" s="1" t="s">
        <v>16</v>
      </c>
      <c r="J752" s="1">
        <v>2</v>
      </c>
      <c r="K752" s="1">
        <v>6</v>
      </c>
      <c r="L752" s="1" t="s">
        <v>31</v>
      </c>
      <c r="M752" s="1" t="s">
        <v>18</v>
      </c>
      <c r="N752" s="1" t="s">
        <v>18</v>
      </c>
      <c r="O752" s="1">
        <v>3</v>
      </c>
      <c r="P752" s="1">
        <v>7</v>
      </c>
      <c r="Q752" s="7" t="s">
        <v>17633</v>
      </c>
      <c r="R752" s="1" t="s">
        <v>19</v>
      </c>
      <c r="S752" s="1" t="s">
        <v>20</v>
      </c>
      <c r="T752" s="1" t="s">
        <v>21</v>
      </c>
      <c r="U752" s="1" t="s">
        <v>22</v>
      </c>
      <c r="V752" s="1" t="s">
        <v>24</v>
      </c>
      <c r="W752" s="1" t="s">
        <v>24</v>
      </c>
      <c r="X752" s="1">
        <v>2702</v>
      </c>
      <c r="Y752" s="1">
        <v>2722</v>
      </c>
      <c r="Z752" s="1">
        <v>1309</v>
      </c>
      <c r="AA752" s="1">
        <v>1105</v>
      </c>
      <c r="AB752" s="1">
        <v>1312</v>
      </c>
      <c r="AC752" s="1">
        <v>1307</v>
      </c>
      <c r="AD752" s="1" t="s">
        <v>24</v>
      </c>
      <c r="AE752" s="1" t="s">
        <v>24</v>
      </c>
      <c r="AF752" s="22"/>
    </row>
    <row r="753" spans="1:32" x14ac:dyDescent="0.2">
      <c r="A753" s="1">
        <v>4194</v>
      </c>
      <c r="B753" s="1" t="s">
        <v>2538</v>
      </c>
      <c r="C753" s="5" t="s">
        <v>0</v>
      </c>
      <c r="D753" s="1" t="s">
        <v>2539</v>
      </c>
      <c r="E753" s="1" t="s">
        <v>2540</v>
      </c>
      <c r="F753" s="1" t="s">
        <v>2296</v>
      </c>
      <c r="G753" s="1" t="s">
        <v>61</v>
      </c>
      <c r="H753" s="1" t="s">
        <v>30</v>
      </c>
      <c r="I753" s="1" t="s">
        <v>16</v>
      </c>
      <c r="J753" s="1">
        <v>1</v>
      </c>
      <c r="K753" s="1">
        <v>8</v>
      </c>
      <c r="L753" s="1" t="s">
        <v>31</v>
      </c>
      <c r="M753" s="1" t="s">
        <v>18</v>
      </c>
      <c r="N753" s="1" t="s">
        <v>18</v>
      </c>
      <c r="O753" s="1">
        <v>3</v>
      </c>
      <c r="P753" s="1">
        <v>6</v>
      </c>
      <c r="R753" s="1" t="s">
        <v>19</v>
      </c>
      <c r="S753" s="1" t="s">
        <v>20</v>
      </c>
      <c r="T753" s="1" t="s">
        <v>21</v>
      </c>
      <c r="U753" s="1" t="s">
        <v>22</v>
      </c>
      <c r="V753" s="1" t="s">
        <v>23</v>
      </c>
      <c r="W753" s="1" t="s">
        <v>24</v>
      </c>
      <c r="X753" s="1">
        <v>2732</v>
      </c>
      <c r="Y753" s="1" t="s">
        <v>24</v>
      </c>
      <c r="Z753" s="1" t="s">
        <v>24</v>
      </c>
      <c r="AA753" s="1" t="s">
        <v>24</v>
      </c>
      <c r="AB753" s="1" t="s">
        <v>24</v>
      </c>
      <c r="AC753" s="1" t="s">
        <v>24</v>
      </c>
      <c r="AD753" s="1" t="s">
        <v>24</v>
      </c>
      <c r="AE753" s="1" t="s">
        <v>24</v>
      </c>
      <c r="AF753" s="22"/>
    </row>
    <row r="754" spans="1:32" x14ac:dyDescent="0.2">
      <c r="A754" s="1">
        <v>4196</v>
      </c>
      <c r="B754" s="1" t="s">
        <v>2541</v>
      </c>
      <c r="C754" s="5" t="s">
        <v>0</v>
      </c>
      <c r="D754" s="1" t="s">
        <v>2542</v>
      </c>
      <c r="E754" s="1" t="s">
        <v>2543</v>
      </c>
      <c r="F754" s="1" t="s">
        <v>441</v>
      </c>
      <c r="G754" s="1" t="s">
        <v>441</v>
      </c>
      <c r="H754" s="1" t="s">
        <v>30</v>
      </c>
      <c r="I754" s="1" t="s">
        <v>16</v>
      </c>
      <c r="J754" s="1">
        <v>1</v>
      </c>
      <c r="K754" s="1">
        <v>24</v>
      </c>
      <c r="L754" s="1" t="s">
        <v>42</v>
      </c>
      <c r="M754" s="1" t="s">
        <v>18</v>
      </c>
      <c r="N754" s="1" t="s">
        <v>18</v>
      </c>
      <c r="O754" s="1">
        <v>3</v>
      </c>
      <c r="P754" s="1">
        <v>8</v>
      </c>
      <c r="Q754" s="7" t="s">
        <v>17633</v>
      </c>
      <c r="R754" s="1" t="s">
        <v>62</v>
      </c>
      <c r="S754" s="1" t="s">
        <v>20</v>
      </c>
      <c r="T754" s="1" t="s">
        <v>21</v>
      </c>
      <c r="U754" s="1" t="s">
        <v>22</v>
      </c>
      <c r="V754" s="1" t="s">
        <v>24</v>
      </c>
      <c r="W754" s="1" t="s">
        <v>24</v>
      </c>
      <c r="X754" s="1">
        <v>2404</v>
      </c>
      <c r="Y754" s="1">
        <v>1312</v>
      </c>
      <c r="Z754" s="1" t="s">
        <v>24</v>
      </c>
      <c r="AA754" s="1" t="s">
        <v>24</v>
      </c>
      <c r="AB754" s="1" t="s">
        <v>24</v>
      </c>
      <c r="AC754" s="1" t="s">
        <v>24</v>
      </c>
      <c r="AD754" s="1" t="s">
        <v>24</v>
      </c>
      <c r="AE754" s="1" t="s">
        <v>24</v>
      </c>
      <c r="AF754" s="22"/>
    </row>
    <row r="755" spans="1:32" x14ac:dyDescent="0.2">
      <c r="A755" s="1">
        <v>4197</v>
      </c>
      <c r="B755" s="1" t="s">
        <v>2544</v>
      </c>
      <c r="C755" s="5" t="s">
        <v>0</v>
      </c>
      <c r="D755" s="1" t="s">
        <v>2545</v>
      </c>
      <c r="E755" s="1" t="s">
        <v>2546</v>
      </c>
      <c r="F755" s="1" t="s">
        <v>55</v>
      </c>
      <c r="G755" s="1" t="s">
        <v>56</v>
      </c>
      <c r="H755" s="1" t="s">
        <v>37</v>
      </c>
      <c r="I755" s="1" t="s">
        <v>16</v>
      </c>
      <c r="J755" s="1">
        <v>2</v>
      </c>
      <c r="K755" s="1">
        <v>6</v>
      </c>
      <c r="L755" s="1" t="s">
        <v>31</v>
      </c>
      <c r="M755" s="1" t="s">
        <v>18</v>
      </c>
      <c r="N755" s="1" t="s">
        <v>18</v>
      </c>
      <c r="O755" s="1">
        <v>3</v>
      </c>
      <c r="P755" s="1">
        <v>6</v>
      </c>
      <c r="R755" s="1" t="s">
        <v>19</v>
      </c>
      <c r="S755" s="1" t="s">
        <v>20</v>
      </c>
      <c r="T755" s="1" t="s">
        <v>21</v>
      </c>
      <c r="U755" s="1" t="s">
        <v>22</v>
      </c>
      <c r="V755" s="1" t="s">
        <v>24</v>
      </c>
      <c r="W755" s="1" t="s">
        <v>64</v>
      </c>
      <c r="X755" s="1">
        <v>1303</v>
      </c>
      <c r="Y755" s="1">
        <v>1312</v>
      </c>
      <c r="Z755" s="1" t="s">
        <v>24</v>
      </c>
      <c r="AA755" s="1" t="s">
        <v>24</v>
      </c>
      <c r="AB755" s="1" t="s">
        <v>24</v>
      </c>
      <c r="AC755" s="1" t="s">
        <v>24</v>
      </c>
      <c r="AD755" s="1" t="s">
        <v>24</v>
      </c>
      <c r="AE755" s="1" t="s">
        <v>24</v>
      </c>
      <c r="AF755" s="22"/>
    </row>
    <row r="756" spans="1:32" x14ac:dyDescent="0.2">
      <c r="A756" s="1">
        <v>4198</v>
      </c>
      <c r="B756" s="1" t="s">
        <v>2547</v>
      </c>
      <c r="C756" s="5" t="s">
        <v>0</v>
      </c>
      <c r="D756" s="1" t="s">
        <v>2548</v>
      </c>
      <c r="E756" s="1" t="s">
        <v>2549</v>
      </c>
      <c r="F756" s="1" t="s">
        <v>1977</v>
      </c>
      <c r="G756" s="1" t="s">
        <v>130</v>
      </c>
      <c r="H756" s="1" t="s">
        <v>899</v>
      </c>
      <c r="I756" s="1" t="s">
        <v>16</v>
      </c>
      <c r="J756" s="1">
        <v>1</v>
      </c>
      <c r="K756" s="1">
        <v>4</v>
      </c>
      <c r="L756" s="1" t="s">
        <v>31</v>
      </c>
      <c r="M756" s="1" t="s">
        <v>18</v>
      </c>
      <c r="N756" s="1" t="s">
        <v>18</v>
      </c>
      <c r="O756" s="1">
        <v>3</v>
      </c>
      <c r="P756" s="1">
        <v>5</v>
      </c>
      <c r="R756" s="1" t="s">
        <v>19</v>
      </c>
      <c r="S756" s="1" t="s">
        <v>20</v>
      </c>
      <c r="T756" s="1" t="s">
        <v>21</v>
      </c>
      <c r="U756" s="1" t="s">
        <v>22</v>
      </c>
      <c r="V756" s="1" t="s">
        <v>24</v>
      </c>
      <c r="W756" s="1" t="s">
        <v>24</v>
      </c>
      <c r="X756" s="1">
        <v>1300</v>
      </c>
      <c r="Y756" s="1">
        <v>1100</v>
      </c>
      <c r="Z756" s="1" t="s">
        <v>24</v>
      </c>
      <c r="AA756" s="1" t="s">
        <v>24</v>
      </c>
      <c r="AB756" s="1" t="s">
        <v>24</v>
      </c>
      <c r="AC756" s="1" t="s">
        <v>24</v>
      </c>
      <c r="AD756" s="1" t="s">
        <v>24</v>
      </c>
      <c r="AE756" s="1" t="s">
        <v>24</v>
      </c>
      <c r="AF756" s="22"/>
    </row>
    <row r="757" spans="1:32" x14ac:dyDescent="0.2">
      <c r="A757" s="1">
        <v>4202</v>
      </c>
      <c r="B757" s="1" t="s">
        <v>2550</v>
      </c>
      <c r="C757" s="5" t="s">
        <v>0</v>
      </c>
      <c r="D757" s="1" t="s">
        <v>2551</v>
      </c>
      <c r="E757" s="1" t="s">
        <v>2552</v>
      </c>
      <c r="F757" s="1" t="s">
        <v>776</v>
      </c>
      <c r="G757" s="1" t="s">
        <v>777</v>
      </c>
      <c r="H757" s="1" t="s">
        <v>30</v>
      </c>
      <c r="I757" s="1" t="s">
        <v>16</v>
      </c>
      <c r="J757" s="1">
        <v>1</v>
      </c>
      <c r="K757" s="1">
        <v>24</v>
      </c>
      <c r="L757" s="1" t="s">
        <v>31</v>
      </c>
      <c r="M757" s="1" t="s">
        <v>18</v>
      </c>
      <c r="N757" s="1" t="s">
        <v>18</v>
      </c>
      <c r="O757" s="1">
        <v>3</v>
      </c>
      <c r="P757" s="1">
        <v>6</v>
      </c>
      <c r="R757" s="1" t="s">
        <v>881</v>
      </c>
      <c r="S757" s="1" t="s">
        <v>20</v>
      </c>
      <c r="T757" s="1" t="s">
        <v>21</v>
      </c>
      <c r="U757" s="1" t="s">
        <v>22</v>
      </c>
      <c r="V757" s="1" t="s">
        <v>24</v>
      </c>
      <c r="W757" s="1" t="s">
        <v>64</v>
      </c>
      <c r="X757" s="1">
        <v>1605</v>
      </c>
      <c r="Y757" s="1" t="s">
        <v>24</v>
      </c>
      <c r="Z757" s="1" t="s">
        <v>24</v>
      </c>
      <c r="AA757" s="1" t="s">
        <v>24</v>
      </c>
      <c r="AB757" s="1" t="s">
        <v>24</v>
      </c>
      <c r="AC757" s="1" t="s">
        <v>24</v>
      </c>
      <c r="AD757" s="1" t="s">
        <v>24</v>
      </c>
      <c r="AE757" s="1" t="s">
        <v>24</v>
      </c>
      <c r="AF757" s="22"/>
    </row>
    <row r="758" spans="1:32" x14ac:dyDescent="0.2">
      <c r="A758" s="1">
        <v>4205</v>
      </c>
      <c r="B758" s="1" t="s">
        <v>2553</v>
      </c>
      <c r="C758" s="5" t="s">
        <v>0</v>
      </c>
      <c r="D758" s="1" t="s">
        <v>2554</v>
      </c>
      <c r="E758" s="1" t="s">
        <v>2555</v>
      </c>
      <c r="F758" s="1" t="s">
        <v>493</v>
      </c>
      <c r="G758" s="1" t="s">
        <v>98</v>
      </c>
      <c r="H758" s="1" t="s">
        <v>30</v>
      </c>
      <c r="I758" s="1" t="s">
        <v>16</v>
      </c>
      <c r="J758" s="1">
        <v>1</v>
      </c>
      <c r="K758" s="1">
        <v>12</v>
      </c>
      <c r="L758" s="1" t="s">
        <v>31</v>
      </c>
      <c r="M758" s="1" t="s">
        <v>18</v>
      </c>
      <c r="N758" s="1" t="s">
        <v>18</v>
      </c>
      <c r="O758" s="1">
        <v>3</v>
      </c>
      <c r="P758" s="1">
        <v>7</v>
      </c>
      <c r="Q758" s="7" t="s">
        <v>17633</v>
      </c>
      <c r="R758" s="1" t="s">
        <v>19</v>
      </c>
      <c r="S758" s="1" t="s">
        <v>20</v>
      </c>
      <c r="T758" s="1" t="s">
        <v>21</v>
      </c>
      <c r="U758" s="1" t="s">
        <v>22</v>
      </c>
      <c r="V758" s="1" t="s">
        <v>24</v>
      </c>
      <c r="W758" s="1" t="s">
        <v>24</v>
      </c>
      <c r="X758" s="1">
        <v>2728</v>
      </c>
      <c r="Y758" s="1">
        <v>2735</v>
      </c>
      <c r="Z758" s="1" t="s">
        <v>24</v>
      </c>
      <c r="AA758" s="1" t="s">
        <v>24</v>
      </c>
      <c r="AB758" s="1" t="s">
        <v>24</v>
      </c>
      <c r="AC758" s="1" t="s">
        <v>24</v>
      </c>
      <c r="AD758" s="1" t="s">
        <v>24</v>
      </c>
      <c r="AE758" s="1" t="s">
        <v>24</v>
      </c>
      <c r="AF758" s="22"/>
    </row>
    <row r="759" spans="1:32" x14ac:dyDescent="0.2">
      <c r="A759" s="1">
        <v>4210</v>
      </c>
      <c r="B759" s="1" t="s">
        <v>2556</v>
      </c>
      <c r="C759" s="5" t="s">
        <v>0</v>
      </c>
      <c r="D759" s="1" t="s">
        <v>2557</v>
      </c>
      <c r="E759" s="1" t="s">
        <v>2558</v>
      </c>
      <c r="F759" s="1" t="s">
        <v>2559</v>
      </c>
      <c r="G759" s="1" t="s">
        <v>2560</v>
      </c>
      <c r="H759" s="1" t="s">
        <v>37</v>
      </c>
      <c r="I759" s="1" t="s">
        <v>16</v>
      </c>
      <c r="J759" s="1">
        <v>4</v>
      </c>
      <c r="K759" s="1">
        <v>3</v>
      </c>
      <c r="L759" s="1" t="s">
        <v>42</v>
      </c>
      <c r="M759" s="1" t="s">
        <v>18</v>
      </c>
      <c r="N759" s="1" t="s">
        <v>18</v>
      </c>
      <c r="O759" s="1">
        <v>3</v>
      </c>
      <c r="P759" s="1">
        <v>7</v>
      </c>
      <c r="Q759" s="7" t="s">
        <v>17633</v>
      </c>
      <c r="R759" s="1" t="s">
        <v>62</v>
      </c>
      <c r="S759" s="1" t="s">
        <v>20</v>
      </c>
      <c r="T759" s="1" t="s">
        <v>21</v>
      </c>
      <c r="U759" s="1" t="s">
        <v>22</v>
      </c>
      <c r="V759" s="1" t="s">
        <v>24</v>
      </c>
      <c r="W759" s="1" t="s">
        <v>24</v>
      </c>
      <c r="X759" s="1">
        <v>1310</v>
      </c>
      <c r="Y759" s="1">
        <v>2712</v>
      </c>
      <c r="Z759" s="1" t="s">
        <v>24</v>
      </c>
      <c r="AA759" s="1" t="s">
        <v>24</v>
      </c>
      <c r="AB759" s="1" t="s">
        <v>24</v>
      </c>
      <c r="AC759" s="1" t="s">
        <v>24</v>
      </c>
      <c r="AD759" s="1" t="s">
        <v>24</v>
      </c>
      <c r="AE759" s="1" t="s">
        <v>24</v>
      </c>
      <c r="AF759" s="22"/>
    </row>
    <row r="760" spans="1:32" x14ac:dyDescent="0.2">
      <c r="A760" s="1">
        <v>4212</v>
      </c>
      <c r="B760" s="1" t="s">
        <v>2561</v>
      </c>
      <c r="C760" s="5" t="s">
        <v>0</v>
      </c>
      <c r="D760" s="1" t="s">
        <v>2562</v>
      </c>
      <c r="E760" s="1" t="s">
        <v>2563</v>
      </c>
      <c r="F760" s="1" t="s">
        <v>221</v>
      </c>
      <c r="G760" s="1" t="s">
        <v>61</v>
      </c>
      <c r="H760" s="1" t="s">
        <v>222</v>
      </c>
      <c r="I760" s="1" t="s">
        <v>16</v>
      </c>
      <c r="J760" s="1">
        <v>6</v>
      </c>
      <c r="K760" s="1">
        <v>3</v>
      </c>
      <c r="L760" s="1" t="s">
        <v>31</v>
      </c>
      <c r="M760" s="1" t="s">
        <v>18</v>
      </c>
      <c r="N760" s="1" t="s">
        <v>18</v>
      </c>
      <c r="O760" s="1">
        <v>2</v>
      </c>
      <c r="P760" s="1">
        <v>6</v>
      </c>
      <c r="R760" s="1" t="s">
        <v>19</v>
      </c>
      <c r="S760" s="1" t="s">
        <v>20</v>
      </c>
      <c r="T760" s="1" t="s">
        <v>21</v>
      </c>
      <c r="U760" s="1" t="s">
        <v>22</v>
      </c>
      <c r="V760" s="1" t="s">
        <v>24</v>
      </c>
      <c r="W760" s="1" t="s">
        <v>64</v>
      </c>
      <c r="X760" s="1">
        <v>3004</v>
      </c>
      <c r="Y760" s="1">
        <v>3002</v>
      </c>
      <c r="Z760" s="1" t="s">
        <v>24</v>
      </c>
      <c r="AA760" s="1" t="s">
        <v>24</v>
      </c>
      <c r="AB760" s="1" t="s">
        <v>24</v>
      </c>
      <c r="AC760" s="1" t="s">
        <v>24</v>
      </c>
      <c r="AD760" s="1" t="s">
        <v>24</v>
      </c>
      <c r="AE760" s="1" t="s">
        <v>24</v>
      </c>
      <c r="AF760" s="22"/>
    </row>
    <row r="761" spans="1:32" x14ac:dyDescent="0.2">
      <c r="A761" s="1">
        <v>4216</v>
      </c>
      <c r="B761" s="1" t="s">
        <v>2564</v>
      </c>
      <c r="C761" s="5" t="s">
        <v>0</v>
      </c>
      <c r="D761" s="1" t="s">
        <v>2565</v>
      </c>
      <c r="E761" s="1" t="s">
        <v>2566</v>
      </c>
      <c r="F761" s="1" t="s">
        <v>291</v>
      </c>
      <c r="G761" s="1" t="s">
        <v>292</v>
      </c>
      <c r="H761" s="1" t="s">
        <v>37</v>
      </c>
      <c r="I761" s="1" t="s">
        <v>16</v>
      </c>
      <c r="J761" s="1">
        <v>1</v>
      </c>
      <c r="K761" s="1">
        <v>8</v>
      </c>
      <c r="L761" s="1" t="s">
        <v>31</v>
      </c>
      <c r="M761" s="1" t="s">
        <v>18</v>
      </c>
      <c r="N761" s="1" t="s">
        <v>18</v>
      </c>
      <c r="O761" s="1">
        <v>3</v>
      </c>
      <c r="P761" s="1">
        <v>7</v>
      </c>
      <c r="Q761" s="7" t="s">
        <v>17633</v>
      </c>
      <c r="R761" s="1" t="s">
        <v>19</v>
      </c>
      <c r="S761" s="1" t="s">
        <v>20</v>
      </c>
      <c r="T761" s="1" t="s">
        <v>21</v>
      </c>
      <c r="U761" s="1" t="s">
        <v>22</v>
      </c>
      <c r="V761" s="1" t="s">
        <v>24</v>
      </c>
      <c r="W761" s="1" t="s">
        <v>24</v>
      </c>
      <c r="X761" s="1">
        <v>2729</v>
      </c>
      <c r="Y761" s="1" t="s">
        <v>24</v>
      </c>
      <c r="Z761" s="1" t="s">
        <v>24</v>
      </c>
      <c r="AA761" s="1" t="s">
        <v>24</v>
      </c>
      <c r="AB761" s="1" t="s">
        <v>24</v>
      </c>
      <c r="AC761" s="1" t="s">
        <v>24</v>
      </c>
      <c r="AD761" s="1" t="s">
        <v>24</v>
      </c>
      <c r="AE761" s="1" t="s">
        <v>24</v>
      </c>
      <c r="AF761" s="22"/>
    </row>
    <row r="762" spans="1:32" x14ac:dyDescent="0.2">
      <c r="A762" s="1">
        <v>4217</v>
      </c>
      <c r="B762" s="1" t="s">
        <v>2567</v>
      </c>
      <c r="C762" s="5" t="s">
        <v>0</v>
      </c>
      <c r="D762" s="1" t="s">
        <v>2568</v>
      </c>
      <c r="E762" s="1" t="s">
        <v>2569</v>
      </c>
      <c r="F762" s="1" t="s">
        <v>55</v>
      </c>
      <c r="G762" s="1" t="s">
        <v>56</v>
      </c>
      <c r="H762" s="1" t="s">
        <v>37</v>
      </c>
      <c r="I762" s="1" t="s">
        <v>16</v>
      </c>
      <c r="J762" s="1">
        <v>1</v>
      </c>
      <c r="K762" s="1">
        <v>6</v>
      </c>
      <c r="L762" s="1" t="s">
        <v>31</v>
      </c>
      <c r="M762" s="1" t="s">
        <v>18</v>
      </c>
      <c r="N762" s="1" t="s">
        <v>18</v>
      </c>
      <c r="O762" s="1">
        <v>3</v>
      </c>
      <c r="P762" s="1">
        <v>7</v>
      </c>
      <c r="Q762" s="7" t="s">
        <v>17633</v>
      </c>
      <c r="R762" s="1" t="s">
        <v>19</v>
      </c>
      <c r="S762" s="1" t="s">
        <v>20</v>
      </c>
      <c r="T762" s="1" t="s">
        <v>21</v>
      </c>
      <c r="U762" s="1" t="s">
        <v>22</v>
      </c>
      <c r="V762" s="1" t="s">
        <v>24</v>
      </c>
      <c r="W762" s="1" t="s">
        <v>24</v>
      </c>
      <c r="X762" s="1">
        <v>1311</v>
      </c>
      <c r="Y762" s="1">
        <v>1312</v>
      </c>
      <c r="Z762" s="1">
        <v>1305</v>
      </c>
      <c r="AA762" s="1">
        <v>2716</v>
      </c>
      <c r="AB762" s="1" t="s">
        <v>24</v>
      </c>
      <c r="AC762" s="1" t="s">
        <v>24</v>
      </c>
      <c r="AD762" s="1" t="s">
        <v>24</v>
      </c>
      <c r="AE762" s="1" t="s">
        <v>24</v>
      </c>
      <c r="AF762" s="22"/>
    </row>
    <row r="763" spans="1:32" x14ac:dyDescent="0.2">
      <c r="A763" s="1">
        <v>4218</v>
      </c>
      <c r="B763" s="1" t="s">
        <v>2570</v>
      </c>
      <c r="C763" s="5" t="s">
        <v>0</v>
      </c>
      <c r="D763" s="1" t="s">
        <v>2571</v>
      </c>
      <c r="F763" s="1" t="s">
        <v>91</v>
      </c>
      <c r="G763" s="1" t="s">
        <v>61</v>
      </c>
      <c r="H763" s="1" t="s">
        <v>92</v>
      </c>
      <c r="I763" s="1" t="s">
        <v>16</v>
      </c>
      <c r="J763" s="1">
        <v>2</v>
      </c>
      <c r="K763" s="1">
        <v>6</v>
      </c>
      <c r="L763" s="1" t="s">
        <v>31</v>
      </c>
      <c r="M763" s="1" t="s">
        <v>18</v>
      </c>
      <c r="N763" s="1" t="s">
        <v>18</v>
      </c>
      <c r="O763" s="1">
        <v>3</v>
      </c>
      <c r="P763" s="1">
        <v>8</v>
      </c>
      <c r="Q763" s="7" t="s">
        <v>17633</v>
      </c>
      <c r="R763" s="1" t="s">
        <v>62</v>
      </c>
      <c r="S763" s="1" t="s">
        <v>20</v>
      </c>
      <c r="T763" s="1" t="s">
        <v>21</v>
      </c>
      <c r="U763" s="1" t="s">
        <v>22</v>
      </c>
      <c r="V763" s="1" t="s">
        <v>24</v>
      </c>
      <c r="W763" s="1" t="s">
        <v>24</v>
      </c>
      <c r="X763" s="1">
        <v>2721</v>
      </c>
      <c r="Y763" s="1" t="s">
        <v>24</v>
      </c>
      <c r="Z763" s="1" t="s">
        <v>24</v>
      </c>
      <c r="AA763" s="1" t="s">
        <v>24</v>
      </c>
      <c r="AB763" s="1" t="s">
        <v>24</v>
      </c>
      <c r="AC763" s="1" t="s">
        <v>24</v>
      </c>
      <c r="AD763" s="1" t="s">
        <v>24</v>
      </c>
      <c r="AE763" s="1" t="s">
        <v>24</v>
      </c>
      <c r="AF763" s="22" t="s">
        <v>17679</v>
      </c>
    </row>
    <row r="764" spans="1:32" x14ac:dyDescent="0.2">
      <c r="A764" s="1">
        <v>4220</v>
      </c>
      <c r="B764" s="1" t="s">
        <v>2572</v>
      </c>
      <c r="C764" s="5" t="s">
        <v>0</v>
      </c>
      <c r="D764" s="1" t="s">
        <v>2573</v>
      </c>
      <c r="E764" s="1" t="s">
        <v>2574</v>
      </c>
      <c r="F764" s="1" t="s">
        <v>2575</v>
      </c>
      <c r="G764" s="1" t="s">
        <v>857</v>
      </c>
      <c r="H764" s="1" t="s">
        <v>30</v>
      </c>
      <c r="I764" s="1" t="s">
        <v>16</v>
      </c>
      <c r="J764" s="1">
        <v>1</v>
      </c>
      <c r="K764" s="1">
        <v>4</v>
      </c>
      <c r="L764" s="1" t="s">
        <v>42</v>
      </c>
      <c r="M764" s="1" t="s">
        <v>18</v>
      </c>
      <c r="N764" s="1" t="s">
        <v>18</v>
      </c>
      <c r="O764" s="1">
        <v>3</v>
      </c>
      <c r="P764" s="1">
        <v>6</v>
      </c>
      <c r="R764" s="1" t="s">
        <v>19</v>
      </c>
      <c r="S764" s="1" t="s">
        <v>20</v>
      </c>
      <c r="T764" s="1" t="s">
        <v>21</v>
      </c>
      <c r="U764" s="1" t="s">
        <v>22</v>
      </c>
      <c r="V764" s="1" t="s">
        <v>24</v>
      </c>
      <c r="W764" s="1" t="s">
        <v>24</v>
      </c>
      <c r="X764" s="1">
        <v>2722</v>
      </c>
      <c r="Y764" s="1">
        <v>2702</v>
      </c>
      <c r="Z764" s="1">
        <v>3607</v>
      </c>
      <c r="AA764" s="1" t="s">
        <v>24</v>
      </c>
      <c r="AB764" s="1" t="s">
        <v>24</v>
      </c>
      <c r="AC764" s="1" t="s">
        <v>24</v>
      </c>
      <c r="AD764" s="1" t="s">
        <v>24</v>
      </c>
      <c r="AE764" s="1" t="s">
        <v>24</v>
      </c>
      <c r="AF764" s="22"/>
    </row>
    <row r="765" spans="1:32" x14ac:dyDescent="0.2">
      <c r="A765" s="1">
        <v>4221</v>
      </c>
      <c r="B765" s="1" t="s">
        <v>2576</v>
      </c>
      <c r="C765" s="5" t="s">
        <v>0</v>
      </c>
      <c r="D765" s="1" t="s">
        <v>2577</v>
      </c>
      <c r="E765" s="1" t="s">
        <v>2578</v>
      </c>
      <c r="F765" s="1" t="s">
        <v>724</v>
      </c>
      <c r="G765" s="1" t="s">
        <v>725</v>
      </c>
      <c r="H765" s="1" t="s">
        <v>37</v>
      </c>
      <c r="I765" s="1" t="s">
        <v>16</v>
      </c>
      <c r="J765" s="1">
        <v>1</v>
      </c>
      <c r="K765" s="1">
        <v>4</v>
      </c>
      <c r="L765" s="1" t="s">
        <v>31</v>
      </c>
      <c r="M765" s="1" t="s">
        <v>18</v>
      </c>
      <c r="N765" s="1" t="s">
        <v>18</v>
      </c>
      <c r="O765" s="1">
        <v>3</v>
      </c>
      <c r="P765" s="1">
        <v>6</v>
      </c>
      <c r="R765" s="1" t="s">
        <v>19</v>
      </c>
      <c r="S765" s="1" t="s">
        <v>20</v>
      </c>
      <c r="T765" s="1" t="s">
        <v>21</v>
      </c>
      <c r="U765" s="1" t="s">
        <v>22</v>
      </c>
      <c r="V765" s="1" t="s">
        <v>24</v>
      </c>
      <c r="W765" s="1" t="s">
        <v>24</v>
      </c>
      <c r="X765" s="1">
        <v>2405</v>
      </c>
      <c r="Y765" s="1">
        <v>1103</v>
      </c>
      <c r="Z765" s="1" t="s">
        <v>24</v>
      </c>
      <c r="AA765" s="1" t="s">
        <v>24</v>
      </c>
      <c r="AB765" s="1" t="s">
        <v>24</v>
      </c>
      <c r="AC765" s="1" t="s">
        <v>24</v>
      </c>
      <c r="AD765" s="1" t="s">
        <v>24</v>
      </c>
      <c r="AE765" s="1" t="s">
        <v>24</v>
      </c>
      <c r="AF765" s="22"/>
    </row>
    <row r="766" spans="1:32" x14ac:dyDescent="0.2">
      <c r="A766" s="1">
        <v>4224</v>
      </c>
      <c r="B766" s="1" t="s">
        <v>2579</v>
      </c>
      <c r="C766" s="5" t="s">
        <v>0</v>
      </c>
      <c r="D766" s="1" t="s">
        <v>2580</v>
      </c>
      <c r="E766" s="1" t="s">
        <v>2581</v>
      </c>
      <c r="F766" s="1" t="s">
        <v>28</v>
      </c>
      <c r="G766" s="1" t="s">
        <v>29</v>
      </c>
      <c r="H766" s="1" t="s">
        <v>37</v>
      </c>
      <c r="I766" s="1" t="s">
        <v>16</v>
      </c>
      <c r="J766" s="1">
        <v>1</v>
      </c>
      <c r="K766" s="1">
        <v>12</v>
      </c>
      <c r="L766" s="1" t="s">
        <v>31</v>
      </c>
      <c r="M766" s="1" t="s">
        <v>18</v>
      </c>
      <c r="N766" s="1" t="s">
        <v>18</v>
      </c>
      <c r="O766" s="1">
        <v>3</v>
      </c>
      <c r="P766" s="1">
        <v>8</v>
      </c>
      <c r="Q766" s="7" t="s">
        <v>17633</v>
      </c>
      <c r="R766" s="1" t="s">
        <v>62</v>
      </c>
      <c r="S766" s="1" t="s">
        <v>20</v>
      </c>
      <c r="T766" s="1" t="s">
        <v>21</v>
      </c>
      <c r="U766" s="1" t="s">
        <v>22</v>
      </c>
      <c r="V766" s="1" t="s">
        <v>23</v>
      </c>
      <c r="W766" s="1" t="s">
        <v>24</v>
      </c>
      <c r="X766" s="1">
        <v>2724</v>
      </c>
      <c r="Y766" s="1">
        <v>1314</v>
      </c>
      <c r="Z766" s="1">
        <v>2705</v>
      </c>
      <c r="AA766" s="1" t="s">
        <v>24</v>
      </c>
      <c r="AB766" s="1" t="s">
        <v>24</v>
      </c>
      <c r="AC766" s="1" t="s">
        <v>24</v>
      </c>
      <c r="AD766" s="1" t="s">
        <v>24</v>
      </c>
      <c r="AE766" s="1" t="s">
        <v>24</v>
      </c>
      <c r="AF766" s="22"/>
    </row>
    <row r="767" spans="1:32" x14ac:dyDescent="0.2">
      <c r="A767" s="1">
        <v>4227</v>
      </c>
      <c r="B767" s="1" t="s">
        <v>2582</v>
      </c>
      <c r="C767" s="5" t="s">
        <v>0</v>
      </c>
      <c r="D767" s="1" t="s">
        <v>2583</v>
      </c>
      <c r="E767" s="1" t="s">
        <v>2584</v>
      </c>
      <c r="F767" s="1" t="s">
        <v>2585</v>
      </c>
      <c r="G767" s="1" t="s">
        <v>2585</v>
      </c>
      <c r="H767" s="1" t="s">
        <v>30</v>
      </c>
      <c r="I767" s="1" t="s">
        <v>16</v>
      </c>
      <c r="J767" s="1">
        <v>2</v>
      </c>
      <c r="K767" s="1">
        <v>12</v>
      </c>
      <c r="L767" s="1" t="s">
        <v>42</v>
      </c>
      <c r="M767" s="1" t="s">
        <v>18</v>
      </c>
      <c r="N767" s="1" t="s">
        <v>18</v>
      </c>
      <c r="O767" s="1">
        <v>3</v>
      </c>
      <c r="P767" s="1">
        <v>7</v>
      </c>
      <c r="Q767" s="7" t="s">
        <v>17633</v>
      </c>
      <c r="R767" s="1" t="s">
        <v>62</v>
      </c>
      <c r="S767" s="1" t="s">
        <v>20</v>
      </c>
      <c r="T767" s="1" t="s">
        <v>21</v>
      </c>
      <c r="U767" s="1" t="s">
        <v>22</v>
      </c>
      <c r="V767" s="1" t="s">
        <v>24</v>
      </c>
      <c r="W767" s="1" t="s">
        <v>24</v>
      </c>
      <c r="X767" s="1">
        <v>2403</v>
      </c>
      <c r="Y767" s="1" t="s">
        <v>24</v>
      </c>
      <c r="Z767" s="1" t="s">
        <v>24</v>
      </c>
      <c r="AA767" s="1" t="s">
        <v>24</v>
      </c>
      <c r="AB767" s="1" t="s">
        <v>24</v>
      </c>
      <c r="AC767" s="1" t="s">
        <v>24</v>
      </c>
      <c r="AD767" s="1" t="s">
        <v>24</v>
      </c>
      <c r="AE767" s="1" t="s">
        <v>24</v>
      </c>
      <c r="AF767" s="22"/>
    </row>
    <row r="768" spans="1:32" x14ac:dyDescent="0.2">
      <c r="A768" s="1">
        <v>4232</v>
      </c>
      <c r="B768" s="1" t="s">
        <v>2586</v>
      </c>
      <c r="C768" s="5" t="s">
        <v>0</v>
      </c>
      <c r="D768" s="1" t="s">
        <v>2587</v>
      </c>
      <c r="E768" s="1" t="s">
        <v>2588</v>
      </c>
      <c r="F768" s="1" t="s">
        <v>291</v>
      </c>
      <c r="G768" s="1" t="s">
        <v>292</v>
      </c>
      <c r="H768" s="1" t="s">
        <v>37</v>
      </c>
      <c r="I768" s="1" t="s">
        <v>16</v>
      </c>
      <c r="J768" s="1">
        <v>1</v>
      </c>
      <c r="K768" s="1">
        <v>8</v>
      </c>
      <c r="L768" s="1" t="s">
        <v>31</v>
      </c>
      <c r="M768" s="1" t="s">
        <v>18</v>
      </c>
      <c r="N768" s="1" t="s">
        <v>18</v>
      </c>
      <c r="O768" s="1">
        <v>3</v>
      </c>
      <c r="P768" s="1">
        <v>6</v>
      </c>
      <c r="R768" s="1" t="s">
        <v>19</v>
      </c>
      <c r="S768" s="1" t="s">
        <v>20</v>
      </c>
      <c r="T768" s="1" t="s">
        <v>21</v>
      </c>
      <c r="U768" s="1" t="s">
        <v>22</v>
      </c>
      <c r="V768" s="1" t="s">
        <v>24</v>
      </c>
      <c r="W768" s="1" t="s">
        <v>24</v>
      </c>
      <c r="X768" s="1">
        <v>3003</v>
      </c>
      <c r="Y768" s="1">
        <v>1505</v>
      </c>
      <c r="Z768" s="1">
        <v>1606</v>
      </c>
      <c r="AA768" s="1">
        <v>1502</v>
      </c>
      <c r="AB768" s="1">
        <v>1605</v>
      </c>
      <c r="AC768" s="1" t="s">
        <v>24</v>
      </c>
      <c r="AD768" s="1" t="s">
        <v>24</v>
      </c>
      <c r="AE768" s="1" t="s">
        <v>24</v>
      </c>
      <c r="AF768" s="22"/>
    </row>
    <row r="769" spans="1:32" x14ac:dyDescent="0.2">
      <c r="A769" s="1">
        <v>4233</v>
      </c>
      <c r="B769" s="1" t="s">
        <v>2589</v>
      </c>
      <c r="C769" s="5" t="s">
        <v>0</v>
      </c>
      <c r="D769" s="1" t="s">
        <v>2590</v>
      </c>
      <c r="F769" s="1" t="s">
        <v>2591</v>
      </c>
      <c r="G769" s="1" t="s">
        <v>2591</v>
      </c>
      <c r="H769" s="1" t="s">
        <v>2592</v>
      </c>
      <c r="I769" s="1" t="s">
        <v>16</v>
      </c>
      <c r="J769" s="1">
        <v>1</v>
      </c>
      <c r="K769" s="1">
        <v>4</v>
      </c>
      <c r="L769" s="1" t="s">
        <v>42</v>
      </c>
      <c r="M769" s="1" t="s">
        <v>18</v>
      </c>
      <c r="N769" s="1" t="s">
        <v>18</v>
      </c>
      <c r="O769" s="1">
        <v>3</v>
      </c>
      <c r="P769" s="1">
        <v>6</v>
      </c>
      <c r="R769" s="1" t="s">
        <v>19</v>
      </c>
      <c r="S769" s="1" t="s">
        <v>20</v>
      </c>
      <c r="T769" s="1" t="s">
        <v>21</v>
      </c>
      <c r="U769" s="1" t="s">
        <v>22</v>
      </c>
      <c r="V769" s="1" t="s">
        <v>24</v>
      </c>
      <c r="W769" s="1" t="s">
        <v>24</v>
      </c>
      <c r="X769" s="1">
        <v>2700</v>
      </c>
      <c r="Y769" s="1" t="s">
        <v>24</v>
      </c>
      <c r="Z769" s="1" t="s">
        <v>24</v>
      </c>
      <c r="AA769" s="1" t="s">
        <v>24</v>
      </c>
      <c r="AB769" s="1" t="s">
        <v>24</v>
      </c>
      <c r="AC769" s="1" t="s">
        <v>24</v>
      </c>
      <c r="AD769" s="1" t="s">
        <v>24</v>
      </c>
      <c r="AE769" s="1" t="s">
        <v>24</v>
      </c>
      <c r="AF769" s="22"/>
    </row>
    <row r="770" spans="1:32" x14ac:dyDescent="0.2">
      <c r="A770" s="1">
        <v>4235</v>
      </c>
      <c r="B770" s="1" t="s">
        <v>2593</v>
      </c>
      <c r="C770" s="5" t="s">
        <v>0</v>
      </c>
      <c r="D770" s="1" t="s">
        <v>2594</v>
      </c>
      <c r="E770" s="1" t="s">
        <v>2595</v>
      </c>
      <c r="F770" s="1" t="s">
        <v>303</v>
      </c>
      <c r="G770" s="1" t="s">
        <v>61</v>
      </c>
      <c r="H770" s="1" t="s">
        <v>30</v>
      </c>
      <c r="I770" s="1" t="s">
        <v>16</v>
      </c>
      <c r="J770" s="1">
        <v>1</v>
      </c>
      <c r="K770" s="1">
        <v>12</v>
      </c>
      <c r="L770" s="1" t="s">
        <v>31</v>
      </c>
      <c r="M770" s="1" t="s">
        <v>18</v>
      </c>
      <c r="N770" s="1" t="s">
        <v>18</v>
      </c>
      <c r="O770" s="1">
        <v>2</v>
      </c>
      <c r="P770" s="1">
        <v>6</v>
      </c>
      <c r="R770" s="1" t="s">
        <v>19</v>
      </c>
      <c r="S770" s="1" t="s">
        <v>20</v>
      </c>
      <c r="T770" s="1" t="s">
        <v>21</v>
      </c>
      <c r="U770" s="1" t="s">
        <v>22</v>
      </c>
      <c r="V770" s="1" t="s">
        <v>23</v>
      </c>
      <c r="W770" s="1" t="s">
        <v>24</v>
      </c>
      <c r="X770" s="1">
        <v>3504</v>
      </c>
      <c r="Y770" s="1">
        <v>2733</v>
      </c>
      <c r="Z770" s="1">
        <v>2746</v>
      </c>
      <c r="AA770" s="1" t="s">
        <v>24</v>
      </c>
      <c r="AB770" s="1" t="s">
        <v>24</v>
      </c>
      <c r="AC770" s="1" t="s">
        <v>24</v>
      </c>
      <c r="AD770" s="1" t="s">
        <v>24</v>
      </c>
      <c r="AE770" s="1" t="s">
        <v>24</v>
      </c>
      <c r="AF770" s="22"/>
    </row>
    <row r="771" spans="1:32" x14ac:dyDescent="0.2">
      <c r="A771" s="1">
        <v>4238</v>
      </c>
      <c r="B771" s="1" t="s">
        <v>2596</v>
      </c>
      <c r="C771" s="5" t="s">
        <v>0</v>
      </c>
      <c r="D771" s="1" t="s">
        <v>2597</v>
      </c>
      <c r="E771" s="1" t="s">
        <v>2598</v>
      </c>
      <c r="F771" s="1" t="s">
        <v>367</v>
      </c>
      <c r="G771" s="1" t="s">
        <v>367</v>
      </c>
      <c r="H771" s="1" t="s">
        <v>30</v>
      </c>
      <c r="I771" s="1" t="s">
        <v>16</v>
      </c>
      <c r="J771" s="1">
        <v>2</v>
      </c>
      <c r="K771" s="1">
        <v>6</v>
      </c>
      <c r="L771" s="1" t="s">
        <v>42</v>
      </c>
      <c r="M771" s="1" t="s">
        <v>18</v>
      </c>
      <c r="N771" s="1" t="s">
        <v>18</v>
      </c>
      <c r="O771" s="1">
        <v>3</v>
      </c>
      <c r="P771" s="1">
        <v>8</v>
      </c>
      <c r="Q771" s="7" t="s">
        <v>17633</v>
      </c>
      <c r="R771" s="1" t="s">
        <v>62</v>
      </c>
      <c r="S771" s="1" t="s">
        <v>20</v>
      </c>
      <c r="T771" s="1" t="s">
        <v>21</v>
      </c>
      <c r="U771" s="1" t="s">
        <v>22</v>
      </c>
      <c r="V771" s="1" t="s">
        <v>24</v>
      </c>
      <c r="W771" s="1" t="s">
        <v>24</v>
      </c>
      <c r="X771" s="1">
        <v>1314</v>
      </c>
      <c r="Y771" s="1">
        <v>2800</v>
      </c>
      <c r="Z771" s="1" t="s">
        <v>24</v>
      </c>
      <c r="AA771" s="1" t="s">
        <v>24</v>
      </c>
      <c r="AB771" s="1" t="s">
        <v>24</v>
      </c>
      <c r="AC771" s="1" t="s">
        <v>24</v>
      </c>
      <c r="AD771" s="1" t="s">
        <v>24</v>
      </c>
      <c r="AE771" s="1" t="s">
        <v>24</v>
      </c>
      <c r="AF771" s="22"/>
    </row>
    <row r="772" spans="1:32" x14ac:dyDescent="0.2">
      <c r="A772" s="1">
        <v>4241</v>
      </c>
      <c r="B772" s="1" t="s">
        <v>2599</v>
      </c>
      <c r="C772" s="5" t="s">
        <v>0</v>
      </c>
      <c r="D772" s="1" t="s">
        <v>2600</v>
      </c>
      <c r="E772" s="1" t="s">
        <v>2601</v>
      </c>
      <c r="F772" s="1" t="s">
        <v>35</v>
      </c>
      <c r="G772" s="1" t="s">
        <v>36</v>
      </c>
      <c r="H772" s="1" t="s">
        <v>37</v>
      </c>
      <c r="I772" s="1" t="s">
        <v>16</v>
      </c>
      <c r="J772" s="1">
        <v>4</v>
      </c>
      <c r="K772" s="1">
        <v>6</v>
      </c>
      <c r="L772" s="1" t="s">
        <v>31</v>
      </c>
      <c r="M772" s="1" t="s">
        <v>18</v>
      </c>
      <c r="N772" s="1" t="s">
        <v>18</v>
      </c>
      <c r="O772" s="1">
        <v>3</v>
      </c>
      <c r="P772" s="1">
        <v>8</v>
      </c>
      <c r="Q772" s="7" t="s">
        <v>17633</v>
      </c>
      <c r="R772" s="1" t="s">
        <v>62</v>
      </c>
      <c r="S772" s="1" t="s">
        <v>20</v>
      </c>
      <c r="T772" s="1" t="s">
        <v>21</v>
      </c>
      <c r="U772" s="1" t="s">
        <v>22</v>
      </c>
      <c r="V772" s="1" t="s">
        <v>24</v>
      </c>
      <c r="W772" s="1" t="s">
        <v>64</v>
      </c>
      <c r="X772" s="1">
        <v>1303</v>
      </c>
      <c r="Y772" s="1">
        <v>2804</v>
      </c>
      <c r="Z772" s="1" t="s">
        <v>24</v>
      </c>
      <c r="AA772" s="1" t="s">
        <v>24</v>
      </c>
      <c r="AB772" s="1" t="s">
        <v>24</v>
      </c>
      <c r="AC772" s="1" t="s">
        <v>24</v>
      </c>
      <c r="AD772" s="1" t="s">
        <v>24</v>
      </c>
      <c r="AE772" s="1" t="s">
        <v>24</v>
      </c>
      <c r="AF772" s="22"/>
    </row>
    <row r="773" spans="1:32" x14ac:dyDescent="0.2">
      <c r="A773" s="1">
        <v>4242</v>
      </c>
      <c r="B773" s="1" t="s">
        <v>2602</v>
      </c>
      <c r="C773" s="5" t="s">
        <v>0</v>
      </c>
      <c r="D773" s="1" t="s">
        <v>2603</v>
      </c>
      <c r="E773" s="1" t="s">
        <v>2604</v>
      </c>
      <c r="F773" s="1" t="s">
        <v>2605</v>
      </c>
      <c r="G773" s="1" t="s">
        <v>2606</v>
      </c>
      <c r="H773" s="1" t="s">
        <v>30</v>
      </c>
      <c r="I773" s="1" t="s">
        <v>16</v>
      </c>
      <c r="J773" s="1">
        <v>2</v>
      </c>
      <c r="K773" s="1">
        <v>6</v>
      </c>
      <c r="L773" s="1" t="s">
        <v>42</v>
      </c>
      <c r="M773" s="1" t="s">
        <v>18</v>
      </c>
      <c r="N773" s="1" t="s">
        <v>18</v>
      </c>
      <c r="O773" s="1">
        <v>3</v>
      </c>
      <c r="P773" s="1">
        <v>7</v>
      </c>
      <c r="Q773" s="7" t="s">
        <v>17633</v>
      </c>
      <c r="R773" s="1" t="s">
        <v>19</v>
      </c>
      <c r="S773" s="1" t="s">
        <v>20</v>
      </c>
      <c r="T773" s="1" t="s">
        <v>21</v>
      </c>
      <c r="U773" s="1" t="s">
        <v>22</v>
      </c>
      <c r="V773" s="1" t="s">
        <v>24</v>
      </c>
      <c r="W773" s="1" t="s">
        <v>24</v>
      </c>
      <c r="X773" s="1">
        <v>2728</v>
      </c>
      <c r="Y773" s="1">
        <v>2746</v>
      </c>
      <c r="Z773" s="1" t="s">
        <v>24</v>
      </c>
      <c r="AA773" s="1" t="s">
        <v>24</v>
      </c>
      <c r="AB773" s="1" t="s">
        <v>24</v>
      </c>
      <c r="AC773" s="1" t="s">
        <v>24</v>
      </c>
      <c r="AD773" s="1" t="s">
        <v>24</v>
      </c>
      <c r="AE773" s="1" t="s">
        <v>24</v>
      </c>
      <c r="AF773" s="22"/>
    </row>
    <row r="774" spans="1:32" x14ac:dyDescent="0.2">
      <c r="A774" s="1">
        <v>4243</v>
      </c>
      <c r="B774" s="1" t="s">
        <v>2607</v>
      </c>
      <c r="C774" s="5" t="s">
        <v>0</v>
      </c>
      <c r="D774" s="1" t="s">
        <v>2608</v>
      </c>
      <c r="E774" s="1" t="s">
        <v>2609</v>
      </c>
      <c r="F774" s="1" t="s">
        <v>280</v>
      </c>
      <c r="G774" s="1" t="s">
        <v>280</v>
      </c>
      <c r="H774" s="1" t="s">
        <v>30</v>
      </c>
      <c r="I774" s="1" t="s">
        <v>16</v>
      </c>
      <c r="J774" s="1">
        <v>1</v>
      </c>
      <c r="K774" s="1">
        <v>12</v>
      </c>
      <c r="L774" s="1" t="s">
        <v>42</v>
      </c>
      <c r="M774" s="1" t="s">
        <v>18</v>
      </c>
      <c r="N774" s="1" t="s">
        <v>18</v>
      </c>
      <c r="O774" s="1">
        <v>3</v>
      </c>
      <c r="P774" s="1">
        <v>6</v>
      </c>
      <c r="R774" s="1" t="s">
        <v>62</v>
      </c>
      <c r="S774" s="1" t="s">
        <v>20</v>
      </c>
      <c r="T774" s="1" t="s">
        <v>21</v>
      </c>
      <c r="U774" s="1" t="s">
        <v>22</v>
      </c>
      <c r="V774" s="1" t="s">
        <v>23</v>
      </c>
      <c r="W774" s="1" t="s">
        <v>24</v>
      </c>
      <c r="X774" s="1">
        <v>2701</v>
      </c>
      <c r="Y774" s="1">
        <v>2916</v>
      </c>
      <c r="Z774" s="1" t="s">
        <v>24</v>
      </c>
      <c r="AA774" s="1" t="s">
        <v>24</v>
      </c>
      <c r="AB774" s="1" t="s">
        <v>24</v>
      </c>
      <c r="AC774" s="1" t="s">
        <v>24</v>
      </c>
      <c r="AD774" s="1" t="s">
        <v>24</v>
      </c>
      <c r="AE774" s="1" t="s">
        <v>24</v>
      </c>
      <c r="AF774" s="22"/>
    </row>
    <row r="775" spans="1:32" x14ac:dyDescent="0.2">
      <c r="A775" s="1">
        <v>4244</v>
      </c>
      <c r="B775" s="1" t="s">
        <v>2610</v>
      </c>
      <c r="C775" s="5" t="s">
        <v>0</v>
      </c>
      <c r="D775" s="1" t="s">
        <v>2611</v>
      </c>
      <c r="E775" s="1" t="s">
        <v>2612</v>
      </c>
      <c r="F775" s="1" t="s">
        <v>689</v>
      </c>
      <c r="G775" s="1" t="s">
        <v>311</v>
      </c>
      <c r="H775" s="1" t="s">
        <v>30</v>
      </c>
      <c r="I775" s="1" t="s">
        <v>16</v>
      </c>
      <c r="J775" s="1">
        <v>1</v>
      </c>
      <c r="K775" s="1">
        <v>6</v>
      </c>
      <c r="L775" s="1" t="s">
        <v>31</v>
      </c>
      <c r="M775" s="1" t="s">
        <v>18</v>
      </c>
      <c r="N775" s="1" t="s">
        <v>18</v>
      </c>
      <c r="O775" s="1">
        <v>3</v>
      </c>
      <c r="P775" s="1">
        <v>6</v>
      </c>
      <c r="R775" s="1" t="s">
        <v>19</v>
      </c>
      <c r="S775" s="1" t="s">
        <v>20</v>
      </c>
      <c r="T775" s="1" t="s">
        <v>21</v>
      </c>
      <c r="U775" s="1" t="s">
        <v>22</v>
      </c>
      <c r="V775" s="1" t="s">
        <v>23</v>
      </c>
      <c r="W775" s="1" t="s">
        <v>24</v>
      </c>
      <c r="X775" s="1">
        <v>2701</v>
      </c>
      <c r="Y775" s="1">
        <v>2916</v>
      </c>
      <c r="Z775" s="1" t="s">
        <v>24</v>
      </c>
      <c r="AA775" s="1" t="s">
        <v>24</v>
      </c>
      <c r="AB775" s="1" t="s">
        <v>24</v>
      </c>
      <c r="AC775" s="1" t="s">
        <v>24</v>
      </c>
      <c r="AD775" s="1" t="s">
        <v>24</v>
      </c>
      <c r="AE775" s="1" t="s">
        <v>24</v>
      </c>
      <c r="AF775" s="22"/>
    </row>
    <row r="776" spans="1:32" x14ac:dyDescent="0.2">
      <c r="A776" s="1">
        <v>4247</v>
      </c>
      <c r="B776" s="1" t="s">
        <v>2613</v>
      </c>
      <c r="C776" s="5" t="s">
        <v>0</v>
      </c>
      <c r="D776" s="1" t="s">
        <v>2614</v>
      </c>
      <c r="E776" s="1" t="s">
        <v>2615</v>
      </c>
      <c r="F776" s="1" t="s">
        <v>2616</v>
      </c>
      <c r="G776" s="1" t="s">
        <v>809</v>
      </c>
      <c r="H776" s="1" t="s">
        <v>30</v>
      </c>
      <c r="I776" s="1" t="s">
        <v>16</v>
      </c>
      <c r="J776" s="1">
        <v>1</v>
      </c>
      <c r="K776" s="1">
        <v>6</v>
      </c>
      <c r="L776" s="1" t="s">
        <v>31</v>
      </c>
      <c r="M776" s="1" t="s">
        <v>18</v>
      </c>
      <c r="N776" s="1" t="s">
        <v>18</v>
      </c>
      <c r="O776" s="1">
        <v>3</v>
      </c>
      <c r="P776" s="1">
        <v>6</v>
      </c>
      <c r="R776" s="1" t="s">
        <v>19</v>
      </c>
      <c r="S776" s="1" t="s">
        <v>20</v>
      </c>
      <c r="T776" s="1" t="s">
        <v>21</v>
      </c>
      <c r="U776" s="1" t="s">
        <v>22</v>
      </c>
      <c r="V776" s="1" t="s">
        <v>24</v>
      </c>
      <c r="W776" s="1" t="s">
        <v>24</v>
      </c>
      <c r="X776" s="1">
        <v>2405</v>
      </c>
      <c r="Y776" s="1">
        <v>1105</v>
      </c>
      <c r="Z776" s="1" t="s">
        <v>24</v>
      </c>
      <c r="AA776" s="1" t="s">
        <v>24</v>
      </c>
      <c r="AB776" s="1" t="s">
        <v>24</v>
      </c>
      <c r="AC776" s="1" t="s">
        <v>24</v>
      </c>
      <c r="AD776" s="1" t="s">
        <v>24</v>
      </c>
      <c r="AE776" s="1" t="s">
        <v>24</v>
      </c>
      <c r="AF776" s="22"/>
    </row>
    <row r="777" spans="1:32" x14ac:dyDescent="0.2">
      <c r="A777" s="1">
        <v>4248</v>
      </c>
      <c r="B777" s="1" t="s">
        <v>2617</v>
      </c>
      <c r="C777" s="5" t="s">
        <v>0</v>
      </c>
      <c r="D777" s="1" t="s">
        <v>2618</v>
      </c>
      <c r="E777" s="1" t="s">
        <v>2619</v>
      </c>
      <c r="F777" s="1" t="s">
        <v>194</v>
      </c>
      <c r="G777" s="1" t="s">
        <v>61</v>
      </c>
      <c r="H777" s="1" t="s">
        <v>30</v>
      </c>
      <c r="I777" s="1" t="s">
        <v>16</v>
      </c>
      <c r="J777" s="1">
        <v>2</v>
      </c>
      <c r="K777" s="1">
        <v>6</v>
      </c>
      <c r="L777" s="1" t="s">
        <v>31</v>
      </c>
      <c r="M777" s="1" t="s">
        <v>18</v>
      </c>
      <c r="N777" s="1" t="s">
        <v>18</v>
      </c>
      <c r="O777" s="1">
        <v>3</v>
      </c>
      <c r="P777" s="1">
        <v>8</v>
      </c>
      <c r="Q777" s="7" t="s">
        <v>17633</v>
      </c>
      <c r="R777" s="1" t="s">
        <v>62</v>
      </c>
      <c r="S777" s="1" t="s">
        <v>20</v>
      </c>
      <c r="T777" s="1" t="s">
        <v>21</v>
      </c>
      <c r="U777" s="1" t="s">
        <v>22</v>
      </c>
      <c r="V777" s="1" t="s">
        <v>23</v>
      </c>
      <c r="W777" s="1" t="s">
        <v>24</v>
      </c>
      <c r="X777" s="1">
        <v>2735</v>
      </c>
      <c r="Y777" s="1" t="s">
        <v>24</v>
      </c>
      <c r="Z777" s="1" t="s">
        <v>24</v>
      </c>
      <c r="AA777" s="1" t="s">
        <v>24</v>
      </c>
      <c r="AB777" s="1" t="s">
        <v>24</v>
      </c>
      <c r="AC777" s="1" t="s">
        <v>24</v>
      </c>
      <c r="AD777" s="1" t="s">
        <v>24</v>
      </c>
      <c r="AE777" s="1" t="s">
        <v>24</v>
      </c>
      <c r="AF777" s="22"/>
    </row>
    <row r="778" spans="1:32" x14ac:dyDescent="0.2">
      <c r="A778" s="1">
        <v>4255</v>
      </c>
      <c r="B778" s="1" t="s">
        <v>2620</v>
      </c>
      <c r="C778" s="5" t="s">
        <v>0</v>
      </c>
      <c r="D778" s="1" t="s">
        <v>2621</v>
      </c>
      <c r="F778" s="1" t="s">
        <v>2622</v>
      </c>
      <c r="G778" s="1" t="s">
        <v>61</v>
      </c>
      <c r="H778" s="1" t="s">
        <v>69</v>
      </c>
      <c r="I778" s="1" t="s">
        <v>16</v>
      </c>
      <c r="J778" s="1">
        <v>1</v>
      </c>
      <c r="K778" s="1">
        <v>6</v>
      </c>
      <c r="L778" s="1" t="s">
        <v>31</v>
      </c>
      <c r="M778" s="1" t="s">
        <v>18</v>
      </c>
      <c r="N778" s="1" t="s">
        <v>18</v>
      </c>
      <c r="O778" s="1">
        <v>2</v>
      </c>
      <c r="P778" s="1">
        <v>4</v>
      </c>
      <c r="R778" s="1" t="s">
        <v>19</v>
      </c>
      <c r="S778" s="1" t="s">
        <v>20</v>
      </c>
      <c r="T778" s="1" t="s">
        <v>21</v>
      </c>
      <c r="U778" s="1" t="s">
        <v>22</v>
      </c>
      <c r="V778" s="1" t="s">
        <v>24</v>
      </c>
      <c r="W778" s="1" t="s">
        <v>24</v>
      </c>
      <c r="X778" s="1">
        <v>2735</v>
      </c>
      <c r="Y778" s="1" t="s">
        <v>24</v>
      </c>
      <c r="Z778" s="1" t="s">
        <v>24</v>
      </c>
      <c r="AA778" s="1" t="s">
        <v>24</v>
      </c>
      <c r="AB778" s="1" t="s">
        <v>24</v>
      </c>
      <c r="AC778" s="1" t="s">
        <v>24</v>
      </c>
      <c r="AD778" s="1" t="s">
        <v>24</v>
      </c>
      <c r="AE778" s="1" t="s">
        <v>24</v>
      </c>
      <c r="AF778" s="22"/>
    </row>
    <row r="779" spans="1:32" x14ac:dyDescent="0.2">
      <c r="A779" s="1">
        <v>4260</v>
      </c>
      <c r="B779" s="1" t="s">
        <v>2623</v>
      </c>
      <c r="C779" s="5" t="s">
        <v>0</v>
      </c>
      <c r="D779" s="1" t="s">
        <v>2624</v>
      </c>
      <c r="E779" s="1" t="s">
        <v>2625</v>
      </c>
      <c r="F779" s="1" t="s">
        <v>517</v>
      </c>
      <c r="G779" s="1" t="s">
        <v>36</v>
      </c>
      <c r="H779" s="1" t="s">
        <v>30</v>
      </c>
      <c r="I779" s="1" t="s">
        <v>16</v>
      </c>
      <c r="J779" s="1">
        <v>1</v>
      </c>
      <c r="K779" s="1">
        <v>12</v>
      </c>
      <c r="L779" s="1" t="s">
        <v>31</v>
      </c>
      <c r="M779" s="1" t="s">
        <v>18</v>
      </c>
      <c r="N779" s="1" t="s">
        <v>18</v>
      </c>
      <c r="O779" s="1">
        <v>3</v>
      </c>
      <c r="P779" s="1">
        <v>7</v>
      </c>
      <c r="Q779" s="7" t="s">
        <v>17633</v>
      </c>
      <c r="R779" s="1" t="s">
        <v>62</v>
      </c>
      <c r="S779" s="1" t="s">
        <v>20</v>
      </c>
      <c r="T779" s="1" t="s">
        <v>21</v>
      </c>
      <c r="U779" s="1" t="s">
        <v>22</v>
      </c>
      <c r="V779" s="1" t="s">
        <v>23</v>
      </c>
      <c r="W779" s="1" t="s">
        <v>24</v>
      </c>
      <c r="X779" s="1">
        <v>2732</v>
      </c>
      <c r="Y779" s="1" t="s">
        <v>24</v>
      </c>
      <c r="Z779" s="1" t="s">
        <v>24</v>
      </c>
      <c r="AA779" s="1" t="s">
        <v>24</v>
      </c>
      <c r="AB779" s="1" t="s">
        <v>24</v>
      </c>
      <c r="AC779" s="1" t="s">
        <v>24</v>
      </c>
      <c r="AD779" s="1" t="s">
        <v>24</v>
      </c>
      <c r="AE779" s="1" t="s">
        <v>24</v>
      </c>
      <c r="AF779" s="22"/>
    </row>
    <row r="780" spans="1:32" x14ac:dyDescent="0.2">
      <c r="A780" s="1">
        <v>4274</v>
      </c>
      <c r="B780" s="1" t="s">
        <v>2626</v>
      </c>
      <c r="C780" s="5" t="s">
        <v>0</v>
      </c>
      <c r="D780" s="1" t="s">
        <v>2627</v>
      </c>
      <c r="E780" s="1" t="s">
        <v>2628</v>
      </c>
      <c r="F780" s="1" t="s">
        <v>291</v>
      </c>
      <c r="G780" s="1" t="s">
        <v>292</v>
      </c>
      <c r="H780" s="1" t="s">
        <v>30</v>
      </c>
      <c r="I780" s="1" t="s">
        <v>16</v>
      </c>
      <c r="J780" s="1">
        <v>1</v>
      </c>
      <c r="K780" s="1">
        <v>10</v>
      </c>
      <c r="L780" s="1" t="s">
        <v>31</v>
      </c>
      <c r="M780" s="1" t="s">
        <v>18</v>
      </c>
      <c r="N780" s="1" t="s">
        <v>18</v>
      </c>
      <c r="O780" s="1">
        <v>3</v>
      </c>
      <c r="P780" s="1">
        <v>6</v>
      </c>
      <c r="R780" s="1" t="s">
        <v>19</v>
      </c>
      <c r="S780" s="1" t="s">
        <v>20</v>
      </c>
      <c r="T780" s="1" t="s">
        <v>21</v>
      </c>
      <c r="U780" s="1" t="s">
        <v>22</v>
      </c>
      <c r="V780" s="1" t="s">
        <v>24</v>
      </c>
      <c r="W780" s="1" t="s">
        <v>24</v>
      </c>
      <c r="X780" s="1">
        <v>2740</v>
      </c>
      <c r="Y780" s="1">
        <v>2723</v>
      </c>
      <c r="Z780" s="1">
        <v>2735</v>
      </c>
      <c r="AA780" s="1" t="s">
        <v>24</v>
      </c>
      <c r="AB780" s="1" t="s">
        <v>24</v>
      </c>
      <c r="AC780" s="1" t="s">
        <v>24</v>
      </c>
      <c r="AD780" s="1" t="s">
        <v>24</v>
      </c>
      <c r="AE780" s="1" t="s">
        <v>24</v>
      </c>
      <c r="AF780" s="22"/>
    </row>
    <row r="781" spans="1:32" x14ac:dyDescent="0.2">
      <c r="A781" s="1">
        <v>4280</v>
      </c>
      <c r="B781" s="1" t="s">
        <v>2629</v>
      </c>
      <c r="C781" s="5" t="s">
        <v>0</v>
      </c>
      <c r="D781" s="1" t="s">
        <v>2630</v>
      </c>
      <c r="E781" s="1" t="s">
        <v>2631</v>
      </c>
      <c r="F781" s="1" t="s">
        <v>272</v>
      </c>
      <c r="G781" s="1" t="s">
        <v>61</v>
      </c>
      <c r="H781" s="1" t="s">
        <v>30</v>
      </c>
      <c r="I781" s="1" t="s">
        <v>16</v>
      </c>
      <c r="J781" s="1">
        <v>2</v>
      </c>
      <c r="K781" s="1">
        <v>6</v>
      </c>
      <c r="L781" s="1" t="s">
        <v>31</v>
      </c>
      <c r="M781" s="1" t="s">
        <v>18</v>
      </c>
      <c r="N781" s="1" t="s">
        <v>18</v>
      </c>
      <c r="O781" s="1">
        <v>3</v>
      </c>
      <c r="P781" s="1">
        <v>8</v>
      </c>
      <c r="Q781" s="7" t="s">
        <v>17633</v>
      </c>
      <c r="R781" s="1" t="s">
        <v>62</v>
      </c>
      <c r="S781" s="1" t="s">
        <v>20</v>
      </c>
      <c r="T781" s="1" t="s">
        <v>21</v>
      </c>
      <c r="U781" s="1" t="s">
        <v>22</v>
      </c>
      <c r="V781" s="1" t="s">
        <v>24</v>
      </c>
      <c r="W781" s="1" t="s">
        <v>24</v>
      </c>
      <c r="X781" s="1">
        <v>2748</v>
      </c>
      <c r="Y781" s="1" t="s">
        <v>24</v>
      </c>
      <c r="Z781" s="1" t="s">
        <v>24</v>
      </c>
      <c r="AA781" s="1" t="s">
        <v>24</v>
      </c>
      <c r="AB781" s="1" t="s">
        <v>24</v>
      </c>
      <c r="AC781" s="1" t="s">
        <v>24</v>
      </c>
      <c r="AD781" s="1" t="s">
        <v>24</v>
      </c>
      <c r="AE781" s="1" t="s">
        <v>24</v>
      </c>
      <c r="AF781" s="22"/>
    </row>
    <row r="782" spans="1:32" x14ac:dyDescent="0.2">
      <c r="A782" s="1">
        <v>4282</v>
      </c>
      <c r="B782" s="1" t="s">
        <v>2632</v>
      </c>
      <c r="C782" s="5" t="s">
        <v>0</v>
      </c>
      <c r="D782" s="1" t="s">
        <v>2633</v>
      </c>
      <c r="E782" s="1" t="s">
        <v>2634</v>
      </c>
      <c r="F782" s="1" t="s">
        <v>441</v>
      </c>
      <c r="G782" s="1" t="s">
        <v>441</v>
      </c>
      <c r="H782" s="1" t="s">
        <v>30</v>
      </c>
      <c r="I782" s="1" t="s">
        <v>16</v>
      </c>
      <c r="J782" s="1">
        <v>1</v>
      </c>
      <c r="K782" s="1">
        <v>24</v>
      </c>
      <c r="L782" s="1" t="s">
        <v>42</v>
      </c>
      <c r="M782" s="1" t="s">
        <v>18</v>
      </c>
      <c r="N782" s="1" t="s">
        <v>18</v>
      </c>
      <c r="O782" s="1">
        <v>3</v>
      </c>
      <c r="P782" s="1">
        <v>8</v>
      </c>
      <c r="Q782" s="7" t="s">
        <v>17633</v>
      </c>
      <c r="R782" s="1" t="s">
        <v>62</v>
      </c>
      <c r="S782" s="1" t="s">
        <v>20</v>
      </c>
      <c r="T782" s="1" t="s">
        <v>21</v>
      </c>
      <c r="U782" s="1" t="s">
        <v>22</v>
      </c>
      <c r="V782" s="1" t="s">
        <v>24</v>
      </c>
      <c r="W782" s="1" t="s">
        <v>24</v>
      </c>
      <c r="X782" s="1">
        <v>2403</v>
      </c>
      <c r="Y782" s="1">
        <v>2406</v>
      </c>
      <c r="Z782" s="1" t="s">
        <v>24</v>
      </c>
      <c r="AA782" s="1" t="s">
        <v>24</v>
      </c>
      <c r="AB782" s="1" t="s">
        <v>24</v>
      </c>
      <c r="AC782" s="1" t="s">
        <v>24</v>
      </c>
      <c r="AD782" s="1" t="s">
        <v>24</v>
      </c>
      <c r="AE782" s="1" t="s">
        <v>24</v>
      </c>
      <c r="AF782" s="22"/>
    </row>
    <row r="783" spans="1:32" x14ac:dyDescent="0.2">
      <c r="A783" s="1">
        <v>4285</v>
      </c>
      <c r="B783" s="1" t="s">
        <v>2635</v>
      </c>
      <c r="C783" s="5" t="s">
        <v>0</v>
      </c>
      <c r="D783" s="1" t="s">
        <v>2636</v>
      </c>
      <c r="E783" s="1" t="s">
        <v>2637</v>
      </c>
      <c r="F783" s="1" t="s">
        <v>91</v>
      </c>
      <c r="G783" s="1" t="s">
        <v>61</v>
      </c>
      <c r="H783" s="1" t="s">
        <v>92</v>
      </c>
      <c r="I783" s="1" t="s">
        <v>16</v>
      </c>
      <c r="J783" s="1">
        <v>3</v>
      </c>
      <c r="K783" s="1">
        <v>5</v>
      </c>
      <c r="L783" s="1" t="s">
        <v>31</v>
      </c>
      <c r="M783" s="1" t="s">
        <v>18</v>
      </c>
      <c r="N783" s="1" t="s">
        <v>18</v>
      </c>
      <c r="O783" s="1">
        <v>2</v>
      </c>
      <c r="P783" s="1">
        <v>7</v>
      </c>
      <c r="Q783" s="7" t="s">
        <v>17633</v>
      </c>
      <c r="R783" s="1" t="s">
        <v>19</v>
      </c>
      <c r="S783" s="1" t="s">
        <v>63</v>
      </c>
      <c r="T783" s="1" t="s">
        <v>21</v>
      </c>
      <c r="U783" s="1" t="s">
        <v>22</v>
      </c>
      <c r="V783" s="1" t="s">
        <v>24</v>
      </c>
      <c r="W783" s="1" t="s">
        <v>24</v>
      </c>
      <c r="X783" s="1">
        <v>1602</v>
      </c>
      <c r="Y783" s="1">
        <v>3002</v>
      </c>
      <c r="Z783" s="1">
        <v>3003</v>
      </c>
      <c r="AA783" s="1">
        <v>1607</v>
      </c>
      <c r="AB783" s="1">
        <v>1308</v>
      </c>
      <c r="AC783" s="1" t="s">
        <v>24</v>
      </c>
      <c r="AD783" s="1" t="s">
        <v>24</v>
      </c>
      <c r="AE783" s="1" t="s">
        <v>24</v>
      </c>
      <c r="AF783" s="22"/>
    </row>
    <row r="784" spans="1:32" x14ac:dyDescent="0.2">
      <c r="A784" s="1">
        <v>4286</v>
      </c>
      <c r="B784" s="1" t="s">
        <v>2638</v>
      </c>
      <c r="C784" s="5" t="s">
        <v>0</v>
      </c>
      <c r="D784" s="1" t="s">
        <v>2639</v>
      </c>
      <c r="E784" s="1" t="s">
        <v>2640</v>
      </c>
      <c r="F784" s="1" t="s">
        <v>190</v>
      </c>
      <c r="G784" s="1" t="s">
        <v>130</v>
      </c>
      <c r="H784" s="1" t="s">
        <v>30</v>
      </c>
      <c r="I784" s="1" t="s">
        <v>16</v>
      </c>
      <c r="J784" s="1">
        <v>1</v>
      </c>
      <c r="K784" s="1">
        <v>4</v>
      </c>
      <c r="L784" s="1" t="s">
        <v>31</v>
      </c>
      <c r="M784" s="1" t="s">
        <v>18</v>
      </c>
      <c r="N784" s="1" t="s">
        <v>18</v>
      </c>
      <c r="O784" s="1">
        <v>2</v>
      </c>
      <c r="P784" s="1">
        <v>6</v>
      </c>
      <c r="R784" s="1" t="s">
        <v>19</v>
      </c>
      <c r="S784" s="1" t="s">
        <v>20</v>
      </c>
      <c r="T784" s="1" t="s">
        <v>21</v>
      </c>
      <c r="U784" s="1" t="s">
        <v>22</v>
      </c>
      <c r="V784" s="1" t="s">
        <v>23</v>
      </c>
      <c r="W784" s="1" t="s">
        <v>24</v>
      </c>
      <c r="X784" s="1">
        <v>3203</v>
      </c>
      <c r="Y784" s="1" t="s">
        <v>24</v>
      </c>
      <c r="Z784" s="1" t="s">
        <v>24</v>
      </c>
      <c r="AA784" s="1" t="s">
        <v>24</v>
      </c>
      <c r="AB784" s="1" t="s">
        <v>24</v>
      </c>
      <c r="AC784" s="1" t="s">
        <v>24</v>
      </c>
      <c r="AD784" s="1" t="s">
        <v>24</v>
      </c>
      <c r="AE784" s="1" t="s">
        <v>24</v>
      </c>
      <c r="AF784" s="22"/>
    </row>
    <row r="785" spans="1:32" x14ac:dyDescent="0.2">
      <c r="A785" s="1">
        <v>4287</v>
      </c>
      <c r="B785" s="1" t="s">
        <v>2641</v>
      </c>
      <c r="C785" s="5" t="s">
        <v>0</v>
      </c>
      <c r="D785" s="1" t="s">
        <v>2642</v>
      </c>
      <c r="F785" s="1" t="s">
        <v>1644</v>
      </c>
      <c r="G785" s="1" t="s">
        <v>2643</v>
      </c>
      <c r="H785" s="1" t="s">
        <v>15</v>
      </c>
      <c r="I785" s="1" t="s">
        <v>16</v>
      </c>
      <c r="J785" s="1">
        <v>1</v>
      </c>
      <c r="K785" s="1">
        <v>4</v>
      </c>
      <c r="L785" s="1" t="s">
        <v>17</v>
      </c>
      <c r="M785" s="1" t="s">
        <v>199</v>
      </c>
      <c r="N785" s="1" t="s">
        <v>105</v>
      </c>
      <c r="O785" s="1">
        <v>2</v>
      </c>
      <c r="P785" s="1">
        <v>5</v>
      </c>
      <c r="R785" s="1" t="s">
        <v>19</v>
      </c>
      <c r="S785" s="1" t="s">
        <v>20</v>
      </c>
      <c r="T785" s="1" t="s">
        <v>21</v>
      </c>
      <c r="U785" s="1" t="s">
        <v>22</v>
      </c>
      <c r="V785" s="1" t="s">
        <v>24</v>
      </c>
      <c r="W785" s="1" t="s">
        <v>24</v>
      </c>
      <c r="X785" s="1">
        <v>3003</v>
      </c>
      <c r="Y785" s="1">
        <v>3004</v>
      </c>
      <c r="Z785" s="1">
        <v>2736</v>
      </c>
      <c r="AA785" s="1" t="s">
        <v>24</v>
      </c>
      <c r="AB785" s="1" t="s">
        <v>24</v>
      </c>
      <c r="AC785" s="1" t="s">
        <v>24</v>
      </c>
      <c r="AD785" s="1" t="s">
        <v>24</v>
      </c>
      <c r="AE785" s="1" t="s">
        <v>24</v>
      </c>
      <c r="AF785" s="22"/>
    </row>
    <row r="786" spans="1:32" x14ac:dyDescent="0.2">
      <c r="A786" s="1">
        <v>4296</v>
      </c>
      <c r="B786" s="1" t="s">
        <v>2644</v>
      </c>
      <c r="C786" s="5" t="s">
        <v>0</v>
      </c>
      <c r="D786" s="1" t="s">
        <v>2645</v>
      </c>
      <c r="F786" s="1" t="s">
        <v>948</v>
      </c>
      <c r="G786" s="1" t="s">
        <v>948</v>
      </c>
      <c r="H786" s="1" t="s">
        <v>86</v>
      </c>
      <c r="I786" s="1" t="s">
        <v>16</v>
      </c>
      <c r="J786" s="1">
        <v>1</v>
      </c>
      <c r="K786" s="1">
        <v>4</v>
      </c>
      <c r="L786" s="1" t="s">
        <v>42</v>
      </c>
      <c r="M786" s="1" t="s">
        <v>87</v>
      </c>
      <c r="N786" s="1" t="s">
        <v>18</v>
      </c>
      <c r="O786" s="1">
        <v>2</v>
      </c>
      <c r="P786" s="1">
        <v>5</v>
      </c>
      <c r="R786" s="1" t="s">
        <v>19</v>
      </c>
      <c r="S786" s="1" t="s">
        <v>20</v>
      </c>
      <c r="T786" s="1" t="s">
        <v>21</v>
      </c>
      <c r="U786" s="1" t="s">
        <v>22</v>
      </c>
      <c r="V786" s="1" t="s">
        <v>24</v>
      </c>
      <c r="W786" s="1" t="s">
        <v>24</v>
      </c>
      <c r="X786" s="1">
        <v>2736</v>
      </c>
      <c r="Y786" s="1" t="s">
        <v>24</v>
      </c>
      <c r="Z786" s="1" t="s">
        <v>24</v>
      </c>
      <c r="AA786" s="1" t="s">
        <v>24</v>
      </c>
      <c r="AB786" s="1" t="s">
        <v>24</v>
      </c>
      <c r="AC786" s="1" t="s">
        <v>24</v>
      </c>
      <c r="AD786" s="1" t="s">
        <v>24</v>
      </c>
      <c r="AE786" s="1" t="s">
        <v>24</v>
      </c>
      <c r="AF786" s="22"/>
    </row>
    <row r="787" spans="1:32" x14ac:dyDescent="0.2">
      <c r="A787" s="1">
        <v>4297</v>
      </c>
      <c r="B787" s="1" t="s">
        <v>2646</v>
      </c>
      <c r="C787" s="5" t="s">
        <v>0</v>
      </c>
      <c r="D787" s="1" t="s">
        <v>2647</v>
      </c>
      <c r="E787" s="1" t="s">
        <v>2648</v>
      </c>
      <c r="F787" s="1" t="s">
        <v>272</v>
      </c>
      <c r="G787" s="1" t="s">
        <v>61</v>
      </c>
      <c r="H787" s="1" t="s">
        <v>30</v>
      </c>
      <c r="I787" s="1" t="s">
        <v>16</v>
      </c>
      <c r="J787" s="1">
        <v>2</v>
      </c>
      <c r="K787" s="1">
        <v>6</v>
      </c>
      <c r="L787" s="1" t="s">
        <v>31</v>
      </c>
      <c r="M787" s="1" t="s">
        <v>18</v>
      </c>
      <c r="N787" s="1" t="s">
        <v>18</v>
      </c>
      <c r="O787" s="1">
        <v>3</v>
      </c>
      <c r="P787" s="1">
        <v>6</v>
      </c>
      <c r="R787" s="1" t="s">
        <v>19</v>
      </c>
      <c r="S787" s="1" t="s">
        <v>20</v>
      </c>
      <c r="T787" s="1" t="s">
        <v>21</v>
      </c>
      <c r="U787" s="1" t="s">
        <v>22</v>
      </c>
      <c r="V787" s="1" t="s">
        <v>24</v>
      </c>
      <c r="W787" s="1" t="s">
        <v>24</v>
      </c>
      <c r="X787" s="1">
        <v>2738</v>
      </c>
      <c r="Y787" s="1">
        <v>3203</v>
      </c>
      <c r="Z787" s="1" t="s">
        <v>24</v>
      </c>
      <c r="AA787" s="1" t="s">
        <v>24</v>
      </c>
      <c r="AB787" s="1" t="s">
        <v>24</v>
      </c>
      <c r="AC787" s="1" t="s">
        <v>24</v>
      </c>
      <c r="AD787" s="1" t="s">
        <v>24</v>
      </c>
      <c r="AE787" s="1" t="s">
        <v>24</v>
      </c>
      <c r="AF787" s="22"/>
    </row>
    <row r="788" spans="1:32" x14ac:dyDescent="0.2">
      <c r="A788" s="1">
        <v>4301</v>
      </c>
      <c r="B788" s="1" t="s">
        <v>2649</v>
      </c>
      <c r="C788" s="5" t="s">
        <v>0</v>
      </c>
      <c r="D788" s="1" t="s">
        <v>2650</v>
      </c>
      <c r="E788" s="1" t="s">
        <v>2651</v>
      </c>
      <c r="F788" s="1" t="s">
        <v>689</v>
      </c>
      <c r="G788" s="1" t="s">
        <v>311</v>
      </c>
      <c r="H788" s="1" t="s">
        <v>30</v>
      </c>
      <c r="I788" s="1" t="s">
        <v>16</v>
      </c>
      <c r="J788" s="1">
        <v>1</v>
      </c>
      <c r="K788" s="1">
        <v>5</v>
      </c>
      <c r="L788" s="1" t="s">
        <v>31</v>
      </c>
      <c r="M788" s="1" t="s">
        <v>18</v>
      </c>
      <c r="N788" s="1" t="s">
        <v>18</v>
      </c>
      <c r="O788" s="1">
        <v>3</v>
      </c>
      <c r="P788" s="1">
        <v>6</v>
      </c>
      <c r="R788" s="1" t="s">
        <v>19</v>
      </c>
      <c r="S788" s="1" t="s">
        <v>20</v>
      </c>
      <c r="T788" s="1" t="s">
        <v>21</v>
      </c>
      <c r="U788" s="1" t="s">
        <v>22</v>
      </c>
      <c r="V788" s="1" t="s">
        <v>24</v>
      </c>
      <c r="W788" s="1" t="s">
        <v>24</v>
      </c>
      <c r="X788" s="1">
        <v>2701</v>
      </c>
      <c r="Y788" s="1">
        <v>3200</v>
      </c>
      <c r="Z788" s="1" t="s">
        <v>24</v>
      </c>
      <c r="AA788" s="1" t="s">
        <v>24</v>
      </c>
      <c r="AB788" s="1" t="s">
        <v>24</v>
      </c>
      <c r="AC788" s="1" t="s">
        <v>24</v>
      </c>
      <c r="AD788" s="1" t="s">
        <v>24</v>
      </c>
      <c r="AE788" s="1" t="s">
        <v>24</v>
      </c>
      <c r="AF788" s="22"/>
    </row>
    <row r="789" spans="1:32" x14ac:dyDescent="0.2">
      <c r="A789" s="1">
        <v>4302</v>
      </c>
      <c r="B789" s="1" t="s">
        <v>2652</v>
      </c>
      <c r="C789" s="5" t="s">
        <v>0</v>
      </c>
      <c r="D789" s="1" t="s">
        <v>2653</v>
      </c>
      <c r="E789" s="1" t="s">
        <v>2654</v>
      </c>
      <c r="F789" s="1" t="s">
        <v>303</v>
      </c>
      <c r="G789" s="1" t="s">
        <v>61</v>
      </c>
      <c r="H789" s="1" t="s">
        <v>30</v>
      </c>
      <c r="I789" s="1" t="s">
        <v>16</v>
      </c>
      <c r="J789" s="1">
        <v>1</v>
      </c>
      <c r="K789" s="1">
        <v>12</v>
      </c>
      <c r="L789" s="1" t="s">
        <v>31</v>
      </c>
      <c r="M789" s="1" t="s">
        <v>18</v>
      </c>
      <c r="N789" s="1" t="s">
        <v>18</v>
      </c>
      <c r="O789" s="1">
        <v>3</v>
      </c>
      <c r="P789" s="1">
        <v>7</v>
      </c>
      <c r="Q789" s="7" t="s">
        <v>17633</v>
      </c>
      <c r="R789" s="1" t="s">
        <v>19</v>
      </c>
      <c r="S789" s="1" t="s">
        <v>20</v>
      </c>
      <c r="T789" s="1" t="s">
        <v>21</v>
      </c>
      <c r="U789" s="1" t="s">
        <v>22</v>
      </c>
      <c r="V789" s="1" t="s">
        <v>24</v>
      </c>
      <c r="W789" s="1" t="s">
        <v>24</v>
      </c>
      <c r="X789" s="1">
        <v>2746</v>
      </c>
      <c r="Y789" s="1">
        <v>2735</v>
      </c>
      <c r="Z789" s="1" t="s">
        <v>24</v>
      </c>
      <c r="AA789" s="1" t="s">
        <v>24</v>
      </c>
      <c r="AB789" s="1" t="s">
        <v>24</v>
      </c>
      <c r="AC789" s="1" t="s">
        <v>24</v>
      </c>
      <c r="AD789" s="1" t="s">
        <v>24</v>
      </c>
      <c r="AE789" s="1" t="s">
        <v>24</v>
      </c>
      <c r="AF789" s="22"/>
    </row>
    <row r="790" spans="1:32" x14ac:dyDescent="0.2">
      <c r="A790" s="1">
        <v>4303</v>
      </c>
      <c r="B790" s="1" t="s">
        <v>2655</v>
      </c>
      <c r="C790" s="5" t="s">
        <v>0</v>
      </c>
      <c r="D790" s="1" t="s">
        <v>2656</v>
      </c>
      <c r="E790" s="1" t="s">
        <v>2657</v>
      </c>
      <c r="F790" s="1" t="s">
        <v>1887</v>
      </c>
      <c r="G790" s="1" t="s">
        <v>254</v>
      </c>
      <c r="H790" s="1" t="s">
        <v>168</v>
      </c>
      <c r="I790" s="1" t="s">
        <v>16</v>
      </c>
      <c r="J790" s="1">
        <v>1</v>
      </c>
      <c r="K790" s="1">
        <v>6</v>
      </c>
      <c r="L790" s="1" t="s">
        <v>31</v>
      </c>
      <c r="M790" s="1" t="s">
        <v>18</v>
      </c>
      <c r="N790" s="1" t="s">
        <v>18</v>
      </c>
      <c r="O790" s="1">
        <v>3</v>
      </c>
      <c r="P790" s="1">
        <v>7</v>
      </c>
      <c r="Q790" s="7" t="s">
        <v>17633</v>
      </c>
      <c r="R790" s="1" t="s">
        <v>19</v>
      </c>
      <c r="S790" s="1" t="s">
        <v>20</v>
      </c>
      <c r="T790" s="1" t="s">
        <v>21</v>
      </c>
      <c r="U790" s="1" t="s">
        <v>22</v>
      </c>
      <c r="V790" s="1" t="s">
        <v>24</v>
      </c>
      <c r="W790" s="1" t="s">
        <v>24</v>
      </c>
      <c r="X790" s="1">
        <v>2729</v>
      </c>
      <c r="Y790" s="1">
        <v>2735</v>
      </c>
      <c r="Z790" s="1" t="s">
        <v>24</v>
      </c>
      <c r="AA790" s="1" t="s">
        <v>24</v>
      </c>
      <c r="AB790" s="1" t="s">
        <v>24</v>
      </c>
      <c r="AC790" s="1" t="s">
        <v>24</v>
      </c>
      <c r="AD790" s="1" t="s">
        <v>24</v>
      </c>
      <c r="AE790" s="1" t="s">
        <v>24</v>
      </c>
      <c r="AF790" s="22"/>
    </row>
    <row r="791" spans="1:32" x14ac:dyDescent="0.2">
      <c r="A791" s="1">
        <v>4304</v>
      </c>
      <c r="B791" s="1" t="s">
        <v>2658</v>
      </c>
      <c r="C791" s="5" t="s">
        <v>0</v>
      </c>
      <c r="D791" s="1" t="s">
        <v>2659</v>
      </c>
      <c r="F791" s="1" t="s">
        <v>493</v>
      </c>
      <c r="G791" s="1" t="s">
        <v>98</v>
      </c>
      <c r="H791" s="1" t="s">
        <v>30</v>
      </c>
      <c r="I791" s="1" t="s">
        <v>16</v>
      </c>
      <c r="J791" s="1">
        <v>1</v>
      </c>
      <c r="K791" s="1">
        <v>6</v>
      </c>
      <c r="L791" s="1" t="s">
        <v>31</v>
      </c>
      <c r="M791" s="1" t="s">
        <v>18</v>
      </c>
      <c r="N791" s="1" t="s">
        <v>18</v>
      </c>
      <c r="O791" s="1">
        <v>3</v>
      </c>
      <c r="P791" s="1">
        <v>7</v>
      </c>
      <c r="Q791" s="7" t="s">
        <v>17633</v>
      </c>
      <c r="R791" s="1" t="s">
        <v>19</v>
      </c>
      <c r="S791" s="1" t="s">
        <v>20</v>
      </c>
      <c r="T791" s="1" t="s">
        <v>21</v>
      </c>
      <c r="U791" s="1" t="s">
        <v>22</v>
      </c>
      <c r="V791" s="1" t="s">
        <v>23</v>
      </c>
      <c r="W791" s="1" t="s">
        <v>24</v>
      </c>
      <c r="X791" s="1">
        <v>2701</v>
      </c>
      <c r="Y791" s="1">
        <v>2916</v>
      </c>
      <c r="Z791" s="1" t="s">
        <v>24</v>
      </c>
      <c r="AA791" s="1" t="s">
        <v>24</v>
      </c>
      <c r="AB791" s="1" t="s">
        <v>24</v>
      </c>
      <c r="AC791" s="1" t="s">
        <v>24</v>
      </c>
      <c r="AD791" s="1" t="s">
        <v>24</v>
      </c>
      <c r="AE791" s="1" t="s">
        <v>24</v>
      </c>
      <c r="AF791" s="22" t="s">
        <v>17679</v>
      </c>
    </row>
    <row r="792" spans="1:32" x14ac:dyDescent="0.2">
      <c r="A792" s="1">
        <v>4306</v>
      </c>
      <c r="B792" s="1" t="s">
        <v>2660</v>
      </c>
      <c r="C792" s="5" t="s">
        <v>0</v>
      </c>
      <c r="D792" s="1" t="s">
        <v>2661</v>
      </c>
      <c r="E792" s="1" t="s">
        <v>2662</v>
      </c>
      <c r="F792" s="1" t="s">
        <v>1420</v>
      </c>
      <c r="G792" s="1" t="s">
        <v>1421</v>
      </c>
      <c r="H792" s="1" t="s">
        <v>30</v>
      </c>
      <c r="I792" s="1" t="s">
        <v>16</v>
      </c>
      <c r="J792" s="1">
        <v>4</v>
      </c>
      <c r="K792" s="1">
        <v>3</v>
      </c>
      <c r="L792" s="1" t="s">
        <v>42</v>
      </c>
      <c r="M792" s="1" t="s">
        <v>18</v>
      </c>
      <c r="N792" s="1" t="s">
        <v>18</v>
      </c>
      <c r="O792" s="1">
        <v>3</v>
      </c>
      <c r="P792" s="1">
        <v>7</v>
      </c>
      <c r="Q792" s="7" t="s">
        <v>17633</v>
      </c>
      <c r="R792" s="1" t="s">
        <v>62</v>
      </c>
      <c r="S792" s="1" t="s">
        <v>20</v>
      </c>
      <c r="T792" s="1" t="s">
        <v>21</v>
      </c>
      <c r="U792" s="1" t="s">
        <v>22</v>
      </c>
      <c r="V792" s="1" t="s">
        <v>24</v>
      </c>
      <c r="W792" s="1" t="s">
        <v>64</v>
      </c>
      <c r="X792" s="1">
        <v>3004</v>
      </c>
      <c r="Y792" s="1">
        <v>1313</v>
      </c>
      <c r="Z792" s="1" t="s">
        <v>24</v>
      </c>
      <c r="AA792" s="1" t="s">
        <v>24</v>
      </c>
      <c r="AB792" s="1" t="s">
        <v>24</v>
      </c>
      <c r="AC792" s="1" t="s">
        <v>24</v>
      </c>
      <c r="AD792" s="1" t="s">
        <v>24</v>
      </c>
      <c r="AE792" s="1" t="s">
        <v>24</v>
      </c>
      <c r="AF792" s="22"/>
    </row>
    <row r="793" spans="1:32" x14ac:dyDescent="0.2">
      <c r="A793" s="1">
        <v>4311</v>
      </c>
      <c r="B793" s="1" t="s">
        <v>2663</v>
      </c>
      <c r="C793" s="5" t="s">
        <v>0</v>
      </c>
      <c r="D793" s="1" t="s">
        <v>2664</v>
      </c>
      <c r="E793" s="1" t="s">
        <v>2665</v>
      </c>
      <c r="F793" s="1" t="s">
        <v>28</v>
      </c>
      <c r="G793" s="1" t="s">
        <v>29</v>
      </c>
      <c r="H793" s="1" t="s">
        <v>30</v>
      </c>
      <c r="I793" s="1" t="s">
        <v>16</v>
      </c>
      <c r="J793" s="1">
        <v>1</v>
      </c>
      <c r="K793" s="1">
        <v>12</v>
      </c>
      <c r="L793" s="1" t="s">
        <v>31</v>
      </c>
      <c r="M793" s="1" t="s">
        <v>18</v>
      </c>
      <c r="N793" s="1" t="s">
        <v>18</v>
      </c>
      <c r="O793" s="1">
        <v>3</v>
      </c>
      <c r="P793" s="1">
        <v>7</v>
      </c>
      <c r="Q793" s="7" t="s">
        <v>17633</v>
      </c>
      <c r="R793" s="1" t="s">
        <v>19</v>
      </c>
      <c r="S793" s="1" t="s">
        <v>20</v>
      </c>
      <c r="T793" s="1" t="s">
        <v>21</v>
      </c>
      <c r="U793" s="1" t="s">
        <v>22</v>
      </c>
      <c r="V793" s="1" t="s">
        <v>23</v>
      </c>
      <c r="W793" s="1" t="s">
        <v>24</v>
      </c>
      <c r="X793" s="1">
        <v>2715</v>
      </c>
      <c r="Y793" s="1">
        <v>2735</v>
      </c>
      <c r="Z793" s="1" t="s">
        <v>24</v>
      </c>
      <c r="AA793" s="1" t="s">
        <v>24</v>
      </c>
      <c r="AB793" s="1" t="s">
        <v>24</v>
      </c>
      <c r="AC793" s="1" t="s">
        <v>24</v>
      </c>
      <c r="AD793" s="1" t="s">
        <v>24</v>
      </c>
      <c r="AE793" s="1" t="s">
        <v>24</v>
      </c>
      <c r="AF793" s="22"/>
    </row>
    <row r="794" spans="1:32" x14ac:dyDescent="0.2">
      <c r="A794" s="1">
        <v>4316</v>
      </c>
      <c r="B794" s="1" t="s">
        <v>2666</v>
      </c>
      <c r="C794" s="5" t="s">
        <v>0</v>
      </c>
      <c r="D794" s="1" t="s">
        <v>2667</v>
      </c>
      <c r="E794" s="1" t="s">
        <v>2668</v>
      </c>
      <c r="F794" s="1" t="s">
        <v>35</v>
      </c>
      <c r="G794" s="1" t="s">
        <v>36</v>
      </c>
      <c r="H794" s="1" t="s">
        <v>37</v>
      </c>
      <c r="I794" s="1" t="s">
        <v>16</v>
      </c>
      <c r="J794" s="1">
        <v>1</v>
      </c>
      <c r="K794" s="1">
        <v>24</v>
      </c>
      <c r="L794" s="1" t="s">
        <v>31</v>
      </c>
      <c r="M794" s="1" t="s">
        <v>18</v>
      </c>
      <c r="N794" s="1" t="s">
        <v>18</v>
      </c>
      <c r="O794" s="1">
        <v>3</v>
      </c>
      <c r="P794" s="1">
        <v>8</v>
      </c>
      <c r="Q794" s="7" t="s">
        <v>17633</v>
      </c>
      <c r="R794" s="1" t="s">
        <v>62</v>
      </c>
      <c r="S794" s="1" t="s">
        <v>20</v>
      </c>
      <c r="T794" s="1" t="s">
        <v>21</v>
      </c>
      <c r="U794" s="1" t="s">
        <v>22</v>
      </c>
      <c r="V794" s="1" t="s">
        <v>24</v>
      </c>
      <c r="W794" s="1" t="s">
        <v>24</v>
      </c>
      <c r="X794" s="1">
        <v>1314</v>
      </c>
      <c r="Y794" s="1" t="s">
        <v>24</v>
      </c>
      <c r="Z794" s="1" t="s">
        <v>24</v>
      </c>
      <c r="AA794" s="1" t="s">
        <v>24</v>
      </c>
      <c r="AB794" s="1" t="s">
        <v>24</v>
      </c>
      <c r="AC794" s="1" t="s">
        <v>24</v>
      </c>
      <c r="AD794" s="1" t="s">
        <v>24</v>
      </c>
      <c r="AE794" s="1" t="s">
        <v>24</v>
      </c>
      <c r="AF794" s="22"/>
    </row>
    <row r="795" spans="1:32" x14ac:dyDescent="0.2">
      <c r="A795" s="1">
        <v>4321</v>
      </c>
      <c r="B795" s="1" t="s">
        <v>2669</v>
      </c>
      <c r="C795" s="5" t="s">
        <v>0</v>
      </c>
      <c r="D795" s="1" t="s">
        <v>2670</v>
      </c>
      <c r="F795" s="1" t="s">
        <v>2671</v>
      </c>
      <c r="G795" s="1" t="s">
        <v>2671</v>
      </c>
      <c r="H795" s="1" t="s">
        <v>2672</v>
      </c>
      <c r="I795" s="1" t="s">
        <v>16</v>
      </c>
      <c r="J795" s="1">
        <v>1</v>
      </c>
      <c r="K795" s="1">
        <v>12</v>
      </c>
      <c r="L795" s="1" t="s">
        <v>42</v>
      </c>
      <c r="M795" s="1" t="s">
        <v>18</v>
      </c>
      <c r="N795" s="1" t="s">
        <v>18</v>
      </c>
      <c r="O795" s="1">
        <v>2</v>
      </c>
      <c r="P795" s="1">
        <v>4</v>
      </c>
      <c r="R795" s="1" t="s">
        <v>19</v>
      </c>
      <c r="S795" s="1" t="s">
        <v>20</v>
      </c>
      <c r="T795" s="1" t="s">
        <v>21</v>
      </c>
      <c r="U795" s="1" t="s">
        <v>22</v>
      </c>
      <c r="V795" s="1" t="s">
        <v>24</v>
      </c>
      <c r="W795" s="1" t="s">
        <v>24</v>
      </c>
      <c r="X795" s="1">
        <v>2700</v>
      </c>
      <c r="Y795" s="1" t="s">
        <v>24</v>
      </c>
      <c r="Z795" s="1" t="s">
        <v>24</v>
      </c>
      <c r="AA795" s="1" t="s">
        <v>24</v>
      </c>
      <c r="AB795" s="1" t="s">
        <v>24</v>
      </c>
      <c r="AC795" s="1" t="s">
        <v>24</v>
      </c>
      <c r="AD795" s="1" t="s">
        <v>24</v>
      </c>
      <c r="AE795" s="1" t="s">
        <v>24</v>
      </c>
      <c r="AF795" s="22"/>
    </row>
    <row r="796" spans="1:32" x14ac:dyDescent="0.2">
      <c r="A796" s="1">
        <v>4324</v>
      </c>
      <c r="B796" s="1" t="s">
        <v>2673</v>
      </c>
      <c r="C796" s="5" t="s">
        <v>0</v>
      </c>
      <c r="D796" s="1" t="s">
        <v>2674</v>
      </c>
      <c r="E796" s="1" t="s">
        <v>2675</v>
      </c>
      <c r="F796" s="1" t="s">
        <v>517</v>
      </c>
      <c r="G796" s="1" t="s">
        <v>36</v>
      </c>
      <c r="H796" s="1" t="s">
        <v>30</v>
      </c>
      <c r="I796" s="1" t="s">
        <v>16</v>
      </c>
      <c r="J796" s="1">
        <v>1</v>
      </c>
      <c r="K796" s="1">
        <v>12</v>
      </c>
      <c r="L796" s="1" t="s">
        <v>31</v>
      </c>
      <c r="M796" s="1" t="s">
        <v>18</v>
      </c>
      <c r="N796" s="1" t="s">
        <v>18</v>
      </c>
      <c r="O796" s="1">
        <v>3</v>
      </c>
      <c r="P796" s="1">
        <v>6</v>
      </c>
      <c r="R796" s="1" t="s">
        <v>19</v>
      </c>
      <c r="S796" s="1" t="s">
        <v>20</v>
      </c>
      <c r="T796" s="1" t="s">
        <v>21</v>
      </c>
      <c r="U796" s="1" t="s">
        <v>22</v>
      </c>
      <c r="V796" s="1" t="s">
        <v>24</v>
      </c>
      <c r="W796" s="1" t="s">
        <v>64</v>
      </c>
      <c r="X796" s="1">
        <v>3003</v>
      </c>
      <c r="Y796" s="1" t="s">
        <v>24</v>
      </c>
      <c r="Z796" s="1" t="s">
        <v>24</v>
      </c>
      <c r="AA796" s="1" t="s">
        <v>24</v>
      </c>
      <c r="AB796" s="1" t="s">
        <v>24</v>
      </c>
      <c r="AC796" s="1" t="s">
        <v>24</v>
      </c>
      <c r="AD796" s="1" t="s">
        <v>24</v>
      </c>
      <c r="AE796" s="1" t="s">
        <v>24</v>
      </c>
      <c r="AF796" s="22"/>
    </row>
    <row r="797" spans="1:32" x14ac:dyDescent="0.2">
      <c r="A797" s="1">
        <v>4327</v>
      </c>
      <c r="B797" s="1" t="s">
        <v>2676</v>
      </c>
      <c r="C797" s="5" t="s">
        <v>0</v>
      </c>
      <c r="D797" s="1" t="s">
        <v>2677</v>
      </c>
      <c r="E797" s="1" t="s">
        <v>2678</v>
      </c>
      <c r="F797" s="1" t="s">
        <v>291</v>
      </c>
      <c r="G797" s="1" t="s">
        <v>292</v>
      </c>
      <c r="H797" s="1" t="s">
        <v>37</v>
      </c>
      <c r="I797" s="1" t="s">
        <v>16</v>
      </c>
      <c r="J797" s="1">
        <v>1</v>
      </c>
      <c r="K797" s="1">
        <v>4</v>
      </c>
      <c r="L797" s="1" t="s">
        <v>31</v>
      </c>
      <c r="M797" s="1" t="s">
        <v>18</v>
      </c>
      <c r="N797" s="1" t="s">
        <v>18</v>
      </c>
      <c r="O797" s="1">
        <v>3</v>
      </c>
      <c r="P797" s="1">
        <v>6</v>
      </c>
      <c r="R797" s="1" t="s">
        <v>19</v>
      </c>
      <c r="S797" s="1" t="s">
        <v>20</v>
      </c>
      <c r="T797" s="1" t="s">
        <v>21</v>
      </c>
      <c r="U797" s="1" t="s">
        <v>22</v>
      </c>
      <c r="V797" s="1" t="s">
        <v>24</v>
      </c>
      <c r="W797" s="1" t="s">
        <v>24</v>
      </c>
      <c r="X797" s="1">
        <v>2729</v>
      </c>
      <c r="Y797" s="1">
        <v>2738</v>
      </c>
      <c r="Z797" s="1">
        <v>2743</v>
      </c>
      <c r="AA797" s="1">
        <v>3203</v>
      </c>
      <c r="AB797" s="1" t="s">
        <v>24</v>
      </c>
      <c r="AC797" s="1" t="s">
        <v>24</v>
      </c>
      <c r="AD797" s="1" t="s">
        <v>24</v>
      </c>
      <c r="AE797" s="1" t="s">
        <v>24</v>
      </c>
      <c r="AF797" s="22"/>
    </row>
    <row r="798" spans="1:32" x14ac:dyDescent="0.2">
      <c r="A798" s="1">
        <v>4328</v>
      </c>
      <c r="B798" s="1" t="s">
        <v>2679</v>
      </c>
      <c r="C798" s="5" t="s">
        <v>0</v>
      </c>
      <c r="D798" s="1" t="s">
        <v>2680</v>
      </c>
      <c r="E798" s="1" t="s">
        <v>2681</v>
      </c>
      <c r="F798" s="1" t="s">
        <v>689</v>
      </c>
      <c r="G798" s="1" t="s">
        <v>311</v>
      </c>
      <c r="H798" s="1" t="s">
        <v>30</v>
      </c>
      <c r="I798" s="1" t="s">
        <v>16</v>
      </c>
      <c r="J798" s="1">
        <v>1</v>
      </c>
      <c r="K798" s="1">
        <v>6</v>
      </c>
      <c r="L798" s="1" t="s">
        <v>31</v>
      </c>
      <c r="M798" s="1" t="s">
        <v>18</v>
      </c>
      <c r="N798" s="1" t="s">
        <v>18</v>
      </c>
      <c r="O798" s="1">
        <v>3</v>
      </c>
      <c r="P798" s="1">
        <v>6</v>
      </c>
      <c r="R798" s="1" t="s">
        <v>19</v>
      </c>
      <c r="S798" s="1" t="s">
        <v>20</v>
      </c>
      <c r="T798" s="1" t="s">
        <v>21</v>
      </c>
      <c r="U798" s="1" t="s">
        <v>22</v>
      </c>
      <c r="V798" s="1" t="s">
        <v>23</v>
      </c>
      <c r="W798" s="1" t="s">
        <v>24</v>
      </c>
      <c r="X798" s="1">
        <v>3202</v>
      </c>
      <c r="Y798" s="1">
        <v>2730</v>
      </c>
      <c r="Z798" s="1">
        <v>2738</v>
      </c>
      <c r="AA798" s="1" t="s">
        <v>24</v>
      </c>
      <c r="AB798" s="1" t="s">
        <v>24</v>
      </c>
      <c r="AC798" s="1" t="s">
        <v>24</v>
      </c>
      <c r="AD798" s="1" t="s">
        <v>24</v>
      </c>
      <c r="AE798" s="1" t="s">
        <v>24</v>
      </c>
      <c r="AF798" s="22"/>
    </row>
    <row r="799" spans="1:32" x14ac:dyDescent="0.2">
      <c r="A799" s="1">
        <v>4330</v>
      </c>
      <c r="B799" s="1" t="s">
        <v>2682</v>
      </c>
      <c r="C799" s="5" t="s">
        <v>0</v>
      </c>
      <c r="D799" s="1" t="s">
        <v>2683</v>
      </c>
      <c r="E799" s="1" t="s">
        <v>2684</v>
      </c>
      <c r="F799" s="1" t="s">
        <v>28</v>
      </c>
      <c r="G799" s="1" t="s">
        <v>29</v>
      </c>
      <c r="H799" s="1" t="s">
        <v>30</v>
      </c>
      <c r="I799" s="1" t="s">
        <v>16</v>
      </c>
      <c r="J799" s="1">
        <v>1</v>
      </c>
      <c r="K799" s="1">
        <v>8</v>
      </c>
      <c r="L799" s="1" t="s">
        <v>31</v>
      </c>
      <c r="M799" s="1" t="s">
        <v>18</v>
      </c>
      <c r="N799" s="1" t="s">
        <v>18</v>
      </c>
      <c r="O799" s="1">
        <v>3</v>
      </c>
      <c r="P799" s="1">
        <v>8</v>
      </c>
      <c r="Q799" s="7" t="s">
        <v>17633</v>
      </c>
      <c r="R799" s="1" t="s">
        <v>19</v>
      </c>
      <c r="S799" s="1" t="s">
        <v>20</v>
      </c>
      <c r="T799" s="1" t="s">
        <v>21</v>
      </c>
      <c r="U799" s="1" t="s">
        <v>22</v>
      </c>
      <c r="V799" s="1" t="s">
        <v>23</v>
      </c>
      <c r="W799" s="1" t="s">
        <v>24</v>
      </c>
      <c r="X799" s="1">
        <v>2735</v>
      </c>
      <c r="Y799" s="1">
        <v>2732</v>
      </c>
      <c r="Z799" s="1" t="s">
        <v>24</v>
      </c>
      <c r="AA799" s="1" t="s">
        <v>24</v>
      </c>
      <c r="AB799" s="1" t="s">
        <v>24</v>
      </c>
      <c r="AC799" s="1" t="s">
        <v>24</v>
      </c>
      <c r="AD799" s="1" t="s">
        <v>24</v>
      </c>
      <c r="AE799" s="1" t="s">
        <v>24</v>
      </c>
      <c r="AF799" s="22"/>
    </row>
    <row r="800" spans="1:32" x14ac:dyDescent="0.2">
      <c r="A800" s="1">
        <v>4331</v>
      </c>
      <c r="B800" s="1" t="s">
        <v>2685</v>
      </c>
      <c r="C800" s="5" t="s">
        <v>0</v>
      </c>
      <c r="D800" s="1" t="s">
        <v>2686</v>
      </c>
      <c r="E800" s="1" t="s">
        <v>2687</v>
      </c>
      <c r="F800" s="1" t="s">
        <v>2688</v>
      </c>
      <c r="G800" s="1" t="s">
        <v>2688</v>
      </c>
      <c r="H800" s="1" t="s">
        <v>30</v>
      </c>
      <c r="I800" s="1" t="s">
        <v>16</v>
      </c>
      <c r="J800" s="1">
        <v>1</v>
      </c>
      <c r="K800" s="1">
        <v>6</v>
      </c>
      <c r="L800" s="1" t="s">
        <v>42</v>
      </c>
      <c r="M800" s="1" t="s">
        <v>18</v>
      </c>
      <c r="N800" s="1" t="s">
        <v>18</v>
      </c>
      <c r="O800" s="1">
        <v>2</v>
      </c>
      <c r="P800" s="1">
        <v>6</v>
      </c>
      <c r="R800" s="1" t="s">
        <v>19</v>
      </c>
      <c r="S800" s="1" t="s">
        <v>20</v>
      </c>
      <c r="T800" s="1" t="s">
        <v>21</v>
      </c>
      <c r="U800" s="1" t="s">
        <v>22</v>
      </c>
      <c r="V800" s="1" t="s">
        <v>24</v>
      </c>
      <c r="W800" s="1" t="s">
        <v>24</v>
      </c>
      <c r="X800" s="1">
        <v>2731</v>
      </c>
      <c r="Y800" s="1">
        <v>2735</v>
      </c>
      <c r="Z800" s="1" t="s">
        <v>24</v>
      </c>
      <c r="AA800" s="1" t="s">
        <v>24</v>
      </c>
      <c r="AB800" s="1" t="s">
        <v>24</v>
      </c>
      <c r="AC800" s="1" t="s">
        <v>24</v>
      </c>
      <c r="AD800" s="1" t="s">
        <v>24</v>
      </c>
      <c r="AE800" s="1" t="s">
        <v>24</v>
      </c>
      <c r="AF800" s="22"/>
    </row>
    <row r="801" spans="1:32" x14ac:dyDescent="0.2">
      <c r="A801" s="1">
        <v>4334</v>
      </c>
      <c r="B801" s="1" t="s">
        <v>2689</v>
      </c>
      <c r="C801" s="5" t="s">
        <v>0</v>
      </c>
      <c r="D801" s="1" t="s">
        <v>2690</v>
      </c>
      <c r="E801" s="1" t="s">
        <v>2691</v>
      </c>
      <c r="F801" s="1" t="s">
        <v>2692</v>
      </c>
      <c r="G801" s="1" t="s">
        <v>36</v>
      </c>
      <c r="H801" s="1" t="s">
        <v>37</v>
      </c>
      <c r="I801" s="1" t="s">
        <v>16</v>
      </c>
      <c r="J801" s="1">
        <v>1</v>
      </c>
      <c r="K801" s="1">
        <v>12</v>
      </c>
      <c r="L801" s="1" t="s">
        <v>31</v>
      </c>
      <c r="M801" s="1" t="s">
        <v>18</v>
      </c>
      <c r="N801" s="1" t="s">
        <v>18</v>
      </c>
      <c r="O801" s="1">
        <v>3</v>
      </c>
      <c r="P801" s="1">
        <v>6</v>
      </c>
      <c r="R801" s="1" t="s">
        <v>19</v>
      </c>
      <c r="S801" s="1" t="s">
        <v>20</v>
      </c>
      <c r="T801" s="1" t="s">
        <v>21</v>
      </c>
      <c r="U801" s="1" t="s">
        <v>22</v>
      </c>
      <c r="V801" s="1" t="s">
        <v>24</v>
      </c>
      <c r="W801" s="1" t="s">
        <v>64</v>
      </c>
      <c r="X801" s="1">
        <v>3004</v>
      </c>
      <c r="Y801" s="1">
        <v>3003</v>
      </c>
      <c r="Z801" s="1" t="s">
        <v>24</v>
      </c>
      <c r="AA801" s="1" t="s">
        <v>24</v>
      </c>
      <c r="AB801" s="1" t="s">
        <v>24</v>
      </c>
      <c r="AC801" s="1" t="s">
        <v>24</v>
      </c>
      <c r="AD801" s="1" t="s">
        <v>24</v>
      </c>
      <c r="AE801" s="1" t="s">
        <v>24</v>
      </c>
      <c r="AF801" s="22" t="s">
        <v>17703</v>
      </c>
    </row>
    <row r="802" spans="1:32" x14ac:dyDescent="0.2">
      <c r="A802" s="1">
        <v>4344</v>
      </c>
      <c r="B802" s="1" t="s">
        <v>2693</v>
      </c>
      <c r="C802" s="5" t="s">
        <v>0</v>
      </c>
      <c r="D802" s="1" t="s">
        <v>2694</v>
      </c>
      <c r="E802" s="1" t="s">
        <v>2695</v>
      </c>
      <c r="F802" s="1" t="s">
        <v>35</v>
      </c>
      <c r="G802" s="1" t="s">
        <v>36</v>
      </c>
      <c r="H802" s="1" t="s">
        <v>37</v>
      </c>
      <c r="I802" s="1" t="s">
        <v>16</v>
      </c>
      <c r="J802" s="1">
        <v>2</v>
      </c>
      <c r="K802" s="1">
        <v>4</v>
      </c>
      <c r="L802" s="1" t="s">
        <v>31</v>
      </c>
      <c r="M802" s="1" t="s">
        <v>18</v>
      </c>
      <c r="N802" s="1" t="s">
        <v>18</v>
      </c>
      <c r="O802" s="1">
        <v>3</v>
      </c>
      <c r="P802" s="1">
        <v>6</v>
      </c>
      <c r="R802" s="1" t="s">
        <v>62</v>
      </c>
      <c r="S802" s="1" t="s">
        <v>20</v>
      </c>
      <c r="T802" s="1" t="s">
        <v>21</v>
      </c>
      <c r="U802" s="1" t="s">
        <v>22</v>
      </c>
      <c r="V802" s="1" t="s">
        <v>24</v>
      </c>
      <c r="W802" s="1" t="s">
        <v>64</v>
      </c>
      <c r="X802" s="1">
        <v>1310</v>
      </c>
      <c r="Y802" s="1" t="s">
        <v>24</v>
      </c>
      <c r="Z802" s="1" t="s">
        <v>24</v>
      </c>
      <c r="AA802" s="1" t="s">
        <v>24</v>
      </c>
      <c r="AB802" s="1" t="s">
        <v>24</v>
      </c>
      <c r="AC802" s="1" t="s">
        <v>24</v>
      </c>
      <c r="AD802" s="1" t="s">
        <v>24</v>
      </c>
      <c r="AE802" s="1" t="s">
        <v>24</v>
      </c>
      <c r="AF802" s="22"/>
    </row>
    <row r="803" spans="1:32" x14ac:dyDescent="0.2">
      <c r="A803" s="1">
        <v>4349</v>
      </c>
      <c r="B803" s="1" t="s">
        <v>2696</v>
      </c>
      <c r="C803" s="5" t="s">
        <v>0</v>
      </c>
      <c r="D803" s="1" t="s">
        <v>2697</v>
      </c>
      <c r="F803" s="1" t="s">
        <v>2698</v>
      </c>
      <c r="G803" s="1" t="s">
        <v>2698</v>
      </c>
      <c r="H803" s="1" t="s">
        <v>30</v>
      </c>
      <c r="I803" s="1" t="s">
        <v>16</v>
      </c>
      <c r="J803" s="1">
        <v>1</v>
      </c>
      <c r="K803" s="1">
        <v>4</v>
      </c>
      <c r="L803" s="1" t="s">
        <v>17</v>
      </c>
      <c r="M803" s="1" t="s">
        <v>18</v>
      </c>
      <c r="N803" s="1" t="s">
        <v>18</v>
      </c>
      <c r="O803" s="1">
        <v>2</v>
      </c>
      <c r="P803" s="1">
        <v>6</v>
      </c>
      <c r="R803" s="1" t="s">
        <v>19</v>
      </c>
      <c r="S803" s="1" t="s">
        <v>20</v>
      </c>
      <c r="T803" s="1" t="s">
        <v>21</v>
      </c>
      <c r="U803" s="1" t="s">
        <v>22</v>
      </c>
      <c r="V803" s="1" t="s">
        <v>23</v>
      </c>
      <c r="W803" s="1" t="s">
        <v>24</v>
      </c>
      <c r="X803" s="1">
        <v>3308</v>
      </c>
      <c r="Y803" s="1">
        <v>2738</v>
      </c>
      <c r="Z803" s="1" t="s">
        <v>24</v>
      </c>
      <c r="AA803" s="1" t="s">
        <v>24</v>
      </c>
      <c r="AB803" s="1" t="s">
        <v>24</v>
      </c>
      <c r="AC803" s="1" t="s">
        <v>24</v>
      </c>
      <c r="AD803" s="1" t="s">
        <v>24</v>
      </c>
      <c r="AE803" s="1" t="s">
        <v>24</v>
      </c>
      <c r="AF803" s="22"/>
    </row>
    <row r="804" spans="1:32" x14ac:dyDescent="0.2">
      <c r="A804" s="1">
        <v>4350</v>
      </c>
      <c r="B804" s="1" t="s">
        <v>2699</v>
      </c>
      <c r="C804" s="5" t="s">
        <v>0</v>
      </c>
      <c r="D804" s="1" t="s">
        <v>2700</v>
      </c>
      <c r="E804" s="1" t="s">
        <v>2701</v>
      </c>
      <c r="F804" s="1" t="s">
        <v>272</v>
      </c>
      <c r="G804" s="1" t="s">
        <v>61</v>
      </c>
      <c r="H804" s="1" t="s">
        <v>30</v>
      </c>
      <c r="I804" s="1" t="s">
        <v>16</v>
      </c>
      <c r="J804" s="1">
        <v>2</v>
      </c>
      <c r="K804" s="1">
        <v>6</v>
      </c>
      <c r="L804" s="1" t="s">
        <v>31</v>
      </c>
      <c r="M804" s="1" t="s">
        <v>18</v>
      </c>
      <c r="N804" s="1" t="s">
        <v>18</v>
      </c>
      <c r="O804" s="1">
        <v>2</v>
      </c>
      <c r="P804" s="1">
        <v>6</v>
      </c>
      <c r="R804" s="1" t="s">
        <v>19</v>
      </c>
      <c r="S804" s="1" t="s">
        <v>20</v>
      </c>
      <c r="T804" s="1" t="s">
        <v>21</v>
      </c>
      <c r="U804" s="1" t="s">
        <v>22</v>
      </c>
      <c r="V804" s="1" t="s">
        <v>23</v>
      </c>
      <c r="W804" s="1" t="s">
        <v>24</v>
      </c>
      <c r="X804" s="1">
        <v>2703</v>
      </c>
      <c r="Y804" s="1">
        <v>2728</v>
      </c>
      <c r="Z804" s="1">
        <v>2900</v>
      </c>
      <c r="AA804" s="1" t="s">
        <v>24</v>
      </c>
      <c r="AB804" s="1" t="s">
        <v>24</v>
      </c>
      <c r="AC804" s="1" t="s">
        <v>24</v>
      </c>
      <c r="AD804" s="1" t="s">
        <v>24</v>
      </c>
      <c r="AE804" s="1" t="s">
        <v>24</v>
      </c>
      <c r="AF804" s="22"/>
    </row>
    <row r="805" spans="1:32" x14ac:dyDescent="0.2">
      <c r="A805" s="1">
        <v>4353</v>
      </c>
      <c r="B805" s="1" t="s">
        <v>2702</v>
      </c>
      <c r="C805" s="5" t="s">
        <v>0</v>
      </c>
      <c r="D805" s="1" t="s">
        <v>2703</v>
      </c>
      <c r="E805" s="1" t="s">
        <v>2704</v>
      </c>
      <c r="F805" s="1" t="s">
        <v>751</v>
      </c>
      <c r="G805" s="1" t="s">
        <v>36</v>
      </c>
      <c r="H805" s="1" t="s">
        <v>37</v>
      </c>
      <c r="I805" s="1" t="s">
        <v>16</v>
      </c>
      <c r="J805" s="1">
        <v>3</v>
      </c>
      <c r="K805" s="1">
        <v>4</v>
      </c>
      <c r="L805" s="1" t="s">
        <v>31</v>
      </c>
      <c r="M805" s="1" t="s">
        <v>18</v>
      </c>
      <c r="N805" s="1" t="s">
        <v>18</v>
      </c>
      <c r="O805" s="1">
        <v>3</v>
      </c>
      <c r="P805" s="1">
        <v>7</v>
      </c>
      <c r="Q805" s="7" t="s">
        <v>17633</v>
      </c>
      <c r="R805" s="1" t="s">
        <v>62</v>
      </c>
      <c r="S805" s="1" t="s">
        <v>20</v>
      </c>
      <c r="T805" s="1" t="s">
        <v>21</v>
      </c>
      <c r="U805" s="1" t="s">
        <v>22</v>
      </c>
      <c r="V805" s="1" t="s">
        <v>24</v>
      </c>
      <c r="W805" s="1" t="s">
        <v>24</v>
      </c>
      <c r="X805" s="1">
        <v>2734</v>
      </c>
      <c r="Y805" s="1" t="s">
        <v>24</v>
      </c>
      <c r="Z805" s="1" t="s">
        <v>24</v>
      </c>
      <c r="AA805" s="1" t="s">
        <v>24</v>
      </c>
      <c r="AB805" s="1" t="s">
        <v>24</v>
      </c>
      <c r="AC805" s="1" t="s">
        <v>24</v>
      </c>
      <c r="AD805" s="1" t="s">
        <v>24</v>
      </c>
      <c r="AE805" s="1" t="s">
        <v>24</v>
      </c>
      <c r="AF805" s="22"/>
    </row>
    <row r="806" spans="1:32" x14ac:dyDescent="0.2">
      <c r="A806" s="1">
        <v>4357</v>
      </c>
      <c r="B806" s="1" t="s">
        <v>2705</v>
      </c>
      <c r="C806" s="5" t="s">
        <v>0</v>
      </c>
      <c r="D806" s="1" t="s">
        <v>2706</v>
      </c>
      <c r="E806" s="1" t="s">
        <v>2707</v>
      </c>
      <c r="F806" s="1" t="s">
        <v>155</v>
      </c>
      <c r="G806" s="1" t="s">
        <v>61</v>
      </c>
      <c r="H806" s="1" t="s">
        <v>37</v>
      </c>
      <c r="I806" s="1" t="s">
        <v>16</v>
      </c>
      <c r="J806" s="1">
        <v>1</v>
      </c>
      <c r="K806" s="1">
        <v>12</v>
      </c>
      <c r="L806" s="1" t="s">
        <v>31</v>
      </c>
      <c r="M806" s="1" t="s">
        <v>18</v>
      </c>
      <c r="N806" s="1" t="s">
        <v>18</v>
      </c>
      <c r="O806" s="1">
        <v>3</v>
      </c>
      <c r="P806" s="1">
        <v>7</v>
      </c>
      <c r="Q806" s="7" t="s">
        <v>17633</v>
      </c>
      <c r="R806" s="1" t="s">
        <v>62</v>
      </c>
      <c r="S806" s="1" t="s">
        <v>20</v>
      </c>
      <c r="T806" s="1" t="s">
        <v>21</v>
      </c>
      <c r="U806" s="1" t="s">
        <v>22</v>
      </c>
      <c r="V806" s="1" t="s">
        <v>24</v>
      </c>
      <c r="W806" s="1" t="s">
        <v>24</v>
      </c>
      <c r="X806" s="1">
        <v>2738</v>
      </c>
      <c r="Y806" s="1">
        <v>2803</v>
      </c>
      <c r="Z806" s="1">
        <v>1201</v>
      </c>
      <c r="AA806" s="1" t="s">
        <v>24</v>
      </c>
      <c r="AB806" s="1" t="s">
        <v>24</v>
      </c>
      <c r="AC806" s="1" t="s">
        <v>24</v>
      </c>
      <c r="AD806" s="1" t="s">
        <v>24</v>
      </c>
      <c r="AE806" s="1" t="s">
        <v>24</v>
      </c>
      <c r="AF806" s="22"/>
    </row>
    <row r="807" spans="1:32" x14ac:dyDescent="0.2">
      <c r="A807" s="1">
        <v>4374</v>
      </c>
      <c r="B807" s="1" t="s">
        <v>2708</v>
      </c>
      <c r="C807" s="5" t="s">
        <v>0</v>
      </c>
      <c r="D807" s="1" t="s">
        <v>2709</v>
      </c>
      <c r="E807" s="1" t="s">
        <v>2710</v>
      </c>
      <c r="F807" s="1" t="s">
        <v>2708</v>
      </c>
      <c r="G807" s="1" t="s">
        <v>2708</v>
      </c>
      <c r="H807" s="1" t="s">
        <v>731</v>
      </c>
      <c r="I807" s="1" t="s">
        <v>16</v>
      </c>
      <c r="J807" s="1">
        <v>1</v>
      </c>
      <c r="K807" s="1">
        <v>12</v>
      </c>
      <c r="L807" s="1" t="s">
        <v>42</v>
      </c>
      <c r="M807" s="1" t="s">
        <v>18</v>
      </c>
      <c r="N807" s="1" t="s">
        <v>18</v>
      </c>
      <c r="O807" s="1">
        <v>3</v>
      </c>
      <c r="P807" s="1">
        <v>7</v>
      </c>
      <c r="Q807" s="7" t="s">
        <v>17633</v>
      </c>
      <c r="R807" s="1" t="s">
        <v>62</v>
      </c>
      <c r="S807" s="1" t="s">
        <v>20</v>
      </c>
      <c r="T807" s="1" t="s">
        <v>21</v>
      </c>
      <c r="U807" s="1" t="s">
        <v>22</v>
      </c>
      <c r="V807" s="1" t="s">
        <v>23</v>
      </c>
      <c r="W807" s="1" t="s">
        <v>24</v>
      </c>
      <c r="X807" s="1">
        <v>2745</v>
      </c>
      <c r="Y807" s="1">
        <v>2403</v>
      </c>
      <c r="Z807" s="1">
        <v>2723</v>
      </c>
      <c r="AA807" s="1" t="s">
        <v>24</v>
      </c>
      <c r="AB807" s="1" t="s">
        <v>24</v>
      </c>
      <c r="AC807" s="1" t="s">
        <v>24</v>
      </c>
      <c r="AD807" s="1" t="s">
        <v>24</v>
      </c>
      <c r="AE807" s="1" t="s">
        <v>24</v>
      </c>
      <c r="AF807" s="22"/>
    </row>
    <row r="808" spans="1:32" x14ac:dyDescent="0.2">
      <c r="A808" s="1">
        <v>4375</v>
      </c>
      <c r="B808" s="1" t="s">
        <v>2711</v>
      </c>
      <c r="C808" s="5" t="s">
        <v>0</v>
      </c>
      <c r="D808" s="1" t="s">
        <v>2712</v>
      </c>
      <c r="E808" s="1" t="s">
        <v>2713</v>
      </c>
      <c r="F808" s="1" t="s">
        <v>221</v>
      </c>
      <c r="G808" s="1" t="s">
        <v>61</v>
      </c>
      <c r="H808" s="1" t="s">
        <v>222</v>
      </c>
      <c r="I808" s="1" t="s">
        <v>16</v>
      </c>
      <c r="J808" s="1">
        <v>4</v>
      </c>
      <c r="K808" s="1">
        <v>2</v>
      </c>
      <c r="L808" s="1" t="s">
        <v>31</v>
      </c>
      <c r="M808" s="1" t="s">
        <v>18</v>
      </c>
      <c r="N808" s="1" t="s">
        <v>18</v>
      </c>
      <c r="O808" s="1">
        <v>3</v>
      </c>
      <c r="P808" s="1">
        <v>7</v>
      </c>
      <c r="Q808" s="7" t="s">
        <v>17633</v>
      </c>
      <c r="R808" s="1" t="s">
        <v>19</v>
      </c>
      <c r="S808" s="1" t="s">
        <v>20</v>
      </c>
      <c r="T808" s="1" t="s">
        <v>21</v>
      </c>
      <c r="U808" s="1" t="s">
        <v>22</v>
      </c>
      <c r="V808" s="1" t="s">
        <v>24</v>
      </c>
      <c r="W808" s="1" t="s">
        <v>24</v>
      </c>
      <c r="X808" s="1">
        <v>2403</v>
      </c>
      <c r="Y808" s="1">
        <v>2723</v>
      </c>
      <c r="Z808" s="1">
        <v>2729</v>
      </c>
      <c r="AA808" s="1">
        <v>2743</v>
      </c>
      <c r="AB808" s="1" t="s">
        <v>24</v>
      </c>
      <c r="AC808" s="1" t="s">
        <v>24</v>
      </c>
      <c r="AD808" s="1" t="s">
        <v>24</v>
      </c>
      <c r="AE808" s="1" t="s">
        <v>24</v>
      </c>
      <c r="AF808" s="22"/>
    </row>
    <row r="809" spans="1:32" x14ac:dyDescent="0.2">
      <c r="A809" s="1">
        <v>4379</v>
      </c>
      <c r="B809" s="1" t="s">
        <v>2714</v>
      </c>
      <c r="C809" s="5" t="s">
        <v>0</v>
      </c>
      <c r="D809" s="1" t="s">
        <v>2715</v>
      </c>
      <c r="E809" s="1" t="s">
        <v>2716</v>
      </c>
      <c r="F809" s="1" t="s">
        <v>371</v>
      </c>
      <c r="G809" s="1" t="s">
        <v>372</v>
      </c>
      <c r="H809" s="1" t="s">
        <v>30</v>
      </c>
      <c r="I809" s="1" t="s">
        <v>16</v>
      </c>
      <c r="J809" s="1">
        <v>1</v>
      </c>
      <c r="K809" s="1">
        <v>9</v>
      </c>
      <c r="L809" s="1" t="s">
        <v>31</v>
      </c>
      <c r="M809" s="1" t="s">
        <v>18</v>
      </c>
      <c r="N809" s="1" t="s">
        <v>18</v>
      </c>
      <c r="O809" s="1">
        <v>3</v>
      </c>
      <c r="P809" s="1">
        <v>7</v>
      </c>
      <c r="Q809" s="7" t="s">
        <v>17633</v>
      </c>
      <c r="R809" s="1" t="s">
        <v>19</v>
      </c>
      <c r="S809" s="1" t="s">
        <v>63</v>
      </c>
      <c r="T809" s="1" t="s">
        <v>21</v>
      </c>
      <c r="U809" s="1" t="s">
        <v>22</v>
      </c>
      <c r="V809" s="1" t="s">
        <v>24</v>
      </c>
      <c r="W809" s="1" t="s">
        <v>24</v>
      </c>
      <c r="X809" s="1">
        <v>2746</v>
      </c>
      <c r="Y809" s="1" t="s">
        <v>24</v>
      </c>
      <c r="Z809" s="1" t="s">
        <v>24</v>
      </c>
      <c r="AA809" s="1" t="s">
        <v>24</v>
      </c>
      <c r="AB809" s="1" t="s">
        <v>24</v>
      </c>
      <c r="AC809" s="1" t="s">
        <v>24</v>
      </c>
      <c r="AD809" s="1" t="s">
        <v>24</v>
      </c>
      <c r="AE809" s="1" t="s">
        <v>24</v>
      </c>
      <c r="AF809" s="22"/>
    </row>
    <row r="810" spans="1:32" x14ac:dyDescent="0.2">
      <c r="A810" s="1">
        <v>4381</v>
      </c>
      <c r="B810" s="1" t="s">
        <v>2717</v>
      </c>
      <c r="C810" s="5" t="s">
        <v>0</v>
      </c>
      <c r="D810" s="1" t="s">
        <v>2718</v>
      </c>
      <c r="E810" s="1" t="s">
        <v>2719</v>
      </c>
      <c r="F810" s="1" t="s">
        <v>217</v>
      </c>
      <c r="G810" s="1" t="s">
        <v>130</v>
      </c>
      <c r="H810" s="1" t="s">
        <v>92</v>
      </c>
      <c r="I810" s="1" t="s">
        <v>16</v>
      </c>
      <c r="J810" s="1">
        <v>4</v>
      </c>
      <c r="K810" s="1">
        <v>3</v>
      </c>
      <c r="L810" s="1" t="s">
        <v>31</v>
      </c>
      <c r="M810" s="1" t="s">
        <v>18</v>
      </c>
      <c r="N810" s="1" t="s">
        <v>18</v>
      </c>
      <c r="O810" s="1">
        <v>2</v>
      </c>
      <c r="P810" s="1">
        <v>5</v>
      </c>
      <c r="R810" s="1" t="s">
        <v>19</v>
      </c>
      <c r="S810" s="1" t="s">
        <v>20</v>
      </c>
      <c r="T810" s="1" t="s">
        <v>21</v>
      </c>
      <c r="U810" s="1" t="s">
        <v>22</v>
      </c>
      <c r="V810" s="1" t="s">
        <v>24</v>
      </c>
      <c r="W810" s="1" t="s">
        <v>24</v>
      </c>
      <c r="X810" s="1">
        <v>1602</v>
      </c>
      <c r="Y810" s="1">
        <v>2104</v>
      </c>
      <c r="Z810" s="1">
        <v>2307</v>
      </c>
      <c r="AA810" s="1">
        <v>2310</v>
      </c>
      <c r="AB810" s="1">
        <v>2739</v>
      </c>
      <c r="AC810" s="1">
        <v>1607</v>
      </c>
      <c r="AD810" s="1">
        <v>2741</v>
      </c>
      <c r="AE810" s="1" t="s">
        <v>24</v>
      </c>
      <c r="AF810" s="22"/>
    </row>
    <row r="811" spans="1:32" x14ac:dyDescent="0.2">
      <c r="A811" s="1">
        <v>4384</v>
      </c>
      <c r="B811" s="1" t="s">
        <v>2720</v>
      </c>
      <c r="C811" s="5" t="s">
        <v>0</v>
      </c>
      <c r="D811" s="1" t="s">
        <v>2721</v>
      </c>
      <c r="F811" s="1" t="s">
        <v>2722</v>
      </c>
      <c r="G811" s="1" t="s">
        <v>2722</v>
      </c>
      <c r="H811" s="1" t="s">
        <v>30</v>
      </c>
      <c r="I811" s="1" t="s">
        <v>16</v>
      </c>
      <c r="J811" s="1">
        <v>1</v>
      </c>
      <c r="K811" s="1">
        <v>6</v>
      </c>
      <c r="L811" s="1" t="s">
        <v>42</v>
      </c>
      <c r="M811" s="1" t="s">
        <v>18</v>
      </c>
      <c r="N811" s="1" t="s">
        <v>18</v>
      </c>
      <c r="O811" s="1">
        <v>3</v>
      </c>
      <c r="P811" s="1">
        <v>7</v>
      </c>
      <c r="Q811" s="7" t="s">
        <v>17633</v>
      </c>
      <c r="R811" s="1" t="s">
        <v>19</v>
      </c>
      <c r="S811" s="1" t="s">
        <v>20</v>
      </c>
      <c r="T811" s="1" t="s">
        <v>21</v>
      </c>
      <c r="U811" s="1" t="s">
        <v>22</v>
      </c>
      <c r="V811" s="1" t="s">
        <v>23</v>
      </c>
      <c r="W811" s="1" t="s">
        <v>24</v>
      </c>
      <c r="X811" s="1">
        <v>2729</v>
      </c>
      <c r="Y811" s="1">
        <v>2743</v>
      </c>
      <c r="Z811" s="1" t="s">
        <v>24</v>
      </c>
      <c r="AA811" s="1" t="s">
        <v>24</v>
      </c>
      <c r="AB811" s="1" t="s">
        <v>24</v>
      </c>
      <c r="AC811" s="1" t="s">
        <v>24</v>
      </c>
      <c r="AD811" s="1" t="s">
        <v>24</v>
      </c>
      <c r="AE811" s="1" t="s">
        <v>24</v>
      </c>
      <c r="AF811" s="22"/>
    </row>
    <row r="812" spans="1:32" x14ac:dyDescent="0.2">
      <c r="A812" s="1">
        <v>4386</v>
      </c>
      <c r="B812" s="1" t="s">
        <v>2723</v>
      </c>
      <c r="C812" s="5" t="s">
        <v>0</v>
      </c>
      <c r="D812" s="1" t="s">
        <v>2724</v>
      </c>
      <c r="E812" s="1" t="s">
        <v>2725</v>
      </c>
      <c r="F812" s="1" t="s">
        <v>2726</v>
      </c>
      <c r="G812" s="1" t="s">
        <v>2726</v>
      </c>
      <c r="H812" s="1" t="s">
        <v>30</v>
      </c>
      <c r="I812" s="1" t="s">
        <v>16</v>
      </c>
      <c r="J812" s="1">
        <v>1</v>
      </c>
      <c r="K812" s="1">
        <v>6</v>
      </c>
      <c r="L812" s="1" t="s">
        <v>42</v>
      </c>
      <c r="M812" s="1" t="s">
        <v>18</v>
      </c>
      <c r="N812" s="1" t="s">
        <v>18</v>
      </c>
      <c r="O812" s="1">
        <v>3</v>
      </c>
      <c r="P812" s="1">
        <v>7</v>
      </c>
      <c r="Q812" s="7" t="s">
        <v>17633</v>
      </c>
      <c r="R812" s="1" t="s">
        <v>19</v>
      </c>
      <c r="S812" s="1" t="s">
        <v>20</v>
      </c>
      <c r="T812" s="1" t="s">
        <v>21</v>
      </c>
      <c r="U812" s="1" t="s">
        <v>22</v>
      </c>
      <c r="V812" s="1" t="s">
        <v>23</v>
      </c>
      <c r="W812" s="1" t="s">
        <v>24</v>
      </c>
      <c r="X812" s="1">
        <v>2742</v>
      </c>
      <c r="Y812" s="1" t="s">
        <v>24</v>
      </c>
      <c r="Z812" s="1" t="s">
        <v>24</v>
      </c>
      <c r="AA812" s="1" t="s">
        <v>24</v>
      </c>
      <c r="AB812" s="1" t="s">
        <v>24</v>
      </c>
      <c r="AC812" s="1" t="s">
        <v>24</v>
      </c>
      <c r="AD812" s="1" t="s">
        <v>24</v>
      </c>
      <c r="AE812" s="1" t="s">
        <v>24</v>
      </c>
      <c r="AF812" s="22"/>
    </row>
    <row r="813" spans="1:32" x14ac:dyDescent="0.2">
      <c r="A813" s="1">
        <v>4389</v>
      </c>
      <c r="B813" s="1" t="s">
        <v>2727</v>
      </c>
      <c r="C813" s="5" t="s">
        <v>0</v>
      </c>
      <c r="D813" s="1" t="s">
        <v>2728</v>
      </c>
      <c r="F813" s="1" t="s">
        <v>97</v>
      </c>
      <c r="G813" s="1" t="s">
        <v>98</v>
      </c>
      <c r="H813" s="1" t="s">
        <v>37</v>
      </c>
      <c r="I813" s="1" t="s">
        <v>16</v>
      </c>
      <c r="J813" s="1">
        <v>1</v>
      </c>
      <c r="K813" s="1">
        <v>12</v>
      </c>
      <c r="L813" s="1" t="s">
        <v>31</v>
      </c>
      <c r="M813" s="1" t="s">
        <v>18</v>
      </c>
      <c r="N813" s="1" t="s">
        <v>18</v>
      </c>
      <c r="O813" s="1">
        <v>3</v>
      </c>
      <c r="P813" s="1">
        <v>6</v>
      </c>
      <c r="R813" s="1" t="s">
        <v>19</v>
      </c>
      <c r="S813" s="1" t="s">
        <v>20</v>
      </c>
      <c r="T813" s="1" t="s">
        <v>21</v>
      </c>
      <c r="U813" s="1" t="s">
        <v>22</v>
      </c>
      <c r="V813" s="1" t="s">
        <v>24</v>
      </c>
      <c r="W813" s="1" t="s">
        <v>24</v>
      </c>
      <c r="X813" s="1">
        <v>2700</v>
      </c>
      <c r="Y813" s="1" t="s">
        <v>24</v>
      </c>
      <c r="Z813" s="1" t="s">
        <v>24</v>
      </c>
      <c r="AA813" s="1" t="s">
        <v>24</v>
      </c>
      <c r="AB813" s="1" t="s">
        <v>24</v>
      </c>
      <c r="AC813" s="1" t="s">
        <v>24</v>
      </c>
      <c r="AD813" s="1" t="s">
        <v>24</v>
      </c>
      <c r="AE813" s="1" t="s">
        <v>24</v>
      </c>
      <c r="AF813" s="22" t="s">
        <v>17679</v>
      </c>
    </row>
    <row r="814" spans="1:32" x14ac:dyDescent="0.2">
      <c r="A814" s="1">
        <v>4395</v>
      </c>
      <c r="B814" s="1" t="s">
        <v>2729</v>
      </c>
      <c r="C814" s="5" t="s">
        <v>0</v>
      </c>
      <c r="D814" s="1" t="s">
        <v>2730</v>
      </c>
      <c r="E814" s="1" t="s">
        <v>2731</v>
      </c>
      <c r="F814" s="1" t="s">
        <v>272</v>
      </c>
      <c r="G814" s="1" t="s">
        <v>61</v>
      </c>
      <c r="H814" s="1" t="s">
        <v>30</v>
      </c>
      <c r="I814" s="1" t="s">
        <v>16</v>
      </c>
      <c r="J814" s="1">
        <v>2</v>
      </c>
      <c r="K814" s="1">
        <v>4</v>
      </c>
      <c r="L814" s="1" t="s">
        <v>31</v>
      </c>
      <c r="M814" s="1" t="s">
        <v>18</v>
      </c>
      <c r="N814" s="1" t="s">
        <v>18</v>
      </c>
      <c r="O814" s="1">
        <v>3</v>
      </c>
      <c r="P814" s="1">
        <v>7</v>
      </c>
      <c r="Q814" s="7" t="s">
        <v>17633</v>
      </c>
      <c r="R814" s="1" t="s">
        <v>19</v>
      </c>
      <c r="S814" s="1" t="s">
        <v>20</v>
      </c>
      <c r="T814" s="1" t="s">
        <v>21</v>
      </c>
      <c r="U814" s="1" t="s">
        <v>22</v>
      </c>
      <c r="V814" s="1" t="s">
        <v>23</v>
      </c>
      <c r="W814" s="1" t="s">
        <v>24</v>
      </c>
      <c r="X814" s="1">
        <v>2738</v>
      </c>
      <c r="Y814" s="1">
        <v>3203</v>
      </c>
      <c r="Z814" s="1">
        <v>2921</v>
      </c>
      <c r="AA814" s="1">
        <v>2701</v>
      </c>
      <c r="AB814" s="1" t="s">
        <v>24</v>
      </c>
      <c r="AC814" s="1" t="s">
        <v>24</v>
      </c>
      <c r="AD814" s="1" t="s">
        <v>24</v>
      </c>
      <c r="AE814" s="1" t="s">
        <v>24</v>
      </c>
      <c r="AF814" s="22"/>
    </row>
    <row r="815" spans="1:32" x14ac:dyDescent="0.2">
      <c r="A815" s="1">
        <v>4409</v>
      </c>
      <c r="B815" s="1" t="s">
        <v>2732</v>
      </c>
      <c r="C815" s="5" t="s">
        <v>0</v>
      </c>
      <c r="D815" s="1" t="s">
        <v>2733</v>
      </c>
      <c r="E815" s="1" t="s">
        <v>2734</v>
      </c>
      <c r="F815" s="1" t="s">
        <v>60</v>
      </c>
      <c r="G815" s="1" t="s">
        <v>61</v>
      </c>
      <c r="H815" s="1" t="s">
        <v>30</v>
      </c>
      <c r="I815" s="1" t="s">
        <v>16</v>
      </c>
      <c r="J815" s="1">
        <v>7</v>
      </c>
      <c r="K815" s="1">
        <v>2</v>
      </c>
      <c r="L815" s="1" t="s">
        <v>31</v>
      </c>
      <c r="M815" s="1" t="s">
        <v>18</v>
      </c>
      <c r="N815" s="1" t="s">
        <v>18</v>
      </c>
      <c r="O815" s="1">
        <v>3</v>
      </c>
      <c r="P815" s="1">
        <v>7</v>
      </c>
      <c r="Q815" s="7" t="s">
        <v>17633</v>
      </c>
      <c r="R815" s="1" t="s">
        <v>19</v>
      </c>
      <c r="S815" s="1" t="s">
        <v>20</v>
      </c>
      <c r="T815" s="1" t="s">
        <v>21</v>
      </c>
      <c r="U815" s="1" t="s">
        <v>22</v>
      </c>
      <c r="V815" s="1" t="s">
        <v>24</v>
      </c>
      <c r="W815" s="1" t="s">
        <v>24</v>
      </c>
      <c r="X815" s="1">
        <v>2746</v>
      </c>
      <c r="Y815" s="1" t="s">
        <v>24</v>
      </c>
      <c r="Z815" s="1" t="s">
        <v>24</v>
      </c>
      <c r="AA815" s="1" t="s">
        <v>24</v>
      </c>
      <c r="AB815" s="1" t="s">
        <v>24</v>
      </c>
      <c r="AC815" s="1" t="s">
        <v>24</v>
      </c>
      <c r="AD815" s="1" t="s">
        <v>24</v>
      </c>
      <c r="AE815" s="1" t="s">
        <v>24</v>
      </c>
      <c r="AF815" s="22"/>
    </row>
    <row r="816" spans="1:32" x14ac:dyDescent="0.2">
      <c r="A816" s="1">
        <v>4420</v>
      </c>
      <c r="B816" s="1" t="s">
        <v>2735</v>
      </c>
      <c r="C816" s="5" t="s">
        <v>0</v>
      </c>
      <c r="D816" s="1" t="s">
        <v>2736</v>
      </c>
      <c r="E816" s="1" t="s">
        <v>2737</v>
      </c>
      <c r="F816" s="1" t="s">
        <v>320</v>
      </c>
      <c r="G816" s="1" t="s">
        <v>36</v>
      </c>
      <c r="H816" s="1" t="s">
        <v>30</v>
      </c>
      <c r="I816" s="1" t="s">
        <v>16</v>
      </c>
      <c r="J816" s="1">
        <v>4</v>
      </c>
      <c r="K816" s="1">
        <v>4</v>
      </c>
      <c r="L816" s="1" t="s">
        <v>31</v>
      </c>
      <c r="M816" s="1" t="s">
        <v>18</v>
      </c>
      <c r="N816" s="1" t="s">
        <v>18</v>
      </c>
      <c r="O816" s="1">
        <v>3</v>
      </c>
      <c r="P816" s="1">
        <v>7</v>
      </c>
      <c r="Q816" s="7" t="s">
        <v>17633</v>
      </c>
      <c r="R816" s="1" t="s">
        <v>19</v>
      </c>
      <c r="S816" s="1" t="s">
        <v>20</v>
      </c>
      <c r="T816" s="1" t="s">
        <v>21</v>
      </c>
      <c r="U816" s="1" t="s">
        <v>22</v>
      </c>
      <c r="V816" s="1" t="s">
        <v>24</v>
      </c>
      <c r="W816" s="1" t="s">
        <v>24</v>
      </c>
      <c r="X816" s="1">
        <v>2746</v>
      </c>
      <c r="Y816" s="1">
        <v>2730</v>
      </c>
      <c r="Z816" s="1" t="s">
        <v>24</v>
      </c>
      <c r="AA816" s="1" t="s">
        <v>24</v>
      </c>
      <c r="AB816" s="1" t="s">
        <v>24</v>
      </c>
      <c r="AC816" s="1" t="s">
        <v>24</v>
      </c>
      <c r="AD816" s="1" t="s">
        <v>24</v>
      </c>
      <c r="AE816" s="1" t="s">
        <v>24</v>
      </c>
      <c r="AF816" s="22"/>
    </row>
    <row r="817" spans="1:32" x14ac:dyDescent="0.2">
      <c r="A817" s="1">
        <v>4438</v>
      </c>
      <c r="B817" s="1" t="s">
        <v>2738</v>
      </c>
      <c r="C817" s="5" t="s">
        <v>0</v>
      </c>
      <c r="D817" s="1" t="s">
        <v>2739</v>
      </c>
      <c r="E817" s="1" t="s">
        <v>2740</v>
      </c>
      <c r="F817" s="1" t="s">
        <v>601</v>
      </c>
      <c r="G817" s="1" t="s">
        <v>61</v>
      </c>
      <c r="H817" s="1" t="s">
        <v>37</v>
      </c>
      <c r="I817" s="1" t="s">
        <v>16</v>
      </c>
      <c r="J817" s="1">
        <v>6</v>
      </c>
      <c r="K817" s="1">
        <v>4</v>
      </c>
      <c r="L817" s="1" t="s">
        <v>31</v>
      </c>
      <c r="M817" s="1" t="s">
        <v>18</v>
      </c>
      <c r="N817" s="1" t="s">
        <v>18</v>
      </c>
      <c r="O817" s="1">
        <v>3</v>
      </c>
      <c r="P817" s="1">
        <v>7</v>
      </c>
      <c r="Q817" s="7" t="s">
        <v>17633</v>
      </c>
      <c r="R817" s="1" t="s">
        <v>19</v>
      </c>
      <c r="S817" s="1" t="s">
        <v>63</v>
      </c>
      <c r="T817" s="1" t="s">
        <v>21</v>
      </c>
      <c r="U817" s="1" t="s">
        <v>22</v>
      </c>
      <c r="V817" s="1" t="s">
        <v>24</v>
      </c>
      <c r="W817" s="1" t="s">
        <v>24</v>
      </c>
      <c r="X817" s="1">
        <v>2604</v>
      </c>
      <c r="Y817" s="1">
        <v>2613</v>
      </c>
      <c r="Z817" s="1">
        <v>2611</v>
      </c>
      <c r="AA817" s="1">
        <v>1100</v>
      </c>
      <c r="AB817" s="1">
        <v>1300</v>
      </c>
      <c r="AC817" s="1">
        <v>2400</v>
      </c>
      <c r="AD817" s="1">
        <v>2700</v>
      </c>
      <c r="AE817" s="1" t="s">
        <v>24</v>
      </c>
      <c r="AF817" s="22"/>
    </row>
    <row r="818" spans="1:32" x14ac:dyDescent="0.2">
      <c r="A818" s="1">
        <v>4439</v>
      </c>
      <c r="B818" s="1" t="s">
        <v>2741</v>
      </c>
      <c r="C818" s="5" t="s">
        <v>0</v>
      </c>
      <c r="D818" s="1" t="s">
        <v>2742</v>
      </c>
      <c r="E818" s="1" t="s">
        <v>2743</v>
      </c>
      <c r="F818" s="1" t="s">
        <v>155</v>
      </c>
      <c r="G818" s="1" t="s">
        <v>61</v>
      </c>
      <c r="H818" s="1" t="s">
        <v>37</v>
      </c>
      <c r="I818" s="1" t="s">
        <v>16</v>
      </c>
      <c r="J818" s="1">
        <v>1</v>
      </c>
      <c r="K818" s="1">
        <v>8</v>
      </c>
      <c r="L818" s="1" t="s">
        <v>31</v>
      </c>
      <c r="M818" s="1" t="s">
        <v>18</v>
      </c>
      <c r="N818" s="1" t="s">
        <v>18</v>
      </c>
      <c r="O818" s="1">
        <v>3</v>
      </c>
      <c r="P818" s="1">
        <v>6</v>
      </c>
      <c r="R818" s="1" t="s">
        <v>19</v>
      </c>
      <c r="S818" s="1" t="s">
        <v>63</v>
      </c>
      <c r="T818" s="1" t="s">
        <v>21</v>
      </c>
      <c r="U818" s="1" t="s">
        <v>22</v>
      </c>
      <c r="V818" s="1" t="s">
        <v>24</v>
      </c>
      <c r="W818" s="1" t="s">
        <v>24</v>
      </c>
      <c r="X818" s="1">
        <v>1314</v>
      </c>
      <c r="Y818" s="1">
        <v>1309</v>
      </c>
      <c r="Z818" s="1">
        <v>1303</v>
      </c>
      <c r="AA818" s="1">
        <v>1100</v>
      </c>
      <c r="AB818" s="1" t="s">
        <v>24</v>
      </c>
      <c r="AC818" s="1" t="s">
        <v>24</v>
      </c>
      <c r="AD818" s="1" t="s">
        <v>24</v>
      </c>
      <c r="AE818" s="1" t="s">
        <v>24</v>
      </c>
      <c r="AF818" s="22"/>
    </row>
    <row r="819" spans="1:32" x14ac:dyDescent="0.2">
      <c r="A819" s="1">
        <v>4443</v>
      </c>
      <c r="B819" s="1" t="s">
        <v>2744</v>
      </c>
      <c r="C819" s="5" t="s">
        <v>0</v>
      </c>
      <c r="D819" s="1" t="s">
        <v>2745</v>
      </c>
      <c r="E819" s="1" t="s">
        <v>2746</v>
      </c>
      <c r="F819" s="1" t="s">
        <v>194</v>
      </c>
      <c r="G819" s="1" t="s">
        <v>61</v>
      </c>
      <c r="H819" s="1" t="s">
        <v>30</v>
      </c>
      <c r="I819" s="1" t="s">
        <v>16</v>
      </c>
      <c r="J819" s="1">
        <v>2</v>
      </c>
      <c r="K819" s="1">
        <v>6</v>
      </c>
      <c r="L819" s="1" t="s">
        <v>31</v>
      </c>
      <c r="M819" s="1" t="s">
        <v>18</v>
      </c>
      <c r="N819" s="1" t="s">
        <v>18</v>
      </c>
      <c r="O819" s="1">
        <v>3</v>
      </c>
      <c r="P819" s="1">
        <v>7</v>
      </c>
      <c r="Q819" s="7" t="s">
        <v>17633</v>
      </c>
      <c r="R819" s="1" t="s">
        <v>62</v>
      </c>
      <c r="S819" s="1" t="s">
        <v>20</v>
      </c>
      <c r="T819" s="1" t="s">
        <v>21</v>
      </c>
      <c r="U819" s="1" t="s">
        <v>22</v>
      </c>
      <c r="V819" s="1" t="s">
        <v>24</v>
      </c>
      <c r="W819" s="1" t="s">
        <v>24</v>
      </c>
      <c r="X819" s="1">
        <v>2705</v>
      </c>
      <c r="Y819" s="1">
        <v>2746</v>
      </c>
      <c r="Z819" s="1">
        <v>2740</v>
      </c>
      <c r="AA819" s="1" t="s">
        <v>24</v>
      </c>
      <c r="AB819" s="1" t="s">
        <v>24</v>
      </c>
      <c r="AC819" s="1" t="s">
        <v>24</v>
      </c>
      <c r="AD819" s="1" t="s">
        <v>24</v>
      </c>
      <c r="AE819" s="1" t="s">
        <v>24</v>
      </c>
      <c r="AF819" s="22"/>
    </row>
    <row r="820" spans="1:32" x14ac:dyDescent="0.2">
      <c r="A820" s="1">
        <v>4461</v>
      </c>
      <c r="B820" s="1" t="s">
        <v>2747</v>
      </c>
      <c r="C820" s="5" t="s">
        <v>0</v>
      </c>
      <c r="D820" s="1" t="s">
        <v>2748</v>
      </c>
      <c r="E820" s="1" t="s">
        <v>2749</v>
      </c>
      <c r="F820" s="1" t="s">
        <v>55</v>
      </c>
      <c r="G820" s="1" t="s">
        <v>56</v>
      </c>
      <c r="H820" s="1" t="s">
        <v>37</v>
      </c>
      <c r="I820" s="1" t="s">
        <v>16</v>
      </c>
      <c r="J820" s="1">
        <v>1</v>
      </c>
      <c r="K820" s="1">
        <v>6</v>
      </c>
      <c r="L820" s="1" t="s">
        <v>31</v>
      </c>
      <c r="M820" s="1" t="s">
        <v>18</v>
      </c>
      <c r="N820" s="1" t="s">
        <v>18</v>
      </c>
      <c r="O820" s="1">
        <v>3</v>
      </c>
      <c r="P820" s="1">
        <v>6</v>
      </c>
      <c r="R820" s="1" t="s">
        <v>19</v>
      </c>
      <c r="S820" s="1" t="s">
        <v>20</v>
      </c>
      <c r="T820" s="1" t="s">
        <v>21</v>
      </c>
      <c r="U820" s="1" t="s">
        <v>22</v>
      </c>
      <c r="V820" s="1" t="s">
        <v>24</v>
      </c>
      <c r="W820" s="1" t="s">
        <v>24</v>
      </c>
      <c r="X820" s="1">
        <v>2735</v>
      </c>
      <c r="Y820" s="1">
        <v>2725</v>
      </c>
      <c r="Z820" s="1" t="s">
        <v>24</v>
      </c>
      <c r="AA820" s="1" t="s">
        <v>24</v>
      </c>
      <c r="AB820" s="1" t="s">
        <v>24</v>
      </c>
      <c r="AC820" s="1" t="s">
        <v>24</v>
      </c>
      <c r="AD820" s="1" t="s">
        <v>24</v>
      </c>
      <c r="AE820" s="1" t="s">
        <v>24</v>
      </c>
      <c r="AF820" s="22"/>
    </row>
    <row r="821" spans="1:32" x14ac:dyDescent="0.2">
      <c r="A821" s="1">
        <v>4462</v>
      </c>
      <c r="B821" s="1" t="s">
        <v>2750</v>
      </c>
      <c r="C821" s="5" t="s">
        <v>0</v>
      </c>
      <c r="D821" s="1" t="s">
        <v>2751</v>
      </c>
      <c r="E821" s="1" t="s">
        <v>2752</v>
      </c>
      <c r="F821" s="1" t="s">
        <v>2753</v>
      </c>
      <c r="G821" s="1" t="s">
        <v>460</v>
      </c>
      <c r="H821" s="1" t="s">
        <v>461</v>
      </c>
      <c r="I821" s="1" t="s">
        <v>16</v>
      </c>
      <c r="J821" s="1">
        <v>1</v>
      </c>
      <c r="K821" s="1">
        <v>6</v>
      </c>
      <c r="L821" s="1" t="s">
        <v>42</v>
      </c>
      <c r="M821" s="1" t="s">
        <v>1735</v>
      </c>
      <c r="N821" s="1" t="s">
        <v>18</v>
      </c>
      <c r="O821" s="1">
        <v>2</v>
      </c>
      <c r="P821" s="1">
        <v>5</v>
      </c>
      <c r="R821" s="1" t="s">
        <v>19</v>
      </c>
      <c r="S821" s="1" t="s">
        <v>20</v>
      </c>
      <c r="T821" s="1" t="s">
        <v>21</v>
      </c>
      <c r="U821" s="1" t="s">
        <v>22</v>
      </c>
      <c r="V821" s="1" t="s">
        <v>24</v>
      </c>
      <c r="W821" s="1" t="s">
        <v>24</v>
      </c>
      <c r="X821" s="1">
        <v>3005</v>
      </c>
      <c r="Y821" s="1" t="s">
        <v>24</v>
      </c>
      <c r="Z821" s="1" t="s">
        <v>24</v>
      </c>
      <c r="AA821" s="1" t="s">
        <v>24</v>
      </c>
      <c r="AB821" s="1" t="s">
        <v>24</v>
      </c>
      <c r="AC821" s="1" t="s">
        <v>24</v>
      </c>
      <c r="AD821" s="1" t="s">
        <v>24</v>
      </c>
      <c r="AE821" s="1" t="s">
        <v>24</v>
      </c>
      <c r="AF821" s="22"/>
    </row>
    <row r="822" spans="1:32" x14ac:dyDescent="0.2">
      <c r="A822" s="1">
        <v>4471</v>
      </c>
      <c r="B822" s="1" t="s">
        <v>2754</v>
      </c>
      <c r="C822" s="5" t="s">
        <v>0</v>
      </c>
      <c r="D822" s="1" t="s">
        <v>2755</v>
      </c>
      <c r="E822" s="1" t="s">
        <v>2756</v>
      </c>
      <c r="F822" s="1" t="s">
        <v>91</v>
      </c>
      <c r="G822" s="1" t="s">
        <v>61</v>
      </c>
      <c r="H822" s="1" t="s">
        <v>92</v>
      </c>
      <c r="I822" s="1" t="s">
        <v>16</v>
      </c>
      <c r="J822" s="1">
        <v>8</v>
      </c>
      <c r="K822" s="1">
        <v>2</v>
      </c>
      <c r="L822" s="1" t="s">
        <v>31</v>
      </c>
      <c r="M822" s="1" t="s">
        <v>18</v>
      </c>
      <c r="N822" s="1" t="s">
        <v>18</v>
      </c>
      <c r="O822" s="1">
        <v>3</v>
      </c>
      <c r="P822" s="1">
        <v>7</v>
      </c>
      <c r="Q822" s="7" t="s">
        <v>17633</v>
      </c>
      <c r="R822" s="1" t="s">
        <v>19</v>
      </c>
      <c r="S822" s="1" t="s">
        <v>63</v>
      </c>
      <c r="T822" s="1" t="s">
        <v>21</v>
      </c>
      <c r="U822" s="1" t="s">
        <v>22</v>
      </c>
      <c r="V822" s="1" t="s">
        <v>24</v>
      </c>
      <c r="W822" s="1" t="s">
        <v>24</v>
      </c>
      <c r="X822" s="1">
        <v>2406</v>
      </c>
      <c r="Y822" s="1" t="s">
        <v>24</v>
      </c>
      <c r="Z822" s="1" t="s">
        <v>24</v>
      </c>
      <c r="AA822" s="1" t="s">
        <v>24</v>
      </c>
      <c r="AB822" s="1" t="s">
        <v>24</v>
      </c>
      <c r="AC822" s="1" t="s">
        <v>24</v>
      </c>
      <c r="AD822" s="1" t="s">
        <v>24</v>
      </c>
      <c r="AE822" s="1" t="s">
        <v>24</v>
      </c>
      <c r="AF822" s="22"/>
    </row>
    <row r="823" spans="1:32" x14ac:dyDescent="0.2">
      <c r="A823" s="1">
        <v>4472</v>
      </c>
      <c r="B823" s="1" t="s">
        <v>2757</v>
      </c>
      <c r="C823" s="5" t="s">
        <v>0</v>
      </c>
      <c r="D823" s="1" t="s">
        <v>2758</v>
      </c>
      <c r="E823" s="1" t="s">
        <v>2759</v>
      </c>
      <c r="F823" s="1" t="s">
        <v>194</v>
      </c>
      <c r="G823" s="1" t="s">
        <v>61</v>
      </c>
      <c r="H823" s="1" t="s">
        <v>30</v>
      </c>
      <c r="I823" s="1" t="s">
        <v>16</v>
      </c>
      <c r="J823" s="1">
        <v>2</v>
      </c>
      <c r="K823" s="1">
        <v>6</v>
      </c>
      <c r="L823" s="1" t="s">
        <v>31</v>
      </c>
      <c r="M823" s="1" t="s">
        <v>18</v>
      </c>
      <c r="N823" s="1" t="s">
        <v>18</v>
      </c>
      <c r="O823" s="1">
        <v>3</v>
      </c>
      <c r="P823" s="1">
        <v>7</v>
      </c>
      <c r="Q823" s="7" t="s">
        <v>17633</v>
      </c>
      <c r="R823" s="1" t="s">
        <v>62</v>
      </c>
      <c r="S823" s="1" t="s">
        <v>20</v>
      </c>
      <c r="T823" s="1" t="s">
        <v>21</v>
      </c>
      <c r="U823" s="1" t="s">
        <v>22</v>
      </c>
      <c r="V823" s="1" t="s">
        <v>24</v>
      </c>
      <c r="W823" s="1" t="s">
        <v>24</v>
      </c>
      <c r="X823" s="1">
        <v>2705</v>
      </c>
      <c r="Y823" s="1">
        <v>2746</v>
      </c>
      <c r="Z823" s="1" t="s">
        <v>24</v>
      </c>
      <c r="AA823" s="1" t="s">
        <v>24</v>
      </c>
      <c r="AB823" s="1" t="s">
        <v>24</v>
      </c>
      <c r="AC823" s="1" t="s">
        <v>24</v>
      </c>
      <c r="AD823" s="1" t="s">
        <v>24</v>
      </c>
      <c r="AE823" s="1" t="s">
        <v>24</v>
      </c>
      <c r="AF823" s="22"/>
    </row>
    <row r="824" spans="1:32" x14ac:dyDescent="0.2">
      <c r="A824" s="1">
        <v>4490</v>
      </c>
      <c r="B824" s="1" t="s">
        <v>2760</v>
      </c>
      <c r="C824" s="5" t="s">
        <v>0</v>
      </c>
      <c r="D824" s="1" t="s">
        <v>2761</v>
      </c>
      <c r="F824" s="1" t="s">
        <v>2762</v>
      </c>
      <c r="G824" s="1" t="s">
        <v>2763</v>
      </c>
      <c r="H824" s="1" t="s">
        <v>1007</v>
      </c>
      <c r="I824" s="1" t="s">
        <v>16</v>
      </c>
      <c r="J824" s="1">
        <v>1</v>
      </c>
      <c r="K824" s="1">
        <v>4</v>
      </c>
      <c r="L824" s="1" t="s">
        <v>31</v>
      </c>
      <c r="M824" s="1" t="s">
        <v>1008</v>
      </c>
      <c r="N824" s="1" t="s">
        <v>18</v>
      </c>
      <c r="O824" s="1">
        <v>1</v>
      </c>
      <c r="P824" s="1">
        <v>5</v>
      </c>
      <c r="R824" s="1" t="s">
        <v>19</v>
      </c>
      <c r="S824" s="1" t="s">
        <v>20</v>
      </c>
      <c r="T824" s="1" t="s">
        <v>21</v>
      </c>
      <c r="U824" s="1" t="s">
        <v>22</v>
      </c>
      <c r="V824" s="1" t="s">
        <v>24</v>
      </c>
      <c r="W824" s="1" t="s">
        <v>24</v>
      </c>
      <c r="X824" s="1">
        <v>3004</v>
      </c>
      <c r="Y824" s="1" t="s">
        <v>24</v>
      </c>
      <c r="Z824" s="1" t="s">
        <v>24</v>
      </c>
      <c r="AA824" s="1" t="s">
        <v>24</v>
      </c>
      <c r="AB824" s="1" t="s">
        <v>24</v>
      </c>
      <c r="AC824" s="1" t="s">
        <v>24</v>
      </c>
      <c r="AD824" s="1" t="s">
        <v>24</v>
      </c>
      <c r="AE824" s="1" t="s">
        <v>24</v>
      </c>
      <c r="AF824" s="22"/>
    </row>
    <row r="825" spans="1:32" x14ac:dyDescent="0.2">
      <c r="A825" s="1">
        <v>4493</v>
      </c>
      <c r="B825" s="1" t="s">
        <v>2764</v>
      </c>
      <c r="C825" s="5" t="s">
        <v>0</v>
      </c>
      <c r="D825" s="1" t="s">
        <v>2765</v>
      </c>
      <c r="F825" s="1" t="s">
        <v>1462</v>
      </c>
      <c r="G825" s="1" t="s">
        <v>1462</v>
      </c>
      <c r="H825" s="1" t="s">
        <v>249</v>
      </c>
      <c r="I825" s="1" t="s">
        <v>16</v>
      </c>
      <c r="J825" s="1">
        <v>1</v>
      </c>
      <c r="K825" s="1">
        <v>12</v>
      </c>
      <c r="L825" s="1" t="s">
        <v>42</v>
      </c>
      <c r="M825" s="1" t="s">
        <v>250</v>
      </c>
      <c r="N825" s="1" t="s">
        <v>18</v>
      </c>
      <c r="O825" s="1">
        <v>3</v>
      </c>
      <c r="P825" s="1">
        <v>5</v>
      </c>
      <c r="R825" s="1" t="s">
        <v>19</v>
      </c>
      <c r="S825" s="1" t="s">
        <v>20</v>
      </c>
      <c r="T825" s="1" t="s">
        <v>21</v>
      </c>
      <c r="U825" s="1" t="s">
        <v>22</v>
      </c>
      <c r="V825" s="1" t="s">
        <v>24</v>
      </c>
      <c r="W825" s="1" t="s">
        <v>24</v>
      </c>
      <c r="X825" s="1">
        <v>2705</v>
      </c>
      <c r="Y825" s="1" t="s">
        <v>24</v>
      </c>
      <c r="Z825" s="1" t="s">
        <v>24</v>
      </c>
      <c r="AA825" s="1" t="s">
        <v>24</v>
      </c>
      <c r="AB825" s="1" t="s">
        <v>24</v>
      </c>
      <c r="AC825" s="1" t="s">
        <v>24</v>
      </c>
      <c r="AD825" s="1" t="s">
        <v>24</v>
      </c>
      <c r="AE825" s="1" t="s">
        <v>24</v>
      </c>
      <c r="AF825" s="22"/>
    </row>
    <row r="826" spans="1:32" x14ac:dyDescent="0.2">
      <c r="A826" s="1">
        <v>4503</v>
      </c>
      <c r="B826" s="1" t="s">
        <v>2766</v>
      </c>
      <c r="C826" s="5" t="s">
        <v>0</v>
      </c>
      <c r="D826" s="1" t="s">
        <v>2767</v>
      </c>
      <c r="E826" s="1" t="s">
        <v>2768</v>
      </c>
      <c r="F826" s="1" t="s">
        <v>315</v>
      </c>
      <c r="G826" s="1" t="s">
        <v>316</v>
      </c>
      <c r="H826" s="1" t="s">
        <v>37</v>
      </c>
      <c r="I826" s="1" t="s">
        <v>16</v>
      </c>
      <c r="J826" s="1">
        <v>2</v>
      </c>
      <c r="K826" s="1">
        <v>12</v>
      </c>
      <c r="L826" s="1" t="s">
        <v>31</v>
      </c>
      <c r="M826" s="1" t="s">
        <v>18</v>
      </c>
      <c r="N826" s="1" t="s">
        <v>18</v>
      </c>
      <c r="O826" s="1">
        <v>3</v>
      </c>
      <c r="P826" s="1">
        <v>7</v>
      </c>
      <c r="Q826" s="7" t="s">
        <v>17633</v>
      </c>
      <c r="R826" s="1" t="s">
        <v>62</v>
      </c>
      <c r="S826" s="1" t="s">
        <v>20</v>
      </c>
      <c r="T826" s="1" t="s">
        <v>21</v>
      </c>
      <c r="U826" s="1" t="s">
        <v>22</v>
      </c>
      <c r="V826" s="1" t="s">
        <v>24</v>
      </c>
      <c r="W826" s="1" t="s">
        <v>24</v>
      </c>
      <c r="X826" s="1">
        <v>2727</v>
      </c>
      <c r="Y826" s="1" t="s">
        <v>24</v>
      </c>
      <c r="Z826" s="1" t="s">
        <v>24</v>
      </c>
      <c r="AA826" s="1" t="s">
        <v>24</v>
      </c>
      <c r="AB826" s="1" t="s">
        <v>24</v>
      </c>
      <c r="AC826" s="1" t="s">
        <v>24</v>
      </c>
      <c r="AD826" s="1" t="s">
        <v>24</v>
      </c>
      <c r="AE826" s="1" t="s">
        <v>24</v>
      </c>
      <c r="AF826" s="22"/>
    </row>
    <row r="827" spans="1:32" x14ac:dyDescent="0.2">
      <c r="A827" s="1">
        <v>4518</v>
      </c>
      <c r="B827" s="5" t="s">
        <v>2769</v>
      </c>
      <c r="C827" s="5" t="s">
        <v>0</v>
      </c>
      <c r="D827" s="1" t="s">
        <v>2770</v>
      </c>
      <c r="F827" s="1" t="s">
        <v>2771</v>
      </c>
      <c r="G827" s="1" t="s">
        <v>2771</v>
      </c>
      <c r="H827" s="1" t="s">
        <v>2772</v>
      </c>
      <c r="I827" s="1" t="s">
        <v>16</v>
      </c>
      <c r="J827" s="5">
        <v>2</v>
      </c>
      <c r="K827" s="1">
        <v>6</v>
      </c>
      <c r="L827" s="1" t="s">
        <v>17</v>
      </c>
      <c r="M827" s="1" t="s">
        <v>2773</v>
      </c>
      <c r="N827" s="1" t="s">
        <v>18</v>
      </c>
      <c r="O827" s="1">
        <v>2</v>
      </c>
      <c r="P827" s="1">
        <v>4</v>
      </c>
      <c r="R827" s="1" t="s">
        <v>19</v>
      </c>
      <c r="S827" s="1" t="s">
        <v>20</v>
      </c>
      <c r="T827" s="1" t="s">
        <v>21</v>
      </c>
      <c r="U827" s="1" t="s">
        <v>22</v>
      </c>
      <c r="V827" s="1" t="s">
        <v>24</v>
      </c>
      <c r="W827" s="1" t="s">
        <v>24</v>
      </c>
      <c r="X827" s="1">
        <v>2740</v>
      </c>
      <c r="Y827" s="1">
        <v>2725</v>
      </c>
      <c r="Z827" s="1" t="s">
        <v>24</v>
      </c>
      <c r="AA827" s="1" t="s">
        <v>24</v>
      </c>
      <c r="AB827" s="1" t="s">
        <v>24</v>
      </c>
      <c r="AC827" s="1" t="s">
        <v>24</v>
      </c>
      <c r="AD827" s="1" t="s">
        <v>24</v>
      </c>
      <c r="AE827" s="1" t="s">
        <v>24</v>
      </c>
      <c r="AF827" s="22"/>
    </row>
    <row r="828" spans="1:32" x14ac:dyDescent="0.2">
      <c r="A828" s="1">
        <v>4522</v>
      </c>
      <c r="B828" s="1" t="s">
        <v>2774</v>
      </c>
      <c r="C828" s="5" t="s">
        <v>0</v>
      </c>
      <c r="D828" s="1" t="s">
        <v>2775</v>
      </c>
      <c r="F828" s="1" t="s">
        <v>2776</v>
      </c>
      <c r="G828" s="1" t="s">
        <v>61</v>
      </c>
      <c r="H828" s="1" t="s">
        <v>46</v>
      </c>
      <c r="I828" s="1" t="s">
        <v>16</v>
      </c>
      <c r="J828" s="1">
        <v>1</v>
      </c>
      <c r="K828" s="1">
        <v>12</v>
      </c>
      <c r="L828" s="1" t="s">
        <v>31</v>
      </c>
      <c r="M828" s="1" t="s">
        <v>1009</v>
      </c>
      <c r="N828" s="1" t="s">
        <v>18</v>
      </c>
      <c r="O828" s="1">
        <v>2</v>
      </c>
      <c r="P828" s="1">
        <v>5</v>
      </c>
      <c r="R828" s="1" t="s">
        <v>19</v>
      </c>
      <c r="S828" s="1" t="s">
        <v>20</v>
      </c>
      <c r="T828" s="1" t="s">
        <v>21</v>
      </c>
      <c r="U828" s="1" t="s">
        <v>22</v>
      </c>
      <c r="V828" s="1" t="s">
        <v>24</v>
      </c>
      <c r="W828" s="1" t="s">
        <v>24</v>
      </c>
      <c r="X828" s="1">
        <v>2700</v>
      </c>
      <c r="Y828" s="1" t="s">
        <v>24</v>
      </c>
      <c r="Z828" s="1" t="s">
        <v>24</v>
      </c>
      <c r="AA828" s="1" t="s">
        <v>24</v>
      </c>
      <c r="AB828" s="1" t="s">
        <v>24</v>
      </c>
      <c r="AC828" s="1" t="s">
        <v>24</v>
      </c>
      <c r="AD828" s="1" t="s">
        <v>24</v>
      </c>
      <c r="AE828" s="1" t="s">
        <v>24</v>
      </c>
      <c r="AF828" s="22"/>
    </row>
    <row r="829" spans="1:32" x14ac:dyDescent="0.2">
      <c r="A829" s="1">
        <v>4524</v>
      </c>
      <c r="B829" s="1" t="s">
        <v>2777</v>
      </c>
      <c r="C829" s="5" t="s">
        <v>0</v>
      </c>
      <c r="D829" s="1" t="s">
        <v>2778</v>
      </c>
      <c r="E829" s="1" t="s">
        <v>2779</v>
      </c>
      <c r="F829" s="1" t="s">
        <v>241</v>
      </c>
      <c r="G829" s="1" t="s">
        <v>61</v>
      </c>
      <c r="H829" s="1" t="s">
        <v>168</v>
      </c>
      <c r="I829" s="1" t="s">
        <v>16</v>
      </c>
      <c r="J829" s="1">
        <v>1</v>
      </c>
      <c r="K829" s="1">
        <v>6</v>
      </c>
      <c r="L829" s="1" t="s">
        <v>31</v>
      </c>
      <c r="M829" s="1" t="s">
        <v>413</v>
      </c>
      <c r="N829" s="1" t="s">
        <v>242</v>
      </c>
      <c r="O829" s="1">
        <v>1</v>
      </c>
      <c r="P829" s="1">
        <v>5</v>
      </c>
      <c r="R829" s="1" t="s">
        <v>19</v>
      </c>
      <c r="S829" s="1" t="s">
        <v>20</v>
      </c>
      <c r="T829" s="1" t="s">
        <v>21</v>
      </c>
      <c r="U829" s="1" t="s">
        <v>22</v>
      </c>
      <c r="V829" s="1" t="s">
        <v>24</v>
      </c>
      <c r="W829" s="1" t="s">
        <v>24</v>
      </c>
      <c r="X829" s="1">
        <v>2726</v>
      </c>
      <c r="Y829" s="1">
        <v>2725</v>
      </c>
      <c r="Z829" s="1" t="s">
        <v>24</v>
      </c>
      <c r="AA829" s="1" t="s">
        <v>24</v>
      </c>
      <c r="AB829" s="1" t="s">
        <v>24</v>
      </c>
      <c r="AC829" s="1" t="s">
        <v>24</v>
      </c>
      <c r="AD829" s="1" t="s">
        <v>24</v>
      </c>
      <c r="AE829" s="1" t="s">
        <v>24</v>
      </c>
      <c r="AF829" s="22"/>
    </row>
    <row r="830" spans="1:32" x14ac:dyDescent="0.2">
      <c r="A830" s="1">
        <v>4534</v>
      </c>
      <c r="B830" s="1" t="s">
        <v>2780</v>
      </c>
      <c r="C830" s="5" t="s">
        <v>0</v>
      </c>
      <c r="D830" s="1" t="s">
        <v>2781</v>
      </c>
      <c r="E830" s="1" t="s">
        <v>2782</v>
      </c>
      <c r="F830" s="1" t="s">
        <v>2783</v>
      </c>
      <c r="G830" s="1" t="s">
        <v>2783</v>
      </c>
      <c r="H830" s="1" t="s">
        <v>461</v>
      </c>
      <c r="I830" s="1" t="s">
        <v>16</v>
      </c>
      <c r="J830" s="1">
        <v>1</v>
      </c>
      <c r="K830" s="1">
        <v>4</v>
      </c>
      <c r="L830" s="1" t="s">
        <v>42</v>
      </c>
      <c r="M830" s="1" t="s">
        <v>18</v>
      </c>
      <c r="N830" s="1" t="s">
        <v>18</v>
      </c>
      <c r="O830" s="1">
        <v>3</v>
      </c>
      <c r="P830" s="1">
        <v>6</v>
      </c>
      <c r="R830" s="1" t="s">
        <v>19</v>
      </c>
      <c r="S830" s="1" t="s">
        <v>20</v>
      </c>
      <c r="T830" s="1" t="s">
        <v>21</v>
      </c>
      <c r="U830" s="1" t="s">
        <v>22</v>
      </c>
      <c r="V830" s="1" t="s">
        <v>24</v>
      </c>
      <c r="W830" s="1" t="s">
        <v>24</v>
      </c>
      <c r="X830" s="1">
        <v>2700</v>
      </c>
      <c r="Y830" s="1" t="s">
        <v>24</v>
      </c>
      <c r="Z830" s="1" t="s">
        <v>24</v>
      </c>
      <c r="AA830" s="1" t="s">
        <v>24</v>
      </c>
      <c r="AB830" s="1" t="s">
        <v>24</v>
      </c>
      <c r="AC830" s="1" t="s">
        <v>24</v>
      </c>
      <c r="AD830" s="1" t="s">
        <v>24</v>
      </c>
      <c r="AE830" s="1" t="s">
        <v>24</v>
      </c>
      <c r="AF830" s="22"/>
    </row>
    <row r="831" spans="1:32" x14ac:dyDescent="0.2">
      <c r="A831" s="1">
        <v>4535</v>
      </c>
      <c r="B831" s="1" t="s">
        <v>2784</v>
      </c>
      <c r="C831" s="5" t="s">
        <v>0</v>
      </c>
      <c r="D831" s="1" t="s">
        <v>2785</v>
      </c>
      <c r="E831" s="1" t="s">
        <v>2786</v>
      </c>
      <c r="F831" s="1" t="s">
        <v>2787</v>
      </c>
      <c r="G831" s="1" t="s">
        <v>2788</v>
      </c>
      <c r="H831" s="1" t="s">
        <v>461</v>
      </c>
      <c r="I831" s="1" t="s">
        <v>16</v>
      </c>
      <c r="J831" s="1">
        <v>1</v>
      </c>
      <c r="K831" s="1">
        <v>4</v>
      </c>
      <c r="L831" s="1" t="s">
        <v>42</v>
      </c>
      <c r="M831" s="1" t="s">
        <v>18</v>
      </c>
      <c r="N831" s="1" t="s">
        <v>18</v>
      </c>
      <c r="O831" s="1">
        <v>3</v>
      </c>
      <c r="P831" s="1">
        <v>6</v>
      </c>
      <c r="R831" s="1" t="s">
        <v>19</v>
      </c>
      <c r="S831" s="1" t="s">
        <v>20</v>
      </c>
      <c r="T831" s="1" t="s">
        <v>21</v>
      </c>
      <c r="U831" s="1" t="s">
        <v>22</v>
      </c>
      <c r="V831" s="1" t="s">
        <v>24</v>
      </c>
      <c r="W831" s="1" t="s">
        <v>24</v>
      </c>
      <c r="X831" s="1">
        <v>2700</v>
      </c>
      <c r="Y831" s="1" t="s">
        <v>24</v>
      </c>
      <c r="Z831" s="1" t="s">
        <v>24</v>
      </c>
      <c r="AA831" s="1" t="s">
        <v>24</v>
      </c>
      <c r="AB831" s="1" t="s">
        <v>24</v>
      </c>
      <c r="AC831" s="1" t="s">
        <v>24</v>
      </c>
      <c r="AD831" s="1" t="s">
        <v>24</v>
      </c>
      <c r="AE831" s="1" t="s">
        <v>24</v>
      </c>
      <c r="AF831" s="22"/>
    </row>
    <row r="832" spans="1:32" x14ac:dyDescent="0.2">
      <c r="A832" s="1">
        <v>4546</v>
      </c>
      <c r="B832" s="1" t="s">
        <v>2789</v>
      </c>
      <c r="C832" s="5" t="s">
        <v>0</v>
      </c>
      <c r="D832" s="1" t="s">
        <v>2790</v>
      </c>
      <c r="E832" s="1" t="s">
        <v>2791</v>
      </c>
      <c r="F832" s="1" t="s">
        <v>412</v>
      </c>
      <c r="G832" s="1" t="s">
        <v>372</v>
      </c>
      <c r="H832" s="1" t="s">
        <v>168</v>
      </c>
      <c r="I832" s="1" t="s">
        <v>16</v>
      </c>
      <c r="J832" s="1">
        <v>1</v>
      </c>
      <c r="K832" s="1">
        <v>6</v>
      </c>
      <c r="L832" s="1" t="s">
        <v>31</v>
      </c>
      <c r="M832" s="1" t="s">
        <v>679</v>
      </c>
      <c r="N832" s="1" t="s">
        <v>18</v>
      </c>
      <c r="O832" s="1">
        <v>2</v>
      </c>
      <c r="P832" s="1">
        <v>6</v>
      </c>
      <c r="R832" s="1" t="s">
        <v>19</v>
      </c>
      <c r="S832" s="1" t="s">
        <v>63</v>
      </c>
      <c r="T832" s="1" t="s">
        <v>21</v>
      </c>
      <c r="U832" s="1" t="s">
        <v>22</v>
      </c>
      <c r="V832" s="1" t="s">
        <v>24</v>
      </c>
      <c r="W832" s="1" t="s">
        <v>24</v>
      </c>
      <c r="X832" s="1">
        <v>2735</v>
      </c>
      <c r="Y832" s="1" t="s">
        <v>24</v>
      </c>
      <c r="Z832" s="1" t="s">
        <v>24</v>
      </c>
      <c r="AA832" s="1" t="s">
        <v>24</v>
      </c>
      <c r="AB832" s="1" t="s">
        <v>24</v>
      </c>
      <c r="AC832" s="1" t="s">
        <v>24</v>
      </c>
      <c r="AD832" s="1" t="s">
        <v>24</v>
      </c>
      <c r="AE832" s="1" t="s">
        <v>24</v>
      </c>
      <c r="AF832" s="22"/>
    </row>
    <row r="833" spans="1:32" x14ac:dyDescent="0.2">
      <c r="A833" s="1">
        <v>4551</v>
      </c>
      <c r="B833" s="1" t="s">
        <v>2792</v>
      </c>
      <c r="C833" s="5" t="s">
        <v>0</v>
      </c>
      <c r="D833" s="1" t="s">
        <v>2793</v>
      </c>
      <c r="E833" s="1" t="s">
        <v>2794</v>
      </c>
      <c r="F833" s="1" t="s">
        <v>412</v>
      </c>
      <c r="G833" s="1" t="s">
        <v>372</v>
      </c>
      <c r="H833" s="1" t="s">
        <v>168</v>
      </c>
      <c r="I833" s="1" t="s">
        <v>16</v>
      </c>
      <c r="J833" s="1">
        <v>1</v>
      </c>
      <c r="K833" s="1">
        <v>12</v>
      </c>
      <c r="L833" s="1" t="s">
        <v>31</v>
      </c>
      <c r="M833" s="1" t="s">
        <v>2795</v>
      </c>
      <c r="N833" s="1" t="s">
        <v>18</v>
      </c>
      <c r="O833" s="1">
        <v>3</v>
      </c>
      <c r="P833" s="1">
        <v>6</v>
      </c>
      <c r="R833" s="1" t="s">
        <v>19</v>
      </c>
      <c r="S833" s="1" t="s">
        <v>63</v>
      </c>
      <c r="T833" s="1" t="s">
        <v>21</v>
      </c>
      <c r="U833" s="1" t="s">
        <v>22</v>
      </c>
      <c r="V833" s="1" t="s">
        <v>24</v>
      </c>
      <c r="W833" s="1" t="s">
        <v>24</v>
      </c>
      <c r="X833" s="1">
        <v>2731</v>
      </c>
      <c r="Y833" s="1" t="s">
        <v>24</v>
      </c>
      <c r="Z833" s="1" t="s">
        <v>24</v>
      </c>
      <c r="AA833" s="1" t="s">
        <v>24</v>
      </c>
      <c r="AB833" s="1" t="s">
        <v>24</v>
      </c>
      <c r="AC833" s="1" t="s">
        <v>24</v>
      </c>
      <c r="AD833" s="1" t="s">
        <v>24</v>
      </c>
      <c r="AE833" s="1" t="s">
        <v>24</v>
      </c>
      <c r="AF833" s="22"/>
    </row>
    <row r="834" spans="1:32" x14ac:dyDescent="0.2">
      <c r="A834" s="1">
        <v>4558</v>
      </c>
      <c r="B834" s="1" t="s">
        <v>2796</v>
      </c>
      <c r="C834" s="5" t="s">
        <v>0</v>
      </c>
      <c r="D834" s="1" t="s">
        <v>2797</v>
      </c>
      <c r="E834" s="1" t="s">
        <v>2798</v>
      </c>
      <c r="F834" s="1" t="s">
        <v>2799</v>
      </c>
      <c r="G834" s="1" t="s">
        <v>460</v>
      </c>
      <c r="H834" s="1" t="s">
        <v>461</v>
      </c>
      <c r="I834" s="1" t="s">
        <v>16</v>
      </c>
      <c r="J834" s="1">
        <v>1</v>
      </c>
      <c r="K834" s="1">
        <v>12</v>
      </c>
      <c r="L834" s="1" t="s">
        <v>42</v>
      </c>
      <c r="M834" s="1" t="s">
        <v>1735</v>
      </c>
      <c r="N834" s="1" t="s">
        <v>18</v>
      </c>
      <c r="O834" s="1">
        <v>3</v>
      </c>
      <c r="P834" s="1">
        <v>5</v>
      </c>
      <c r="R834" s="1" t="s">
        <v>19</v>
      </c>
      <c r="S834" s="1" t="s">
        <v>20</v>
      </c>
      <c r="T834" s="1" t="s">
        <v>21</v>
      </c>
      <c r="U834" s="1" t="s">
        <v>22</v>
      </c>
      <c r="V834" s="1" t="s">
        <v>24</v>
      </c>
      <c r="W834" s="1" t="s">
        <v>24</v>
      </c>
      <c r="X834" s="1">
        <v>2721</v>
      </c>
      <c r="Y834" s="1" t="s">
        <v>24</v>
      </c>
      <c r="Z834" s="1" t="s">
        <v>24</v>
      </c>
      <c r="AA834" s="1" t="s">
        <v>24</v>
      </c>
      <c r="AB834" s="1" t="s">
        <v>24</v>
      </c>
      <c r="AC834" s="1" t="s">
        <v>24</v>
      </c>
      <c r="AD834" s="1" t="s">
        <v>24</v>
      </c>
      <c r="AE834" s="1" t="s">
        <v>24</v>
      </c>
      <c r="AF834" s="22"/>
    </row>
    <row r="835" spans="1:32" x14ac:dyDescent="0.2">
      <c r="A835" s="1">
        <v>4563</v>
      </c>
      <c r="B835" s="1" t="s">
        <v>2800</v>
      </c>
      <c r="C835" s="5" t="s">
        <v>0</v>
      </c>
      <c r="D835" s="1" t="s">
        <v>2801</v>
      </c>
      <c r="F835" s="1" t="s">
        <v>2802</v>
      </c>
      <c r="G835" s="1" t="s">
        <v>2802</v>
      </c>
      <c r="H835" s="1" t="s">
        <v>461</v>
      </c>
      <c r="I835" s="1" t="s">
        <v>16</v>
      </c>
      <c r="J835" s="1">
        <v>1</v>
      </c>
      <c r="K835" s="1">
        <v>12</v>
      </c>
      <c r="L835" s="1" t="s">
        <v>17</v>
      </c>
      <c r="M835" s="1" t="s">
        <v>1735</v>
      </c>
      <c r="N835" s="1" t="s">
        <v>18</v>
      </c>
      <c r="O835" s="1">
        <v>1</v>
      </c>
      <c r="P835" s="1">
        <v>4</v>
      </c>
      <c r="R835" s="1" t="s">
        <v>19</v>
      </c>
      <c r="S835" s="1" t="s">
        <v>20</v>
      </c>
      <c r="T835" s="1" t="s">
        <v>21</v>
      </c>
      <c r="U835" s="1" t="s">
        <v>22</v>
      </c>
      <c r="V835" s="1" t="s">
        <v>24</v>
      </c>
      <c r="W835" s="1" t="s">
        <v>24</v>
      </c>
      <c r="X835" s="1">
        <v>2740</v>
      </c>
      <c r="Y835" s="1">
        <v>2705</v>
      </c>
      <c r="Z835" s="1" t="s">
        <v>24</v>
      </c>
      <c r="AA835" s="1" t="s">
        <v>24</v>
      </c>
      <c r="AB835" s="1" t="s">
        <v>24</v>
      </c>
      <c r="AC835" s="1" t="s">
        <v>24</v>
      </c>
      <c r="AD835" s="1" t="s">
        <v>24</v>
      </c>
      <c r="AE835" s="1" t="s">
        <v>24</v>
      </c>
      <c r="AF835" s="22"/>
    </row>
    <row r="836" spans="1:32" x14ac:dyDescent="0.2">
      <c r="A836" s="1">
        <v>4573</v>
      </c>
      <c r="B836" s="1" t="s">
        <v>2803</v>
      </c>
      <c r="C836" s="5" t="s">
        <v>0</v>
      </c>
      <c r="D836" s="1" t="s">
        <v>2804</v>
      </c>
      <c r="E836" s="1" t="s">
        <v>2805</v>
      </c>
      <c r="F836" s="1" t="s">
        <v>2806</v>
      </c>
      <c r="G836" s="1" t="s">
        <v>460</v>
      </c>
      <c r="H836" s="1" t="s">
        <v>461</v>
      </c>
      <c r="I836" s="1" t="s">
        <v>16</v>
      </c>
      <c r="J836" s="1">
        <v>1</v>
      </c>
      <c r="K836" s="1">
        <v>4</v>
      </c>
      <c r="L836" s="1" t="s">
        <v>42</v>
      </c>
      <c r="M836" s="1" t="s">
        <v>18</v>
      </c>
      <c r="N836" s="1" t="s">
        <v>18</v>
      </c>
      <c r="O836" s="1">
        <v>2</v>
      </c>
      <c r="P836" s="1">
        <v>5</v>
      </c>
      <c r="R836" s="1" t="s">
        <v>19</v>
      </c>
      <c r="S836" s="1" t="s">
        <v>20</v>
      </c>
      <c r="T836" s="1" t="s">
        <v>21</v>
      </c>
      <c r="U836" s="1" t="s">
        <v>22</v>
      </c>
      <c r="V836" s="1" t="s">
        <v>24</v>
      </c>
      <c r="W836" s="1" t="s">
        <v>24</v>
      </c>
      <c r="X836" s="1">
        <v>2700</v>
      </c>
      <c r="Y836" s="1" t="s">
        <v>24</v>
      </c>
      <c r="Z836" s="1" t="s">
        <v>24</v>
      </c>
      <c r="AA836" s="1" t="s">
        <v>24</v>
      </c>
      <c r="AB836" s="1" t="s">
        <v>24</v>
      </c>
      <c r="AC836" s="1" t="s">
        <v>24</v>
      </c>
      <c r="AD836" s="1" t="s">
        <v>24</v>
      </c>
      <c r="AE836" s="1" t="s">
        <v>24</v>
      </c>
      <c r="AF836" s="22"/>
    </row>
    <row r="837" spans="1:32" x14ac:dyDescent="0.2">
      <c r="A837" s="1">
        <v>4578</v>
      </c>
      <c r="B837" s="1" t="s">
        <v>2807</v>
      </c>
      <c r="C837" s="5" t="s">
        <v>0</v>
      </c>
      <c r="D837" s="1" t="s">
        <v>2808</v>
      </c>
      <c r="E837" s="1" t="s">
        <v>2809</v>
      </c>
      <c r="F837" s="1" t="s">
        <v>2807</v>
      </c>
      <c r="G837" s="1" t="s">
        <v>2807</v>
      </c>
      <c r="H837" s="1" t="s">
        <v>2772</v>
      </c>
      <c r="I837" s="1" t="s">
        <v>16</v>
      </c>
      <c r="J837" s="1">
        <v>1</v>
      </c>
      <c r="K837" s="1">
        <v>4</v>
      </c>
      <c r="L837" s="1" t="s">
        <v>42</v>
      </c>
      <c r="M837" s="1" t="s">
        <v>18</v>
      </c>
      <c r="N837" s="1" t="s">
        <v>18</v>
      </c>
      <c r="O837" s="1">
        <v>3</v>
      </c>
      <c r="P837" s="1">
        <v>6</v>
      </c>
      <c r="R837" s="1" t="s">
        <v>19</v>
      </c>
      <c r="S837" s="1" t="s">
        <v>20</v>
      </c>
      <c r="T837" s="1" t="s">
        <v>21</v>
      </c>
      <c r="U837" s="1" t="s">
        <v>22</v>
      </c>
      <c r="V837" s="1" t="s">
        <v>24</v>
      </c>
      <c r="W837" s="1" t="s">
        <v>24</v>
      </c>
      <c r="X837" s="1">
        <v>2405</v>
      </c>
      <c r="Y837" s="1">
        <v>2725</v>
      </c>
      <c r="Z837" s="1" t="s">
        <v>24</v>
      </c>
      <c r="AA837" s="1" t="s">
        <v>24</v>
      </c>
      <c r="AB837" s="1" t="s">
        <v>24</v>
      </c>
      <c r="AC837" s="1" t="s">
        <v>24</v>
      </c>
      <c r="AD837" s="1" t="s">
        <v>24</v>
      </c>
      <c r="AE837" s="1" t="s">
        <v>24</v>
      </c>
      <c r="AF837" s="22"/>
    </row>
    <row r="838" spans="1:32" x14ac:dyDescent="0.2">
      <c r="A838" s="1">
        <v>4596</v>
      </c>
      <c r="B838" s="1" t="s">
        <v>2810</v>
      </c>
      <c r="C838" s="5" t="s">
        <v>0</v>
      </c>
      <c r="D838" s="1" t="s">
        <v>2811</v>
      </c>
      <c r="E838" s="1" t="s">
        <v>2812</v>
      </c>
      <c r="F838" s="1" t="s">
        <v>1887</v>
      </c>
      <c r="G838" s="1" t="s">
        <v>254</v>
      </c>
      <c r="H838" s="1" t="s">
        <v>168</v>
      </c>
      <c r="I838" s="1" t="s">
        <v>16</v>
      </c>
      <c r="J838" s="1">
        <v>1</v>
      </c>
      <c r="K838" s="1">
        <v>6</v>
      </c>
      <c r="L838" s="1" t="s">
        <v>31</v>
      </c>
      <c r="M838" s="1" t="s">
        <v>413</v>
      </c>
      <c r="N838" s="1" t="s">
        <v>18</v>
      </c>
      <c r="O838" s="1">
        <v>1</v>
      </c>
      <c r="P838" s="1">
        <v>5</v>
      </c>
      <c r="R838" s="1" t="s">
        <v>19</v>
      </c>
      <c r="S838" s="1" t="s">
        <v>20</v>
      </c>
      <c r="T838" s="1" t="s">
        <v>21</v>
      </c>
      <c r="U838" s="1" t="s">
        <v>22</v>
      </c>
      <c r="V838" s="1" t="s">
        <v>23</v>
      </c>
      <c r="W838" s="1" t="s">
        <v>24</v>
      </c>
      <c r="X838" s="1">
        <v>1308</v>
      </c>
      <c r="Y838" s="1">
        <v>2704</v>
      </c>
      <c r="Z838" s="1">
        <v>3607</v>
      </c>
      <c r="AA838" s="1" t="s">
        <v>24</v>
      </c>
      <c r="AB838" s="1" t="s">
        <v>24</v>
      </c>
      <c r="AC838" s="1" t="s">
        <v>24</v>
      </c>
      <c r="AD838" s="1" t="s">
        <v>24</v>
      </c>
      <c r="AE838" s="1" t="s">
        <v>24</v>
      </c>
      <c r="AF838" s="22"/>
    </row>
    <row r="839" spans="1:32" x14ac:dyDescent="0.2">
      <c r="A839" s="1">
        <v>4602</v>
      </c>
      <c r="B839" s="1" t="s">
        <v>2813</v>
      </c>
      <c r="C839" s="5" t="s">
        <v>0</v>
      </c>
      <c r="D839" s="1" t="s">
        <v>2814</v>
      </c>
      <c r="E839" s="1" t="s">
        <v>2815</v>
      </c>
      <c r="F839" s="1" t="s">
        <v>315</v>
      </c>
      <c r="G839" s="1" t="s">
        <v>316</v>
      </c>
      <c r="H839" s="1" t="s">
        <v>37</v>
      </c>
      <c r="I839" s="1" t="s">
        <v>16</v>
      </c>
      <c r="J839" s="1">
        <v>1</v>
      </c>
      <c r="K839" s="1">
        <v>12</v>
      </c>
      <c r="L839" s="1" t="s">
        <v>31</v>
      </c>
      <c r="M839" s="1" t="s">
        <v>18</v>
      </c>
      <c r="N839" s="1" t="s">
        <v>18</v>
      </c>
      <c r="O839" s="1">
        <v>3</v>
      </c>
      <c r="P839" s="1">
        <v>7</v>
      </c>
      <c r="Q839" s="7" t="s">
        <v>17633</v>
      </c>
      <c r="R839" s="1" t="s">
        <v>62</v>
      </c>
      <c r="S839" s="1" t="s">
        <v>20</v>
      </c>
      <c r="T839" s="1" t="s">
        <v>21</v>
      </c>
      <c r="U839" s="1" t="s">
        <v>22</v>
      </c>
      <c r="V839" s="1" t="s">
        <v>23</v>
      </c>
      <c r="W839" s="1" t="s">
        <v>24</v>
      </c>
      <c r="X839" s="1">
        <v>2734</v>
      </c>
      <c r="Y839" s="1">
        <v>1307</v>
      </c>
      <c r="Z839" s="1">
        <v>1312</v>
      </c>
      <c r="AA839" s="1" t="s">
        <v>24</v>
      </c>
      <c r="AB839" s="1" t="s">
        <v>24</v>
      </c>
      <c r="AC839" s="1" t="s">
        <v>24</v>
      </c>
      <c r="AD839" s="1" t="s">
        <v>24</v>
      </c>
      <c r="AE839" s="1" t="s">
        <v>24</v>
      </c>
      <c r="AF839" s="22"/>
    </row>
    <row r="840" spans="1:32" x14ac:dyDescent="0.2">
      <c r="A840" s="1">
        <v>4607</v>
      </c>
      <c r="B840" s="1" t="s">
        <v>2816</v>
      </c>
      <c r="C840" s="5" t="s">
        <v>0</v>
      </c>
      <c r="D840" s="1" t="s">
        <v>2817</v>
      </c>
      <c r="E840" s="1" t="s">
        <v>2818</v>
      </c>
      <c r="F840" s="1" t="s">
        <v>35</v>
      </c>
      <c r="G840" s="1" t="s">
        <v>36</v>
      </c>
      <c r="H840" s="1" t="s">
        <v>37</v>
      </c>
      <c r="I840" s="1" t="s">
        <v>16</v>
      </c>
      <c r="J840" s="1">
        <v>2</v>
      </c>
      <c r="K840" s="1">
        <v>6</v>
      </c>
      <c r="L840" s="1" t="s">
        <v>31</v>
      </c>
      <c r="M840" s="1" t="s">
        <v>18</v>
      </c>
      <c r="N840" s="1" t="s">
        <v>18</v>
      </c>
      <c r="O840" s="1">
        <v>3</v>
      </c>
      <c r="P840" s="1">
        <v>6</v>
      </c>
      <c r="R840" s="1" t="s">
        <v>19</v>
      </c>
      <c r="S840" s="1" t="s">
        <v>20</v>
      </c>
      <c r="T840" s="1" t="s">
        <v>21</v>
      </c>
      <c r="U840" s="1" t="s">
        <v>22</v>
      </c>
      <c r="V840" s="1" t="s">
        <v>24</v>
      </c>
      <c r="W840" s="1" t="s">
        <v>24</v>
      </c>
      <c r="X840" s="1">
        <v>2402</v>
      </c>
      <c r="Y840" s="1" t="s">
        <v>24</v>
      </c>
      <c r="Z840" s="1" t="s">
        <v>24</v>
      </c>
      <c r="AA840" s="1" t="s">
        <v>24</v>
      </c>
      <c r="AB840" s="1" t="s">
        <v>24</v>
      </c>
      <c r="AC840" s="1" t="s">
        <v>24</v>
      </c>
      <c r="AD840" s="1" t="s">
        <v>24</v>
      </c>
      <c r="AE840" s="1" t="s">
        <v>24</v>
      </c>
      <c r="AF840" s="22"/>
    </row>
    <row r="841" spans="1:32" x14ac:dyDescent="0.2">
      <c r="A841" s="1">
        <v>4608</v>
      </c>
      <c r="B841" s="1" t="s">
        <v>2819</v>
      </c>
      <c r="C841" s="5" t="s">
        <v>0</v>
      </c>
      <c r="D841" s="1" t="s">
        <v>2820</v>
      </c>
      <c r="E841" s="1" t="s">
        <v>2821</v>
      </c>
      <c r="F841" s="1" t="s">
        <v>2822</v>
      </c>
      <c r="G841" s="1" t="s">
        <v>61</v>
      </c>
      <c r="H841" s="1" t="s">
        <v>37</v>
      </c>
      <c r="I841" s="1" t="s">
        <v>16</v>
      </c>
      <c r="J841" s="1">
        <v>2</v>
      </c>
      <c r="K841" s="1">
        <v>26</v>
      </c>
      <c r="L841" s="1" t="s">
        <v>31</v>
      </c>
      <c r="M841" s="1" t="s">
        <v>18</v>
      </c>
      <c r="N841" s="1" t="s">
        <v>18</v>
      </c>
      <c r="O841" s="1">
        <v>3</v>
      </c>
      <c r="P841" s="1">
        <v>8</v>
      </c>
      <c r="Q841" s="7" t="s">
        <v>17633</v>
      </c>
      <c r="R841" s="1" t="s">
        <v>62</v>
      </c>
      <c r="S841" s="1" t="s">
        <v>20</v>
      </c>
      <c r="T841" s="1" t="s">
        <v>21</v>
      </c>
      <c r="U841" s="1" t="s">
        <v>22</v>
      </c>
      <c r="V841" s="1" t="s">
        <v>23</v>
      </c>
      <c r="W841" s="1" t="s">
        <v>24</v>
      </c>
      <c r="X841" s="1">
        <v>2700</v>
      </c>
      <c r="Y841" s="1" t="s">
        <v>24</v>
      </c>
      <c r="Z841" s="1" t="s">
        <v>24</v>
      </c>
      <c r="AA841" s="1" t="s">
        <v>24</v>
      </c>
      <c r="AB841" s="1" t="s">
        <v>24</v>
      </c>
      <c r="AC841" s="1" t="s">
        <v>24</v>
      </c>
      <c r="AD841" s="1" t="s">
        <v>24</v>
      </c>
      <c r="AE841" s="1" t="s">
        <v>24</v>
      </c>
      <c r="AF841" s="22"/>
    </row>
    <row r="842" spans="1:32" x14ac:dyDescent="0.2">
      <c r="A842" s="1">
        <v>4612</v>
      </c>
      <c r="B842" s="1" t="s">
        <v>2823</v>
      </c>
      <c r="C842" s="5" t="s">
        <v>0</v>
      </c>
      <c r="D842" s="1" t="s">
        <v>2824</v>
      </c>
      <c r="E842" s="1" t="s">
        <v>2825</v>
      </c>
      <c r="F842" s="1" t="s">
        <v>517</v>
      </c>
      <c r="G842" s="1" t="s">
        <v>36</v>
      </c>
      <c r="H842" s="1" t="s">
        <v>30</v>
      </c>
      <c r="I842" s="1" t="s">
        <v>16</v>
      </c>
      <c r="J842" s="1">
        <v>1</v>
      </c>
      <c r="K842" s="1">
        <v>12</v>
      </c>
      <c r="L842" s="1" t="s">
        <v>31</v>
      </c>
      <c r="M842" s="1" t="s">
        <v>18</v>
      </c>
      <c r="N842" s="1" t="s">
        <v>18</v>
      </c>
      <c r="O842" s="1">
        <v>3</v>
      </c>
      <c r="P842" s="1">
        <v>8</v>
      </c>
      <c r="Q842" s="7" t="s">
        <v>17633</v>
      </c>
      <c r="R842" s="1" t="s">
        <v>19</v>
      </c>
      <c r="S842" s="1" t="s">
        <v>20</v>
      </c>
      <c r="T842" s="1" t="s">
        <v>21</v>
      </c>
      <c r="U842" s="1" t="s">
        <v>22</v>
      </c>
      <c r="V842" s="1" t="s">
        <v>23</v>
      </c>
      <c r="W842" s="1" t="s">
        <v>24</v>
      </c>
      <c r="X842" s="1">
        <v>2733</v>
      </c>
      <c r="Y842" s="1" t="s">
        <v>24</v>
      </c>
      <c r="Z842" s="1" t="s">
        <v>24</v>
      </c>
      <c r="AA842" s="1" t="s">
        <v>24</v>
      </c>
      <c r="AB842" s="1" t="s">
        <v>24</v>
      </c>
      <c r="AC842" s="1" t="s">
        <v>24</v>
      </c>
      <c r="AD842" s="1" t="s">
        <v>24</v>
      </c>
      <c r="AE842" s="1" t="s">
        <v>24</v>
      </c>
      <c r="AF842" s="22"/>
    </row>
    <row r="843" spans="1:32" x14ac:dyDescent="0.2">
      <c r="A843" s="1">
        <v>4620</v>
      </c>
      <c r="B843" s="1" t="s">
        <v>2826</v>
      </c>
      <c r="C843" s="5" t="s">
        <v>0</v>
      </c>
      <c r="D843" s="1" t="s">
        <v>2827</v>
      </c>
      <c r="F843" s="1" t="s">
        <v>97</v>
      </c>
      <c r="G843" s="1" t="s">
        <v>98</v>
      </c>
      <c r="H843" s="1" t="s">
        <v>37</v>
      </c>
      <c r="I843" s="1" t="s">
        <v>16</v>
      </c>
      <c r="J843" s="1">
        <v>1</v>
      </c>
      <c r="K843" s="1">
        <v>4</v>
      </c>
      <c r="L843" s="1" t="s">
        <v>31</v>
      </c>
      <c r="M843" s="1" t="s">
        <v>18</v>
      </c>
      <c r="N843" s="1" t="s">
        <v>18</v>
      </c>
      <c r="O843" s="1">
        <v>2</v>
      </c>
      <c r="P843" s="1">
        <v>5</v>
      </c>
      <c r="R843" s="1" t="s">
        <v>19</v>
      </c>
      <c r="S843" s="1" t="s">
        <v>20</v>
      </c>
      <c r="T843" s="1" t="s">
        <v>21</v>
      </c>
      <c r="U843" s="1" t="s">
        <v>22</v>
      </c>
      <c r="V843" s="1" t="s">
        <v>24</v>
      </c>
      <c r="W843" s="1" t="s">
        <v>24</v>
      </c>
      <c r="X843" s="1">
        <v>1103</v>
      </c>
      <c r="Y843" s="1">
        <v>3400</v>
      </c>
      <c r="Z843" s="1" t="s">
        <v>24</v>
      </c>
      <c r="AA843" s="1" t="s">
        <v>24</v>
      </c>
      <c r="AB843" s="1" t="s">
        <v>24</v>
      </c>
      <c r="AC843" s="1" t="s">
        <v>24</v>
      </c>
      <c r="AD843" s="1" t="s">
        <v>24</v>
      </c>
      <c r="AE843" s="1" t="s">
        <v>24</v>
      </c>
      <c r="AF843" s="22" t="s">
        <v>17679</v>
      </c>
    </row>
    <row r="844" spans="1:32" x14ac:dyDescent="0.2">
      <c r="A844" s="1">
        <v>4624</v>
      </c>
      <c r="B844" s="1" t="s">
        <v>2828</v>
      </c>
      <c r="C844" s="5" t="s">
        <v>0</v>
      </c>
      <c r="D844" s="1" t="s">
        <v>2829</v>
      </c>
      <c r="E844" s="1" t="s">
        <v>2830</v>
      </c>
      <c r="F844" s="1" t="s">
        <v>287</v>
      </c>
      <c r="G844" s="1" t="s">
        <v>287</v>
      </c>
      <c r="H844" s="1" t="s">
        <v>30</v>
      </c>
      <c r="I844" s="1" t="s">
        <v>16</v>
      </c>
      <c r="J844" s="1">
        <v>1</v>
      </c>
      <c r="K844" s="1">
        <v>12</v>
      </c>
      <c r="L844" s="1" t="s">
        <v>42</v>
      </c>
      <c r="M844" s="1" t="s">
        <v>18</v>
      </c>
      <c r="N844" s="1" t="s">
        <v>18</v>
      </c>
      <c r="O844" s="1">
        <v>3</v>
      </c>
      <c r="P844" s="1">
        <v>5</v>
      </c>
      <c r="R844" s="1" t="s">
        <v>19</v>
      </c>
      <c r="S844" s="1" t="s">
        <v>20</v>
      </c>
      <c r="T844" s="1" t="s">
        <v>21</v>
      </c>
      <c r="U844" s="1" t="s">
        <v>22</v>
      </c>
      <c r="V844" s="1" t="s">
        <v>23</v>
      </c>
      <c r="W844" s="1" t="s">
        <v>24</v>
      </c>
      <c r="X844" s="1">
        <v>1308</v>
      </c>
      <c r="Y844" s="1">
        <v>2704</v>
      </c>
      <c r="Z844" s="1" t="s">
        <v>24</v>
      </c>
      <c r="AA844" s="1" t="s">
        <v>24</v>
      </c>
      <c r="AB844" s="1" t="s">
        <v>24</v>
      </c>
      <c r="AC844" s="1" t="s">
        <v>24</v>
      </c>
      <c r="AD844" s="1" t="s">
        <v>24</v>
      </c>
      <c r="AE844" s="1" t="s">
        <v>24</v>
      </c>
      <c r="AF844" s="22"/>
    </row>
    <row r="845" spans="1:32" x14ac:dyDescent="0.2">
      <c r="A845" s="1">
        <v>4625</v>
      </c>
      <c r="B845" s="1" t="s">
        <v>2831</v>
      </c>
      <c r="C845" s="5" t="s">
        <v>0</v>
      </c>
      <c r="D845" s="1" t="s">
        <v>2832</v>
      </c>
      <c r="F845" s="1" t="s">
        <v>2833</v>
      </c>
      <c r="G845" s="1" t="s">
        <v>2834</v>
      </c>
      <c r="H845" s="1" t="s">
        <v>428</v>
      </c>
      <c r="I845" s="1" t="s">
        <v>16</v>
      </c>
      <c r="J845" s="1">
        <v>1</v>
      </c>
      <c r="K845" s="1">
        <v>1</v>
      </c>
      <c r="L845" s="1" t="s">
        <v>31</v>
      </c>
      <c r="M845" s="1" t="s">
        <v>2835</v>
      </c>
      <c r="N845" s="1" t="s">
        <v>18</v>
      </c>
      <c r="O845" s="1">
        <v>2</v>
      </c>
      <c r="P845" s="1">
        <v>6</v>
      </c>
      <c r="R845" s="1" t="s">
        <v>19</v>
      </c>
      <c r="S845" s="1" t="s">
        <v>20</v>
      </c>
      <c r="T845" s="1" t="s">
        <v>21</v>
      </c>
      <c r="U845" s="1" t="s">
        <v>22</v>
      </c>
      <c r="V845" s="1" t="s">
        <v>24</v>
      </c>
      <c r="W845" s="1" t="s">
        <v>24</v>
      </c>
      <c r="X845" s="1">
        <v>2730</v>
      </c>
      <c r="Y845" s="1" t="s">
        <v>24</v>
      </c>
      <c r="Z845" s="1" t="s">
        <v>24</v>
      </c>
      <c r="AA845" s="1" t="s">
        <v>24</v>
      </c>
      <c r="AB845" s="1" t="s">
        <v>24</v>
      </c>
      <c r="AC845" s="1" t="s">
        <v>24</v>
      </c>
      <c r="AD845" s="1" t="s">
        <v>24</v>
      </c>
      <c r="AE845" s="1" t="s">
        <v>24</v>
      </c>
      <c r="AF845" s="22"/>
    </row>
    <row r="846" spans="1:32" x14ac:dyDescent="0.2">
      <c r="A846" s="1">
        <v>4649</v>
      </c>
      <c r="B846" s="1" t="s">
        <v>2836</v>
      </c>
      <c r="C846" s="5" t="s">
        <v>0</v>
      </c>
      <c r="D846" s="1" t="s">
        <v>2837</v>
      </c>
      <c r="E846" s="1" t="s">
        <v>2838</v>
      </c>
      <c r="F846" s="1" t="s">
        <v>155</v>
      </c>
      <c r="G846" s="1" t="s">
        <v>61</v>
      </c>
      <c r="H846" s="1" t="s">
        <v>37</v>
      </c>
      <c r="I846" s="1" t="s">
        <v>16</v>
      </c>
      <c r="J846" s="1">
        <v>1</v>
      </c>
      <c r="K846" s="1">
        <v>12</v>
      </c>
      <c r="L846" s="1" t="s">
        <v>31</v>
      </c>
      <c r="M846" s="1" t="s">
        <v>18</v>
      </c>
      <c r="N846" s="1" t="s">
        <v>18</v>
      </c>
      <c r="O846" s="1">
        <v>3</v>
      </c>
      <c r="P846" s="1">
        <v>7</v>
      </c>
      <c r="Q846" s="7" t="s">
        <v>17633</v>
      </c>
      <c r="R846" s="1" t="s">
        <v>19</v>
      </c>
      <c r="S846" s="1" t="s">
        <v>20</v>
      </c>
      <c r="T846" s="1" t="s">
        <v>21</v>
      </c>
      <c r="U846" s="1" t="s">
        <v>22</v>
      </c>
      <c r="V846" s="1" t="s">
        <v>24</v>
      </c>
      <c r="W846" s="1" t="s">
        <v>24</v>
      </c>
      <c r="X846" s="1">
        <v>1306</v>
      </c>
      <c r="Y846" s="1">
        <v>2720</v>
      </c>
      <c r="Z846" s="1">
        <v>2730</v>
      </c>
      <c r="AA846" s="1" t="s">
        <v>24</v>
      </c>
      <c r="AB846" s="1" t="s">
        <v>24</v>
      </c>
      <c r="AC846" s="1" t="s">
        <v>24</v>
      </c>
      <c r="AD846" s="1" t="s">
        <v>24</v>
      </c>
      <c r="AE846" s="1" t="s">
        <v>24</v>
      </c>
      <c r="AF846" s="22"/>
    </row>
    <row r="847" spans="1:32" x14ac:dyDescent="0.2">
      <c r="A847" s="1">
        <v>4661</v>
      </c>
      <c r="B847" s="1" t="s">
        <v>2839</v>
      </c>
      <c r="C847" s="5" t="s">
        <v>0</v>
      </c>
      <c r="D847" s="1" t="s">
        <v>2840</v>
      </c>
      <c r="E847" s="1" t="s">
        <v>2841</v>
      </c>
      <c r="F847" s="1" t="s">
        <v>272</v>
      </c>
      <c r="G847" s="1" t="s">
        <v>61</v>
      </c>
      <c r="H847" s="1" t="s">
        <v>30</v>
      </c>
      <c r="I847" s="1" t="s">
        <v>16</v>
      </c>
      <c r="J847" s="1">
        <v>2</v>
      </c>
      <c r="K847" s="1">
        <v>26</v>
      </c>
      <c r="L847" s="1" t="s">
        <v>31</v>
      </c>
      <c r="M847" s="1" t="s">
        <v>18</v>
      </c>
      <c r="N847" s="1" t="s">
        <v>18</v>
      </c>
      <c r="O847" s="1">
        <v>3</v>
      </c>
      <c r="P847" s="1">
        <v>6</v>
      </c>
      <c r="R847" s="1" t="s">
        <v>19</v>
      </c>
      <c r="S847" s="1" t="s">
        <v>20</v>
      </c>
      <c r="T847" s="1" t="s">
        <v>21</v>
      </c>
      <c r="U847" s="1" t="s">
        <v>22</v>
      </c>
      <c r="V847" s="1" t="s">
        <v>24</v>
      </c>
      <c r="W847" s="1" t="s">
        <v>64</v>
      </c>
      <c r="X847" s="1">
        <v>3000</v>
      </c>
      <c r="Y847" s="1">
        <v>1300</v>
      </c>
      <c r="Z847" s="1" t="s">
        <v>24</v>
      </c>
      <c r="AA847" s="1" t="s">
        <v>24</v>
      </c>
      <c r="AB847" s="1" t="s">
        <v>24</v>
      </c>
      <c r="AC847" s="1" t="s">
        <v>24</v>
      </c>
      <c r="AD847" s="1" t="s">
        <v>24</v>
      </c>
      <c r="AE847" s="1" t="s">
        <v>24</v>
      </c>
      <c r="AF847" s="22"/>
    </row>
    <row r="848" spans="1:32" x14ac:dyDescent="0.2">
      <c r="A848" s="1">
        <v>4670</v>
      </c>
      <c r="B848" s="1" t="s">
        <v>2842</v>
      </c>
      <c r="C848" s="5" t="s">
        <v>0</v>
      </c>
      <c r="D848" s="1" t="s">
        <v>2843</v>
      </c>
      <c r="E848" s="1" t="s">
        <v>2844</v>
      </c>
      <c r="F848" s="1" t="s">
        <v>35</v>
      </c>
      <c r="G848" s="1" t="s">
        <v>36</v>
      </c>
      <c r="H848" s="1" t="s">
        <v>37</v>
      </c>
      <c r="I848" s="1" t="s">
        <v>16</v>
      </c>
      <c r="J848" s="1">
        <v>1</v>
      </c>
      <c r="K848" s="1">
        <v>12</v>
      </c>
      <c r="L848" s="1" t="s">
        <v>31</v>
      </c>
      <c r="M848" s="1" t="s">
        <v>18</v>
      </c>
      <c r="N848" s="1" t="s">
        <v>18</v>
      </c>
      <c r="O848" s="1">
        <v>3</v>
      </c>
      <c r="P848" s="1">
        <v>7</v>
      </c>
      <c r="Q848" s="7" t="s">
        <v>17633</v>
      </c>
      <c r="R848" s="1" t="s">
        <v>62</v>
      </c>
      <c r="S848" s="1" t="s">
        <v>20</v>
      </c>
      <c r="T848" s="1" t="s">
        <v>21</v>
      </c>
      <c r="U848" s="1" t="s">
        <v>22</v>
      </c>
      <c r="V848" s="1" t="s">
        <v>24</v>
      </c>
      <c r="W848" s="1" t="s">
        <v>24</v>
      </c>
      <c r="X848" s="1">
        <v>2403</v>
      </c>
      <c r="Y848" s="1">
        <v>2723</v>
      </c>
      <c r="Z848" s="1" t="s">
        <v>24</v>
      </c>
      <c r="AA848" s="1" t="s">
        <v>24</v>
      </c>
      <c r="AB848" s="1" t="s">
        <v>24</v>
      </c>
      <c r="AC848" s="1" t="s">
        <v>24</v>
      </c>
      <c r="AD848" s="1" t="s">
        <v>24</v>
      </c>
      <c r="AE848" s="1" t="s">
        <v>24</v>
      </c>
      <c r="AF848" s="22"/>
    </row>
    <row r="849" spans="1:32" x14ac:dyDescent="0.2">
      <c r="A849" s="1">
        <v>4681</v>
      </c>
      <c r="B849" s="1" t="s">
        <v>2845</v>
      </c>
      <c r="C849" s="5" t="s">
        <v>0</v>
      </c>
      <c r="D849" s="1" t="s">
        <v>2846</v>
      </c>
      <c r="F849" s="1" t="s">
        <v>2847</v>
      </c>
      <c r="G849" s="1" t="s">
        <v>2848</v>
      </c>
      <c r="H849" s="1" t="s">
        <v>15</v>
      </c>
      <c r="I849" s="1" t="s">
        <v>16</v>
      </c>
      <c r="J849" s="1">
        <v>1</v>
      </c>
      <c r="K849" s="1">
        <v>10</v>
      </c>
      <c r="L849" s="1" t="s">
        <v>31</v>
      </c>
      <c r="M849" s="1" t="s">
        <v>87</v>
      </c>
      <c r="N849" s="1" t="s">
        <v>199</v>
      </c>
      <c r="O849" s="1">
        <v>1</v>
      </c>
      <c r="P849" s="1">
        <v>4</v>
      </c>
      <c r="R849" s="1" t="s">
        <v>19</v>
      </c>
      <c r="S849" s="1" t="s">
        <v>20</v>
      </c>
      <c r="T849" s="1" t="s">
        <v>21</v>
      </c>
      <c r="U849" s="1" t="s">
        <v>22</v>
      </c>
      <c r="V849" s="1" t="s">
        <v>24</v>
      </c>
      <c r="W849" s="1" t="s">
        <v>24</v>
      </c>
      <c r="X849" s="1">
        <v>2700</v>
      </c>
      <c r="Y849" s="1" t="s">
        <v>24</v>
      </c>
      <c r="Z849" s="1" t="s">
        <v>24</v>
      </c>
      <c r="AA849" s="1" t="s">
        <v>24</v>
      </c>
      <c r="AB849" s="1" t="s">
        <v>24</v>
      </c>
      <c r="AC849" s="1" t="s">
        <v>24</v>
      </c>
      <c r="AD849" s="1" t="s">
        <v>24</v>
      </c>
      <c r="AE849" s="1" t="s">
        <v>24</v>
      </c>
      <c r="AF849" s="22"/>
    </row>
    <row r="850" spans="1:32" x14ac:dyDescent="0.2">
      <c r="A850" s="1">
        <v>4682</v>
      </c>
      <c r="B850" s="1" t="s">
        <v>2849</v>
      </c>
      <c r="C850" s="5" t="s">
        <v>0</v>
      </c>
      <c r="D850" s="1" t="s">
        <v>2850</v>
      </c>
      <c r="E850" s="1" t="s">
        <v>2851</v>
      </c>
      <c r="F850" s="1" t="s">
        <v>167</v>
      </c>
      <c r="G850" s="1" t="s">
        <v>130</v>
      </c>
      <c r="H850" s="1" t="s">
        <v>168</v>
      </c>
      <c r="I850" s="1" t="s">
        <v>16</v>
      </c>
      <c r="J850" s="1">
        <v>1</v>
      </c>
      <c r="K850" s="1">
        <v>12</v>
      </c>
      <c r="L850" s="1" t="s">
        <v>31</v>
      </c>
      <c r="M850" s="1" t="s">
        <v>18</v>
      </c>
      <c r="N850" s="1" t="s">
        <v>18</v>
      </c>
      <c r="O850" s="1">
        <v>3</v>
      </c>
      <c r="P850" s="1">
        <v>6</v>
      </c>
      <c r="R850" s="1" t="s">
        <v>19</v>
      </c>
      <c r="S850" s="1" t="s">
        <v>20</v>
      </c>
      <c r="T850" s="1" t="s">
        <v>21</v>
      </c>
      <c r="U850" s="1" t="s">
        <v>22</v>
      </c>
      <c r="V850" s="1" t="s">
        <v>24</v>
      </c>
      <c r="W850" s="1" t="s">
        <v>64</v>
      </c>
      <c r="X850" s="1">
        <v>1303</v>
      </c>
      <c r="Y850" s="1">
        <v>1307</v>
      </c>
      <c r="Z850" s="1">
        <v>1605</v>
      </c>
      <c r="AA850" s="1" t="s">
        <v>24</v>
      </c>
      <c r="AB850" s="1" t="s">
        <v>24</v>
      </c>
      <c r="AC850" s="1" t="s">
        <v>24</v>
      </c>
      <c r="AD850" s="1" t="s">
        <v>24</v>
      </c>
      <c r="AE850" s="1" t="s">
        <v>24</v>
      </c>
      <c r="AF850" s="22"/>
    </row>
    <row r="851" spans="1:32" x14ac:dyDescent="0.2">
      <c r="A851" s="1">
        <v>4689</v>
      </c>
      <c r="B851" s="1" t="s">
        <v>2852</v>
      </c>
      <c r="C851" s="5" t="s">
        <v>0</v>
      </c>
      <c r="D851" s="1" t="s">
        <v>2853</v>
      </c>
      <c r="E851" s="1" t="s">
        <v>2854</v>
      </c>
      <c r="F851" s="1" t="s">
        <v>320</v>
      </c>
      <c r="G851" s="1" t="s">
        <v>36</v>
      </c>
      <c r="H851" s="1" t="s">
        <v>30</v>
      </c>
      <c r="I851" s="1" t="s">
        <v>16</v>
      </c>
      <c r="J851" s="1">
        <v>2</v>
      </c>
      <c r="K851" s="1">
        <v>5</v>
      </c>
      <c r="L851" s="1" t="s">
        <v>31</v>
      </c>
      <c r="M851" s="1" t="s">
        <v>18</v>
      </c>
      <c r="N851" s="1" t="s">
        <v>18</v>
      </c>
      <c r="O851" s="1">
        <v>3</v>
      </c>
      <c r="P851" s="1">
        <v>7</v>
      </c>
      <c r="Q851" s="7" t="s">
        <v>17633</v>
      </c>
      <c r="R851" s="1" t="s">
        <v>19</v>
      </c>
      <c r="S851" s="1" t="s">
        <v>20</v>
      </c>
      <c r="T851" s="1" t="s">
        <v>21</v>
      </c>
      <c r="U851" s="1" t="s">
        <v>22</v>
      </c>
      <c r="V851" s="1" t="s">
        <v>23</v>
      </c>
      <c r="W851" s="1" t="s">
        <v>24</v>
      </c>
      <c r="X851" s="1">
        <v>2746</v>
      </c>
      <c r="Y851" s="1">
        <v>2708</v>
      </c>
      <c r="Z851" s="1" t="s">
        <v>24</v>
      </c>
      <c r="AA851" s="1" t="s">
        <v>24</v>
      </c>
      <c r="AB851" s="1" t="s">
        <v>24</v>
      </c>
      <c r="AC851" s="1" t="s">
        <v>24</v>
      </c>
      <c r="AD851" s="1" t="s">
        <v>24</v>
      </c>
      <c r="AE851" s="1" t="s">
        <v>24</v>
      </c>
      <c r="AF851" s="22"/>
    </row>
    <row r="852" spans="1:32" x14ac:dyDescent="0.2">
      <c r="A852" s="1">
        <v>4697</v>
      </c>
      <c r="B852" s="1" t="s">
        <v>2855</v>
      </c>
      <c r="C852" s="5" t="s">
        <v>0</v>
      </c>
      <c r="D852" s="1" t="s">
        <v>2856</v>
      </c>
      <c r="E852" s="1" t="s">
        <v>2857</v>
      </c>
      <c r="F852" s="1" t="s">
        <v>190</v>
      </c>
      <c r="G852" s="1" t="s">
        <v>130</v>
      </c>
      <c r="H852" s="1" t="s">
        <v>30</v>
      </c>
      <c r="I852" s="1" t="s">
        <v>16</v>
      </c>
      <c r="J852" s="1">
        <v>1</v>
      </c>
      <c r="K852" s="1">
        <v>6</v>
      </c>
      <c r="L852" s="1" t="s">
        <v>31</v>
      </c>
      <c r="M852" s="1" t="s">
        <v>18</v>
      </c>
      <c r="N852" s="1" t="s">
        <v>18</v>
      </c>
      <c r="O852" s="1">
        <v>3</v>
      </c>
      <c r="P852" s="1">
        <v>7</v>
      </c>
      <c r="Q852" s="7" t="s">
        <v>17633</v>
      </c>
      <c r="R852" s="1" t="s">
        <v>19</v>
      </c>
      <c r="S852" s="1" t="s">
        <v>20</v>
      </c>
      <c r="T852" s="1" t="s">
        <v>21</v>
      </c>
      <c r="U852" s="1" t="s">
        <v>22</v>
      </c>
      <c r="V852" s="1" t="s">
        <v>24</v>
      </c>
      <c r="W852" s="1" t="s">
        <v>24</v>
      </c>
      <c r="X852" s="1">
        <v>2740</v>
      </c>
      <c r="Y852" s="1" t="s">
        <v>24</v>
      </c>
      <c r="Z852" s="1" t="s">
        <v>24</v>
      </c>
      <c r="AA852" s="1" t="s">
        <v>24</v>
      </c>
      <c r="AB852" s="1" t="s">
        <v>24</v>
      </c>
      <c r="AC852" s="1" t="s">
        <v>24</v>
      </c>
      <c r="AD852" s="1" t="s">
        <v>24</v>
      </c>
      <c r="AE852" s="1" t="s">
        <v>24</v>
      </c>
      <c r="AF852" s="22"/>
    </row>
    <row r="853" spans="1:32" x14ac:dyDescent="0.2">
      <c r="A853" s="1">
        <v>4704</v>
      </c>
      <c r="B853" s="1" t="s">
        <v>2858</v>
      </c>
      <c r="C853" s="5" t="s">
        <v>0</v>
      </c>
      <c r="D853" s="1" t="s">
        <v>2859</v>
      </c>
      <c r="F853" s="1" t="s">
        <v>2860</v>
      </c>
      <c r="G853" s="1" t="s">
        <v>2861</v>
      </c>
      <c r="H853" s="1" t="s">
        <v>30</v>
      </c>
      <c r="I853" s="1" t="s">
        <v>16</v>
      </c>
      <c r="J853" s="1">
        <v>1</v>
      </c>
      <c r="K853" s="1">
        <v>4</v>
      </c>
      <c r="L853" s="1" t="s">
        <v>17</v>
      </c>
      <c r="M853" s="1" t="s">
        <v>18</v>
      </c>
      <c r="N853" s="1" t="s">
        <v>18</v>
      </c>
      <c r="O853" s="1">
        <v>3</v>
      </c>
      <c r="P853" s="1">
        <v>7</v>
      </c>
      <c r="Q853" s="7" t="s">
        <v>17633</v>
      </c>
      <c r="R853" s="1" t="s">
        <v>19</v>
      </c>
      <c r="S853" s="1" t="s">
        <v>20</v>
      </c>
      <c r="T853" s="1" t="s">
        <v>21</v>
      </c>
      <c r="U853" s="1" t="s">
        <v>22</v>
      </c>
      <c r="V853" s="1" t="s">
        <v>24</v>
      </c>
      <c r="W853" s="1" t="s">
        <v>24</v>
      </c>
      <c r="X853" s="1">
        <v>2723</v>
      </c>
      <c r="Y853" s="1">
        <v>2720</v>
      </c>
      <c r="Z853" s="1" t="s">
        <v>24</v>
      </c>
      <c r="AA853" s="1" t="s">
        <v>24</v>
      </c>
      <c r="AB853" s="1" t="s">
        <v>24</v>
      </c>
      <c r="AC853" s="1" t="s">
        <v>24</v>
      </c>
      <c r="AD853" s="1" t="s">
        <v>24</v>
      </c>
      <c r="AE853" s="1" t="s">
        <v>24</v>
      </c>
      <c r="AF853" s="22"/>
    </row>
    <row r="854" spans="1:32" x14ac:dyDescent="0.2">
      <c r="A854" s="1">
        <v>4711</v>
      </c>
      <c r="B854" s="1" t="s">
        <v>2862</v>
      </c>
      <c r="C854" s="5" t="s">
        <v>0</v>
      </c>
      <c r="D854" s="1" t="s">
        <v>2863</v>
      </c>
      <c r="E854" s="1" t="s">
        <v>2864</v>
      </c>
      <c r="F854" s="1" t="s">
        <v>272</v>
      </c>
      <c r="G854" s="1" t="s">
        <v>61</v>
      </c>
      <c r="H854" s="1" t="s">
        <v>30</v>
      </c>
      <c r="I854" s="1" t="s">
        <v>16</v>
      </c>
      <c r="J854" s="1">
        <v>6</v>
      </c>
      <c r="K854" s="1">
        <v>2</v>
      </c>
      <c r="L854" s="1" t="s">
        <v>31</v>
      </c>
      <c r="M854" s="1" t="s">
        <v>18</v>
      </c>
      <c r="N854" s="1" t="s">
        <v>18</v>
      </c>
      <c r="O854" s="1">
        <v>3</v>
      </c>
      <c r="P854" s="1">
        <v>6</v>
      </c>
      <c r="R854" s="1" t="s">
        <v>19</v>
      </c>
      <c r="S854" s="1" t="s">
        <v>20</v>
      </c>
      <c r="T854" s="1" t="s">
        <v>21</v>
      </c>
      <c r="U854" s="1" t="s">
        <v>22</v>
      </c>
      <c r="V854" s="1" t="s">
        <v>24</v>
      </c>
      <c r="W854" s="1" t="s">
        <v>24</v>
      </c>
      <c r="X854" s="1">
        <v>2604</v>
      </c>
      <c r="Y854" s="1">
        <v>2613</v>
      </c>
      <c r="Z854" s="1">
        <v>2611</v>
      </c>
      <c r="AA854" s="1">
        <v>1100</v>
      </c>
      <c r="AB854" s="1">
        <v>1300</v>
      </c>
      <c r="AC854" s="1">
        <v>2400</v>
      </c>
      <c r="AD854" s="1">
        <v>2700</v>
      </c>
      <c r="AE854" s="1" t="s">
        <v>24</v>
      </c>
      <c r="AF854" s="22"/>
    </row>
    <row r="855" spans="1:32" x14ac:dyDescent="0.2">
      <c r="A855" s="1">
        <v>4714</v>
      </c>
      <c r="B855" s="1" t="s">
        <v>2865</v>
      </c>
      <c r="C855" s="5" t="s">
        <v>0</v>
      </c>
      <c r="D855" s="1" t="s">
        <v>2866</v>
      </c>
      <c r="F855" s="1" t="s">
        <v>91</v>
      </c>
      <c r="G855" s="1" t="s">
        <v>61</v>
      </c>
      <c r="H855" s="1" t="s">
        <v>30</v>
      </c>
      <c r="I855" s="1" t="s">
        <v>16</v>
      </c>
      <c r="J855" s="1">
        <v>1</v>
      </c>
      <c r="K855" s="1">
        <v>12</v>
      </c>
      <c r="L855" s="1" t="s">
        <v>31</v>
      </c>
      <c r="M855" s="1" t="s">
        <v>18</v>
      </c>
      <c r="N855" s="1" t="s">
        <v>18</v>
      </c>
      <c r="O855" s="1">
        <v>3</v>
      </c>
      <c r="P855" s="1">
        <v>6</v>
      </c>
      <c r="R855" s="1" t="s">
        <v>62</v>
      </c>
      <c r="S855" s="1" t="s">
        <v>20</v>
      </c>
      <c r="T855" s="1" t="s">
        <v>21</v>
      </c>
      <c r="U855" s="1" t="s">
        <v>22</v>
      </c>
      <c r="V855" s="1" t="s">
        <v>23</v>
      </c>
      <c r="W855" s="1" t="s">
        <v>24</v>
      </c>
      <c r="X855" s="1">
        <v>2700</v>
      </c>
      <c r="Y855" s="1" t="s">
        <v>24</v>
      </c>
      <c r="Z855" s="1" t="s">
        <v>24</v>
      </c>
      <c r="AA855" s="1" t="s">
        <v>24</v>
      </c>
      <c r="AB855" s="1" t="s">
        <v>24</v>
      </c>
      <c r="AC855" s="1" t="s">
        <v>24</v>
      </c>
      <c r="AD855" s="1" t="s">
        <v>24</v>
      </c>
      <c r="AE855" s="1" t="s">
        <v>24</v>
      </c>
      <c r="AF855" s="22" t="s">
        <v>17674</v>
      </c>
    </row>
    <row r="856" spans="1:32" x14ac:dyDescent="0.2">
      <c r="A856" s="1">
        <v>4721</v>
      </c>
      <c r="B856" s="1" t="s">
        <v>2867</v>
      </c>
      <c r="C856" s="5" t="s">
        <v>0</v>
      </c>
      <c r="D856" s="1" t="s">
        <v>2868</v>
      </c>
      <c r="E856" s="1" t="s">
        <v>2869</v>
      </c>
      <c r="F856" s="1" t="s">
        <v>221</v>
      </c>
      <c r="G856" s="1" t="s">
        <v>61</v>
      </c>
      <c r="H856" s="1" t="s">
        <v>222</v>
      </c>
      <c r="I856" s="1" t="s">
        <v>16</v>
      </c>
      <c r="J856" s="1">
        <v>1</v>
      </c>
      <c r="K856" s="1">
        <v>12</v>
      </c>
      <c r="L856" s="1" t="s">
        <v>31</v>
      </c>
      <c r="M856" s="1" t="s">
        <v>18</v>
      </c>
      <c r="N856" s="1" t="s">
        <v>18</v>
      </c>
      <c r="O856" s="1">
        <v>3</v>
      </c>
      <c r="P856" s="1">
        <v>7</v>
      </c>
      <c r="Q856" s="7" t="s">
        <v>17633</v>
      </c>
      <c r="R856" s="1" t="s">
        <v>62</v>
      </c>
      <c r="S856" s="1" t="s">
        <v>63</v>
      </c>
      <c r="T856" s="1" t="s">
        <v>21</v>
      </c>
      <c r="U856" s="1" t="s">
        <v>22</v>
      </c>
      <c r="V856" s="1" t="s">
        <v>24</v>
      </c>
      <c r="W856" s="1" t="s">
        <v>24</v>
      </c>
      <c r="X856" s="1">
        <v>1302</v>
      </c>
      <c r="Y856" s="1">
        <v>1309</v>
      </c>
      <c r="Z856" s="1" t="s">
        <v>24</v>
      </c>
      <c r="AA856" s="1" t="s">
        <v>24</v>
      </c>
      <c r="AB856" s="1" t="s">
        <v>24</v>
      </c>
      <c r="AC856" s="1" t="s">
        <v>24</v>
      </c>
      <c r="AD856" s="1" t="s">
        <v>24</v>
      </c>
      <c r="AE856" s="1" t="s">
        <v>24</v>
      </c>
      <c r="AF856" s="22"/>
    </row>
    <row r="857" spans="1:32" x14ac:dyDescent="0.2">
      <c r="A857" s="1">
        <v>4728</v>
      </c>
      <c r="B857" s="1" t="s">
        <v>2870</v>
      </c>
      <c r="C857" s="5" t="s">
        <v>0</v>
      </c>
      <c r="D857" s="1" t="s">
        <v>2871</v>
      </c>
      <c r="E857" s="1" t="s">
        <v>2872</v>
      </c>
      <c r="F857" s="1" t="s">
        <v>155</v>
      </c>
      <c r="G857" s="1" t="s">
        <v>61</v>
      </c>
      <c r="H857" s="1" t="s">
        <v>37</v>
      </c>
      <c r="I857" s="1" t="s">
        <v>16</v>
      </c>
      <c r="J857" s="1">
        <v>1</v>
      </c>
      <c r="K857" s="1">
        <v>6</v>
      </c>
      <c r="L857" s="1" t="s">
        <v>31</v>
      </c>
      <c r="M857" s="1" t="s">
        <v>18</v>
      </c>
      <c r="N857" s="1" t="s">
        <v>18</v>
      </c>
      <c r="O857" s="1">
        <v>0</v>
      </c>
      <c r="P857" s="1">
        <v>6</v>
      </c>
      <c r="R857" s="1" t="s">
        <v>19</v>
      </c>
      <c r="S857" s="1" t="s">
        <v>20</v>
      </c>
      <c r="T857" s="1" t="s">
        <v>21</v>
      </c>
      <c r="U857" s="1" t="s">
        <v>22</v>
      </c>
      <c r="V857" s="1" t="s">
        <v>24</v>
      </c>
      <c r="W857" s="1" t="s">
        <v>64</v>
      </c>
      <c r="X857" s="1">
        <v>1303</v>
      </c>
      <c r="Y857" s="1">
        <v>1312</v>
      </c>
      <c r="Z857" s="1">
        <v>1313</v>
      </c>
      <c r="AA857" s="1">
        <v>1308</v>
      </c>
      <c r="AB857" s="1">
        <v>2700</v>
      </c>
      <c r="AC857" s="1" t="s">
        <v>24</v>
      </c>
      <c r="AD857" s="1" t="s">
        <v>24</v>
      </c>
      <c r="AE857" s="1" t="s">
        <v>24</v>
      </c>
      <c r="AF857" s="22"/>
    </row>
    <row r="858" spans="1:32" x14ac:dyDescent="0.2">
      <c r="A858" s="1">
        <v>4744</v>
      </c>
      <c r="B858" s="1" t="s">
        <v>2873</v>
      </c>
      <c r="C858" s="5" t="s">
        <v>0</v>
      </c>
      <c r="D858" s="1" t="s">
        <v>2874</v>
      </c>
      <c r="F858" s="1" t="s">
        <v>2875</v>
      </c>
      <c r="G858" s="1" t="s">
        <v>2875</v>
      </c>
      <c r="H858" s="1" t="s">
        <v>461</v>
      </c>
      <c r="I858" s="1" t="s">
        <v>16</v>
      </c>
      <c r="J858" s="1">
        <v>1</v>
      </c>
      <c r="K858" s="1">
        <v>12</v>
      </c>
      <c r="L858" s="1" t="s">
        <v>17</v>
      </c>
      <c r="M858" s="1" t="s">
        <v>1735</v>
      </c>
      <c r="N858" s="1" t="s">
        <v>18</v>
      </c>
      <c r="O858" s="1">
        <v>2</v>
      </c>
      <c r="P858" s="1">
        <v>5</v>
      </c>
      <c r="R858" s="1" t="s">
        <v>19</v>
      </c>
      <c r="S858" s="1" t="s">
        <v>20</v>
      </c>
      <c r="T858" s="1" t="s">
        <v>21</v>
      </c>
      <c r="U858" s="1" t="s">
        <v>22</v>
      </c>
      <c r="V858" s="1" t="s">
        <v>23</v>
      </c>
      <c r="W858" s="1" t="s">
        <v>24</v>
      </c>
      <c r="X858" s="1">
        <v>2703</v>
      </c>
      <c r="Y858" s="1" t="s">
        <v>24</v>
      </c>
      <c r="Z858" s="1" t="s">
        <v>24</v>
      </c>
      <c r="AA858" s="1" t="s">
        <v>24</v>
      </c>
      <c r="AB858" s="1" t="s">
        <v>24</v>
      </c>
      <c r="AC858" s="1" t="s">
        <v>24</v>
      </c>
      <c r="AD858" s="1" t="s">
        <v>24</v>
      </c>
      <c r="AE858" s="1" t="s">
        <v>24</v>
      </c>
      <c r="AF858" s="22"/>
    </row>
    <row r="859" spans="1:32" x14ac:dyDescent="0.2">
      <c r="A859" s="1">
        <v>4747</v>
      </c>
      <c r="B859" s="1" t="s">
        <v>2876</v>
      </c>
      <c r="C859" s="5" t="s">
        <v>0</v>
      </c>
      <c r="D859" s="1" t="s">
        <v>2877</v>
      </c>
      <c r="E859" s="1" t="s">
        <v>2878</v>
      </c>
      <c r="F859" s="1" t="s">
        <v>221</v>
      </c>
      <c r="G859" s="1" t="s">
        <v>61</v>
      </c>
      <c r="H859" s="1" t="s">
        <v>222</v>
      </c>
      <c r="I859" s="1" t="s">
        <v>16</v>
      </c>
      <c r="J859" s="1">
        <v>3</v>
      </c>
      <c r="K859" s="1">
        <v>4</v>
      </c>
      <c r="L859" s="1" t="s">
        <v>31</v>
      </c>
      <c r="M859" s="1" t="s">
        <v>18</v>
      </c>
      <c r="N859" s="1" t="s">
        <v>18</v>
      </c>
      <c r="O859" s="1">
        <v>3</v>
      </c>
      <c r="P859" s="1">
        <v>6</v>
      </c>
      <c r="R859" s="1" t="s">
        <v>19</v>
      </c>
      <c r="S859" s="1" t="s">
        <v>20</v>
      </c>
      <c r="T859" s="1" t="s">
        <v>21</v>
      </c>
      <c r="U859" s="1" t="s">
        <v>22</v>
      </c>
      <c r="V859" s="1" t="s">
        <v>23</v>
      </c>
      <c r="W859" s="1" t="s">
        <v>24</v>
      </c>
      <c r="X859" s="1">
        <v>2729</v>
      </c>
      <c r="Y859" s="1">
        <v>1300</v>
      </c>
      <c r="Z859" s="1" t="s">
        <v>24</v>
      </c>
      <c r="AA859" s="1" t="s">
        <v>24</v>
      </c>
      <c r="AB859" s="1" t="s">
        <v>24</v>
      </c>
      <c r="AC859" s="1" t="s">
        <v>24</v>
      </c>
      <c r="AD859" s="1" t="s">
        <v>24</v>
      </c>
      <c r="AE859" s="1" t="s">
        <v>24</v>
      </c>
      <c r="AF859" s="22"/>
    </row>
    <row r="860" spans="1:32" x14ac:dyDescent="0.2">
      <c r="A860" s="1">
        <v>4755</v>
      </c>
      <c r="B860" s="1" t="s">
        <v>2879</v>
      </c>
      <c r="C860" s="5" t="s">
        <v>0</v>
      </c>
      <c r="D860" s="1" t="s">
        <v>2880</v>
      </c>
      <c r="F860" s="1" t="s">
        <v>167</v>
      </c>
      <c r="G860" s="1" t="s">
        <v>130</v>
      </c>
      <c r="H860" s="1" t="s">
        <v>168</v>
      </c>
      <c r="I860" s="1" t="s">
        <v>16</v>
      </c>
      <c r="J860" s="1">
        <v>1</v>
      </c>
      <c r="K860" s="1">
        <v>6</v>
      </c>
      <c r="L860" s="1" t="s">
        <v>31</v>
      </c>
      <c r="M860" s="1" t="s">
        <v>18</v>
      </c>
      <c r="N860" s="1" t="s">
        <v>18</v>
      </c>
      <c r="O860" s="1">
        <v>3</v>
      </c>
      <c r="P860" s="1">
        <v>7</v>
      </c>
      <c r="Q860" s="7" t="s">
        <v>17633</v>
      </c>
      <c r="R860" s="1" t="s">
        <v>19</v>
      </c>
      <c r="S860" s="1" t="s">
        <v>20</v>
      </c>
      <c r="T860" s="1" t="s">
        <v>21</v>
      </c>
      <c r="U860" s="1" t="s">
        <v>22</v>
      </c>
      <c r="V860" s="1" t="s">
        <v>23</v>
      </c>
      <c r="W860" s="1" t="s">
        <v>24</v>
      </c>
      <c r="X860" s="1">
        <v>2204</v>
      </c>
      <c r="Y860" s="1">
        <v>1706</v>
      </c>
      <c r="Z860" s="1" t="s">
        <v>24</v>
      </c>
      <c r="AA860" s="1" t="s">
        <v>24</v>
      </c>
      <c r="AB860" s="1" t="s">
        <v>24</v>
      </c>
      <c r="AC860" s="1" t="s">
        <v>24</v>
      </c>
      <c r="AD860" s="1" t="s">
        <v>24</v>
      </c>
      <c r="AE860" s="1" t="s">
        <v>24</v>
      </c>
      <c r="AF860" s="22" t="s">
        <v>17679</v>
      </c>
    </row>
    <row r="861" spans="1:32" x14ac:dyDescent="0.2">
      <c r="A861" s="1">
        <v>4757</v>
      </c>
      <c r="B861" s="1" t="s">
        <v>2881</v>
      </c>
      <c r="C861" s="5" t="s">
        <v>0</v>
      </c>
      <c r="D861" s="1" t="s">
        <v>2882</v>
      </c>
      <c r="E861" s="1" t="s">
        <v>2883</v>
      </c>
      <c r="F861" s="1" t="s">
        <v>55</v>
      </c>
      <c r="G861" s="1" t="s">
        <v>56</v>
      </c>
      <c r="H861" s="1" t="s">
        <v>37</v>
      </c>
      <c r="I861" s="1" t="s">
        <v>16</v>
      </c>
      <c r="J861" s="1">
        <v>1</v>
      </c>
      <c r="K861" s="1">
        <v>12</v>
      </c>
      <c r="L861" s="1" t="s">
        <v>31</v>
      </c>
      <c r="M861" s="1" t="s">
        <v>18</v>
      </c>
      <c r="N861" s="1" t="s">
        <v>18</v>
      </c>
      <c r="O861" s="1">
        <v>3</v>
      </c>
      <c r="P861" s="1">
        <v>6</v>
      </c>
      <c r="R861" s="1" t="s">
        <v>62</v>
      </c>
      <c r="S861" s="1" t="s">
        <v>20</v>
      </c>
      <c r="T861" s="1" t="s">
        <v>21</v>
      </c>
      <c r="U861" s="1" t="s">
        <v>22</v>
      </c>
      <c r="V861" s="1" t="s">
        <v>24</v>
      </c>
      <c r="W861" s="1" t="s">
        <v>24</v>
      </c>
      <c r="X861" s="1">
        <v>1311</v>
      </c>
      <c r="Y861" s="1">
        <v>1312</v>
      </c>
      <c r="Z861" s="1">
        <v>1105</v>
      </c>
      <c r="AA861" s="1" t="s">
        <v>24</v>
      </c>
      <c r="AB861" s="1" t="s">
        <v>24</v>
      </c>
      <c r="AC861" s="1" t="s">
        <v>24</v>
      </c>
      <c r="AD861" s="1" t="s">
        <v>24</v>
      </c>
      <c r="AE861" s="1" t="s">
        <v>24</v>
      </c>
      <c r="AF861" s="22"/>
    </row>
    <row r="862" spans="1:32" x14ac:dyDescent="0.2">
      <c r="A862" s="1">
        <v>4763</v>
      </c>
      <c r="B862" s="1" t="s">
        <v>2884</v>
      </c>
      <c r="C862" s="5" t="s">
        <v>0</v>
      </c>
      <c r="D862" s="1" t="s">
        <v>2885</v>
      </c>
      <c r="E862" s="1" t="s">
        <v>2886</v>
      </c>
      <c r="F862" s="1" t="s">
        <v>91</v>
      </c>
      <c r="G862" s="1" t="s">
        <v>61</v>
      </c>
      <c r="H862" s="1" t="s">
        <v>92</v>
      </c>
      <c r="I862" s="1" t="s">
        <v>16</v>
      </c>
      <c r="J862" s="1">
        <v>1</v>
      </c>
      <c r="K862" s="1">
        <v>1</v>
      </c>
      <c r="L862" s="1" t="s">
        <v>31</v>
      </c>
      <c r="M862" s="1" t="s">
        <v>18</v>
      </c>
      <c r="N862" s="1" t="s">
        <v>18</v>
      </c>
      <c r="O862" s="1">
        <v>3</v>
      </c>
      <c r="P862" s="1">
        <v>7</v>
      </c>
      <c r="Q862" s="7" t="s">
        <v>17633</v>
      </c>
      <c r="R862" s="1" t="s">
        <v>62</v>
      </c>
      <c r="S862" s="1" t="s">
        <v>63</v>
      </c>
      <c r="T862" s="1" t="s">
        <v>21</v>
      </c>
      <c r="U862" s="1" t="s">
        <v>22</v>
      </c>
      <c r="V862" s="1" t="s">
        <v>24</v>
      </c>
      <c r="W862" s="1" t="s">
        <v>64</v>
      </c>
      <c r="X862" s="1">
        <v>1312</v>
      </c>
      <c r="Y862" s="1">
        <v>2405</v>
      </c>
      <c r="Z862" s="1" t="s">
        <v>24</v>
      </c>
      <c r="AA862" s="1" t="s">
        <v>24</v>
      </c>
      <c r="AB862" s="1" t="s">
        <v>24</v>
      </c>
      <c r="AC862" s="1" t="s">
        <v>24</v>
      </c>
      <c r="AD862" s="1" t="s">
        <v>24</v>
      </c>
      <c r="AE862" s="1" t="s">
        <v>24</v>
      </c>
      <c r="AF862" s="22"/>
    </row>
    <row r="863" spans="1:32" x14ac:dyDescent="0.2">
      <c r="A863" s="1">
        <v>4773</v>
      </c>
      <c r="B863" s="1" t="s">
        <v>2887</v>
      </c>
      <c r="C863" s="5" t="s">
        <v>0</v>
      </c>
      <c r="D863" s="1" t="s">
        <v>2888</v>
      </c>
      <c r="E863" s="1" t="s">
        <v>2889</v>
      </c>
      <c r="F863" s="1" t="s">
        <v>217</v>
      </c>
      <c r="G863" s="1" t="s">
        <v>130</v>
      </c>
      <c r="H863" s="1" t="s">
        <v>92</v>
      </c>
      <c r="I863" s="1" t="s">
        <v>16</v>
      </c>
      <c r="J863" s="1">
        <v>12</v>
      </c>
      <c r="K863" s="1">
        <v>2</v>
      </c>
      <c r="L863" s="1" t="s">
        <v>31</v>
      </c>
      <c r="M863" s="1" t="s">
        <v>18</v>
      </c>
      <c r="N863" s="1" t="s">
        <v>18</v>
      </c>
      <c r="O863" s="1">
        <v>3</v>
      </c>
      <c r="P863" s="1">
        <v>6</v>
      </c>
      <c r="R863" s="1" t="s">
        <v>19</v>
      </c>
      <c r="S863" s="1" t="s">
        <v>20</v>
      </c>
      <c r="T863" s="1" t="s">
        <v>21</v>
      </c>
      <c r="U863" s="1" t="s">
        <v>22</v>
      </c>
      <c r="V863" s="1" t="s">
        <v>24</v>
      </c>
      <c r="W863" s="1" t="s">
        <v>24</v>
      </c>
      <c r="X863" s="1">
        <v>1308</v>
      </c>
      <c r="Y863" s="1">
        <v>1312</v>
      </c>
      <c r="Z863" s="1">
        <v>1307</v>
      </c>
      <c r="AA863" s="1" t="s">
        <v>24</v>
      </c>
      <c r="AB863" s="1" t="s">
        <v>24</v>
      </c>
      <c r="AC863" s="1" t="s">
        <v>24</v>
      </c>
      <c r="AD863" s="1" t="s">
        <v>24</v>
      </c>
      <c r="AE863" s="1" t="s">
        <v>24</v>
      </c>
      <c r="AF863" s="22"/>
    </row>
    <row r="864" spans="1:32" x14ac:dyDescent="0.2">
      <c r="A864" s="1">
        <v>4777</v>
      </c>
      <c r="B864" s="1" t="s">
        <v>2890</v>
      </c>
      <c r="C864" s="5" t="s">
        <v>0</v>
      </c>
      <c r="D864" s="1" t="s">
        <v>2891</v>
      </c>
      <c r="E864" s="1" t="s">
        <v>2892</v>
      </c>
      <c r="F864" s="1" t="s">
        <v>970</v>
      </c>
      <c r="G864" s="1" t="s">
        <v>36</v>
      </c>
      <c r="H864" s="1" t="s">
        <v>30</v>
      </c>
      <c r="I864" s="1" t="s">
        <v>16</v>
      </c>
      <c r="J864" s="1">
        <v>1</v>
      </c>
      <c r="K864" s="1">
        <v>8</v>
      </c>
      <c r="L864" s="1" t="s">
        <v>31</v>
      </c>
      <c r="M864" s="1" t="s">
        <v>18</v>
      </c>
      <c r="N864" s="1" t="s">
        <v>18</v>
      </c>
      <c r="O864" s="1">
        <v>3</v>
      </c>
      <c r="P864" s="1">
        <v>7</v>
      </c>
      <c r="Q864" s="7" t="s">
        <v>17633</v>
      </c>
      <c r="R864" s="1" t="s">
        <v>62</v>
      </c>
      <c r="S864" s="1" t="s">
        <v>20</v>
      </c>
      <c r="T864" s="1" t="s">
        <v>21</v>
      </c>
      <c r="U864" s="1" t="s">
        <v>22</v>
      </c>
      <c r="V864" s="1" t="s">
        <v>24</v>
      </c>
      <c r="W864" s="1" t="s">
        <v>24</v>
      </c>
      <c r="X864" s="1">
        <v>1314</v>
      </c>
      <c r="Y864" s="1">
        <v>2737</v>
      </c>
      <c r="Z864" s="1">
        <v>1312</v>
      </c>
      <c r="AA864" s="1">
        <v>2705</v>
      </c>
      <c r="AB864" s="1" t="s">
        <v>24</v>
      </c>
      <c r="AC864" s="1" t="s">
        <v>24</v>
      </c>
      <c r="AD864" s="1" t="s">
        <v>24</v>
      </c>
      <c r="AE864" s="1" t="s">
        <v>24</v>
      </c>
      <c r="AF864" s="22"/>
    </row>
    <row r="865" spans="1:32" x14ac:dyDescent="0.2">
      <c r="A865" s="1">
        <v>4779</v>
      </c>
      <c r="B865" s="1" t="s">
        <v>2893</v>
      </c>
      <c r="C865" s="5" t="s">
        <v>0</v>
      </c>
      <c r="D865" s="1" t="s">
        <v>2894</v>
      </c>
      <c r="E865" s="1" t="s">
        <v>2895</v>
      </c>
      <c r="F865" s="1" t="s">
        <v>441</v>
      </c>
      <c r="G865" s="1" t="s">
        <v>441</v>
      </c>
      <c r="H865" s="1" t="s">
        <v>30</v>
      </c>
      <c r="I865" s="1" t="s">
        <v>16</v>
      </c>
      <c r="J865" s="1">
        <v>1</v>
      </c>
      <c r="K865" s="1">
        <v>24</v>
      </c>
      <c r="L865" s="1" t="s">
        <v>42</v>
      </c>
      <c r="M865" s="1" t="s">
        <v>18</v>
      </c>
      <c r="N865" s="1" t="s">
        <v>18</v>
      </c>
      <c r="O865" s="1">
        <v>3</v>
      </c>
      <c r="P865" s="1">
        <v>8</v>
      </c>
      <c r="Q865" s="7" t="s">
        <v>17633</v>
      </c>
      <c r="R865" s="1" t="s">
        <v>62</v>
      </c>
      <c r="S865" s="1" t="s">
        <v>20</v>
      </c>
      <c r="T865" s="1" t="s">
        <v>21</v>
      </c>
      <c r="U865" s="1" t="s">
        <v>22</v>
      </c>
      <c r="V865" s="1" t="s">
        <v>24</v>
      </c>
      <c r="W865" s="1" t="s">
        <v>24</v>
      </c>
      <c r="X865" s="1">
        <v>1312</v>
      </c>
      <c r="Y865" s="1">
        <v>1307</v>
      </c>
      <c r="Z865" s="1" t="s">
        <v>24</v>
      </c>
      <c r="AA865" s="1" t="s">
        <v>24</v>
      </c>
      <c r="AB865" s="1" t="s">
        <v>24</v>
      </c>
      <c r="AC865" s="1" t="s">
        <v>24</v>
      </c>
      <c r="AD865" s="1" t="s">
        <v>24</v>
      </c>
      <c r="AE865" s="1" t="s">
        <v>24</v>
      </c>
      <c r="AF865" s="22"/>
    </row>
    <row r="866" spans="1:32" x14ac:dyDescent="0.2">
      <c r="A866" s="1">
        <v>4780</v>
      </c>
      <c r="B866" s="1" t="s">
        <v>2896</v>
      </c>
      <c r="C866" s="5" t="s">
        <v>0</v>
      </c>
      <c r="D866" s="1" t="s">
        <v>2897</v>
      </c>
      <c r="E866" s="1" t="s">
        <v>2898</v>
      </c>
      <c r="F866" s="1" t="s">
        <v>221</v>
      </c>
      <c r="G866" s="1" t="s">
        <v>61</v>
      </c>
      <c r="H866" s="1" t="s">
        <v>222</v>
      </c>
      <c r="I866" s="1" t="s">
        <v>16</v>
      </c>
      <c r="J866" s="1">
        <v>17</v>
      </c>
      <c r="K866" s="1">
        <v>2</v>
      </c>
      <c r="L866" s="1" t="s">
        <v>31</v>
      </c>
      <c r="M866" s="1" t="s">
        <v>18</v>
      </c>
      <c r="N866" s="1" t="s">
        <v>18</v>
      </c>
      <c r="O866" s="1">
        <v>3</v>
      </c>
      <c r="P866" s="1">
        <v>7</v>
      </c>
      <c r="Q866" s="7" t="s">
        <v>17633</v>
      </c>
      <c r="R866" s="1" t="s">
        <v>62</v>
      </c>
      <c r="S866" s="1" t="s">
        <v>63</v>
      </c>
      <c r="T866" s="1" t="s">
        <v>21</v>
      </c>
      <c r="U866" s="1" t="s">
        <v>22</v>
      </c>
      <c r="V866" s="1" t="s">
        <v>24</v>
      </c>
      <c r="W866" s="1" t="s">
        <v>24</v>
      </c>
      <c r="X866" s="1">
        <v>1310</v>
      </c>
      <c r="Y866" s="1">
        <v>1312</v>
      </c>
      <c r="Z866" s="1">
        <v>1303</v>
      </c>
      <c r="AA866" s="1" t="s">
        <v>24</v>
      </c>
      <c r="AB866" s="1" t="s">
        <v>24</v>
      </c>
      <c r="AC866" s="1" t="s">
        <v>24</v>
      </c>
      <c r="AD866" s="1" t="s">
        <v>24</v>
      </c>
      <c r="AE866" s="1" t="s">
        <v>24</v>
      </c>
      <c r="AF866" s="22"/>
    </row>
    <row r="867" spans="1:32" x14ac:dyDescent="0.2">
      <c r="A867" s="1">
        <v>4783</v>
      </c>
      <c r="B867" s="1" t="s">
        <v>2899</v>
      </c>
      <c r="C867" s="5" t="s">
        <v>0</v>
      </c>
      <c r="D867" s="1" t="s">
        <v>2900</v>
      </c>
      <c r="F867" s="1" t="s">
        <v>2901</v>
      </c>
      <c r="G867" s="1" t="s">
        <v>2902</v>
      </c>
      <c r="H867" s="1" t="s">
        <v>116</v>
      </c>
      <c r="I867" s="1" t="s">
        <v>16</v>
      </c>
      <c r="J867" s="1">
        <v>1</v>
      </c>
      <c r="K867" s="1">
        <v>6</v>
      </c>
      <c r="L867" s="1" t="s">
        <v>42</v>
      </c>
      <c r="M867" s="1" t="s">
        <v>2903</v>
      </c>
      <c r="N867" s="1" t="s">
        <v>117</v>
      </c>
      <c r="O867" s="1">
        <v>2</v>
      </c>
      <c r="P867" s="1">
        <v>4</v>
      </c>
      <c r="R867" s="1" t="s">
        <v>19</v>
      </c>
      <c r="S867" s="1" t="s">
        <v>20</v>
      </c>
      <c r="T867" s="1" t="s">
        <v>21</v>
      </c>
      <c r="U867" s="1" t="s">
        <v>22</v>
      </c>
      <c r="V867" s="1" t="s">
        <v>24</v>
      </c>
      <c r="W867" s="1" t="s">
        <v>24</v>
      </c>
      <c r="X867" s="1">
        <v>2708</v>
      </c>
      <c r="Y867" s="1" t="s">
        <v>24</v>
      </c>
      <c r="Z867" s="1" t="s">
        <v>24</v>
      </c>
      <c r="AA867" s="1" t="s">
        <v>24</v>
      </c>
      <c r="AB867" s="1" t="s">
        <v>24</v>
      </c>
      <c r="AC867" s="1" t="s">
        <v>24</v>
      </c>
      <c r="AD867" s="1" t="s">
        <v>24</v>
      </c>
      <c r="AE867" s="1" t="s">
        <v>24</v>
      </c>
      <c r="AF867" s="22"/>
    </row>
    <row r="868" spans="1:32" x14ac:dyDescent="0.2">
      <c r="A868" s="1">
        <v>4786</v>
      </c>
      <c r="B868" s="1" t="s">
        <v>2904</v>
      </c>
      <c r="C868" s="5" t="s">
        <v>0</v>
      </c>
      <c r="D868" s="1" t="s">
        <v>2905</v>
      </c>
      <c r="E868" s="1" t="s">
        <v>2906</v>
      </c>
      <c r="F868" s="1" t="s">
        <v>1683</v>
      </c>
      <c r="G868" s="1" t="s">
        <v>61</v>
      </c>
      <c r="H868" s="1" t="s">
        <v>116</v>
      </c>
      <c r="I868" s="1" t="s">
        <v>16</v>
      </c>
      <c r="J868" s="1">
        <v>2</v>
      </c>
      <c r="K868" s="1">
        <v>20</v>
      </c>
      <c r="L868" s="1" t="s">
        <v>31</v>
      </c>
      <c r="M868" s="1" t="s">
        <v>117</v>
      </c>
      <c r="N868" s="1" t="s">
        <v>117</v>
      </c>
      <c r="O868" s="1">
        <v>2</v>
      </c>
      <c r="P868" s="1">
        <v>5</v>
      </c>
      <c r="R868" s="1" t="s">
        <v>19</v>
      </c>
      <c r="S868" s="1" t="s">
        <v>20</v>
      </c>
      <c r="T868" s="1" t="s">
        <v>21</v>
      </c>
      <c r="U868" s="1" t="s">
        <v>22</v>
      </c>
      <c r="V868" s="1" t="s">
        <v>24</v>
      </c>
      <c r="W868" s="1" t="s">
        <v>24</v>
      </c>
      <c r="X868" s="1">
        <v>2700</v>
      </c>
      <c r="Y868" s="1" t="s">
        <v>24</v>
      </c>
      <c r="Z868" s="1" t="s">
        <v>24</v>
      </c>
      <c r="AA868" s="1" t="s">
        <v>24</v>
      </c>
      <c r="AB868" s="1" t="s">
        <v>24</v>
      </c>
      <c r="AC868" s="1" t="s">
        <v>24</v>
      </c>
      <c r="AD868" s="1" t="s">
        <v>24</v>
      </c>
      <c r="AE868" s="1" t="s">
        <v>24</v>
      </c>
      <c r="AF868" s="22"/>
    </row>
    <row r="869" spans="1:32" x14ac:dyDescent="0.2">
      <c r="A869" s="1">
        <v>4788</v>
      </c>
      <c r="B869" s="1" t="s">
        <v>2907</v>
      </c>
      <c r="C869" s="5" t="s">
        <v>0</v>
      </c>
      <c r="D869" s="1" t="s">
        <v>2908</v>
      </c>
      <c r="E869" s="1" t="s">
        <v>2909</v>
      </c>
      <c r="F869" s="1" t="s">
        <v>303</v>
      </c>
      <c r="G869" s="1" t="s">
        <v>61</v>
      </c>
      <c r="H869" s="1" t="s">
        <v>30</v>
      </c>
      <c r="I869" s="1" t="s">
        <v>16</v>
      </c>
      <c r="J869" s="1">
        <v>1</v>
      </c>
      <c r="K869" s="1">
        <v>6</v>
      </c>
      <c r="L869" s="1" t="s">
        <v>31</v>
      </c>
      <c r="M869" s="1" t="s">
        <v>18</v>
      </c>
      <c r="N869" s="1" t="s">
        <v>18</v>
      </c>
      <c r="O869" s="1">
        <v>2</v>
      </c>
      <c r="P869" s="1">
        <v>7</v>
      </c>
      <c r="Q869" s="7" t="s">
        <v>17633</v>
      </c>
      <c r="R869" s="1" t="s">
        <v>19</v>
      </c>
      <c r="S869" s="1" t="s">
        <v>20</v>
      </c>
      <c r="T869" s="1" t="s">
        <v>21</v>
      </c>
      <c r="U869" s="1" t="s">
        <v>22</v>
      </c>
      <c r="V869" s="1" t="s">
        <v>23</v>
      </c>
      <c r="W869" s="1" t="s">
        <v>24</v>
      </c>
      <c r="X869" s="1">
        <v>2700</v>
      </c>
      <c r="Y869" s="1" t="s">
        <v>24</v>
      </c>
      <c r="Z869" s="1" t="s">
        <v>24</v>
      </c>
      <c r="AA869" s="1" t="s">
        <v>24</v>
      </c>
      <c r="AB869" s="1" t="s">
        <v>24</v>
      </c>
      <c r="AC869" s="1" t="s">
        <v>24</v>
      </c>
      <c r="AD869" s="1" t="s">
        <v>24</v>
      </c>
      <c r="AE869" s="1" t="s">
        <v>24</v>
      </c>
      <c r="AF869" s="22"/>
    </row>
    <row r="870" spans="1:32" x14ac:dyDescent="0.2">
      <c r="A870" s="1">
        <v>4800</v>
      </c>
      <c r="B870" s="1" t="s">
        <v>2910</v>
      </c>
      <c r="C870" s="5" t="s">
        <v>0</v>
      </c>
      <c r="D870" s="1" t="s">
        <v>2911</v>
      </c>
      <c r="E870" s="1" t="s">
        <v>2912</v>
      </c>
      <c r="F870" s="1" t="s">
        <v>1439</v>
      </c>
      <c r="G870" s="1" t="s">
        <v>1439</v>
      </c>
      <c r="H870" s="1" t="s">
        <v>116</v>
      </c>
      <c r="I870" s="1" t="s">
        <v>16</v>
      </c>
      <c r="J870" s="1">
        <v>1</v>
      </c>
      <c r="K870" s="1">
        <v>12</v>
      </c>
      <c r="L870" s="1" t="s">
        <v>42</v>
      </c>
      <c r="M870" s="1" t="s">
        <v>18</v>
      </c>
      <c r="N870" s="1" t="s">
        <v>18</v>
      </c>
      <c r="O870" s="1">
        <v>0</v>
      </c>
      <c r="P870" s="1">
        <v>6</v>
      </c>
      <c r="R870" s="1" t="s">
        <v>19</v>
      </c>
      <c r="S870" s="1" t="s">
        <v>20</v>
      </c>
      <c r="T870" s="1" t="s">
        <v>21</v>
      </c>
      <c r="U870" s="1" t="s">
        <v>22</v>
      </c>
      <c r="V870" s="1" t="s">
        <v>24</v>
      </c>
      <c r="W870" s="1" t="s">
        <v>24</v>
      </c>
      <c r="X870" s="1">
        <v>3004</v>
      </c>
      <c r="Y870" s="1">
        <v>2736</v>
      </c>
      <c r="Z870" s="1" t="s">
        <v>24</v>
      </c>
      <c r="AA870" s="1" t="s">
        <v>24</v>
      </c>
      <c r="AB870" s="1" t="s">
        <v>24</v>
      </c>
      <c r="AC870" s="1" t="s">
        <v>24</v>
      </c>
      <c r="AD870" s="1" t="s">
        <v>24</v>
      </c>
      <c r="AE870" s="1" t="s">
        <v>24</v>
      </c>
      <c r="AF870" s="22"/>
    </row>
    <row r="871" spans="1:32" x14ac:dyDescent="0.2">
      <c r="A871" s="1">
        <v>4811</v>
      </c>
      <c r="B871" s="1" t="s">
        <v>2913</v>
      </c>
      <c r="C871" s="5" t="s">
        <v>0</v>
      </c>
      <c r="D871" s="1" t="s">
        <v>2914</v>
      </c>
      <c r="E871" s="1" t="s">
        <v>2915</v>
      </c>
      <c r="F871" s="1" t="s">
        <v>28</v>
      </c>
      <c r="G871" s="1" t="s">
        <v>29</v>
      </c>
      <c r="H871" s="1" t="s">
        <v>30</v>
      </c>
      <c r="I871" s="1" t="s">
        <v>16</v>
      </c>
      <c r="J871" s="1">
        <v>1</v>
      </c>
      <c r="K871" s="1">
        <v>12</v>
      </c>
      <c r="L871" s="1" t="s">
        <v>31</v>
      </c>
      <c r="M871" s="1" t="s">
        <v>18</v>
      </c>
      <c r="N871" s="1" t="s">
        <v>18</v>
      </c>
      <c r="O871" s="1">
        <v>3</v>
      </c>
      <c r="P871" s="1">
        <v>7</v>
      </c>
      <c r="Q871" s="7" t="s">
        <v>17633</v>
      </c>
      <c r="R871" s="1" t="s">
        <v>62</v>
      </c>
      <c r="S871" s="1" t="s">
        <v>20</v>
      </c>
      <c r="T871" s="1" t="s">
        <v>21</v>
      </c>
      <c r="U871" s="1" t="s">
        <v>22</v>
      </c>
      <c r="V871" s="1" t="s">
        <v>23</v>
      </c>
      <c r="W871" s="1" t="s">
        <v>24</v>
      </c>
      <c r="X871" s="1">
        <v>2739</v>
      </c>
      <c r="Y871" s="1" t="s">
        <v>24</v>
      </c>
      <c r="Z871" s="1" t="s">
        <v>24</v>
      </c>
      <c r="AA871" s="1" t="s">
        <v>24</v>
      </c>
      <c r="AB871" s="1" t="s">
        <v>24</v>
      </c>
      <c r="AC871" s="1" t="s">
        <v>24</v>
      </c>
      <c r="AD871" s="1" t="s">
        <v>24</v>
      </c>
      <c r="AE871" s="1" t="s">
        <v>24</v>
      </c>
      <c r="AF871" s="22"/>
    </row>
    <row r="872" spans="1:32" x14ac:dyDescent="0.2">
      <c r="A872" s="1">
        <v>4828</v>
      </c>
      <c r="B872" s="1" t="s">
        <v>2916</v>
      </c>
      <c r="C872" s="5" t="s">
        <v>0</v>
      </c>
      <c r="D872" s="1" t="s">
        <v>2917</v>
      </c>
      <c r="F872" s="1" t="s">
        <v>2918</v>
      </c>
      <c r="G872" s="1" t="s">
        <v>2918</v>
      </c>
      <c r="H872" s="1" t="s">
        <v>168</v>
      </c>
      <c r="I872" s="1" t="s">
        <v>16</v>
      </c>
      <c r="J872" s="1">
        <v>1</v>
      </c>
      <c r="K872" s="1">
        <v>6</v>
      </c>
      <c r="L872" s="1" t="s">
        <v>42</v>
      </c>
      <c r="M872" s="1" t="s">
        <v>413</v>
      </c>
      <c r="N872" s="1" t="s">
        <v>413</v>
      </c>
      <c r="O872" s="1">
        <v>2</v>
      </c>
      <c r="P872" s="1">
        <v>5</v>
      </c>
      <c r="R872" s="1" t="s">
        <v>19</v>
      </c>
      <c r="S872" s="1" t="s">
        <v>20</v>
      </c>
      <c r="T872" s="1" t="s">
        <v>21</v>
      </c>
      <c r="U872" s="1" t="s">
        <v>22</v>
      </c>
      <c r="V872" s="1" t="s">
        <v>23</v>
      </c>
      <c r="W872" s="1" t="s">
        <v>24</v>
      </c>
      <c r="X872" s="1">
        <v>2701</v>
      </c>
      <c r="Y872" s="1" t="s">
        <v>24</v>
      </c>
      <c r="Z872" s="1" t="s">
        <v>24</v>
      </c>
      <c r="AA872" s="1" t="s">
        <v>24</v>
      </c>
      <c r="AB872" s="1" t="s">
        <v>24</v>
      </c>
      <c r="AC872" s="1" t="s">
        <v>24</v>
      </c>
      <c r="AD872" s="1" t="s">
        <v>24</v>
      </c>
      <c r="AE872" s="1" t="s">
        <v>24</v>
      </c>
      <c r="AF872" s="22"/>
    </row>
    <row r="873" spans="1:32" x14ac:dyDescent="0.2">
      <c r="A873" s="1">
        <v>4839</v>
      </c>
      <c r="B873" s="1" t="s">
        <v>2919</v>
      </c>
      <c r="C873" s="5" t="s">
        <v>0</v>
      </c>
      <c r="D873" s="1" t="s">
        <v>2920</v>
      </c>
      <c r="E873" s="1" t="s">
        <v>2921</v>
      </c>
      <c r="F873" s="1" t="s">
        <v>2922</v>
      </c>
      <c r="G873" s="1" t="s">
        <v>2923</v>
      </c>
      <c r="H873" s="1" t="s">
        <v>233</v>
      </c>
      <c r="I873" s="1" t="s">
        <v>16</v>
      </c>
      <c r="J873" s="1">
        <v>1</v>
      </c>
      <c r="K873" s="1">
        <v>6</v>
      </c>
      <c r="L873" s="1" t="s">
        <v>31</v>
      </c>
      <c r="M873" s="1" t="s">
        <v>117</v>
      </c>
      <c r="N873" s="1" t="s">
        <v>18</v>
      </c>
      <c r="O873" s="1">
        <v>3</v>
      </c>
      <c r="P873" s="1">
        <v>5</v>
      </c>
      <c r="R873" s="1" t="s">
        <v>19</v>
      </c>
      <c r="S873" s="1" t="s">
        <v>20</v>
      </c>
      <c r="T873" s="1" t="s">
        <v>21</v>
      </c>
      <c r="U873" s="1" t="s">
        <v>22</v>
      </c>
      <c r="V873" s="1" t="s">
        <v>24</v>
      </c>
      <c r="W873" s="1" t="s">
        <v>24</v>
      </c>
      <c r="X873" s="1">
        <v>2700</v>
      </c>
      <c r="Y873" s="1" t="s">
        <v>24</v>
      </c>
      <c r="Z873" s="1" t="s">
        <v>24</v>
      </c>
      <c r="AA873" s="1" t="s">
        <v>24</v>
      </c>
      <c r="AB873" s="1" t="s">
        <v>24</v>
      </c>
      <c r="AC873" s="1" t="s">
        <v>24</v>
      </c>
      <c r="AD873" s="1" t="s">
        <v>24</v>
      </c>
      <c r="AE873" s="1" t="s">
        <v>24</v>
      </c>
      <c r="AF873" s="22"/>
    </row>
    <row r="874" spans="1:32" x14ac:dyDescent="0.2">
      <c r="A874" s="1">
        <v>4840</v>
      </c>
      <c r="B874" s="1" t="s">
        <v>2924</v>
      </c>
      <c r="C874" s="5" t="s">
        <v>0</v>
      </c>
      <c r="D874" s="1" t="s">
        <v>2925</v>
      </c>
      <c r="E874" s="1" t="s">
        <v>2926</v>
      </c>
      <c r="F874" s="1" t="s">
        <v>28</v>
      </c>
      <c r="G874" s="1" t="s">
        <v>29</v>
      </c>
      <c r="H874" s="1" t="s">
        <v>30</v>
      </c>
      <c r="I874" s="1" t="s">
        <v>16</v>
      </c>
      <c r="J874" s="1">
        <v>1</v>
      </c>
      <c r="K874" s="1">
        <v>6</v>
      </c>
      <c r="L874" s="1" t="s">
        <v>31</v>
      </c>
      <c r="M874" s="1" t="s">
        <v>18</v>
      </c>
      <c r="N874" s="1" t="s">
        <v>18</v>
      </c>
      <c r="O874" s="1">
        <v>3</v>
      </c>
      <c r="P874" s="1">
        <v>7</v>
      </c>
      <c r="Q874" s="7" t="s">
        <v>17633</v>
      </c>
      <c r="R874" s="1" t="s">
        <v>62</v>
      </c>
      <c r="S874" s="1" t="s">
        <v>20</v>
      </c>
      <c r="T874" s="1" t="s">
        <v>21</v>
      </c>
      <c r="U874" s="1" t="s">
        <v>22</v>
      </c>
      <c r="V874" s="1" t="s">
        <v>24</v>
      </c>
      <c r="W874" s="1" t="s">
        <v>24</v>
      </c>
      <c r="X874" s="1">
        <v>2700</v>
      </c>
      <c r="Y874" s="1" t="s">
        <v>24</v>
      </c>
      <c r="Z874" s="1" t="s">
        <v>24</v>
      </c>
      <c r="AA874" s="1" t="s">
        <v>24</v>
      </c>
      <c r="AB874" s="1" t="s">
        <v>24</v>
      </c>
      <c r="AC874" s="1" t="s">
        <v>24</v>
      </c>
      <c r="AD874" s="1" t="s">
        <v>24</v>
      </c>
      <c r="AE874" s="1" t="s">
        <v>24</v>
      </c>
      <c r="AF874" s="22"/>
    </row>
    <row r="875" spans="1:32" x14ac:dyDescent="0.2">
      <c r="A875" s="1">
        <v>4850</v>
      </c>
      <c r="B875" s="1" t="s">
        <v>2927</v>
      </c>
      <c r="C875" s="5" t="s">
        <v>0</v>
      </c>
      <c r="D875" s="1" t="s">
        <v>2928</v>
      </c>
      <c r="E875" s="1" t="s">
        <v>2929</v>
      </c>
      <c r="F875" s="1" t="s">
        <v>831</v>
      </c>
      <c r="G875" s="1" t="s">
        <v>61</v>
      </c>
      <c r="H875" s="1" t="s">
        <v>37</v>
      </c>
      <c r="I875" s="1" t="s">
        <v>16</v>
      </c>
      <c r="J875" s="1">
        <v>2</v>
      </c>
      <c r="K875" s="1">
        <v>6</v>
      </c>
      <c r="L875" s="1" t="s">
        <v>31</v>
      </c>
      <c r="M875" s="1" t="s">
        <v>18</v>
      </c>
      <c r="N875" s="1" t="s">
        <v>18</v>
      </c>
      <c r="O875" s="1">
        <v>3</v>
      </c>
      <c r="P875" s="1">
        <v>6</v>
      </c>
      <c r="R875" s="1" t="s">
        <v>19</v>
      </c>
      <c r="S875" s="1" t="s">
        <v>20</v>
      </c>
      <c r="T875" s="1" t="s">
        <v>21</v>
      </c>
      <c r="U875" s="1" t="s">
        <v>22</v>
      </c>
      <c r="V875" s="1" t="s">
        <v>24</v>
      </c>
      <c r="W875" s="1" t="s">
        <v>24</v>
      </c>
      <c r="X875" s="1">
        <v>2700</v>
      </c>
      <c r="Y875" s="1" t="s">
        <v>24</v>
      </c>
      <c r="Z875" s="1" t="s">
        <v>24</v>
      </c>
      <c r="AA875" s="1" t="s">
        <v>24</v>
      </c>
      <c r="AB875" s="1" t="s">
        <v>24</v>
      </c>
      <c r="AC875" s="1" t="s">
        <v>24</v>
      </c>
      <c r="AD875" s="1" t="s">
        <v>24</v>
      </c>
      <c r="AE875" s="1" t="s">
        <v>24</v>
      </c>
      <c r="AF875" s="22"/>
    </row>
    <row r="876" spans="1:32" x14ac:dyDescent="0.2">
      <c r="A876" s="1">
        <v>4857</v>
      </c>
      <c r="B876" s="1" t="s">
        <v>2930</v>
      </c>
      <c r="C876" s="5" t="s">
        <v>0</v>
      </c>
      <c r="D876" s="1" t="s">
        <v>2931</v>
      </c>
      <c r="F876" s="1" t="s">
        <v>2932</v>
      </c>
      <c r="G876" s="1" t="s">
        <v>2932</v>
      </c>
      <c r="H876" s="1" t="s">
        <v>30</v>
      </c>
      <c r="I876" s="1" t="s">
        <v>16</v>
      </c>
      <c r="J876" s="1">
        <v>1</v>
      </c>
      <c r="K876" s="1">
        <v>26</v>
      </c>
      <c r="L876" s="1" t="s">
        <v>42</v>
      </c>
      <c r="M876" s="1" t="s">
        <v>18</v>
      </c>
      <c r="N876" s="1" t="s">
        <v>18</v>
      </c>
      <c r="O876" s="1">
        <v>0</v>
      </c>
      <c r="P876" s="1">
        <v>5</v>
      </c>
      <c r="R876" s="1" t="s">
        <v>19</v>
      </c>
      <c r="S876" s="1" t="s">
        <v>20</v>
      </c>
      <c r="T876" s="1" t="s">
        <v>21</v>
      </c>
      <c r="U876" s="1" t="s">
        <v>22</v>
      </c>
      <c r="V876" s="1" t="s">
        <v>23</v>
      </c>
      <c r="W876" s="1" t="s">
        <v>24</v>
      </c>
      <c r="X876" s="1">
        <v>3004</v>
      </c>
      <c r="Y876" s="1">
        <v>2736</v>
      </c>
      <c r="Z876" s="1" t="s">
        <v>24</v>
      </c>
      <c r="AA876" s="1" t="s">
        <v>24</v>
      </c>
      <c r="AB876" s="1" t="s">
        <v>24</v>
      </c>
      <c r="AC876" s="1" t="s">
        <v>24</v>
      </c>
      <c r="AD876" s="1" t="s">
        <v>24</v>
      </c>
      <c r="AE876" s="1" t="s">
        <v>24</v>
      </c>
      <c r="AF876" s="22"/>
    </row>
    <row r="877" spans="1:32" x14ac:dyDescent="0.2">
      <c r="A877" s="1">
        <v>4862</v>
      </c>
      <c r="B877" s="1" t="s">
        <v>2933</v>
      </c>
      <c r="C877" s="5" t="s">
        <v>0</v>
      </c>
      <c r="D877" s="1" t="s">
        <v>2934</v>
      </c>
      <c r="F877" s="1" t="s">
        <v>2935</v>
      </c>
      <c r="G877" s="1" t="s">
        <v>2935</v>
      </c>
      <c r="H877" s="1" t="s">
        <v>92</v>
      </c>
      <c r="I877" s="1" t="s">
        <v>16</v>
      </c>
      <c r="J877" s="1">
        <v>1</v>
      </c>
      <c r="K877" s="1">
        <v>3</v>
      </c>
      <c r="L877" s="1" t="s">
        <v>42</v>
      </c>
      <c r="M877" s="1" t="s">
        <v>18</v>
      </c>
      <c r="N877" s="1" t="s">
        <v>18</v>
      </c>
      <c r="O877" s="1">
        <v>2</v>
      </c>
      <c r="P877" s="1">
        <v>6</v>
      </c>
      <c r="R877" s="1" t="s">
        <v>19</v>
      </c>
      <c r="S877" s="1" t="s">
        <v>20</v>
      </c>
      <c r="T877" s="1" t="s">
        <v>21</v>
      </c>
      <c r="U877" s="1" t="s">
        <v>22</v>
      </c>
      <c r="V877" s="1" t="s">
        <v>23</v>
      </c>
      <c r="W877" s="1" t="s">
        <v>24</v>
      </c>
      <c r="X877" s="1">
        <v>2741</v>
      </c>
      <c r="Y877" s="1">
        <v>3614</v>
      </c>
      <c r="Z877" s="1" t="s">
        <v>24</v>
      </c>
      <c r="AA877" s="1" t="s">
        <v>24</v>
      </c>
      <c r="AB877" s="1" t="s">
        <v>24</v>
      </c>
      <c r="AC877" s="1" t="s">
        <v>24</v>
      </c>
      <c r="AD877" s="1" t="s">
        <v>24</v>
      </c>
      <c r="AE877" s="1" t="s">
        <v>24</v>
      </c>
      <c r="AF877" s="22"/>
    </row>
    <row r="878" spans="1:32" x14ac:dyDescent="0.2">
      <c r="A878" s="1">
        <v>4867</v>
      </c>
      <c r="B878" s="1" t="s">
        <v>2936</v>
      </c>
      <c r="C878" s="5" t="s">
        <v>0</v>
      </c>
      <c r="D878" s="1" t="s">
        <v>2937</v>
      </c>
      <c r="E878" s="1" t="s">
        <v>2938</v>
      </c>
      <c r="F878" s="1" t="s">
        <v>60</v>
      </c>
      <c r="G878" s="1" t="s">
        <v>61</v>
      </c>
      <c r="H878" s="1" t="s">
        <v>30</v>
      </c>
      <c r="I878" s="1" t="s">
        <v>112</v>
      </c>
      <c r="J878" s="1">
        <v>0</v>
      </c>
      <c r="K878" s="1">
        <v>0</v>
      </c>
      <c r="L878" s="1" t="s">
        <v>31</v>
      </c>
      <c r="M878" s="1" t="s">
        <v>18</v>
      </c>
      <c r="N878" s="1" t="s">
        <v>18</v>
      </c>
      <c r="O878" s="1">
        <v>0</v>
      </c>
      <c r="P878" s="1">
        <v>8</v>
      </c>
      <c r="Q878" s="7" t="s">
        <v>17633</v>
      </c>
      <c r="R878" s="1" t="s">
        <v>19</v>
      </c>
      <c r="S878" s="1" t="s">
        <v>20</v>
      </c>
      <c r="T878" s="1" t="s">
        <v>21</v>
      </c>
      <c r="U878" s="1" t="s">
        <v>22</v>
      </c>
      <c r="V878" s="1" t="s">
        <v>24</v>
      </c>
      <c r="W878" s="1" t="s">
        <v>64</v>
      </c>
      <c r="X878" s="1">
        <v>1303</v>
      </c>
      <c r="Y878" s="1">
        <v>1312</v>
      </c>
      <c r="Z878" s="1" t="s">
        <v>24</v>
      </c>
      <c r="AA878" s="1" t="s">
        <v>24</v>
      </c>
      <c r="AB878" s="1" t="s">
        <v>24</v>
      </c>
      <c r="AC878" s="1" t="s">
        <v>24</v>
      </c>
      <c r="AD878" s="1" t="s">
        <v>24</v>
      </c>
      <c r="AE878" s="1" t="s">
        <v>24</v>
      </c>
      <c r="AF878" s="22"/>
    </row>
    <row r="879" spans="1:32" x14ac:dyDescent="0.2">
      <c r="A879" s="1">
        <v>4875</v>
      </c>
      <c r="B879" s="1" t="s">
        <v>2939</v>
      </c>
      <c r="C879" s="5" t="s">
        <v>0</v>
      </c>
      <c r="D879" s="1" t="s">
        <v>2940</v>
      </c>
      <c r="E879" s="1" t="s">
        <v>2941</v>
      </c>
      <c r="F879" s="1" t="s">
        <v>155</v>
      </c>
      <c r="G879" s="1" t="s">
        <v>61</v>
      </c>
      <c r="H879" s="1" t="s">
        <v>37</v>
      </c>
      <c r="I879" s="1" t="s">
        <v>16</v>
      </c>
      <c r="J879" s="1">
        <v>2</v>
      </c>
      <c r="K879" s="1">
        <v>5</v>
      </c>
      <c r="L879" s="1" t="s">
        <v>31</v>
      </c>
      <c r="M879" s="1" t="s">
        <v>18</v>
      </c>
      <c r="N879" s="1" t="s">
        <v>18</v>
      </c>
      <c r="O879" s="1">
        <v>3</v>
      </c>
      <c r="P879" s="1">
        <v>6</v>
      </c>
      <c r="R879" s="1" t="s">
        <v>19</v>
      </c>
      <c r="S879" s="1" t="s">
        <v>20</v>
      </c>
      <c r="T879" s="1" t="s">
        <v>21</v>
      </c>
      <c r="U879" s="1" t="s">
        <v>22</v>
      </c>
      <c r="V879" s="1" t="s">
        <v>24</v>
      </c>
      <c r="W879" s="1" t="s">
        <v>24</v>
      </c>
      <c r="X879" s="1">
        <v>1104</v>
      </c>
      <c r="Y879" s="1">
        <v>1910</v>
      </c>
      <c r="Z879" s="1">
        <v>2310</v>
      </c>
      <c r="AA879" s="1" t="s">
        <v>24</v>
      </c>
      <c r="AB879" s="1" t="s">
        <v>24</v>
      </c>
      <c r="AC879" s="1" t="s">
        <v>24</v>
      </c>
      <c r="AD879" s="1" t="s">
        <v>24</v>
      </c>
      <c r="AE879" s="1" t="s">
        <v>24</v>
      </c>
      <c r="AF879" s="22"/>
    </row>
    <row r="880" spans="1:32" x14ac:dyDescent="0.2">
      <c r="A880" s="1">
        <v>4882</v>
      </c>
      <c r="B880" s="1" t="s">
        <v>2942</v>
      </c>
      <c r="C880" s="5" t="s">
        <v>0</v>
      </c>
      <c r="D880" s="1" t="s">
        <v>2943</v>
      </c>
      <c r="E880" s="1" t="s">
        <v>2944</v>
      </c>
      <c r="F880" s="1" t="s">
        <v>303</v>
      </c>
      <c r="G880" s="1" t="s">
        <v>61</v>
      </c>
      <c r="H880" s="1" t="s">
        <v>30</v>
      </c>
      <c r="I880" s="1" t="s">
        <v>16</v>
      </c>
      <c r="J880" s="1">
        <v>1</v>
      </c>
      <c r="K880" s="1">
        <v>12</v>
      </c>
      <c r="L880" s="1" t="s">
        <v>31</v>
      </c>
      <c r="M880" s="1" t="s">
        <v>18</v>
      </c>
      <c r="N880" s="1" t="s">
        <v>18</v>
      </c>
      <c r="O880" s="1">
        <v>3</v>
      </c>
      <c r="P880" s="1">
        <v>7</v>
      </c>
      <c r="Q880" s="7" t="s">
        <v>17633</v>
      </c>
      <c r="R880" s="1" t="s">
        <v>19</v>
      </c>
      <c r="S880" s="1" t="s">
        <v>20</v>
      </c>
      <c r="T880" s="1" t="s">
        <v>21</v>
      </c>
      <c r="U880" s="1" t="s">
        <v>22</v>
      </c>
      <c r="V880" s="1" t="s">
        <v>24</v>
      </c>
      <c r="W880" s="1" t="s">
        <v>24</v>
      </c>
      <c r="X880" s="1">
        <v>1310</v>
      </c>
      <c r="Y880" s="1">
        <v>2712</v>
      </c>
      <c r="Z880" s="1" t="s">
        <v>24</v>
      </c>
      <c r="AA880" s="1" t="s">
        <v>24</v>
      </c>
      <c r="AB880" s="1" t="s">
        <v>24</v>
      </c>
      <c r="AC880" s="1" t="s">
        <v>24</v>
      </c>
      <c r="AD880" s="1" t="s">
        <v>24</v>
      </c>
      <c r="AE880" s="1" t="s">
        <v>24</v>
      </c>
      <c r="AF880" s="22"/>
    </row>
    <row r="881" spans="1:32" x14ac:dyDescent="0.2">
      <c r="A881" s="1">
        <v>4891</v>
      </c>
      <c r="B881" s="1" t="s">
        <v>2945</v>
      </c>
      <c r="C881" s="5" t="s">
        <v>0</v>
      </c>
      <c r="D881" s="1" t="s">
        <v>2946</v>
      </c>
      <c r="F881" s="1" t="s">
        <v>1758</v>
      </c>
      <c r="G881" s="1" t="s">
        <v>1758</v>
      </c>
      <c r="H881" s="1" t="s">
        <v>168</v>
      </c>
      <c r="I881" s="1" t="s">
        <v>16</v>
      </c>
      <c r="J881" s="1">
        <v>1</v>
      </c>
      <c r="K881" s="1">
        <v>6</v>
      </c>
      <c r="L881" s="1" t="s">
        <v>42</v>
      </c>
      <c r="M881" s="1" t="s">
        <v>413</v>
      </c>
      <c r="N881" s="1" t="s">
        <v>242</v>
      </c>
      <c r="O881" s="1">
        <v>2</v>
      </c>
      <c r="P881" s="1">
        <v>5</v>
      </c>
      <c r="R881" s="1" t="s">
        <v>19</v>
      </c>
      <c r="S881" s="1" t="s">
        <v>20</v>
      </c>
      <c r="T881" s="1" t="s">
        <v>21</v>
      </c>
      <c r="U881" s="1" t="s">
        <v>22</v>
      </c>
      <c r="V881" s="1" t="s">
        <v>24</v>
      </c>
      <c r="W881" s="1" t="s">
        <v>24</v>
      </c>
      <c r="X881" s="1">
        <v>2700</v>
      </c>
      <c r="Y881" s="1" t="s">
        <v>24</v>
      </c>
      <c r="Z881" s="1" t="s">
        <v>24</v>
      </c>
      <c r="AA881" s="1" t="s">
        <v>24</v>
      </c>
      <c r="AB881" s="1" t="s">
        <v>24</v>
      </c>
      <c r="AC881" s="1" t="s">
        <v>24</v>
      </c>
      <c r="AD881" s="1" t="s">
        <v>24</v>
      </c>
      <c r="AE881" s="1" t="s">
        <v>24</v>
      </c>
      <c r="AF881" s="22"/>
    </row>
    <row r="882" spans="1:32" x14ac:dyDescent="0.2">
      <c r="A882" s="1">
        <v>4901</v>
      </c>
      <c r="B882" s="1" t="s">
        <v>2947</v>
      </c>
      <c r="C882" s="5" t="s">
        <v>0</v>
      </c>
      <c r="D882" s="1" t="s">
        <v>2948</v>
      </c>
      <c r="E882" s="1" t="s">
        <v>2949</v>
      </c>
      <c r="F882" s="1" t="s">
        <v>2950</v>
      </c>
      <c r="G882" s="1" t="s">
        <v>2951</v>
      </c>
      <c r="H882" s="1" t="s">
        <v>81</v>
      </c>
      <c r="I882" s="1" t="s">
        <v>16</v>
      </c>
      <c r="J882" s="1">
        <v>1</v>
      </c>
      <c r="K882" s="1">
        <v>4</v>
      </c>
      <c r="L882" s="1" t="s">
        <v>31</v>
      </c>
      <c r="M882" s="1" t="s">
        <v>1873</v>
      </c>
      <c r="N882" s="1" t="s">
        <v>582</v>
      </c>
      <c r="O882" s="1">
        <v>3</v>
      </c>
      <c r="P882" s="1">
        <v>6</v>
      </c>
      <c r="R882" s="1" t="s">
        <v>19</v>
      </c>
      <c r="S882" s="1" t="s">
        <v>20</v>
      </c>
      <c r="T882" s="1" t="s">
        <v>21</v>
      </c>
      <c r="U882" s="1" t="s">
        <v>22</v>
      </c>
      <c r="V882" s="1" t="s">
        <v>24</v>
      </c>
      <c r="W882" s="1" t="s">
        <v>24</v>
      </c>
      <c r="X882" s="1">
        <v>2730</v>
      </c>
      <c r="Y882" s="1" t="s">
        <v>24</v>
      </c>
      <c r="Z882" s="1" t="s">
        <v>24</v>
      </c>
      <c r="AA882" s="1" t="s">
        <v>24</v>
      </c>
      <c r="AB882" s="1" t="s">
        <v>24</v>
      </c>
      <c r="AC882" s="1" t="s">
        <v>24</v>
      </c>
      <c r="AD882" s="1" t="s">
        <v>24</v>
      </c>
      <c r="AE882" s="1" t="s">
        <v>24</v>
      </c>
      <c r="AF882" s="22"/>
    </row>
    <row r="883" spans="1:32" x14ac:dyDescent="0.2">
      <c r="A883" s="1">
        <v>4911</v>
      </c>
      <c r="B883" s="1" t="s">
        <v>2952</v>
      </c>
      <c r="C883" s="5" t="s">
        <v>0</v>
      </c>
      <c r="D883" s="1" t="s">
        <v>2953</v>
      </c>
      <c r="F883" s="1" t="s">
        <v>1708</v>
      </c>
      <c r="G883" s="1" t="s">
        <v>1708</v>
      </c>
      <c r="H883" s="1" t="s">
        <v>684</v>
      </c>
      <c r="I883" s="1" t="s">
        <v>16</v>
      </c>
      <c r="J883" s="1">
        <v>1</v>
      </c>
      <c r="K883" s="1">
        <v>12</v>
      </c>
      <c r="L883" s="1" t="s">
        <v>17</v>
      </c>
      <c r="M883" s="1" t="s">
        <v>1755</v>
      </c>
      <c r="N883" s="1" t="s">
        <v>1755</v>
      </c>
      <c r="O883" s="1">
        <v>2</v>
      </c>
      <c r="P883" s="1">
        <v>6</v>
      </c>
      <c r="R883" s="1" t="s">
        <v>19</v>
      </c>
      <c r="S883" s="1" t="s">
        <v>20</v>
      </c>
      <c r="T883" s="1" t="s">
        <v>21</v>
      </c>
      <c r="U883" s="1" t="s">
        <v>22</v>
      </c>
      <c r="V883" s="1" t="s">
        <v>23</v>
      </c>
      <c r="W883" s="1" t="s">
        <v>24</v>
      </c>
      <c r="X883" s="1">
        <v>2703</v>
      </c>
      <c r="Y883" s="1" t="s">
        <v>24</v>
      </c>
      <c r="Z883" s="1" t="s">
        <v>24</v>
      </c>
      <c r="AA883" s="1" t="s">
        <v>24</v>
      </c>
      <c r="AB883" s="1" t="s">
        <v>24</v>
      </c>
      <c r="AC883" s="1" t="s">
        <v>24</v>
      </c>
      <c r="AD883" s="1" t="s">
        <v>24</v>
      </c>
      <c r="AE883" s="1" t="s">
        <v>24</v>
      </c>
      <c r="AF883" s="22"/>
    </row>
    <row r="884" spans="1:32" x14ac:dyDescent="0.2">
      <c r="A884" s="1">
        <v>4914</v>
      </c>
      <c r="B884" s="1" t="s">
        <v>2954</v>
      </c>
      <c r="C884" s="5" t="s">
        <v>0</v>
      </c>
      <c r="D884" s="1" t="s">
        <v>2955</v>
      </c>
      <c r="F884" s="1" t="s">
        <v>1708</v>
      </c>
      <c r="G884" s="1" t="s">
        <v>1708</v>
      </c>
      <c r="H884" s="1" t="s">
        <v>684</v>
      </c>
      <c r="I884" s="1" t="s">
        <v>16</v>
      </c>
      <c r="J884" s="1">
        <v>1</v>
      </c>
      <c r="K884" s="1">
        <v>6</v>
      </c>
      <c r="L884" s="1" t="s">
        <v>17</v>
      </c>
      <c r="M884" s="1" t="s">
        <v>852</v>
      </c>
      <c r="N884" s="1" t="s">
        <v>18</v>
      </c>
      <c r="O884" s="1">
        <v>2</v>
      </c>
      <c r="P884" s="1">
        <v>4</v>
      </c>
      <c r="R884" s="1" t="s">
        <v>19</v>
      </c>
      <c r="S884" s="1" t="s">
        <v>20</v>
      </c>
      <c r="T884" s="1" t="s">
        <v>21</v>
      </c>
      <c r="U884" s="1" t="s">
        <v>22</v>
      </c>
      <c r="V884" s="1" t="s">
        <v>24</v>
      </c>
      <c r="W884" s="1" t="s">
        <v>24</v>
      </c>
      <c r="X884" s="1">
        <v>2705</v>
      </c>
      <c r="Y884" s="1" t="s">
        <v>24</v>
      </c>
      <c r="Z884" s="1" t="s">
        <v>24</v>
      </c>
      <c r="AA884" s="1" t="s">
        <v>24</v>
      </c>
      <c r="AB884" s="1" t="s">
        <v>24</v>
      </c>
      <c r="AC884" s="1" t="s">
        <v>24</v>
      </c>
      <c r="AD884" s="1" t="s">
        <v>24</v>
      </c>
      <c r="AE884" s="1" t="s">
        <v>24</v>
      </c>
      <c r="AF884" s="22"/>
    </row>
    <row r="885" spans="1:32" x14ac:dyDescent="0.2">
      <c r="A885" s="1">
        <v>4920</v>
      </c>
      <c r="B885" s="1" t="s">
        <v>2956</v>
      </c>
      <c r="C885" s="5" t="s">
        <v>0</v>
      </c>
      <c r="D885" s="1" t="s">
        <v>2957</v>
      </c>
      <c r="F885" s="1" t="s">
        <v>2958</v>
      </c>
      <c r="G885" s="1" t="s">
        <v>2958</v>
      </c>
      <c r="H885" s="1" t="s">
        <v>30</v>
      </c>
      <c r="I885" s="1" t="s">
        <v>112</v>
      </c>
      <c r="J885" s="1">
        <v>0</v>
      </c>
      <c r="K885" s="1">
        <v>0</v>
      </c>
      <c r="L885" s="1" t="s">
        <v>17</v>
      </c>
      <c r="M885" s="1" t="s">
        <v>18</v>
      </c>
      <c r="N885" s="1" t="s">
        <v>18</v>
      </c>
      <c r="O885" s="1">
        <v>0</v>
      </c>
      <c r="P885" s="1">
        <v>5</v>
      </c>
      <c r="R885" s="1" t="s">
        <v>19</v>
      </c>
      <c r="S885" s="1" t="s">
        <v>20</v>
      </c>
      <c r="T885" s="1" t="s">
        <v>21</v>
      </c>
      <c r="U885" s="1" t="s">
        <v>22</v>
      </c>
      <c r="V885" s="1" t="s">
        <v>24</v>
      </c>
      <c r="W885" s="1" t="s">
        <v>24</v>
      </c>
      <c r="X885" s="1">
        <v>2701</v>
      </c>
      <c r="Y885" s="1">
        <v>2738</v>
      </c>
      <c r="Z885" s="1">
        <v>2736</v>
      </c>
      <c r="AA885" s="1">
        <v>3004</v>
      </c>
      <c r="AB885" s="1" t="s">
        <v>24</v>
      </c>
      <c r="AC885" s="1" t="s">
        <v>24</v>
      </c>
      <c r="AD885" s="1" t="s">
        <v>24</v>
      </c>
      <c r="AE885" s="1" t="s">
        <v>24</v>
      </c>
      <c r="AF885" s="22"/>
    </row>
    <row r="886" spans="1:32" x14ac:dyDescent="0.2">
      <c r="A886" s="1">
        <v>4925</v>
      </c>
      <c r="B886" s="1" t="s">
        <v>2959</v>
      </c>
      <c r="C886" s="5" t="s">
        <v>0</v>
      </c>
      <c r="D886" s="1" t="s">
        <v>2960</v>
      </c>
      <c r="F886" s="1" t="s">
        <v>1708</v>
      </c>
      <c r="G886" s="1" t="s">
        <v>1708</v>
      </c>
      <c r="H886" s="1" t="s">
        <v>684</v>
      </c>
      <c r="I886" s="1" t="s">
        <v>16</v>
      </c>
      <c r="J886" s="1">
        <v>1</v>
      </c>
      <c r="K886" s="1">
        <v>6</v>
      </c>
      <c r="L886" s="1" t="s">
        <v>17</v>
      </c>
      <c r="M886" s="1" t="s">
        <v>852</v>
      </c>
      <c r="N886" s="1" t="s">
        <v>18</v>
      </c>
      <c r="O886" s="1">
        <v>2</v>
      </c>
      <c r="P886" s="1">
        <v>4</v>
      </c>
      <c r="R886" s="1" t="s">
        <v>19</v>
      </c>
      <c r="S886" s="1" t="s">
        <v>20</v>
      </c>
      <c r="T886" s="1" t="s">
        <v>21</v>
      </c>
      <c r="U886" s="1" t="s">
        <v>22</v>
      </c>
      <c r="V886" s="1" t="s">
        <v>24</v>
      </c>
      <c r="W886" s="1" t="s">
        <v>24</v>
      </c>
      <c r="X886" s="1">
        <v>2729</v>
      </c>
      <c r="Y886" s="1" t="s">
        <v>24</v>
      </c>
      <c r="Z886" s="1" t="s">
        <v>24</v>
      </c>
      <c r="AA886" s="1" t="s">
        <v>24</v>
      </c>
      <c r="AB886" s="1" t="s">
        <v>24</v>
      </c>
      <c r="AC886" s="1" t="s">
        <v>24</v>
      </c>
      <c r="AD886" s="1" t="s">
        <v>24</v>
      </c>
      <c r="AE886" s="1" t="s">
        <v>24</v>
      </c>
      <c r="AF886" s="22"/>
    </row>
    <row r="887" spans="1:32" x14ac:dyDescent="0.2">
      <c r="A887" s="1">
        <v>4926</v>
      </c>
      <c r="B887" s="1" t="s">
        <v>2961</v>
      </c>
      <c r="C887" s="5" t="s">
        <v>0</v>
      </c>
      <c r="D887" s="1" t="s">
        <v>2962</v>
      </c>
      <c r="E887" s="1" t="s">
        <v>2963</v>
      </c>
      <c r="F887" s="1" t="s">
        <v>2531</v>
      </c>
      <c r="G887" s="1" t="s">
        <v>36</v>
      </c>
      <c r="H887" s="1" t="s">
        <v>461</v>
      </c>
      <c r="I887" s="1" t="s">
        <v>16</v>
      </c>
      <c r="J887" s="1">
        <v>1</v>
      </c>
      <c r="K887" s="1">
        <v>12</v>
      </c>
      <c r="L887" s="1" t="s">
        <v>31</v>
      </c>
      <c r="M887" s="1" t="s">
        <v>18</v>
      </c>
      <c r="N887" s="1" t="s">
        <v>18</v>
      </c>
      <c r="O887" s="1">
        <v>3</v>
      </c>
      <c r="P887" s="1">
        <v>5</v>
      </c>
      <c r="R887" s="1" t="s">
        <v>19</v>
      </c>
      <c r="S887" s="1" t="s">
        <v>20</v>
      </c>
      <c r="T887" s="1" t="s">
        <v>21</v>
      </c>
      <c r="U887" s="1" t="s">
        <v>22</v>
      </c>
      <c r="V887" s="1" t="s">
        <v>24</v>
      </c>
      <c r="W887" s="1" t="s">
        <v>24</v>
      </c>
      <c r="X887" s="1">
        <v>2403</v>
      </c>
      <c r="Y887" s="1">
        <v>2404</v>
      </c>
      <c r="Z887" s="1">
        <v>2406</v>
      </c>
      <c r="AA887" s="1" t="s">
        <v>24</v>
      </c>
      <c r="AB887" s="1" t="s">
        <v>24</v>
      </c>
      <c r="AC887" s="1" t="s">
        <v>24</v>
      </c>
      <c r="AD887" s="1" t="s">
        <v>24</v>
      </c>
      <c r="AE887" s="1" t="s">
        <v>24</v>
      </c>
      <c r="AF887" s="22"/>
    </row>
    <row r="888" spans="1:32" x14ac:dyDescent="0.2">
      <c r="A888" s="1">
        <v>4938</v>
      </c>
      <c r="B888" s="1" t="s">
        <v>2964</v>
      </c>
      <c r="C888" s="5" t="s">
        <v>0</v>
      </c>
      <c r="D888" s="1" t="s">
        <v>2965</v>
      </c>
      <c r="F888" s="1" t="s">
        <v>1708</v>
      </c>
      <c r="G888" s="1" t="s">
        <v>1708</v>
      </c>
      <c r="H888" s="1" t="s">
        <v>684</v>
      </c>
      <c r="I888" s="1" t="s">
        <v>16</v>
      </c>
      <c r="J888" s="1">
        <v>1</v>
      </c>
      <c r="K888" s="1">
        <v>6</v>
      </c>
      <c r="L888" s="1" t="s">
        <v>17</v>
      </c>
      <c r="M888" s="1" t="s">
        <v>852</v>
      </c>
      <c r="N888" s="1" t="s">
        <v>685</v>
      </c>
      <c r="O888" s="1">
        <v>1</v>
      </c>
      <c r="P888" s="1">
        <v>6</v>
      </c>
      <c r="R888" s="1" t="s">
        <v>19</v>
      </c>
      <c r="S888" s="1" t="s">
        <v>20</v>
      </c>
      <c r="T888" s="1" t="s">
        <v>21</v>
      </c>
      <c r="U888" s="1" t="s">
        <v>22</v>
      </c>
      <c r="V888" s="1" t="s">
        <v>24</v>
      </c>
      <c r="W888" s="1" t="s">
        <v>24</v>
      </c>
      <c r="X888" s="1">
        <v>2700</v>
      </c>
      <c r="Y888" s="1" t="s">
        <v>24</v>
      </c>
      <c r="Z888" s="1" t="s">
        <v>24</v>
      </c>
      <c r="AA888" s="1" t="s">
        <v>24</v>
      </c>
      <c r="AB888" s="1" t="s">
        <v>24</v>
      </c>
      <c r="AC888" s="1" t="s">
        <v>24</v>
      </c>
      <c r="AD888" s="1" t="s">
        <v>24</v>
      </c>
      <c r="AE888" s="1" t="s">
        <v>24</v>
      </c>
      <c r="AF888" s="22"/>
    </row>
    <row r="889" spans="1:32" x14ac:dyDescent="0.2">
      <c r="A889" s="1">
        <v>4949</v>
      </c>
      <c r="B889" s="1" t="s">
        <v>2966</v>
      </c>
      <c r="C889" s="5" t="s">
        <v>0</v>
      </c>
      <c r="D889" s="1" t="s">
        <v>2967</v>
      </c>
      <c r="E889" s="1" t="s">
        <v>2968</v>
      </c>
      <c r="F889" s="1" t="s">
        <v>601</v>
      </c>
      <c r="G889" s="1" t="s">
        <v>61</v>
      </c>
      <c r="H889" s="1" t="s">
        <v>37</v>
      </c>
      <c r="I889" s="1" t="s">
        <v>16</v>
      </c>
      <c r="J889" s="1">
        <v>2</v>
      </c>
      <c r="K889" s="1">
        <v>6</v>
      </c>
      <c r="L889" s="1" t="s">
        <v>31</v>
      </c>
      <c r="M889" s="1" t="s">
        <v>18</v>
      </c>
      <c r="N889" s="1" t="s">
        <v>18</v>
      </c>
      <c r="O889" s="1">
        <v>3</v>
      </c>
      <c r="P889" s="1">
        <v>7</v>
      </c>
      <c r="Q889" s="7" t="s">
        <v>17633</v>
      </c>
      <c r="R889" s="1" t="s">
        <v>19</v>
      </c>
      <c r="S889" s="1" t="s">
        <v>63</v>
      </c>
      <c r="T889" s="1" t="s">
        <v>21</v>
      </c>
      <c r="U889" s="1" t="s">
        <v>22</v>
      </c>
      <c r="V889" s="1" t="s">
        <v>24</v>
      </c>
      <c r="W889" s="1" t="s">
        <v>24</v>
      </c>
      <c r="X889" s="1">
        <v>2404</v>
      </c>
      <c r="Y889" s="1">
        <v>2725</v>
      </c>
      <c r="Z889" s="1" t="s">
        <v>24</v>
      </c>
      <c r="AA889" s="1" t="s">
        <v>24</v>
      </c>
      <c r="AB889" s="1" t="s">
        <v>24</v>
      </c>
      <c r="AC889" s="1" t="s">
        <v>24</v>
      </c>
      <c r="AD889" s="1" t="s">
        <v>24</v>
      </c>
      <c r="AE889" s="1" t="s">
        <v>24</v>
      </c>
      <c r="AF889" s="22"/>
    </row>
    <row r="890" spans="1:32" x14ac:dyDescent="0.2">
      <c r="A890" s="1">
        <v>4950</v>
      </c>
      <c r="B890" s="1" t="s">
        <v>2969</v>
      </c>
      <c r="C890" s="5" t="s">
        <v>0</v>
      </c>
      <c r="D890" s="1" t="s">
        <v>2970</v>
      </c>
      <c r="F890" s="1" t="s">
        <v>1708</v>
      </c>
      <c r="G890" s="1" t="s">
        <v>1708</v>
      </c>
      <c r="H890" s="1" t="s">
        <v>684</v>
      </c>
      <c r="I890" s="1" t="s">
        <v>16</v>
      </c>
      <c r="J890" s="1">
        <v>1</v>
      </c>
      <c r="K890" s="1">
        <v>6</v>
      </c>
      <c r="L890" s="1" t="s">
        <v>17</v>
      </c>
      <c r="M890" s="1" t="s">
        <v>852</v>
      </c>
      <c r="N890" s="1" t="s">
        <v>18</v>
      </c>
      <c r="O890" s="1">
        <v>0</v>
      </c>
      <c r="P890" s="1">
        <v>4</v>
      </c>
      <c r="R890" s="1" t="s">
        <v>19</v>
      </c>
      <c r="S890" s="1" t="s">
        <v>20</v>
      </c>
      <c r="T890" s="1" t="s">
        <v>21</v>
      </c>
      <c r="U890" s="1" t="s">
        <v>22</v>
      </c>
      <c r="V890" s="1" t="s">
        <v>24</v>
      </c>
      <c r="W890" s="1" t="s">
        <v>24</v>
      </c>
      <c r="X890" s="1">
        <v>2735</v>
      </c>
      <c r="Y890" s="1" t="s">
        <v>24</v>
      </c>
      <c r="Z890" s="1" t="s">
        <v>24</v>
      </c>
      <c r="AA890" s="1" t="s">
        <v>24</v>
      </c>
      <c r="AB890" s="1" t="s">
        <v>24</v>
      </c>
      <c r="AC890" s="1" t="s">
        <v>24</v>
      </c>
      <c r="AD890" s="1" t="s">
        <v>24</v>
      </c>
      <c r="AE890" s="1" t="s">
        <v>24</v>
      </c>
      <c r="AF890" s="22"/>
    </row>
    <row r="891" spans="1:32" x14ac:dyDescent="0.2">
      <c r="A891" s="1">
        <v>4951</v>
      </c>
      <c r="B891" s="1" t="s">
        <v>2971</v>
      </c>
      <c r="C891" s="5" t="s">
        <v>0</v>
      </c>
      <c r="D891" s="1" t="s">
        <v>2972</v>
      </c>
      <c r="F891" s="1" t="s">
        <v>1708</v>
      </c>
      <c r="G891" s="1" t="s">
        <v>1708</v>
      </c>
      <c r="H891" s="1" t="s">
        <v>684</v>
      </c>
      <c r="I891" s="1" t="s">
        <v>16</v>
      </c>
      <c r="J891" s="1">
        <v>1</v>
      </c>
      <c r="K891" s="1">
        <v>4</v>
      </c>
      <c r="L891" s="1" t="s">
        <v>17</v>
      </c>
      <c r="M891" s="1" t="s">
        <v>852</v>
      </c>
      <c r="N891" s="1" t="s">
        <v>18</v>
      </c>
      <c r="O891" s="1">
        <v>0</v>
      </c>
      <c r="P891" s="1">
        <v>3</v>
      </c>
      <c r="R891" s="1" t="s">
        <v>19</v>
      </c>
      <c r="S891" s="1" t="s">
        <v>20</v>
      </c>
      <c r="T891" s="1" t="s">
        <v>21</v>
      </c>
      <c r="U891" s="1" t="s">
        <v>22</v>
      </c>
      <c r="V891" s="1" t="s">
        <v>24</v>
      </c>
      <c r="W891" s="1" t="s">
        <v>24</v>
      </c>
      <c r="X891" s="1">
        <v>2740</v>
      </c>
      <c r="Y891" s="1" t="s">
        <v>24</v>
      </c>
      <c r="Z891" s="1" t="s">
        <v>24</v>
      </c>
      <c r="AA891" s="1" t="s">
        <v>24</v>
      </c>
      <c r="AB891" s="1" t="s">
        <v>24</v>
      </c>
      <c r="AC891" s="1" t="s">
        <v>24</v>
      </c>
      <c r="AD891" s="1" t="s">
        <v>24</v>
      </c>
      <c r="AE891" s="1" t="s">
        <v>24</v>
      </c>
      <c r="AF891" s="22"/>
    </row>
    <row r="892" spans="1:32" x14ac:dyDescent="0.2">
      <c r="A892" s="1">
        <v>4953</v>
      </c>
      <c r="B892" s="1" t="s">
        <v>2973</v>
      </c>
      <c r="C892" s="5" t="s">
        <v>0</v>
      </c>
      <c r="D892" s="1" t="s">
        <v>2974</v>
      </c>
      <c r="E892" s="1" t="s">
        <v>2975</v>
      </c>
      <c r="F892" s="1" t="s">
        <v>1708</v>
      </c>
      <c r="G892" s="1" t="s">
        <v>1708</v>
      </c>
      <c r="H892" s="1" t="s">
        <v>684</v>
      </c>
      <c r="I892" s="1" t="s">
        <v>16</v>
      </c>
      <c r="J892" s="1">
        <v>1</v>
      </c>
      <c r="K892" s="1">
        <v>12</v>
      </c>
      <c r="L892" s="1" t="s">
        <v>17</v>
      </c>
      <c r="M892" s="1" t="s">
        <v>685</v>
      </c>
      <c r="N892" s="1" t="s">
        <v>1755</v>
      </c>
      <c r="O892" s="1">
        <v>1</v>
      </c>
      <c r="P892" s="1">
        <v>1</v>
      </c>
      <c r="R892" s="1" t="s">
        <v>19</v>
      </c>
      <c r="S892" s="1" t="s">
        <v>20</v>
      </c>
      <c r="T892" s="1" t="s">
        <v>21</v>
      </c>
      <c r="U892" s="1" t="s">
        <v>22</v>
      </c>
      <c r="V892" s="1" t="s">
        <v>24</v>
      </c>
      <c r="W892" s="1" t="s">
        <v>24</v>
      </c>
      <c r="X892" s="1">
        <v>2733</v>
      </c>
      <c r="Y892" s="1">
        <v>3504</v>
      </c>
      <c r="Z892" s="1">
        <v>2746</v>
      </c>
      <c r="AA892" s="1" t="s">
        <v>24</v>
      </c>
      <c r="AB892" s="1" t="s">
        <v>24</v>
      </c>
      <c r="AC892" s="1" t="s">
        <v>24</v>
      </c>
      <c r="AD892" s="1" t="s">
        <v>24</v>
      </c>
      <c r="AE892" s="1" t="s">
        <v>24</v>
      </c>
      <c r="AF892" s="22"/>
    </row>
    <row r="893" spans="1:32" x14ac:dyDescent="0.2">
      <c r="A893" s="1">
        <v>4957</v>
      </c>
      <c r="B893" s="1" t="s">
        <v>2976</v>
      </c>
      <c r="C893" s="5" t="s">
        <v>0</v>
      </c>
      <c r="D893" s="1" t="s">
        <v>2977</v>
      </c>
      <c r="E893" s="1" t="s">
        <v>2978</v>
      </c>
      <c r="F893" s="1" t="s">
        <v>60</v>
      </c>
      <c r="G893" s="1" t="s">
        <v>61</v>
      </c>
      <c r="H893" s="1" t="s">
        <v>30</v>
      </c>
      <c r="I893" s="1" t="s">
        <v>16</v>
      </c>
      <c r="J893" s="1">
        <v>2</v>
      </c>
      <c r="K893" s="1">
        <v>3</v>
      </c>
      <c r="L893" s="1" t="s">
        <v>31</v>
      </c>
      <c r="M893" s="1" t="s">
        <v>18</v>
      </c>
      <c r="N893" s="1" t="s">
        <v>18</v>
      </c>
      <c r="O893" s="1">
        <v>3</v>
      </c>
      <c r="P893" s="1">
        <v>7</v>
      </c>
      <c r="Q893" s="7" t="s">
        <v>17633</v>
      </c>
      <c r="R893" s="1" t="s">
        <v>19</v>
      </c>
      <c r="S893" s="1" t="s">
        <v>20</v>
      </c>
      <c r="T893" s="1" t="s">
        <v>21</v>
      </c>
      <c r="U893" s="1" t="s">
        <v>22</v>
      </c>
      <c r="V893" s="1" t="s">
        <v>24</v>
      </c>
      <c r="W893" s="1" t="s">
        <v>24</v>
      </c>
      <c r="X893" s="1">
        <v>1303</v>
      </c>
      <c r="Y893" s="1">
        <v>2705</v>
      </c>
      <c r="Z893" s="1">
        <v>1307</v>
      </c>
      <c r="AA893" s="1" t="s">
        <v>24</v>
      </c>
      <c r="AB893" s="1" t="s">
        <v>24</v>
      </c>
      <c r="AC893" s="1" t="s">
        <v>24</v>
      </c>
      <c r="AD893" s="1" t="s">
        <v>24</v>
      </c>
      <c r="AE893" s="1" t="s">
        <v>24</v>
      </c>
      <c r="AF893" s="22"/>
    </row>
    <row r="894" spans="1:32" x14ac:dyDescent="0.2">
      <c r="A894" s="1">
        <v>4958</v>
      </c>
      <c r="B894" s="1" t="s">
        <v>2979</v>
      </c>
      <c r="C894" s="5" t="s">
        <v>0</v>
      </c>
      <c r="D894" s="1" t="s">
        <v>2980</v>
      </c>
      <c r="F894" s="1" t="s">
        <v>2979</v>
      </c>
      <c r="G894" s="1" t="s">
        <v>2979</v>
      </c>
      <c r="H894" s="1" t="s">
        <v>899</v>
      </c>
      <c r="I894" s="1" t="s">
        <v>16</v>
      </c>
      <c r="J894" s="1">
        <v>1</v>
      </c>
      <c r="K894" s="1">
        <v>4</v>
      </c>
      <c r="L894" s="1" t="s">
        <v>42</v>
      </c>
      <c r="M894" s="1" t="s">
        <v>18</v>
      </c>
      <c r="N894" s="1" t="s">
        <v>18</v>
      </c>
      <c r="O894" s="1">
        <v>3</v>
      </c>
      <c r="P894" s="1">
        <v>5</v>
      </c>
      <c r="R894" s="1" t="s">
        <v>19</v>
      </c>
      <c r="S894" s="1" t="s">
        <v>20</v>
      </c>
      <c r="T894" s="1" t="s">
        <v>21</v>
      </c>
      <c r="U894" s="1" t="s">
        <v>22</v>
      </c>
      <c r="V894" s="1" t="s">
        <v>24</v>
      </c>
      <c r="W894" s="1" t="s">
        <v>24</v>
      </c>
      <c r="X894" s="1">
        <v>2700</v>
      </c>
      <c r="Y894" s="1" t="s">
        <v>24</v>
      </c>
      <c r="Z894" s="1" t="s">
        <v>24</v>
      </c>
      <c r="AA894" s="1" t="s">
        <v>24</v>
      </c>
      <c r="AB894" s="1" t="s">
        <v>24</v>
      </c>
      <c r="AC894" s="1" t="s">
        <v>24</v>
      </c>
      <c r="AD894" s="1" t="s">
        <v>24</v>
      </c>
      <c r="AE894" s="1" t="s">
        <v>24</v>
      </c>
      <c r="AF894" s="22"/>
    </row>
    <row r="895" spans="1:32" x14ac:dyDescent="0.2">
      <c r="A895" s="1">
        <v>4960</v>
      </c>
      <c r="B895" s="1" t="s">
        <v>2981</v>
      </c>
      <c r="C895" s="5" t="s">
        <v>0</v>
      </c>
      <c r="D895" s="1" t="s">
        <v>2982</v>
      </c>
      <c r="E895" s="1" t="s">
        <v>2983</v>
      </c>
      <c r="F895" s="1" t="s">
        <v>2984</v>
      </c>
      <c r="G895" s="1" t="s">
        <v>2984</v>
      </c>
      <c r="H895" s="1" t="s">
        <v>264</v>
      </c>
      <c r="I895" s="1" t="s">
        <v>16</v>
      </c>
      <c r="J895" s="1">
        <v>2</v>
      </c>
      <c r="K895" s="1">
        <v>12</v>
      </c>
      <c r="L895" s="1" t="s">
        <v>42</v>
      </c>
      <c r="M895" s="1" t="s">
        <v>18</v>
      </c>
      <c r="N895" s="1" t="s">
        <v>18</v>
      </c>
      <c r="O895" s="1">
        <v>3</v>
      </c>
      <c r="P895" s="1">
        <v>6</v>
      </c>
      <c r="R895" s="1" t="s">
        <v>19</v>
      </c>
      <c r="S895" s="1" t="s">
        <v>20</v>
      </c>
      <c r="T895" s="1" t="s">
        <v>21</v>
      </c>
      <c r="U895" s="1" t="s">
        <v>22</v>
      </c>
      <c r="V895" s="1" t="s">
        <v>24</v>
      </c>
      <c r="W895" s="1" t="s">
        <v>24</v>
      </c>
      <c r="X895" s="1">
        <v>2700</v>
      </c>
      <c r="Y895" s="1" t="s">
        <v>24</v>
      </c>
      <c r="Z895" s="1" t="s">
        <v>24</v>
      </c>
      <c r="AA895" s="1" t="s">
        <v>24</v>
      </c>
      <c r="AB895" s="1" t="s">
        <v>24</v>
      </c>
      <c r="AC895" s="1" t="s">
        <v>24</v>
      </c>
      <c r="AD895" s="1" t="s">
        <v>24</v>
      </c>
      <c r="AE895" s="1" t="s">
        <v>24</v>
      </c>
      <c r="AF895" s="22"/>
    </row>
    <row r="896" spans="1:32" x14ac:dyDescent="0.2">
      <c r="A896" s="1">
        <v>4962</v>
      </c>
      <c r="B896" s="1" t="s">
        <v>2985</v>
      </c>
      <c r="C896" s="5" t="s">
        <v>0</v>
      </c>
      <c r="D896" s="1" t="s">
        <v>2986</v>
      </c>
      <c r="F896" s="1" t="s">
        <v>2987</v>
      </c>
      <c r="G896" s="1" t="s">
        <v>2987</v>
      </c>
      <c r="H896" s="1" t="s">
        <v>2988</v>
      </c>
      <c r="I896" s="1" t="s">
        <v>16</v>
      </c>
      <c r="J896" s="1">
        <v>1</v>
      </c>
      <c r="K896" s="1">
        <v>4</v>
      </c>
      <c r="L896" s="1" t="s">
        <v>42</v>
      </c>
      <c r="M896" s="1" t="s">
        <v>18</v>
      </c>
      <c r="N896" s="1" t="s">
        <v>18</v>
      </c>
      <c r="O896" s="1">
        <v>3</v>
      </c>
      <c r="P896" s="1">
        <v>5</v>
      </c>
      <c r="R896" s="1" t="s">
        <v>19</v>
      </c>
      <c r="S896" s="1" t="s">
        <v>20</v>
      </c>
      <c r="T896" s="1" t="s">
        <v>21</v>
      </c>
      <c r="U896" s="1" t="s">
        <v>22</v>
      </c>
      <c r="V896" s="1" t="s">
        <v>24</v>
      </c>
      <c r="W896" s="1" t="s">
        <v>24</v>
      </c>
      <c r="X896" s="1">
        <v>2700</v>
      </c>
      <c r="Y896" s="1" t="s">
        <v>24</v>
      </c>
      <c r="Z896" s="1" t="s">
        <v>24</v>
      </c>
      <c r="AA896" s="1" t="s">
        <v>24</v>
      </c>
      <c r="AB896" s="1" t="s">
        <v>24</v>
      </c>
      <c r="AC896" s="1" t="s">
        <v>24</v>
      </c>
      <c r="AD896" s="1" t="s">
        <v>24</v>
      </c>
      <c r="AE896" s="1" t="s">
        <v>24</v>
      </c>
      <c r="AF896" s="22"/>
    </row>
    <row r="897" spans="1:32" x14ac:dyDescent="0.2">
      <c r="A897" s="1">
        <v>4984</v>
      </c>
      <c r="B897" s="1" t="s">
        <v>2989</v>
      </c>
      <c r="C897" s="5" t="s">
        <v>0</v>
      </c>
      <c r="D897" s="1" t="s">
        <v>2990</v>
      </c>
      <c r="E897" s="1" t="s">
        <v>2991</v>
      </c>
      <c r="F897" s="1" t="s">
        <v>85</v>
      </c>
      <c r="G897" s="1" t="s">
        <v>61</v>
      </c>
      <c r="H897" s="1" t="s">
        <v>86</v>
      </c>
      <c r="I897" s="1" t="s">
        <v>16</v>
      </c>
      <c r="J897" s="1">
        <v>1</v>
      </c>
      <c r="K897" s="1">
        <v>14</v>
      </c>
      <c r="L897" s="1" t="s">
        <v>31</v>
      </c>
      <c r="M897" s="1" t="s">
        <v>87</v>
      </c>
      <c r="N897" s="1" t="s">
        <v>18</v>
      </c>
      <c r="O897" s="1">
        <v>1</v>
      </c>
      <c r="P897" s="1">
        <v>5</v>
      </c>
      <c r="R897" s="1" t="s">
        <v>19</v>
      </c>
      <c r="S897" s="1" t="s">
        <v>20</v>
      </c>
      <c r="T897" s="1" t="s">
        <v>21</v>
      </c>
      <c r="U897" s="1" t="s">
        <v>22</v>
      </c>
      <c r="V897" s="1" t="s">
        <v>24</v>
      </c>
      <c r="W897" s="1" t="s">
        <v>24</v>
      </c>
      <c r="X897" s="1">
        <v>2725</v>
      </c>
      <c r="Y897" s="1" t="s">
        <v>24</v>
      </c>
      <c r="Z897" s="1" t="s">
        <v>24</v>
      </c>
      <c r="AA897" s="1" t="s">
        <v>24</v>
      </c>
      <c r="AB897" s="1" t="s">
        <v>24</v>
      </c>
      <c r="AC897" s="1" t="s">
        <v>24</v>
      </c>
      <c r="AD897" s="1" t="s">
        <v>24</v>
      </c>
      <c r="AE897" s="1" t="s">
        <v>24</v>
      </c>
      <c r="AF897" s="22"/>
    </row>
    <row r="898" spans="1:32" x14ac:dyDescent="0.2">
      <c r="A898" s="1">
        <v>4996</v>
      </c>
      <c r="B898" s="1" t="s">
        <v>2992</v>
      </c>
      <c r="C898" s="5" t="s">
        <v>0</v>
      </c>
      <c r="D898" s="1" t="s">
        <v>2993</v>
      </c>
      <c r="E898" s="1" t="s">
        <v>2994</v>
      </c>
      <c r="F898" s="1" t="s">
        <v>167</v>
      </c>
      <c r="G898" s="1" t="s">
        <v>130</v>
      </c>
      <c r="H898" s="1" t="s">
        <v>168</v>
      </c>
      <c r="I898" s="1" t="s">
        <v>16</v>
      </c>
      <c r="J898" s="1">
        <v>1</v>
      </c>
      <c r="K898" s="1">
        <v>4</v>
      </c>
      <c r="L898" s="1" t="s">
        <v>31</v>
      </c>
      <c r="M898" s="1" t="s">
        <v>18</v>
      </c>
      <c r="N898" s="1" t="s">
        <v>18</v>
      </c>
      <c r="O898" s="1">
        <v>3</v>
      </c>
      <c r="P898" s="1">
        <v>7</v>
      </c>
      <c r="Q898" s="7" t="s">
        <v>17633</v>
      </c>
      <c r="R898" s="1" t="s">
        <v>19</v>
      </c>
      <c r="S898" s="1" t="s">
        <v>20</v>
      </c>
      <c r="T898" s="1" t="s">
        <v>21</v>
      </c>
      <c r="U898" s="1" t="s">
        <v>22</v>
      </c>
      <c r="V898" s="1" t="s">
        <v>24</v>
      </c>
      <c r="W898" s="1" t="s">
        <v>24</v>
      </c>
      <c r="X898" s="1">
        <v>2723</v>
      </c>
      <c r="Y898" s="1">
        <v>2726</v>
      </c>
      <c r="Z898" s="1">
        <v>2403</v>
      </c>
      <c r="AA898" s="1" t="s">
        <v>24</v>
      </c>
      <c r="AB898" s="1" t="s">
        <v>24</v>
      </c>
      <c r="AC898" s="1" t="s">
        <v>24</v>
      </c>
      <c r="AD898" s="1" t="s">
        <v>24</v>
      </c>
      <c r="AE898" s="1" t="s">
        <v>24</v>
      </c>
      <c r="AF898" s="22"/>
    </row>
    <row r="899" spans="1:32" x14ac:dyDescent="0.2">
      <c r="A899" s="1">
        <v>5003</v>
      </c>
      <c r="B899" s="1" t="s">
        <v>2995</v>
      </c>
      <c r="C899" s="5" t="s">
        <v>0</v>
      </c>
      <c r="D899" s="1" t="s">
        <v>2996</v>
      </c>
      <c r="F899" s="1" t="s">
        <v>2997</v>
      </c>
      <c r="G899" s="1" t="s">
        <v>1343</v>
      </c>
      <c r="H899" s="1" t="s">
        <v>168</v>
      </c>
      <c r="I899" s="1" t="s">
        <v>16</v>
      </c>
      <c r="J899" s="1">
        <v>1</v>
      </c>
      <c r="K899" s="1">
        <v>12</v>
      </c>
      <c r="L899" s="1" t="s">
        <v>42</v>
      </c>
      <c r="M899" s="1" t="s">
        <v>413</v>
      </c>
      <c r="N899" s="1" t="s">
        <v>413</v>
      </c>
      <c r="O899" s="1">
        <v>0</v>
      </c>
      <c r="P899" s="1">
        <v>5</v>
      </c>
      <c r="R899" s="1" t="s">
        <v>19</v>
      </c>
      <c r="S899" s="1" t="s">
        <v>20</v>
      </c>
      <c r="T899" s="1" t="s">
        <v>21</v>
      </c>
      <c r="U899" s="1" t="s">
        <v>22</v>
      </c>
      <c r="V899" s="1" t="s">
        <v>24</v>
      </c>
      <c r="W899" s="1" t="s">
        <v>24</v>
      </c>
      <c r="X899" s="1">
        <v>2736</v>
      </c>
      <c r="Y899" s="1" t="s">
        <v>24</v>
      </c>
      <c r="Z899" s="1" t="s">
        <v>24</v>
      </c>
      <c r="AA899" s="1" t="s">
        <v>24</v>
      </c>
      <c r="AB899" s="1" t="s">
        <v>24</v>
      </c>
      <c r="AC899" s="1" t="s">
        <v>24</v>
      </c>
      <c r="AD899" s="1" t="s">
        <v>24</v>
      </c>
      <c r="AE899" s="1" t="s">
        <v>24</v>
      </c>
      <c r="AF899" s="22"/>
    </row>
    <row r="900" spans="1:32" x14ac:dyDescent="0.2">
      <c r="A900" s="1">
        <v>5034</v>
      </c>
      <c r="B900" s="1" t="s">
        <v>2998</v>
      </c>
      <c r="C900" s="5" t="s">
        <v>0</v>
      </c>
      <c r="D900" s="1" t="s">
        <v>2999</v>
      </c>
      <c r="E900" s="1" t="s">
        <v>3000</v>
      </c>
      <c r="F900" s="1" t="s">
        <v>167</v>
      </c>
      <c r="G900" s="1" t="s">
        <v>130</v>
      </c>
      <c r="H900" s="1" t="s">
        <v>168</v>
      </c>
      <c r="I900" s="1" t="s">
        <v>16</v>
      </c>
      <c r="J900" s="1">
        <v>1</v>
      </c>
      <c r="K900" s="1">
        <v>12</v>
      </c>
      <c r="L900" s="1" t="s">
        <v>31</v>
      </c>
      <c r="M900" s="1" t="s">
        <v>413</v>
      </c>
      <c r="N900" s="1" t="s">
        <v>242</v>
      </c>
      <c r="O900" s="1">
        <v>3</v>
      </c>
      <c r="P900" s="1">
        <v>6</v>
      </c>
      <c r="R900" s="1" t="s">
        <v>19</v>
      </c>
      <c r="S900" s="1" t="s">
        <v>20</v>
      </c>
      <c r="T900" s="1" t="s">
        <v>21</v>
      </c>
      <c r="U900" s="1" t="s">
        <v>22</v>
      </c>
      <c r="V900" s="1" t="s">
        <v>24</v>
      </c>
      <c r="W900" s="1" t="s">
        <v>24</v>
      </c>
      <c r="X900" s="1">
        <v>2735</v>
      </c>
      <c r="Y900" s="1">
        <v>2746</v>
      </c>
      <c r="Z900" s="1" t="s">
        <v>24</v>
      </c>
      <c r="AA900" s="1" t="s">
        <v>24</v>
      </c>
      <c r="AB900" s="1" t="s">
        <v>24</v>
      </c>
      <c r="AC900" s="1" t="s">
        <v>24</v>
      </c>
      <c r="AD900" s="1" t="s">
        <v>24</v>
      </c>
      <c r="AE900" s="1" t="s">
        <v>24</v>
      </c>
      <c r="AF900" s="22"/>
    </row>
    <row r="901" spans="1:32" x14ac:dyDescent="0.2">
      <c r="A901" s="1">
        <v>5042</v>
      </c>
      <c r="B901" s="1" t="s">
        <v>3001</v>
      </c>
      <c r="C901" s="5" t="s">
        <v>0</v>
      </c>
      <c r="D901" s="1" t="s">
        <v>3002</v>
      </c>
      <c r="E901" s="1" t="s">
        <v>3003</v>
      </c>
      <c r="F901" s="1" t="s">
        <v>1420</v>
      </c>
      <c r="G901" s="1" t="s">
        <v>1421</v>
      </c>
      <c r="H901" s="1" t="s">
        <v>30</v>
      </c>
      <c r="I901" s="1" t="s">
        <v>16</v>
      </c>
      <c r="J901" s="1">
        <v>2</v>
      </c>
      <c r="K901" s="1">
        <v>6</v>
      </c>
      <c r="L901" s="1" t="s">
        <v>42</v>
      </c>
      <c r="M901" s="1" t="s">
        <v>18</v>
      </c>
      <c r="N901" s="1" t="s">
        <v>18</v>
      </c>
      <c r="O901" s="1">
        <v>3</v>
      </c>
      <c r="P901" s="1">
        <v>7</v>
      </c>
      <c r="Q901" s="7" t="s">
        <v>17633</v>
      </c>
      <c r="R901" s="1" t="s">
        <v>62</v>
      </c>
      <c r="S901" s="1" t="s">
        <v>20</v>
      </c>
      <c r="T901" s="1" t="s">
        <v>21</v>
      </c>
      <c r="U901" s="1" t="s">
        <v>22</v>
      </c>
      <c r="V901" s="1" t="s">
        <v>24</v>
      </c>
      <c r="W901" s="1" t="s">
        <v>64</v>
      </c>
      <c r="X901" s="1">
        <v>3004</v>
      </c>
      <c r="Y901" s="1">
        <v>1313</v>
      </c>
      <c r="Z901" s="1" t="s">
        <v>24</v>
      </c>
      <c r="AA901" s="1" t="s">
        <v>24</v>
      </c>
      <c r="AB901" s="1" t="s">
        <v>24</v>
      </c>
      <c r="AC901" s="1" t="s">
        <v>24</v>
      </c>
      <c r="AD901" s="1" t="s">
        <v>24</v>
      </c>
      <c r="AE901" s="1" t="s">
        <v>24</v>
      </c>
      <c r="AF901" s="22"/>
    </row>
    <row r="902" spans="1:32" x14ac:dyDescent="0.2">
      <c r="A902" s="1">
        <v>5052</v>
      </c>
      <c r="B902" s="1" t="s">
        <v>3004</v>
      </c>
      <c r="C902" s="5" t="s">
        <v>0</v>
      </c>
      <c r="D902" s="1" t="s">
        <v>3005</v>
      </c>
      <c r="F902" s="1" t="s">
        <v>3006</v>
      </c>
      <c r="G902" s="1" t="s">
        <v>3007</v>
      </c>
      <c r="H902" s="1" t="s">
        <v>30</v>
      </c>
      <c r="I902" s="1" t="s">
        <v>16</v>
      </c>
      <c r="J902" s="1">
        <v>1</v>
      </c>
      <c r="K902" s="1">
        <v>12</v>
      </c>
      <c r="L902" s="1" t="s">
        <v>31</v>
      </c>
      <c r="M902" s="1" t="s">
        <v>18</v>
      </c>
      <c r="N902" s="1" t="s">
        <v>18</v>
      </c>
      <c r="O902" s="1">
        <v>3</v>
      </c>
      <c r="P902" s="1">
        <v>6</v>
      </c>
      <c r="R902" s="1" t="s">
        <v>62</v>
      </c>
      <c r="S902" s="1" t="s">
        <v>63</v>
      </c>
      <c r="T902" s="1" t="s">
        <v>21</v>
      </c>
      <c r="U902" s="1" t="s">
        <v>22</v>
      </c>
      <c r="V902" s="1" t="s">
        <v>24</v>
      </c>
      <c r="W902" s="1" t="s">
        <v>24</v>
      </c>
      <c r="X902" s="1">
        <v>1304</v>
      </c>
      <c r="Y902" s="1">
        <v>2741</v>
      </c>
      <c r="Z902" s="1" t="s">
        <v>24</v>
      </c>
      <c r="AA902" s="1" t="s">
        <v>24</v>
      </c>
      <c r="AB902" s="1" t="s">
        <v>24</v>
      </c>
      <c r="AC902" s="1" t="s">
        <v>24</v>
      </c>
      <c r="AD902" s="1" t="s">
        <v>24</v>
      </c>
      <c r="AE902" s="1" t="s">
        <v>24</v>
      </c>
      <c r="AF902" s="22"/>
    </row>
    <row r="903" spans="1:32" x14ac:dyDescent="0.2">
      <c r="A903" s="1">
        <v>5054</v>
      </c>
      <c r="B903" s="1" t="s">
        <v>3008</v>
      </c>
      <c r="C903" s="5" t="s">
        <v>0</v>
      </c>
      <c r="D903" s="1" t="s">
        <v>3009</v>
      </c>
      <c r="E903" s="1" t="s">
        <v>3010</v>
      </c>
      <c r="F903" s="1" t="s">
        <v>155</v>
      </c>
      <c r="G903" s="1" t="s">
        <v>61</v>
      </c>
      <c r="H903" s="1" t="s">
        <v>37</v>
      </c>
      <c r="I903" s="1" t="s">
        <v>16</v>
      </c>
      <c r="J903" s="1">
        <v>2</v>
      </c>
      <c r="K903" s="1">
        <v>12</v>
      </c>
      <c r="L903" s="1" t="s">
        <v>31</v>
      </c>
      <c r="M903" s="1" t="s">
        <v>18</v>
      </c>
      <c r="N903" s="1" t="s">
        <v>18</v>
      </c>
      <c r="O903" s="1">
        <v>3</v>
      </c>
      <c r="P903" s="1">
        <v>6</v>
      </c>
      <c r="R903" s="1" t="s">
        <v>19</v>
      </c>
      <c r="S903" s="1" t="s">
        <v>20</v>
      </c>
      <c r="T903" s="1" t="s">
        <v>21</v>
      </c>
      <c r="U903" s="1" t="s">
        <v>22</v>
      </c>
      <c r="V903" s="1" t="s">
        <v>24</v>
      </c>
      <c r="W903" s="1" t="s">
        <v>24</v>
      </c>
      <c r="X903" s="1">
        <v>1104</v>
      </c>
      <c r="Y903" s="1">
        <v>1910</v>
      </c>
      <c r="Z903" s="1">
        <v>2310</v>
      </c>
      <c r="AA903" s="1" t="s">
        <v>24</v>
      </c>
      <c r="AB903" s="1" t="s">
        <v>24</v>
      </c>
      <c r="AC903" s="1" t="s">
        <v>24</v>
      </c>
      <c r="AD903" s="1" t="s">
        <v>24</v>
      </c>
      <c r="AE903" s="1" t="s">
        <v>24</v>
      </c>
      <c r="AF903" s="22"/>
    </row>
    <row r="904" spans="1:32" x14ac:dyDescent="0.2">
      <c r="A904" s="1">
        <v>5058</v>
      </c>
      <c r="B904" s="1" t="s">
        <v>3011</v>
      </c>
      <c r="C904" s="5" t="s">
        <v>0</v>
      </c>
      <c r="D904" s="1" t="s">
        <v>3012</v>
      </c>
      <c r="E904" s="1" t="s">
        <v>3013</v>
      </c>
      <c r="F904" s="1" t="s">
        <v>1708</v>
      </c>
      <c r="G904" s="1" t="s">
        <v>1708</v>
      </c>
      <c r="H904" s="1" t="s">
        <v>684</v>
      </c>
      <c r="I904" s="1" t="s">
        <v>16</v>
      </c>
      <c r="J904" s="1">
        <v>1</v>
      </c>
      <c r="K904" s="1">
        <v>4</v>
      </c>
      <c r="L904" s="1" t="s">
        <v>17</v>
      </c>
      <c r="M904" s="1" t="s">
        <v>852</v>
      </c>
      <c r="N904" s="1" t="s">
        <v>18</v>
      </c>
      <c r="O904" s="1">
        <v>2</v>
      </c>
      <c r="P904" s="1">
        <v>5</v>
      </c>
      <c r="R904" s="1" t="s">
        <v>19</v>
      </c>
      <c r="S904" s="1" t="s">
        <v>20</v>
      </c>
      <c r="T904" s="1" t="s">
        <v>21</v>
      </c>
      <c r="U904" s="1" t="s">
        <v>22</v>
      </c>
      <c r="V904" s="1" t="s">
        <v>24</v>
      </c>
      <c r="W904" s="1" t="s">
        <v>24</v>
      </c>
      <c r="X904" s="1">
        <v>2738</v>
      </c>
      <c r="Y904" s="1" t="s">
        <v>24</v>
      </c>
      <c r="Z904" s="1" t="s">
        <v>24</v>
      </c>
      <c r="AA904" s="1" t="s">
        <v>24</v>
      </c>
      <c r="AB904" s="1" t="s">
        <v>24</v>
      </c>
      <c r="AC904" s="1" t="s">
        <v>24</v>
      </c>
      <c r="AD904" s="1" t="s">
        <v>24</v>
      </c>
      <c r="AE904" s="1" t="s">
        <v>24</v>
      </c>
      <c r="AF904" s="22"/>
    </row>
    <row r="905" spans="1:32" x14ac:dyDescent="0.2">
      <c r="A905" s="1">
        <v>5072</v>
      </c>
      <c r="B905" s="1" t="s">
        <v>3014</v>
      </c>
      <c r="C905" s="5" t="s">
        <v>0</v>
      </c>
      <c r="D905" s="1" t="s">
        <v>3015</v>
      </c>
      <c r="E905" s="1" t="s">
        <v>3016</v>
      </c>
      <c r="F905" s="1" t="s">
        <v>272</v>
      </c>
      <c r="G905" s="1" t="s">
        <v>61</v>
      </c>
      <c r="H905" s="1" t="s">
        <v>30</v>
      </c>
      <c r="I905" s="1" t="s">
        <v>16</v>
      </c>
      <c r="J905" s="1">
        <v>1</v>
      </c>
      <c r="K905" s="1">
        <v>10</v>
      </c>
      <c r="L905" s="1" t="s">
        <v>31</v>
      </c>
      <c r="M905" s="1" t="s">
        <v>18</v>
      </c>
      <c r="N905" s="1" t="s">
        <v>18</v>
      </c>
      <c r="O905" s="1">
        <v>3</v>
      </c>
      <c r="P905" s="1">
        <v>7</v>
      </c>
      <c r="Q905" s="7" t="s">
        <v>17633</v>
      </c>
      <c r="R905" s="1" t="s">
        <v>19</v>
      </c>
      <c r="S905" s="1" t="s">
        <v>20</v>
      </c>
      <c r="T905" s="1" t="s">
        <v>21</v>
      </c>
      <c r="U905" s="1" t="s">
        <v>22</v>
      </c>
      <c r="V905" s="1" t="s">
        <v>24</v>
      </c>
      <c r="W905" s="1" t="s">
        <v>24</v>
      </c>
      <c r="X905" s="1">
        <v>1304</v>
      </c>
      <c r="Y905" s="1">
        <v>2741</v>
      </c>
      <c r="Z905" s="1">
        <v>2204</v>
      </c>
      <c r="AA905" s="1" t="s">
        <v>24</v>
      </c>
      <c r="AB905" s="1" t="s">
        <v>24</v>
      </c>
      <c r="AC905" s="1" t="s">
        <v>24</v>
      </c>
      <c r="AD905" s="1" t="s">
        <v>24</v>
      </c>
      <c r="AE905" s="1" t="s">
        <v>24</v>
      </c>
      <c r="AF905" s="22"/>
    </row>
    <row r="906" spans="1:32" x14ac:dyDescent="0.2">
      <c r="A906" s="1">
        <v>5074</v>
      </c>
      <c r="B906" s="1" t="s">
        <v>3017</v>
      </c>
      <c r="C906" s="5" t="s">
        <v>0</v>
      </c>
      <c r="D906" s="1" t="s">
        <v>3018</v>
      </c>
      <c r="E906" s="1" t="s">
        <v>3019</v>
      </c>
      <c r="F906" s="1" t="s">
        <v>517</v>
      </c>
      <c r="G906" s="1" t="s">
        <v>36</v>
      </c>
      <c r="H906" s="1" t="s">
        <v>30</v>
      </c>
      <c r="I906" s="1" t="s">
        <v>16</v>
      </c>
      <c r="J906" s="1">
        <v>2</v>
      </c>
      <c r="K906" s="1">
        <v>6</v>
      </c>
      <c r="L906" s="1" t="s">
        <v>31</v>
      </c>
      <c r="M906" s="1" t="s">
        <v>18</v>
      </c>
      <c r="N906" s="1" t="s">
        <v>18</v>
      </c>
      <c r="O906" s="1">
        <v>3</v>
      </c>
      <c r="P906" s="1">
        <v>6</v>
      </c>
      <c r="R906" s="1" t="s">
        <v>62</v>
      </c>
      <c r="S906" s="1" t="s">
        <v>20</v>
      </c>
      <c r="T906" s="1" t="s">
        <v>21</v>
      </c>
      <c r="U906" s="1" t="s">
        <v>22</v>
      </c>
      <c r="V906" s="1" t="s">
        <v>23</v>
      </c>
      <c r="W906" s="1" t="s">
        <v>24</v>
      </c>
      <c r="X906" s="1">
        <v>2741</v>
      </c>
      <c r="Y906" s="1" t="s">
        <v>24</v>
      </c>
      <c r="Z906" s="1" t="s">
        <v>24</v>
      </c>
      <c r="AA906" s="1" t="s">
        <v>24</v>
      </c>
      <c r="AB906" s="1" t="s">
        <v>24</v>
      </c>
      <c r="AC906" s="1" t="s">
        <v>24</v>
      </c>
      <c r="AD906" s="1" t="s">
        <v>24</v>
      </c>
      <c r="AE906" s="1" t="s">
        <v>24</v>
      </c>
      <c r="AF906" s="22"/>
    </row>
    <row r="907" spans="1:32" x14ac:dyDescent="0.2">
      <c r="A907" s="1">
        <v>5076</v>
      </c>
      <c r="B907" s="1" t="s">
        <v>3020</v>
      </c>
      <c r="C907" s="5" t="s">
        <v>0</v>
      </c>
      <c r="D907" s="1" t="s">
        <v>3021</v>
      </c>
      <c r="E907" s="1" t="s">
        <v>3022</v>
      </c>
      <c r="F907" s="1" t="s">
        <v>517</v>
      </c>
      <c r="G907" s="1" t="s">
        <v>36</v>
      </c>
      <c r="H907" s="1" t="s">
        <v>30</v>
      </c>
      <c r="I907" s="1" t="s">
        <v>16</v>
      </c>
      <c r="J907" s="1">
        <v>1</v>
      </c>
      <c r="K907" s="1">
        <v>6</v>
      </c>
      <c r="L907" s="1" t="s">
        <v>31</v>
      </c>
      <c r="M907" s="1" t="s">
        <v>18</v>
      </c>
      <c r="N907" s="1" t="s">
        <v>18</v>
      </c>
      <c r="O907" s="1">
        <v>0</v>
      </c>
      <c r="P907" s="1">
        <v>6</v>
      </c>
      <c r="R907" s="1" t="s">
        <v>62</v>
      </c>
      <c r="S907" s="1" t="s">
        <v>20</v>
      </c>
      <c r="T907" s="1" t="s">
        <v>21</v>
      </c>
      <c r="U907" s="1" t="s">
        <v>22</v>
      </c>
      <c r="V907" s="1" t="s">
        <v>24</v>
      </c>
      <c r="W907" s="1" t="s">
        <v>24</v>
      </c>
      <c r="X907" s="1">
        <v>1313</v>
      </c>
      <c r="Y907" s="1">
        <v>3002</v>
      </c>
      <c r="Z907" s="1">
        <v>3004</v>
      </c>
      <c r="AA907" s="1" t="s">
        <v>24</v>
      </c>
      <c r="AB907" s="1" t="s">
        <v>24</v>
      </c>
      <c r="AC907" s="1" t="s">
        <v>24</v>
      </c>
      <c r="AD907" s="1" t="s">
        <v>24</v>
      </c>
      <c r="AE907" s="1" t="s">
        <v>24</v>
      </c>
      <c r="AF907" s="22"/>
    </row>
    <row r="908" spans="1:32" x14ac:dyDescent="0.2">
      <c r="A908" s="1">
        <v>5097</v>
      </c>
      <c r="B908" s="1" t="s">
        <v>3023</v>
      </c>
      <c r="C908" s="5" t="s">
        <v>0</v>
      </c>
      <c r="D908" s="1" t="s">
        <v>3024</v>
      </c>
      <c r="E908" s="1" t="s">
        <v>3025</v>
      </c>
      <c r="F908" s="1" t="s">
        <v>320</v>
      </c>
      <c r="G908" s="1" t="s">
        <v>36</v>
      </c>
      <c r="H908" s="1" t="s">
        <v>30</v>
      </c>
      <c r="I908" s="1" t="s">
        <v>16</v>
      </c>
      <c r="J908" s="1">
        <v>1</v>
      </c>
      <c r="K908" s="1">
        <v>8</v>
      </c>
      <c r="L908" s="1" t="s">
        <v>31</v>
      </c>
      <c r="M908" s="1" t="s">
        <v>18</v>
      </c>
      <c r="N908" s="1" t="s">
        <v>18</v>
      </c>
      <c r="O908" s="1">
        <v>3</v>
      </c>
      <c r="P908" s="1">
        <v>7</v>
      </c>
      <c r="Q908" s="7" t="s">
        <v>17633</v>
      </c>
      <c r="R908" s="1" t="s">
        <v>19</v>
      </c>
      <c r="S908" s="1" t="s">
        <v>20</v>
      </c>
      <c r="T908" s="1" t="s">
        <v>21</v>
      </c>
      <c r="U908" s="1" t="s">
        <v>22</v>
      </c>
      <c r="V908" s="1" t="s">
        <v>24</v>
      </c>
      <c r="W908" s="1" t="s">
        <v>24</v>
      </c>
      <c r="X908" s="1">
        <v>2746</v>
      </c>
      <c r="Y908" s="1" t="s">
        <v>24</v>
      </c>
      <c r="Z908" s="1" t="s">
        <v>24</v>
      </c>
      <c r="AA908" s="1" t="s">
        <v>24</v>
      </c>
      <c r="AB908" s="1" t="s">
        <v>24</v>
      </c>
      <c r="AC908" s="1" t="s">
        <v>24</v>
      </c>
      <c r="AD908" s="1" t="s">
        <v>24</v>
      </c>
      <c r="AE908" s="1" t="s">
        <v>24</v>
      </c>
      <c r="AF908" s="22"/>
    </row>
    <row r="909" spans="1:32" x14ac:dyDescent="0.2">
      <c r="A909" s="1">
        <v>5127</v>
      </c>
      <c r="B909" s="1" t="s">
        <v>3026</v>
      </c>
      <c r="C909" s="5" t="s">
        <v>0</v>
      </c>
      <c r="D909" s="1" t="s">
        <v>3027</v>
      </c>
      <c r="E909" s="1" t="s">
        <v>3028</v>
      </c>
      <c r="F909" s="1" t="s">
        <v>3029</v>
      </c>
      <c r="G909" s="1" t="s">
        <v>36</v>
      </c>
      <c r="H909" s="1" t="s">
        <v>30</v>
      </c>
      <c r="I909" s="1" t="s">
        <v>16</v>
      </c>
      <c r="J909" s="1">
        <v>2</v>
      </c>
      <c r="K909" s="1">
        <v>6</v>
      </c>
      <c r="L909" s="1" t="s">
        <v>31</v>
      </c>
      <c r="M909" s="1" t="s">
        <v>18</v>
      </c>
      <c r="N909" s="1" t="s">
        <v>18</v>
      </c>
      <c r="O909" s="1">
        <v>3</v>
      </c>
      <c r="P909" s="1">
        <v>8</v>
      </c>
      <c r="Q909" s="7" t="s">
        <v>17633</v>
      </c>
      <c r="R909" s="1" t="s">
        <v>19</v>
      </c>
      <c r="S909" s="1" t="s">
        <v>20</v>
      </c>
      <c r="T909" s="1" t="s">
        <v>21</v>
      </c>
      <c r="U909" s="1" t="s">
        <v>22</v>
      </c>
      <c r="V909" s="1" t="s">
        <v>24</v>
      </c>
      <c r="W909" s="1" t="s">
        <v>24</v>
      </c>
      <c r="X909" s="1">
        <v>2728</v>
      </c>
      <c r="Y909" s="1">
        <v>2804</v>
      </c>
      <c r="Z909" s="1">
        <v>2737</v>
      </c>
      <c r="AA909" s="1">
        <v>1314</v>
      </c>
      <c r="AB909" s="1" t="s">
        <v>24</v>
      </c>
      <c r="AC909" s="1" t="s">
        <v>24</v>
      </c>
      <c r="AD909" s="1" t="s">
        <v>24</v>
      </c>
      <c r="AE909" s="1" t="s">
        <v>24</v>
      </c>
      <c r="AF909" s="22"/>
    </row>
    <row r="910" spans="1:32" x14ac:dyDescent="0.2">
      <c r="A910" s="1">
        <v>5128</v>
      </c>
      <c r="B910" s="1" t="s">
        <v>3030</v>
      </c>
      <c r="C910" s="5" t="s">
        <v>0</v>
      </c>
      <c r="D910" s="1" t="s">
        <v>3031</v>
      </c>
      <c r="F910" s="1" t="s">
        <v>1708</v>
      </c>
      <c r="G910" s="1" t="s">
        <v>1708</v>
      </c>
      <c r="H910" s="1" t="s">
        <v>684</v>
      </c>
      <c r="I910" s="1" t="s">
        <v>16</v>
      </c>
      <c r="J910" s="1">
        <v>1</v>
      </c>
      <c r="K910" s="1">
        <v>4</v>
      </c>
      <c r="L910" s="1" t="s">
        <v>17</v>
      </c>
      <c r="M910" s="1" t="s">
        <v>852</v>
      </c>
      <c r="N910" s="1" t="s">
        <v>18</v>
      </c>
      <c r="O910" s="1">
        <v>2</v>
      </c>
      <c r="P910" s="1">
        <v>4</v>
      </c>
      <c r="R910" s="1" t="s">
        <v>19</v>
      </c>
      <c r="S910" s="1" t="s">
        <v>20</v>
      </c>
      <c r="T910" s="1" t="s">
        <v>21</v>
      </c>
      <c r="U910" s="1" t="s">
        <v>22</v>
      </c>
      <c r="V910" s="1" t="s">
        <v>24</v>
      </c>
      <c r="W910" s="1" t="s">
        <v>24</v>
      </c>
      <c r="X910" s="1">
        <v>2727</v>
      </c>
      <c r="Y910" s="1">
        <v>2748</v>
      </c>
      <c r="Z910" s="1" t="s">
        <v>24</v>
      </c>
      <c r="AA910" s="1" t="s">
        <v>24</v>
      </c>
      <c r="AB910" s="1" t="s">
        <v>24</v>
      </c>
      <c r="AC910" s="1" t="s">
        <v>24</v>
      </c>
      <c r="AD910" s="1" t="s">
        <v>24</v>
      </c>
      <c r="AE910" s="1" t="s">
        <v>24</v>
      </c>
      <c r="AF910" s="22"/>
    </row>
    <row r="911" spans="1:32" x14ac:dyDescent="0.2">
      <c r="A911" s="1">
        <v>5131</v>
      </c>
      <c r="B911" s="1" t="s">
        <v>3032</v>
      </c>
      <c r="C911" s="5" t="s">
        <v>0</v>
      </c>
      <c r="D911" s="1" t="s">
        <v>3033</v>
      </c>
      <c r="E911" s="1" t="s">
        <v>3034</v>
      </c>
      <c r="F911" s="1" t="s">
        <v>55</v>
      </c>
      <c r="G911" s="1" t="s">
        <v>56</v>
      </c>
      <c r="H911" s="1" t="s">
        <v>37</v>
      </c>
      <c r="I911" s="1" t="s">
        <v>16</v>
      </c>
      <c r="J911" s="1">
        <v>1</v>
      </c>
      <c r="K911" s="1">
        <v>6</v>
      </c>
      <c r="L911" s="1" t="s">
        <v>31</v>
      </c>
      <c r="M911" s="1" t="s">
        <v>18</v>
      </c>
      <c r="N911" s="1" t="s">
        <v>18</v>
      </c>
      <c r="O911" s="1">
        <v>3</v>
      </c>
      <c r="P911" s="1">
        <v>7</v>
      </c>
      <c r="Q911" s="7" t="s">
        <v>17633</v>
      </c>
      <c r="R911" s="1" t="s">
        <v>19</v>
      </c>
      <c r="S911" s="1" t="s">
        <v>20</v>
      </c>
      <c r="T911" s="1" t="s">
        <v>21</v>
      </c>
      <c r="U911" s="1" t="s">
        <v>22</v>
      </c>
      <c r="V911" s="1" t="s">
        <v>24</v>
      </c>
      <c r="W911" s="1" t="s">
        <v>24</v>
      </c>
      <c r="X911" s="1">
        <v>1311</v>
      </c>
      <c r="Y911" s="1">
        <v>2716</v>
      </c>
      <c r="Z911" s="1">
        <v>3005</v>
      </c>
      <c r="AA911" s="1">
        <v>2307</v>
      </c>
      <c r="AB911" s="1" t="s">
        <v>24</v>
      </c>
      <c r="AC911" s="1" t="s">
        <v>24</v>
      </c>
      <c r="AD911" s="1" t="s">
        <v>24</v>
      </c>
      <c r="AE911" s="1" t="s">
        <v>24</v>
      </c>
      <c r="AF911" s="22"/>
    </row>
    <row r="912" spans="1:32" x14ac:dyDescent="0.2">
      <c r="A912" s="1">
        <v>5149</v>
      </c>
      <c r="B912" s="1" t="s">
        <v>3035</v>
      </c>
      <c r="C912" s="5" t="s">
        <v>0</v>
      </c>
      <c r="D912" s="1" t="s">
        <v>3036</v>
      </c>
      <c r="F912" s="1" t="s">
        <v>3037</v>
      </c>
      <c r="G912" s="1" t="s">
        <v>3038</v>
      </c>
      <c r="H912" s="1" t="s">
        <v>461</v>
      </c>
      <c r="I912" s="1" t="s">
        <v>16</v>
      </c>
      <c r="J912" s="1">
        <v>1</v>
      </c>
      <c r="K912" s="1">
        <v>6</v>
      </c>
      <c r="L912" s="1" t="s">
        <v>17</v>
      </c>
      <c r="M912" s="1" t="s">
        <v>635</v>
      </c>
      <c r="N912" s="1" t="s">
        <v>18</v>
      </c>
      <c r="O912" s="1">
        <v>2</v>
      </c>
      <c r="P912" s="1">
        <v>4</v>
      </c>
      <c r="R912" s="1" t="s">
        <v>19</v>
      </c>
      <c r="S912" s="1" t="s">
        <v>20</v>
      </c>
      <c r="T912" s="1" t="s">
        <v>21</v>
      </c>
      <c r="U912" s="1" t="s">
        <v>22</v>
      </c>
      <c r="V912" s="1" t="s">
        <v>24</v>
      </c>
      <c r="W912" s="1" t="s">
        <v>24</v>
      </c>
      <c r="X912" s="1">
        <v>2700</v>
      </c>
      <c r="Y912" s="1" t="s">
        <v>24</v>
      </c>
      <c r="Z912" s="1" t="s">
        <v>24</v>
      </c>
      <c r="AA912" s="1" t="s">
        <v>24</v>
      </c>
      <c r="AB912" s="1" t="s">
        <v>24</v>
      </c>
      <c r="AC912" s="1" t="s">
        <v>24</v>
      </c>
      <c r="AD912" s="1" t="s">
        <v>24</v>
      </c>
      <c r="AE912" s="1" t="s">
        <v>24</v>
      </c>
      <c r="AF912" s="22"/>
    </row>
    <row r="913" spans="1:32" x14ac:dyDescent="0.2">
      <c r="A913" s="1">
        <v>5155</v>
      </c>
      <c r="B913" s="1" t="s">
        <v>3039</v>
      </c>
      <c r="C913" s="5" t="s">
        <v>0</v>
      </c>
      <c r="D913" s="1" t="s">
        <v>3040</v>
      </c>
      <c r="E913" s="1" t="s">
        <v>3041</v>
      </c>
      <c r="F913" s="1" t="s">
        <v>35</v>
      </c>
      <c r="G913" s="1" t="s">
        <v>36</v>
      </c>
      <c r="H913" s="1" t="s">
        <v>37</v>
      </c>
      <c r="I913" s="1" t="s">
        <v>16</v>
      </c>
      <c r="J913" s="1">
        <v>1</v>
      </c>
      <c r="K913" s="1">
        <v>6</v>
      </c>
      <c r="L913" s="1" t="s">
        <v>31</v>
      </c>
      <c r="M913" s="1" t="s">
        <v>18</v>
      </c>
      <c r="N913" s="1" t="s">
        <v>18</v>
      </c>
      <c r="O913" s="1">
        <v>3</v>
      </c>
      <c r="P913" s="1">
        <v>7</v>
      </c>
      <c r="Q913" s="7" t="s">
        <v>17633</v>
      </c>
      <c r="R913" s="1" t="s">
        <v>62</v>
      </c>
      <c r="S913" s="1" t="s">
        <v>20</v>
      </c>
      <c r="T913" s="1" t="s">
        <v>21</v>
      </c>
      <c r="U913" s="1" t="s">
        <v>22</v>
      </c>
      <c r="V913" s="1" t="s">
        <v>24</v>
      </c>
      <c r="W913" s="1" t="s">
        <v>24</v>
      </c>
      <c r="X913" s="1">
        <v>2728</v>
      </c>
      <c r="Y913" s="1">
        <v>2734</v>
      </c>
      <c r="Z913" s="1">
        <v>2808</v>
      </c>
      <c r="AA913" s="1">
        <v>2722</v>
      </c>
      <c r="AB913" s="1">
        <v>2737</v>
      </c>
      <c r="AC913" s="1" t="s">
        <v>24</v>
      </c>
      <c r="AD913" s="1" t="s">
        <v>24</v>
      </c>
      <c r="AE913" s="1" t="s">
        <v>24</v>
      </c>
      <c r="AF913" s="22"/>
    </row>
    <row r="914" spans="1:32" x14ac:dyDescent="0.2">
      <c r="A914" s="1">
        <v>5158</v>
      </c>
      <c r="B914" s="1" t="s">
        <v>3042</v>
      </c>
      <c r="C914" s="5" t="s">
        <v>0</v>
      </c>
      <c r="D914" s="1" t="s">
        <v>3043</v>
      </c>
      <c r="E914" s="1" t="s">
        <v>3044</v>
      </c>
      <c r="F914" s="1" t="s">
        <v>55</v>
      </c>
      <c r="G914" s="1" t="s">
        <v>56</v>
      </c>
      <c r="H914" s="1" t="s">
        <v>37</v>
      </c>
      <c r="I914" s="1" t="s">
        <v>16</v>
      </c>
      <c r="J914" s="1">
        <v>1</v>
      </c>
      <c r="K914" s="1">
        <v>22</v>
      </c>
      <c r="L914" s="1" t="s">
        <v>31</v>
      </c>
      <c r="M914" s="1" t="s">
        <v>18</v>
      </c>
      <c r="N914" s="1" t="s">
        <v>18</v>
      </c>
      <c r="O914" s="1">
        <v>3</v>
      </c>
      <c r="P914" s="1">
        <v>8</v>
      </c>
      <c r="Q914" s="7" t="s">
        <v>17633</v>
      </c>
      <c r="R914" s="1" t="s">
        <v>62</v>
      </c>
      <c r="S914" s="1" t="s">
        <v>20</v>
      </c>
      <c r="T914" s="1" t="s">
        <v>21</v>
      </c>
      <c r="U914" s="1" t="s">
        <v>22</v>
      </c>
      <c r="V914" s="1" t="s">
        <v>24</v>
      </c>
      <c r="W914" s="1" t="s">
        <v>64</v>
      </c>
      <c r="X914" s="1">
        <v>1311</v>
      </c>
      <c r="Y914" s="1" t="s">
        <v>24</v>
      </c>
      <c r="Z914" s="1" t="s">
        <v>24</v>
      </c>
      <c r="AA914" s="1" t="s">
        <v>24</v>
      </c>
      <c r="AB914" s="1" t="s">
        <v>24</v>
      </c>
      <c r="AC914" s="1" t="s">
        <v>24</v>
      </c>
      <c r="AD914" s="1" t="s">
        <v>24</v>
      </c>
      <c r="AE914" s="1" t="s">
        <v>24</v>
      </c>
      <c r="AF914" s="22"/>
    </row>
    <row r="915" spans="1:32" x14ac:dyDescent="0.2">
      <c r="A915" s="1">
        <v>5163</v>
      </c>
      <c r="B915" s="1" t="s">
        <v>3045</v>
      </c>
      <c r="C915" s="5" t="s">
        <v>0</v>
      </c>
      <c r="D915" s="1" t="s">
        <v>3046</v>
      </c>
      <c r="E915" s="1" t="s">
        <v>3047</v>
      </c>
      <c r="F915" s="1" t="s">
        <v>315</v>
      </c>
      <c r="G915" s="1" t="s">
        <v>316</v>
      </c>
      <c r="H915" s="1" t="s">
        <v>37</v>
      </c>
      <c r="I915" s="1" t="s">
        <v>16</v>
      </c>
      <c r="J915" s="1">
        <v>9</v>
      </c>
      <c r="K915" s="1">
        <v>6</v>
      </c>
      <c r="L915" s="1" t="s">
        <v>31</v>
      </c>
      <c r="M915" s="1" t="s">
        <v>18</v>
      </c>
      <c r="N915" s="1" t="s">
        <v>18</v>
      </c>
      <c r="O915" s="1">
        <v>3</v>
      </c>
      <c r="P915" s="1">
        <v>9</v>
      </c>
      <c r="Q915" s="7" t="s">
        <v>17633</v>
      </c>
      <c r="R915" s="1" t="s">
        <v>881</v>
      </c>
      <c r="S915" s="1" t="s">
        <v>20</v>
      </c>
      <c r="T915" s="1" t="s">
        <v>21</v>
      </c>
      <c r="U915" s="1" t="s">
        <v>22</v>
      </c>
      <c r="V915" s="1" t="s">
        <v>23</v>
      </c>
      <c r="W915" s="1" t="s">
        <v>64</v>
      </c>
      <c r="X915" s="1">
        <v>1000</v>
      </c>
      <c r="Y915" s="1" t="s">
        <v>24</v>
      </c>
      <c r="Z915" s="1" t="s">
        <v>24</v>
      </c>
      <c r="AA915" s="1" t="s">
        <v>24</v>
      </c>
      <c r="AB915" s="1" t="s">
        <v>24</v>
      </c>
      <c r="AC915" s="1" t="s">
        <v>24</v>
      </c>
      <c r="AD915" s="1" t="s">
        <v>24</v>
      </c>
      <c r="AE915" s="1" t="s">
        <v>24</v>
      </c>
      <c r="AF915" s="22"/>
    </row>
    <row r="916" spans="1:32" x14ac:dyDescent="0.2">
      <c r="A916" s="1">
        <v>5168</v>
      </c>
      <c r="B916" s="1" t="s">
        <v>3048</v>
      </c>
      <c r="C916" s="5" t="s">
        <v>0</v>
      </c>
      <c r="D916" s="1" t="s">
        <v>3049</v>
      </c>
      <c r="E916" s="1" t="s">
        <v>3050</v>
      </c>
      <c r="F916" s="1" t="s">
        <v>190</v>
      </c>
      <c r="G916" s="1" t="s">
        <v>130</v>
      </c>
      <c r="H916" s="1" t="s">
        <v>30</v>
      </c>
      <c r="I916" s="1" t="s">
        <v>16</v>
      </c>
      <c r="J916" s="1">
        <v>1</v>
      </c>
      <c r="K916" s="1">
        <v>9</v>
      </c>
      <c r="L916" s="1" t="s">
        <v>31</v>
      </c>
      <c r="M916" s="1" t="s">
        <v>18</v>
      </c>
      <c r="N916" s="1" t="s">
        <v>18</v>
      </c>
      <c r="O916" s="1">
        <v>3</v>
      </c>
      <c r="P916" s="1">
        <v>6</v>
      </c>
      <c r="R916" s="1" t="s">
        <v>19</v>
      </c>
      <c r="S916" s="1" t="s">
        <v>20</v>
      </c>
      <c r="T916" s="1" t="s">
        <v>21</v>
      </c>
      <c r="U916" s="1" t="s">
        <v>22</v>
      </c>
      <c r="V916" s="1" t="s">
        <v>24</v>
      </c>
      <c r="W916" s="1" t="s">
        <v>24</v>
      </c>
      <c r="X916" s="1">
        <v>2800</v>
      </c>
      <c r="Y916" s="1" t="s">
        <v>24</v>
      </c>
      <c r="Z916" s="1" t="s">
        <v>24</v>
      </c>
      <c r="AA916" s="1" t="s">
        <v>24</v>
      </c>
      <c r="AB916" s="1" t="s">
        <v>24</v>
      </c>
      <c r="AC916" s="1" t="s">
        <v>24</v>
      </c>
      <c r="AD916" s="1" t="s">
        <v>24</v>
      </c>
      <c r="AE916" s="1" t="s">
        <v>24</v>
      </c>
      <c r="AF916" s="22"/>
    </row>
    <row r="917" spans="1:32" x14ac:dyDescent="0.2">
      <c r="A917" s="1">
        <v>5171</v>
      </c>
      <c r="B917" s="1" t="s">
        <v>3051</v>
      </c>
      <c r="C917" s="5" t="s">
        <v>0</v>
      </c>
      <c r="D917" s="1" t="s">
        <v>3052</v>
      </c>
      <c r="E917" s="1" t="s">
        <v>3053</v>
      </c>
      <c r="F917" s="1" t="s">
        <v>155</v>
      </c>
      <c r="G917" s="1" t="s">
        <v>61</v>
      </c>
      <c r="H917" s="1" t="s">
        <v>37</v>
      </c>
      <c r="I917" s="1" t="s">
        <v>16</v>
      </c>
      <c r="J917" s="1">
        <v>1</v>
      </c>
      <c r="K917" s="1">
        <v>8</v>
      </c>
      <c r="L917" s="1" t="s">
        <v>31</v>
      </c>
      <c r="M917" s="1" t="s">
        <v>18</v>
      </c>
      <c r="N917" s="1" t="s">
        <v>18</v>
      </c>
      <c r="O917" s="1">
        <v>3</v>
      </c>
      <c r="P917" s="1">
        <v>7</v>
      </c>
      <c r="Q917" s="7" t="s">
        <v>17633</v>
      </c>
      <c r="R917" s="1" t="s">
        <v>62</v>
      </c>
      <c r="S917" s="1" t="s">
        <v>63</v>
      </c>
      <c r="T917" s="1" t="s">
        <v>21</v>
      </c>
      <c r="U917" s="1" t="s">
        <v>22</v>
      </c>
      <c r="V917" s="1" t="s">
        <v>24</v>
      </c>
      <c r="W917" s="1" t="s">
        <v>24</v>
      </c>
      <c r="X917" s="1">
        <v>2802</v>
      </c>
      <c r="Y917" s="1">
        <v>2805</v>
      </c>
      <c r="Z917" s="1">
        <v>3206</v>
      </c>
      <c r="AA917" s="1" t="s">
        <v>24</v>
      </c>
      <c r="AB917" s="1" t="s">
        <v>24</v>
      </c>
      <c r="AC917" s="1" t="s">
        <v>24</v>
      </c>
      <c r="AD917" s="1" t="s">
        <v>24</v>
      </c>
      <c r="AE917" s="1" t="s">
        <v>24</v>
      </c>
      <c r="AF917" s="22"/>
    </row>
    <row r="918" spans="1:32" x14ac:dyDescent="0.2">
      <c r="A918" s="1">
        <v>5194</v>
      </c>
      <c r="B918" s="1" t="s">
        <v>3054</v>
      </c>
      <c r="C918" s="5" t="s">
        <v>0</v>
      </c>
      <c r="D918" s="1" t="s">
        <v>3055</v>
      </c>
      <c r="E918" s="1" t="s">
        <v>3056</v>
      </c>
      <c r="F918" s="1" t="s">
        <v>85</v>
      </c>
      <c r="G918" s="1" t="s">
        <v>61</v>
      </c>
      <c r="H918" s="1" t="s">
        <v>86</v>
      </c>
      <c r="I918" s="1" t="s">
        <v>16</v>
      </c>
      <c r="J918" s="1">
        <v>1</v>
      </c>
      <c r="K918" s="1">
        <v>8</v>
      </c>
      <c r="L918" s="1" t="s">
        <v>31</v>
      </c>
      <c r="M918" s="1" t="s">
        <v>87</v>
      </c>
      <c r="N918" s="1" t="s">
        <v>18</v>
      </c>
      <c r="O918" s="1">
        <v>2</v>
      </c>
      <c r="P918" s="1">
        <v>5</v>
      </c>
      <c r="R918" s="1" t="s">
        <v>19</v>
      </c>
      <c r="S918" s="1" t="s">
        <v>20</v>
      </c>
      <c r="T918" s="1" t="s">
        <v>21</v>
      </c>
      <c r="U918" s="1" t="s">
        <v>22</v>
      </c>
      <c r="V918" s="1" t="s">
        <v>24</v>
      </c>
      <c r="W918" s="1" t="s">
        <v>24</v>
      </c>
      <c r="X918" s="1">
        <v>2735</v>
      </c>
      <c r="Y918" s="1">
        <v>2738</v>
      </c>
      <c r="Z918" s="1">
        <v>3204</v>
      </c>
      <c r="AA918" s="1" t="s">
        <v>24</v>
      </c>
      <c r="AB918" s="1" t="s">
        <v>24</v>
      </c>
      <c r="AC918" s="1" t="s">
        <v>24</v>
      </c>
      <c r="AD918" s="1" t="s">
        <v>24</v>
      </c>
      <c r="AE918" s="1" t="s">
        <v>24</v>
      </c>
      <c r="AF918" s="22"/>
    </row>
    <row r="919" spans="1:32" x14ac:dyDescent="0.2">
      <c r="A919" s="1">
        <v>5195</v>
      </c>
      <c r="B919" s="1" t="s">
        <v>3057</v>
      </c>
      <c r="C919" s="5" t="s">
        <v>0</v>
      </c>
      <c r="D919" s="1" t="s">
        <v>3058</v>
      </c>
      <c r="E919" s="1" t="s">
        <v>3059</v>
      </c>
      <c r="F919" s="1" t="s">
        <v>272</v>
      </c>
      <c r="G919" s="1" t="s">
        <v>61</v>
      </c>
      <c r="H919" s="1" t="s">
        <v>30</v>
      </c>
      <c r="I919" s="1" t="s">
        <v>16</v>
      </c>
      <c r="J919" s="1">
        <v>1</v>
      </c>
      <c r="K919" s="1">
        <v>10</v>
      </c>
      <c r="L919" s="1" t="s">
        <v>31</v>
      </c>
      <c r="M919" s="1" t="s">
        <v>18</v>
      </c>
      <c r="N919" s="1" t="s">
        <v>18</v>
      </c>
      <c r="O919" s="1">
        <v>3</v>
      </c>
      <c r="P919" s="1">
        <v>7</v>
      </c>
      <c r="Q919" s="7" t="s">
        <v>17633</v>
      </c>
      <c r="R919" s="1" t="s">
        <v>62</v>
      </c>
      <c r="S919" s="1" t="s">
        <v>20</v>
      </c>
      <c r="T919" s="1" t="s">
        <v>21</v>
      </c>
      <c r="U919" s="1" t="s">
        <v>22</v>
      </c>
      <c r="V919" s="1" t="s">
        <v>23</v>
      </c>
      <c r="W919" s="1" t="s">
        <v>24</v>
      </c>
      <c r="X919" s="1">
        <v>2728</v>
      </c>
      <c r="Y919" s="1">
        <v>2800</v>
      </c>
      <c r="Z919" s="1">
        <v>1302</v>
      </c>
      <c r="AA919" s="1">
        <v>1309</v>
      </c>
      <c r="AB919" s="1">
        <v>2717</v>
      </c>
      <c r="AC919" s="1" t="s">
        <v>24</v>
      </c>
      <c r="AD919" s="1" t="s">
        <v>24</v>
      </c>
      <c r="AE919" s="1" t="s">
        <v>24</v>
      </c>
      <c r="AF919" s="22"/>
    </row>
    <row r="920" spans="1:32" x14ac:dyDescent="0.2">
      <c r="A920" s="1">
        <v>5198</v>
      </c>
      <c r="B920" s="1" t="s">
        <v>3060</v>
      </c>
      <c r="C920" s="5" t="s">
        <v>0</v>
      </c>
      <c r="D920" s="1" t="s">
        <v>3061</v>
      </c>
      <c r="E920" s="1" t="s">
        <v>3062</v>
      </c>
      <c r="F920" s="1" t="s">
        <v>303</v>
      </c>
      <c r="G920" s="1" t="s">
        <v>61</v>
      </c>
      <c r="H920" s="1" t="s">
        <v>30</v>
      </c>
      <c r="I920" s="1" t="s">
        <v>16</v>
      </c>
      <c r="J920" s="1">
        <v>1</v>
      </c>
      <c r="K920" s="1">
        <v>4</v>
      </c>
      <c r="L920" s="1" t="s">
        <v>31</v>
      </c>
      <c r="M920" s="1" t="s">
        <v>18</v>
      </c>
      <c r="N920" s="1" t="s">
        <v>18</v>
      </c>
      <c r="O920" s="1">
        <v>3</v>
      </c>
      <c r="P920" s="1">
        <v>7</v>
      </c>
      <c r="Q920" s="7" t="s">
        <v>17633</v>
      </c>
      <c r="R920" s="1" t="s">
        <v>19</v>
      </c>
      <c r="S920" s="1" t="s">
        <v>20</v>
      </c>
      <c r="T920" s="1" t="s">
        <v>21</v>
      </c>
      <c r="U920" s="1" t="s">
        <v>22</v>
      </c>
      <c r="V920" s="1" t="s">
        <v>23</v>
      </c>
      <c r="W920" s="1" t="s">
        <v>24</v>
      </c>
      <c r="X920" s="1">
        <v>2728</v>
      </c>
      <c r="Y920" s="1" t="s">
        <v>24</v>
      </c>
      <c r="Z920" s="1" t="s">
        <v>24</v>
      </c>
      <c r="AA920" s="1" t="s">
        <v>24</v>
      </c>
      <c r="AB920" s="1" t="s">
        <v>24</v>
      </c>
      <c r="AC920" s="1" t="s">
        <v>24</v>
      </c>
      <c r="AD920" s="1" t="s">
        <v>24</v>
      </c>
      <c r="AE920" s="1" t="s">
        <v>24</v>
      </c>
      <c r="AF920" s="22"/>
    </row>
    <row r="921" spans="1:32" x14ac:dyDescent="0.2">
      <c r="A921" s="1">
        <v>5205</v>
      </c>
      <c r="B921" s="1" t="s">
        <v>3063</v>
      </c>
      <c r="C921" s="5" t="s">
        <v>0</v>
      </c>
      <c r="D921" s="1" t="s">
        <v>3064</v>
      </c>
      <c r="E921" s="1" t="s">
        <v>3065</v>
      </c>
      <c r="F921" s="1" t="s">
        <v>109</v>
      </c>
      <c r="G921" s="1" t="s">
        <v>110</v>
      </c>
      <c r="H921" s="1" t="s">
        <v>111</v>
      </c>
      <c r="I921" s="1" t="s">
        <v>16</v>
      </c>
      <c r="J921" s="1">
        <v>1</v>
      </c>
      <c r="K921" s="1">
        <v>4</v>
      </c>
      <c r="L921" s="1" t="s">
        <v>31</v>
      </c>
      <c r="M921" s="1" t="s">
        <v>18</v>
      </c>
      <c r="N921" s="1" t="s">
        <v>18</v>
      </c>
      <c r="O921" s="1">
        <v>3</v>
      </c>
      <c r="P921" s="1">
        <v>6</v>
      </c>
      <c r="R921" s="1" t="s">
        <v>19</v>
      </c>
      <c r="S921" s="1" t="s">
        <v>20</v>
      </c>
      <c r="T921" s="1" t="s">
        <v>21</v>
      </c>
      <c r="U921" s="1" t="s">
        <v>22</v>
      </c>
      <c r="V921" s="1" t="s">
        <v>24</v>
      </c>
      <c r="W921" s="1" t="s">
        <v>24</v>
      </c>
      <c r="X921" s="1">
        <v>2713</v>
      </c>
      <c r="Y921" s="1">
        <v>2728</v>
      </c>
      <c r="Z921" s="1" t="s">
        <v>24</v>
      </c>
      <c r="AA921" s="1" t="s">
        <v>24</v>
      </c>
      <c r="AB921" s="1" t="s">
        <v>24</v>
      </c>
      <c r="AC921" s="1" t="s">
        <v>24</v>
      </c>
      <c r="AD921" s="1" t="s">
        <v>24</v>
      </c>
      <c r="AE921" s="1" t="s">
        <v>24</v>
      </c>
      <c r="AF921" s="22"/>
    </row>
    <row r="922" spans="1:32" x14ac:dyDescent="0.2">
      <c r="A922" s="1">
        <v>5210</v>
      </c>
      <c r="B922" s="1" t="s">
        <v>3066</v>
      </c>
      <c r="C922" s="5" t="s">
        <v>0</v>
      </c>
      <c r="D922" s="1" t="s">
        <v>3067</v>
      </c>
      <c r="E922" s="1" t="s">
        <v>3068</v>
      </c>
      <c r="F922" s="1" t="s">
        <v>3069</v>
      </c>
      <c r="G922" s="1" t="s">
        <v>3066</v>
      </c>
      <c r="H922" s="1" t="s">
        <v>30</v>
      </c>
      <c r="I922" s="1" t="s">
        <v>16</v>
      </c>
      <c r="J922" s="1">
        <v>2</v>
      </c>
      <c r="K922" s="1">
        <v>26</v>
      </c>
      <c r="L922" s="1" t="s">
        <v>42</v>
      </c>
      <c r="M922" s="1" t="s">
        <v>18</v>
      </c>
      <c r="N922" s="1" t="s">
        <v>18</v>
      </c>
      <c r="O922" s="1">
        <v>3</v>
      </c>
      <c r="P922" s="1">
        <v>8</v>
      </c>
      <c r="Q922" s="7" t="s">
        <v>17633</v>
      </c>
      <c r="R922" s="1" t="s">
        <v>62</v>
      </c>
      <c r="S922" s="1" t="s">
        <v>20</v>
      </c>
      <c r="T922" s="1" t="s">
        <v>21</v>
      </c>
      <c r="U922" s="1" t="s">
        <v>22</v>
      </c>
      <c r="V922" s="1" t="s">
        <v>23</v>
      </c>
      <c r="W922" s="1" t="s">
        <v>24</v>
      </c>
      <c r="X922" s="1">
        <v>2700</v>
      </c>
      <c r="Y922" s="1" t="s">
        <v>24</v>
      </c>
      <c r="Z922" s="1" t="s">
        <v>24</v>
      </c>
      <c r="AA922" s="1" t="s">
        <v>24</v>
      </c>
      <c r="AB922" s="1" t="s">
        <v>24</v>
      </c>
      <c r="AC922" s="1" t="s">
        <v>24</v>
      </c>
      <c r="AD922" s="1" t="s">
        <v>24</v>
      </c>
      <c r="AE922" s="1" t="s">
        <v>24</v>
      </c>
      <c r="AF922" s="22"/>
    </row>
    <row r="923" spans="1:32" x14ac:dyDescent="0.2">
      <c r="A923" s="1">
        <v>5212</v>
      </c>
      <c r="B923" s="1" t="s">
        <v>3070</v>
      </c>
      <c r="C923" s="5" t="s">
        <v>0</v>
      </c>
      <c r="D923" s="1" t="s">
        <v>3071</v>
      </c>
      <c r="E923" s="1" t="s">
        <v>3072</v>
      </c>
      <c r="F923" s="1" t="s">
        <v>221</v>
      </c>
      <c r="G923" s="1" t="s">
        <v>61</v>
      </c>
      <c r="H923" s="1" t="s">
        <v>222</v>
      </c>
      <c r="I923" s="1" t="s">
        <v>16</v>
      </c>
      <c r="J923" s="1">
        <v>1</v>
      </c>
      <c r="K923" s="1">
        <v>1</v>
      </c>
      <c r="L923" s="1" t="s">
        <v>31</v>
      </c>
      <c r="M923" s="1" t="s">
        <v>18</v>
      </c>
      <c r="N923" s="1" t="s">
        <v>18</v>
      </c>
      <c r="O923" s="1">
        <v>3</v>
      </c>
      <c r="P923" s="1">
        <v>7</v>
      </c>
      <c r="Q923" s="7" t="s">
        <v>17633</v>
      </c>
      <c r="R923" s="1" t="s">
        <v>19</v>
      </c>
      <c r="S923" s="1" t="s">
        <v>63</v>
      </c>
      <c r="T923" s="1" t="s">
        <v>21</v>
      </c>
      <c r="U923" s="1" t="s">
        <v>22</v>
      </c>
      <c r="V923" s="1" t="s">
        <v>24</v>
      </c>
      <c r="W923" s="1" t="s">
        <v>24</v>
      </c>
      <c r="X923" s="1">
        <v>2800</v>
      </c>
      <c r="Y923" s="1" t="s">
        <v>24</v>
      </c>
      <c r="Z923" s="1" t="s">
        <v>24</v>
      </c>
      <c r="AA923" s="1" t="s">
        <v>24</v>
      </c>
      <c r="AB923" s="1" t="s">
        <v>24</v>
      </c>
      <c r="AC923" s="1" t="s">
        <v>24</v>
      </c>
      <c r="AD923" s="1" t="s">
        <v>24</v>
      </c>
      <c r="AE923" s="1" t="s">
        <v>24</v>
      </c>
      <c r="AF923" s="22"/>
    </row>
    <row r="924" spans="1:32" x14ac:dyDescent="0.2">
      <c r="A924" s="1">
        <v>5214</v>
      </c>
      <c r="B924" s="1" t="s">
        <v>3073</v>
      </c>
      <c r="C924" s="5" t="s">
        <v>0</v>
      </c>
      <c r="D924" s="1" t="s">
        <v>3074</v>
      </c>
      <c r="E924" s="1" t="s">
        <v>3075</v>
      </c>
      <c r="F924" s="1" t="s">
        <v>3076</v>
      </c>
      <c r="G924" s="1" t="s">
        <v>692</v>
      </c>
      <c r="H924" s="1" t="s">
        <v>693</v>
      </c>
      <c r="I924" s="1" t="s">
        <v>16</v>
      </c>
      <c r="J924" s="1">
        <v>1</v>
      </c>
      <c r="K924" s="1">
        <v>6</v>
      </c>
      <c r="L924" s="1" t="s">
        <v>42</v>
      </c>
      <c r="M924" s="1" t="s">
        <v>18</v>
      </c>
      <c r="N924" s="1" t="s">
        <v>18</v>
      </c>
      <c r="O924" s="1">
        <v>2</v>
      </c>
      <c r="P924" s="1">
        <v>5</v>
      </c>
      <c r="R924" s="1" t="s">
        <v>19</v>
      </c>
      <c r="S924" s="1" t="s">
        <v>20</v>
      </c>
      <c r="T924" s="1" t="s">
        <v>21</v>
      </c>
      <c r="U924" s="1" t="s">
        <v>22</v>
      </c>
      <c r="V924" s="1" t="s">
        <v>24</v>
      </c>
      <c r="W924" s="1" t="s">
        <v>24</v>
      </c>
      <c r="X924" s="1">
        <v>1306</v>
      </c>
      <c r="Y924" s="1" t="s">
        <v>24</v>
      </c>
      <c r="Z924" s="1" t="s">
        <v>24</v>
      </c>
      <c r="AA924" s="1" t="s">
        <v>24</v>
      </c>
      <c r="AB924" s="1" t="s">
        <v>24</v>
      </c>
      <c r="AC924" s="1" t="s">
        <v>24</v>
      </c>
      <c r="AD924" s="1" t="s">
        <v>24</v>
      </c>
      <c r="AE924" s="1" t="s">
        <v>24</v>
      </c>
      <c r="AF924" s="22"/>
    </row>
    <row r="925" spans="1:32" x14ac:dyDescent="0.2">
      <c r="A925" s="1">
        <v>5217</v>
      </c>
      <c r="B925" s="1" t="s">
        <v>3077</v>
      </c>
      <c r="C925" s="5" t="s">
        <v>0</v>
      </c>
      <c r="D925" s="1" t="s">
        <v>3078</v>
      </c>
      <c r="E925" s="1" t="s">
        <v>3079</v>
      </c>
      <c r="F925" s="1" t="s">
        <v>155</v>
      </c>
      <c r="G925" s="1" t="s">
        <v>61</v>
      </c>
      <c r="H925" s="1" t="s">
        <v>37</v>
      </c>
      <c r="I925" s="1" t="s">
        <v>16</v>
      </c>
      <c r="J925" s="1">
        <v>2</v>
      </c>
      <c r="K925" s="1">
        <v>8</v>
      </c>
      <c r="L925" s="1" t="s">
        <v>31</v>
      </c>
      <c r="M925" s="1" t="s">
        <v>18</v>
      </c>
      <c r="N925" s="1" t="s">
        <v>18</v>
      </c>
      <c r="O925" s="1">
        <v>3</v>
      </c>
      <c r="P925" s="1">
        <v>7</v>
      </c>
      <c r="Q925" s="7" t="s">
        <v>17633</v>
      </c>
      <c r="R925" s="1" t="s">
        <v>62</v>
      </c>
      <c r="S925" s="1" t="s">
        <v>63</v>
      </c>
      <c r="T925" s="1" t="s">
        <v>21</v>
      </c>
      <c r="U925" s="1" t="s">
        <v>22</v>
      </c>
      <c r="V925" s="1" t="s">
        <v>24</v>
      </c>
      <c r="W925" s="1" t="s">
        <v>64</v>
      </c>
      <c r="X925" s="1">
        <v>2804</v>
      </c>
      <c r="Y925" s="1">
        <v>3004</v>
      </c>
      <c r="Z925" s="1" t="s">
        <v>24</v>
      </c>
      <c r="AA925" s="1" t="s">
        <v>24</v>
      </c>
      <c r="AB925" s="1" t="s">
        <v>24</v>
      </c>
      <c r="AC925" s="1" t="s">
        <v>24</v>
      </c>
      <c r="AD925" s="1" t="s">
        <v>24</v>
      </c>
      <c r="AE925" s="1" t="s">
        <v>24</v>
      </c>
      <c r="AF925" s="22"/>
    </row>
    <row r="926" spans="1:32" x14ac:dyDescent="0.2">
      <c r="A926" s="1">
        <v>5220</v>
      </c>
      <c r="B926" s="1" t="s">
        <v>3080</v>
      </c>
      <c r="C926" s="5" t="s">
        <v>0</v>
      </c>
      <c r="D926" s="1" t="s">
        <v>3081</v>
      </c>
      <c r="E926" s="1" t="s">
        <v>3082</v>
      </c>
      <c r="F926" s="1" t="s">
        <v>221</v>
      </c>
      <c r="G926" s="1" t="s">
        <v>61</v>
      </c>
      <c r="H926" s="1" t="s">
        <v>222</v>
      </c>
      <c r="I926" s="1" t="s">
        <v>16</v>
      </c>
      <c r="J926" s="1">
        <v>3</v>
      </c>
      <c r="K926" s="1">
        <v>4</v>
      </c>
      <c r="L926" s="1" t="s">
        <v>31</v>
      </c>
      <c r="M926" s="1" t="s">
        <v>18</v>
      </c>
      <c r="N926" s="1" t="s">
        <v>18</v>
      </c>
      <c r="O926" s="1">
        <v>3</v>
      </c>
      <c r="P926" s="1">
        <v>7</v>
      </c>
      <c r="Q926" s="7" t="s">
        <v>17633</v>
      </c>
      <c r="R926" s="1" t="s">
        <v>19</v>
      </c>
      <c r="S926" s="1" t="s">
        <v>20</v>
      </c>
      <c r="T926" s="1" t="s">
        <v>21</v>
      </c>
      <c r="U926" s="1" t="s">
        <v>22</v>
      </c>
      <c r="V926" s="1" t="s">
        <v>24</v>
      </c>
      <c r="W926" s="1" t="s">
        <v>24</v>
      </c>
      <c r="X926" s="1">
        <v>2800</v>
      </c>
      <c r="Y926" s="1" t="s">
        <v>24</v>
      </c>
      <c r="Z926" s="1" t="s">
        <v>24</v>
      </c>
      <c r="AA926" s="1" t="s">
        <v>24</v>
      </c>
      <c r="AB926" s="1" t="s">
        <v>24</v>
      </c>
      <c r="AC926" s="1" t="s">
        <v>24</v>
      </c>
      <c r="AD926" s="1" t="s">
        <v>24</v>
      </c>
      <c r="AE926" s="1" t="s">
        <v>24</v>
      </c>
      <c r="AF926" s="22"/>
    </row>
    <row r="927" spans="1:32" x14ac:dyDescent="0.2">
      <c r="A927" s="1">
        <v>5221</v>
      </c>
      <c r="B927" s="1" t="s">
        <v>3083</v>
      </c>
      <c r="C927" s="5" t="s">
        <v>0</v>
      </c>
      <c r="D927" s="1" t="s">
        <v>3084</v>
      </c>
      <c r="E927" s="1" t="s">
        <v>3085</v>
      </c>
      <c r="F927" s="1" t="s">
        <v>190</v>
      </c>
      <c r="G927" s="1" t="s">
        <v>130</v>
      </c>
      <c r="H927" s="1" t="s">
        <v>30</v>
      </c>
      <c r="I927" s="1" t="s">
        <v>16</v>
      </c>
      <c r="J927" s="1">
        <v>1</v>
      </c>
      <c r="K927" s="1">
        <v>12</v>
      </c>
      <c r="L927" s="1" t="s">
        <v>31</v>
      </c>
      <c r="M927" s="1" t="s">
        <v>18</v>
      </c>
      <c r="N927" s="1" t="s">
        <v>18</v>
      </c>
      <c r="O927" s="1">
        <v>3</v>
      </c>
      <c r="P927" s="1">
        <v>7</v>
      </c>
      <c r="Q927" s="7" t="s">
        <v>17633</v>
      </c>
      <c r="R927" s="1" t="s">
        <v>19</v>
      </c>
      <c r="S927" s="1" t="s">
        <v>20</v>
      </c>
      <c r="T927" s="1" t="s">
        <v>21</v>
      </c>
      <c r="U927" s="1" t="s">
        <v>22</v>
      </c>
      <c r="V927" s="1" t="s">
        <v>24</v>
      </c>
      <c r="W927" s="1" t="s">
        <v>24</v>
      </c>
      <c r="X927" s="1">
        <v>2804</v>
      </c>
      <c r="Y927" s="1">
        <v>1303</v>
      </c>
      <c r="Z927" s="1" t="s">
        <v>24</v>
      </c>
      <c r="AA927" s="1" t="s">
        <v>24</v>
      </c>
      <c r="AB927" s="1" t="s">
        <v>24</v>
      </c>
      <c r="AC927" s="1" t="s">
        <v>24</v>
      </c>
      <c r="AD927" s="1" t="s">
        <v>24</v>
      </c>
      <c r="AE927" s="1" t="s">
        <v>24</v>
      </c>
      <c r="AF927" s="22"/>
    </row>
    <row r="928" spans="1:32" x14ac:dyDescent="0.2">
      <c r="A928" s="1">
        <v>5223</v>
      </c>
      <c r="B928" s="1" t="s">
        <v>3086</v>
      </c>
      <c r="C928" s="5" t="s">
        <v>0</v>
      </c>
      <c r="D928" s="1" t="s">
        <v>3087</v>
      </c>
      <c r="E928" s="1" t="s">
        <v>3088</v>
      </c>
      <c r="F928" s="1" t="s">
        <v>167</v>
      </c>
      <c r="G928" s="1" t="s">
        <v>130</v>
      </c>
      <c r="H928" s="1" t="s">
        <v>168</v>
      </c>
      <c r="I928" s="1" t="s">
        <v>16</v>
      </c>
      <c r="J928" s="1">
        <v>1</v>
      </c>
      <c r="K928" s="1">
        <v>12</v>
      </c>
      <c r="L928" s="1" t="s">
        <v>31</v>
      </c>
      <c r="M928" s="1" t="s">
        <v>413</v>
      </c>
      <c r="N928" s="1" t="s">
        <v>18</v>
      </c>
      <c r="O928" s="1">
        <v>2</v>
      </c>
      <c r="P928" s="1">
        <v>5</v>
      </c>
      <c r="R928" s="1" t="s">
        <v>19</v>
      </c>
      <c r="S928" s="1" t="s">
        <v>20</v>
      </c>
      <c r="T928" s="1" t="s">
        <v>21</v>
      </c>
      <c r="U928" s="1" t="s">
        <v>22</v>
      </c>
      <c r="V928" s="1" t="s">
        <v>24</v>
      </c>
      <c r="W928" s="1" t="s">
        <v>24</v>
      </c>
      <c r="X928" s="1">
        <v>2728</v>
      </c>
      <c r="Y928" s="1">
        <v>2808</v>
      </c>
      <c r="Z928" s="1">
        <v>2738</v>
      </c>
      <c r="AA928" s="1" t="s">
        <v>24</v>
      </c>
      <c r="AB928" s="1" t="s">
        <v>24</v>
      </c>
      <c r="AC928" s="1" t="s">
        <v>24</v>
      </c>
      <c r="AD928" s="1" t="s">
        <v>24</v>
      </c>
      <c r="AE928" s="1" t="s">
        <v>24</v>
      </c>
      <c r="AF928" s="22"/>
    </row>
    <row r="929" spans="1:32" x14ac:dyDescent="0.2">
      <c r="A929" s="1">
        <v>5224</v>
      </c>
      <c r="B929" s="1" t="s">
        <v>3089</v>
      </c>
      <c r="C929" s="5" t="s">
        <v>0</v>
      </c>
      <c r="D929" s="1" t="s">
        <v>3090</v>
      </c>
      <c r="F929" s="1" t="s">
        <v>1758</v>
      </c>
      <c r="G929" s="1" t="s">
        <v>1758</v>
      </c>
      <c r="H929" s="1" t="s">
        <v>168</v>
      </c>
      <c r="I929" s="1" t="s">
        <v>16</v>
      </c>
      <c r="J929" s="1">
        <v>1</v>
      </c>
      <c r="K929" s="1">
        <v>12</v>
      </c>
      <c r="L929" s="1" t="s">
        <v>42</v>
      </c>
      <c r="M929" s="1" t="s">
        <v>413</v>
      </c>
      <c r="N929" s="1" t="s">
        <v>242</v>
      </c>
      <c r="O929" s="1">
        <v>1</v>
      </c>
      <c r="P929" s="1">
        <v>5</v>
      </c>
      <c r="R929" s="1" t="s">
        <v>19</v>
      </c>
      <c r="S929" s="1" t="s">
        <v>20</v>
      </c>
      <c r="T929" s="1" t="s">
        <v>21</v>
      </c>
      <c r="U929" s="1" t="s">
        <v>22</v>
      </c>
      <c r="V929" s="1" t="s">
        <v>24</v>
      </c>
      <c r="W929" s="1" t="s">
        <v>24</v>
      </c>
      <c r="X929" s="1">
        <v>2728</v>
      </c>
      <c r="Y929" s="1">
        <v>2714</v>
      </c>
      <c r="Z929" s="1" t="s">
        <v>24</v>
      </c>
      <c r="AA929" s="1" t="s">
        <v>24</v>
      </c>
      <c r="AB929" s="1" t="s">
        <v>24</v>
      </c>
      <c r="AC929" s="1" t="s">
        <v>24</v>
      </c>
      <c r="AD929" s="1" t="s">
        <v>24</v>
      </c>
      <c r="AE929" s="1" t="s">
        <v>24</v>
      </c>
      <c r="AF929" s="22"/>
    </row>
    <row r="930" spans="1:32" x14ac:dyDescent="0.2">
      <c r="A930" s="1">
        <v>5225</v>
      </c>
      <c r="B930" s="1" t="s">
        <v>3091</v>
      </c>
      <c r="C930" s="5" t="s">
        <v>0</v>
      </c>
      <c r="D930" s="1" t="s">
        <v>3092</v>
      </c>
      <c r="F930" s="1" t="s">
        <v>3093</v>
      </c>
      <c r="G930" s="1" t="s">
        <v>3093</v>
      </c>
      <c r="H930" s="1" t="s">
        <v>92</v>
      </c>
      <c r="I930" s="1" t="s">
        <v>16</v>
      </c>
      <c r="J930" s="1">
        <v>1</v>
      </c>
      <c r="K930" s="1">
        <v>52</v>
      </c>
      <c r="L930" s="1" t="s">
        <v>42</v>
      </c>
      <c r="M930" s="1" t="s">
        <v>1646</v>
      </c>
      <c r="N930" s="1" t="s">
        <v>1645</v>
      </c>
      <c r="O930" s="1">
        <v>3</v>
      </c>
      <c r="P930" s="1">
        <v>5</v>
      </c>
      <c r="R930" s="1" t="s">
        <v>19</v>
      </c>
      <c r="S930" s="1" t="s">
        <v>20</v>
      </c>
      <c r="T930" s="1" t="s">
        <v>21</v>
      </c>
      <c r="U930" s="1" t="s">
        <v>22</v>
      </c>
      <c r="V930" s="1" t="s">
        <v>24</v>
      </c>
      <c r="W930" s="1" t="s">
        <v>24</v>
      </c>
      <c r="X930" s="1">
        <v>2700</v>
      </c>
      <c r="Y930" s="1" t="s">
        <v>24</v>
      </c>
      <c r="Z930" s="1" t="s">
        <v>24</v>
      </c>
      <c r="AA930" s="1" t="s">
        <v>24</v>
      </c>
      <c r="AB930" s="1" t="s">
        <v>24</v>
      </c>
      <c r="AC930" s="1" t="s">
        <v>24</v>
      </c>
      <c r="AD930" s="1" t="s">
        <v>24</v>
      </c>
      <c r="AE930" s="1" t="s">
        <v>24</v>
      </c>
      <c r="AF930" s="22"/>
    </row>
    <row r="931" spans="1:32" x14ac:dyDescent="0.2">
      <c r="A931" s="1">
        <v>5230</v>
      </c>
      <c r="B931" s="1" t="s">
        <v>3094</v>
      </c>
      <c r="C931" s="5" t="s">
        <v>0</v>
      </c>
      <c r="D931" s="1" t="s">
        <v>3095</v>
      </c>
      <c r="E931" s="1" t="s">
        <v>3096</v>
      </c>
      <c r="F931" s="1" t="s">
        <v>155</v>
      </c>
      <c r="G931" s="1" t="s">
        <v>61</v>
      </c>
      <c r="H931" s="1" t="s">
        <v>37</v>
      </c>
      <c r="I931" s="1" t="s">
        <v>16</v>
      </c>
      <c r="J931" s="1">
        <v>2</v>
      </c>
      <c r="K931" s="1">
        <v>8</v>
      </c>
      <c r="L931" s="1" t="s">
        <v>31</v>
      </c>
      <c r="M931" s="1" t="s">
        <v>18</v>
      </c>
      <c r="N931" s="1" t="s">
        <v>18</v>
      </c>
      <c r="O931" s="1">
        <v>3</v>
      </c>
      <c r="P931" s="1">
        <v>7</v>
      </c>
      <c r="Q931" s="7" t="s">
        <v>17633</v>
      </c>
      <c r="R931" s="1" t="s">
        <v>62</v>
      </c>
      <c r="S931" s="1" t="s">
        <v>63</v>
      </c>
      <c r="T931" s="1" t="s">
        <v>21</v>
      </c>
      <c r="U931" s="1" t="s">
        <v>22</v>
      </c>
      <c r="V931" s="1" t="s">
        <v>24</v>
      </c>
      <c r="W931" s="1" t="s">
        <v>64</v>
      </c>
      <c r="X931" s="1">
        <v>2804</v>
      </c>
      <c r="Y931" s="1">
        <v>1307</v>
      </c>
      <c r="Z931" s="1" t="s">
        <v>24</v>
      </c>
      <c r="AA931" s="1" t="s">
        <v>24</v>
      </c>
      <c r="AB931" s="1" t="s">
        <v>24</v>
      </c>
      <c r="AC931" s="1" t="s">
        <v>24</v>
      </c>
      <c r="AD931" s="1" t="s">
        <v>24</v>
      </c>
      <c r="AE931" s="1" t="s">
        <v>24</v>
      </c>
      <c r="AF931" s="22"/>
    </row>
    <row r="932" spans="1:32" x14ac:dyDescent="0.2">
      <c r="A932" s="1">
        <v>5231</v>
      </c>
      <c r="B932" s="1" t="s">
        <v>3097</v>
      </c>
      <c r="C932" s="5" t="s">
        <v>0</v>
      </c>
      <c r="D932" s="1" t="s">
        <v>3098</v>
      </c>
      <c r="F932" s="1" t="s">
        <v>3099</v>
      </c>
      <c r="G932" s="1" t="s">
        <v>61</v>
      </c>
      <c r="H932" s="1" t="s">
        <v>116</v>
      </c>
      <c r="I932" s="1" t="s">
        <v>16</v>
      </c>
      <c r="J932" s="1">
        <v>1</v>
      </c>
      <c r="K932" s="1">
        <v>6</v>
      </c>
      <c r="L932" s="1" t="s">
        <v>31</v>
      </c>
      <c r="M932" s="1" t="s">
        <v>117</v>
      </c>
      <c r="N932" s="1" t="s">
        <v>118</v>
      </c>
      <c r="O932" s="1">
        <v>3</v>
      </c>
      <c r="P932" s="1">
        <v>5</v>
      </c>
      <c r="R932" s="1" t="s">
        <v>19</v>
      </c>
      <c r="S932" s="1" t="s">
        <v>20</v>
      </c>
      <c r="T932" s="1" t="s">
        <v>21</v>
      </c>
      <c r="U932" s="1" t="s">
        <v>22</v>
      </c>
      <c r="V932" s="1" t="s">
        <v>24</v>
      </c>
      <c r="W932" s="1" t="s">
        <v>24</v>
      </c>
      <c r="X932" s="1">
        <v>2728</v>
      </c>
      <c r="Y932" s="1">
        <v>2746</v>
      </c>
      <c r="Z932" s="1" t="s">
        <v>24</v>
      </c>
      <c r="AA932" s="1" t="s">
        <v>24</v>
      </c>
      <c r="AB932" s="1" t="s">
        <v>24</v>
      </c>
      <c r="AC932" s="1" t="s">
        <v>24</v>
      </c>
      <c r="AD932" s="1" t="s">
        <v>24</v>
      </c>
      <c r="AE932" s="1" t="s">
        <v>24</v>
      </c>
      <c r="AF932" s="22"/>
    </row>
    <row r="933" spans="1:32" x14ac:dyDescent="0.2">
      <c r="A933" s="1">
        <v>5233</v>
      </c>
      <c r="B933" s="1" t="s">
        <v>3100</v>
      </c>
      <c r="C933" s="5" t="s">
        <v>0</v>
      </c>
      <c r="D933" s="1" t="s">
        <v>3101</v>
      </c>
      <c r="E933" s="1" t="s">
        <v>3102</v>
      </c>
      <c r="F933" s="1" t="s">
        <v>28</v>
      </c>
      <c r="G933" s="1" t="s">
        <v>29</v>
      </c>
      <c r="H933" s="1" t="s">
        <v>30</v>
      </c>
      <c r="I933" s="1" t="s">
        <v>16</v>
      </c>
      <c r="J933" s="1">
        <v>2</v>
      </c>
      <c r="K933" s="1">
        <v>24</v>
      </c>
      <c r="L933" s="1" t="s">
        <v>31</v>
      </c>
      <c r="M933" s="1" t="s">
        <v>18</v>
      </c>
      <c r="N933" s="1" t="s">
        <v>18</v>
      </c>
      <c r="O933" s="1">
        <v>2</v>
      </c>
      <c r="P933" s="1">
        <v>8</v>
      </c>
      <c r="Q933" s="7" t="s">
        <v>17633</v>
      </c>
      <c r="R933" s="1" t="s">
        <v>62</v>
      </c>
      <c r="S933" s="1" t="s">
        <v>20</v>
      </c>
      <c r="T933" s="1" t="s">
        <v>21</v>
      </c>
      <c r="U933" s="1" t="s">
        <v>22</v>
      </c>
      <c r="V933" s="1" t="s">
        <v>23</v>
      </c>
      <c r="W933" s="1" t="s">
        <v>24</v>
      </c>
      <c r="X933" s="1">
        <v>2728</v>
      </c>
      <c r="Y933" s="1">
        <v>1201</v>
      </c>
      <c r="Z933" s="1" t="s">
        <v>24</v>
      </c>
      <c r="AA933" s="1" t="s">
        <v>24</v>
      </c>
      <c r="AB933" s="1" t="s">
        <v>24</v>
      </c>
      <c r="AC933" s="1" t="s">
        <v>24</v>
      </c>
      <c r="AD933" s="1" t="s">
        <v>24</v>
      </c>
      <c r="AE933" s="1" t="s">
        <v>24</v>
      </c>
      <c r="AF933" s="22"/>
    </row>
    <row r="934" spans="1:32" x14ac:dyDescent="0.2">
      <c r="A934" s="1">
        <v>5234</v>
      </c>
      <c r="B934" s="1" t="s">
        <v>3103</v>
      </c>
      <c r="C934" s="5" t="s">
        <v>0</v>
      </c>
      <c r="D934" s="1" t="s">
        <v>3104</v>
      </c>
      <c r="E934" s="1" t="s">
        <v>3105</v>
      </c>
      <c r="F934" s="1" t="s">
        <v>320</v>
      </c>
      <c r="G934" s="1" t="s">
        <v>36</v>
      </c>
      <c r="H934" s="1" t="s">
        <v>30</v>
      </c>
      <c r="I934" s="1" t="s">
        <v>16</v>
      </c>
      <c r="J934" s="1">
        <v>1</v>
      </c>
      <c r="K934" s="1">
        <v>7</v>
      </c>
      <c r="L934" s="1" t="s">
        <v>31</v>
      </c>
      <c r="M934" s="1" t="s">
        <v>18</v>
      </c>
      <c r="N934" s="1" t="s">
        <v>18</v>
      </c>
      <c r="O934" s="1">
        <v>3</v>
      </c>
      <c r="P934" s="1">
        <v>6</v>
      </c>
      <c r="R934" s="1" t="s">
        <v>19</v>
      </c>
      <c r="S934" s="1" t="s">
        <v>20</v>
      </c>
      <c r="T934" s="1" t="s">
        <v>21</v>
      </c>
      <c r="U934" s="1" t="s">
        <v>22</v>
      </c>
      <c r="V934" s="1" t="s">
        <v>24</v>
      </c>
      <c r="W934" s="1" t="s">
        <v>24</v>
      </c>
      <c r="X934" s="1">
        <v>2728</v>
      </c>
      <c r="Y934" s="1">
        <v>2748</v>
      </c>
      <c r="Z934" s="1" t="s">
        <v>24</v>
      </c>
      <c r="AA934" s="1" t="s">
        <v>24</v>
      </c>
      <c r="AB934" s="1" t="s">
        <v>24</v>
      </c>
      <c r="AC934" s="1" t="s">
        <v>24</v>
      </c>
      <c r="AD934" s="1" t="s">
        <v>24</v>
      </c>
      <c r="AE934" s="1" t="s">
        <v>24</v>
      </c>
      <c r="AF934" s="22"/>
    </row>
    <row r="935" spans="1:32" x14ac:dyDescent="0.2">
      <c r="A935" s="1">
        <v>5269</v>
      </c>
      <c r="B935" s="1" t="s">
        <v>3106</v>
      </c>
      <c r="C935" s="5" t="s">
        <v>0</v>
      </c>
      <c r="D935" s="1" t="s">
        <v>3107</v>
      </c>
      <c r="F935" s="1" t="s">
        <v>437</v>
      </c>
      <c r="G935" s="1" t="s">
        <v>437</v>
      </c>
      <c r="H935" s="1" t="s">
        <v>168</v>
      </c>
      <c r="I935" s="1" t="s">
        <v>16</v>
      </c>
      <c r="J935" s="1">
        <v>1</v>
      </c>
      <c r="K935" s="1">
        <v>12</v>
      </c>
      <c r="L935" s="1" t="s">
        <v>42</v>
      </c>
      <c r="M935" s="1" t="s">
        <v>413</v>
      </c>
      <c r="N935" s="1" t="s">
        <v>242</v>
      </c>
      <c r="O935" s="1">
        <v>2</v>
      </c>
      <c r="P935" s="1">
        <v>5</v>
      </c>
      <c r="R935" s="1" t="s">
        <v>19</v>
      </c>
      <c r="S935" s="1" t="s">
        <v>20</v>
      </c>
      <c r="T935" s="1" t="s">
        <v>21</v>
      </c>
      <c r="U935" s="1" t="s">
        <v>22</v>
      </c>
      <c r="V935" s="1" t="s">
        <v>24</v>
      </c>
      <c r="W935" s="1" t="s">
        <v>24</v>
      </c>
      <c r="X935" s="1">
        <v>2727</v>
      </c>
      <c r="Y935" s="1">
        <v>2724</v>
      </c>
      <c r="Z935" s="1" t="s">
        <v>24</v>
      </c>
      <c r="AA935" s="1" t="s">
        <v>24</v>
      </c>
      <c r="AB935" s="1" t="s">
        <v>24</v>
      </c>
      <c r="AC935" s="1" t="s">
        <v>24</v>
      </c>
      <c r="AD935" s="1" t="s">
        <v>24</v>
      </c>
      <c r="AE935" s="1" t="s">
        <v>24</v>
      </c>
      <c r="AF935" s="22"/>
    </row>
    <row r="936" spans="1:32" x14ac:dyDescent="0.2">
      <c r="A936" s="1">
        <v>5283</v>
      </c>
      <c r="B936" s="1" t="s">
        <v>3108</v>
      </c>
      <c r="C936" s="5" t="s">
        <v>0</v>
      </c>
      <c r="D936" s="1" t="s">
        <v>3109</v>
      </c>
      <c r="F936" s="1" t="s">
        <v>3110</v>
      </c>
      <c r="G936" s="1" t="s">
        <v>3110</v>
      </c>
      <c r="H936" s="1" t="s">
        <v>461</v>
      </c>
      <c r="I936" s="1" t="s">
        <v>16</v>
      </c>
      <c r="J936" s="1">
        <v>1</v>
      </c>
      <c r="K936" s="1">
        <v>8</v>
      </c>
      <c r="L936" s="1" t="s">
        <v>17</v>
      </c>
      <c r="M936" s="1" t="s">
        <v>1735</v>
      </c>
      <c r="N936" s="1" t="s">
        <v>18</v>
      </c>
      <c r="O936" s="1">
        <v>2</v>
      </c>
      <c r="P936" s="1">
        <v>5</v>
      </c>
      <c r="R936" s="1" t="s">
        <v>19</v>
      </c>
      <c r="S936" s="1" t="s">
        <v>20</v>
      </c>
      <c r="T936" s="1" t="s">
        <v>21</v>
      </c>
      <c r="U936" s="1" t="s">
        <v>22</v>
      </c>
      <c r="V936" s="1" t="s">
        <v>24</v>
      </c>
      <c r="W936" s="1" t="s">
        <v>24</v>
      </c>
      <c r="X936" s="1">
        <v>2727</v>
      </c>
      <c r="Y936" s="1" t="s">
        <v>24</v>
      </c>
      <c r="Z936" s="1" t="s">
        <v>24</v>
      </c>
      <c r="AA936" s="1" t="s">
        <v>24</v>
      </c>
      <c r="AB936" s="1" t="s">
        <v>24</v>
      </c>
      <c r="AC936" s="1" t="s">
        <v>24</v>
      </c>
      <c r="AD936" s="1" t="s">
        <v>24</v>
      </c>
      <c r="AE936" s="1" t="s">
        <v>24</v>
      </c>
      <c r="AF936" s="22"/>
    </row>
    <row r="937" spans="1:32" x14ac:dyDescent="0.2">
      <c r="A937" s="1">
        <v>5300</v>
      </c>
      <c r="B937" s="1" t="s">
        <v>3111</v>
      </c>
      <c r="C937" s="5" t="s">
        <v>0</v>
      </c>
      <c r="D937" s="1" t="s">
        <v>3112</v>
      </c>
      <c r="F937" s="1" t="s">
        <v>3113</v>
      </c>
      <c r="G937" s="1" t="s">
        <v>3113</v>
      </c>
      <c r="H937" s="1" t="s">
        <v>184</v>
      </c>
      <c r="I937" s="1" t="s">
        <v>16</v>
      </c>
      <c r="J937" s="1">
        <v>1</v>
      </c>
      <c r="K937" s="1">
        <v>6</v>
      </c>
      <c r="L937" s="1" t="s">
        <v>17</v>
      </c>
      <c r="M937" s="1" t="s">
        <v>18</v>
      </c>
      <c r="N937" s="1" t="s">
        <v>18</v>
      </c>
      <c r="O937" s="1">
        <v>3</v>
      </c>
      <c r="P937" s="1">
        <v>6</v>
      </c>
      <c r="R937" s="1" t="s">
        <v>19</v>
      </c>
      <c r="S937" s="1" t="s">
        <v>20</v>
      </c>
      <c r="T937" s="1" t="s">
        <v>21</v>
      </c>
      <c r="U937" s="1" t="s">
        <v>22</v>
      </c>
      <c r="V937" s="1" t="s">
        <v>24</v>
      </c>
      <c r="W937" s="1" t="s">
        <v>24</v>
      </c>
      <c r="X937" s="1">
        <v>1310</v>
      </c>
      <c r="Y937" s="1">
        <v>2807</v>
      </c>
      <c r="Z937" s="1">
        <v>2712</v>
      </c>
      <c r="AA937" s="1">
        <v>2728</v>
      </c>
      <c r="AB937" s="1">
        <v>2738</v>
      </c>
      <c r="AC937" s="1">
        <v>2808</v>
      </c>
      <c r="AD937" s="1" t="s">
        <v>24</v>
      </c>
      <c r="AE937" s="1" t="s">
        <v>24</v>
      </c>
      <c r="AF937" s="22"/>
    </row>
    <row r="938" spans="1:32" x14ac:dyDescent="0.2">
      <c r="A938" s="1">
        <v>5302</v>
      </c>
      <c r="B938" s="1" t="s">
        <v>3114</v>
      </c>
      <c r="C938" s="5" t="s">
        <v>0</v>
      </c>
      <c r="D938" s="1" t="s">
        <v>3115</v>
      </c>
      <c r="E938" s="1" t="s">
        <v>3116</v>
      </c>
      <c r="F938" s="1" t="s">
        <v>272</v>
      </c>
      <c r="G938" s="1" t="s">
        <v>61</v>
      </c>
      <c r="H938" s="1" t="s">
        <v>30</v>
      </c>
      <c r="I938" s="1" t="s">
        <v>16</v>
      </c>
      <c r="J938" s="1">
        <v>1</v>
      </c>
      <c r="K938" s="1">
        <v>8</v>
      </c>
      <c r="L938" s="1" t="s">
        <v>31</v>
      </c>
      <c r="M938" s="1" t="s">
        <v>18</v>
      </c>
      <c r="N938" s="1" t="s">
        <v>18</v>
      </c>
      <c r="O938" s="1">
        <v>3</v>
      </c>
      <c r="P938" s="1">
        <v>6</v>
      </c>
      <c r="R938" s="1" t="s">
        <v>19</v>
      </c>
      <c r="S938" s="1" t="s">
        <v>20</v>
      </c>
      <c r="T938" s="1" t="s">
        <v>21</v>
      </c>
      <c r="U938" s="1" t="s">
        <v>22</v>
      </c>
      <c r="V938" s="1" t="s">
        <v>24</v>
      </c>
      <c r="W938" s="1" t="s">
        <v>24</v>
      </c>
      <c r="X938" s="1">
        <v>1306</v>
      </c>
      <c r="Y938" s="1">
        <v>1313</v>
      </c>
      <c r="Z938" s="1">
        <v>2741</v>
      </c>
      <c r="AA938" s="1" t="s">
        <v>24</v>
      </c>
      <c r="AB938" s="1" t="s">
        <v>24</v>
      </c>
      <c r="AC938" s="1" t="s">
        <v>24</v>
      </c>
      <c r="AD938" s="1" t="s">
        <v>24</v>
      </c>
      <c r="AE938" s="1" t="s">
        <v>24</v>
      </c>
      <c r="AF938" s="22"/>
    </row>
    <row r="939" spans="1:32" x14ac:dyDescent="0.2">
      <c r="A939" s="1">
        <v>5303</v>
      </c>
      <c r="B939" s="1" t="s">
        <v>3117</v>
      </c>
      <c r="C939" s="5" t="s">
        <v>0</v>
      </c>
      <c r="D939" s="1" t="s">
        <v>3118</v>
      </c>
      <c r="E939" s="1" t="s">
        <v>3119</v>
      </c>
      <c r="F939" s="1" t="s">
        <v>3120</v>
      </c>
      <c r="G939" s="1" t="s">
        <v>460</v>
      </c>
      <c r="H939" s="1" t="s">
        <v>461</v>
      </c>
      <c r="I939" s="1" t="s">
        <v>16</v>
      </c>
      <c r="J939" s="1">
        <v>1</v>
      </c>
      <c r="K939" s="1">
        <v>12</v>
      </c>
      <c r="L939" s="1" t="s">
        <v>42</v>
      </c>
      <c r="M939" s="1" t="s">
        <v>635</v>
      </c>
      <c r="N939" s="1" t="s">
        <v>18</v>
      </c>
      <c r="O939" s="1">
        <v>3</v>
      </c>
      <c r="P939" s="1">
        <v>5</v>
      </c>
      <c r="R939" s="1" t="s">
        <v>19</v>
      </c>
      <c r="S939" s="1" t="s">
        <v>20</v>
      </c>
      <c r="T939" s="1" t="s">
        <v>21</v>
      </c>
      <c r="U939" s="1" t="s">
        <v>22</v>
      </c>
      <c r="V939" s="1" t="s">
        <v>24</v>
      </c>
      <c r="W939" s="1" t="s">
        <v>24</v>
      </c>
      <c r="X939" s="1">
        <v>2728</v>
      </c>
      <c r="Y939" s="1">
        <v>2746</v>
      </c>
      <c r="Z939" s="1" t="s">
        <v>24</v>
      </c>
      <c r="AA939" s="1" t="s">
        <v>24</v>
      </c>
      <c r="AB939" s="1" t="s">
        <v>24</v>
      </c>
      <c r="AC939" s="1" t="s">
        <v>24</v>
      </c>
      <c r="AD939" s="1" t="s">
        <v>24</v>
      </c>
      <c r="AE939" s="1" t="s">
        <v>24</v>
      </c>
      <c r="AF939" s="22"/>
    </row>
    <row r="940" spans="1:32" x14ac:dyDescent="0.2">
      <c r="A940" s="1">
        <v>5304</v>
      </c>
      <c r="B940" s="1" t="s">
        <v>3121</v>
      </c>
      <c r="C940" s="5" t="s">
        <v>0</v>
      </c>
      <c r="D940" s="1" t="s">
        <v>3122</v>
      </c>
      <c r="E940" s="1" t="s">
        <v>3123</v>
      </c>
      <c r="F940" s="1" t="s">
        <v>28</v>
      </c>
      <c r="G940" s="1" t="s">
        <v>29</v>
      </c>
      <c r="H940" s="1" t="s">
        <v>37</v>
      </c>
      <c r="I940" s="1" t="s">
        <v>16</v>
      </c>
      <c r="J940" s="1">
        <v>1</v>
      </c>
      <c r="K940" s="1">
        <v>12</v>
      </c>
      <c r="L940" s="1" t="s">
        <v>31</v>
      </c>
      <c r="M940" s="1" t="s">
        <v>18</v>
      </c>
      <c r="N940" s="1" t="s">
        <v>18</v>
      </c>
      <c r="O940" s="1">
        <v>3</v>
      </c>
      <c r="P940" s="1">
        <v>6</v>
      </c>
      <c r="R940" s="1" t="s">
        <v>19</v>
      </c>
      <c r="S940" s="1" t="s">
        <v>20</v>
      </c>
      <c r="T940" s="1" t="s">
        <v>21</v>
      </c>
      <c r="U940" s="1" t="s">
        <v>22</v>
      </c>
      <c r="V940" s="1" t="s">
        <v>24</v>
      </c>
      <c r="W940" s="1" t="s">
        <v>24</v>
      </c>
      <c r="X940" s="1">
        <v>2741</v>
      </c>
      <c r="Y940" s="1" t="s">
        <v>24</v>
      </c>
      <c r="Z940" s="1" t="s">
        <v>24</v>
      </c>
      <c r="AA940" s="1" t="s">
        <v>24</v>
      </c>
      <c r="AB940" s="1" t="s">
        <v>24</v>
      </c>
      <c r="AC940" s="1" t="s">
        <v>24</v>
      </c>
      <c r="AD940" s="1" t="s">
        <v>24</v>
      </c>
      <c r="AE940" s="1" t="s">
        <v>24</v>
      </c>
      <c r="AF940" s="22"/>
    </row>
    <row r="941" spans="1:32" x14ac:dyDescent="0.2">
      <c r="A941" s="1">
        <v>5311</v>
      </c>
      <c r="B941" s="1" t="s">
        <v>3124</v>
      </c>
      <c r="C941" s="5" t="s">
        <v>0</v>
      </c>
      <c r="D941" s="1" t="s">
        <v>3125</v>
      </c>
      <c r="F941" s="1" t="s">
        <v>3126</v>
      </c>
      <c r="G941" s="1" t="s">
        <v>3126</v>
      </c>
      <c r="H941" s="1" t="s">
        <v>461</v>
      </c>
      <c r="I941" s="1" t="s">
        <v>16</v>
      </c>
      <c r="J941" s="1">
        <v>1</v>
      </c>
      <c r="K941" s="1">
        <v>12</v>
      </c>
      <c r="L941" s="1" t="s">
        <v>17</v>
      </c>
      <c r="M941" s="1" t="s">
        <v>1735</v>
      </c>
      <c r="N941" s="1" t="s">
        <v>18</v>
      </c>
      <c r="O941" s="1">
        <v>2</v>
      </c>
      <c r="P941" s="1">
        <v>5</v>
      </c>
      <c r="R941" s="1" t="s">
        <v>19</v>
      </c>
      <c r="S941" s="1" t="s">
        <v>20</v>
      </c>
      <c r="T941" s="1" t="s">
        <v>21</v>
      </c>
      <c r="U941" s="1" t="s">
        <v>22</v>
      </c>
      <c r="V941" s="1" t="s">
        <v>24</v>
      </c>
      <c r="W941" s="1" t="s">
        <v>24</v>
      </c>
      <c r="X941" s="1">
        <v>2715</v>
      </c>
      <c r="Y941" s="1">
        <v>2741</v>
      </c>
      <c r="Z941" s="1" t="s">
        <v>24</v>
      </c>
      <c r="AA941" s="1" t="s">
        <v>24</v>
      </c>
      <c r="AB941" s="1" t="s">
        <v>24</v>
      </c>
      <c r="AC941" s="1" t="s">
        <v>24</v>
      </c>
      <c r="AD941" s="1" t="s">
        <v>24</v>
      </c>
      <c r="AE941" s="1" t="s">
        <v>24</v>
      </c>
      <c r="AF941" s="22"/>
    </row>
    <row r="942" spans="1:32" x14ac:dyDescent="0.2">
      <c r="A942" s="1">
        <v>5313</v>
      </c>
      <c r="B942" s="1" t="s">
        <v>3127</v>
      </c>
      <c r="C942" s="5" t="s">
        <v>0</v>
      </c>
      <c r="D942" s="1" t="s">
        <v>3128</v>
      </c>
      <c r="F942" s="1" t="s">
        <v>3129</v>
      </c>
      <c r="G942" s="1" t="s">
        <v>3130</v>
      </c>
      <c r="H942" s="1" t="s">
        <v>461</v>
      </c>
      <c r="I942" s="1" t="s">
        <v>16</v>
      </c>
      <c r="J942" s="1">
        <v>1</v>
      </c>
      <c r="K942" s="1">
        <v>6</v>
      </c>
      <c r="L942" s="1" t="s">
        <v>17</v>
      </c>
      <c r="M942" s="1" t="s">
        <v>1735</v>
      </c>
      <c r="N942" s="1" t="s">
        <v>18</v>
      </c>
      <c r="O942" s="1">
        <v>2</v>
      </c>
      <c r="P942" s="1">
        <v>5</v>
      </c>
      <c r="R942" s="1" t="s">
        <v>19</v>
      </c>
      <c r="S942" s="1" t="s">
        <v>20</v>
      </c>
      <c r="T942" s="1" t="s">
        <v>21</v>
      </c>
      <c r="U942" s="1" t="s">
        <v>22</v>
      </c>
      <c r="V942" s="1" t="s">
        <v>24</v>
      </c>
      <c r="W942" s="1" t="s">
        <v>24</v>
      </c>
      <c r="X942" s="1">
        <v>2708</v>
      </c>
      <c r="Y942" s="1" t="s">
        <v>24</v>
      </c>
      <c r="Z942" s="1" t="s">
        <v>24</v>
      </c>
      <c r="AA942" s="1" t="s">
        <v>24</v>
      </c>
      <c r="AB942" s="1" t="s">
        <v>24</v>
      </c>
      <c r="AC942" s="1" t="s">
        <v>24</v>
      </c>
      <c r="AD942" s="1" t="s">
        <v>24</v>
      </c>
      <c r="AE942" s="1" t="s">
        <v>24</v>
      </c>
      <c r="AF942" s="22"/>
    </row>
    <row r="943" spans="1:32" x14ac:dyDescent="0.2">
      <c r="A943" s="1">
        <v>5315</v>
      </c>
      <c r="B943" s="1" t="s">
        <v>3131</v>
      </c>
      <c r="C943" s="5" t="s">
        <v>0</v>
      </c>
      <c r="D943" s="1" t="s">
        <v>3132</v>
      </c>
      <c r="E943" s="1" t="s">
        <v>3133</v>
      </c>
      <c r="F943" s="1" t="s">
        <v>3134</v>
      </c>
      <c r="G943" s="1" t="s">
        <v>3134</v>
      </c>
      <c r="H943" s="1" t="s">
        <v>249</v>
      </c>
      <c r="I943" s="1" t="s">
        <v>16</v>
      </c>
      <c r="J943" s="1">
        <v>1</v>
      </c>
      <c r="K943" s="1">
        <v>6</v>
      </c>
      <c r="L943" s="1" t="s">
        <v>42</v>
      </c>
      <c r="M943" s="1" t="s">
        <v>250</v>
      </c>
      <c r="N943" s="1" t="s">
        <v>1463</v>
      </c>
      <c r="O943" s="1">
        <v>3</v>
      </c>
      <c r="P943" s="1">
        <v>5</v>
      </c>
      <c r="R943" s="1" t="s">
        <v>19</v>
      </c>
      <c r="S943" s="1" t="s">
        <v>20</v>
      </c>
      <c r="T943" s="1" t="s">
        <v>21</v>
      </c>
      <c r="U943" s="1" t="s">
        <v>22</v>
      </c>
      <c r="V943" s="1" t="s">
        <v>24</v>
      </c>
      <c r="W943" s="1" t="s">
        <v>24</v>
      </c>
      <c r="X943" s="1">
        <v>2728</v>
      </c>
      <c r="Y943" s="1">
        <v>2746</v>
      </c>
      <c r="Z943" s="1" t="s">
        <v>24</v>
      </c>
      <c r="AA943" s="1" t="s">
        <v>24</v>
      </c>
      <c r="AB943" s="1" t="s">
        <v>24</v>
      </c>
      <c r="AC943" s="1" t="s">
        <v>24</v>
      </c>
      <c r="AD943" s="1" t="s">
        <v>24</v>
      </c>
      <c r="AE943" s="1" t="s">
        <v>24</v>
      </c>
      <c r="AF943" s="22"/>
    </row>
    <row r="944" spans="1:32" x14ac:dyDescent="0.2">
      <c r="A944" s="1">
        <v>5321</v>
      </c>
      <c r="B944" s="1" t="s">
        <v>3135</v>
      </c>
      <c r="C944" s="5" t="s">
        <v>0</v>
      </c>
      <c r="D944" s="1" t="s">
        <v>3136</v>
      </c>
      <c r="E944" s="1" t="s">
        <v>3137</v>
      </c>
      <c r="F944" s="1" t="s">
        <v>2802</v>
      </c>
      <c r="G944" s="1" t="s">
        <v>2802</v>
      </c>
      <c r="H944" s="1" t="s">
        <v>461</v>
      </c>
      <c r="I944" s="1" t="s">
        <v>16</v>
      </c>
      <c r="J944" s="1">
        <v>1</v>
      </c>
      <c r="K944" s="1">
        <v>12</v>
      </c>
      <c r="L944" s="1" t="s">
        <v>17</v>
      </c>
      <c r="M944" s="1" t="s">
        <v>1735</v>
      </c>
      <c r="N944" s="1" t="s">
        <v>18</v>
      </c>
      <c r="O944" s="1">
        <v>2</v>
      </c>
      <c r="P944" s="1">
        <v>5</v>
      </c>
      <c r="R944" s="1" t="s">
        <v>19</v>
      </c>
      <c r="S944" s="1" t="s">
        <v>20</v>
      </c>
      <c r="T944" s="1" t="s">
        <v>21</v>
      </c>
      <c r="U944" s="1" t="s">
        <v>22</v>
      </c>
      <c r="V944" s="1" t="s">
        <v>24</v>
      </c>
      <c r="W944" s="1" t="s">
        <v>24</v>
      </c>
      <c r="X944" s="1">
        <v>2728</v>
      </c>
      <c r="Y944" s="1">
        <v>2746</v>
      </c>
      <c r="Z944" s="1" t="s">
        <v>24</v>
      </c>
      <c r="AA944" s="1" t="s">
        <v>24</v>
      </c>
      <c r="AB944" s="1" t="s">
        <v>24</v>
      </c>
      <c r="AC944" s="1" t="s">
        <v>24</v>
      </c>
      <c r="AD944" s="1" t="s">
        <v>24</v>
      </c>
      <c r="AE944" s="1" t="s">
        <v>24</v>
      </c>
      <c r="AF944" s="22"/>
    </row>
    <row r="945" spans="1:32" x14ac:dyDescent="0.2">
      <c r="A945" s="1">
        <v>5328</v>
      </c>
      <c r="B945" s="1" t="s">
        <v>3138</v>
      </c>
      <c r="C945" s="5" t="s">
        <v>0</v>
      </c>
      <c r="D945" s="1" t="s">
        <v>3139</v>
      </c>
      <c r="F945" s="1" t="s">
        <v>3140</v>
      </c>
      <c r="G945" s="1" t="s">
        <v>3141</v>
      </c>
      <c r="H945" s="1" t="s">
        <v>1384</v>
      </c>
      <c r="I945" s="1" t="s">
        <v>16</v>
      </c>
      <c r="J945" s="1">
        <v>1</v>
      </c>
      <c r="K945" s="1">
        <v>4</v>
      </c>
      <c r="L945" s="1" t="s">
        <v>42</v>
      </c>
      <c r="M945" s="1" t="s">
        <v>3142</v>
      </c>
      <c r="N945" s="1" t="s">
        <v>3142</v>
      </c>
      <c r="O945" s="1">
        <v>3</v>
      </c>
      <c r="P945" s="1">
        <v>6</v>
      </c>
      <c r="R945" s="1" t="s">
        <v>19</v>
      </c>
      <c r="S945" s="1" t="s">
        <v>20</v>
      </c>
      <c r="T945" s="1" t="s">
        <v>21</v>
      </c>
      <c r="U945" s="1" t="s">
        <v>22</v>
      </c>
      <c r="V945" s="1" t="s">
        <v>24</v>
      </c>
      <c r="W945" s="1" t="s">
        <v>24</v>
      </c>
      <c r="X945" s="1">
        <v>2738</v>
      </c>
      <c r="Y945" s="1">
        <v>2800</v>
      </c>
      <c r="Z945" s="1" t="s">
        <v>24</v>
      </c>
      <c r="AA945" s="1" t="s">
        <v>24</v>
      </c>
      <c r="AB945" s="1" t="s">
        <v>24</v>
      </c>
      <c r="AC945" s="1" t="s">
        <v>24</v>
      </c>
      <c r="AD945" s="1" t="s">
        <v>24</v>
      </c>
      <c r="AE945" s="1" t="s">
        <v>24</v>
      </c>
      <c r="AF945" s="22"/>
    </row>
    <row r="946" spans="1:32" x14ac:dyDescent="0.2">
      <c r="A946" s="1">
        <v>5331</v>
      </c>
      <c r="B946" s="1" t="s">
        <v>3143</v>
      </c>
      <c r="C946" s="5" t="s">
        <v>0</v>
      </c>
      <c r="D946" s="1" t="s">
        <v>3144</v>
      </c>
      <c r="F946" s="1" t="s">
        <v>2802</v>
      </c>
      <c r="G946" s="1" t="s">
        <v>2802</v>
      </c>
      <c r="H946" s="1" t="s">
        <v>461</v>
      </c>
      <c r="I946" s="1" t="s">
        <v>16</v>
      </c>
      <c r="J946" s="1">
        <v>1</v>
      </c>
      <c r="K946" s="1">
        <v>12</v>
      </c>
      <c r="L946" s="1" t="s">
        <v>17</v>
      </c>
      <c r="M946" s="1" t="s">
        <v>1735</v>
      </c>
      <c r="N946" s="1" t="s">
        <v>18</v>
      </c>
      <c r="O946" s="1">
        <v>2</v>
      </c>
      <c r="P946" s="1">
        <v>5</v>
      </c>
      <c r="R946" s="1" t="s">
        <v>19</v>
      </c>
      <c r="S946" s="1" t="s">
        <v>20</v>
      </c>
      <c r="T946" s="1" t="s">
        <v>21</v>
      </c>
      <c r="U946" s="1" t="s">
        <v>22</v>
      </c>
      <c r="V946" s="1" t="s">
        <v>24</v>
      </c>
      <c r="W946" s="1" t="s">
        <v>24</v>
      </c>
      <c r="X946" s="1">
        <v>2728</v>
      </c>
      <c r="Y946" s="1" t="s">
        <v>24</v>
      </c>
      <c r="Z946" s="1" t="s">
        <v>24</v>
      </c>
      <c r="AA946" s="1" t="s">
        <v>24</v>
      </c>
      <c r="AB946" s="1" t="s">
        <v>24</v>
      </c>
      <c r="AC946" s="1" t="s">
        <v>24</v>
      </c>
      <c r="AD946" s="1" t="s">
        <v>24</v>
      </c>
      <c r="AE946" s="1" t="s">
        <v>24</v>
      </c>
      <c r="AF946" s="22"/>
    </row>
    <row r="947" spans="1:32" x14ac:dyDescent="0.2">
      <c r="A947" s="1">
        <v>5335</v>
      </c>
      <c r="B947" s="1" t="s">
        <v>3145</v>
      </c>
      <c r="C947" s="5" t="s">
        <v>0</v>
      </c>
      <c r="D947" s="1" t="s">
        <v>3146</v>
      </c>
      <c r="F947" s="1" t="s">
        <v>1462</v>
      </c>
      <c r="G947" s="1" t="s">
        <v>1462</v>
      </c>
      <c r="H947" s="1" t="s">
        <v>249</v>
      </c>
      <c r="I947" s="1" t="s">
        <v>16</v>
      </c>
      <c r="J947" s="1">
        <v>1</v>
      </c>
      <c r="K947" s="1">
        <v>6</v>
      </c>
      <c r="L947" s="1" t="s">
        <v>42</v>
      </c>
      <c r="M947" s="1" t="s">
        <v>1463</v>
      </c>
      <c r="N947" s="1" t="s">
        <v>18</v>
      </c>
      <c r="O947" s="1">
        <v>2</v>
      </c>
      <c r="P947" s="1">
        <v>4</v>
      </c>
      <c r="R947" s="1" t="s">
        <v>19</v>
      </c>
      <c r="S947" s="1" t="s">
        <v>20</v>
      </c>
      <c r="T947" s="1" t="s">
        <v>21</v>
      </c>
      <c r="U947" s="1" t="s">
        <v>22</v>
      </c>
      <c r="V947" s="1" t="s">
        <v>24</v>
      </c>
      <c r="W947" s="1" t="s">
        <v>24</v>
      </c>
      <c r="X947" s="1">
        <v>1306</v>
      </c>
      <c r="Y947" s="1">
        <v>2730</v>
      </c>
      <c r="Z947" s="1" t="s">
        <v>24</v>
      </c>
      <c r="AA947" s="1" t="s">
        <v>24</v>
      </c>
      <c r="AB947" s="1" t="s">
        <v>24</v>
      </c>
      <c r="AC947" s="1" t="s">
        <v>24</v>
      </c>
      <c r="AD947" s="1" t="s">
        <v>24</v>
      </c>
      <c r="AE947" s="1" t="s">
        <v>24</v>
      </c>
      <c r="AF947" s="22"/>
    </row>
    <row r="948" spans="1:32" x14ac:dyDescent="0.2">
      <c r="A948" s="1">
        <v>5337</v>
      </c>
      <c r="B948" s="1" t="s">
        <v>3147</v>
      </c>
      <c r="C948" s="5" t="s">
        <v>0</v>
      </c>
      <c r="D948" s="1" t="s">
        <v>3148</v>
      </c>
      <c r="E948" s="1" t="s">
        <v>3149</v>
      </c>
      <c r="F948" s="1" t="s">
        <v>109</v>
      </c>
      <c r="G948" s="1" t="s">
        <v>110</v>
      </c>
      <c r="H948" s="1" t="s">
        <v>111</v>
      </c>
      <c r="I948" s="1" t="s">
        <v>16</v>
      </c>
      <c r="J948" s="1">
        <v>2</v>
      </c>
      <c r="K948" s="1">
        <v>4</v>
      </c>
      <c r="L948" s="1" t="s">
        <v>31</v>
      </c>
      <c r="M948" s="1" t="s">
        <v>18</v>
      </c>
      <c r="N948" s="1" t="s">
        <v>18</v>
      </c>
      <c r="O948" s="1">
        <v>3</v>
      </c>
      <c r="P948" s="1">
        <v>7</v>
      </c>
      <c r="Q948" s="7" t="s">
        <v>17633</v>
      </c>
      <c r="R948" s="1" t="s">
        <v>19</v>
      </c>
      <c r="S948" s="1" t="s">
        <v>20</v>
      </c>
      <c r="T948" s="1" t="s">
        <v>21</v>
      </c>
      <c r="U948" s="1" t="s">
        <v>22</v>
      </c>
      <c r="V948" s="1" t="s">
        <v>24</v>
      </c>
      <c r="W948" s="1" t="s">
        <v>24</v>
      </c>
      <c r="X948" s="1">
        <v>2738</v>
      </c>
      <c r="Y948" s="1">
        <v>3206</v>
      </c>
      <c r="Z948" s="1">
        <v>2803</v>
      </c>
      <c r="AA948" s="1" t="s">
        <v>24</v>
      </c>
      <c r="AB948" s="1" t="s">
        <v>24</v>
      </c>
      <c r="AC948" s="1" t="s">
        <v>24</v>
      </c>
      <c r="AD948" s="1" t="s">
        <v>24</v>
      </c>
      <c r="AE948" s="1" t="s">
        <v>24</v>
      </c>
      <c r="AF948" s="22"/>
    </row>
    <row r="949" spans="1:32" x14ac:dyDescent="0.2">
      <c r="A949" s="1">
        <v>5340</v>
      </c>
      <c r="B949" s="1" t="s">
        <v>3150</v>
      </c>
      <c r="C949" s="5" t="s">
        <v>0</v>
      </c>
      <c r="D949" s="1" t="s">
        <v>3151</v>
      </c>
      <c r="E949" s="1" t="s">
        <v>3152</v>
      </c>
      <c r="F949" s="1" t="s">
        <v>190</v>
      </c>
      <c r="G949" s="1" t="s">
        <v>130</v>
      </c>
      <c r="H949" s="1" t="s">
        <v>30</v>
      </c>
      <c r="I949" s="1" t="s">
        <v>16</v>
      </c>
      <c r="J949" s="1">
        <v>1</v>
      </c>
      <c r="K949" s="1">
        <v>6</v>
      </c>
      <c r="L949" s="1" t="s">
        <v>31</v>
      </c>
      <c r="M949" s="1" t="s">
        <v>18</v>
      </c>
      <c r="N949" s="1" t="s">
        <v>18</v>
      </c>
      <c r="O949" s="1">
        <v>3</v>
      </c>
      <c r="P949" s="1">
        <v>6</v>
      </c>
      <c r="R949" s="1" t="s">
        <v>19</v>
      </c>
      <c r="S949" s="1" t="s">
        <v>20</v>
      </c>
      <c r="T949" s="1" t="s">
        <v>21</v>
      </c>
      <c r="U949" s="1" t="s">
        <v>22</v>
      </c>
      <c r="V949" s="1" t="s">
        <v>24</v>
      </c>
      <c r="W949" s="1" t="s">
        <v>24</v>
      </c>
      <c r="X949" s="1">
        <v>2800</v>
      </c>
      <c r="Y949" s="1">
        <v>1314</v>
      </c>
      <c r="Z949" s="1" t="s">
        <v>24</v>
      </c>
      <c r="AA949" s="1" t="s">
        <v>24</v>
      </c>
      <c r="AB949" s="1" t="s">
        <v>24</v>
      </c>
      <c r="AC949" s="1" t="s">
        <v>24</v>
      </c>
      <c r="AD949" s="1" t="s">
        <v>24</v>
      </c>
      <c r="AE949" s="1" t="s">
        <v>24</v>
      </c>
      <c r="AF949" s="22"/>
    </row>
    <row r="950" spans="1:32" x14ac:dyDescent="0.2">
      <c r="A950" s="1">
        <v>5346</v>
      </c>
      <c r="B950" s="1" t="s">
        <v>3153</v>
      </c>
      <c r="C950" s="5" t="s">
        <v>0</v>
      </c>
      <c r="D950" s="1" t="s">
        <v>3154</v>
      </c>
      <c r="E950" s="1" t="s">
        <v>3155</v>
      </c>
      <c r="F950" s="1" t="s">
        <v>167</v>
      </c>
      <c r="G950" s="1" t="s">
        <v>130</v>
      </c>
      <c r="H950" s="1" t="s">
        <v>168</v>
      </c>
      <c r="I950" s="1" t="s">
        <v>16</v>
      </c>
      <c r="J950" s="1">
        <v>1</v>
      </c>
      <c r="K950" s="1">
        <v>12</v>
      </c>
      <c r="L950" s="1" t="s">
        <v>31</v>
      </c>
      <c r="M950" s="1" t="s">
        <v>18</v>
      </c>
      <c r="N950" s="1" t="s">
        <v>18</v>
      </c>
      <c r="O950" s="1">
        <v>3</v>
      </c>
      <c r="P950" s="1">
        <v>7</v>
      </c>
      <c r="Q950" s="7" t="s">
        <v>17633</v>
      </c>
      <c r="R950" s="1" t="s">
        <v>19</v>
      </c>
      <c r="S950" s="1" t="s">
        <v>20</v>
      </c>
      <c r="T950" s="1" t="s">
        <v>21</v>
      </c>
      <c r="U950" s="1" t="s">
        <v>22</v>
      </c>
      <c r="V950" s="1" t="s">
        <v>23</v>
      </c>
      <c r="W950" s="1" t="s">
        <v>24</v>
      </c>
      <c r="X950" s="1">
        <v>2741</v>
      </c>
      <c r="Y950" s="1">
        <v>2728</v>
      </c>
      <c r="Z950" s="1">
        <v>2705</v>
      </c>
      <c r="AA950" s="1" t="s">
        <v>24</v>
      </c>
      <c r="AB950" s="1" t="s">
        <v>24</v>
      </c>
      <c r="AC950" s="1" t="s">
        <v>24</v>
      </c>
      <c r="AD950" s="1" t="s">
        <v>24</v>
      </c>
      <c r="AE950" s="1" t="s">
        <v>24</v>
      </c>
      <c r="AF950" s="22"/>
    </row>
    <row r="951" spans="1:32" x14ac:dyDescent="0.2">
      <c r="A951" s="1">
        <v>5347</v>
      </c>
      <c r="B951" s="1" t="s">
        <v>3156</v>
      </c>
      <c r="C951" s="5" t="s">
        <v>0</v>
      </c>
      <c r="D951" s="1" t="s">
        <v>3157</v>
      </c>
      <c r="E951" s="1" t="s">
        <v>3158</v>
      </c>
      <c r="F951" s="1" t="s">
        <v>856</v>
      </c>
      <c r="G951" s="1" t="s">
        <v>857</v>
      </c>
      <c r="H951" s="1" t="s">
        <v>37</v>
      </c>
      <c r="I951" s="1" t="s">
        <v>16</v>
      </c>
      <c r="J951" s="1">
        <v>1</v>
      </c>
      <c r="K951" s="1">
        <v>10</v>
      </c>
      <c r="L951" s="1" t="s">
        <v>42</v>
      </c>
      <c r="M951" s="1" t="s">
        <v>18</v>
      </c>
      <c r="N951" s="1" t="s">
        <v>18</v>
      </c>
      <c r="O951" s="1">
        <v>3</v>
      </c>
      <c r="P951" s="1">
        <v>6</v>
      </c>
      <c r="R951" s="1" t="s">
        <v>19</v>
      </c>
      <c r="S951" s="1" t="s">
        <v>20</v>
      </c>
      <c r="T951" s="1" t="s">
        <v>21</v>
      </c>
      <c r="U951" s="1" t="s">
        <v>22</v>
      </c>
      <c r="V951" s="1" t="s">
        <v>24</v>
      </c>
      <c r="W951" s="1" t="s">
        <v>24</v>
      </c>
      <c r="X951" s="1">
        <v>2728</v>
      </c>
      <c r="Y951" s="1">
        <v>2808</v>
      </c>
      <c r="Z951" s="1" t="s">
        <v>24</v>
      </c>
      <c r="AA951" s="1" t="s">
        <v>24</v>
      </c>
      <c r="AB951" s="1" t="s">
        <v>24</v>
      </c>
      <c r="AC951" s="1" t="s">
        <v>24</v>
      </c>
      <c r="AD951" s="1" t="s">
        <v>24</v>
      </c>
      <c r="AE951" s="1" t="s">
        <v>24</v>
      </c>
      <c r="AF951" s="22"/>
    </row>
    <row r="952" spans="1:32" x14ac:dyDescent="0.2">
      <c r="A952" s="1">
        <v>5350</v>
      </c>
      <c r="B952" s="1" t="s">
        <v>3159</v>
      </c>
      <c r="C952" s="5" t="s">
        <v>0</v>
      </c>
      <c r="D952" s="1" t="s">
        <v>3160</v>
      </c>
      <c r="E952" s="1" t="s">
        <v>3161</v>
      </c>
      <c r="F952" s="1" t="s">
        <v>3162</v>
      </c>
      <c r="G952" s="1" t="s">
        <v>460</v>
      </c>
      <c r="H952" s="1" t="s">
        <v>461</v>
      </c>
      <c r="I952" s="1" t="s">
        <v>16</v>
      </c>
      <c r="J952" s="1">
        <v>1</v>
      </c>
      <c r="K952" s="1">
        <v>3</v>
      </c>
      <c r="L952" s="1" t="s">
        <v>42</v>
      </c>
      <c r="M952" s="1" t="s">
        <v>1097</v>
      </c>
      <c r="N952" s="1" t="s">
        <v>18</v>
      </c>
      <c r="O952" s="1">
        <v>2</v>
      </c>
      <c r="P952" s="1">
        <v>6</v>
      </c>
      <c r="R952" s="1" t="s">
        <v>19</v>
      </c>
      <c r="S952" s="1" t="s">
        <v>20</v>
      </c>
      <c r="T952" s="1" t="s">
        <v>21</v>
      </c>
      <c r="U952" s="1" t="s">
        <v>22</v>
      </c>
      <c r="V952" s="1" t="s">
        <v>24</v>
      </c>
      <c r="W952" s="1" t="s">
        <v>24</v>
      </c>
      <c r="X952" s="1">
        <v>2708</v>
      </c>
      <c r="Y952" s="1">
        <v>2725</v>
      </c>
      <c r="Z952" s="1" t="s">
        <v>24</v>
      </c>
      <c r="AA952" s="1" t="s">
        <v>24</v>
      </c>
      <c r="AB952" s="1" t="s">
        <v>24</v>
      </c>
      <c r="AC952" s="1" t="s">
        <v>24</v>
      </c>
      <c r="AD952" s="1" t="s">
        <v>24</v>
      </c>
      <c r="AE952" s="1" t="s">
        <v>24</v>
      </c>
      <c r="AF952" s="22"/>
    </row>
    <row r="953" spans="1:32" x14ac:dyDescent="0.2">
      <c r="A953" s="1">
        <v>5355</v>
      </c>
      <c r="B953" s="1" t="s">
        <v>3163</v>
      </c>
      <c r="C953" s="5" t="s">
        <v>0</v>
      </c>
      <c r="D953" s="1" t="s">
        <v>3164</v>
      </c>
      <c r="E953" s="1" t="s">
        <v>3165</v>
      </c>
      <c r="F953" s="1" t="s">
        <v>3166</v>
      </c>
      <c r="G953" s="1" t="s">
        <v>372</v>
      </c>
      <c r="H953" s="1" t="s">
        <v>168</v>
      </c>
      <c r="I953" s="1" t="s">
        <v>16</v>
      </c>
      <c r="J953" s="1">
        <v>1</v>
      </c>
      <c r="K953" s="1">
        <v>6</v>
      </c>
      <c r="L953" s="1" t="s">
        <v>31</v>
      </c>
      <c r="M953" s="1" t="s">
        <v>18</v>
      </c>
      <c r="N953" s="1" t="s">
        <v>18</v>
      </c>
      <c r="O953" s="1">
        <v>3</v>
      </c>
      <c r="P953" s="1">
        <v>7</v>
      </c>
      <c r="Q953" s="7" t="s">
        <v>17633</v>
      </c>
      <c r="R953" s="1" t="s">
        <v>19</v>
      </c>
      <c r="S953" s="1" t="s">
        <v>63</v>
      </c>
      <c r="T953" s="1" t="s">
        <v>21</v>
      </c>
      <c r="U953" s="1" t="s">
        <v>22</v>
      </c>
      <c r="V953" s="1" t="s">
        <v>24</v>
      </c>
      <c r="W953" s="1" t="s">
        <v>24</v>
      </c>
      <c r="X953" s="1">
        <v>2735</v>
      </c>
      <c r="Y953" s="1">
        <v>2728</v>
      </c>
      <c r="Z953" s="1" t="s">
        <v>24</v>
      </c>
      <c r="AA953" s="1" t="s">
        <v>24</v>
      </c>
      <c r="AB953" s="1" t="s">
        <v>24</v>
      </c>
      <c r="AC953" s="1" t="s">
        <v>24</v>
      </c>
      <c r="AD953" s="1" t="s">
        <v>24</v>
      </c>
      <c r="AE953" s="1" t="s">
        <v>24</v>
      </c>
      <c r="AF953" s="22"/>
    </row>
    <row r="954" spans="1:32" x14ac:dyDescent="0.2">
      <c r="A954" s="1">
        <v>5356</v>
      </c>
      <c r="B954" s="1" t="s">
        <v>3167</v>
      </c>
      <c r="C954" s="5" t="s">
        <v>0</v>
      </c>
      <c r="D954" s="1" t="s">
        <v>3168</v>
      </c>
      <c r="E954" s="1" t="s">
        <v>3169</v>
      </c>
      <c r="F954" s="1" t="s">
        <v>291</v>
      </c>
      <c r="G954" s="1" t="s">
        <v>292</v>
      </c>
      <c r="H954" s="1" t="s">
        <v>37</v>
      </c>
      <c r="I954" s="1" t="s">
        <v>16</v>
      </c>
      <c r="J954" s="1">
        <v>1</v>
      </c>
      <c r="K954" s="1">
        <v>6</v>
      </c>
      <c r="L954" s="1" t="s">
        <v>31</v>
      </c>
      <c r="M954" s="1" t="s">
        <v>18</v>
      </c>
      <c r="N954" s="1" t="s">
        <v>18</v>
      </c>
      <c r="O954" s="1">
        <v>3</v>
      </c>
      <c r="P954" s="1">
        <v>6</v>
      </c>
      <c r="R954" s="1" t="s">
        <v>19</v>
      </c>
      <c r="S954" s="1" t="s">
        <v>20</v>
      </c>
      <c r="T954" s="1" t="s">
        <v>21</v>
      </c>
      <c r="U954" s="1" t="s">
        <v>22</v>
      </c>
      <c r="V954" s="1" t="s">
        <v>24</v>
      </c>
      <c r="W954" s="1" t="s">
        <v>24</v>
      </c>
      <c r="X954" s="1">
        <v>2731</v>
      </c>
      <c r="Y954" s="1">
        <v>2728</v>
      </c>
      <c r="Z954" s="1" t="s">
        <v>24</v>
      </c>
      <c r="AA954" s="1" t="s">
        <v>24</v>
      </c>
      <c r="AB954" s="1" t="s">
        <v>24</v>
      </c>
      <c r="AC954" s="1" t="s">
        <v>24</v>
      </c>
      <c r="AD954" s="1" t="s">
        <v>24</v>
      </c>
      <c r="AE954" s="1" t="s">
        <v>24</v>
      </c>
      <c r="AF954" s="22"/>
    </row>
    <row r="955" spans="1:32" x14ac:dyDescent="0.2">
      <c r="A955" s="1">
        <v>5357</v>
      </c>
      <c r="B955" s="1" t="s">
        <v>3170</v>
      </c>
      <c r="C955" s="5" t="s">
        <v>0</v>
      </c>
      <c r="D955" s="1" t="s">
        <v>3171</v>
      </c>
      <c r="E955" s="1" t="s">
        <v>3172</v>
      </c>
      <c r="F955" s="1" t="s">
        <v>831</v>
      </c>
      <c r="G955" s="1" t="s">
        <v>61</v>
      </c>
      <c r="H955" s="1" t="s">
        <v>37</v>
      </c>
      <c r="I955" s="1" t="s">
        <v>16</v>
      </c>
      <c r="J955" s="1">
        <v>1</v>
      </c>
      <c r="K955" s="1">
        <v>6</v>
      </c>
      <c r="L955" s="1" t="s">
        <v>31</v>
      </c>
      <c r="M955" s="1" t="s">
        <v>18</v>
      </c>
      <c r="N955" s="1" t="s">
        <v>18</v>
      </c>
      <c r="O955" s="1">
        <v>3</v>
      </c>
      <c r="P955" s="1">
        <v>7</v>
      </c>
      <c r="Q955" s="7" t="s">
        <v>17633</v>
      </c>
      <c r="R955" s="1" t="s">
        <v>19</v>
      </c>
      <c r="S955" s="1" t="s">
        <v>20</v>
      </c>
      <c r="T955" s="1" t="s">
        <v>21</v>
      </c>
      <c r="U955" s="1" t="s">
        <v>22</v>
      </c>
      <c r="V955" s="1" t="s">
        <v>24</v>
      </c>
      <c r="W955" s="1" t="s">
        <v>24</v>
      </c>
      <c r="X955" s="1">
        <v>1310</v>
      </c>
      <c r="Y955" s="1">
        <v>2808</v>
      </c>
      <c r="Z955" s="1">
        <v>2804</v>
      </c>
      <c r="AA955" s="1">
        <v>2807</v>
      </c>
      <c r="AB955" s="1" t="s">
        <v>24</v>
      </c>
      <c r="AC955" s="1" t="s">
        <v>24</v>
      </c>
      <c r="AD955" s="1" t="s">
        <v>24</v>
      </c>
      <c r="AE955" s="1" t="s">
        <v>24</v>
      </c>
      <c r="AF955" s="22"/>
    </row>
    <row r="956" spans="1:32" x14ac:dyDescent="0.2">
      <c r="A956" s="1">
        <v>5358</v>
      </c>
      <c r="B956" s="1" t="s">
        <v>3173</v>
      </c>
      <c r="C956" s="5" t="s">
        <v>0</v>
      </c>
      <c r="D956" s="1" t="s">
        <v>3174</v>
      </c>
      <c r="E956" s="1" t="s">
        <v>3175</v>
      </c>
      <c r="F956" s="1" t="s">
        <v>155</v>
      </c>
      <c r="G956" s="1" t="s">
        <v>61</v>
      </c>
      <c r="H956" s="1" t="s">
        <v>37</v>
      </c>
      <c r="I956" s="1" t="s">
        <v>16</v>
      </c>
      <c r="J956" s="1">
        <v>7</v>
      </c>
      <c r="K956" s="1">
        <v>4</v>
      </c>
      <c r="L956" s="1" t="s">
        <v>31</v>
      </c>
      <c r="M956" s="1" t="s">
        <v>18</v>
      </c>
      <c r="N956" s="1" t="s">
        <v>18</v>
      </c>
      <c r="O956" s="1">
        <v>3</v>
      </c>
      <c r="P956" s="1">
        <v>8</v>
      </c>
      <c r="Q956" s="7" t="s">
        <v>17633</v>
      </c>
      <c r="R956" s="1" t="s">
        <v>62</v>
      </c>
      <c r="S956" s="1" t="s">
        <v>63</v>
      </c>
      <c r="T956" s="1" t="s">
        <v>21</v>
      </c>
      <c r="U956" s="1" t="s">
        <v>22</v>
      </c>
      <c r="V956" s="1" t="s">
        <v>24</v>
      </c>
      <c r="W956" s="1" t="s">
        <v>24</v>
      </c>
      <c r="X956" s="1">
        <v>2800</v>
      </c>
      <c r="Y956" s="1" t="s">
        <v>24</v>
      </c>
      <c r="Z956" s="1" t="s">
        <v>24</v>
      </c>
      <c r="AA956" s="1" t="s">
        <v>24</v>
      </c>
      <c r="AB956" s="1" t="s">
        <v>24</v>
      </c>
      <c r="AC956" s="1" t="s">
        <v>24</v>
      </c>
      <c r="AD956" s="1" t="s">
        <v>24</v>
      </c>
      <c r="AE956" s="1" t="s">
        <v>24</v>
      </c>
      <c r="AF956" s="22"/>
    </row>
    <row r="957" spans="1:32" x14ac:dyDescent="0.2">
      <c r="A957" s="1">
        <v>5360</v>
      </c>
      <c r="B957" s="1" t="s">
        <v>3176</v>
      </c>
      <c r="C957" s="5" t="s">
        <v>0</v>
      </c>
      <c r="D957" s="1" t="s">
        <v>3177</v>
      </c>
      <c r="F957" s="1" t="s">
        <v>28</v>
      </c>
      <c r="G957" s="1" t="s">
        <v>29</v>
      </c>
      <c r="H957" s="1" t="s">
        <v>30</v>
      </c>
      <c r="I957" s="1" t="s">
        <v>16</v>
      </c>
      <c r="J957" s="1">
        <v>2</v>
      </c>
      <c r="K957" s="1">
        <v>6</v>
      </c>
      <c r="L957" s="1" t="s">
        <v>31</v>
      </c>
      <c r="M957" s="1" t="s">
        <v>18</v>
      </c>
      <c r="N957" s="1" t="s">
        <v>18</v>
      </c>
      <c r="O957" s="1">
        <v>3</v>
      </c>
      <c r="P957" s="1">
        <v>7</v>
      </c>
      <c r="Q957" s="7" t="s">
        <v>17633</v>
      </c>
      <c r="R957" s="1" t="s">
        <v>19</v>
      </c>
      <c r="S957" s="1" t="s">
        <v>20</v>
      </c>
      <c r="T957" s="1" t="s">
        <v>21</v>
      </c>
      <c r="U957" s="1" t="s">
        <v>22</v>
      </c>
      <c r="V957" s="1" t="s">
        <v>24</v>
      </c>
      <c r="W957" s="1" t="s">
        <v>24</v>
      </c>
      <c r="X957" s="1">
        <v>2728</v>
      </c>
      <c r="Y957" s="1">
        <v>2746</v>
      </c>
      <c r="Z957" s="1" t="s">
        <v>24</v>
      </c>
      <c r="AA957" s="1" t="s">
        <v>24</v>
      </c>
      <c r="AB957" s="1" t="s">
        <v>24</v>
      </c>
      <c r="AC957" s="1" t="s">
        <v>24</v>
      </c>
      <c r="AD957" s="1" t="s">
        <v>24</v>
      </c>
      <c r="AE957" s="1" t="s">
        <v>24</v>
      </c>
      <c r="AF957" s="22"/>
    </row>
    <row r="958" spans="1:32" x14ac:dyDescent="0.2">
      <c r="A958" s="1">
        <v>5361</v>
      </c>
      <c r="B958" s="1" t="s">
        <v>3178</v>
      </c>
      <c r="C958" s="5" t="s">
        <v>0</v>
      </c>
      <c r="D958" s="1" t="s">
        <v>3179</v>
      </c>
      <c r="E958" s="1" t="s">
        <v>3180</v>
      </c>
      <c r="F958" s="1" t="s">
        <v>91</v>
      </c>
      <c r="G958" s="1" t="s">
        <v>61</v>
      </c>
      <c r="H958" s="1" t="s">
        <v>92</v>
      </c>
      <c r="I958" s="1" t="s">
        <v>16</v>
      </c>
      <c r="J958" s="1">
        <v>1</v>
      </c>
      <c r="K958" s="1">
        <v>6</v>
      </c>
      <c r="L958" s="1" t="s">
        <v>31</v>
      </c>
      <c r="M958" s="1" t="s">
        <v>18</v>
      </c>
      <c r="N958" s="1" t="s">
        <v>18</v>
      </c>
      <c r="O958" s="1">
        <v>3</v>
      </c>
      <c r="P958" s="1">
        <v>7</v>
      </c>
      <c r="Q958" s="7" t="s">
        <v>17633</v>
      </c>
      <c r="R958" s="1" t="s">
        <v>19</v>
      </c>
      <c r="S958" s="1" t="s">
        <v>63</v>
      </c>
      <c r="T958" s="1" t="s">
        <v>21</v>
      </c>
      <c r="U958" s="1" t="s">
        <v>22</v>
      </c>
      <c r="V958" s="1" t="s">
        <v>24</v>
      </c>
      <c r="W958" s="1" t="s">
        <v>24</v>
      </c>
      <c r="X958" s="1">
        <v>2800</v>
      </c>
      <c r="Y958" s="1">
        <v>3005</v>
      </c>
      <c r="Z958" s="1" t="s">
        <v>24</v>
      </c>
      <c r="AA958" s="1" t="s">
        <v>24</v>
      </c>
      <c r="AB958" s="1" t="s">
        <v>24</v>
      </c>
      <c r="AC958" s="1" t="s">
        <v>24</v>
      </c>
      <c r="AD958" s="1" t="s">
        <v>24</v>
      </c>
      <c r="AE958" s="1" t="s">
        <v>24</v>
      </c>
      <c r="AF958" s="22"/>
    </row>
    <row r="959" spans="1:32" x14ac:dyDescent="0.2">
      <c r="A959" s="1">
        <v>5362</v>
      </c>
      <c r="B959" s="1" t="s">
        <v>3181</v>
      </c>
      <c r="C959" s="5" t="s">
        <v>0</v>
      </c>
      <c r="D959" s="1" t="s">
        <v>3182</v>
      </c>
      <c r="E959" s="1" t="s">
        <v>3183</v>
      </c>
      <c r="F959" s="1" t="s">
        <v>167</v>
      </c>
      <c r="G959" s="1" t="s">
        <v>130</v>
      </c>
      <c r="H959" s="1" t="s">
        <v>168</v>
      </c>
      <c r="I959" s="1" t="s">
        <v>16</v>
      </c>
      <c r="J959" s="1">
        <v>2</v>
      </c>
      <c r="K959" s="1">
        <v>6</v>
      </c>
      <c r="L959" s="1" t="s">
        <v>31</v>
      </c>
      <c r="M959" s="1" t="s">
        <v>18</v>
      </c>
      <c r="N959" s="1" t="s">
        <v>18</v>
      </c>
      <c r="O959" s="1">
        <v>3</v>
      </c>
      <c r="P959" s="1">
        <v>6</v>
      </c>
      <c r="R959" s="1" t="s">
        <v>19</v>
      </c>
      <c r="S959" s="1" t="s">
        <v>20</v>
      </c>
      <c r="T959" s="1" t="s">
        <v>21</v>
      </c>
      <c r="U959" s="1" t="s">
        <v>22</v>
      </c>
      <c r="V959" s="1" t="s">
        <v>24</v>
      </c>
      <c r="W959" s="1" t="s">
        <v>64</v>
      </c>
      <c r="X959" s="1">
        <v>3004</v>
      </c>
      <c r="Y959" s="1" t="s">
        <v>24</v>
      </c>
      <c r="Z959" s="1" t="s">
        <v>24</v>
      </c>
      <c r="AA959" s="1" t="s">
        <v>24</v>
      </c>
      <c r="AB959" s="1" t="s">
        <v>24</v>
      </c>
      <c r="AC959" s="1" t="s">
        <v>24</v>
      </c>
      <c r="AD959" s="1" t="s">
        <v>24</v>
      </c>
      <c r="AE959" s="1" t="s">
        <v>24</v>
      </c>
      <c r="AF959" s="22"/>
    </row>
    <row r="960" spans="1:32" x14ac:dyDescent="0.2">
      <c r="A960" s="1">
        <v>5373</v>
      </c>
      <c r="B960" s="1" t="s">
        <v>3184</v>
      </c>
      <c r="C960" s="5" t="s">
        <v>0</v>
      </c>
      <c r="D960" s="1" t="s">
        <v>3185</v>
      </c>
      <c r="E960" s="1" t="s">
        <v>3186</v>
      </c>
      <c r="F960" s="1" t="s">
        <v>167</v>
      </c>
      <c r="G960" s="1" t="s">
        <v>130</v>
      </c>
      <c r="H960" s="1" t="s">
        <v>168</v>
      </c>
      <c r="I960" s="1" t="s">
        <v>16</v>
      </c>
      <c r="J960" s="1">
        <v>1</v>
      </c>
      <c r="K960" s="1">
        <v>4</v>
      </c>
      <c r="L960" s="1" t="s">
        <v>31</v>
      </c>
      <c r="M960" s="1" t="s">
        <v>18</v>
      </c>
      <c r="N960" s="1" t="s">
        <v>18</v>
      </c>
      <c r="O960" s="1">
        <v>3</v>
      </c>
      <c r="P960" s="1">
        <v>7</v>
      </c>
      <c r="Q960" s="7" t="s">
        <v>17633</v>
      </c>
      <c r="R960" s="1" t="s">
        <v>19</v>
      </c>
      <c r="S960" s="1" t="s">
        <v>20</v>
      </c>
      <c r="T960" s="1" t="s">
        <v>21</v>
      </c>
      <c r="U960" s="1" t="s">
        <v>22</v>
      </c>
      <c r="V960" s="1" t="s">
        <v>24</v>
      </c>
      <c r="W960" s="1" t="s">
        <v>24</v>
      </c>
      <c r="X960" s="1">
        <v>2728</v>
      </c>
      <c r="Y960" s="1">
        <v>2746</v>
      </c>
      <c r="Z960" s="1" t="s">
        <v>24</v>
      </c>
      <c r="AA960" s="1" t="s">
        <v>24</v>
      </c>
      <c r="AB960" s="1" t="s">
        <v>24</v>
      </c>
      <c r="AC960" s="1" t="s">
        <v>24</v>
      </c>
      <c r="AD960" s="1" t="s">
        <v>24</v>
      </c>
      <c r="AE960" s="1" t="s">
        <v>24</v>
      </c>
      <c r="AF960" s="22"/>
    </row>
    <row r="961" spans="1:32" x14ac:dyDescent="0.2">
      <c r="A961" s="1">
        <v>5383</v>
      </c>
      <c r="B961" s="1" t="s">
        <v>3187</v>
      </c>
      <c r="C961" s="5" t="s">
        <v>0</v>
      </c>
      <c r="D961" s="1" t="s">
        <v>3188</v>
      </c>
      <c r="F961" s="1" t="s">
        <v>3189</v>
      </c>
      <c r="G961" s="1" t="s">
        <v>3190</v>
      </c>
      <c r="H961" s="1" t="s">
        <v>461</v>
      </c>
      <c r="I961" s="1" t="s">
        <v>16</v>
      </c>
      <c r="J961" s="1">
        <v>1</v>
      </c>
      <c r="K961" s="1">
        <v>6</v>
      </c>
      <c r="L961" s="1" t="s">
        <v>17</v>
      </c>
      <c r="M961" s="1" t="s">
        <v>1735</v>
      </c>
      <c r="N961" s="1" t="s">
        <v>18</v>
      </c>
      <c r="O961" s="1">
        <v>2</v>
      </c>
      <c r="P961" s="1">
        <v>5</v>
      </c>
      <c r="R961" s="1" t="s">
        <v>19</v>
      </c>
      <c r="S961" s="1" t="s">
        <v>20</v>
      </c>
      <c r="T961" s="1" t="s">
        <v>21</v>
      </c>
      <c r="U961" s="1" t="s">
        <v>22</v>
      </c>
      <c r="V961" s="1" t="s">
        <v>24</v>
      </c>
      <c r="W961" s="1" t="s">
        <v>24</v>
      </c>
      <c r="X961" s="1">
        <v>2728</v>
      </c>
      <c r="Y961" s="1">
        <v>2735</v>
      </c>
      <c r="Z961" s="1" t="s">
        <v>24</v>
      </c>
      <c r="AA961" s="1" t="s">
        <v>24</v>
      </c>
      <c r="AB961" s="1" t="s">
        <v>24</v>
      </c>
      <c r="AC961" s="1" t="s">
        <v>24</v>
      </c>
      <c r="AD961" s="1" t="s">
        <v>24</v>
      </c>
      <c r="AE961" s="1" t="s">
        <v>24</v>
      </c>
      <c r="AF961" s="22"/>
    </row>
    <row r="962" spans="1:32" x14ac:dyDescent="0.2">
      <c r="A962" s="1">
        <v>5388</v>
      </c>
      <c r="B962" s="1" t="s">
        <v>3191</v>
      </c>
      <c r="C962" s="5" t="s">
        <v>0</v>
      </c>
      <c r="D962" s="1" t="s">
        <v>3192</v>
      </c>
      <c r="E962" s="1" t="s">
        <v>3193</v>
      </c>
      <c r="F962" s="1" t="s">
        <v>272</v>
      </c>
      <c r="G962" s="1" t="s">
        <v>61</v>
      </c>
      <c r="H962" s="1" t="s">
        <v>30</v>
      </c>
      <c r="I962" s="1" t="s">
        <v>16</v>
      </c>
      <c r="J962" s="1">
        <v>1</v>
      </c>
      <c r="K962" s="1">
        <v>12</v>
      </c>
      <c r="L962" s="1" t="s">
        <v>31</v>
      </c>
      <c r="M962" s="1" t="s">
        <v>18</v>
      </c>
      <c r="N962" s="1" t="s">
        <v>18</v>
      </c>
      <c r="O962" s="1">
        <v>3</v>
      </c>
      <c r="P962" s="1">
        <v>7</v>
      </c>
      <c r="Q962" s="7" t="s">
        <v>17633</v>
      </c>
      <c r="R962" s="1" t="s">
        <v>19</v>
      </c>
      <c r="S962" s="1" t="s">
        <v>20</v>
      </c>
      <c r="T962" s="1" t="s">
        <v>21</v>
      </c>
      <c r="U962" s="1" t="s">
        <v>22</v>
      </c>
      <c r="V962" s="1" t="s">
        <v>23</v>
      </c>
      <c r="W962" s="1" t="s">
        <v>24</v>
      </c>
      <c r="X962" s="1">
        <v>1310</v>
      </c>
      <c r="Y962" s="1">
        <v>2712</v>
      </c>
      <c r="Z962" s="1">
        <v>2916</v>
      </c>
      <c r="AA962" s="1" t="s">
        <v>24</v>
      </c>
      <c r="AB962" s="1" t="s">
        <v>24</v>
      </c>
      <c r="AC962" s="1" t="s">
        <v>24</v>
      </c>
      <c r="AD962" s="1" t="s">
        <v>24</v>
      </c>
      <c r="AE962" s="1" t="s">
        <v>24</v>
      </c>
      <c r="AF962" s="22"/>
    </row>
    <row r="963" spans="1:32" x14ac:dyDescent="0.2">
      <c r="A963" s="1">
        <v>5389</v>
      </c>
      <c r="B963" s="1" t="s">
        <v>3194</v>
      </c>
      <c r="C963" s="5" t="s">
        <v>0</v>
      </c>
      <c r="D963" s="1" t="s">
        <v>3195</v>
      </c>
      <c r="E963" s="1" t="s">
        <v>3196</v>
      </c>
      <c r="F963" s="1" t="s">
        <v>412</v>
      </c>
      <c r="G963" s="1" t="s">
        <v>372</v>
      </c>
      <c r="H963" s="1" t="s">
        <v>168</v>
      </c>
      <c r="I963" s="1" t="s">
        <v>16</v>
      </c>
      <c r="J963" s="1">
        <v>1</v>
      </c>
      <c r="K963" s="1">
        <v>6</v>
      </c>
      <c r="L963" s="1" t="s">
        <v>31</v>
      </c>
      <c r="M963" s="1" t="s">
        <v>413</v>
      </c>
      <c r="N963" s="1" t="s">
        <v>679</v>
      </c>
      <c r="O963" s="1">
        <v>3</v>
      </c>
      <c r="P963" s="1">
        <v>6</v>
      </c>
      <c r="R963" s="1" t="s">
        <v>19</v>
      </c>
      <c r="S963" s="1" t="s">
        <v>63</v>
      </c>
      <c r="T963" s="1" t="s">
        <v>21</v>
      </c>
      <c r="U963" s="1" t="s">
        <v>22</v>
      </c>
      <c r="V963" s="1" t="s">
        <v>23</v>
      </c>
      <c r="W963" s="1" t="s">
        <v>24</v>
      </c>
      <c r="X963" s="1">
        <v>2706</v>
      </c>
      <c r="Y963" s="1">
        <v>2711</v>
      </c>
      <c r="Z963" s="1" t="s">
        <v>24</v>
      </c>
      <c r="AA963" s="1" t="s">
        <v>24</v>
      </c>
      <c r="AB963" s="1" t="s">
        <v>24</v>
      </c>
      <c r="AC963" s="1" t="s">
        <v>24</v>
      </c>
      <c r="AD963" s="1" t="s">
        <v>24</v>
      </c>
      <c r="AE963" s="1" t="s">
        <v>24</v>
      </c>
      <c r="AF963" s="22"/>
    </row>
    <row r="964" spans="1:32" x14ac:dyDescent="0.2">
      <c r="A964" s="1">
        <v>5391</v>
      </c>
      <c r="B964" s="1" t="s">
        <v>3197</v>
      </c>
      <c r="C964" s="5" t="s">
        <v>0</v>
      </c>
      <c r="D964" s="1" t="s">
        <v>3198</v>
      </c>
      <c r="E964" s="1" t="s">
        <v>3199</v>
      </c>
      <c r="F964" s="1" t="s">
        <v>689</v>
      </c>
      <c r="G964" s="1" t="s">
        <v>311</v>
      </c>
      <c r="H964" s="1" t="s">
        <v>30</v>
      </c>
      <c r="I964" s="1" t="s">
        <v>16</v>
      </c>
      <c r="J964" s="1">
        <v>1</v>
      </c>
      <c r="K964" s="1">
        <v>8</v>
      </c>
      <c r="L964" s="1" t="s">
        <v>31</v>
      </c>
      <c r="M964" s="1" t="s">
        <v>18</v>
      </c>
      <c r="N964" s="1" t="s">
        <v>18</v>
      </c>
      <c r="O964" s="1">
        <v>3</v>
      </c>
      <c r="P964" s="1">
        <v>6</v>
      </c>
      <c r="R964" s="1" t="s">
        <v>19</v>
      </c>
      <c r="S964" s="1" t="s">
        <v>20</v>
      </c>
      <c r="T964" s="1" t="s">
        <v>21</v>
      </c>
      <c r="U964" s="1" t="s">
        <v>22</v>
      </c>
      <c r="V964" s="1" t="s">
        <v>23</v>
      </c>
      <c r="W964" s="1" t="s">
        <v>24</v>
      </c>
      <c r="X964" s="1">
        <v>2701</v>
      </c>
      <c r="Y964" s="1">
        <v>2916</v>
      </c>
      <c r="Z964" s="1">
        <v>2730</v>
      </c>
      <c r="AA964" s="1">
        <v>1306</v>
      </c>
      <c r="AB964" s="1" t="s">
        <v>24</v>
      </c>
      <c r="AC964" s="1" t="s">
        <v>24</v>
      </c>
      <c r="AD964" s="1" t="s">
        <v>24</v>
      </c>
      <c r="AE964" s="1" t="s">
        <v>24</v>
      </c>
      <c r="AF964" s="22"/>
    </row>
    <row r="965" spans="1:32" x14ac:dyDescent="0.2">
      <c r="A965" s="1">
        <v>5403</v>
      </c>
      <c r="B965" s="1" t="s">
        <v>3200</v>
      </c>
      <c r="C965" s="5" t="s">
        <v>0</v>
      </c>
      <c r="D965" s="1" t="s">
        <v>3201</v>
      </c>
      <c r="F965" s="1" t="s">
        <v>1758</v>
      </c>
      <c r="G965" s="1" t="s">
        <v>1758</v>
      </c>
      <c r="H965" s="1" t="s">
        <v>168</v>
      </c>
      <c r="I965" s="1" t="s">
        <v>16</v>
      </c>
      <c r="J965" s="1">
        <v>1</v>
      </c>
      <c r="K965" s="1">
        <v>6</v>
      </c>
      <c r="L965" s="1" t="s">
        <v>42</v>
      </c>
      <c r="M965" s="1" t="s">
        <v>413</v>
      </c>
      <c r="N965" s="1" t="s">
        <v>18</v>
      </c>
      <c r="O965" s="1">
        <v>2</v>
      </c>
      <c r="P965" s="1">
        <v>6</v>
      </c>
      <c r="R965" s="1" t="s">
        <v>62</v>
      </c>
      <c r="S965" s="1" t="s">
        <v>20</v>
      </c>
      <c r="T965" s="1" t="s">
        <v>21</v>
      </c>
      <c r="U965" s="1" t="s">
        <v>22</v>
      </c>
      <c r="V965" s="1" t="s">
        <v>23</v>
      </c>
      <c r="W965" s="1" t="s">
        <v>24</v>
      </c>
      <c r="X965" s="1">
        <v>2741</v>
      </c>
      <c r="Y965" s="1" t="s">
        <v>24</v>
      </c>
      <c r="Z965" s="1" t="s">
        <v>24</v>
      </c>
      <c r="AA965" s="1" t="s">
        <v>24</v>
      </c>
      <c r="AB965" s="1" t="s">
        <v>24</v>
      </c>
      <c r="AC965" s="1" t="s">
        <v>24</v>
      </c>
      <c r="AD965" s="1" t="s">
        <v>24</v>
      </c>
      <c r="AE965" s="1" t="s">
        <v>24</v>
      </c>
      <c r="AF965" s="22"/>
    </row>
    <row r="966" spans="1:32" x14ac:dyDescent="0.2">
      <c r="A966" s="1">
        <v>5405</v>
      </c>
      <c r="B966" s="1" t="s">
        <v>3202</v>
      </c>
      <c r="C966" s="5" t="s">
        <v>0</v>
      </c>
      <c r="D966" s="1" t="s">
        <v>3203</v>
      </c>
      <c r="E966" s="1" t="s">
        <v>3204</v>
      </c>
      <c r="F966" s="1" t="s">
        <v>109</v>
      </c>
      <c r="G966" s="1" t="s">
        <v>110</v>
      </c>
      <c r="H966" s="1" t="s">
        <v>111</v>
      </c>
      <c r="I966" s="1" t="s">
        <v>16</v>
      </c>
      <c r="J966" s="1">
        <v>2</v>
      </c>
      <c r="K966" s="1">
        <v>4</v>
      </c>
      <c r="L966" s="1" t="s">
        <v>31</v>
      </c>
      <c r="M966" s="1" t="s">
        <v>18</v>
      </c>
      <c r="N966" s="1" t="s">
        <v>18</v>
      </c>
      <c r="O966" s="1">
        <v>3</v>
      </c>
      <c r="P966" s="1">
        <v>8</v>
      </c>
      <c r="Q966" s="7" t="s">
        <v>17633</v>
      </c>
      <c r="R966" s="1" t="s">
        <v>19</v>
      </c>
      <c r="S966" s="1" t="s">
        <v>20</v>
      </c>
      <c r="T966" s="1" t="s">
        <v>21</v>
      </c>
      <c r="U966" s="1" t="s">
        <v>22</v>
      </c>
      <c r="V966" s="1" t="s">
        <v>24</v>
      </c>
      <c r="W966" s="1" t="s">
        <v>24</v>
      </c>
      <c r="X966" s="1">
        <v>1310</v>
      </c>
      <c r="Y966" s="1">
        <v>2712</v>
      </c>
      <c r="Z966" s="1">
        <v>2807</v>
      </c>
      <c r="AA966" s="1">
        <v>2804</v>
      </c>
      <c r="AB966" s="1" t="s">
        <v>24</v>
      </c>
      <c r="AC966" s="1" t="s">
        <v>24</v>
      </c>
      <c r="AD966" s="1" t="s">
        <v>24</v>
      </c>
      <c r="AE966" s="1" t="s">
        <v>24</v>
      </c>
      <c r="AF966" s="22"/>
    </row>
    <row r="967" spans="1:32" x14ac:dyDescent="0.2">
      <c r="A967" s="1">
        <v>5410</v>
      </c>
      <c r="B967" s="1" t="s">
        <v>3205</v>
      </c>
      <c r="C967" s="5" t="s">
        <v>0</v>
      </c>
      <c r="D967" s="1" t="s">
        <v>3206</v>
      </c>
      <c r="E967" s="1" t="s">
        <v>3207</v>
      </c>
      <c r="F967" s="1" t="s">
        <v>155</v>
      </c>
      <c r="G967" s="1" t="s">
        <v>61</v>
      </c>
      <c r="H967" s="1" t="s">
        <v>37</v>
      </c>
      <c r="I967" s="1" t="s">
        <v>16</v>
      </c>
      <c r="J967" s="1">
        <v>1</v>
      </c>
      <c r="K967" s="1">
        <v>14</v>
      </c>
      <c r="L967" s="1" t="s">
        <v>31</v>
      </c>
      <c r="M967" s="1" t="s">
        <v>18</v>
      </c>
      <c r="N967" s="1" t="s">
        <v>18</v>
      </c>
      <c r="O967" s="1">
        <v>3</v>
      </c>
      <c r="P967" s="1">
        <v>6</v>
      </c>
      <c r="R967" s="1" t="s">
        <v>62</v>
      </c>
      <c r="S967" s="1" t="s">
        <v>63</v>
      </c>
      <c r="T967" s="1" t="s">
        <v>21</v>
      </c>
      <c r="U967" s="1" t="s">
        <v>22</v>
      </c>
      <c r="V967" s="1" t="s">
        <v>24</v>
      </c>
      <c r="W967" s="1" t="s">
        <v>24</v>
      </c>
      <c r="X967" s="1">
        <v>2802</v>
      </c>
      <c r="Y967" s="1">
        <v>2805</v>
      </c>
      <c r="Z967" s="1">
        <v>3205</v>
      </c>
      <c r="AA967" s="1">
        <v>1201</v>
      </c>
      <c r="AB967" s="1" t="s">
        <v>24</v>
      </c>
      <c r="AC967" s="1" t="s">
        <v>24</v>
      </c>
      <c r="AD967" s="1" t="s">
        <v>24</v>
      </c>
      <c r="AE967" s="1" t="s">
        <v>24</v>
      </c>
      <c r="AF967" s="22"/>
    </row>
    <row r="968" spans="1:32" x14ac:dyDescent="0.2">
      <c r="A968" s="1">
        <v>5413</v>
      </c>
      <c r="B968" s="1" t="s">
        <v>3208</v>
      </c>
      <c r="C968" s="5" t="s">
        <v>0</v>
      </c>
      <c r="D968" s="1" t="s">
        <v>3209</v>
      </c>
      <c r="E968" s="1" t="s">
        <v>3210</v>
      </c>
      <c r="F968" s="1" t="s">
        <v>548</v>
      </c>
      <c r="G968" s="1" t="s">
        <v>36</v>
      </c>
      <c r="H968" s="1" t="s">
        <v>30</v>
      </c>
      <c r="I968" s="1" t="s">
        <v>16</v>
      </c>
      <c r="J968" s="1">
        <v>1</v>
      </c>
      <c r="K968" s="1">
        <v>12</v>
      </c>
      <c r="L968" s="1" t="s">
        <v>31</v>
      </c>
      <c r="M968" s="1" t="s">
        <v>18</v>
      </c>
      <c r="N968" s="1" t="s">
        <v>18</v>
      </c>
      <c r="O968" s="1">
        <v>3</v>
      </c>
      <c r="P968" s="1">
        <v>6</v>
      </c>
      <c r="R968" s="1" t="s">
        <v>19</v>
      </c>
      <c r="S968" s="1" t="s">
        <v>20</v>
      </c>
      <c r="T968" s="1" t="s">
        <v>21</v>
      </c>
      <c r="U968" s="1" t="s">
        <v>22</v>
      </c>
      <c r="V968" s="1" t="s">
        <v>23</v>
      </c>
      <c r="W968" s="1" t="s">
        <v>24</v>
      </c>
      <c r="X968" s="1">
        <v>2701</v>
      </c>
      <c r="Y968" s="1">
        <v>2916</v>
      </c>
      <c r="Z968" s="1" t="s">
        <v>24</v>
      </c>
      <c r="AA968" s="1" t="s">
        <v>24</v>
      </c>
      <c r="AB968" s="1" t="s">
        <v>24</v>
      </c>
      <c r="AC968" s="1" t="s">
        <v>24</v>
      </c>
      <c r="AD968" s="1" t="s">
        <v>24</v>
      </c>
      <c r="AE968" s="1" t="s">
        <v>24</v>
      </c>
      <c r="AF968" s="22"/>
    </row>
    <row r="969" spans="1:32" x14ac:dyDescent="0.2">
      <c r="A969" s="1">
        <v>5414</v>
      </c>
      <c r="B969" s="1" t="s">
        <v>3211</v>
      </c>
      <c r="C969" s="5" t="s">
        <v>0</v>
      </c>
      <c r="D969" s="1" t="s">
        <v>3212</v>
      </c>
      <c r="E969" s="1" t="s">
        <v>3213</v>
      </c>
      <c r="F969" s="1" t="s">
        <v>85</v>
      </c>
      <c r="G969" s="1" t="s">
        <v>61</v>
      </c>
      <c r="H969" s="1" t="s">
        <v>86</v>
      </c>
      <c r="I969" s="1" t="s">
        <v>16</v>
      </c>
      <c r="J969" s="1">
        <v>1</v>
      </c>
      <c r="K969" s="1">
        <v>6</v>
      </c>
      <c r="L969" s="1" t="s">
        <v>31</v>
      </c>
      <c r="M969" s="1" t="s">
        <v>87</v>
      </c>
      <c r="N969" s="1" t="s">
        <v>18</v>
      </c>
      <c r="O969" s="1">
        <v>2</v>
      </c>
      <c r="P969" s="1">
        <v>5</v>
      </c>
      <c r="R969" s="1" t="s">
        <v>19</v>
      </c>
      <c r="S969" s="1" t="s">
        <v>20</v>
      </c>
      <c r="T969" s="1" t="s">
        <v>21</v>
      </c>
      <c r="U969" s="1" t="s">
        <v>22</v>
      </c>
      <c r="V969" s="1" t="s">
        <v>24</v>
      </c>
      <c r="W969" s="1" t="s">
        <v>24</v>
      </c>
      <c r="X969" s="1">
        <v>2728</v>
      </c>
      <c r="Y969" s="1">
        <v>2746</v>
      </c>
      <c r="Z969" s="1" t="s">
        <v>24</v>
      </c>
      <c r="AA969" s="1" t="s">
        <v>24</v>
      </c>
      <c r="AB969" s="1" t="s">
        <v>24</v>
      </c>
      <c r="AC969" s="1" t="s">
        <v>24</v>
      </c>
      <c r="AD969" s="1" t="s">
        <v>24</v>
      </c>
      <c r="AE969" s="1" t="s">
        <v>24</v>
      </c>
      <c r="AF969" s="22"/>
    </row>
    <row r="970" spans="1:32" x14ac:dyDescent="0.2">
      <c r="A970" s="1">
        <v>5418</v>
      </c>
      <c r="B970" s="1" t="s">
        <v>3214</v>
      </c>
      <c r="C970" s="5" t="s">
        <v>0</v>
      </c>
      <c r="D970" s="1" t="s">
        <v>3215</v>
      </c>
      <c r="E970" s="1" t="s">
        <v>3216</v>
      </c>
      <c r="F970" s="1" t="s">
        <v>1897</v>
      </c>
      <c r="G970" s="1" t="s">
        <v>1898</v>
      </c>
      <c r="H970" s="1" t="s">
        <v>899</v>
      </c>
      <c r="I970" s="1" t="s">
        <v>16</v>
      </c>
      <c r="J970" s="1">
        <v>1</v>
      </c>
      <c r="K970" s="1">
        <v>6</v>
      </c>
      <c r="L970" s="1" t="s">
        <v>31</v>
      </c>
      <c r="M970" s="1" t="s">
        <v>18</v>
      </c>
      <c r="N970" s="1" t="s">
        <v>18</v>
      </c>
      <c r="O970" s="1">
        <v>3</v>
      </c>
      <c r="P970" s="1">
        <v>5</v>
      </c>
      <c r="R970" s="1" t="s">
        <v>19</v>
      </c>
      <c r="S970" s="1" t="s">
        <v>20</v>
      </c>
      <c r="T970" s="1" t="s">
        <v>21</v>
      </c>
      <c r="U970" s="1" t="s">
        <v>22</v>
      </c>
      <c r="V970" s="1" t="s">
        <v>24</v>
      </c>
      <c r="W970" s="1" t="s">
        <v>24</v>
      </c>
      <c r="X970" s="1">
        <v>2728</v>
      </c>
      <c r="Y970" s="1">
        <v>2808</v>
      </c>
      <c r="Z970" s="1" t="s">
        <v>24</v>
      </c>
      <c r="AA970" s="1" t="s">
        <v>24</v>
      </c>
      <c r="AB970" s="1" t="s">
        <v>24</v>
      </c>
      <c r="AC970" s="1" t="s">
        <v>24</v>
      </c>
      <c r="AD970" s="1" t="s">
        <v>24</v>
      </c>
      <c r="AE970" s="1" t="s">
        <v>24</v>
      </c>
      <c r="AF970" s="22"/>
    </row>
    <row r="971" spans="1:32" x14ac:dyDescent="0.2">
      <c r="A971" s="1">
        <v>5431</v>
      </c>
      <c r="B971" s="5" t="s">
        <v>3217</v>
      </c>
      <c r="C971" s="5" t="s">
        <v>0</v>
      </c>
      <c r="D971" s="1" t="s">
        <v>3218</v>
      </c>
      <c r="E971" s="1" t="s">
        <v>3219</v>
      </c>
      <c r="F971" s="1" t="s">
        <v>3220</v>
      </c>
      <c r="G971" s="1" t="s">
        <v>460</v>
      </c>
      <c r="H971" s="1" t="s">
        <v>461</v>
      </c>
      <c r="I971" s="1" t="s">
        <v>16</v>
      </c>
      <c r="J971" s="5">
        <v>2</v>
      </c>
      <c r="K971" s="1">
        <v>6</v>
      </c>
      <c r="L971" s="1" t="s">
        <v>42</v>
      </c>
      <c r="M971" s="1" t="s">
        <v>1735</v>
      </c>
      <c r="N971" s="1" t="s">
        <v>18</v>
      </c>
      <c r="O971" s="1">
        <v>2</v>
      </c>
      <c r="P971" s="1">
        <v>5</v>
      </c>
      <c r="R971" s="1" t="s">
        <v>19</v>
      </c>
      <c r="S971" s="1" t="s">
        <v>20</v>
      </c>
      <c r="T971" s="1" t="s">
        <v>21</v>
      </c>
      <c r="U971" s="1" t="s">
        <v>22</v>
      </c>
      <c r="V971" s="1" t="s">
        <v>24</v>
      </c>
      <c r="W971" s="1" t="s">
        <v>24</v>
      </c>
      <c r="X971" s="1">
        <v>3004</v>
      </c>
      <c r="Y971" s="1" t="s">
        <v>24</v>
      </c>
      <c r="Z971" s="1" t="s">
        <v>24</v>
      </c>
      <c r="AA971" s="1" t="s">
        <v>24</v>
      </c>
      <c r="AB971" s="1" t="s">
        <v>24</v>
      </c>
      <c r="AC971" s="1" t="s">
        <v>24</v>
      </c>
      <c r="AD971" s="1" t="s">
        <v>24</v>
      </c>
      <c r="AE971" s="1" t="s">
        <v>24</v>
      </c>
      <c r="AF971" s="22"/>
    </row>
    <row r="972" spans="1:32" x14ac:dyDescent="0.2">
      <c r="A972" s="1">
        <v>5432</v>
      </c>
      <c r="B972" s="1" t="s">
        <v>3221</v>
      </c>
      <c r="C972" s="5" t="s">
        <v>0</v>
      </c>
      <c r="D972" s="1" t="s">
        <v>3222</v>
      </c>
      <c r="E972" s="1" t="s">
        <v>3223</v>
      </c>
      <c r="F972" s="1" t="s">
        <v>856</v>
      </c>
      <c r="G972" s="1" t="s">
        <v>857</v>
      </c>
      <c r="H972" s="1" t="s">
        <v>37</v>
      </c>
      <c r="I972" s="1" t="s">
        <v>16</v>
      </c>
      <c r="J972" s="1">
        <v>1</v>
      </c>
      <c r="K972" s="1">
        <v>2</v>
      </c>
      <c r="L972" s="1" t="s">
        <v>42</v>
      </c>
      <c r="M972" s="1" t="s">
        <v>18</v>
      </c>
      <c r="N972" s="1" t="s">
        <v>18</v>
      </c>
      <c r="O972" s="1">
        <v>3</v>
      </c>
      <c r="P972" s="1">
        <v>5</v>
      </c>
      <c r="R972" s="1" t="s">
        <v>19</v>
      </c>
      <c r="S972" s="1" t="s">
        <v>20</v>
      </c>
      <c r="T972" s="1" t="s">
        <v>21</v>
      </c>
      <c r="U972" s="1" t="s">
        <v>22</v>
      </c>
      <c r="V972" s="1" t="s">
        <v>23</v>
      </c>
      <c r="W972" s="1" t="s">
        <v>24</v>
      </c>
      <c r="X972" s="1">
        <v>2738</v>
      </c>
      <c r="Y972" s="1">
        <v>3204</v>
      </c>
      <c r="Z972" s="1" t="s">
        <v>24</v>
      </c>
      <c r="AA972" s="1" t="s">
        <v>24</v>
      </c>
      <c r="AB972" s="1" t="s">
        <v>24</v>
      </c>
      <c r="AC972" s="1" t="s">
        <v>24</v>
      </c>
      <c r="AD972" s="1" t="s">
        <v>24</v>
      </c>
      <c r="AE972" s="1" t="s">
        <v>24</v>
      </c>
      <c r="AF972" s="22"/>
    </row>
    <row r="973" spans="1:32" x14ac:dyDescent="0.2">
      <c r="A973" s="1">
        <v>5446</v>
      </c>
      <c r="B973" s="1" t="s">
        <v>3224</v>
      </c>
      <c r="C973" s="5" t="s">
        <v>0</v>
      </c>
      <c r="D973" s="1" t="s">
        <v>3225</v>
      </c>
      <c r="E973" s="1" t="s">
        <v>3226</v>
      </c>
      <c r="F973" s="1" t="s">
        <v>3227</v>
      </c>
      <c r="G973" s="1" t="s">
        <v>3227</v>
      </c>
      <c r="H973" s="1" t="s">
        <v>3228</v>
      </c>
      <c r="I973" s="1" t="s">
        <v>16</v>
      </c>
      <c r="J973" s="1">
        <v>1</v>
      </c>
      <c r="K973" s="1">
        <v>20</v>
      </c>
      <c r="L973" s="1" t="s">
        <v>42</v>
      </c>
      <c r="M973" s="1" t="s">
        <v>18</v>
      </c>
      <c r="N973" s="1" t="s">
        <v>18</v>
      </c>
      <c r="O973" s="1">
        <v>3</v>
      </c>
      <c r="P973" s="1">
        <v>6</v>
      </c>
      <c r="R973" s="1" t="s">
        <v>19</v>
      </c>
      <c r="S973" s="1" t="s">
        <v>63</v>
      </c>
      <c r="T973" s="1" t="s">
        <v>21</v>
      </c>
      <c r="U973" s="1" t="s">
        <v>22</v>
      </c>
      <c r="V973" s="1" t="s">
        <v>24</v>
      </c>
      <c r="W973" s="1" t="s">
        <v>24</v>
      </c>
      <c r="X973" s="1">
        <v>2700</v>
      </c>
      <c r="Y973" s="1" t="s">
        <v>24</v>
      </c>
      <c r="Z973" s="1" t="s">
        <v>24</v>
      </c>
      <c r="AA973" s="1" t="s">
        <v>24</v>
      </c>
      <c r="AB973" s="1" t="s">
        <v>24</v>
      </c>
      <c r="AC973" s="1" t="s">
        <v>24</v>
      </c>
      <c r="AD973" s="1" t="s">
        <v>24</v>
      </c>
      <c r="AE973" s="1" t="s">
        <v>24</v>
      </c>
      <c r="AF973" s="22"/>
    </row>
    <row r="974" spans="1:32" x14ac:dyDescent="0.2">
      <c r="A974" s="1">
        <v>5453</v>
      </c>
      <c r="B974" s="1" t="s">
        <v>3229</v>
      </c>
      <c r="C974" s="5" t="s">
        <v>0</v>
      </c>
      <c r="D974" s="1" t="s">
        <v>3230</v>
      </c>
      <c r="F974" s="1" t="s">
        <v>3231</v>
      </c>
      <c r="G974" s="1" t="s">
        <v>3232</v>
      </c>
      <c r="H974" s="1" t="s">
        <v>1660</v>
      </c>
      <c r="I974" s="1" t="s">
        <v>16</v>
      </c>
      <c r="J974" s="1">
        <v>1</v>
      </c>
      <c r="K974" s="1">
        <v>4</v>
      </c>
      <c r="L974" s="1" t="s">
        <v>31</v>
      </c>
      <c r="M974" s="1" t="s">
        <v>1661</v>
      </c>
      <c r="N974" s="1" t="s">
        <v>3233</v>
      </c>
      <c r="O974" s="1">
        <v>2</v>
      </c>
      <c r="P974" s="1">
        <v>5</v>
      </c>
      <c r="R974" s="1" t="s">
        <v>19</v>
      </c>
      <c r="S974" s="1" t="s">
        <v>20</v>
      </c>
      <c r="T974" s="1" t="s">
        <v>21</v>
      </c>
      <c r="U974" s="1" t="s">
        <v>22</v>
      </c>
      <c r="V974" s="1" t="s">
        <v>24</v>
      </c>
      <c r="W974" s="1" t="s">
        <v>24</v>
      </c>
      <c r="X974" s="1">
        <v>2729</v>
      </c>
      <c r="Y974" s="1" t="s">
        <v>24</v>
      </c>
      <c r="Z974" s="1" t="s">
        <v>24</v>
      </c>
      <c r="AA974" s="1" t="s">
        <v>24</v>
      </c>
      <c r="AB974" s="1" t="s">
        <v>24</v>
      </c>
      <c r="AC974" s="1" t="s">
        <v>24</v>
      </c>
      <c r="AD974" s="1" t="s">
        <v>24</v>
      </c>
      <c r="AE974" s="1" t="s">
        <v>24</v>
      </c>
      <c r="AF974" s="22"/>
    </row>
    <row r="975" spans="1:32" x14ac:dyDescent="0.2">
      <c r="A975" s="1">
        <v>5454</v>
      </c>
      <c r="B975" s="1" t="s">
        <v>3234</v>
      </c>
      <c r="C975" s="5" t="s">
        <v>0</v>
      </c>
      <c r="D975" s="1" t="s">
        <v>3235</v>
      </c>
      <c r="E975" s="1" t="s">
        <v>3236</v>
      </c>
      <c r="F975" s="1" t="s">
        <v>28</v>
      </c>
      <c r="G975" s="1" t="s">
        <v>29</v>
      </c>
      <c r="H975" s="1" t="s">
        <v>37</v>
      </c>
      <c r="I975" s="1" t="s">
        <v>16</v>
      </c>
      <c r="J975" s="1">
        <v>2</v>
      </c>
      <c r="K975" s="1">
        <v>6</v>
      </c>
      <c r="L975" s="1" t="s">
        <v>31</v>
      </c>
      <c r="M975" s="1" t="s">
        <v>18</v>
      </c>
      <c r="N975" s="1" t="s">
        <v>18</v>
      </c>
      <c r="O975" s="1">
        <v>3</v>
      </c>
      <c r="P975" s="1">
        <v>8</v>
      </c>
      <c r="Q975" s="7" t="s">
        <v>17633</v>
      </c>
      <c r="R975" s="1" t="s">
        <v>62</v>
      </c>
      <c r="S975" s="1" t="s">
        <v>20</v>
      </c>
      <c r="T975" s="1" t="s">
        <v>21</v>
      </c>
      <c r="U975" s="1" t="s">
        <v>22</v>
      </c>
      <c r="V975" s="1" t="s">
        <v>23</v>
      </c>
      <c r="W975" s="1" t="s">
        <v>24</v>
      </c>
      <c r="X975" s="1">
        <v>2729</v>
      </c>
      <c r="Y975" s="1" t="s">
        <v>24</v>
      </c>
      <c r="Z975" s="1" t="s">
        <v>24</v>
      </c>
      <c r="AA975" s="1" t="s">
        <v>24</v>
      </c>
      <c r="AB975" s="1" t="s">
        <v>24</v>
      </c>
      <c r="AC975" s="1" t="s">
        <v>24</v>
      </c>
      <c r="AD975" s="1" t="s">
        <v>24</v>
      </c>
      <c r="AE975" s="1" t="s">
        <v>24</v>
      </c>
      <c r="AF975" s="22"/>
    </row>
    <row r="976" spans="1:32" x14ac:dyDescent="0.2">
      <c r="A976" s="1">
        <v>5466</v>
      </c>
      <c r="B976" s="1" t="s">
        <v>3237</v>
      </c>
      <c r="C976" s="5" t="s">
        <v>0</v>
      </c>
      <c r="D976" s="1" t="s">
        <v>3238</v>
      </c>
      <c r="E976" s="1" t="s">
        <v>3239</v>
      </c>
      <c r="F976" s="1" t="s">
        <v>303</v>
      </c>
      <c r="G976" s="1" t="s">
        <v>61</v>
      </c>
      <c r="H976" s="1" t="s">
        <v>30</v>
      </c>
      <c r="I976" s="1" t="s">
        <v>16</v>
      </c>
      <c r="J976" s="1">
        <v>1</v>
      </c>
      <c r="K976" s="1">
        <v>4</v>
      </c>
      <c r="L976" s="1" t="s">
        <v>31</v>
      </c>
      <c r="M976" s="1" t="s">
        <v>18</v>
      </c>
      <c r="N976" s="1" t="s">
        <v>18</v>
      </c>
      <c r="O976" s="1">
        <v>3</v>
      </c>
      <c r="P976" s="1">
        <v>8</v>
      </c>
      <c r="Q976" s="7" t="s">
        <v>17633</v>
      </c>
      <c r="R976" s="1" t="s">
        <v>19</v>
      </c>
      <c r="S976" s="1" t="s">
        <v>20</v>
      </c>
      <c r="T976" s="1" t="s">
        <v>21</v>
      </c>
      <c r="U976" s="1" t="s">
        <v>22</v>
      </c>
      <c r="V976" s="1" t="s">
        <v>23</v>
      </c>
      <c r="W976" s="1" t="s">
        <v>24</v>
      </c>
      <c r="X976" s="1">
        <v>2732</v>
      </c>
      <c r="Y976" s="1" t="s">
        <v>24</v>
      </c>
      <c r="Z976" s="1" t="s">
        <v>24</v>
      </c>
      <c r="AA976" s="1" t="s">
        <v>24</v>
      </c>
      <c r="AB976" s="1" t="s">
        <v>24</v>
      </c>
      <c r="AC976" s="1" t="s">
        <v>24</v>
      </c>
      <c r="AD976" s="1" t="s">
        <v>24</v>
      </c>
      <c r="AE976" s="1" t="s">
        <v>24</v>
      </c>
      <c r="AF976" s="22"/>
    </row>
    <row r="977" spans="1:32" x14ac:dyDescent="0.2">
      <c r="A977" s="1">
        <v>5470</v>
      </c>
      <c r="B977" s="1" t="s">
        <v>3240</v>
      </c>
      <c r="C977" s="5" t="s">
        <v>0</v>
      </c>
      <c r="D977" s="1" t="s">
        <v>3241</v>
      </c>
      <c r="E977" s="1" t="s">
        <v>3242</v>
      </c>
      <c r="F977" s="1" t="s">
        <v>303</v>
      </c>
      <c r="G977" s="1" t="s">
        <v>61</v>
      </c>
      <c r="H977" s="1" t="s">
        <v>30</v>
      </c>
      <c r="I977" s="1" t="s">
        <v>16</v>
      </c>
      <c r="J977" s="1">
        <v>1</v>
      </c>
      <c r="K977" s="1">
        <v>6</v>
      </c>
      <c r="L977" s="1" t="s">
        <v>31</v>
      </c>
      <c r="M977" s="1" t="s">
        <v>18</v>
      </c>
      <c r="N977" s="1" t="s">
        <v>18</v>
      </c>
      <c r="O977" s="1">
        <v>3</v>
      </c>
      <c r="P977" s="1">
        <v>6</v>
      </c>
      <c r="R977" s="1" t="s">
        <v>19</v>
      </c>
      <c r="S977" s="1" t="s">
        <v>20</v>
      </c>
      <c r="T977" s="1" t="s">
        <v>21</v>
      </c>
      <c r="U977" s="1" t="s">
        <v>22</v>
      </c>
      <c r="V977" s="1" t="s">
        <v>23</v>
      </c>
      <c r="W977" s="1" t="s">
        <v>24</v>
      </c>
      <c r="X977" s="1">
        <v>2733</v>
      </c>
      <c r="Y977" s="1" t="s">
        <v>24</v>
      </c>
      <c r="Z977" s="1" t="s">
        <v>24</v>
      </c>
      <c r="AA977" s="1" t="s">
        <v>24</v>
      </c>
      <c r="AB977" s="1" t="s">
        <v>24</v>
      </c>
      <c r="AC977" s="1" t="s">
        <v>24</v>
      </c>
      <c r="AD977" s="1" t="s">
        <v>24</v>
      </c>
      <c r="AE977" s="1" t="s">
        <v>24</v>
      </c>
      <c r="AF977" s="22"/>
    </row>
    <row r="978" spans="1:32" x14ac:dyDescent="0.2">
      <c r="A978" s="1">
        <v>5492</v>
      </c>
      <c r="B978" s="1" t="s">
        <v>3243</v>
      </c>
      <c r="C978" s="5" t="s">
        <v>0</v>
      </c>
      <c r="D978" s="1" t="s">
        <v>3244</v>
      </c>
      <c r="E978" s="1" t="s">
        <v>3245</v>
      </c>
      <c r="F978" s="1" t="s">
        <v>28</v>
      </c>
      <c r="G978" s="1" t="s">
        <v>29</v>
      </c>
      <c r="H978" s="1" t="s">
        <v>30</v>
      </c>
      <c r="I978" s="1" t="s">
        <v>16</v>
      </c>
      <c r="J978" s="1">
        <v>1</v>
      </c>
      <c r="K978" s="1">
        <v>12</v>
      </c>
      <c r="L978" s="1" t="s">
        <v>31</v>
      </c>
      <c r="M978" s="1" t="s">
        <v>18</v>
      </c>
      <c r="N978" s="1" t="s">
        <v>18</v>
      </c>
      <c r="O978" s="1">
        <v>2</v>
      </c>
      <c r="P978" s="1">
        <v>6</v>
      </c>
      <c r="R978" s="1" t="s">
        <v>62</v>
      </c>
      <c r="S978" s="1" t="s">
        <v>20</v>
      </c>
      <c r="T978" s="1" t="s">
        <v>21</v>
      </c>
      <c r="U978" s="1" t="s">
        <v>22</v>
      </c>
      <c r="V978" s="1" t="s">
        <v>24</v>
      </c>
      <c r="W978" s="1" t="s">
        <v>24</v>
      </c>
      <c r="X978" s="1">
        <v>2729</v>
      </c>
      <c r="Y978" s="1" t="s">
        <v>24</v>
      </c>
      <c r="Z978" s="1" t="s">
        <v>24</v>
      </c>
      <c r="AA978" s="1" t="s">
        <v>24</v>
      </c>
      <c r="AB978" s="1" t="s">
        <v>24</v>
      </c>
      <c r="AC978" s="1" t="s">
        <v>24</v>
      </c>
      <c r="AD978" s="1" t="s">
        <v>24</v>
      </c>
      <c r="AE978" s="1" t="s">
        <v>24</v>
      </c>
      <c r="AF978" s="22"/>
    </row>
    <row r="979" spans="1:32" x14ac:dyDescent="0.2">
      <c r="A979" s="1">
        <v>5512</v>
      </c>
      <c r="B979" s="1" t="s">
        <v>3246</v>
      </c>
      <c r="C979" s="5" t="s">
        <v>0</v>
      </c>
      <c r="D979" s="1" t="s">
        <v>3247</v>
      </c>
      <c r="E979" s="1" t="s">
        <v>3248</v>
      </c>
      <c r="F979" s="1" t="s">
        <v>109</v>
      </c>
      <c r="G979" s="1" t="s">
        <v>110</v>
      </c>
      <c r="H979" s="1" t="s">
        <v>111</v>
      </c>
      <c r="I979" s="1" t="s">
        <v>16</v>
      </c>
      <c r="J979" s="1">
        <v>2</v>
      </c>
      <c r="K979" s="1">
        <v>4</v>
      </c>
      <c r="L979" s="1" t="s">
        <v>31</v>
      </c>
      <c r="M979" s="1" t="s">
        <v>18</v>
      </c>
      <c r="N979" s="1" t="s">
        <v>18</v>
      </c>
      <c r="O979" s="1">
        <v>3</v>
      </c>
      <c r="P979" s="1">
        <v>7</v>
      </c>
      <c r="Q979" s="7" t="s">
        <v>17633</v>
      </c>
      <c r="R979" s="1" t="s">
        <v>19</v>
      </c>
      <c r="S979" s="1" t="s">
        <v>20</v>
      </c>
      <c r="T979" s="1" t="s">
        <v>21</v>
      </c>
      <c r="U979" s="1" t="s">
        <v>22</v>
      </c>
      <c r="V979" s="1" t="s">
        <v>24</v>
      </c>
      <c r="W979" s="1" t="s">
        <v>24</v>
      </c>
      <c r="X979" s="1">
        <v>1306</v>
      </c>
      <c r="Y979" s="1">
        <v>2730</v>
      </c>
      <c r="Z979" s="1" t="s">
        <v>24</v>
      </c>
      <c r="AA979" s="1" t="s">
        <v>24</v>
      </c>
      <c r="AB979" s="1" t="s">
        <v>24</v>
      </c>
      <c r="AC979" s="1" t="s">
        <v>24</v>
      </c>
      <c r="AD979" s="1" t="s">
        <v>24</v>
      </c>
      <c r="AE979" s="1" t="s">
        <v>24</v>
      </c>
      <c r="AF979" s="22"/>
    </row>
    <row r="980" spans="1:32" x14ac:dyDescent="0.2">
      <c r="A980" s="1">
        <v>5516</v>
      </c>
      <c r="B980" s="1" t="s">
        <v>3249</v>
      </c>
      <c r="C980" s="5" t="s">
        <v>0</v>
      </c>
      <c r="D980" s="1" t="s">
        <v>3250</v>
      </c>
      <c r="E980" s="1" t="s">
        <v>3251</v>
      </c>
      <c r="F980" s="1" t="s">
        <v>109</v>
      </c>
      <c r="G980" s="1" t="s">
        <v>110</v>
      </c>
      <c r="H980" s="1" t="s">
        <v>111</v>
      </c>
      <c r="I980" s="1" t="s">
        <v>16</v>
      </c>
      <c r="J980" s="1">
        <v>1</v>
      </c>
      <c r="K980" s="1">
        <v>6</v>
      </c>
      <c r="L980" s="1" t="s">
        <v>31</v>
      </c>
      <c r="M980" s="1" t="s">
        <v>679</v>
      </c>
      <c r="N980" s="1" t="s">
        <v>18</v>
      </c>
      <c r="O980" s="1">
        <v>3</v>
      </c>
      <c r="P980" s="1">
        <v>6</v>
      </c>
      <c r="R980" s="1" t="s">
        <v>19</v>
      </c>
      <c r="S980" s="1" t="s">
        <v>20</v>
      </c>
      <c r="T980" s="1" t="s">
        <v>21</v>
      </c>
      <c r="U980" s="1" t="s">
        <v>22</v>
      </c>
      <c r="V980" s="1" t="s">
        <v>24</v>
      </c>
      <c r="W980" s="1" t="s">
        <v>24</v>
      </c>
      <c r="X980" s="1">
        <v>2730</v>
      </c>
      <c r="Y980" s="1">
        <v>1306</v>
      </c>
      <c r="Z980" s="1">
        <v>2720</v>
      </c>
      <c r="AA980" s="1" t="s">
        <v>24</v>
      </c>
      <c r="AB980" s="1" t="s">
        <v>24</v>
      </c>
      <c r="AC980" s="1" t="s">
        <v>24</v>
      </c>
      <c r="AD980" s="1" t="s">
        <v>24</v>
      </c>
      <c r="AE980" s="1" t="s">
        <v>24</v>
      </c>
      <c r="AF980" s="22" t="s">
        <v>50545</v>
      </c>
    </row>
    <row r="981" spans="1:32" x14ac:dyDescent="0.2">
      <c r="A981" s="1">
        <v>5525</v>
      </c>
      <c r="B981" s="1" t="s">
        <v>3252</v>
      </c>
      <c r="C981" s="5" t="s">
        <v>0</v>
      </c>
      <c r="D981" s="1" t="s">
        <v>3253</v>
      </c>
      <c r="E981" s="1" t="s">
        <v>3254</v>
      </c>
      <c r="F981" s="1" t="s">
        <v>109</v>
      </c>
      <c r="G981" s="1" t="s">
        <v>110</v>
      </c>
      <c r="H981" s="1" t="s">
        <v>111</v>
      </c>
      <c r="I981" s="1" t="s">
        <v>16</v>
      </c>
      <c r="J981" s="1">
        <v>1</v>
      </c>
      <c r="K981" s="1">
        <v>6</v>
      </c>
      <c r="L981" s="1" t="s">
        <v>31</v>
      </c>
      <c r="M981" s="1" t="s">
        <v>18</v>
      </c>
      <c r="N981" s="1" t="s">
        <v>18</v>
      </c>
      <c r="O981" s="1">
        <v>2</v>
      </c>
      <c r="P981" s="1">
        <v>6</v>
      </c>
      <c r="R981" s="1" t="s">
        <v>19</v>
      </c>
      <c r="S981" s="1" t="s">
        <v>20</v>
      </c>
      <c r="T981" s="1" t="s">
        <v>21</v>
      </c>
      <c r="U981" s="1" t="s">
        <v>22</v>
      </c>
      <c r="V981" s="1" t="s">
        <v>24</v>
      </c>
      <c r="W981" s="1" t="s">
        <v>24</v>
      </c>
      <c r="X981" s="1">
        <v>2731</v>
      </c>
      <c r="Y981" s="1">
        <v>2809</v>
      </c>
      <c r="Z981" s="1" t="s">
        <v>24</v>
      </c>
      <c r="AA981" s="1" t="s">
        <v>24</v>
      </c>
      <c r="AB981" s="1" t="s">
        <v>24</v>
      </c>
      <c r="AC981" s="1" t="s">
        <v>24</v>
      </c>
      <c r="AD981" s="1" t="s">
        <v>24</v>
      </c>
      <c r="AE981" s="1" t="s">
        <v>24</v>
      </c>
      <c r="AF981" s="22"/>
    </row>
    <row r="982" spans="1:32" x14ac:dyDescent="0.2">
      <c r="A982" s="1">
        <v>5526</v>
      </c>
      <c r="B982" s="1" t="s">
        <v>3255</v>
      </c>
      <c r="C982" s="5" t="s">
        <v>0</v>
      </c>
      <c r="D982" s="1" t="s">
        <v>3256</v>
      </c>
      <c r="E982" s="1" t="s">
        <v>3257</v>
      </c>
      <c r="F982" s="1" t="s">
        <v>272</v>
      </c>
      <c r="G982" s="1" t="s">
        <v>61</v>
      </c>
      <c r="H982" s="1" t="s">
        <v>30</v>
      </c>
      <c r="I982" s="1" t="s">
        <v>16</v>
      </c>
      <c r="J982" s="1">
        <v>1</v>
      </c>
      <c r="K982" s="1">
        <v>12</v>
      </c>
      <c r="L982" s="1" t="s">
        <v>31</v>
      </c>
      <c r="M982" s="1" t="s">
        <v>18</v>
      </c>
      <c r="N982" s="1" t="s">
        <v>18</v>
      </c>
      <c r="O982" s="1">
        <v>3</v>
      </c>
      <c r="P982" s="1">
        <v>7</v>
      </c>
      <c r="Q982" s="7" t="s">
        <v>17633</v>
      </c>
      <c r="R982" s="1" t="s">
        <v>62</v>
      </c>
      <c r="S982" s="1" t="s">
        <v>20</v>
      </c>
      <c r="T982" s="1" t="s">
        <v>21</v>
      </c>
      <c r="U982" s="1" t="s">
        <v>22</v>
      </c>
      <c r="V982" s="1" t="s">
        <v>24</v>
      </c>
      <c r="W982" s="1" t="s">
        <v>24</v>
      </c>
      <c r="X982" s="1">
        <v>2731</v>
      </c>
      <c r="Y982" s="1" t="s">
        <v>24</v>
      </c>
      <c r="Z982" s="1" t="s">
        <v>24</v>
      </c>
      <c r="AA982" s="1" t="s">
        <v>24</v>
      </c>
      <c r="AB982" s="1" t="s">
        <v>24</v>
      </c>
      <c r="AC982" s="1" t="s">
        <v>24</v>
      </c>
      <c r="AD982" s="1" t="s">
        <v>24</v>
      </c>
      <c r="AE982" s="1" t="s">
        <v>24</v>
      </c>
      <c r="AF982" s="22"/>
    </row>
    <row r="983" spans="1:32" x14ac:dyDescent="0.2">
      <c r="A983" s="1">
        <v>5535</v>
      </c>
      <c r="B983" s="1" t="s">
        <v>3258</v>
      </c>
      <c r="C983" s="5" t="s">
        <v>0</v>
      </c>
      <c r="D983" s="1" t="s">
        <v>3259</v>
      </c>
      <c r="E983" s="1" t="s">
        <v>3260</v>
      </c>
      <c r="F983" s="1" t="s">
        <v>109</v>
      </c>
      <c r="G983" s="1" t="s">
        <v>110</v>
      </c>
      <c r="H983" s="1" t="s">
        <v>111</v>
      </c>
      <c r="I983" s="1" t="s">
        <v>16</v>
      </c>
      <c r="J983" s="1">
        <v>1</v>
      </c>
      <c r="K983" s="1">
        <v>6</v>
      </c>
      <c r="L983" s="1" t="s">
        <v>31</v>
      </c>
      <c r="M983" s="1" t="s">
        <v>18</v>
      </c>
      <c r="N983" s="1" t="s">
        <v>18</v>
      </c>
      <c r="O983" s="1">
        <v>3</v>
      </c>
      <c r="P983" s="1">
        <v>7</v>
      </c>
      <c r="Q983" s="7" t="s">
        <v>17633</v>
      </c>
      <c r="R983" s="1" t="s">
        <v>19</v>
      </c>
      <c r="S983" s="1" t="s">
        <v>20</v>
      </c>
      <c r="T983" s="1" t="s">
        <v>21</v>
      </c>
      <c r="U983" s="1" t="s">
        <v>22</v>
      </c>
      <c r="V983" s="1" t="s">
        <v>24</v>
      </c>
      <c r="W983" s="1" t="s">
        <v>24</v>
      </c>
      <c r="X983" s="1">
        <v>2731</v>
      </c>
      <c r="Y983" s="1">
        <v>2809</v>
      </c>
      <c r="Z983" s="1">
        <v>2804</v>
      </c>
      <c r="AA983" s="1" t="s">
        <v>24</v>
      </c>
      <c r="AB983" s="1" t="s">
        <v>24</v>
      </c>
      <c r="AC983" s="1" t="s">
        <v>24</v>
      </c>
      <c r="AD983" s="1" t="s">
        <v>24</v>
      </c>
      <c r="AE983" s="1" t="s">
        <v>24</v>
      </c>
      <c r="AF983" s="22"/>
    </row>
    <row r="984" spans="1:32" x14ac:dyDescent="0.2">
      <c r="A984" s="1">
        <v>5536</v>
      </c>
      <c r="B984" s="1" t="s">
        <v>3261</v>
      </c>
      <c r="C984" s="5" t="s">
        <v>0</v>
      </c>
      <c r="D984" s="1" t="s">
        <v>3262</v>
      </c>
      <c r="E984" s="1" t="s">
        <v>3263</v>
      </c>
      <c r="F984" s="1" t="s">
        <v>28</v>
      </c>
      <c r="G984" s="1" t="s">
        <v>29</v>
      </c>
      <c r="H984" s="1" t="s">
        <v>30</v>
      </c>
      <c r="I984" s="1" t="s">
        <v>16</v>
      </c>
      <c r="J984" s="1">
        <v>1</v>
      </c>
      <c r="K984" s="1">
        <v>6</v>
      </c>
      <c r="L984" s="1" t="s">
        <v>31</v>
      </c>
      <c r="M984" s="1" t="s">
        <v>18</v>
      </c>
      <c r="N984" s="1" t="s">
        <v>18</v>
      </c>
      <c r="O984" s="1">
        <v>3</v>
      </c>
      <c r="P984" s="1">
        <v>7</v>
      </c>
      <c r="Q984" s="7" t="s">
        <v>17633</v>
      </c>
      <c r="R984" s="1" t="s">
        <v>19</v>
      </c>
      <c r="S984" s="1" t="s">
        <v>20</v>
      </c>
      <c r="T984" s="1" t="s">
        <v>21</v>
      </c>
      <c r="U984" s="1" t="s">
        <v>22</v>
      </c>
      <c r="V984" s="1" t="s">
        <v>24</v>
      </c>
      <c r="W984" s="1" t="s">
        <v>24</v>
      </c>
      <c r="X984" s="1">
        <v>2731</v>
      </c>
      <c r="Y984" s="1">
        <v>2746</v>
      </c>
      <c r="Z984" s="1" t="s">
        <v>24</v>
      </c>
      <c r="AA984" s="1" t="s">
        <v>24</v>
      </c>
      <c r="AB984" s="1" t="s">
        <v>24</v>
      </c>
      <c r="AC984" s="1" t="s">
        <v>24</v>
      </c>
      <c r="AD984" s="1" t="s">
        <v>24</v>
      </c>
      <c r="AE984" s="1" t="s">
        <v>24</v>
      </c>
      <c r="AF984" s="22"/>
    </row>
    <row r="985" spans="1:32" x14ac:dyDescent="0.2">
      <c r="A985" s="1">
        <v>5541</v>
      </c>
      <c r="B985" s="1" t="s">
        <v>3264</v>
      </c>
      <c r="C985" s="5" t="s">
        <v>0</v>
      </c>
      <c r="D985" s="1" t="s">
        <v>3265</v>
      </c>
      <c r="E985" s="1" t="s">
        <v>3266</v>
      </c>
      <c r="F985" s="1" t="s">
        <v>291</v>
      </c>
      <c r="G985" s="1" t="s">
        <v>292</v>
      </c>
      <c r="H985" s="1" t="s">
        <v>37</v>
      </c>
      <c r="I985" s="1" t="s">
        <v>16</v>
      </c>
      <c r="J985" s="1">
        <v>1</v>
      </c>
      <c r="K985" s="1">
        <v>4</v>
      </c>
      <c r="L985" s="1" t="s">
        <v>31</v>
      </c>
      <c r="M985" s="1" t="s">
        <v>18</v>
      </c>
      <c r="N985" s="1" t="s">
        <v>18</v>
      </c>
      <c r="O985" s="1">
        <v>3</v>
      </c>
      <c r="P985" s="1">
        <v>6</v>
      </c>
      <c r="R985" s="1" t="s">
        <v>19</v>
      </c>
      <c r="S985" s="1" t="s">
        <v>20</v>
      </c>
      <c r="T985" s="1" t="s">
        <v>21</v>
      </c>
      <c r="U985" s="1" t="s">
        <v>22</v>
      </c>
      <c r="V985" s="1" t="s">
        <v>24</v>
      </c>
      <c r="W985" s="1" t="s">
        <v>24</v>
      </c>
      <c r="X985" s="1">
        <v>2731</v>
      </c>
      <c r="Y985" s="1" t="s">
        <v>24</v>
      </c>
      <c r="Z985" s="1" t="s">
        <v>24</v>
      </c>
      <c r="AA985" s="1" t="s">
        <v>24</v>
      </c>
      <c r="AB985" s="1" t="s">
        <v>24</v>
      </c>
      <c r="AC985" s="1" t="s">
        <v>24</v>
      </c>
      <c r="AD985" s="1" t="s">
        <v>24</v>
      </c>
      <c r="AE985" s="1" t="s">
        <v>24</v>
      </c>
      <c r="AF985" s="22"/>
    </row>
    <row r="986" spans="1:32" x14ac:dyDescent="0.2">
      <c r="A986" s="1">
        <v>5543</v>
      </c>
      <c r="B986" s="1" t="s">
        <v>3267</v>
      </c>
      <c r="C986" s="5" t="s">
        <v>0</v>
      </c>
      <c r="D986" s="1" t="s">
        <v>3268</v>
      </c>
      <c r="E986" s="1" t="s">
        <v>3269</v>
      </c>
      <c r="F986" s="1" t="s">
        <v>79</v>
      </c>
      <c r="G986" s="1" t="s">
        <v>80</v>
      </c>
      <c r="H986" s="1" t="s">
        <v>81</v>
      </c>
      <c r="I986" s="1" t="s">
        <v>16</v>
      </c>
      <c r="J986" s="1">
        <v>1</v>
      </c>
      <c r="K986" s="1">
        <v>52</v>
      </c>
      <c r="L986" s="1" t="s">
        <v>31</v>
      </c>
      <c r="M986" s="1" t="s">
        <v>1872</v>
      </c>
      <c r="N986" s="1" t="s">
        <v>582</v>
      </c>
      <c r="O986" s="1">
        <v>3</v>
      </c>
      <c r="P986" s="1">
        <v>5</v>
      </c>
      <c r="R986" s="1" t="s">
        <v>19</v>
      </c>
      <c r="S986" s="1" t="s">
        <v>20</v>
      </c>
      <c r="T986" s="1" t="s">
        <v>21</v>
      </c>
      <c r="U986" s="1" t="s">
        <v>22</v>
      </c>
      <c r="V986" s="1" t="s">
        <v>24</v>
      </c>
      <c r="W986" s="1" t="s">
        <v>24</v>
      </c>
      <c r="X986" s="1">
        <v>2700</v>
      </c>
      <c r="Y986" s="1" t="s">
        <v>24</v>
      </c>
      <c r="Z986" s="1" t="s">
        <v>24</v>
      </c>
      <c r="AA986" s="1" t="s">
        <v>24</v>
      </c>
      <c r="AB986" s="1" t="s">
        <v>24</v>
      </c>
      <c r="AC986" s="1" t="s">
        <v>24</v>
      </c>
      <c r="AD986" s="1" t="s">
        <v>24</v>
      </c>
      <c r="AE986" s="1" t="s">
        <v>24</v>
      </c>
      <c r="AF986" s="22"/>
    </row>
    <row r="987" spans="1:32" x14ac:dyDescent="0.2">
      <c r="A987" s="1">
        <v>5545</v>
      </c>
      <c r="B987" s="1" t="s">
        <v>3270</v>
      </c>
      <c r="C987" s="5" t="s">
        <v>0</v>
      </c>
      <c r="D987" s="1" t="s">
        <v>3271</v>
      </c>
      <c r="E987" s="1" t="s">
        <v>3272</v>
      </c>
      <c r="F987" s="1" t="s">
        <v>109</v>
      </c>
      <c r="G987" s="1" t="s">
        <v>110</v>
      </c>
      <c r="H987" s="1" t="s">
        <v>111</v>
      </c>
      <c r="I987" s="1" t="s">
        <v>16</v>
      </c>
      <c r="J987" s="1">
        <v>1</v>
      </c>
      <c r="K987" s="1">
        <v>6</v>
      </c>
      <c r="L987" s="1" t="s">
        <v>31</v>
      </c>
      <c r="M987" s="1" t="s">
        <v>18</v>
      </c>
      <c r="N987" s="1" t="s">
        <v>18</v>
      </c>
      <c r="O987" s="1">
        <v>3</v>
      </c>
      <c r="P987" s="1">
        <v>7</v>
      </c>
      <c r="Q987" s="7" t="s">
        <v>17633</v>
      </c>
      <c r="R987" s="1" t="s">
        <v>19</v>
      </c>
      <c r="S987" s="1" t="s">
        <v>20</v>
      </c>
      <c r="T987" s="1" t="s">
        <v>21</v>
      </c>
      <c r="U987" s="1" t="s">
        <v>22</v>
      </c>
      <c r="V987" s="1" t="s">
        <v>24</v>
      </c>
      <c r="W987" s="1" t="s">
        <v>24</v>
      </c>
      <c r="X987" s="1">
        <v>2733</v>
      </c>
      <c r="Y987" s="1" t="s">
        <v>24</v>
      </c>
      <c r="Z987" s="1" t="s">
        <v>24</v>
      </c>
      <c r="AA987" s="1" t="s">
        <v>24</v>
      </c>
      <c r="AB987" s="1" t="s">
        <v>24</v>
      </c>
      <c r="AC987" s="1" t="s">
        <v>24</v>
      </c>
      <c r="AD987" s="1" t="s">
        <v>24</v>
      </c>
      <c r="AE987" s="1" t="s">
        <v>24</v>
      </c>
      <c r="AF987" s="22"/>
    </row>
    <row r="988" spans="1:32" x14ac:dyDescent="0.2">
      <c r="A988" s="1">
        <v>5549</v>
      </c>
      <c r="B988" s="1" t="s">
        <v>3273</v>
      </c>
      <c r="C988" s="5" t="s">
        <v>0</v>
      </c>
      <c r="D988" s="1" t="s">
        <v>3274</v>
      </c>
      <c r="E988" s="1" t="s">
        <v>3275</v>
      </c>
      <c r="F988" s="1" t="s">
        <v>1808</v>
      </c>
      <c r="G988" s="1" t="s">
        <v>130</v>
      </c>
      <c r="H988" s="1" t="s">
        <v>461</v>
      </c>
      <c r="I988" s="1" t="s">
        <v>16</v>
      </c>
      <c r="J988" s="1">
        <v>1</v>
      </c>
      <c r="K988" s="1">
        <v>2</v>
      </c>
      <c r="L988" s="1" t="s">
        <v>31</v>
      </c>
      <c r="M988" s="1" t="s">
        <v>18</v>
      </c>
      <c r="N988" s="1" t="s">
        <v>18</v>
      </c>
      <c r="O988" s="1">
        <v>2</v>
      </c>
      <c r="P988" s="1">
        <v>6</v>
      </c>
      <c r="R988" s="1" t="s">
        <v>19</v>
      </c>
      <c r="S988" s="1" t="s">
        <v>20</v>
      </c>
      <c r="T988" s="1" t="s">
        <v>21</v>
      </c>
      <c r="U988" s="1" t="s">
        <v>22</v>
      </c>
      <c r="V988" s="1" t="s">
        <v>23</v>
      </c>
      <c r="W988" s="1" t="s">
        <v>24</v>
      </c>
      <c r="X988" s="1">
        <v>2741</v>
      </c>
      <c r="Y988" s="1">
        <v>3501</v>
      </c>
      <c r="Z988" s="1" t="s">
        <v>24</v>
      </c>
      <c r="AA988" s="1" t="s">
        <v>24</v>
      </c>
      <c r="AB988" s="1" t="s">
        <v>24</v>
      </c>
      <c r="AC988" s="1" t="s">
        <v>24</v>
      </c>
      <c r="AD988" s="1" t="s">
        <v>24</v>
      </c>
      <c r="AE988" s="1" t="s">
        <v>24</v>
      </c>
      <c r="AF988" s="22"/>
    </row>
    <row r="989" spans="1:32" x14ac:dyDescent="0.2">
      <c r="A989" s="1">
        <v>5553</v>
      </c>
      <c r="B989" s="1" t="s">
        <v>3276</v>
      </c>
      <c r="C989" s="5" t="s">
        <v>0</v>
      </c>
      <c r="D989" s="1" t="s">
        <v>3277</v>
      </c>
      <c r="F989" s="1" t="s">
        <v>2688</v>
      </c>
      <c r="G989" s="1" t="s">
        <v>2688</v>
      </c>
      <c r="H989" s="1" t="s">
        <v>30</v>
      </c>
      <c r="I989" s="1" t="s">
        <v>16</v>
      </c>
      <c r="J989" s="1">
        <v>1</v>
      </c>
      <c r="K989" s="1">
        <v>12</v>
      </c>
      <c r="L989" s="1" t="s">
        <v>42</v>
      </c>
      <c r="M989" s="1" t="s">
        <v>18</v>
      </c>
      <c r="N989" s="1" t="s">
        <v>18</v>
      </c>
      <c r="O989" s="1">
        <v>3</v>
      </c>
      <c r="P989" s="1">
        <v>6</v>
      </c>
      <c r="R989" s="1" t="s">
        <v>19</v>
      </c>
      <c r="S989" s="1" t="s">
        <v>20</v>
      </c>
      <c r="T989" s="1" t="s">
        <v>21</v>
      </c>
      <c r="U989" s="1" t="s">
        <v>22</v>
      </c>
      <c r="V989" s="1" t="s">
        <v>23</v>
      </c>
      <c r="W989" s="1" t="s">
        <v>24</v>
      </c>
      <c r="X989" s="1">
        <v>2732</v>
      </c>
      <c r="Y989" s="1" t="s">
        <v>24</v>
      </c>
      <c r="Z989" s="1" t="s">
        <v>24</v>
      </c>
      <c r="AA989" s="1" t="s">
        <v>24</v>
      </c>
      <c r="AB989" s="1" t="s">
        <v>24</v>
      </c>
      <c r="AC989" s="1" t="s">
        <v>24</v>
      </c>
      <c r="AD989" s="1" t="s">
        <v>24</v>
      </c>
      <c r="AE989" s="1" t="s">
        <v>24</v>
      </c>
      <c r="AF989" s="22" t="s">
        <v>17679</v>
      </c>
    </row>
    <row r="990" spans="1:32" x14ac:dyDescent="0.2">
      <c r="A990" s="1">
        <v>5558</v>
      </c>
      <c r="B990" s="1" t="s">
        <v>3278</v>
      </c>
      <c r="C990" s="5" t="s">
        <v>0</v>
      </c>
      <c r="D990" s="1" t="s">
        <v>3279</v>
      </c>
      <c r="F990" s="1" t="s">
        <v>3280</v>
      </c>
      <c r="G990" s="1" t="s">
        <v>3281</v>
      </c>
      <c r="H990" s="1" t="s">
        <v>461</v>
      </c>
      <c r="I990" s="1" t="s">
        <v>16</v>
      </c>
      <c r="J990" s="1">
        <v>1</v>
      </c>
      <c r="K990" s="1">
        <v>4</v>
      </c>
      <c r="L990" s="1" t="s">
        <v>17</v>
      </c>
      <c r="M990" s="1" t="s">
        <v>1735</v>
      </c>
      <c r="N990" s="1" t="s">
        <v>18</v>
      </c>
      <c r="O990" s="1">
        <v>2</v>
      </c>
      <c r="P990" s="1">
        <v>5</v>
      </c>
      <c r="R990" s="1" t="s">
        <v>19</v>
      </c>
      <c r="S990" s="1" t="s">
        <v>20</v>
      </c>
      <c r="T990" s="1" t="s">
        <v>21</v>
      </c>
      <c r="U990" s="1" t="s">
        <v>22</v>
      </c>
      <c r="V990" s="1" t="s">
        <v>24</v>
      </c>
      <c r="W990" s="1" t="s">
        <v>24</v>
      </c>
      <c r="X990" s="1">
        <v>2700</v>
      </c>
      <c r="Y990" s="1" t="s">
        <v>24</v>
      </c>
      <c r="Z990" s="1" t="s">
        <v>24</v>
      </c>
      <c r="AA990" s="1" t="s">
        <v>24</v>
      </c>
      <c r="AB990" s="1" t="s">
        <v>24</v>
      </c>
      <c r="AC990" s="1" t="s">
        <v>24</v>
      </c>
      <c r="AD990" s="1" t="s">
        <v>24</v>
      </c>
      <c r="AE990" s="1" t="s">
        <v>24</v>
      </c>
      <c r="AF990" s="22"/>
    </row>
    <row r="991" spans="1:32" x14ac:dyDescent="0.2">
      <c r="A991" s="1">
        <v>5574</v>
      </c>
      <c r="B991" s="1" t="s">
        <v>3282</v>
      </c>
      <c r="C991" s="5" t="s">
        <v>0</v>
      </c>
      <c r="D991" s="1" t="s">
        <v>3283</v>
      </c>
      <c r="E991" s="1" t="s">
        <v>3284</v>
      </c>
      <c r="F991" s="1" t="s">
        <v>291</v>
      </c>
      <c r="G991" s="1" t="s">
        <v>292</v>
      </c>
      <c r="H991" s="1" t="s">
        <v>30</v>
      </c>
      <c r="I991" s="1" t="s">
        <v>16</v>
      </c>
      <c r="J991" s="1">
        <v>1</v>
      </c>
      <c r="K991" s="1">
        <v>4</v>
      </c>
      <c r="L991" s="1" t="s">
        <v>31</v>
      </c>
      <c r="M991" s="1" t="s">
        <v>18</v>
      </c>
      <c r="N991" s="1" t="s">
        <v>18</v>
      </c>
      <c r="O991" s="1">
        <v>3</v>
      </c>
      <c r="P991" s="1">
        <v>6</v>
      </c>
      <c r="R991" s="1" t="s">
        <v>19</v>
      </c>
      <c r="S991" s="1" t="s">
        <v>20</v>
      </c>
      <c r="T991" s="1" t="s">
        <v>21</v>
      </c>
      <c r="U991" s="1" t="s">
        <v>22</v>
      </c>
      <c r="V991" s="1" t="s">
        <v>23</v>
      </c>
      <c r="W991" s="1" t="s">
        <v>24</v>
      </c>
      <c r="X991" s="1">
        <v>3609</v>
      </c>
      <c r="Y991" s="1" t="s">
        <v>24</v>
      </c>
      <c r="Z991" s="1" t="s">
        <v>24</v>
      </c>
      <c r="AA991" s="1" t="s">
        <v>24</v>
      </c>
      <c r="AB991" s="1" t="s">
        <v>24</v>
      </c>
      <c r="AC991" s="1" t="s">
        <v>24</v>
      </c>
      <c r="AD991" s="1" t="s">
        <v>24</v>
      </c>
      <c r="AE991" s="1" t="s">
        <v>24</v>
      </c>
      <c r="AF991" s="22"/>
    </row>
    <row r="992" spans="1:32" x14ac:dyDescent="0.2">
      <c r="A992" s="1">
        <v>5578</v>
      </c>
      <c r="B992" s="1" t="s">
        <v>3285</v>
      </c>
      <c r="C992" s="5" t="s">
        <v>0</v>
      </c>
      <c r="D992" s="1" t="s">
        <v>3286</v>
      </c>
      <c r="E992" s="1" t="s">
        <v>3287</v>
      </c>
      <c r="F992" s="1" t="s">
        <v>493</v>
      </c>
      <c r="G992" s="1" t="s">
        <v>98</v>
      </c>
      <c r="H992" s="1" t="s">
        <v>30</v>
      </c>
      <c r="I992" s="1" t="s">
        <v>16</v>
      </c>
      <c r="J992" s="1">
        <v>2</v>
      </c>
      <c r="K992" s="1">
        <v>6</v>
      </c>
      <c r="L992" s="1" t="s">
        <v>31</v>
      </c>
      <c r="M992" s="1" t="s">
        <v>18</v>
      </c>
      <c r="N992" s="1" t="s">
        <v>18</v>
      </c>
      <c r="O992" s="1">
        <v>3</v>
      </c>
      <c r="P992" s="1">
        <v>6</v>
      </c>
      <c r="R992" s="1" t="s">
        <v>19</v>
      </c>
      <c r="S992" s="1" t="s">
        <v>20</v>
      </c>
      <c r="T992" s="1" t="s">
        <v>21</v>
      </c>
      <c r="U992" s="1" t="s">
        <v>22</v>
      </c>
      <c r="V992" s="1" t="s">
        <v>23</v>
      </c>
      <c r="W992" s="1" t="s">
        <v>24</v>
      </c>
      <c r="X992" s="1">
        <v>2733</v>
      </c>
      <c r="Y992" s="1">
        <v>2746</v>
      </c>
      <c r="Z992" s="1" t="s">
        <v>24</v>
      </c>
      <c r="AA992" s="1" t="s">
        <v>24</v>
      </c>
      <c r="AB992" s="1" t="s">
        <v>24</v>
      </c>
      <c r="AC992" s="1" t="s">
        <v>24</v>
      </c>
      <c r="AD992" s="1" t="s">
        <v>24</v>
      </c>
      <c r="AE992" s="1" t="s">
        <v>24</v>
      </c>
      <c r="AF992" s="22"/>
    </row>
    <row r="993" spans="1:32" x14ac:dyDescent="0.2">
      <c r="A993" s="1">
        <v>5580</v>
      </c>
      <c r="B993" s="1" t="s">
        <v>3288</v>
      </c>
      <c r="C993" s="5" t="s">
        <v>0</v>
      </c>
      <c r="D993" s="1" t="s">
        <v>3289</v>
      </c>
      <c r="F993" s="1" t="s">
        <v>248</v>
      </c>
      <c r="G993" s="1" t="s">
        <v>61</v>
      </c>
      <c r="H993" s="1" t="s">
        <v>249</v>
      </c>
      <c r="I993" s="1" t="s">
        <v>16</v>
      </c>
      <c r="J993" s="1">
        <v>1</v>
      </c>
      <c r="K993" s="1">
        <v>6</v>
      </c>
      <c r="L993" s="1" t="s">
        <v>31</v>
      </c>
      <c r="M993" s="1" t="s">
        <v>250</v>
      </c>
      <c r="N993" s="1" t="s">
        <v>3290</v>
      </c>
      <c r="O993" s="1">
        <v>3</v>
      </c>
      <c r="P993" s="1">
        <v>6</v>
      </c>
      <c r="R993" s="1" t="s">
        <v>19</v>
      </c>
      <c r="S993" s="1" t="s">
        <v>20</v>
      </c>
      <c r="T993" s="1" t="s">
        <v>21</v>
      </c>
      <c r="U993" s="1" t="s">
        <v>22</v>
      </c>
      <c r="V993" s="1" t="s">
        <v>24</v>
      </c>
      <c r="W993" s="1" t="s">
        <v>24</v>
      </c>
      <c r="X993" s="1">
        <v>2733</v>
      </c>
      <c r="Y993" s="1" t="s">
        <v>24</v>
      </c>
      <c r="Z993" s="1" t="s">
        <v>24</v>
      </c>
      <c r="AA993" s="1" t="s">
        <v>24</v>
      </c>
      <c r="AB993" s="1" t="s">
        <v>24</v>
      </c>
      <c r="AC993" s="1" t="s">
        <v>24</v>
      </c>
      <c r="AD993" s="1" t="s">
        <v>24</v>
      </c>
      <c r="AE993" s="1" t="s">
        <v>24</v>
      </c>
      <c r="AF993" s="22"/>
    </row>
    <row r="994" spans="1:32" x14ac:dyDescent="0.2">
      <c r="A994" s="1">
        <v>5584</v>
      </c>
      <c r="B994" s="1" t="s">
        <v>3291</v>
      </c>
      <c r="C994" s="5" t="s">
        <v>0</v>
      </c>
      <c r="D994" s="1" t="s">
        <v>3292</v>
      </c>
      <c r="E994" s="1" t="s">
        <v>3293</v>
      </c>
      <c r="F994" s="1" t="s">
        <v>1708</v>
      </c>
      <c r="G994" s="1" t="s">
        <v>1708</v>
      </c>
      <c r="H994" s="1" t="s">
        <v>684</v>
      </c>
      <c r="I994" s="1" t="s">
        <v>16</v>
      </c>
      <c r="J994" s="1">
        <v>1</v>
      </c>
      <c r="K994" s="1">
        <v>3</v>
      </c>
      <c r="L994" s="1" t="s">
        <v>17</v>
      </c>
      <c r="M994" s="1" t="s">
        <v>18</v>
      </c>
      <c r="N994" s="1" t="s">
        <v>18</v>
      </c>
      <c r="O994" s="1">
        <v>2</v>
      </c>
      <c r="P994" s="1">
        <v>6</v>
      </c>
      <c r="R994" s="1" t="s">
        <v>19</v>
      </c>
      <c r="S994" s="1" t="s">
        <v>20</v>
      </c>
      <c r="T994" s="1" t="s">
        <v>21</v>
      </c>
      <c r="U994" s="1" t="s">
        <v>22</v>
      </c>
      <c r="V994" s="1" t="s">
        <v>24</v>
      </c>
      <c r="W994" s="1" t="s">
        <v>24</v>
      </c>
      <c r="X994" s="1">
        <v>2705</v>
      </c>
      <c r="Y994" s="1" t="s">
        <v>24</v>
      </c>
      <c r="Z994" s="1" t="s">
        <v>24</v>
      </c>
      <c r="AA994" s="1" t="s">
        <v>24</v>
      </c>
      <c r="AB994" s="1" t="s">
        <v>24</v>
      </c>
      <c r="AC994" s="1" t="s">
        <v>24</v>
      </c>
      <c r="AD994" s="1" t="s">
        <v>24</v>
      </c>
      <c r="AE994" s="1" t="s">
        <v>24</v>
      </c>
      <c r="AF994" s="22"/>
    </row>
    <row r="995" spans="1:32" x14ac:dyDescent="0.2">
      <c r="A995" s="1">
        <v>5586</v>
      </c>
      <c r="B995" s="1" t="s">
        <v>3294</v>
      </c>
      <c r="C995" s="5" t="s">
        <v>0</v>
      </c>
      <c r="D995" s="1" t="s">
        <v>3295</v>
      </c>
      <c r="F995" s="1" t="s">
        <v>3296</v>
      </c>
      <c r="G995" s="1" t="s">
        <v>3296</v>
      </c>
      <c r="H995" s="1" t="s">
        <v>461</v>
      </c>
      <c r="I995" s="1" t="s">
        <v>16</v>
      </c>
      <c r="J995" s="1">
        <v>1</v>
      </c>
      <c r="K995" s="1">
        <v>6</v>
      </c>
      <c r="L995" s="1" t="s">
        <v>17</v>
      </c>
      <c r="M995" s="1" t="s">
        <v>635</v>
      </c>
      <c r="N995" s="1" t="s">
        <v>18</v>
      </c>
      <c r="O995" s="1">
        <v>3</v>
      </c>
      <c r="P995" s="1">
        <v>5</v>
      </c>
      <c r="R995" s="1" t="s">
        <v>19</v>
      </c>
      <c r="S995" s="1" t="s">
        <v>20</v>
      </c>
      <c r="T995" s="1" t="s">
        <v>21</v>
      </c>
      <c r="U995" s="1" t="s">
        <v>22</v>
      </c>
      <c r="V995" s="1" t="s">
        <v>24</v>
      </c>
      <c r="W995" s="1" t="s">
        <v>24</v>
      </c>
      <c r="X995" s="1">
        <v>3000</v>
      </c>
      <c r="Y995" s="1" t="s">
        <v>24</v>
      </c>
      <c r="Z995" s="1" t="s">
        <v>24</v>
      </c>
      <c r="AA995" s="1" t="s">
        <v>24</v>
      </c>
      <c r="AB995" s="1" t="s">
        <v>24</v>
      </c>
      <c r="AC995" s="1" t="s">
        <v>24</v>
      </c>
      <c r="AD995" s="1" t="s">
        <v>24</v>
      </c>
      <c r="AE995" s="1" t="s">
        <v>24</v>
      </c>
      <c r="AF995" s="22"/>
    </row>
    <row r="996" spans="1:32" x14ac:dyDescent="0.2">
      <c r="A996" s="1">
        <v>5593</v>
      </c>
      <c r="B996" s="1" t="s">
        <v>3297</v>
      </c>
      <c r="C996" s="5" t="s">
        <v>0</v>
      </c>
      <c r="D996" s="1" t="s">
        <v>3298</v>
      </c>
      <c r="F996" s="1" t="s">
        <v>1747</v>
      </c>
      <c r="G996" s="1" t="s">
        <v>1747</v>
      </c>
      <c r="H996" s="1" t="s">
        <v>168</v>
      </c>
      <c r="I996" s="1" t="s">
        <v>16</v>
      </c>
      <c r="J996" s="1">
        <v>1</v>
      </c>
      <c r="K996" s="1">
        <v>6</v>
      </c>
      <c r="L996" s="1" t="s">
        <v>17</v>
      </c>
      <c r="M996" s="1" t="s">
        <v>413</v>
      </c>
      <c r="N996" s="1" t="s">
        <v>679</v>
      </c>
      <c r="O996" s="1">
        <v>3</v>
      </c>
      <c r="P996" s="1">
        <v>5</v>
      </c>
      <c r="R996" s="1" t="s">
        <v>19</v>
      </c>
      <c r="S996" s="1" t="s">
        <v>20</v>
      </c>
      <c r="T996" s="1" t="s">
        <v>21</v>
      </c>
      <c r="U996" s="1" t="s">
        <v>22</v>
      </c>
      <c r="V996" s="1" t="s">
        <v>24</v>
      </c>
      <c r="W996" s="1" t="s">
        <v>24</v>
      </c>
      <c r="X996" s="1">
        <v>2735</v>
      </c>
      <c r="Y996" s="1" t="s">
        <v>24</v>
      </c>
      <c r="Z996" s="1" t="s">
        <v>24</v>
      </c>
      <c r="AA996" s="1" t="s">
        <v>24</v>
      </c>
      <c r="AB996" s="1" t="s">
        <v>24</v>
      </c>
      <c r="AC996" s="1" t="s">
        <v>24</v>
      </c>
      <c r="AD996" s="1" t="s">
        <v>24</v>
      </c>
      <c r="AE996" s="1" t="s">
        <v>24</v>
      </c>
      <c r="AF996" s="22"/>
    </row>
    <row r="997" spans="1:32" x14ac:dyDescent="0.2">
      <c r="A997" s="1">
        <v>5603</v>
      </c>
      <c r="B997" s="1" t="s">
        <v>3299</v>
      </c>
      <c r="C997" s="5" t="s">
        <v>0</v>
      </c>
      <c r="D997" s="1" t="s">
        <v>3300</v>
      </c>
      <c r="E997" s="1" t="s">
        <v>3301</v>
      </c>
      <c r="F997" s="1" t="s">
        <v>35</v>
      </c>
      <c r="G997" s="1" t="s">
        <v>36</v>
      </c>
      <c r="H997" s="1" t="s">
        <v>37</v>
      </c>
      <c r="I997" s="1" t="s">
        <v>16</v>
      </c>
      <c r="J997" s="1">
        <v>1</v>
      </c>
      <c r="K997" s="1">
        <v>12</v>
      </c>
      <c r="L997" s="1" t="s">
        <v>31</v>
      </c>
      <c r="M997" s="1" t="s">
        <v>18</v>
      </c>
      <c r="N997" s="1" t="s">
        <v>18</v>
      </c>
      <c r="O997" s="1">
        <v>3</v>
      </c>
      <c r="P997" s="1">
        <v>7</v>
      </c>
      <c r="Q997" s="7" t="s">
        <v>17633</v>
      </c>
      <c r="R997" s="1" t="s">
        <v>19</v>
      </c>
      <c r="S997" s="1" t="s">
        <v>20</v>
      </c>
      <c r="T997" s="1" t="s">
        <v>21</v>
      </c>
      <c r="U997" s="1" t="s">
        <v>22</v>
      </c>
      <c r="V997" s="1" t="s">
        <v>24</v>
      </c>
      <c r="W997" s="1" t="s">
        <v>24</v>
      </c>
      <c r="X997" s="1">
        <v>2405</v>
      </c>
      <c r="Y997" s="1">
        <v>2403</v>
      </c>
      <c r="Z997" s="1" t="s">
        <v>24</v>
      </c>
      <c r="AA997" s="1" t="s">
        <v>24</v>
      </c>
      <c r="AB997" s="1" t="s">
        <v>24</v>
      </c>
      <c r="AC997" s="1" t="s">
        <v>24</v>
      </c>
      <c r="AD997" s="1" t="s">
        <v>24</v>
      </c>
      <c r="AE997" s="1" t="s">
        <v>24</v>
      </c>
      <c r="AF997" s="22"/>
    </row>
    <row r="998" spans="1:32" x14ac:dyDescent="0.2">
      <c r="A998" s="1">
        <v>5604</v>
      </c>
      <c r="B998" s="1" t="s">
        <v>3302</v>
      </c>
      <c r="C998" s="5" t="s">
        <v>0</v>
      </c>
      <c r="D998" s="1" t="s">
        <v>3303</v>
      </c>
      <c r="E998" s="1" t="s">
        <v>3304</v>
      </c>
      <c r="F998" s="1" t="s">
        <v>91</v>
      </c>
      <c r="G998" s="1" t="s">
        <v>61</v>
      </c>
      <c r="H998" s="1" t="s">
        <v>92</v>
      </c>
      <c r="I998" s="1" t="s">
        <v>16</v>
      </c>
      <c r="J998" s="1">
        <v>7</v>
      </c>
      <c r="K998" s="1">
        <v>3</v>
      </c>
      <c r="L998" s="1" t="s">
        <v>31</v>
      </c>
      <c r="M998" s="1" t="s">
        <v>18</v>
      </c>
      <c r="N998" s="1" t="s">
        <v>18</v>
      </c>
      <c r="O998" s="1">
        <v>3</v>
      </c>
      <c r="P998" s="1">
        <v>7</v>
      </c>
      <c r="Q998" s="7" t="s">
        <v>17633</v>
      </c>
      <c r="R998" s="1" t="s">
        <v>62</v>
      </c>
      <c r="S998" s="1" t="s">
        <v>20</v>
      </c>
      <c r="T998" s="1" t="s">
        <v>21</v>
      </c>
      <c r="U998" s="1" t="s">
        <v>22</v>
      </c>
      <c r="V998" s="1" t="s">
        <v>23</v>
      </c>
      <c r="W998" s="1" t="s">
        <v>24</v>
      </c>
      <c r="X998" s="1">
        <v>2728</v>
      </c>
      <c r="Y998" s="1">
        <v>2703</v>
      </c>
      <c r="Z998" s="1">
        <v>2808</v>
      </c>
      <c r="AA998" s="1">
        <v>3004</v>
      </c>
      <c r="AB998" s="1" t="s">
        <v>24</v>
      </c>
      <c r="AC998" s="1" t="s">
        <v>24</v>
      </c>
      <c r="AD998" s="1" t="s">
        <v>24</v>
      </c>
      <c r="AE998" s="1" t="s">
        <v>24</v>
      </c>
      <c r="AF998" s="22"/>
    </row>
    <row r="999" spans="1:32" x14ac:dyDescent="0.2">
      <c r="A999" s="1">
        <v>5607</v>
      </c>
      <c r="B999" s="1" t="s">
        <v>3305</v>
      </c>
      <c r="C999" s="5" t="s">
        <v>0</v>
      </c>
      <c r="D999" s="1" t="s">
        <v>3306</v>
      </c>
      <c r="E999" s="1" t="s">
        <v>3307</v>
      </c>
      <c r="F999" s="1" t="s">
        <v>3308</v>
      </c>
      <c r="G999" s="1" t="s">
        <v>3308</v>
      </c>
      <c r="H999" s="1" t="s">
        <v>249</v>
      </c>
      <c r="I999" s="1" t="s">
        <v>16</v>
      </c>
      <c r="J999" s="1">
        <v>2</v>
      </c>
      <c r="K999" s="1">
        <v>6</v>
      </c>
      <c r="L999" s="1" t="s">
        <v>42</v>
      </c>
      <c r="M999" s="1" t="s">
        <v>250</v>
      </c>
      <c r="N999" s="1" t="s">
        <v>3290</v>
      </c>
      <c r="O999" s="1">
        <v>1</v>
      </c>
      <c r="P999" s="1">
        <v>5</v>
      </c>
      <c r="R999" s="1" t="s">
        <v>19</v>
      </c>
      <c r="S999" s="1" t="s">
        <v>20</v>
      </c>
      <c r="T999" s="1" t="s">
        <v>21</v>
      </c>
      <c r="U999" s="1" t="s">
        <v>22</v>
      </c>
      <c r="V999" s="1" t="s">
        <v>24</v>
      </c>
      <c r="W999" s="1" t="s">
        <v>24</v>
      </c>
      <c r="X999" s="1">
        <v>2724</v>
      </c>
      <c r="Y999" s="1" t="s">
        <v>24</v>
      </c>
      <c r="Z999" s="1" t="s">
        <v>24</v>
      </c>
      <c r="AA999" s="1" t="s">
        <v>24</v>
      </c>
      <c r="AB999" s="1" t="s">
        <v>24</v>
      </c>
      <c r="AC999" s="1" t="s">
        <v>24</v>
      </c>
      <c r="AD999" s="1" t="s">
        <v>24</v>
      </c>
      <c r="AE999" s="1" t="s">
        <v>24</v>
      </c>
      <c r="AF999" s="22"/>
    </row>
    <row r="1000" spans="1:32" x14ac:dyDescent="0.2">
      <c r="A1000" s="1">
        <v>5613</v>
      </c>
      <c r="B1000" s="1" t="s">
        <v>3309</v>
      </c>
      <c r="C1000" s="5" t="s">
        <v>0</v>
      </c>
      <c r="D1000" s="1" t="s">
        <v>3310</v>
      </c>
      <c r="E1000" s="1" t="s">
        <v>3311</v>
      </c>
      <c r="F1000" s="1" t="s">
        <v>724</v>
      </c>
      <c r="G1000" s="1" t="s">
        <v>725</v>
      </c>
      <c r="H1000" s="1" t="s">
        <v>37</v>
      </c>
      <c r="I1000" s="1" t="s">
        <v>16</v>
      </c>
      <c r="J1000" s="1">
        <v>2</v>
      </c>
      <c r="K1000" s="1">
        <v>6</v>
      </c>
      <c r="L1000" s="1" t="s">
        <v>31</v>
      </c>
      <c r="M1000" s="1" t="s">
        <v>18</v>
      </c>
      <c r="N1000" s="1" t="s">
        <v>18</v>
      </c>
      <c r="O1000" s="1">
        <v>3</v>
      </c>
      <c r="P1000" s="1">
        <v>7</v>
      </c>
      <c r="Q1000" s="7" t="s">
        <v>17633</v>
      </c>
      <c r="R1000" s="1" t="s">
        <v>19</v>
      </c>
      <c r="S1000" s="1" t="s">
        <v>20</v>
      </c>
      <c r="T1000" s="1" t="s">
        <v>21</v>
      </c>
      <c r="U1000" s="1" t="s">
        <v>22</v>
      </c>
      <c r="V1000" s="1" t="s">
        <v>24</v>
      </c>
      <c r="W1000" s="1" t="s">
        <v>24</v>
      </c>
      <c r="X1000" s="1">
        <v>2405</v>
      </c>
      <c r="Y1000" s="1">
        <v>1103</v>
      </c>
      <c r="Z1000" s="1">
        <v>2725</v>
      </c>
      <c r="AA1000" s="1" t="s">
        <v>24</v>
      </c>
      <c r="AB1000" s="1" t="s">
        <v>24</v>
      </c>
      <c r="AC1000" s="1" t="s">
        <v>24</v>
      </c>
      <c r="AD1000" s="1" t="s">
        <v>24</v>
      </c>
      <c r="AE1000" s="1" t="s">
        <v>24</v>
      </c>
      <c r="AF1000" s="22"/>
    </row>
    <row r="1001" spans="1:32" x14ac:dyDescent="0.2">
      <c r="A1001" s="1">
        <v>5616</v>
      </c>
      <c r="B1001" s="1" t="s">
        <v>3312</v>
      </c>
      <c r="C1001" s="5" t="s">
        <v>0</v>
      </c>
      <c r="D1001" s="1" t="s">
        <v>3313</v>
      </c>
      <c r="E1001" s="1" t="s">
        <v>3314</v>
      </c>
      <c r="F1001" s="1" t="s">
        <v>1420</v>
      </c>
      <c r="G1001" s="1" t="s">
        <v>1421</v>
      </c>
      <c r="H1001" s="1" t="s">
        <v>30</v>
      </c>
      <c r="I1001" s="1" t="s">
        <v>16</v>
      </c>
      <c r="J1001" s="1">
        <v>1</v>
      </c>
      <c r="K1001" s="1">
        <v>4</v>
      </c>
      <c r="L1001" s="1" t="s">
        <v>42</v>
      </c>
      <c r="M1001" s="1" t="s">
        <v>18</v>
      </c>
      <c r="N1001" s="1" t="s">
        <v>18</v>
      </c>
      <c r="O1001" s="1">
        <v>0</v>
      </c>
      <c r="P1001" s="1">
        <v>7</v>
      </c>
      <c r="Q1001" s="7" t="s">
        <v>17633</v>
      </c>
      <c r="R1001" s="1" t="s">
        <v>62</v>
      </c>
      <c r="S1001" s="1" t="s">
        <v>20</v>
      </c>
      <c r="T1001" s="1" t="s">
        <v>21</v>
      </c>
      <c r="U1001" s="1" t="s">
        <v>22</v>
      </c>
      <c r="V1001" s="1" t="s">
        <v>24</v>
      </c>
      <c r="W1001" s="1" t="s">
        <v>24</v>
      </c>
      <c r="X1001" s="1">
        <v>3004</v>
      </c>
      <c r="Y1001" s="1">
        <v>1313</v>
      </c>
      <c r="Z1001" s="1" t="s">
        <v>24</v>
      </c>
      <c r="AA1001" s="1" t="s">
        <v>24</v>
      </c>
      <c r="AB1001" s="1" t="s">
        <v>24</v>
      </c>
      <c r="AC1001" s="1" t="s">
        <v>24</v>
      </c>
      <c r="AD1001" s="1" t="s">
        <v>24</v>
      </c>
      <c r="AE1001" s="1" t="s">
        <v>24</v>
      </c>
      <c r="AF1001" s="22"/>
    </row>
    <row r="1002" spans="1:32" x14ac:dyDescent="0.2">
      <c r="A1002" s="1">
        <v>5618</v>
      </c>
      <c r="B1002" s="1" t="s">
        <v>3315</v>
      </c>
      <c r="C1002" s="5" t="s">
        <v>0</v>
      </c>
      <c r="D1002" s="1" t="s">
        <v>3316</v>
      </c>
      <c r="E1002" s="1" t="s">
        <v>3317</v>
      </c>
      <c r="F1002" s="1" t="s">
        <v>1479</v>
      </c>
      <c r="G1002" s="1" t="s">
        <v>61</v>
      </c>
      <c r="H1002" s="1" t="s">
        <v>168</v>
      </c>
      <c r="I1002" s="1" t="s">
        <v>16</v>
      </c>
      <c r="J1002" s="1">
        <v>1</v>
      </c>
      <c r="K1002" s="1">
        <v>12</v>
      </c>
      <c r="L1002" s="1" t="s">
        <v>31</v>
      </c>
      <c r="M1002" s="1" t="s">
        <v>18</v>
      </c>
      <c r="N1002" s="1" t="s">
        <v>18</v>
      </c>
      <c r="O1002" s="1">
        <v>3</v>
      </c>
      <c r="P1002" s="1">
        <v>6</v>
      </c>
      <c r="R1002" s="1" t="s">
        <v>19</v>
      </c>
      <c r="S1002" s="1" t="s">
        <v>20</v>
      </c>
      <c r="T1002" s="1" t="s">
        <v>21</v>
      </c>
      <c r="U1002" s="1" t="s">
        <v>22</v>
      </c>
      <c r="V1002" s="1" t="s">
        <v>24</v>
      </c>
      <c r="W1002" s="1" t="s">
        <v>24</v>
      </c>
      <c r="X1002" s="1">
        <v>2734</v>
      </c>
      <c r="Y1002" s="1">
        <v>1307</v>
      </c>
      <c r="Z1002" s="1" t="s">
        <v>24</v>
      </c>
      <c r="AA1002" s="1" t="s">
        <v>24</v>
      </c>
      <c r="AB1002" s="1" t="s">
        <v>24</v>
      </c>
      <c r="AC1002" s="1" t="s">
        <v>24</v>
      </c>
      <c r="AD1002" s="1" t="s">
        <v>24</v>
      </c>
      <c r="AE1002" s="1" t="s">
        <v>24</v>
      </c>
      <c r="AF1002" s="22"/>
    </row>
    <row r="1003" spans="1:32" x14ac:dyDescent="0.2">
      <c r="A1003" s="1">
        <v>5631</v>
      </c>
      <c r="B1003" s="1" t="s">
        <v>3318</v>
      </c>
      <c r="C1003" s="5" t="s">
        <v>0</v>
      </c>
      <c r="D1003" s="1" t="s">
        <v>3319</v>
      </c>
      <c r="E1003" s="1" t="s">
        <v>3320</v>
      </c>
      <c r="F1003" s="1" t="s">
        <v>272</v>
      </c>
      <c r="G1003" s="1" t="s">
        <v>61</v>
      </c>
      <c r="H1003" s="1" t="s">
        <v>30</v>
      </c>
      <c r="I1003" s="1" t="s">
        <v>16</v>
      </c>
      <c r="J1003" s="1">
        <v>1</v>
      </c>
      <c r="K1003" s="1">
        <v>1</v>
      </c>
      <c r="L1003" s="1" t="s">
        <v>31</v>
      </c>
      <c r="M1003" s="1" t="s">
        <v>18</v>
      </c>
      <c r="N1003" s="1" t="s">
        <v>18</v>
      </c>
      <c r="O1003" s="1">
        <v>3</v>
      </c>
      <c r="P1003" s="1">
        <v>7</v>
      </c>
      <c r="Q1003" s="7" t="s">
        <v>17633</v>
      </c>
      <c r="R1003" s="1" t="s">
        <v>19</v>
      </c>
      <c r="S1003" s="1" t="s">
        <v>63</v>
      </c>
      <c r="T1003" s="1" t="s">
        <v>21</v>
      </c>
      <c r="U1003" s="1" t="s">
        <v>22</v>
      </c>
      <c r="V1003" s="1" t="s">
        <v>24</v>
      </c>
      <c r="W1003" s="1" t="s">
        <v>64</v>
      </c>
      <c r="X1003" s="1">
        <v>1303</v>
      </c>
      <c r="Y1003" s="1">
        <v>1308</v>
      </c>
      <c r="Z1003" s="1">
        <v>3004</v>
      </c>
      <c r="AA1003" s="1">
        <v>3005</v>
      </c>
      <c r="AB1003" s="1">
        <v>2802</v>
      </c>
      <c r="AC1003" s="1">
        <v>2803</v>
      </c>
      <c r="AD1003" s="1" t="s">
        <v>24</v>
      </c>
      <c r="AE1003" s="1" t="s">
        <v>24</v>
      </c>
      <c r="AF1003" s="22"/>
    </row>
    <row r="1004" spans="1:32" x14ac:dyDescent="0.2">
      <c r="A1004" s="1">
        <v>5633</v>
      </c>
      <c r="B1004" s="1" t="s">
        <v>3321</v>
      </c>
      <c r="C1004" s="5" t="s">
        <v>0</v>
      </c>
      <c r="D1004" s="1" t="s">
        <v>3322</v>
      </c>
      <c r="E1004" s="1" t="s">
        <v>3323</v>
      </c>
      <c r="F1004" s="1" t="s">
        <v>3324</v>
      </c>
      <c r="G1004" s="1" t="s">
        <v>3324</v>
      </c>
      <c r="H1004" s="1" t="s">
        <v>86</v>
      </c>
      <c r="I1004" s="1" t="s">
        <v>16</v>
      </c>
      <c r="J1004" s="1">
        <v>1</v>
      </c>
      <c r="K1004" s="1">
        <v>2</v>
      </c>
      <c r="L1004" s="1" t="s">
        <v>42</v>
      </c>
      <c r="M1004" s="1" t="s">
        <v>18</v>
      </c>
      <c r="N1004" s="1" t="s">
        <v>18</v>
      </c>
      <c r="O1004" s="1">
        <v>3</v>
      </c>
      <c r="P1004" s="1">
        <v>6</v>
      </c>
      <c r="R1004" s="1" t="s">
        <v>19</v>
      </c>
      <c r="S1004" s="1" t="s">
        <v>20</v>
      </c>
      <c r="T1004" s="1" t="s">
        <v>21</v>
      </c>
      <c r="U1004" s="1" t="s">
        <v>22</v>
      </c>
      <c r="V1004" s="1" t="s">
        <v>24</v>
      </c>
      <c r="W1004" s="1" t="s">
        <v>24</v>
      </c>
      <c r="X1004" s="1">
        <v>2739</v>
      </c>
      <c r="Y1004" s="1">
        <v>2905</v>
      </c>
      <c r="Z1004" s="1" t="s">
        <v>24</v>
      </c>
      <c r="AA1004" s="1" t="s">
        <v>24</v>
      </c>
      <c r="AB1004" s="1" t="s">
        <v>24</v>
      </c>
      <c r="AC1004" s="1" t="s">
        <v>24</v>
      </c>
      <c r="AD1004" s="1" t="s">
        <v>24</v>
      </c>
      <c r="AE1004" s="1" t="s">
        <v>24</v>
      </c>
      <c r="AF1004" s="22"/>
    </row>
    <row r="1005" spans="1:32" x14ac:dyDescent="0.2">
      <c r="A1005" s="1">
        <v>5639</v>
      </c>
      <c r="B1005" s="1" t="s">
        <v>3325</v>
      </c>
      <c r="C1005" s="5" t="s">
        <v>0</v>
      </c>
      <c r="D1005" s="1" t="s">
        <v>3326</v>
      </c>
      <c r="E1005" s="1" t="s">
        <v>3327</v>
      </c>
      <c r="F1005" s="1" t="s">
        <v>91</v>
      </c>
      <c r="G1005" s="1" t="s">
        <v>61</v>
      </c>
      <c r="H1005" s="1" t="s">
        <v>92</v>
      </c>
      <c r="I1005" s="1" t="s">
        <v>112</v>
      </c>
      <c r="J1005" s="1">
        <v>0</v>
      </c>
      <c r="K1005" s="1">
        <v>0</v>
      </c>
      <c r="L1005" s="1" t="s">
        <v>31</v>
      </c>
      <c r="M1005" s="1" t="s">
        <v>18</v>
      </c>
      <c r="N1005" s="1" t="s">
        <v>18</v>
      </c>
      <c r="O1005" s="1">
        <v>3</v>
      </c>
      <c r="P1005" s="1">
        <v>7</v>
      </c>
      <c r="Q1005" s="7" t="s">
        <v>17633</v>
      </c>
      <c r="R1005" s="1" t="s">
        <v>62</v>
      </c>
      <c r="S1005" s="1" t="s">
        <v>20</v>
      </c>
      <c r="T1005" s="1" t="s">
        <v>21</v>
      </c>
      <c r="U1005" s="1" t="s">
        <v>22</v>
      </c>
      <c r="V1005" s="1" t="s">
        <v>24</v>
      </c>
      <c r="W1005" s="1" t="s">
        <v>24</v>
      </c>
      <c r="X1005" s="1">
        <v>2800</v>
      </c>
      <c r="Y1005" s="1" t="s">
        <v>24</v>
      </c>
      <c r="Z1005" s="1" t="s">
        <v>24</v>
      </c>
      <c r="AA1005" s="1" t="s">
        <v>24</v>
      </c>
      <c r="AB1005" s="1" t="s">
        <v>24</v>
      </c>
      <c r="AC1005" s="1" t="s">
        <v>24</v>
      </c>
      <c r="AD1005" s="1" t="s">
        <v>24</v>
      </c>
      <c r="AE1005" s="1" t="s">
        <v>24</v>
      </c>
      <c r="AF1005" s="22"/>
    </row>
    <row r="1006" spans="1:32" x14ac:dyDescent="0.2">
      <c r="A1006" s="1">
        <v>5641</v>
      </c>
      <c r="B1006" s="1" t="s">
        <v>3328</v>
      </c>
      <c r="C1006" s="5" t="s">
        <v>0</v>
      </c>
      <c r="D1006" s="1" t="s">
        <v>3329</v>
      </c>
      <c r="E1006" s="1" t="s">
        <v>3330</v>
      </c>
      <c r="F1006" s="1" t="s">
        <v>303</v>
      </c>
      <c r="G1006" s="1" t="s">
        <v>61</v>
      </c>
      <c r="H1006" s="1" t="s">
        <v>30</v>
      </c>
      <c r="I1006" s="1" t="s">
        <v>16</v>
      </c>
      <c r="J1006" s="1">
        <v>1</v>
      </c>
      <c r="K1006" s="1">
        <v>4</v>
      </c>
      <c r="L1006" s="1" t="s">
        <v>31</v>
      </c>
      <c r="M1006" s="1" t="s">
        <v>18</v>
      </c>
      <c r="N1006" s="1" t="s">
        <v>18</v>
      </c>
      <c r="O1006" s="1">
        <v>3</v>
      </c>
      <c r="P1006" s="1">
        <v>7</v>
      </c>
      <c r="Q1006" s="7" t="s">
        <v>17633</v>
      </c>
      <c r="R1006" s="1" t="s">
        <v>62</v>
      </c>
      <c r="S1006" s="1" t="s">
        <v>20</v>
      </c>
      <c r="T1006" s="1" t="s">
        <v>21</v>
      </c>
      <c r="U1006" s="1" t="s">
        <v>22</v>
      </c>
      <c r="V1006" s="1" t="s">
        <v>23</v>
      </c>
      <c r="W1006" s="1" t="s">
        <v>24</v>
      </c>
      <c r="X1006" s="1">
        <v>2738</v>
      </c>
      <c r="Y1006" s="1" t="s">
        <v>24</v>
      </c>
      <c r="Z1006" s="1" t="s">
        <v>24</v>
      </c>
      <c r="AA1006" s="1" t="s">
        <v>24</v>
      </c>
      <c r="AB1006" s="1" t="s">
        <v>24</v>
      </c>
      <c r="AC1006" s="1" t="s">
        <v>24</v>
      </c>
      <c r="AD1006" s="1" t="s">
        <v>24</v>
      </c>
      <c r="AE1006" s="1" t="s">
        <v>24</v>
      </c>
      <c r="AF1006" s="22"/>
    </row>
    <row r="1007" spans="1:32" x14ac:dyDescent="0.2">
      <c r="A1007" s="1">
        <v>5652</v>
      </c>
      <c r="B1007" s="1" t="s">
        <v>3331</v>
      </c>
      <c r="C1007" s="5" t="s">
        <v>0</v>
      </c>
      <c r="D1007" s="1" t="s">
        <v>3332</v>
      </c>
      <c r="E1007" s="1" t="s">
        <v>3333</v>
      </c>
      <c r="F1007" s="1" t="s">
        <v>303</v>
      </c>
      <c r="G1007" s="1" t="s">
        <v>61</v>
      </c>
      <c r="H1007" s="1" t="s">
        <v>30</v>
      </c>
      <c r="I1007" s="1" t="s">
        <v>16</v>
      </c>
      <c r="J1007" s="1">
        <v>1</v>
      </c>
      <c r="K1007" s="1">
        <v>6</v>
      </c>
      <c r="L1007" s="1" t="s">
        <v>31</v>
      </c>
      <c r="M1007" s="1" t="s">
        <v>18</v>
      </c>
      <c r="N1007" s="1" t="s">
        <v>18</v>
      </c>
      <c r="O1007" s="1">
        <v>3</v>
      </c>
      <c r="P1007" s="1">
        <v>6</v>
      </c>
      <c r="R1007" s="1" t="s">
        <v>19</v>
      </c>
      <c r="S1007" s="1" t="s">
        <v>20</v>
      </c>
      <c r="T1007" s="1" t="s">
        <v>21</v>
      </c>
      <c r="U1007" s="1" t="s">
        <v>22</v>
      </c>
      <c r="V1007" s="1" t="s">
        <v>23</v>
      </c>
      <c r="W1007" s="1" t="s">
        <v>24</v>
      </c>
      <c r="X1007" s="1">
        <v>2735</v>
      </c>
      <c r="Y1007" s="1" t="s">
        <v>24</v>
      </c>
      <c r="Z1007" s="1" t="s">
        <v>24</v>
      </c>
      <c r="AA1007" s="1" t="s">
        <v>24</v>
      </c>
      <c r="AB1007" s="1" t="s">
        <v>24</v>
      </c>
      <c r="AC1007" s="1" t="s">
        <v>24</v>
      </c>
      <c r="AD1007" s="1" t="s">
        <v>24</v>
      </c>
      <c r="AE1007" s="1" t="s">
        <v>24</v>
      </c>
      <c r="AF1007" s="22"/>
    </row>
    <row r="1008" spans="1:32" x14ac:dyDescent="0.2">
      <c r="A1008" s="1">
        <v>5661</v>
      </c>
      <c r="B1008" s="1" t="s">
        <v>3334</v>
      </c>
      <c r="C1008" s="5" t="s">
        <v>0</v>
      </c>
      <c r="D1008" s="1" t="s">
        <v>3335</v>
      </c>
      <c r="E1008" s="1" t="s">
        <v>3336</v>
      </c>
      <c r="F1008" s="1" t="s">
        <v>303</v>
      </c>
      <c r="G1008" s="1" t="s">
        <v>61</v>
      </c>
      <c r="H1008" s="1" t="s">
        <v>30</v>
      </c>
      <c r="I1008" s="1" t="s">
        <v>16</v>
      </c>
      <c r="J1008" s="1">
        <v>1</v>
      </c>
      <c r="K1008" s="1">
        <v>6</v>
      </c>
      <c r="L1008" s="1" t="s">
        <v>31</v>
      </c>
      <c r="M1008" s="1" t="s">
        <v>18</v>
      </c>
      <c r="N1008" s="1" t="s">
        <v>18</v>
      </c>
      <c r="O1008" s="1">
        <v>0</v>
      </c>
      <c r="P1008" s="1">
        <v>6</v>
      </c>
      <c r="R1008" s="1" t="s">
        <v>62</v>
      </c>
      <c r="S1008" s="1" t="s">
        <v>20</v>
      </c>
      <c r="T1008" s="1" t="s">
        <v>21</v>
      </c>
      <c r="U1008" s="1" t="s">
        <v>22</v>
      </c>
      <c r="V1008" s="1" t="s">
        <v>23</v>
      </c>
      <c r="W1008" s="1" t="s">
        <v>24</v>
      </c>
      <c r="X1008" s="1">
        <v>2705</v>
      </c>
      <c r="Y1008" s="1" t="s">
        <v>24</v>
      </c>
      <c r="Z1008" s="1" t="s">
        <v>24</v>
      </c>
      <c r="AA1008" s="1" t="s">
        <v>24</v>
      </c>
      <c r="AB1008" s="1" t="s">
        <v>24</v>
      </c>
      <c r="AC1008" s="1" t="s">
        <v>24</v>
      </c>
      <c r="AD1008" s="1" t="s">
        <v>24</v>
      </c>
      <c r="AE1008" s="1" t="s">
        <v>24</v>
      </c>
      <c r="AF1008" s="22"/>
    </row>
    <row r="1009" spans="1:32" x14ac:dyDescent="0.2">
      <c r="A1009" s="1">
        <v>5663</v>
      </c>
      <c r="B1009" s="1" t="s">
        <v>3337</v>
      </c>
      <c r="C1009" s="5" t="s">
        <v>0</v>
      </c>
      <c r="D1009" s="1" t="s">
        <v>3338</v>
      </c>
      <c r="F1009" s="1" t="s">
        <v>2688</v>
      </c>
      <c r="G1009" s="1" t="s">
        <v>2688</v>
      </c>
      <c r="H1009" s="1" t="s">
        <v>30</v>
      </c>
      <c r="I1009" s="1" t="s">
        <v>16</v>
      </c>
      <c r="J1009" s="1">
        <v>1</v>
      </c>
      <c r="K1009" s="1">
        <v>12</v>
      </c>
      <c r="L1009" s="1" t="s">
        <v>42</v>
      </c>
      <c r="M1009" s="1" t="s">
        <v>18</v>
      </c>
      <c r="N1009" s="1" t="s">
        <v>18</v>
      </c>
      <c r="O1009" s="1">
        <v>3</v>
      </c>
      <c r="P1009" s="1">
        <v>6</v>
      </c>
      <c r="R1009" s="1" t="s">
        <v>19</v>
      </c>
      <c r="S1009" s="1" t="s">
        <v>20</v>
      </c>
      <c r="T1009" s="1" t="s">
        <v>21</v>
      </c>
      <c r="U1009" s="1" t="s">
        <v>22</v>
      </c>
      <c r="V1009" s="1" t="s">
        <v>23</v>
      </c>
      <c r="W1009" s="1" t="s">
        <v>24</v>
      </c>
      <c r="X1009" s="1">
        <v>2735</v>
      </c>
      <c r="Y1009" s="1" t="s">
        <v>24</v>
      </c>
      <c r="Z1009" s="1" t="s">
        <v>24</v>
      </c>
      <c r="AA1009" s="1" t="s">
        <v>24</v>
      </c>
      <c r="AB1009" s="1" t="s">
        <v>24</v>
      </c>
      <c r="AC1009" s="1" t="s">
        <v>24</v>
      </c>
      <c r="AD1009" s="1" t="s">
        <v>24</v>
      </c>
      <c r="AE1009" s="1" t="s">
        <v>24</v>
      </c>
      <c r="AF1009" s="22" t="s">
        <v>17679</v>
      </c>
    </row>
    <row r="1010" spans="1:32" x14ac:dyDescent="0.2">
      <c r="A1010" s="1">
        <v>5664</v>
      </c>
      <c r="B1010" s="1" t="s">
        <v>3339</v>
      </c>
      <c r="C1010" s="5" t="s">
        <v>0</v>
      </c>
      <c r="D1010" s="1" t="s">
        <v>3340</v>
      </c>
      <c r="F1010" s="1" t="s">
        <v>3341</v>
      </c>
      <c r="G1010" s="1" t="s">
        <v>3342</v>
      </c>
      <c r="H1010" s="1" t="s">
        <v>428</v>
      </c>
      <c r="I1010" s="1" t="s">
        <v>16</v>
      </c>
      <c r="J1010" s="1">
        <v>1</v>
      </c>
      <c r="K1010" s="1">
        <v>4</v>
      </c>
      <c r="L1010" s="1" t="s">
        <v>42</v>
      </c>
      <c r="M1010" s="1" t="s">
        <v>18</v>
      </c>
      <c r="N1010" s="1" t="s">
        <v>18</v>
      </c>
      <c r="O1010" s="1">
        <v>3</v>
      </c>
      <c r="P1010" s="1">
        <v>6</v>
      </c>
      <c r="R1010" s="1" t="s">
        <v>19</v>
      </c>
      <c r="S1010" s="1" t="s">
        <v>20</v>
      </c>
      <c r="T1010" s="1" t="s">
        <v>21</v>
      </c>
      <c r="U1010" s="1" t="s">
        <v>22</v>
      </c>
      <c r="V1010" s="1" t="s">
        <v>24</v>
      </c>
      <c r="W1010" s="1" t="s">
        <v>24</v>
      </c>
      <c r="X1010" s="1">
        <v>1100</v>
      </c>
      <c r="Y1010" s="1">
        <v>1300</v>
      </c>
      <c r="Z1010" s="1">
        <v>2700</v>
      </c>
      <c r="AA1010" s="1" t="s">
        <v>24</v>
      </c>
      <c r="AB1010" s="1" t="s">
        <v>24</v>
      </c>
      <c r="AC1010" s="1" t="s">
        <v>24</v>
      </c>
      <c r="AD1010" s="1" t="s">
        <v>24</v>
      </c>
      <c r="AE1010" s="1" t="s">
        <v>24</v>
      </c>
      <c r="AF1010" s="22"/>
    </row>
    <row r="1011" spans="1:32" x14ac:dyDescent="0.2">
      <c r="A1011" s="1">
        <v>5668</v>
      </c>
      <c r="B1011" s="1" t="s">
        <v>3343</v>
      </c>
      <c r="C1011" s="5" t="s">
        <v>0</v>
      </c>
      <c r="D1011" s="1" t="s">
        <v>3344</v>
      </c>
      <c r="E1011" s="1" t="s">
        <v>3345</v>
      </c>
      <c r="F1011" s="1" t="s">
        <v>167</v>
      </c>
      <c r="G1011" s="1" t="s">
        <v>130</v>
      </c>
      <c r="H1011" s="1" t="s">
        <v>168</v>
      </c>
      <c r="I1011" s="1" t="s">
        <v>16</v>
      </c>
      <c r="J1011" s="1">
        <v>1</v>
      </c>
      <c r="K1011" s="1">
        <v>12</v>
      </c>
      <c r="L1011" s="1" t="s">
        <v>31</v>
      </c>
      <c r="M1011" s="1" t="s">
        <v>18</v>
      </c>
      <c r="N1011" s="1" t="s">
        <v>18</v>
      </c>
      <c r="O1011" s="1">
        <v>3</v>
      </c>
      <c r="P1011" s="1">
        <v>7</v>
      </c>
      <c r="Q1011" s="7" t="s">
        <v>17633</v>
      </c>
      <c r="R1011" s="1" t="s">
        <v>19</v>
      </c>
      <c r="S1011" s="1" t="s">
        <v>20</v>
      </c>
      <c r="T1011" s="1" t="s">
        <v>21</v>
      </c>
      <c r="U1011" s="1" t="s">
        <v>22</v>
      </c>
      <c r="V1011" s="1" t="s">
        <v>23</v>
      </c>
      <c r="W1011" s="1" t="s">
        <v>24</v>
      </c>
      <c r="X1011" s="1">
        <v>2741</v>
      </c>
      <c r="Y1011" s="1">
        <v>2735</v>
      </c>
      <c r="Z1011" s="1" t="s">
        <v>24</v>
      </c>
      <c r="AA1011" s="1" t="s">
        <v>24</v>
      </c>
      <c r="AB1011" s="1" t="s">
        <v>24</v>
      </c>
      <c r="AC1011" s="1" t="s">
        <v>24</v>
      </c>
      <c r="AD1011" s="1" t="s">
        <v>24</v>
      </c>
      <c r="AE1011" s="1" t="s">
        <v>24</v>
      </c>
      <c r="AF1011" s="22"/>
    </row>
    <row r="1012" spans="1:32" x14ac:dyDescent="0.2">
      <c r="A1012" s="1">
        <v>5674</v>
      </c>
      <c r="B1012" s="1" t="s">
        <v>3346</v>
      </c>
      <c r="C1012" s="5" t="s">
        <v>0</v>
      </c>
      <c r="D1012" s="1" t="s">
        <v>3347</v>
      </c>
      <c r="E1012" s="1" t="s">
        <v>3348</v>
      </c>
      <c r="F1012" s="1" t="s">
        <v>190</v>
      </c>
      <c r="G1012" s="1" t="s">
        <v>130</v>
      </c>
      <c r="H1012" s="1" t="s">
        <v>30</v>
      </c>
      <c r="I1012" s="1" t="s">
        <v>16</v>
      </c>
      <c r="J1012" s="1">
        <v>1</v>
      </c>
      <c r="K1012" s="1">
        <v>8</v>
      </c>
      <c r="L1012" s="1" t="s">
        <v>31</v>
      </c>
      <c r="M1012" s="1" t="s">
        <v>18</v>
      </c>
      <c r="N1012" s="1" t="s">
        <v>18</v>
      </c>
      <c r="O1012" s="1">
        <v>2</v>
      </c>
      <c r="P1012" s="1">
        <v>6</v>
      </c>
      <c r="R1012" s="1" t="s">
        <v>19</v>
      </c>
      <c r="S1012" s="1" t="s">
        <v>20</v>
      </c>
      <c r="T1012" s="1" t="s">
        <v>21</v>
      </c>
      <c r="U1012" s="1" t="s">
        <v>22</v>
      </c>
      <c r="V1012" s="1" t="s">
        <v>24</v>
      </c>
      <c r="W1012" s="1" t="s">
        <v>24</v>
      </c>
      <c r="X1012" s="1">
        <v>2705</v>
      </c>
      <c r="Y1012" s="1">
        <v>2735</v>
      </c>
      <c r="Z1012" s="1" t="s">
        <v>24</v>
      </c>
      <c r="AA1012" s="1" t="s">
        <v>24</v>
      </c>
      <c r="AB1012" s="1" t="s">
        <v>24</v>
      </c>
      <c r="AC1012" s="1" t="s">
        <v>24</v>
      </c>
      <c r="AD1012" s="1" t="s">
        <v>24</v>
      </c>
      <c r="AE1012" s="1" t="s">
        <v>24</v>
      </c>
      <c r="AF1012" s="22"/>
    </row>
    <row r="1013" spans="1:32" x14ac:dyDescent="0.2">
      <c r="A1013" s="1">
        <v>5675</v>
      </c>
      <c r="B1013" s="1" t="s">
        <v>3349</v>
      </c>
      <c r="C1013" s="5" t="s">
        <v>0</v>
      </c>
      <c r="D1013" s="1" t="s">
        <v>3350</v>
      </c>
      <c r="E1013" s="1" t="s">
        <v>3351</v>
      </c>
      <c r="F1013" s="1" t="s">
        <v>28</v>
      </c>
      <c r="G1013" s="1" t="s">
        <v>29</v>
      </c>
      <c r="H1013" s="1" t="s">
        <v>30</v>
      </c>
      <c r="I1013" s="1" t="s">
        <v>16</v>
      </c>
      <c r="J1013" s="1">
        <v>1</v>
      </c>
      <c r="K1013" s="1">
        <v>12</v>
      </c>
      <c r="L1013" s="1" t="s">
        <v>31</v>
      </c>
      <c r="M1013" s="1" t="s">
        <v>18</v>
      </c>
      <c r="N1013" s="1" t="s">
        <v>18</v>
      </c>
      <c r="O1013" s="1">
        <v>3</v>
      </c>
      <c r="P1013" s="1">
        <v>6</v>
      </c>
      <c r="R1013" s="1" t="s">
        <v>19</v>
      </c>
      <c r="S1013" s="1" t="s">
        <v>20</v>
      </c>
      <c r="T1013" s="1" t="s">
        <v>21</v>
      </c>
      <c r="U1013" s="1" t="s">
        <v>22</v>
      </c>
      <c r="V1013" s="1" t="s">
        <v>23</v>
      </c>
      <c r="W1013" s="1" t="s">
        <v>24</v>
      </c>
      <c r="X1013" s="1">
        <v>2735</v>
      </c>
      <c r="Y1013" s="1">
        <v>2711</v>
      </c>
      <c r="Z1013" s="1" t="s">
        <v>24</v>
      </c>
      <c r="AA1013" s="1" t="s">
        <v>24</v>
      </c>
      <c r="AB1013" s="1" t="s">
        <v>24</v>
      </c>
      <c r="AC1013" s="1" t="s">
        <v>24</v>
      </c>
      <c r="AD1013" s="1" t="s">
        <v>24</v>
      </c>
      <c r="AE1013" s="1" t="s">
        <v>24</v>
      </c>
      <c r="AF1013" s="22"/>
    </row>
    <row r="1014" spans="1:32" x14ac:dyDescent="0.2">
      <c r="A1014" s="1">
        <v>5679</v>
      </c>
      <c r="B1014" s="1" t="s">
        <v>3352</v>
      </c>
      <c r="C1014" s="5" t="s">
        <v>0</v>
      </c>
      <c r="D1014" s="1" t="s">
        <v>3353</v>
      </c>
      <c r="E1014" s="1" t="s">
        <v>3354</v>
      </c>
      <c r="F1014" s="1" t="s">
        <v>221</v>
      </c>
      <c r="G1014" s="1" t="s">
        <v>61</v>
      </c>
      <c r="H1014" s="1" t="s">
        <v>222</v>
      </c>
      <c r="I1014" s="1" t="s">
        <v>16</v>
      </c>
      <c r="J1014" s="1">
        <v>4</v>
      </c>
      <c r="K1014" s="1">
        <v>3</v>
      </c>
      <c r="L1014" s="1" t="s">
        <v>31</v>
      </c>
      <c r="M1014" s="1" t="s">
        <v>18</v>
      </c>
      <c r="N1014" s="1" t="s">
        <v>18</v>
      </c>
      <c r="O1014" s="1">
        <v>2</v>
      </c>
      <c r="P1014" s="1">
        <v>7</v>
      </c>
      <c r="Q1014" s="7" t="s">
        <v>17633</v>
      </c>
      <c r="R1014" s="1" t="s">
        <v>19</v>
      </c>
      <c r="S1014" s="1" t="s">
        <v>20</v>
      </c>
      <c r="T1014" s="1" t="s">
        <v>21</v>
      </c>
      <c r="U1014" s="1" t="s">
        <v>22</v>
      </c>
      <c r="V1014" s="1" t="s">
        <v>23</v>
      </c>
      <c r="W1014" s="1" t="s">
        <v>24</v>
      </c>
      <c r="X1014" s="1">
        <v>2700</v>
      </c>
      <c r="Y1014" s="1" t="s">
        <v>24</v>
      </c>
      <c r="Z1014" s="1" t="s">
        <v>24</v>
      </c>
      <c r="AA1014" s="1" t="s">
        <v>24</v>
      </c>
      <c r="AB1014" s="1" t="s">
        <v>24</v>
      </c>
      <c r="AC1014" s="1" t="s">
        <v>24</v>
      </c>
      <c r="AD1014" s="1" t="s">
        <v>24</v>
      </c>
      <c r="AE1014" s="1" t="s">
        <v>24</v>
      </c>
      <c r="AF1014" s="22"/>
    </row>
    <row r="1015" spans="1:32" x14ac:dyDescent="0.2">
      <c r="A1015" s="1">
        <v>5680</v>
      </c>
      <c r="B1015" s="1" t="s">
        <v>3355</v>
      </c>
      <c r="C1015" s="5" t="s">
        <v>0</v>
      </c>
      <c r="D1015" s="1" t="s">
        <v>3356</v>
      </c>
      <c r="E1015" s="1" t="s">
        <v>3357</v>
      </c>
      <c r="F1015" s="1" t="s">
        <v>3358</v>
      </c>
      <c r="G1015" s="1" t="s">
        <v>3358</v>
      </c>
      <c r="H1015" s="1" t="s">
        <v>30</v>
      </c>
      <c r="I1015" s="1" t="s">
        <v>16</v>
      </c>
      <c r="J1015" s="1">
        <v>2</v>
      </c>
      <c r="K1015" s="1">
        <v>6</v>
      </c>
      <c r="L1015" s="1" t="s">
        <v>42</v>
      </c>
      <c r="M1015" s="1" t="s">
        <v>18</v>
      </c>
      <c r="N1015" s="1" t="s">
        <v>18</v>
      </c>
      <c r="O1015" s="1">
        <v>3</v>
      </c>
      <c r="P1015" s="1">
        <v>8</v>
      </c>
      <c r="Q1015" s="7" t="s">
        <v>17633</v>
      </c>
      <c r="R1015" s="1" t="s">
        <v>881</v>
      </c>
      <c r="S1015" s="1" t="s">
        <v>20</v>
      </c>
      <c r="T1015" s="1" t="s">
        <v>21</v>
      </c>
      <c r="U1015" s="1" t="s">
        <v>22</v>
      </c>
      <c r="V1015" s="1" t="s">
        <v>23</v>
      </c>
      <c r="W1015" s="1" t="s">
        <v>24</v>
      </c>
      <c r="X1015" s="1">
        <v>2735</v>
      </c>
      <c r="Y1015" s="1">
        <v>1201</v>
      </c>
      <c r="Z1015" s="1" t="s">
        <v>24</v>
      </c>
      <c r="AA1015" s="1" t="s">
        <v>24</v>
      </c>
      <c r="AB1015" s="1" t="s">
        <v>24</v>
      </c>
      <c r="AC1015" s="1" t="s">
        <v>24</v>
      </c>
      <c r="AD1015" s="1" t="s">
        <v>24</v>
      </c>
      <c r="AE1015" s="1" t="s">
        <v>24</v>
      </c>
      <c r="AF1015" s="22"/>
    </row>
    <row r="1016" spans="1:32" x14ac:dyDescent="0.2">
      <c r="A1016" s="1">
        <v>5684</v>
      </c>
      <c r="B1016" s="1" t="s">
        <v>3359</v>
      </c>
      <c r="C1016" s="5" t="s">
        <v>0</v>
      </c>
      <c r="D1016" s="1" t="s">
        <v>3360</v>
      </c>
      <c r="E1016" s="1" t="s">
        <v>3361</v>
      </c>
      <c r="F1016" s="1" t="s">
        <v>548</v>
      </c>
      <c r="G1016" s="1" t="s">
        <v>36</v>
      </c>
      <c r="H1016" s="1" t="s">
        <v>30</v>
      </c>
      <c r="I1016" s="1" t="s">
        <v>16</v>
      </c>
      <c r="J1016" s="1">
        <v>1</v>
      </c>
      <c r="K1016" s="1">
        <v>6</v>
      </c>
      <c r="L1016" s="1" t="s">
        <v>31</v>
      </c>
      <c r="M1016" s="1" t="s">
        <v>18</v>
      </c>
      <c r="N1016" s="1" t="s">
        <v>18</v>
      </c>
      <c r="O1016" s="1">
        <v>3</v>
      </c>
      <c r="P1016" s="1">
        <v>7</v>
      </c>
      <c r="Q1016" s="7" t="s">
        <v>17633</v>
      </c>
      <c r="R1016" s="1" t="s">
        <v>19</v>
      </c>
      <c r="S1016" s="1" t="s">
        <v>20</v>
      </c>
      <c r="T1016" s="1" t="s">
        <v>21</v>
      </c>
      <c r="U1016" s="1" t="s">
        <v>22</v>
      </c>
      <c r="V1016" s="1" t="s">
        <v>24</v>
      </c>
      <c r="W1016" s="1" t="s">
        <v>24</v>
      </c>
      <c r="X1016" s="1">
        <v>2708</v>
      </c>
      <c r="Y1016" s="1">
        <v>2735</v>
      </c>
      <c r="Z1016" s="1" t="s">
        <v>24</v>
      </c>
      <c r="AA1016" s="1" t="s">
        <v>24</v>
      </c>
      <c r="AB1016" s="1" t="s">
        <v>24</v>
      </c>
      <c r="AC1016" s="1" t="s">
        <v>24</v>
      </c>
      <c r="AD1016" s="1" t="s">
        <v>24</v>
      </c>
      <c r="AE1016" s="1" t="s">
        <v>24</v>
      </c>
      <c r="AF1016" s="22"/>
    </row>
    <row r="1017" spans="1:32" x14ac:dyDescent="0.2">
      <c r="A1017" s="1">
        <v>5700</v>
      </c>
      <c r="B1017" s="1" t="s">
        <v>3362</v>
      </c>
      <c r="C1017" s="5" t="s">
        <v>0</v>
      </c>
      <c r="D1017" s="1" t="s">
        <v>3363</v>
      </c>
      <c r="F1017" s="1" t="s">
        <v>248</v>
      </c>
      <c r="G1017" s="1" t="s">
        <v>61</v>
      </c>
      <c r="H1017" s="1" t="s">
        <v>249</v>
      </c>
      <c r="I1017" s="1" t="s">
        <v>16</v>
      </c>
      <c r="J1017" s="1">
        <v>1</v>
      </c>
      <c r="K1017" s="1">
        <v>4</v>
      </c>
      <c r="L1017" s="1" t="s">
        <v>31</v>
      </c>
      <c r="M1017" s="1" t="s">
        <v>250</v>
      </c>
      <c r="N1017" s="1" t="s">
        <v>18</v>
      </c>
      <c r="O1017" s="1">
        <v>2</v>
      </c>
      <c r="P1017" s="1">
        <v>4</v>
      </c>
      <c r="R1017" s="1" t="s">
        <v>19</v>
      </c>
      <c r="S1017" s="1" t="s">
        <v>20</v>
      </c>
      <c r="T1017" s="1" t="s">
        <v>21</v>
      </c>
      <c r="U1017" s="1" t="s">
        <v>22</v>
      </c>
      <c r="V1017" s="1" t="s">
        <v>24</v>
      </c>
      <c r="W1017" s="1" t="s">
        <v>24</v>
      </c>
      <c r="X1017" s="1">
        <v>2735</v>
      </c>
      <c r="Y1017" s="1" t="s">
        <v>24</v>
      </c>
      <c r="Z1017" s="1" t="s">
        <v>24</v>
      </c>
      <c r="AA1017" s="1" t="s">
        <v>24</v>
      </c>
      <c r="AB1017" s="1" t="s">
        <v>24</v>
      </c>
      <c r="AC1017" s="1" t="s">
        <v>24</v>
      </c>
      <c r="AD1017" s="1" t="s">
        <v>24</v>
      </c>
      <c r="AE1017" s="1" t="s">
        <v>24</v>
      </c>
      <c r="AF1017" s="22"/>
    </row>
    <row r="1018" spans="1:32" x14ac:dyDescent="0.2">
      <c r="A1018" s="1">
        <v>5702</v>
      </c>
      <c r="B1018" s="1" t="s">
        <v>3364</v>
      </c>
      <c r="C1018" s="5" t="s">
        <v>0</v>
      </c>
      <c r="D1018" s="1" t="s">
        <v>3365</v>
      </c>
      <c r="E1018" s="1" t="s">
        <v>3366</v>
      </c>
      <c r="F1018" s="1" t="s">
        <v>272</v>
      </c>
      <c r="G1018" s="1" t="s">
        <v>61</v>
      </c>
      <c r="H1018" s="1" t="s">
        <v>30</v>
      </c>
      <c r="I1018" s="1" t="s">
        <v>16</v>
      </c>
      <c r="J1018" s="1">
        <v>1</v>
      </c>
      <c r="K1018" s="1">
        <v>1</v>
      </c>
      <c r="L1018" s="1" t="s">
        <v>31</v>
      </c>
      <c r="M1018" s="1" t="s">
        <v>18</v>
      </c>
      <c r="N1018" s="1" t="s">
        <v>18</v>
      </c>
      <c r="O1018" s="1">
        <v>3</v>
      </c>
      <c r="P1018" s="1">
        <v>7</v>
      </c>
      <c r="Q1018" s="7" t="s">
        <v>17633</v>
      </c>
      <c r="R1018" s="1" t="s">
        <v>19</v>
      </c>
      <c r="S1018" s="1" t="s">
        <v>63</v>
      </c>
      <c r="T1018" s="1" t="s">
        <v>21</v>
      </c>
      <c r="U1018" s="1" t="s">
        <v>22</v>
      </c>
      <c r="V1018" s="1" t="s">
        <v>24</v>
      </c>
      <c r="W1018" s="1" t="s">
        <v>64</v>
      </c>
      <c r="X1018" s="1">
        <v>1303</v>
      </c>
      <c r="Y1018" s="1">
        <v>1310</v>
      </c>
      <c r="Z1018" s="1">
        <v>1314</v>
      </c>
      <c r="AA1018" s="1">
        <v>2804</v>
      </c>
      <c r="AB1018" s="1" t="s">
        <v>24</v>
      </c>
      <c r="AC1018" s="1" t="s">
        <v>24</v>
      </c>
      <c r="AD1018" s="1" t="s">
        <v>24</v>
      </c>
      <c r="AE1018" s="1" t="s">
        <v>24</v>
      </c>
      <c r="AF1018" s="22"/>
    </row>
    <row r="1019" spans="1:32" x14ac:dyDescent="0.2">
      <c r="A1019" s="1">
        <v>5704</v>
      </c>
      <c r="B1019" s="1" t="s">
        <v>3367</v>
      </c>
      <c r="C1019" s="5" t="s">
        <v>0</v>
      </c>
      <c r="D1019" s="1" t="s">
        <v>3368</v>
      </c>
      <c r="E1019" s="1" t="s">
        <v>3369</v>
      </c>
      <c r="F1019" s="1" t="s">
        <v>315</v>
      </c>
      <c r="G1019" s="1" t="s">
        <v>316</v>
      </c>
      <c r="H1019" s="1" t="s">
        <v>37</v>
      </c>
      <c r="I1019" s="1" t="s">
        <v>16</v>
      </c>
      <c r="J1019" s="1">
        <v>2</v>
      </c>
      <c r="K1019" s="1">
        <v>6</v>
      </c>
      <c r="L1019" s="1" t="s">
        <v>31</v>
      </c>
      <c r="M1019" s="1" t="s">
        <v>18</v>
      </c>
      <c r="N1019" s="1" t="s">
        <v>18</v>
      </c>
      <c r="O1019" s="1">
        <v>3</v>
      </c>
      <c r="P1019" s="1">
        <v>8</v>
      </c>
      <c r="Q1019" s="7" t="s">
        <v>17633</v>
      </c>
      <c r="R1019" s="1" t="s">
        <v>62</v>
      </c>
      <c r="S1019" s="1" t="s">
        <v>20</v>
      </c>
      <c r="T1019" s="1" t="s">
        <v>21</v>
      </c>
      <c r="U1019" s="1" t="s">
        <v>22</v>
      </c>
      <c r="V1019" s="1" t="s">
        <v>24</v>
      </c>
      <c r="W1019" s="1" t="s">
        <v>24</v>
      </c>
      <c r="X1019" s="1">
        <v>2735</v>
      </c>
      <c r="Y1019" s="1" t="s">
        <v>24</v>
      </c>
      <c r="Z1019" s="1" t="s">
        <v>24</v>
      </c>
      <c r="AA1019" s="1" t="s">
        <v>24</v>
      </c>
      <c r="AB1019" s="1" t="s">
        <v>24</v>
      </c>
      <c r="AC1019" s="1" t="s">
        <v>24</v>
      </c>
      <c r="AD1019" s="1" t="s">
        <v>24</v>
      </c>
      <c r="AE1019" s="1" t="s">
        <v>24</v>
      </c>
      <c r="AF1019" s="22"/>
    </row>
    <row r="1020" spans="1:32" x14ac:dyDescent="0.2">
      <c r="A1020" s="1">
        <v>5710</v>
      </c>
      <c r="B1020" s="1" t="s">
        <v>3370</v>
      </c>
      <c r="C1020" s="5" t="s">
        <v>0</v>
      </c>
      <c r="D1020" s="1" t="s">
        <v>3371</v>
      </c>
      <c r="E1020" s="1" t="s">
        <v>3372</v>
      </c>
      <c r="F1020" s="1" t="s">
        <v>167</v>
      </c>
      <c r="G1020" s="1" t="s">
        <v>130</v>
      </c>
      <c r="H1020" s="1" t="s">
        <v>168</v>
      </c>
      <c r="I1020" s="1" t="s">
        <v>16</v>
      </c>
      <c r="J1020" s="1">
        <v>2</v>
      </c>
      <c r="K1020" s="1">
        <v>6</v>
      </c>
      <c r="L1020" s="1" t="s">
        <v>31</v>
      </c>
      <c r="M1020" s="1" t="s">
        <v>18</v>
      </c>
      <c r="N1020" s="1" t="s">
        <v>18</v>
      </c>
      <c r="O1020" s="1">
        <v>3</v>
      </c>
      <c r="P1020" s="1">
        <v>7</v>
      </c>
      <c r="Q1020" s="7" t="s">
        <v>17633</v>
      </c>
      <c r="R1020" s="1" t="s">
        <v>62</v>
      </c>
      <c r="S1020" s="1" t="s">
        <v>20</v>
      </c>
      <c r="T1020" s="1" t="s">
        <v>21</v>
      </c>
      <c r="U1020" s="1" t="s">
        <v>22</v>
      </c>
      <c r="V1020" s="1" t="s">
        <v>24</v>
      </c>
      <c r="W1020" s="1" t="s">
        <v>24</v>
      </c>
      <c r="X1020" s="1">
        <v>1314</v>
      </c>
      <c r="Y1020" s="1">
        <v>1308</v>
      </c>
      <c r="Z1020" s="1">
        <v>2737</v>
      </c>
      <c r="AA1020" s="1" t="s">
        <v>24</v>
      </c>
      <c r="AB1020" s="1" t="s">
        <v>24</v>
      </c>
      <c r="AC1020" s="1" t="s">
        <v>24</v>
      </c>
      <c r="AD1020" s="1" t="s">
        <v>24</v>
      </c>
      <c r="AE1020" s="1" t="s">
        <v>24</v>
      </c>
      <c r="AF1020" s="22"/>
    </row>
    <row r="1021" spans="1:32" x14ac:dyDescent="0.2">
      <c r="A1021" s="1">
        <v>5717</v>
      </c>
      <c r="B1021" s="1" t="s">
        <v>3373</v>
      </c>
      <c r="C1021" s="5" t="s">
        <v>0</v>
      </c>
      <c r="D1021" s="1" t="s">
        <v>3374</v>
      </c>
      <c r="E1021" s="1" t="s">
        <v>3375</v>
      </c>
      <c r="F1021" s="1" t="s">
        <v>159</v>
      </c>
      <c r="G1021" s="1" t="s">
        <v>160</v>
      </c>
      <c r="H1021" s="1" t="s">
        <v>37</v>
      </c>
      <c r="I1021" s="1" t="s">
        <v>16</v>
      </c>
      <c r="J1021" s="1">
        <v>1</v>
      </c>
      <c r="K1021" s="1">
        <v>12</v>
      </c>
      <c r="L1021" s="1" t="s">
        <v>42</v>
      </c>
      <c r="M1021" s="1" t="s">
        <v>18</v>
      </c>
      <c r="N1021" s="1" t="s">
        <v>18</v>
      </c>
      <c r="O1021" s="1">
        <v>3</v>
      </c>
      <c r="P1021" s="1">
        <v>6</v>
      </c>
      <c r="R1021" s="1" t="s">
        <v>19</v>
      </c>
      <c r="S1021" s="1" t="s">
        <v>20</v>
      </c>
      <c r="T1021" s="1" t="s">
        <v>21</v>
      </c>
      <c r="U1021" s="1" t="s">
        <v>22</v>
      </c>
      <c r="V1021" s="1" t="s">
        <v>24</v>
      </c>
      <c r="W1021" s="1" t="s">
        <v>24</v>
      </c>
      <c r="X1021" s="1">
        <v>2700</v>
      </c>
      <c r="Y1021" s="1" t="s">
        <v>24</v>
      </c>
      <c r="Z1021" s="1" t="s">
        <v>24</v>
      </c>
      <c r="AA1021" s="1" t="s">
        <v>24</v>
      </c>
      <c r="AB1021" s="1" t="s">
        <v>24</v>
      </c>
      <c r="AC1021" s="1" t="s">
        <v>24</v>
      </c>
      <c r="AD1021" s="1" t="s">
        <v>24</v>
      </c>
      <c r="AE1021" s="1" t="s">
        <v>24</v>
      </c>
      <c r="AF1021" s="22"/>
    </row>
    <row r="1022" spans="1:32" x14ac:dyDescent="0.2">
      <c r="A1022" s="1">
        <v>5719</v>
      </c>
      <c r="B1022" s="1" t="s">
        <v>3376</v>
      </c>
      <c r="C1022" s="5" t="s">
        <v>0</v>
      </c>
      <c r="D1022" s="1" t="s">
        <v>3377</v>
      </c>
      <c r="E1022" s="1" t="s">
        <v>3378</v>
      </c>
      <c r="F1022" s="1" t="s">
        <v>155</v>
      </c>
      <c r="G1022" s="1" t="s">
        <v>61</v>
      </c>
      <c r="H1022" s="1" t="s">
        <v>37</v>
      </c>
      <c r="I1022" s="1" t="s">
        <v>16</v>
      </c>
      <c r="J1022" s="1">
        <v>3</v>
      </c>
      <c r="K1022" s="1">
        <v>4</v>
      </c>
      <c r="L1022" s="1" t="s">
        <v>31</v>
      </c>
      <c r="M1022" s="1" t="s">
        <v>18</v>
      </c>
      <c r="N1022" s="1" t="s">
        <v>18</v>
      </c>
      <c r="O1022" s="1">
        <v>3</v>
      </c>
      <c r="P1022" s="1">
        <v>7</v>
      </c>
      <c r="Q1022" s="7" t="s">
        <v>17633</v>
      </c>
      <c r="R1022" s="1" t="s">
        <v>62</v>
      </c>
      <c r="S1022" s="1" t="s">
        <v>63</v>
      </c>
      <c r="T1022" s="1" t="s">
        <v>21</v>
      </c>
      <c r="U1022" s="1" t="s">
        <v>22</v>
      </c>
      <c r="V1022" s="1" t="s">
        <v>24</v>
      </c>
      <c r="W1022" s="1" t="s">
        <v>24</v>
      </c>
      <c r="X1022" s="1">
        <v>2800</v>
      </c>
      <c r="Y1022" s="1" t="s">
        <v>24</v>
      </c>
      <c r="Z1022" s="1" t="s">
        <v>24</v>
      </c>
      <c r="AA1022" s="1" t="s">
        <v>24</v>
      </c>
      <c r="AB1022" s="1" t="s">
        <v>24</v>
      </c>
      <c r="AC1022" s="1" t="s">
        <v>24</v>
      </c>
      <c r="AD1022" s="1" t="s">
        <v>24</v>
      </c>
      <c r="AE1022" s="1" t="s">
        <v>24</v>
      </c>
      <c r="AF1022" s="22"/>
    </row>
    <row r="1023" spans="1:32" x14ac:dyDescent="0.2">
      <c r="A1023" s="1">
        <v>5725</v>
      </c>
      <c r="B1023" s="1" t="s">
        <v>3379</v>
      </c>
      <c r="C1023" s="5" t="s">
        <v>0</v>
      </c>
      <c r="D1023" s="1" t="s">
        <v>3380</v>
      </c>
      <c r="F1023" s="1" t="s">
        <v>3381</v>
      </c>
      <c r="G1023" s="1" t="s">
        <v>3381</v>
      </c>
      <c r="H1023" s="1" t="s">
        <v>168</v>
      </c>
      <c r="I1023" s="1" t="s">
        <v>16</v>
      </c>
      <c r="J1023" s="1">
        <v>1</v>
      </c>
      <c r="K1023" s="1">
        <v>12</v>
      </c>
      <c r="L1023" s="1" t="s">
        <v>42</v>
      </c>
      <c r="M1023" s="1" t="s">
        <v>413</v>
      </c>
      <c r="N1023" s="1" t="s">
        <v>18</v>
      </c>
      <c r="O1023" s="1">
        <v>3</v>
      </c>
      <c r="P1023" s="1">
        <v>6</v>
      </c>
      <c r="R1023" s="1" t="s">
        <v>19</v>
      </c>
      <c r="S1023" s="1" t="s">
        <v>20</v>
      </c>
      <c r="T1023" s="1" t="s">
        <v>21</v>
      </c>
      <c r="U1023" s="1" t="s">
        <v>22</v>
      </c>
      <c r="V1023" s="1" t="s">
        <v>24</v>
      </c>
      <c r="W1023" s="1" t="s">
        <v>64</v>
      </c>
      <c r="X1023" s="1">
        <v>3003</v>
      </c>
      <c r="Y1023" s="1" t="s">
        <v>24</v>
      </c>
      <c r="Z1023" s="1" t="s">
        <v>24</v>
      </c>
      <c r="AA1023" s="1" t="s">
        <v>24</v>
      </c>
      <c r="AB1023" s="1" t="s">
        <v>24</v>
      </c>
      <c r="AC1023" s="1" t="s">
        <v>24</v>
      </c>
      <c r="AD1023" s="1" t="s">
        <v>24</v>
      </c>
      <c r="AE1023" s="1" t="s">
        <v>24</v>
      </c>
      <c r="AF1023" s="22"/>
    </row>
    <row r="1024" spans="1:32" x14ac:dyDescent="0.2">
      <c r="A1024" s="1">
        <v>5727</v>
      </c>
      <c r="B1024" s="1" t="s">
        <v>3382</v>
      </c>
      <c r="C1024" s="5" t="s">
        <v>0</v>
      </c>
      <c r="D1024" s="1" t="s">
        <v>3383</v>
      </c>
      <c r="E1024" s="1" t="s">
        <v>3384</v>
      </c>
      <c r="F1024" s="1" t="s">
        <v>272</v>
      </c>
      <c r="G1024" s="1" t="s">
        <v>61</v>
      </c>
      <c r="H1024" s="1" t="s">
        <v>30</v>
      </c>
      <c r="I1024" s="1" t="s">
        <v>16</v>
      </c>
      <c r="J1024" s="1">
        <v>3</v>
      </c>
      <c r="K1024" s="1">
        <v>5</v>
      </c>
      <c r="L1024" s="1" t="s">
        <v>31</v>
      </c>
      <c r="M1024" s="1" t="s">
        <v>18</v>
      </c>
      <c r="N1024" s="1" t="s">
        <v>18</v>
      </c>
      <c r="O1024" s="1">
        <v>3</v>
      </c>
      <c r="P1024" s="1">
        <v>7</v>
      </c>
      <c r="Q1024" s="7" t="s">
        <v>17633</v>
      </c>
      <c r="R1024" s="1" t="s">
        <v>19</v>
      </c>
      <c r="S1024" s="1" t="s">
        <v>63</v>
      </c>
      <c r="T1024" s="1" t="s">
        <v>21</v>
      </c>
      <c r="U1024" s="1" t="s">
        <v>22</v>
      </c>
      <c r="V1024" s="1" t="s">
        <v>24</v>
      </c>
      <c r="W1024" s="1" t="s">
        <v>24</v>
      </c>
      <c r="X1024" s="1">
        <v>2802</v>
      </c>
      <c r="Y1024" s="1">
        <v>3205</v>
      </c>
      <c r="Z1024" s="1">
        <v>1211</v>
      </c>
      <c r="AA1024" s="1" t="s">
        <v>24</v>
      </c>
      <c r="AB1024" s="1" t="s">
        <v>24</v>
      </c>
      <c r="AC1024" s="1" t="s">
        <v>24</v>
      </c>
      <c r="AD1024" s="1" t="s">
        <v>24</v>
      </c>
      <c r="AE1024" s="1" t="s">
        <v>24</v>
      </c>
      <c r="AF1024" s="22"/>
    </row>
    <row r="1025" spans="1:32" x14ac:dyDescent="0.2">
      <c r="A1025" s="1">
        <v>5732</v>
      </c>
      <c r="B1025" s="1" t="s">
        <v>3385</v>
      </c>
      <c r="C1025" s="5" t="s">
        <v>0</v>
      </c>
      <c r="D1025" s="1" t="s">
        <v>3386</v>
      </c>
      <c r="E1025" s="1" t="s">
        <v>3387</v>
      </c>
      <c r="F1025" s="1" t="s">
        <v>241</v>
      </c>
      <c r="G1025" s="1" t="s">
        <v>61</v>
      </c>
      <c r="H1025" s="1" t="s">
        <v>168</v>
      </c>
      <c r="I1025" s="1" t="s">
        <v>16</v>
      </c>
      <c r="J1025" s="1">
        <v>1</v>
      </c>
      <c r="K1025" s="1">
        <v>4</v>
      </c>
      <c r="L1025" s="1" t="s">
        <v>31</v>
      </c>
      <c r="M1025" s="1" t="s">
        <v>18</v>
      </c>
      <c r="N1025" s="1" t="s">
        <v>18</v>
      </c>
      <c r="O1025" s="1">
        <v>3</v>
      </c>
      <c r="P1025" s="1">
        <v>6</v>
      </c>
      <c r="R1025" s="1" t="s">
        <v>62</v>
      </c>
      <c r="S1025" s="1" t="s">
        <v>20</v>
      </c>
      <c r="T1025" s="1" t="s">
        <v>21</v>
      </c>
      <c r="U1025" s="1" t="s">
        <v>22</v>
      </c>
      <c r="V1025" s="1" t="s">
        <v>24</v>
      </c>
      <c r="W1025" s="1" t="s">
        <v>24</v>
      </c>
      <c r="X1025" s="1">
        <v>1308</v>
      </c>
      <c r="Y1025" s="1">
        <v>1307</v>
      </c>
      <c r="Z1025" s="1">
        <v>2722</v>
      </c>
      <c r="AA1025" s="1" t="s">
        <v>24</v>
      </c>
      <c r="AB1025" s="1" t="s">
        <v>24</v>
      </c>
      <c r="AC1025" s="1" t="s">
        <v>24</v>
      </c>
      <c r="AD1025" s="1" t="s">
        <v>24</v>
      </c>
      <c r="AE1025" s="1" t="s">
        <v>24</v>
      </c>
      <c r="AF1025" s="22"/>
    </row>
    <row r="1026" spans="1:32" x14ac:dyDescent="0.2">
      <c r="A1026" s="1">
        <v>5740</v>
      </c>
      <c r="B1026" s="1" t="s">
        <v>3388</v>
      </c>
      <c r="C1026" s="5" t="s">
        <v>0</v>
      </c>
      <c r="D1026" s="1" t="s">
        <v>3389</v>
      </c>
      <c r="F1026" s="1" t="s">
        <v>3390</v>
      </c>
      <c r="G1026" s="1" t="s">
        <v>3390</v>
      </c>
      <c r="H1026" s="1" t="s">
        <v>168</v>
      </c>
      <c r="I1026" s="1" t="s">
        <v>16</v>
      </c>
      <c r="J1026" s="1">
        <v>1</v>
      </c>
      <c r="K1026" s="1">
        <v>12</v>
      </c>
      <c r="L1026" s="1" t="s">
        <v>42</v>
      </c>
      <c r="M1026" s="1" t="s">
        <v>413</v>
      </c>
      <c r="N1026" s="1" t="s">
        <v>679</v>
      </c>
      <c r="O1026" s="1">
        <v>3</v>
      </c>
      <c r="P1026" s="1">
        <v>5</v>
      </c>
      <c r="R1026" s="1" t="s">
        <v>19</v>
      </c>
      <c r="S1026" s="1" t="s">
        <v>20</v>
      </c>
      <c r="T1026" s="1" t="s">
        <v>21</v>
      </c>
      <c r="U1026" s="1" t="s">
        <v>22</v>
      </c>
      <c r="V1026" s="1" t="s">
        <v>24</v>
      </c>
      <c r="W1026" s="1" t="s">
        <v>24</v>
      </c>
      <c r="X1026" s="1">
        <v>3003</v>
      </c>
      <c r="Y1026" s="1" t="s">
        <v>24</v>
      </c>
      <c r="Z1026" s="1" t="s">
        <v>24</v>
      </c>
      <c r="AA1026" s="1" t="s">
        <v>24</v>
      </c>
      <c r="AB1026" s="1" t="s">
        <v>24</v>
      </c>
      <c r="AC1026" s="1" t="s">
        <v>24</v>
      </c>
      <c r="AD1026" s="1" t="s">
        <v>24</v>
      </c>
      <c r="AE1026" s="1" t="s">
        <v>24</v>
      </c>
      <c r="AF1026" s="22"/>
    </row>
    <row r="1027" spans="1:32" x14ac:dyDescent="0.2">
      <c r="A1027" s="1">
        <v>5750</v>
      </c>
      <c r="B1027" s="1" t="s">
        <v>3391</v>
      </c>
      <c r="C1027" s="5" t="s">
        <v>0</v>
      </c>
      <c r="D1027" s="1" t="s">
        <v>3392</v>
      </c>
      <c r="E1027" s="1" t="s">
        <v>3393</v>
      </c>
      <c r="F1027" s="1" t="s">
        <v>109</v>
      </c>
      <c r="G1027" s="1" t="s">
        <v>110</v>
      </c>
      <c r="H1027" s="1" t="s">
        <v>111</v>
      </c>
      <c r="I1027" s="1" t="s">
        <v>16</v>
      </c>
      <c r="J1027" s="1">
        <v>3</v>
      </c>
      <c r="K1027" s="1">
        <v>4</v>
      </c>
      <c r="L1027" s="1" t="s">
        <v>31</v>
      </c>
      <c r="M1027" s="1" t="s">
        <v>18</v>
      </c>
      <c r="N1027" s="1" t="s">
        <v>18</v>
      </c>
      <c r="O1027" s="1">
        <v>3</v>
      </c>
      <c r="P1027" s="1">
        <v>7</v>
      </c>
      <c r="Q1027" s="7" t="s">
        <v>17633</v>
      </c>
      <c r="R1027" s="1" t="s">
        <v>19</v>
      </c>
      <c r="S1027" s="1" t="s">
        <v>20</v>
      </c>
      <c r="T1027" s="1" t="s">
        <v>21</v>
      </c>
      <c r="U1027" s="1" t="s">
        <v>22</v>
      </c>
      <c r="V1027" s="1" t="s">
        <v>24</v>
      </c>
      <c r="W1027" s="1" t="s">
        <v>24</v>
      </c>
      <c r="X1027" s="1">
        <v>3004</v>
      </c>
      <c r="Y1027" s="1" t="s">
        <v>24</v>
      </c>
      <c r="Z1027" s="1" t="s">
        <v>24</v>
      </c>
      <c r="AA1027" s="1" t="s">
        <v>24</v>
      </c>
      <c r="AB1027" s="1" t="s">
        <v>24</v>
      </c>
      <c r="AC1027" s="1" t="s">
        <v>24</v>
      </c>
      <c r="AD1027" s="1" t="s">
        <v>24</v>
      </c>
      <c r="AE1027" s="1" t="s">
        <v>24</v>
      </c>
      <c r="AF1027" s="22"/>
    </row>
    <row r="1028" spans="1:32" x14ac:dyDescent="0.2">
      <c r="A1028" s="1">
        <v>5760</v>
      </c>
      <c r="B1028" s="1" t="s">
        <v>3394</v>
      </c>
      <c r="C1028" s="5" t="s">
        <v>0</v>
      </c>
      <c r="D1028" s="1" t="s">
        <v>3395</v>
      </c>
      <c r="F1028" s="1" t="s">
        <v>3396</v>
      </c>
      <c r="G1028" s="1" t="s">
        <v>36</v>
      </c>
      <c r="H1028" s="1" t="s">
        <v>30</v>
      </c>
      <c r="I1028" s="1" t="s">
        <v>16</v>
      </c>
      <c r="J1028" s="1">
        <v>1</v>
      </c>
      <c r="K1028" s="1">
        <v>12</v>
      </c>
      <c r="L1028" s="1" t="s">
        <v>31</v>
      </c>
      <c r="M1028" s="1" t="s">
        <v>18</v>
      </c>
      <c r="N1028" s="1" t="s">
        <v>18</v>
      </c>
      <c r="O1028" s="1">
        <v>3</v>
      </c>
      <c r="P1028" s="1">
        <v>6</v>
      </c>
      <c r="R1028" s="1" t="s">
        <v>19</v>
      </c>
      <c r="S1028" s="1" t="s">
        <v>20</v>
      </c>
      <c r="T1028" s="1" t="s">
        <v>21</v>
      </c>
      <c r="U1028" s="1" t="s">
        <v>22</v>
      </c>
      <c r="V1028" s="1" t="s">
        <v>24</v>
      </c>
      <c r="W1028" s="1" t="s">
        <v>24</v>
      </c>
      <c r="X1028" s="1">
        <v>2736</v>
      </c>
      <c r="Y1028" s="1" t="s">
        <v>24</v>
      </c>
      <c r="Z1028" s="1" t="s">
        <v>24</v>
      </c>
      <c r="AA1028" s="1" t="s">
        <v>24</v>
      </c>
      <c r="AB1028" s="1" t="s">
        <v>24</v>
      </c>
      <c r="AC1028" s="1" t="s">
        <v>24</v>
      </c>
      <c r="AD1028" s="1" t="s">
        <v>24</v>
      </c>
      <c r="AE1028" s="1" t="s">
        <v>24</v>
      </c>
      <c r="AF1028" s="22" t="s">
        <v>17705</v>
      </c>
    </row>
    <row r="1029" spans="1:32" x14ac:dyDescent="0.2">
      <c r="A1029" s="1">
        <v>5761</v>
      </c>
      <c r="B1029" s="1" t="s">
        <v>3397</v>
      </c>
      <c r="C1029" s="5" t="s">
        <v>0</v>
      </c>
      <c r="D1029" s="1" t="s">
        <v>3398</v>
      </c>
      <c r="E1029" s="1" t="s">
        <v>3399</v>
      </c>
      <c r="F1029" s="1" t="s">
        <v>367</v>
      </c>
      <c r="G1029" s="1" t="s">
        <v>367</v>
      </c>
      <c r="H1029" s="1" t="s">
        <v>30</v>
      </c>
      <c r="I1029" s="1" t="s">
        <v>16</v>
      </c>
      <c r="J1029" s="1">
        <v>1</v>
      </c>
      <c r="K1029" s="1">
        <v>4</v>
      </c>
      <c r="L1029" s="1" t="s">
        <v>42</v>
      </c>
      <c r="M1029" s="1" t="s">
        <v>18</v>
      </c>
      <c r="N1029" s="1" t="s">
        <v>18</v>
      </c>
      <c r="O1029" s="1">
        <v>0</v>
      </c>
      <c r="P1029" s="1">
        <v>7</v>
      </c>
      <c r="Q1029" s="7" t="s">
        <v>17633</v>
      </c>
      <c r="R1029" s="1" t="s">
        <v>62</v>
      </c>
      <c r="S1029" s="1" t="s">
        <v>20</v>
      </c>
      <c r="T1029" s="1" t="s">
        <v>21</v>
      </c>
      <c r="U1029" s="1" t="s">
        <v>22</v>
      </c>
      <c r="V1029" s="1" t="s">
        <v>24</v>
      </c>
      <c r="W1029" s="1" t="s">
        <v>24</v>
      </c>
      <c r="X1029" s="1">
        <v>1314</v>
      </c>
      <c r="Y1029" s="1">
        <v>1312</v>
      </c>
      <c r="Z1029" s="1">
        <v>2737</v>
      </c>
      <c r="AA1029" s="1" t="s">
        <v>24</v>
      </c>
      <c r="AB1029" s="1" t="s">
        <v>24</v>
      </c>
      <c r="AC1029" s="1" t="s">
        <v>24</v>
      </c>
      <c r="AD1029" s="1" t="s">
        <v>24</v>
      </c>
      <c r="AE1029" s="1" t="s">
        <v>24</v>
      </c>
      <c r="AF1029" s="22"/>
    </row>
    <row r="1030" spans="1:32" x14ac:dyDescent="0.2">
      <c r="A1030" s="1">
        <v>5762</v>
      </c>
      <c r="B1030" s="1" t="s">
        <v>3400</v>
      </c>
      <c r="C1030" s="5" t="s">
        <v>0</v>
      </c>
      <c r="D1030" s="1" t="s">
        <v>3401</v>
      </c>
      <c r="E1030" s="1" t="s">
        <v>3402</v>
      </c>
      <c r="F1030" s="1" t="s">
        <v>190</v>
      </c>
      <c r="G1030" s="1" t="s">
        <v>130</v>
      </c>
      <c r="H1030" s="1" t="s">
        <v>30</v>
      </c>
      <c r="I1030" s="1" t="s">
        <v>16</v>
      </c>
      <c r="J1030" s="1">
        <v>1</v>
      </c>
      <c r="K1030" s="1">
        <v>12</v>
      </c>
      <c r="L1030" s="1" t="s">
        <v>31</v>
      </c>
      <c r="M1030" s="1" t="s">
        <v>18</v>
      </c>
      <c r="N1030" s="1" t="s">
        <v>18</v>
      </c>
      <c r="O1030" s="1">
        <v>3</v>
      </c>
      <c r="P1030" s="1">
        <v>8</v>
      </c>
      <c r="Q1030" s="7" t="s">
        <v>17633</v>
      </c>
      <c r="R1030" s="1" t="s">
        <v>62</v>
      </c>
      <c r="S1030" s="1" t="s">
        <v>20</v>
      </c>
      <c r="T1030" s="1" t="s">
        <v>21</v>
      </c>
      <c r="U1030" s="1" t="s">
        <v>22</v>
      </c>
      <c r="V1030" s="1" t="s">
        <v>24</v>
      </c>
      <c r="W1030" s="1" t="s">
        <v>64</v>
      </c>
      <c r="X1030" s="1">
        <v>3003</v>
      </c>
      <c r="Y1030" s="1">
        <v>1605</v>
      </c>
      <c r="Z1030" s="1">
        <v>1313</v>
      </c>
      <c r="AA1030" s="1">
        <v>2736</v>
      </c>
      <c r="AB1030" s="1">
        <v>1305</v>
      </c>
      <c r="AC1030" s="1">
        <v>3004</v>
      </c>
      <c r="AD1030" s="1" t="s">
        <v>24</v>
      </c>
      <c r="AE1030" s="1" t="s">
        <v>24</v>
      </c>
      <c r="AF1030" s="22"/>
    </row>
    <row r="1031" spans="1:32" x14ac:dyDescent="0.2">
      <c r="A1031" s="1">
        <v>5763</v>
      </c>
      <c r="B1031" s="1" t="s">
        <v>3403</v>
      </c>
      <c r="C1031" s="5" t="s">
        <v>0</v>
      </c>
      <c r="D1031" s="1" t="s">
        <v>3404</v>
      </c>
      <c r="E1031" s="1" t="s">
        <v>3405</v>
      </c>
      <c r="F1031" s="1" t="s">
        <v>412</v>
      </c>
      <c r="G1031" s="1" t="s">
        <v>372</v>
      </c>
      <c r="H1031" s="1" t="s">
        <v>168</v>
      </c>
      <c r="I1031" s="1" t="s">
        <v>16</v>
      </c>
      <c r="J1031" s="1">
        <v>1</v>
      </c>
      <c r="K1031" s="1">
        <v>7</v>
      </c>
      <c r="L1031" s="1" t="s">
        <v>31</v>
      </c>
      <c r="M1031" s="1" t="s">
        <v>18</v>
      </c>
      <c r="N1031" s="1" t="s">
        <v>18</v>
      </c>
      <c r="O1031" s="1">
        <v>3</v>
      </c>
      <c r="P1031" s="1">
        <v>7</v>
      </c>
      <c r="Q1031" s="7" t="s">
        <v>17633</v>
      </c>
      <c r="R1031" s="1" t="s">
        <v>19</v>
      </c>
      <c r="S1031" s="1" t="s">
        <v>63</v>
      </c>
      <c r="T1031" s="1" t="s">
        <v>21</v>
      </c>
      <c r="U1031" s="1" t="s">
        <v>22</v>
      </c>
      <c r="V1031" s="1" t="s">
        <v>24</v>
      </c>
      <c r="W1031" s="1" t="s">
        <v>24</v>
      </c>
      <c r="X1031" s="1">
        <v>2736</v>
      </c>
      <c r="Y1031" s="1">
        <v>2738</v>
      </c>
      <c r="Z1031" s="1" t="s">
        <v>24</v>
      </c>
      <c r="AA1031" s="1" t="s">
        <v>24</v>
      </c>
      <c r="AB1031" s="1" t="s">
        <v>24</v>
      </c>
      <c r="AC1031" s="1" t="s">
        <v>24</v>
      </c>
      <c r="AD1031" s="1" t="s">
        <v>24</v>
      </c>
      <c r="AE1031" s="1" t="s">
        <v>24</v>
      </c>
      <c r="AF1031" s="22"/>
    </row>
    <row r="1032" spans="1:32" x14ac:dyDescent="0.2">
      <c r="A1032" s="1">
        <v>5764</v>
      </c>
      <c r="B1032" s="1" t="s">
        <v>3406</v>
      </c>
      <c r="C1032" s="5" t="s">
        <v>0</v>
      </c>
      <c r="D1032" s="1" t="s">
        <v>3407</v>
      </c>
      <c r="E1032" s="1" t="s">
        <v>3408</v>
      </c>
      <c r="F1032" s="1" t="s">
        <v>3409</v>
      </c>
      <c r="G1032" s="1" t="s">
        <v>3409</v>
      </c>
      <c r="H1032" s="1" t="s">
        <v>30</v>
      </c>
      <c r="I1032" s="1" t="s">
        <v>16</v>
      </c>
      <c r="J1032" s="1">
        <v>1</v>
      </c>
      <c r="K1032" s="1">
        <v>6</v>
      </c>
      <c r="L1032" s="1" t="s">
        <v>42</v>
      </c>
      <c r="M1032" s="1" t="s">
        <v>18</v>
      </c>
      <c r="N1032" s="1" t="s">
        <v>18</v>
      </c>
      <c r="O1032" s="1">
        <v>3</v>
      </c>
      <c r="P1032" s="1">
        <v>7</v>
      </c>
      <c r="Q1032" s="7" t="s">
        <v>17633</v>
      </c>
      <c r="R1032" s="1" t="s">
        <v>19</v>
      </c>
      <c r="S1032" s="1" t="s">
        <v>20</v>
      </c>
      <c r="T1032" s="1" t="s">
        <v>21</v>
      </c>
      <c r="U1032" s="1" t="s">
        <v>22</v>
      </c>
      <c r="V1032" s="1" t="s">
        <v>23</v>
      </c>
      <c r="W1032" s="1" t="s">
        <v>24</v>
      </c>
      <c r="X1032" s="1">
        <v>2739</v>
      </c>
      <c r="Y1032" s="1" t="s">
        <v>24</v>
      </c>
      <c r="Z1032" s="1" t="s">
        <v>24</v>
      </c>
      <c r="AA1032" s="1" t="s">
        <v>24</v>
      </c>
      <c r="AB1032" s="1" t="s">
        <v>24</v>
      </c>
      <c r="AC1032" s="1" t="s">
        <v>24</v>
      </c>
      <c r="AD1032" s="1" t="s">
        <v>24</v>
      </c>
      <c r="AE1032" s="1" t="s">
        <v>24</v>
      </c>
      <c r="AF1032" s="22"/>
    </row>
    <row r="1033" spans="1:32" x14ac:dyDescent="0.2">
      <c r="A1033" s="1">
        <v>5769</v>
      </c>
      <c r="B1033" s="1" t="s">
        <v>3410</v>
      </c>
      <c r="C1033" s="5" t="s">
        <v>0</v>
      </c>
      <c r="D1033" s="1" t="s">
        <v>3411</v>
      </c>
      <c r="E1033" s="1" t="s">
        <v>3412</v>
      </c>
      <c r="F1033" s="1" t="s">
        <v>155</v>
      </c>
      <c r="G1033" s="1" t="s">
        <v>61</v>
      </c>
      <c r="H1033" s="1" t="s">
        <v>37</v>
      </c>
      <c r="I1033" s="1" t="s">
        <v>16</v>
      </c>
      <c r="J1033" s="1">
        <v>1</v>
      </c>
      <c r="K1033" s="1">
        <v>4</v>
      </c>
      <c r="L1033" s="1" t="s">
        <v>31</v>
      </c>
      <c r="M1033" s="1" t="s">
        <v>18</v>
      </c>
      <c r="N1033" s="1" t="s">
        <v>18</v>
      </c>
      <c r="O1033" s="1">
        <v>3</v>
      </c>
      <c r="P1033" s="1">
        <v>7</v>
      </c>
      <c r="Q1033" s="7" t="s">
        <v>17633</v>
      </c>
      <c r="R1033" s="1" t="s">
        <v>19</v>
      </c>
      <c r="S1033" s="1" t="s">
        <v>20</v>
      </c>
      <c r="T1033" s="1" t="s">
        <v>21</v>
      </c>
      <c r="U1033" s="1" t="s">
        <v>22</v>
      </c>
      <c r="V1033" s="1" t="s">
        <v>23</v>
      </c>
      <c r="W1033" s="1" t="s">
        <v>24</v>
      </c>
      <c r="X1033" s="1">
        <v>3612</v>
      </c>
      <c r="Y1033" s="1" t="s">
        <v>24</v>
      </c>
      <c r="Z1033" s="1" t="s">
        <v>24</v>
      </c>
      <c r="AA1033" s="1" t="s">
        <v>24</v>
      </c>
      <c r="AB1033" s="1" t="s">
        <v>24</v>
      </c>
      <c r="AC1033" s="1" t="s">
        <v>24</v>
      </c>
      <c r="AD1033" s="1" t="s">
        <v>24</v>
      </c>
      <c r="AE1033" s="1" t="s">
        <v>24</v>
      </c>
      <c r="AF1033" s="22"/>
    </row>
    <row r="1034" spans="1:32" x14ac:dyDescent="0.2">
      <c r="A1034" s="1">
        <v>5770</v>
      </c>
      <c r="B1034" s="1" t="s">
        <v>3413</v>
      </c>
      <c r="C1034" s="5" t="s">
        <v>0</v>
      </c>
      <c r="D1034" s="1" t="s">
        <v>3414</v>
      </c>
      <c r="F1034" s="1" t="s">
        <v>3415</v>
      </c>
      <c r="G1034" s="1" t="s">
        <v>3415</v>
      </c>
      <c r="H1034" s="1" t="s">
        <v>30</v>
      </c>
      <c r="I1034" s="1" t="s">
        <v>16</v>
      </c>
      <c r="J1034" s="1">
        <v>1</v>
      </c>
      <c r="K1034" s="1">
        <v>4</v>
      </c>
      <c r="L1034" s="1" t="s">
        <v>42</v>
      </c>
      <c r="M1034" s="1" t="s">
        <v>18</v>
      </c>
      <c r="N1034" s="1" t="s">
        <v>18</v>
      </c>
      <c r="O1034" s="1">
        <v>3</v>
      </c>
      <c r="P1034" s="1">
        <v>6</v>
      </c>
      <c r="R1034" s="1" t="s">
        <v>19</v>
      </c>
      <c r="S1034" s="1" t="s">
        <v>20</v>
      </c>
      <c r="T1034" s="1" t="s">
        <v>21</v>
      </c>
      <c r="U1034" s="1" t="s">
        <v>22</v>
      </c>
      <c r="V1034" s="1" t="s">
        <v>23</v>
      </c>
      <c r="W1034" s="1" t="s">
        <v>24</v>
      </c>
      <c r="X1034" s="1">
        <v>2732</v>
      </c>
      <c r="Y1034" s="1">
        <v>3612</v>
      </c>
      <c r="Z1034" s="1" t="s">
        <v>24</v>
      </c>
      <c r="AA1034" s="1" t="s">
        <v>24</v>
      </c>
      <c r="AB1034" s="1" t="s">
        <v>24</v>
      </c>
      <c r="AC1034" s="1" t="s">
        <v>24</v>
      </c>
      <c r="AD1034" s="1" t="s">
        <v>24</v>
      </c>
      <c r="AE1034" s="1" t="s">
        <v>24</v>
      </c>
      <c r="AF1034" s="22"/>
    </row>
    <row r="1035" spans="1:32" x14ac:dyDescent="0.2">
      <c r="A1035" s="1">
        <v>5777</v>
      </c>
      <c r="B1035" s="1" t="s">
        <v>3416</v>
      </c>
      <c r="C1035" s="5" t="s">
        <v>0</v>
      </c>
      <c r="D1035" s="1" t="s">
        <v>3417</v>
      </c>
      <c r="E1035" s="1" t="s">
        <v>3418</v>
      </c>
      <c r="F1035" s="1" t="s">
        <v>272</v>
      </c>
      <c r="G1035" s="1" t="s">
        <v>61</v>
      </c>
      <c r="H1035" s="1" t="s">
        <v>30</v>
      </c>
      <c r="I1035" s="1" t="s">
        <v>16</v>
      </c>
      <c r="J1035" s="1">
        <v>4</v>
      </c>
      <c r="K1035" s="1">
        <v>3</v>
      </c>
      <c r="L1035" s="1" t="s">
        <v>31</v>
      </c>
      <c r="M1035" s="1" t="s">
        <v>18</v>
      </c>
      <c r="N1035" s="1" t="s">
        <v>18</v>
      </c>
      <c r="O1035" s="1">
        <v>3</v>
      </c>
      <c r="P1035" s="1">
        <v>7</v>
      </c>
      <c r="Q1035" s="7" t="s">
        <v>17633</v>
      </c>
      <c r="R1035" s="1" t="s">
        <v>62</v>
      </c>
      <c r="S1035" s="1" t="s">
        <v>20</v>
      </c>
      <c r="T1035" s="1" t="s">
        <v>21</v>
      </c>
      <c r="U1035" s="1" t="s">
        <v>22</v>
      </c>
      <c r="V1035" s="1" t="s">
        <v>24</v>
      </c>
      <c r="W1035" s="1" t="s">
        <v>64</v>
      </c>
      <c r="X1035" s="1">
        <v>3004</v>
      </c>
      <c r="Y1035" s="1">
        <v>2736</v>
      </c>
      <c r="Z1035" s="1" t="s">
        <v>24</v>
      </c>
      <c r="AA1035" s="1" t="s">
        <v>24</v>
      </c>
      <c r="AB1035" s="1" t="s">
        <v>24</v>
      </c>
      <c r="AC1035" s="1" t="s">
        <v>24</v>
      </c>
      <c r="AD1035" s="1" t="s">
        <v>24</v>
      </c>
      <c r="AE1035" s="1" t="s">
        <v>24</v>
      </c>
      <c r="AF1035" s="22"/>
    </row>
    <row r="1036" spans="1:32" x14ac:dyDescent="0.2">
      <c r="A1036" s="1">
        <v>5781</v>
      </c>
      <c r="B1036" s="1" t="s">
        <v>3419</v>
      </c>
      <c r="C1036" s="5" t="s">
        <v>0</v>
      </c>
      <c r="D1036" s="1" t="s">
        <v>3420</v>
      </c>
      <c r="F1036" s="1" t="s">
        <v>3421</v>
      </c>
      <c r="G1036" s="1" t="s">
        <v>3422</v>
      </c>
      <c r="H1036" s="1" t="s">
        <v>92</v>
      </c>
      <c r="I1036" s="1" t="s">
        <v>16</v>
      </c>
      <c r="J1036" s="1">
        <v>1</v>
      </c>
      <c r="K1036" s="1">
        <v>51</v>
      </c>
      <c r="L1036" s="1" t="s">
        <v>17</v>
      </c>
      <c r="M1036" s="1" t="s">
        <v>1646</v>
      </c>
      <c r="N1036" s="1" t="s">
        <v>1646</v>
      </c>
      <c r="O1036" s="1">
        <v>0</v>
      </c>
      <c r="P1036" s="1">
        <v>5</v>
      </c>
      <c r="R1036" s="1" t="s">
        <v>19</v>
      </c>
      <c r="S1036" s="1" t="s">
        <v>20</v>
      </c>
      <c r="T1036" s="1" t="s">
        <v>21</v>
      </c>
      <c r="U1036" s="1" t="s">
        <v>22</v>
      </c>
      <c r="V1036" s="1" t="s">
        <v>24</v>
      </c>
      <c r="W1036" s="1" t="s">
        <v>24</v>
      </c>
      <c r="X1036" s="1">
        <v>3004</v>
      </c>
      <c r="Y1036" s="1">
        <v>2736</v>
      </c>
      <c r="Z1036" s="1" t="s">
        <v>24</v>
      </c>
      <c r="AA1036" s="1" t="s">
        <v>24</v>
      </c>
      <c r="AB1036" s="1" t="s">
        <v>24</v>
      </c>
      <c r="AC1036" s="1" t="s">
        <v>24</v>
      </c>
      <c r="AD1036" s="1" t="s">
        <v>24</v>
      </c>
      <c r="AE1036" s="1" t="s">
        <v>24</v>
      </c>
      <c r="AF1036" s="22"/>
    </row>
    <row r="1037" spans="1:32" x14ac:dyDescent="0.2">
      <c r="A1037" s="1">
        <v>5797</v>
      </c>
      <c r="B1037" s="1" t="s">
        <v>3423</v>
      </c>
      <c r="C1037" s="5" t="s">
        <v>0</v>
      </c>
      <c r="D1037" s="1" t="s">
        <v>3424</v>
      </c>
      <c r="F1037" s="1" t="s">
        <v>3425</v>
      </c>
      <c r="G1037" s="1" t="s">
        <v>3426</v>
      </c>
      <c r="H1037" s="1" t="s">
        <v>453</v>
      </c>
      <c r="I1037" s="1" t="s">
        <v>16</v>
      </c>
      <c r="J1037" s="1">
        <v>1</v>
      </c>
      <c r="K1037" s="1">
        <v>2</v>
      </c>
      <c r="L1037" s="1" t="s">
        <v>31</v>
      </c>
      <c r="M1037" s="1" t="s">
        <v>18</v>
      </c>
      <c r="N1037" s="1" t="s">
        <v>3427</v>
      </c>
      <c r="O1037" s="1">
        <v>0</v>
      </c>
      <c r="P1037" s="1">
        <v>5</v>
      </c>
      <c r="R1037" s="1" t="s">
        <v>19</v>
      </c>
      <c r="S1037" s="1" t="s">
        <v>20</v>
      </c>
      <c r="T1037" s="1" t="s">
        <v>21</v>
      </c>
      <c r="U1037" s="1" t="s">
        <v>22</v>
      </c>
      <c r="V1037" s="1" t="s">
        <v>24</v>
      </c>
      <c r="W1037" s="1" t="s">
        <v>24</v>
      </c>
      <c r="X1037" s="1">
        <v>2726</v>
      </c>
      <c r="Y1037" s="1">
        <v>2400</v>
      </c>
      <c r="Z1037" s="1">
        <v>2725</v>
      </c>
      <c r="AA1037" s="1" t="s">
        <v>24</v>
      </c>
      <c r="AB1037" s="1" t="s">
        <v>24</v>
      </c>
      <c r="AC1037" s="1" t="s">
        <v>24</v>
      </c>
      <c r="AD1037" s="1" t="s">
        <v>24</v>
      </c>
      <c r="AE1037" s="1" t="s">
        <v>24</v>
      </c>
      <c r="AF1037" s="22"/>
    </row>
    <row r="1038" spans="1:32" x14ac:dyDescent="0.2">
      <c r="A1038" s="1">
        <v>5817</v>
      </c>
      <c r="B1038" s="1" t="s">
        <v>3428</v>
      </c>
      <c r="C1038" s="5" t="s">
        <v>0</v>
      </c>
      <c r="D1038" s="1" t="s">
        <v>3429</v>
      </c>
      <c r="E1038" s="1" t="s">
        <v>3430</v>
      </c>
      <c r="F1038" s="1" t="s">
        <v>1177</v>
      </c>
      <c r="G1038" s="1" t="s">
        <v>61</v>
      </c>
      <c r="H1038" s="1" t="s">
        <v>37</v>
      </c>
      <c r="I1038" s="1" t="s">
        <v>16</v>
      </c>
      <c r="J1038" s="1">
        <v>1</v>
      </c>
      <c r="K1038" s="1">
        <v>12</v>
      </c>
      <c r="L1038" s="1" t="s">
        <v>31</v>
      </c>
      <c r="M1038" s="1" t="s">
        <v>18</v>
      </c>
      <c r="N1038" s="1" t="s">
        <v>18</v>
      </c>
      <c r="O1038" s="1">
        <v>3</v>
      </c>
      <c r="P1038" s="1">
        <v>7</v>
      </c>
      <c r="Q1038" s="7" t="s">
        <v>17633</v>
      </c>
      <c r="R1038" s="1" t="s">
        <v>62</v>
      </c>
      <c r="S1038" s="1" t="s">
        <v>20</v>
      </c>
      <c r="T1038" s="1" t="s">
        <v>21</v>
      </c>
      <c r="U1038" s="1" t="s">
        <v>22</v>
      </c>
      <c r="V1038" s="1" t="s">
        <v>24</v>
      </c>
      <c r="W1038" s="1" t="s">
        <v>24</v>
      </c>
      <c r="X1038" s="1">
        <v>2729</v>
      </c>
      <c r="Y1038" s="1">
        <v>2743</v>
      </c>
      <c r="Z1038" s="1">
        <v>1309</v>
      </c>
      <c r="AA1038" s="1" t="s">
        <v>24</v>
      </c>
      <c r="AB1038" s="1" t="s">
        <v>24</v>
      </c>
      <c r="AC1038" s="1" t="s">
        <v>24</v>
      </c>
      <c r="AD1038" s="1" t="s">
        <v>24</v>
      </c>
      <c r="AE1038" s="1" t="s">
        <v>24</v>
      </c>
      <c r="AF1038" s="22"/>
    </row>
    <row r="1039" spans="1:32" x14ac:dyDescent="0.2">
      <c r="A1039" s="1">
        <v>5838</v>
      </c>
      <c r="B1039" s="1" t="s">
        <v>3431</v>
      </c>
      <c r="C1039" s="5" t="s">
        <v>0</v>
      </c>
      <c r="D1039" s="1" t="s">
        <v>3432</v>
      </c>
      <c r="E1039" s="1" t="s">
        <v>3433</v>
      </c>
      <c r="F1039" s="1" t="s">
        <v>155</v>
      </c>
      <c r="G1039" s="1" t="s">
        <v>61</v>
      </c>
      <c r="H1039" s="1" t="s">
        <v>37</v>
      </c>
      <c r="I1039" s="1" t="s">
        <v>16</v>
      </c>
      <c r="J1039" s="1">
        <v>1</v>
      </c>
      <c r="K1039" s="1">
        <v>4</v>
      </c>
      <c r="L1039" s="1" t="s">
        <v>31</v>
      </c>
      <c r="M1039" s="1" t="s">
        <v>18</v>
      </c>
      <c r="N1039" s="1" t="s">
        <v>18</v>
      </c>
      <c r="O1039" s="1">
        <v>3</v>
      </c>
      <c r="P1039" s="1">
        <v>7</v>
      </c>
      <c r="Q1039" s="7" t="s">
        <v>17633</v>
      </c>
      <c r="R1039" s="1" t="s">
        <v>62</v>
      </c>
      <c r="S1039" s="1" t="s">
        <v>63</v>
      </c>
      <c r="T1039" s="1" t="s">
        <v>21</v>
      </c>
      <c r="U1039" s="1" t="s">
        <v>22</v>
      </c>
      <c r="V1039" s="1" t="s">
        <v>24</v>
      </c>
      <c r="W1039" s="1" t="s">
        <v>64</v>
      </c>
      <c r="X1039" s="1">
        <v>1307</v>
      </c>
      <c r="Y1039" s="1">
        <v>1303</v>
      </c>
      <c r="Z1039" s="1" t="s">
        <v>24</v>
      </c>
      <c r="AA1039" s="1" t="s">
        <v>24</v>
      </c>
      <c r="AB1039" s="1" t="s">
        <v>24</v>
      </c>
      <c r="AC1039" s="1" t="s">
        <v>24</v>
      </c>
      <c r="AD1039" s="1" t="s">
        <v>24</v>
      </c>
      <c r="AE1039" s="1" t="s">
        <v>24</v>
      </c>
      <c r="AF1039" s="22"/>
    </row>
    <row r="1040" spans="1:32" x14ac:dyDescent="0.2">
      <c r="A1040" s="1">
        <v>5840</v>
      </c>
      <c r="B1040" s="1" t="s">
        <v>3434</v>
      </c>
      <c r="C1040" s="5" t="s">
        <v>0</v>
      </c>
      <c r="D1040" s="1" t="s">
        <v>3435</v>
      </c>
      <c r="E1040" s="1" t="s">
        <v>3436</v>
      </c>
      <c r="F1040" s="1" t="s">
        <v>412</v>
      </c>
      <c r="G1040" s="1" t="s">
        <v>372</v>
      </c>
      <c r="H1040" s="1" t="s">
        <v>168</v>
      </c>
      <c r="I1040" s="1" t="s">
        <v>16</v>
      </c>
      <c r="J1040" s="1">
        <v>1</v>
      </c>
      <c r="K1040" s="1">
        <v>18</v>
      </c>
      <c r="L1040" s="1" t="s">
        <v>31</v>
      </c>
      <c r="M1040" s="1" t="s">
        <v>242</v>
      </c>
      <c r="N1040" s="1" t="s">
        <v>18</v>
      </c>
      <c r="O1040" s="1">
        <v>3</v>
      </c>
      <c r="P1040" s="1">
        <v>6</v>
      </c>
      <c r="R1040" s="1" t="s">
        <v>19</v>
      </c>
      <c r="S1040" s="1" t="s">
        <v>63</v>
      </c>
      <c r="T1040" s="1" t="s">
        <v>21</v>
      </c>
      <c r="U1040" s="1" t="s">
        <v>22</v>
      </c>
      <c r="V1040" s="1" t="s">
        <v>24</v>
      </c>
      <c r="W1040" s="1" t="s">
        <v>64</v>
      </c>
      <c r="X1040" s="1">
        <v>3002</v>
      </c>
      <c r="Y1040" s="1">
        <v>3004</v>
      </c>
      <c r="Z1040" s="1">
        <v>3003</v>
      </c>
      <c r="AA1040" s="1">
        <v>1602</v>
      </c>
      <c r="AB1040" s="1">
        <v>1605</v>
      </c>
      <c r="AC1040" s="1">
        <v>1313</v>
      </c>
      <c r="AD1040" s="1">
        <v>2707</v>
      </c>
      <c r="AE1040" s="1" t="s">
        <v>24</v>
      </c>
      <c r="AF1040" s="22"/>
    </row>
    <row r="1041" spans="1:32" x14ac:dyDescent="0.2">
      <c r="A1041" s="1">
        <v>5854</v>
      </c>
      <c r="B1041" s="1" t="s">
        <v>3437</v>
      </c>
      <c r="C1041" s="5" t="s">
        <v>0</v>
      </c>
      <c r="D1041" s="1" t="s">
        <v>3438</v>
      </c>
      <c r="E1041" s="1" t="s">
        <v>3439</v>
      </c>
      <c r="F1041" s="1" t="s">
        <v>60</v>
      </c>
      <c r="G1041" s="1" t="s">
        <v>61</v>
      </c>
      <c r="H1041" s="1" t="s">
        <v>30</v>
      </c>
      <c r="I1041" s="1" t="s">
        <v>16</v>
      </c>
      <c r="J1041" s="1">
        <v>2</v>
      </c>
      <c r="K1041" s="1">
        <v>3</v>
      </c>
      <c r="L1041" s="1" t="s">
        <v>31</v>
      </c>
      <c r="M1041" s="1" t="s">
        <v>18</v>
      </c>
      <c r="N1041" s="1" t="s">
        <v>18</v>
      </c>
      <c r="O1041" s="1">
        <v>3</v>
      </c>
      <c r="P1041" s="1">
        <v>6</v>
      </c>
      <c r="R1041" s="1" t="s">
        <v>19</v>
      </c>
      <c r="S1041" s="1" t="s">
        <v>63</v>
      </c>
      <c r="T1041" s="1" t="s">
        <v>21</v>
      </c>
      <c r="U1041" s="1" t="s">
        <v>22</v>
      </c>
      <c r="V1041" s="1" t="s">
        <v>24</v>
      </c>
      <c r="W1041" s="1" t="s">
        <v>24</v>
      </c>
      <c r="X1041" s="1">
        <v>1312</v>
      </c>
      <c r="Y1041" s="1" t="s">
        <v>24</v>
      </c>
      <c r="Z1041" s="1" t="s">
        <v>24</v>
      </c>
      <c r="AA1041" s="1" t="s">
        <v>24</v>
      </c>
      <c r="AB1041" s="1" t="s">
        <v>24</v>
      </c>
      <c r="AC1041" s="1" t="s">
        <v>24</v>
      </c>
      <c r="AD1041" s="1" t="s">
        <v>24</v>
      </c>
      <c r="AE1041" s="1" t="s">
        <v>24</v>
      </c>
      <c r="AF1041" s="22"/>
    </row>
    <row r="1042" spans="1:32" x14ac:dyDescent="0.2">
      <c r="A1042" s="1">
        <v>5870</v>
      </c>
      <c r="B1042" s="1" t="s">
        <v>3440</v>
      </c>
      <c r="C1042" s="5" t="s">
        <v>0</v>
      </c>
      <c r="D1042" s="1" t="s">
        <v>3441</v>
      </c>
      <c r="F1042" s="1" t="s">
        <v>3442</v>
      </c>
      <c r="G1042" s="1" t="s">
        <v>3442</v>
      </c>
      <c r="H1042" s="1" t="s">
        <v>249</v>
      </c>
      <c r="I1042" s="1" t="s">
        <v>16</v>
      </c>
      <c r="J1042" s="1">
        <v>1</v>
      </c>
      <c r="K1042" s="1">
        <v>4</v>
      </c>
      <c r="L1042" s="1" t="s">
        <v>17</v>
      </c>
      <c r="M1042" s="1" t="s">
        <v>250</v>
      </c>
      <c r="N1042" s="1" t="s">
        <v>1463</v>
      </c>
      <c r="O1042" s="1">
        <v>1</v>
      </c>
      <c r="P1042" s="1">
        <v>5</v>
      </c>
      <c r="R1042" s="1" t="s">
        <v>19</v>
      </c>
      <c r="S1042" s="1" t="s">
        <v>20</v>
      </c>
      <c r="T1042" s="1" t="s">
        <v>21</v>
      </c>
      <c r="U1042" s="1" t="s">
        <v>22</v>
      </c>
      <c r="V1042" s="1" t="s">
        <v>24</v>
      </c>
      <c r="W1042" s="1" t="s">
        <v>24</v>
      </c>
      <c r="X1042" s="1">
        <v>2726</v>
      </c>
      <c r="Y1042" s="1">
        <v>2404</v>
      </c>
      <c r="Z1042" s="1" t="s">
        <v>24</v>
      </c>
      <c r="AA1042" s="1" t="s">
        <v>24</v>
      </c>
      <c r="AB1042" s="1" t="s">
        <v>24</v>
      </c>
      <c r="AC1042" s="1" t="s">
        <v>24</v>
      </c>
      <c r="AD1042" s="1" t="s">
        <v>24</v>
      </c>
      <c r="AE1042" s="1" t="s">
        <v>24</v>
      </c>
      <c r="AF1042" s="22"/>
    </row>
    <row r="1043" spans="1:32" x14ac:dyDescent="0.2">
      <c r="A1043" s="1">
        <v>5877</v>
      </c>
      <c r="B1043" s="1" t="s">
        <v>3443</v>
      </c>
      <c r="C1043" s="5" t="s">
        <v>0</v>
      </c>
      <c r="D1043" s="1" t="s">
        <v>3444</v>
      </c>
      <c r="E1043" s="1" t="s">
        <v>3445</v>
      </c>
      <c r="F1043" s="1" t="s">
        <v>3446</v>
      </c>
      <c r="G1043" s="1" t="s">
        <v>3446</v>
      </c>
      <c r="H1043" s="1" t="s">
        <v>30</v>
      </c>
      <c r="I1043" s="1" t="s">
        <v>16</v>
      </c>
      <c r="J1043" s="1">
        <v>1</v>
      </c>
      <c r="K1043" s="1">
        <v>52</v>
      </c>
      <c r="L1043" s="1" t="s">
        <v>42</v>
      </c>
      <c r="M1043" s="1" t="s">
        <v>18</v>
      </c>
      <c r="N1043" s="1" t="s">
        <v>18</v>
      </c>
      <c r="O1043" s="1">
        <v>3</v>
      </c>
      <c r="P1043" s="1">
        <v>8</v>
      </c>
      <c r="Q1043" s="7" t="s">
        <v>17633</v>
      </c>
      <c r="R1043" s="1" t="s">
        <v>62</v>
      </c>
      <c r="S1043" s="1" t="s">
        <v>20</v>
      </c>
      <c r="T1043" s="1" t="s">
        <v>21</v>
      </c>
      <c r="U1043" s="1" t="s">
        <v>22</v>
      </c>
      <c r="V1043" s="1" t="s">
        <v>24</v>
      </c>
      <c r="W1043" s="1" t="s">
        <v>64</v>
      </c>
      <c r="X1043" s="1">
        <v>1000</v>
      </c>
      <c r="Y1043" s="1" t="s">
        <v>24</v>
      </c>
      <c r="Z1043" s="1" t="s">
        <v>24</v>
      </c>
      <c r="AA1043" s="1" t="s">
        <v>24</v>
      </c>
      <c r="AB1043" s="1" t="s">
        <v>24</v>
      </c>
      <c r="AC1043" s="1" t="s">
        <v>24</v>
      </c>
      <c r="AD1043" s="1" t="s">
        <v>24</v>
      </c>
      <c r="AE1043" s="1" t="s">
        <v>24</v>
      </c>
      <c r="AF1043" s="22"/>
    </row>
    <row r="1044" spans="1:32" x14ac:dyDescent="0.2">
      <c r="A1044" s="1">
        <v>5891</v>
      </c>
      <c r="B1044" s="1" t="s">
        <v>3447</v>
      </c>
      <c r="C1044" s="5" t="s">
        <v>0</v>
      </c>
      <c r="D1044" s="1" t="s">
        <v>3448</v>
      </c>
      <c r="E1044" s="1" t="s">
        <v>3449</v>
      </c>
      <c r="F1044" s="1" t="s">
        <v>272</v>
      </c>
      <c r="G1044" s="1" t="s">
        <v>61</v>
      </c>
      <c r="H1044" s="1" t="s">
        <v>30</v>
      </c>
      <c r="I1044" s="1" t="s">
        <v>16</v>
      </c>
      <c r="J1044" s="1">
        <v>1</v>
      </c>
      <c r="K1044" s="1">
        <v>8</v>
      </c>
      <c r="L1044" s="1" t="s">
        <v>31</v>
      </c>
      <c r="M1044" s="1" t="s">
        <v>18</v>
      </c>
      <c r="N1044" s="1" t="s">
        <v>18</v>
      </c>
      <c r="O1044" s="1">
        <v>3</v>
      </c>
      <c r="P1044" s="1">
        <v>6</v>
      </c>
      <c r="R1044" s="1" t="s">
        <v>62</v>
      </c>
      <c r="S1044" s="1" t="s">
        <v>63</v>
      </c>
      <c r="T1044" s="1" t="s">
        <v>21</v>
      </c>
      <c r="U1044" s="1" t="s">
        <v>22</v>
      </c>
      <c r="V1044" s="1" t="s">
        <v>24</v>
      </c>
      <c r="W1044" s="1" t="s">
        <v>24</v>
      </c>
      <c r="X1044" s="1">
        <v>2803</v>
      </c>
      <c r="Y1044" s="1">
        <v>3004</v>
      </c>
      <c r="Z1044" s="1" t="s">
        <v>24</v>
      </c>
      <c r="AA1044" s="1" t="s">
        <v>24</v>
      </c>
      <c r="AB1044" s="1" t="s">
        <v>24</v>
      </c>
      <c r="AC1044" s="1" t="s">
        <v>24</v>
      </c>
      <c r="AD1044" s="1" t="s">
        <v>24</v>
      </c>
      <c r="AE1044" s="1" t="s">
        <v>24</v>
      </c>
      <c r="AF1044" s="22"/>
    </row>
    <row r="1045" spans="1:32" x14ac:dyDescent="0.2">
      <c r="A1045" s="1">
        <v>5895</v>
      </c>
      <c r="B1045" s="1" t="s">
        <v>3450</v>
      </c>
      <c r="C1045" s="5" t="s">
        <v>0</v>
      </c>
      <c r="D1045" s="1" t="s">
        <v>3451</v>
      </c>
      <c r="E1045" s="1" t="s">
        <v>3452</v>
      </c>
      <c r="F1045" s="1" t="s">
        <v>1683</v>
      </c>
      <c r="G1045" s="1" t="s">
        <v>61</v>
      </c>
      <c r="H1045" s="1" t="s">
        <v>116</v>
      </c>
      <c r="I1045" s="1" t="s">
        <v>16</v>
      </c>
      <c r="J1045" s="1">
        <v>1</v>
      </c>
      <c r="K1045" s="1">
        <v>12</v>
      </c>
      <c r="L1045" s="1" t="s">
        <v>31</v>
      </c>
      <c r="M1045" s="1" t="s">
        <v>117</v>
      </c>
      <c r="N1045" s="1" t="s">
        <v>226</v>
      </c>
      <c r="O1045" s="1">
        <v>3</v>
      </c>
      <c r="P1045" s="1">
        <v>6</v>
      </c>
      <c r="R1045" s="1" t="s">
        <v>19</v>
      </c>
      <c r="S1045" s="1" t="s">
        <v>20</v>
      </c>
      <c r="T1045" s="1" t="s">
        <v>21</v>
      </c>
      <c r="U1045" s="1" t="s">
        <v>22</v>
      </c>
      <c r="V1045" s="1" t="s">
        <v>24</v>
      </c>
      <c r="W1045" s="1" t="s">
        <v>24</v>
      </c>
      <c r="X1045" s="1">
        <v>2729</v>
      </c>
      <c r="Y1045" s="1" t="s">
        <v>24</v>
      </c>
      <c r="Z1045" s="1" t="s">
        <v>24</v>
      </c>
      <c r="AA1045" s="1" t="s">
        <v>24</v>
      </c>
      <c r="AB1045" s="1" t="s">
        <v>24</v>
      </c>
      <c r="AC1045" s="1" t="s">
        <v>24</v>
      </c>
      <c r="AD1045" s="1" t="s">
        <v>24</v>
      </c>
      <c r="AE1045" s="1" t="s">
        <v>24</v>
      </c>
      <c r="AF1045" s="22"/>
    </row>
    <row r="1046" spans="1:32" x14ac:dyDescent="0.2">
      <c r="A1046" s="1">
        <v>5899</v>
      </c>
      <c r="B1046" s="1" t="s">
        <v>3453</v>
      </c>
      <c r="C1046" s="5" t="s">
        <v>0</v>
      </c>
      <c r="D1046" s="1" t="s">
        <v>3454</v>
      </c>
      <c r="E1046" s="1" t="s">
        <v>3455</v>
      </c>
      <c r="F1046" s="1" t="s">
        <v>97</v>
      </c>
      <c r="G1046" s="1" t="s">
        <v>98</v>
      </c>
      <c r="H1046" s="1" t="s">
        <v>37</v>
      </c>
      <c r="I1046" s="1" t="s">
        <v>16</v>
      </c>
      <c r="J1046" s="1">
        <v>1</v>
      </c>
      <c r="K1046" s="1">
        <v>6</v>
      </c>
      <c r="L1046" s="1" t="s">
        <v>31</v>
      </c>
      <c r="M1046" s="1" t="s">
        <v>18</v>
      </c>
      <c r="N1046" s="1" t="s">
        <v>18</v>
      </c>
      <c r="O1046" s="1">
        <v>2</v>
      </c>
      <c r="P1046" s="1">
        <v>6</v>
      </c>
      <c r="R1046" s="1" t="s">
        <v>19</v>
      </c>
      <c r="S1046" s="1" t="s">
        <v>20</v>
      </c>
      <c r="T1046" s="1" t="s">
        <v>21</v>
      </c>
      <c r="U1046" s="1" t="s">
        <v>22</v>
      </c>
      <c r="V1046" s="1" t="s">
        <v>23</v>
      </c>
      <c r="W1046" s="1" t="s">
        <v>24</v>
      </c>
      <c r="X1046" s="1">
        <v>2742</v>
      </c>
      <c r="Y1046" s="1">
        <v>3601</v>
      </c>
      <c r="Z1046" s="1" t="s">
        <v>24</v>
      </c>
      <c r="AA1046" s="1" t="s">
        <v>24</v>
      </c>
      <c r="AB1046" s="1" t="s">
        <v>24</v>
      </c>
      <c r="AC1046" s="1" t="s">
        <v>24</v>
      </c>
      <c r="AD1046" s="1" t="s">
        <v>24</v>
      </c>
      <c r="AE1046" s="1" t="s">
        <v>24</v>
      </c>
      <c r="AF1046" s="22"/>
    </row>
    <row r="1047" spans="1:32" x14ac:dyDescent="0.2">
      <c r="A1047" s="1">
        <v>5904</v>
      </c>
      <c r="B1047" s="1" t="s">
        <v>3456</v>
      </c>
      <c r="C1047" s="5" t="s">
        <v>0</v>
      </c>
      <c r="D1047" s="1" t="s">
        <v>3457</v>
      </c>
      <c r="E1047" s="1" t="s">
        <v>3458</v>
      </c>
      <c r="F1047" s="1" t="s">
        <v>1543</v>
      </c>
      <c r="G1047" s="1" t="s">
        <v>1543</v>
      </c>
      <c r="H1047" s="1" t="s">
        <v>30</v>
      </c>
      <c r="I1047" s="1" t="s">
        <v>16</v>
      </c>
      <c r="J1047" s="1">
        <v>2</v>
      </c>
      <c r="K1047" s="1">
        <v>6</v>
      </c>
      <c r="L1047" s="1" t="s">
        <v>42</v>
      </c>
      <c r="M1047" s="1" t="s">
        <v>18</v>
      </c>
      <c r="N1047" s="1" t="s">
        <v>18</v>
      </c>
      <c r="O1047" s="1">
        <v>3</v>
      </c>
      <c r="P1047" s="1">
        <v>6</v>
      </c>
      <c r="R1047" s="1" t="s">
        <v>19</v>
      </c>
      <c r="S1047" s="1" t="s">
        <v>20</v>
      </c>
      <c r="T1047" s="1" t="s">
        <v>21</v>
      </c>
      <c r="U1047" s="1" t="s">
        <v>22</v>
      </c>
      <c r="V1047" s="1" t="s">
        <v>23</v>
      </c>
      <c r="W1047" s="1" t="s">
        <v>24</v>
      </c>
      <c r="X1047" s="1">
        <v>2700</v>
      </c>
      <c r="Y1047" s="1" t="s">
        <v>24</v>
      </c>
      <c r="Z1047" s="1" t="s">
        <v>24</v>
      </c>
      <c r="AA1047" s="1" t="s">
        <v>24</v>
      </c>
      <c r="AB1047" s="1" t="s">
        <v>24</v>
      </c>
      <c r="AC1047" s="1" t="s">
        <v>24</v>
      </c>
      <c r="AD1047" s="1" t="s">
        <v>24</v>
      </c>
      <c r="AE1047" s="1" t="s">
        <v>24</v>
      </c>
      <c r="AF1047" s="22"/>
    </row>
    <row r="1048" spans="1:32" x14ac:dyDescent="0.2">
      <c r="A1048" s="1">
        <v>5922</v>
      </c>
      <c r="B1048" s="1" t="s">
        <v>3459</v>
      </c>
      <c r="C1048" s="5" t="s">
        <v>0</v>
      </c>
      <c r="D1048" s="1" t="s">
        <v>3460</v>
      </c>
      <c r="E1048" s="1" t="s">
        <v>3461</v>
      </c>
      <c r="F1048" s="1" t="s">
        <v>548</v>
      </c>
      <c r="G1048" s="1" t="s">
        <v>36</v>
      </c>
      <c r="H1048" s="1" t="s">
        <v>30</v>
      </c>
      <c r="I1048" s="1" t="s">
        <v>16</v>
      </c>
      <c r="J1048" s="1">
        <v>1</v>
      </c>
      <c r="K1048" s="1">
        <v>12</v>
      </c>
      <c r="L1048" s="1" t="s">
        <v>31</v>
      </c>
      <c r="M1048" s="1" t="s">
        <v>18</v>
      </c>
      <c r="N1048" s="1" t="s">
        <v>18</v>
      </c>
      <c r="O1048" s="1">
        <v>3</v>
      </c>
      <c r="P1048" s="1">
        <v>6</v>
      </c>
      <c r="R1048" s="1" t="s">
        <v>19</v>
      </c>
      <c r="S1048" s="1" t="s">
        <v>20</v>
      </c>
      <c r="T1048" s="1" t="s">
        <v>21</v>
      </c>
      <c r="U1048" s="1" t="s">
        <v>22</v>
      </c>
      <c r="V1048" s="1" t="s">
        <v>23</v>
      </c>
      <c r="W1048" s="1" t="s">
        <v>24</v>
      </c>
      <c r="X1048" s="1">
        <v>2705</v>
      </c>
      <c r="Y1048" s="1" t="s">
        <v>24</v>
      </c>
      <c r="Z1048" s="1" t="s">
        <v>24</v>
      </c>
      <c r="AA1048" s="1" t="s">
        <v>24</v>
      </c>
      <c r="AB1048" s="1" t="s">
        <v>24</v>
      </c>
      <c r="AC1048" s="1" t="s">
        <v>24</v>
      </c>
      <c r="AD1048" s="1" t="s">
        <v>24</v>
      </c>
      <c r="AE1048" s="1" t="s">
        <v>24</v>
      </c>
      <c r="AF1048" s="22"/>
    </row>
    <row r="1049" spans="1:32" x14ac:dyDescent="0.2">
      <c r="A1049" s="1">
        <v>5945</v>
      </c>
      <c r="B1049" s="1" t="s">
        <v>3462</v>
      </c>
      <c r="C1049" s="5" t="s">
        <v>0</v>
      </c>
      <c r="D1049" s="1" t="s">
        <v>3463</v>
      </c>
      <c r="E1049" s="1" t="s">
        <v>3464</v>
      </c>
      <c r="F1049" s="1" t="s">
        <v>303</v>
      </c>
      <c r="G1049" s="1" t="s">
        <v>61</v>
      </c>
      <c r="H1049" s="1" t="s">
        <v>30</v>
      </c>
      <c r="I1049" s="1" t="s">
        <v>16</v>
      </c>
      <c r="J1049" s="1">
        <v>1</v>
      </c>
      <c r="K1049" s="1">
        <v>4</v>
      </c>
      <c r="L1049" s="1" t="s">
        <v>31</v>
      </c>
      <c r="M1049" s="1" t="s">
        <v>18</v>
      </c>
      <c r="N1049" s="1" t="s">
        <v>18</v>
      </c>
      <c r="O1049" s="1">
        <v>3</v>
      </c>
      <c r="P1049" s="1">
        <v>7</v>
      </c>
      <c r="Q1049" s="7" t="s">
        <v>17633</v>
      </c>
      <c r="R1049" s="1" t="s">
        <v>19</v>
      </c>
      <c r="S1049" s="1" t="s">
        <v>20</v>
      </c>
      <c r="T1049" s="1" t="s">
        <v>21</v>
      </c>
      <c r="U1049" s="1" t="s">
        <v>22</v>
      </c>
      <c r="V1049" s="1" t="s">
        <v>23</v>
      </c>
      <c r="W1049" s="1" t="s">
        <v>24</v>
      </c>
      <c r="X1049" s="1">
        <v>2736</v>
      </c>
      <c r="Y1049" s="1" t="s">
        <v>24</v>
      </c>
      <c r="Z1049" s="1" t="s">
        <v>24</v>
      </c>
      <c r="AA1049" s="1" t="s">
        <v>24</v>
      </c>
      <c r="AB1049" s="1" t="s">
        <v>24</v>
      </c>
      <c r="AC1049" s="1" t="s">
        <v>24</v>
      </c>
      <c r="AD1049" s="1" t="s">
        <v>24</v>
      </c>
      <c r="AE1049" s="1" t="s">
        <v>24</v>
      </c>
      <c r="AF1049" s="22"/>
    </row>
    <row r="1050" spans="1:32" x14ac:dyDescent="0.2">
      <c r="A1050" s="1">
        <v>5947</v>
      </c>
      <c r="B1050" s="1" t="s">
        <v>3465</v>
      </c>
      <c r="C1050" s="5" t="s">
        <v>0</v>
      </c>
      <c r="D1050" s="1" t="s">
        <v>3466</v>
      </c>
      <c r="F1050" s="1" t="s">
        <v>3134</v>
      </c>
      <c r="G1050" s="1" t="s">
        <v>3134</v>
      </c>
      <c r="H1050" s="1" t="s">
        <v>249</v>
      </c>
      <c r="I1050" s="1" t="s">
        <v>16</v>
      </c>
      <c r="J1050" s="1">
        <v>1</v>
      </c>
      <c r="K1050" s="1">
        <v>6</v>
      </c>
      <c r="L1050" s="1" t="s">
        <v>42</v>
      </c>
      <c r="M1050" s="1" t="s">
        <v>250</v>
      </c>
      <c r="N1050" s="1" t="s">
        <v>18</v>
      </c>
      <c r="O1050" s="1">
        <v>1</v>
      </c>
      <c r="P1050" s="1">
        <v>3</v>
      </c>
      <c r="R1050" s="1" t="s">
        <v>19</v>
      </c>
      <c r="S1050" s="1" t="s">
        <v>20</v>
      </c>
      <c r="T1050" s="1" t="s">
        <v>21</v>
      </c>
      <c r="U1050" s="1" t="s">
        <v>22</v>
      </c>
      <c r="V1050" s="1" t="s">
        <v>24</v>
      </c>
      <c r="W1050" s="1" t="s">
        <v>24</v>
      </c>
      <c r="X1050" s="1">
        <v>2708</v>
      </c>
      <c r="Y1050" s="1" t="s">
        <v>24</v>
      </c>
      <c r="Z1050" s="1" t="s">
        <v>24</v>
      </c>
      <c r="AA1050" s="1" t="s">
        <v>24</v>
      </c>
      <c r="AB1050" s="1" t="s">
        <v>24</v>
      </c>
      <c r="AC1050" s="1" t="s">
        <v>24</v>
      </c>
      <c r="AD1050" s="1" t="s">
        <v>24</v>
      </c>
      <c r="AE1050" s="1" t="s">
        <v>24</v>
      </c>
      <c r="AF1050" s="22"/>
    </row>
    <row r="1051" spans="1:32" x14ac:dyDescent="0.2">
      <c r="A1051" s="1">
        <v>5948</v>
      </c>
      <c r="B1051" s="1" t="s">
        <v>3467</v>
      </c>
      <c r="C1051" s="5" t="s">
        <v>0</v>
      </c>
      <c r="D1051" s="1" t="s">
        <v>3468</v>
      </c>
      <c r="E1051" s="1" t="s">
        <v>3469</v>
      </c>
      <c r="F1051" s="1" t="s">
        <v>751</v>
      </c>
      <c r="G1051" s="1" t="s">
        <v>36</v>
      </c>
      <c r="H1051" s="1" t="s">
        <v>37</v>
      </c>
      <c r="I1051" s="1" t="s">
        <v>16</v>
      </c>
      <c r="J1051" s="1">
        <v>1</v>
      </c>
      <c r="K1051" s="1">
        <v>13</v>
      </c>
      <c r="L1051" s="1" t="s">
        <v>31</v>
      </c>
      <c r="M1051" s="1" t="s">
        <v>18</v>
      </c>
      <c r="N1051" s="1" t="s">
        <v>18</v>
      </c>
      <c r="O1051" s="1">
        <v>3</v>
      </c>
      <c r="P1051" s="1">
        <v>7</v>
      </c>
      <c r="Q1051" s="7" t="s">
        <v>17633</v>
      </c>
      <c r="R1051" s="1" t="s">
        <v>19</v>
      </c>
      <c r="S1051" s="1" t="s">
        <v>20</v>
      </c>
      <c r="T1051" s="1" t="s">
        <v>21</v>
      </c>
      <c r="U1051" s="1" t="s">
        <v>22</v>
      </c>
      <c r="V1051" s="1" t="s">
        <v>24</v>
      </c>
      <c r="W1051" s="1" t="s">
        <v>24</v>
      </c>
      <c r="X1051" s="1">
        <v>2716</v>
      </c>
      <c r="Y1051" s="1">
        <v>2729</v>
      </c>
      <c r="Z1051" s="1" t="s">
        <v>24</v>
      </c>
      <c r="AA1051" s="1" t="s">
        <v>24</v>
      </c>
      <c r="AB1051" s="1" t="s">
        <v>24</v>
      </c>
      <c r="AC1051" s="1" t="s">
        <v>24</v>
      </c>
      <c r="AD1051" s="1" t="s">
        <v>24</v>
      </c>
      <c r="AE1051" s="1" t="s">
        <v>24</v>
      </c>
      <c r="AF1051" s="22"/>
    </row>
    <row r="1052" spans="1:32" x14ac:dyDescent="0.2">
      <c r="A1052" s="1">
        <v>5967</v>
      </c>
      <c r="B1052" s="1" t="s">
        <v>3470</v>
      </c>
      <c r="C1052" s="5" t="s">
        <v>0</v>
      </c>
      <c r="D1052" s="1" t="s">
        <v>3471</v>
      </c>
      <c r="F1052" s="1" t="s">
        <v>85</v>
      </c>
      <c r="G1052" s="1" t="s">
        <v>61</v>
      </c>
      <c r="H1052" s="1" t="s">
        <v>86</v>
      </c>
      <c r="I1052" s="1" t="s">
        <v>16</v>
      </c>
      <c r="J1052" s="1">
        <v>1</v>
      </c>
      <c r="K1052" s="1">
        <v>12</v>
      </c>
      <c r="L1052" s="1" t="s">
        <v>31</v>
      </c>
      <c r="M1052" s="1" t="s">
        <v>87</v>
      </c>
      <c r="N1052" s="1" t="s">
        <v>105</v>
      </c>
      <c r="O1052" s="1">
        <v>1</v>
      </c>
      <c r="P1052" s="1">
        <v>5</v>
      </c>
      <c r="R1052" s="1" t="s">
        <v>19</v>
      </c>
      <c r="S1052" s="1" t="s">
        <v>20</v>
      </c>
      <c r="T1052" s="1" t="s">
        <v>21</v>
      </c>
      <c r="U1052" s="1" t="s">
        <v>22</v>
      </c>
      <c r="V1052" s="1" t="s">
        <v>24</v>
      </c>
      <c r="W1052" s="1" t="s">
        <v>24</v>
      </c>
      <c r="X1052" s="1">
        <v>2700</v>
      </c>
      <c r="Y1052" s="1" t="s">
        <v>24</v>
      </c>
      <c r="Z1052" s="1" t="s">
        <v>24</v>
      </c>
      <c r="AA1052" s="1" t="s">
        <v>24</v>
      </c>
      <c r="AB1052" s="1" t="s">
        <v>24</v>
      </c>
      <c r="AC1052" s="1" t="s">
        <v>24</v>
      </c>
      <c r="AD1052" s="1" t="s">
        <v>24</v>
      </c>
      <c r="AE1052" s="1" t="s">
        <v>24</v>
      </c>
      <c r="AF1052" s="22"/>
    </row>
    <row r="1053" spans="1:32" x14ac:dyDescent="0.2">
      <c r="A1053" s="1">
        <v>5991</v>
      </c>
      <c r="B1053" s="1" t="s">
        <v>3472</v>
      </c>
      <c r="C1053" s="5" t="s">
        <v>0</v>
      </c>
      <c r="D1053" s="1" t="s">
        <v>3473</v>
      </c>
      <c r="E1053" s="1" t="s">
        <v>3474</v>
      </c>
      <c r="F1053" s="1" t="s">
        <v>320</v>
      </c>
      <c r="G1053" s="1" t="s">
        <v>36</v>
      </c>
      <c r="H1053" s="1" t="s">
        <v>30</v>
      </c>
      <c r="I1053" s="1" t="s">
        <v>16</v>
      </c>
      <c r="J1053" s="1">
        <v>1</v>
      </c>
      <c r="K1053" s="1">
        <v>16</v>
      </c>
      <c r="L1053" s="1" t="s">
        <v>31</v>
      </c>
      <c r="M1053" s="1" t="s">
        <v>18</v>
      </c>
      <c r="N1053" s="1" t="s">
        <v>18</v>
      </c>
      <c r="O1053" s="1">
        <v>3</v>
      </c>
      <c r="P1053" s="1">
        <v>7</v>
      </c>
      <c r="Q1053" s="7" t="s">
        <v>17633</v>
      </c>
      <c r="R1053" s="1" t="s">
        <v>62</v>
      </c>
      <c r="S1053" s="1" t="s">
        <v>20</v>
      </c>
      <c r="T1053" s="1" t="s">
        <v>21</v>
      </c>
      <c r="U1053" s="1" t="s">
        <v>22</v>
      </c>
      <c r="V1053" s="1" t="s">
        <v>24</v>
      </c>
      <c r="W1053" s="1" t="s">
        <v>24</v>
      </c>
      <c r="X1053" s="1">
        <v>2748</v>
      </c>
      <c r="Y1053" s="1">
        <v>2730</v>
      </c>
      <c r="Z1053" s="1" t="s">
        <v>24</v>
      </c>
      <c r="AA1053" s="1" t="s">
        <v>24</v>
      </c>
      <c r="AB1053" s="1" t="s">
        <v>24</v>
      </c>
      <c r="AC1053" s="1" t="s">
        <v>24</v>
      </c>
      <c r="AD1053" s="1" t="s">
        <v>24</v>
      </c>
      <c r="AE1053" s="1" t="s">
        <v>24</v>
      </c>
      <c r="AF1053" s="22"/>
    </row>
    <row r="1054" spans="1:32" x14ac:dyDescent="0.2">
      <c r="A1054" s="1">
        <v>5999</v>
      </c>
      <c r="B1054" s="1" t="s">
        <v>3475</v>
      </c>
      <c r="C1054" s="5" t="s">
        <v>0</v>
      </c>
      <c r="D1054" s="1" t="s">
        <v>3476</v>
      </c>
      <c r="E1054" s="1" t="s">
        <v>3477</v>
      </c>
      <c r="F1054" s="1" t="s">
        <v>167</v>
      </c>
      <c r="G1054" s="1" t="s">
        <v>130</v>
      </c>
      <c r="H1054" s="1" t="s">
        <v>168</v>
      </c>
      <c r="I1054" s="1" t="s">
        <v>16</v>
      </c>
      <c r="J1054" s="1">
        <v>6</v>
      </c>
      <c r="K1054" s="1">
        <v>4</v>
      </c>
      <c r="L1054" s="1" t="s">
        <v>31</v>
      </c>
      <c r="M1054" s="1" t="s">
        <v>18</v>
      </c>
      <c r="N1054" s="1" t="s">
        <v>18</v>
      </c>
      <c r="O1054" s="1">
        <v>3</v>
      </c>
      <c r="P1054" s="1">
        <v>7</v>
      </c>
      <c r="Q1054" s="7" t="s">
        <v>17633</v>
      </c>
      <c r="R1054" s="1" t="s">
        <v>62</v>
      </c>
      <c r="S1054" s="1" t="s">
        <v>20</v>
      </c>
      <c r="T1054" s="1" t="s">
        <v>21</v>
      </c>
      <c r="U1054" s="1" t="s">
        <v>22</v>
      </c>
      <c r="V1054" s="1" t="s">
        <v>24</v>
      </c>
      <c r="W1054" s="1" t="s">
        <v>64</v>
      </c>
      <c r="X1054" s="1">
        <v>3004</v>
      </c>
      <c r="Y1054" s="1" t="s">
        <v>24</v>
      </c>
      <c r="Z1054" s="1" t="s">
        <v>24</v>
      </c>
      <c r="AA1054" s="1" t="s">
        <v>24</v>
      </c>
      <c r="AB1054" s="1" t="s">
        <v>24</v>
      </c>
      <c r="AC1054" s="1" t="s">
        <v>24</v>
      </c>
      <c r="AD1054" s="1" t="s">
        <v>24</v>
      </c>
      <c r="AE1054" s="1" t="s">
        <v>24</v>
      </c>
      <c r="AF1054" s="22"/>
    </row>
    <row r="1055" spans="1:32" x14ac:dyDescent="0.2">
      <c r="A1055" s="1">
        <v>6019</v>
      </c>
      <c r="B1055" s="1" t="s">
        <v>3478</v>
      </c>
      <c r="C1055" s="5" t="s">
        <v>0</v>
      </c>
      <c r="D1055" s="1" t="s">
        <v>3479</v>
      </c>
      <c r="E1055" s="1" t="s">
        <v>3480</v>
      </c>
      <c r="F1055" s="1" t="s">
        <v>28</v>
      </c>
      <c r="G1055" s="1" t="s">
        <v>29</v>
      </c>
      <c r="H1055" s="1" t="s">
        <v>30</v>
      </c>
      <c r="I1055" s="1" t="s">
        <v>16</v>
      </c>
      <c r="J1055" s="1">
        <v>1</v>
      </c>
      <c r="K1055" s="1">
        <v>9</v>
      </c>
      <c r="L1055" s="1" t="s">
        <v>31</v>
      </c>
      <c r="M1055" s="1" t="s">
        <v>18</v>
      </c>
      <c r="N1055" s="1" t="s">
        <v>18</v>
      </c>
      <c r="O1055" s="1">
        <v>3</v>
      </c>
      <c r="P1055" s="1">
        <v>7</v>
      </c>
      <c r="Q1055" s="7" t="s">
        <v>17633</v>
      </c>
      <c r="R1055" s="1" t="s">
        <v>62</v>
      </c>
      <c r="S1055" s="1" t="s">
        <v>20</v>
      </c>
      <c r="T1055" s="1" t="s">
        <v>21</v>
      </c>
      <c r="U1055" s="1" t="s">
        <v>22</v>
      </c>
      <c r="V1055" s="1" t="s">
        <v>24</v>
      </c>
      <c r="W1055" s="1" t="s">
        <v>24</v>
      </c>
      <c r="X1055" s="1">
        <v>2738</v>
      </c>
      <c r="Y1055" s="1">
        <v>3202</v>
      </c>
      <c r="Z1055" s="1">
        <v>1201</v>
      </c>
      <c r="AA1055" s="1">
        <v>3204</v>
      </c>
      <c r="AB1055" s="1" t="s">
        <v>24</v>
      </c>
      <c r="AC1055" s="1" t="s">
        <v>24</v>
      </c>
      <c r="AD1055" s="1" t="s">
        <v>24</v>
      </c>
      <c r="AE1055" s="1" t="s">
        <v>24</v>
      </c>
      <c r="AF1055" s="22"/>
    </row>
    <row r="1056" spans="1:32" x14ac:dyDescent="0.2">
      <c r="A1056" s="1">
        <v>6021</v>
      </c>
      <c r="B1056" s="1" t="s">
        <v>3481</v>
      </c>
      <c r="C1056" s="5" t="s">
        <v>0</v>
      </c>
      <c r="D1056" s="1" t="s">
        <v>3482</v>
      </c>
      <c r="E1056" s="1" t="s">
        <v>3483</v>
      </c>
      <c r="F1056" s="1" t="s">
        <v>412</v>
      </c>
      <c r="G1056" s="1" t="s">
        <v>372</v>
      </c>
      <c r="H1056" s="1" t="s">
        <v>168</v>
      </c>
      <c r="I1056" s="1" t="s">
        <v>16</v>
      </c>
      <c r="J1056" s="1">
        <v>1</v>
      </c>
      <c r="K1056" s="1">
        <v>12</v>
      </c>
      <c r="L1056" s="1" t="s">
        <v>31</v>
      </c>
      <c r="M1056" s="1" t="s">
        <v>413</v>
      </c>
      <c r="N1056" s="1" t="s">
        <v>18</v>
      </c>
      <c r="O1056" s="1">
        <v>1</v>
      </c>
      <c r="P1056" s="1">
        <v>7</v>
      </c>
      <c r="Q1056" s="7" t="s">
        <v>17633</v>
      </c>
      <c r="R1056" s="1" t="s">
        <v>19</v>
      </c>
      <c r="S1056" s="1" t="s">
        <v>63</v>
      </c>
      <c r="T1056" s="1" t="s">
        <v>21</v>
      </c>
      <c r="U1056" s="1" t="s">
        <v>22</v>
      </c>
      <c r="V1056" s="1" t="s">
        <v>24</v>
      </c>
      <c r="W1056" s="1" t="s">
        <v>24</v>
      </c>
      <c r="X1056" s="1">
        <v>3203</v>
      </c>
      <c r="Y1056" s="1">
        <v>2738</v>
      </c>
      <c r="Z1056" s="1">
        <v>3202</v>
      </c>
      <c r="AA1056" s="1" t="s">
        <v>24</v>
      </c>
      <c r="AB1056" s="1" t="s">
        <v>24</v>
      </c>
      <c r="AC1056" s="1" t="s">
        <v>24</v>
      </c>
      <c r="AD1056" s="1" t="s">
        <v>24</v>
      </c>
      <c r="AE1056" s="1" t="s">
        <v>24</v>
      </c>
      <c r="AF1056" s="22"/>
    </row>
    <row r="1057" spans="1:32" x14ac:dyDescent="0.2">
      <c r="A1057" s="1">
        <v>6025</v>
      </c>
      <c r="B1057" s="1" t="s">
        <v>3484</v>
      </c>
      <c r="C1057" s="5" t="s">
        <v>0</v>
      </c>
      <c r="D1057" s="1" t="s">
        <v>3485</v>
      </c>
      <c r="F1057" s="1" t="s">
        <v>3486</v>
      </c>
      <c r="G1057" s="1" t="s">
        <v>3487</v>
      </c>
      <c r="H1057" s="1" t="s">
        <v>249</v>
      </c>
      <c r="I1057" s="1" t="s">
        <v>16</v>
      </c>
      <c r="J1057" s="1">
        <v>1</v>
      </c>
      <c r="K1057" s="1">
        <v>6</v>
      </c>
      <c r="L1057" s="1" t="s">
        <v>42</v>
      </c>
      <c r="M1057" s="1" t="s">
        <v>250</v>
      </c>
      <c r="N1057" s="1" t="s">
        <v>3290</v>
      </c>
      <c r="O1057" s="1">
        <v>2</v>
      </c>
      <c r="P1057" s="1">
        <v>5</v>
      </c>
      <c r="R1057" s="1" t="s">
        <v>19</v>
      </c>
      <c r="S1057" s="1" t="s">
        <v>20</v>
      </c>
      <c r="T1057" s="1" t="s">
        <v>21</v>
      </c>
      <c r="U1057" s="1" t="s">
        <v>22</v>
      </c>
      <c r="V1057" s="1" t="s">
        <v>24</v>
      </c>
      <c r="W1057" s="1" t="s">
        <v>24</v>
      </c>
      <c r="X1057" s="1">
        <v>2738</v>
      </c>
      <c r="Y1057" s="1" t="s">
        <v>24</v>
      </c>
      <c r="Z1057" s="1" t="s">
        <v>24</v>
      </c>
      <c r="AA1057" s="1" t="s">
        <v>24</v>
      </c>
      <c r="AB1057" s="1" t="s">
        <v>24</v>
      </c>
      <c r="AC1057" s="1" t="s">
        <v>24</v>
      </c>
      <c r="AD1057" s="1" t="s">
        <v>24</v>
      </c>
      <c r="AE1057" s="1" t="s">
        <v>24</v>
      </c>
      <c r="AF1057" s="22"/>
    </row>
    <row r="1058" spans="1:32" x14ac:dyDescent="0.2">
      <c r="A1058" s="1">
        <v>6027</v>
      </c>
      <c r="B1058" s="1" t="s">
        <v>3488</v>
      </c>
      <c r="C1058" s="5" t="s">
        <v>0</v>
      </c>
      <c r="D1058" s="1" t="s">
        <v>3489</v>
      </c>
      <c r="E1058" s="1" t="s">
        <v>3490</v>
      </c>
      <c r="F1058" s="1" t="s">
        <v>109</v>
      </c>
      <c r="G1058" s="1" t="s">
        <v>110</v>
      </c>
      <c r="H1058" s="1" t="s">
        <v>111</v>
      </c>
      <c r="I1058" s="1" t="s">
        <v>16</v>
      </c>
      <c r="J1058" s="1">
        <v>1</v>
      </c>
      <c r="K1058" s="1">
        <v>6</v>
      </c>
      <c r="L1058" s="1" t="s">
        <v>31</v>
      </c>
      <c r="M1058" s="1" t="s">
        <v>18</v>
      </c>
      <c r="N1058" s="1" t="s">
        <v>18</v>
      </c>
      <c r="O1058" s="1">
        <v>3</v>
      </c>
      <c r="P1058" s="1">
        <v>7</v>
      </c>
      <c r="Q1058" s="7" t="s">
        <v>17633</v>
      </c>
      <c r="R1058" s="1" t="s">
        <v>62</v>
      </c>
      <c r="S1058" s="1" t="s">
        <v>20</v>
      </c>
      <c r="T1058" s="1" t="s">
        <v>21</v>
      </c>
      <c r="U1058" s="1" t="s">
        <v>22</v>
      </c>
      <c r="V1058" s="1" t="s">
        <v>23</v>
      </c>
      <c r="W1058" s="1" t="s">
        <v>24</v>
      </c>
      <c r="X1058" s="1">
        <v>3203</v>
      </c>
      <c r="Y1058" s="1">
        <v>3202</v>
      </c>
      <c r="Z1058" s="1">
        <v>2738</v>
      </c>
      <c r="AA1058" s="1" t="s">
        <v>24</v>
      </c>
      <c r="AB1058" s="1" t="s">
        <v>24</v>
      </c>
      <c r="AC1058" s="1" t="s">
        <v>24</v>
      </c>
      <c r="AD1058" s="1" t="s">
        <v>24</v>
      </c>
      <c r="AE1058" s="1" t="s">
        <v>24</v>
      </c>
      <c r="AF1058" s="22"/>
    </row>
    <row r="1059" spans="1:32" x14ac:dyDescent="0.2">
      <c r="A1059" s="1">
        <v>6028</v>
      </c>
      <c r="B1059" s="1" t="s">
        <v>3491</v>
      </c>
      <c r="C1059" s="5" t="s">
        <v>0</v>
      </c>
      <c r="D1059" s="1" t="s">
        <v>3492</v>
      </c>
      <c r="E1059" s="1" t="s">
        <v>3493</v>
      </c>
      <c r="F1059" s="1" t="s">
        <v>356</v>
      </c>
      <c r="G1059" s="1" t="s">
        <v>357</v>
      </c>
      <c r="H1059" s="1" t="s">
        <v>30</v>
      </c>
      <c r="I1059" s="1" t="s">
        <v>16</v>
      </c>
      <c r="J1059" s="1">
        <v>1</v>
      </c>
      <c r="K1059" s="1">
        <v>4</v>
      </c>
      <c r="L1059" s="1" t="s">
        <v>31</v>
      </c>
      <c r="M1059" s="1" t="s">
        <v>18</v>
      </c>
      <c r="N1059" s="1" t="s">
        <v>18</v>
      </c>
      <c r="O1059" s="1">
        <v>3</v>
      </c>
      <c r="P1059" s="1">
        <v>6</v>
      </c>
      <c r="R1059" s="1" t="s">
        <v>19</v>
      </c>
      <c r="S1059" s="1" t="s">
        <v>20</v>
      </c>
      <c r="T1059" s="1" t="s">
        <v>21</v>
      </c>
      <c r="U1059" s="1" t="s">
        <v>22</v>
      </c>
      <c r="V1059" s="1" t="s">
        <v>24</v>
      </c>
      <c r="W1059" s="1" t="s">
        <v>24</v>
      </c>
      <c r="X1059" s="1">
        <v>3203</v>
      </c>
      <c r="Y1059" s="1" t="s">
        <v>24</v>
      </c>
      <c r="Z1059" s="1" t="s">
        <v>24</v>
      </c>
      <c r="AA1059" s="1" t="s">
        <v>24</v>
      </c>
      <c r="AB1059" s="1" t="s">
        <v>24</v>
      </c>
      <c r="AC1059" s="1" t="s">
        <v>24</v>
      </c>
      <c r="AD1059" s="1" t="s">
        <v>24</v>
      </c>
      <c r="AE1059" s="1" t="s">
        <v>24</v>
      </c>
      <c r="AF1059" s="22"/>
    </row>
    <row r="1060" spans="1:32" x14ac:dyDescent="0.2">
      <c r="A1060" s="1">
        <v>6029</v>
      </c>
      <c r="B1060" s="1" t="s">
        <v>3494</v>
      </c>
      <c r="C1060" s="5" t="s">
        <v>0</v>
      </c>
      <c r="D1060" s="1" t="s">
        <v>3495</v>
      </c>
      <c r="E1060" s="1" t="s">
        <v>3496</v>
      </c>
      <c r="F1060" s="1" t="s">
        <v>412</v>
      </c>
      <c r="G1060" s="1" t="s">
        <v>372</v>
      </c>
      <c r="H1060" s="1" t="s">
        <v>168</v>
      </c>
      <c r="I1060" s="1" t="s">
        <v>16</v>
      </c>
      <c r="J1060" s="1">
        <v>1</v>
      </c>
      <c r="K1060" s="1">
        <v>8</v>
      </c>
      <c r="L1060" s="1" t="s">
        <v>31</v>
      </c>
      <c r="M1060" s="1" t="s">
        <v>413</v>
      </c>
      <c r="N1060" s="1" t="s">
        <v>18</v>
      </c>
      <c r="O1060" s="1">
        <v>3</v>
      </c>
      <c r="P1060" s="1">
        <v>6</v>
      </c>
      <c r="R1060" s="1" t="s">
        <v>19</v>
      </c>
      <c r="S1060" s="1" t="s">
        <v>63</v>
      </c>
      <c r="T1060" s="1" t="s">
        <v>21</v>
      </c>
      <c r="U1060" s="1" t="s">
        <v>22</v>
      </c>
      <c r="V1060" s="1" t="s">
        <v>24</v>
      </c>
      <c r="W1060" s="1" t="s">
        <v>24</v>
      </c>
      <c r="X1060" s="1">
        <v>2738</v>
      </c>
      <c r="Y1060" s="1" t="s">
        <v>24</v>
      </c>
      <c r="Z1060" s="1" t="s">
        <v>24</v>
      </c>
      <c r="AA1060" s="1" t="s">
        <v>24</v>
      </c>
      <c r="AB1060" s="1" t="s">
        <v>24</v>
      </c>
      <c r="AC1060" s="1" t="s">
        <v>24</v>
      </c>
      <c r="AD1060" s="1" t="s">
        <v>24</v>
      </c>
      <c r="AE1060" s="1" t="s">
        <v>24</v>
      </c>
      <c r="AF1060" s="22"/>
    </row>
    <row r="1061" spans="1:32" x14ac:dyDescent="0.2">
      <c r="A1061" s="1">
        <v>6031</v>
      </c>
      <c r="B1061" s="1" t="s">
        <v>3497</v>
      </c>
      <c r="C1061" s="5" t="s">
        <v>0</v>
      </c>
      <c r="D1061" s="1" t="s">
        <v>3498</v>
      </c>
      <c r="E1061" s="1" t="s">
        <v>3499</v>
      </c>
      <c r="F1061" s="1" t="s">
        <v>190</v>
      </c>
      <c r="G1061" s="1" t="s">
        <v>130</v>
      </c>
      <c r="H1061" s="1" t="s">
        <v>30</v>
      </c>
      <c r="I1061" s="1" t="s">
        <v>16</v>
      </c>
      <c r="J1061" s="1">
        <v>1</v>
      </c>
      <c r="K1061" s="1">
        <v>4</v>
      </c>
      <c r="L1061" s="1" t="s">
        <v>31</v>
      </c>
      <c r="M1061" s="1" t="s">
        <v>18</v>
      </c>
      <c r="N1061" s="1" t="s">
        <v>18</v>
      </c>
      <c r="O1061" s="1">
        <v>3</v>
      </c>
      <c r="P1061" s="1">
        <v>6</v>
      </c>
      <c r="R1061" s="1" t="s">
        <v>19</v>
      </c>
      <c r="S1061" s="1" t="s">
        <v>20</v>
      </c>
      <c r="T1061" s="1" t="s">
        <v>21</v>
      </c>
      <c r="U1061" s="1" t="s">
        <v>22</v>
      </c>
      <c r="V1061" s="1" t="s">
        <v>24</v>
      </c>
      <c r="W1061" s="1" t="s">
        <v>24</v>
      </c>
      <c r="X1061" s="1">
        <v>2738</v>
      </c>
      <c r="Y1061" s="1" t="s">
        <v>24</v>
      </c>
      <c r="Z1061" s="1" t="s">
        <v>24</v>
      </c>
      <c r="AA1061" s="1" t="s">
        <v>24</v>
      </c>
      <c r="AB1061" s="1" t="s">
        <v>24</v>
      </c>
      <c r="AC1061" s="1" t="s">
        <v>24</v>
      </c>
      <c r="AD1061" s="1" t="s">
        <v>24</v>
      </c>
      <c r="AE1061" s="1" t="s">
        <v>24</v>
      </c>
      <c r="AF1061" s="22"/>
    </row>
    <row r="1062" spans="1:32" x14ac:dyDescent="0.2">
      <c r="A1062" s="1">
        <v>6033</v>
      </c>
      <c r="B1062" s="1" t="s">
        <v>3500</v>
      </c>
      <c r="C1062" s="5" t="s">
        <v>0</v>
      </c>
      <c r="D1062" s="1" t="s">
        <v>3501</v>
      </c>
      <c r="E1062" s="1" t="s">
        <v>3502</v>
      </c>
      <c r="F1062" s="1" t="s">
        <v>221</v>
      </c>
      <c r="G1062" s="1" t="s">
        <v>61</v>
      </c>
      <c r="H1062" s="1" t="s">
        <v>222</v>
      </c>
      <c r="I1062" s="1" t="s">
        <v>16</v>
      </c>
      <c r="J1062" s="1">
        <v>6</v>
      </c>
      <c r="K1062" s="1">
        <v>3</v>
      </c>
      <c r="L1062" s="1" t="s">
        <v>31</v>
      </c>
      <c r="M1062" s="1" t="s">
        <v>18</v>
      </c>
      <c r="N1062" s="1" t="s">
        <v>18</v>
      </c>
      <c r="O1062" s="1">
        <v>3</v>
      </c>
      <c r="P1062" s="1">
        <v>7</v>
      </c>
      <c r="Q1062" s="7" t="s">
        <v>17633</v>
      </c>
      <c r="R1062" s="1" t="s">
        <v>19</v>
      </c>
      <c r="S1062" s="1" t="s">
        <v>20</v>
      </c>
      <c r="T1062" s="1" t="s">
        <v>21</v>
      </c>
      <c r="U1062" s="1" t="s">
        <v>22</v>
      </c>
      <c r="V1062" s="1" t="s">
        <v>24</v>
      </c>
      <c r="W1062" s="1" t="s">
        <v>24</v>
      </c>
      <c r="X1062" s="1">
        <v>2738</v>
      </c>
      <c r="Y1062" s="1">
        <v>2803</v>
      </c>
      <c r="Z1062" s="1" t="s">
        <v>24</v>
      </c>
      <c r="AA1062" s="1" t="s">
        <v>24</v>
      </c>
      <c r="AB1062" s="1" t="s">
        <v>24</v>
      </c>
      <c r="AC1062" s="1" t="s">
        <v>24</v>
      </c>
      <c r="AD1062" s="1" t="s">
        <v>24</v>
      </c>
      <c r="AE1062" s="1" t="s">
        <v>24</v>
      </c>
      <c r="AF1062" s="22"/>
    </row>
    <row r="1063" spans="1:32" x14ac:dyDescent="0.2">
      <c r="A1063" s="1">
        <v>6040</v>
      </c>
      <c r="B1063" s="1" t="s">
        <v>3503</v>
      </c>
      <c r="C1063" s="5" t="s">
        <v>0</v>
      </c>
      <c r="D1063" s="1" t="s">
        <v>3504</v>
      </c>
      <c r="E1063" s="1" t="s">
        <v>3505</v>
      </c>
      <c r="F1063" s="1" t="s">
        <v>167</v>
      </c>
      <c r="G1063" s="1" t="s">
        <v>130</v>
      </c>
      <c r="H1063" s="1" t="s">
        <v>168</v>
      </c>
      <c r="I1063" s="1" t="s">
        <v>16</v>
      </c>
      <c r="J1063" s="1">
        <v>1</v>
      </c>
      <c r="K1063" s="1">
        <v>12</v>
      </c>
      <c r="L1063" s="1" t="s">
        <v>31</v>
      </c>
      <c r="M1063" s="1" t="s">
        <v>18</v>
      </c>
      <c r="N1063" s="1" t="s">
        <v>18</v>
      </c>
      <c r="O1063" s="1">
        <v>3</v>
      </c>
      <c r="P1063" s="1">
        <v>7</v>
      </c>
      <c r="Q1063" s="7" t="s">
        <v>17633</v>
      </c>
      <c r="R1063" s="1" t="s">
        <v>19</v>
      </c>
      <c r="S1063" s="1" t="s">
        <v>20</v>
      </c>
      <c r="T1063" s="1" t="s">
        <v>21</v>
      </c>
      <c r="U1063" s="1" t="s">
        <v>22</v>
      </c>
      <c r="V1063" s="1" t="s">
        <v>24</v>
      </c>
      <c r="W1063" s="1" t="s">
        <v>24</v>
      </c>
      <c r="X1063" s="1">
        <v>2735</v>
      </c>
      <c r="Y1063" s="1">
        <v>2746</v>
      </c>
      <c r="Z1063" s="1" t="s">
        <v>24</v>
      </c>
      <c r="AA1063" s="1" t="s">
        <v>24</v>
      </c>
      <c r="AB1063" s="1" t="s">
        <v>24</v>
      </c>
      <c r="AC1063" s="1" t="s">
        <v>24</v>
      </c>
      <c r="AD1063" s="1" t="s">
        <v>24</v>
      </c>
      <c r="AE1063" s="1" t="s">
        <v>24</v>
      </c>
      <c r="AF1063" s="22"/>
    </row>
    <row r="1064" spans="1:32" x14ac:dyDescent="0.2">
      <c r="A1064" s="1">
        <v>6041</v>
      </c>
      <c r="B1064" s="1" t="s">
        <v>3506</v>
      </c>
      <c r="C1064" s="5" t="s">
        <v>0</v>
      </c>
      <c r="D1064" s="1" t="s">
        <v>3507</v>
      </c>
      <c r="F1064" s="1" t="s">
        <v>3508</v>
      </c>
      <c r="G1064" s="1" t="s">
        <v>3508</v>
      </c>
      <c r="H1064" s="1" t="s">
        <v>30</v>
      </c>
      <c r="I1064" s="1" t="s">
        <v>16</v>
      </c>
      <c r="J1064" s="1">
        <v>1</v>
      </c>
      <c r="K1064" s="1">
        <v>4</v>
      </c>
      <c r="L1064" s="1" t="s">
        <v>42</v>
      </c>
      <c r="M1064" s="1" t="s">
        <v>18</v>
      </c>
      <c r="N1064" s="1" t="s">
        <v>18</v>
      </c>
      <c r="O1064" s="1">
        <v>3</v>
      </c>
      <c r="P1064" s="1">
        <v>6</v>
      </c>
      <c r="R1064" s="1" t="s">
        <v>19</v>
      </c>
      <c r="S1064" s="1" t="s">
        <v>20</v>
      </c>
      <c r="T1064" s="1" t="s">
        <v>21</v>
      </c>
      <c r="U1064" s="1" t="s">
        <v>22</v>
      </c>
      <c r="V1064" s="1" t="s">
        <v>24</v>
      </c>
      <c r="W1064" s="1" t="s">
        <v>24</v>
      </c>
      <c r="X1064" s="1">
        <v>2738</v>
      </c>
      <c r="Y1064" s="1">
        <v>2736</v>
      </c>
      <c r="Z1064" s="1" t="s">
        <v>24</v>
      </c>
      <c r="AA1064" s="1" t="s">
        <v>24</v>
      </c>
      <c r="AB1064" s="1" t="s">
        <v>24</v>
      </c>
      <c r="AC1064" s="1" t="s">
        <v>24</v>
      </c>
      <c r="AD1064" s="1" t="s">
        <v>24</v>
      </c>
      <c r="AE1064" s="1" t="s">
        <v>24</v>
      </c>
      <c r="AF1064" s="22"/>
    </row>
    <row r="1065" spans="1:32" x14ac:dyDescent="0.2">
      <c r="A1065" s="1">
        <v>6042</v>
      </c>
      <c r="B1065" s="1" t="s">
        <v>3509</v>
      </c>
      <c r="C1065" s="5" t="s">
        <v>0</v>
      </c>
      <c r="D1065" s="1" t="s">
        <v>3510</v>
      </c>
      <c r="E1065" s="1" t="s">
        <v>3511</v>
      </c>
      <c r="F1065" s="1" t="s">
        <v>874</v>
      </c>
      <c r="G1065" s="1" t="s">
        <v>874</v>
      </c>
      <c r="H1065" s="1" t="s">
        <v>30</v>
      </c>
      <c r="I1065" s="1" t="s">
        <v>16</v>
      </c>
      <c r="J1065" s="1">
        <v>1</v>
      </c>
      <c r="K1065" s="1">
        <v>4</v>
      </c>
      <c r="L1065" s="1" t="s">
        <v>42</v>
      </c>
      <c r="M1065" s="1" t="s">
        <v>18</v>
      </c>
      <c r="N1065" s="1" t="s">
        <v>18</v>
      </c>
      <c r="O1065" s="1">
        <v>3</v>
      </c>
      <c r="P1065" s="1">
        <v>6</v>
      </c>
      <c r="R1065" s="1" t="s">
        <v>19</v>
      </c>
      <c r="S1065" s="1" t="s">
        <v>20</v>
      </c>
      <c r="T1065" s="1" t="s">
        <v>21</v>
      </c>
      <c r="U1065" s="1" t="s">
        <v>22</v>
      </c>
      <c r="V1065" s="1" t="s">
        <v>24</v>
      </c>
      <c r="W1065" s="1" t="s">
        <v>24</v>
      </c>
      <c r="X1065" s="1">
        <v>2738</v>
      </c>
      <c r="Y1065" s="1" t="s">
        <v>24</v>
      </c>
      <c r="Z1065" s="1" t="s">
        <v>24</v>
      </c>
      <c r="AA1065" s="1" t="s">
        <v>24</v>
      </c>
      <c r="AB1065" s="1" t="s">
        <v>24</v>
      </c>
      <c r="AC1065" s="1" t="s">
        <v>24</v>
      </c>
      <c r="AD1065" s="1" t="s">
        <v>24</v>
      </c>
      <c r="AE1065" s="1" t="s">
        <v>24</v>
      </c>
      <c r="AF1065" s="22"/>
    </row>
    <row r="1066" spans="1:32" x14ac:dyDescent="0.2">
      <c r="A1066" s="1">
        <v>6043</v>
      </c>
      <c r="B1066" s="1" t="s">
        <v>3512</v>
      </c>
      <c r="C1066" s="5" t="s">
        <v>0</v>
      </c>
      <c r="D1066" s="1" t="s">
        <v>3513</v>
      </c>
      <c r="E1066" s="1" t="s">
        <v>3514</v>
      </c>
      <c r="F1066" s="1" t="s">
        <v>272</v>
      </c>
      <c r="G1066" s="1" t="s">
        <v>61</v>
      </c>
      <c r="H1066" s="1" t="s">
        <v>30</v>
      </c>
      <c r="I1066" s="1" t="s">
        <v>16</v>
      </c>
      <c r="J1066" s="1">
        <v>1</v>
      </c>
      <c r="K1066" s="1">
        <v>6</v>
      </c>
      <c r="L1066" s="1" t="s">
        <v>31</v>
      </c>
      <c r="M1066" s="1" t="s">
        <v>18</v>
      </c>
      <c r="N1066" s="1" t="s">
        <v>18</v>
      </c>
      <c r="O1066" s="1">
        <v>3</v>
      </c>
      <c r="P1066" s="1">
        <v>6</v>
      </c>
      <c r="R1066" s="1" t="s">
        <v>19</v>
      </c>
      <c r="S1066" s="1" t="s">
        <v>20</v>
      </c>
      <c r="T1066" s="1" t="s">
        <v>21</v>
      </c>
      <c r="U1066" s="1" t="s">
        <v>22</v>
      </c>
      <c r="V1066" s="1" t="s">
        <v>24</v>
      </c>
      <c r="W1066" s="1" t="s">
        <v>24</v>
      </c>
      <c r="X1066" s="1">
        <v>2738</v>
      </c>
      <c r="Y1066" s="1">
        <v>3202</v>
      </c>
      <c r="Z1066" s="1">
        <v>1201</v>
      </c>
      <c r="AA1066" s="1" t="s">
        <v>24</v>
      </c>
      <c r="AB1066" s="1" t="s">
        <v>24</v>
      </c>
      <c r="AC1066" s="1" t="s">
        <v>24</v>
      </c>
      <c r="AD1066" s="1" t="s">
        <v>24</v>
      </c>
      <c r="AE1066" s="1" t="s">
        <v>24</v>
      </c>
      <c r="AF1066" s="22"/>
    </row>
    <row r="1067" spans="1:32" x14ac:dyDescent="0.2">
      <c r="A1067" s="1">
        <v>6044</v>
      </c>
      <c r="B1067" s="1" t="s">
        <v>3515</v>
      </c>
      <c r="C1067" s="5" t="s">
        <v>0</v>
      </c>
      <c r="D1067" s="1" t="s">
        <v>3516</v>
      </c>
      <c r="E1067" s="1" t="s">
        <v>3517</v>
      </c>
      <c r="F1067" s="1" t="s">
        <v>155</v>
      </c>
      <c r="G1067" s="1" t="s">
        <v>61</v>
      </c>
      <c r="H1067" s="1" t="s">
        <v>37</v>
      </c>
      <c r="I1067" s="1" t="s">
        <v>16</v>
      </c>
      <c r="J1067" s="1">
        <v>1</v>
      </c>
      <c r="K1067" s="1">
        <v>10</v>
      </c>
      <c r="L1067" s="1" t="s">
        <v>31</v>
      </c>
      <c r="M1067" s="1" t="s">
        <v>18</v>
      </c>
      <c r="N1067" s="1" t="s">
        <v>18</v>
      </c>
      <c r="O1067" s="1">
        <v>3</v>
      </c>
      <c r="P1067" s="1">
        <v>7</v>
      </c>
      <c r="Q1067" s="7" t="s">
        <v>17633</v>
      </c>
      <c r="R1067" s="1" t="s">
        <v>62</v>
      </c>
      <c r="S1067" s="1" t="s">
        <v>20</v>
      </c>
      <c r="T1067" s="1" t="s">
        <v>21</v>
      </c>
      <c r="U1067" s="1" t="s">
        <v>22</v>
      </c>
      <c r="V1067" s="1" t="s">
        <v>24</v>
      </c>
      <c r="W1067" s="1" t="s">
        <v>24</v>
      </c>
      <c r="X1067" s="1">
        <v>1310</v>
      </c>
      <c r="Y1067" s="1">
        <v>2712</v>
      </c>
      <c r="Z1067" s="1">
        <v>2738</v>
      </c>
      <c r="AA1067" s="1">
        <v>2803</v>
      </c>
      <c r="AB1067" s="1">
        <v>2807</v>
      </c>
      <c r="AC1067" s="1" t="s">
        <v>24</v>
      </c>
      <c r="AD1067" s="1" t="s">
        <v>24</v>
      </c>
      <c r="AE1067" s="1" t="s">
        <v>24</v>
      </c>
      <c r="AF1067" s="22"/>
    </row>
    <row r="1068" spans="1:32" x14ac:dyDescent="0.2">
      <c r="A1068" s="1">
        <v>6050</v>
      </c>
      <c r="B1068" s="1" t="s">
        <v>3518</v>
      </c>
      <c r="C1068" s="5" t="s">
        <v>0</v>
      </c>
      <c r="D1068" s="1" t="s">
        <v>3519</v>
      </c>
      <c r="E1068" s="1" t="s">
        <v>3520</v>
      </c>
      <c r="F1068" s="1" t="s">
        <v>356</v>
      </c>
      <c r="G1068" s="1" t="s">
        <v>357</v>
      </c>
      <c r="H1068" s="1" t="s">
        <v>30</v>
      </c>
      <c r="I1068" s="1" t="s">
        <v>16</v>
      </c>
      <c r="J1068" s="1">
        <v>1</v>
      </c>
      <c r="K1068" s="1">
        <v>4</v>
      </c>
      <c r="L1068" s="1" t="s">
        <v>31</v>
      </c>
      <c r="M1068" s="1" t="s">
        <v>18</v>
      </c>
      <c r="N1068" s="1" t="s">
        <v>18</v>
      </c>
      <c r="O1068" s="1">
        <v>2</v>
      </c>
      <c r="P1068" s="1">
        <v>6</v>
      </c>
      <c r="R1068" s="1" t="s">
        <v>19</v>
      </c>
      <c r="S1068" s="1" t="s">
        <v>20</v>
      </c>
      <c r="T1068" s="1" t="s">
        <v>21</v>
      </c>
      <c r="U1068" s="1" t="s">
        <v>22</v>
      </c>
      <c r="V1068" s="1" t="s">
        <v>23</v>
      </c>
      <c r="W1068" s="1" t="s">
        <v>24</v>
      </c>
      <c r="X1068" s="1">
        <v>2738</v>
      </c>
      <c r="Y1068" s="1">
        <v>3203</v>
      </c>
      <c r="Z1068" s="1" t="s">
        <v>24</v>
      </c>
      <c r="AA1068" s="1" t="s">
        <v>24</v>
      </c>
      <c r="AB1068" s="1" t="s">
        <v>24</v>
      </c>
      <c r="AC1068" s="1" t="s">
        <v>24</v>
      </c>
      <c r="AD1068" s="1" t="s">
        <v>24</v>
      </c>
      <c r="AE1068" s="1" t="s">
        <v>24</v>
      </c>
      <c r="AF1068" s="22"/>
    </row>
    <row r="1069" spans="1:32" x14ac:dyDescent="0.2">
      <c r="A1069" s="1">
        <v>6053</v>
      </c>
      <c r="B1069" s="1" t="s">
        <v>3521</v>
      </c>
      <c r="C1069" s="5" t="s">
        <v>0</v>
      </c>
      <c r="D1069" s="1" t="s">
        <v>3522</v>
      </c>
      <c r="E1069" s="1" t="s">
        <v>3523</v>
      </c>
      <c r="F1069" s="1" t="s">
        <v>85</v>
      </c>
      <c r="G1069" s="1" t="s">
        <v>61</v>
      </c>
      <c r="H1069" s="1" t="s">
        <v>86</v>
      </c>
      <c r="I1069" s="1" t="s">
        <v>16</v>
      </c>
      <c r="J1069" s="1">
        <v>1</v>
      </c>
      <c r="K1069" s="1">
        <v>6</v>
      </c>
      <c r="L1069" s="1" t="s">
        <v>31</v>
      </c>
      <c r="M1069" s="1" t="s">
        <v>199</v>
      </c>
      <c r="N1069" s="1" t="s">
        <v>18</v>
      </c>
      <c r="O1069" s="1">
        <v>3</v>
      </c>
      <c r="P1069" s="1">
        <v>5</v>
      </c>
      <c r="R1069" s="1" t="s">
        <v>19</v>
      </c>
      <c r="S1069" s="1" t="s">
        <v>20</v>
      </c>
      <c r="T1069" s="1" t="s">
        <v>21</v>
      </c>
      <c r="U1069" s="1" t="s">
        <v>22</v>
      </c>
      <c r="V1069" s="1" t="s">
        <v>24</v>
      </c>
      <c r="W1069" s="1" t="s">
        <v>24</v>
      </c>
      <c r="X1069" s="1">
        <v>2734</v>
      </c>
      <c r="Y1069" s="1" t="s">
        <v>24</v>
      </c>
      <c r="Z1069" s="1" t="s">
        <v>24</v>
      </c>
      <c r="AA1069" s="1" t="s">
        <v>24</v>
      </c>
      <c r="AB1069" s="1" t="s">
        <v>24</v>
      </c>
      <c r="AC1069" s="1" t="s">
        <v>24</v>
      </c>
      <c r="AD1069" s="1" t="s">
        <v>24</v>
      </c>
      <c r="AE1069" s="1" t="s">
        <v>24</v>
      </c>
      <c r="AF1069" s="22"/>
    </row>
    <row r="1070" spans="1:32" x14ac:dyDescent="0.2">
      <c r="A1070" s="1">
        <v>6086</v>
      </c>
      <c r="B1070" s="1" t="s">
        <v>3524</v>
      </c>
      <c r="C1070" s="5" t="s">
        <v>0</v>
      </c>
      <c r="D1070" s="1" t="s">
        <v>3525</v>
      </c>
      <c r="E1070" s="1" t="s">
        <v>3526</v>
      </c>
      <c r="F1070" s="1" t="s">
        <v>91</v>
      </c>
      <c r="G1070" s="1" t="s">
        <v>61</v>
      </c>
      <c r="H1070" s="1" t="s">
        <v>92</v>
      </c>
      <c r="I1070" s="1" t="s">
        <v>16</v>
      </c>
      <c r="J1070" s="1">
        <v>1</v>
      </c>
      <c r="K1070" s="1">
        <v>12</v>
      </c>
      <c r="L1070" s="1" t="s">
        <v>31</v>
      </c>
      <c r="M1070" s="1" t="s">
        <v>18</v>
      </c>
      <c r="N1070" s="1" t="s">
        <v>18</v>
      </c>
      <c r="O1070" s="1">
        <v>2</v>
      </c>
      <c r="P1070" s="1">
        <v>6</v>
      </c>
      <c r="R1070" s="1" t="s">
        <v>19</v>
      </c>
      <c r="S1070" s="1" t="s">
        <v>20</v>
      </c>
      <c r="T1070" s="1" t="s">
        <v>21</v>
      </c>
      <c r="U1070" s="1" t="s">
        <v>22</v>
      </c>
      <c r="V1070" s="1" t="s">
        <v>23</v>
      </c>
      <c r="W1070" s="1" t="s">
        <v>24</v>
      </c>
      <c r="X1070" s="1">
        <v>2739</v>
      </c>
      <c r="Y1070" s="1" t="s">
        <v>24</v>
      </c>
      <c r="Z1070" s="1" t="s">
        <v>24</v>
      </c>
      <c r="AA1070" s="1" t="s">
        <v>24</v>
      </c>
      <c r="AB1070" s="1" t="s">
        <v>24</v>
      </c>
      <c r="AC1070" s="1" t="s">
        <v>24</v>
      </c>
      <c r="AD1070" s="1" t="s">
        <v>24</v>
      </c>
      <c r="AE1070" s="1" t="s">
        <v>24</v>
      </c>
      <c r="AF1070" s="22"/>
    </row>
    <row r="1071" spans="1:32" x14ac:dyDescent="0.2">
      <c r="A1071" s="1">
        <v>6098</v>
      </c>
      <c r="B1071" s="1" t="s">
        <v>3527</v>
      </c>
      <c r="C1071" s="5" t="s">
        <v>0</v>
      </c>
      <c r="D1071" s="1" t="s">
        <v>3528</v>
      </c>
      <c r="E1071" s="1" t="s">
        <v>3529</v>
      </c>
      <c r="F1071" s="1" t="s">
        <v>60</v>
      </c>
      <c r="G1071" s="1" t="s">
        <v>61</v>
      </c>
      <c r="H1071" s="1" t="s">
        <v>30</v>
      </c>
      <c r="I1071" s="1" t="s">
        <v>16</v>
      </c>
      <c r="J1071" s="1">
        <v>2</v>
      </c>
      <c r="K1071" s="1">
        <v>6</v>
      </c>
      <c r="L1071" s="1" t="s">
        <v>31</v>
      </c>
      <c r="M1071" s="1" t="s">
        <v>18</v>
      </c>
      <c r="N1071" s="1" t="s">
        <v>18</v>
      </c>
      <c r="O1071" s="1">
        <v>3</v>
      </c>
      <c r="P1071" s="1">
        <v>7</v>
      </c>
      <c r="Q1071" s="7" t="s">
        <v>17633</v>
      </c>
      <c r="R1071" s="1" t="s">
        <v>19</v>
      </c>
      <c r="S1071" s="1" t="s">
        <v>63</v>
      </c>
      <c r="T1071" s="1" t="s">
        <v>21</v>
      </c>
      <c r="U1071" s="1" t="s">
        <v>22</v>
      </c>
      <c r="V1071" s="1" t="s">
        <v>23</v>
      </c>
      <c r="W1071" s="1" t="s">
        <v>24</v>
      </c>
      <c r="X1071" s="1">
        <v>2739</v>
      </c>
      <c r="Y1071" s="1">
        <v>2713</v>
      </c>
      <c r="Z1071" s="1" t="s">
        <v>24</v>
      </c>
      <c r="AA1071" s="1" t="s">
        <v>24</v>
      </c>
      <c r="AB1071" s="1" t="s">
        <v>24</v>
      </c>
      <c r="AC1071" s="1" t="s">
        <v>24</v>
      </c>
      <c r="AD1071" s="1" t="s">
        <v>24</v>
      </c>
      <c r="AE1071" s="1" t="s">
        <v>24</v>
      </c>
      <c r="AF1071" s="22"/>
    </row>
    <row r="1072" spans="1:32" x14ac:dyDescent="0.2">
      <c r="A1072" s="1">
        <v>6100</v>
      </c>
      <c r="B1072" s="1" t="s">
        <v>3530</v>
      </c>
      <c r="C1072" s="5" t="s">
        <v>0</v>
      </c>
      <c r="D1072" s="1" t="s">
        <v>3531</v>
      </c>
      <c r="F1072" s="1" t="s">
        <v>3532</v>
      </c>
      <c r="G1072" s="1" t="s">
        <v>3532</v>
      </c>
      <c r="H1072" s="1" t="s">
        <v>30</v>
      </c>
      <c r="I1072" s="1" t="s">
        <v>16</v>
      </c>
      <c r="J1072" s="1">
        <v>1</v>
      </c>
      <c r="K1072" s="1">
        <v>1</v>
      </c>
      <c r="L1072" s="1" t="s">
        <v>17</v>
      </c>
      <c r="M1072" s="1" t="s">
        <v>18</v>
      </c>
      <c r="N1072" s="1" t="s">
        <v>18</v>
      </c>
      <c r="O1072" s="1">
        <v>0</v>
      </c>
      <c r="P1072" s="1">
        <v>5</v>
      </c>
      <c r="R1072" s="1" t="s">
        <v>19</v>
      </c>
      <c r="S1072" s="1" t="s">
        <v>20</v>
      </c>
      <c r="T1072" s="1" t="s">
        <v>21</v>
      </c>
      <c r="U1072" s="1" t="s">
        <v>22</v>
      </c>
      <c r="V1072" s="1" t="s">
        <v>24</v>
      </c>
      <c r="W1072" s="1" t="s">
        <v>24</v>
      </c>
      <c r="X1072" s="1">
        <v>3004</v>
      </c>
      <c r="Y1072" s="1" t="s">
        <v>24</v>
      </c>
      <c r="Z1072" s="1" t="s">
        <v>24</v>
      </c>
      <c r="AA1072" s="1" t="s">
        <v>24</v>
      </c>
      <c r="AB1072" s="1" t="s">
        <v>24</v>
      </c>
      <c r="AC1072" s="1" t="s">
        <v>24</v>
      </c>
      <c r="AD1072" s="1" t="s">
        <v>24</v>
      </c>
      <c r="AE1072" s="1" t="s">
        <v>24</v>
      </c>
      <c r="AF1072" s="22"/>
    </row>
    <row r="1073" spans="1:32" x14ac:dyDescent="0.2">
      <c r="A1073" s="1">
        <v>6113</v>
      </c>
      <c r="B1073" s="1" t="s">
        <v>3533</v>
      </c>
      <c r="C1073" s="5" t="s">
        <v>0</v>
      </c>
      <c r="D1073" s="1" t="s">
        <v>3534</v>
      </c>
      <c r="F1073" s="1" t="s">
        <v>3381</v>
      </c>
      <c r="G1073" s="1" t="s">
        <v>3381</v>
      </c>
      <c r="H1073" s="1" t="s">
        <v>168</v>
      </c>
      <c r="I1073" s="1" t="s">
        <v>16</v>
      </c>
      <c r="J1073" s="1">
        <v>1</v>
      </c>
      <c r="K1073" s="1">
        <v>52</v>
      </c>
      <c r="L1073" s="1" t="s">
        <v>42</v>
      </c>
      <c r="M1073" s="1" t="s">
        <v>413</v>
      </c>
      <c r="N1073" s="1" t="s">
        <v>413</v>
      </c>
      <c r="O1073" s="1">
        <v>0</v>
      </c>
      <c r="P1073" s="1">
        <v>5</v>
      </c>
      <c r="R1073" s="1" t="s">
        <v>19</v>
      </c>
      <c r="S1073" s="1" t="s">
        <v>20</v>
      </c>
      <c r="T1073" s="1" t="s">
        <v>21</v>
      </c>
      <c r="U1073" s="1" t="s">
        <v>22</v>
      </c>
      <c r="V1073" s="1" t="s">
        <v>24</v>
      </c>
      <c r="W1073" s="1" t="s">
        <v>24</v>
      </c>
      <c r="X1073" s="1">
        <v>3004</v>
      </c>
      <c r="Y1073" s="1">
        <v>2736</v>
      </c>
      <c r="Z1073" s="1" t="s">
        <v>24</v>
      </c>
      <c r="AA1073" s="1" t="s">
        <v>24</v>
      </c>
      <c r="AB1073" s="1" t="s">
        <v>24</v>
      </c>
      <c r="AC1073" s="1" t="s">
        <v>24</v>
      </c>
      <c r="AD1073" s="1" t="s">
        <v>24</v>
      </c>
      <c r="AE1073" s="1" t="s">
        <v>24</v>
      </c>
      <c r="AF1073" s="22"/>
    </row>
    <row r="1074" spans="1:32" x14ac:dyDescent="0.2">
      <c r="A1074" s="1">
        <v>6152</v>
      </c>
      <c r="B1074" s="1" t="s">
        <v>3535</v>
      </c>
      <c r="C1074" s="5" t="s">
        <v>0</v>
      </c>
      <c r="D1074" s="1" t="s">
        <v>3536</v>
      </c>
      <c r="E1074" s="1" t="s">
        <v>3537</v>
      </c>
      <c r="F1074" s="1" t="s">
        <v>3538</v>
      </c>
      <c r="G1074" s="1" t="s">
        <v>68</v>
      </c>
      <c r="H1074" s="1" t="s">
        <v>233</v>
      </c>
      <c r="I1074" s="1" t="s">
        <v>16</v>
      </c>
      <c r="J1074" s="1">
        <v>1</v>
      </c>
      <c r="K1074" s="1">
        <v>6</v>
      </c>
      <c r="L1074" s="1" t="s">
        <v>42</v>
      </c>
      <c r="M1074" s="1" t="s">
        <v>118</v>
      </c>
      <c r="N1074" s="1" t="s">
        <v>118</v>
      </c>
      <c r="O1074" s="1">
        <v>3</v>
      </c>
      <c r="P1074" s="1">
        <v>5</v>
      </c>
      <c r="R1074" s="1" t="s">
        <v>19</v>
      </c>
      <c r="S1074" s="1" t="s">
        <v>20</v>
      </c>
      <c r="T1074" s="1" t="s">
        <v>21</v>
      </c>
      <c r="U1074" s="1" t="s">
        <v>22</v>
      </c>
      <c r="V1074" s="1" t="s">
        <v>24</v>
      </c>
      <c r="W1074" s="1" t="s">
        <v>24</v>
      </c>
      <c r="X1074" s="1">
        <v>2705</v>
      </c>
      <c r="Y1074" s="1" t="s">
        <v>24</v>
      </c>
      <c r="Z1074" s="1" t="s">
        <v>24</v>
      </c>
      <c r="AA1074" s="1" t="s">
        <v>24</v>
      </c>
      <c r="AB1074" s="1" t="s">
        <v>24</v>
      </c>
      <c r="AC1074" s="1" t="s">
        <v>24</v>
      </c>
      <c r="AD1074" s="1" t="s">
        <v>24</v>
      </c>
      <c r="AE1074" s="1" t="s">
        <v>24</v>
      </c>
      <c r="AF1074" s="22"/>
    </row>
    <row r="1075" spans="1:32" x14ac:dyDescent="0.2">
      <c r="A1075" s="1">
        <v>6157</v>
      </c>
      <c r="B1075" s="1" t="s">
        <v>3539</v>
      </c>
      <c r="C1075" s="5" t="s">
        <v>0</v>
      </c>
      <c r="D1075" s="1" t="s">
        <v>3540</v>
      </c>
      <c r="F1075" s="1" t="s">
        <v>3541</v>
      </c>
      <c r="G1075" s="1" t="s">
        <v>3542</v>
      </c>
      <c r="H1075" s="1" t="s">
        <v>233</v>
      </c>
      <c r="I1075" s="1" t="s">
        <v>16</v>
      </c>
      <c r="J1075" s="1">
        <v>1</v>
      </c>
      <c r="K1075" s="1">
        <v>4</v>
      </c>
      <c r="L1075" s="1" t="s">
        <v>42</v>
      </c>
      <c r="M1075" s="1" t="s">
        <v>117</v>
      </c>
      <c r="N1075" s="1" t="s">
        <v>117</v>
      </c>
      <c r="O1075" s="1">
        <v>2</v>
      </c>
      <c r="P1075" s="1">
        <v>4</v>
      </c>
      <c r="R1075" s="1" t="s">
        <v>19</v>
      </c>
      <c r="S1075" s="1" t="s">
        <v>20</v>
      </c>
      <c r="T1075" s="1" t="s">
        <v>21</v>
      </c>
      <c r="U1075" s="1" t="s">
        <v>22</v>
      </c>
      <c r="V1075" s="1" t="s">
        <v>24</v>
      </c>
      <c r="W1075" s="1" t="s">
        <v>24</v>
      </c>
      <c r="X1075" s="1">
        <v>2708</v>
      </c>
      <c r="Y1075" s="1" t="s">
        <v>24</v>
      </c>
      <c r="Z1075" s="1" t="s">
        <v>24</v>
      </c>
      <c r="AA1075" s="1" t="s">
        <v>24</v>
      </c>
      <c r="AB1075" s="1" t="s">
        <v>24</v>
      </c>
      <c r="AC1075" s="1" t="s">
        <v>24</v>
      </c>
      <c r="AD1075" s="1" t="s">
        <v>24</v>
      </c>
      <c r="AE1075" s="1" t="s">
        <v>24</v>
      </c>
      <c r="AF1075" s="22"/>
    </row>
    <row r="1076" spans="1:32" x14ac:dyDescent="0.2">
      <c r="A1076" s="1">
        <v>6159</v>
      </c>
      <c r="B1076" s="1" t="s">
        <v>3543</v>
      </c>
      <c r="C1076" s="5" t="s">
        <v>0</v>
      </c>
      <c r="D1076" s="1" t="s">
        <v>3544</v>
      </c>
      <c r="E1076" s="1" t="s">
        <v>3545</v>
      </c>
      <c r="F1076" s="1" t="s">
        <v>3546</v>
      </c>
      <c r="G1076" s="1" t="s">
        <v>3546</v>
      </c>
      <c r="H1076" s="1" t="s">
        <v>30</v>
      </c>
      <c r="I1076" s="1" t="s">
        <v>16</v>
      </c>
      <c r="J1076" s="1">
        <v>4</v>
      </c>
      <c r="K1076" s="1">
        <v>3</v>
      </c>
      <c r="L1076" s="1" t="s">
        <v>42</v>
      </c>
      <c r="M1076" s="1" t="s">
        <v>18</v>
      </c>
      <c r="N1076" s="1" t="s">
        <v>18</v>
      </c>
      <c r="O1076" s="1">
        <v>3</v>
      </c>
      <c r="P1076" s="1">
        <v>7</v>
      </c>
      <c r="Q1076" s="7" t="s">
        <v>17633</v>
      </c>
      <c r="R1076" s="1" t="s">
        <v>62</v>
      </c>
      <c r="S1076" s="1" t="s">
        <v>20</v>
      </c>
      <c r="T1076" s="1" t="s">
        <v>21</v>
      </c>
      <c r="U1076" s="1" t="s">
        <v>22</v>
      </c>
      <c r="V1076" s="1" t="s">
        <v>23</v>
      </c>
      <c r="W1076" s="1" t="s">
        <v>24</v>
      </c>
      <c r="X1076" s="1">
        <v>2741</v>
      </c>
      <c r="Y1076" s="1" t="s">
        <v>24</v>
      </c>
      <c r="Z1076" s="1" t="s">
        <v>24</v>
      </c>
      <c r="AA1076" s="1" t="s">
        <v>24</v>
      </c>
      <c r="AB1076" s="1" t="s">
        <v>24</v>
      </c>
      <c r="AC1076" s="1" t="s">
        <v>24</v>
      </c>
      <c r="AD1076" s="1" t="s">
        <v>24</v>
      </c>
      <c r="AE1076" s="1" t="s">
        <v>24</v>
      </c>
      <c r="AF1076" s="22"/>
    </row>
    <row r="1077" spans="1:32" x14ac:dyDescent="0.2">
      <c r="A1077" s="1">
        <v>6172</v>
      </c>
      <c r="B1077" s="1" t="s">
        <v>3547</v>
      </c>
      <c r="C1077" s="5" t="s">
        <v>0</v>
      </c>
      <c r="D1077" s="1" t="s">
        <v>3548</v>
      </c>
      <c r="F1077" s="1" t="s">
        <v>3549</v>
      </c>
      <c r="G1077" s="1" t="s">
        <v>3549</v>
      </c>
      <c r="H1077" s="1" t="s">
        <v>233</v>
      </c>
      <c r="I1077" s="1" t="s">
        <v>16</v>
      </c>
      <c r="J1077" s="1">
        <v>1</v>
      </c>
      <c r="K1077" s="1">
        <v>4</v>
      </c>
      <c r="L1077" s="1" t="s">
        <v>42</v>
      </c>
      <c r="M1077" s="1" t="s">
        <v>118</v>
      </c>
      <c r="N1077" s="1" t="s">
        <v>226</v>
      </c>
      <c r="O1077" s="1">
        <v>3</v>
      </c>
      <c r="P1077" s="1">
        <v>5</v>
      </c>
      <c r="R1077" s="1" t="s">
        <v>19</v>
      </c>
      <c r="S1077" s="1" t="s">
        <v>20</v>
      </c>
      <c r="T1077" s="1" t="s">
        <v>21</v>
      </c>
      <c r="U1077" s="1" t="s">
        <v>22</v>
      </c>
      <c r="V1077" s="1" t="s">
        <v>24</v>
      </c>
      <c r="W1077" s="1" t="s">
        <v>24</v>
      </c>
      <c r="X1077" s="1">
        <v>2726</v>
      </c>
      <c r="Y1077" s="1">
        <v>2404</v>
      </c>
      <c r="Z1077" s="1" t="s">
        <v>24</v>
      </c>
      <c r="AA1077" s="1" t="s">
        <v>24</v>
      </c>
      <c r="AB1077" s="1" t="s">
        <v>24</v>
      </c>
      <c r="AC1077" s="1" t="s">
        <v>24</v>
      </c>
      <c r="AD1077" s="1" t="s">
        <v>24</v>
      </c>
      <c r="AE1077" s="1" t="s">
        <v>24</v>
      </c>
      <c r="AF1077" s="22"/>
    </row>
    <row r="1078" spans="1:32" x14ac:dyDescent="0.2">
      <c r="A1078" s="1">
        <v>6175</v>
      </c>
      <c r="B1078" s="1" t="s">
        <v>3550</v>
      </c>
      <c r="C1078" s="5" t="s">
        <v>0</v>
      </c>
      <c r="D1078" s="1" t="s">
        <v>3551</v>
      </c>
      <c r="E1078" s="1" t="s">
        <v>3552</v>
      </c>
      <c r="F1078" s="1" t="s">
        <v>221</v>
      </c>
      <c r="G1078" s="1" t="s">
        <v>61</v>
      </c>
      <c r="H1078" s="1" t="s">
        <v>222</v>
      </c>
      <c r="I1078" s="1" t="s">
        <v>16</v>
      </c>
      <c r="J1078" s="1">
        <v>4</v>
      </c>
      <c r="K1078" s="1">
        <v>3</v>
      </c>
      <c r="L1078" s="1" t="s">
        <v>31</v>
      </c>
      <c r="M1078" s="1" t="s">
        <v>18</v>
      </c>
      <c r="N1078" s="1" t="s">
        <v>18</v>
      </c>
      <c r="O1078" s="1">
        <v>3</v>
      </c>
      <c r="P1078" s="1">
        <v>7</v>
      </c>
      <c r="Q1078" s="7" t="s">
        <v>17633</v>
      </c>
      <c r="R1078" s="1" t="s">
        <v>62</v>
      </c>
      <c r="S1078" s="1" t="s">
        <v>20</v>
      </c>
      <c r="T1078" s="1" t="s">
        <v>21</v>
      </c>
      <c r="U1078" s="1" t="s">
        <v>22</v>
      </c>
      <c r="V1078" s="1" t="s">
        <v>24</v>
      </c>
      <c r="W1078" s="1" t="s">
        <v>24</v>
      </c>
      <c r="X1078" s="1">
        <v>2730</v>
      </c>
      <c r="Y1078" s="1">
        <v>2741</v>
      </c>
      <c r="Z1078" s="1">
        <v>2720</v>
      </c>
      <c r="AA1078" s="1" t="s">
        <v>24</v>
      </c>
      <c r="AB1078" s="1" t="s">
        <v>24</v>
      </c>
      <c r="AC1078" s="1" t="s">
        <v>24</v>
      </c>
      <c r="AD1078" s="1" t="s">
        <v>24</v>
      </c>
      <c r="AE1078" s="1" t="s">
        <v>24</v>
      </c>
      <c r="AF1078" s="22"/>
    </row>
    <row r="1079" spans="1:32" x14ac:dyDescent="0.2">
      <c r="A1079" s="1">
        <v>6178</v>
      </c>
      <c r="B1079" s="1" t="s">
        <v>3553</v>
      </c>
      <c r="C1079" s="5" t="s">
        <v>0</v>
      </c>
      <c r="D1079" s="1" t="s">
        <v>3554</v>
      </c>
      <c r="E1079" s="1" t="s">
        <v>3555</v>
      </c>
      <c r="F1079" s="1" t="s">
        <v>3556</v>
      </c>
      <c r="G1079" s="1" t="s">
        <v>809</v>
      </c>
      <c r="H1079" s="1" t="s">
        <v>30</v>
      </c>
      <c r="I1079" s="1" t="s">
        <v>16</v>
      </c>
      <c r="J1079" s="1">
        <v>2</v>
      </c>
      <c r="K1079" s="1">
        <v>6</v>
      </c>
      <c r="L1079" s="1" t="s">
        <v>31</v>
      </c>
      <c r="M1079" s="1" t="s">
        <v>18</v>
      </c>
      <c r="N1079" s="1" t="s">
        <v>18</v>
      </c>
      <c r="O1079" s="1">
        <v>3</v>
      </c>
      <c r="P1079" s="1">
        <v>7</v>
      </c>
      <c r="Q1079" s="7" t="s">
        <v>17633</v>
      </c>
      <c r="R1079" s="1" t="s">
        <v>62</v>
      </c>
      <c r="S1079" s="1" t="s">
        <v>20</v>
      </c>
      <c r="T1079" s="1" t="s">
        <v>21</v>
      </c>
      <c r="U1079" s="1" t="s">
        <v>22</v>
      </c>
      <c r="V1079" s="1" t="s">
        <v>24</v>
      </c>
      <c r="W1079" s="1" t="s">
        <v>24</v>
      </c>
      <c r="X1079" s="1">
        <v>2741</v>
      </c>
      <c r="Y1079" s="1">
        <v>1304</v>
      </c>
      <c r="Z1079" s="1">
        <v>3108</v>
      </c>
      <c r="AA1079" s="1" t="s">
        <v>24</v>
      </c>
      <c r="AB1079" s="1" t="s">
        <v>24</v>
      </c>
      <c r="AC1079" s="1" t="s">
        <v>24</v>
      </c>
      <c r="AD1079" s="1" t="s">
        <v>24</v>
      </c>
      <c r="AE1079" s="1" t="s">
        <v>24</v>
      </c>
      <c r="AF1079" s="22"/>
    </row>
    <row r="1080" spans="1:32" x14ac:dyDescent="0.2">
      <c r="A1080" s="1">
        <v>6190</v>
      </c>
      <c r="B1080" s="1" t="s">
        <v>3557</v>
      </c>
      <c r="C1080" s="5" t="s">
        <v>0</v>
      </c>
      <c r="D1080" s="1" t="s">
        <v>3558</v>
      </c>
      <c r="E1080" s="1" t="s">
        <v>3559</v>
      </c>
      <c r="F1080" s="1" t="s">
        <v>2622</v>
      </c>
      <c r="G1080" s="1" t="s">
        <v>61</v>
      </c>
      <c r="H1080" s="1" t="s">
        <v>69</v>
      </c>
      <c r="I1080" s="1" t="s">
        <v>16</v>
      </c>
      <c r="J1080" s="1">
        <v>1</v>
      </c>
      <c r="K1080" s="1">
        <v>6</v>
      </c>
      <c r="L1080" s="1" t="s">
        <v>31</v>
      </c>
      <c r="M1080" s="1" t="s">
        <v>70</v>
      </c>
      <c r="N1080" s="1" t="s">
        <v>75</v>
      </c>
      <c r="O1080" s="1">
        <v>2</v>
      </c>
      <c r="P1080" s="1">
        <v>4</v>
      </c>
      <c r="R1080" s="1" t="s">
        <v>19</v>
      </c>
      <c r="S1080" s="1" t="s">
        <v>20</v>
      </c>
      <c r="T1080" s="1" t="s">
        <v>21</v>
      </c>
      <c r="U1080" s="1" t="s">
        <v>22</v>
      </c>
      <c r="V1080" s="1" t="s">
        <v>23</v>
      </c>
      <c r="W1080" s="1" t="s">
        <v>24</v>
      </c>
      <c r="X1080" s="1">
        <v>2703</v>
      </c>
      <c r="Y1080" s="1" t="s">
        <v>24</v>
      </c>
      <c r="Z1080" s="1" t="s">
        <v>24</v>
      </c>
      <c r="AA1080" s="1" t="s">
        <v>24</v>
      </c>
      <c r="AB1080" s="1" t="s">
        <v>24</v>
      </c>
      <c r="AC1080" s="1" t="s">
        <v>24</v>
      </c>
      <c r="AD1080" s="1" t="s">
        <v>24</v>
      </c>
      <c r="AE1080" s="1" t="s">
        <v>24</v>
      </c>
      <c r="AF1080" s="22"/>
    </row>
    <row r="1081" spans="1:32" x14ac:dyDescent="0.2">
      <c r="A1081" s="1">
        <v>6197</v>
      </c>
      <c r="B1081" s="1" t="s">
        <v>3560</v>
      </c>
      <c r="C1081" s="5" t="s">
        <v>0</v>
      </c>
      <c r="D1081" s="1" t="s">
        <v>3561</v>
      </c>
      <c r="F1081" s="1" t="s">
        <v>3562</v>
      </c>
      <c r="G1081" s="1" t="s">
        <v>3563</v>
      </c>
      <c r="H1081" s="1" t="s">
        <v>69</v>
      </c>
      <c r="I1081" s="1" t="s">
        <v>16</v>
      </c>
      <c r="J1081" s="1">
        <v>1</v>
      </c>
      <c r="K1081" s="1">
        <v>11</v>
      </c>
      <c r="L1081" s="1" t="s">
        <v>42</v>
      </c>
      <c r="M1081" s="1" t="s">
        <v>70</v>
      </c>
      <c r="N1081" s="1" t="s">
        <v>75</v>
      </c>
      <c r="O1081" s="1">
        <v>2</v>
      </c>
      <c r="P1081" s="1">
        <v>3</v>
      </c>
      <c r="R1081" s="1" t="s">
        <v>19</v>
      </c>
      <c r="S1081" s="1" t="s">
        <v>20</v>
      </c>
      <c r="T1081" s="1" t="s">
        <v>21</v>
      </c>
      <c r="U1081" s="1" t="s">
        <v>22</v>
      </c>
      <c r="V1081" s="1" t="s">
        <v>24</v>
      </c>
      <c r="W1081" s="1" t="s">
        <v>24</v>
      </c>
      <c r="X1081" s="1">
        <v>2700</v>
      </c>
      <c r="Y1081" s="1" t="s">
        <v>24</v>
      </c>
      <c r="Z1081" s="1" t="s">
        <v>24</v>
      </c>
      <c r="AA1081" s="1" t="s">
        <v>24</v>
      </c>
      <c r="AB1081" s="1" t="s">
        <v>24</v>
      </c>
      <c r="AC1081" s="1" t="s">
        <v>24</v>
      </c>
      <c r="AD1081" s="1" t="s">
        <v>24</v>
      </c>
      <c r="AE1081" s="1" t="s">
        <v>24</v>
      </c>
      <c r="AF1081" s="22"/>
    </row>
    <row r="1082" spans="1:32" x14ac:dyDescent="0.2">
      <c r="A1082" s="1">
        <v>6203</v>
      </c>
      <c r="B1082" s="1" t="s">
        <v>3564</v>
      </c>
      <c r="C1082" s="5" t="s">
        <v>0</v>
      </c>
      <c r="D1082" s="1" t="s">
        <v>3565</v>
      </c>
      <c r="E1082" s="1" t="s">
        <v>3566</v>
      </c>
      <c r="F1082" s="1" t="s">
        <v>3567</v>
      </c>
      <c r="G1082" s="1" t="s">
        <v>3568</v>
      </c>
      <c r="H1082" s="1" t="s">
        <v>69</v>
      </c>
      <c r="I1082" s="1" t="s">
        <v>16</v>
      </c>
      <c r="J1082" s="1">
        <v>1</v>
      </c>
      <c r="K1082" s="1">
        <v>12</v>
      </c>
      <c r="L1082" s="1" t="s">
        <v>42</v>
      </c>
      <c r="M1082" s="1" t="s">
        <v>18</v>
      </c>
      <c r="N1082" s="1" t="s">
        <v>18</v>
      </c>
      <c r="O1082" s="1">
        <v>2</v>
      </c>
      <c r="P1082" s="1">
        <v>5</v>
      </c>
      <c r="R1082" s="1" t="s">
        <v>19</v>
      </c>
      <c r="S1082" s="1" t="s">
        <v>20</v>
      </c>
      <c r="T1082" s="1" t="s">
        <v>21</v>
      </c>
      <c r="U1082" s="1" t="s">
        <v>22</v>
      </c>
      <c r="V1082" s="1" t="s">
        <v>24</v>
      </c>
      <c r="W1082" s="1" t="s">
        <v>24</v>
      </c>
      <c r="X1082" s="1">
        <v>1304</v>
      </c>
      <c r="Y1082" s="1">
        <v>1303</v>
      </c>
      <c r="Z1082" s="1">
        <v>1307</v>
      </c>
      <c r="AA1082" s="1">
        <v>1314</v>
      </c>
      <c r="AB1082" s="1">
        <v>2403</v>
      </c>
      <c r="AC1082" s="1">
        <v>2700</v>
      </c>
      <c r="AD1082" s="1">
        <v>2800</v>
      </c>
      <c r="AE1082" s="1">
        <v>3000</v>
      </c>
      <c r="AF1082" s="22"/>
    </row>
    <row r="1083" spans="1:32" x14ac:dyDescent="0.2">
      <c r="A1083" s="1">
        <v>6205</v>
      </c>
      <c r="B1083" s="1" t="s">
        <v>3569</v>
      </c>
      <c r="C1083" s="5" t="s">
        <v>0</v>
      </c>
      <c r="D1083" s="1" t="s">
        <v>3570</v>
      </c>
      <c r="E1083" s="1" t="s">
        <v>3571</v>
      </c>
      <c r="F1083" s="1" t="s">
        <v>1683</v>
      </c>
      <c r="G1083" s="1" t="s">
        <v>61</v>
      </c>
      <c r="H1083" s="1" t="s">
        <v>116</v>
      </c>
      <c r="I1083" s="1" t="s">
        <v>16</v>
      </c>
      <c r="J1083" s="1">
        <v>1</v>
      </c>
      <c r="K1083" s="1">
        <v>6</v>
      </c>
      <c r="L1083" s="1" t="s">
        <v>31</v>
      </c>
      <c r="M1083" s="1" t="s">
        <v>117</v>
      </c>
      <c r="N1083" s="1" t="s">
        <v>226</v>
      </c>
      <c r="O1083" s="1">
        <v>3</v>
      </c>
      <c r="P1083" s="1">
        <v>5</v>
      </c>
      <c r="R1083" s="1" t="s">
        <v>19</v>
      </c>
      <c r="S1083" s="1" t="s">
        <v>20</v>
      </c>
      <c r="T1083" s="1" t="s">
        <v>21</v>
      </c>
      <c r="U1083" s="1" t="s">
        <v>22</v>
      </c>
      <c r="V1083" s="1" t="s">
        <v>23</v>
      </c>
      <c r="W1083" s="1" t="s">
        <v>24</v>
      </c>
      <c r="X1083" s="1">
        <v>2741</v>
      </c>
      <c r="Y1083" s="1" t="s">
        <v>24</v>
      </c>
      <c r="Z1083" s="1" t="s">
        <v>24</v>
      </c>
      <c r="AA1083" s="1" t="s">
        <v>24</v>
      </c>
      <c r="AB1083" s="1" t="s">
        <v>24</v>
      </c>
      <c r="AC1083" s="1" t="s">
        <v>24</v>
      </c>
      <c r="AD1083" s="1" t="s">
        <v>24</v>
      </c>
      <c r="AE1083" s="1" t="s">
        <v>24</v>
      </c>
      <c r="AF1083" s="22"/>
    </row>
    <row r="1084" spans="1:32" x14ac:dyDescent="0.2">
      <c r="A1084" s="1">
        <v>6216</v>
      </c>
      <c r="B1084" s="1" t="s">
        <v>3572</v>
      </c>
      <c r="C1084" s="5" t="s">
        <v>0</v>
      </c>
      <c r="D1084" s="1" t="s">
        <v>3573</v>
      </c>
      <c r="E1084" s="1" t="s">
        <v>3574</v>
      </c>
      <c r="F1084" s="1" t="s">
        <v>1683</v>
      </c>
      <c r="G1084" s="1" t="s">
        <v>61</v>
      </c>
      <c r="H1084" s="1" t="s">
        <v>116</v>
      </c>
      <c r="I1084" s="1" t="s">
        <v>16</v>
      </c>
      <c r="J1084" s="1">
        <v>1</v>
      </c>
      <c r="K1084" s="1">
        <v>12</v>
      </c>
      <c r="L1084" s="1" t="s">
        <v>31</v>
      </c>
      <c r="M1084" s="1" t="s">
        <v>117</v>
      </c>
      <c r="N1084" s="1" t="s">
        <v>117</v>
      </c>
      <c r="O1084" s="1">
        <v>2</v>
      </c>
      <c r="P1084" s="1">
        <v>5</v>
      </c>
      <c r="R1084" s="1" t="s">
        <v>19</v>
      </c>
      <c r="S1084" s="1" t="s">
        <v>20</v>
      </c>
      <c r="T1084" s="1" t="s">
        <v>21</v>
      </c>
      <c r="U1084" s="1" t="s">
        <v>22</v>
      </c>
      <c r="V1084" s="1" t="s">
        <v>23</v>
      </c>
      <c r="W1084" s="1" t="s">
        <v>24</v>
      </c>
      <c r="X1084" s="1">
        <v>2705</v>
      </c>
      <c r="Y1084" s="1" t="s">
        <v>24</v>
      </c>
      <c r="Z1084" s="1" t="s">
        <v>24</v>
      </c>
      <c r="AA1084" s="1" t="s">
        <v>24</v>
      </c>
      <c r="AB1084" s="1" t="s">
        <v>24</v>
      </c>
      <c r="AC1084" s="1" t="s">
        <v>24</v>
      </c>
      <c r="AD1084" s="1" t="s">
        <v>24</v>
      </c>
      <c r="AE1084" s="1" t="s">
        <v>24</v>
      </c>
      <c r="AF1084" s="22"/>
    </row>
    <row r="1085" spans="1:32" x14ac:dyDescent="0.2">
      <c r="A1085" s="1">
        <v>6217</v>
      </c>
      <c r="B1085" s="1" t="s">
        <v>3575</v>
      </c>
      <c r="C1085" s="5" t="s">
        <v>0</v>
      </c>
      <c r="D1085" s="1" t="s">
        <v>3576</v>
      </c>
      <c r="E1085" s="1" t="s">
        <v>3577</v>
      </c>
      <c r="F1085" s="1" t="s">
        <v>175</v>
      </c>
      <c r="G1085" s="1" t="s">
        <v>61</v>
      </c>
      <c r="H1085" s="1" t="s">
        <v>116</v>
      </c>
      <c r="I1085" s="1" t="s">
        <v>16</v>
      </c>
      <c r="J1085" s="1">
        <v>1</v>
      </c>
      <c r="K1085" s="1">
        <v>11</v>
      </c>
      <c r="L1085" s="1" t="s">
        <v>31</v>
      </c>
      <c r="M1085" s="1" t="s">
        <v>117</v>
      </c>
      <c r="N1085" s="1" t="s">
        <v>226</v>
      </c>
      <c r="O1085" s="1">
        <v>2</v>
      </c>
      <c r="P1085" s="1">
        <v>5</v>
      </c>
      <c r="R1085" s="1" t="s">
        <v>19</v>
      </c>
      <c r="S1085" s="1" t="s">
        <v>20</v>
      </c>
      <c r="T1085" s="1" t="s">
        <v>21</v>
      </c>
      <c r="U1085" s="1" t="s">
        <v>22</v>
      </c>
      <c r="V1085" s="1" t="s">
        <v>24</v>
      </c>
      <c r="W1085" s="1" t="s">
        <v>24</v>
      </c>
      <c r="X1085" s="1">
        <v>2700</v>
      </c>
      <c r="Y1085" s="1" t="s">
        <v>24</v>
      </c>
      <c r="Z1085" s="1" t="s">
        <v>24</v>
      </c>
      <c r="AA1085" s="1" t="s">
        <v>24</v>
      </c>
      <c r="AB1085" s="1" t="s">
        <v>24</v>
      </c>
      <c r="AC1085" s="1" t="s">
        <v>24</v>
      </c>
      <c r="AD1085" s="1" t="s">
        <v>24</v>
      </c>
      <c r="AE1085" s="1" t="s">
        <v>24</v>
      </c>
      <c r="AF1085" s="22"/>
    </row>
    <row r="1086" spans="1:32" x14ac:dyDescent="0.2">
      <c r="A1086" s="1">
        <v>6226</v>
      </c>
      <c r="B1086" s="1" t="s">
        <v>3578</v>
      </c>
      <c r="C1086" s="5" t="s">
        <v>0</v>
      </c>
      <c r="D1086" s="1" t="s">
        <v>3579</v>
      </c>
      <c r="E1086" s="1" t="s">
        <v>3580</v>
      </c>
      <c r="F1086" s="1" t="s">
        <v>303</v>
      </c>
      <c r="G1086" s="1" t="s">
        <v>61</v>
      </c>
      <c r="H1086" s="1" t="s">
        <v>30</v>
      </c>
      <c r="I1086" s="1" t="s">
        <v>16</v>
      </c>
      <c r="J1086" s="1">
        <v>1</v>
      </c>
      <c r="K1086" s="1">
        <v>6</v>
      </c>
      <c r="L1086" s="1" t="s">
        <v>31</v>
      </c>
      <c r="M1086" s="1" t="s">
        <v>18</v>
      </c>
      <c r="N1086" s="1" t="s">
        <v>18</v>
      </c>
      <c r="O1086" s="1">
        <v>3</v>
      </c>
      <c r="P1086" s="1">
        <v>7</v>
      </c>
      <c r="Q1086" s="7" t="s">
        <v>17633</v>
      </c>
      <c r="R1086" s="1" t="s">
        <v>19</v>
      </c>
      <c r="S1086" s="1" t="s">
        <v>20</v>
      </c>
      <c r="T1086" s="1" t="s">
        <v>21</v>
      </c>
      <c r="U1086" s="1" t="s">
        <v>22</v>
      </c>
      <c r="V1086" s="1" t="s">
        <v>23</v>
      </c>
      <c r="W1086" s="1" t="s">
        <v>24</v>
      </c>
      <c r="X1086" s="1">
        <v>2741</v>
      </c>
      <c r="Y1086" s="1" t="s">
        <v>24</v>
      </c>
      <c r="Z1086" s="1" t="s">
        <v>24</v>
      </c>
      <c r="AA1086" s="1" t="s">
        <v>24</v>
      </c>
      <c r="AB1086" s="1" t="s">
        <v>24</v>
      </c>
      <c r="AC1086" s="1" t="s">
        <v>24</v>
      </c>
      <c r="AD1086" s="1" t="s">
        <v>24</v>
      </c>
      <c r="AE1086" s="1" t="s">
        <v>24</v>
      </c>
      <c r="AF1086" s="22"/>
    </row>
    <row r="1087" spans="1:32" x14ac:dyDescent="0.2">
      <c r="A1087" s="1">
        <v>6237</v>
      </c>
      <c r="B1087" s="1" t="s">
        <v>3581</v>
      </c>
      <c r="C1087" s="5" t="s">
        <v>0</v>
      </c>
      <c r="D1087" s="1" t="s">
        <v>3582</v>
      </c>
      <c r="E1087" s="1" t="s">
        <v>3583</v>
      </c>
      <c r="F1087" s="1" t="s">
        <v>3584</v>
      </c>
      <c r="G1087" s="1" t="s">
        <v>3584</v>
      </c>
      <c r="H1087" s="1" t="s">
        <v>3585</v>
      </c>
      <c r="I1087" s="1" t="s">
        <v>16</v>
      </c>
      <c r="J1087" s="1">
        <v>1</v>
      </c>
      <c r="K1087" s="1">
        <v>6</v>
      </c>
      <c r="L1087" s="1" t="s">
        <v>42</v>
      </c>
      <c r="M1087" s="1" t="s">
        <v>117</v>
      </c>
      <c r="N1087" s="1" t="s">
        <v>18</v>
      </c>
      <c r="O1087" s="1">
        <v>2</v>
      </c>
      <c r="P1087" s="1">
        <v>4</v>
      </c>
      <c r="R1087" s="1" t="s">
        <v>19</v>
      </c>
      <c r="S1087" s="1" t="s">
        <v>20</v>
      </c>
      <c r="T1087" s="1" t="s">
        <v>21</v>
      </c>
      <c r="U1087" s="1" t="s">
        <v>22</v>
      </c>
      <c r="V1087" s="1" t="s">
        <v>24</v>
      </c>
      <c r="W1087" s="1" t="s">
        <v>24</v>
      </c>
      <c r="X1087" s="1">
        <v>2735</v>
      </c>
      <c r="Y1087" s="1" t="s">
        <v>24</v>
      </c>
      <c r="Z1087" s="1" t="s">
        <v>24</v>
      </c>
      <c r="AA1087" s="1" t="s">
        <v>24</v>
      </c>
      <c r="AB1087" s="1" t="s">
        <v>24</v>
      </c>
      <c r="AC1087" s="1" t="s">
        <v>24</v>
      </c>
      <c r="AD1087" s="1" t="s">
        <v>24</v>
      </c>
      <c r="AE1087" s="1" t="s">
        <v>24</v>
      </c>
      <c r="AF1087" s="22"/>
    </row>
    <row r="1088" spans="1:32" x14ac:dyDescent="0.2">
      <c r="A1088" s="1">
        <v>6243</v>
      </c>
      <c r="B1088" s="1" t="s">
        <v>3586</v>
      </c>
      <c r="C1088" s="5" t="s">
        <v>0</v>
      </c>
      <c r="D1088" s="1" t="s">
        <v>3587</v>
      </c>
      <c r="F1088" s="1" t="s">
        <v>175</v>
      </c>
      <c r="G1088" s="1" t="s">
        <v>61</v>
      </c>
      <c r="H1088" s="1" t="s">
        <v>116</v>
      </c>
      <c r="I1088" s="1" t="s">
        <v>16</v>
      </c>
      <c r="J1088" s="1">
        <v>1</v>
      </c>
      <c r="K1088" s="1">
        <v>4</v>
      </c>
      <c r="L1088" s="1" t="s">
        <v>31</v>
      </c>
      <c r="M1088" s="1" t="s">
        <v>117</v>
      </c>
      <c r="N1088" s="1" t="s">
        <v>118</v>
      </c>
      <c r="O1088" s="1">
        <v>3</v>
      </c>
      <c r="P1088" s="1">
        <v>6</v>
      </c>
      <c r="R1088" s="1" t="s">
        <v>19</v>
      </c>
      <c r="S1088" s="1" t="s">
        <v>20</v>
      </c>
      <c r="T1088" s="1" t="s">
        <v>21</v>
      </c>
      <c r="V1088" s="1" t="s">
        <v>24</v>
      </c>
      <c r="W1088" s="1" t="s">
        <v>24</v>
      </c>
      <c r="X1088" s="1">
        <v>2738</v>
      </c>
      <c r="Y1088" s="1" t="s">
        <v>24</v>
      </c>
      <c r="Z1088" s="1" t="s">
        <v>24</v>
      </c>
      <c r="AA1088" s="1" t="s">
        <v>24</v>
      </c>
      <c r="AB1088" s="1" t="s">
        <v>24</v>
      </c>
      <c r="AC1088" s="1" t="s">
        <v>24</v>
      </c>
      <c r="AD1088" s="1" t="s">
        <v>24</v>
      </c>
      <c r="AE1088" s="1" t="s">
        <v>24</v>
      </c>
      <c r="AF1088" s="22"/>
    </row>
    <row r="1089" spans="1:32" x14ac:dyDescent="0.2">
      <c r="A1089" s="1">
        <v>6250</v>
      </c>
      <c r="B1089" s="1" t="s">
        <v>3588</v>
      </c>
      <c r="C1089" s="5" t="s">
        <v>0</v>
      </c>
      <c r="D1089" s="1" t="s">
        <v>3589</v>
      </c>
      <c r="E1089" s="1" t="s">
        <v>3590</v>
      </c>
      <c r="F1089" s="1" t="s">
        <v>3591</v>
      </c>
      <c r="G1089" s="1" t="s">
        <v>3592</v>
      </c>
      <c r="H1089" s="1" t="s">
        <v>3593</v>
      </c>
      <c r="I1089" s="1" t="s">
        <v>16</v>
      </c>
      <c r="J1089" s="1">
        <v>1</v>
      </c>
      <c r="K1089" s="1">
        <v>4</v>
      </c>
      <c r="L1089" s="1" t="s">
        <v>42</v>
      </c>
      <c r="M1089" s="1" t="s">
        <v>117</v>
      </c>
      <c r="N1089" s="1" t="s">
        <v>226</v>
      </c>
      <c r="O1089" s="1">
        <v>3</v>
      </c>
      <c r="P1089" s="1">
        <v>5</v>
      </c>
      <c r="R1089" s="1" t="s">
        <v>19</v>
      </c>
      <c r="S1089" s="1" t="s">
        <v>20</v>
      </c>
      <c r="T1089" s="1" t="s">
        <v>21</v>
      </c>
      <c r="U1089" s="1" t="s">
        <v>22</v>
      </c>
      <c r="V1089" s="1" t="s">
        <v>24</v>
      </c>
      <c r="W1089" s="1" t="s">
        <v>24</v>
      </c>
      <c r="X1089" s="1">
        <v>3003</v>
      </c>
      <c r="Y1089" s="1">
        <v>3004</v>
      </c>
      <c r="Z1089" s="1">
        <v>3611</v>
      </c>
      <c r="AA1089" s="1" t="s">
        <v>24</v>
      </c>
      <c r="AB1089" s="1" t="s">
        <v>24</v>
      </c>
      <c r="AC1089" s="1" t="s">
        <v>24</v>
      </c>
      <c r="AD1089" s="1" t="s">
        <v>24</v>
      </c>
      <c r="AE1089" s="1" t="s">
        <v>24</v>
      </c>
      <c r="AF1089" s="22"/>
    </row>
    <row r="1090" spans="1:32" x14ac:dyDescent="0.2">
      <c r="A1090" s="1">
        <v>6276</v>
      </c>
      <c r="B1090" s="1" t="s">
        <v>3594</v>
      </c>
      <c r="C1090" s="5" t="s">
        <v>0</v>
      </c>
      <c r="D1090" s="1" t="s">
        <v>3595</v>
      </c>
      <c r="E1090" s="1" t="s">
        <v>3596</v>
      </c>
      <c r="F1090" s="1" t="s">
        <v>3597</v>
      </c>
      <c r="G1090" s="1" t="s">
        <v>3597</v>
      </c>
      <c r="H1090" s="1" t="s">
        <v>30</v>
      </c>
      <c r="I1090" s="1" t="s">
        <v>16</v>
      </c>
      <c r="J1090" s="1">
        <v>1</v>
      </c>
      <c r="K1090" s="1">
        <v>12</v>
      </c>
      <c r="L1090" s="1" t="s">
        <v>42</v>
      </c>
      <c r="M1090" s="1" t="s">
        <v>18</v>
      </c>
      <c r="N1090" s="1" t="s">
        <v>18</v>
      </c>
      <c r="O1090" s="1">
        <v>3</v>
      </c>
      <c r="P1090" s="1">
        <v>6</v>
      </c>
      <c r="R1090" s="1" t="s">
        <v>19</v>
      </c>
      <c r="S1090" s="1" t="s">
        <v>20</v>
      </c>
      <c r="T1090" s="1" t="s">
        <v>21</v>
      </c>
      <c r="U1090" s="1" t="s">
        <v>22</v>
      </c>
      <c r="V1090" s="1" t="s">
        <v>23</v>
      </c>
      <c r="W1090" s="1" t="s">
        <v>24</v>
      </c>
      <c r="X1090" s="1">
        <v>2740</v>
      </c>
      <c r="Y1090" s="1">
        <v>2706</v>
      </c>
      <c r="Z1090" s="1" t="s">
        <v>24</v>
      </c>
      <c r="AA1090" s="1" t="s">
        <v>24</v>
      </c>
      <c r="AB1090" s="1" t="s">
        <v>24</v>
      </c>
      <c r="AC1090" s="1" t="s">
        <v>24</v>
      </c>
      <c r="AD1090" s="1" t="s">
        <v>24</v>
      </c>
      <c r="AE1090" s="1" t="s">
        <v>24</v>
      </c>
      <c r="AF1090" s="22"/>
    </row>
    <row r="1091" spans="1:32" x14ac:dyDescent="0.2">
      <c r="A1091" s="1">
        <v>6291</v>
      </c>
      <c r="B1091" s="1" t="s">
        <v>3598</v>
      </c>
      <c r="C1091" s="5" t="s">
        <v>0</v>
      </c>
      <c r="D1091" s="1" t="s">
        <v>3599</v>
      </c>
      <c r="E1091" s="1" t="s">
        <v>3600</v>
      </c>
      <c r="F1091" s="1" t="s">
        <v>1683</v>
      </c>
      <c r="G1091" s="1" t="s">
        <v>61</v>
      </c>
      <c r="H1091" s="1" t="s">
        <v>116</v>
      </c>
      <c r="I1091" s="1" t="s">
        <v>16</v>
      </c>
      <c r="J1091" s="1">
        <v>1</v>
      </c>
      <c r="K1091" s="1">
        <v>6</v>
      </c>
      <c r="L1091" s="1" t="s">
        <v>31</v>
      </c>
      <c r="M1091" s="1" t="s">
        <v>117</v>
      </c>
      <c r="N1091" s="1" t="s">
        <v>18</v>
      </c>
      <c r="O1091" s="1">
        <v>1</v>
      </c>
      <c r="P1091" s="1">
        <v>3</v>
      </c>
      <c r="R1091" s="1" t="s">
        <v>19</v>
      </c>
      <c r="S1091" s="1" t="s">
        <v>20</v>
      </c>
      <c r="T1091" s="1" t="s">
        <v>21</v>
      </c>
      <c r="U1091" s="1" t="s">
        <v>22</v>
      </c>
      <c r="V1091" s="1" t="s">
        <v>23</v>
      </c>
      <c r="W1091" s="1" t="s">
        <v>24</v>
      </c>
      <c r="X1091" s="1">
        <v>2717</v>
      </c>
      <c r="Y1091" s="1">
        <v>1302</v>
      </c>
      <c r="Z1091" s="1" t="s">
        <v>24</v>
      </c>
      <c r="AA1091" s="1" t="s">
        <v>24</v>
      </c>
      <c r="AB1091" s="1" t="s">
        <v>24</v>
      </c>
      <c r="AC1091" s="1" t="s">
        <v>24</v>
      </c>
      <c r="AD1091" s="1" t="s">
        <v>24</v>
      </c>
      <c r="AE1091" s="1" t="s">
        <v>24</v>
      </c>
      <c r="AF1091" s="22"/>
    </row>
    <row r="1092" spans="1:32" x14ac:dyDescent="0.2">
      <c r="A1092" s="1">
        <v>6306</v>
      </c>
      <c r="B1092" s="1" t="s">
        <v>3601</v>
      </c>
      <c r="C1092" s="5" t="s">
        <v>0</v>
      </c>
      <c r="D1092" s="1" t="s">
        <v>3602</v>
      </c>
      <c r="F1092" s="1" t="s">
        <v>85</v>
      </c>
      <c r="G1092" s="1" t="s">
        <v>61</v>
      </c>
      <c r="H1092" s="1" t="s">
        <v>86</v>
      </c>
      <c r="I1092" s="1" t="s">
        <v>16</v>
      </c>
      <c r="J1092" s="1">
        <v>1</v>
      </c>
      <c r="K1092" s="1">
        <v>12</v>
      </c>
      <c r="L1092" s="1" t="s">
        <v>31</v>
      </c>
      <c r="M1092" s="1" t="s">
        <v>199</v>
      </c>
      <c r="N1092" s="1" t="s">
        <v>105</v>
      </c>
      <c r="O1092" s="1">
        <v>3</v>
      </c>
      <c r="P1092" s="1">
        <v>6</v>
      </c>
      <c r="R1092" s="1" t="s">
        <v>19</v>
      </c>
      <c r="S1092" s="1" t="s">
        <v>20</v>
      </c>
      <c r="T1092" s="1" t="s">
        <v>21</v>
      </c>
      <c r="U1092" s="1" t="s">
        <v>22</v>
      </c>
      <c r="V1092" s="1" t="s">
        <v>24</v>
      </c>
      <c r="W1092" s="1" t="s">
        <v>24</v>
      </c>
      <c r="X1092" s="1">
        <v>2728</v>
      </c>
      <c r="Y1092" s="1">
        <v>2808</v>
      </c>
      <c r="Z1092" s="1" t="s">
        <v>24</v>
      </c>
      <c r="AA1092" s="1" t="s">
        <v>24</v>
      </c>
      <c r="AB1092" s="1" t="s">
        <v>24</v>
      </c>
      <c r="AC1092" s="1" t="s">
        <v>24</v>
      </c>
      <c r="AD1092" s="1" t="s">
        <v>24</v>
      </c>
      <c r="AE1092" s="1" t="s">
        <v>24</v>
      </c>
      <c r="AF1092" s="22"/>
    </row>
    <row r="1093" spans="1:32" x14ac:dyDescent="0.2">
      <c r="A1093" s="1">
        <v>6309</v>
      </c>
      <c r="B1093" s="1" t="s">
        <v>3603</v>
      </c>
      <c r="C1093" s="5" t="s">
        <v>0</v>
      </c>
      <c r="D1093" s="1" t="s">
        <v>3604</v>
      </c>
      <c r="F1093" s="1" t="s">
        <v>3425</v>
      </c>
      <c r="G1093" s="1" t="s">
        <v>3605</v>
      </c>
      <c r="H1093" s="1" t="s">
        <v>453</v>
      </c>
      <c r="I1093" s="1" t="s">
        <v>16</v>
      </c>
      <c r="J1093" s="1">
        <v>1</v>
      </c>
      <c r="K1093" s="1">
        <v>4</v>
      </c>
      <c r="L1093" s="1" t="s">
        <v>17</v>
      </c>
      <c r="M1093" s="1" t="s">
        <v>3606</v>
      </c>
      <c r="N1093" s="1" t="s">
        <v>3607</v>
      </c>
      <c r="O1093" s="1">
        <v>1</v>
      </c>
      <c r="P1093" s="1">
        <v>5</v>
      </c>
      <c r="R1093" s="1" t="s">
        <v>19</v>
      </c>
      <c r="S1093" s="1" t="s">
        <v>20</v>
      </c>
      <c r="T1093" s="1" t="s">
        <v>21</v>
      </c>
      <c r="U1093" s="1" t="s">
        <v>22</v>
      </c>
      <c r="V1093" s="1" t="s">
        <v>23</v>
      </c>
      <c r="W1093" s="1" t="s">
        <v>24</v>
      </c>
      <c r="X1093" s="1">
        <v>2741</v>
      </c>
      <c r="Y1093" s="1" t="s">
        <v>24</v>
      </c>
      <c r="Z1093" s="1" t="s">
        <v>24</v>
      </c>
      <c r="AA1093" s="1" t="s">
        <v>24</v>
      </c>
      <c r="AB1093" s="1" t="s">
        <v>24</v>
      </c>
      <c r="AC1093" s="1" t="s">
        <v>24</v>
      </c>
      <c r="AD1093" s="1" t="s">
        <v>24</v>
      </c>
      <c r="AE1093" s="1" t="s">
        <v>24</v>
      </c>
      <c r="AF1093" s="22"/>
    </row>
    <row r="1094" spans="1:32" x14ac:dyDescent="0.2">
      <c r="A1094" s="1">
        <v>6312</v>
      </c>
      <c r="B1094" s="1" t="s">
        <v>3608</v>
      </c>
      <c r="C1094" s="5" t="s">
        <v>0</v>
      </c>
      <c r="D1094" s="1" t="s">
        <v>3609</v>
      </c>
      <c r="F1094" s="1" t="s">
        <v>3610</v>
      </c>
      <c r="G1094" s="1" t="s">
        <v>3610</v>
      </c>
      <c r="H1094" s="1" t="s">
        <v>116</v>
      </c>
      <c r="I1094" s="1" t="s">
        <v>16</v>
      </c>
      <c r="J1094" s="1">
        <v>1</v>
      </c>
      <c r="K1094" s="1">
        <v>6</v>
      </c>
      <c r="L1094" s="1" t="s">
        <v>17</v>
      </c>
      <c r="M1094" s="1" t="s">
        <v>117</v>
      </c>
      <c r="N1094" s="1" t="s">
        <v>117</v>
      </c>
      <c r="O1094" s="1">
        <v>2</v>
      </c>
      <c r="P1094" s="1">
        <v>6</v>
      </c>
      <c r="R1094" s="1" t="s">
        <v>19</v>
      </c>
      <c r="S1094" s="1" t="s">
        <v>20</v>
      </c>
      <c r="T1094" s="1" t="s">
        <v>21</v>
      </c>
      <c r="U1094" s="1" t="s">
        <v>22</v>
      </c>
      <c r="V1094" s="1" t="s">
        <v>24</v>
      </c>
      <c r="W1094" s="1" t="s">
        <v>24</v>
      </c>
      <c r="X1094" s="1">
        <v>2735</v>
      </c>
      <c r="Y1094" s="1" t="s">
        <v>24</v>
      </c>
      <c r="Z1094" s="1" t="s">
        <v>24</v>
      </c>
      <c r="AA1094" s="1" t="s">
        <v>24</v>
      </c>
      <c r="AB1094" s="1" t="s">
        <v>24</v>
      </c>
      <c r="AC1094" s="1" t="s">
        <v>24</v>
      </c>
      <c r="AD1094" s="1" t="s">
        <v>24</v>
      </c>
      <c r="AE1094" s="1" t="s">
        <v>24</v>
      </c>
      <c r="AF1094" s="22"/>
    </row>
    <row r="1095" spans="1:32" x14ac:dyDescent="0.2">
      <c r="A1095" s="1">
        <v>6314</v>
      </c>
      <c r="B1095" s="1" t="s">
        <v>3611</v>
      </c>
      <c r="C1095" s="5" t="s">
        <v>0</v>
      </c>
      <c r="D1095" s="1" t="s">
        <v>3612</v>
      </c>
      <c r="E1095" s="1" t="s">
        <v>3613</v>
      </c>
      <c r="F1095" s="1" t="s">
        <v>91</v>
      </c>
      <c r="G1095" s="1" t="s">
        <v>61</v>
      </c>
      <c r="H1095" s="1" t="s">
        <v>92</v>
      </c>
      <c r="I1095" s="1" t="s">
        <v>16</v>
      </c>
      <c r="J1095" s="1">
        <v>7</v>
      </c>
      <c r="K1095" s="1">
        <v>3</v>
      </c>
      <c r="L1095" s="1" t="s">
        <v>31</v>
      </c>
      <c r="M1095" s="1" t="s">
        <v>18</v>
      </c>
      <c r="N1095" s="1" t="s">
        <v>18</v>
      </c>
      <c r="O1095" s="1">
        <v>3</v>
      </c>
      <c r="P1095" s="1">
        <v>7</v>
      </c>
      <c r="Q1095" s="7" t="s">
        <v>17633</v>
      </c>
      <c r="R1095" s="1" t="s">
        <v>19</v>
      </c>
      <c r="S1095" s="1" t="s">
        <v>63</v>
      </c>
      <c r="T1095" s="1" t="s">
        <v>21</v>
      </c>
      <c r="U1095" s="1" t="s">
        <v>22</v>
      </c>
      <c r="V1095" s="1" t="s">
        <v>24</v>
      </c>
      <c r="W1095" s="1" t="s">
        <v>24</v>
      </c>
      <c r="X1095" s="1">
        <v>1303</v>
      </c>
      <c r="Y1095" s="1">
        <v>1308</v>
      </c>
      <c r="Z1095" s="1">
        <v>1310</v>
      </c>
      <c r="AA1095" s="1">
        <v>1314</v>
      </c>
      <c r="AB1095" s="1">
        <v>2804</v>
      </c>
      <c r="AC1095" s="1" t="s">
        <v>24</v>
      </c>
      <c r="AD1095" s="1" t="s">
        <v>24</v>
      </c>
      <c r="AE1095" s="1" t="s">
        <v>24</v>
      </c>
      <c r="AF1095" s="22"/>
    </row>
    <row r="1096" spans="1:32" x14ac:dyDescent="0.2">
      <c r="A1096" s="1">
        <v>6315</v>
      </c>
      <c r="B1096" s="1" t="s">
        <v>3614</v>
      </c>
      <c r="C1096" s="5" t="s">
        <v>0</v>
      </c>
      <c r="D1096" s="1" t="s">
        <v>3615</v>
      </c>
      <c r="F1096" s="1" t="s">
        <v>3616</v>
      </c>
      <c r="G1096" s="1" t="s">
        <v>3616</v>
      </c>
      <c r="H1096" s="1" t="s">
        <v>86</v>
      </c>
      <c r="I1096" s="1" t="s">
        <v>16</v>
      </c>
      <c r="J1096" s="1">
        <v>1</v>
      </c>
      <c r="K1096" s="1">
        <v>10</v>
      </c>
      <c r="L1096" s="1" t="s">
        <v>17</v>
      </c>
      <c r="M1096" s="1" t="s">
        <v>87</v>
      </c>
      <c r="N1096" s="1" t="s">
        <v>105</v>
      </c>
      <c r="O1096" s="1">
        <v>3</v>
      </c>
      <c r="P1096" s="1">
        <v>5</v>
      </c>
      <c r="R1096" s="1" t="s">
        <v>19</v>
      </c>
      <c r="S1096" s="1" t="s">
        <v>20</v>
      </c>
      <c r="T1096" s="1" t="s">
        <v>21</v>
      </c>
      <c r="U1096" s="1" t="s">
        <v>22</v>
      </c>
      <c r="V1096" s="1" t="s">
        <v>23</v>
      </c>
      <c r="W1096" s="1" t="s">
        <v>24</v>
      </c>
      <c r="X1096" s="1">
        <v>2700</v>
      </c>
      <c r="Y1096" s="1" t="s">
        <v>24</v>
      </c>
      <c r="Z1096" s="1" t="s">
        <v>24</v>
      </c>
      <c r="AA1096" s="1" t="s">
        <v>24</v>
      </c>
      <c r="AB1096" s="1" t="s">
        <v>24</v>
      </c>
      <c r="AC1096" s="1" t="s">
        <v>24</v>
      </c>
      <c r="AD1096" s="1" t="s">
        <v>24</v>
      </c>
      <c r="AE1096" s="1" t="s">
        <v>24</v>
      </c>
      <c r="AF1096" s="22"/>
    </row>
    <row r="1097" spans="1:32" x14ac:dyDescent="0.2">
      <c r="A1097" s="1">
        <v>6324</v>
      </c>
      <c r="B1097" s="1" t="s">
        <v>3617</v>
      </c>
      <c r="C1097" s="5" t="s">
        <v>0</v>
      </c>
      <c r="D1097" s="1" t="s">
        <v>3618</v>
      </c>
      <c r="F1097" s="1" t="s">
        <v>3619</v>
      </c>
      <c r="G1097" s="1" t="s">
        <v>3620</v>
      </c>
      <c r="H1097" s="1" t="s">
        <v>684</v>
      </c>
      <c r="I1097" s="1" t="s">
        <v>16</v>
      </c>
      <c r="J1097" s="1">
        <v>1</v>
      </c>
      <c r="K1097" s="1">
        <v>12</v>
      </c>
      <c r="L1097" s="1" t="s">
        <v>31</v>
      </c>
      <c r="M1097" s="1" t="s">
        <v>18</v>
      </c>
      <c r="N1097" s="1" t="s">
        <v>18</v>
      </c>
      <c r="O1097" s="1">
        <v>3</v>
      </c>
      <c r="P1097" s="1">
        <v>5</v>
      </c>
      <c r="R1097" s="1" t="s">
        <v>19</v>
      </c>
      <c r="S1097" s="1" t="s">
        <v>20</v>
      </c>
      <c r="T1097" s="1" t="s">
        <v>21</v>
      </c>
      <c r="U1097" s="1" t="s">
        <v>22</v>
      </c>
      <c r="V1097" s="1" t="s">
        <v>24</v>
      </c>
      <c r="W1097" s="1" t="s">
        <v>24</v>
      </c>
      <c r="X1097" s="1">
        <v>2700</v>
      </c>
      <c r="Y1097" s="1">
        <v>2736</v>
      </c>
      <c r="Z1097" s="1" t="s">
        <v>24</v>
      </c>
      <c r="AA1097" s="1" t="s">
        <v>24</v>
      </c>
      <c r="AB1097" s="1" t="s">
        <v>24</v>
      </c>
      <c r="AC1097" s="1" t="s">
        <v>24</v>
      </c>
      <c r="AD1097" s="1" t="s">
        <v>24</v>
      </c>
      <c r="AE1097" s="1" t="s">
        <v>24</v>
      </c>
      <c r="AF1097" s="22"/>
    </row>
    <row r="1098" spans="1:32" x14ac:dyDescent="0.2">
      <c r="A1098" s="1">
        <v>6327</v>
      </c>
      <c r="B1098" s="1" t="s">
        <v>3621</v>
      </c>
      <c r="C1098" s="5" t="s">
        <v>0</v>
      </c>
      <c r="D1098" s="1" t="s">
        <v>3622</v>
      </c>
      <c r="E1098" s="1" t="s">
        <v>3623</v>
      </c>
      <c r="F1098" s="1" t="s">
        <v>109</v>
      </c>
      <c r="G1098" s="1" t="s">
        <v>110</v>
      </c>
      <c r="H1098" s="1" t="s">
        <v>111</v>
      </c>
      <c r="I1098" s="1" t="s">
        <v>16</v>
      </c>
      <c r="J1098" s="1">
        <v>1</v>
      </c>
      <c r="K1098" s="1">
        <v>6</v>
      </c>
      <c r="L1098" s="1" t="s">
        <v>31</v>
      </c>
      <c r="M1098" s="1" t="s">
        <v>18</v>
      </c>
      <c r="N1098" s="1" t="s">
        <v>18</v>
      </c>
      <c r="O1098" s="1">
        <v>3</v>
      </c>
      <c r="P1098" s="1">
        <v>7</v>
      </c>
      <c r="Q1098" s="7" t="s">
        <v>17633</v>
      </c>
      <c r="R1098" s="1" t="s">
        <v>19</v>
      </c>
      <c r="S1098" s="1" t="s">
        <v>20</v>
      </c>
      <c r="T1098" s="1" t="s">
        <v>21</v>
      </c>
      <c r="U1098" s="1" t="s">
        <v>22</v>
      </c>
      <c r="V1098" s="1" t="s">
        <v>24</v>
      </c>
      <c r="W1098" s="1" t="s">
        <v>24</v>
      </c>
      <c r="X1098" s="1">
        <v>2740</v>
      </c>
      <c r="Y1098" s="1" t="s">
        <v>24</v>
      </c>
      <c r="Z1098" s="1" t="s">
        <v>24</v>
      </c>
      <c r="AA1098" s="1" t="s">
        <v>24</v>
      </c>
      <c r="AB1098" s="1" t="s">
        <v>24</v>
      </c>
      <c r="AC1098" s="1" t="s">
        <v>24</v>
      </c>
      <c r="AD1098" s="1" t="s">
        <v>24</v>
      </c>
      <c r="AE1098" s="1" t="s">
        <v>24</v>
      </c>
      <c r="AF1098" s="22"/>
    </row>
    <row r="1099" spans="1:32" x14ac:dyDescent="0.2">
      <c r="A1099" s="1">
        <v>6328</v>
      </c>
      <c r="B1099" s="1" t="s">
        <v>3624</v>
      </c>
      <c r="C1099" s="5" t="s">
        <v>0</v>
      </c>
      <c r="D1099" s="1" t="s">
        <v>3625</v>
      </c>
      <c r="E1099" s="1" t="s">
        <v>3626</v>
      </c>
      <c r="F1099" s="1" t="s">
        <v>85</v>
      </c>
      <c r="G1099" s="1" t="s">
        <v>61</v>
      </c>
      <c r="H1099" s="1" t="s">
        <v>86</v>
      </c>
      <c r="I1099" s="1" t="s">
        <v>16</v>
      </c>
      <c r="J1099" s="1">
        <v>1</v>
      </c>
      <c r="K1099" s="1">
        <v>6</v>
      </c>
      <c r="L1099" s="1" t="s">
        <v>31</v>
      </c>
      <c r="M1099" s="1" t="s">
        <v>105</v>
      </c>
      <c r="N1099" s="1" t="s">
        <v>18</v>
      </c>
      <c r="O1099" s="1">
        <v>2</v>
      </c>
      <c r="P1099" s="1">
        <v>5</v>
      </c>
      <c r="R1099" s="1" t="s">
        <v>19</v>
      </c>
      <c r="S1099" s="1" t="s">
        <v>20</v>
      </c>
      <c r="T1099" s="1" t="s">
        <v>21</v>
      </c>
      <c r="U1099" s="1" t="s">
        <v>22</v>
      </c>
      <c r="V1099" s="1" t="s">
        <v>23</v>
      </c>
      <c r="W1099" s="1" t="s">
        <v>24</v>
      </c>
      <c r="X1099" s="1">
        <v>2739</v>
      </c>
      <c r="Y1099" s="1">
        <v>2713</v>
      </c>
      <c r="Z1099" s="1" t="s">
        <v>24</v>
      </c>
      <c r="AA1099" s="1" t="s">
        <v>24</v>
      </c>
      <c r="AB1099" s="1" t="s">
        <v>24</v>
      </c>
      <c r="AC1099" s="1" t="s">
        <v>24</v>
      </c>
      <c r="AD1099" s="1" t="s">
        <v>24</v>
      </c>
      <c r="AE1099" s="1" t="s">
        <v>24</v>
      </c>
      <c r="AF1099" s="22"/>
    </row>
    <row r="1100" spans="1:32" x14ac:dyDescent="0.2">
      <c r="A1100" s="1">
        <v>6330</v>
      </c>
      <c r="B1100" s="1" t="s">
        <v>3627</v>
      </c>
      <c r="C1100" s="5" t="s">
        <v>0</v>
      </c>
      <c r="D1100" s="1" t="s">
        <v>3628</v>
      </c>
      <c r="E1100" s="1" t="s">
        <v>3629</v>
      </c>
      <c r="F1100" s="1" t="s">
        <v>28</v>
      </c>
      <c r="G1100" s="1" t="s">
        <v>29</v>
      </c>
      <c r="H1100" s="1" t="s">
        <v>30</v>
      </c>
      <c r="I1100" s="1" t="s">
        <v>16</v>
      </c>
      <c r="J1100" s="1">
        <v>1</v>
      </c>
      <c r="K1100" s="1">
        <v>10</v>
      </c>
      <c r="L1100" s="1" t="s">
        <v>31</v>
      </c>
      <c r="M1100" s="1" t="s">
        <v>18</v>
      </c>
      <c r="N1100" s="1" t="s">
        <v>18</v>
      </c>
      <c r="O1100" s="1">
        <v>3</v>
      </c>
      <c r="P1100" s="1">
        <v>6</v>
      </c>
      <c r="R1100" s="1" t="s">
        <v>19</v>
      </c>
      <c r="S1100" s="1" t="s">
        <v>20</v>
      </c>
      <c r="T1100" s="1" t="s">
        <v>21</v>
      </c>
      <c r="U1100" s="1" t="s">
        <v>22</v>
      </c>
      <c r="V1100" s="1" t="s">
        <v>24</v>
      </c>
      <c r="W1100" s="1" t="s">
        <v>24</v>
      </c>
      <c r="X1100" s="1">
        <v>2731</v>
      </c>
      <c r="Y1100" s="1" t="s">
        <v>24</v>
      </c>
      <c r="Z1100" s="1" t="s">
        <v>24</v>
      </c>
      <c r="AA1100" s="1" t="s">
        <v>24</v>
      </c>
      <c r="AB1100" s="1" t="s">
        <v>24</v>
      </c>
      <c r="AC1100" s="1" t="s">
        <v>24</v>
      </c>
      <c r="AD1100" s="1" t="s">
        <v>24</v>
      </c>
      <c r="AE1100" s="1" t="s">
        <v>24</v>
      </c>
      <c r="AF1100" s="22"/>
    </row>
    <row r="1101" spans="1:32" x14ac:dyDescent="0.2">
      <c r="A1101" s="1">
        <v>6332</v>
      </c>
      <c r="B1101" s="1" t="s">
        <v>3630</v>
      </c>
      <c r="C1101" s="5" t="s">
        <v>0</v>
      </c>
      <c r="D1101" s="1" t="s">
        <v>3631</v>
      </c>
      <c r="F1101" s="1" t="s">
        <v>1949</v>
      </c>
      <c r="G1101" s="1" t="s">
        <v>1949</v>
      </c>
      <c r="H1101" s="1" t="s">
        <v>684</v>
      </c>
      <c r="I1101" s="1" t="s">
        <v>16</v>
      </c>
      <c r="J1101" s="1">
        <v>1</v>
      </c>
      <c r="K1101" s="1">
        <v>4</v>
      </c>
      <c r="L1101" s="1" t="s">
        <v>42</v>
      </c>
      <c r="M1101" s="1" t="s">
        <v>1755</v>
      </c>
      <c r="N1101" s="1" t="s">
        <v>18</v>
      </c>
      <c r="O1101" s="1">
        <v>2</v>
      </c>
      <c r="P1101" s="1">
        <v>4</v>
      </c>
      <c r="R1101" s="1" t="s">
        <v>19</v>
      </c>
      <c r="S1101" s="1" t="s">
        <v>20</v>
      </c>
      <c r="T1101" s="1" t="s">
        <v>21</v>
      </c>
      <c r="U1101" s="1" t="s">
        <v>22</v>
      </c>
      <c r="V1101" s="1" t="s">
        <v>24</v>
      </c>
      <c r="W1101" s="1" t="s">
        <v>24</v>
      </c>
      <c r="X1101" s="1">
        <v>2745</v>
      </c>
      <c r="Y1101" s="1" t="s">
        <v>24</v>
      </c>
      <c r="Z1101" s="1" t="s">
        <v>24</v>
      </c>
      <c r="AA1101" s="1" t="s">
        <v>24</v>
      </c>
      <c r="AB1101" s="1" t="s">
        <v>24</v>
      </c>
      <c r="AC1101" s="1" t="s">
        <v>24</v>
      </c>
      <c r="AD1101" s="1" t="s">
        <v>24</v>
      </c>
      <c r="AE1101" s="1" t="s">
        <v>24</v>
      </c>
      <c r="AF1101" s="22" t="s">
        <v>17679</v>
      </c>
    </row>
    <row r="1102" spans="1:32" x14ac:dyDescent="0.2">
      <c r="A1102" s="1">
        <v>6375</v>
      </c>
      <c r="B1102" s="1" t="s">
        <v>3632</v>
      </c>
      <c r="C1102" s="5" t="s">
        <v>0</v>
      </c>
      <c r="D1102" s="1" t="s">
        <v>3633</v>
      </c>
      <c r="E1102" s="1" t="s">
        <v>3634</v>
      </c>
      <c r="F1102" s="1" t="s">
        <v>356</v>
      </c>
      <c r="G1102" s="1" t="s">
        <v>357</v>
      </c>
      <c r="H1102" s="1" t="s">
        <v>30</v>
      </c>
      <c r="I1102" s="1" t="s">
        <v>16</v>
      </c>
      <c r="J1102" s="1">
        <v>1</v>
      </c>
      <c r="K1102" s="1">
        <v>4</v>
      </c>
      <c r="L1102" s="1" t="s">
        <v>31</v>
      </c>
      <c r="M1102" s="1" t="s">
        <v>18</v>
      </c>
      <c r="N1102" s="1" t="s">
        <v>18</v>
      </c>
      <c r="O1102" s="1">
        <v>2</v>
      </c>
      <c r="P1102" s="1">
        <v>6</v>
      </c>
      <c r="R1102" s="1" t="s">
        <v>19</v>
      </c>
      <c r="S1102" s="1" t="s">
        <v>20</v>
      </c>
      <c r="T1102" s="1" t="s">
        <v>21</v>
      </c>
      <c r="U1102" s="1" t="s">
        <v>22</v>
      </c>
      <c r="V1102" s="1" t="s">
        <v>23</v>
      </c>
      <c r="W1102" s="1" t="s">
        <v>24</v>
      </c>
      <c r="X1102" s="1">
        <v>2738</v>
      </c>
      <c r="Y1102" s="1">
        <v>3203</v>
      </c>
      <c r="Z1102" s="1">
        <v>3612</v>
      </c>
      <c r="AA1102" s="1">
        <v>2742</v>
      </c>
      <c r="AB1102" s="1" t="s">
        <v>24</v>
      </c>
      <c r="AC1102" s="1" t="s">
        <v>24</v>
      </c>
      <c r="AD1102" s="1" t="s">
        <v>24</v>
      </c>
      <c r="AE1102" s="1" t="s">
        <v>24</v>
      </c>
      <c r="AF1102" s="22"/>
    </row>
    <row r="1103" spans="1:32" x14ac:dyDescent="0.2">
      <c r="A1103" s="1">
        <v>6379</v>
      </c>
      <c r="B1103" s="1" t="s">
        <v>3635</v>
      </c>
      <c r="C1103" s="5" t="s">
        <v>0</v>
      </c>
      <c r="D1103" s="1" t="s">
        <v>3636</v>
      </c>
      <c r="E1103" s="1" t="s">
        <v>3637</v>
      </c>
      <c r="F1103" s="1" t="s">
        <v>167</v>
      </c>
      <c r="G1103" s="1" t="s">
        <v>130</v>
      </c>
      <c r="H1103" s="1" t="s">
        <v>168</v>
      </c>
      <c r="I1103" s="1" t="s">
        <v>16</v>
      </c>
      <c r="J1103" s="1">
        <v>1</v>
      </c>
      <c r="K1103" s="1">
        <v>12</v>
      </c>
      <c r="L1103" s="1" t="s">
        <v>31</v>
      </c>
      <c r="M1103" s="1" t="s">
        <v>18</v>
      </c>
      <c r="N1103" s="1" t="s">
        <v>18</v>
      </c>
      <c r="O1103" s="1">
        <v>3</v>
      </c>
      <c r="P1103" s="1">
        <v>7</v>
      </c>
      <c r="Q1103" s="7" t="s">
        <v>17633</v>
      </c>
      <c r="R1103" s="1" t="s">
        <v>19</v>
      </c>
      <c r="S1103" s="1" t="s">
        <v>20</v>
      </c>
      <c r="T1103" s="1" t="s">
        <v>21</v>
      </c>
      <c r="U1103" s="1" t="s">
        <v>22</v>
      </c>
      <c r="V1103" s="1" t="s">
        <v>24</v>
      </c>
      <c r="W1103" s="1" t="s">
        <v>24</v>
      </c>
      <c r="X1103" s="1">
        <v>2745</v>
      </c>
      <c r="Y1103" s="1">
        <v>2403</v>
      </c>
      <c r="Z1103" s="1">
        <v>2723</v>
      </c>
      <c r="AA1103" s="1" t="s">
        <v>24</v>
      </c>
      <c r="AB1103" s="1" t="s">
        <v>24</v>
      </c>
      <c r="AC1103" s="1" t="s">
        <v>24</v>
      </c>
      <c r="AD1103" s="1" t="s">
        <v>24</v>
      </c>
      <c r="AE1103" s="1" t="s">
        <v>24</v>
      </c>
      <c r="AF1103" s="22"/>
    </row>
    <row r="1104" spans="1:32" x14ac:dyDescent="0.2">
      <c r="A1104" s="1">
        <v>6405</v>
      </c>
      <c r="B1104" s="1" t="s">
        <v>3638</v>
      </c>
      <c r="C1104" s="5" t="s">
        <v>0</v>
      </c>
      <c r="D1104" s="1" t="s">
        <v>3639</v>
      </c>
      <c r="F1104" s="1" t="s">
        <v>3638</v>
      </c>
      <c r="G1104" s="1" t="s">
        <v>3640</v>
      </c>
      <c r="H1104" s="1" t="s">
        <v>461</v>
      </c>
      <c r="I1104" s="1" t="s">
        <v>16</v>
      </c>
      <c r="J1104" s="1">
        <v>1</v>
      </c>
      <c r="K1104" s="1">
        <v>4</v>
      </c>
      <c r="L1104" s="1" t="s">
        <v>17</v>
      </c>
      <c r="M1104" s="1" t="s">
        <v>1097</v>
      </c>
      <c r="N1104" s="1" t="s">
        <v>18</v>
      </c>
      <c r="O1104" s="1">
        <v>1</v>
      </c>
      <c r="P1104" s="1">
        <v>6</v>
      </c>
      <c r="R1104" s="1" t="s">
        <v>19</v>
      </c>
      <c r="S1104" s="1" t="s">
        <v>20</v>
      </c>
      <c r="T1104" s="1" t="s">
        <v>21</v>
      </c>
      <c r="U1104" s="1" t="s">
        <v>22</v>
      </c>
      <c r="V1104" s="1" t="s">
        <v>24</v>
      </c>
      <c r="W1104" s="1" t="s">
        <v>24</v>
      </c>
      <c r="X1104" s="1">
        <v>1308</v>
      </c>
      <c r="Y1104" s="1" t="s">
        <v>24</v>
      </c>
      <c r="Z1104" s="1" t="s">
        <v>24</v>
      </c>
      <c r="AA1104" s="1" t="s">
        <v>24</v>
      </c>
      <c r="AB1104" s="1" t="s">
        <v>24</v>
      </c>
      <c r="AC1104" s="1" t="s">
        <v>24</v>
      </c>
      <c r="AD1104" s="1" t="s">
        <v>24</v>
      </c>
      <c r="AE1104" s="1" t="s">
        <v>24</v>
      </c>
      <c r="AF1104" s="22"/>
    </row>
    <row r="1105" spans="1:32" x14ac:dyDescent="0.2">
      <c r="A1105" s="1">
        <v>6422</v>
      </c>
      <c r="B1105" s="1" t="s">
        <v>3641</v>
      </c>
      <c r="C1105" s="5" t="s">
        <v>0</v>
      </c>
      <c r="D1105" s="1" t="s">
        <v>3642</v>
      </c>
      <c r="F1105" s="1" t="s">
        <v>3643</v>
      </c>
      <c r="G1105" s="1" t="s">
        <v>460</v>
      </c>
      <c r="H1105" s="1" t="s">
        <v>461</v>
      </c>
      <c r="I1105" s="1" t="s">
        <v>16</v>
      </c>
      <c r="J1105" s="1">
        <v>1</v>
      </c>
      <c r="K1105" s="1">
        <v>12</v>
      </c>
      <c r="L1105" s="1" t="s">
        <v>42</v>
      </c>
      <c r="M1105" s="1" t="s">
        <v>1735</v>
      </c>
      <c r="N1105" s="1" t="s">
        <v>18</v>
      </c>
      <c r="O1105" s="1">
        <v>2</v>
      </c>
      <c r="P1105" s="1">
        <v>5</v>
      </c>
      <c r="R1105" s="1" t="s">
        <v>19</v>
      </c>
      <c r="S1105" s="1" t="s">
        <v>20</v>
      </c>
      <c r="T1105" s="1" t="s">
        <v>21</v>
      </c>
      <c r="U1105" s="1" t="s">
        <v>22</v>
      </c>
      <c r="V1105" s="1" t="s">
        <v>24</v>
      </c>
      <c r="W1105" s="1" t="s">
        <v>24</v>
      </c>
      <c r="X1105" s="1">
        <v>2728</v>
      </c>
      <c r="Y1105" s="1" t="s">
        <v>24</v>
      </c>
      <c r="Z1105" s="1" t="s">
        <v>24</v>
      </c>
      <c r="AA1105" s="1" t="s">
        <v>24</v>
      </c>
      <c r="AB1105" s="1" t="s">
        <v>24</v>
      </c>
      <c r="AC1105" s="1" t="s">
        <v>24</v>
      </c>
      <c r="AD1105" s="1" t="s">
        <v>24</v>
      </c>
      <c r="AE1105" s="1" t="s">
        <v>24</v>
      </c>
      <c r="AF1105" s="22"/>
    </row>
    <row r="1106" spans="1:32" x14ac:dyDescent="0.2">
      <c r="A1106" s="1">
        <v>6438</v>
      </c>
      <c r="B1106" s="1" t="s">
        <v>3644</v>
      </c>
      <c r="C1106" s="5" t="s">
        <v>0</v>
      </c>
      <c r="D1106" s="1" t="s">
        <v>3645</v>
      </c>
      <c r="F1106" s="1" t="s">
        <v>3644</v>
      </c>
      <c r="G1106" s="1" t="s">
        <v>3644</v>
      </c>
      <c r="H1106" s="1" t="s">
        <v>86</v>
      </c>
      <c r="I1106" s="1" t="s">
        <v>16</v>
      </c>
      <c r="J1106" s="1">
        <v>1</v>
      </c>
      <c r="K1106" s="1">
        <v>5</v>
      </c>
      <c r="L1106" s="1" t="s">
        <v>17</v>
      </c>
      <c r="M1106" s="1" t="s">
        <v>87</v>
      </c>
      <c r="N1106" s="1" t="s">
        <v>18</v>
      </c>
      <c r="O1106" s="1">
        <v>2</v>
      </c>
      <c r="P1106" s="1">
        <v>6</v>
      </c>
      <c r="R1106" s="1" t="s">
        <v>19</v>
      </c>
      <c r="S1106" s="1" t="s">
        <v>20</v>
      </c>
      <c r="T1106" s="1" t="s">
        <v>21</v>
      </c>
      <c r="U1106" s="1" t="s">
        <v>22</v>
      </c>
      <c r="V1106" s="1" t="s">
        <v>24</v>
      </c>
      <c r="W1106" s="1" t="s">
        <v>24</v>
      </c>
      <c r="X1106" s="1">
        <v>2733</v>
      </c>
      <c r="Y1106" s="1" t="s">
        <v>24</v>
      </c>
      <c r="Z1106" s="1" t="s">
        <v>24</v>
      </c>
      <c r="AA1106" s="1" t="s">
        <v>24</v>
      </c>
      <c r="AB1106" s="1" t="s">
        <v>24</v>
      </c>
      <c r="AC1106" s="1" t="s">
        <v>24</v>
      </c>
      <c r="AD1106" s="1" t="s">
        <v>24</v>
      </c>
      <c r="AE1106" s="1" t="s">
        <v>24</v>
      </c>
      <c r="AF1106" s="22"/>
    </row>
    <row r="1107" spans="1:32" x14ac:dyDescent="0.2">
      <c r="A1107" s="1">
        <v>6442</v>
      </c>
      <c r="B1107" s="1" t="s">
        <v>3646</v>
      </c>
      <c r="C1107" s="5" t="s">
        <v>0</v>
      </c>
      <c r="D1107" s="1" t="s">
        <v>3647</v>
      </c>
      <c r="F1107" s="1" t="s">
        <v>3648</v>
      </c>
      <c r="G1107" s="1" t="s">
        <v>3649</v>
      </c>
      <c r="H1107" s="1" t="s">
        <v>878</v>
      </c>
      <c r="I1107" s="1" t="s">
        <v>16</v>
      </c>
      <c r="J1107" s="1">
        <v>1</v>
      </c>
      <c r="K1107" s="1">
        <v>4</v>
      </c>
      <c r="L1107" s="1" t="s">
        <v>42</v>
      </c>
      <c r="M1107" s="1" t="s">
        <v>117</v>
      </c>
      <c r="N1107" s="1" t="s">
        <v>117</v>
      </c>
      <c r="O1107" s="1">
        <v>3</v>
      </c>
      <c r="P1107" s="1">
        <v>5</v>
      </c>
      <c r="R1107" s="1" t="s">
        <v>19</v>
      </c>
      <c r="S1107" s="1" t="s">
        <v>20</v>
      </c>
      <c r="T1107" s="1" t="s">
        <v>21</v>
      </c>
      <c r="U1107" s="1" t="s">
        <v>22</v>
      </c>
      <c r="V1107" s="1" t="s">
        <v>24</v>
      </c>
      <c r="W1107" s="1" t="s">
        <v>24</v>
      </c>
      <c r="X1107" s="1">
        <v>2705</v>
      </c>
      <c r="Y1107" s="1" t="s">
        <v>24</v>
      </c>
      <c r="Z1107" s="1" t="s">
        <v>24</v>
      </c>
      <c r="AA1107" s="1" t="s">
        <v>24</v>
      </c>
      <c r="AB1107" s="1" t="s">
        <v>24</v>
      </c>
      <c r="AC1107" s="1" t="s">
        <v>24</v>
      </c>
      <c r="AD1107" s="1" t="s">
        <v>24</v>
      </c>
      <c r="AE1107" s="1" t="s">
        <v>24</v>
      </c>
      <c r="AF1107" s="22"/>
    </row>
    <row r="1108" spans="1:32" x14ac:dyDescent="0.2">
      <c r="A1108" s="1">
        <v>6443</v>
      </c>
      <c r="B1108" s="1" t="s">
        <v>3650</v>
      </c>
      <c r="C1108" s="5" t="s">
        <v>0</v>
      </c>
      <c r="D1108" s="1" t="s">
        <v>3651</v>
      </c>
      <c r="F1108" s="1" t="s">
        <v>3652</v>
      </c>
      <c r="G1108" s="1" t="s">
        <v>3653</v>
      </c>
      <c r="H1108" s="1" t="s">
        <v>878</v>
      </c>
      <c r="I1108" s="1" t="s">
        <v>16</v>
      </c>
      <c r="J1108" s="1">
        <v>1</v>
      </c>
      <c r="K1108" s="1">
        <v>4</v>
      </c>
      <c r="L1108" s="1" t="s">
        <v>42</v>
      </c>
      <c r="M1108" s="1" t="s">
        <v>117</v>
      </c>
      <c r="N1108" s="1" t="s">
        <v>226</v>
      </c>
      <c r="O1108" s="1">
        <v>2</v>
      </c>
      <c r="P1108" s="1">
        <v>4</v>
      </c>
      <c r="R1108" s="1" t="s">
        <v>19</v>
      </c>
      <c r="S1108" s="1" t="s">
        <v>20</v>
      </c>
      <c r="T1108" s="1" t="s">
        <v>21</v>
      </c>
      <c r="U1108" s="1" t="s">
        <v>22</v>
      </c>
      <c r="V1108" s="1" t="s">
        <v>23</v>
      </c>
      <c r="W1108" s="1" t="s">
        <v>24</v>
      </c>
      <c r="X1108" s="1">
        <v>2703</v>
      </c>
      <c r="Y1108" s="1" t="s">
        <v>24</v>
      </c>
      <c r="Z1108" s="1" t="s">
        <v>24</v>
      </c>
      <c r="AA1108" s="1" t="s">
        <v>24</v>
      </c>
      <c r="AB1108" s="1" t="s">
        <v>24</v>
      </c>
      <c r="AC1108" s="1" t="s">
        <v>24</v>
      </c>
      <c r="AD1108" s="1" t="s">
        <v>24</v>
      </c>
      <c r="AE1108" s="1" t="s">
        <v>24</v>
      </c>
      <c r="AF1108" s="22"/>
    </row>
    <row r="1109" spans="1:32" x14ac:dyDescent="0.2">
      <c r="A1109" s="1">
        <v>6446</v>
      </c>
      <c r="B1109" s="1" t="s">
        <v>3654</v>
      </c>
      <c r="C1109" s="5" t="s">
        <v>0</v>
      </c>
      <c r="D1109" s="1" t="s">
        <v>3655</v>
      </c>
      <c r="F1109" s="1" t="s">
        <v>3656</v>
      </c>
      <c r="G1109" s="1" t="s">
        <v>3656</v>
      </c>
      <c r="H1109" s="1" t="s">
        <v>15</v>
      </c>
      <c r="I1109" s="1" t="s">
        <v>16</v>
      </c>
      <c r="J1109" s="1">
        <v>1</v>
      </c>
      <c r="K1109" s="1">
        <v>6</v>
      </c>
      <c r="L1109" s="1" t="s">
        <v>42</v>
      </c>
      <c r="M1109" s="1" t="s">
        <v>87</v>
      </c>
      <c r="N1109" s="1" t="s">
        <v>18</v>
      </c>
      <c r="O1109" s="1">
        <v>1</v>
      </c>
      <c r="P1109" s="1">
        <v>5</v>
      </c>
      <c r="R1109" s="1" t="s">
        <v>19</v>
      </c>
      <c r="S1109" s="1" t="s">
        <v>20</v>
      </c>
      <c r="T1109" s="1" t="s">
        <v>21</v>
      </c>
      <c r="U1109" s="1" t="s">
        <v>22</v>
      </c>
      <c r="V1109" s="1" t="s">
        <v>24</v>
      </c>
      <c r="W1109" s="1" t="s">
        <v>24</v>
      </c>
      <c r="X1109" s="1">
        <v>2700</v>
      </c>
      <c r="Y1109" s="1" t="s">
        <v>24</v>
      </c>
      <c r="Z1109" s="1" t="s">
        <v>24</v>
      </c>
      <c r="AA1109" s="1" t="s">
        <v>24</v>
      </c>
      <c r="AB1109" s="1" t="s">
        <v>24</v>
      </c>
      <c r="AC1109" s="1" t="s">
        <v>24</v>
      </c>
      <c r="AD1109" s="1" t="s">
        <v>24</v>
      </c>
      <c r="AE1109" s="1" t="s">
        <v>24</v>
      </c>
      <c r="AF1109" s="22"/>
    </row>
    <row r="1110" spans="1:32" x14ac:dyDescent="0.2">
      <c r="A1110" s="1">
        <v>6449</v>
      </c>
      <c r="B1110" s="1" t="s">
        <v>3657</v>
      </c>
      <c r="C1110" s="5" t="s">
        <v>0</v>
      </c>
      <c r="D1110" s="1" t="s">
        <v>3658</v>
      </c>
      <c r="F1110" s="1" t="s">
        <v>2622</v>
      </c>
      <c r="G1110" s="1" t="s">
        <v>61</v>
      </c>
      <c r="H1110" s="1" t="s">
        <v>69</v>
      </c>
      <c r="I1110" s="1" t="s">
        <v>16</v>
      </c>
      <c r="J1110" s="1">
        <v>1</v>
      </c>
      <c r="K1110" s="1">
        <v>6</v>
      </c>
      <c r="L1110" s="1" t="s">
        <v>31</v>
      </c>
      <c r="M1110" s="1" t="s">
        <v>18</v>
      </c>
      <c r="N1110" s="1" t="s">
        <v>3659</v>
      </c>
      <c r="O1110" s="1">
        <v>3</v>
      </c>
      <c r="P1110" s="1">
        <v>6</v>
      </c>
      <c r="R1110" s="1" t="s">
        <v>19</v>
      </c>
      <c r="S1110" s="1" t="s">
        <v>20</v>
      </c>
      <c r="T1110" s="1" t="s">
        <v>21</v>
      </c>
      <c r="U1110" s="1" t="s">
        <v>22</v>
      </c>
      <c r="V1110" s="1" t="s">
        <v>24</v>
      </c>
      <c r="W1110" s="1" t="s">
        <v>24</v>
      </c>
      <c r="X1110" s="1">
        <v>2700</v>
      </c>
      <c r="Y1110" s="1" t="s">
        <v>24</v>
      </c>
      <c r="Z1110" s="1" t="s">
        <v>24</v>
      </c>
      <c r="AA1110" s="1" t="s">
        <v>24</v>
      </c>
      <c r="AB1110" s="1" t="s">
        <v>24</v>
      </c>
      <c r="AC1110" s="1" t="s">
        <v>24</v>
      </c>
      <c r="AD1110" s="1" t="s">
        <v>24</v>
      </c>
      <c r="AE1110" s="1" t="s">
        <v>24</v>
      </c>
      <c r="AF1110" s="22"/>
    </row>
    <row r="1111" spans="1:32" x14ac:dyDescent="0.2">
      <c r="A1111" s="1">
        <v>6457</v>
      </c>
      <c r="B1111" s="1" t="s">
        <v>3660</v>
      </c>
      <c r="C1111" s="5" t="s">
        <v>0</v>
      </c>
      <c r="D1111" s="1" t="s">
        <v>3661</v>
      </c>
      <c r="E1111" s="1" t="s">
        <v>3662</v>
      </c>
      <c r="F1111" s="1" t="s">
        <v>85</v>
      </c>
      <c r="G1111" s="1" t="s">
        <v>61</v>
      </c>
      <c r="H1111" s="1" t="s">
        <v>86</v>
      </c>
      <c r="I1111" s="1" t="s">
        <v>16</v>
      </c>
      <c r="J1111" s="1">
        <v>1</v>
      </c>
      <c r="K1111" s="1">
        <v>12</v>
      </c>
      <c r="L1111" s="1" t="s">
        <v>31</v>
      </c>
      <c r="M1111" s="1" t="s">
        <v>87</v>
      </c>
      <c r="N1111" s="1" t="s">
        <v>18</v>
      </c>
      <c r="O1111" s="1">
        <v>2</v>
      </c>
      <c r="P1111" s="1">
        <v>5</v>
      </c>
      <c r="R1111" s="1" t="s">
        <v>19</v>
      </c>
      <c r="S1111" s="1" t="s">
        <v>20</v>
      </c>
      <c r="T1111" s="1" t="s">
        <v>21</v>
      </c>
      <c r="U1111" s="1" t="s">
        <v>22</v>
      </c>
      <c r="V1111" s="1" t="s">
        <v>24</v>
      </c>
      <c r="W1111" s="1" t="s">
        <v>24</v>
      </c>
      <c r="X1111" s="1">
        <v>2715</v>
      </c>
      <c r="Y1111" s="1">
        <v>2724</v>
      </c>
      <c r="Z1111" s="1" t="s">
        <v>24</v>
      </c>
      <c r="AA1111" s="1" t="s">
        <v>24</v>
      </c>
      <c r="AB1111" s="1" t="s">
        <v>24</v>
      </c>
      <c r="AC1111" s="1" t="s">
        <v>24</v>
      </c>
      <c r="AD1111" s="1" t="s">
        <v>24</v>
      </c>
      <c r="AE1111" s="1" t="s">
        <v>24</v>
      </c>
      <c r="AF1111" s="22"/>
    </row>
    <row r="1112" spans="1:32" x14ac:dyDescent="0.2">
      <c r="A1112" s="1">
        <v>6467</v>
      </c>
      <c r="B1112" s="1" t="s">
        <v>3663</v>
      </c>
      <c r="C1112" s="5" t="s">
        <v>0</v>
      </c>
      <c r="D1112" s="1" t="s">
        <v>3664</v>
      </c>
      <c r="F1112" s="1" t="s">
        <v>3663</v>
      </c>
      <c r="G1112" s="1" t="s">
        <v>3663</v>
      </c>
      <c r="H1112" s="1" t="s">
        <v>15</v>
      </c>
      <c r="I1112" s="1" t="s">
        <v>16</v>
      </c>
      <c r="J1112" s="1">
        <v>1</v>
      </c>
      <c r="K1112" s="1">
        <v>12</v>
      </c>
      <c r="L1112" s="1" t="s">
        <v>42</v>
      </c>
      <c r="M1112" s="1" t="s">
        <v>87</v>
      </c>
      <c r="N1112" s="1" t="s">
        <v>199</v>
      </c>
      <c r="O1112" s="1">
        <v>1</v>
      </c>
      <c r="P1112" s="1">
        <v>4</v>
      </c>
      <c r="R1112" s="1" t="s">
        <v>19</v>
      </c>
      <c r="S1112" s="1" t="s">
        <v>20</v>
      </c>
      <c r="T1112" s="1" t="s">
        <v>21</v>
      </c>
      <c r="U1112" s="1" t="s">
        <v>22</v>
      </c>
      <c r="V1112" s="1" t="s">
        <v>24</v>
      </c>
      <c r="W1112" s="1" t="s">
        <v>24</v>
      </c>
      <c r="X1112" s="1">
        <v>2700</v>
      </c>
      <c r="Y1112" s="1" t="s">
        <v>24</v>
      </c>
      <c r="Z1112" s="1" t="s">
        <v>24</v>
      </c>
      <c r="AA1112" s="1" t="s">
        <v>24</v>
      </c>
      <c r="AB1112" s="1" t="s">
        <v>24</v>
      </c>
      <c r="AC1112" s="1" t="s">
        <v>24</v>
      </c>
      <c r="AD1112" s="1" t="s">
        <v>24</v>
      </c>
      <c r="AE1112" s="1" t="s">
        <v>24</v>
      </c>
      <c r="AF1112" s="22"/>
    </row>
    <row r="1113" spans="1:32" x14ac:dyDescent="0.2">
      <c r="A1113" s="1">
        <v>6481</v>
      </c>
      <c r="B1113" s="1" t="s">
        <v>3665</v>
      </c>
      <c r="C1113" s="5" t="s">
        <v>0</v>
      </c>
      <c r="D1113" s="1" t="s">
        <v>3666</v>
      </c>
      <c r="E1113" s="1" t="s">
        <v>3667</v>
      </c>
      <c r="F1113" s="1" t="s">
        <v>85</v>
      </c>
      <c r="G1113" s="1" t="s">
        <v>3668</v>
      </c>
      <c r="H1113" s="1" t="s">
        <v>86</v>
      </c>
      <c r="I1113" s="1" t="s">
        <v>16</v>
      </c>
      <c r="J1113" s="1">
        <v>1</v>
      </c>
      <c r="K1113" s="1">
        <v>10</v>
      </c>
      <c r="L1113" s="1" t="s">
        <v>31</v>
      </c>
      <c r="M1113" s="1" t="s">
        <v>87</v>
      </c>
      <c r="N1113" s="1" t="s">
        <v>18</v>
      </c>
      <c r="O1113" s="1">
        <v>3</v>
      </c>
      <c r="P1113" s="1">
        <v>5</v>
      </c>
      <c r="R1113" s="1" t="s">
        <v>19</v>
      </c>
      <c r="S1113" s="1" t="s">
        <v>20</v>
      </c>
      <c r="T1113" s="1" t="s">
        <v>21</v>
      </c>
      <c r="U1113" s="1" t="s">
        <v>22</v>
      </c>
      <c r="V1113" s="1" t="s">
        <v>24</v>
      </c>
      <c r="W1113" s="1" t="s">
        <v>24</v>
      </c>
      <c r="X1113" s="1">
        <v>2740</v>
      </c>
      <c r="Y1113" s="1" t="s">
        <v>24</v>
      </c>
      <c r="Z1113" s="1" t="s">
        <v>24</v>
      </c>
      <c r="AA1113" s="1" t="s">
        <v>24</v>
      </c>
      <c r="AB1113" s="1" t="s">
        <v>24</v>
      </c>
      <c r="AC1113" s="1" t="s">
        <v>24</v>
      </c>
      <c r="AD1113" s="1" t="s">
        <v>24</v>
      </c>
      <c r="AE1113" s="1" t="s">
        <v>24</v>
      </c>
      <c r="AF1113" s="22"/>
    </row>
    <row r="1114" spans="1:32" x14ac:dyDescent="0.2">
      <c r="A1114" s="1">
        <v>6487</v>
      </c>
      <c r="B1114" s="1" t="s">
        <v>3669</v>
      </c>
      <c r="C1114" s="5" t="s">
        <v>0</v>
      </c>
      <c r="D1114" s="1" t="s">
        <v>3670</v>
      </c>
      <c r="F1114" s="1" t="s">
        <v>3134</v>
      </c>
      <c r="G1114" s="1" t="s">
        <v>3134</v>
      </c>
      <c r="H1114" s="1" t="s">
        <v>249</v>
      </c>
      <c r="I1114" s="1" t="s">
        <v>16</v>
      </c>
      <c r="J1114" s="1">
        <v>1</v>
      </c>
      <c r="K1114" s="1">
        <v>6</v>
      </c>
      <c r="L1114" s="1" t="s">
        <v>42</v>
      </c>
      <c r="M1114" s="1" t="s">
        <v>250</v>
      </c>
      <c r="N1114" s="1" t="s">
        <v>18</v>
      </c>
      <c r="O1114" s="1">
        <v>1</v>
      </c>
      <c r="P1114" s="1">
        <v>1</v>
      </c>
      <c r="R1114" s="1" t="s">
        <v>19</v>
      </c>
      <c r="S1114" s="1" t="s">
        <v>20</v>
      </c>
      <c r="T1114" s="1" t="s">
        <v>21</v>
      </c>
      <c r="U1114" s="1" t="s">
        <v>22</v>
      </c>
      <c r="V1114" s="1" t="s">
        <v>23</v>
      </c>
      <c r="W1114" s="1" t="s">
        <v>24</v>
      </c>
      <c r="X1114" s="1">
        <v>2745</v>
      </c>
      <c r="Y1114" s="1" t="s">
        <v>24</v>
      </c>
      <c r="Z1114" s="1" t="s">
        <v>24</v>
      </c>
      <c r="AA1114" s="1" t="s">
        <v>24</v>
      </c>
      <c r="AB1114" s="1" t="s">
        <v>24</v>
      </c>
      <c r="AC1114" s="1" t="s">
        <v>24</v>
      </c>
      <c r="AD1114" s="1" t="s">
        <v>24</v>
      </c>
      <c r="AE1114" s="1" t="s">
        <v>24</v>
      </c>
      <c r="AF1114" s="22"/>
    </row>
    <row r="1115" spans="1:32" x14ac:dyDescent="0.2">
      <c r="A1115" s="1">
        <v>6488</v>
      </c>
      <c r="B1115" s="1" t="s">
        <v>3671</v>
      </c>
      <c r="C1115" s="5" t="s">
        <v>0</v>
      </c>
      <c r="D1115" s="1" t="s">
        <v>3672</v>
      </c>
      <c r="E1115" s="1" t="s">
        <v>3673</v>
      </c>
      <c r="F1115" s="1" t="s">
        <v>3674</v>
      </c>
      <c r="G1115" s="1" t="s">
        <v>3675</v>
      </c>
      <c r="H1115" s="1" t="s">
        <v>69</v>
      </c>
      <c r="I1115" s="1" t="s">
        <v>16</v>
      </c>
      <c r="J1115" s="1">
        <v>1</v>
      </c>
      <c r="K1115" s="1">
        <v>6</v>
      </c>
      <c r="L1115" s="1" t="s">
        <v>42</v>
      </c>
      <c r="M1115" s="1" t="s">
        <v>75</v>
      </c>
      <c r="N1115" s="1" t="s">
        <v>18</v>
      </c>
      <c r="O1115" s="1">
        <v>1</v>
      </c>
      <c r="P1115" s="1">
        <v>3</v>
      </c>
      <c r="R1115" s="1" t="s">
        <v>19</v>
      </c>
      <c r="S1115" s="1" t="s">
        <v>20</v>
      </c>
      <c r="T1115" s="1" t="s">
        <v>21</v>
      </c>
      <c r="U1115" s="1" t="s">
        <v>22</v>
      </c>
      <c r="V1115" s="1" t="s">
        <v>24</v>
      </c>
      <c r="W1115" s="1" t="s">
        <v>24</v>
      </c>
      <c r="X1115" s="1">
        <v>2725</v>
      </c>
      <c r="Y1115" s="1" t="s">
        <v>24</v>
      </c>
      <c r="Z1115" s="1" t="s">
        <v>24</v>
      </c>
      <c r="AA1115" s="1" t="s">
        <v>24</v>
      </c>
      <c r="AB1115" s="1" t="s">
        <v>24</v>
      </c>
      <c r="AC1115" s="1" t="s">
        <v>24</v>
      </c>
      <c r="AD1115" s="1" t="s">
        <v>24</v>
      </c>
      <c r="AE1115" s="1" t="s">
        <v>24</v>
      </c>
      <c r="AF1115" s="22"/>
    </row>
    <row r="1116" spans="1:32" x14ac:dyDescent="0.2">
      <c r="A1116" s="1">
        <v>6492</v>
      </c>
      <c r="B1116" s="1" t="s">
        <v>3676</v>
      </c>
      <c r="C1116" s="5" t="s">
        <v>0</v>
      </c>
      <c r="D1116" s="1" t="s">
        <v>3677</v>
      </c>
      <c r="F1116" s="1" t="s">
        <v>3678</v>
      </c>
      <c r="G1116" s="1" t="s">
        <v>3678</v>
      </c>
      <c r="H1116" s="1" t="s">
        <v>878</v>
      </c>
      <c r="I1116" s="1" t="s">
        <v>16</v>
      </c>
      <c r="J1116" s="1">
        <v>1</v>
      </c>
      <c r="K1116" s="1">
        <v>6</v>
      </c>
      <c r="L1116" s="1" t="s">
        <v>42</v>
      </c>
      <c r="M1116" s="1" t="s">
        <v>117</v>
      </c>
      <c r="N1116" s="1" t="s">
        <v>118</v>
      </c>
      <c r="O1116" s="1">
        <v>2</v>
      </c>
      <c r="P1116" s="1">
        <v>5</v>
      </c>
      <c r="R1116" s="1" t="s">
        <v>19</v>
      </c>
      <c r="S1116" s="1" t="s">
        <v>20</v>
      </c>
      <c r="T1116" s="1" t="s">
        <v>21</v>
      </c>
      <c r="U1116" s="1" t="s">
        <v>22</v>
      </c>
      <c r="V1116" s="1" t="s">
        <v>24</v>
      </c>
      <c r="W1116" s="1" t="s">
        <v>24</v>
      </c>
      <c r="X1116" s="1">
        <v>2735</v>
      </c>
      <c r="Y1116" s="1" t="s">
        <v>24</v>
      </c>
      <c r="Z1116" s="1" t="s">
        <v>24</v>
      </c>
      <c r="AA1116" s="1" t="s">
        <v>24</v>
      </c>
      <c r="AB1116" s="1" t="s">
        <v>24</v>
      </c>
      <c r="AC1116" s="1" t="s">
        <v>24</v>
      </c>
      <c r="AD1116" s="1" t="s">
        <v>24</v>
      </c>
      <c r="AE1116" s="1" t="s">
        <v>24</v>
      </c>
      <c r="AF1116" s="22"/>
    </row>
    <row r="1117" spans="1:32" x14ac:dyDescent="0.2">
      <c r="A1117" s="1">
        <v>6519</v>
      </c>
      <c r="B1117" s="1" t="s">
        <v>3679</v>
      </c>
      <c r="C1117" s="5" t="s">
        <v>0</v>
      </c>
      <c r="D1117" s="1" t="s">
        <v>3680</v>
      </c>
      <c r="F1117" s="1" t="s">
        <v>3681</v>
      </c>
      <c r="G1117" s="1" t="s">
        <v>3682</v>
      </c>
      <c r="H1117" s="1" t="s">
        <v>684</v>
      </c>
      <c r="I1117" s="1" t="s">
        <v>16</v>
      </c>
      <c r="J1117" s="1">
        <v>1</v>
      </c>
      <c r="K1117" s="1">
        <v>6</v>
      </c>
      <c r="L1117" s="1" t="s">
        <v>31</v>
      </c>
      <c r="M1117" s="1" t="s">
        <v>852</v>
      </c>
      <c r="N1117" s="1" t="s">
        <v>685</v>
      </c>
      <c r="O1117" s="1">
        <v>3</v>
      </c>
      <c r="P1117" s="1">
        <v>5</v>
      </c>
      <c r="R1117" s="1" t="s">
        <v>19</v>
      </c>
      <c r="S1117" s="1" t="s">
        <v>20</v>
      </c>
      <c r="T1117" s="1" t="s">
        <v>21</v>
      </c>
      <c r="U1117" s="1" t="s">
        <v>22</v>
      </c>
      <c r="V1117" s="1" t="s">
        <v>24</v>
      </c>
      <c r="W1117" s="1" t="s">
        <v>24</v>
      </c>
      <c r="X1117" s="1">
        <v>2734</v>
      </c>
      <c r="Y1117" s="1">
        <v>2740</v>
      </c>
      <c r="Z1117" s="1" t="s">
        <v>24</v>
      </c>
      <c r="AA1117" s="1" t="s">
        <v>24</v>
      </c>
      <c r="AB1117" s="1" t="s">
        <v>24</v>
      </c>
      <c r="AC1117" s="1" t="s">
        <v>24</v>
      </c>
      <c r="AD1117" s="1" t="s">
        <v>24</v>
      </c>
      <c r="AE1117" s="1" t="s">
        <v>24</v>
      </c>
      <c r="AF1117" s="22"/>
    </row>
    <row r="1118" spans="1:32" x14ac:dyDescent="0.2">
      <c r="A1118" s="1">
        <v>6521</v>
      </c>
      <c r="B1118" s="1" t="s">
        <v>3683</v>
      </c>
      <c r="C1118" s="5" t="s">
        <v>0</v>
      </c>
      <c r="D1118" s="1" t="s">
        <v>3684</v>
      </c>
      <c r="F1118" s="1" t="s">
        <v>3685</v>
      </c>
      <c r="G1118" s="1" t="s">
        <v>61</v>
      </c>
      <c r="H1118" s="1" t="s">
        <v>466</v>
      </c>
      <c r="I1118" s="1" t="s">
        <v>16</v>
      </c>
      <c r="J1118" s="1">
        <v>1</v>
      </c>
      <c r="K1118" s="1">
        <v>12</v>
      </c>
      <c r="L1118" s="1" t="s">
        <v>31</v>
      </c>
      <c r="M1118" s="1" t="s">
        <v>75</v>
      </c>
      <c r="N1118" s="1" t="s">
        <v>18</v>
      </c>
      <c r="O1118" s="1">
        <v>2</v>
      </c>
      <c r="P1118" s="1">
        <v>4</v>
      </c>
      <c r="R1118" s="1" t="s">
        <v>19</v>
      </c>
      <c r="S1118" s="1" t="s">
        <v>20</v>
      </c>
      <c r="T1118" s="1" t="s">
        <v>21</v>
      </c>
      <c r="U1118" s="1" t="s">
        <v>22</v>
      </c>
      <c r="V1118" s="1" t="s">
        <v>24</v>
      </c>
      <c r="W1118" s="1" t="s">
        <v>24</v>
      </c>
      <c r="X1118" s="1">
        <v>2705</v>
      </c>
      <c r="Y1118" s="1" t="s">
        <v>24</v>
      </c>
      <c r="Z1118" s="1" t="s">
        <v>24</v>
      </c>
      <c r="AA1118" s="1" t="s">
        <v>24</v>
      </c>
      <c r="AB1118" s="1" t="s">
        <v>24</v>
      </c>
      <c r="AC1118" s="1" t="s">
        <v>24</v>
      </c>
      <c r="AD1118" s="1" t="s">
        <v>24</v>
      </c>
      <c r="AE1118" s="1" t="s">
        <v>24</v>
      </c>
      <c r="AF1118" s="22"/>
    </row>
    <row r="1119" spans="1:32" x14ac:dyDescent="0.2">
      <c r="A1119" s="1">
        <v>6522</v>
      </c>
      <c r="B1119" s="1" t="s">
        <v>3686</v>
      </c>
      <c r="C1119" s="5" t="s">
        <v>0</v>
      </c>
      <c r="D1119" s="1" t="s">
        <v>3687</v>
      </c>
      <c r="E1119" s="1" t="s">
        <v>3688</v>
      </c>
      <c r="F1119" s="1" t="s">
        <v>155</v>
      </c>
      <c r="G1119" s="1" t="s">
        <v>61</v>
      </c>
      <c r="H1119" s="1" t="s">
        <v>37</v>
      </c>
      <c r="I1119" s="1" t="s">
        <v>16</v>
      </c>
      <c r="J1119" s="1">
        <v>0</v>
      </c>
      <c r="K1119" s="1">
        <v>0</v>
      </c>
      <c r="L1119" s="1" t="s">
        <v>31</v>
      </c>
      <c r="M1119" s="1" t="s">
        <v>18</v>
      </c>
      <c r="N1119" s="1" t="s">
        <v>18</v>
      </c>
      <c r="O1119" s="1">
        <v>3</v>
      </c>
      <c r="P1119" s="1">
        <v>6</v>
      </c>
      <c r="R1119" s="1" t="s">
        <v>19</v>
      </c>
      <c r="S1119" s="1" t="s">
        <v>63</v>
      </c>
      <c r="T1119" s="1" t="s">
        <v>21</v>
      </c>
      <c r="U1119" s="1" t="s">
        <v>22</v>
      </c>
      <c r="V1119" s="1" t="s">
        <v>24</v>
      </c>
      <c r="W1119" s="1" t="s">
        <v>24</v>
      </c>
      <c r="X1119" s="1">
        <v>3108</v>
      </c>
      <c r="Y1119" s="1" t="s">
        <v>24</v>
      </c>
      <c r="Z1119" s="1" t="s">
        <v>24</v>
      </c>
      <c r="AA1119" s="1" t="s">
        <v>24</v>
      </c>
      <c r="AB1119" s="1" t="s">
        <v>24</v>
      </c>
      <c r="AC1119" s="1" t="s">
        <v>24</v>
      </c>
      <c r="AD1119" s="1" t="s">
        <v>24</v>
      </c>
      <c r="AE1119" s="1" t="s">
        <v>24</v>
      </c>
      <c r="AF1119" s="22"/>
    </row>
    <row r="1120" spans="1:32" x14ac:dyDescent="0.2">
      <c r="A1120" s="1">
        <v>6523</v>
      </c>
      <c r="B1120" s="1" t="s">
        <v>3689</v>
      </c>
      <c r="C1120" s="5" t="s">
        <v>0</v>
      </c>
      <c r="D1120" s="1" t="s">
        <v>3690</v>
      </c>
      <c r="E1120" s="1" t="s">
        <v>3691</v>
      </c>
      <c r="F1120" s="1" t="s">
        <v>85</v>
      </c>
      <c r="G1120" s="1" t="s">
        <v>61</v>
      </c>
      <c r="H1120" s="1" t="s">
        <v>86</v>
      </c>
      <c r="I1120" s="1" t="s">
        <v>16</v>
      </c>
      <c r="J1120" s="1">
        <v>1</v>
      </c>
      <c r="K1120" s="1">
        <v>6</v>
      </c>
      <c r="L1120" s="1" t="s">
        <v>31</v>
      </c>
      <c r="M1120" s="1" t="s">
        <v>87</v>
      </c>
      <c r="N1120" s="1" t="s">
        <v>105</v>
      </c>
      <c r="O1120" s="1">
        <v>2</v>
      </c>
      <c r="P1120" s="1">
        <v>5</v>
      </c>
      <c r="R1120" s="1" t="s">
        <v>19</v>
      </c>
      <c r="S1120" s="1" t="s">
        <v>20</v>
      </c>
      <c r="T1120" s="1" t="s">
        <v>21</v>
      </c>
      <c r="U1120" s="1" t="s">
        <v>22</v>
      </c>
      <c r="V1120" s="1" t="s">
        <v>24</v>
      </c>
      <c r="W1120" s="1" t="s">
        <v>24</v>
      </c>
      <c r="X1120" s="1">
        <v>2740</v>
      </c>
      <c r="Y1120" s="1" t="s">
        <v>24</v>
      </c>
      <c r="Z1120" s="1" t="s">
        <v>24</v>
      </c>
      <c r="AA1120" s="1" t="s">
        <v>24</v>
      </c>
      <c r="AB1120" s="1" t="s">
        <v>24</v>
      </c>
      <c r="AC1120" s="1" t="s">
        <v>24</v>
      </c>
      <c r="AD1120" s="1" t="s">
        <v>24</v>
      </c>
      <c r="AE1120" s="1" t="s">
        <v>24</v>
      </c>
      <c r="AF1120" s="22"/>
    </row>
    <row r="1121" spans="1:32" x14ac:dyDescent="0.2">
      <c r="A1121" s="1">
        <v>6537</v>
      </c>
      <c r="B1121" s="1" t="s">
        <v>3692</v>
      </c>
      <c r="C1121" s="5" t="s">
        <v>0</v>
      </c>
      <c r="D1121" s="1" t="s">
        <v>3693</v>
      </c>
      <c r="E1121" s="1" t="s">
        <v>3694</v>
      </c>
      <c r="F1121" s="1" t="s">
        <v>3695</v>
      </c>
      <c r="G1121" s="1" t="s">
        <v>3695</v>
      </c>
      <c r="H1121" s="1" t="s">
        <v>684</v>
      </c>
      <c r="I1121" s="1" t="s">
        <v>16</v>
      </c>
      <c r="J1121" s="1">
        <v>1</v>
      </c>
      <c r="K1121" s="1">
        <v>12</v>
      </c>
      <c r="L1121" s="1" t="s">
        <v>42</v>
      </c>
      <c r="M1121" s="1" t="s">
        <v>852</v>
      </c>
      <c r="N1121" s="1" t="s">
        <v>1755</v>
      </c>
      <c r="O1121" s="1">
        <v>2</v>
      </c>
      <c r="P1121" s="1">
        <v>4</v>
      </c>
      <c r="R1121" s="1" t="s">
        <v>19</v>
      </c>
      <c r="S1121" s="1" t="s">
        <v>20</v>
      </c>
      <c r="T1121" s="1" t="s">
        <v>21</v>
      </c>
      <c r="U1121" s="1" t="s">
        <v>22</v>
      </c>
      <c r="V1121" s="1" t="s">
        <v>24</v>
      </c>
      <c r="W1121" s="1" t="s">
        <v>24</v>
      </c>
      <c r="X1121" s="1">
        <v>2700</v>
      </c>
      <c r="Y1121" s="1" t="s">
        <v>24</v>
      </c>
      <c r="Z1121" s="1" t="s">
        <v>24</v>
      </c>
      <c r="AA1121" s="1" t="s">
        <v>24</v>
      </c>
      <c r="AB1121" s="1" t="s">
        <v>24</v>
      </c>
      <c r="AC1121" s="1" t="s">
        <v>24</v>
      </c>
      <c r="AD1121" s="1" t="s">
        <v>24</v>
      </c>
      <c r="AE1121" s="1" t="s">
        <v>24</v>
      </c>
      <c r="AF1121" s="22"/>
    </row>
    <row r="1122" spans="1:32" x14ac:dyDescent="0.2">
      <c r="A1122" s="1">
        <v>6549</v>
      </c>
      <c r="B1122" s="1" t="s">
        <v>3696</v>
      </c>
      <c r="C1122" s="5" t="s">
        <v>0</v>
      </c>
      <c r="D1122" s="1" t="s">
        <v>3697</v>
      </c>
      <c r="E1122" s="1" t="s">
        <v>3698</v>
      </c>
      <c r="F1122" s="1" t="s">
        <v>3695</v>
      </c>
      <c r="G1122" s="1" t="s">
        <v>3695</v>
      </c>
      <c r="H1122" s="1" t="s">
        <v>684</v>
      </c>
      <c r="I1122" s="1" t="s">
        <v>16</v>
      </c>
      <c r="J1122" s="1">
        <v>1</v>
      </c>
      <c r="K1122" s="1">
        <v>6</v>
      </c>
      <c r="L1122" s="1" t="s">
        <v>42</v>
      </c>
      <c r="M1122" s="1" t="s">
        <v>852</v>
      </c>
      <c r="N1122" s="1" t="s">
        <v>685</v>
      </c>
      <c r="O1122" s="1">
        <v>2</v>
      </c>
      <c r="P1122" s="1">
        <v>5</v>
      </c>
      <c r="R1122" s="1" t="s">
        <v>19</v>
      </c>
      <c r="S1122" s="1" t="s">
        <v>20</v>
      </c>
      <c r="T1122" s="1" t="s">
        <v>21</v>
      </c>
      <c r="U1122" s="1" t="s">
        <v>22</v>
      </c>
      <c r="V1122" s="1" t="s">
        <v>24</v>
      </c>
      <c r="W1122" s="1" t="s">
        <v>24</v>
      </c>
      <c r="X1122" s="1">
        <v>2738</v>
      </c>
      <c r="Y1122" s="1" t="s">
        <v>24</v>
      </c>
      <c r="Z1122" s="1" t="s">
        <v>24</v>
      </c>
      <c r="AA1122" s="1" t="s">
        <v>24</v>
      </c>
      <c r="AB1122" s="1" t="s">
        <v>24</v>
      </c>
      <c r="AC1122" s="1" t="s">
        <v>24</v>
      </c>
      <c r="AD1122" s="1" t="s">
        <v>24</v>
      </c>
      <c r="AE1122" s="1" t="s">
        <v>24</v>
      </c>
      <c r="AF1122" s="22"/>
    </row>
    <row r="1123" spans="1:32" x14ac:dyDescent="0.2">
      <c r="A1123" s="1">
        <v>6567</v>
      </c>
      <c r="B1123" s="1" t="s">
        <v>3699</v>
      </c>
      <c r="C1123" s="5" t="s">
        <v>0</v>
      </c>
      <c r="D1123" s="1" t="s">
        <v>3700</v>
      </c>
      <c r="F1123" s="1" t="s">
        <v>190</v>
      </c>
      <c r="G1123" s="1" t="s">
        <v>130</v>
      </c>
      <c r="H1123" s="1" t="s">
        <v>30</v>
      </c>
      <c r="I1123" s="1" t="s">
        <v>112</v>
      </c>
      <c r="J1123" s="1">
        <v>0</v>
      </c>
      <c r="K1123" s="1">
        <v>0</v>
      </c>
      <c r="L1123" s="1" t="s">
        <v>31</v>
      </c>
      <c r="M1123" s="1" t="s">
        <v>18</v>
      </c>
      <c r="N1123" s="1" t="s">
        <v>18</v>
      </c>
      <c r="O1123" s="1">
        <v>3</v>
      </c>
      <c r="P1123" s="1">
        <v>7</v>
      </c>
      <c r="Q1123" s="7" t="s">
        <v>17633</v>
      </c>
      <c r="R1123" s="1" t="s">
        <v>19</v>
      </c>
      <c r="S1123" s="1" t="s">
        <v>20</v>
      </c>
      <c r="T1123" s="1" t="s">
        <v>21</v>
      </c>
      <c r="U1123" s="1" t="s">
        <v>22</v>
      </c>
      <c r="V1123" s="1" t="s">
        <v>24</v>
      </c>
      <c r="W1123" s="1" t="s">
        <v>24</v>
      </c>
      <c r="X1123" s="1">
        <v>2730</v>
      </c>
      <c r="Y1123" s="1">
        <v>1306</v>
      </c>
      <c r="Z1123" s="1" t="s">
        <v>24</v>
      </c>
      <c r="AA1123" s="1" t="s">
        <v>24</v>
      </c>
      <c r="AB1123" s="1" t="s">
        <v>24</v>
      </c>
      <c r="AC1123" s="1" t="s">
        <v>24</v>
      </c>
      <c r="AD1123" s="1" t="s">
        <v>24</v>
      </c>
      <c r="AE1123" s="1" t="s">
        <v>24</v>
      </c>
      <c r="AF1123" s="22" t="s">
        <v>17679</v>
      </c>
    </row>
    <row r="1124" spans="1:32" x14ac:dyDescent="0.2">
      <c r="A1124" s="1">
        <v>6578</v>
      </c>
      <c r="B1124" s="1" t="s">
        <v>3701</v>
      </c>
      <c r="C1124" s="5" t="s">
        <v>0</v>
      </c>
      <c r="D1124" s="1" t="s">
        <v>3702</v>
      </c>
      <c r="F1124" s="1" t="s">
        <v>3703</v>
      </c>
      <c r="G1124" s="1" t="s">
        <v>3704</v>
      </c>
      <c r="H1124" s="1" t="s">
        <v>69</v>
      </c>
      <c r="I1124" s="1" t="s">
        <v>16</v>
      </c>
      <c r="J1124" s="1">
        <v>1</v>
      </c>
      <c r="K1124" s="1">
        <v>6</v>
      </c>
      <c r="L1124" s="1" t="s">
        <v>42</v>
      </c>
      <c r="M1124" s="1" t="s">
        <v>3659</v>
      </c>
      <c r="N1124" s="1" t="s">
        <v>18</v>
      </c>
      <c r="O1124" s="1">
        <v>3</v>
      </c>
      <c r="P1124" s="1">
        <v>6</v>
      </c>
      <c r="R1124" s="1" t="s">
        <v>19</v>
      </c>
      <c r="S1124" s="1" t="s">
        <v>20</v>
      </c>
      <c r="T1124" s="1" t="s">
        <v>21</v>
      </c>
      <c r="U1124" s="1" t="s">
        <v>22</v>
      </c>
      <c r="V1124" s="1" t="s">
        <v>24</v>
      </c>
      <c r="W1124" s="1" t="s">
        <v>24</v>
      </c>
      <c r="X1124" s="1">
        <v>2725</v>
      </c>
      <c r="Y1124" s="1">
        <v>2726</v>
      </c>
      <c r="Z1124" s="1">
        <v>2405</v>
      </c>
      <c r="AA1124" s="1" t="s">
        <v>24</v>
      </c>
      <c r="AB1124" s="1" t="s">
        <v>24</v>
      </c>
      <c r="AC1124" s="1" t="s">
        <v>24</v>
      </c>
      <c r="AD1124" s="1" t="s">
        <v>24</v>
      </c>
      <c r="AE1124" s="1" t="s">
        <v>24</v>
      </c>
      <c r="AF1124" s="22"/>
    </row>
    <row r="1125" spans="1:32" x14ac:dyDescent="0.2">
      <c r="A1125" s="1">
        <v>6599</v>
      </c>
      <c r="B1125" s="1" t="s">
        <v>3705</v>
      </c>
      <c r="C1125" s="5" t="s">
        <v>0</v>
      </c>
      <c r="D1125" s="1" t="s">
        <v>3706</v>
      </c>
      <c r="E1125" s="1" t="s">
        <v>3707</v>
      </c>
      <c r="F1125" s="1" t="s">
        <v>221</v>
      </c>
      <c r="G1125" s="1" t="s">
        <v>61</v>
      </c>
      <c r="H1125" s="1" t="s">
        <v>222</v>
      </c>
      <c r="I1125" s="1" t="s">
        <v>16</v>
      </c>
      <c r="J1125" s="1">
        <v>4</v>
      </c>
      <c r="K1125" s="1">
        <v>3</v>
      </c>
      <c r="L1125" s="1" t="s">
        <v>31</v>
      </c>
      <c r="M1125" s="1" t="s">
        <v>18</v>
      </c>
      <c r="N1125" s="1" t="s">
        <v>18</v>
      </c>
      <c r="O1125" s="1">
        <v>3</v>
      </c>
      <c r="P1125" s="1">
        <v>7</v>
      </c>
      <c r="Q1125" s="7" t="s">
        <v>17633</v>
      </c>
      <c r="R1125" s="1" t="s">
        <v>62</v>
      </c>
      <c r="S1125" s="1" t="s">
        <v>20</v>
      </c>
      <c r="T1125" s="1" t="s">
        <v>21</v>
      </c>
      <c r="U1125" s="1" t="s">
        <v>22</v>
      </c>
      <c r="V1125" s="1" t="s">
        <v>23</v>
      </c>
      <c r="W1125" s="1" t="s">
        <v>24</v>
      </c>
      <c r="X1125" s="1">
        <v>2705</v>
      </c>
      <c r="Y1125" s="1">
        <v>2907</v>
      </c>
      <c r="Z1125" s="1">
        <v>2711</v>
      </c>
      <c r="AA1125" s="1" t="s">
        <v>24</v>
      </c>
      <c r="AB1125" s="1" t="s">
        <v>24</v>
      </c>
      <c r="AC1125" s="1" t="s">
        <v>24</v>
      </c>
      <c r="AD1125" s="1" t="s">
        <v>24</v>
      </c>
      <c r="AE1125" s="1" t="s">
        <v>24</v>
      </c>
      <c r="AF1125" s="22"/>
    </row>
    <row r="1126" spans="1:32" x14ac:dyDescent="0.2">
      <c r="A1126" s="1">
        <v>6604</v>
      </c>
      <c r="B1126" s="1" t="s">
        <v>3708</v>
      </c>
      <c r="C1126" s="5" t="s">
        <v>0</v>
      </c>
      <c r="D1126" s="1" t="s">
        <v>3709</v>
      </c>
      <c r="E1126" s="1" t="s">
        <v>3710</v>
      </c>
      <c r="F1126" s="1" t="s">
        <v>60</v>
      </c>
      <c r="G1126" s="1" t="s">
        <v>61</v>
      </c>
      <c r="H1126" s="1" t="s">
        <v>30</v>
      </c>
      <c r="I1126" s="1" t="s">
        <v>16</v>
      </c>
      <c r="J1126" s="1">
        <v>3</v>
      </c>
      <c r="K1126" s="1">
        <v>3</v>
      </c>
      <c r="L1126" s="1" t="s">
        <v>31</v>
      </c>
      <c r="M1126" s="1" t="s">
        <v>18</v>
      </c>
      <c r="N1126" s="1" t="s">
        <v>18</v>
      </c>
      <c r="O1126" s="1">
        <v>3</v>
      </c>
      <c r="P1126" s="1">
        <v>7</v>
      </c>
      <c r="Q1126" s="7" t="s">
        <v>17633</v>
      </c>
      <c r="R1126" s="1" t="s">
        <v>19</v>
      </c>
      <c r="S1126" s="1" t="s">
        <v>63</v>
      </c>
      <c r="T1126" s="1" t="s">
        <v>21</v>
      </c>
      <c r="U1126" s="1" t="s">
        <v>22</v>
      </c>
      <c r="V1126" s="1" t="s">
        <v>24</v>
      </c>
      <c r="W1126" s="1" t="s">
        <v>24</v>
      </c>
      <c r="X1126" s="1">
        <v>3005</v>
      </c>
      <c r="Y1126" s="1" t="s">
        <v>24</v>
      </c>
      <c r="Z1126" s="1" t="s">
        <v>24</v>
      </c>
      <c r="AA1126" s="1" t="s">
        <v>24</v>
      </c>
      <c r="AB1126" s="1" t="s">
        <v>24</v>
      </c>
      <c r="AC1126" s="1" t="s">
        <v>24</v>
      </c>
      <c r="AD1126" s="1" t="s">
        <v>24</v>
      </c>
      <c r="AE1126" s="1" t="s">
        <v>24</v>
      </c>
      <c r="AF1126" s="22"/>
    </row>
    <row r="1127" spans="1:32" x14ac:dyDescent="0.2">
      <c r="A1127" s="1">
        <v>6626</v>
      </c>
      <c r="B1127" s="1" t="s">
        <v>3711</v>
      </c>
      <c r="C1127" s="5" t="s">
        <v>0</v>
      </c>
      <c r="D1127" s="1" t="s">
        <v>3712</v>
      </c>
      <c r="F1127" s="1" t="s">
        <v>3711</v>
      </c>
      <c r="G1127" s="1" t="s">
        <v>3711</v>
      </c>
      <c r="H1127" s="1" t="s">
        <v>116</v>
      </c>
      <c r="I1127" s="1" t="s">
        <v>16</v>
      </c>
      <c r="J1127" s="1">
        <v>2</v>
      </c>
      <c r="K1127" s="1">
        <v>12</v>
      </c>
      <c r="L1127" s="1" t="s">
        <v>42</v>
      </c>
      <c r="M1127" s="1" t="s">
        <v>117</v>
      </c>
      <c r="N1127" s="1" t="s">
        <v>118</v>
      </c>
      <c r="O1127" s="1">
        <v>1</v>
      </c>
      <c r="P1127" s="1">
        <v>5</v>
      </c>
      <c r="R1127" s="1" t="s">
        <v>19</v>
      </c>
      <c r="S1127" s="1" t="s">
        <v>20</v>
      </c>
      <c r="T1127" s="1" t="s">
        <v>21</v>
      </c>
      <c r="U1127" s="1" t="s">
        <v>22</v>
      </c>
      <c r="V1127" s="1" t="s">
        <v>24</v>
      </c>
      <c r="W1127" s="1" t="s">
        <v>24</v>
      </c>
      <c r="X1127" s="1">
        <v>2728</v>
      </c>
      <c r="Y1127" s="1" t="s">
        <v>24</v>
      </c>
      <c r="Z1127" s="1" t="s">
        <v>24</v>
      </c>
      <c r="AA1127" s="1" t="s">
        <v>24</v>
      </c>
      <c r="AB1127" s="1" t="s">
        <v>24</v>
      </c>
      <c r="AC1127" s="1" t="s">
        <v>24</v>
      </c>
      <c r="AD1127" s="1" t="s">
        <v>24</v>
      </c>
      <c r="AE1127" s="1" t="s">
        <v>24</v>
      </c>
      <c r="AF1127" s="22"/>
    </row>
    <row r="1128" spans="1:32" x14ac:dyDescent="0.2">
      <c r="A1128" s="1">
        <v>6630</v>
      </c>
      <c r="B1128" s="1" t="s">
        <v>3713</v>
      </c>
      <c r="C1128" s="5" t="s">
        <v>0</v>
      </c>
      <c r="D1128" s="1" t="s">
        <v>3714</v>
      </c>
      <c r="E1128" s="1" t="s">
        <v>3715</v>
      </c>
      <c r="F1128" s="1" t="s">
        <v>91</v>
      </c>
      <c r="G1128" s="1" t="s">
        <v>61</v>
      </c>
      <c r="H1128" s="1" t="s">
        <v>92</v>
      </c>
      <c r="I1128" s="1" t="s">
        <v>16</v>
      </c>
      <c r="J1128" s="1">
        <v>2</v>
      </c>
      <c r="K1128" s="1">
        <v>3</v>
      </c>
      <c r="L1128" s="1" t="s">
        <v>31</v>
      </c>
      <c r="M1128" s="1" t="s">
        <v>18</v>
      </c>
      <c r="N1128" s="1" t="s">
        <v>18</v>
      </c>
      <c r="O1128" s="1">
        <v>3</v>
      </c>
      <c r="P1128" s="1">
        <v>5</v>
      </c>
      <c r="R1128" s="1" t="s">
        <v>19</v>
      </c>
      <c r="S1128" s="1" t="s">
        <v>20</v>
      </c>
      <c r="T1128" s="1" t="s">
        <v>21</v>
      </c>
      <c r="U1128" s="1" t="s">
        <v>22</v>
      </c>
      <c r="V1128" s="1" t="s">
        <v>24</v>
      </c>
      <c r="W1128" s="1" t="s">
        <v>24</v>
      </c>
      <c r="X1128" s="1">
        <v>3400</v>
      </c>
      <c r="Y1128" s="1" t="s">
        <v>24</v>
      </c>
      <c r="Z1128" s="1" t="s">
        <v>24</v>
      </c>
      <c r="AA1128" s="1" t="s">
        <v>24</v>
      </c>
      <c r="AB1128" s="1" t="s">
        <v>24</v>
      </c>
      <c r="AC1128" s="1" t="s">
        <v>24</v>
      </c>
      <c r="AD1128" s="1" t="s">
        <v>24</v>
      </c>
      <c r="AE1128" s="1" t="s">
        <v>24</v>
      </c>
      <c r="AF1128" s="22"/>
    </row>
    <row r="1129" spans="1:32" x14ac:dyDescent="0.2">
      <c r="A1129" s="1">
        <v>6653</v>
      </c>
      <c r="B1129" s="1" t="s">
        <v>3716</v>
      </c>
      <c r="C1129" s="5" t="s">
        <v>0</v>
      </c>
      <c r="D1129" s="1" t="s">
        <v>3717</v>
      </c>
      <c r="E1129" s="1" t="s">
        <v>3718</v>
      </c>
      <c r="F1129" s="1" t="s">
        <v>303</v>
      </c>
      <c r="G1129" s="1" t="s">
        <v>61</v>
      </c>
      <c r="H1129" s="1" t="s">
        <v>30</v>
      </c>
      <c r="I1129" s="1" t="s">
        <v>16</v>
      </c>
      <c r="J1129" s="1">
        <v>3</v>
      </c>
      <c r="K1129" s="1">
        <v>2</v>
      </c>
      <c r="L1129" s="1" t="s">
        <v>31</v>
      </c>
      <c r="M1129" s="1" t="s">
        <v>18</v>
      </c>
      <c r="N1129" s="1" t="s">
        <v>18</v>
      </c>
      <c r="O1129" s="1">
        <v>3</v>
      </c>
      <c r="P1129" s="1">
        <v>7</v>
      </c>
      <c r="Q1129" s="7" t="s">
        <v>17633</v>
      </c>
      <c r="R1129" s="1" t="s">
        <v>62</v>
      </c>
      <c r="S1129" s="1" t="s">
        <v>20</v>
      </c>
      <c r="T1129" s="1" t="s">
        <v>21</v>
      </c>
      <c r="U1129" s="1" t="s">
        <v>22</v>
      </c>
      <c r="V1129" s="1" t="s">
        <v>23</v>
      </c>
      <c r="W1129" s="1" t="s">
        <v>24</v>
      </c>
      <c r="X1129" s="1">
        <v>2745</v>
      </c>
      <c r="Y1129" s="1">
        <v>2703</v>
      </c>
      <c r="Z1129" s="1" t="s">
        <v>24</v>
      </c>
      <c r="AA1129" s="1" t="s">
        <v>24</v>
      </c>
      <c r="AB1129" s="1" t="s">
        <v>24</v>
      </c>
      <c r="AC1129" s="1" t="s">
        <v>24</v>
      </c>
      <c r="AD1129" s="1" t="s">
        <v>24</v>
      </c>
      <c r="AE1129" s="1" t="s">
        <v>24</v>
      </c>
      <c r="AF1129" s="22"/>
    </row>
    <row r="1130" spans="1:32" x14ac:dyDescent="0.2">
      <c r="A1130" s="1">
        <v>6665</v>
      </c>
      <c r="B1130" s="1" t="s">
        <v>3719</v>
      </c>
      <c r="C1130" s="5" t="s">
        <v>0</v>
      </c>
      <c r="D1130" s="1" t="s">
        <v>3720</v>
      </c>
      <c r="E1130" s="1" t="s">
        <v>3721</v>
      </c>
      <c r="F1130" s="1" t="s">
        <v>241</v>
      </c>
      <c r="G1130" s="1" t="s">
        <v>61</v>
      </c>
      <c r="H1130" s="1" t="s">
        <v>168</v>
      </c>
      <c r="I1130" s="1" t="s">
        <v>16</v>
      </c>
      <c r="J1130" s="1">
        <v>1</v>
      </c>
      <c r="K1130" s="1">
        <v>8</v>
      </c>
      <c r="L1130" s="1" t="s">
        <v>31</v>
      </c>
      <c r="M1130" s="1" t="s">
        <v>93</v>
      </c>
      <c r="N1130" s="1" t="s">
        <v>18</v>
      </c>
      <c r="O1130" s="1">
        <v>3</v>
      </c>
      <c r="P1130" s="1">
        <v>7</v>
      </c>
      <c r="Q1130" s="7" t="s">
        <v>17633</v>
      </c>
      <c r="R1130" s="1" t="s">
        <v>19</v>
      </c>
      <c r="S1130" s="1" t="s">
        <v>20</v>
      </c>
      <c r="T1130" s="1" t="s">
        <v>21</v>
      </c>
      <c r="U1130" s="1" t="s">
        <v>22</v>
      </c>
      <c r="V1130" s="1" t="s">
        <v>24</v>
      </c>
      <c r="W1130" s="1" t="s">
        <v>24</v>
      </c>
      <c r="X1130" s="1">
        <v>2404</v>
      </c>
      <c r="Y1130" s="1">
        <v>1105</v>
      </c>
      <c r="Z1130" s="1">
        <v>2402</v>
      </c>
      <c r="AA1130" s="1" t="s">
        <v>24</v>
      </c>
      <c r="AB1130" s="1" t="s">
        <v>24</v>
      </c>
      <c r="AC1130" s="1" t="s">
        <v>24</v>
      </c>
      <c r="AD1130" s="1" t="s">
        <v>24</v>
      </c>
      <c r="AE1130" s="1" t="s">
        <v>24</v>
      </c>
      <c r="AF1130" s="22"/>
    </row>
    <row r="1131" spans="1:32" x14ac:dyDescent="0.2">
      <c r="A1131" s="1">
        <v>6666</v>
      </c>
      <c r="B1131" s="1" t="s">
        <v>3722</v>
      </c>
      <c r="C1131" s="5" t="s">
        <v>0</v>
      </c>
      <c r="D1131" s="1" t="s">
        <v>3723</v>
      </c>
      <c r="F1131" s="1" t="s">
        <v>3724</v>
      </c>
      <c r="G1131" s="1" t="s">
        <v>3724</v>
      </c>
      <c r="H1131" s="1" t="s">
        <v>2147</v>
      </c>
      <c r="I1131" s="1" t="s">
        <v>16</v>
      </c>
      <c r="J1131" s="1">
        <v>1</v>
      </c>
      <c r="K1131" s="1">
        <v>12</v>
      </c>
      <c r="L1131" s="1" t="s">
        <v>42</v>
      </c>
      <c r="M1131" s="1" t="s">
        <v>3725</v>
      </c>
      <c r="N1131" s="1" t="s">
        <v>3725</v>
      </c>
      <c r="O1131" s="1">
        <v>3</v>
      </c>
      <c r="P1131" s="1">
        <v>6</v>
      </c>
      <c r="R1131" s="1" t="s">
        <v>19</v>
      </c>
      <c r="S1131" s="1" t="s">
        <v>20</v>
      </c>
      <c r="T1131" s="1" t="s">
        <v>21</v>
      </c>
      <c r="U1131" s="1" t="s">
        <v>22</v>
      </c>
      <c r="V1131" s="1" t="s">
        <v>24</v>
      </c>
      <c r="W1131" s="1" t="s">
        <v>24</v>
      </c>
      <c r="X1131" s="1">
        <v>2700</v>
      </c>
      <c r="Y1131" s="1" t="s">
        <v>24</v>
      </c>
      <c r="Z1131" s="1" t="s">
        <v>24</v>
      </c>
      <c r="AA1131" s="1" t="s">
        <v>24</v>
      </c>
      <c r="AB1131" s="1" t="s">
        <v>24</v>
      </c>
      <c r="AC1131" s="1" t="s">
        <v>24</v>
      </c>
      <c r="AD1131" s="1" t="s">
        <v>24</v>
      </c>
      <c r="AE1131" s="1" t="s">
        <v>24</v>
      </c>
      <c r="AF1131" s="22"/>
    </row>
    <row r="1132" spans="1:32" x14ac:dyDescent="0.2">
      <c r="A1132" s="1">
        <v>6667</v>
      </c>
      <c r="B1132" s="1" t="s">
        <v>3726</v>
      </c>
      <c r="C1132" s="5" t="s">
        <v>0</v>
      </c>
      <c r="D1132" s="1" t="s">
        <v>3727</v>
      </c>
      <c r="E1132" s="1" t="s">
        <v>3728</v>
      </c>
      <c r="F1132" s="1" t="s">
        <v>3729</v>
      </c>
      <c r="G1132" s="1" t="s">
        <v>3729</v>
      </c>
      <c r="H1132" s="1" t="s">
        <v>3730</v>
      </c>
      <c r="I1132" s="1" t="s">
        <v>16</v>
      </c>
      <c r="J1132" s="1">
        <v>1</v>
      </c>
      <c r="K1132" s="1">
        <v>12</v>
      </c>
      <c r="L1132" s="1" t="s">
        <v>42</v>
      </c>
      <c r="M1132" s="1" t="s">
        <v>18</v>
      </c>
      <c r="N1132" s="1" t="s">
        <v>18</v>
      </c>
      <c r="O1132" s="1">
        <v>3</v>
      </c>
      <c r="P1132" s="1">
        <v>6</v>
      </c>
      <c r="R1132" s="1" t="s">
        <v>19</v>
      </c>
      <c r="S1132" s="1" t="s">
        <v>20</v>
      </c>
      <c r="T1132" s="1" t="s">
        <v>21</v>
      </c>
      <c r="U1132" s="1" t="s">
        <v>22</v>
      </c>
      <c r="V1132" s="1" t="s">
        <v>24</v>
      </c>
      <c r="W1132" s="1" t="s">
        <v>24</v>
      </c>
      <c r="X1132" s="1">
        <v>2700</v>
      </c>
      <c r="Y1132" s="1" t="s">
        <v>24</v>
      </c>
      <c r="Z1132" s="1" t="s">
        <v>24</v>
      </c>
      <c r="AA1132" s="1" t="s">
        <v>24</v>
      </c>
      <c r="AB1132" s="1" t="s">
        <v>24</v>
      </c>
      <c r="AC1132" s="1" t="s">
        <v>24</v>
      </c>
      <c r="AD1132" s="1" t="s">
        <v>24</v>
      </c>
      <c r="AE1132" s="1" t="s">
        <v>24</v>
      </c>
      <c r="AF1132" s="22"/>
    </row>
    <row r="1133" spans="1:32" x14ac:dyDescent="0.2">
      <c r="A1133" s="1">
        <v>6671</v>
      </c>
      <c r="B1133" s="1" t="s">
        <v>3731</v>
      </c>
      <c r="C1133" s="5" t="s">
        <v>0</v>
      </c>
      <c r="D1133" s="1" t="s">
        <v>3732</v>
      </c>
      <c r="F1133" s="1" t="s">
        <v>3733</v>
      </c>
      <c r="G1133" s="1" t="s">
        <v>3733</v>
      </c>
      <c r="H1133" s="1" t="s">
        <v>111</v>
      </c>
      <c r="I1133" s="1" t="s">
        <v>16</v>
      </c>
      <c r="J1133" s="1">
        <v>1</v>
      </c>
      <c r="K1133" s="1">
        <v>8</v>
      </c>
      <c r="L1133" s="1" t="s">
        <v>42</v>
      </c>
      <c r="M1133" s="1" t="s">
        <v>413</v>
      </c>
      <c r="N1133" s="1" t="s">
        <v>242</v>
      </c>
      <c r="O1133" s="1">
        <v>1</v>
      </c>
      <c r="P1133" s="1">
        <v>5</v>
      </c>
      <c r="R1133" s="1" t="s">
        <v>19</v>
      </c>
      <c r="S1133" s="1" t="s">
        <v>20</v>
      </c>
      <c r="T1133" s="1" t="s">
        <v>21</v>
      </c>
      <c r="U1133" s="1" t="s">
        <v>22</v>
      </c>
      <c r="V1133" s="1" t="s">
        <v>24</v>
      </c>
      <c r="W1133" s="1" t="s">
        <v>24</v>
      </c>
      <c r="X1133" s="1">
        <v>2738</v>
      </c>
      <c r="Y1133" s="1">
        <v>2728</v>
      </c>
      <c r="Z1133" s="1" t="s">
        <v>24</v>
      </c>
      <c r="AA1133" s="1" t="s">
        <v>24</v>
      </c>
      <c r="AB1133" s="1" t="s">
        <v>24</v>
      </c>
      <c r="AC1133" s="1" t="s">
        <v>24</v>
      </c>
      <c r="AD1133" s="1" t="s">
        <v>24</v>
      </c>
      <c r="AE1133" s="1" t="s">
        <v>24</v>
      </c>
      <c r="AF1133" s="22"/>
    </row>
    <row r="1134" spans="1:32" x14ac:dyDescent="0.2">
      <c r="A1134" s="1">
        <v>6705</v>
      </c>
      <c r="B1134" s="1" t="s">
        <v>3734</v>
      </c>
      <c r="C1134" s="5" t="s">
        <v>0</v>
      </c>
      <c r="D1134" s="1" t="s">
        <v>3735</v>
      </c>
      <c r="E1134" s="1" t="s">
        <v>3736</v>
      </c>
      <c r="F1134" s="1" t="s">
        <v>3737</v>
      </c>
      <c r="G1134" s="1" t="s">
        <v>3738</v>
      </c>
      <c r="H1134" s="1" t="s">
        <v>30</v>
      </c>
      <c r="I1134" s="1" t="s">
        <v>16</v>
      </c>
      <c r="J1134" s="1">
        <v>4</v>
      </c>
      <c r="K1134" s="1">
        <v>13</v>
      </c>
      <c r="L1134" s="1" t="s">
        <v>42</v>
      </c>
      <c r="M1134" s="1" t="s">
        <v>18</v>
      </c>
      <c r="N1134" s="1" t="s">
        <v>18</v>
      </c>
      <c r="O1134" s="1">
        <v>3</v>
      </c>
      <c r="P1134" s="1">
        <v>9</v>
      </c>
      <c r="Q1134" s="7" t="s">
        <v>17633</v>
      </c>
      <c r="R1134" s="1" t="s">
        <v>881</v>
      </c>
      <c r="S1134" s="1" t="s">
        <v>20</v>
      </c>
      <c r="T1134" s="1" t="s">
        <v>21</v>
      </c>
      <c r="U1134" s="1" t="s">
        <v>22</v>
      </c>
      <c r="V1134" s="1" t="s">
        <v>23</v>
      </c>
      <c r="W1134" s="1" t="s">
        <v>64</v>
      </c>
      <c r="X1134" s="1">
        <v>1000</v>
      </c>
      <c r="Y1134" s="1">
        <v>1207</v>
      </c>
      <c r="Z1134" s="1" t="s">
        <v>24</v>
      </c>
      <c r="AA1134" s="1" t="s">
        <v>24</v>
      </c>
      <c r="AB1134" s="1" t="s">
        <v>24</v>
      </c>
      <c r="AC1134" s="1" t="s">
        <v>24</v>
      </c>
      <c r="AD1134" s="1" t="s">
        <v>24</v>
      </c>
      <c r="AE1134" s="1" t="s">
        <v>24</v>
      </c>
      <c r="AF1134" s="22"/>
    </row>
    <row r="1135" spans="1:32" x14ac:dyDescent="0.2">
      <c r="A1135" s="1">
        <v>6712</v>
      </c>
      <c r="B1135" s="1" t="s">
        <v>3739</v>
      </c>
      <c r="C1135" s="5" t="s">
        <v>0</v>
      </c>
      <c r="D1135" s="1" t="s">
        <v>3740</v>
      </c>
      <c r="E1135" s="1" t="s">
        <v>3741</v>
      </c>
      <c r="F1135" s="1" t="s">
        <v>303</v>
      </c>
      <c r="G1135" s="1" t="s">
        <v>61</v>
      </c>
      <c r="H1135" s="1" t="s">
        <v>30</v>
      </c>
      <c r="I1135" s="1" t="s">
        <v>16</v>
      </c>
      <c r="J1135" s="1">
        <v>1</v>
      </c>
      <c r="K1135" s="1">
        <v>6</v>
      </c>
      <c r="L1135" s="1" t="s">
        <v>31</v>
      </c>
      <c r="M1135" s="1" t="s">
        <v>18</v>
      </c>
      <c r="N1135" s="1" t="s">
        <v>18</v>
      </c>
      <c r="O1135" s="1">
        <v>3</v>
      </c>
      <c r="P1135" s="1">
        <v>7</v>
      </c>
      <c r="Q1135" s="7" t="s">
        <v>17633</v>
      </c>
      <c r="R1135" s="1" t="s">
        <v>19</v>
      </c>
      <c r="S1135" s="1" t="s">
        <v>20</v>
      </c>
      <c r="T1135" s="1" t="s">
        <v>21</v>
      </c>
      <c r="U1135" s="1" t="s">
        <v>22</v>
      </c>
      <c r="V1135" s="1" t="s">
        <v>23</v>
      </c>
      <c r="W1135" s="1" t="s">
        <v>24</v>
      </c>
      <c r="X1135" s="1">
        <v>2746</v>
      </c>
      <c r="Y1135" s="1" t="s">
        <v>24</v>
      </c>
      <c r="Z1135" s="1" t="s">
        <v>24</v>
      </c>
      <c r="AA1135" s="1" t="s">
        <v>24</v>
      </c>
      <c r="AB1135" s="1" t="s">
        <v>24</v>
      </c>
      <c r="AC1135" s="1" t="s">
        <v>24</v>
      </c>
      <c r="AD1135" s="1" t="s">
        <v>24</v>
      </c>
      <c r="AE1135" s="1" t="s">
        <v>24</v>
      </c>
      <c r="AF1135" s="22"/>
    </row>
    <row r="1136" spans="1:32" x14ac:dyDescent="0.2">
      <c r="A1136" s="1">
        <v>6716</v>
      </c>
      <c r="B1136" s="1" t="s">
        <v>3742</v>
      </c>
      <c r="C1136" s="5" t="s">
        <v>0</v>
      </c>
      <c r="D1136" s="1" t="s">
        <v>3743</v>
      </c>
      <c r="E1136" s="1" t="s">
        <v>3744</v>
      </c>
      <c r="F1136" s="1" t="s">
        <v>517</v>
      </c>
      <c r="G1136" s="1" t="s">
        <v>36</v>
      </c>
      <c r="H1136" s="1" t="s">
        <v>30</v>
      </c>
      <c r="I1136" s="1" t="s">
        <v>16</v>
      </c>
      <c r="J1136" s="1">
        <v>1</v>
      </c>
      <c r="K1136" s="1">
        <v>6</v>
      </c>
      <c r="L1136" s="1" t="s">
        <v>31</v>
      </c>
      <c r="M1136" s="1" t="s">
        <v>18</v>
      </c>
      <c r="N1136" s="1" t="s">
        <v>18</v>
      </c>
      <c r="O1136" s="1">
        <v>3</v>
      </c>
      <c r="P1136" s="1">
        <v>8</v>
      </c>
      <c r="Q1136" s="7" t="s">
        <v>17633</v>
      </c>
      <c r="R1136" s="1" t="s">
        <v>19</v>
      </c>
      <c r="S1136" s="1" t="s">
        <v>20</v>
      </c>
      <c r="T1136" s="1" t="s">
        <v>21</v>
      </c>
      <c r="U1136" s="1" t="s">
        <v>22</v>
      </c>
      <c r="V1136" s="1" t="s">
        <v>24</v>
      </c>
      <c r="W1136" s="1" t="s">
        <v>24</v>
      </c>
      <c r="X1136" s="1">
        <v>3105</v>
      </c>
      <c r="Y1136" s="1">
        <v>3107</v>
      </c>
      <c r="Z1136" s="1" t="s">
        <v>24</v>
      </c>
      <c r="AA1136" s="1" t="s">
        <v>24</v>
      </c>
      <c r="AB1136" s="1" t="s">
        <v>24</v>
      </c>
      <c r="AC1136" s="1" t="s">
        <v>24</v>
      </c>
      <c r="AD1136" s="1" t="s">
        <v>24</v>
      </c>
      <c r="AE1136" s="1" t="s">
        <v>24</v>
      </c>
      <c r="AF1136" s="22"/>
    </row>
    <row r="1137" spans="1:32" x14ac:dyDescent="0.2">
      <c r="A1137" s="1">
        <v>6717</v>
      </c>
      <c r="B1137" s="1" t="s">
        <v>3745</v>
      </c>
      <c r="C1137" s="5" t="s">
        <v>0</v>
      </c>
      <c r="D1137" s="1" t="s">
        <v>3746</v>
      </c>
      <c r="E1137" s="1" t="s">
        <v>3747</v>
      </c>
      <c r="F1137" s="1" t="s">
        <v>3748</v>
      </c>
      <c r="G1137" s="1" t="s">
        <v>3748</v>
      </c>
      <c r="H1137" s="1" t="s">
        <v>131</v>
      </c>
      <c r="I1137" s="1" t="s">
        <v>16</v>
      </c>
      <c r="J1137" s="1">
        <v>1</v>
      </c>
      <c r="K1137" s="1">
        <v>4</v>
      </c>
      <c r="L1137" s="1" t="s">
        <v>42</v>
      </c>
      <c r="M1137" s="1" t="s">
        <v>679</v>
      </c>
      <c r="N1137" s="1" t="s">
        <v>18</v>
      </c>
      <c r="O1137" s="1">
        <v>2</v>
      </c>
      <c r="P1137" s="1">
        <v>5</v>
      </c>
      <c r="R1137" s="1" t="s">
        <v>19</v>
      </c>
      <c r="S1137" s="1" t="s">
        <v>20</v>
      </c>
      <c r="T1137" s="1" t="s">
        <v>21</v>
      </c>
      <c r="U1137" s="1" t="s">
        <v>22</v>
      </c>
      <c r="V1137" s="1" t="s">
        <v>24</v>
      </c>
      <c r="W1137" s="1" t="s">
        <v>24</v>
      </c>
      <c r="X1137" s="1">
        <v>3003</v>
      </c>
      <c r="Y1137" s="1" t="s">
        <v>24</v>
      </c>
      <c r="Z1137" s="1" t="s">
        <v>24</v>
      </c>
      <c r="AA1137" s="1" t="s">
        <v>24</v>
      </c>
      <c r="AB1137" s="1" t="s">
        <v>24</v>
      </c>
      <c r="AC1137" s="1" t="s">
        <v>24</v>
      </c>
      <c r="AD1137" s="1" t="s">
        <v>24</v>
      </c>
      <c r="AE1137" s="1" t="s">
        <v>24</v>
      </c>
      <c r="AF1137" s="22"/>
    </row>
    <row r="1138" spans="1:32" x14ac:dyDescent="0.2">
      <c r="A1138" s="1">
        <v>6722</v>
      </c>
      <c r="B1138" s="1" t="s">
        <v>3749</v>
      </c>
      <c r="C1138" s="5" t="s">
        <v>0</v>
      </c>
      <c r="D1138" s="1" t="s">
        <v>3750</v>
      </c>
      <c r="E1138" s="1" t="s">
        <v>3751</v>
      </c>
      <c r="F1138" s="1" t="s">
        <v>85</v>
      </c>
      <c r="G1138" s="1" t="s">
        <v>61</v>
      </c>
      <c r="H1138" s="1" t="s">
        <v>86</v>
      </c>
      <c r="I1138" s="1" t="s">
        <v>16</v>
      </c>
      <c r="J1138" s="1">
        <v>1</v>
      </c>
      <c r="K1138" s="1">
        <v>6</v>
      </c>
      <c r="L1138" s="1" t="s">
        <v>31</v>
      </c>
      <c r="M1138" s="1" t="s">
        <v>87</v>
      </c>
      <c r="N1138" s="1" t="s">
        <v>105</v>
      </c>
      <c r="O1138" s="1">
        <v>3</v>
      </c>
      <c r="P1138" s="1">
        <v>7</v>
      </c>
      <c r="Q1138" s="7" t="s">
        <v>17633</v>
      </c>
      <c r="R1138" s="1" t="s">
        <v>19</v>
      </c>
      <c r="S1138" s="1" t="s">
        <v>20</v>
      </c>
      <c r="T1138" s="1" t="s">
        <v>21</v>
      </c>
      <c r="U1138" s="1" t="s">
        <v>22</v>
      </c>
      <c r="V1138" s="1" t="s">
        <v>23</v>
      </c>
      <c r="W1138" s="1" t="s">
        <v>24</v>
      </c>
      <c r="X1138" s="1">
        <v>2732</v>
      </c>
      <c r="Y1138" s="1" t="s">
        <v>24</v>
      </c>
      <c r="Z1138" s="1" t="s">
        <v>24</v>
      </c>
      <c r="AA1138" s="1" t="s">
        <v>24</v>
      </c>
      <c r="AB1138" s="1" t="s">
        <v>24</v>
      </c>
      <c r="AC1138" s="1" t="s">
        <v>24</v>
      </c>
      <c r="AD1138" s="1" t="s">
        <v>24</v>
      </c>
      <c r="AE1138" s="1" t="s">
        <v>24</v>
      </c>
      <c r="AF1138" s="22"/>
    </row>
    <row r="1139" spans="1:32" x14ac:dyDescent="0.2">
      <c r="A1139" s="1">
        <v>6729</v>
      </c>
      <c r="B1139" s="1" t="s">
        <v>3752</v>
      </c>
      <c r="C1139" s="5" t="s">
        <v>0</v>
      </c>
      <c r="D1139" s="1" t="s">
        <v>3753</v>
      </c>
      <c r="E1139" s="1" t="s">
        <v>3754</v>
      </c>
      <c r="F1139" s="1" t="s">
        <v>55</v>
      </c>
      <c r="G1139" s="1" t="s">
        <v>56</v>
      </c>
      <c r="H1139" s="1" t="s">
        <v>37</v>
      </c>
      <c r="I1139" s="1" t="s">
        <v>16</v>
      </c>
      <c r="J1139" s="1">
        <v>1</v>
      </c>
      <c r="K1139" s="1">
        <v>6</v>
      </c>
      <c r="L1139" s="1" t="s">
        <v>31</v>
      </c>
      <c r="M1139" s="1" t="s">
        <v>18</v>
      </c>
      <c r="N1139" s="1" t="s">
        <v>18</v>
      </c>
      <c r="O1139" s="1">
        <v>3</v>
      </c>
      <c r="P1139" s="1">
        <v>7</v>
      </c>
      <c r="Q1139" s="7" t="s">
        <v>17633</v>
      </c>
      <c r="R1139" s="1" t="s">
        <v>62</v>
      </c>
      <c r="S1139" s="1" t="s">
        <v>20</v>
      </c>
      <c r="T1139" s="1" t="s">
        <v>21</v>
      </c>
      <c r="U1139" s="1" t="s">
        <v>22</v>
      </c>
      <c r="V1139" s="1" t="s">
        <v>24</v>
      </c>
      <c r="W1139" s="1" t="s">
        <v>24</v>
      </c>
      <c r="X1139" s="1">
        <v>2738</v>
      </c>
      <c r="Y1139" s="1" t="s">
        <v>24</v>
      </c>
      <c r="Z1139" s="1" t="s">
        <v>24</v>
      </c>
      <c r="AA1139" s="1" t="s">
        <v>24</v>
      </c>
      <c r="AB1139" s="1" t="s">
        <v>24</v>
      </c>
      <c r="AC1139" s="1" t="s">
        <v>24</v>
      </c>
      <c r="AD1139" s="1" t="s">
        <v>24</v>
      </c>
      <c r="AE1139" s="1" t="s">
        <v>24</v>
      </c>
      <c r="AF1139" s="22"/>
    </row>
    <row r="1140" spans="1:32" x14ac:dyDescent="0.2">
      <c r="A1140" s="1">
        <v>6733</v>
      </c>
      <c r="B1140" s="1" t="s">
        <v>3755</v>
      </c>
      <c r="C1140" s="5" t="s">
        <v>0</v>
      </c>
      <c r="D1140" s="1" t="s">
        <v>3756</v>
      </c>
      <c r="E1140" s="1" t="s">
        <v>3757</v>
      </c>
      <c r="F1140" s="1" t="s">
        <v>190</v>
      </c>
      <c r="G1140" s="1" t="s">
        <v>130</v>
      </c>
      <c r="H1140" s="1" t="s">
        <v>30</v>
      </c>
      <c r="I1140" s="1" t="s">
        <v>16</v>
      </c>
      <c r="J1140" s="1">
        <v>1</v>
      </c>
      <c r="K1140" s="1">
        <v>4</v>
      </c>
      <c r="L1140" s="1" t="s">
        <v>31</v>
      </c>
      <c r="M1140" s="1" t="s">
        <v>18</v>
      </c>
      <c r="N1140" s="1" t="s">
        <v>18</v>
      </c>
      <c r="O1140" s="1">
        <v>2</v>
      </c>
      <c r="P1140" s="1">
        <v>6</v>
      </c>
      <c r="R1140" s="1" t="s">
        <v>19</v>
      </c>
      <c r="S1140" s="1" t="s">
        <v>20</v>
      </c>
      <c r="T1140" s="1" t="s">
        <v>21</v>
      </c>
      <c r="U1140" s="1" t="s">
        <v>22</v>
      </c>
      <c r="V1140" s="1" t="s">
        <v>23</v>
      </c>
      <c r="W1140" s="1" t="s">
        <v>24</v>
      </c>
      <c r="X1140" s="1">
        <v>2742</v>
      </c>
      <c r="Y1140" s="1">
        <v>3612</v>
      </c>
      <c r="Z1140" s="1" t="s">
        <v>24</v>
      </c>
      <c r="AA1140" s="1" t="s">
        <v>24</v>
      </c>
      <c r="AB1140" s="1" t="s">
        <v>24</v>
      </c>
      <c r="AC1140" s="1" t="s">
        <v>24</v>
      </c>
      <c r="AD1140" s="1" t="s">
        <v>24</v>
      </c>
      <c r="AE1140" s="1" t="s">
        <v>24</v>
      </c>
      <c r="AF1140" s="22"/>
    </row>
    <row r="1141" spans="1:32" x14ac:dyDescent="0.2">
      <c r="A1141" s="1">
        <v>6738</v>
      </c>
      <c r="B1141" s="1" t="s">
        <v>3758</v>
      </c>
      <c r="C1141" s="5" t="s">
        <v>0</v>
      </c>
      <c r="D1141" s="1" t="s">
        <v>3759</v>
      </c>
      <c r="E1141" s="1" t="s">
        <v>3760</v>
      </c>
      <c r="F1141" s="1" t="s">
        <v>303</v>
      </c>
      <c r="G1141" s="1" t="s">
        <v>61</v>
      </c>
      <c r="H1141" s="1" t="s">
        <v>30</v>
      </c>
      <c r="I1141" s="1" t="s">
        <v>16</v>
      </c>
      <c r="J1141" s="1">
        <v>1</v>
      </c>
      <c r="K1141" s="1">
        <v>4</v>
      </c>
      <c r="L1141" s="1" t="s">
        <v>31</v>
      </c>
      <c r="M1141" s="1" t="s">
        <v>18</v>
      </c>
      <c r="N1141" s="1" t="s">
        <v>18</v>
      </c>
      <c r="O1141" s="1">
        <v>3</v>
      </c>
      <c r="P1141" s="1">
        <v>8</v>
      </c>
      <c r="Q1141" s="7" t="s">
        <v>17633</v>
      </c>
      <c r="R1141" s="1" t="s">
        <v>19</v>
      </c>
      <c r="S1141" s="1" t="s">
        <v>20</v>
      </c>
      <c r="T1141" s="1" t="s">
        <v>21</v>
      </c>
      <c r="U1141" s="1" t="s">
        <v>22</v>
      </c>
      <c r="V1141" s="1" t="s">
        <v>24</v>
      </c>
      <c r="W1141" s="1" t="s">
        <v>24</v>
      </c>
      <c r="X1141" s="1">
        <v>2734</v>
      </c>
      <c r="Y1141" s="1" t="s">
        <v>24</v>
      </c>
      <c r="Z1141" s="1" t="s">
        <v>24</v>
      </c>
      <c r="AA1141" s="1" t="s">
        <v>24</v>
      </c>
      <c r="AB1141" s="1" t="s">
        <v>24</v>
      </c>
      <c r="AC1141" s="1" t="s">
        <v>24</v>
      </c>
      <c r="AD1141" s="1" t="s">
        <v>24</v>
      </c>
      <c r="AE1141" s="1" t="s">
        <v>24</v>
      </c>
      <c r="AF1141" s="22"/>
    </row>
    <row r="1142" spans="1:32" x14ac:dyDescent="0.2">
      <c r="A1142" s="1">
        <v>6745</v>
      </c>
      <c r="B1142" s="1" t="s">
        <v>3761</v>
      </c>
      <c r="C1142" s="5" t="s">
        <v>0</v>
      </c>
      <c r="D1142" s="1" t="s">
        <v>3762</v>
      </c>
      <c r="E1142" s="1" t="s">
        <v>3763</v>
      </c>
      <c r="F1142" s="1" t="s">
        <v>303</v>
      </c>
      <c r="G1142" s="1" t="s">
        <v>61</v>
      </c>
      <c r="H1142" s="1" t="s">
        <v>30</v>
      </c>
      <c r="I1142" s="1" t="s">
        <v>16</v>
      </c>
      <c r="J1142" s="1">
        <v>1</v>
      </c>
      <c r="K1142" s="1">
        <v>4</v>
      </c>
      <c r="L1142" s="1" t="s">
        <v>31</v>
      </c>
      <c r="M1142" s="1" t="s">
        <v>18</v>
      </c>
      <c r="N1142" s="1" t="s">
        <v>18</v>
      </c>
      <c r="O1142" s="1">
        <v>2</v>
      </c>
      <c r="P1142" s="1">
        <v>8</v>
      </c>
      <c r="Q1142" s="7" t="s">
        <v>17633</v>
      </c>
      <c r="R1142" s="1" t="s">
        <v>62</v>
      </c>
      <c r="S1142" s="1" t="s">
        <v>20</v>
      </c>
      <c r="T1142" s="1" t="s">
        <v>21</v>
      </c>
      <c r="U1142" s="1" t="s">
        <v>22</v>
      </c>
      <c r="V1142" s="1" t="s">
        <v>24</v>
      </c>
      <c r="W1142" s="1" t="s">
        <v>24</v>
      </c>
      <c r="X1142" s="1">
        <v>2720</v>
      </c>
      <c r="Y1142" s="1" t="s">
        <v>24</v>
      </c>
      <c r="Z1142" s="1" t="s">
        <v>24</v>
      </c>
      <c r="AA1142" s="1" t="s">
        <v>24</v>
      </c>
      <c r="AB1142" s="1" t="s">
        <v>24</v>
      </c>
      <c r="AC1142" s="1" t="s">
        <v>24</v>
      </c>
      <c r="AD1142" s="1" t="s">
        <v>24</v>
      </c>
      <c r="AE1142" s="1" t="s">
        <v>24</v>
      </c>
      <c r="AF1142" s="22"/>
    </row>
    <row r="1143" spans="1:32" x14ac:dyDescent="0.2">
      <c r="A1143" s="1">
        <v>6746</v>
      </c>
      <c r="B1143" s="1" t="s">
        <v>3764</v>
      </c>
      <c r="C1143" s="5" t="s">
        <v>0</v>
      </c>
      <c r="D1143" s="1" t="s">
        <v>3765</v>
      </c>
      <c r="E1143" s="1" t="s">
        <v>3766</v>
      </c>
      <c r="F1143" s="1" t="s">
        <v>296</v>
      </c>
      <c r="G1143" s="1" t="s">
        <v>36</v>
      </c>
      <c r="H1143" s="1" t="s">
        <v>264</v>
      </c>
      <c r="I1143" s="1" t="s">
        <v>16</v>
      </c>
      <c r="J1143" s="1">
        <v>1</v>
      </c>
      <c r="K1143" s="1">
        <v>4</v>
      </c>
      <c r="L1143" s="1" t="s">
        <v>31</v>
      </c>
      <c r="M1143" s="1" t="s">
        <v>18</v>
      </c>
      <c r="N1143" s="1" t="s">
        <v>18</v>
      </c>
      <c r="O1143" s="1">
        <v>3</v>
      </c>
      <c r="P1143" s="1">
        <v>7</v>
      </c>
      <c r="Q1143" s="7" t="s">
        <v>17633</v>
      </c>
      <c r="R1143" s="1" t="s">
        <v>19</v>
      </c>
      <c r="S1143" s="1" t="s">
        <v>20</v>
      </c>
      <c r="T1143" s="1" t="s">
        <v>21</v>
      </c>
      <c r="U1143" s="1" t="s">
        <v>22</v>
      </c>
      <c r="V1143" s="1" t="s">
        <v>24</v>
      </c>
      <c r="W1143" s="1" t="s">
        <v>24</v>
      </c>
      <c r="X1143" s="1">
        <v>1309</v>
      </c>
      <c r="Y1143" s="1">
        <v>2735</v>
      </c>
      <c r="Z1143" s="1">
        <v>2710</v>
      </c>
      <c r="AA1143" s="1" t="s">
        <v>24</v>
      </c>
      <c r="AB1143" s="1" t="s">
        <v>24</v>
      </c>
      <c r="AC1143" s="1" t="s">
        <v>24</v>
      </c>
      <c r="AD1143" s="1" t="s">
        <v>24</v>
      </c>
      <c r="AE1143" s="1" t="s">
        <v>24</v>
      </c>
      <c r="AF1143" s="22"/>
    </row>
    <row r="1144" spans="1:32" x14ac:dyDescent="0.2">
      <c r="A1144" s="1">
        <v>6747</v>
      </c>
      <c r="B1144" s="1" t="s">
        <v>3767</v>
      </c>
      <c r="C1144" s="5" t="s">
        <v>0</v>
      </c>
      <c r="D1144" s="1" t="s">
        <v>3768</v>
      </c>
      <c r="E1144" s="1" t="s">
        <v>3769</v>
      </c>
      <c r="F1144" s="1" t="s">
        <v>371</v>
      </c>
      <c r="G1144" s="1" t="s">
        <v>372</v>
      </c>
      <c r="H1144" s="1" t="s">
        <v>30</v>
      </c>
      <c r="I1144" s="1" t="s">
        <v>16</v>
      </c>
      <c r="J1144" s="1">
        <v>1</v>
      </c>
      <c r="K1144" s="1">
        <v>4</v>
      </c>
      <c r="L1144" s="1" t="s">
        <v>31</v>
      </c>
      <c r="M1144" s="1" t="s">
        <v>18</v>
      </c>
      <c r="N1144" s="1" t="s">
        <v>18</v>
      </c>
      <c r="O1144" s="1">
        <v>2</v>
      </c>
      <c r="P1144" s="1">
        <v>6</v>
      </c>
      <c r="R1144" s="1" t="s">
        <v>19</v>
      </c>
      <c r="S1144" s="1" t="s">
        <v>63</v>
      </c>
      <c r="T1144" s="1" t="s">
        <v>21</v>
      </c>
      <c r="U1144" s="1" t="s">
        <v>22</v>
      </c>
      <c r="V1144" s="1" t="s">
        <v>23</v>
      </c>
      <c r="W1144" s="1" t="s">
        <v>24</v>
      </c>
      <c r="X1144" s="1">
        <v>3616</v>
      </c>
      <c r="Y1144" s="1" t="s">
        <v>24</v>
      </c>
      <c r="Z1144" s="1" t="s">
        <v>24</v>
      </c>
      <c r="AA1144" s="1" t="s">
        <v>24</v>
      </c>
      <c r="AB1144" s="1" t="s">
        <v>24</v>
      </c>
      <c r="AC1144" s="1" t="s">
        <v>24</v>
      </c>
      <c r="AD1144" s="1" t="s">
        <v>24</v>
      </c>
      <c r="AE1144" s="1" t="s">
        <v>24</v>
      </c>
      <c r="AF1144" s="22"/>
    </row>
    <row r="1145" spans="1:32" x14ac:dyDescent="0.2">
      <c r="A1145" s="1">
        <v>6748</v>
      </c>
      <c r="B1145" s="1" t="s">
        <v>3770</v>
      </c>
      <c r="C1145" s="5" t="s">
        <v>0</v>
      </c>
      <c r="D1145" s="1" t="s">
        <v>3771</v>
      </c>
      <c r="E1145" s="1" t="s">
        <v>3772</v>
      </c>
      <c r="F1145" s="1" t="s">
        <v>371</v>
      </c>
      <c r="G1145" s="1" t="s">
        <v>372</v>
      </c>
      <c r="H1145" s="1" t="s">
        <v>30</v>
      </c>
      <c r="I1145" s="1" t="s">
        <v>16</v>
      </c>
      <c r="J1145" s="1">
        <v>1</v>
      </c>
      <c r="K1145" s="1">
        <v>5</v>
      </c>
      <c r="L1145" s="1" t="s">
        <v>31</v>
      </c>
      <c r="M1145" s="1" t="s">
        <v>18</v>
      </c>
      <c r="N1145" s="1" t="s">
        <v>18</v>
      </c>
      <c r="O1145" s="1">
        <v>3</v>
      </c>
      <c r="P1145" s="1">
        <v>7</v>
      </c>
      <c r="Q1145" s="7" t="s">
        <v>17633</v>
      </c>
      <c r="R1145" s="1" t="s">
        <v>19</v>
      </c>
      <c r="S1145" s="1" t="s">
        <v>63</v>
      </c>
      <c r="T1145" s="1" t="s">
        <v>21</v>
      </c>
      <c r="U1145" s="1" t="s">
        <v>22</v>
      </c>
      <c r="V1145" s="1" t="s">
        <v>24</v>
      </c>
      <c r="W1145" s="1" t="s">
        <v>24</v>
      </c>
      <c r="X1145" s="1">
        <v>2728</v>
      </c>
      <c r="Y1145" s="1">
        <v>2808</v>
      </c>
      <c r="Z1145" s="1" t="s">
        <v>24</v>
      </c>
      <c r="AA1145" s="1" t="s">
        <v>24</v>
      </c>
      <c r="AB1145" s="1" t="s">
        <v>24</v>
      </c>
      <c r="AC1145" s="1" t="s">
        <v>24</v>
      </c>
      <c r="AD1145" s="1" t="s">
        <v>24</v>
      </c>
      <c r="AE1145" s="1" t="s">
        <v>24</v>
      </c>
      <c r="AF1145" s="22"/>
    </row>
    <row r="1146" spans="1:32" x14ac:dyDescent="0.2">
      <c r="A1146" s="1">
        <v>6749</v>
      </c>
      <c r="B1146" s="1" t="s">
        <v>3773</v>
      </c>
      <c r="C1146" s="5" t="s">
        <v>0</v>
      </c>
      <c r="D1146" s="1" t="s">
        <v>3774</v>
      </c>
      <c r="E1146" s="1" t="s">
        <v>3775</v>
      </c>
      <c r="F1146" s="1" t="s">
        <v>303</v>
      </c>
      <c r="G1146" s="1" t="s">
        <v>61</v>
      </c>
      <c r="H1146" s="1" t="s">
        <v>30</v>
      </c>
      <c r="I1146" s="1" t="s">
        <v>16</v>
      </c>
      <c r="J1146" s="1">
        <v>1</v>
      </c>
      <c r="K1146" s="1">
        <v>6</v>
      </c>
      <c r="L1146" s="1" t="s">
        <v>31</v>
      </c>
      <c r="M1146" s="1" t="s">
        <v>18</v>
      </c>
      <c r="N1146" s="1" t="s">
        <v>18</v>
      </c>
      <c r="O1146" s="1">
        <v>3</v>
      </c>
      <c r="P1146" s="1">
        <v>8</v>
      </c>
      <c r="Q1146" s="7" t="s">
        <v>17633</v>
      </c>
      <c r="R1146" s="1" t="s">
        <v>19</v>
      </c>
      <c r="S1146" s="1" t="s">
        <v>20</v>
      </c>
      <c r="T1146" s="1" t="s">
        <v>21</v>
      </c>
      <c r="U1146" s="1" t="s">
        <v>22</v>
      </c>
      <c r="V1146" s="1" t="s">
        <v>23</v>
      </c>
      <c r="W1146" s="1" t="s">
        <v>24</v>
      </c>
      <c r="X1146" s="1">
        <v>2735</v>
      </c>
      <c r="Y1146" s="1">
        <v>2729</v>
      </c>
      <c r="Z1146" s="1" t="s">
        <v>24</v>
      </c>
      <c r="AA1146" s="1" t="s">
        <v>24</v>
      </c>
      <c r="AB1146" s="1" t="s">
        <v>24</v>
      </c>
      <c r="AC1146" s="1" t="s">
        <v>24</v>
      </c>
      <c r="AD1146" s="1" t="s">
        <v>24</v>
      </c>
      <c r="AE1146" s="1" t="s">
        <v>24</v>
      </c>
      <c r="AF1146" s="22"/>
    </row>
    <row r="1147" spans="1:32" x14ac:dyDescent="0.2">
      <c r="A1147" s="1">
        <v>6756</v>
      </c>
      <c r="B1147" s="1" t="s">
        <v>3776</v>
      </c>
      <c r="C1147" s="5" t="s">
        <v>0</v>
      </c>
      <c r="D1147" s="1" t="s">
        <v>3777</v>
      </c>
      <c r="E1147" s="1" t="s">
        <v>3778</v>
      </c>
      <c r="F1147" s="1" t="s">
        <v>303</v>
      </c>
      <c r="G1147" s="1" t="s">
        <v>61</v>
      </c>
      <c r="H1147" s="1" t="s">
        <v>30</v>
      </c>
      <c r="I1147" s="1" t="s">
        <v>16</v>
      </c>
      <c r="J1147" s="1">
        <v>1</v>
      </c>
      <c r="K1147" s="1">
        <v>4</v>
      </c>
      <c r="L1147" s="1" t="s">
        <v>31</v>
      </c>
      <c r="M1147" s="1" t="s">
        <v>18</v>
      </c>
      <c r="N1147" s="1" t="s">
        <v>18</v>
      </c>
      <c r="O1147" s="1">
        <v>2</v>
      </c>
      <c r="P1147" s="1">
        <v>8</v>
      </c>
      <c r="Q1147" s="7" t="s">
        <v>17633</v>
      </c>
      <c r="R1147" s="1" t="s">
        <v>19</v>
      </c>
      <c r="S1147" s="1" t="s">
        <v>20</v>
      </c>
      <c r="T1147" s="1" t="s">
        <v>21</v>
      </c>
      <c r="U1147" s="1" t="s">
        <v>22</v>
      </c>
      <c r="V1147" s="1" t="s">
        <v>23</v>
      </c>
      <c r="W1147" s="1" t="s">
        <v>24</v>
      </c>
      <c r="X1147" s="1">
        <v>2741</v>
      </c>
      <c r="Y1147" s="1" t="s">
        <v>24</v>
      </c>
      <c r="Z1147" s="1" t="s">
        <v>24</v>
      </c>
      <c r="AA1147" s="1" t="s">
        <v>24</v>
      </c>
      <c r="AB1147" s="1" t="s">
        <v>24</v>
      </c>
      <c r="AC1147" s="1" t="s">
        <v>24</v>
      </c>
      <c r="AD1147" s="1" t="s">
        <v>24</v>
      </c>
      <c r="AE1147" s="1" t="s">
        <v>24</v>
      </c>
      <c r="AF1147" s="22"/>
    </row>
    <row r="1148" spans="1:32" x14ac:dyDescent="0.2">
      <c r="A1148" s="1">
        <v>6778</v>
      </c>
      <c r="B1148" s="1" t="s">
        <v>3779</v>
      </c>
      <c r="C1148" s="5" t="s">
        <v>0</v>
      </c>
      <c r="D1148" s="1" t="s">
        <v>3780</v>
      </c>
      <c r="F1148" s="1" t="s">
        <v>3781</v>
      </c>
      <c r="G1148" s="1" t="s">
        <v>3782</v>
      </c>
      <c r="H1148" s="1" t="s">
        <v>461</v>
      </c>
      <c r="I1148" s="1" t="s">
        <v>16</v>
      </c>
      <c r="J1148" s="1">
        <v>1</v>
      </c>
      <c r="K1148" s="1">
        <v>4</v>
      </c>
      <c r="L1148" s="1" t="s">
        <v>17</v>
      </c>
      <c r="M1148" s="1" t="s">
        <v>1735</v>
      </c>
      <c r="N1148" s="1" t="s">
        <v>18</v>
      </c>
      <c r="O1148" s="1">
        <v>2</v>
      </c>
      <c r="P1148" s="1">
        <v>5</v>
      </c>
      <c r="R1148" s="1" t="s">
        <v>19</v>
      </c>
      <c r="S1148" s="1" t="s">
        <v>20</v>
      </c>
      <c r="T1148" s="1" t="s">
        <v>21</v>
      </c>
      <c r="U1148" s="1" t="s">
        <v>22</v>
      </c>
      <c r="V1148" s="1" t="s">
        <v>24</v>
      </c>
      <c r="W1148" s="1" t="s">
        <v>24</v>
      </c>
      <c r="X1148" s="1">
        <v>2731</v>
      </c>
      <c r="Y1148" s="1">
        <v>2728</v>
      </c>
      <c r="Z1148" s="1" t="s">
        <v>24</v>
      </c>
      <c r="AA1148" s="1" t="s">
        <v>24</v>
      </c>
      <c r="AB1148" s="1" t="s">
        <v>24</v>
      </c>
      <c r="AC1148" s="1" t="s">
        <v>24</v>
      </c>
      <c r="AD1148" s="1" t="s">
        <v>24</v>
      </c>
      <c r="AE1148" s="1" t="s">
        <v>24</v>
      </c>
      <c r="AF1148" s="22"/>
    </row>
    <row r="1149" spans="1:32" x14ac:dyDescent="0.2">
      <c r="A1149" s="1">
        <v>6787</v>
      </c>
      <c r="B1149" s="1" t="s">
        <v>3783</v>
      </c>
      <c r="C1149" s="5" t="s">
        <v>0</v>
      </c>
      <c r="D1149" s="1" t="s">
        <v>3784</v>
      </c>
      <c r="F1149" s="1" t="s">
        <v>3785</v>
      </c>
      <c r="G1149" s="1" t="s">
        <v>3785</v>
      </c>
      <c r="H1149" s="1" t="s">
        <v>461</v>
      </c>
      <c r="I1149" s="1" t="s">
        <v>16</v>
      </c>
      <c r="J1149" s="1">
        <v>1</v>
      </c>
      <c r="K1149" s="1">
        <v>4</v>
      </c>
      <c r="L1149" s="1" t="s">
        <v>42</v>
      </c>
      <c r="M1149" s="1" t="s">
        <v>635</v>
      </c>
      <c r="N1149" s="1" t="s">
        <v>18</v>
      </c>
      <c r="O1149" s="1">
        <v>2</v>
      </c>
      <c r="P1149" s="1">
        <v>5</v>
      </c>
      <c r="R1149" s="1" t="s">
        <v>19</v>
      </c>
      <c r="S1149" s="1" t="s">
        <v>20</v>
      </c>
      <c r="T1149" s="1" t="s">
        <v>21</v>
      </c>
      <c r="U1149" s="1" t="s">
        <v>22</v>
      </c>
      <c r="V1149" s="1" t="s">
        <v>24</v>
      </c>
      <c r="W1149" s="1" t="s">
        <v>24</v>
      </c>
      <c r="X1149" s="1">
        <v>2404</v>
      </c>
      <c r="Y1149" s="1">
        <v>2725</v>
      </c>
      <c r="Z1149" s="1" t="s">
        <v>24</v>
      </c>
      <c r="AA1149" s="1" t="s">
        <v>24</v>
      </c>
      <c r="AB1149" s="1" t="s">
        <v>24</v>
      </c>
      <c r="AC1149" s="1" t="s">
        <v>24</v>
      </c>
      <c r="AD1149" s="1" t="s">
        <v>24</v>
      </c>
      <c r="AE1149" s="1" t="s">
        <v>24</v>
      </c>
      <c r="AF1149" s="22"/>
    </row>
    <row r="1150" spans="1:32" x14ac:dyDescent="0.2">
      <c r="A1150" s="1">
        <v>6799</v>
      </c>
      <c r="B1150" s="1" t="s">
        <v>3786</v>
      </c>
      <c r="C1150" s="5" t="s">
        <v>0</v>
      </c>
      <c r="D1150" s="1" t="s">
        <v>3787</v>
      </c>
      <c r="F1150" s="1" t="s">
        <v>3788</v>
      </c>
      <c r="G1150" s="1" t="s">
        <v>3788</v>
      </c>
      <c r="H1150" s="1" t="s">
        <v>46</v>
      </c>
      <c r="I1150" s="1" t="s">
        <v>16</v>
      </c>
      <c r="J1150" s="1">
        <v>1</v>
      </c>
      <c r="K1150" s="1">
        <v>12</v>
      </c>
      <c r="L1150" s="1" t="s">
        <v>42</v>
      </c>
      <c r="M1150" s="1" t="s">
        <v>18</v>
      </c>
      <c r="N1150" s="1" t="s">
        <v>18</v>
      </c>
      <c r="O1150" s="1">
        <v>2</v>
      </c>
      <c r="P1150" s="1">
        <v>5</v>
      </c>
      <c r="R1150" s="1" t="s">
        <v>19</v>
      </c>
      <c r="S1150" s="1" t="s">
        <v>20</v>
      </c>
      <c r="T1150" s="1" t="s">
        <v>21</v>
      </c>
      <c r="U1150" s="1" t="s">
        <v>22</v>
      </c>
      <c r="V1150" s="1" t="s">
        <v>24</v>
      </c>
      <c r="W1150" s="1" t="s">
        <v>24</v>
      </c>
      <c r="X1150" s="1">
        <v>2700</v>
      </c>
      <c r="Y1150" s="1" t="s">
        <v>24</v>
      </c>
      <c r="Z1150" s="1" t="s">
        <v>24</v>
      </c>
      <c r="AA1150" s="1" t="s">
        <v>24</v>
      </c>
      <c r="AB1150" s="1" t="s">
        <v>24</v>
      </c>
      <c r="AC1150" s="1" t="s">
        <v>24</v>
      </c>
      <c r="AD1150" s="1" t="s">
        <v>24</v>
      </c>
      <c r="AE1150" s="1" t="s">
        <v>24</v>
      </c>
      <c r="AF1150" s="22"/>
    </row>
    <row r="1151" spans="1:32" x14ac:dyDescent="0.2">
      <c r="A1151" s="1">
        <v>6804</v>
      </c>
      <c r="B1151" s="5" t="s">
        <v>3789</v>
      </c>
      <c r="C1151" s="5" t="s">
        <v>0</v>
      </c>
      <c r="D1151" s="1" t="s">
        <v>3790</v>
      </c>
      <c r="E1151" s="1" t="s">
        <v>3791</v>
      </c>
      <c r="F1151" s="1" t="s">
        <v>371</v>
      </c>
      <c r="G1151" s="1" t="s">
        <v>17607</v>
      </c>
      <c r="H1151" s="1" t="s">
        <v>30</v>
      </c>
      <c r="I1151" s="1" t="s">
        <v>16</v>
      </c>
      <c r="J1151" s="1">
        <v>1</v>
      </c>
      <c r="K1151" s="1">
        <v>4</v>
      </c>
      <c r="L1151" s="1" t="s">
        <v>31</v>
      </c>
      <c r="M1151" s="1" t="s">
        <v>18</v>
      </c>
      <c r="N1151" s="5" t="s">
        <v>18</v>
      </c>
      <c r="O1151" s="5">
        <v>2</v>
      </c>
      <c r="P1151" s="5">
        <v>7</v>
      </c>
      <c r="Q1151" s="7" t="s">
        <v>17633</v>
      </c>
      <c r="R1151" s="5" t="s">
        <v>19</v>
      </c>
      <c r="S1151" s="1" t="s">
        <v>20</v>
      </c>
      <c r="T1151" s="5" t="s">
        <v>21</v>
      </c>
      <c r="U1151" s="5"/>
      <c r="V1151" s="5"/>
      <c r="W1151" s="5"/>
      <c r="X1151" s="5">
        <v>2705</v>
      </c>
      <c r="Y1151" s="5">
        <v>2741</v>
      </c>
      <c r="AF1151" s="22"/>
    </row>
    <row r="1152" spans="1:32" x14ac:dyDescent="0.2">
      <c r="A1152" s="1">
        <v>6811</v>
      </c>
      <c r="B1152" s="1" t="s">
        <v>3792</v>
      </c>
      <c r="C1152" s="5" t="s">
        <v>0</v>
      </c>
      <c r="D1152" s="1" t="s">
        <v>3793</v>
      </c>
      <c r="F1152" s="1" t="s">
        <v>3794</v>
      </c>
      <c r="G1152" s="1" t="s">
        <v>3794</v>
      </c>
      <c r="H1152" s="1" t="s">
        <v>461</v>
      </c>
      <c r="I1152" s="1" t="s">
        <v>16</v>
      </c>
      <c r="J1152" s="1">
        <v>1</v>
      </c>
      <c r="K1152" s="1">
        <v>6</v>
      </c>
      <c r="L1152" s="1" t="s">
        <v>17</v>
      </c>
      <c r="M1152" s="1" t="s">
        <v>1735</v>
      </c>
      <c r="N1152" s="1" t="s">
        <v>18</v>
      </c>
      <c r="O1152" s="1">
        <v>3</v>
      </c>
      <c r="P1152" s="1">
        <v>5</v>
      </c>
      <c r="R1152" s="1" t="s">
        <v>19</v>
      </c>
      <c r="S1152" s="1" t="s">
        <v>20</v>
      </c>
      <c r="T1152" s="1" t="s">
        <v>21</v>
      </c>
      <c r="U1152" s="1" t="s">
        <v>22</v>
      </c>
      <c r="V1152" s="1" t="s">
        <v>24</v>
      </c>
      <c r="W1152" s="1" t="s">
        <v>24</v>
      </c>
      <c r="X1152" s="1">
        <v>2700</v>
      </c>
      <c r="Y1152" s="1" t="s">
        <v>24</v>
      </c>
      <c r="Z1152" s="1" t="s">
        <v>24</v>
      </c>
      <c r="AA1152" s="1" t="s">
        <v>24</v>
      </c>
      <c r="AB1152" s="1" t="s">
        <v>24</v>
      </c>
      <c r="AC1152" s="1" t="s">
        <v>24</v>
      </c>
      <c r="AD1152" s="1" t="s">
        <v>24</v>
      </c>
      <c r="AE1152" s="1" t="s">
        <v>24</v>
      </c>
      <c r="AF1152" s="22"/>
    </row>
    <row r="1153" spans="1:32" x14ac:dyDescent="0.2">
      <c r="A1153" s="1">
        <v>6814</v>
      </c>
      <c r="B1153" s="1" t="s">
        <v>3795</v>
      </c>
      <c r="C1153" s="5" t="s">
        <v>0</v>
      </c>
      <c r="D1153" s="1" t="s">
        <v>3796</v>
      </c>
      <c r="E1153" s="1" t="s">
        <v>3797</v>
      </c>
      <c r="F1153" s="1" t="s">
        <v>28</v>
      </c>
      <c r="G1153" s="1" t="s">
        <v>29</v>
      </c>
      <c r="H1153" s="1" t="s">
        <v>30</v>
      </c>
      <c r="I1153" s="1" t="s">
        <v>16</v>
      </c>
      <c r="J1153" s="1">
        <v>1</v>
      </c>
      <c r="K1153" s="1">
        <v>12</v>
      </c>
      <c r="L1153" s="1" t="s">
        <v>31</v>
      </c>
      <c r="M1153" s="1" t="s">
        <v>18</v>
      </c>
      <c r="N1153" s="1" t="s">
        <v>18</v>
      </c>
      <c r="O1153" s="1">
        <v>3</v>
      </c>
      <c r="P1153" s="1">
        <v>8</v>
      </c>
      <c r="Q1153" s="7" t="s">
        <v>17633</v>
      </c>
      <c r="R1153" s="1" t="s">
        <v>62</v>
      </c>
      <c r="S1153" s="1" t="s">
        <v>20</v>
      </c>
      <c r="T1153" s="1" t="s">
        <v>21</v>
      </c>
      <c r="U1153" s="1" t="s">
        <v>22</v>
      </c>
      <c r="V1153" s="1" t="s">
        <v>23</v>
      </c>
      <c r="W1153" s="1" t="s">
        <v>24</v>
      </c>
      <c r="X1153" s="1">
        <v>2705</v>
      </c>
      <c r="Y1153" s="1">
        <v>2728</v>
      </c>
      <c r="Z1153" s="1">
        <v>2902</v>
      </c>
      <c r="AA1153" s="1" t="s">
        <v>24</v>
      </c>
      <c r="AB1153" s="1" t="s">
        <v>24</v>
      </c>
      <c r="AC1153" s="1" t="s">
        <v>24</v>
      </c>
      <c r="AD1153" s="1" t="s">
        <v>24</v>
      </c>
      <c r="AE1153" s="1" t="s">
        <v>24</v>
      </c>
      <c r="AF1153" s="22"/>
    </row>
    <row r="1154" spans="1:32" x14ac:dyDescent="0.2">
      <c r="A1154" s="1">
        <v>6815</v>
      </c>
      <c r="B1154" s="1" t="s">
        <v>3798</v>
      </c>
      <c r="C1154" s="5" t="s">
        <v>0</v>
      </c>
      <c r="D1154" s="1" t="s">
        <v>3799</v>
      </c>
      <c r="E1154" s="1" t="s">
        <v>3800</v>
      </c>
      <c r="F1154" s="1" t="s">
        <v>291</v>
      </c>
      <c r="G1154" s="1" t="s">
        <v>292</v>
      </c>
      <c r="H1154" s="1" t="s">
        <v>37</v>
      </c>
      <c r="I1154" s="1" t="s">
        <v>16</v>
      </c>
      <c r="J1154" s="1">
        <v>1</v>
      </c>
      <c r="K1154" s="1">
        <v>8</v>
      </c>
      <c r="L1154" s="1" t="s">
        <v>31</v>
      </c>
      <c r="M1154" s="1" t="s">
        <v>18</v>
      </c>
      <c r="N1154" s="1" t="s">
        <v>18</v>
      </c>
      <c r="O1154" s="1">
        <v>3</v>
      </c>
      <c r="P1154" s="1">
        <v>7</v>
      </c>
      <c r="Q1154" s="7" t="s">
        <v>17633</v>
      </c>
      <c r="R1154" s="1" t="s">
        <v>19</v>
      </c>
      <c r="S1154" s="1" t="s">
        <v>20</v>
      </c>
      <c r="T1154" s="1" t="s">
        <v>21</v>
      </c>
      <c r="U1154" s="1" t="s">
        <v>22</v>
      </c>
      <c r="V1154" s="1" t="s">
        <v>24</v>
      </c>
      <c r="W1154" s="1" t="s">
        <v>24</v>
      </c>
      <c r="X1154" s="1">
        <v>1308</v>
      </c>
      <c r="Y1154" s="1" t="s">
        <v>24</v>
      </c>
      <c r="Z1154" s="1" t="s">
        <v>24</v>
      </c>
      <c r="AA1154" s="1" t="s">
        <v>24</v>
      </c>
      <c r="AB1154" s="1" t="s">
        <v>24</v>
      </c>
      <c r="AC1154" s="1" t="s">
        <v>24</v>
      </c>
      <c r="AD1154" s="1" t="s">
        <v>24</v>
      </c>
      <c r="AE1154" s="1" t="s">
        <v>24</v>
      </c>
      <c r="AF1154" s="22"/>
    </row>
    <row r="1155" spans="1:32" x14ac:dyDescent="0.2">
      <c r="A1155" s="1">
        <v>6818</v>
      </c>
      <c r="B1155" s="1" t="s">
        <v>3801</v>
      </c>
      <c r="C1155" s="5" t="s">
        <v>0</v>
      </c>
      <c r="D1155" s="1" t="s">
        <v>3802</v>
      </c>
      <c r="E1155" s="1" t="s">
        <v>3803</v>
      </c>
      <c r="F1155" s="1" t="s">
        <v>291</v>
      </c>
      <c r="G1155" s="1" t="s">
        <v>292</v>
      </c>
      <c r="H1155" s="1" t="s">
        <v>37</v>
      </c>
      <c r="I1155" s="1" t="s">
        <v>16</v>
      </c>
      <c r="J1155" s="1">
        <v>1</v>
      </c>
      <c r="K1155" s="1">
        <v>12</v>
      </c>
      <c r="L1155" s="1" t="s">
        <v>31</v>
      </c>
      <c r="M1155" s="1" t="s">
        <v>18</v>
      </c>
      <c r="N1155" s="1" t="s">
        <v>18</v>
      </c>
      <c r="O1155" s="1">
        <v>3</v>
      </c>
      <c r="P1155" s="1">
        <v>7</v>
      </c>
      <c r="Q1155" s="7" t="s">
        <v>17633</v>
      </c>
      <c r="R1155" s="1" t="s">
        <v>19</v>
      </c>
      <c r="S1155" s="1" t="s">
        <v>20</v>
      </c>
      <c r="T1155" s="1" t="s">
        <v>21</v>
      </c>
      <c r="U1155" s="1" t="s">
        <v>22</v>
      </c>
      <c r="V1155" s="1" t="s">
        <v>24</v>
      </c>
      <c r="W1155" s="1" t="s">
        <v>24</v>
      </c>
      <c r="X1155" s="1">
        <v>2715</v>
      </c>
      <c r="Y1155" s="1" t="s">
        <v>24</v>
      </c>
      <c r="Z1155" s="1" t="s">
        <v>24</v>
      </c>
      <c r="AA1155" s="1" t="s">
        <v>24</v>
      </c>
      <c r="AB1155" s="1" t="s">
        <v>24</v>
      </c>
      <c r="AC1155" s="1" t="s">
        <v>24</v>
      </c>
      <c r="AD1155" s="1" t="s">
        <v>24</v>
      </c>
      <c r="AE1155" s="1" t="s">
        <v>24</v>
      </c>
      <c r="AF1155" s="22"/>
    </row>
    <row r="1156" spans="1:32" x14ac:dyDescent="0.2">
      <c r="A1156" s="1">
        <v>6821</v>
      </c>
      <c r="B1156" s="1" t="s">
        <v>3804</v>
      </c>
      <c r="C1156" s="5" t="s">
        <v>0</v>
      </c>
      <c r="D1156" s="1" t="s">
        <v>3805</v>
      </c>
      <c r="E1156" s="1" t="s">
        <v>3806</v>
      </c>
      <c r="F1156" s="1" t="s">
        <v>291</v>
      </c>
      <c r="G1156" s="1" t="s">
        <v>292</v>
      </c>
      <c r="H1156" s="1" t="s">
        <v>37</v>
      </c>
      <c r="I1156" s="1" t="s">
        <v>16</v>
      </c>
      <c r="J1156" s="1">
        <v>1</v>
      </c>
      <c r="K1156" s="1">
        <v>12</v>
      </c>
      <c r="L1156" s="1" t="s">
        <v>31</v>
      </c>
      <c r="M1156" s="1" t="s">
        <v>18</v>
      </c>
      <c r="N1156" s="1" t="s">
        <v>18</v>
      </c>
      <c r="O1156" s="1">
        <v>3</v>
      </c>
      <c r="P1156" s="1">
        <v>6</v>
      </c>
      <c r="R1156" s="1" t="s">
        <v>19</v>
      </c>
      <c r="S1156" s="1" t="s">
        <v>20</v>
      </c>
      <c r="T1156" s="1" t="s">
        <v>21</v>
      </c>
      <c r="U1156" s="1" t="s">
        <v>22</v>
      </c>
      <c r="V1156" s="1" t="s">
        <v>23</v>
      </c>
      <c r="W1156" s="1" t="s">
        <v>24</v>
      </c>
      <c r="X1156" s="1">
        <v>2726</v>
      </c>
      <c r="Y1156" s="1">
        <v>2400</v>
      </c>
      <c r="Z1156" s="1">
        <v>2725</v>
      </c>
      <c r="AA1156" s="1" t="s">
        <v>24</v>
      </c>
      <c r="AB1156" s="1" t="s">
        <v>24</v>
      </c>
      <c r="AC1156" s="1" t="s">
        <v>24</v>
      </c>
      <c r="AD1156" s="1" t="s">
        <v>24</v>
      </c>
      <c r="AE1156" s="1" t="s">
        <v>24</v>
      </c>
      <c r="AF1156" s="22"/>
    </row>
    <row r="1157" spans="1:32" x14ac:dyDescent="0.2">
      <c r="A1157" s="1">
        <v>6822</v>
      </c>
      <c r="B1157" s="1" t="s">
        <v>3807</v>
      </c>
      <c r="C1157" s="5" t="s">
        <v>0</v>
      </c>
      <c r="D1157" s="1" t="s">
        <v>3808</v>
      </c>
      <c r="E1157" s="1" t="s">
        <v>3809</v>
      </c>
      <c r="F1157" s="1" t="s">
        <v>35</v>
      </c>
      <c r="G1157" s="1" t="s">
        <v>36</v>
      </c>
      <c r="H1157" s="1" t="s">
        <v>37</v>
      </c>
      <c r="I1157" s="1" t="s">
        <v>16</v>
      </c>
      <c r="J1157" s="1">
        <v>2</v>
      </c>
      <c r="K1157" s="1">
        <v>6</v>
      </c>
      <c r="L1157" s="1" t="s">
        <v>31</v>
      </c>
      <c r="M1157" s="1" t="s">
        <v>18</v>
      </c>
      <c r="N1157" s="1" t="s">
        <v>18</v>
      </c>
      <c r="O1157" s="1">
        <v>3</v>
      </c>
      <c r="P1157" s="1">
        <v>7</v>
      </c>
      <c r="Q1157" s="7" t="s">
        <v>17633</v>
      </c>
      <c r="R1157" s="1" t="s">
        <v>19</v>
      </c>
      <c r="S1157" s="1" t="s">
        <v>20</v>
      </c>
      <c r="T1157" s="1" t="s">
        <v>21</v>
      </c>
      <c r="U1157" s="1" t="s">
        <v>22</v>
      </c>
      <c r="V1157" s="1" t="s">
        <v>24</v>
      </c>
      <c r="W1157" s="1" t="s">
        <v>24</v>
      </c>
      <c r="X1157" s="1">
        <v>2403</v>
      </c>
      <c r="Y1157" s="1" t="s">
        <v>24</v>
      </c>
      <c r="Z1157" s="1" t="s">
        <v>24</v>
      </c>
      <c r="AA1157" s="1" t="s">
        <v>24</v>
      </c>
      <c r="AB1157" s="1" t="s">
        <v>24</v>
      </c>
      <c r="AC1157" s="1" t="s">
        <v>24</v>
      </c>
      <c r="AD1157" s="1" t="s">
        <v>24</v>
      </c>
      <c r="AE1157" s="1" t="s">
        <v>24</v>
      </c>
      <c r="AF1157" s="22"/>
    </row>
    <row r="1158" spans="1:32" x14ac:dyDescent="0.2">
      <c r="A1158" s="1">
        <v>6827</v>
      </c>
      <c r="B1158" s="1" t="s">
        <v>3810</v>
      </c>
      <c r="C1158" s="5" t="s">
        <v>0</v>
      </c>
      <c r="D1158" s="1" t="s">
        <v>3811</v>
      </c>
      <c r="E1158" s="1" t="s">
        <v>3812</v>
      </c>
      <c r="F1158" s="1" t="s">
        <v>291</v>
      </c>
      <c r="G1158" s="1" t="s">
        <v>292</v>
      </c>
      <c r="H1158" s="1" t="s">
        <v>37</v>
      </c>
      <c r="I1158" s="1" t="s">
        <v>16</v>
      </c>
      <c r="J1158" s="1">
        <v>1</v>
      </c>
      <c r="K1158" s="1">
        <v>6</v>
      </c>
      <c r="L1158" s="1" t="s">
        <v>31</v>
      </c>
      <c r="M1158" s="1" t="s">
        <v>18</v>
      </c>
      <c r="N1158" s="1" t="s">
        <v>18</v>
      </c>
      <c r="O1158" s="1">
        <v>3</v>
      </c>
      <c r="P1158" s="1">
        <v>7</v>
      </c>
      <c r="Q1158" s="7" t="s">
        <v>17633</v>
      </c>
      <c r="R1158" s="1" t="s">
        <v>19</v>
      </c>
      <c r="S1158" s="1" t="s">
        <v>20</v>
      </c>
      <c r="T1158" s="1" t="s">
        <v>21</v>
      </c>
      <c r="U1158" s="1" t="s">
        <v>22</v>
      </c>
      <c r="V1158" s="1" t="s">
        <v>24</v>
      </c>
      <c r="W1158" s="1" t="s">
        <v>24</v>
      </c>
      <c r="X1158" s="1">
        <v>2745</v>
      </c>
      <c r="Y1158" s="1">
        <v>2403</v>
      </c>
      <c r="Z1158" s="1">
        <v>2723</v>
      </c>
      <c r="AA1158" s="1" t="s">
        <v>24</v>
      </c>
      <c r="AB1158" s="1" t="s">
        <v>24</v>
      </c>
      <c r="AC1158" s="1" t="s">
        <v>24</v>
      </c>
      <c r="AD1158" s="1" t="s">
        <v>24</v>
      </c>
      <c r="AE1158" s="1" t="s">
        <v>24</v>
      </c>
      <c r="AF1158" s="22"/>
    </row>
    <row r="1159" spans="1:32" x14ac:dyDescent="0.2">
      <c r="A1159" s="1">
        <v>6835</v>
      </c>
      <c r="B1159" s="1" t="s">
        <v>3813</v>
      </c>
      <c r="C1159" s="5" t="s">
        <v>0</v>
      </c>
      <c r="D1159" s="1" t="s">
        <v>3814</v>
      </c>
      <c r="F1159" s="1" t="s">
        <v>3815</v>
      </c>
      <c r="G1159" s="1" t="s">
        <v>3816</v>
      </c>
      <c r="H1159" s="1" t="s">
        <v>466</v>
      </c>
      <c r="I1159" s="1" t="s">
        <v>16</v>
      </c>
      <c r="J1159" s="1">
        <v>1</v>
      </c>
      <c r="K1159" s="1">
        <v>4</v>
      </c>
      <c r="L1159" s="1" t="s">
        <v>17</v>
      </c>
      <c r="M1159" s="1" t="s">
        <v>18</v>
      </c>
      <c r="N1159" s="1" t="s">
        <v>18</v>
      </c>
      <c r="O1159" s="1">
        <v>2</v>
      </c>
      <c r="P1159" s="1">
        <v>6</v>
      </c>
      <c r="R1159" s="1" t="s">
        <v>19</v>
      </c>
      <c r="S1159" s="1" t="s">
        <v>20</v>
      </c>
      <c r="T1159" s="1" t="s">
        <v>21</v>
      </c>
      <c r="U1159" s="1" t="s">
        <v>22</v>
      </c>
      <c r="V1159" s="1" t="s">
        <v>24</v>
      </c>
      <c r="W1159" s="1" t="s">
        <v>24</v>
      </c>
      <c r="X1159" s="1">
        <v>2708</v>
      </c>
      <c r="Y1159" s="1">
        <v>2730</v>
      </c>
      <c r="Z1159" s="1" t="s">
        <v>24</v>
      </c>
      <c r="AA1159" s="1" t="s">
        <v>24</v>
      </c>
      <c r="AB1159" s="1" t="s">
        <v>24</v>
      </c>
      <c r="AC1159" s="1" t="s">
        <v>24</v>
      </c>
      <c r="AD1159" s="1" t="s">
        <v>24</v>
      </c>
      <c r="AE1159" s="1" t="s">
        <v>24</v>
      </c>
      <c r="AF1159" s="22"/>
    </row>
    <row r="1160" spans="1:32" x14ac:dyDescent="0.2">
      <c r="A1160" s="1">
        <v>6838</v>
      </c>
      <c r="B1160" s="1" t="s">
        <v>3817</v>
      </c>
      <c r="C1160" s="5" t="s">
        <v>0</v>
      </c>
      <c r="D1160" s="1" t="s">
        <v>3818</v>
      </c>
      <c r="F1160" s="1" t="s">
        <v>3819</v>
      </c>
      <c r="G1160" s="1" t="s">
        <v>3819</v>
      </c>
      <c r="H1160" s="1" t="s">
        <v>461</v>
      </c>
      <c r="I1160" s="1" t="s">
        <v>16</v>
      </c>
      <c r="J1160" s="1">
        <v>1</v>
      </c>
      <c r="K1160" s="1">
        <v>1</v>
      </c>
      <c r="L1160" s="1" t="s">
        <v>42</v>
      </c>
      <c r="M1160" s="1" t="s">
        <v>1097</v>
      </c>
      <c r="N1160" s="1" t="s">
        <v>18</v>
      </c>
      <c r="O1160" s="1">
        <v>2</v>
      </c>
      <c r="P1160" s="1">
        <v>5</v>
      </c>
      <c r="R1160" s="1" t="s">
        <v>19</v>
      </c>
      <c r="S1160" s="1" t="s">
        <v>20</v>
      </c>
      <c r="T1160" s="1" t="s">
        <v>21</v>
      </c>
      <c r="U1160" s="1" t="s">
        <v>22</v>
      </c>
      <c r="V1160" s="1" t="s">
        <v>24</v>
      </c>
      <c r="W1160" s="1" t="s">
        <v>24</v>
      </c>
      <c r="X1160" s="1">
        <v>3004</v>
      </c>
      <c r="Y1160" s="1" t="s">
        <v>24</v>
      </c>
      <c r="Z1160" s="1" t="s">
        <v>24</v>
      </c>
      <c r="AA1160" s="1" t="s">
        <v>24</v>
      </c>
      <c r="AB1160" s="1" t="s">
        <v>24</v>
      </c>
      <c r="AC1160" s="1" t="s">
        <v>24</v>
      </c>
      <c r="AD1160" s="1" t="s">
        <v>24</v>
      </c>
      <c r="AE1160" s="1" t="s">
        <v>24</v>
      </c>
      <c r="AF1160" s="22"/>
    </row>
    <row r="1161" spans="1:32" x14ac:dyDescent="0.2">
      <c r="A1161" s="1">
        <v>6841</v>
      </c>
      <c r="B1161" s="1" t="s">
        <v>3820</v>
      </c>
      <c r="C1161" s="5" t="s">
        <v>0</v>
      </c>
      <c r="D1161" s="1" t="s">
        <v>3821</v>
      </c>
      <c r="E1161" s="1" t="s">
        <v>3822</v>
      </c>
      <c r="F1161" s="1" t="s">
        <v>167</v>
      </c>
      <c r="G1161" s="1" t="s">
        <v>130</v>
      </c>
      <c r="H1161" s="1" t="s">
        <v>168</v>
      </c>
      <c r="I1161" s="1" t="s">
        <v>16</v>
      </c>
      <c r="J1161" s="1">
        <v>1</v>
      </c>
      <c r="K1161" s="1">
        <v>12</v>
      </c>
      <c r="L1161" s="1" t="s">
        <v>31</v>
      </c>
      <c r="M1161" s="1" t="s">
        <v>18</v>
      </c>
      <c r="N1161" s="1" t="s">
        <v>18</v>
      </c>
      <c r="O1161" s="1">
        <v>3</v>
      </c>
      <c r="P1161" s="1">
        <v>7</v>
      </c>
      <c r="Q1161" s="7" t="s">
        <v>17633</v>
      </c>
      <c r="R1161" s="1" t="s">
        <v>19</v>
      </c>
      <c r="S1161" s="1" t="s">
        <v>20</v>
      </c>
      <c r="T1161" s="1" t="s">
        <v>21</v>
      </c>
      <c r="U1161" s="1" t="s">
        <v>22</v>
      </c>
      <c r="V1161" s="1" t="s">
        <v>23</v>
      </c>
      <c r="W1161" s="1" t="s">
        <v>24</v>
      </c>
      <c r="X1161" s="1">
        <v>2741</v>
      </c>
      <c r="Y1161" s="1" t="s">
        <v>24</v>
      </c>
      <c r="Z1161" s="1" t="s">
        <v>24</v>
      </c>
      <c r="AA1161" s="1" t="s">
        <v>24</v>
      </c>
      <c r="AB1161" s="1" t="s">
        <v>24</v>
      </c>
      <c r="AC1161" s="1" t="s">
        <v>24</v>
      </c>
      <c r="AD1161" s="1" t="s">
        <v>24</v>
      </c>
      <c r="AE1161" s="1" t="s">
        <v>24</v>
      </c>
      <c r="AF1161" s="22"/>
    </row>
    <row r="1162" spans="1:32" x14ac:dyDescent="0.2">
      <c r="A1162" s="1">
        <v>6845</v>
      </c>
      <c r="B1162" s="1" t="s">
        <v>3823</v>
      </c>
      <c r="C1162" s="5" t="s">
        <v>0</v>
      </c>
      <c r="D1162" s="1" t="s">
        <v>3824</v>
      </c>
      <c r="E1162" s="1" t="s">
        <v>3825</v>
      </c>
      <c r="F1162" s="1" t="s">
        <v>371</v>
      </c>
      <c r="G1162" s="1" t="s">
        <v>372</v>
      </c>
      <c r="H1162" s="1" t="s">
        <v>30</v>
      </c>
      <c r="I1162" s="1" t="s">
        <v>16</v>
      </c>
      <c r="J1162" s="1">
        <v>1</v>
      </c>
      <c r="K1162" s="1">
        <v>4</v>
      </c>
      <c r="L1162" s="1" t="s">
        <v>31</v>
      </c>
      <c r="M1162" s="1" t="s">
        <v>18</v>
      </c>
      <c r="N1162" s="1" t="s">
        <v>18</v>
      </c>
      <c r="O1162" s="1">
        <v>2</v>
      </c>
      <c r="P1162" s="1">
        <v>7</v>
      </c>
      <c r="Q1162" s="7" t="s">
        <v>17633</v>
      </c>
      <c r="R1162" s="1" t="s">
        <v>62</v>
      </c>
      <c r="S1162" s="1" t="s">
        <v>63</v>
      </c>
      <c r="T1162" s="1" t="s">
        <v>21</v>
      </c>
      <c r="U1162" s="1" t="s">
        <v>22</v>
      </c>
      <c r="V1162" s="1" t="s">
        <v>24</v>
      </c>
      <c r="W1162" s="1" t="s">
        <v>24</v>
      </c>
      <c r="X1162" s="1">
        <v>2721</v>
      </c>
      <c r="Y1162" s="1" t="s">
        <v>24</v>
      </c>
      <c r="Z1162" s="1" t="s">
        <v>24</v>
      </c>
      <c r="AA1162" s="1" t="s">
        <v>24</v>
      </c>
      <c r="AB1162" s="1" t="s">
        <v>24</v>
      </c>
      <c r="AC1162" s="1" t="s">
        <v>24</v>
      </c>
      <c r="AD1162" s="1" t="s">
        <v>24</v>
      </c>
      <c r="AE1162" s="1" t="s">
        <v>24</v>
      </c>
      <c r="AF1162" s="22"/>
    </row>
    <row r="1163" spans="1:32" x14ac:dyDescent="0.2">
      <c r="A1163" s="1">
        <v>6846</v>
      </c>
      <c r="B1163" s="1" t="s">
        <v>3826</v>
      </c>
      <c r="C1163" s="5" t="s">
        <v>0</v>
      </c>
      <c r="D1163" s="1" t="s">
        <v>3827</v>
      </c>
      <c r="E1163" s="1" t="s">
        <v>3828</v>
      </c>
      <c r="F1163" s="1" t="s">
        <v>3829</v>
      </c>
      <c r="G1163" s="1" t="s">
        <v>3829</v>
      </c>
      <c r="H1163" s="1" t="s">
        <v>30</v>
      </c>
      <c r="I1163" s="1" t="s">
        <v>16</v>
      </c>
      <c r="J1163" s="1">
        <v>1</v>
      </c>
      <c r="K1163" s="1">
        <v>12</v>
      </c>
      <c r="L1163" s="1" t="s">
        <v>42</v>
      </c>
      <c r="M1163" s="1" t="s">
        <v>18</v>
      </c>
      <c r="N1163" s="1" t="s">
        <v>18</v>
      </c>
      <c r="O1163" s="1">
        <v>3</v>
      </c>
      <c r="P1163" s="1">
        <v>7</v>
      </c>
      <c r="Q1163" s="7" t="s">
        <v>17633</v>
      </c>
      <c r="R1163" s="1" t="s">
        <v>62</v>
      </c>
      <c r="S1163" s="1" t="s">
        <v>20</v>
      </c>
      <c r="T1163" s="1" t="s">
        <v>21</v>
      </c>
      <c r="U1163" s="1" t="s">
        <v>22</v>
      </c>
      <c r="V1163" s="1" t="s">
        <v>24</v>
      </c>
      <c r="W1163" s="1" t="s">
        <v>24</v>
      </c>
      <c r="X1163" s="1">
        <v>2737</v>
      </c>
      <c r="Y1163" s="1">
        <v>2728</v>
      </c>
      <c r="Z1163" s="1" t="s">
        <v>24</v>
      </c>
      <c r="AA1163" s="1" t="s">
        <v>24</v>
      </c>
      <c r="AB1163" s="1" t="s">
        <v>24</v>
      </c>
      <c r="AC1163" s="1" t="s">
        <v>24</v>
      </c>
      <c r="AD1163" s="1" t="s">
        <v>24</v>
      </c>
      <c r="AE1163" s="1" t="s">
        <v>24</v>
      </c>
      <c r="AF1163" s="22"/>
    </row>
    <row r="1164" spans="1:32" x14ac:dyDescent="0.2">
      <c r="A1164" s="1">
        <v>6853</v>
      </c>
      <c r="B1164" s="1" t="s">
        <v>3830</v>
      </c>
      <c r="C1164" s="5" t="s">
        <v>0</v>
      </c>
      <c r="D1164" s="1" t="s">
        <v>3831</v>
      </c>
      <c r="F1164" s="1" t="s">
        <v>97</v>
      </c>
      <c r="G1164" s="1" t="s">
        <v>98</v>
      </c>
      <c r="H1164" s="1" t="s">
        <v>37</v>
      </c>
      <c r="I1164" s="1" t="s">
        <v>16</v>
      </c>
      <c r="J1164" s="1">
        <v>1</v>
      </c>
      <c r="K1164" s="1">
        <v>4</v>
      </c>
      <c r="L1164" s="1" t="s">
        <v>31</v>
      </c>
      <c r="M1164" s="1" t="s">
        <v>18</v>
      </c>
      <c r="N1164" s="1" t="s">
        <v>18</v>
      </c>
      <c r="O1164" s="1">
        <v>3</v>
      </c>
      <c r="P1164" s="1">
        <v>6</v>
      </c>
      <c r="R1164" s="1" t="s">
        <v>19</v>
      </c>
      <c r="S1164" s="1" t="s">
        <v>20</v>
      </c>
      <c r="T1164" s="1" t="s">
        <v>21</v>
      </c>
      <c r="U1164" s="1" t="s">
        <v>22</v>
      </c>
      <c r="V1164" s="1" t="s">
        <v>24</v>
      </c>
      <c r="W1164" s="1" t="s">
        <v>24</v>
      </c>
      <c r="X1164" s="1">
        <v>2700</v>
      </c>
      <c r="Y1164" s="1" t="s">
        <v>24</v>
      </c>
      <c r="Z1164" s="1" t="s">
        <v>24</v>
      </c>
      <c r="AA1164" s="1" t="s">
        <v>24</v>
      </c>
      <c r="AB1164" s="1" t="s">
        <v>24</v>
      </c>
      <c r="AC1164" s="1" t="s">
        <v>24</v>
      </c>
      <c r="AD1164" s="1" t="s">
        <v>24</v>
      </c>
      <c r="AE1164" s="1" t="s">
        <v>24</v>
      </c>
      <c r="AF1164" s="22" t="s">
        <v>17679</v>
      </c>
    </row>
    <row r="1165" spans="1:32" x14ac:dyDescent="0.2">
      <c r="A1165" s="1">
        <v>6854</v>
      </c>
      <c r="B1165" s="1" t="s">
        <v>3832</v>
      </c>
      <c r="C1165" s="5" t="s">
        <v>0</v>
      </c>
      <c r="D1165" s="1" t="s">
        <v>3833</v>
      </c>
      <c r="E1165" s="1" t="s">
        <v>3834</v>
      </c>
      <c r="F1165" s="1" t="s">
        <v>751</v>
      </c>
      <c r="G1165" s="1" t="s">
        <v>36</v>
      </c>
      <c r="H1165" s="1" t="s">
        <v>37</v>
      </c>
      <c r="I1165" s="1" t="s">
        <v>16</v>
      </c>
      <c r="J1165" s="1">
        <v>1</v>
      </c>
      <c r="K1165" s="1">
        <v>24</v>
      </c>
      <c r="L1165" s="1" t="s">
        <v>31</v>
      </c>
      <c r="M1165" s="1" t="s">
        <v>18</v>
      </c>
      <c r="N1165" s="1" t="s">
        <v>18</v>
      </c>
      <c r="O1165" s="1">
        <v>3</v>
      </c>
      <c r="P1165" s="1">
        <v>6</v>
      </c>
      <c r="R1165" s="1" t="s">
        <v>19</v>
      </c>
      <c r="S1165" s="1" t="s">
        <v>20</v>
      </c>
      <c r="T1165" s="1" t="s">
        <v>21</v>
      </c>
      <c r="U1165" s="1" t="s">
        <v>22</v>
      </c>
      <c r="V1165" s="1" t="s">
        <v>23</v>
      </c>
      <c r="W1165" s="1" t="s">
        <v>24</v>
      </c>
      <c r="X1165" s="1">
        <v>2713</v>
      </c>
      <c r="Y1165" s="1">
        <v>2613</v>
      </c>
      <c r="Z1165" s="1" t="s">
        <v>24</v>
      </c>
      <c r="AA1165" s="1" t="s">
        <v>24</v>
      </c>
      <c r="AB1165" s="1" t="s">
        <v>24</v>
      </c>
      <c r="AC1165" s="1" t="s">
        <v>24</v>
      </c>
      <c r="AD1165" s="1" t="s">
        <v>24</v>
      </c>
      <c r="AE1165" s="1" t="s">
        <v>24</v>
      </c>
      <c r="AF1165" s="22"/>
    </row>
    <row r="1166" spans="1:32" x14ac:dyDescent="0.2">
      <c r="A1166" s="1">
        <v>6861</v>
      </c>
      <c r="B1166" s="1" t="s">
        <v>3835</v>
      </c>
      <c r="C1166" s="5" t="s">
        <v>0</v>
      </c>
      <c r="D1166" s="1" t="s">
        <v>3836</v>
      </c>
      <c r="E1166" s="1" t="s">
        <v>3837</v>
      </c>
      <c r="F1166" s="1" t="s">
        <v>28</v>
      </c>
      <c r="G1166" s="1" t="s">
        <v>29</v>
      </c>
      <c r="H1166" s="1" t="s">
        <v>30</v>
      </c>
      <c r="I1166" s="1" t="s">
        <v>16</v>
      </c>
      <c r="J1166" s="1">
        <v>1</v>
      </c>
      <c r="K1166" s="1">
        <v>12</v>
      </c>
      <c r="L1166" s="1" t="s">
        <v>31</v>
      </c>
      <c r="M1166" s="1" t="s">
        <v>18</v>
      </c>
      <c r="N1166" s="1" t="s">
        <v>18</v>
      </c>
      <c r="O1166" s="1">
        <v>2</v>
      </c>
      <c r="P1166" s="1">
        <v>6</v>
      </c>
      <c r="R1166" s="1" t="s">
        <v>19</v>
      </c>
      <c r="S1166" s="1" t="s">
        <v>20</v>
      </c>
      <c r="T1166" s="1" t="s">
        <v>21</v>
      </c>
      <c r="U1166" s="1" t="s">
        <v>22</v>
      </c>
      <c r="V1166" s="1" t="s">
        <v>24</v>
      </c>
      <c r="W1166" s="1" t="s">
        <v>24</v>
      </c>
      <c r="X1166" s="1">
        <v>2700</v>
      </c>
      <c r="Y1166" s="1" t="s">
        <v>24</v>
      </c>
      <c r="Z1166" s="1" t="s">
        <v>24</v>
      </c>
      <c r="AA1166" s="1" t="s">
        <v>24</v>
      </c>
      <c r="AB1166" s="1" t="s">
        <v>24</v>
      </c>
      <c r="AC1166" s="1" t="s">
        <v>24</v>
      </c>
      <c r="AD1166" s="1" t="s">
        <v>24</v>
      </c>
      <c r="AE1166" s="1" t="s">
        <v>24</v>
      </c>
      <c r="AF1166" s="22"/>
    </row>
    <row r="1167" spans="1:32" x14ac:dyDescent="0.2">
      <c r="A1167" s="1">
        <v>6864</v>
      </c>
      <c r="B1167" s="1" t="s">
        <v>3838</v>
      </c>
      <c r="C1167" s="5" t="s">
        <v>0</v>
      </c>
      <c r="D1167" s="1" t="s">
        <v>3839</v>
      </c>
      <c r="E1167" s="1" t="s">
        <v>3840</v>
      </c>
      <c r="F1167" s="1" t="s">
        <v>303</v>
      </c>
      <c r="G1167" s="1" t="s">
        <v>61</v>
      </c>
      <c r="H1167" s="1" t="s">
        <v>30</v>
      </c>
      <c r="I1167" s="1" t="s">
        <v>16</v>
      </c>
      <c r="J1167" s="1">
        <v>1</v>
      </c>
      <c r="K1167" s="1">
        <v>6</v>
      </c>
      <c r="L1167" s="1" t="s">
        <v>31</v>
      </c>
      <c r="M1167" s="1" t="s">
        <v>18</v>
      </c>
      <c r="N1167" s="1" t="s">
        <v>18</v>
      </c>
      <c r="O1167" s="1">
        <v>3</v>
      </c>
      <c r="P1167" s="1">
        <v>6</v>
      </c>
      <c r="R1167" s="1" t="s">
        <v>62</v>
      </c>
      <c r="S1167" s="1" t="s">
        <v>20</v>
      </c>
      <c r="T1167" s="1" t="s">
        <v>21</v>
      </c>
      <c r="U1167" s="1" t="s">
        <v>22</v>
      </c>
      <c r="V1167" s="1" t="s">
        <v>23</v>
      </c>
      <c r="W1167" s="1" t="s">
        <v>24</v>
      </c>
      <c r="X1167" s="1">
        <v>2741</v>
      </c>
      <c r="Y1167" s="1" t="s">
        <v>24</v>
      </c>
      <c r="Z1167" s="1" t="s">
        <v>24</v>
      </c>
      <c r="AA1167" s="1" t="s">
        <v>24</v>
      </c>
      <c r="AB1167" s="1" t="s">
        <v>24</v>
      </c>
      <c r="AC1167" s="1" t="s">
        <v>24</v>
      </c>
      <c r="AD1167" s="1" t="s">
        <v>24</v>
      </c>
      <c r="AE1167" s="1" t="s">
        <v>24</v>
      </c>
      <c r="AF1167" s="22"/>
    </row>
    <row r="1168" spans="1:32" x14ac:dyDescent="0.2">
      <c r="A1168" s="1">
        <v>6896</v>
      </c>
      <c r="B1168" s="1" t="s">
        <v>3841</v>
      </c>
      <c r="C1168" s="5" t="s">
        <v>0</v>
      </c>
      <c r="D1168" s="1" t="s">
        <v>3842</v>
      </c>
      <c r="F1168" s="1" t="s">
        <v>303</v>
      </c>
      <c r="G1168" s="1" t="s">
        <v>61</v>
      </c>
      <c r="H1168" s="1" t="s">
        <v>30</v>
      </c>
      <c r="I1168" s="1" t="s">
        <v>16</v>
      </c>
      <c r="J1168" s="1">
        <v>1</v>
      </c>
      <c r="K1168" s="1">
        <v>6</v>
      </c>
      <c r="L1168" s="1" t="s">
        <v>31</v>
      </c>
      <c r="M1168" s="1" t="s">
        <v>18</v>
      </c>
      <c r="N1168" s="1" t="s">
        <v>18</v>
      </c>
      <c r="O1168" s="1">
        <v>2</v>
      </c>
      <c r="P1168" s="1">
        <v>8</v>
      </c>
      <c r="Q1168" s="7" t="s">
        <v>17633</v>
      </c>
      <c r="R1168" s="1" t="s">
        <v>62</v>
      </c>
      <c r="S1168" s="1" t="s">
        <v>20</v>
      </c>
      <c r="T1168" s="1" t="s">
        <v>21</v>
      </c>
      <c r="U1168" s="1" t="s">
        <v>22</v>
      </c>
      <c r="V1168" s="1" t="s">
        <v>23</v>
      </c>
      <c r="W1168" s="1" t="s">
        <v>24</v>
      </c>
      <c r="X1168" s="1">
        <v>2730</v>
      </c>
      <c r="Y1168" s="1">
        <v>2720</v>
      </c>
      <c r="Z1168" s="1" t="s">
        <v>24</v>
      </c>
      <c r="AA1168" s="1" t="s">
        <v>24</v>
      </c>
      <c r="AB1168" s="1" t="s">
        <v>24</v>
      </c>
      <c r="AC1168" s="1" t="s">
        <v>24</v>
      </c>
      <c r="AD1168" s="1" t="s">
        <v>24</v>
      </c>
      <c r="AE1168" s="1" t="s">
        <v>24</v>
      </c>
      <c r="AF1168" s="22" t="s">
        <v>17679</v>
      </c>
    </row>
    <row r="1169" spans="1:32" x14ac:dyDescent="0.2">
      <c r="A1169" s="1">
        <v>6925</v>
      </c>
      <c r="B1169" s="1" t="s">
        <v>3843</v>
      </c>
      <c r="C1169" s="5" t="s">
        <v>0</v>
      </c>
      <c r="D1169" s="1" t="s">
        <v>3844</v>
      </c>
      <c r="E1169" s="1" t="s">
        <v>3845</v>
      </c>
      <c r="F1169" s="1" t="s">
        <v>28</v>
      </c>
      <c r="G1169" s="1" t="s">
        <v>29</v>
      </c>
      <c r="H1169" s="1" t="s">
        <v>30</v>
      </c>
      <c r="I1169" s="1" t="s">
        <v>16</v>
      </c>
      <c r="J1169" s="1">
        <v>1</v>
      </c>
      <c r="K1169" s="1">
        <v>26</v>
      </c>
      <c r="L1169" s="1" t="s">
        <v>31</v>
      </c>
      <c r="M1169" s="1" t="s">
        <v>18</v>
      </c>
      <c r="N1169" s="1" t="s">
        <v>18</v>
      </c>
      <c r="O1169" s="1">
        <v>3</v>
      </c>
      <c r="P1169" s="1">
        <v>7</v>
      </c>
      <c r="Q1169" s="7" t="s">
        <v>17633</v>
      </c>
      <c r="R1169" s="1" t="s">
        <v>19</v>
      </c>
      <c r="S1169" s="1" t="s">
        <v>20</v>
      </c>
      <c r="T1169" s="1" t="s">
        <v>21</v>
      </c>
      <c r="U1169" s="1" t="s">
        <v>22</v>
      </c>
      <c r="V1169" s="1" t="s">
        <v>23</v>
      </c>
      <c r="W1169" s="1" t="s">
        <v>24</v>
      </c>
      <c r="X1169" s="1">
        <v>2728</v>
      </c>
      <c r="Y1169" s="1">
        <v>2732</v>
      </c>
      <c r="Z1169" s="1" t="s">
        <v>24</v>
      </c>
      <c r="AA1169" s="1" t="s">
        <v>24</v>
      </c>
      <c r="AB1169" s="1" t="s">
        <v>24</v>
      </c>
      <c r="AC1169" s="1" t="s">
        <v>24</v>
      </c>
      <c r="AD1169" s="1" t="s">
        <v>24</v>
      </c>
      <c r="AE1169" s="1" t="s">
        <v>24</v>
      </c>
      <c r="AF1169" s="22"/>
    </row>
    <row r="1170" spans="1:32" x14ac:dyDescent="0.2">
      <c r="A1170" s="1">
        <v>6943</v>
      </c>
      <c r="B1170" s="1" t="s">
        <v>3846</v>
      </c>
      <c r="C1170" s="5" t="s">
        <v>0</v>
      </c>
      <c r="D1170" s="1" t="s">
        <v>3847</v>
      </c>
      <c r="E1170" s="1" t="s">
        <v>3848</v>
      </c>
      <c r="F1170" s="1" t="s">
        <v>198</v>
      </c>
      <c r="G1170" s="1" t="s">
        <v>130</v>
      </c>
      <c r="H1170" s="1" t="s">
        <v>86</v>
      </c>
      <c r="I1170" s="1" t="s">
        <v>16</v>
      </c>
      <c r="J1170" s="1">
        <v>1</v>
      </c>
      <c r="K1170" s="1">
        <v>6</v>
      </c>
      <c r="L1170" s="1" t="s">
        <v>31</v>
      </c>
      <c r="M1170" s="1" t="s">
        <v>18</v>
      </c>
      <c r="N1170" s="1" t="s">
        <v>105</v>
      </c>
      <c r="O1170" s="1">
        <v>3</v>
      </c>
      <c r="P1170" s="1">
        <v>7</v>
      </c>
      <c r="Q1170" s="7" t="s">
        <v>17633</v>
      </c>
      <c r="R1170" s="1" t="s">
        <v>19</v>
      </c>
      <c r="S1170" s="1" t="s">
        <v>20</v>
      </c>
      <c r="T1170" s="1" t="s">
        <v>21</v>
      </c>
      <c r="U1170" s="1" t="s">
        <v>22</v>
      </c>
      <c r="V1170" s="1" t="s">
        <v>24</v>
      </c>
      <c r="W1170" s="1" t="s">
        <v>24</v>
      </c>
      <c r="X1170" s="1">
        <v>2702</v>
      </c>
      <c r="Y1170" s="1">
        <v>2741</v>
      </c>
      <c r="Z1170" s="1">
        <v>2734</v>
      </c>
      <c r="AA1170" s="1">
        <v>2746</v>
      </c>
      <c r="AB1170" s="1" t="s">
        <v>24</v>
      </c>
      <c r="AC1170" s="1" t="s">
        <v>24</v>
      </c>
      <c r="AD1170" s="1" t="s">
        <v>24</v>
      </c>
      <c r="AE1170" s="1" t="s">
        <v>24</v>
      </c>
      <c r="AF1170" s="22"/>
    </row>
    <row r="1171" spans="1:32" x14ac:dyDescent="0.2">
      <c r="A1171" s="1">
        <v>6967</v>
      </c>
      <c r="B1171" s="1" t="s">
        <v>3849</v>
      </c>
      <c r="C1171" s="5" t="s">
        <v>0</v>
      </c>
      <c r="D1171" s="1" t="s">
        <v>3850</v>
      </c>
      <c r="E1171" s="1" t="s">
        <v>3851</v>
      </c>
      <c r="F1171" s="1" t="s">
        <v>155</v>
      </c>
      <c r="G1171" s="1" t="s">
        <v>61</v>
      </c>
      <c r="H1171" s="1" t="s">
        <v>37</v>
      </c>
      <c r="I1171" s="1" t="s">
        <v>16</v>
      </c>
      <c r="J1171" s="1">
        <v>2</v>
      </c>
      <c r="K1171" s="1">
        <v>12</v>
      </c>
      <c r="L1171" s="1" t="s">
        <v>31</v>
      </c>
      <c r="M1171" s="1" t="s">
        <v>18</v>
      </c>
      <c r="N1171" s="1" t="s">
        <v>18</v>
      </c>
      <c r="O1171" s="1">
        <v>3</v>
      </c>
      <c r="P1171" s="1">
        <v>6</v>
      </c>
      <c r="R1171" s="1" t="s">
        <v>19</v>
      </c>
      <c r="S1171" s="1" t="s">
        <v>63</v>
      </c>
      <c r="T1171" s="1" t="s">
        <v>21</v>
      </c>
      <c r="U1171" s="1" t="s">
        <v>22</v>
      </c>
      <c r="V1171" s="1" t="s">
        <v>23</v>
      </c>
      <c r="W1171" s="1" t="s">
        <v>24</v>
      </c>
      <c r="X1171" s="1">
        <v>3306</v>
      </c>
      <c r="Y1171" s="1">
        <v>1207</v>
      </c>
      <c r="Z1171" s="1" t="s">
        <v>24</v>
      </c>
      <c r="AA1171" s="1" t="s">
        <v>24</v>
      </c>
      <c r="AB1171" s="1" t="s">
        <v>24</v>
      </c>
      <c r="AC1171" s="1" t="s">
        <v>24</v>
      </c>
      <c r="AD1171" s="1" t="s">
        <v>24</v>
      </c>
      <c r="AE1171" s="1" t="s">
        <v>24</v>
      </c>
      <c r="AF1171" s="22"/>
    </row>
    <row r="1172" spans="1:32" x14ac:dyDescent="0.2">
      <c r="A1172" s="1">
        <v>6997</v>
      </c>
      <c r="B1172" s="1" t="s">
        <v>3852</v>
      </c>
      <c r="C1172" s="5" t="s">
        <v>0</v>
      </c>
      <c r="D1172" s="1" t="s">
        <v>3853</v>
      </c>
      <c r="E1172" s="1" t="s">
        <v>3854</v>
      </c>
      <c r="F1172" s="1" t="s">
        <v>272</v>
      </c>
      <c r="G1172" s="1" t="s">
        <v>61</v>
      </c>
      <c r="H1172" s="1" t="s">
        <v>30</v>
      </c>
      <c r="I1172" s="1" t="s">
        <v>16</v>
      </c>
      <c r="J1172" s="1">
        <v>1</v>
      </c>
      <c r="K1172" s="1">
        <v>14</v>
      </c>
      <c r="L1172" s="1" t="s">
        <v>31</v>
      </c>
      <c r="M1172" s="1" t="s">
        <v>18</v>
      </c>
      <c r="N1172" s="1" t="s">
        <v>18</v>
      </c>
      <c r="O1172" s="1">
        <v>2</v>
      </c>
      <c r="P1172" s="1">
        <v>6</v>
      </c>
      <c r="R1172" s="1" t="s">
        <v>19</v>
      </c>
      <c r="S1172" s="1" t="s">
        <v>63</v>
      </c>
      <c r="T1172" s="1" t="s">
        <v>21</v>
      </c>
      <c r="U1172" s="1" t="s">
        <v>22</v>
      </c>
      <c r="V1172" s="1" t="s">
        <v>24</v>
      </c>
      <c r="W1172" s="1" t="s">
        <v>64</v>
      </c>
      <c r="X1172" s="1">
        <v>1303</v>
      </c>
      <c r="Y1172" s="1">
        <v>1308</v>
      </c>
      <c r="Z1172" s="1">
        <v>1310</v>
      </c>
      <c r="AA1172" s="1">
        <v>1312</v>
      </c>
      <c r="AB1172" s="1">
        <v>1605</v>
      </c>
      <c r="AC1172" s="1">
        <v>3004</v>
      </c>
      <c r="AD1172" s="1" t="s">
        <v>24</v>
      </c>
      <c r="AE1172" s="1" t="s">
        <v>24</v>
      </c>
      <c r="AF1172" s="22"/>
    </row>
    <row r="1173" spans="1:32" x14ac:dyDescent="0.2">
      <c r="A1173" s="1">
        <v>6999</v>
      </c>
      <c r="B1173" s="1" t="s">
        <v>3855</v>
      </c>
      <c r="C1173" s="5" t="s">
        <v>0</v>
      </c>
      <c r="D1173" s="1" t="s">
        <v>3856</v>
      </c>
      <c r="E1173" s="1" t="s">
        <v>3857</v>
      </c>
      <c r="F1173" s="1" t="s">
        <v>91</v>
      </c>
      <c r="G1173" s="1" t="s">
        <v>61</v>
      </c>
      <c r="H1173" s="1" t="s">
        <v>92</v>
      </c>
      <c r="I1173" s="1" t="s">
        <v>16</v>
      </c>
      <c r="J1173" s="1">
        <v>18</v>
      </c>
      <c r="K1173" s="1">
        <v>3</v>
      </c>
      <c r="L1173" s="1" t="s">
        <v>31</v>
      </c>
      <c r="M1173" s="1" t="s">
        <v>18</v>
      </c>
      <c r="N1173" s="1" t="s">
        <v>18</v>
      </c>
      <c r="O1173" s="1">
        <v>3</v>
      </c>
      <c r="P1173" s="1">
        <v>7</v>
      </c>
      <c r="Q1173" s="7" t="s">
        <v>17633</v>
      </c>
      <c r="R1173" s="1" t="s">
        <v>19</v>
      </c>
      <c r="S1173" s="1" t="s">
        <v>63</v>
      </c>
      <c r="T1173" s="1" t="s">
        <v>21</v>
      </c>
      <c r="U1173" s="1" t="s">
        <v>22</v>
      </c>
      <c r="V1173" s="1" t="s">
        <v>24</v>
      </c>
      <c r="W1173" s="1" t="s">
        <v>24</v>
      </c>
      <c r="X1173" s="1">
        <v>2304</v>
      </c>
      <c r="Y1173" s="1">
        <v>2310</v>
      </c>
      <c r="Z1173" s="1">
        <v>2311</v>
      </c>
      <c r="AA1173" s="1">
        <v>2305</v>
      </c>
      <c r="AB1173" s="1" t="s">
        <v>24</v>
      </c>
      <c r="AC1173" s="1" t="s">
        <v>24</v>
      </c>
      <c r="AD1173" s="1" t="s">
        <v>24</v>
      </c>
      <c r="AE1173" s="1" t="s">
        <v>24</v>
      </c>
      <c r="AF1173" s="22"/>
    </row>
    <row r="1174" spans="1:32" x14ac:dyDescent="0.2">
      <c r="A1174" s="1">
        <v>7002</v>
      </c>
      <c r="B1174" s="1" t="s">
        <v>3858</v>
      </c>
      <c r="C1174" s="5" t="s">
        <v>0</v>
      </c>
      <c r="D1174" s="1" t="s">
        <v>3859</v>
      </c>
      <c r="E1174" s="1" t="s">
        <v>3860</v>
      </c>
      <c r="F1174" s="1" t="s">
        <v>371</v>
      </c>
      <c r="G1174" s="1" t="s">
        <v>372</v>
      </c>
      <c r="H1174" s="1" t="s">
        <v>30</v>
      </c>
      <c r="I1174" s="1" t="s">
        <v>16</v>
      </c>
      <c r="J1174" s="1">
        <v>1</v>
      </c>
      <c r="K1174" s="1">
        <v>8</v>
      </c>
      <c r="L1174" s="1" t="s">
        <v>31</v>
      </c>
      <c r="M1174" s="1" t="s">
        <v>18</v>
      </c>
      <c r="N1174" s="1" t="s">
        <v>18</v>
      </c>
      <c r="O1174" s="1">
        <v>2</v>
      </c>
      <c r="P1174" s="1">
        <v>7</v>
      </c>
      <c r="Q1174" s="7" t="s">
        <v>17633</v>
      </c>
      <c r="R1174" s="1" t="s">
        <v>19</v>
      </c>
      <c r="S1174" s="1" t="s">
        <v>63</v>
      </c>
      <c r="T1174" s="1" t="s">
        <v>21</v>
      </c>
      <c r="U1174" s="1" t="s">
        <v>22</v>
      </c>
      <c r="V1174" s="1" t="s">
        <v>24</v>
      </c>
      <c r="W1174" s="1" t="s">
        <v>24</v>
      </c>
      <c r="X1174" s="1">
        <v>2720</v>
      </c>
      <c r="Y1174" s="1">
        <v>2705</v>
      </c>
      <c r="Z1174" s="1" t="s">
        <v>24</v>
      </c>
      <c r="AA1174" s="1" t="s">
        <v>24</v>
      </c>
      <c r="AB1174" s="1" t="s">
        <v>24</v>
      </c>
      <c r="AC1174" s="1" t="s">
        <v>24</v>
      </c>
      <c r="AD1174" s="1" t="s">
        <v>24</v>
      </c>
      <c r="AE1174" s="1" t="s">
        <v>24</v>
      </c>
      <c r="AF1174" s="22"/>
    </row>
    <row r="1175" spans="1:32" x14ac:dyDescent="0.2">
      <c r="A1175" s="1">
        <v>7005</v>
      </c>
      <c r="B1175" s="1" t="s">
        <v>3861</v>
      </c>
      <c r="C1175" s="5" t="s">
        <v>0</v>
      </c>
      <c r="D1175" s="1" t="s">
        <v>3862</v>
      </c>
      <c r="E1175" s="1" t="s">
        <v>3863</v>
      </c>
      <c r="F1175" s="1" t="s">
        <v>2688</v>
      </c>
      <c r="G1175" s="1" t="s">
        <v>2688</v>
      </c>
      <c r="H1175" s="1" t="s">
        <v>30</v>
      </c>
      <c r="I1175" s="1" t="s">
        <v>16</v>
      </c>
      <c r="J1175" s="1">
        <v>1</v>
      </c>
      <c r="K1175" s="1">
        <v>6</v>
      </c>
      <c r="L1175" s="1" t="s">
        <v>42</v>
      </c>
      <c r="M1175" s="1" t="s">
        <v>18</v>
      </c>
      <c r="N1175" s="1" t="s">
        <v>18</v>
      </c>
      <c r="O1175" s="1">
        <v>3</v>
      </c>
      <c r="P1175" s="1">
        <v>7</v>
      </c>
      <c r="Q1175" s="7" t="s">
        <v>17633</v>
      </c>
      <c r="R1175" s="1" t="s">
        <v>19</v>
      </c>
      <c r="S1175" s="1" t="s">
        <v>20</v>
      </c>
      <c r="T1175" s="1" t="s">
        <v>21</v>
      </c>
      <c r="U1175" s="1" t="s">
        <v>22</v>
      </c>
      <c r="V1175" s="1" t="s">
        <v>23</v>
      </c>
      <c r="W1175" s="1" t="s">
        <v>24</v>
      </c>
      <c r="X1175" s="1">
        <v>2731</v>
      </c>
      <c r="Y1175" s="1">
        <v>2746</v>
      </c>
      <c r="Z1175" s="1" t="s">
        <v>24</v>
      </c>
      <c r="AA1175" s="1" t="s">
        <v>24</v>
      </c>
      <c r="AB1175" s="1" t="s">
        <v>24</v>
      </c>
      <c r="AC1175" s="1" t="s">
        <v>24</v>
      </c>
      <c r="AD1175" s="1" t="s">
        <v>24</v>
      </c>
      <c r="AE1175" s="1" t="s">
        <v>24</v>
      </c>
      <c r="AF1175" s="22"/>
    </row>
    <row r="1176" spans="1:32" x14ac:dyDescent="0.2">
      <c r="A1176" s="1">
        <v>7013</v>
      </c>
      <c r="B1176" s="1" t="s">
        <v>3864</v>
      </c>
      <c r="C1176" s="5" t="s">
        <v>0</v>
      </c>
      <c r="D1176" s="1" t="s">
        <v>3865</v>
      </c>
      <c r="E1176" s="1" t="s">
        <v>3866</v>
      </c>
      <c r="F1176" s="1" t="s">
        <v>28</v>
      </c>
      <c r="G1176" s="1" t="s">
        <v>29</v>
      </c>
      <c r="H1176" s="1" t="s">
        <v>30</v>
      </c>
      <c r="I1176" s="1" t="s">
        <v>16</v>
      </c>
      <c r="J1176" s="1">
        <v>1</v>
      </c>
      <c r="K1176" s="1">
        <v>12</v>
      </c>
      <c r="L1176" s="1" t="s">
        <v>31</v>
      </c>
      <c r="M1176" s="1" t="s">
        <v>18</v>
      </c>
      <c r="N1176" s="1" t="s">
        <v>18</v>
      </c>
      <c r="O1176" s="1">
        <v>3</v>
      </c>
      <c r="P1176" s="1">
        <v>6</v>
      </c>
      <c r="R1176" s="1" t="s">
        <v>62</v>
      </c>
      <c r="S1176" s="1" t="s">
        <v>20</v>
      </c>
      <c r="T1176" s="1" t="s">
        <v>21</v>
      </c>
      <c r="U1176" s="1" t="s">
        <v>22</v>
      </c>
      <c r="V1176" s="1" t="s">
        <v>23</v>
      </c>
      <c r="W1176" s="1" t="s">
        <v>24</v>
      </c>
      <c r="X1176" s="1">
        <v>2708</v>
      </c>
      <c r="Y1176" s="1">
        <v>2739</v>
      </c>
      <c r="Z1176" s="1">
        <v>2726</v>
      </c>
      <c r="AA1176" s="1">
        <v>2725</v>
      </c>
      <c r="AB1176" s="1" t="s">
        <v>24</v>
      </c>
      <c r="AC1176" s="1" t="s">
        <v>24</v>
      </c>
      <c r="AD1176" s="1" t="s">
        <v>24</v>
      </c>
      <c r="AE1176" s="1" t="s">
        <v>24</v>
      </c>
      <c r="AF1176" s="22"/>
    </row>
    <row r="1177" spans="1:32" x14ac:dyDescent="0.2">
      <c r="A1177" s="1">
        <v>7029</v>
      </c>
      <c r="B1177" s="1" t="s">
        <v>3867</v>
      </c>
      <c r="C1177" s="5" t="s">
        <v>0</v>
      </c>
      <c r="D1177" s="1" t="s">
        <v>3868</v>
      </c>
      <c r="E1177" s="1" t="s">
        <v>3869</v>
      </c>
      <c r="F1177" s="1" t="s">
        <v>303</v>
      </c>
      <c r="G1177" s="1" t="s">
        <v>61</v>
      </c>
      <c r="H1177" s="1" t="s">
        <v>30</v>
      </c>
      <c r="I1177" s="1" t="s">
        <v>16</v>
      </c>
      <c r="J1177" s="1">
        <v>1</v>
      </c>
      <c r="K1177" s="1">
        <v>6</v>
      </c>
      <c r="L1177" s="1" t="s">
        <v>31</v>
      </c>
      <c r="M1177" s="1" t="s">
        <v>18</v>
      </c>
      <c r="N1177" s="1" t="s">
        <v>18</v>
      </c>
      <c r="O1177" s="1">
        <v>3</v>
      </c>
      <c r="P1177" s="1">
        <v>8</v>
      </c>
      <c r="Q1177" s="7" t="s">
        <v>17633</v>
      </c>
      <c r="R1177" s="1" t="s">
        <v>19</v>
      </c>
      <c r="S1177" s="1" t="s">
        <v>20</v>
      </c>
      <c r="T1177" s="1" t="s">
        <v>21</v>
      </c>
      <c r="U1177" s="1" t="s">
        <v>22</v>
      </c>
      <c r="V1177" s="1" t="s">
        <v>23</v>
      </c>
      <c r="W1177" s="1" t="s">
        <v>24</v>
      </c>
      <c r="X1177" s="1">
        <v>2741</v>
      </c>
      <c r="Y1177" s="1" t="s">
        <v>24</v>
      </c>
      <c r="Z1177" s="1" t="s">
        <v>24</v>
      </c>
      <c r="AA1177" s="1" t="s">
        <v>24</v>
      </c>
      <c r="AB1177" s="1" t="s">
        <v>24</v>
      </c>
      <c r="AC1177" s="1" t="s">
        <v>24</v>
      </c>
      <c r="AD1177" s="1" t="s">
        <v>24</v>
      </c>
      <c r="AE1177" s="1" t="s">
        <v>24</v>
      </c>
      <c r="AF1177" s="22"/>
    </row>
    <row r="1178" spans="1:32" x14ac:dyDescent="0.2">
      <c r="A1178" s="1">
        <v>7037</v>
      </c>
      <c r="B1178" s="1" t="s">
        <v>3870</v>
      </c>
      <c r="C1178" s="5" t="s">
        <v>0</v>
      </c>
      <c r="D1178" s="1" t="s">
        <v>3871</v>
      </c>
      <c r="E1178" s="1" t="s">
        <v>3872</v>
      </c>
      <c r="F1178" s="1" t="s">
        <v>673</v>
      </c>
      <c r="G1178" s="1" t="s">
        <v>61</v>
      </c>
      <c r="H1178" s="1" t="s">
        <v>30</v>
      </c>
      <c r="I1178" s="1" t="s">
        <v>16</v>
      </c>
      <c r="J1178" s="1">
        <v>1</v>
      </c>
      <c r="K1178" s="1">
        <v>6</v>
      </c>
      <c r="L1178" s="1" t="s">
        <v>31</v>
      </c>
      <c r="M1178" s="1" t="s">
        <v>18</v>
      </c>
      <c r="N1178" s="1" t="s">
        <v>18</v>
      </c>
      <c r="O1178" s="1">
        <v>3</v>
      </c>
      <c r="P1178" s="1">
        <v>7</v>
      </c>
      <c r="Q1178" s="7" t="s">
        <v>17633</v>
      </c>
      <c r="R1178" s="1" t="s">
        <v>62</v>
      </c>
      <c r="S1178" s="1" t="s">
        <v>20</v>
      </c>
      <c r="T1178" s="1" t="s">
        <v>21</v>
      </c>
      <c r="U1178" s="1" t="s">
        <v>22</v>
      </c>
      <c r="V1178" s="1" t="s">
        <v>24</v>
      </c>
      <c r="W1178" s="1" t="s">
        <v>24</v>
      </c>
      <c r="X1178" s="1">
        <v>2731</v>
      </c>
      <c r="Y1178" s="1" t="s">
        <v>24</v>
      </c>
      <c r="Z1178" s="1" t="s">
        <v>24</v>
      </c>
      <c r="AA1178" s="1" t="s">
        <v>24</v>
      </c>
      <c r="AB1178" s="1" t="s">
        <v>24</v>
      </c>
      <c r="AC1178" s="1" t="s">
        <v>24</v>
      </c>
      <c r="AD1178" s="1" t="s">
        <v>24</v>
      </c>
      <c r="AE1178" s="1" t="s">
        <v>24</v>
      </c>
      <c r="AF1178" s="22"/>
    </row>
    <row r="1179" spans="1:32" x14ac:dyDescent="0.2">
      <c r="A1179" s="1">
        <v>7041</v>
      </c>
      <c r="B1179" s="1" t="s">
        <v>3873</v>
      </c>
      <c r="C1179" s="5" t="s">
        <v>0</v>
      </c>
      <c r="D1179" s="1" t="s">
        <v>3874</v>
      </c>
      <c r="E1179" s="1" t="s">
        <v>3875</v>
      </c>
      <c r="F1179" s="1" t="s">
        <v>194</v>
      </c>
      <c r="G1179" s="1" t="s">
        <v>61</v>
      </c>
      <c r="H1179" s="1" t="s">
        <v>30</v>
      </c>
      <c r="I1179" s="1" t="s">
        <v>16</v>
      </c>
      <c r="J1179" s="1">
        <v>2</v>
      </c>
      <c r="K1179" s="1">
        <v>6</v>
      </c>
      <c r="L1179" s="1" t="s">
        <v>31</v>
      </c>
      <c r="M1179" s="1" t="s">
        <v>18</v>
      </c>
      <c r="N1179" s="1" t="s">
        <v>18</v>
      </c>
      <c r="O1179" s="1">
        <v>3</v>
      </c>
      <c r="P1179" s="1">
        <v>8</v>
      </c>
      <c r="Q1179" s="7" t="s">
        <v>17633</v>
      </c>
      <c r="R1179" s="1" t="s">
        <v>19</v>
      </c>
      <c r="S1179" s="1" t="s">
        <v>20</v>
      </c>
      <c r="T1179" s="1" t="s">
        <v>21</v>
      </c>
      <c r="U1179" s="1" t="s">
        <v>22</v>
      </c>
      <c r="V1179" s="1" t="s">
        <v>24</v>
      </c>
      <c r="W1179" s="1" t="s">
        <v>24</v>
      </c>
      <c r="X1179" s="1">
        <v>2746</v>
      </c>
      <c r="Y1179" s="1" t="s">
        <v>24</v>
      </c>
      <c r="Z1179" s="1" t="s">
        <v>24</v>
      </c>
      <c r="AA1179" s="1" t="s">
        <v>24</v>
      </c>
      <c r="AB1179" s="1" t="s">
        <v>24</v>
      </c>
      <c r="AC1179" s="1" t="s">
        <v>24</v>
      </c>
      <c r="AD1179" s="1" t="s">
        <v>24</v>
      </c>
      <c r="AE1179" s="1" t="s">
        <v>24</v>
      </c>
      <c r="AF1179" s="22"/>
    </row>
    <row r="1180" spans="1:32" x14ac:dyDescent="0.2">
      <c r="A1180" s="1">
        <v>7060</v>
      </c>
      <c r="B1180" s="1" t="s">
        <v>3876</v>
      </c>
      <c r="C1180" s="5" t="s">
        <v>0</v>
      </c>
      <c r="D1180" s="1" t="s">
        <v>3877</v>
      </c>
      <c r="E1180" s="1" t="s">
        <v>3878</v>
      </c>
      <c r="F1180" s="1" t="s">
        <v>3879</v>
      </c>
      <c r="G1180" s="1" t="s">
        <v>3879</v>
      </c>
      <c r="H1180" s="1" t="s">
        <v>3880</v>
      </c>
      <c r="I1180" s="1" t="s">
        <v>16</v>
      </c>
      <c r="J1180" s="1">
        <v>1</v>
      </c>
      <c r="K1180" s="1">
        <v>6</v>
      </c>
      <c r="L1180" s="1" t="s">
        <v>42</v>
      </c>
      <c r="M1180" s="1" t="s">
        <v>18</v>
      </c>
      <c r="N1180" s="1" t="s">
        <v>18</v>
      </c>
      <c r="O1180" s="1">
        <v>3</v>
      </c>
      <c r="P1180" s="1">
        <v>7</v>
      </c>
      <c r="Q1180" s="7" t="s">
        <v>17633</v>
      </c>
      <c r="R1180" s="1" t="s">
        <v>19</v>
      </c>
      <c r="S1180" s="1" t="s">
        <v>20</v>
      </c>
      <c r="T1180" s="1" t="s">
        <v>21</v>
      </c>
      <c r="U1180" s="1" t="s">
        <v>22</v>
      </c>
      <c r="V1180" s="1" t="s">
        <v>24</v>
      </c>
      <c r="W1180" s="1" t="s">
        <v>24</v>
      </c>
      <c r="X1180" s="1">
        <v>2739</v>
      </c>
      <c r="Y1180" s="1" t="s">
        <v>24</v>
      </c>
      <c r="Z1180" s="1" t="s">
        <v>24</v>
      </c>
      <c r="AA1180" s="1" t="s">
        <v>24</v>
      </c>
      <c r="AB1180" s="1" t="s">
        <v>24</v>
      </c>
      <c r="AC1180" s="1" t="s">
        <v>24</v>
      </c>
      <c r="AD1180" s="1" t="s">
        <v>24</v>
      </c>
      <c r="AE1180" s="1" t="s">
        <v>24</v>
      </c>
      <c r="AF1180" s="22"/>
    </row>
    <row r="1181" spans="1:32" x14ac:dyDescent="0.2">
      <c r="A1181" s="1">
        <v>7072</v>
      </c>
      <c r="B1181" s="1" t="s">
        <v>3881</v>
      </c>
      <c r="C1181" s="5" t="s">
        <v>0</v>
      </c>
      <c r="D1181" s="1" t="s">
        <v>3882</v>
      </c>
      <c r="E1181" s="1" t="s">
        <v>3883</v>
      </c>
      <c r="F1181" s="1" t="s">
        <v>412</v>
      </c>
      <c r="G1181" s="1" t="s">
        <v>372</v>
      </c>
      <c r="H1181" s="1" t="s">
        <v>168</v>
      </c>
      <c r="I1181" s="1" t="s">
        <v>16</v>
      </c>
      <c r="J1181" s="1">
        <v>1</v>
      </c>
      <c r="K1181" s="1">
        <v>24</v>
      </c>
      <c r="L1181" s="1" t="s">
        <v>31</v>
      </c>
      <c r="M1181" s="1" t="s">
        <v>242</v>
      </c>
      <c r="N1181" s="1" t="s">
        <v>18</v>
      </c>
      <c r="O1181" s="1">
        <v>2</v>
      </c>
      <c r="P1181" s="1">
        <v>6</v>
      </c>
      <c r="R1181" s="1" t="s">
        <v>881</v>
      </c>
      <c r="S1181" s="1" t="s">
        <v>63</v>
      </c>
      <c r="T1181" s="1" t="s">
        <v>21</v>
      </c>
      <c r="U1181" s="1" t="s">
        <v>22</v>
      </c>
      <c r="V1181" s="1" t="s">
        <v>24</v>
      </c>
      <c r="W1181" s="1" t="s">
        <v>64</v>
      </c>
      <c r="X1181" s="1">
        <v>1605</v>
      </c>
      <c r="Y1181" s="1">
        <v>1503</v>
      </c>
      <c r="Z1181" s="1" t="s">
        <v>24</v>
      </c>
      <c r="AA1181" s="1" t="s">
        <v>24</v>
      </c>
      <c r="AB1181" s="1" t="s">
        <v>24</v>
      </c>
      <c r="AC1181" s="1" t="s">
        <v>24</v>
      </c>
      <c r="AD1181" s="1" t="s">
        <v>24</v>
      </c>
      <c r="AE1181" s="1" t="s">
        <v>24</v>
      </c>
      <c r="AF1181" s="22"/>
    </row>
    <row r="1182" spans="1:32" x14ac:dyDescent="0.2">
      <c r="A1182" s="1">
        <v>7074</v>
      </c>
      <c r="B1182" s="1" t="s">
        <v>3884</v>
      </c>
      <c r="C1182" s="5" t="s">
        <v>0</v>
      </c>
      <c r="D1182" s="1" t="s">
        <v>3885</v>
      </c>
      <c r="F1182" s="1" t="s">
        <v>3886</v>
      </c>
      <c r="G1182" s="1" t="s">
        <v>460</v>
      </c>
      <c r="H1182" s="1" t="s">
        <v>461</v>
      </c>
      <c r="I1182" s="1" t="s">
        <v>16</v>
      </c>
      <c r="J1182" s="1">
        <v>1</v>
      </c>
      <c r="K1182" s="1">
        <v>3</v>
      </c>
      <c r="L1182" s="1" t="s">
        <v>42</v>
      </c>
      <c r="M1182" s="1" t="s">
        <v>1735</v>
      </c>
      <c r="N1182" s="1" t="s">
        <v>18</v>
      </c>
      <c r="O1182" s="1">
        <v>2</v>
      </c>
      <c r="P1182" s="1">
        <v>5</v>
      </c>
      <c r="R1182" s="1" t="s">
        <v>19</v>
      </c>
      <c r="S1182" s="1" t="s">
        <v>20</v>
      </c>
      <c r="T1182" s="1" t="s">
        <v>21</v>
      </c>
      <c r="U1182" s="1" t="s">
        <v>22</v>
      </c>
      <c r="V1182" s="1" t="s">
        <v>24</v>
      </c>
      <c r="W1182" s="1" t="s">
        <v>24</v>
      </c>
      <c r="X1182" s="1">
        <v>2736</v>
      </c>
      <c r="Y1182" s="1">
        <v>3004</v>
      </c>
      <c r="Z1182" s="1">
        <v>3500</v>
      </c>
      <c r="AA1182" s="1" t="s">
        <v>24</v>
      </c>
      <c r="AB1182" s="1" t="s">
        <v>24</v>
      </c>
      <c r="AC1182" s="1" t="s">
        <v>24</v>
      </c>
      <c r="AD1182" s="1" t="s">
        <v>24</v>
      </c>
      <c r="AE1182" s="1" t="s">
        <v>24</v>
      </c>
      <c r="AF1182" s="22"/>
    </row>
    <row r="1183" spans="1:32" x14ac:dyDescent="0.2">
      <c r="A1183" s="1">
        <v>7103</v>
      </c>
      <c r="B1183" s="1" t="s">
        <v>3887</v>
      </c>
      <c r="C1183" s="5" t="s">
        <v>0</v>
      </c>
      <c r="E1183" s="1" t="s">
        <v>3888</v>
      </c>
      <c r="F1183" s="1" t="s">
        <v>3889</v>
      </c>
      <c r="G1183" s="1" t="s">
        <v>3889</v>
      </c>
      <c r="H1183" s="1" t="s">
        <v>30</v>
      </c>
      <c r="I1183" s="1" t="s">
        <v>16</v>
      </c>
      <c r="J1183" s="1">
        <v>1</v>
      </c>
      <c r="K1183" s="1">
        <v>1</v>
      </c>
      <c r="L1183" s="1" t="s">
        <v>42</v>
      </c>
      <c r="M1183" s="1" t="s">
        <v>18</v>
      </c>
      <c r="N1183" s="1" t="s">
        <v>18</v>
      </c>
      <c r="O1183" s="1">
        <v>3</v>
      </c>
      <c r="P1183" s="1">
        <v>7</v>
      </c>
      <c r="Q1183" s="7" t="s">
        <v>17633</v>
      </c>
      <c r="R1183" s="1" t="s">
        <v>19</v>
      </c>
      <c r="S1183" s="1" t="s">
        <v>63</v>
      </c>
      <c r="T1183" s="1" t="s">
        <v>21</v>
      </c>
      <c r="U1183" s="1" t="s">
        <v>22</v>
      </c>
      <c r="V1183" s="1" t="s">
        <v>24</v>
      </c>
      <c r="W1183" s="1" t="s">
        <v>24</v>
      </c>
      <c r="X1183" s="1">
        <v>2731</v>
      </c>
      <c r="Y1183" s="1" t="s">
        <v>24</v>
      </c>
      <c r="Z1183" s="1" t="s">
        <v>24</v>
      </c>
      <c r="AA1183" s="1" t="s">
        <v>24</v>
      </c>
      <c r="AB1183" s="1" t="s">
        <v>24</v>
      </c>
      <c r="AC1183" s="1" t="s">
        <v>24</v>
      </c>
      <c r="AD1183" s="1" t="s">
        <v>24</v>
      </c>
      <c r="AE1183" s="1" t="s">
        <v>24</v>
      </c>
      <c r="AF1183" s="22"/>
    </row>
    <row r="1184" spans="1:32" x14ac:dyDescent="0.2">
      <c r="A1184" s="1">
        <v>7110</v>
      </c>
      <c r="B1184" s="1" t="s">
        <v>3890</v>
      </c>
      <c r="C1184" s="5" t="s">
        <v>0</v>
      </c>
      <c r="D1184" s="1" t="s">
        <v>3891</v>
      </c>
      <c r="F1184" s="1" t="s">
        <v>155</v>
      </c>
      <c r="G1184" s="1" t="s">
        <v>61</v>
      </c>
      <c r="H1184" s="1" t="s">
        <v>37</v>
      </c>
      <c r="I1184" s="1" t="s">
        <v>16</v>
      </c>
      <c r="J1184" s="1">
        <v>1</v>
      </c>
      <c r="K1184" s="1">
        <v>12</v>
      </c>
      <c r="L1184" s="1" t="s">
        <v>31</v>
      </c>
      <c r="M1184" s="1" t="s">
        <v>18</v>
      </c>
      <c r="N1184" s="1" t="s">
        <v>18</v>
      </c>
      <c r="O1184" s="1">
        <v>3</v>
      </c>
      <c r="P1184" s="1">
        <v>7</v>
      </c>
      <c r="Q1184" s="7" t="s">
        <v>17633</v>
      </c>
      <c r="R1184" s="1" t="s">
        <v>62</v>
      </c>
      <c r="S1184" s="1" t="s">
        <v>20</v>
      </c>
      <c r="T1184" s="1" t="s">
        <v>21</v>
      </c>
      <c r="U1184" s="1" t="s">
        <v>22</v>
      </c>
      <c r="V1184" s="1" t="s">
        <v>24</v>
      </c>
      <c r="W1184" s="1" t="s">
        <v>24</v>
      </c>
      <c r="X1184" s="1">
        <v>1303</v>
      </c>
      <c r="Y1184" s="1">
        <v>1312</v>
      </c>
      <c r="Z1184" s="1" t="s">
        <v>24</v>
      </c>
      <c r="AA1184" s="1" t="s">
        <v>24</v>
      </c>
      <c r="AB1184" s="1" t="s">
        <v>24</v>
      </c>
      <c r="AC1184" s="1" t="s">
        <v>24</v>
      </c>
      <c r="AD1184" s="1" t="s">
        <v>24</v>
      </c>
      <c r="AE1184" s="1" t="s">
        <v>24</v>
      </c>
      <c r="AF1184" s="22"/>
    </row>
    <row r="1185" spans="1:32" x14ac:dyDescent="0.2">
      <c r="A1185" s="1">
        <v>7126</v>
      </c>
      <c r="B1185" s="1" t="s">
        <v>3892</v>
      </c>
      <c r="C1185" s="5" t="s">
        <v>0</v>
      </c>
      <c r="D1185" s="1" t="s">
        <v>3893</v>
      </c>
      <c r="E1185" s="1" t="s">
        <v>3894</v>
      </c>
      <c r="F1185" s="1" t="s">
        <v>28</v>
      </c>
      <c r="G1185" s="1" t="s">
        <v>29</v>
      </c>
      <c r="H1185" s="1" t="s">
        <v>30</v>
      </c>
      <c r="I1185" s="1" t="s">
        <v>16</v>
      </c>
      <c r="J1185" s="1">
        <v>1</v>
      </c>
      <c r="K1185" s="1">
        <v>6</v>
      </c>
      <c r="L1185" s="1" t="s">
        <v>31</v>
      </c>
      <c r="M1185" s="1" t="s">
        <v>18</v>
      </c>
      <c r="N1185" s="1" t="s">
        <v>18</v>
      </c>
      <c r="O1185" s="1">
        <v>3</v>
      </c>
      <c r="P1185" s="1">
        <v>7</v>
      </c>
      <c r="Q1185" s="7" t="s">
        <v>17633</v>
      </c>
      <c r="R1185" s="1" t="s">
        <v>62</v>
      </c>
      <c r="S1185" s="1" t="s">
        <v>20</v>
      </c>
      <c r="T1185" s="1" t="s">
        <v>21</v>
      </c>
      <c r="U1185" s="1" t="s">
        <v>22</v>
      </c>
      <c r="V1185" s="1" t="s">
        <v>24</v>
      </c>
      <c r="W1185" s="1" t="s">
        <v>24</v>
      </c>
      <c r="X1185" s="1">
        <v>2736</v>
      </c>
      <c r="Y1185" s="1">
        <v>3004</v>
      </c>
      <c r="Z1185" s="1" t="s">
        <v>24</v>
      </c>
      <c r="AA1185" s="1" t="s">
        <v>24</v>
      </c>
      <c r="AB1185" s="1" t="s">
        <v>24</v>
      </c>
      <c r="AC1185" s="1" t="s">
        <v>24</v>
      </c>
      <c r="AD1185" s="1" t="s">
        <v>24</v>
      </c>
      <c r="AE1185" s="1" t="s">
        <v>24</v>
      </c>
      <c r="AF1185" s="22"/>
    </row>
    <row r="1186" spans="1:32" x14ac:dyDescent="0.2">
      <c r="A1186" s="1">
        <v>7128</v>
      </c>
      <c r="B1186" s="1" t="s">
        <v>3895</v>
      </c>
      <c r="C1186" s="5" t="s">
        <v>0</v>
      </c>
      <c r="D1186" s="1" t="s">
        <v>3896</v>
      </c>
      <c r="E1186" s="1" t="s">
        <v>3897</v>
      </c>
      <c r="F1186" s="1" t="s">
        <v>412</v>
      </c>
      <c r="G1186" s="1" t="s">
        <v>372</v>
      </c>
      <c r="H1186" s="1" t="s">
        <v>168</v>
      </c>
      <c r="I1186" s="1" t="s">
        <v>16</v>
      </c>
      <c r="J1186" s="1">
        <v>1</v>
      </c>
      <c r="K1186" s="1">
        <v>6</v>
      </c>
      <c r="L1186" s="1" t="s">
        <v>31</v>
      </c>
      <c r="M1186" s="1" t="s">
        <v>679</v>
      </c>
      <c r="N1186" s="1" t="s">
        <v>18</v>
      </c>
      <c r="O1186" s="1">
        <v>3</v>
      </c>
      <c r="P1186" s="1">
        <v>5</v>
      </c>
      <c r="R1186" s="1" t="s">
        <v>19</v>
      </c>
      <c r="S1186" s="1" t="s">
        <v>63</v>
      </c>
      <c r="T1186" s="1" t="s">
        <v>21</v>
      </c>
      <c r="U1186" s="1" t="s">
        <v>22</v>
      </c>
      <c r="V1186" s="1" t="s">
        <v>24</v>
      </c>
      <c r="W1186" s="1" t="s">
        <v>24</v>
      </c>
      <c r="X1186" s="1">
        <v>2730</v>
      </c>
      <c r="Y1186" s="1" t="s">
        <v>24</v>
      </c>
      <c r="Z1186" s="1" t="s">
        <v>24</v>
      </c>
      <c r="AA1186" s="1" t="s">
        <v>24</v>
      </c>
      <c r="AB1186" s="1" t="s">
        <v>24</v>
      </c>
      <c r="AC1186" s="1" t="s">
        <v>24</v>
      </c>
      <c r="AD1186" s="1" t="s">
        <v>24</v>
      </c>
      <c r="AE1186" s="1" t="s">
        <v>24</v>
      </c>
      <c r="AF1186" s="22"/>
    </row>
    <row r="1187" spans="1:32" x14ac:dyDescent="0.2">
      <c r="A1187" s="1">
        <v>7140</v>
      </c>
      <c r="B1187" s="1" t="s">
        <v>3898</v>
      </c>
      <c r="C1187" s="5" t="s">
        <v>0</v>
      </c>
      <c r="D1187" s="1" t="s">
        <v>3899</v>
      </c>
      <c r="E1187" s="1" t="s">
        <v>3900</v>
      </c>
      <c r="F1187" s="1" t="s">
        <v>155</v>
      </c>
      <c r="G1187" s="1" t="s">
        <v>61</v>
      </c>
      <c r="H1187" s="1" t="s">
        <v>37</v>
      </c>
      <c r="I1187" s="1" t="s">
        <v>16</v>
      </c>
      <c r="J1187" s="1">
        <v>1</v>
      </c>
      <c r="K1187" s="1">
        <v>52</v>
      </c>
      <c r="L1187" s="1" t="s">
        <v>31</v>
      </c>
      <c r="M1187" s="1" t="s">
        <v>93</v>
      </c>
      <c r="N1187" s="1" t="s">
        <v>679</v>
      </c>
      <c r="O1187" s="1">
        <v>3</v>
      </c>
      <c r="P1187" s="1">
        <v>6</v>
      </c>
      <c r="R1187" s="1" t="s">
        <v>881</v>
      </c>
      <c r="S1187" s="1" t="s">
        <v>20</v>
      </c>
      <c r="T1187" s="1" t="s">
        <v>21</v>
      </c>
      <c r="U1187" s="1" t="s">
        <v>22</v>
      </c>
      <c r="V1187" s="1" t="s">
        <v>24</v>
      </c>
      <c r="W1187" s="1" t="s">
        <v>64</v>
      </c>
      <c r="X1187" s="1">
        <v>1303</v>
      </c>
      <c r="Y1187" s="1">
        <v>1605</v>
      </c>
      <c r="Z1187" s="1">
        <v>3002</v>
      </c>
      <c r="AA1187" s="1" t="s">
        <v>24</v>
      </c>
      <c r="AB1187" s="1" t="s">
        <v>24</v>
      </c>
      <c r="AC1187" s="1" t="s">
        <v>24</v>
      </c>
      <c r="AD1187" s="1" t="s">
        <v>24</v>
      </c>
      <c r="AE1187" s="1" t="s">
        <v>24</v>
      </c>
      <c r="AF1187" s="22"/>
    </row>
    <row r="1188" spans="1:32" x14ac:dyDescent="0.2">
      <c r="A1188" s="1">
        <v>7147</v>
      </c>
      <c r="B1188" s="1" t="s">
        <v>3901</v>
      </c>
      <c r="C1188" s="5" t="s">
        <v>0</v>
      </c>
      <c r="D1188" s="1" t="s">
        <v>3902</v>
      </c>
      <c r="E1188" s="1" t="s">
        <v>3903</v>
      </c>
      <c r="F1188" s="1" t="s">
        <v>3904</v>
      </c>
      <c r="G1188" s="1" t="s">
        <v>460</v>
      </c>
      <c r="H1188" s="1" t="s">
        <v>461</v>
      </c>
      <c r="I1188" s="1" t="s">
        <v>16</v>
      </c>
      <c r="J1188" s="1">
        <v>1</v>
      </c>
      <c r="K1188" s="1">
        <v>3</v>
      </c>
      <c r="L1188" s="1" t="s">
        <v>42</v>
      </c>
      <c r="M1188" s="1" t="s">
        <v>1735</v>
      </c>
      <c r="N1188" s="1" t="s">
        <v>18</v>
      </c>
      <c r="O1188" s="1">
        <v>2</v>
      </c>
      <c r="P1188" s="1">
        <v>5</v>
      </c>
      <c r="R1188" s="1" t="s">
        <v>19</v>
      </c>
      <c r="S1188" s="1" t="s">
        <v>20</v>
      </c>
      <c r="T1188" s="1" t="s">
        <v>21</v>
      </c>
      <c r="U1188" s="1" t="s">
        <v>22</v>
      </c>
      <c r="V1188" s="1" t="s">
        <v>24</v>
      </c>
      <c r="W1188" s="1" t="s">
        <v>24</v>
      </c>
      <c r="X1188" s="1">
        <v>2728</v>
      </c>
      <c r="Y1188" s="1">
        <v>2808</v>
      </c>
      <c r="Z1188" s="1" t="s">
        <v>24</v>
      </c>
      <c r="AA1188" s="1" t="s">
        <v>24</v>
      </c>
      <c r="AB1188" s="1" t="s">
        <v>24</v>
      </c>
      <c r="AC1188" s="1" t="s">
        <v>24</v>
      </c>
      <c r="AD1188" s="1" t="s">
        <v>24</v>
      </c>
      <c r="AE1188" s="1" t="s">
        <v>24</v>
      </c>
      <c r="AF1188" s="22"/>
    </row>
    <row r="1189" spans="1:32" x14ac:dyDescent="0.2">
      <c r="A1189" s="1">
        <v>7158</v>
      </c>
      <c r="B1189" s="1" t="s">
        <v>3905</v>
      </c>
      <c r="C1189" s="5" t="s">
        <v>0</v>
      </c>
      <c r="D1189" s="1" t="s">
        <v>3906</v>
      </c>
      <c r="E1189" s="1" t="s">
        <v>3907</v>
      </c>
      <c r="F1189" s="1" t="s">
        <v>155</v>
      </c>
      <c r="G1189" s="1" t="s">
        <v>61</v>
      </c>
      <c r="H1189" s="1" t="s">
        <v>37</v>
      </c>
      <c r="I1189" s="1" t="s">
        <v>16</v>
      </c>
      <c r="J1189" s="1">
        <v>1</v>
      </c>
      <c r="K1189" s="1">
        <v>52</v>
      </c>
      <c r="L1189" s="1" t="s">
        <v>31</v>
      </c>
      <c r="M1189" s="1" t="s">
        <v>2292</v>
      </c>
      <c r="N1189" s="1" t="s">
        <v>679</v>
      </c>
      <c r="O1189" s="1">
        <v>3</v>
      </c>
      <c r="P1189" s="1">
        <v>7</v>
      </c>
      <c r="Q1189" s="7" t="s">
        <v>17633</v>
      </c>
      <c r="R1189" s="1" t="s">
        <v>881</v>
      </c>
      <c r="S1189" s="1" t="s">
        <v>20</v>
      </c>
      <c r="T1189" s="1" t="s">
        <v>21</v>
      </c>
      <c r="U1189" s="1" t="s">
        <v>22</v>
      </c>
      <c r="V1189" s="1" t="s">
        <v>24</v>
      </c>
      <c r="W1189" s="1" t="s">
        <v>64</v>
      </c>
      <c r="X1189" s="1">
        <v>1303</v>
      </c>
      <c r="Y1189" s="1">
        <v>1605</v>
      </c>
      <c r="Z1189" s="1">
        <v>3002</v>
      </c>
      <c r="AA1189" s="1" t="s">
        <v>24</v>
      </c>
      <c r="AB1189" s="1" t="s">
        <v>24</v>
      </c>
      <c r="AC1189" s="1" t="s">
        <v>24</v>
      </c>
      <c r="AD1189" s="1" t="s">
        <v>24</v>
      </c>
      <c r="AE1189" s="1" t="s">
        <v>24</v>
      </c>
      <c r="AF1189" s="22"/>
    </row>
    <row r="1190" spans="1:32" x14ac:dyDescent="0.2">
      <c r="A1190" s="1">
        <v>7171</v>
      </c>
      <c r="B1190" s="1" t="s">
        <v>3908</v>
      </c>
      <c r="C1190" s="5" t="s">
        <v>0</v>
      </c>
      <c r="D1190" s="1" t="s">
        <v>3909</v>
      </c>
      <c r="F1190" s="1" t="s">
        <v>3908</v>
      </c>
      <c r="G1190" s="1" t="s">
        <v>3908</v>
      </c>
      <c r="H1190" s="1" t="s">
        <v>15</v>
      </c>
      <c r="I1190" s="1" t="s">
        <v>16</v>
      </c>
      <c r="J1190" s="1">
        <v>1</v>
      </c>
      <c r="K1190" s="1">
        <v>24</v>
      </c>
      <c r="L1190" s="1" t="s">
        <v>42</v>
      </c>
      <c r="M1190" s="1" t="s">
        <v>1646</v>
      </c>
      <c r="N1190" s="1" t="s">
        <v>1646</v>
      </c>
      <c r="O1190" s="1">
        <v>0</v>
      </c>
      <c r="P1190" s="1">
        <v>5</v>
      </c>
      <c r="R1190" s="1" t="s">
        <v>19</v>
      </c>
      <c r="S1190" s="1" t="s">
        <v>20</v>
      </c>
      <c r="T1190" s="1" t="s">
        <v>21</v>
      </c>
      <c r="U1190" s="1" t="s">
        <v>22</v>
      </c>
      <c r="V1190" s="1" t="s">
        <v>24</v>
      </c>
      <c r="W1190" s="1" t="s">
        <v>24</v>
      </c>
      <c r="X1190" s="1">
        <v>2700</v>
      </c>
      <c r="Y1190" s="1" t="s">
        <v>24</v>
      </c>
      <c r="Z1190" s="1" t="s">
        <v>24</v>
      </c>
      <c r="AA1190" s="1" t="s">
        <v>24</v>
      </c>
      <c r="AB1190" s="1" t="s">
        <v>24</v>
      </c>
      <c r="AC1190" s="1" t="s">
        <v>24</v>
      </c>
      <c r="AD1190" s="1" t="s">
        <v>24</v>
      </c>
      <c r="AE1190" s="1" t="s">
        <v>24</v>
      </c>
      <c r="AF1190" s="22"/>
    </row>
    <row r="1191" spans="1:32" x14ac:dyDescent="0.2">
      <c r="A1191" s="1">
        <v>7180</v>
      </c>
      <c r="B1191" s="1" t="s">
        <v>3910</v>
      </c>
      <c r="C1191" s="5" t="s">
        <v>0</v>
      </c>
      <c r="D1191" s="1" t="s">
        <v>3911</v>
      </c>
      <c r="E1191" s="1" t="s">
        <v>3912</v>
      </c>
      <c r="F1191" s="1" t="s">
        <v>155</v>
      </c>
      <c r="G1191" s="1" t="s">
        <v>61</v>
      </c>
      <c r="H1191" s="1" t="s">
        <v>37</v>
      </c>
      <c r="I1191" s="1" t="s">
        <v>16</v>
      </c>
      <c r="J1191" s="1">
        <v>2</v>
      </c>
      <c r="K1191" s="1">
        <v>6</v>
      </c>
      <c r="L1191" s="1" t="s">
        <v>31</v>
      </c>
      <c r="M1191" s="1" t="s">
        <v>18</v>
      </c>
      <c r="N1191" s="1" t="s">
        <v>18</v>
      </c>
      <c r="O1191" s="1">
        <v>3</v>
      </c>
      <c r="P1191" s="1">
        <v>7</v>
      </c>
      <c r="Q1191" s="7" t="s">
        <v>17633</v>
      </c>
      <c r="R1191" s="1" t="s">
        <v>19</v>
      </c>
      <c r="S1191" s="1" t="s">
        <v>20</v>
      </c>
      <c r="T1191" s="1" t="s">
        <v>21</v>
      </c>
      <c r="U1191" s="1" t="s">
        <v>22</v>
      </c>
      <c r="V1191" s="1" t="s">
        <v>24</v>
      </c>
      <c r="W1191" s="1" t="s">
        <v>24</v>
      </c>
      <c r="X1191" s="1">
        <v>2720</v>
      </c>
      <c r="Y1191" s="1" t="s">
        <v>24</v>
      </c>
      <c r="Z1191" s="1" t="s">
        <v>24</v>
      </c>
      <c r="AA1191" s="1" t="s">
        <v>24</v>
      </c>
      <c r="AB1191" s="1" t="s">
        <v>24</v>
      </c>
      <c r="AC1191" s="1" t="s">
        <v>24</v>
      </c>
      <c r="AD1191" s="1" t="s">
        <v>24</v>
      </c>
      <c r="AE1191" s="1" t="s">
        <v>24</v>
      </c>
      <c r="AF1191" s="22"/>
    </row>
    <row r="1192" spans="1:32" x14ac:dyDescent="0.2">
      <c r="A1192" s="1">
        <v>7183</v>
      </c>
      <c r="B1192" s="1" t="s">
        <v>3913</v>
      </c>
      <c r="C1192" s="5" t="s">
        <v>0</v>
      </c>
      <c r="D1192" s="1" t="s">
        <v>3914</v>
      </c>
      <c r="E1192" s="1" t="s">
        <v>3915</v>
      </c>
      <c r="F1192" s="1" t="s">
        <v>3916</v>
      </c>
      <c r="G1192" s="1" t="s">
        <v>3917</v>
      </c>
      <c r="H1192" s="1" t="s">
        <v>86</v>
      </c>
      <c r="I1192" s="1" t="s">
        <v>16</v>
      </c>
      <c r="J1192" s="1">
        <v>1</v>
      </c>
      <c r="K1192" s="1">
        <v>6</v>
      </c>
      <c r="L1192" s="1" t="s">
        <v>31</v>
      </c>
      <c r="M1192" s="1" t="s">
        <v>87</v>
      </c>
      <c r="N1192" s="1" t="s">
        <v>18</v>
      </c>
      <c r="O1192" s="1">
        <v>3</v>
      </c>
      <c r="P1192" s="1">
        <v>7</v>
      </c>
      <c r="Q1192" s="7" t="s">
        <v>17633</v>
      </c>
      <c r="R1192" s="1" t="s">
        <v>19</v>
      </c>
      <c r="S1192" s="1" t="s">
        <v>20</v>
      </c>
      <c r="T1192" s="1" t="s">
        <v>21</v>
      </c>
      <c r="U1192" s="1" t="s">
        <v>22</v>
      </c>
      <c r="V1192" s="1" t="s">
        <v>24</v>
      </c>
      <c r="W1192" s="1" t="s">
        <v>24</v>
      </c>
      <c r="X1192" s="1">
        <v>2736</v>
      </c>
      <c r="Y1192" s="1" t="s">
        <v>24</v>
      </c>
      <c r="Z1192" s="1" t="s">
        <v>24</v>
      </c>
      <c r="AA1192" s="1" t="s">
        <v>24</v>
      </c>
      <c r="AB1192" s="1" t="s">
        <v>24</v>
      </c>
      <c r="AC1192" s="1" t="s">
        <v>24</v>
      </c>
      <c r="AD1192" s="1" t="s">
        <v>24</v>
      </c>
      <c r="AE1192" s="1" t="s">
        <v>24</v>
      </c>
      <c r="AF1192" s="22"/>
    </row>
    <row r="1193" spans="1:32" x14ac:dyDescent="0.2">
      <c r="A1193" s="1">
        <v>7186</v>
      </c>
      <c r="B1193" s="1" t="s">
        <v>3918</v>
      </c>
      <c r="C1193" s="5" t="s">
        <v>0</v>
      </c>
      <c r="D1193" s="1" t="s">
        <v>3919</v>
      </c>
      <c r="F1193" s="1" t="s">
        <v>1758</v>
      </c>
      <c r="G1193" s="1" t="s">
        <v>1758</v>
      </c>
      <c r="H1193" s="1" t="s">
        <v>168</v>
      </c>
      <c r="I1193" s="1" t="s">
        <v>16</v>
      </c>
      <c r="J1193" s="1">
        <v>2</v>
      </c>
      <c r="K1193" s="1">
        <v>6</v>
      </c>
      <c r="L1193" s="1" t="s">
        <v>42</v>
      </c>
      <c r="M1193" s="1" t="s">
        <v>18</v>
      </c>
      <c r="N1193" s="1" t="s">
        <v>18</v>
      </c>
      <c r="O1193" s="1">
        <v>3</v>
      </c>
      <c r="P1193" s="1">
        <v>7</v>
      </c>
      <c r="Q1193" s="7" t="s">
        <v>17633</v>
      </c>
      <c r="R1193" s="1" t="s">
        <v>62</v>
      </c>
      <c r="S1193" s="1" t="s">
        <v>63</v>
      </c>
      <c r="T1193" s="1" t="s">
        <v>21</v>
      </c>
      <c r="U1193" s="1" t="s">
        <v>22</v>
      </c>
      <c r="V1193" s="1" t="s">
        <v>24</v>
      </c>
      <c r="W1193" s="1" t="s">
        <v>24</v>
      </c>
      <c r="X1193" s="1">
        <v>2720</v>
      </c>
      <c r="Y1193" s="1" t="s">
        <v>24</v>
      </c>
      <c r="Z1193" s="1" t="s">
        <v>24</v>
      </c>
      <c r="AA1193" s="1" t="s">
        <v>24</v>
      </c>
      <c r="AB1193" s="1" t="s">
        <v>24</v>
      </c>
      <c r="AC1193" s="1" t="s">
        <v>24</v>
      </c>
      <c r="AD1193" s="1" t="s">
        <v>24</v>
      </c>
      <c r="AE1193" s="1" t="s">
        <v>24</v>
      </c>
      <c r="AF1193" s="22"/>
    </row>
    <row r="1194" spans="1:32" x14ac:dyDescent="0.2">
      <c r="A1194" s="1">
        <v>7188</v>
      </c>
      <c r="B1194" s="1" t="s">
        <v>3920</v>
      </c>
      <c r="C1194" s="5" t="s">
        <v>0</v>
      </c>
      <c r="D1194" s="1" t="s">
        <v>3921</v>
      </c>
      <c r="E1194" s="1" t="s">
        <v>3922</v>
      </c>
      <c r="F1194" s="1" t="s">
        <v>3923</v>
      </c>
      <c r="G1194" s="1" t="s">
        <v>3923</v>
      </c>
      <c r="H1194" s="1" t="s">
        <v>30</v>
      </c>
      <c r="I1194" s="1" t="s">
        <v>16</v>
      </c>
      <c r="J1194" s="1">
        <v>1</v>
      </c>
      <c r="K1194" s="1">
        <v>6</v>
      </c>
      <c r="L1194" s="1" t="s">
        <v>42</v>
      </c>
      <c r="M1194" s="1" t="s">
        <v>18</v>
      </c>
      <c r="N1194" s="1" t="s">
        <v>18</v>
      </c>
      <c r="O1194" s="1">
        <v>3</v>
      </c>
      <c r="P1194" s="1">
        <v>6</v>
      </c>
      <c r="R1194" s="1" t="s">
        <v>19</v>
      </c>
      <c r="S1194" s="1" t="s">
        <v>20</v>
      </c>
      <c r="T1194" s="1" t="s">
        <v>21</v>
      </c>
      <c r="U1194" s="1" t="s">
        <v>22</v>
      </c>
      <c r="V1194" s="1" t="s">
        <v>24</v>
      </c>
      <c r="W1194" s="1" t="s">
        <v>24</v>
      </c>
      <c r="X1194" s="1">
        <v>2705</v>
      </c>
      <c r="Y1194" s="1" t="s">
        <v>24</v>
      </c>
      <c r="Z1194" s="1" t="s">
        <v>24</v>
      </c>
      <c r="AA1194" s="1" t="s">
        <v>24</v>
      </c>
      <c r="AB1194" s="1" t="s">
        <v>24</v>
      </c>
      <c r="AC1194" s="1" t="s">
        <v>24</v>
      </c>
      <c r="AD1194" s="1" t="s">
        <v>24</v>
      </c>
      <c r="AE1194" s="1" t="s">
        <v>24</v>
      </c>
      <c r="AF1194" s="22"/>
    </row>
    <row r="1195" spans="1:32" x14ac:dyDescent="0.2">
      <c r="A1195" s="1">
        <v>7191</v>
      </c>
      <c r="B1195" s="1" t="s">
        <v>3924</v>
      </c>
      <c r="C1195" s="5" t="s">
        <v>0</v>
      </c>
      <c r="D1195" s="1" t="s">
        <v>3925</v>
      </c>
      <c r="E1195" s="1" t="s">
        <v>3926</v>
      </c>
      <c r="F1195" s="1" t="s">
        <v>159</v>
      </c>
      <c r="G1195" s="1" t="s">
        <v>160</v>
      </c>
      <c r="H1195" s="1" t="s">
        <v>37</v>
      </c>
      <c r="I1195" s="1" t="s">
        <v>16</v>
      </c>
      <c r="J1195" s="1">
        <v>1</v>
      </c>
      <c r="K1195" s="1">
        <v>12</v>
      </c>
      <c r="L1195" s="1" t="s">
        <v>42</v>
      </c>
      <c r="M1195" s="1" t="s">
        <v>18</v>
      </c>
      <c r="N1195" s="1" t="s">
        <v>18</v>
      </c>
      <c r="O1195" s="1">
        <v>3</v>
      </c>
      <c r="P1195" s="1">
        <v>7</v>
      </c>
      <c r="Q1195" s="7" t="s">
        <v>17633</v>
      </c>
      <c r="R1195" s="1" t="s">
        <v>62</v>
      </c>
      <c r="S1195" s="1" t="s">
        <v>63</v>
      </c>
      <c r="T1195" s="1" t="s">
        <v>21</v>
      </c>
      <c r="U1195" s="1" t="s">
        <v>22</v>
      </c>
      <c r="V1195" s="1" t="s">
        <v>24</v>
      </c>
      <c r="W1195" s="1" t="s">
        <v>24</v>
      </c>
      <c r="X1195" s="1">
        <v>2740</v>
      </c>
      <c r="Y1195" s="1" t="s">
        <v>24</v>
      </c>
      <c r="Z1195" s="1" t="s">
        <v>24</v>
      </c>
      <c r="AA1195" s="1" t="s">
        <v>24</v>
      </c>
      <c r="AB1195" s="1" t="s">
        <v>24</v>
      </c>
      <c r="AC1195" s="1" t="s">
        <v>24</v>
      </c>
      <c r="AD1195" s="1" t="s">
        <v>24</v>
      </c>
      <c r="AE1195" s="1" t="s">
        <v>24</v>
      </c>
      <c r="AF1195" s="22"/>
    </row>
    <row r="1196" spans="1:32" x14ac:dyDescent="0.2">
      <c r="A1196" s="1">
        <v>7192</v>
      </c>
      <c r="B1196" s="1" t="s">
        <v>3927</v>
      </c>
      <c r="C1196" s="5" t="s">
        <v>0</v>
      </c>
      <c r="D1196" s="1" t="s">
        <v>3928</v>
      </c>
      <c r="F1196" s="1" t="s">
        <v>3929</v>
      </c>
      <c r="G1196" s="1" t="s">
        <v>3929</v>
      </c>
      <c r="H1196" s="1" t="s">
        <v>461</v>
      </c>
      <c r="I1196" s="1" t="s">
        <v>16</v>
      </c>
      <c r="J1196" s="1">
        <v>1</v>
      </c>
      <c r="K1196" s="1">
        <v>12</v>
      </c>
      <c r="L1196" s="1" t="s">
        <v>17</v>
      </c>
      <c r="M1196" s="1" t="s">
        <v>635</v>
      </c>
      <c r="N1196" s="1" t="s">
        <v>18</v>
      </c>
      <c r="O1196" s="1">
        <v>1</v>
      </c>
      <c r="P1196" s="1">
        <v>6</v>
      </c>
      <c r="R1196" s="1" t="s">
        <v>19</v>
      </c>
      <c r="S1196" s="1" t="s">
        <v>20</v>
      </c>
      <c r="T1196" s="1" t="s">
        <v>21</v>
      </c>
      <c r="U1196" s="1" t="s">
        <v>22</v>
      </c>
      <c r="V1196" s="1" t="s">
        <v>24</v>
      </c>
      <c r="W1196" s="1" t="s">
        <v>24</v>
      </c>
      <c r="X1196" s="1">
        <v>2700</v>
      </c>
      <c r="Y1196" s="1" t="s">
        <v>24</v>
      </c>
      <c r="Z1196" s="1" t="s">
        <v>24</v>
      </c>
      <c r="AA1196" s="1" t="s">
        <v>24</v>
      </c>
      <c r="AB1196" s="1" t="s">
        <v>24</v>
      </c>
      <c r="AC1196" s="1" t="s">
        <v>24</v>
      </c>
      <c r="AD1196" s="1" t="s">
        <v>24</v>
      </c>
      <c r="AE1196" s="1" t="s">
        <v>24</v>
      </c>
      <c r="AF1196" s="22"/>
    </row>
    <row r="1197" spans="1:32" x14ac:dyDescent="0.2">
      <c r="A1197" s="1">
        <v>7195</v>
      </c>
      <c r="B1197" s="1" t="s">
        <v>3930</v>
      </c>
      <c r="C1197" s="5" t="s">
        <v>0</v>
      </c>
      <c r="D1197" s="1" t="s">
        <v>3931</v>
      </c>
      <c r="F1197" s="1" t="s">
        <v>2009</v>
      </c>
      <c r="G1197" s="1" t="s">
        <v>2009</v>
      </c>
      <c r="H1197" s="1" t="s">
        <v>111</v>
      </c>
      <c r="I1197" s="1" t="s">
        <v>16</v>
      </c>
      <c r="J1197" s="1">
        <v>1</v>
      </c>
      <c r="K1197" s="1">
        <v>12</v>
      </c>
      <c r="L1197" s="1" t="s">
        <v>42</v>
      </c>
      <c r="M1197" s="1" t="s">
        <v>413</v>
      </c>
      <c r="N1197" s="1" t="s">
        <v>18</v>
      </c>
      <c r="O1197" s="1">
        <v>3</v>
      </c>
      <c r="P1197" s="1">
        <v>5</v>
      </c>
      <c r="R1197" s="1" t="s">
        <v>19</v>
      </c>
      <c r="S1197" s="1" t="s">
        <v>20</v>
      </c>
      <c r="T1197" s="1" t="s">
        <v>21</v>
      </c>
      <c r="U1197" s="1" t="s">
        <v>22</v>
      </c>
      <c r="V1197" s="1" t="s">
        <v>24</v>
      </c>
      <c r="W1197" s="1" t="s">
        <v>24</v>
      </c>
      <c r="X1197" s="1">
        <v>2700</v>
      </c>
      <c r="Y1197" s="1" t="s">
        <v>24</v>
      </c>
      <c r="Z1197" s="1" t="s">
        <v>24</v>
      </c>
      <c r="AA1197" s="1" t="s">
        <v>24</v>
      </c>
      <c r="AB1197" s="1" t="s">
        <v>24</v>
      </c>
      <c r="AC1197" s="1" t="s">
        <v>24</v>
      </c>
      <c r="AD1197" s="1" t="s">
        <v>24</v>
      </c>
      <c r="AE1197" s="1" t="s">
        <v>24</v>
      </c>
      <c r="AF1197" s="22"/>
    </row>
    <row r="1198" spans="1:32" x14ac:dyDescent="0.2">
      <c r="A1198" s="1">
        <v>7199</v>
      </c>
      <c r="B1198" s="1" t="s">
        <v>3932</v>
      </c>
      <c r="C1198" s="5" t="s">
        <v>0</v>
      </c>
      <c r="D1198" s="1" t="s">
        <v>3933</v>
      </c>
      <c r="E1198" s="1" t="s">
        <v>3934</v>
      </c>
      <c r="F1198" s="1" t="s">
        <v>831</v>
      </c>
      <c r="G1198" s="1" t="s">
        <v>61</v>
      </c>
      <c r="H1198" s="1" t="s">
        <v>37</v>
      </c>
      <c r="I1198" s="1" t="s">
        <v>16</v>
      </c>
      <c r="J1198" s="1">
        <v>1</v>
      </c>
      <c r="K1198" s="1">
        <v>6</v>
      </c>
      <c r="L1198" s="1" t="s">
        <v>31</v>
      </c>
      <c r="M1198" s="1" t="s">
        <v>18</v>
      </c>
      <c r="N1198" s="1" t="s">
        <v>18</v>
      </c>
      <c r="O1198" s="1">
        <v>2</v>
      </c>
      <c r="P1198" s="1">
        <v>6</v>
      </c>
      <c r="R1198" s="1" t="s">
        <v>19</v>
      </c>
      <c r="S1198" s="1" t="s">
        <v>20</v>
      </c>
      <c r="T1198" s="1" t="s">
        <v>21</v>
      </c>
      <c r="U1198" s="1" t="s">
        <v>22</v>
      </c>
      <c r="V1198" s="1" t="s">
        <v>24</v>
      </c>
      <c r="W1198" s="1" t="s">
        <v>24</v>
      </c>
      <c r="X1198" s="1">
        <v>1307</v>
      </c>
      <c r="Y1198" s="1">
        <v>1309</v>
      </c>
      <c r="Z1198" s="1" t="s">
        <v>24</v>
      </c>
      <c r="AA1198" s="1" t="s">
        <v>24</v>
      </c>
      <c r="AB1198" s="1" t="s">
        <v>24</v>
      </c>
      <c r="AC1198" s="1" t="s">
        <v>24</v>
      </c>
      <c r="AD1198" s="1" t="s">
        <v>24</v>
      </c>
      <c r="AE1198" s="1" t="s">
        <v>24</v>
      </c>
      <c r="AF1198" s="22"/>
    </row>
    <row r="1199" spans="1:32" x14ac:dyDescent="0.2">
      <c r="A1199" s="1">
        <v>7206</v>
      </c>
      <c r="B1199" s="1" t="s">
        <v>3935</v>
      </c>
      <c r="C1199" s="5" t="s">
        <v>0</v>
      </c>
      <c r="D1199" s="1" t="s">
        <v>3936</v>
      </c>
      <c r="E1199" s="1" t="s">
        <v>3937</v>
      </c>
      <c r="F1199" s="1" t="s">
        <v>97</v>
      </c>
      <c r="G1199" s="1" t="s">
        <v>98</v>
      </c>
      <c r="H1199" s="1" t="s">
        <v>37</v>
      </c>
      <c r="I1199" s="1" t="s">
        <v>16</v>
      </c>
      <c r="J1199" s="1">
        <v>1</v>
      </c>
      <c r="K1199" s="1">
        <v>10</v>
      </c>
      <c r="L1199" s="1" t="s">
        <v>31</v>
      </c>
      <c r="M1199" s="1" t="s">
        <v>18</v>
      </c>
      <c r="N1199" s="1" t="s">
        <v>18</v>
      </c>
      <c r="O1199" s="1">
        <v>3</v>
      </c>
      <c r="P1199" s="1">
        <v>6</v>
      </c>
      <c r="R1199" s="1" t="s">
        <v>19</v>
      </c>
      <c r="S1199" s="1" t="s">
        <v>20</v>
      </c>
      <c r="T1199" s="1" t="s">
        <v>21</v>
      </c>
      <c r="U1199" s="1" t="s">
        <v>22</v>
      </c>
      <c r="V1199" s="1" t="s">
        <v>24</v>
      </c>
      <c r="W1199" s="1" t="s">
        <v>24</v>
      </c>
      <c r="X1199" s="1">
        <v>2739</v>
      </c>
      <c r="Y1199" s="1">
        <v>3005</v>
      </c>
      <c r="Z1199" s="1">
        <v>2307</v>
      </c>
      <c r="AA1199" s="1" t="s">
        <v>24</v>
      </c>
      <c r="AB1199" s="1" t="s">
        <v>24</v>
      </c>
      <c r="AC1199" s="1" t="s">
        <v>24</v>
      </c>
      <c r="AD1199" s="1" t="s">
        <v>24</v>
      </c>
      <c r="AE1199" s="1" t="s">
        <v>24</v>
      </c>
      <c r="AF1199" s="22"/>
    </row>
    <row r="1200" spans="1:32" x14ac:dyDescent="0.2">
      <c r="A1200" s="1">
        <v>7211</v>
      </c>
      <c r="B1200" s="1" t="s">
        <v>3938</v>
      </c>
      <c r="C1200" s="5" t="s">
        <v>0</v>
      </c>
      <c r="D1200" s="1" t="s">
        <v>3939</v>
      </c>
      <c r="E1200" s="1" t="s">
        <v>3940</v>
      </c>
      <c r="F1200" s="1" t="s">
        <v>3093</v>
      </c>
      <c r="G1200" s="1" t="s">
        <v>130</v>
      </c>
      <c r="H1200" s="1" t="s">
        <v>92</v>
      </c>
      <c r="I1200" s="1" t="s">
        <v>16</v>
      </c>
      <c r="J1200" s="1">
        <v>1</v>
      </c>
      <c r="K1200" s="1">
        <v>2</v>
      </c>
      <c r="L1200" s="1" t="s">
        <v>31</v>
      </c>
      <c r="M1200" s="1" t="s">
        <v>1646</v>
      </c>
      <c r="N1200" s="1" t="s">
        <v>1646</v>
      </c>
      <c r="O1200" s="1">
        <v>3</v>
      </c>
      <c r="P1200" s="1">
        <v>5</v>
      </c>
      <c r="R1200" s="1" t="s">
        <v>19</v>
      </c>
      <c r="S1200" s="1" t="s">
        <v>20</v>
      </c>
      <c r="T1200" s="1" t="s">
        <v>21</v>
      </c>
      <c r="U1200" s="1" t="s">
        <v>22</v>
      </c>
      <c r="V1200" s="1" t="s">
        <v>24</v>
      </c>
      <c r="W1200" s="1" t="s">
        <v>24</v>
      </c>
      <c r="X1200" s="1">
        <v>2735</v>
      </c>
      <c r="Y1200" s="1" t="s">
        <v>24</v>
      </c>
      <c r="Z1200" s="1" t="s">
        <v>24</v>
      </c>
      <c r="AA1200" s="1" t="s">
        <v>24</v>
      </c>
      <c r="AB1200" s="1" t="s">
        <v>24</v>
      </c>
      <c r="AC1200" s="1" t="s">
        <v>24</v>
      </c>
      <c r="AD1200" s="1" t="s">
        <v>24</v>
      </c>
      <c r="AE1200" s="1" t="s">
        <v>24</v>
      </c>
      <c r="AF1200" s="22"/>
    </row>
    <row r="1201" spans="1:32" x14ac:dyDescent="0.2">
      <c r="A1201" s="1">
        <v>7224</v>
      </c>
      <c r="B1201" s="5" t="s">
        <v>3941</v>
      </c>
      <c r="C1201" s="5" t="s">
        <v>0</v>
      </c>
      <c r="D1201" s="1" t="s">
        <v>3942</v>
      </c>
      <c r="E1201" s="1" t="s">
        <v>3943</v>
      </c>
      <c r="F1201" s="1" t="s">
        <v>3944</v>
      </c>
      <c r="G1201" s="1" t="s">
        <v>460</v>
      </c>
      <c r="H1201" s="1" t="s">
        <v>461</v>
      </c>
      <c r="I1201" s="1" t="s">
        <v>16</v>
      </c>
      <c r="J1201" s="5">
        <v>3</v>
      </c>
      <c r="K1201" s="1">
        <v>4</v>
      </c>
      <c r="L1201" s="1" t="s">
        <v>42</v>
      </c>
      <c r="M1201" s="1" t="s">
        <v>18</v>
      </c>
      <c r="N1201" s="5" t="s">
        <v>18</v>
      </c>
      <c r="O1201" s="1">
        <v>3</v>
      </c>
      <c r="P1201" s="1">
        <v>5</v>
      </c>
      <c r="R1201" s="5" t="s">
        <v>19</v>
      </c>
      <c r="S1201" s="1" t="s">
        <v>20</v>
      </c>
      <c r="T1201" s="1" t="s">
        <v>21</v>
      </c>
      <c r="U1201" s="1" t="s">
        <v>22</v>
      </c>
      <c r="V1201" s="1" t="s">
        <v>24</v>
      </c>
      <c r="W1201" s="1" t="s">
        <v>24</v>
      </c>
      <c r="X1201" s="1">
        <v>2700</v>
      </c>
      <c r="Y1201" s="1">
        <v>1300</v>
      </c>
      <c r="Z1201" s="1" t="s">
        <v>24</v>
      </c>
      <c r="AA1201" s="1" t="s">
        <v>24</v>
      </c>
      <c r="AB1201" s="1" t="s">
        <v>24</v>
      </c>
      <c r="AC1201" s="1" t="s">
        <v>24</v>
      </c>
      <c r="AD1201" s="1" t="s">
        <v>24</v>
      </c>
      <c r="AE1201" s="1" t="s">
        <v>24</v>
      </c>
      <c r="AF1201" s="22"/>
    </row>
    <row r="1202" spans="1:32" x14ac:dyDescent="0.2">
      <c r="A1202" s="1">
        <v>7225</v>
      </c>
      <c r="B1202" s="1" t="s">
        <v>3945</v>
      </c>
      <c r="C1202" s="5" t="s">
        <v>0</v>
      </c>
      <c r="D1202" s="1" t="s">
        <v>3946</v>
      </c>
      <c r="E1202" s="1" t="s">
        <v>3947</v>
      </c>
      <c r="F1202" s="1" t="s">
        <v>3948</v>
      </c>
      <c r="G1202" s="1" t="s">
        <v>3948</v>
      </c>
      <c r="H1202" s="1" t="s">
        <v>461</v>
      </c>
      <c r="I1202" s="1" t="s">
        <v>16</v>
      </c>
      <c r="J1202" s="1">
        <v>1</v>
      </c>
      <c r="K1202" s="1">
        <v>4</v>
      </c>
      <c r="L1202" s="1" t="s">
        <v>42</v>
      </c>
      <c r="M1202" s="1" t="s">
        <v>18</v>
      </c>
      <c r="N1202" s="1" t="s">
        <v>18</v>
      </c>
      <c r="O1202" s="1">
        <v>2</v>
      </c>
      <c r="P1202" s="1">
        <v>5</v>
      </c>
      <c r="R1202" s="1" t="s">
        <v>19</v>
      </c>
      <c r="S1202" s="1" t="s">
        <v>20</v>
      </c>
      <c r="T1202" s="1" t="s">
        <v>21</v>
      </c>
      <c r="U1202" s="1" t="s">
        <v>22</v>
      </c>
      <c r="V1202" s="1" t="s">
        <v>24</v>
      </c>
      <c r="W1202" s="1" t="s">
        <v>24</v>
      </c>
      <c r="X1202" s="1">
        <v>2700</v>
      </c>
      <c r="Y1202" s="1" t="s">
        <v>24</v>
      </c>
      <c r="Z1202" s="1" t="s">
        <v>24</v>
      </c>
      <c r="AA1202" s="1" t="s">
        <v>24</v>
      </c>
      <c r="AB1202" s="1" t="s">
        <v>24</v>
      </c>
      <c r="AC1202" s="1" t="s">
        <v>24</v>
      </c>
      <c r="AD1202" s="1" t="s">
        <v>24</v>
      </c>
      <c r="AE1202" s="1" t="s">
        <v>24</v>
      </c>
      <c r="AF1202" s="22"/>
    </row>
    <row r="1203" spans="1:32" x14ac:dyDescent="0.2">
      <c r="A1203" s="1">
        <v>7228</v>
      </c>
      <c r="B1203" s="1" t="s">
        <v>3949</v>
      </c>
      <c r="C1203" s="5" t="s">
        <v>0</v>
      </c>
      <c r="D1203" s="1" t="s">
        <v>3950</v>
      </c>
      <c r="F1203" s="1" t="s">
        <v>3951</v>
      </c>
      <c r="G1203" s="1" t="s">
        <v>3951</v>
      </c>
      <c r="H1203" s="1" t="s">
        <v>461</v>
      </c>
      <c r="I1203" s="1" t="s">
        <v>16</v>
      </c>
      <c r="J1203" s="1">
        <v>1</v>
      </c>
      <c r="K1203" s="1">
        <v>6</v>
      </c>
      <c r="L1203" s="1" t="s">
        <v>17</v>
      </c>
      <c r="M1203" s="1" t="s">
        <v>1735</v>
      </c>
      <c r="N1203" s="1" t="s">
        <v>18</v>
      </c>
      <c r="O1203" s="1">
        <v>2</v>
      </c>
      <c r="P1203" s="1">
        <v>5</v>
      </c>
      <c r="R1203" s="1" t="s">
        <v>19</v>
      </c>
      <c r="S1203" s="1" t="s">
        <v>20</v>
      </c>
      <c r="T1203" s="1" t="s">
        <v>21</v>
      </c>
      <c r="U1203" s="1" t="s">
        <v>22</v>
      </c>
      <c r="V1203" s="1" t="s">
        <v>24</v>
      </c>
      <c r="W1203" s="1" t="s">
        <v>24</v>
      </c>
      <c r="X1203" s="1">
        <v>2700</v>
      </c>
      <c r="Y1203" s="1" t="s">
        <v>24</v>
      </c>
      <c r="Z1203" s="1" t="s">
        <v>24</v>
      </c>
      <c r="AA1203" s="1" t="s">
        <v>24</v>
      </c>
      <c r="AB1203" s="1" t="s">
        <v>24</v>
      </c>
      <c r="AC1203" s="1" t="s">
        <v>24</v>
      </c>
      <c r="AD1203" s="1" t="s">
        <v>24</v>
      </c>
      <c r="AE1203" s="1" t="s">
        <v>24</v>
      </c>
      <c r="AF1203" s="22"/>
    </row>
    <row r="1204" spans="1:32" x14ac:dyDescent="0.2">
      <c r="A1204" s="1">
        <v>7232</v>
      </c>
      <c r="B1204" s="1" t="s">
        <v>3952</v>
      </c>
      <c r="C1204" s="5" t="s">
        <v>0</v>
      </c>
      <c r="D1204" s="1" t="s">
        <v>3953</v>
      </c>
      <c r="F1204" s="1" t="s">
        <v>3952</v>
      </c>
      <c r="G1204" s="1" t="s">
        <v>3952</v>
      </c>
      <c r="H1204" s="1" t="s">
        <v>1384</v>
      </c>
      <c r="I1204" s="1" t="s">
        <v>16</v>
      </c>
      <c r="J1204" s="1">
        <v>1</v>
      </c>
      <c r="K1204" s="1">
        <v>6</v>
      </c>
      <c r="L1204" s="1" t="s">
        <v>42</v>
      </c>
      <c r="M1204" s="1" t="s">
        <v>18</v>
      </c>
      <c r="N1204" s="1" t="s">
        <v>18</v>
      </c>
      <c r="O1204" s="1">
        <v>2</v>
      </c>
      <c r="P1204" s="1">
        <v>5</v>
      </c>
      <c r="R1204" s="1" t="s">
        <v>19</v>
      </c>
      <c r="S1204" s="1" t="s">
        <v>20</v>
      </c>
      <c r="T1204" s="1" t="s">
        <v>21</v>
      </c>
      <c r="U1204" s="1" t="s">
        <v>22</v>
      </c>
      <c r="V1204" s="1" t="s">
        <v>24</v>
      </c>
      <c r="W1204" s="1" t="s">
        <v>24</v>
      </c>
      <c r="X1204" s="1">
        <v>2735</v>
      </c>
      <c r="Y1204" s="1" t="s">
        <v>24</v>
      </c>
      <c r="Z1204" s="1" t="s">
        <v>24</v>
      </c>
      <c r="AA1204" s="1" t="s">
        <v>24</v>
      </c>
      <c r="AB1204" s="1" t="s">
        <v>24</v>
      </c>
      <c r="AC1204" s="1" t="s">
        <v>24</v>
      </c>
      <c r="AD1204" s="1" t="s">
        <v>24</v>
      </c>
      <c r="AE1204" s="1" t="s">
        <v>24</v>
      </c>
      <c r="AF1204" s="22"/>
    </row>
    <row r="1205" spans="1:32" x14ac:dyDescent="0.2">
      <c r="A1205" s="1">
        <v>7257</v>
      </c>
      <c r="B1205" s="1" t="s">
        <v>3954</v>
      </c>
      <c r="C1205" s="5" t="s">
        <v>0</v>
      </c>
      <c r="D1205" s="1" t="s">
        <v>3955</v>
      </c>
      <c r="E1205" s="1" t="s">
        <v>3956</v>
      </c>
      <c r="F1205" s="1" t="s">
        <v>155</v>
      </c>
      <c r="G1205" s="1" t="s">
        <v>61</v>
      </c>
      <c r="H1205" s="1" t="s">
        <v>37</v>
      </c>
      <c r="I1205" s="1" t="s">
        <v>16</v>
      </c>
      <c r="J1205" s="1">
        <v>1</v>
      </c>
      <c r="K1205" s="1">
        <v>12</v>
      </c>
      <c r="L1205" s="1" t="s">
        <v>31</v>
      </c>
      <c r="M1205" s="1" t="s">
        <v>18</v>
      </c>
      <c r="N1205" s="1" t="s">
        <v>18</v>
      </c>
      <c r="O1205" s="1">
        <v>3</v>
      </c>
      <c r="P1205" s="1">
        <v>7</v>
      </c>
      <c r="Q1205" s="7" t="s">
        <v>17633</v>
      </c>
      <c r="R1205" s="1" t="s">
        <v>62</v>
      </c>
      <c r="S1205" s="1" t="s">
        <v>20</v>
      </c>
      <c r="T1205" s="1" t="s">
        <v>21</v>
      </c>
      <c r="U1205" s="1" t="s">
        <v>22</v>
      </c>
      <c r="V1205" s="1" t="s">
        <v>24</v>
      </c>
      <c r="W1205" s="1" t="s">
        <v>24</v>
      </c>
      <c r="X1205" s="1">
        <v>2800</v>
      </c>
      <c r="Y1205" s="1" t="s">
        <v>24</v>
      </c>
      <c r="Z1205" s="1" t="s">
        <v>24</v>
      </c>
      <c r="AA1205" s="1" t="s">
        <v>24</v>
      </c>
      <c r="AB1205" s="1" t="s">
        <v>24</v>
      </c>
      <c r="AC1205" s="1" t="s">
        <v>24</v>
      </c>
      <c r="AD1205" s="1" t="s">
        <v>24</v>
      </c>
      <c r="AE1205" s="1" t="s">
        <v>24</v>
      </c>
      <c r="AF1205" s="22"/>
    </row>
    <row r="1206" spans="1:32" x14ac:dyDescent="0.2">
      <c r="A1206" s="1">
        <v>7268</v>
      </c>
      <c r="B1206" s="1" t="s">
        <v>3957</v>
      </c>
      <c r="C1206" s="5" t="s">
        <v>0</v>
      </c>
      <c r="D1206" s="1" t="s">
        <v>3958</v>
      </c>
      <c r="E1206" s="1" t="s">
        <v>3959</v>
      </c>
      <c r="F1206" s="1" t="s">
        <v>221</v>
      </c>
      <c r="G1206" s="1" t="s">
        <v>61</v>
      </c>
      <c r="H1206" s="1" t="s">
        <v>222</v>
      </c>
      <c r="I1206" s="1" t="s">
        <v>16</v>
      </c>
      <c r="J1206" s="1">
        <v>8</v>
      </c>
      <c r="K1206" s="1">
        <v>3</v>
      </c>
      <c r="L1206" s="1" t="s">
        <v>31</v>
      </c>
      <c r="M1206" s="1" t="s">
        <v>18</v>
      </c>
      <c r="N1206" s="1" t="s">
        <v>18</v>
      </c>
      <c r="O1206" s="1">
        <v>3</v>
      </c>
      <c r="P1206" s="1">
        <v>7</v>
      </c>
      <c r="Q1206" s="7" t="s">
        <v>17633</v>
      </c>
      <c r="R1206" s="1" t="s">
        <v>19</v>
      </c>
      <c r="S1206" s="1" t="s">
        <v>63</v>
      </c>
      <c r="T1206" s="1" t="s">
        <v>21</v>
      </c>
      <c r="U1206" s="1" t="s">
        <v>22</v>
      </c>
      <c r="V1206" s="1" t="s">
        <v>24</v>
      </c>
      <c r="W1206" s="1" t="s">
        <v>24</v>
      </c>
      <c r="X1206" s="1">
        <v>3005</v>
      </c>
      <c r="Y1206" s="1" t="s">
        <v>24</v>
      </c>
      <c r="Z1206" s="1" t="s">
        <v>24</v>
      </c>
      <c r="AA1206" s="1" t="s">
        <v>24</v>
      </c>
      <c r="AB1206" s="1" t="s">
        <v>24</v>
      </c>
      <c r="AC1206" s="1" t="s">
        <v>24</v>
      </c>
      <c r="AD1206" s="1" t="s">
        <v>24</v>
      </c>
      <c r="AE1206" s="1" t="s">
        <v>24</v>
      </c>
      <c r="AF1206" s="22"/>
    </row>
    <row r="1207" spans="1:32" x14ac:dyDescent="0.2">
      <c r="A1207" s="1">
        <v>7271</v>
      </c>
      <c r="B1207" s="1" t="s">
        <v>3960</v>
      </c>
      <c r="C1207" s="5" t="s">
        <v>0</v>
      </c>
      <c r="D1207" s="1" t="s">
        <v>3961</v>
      </c>
      <c r="E1207" s="1" t="s">
        <v>3962</v>
      </c>
      <c r="F1207" s="1" t="s">
        <v>493</v>
      </c>
      <c r="G1207" s="1" t="s">
        <v>98</v>
      </c>
      <c r="H1207" s="1" t="s">
        <v>30</v>
      </c>
      <c r="I1207" s="1" t="s">
        <v>16</v>
      </c>
      <c r="J1207" s="1">
        <v>1</v>
      </c>
      <c r="K1207" s="1">
        <v>6</v>
      </c>
      <c r="L1207" s="1" t="s">
        <v>31</v>
      </c>
      <c r="M1207" s="1" t="s">
        <v>18</v>
      </c>
      <c r="N1207" s="1" t="s">
        <v>18</v>
      </c>
      <c r="O1207" s="1">
        <v>3</v>
      </c>
      <c r="P1207" s="1">
        <v>7</v>
      </c>
      <c r="Q1207" s="7" t="s">
        <v>17633</v>
      </c>
      <c r="R1207" s="1" t="s">
        <v>19</v>
      </c>
      <c r="S1207" s="1" t="s">
        <v>20</v>
      </c>
      <c r="T1207" s="1" t="s">
        <v>21</v>
      </c>
      <c r="U1207" s="1" t="s">
        <v>22</v>
      </c>
      <c r="V1207" s="1" t="s">
        <v>24</v>
      </c>
      <c r="W1207" s="1" t="s">
        <v>24</v>
      </c>
      <c r="X1207" s="1">
        <v>2734</v>
      </c>
      <c r="Y1207" s="1">
        <v>3005</v>
      </c>
      <c r="Z1207" s="1">
        <v>1307</v>
      </c>
      <c r="AA1207" s="1">
        <v>1312</v>
      </c>
      <c r="AB1207" s="1" t="s">
        <v>24</v>
      </c>
      <c r="AC1207" s="1" t="s">
        <v>24</v>
      </c>
      <c r="AD1207" s="1" t="s">
        <v>24</v>
      </c>
      <c r="AE1207" s="1" t="s">
        <v>24</v>
      </c>
      <c r="AF1207" s="22"/>
    </row>
    <row r="1208" spans="1:32" x14ac:dyDescent="0.2">
      <c r="A1208" s="1">
        <v>7279</v>
      </c>
      <c r="B1208" s="1" t="s">
        <v>3963</v>
      </c>
      <c r="C1208" s="5" t="s">
        <v>0</v>
      </c>
      <c r="D1208" s="1" t="s">
        <v>3964</v>
      </c>
      <c r="E1208" s="1" t="s">
        <v>3965</v>
      </c>
      <c r="F1208" s="1" t="s">
        <v>155</v>
      </c>
      <c r="G1208" s="1" t="s">
        <v>61</v>
      </c>
      <c r="H1208" s="1" t="s">
        <v>37</v>
      </c>
      <c r="I1208" s="1" t="s">
        <v>16</v>
      </c>
      <c r="J1208" s="1">
        <v>2</v>
      </c>
      <c r="K1208" s="1">
        <v>8</v>
      </c>
      <c r="L1208" s="1" t="s">
        <v>31</v>
      </c>
      <c r="M1208" s="1" t="s">
        <v>18</v>
      </c>
      <c r="N1208" s="1" t="s">
        <v>18</v>
      </c>
      <c r="O1208" s="1">
        <v>3</v>
      </c>
      <c r="P1208" s="1">
        <v>7</v>
      </c>
      <c r="Q1208" s="7" t="s">
        <v>17633</v>
      </c>
      <c r="R1208" s="1" t="s">
        <v>19</v>
      </c>
      <c r="S1208" s="1" t="s">
        <v>63</v>
      </c>
      <c r="T1208" s="1" t="s">
        <v>21</v>
      </c>
      <c r="U1208" s="1" t="s">
        <v>22</v>
      </c>
      <c r="V1208" s="1" t="s">
        <v>24</v>
      </c>
      <c r="W1208" s="1" t="s">
        <v>64</v>
      </c>
      <c r="X1208" s="1">
        <v>3005</v>
      </c>
      <c r="Y1208" s="1" t="s">
        <v>24</v>
      </c>
      <c r="Z1208" s="1" t="s">
        <v>24</v>
      </c>
      <c r="AA1208" s="1" t="s">
        <v>24</v>
      </c>
      <c r="AB1208" s="1" t="s">
        <v>24</v>
      </c>
      <c r="AC1208" s="1" t="s">
        <v>24</v>
      </c>
      <c r="AD1208" s="1" t="s">
        <v>24</v>
      </c>
      <c r="AE1208" s="1" t="s">
        <v>24</v>
      </c>
      <c r="AF1208" s="22"/>
    </row>
    <row r="1209" spans="1:32" x14ac:dyDescent="0.2">
      <c r="A1209" s="1">
        <v>7280</v>
      </c>
      <c r="B1209" s="1" t="s">
        <v>3966</v>
      </c>
      <c r="C1209" s="5" t="s">
        <v>0</v>
      </c>
      <c r="D1209" s="1" t="s">
        <v>3967</v>
      </c>
      <c r="E1209" s="1" t="s">
        <v>3968</v>
      </c>
      <c r="F1209" s="1" t="s">
        <v>97</v>
      </c>
      <c r="G1209" s="1" t="s">
        <v>98</v>
      </c>
      <c r="H1209" s="1" t="s">
        <v>37</v>
      </c>
      <c r="I1209" s="1" t="s">
        <v>16</v>
      </c>
      <c r="J1209" s="1">
        <v>1</v>
      </c>
      <c r="K1209" s="1">
        <v>4</v>
      </c>
      <c r="L1209" s="1" t="s">
        <v>31</v>
      </c>
      <c r="M1209" s="1" t="s">
        <v>18</v>
      </c>
      <c r="N1209" s="1" t="s">
        <v>18</v>
      </c>
      <c r="O1209" s="1">
        <v>3</v>
      </c>
      <c r="P1209" s="1">
        <v>5</v>
      </c>
      <c r="R1209" s="1" t="s">
        <v>19</v>
      </c>
      <c r="S1209" s="1" t="s">
        <v>20</v>
      </c>
      <c r="T1209" s="1" t="s">
        <v>21</v>
      </c>
      <c r="U1209" s="1" t="s">
        <v>22</v>
      </c>
      <c r="V1209" s="1" t="s">
        <v>24</v>
      </c>
      <c r="W1209" s="1" t="s">
        <v>24</v>
      </c>
      <c r="X1209" s="1">
        <v>2725</v>
      </c>
      <c r="Y1209" s="1">
        <v>2739</v>
      </c>
      <c r="Z1209" s="1" t="s">
        <v>24</v>
      </c>
      <c r="AA1209" s="1" t="s">
        <v>24</v>
      </c>
      <c r="AB1209" s="1" t="s">
        <v>24</v>
      </c>
      <c r="AC1209" s="1" t="s">
        <v>24</v>
      </c>
      <c r="AD1209" s="1" t="s">
        <v>24</v>
      </c>
      <c r="AE1209" s="1" t="s">
        <v>24</v>
      </c>
      <c r="AF1209" s="22"/>
    </row>
    <row r="1210" spans="1:32" x14ac:dyDescent="0.2">
      <c r="A1210" s="1">
        <v>7284</v>
      </c>
      <c r="B1210" s="1" t="s">
        <v>3969</v>
      </c>
      <c r="C1210" s="5" t="s">
        <v>0</v>
      </c>
      <c r="D1210" s="1" t="s">
        <v>3970</v>
      </c>
      <c r="E1210" s="1" t="s">
        <v>3971</v>
      </c>
      <c r="F1210" s="1" t="s">
        <v>155</v>
      </c>
      <c r="G1210" s="1" t="s">
        <v>61</v>
      </c>
      <c r="H1210" s="1" t="s">
        <v>37</v>
      </c>
      <c r="I1210" s="1" t="s">
        <v>16</v>
      </c>
      <c r="J1210" s="1">
        <v>1</v>
      </c>
      <c r="K1210" s="1">
        <v>12</v>
      </c>
      <c r="L1210" s="1" t="s">
        <v>31</v>
      </c>
      <c r="M1210" s="1" t="s">
        <v>18</v>
      </c>
      <c r="N1210" s="1" t="s">
        <v>18</v>
      </c>
      <c r="O1210" s="1">
        <v>3</v>
      </c>
      <c r="P1210" s="1">
        <v>7</v>
      </c>
      <c r="Q1210" s="7" t="s">
        <v>17633</v>
      </c>
      <c r="R1210" s="1" t="s">
        <v>62</v>
      </c>
      <c r="S1210" s="1" t="s">
        <v>20</v>
      </c>
      <c r="T1210" s="1" t="s">
        <v>21</v>
      </c>
      <c r="U1210" s="1" t="s">
        <v>22</v>
      </c>
      <c r="V1210" s="1" t="s">
        <v>24</v>
      </c>
      <c r="W1210" s="1" t="s">
        <v>64</v>
      </c>
      <c r="X1210" s="1">
        <v>3004</v>
      </c>
      <c r="Y1210" s="1">
        <v>3005</v>
      </c>
      <c r="Z1210" s="1" t="s">
        <v>24</v>
      </c>
      <c r="AA1210" s="1" t="s">
        <v>24</v>
      </c>
      <c r="AB1210" s="1" t="s">
        <v>24</v>
      </c>
      <c r="AC1210" s="1" t="s">
        <v>24</v>
      </c>
      <c r="AD1210" s="1" t="s">
        <v>24</v>
      </c>
      <c r="AE1210" s="1" t="s">
        <v>24</v>
      </c>
      <c r="AF1210" s="22"/>
    </row>
    <row r="1211" spans="1:32" x14ac:dyDescent="0.2">
      <c r="A1211" s="1">
        <v>7294</v>
      </c>
      <c r="B1211" s="1" t="s">
        <v>3972</v>
      </c>
      <c r="C1211" s="5" t="s">
        <v>0</v>
      </c>
      <c r="D1211" s="1" t="s">
        <v>3973</v>
      </c>
      <c r="F1211" s="1" t="s">
        <v>3974</v>
      </c>
      <c r="G1211" s="1" t="s">
        <v>3972</v>
      </c>
      <c r="H1211" s="1" t="s">
        <v>92</v>
      </c>
      <c r="I1211" s="1" t="s">
        <v>16</v>
      </c>
      <c r="J1211" s="1">
        <v>0</v>
      </c>
      <c r="K1211" s="1">
        <v>0</v>
      </c>
      <c r="L1211" s="1" t="s">
        <v>17</v>
      </c>
      <c r="M1211" s="1" t="s">
        <v>1646</v>
      </c>
      <c r="N1211" s="1" t="s">
        <v>1645</v>
      </c>
      <c r="O1211" s="1">
        <v>2</v>
      </c>
      <c r="P1211" s="1">
        <v>5</v>
      </c>
      <c r="R1211" s="1" t="s">
        <v>19</v>
      </c>
      <c r="S1211" s="1" t="s">
        <v>20</v>
      </c>
      <c r="T1211" s="1" t="s">
        <v>21</v>
      </c>
      <c r="U1211" s="1" t="s">
        <v>22</v>
      </c>
      <c r="V1211" s="1" t="s">
        <v>24</v>
      </c>
      <c r="W1211" s="1" t="s">
        <v>24</v>
      </c>
      <c r="X1211" s="1">
        <v>2738</v>
      </c>
      <c r="Y1211" s="1" t="s">
        <v>24</v>
      </c>
      <c r="Z1211" s="1" t="s">
        <v>24</v>
      </c>
      <c r="AA1211" s="1" t="s">
        <v>24</v>
      </c>
      <c r="AB1211" s="1" t="s">
        <v>24</v>
      </c>
      <c r="AC1211" s="1" t="s">
        <v>24</v>
      </c>
      <c r="AD1211" s="1" t="s">
        <v>24</v>
      </c>
      <c r="AE1211" s="1" t="s">
        <v>24</v>
      </c>
      <c r="AF1211" s="22"/>
    </row>
    <row r="1212" spans="1:32" x14ac:dyDescent="0.2">
      <c r="A1212" s="1">
        <v>7296</v>
      </c>
      <c r="B1212" s="1" t="s">
        <v>3975</v>
      </c>
      <c r="C1212" s="5" t="s">
        <v>0</v>
      </c>
      <c r="D1212" s="1" t="s">
        <v>3976</v>
      </c>
      <c r="E1212" s="1" t="s">
        <v>3977</v>
      </c>
      <c r="F1212" s="1" t="s">
        <v>548</v>
      </c>
      <c r="G1212" s="1" t="s">
        <v>36</v>
      </c>
      <c r="H1212" s="1" t="s">
        <v>30</v>
      </c>
      <c r="I1212" s="1" t="s">
        <v>16</v>
      </c>
      <c r="J1212" s="1">
        <v>1</v>
      </c>
      <c r="K1212" s="1">
        <v>12</v>
      </c>
      <c r="L1212" s="1" t="s">
        <v>31</v>
      </c>
      <c r="M1212" s="1" t="s">
        <v>18</v>
      </c>
      <c r="N1212" s="1" t="s">
        <v>18</v>
      </c>
      <c r="O1212" s="1">
        <v>3</v>
      </c>
      <c r="P1212" s="1">
        <v>6</v>
      </c>
      <c r="R1212" s="1" t="s">
        <v>62</v>
      </c>
      <c r="S1212" s="1" t="s">
        <v>20</v>
      </c>
      <c r="T1212" s="1" t="s">
        <v>21</v>
      </c>
      <c r="U1212" s="1" t="s">
        <v>22</v>
      </c>
      <c r="V1212" s="1" t="s">
        <v>23</v>
      </c>
      <c r="W1212" s="1" t="s">
        <v>24</v>
      </c>
      <c r="X1212" s="1">
        <v>2720</v>
      </c>
      <c r="Y1212" s="1">
        <v>2403</v>
      </c>
      <c r="Z1212" s="1">
        <v>2723</v>
      </c>
      <c r="AA1212" s="1" t="s">
        <v>24</v>
      </c>
      <c r="AB1212" s="1" t="s">
        <v>24</v>
      </c>
      <c r="AC1212" s="1" t="s">
        <v>24</v>
      </c>
      <c r="AD1212" s="1" t="s">
        <v>24</v>
      </c>
      <c r="AE1212" s="1" t="s">
        <v>24</v>
      </c>
      <c r="AF1212" s="22"/>
    </row>
    <row r="1213" spans="1:32" x14ac:dyDescent="0.2">
      <c r="A1213" s="1">
        <v>7299</v>
      </c>
      <c r="B1213" s="1" t="s">
        <v>3978</v>
      </c>
      <c r="C1213" s="5" t="s">
        <v>0</v>
      </c>
      <c r="D1213" s="1" t="s">
        <v>3979</v>
      </c>
      <c r="E1213" s="1" t="s">
        <v>3980</v>
      </c>
      <c r="F1213" s="1" t="s">
        <v>155</v>
      </c>
      <c r="G1213" s="1" t="s">
        <v>61</v>
      </c>
      <c r="H1213" s="1" t="s">
        <v>37</v>
      </c>
      <c r="I1213" s="1" t="s">
        <v>16</v>
      </c>
      <c r="J1213" s="1">
        <v>1</v>
      </c>
      <c r="K1213" s="1">
        <v>12</v>
      </c>
      <c r="L1213" s="1" t="s">
        <v>31</v>
      </c>
      <c r="M1213" s="1" t="s">
        <v>18</v>
      </c>
      <c r="N1213" s="1" t="s">
        <v>18</v>
      </c>
      <c r="O1213" s="1">
        <v>2</v>
      </c>
      <c r="P1213" s="1">
        <v>7</v>
      </c>
      <c r="Q1213" s="7" t="s">
        <v>17633</v>
      </c>
      <c r="R1213" s="1" t="s">
        <v>62</v>
      </c>
      <c r="S1213" s="1" t="s">
        <v>20</v>
      </c>
      <c r="T1213" s="1" t="s">
        <v>21</v>
      </c>
      <c r="U1213" s="1" t="s">
        <v>22</v>
      </c>
      <c r="V1213" s="1" t="s">
        <v>24</v>
      </c>
      <c r="W1213" s="1" t="s">
        <v>24</v>
      </c>
      <c r="X1213" s="1">
        <v>1305</v>
      </c>
      <c r="Y1213" s="1">
        <v>1502</v>
      </c>
      <c r="Z1213" s="1" t="s">
        <v>24</v>
      </c>
      <c r="AA1213" s="1" t="s">
        <v>24</v>
      </c>
      <c r="AB1213" s="1" t="s">
        <v>24</v>
      </c>
      <c r="AC1213" s="1" t="s">
        <v>24</v>
      </c>
      <c r="AD1213" s="1" t="s">
        <v>24</v>
      </c>
      <c r="AE1213" s="1" t="s">
        <v>24</v>
      </c>
      <c r="AF1213" s="22"/>
    </row>
    <row r="1214" spans="1:32" x14ac:dyDescent="0.2">
      <c r="A1214" s="1">
        <v>7309</v>
      </c>
      <c r="B1214" s="1" t="s">
        <v>3981</v>
      </c>
      <c r="C1214" s="5" t="s">
        <v>0</v>
      </c>
      <c r="D1214" s="1" t="s">
        <v>3982</v>
      </c>
      <c r="F1214" s="1" t="s">
        <v>28</v>
      </c>
      <c r="G1214" s="1" t="s">
        <v>29</v>
      </c>
      <c r="H1214" s="1" t="s">
        <v>30</v>
      </c>
      <c r="I1214" s="1" t="s">
        <v>16</v>
      </c>
      <c r="J1214" s="1">
        <v>2</v>
      </c>
      <c r="K1214" s="1">
        <v>12</v>
      </c>
      <c r="L1214" s="1" t="s">
        <v>31</v>
      </c>
      <c r="M1214" s="1" t="s">
        <v>18</v>
      </c>
      <c r="N1214" s="1" t="s">
        <v>18</v>
      </c>
      <c r="O1214" s="1">
        <v>3</v>
      </c>
      <c r="P1214" s="1">
        <v>8</v>
      </c>
      <c r="Q1214" s="7" t="s">
        <v>17633</v>
      </c>
      <c r="R1214" s="1" t="s">
        <v>62</v>
      </c>
      <c r="S1214" s="1" t="s">
        <v>20</v>
      </c>
      <c r="T1214" s="1" t="s">
        <v>21</v>
      </c>
      <c r="U1214" s="1" t="s">
        <v>22</v>
      </c>
      <c r="V1214" s="1" t="s">
        <v>24</v>
      </c>
      <c r="W1214" s="1" t="s">
        <v>24</v>
      </c>
      <c r="X1214" s="1">
        <v>2747</v>
      </c>
      <c r="Y1214" s="1" t="s">
        <v>24</v>
      </c>
      <c r="Z1214" s="1" t="s">
        <v>24</v>
      </c>
      <c r="AA1214" s="1" t="s">
        <v>24</v>
      </c>
      <c r="AB1214" s="1" t="s">
        <v>24</v>
      </c>
      <c r="AC1214" s="1" t="s">
        <v>24</v>
      </c>
      <c r="AD1214" s="1" t="s">
        <v>24</v>
      </c>
      <c r="AE1214" s="1" t="s">
        <v>24</v>
      </c>
      <c r="AF1214" s="22"/>
    </row>
    <row r="1215" spans="1:32" x14ac:dyDescent="0.2">
      <c r="A1215" s="1">
        <v>7311</v>
      </c>
      <c r="B1215" s="1" t="s">
        <v>3983</v>
      </c>
      <c r="C1215" s="5" t="s">
        <v>0</v>
      </c>
      <c r="D1215" s="1" t="s">
        <v>3984</v>
      </c>
      <c r="E1215" s="1" t="s">
        <v>3985</v>
      </c>
      <c r="F1215" s="1" t="s">
        <v>673</v>
      </c>
      <c r="G1215" s="1" t="s">
        <v>61</v>
      </c>
      <c r="H1215" s="1" t="s">
        <v>30</v>
      </c>
      <c r="I1215" s="1" t="s">
        <v>16</v>
      </c>
      <c r="J1215" s="1">
        <v>1</v>
      </c>
      <c r="K1215" s="1">
        <v>10</v>
      </c>
      <c r="L1215" s="1" t="s">
        <v>31</v>
      </c>
      <c r="M1215" s="1" t="s">
        <v>18</v>
      </c>
      <c r="N1215" s="1" t="s">
        <v>18</v>
      </c>
      <c r="O1215" s="1">
        <v>3</v>
      </c>
      <c r="P1215" s="1">
        <v>7</v>
      </c>
      <c r="Q1215" s="7" t="s">
        <v>17633</v>
      </c>
      <c r="R1215" s="1" t="s">
        <v>19</v>
      </c>
      <c r="S1215" s="1" t="s">
        <v>20</v>
      </c>
      <c r="T1215" s="1" t="s">
        <v>21</v>
      </c>
      <c r="U1215" s="1" t="s">
        <v>22</v>
      </c>
      <c r="V1215" s="1" t="s">
        <v>24</v>
      </c>
      <c r="W1215" s="1" t="s">
        <v>24</v>
      </c>
      <c r="X1215" s="1">
        <v>2746</v>
      </c>
      <c r="Y1215" s="1">
        <v>2747</v>
      </c>
      <c r="Z1215" s="1" t="s">
        <v>24</v>
      </c>
      <c r="AA1215" s="1" t="s">
        <v>24</v>
      </c>
      <c r="AB1215" s="1" t="s">
        <v>24</v>
      </c>
      <c r="AC1215" s="1" t="s">
        <v>24</v>
      </c>
      <c r="AD1215" s="1" t="s">
        <v>24</v>
      </c>
      <c r="AE1215" s="1" t="s">
        <v>24</v>
      </c>
      <c r="AF1215" s="22"/>
    </row>
    <row r="1216" spans="1:32" x14ac:dyDescent="0.2">
      <c r="A1216" s="1">
        <v>7318</v>
      </c>
      <c r="B1216" s="1" t="s">
        <v>3986</v>
      </c>
      <c r="C1216" s="5" t="s">
        <v>0</v>
      </c>
      <c r="D1216" s="1" t="s">
        <v>3987</v>
      </c>
      <c r="E1216" s="1" t="s">
        <v>3988</v>
      </c>
      <c r="F1216" s="1" t="s">
        <v>55</v>
      </c>
      <c r="G1216" s="1" t="s">
        <v>56</v>
      </c>
      <c r="H1216" s="1" t="s">
        <v>37</v>
      </c>
      <c r="I1216" s="1" t="s">
        <v>16</v>
      </c>
      <c r="J1216" s="1">
        <v>1</v>
      </c>
      <c r="K1216" s="1">
        <v>12</v>
      </c>
      <c r="L1216" s="1" t="s">
        <v>31</v>
      </c>
      <c r="M1216" s="1" t="s">
        <v>18</v>
      </c>
      <c r="N1216" s="1" t="s">
        <v>18</v>
      </c>
      <c r="O1216" s="1">
        <v>3</v>
      </c>
      <c r="P1216" s="1">
        <v>5</v>
      </c>
      <c r="R1216" s="1" t="s">
        <v>19</v>
      </c>
      <c r="S1216" s="1" t="s">
        <v>20</v>
      </c>
      <c r="T1216" s="1" t="s">
        <v>21</v>
      </c>
      <c r="U1216" s="1" t="s">
        <v>22</v>
      </c>
      <c r="V1216" s="1" t="s">
        <v>23</v>
      </c>
      <c r="W1216" s="1" t="s">
        <v>24</v>
      </c>
      <c r="X1216" s="1">
        <v>2405</v>
      </c>
      <c r="Y1216" s="1">
        <v>2725</v>
      </c>
      <c r="Z1216" s="1">
        <v>2739</v>
      </c>
      <c r="AA1216" s="1" t="s">
        <v>24</v>
      </c>
      <c r="AB1216" s="1" t="s">
        <v>24</v>
      </c>
      <c r="AC1216" s="1" t="s">
        <v>24</v>
      </c>
      <c r="AD1216" s="1" t="s">
        <v>24</v>
      </c>
      <c r="AE1216" s="1" t="s">
        <v>24</v>
      </c>
      <c r="AF1216" s="22"/>
    </row>
    <row r="1217" spans="1:32" x14ac:dyDescent="0.2">
      <c r="A1217" s="1">
        <v>7322</v>
      </c>
      <c r="B1217" s="1" t="s">
        <v>3989</v>
      </c>
      <c r="C1217" s="5" t="s">
        <v>0</v>
      </c>
      <c r="D1217" s="1" t="s">
        <v>3990</v>
      </c>
      <c r="E1217" s="1" t="s">
        <v>3991</v>
      </c>
      <c r="F1217" s="1" t="s">
        <v>35</v>
      </c>
      <c r="G1217" s="1" t="s">
        <v>36</v>
      </c>
      <c r="H1217" s="1" t="s">
        <v>37</v>
      </c>
      <c r="I1217" s="1" t="s">
        <v>16</v>
      </c>
      <c r="J1217" s="1">
        <v>2</v>
      </c>
      <c r="K1217" s="1">
        <v>6</v>
      </c>
      <c r="L1217" s="1" t="s">
        <v>31</v>
      </c>
      <c r="M1217" s="1" t="s">
        <v>18</v>
      </c>
      <c r="N1217" s="1" t="s">
        <v>18</v>
      </c>
      <c r="O1217" s="1">
        <v>3</v>
      </c>
      <c r="P1217" s="1">
        <v>7</v>
      </c>
      <c r="Q1217" s="7" t="s">
        <v>17633</v>
      </c>
      <c r="R1217" s="1" t="s">
        <v>62</v>
      </c>
      <c r="S1217" s="1" t="s">
        <v>20</v>
      </c>
      <c r="T1217" s="1" t="s">
        <v>21</v>
      </c>
      <c r="U1217" s="1" t="s">
        <v>22</v>
      </c>
      <c r="V1217" s="1" t="s">
        <v>24</v>
      </c>
      <c r="W1217" s="1" t="s">
        <v>24</v>
      </c>
      <c r="X1217" s="1">
        <v>2403</v>
      </c>
      <c r="Y1217" s="1">
        <v>2723</v>
      </c>
      <c r="Z1217" s="1">
        <v>1311</v>
      </c>
      <c r="AA1217" s="1" t="s">
        <v>24</v>
      </c>
      <c r="AB1217" s="1" t="s">
        <v>24</v>
      </c>
      <c r="AC1217" s="1" t="s">
        <v>24</v>
      </c>
      <c r="AD1217" s="1" t="s">
        <v>24</v>
      </c>
      <c r="AE1217" s="1" t="s">
        <v>24</v>
      </c>
      <c r="AF1217" s="22"/>
    </row>
    <row r="1218" spans="1:32" x14ac:dyDescent="0.2">
      <c r="A1218" s="1">
        <v>7344</v>
      </c>
      <c r="B1218" s="1" t="s">
        <v>3992</v>
      </c>
      <c r="C1218" s="5" t="s">
        <v>0</v>
      </c>
      <c r="D1218" s="1" t="s">
        <v>3993</v>
      </c>
      <c r="F1218" s="1" t="s">
        <v>3994</v>
      </c>
      <c r="G1218" s="1" t="s">
        <v>3995</v>
      </c>
      <c r="H1218" s="1" t="s">
        <v>3996</v>
      </c>
      <c r="I1218" s="1" t="s">
        <v>16</v>
      </c>
      <c r="J1218" s="1">
        <v>1</v>
      </c>
      <c r="K1218" s="1">
        <v>12</v>
      </c>
      <c r="L1218" s="1" t="s">
        <v>42</v>
      </c>
      <c r="M1218" s="1" t="s">
        <v>87</v>
      </c>
      <c r="N1218" s="1" t="s">
        <v>18</v>
      </c>
      <c r="O1218" s="1">
        <v>1</v>
      </c>
      <c r="P1218" s="1">
        <v>4</v>
      </c>
      <c r="R1218" s="1" t="s">
        <v>19</v>
      </c>
      <c r="S1218" s="1" t="s">
        <v>20</v>
      </c>
      <c r="T1218" s="1" t="s">
        <v>21</v>
      </c>
      <c r="U1218" s="1" t="s">
        <v>22</v>
      </c>
      <c r="V1218" s="1" t="s">
        <v>24</v>
      </c>
      <c r="W1218" s="1" t="s">
        <v>24</v>
      </c>
      <c r="X1218" s="1">
        <v>2700</v>
      </c>
      <c r="Y1218" s="1" t="s">
        <v>24</v>
      </c>
      <c r="Z1218" s="1" t="s">
        <v>24</v>
      </c>
      <c r="AA1218" s="1" t="s">
        <v>24</v>
      </c>
      <c r="AB1218" s="1" t="s">
        <v>24</v>
      </c>
      <c r="AC1218" s="1" t="s">
        <v>24</v>
      </c>
      <c r="AD1218" s="1" t="s">
        <v>24</v>
      </c>
      <c r="AE1218" s="1" t="s">
        <v>24</v>
      </c>
      <c r="AF1218" s="22"/>
    </row>
    <row r="1219" spans="1:32" x14ac:dyDescent="0.2">
      <c r="A1219" s="1">
        <v>7345</v>
      </c>
      <c r="B1219" s="1" t="s">
        <v>3997</v>
      </c>
      <c r="C1219" s="5" t="s">
        <v>0</v>
      </c>
      <c r="D1219" s="1" t="s">
        <v>3998</v>
      </c>
      <c r="E1219" s="1" t="s">
        <v>3999</v>
      </c>
      <c r="F1219" s="1" t="s">
        <v>3695</v>
      </c>
      <c r="G1219" s="1" t="s">
        <v>3695</v>
      </c>
      <c r="H1219" s="1" t="s">
        <v>684</v>
      </c>
      <c r="I1219" s="1" t="s">
        <v>16</v>
      </c>
      <c r="J1219" s="1">
        <v>1</v>
      </c>
      <c r="K1219" s="1">
        <v>6</v>
      </c>
      <c r="L1219" s="1" t="s">
        <v>42</v>
      </c>
      <c r="M1219" s="1" t="s">
        <v>18</v>
      </c>
      <c r="N1219" s="1" t="s">
        <v>1755</v>
      </c>
      <c r="O1219" s="1">
        <v>3</v>
      </c>
      <c r="P1219" s="1">
        <v>5</v>
      </c>
      <c r="R1219" s="1" t="s">
        <v>19</v>
      </c>
      <c r="S1219" s="1" t="s">
        <v>20</v>
      </c>
      <c r="T1219" s="1" t="s">
        <v>21</v>
      </c>
      <c r="U1219" s="1" t="s">
        <v>22</v>
      </c>
      <c r="V1219" s="1" t="s">
        <v>24</v>
      </c>
      <c r="W1219" s="1" t="s">
        <v>24</v>
      </c>
      <c r="X1219" s="1">
        <v>1306</v>
      </c>
      <c r="Y1219" s="1">
        <v>2730</v>
      </c>
      <c r="Z1219" s="1" t="s">
        <v>24</v>
      </c>
      <c r="AA1219" s="1" t="s">
        <v>24</v>
      </c>
      <c r="AB1219" s="1" t="s">
        <v>24</v>
      </c>
      <c r="AC1219" s="1" t="s">
        <v>24</v>
      </c>
      <c r="AD1219" s="1" t="s">
        <v>24</v>
      </c>
      <c r="AE1219" s="1" t="s">
        <v>24</v>
      </c>
      <c r="AF1219" s="22"/>
    </row>
    <row r="1220" spans="1:32" x14ac:dyDescent="0.2">
      <c r="A1220" s="1">
        <v>7347</v>
      </c>
      <c r="B1220" s="1" t="s">
        <v>4000</v>
      </c>
      <c r="C1220" s="5" t="s">
        <v>0</v>
      </c>
      <c r="D1220" s="1" t="s">
        <v>4001</v>
      </c>
      <c r="F1220" s="1" t="s">
        <v>4002</v>
      </c>
      <c r="G1220" s="1" t="s">
        <v>4002</v>
      </c>
      <c r="H1220" s="1" t="s">
        <v>461</v>
      </c>
      <c r="I1220" s="1" t="s">
        <v>16</v>
      </c>
      <c r="J1220" s="1">
        <v>1</v>
      </c>
      <c r="K1220" s="1">
        <v>1</v>
      </c>
      <c r="L1220" s="1" t="s">
        <v>42</v>
      </c>
      <c r="M1220" s="1" t="s">
        <v>18</v>
      </c>
      <c r="N1220" s="1" t="s">
        <v>18</v>
      </c>
      <c r="O1220" s="1">
        <v>3</v>
      </c>
      <c r="P1220" s="1">
        <v>5</v>
      </c>
      <c r="R1220" s="1" t="s">
        <v>19</v>
      </c>
      <c r="S1220" s="1" t="s">
        <v>20</v>
      </c>
      <c r="T1220" s="1" t="s">
        <v>21</v>
      </c>
      <c r="U1220" s="1" t="s">
        <v>22</v>
      </c>
      <c r="V1220" s="1" t="s">
        <v>24</v>
      </c>
      <c r="W1220" s="1" t="s">
        <v>24</v>
      </c>
      <c r="X1220" s="1">
        <v>1306</v>
      </c>
      <c r="Y1220" s="1">
        <v>2730</v>
      </c>
      <c r="Z1220" s="1" t="s">
        <v>24</v>
      </c>
      <c r="AA1220" s="1" t="s">
        <v>24</v>
      </c>
      <c r="AB1220" s="1" t="s">
        <v>24</v>
      </c>
      <c r="AC1220" s="1" t="s">
        <v>24</v>
      </c>
      <c r="AD1220" s="1" t="s">
        <v>24</v>
      </c>
      <c r="AE1220" s="1" t="s">
        <v>24</v>
      </c>
      <c r="AF1220" s="22"/>
    </row>
    <row r="1221" spans="1:32" x14ac:dyDescent="0.2">
      <c r="A1221" s="1">
        <v>7349</v>
      </c>
      <c r="B1221" s="1" t="s">
        <v>4003</v>
      </c>
      <c r="C1221" s="5" t="s">
        <v>0</v>
      </c>
      <c r="D1221" s="1" t="s">
        <v>4004</v>
      </c>
      <c r="E1221" s="1" t="s">
        <v>4005</v>
      </c>
      <c r="F1221" s="1" t="s">
        <v>412</v>
      </c>
      <c r="G1221" s="1" t="s">
        <v>372</v>
      </c>
      <c r="H1221" s="1" t="s">
        <v>168</v>
      </c>
      <c r="I1221" s="1" t="s">
        <v>16</v>
      </c>
      <c r="J1221" s="1">
        <v>1</v>
      </c>
      <c r="K1221" s="1">
        <v>8</v>
      </c>
      <c r="L1221" s="1" t="s">
        <v>31</v>
      </c>
      <c r="M1221" s="1" t="s">
        <v>679</v>
      </c>
      <c r="N1221" s="1" t="s">
        <v>18</v>
      </c>
      <c r="O1221" s="1">
        <v>3</v>
      </c>
      <c r="P1221" s="1">
        <v>7</v>
      </c>
      <c r="Q1221" s="7" t="s">
        <v>17633</v>
      </c>
      <c r="R1221" s="1" t="s">
        <v>19</v>
      </c>
      <c r="S1221" s="1" t="s">
        <v>63</v>
      </c>
      <c r="T1221" s="1" t="s">
        <v>21</v>
      </c>
      <c r="U1221" s="1" t="s">
        <v>22</v>
      </c>
      <c r="V1221" s="1" t="s">
        <v>24</v>
      </c>
      <c r="W1221" s="1" t="s">
        <v>24</v>
      </c>
      <c r="X1221" s="1">
        <v>2705</v>
      </c>
      <c r="Y1221" s="1">
        <v>2746</v>
      </c>
      <c r="Z1221" s="1">
        <v>2740</v>
      </c>
      <c r="AA1221" s="1" t="s">
        <v>24</v>
      </c>
      <c r="AB1221" s="1" t="s">
        <v>24</v>
      </c>
      <c r="AC1221" s="1" t="s">
        <v>24</v>
      </c>
      <c r="AD1221" s="1" t="s">
        <v>24</v>
      </c>
      <c r="AE1221" s="1" t="s">
        <v>24</v>
      </c>
      <c r="AF1221" s="22"/>
    </row>
    <row r="1222" spans="1:32" x14ac:dyDescent="0.2">
      <c r="A1222" s="1">
        <v>7351</v>
      </c>
      <c r="B1222" s="1" t="s">
        <v>4006</v>
      </c>
      <c r="C1222" s="5" t="s">
        <v>0</v>
      </c>
      <c r="D1222" s="1" t="s">
        <v>4007</v>
      </c>
      <c r="E1222" s="1" t="s">
        <v>4008</v>
      </c>
      <c r="F1222" s="1" t="s">
        <v>60</v>
      </c>
      <c r="G1222" s="1" t="s">
        <v>61</v>
      </c>
      <c r="H1222" s="1" t="s">
        <v>30</v>
      </c>
      <c r="I1222" s="1" t="s">
        <v>16</v>
      </c>
      <c r="J1222" s="1">
        <v>8</v>
      </c>
      <c r="K1222" s="1">
        <v>3</v>
      </c>
      <c r="L1222" s="1" t="s">
        <v>31</v>
      </c>
      <c r="M1222" s="1" t="s">
        <v>18</v>
      </c>
      <c r="N1222" s="1" t="s">
        <v>18</v>
      </c>
      <c r="O1222" s="1">
        <v>3</v>
      </c>
      <c r="P1222" s="1">
        <v>6</v>
      </c>
      <c r="R1222" s="1" t="s">
        <v>62</v>
      </c>
      <c r="S1222" s="1" t="s">
        <v>63</v>
      </c>
      <c r="T1222" s="1" t="s">
        <v>21</v>
      </c>
      <c r="U1222" s="1" t="s">
        <v>22</v>
      </c>
      <c r="V1222" s="1" t="s">
        <v>24</v>
      </c>
      <c r="W1222" s="1" t="s">
        <v>24</v>
      </c>
      <c r="X1222" s="1">
        <v>3004</v>
      </c>
      <c r="Y1222" s="1">
        <v>3005</v>
      </c>
      <c r="Z1222" s="1" t="s">
        <v>24</v>
      </c>
      <c r="AA1222" s="1" t="s">
        <v>24</v>
      </c>
      <c r="AB1222" s="1" t="s">
        <v>24</v>
      </c>
      <c r="AC1222" s="1" t="s">
        <v>24</v>
      </c>
      <c r="AD1222" s="1" t="s">
        <v>24</v>
      </c>
      <c r="AE1222" s="1" t="s">
        <v>24</v>
      </c>
      <c r="AF1222" s="22"/>
    </row>
    <row r="1223" spans="1:32" x14ac:dyDescent="0.2">
      <c r="A1223" s="1">
        <v>7352</v>
      </c>
      <c r="B1223" s="1" t="s">
        <v>4009</v>
      </c>
      <c r="C1223" s="5" t="s">
        <v>0</v>
      </c>
      <c r="D1223" s="1" t="s">
        <v>4010</v>
      </c>
      <c r="E1223" s="1" t="s">
        <v>4011</v>
      </c>
      <c r="F1223" s="1" t="s">
        <v>221</v>
      </c>
      <c r="G1223" s="1" t="s">
        <v>61</v>
      </c>
      <c r="H1223" s="1" t="s">
        <v>222</v>
      </c>
      <c r="I1223" s="1" t="s">
        <v>16</v>
      </c>
      <c r="J1223" s="1">
        <v>12</v>
      </c>
      <c r="K1223" s="1">
        <v>3</v>
      </c>
      <c r="L1223" s="1" t="s">
        <v>31</v>
      </c>
      <c r="M1223" s="1" t="s">
        <v>18</v>
      </c>
      <c r="N1223" s="1" t="s">
        <v>18</v>
      </c>
      <c r="O1223" s="1">
        <v>3</v>
      </c>
      <c r="P1223" s="1">
        <v>7</v>
      </c>
      <c r="Q1223" s="7" t="s">
        <v>17633</v>
      </c>
      <c r="R1223" s="1" t="s">
        <v>19</v>
      </c>
      <c r="S1223" s="1" t="s">
        <v>63</v>
      </c>
      <c r="T1223" s="1" t="s">
        <v>21</v>
      </c>
      <c r="U1223" s="1" t="s">
        <v>22</v>
      </c>
      <c r="V1223" s="1" t="s">
        <v>24</v>
      </c>
      <c r="W1223" s="1" t="s">
        <v>24</v>
      </c>
      <c r="X1223" s="1">
        <v>3005</v>
      </c>
      <c r="Y1223" s="1" t="s">
        <v>24</v>
      </c>
      <c r="Z1223" s="1" t="s">
        <v>24</v>
      </c>
      <c r="AA1223" s="1" t="s">
        <v>24</v>
      </c>
      <c r="AB1223" s="1" t="s">
        <v>24</v>
      </c>
      <c r="AC1223" s="1" t="s">
        <v>24</v>
      </c>
      <c r="AD1223" s="1" t="s">
        <v>24</v>
      </c>
      <c r="AE1223" s="1" t="s">
        <v>24</v>
      </c>
      <c r="AF1223" s="22"/>
    </row>
    <row r="1224" spans="1:32" x14ac:dyDescent="0.2">
      <c r="A1224" s="1">
        <v>7372</v>
      </c>
      <c r="B1224" s="1" t="s">
        <v>4012</v>
      </c>
      <c r="C1224" s="5" t="s">
        <v>0</v>
      </c>
      <c r="D1224" s="1" t="s">
        <v>4013</v>
      </c>
      <c r="E1224" s="1" t="s">
        <v>4014</v>
      </c>
      <c r="F1224" s="1" t="s">
        <v>303</v>
      </c>
      <c r="G1224" s="1" t="s">
        <v>61</v>
      </c>
      <c r="H1224" s="1" t="s">
        <v>30</v>
      </c>
      <c r="I1224" s="1" t="s">
        <v>16</v>
      </c>
      <c r="J1224" s="1">
        <v>1</v>
      </c>
      <c r="K1224" s="1">
        <v>4</v>
      </c>
      <c r="L1224" s="1" t="s">
        <v>31</v>
      </c>
      <c r="M1224" s="1" t="s">
        <v>18</v>
      </c>
      <c r="N1224" s="1" t="s">
        <v>18</v>
      </c>
      <c r="O1224" s="1">
        <v>2</v>
      </c>
      <c r="P1224" s="1">
        <v>7</v>
      </c>
      <c r="Q1224" s="7" t="s">
        <v>17633</v>
      </c>
      <c r="R1224" s="1" t="s">
        <v>19</v>
      </c>
      <c r="S1224" s="1" t="s">
        <v>20</v>
      </c>
      <c r="T1224" s="1" t="s">
        <v>21</v>
      </c>
      <c r="U1224" s="1" t="s">
        <v>22</v>
      </c>
      <c r="V1224" s="1" t="s">
        <v>23</v>
      </c>
      <c r="W1224" s="1" t="s">
        <v>24</v>
      </c>
      <c r="X1224" s="1">
        <v>2748</v>
      </c>
      <c r="Y1224" s="1" t="s">
        <v>24</v>
      </c>
      <c r="Z1224" s="1" t="s">
        <v>24</v>
      </c>
      <c r="AA1224" s="1" t="s">
        <v>24</v>
      </c>
      <c r="AB1224" s="1" t="s">
        <v>24</v>
      </c>
      <c r="AC1224" s="1" t="s">
        <v>24</v>
      </c>
      <c r="AD1224" s="1" t="s">
        <v>24</v>
      </c>
      <c r="AE1224" s="1" t="s">
        <v>24</v>
      </c>
      <c r="AF1224" s="22"/>
    </row>
    <row r="1225" spans="1:32" x14ac:dyDescent="0.2">
      <c r="A1225" s="1">
        <v>7383</v>
      </c>
      <c r="B1225" s="1" t="s">
        <v>4015</v>
      </c>
      <c r="C1225" s="5" t="s">
        <v>0</v>
      </c>
      <c r="D1225" s="1" t="s">
        <v>4016</v>
      </c>
      <c r="E1225" s="1" t="s">
        <v>4017</v>
      </c>
      <c r="F1225" s="1" t="s">
        <v>91</v>
      </c>
      <c r="G1225" s="1" t="s">
        <v>61</v>
      </c>
      <c r="H1225" s="1" t="s">
        <v>92</v>
      </c>
      <c r="I1225" s="1" t="s">
        <v>16</v>
      </c>
      <c r="J1225" s="1">
        <v>1</v>
      </c>
      <c r="K1225" s="1">
        <v>12</v>
      </c>
      <c r="L1225" s="1" t="s">
        <v>31</v>
      </c>
      <c r="M1225" s="1" t="s">
        <v>18</v>
      </c>
      <c r="N1225" s="1" t="s">
        <v>18</v>
      </c>
      <c r="O1225" s="1">
        <v>3</v>
      </c>
      <c r="P1225" s="1">
        <v>6</v>
      </c>
      <c r="R1225" s="1" t="s">
        <v>19</v>
      </c>
      <c r="S1225" s="1" t="s">
        <v>63</v>
      </c>
      <c r="T1225" s="1" t="s">
        <v>21</v>
      </c>
      <c r="U1225" s="1" t="s">
        <v>22</v>
      </c>
      <c r="V1225" s="1" t="s">
        <v>24</v>
      </c>
      <c r="W1225" s="1" t="s">
        <v>24</v>
      </c>
      <c r="X1225" s="1">
        <v>3107</v>
      </c>
      <c r="Y1225" s="1">
        <v>3105</v>
      </c>
      <c r="Z1225" s="1">
        <v>2504</v>
      </c>
      <c r="AA1225" s="1" t="s">
        <v>24</v>
      </c>
      <c r="AB1225" s="1" t="s">
        <v>24</v>
      </c>
      <c r="AC1225" s="1" t="s">
        <v>24</v>
      </c>
      <c r="AD1225" s="1" t="s">
        <v>24</v>
      </c>
      <c r="AE1225" s="1" t="s">
        <v>24</v>
      </c>
      <c r="AF1225" s="22"/>
    </row>
    <row r="1226" spans="1:32" x14ac:dyDescent="0.2">
      <c r="A1226" s="1">
        <v>7389</v>
      </c>
      <c r="B1226" s="1" t="s">
        <v>4018</v>
      </c>
      <c r="C1226" s="5" t="s">
        <v>0</v>
      </c>
      <c r="D1226" s="1" t="s">
        <v>4019</v>
      </c>
      <c r="F1226" s="1" t="s">
        <v>4020</v>
      </c>
      <c r="G1226" s="1" t="s">
        <v>4021</v>
      </c>
      <c r="H1226" s="1" t="s">
        <v>37</v>
      </c>
      <c r="I1226" s="1" t="s">
        <v>16</v>
      </c>
      <c r="J1226" s="1">
        <v>1</v>
      </c>
      <c r="K1226" s="1">
        <v>3</v>
      </c>
      <c r="L1226" s="1" t="s">
        <v>42</v>
      </c>
      <c r="M1226" s="1" t="s">
        <v>18</v>
      </c>
      <c r="N1226" s="1" t="s">
        <v>18</v>
      </c>
      <c r="O1226" s="1">
        <v>3</v>
      </c>
      <c r="P1226" s="1">
        <v>6</v>
      </c>
      <c r="R1226" s="1" t="s">
        <v>19</v>
      </c>
      <c r="S1226" s="1" t="s">
        <v>20</v>
      </c>
      <c r="T1226" s="1" t="s">
        <v>21</v>
      </c>
      <c r="U1226" s="1" t="s">
        <v>22</v>
      </c>
      <c r="V1226" s="1" t="s">
        <v>24</v>
      </c>
      <c r="W1226" s="1" t="s">
        <v>24</v>
      </c>
      <c r="X1226" s="1">
        <v>2700</v>
      </c>
      <c r="Y1226" s="1" t="s">
        <v>24</v>
      </c>
      <c r="Z1226" s="1" t="s">
        <v>24</v>
      </c>
      <c r="AA1226" s="1" t="s">
        <v>24</v>
      </c>
      <c r="AB1226" s="1" t="s">
        <v>24</v>
      </c>
      <c r="AC1226" s="1" t="s">
        <v>24</v>
      </c>
      <c r="AD1226" s="1" t="s">
        <v>24</v>
      </c>
      <c r="AE1226" s="1" t="s">
        <v>24</v>
      </c>
      <c r="AF1226" s="22"/>
    </row>
    <row r="1227" spans="1:32" x14ac:dyDescent="0.2">
      <c r="A1227" s="1">
        <v>7408</v>
      </c>
      <c r="B1227" s="1" t="s">
        <v>4022</v>
      </c>
      <c r="C1227" s="5" t="s">
        <v>0</v>
      </c>
      <c r="D1227" s="1" t="s">
        <v>4023</v>
      </c>
      <c r="E1227" s="1" t="s">
        <v>4024</v>
      </c>
      <c r="F1227" s="1" t="s">
        <v>167</v>
      </c>
      <c r="G1227" s="1" t="s">
        <v>130</v>
      </c>
      <c r="H1227" s="1" t="s">
        <v>168</v>
      </c>
      <c r="I1227" s="1" t="s">
        <v>16</v>
      </c>
      <c r="J1227" s="1">
        <v>1</v>
      </c>
      <c r="K1227" s="1">
        <v>12</v>
      </c>
      <c r="L1227" s="1" t="s">
        <v>31</v>
      </c>
      <c r="M1227" s="1" t="s">
        <v>413</v>
      </c>
      <c r="N1227" s="1" t="s">
        <v>18</v>
      </c>
      <c r="O1227" s="1">
        <v>3</v>
      </c>
      <c r="P1227" s="1">
        <v>6</v>
      </c>
      <c r="R1227" s="1" t="s">
        <v>19</v>
      </c>
      <c r="S1227" s="1" t="s">
        <v>20</v>
      </c>
      <c r="T1227" s="1" t="s">
        <v>21</v>
      </c>
      <c r="U1227" s="1" t="s">
        <v>22</v>
      </c>
      <c r="V1227" s="1" t="s">
        <v>24</v>
      </c>
      <c r="W1227" s="1" t="s">
        <v>24</v>
      </c>
      <c r="X1227" s="1">
        <v>2748</v>
      </c>
      <c r="Y1227" s="1" t="s">
        <v>24</v>
      </c>
      <c r="Z1227" s="1" t="s">
        <v>24</v>
      </c>
      <c r="AA1227" s="1" t="s">
        <v>24</v>
      </c>
      <c r="AB1227" s="1" t="s">
        <v>24</v>
      </c>
      <c r="AC1227" s="1" t="s">
        <v>24</v>
      </c>
      <c r="AD1227" s="1" t="s">
        <v>24</v>
      </c>
      <c r="AE1227" s="1" t="s">
        <v>24</v>
      </c>
      <c r="AF1227" s="22"/>
    </row>
    <row r="1228" spans="1:32" x14ac:dyDescent="0.2">
      <c r="A1228" s="1">
        <v>7409</v>
      </c>
      <c r="B1228" s="1" t="s">
        <v>4025</v>
      </c>
      <c r="C1228" s="5" t="s">
        <v>0</v>
      </c>
      <c r="D1228" s="1" t="s">
        <v>4026</v>
      </c>
      <c r="E1228" s="1" t="s">
        <v>4027</v>
      </c>
      <c r="F1228" s="1" t="s">
        <v>272</v>
      </c>
      <c r="G1228" s="1" t="s">
        <v>61</v>
      </c>
      <c r="H1228" s="1" t="s">
        <v>30</v>
      </c>
      <c r="I1228" s="1" t="s">
        <v>16</v>
      </c>
      <c r="J1228" s="1">
        <v>2</v>
      </c>
      <c r="K1228" s="1">
        <v>6</v>
      </c>
      <c r="L1228" s="1" t="s">
        <v>31</v>
      </c>
      <c r="M1228" s="1" t="s">
        <v>18</v>
      </c>
      <c r="N1228" s="1" t="s">
        <v>18</v>
      </c>
      <c r="O1228" s="1">
        <v>3</v>
      </c>
      <c r="P1228" s="1">
        <v>7</v>
      </c>
      <c r="Q1228" s="7" t="s">
        <v>17633</v>
      </c>
      <c r="R1228" s="1" t="s">
        <v>19</v>
      </c>
      <c r="S1228" s="1" t="s">
        <v>20</v>
      </c>
      <c r="T1228" s="1" t="s">
        <v>21</v>
      </c>
      <c r="U1228" s="1" t="s">
        <v>22</v>
      </c>
      <c r="V1228" s="1" t="s">
        <v>24</v>
      </c>
      <c r="W1228" s="1" t="s">
        <v>24</v>
      </c>
      <c r="X1228" s="1">
        <v>2748</v>
      </c>
      <c r="Y1228" s="1" t="s">
        <v>24</v>
      </c>
      <c r="Z1228" s="1" t="s">
        <v>24</v>
      </c>
      <c r="AA1228" s="1" t="s">
        <v>24</v>
      </c>
      <c r="AB1228" s="1" t="s">
        <v>24</v>
      </c>
      <c r="AC1228" s="1" t="s">
        <v>24</v>
      </c>
      <c r="AD1228" s="1" t="s">
        <v>24</v>
      </c>
      <c r="AE1228" s="1" t="s">
        <v>24</v>
      </c>
      <c r="AF1228" s="22"/>
    </row>
    <row r="1229" spans="1:32" x14ac:dyDescent="0.2">
      <c r="A1229" s="1">
        <v>7410</v>
      </c>
      <c r="B1229" s="1" t="s">
        <v>4028</v>
      </c>
      <c r="C1229" s="5" t="s">
        <v>0</v>
      </c>
      <c r="D1229" s="1" t="s">
        <v>4029</v>
      </c>
      <c r="E1229" s="1" t="s">
        <v>4030</v>
      </c>
      <c r="F1229" s="1" t="s">
        <v>109</v>
      </c>
      <c r="G1229" s="1" t="s">
        <v>110</v>
      </c>
      <c r="H1229" s="1" t="s">
        <v>111</v>
      </c>
      <c r="I1229" s="1" t="s">
        <v>16</v>
      </c>
      <c r="J1229" s="1">
        <v>2</v>
      </c>
      <c r="K1229" s="1">
        <v>4</v>
      </c>
      <c r="L1229" s="1" t="s">
        <v>31</v>
      </c>
      <c r="M1229" s="1" t="s">
        <v>18</v>
      </c>
      <c r="N1229" s="1" t="s">
        <v>18</v>
      </c>
      <c r="O1229" s="1">
        <v>3</v>
      </c>
      <c r="P1229" s="1">
        <v>7</v>
      </c>
      <c r="Q1229" s="7" t="s">
        <v>17633</v>
      </c>
      <c r="R1229" s="1" t="s">
        <v>19</v>
      </c>
      <c r="S1229" s="1" t="s">
        <v>20</v>
      </c>
      <c r="T1229" s="1" t="s">
        <v>21</v>
      </c>
      <c r="U1229" s="1" t="s">
        <v>22</v>
      </c>
      <c r="V1229" s="1" t="s">
        <v>24</v>
      </c>
      <c r="W1229" s="1" t="s">
        <v>24</v>
      </c>
      <c r="X1229" s="1">
        <v>2748</v>
      </c>
      <c r="Y1229" s="1" t="s">
        <v>24</v>
      </c>
      <c r="Z1229" s="1" t="s">
        <v>24</v>
      </c>
      <c r="AA1229" s="1" t="s">
        <v>24</v>
      </c>
      <c r="AB1229" s="1" t="s">
        <v>24</v>
      </c>
      <c r="AC1229" s="1" t="s">
        <v>24</v>
      </c>
      <c r="AD1229" s="1" t="s">
        <v>24</v>
      </c>
      <c r="AE1229" s="1" t="s">
        <v>24</v>
      </c>
      <c r="AF1229" s="22"/>
    </row>
    <row r="1230" spans="1:32" x14ac:dyDescent="0.2">
      <c r="A1230" s="1">
        <v>7421</v>
      </c>
      <c r="B1230" s="1" t="s">
        <v>4031</v>
      </c>
      <c r="C1230" s="5" t="s">
        <v>0</v>
      </c>
      <c r="D1230" s="1" t="s">
        <v>4032</v>
      </c>
      <c r="E1230" s="1" t="s">
        <v>4033</v>
      </c>
      <c r="F1230" s="1" t="s">
        <v>673</v>
      </c>
      <c r="G1230" s="1" t="s">
        <v>61</v>
      </c>
      <c r="H1230" s="1" t="s">
        <v>30</v>
      </c>
      <c r="I1230" s="1" t="s">
        <v>16</v>
      </c>
      <c r="J1230" s="1">
        <v>1</v>
      </c>
      <c r="K1230" s="1">
        <v>12</v>
      </c>
      <c r="L1230" s="1" t="s">
        <v>31</v>
      </c>
      <c r="M1230" s="1" t="s">
        <v>18</v>
      </c>
      <c r="N1230" s="1" t="s">
        <v>18</v>
      </c>
      <c r="O1230" s="1">
        <v>3</v>
      </c>
      <c r="P1230" s="1">
        <v>7</v>
      </c>
      <c r="Q1230" s="7" t="s">
        <v>17633</v>
      </c>
      <c r="R1230" s="1" t="s">
        <v>19</v>
      </c>
      <c r="S1230" s="1" t="s">
        <v>20</v>
      </c>
      <c r="T1230" s="1" t="s">
        <v>21</v>
      </c>
      <c r="U1230" s="1" t="s">
        <v>22</v>
      </c>
      <c r="V1230" s="1" t="s">
        <v>23</v>
      </c>
      <c r="W1230" s="1" t="s">
        <v>24</v>
      </c>
      <c r="X1230" s="1">
        <v>2741</v>
      </c>
      <c r="Y1230" s="1">
        <v>3614</v>
      </c>
      <c r="Z1230" s="1">
        <v>1304</v>
      </c>
      <c r="AA1230" s="1" t="s">
        <v>24</v>
      </c>
      <c r="AB1230" s="1" t="s">
        <v>24</v>
      </c>
      <c r="AC1230" s="1" t="s">
        <v>24</v>
      </c>
      <c r="AD1230" s="1" t="s">
        <v>24</v>
      </c>
      <c r="AE1230" s="1" t="s">
        <v>24</v>
      </c>
      <c r="AF1230" s="22"/>
    </row>
    <row r="1231" spans="1:32" x14ac:dyDescent="0.2">
      <c r="A1231" s="1">
        <v>7431</v>
      </c>
      <c r="B1231" s="1" t="s">
        <v>4034</v>
      </c>
      <c r="C1231" s="5" t="s">
        <v>0</v>
      </c>
      <c r="D1231" s="1" t="s">
        <v>4035</v>
      </c>
      <c r="E1231" s="1" t="s">
        <v>4036</v>
      </c>
      <c r="F1231" s="1" t="s">
        <v>155</v>
      </c>
      <c r="G1231" s="1" t="s">
        <v>61</v>
      </c>
      <c r="H1231" s="1" t="s">
        <v>37</v>
      </c>
      <c r="I1231" s="1" t="s">
        <v>16</v>
      </c>
      <c r="J1231" s="1">
        <v>1</v>
      </c>
      <c r="K1231" s="1">
        <v>52</v>
      </c>
      <c r="L1231" s="1" t="s">
        <v>31</v>
      </c>
      <c r="M1231" s="1" t="s">
        <v>18</v>
      </c>
      <c r="N1231" s="1" t="s">
        <v>18</v>
      </c>
      <c r="O1231" s="1">
        <v>3</v>
      </c>
      <c r="P1231" s="1">
        <v>7</v>
      </c>
      <c r="Q1231" s="7" t="s">
        <v>17633</v>
      </c>
      <c r="R1231" s="1" t="s">
        <v>62</v>
      </c>
      <c r="S1231" s="1" t="s">
        <v>20</v>
      </c>
      <c r="T1231" s="1" t="s">
        <v>21</v>
      </c>
      <c r="U1231" s="1" t="s">
        <v>22</v>
      </c>
      <c r="V1231" s="1" t="s">
        <v>24</v>
      </c>
      <c r="W1231" s="1" t="s">
        <v>24</v>
      </c>
      <c r="X1231" s="1">
        <v>2400</v>
      </c>
      <c r="Y1231" s="1">
        <v>2725</v>
      </c>
      <c r="Z1231" s="1">
        <v>2739</v>
      </c>
      <c r="AA1231" s="1">
        <v>3400</v>
      </c>
      <c r="AB1231" s="1">
        <v>1313</v>
      </c>
      <c r="AC1231" s="1" t="s">
        <v>24</v>
      </c>
      <c r="AD1231" s="1" t="s">
        <v>24</v>
      </c>
      <c r="AE1231" s="1" t="s">
        <v>24</v>
      </c>
      <c r="AF1231" s="22"/>
    </row>
    <row r="1232" spans="1:32" x14ac:dyDescent="0.2">
      <c r="A1232" s="1">
        <v>7437</v>
      </c>
      <c r="B1232" s="1" t="s">
        <v>4037</v>
      </c>
      <c r="C1232" s="5" t="s">
        <v>0</v>
      </c>
      <c r="D1232" s="1" t="s">
        <v>4038</v>
      </c>
      <c r="F1232" s="1" t="s">
        <v>2009</v>
      </c>
      <c r="G1232" s="1" t="s">
        <v>2009</v>
      </c>
      <c r="H1232" s="1" t="s">
        <v>111</v>
      </c>
      <c r="I1232" s="1" t="s">
        <v>16</v>
      </c>
      <c r="J1232" s="1">
        <v>1</v>
      </c>
      <c r="K1232" s="1">
        <v>4</v>
      </c>
      <c r="L1232" s="1" t="s">
        <v>42</v>
      </c>
      <c r="M1232" s="1" t="s">
        <v>242</v>
      </c>
      <c r="N1232" s="1" t="s">
        <v>18</v>
      </c>
      <c r="O1232" s="1">
        <v>2</v>
      </c>
      <c r="P1232" s="1">
        <v>5</v>
      </c>
      <c r="R1232" s="1" t="s">
        <v>19</v>
      </c>
      <c r="S1232" s="1" t="s">
        <v>20</v>
      </c>
      <c r="T1232" s="1" t="s">
        <v>21</v>
      </c>
      <c r="U1232" s="1" t="s">
        <v>22</v>
      </c>
      <c r="V1232" s="1" t="s">
        <v>24</v>
      </c>
      <c r="W1232" s="1" t="s">
        <v>24</v>
      </c>
      <c r="X1232" s="1">
        <v>2705</v>
      </c>
      <c r="Y1232" s="1" t="s">
        <v>24</v>
      </c>
      <c r="Z1232" s="1" t="s">
        <v>24</v>
      </c>
      <c r="AA1232" s="1" t="s">
        <v>24</v>
      </c>
      <c r="AB1232" s="1" t="s">
        <v>24</v>
      </c>
      <c r="AC1232" s="1" t="s">
        <v>24</v>
      </c>
      <c r="AD1232" s="1" t="s">
        <v>24</v>
      </c>
      <c r="AE1232" s="1" t="s">
        <v>24</v>
      </c>
      <c r="AF1232" s="22" t="s">
        <v>50543</v>
      </c>
    </row>
    <row r="1233" spans="1:32" x14ac:dyDescent="0.2">
      <c r="A1233" s="1">
        <v>7441</v>
      </c>
      <c r="B1233" s="1" t="s">
        <v>4039</v>
      </c>
      <c r="C1233" s="5" t="s">
        <v>0</v>
      </c>
      <c r="D1233" s="1" t="s">
        <v>4040</v>
      </c>
      <c r="E1233" s="1" t="s">
        <v>4041</v>
      </c>
      <c r="F1233" s="1" t="s">
        <v>303</v>
      </c>
      <c r="G1233" s="1" t="s">
        <v>61</v>
      </c>
      <c r="H1233" s="1" t="s">
        <v>30</v>
      </c>
      <c r="I1233" s="1" t="s">
        <v>16</v>
      </c>
      <c r="J1233" s="1">
        <v>1</v>
      </c>
      <c r="K1233" s="1">
        <v>6</v>
      </c>
      <c r="L1233" s="1" t="s">
        <v>31</v>
      </c>
      <c r="M1233" s="1" t="s">
        <v>18</v>
      </c>
      <c r="N1233" s="1" t="s">
        <v>18</v>
      </c>
      <c r="O1233" s="1">
        <v>3</v>
      </c>
      <c r="P1233" s="1">
        <v>6</v>
      </c>
      <c r="R1233" s="1" t="s">
        <v>19</v>
      </c>
      <c r="S1233" s="1" t="s">
        <v>20</v>
      </c>
      <c r="T1233" s="1" t="s">
        <v>21</v>
      </c>
      <c r="U1233" s="1" t="s">
        <v>22</v>
      </c>
      <c r="V1233" s="1" t="s">
        <v>24</v>
      </c>
      <c r="W1233" s="1" t="s">
        <v>24</v>
      </c>
      <c r="X1233" s="1">
        <v>3404</v>
      </c>
      <c r="Y1233" s="1" t="s">
        <v>24</v>
      </c>
      <c r="Z1233" s="1" t="s">
        <v>24</v>
      </c>
      <c r="AA1233" s="1" t="s">
        <v>24</v>
      </c>
      <c r="AB1233" s="1" t="s">
        <v>24</v>
      </c>
      <c r="AC1233" s="1" t="s">
        <v>24</v>
      </c>
      <c r="AD1233" s="1" t="s">
        <v>24</v>
      </c>
      <c r="AE1233" s="1" t="s">
        <v>24</v>
      </c>
      <c r="AF1233" s="22"/>
    </row>
    <row r="1234" spans="1:32" x14ac:dyDescent="0.2">
      <c r="A1234" s="1">
        <v>7478</v>
      </c>
      <c r="B1234" s="1" t="s">
        <v>4042</v>
      </c>
      <c r="C1234" s="5" t="s">
        <v>0</v>
      </c>
      <c r="D1234" s="1" t="s">
        <v>4043</v>
      </c>
      <c r="E1234" s="1" t="s">
        <v>4044</v>
      </c>
      <c r="F1234" s="1" t="s">
        <v>91</v>
      </c>
      <c r="G1234" s="1" t="s">
        <v>61</v>
      </c>
      <c r="H1234" s="1" t="s">
        <v>92</v>
      </c>
      <c r="I1234" s="1" t="s">
        <v>16</v>
      </c>
      <c r="J1234" s="1">
        <v>6</v>
      </c>
      <c r="K1234" s="1">
        <v>4</v>
      </c>
      <c r="L1234" s="1" t="s">
        <v>31</v>
      </c>
      <c r="M1234" s="1" t="s">
        <v>18</v>
      </c>
      <c r="N1234" s="1" t="s">
        <v>18</v>
      </c>
      <c r="O1234" s="1">
        <v>3</v>
      </c>
      <c r="P1234" s="1">
        <v>6</v>
      </c>
      <c r="R1234" s="1" t="s">
        <v>19</v>
      </c>
      <c r="S1234" s="1" t="s">
        <v>20</v>
      </c>
      <c r="T1234" s="1" t="s">
        <v>21</v>
      </c>
      <c r="U1234" s="1" t="s">
        <v>22</v>
      </c>
      <c r="V1234" s="1" t="s">
        <v>24</v>
      </c>
      <c r="W1234" s="1" t="s">
        <v>24</v>
      </c>
      <c r="X1234" s="1">
        <v>2403</v>
      </c>
      <c r="Y1234" s="1">
        <v>3400</v>
      </c>
      <c r="Z1234" s="1" t="s">
        <v>24</v>
      </c>
      <c r="AA1234" s="1" t="s">
        <v>24</v>
      </c>
      <c r="AB1234" s="1" t="s">
        <v>24</v>
      </c>
      <c r="AC1234" s="1" t="s">
        <v>24</v>
      </c>
      <c r="AD1234" s="1" t="s">
        <v>24</v>
      </c>
      <c r="AE1234" s="1" t="s">
        <v>24</v>
      </c>
      <c r="AF1234" s="22"/>
    </row>
    <row r="1235" spans="1:32" x14ac:dyDescent="0.2">
      <c r="A1235" s="1">
        <v>7483</v>
      </c>
      <c r="B1235" s="1" t="s">
        <v>4045</v>
      </c>
      <c r="C1235" s="5" t="s">
        <v>0</v>
      </c>
      <c r="D1235" s="1" t="s">
        <v>4046</v>
      </c>
      <c r="E1235" s="1" t="s">
        <v>4047</v>
      </c>
      <c r="F1235" s="1" t="s">
        <v>91</v>
      </c>
      <c r="G1235" s="1" t="s">
        <v>61</v>
      </c>
      <c r="H1235" s="1" t="s">
        <v>92</v>
      </c>
      <c r="I1235" s="1" t="s">
        <v>16</v>
      </c>
      <c r="J1235" s="1">
        <v>8</v>
      </c>
      <c r="K1235" s="1">
        <v>2</v>
      </c>
      <c r="L1235" s="1" t="s">
        <v>31</v>
      </c>
      <c r="M1235" s="1" t="s">
        <v>18</v>
      </c>
      <c r="N1235" s="1" t="s">
        <v>18</v>
      </c>
      <c r="O1235" s="1">
        <v>3</v>
      </c>
      <c r="P1235" s="1">
        <v>7</v>
      </c>
      <c r="Q1235" s="7" t="s">
        <v>17633</v>
      </c>
      <c r="R1235" s="1" t="s">
        <v>19</v>
      </c>
      <c r="S1235" s="1" t="s">
        <v>20</v>
      </c>
      <c r="T1235" s="1" t="s">
        <v>21</v>
      </c>
      <c r="U1235" s="1" t="s">
        <v>22</v>
      </c>
      <c r="V1235" s="1" t="s">
        <v>24</v>
      </c>
      <c r="W1235" s="1" t="s">
        <v>24</v>
      </c>
      <c r="X1235" s="1">
        <v>2406</v>
      </c>
      <c r="Y1235" s="1">
        <v>2725</v>
      </c>
      <c r="Z1235" s="1">
        <v>1306</v>
      </c>
      <c r="AA1235" s="1" t="s">
        <v>24</v>
      </c>
      <c r="AB1235" s="1" t="s">
        <v>24</v>
      </c>
      <c r="AC1235" s="1" t="s">
        <v>24</v>
      </c>
      <c r="AD1235" s="1" t="s">
        <v>24</v>
      </c>
      <c r="AE1235" s="1" t="s">
        <v>24</v>
      </c>
      <c r="AF1235" s="22"/>
    </row>
    <row r="1236" spans="1:32" x14ac:dyDescent="0.2">
      <c r="A1236" s="1">
        <v>7484</v>
      </c>
      <c r="B1236" s="1" t="s">
        <v>4048</v>
      </c>
      <c r="C1236" s="5" t="s">
        <v>0</v>
      </c>
      <c r="D1236" s="1" t="s">
        <v>4049</v>
      </c>
      <c r="E1236" s="1" t="s">
        <v>4050</v>
      </c>
      <c r="F1236" s="1" t="s">
        <v>60</v>
      </c>
      <c r="G1236" s="1" t="s">
        <v>61</v>
      </c>
      <c r="H1236" s="1" t="s">
        <v>30</v>
      </c>
      <c r="I1236" s="1" t="s">
        <v>16</v>
      </c>
      <c r="J1236" s="1">
        <v>1</v>
      </c>
      <c r="K1236" s="1">
        <v>1</v>
      </c>
      <c r="L1236" s="1" t="s">
        <v>31</v>
      </c>
      <c r="M1236" s="1" t="s">
        <v>18</v>
      </c>
      <c r="N1236" s="1" t="s">
        <v>18</v>
      </c>
      <c r="O1236" s="1">
        <v>3</v>
      </c>
      <c r="P1236" s="1">
        <v>8</v>
      </c>
      <c r="Q1236" s="7" t="s">
        <v>17633</v>
      </c>
      <c r="R1236" s="1" t="s">
        <v>62</v>
      </c>
      <c r="S1236" s="1" t="s">
        <v>63</v>
      </c>
      <c r="T1236" s="1" t="s">
        <v>21</v>
      </c>
      <c r="U1236" s="1" t="s">
        <v>22</v>
      </c>
      <c r="V1236" s="1" t="s">
        <v>24</v>
      </c>
      <c r="W1236" s="1" t="s">
        <v>24</v>
      </c>
      <c r="X1236" s="1">
        <v>2406</v>
      </c>
      <c r="Y1236" s="1" t="s">
        <v>24</v>
      </c>
      <c r="Z1236" s="1" t="s">
        <v>24</v>
      </c>
      <c r="AA1236" s="1" t="s">
        <v>24</v>
      </c>
      <c r="AB1236" s="1" t="s">
        <v>24</v>
      </c>
      <c r="AC1236" s="1" t="s">
        <v>24</v>
      </c>
      <c r="AD1236" s="1" t="s">
        <v>24</v>
      </c>
      <c r="AE1236" s="1" t="s">
        <v>24</v>
      </c>
      <c r="AF1236" s="22"/>
    </row>
    <row r="1237" spans="1:32" x14ac:dyDescent="0.2">
      <c r="A1237" s="1">
        <v>7486</v>
      </c>
      <c r="B1237" s="1" t="s">
        <v>4051</v>
      </c>
      <c r="C1237" s="5" t="s">
        <v>0</v>
      </c>
      <c r="D1237" s="1" t="s">
        <v>4052</v>
      </c>
      <c r="E1237" s="1" t="s">
        <v>4053</v>
      </c>
      <c r="F1237" s="1" t="s">
        <v>155</v>
      </c>
      <c r="G1237" s="1" t="s">
        <v>61</v>
      </c>
      <c r="H1237" s="1" t="s">
        <v>37</v>
      </c>
      <c r="I1237" s="1" t="s">
        <v>16</v>
      </c>
      <c r="J1237" s="1">
        <v>1</v>
      </c>
      <c r="K1237" s="1">
        <v>1</v>
      </c>
      <c r="L1237" s="1" t="s">
        <v>31</v>
      </c>
      <c r="M1237" s="1" t="s">
        <v>18</v>
      </c>
      <c r="N1237" s="1" t="s">
        <v>18</v>
      </c>
      <c r="O1237" s="1">
        <v>3</v>
      </c>
      <c r="P1237" s="1">
        <v>7</v>
      </c>
      <c r="Q1237" s="7" t="s">
        <v>17633</v>
      </c>
      <c r="R1237" s="1" t="s">
        <v>19</v>
      </c>
      <c r="S1237" s="1" t="s">
        <v>63</v>
      </c>
      <c r="T1237" s="1" t="s">
        <v>21</v>
      </c>
      <c r="U1237" s="1" t="s">
        <v>22</v>
      </c>
      <c r="V1237" s="1" t="s">
        <v>23</v>
      </c>
      <c r="W1237" s="1" t="s">
        <v>24</v>
      </c>
      <c r="X1237" s="1">
        <v>2731</v>
      </c>
      <c r="Y1237" s="1">
        <v>2809</v>
      </c>
      <c r="Z1237" s="1" t="s">
        <v>24</v>
      </c>
      <c r="AA1237" s="1" t="s">
        <v>24</v>
      </c>
      <c r="AB1237" s="1" t="s">
        <v>24</v>
      </c>
      <c r="AC1237" s="1" t="s">
        <v>24</v>
      </c>
      <c r="AD1237" s="1" t="s">
        <v>24</v>
      </c>
      <c r="AE1237" s="1" t="s">
        <v>24</v>
      </c>
      <c r="AF1237" s="22"/>
    </row>
    <row r="1238" spans="1:32" x14ac:dyDescent="0.2">
      <c r="A1238" s="1">
        <v>7500</v>
      </c>
      <c r="B1238" s="1" t="s">
        <v>4054</v>
      </c>
      <c r="C1238" s="5" t="s">
        <v>0</v>
      </c>
      <c r="D1238" s="1" t="s">
        <v>4055</v>
      </c>
      <c r="E1238" s="1" t="s">
        <v>4056</v>
      </c>
      <c r="F1238" s="1" t="s">
        <v>91</v>
      </c>
      <c r="G1238" s="1" t="s">
        <v>61</v>
      </c>
      <c r="H1238" s="1" t="s">
        <v>92</v>
      </c>
      <c r="I1238" s="1" t="s">
        <v>16</v>
      </c>
      <c r="J1238" s="1">
        <v>6</v>
      </c>
      <c r="K1238" s="1">
        <v>4</v>
      </c>
      <c r="L1238" s="1" t="s">
        <v>31</v>
      </c>
      <c r="M1238" s="1" t="s">
        <v>18</v>
      </c>
      <c r="N1238" s="1" t="s">
        <v>18</v>
      </c>
      <c r="O1238" s="1">
        <v>3</v>
      </c>
      <c r="P1238" s="1">
        <v>6</v>
      </c>
      <c r="R1238" s="1" t="s">
        <v>19</v>
      </c>
      <c r="S1238" s="1" t="s">
        <v>20</v>
      </c>
      <c r="T1238" s="1" t="s">
        <v>21</v>
      </c>
      <c r="U1238" s="1" t="s">
        <v>22</v>
      </c>
      <c r="V1238" s="1" t="s">
        <v>24</v>
      </c>
      <c r="W1238" s="1" t="s">
        <v>24</v>
      </c>
      <c r="X1238" s="1">
        <v>2404</v>
      </c>
      <c r="Y1238" s="1">
        <v>3400</v>
      </c>
      <c r="Z1238" s="1" t="s">
        <v>24</v>
      </c>
      <c r="AA1238" s="1" t="s">
        <v>24</v>
      </c>
      <c r="AB1238" s="1" t="s">
        <v>24</v>
      </c>
      <c r="AC1238" s="1" t="s">
        <v>24</v>
      </c>
      <c r="AD1238" s="1" t="s">
        <v>24</v>
      </c>
      <c r="AE1238" s="1" t="s">
        <v>24</v>
      </c>
      <c r="AF1238" s="22"/>
    </row>
    <row r="1239" spans="1:32" x14ac:dyDescent="0.2">
      <c r="A1239" s="1">
        <v>7504</v>
      </c>
      <c r="B1239" s="1" t="s">
        <v>4057</v>
      </c>
      <c r="C1239" s="5" t="s">
        <v>0</v>
      </c>
      <c r="D1239" s="1" t="s">
        <v>4058</v>
      </c>
      <c r="E1239" s="1" t="s">
        <v>4059</v>
      </c>
      <c r="F1239" s="1" t="s">
        <v>1130</v>
      </c>
      <c r="G1239" s="1" t="s">
        <v>1130</v>
      </c>
      <c r="H1239" s="1" t="s">
        <v>135</v>
      </c>
      <c r="I1239" s="1" t="s">
        <v>16</v>
      </c>
      <c r="J1239" s="1">
        <v>1</v>
      </c>
      <c r="K1239" s="1">
        <v>12</v>
      </c>
      <c r="L1239" s="1" t="s">
        <v>17</v>
      </c>
      <c r="M1239" s="1" t="s">
        <v>1612</v>
      </c>
      <c r="N1239" s="1" t="s">
        <v>18</v>
      </c>
      <c r="O1239" s="1">
        <v>2</v>
      </c>
      <c r="P1239" s="1">
        <v>4</v>
      </c>
      <c r="R1239" s="1" t="s">
        <v>19</v>
      </c>
      <c r="S1239" s="1" t="s">
        <v>20</v>
      </c>
      <c r="T1239" s="1" t="s">
        <v>21</v>
      </c>
      <c r="U1239" s="1" t="s">
        <v>22</v>
      </c>
      <c r="V1239" s="1" t="s">
        <v>24</v>
      </c>
      <c r="W1239" s="1" t="s">
        <v>24</v>
      </c>
      <c r="X1239" s="1">
        <v>2724</v>
      </c>
      <c r="Y1239" s="1">
        <v>2705</v>
      </c>
      <c r="Z1239" s="1" t="s">
        <v>24</v>
      </c>
      <c r="AA1239" s="1" t="s">
        <v>24</v>
      </c>
      <c r="AB1239" s="1" t="s">
        <v>24</v>
      </c>
      <c r="AC1239" s="1" t="s">
        <v>24</v>
      </c>
      <c r="AD1239" s="1" t="s">
        <v>24</v>
      </c>
      <c r="AE1239" s="1" t="s">
        <v>24</v>
      </c>
      <c r="AF1239" s="22"/>
    </row>
    <row r="1240" spans="1:32" x14ac:dyDescent="0.2">
      <c r="A1240" s="1">
        <v>7510</v>
      </c>
      <c r="B1240" s="1" t="s">
        <v>4060</v>
      </c>
      <c r="C1240" s="5" t="s">
        <v>0</v>
      </c>
      <c r="D1240" s="1" t="s">
        <v>4061</v>
      </c>
      <c r="F1240" s="1" t="s">
        <v>4062</v>
      </c>
      <c r="G1240" s="1" t="s">
        <v>4063</v>
      </c>
      <c r="H1240" s="1" t="s">
        <v>4064</v>
      </c>
      <c r="I1240" s="1" t="s">
        <v>16</v>
      </c>
      <c r="J1240" s="1">
        <v>1</v>
      </c>
      <c r="K1240" s="1">
        <v>6</v>
      </c>
      <c r="L1240" s="1" t="s">
        <v>17</v>
      </c>
      <c r="M1240" s="1" t="s">
        <v>4065</v>
      </c>
      <c r="N1240" s="1" t="s">
        <v>4066</v>
      </c>
      <c r="O1240" s="1">
        <v>2</v>
      </c>
      <c r="P1240" s="1">
        <v>5</v>
      </c>
      <c r="R1240" s="1" t="s">
        <v>19</v>
      </c>
      <c r="S1240" s="1" t="s">
        <v>20</v>
      </c>
      <c r="T1240" s="1" t="s">
        <v>21</v>
      </c>
      <c r="U1240" s="1" t="s">
        <v>22</v>
      </c>
      <c r="V1240" s="1" t="s">
        <v>24</v>
      </c>
      <c r="W1240" s="1" t="s">
        <v>24</v>
      </c>
      <c r="X1240" s="1">
        <v>2730</v>
      </c>
      <c r="Y1240" s="1">
        <v>1306</v>
      </c>
      <c r="Z1240" s="1" t="s">
        <v>24</v>
      </c>
      <c r="AA1240" s="1" t="s">
        <v>24</v>
      </c>
      <c r="AB1240" s="1" t="s">
        <v>24</v>
      </c>
      <c r="AC1240" s="1" t="s">
        <v>24</v>
      </c>
      <c r="AD1240" s="1" t="s">
        <v>24</v>
      </c>
      <c r="AE1240" s="1" t="s">
        <v>24</v>
      </c>
      <c r="AF1240" s="22"/>
    </row>
    <row r="1241" spans="1:32" x14ac:dyDescent="0.2">
      <c r="A1241" s="1">
        <v>7513</v>
      </c>
      <c r="B1241" s="1" t="s">
        <v>4067</v>
      </c>
      <c r="C1241" s="5" t="s">
        <v>0</v>
      </c>
      <c r="D1241" s="1" t="s">
        <v>4068</v>
      </c>
      <c r="E1241" s="1" t="s">
        <v>4069</v>
      </c>
      <c r="F1241" s="1" t="s">
        <v>35</v>
      </c>
      <c r="G1241" s="1" t="s">
        <v>36</v>
      </c>
      <c r="H1241" s="1" t="s">
        <v>37</v>
      </c>
      <c r="I1241" s="1" t="s">
        <v>16</v>
      </c>
      <c r="J1241" s="1">
        <v>2</v>
      </c>
      <c r="K1241" s="1">
        <v>4</v>
      </c>
      <c r="L1241" s="1" t="s">
        <v>31</v>
      </c>
      <c r="M1241" s="1" t="s">
        <v>18</v>
      </c>
      <c r="N1241" s="1" t="s">
        <v>18</v>
      </c>
      <c r="O1241" s="1">
        <v>3</v>
      </c>
      <c r="P1241" s="1">
        <v>7</v>
      </c>
      <c r="Q1241" s="7" t="s">
        <v>17633</v>
      </c>
      <c r="R1241" s="1" t="s">
        <v>19</v>
      </c>
      <c r="S1241" s="1" t="s">
        <v>20</v>
      </c>
      <c r="T1241" s="1" t="s">
        <v>21</v>
      </c>
      <c r="U1241" s="1" t="s">
        <v>22</v>
      </c>
      <c r="V1241" s="1" t="s">
        <v>24</v>
      </c>
      <c r="W1241" s="1" t="s">
        <v>24</v>
      </c>
      <c r="X1241" s="1">
        <v>2720</v>
      </c>
      <c r="Y1241" s="1" t="s">
        <v>24</v>
      </c>
      <c r="Z1241" s="1" t="s">
        <v>24</v>
      </c>
      <c r="AA1241" s="1" t="s">
        <v>24</v>
      </c>
      <c r="AB1241" s="1" t="s">
        <v>24</v>
      </c>
      <c r="AC1241" s="1" t="s">
        <v>24</v>
      </c>
      <c r="AD1241" s="1" t="s">
        <v>24</v>
      </c>
      <c r="AE1241" s="1" t="s">
        <v>24</v>
      </c>
      <c r="AF1241" s="22"/>
    </row>
    <row r="1242" spans="1:32" x14ac:dyDescent="0.2">
      <c r="A1242" s="1">
        <v>7514</v>
      </c>
      <c r="B1242" s="1" t="s">
        <v>4070</v>
      </c>
      <c r="C1242" s="5" t="s">
        <v>0</v>
      </c>
      <c r="D1242" s="1" t="s">
        <v>4071</v>
      </c>
      <c r="E1242" s="1" t="s">
        <v>4072</v>
      </c>
      <c r="F1242" s="1" t="s">
        <v>91</v>
      </c>
      <c r="G1242" s="1" t="s">
        <v>61</v>
      </c>
      <c r="H1242" s="1" t="s">
        <v>92</v>
      </c>
      <c r="I1242" s="1" t="s">
        <v>16</v>
      </c>
      <c r="J1242" s="1">
        <v>8</v>
      </c>
      <c r="K1242" s="1">
        <v>4</v>
      </c>
      <c r="L1242" s="1" t="s">
        <v>31</v>
      </c>
      <c r="M1242" s="1" t="s">
        <v>18</v>
      </c>
      <c r="N1242" s="1" t="s">
        <v>18</v>
      </c>
      <c r="O1242" s="1">
        <v>3</v>
      </c>
      <c r="P1242" s="1">
        <v>6</v>
      </c>
      <c r="R1242" s="1" t="s">
        <v>19</v>
      </c>
      <c r="S1242" s="1" t="s">
        <v>20</v>
      </c>
      <c r="T1242" s="1" t="s">
        <v>21</v>
      </c>
      <c r="U1242" s="1" t="s">
        <v>22</v>
      </c>
      <c r="V1242" s="1" t="s">
        <v>24</v>
      </c>
      <c r="W1242" s="1" t="s">
        <v>24</v>
      </c>
      <c r="X1242" s="1">
        <v>2405</v>
      </c>
      <c r="Y1242" s="1">
        <v>3400</v>
      </c>
      <c r="Z1242" s="1" t="s">
        <v>24</v>
      </c>
      <c r="AA1242" s="1" t="s">
        <v>24</v>
      </c>
      <c r="AB1242" s="1" t="s">
        <v>24</v>
      </c>
      <c r="AC1242" s="1" t="s">
        <v>24</v>
      </c>
      <c r="AD1242" s="1" t="s">
        <v>24</v>
      </c>
      <c r="AE1242" s="1" t="s">
        <v>24</v>
      </c>
      <c r="AF1242" s="22"/>
    </row>
    <row r="1243" spans="1:32" x14ac:dyDescent="0.2">
      <c r="A1243" s="1">
        <v>7516</v>
      </c>
      <c r="B1243" s="1" t="s">
        <v>4073</v>
      </c>
      <c r="C1243" s="5" t="s">
        <v>0</v>
      </c>
      <c r="D1243" s="1" t="s">
        <v>4074</v>
      </c>
      <c r="E1243" s="1" t="s">
        <v>4075</v>
      </c>
      <c r="F1243" s="1" t="s">
        <v>217</v>
      </c>
      <c r="G1243" s="1" t="s">
        <v>130</v>
      </c>
      <c r="H1243" s="1" t="s">
        <v>92</v>
      </c>
      <c r="I1243" s="1" t="s">
        <v>16</v>
      </c>
      <c r="J1243" s="1">
        <v>1</v>
      </c>
      <c r="K1243" s="1">
        <v>8</v>
      </c>
      <c r="L1243" s="1" t="s">
        <v>31</v>
      </c>
      <c r="M1243" s="1" t="s">
        <v>18</v>
      </c>
      <c r="N1243" s="1" t="s">
        <v>18</v>
      </c>
      <c r="O1243" s="1">
        <v>3</v>
      </c>
      <c r="P1243" s="1">
        <v>6</v>
      </c>
      <c r="R1243" s="1" t="s">
        <v>19</v>
      </c>
      <c r="S1243" s="1" t="s">
        <v>20</v>
      </c>
      <c r="T1243" s="1" t="s">
        <v>21</v>
      </c>
      <c r="U1243" s="1" t="s">
        <v>22</v>
      </c>
      <c r="V1243" s="1" t="s">
        <v>24</v>
      </c>
      <c r="W1243" s="1" t="s">
        <v>24</v>
      </c>
      <c r="X1243" s="1">
        <v>3400</v>
      </c>
      <c r="Y1243" s="1" t="s">
        <v>24</v>
      </c>
      <c r="Z1243" s="1" t="s">
        <v>24</v>
      </c>
      <c r="AA1243" s="1" t="s">
        <v>24</v>
      </c>
      <c r="AB1243" s="1" t="s">
        <v>24</v>
      </c>
      <c r="AC1243" s="1" t="s">
        <v>24</v>
      </c>
      <c r="AD1243" s="1" t="s">
        <v>24</v>
      </c>
      <c r="AE1243" s="1" t="s">
        <v>24</v>
      </c>
      <c r="AF1243" s="22"/>
    </row>
    <row r="1244" spans="1:32" x14ac:dyDescent="0.2">
      <c r="A1244" s="1">
        <v>7526</v>
      </c>
      <c r="B1244" s="1" t="s">
        <v>4076</v>
      </c>
      <c r="C1244" s="5" t="s">
        <v>0</v>
      </c>
      <c r="D1244" s="1" t="s">
        <v>4077</v>
      </c>
      <c r="F1244" s="1" t="s">
        <v>4078</v>
      </c>
      <c r="G1244" s="1" t="s">
        <v>4079</v>
      </c>
      <c r="H1244" s="1" t="s">
        <v>4080</v>
      </c>
      <c r="I1244" s="1" t="s">
        <v>16</v>
      </c>
      <c r="J1244" s="1">
        <v>1</v>
      </c>
      <c r="K1244" s="1">
        <v>12</v>
      </c>
      <c r="L1244" s="1" t="s">
        <v>42</v>
      </c>
      <c r="M1244" s="1" t="s">
        <v>4081</v>
      </c>
      <c r="N1244" s="1" t="s">
        <v>4082</v>
      </c>
      <c r="O1244" s="1">
        <v>3</v>
      </c>
      <c r="P1244" s="1">
        <v>5</v>
      </c>
      <c r="R1244" s="1" t="s">
        <v>19</v>
      </c>
      <c r="S1244" s="1" t="s">
        <v>20</v>
      </c>
      <c r="T1244" s="1" t="s">
        <v>21</v>
      </c>
      <c r="U1244" s="1" t="s">
        <v>22</v>
      </c>
      <c r="V1244" s="1" t="s">
        <v>24</v>
      </c>
      <c r="W1244" s="1" t="s">
        <v>24</v>
      </c>
      <c r="X1244" s="1">
        <v>2700</v>
      </c>
      <c r="Y1244" s="1">
        <v>2736</v>
      </c>
      <c r="Z1244" s="1" t="s">
        <v>24</v>
      </c>
      <c r="AA1244" s="1" t="s">
        <v>24</v>
      </c>
      <c r="AB1244" s="1" t="s">
        <v>24</v>
      </c>
      <c r="AC1244" s="1" t="s">
        <v>24</v>
      </c>
      <c r="AD1244" s="1" t="s">
        <v>24</v>
      </c>
      <c r="AE1244" s="1" t="s">
        <v>24</v>
      </c>
      <c r="AF1244" s="22"/>
    </row>
    <row r="1245" spans="1:32" x14ac:dyDescent="0.2">
      <c r="A1245" s="1">
        <v>7543</v>
      </c>
      <c r="B1245" s="1" t="s">
        <v>4083</v>
      </c>
      <c r="C1245" s="5" t="s">
        <v>0</v>
      </c>
      <c r="D1245" s="1" t="s">
        <v>4084</v>
      </c>
      <c r="E1245" s="1" t="s">
        <v>4085</v>
      </c>
      <c r="F1245" s="1" t="s">
        <v>217</v>
      </c>
      <c r="G1245" s="1" t="s">
        <v>130</v>
      </c>
      <c r="H1245" s="1" t="s">
        <v>92</v>
      </c>
      <c r="I1245" s="1" t="s">
        <v>16</v>
      </c>
      <c r="J1245" s="1">
        <v>8</v>
      </c>
      <c r="K1245" s="1">
        <v>4</v>
      </c>
      <c r="L1245" s="1" t="s">
        <v>31</v>
      </c>
      <c r="M1245" s="1" t="s">
        <v>18</v>
      </c>
      <c r="N1245" s="1" t="s">
        <v>18</v>
      </c>
      <c r="O1245" s="1">
        <v>3</v>
      </c>
      <c r="P1245" s="1">
        <v>6</v>
      </c>
      <c r="R1245" s="1" t="s">
        <v>19</v>
      </c>
      <c r="S1245" s="1" t="s">
        <v>63</v>
      </c>
      <c r="T1245" s="1" t="s">
        <v>21</v>
      </c>
      <c r="U1245" s="1" t="s">
        <v>22</v>
      </c>
      <c r="V1245" s="1" t="s">
        <v>24</v>
      </c>
      <c r="W1245" s="1" t="s">
        <v>24</v>
      </c>
      <c r="X1245" s="1">
        <v>2310</v>
      </c>
      <c r="Y1245" s="1">
        <v>2304</v>
      </c>
      <c r="Z1245" s="1">
        <v>2305</v>
      </c>
      <c r="AA1245" s="1">
        <v>2302</v>
      </c>
      <c r="AB1245" s="1">
        <v>2312</v>
      </c>
      <c r="AC1245" s="1" t="s">
        <v>24</v>
      </c>
      <c r="AD1245" s="1" t="s">
        <v>24</v>
      </c>
      <c r="AE1245" s="1" t="s">
        <v>24</v>
      </c>
      <c r="AF1245" s="22"/>
    </row>
    <row r="1246" spans="1:32" x14ac:dyDescent="0.2">
      <c r="A1246" s="1">
        <v>7554</v>
      </c>
      <c r="B1246" s="1" t="s">
        <v>4086</v>
      </c>
      <c r="C1246" s="5" t="s">
        <v>0</v>
      </c>
      <c r="D1246" s="1" t="s">
        <v>4087</v>
      </c>
      <c r="E1246" s="1" t="s">
        <v>4088</v>
      </c>
      <c r="F1246" s="1" t="s">
        <v>155</v>
      </c>
      <c r="G1246" s="1" t="s">
        <v>61</v>
      </c>
      <c r="H1246" s="1" t="s">
        <v>37</v>
      </c>
      <c r="I1246" s="1" t="s">
        <v>16</v>
      </c>
      <c r="J1246" s="1">
        <v>1</v>
      </c>
      <c r="K1246" s="1">
        <v>1</v>
      </c>
      <c r="L1246" s="1" t="s">
        <v>31</v>
      </c>
      <c r="M1246" s="1" t="s">
        <v>18</v>
      </c>
      <c r="N1246" s="1" t="s">
        <v>18</v>
      </c>
      <c r="O1246" s="1">
        <v>3</v>
      </c>
      <c r="P1246" s="1">
        <v>7</v>
      </c>
      <c r="Q1246" s="7" t="s">
        <v>17633</v>
      </c>
      <c r="R1246" s="1" t="s">
        <v>62</v>
      </c>
      <c r="S1246" s="1" t="s">
        <v>63</v>
      </c>
      <c r="T1246" s="1" t="s">
        <v>21</v>
      </c>
      <c r="U1246" s="1" t="s">
        <v>22</v>
      </c>
      <c r="V1246" s="1" t="s">
        <v>24</v>
      </c>
      <c r="W1246" s="1" t="s">
        <v>24</v>
      </c>
      <c r="X1246" s="1">
        <v>2312</v>
      </c>
      <c r="Y1246" s="1">
        <v>2311</v>
      </c>
      <c r="Z1246" s="1">
        <v>2310</v>
      </c>
      <c r="AA1246" s="1">
        <v>2302</v>
      </c>
      <c r="AB1246" s="1" t="s">
        <v>24</v>
      </c>
      <c r="AC1246" s="1" t="s">
        <v>24</v>
      </c>
      <c r="AD1246" s="1" t="s">
        <v>24</v>
      </c>
      <c r="AE1246" s="1" t="s">
        <v>24</v>
      </c>
      <c r="AF1246" s="22"/>
    </row>
    <row r="1247" spans="1:32" x14ac:dyDescent="0.2">
      <c r="A1247" s="1">
        <v>7583</v>
      </c>
      <c r="B1247" s="1" t="s">
        <v>4089</v>
      </c>
      <c r="C1247" s="5" t="s">
        <v>0</v>
      </c>
      <c r="D1247" s="1" t="s">
        <v>4090</v>
      </c>
      <c r="F1247" s="1" t="s">
        <v>955</v>
      </c>
      <c r="G1247" s="1" t="s">
        <v>955</v>
      </c>
      <c r="H1247" s="1" t="s">
        <v>111</v>
      </c>
      <c r="I1247" s="1" t="s">
        <v>112</v>
      </c>
      <c r="J1247" s="1">
        <v>0</v>
      </c>
      <c r="K1247" s="1">
        <v>0</v>
      </c>
      <c r="L1247" s="1" t="s">
        <v>31</v>
      </c>
      <c r="M1247" s="1" t="s">
        <v>18</v>
      </c>
      <c r="N1247" s="1" t="s">
        <v>18</v>
      </c>
      <c r="O1247" s="1">
        <v>0</v>
      </c>
      <c r="P1247" s="1">
        <v>5</v>
      </c>
      <c r="R1247" s="1" t="s">
        <v>62</v>
      </c>
      <c r="S1247" s="1" t="s">
        <v>20</v>
      </c>
      <c r="T1247" s="1" t="s">
        <v>21</v>
      </c>
      <c r="U1247" s="1" t="s">
        <v>22</v>
      </c>
      <c r="V1247" s="1" t="s">
        <v>23</v>
      </c>
      <c r="W1247" s="1" t="s">
        <v>24</v>
      </c>
      <c r="X1247" s="1">
        <v>2739</v>
      </c>
      <c r="Y1247" s="1" t="s">
        <v>24</v>
      </c>
      <c r="Z1247" s="1" t="s">
        <v>24</v>
      </c>
      <c r="AA1247" s="1" t="s">
        <v>24</v>
      </c>
      <c r="AB1247" s="1" t="s">
        <v>24</v>
      </c>
      <c r="AC1247" s="1" t="s">
        <v>24</v>
      </c>
      <c r="AD1247" s="1" t="s">
        <v>24</v>
      </c>
      <c r="AE1247" s="1" t="s">
        <v>24</v>
      </c>
      <c r="AF1247" s="22"/>
    </row>
    <row r="1248" spans="1:32" x14ac:dyDescent="0.2">
      <c r="A1248" s="1">
        <v>7590</v>
      </c>
      <c r="B1248" s="1" t="s">
        <v>4091</v>
      </c>
      <c r="C1248" s="5" t="s">
        <v>0</v>
      </c>
      <c r="D1248" s="1" t="s">
        <v>4092</v>
      </c>
      <c r="F1248" s="1" t="s">
        <v>4093</v>
      </c>
      <c r="G1248" s="1" t="s">
        <v>4093</v>
      </c>
      <c r="H1248" s="1" t="s">
        <v>4094</v>
      </c>
      <c r="I1248" s="1" t="s">
        <v>16</v>
      </c>
      <c r="J1248" s="1">
        <v>1</v>
      </c>
      <c r="K1248" s="1">
        <v>6</v>
      </c>
      <c r="L1248" s="1" t="s">
        <v>42</v>
      </c>
      <c r="M1248" s="1" t="s">
        <v>18</v>
      </c>
      <c r="N1248" s="1" t="s">
        <v>18</v>
      </c>
      <c r="O1248" s="1">
        <v>3</v>
      </c>
      <c r="P1248" s="1">
        <v>5</v>
      </c>
      <c r="R1248" s="1" t="s">
        <v>19</v>
      </c>
      <c r="S1248" s="1" t="s">
        <v>20</v>
      </c>
      <c r="T1248" s="1" t="s">
        <v>21</v>
      </c>
      <c r="U1248" s="1" t="s">
        <v>22</v>
      </c>
      <c r="V1248" s="1" t="s">
        <v>24</v>
      </c>
      <c r="W1248" s="1" t="s">
        <v>24</v>
      </c>
      <c r="X1248" s="1">
        <v>2700</v>
      </c>
      <c r="Y1248" s="1" t="s">
        <v>24</v>
      </c>
      <c r="Z1248" s="1" t="s">
        <v>24</v>
      </c>
      <c r="AA1248" s="1" t="s">
        <v>24</v>
      </c>
      <c r="AB1248" s="1" t="s">
        <v>24</v>
      </c>
      <c r="AC1248" s="1" t="s">
        <v>24</v>
      </c>
      <c r="AD1248" s="1" t="s">
        <v>24</v>
      </c>
      <c r="AE1248" s="1" t="s">
        <v>24</v>
      </c>
      <c r="AF1248" s="22"/>
    </row>
    <row r="1249" spans="1:32" x14ac:dyDescent="0.2">
      <c r="A1249" s="1">
        <v>7602</v>
      </c>
      <c r="B1249" s="1" t="s">
        <v>4095</v>
      </c>
      <c r="C1249" s="5" t="s">
        <v>0</v>
      </c>
      <c r="D1249" s="1" t="s">
        <v>4096</v>
      </c>
      <c r="E1249" s="1" t="s">
        <v>4097</v>
      </c>
      <c r="F1249" s="1" t="s">
        <v>129</v>
      </c>
      <c r="G1249" s="1" t="s">
        <v>130</v>
      </c>
      <c r="H1249" s="1" t="s">
        <v>131</v>
      </c>
      <c r="I1249" s="1" t="s">
        <v>16</v>
      </c>
      <c r="J1249" s="1">
        <v>1</v>
      </c>
      <c r="K1249" s="1">
        <v>24</v>
      </c>
      <c r="L1249" s="1" t="s">
        <v>31</v>
      </c>
      <c r="M1249" s="1" t="s">
        <v>679</v>
      </c>
      <c r="N1249" s="1" t="s">
        <v>18</v>
      </c>
      <c r="O1249" s="1">
        <v>3</v>
      </c>
      <c r="P1249" s="1">
        <v>5</v>
      </c>
      <c r="R1249" s="1" t="s">
        <v>19</v>
      </c>
      <c r="S1249" s="1" t="s">
        <v>20</v>
      </c>
      <c r="T1249" s="1" t="s">
        <v>21</v>
      </c>
      <c r="U1249" s="1" t="s">
        <v>22</v>
      </c>
      <c r="V1249" s="1" t="s">
        <v>24</v>
      </c>
      <c r="W1249" s="1" t="s">
        <v>24</v>
      </c>
      <c r="X1249" s="1">
        <v>2700</v>
      </c>
      <c r="Y1249" s="1" t="s">
        <v>24</v>
      </c>
      <c r="Z1249" s="1" t="s">
        <v>24</v>
      </c>
      <c r="AA1249" s="1" t="s">
        <v>24</v>
      </c>
      <c r="AB1249" s="1" t="s">
        <v>24</v>
      </c>
      <c r="AC1249" s="1" t="s">
        <v>24</v>
      </c>
      <c r="AD1249" s="1" t="s">
        <v>24</v>
      </c>
      <c r="AE1249" s="1" t="s">
        <v>24</v>
      </c>
      <c r="AF1249" s="22"/>
    </row>
    <row r="1250" spans="1:32" x14ac:dyDescent="0.2">
      <c r="A1250" s="1">
        <v>7605</v>
      </c>
      <c r="B1250" s="1" t="s">
        <v>4098</v>
      </c>
      <c r="C1250" s="5" t="s">
        <v>0</v>
      </c>
      <c r="D1250" s="1" t="s">
        <v>4099</v>
      </c>
      <c r="E1250" s="1" t="s">
        <v>4100</v>
      </c>
      <c r="F1250" s="1" t="s">
        <v>97</v>
      </c>
      <c r="G1250" s="1" t="s">
        <v>98</v>
      </c>
      <c r="H1250" s="1" t="s">
        <v>37</v>
      </c>
      <c r="I1250" s="1" t="s">
        <v>16</v>
      </c>
      <c r="J1250" s="1">
        <v>1</v>
      </c>
      <c r="K1250" s="1">
        <v>6</v>
      </c>
      <c r="L1250" s="1" t="s">
        <v>31</v>
      </c>
      <c r="M1250" s="1" t="s">
        <v>18</v>
      </c>
      <c r="N1250" s="1" t="s">
        <v>18</v>
      </c>
      <c r="O1250" s="1">
        <v>3</v>
      </c>
      <c r="P1250" s="1">
        <v>7</v>
      </c>
      <c r="Q1250" s="7" t="s">
        <v>17633</v>
      </c>
      <c r="R1250" s="1" t="s">
        <v>19</v>
      </c>
      <c r="S1250" s="1" t="s">
        <v>20</v>
      </c>
      <c r="T1250" s="1" t="s">
        <v>21</v>
      </c>
      <c r="U1250" s="1" t="s">
        <v>22</v>
      </c>
      <c r="V1250" s="1" t="s">
        <v>24</v>
      </c>
      <c r="W1250" s="1" t="s">
        <v>24</v>
      </c>
      <c r="X1250" s="1">
        <v>2305</v>
      </c>
      <c r="Y1250" s="1">
        <v>2310</v>
      </c>
      <c r="Z1250" s="1" t="s">
        <v>24</v>
      </c>
      <c r="AA1250" s="1" t="s">
        <v>24</v>
      </c>
      <c r="AB1250" s="1" t="s">
        <v>24</v>
      </c>
      <c r="AC1250" s="1" t="s">
        <v>24</v>
      </c>
      <c r="AD1250" s="1" t="s">
        <v>24</v>
      </c>
      <c r="AE1250" s="1" t="s">
        <v>24</v>
      </c>
      <c r="AF1250" s="22"/>
    </row>
    <row r="1251" spans="1:32" x14ac:dyDescent="0.2">
      <c r="A1251" s="1">
        <v>7607</v>
      </c>
      <c r="B1251" s="1" t="s">
        <v>4101</v>
      </c>
      <c r="C1251" s="5" t="s">
        <v>0</v>
      </c>
      <c r="D1251" s="1" t="s">
        <v>4102</v>
      </c>
      <c r="F1251" s="1" t="s">
        <v>4103</v>
      </c>
      <c r="G1251" s="1" t="s">
        <v>4103</v>
      </c>
      <c r="H1251" s="1" t="s">
        <v>30</v>
      </c>
      <c r="I1251" s="1" t="s">
        <v>16</v>
      </c>
      <c r="J1251" s="1">
        <v>1</v>
      </c>
      <c r="K1251" s="1">
        <v>6</v>
      </c>
      <c r="L1251" s="1" t="s">
        <v>42</v>
      </c>
      <c r="M1251" s="1" t="s">
        <v>18</v>
      </c>
      <c r="N1251" s="1" t="s">
        <v>18</v>
      </c>
      <c r="O1251" s="1">
        <v>3</v>
      </c>
      <c r="P1251" s="1">
        <v>6</v>
      </c>
      <c r="R1251" s="1" t="s">
        <v>19</v>
      </c>
      <c r="S1251" s="1" t="s">
        <v>20</v>
      </c>
      <c r="T1251" s="1" t="s">
        <v>21</v>
      </c>
      <c r="U1251" s="1" t="s">
        <v>22</v>
      </c>
      <c r="V1251" s="1" t="s">
        <v>24</v>
      </c>
      <c r="W1251" s="1" t="s">
        <v>24</v>
      </c>
      <c r="X1251" s="1">
        <v>2700</v>
      </c>
      <c r="Y1251" s="1" t="s">
        <v>24</v>
      </c>
      <c r="Z1251" s="1" t="s">
        <v>24</v>
      </c>
      <c r="AA1251" s="1" t="s">
        <v>24</v>
      </c>
      <c r="AB1251" s="1" t="s">
        <v>24</v>
      </c>
      <c r="AC1251" s="1" t="s">
        <v>24</v>
      </c>
      <c r="AD1251" s="1" t="s">
        <v>24</v>
      </c>
      <c r="AE1251" s="1" t="s">
        <v>24</v>
      </c>
      <c r="AF1251" s="22"/>
    </row>
    <row r="1252" spans="1:32" x14ac:dyDescent="0.2">
      <c r="A1252" s="1">
        <v>7609</v>
      </c>
      <c r="B1252" s="1" t="s">
        <v>4104</v>
      </c>
      <c r="C1252" s="5" t="s">
        <v>0</v>
      </c>
      <c r="D1252" s="1" t="s">
        <v>4105</v>
      </c>
      <c r="E1252" s="1" t="s">
        <v>4106</v>
      </c>
      <c r="F1252" s="1" t="s">
        <v>129</v>
      </c>
      <c r="G1252" s="1" t="s">
        <v>130</v>
      </c>
      <c r="H1252" s="1" t="s">
        <v>131</v>
      </c>
      <c r="I1252" s="1" t="s">
        <v>16</v>
      </c>
      <c r="J1252" s="1">
        <v>1</v>
      </c>
      <c r="K1252" s="1">
        <v>24</v>
      </c>
      <c r="L1252" s="1" t="s">
        <v>31</v>
      </c>
      <c r="M1252" s="1" t="s">
        <v>413</v>
      </c>
      <c r="N1252" s="1" t="s">
        <v>242</v>
      </c>
      <c r="O1252" s="1">
        <v>2</v>
      </c>
      <c r="P1252" s="1">
        <v>5</v>
      </c>
      <c r="R1252" s="1" t="s">
        <v>19</v>
      </c>
      <c r="S1252" s="1" t="s">
        <v>20</v>
      </c>
      <c r="T1252" s="1" t="s">
        <v>21</v>
      </c>
      <c r="U1252" s="1" t="s">
        <v>22</v>
      </c>
      <c r="V1252" s="1" t="s">
        <v>24</v>
      </c>
      <c r="W1252" s="1" t="s">
        <v>24</v>
      </c>
      <c r="X1252" s="1">
        <v>2700</v>
      </c>
      <c r="Y1252" s="1" t="s">
        <v>24</v>
      </c>
      <c r="Z1252" s="1" t="s">
        <v>24</v>
      </c>
      <c r="AA1252" s="1" t="s">
        <v>24</v>
      </c>
      <c r="AB1252" s="1" t="s">
        <v>24</v>
      </c>
      <c r="AC1252" s="1" t="s">
        <v>24</v>
      </c>
      <c r="AD1252" s="1" t="s">
        <v>24</v>
      </c>
      <c r="AE1252" s="1" t="s">
        <v>24</v>
      </c>
      <c r="AF1252" s="22"/>
    </row>
    <row r="1253" spans="1:32" x14ac:dyDescent="0.2">
      <c r="A1253" s="1">
        <v>7640</v>
      </c>
      <c r="B1253" s="1" t="s">
        <v>4107</v>
      </c>
      <c r="C1253" s="5" t="s">
        <v>0</v>
      </c>
      <c r="D1253" s="1" t="s">
        <v>4108</v>
      </c>
      <c r="F1253" s="1" t="s">
        <v>4109</v>
      </c>
      <c r="G1253" s="1" t="s">
        <v>4109</v>
      </c>
      <c r="H1253" s="1" t="s">
        <v>37</v>
      </c>
      <c r="I1253" s="1" t="s">
        <v>16</v>
      </c>
      <c r="J1253" s="1">
        <v>2</v>
      </c>
      <c r="K1253" s="1">
        <v>12</v>
      </c>
      <c r="L1253" s="1" t="s">
        <v>42</v>
      </c>
      <c r="M1253" s="1" t="s">
        <v>18</v>
      </c>
      <c r="N1253" s="1" t="s">
        <v>18</v>
      </c>
      <c r="O1253" s="1">
        <v>3</v>
      </c>
      <c r="P1253" s="1">
        <v>6</v>
      </c>
      <c r="R1253" s="1" t="s">
        <v>19</v>
      </c>
      <c r="S1253" s="1" t="s">
        <v>20</v>
      </c>
      <c r="T1253" s="1" t="s">
        <v>21</v>
      </c>
      <c r="U1253" s="1" t="s">
        <v>22</v>
      </c>
      <c r="V1253" s="1" t="s">
        <v>24</v>
      </c>
      <c r="W1253" s="1" t="s">
        <v>24</v>
      </c>
      <c r="X1253" s="1">
        <v>2305</v>
      </c>
      <c r="Y1253" s="1">
        <v>2312</v>
      </c>
      <c r="Z1253" s="1" t="s">
        <v>24</v>
      </c>
      <c r="AA1253" s="1" t="s">
        <v>24</v>
      </c>
      <c r="AB1253" s="1" t="s">
        <v>24</v>
      </c>
      <c r="AC1253" s="1" t="s">
        <v>24</v>
      </c>
      <c r="AD1253" s="1" t="s">
        <v>24</v>
      </c>
      <c r="AE1253" s="1" t="s">
        <v>24</v>
      </c>
      <c r="AF1253" s="22"/>
    </row>
    <row r="1254" spans="1:32" x14ac:dyDescent="0.2">
      <c r="A1254" s="1">
        <v>7680</v>
      </c>
      <c r="B1254" s="1" t="s">
        <v>4110</v>
      </c>
      <c r="C1254" s="5" t="s">
        <v>0</v>
      </c>
      <c r="D1254" s="1" t="s">
        <v>4111</v>
      </c>
      <c r="E1254" s="1" t="s">
        <v>4112</v>
      </c>
      <c r="F1254" s="1" t="s">
        <v>291</v>
      </c>
      <c r="G1254" s="1" t="s">
        <v>292</v>
      </c>
      <c r="H1254" s="1" t="s">
        <v>37</v>
      </c>
      <c r="I1254" s="1" t="s">
        <v>16</v>
      </c>
      <c r="J1254" s="1">
        <v>1</v>
      </c>
      <c r="K1254" s="1">
        <v>12</v>
      </c>
      <c r="L1254" s="1" t="s">
        <v>31</v>
      </c>
      <c r="M1254" s="1" t="s">
        <v>18</v>
      </c>
      <c r="N1254" s="1" t="s">
        <v>18</v>
      </c>
      <c r="O1254" s="1">
        <v>3</v>
      </c>
      <c r="P1254" s="1">
        <v>6</v>
      </c>
      <c r="R1254" s="1" t="s">
        <v>19</v>
      </c>
      <c r="S1254" s="1" t="s">
        <v>20</v>
      </c>
      <c r="T1254" s="1" t="s">
        <v>21</v>
      </c>
      <c r="U1254" s="1" t="s">
        <v>22</v>
      </c>
      <c r="V1254" s="1" t="s">
        <v>24</v>
      </c>
      <c r="W1254" s="1" t="s">
        <v>64</v>
      </c>
      <c r="X1254" s="1">
        <v>3004</v>
      </c>
      <c r="Y1254" s="1">
        <v>3005</v>
      </c>
      <c r="Z1254" s="1">
        <v>1303</v>
      </c>
      <c r="AA1254" s="1">
        <v>2307</v>
      </c>
      <c r="AB1254" s="1" t="s">
        <v>24</v>
      </c>
      <c r="AC1254" s="1" t="s">
        <v>24</v>
      </c>
      <c r="AD1254" s="1" t="s">
        <v>24</v>
      </c>
      <c r="AE1254" s="1" t="s">
        <v>24</v>
      </c>
      <c r="AF1254" s="22"/>
    </row>
    <row r="1255" spans="1:32" x14ac:dyDescent="0.2">
      <c r="A1255" s="1">
        <v>7692</v>
      </c>
      <c r="B1255" s="1" t="s">
        <v>4113</v>
      </c>
      <c r="C1255" s="5" t="s">
        <v>0</v>
      </c>
      <c r="D1255" s="1" t="s">
        <v>4114</v>
      </c>
      <c r="F1255" s="1" t="s">
        <v>3929</v>
      </c>
      <c r="G1255" s="1" t="s">
        <v>3929</v>
      </c>
      <c r="H1255" s="1" t="s">
        <v>461</v>
      </c>
      <c r="I1255" s="1" t="s">
        <v>16</v>
      </c>
      <c r="J1255" s="1">
        <v>1</v>
      </c>
      <c r="K1255" s="1">
        <v>12</v>
      </c>
      <c r="L1255" s="1" t="s">
        <v>17</v>
      </c>
      <c r="M1255" s="1" t="s">
        <v>635</v>
      </c>
      <c r="N1255" s="1" t="s">
        <v>18</v>
      </c>
      <c r="O1255" s="1">
        <v>3</v>
      </c>
      <c r="P1255" s="1">
        <v>6</v>
      </c>
      <c r="R1255" s="1" t="s">
        <v>19</v>
      </c>
      <c r="S1255" s="1" t="s">
        <v>20</v>
      </c>
      <c r="T1255" s="1" t="s">
        <v>21</v>
      </c>
      <c r="U1255" s="1" t="s">
        <v>22</v>
      </c>
      <c r="V1255" s="1" t="s">
        <v>24</v>
      </c>
      <c r="W1255" s="1" t="s">
        <v>24</v>
      </c>
      <c r="X1255" s="1">
        <v>2736</v>
      </c>
      <c r="Y1255" s="1">
        <v>3004</v>
      </c>
      <c r="Z1255" s="1" t="s">
        <v>24</v>
      </c>
      <c r="AA1255" s="1" t="s">
        <v>24</v>
      </c>
      <c r="AB1255" s="1" t="s">
        <v>24</v>
      </c>
      <c r="AC1255" s="1" t="s">
        <v>24</v>
      </c>
      <c r="AD1255" s="1" t="s">
        <v>24</v>
      </c>
      <c r="AE1255" s="1" t="s">
        <v>24</v>
      </c>
      <c r="AF1255" s="22"/>
    </row>
    <row r="1256" spans="1:32" x14ac:dyDescent="0.2">
      <c r="A1256" s="1">
        <v>7697</v>
      </c>
      <c r="B1256" s="1" t="s">
        <v>4115</v>
      </c>
      <c r="C1256" s="5" t="s">
        <v>0</v>
      </c>
      <c r="D1256" s="1" t="s">
        <v>4116</v>
      </c>
      <c r="F1256" s="1" t="s">
        <v>4117</v>
      </c>
      <c r="G1256" s="1" t="s">
        <v>4115</v>
      </c>
      <c r="H1256" s="1" t="s">
        <v>30</v>
      </c>
      <c r="I1256" s="1" t="s">
        <v>16</v>
      </c>
      <c r="J1256" s="1">
        <v>1</v>
      </c>
      <c r="K1256" s="1">
        <v>1</v>
      </c>
      <c r="L1256" s="1" t="s">
        <v>42</v>
      </c>
      <c r="M1256" s="1" t="s">
        <v>18</v>
      </c>
      <c r="N1256" s="1" t="s">
        <v>18</v>
      </c>
      <c r="O1256" s="1">
        <v>2</v>
      </c>
      <c r="P1256" s="1">
        <v>5</v>
      </c>
      <c r="R1256" s="1" t="s">
        <v>19</v>
      </c>
      <c r="S1256" s="1" t="s">
        <v>20</v>
      </c>
      <c r="T1256" s="1" t="s">
        <v>21</v>
      </c>
      <c r="U1256" s="1" t="s">
        <v>22</v>
      </c>
      <c r="V1256" s="1" t="s">
        <v>24</v>
      </c>
      <c r="W1256" s="1" t="s">
        <v>24</v>
      </c>
      <c r="X1256" s="1">
        <v>1300</v>
      </c>
      <c r="Y1256" s="1">
        <v>2700</v>
      </c>
      <c r="Z1256" s="1" t="s">
        <v>24</v>
      </c>
      <c r="AA1256" s="1" t="s">
        <v>24</v>
      </c>
      <c r="AB1256" s="1" t="s">
        <v>24</v>
      </c>
      <c r="AC1256" s="1" t="s">
        <v>24</v>
      </c>
      <c r="AD1256" s="1" t="s">
        <v>24</v>
      </c>
      <c r="AE1256" s="1" t="s">
        <v>24</v>
      </c>
      <c r="AF1256" s="22"/>
    </row>
    <row r="1257" spans="1:32" x14ac:dyDescent="0.2">
      <c r="A1257" s="1">
        <v>7699</v>
      </c>
      <c r="B1257" s="1" t="s">
        <v>4118</v>
      </c>
      <c r="C1257" s="5" t="s">
        <v>0</v>
      </c>
      <c r="D1257" s="1" t="s">
        <v>4119</v>
      </c>
      <c r="E1257" s="1" t="s">
        <v>4120</v>
      </c>
      <c r="F1257" s="1" t="s">
        <v>1253</v>
      </c>
      <c r="G1257" s="1" t="s">
        <v>460</v>
      </c>
      <c r="H1257" s="1" t="s">
        <v>461</v>
      </c>
      <c r="I1257" s="1" t="s">
        <v>16</v>
      </c>
      <c r="J1257" s="1">
        <v>1</v>
      </c>
      <c r="K1257" s="1">
        <v>12</v>
      </c>
      <c r="L1257" s="1" t="s">
        <v>42</v>
      </c>
      <c r="M1257" s="1" t="s">
        <v>1735</v>
      </c>
      <c r="N1257" s="1" t="s">
        <v>18</v>
      </c>
      <c r="O1257" s="1">
        <v>2</v>
      </c>
      <c r="P1257" s="1">
        <v>5</v>
      </c>
      <c r="R1257" s="1" t="s">
        <v>19</v>
      </c>
      <c r="S1257" s="1" t="s">
        <v>20</v>
      </c>
      <c r="T1257" s="1" t="s">
        <v>21</v>
      </c>
      <c r="U1257" s="1" t="s">
        <v>22</v>
      </c>
      <c r="V1257" s="1" t="s">
        <v>24</v>
      </c>
      <c r="W1257" s="1" t="s">
        <v>24</v>
      </c>
      <c r="X1257" s="1">
        <v>3004</v>
      </c>
      <c r="Y1257" s="1">
        <v>3003</v>
      </c>
      <c r="Z1257" s="1" t="s">
        <v>24</v>
      </c>
      <c r="AA1257" s="1" t="s">
        <v>24</v>
      </c>
      <c r="AB1257" s="1" t="s">
        <v>24</v>
      </c>
      <c r="AC1257" s="1" t="s">
        <v>24</v>
      </c>
      <c r="AD1257" s="1" t="s">
        <v>24</v>
      </c>
      <c r="AE1257" s="1" t="s">
        <v>24</v>
      </c>
      <c r="AF1257" s="22"/>
    </row>
    <row r="1258" spans="1:32" x14ac:dyDescent="0.2">
      <c r="A1258" s="1">
        <v>7702</v>
      </c>
      <c r="B1258" s="1" t="s">
        <v>4121</v>
      </c>
      <c r="C1258" s="5" t="s">
        <v>0</v>
      </c>
      <c r="D1258" s="1" t="s">
        <v>4122</v>
      </c>
      <c r="E1258" s="1" t="s">
        <v>4123</v>
      </c>
      <c r="F1258" s="1" t="s">
        <v>4124</v>
      </c>
      <c r="G1258" s="1" t="s">
        <v>4124</v>
      </c>
      <c r="H1258" s="1" t="s">
        <v>461</v>
      </c>
      <c r="I1258" s="1" t="s">
        <v>16</v>
      </c>
      <c r="J1258" s="1">
        <v>1</v>
      </c>
      <c r="K1258" s="1">
        <v>4</v>
      </c>
      <c r="L1258" s="1" t="s">
        <v>42</v>
      </c>
      <c r="M1258" s="1" t="s">
        <v>18</v>
      </c>
      <c r="N1258" s="1" t="s">
        <v>18</v>
      </c>
      <c r="O1258" s="1">
        <v>3</v>
      </c>
      <c r="P1258" s="1">
        <v>6</v>
      </c>
      <c r="R1258" s="1" t="s">
        <v>19</v>
      </c>
      <c r="S1258" s="1" t="s">
        <v>20</v>
      </c>
      <c r="T1258" s="1" t="s">
        <v>21</v>
      </c>
      <c r="U1258" s="1" t="s">
        <v>22</v>
      </c>
      <c r="V1258" s="1" t="s">
        <v>24</v>
      </c>
      <c r="W1258" s="1" t="s">
        <v>24</v>
      </c>
      <c r="X1258" s="1">
        <v>2700</v>
      </c>
      <c r="Y1258" s="1" t="s">
        <v>24</v>
      </c>
      <c r="Z1258" s="1" t="s">
        <v>24</v>
      </c>
      <c r="AA1258" s="1" t="s">
        <v>24</v>
      </c>
      <c r="AB1258" s="1" t="s">
        <v>24</v>
      </c>
      <c r="AC1258" s="1" t="s">
        <v>24</v>
      </c>
      <c r="AD1258" s="1" t="s">
        <v>24</v>
      </c>
      <c r="AE1258" s="1" t="s">
        <v>24</v>
      </c>
      <c r="AF1258" s="22"/>
    </row>
    <row r="1259" spans="1:32" x14ac:dyDescent="0.2">
      <c r="A1259" s="1">
        <v>7703</v>
      </c>
      <c r="B1259" s="1" t="s">
        <v>4125</v>
      </c>
      <c r="C1259" s="5" t="s">
        <v>0</v>
      </c>
      <c r="D1259" s="1" t="s">
        <v>4126</v>
      </c>
      <c r="F1259" s="1" t="s">
        <v>4127</v>
      </c>
      <c r="G1259" s="1" t="s">
        <v>4127</v>
      </c>
      <c r="H1259" s="1" t="s">
        <v>2772</v>
      </c>
      <c r="I1259" s="1" t="s">
        <v>16</v>
      </c>
      <c r="J1259" s="1">
        <v>1</v>
      </c>
      <c r="K1259" s="1">
        <v>6</v>
      </c>
      <c r="L1259" s="1" t="s">
        <v>42</v>
      </c>
      <c r="M1259" s="1" t="s">
        <v>18</v>
      </c>
      <c r="N1259" s="1" t="s">
        <v>18</v>
      </c>
      <c r="O1259" s="1">
        <v>2</v>
      </c>
      <c r="P1259" s="1">
        <v>6</v>
      </c>
      <c r="R1259" s="1" t="s">
        <v>19</v>
      </c>
      <c r="S1259" s="1" t="s">
        <v>20</v>
      </c>
      <c r="T1259" s="1" t="s">
        <v>21</v>
      </c>
      <c r="U1259" s="1" t="s">
        <v>22</v>
      </c>
      <c r="V1259" s="1" t="s">
        <v>24</v>
      </c>
      <c r="W1259" s="1" t="s">
        <v>24</v>
      </c>
      <c r="X1259" s="1">
        <v>2700</v>
      </c>
      <c r="Y1259" s="1" t="s">
        <v>24</v>
      </c>
      <c r="Z1259" s="1" t="s">
        <v>24</v>
      </c>
      <c r="AA1259" s="1" t="s">
        <v>24</v>
      </c>
      <c r="AB1259" s="1" t="s">
        <v>24</v>
      </c>
      <c r="AC1259" s="1" t="s">
        <v>24</v>
      </c>
      <c r="AD1259" s="1" t="s">
        <v>24</v>
      </c>
      <c r="AE1259" s="1" t="s">
        <v>24</v>
      </c>
      <c r="AF1259" s="22"/>
    </row>
    <row r="1260" spans="1:32" x14ac:dyDescent="0.2">
      <c r="A1260" s="1">
        <v>7716</v>
      </c>
      <c r="B1260" s="1" t="s">
        <v>4128</v>
      </c>
      <c r="C1260" s="5" t="s">
        <v>0</v>
      </c>
      <c r="D1260" s="1" t="s">
        <v>4129</v>
      </c>
      <c r="E1260" s="1" t="s">
        <v>4130</v>
      </c>
      <c r="F1260" s="1" t="s">
        <v>4131</v>
      </c>
      <c r="G1260" s="1" t="s">
        <v>4131</v>
      </c>
      <c r="H1260" s="1" t="s">
        <v>168</v>
      </c>
      <c r="I1260" s="1" t="s">
        <v>16</v>
      </c>
      <c r="J1260" s="1">
        <v>1</v>
      </c>
      <c r="K1260" s="1">
        <v>12</v>
      </c>
      <c r="L1260" s="1" t="s">
        <v>42</v>
      </c>
      <c r="M1260" s="1" t="s">
        <v>413</v>
      </c>
      <c r="N1260" s="1" t="s">
        <v>413</v>
      </c>
      <c r="O1260" s="1">
        <v>0</v>
      </c>
      <c r="P1260" s="1">
        <v>3</v>
      </c>
      <c r="R1260" s="1" t="s">
        <v>19</v>
      </c>
      <c r="S1260" s="1" t="s">
        <v>20</v>
      </c>
      <c r="T1260" s="1" t="s">
        <v>21</v>
      </c>
      <c r="U1260" s="1" t="s">
        <v>22</v>
      </c>
      <c r="V1260" s="1" t="s">
        <v>24</v>
      </c>
      <c r="W1260" s="1" t="s">
        <v>24</v>
      </c>
      <c r="X1260" s="1">
        <v>2700</v>
      </c>
      <c r="Y1260" s="1" t="s">
        <v>24</v>
      </c>
      <c r="Z1260" s="1" t="s">
        <v>24</v>
      </c>
      <c r="AA1260" s="1" t="s">
        <v>24</v>
      </c>
      <c r="AB1260" s="1" t="s">
        <v>24</v>
      </c>
      <c r="AC1260" s="1" t="s">
        <v>24</v>
      </c>
      <c r="AD1260" s="1" t="s">
        <v>24</v>
      </c>
      <c r="AE1260" s="1" t="s">
        <v>24</v>
      </c>
      <c r="AF1260" s="22"/>
    </row>
    <row r="1261" spans="1:32" x14ac:dyDescent="0.2">
      <c r="A1261" s="1">
        <v>7771</v>
      </c>
      <c r="B1261" s="1" t="s">
        <v>4132</v>
      </c>
      <c r="C1261" s="5" t="s">
        <v>0</v>
      </c>
      <c r="D1261" s="1" t="s">
        <v>4133</v>
      </c>
      <c r="E1261" s="1" t="s">
        <v>4134</v>
      </c>
      <c r="F1261" s="1" t="s">
        <v>412</v>
      </c>
      <c r="G1261" s="1" t="s">
        <v>372</v>
      </c>
      <c r="H1261" s="1" t="s">
        <v>168</v>
      </c>
      <c r="I1261" s="1" t="s">
        <v>16</v>
      </c>
      <c r="J1261" s="1">
        <v>1</v>
      </c>
      <c r="K1261" s="1">
        <v>12</v>
      </c>
      <c r="L1261" s="1" t="s">
        <v>31</v>
      </c>
      <c r="M1261" s="1" t="s">
        <v>242</v>
      </c>
      <c r="N1261" s="1" t="s">
        <v>18</v>
      </c>
      <c r="O1261" s="1">
        <v>2</v>
      </c>
      <c r="P1261" s="1">
        <v>5</v>
      </c>
      <c r="R1261" s="1" t="s">
        <v>19</v>
      </c>
      <c r="S1261" s="1" t="s">
        <v>63</v>
      </c>
      <c r="T1261" s="1" t="s">
        <v>21</v>
      </c>
      <c r="U1261" s="1" t="s">
        <v>22</v>
      </c>
      <c r="V1261" s="1" t="s">
        <v>24</v>
      </c>
      <c r="W1261" s="1" t="s">
        <v>24</v>
      </c>
      <c r="X1261" s="1">
        <v>2715</v>
      </c>
      <c r="Y1261" s="1" t="s">
        <v>24</v>
      </c>
      <c r="Z1261" s="1" t="s">
        <v>24</v>
      </c>
      <c r="AA1261" s="1" t="s">
        <v>24</v>
      </c>
      <c r="AB1261" s="1" t="s">
        <v>24</v>
      </c>
      <c r="AC1261" s="1" t="s">
        <v>24</v>
      </c>
      <c r="AD1261" s="1" t="s">
        <v>24</v>
      </c>
      <c r="AE1261" s="1" t="s">
        <v>24</v>
      </c>
      <c r="AF1261" s="22"/>
    </row>
    <row r="1262" spans="1:32" x14ac:dyDescent="0.2">
      <c r="A1262" s="1">
        <v>7785</v>
      </c>
      <c r="B1262" s="1" t="s">
        <v>4135</v>
      </c>
      <c r="C1262" s="5" t="s">
        <v>0</v>
      </c>
      <c r="D1262" s="1" t="s">
        <v>4136</v>
      </c>
      <c r="E1262" s="1" t="s">
        <v>4137</v>
      </c>
      <c r="F1262" s="1" t="s">
        <v>1479</v>
      </c>
      <c r="G1262" s="1" t="s">
        <v>61</v>
      </c>
      <c r="H1262" s="1" t="s">
        <v>168</v>
      </c>
      <c r="I1262" s="1" t="s">
        <v>16</v>
      </c>
      <c r="J1262" s="1">
        <v>1</v>
      </c>
      <c r="K1262" s="1">
        <v>10</v>
      </c>
      <c r="L1262" s="1" t="s">
        <v>31</v>
      </c>
      <c r="M1262" s="1" t="s">
        <v>18</v>
      </c>
      <c r="N1262" s="1" t="s">
        <v>18</v>
      </c>
      <c r="O1262" s="1">
        <v>3</v>
      </c>
      <c r="P1262" s="1">
        <v>7</v>
      </c>
      <c r="Q1262" s="7" t="s">
        <v>17633</v>
      </c>
      <c r="R1262" s="1" t="s">
        <v>19</v>
      </c>
      <c r="S1262" s="1" t="s">
        <v>20</v>
      </c>
      <c r="T1262" s="1" t="s">
        <v>21</v>
      </c>
      <c r="U1262" s="1" t="s">
        <v>22</v>
      </c>
      <c r="V1262" s="1" t="s">
        <v>24</v>
      </c>
      <c r="W1262" s="1" t="s">
        <v>24</v>
      </c>
      <c r="X1262" s="1">
        <v>2403</v>
      </c>
      <c r="Y1262" s="1">
        <v>2723</v>
      </c>
      <c r="Z1262" s="1">
        <v>2720</v>
      </c>
      <c r="AA1262" s="1" t="s">
        <v>24</v>
      </c>
      <c r="AB1262" s="1" t="s">
        <v>24</v>
      </c>
      <c r="AC1262" s="1" t="s">
        <v>24</v>
      </c>
      <c r="AD1262" s="1" t="s">
        <v>24</v>
      </c>
      <c r="AE1262" s="1" t="s">
        <v>24</v>
      </c>
      <c r="AF1262" s="22"/>
    </row>
    <row r="1263" spans="1:32" x14ac:dyDescent="0.2">
      <c r="A1263" s="1">
        <v>7826</v>
      </c>
      <c r="B1263" s="1" t="s">
        <v>4138</v>
      </c>
      <c r="C1263" s="5" t="s">
        <v>0</v>
      </c>
      <c r="D1263" s="1" t="s">
        <v>4139</v>
      </c>
      <c r="E1263" s="1" t="s">
        <v>4140</v>
      </c>
      <c r="F1263" s="1" t="s">
        <v>3166</v>
      </c>
      <c r="G1263" s="1" t="s">
        <v>372</v>
      </c>
      <c r="H1263" s="1" t="s">
        <v>168</v>
      </c>
      <c r="I1263" s="1" t="s">
        <v>16</v>
      </c>
      <c r="J1263" s="1">
        <v>1</v>
      </c>
      <c r="K1263" s="1">
        <v>6</v>
      </c>
      <c r="L1263" s="1" t="s">
        <v>31</v>
      </c>
      <c r="M1263" s="1" t="s">
        <v>413</v>
      </c>
      <c r="N1263" s="1" t="s">
        <v>679</v>
      </c>
      <c r="O1263" s="1">
        <v>2</v>
      </c>
      <c r="P1263" s="1">
        <v>6</v>
      </c>
      <c r="R1263" s="1" t="s">
        <v>19</v>
      </c>
      <c r="S1263" s="1" t="s">
        <v>63</v>
      </c>
      <c r="T1263" s="1" t="s">
        <v>21</v>
      </c>
      <c r="U1263" s="1" t="s">
        <v>22</v>
      </c>
      <c r="V1263" s="1" t="s">
        <v>24</v>
      </c>
      <c r="W1263" s="1" t="s">
        <v>24</v>
      </c>
      <c r="X1263" s="1">
        <v>3004</v>
      </c>
      <c r="Y1263" s="1">
        <v>2707</v>
      </c>
      <c r="Z1263" s="1" t="s">
        <v>24</v>
      </c>
      <c r="AA1263" s="1" t="s">
        <v>24</v>
      </c>
      <c r="AB1263" s="1" t="s">
        <v>24</v>
      </c>
      <c r="AC1263" s="1" t="s">
        <v>24</v>
      </c>
      <c r="AD1263" s="1" t="s">
        <v>24</v>
      </c>
      <c r="AE1263" s="1" t="s">
        <v>24</v>
      </c>
      <c r="AF1263" s="22"/>
    </row>
    <row r="1264" spans="1:32" x14ac:dyDescent="0.2">
      <c r="A1264" s="1">
        <v>7832</v>
      </c>
      <c r="B1264" s="1" t="s">
        <v>4141</v>
      </c>
      <c r="C1264" s="5" t="s">
        <v>0</v>
      </c>
      <c r="D1264" s="1" t="s">
        <v>4142</v>
      </c>
      <c r="E1264" s="1" t="s">
        <v>4143</v>
      </c>
      <c r="F1264" s="1" t="s">
        <v>912</v>
      </c>
      <c r="G1264" s="1" t="s">
        <v>130</v>
      </c>
      <c r="H1264" s="1" t="s">
        <v>168</v>
      </c>
      <c r="I1264" s="1" t="s">
        <v>16</v>
      </c>
      <c r="J1264" s="1">
        <v>1</v>
      </c>
      <c r="K1264" s="1">
        <v>6</v>
      </c>
      <c r="L1264" s="1" t="s">
        <v>31</v>
      </c>
      <c r="M1264" s="1" t="s">
        <v>413</v>
      </c>
      <c r="N1264" s="1" t="s">
        <v>18</v>
      </c>
      <c r="O1264" s="1">
        <v>3</v>
      </c>
      <c r="P1264" s="1">
        <v>6</v>
      </c>
      <c r="R1264" s="1" t="s">
        <v>19</v>
      </c>
      <c r="S1264" s="1" t="s">
        <v>20</v>
      </c>
      <c r="T1264" s="1" t="s">
        <v>21</v>
      </c>
      <c r="U1264" s="1" t="s">
        <v>22</v>
      </c>
      <c r="V1264" s="1" t="s">
        <v>24</v>
      </c>
      <c r="W1264" s="1" t="s">
        <v>24</v>
      </c>
      <c r="X1264" s="1">
        <v>2745</v>
      </c>
      <c r="Y1264" s="1" t="s">
        <v>24</v>
      </c>
      <c r="Z1264" s="1" t="s">
        <v>24</v>
      </c>
      <c r="AA1264" s="1" t="s">
        <v>24</v>
      </c>
      <c r="AB1264" s="1" t="s">
        <v>24</v>
      </c>
      <c r="AC1264" s="1" t="s">
        <v>24</v>
      </c>
      <c r="AD1264" s="1" t="s">
        <v>24</v>
      </c>
      <c r="AE1264" s="1" t="s">
        <v>24</v>
      </c>
      <c r="AF1264" s="22"/>
    </row>
    <row r="1265" spans="1:32" x14ac:dyDescent="0.2">
      <c r="A1265" s="1">
        <v>7836</v>
      </c>
      <c r="B1265" s="1" t="s">
        <v>4144</v>
      </c>
      <c r="C1265" s="5" t="s">
        <v>0</v>
      </c>
      <c r="D1265" s="1" t="s">
        <v>4145</v>
      </c>
      <c r="F1265" s="1" t="s">
        <v>1006</v>
      </c>
      <c r="G1265" s="1" t="s">
        <v>4146</v>
      </c>
      <c r="H1265" s="1" t="s">
        <v>1007</v>
      </c>
      <c r="I1265" s="1" t="s">
        <v>16</v>
      </c>
      <c r="J1265" s="1">
        <v>1</v>
      </c>
      <c r="K1265" s="1">
        <v>6</v>
      </c>
      <c r="L1265" s="1" t="s">
        <v>17</v>
      </c>
      <c r="M1265" s="1" t="s">
        <v>1008</v>
      </c>
      <c r="N1265" s="1" t="s">
        <v>18</v>
      </c>
      <c r="O1265" s="1">
        <v>2</v>
      </c>
      <c r="P1265" s="1">
        <v>5</v>
      </c>
      <c r="R1265" s="1" t="s">
        <v>19</v>
      </c>
      <c r="S1265" s="1" t="s">
        <v>20</v>
      </c>
      <c r="T1265" s="1" t="s">
        <v>21</v>
      </c>
      <c r="U1265" s="1" t="s">
        <v>22</v>
      </c>
      <c r="V1265" s="1" t="s">
        <v>24</v>
      </c>
      <c r="W1265" s="1" t="s">
        <v>24</v>
      </c>
      <c r="X1265" s="1">
        <v>2701</v>
      </c>
      <c r="Y1265" s="1">
        <v>2204</v>
      </c>
      <c r="Z1265" s="1">
        <v>1502</v>
      </c>
      <c r="AA1265" s="1" t="s">
        <v>24</v>
      </c>
      <c r="AB1265" s="1" t="s">
        <v>24</v>
      </c>
      <c r="AC1265" s="1" t="s">
        <v>24</v>
      </c>
      <c r="AD1265" s="1" t="s">
        <v>24</v>
      </c>
      <c r="AE1265" s="1" t="s">
        <v>24</v>
      </c>
      <c r="AF1265" s="22"/>
    </row>
    <row r="1266" spans="1:32" x14ac:dyDescent="0.2">
      <c r="A1266" s="1">
        <v>7858</v>
      </c>
      <c r="B1266" s="1" t="s">
        <v>4147</v>
      </c>
      <c r="C1266" s="5" t="s">
        <v>0</v>
      </c>
      <c r="D1266" s="1" t="s">
        <v>4148</v>
      </c>
      <c r="F1266" s="1" t="s">
        <v>4149</v>
      </c>
      <c r="G1266" s="1" t="s">
        <v>4149</v>
      </c>
      <c r="H1266" s="1" t="s">
        <v>1007</v>
      </c>
      <c r="I1266" s="1" t="s">
        <v>16</v>
      </c>
      <c r="J1266" s="1">
        <v>1</v>
      </c>
      <c r="K1266" s="1">
        <v>24</v>
      </c>
      <c r="L1266" s="1" t="s">
        <v>17</v>
      </c>
      <c r="M1266" s="1" t="s">
        <v>1008</v>
      </c>
      <c r="N1266" s="1" t="s">
        <v>1009</v>
      </c>
      <c r="O1266" s="1">
        <v>3</v>
      </c>
      <c r="P1266" s="1">
        <v>5</v>
      </c>
      <c r="R1266" s="1" t="s">
        <v>19</v>
      </c>
      <c r="S1266" s="1" t="s">
        <v>20</v>
      </c>
      <c r="T1266" s="1" t="s">
        <v>21</v>
      </c>
      <c r="U1266" s="1" t="s">
        <v>22</v>
      </c>
      <c r="V1266" s="1" t="s">
        <v>24</v>
      </c>
      <c r="W1266" s="1" t="s">
        <v>24</v>
      </c>
      <c r="X1266" s="1">
        <v>2730</v>
      </c>
      <c r="Y1266" s="1">
        <v>1306</v>
      </c>
      <c r="Z1266" s="1" t="s">
        <v>24</v>
      </c>
      <c r="AA1266" s="1" t="s">
        <v>24</v>
      </c>
      <c r="AB1266" s="1" t="s">
        <v>24</v>
      </c>
      <c r="AC1266" s="1" t="s">
        <v>24</v>
      </c>
      <c r="AD1266" s="1" t="s">
        <v>24</v>
      </c>
      <c r="AE1266" s="1" t="s">
        <v>24</v>
      </c>
      <c r="AF1266" s="22"/>
    </row>
    <row r="1267" spans="1:32" x14ac:dyDescent="0.2">
      <c r="A1267" s="1">
        <v>7860</v>
      </c>
      <c r="B1267" s="1" t="s">
        <v>4150</v>
      </c>
      <c r="C1267" s="5" t="s">
        <v>0</v>
      </c>
      <c r="E1267" s="1" t="s">
        <v>4151</v>
      </c>
      <c r="F1267" s="1" t="s">
        <v>4152</v>
      </c>
      <c r="G1267" s="1" t="s">
        <v>4152</v>
      </c>
      <c r="H1267" s="1" t="s">
        <v>111</v>
      </c>
      <c r="I1267" s="1" t="s">
        <v>16</v>
      </c>
      <c r="J1267" s="1">
        <v>1</v>
      </c>
      <c r="K1267" s="1">
        <v>4</v>
      </c>
      <c r="L1267" s="1" t="s">
        <v>42</v>
      </c>
      <c r="M1267" s="1" t="s">
        <v>18</v>
      </c>
      <c r="N1267" s="1" t="s">
        <v>18</v>
      </c>
      <c r="O1267" s="1">
        <v>2</v>
      </c>
      <c r="P1267" s="1">
        <v>6</v>
      </c>
      <c r="R1267" s="1" t="s">
        <v>19</v>
      </c>
      <c r="S1267" s="1" t="s">
        <v>63</v>
      </c>
      <c r="T1267" s="1" t="s">
        <v>21</v>
      </c>
      <c r="U1267" s="1" t="s">
        <v>22</v>
      </c>
      <c r="V1267" s="1" t="s">
        <v>24</v>
      </c>
      <c r="W1267" s="1" t="s">
        <v>24</v>
      </c>
      <c r="X1267" s="1">
        <v>1308</v>
      </c>
      <c r="Y1267" s="1" t="s">
        <v>24</v>
      </c>
      <c r="Z1267" s="1" t="s">
        <v>24</v>
      </c>
      <c r="AA1267" s="1" t="s">
        <v>24</v>
      </c>
      <c r="AB1267" s="1" t="s">
        <v>24</v>
      </c>
      <c r="AC1267" s="1" t="s">
        <v>24</v>
      </c>
      <c r="AD1267" s="1" t="s">
        <v>24</v>
      </c>
      <c r="AE1267" s="1" t="s">
        <v>24</v>
      </c>
      <c r="AF1267" s="22"/>
    </row>
    <row r="1268" spans="1:32" x14ac:dyDescent="0.2">
      <c r="A1268" s="1">
        <v>7865</v>
      </c>
      <c r="B1268" s="1" t="s">
        <v>4153</v>
      </c>
      <c r="C1268" s="5" t="s">
        <v>0</v>
      </c>
      <c r="D1268" s="1" t="s">
        <v>4154</v>
      </c>
      <c r="E1268" s="1" t="s">
        <v>4155</v>
      </c>
      <c r="F1268" s="1" t="s">
        <v>751</v>
      </c>
      <c r="G1268" s="1" t="s">
        <v>36</v>
      </c>
      <c r="H1268" s="1" t="s">
        <v>37</v>
      </c>
      <c r="I1268" s="1" t="s">
        <v>16</v>
      </c>
      <c r="J1268" s="1">
        <v>1</v>
      </c>
      <c r="K1268" s="1">
        <v>12</v>
      </c>
      <c r="L1268" s="1" t="s">
        <v>31</v>
      </c>
      <c r="M1268" s="1" t="s">
        <v>18</v>
      </c>
      <c r="N1268" s="1" t="s">
        <v>18</v>
      </c>
      <c r="O1268" s="1">
        <v>3</v>
      </c>
      <c r="P1268" s="1">
        <v>6</v>
      </c>
      <c r="R1268" s="1" t="s">
        <v>19</v>
      </c>
      <c r="S1268" s="1" t="s">
        <v>20</v>
      </c>
      <c r="T1268" s="1" t="s">
        <v>21</v>
      </c>
      <c r="U1268" s="1" t="s">
        <v>22</v>
      </c>
      <c r="V1268" s="1" t="s">
        <v>24</v>
      </c>
      <c r="W1268" s="1" t="s">
        <v>24</v>
      </c>
      <c r="X1268" s="1">
        <v>1602</v>
      </c>
      <c r="Y1268" s="1">
        <v>1303</v>
      </c>
      <c r="Z1268" s="1">
        <v>1308</v>
      </c>
      <c r="AA1268" s="1">
        <v>1312</v>
      </c>
      <c r="AB1268" s="1">
        <v>3002</v>
      </c>
      <c r="AC1268" s="1">
        <v>3004</v>
      </c>
      <c r="AD1268" s="1" t="s">
        <v>24</v>
      </c>
      <c r="AE1268" s="1" t="s">
        <v>24</v>
      </c>
      <c r="AF1268" s="22"/>
    </row>
    <row r="1269" spans="1:32" x14ac:dyDescent="0.2">
      <c r="A1269" s="1">
        <v>7867</v>
      </c>
      <c r="B1269" s="1" t="s">
        <v>4156</v>
      </c>
      <c r="C1269" s="5" t="s">
        <v>0</v>
      </c>
      <c r="D1269" s="1" t="s">
        <v>4157</v>
      </c>
      <c r="E1269" s="1" t="s">
        <v>4158</v>
      </c>
      <c r="F1269" s="1" t="s">
        <v>155</v>
      </c>
      <c r="G1269" s="1" t="s">
        <v>61</v>
      </c>
      <c r="H1269" s="1" t="s">
        <v>37</v>
      </c>
      <c r="I1269" s="1" t="s">
        <v>16</v>
      </c>
      <c r="J1269" s="1">
        <v>1</v>
      </c>
      <c r="K1269" s="1">
        <v>8</v>
      </c>
      <c r="L1269" s="1" t="s">
        <v>31</v>
      </c>
      <c r="M1269" s="1" t="s">
        <v>18</v>
      </c>
      <c r="N1269" s="1" t="s">
        <v>18</v>
      </c>
      <c r="O1269" s="1">
        <v>3</v>
      </c>
      <c r="P1269" s="1">
        <v>6</v>
      </c>
      <c r="R1269" s="1" t="s">
        <v>19</v>
      </c>
      <c r="S1269" s="1" t="s">
        <v>63</v>
      </c>
      <c r="T1269" s="1" t="s">
        <v>21</v>
      </c>
      <c r="U1269" s="1" t="s">
        <v>22</v>
      </c>
      <c r="V1269" s="1" t="s">
        <v>24</v>
      </c>
      <c r="W1269" s="1" t="s">
        <v>24</v>
      </c>
      <c r="X1269" s="1">
        <v>3005</v>
      </c>
      <c r="Y1269" s="1" t="s">
        <v>24</v>
      </c>
      <c r="Z1269" s="1" t="s">
        <v>24</v>
      </c>
      <c r="AA1269" s="1" t="s">
        <v>24</v>
      </c>
      <c r="AB1269" s="1" t="s">
        <v>24</v>
      </c>
      <c r="AC1269" s="1" t="s">
        <v>24</v>
      </c>
      <c r="AD1269" s="1" t="s">
        <v>24</v>
      </c>
      <c r="AE1269" s="1" t="s">
        <v>24</v>
      </c>
      <c r="AF1269" s="22"/>
    </row>
    <row r="1270" spans="1:32" x14ac:dyDescent="0.2">
      <c r="A1270" s="1">
        <v>7871</v>
      </c>
      <c r="B1270" s="1" t="s">
        <v>4159</v>
      </c>
      <c r="C1270" s="5" t="s">
        <v>0</v>
      </c>
      <c r="D1270" s="1" t="s">
        <v>4160</v>
      </c>
      <c r="E1270" s="1" t="s">
        <v>4161</v>
      </c>
      <c r="F1270" s="1" t="s">
        <v>194</v>
      </c>
      <c r="G1270" s="1" t="s">
        <v>61</v>
      </c>
      <c r="H1270" s="1" t="s">
        <v>30</v>
      </c>
      <c r="I1270" s="1" t="s">
        <v>16</v>
      </c>
      <c r="J1270" s="1">
        <v>1</v>
      </c>
      <c r="K1270" s="1">
        <v>12</v>
      </c>
      <c r="L1270" s="1" t="s">
        <v>31</v>
      </c>
      <c r="M1270" s="1" t="s">
        <v>18</v>
      </c>
      <c r="N1270" s="1" t="s">
        <v>18</v>
      </c>
      <c r="O1270" s="1">
        <v>0</v>
      </c>
      <c r="P1270" s="1">
        <v>6</v>
      </c>
      <c r="R1270" s="1" t="s">
        <v>62</v>
      </c>
      <c r="S1270" s="1" t="s">
        <v>20</v>
      </c>
      <c r="T1270" s="1" t="s">
        <v>21</v>
      </c>
      <c r="U1270" s="1" t="s">
        <v>22</v>
      </c>
      <c r="V1270" s="1" t="s">
        <v>24</v>
      </c>
      <c r="W1270" s="1" t="s">
        <v>24</v>
      </c>
      <c r="X1270" s="1">
        <v>2705</v>
      </c>
      <c r="Y1270" s="1" t="s">
        <v>24</v>
      </c>
      <c r="Z1270" s="1" t="s">
        <v>24</v>
      </c>
      <c r="AA1270" s="1" t="s">
        <v>24</v>
      </c>
      <c r="AB1270" s="1" t="s">
        <v>24</v>
      </c>
      <c r="AC1270" s="1" t="s">
        <v>24</v>
      </c>
      <c r="AD1270" s="1" t="s">
        <v>24</v>
      </c>
      <c r="AE1270" s="1" t="s">
        <v>24</v>
      </c>
      <c r="AF1270" s="22"/>
    </row>
    <row r="1271" spans="1:32" x14ac:dyDescent="0.2">
      <c r="A1271" s="1">
        <v>7872</v>
      </c>
      <c r="B1271" s="1" t="s">
        <v>4162</v>
      </c>
      <c r="C1271" s="5" t="s">
        <v>0</v>
      </c>
      <c r="D1271" s="1" t="s">
        <v>4163</v>
      </c>
      <c r="E1271" s="1" t="s">
        <v>4164</v>
      </c>
      <c r="F1271" s="1" t="s">
        <v>194</v>
      </c>
      <c r="G1271" s="1" t="s">
        <v>61</v>
      </c>
      <c r="H1271" s="1" t="s">
        <v>30</v>
      </c>
      <c r="I1271" s="1" t="s">
        <v>16</v>
      </c>
      <c r="J1271" s="1">
        <v>1</v>
      </c>
      <c r="K1271" s="1">
        <v>6</v>
      </c>
      <c r="L1271" s="1" t="s">
        <v>31</v>
      </c>
      <c r="M1271" s="1" t="s">
        <v>18</v>
      </c>
      <c r="N1271" s="1" t="s">
        <v>18</v>
      </c>
      <c r="O1271" s="1">
        <v>3</v>
      </c>
      <c r="P1271" s="1">
        <v>6</v>
      </c>
      <c r="R1271" s="1" t="s">
        <v>19</v>
      </c>
      <c r="S1271" s="1" t="s">
        <v>20</v>
      </c>
      <c r="T1271" s="1" t="s">
        <v>21</v>
      </c>
      <c r="U1271" s="1" t="s">
        <v>22</v>
      </c>
      <c r="V1271" s="1" t="s">
        <v>23</v>
      </c>
      <c r="W1271" s="1" t="s">
        <v>24</v>
      </c>
      <c r="X1271" s="1">
        <v>2741</v>
      </c>
      <c r="Y1271" s="1" t="s">
        <v>24</v>
      </c>
      <c r="Z1271" s="1" t="s">
        <v>24</v>
      </c>
      <c r="AA1271" s="1" t="s">
        <v>24</v>
      </c>
      <c r="AB1271" s="1" t="s">
        <v>24</v>
      </c>
      <c r="AC1271" s="1" t="s">
        <v>24</v>
      </c>
      <c r="AD1271" s="1" t="s">
        <v>24</v>
      </c>
      <c r="AE1271" s="1" t="s">
        <v>24</v>
      </c>
      <c r="AF1271" s="22"/>
    </row>
    <row r="1272" spans="1:32" x14ac:dyDescent="0.2">
      <c r="A1272" s="1">
        <v>7875</v>
      </c>
      <c r="B1272" s="1" t="s">
        <v>4165</v>
      </c>
      <c r="C1272" s="5" t="s">
        <v>0</v>
      </c>
      <c r="D1272" s="1" t="s">
        <v>4166</v>
      </c>
      <c r="E1272" s="1" t="s">
        <v>4167</v>
      </c>
      <c r="F1272" s="1" t="s">
        <v>190</v>
      </c>
      <c r="G1272" s="1" t="s">
        <v>130</v>
      </c>
      <c r="H1272" s="1" t="s">
        <v>30</v>
      </c>
      <c r="I1272" s="1" t="s">
        <v>16</v>
      </c>
      <c r="J1272" s="1">
        <v>1</v>
      </c>
      <c r="K1272" s="1">
        <v>4</v>
      </c>
      <c r="L1272" s="1" t="s">
        <v>31</v>
      </c>
      <c r="M1272" s="1" t="s">
        <v>18</v>
      </c>
      <c r="N1272" s="1" t="s">
        <v>18</v>
      </c>
      <c r="O1272" s="1">
        <v>3</v>
      </c>
      <c r="P1272" s="1">
        <v>6</v>
      </c>
      <c r="R1272" s="1" t="s">
        <v>19</v>
      </c>
      <c r="S1272" s="1" t="s">
        <v>20</v>
      </c>
      <c r="T1272" s="1" t="s">
        <v>21</v>
      </c>
      <c r="U1272" s="1" t="s">
        <v>22</v>
      </c>
      <c r="V1272" s="1" t="s">
        <v>24</v>
      </c>
      <c r="W1272" s="1" t="s">
        <v>24</v>
      </c>
      <c r="X1272" s="1">
        <v>2728</v>
      </c>
      <c r="Y1272" s="1">
        <v>1303</v>
      </c>
      <c r="Z1272" s="1">
        <v>2804</v>
      </c>
      <c r="AA1272" s="1" t="s">
        <v>24</v>
      </c>
      <c r="AB1272" s="1" t="s">
        <v>24</v>
      </c>
      <c r="AC1272" s="1" t="s">
        <v>24</v>
      </c>
      <c r="AD1272" s="1" t="s">
        <v>24</v>
      </c>
      <c r="AE1272" s="1" t="s">
        <v>24</v>
      </c>
      <c r="AF1272" s="22"/>
    </row>
    <row r="1273" spans="1:32" x14ac:dyDescent="0.2">
      <c r="A1273" s="1">
        <v>7884</v>
      </c>
      <c r="B1273" s="1" t="s">
        <v>4168</v>
      </c>
      <c r="C1273" s="5" t="s">
        <v>0</v>
      </c>
      <c r="D1273" s="1" t="s">
        <v>4169</v>
      </c>
      <c r="E1273" s="1" t="s">
        <v>4170</v>
      </c>
      <c r="F1273" s="1" t="s">
        <v>303</v>
      </c>
      <c r="G1273" s="1" t="s">
        <v>61</v>
      </c>
      <c r="H1273" s="1" t="s">
        <v>30</v>
      </c>
      <c r="I1273" s="1" t="s">
        <v>16</v>
      </c>
      <c r="J1273" s="1">
        <v>1</v>
      </c>
      <c r="K1273" s="1">
        <v>4</v>
      </c>
      <c r="L1273" s="1" t="s">
        <v>31</v>
      </c>
      <c r="M1273" s="1" t="s">
        <v>18</v>
      </c>
      <c r="N1273" s="1" t="s">
        <v>18</v>
      </c>
      <c r="O1273" s="1">
        <v>2</v>
      </c>
      <c r="P1273" s="1">
        <v>6</v>
      </c>
      <c r="R1273" s="1" t="s">
        <v>19</v>
      </c>
      <c r="S1273" s="1" t="s">
        <v>20</v>
      </c>
      <c r="T1273" s="1" t="s">
        <v>21</v>
      </c>
      <c r="U1273" s="1" t="s">
        <v>22</v>
      </c>
      <c r="V1273" s="1" t="s">
        <v>23</v>
      </c>
      <c r="W1273" s="1" t="s">
        <v>24</v>
      </c>
      <c r="X1273" s="1">
        <v>2732</v>
      </c>
      <c r="Y1273" s="1">
        <v>3612</v>
      </c>
      <c r="Z1273" s="1" t="s">
        <v>24</v>
      </c>
      <c r="AA1273" s="1" t="s">
        <v>24</v>
      </c>
      <c r="AB1273" s="1" t="s">
        <v>24</v>
      </c>
      <c r="AC1273" s="1" t="s">
        <v>24</v>
      </c>
      <c r="AD1273" s="1" t="s">
        <v>24</v>
      </c>
      <c r="AE1273" s="1" t="s">
        <v>24</v>
      </c>
      <c r="AF1273" s="22"/>
    </row>
    <row r="1274" spans="1:32" x14ac:dyDescent="0.2">
      <c r="A1274" s="1">
        <v>7887</v>
      </c>
      <c r="B1274" s="1" t="s">
        <v>4171</v>
      </c>
      <c r="C1274" s="5" t="s">
        <v>0</v>
      </c>
      <c r="D1274" s="1" t="s">
        <v>4172</v>
      </c>
      <c r="E1274" s="1" t="s">
        <v>4173</v>
      </c>
      <c r="F1274" s="1" t="s">
        <v>493</v>
      </c>
      <c r="G1274" s="1" t="s">
        <v>98</v>
      </c>
      <c r="H1274" s="1" t="s">
        <v>30</v>
      </c>
      <c r="I1274" s="1" t="s">
        <v>16</v>
      </c>
      <c r="J1274" s="1">
        <v>1</v>
      </c>
      <c r="K1274" s="1">
        <v>6</v>
      </c>
      <c r="L1274" s="1" t="s">
        <v>31</v>
      </c>
      <c r="M1274" s="1" t="s">
        <v>18</v>
      </c>
      <c r="N1274" s="1" t="s">
        <v>18</v>
      </c>
      <c r="O1274" s="1">
        <v>2</v>
      </c>
      <c r="P1274" s="1">
        <v>5</v>
      </c>
      <c r="R1274" s="1" t="s">
        <v>19</v>
      </c>
      <c r="S1274" s="1" t="s">
        <v>20</v>
      </c>
      <c r="T1274" s="1" t="s">
        <v>21</v>
      </c>
      <c r="U1274" s="1" t="s">
        <v>22</v>
      </c>
      <c r="V1274" s="1" t="s">
        <v>23</v>
      </c>
      <c r="W1274" s="1" t="s">
        <v>24</v>
      </c>
      <c r="X1274" s="1">
        <v>3003</v>
      </c>
      <c r="Y1274" s="1" t="s">
        <v>24</v>
      </c>
      <c r="Z1274" s="1" t="s">
        <v>24</v>
      </c>
      <c r="AA1274" s="1" t="s">
        <v>24</v>
      </c>
      <c r="AB1274" s="1" t="s">
        <v>24</v>
      </c>
      <c r="AC1274" s="1" t="s">
        <v>24</v>
      </c>
      <c r="AD1274" s="1" t="s">
        <v>24</v>
      </c>
      <c r="AE1274" s="1" t="s">
        <v>24</v>
      </c>
      <c r="AF1274" s="22"/>
    </row>
    <row r="1275" spans="1:32" x14ac:dyDescent="0.2">
      <c r="A1275" s="1">
        <v>7919</v>
      </c>
      <c r="B1275" s="1" t="s">
        <v>4174</v>
      </c>
      <c r="C1275" s="5" t="s">
        <v>0</v>
      </c>
      <c r="D1275" s="1" t="s">
        <v>4175</v>
      </c>
      <c r="E1275" s="1" t="s">
        <v>4176</v>
      </c>
      <c r="F1275" s="1" t="s">
        <v>296</v>
      </c>
      <c r="G1275" s="1" t="s">
        <v>36</v>
      </c>
      <c r="H1275" s="1" t="s">
        <v>37</v>
      </c>
      <c r="I1275" s="1" t="s">
        <v>16</v>
      </c>
      <c r="J1275" s="1">
        <v>1</v>
      </c>
      <c r="K1275" s="1">
        <v>24</v>
      </c>
      <c r="L1275" s="1" t="s">
        <v>31</v>
      </c>
      <c r="M1275" s="1" t="s">
        <v>18</v>
      </c>
      <c r="N1275" s="1" t="s">
        <v>18</v>
      </c>
      <c r="O1275" s="1">
        <v>3</v>
      </c>
      <c r="P1275" s="1">
        <v>8</v>
      </c>
      <c r="Q1275" s="7" t="s">
        <v>17633</v>
      </c>
      <c r="R1275" s="1" t="s">
        <v>62</v>
      </c>
      <c r="S1275" s="1" t="s">
        <v>20</v>
      </c>
      <c r="T1275" s="1" t="s">
        <v>21</v>
      </c>
      <c r="U1275" s="1" t="s">
        <v>22</v>
      </c>
      <c r="V1275" s="1" t="s">
        <v>24</v>
      </c>
      <c r="W1275" s="1" t="s">
        <v>24</v>
      </c>
      <c r="X1275" s="1">
        <v>1312</v>
      </c>
      <c r="Y1275" s="1">
        <v>1300</v>
      </c>
      <c r="Z1275" s="1">
        <v>2400</v>
      </c>
      <c r="AA1275" s="1">
        <v>2800</v>
      </c>
      <c r="AB1275" s="1" t="s">
        <v>24</v>
      </c>
      <c r="AC1275" s="1" t="s">
        <v>24</v>
      </c>
      <c r="AD1275" s="1" t="s">
        <v>24</v>
      </c>
      <c r="AE1275" s="1" t="s">
        <v>24</v>
      </c>
      <c r="AF1275" s="22"/>
    </row>
    <row r="1276" spans="1:32" x14ac:dyDescent="0.2">
      <c r="A1276" s="1">
        <v>7945</v>
      </c>
      <c r="B1276" s="1" t="s">
        <v>4177</v>
      </c>
      <c r="C1276" s="5" t="s">
        <v>0</v>
      </c>
      <c r="D1276" s="1" t="s">
        <v>4178</v>
      </c>
      <c r="E1276" s="1" t="s">
        <v>4179</v>
      </c>
      <c r="F1276" s="1" t="s">
        <v>724</v>
      </c>
      <c r="G1276" s="1" t="s">
        <v>725</v>
      </c>
      <c r="H1276" s="1" t="s">
        <v>30</v>
      </c>
      <c r="I1276" s="1" t="s">
        <v>16</v>
      </c>
      <c r="J1276" s="1">
        <v>1</v>
      </c>
      <c r="K1276" s="1">
        <v>4</v>
      </c>
      <c r="L1276" s="1" t="s">
        <v>31</v>
      </c>
      <c r="M1276" s="1" t="s">
        <v>18</v>
      </c>
      <c r="N1276" s="1" t="s">
        <v>18</v>
      </c>
      <c r="O1276" s="1">
        <v>2</v>
      </c>
      <c r="P1276" s="1">
        <v>6</v>
      </c>
      <c r="R1276" s="1" t="s">
        <v>19</v>
      </c>
      <c r="S1276" s="1" t="s">
        <v>20</v>
      </c>
      <c r="T1276" s="1" t="s">
        <v>21</v>
      </c>
      <c r="U1276" s="1" t="s">
        <v>22</v>
      </c>
      <c r="V1276" s="1" t="s">
        <v>23</v>
      </c>
      <c r="W1276" s="1" t="s">
        <v>24</v>
      </c>
      <c r="X1276" s="1">
        <v>2719</v>
      </c>
      <c r="Y1276" s="1" t="s">
        <v>24</v>
      </c>
      <c r="Z1276" s="1" t="s">
        <v>24</v>
      </c>
      <c r="AA1276" s="1" t="s">
        <v>24</v>
      </c>
      <c r="AB1276" s="1" t="s">
        <v>24</v>
      </c>
      <c r="AC1276" s="1" t="s">
        <v>24</v>
      </c>
      <c r="AD1276" s="1" t="s">
        <v>24</v>
      </c>
      <c r="AE1276" s="1" t="s">
        <v>24</v>
      </c>
      <c r="AF1276" s="22"/>
    </row>
    <row r="1277" spans="1:32" x14ac:dyDescent="0.2">
      <c r="A1277" s="1">
        <v>7948</v>
      </c>
      <c r="B1277" s="1" t="s">
        <v>4180</v>
      </c>
      <c r="C1277" s="5" t="s">
        <v>0</v>
      </c>
      <c r="D1277" s="1" t="s">
        <v>4181</v>
      </c>
      <c r="F1277" s="1" t="s">
        <v>1538</v>
      </c>
      <c r="G1277" s="1" t="s">
        <v>1538</v>
      </c>
      <c r="H1277" s="1" t="s">
        <v>30</v>
      </c>
      <c r="I1277" s="1" t="s">
        <v>16</v>
      </c>
      <c r="J1277" s="1">
        <v>1</v>
      </c>
      <c r="K1277" s="1">
        <v>12</v>
      </c>
      <c r="L1277" s="1" t="s">
        <v>42</v>
      </c>
      <c r="M1277" s="1" t="s">
        <v>18</v>
      </c>
      <c r="N1277" s="1" t="s">
        <v>18</v>
      </c>
      <c r="O1277" s="1">
        <v>3</v>
      </c>
      <c r="P1277" s="1">
        <v>8</v>
      </c>
      <c r="Q1277" s="7" t="s">
        <v>17633</v>
      </c>
      <c r="R1277" s="1" t="s">
        <v>62</v>
      </c>
      <c r="S1277" s="1" t="s">
        <v>20</v>
      </c>
      <c r="T1277" s="1" t="s">
        <v>21</v>
      </c>
      <c r="U1277" s="1" t="s">
        <v>22</v>
      </c>
      <c r="V1277" s="1" t="s">
        <v>24</v>
      </c>
      <c r="W1277" s="1" t="s">
        <v>24</v>
      </c>
      <c r="X1277" s="1">
        <v>1312</v>
      </c>
      <c r="Y1277" s="1">
        <v>1310</v>
      </c>
      <c r="Z1277" s="1" t="s">
        <v>24</v>
      </c>
      <c r="AA1277" s="1" t="s">
        <v>24</v>
      </c>
      <c r="AB1277" s="1" t="s">
        <v>24</v>
      </c>
      <c r="AC1277" s="1" t="s">
        <v>24</v>
      </c>
      <c r="AD1277" s="1" t="s">
        <v>24</v>
      </c>
      <c r="AE1277" s="1" t="s">
        <v>24</v>
      </c>
      <c r="AF1277" s="22" t="s">
        <v>17679</v>
      </c>
    </row>
    <row r="1278" spans="1:32" x14ac:dyDescent="0.2">
      <c r="A1278" s="1">
        <v>7949</v>
      </c>
      <c r="B1278" s="1" t="s">
        <v>4182</v>
      </c>
      <c r="C1278" s="5" t="s">
        <v>0</v>
      </c>
      <c r="D1278" s="1" t="s">
        <v>4183</v>
      </c>
      <c r="E1278" s="1" t="s">
        <v>4184</v>
      </c>
      <c r="F1278" s="1" t="s">
        <v>315</v>
      </c>
      <c r="G1278" s="1" t="s">
        <v>316</v>
      </c>
      <c r="H1278" s="1" t="s">
        <v>37</v>
      </c>
      <c r="I1278" s="1" t="s">
        <v>16</v>
      </c>
      <c r="J1278" s="1">
        <v>1</v>
      </c>
      <c r="K1278" s="1">
        <v>12</v>
      </c>
      <c r="L1278" s="1" t="s">
        <v>31</v>
      </c>
      <c r="M1278" s="1" t="s">
        <v>18</v>
      </c>
      <c r="N1278" s="1" t="s">
        <v>18</v>
      </c>
      <c r="O1278" s="1">
        <v>3</v>
      </c>
      <c r="P1278" s="1">
        <v>7</v>
      </c>
      <c r="Q1278" s="7" t="s">
        <v>17633</v>
      </c>
      <c r="R1278" s="1" t="s">
        <v>62</v>
      </c>
      <c r="S1278" s="1" t="s">
        <v>20</v>
      </c>
      <c r="T1278" s="1" t="s">
        <v>21</v>
      </c>
      <c r="U1278" s="1" t="s">
        <v>22</v>
      </c>
      <c r="V1278" s="1" t="s">
        <v>24</v>
      </c>
      <c r="W1278" s="1" t="s">
        <v>24</v>
      </c>
      <c r="X1278" s="1">
        <v>2720</v>
      </c>
      <c r="Y1278" s="1">
        <v>1306</v>
      </c>
      <c r="Z1278" s="1">
        <v>2703</v>
      </c>
      <c r="AA1278" s="1" t="s">
        <v>24</v>
      </c>
      <c r="AB1278" s="1" t="s">
        <v>24</v>
      </c>
      <c r="AC1278" s="1" t="s">
        <v>24</v>
      </c>
      <c r="AD1278" s="1" t="s">
        <v>24</v>
      </c>
      <c r="AE1278" s="1" t="s">
        <v>24</v>
      </c>
      <c r="AF1278" s="22"/>
    </row>
    <row r="1279" spans="1:32" x14ac:dyDescent="0.2">
      <c r="A1279" s="1">
        <v>7957</v>
      </c>
      <c r="B1279" s="1" t="s">
        <v>4185</v>
      </c>
      <c r="C1279" s="5" t="s">
        <v>0</v>
      </c>
      <c r="D1279" s="1" t="s">
        <v>4186</v>
      </c>
      <c r="E1279" s="1" t="s">
        <v>4187</v>
      </c>
      <c r="F1279" s="1" t="s">
        <v>1181</v>
      </c>
      <c r="G1279" s="1" t="s">
        <v>130</v>
      </c>
      <c r="H1279" s="1" t="s">
        <v>37</v>
      </c>
      <c r="I1279" s="1" t="s">
        <v>16</v>
      </c>
      <c r="J1279" s="1">
        <v>1</v>
      </c>
      <c r="K1279" s="1">
        <v>6</v>
      </c>
      <c r="L1279" s="1" t="s">
        <v>31</v>
      </c>
      <c r="M1279" s="1" t="s">
        <v>18</v>
      </c>
      <c r="N1279" s="1" t="s">
        <v>18</v>
      </c>
      <c r="O1279" s="1">
        <v>3</v>
      </c>
      <c r="P1279" s="1">
        <v>7</v>
      </c>
      <c r="Q1279" s="7" t="s">
        <v>17633</v>
      </c>
      <c r="R1279" s="1" t="s">
        <v>19</v>
      </c>
      <c r="S1279" s="1" t="s">
        <v>20</v>
      </c>
      <c r="T1279" s="1" t="s">
        <v>21</v>
      </c>
      <c r="U1279" s="1" t="s">
        <v>22</v>
      </c>
      <c r="V1279" s="1" t="s">
        <v>23</v>
      </c>
      <c r="W1279" s="1" t="s">
        <v>24</v>
      </c>
      <c r="X1279" s="1">
        <v>2746</v>
      </c>
      <c r="Y1279" s="1">
        <v>2708</v>
      </c>
      <c r="Z1279" s="1" t="s">
        <v>24</v>
      </c>
      <c r="AA1279" s="1" t="s">
        <v>24</v>
      </c>
      <c r="AB1279" s="1" t="s">
        <v>24</v>
      </c>
      <c r="AC1279" s="1" t="s">
        <v>24</v>
      </c>
      <c r="AD1279" s="1" t="s">
        <v>24</v>
      </c>
      <c r="AE1279" s="1" t="s">
        <v>24</v>
      </c>
      <c r="AF1279" s="22"/>
    </row>
    <row r="1280" spans="1:32" x14ac:dyDescent="0.2">
      <c r="A1280" s="1">
        <v>7964</v>
      </c>
      <c r="B1280" s="1" t="s">
        <v>4188</v>
      </c>
      <c r="C1280" s="5" t="s">
        <v>0</v>
      </c>
      <c r="D1280" s="1" t="s">
        <v>4189</v>
      </c>
      <c r="E1280" s="1" t="s">
        <v>4190</v>
      </c>
      <c r="F1280" s="1" t="s">
        <v>272</v>
      </c>
      <c r="G1280" s="1" t="s">
        <v>61</v>
      </c>
      <c r="H1280" s="1" t="s">
        <v>30</v>
      </c>
      <c r="I1280" s="1" t="s">
        <v>16</v>
      </c>
      <c r="J1280" s="1">
        <v>2</v>
      </c>
      <c r="K1280" s="1">
        <v>12</v>
      </c>
      <c r="L1280" s="1" t="s">
        <v>31</v>
      </c>
      <c r="M1280" s="1" t="s">
        <v>18</v>
      </c>
      <c r="N1280" s="1" t="s">
        <v>18</v>
      </c>
      <c r="O1280" s="1">
        <v>3</v>
      </c>
      <c r="P1280" s="1">
        <v>7</v>
      </c>
      <c r="Q1280" s="7" t="s">
        <v>17633</v>
      </c>
      <c r="R1280" s="1" t="s">
        <v>62</v>
      </c>
      <c r="S1280" s="1" t="s">
        <v>63</v>
      </c>
      <c r="T1280" s="1" t="s">
        <v>21</v>
      </c>
      <c r="U1280" s="1" t="s">
        <v>22</v>
      </c>
      <c r="V1280" s="1" t="s">
        <v>24</v>
      </c>
      <c r="W1280" s="1" t="s">
        <v>64</v>
      </c>
      <c r="X1280" s="1">
        <v>1303</v>
      </c>
      <c r="Y1280" s="1">
        <v>2737</v>
      </c>
      <c r="Z1280" s="1" t="s">
        <v>24</v>
      </c>
      <c r="AA1280" s="1" t="s">
        <v>24</v>
      </c>
      <c r="AB1280" s="1" t="s">
        <v>24</v>
      </c>
      <c r="AC1280" s="1" t="s">
        <v>24</v>
      </c>
      <c r="AD1280" s="1" t="s">
        <v>24</v>
      </c>
      <c r="AE1280" s="1" t="s">
        <v>24</v>
      </c>
      <c r="AF1280" s="22"/>
    </row>
    <row r="1281" spans="1:32" x14ac:dyDescent="0.2">
      <c r="A1281" s="1">
        <v>7969</v>
      </c>
      <c r="B1281" s="1" t="s">
        <v>4191</v>
      </c>
      <c r="C1281" s="5" t="s">
        <v>0</v>
      </c>
      <c r="D1281" s="1" t="s">
        <v>4192</v>
      </c>
      <c r="E1281" s="1" t="s">
        <v>4193</v>
      </c>
      <c r="F1281" s="1" t="s">
        <v>1977</v>
      </c>
      <c r="G1281" s="1" t="s">
        <v>130</v>
      </c>
      <c r="H1281" s="1" t="s">
        <v>899</v>
      </c>
      <c r="I1281" s="1" t="s">
        <v>16</v>
      </c>
      <c r="J1281" s="1">
        <v>1</v>
      </c>
      <c r="K1281" s="1">
        <v>2</v>
      </c>
      <c r="L1281" s="1" t="s">
        <v>31</v>
      </c>
      <c r="M1281" s="1" t="s">
        <v>18</v>
      </c>
      <c r="N1281" s="1" t="s">
        <v>18</v>
      </c>
      <c r="O1281" s="1">
        <v>2</v>
      </c>
      <c r="P1281" s="1">
        <v>6</v>
      </c>
      <c r="R1281" s="1" t="s">
        <v>19</v>
      </c>
      <c r="S1281" s="1" t="s">
        <v>20</v>
      </c>
      <c r="T1281" s="1" t="s">
        <v>21</v>
      </c>
      <c r="U1281" s="1" t="s">
        <v>22</v>
      </c>
      <c r="V1281" s="1" t="s">
        <v>24</v>
      </c>
      <c r="W1281" s="1" t="s">
        <v>24</v>
      </c>
      <c r="X1281" s="1">
        <v>1308</v>
      </c>
      <c r="Y1281" s="1" t="s">
        <v>24</v>
      </c>
      <c r="Z1281" s="1" t="s">
        <v>24</v>
      </c>
      <c r="AA1281" s="1" t="s">
        <v>24</v>
      </c>
      <c r="AB1281" s="1" t="s">
        <v>24</v>
      </c>
      <c r="AC1281" s="1" t="s">
        <v>24</v>
      </c>
      <c r="AD1281" s="1" t="s">
        <v>24</v>
      </c>
      <c r="AE1281" s="1" t="s">
        <v>24</v>
      </c>
      <c r="AF1281" s="22"/>
    </row>
    <row r="1282" spans="1:32" x14ac:dyDescent="0.2">
      <c r="A1282" s="1">
        <v>7971</v>
      </c>
      <c r="B1282" s="1" t="s">
        <v>4194</v>
      </c>
      <c r="C1282" s="5" t="s">
        <v>0</v>
      </c>
      <c r="D1282" s="1" t="s">
        <v>4195</v>
      </c>
      <c r="E1282" s="1" t="s">
        <v>4196</v>
      </c>
      <c r="F1282" s="1" t="s">
        <v>28</v>
      </c>
      <c r="G1282" s="1" t="s">
        <v>29</v>
      </c>
      <c r="H1282" s="1" t="s">
        <v>30</v>
      </c>
      <c r="I1282" s="1" t="s">
        <v>16</v>
      </c>
      <c r="J1282" s="1">
        <v>2</v>
      </c>
      <c r="K1282" s="1">
        <v>4</v>
      </c>
      <c r="L1282" s="1" t="s">
        <v>31</v>
      </c>
      <c r="M1282" s="1" t="s">
        <v>18</v>
      </c>
      <c r="N1282" s="1" t="s">
        <v>18</v>
      </c>
      <c r="O1282" s="1">
        <v>3</v>
      </c>
      <c r="P1282" s="1">
        <v>7</v>
      </c>
      <c r="Q1282" s="7" t="s">
        <v>17633</v>
      </c>
      <c r="R1282" s="1" t="s">
        <v>19</v>
      </c>
      <c r="S1282" s="1" t="s">
        <v>20</v>
      </c>
      <c r="T1282" s="1" t="s">
        <v>21</v>
      </c>
      <c r="U1282" s="1" t="s">
        <v>22</v>
      </c>
      <c r="V1282" s="1" t="s">
        <v>24</v>
      </c>
      <c r="W1282" s="1" t="s">
        <v>24</v>
      </c>
      <c r="X1282" s="1">
        <v>2721</v>
      </c>
      <c r="Y1282" s="1">
        <v>2724</v>
      </c>
      <c r="Z1282" s="1">
        <v>1310</v>
      </c>
      <c r="AA1282" s="1">
        <v>2712</v>
      </c>
      <c r="AB1282" s="1" t="s">
        <v>24</v>
      </c>
      <c r="AC1282" s="1" t="s">
        <v>24</v>
      </c>
      <c r="AD1282" s="1" t="s">
        <v>24</v>
      </c>
      <c r="AE1282" s="1" t="s">
        <v>24</v>
      </c>
      <c r="AF1282" s="22"/>
    </row>
    <row r="1283" spans="1:32" x14ac:dyDescent="0.2">
      <c r="A1283" s="1">
        <v>7977</v>
      </c>
      <c r="B1283" s="1" t="s">
        <v>4197</v>
      </c>
      <c r="C1283" s="5" t="s">
        <v>0</v>
      </c>
      <c r="D1283" s="1" t="s">
        <v>4198</v>
      </c>
      <c r="E1283" s="1" t="s">
        <v>4199</v>
      </c>
      <c r="F1283" s="1" t="s">
        <v>1897</v>
      </c>
      <c r="G1283" s="1" t="s">
        <v>1898</v>
      </c>
      <c r="H1283" s="1" t="s">
        <v>899</v>
      </c>
      <c r="I1283" s="1" t="s">
        <v>16</v>
      </c>
      <c r="J1283" s="1">
        <v>1</v>
      </c>
      <c r="K1283" s="1">
        <v>4</v>
      </c>
      <c r="L1283" s="1" t="s">
        <v>31</v>
      </c>
      <c r="M1283" s="1" t="s">
        <v>18</v>
      </c>
      <c r="N1283" s="1" t="s">
        <v>18</v>
      </c>
      <c r="O1283" s="1">
        <v>3</v>
      </c>
      <c r="P1283" s="1">
        <v>6</v>
      </c>
      <c r="R1283" s="1" t="s">
        <v>19</v>
      </c>
      <c r="S1283" s="1" t="s">
        <v>20</v>
      </c>
      <c r="T1283" s="1" t="s">
        <v>21</v>
      </c>
      <c r="U1283" s="1" t="s">
        <v>22</v>
      </c>
      <c r="V1283" s="1" t="s">
        <v>24</v>
      </c>
      <c r="W1283" s="1" t="s">
        <v>24</v>
      </c>
      <c r="X1283" s="1">
        <v>2726</v>
      </c>
      <c r="Y1283" s="1" t="s">
        <v>24</v>
      </c>
      <c r="Z1283" s="1" t="s">
        <v>24</v>
      </c>
      <c r="AA1283" s="1" t="s">
        <v>24</v>
      </c>
      <c r="AB1283" s="1" t="s">
        <v>24</v>
      </c>
      <c r="AC1283" s="1" t="s">
        <v>24</v>
      </c>
      <c r="AD1283" s="1" t="s">
        <v>24</v>
      </c>
      <c r="AE1283" s="1" t="s">
        <v>24</v>
      </c>
      <c r="AF1283" s="22"/>
    </row>
    <row r="1284" spans="1:32" x14ac:dyDescent="0.2">
      <c r="A1284" s="1">
        <v>7978</v>
      </c>
      <c r="B1284" s="1" t="s">
        <v>4200</v>
      </c>
      <c r="C1284" s="5" t="s">
        <v>0</v>
      </c>
      <c r="D1284" s="1" t="s">
        <v>4201</v>
      </c>
      <c r="E1284" s="1" t="s">
        <v>4202</v>
      </c>
      <c r="F1284" s="1" t="s">
        <v>272</v>
      </c>
      <c r="G1284" s="1" t="s">
        <v>61</v>
      </c>
      <c r="H1284" s="1" t="s">
        <v>30</v>
      </c>
      <c r="I1284" s="1" t="s">
        <v>16</v>
      </c>
      <c r="J1284" s="1">
        <v>2</v>
      </c>
      <c r="K1284" s="1">
        <v>6</v>
      </c>
      <c r="L1284" s="1" t="s">
        <v>31</v>
      </c>
      <c r="M1284" s="1" t="s">
        <v>18</v>
      </c>
      <c r="N1284" s="1" t="s">
        <v>18</v>
      </c>
      <c r="O1284" s="1">
        <v>3</v>
      </c>
      <c r="P1284" s="1">
        <v>7</v>
      </c>
      <c r="Q1284" s="7" t="s">
        <v>17633</v>
      </c>
      <c r="R1284" s="1" t="s">
        <v>19</v>
      </c>
      <c r="S1284" s="1" t="s">
        <v>20</v>
      </c>
      <c r="T1284" s="1" t="s">
        <v>21</v>
      </c>
      <c r="U1284" s="1" t="s">
        <v>22</v>
      </c>
      <c r="V1284" s="1" t="s">
        <v>24</v>
      </c>
      <c r="W1284" s="1" t="s">
        <v>24</v>
      </c>
      <c r="X1284" s="1">
        <v>2728</v>
      </c>
      <c r="Y1284" s="1">
        <v>2735</v>
      </c>
      <c r="Z1284" s="1">
        <v>2806</v>
      </c>
      <c r="AA1284" s="1">
        <v>2808</v>
      </c>
      <c r="AB1284" s="1" t="s">
        <v>24</v>
      </c>
      <c r="AC1284" s="1" t="s">
        <v>24</v>
      </c>
      <c r="AD1284" s="1" t="s">
        <v>24</v>
      </c>
      <c r="AE1284" s="1" t="s">
        <v>24</v>
      </c>
      <c r="AF1284" s="22"/>
    </row>
    <row r="1285" spans="1:32" x14ac:dyDescent="0.2">
      <c r="A1285" s="1">
        <v>7983</v>
      </c>
      <c r="B1285" s="1" t="s">
        <v>4203</v>
      </c>
      <c r="C1285" s="5" t="s">
        <v>0</v>
      </c>
      <c r="D1285" s="1" t="s">
        <v>4204</v>
      </c>
      <c r="E1285" s="1" t="s">
        <v>4205</v>
      </c>
      <c r="F1285" s="1" t="s">
        <v>291</v>
      </c>
      <c r="G1285" s="1" t="s">
        <v>292</v>
      </c>
      <c r="H1285" s="1" t="s">
        <v>37</v>
      </c>
      <c r="I1285" s="1" t="s">
        <v>16</v>
      </c>
      <c r="J1285" s="1">
        <v>1</v>
      </c>
      <c r="K1285" s="1">
        <v>8</v>
      </c>
      <c r="L1285" s="1" t="s">
        <v>31</v>
      </c>
      <c r="M1285" s="1" t="s">
        <v>18</v>
      </c>
      <c r="N1285" s="1" t="s">
        <v>18</v>
      </c>
      <c r="O1285" s="1">
        <v>3</v>
      </c>
      <c r="P1285" s="1">
        <v>6</v>
      </c>
      <c r="R1285" s="1" t="s">
        <v>19</v>
      </c>
      <c r="S1285" s="1" t="s">
        <v>20</v>
      </c>
      <c r="T1285" s="1" t="s">
        <v>21</v>
      </c>
      <c r="U1285" s="1" t="s">
        <v>22</v>
      </c>
      <c r="V1285" s="1" t="s">
        <v>24</v>
      </c>
      <c r="W1285" s="1" t="s">
        <v>24</v>
      </c>
      <c r="X1285" s="1">
        <v>2735</v>
      </c>
      <c r="Y1285" s="1">
        <v>2720</v>
      </c>
      <c r="Z1285" s="1">
        <v>2730</v>
      </c>
      <c r="AA1285" s="1" t="s">
        <v>24</v>
      </c>
      <c r="AB1285" s="1" t="s">
        <v>24</v>
      </c>
      <c r="AC1285" s="1" t="s">
        <v>24</v>
      </c>
      <c r="AD1285" s="1" t="s">
        <v>24</v>
      </c>
      <c r="AE1285" s="1" t="s">
        <v>24</v>
      </c>
      <c r="AF1285" s="22"/>
    </row>
    <row r="1286" spans="1:32" x14ac:dyDescent="0.2">
      <c r="A1286" s="1">
        <v>7986</v>
      </c>
      <c r="B1286" s="1" t="s">
        <v>4206</v>
      </c>
      <c r="C1286" s="5" t="s">
        <v>0</v>
      </c>
      <c r="D1286" s="1" t="s">
        <v>4207</v>
      </c>
      <c r="E1286" s="1" t="s">
        <v>4208</v>
      </c>
      <c r="F1286" s="1" t="s">
        <v>1801</v>
      </c>
      <c r="G1286" s="1" t="s">
        <v>130</v>
      </c>
      <c r="H1286" s="1" t="s">
        <v>168</v>
      </c>
      <c r="I1286" s="1" t="s">
        <v>16</v>
      </c>
      <c r="J1286" s="1">
        <v>1</v>
      </c>
      <c r="K1286" s="1">
        <v>12</v>
      </c>
      <c r="L1286" s="1" t="s">
        <v>31</v>
      </c>
      <c r="M1286" s="1" t="s">
        <v>679</v>
      </c>
      <c r="N1286" s="1" t="s">
        <v>18</v>
      </c>
      <c r="O1286" s="1">
        <v>3</v>
      </c>
      <c r="P1286" s="1">
        <v>6</v>
      </c>
      <c r="R1286" s="1" t="s">
        <v>62</v>
      </c>
      <c r="S1286" s="1" t="s">
        <v>20</v>
      </c>
      <c r="T1286" s="1" t="s">
        <v>21</v>
      </c>
      <c r="U1286" s="1" t="s">
        <v>22</v>
      </c>
      <c r="V1286" s="1" t="s">
        <v>23</v>
      </c>
      <c r="W1286" s="1" t="s">
        <v>24</v>
      </c>
      <c r="X1286" s="1">
        <v>2741</v>
      </c>
      <c r="Y1286" s="1">
        <v>2730</v>
      </c>
      <c r="Z1286" s="1" t="s">
        <v>24</v>
      </c>
      <c r="AA1286" s="1" t="s">
        <v>24</v>
      </c>
      <c r="AB1286" s="1" t="s">
        <v>24</v>
      </c>
      <c r="AC1286" s="1" t="s">
        <v>24</v>
      </c>
      <c r="AD1286" s="1" t="s">
        <v>24</v>
      </c>
      <c r="AE1286" s="1" t="s">
        <v>24</v>
      </c>
      <c r="AF1286" s="22"/>
    </row>
    <row r="1287" spans="1:32" x14ac:dyDescent="0.2">
      <c r="A1287" s="1">
        <v>7988</v>
      </c>
      <c r="B1287" s="1" t="s">
        <v>4209</v>
      </c>
      <c r="C1287" s="5" t="s">
        <v>0</v>
      </c>
      <c r="D1287" s="1" t="s">
        <v>4210</v>
      </c>
      <c r="E1287" s="1" t="s">
        <v>4211</v>
      </c>
      <c r="F1287" s="1" t="s">
        <v>35</v>
      </c>
      <c r="G1287" s="1" t="s">
        <v>36</v>
      </c>
      <c r="H1287" s="1" t="s">
        <v>37</v>
      </c>
      <c r="I1287" s="1" t="s">
        <v>16</v>
      </c>
      <c r="J1287" s="1">
        <v>1</v>
      </c>
      <c r="K1287" s="1">
        <v>4</v>
      </c>
      <c r="L1287" s="1" t="s">
        <v>31</v>
      </c>
      <c r="M1287" s="1" t="s">
        <v>18</v>
      </c>
      <c r="N1287" s="1" t="s">
        <v>18</v>
      </c>
      <c r="O1287" s="1">
        <v>3</v>
      </c>
      <c r="P1287" s="1">
        <v>7</v>
      </c>
      <c r="Q1287" s="7" t="s">
        <v>17633</v>
      </c>
      <c r="R1287" s="1" t="s">
        <v>62</v>
      </c>
      <c r="S1287" s="1" t="s">
        <v>20</v>
      </c>
      <c r="T1287" s="1" t="s">
        <v>21</v>
      </c>
      <c r="U1287" s="1" t="s">
        <v>22</v>
      </c>
      <c r="V1287" s="1" t="s">
        <v>23</v>
      </c>
      <c r="W1287" s="1" t="s">
        <v>24</v>
      </c>
      <c r="X1287" s="1">
        <v>2739</v>
      </c>
      <c r="Y1287" s="1">
        <v>2719</v>
      </c>
      <c r="Z1287" s="1" t="s">
        <v>24</v>
      </c>
      <c r="AA1287" s="1" t="s">
        <v>24</v>
      </c>
      <c r="AB1287" s="1" t="s">
        <v>24</v>
      </c>
      <c r="AC1287" s="1" t="s">
        <v>24</v>
      </c>
      <c r="AD1287" s="1" t="s">
        <v>24</v>
      </c>
      <c r="AE1287" s="1" t="s">
        <v>24</v>
      </c>
      <c r="AF1287" s="22"/>
    </row>
    <row r="1288" spans="1:32" x14ac:dyDescent="0.2">
      <c r="A1288" s="1">
        <v>7991</v>
      </c>
      <c r="B1288" s="1" t="s">
        <v>4212</v>
      </c>
      <c r="C1288" s="5" t="s">
        <v>0</v>
      </c>
      <c r="D1288" s="1" t="s">
        <v>4213</v>
      </c>
      <c r="E1288" s="1" t="s">
        <v>4214</v>
      </c>
      <c r="F1288" s="1" t="s">
        <v>155</v>
      </c>
      <c r="G1288" s="1" t="s">
        <v>61</v>
      </c>
      <c r="H1288" s="1" t="s">
        <v>37</v>
      </c>
      <c r="I1288" s="1" t="s">
        <v>16</v>
      </c>
      <c r="J1288" s="1">
        <v>1</v>
      </c>
      <c r="K1288" s="1">
        <v>8</v>
      </c>
      <c r="L1288" s="1" t="s">
        <v>31</v>
      </c>
      <c r="M1288" s="1" t="s">
        <v>18</v>
      </c>
      <c r="N1288" s="1" t="s">
        <v>18</v>
      </c>
      <c r="O1288" s="1">
        <v>3</v>
      </c>
      <c r="P1288" s="1">
        <v>6</v>
      </c>
      <c r="R1288" s="1" t="s">
        <v>19</v>
      </c>
      <c r="S1288" s="1" t="s">
        <v>63</v>
      </c>
      <c r="T1288" s="1" t="s">
        <v>21</v>
      </c>
      <c r="U1288" s="1" t="s">
        <v>22</v>
      </c>
      <c r="V1288" s="1" t="s">
        <v>23</v>
      </c>
      <c r="W1288" s="1" t="s">
        <v>24</v>
      </c>
      <c r="X1288" s="1">
        <v>2738</v>
      </c>
      <c r="Y1288" s="1">
        <v>3203</v>
      </c>
      <c r="Z1288" s="1" t="s">
        <v>24</v>
      </c>
      <c r="AA1288" s="1" t="s">
        <v>24</v>
      </c>
      <c r="AB1288" s="1" t="s">
        <v>24</v>
      </c>
      <c r="AC1288" s="1" t="s">
        <v>24</v>
      </c>
      <c r="AD1288" s="1" t="s">
        <v>24</v>
      </c>
      <c r="AE1288" s="1" t="s">
        <v>24</v>
      </c>
      <c r="AF1288" s="22"/>
    </row>
    <row r="1289" spans="1:32" x14ac:dyDescent="0.2">
      <c r="A1289" s="1">
        <v>7994</v>
      </c>
      <c r="B1289" s="1" t="s">
        <v>4215</v>
      </c>
      <c r="C1289" s="5" t="s">
        <v>0</v>
      </c>
      <c r="D1289" s="1" t="s">
        <v>4216</v>
      </c>
      <c r="E1289" s="1" t="s">
        <v>4217</v>
      </c>
      <c r="F1289" s="1" t="s">
        <v>155</v>
      </c>
      <c r="G1289" s="1" t="s">
        <v>61</v>
      </c>
      <c r="H1289" s="1" t="s">
        <v>37</v>
      </c>
      <c r="I1289" s="1" t="s">
        <v>16</v>
      </c>
      <c r="J1289" s="1">
        <v>1</v>
      </c>
      <c r="K1289" s="1">
        <v>12</v>
      </c>
      <c r="L1289" s="1" t="s">
        <v>31</v>
      </c>
      <c r="M1289" s="1" t="s">
        <v>18</v>
      </c>
      <c r="N1289" s="1" t="s">
        <v>18</v>
      </c>
      <c r="O1289" s="1">
        <v>3</v>
      </c>
      <c r="P1289" s="1">
        <v>6</v>
      </c>
      <c r="R1289" s="1" t="s">
        <v>19</v>
      </c>
      <c r="S1289" s="1" t="s">
        <v>20</v>
      </c>
      <c r="T1289" s="1" t="s">
        <v>21</v>
      </c>
      <c r="U1289" s="1" t="s">
        <v>22</v>
      </c>
      <c r="V1289" s="1" t="s">
        <v>23</v>
      </c>
      <c r="W1289" s="1" t="s">
        <v>24</v>
      </c>
      <c r="X1289" s="1">
        <v>2735</v>
      </c>
      <c r="Y1289" s="1">
        <v>2738</v>
      </c>
      <c r="Z1289" s="1">
        <v>3204</v>
      </c>
      <c r="AA1289" s="1" t="s">
        <v>24</v>
      </c>
      <c r="AB1289" s="1" t="s">
        <v>24</v>
      </c>
      <c r="AC1289" s="1" t="s">
        <v>24</v>
      </c>
      <c r="AD1289" s="1" t="s">
        <v>24</v>
      </c>
      <c r="AE1289" s="1" t="s">
        <v>24</v>
      </c>
      <c r="AF1289" s="22"/>
    </row>
    <row r="1290" spans="1:32" x14ac:dyDescent="0.2">
      <c r="A1290" s="1">
        <v>8000</v>
      </c>
      <c r="B1290" s="1" t="s">
        <v>4218</v>
      </c>
      <c r="C1290" s="5" t="s">
        <v>0</v>
      </c>
      <c r="D1290" s="1" t="s">
        <v>4219</v>
      </c>
      <c r="E1290" s="1" t="s">
        <v>4220</v>
      </c>
      <c r="F1290" s="1" t="s">
        <v>320</v>
      </c>
      <c r="G1290" s="1" t="s">
        <v>36</v>
      </c>
      <c r="H1290" s="1" t="s">
        <v>30</v>
      </c>
      <c r="I1290" s="1" t="s">
        <v>16</v>
      </c>
      <c r="J1290" s="1">
        <v>1</v>
      </c>
      <c r="K1290" s="1">
        <v>12</v>
      </c>
      <c r="L1290" s="1" t="s">
        <v>31</v>
      </c>
      <c r="M1290" s="1" t="s">
        <v>18</v>
      </c>
      <c r="N1290" s="1" t="s">
        <v>18</v>
      </c>
      <c r="O1290" s="1">
        <v>3</v>
      </c>
      <c r="P1290" s="1">
        <v>7</v>
      </c>
      <c r="Q1290" s="7" t="s">
        <v>17633</v>
      </c>
      <c r="R1290" s="1" t="s">
        <v>62</v>
      </c>
      <c r="S1290" s="1" t="s">
        <v>20</v>
      </c>
      <c r="T1290" s="1" t="s">
        <v>21</v>
      </c>
      <c r="U1290" s="1" t="s">
        <v>22</v>
      </c>
      <c r="V1290" s="1" t="s">
        <v>23</v>
      </c>
      <c r="W1290" s="1" t="s">
        <v>24</v>
      </c>
      <c r="X1290" s="1">
        <v>2804</v>
      </c>
      <c r="Y1290" s="1" t="s">
        <v>24</v>
      </c>
      <c r="Z1290" s="1" t="s">
        <v>24</v>
      </c>
      <c r="AA1290" s="1" t="s">
        <v>24</v>
      </c>
      <c r="AB1290" s="1" t="s">
        <v>24</v>
      </c>
      <c r="AC1290" s="1" t="s">
        <v>24</v>
      </c>
      <c r="AD1290" s="1" t="s">
        <v>24</v>
      </c>
      <c r="AE1290" s="1" t="s">
        <v>24</v>
      </c>
      <c r="AF1290" s="22"/>
    </row>
    <row r="1291" spans="1:32" x14ac:dyDescent="0.2">
      <c r="A1291" s="1">
        <v>8001</v>
      </c>
      <c r="B1291" s="1" t="s">
        <v>4221</v>
      </c>
      <c r="C1291" s="5" t="s">
        <v>0</v>
      </c>
      <c r="D1291" s="1" t="s">
        <v>4222</v>
      </c>
      <c r="E1291" s="1" t="s">
        <v>4223</v>
      </c>
      <c r="F1291" s="1" t="s">
        <v>167</v>
      </c>
      <c r="G1291" s="1" t="s">
        <v>130</v>
      </c>
      <c r="H1291" s="1" t="s">
        <v>168</v>
      </c>
      <c r="I1291" s="1" t="s">
        <v>16</v>
      </c>
      <c r="J1291" s="1">
        <v>1</v>
      </c>
      <c r="K1291" s="1">
        <v>12</v>
      </c>
      <c r="L1291" s="1" t="s">
        <v>31</v>
      </c>
      <c r="M1291" s="1" t="s">
        <v>18</v>
      </c>
      <c r="N1291" s="1" t="s">
        <v>18</v>
      </c>
      <c r="O1291" s="1">
        <v>3</v>
      </c>
      <c r="P1291" s="1">
        <v>7</v>
      </c>
      <c r="Q1291" s="7" t="s">
        <v>17633</v>
      </c>
      <c r="R1291" s="1" t="s">
        <v>19</v>
      </c>
      <c r="S1291" s="1" t="s">
        <v>20</v>
      </c>
      <c r="T1291" s="1" t="s">
        <v>21</v>
      </c>
      <c r="U1291" s="1" t="s">
        <v>22</v>
      </c>
      <c r="V1291" s="1" t="s">
        <v>24</v>
      </c>
      <c r="W1291" s="1" t="s">
        <v>24</v>
      </c>
      <c r="X1291" s="1">
        <v>2727</v>
      </c>
      <c r="Y1291" s="1">
        <v>2735</v>
      </c>
      <c r="Z1291" s="1" t="s">
        <v>24</v>
      </c>
      <c r="AA1291" s="1" t="s">
        <v>24</v>
      </c>
      <c r="AB1291" s="1" t="s">
        <v>24</v>
      </c>
      <c r="AC1291" s="1" t="s">
        <v>24</v>
      </c>
      <c r="AD1291" s="1" t="s">
        <v>24</v>
      </c>
      <c r="AE1291" s="1" t="s">
        <v>24</v>
      </c>
      <c r="AF1291" s="22"/>
    </row>
    <row r="1292" spans="1:32" x14ac:dyDescent="0.2">
      <c r="A1292" s="1">
        <v>8004</v>
      </c>
      <c r="B1292" s="1" t="s">
        <v>4224</v>
      </c>
      <c r="C1292" s="5" t="s">
        <v>0</v>
      </c>
      <c r="D1292" s="1" t="s">
        <v>4225</v>
      </c>
      <c r="E1292" s="1" t="s">
        <v>4226</v>
      </c>
      <c r="F1292" s="1" t="s">
        <v>303</v>
      </c>
      <c r="G1292" s="1" t="s">
        <v>61</v>
      </c>
      <c r="H1292" s="1" t="s">
        <v>30</v>
      </c>
      <c r="I1292" s="1" t="s">
        <v>16</v>
      </c>
      <c r="J1292" s="1">
        <v>1</v>
      </c>
      <c r="K1292" s="1">
        <v>4</v>
      </c>
      <c r="L1292" s="1" t="s">
        <v>31</v>
      </c>
      <c r="M1292" s="1" t="s">
        <v>18</v>
      </c>
      <c r="N1292" s="1" t="s">
        <v>18</v>
      </c>
      <c r="O1292" s="1">
        <v>0</v>
      </c>
      <c r="P1292" s="1">
        <v>6</v>
      </c>
      <c r="R1292" s="1" t="s">
        <v>62</v>
      </c>
      <c r="S1292" s="1" t="s">
        <v>20</v>
      </c>
      <c r="T1292" s="1" t="s">
        <v>21</v>
      </c>
      <c r="U1292" s="1" t="s">
        <v>22</v>
      </c>
      <c r="V1292" s="1" t="s">
        <v>23</v>
      </c>
      <c r="W1292" s="1" t="s">
        <v>24</v>
      </c>
      <c r="X1292" s="1">
        <v>2720</v>
      </c>
      <c r="Y1292" s="1">
        <v>2704</v>
      </c>
      <c r="Z1292" s="1">
        <v>1308</v>
      </c>
      <c r="AA1292" s="1" t="s">
        <v>24</v>
      </c>
      <c r="AB1292" s="1" t="s">
        <v>24</v>
      </c>
      <c r="AC1292" s="1" t="s">
        <v>24</v>
      </c>
      <c r="AD1292" s="1" t="s">
        <v>24</v>
      </c>
      <c r="AE1292" s="1" t="s">
        <v>24</v>
      </c>
      <c r="AF1292" s="22"/>
    </row>
    <row r="1293" spans="1:32" x14ac:dyDescent="0.2">
      <c r="A1293" s="1">
        <v>8014</v>
      </c>
      <c r="B1293" s="1" t="s">
        <v>4227</v>
      </c>
      <c r="C1293" s="5" t="s">
        <v>0</v>
      </c>
      <c r="D1293" s="1" t="s">
        <v>4228</v>
      </c>
      <c r="E1293" s="1" t="s">
        <v>4229</v>
      </c>
      <c r="F1293" s="1" t="s">
        <v>97</v>
      </c>
      <c r="G1293" s="1" t="s">
        <v>98</v>
      </c>
      <c r="H1293" s="1" t="s">
        <v>37</v>
      </c>
      <c r="I1293" s="1" t="s">
        <v>16</v>
      </c>
      <c r="J1293" s="1">
        <v>1</v>
      </c>
      <c r="K1293" s="1">
        <v>6</v>
      </c>
      <c r="L1293" s="1" t="s">
        <v>31</v>
      </c>
      <c r="M1293" s="1" t="s">
        <v>18</v>
      </c>
      <c r="N1293" s="1" t="s">
        <v>18</v>
      </c>
      <c r="O1293" s="1">
        <v>3</v>
      </c>
      <c r="P1293" s="1">
        <v>7</v>
      </c>
      <c r="Q1293" s="7" t="s">
        <v>17633</v>
      </c>
      <c r="R1293" s="1" t="s">
        <v>19</v>
      </c>
      <c r="S1293" s="1" t="s">
        <v>20</v>
      </c>
      <c r="T1293" s="1" t="s">
        <v>21</v>
      </c>
      <c r="U1293" s="1" t="s">
        <v>22</v>
      </c>
      <c r="V1293" s="1" t="s">
        <v>23</v>
      </c>
      <c r="W1293" s="1" t="s">
        <v>24</v>
      </c>
      <c r="X1293" s="1">
        <v>2705</v>
      </c>
      <c r="Y1293" s="1">
        <v>2741</v>
      </c>
      <c r="Z1293" s="1">
        <v>2902</v>
      </c>
      <c r="AA1293" s="1">
        <v>3311</v>
      </c>
      <c r="AB1293" s="1" t="s">
        <v>24</v>
      </c>
      <c r="AC1293" s="1" t="s">
        <v>24</v>
      </c>
      <c r="AD1293" s="1" t="s">
        <v>24</v>
      </c>
      <c r="AE1293" s="1" t="s">
        <v>24</v>
      </c>
      <c r="AF1293" s="22"/>
    </row>
    <row r="1294" spans="1:32" x14ac:dyDescent="0.2">
      <c r="A1294" s="1">
        <v>8015</v>
      </c>
      <c r="B1294" s="1" t="s">
        <v>4230</v>
      </c>
      <c r="C1294" s="5" t="s">
        <v>0</v>
      </c>
      <c r="D1294" s="1" t="s">
        <v>4231</v>
      </c>
      <c r="E1294" s="1" t="s">
        <v>4232</v>
      </c>
      <c r="F1294" s="1" t="s">
        <v>28</v>
      </c>
      <c r="G1294" s="1" t="s">
        <v>29</v>
      </c>
      <c r="H1294" s="1" t="s">
        <v>30</v>
      </c>
      <c r="I1294" s="1" t="s">
        <v>16</v>
      </c>
      <c r="J1294" s="1">
        <v>1</v>
      </c>
      <c r="K1294" s="1">
        <v>6</v>
      </c>
      <c r="L1294" s="1" t="s">
        <v>31</v>
      </c>
      <c r="M1294" s="1" t="s">
        <v>18</v>
      </c>
      <c r="N1294" s="1" t="s">
        <v>18</v>
      </c>
      <c r="O1294" s="1">
        <v>2</v>
      </c>
      <c r="P1294" s="1">
        <v>6</v>
      </c>
      <c r="R1294" s="1" t="s">
        <v>19</v>
      </c>
      <c r="S1294" s="1" t="s">
        <v>20</v>
      </c>
      <c r="T1294" s="1" t="s">
        <v>21</v>
      </c>
      <c r="U1294" s="1" t="s">
        <v>22</v>
      </c>
      <c r="V1294" s="1" t="s">
        <v>23</v>
      </c>
      <c r="W1294" s="1" t="s">
        <v>24</v>
      </c>
      <c r="X1294" s="1">
        <v>2741</v>
      </c>
      <c r="Y1294" s="1">
        <v>2740</v>
      </c>
      <c r="Z1294" s="1" t="s">
        <v>24</v>
      </c>
      <c r="AA1294" s="1" t="s">
        <v>24</v>
      </c>
      <c r="AB1294" s="1" t="s">
        <v>24</v>
      </c>
      <c r="AC1294" s="1" t="s">
        <v>24</v>
      </c>
      <c r="AD1294" s="1" t="s">
        <v>24</v>
      </c>
      <c r="AE1294" s="1" t="s">
        <v>24</v>
      </c>
      <c r="AF1294" s="22"/>
    </row>
    <row r="1295" spans="1:32" x14ac:dyDescent="0.2">
      <c r="A1295" s="1">
        <v>8017</v>
      </c>
      <c r="B1295" s="1" t="s">
        <v>4233</v>
      </c>
      <c r="C1295" s="5" t="s">
        <v>0</v>
      </c>
      <c r="D1295" s="1" t="s">
        <v>4234</v>
      </c>
      <c r="E1295" s="1" t="s">
        <v>4235</v>
      </c>
      <c r="F1295" s="1" t="s">
        <v>315</v>
      </c>
      <c r="G1295" s="1" t="s">
        <v>316</v>
      </c>
      <c r="H1295" s="1" t="s">
        <v>37</v>
      </c>
      <c r="I1295" s="1" t="s">
        <v>16</v>
      </c>
      <c r="J1295" s="1">
        <v>1</v>
      </c>
      <c r="K1295" s="1">
        <v>12</v>
      </c>
      <c r="L1295" s="1" t="s">
        <v>31</v>
      </c>
      <c r="M1295" s="1" t="s">
        <v>18</v>
      </c>
      <c r="N1295" s="1" t="s">
        <v>18</v>
      </c>
      <c r="O1295" s="1">
        <v>3</v>
      </c>
      <c r="P1295" s="1">
        <v>6</v>
      </c>
      <c r="R1295" s="1" t="s">
        <v>19</v>
      </c>
      <c r="S1295" s="1" t="s">
        <v>20</v>
      </c>
      <c r="T1295" s="1" t="s">
        <v>21</v>
      </c>
      <c r="U1295" s="1" t="s">
        <v>22</v>
      </c>
      <c r="V1295" s="1" t="s">
        <v>24</v>
      </c>
      <c r="W1295" s="1" t="s">
        <v>24</v>
      </c>
      <c r="X1295" s="1">
        <v>2724</v>
      </c>
      <c r="Y1295" s="1" t="s">
        <v>24</v>
      </c>
      <c r="Z1295" s="1" t="s">
        <v>24</v>
      </c>
      <c r="AA1295" s="1" t="s">
        <v>24</v>
      </c>
      <c r="AB1295" s="1" t="s">
        <v>24</v>
      </c>
      <c r="AC1295" s="1" t="s">
        <v>24</v>
      </c>
      <c r="AD1295" s="1" t="s">
        <v>24</v>
      </c>
      <c r="AE1295" s="1" t="s">
        <v>24</v>
      </c>
      <c r="AF1295" s="22"/>
    </row>
    <row r="1296" spans="1:32" x14ac:dyDescent="0.2">
      <c r="A1296" s="1">
        <v>8018</v>
      </c>
      <c r="B1296" s="1" t="s">
        <v>4236</v>
      </c>
      <c r="C1296" s="5" t="s">
        <v>0</v>
      </c>
      <c r="D1296" s="1" t="s">
        <v>4237</v>
      </c>
      <c r="E1296" s="1" t="s">
        <v>4238</v>
      </c>
      <c r="F1296" s="1" t="s">
        <v>315</v>
      </c>
      <c r="G1296" s="1" t="s">
        <v>316</v>
      </c>
      <c r="H1296" s="1" t="s">
        <v>37</v>
      </c>
      <c r="I1296" s="1" t="s">
        <v>16</v>
      </c>
      <c r="J1296" s="1">
        <v>1</v>
      </c>
      <c r="K1296" s="1">
        <v>50</v>
      </c>
      <c r="L1296" s="1" t="s">
        <v>31</v>
      </c>
      <c r="M1296" s="1" t="s">
        <v>18</v>
      </c>
      <c r="N1296" s="1" t="s">
        <v>18</v>
      </c>
      <c r="O1296" s="1">
        <v>3</v>
      </c>
      <c r="P1296" s="1">
        <v>7</v>
      </c>
      <c r="Q1296" s="7" t="s">
        <v>17633</v>
      </c>
      <c r="R1296" s="1" t="s">
        <v>62</v>
      </c>
      <c r="S1296" s="1" t="s">
        <v>20</v>
      </c>
      <c r="T1296" s="1" t="s">
        <v>21</v>
      </c>
      <c r="U1296" s="1" t="s">
        <v>22</v>
      </c>
      <c r="V1296" s="1" t="s">
        <v>24</v>
      </c>
      <c r="W1296" s="1" t="s">
        <v>64</v>
      </c>
      <c r="X1296" s="1">
        <v>1312</v>
      </c>
      <c r="Y1296" s="1">
        <v>1306</v>
      </c>
      <c r="Z1296" s="1">
        <v>1311</v>
      </c>
      <c r="AA1296" s="1" t="s">
        <v>24</v>
      </c>
      <c r="AB1296" s="1" t="s">
        <v>24</v>
      </c>
      <c r="AC1296" s="1" t="s">
        <v>24</v>
      </c>
      <c r="AD1296" s="1" t="s">
        <v>24</v>
      </c>
      <c r="AE1296" s="1" t="s">
        <v>24</v>
      </c>
      <c r="AF1296" s="22"/>
    </row>
    <row r="1297" spans="1:32" x14ac:dyDescent="0.2">
      <c r="A1297" s="1">
        <v>8022</v>
      </c>
      <c r="B1297" s="1" t="s">
        <v>4239</v>
      </c>
      <c r="C1297" s="5" t="s">
        <v>0</v>
      </c>
      <c r="D1297" s="1" t="s">
        <v>4240</v>
      </c>
      <c r="E1297" s="1" t="s">
        <v>4241</v>
      </c>
      <c r="F1297" s="1" t="s">
        <v>689</v>
      </c>
      <c r="G1297" s="1" t="s">
        <v>311</v>
      </c>
      <c r="H1297" s="1" t="s">
        <v>37</v>
      </c>
      <c r="I1297" s="1" t="s">
        <v>16</v>
      </c>
      <c r="J1297" s="1">
        <v>1</v>
      </c>
      <c r="K1297" s="1">
        <v>12</v>
      </c>
      <c r="L1297" s="1" t="s">
        <v>31</v>
      </c>
      <c r="M1297" s="1" t="s">
        <v>18</v>
      </c>
      <c r="N1297" s="1" t="s">
        <v>18</v>
      </c>
      <c r="O1297" s="1">
        <v>3</v>
      </c>
      <c r="P1297" s="1">
        <v>6</v>
      </c>
      <c r="R1297" s="1" t="s">
        <v>19</v>
      </c>
      <c r="S1297" s="1" t="s">
        <v>20</v>
      </c>
      <c r="T1297" s="1" t="s">
        <v>21</v>
      </c>
      <c r="U1297" s="1" t="s">
        <v>22</v>
      </c>
      <c r="V1297" s="1" t="s">
        <v>23</v>
      </c>
      <c r="W1297" s="1" t="s">
        <v>24</v>
      </c>
      <c r="X1297" s="1">
        <v>2728</v>
      </c>
      <c r="Y1297" s="1">
        <v>2808</v>
      </c>
      <c r="Z1297" s="1">
        <v>2912</v>
      </c>
      <c r="AA1297" s="1">
        <v>2733</v>
      </c>
      <c r="AB1297" s="1">
        <v>1203</v>
      </c>
      <c r="AC1297" s="1">
        <v>3310</v>
      </c>
      <c r="AD1297" s="1">
        <v>3204</v>
      </c>
      <c r="AE1297" s="1" t="s">
        <v>24</v>
      </c>
      <c r="AF1297" s="22"/>
    </row>
    <row r="1298" spans="1:32" x14ac:dyDescent="0.2">
      <c r="A1298" s="1">
        <v>8026</v>
      </c>
      <c r="B1298" s="1" t="s">
        <v>4242</v>
      </c>
      <c r="C1298" s="5" t="s">
        <v>0</v>
      </c>
      <c r="D1298" s="1" t="s">
        <v>4243</v>
      </c>
      <c r="F1298" s="1" t="s">
        <v>28</v>
      </c>
      <c r="G1298" s="1" t="s">
        <v>29</v>
      </c>
      <c r="H1298" s="1" t="s">
        <v>30</v>
      </c>
      <c r="I1298" s="1" t="s">
        <v>16</v>
      </c>
      <c r="J1298" s="1">
        <v>1</v>
      </c>
      <c r="K1298" s="1">
        <v>4</v>
      </c>
      <c r="L1298" s="1" t="s">
        <v>31</v>
      </c>
      <c r="M1298" s="1" t="s">
        <v>18</v>
      </c>
      <c r="N1298" s="1" t="s">
        <v>18</v>
      </c>
      <c r="O1298" s="1">
        <v>0</v>
      </c>
      <c r="P1298" s="1">
        <v>6</v>
      </c>
      <c r="R1298" s="1" t="s">
        <v>19</v>
      </c>
      <c r="S1298" s="1" t="s">
        <v>20</v>
      </c>
      <c r="T1298" s="1" t="s">
        <v>21</v>
      </c>
      <c r="U1298" s="1" t="s">
        <v>22</v>
      </c>
      <c r="V1298" s="1" t="s">
        <v>23</v>
      </c>
      <c r="W1298" s="1" t="s">
        <v>24</v>
      </c>
      <c r="X1298" s="1">
        <v>2742</v>
      </c>
      <c r="Y1298" s="1">
        <v>2717</v>
      </c>
      <c r="Z1298" s="1">
        <v>3612</v>
      </c>
      <c r="AA1298" s="1" t="s">
        <v>24</v>
      </c>
      <c r="AB1298" s="1" t="s">
        <v>24</v>
      </c>
      <c r="AC1298" s="1" t="s">
        <v>24</v>
      </c>
      <c r="AD1298" s="1" t="s">
        <v>24</v>
      </c>
      <c r="AE1298" s="1" t="s">
        <v>24</v>
      </c>
      <c r="AF1298" s="22"/>
    </row>
    <row r="1299" spans="1:32" x14ac:dyDescent="0.2">
      <c r="A1299" s="1">
        <v>8027</v>
      </c>
      <c r="B1299" s="1" t="s">
        <v>4244</v>
      </c>
      <c r="C1299" s="5" t="s">
        <v>0</v>
      </c>
      <c r="D1299" s="1" t="s">
        <v>4245</v>
      </c>
      <c r="E1299" s="1" t="s">
        <v>4246</v>
      </c>
      <c r="F1299" s="1" t="s">
        <v>190</v>
      </c>
      <c r="G1299" s="1" t="s">
        <v>130</v>
      </c>
      <c r="H1299" s="1" t="s">
        <v>30</v>
      </c>
      <c r="I1299" s="1" t="s">
        <v>16</v>
      </c>
      <c r="J1299" s="1">
        <v>1</v>
      </c>
      <c r="K1299" s="1">
        <v>6</v>
      </c>
      <c r="L1299" s="1" t="s">
        <v>31</v>
      </c>
      <c r="M1299" s="1" t="s">
        <v>18</v>
      </c>
      <c r="N1299" s="1" t="s">
        <v>18</v>
      </c>
      <c r="O1299" s="1">
        <v>3</v>
      </c>
      <c r="P1299" s="1">
        <v>7</v>
      </c>
      <c r="Q1299" s="7" t="s">
        <v>17633</v>
      </c>
      <c r="R1299" s="1" t="s">
        <v>19</v>
      </c>
      <c r="S1299" s="1" t="s">
        <v>20</v>
      </c>
      <c r="T1299" s="1" t="s">
        <v>21</v>
      </c>
      <c r="U1299" s="1" t="s">
        <v>22</v>
      </c>
      <c r="V1299" s="1" t="s">
        <v>24</v>
      </c>
      <c r="W1299" s="1" t="s">
        <v>24</v>
      </c>
      <c r="X1299" s="1">
        <v>2736</v>
      </c>
      <c r="Y1299" s="1">
        <v>2705</v>
      </c>
      <c r="Z1299" s="1">
        <v>3004</v>
      </c>
      <c r="AA1299" s="1" t="s">
        <v>24</v>
      </c>
      <c r="AB1299" s="1" t="s">
        <v>24</v>
      </c>
      <c r="AC1299" s="1" t="s">
        <v>24</v>
      </c>
      <c r="AD1299" s="1" t="s">
        <v>24</v>
      </c>
      <c r="AE1299" s="1" t="s">
        <v>24</v>
      </c>
      <c r="AF1299" s="22"/>
    </row>
    <row r="1300" spans="1:32" x14ac:dyDescent="0.2">
      <c r="A1300" s="1">
        <v>8029</v>
      </c>
      <c r="B1300" s="1" t="s">
        <v>4247</v>
      </c>
      <c r="C1300" s="5" t="s">
        <v>0</v>
      </c>
      <c r="D1300" s="1" t="s">
        <v>4248</v>
      </c>
      <c r="E1300" s="1" t="s">
        <v>4249</v>
      </c>
      <c r="F1300" s="1" t="s">
        <v>28</v>
      </c>
      <c r="G1300" s="1" t="s">
        <v>29</v>
      </c>
      <c r="H1300" s="1" t="s">
        <v>37</v>
      </c>
      <c r="I1300" s="1" t="s">
        <v>16</v>
      </c>
      <c r="J1300" s="1">
        <v>1</v>
      </c>
      <c r="K1300" s="1">
        <v>18</v>
      </c>
      <c r="L1300" s="1" t="s">
        <v>31</v>
      </c>
      <c r="M1300" s="1" t="s">
        <v>18</v>
      </c>
      <c r="N1300" s="1" t="s">
        <v>18</v>
      </c>
      <c r="O1300" s="1">
        <v>3</v>
      </c>
      <c r="P1300" s="1">
        <v>7</v>
      </c>
      <c r="Q1300" s="7" t="s">
        <v>17633</v>
      </c>
      <c r="R1300" s="1" t="s">
        <v>62</v>
      </c>
      <c r="S1300" s="1" t="s">
        <v>20</v>
      </c>
      <c r="T1300" s="1" t="s">
        <v>21</v>
      </c>
      <c r="U1300" s="1" t="s">
        <v>22</v>
      </c>
      <c r="V1300" s="1" t="s">
        <v>24</v>
      </c>
      <c r="W1300" s="1" t="s">
        <v>24</v>
      </c>
      <c r="X1300" s="1">
        <v>2723</v>
      </c>
      <c r="Y1300" s="1">
        <v>2403</v>
      </c>
      <c r="Z1300" s="1">
        <v>2725</v>
      </c>
      <c r="AA1300" s="1" t="s">
        <v>24</v>
      </c>
      <c r="AB1300" s="1" t="s">
        <v>24</v>
      </c>
      <c r="AC1300" s="1" t="s">
        <v>24</v>
      </c>
      <c r="AD1300" s="1" t="s">
        <v>24</v>
      </c>
      <c r="AE1300" s="1" t="s">
        <v>24</v>
      </c>
      <c r="AF1300" s="22"/>
    </row>
    <row r="1301" spans="1:32" x14ac:dyDescent="0.2">
      <c r="A1301" s="1">
        <v>8032</v>
      </c>
      <c r="B1301" s="1" t="s">
        <v>4250</v>
      </c>
      <c r="C1301" s="5" t="s">
        <v>0</v>
      </c>
      <c r="D1301" s="1" t="s">
        <v>4251</v>
      </c>
      <c r="E1301" s="1" t="s">
        <v>4252</v>
      </c>
      <c r="F1301" s="1" t="s">
        <v>167</v>
      </c>
      <c r="G1301" s="1" t="s">
        <v>130</v>
      </c>
      <c r="H1301" s="1" t="s">
        <v>168</v>
      </c>
      <c r="I1301" s="1" t="s">
        <v>16</v>
      </c>
      <c r="J1301" s="1">
        <v>1</v>
      </c>
      <c r="K1301" s="1">
        <v>12</v>
      </c>
      <c r="L1301" s="1" t="s">
        <v>31</v>
      </c>
      <c r="M1301" s="1" t="s">
        <v>18</v>
      </c>
      <c r="N1301" s="1" t="s">
        <v>18</v>
      </c>
      <c r="O1301" s="1">
        <v>3</v>
      </c>
      <c r="P1301" s="1">
        <v>7</v>
      </c>
      <c r="Q1301" s="7" t="s">
        <v>17633</v>
      </c>
      <c r="R1301" s="1" t="s">
        <v>19</v>
      </c>
      <c r="S1301" s="1" t="s">
        <v>20</v>
      </c>
      <c r="T1301" s="1" t="s">
        <v>21</v>
      </c>
      <c r="U1301" s="1" t="s">
        <v>22</v>
      </c>
      <c r="V1301" s="1" t="s">
        <v>24</v>
      </c>
      <c r="W1301" s="1" t="s">
        <v>24</v>
      </c>
      <c r="X1301" s="1">
        <v>2715</v>
      </c>
      <c r="Y1301" s="1" t="s">
        <v>24</v>
      </c>
      <c r="Z1301" s="1" t="s">
        <v>24</v>
      </c>
      <c r="AA1301" s="1" t="s">
        <v>24</v>
      </c>
      <c r="AB1301" s="1" t="s">
        <v>24</v>
      </c>
      <c r="AC1301" s="1" t="s">
        <v>24</v>
      </c>
      <c r="AD1301" s="1" t="s">
        <v>24</v>
      </c>
      <c r="AE1301" s="1" t="s">
        <v>24</v>
      </c>
      <c r="AF1301" s="22"/>
    </row>
    <row r="1302" spans="1:32" x14ac:dyDescent="0.2">
      <c r="A1302" s="1">
        <v>8040</v>
      </c>
      <c r="B1302" s="1" t="s">
        <v>4253</v>
      </c>
      <c r="C1302" s="5" t="s">
        <v>0</v>
      </c>
      <c r="D1302" s="1" t="s">
        <v>4254</v>
      </c>
      <c r="E1302" s="1" t="s">
        <v>4255</v>
      </c>
      <c r="F1302" s="1" t="s">
        <v>303</v>
      </c>
      <c r="G1302" s="1" t="s">
        <v>61</v>
      </c>
      <c r="H1302" s="1" t="s">
        <v>30</v>
      </c>
      <c r="I1302" s="1" t="s">
        <v>16</v>
      </c>
      <c r="J1302" s="1">
        <v>1</v>
      </c>
      <c r="K1302" s="1">
        <v>4</v>
      </c>
      <c r="L1302" s="1" t="s">
        <v>31</v>
      </c>
      <c r="M1302" s="1" t="s">
        <v>18</v>
      </c>
      <c r="N1302" s="1" t="s">
        <v>18</v>
      </c>
      <c r="O1302" s="1">
        <v>3</v>
      </c>
      <c r="P1302" s="1">
        <v>6</v>
      </c>
      <c r="R1302" s="1" t="s">
        <v>19</v>
      </c>
      <c r="S1302" s="1" t="s">
        <v>20</v>
      </c>
      <c r="T1302" s="1" t="s">
        <v>21</v>
      </c>
      <c r="U1302" s="1" t="s">
        <v>22</v>
      </c>
      <c r="V1302" s="1" t="s">
        <v>23</v>
      </c>
      <c r="W1302" s="1" t="s">
        <v>24</v>
      </c>
      <c r="X1302" s="1">
        <v>2706</v>
      </c>
      <c r="Y1302" s="1" t="s">
        <v>24</v>
      </c>
      <c r="Z1302" s="1" t="s">
        <v>24</v>
      </c>
      <c r="AA1302" s="1" t="s">
        <v>24</v>
      </c>
      <c r="AB1302" s="1" t="s">
        <v>24</v>
      </c>
      <c r="AC1302" s="1" t="s">
        <v>24</v>
      </c>
      <c r="AD1302" s="1" t="s">
        <v>24</v>
      </c>
      <c r="AE1302" s="1" t="s">
        <v>24</v>
      </c>
      <c r="AF1302" s="22"/>
    </row>
    <row r="1303" spans="1:32" x14ac:dyDescent="0.2">
      <c r="A1303" s="1">
        <v>8041</v>
      </c>
      <c r="B1303" s="1" t="s">
        <v>4256</v>
      </c>
      <c r="C1303" s="5" t="s">
        <v>0</v>
      </c>
      <c r="D1303" s="1" t="s">
        <v>4257</v>
      </c>
      <c r="E1303" s="1" t="s">
        <v>4258</v>
      </c>
      <c r="F1303" s="1" t="s">
        <v>1716</v>
      </c>
      <c r="G1303" s="1" t="s">
        <v>1716</v>
      </c>
      <c r="H1303" s="1" t="s">
        <v>684</v>
      </c>
      <c r="I1303" s="1" t="s">
        <v>16</v>
      </c>
      <c r="J1303" s="1">
        <v>1</v>
      </c>
      <c r="K1303" s="1">
        <v>4</v>
      </c>
      <c r="L1303" s="1" t="s">
        <v>42</v>
      </c>
      <c r="M1303" s="1" t="s">
        <v>18</v>
      </c>
      <c r="N1303" s="1" t="s">
        <v>18</v>
      </c>
      <c r="O1303" s="1">
        <v>3</v>
      </c>
      <c r="P1303" s="1">
        <v>6</v>
      </c>
      <c r="R1303" s="1" t="s">
        <v>19</v>
      </c>
      <c r="S1303" s="1" t="s">
        <v>20</v>
      </c>
      <c r="T1303" s="1" t="s">
        <v>21</v>
      </c>
      <c r="U1303" s="1" t="s">
        <v>22</v>
      </c>
      <c r="V1303" s="1" t="s">
        <v>24</v>
      </c>
      <c r="W1303" s="1" t="s">
        <v>24</v>
      </c>
      <c r="X1303" s="1">
        <v>2728</v>
      </c>
      <c r="Y1303" s="1">
        <v>2800</v>
      </c>
      <c r="Z1303" s="1" t="s">
        <v>24</v>
      </c>
      <c r="AA1303" s="1" t="s">
        <v>24</v>
      </c>
      <c r="AB1303" s="1" t="s">
        <v>24</v>
      </c>
      <c r="AC1303" s="1" t="s">
        <v>24</v>
      </c>
      <c r="AD1303" s="1" t="s">
        <v>24</v>
      </c>
      <c r="AE1303" s="1" t="s">
        <v>24</v>
      </c>
      <c r="AF1303" s="22"/>
    </row>
    <row r="1304" spans="1:32" x14ac:dyDescent="0.2">
      <c r="A1304" s="1">
        <v>8058</v>
      </c>
      <c r="B1304" s="1" t="s">
        <v>4259</v>
      </c>
      <c r="C1304" s="5" t="s">
        <v>0</v>
      </c>
      <c r="D1304" s="1" t="s">
        <v>4260</v>
      </c>
      <c r="E1304" s="1" t="s">
        <v>4261</v>
      </c>
      <c r="F1304" s="1" t="s">
        <v>190</v>
      </c>
      <c r="G1304" s="1" t="s">
        <v>130</v>
      </c>
      <c r="H1304" s="1" t="s">
        <v>30</v>
      </c>
      <c r="I1304" s="1" t="s">
        <v>16</v>
      </c>
      <c r="J1304" s="1">
        <v>1</v>
      </c>
      <c r="K1304" s="1">
        <v>12</v>
      </c>
      <c r="L1304" s="1" t="s">
        <v>31</v>
      </c>
      <c r="M1304" s="1" t="s">
        <v>18</v>
      </c>
      <c r="N1304" s="1" t="s">
        <v>18</v>
      </c>
      <c r="O1304" s="1">
        <v>3</v>
      </c>
      <c r="P1304" s="1">
        <v>6</v>
      </c>
      <c r="R1304" s="1" t="s">
        <v>62</v>
      </c>
      <c r="S1304" s="1" t="s">
        <v>20</v>
      </c>
      <c r="T1304" s="1" t="s">
        <v>21</v>
      </c>
      <c r="U1304" s="1" t="s">
        <v>22</v>
      </c>
      <c r="V1304" s="1" t="s">
        <v>24</v>
      </c>
      <c r="W1304" s="1" t="s">
        <v>24</v>
      </c>
      <c r="X1304" s="1">
        <v>2724</v>
      </c>
      <c r="Y1304" s="1" t="s">
        <v>24</v>
      </c>
      <c r="Z1304" s="1" t="s">
        <v>24</v>
      </c>
      <c r="AA1304" s="1" t="s">
        <v>24</v>
      </c>
      <c r="AB1304" s="1" t="s">
        <v>24</v>
      </c>
      <c r="AC1304" s="1" t="s">
        <v>24</v>
      </c>
      <c r="AD1304" s="1" t="s">
        <v>24</v>
      </c>
      <c r="AE1304" s="1" t="s">
        <v>24</v>
      </c>
      <c r="AF1304" s="22"/>
    </row>
    <row r="1305" spans="1:32" x14ac:dyDescent="0.2">
      <c r="A1305" s="1">
        <v>8059</v>
      </c>
      <c r="B1305" s="1" t="s">
        <v>4262</v>
      </c>
      <c r="C1305" s="5" t="s">
        <v>0</v>
      </c>
      <c r="D1305" s="1" t="s">
        <v>4263</v>
      </c>
      <c r="F1305" s="1" t="s">
        <v>28</v>
      </c>
      <c r="G1305" s="1" t="s">
        <v>29</v>
      </c>
      <c r="H1305" s="1" t="s">
        <v>30</v>
      </c>
      <c r="I1305" s="1" t="s">
        <v>16</v>
      </c>
      <c r="J1305" s="1">
        <v>1</v>
      </c>
      <c r="K1305" s="1">
        <v>4</v>
      </c>
      <c r="L1305" s="1" t="s">
        <v>31</v>
      </c>
      <c r="M1305" s="1" t="s">
        <v>18</v>
      </c>
      <c r="N1305" s="1" t="s">
        <v>18</v>
      </c>
      <c r="O1305" s="1">
        <v>3</v>
      </c>
      <c r="P1305" s="1">
        <v>6</v>
      </c>
      <c r="R1305" s="1" t="s">
        <v>19</v>
      </c>
      <c r="S1305" s="1" t="s">
        <v>20</v>
      </c>
      <c r="T1305" s="1" t="s">
        <v>21</v>
      </c>
      <c r="U1305" s="1" t="s">
        <v>22</v>
      </c>
      <c r="V1305" s="1" t="s">
        <v>23</v>
      </c>
      <c r="W1305" s="1" t="s">
        <v>24</v>
      </c>
      <c r="X1305" s="1">
        <v>2732</v>
      </c>
      <c r="Y1305" s="1" t="s">
        <v>24</v>
      </c>
      <c r="Z1305" s="1" t="s">
        <v>24</v>
      </c>
      <c r="AA1305" s="1" t="s">
        <v>24</v>
      </c>
      <c r="AB1305" s="1" t="s">
        <v>24</v>
      </c>
      <c r="AC1305" s="1" t="s">
        <v>24</v>
      </c>
      <c r="AD1305" s="1" t="s">
        <v>24</v>
      </c>
      <c r="AE1305" s="1" t="s">
        <v>24</v>
      </c>
      <c r="AF1305" s="22"/>
    </row>
    <row r="1306" spans="1:32" x14ac:dyDescent="0.2">
      <c r="A1306" s="1">
        <v>8071</v>
      </c>
      <c r="B1306" s="1" t="s">
        <v>4264</v>
      </c>
      <c r="C1306" s="5" t="s">
        <v>0</v>
      </c>
      <c r="D1306" s="1" t="s">
        <v>4265</v>
      </c>
      <c r="E1306" s="1" t="s">
        <v>4266</v>
      </c>
      <c r="F1306" s="1" t="s">
        <v>221</v>
      </c>
      <c r="G1306" s="1" t="s">
        <v>61</v>
      </c>
      <c r="H1306" s="1" t="s">
        <v>222</v>
      </c>
      <c r="I1306" s="1" t="s">
        <v>16</v>
      </c>
      <c r="J1306" s="1">
        <v>4</v>
      </c>
      <c r="K1306" s="1">
        <v>3</v>
      </c>
      <c r="L1306" s="1" t="s">
        <v>31</v>
      </c>
      <c r="M1306" s="1" t="s">
        <v>18</v>
      </c>
      <c r="N1306" s="1" t="s">
        <v>18</v>
      </c>
      <c r="O1306" s="1">
        <v>3</v>
      </c>
      <c r="P1306" s="1">
        <v>7</v>
      </c>
      <c r="Q1306" s="7" t="s">
        <v>17633</v>
      </c>
      <c r="R1306" s="1" t="s">
        <v>62</v>
      </c>
      <c r="S1306" s="1" t="s">
        <v>20</v>
      </c>
      <c r="T1306" s="1" t="s">
        <v>21</v>
      </c>
      <c r="U1306" s="1" t="s">
        <v>22</v>
      </c>
      <c r="V1306" s="1" t="s">
        <v>24</v>
      </c>
      <c r="W1306" s="1" t="s">
        <v>24</v>
      </c>
      <c r="X1306" s="1">
        <v>2730</v>
      </c>
      <c r="Y1306" s="1">
        <v>2740</v>
      </c>
      <c r="Z1306" s="1">
        <v>1306</v>
      </c>
      <c r="AA1306" s="1" t="s">
        <v>24</v>
      </c>
      <c r="AB1306" s="1" t="s">
        <v>24</v>
      </c>
      <c r="AC1306" s="1" t="s">
        <v>24</v>
      </c>
      <c r="AD1306" s="1" t="s">
        <v>24</v>
      </c>
      <c r="AE1306" s="1" t="s">
        <v>24</v>
      </c>
      <c r="AF1306" s="22"/>
    </row>
    <row r="1307" spans="1:32" x14ac:dyDescent="0.2">
      <c r="A1307" s="1">
        <v>8083</v>
      </c>
      <c r="B1307" s="1" t="s">
        <v>4267</v>
      </c>
      <c r="C1307" s="5" t="s">
        <v>0</v>
      </c>
      <c r="D1307" s="1" t="s">
        <v>4268</v>
      </c>
      <c r="E1307" s="1" t="s">
        <v>4269</v>
      </c>
      <c r="F1307" s="1" t="s">
        <v>315</v>
      </c>
      <c r="G1307" s="1" t="s">
        <v>316</v>
      </c>
      <c r="H1307" s="1" t="s">
        <v>37</v>
      </c>
      <c r="I1307" s="1" t="s">
        <v>16</v>
      </c>
      <c r="J1307" s="1">
        <v>2</v>
      </c>
      <c r="K1307" s="1">
        <v>12</v>
      </c>
      <c r="L1307" s="1" t="s">
        <v>31</v>
      </c>
      <c r="M1307" s="1" t="s">
        <v>18</v>
      </c>
      <c r="N1307" s="1" t="s">
        <v>18</v>
      </c>
      <c r="O1307" s="1">
        <v>3</v>
      </c>
      <c r="P1307" s="1">
        <v>7</v>
      </c>
      <c r="Q1307" s="7" t="s">
        <v>17633</v>
      </c>
      <c r="R1307" s="1" t="s">
        <v>19</v>
      </c>
      <c r="S1307" s="1" t="s">
        <v>20</v>
      </c>
      <c r="T1307" s="1" t="s">
        <v>21</v>
      </c>
      <c r="U1307" s="1" t="s">
        <v>22</v>
      </c>
      <c r="V1307" s="1" t="s">
        <v>24</v>
      </c>
      <c r="W1307" s="1" t="s">
        <v>24</v>
      </c>
      <c r="X1307" s="1">
        <v>2720</v>
      </c>
      <c r="Y1307" s="1">
        <v>2747</v>
      </c>
      <c r="Z1307" s="1" t="s">
        <v>24</v>
      </c>
      <c r="AA1307" s="1" t="s">
        <v>24</v>
      </c>
      <c r="AB1307" s="1" t="s">
        <v>24</v>
      </c>
      <c r="AC1307" s="1" t="s">
        <v>24</v>
      </c>
      <c r="AD1307" s="1" t="s">
        <v>24</v>
      </c>
      <c r="AE1307" s="1" t="s">
        <v>24</v>
      </c>
      <c r="AF1307" s="22"/>
    </row>
    <row r="1308" spans="1:32" x14ac:dyDescent="0.2">
      <c r="A1308" s="1">
        <v>8084</v>
      </c>
      <c r="B1308" s="1" t="s">
        <v>4270</v>
      </c>
      <c r="C1308" s="5" t="s">
        <v>0</v>
      </c>
      <c r="D1308" s="1" t="s">
        <v>4271</v>
      </c>
      <c r="E1308" s="1" t="s">
        <v>4272</v>
      </c>
      <c r="F1308" s="1" t="s">
        <v>548</v>
      </c>
      <c r="G1308" s="1" t="s">
        <v>36</v>
      </c>
      <c r="H1308" s="1" t="s">
        <v>30</v>
      </c>
      <c r="I1308" s="1" t="s">
        <v>16</v>
      </c>
      <c r="J1308" s="1">
        <v>1</v>
      </c>
      <c r="K1308" s="1">
        <v>6</v>
      </c>
      <c r="L1308" s="1" t="s">
        <v>31</v>
      </c>
      <c r="M1308" s="1" t="s">
        <v>18</v>
      </c>
      <c r="N1308" s="1" t="s">
        <v>18</v>
      </c>
      <c r="O1308" s="1">
        <v>3</v>
      </c>
      <c r="P1308" s="1">
        <v>6</v>
      </c>
      <c r="R1308" s="1" t="s">
        <v>19</v>
      </c>
      <c r="S1308" s="1" t="s">
        <v>20</v>
      </c>
      <c r="T1308" s="1" t="s">
        <v>21</v>
      </c>
      <c r="U1308" s="1" t="s">
        <v>22</v>
      </c>
      <c r="V1308" s="1" t="s">
        <v>23</v>
      </c>
      <c r="W1308" s="1" t="s">
        <v>24</v>
      </c>
      <c r="X1308" s="1">
        <v>2705</v>
      </c>
      <c r="Y1308" s="1">
        <v>2746</v>
      </c>
      <c r="Z1308" s="1" t="s">
        <v>24</v>
      </c>
      <c r="AA1308" s="1" t="s">
        <v>24</v>
      </c>
      <c r="AB1308" s="1" t="s">
        <v>24</v>
      </c>
      <c r="AC1308" s="1" t="s">
        <v>24</v>
      </c>
      <c r="AD1308" s="1" t="s">
        <v>24</v>
      </c>
      <c r="AE1308" s="1" t="s">
        <v>24</v>
      </c>
      <c r="AF1308" s="22"/>
    </row>
    <row r="1309" spans="1:32" x14ac:dyDescent="0.2">
      <c r="A1309" s="1">
        <v>8087</v>
      </c>
      <c r="B1309" s="1" t="s">
        <v>4273</v>
      </c>
      <c r="C1309" s="5" t="s">
        <v>0</v>
      </c>
      <c r="D1309" s="1" t="s">
        <v>4274</v>
      </c>
      <c r="F1309" s="1" t="s">
        <v>4275</v>
      </c>
      <c r="G1309" s="1" t="s">
        <v>4275</v>
      </c>
      <c r="H1309" s="1" t="s">
        <v>461</v>
      </c>
      <c r="I1309" s="1" t="s">
        <v>16</v>
      </c>
      <c r="J1309" s="1">
        <v>1</v>
      </c>
      <c r="K1309" s="1">
        <v>3</v>
      </c>
      <c r="L1309" s="1" t="s">
        <v>17</v>
      </c>
      <c r="M1309" s="1" t="s">
        <v>1097</v>
      </c>
      <c r="N1309" s="1" t="s">
        <v>18</v>
      </c>
      <c r="O1309" s="1">
        <v>1</v>
      </c>
      <c r="P1309" s="1">
        <v>4</v>
      </c>
      <c r="R1309" s="1" t="s">
        <v>19</v>
      </c>
      <c r="S1309" s="1" t="s">
        <v>20</v>
      </c>
      <c r="T1309" s="1" t="s">
        <v>21</v>
      </c>
      <c r="U1309" s="1" t="s">
        <v>22</v>
      </c>
      <c r="V1309" s="1" t="s">
        <v>24</v>
      </c>
      <c r="W1309" s="1" t="s">
        <v>24</v>
      </c>
      <c r="X1309" s="1">
        <v>2700</v>
      </c>
      <c r="Y1309" s="1" t="s">
        <v>24</v>
      </c>
      <c r="Z1309" s="1" t="s">
        <v>24</v>
      </c>
      <c r="AA1309" s="1" t="s">
        <v>24</v>
      </c>
      <c r="AB1309" s="1" t="s">
        <v>24</v>
      </c>
      <c r="AC1309" s="1" t="s">
        <v>24</v>
      </c>
      <c r="AD1309" s="1" t="s">
        <v>24</v>
      </c>
      <c r="AE1309" s="1" t="s">
        <v>24</v>
      </c>
      <c r="AF1309" s="22"/>
    </row>
    <row r="1310" spans="1:32" x14ac:dyDescent="0.2">
      <c r="A1310" s="1">
        <v>8092</v>
      </c>
      <c r="B1310" s="1" t="s">
        <v>4276</v>
      </c>
      <c r="C1310" s="5" t="s">
        <v>0</v>
      </c>
      <c r="D1310" s="1" t="s">
        <v>4277</v>
      </c>
      <c r="E1310" s="1" t="s">
        <v>4278</v>
      </c>
      <c r="F1310" s="1" t="s">
        <v>1307</v>
      </c>
      <c r="G1310" s="1" t="s">
        <v>1307</v>
      </c>
      <c r="H1310" s="1" t="s">
        <v>30</v>
      </c>
      <c r="I1310" s="1" t="s">
        <v>16</v>
      </c>
      <c r="J1310" s="1">
        <v>1</v>
      </c>
      <c r="K1310" s="1">
        <v>24</v>
      </c>
      <c r="L1310" s="1" t="s">
        <v>42</v>
      </c>
      <c r="M1310" s="1" t="s">
        <v>18</v>
      </c>
      <c r="N1310" s="1" t="s">
        <v>18</v>
      </c>
      <c r="O1310" s="1">
        <v>3</v>
      </c>
      <c r="P1310" s="1">
        <v>8</v>
      </c>
      <c r="Q1310" s="7" t="s">
        <v>17633</v>
      </c>
      <c r="R1310" s="1" t="s">
        <v>62</v>
      </c>
      <c r="S1310" s="1" t="s">
        <v>20</v>
      </c>
      <c r="T1310" s="1" t="s">
        <v>21</v>
      </c>
      <c r="U1310" s="1" t="s">
        <v>22</v>
      </c>
      <c r="V1310" s="1" t="s">
        <v>24</v>
      </c>
      <c r="W1310" s="1" t="s">
        <v>24</v>
      </c>
      <c r="X1310" s="1">
        <v>1311</v>
      </c>
      <c r="Y1310" s="1">
        <v>1309</v>
      </c>
      <c r="Z1310" s="1" t="s">
        <v>24</v>
      </c>
      <c r="AA1310" s="1" t="s">
        <v>24</v>
      </c>
      <c r="AB1310" s="1" t="s">
        <v>24</v>
      </c>
      <c r="AC1310" s="1" t="s">
        <v>24</v>
      </c>
      <c r="AD1310" s="1" t="s">
        <v>24</v>
      </c>
      <c r="AE1310" s="1" t="s">
        <v>24</v>
      </c>
      <c r="AF1310" s="22"/>
    </row>
    <row r="1311" spans="1:32" x14ac:dyDescent="0.2">
      <c r="A1311" s="1">
        <v>8093</v>
      </c>
      <c r="B1311" s="1" t="s">
        <v>4279</v>
      </c>
      <c r="C1311" s="5" t="s">
        <v>0</v>
      </c>
      <c r="D1311" s="1" t="s">
        <v>4280</v>
      </c>
      <c r="E1311" s="1" t="s">
        <v>4281</v>
      </c>
      <c r="F1311" s="1" t="s">
        <v>35</v>
      </c>
      <c r="G1311" s="1" t="s">
        <v>36</v>
      </c>
      <c r="H1311" s="1" t="s">
        <v>37</v>
      </c>
      <c r="I1311" s="1" t="s">
        <v>16</v>
      </c>
      <c r="J1311" s="1">
        <v>1</v>
      </c>
      <c r="K1311" s="1">
        <v>6</v>
      </c>
      <c r="L1311" s="1" t="s">
        <v>31</v>
      </c>
      <c r="M1311" s="1" t="s">
        <v>18</v>
      </c>
      <c r="N1311" s="1" t="s">
        <v>18</v>
      </c>
      <c r="O1311" s="1">
        <v>3</v>
      </c>
      <c r="P1311" s="1">
        <v>7</v>
      </c>
      <c r="Q1311" s="7" t="s">
        <v>17633</v>
      </c>
      <c r="R1311" s="1" t="s">
        <v>19</v>
      </c>
      <c r="S1311" s="1" t="s">
        <v>20</v>
      </c>
      <c r="T1311" s="1" t="s">
        <v>21</v>
      </c>
      <c r="U1311" s="1" t="s">
        <v>22</v>
      </c>
      <c r="V1311" s="1" t="s">
        <v>24</v>
      </c>
      <c r="W1311" s="1" t="s">
        <v>24</v>
      </c>
      <c r="X1311" s="1">
        <v>3004</v>
      </c>
      <c r="Y1311" s="1">
        <v>2736</v>
      </c>
      <c r="Z1311" s="1" t="s">
        <v>24</v>
      </c>
      <c r="AA1311" s="1" t="s">
        <v>24</v>
      </c>
      <c r="AB1311" s="1" t="s">
        <v>24</v>
      </c>
      <c r="AC1311" s="1" t="s">
        <v>24</v>
      </c>
      <c r="AD1311" s="1" t="s">
        <v>24</v>
      </c>
      <c r="AE1311" s="1" t="s">
        <v>24</v>
      </c>
      <c r="AF1311" s="22"/>
    </row>
    <row r="1312" spans="1:32" x14ac:dyDescent="0.2">
      <c r="A1312" s="1">
        <v>8094</v>
      </c>
      <c r="B1312" s="1" t="s">
        <v>4282</v>
      </c>
      <c r="C1312" s="5" t="s">
        <v>0</v>
      </c>
      <c r="D1312" s="1" t="s">
        <v>4283</v>
      </c>
      <c r="E1312" s="1" t="s">
        <v>4284</v>
      </c>
      <c r="F1312" s="1" t="s">
        <v>167</v>
      </c>
      <c r="G1312" s="1" t="s">
        <v>130</v>
      </c>
      <c r="H1312" s="1" t="s">
        <v>168</v>
      </c>
      <c r="I1312" s="1" t="s">
        <v>16</v>
      </c>
      <c r="J1312" s="1">
        <v>1</v>
      </c>
      <c r="K1312" s="1">
        <v>8</v>
      </c>
      <c r="L1312" s="1" t="s">
        <v>31</v>
      </c>
      <c r="M1312" s="1" t="s">
        <v>18</v>
      </c>
      <c r="N1312" s="1" t="s">
        <v>18</v>
      </c>
      <c r="O1312" s="1">
        <v>3</v>
      </c>
      <c r="P1312" s="1">
        <v>7</v>
      </c>
      <c r="Q1312" s="7" t="s">
        <v>17633</v>
      </c>
      <c r="R1312" s="1" t="s">
        <v>19</v>
      </c>
      <c r="S1312" s="1" t="s">
        <v>20</v>
      </c>
      <c r="T1312" s="1" t="s">
        <v>21</v>
      </c>
      <c r="U1312" s="1" t="s">
        <v>22</v>
      </c>
      <c r="V1312" s="1" t="s">
        <v>24</v>
      </c>
      <c r="W1312" s="1" t="s">
        <v>24</v>
      </c>
      <c r="X1312" s="1">
        <v>2746</v>
      </c>
      <c r="Y1312" s="1" t="s">
        <v>24</v>
      </c>
      <c r="Z1312" s="1" t="s">
        <v>24</v>
      </c>
      <c r="AA1312" s="1" t="s">
        <v>24</v>
      </c>
      <c r="AB1312" s="1" t="s">
        <v>24</v>
      </c>
      <c r="AC1312" s="1" t="s">
        <v>24</v>
      </c>
      <c r="AD1312" s="1" t="s">
        <v>24</v>
      </c>
      <c r="AE1312" s="1" t="s">
        <v>24</v>
      </c>
      <c r="AF1312" s="22"/>
    </row>
    <row r="1313" spans="1:32" x14ac:dyDescent="0.2">
      <c r="A1313" s="1">
        <v>8096</v>
      </c>
      <c r="B1313" s="1" t="s">
        <v>4285</v>
      </c>
      <c r="C1313" s="5" t="s">
        <v>0</v>
      </c>
      <c r="D1313" s="1" t="s">
        <v>4286</v>
      </c>
      <c r="F1313" s="1" t="s">
        <v>155</v>
      </c>
      <c r="G1313" s="1" t="s">
        <v>61</v>
      </c>
      <c r="H1313" s="1" t="s">
        <v>37</v>
      </c>
      <c r="I1313" s="1" t="s">
        <v>16</v>
      </c>
      <c r="J1313" s="1">
        <v>1</v>
      </c>
      <c r="K1313" s="1">
        <v>12</v>
      </c>
      <c r="L1313" s="1" t="s">
        <v>31</v>
      </c>
      <c r="M1313" s="1" t="s">
        <v>18</v>
      </c>
      <c r="N1313" s="1" t="s">
        <v>18</v>
      </c>
      <c r="O1313" s="1">
        <v>2</v>
      </c>
      <c r="P1313" s="1">
        <v>7</v>
      </c>
      <c r="Q1313" s="7" t="s">
        <v>17633</v>
      </c>
      <c r="R1313" s="1" t="s">
        <v>62</v>
      </c>
      <c r="S1313" s="1" t="s">
        <v>20</v>
      </c>
      <c r="T1313" s="1" t="s">
        <v>21</v>
      </c>
      <c r="U1313" s="1" t="s">
        <v>22</v>
      </c>
      <c r="V1313" s="1" t="s">
        <v>24</v>
      </c>
      <c r="W1313" s="1" t="s">
        <v>24</v>
      </c>
      <c r="X1313" s="1">
        <v>1311</v>
      </c>
      <c r="Y1313" s="1" t="s">
        <v>24</v>
      </c>
      <c r="Z1313" s="1" t="s">
        <v>24</v>
      </c>
      <c r="AA1313" s="1" t="s">
        <v>24</v>
      </c>
      <c r="AB1313" s="1" t="s">
        <v>24</v>
      </c>
      <c r="AC1313" s="1" t="s">
        <v>24</v>
      </c>
      <c r="AD1313" s="1" t="s">
        <v>24</v>
      </c>
      <c r="AE1313" s="1" t="s">
        <v>24</v>
      </c>
      <c r="AF1313" s="22"/>
    </row>
    <row r="1314" spans="1:32" x14ac:dyDescent="0.2">
      <c r="A1314" s="1">
        <v>8099</v>
      </c>
      <c r="B1314" s="1" t="s">
        <v>4287</v>
      </c>
      <c r="C1314" s="5" t="s">
        <v>0</v>
      </c>
      <c r="D1314" s="1" t="s">
        <v>4288</v>
      </c>
      <c r="F1314" s="1" t="s">
        <v>4289</v>
      </c>
      <c r="G1314" s="1" t="s">
        <v>4290</v>
      </c>
      <c r="H1314" s="1" t="s">
        <v>30</v>
      </c>
      <c r="I1314" s="1" t="s">
        <v>16</v>
      </c>
      <c r="J1314" s="1">
        <v>1</v>
      </c>
      <c r="K1314" s="1">
        <v>4</v>
      </c>
      <c r="L1314" s="1" t="s">
        <v>31</v>
      </c>
      <c r="M1314" s="1" t="s">
        <v>18</v>
      </c>
      <c r="N1314" s="1" t="s">
        <v>18</v>
      </c>
      <c r="O1314" s="1">
        <v>2</v>
      </c>
      <c r="P1314" s="1">
        <v>6</v>
      </c>
      <c r="R1314" s="1" t="s">
        <v>19</v>
      </c>
      <c r="S1314" s="1" t="s">
        <v>20</v>
      </c>
      <c r="T1314" s="1" t="s">
        <v>21</v>
      </c>
      <c r="U1314" s="1" t="s">
        <v>22</v>
      </c>
      <c r="V1314" s="1" t="s">
        <v>23</v>
      </c>
      <c r="W1314" s="1" t="s">
        <v>24</v>
      </c>
      <c r="X1314" s="1">
        <v>2738</v>
      </c>
      <c r="Y1314" s="1">
        <v>3205</v>
      </c>
      <c r="Z1314" s="1">
        <v>3203</v>
      </c>
      <c r="AA1314" s="1" t="s">
        <v>24</v>
      </c>
      <c r="AB1314" s="1" t="s">
        <v>24</v>
      </c>
      <c r="AC1314" s="1" t="s">
        <v>24</v>
      </c>
      <c r="AD1314" s="1" t="s">
        <v>24</v>
      </c>
      <c r="AE1314" s="1" t="s">
        <v>24</v>
      </c>
      <c r="AF1314" s="22" t="s">
        <v>17679</v>
      </c>
    </row>
    <row r="1315" spans="1:32" x14ac:dyDescent="0.2">
      <c r="A1315" s="1">
        <v>8100</v>
      </c>
      <c r="B1315" s="1" t="s">
        <v>4291</v>
      </c>
      <c r="C1315" s="5" t="s">
        <v>0</v>
      </c>
      <c r="D1315" s="1" t="s">
        <v>4292</v>
      </c>
      <c r="E1315" s="1" t="s">
        <v>4293</v>
      </c>
      <c r="F1315" s="1" t="s">
        <v>4294</v>
      </c>
      <c r="G1315" s="1" t="s">
        <v>4295</v>
      </c>
      <c r="H1315" s="1" t="s">
        <v>461</v>
      </c>
      <c r="I1315" s="1" t="s">
        <v>16</v>
      </c>
      <c r="J1315" s="1">
        <v>1</v>
      </c>
      <c r="K1315" s="1">
        <v>6</v>
      </c>
      <c r="L1315" s="1" t="s">
        <v>42</v>
      </c>
      <c r="M1315" s="1" t="s">
        <v>1735</v>
      </c>
      <c r="N1315" s="1" t="s">
        <v>18</v>
      </c>
      <c r="O1315" s="1">
        <v>2</v>
      </c>
      <c r="P1315" s="1">
        <v>5</v>
      </c>
      <c r="R1315" s="1" t="s">
        <v>19</v>
      </c>
      <c r="S1315" s="1" t="s">
        <v>20</v>
      </c>
      <c r="T1315" s="1" t="s">
        <v>21</v>
      </c>
      <c r="U1315" s="1" t="s">
        <v>22</v>
      </c>
      <c r="V1315" s="1" t="s">
        <v>24</v>
      </c>
      <c r="W1315" s="1" t="s">
        <v>24</v>
      </c>
      <c r="X1315" s="1">
        <v>2736</v>
      </c>
      <c r="Y1315" s="1">
        <v>3004</v>
      </c>
      <c r="Z1315" s="1" t="s">
        <v>24</v>
      </c>
      <c r="AA1315" s="1" t="s">
        <v>24</v>
      </c>
      <c r="AB1315" s="1" t="s">
        <v>24</v>
      </c>
      <c r="AC1315" s="1" t="s">
        <v>24</v>
      </c>
      <c r="AD1315" s="1" t="s">
        <v>24</v>
      </c>
      <c r="AE1315" s="1" t="s">
        <v>24</v>
      </c>
      <c r="AF1315" s="22"/>
    </row>
    <row r="1316" spans="1:32" x14ac:dyDescent="0.2">
      <c r="A1316" s="1">
        <v>8102</v>
      </c>
      <c r="B1316" s="1" t="s">
        <v>4296</v>
      </c>
      <c r="C1316" s="5" t="s">
        <v>0</v>
      </c>
      <c r="D1316" s="1" t="s">
        <v>4297</v>
      </c>
      <c r="F1316" s="1" t="s">
        <v>4298</v>
      </c>
      <c r="G1316" s="1" t="s">
        <v>68</v>
      </c>
      <c r="H1316" s="1" t="s">
        <v>116</v>
      </c>
      <c r="I1316" s="1" t="s">
        <v>16</v>
      </c>
      <c r="J1316" s="1">
        <v>1</v>
      </c>
      <c r="K1316" s="1">
        <v>4</v>
      </c>
      <c r="L1316" s="1" t="s">
        <v>42</v>
      </c>
      <c r="M1316" s="1" t="s">
        <v>18</v>
      </c>
      <c r="N1316" s="1" t="s">
        <v>18</v>
      </c>
      <c r="O1316" s="1">
        <v>2</v>
      </c>
      <c r="P1316" s="1">
        <v>6</v>
      </c>
      <c r="R1316" s="1" t="s">
        <v>19</v>
      </c>
      <c r="S1316" s="1" t="s">
        <v>20</v>
      </c>
      <c r="T1316" s="1" t="s">
        <v>21</v>
      </c>
      <c r="U1316" s="1" t="s">
        <v>22</v>
      </c>
      <c r="V1316" s="1" t="s">
        <v>24</v>
      </c>
      <c r="W1316" s="1" t="s">
        <v>24</v>
      </c>
      <c r="X1316" s="1">
        <v>2738</v>
      </c>
      <c r="Y1316" s="1" t="s">
        <v>24</v>
      </c>
      <c r="Z1316" s="1" t="s">
        <v>24</v>
      </c>
      <c r="AA1316" s="1" t="s">
        <v>24</v>
      </c>
      <c r="AB1316" s="1" t="s">
        <v>24</v>
      </c>
      <c r="AC1316" s="1" t="s">
        <v>24</v>
      </c>
      <c r="AD1316" s="1" t="s">
        <v>24</v>
      </c>
      <c r="AE1316" s="1" t="s">
        <v>24</v>
      </c>
      <c r="AF1316" s="22"/>
    </row>
    <row r="1317" spans="1:32" x14ac:dyDescent="0.2">
      <c r="A1317" s="1">
        <v>8103</v>
      </c>
      <c r="B1317" s="1" t="s">
        <v>4299</v>
      </c>
      <c r="C1317" s="5" t="s">
        <v>0</v>
      </c>
      <c r="D1317" s="1" t="s">
        <v>4300</v>
      </c>
      <c r="E1317" s="1" t="s">
        <v>4301</v>
      </c>
      <c r="F1317" s="1" t="s">
        <v>1683</v>
      </c>
      <c r="G1317" s="1" t="s">
        <v>61</v>
      </c>
      <c r="H1317" s="1" t="s">
        <v>116</v>
      </c>
      <c r="I1317" s="1" t="s">
        <v>16</v>
      </c>
      <c r="J1317" s="1">
        <v>1</v>
      </c>
      <c r="K1317" s="1">
        <v>9</v>
      </c>
      <c r="L1317" s="1" t="s">
        <v>31</v>
      </c>
      <c r="M1317" s="1" t="s">
        <v>117</v>
      </c>
      <c r="N1317" s="1" t="s">
        <v>18</v>
      </c>
      <c r="O1317" s="1">
        <v>3</v>
      </c>
      <c r="P1317" s="1">
        <v>5</v>
      </c>
      <c r="R1317" s="1" t="s">
        <v>19</v>
      </c>
      <c r="S1317" s="1" t="s">
        <v>20</v>
      </c>
      <c r="T1317" s="1" t="s">
        <v>21</v>
      </c>
      <c r="U1317" s="1" t="s">
        <v>22</v>
      </c>
      <c r="V1317" s="1" t="s">
        <v>24</v>
      </c>
      <c r="W1317" s="1" t="s">
        <v>24</v>
      </c>
      <c r="X1317" s="1">
        <v>2706</v>
      </c>
      <c r="Y1317" s="1" t="s">
        <v>24</v>
      </c>
      <c r="Z1317" s="1" t="s">
        <v>24</v>
      </c>
      <c r="AA1317" s="1" t="s">
        <v>24</v>
      </c>
      <c r="AB1317" s="1" t="s">
        <v>24</v>
      </c>
      <c r="AC1317" s="1" t="s">
        <v>24</v>
      </c>
      <c r="AD1317" s="1" t="s">
        <v>24</v>
      </c>
      <c r="AE1317" s="1" t="s">
        <v>24</v>
      </c>
      <c r="AF1317" s="22"/>
    </row>
    <row r="1318" spans="1:32" x14ac:dyDescent="0.2">
      <c r="A1318" s="1">
        <v>8125</v>
      </c>
      <c r="B1318" s="1" t="s">
        <v>4302</v>
      </c>
      <c r="C1318" s="5" t="s">
        <v>0</v>
      </c>
      <c r="D1318" s="1" t="s">
        <v>4303</v>
      </c>
      <c r="E1318" s="1" t="s">
        <v>4304</v>
      </c>
      <c r="F1318" s="1" t="s">
        <v>91</v>
      </c>
      <c r="G1318" s="1" t="s">
        <v>61</v>
      </c>
      <c r="H1318" s="1" t="s">
        <v>92</v>
      </c>
      <c r="I1318" s="1" t="s">
        <v>16</v>
      </c>
      <c r="J1318" s="1">
        <v>4</v>
      </c>
      <c r="K1318" s="1">
        <v>3</v>
      </c>
      <c r="L1318" s="1" t="s">
        <v>31</v>
      </c>
      <c r="M1318" s="1" t="s">
        <v>18</v>
      </c>
      <c r="N1318" s="1" t="s">
        <v>18</v>
      </c>
      <c r="O1318" s="1">
        <v>3</v>
      </c>
      <c r="P1318" s="1">
        <v>8</v>
      </c>
      <c r="Q1318" s="7" t="s">
        <v>17633</v>
      </c>
      <c r="R1318" s="1" t="s">
        <v>19</v>
      </c>
      <c r="S1318" s="1" t="s">
        <v>20</v>
      </c>
      <c r="T1318" s="1" t="s">
        <v>21</v>
      </c>
      <c r="U1318" s="1" t="s">
        <v>22</v>
      </c>
      <c r="V1318" s="1" t="s">
        <v>24</v>
      </c>
      <c r="W1318" s="1" t="s">
        <v>24</v>
      </c>
      <c r="X1318" s="1">
        <v>2728</v>
      </c>
      <c r="Y1318" s="1">
        <v>2808</v>
      </c>
      <c r="Z1318" s="1" t="s">
        <v>24</v>
      </c>
      <c r="AA1318" s="1" t="s">
        <v>24</v>
      </c>
      <c r="AB1318" s="1" t="s">
        <v>24</v>
      </c>
      <c r="AC1318" s="1" t="s">
        <v>24</v>
      </c>
      <c r="AD1318" s="1" t="s">
        <v>24</v>
      </c>
      <c r="AE1318" s="1" t="s">
        <v>24</v>
      </c>
      <c r="AF1318" s="22"/>
    </row>
    <row r="1319" spans="1:32" x14ac:dyDescent="0.2">
      <c r="A1319" s="1">
        <v>8129</v>
      </c>
      <c r="B1319" s="1" t="s">
        <v>4305</v>
      </c>
      <c r="C1319" s="5" t="s">
        <v>0</v>
      </c>
      <c r="D1319" s="1" t="s">
        <v>4306</v>
      </c>
      <c r="E1319" s="1" t="s">
        <v>4307</v>
      </c>
      <c r="F1319" s="1" t="s">
        <v>28</v>
      </c>
      <c r="G1319" s="1" t="s">
        <v>29</v>
      </c>
      <c r="H1319" s="1" t="s">
        <v>30</v>
      </c>
      <c r="I1319" s="1" t="s">
        <v>16</v>
      </c>
      <c r="J1319" s="1">
        <v>1</v>
      </c>
      <c r="K1319" s="1">
        <v>6</v>
      </c>
      <c r="L1319" s="1" t="s">
        <v>31</v>
      </c>
      <c r="M1319" s="1" t="s">
        <v>18</v>
      </c>
      <c r="N1319" s="1" t="s">
        <v>18</v>
      </c>
      <c r="O1319" s="1">
        <v>2</v>
      </c>
      <c r="P1319" s="1">
        <v>6</v>
      </c>
      <c r="R1319" s="1" t="s">
        <v>19</v>
      </c>
      <c r="S1319" s="1" t="s">
        <v>20</v>
      </c>
      <c r="T1319" s="1" t="s">
        <v>21</v>
      </c>
      <c r="U1319" s="1" t="s">
        <v>22</v>
      </c>
      <c r="V1319" s="1" t="s">
        <v>23</v>
      </c>
      <c r="W1319" s="1" t="s">
        <v>24</v>
      </c>
      <c r="X1319" s="1">
        <v>2742</v>
      </c>
      <c r="Y1319" s="1">
        <v>2728</v>
      </c>
      <c r="Z1319" s="1">
        <v>3612</v>
      </c>
      <c r="AA1319" s="1" t="s">
        <v>24</v>
      </c>
      <c r="AB1319" s="1" t="s">
        <v>24</v>
      </c>
      <c r="AC1319" s="1" t="s">
        <v>24</v>
      </c>
      <c r="AD1319" s="1" t="s">
        <v>24</v>
      </c>
      <c r="AE1319" s="1" t="s">
        <v>24</v>
      </c>
      <c r="AF1319" s="22"/>
    </row>
    <row r="1320" spans="1:32" x14ac:dyDescent="0.2">
      <c r="A1320" s="1">
        <v>8133</v>
      </c>
      <c r="B1320" s="1" t="s">
        <v>4308</v>
      </c>
      <c r="C1320" s="5" t="s">
        <v>0</v>
      </c>
      <c r="D1320" s="1" t="s">
        <v>4309</v>
      </c>
      <c r="F1320" s="1" t="s">
        <v>1887</v>
      </c>
      <c r="G1320" s="1" t="s">
        <v>254</v>
      </c>
      <c r="H1320" s="1" t="s">
        <v>168</v>
      </c>
      <c r="I1320" s="1" t="s">
        <v>16</v>
      </c>
      <c r="J1320" s="1">
        <v>1</v>
      </c>
      <c r="K1320" s="1">
        <v>4</v>
      </c>
      <c r="L1320" s="1" t="s">
        <v>31</v>
      </c>
      <c r="M1320" s="1" t="s">
        <v>18</v>
      </c>
      <c r="N1320" s="1" t="s">
        <v>18</v>
      </c>
      <c r="O1320" s="1">
        <v>3</v>
      </c>
      <c r="P1320" s="1">
        <v>7</v>
      </c>
      <c r="Q1320" s="7" t="s">
        <v>17633</v>
      </c>
      <c r="R1320" s="1" t="s">
        <v>19</v>
      </c>
      <c r="S1320" s="1" t="s">
        <v>20</v>
      </c>
      <c r="T1320" s="1" t="s">
        <v>21</v>
      </c>
      <c r="U1320" s="1" t="s">
        <v>22</v>
      </c>
      <c r="V1320" s="1" t="s">
        <v>24</v>
      </c>
      <c r="W1320" s="1" t="s">
        <v>24</v>
      </c>
      <c r="X1320" s="1">
        <v>2800</v>
      </c>
      <c r="Y1320" s="1" t="s">
        <v>24</v>
      </c>
      <c r="Z1320" s="1" t="s">
        <v>24</v>
      </c>
      <c r="AA1320" s="1" t="s">
        <v>24</v>
      </c>
      <c r="AB1320" s="1" t="s">
        <v>24</v>
      </c>
      <c r="AC1320" s="1" t="s">
        <v>24</v>
      </c>
      <c r="AD1320" s="1" t="s">
        <v>24</v>
      </c>
      <c r="AE1320" s="1" t="s">
        <v>24</v>
      </c>
      <c r="AF1320" s="22"/>
    </row>
    <row r="1321" spans="1:32" x14ac:dyDescent="0.2">
      <c r="A1321" s="1">
        <v>8134</v>
      </c>
      <c r="B1321" s="1" t="s">
        <v>4310</v>
      </c>
      <c r="C1321" s="5" t="s">
        <v>0</v>
      </c>
      <c r="D1321" s="1" t="s">
        <v>4311</v>
      </c>
      <c r="E1321" s="1" t="s">
        <v>4312</v>
      </c>
      <c r="F1321" s="1" t="s">
        <v>167</v>
      </c>
      <c r="G1321" s="1" t="s">
        <v>130</v>
      </c>
      <c r="H1321" s="1" t="s">
        <v>168</v>
      </c>
      <c r="I1321" s="1" t="s">
        <v>16</v>
      </c>
      <c r="J1321" s="1">
        <v>2</v>
      </c>
      <c r="K1321" s="1">
        <v>6</v>
      </c>
      <c r="L1321" s="1" t="s">
        <v>31</v>
      </c>
      <c r="M1321" s="1" t="s">
        <v>18</v>
      </c>
      <c r="N1321" s="1" t="s">
        <v>18</v>
      </c>
      <c r="O1321" s="1">
        <v>3</v>
      </c>
      <c r="P1321" s="1">
        <v>7</v>
      </c>
      <c r="Q1321" s="7" t="s">
        <v>17633</v>
      </c>
      <c r="R1321" s="1" t="s">
        <v>19</v>
      </c>
      <c r="S1321" s="1" t="s">
        <v>20</v>
      </c>
      <c r="T1321" s="1" t="s">
        <v>21</v>
      </c>
      <c r="U1321" s="1" t="s">
        <v>22</v>
      </c>
      <c r="V1321" s="1" t="s">
        <v>24</v>
      </c>
      <c r="W1321" s="1" t="s">
        <v>24</v>
      </c>
      <c r="X1321" s="1">
        <v>2405</v>
      </c>
      <c r="Y1321" s="1">
        <v>2725</v>
      </c>
      <c r="Z1321" s="1" t="s">
        <v>24</v>
      </c>
      <c r="AA1321" s="1" t="s">
        <v>24</v>
      </c>
      <c r="AB1321" s="1" t="s">
        <v>24</v>
      </c>
      <c r="AC1321" s="1" t="s">
        <v>24</v>
      </c>
      <c r="AD1321" s="1" t="s">
        <v>24</v>
      </c>
      <c r="AE1321" s="1" t="s">
        <v>24</v>
      </c>
      <c r="AF1321" s="22"/>
    </row>
    <row r="1322" spans="1:32" x14ac:dyDescent="0.2">
      <c r="A1322" s="1">
        <v>8136</v>
      </c>
      <c r="B1322" s="1" t="s">
        <v>4313</v>
      </c>
      <c r="C1322" s="5" t="s">
        <v>0</v>
      </c>
      <c r="D1322" s="1" t="s">
        <v>4314</v>
      </c>
      <c r="E1322" s="1" t="s">
        <v>4315</v>
      </c>
      <c r="F1322" s="1" t="s">
        <v>291</v>
      </c>
      <c r="G1322" s="1" t="s">
        <v>292</v>
      </c>
      <c r="H1322" s="1" t="s">
        <v>37</v>
      </c>
      <c r="I1322" s="1" t="s">
        <v>16</v>
      </c>
      <c r="J1322" s="1">
        <v>1</v>
      </c>
      <c r="K1322" s="1">
        <v>8</v>
      </c>
      <c r="L1322" s="1" t="s">
        <v>31</v>
      </c>
      <c r="M1322" s="1" t="s">
        <v>18</v>
      </c>
      <c r="N1322" s="1" t="s">
        <v>18</v>
      </c>
      <c r="O1322" s="1">
        <v>3</v>
      </c>
      <c r="P1322" s="1">
        <v>7</v>
      </c>
      <c r="Q1322" s="7" t="s">
        <v>17633</v>
      </c>
      <c r="R1322" s="1" t="s">
        <v>19</v>
      </c>
      <c r="S1322" s="1" t="s">
        <v>20</v>
      </c>
      <c r="T1322" s="1" t="s">
        <v>21</v>
      </c>
      <c r="U1322" s="1" t="s">
        <v>22</v>
      </c>
      <c r="V1322" s="1" t="s">
        <v>24</v>
      </c>
      <c r="W1322" s="1" t="s">
        <v>24</v>
      </c>
      <c r="X1322" s="1">
        <v>2727</v>
      </c>
      <c r="Y1322" s="1">
        <v>2706</v>
      </c>
      <c r="Z1322" s="1" t="s">
        <v>24</v>
      </c>
      <c r="AA1322" s="1" t="s">
        <v>24</v>
      </c>
      <c r="AB1322" s="1" t="s">
        <v>24</v>
      </c>
      <c r="AC1322" s="1" t="s">
        <v>24</v>
      </c>
      <c r="AD1322" s="1" t="s">
        <v>24</v>
      </c>
      <c r="AE1322" s="1" t="s">
        <v>24</v>
      </c>
      <c r="AF1322" s="22"/>
    </row>
    <row r="1323" spans="1:32" x14ac:dyDescent="0.2">
      <c r="A1323" s="1">
        <v>8137</v>
      </c>
      <c r="B1323" s="1" t="s">
        <v>4316</v>
      </c>
      <c r="C1323" s="5" t="s">
        <v>0</v>
      </c>
      <c r="D1323" s="1" t="s">
        <v>4317</v>
      </c>
      <c r="E1323" s="1" t="s">
        <v>4318</v>
      </c>
      <c r="F1323" s="1" t="s">
        <v>190</v>
      </c>
      <c r="G1323" s="1" t="s">
        <v>130</v>
      </c>
      <c r="H1323" s="1" t="s">
        <v>30</v>
      </c>
      <c r="I1323" s="1" t="s">
        <v>16</v>
      </c>
      <c r="J1323" s="1">
        <v>1</v>
      </c>
      <c r="K1323" s="1">
        <v>10</v>
      </c>
      <c r="L1323" s="1" t="s">
        <v>31</v>
      </c>
      <c r="M1323" s="1" t="s">
        <v>105</v>
      </c>
      <c r="N1323" s="1" t="s">
        <v>105</v>
      </c>
      <c r="O1323" s="1">
        <v>3</v>
      </c>
      <c r="P1323" s="1">
        <v>7</v>
      </c>
      <c r="Q1323" s="7" t="s">
        <v>17633</v>
      </c>
      <c r="R1323" s="1" t="s">
        <v>19</v>
      </c>
      <c r="S1323" s="1" t="s">
        <v>20</v>
      </c>
      <c r="T1323" s="1" t="s">
        <v>21</v>
      </c>
      <c r="U1323" s="1" t="s">
        <v>22</v>
      </c>
      <c r="V1323" s="1" t="s">
        <v>23</v>
      </c>
      <c r="W1323" s="1" t="s">
        <v>24</v>
      </c>
      <c r="X1323" s="1">
        <v>2703</v>
      </c>
      <c r="Y1323" s="1" t="s">
        <v>24</v>
      </c>
      <c r="Z1323" s="1" t="s">
        <v>24</v>
      </c>
      <c r="AA1323" s="1" t="s">
        <v>24</v>
      </c>
      <c r="AB1323" s="1" t="s">
        <v>24</v>
      </c>
      <c r="AC1323" s="1" t="s">
        <v>24</v>
      </c>
      <c r="AD1323" s="1" t="s">
        <v>24</v>
      </c>
      <c r="AE1323" s="1" t="s">
        <v>24</v>
      </c>
      <c r="AF1323" s="22"/>
    </row>
    <row r="1324" spans="1:32" x14ac:dyDescent="0.2">
      <c r="A1324" s="1">
        <v>8138</v>
      </c>
      <c r="B1324" s="1" t="s">
        <v>4319</v>
      </c>
      <c r="C1324" s="5" t="s">
        <v>0</v>
      </c>
      <c r="D1324" s="1" t="s">
        <v>4320</v>
      </c>
      <c r="E1324" s="1" t="s">
        <v>4321</v>
      </c>
      <c r="F1324" s="1" t="s">
        <v>272</v>
      </c>
      <c r="G1324" s="1" t="s">
        <v>61</v>
      </c>
      <c r="H1324" s="1" t="s">
        <v>30</v>
      </c>
      <c r="I1324" s="1" t="s">
        <v>16</v>
      </c>
      <c r="J1324" s="1">
        <v>1</v>
      </c>
      <c r="K1324" s="1">
        <v>12</v>
      </c>
      <c r="L1324" s="1" t="s">
        <v>31</v>
      </c>
      <c r="M1324" s="1" t="s">
        <v>18</v>
      </c>
      <c r="N1324" s="1" t="s">
        <v>18</v>
      </c>
      <c r="O1324" s="1">
        <v>3</v>
      </c>
      <c r="P1324" s="1">
        <v>7</v>
      </c>
      <c r="Q1324" s="7" t="s">
        <v>17633</v>
      </c>
      <c r="R1324" s="1" t="s">
        <v>62</v>
      </c>
      <c r="S1324" s="1" t="s">
        <v>20</v>
      </c>
      <c r="T1324" s="1" t="s">
        <v>21</v>
      </c>
      <c r="U1324" s="1" t="s">
        <v>22</v>
      </c>
      <c r="V1324" s="1" t="s">
        <v>24</v>
      </c>
      <c r="W1324" s="1" t="s">
        <v>24</v>
      </c>
      <c r="X1324" s="1">
        <v>2738</v>
      </c>
      <c r="Y1324" s="1">
        <v>3204</v>
      </c>
      <c r="Z1324" s="1" t="s">
        <v>24</v>
      </c>
      <c r="AA1324" s="1" t="s">
        <v>24</v>
      </c>
      <c r="AB1324" s="1" t="s">
        <v>24</v>
      </c>
      <c r="AC1324" s="1" t="s">
        <v>24</v>
      </c>
      <c r="AD1324" s="1" t="s">
        <v>24</v>
      </c>
      <c r="AE1324" s="1" t="s">
        <v>24</v>
      </c>
      <c r="AF1324" s="22"/>
    </row>
    <row r="1325" spans="1:32" x14ac:dyDescent="0.2">
      <c r="A1325" s="1">
        <v>8142</v>
      </c>
      <c r="B1325" s="1" t="s">
        <v>4322</v>
      </c>
      <c r="C1325" s="5" t="s">
        <v>0</v>
      </c>
      <c r="D1325" s="1" t="s">
        <v>4323</v>
      </c>
      <c r="E1325" s="1" t="s">
        <v>4324</v>
      </c>
      <c r="F1325" s="1" t="s">
        <v>2478</v>
      </c>
      <c r="G1325" s="1" t="s">
        <v>2478</v>
      </c>
      <c r="H1325" s="1" t="s">
        <v>37</v>
      </c>
      <c r="I1325" s="1" t="s">
        <v>16</v>
      </c>
      <c r="J1325" s="1">
        <v>1</v>
      </c>
      <c r="K1325" s="1">
        <v>24</v>
      </c>
      <c r="L1325" s="1" t="s">
        <v>42</v>
      </c>
      <c r="M1325" s="1" t="s">
        <v>18</v>
      </c>
      <c r="N1325" s="1" t="s">
        <v>18</v>
      </c>
      <c r="O1325" s="1">
        <v>3</v>
      </c>
      <c r="P1325" s="1">
        <v>7</v>
      </c>
      <c r="Q1325" s="7" t="s">
        <v>17633</v>
      </c>
      <c r="R1325" s="1" t="s">
        <v>62</v>
      </c>
      <c r="S1325" s="1" t="s">
        <v>20</v>
      </c>
      <c r="T1325" s="1" t="s">
        <v>21</v>
      </c>
      <c r="U1325" s="1" t="s">
        <v>22</v>
      </c>
      <c r="V1325" s="1" t="s">
        <v>24</v>
      </c>
      <c r="W1325" s="1" t="s">
        <v>24</v>
      </c>
      <c r="X1325" s="1">
        <v>1309</v>
      </c>
      <c r="Y1325" s="1">
        <v>1312</v>
      </c>
      <c r="Z1325" s="1" t="s">
        <v>24</v>
      </c>
      <c r="AA1325" s="1" t="s">
        <v>24</v>
      </c>
      <c r="AB1325" s="1" t="s">
        <v>24</v>
      </c>
      <c r="AC1325" s="1" t="s">
        <v>24</v>
      </c>
      <c r="AD1325" s="1" t="s">
        <v>24</v>
      </c>
      <c r="AE1325" s="1" t="s">
        <v>24</v>
      </c>
      <c r="AF1325" s="22"/>
    </row>
    <row r="1326" spans="1:32" x14ac:dyDescent="0.2">
      <c r="A1326" s="1">
        <v>8148</v>
      </c>
      <c r="B1326" s="1" t="s">
        <v>4325</v>
      </c>
      <c r="C1326" s="5" t="s">
        <v>0</v>
      </c>
      <c r="D1326" s="1" t="s">
        <v>4326</v>
      </c>
      <c r="E1326" s="1" t="s">
        <v>4327</v>
      </c>
      <c r="F1326" s="1" t="s">
        <v>155</v>
      </c>
      <c r="G1326" s="1" t="s">
        <v>61</v>
      </c>
      <c r="H1326" s="1" t="s">
        <v>37</v>
      </c>
      <c r="I1326" s="1" t="s">
        <v>16</v>
      </c>
      <c r="J1326" s="1">
        <v>4</v>
      </c>
      <c r="K1326" s="1">
        <v>3</v>
      </c>
      <c r="L1326" s="1" t="s">
        <v>31</v>
      </c>
      <c r="M1326" s="1" t="s">
        <v>18</v>
      </c>
      <c r="N1326" s="1" t="s">
        <v>18</v>
      </c>
      <c r="O1326" s="1">
        <v>3</v>
      </c>
      <c r="P1326" s="1">
        <v>6</v>
      </c>
      <c r="R1326" s="1" t="s">
        <v>19</v>
      </c>
      <c r="S1326" s="1" t="s">
        <v>63</v>
      </c>
      <c r="T1326" s="1" t="s">
        <v>21</v>
      </c>
      <c r="U1326" s="1" t="s">
        <v>22</v>
      </c>
      <c r="V1326" s="1" t="s">
        <v>24</v>
      </c>
      <c r="W1326" s="1" t="s">
        <v>24</v>
      </c>
      <c r="X1326" s="1">
        <v>2310</v>
      </c>
      <c r="Y1326" s="1">
        <v>2307</v>
      </c>
      <c r="Z1326" s="1">
        <v>3005</v>
      </c>
      <c r="AA1326" s="1" t="s">
        <v>24</v>
      </c>
      <c r="AB1326" s="1" t="s">
        <v>24</v>
      </c>
      <c r="AC1326" s="1" t="s">
        <v>24</v>
      </c>
      <c r="AD1326" s="1" t="s">
        <v>24</v>
      </c>
      <c r="AE1326" s="1" t="s">
        <v>24</v>
      </c>
      <c r="AF1326" s="22"/>
    </row>
    <row r="1327" spans="1:32" x14ac:dyDescent="0.2">
      <c r="A1327" s="1">
        <v>8151</v>
      </c>
      <c r="B1327" s="1" t="s">
        <v>4328</v>
      </c>
      <c r="C1327" s="5" t="s">
        <v>0</v>
      </c>
      <c r="D1327" s="1" t="s">
        <v>4329</v>
      </c>
      <c r="E1327" s="1" t="s">
        <v>4330</v>
      </c>
      <c r="F1327" s="1" t="s">
        <v>91</v>
      </c>
      <c r="G1327" s="1" t="s">
        <v>61</v>
      </c>
      <c r="H1327" s="1" t="s">
        <v>92</v>
      </c>
      <c r="I1327" s="1" t="s">
        <v>16</v>
      </c>
      <c r="J1327" s="1">
        <v>5</v>
      </c>
      <c r="K1327" s="1">
        <v>2</v>
      </c>
      <c r="L1327" s="1" t="s">
        <v>31</v>
      </c>
      <c r="M1327" s="1" t="s">
        <v>18</v>
      </c>
      <c r="N1327" s="1" t="s">
        <v>18</v>
      </c>
      <c r="O1327" s="1">
        <v>3</v>
      </c>
      <c r="P1327" s="1">
        <v>7</v>
      </c>
      <c r="Q1327" s="7" t="s">
        <v>17633</v>
      </c>
      <c r="R1327" s="1" t="s">
        <v>19</v>
      </c>
      <c r="S1327" s="1" t="s">
        <v>63</v>
      </c>
      <c r="T1327" s="1" t="s">
        <v>21</v>
      </c>
      <c r="U1327" s="1" t="s">
        <v>22</v>
      </c>
      <c r="V1327" s="1" t="s">
        <v>23</v>
      </c>
      <c r="W1327" s="1" t="s">
        <v>24</v>
      </c>
      <c r="X1327" s="1">
        <v>1602</v>
      </c>
      <c r="Y1327" s="1">
        <v>1706</v>
      </c>
      <c r="Z1327" s="1">
        <v>1712</v>
      </c>
      <c r="AA1327" s="1">
        <v>1508</v>
      </c>
      <c r="AB1327" s="1">
        <v>1607</v>
      </c>
      <c r="AC1327" s="1" t="s">
        <v>24</v>
      </c>
      <c r="AD1327" s="1" t="s">
        <v>24</v>
      </c>
      <c r="AE1327" s="1" t="s">
        <v>24</v>
      </c>
      <c r="AF1327" s="22"/>
    </row>
    <row r="1328" spans="1:32" x14ac:dyDescent="0.2">
      <c r="A1328" s="1">
        <v>8157</v>
      </c>
      <c r="B1328" s="1" t="s">
        <v>4331</v>
      </c>
      <c r="C1328" s="5" t="s">
        <v>0</v>
      </c>
      <c r="D1328" s="1" t="s">
        <v>4332</v>
      </c>
      <c r="F1328" s="1" t="s">
        <v>4333</v>
      </c>
      <c r="G1328" s="1" t="s">
        <v>4333</v>
      </c>
      <c r="H1328" s="1" t="s">
        <v>731</v>
      </c>
      <c r="I1328" s="1" t="s">
        <v>16</v>
      </c>
      <c r="J1328" s="1">
        <v>1</v>
      </c>
      <c r="K1328" s="1">
        <v>12</v>
      </c>
      <c r="L1328" s="1" t="s">
        <v>42</v>
      </c>
      <c r="M1328" s="1" t="s">
        <v>105</v>
      </c>
      <c r="N1328" s="1" t="s">
        <v>18</v>
      </c>
      <c r="O1328" s="1">
        <v>2</v>
      </c>
      <c r="P1328" s="1">
        <v>5</v>
      </c>
      <c r="R1328" s="1" t="s">
        <v>19</v>
      </c>
      <c r="S1328" s="1" t="s">
        <v>20</v>
      </c>
      <c r="T1328" s="1" t="s">
        <v>21</v>
      </c>
      <c r="U1328" s="1" t="s">
        <v>22</v>
      </c>
      <c r="V1328" s="1" t="s">
        <v>23</v>
      </c>
      <c r="W1328" s="1" t="s">
        <v>24</v>
      </c>
      <c r="X1328" s="1">
        <v>2714</v>
      </c>
      <c r="Y1328" s="1" t="s">
        <v>24</v>
      </c>
      <c r="Z1328" s="1" t="s">
        <v>24</v>
      </c>
      <c r="AA1328" s="1" t="s">
        <v>24</v>
      </c>
      <c r="AB1328" s="1" t="s">
        <v>24</v>
      </c>
      <c r="AC1328" s="1" t="s">
        <v>24</v>
      </c>
      <c r="AD1328" s="1" t="s">
        <v>24</v>
      </c>
      <c r="AE1328" s="1" t="s">
        <v>24</v>
      </c>
      <c r="AF1328" s="22"/>
    </row>
    <row r="1329" spans="1:32" x14ac:dyDescent="0.2">
      <c r="A1329" s="1">
        <v>8159</v>
      </c>
      <c r="B1329" s="1" t="s">
        <v>4334</v>
      </c>
      <c r="C1329" s="5" t="s">
        <v>0</v>
      </c>
      <c r="D1329" s="1" t="s">
        <v>4335</v>
      </c>
      <c r="E1329" s="1" t="s">
        <v>4336</v>
      </c>
      <c r="F1329" s="1" t="s">
        <v>4337</v>
      </c>
      <c r="G1329" s="1" t="s">
        <v>4338</v>
      </c>
      <c r="H1329" s="1" t="s">
        <v>30</v>
      </c>
      <c r="I1329" s="1" t="s">
        <v>16</v>
      </c>
      <c r="J1329" s="1">
        <v>1</v>
      </c>
      <c r="K1329" s="1">
        <v>4</v>
      </c>
      <c r="L1329" s="1" t="s">
        <v>31</v>
      </c>
      <c r="M1329" s="1" t="s">
        <v>18</v>
      </c>
      <c r="N1329" s="1" t="s">
        <v>18</v>
      </c>
      <c r="O1329" s="1">
        <v>3</v>
      </c>
      <c r="P1329" s="1">
        <v>6</v>
      </c>
      <c r="R1329" s="1" t="s">
        <v>19</v>
      </c>
      <c r="S1329" s="1" t="s">
        <v>20</v>
      </c>
      <c r="T1329" s="1" t="s">
        <v>21</v>
      </c>
      <c r="U1329" s="1" t="s">
        <v>22</v>
      </c>
      <c r="V1329" s="1" t="s">
        <v>24</v>
      </c>
      <c r="W1329" s="1" t="s">
        <v>24</v>
      </c>
      <c r="X1329" s="1">
        <v>2403</v>
      </c>
      <c r="Y1329" s="1">
        <v>2406</v>
      </c>
      <c r="Z1329" s="1">
        <v>1313</v>
      </c>
      <c r="AA1329" s="1" t="s">
        <v>24</v>
      </c>
      <c r="AB1329" s="1" t="s">
        <v>24</v>
      </c>
      <c r="AC1329" s="1" t="s">
        <v>24</v>
      </c>
      <c r="AD1329" s="1" t="s">
        <v>24</v>
      </c>
      <c r="AE1329" s="1" t="s">
        <v>24</v>
      </c>
      <c r="AF1329" s="22"/>
    </row>
    <row r="1330" spans="1:32" x14ac:dyDescent="0.2">
      <c r="A1330" s="1">
        <v>8160</v>
      </c>
      <c r="B1330" s="1" t="s">
        <v>4339</v>
      </c>
      <c r="C1330" s="5" t="s">
        <v>0</v>
      </c>
      <c r="D1330" s="1" t="s">
        <v>4340</v>
      </c>
      <c r="E1330" s="1" t="s">
        <v>4341</v>
      </c>
      <c r="F1330" s="1" t="s">
        <v>4337</v>
      </c>
      <c r="G1330" s="1" t="s">
        <v>4338</v>
      </c>
      <c r="H1330" s="1" t="s">
        <v>30</v>
      </c>
      <c r="I1330" s="1" t="s">
        <v>16</v>
      </c>
      <c r="J1330" s="1">
        <v>1</v>
      </c>
      <c r="K1330" s="1">
        <v>12</v>
      </c>
      <c r="L1330" s="1" t="s">
        <v>31</v>
      </c>
      <c r="M1330" s="1" t="s">
        <v>18</v>
      </c>
      <c r="N1330" s="1" t="s">
        <v>18</v>
      </c>
      <c r="O1330" s="1">
        <v>3</v>
      </c>
      <c r="P1330" s="1">
        <v>7</v>
      </c>
      <c r="Q1330" s="7" t="s">
        <v>17633</v>
      </c>
      <c r="R1330" s="1" t="s">
        <v>19</v>
      </c>
      <c r="S1330" s="1" t="s">
        <v>20</v>
      </c>
      <c r="T1330" s="1" t="s">
        <v>21</v>
      </c>
      <c r="U1330" s="1" t="s">
        <v>22</v>
      </c>
      <c r="V1330" s="1" t="s">
        <v>24</v>
      </c>
      <c r="W1330" s="1" t="s">
        <v>24</v>
      </c>
      <c r="X1330" s="1">
        <v>2403</v>
      </c>
      <c r="Y1330" s="1">
        <v>2406</v>
      </c>
      <c r="Z1330" s="1">
        <v>2725</v>
      </c>
      <c r="AA1330" s="1" t="s">
        <v>24</v>
      </c>
      <c r="AB1330" s="1" t="s">
        <v>24</v>
      </c>
      <c r="AC1330" s="1" t="s">
        <v>24</v>
      </c>
      <c r="AD1330" s="1" t="s">
        <v>24</v>
      </c>
      <c r="AE1330" s="1" t="s">
        <v>24</v>
      </c>
      <c r="AF1330" s="22"/>
    </row>
    <row r="1331" spans="1:32" x14ac:dyDescent="0.2">
      <c r="A1331" s="1">
        <v>8161</v>
      </c>
      <c r="B1331" s="1" t="s">
        <v>4342</v>
      </c>
      <c r="C1331" s="5" t="s">
        <v>0</v>
      </c>
      <c r="D1331" s="1" t="s">
        <v>4343</v>
      </c>
      <c r="E1331" s="1" t="s">
        <v>4344</v>
      </c>
      <c r="F1331" s="1" t="s">
        <v>55</v>
      </c>
      <c r="G1331" s="1" t="s">
        <v>56</v>
      </c>
      <c r="H1331" s="1" t="s">
        <v>37</v>
      </c>
      <c r="I1331" s="1" t="s">
        <v>16</v>
      </c>
      <c r="J1331" s="1">
        <v>1</v>
      </c>
      <c r="K1331" s="1">
        <v>12</v>
      </c>
      <c r="L1331" s="1" t="s">
        <v>31</v>
      </c>
      <c r="M1331" s="1" t="s">
        <v>18</v>
      </c>
      <c r="N1331" s="1" t="s">
        <v>18</v>
      </c>
      <c r="O1331" s="1">
        <v>3</v>
      </c>
      <c r="P1331" s="1">
        <v>7</v>
      </c>
      <c r="Q1331" s="7" t="s">
        <v>17633</v>
      </c>
      <c r="R1331" s="1" t="s">
        <v>62</v>
      </c>
      <c r="S1331" s="1" t="s">
        <v>20</v>
      </c>
      <c r="T1331" s="1" t="s">
        <v>21</v>
      </c>
      <c r="U1331" s="1" t="s">
        <v>22</v>
      </c>
      <c r="V1331" s="1" t="s">
        <v>24</v>
      </c>
      <c r="W1331" s="1" t="s">
        <v>24</v>
      </c>
      <c r="X1331" s="1">
        <v>2727</v>
      </c>
      <c r="Y1331" s="1">
        <v>2747</v>
      </c>
      <c r="Z1331" s="1" t="s">
        <v>24</v>
      </c>
      <c r="AA1331" s="1" t="s">
        <v>24</v>
      </c>
      <c r="AB1331" s="1" t="s">
        <v>24</v>
      </c>
      <c r="AC1331" s="1" t="s">
        <v>24</v>
      </c>
      <c r="AD1331" s="1" t="s">
        <v>24</v>
      </c>
      <c r="AE1331" s="1" t="s">
        <v>24</v>
      </c>
      <c r="AF1331" s="22"/>
    </row>
    <row r="1332" spans="1:32" x14ac:dyDescent="0.2">
      <c r="A1332" s="1">
        <v>8162</v>
      </c>
      <c r="B1332" s="1" t="s">
        <v>4345</v>
      </c>
      <c r="C1332" s="5" t="s">
        <v>0</v>
      </c>
      <c r="D1332" s="1" t="s">
        <v>4346</v>
      </c>
      <c r="E1332" s="1" t="s">
        <v>4347</v>
      </c>
      <c r="F1332" s="1" t="s">
        <v>35</v>
      </c>
      <c r="G1332" s="1" t="s">
        <v>36</v>
      </c>
      <c r="H1332" s="1" t="s">
        <v>37</v>
      </c>
      <c r="I1332" s="1" t="s">
        <v>16</v>
      </c>
      <c r="J1332" s="1">
        <v>4</v>
      </c>
      <c r="K1332" s="1">
        <v>6</v>
      </c>
      <c r="L1332" s="1" t="s">
        <v>31</v>
      </c>
      <c r="M1332" s="1" t="s">
        <v>18</v>
      </c>
      <c r="N1332" s="1" t="s">
        <v>18</v>
      </c>
      <c r="O1332" s="1">
        <v>3</v>
      </c>
      <c r="P1332" s="1">
        <v>8</v>
      </c>
      <c r="Q1332" s="7" t="s">
        <v>17633</v>
      </c>
      <c r="R1332" s="1" t="s">
        <v>62</v>
      </c>
      <c r="S1332" s="1" t="s">
        <v>20</v>
      </c>
      <c r="T1332" s="1" t="s">
        <v>21</v>
      </c>
      <c r="U1332" s="1" t="s">
        <v>22</v>
      </c>
      <c r="V1332" s="1" t="s">
        <v>24</v>
      </c>
      <c r="W1332" s="1" t="s">
        <v>24</v>
      </c>
      <c r="X1332" s="1">
        <v>1312</v>
      </c>
      <c r="Y1332" s="1">
        <v>2404</v>
      </c>
      <c r="Z1332" s="1" t="s">
        <v>24</v>
      </c>
      <c r="AA1332" s="1" t="s">
        <v>24</v>
      </c>
      <c r="AB1332" s="1" t="s">
        <v>24</v>
      </c>
      <c r="AC1332" s="1" t="s">
        <v>24</v>
      </c>
      <c r="AD1332" s="1" t="s">
        <v>24</v>
      </c>
      <c r="AE1332" s="1" t="s">
        <v>24</v>
      </c>
      <c r="AF1332" s="22"/>
    </row>
    <row r="1333" spans="1:32" x14ac:dyDescent="0.2">
      <c r="A1333" s="1">
        <v>8166</v>
      </c>
      <c r="B1333" s="1" t="s">
        <v>4348</v>
      </c>
      <c r="C1333" s="5" t="s">
        <v>0</v>
      </c>
      <c r="D1333" s="1" t="s">
        <v>4349</v>
      </c>
      <c r="F1333" s="1" t="s">
        <v>4350</v>
      </c>
      <c r="G1333" s="1" t="s">
        <v>4350</v>
      </c>
      <c r="H1333" s="1" t="s">
        <v>4064</v>
      </c>
      <c r="I1333" s="1" t="s">
        <v>16</v>
      </c>
      <c r="J1333" s="1">
        <v>1</v>
      </c>
      <c r="K1333" s="1">
        <v>6</v>
      </c>
      <c r="L1333" s="1" t="s">
        <v>17</v>
      </c>
      <c r="M1333" s="1" t="s">
        <v>4065</v>
      </c>
      <c r="N1333" s="1" t="s">
        <v>18</v>
      </c>
      <c r="O1333" s="1">
        <v>2</v>
      </c>
      <c r="P1333" s="1">
        <v>5</v>
      </c>
      <c r="R1333" s="1" t="s">
        <v>19</v>
      </c>
      <c r="S1333" s="1" t="s">
        <v>20</v>
      </c>
      <c r="T1333" s="1" t="s">
        <v>21</v>
      </c>
      <c r="U1333" s="1" t="s">
        <v>22</v>
      </c>
      <c r="V1333" s="1" t="s">
        <v>24</v>
      </c>
      <c r="W1333" s="1" t="s">
        <v>24</v>
      </c>
      <c r="X1333" s="1">
        <v>2403</v>
      </c>
      <c r="Y1333" s="1" t="s">
        <v>24</v>
      </c>
      <c r="Z1333" s="1" t="s">
        <v>24</v>
      </c>
      <c r="AA1333" s="1" t="s">
        <v>24</v>
      </c>
      <c r="AB1333" s="1" t="s">
        <v>24</v>
      </c>
      <c r="AC1333" s="1" t="s">
        <v>24</v>
      </c>
      <c r="AD1333" s="1" t="s">
        <v>24</v>
      </c>
      <c r="AE1333" s="1" t="s">
        <v>24</v>
      </c>
      <c r="AF1333" s="22"/>
    </row>
    <row r="1334" spans="1:32" x14ac:dyDescent="0.2">
      <c r="A1334" s="1">
        <v>8167</v>
      </c>
      <c r="B1334" s="1" t="s">
        <v>4351</v>
      </c>
      <c r="C1334" s="5" t="s">
        <v>0</v>
      </c>
      <c r="D1334" s="1" t="s">
        <v>4352</v>
      </c>
      <c r="F1334" s="1" t="s">
        <v>4353</v>
      </c>
      <c r="G1334" s="1" t="s">
        <v>460</v>
      </c>
      <c r="H1334" s="1" t="s">
        <v>461</v>
      </c>
      <c r="I1334" s="1" t="s">
        <v>16</v>
      </c>
      <c r="J1334" s="1">
        <v>1</v>
      </c>
      <c r="K1334" s="1">
        <v>6</v>
      </c>
      <c r="L1334" s="1" t="s">
        <v>42</v>
      </c>
      <c r="M1334" s="1" t="s">
        <v>1735</v>
      </c>
      <c r="N1334" s="1" t="s">
        <v>18</v>
      </c>
      <c r="O1334" s="1">
        <v>2</v>
      </c>
      <c r="P1334" s="1">
        <v>5</v>
      </c>
      <c r="R1334" s="1" t="s">
        <v>19</v>
      </c>
      <c r="S1334" s="1" t="s">
        <v>20</v>
      </c>
      <c r="T1334" s="1" t="s">
        <v>21</v>
      </c>
      <c r="U1334" s="1" t="s">
        <v>22</v>
      </c>
      <c r="V1334" s="1" t="s">
        <v>24</v>
      </c>
      <c r="W1334" s="1" t="s">
        <v>24</v>
      </c>
      <c r="X1334" s="1">
        <v>2733</v>
      </c>
      <c r="Y1334" s="1">
        <v>2728</v>
      </c>
      <c r="Z1334" s="1" t="s">
        <v>24</v>
      </c>
      <c r="AA1334" s="1" t="s">
        <v>24</v>
      </c>
      <c r="AB1334" s="1" t="s">
        <v>24</v>
      </c>
      <c r="AC1334" s="1" t="s">
        <v>24</v>
      </c>
      <c r="AD1334" s="1" t="s">
        <v>24</v>
      </c>
      <c r="AE1334" s="1" t="s">
        <v>24</v>
      </c>
      <c r="AF1334" s="22"/>
    </row>
    <row r="1335" spans="1:32" x14ac:dyDescent="0.2">
      <c r="A1335" s="1">
        <v>8176</v>
      </c>
      <c r="B1335" s="1" t="s">
        <v>4354</v>
      </c>
      <c r="C1335" s="5" t="s">
        <v>0</v>
      </c>
      <c r="D1335" s="1" t="s">
        <v>4355</v>
      </c>
      <c r="E1335" s="1" t="s">
        <v>4356</v>
      </c>
      <c r="F1335" s="1" t="s">
        <v>3093</v>
      </c>
      <c r="G1335" s="1" t="s">
        <v>130</v>
      </c>
      <c r="H1335" s="1" t="s">
        <v>92</v>
      </c>
      <c r="I1335" s="1" t="s">
        <v>16</v>
      </c>
      <c r="J1335" s="1">
        <v>1</v>
      </c>
      <c r="K1335" s="1">
        <v>13</v>
      </c>
      <c r="L1335" s="1" t="s">
        <v>31</v>
      </c>
      <c r="M1335" s="1" t="s">
        <v>1646</v>
      </c>
      <c r="N1335" s="1" t="s">
        <v>4357</v>
      </c>
      <c r="O1335" s="1">
        <v>3</v>
      </c>
      <c r="P1335" s="1">
        <v>5</v>
      </c>
      <c r="R1335" s="1" t="s">
        <v>19</v>
      </c>
      <c r="S1335" s="1" t="s">
        <v>20</v>
      </c>
      <c r="T1335" s="1" t="s">
        <v>21</v>
      </c>
      <c r="U1335" s="1" t="s">
        <v>22</v>
      </c>
      <c r="V1335" s="1" t="s">
        <v>24</v>
      </c>
      <c r="W1335" s="1" t="s">
        <v>24</v>
      </c>
      <c r="X1335" s="1">
        <v>2714</v>
      </c>
      <c r="Y1335" s="1" t="s">
        <v>24</v>
      </c>
      <c r="Z1335" s="1" t="s">
        <v>24</v>
      </c>
      <c r="AA1335" s="1" t="s">
        <v>24</v>
      </c>
      <c r="AB1335" s="1" t="s">
        <v>24</v>
      </c>
      <c r="AC1335" s="1" t="s">
        <v>24</v>
      </c>
      <c r="AD1335" s="1" t="s">
        <v>24</v>
      </c>
      <c r="AE1335" s="1" t="s">
        <v>24</v>
      </c>
      <c r="AF1335" s="22"/>
    </row>
    <row r="1336" spans="1:32" x14ac:dyDescent="0.2">
      <c r="A1336" s="1">
        <v>8178</v>
      </c>
      <c r="B1336" s="1" t="s">
        <v>4358</v>
      </c>
      <c r="C1336" s="5" t="s">
        <v>0</v>
      </c>
      <c r="D1336" s="1" t="s">
        <v>4359</v>
      </c>
      <c r="E1336" s="1" t="s">
        <v>4360</v>
      </c>
      <c r="F1336" s="1" t="s">
        <v>28</v>
      </c>
      <c r="G1336" s="1" t="s">
        <v>29</v>
      </c>
      <c r="H1336" s="1" t="s">
        <v>30</v>
      </c>
      <c r="I1336" s="1" t="s">
        <v>16</v>
      </c>
      <c r="J1336" s="1">
        <v>1</v>
      </c>
      <c r="K1336" s="1">
        <v>12</v>
      </c>
      <c r="L1336" s="1" t="s">
        <v>31</v>
      </c>
      <c r="M1336" s="1" t="s">
        <v>18</v>
      </c>
      <c r="N1336" s="1" t="s">
        <v>18</v>
      </c>
      <c r="O1336" s="1">
        <v>3</v>
      </c>
      <c r="P1336" s="1">
        <v>7</v>
      </c>
      <c r="Q1336" s="7" t="s">
        <v>17633</v>
      </c>
      <c r="R1336" s="1" t="s">
        <v>62</v>
      </c>
      <c r="S1336" s="1" t="s">
        <v>20</v>
      </c>
      <c r="T1336" s="1" t="s">
        <v>21</v>
      </c>
      <c r="U1336" s="1" t="s">
        <v>22</v>
      </c>
      <c r="V1336" s="1" t="s">
        <v>24</v>
      </c>
      <c r="W1336" s="1" t="s">
        <v>24</v>
      </c>
      <c r="X1336" s="1">
        <v>2735</v>
      </c>
      <c r="Y1336" s="1">
        <v>2725</v>
      </c>
      <c r="Z1336" s="1">
        <v>2726</v>
      </c>
      <c r="AA1336" s="1" t="s">
        <v>24</v>
      </c>
      <c r="AB1336" s="1" t="s">
        <v>24</v>
      </c>
      <c r="AC1336" s="1" t="s">
        <v>24</v>
      </c>
      <c r="AD1336" s="1" t="s">
        <v>24</v>
      </c>
      <c r="AE1336" s="1" t="s">
        <v>24</v>
      </c>
      <c r="AF1336" s="22"/>
    </row>
    <row r="1337" spans="1:32" x14ac:dyDescent="0.2">
      <c r="A1337" s="1">
        <v>8179</v>
      </c>
      <c r="B1337" s="1" t="s">
        <v>4361</v>
      </c>
      <c r="C1337" s="5" t="s">
        <v>0</v>
      </c>
      <c r="D1337" s="1" t="s">
        <v>4362</v>
      </c>
      <c r="E1337" s="1" t="s">
        <v>4363</v>
      </c>
      <c r="F1337" s="1" t="s">
        <v>35</v>
      </c>
      <c r="G1337" s="1" t="s">
        <v>36</v>
      </c>
      <c r="H1337" s="1" t="s">
        <v>37</v>
      </c>
      <c r="I1337" s="1" t="s">
        <v>16</v>
      </c>
      <c r="J1337" s="1">
        <v>1</v>
      </c>
      <c r="K1337" s="1">
        <v>6</v>
      </c>
      <c r="L1337" s="1" t="s">
        <v>31</v>
      </c>
      <c r="M1337" s="1" t="s">
        <v>18</v>
      </c>
      <c r="N1337" s="1" t="s">
        <v>18</v>
      </c>
      <c r="O1337" s="1">
        <v>3</v>
      </c>
      <c r="P1337" s="1">
        <v>6</v>
      </c>
      <c r="R1337" s="1" t="s">
        <v>19</v>
      </c>
      <c r="S1337" s="1" t="s">
        <v>20</v>
      </c>
      <c r="T1337" s="1" t="s">
        <v>21</v>
      </c>
      <c r="U1337" s="1" t="s">
        <v>22</v>
      </c>
      <c r="V1337" s="1" t="s">
        <v>23</v>
      </c>
      <c r="W1337" s="1" t="s">
        <v>24</v>
      </c>
      <c r="X1337" s="1">
        <v>2736</v>
      </c>
      <c r="Y1337" s="1">
        <v>3004</v>
      </c>
      <c r="Z1337" s="1" t="s">
        <v>24</v>
      </c>
      <c r="AA1337" s="1" t="s">
        <v>24</v>
      </c>
      <c r="AB1337" s="1" t="s">
        <v>24</v>
      </c>
      <c r="AC1337" s="1" t="s">
        <v>24</v>
      </c>
      <c r="AD1337" s="1" t="s">
        <v>24</v>
      </c>
      <c r="AE1337" s="1" t="s">
        <v>24</v>
      </c>
      <c r="AF1337" s="22"/>
    </row>
    <row r="1338" spans="1:32" x14ac:dyDescent="0.2">
      <c r="A1338" s="1">
        <v>8192</v>
      </c>
      <c r="B1338" s="1" t="s">
        <v>4364</v>
      </c>
      <c r="C1338" s="5" t="s">
        <v>0</v>
      </c>
      <c r="D1338" s="1" t="s">
        <v>4365</v>
      </c>
      <c r="E1338" s="1" t="s">
        <v>4366</v>
      </c>
      <c r="F1338" s="1" t="s">
        <v>55</v>
      </c>
      <c r="G1338" s="1" t="s">
        <v>56</v>
      </c>
      <c r="H1338" s="1" t="s">
        <v>37</v>
      </c>
      <c r="I1338" s="1" t="s">
        <v>16</v>
      </c>
      <c r="J1338" s="1">
        <v>1</v>
      </c>
      <c r="K1338" s="1">
        <v>12</v>
      </c>
      <c r="L1338" s="1" t="s">
        <v>31</v>
      </c>
      <c r="M1338" s="1" t="s">
        <v>18</v>
      </c>
      <c r="N1338" s="1" t="s">
        <v>18</v>
      </c>
      <c r="O1338" s="1">
        <v>3</v>
      </c>
      <c r="P1338" s="1">
        <v>8</v>
      </c>
      <c r="Q1338" s="7" t="s">
        <v>17633</v>
      </c>
      <c r="R1338" s="1" t="s">
        <v>62</v>
      </c>
      <c r="S1338" s="1" t="s">
        <v>20</v>
      </c>
      <c r="T1338" s="1" t="s">
        <v>21</v>
      </c>
      <c r="U1338" s="1" t="s">
        <v>22</v>
      </c>
      <c r="V1338" s="1" t="s">
        <v>24</v>
      </c>
      <c r="W1338" s="1" t="s">
        <v>24</v>
      </c>
      <c r="X1338" s="1">
        <v>2403</v>
      </c>
      <c r="Y1338" s="1" t="s">
        <v>24</v>
      </c>
      <c r="Z1338" s="1" t="s">
        <v>24</v>
      </c>
      <c r="AA1338" s="1" t="s">
        <v>24</v>
      </c>
      <c r="AB1338" s="1" t="s">
        <v>24</v>
      </c>
      <c r="AC1338" s="1" t="s">
        <v>24</v>
      </c>
      <c r="AD1338" s="1" t="s">
        <v>24</v>
      </c>
      <c r="AE1338" s="1" t="s">
        <v>24</v>
      </c>
      <c r="AF1338" s="22"/>
    </row>
    <row r="1339" spans="1:32" x14ac:dyDescent="0.2">
      <c r="A1339" s="1">
        <v>8195</v>
      </c>
      <c r="B1339" s="1" t="s">
        <v>4367</v>
      </c>
      <c r="C1339" s="5" t="s">
        <v>0</v>
      </c>
      <c r="D1339" s="1" t="s">
        <v>4368</v>
      </c>
      <c r="E1339" s="1" t="s">
        <v>4369</v>
      </c>
      <c r="F1339" s="1" t="s">
        <v>536</v>
      </c>
      <c r="G1339" s="1" t="s">
        <v>536</v>
      </c>
      <c r="H1339" s="1" t="s">
        <v>445</v>
      </c>
      <c r="I1339" s="1" t="s">
        <v>16</v>
      </c>
      <c r="J1339" s="1">
        <v>1</v>
      </c>
      <c r="K1339" s="1">
        <v>6</v>
      </c>
      <c r="L1339" s="1" t="s">
        <v>42</v>
      </c>
      <c r="M1339" s="1" t="s">
        <v>18</v>
      </c>
      <c r="N1339" s="1" t="s">
        <v>18</v>
      </c>
      <c r="O1339" s="1">
        <v>3</v>
      </c>
      <c r="P1339" s="1">
        <v>6</v>
      </c>
      <c r="R1339" s="1" t="s">
        <v>19</v>
      </c>
      <c r="S1339" s="1" t="s">
        <v>20</v>
      </c>
      <c r="T1339" s="1" t="s">
        <v>21</v>
      </c>
      <c r="U1339" s="1" t="s">
        <v>22</v>
      </c>
      <c r="V1339" s="1" t="s">
        <v>24</v>
      </c>
      <c r="W1339" s="1" t="s">
        <v>24</v>
      </c>
      <c r="X1339" s="1">
        <v>1300</v>
      </c>
      <c r="Y1339" s="1">
        <v>3004</v>
      </c>
      <c r="Z1339" s="1" t="s">
        <v>24</v>
      </c>
      <c r="AA1339" s="1" t="s">
        <v>24</v>
      </c>
      <c r="AB1339" s="1" t="s">
        <v>24</v>
      </c>
      <c r="AC1339" s="1" t="s">
        <v>24</v>
      </c>
      <c r="AD1339" s="1" t="s">
        <v>24</v>
      </c>
      <c r="AE1339" s="1" t="s">
        <v>24</v>
      </c>
      <c r="AF1339" s="22"/>
    </row>
    <row r="1340" spans="1:32" x14ac:dyDescent="0.2">
      <c r="A1340" s="1">
        <v>8200</v>
      </c>
      <c r="B1340" s="1" t="s">
        <v>4370</v>
      </c>
      <c r="C1340" s="5" t="s">
        <v>0</v>
      </c>
      <c r="D1340" s="1" t="s">
        <v>4371</v>
      </c>
      <c r="E1340" s="1" t="s">
        <v>4372</v>
      </c>
      <c r="F1340" s="1" t="s">
        <v>291</v>
      </c>
      <c r="G1340" s="1" t="s">
        <v>292</v>
      </c>
      <c r="H1340" s="1" t="s">
        <v>168</v>
      </c>
      <c r="I1340" s="1" t="s">
        <v>16</v>
      </c>
      <c r="J1340" s="1">
        <v>1</v>
      </c>
      <c r="K1340" s="1">
        <v>4</v>
      </c>
      <c r="L1340" s="1" t="s">
        <v>31</v>
      </c>
      <c r="M1340" s="1" t="s">
        <v>18</v>
      </c>
      <c r="N1340" s="1" t="s">
        <v>18</v>
      </c>
      <c r="O1340" s="1">
        <v>3</v>
      </c>
      <c r="P1340" s="1">
        <v>6</v>
      </c>
      <c r="R1340" s="1" t="s">
        <v>19</v>
      </c>
      <c r="S1340" s="1" t="s">
        <v>20</v>
      </c>
      <c r="T1340" s="1" t="s">
        <v>21</v>
      </c>
      <c r="U1340" s="1" t="s">
        <v>22</v>
      </c>
      <c r="V1340" s="1" t="s">
        <v>23</v>
      </c>
      <c r="W1340" s="1" t="s">
        <v>24</v>
      </c>
      <c r="X1340" s="1">
        <v>3612</v>
      </c>
      <c r="Y1340" s="1" t="s">
        <v>24</v>
      </c>
      <c r="Z1340" s="1" t="s">
        <v>24</v>
      </c>
      <c r="AA1340" s="1" t="s">
        <v>24</v>
      </c>
      <c r="AB1340" s="1" t="s">
        <v>24</v>
      </c>
      <c r="AC1340" s="1" t="s">
        <v>24</v>
      </c>
      <c r="AD1340" s="1" t="s">
        <v>24</v>
      </c>
      <c r="AE1340" s="1" t="s">
        <v>24</v>
      </c>
      <c r="AF1340" s="22" t="s">
        <v>17670</v>
      </c>
    </row>
    <row r="1341" spans="1:32" x14ac:dyDescent="0.2">
      <c r="A1341" s="1">
        <v>8205</v>
      </c>
      <c r="B1341" s="1" t="s">
        <v>4373</v>
      </c>
      <c r="C1341" s="5" t="s">
        <v>0</v>
      </c>
      <c r="D1341" s="1" t="s">
        <v>4374</v>
      </c>
      <c r="E1341" s="1" t="s">
        <v>4375</v>
      </c>
      <c r="F1341" s="1" t="s">
        <v>272</v>
      </c>
      <c r="G1341" s="1" t="s">
        <v>61</v>
      </c>
      <c r="H1341" s="1" t="s">
        <v>30</v>
      </c>
      <c r="I1341" s="1" t="s">
        <v>16</v>
      </c>
      <c r="J1341" s="1">
        <v>1</v>
      </c>
      <c r="K1341" s="1">
        <v>4</v>
      </c>
      <c r="L1341" s="1" t="s">
        <v>31</v>
      </c>
      <c r="M1341" s="1" t="s">
        <v>18</v>
      </c>
      <c r="N1341" s="1" t="s">
        <v>18</v>
      </c>
      <c r="O1341" s="1">
        <v>3</v>
      </c>
      <c r="P1341" s="1">
        <v>6</v>
      </c>
      <c r="R1341" s="1" t="s">
        <v>19</v>
      </c>
      <c r="S1341" s="1" t="s">
        <v>20</v>
      </c>
      <c r="T1341" s="1" t="s">
        <v>21</v>
      </c>
      <c r="U1341" s="1" t="s">
        <v>22</v>
      </c>
      <c r="V1341" s="1" t="s">
        <v>23</v>
      </c>
      <c r="W1341" s="1" t="s">
        <v>24</v>
      </c>
      <c r="X1341" s="1">
        <v>3310</v>
      </c>
      <c r="Y1341" s="1">
        <v>3616</v>
      </c>
      <c r="Z1341" s="1">
        <v>2805</v>
      </c>
      <c r="AA1341" s="1">
        <v>3205</v>
      </c>
      <c r="AB1341" s="1">
        <v>2912</v>
      </c>
      <c r="AC1341" s="1">
        <v>1203</v>
      </c>
      <c r="AD1341" s="1" t="s">
        <v>24</v>
      </c>
      <c r="AE1341" s="1" t="s">
        <v>24</v>
      </c>
      <c r="AF1341" s="22"/>
    </row>
    <row r="1342" spans="1:32" x14ac:dyDescent="0.2">
      <c r="A1342" s="1">
        <v>8211</v>
      </c>
      <c r="B1342" s="1" t="s">
        <v>4376</v>
      </c>
      <c r="C1342" s="5" t="s">
        <v>0</v>
      </c>
      <c r="D1342" s="1" t="s">
        <v>4377</v>
      </c>
      <c r="E1342" s="1" t="s">
        <v>4378</v>
      </c>
      <c r="F1342" s="1" t="s">
        <v>291</v>
      </c>
      <c r="G1342" s="1" t="s">
        <v>292</v>
      </c>
      <c r="H1342" s="1" t="s">
        <v>30</v>
      </c>
      <c r="I1342" s="1" t="s">
        <v>16</v>
      </c>
      <c r="J1342" s="1">
        <v>1</v>
      </c>
      <c r="K1342" s="1">
        <v>6</v>
      </c>
      <c r="L1342" s="1" t="s">
        <v>31</v>
      </c>
      <c r="M1342" s="1" t="s">
        <v>18</v>
      </c>
      <c r="N1342" s="1" t="s">
        <v>18</v>
      </c>
      <c r="O1342" s="1">
        <v>3</v>
      </c>
      <c r="P1342" s="1">
        <v>6</v>
      </c>
      <c r="R1342" s="1" t="s">
        <v>19</v>
      </c>
      <c r="S1342" s="1" t="s">
        <v>20</v>
      </c>
      <c r="T1342" s="1" t="s">
        <v>21</v>
      </c>
      <c r="U1342" s="1" t="s">
        <v>22</v>
      </c>
      <c r="V1342" s="1" t="s">
        <v>24</v>
      </c>
      <c r="W1342" s="1" t="s">
        <v>24</v>
      </c>
      <c r="X1342" s="1">
        <v>1305</v>
      </c>
      <c r="Y1342" s="1">
        <v>2204</v>
      </c>
      <c r="Z1342" s="1">
        <v>2701</v>
      </c>
      <c r="AA1342" s="1">
        <v>3003</v>
      </c>
      <c r="AB1342" s="1" t="s">
        <v>24</v>
      </c>
      <c r="AC1342" s="1" t="s">
        <v>24</v>
      </c>
      <c r="AD1342" s="1" t="s">
        <v>24</v>
      </c>
      <c r="AE1342" s="1" t="s">
        <v>24</v>
      </c>
      <c r="AF1342" s="22"/>
    </row>
    <row r="1343" spans="1:32" x14ac:dyDescent="0.2">
      <c r="A1343" s="1">
        <v>8214</v>
      </c>
      <c r="B1343" s="1" t="s">
        <v>4379</v>
      </c>
      <c r="C1343" s="5" t="s">
        <v>0</v>
      </c>
      <c r="D1343" s="1" t="s">
        <v>4380</v>
      </c>
      <c r="E1343" s="1" t="s">
        <v>4381</v>
      </c>
      <c r="F1343" s="1" t="s">
        <v>28</v>
      </c>
      <c r="G1343" s="1" t="s">
        <v>29</v>
      </c>
      <c r="H1343" s="1" t="s">
        <v>30</v>
      </c>
      <c r="I1343" s="1" t="s">
        <v>16</v>
      </c>
      <c r="J1343" s="1">
        <v>1</v>
      </c>
      <c r="K1343" s="1">
        <v>6</v>
      </c>
      <c r="L1343" s="1" t="s">
        <v>31</v>
      </c>
      <c r="M1343" s="1" t="s">
        <v>18</v>
      </c>
      <c r="N1343" s="1" t="s">
        <v>18</v>
      </c>
      <c r="O1343" s="1">
        <v>3</v>
      </c>
      <c r="P1343" s="1">
        <v>7</v>
      </c>
      <c r="Q1343" s="7" t="s">
        <v>17633</v>
      </c>
      <c r="R1343" s="1" t="s">
        <v>19</v>
      </c>
      <c r="S1343" s="1" t="s">
        <v>20</v>
      </c>
      <c r="T1343" s="1" t="s">
        <v>21</v>
      </c>
      <c r="U1343" s="1" t="s">
        <v>22</v>
      </c>
      <c r="V1343" s="1" t="s">
        <v>23</v>
      </c>
      <c r="W1343" s="1" t="s">
        <v>24</v>
      </c>
      <c r="X1343" s="1">
        <v>2705</v>
      </c>
      <c r="Y1343" s="1" t="s">
        <v>24</v>
      </c>
      <c r="Z1343" s="1" t="s">
        <v>24</v>
      </c>
      <c r="AA1343" s="1" t="s">
        <v>24</v>
      </c>
      <c r="AB1343" s="1" t="s">
        <v>24</v>
      </c>
      <c r="AC1343" s="1" t="s">
        <v>24</v>
      </c>
      <c r="AD1343" s="1" t="s">
        <v>24</v>
      </c>
      <c r="AE1343" s="1" t="s">
        <v>24</v>
      </c>
      <c r="AF1343" s="22"/>
    </row>
    <row r="1344" spans="1:32" x14ac:dyDescent="0.2">
      <c r="A1344" s="1">
        <v>8216</v>
      </c>
      <c r="B1344" s="1" t="s">
        <v>4382</v>
      </c>
      <c r="C1344" s="5" t="s">
        <v>0</v>
      </c>
      <c r="D1344" s="1" t="s">
        <v>4383</v>
      </c>
      <c r="E1344" s="1" t="s">
        <v>4384</v>
      </c>
      <c r="F1344" s="1" t="s">
        <v>291</v>
      </c>
      <c r="G1344" s="1" t="s">
        <v>292</v>
      </c>
      <c r="H1344" s="1" t="s">
        <v>37</v>
      </c>
      <c r="I1344" s="1" t="s">
        <v>16</v>
      </c>
      <c r="J1344" s="1">
        <v>1</v>
      </c>
      <c r="K1344" s="1">
        <v>6</v>
      </c>
      <c r="L1344" s="1" t="s">
        <v>31</v>
      </c>
      <c r="M1344" s="1" t="s">
        <v>18</v>
      </c>
      <c r="N1344" s="1" t="s">
        <v>18</v>
      </c>
      <c r="O1344" s="1">
        <v>3</v>
      </c>
      <c r="P1344" s="1">
        <v>7</v>
      </c>
      <c r="Q1344" s="7" t="s">
        <v>17633</v>
      </c>
      <c r="R1344" s="1" t="s">
        <v>19</v>
      </c>
      <c r="S1344" s="1" t="s">
        <v>20</v>
      </c>
      <c r="T1344" s="1" t="s">
        <v>21</v>
      </c>
      <c r="U1344" s="1" t="s">
        <v>22</v>
      </c>
      <c r="V1344" s="1" t="s">
        <v>24</v>
      </c>
      <c r="W1344" s="1" t="s">
        <v>24</v>
      </c>
      <c r="X1344" s="1">
        <v>2403</v>
      </c>
      <c r="Y1344" s="1">
        <v>2723</v>
      </c>
      <c r="Z1344" s="1" t="s">
        <v>24</v>
      </c>
      <c r="AA1344" s="1" t="s">
        <v>24</v>
      </c>
      <c r="AB1344" s="1" t="s">
        <v>24</v>
      </c>
      <c r="AC1344" s="1" t="s">
        <v>24</v>
      </c>
      <c r="AD1344" s="1" t="s">
        <v>24</v>
      </c>
      <c r="AE1344" s="1" t="s">
        <v>24</v>
      </c>
      <c r="AF1344" s="22"/>
    </row>
    <row r="1345" spans="1:32" x14ac:dyDescent="0.2">
      <c r="A1345" s="1">
        <v>8243</v>
      </c>
      <c r="B1345" s="1" t="s">
        <v>4385</v>
      </c>
      <c r="C1345" s="5" t="s">
        <v>0</v>
      </c>
      <c r="D1345" s="1" t="s">
        <v>4386</v>
      </c>
      <c r="E1345" s="1" t="s">
        <v>4387</v>
      </c>
      <c r="F1345" s="1" t="s">
        <v>175</v>
      </c>
      <c r="G1345" s="1" t="s">
        <v>61</v>
      </c>
      <c r="H1345" s="1" t="s">
        <v>116</v>
      </c>
      <c r="I1345" s="1" t="s">
        <v>16</v>
      </c>
      <c r="J1345" s="1">
        <v>1</v>
      </c>
      <c r="K1345" s="1">
        <v>10</v>
      </c>
      <c r="L1345" s="1" t="s">
        <v>31</v>
      </c>
      <c r="M1345" s="1" t="s">
        <v>117</v>
      </c>
      <c r="N1345" s="1" t="s">
        <v>117</v>
      </c>
      <c r="O1345" s="1">
        <v>1</v>
      </c>
      <c r="P1345" s="1">
        <v>4</v>
      </c>
      <c r="R1345" s="1" t="s">
        <v>19</v>
      </c>
      <c r="S1345" s="1" t="s">
        <v>20</v>
      </c>
      <c r="T1345" s="1" t="s">
        <v>21</v>
      </c>
      <c r="U1345" s="1" t="s">
        <v>22</v>
      </c>
      <c r="V1345" s="1" t="s">
        <v>24</v>
      </c>
      <c r="W1345" s="1" t="s">
        <v>24</v>
      </c>
      <c r="X1345" s="1">
        <v>2726</v>
      </c>
      <c r="Y1345" s="1" t="s">
        <v>24</v>
      </c>
      <c r="Z1345" s="1" t="s">
        <v>24</v>
      </c>
      <c r="AA1345" s="1" t="s">
        <v>24</v>
      </c>
      <c r="AB1345" s="1" t="s">
        <v>24</v>
      </c>
      <c r="AC1345" s="1" t="s">
        <v>24</v>
      </c>
      <c r="AD1345" s="1" t="s">
        <v>24</v>
      </c>
      <c r="AE1345" s="1" t="s">
        <v>24</v>
      </c>
      <c r="AF1345" s="22"/>
    </row>
    <row r="1346" spans="1:32" x14ac:dyDescent="0.2">
      <c r="A1346" s="1">
        <v>8248</v>
      </c>
      <c r="B1346" s="1" t="s">
        <v>4388</v>
      </c>
      <c r="C1346" s="5" t="s">
        <v>0</v>
      </c>
      <c r="D1346" s="1" t="s">
        <v>4389</v>
      </c>
      <c r="E1346" s="1" t="s">
        <v>4390</v>
      </c>
      <c r="F1346" s="1" t="s">
        <v>190</v>
      </c>
      <c r="G1346" s="1" t="s">
        <v>130</v>
      </c>
      <c r="H1346" s="1" t="s">
        <v>30</v>
      </c>
      <c r="I1346" s="1" t="s">
        <v>16</v>
      </c>
      <c r="J1346" s="1">
        <v>1</v>
      </c>
      <c r="K1346" s="1">
        <v>4</v>
      </c>
      <c r="L1346" s="1" t="s">
        <v>31</v>
      </c>
      <c r="M1346" s="1" t="s">
        <v>18</v>
      </c>
      <c r="N1346" s="1" t="s">
        <v>18</v>
      </c>
      <c r="O1346" s="1">
        <v>3</v>
      </c>
      <c r="P1346" s="1">
        <v>7</v>
      </c>
      <c r="Q1346" s="7" t="s">
        <v>17633</v>
      </c>
      <c r="R1346" s="1" t="s">
        <v>19</v>
      </c>
      <c r="S1346" s="1" t="s">
        <v>20</v>
      </c>
      <c r="T1346" s="1" t="s">
        <v>21</v>
      </c>
      <c r="U1346" s="1" t="s">
        <v>22</v>
      </c>
      <c r="V1346" s="1" t="s">
        <v>23</v>
      </c>
      <c r="W1346" s="1" t="s">
        <v>24</v>
      </c>
      <c r="X1346" s="1">
        <v>2733</v>
      </c>
      <c r="Y1346" s="1">
        <v>2715</v>
      </c>
      <c r="Z1346" s="1">
        <v>3616</v>
      </c>
      <c r="AA1346" s="1" t="s">
        <v>24</v>
      </c>
      <c r="AB1346" s="1" t="s">
        <v>24</v>
      </c>
      <c r="AC1346" s="1" t="s">
        <v>24</v>
      </c>
      <c r="AD1346" s="1" t="s">
        <v>24</v>
      </c>
      <c r="AE1346" s="1" t="s">
        <v>24</v>
      </c>
      <c r="AF1346" s="22"/>
    </row>
    <row r="1347" spans="1:32" x14ac:dyDescent="0.2">
      <c r="A1347" s="1">
        <v>8286</v>
      </c>
      <c r="B1347" s="1" t="s">
        <v>4391</v>
      </c>
      <c r="C1347" s="5" t="s">
        <v>0</v>
      </c>
      <c r="D1347" s="1" t="s">
        <v>4392</v>
      </c>
      <c r="E1347" s="1" t="s">
        <v>4393</v>
      </c>
      <c r="F1347" s="1" t="s">
        <v>28</v>
      </c>
      <c r="G1347" s="1" t="s">
        <v>29</v>
      </c>
      <c r="H1347" s="1" t="s">
        <v>30</v>
      </c>
      <c r="I1347" s="1" t="s">
        <v>16</v>
      </c>
      <c r="J1347" s="1">
        <v>1</v>
      </c>
      <c r="K1347" s="1">
        <v>4</v>
      </c>
      <c r="L1347" s="1" t="s">
        <v>31</v>
      </c>
      <c r="M1347" s="1" t="s">
        <v>18</v>
      </c>
      <c r="N1347" s="1" t="s">
        <v>18</v>
      </c>
      <c r="O1347" s="1">
        <v>3</v>
      </c>
      <c r="P1347" s="1">
        <v>6</v>
      </c>
      <c r="R1347" s="1" t="s">
        <v>19</v>
      </c>
      <c r="S1347" s="1" t="s">
        <v>20</v>
      </c>
      <c r="T1347" s="1" t="s">
        <v>21</v>
      </c>
      <c r="U1347" s="1" t="s">
        <v>22</v>
      </c>
      <c r="V1347" s="1" t="s">
        <v>23</v>
      </c>
      <c r="W1347" s="1" t="s">
        <v>24</v>
      </c>
      <c r="X1347" s="1">
        <v>2906</v>
      </c>
      <c r="Y1347" s="1" t="s">
        <v>24</v>
      </c>
      <c r="Z1347" s="1" t="s">
        <v>24</v>
      </c>
      <c r="AA1347" s="1" t="s">
        <v>24</v>
      </c>
      <c r="AB1347" s="1" t="s">
        <v>24</v>
      </c>
      <c r="AC1347" s="1" t="s">
        <v>24</v>
      </c>
      <c r="AD1347" s="1" t="s">
        <v>24</v>
      </c>
      <c r="AE1347" s="1" t="s">
        <v>24</v>
      </c>
      <c r="AF1347" s="22"/>
    </row>
    <row r="1348" spans="1:32" x14ac:dyDescent="0.2">
      <c r="A1348" s="1">
        <v>8288</v>
      </c>
      <c r="B1348" s="1" t="s">
        <v>4394</v>
      </c>
      <c r="C1348" s="5" t="s">
        <v>0</v>
      </c>
      <c r="D1348" s="1" t="s">
        <v>4395</v>
      </c>
      <c r="E1348" s="1" t="s">
        <v>4396</v>
      </c>
      <c r="F1348" s="1" t="s">
        <v>35</v>
      </c>
      <c r="G1348" s="1" t="s">
        <v>36</v>
      </c>
      <c r="H1348" s="1" t="s">
        <v>37</v>
      </c>
      <c r="I1348" s="1" t="s">
        <v>16</v>
      </c>
      <c r="J1348" s="1">
        <v>2</v>
      </c>
      <c r="K1348" s="1">
        <v>6</v>
      </c>
      <c r="L1348" s="1" t="s">
        <v>31</v>
      </c>
      <c r="M1348" s="1" t="s">
        <v>18</v>
      </c>
      <c r="N1348" s="1" t="s">
        <v>18</v>
      </c>
      <c r="O1348" s="1">
        <v>3</v>
      </c>
      <c r="P1348" s="1">
        <v>7</v>
      </c>
      <c r="Q1348" s="7" t="s">
        <v>17633</v>
      </c>
      <c r="R1348" s="1" t="s">
        <v>19</v>
      </c>
      <c r="S1348" s="1" t="s">
        <v>20</v>
      </c>
      <c r="T1348" s="1" t="s">
        <v>21</v>
      </c>
      <c r="U1348" s="1" t="s">
        <v>22</v>
      </c>
      <c r="V1348" s="1" t="s">
        <v>24</v>
      </c>
      <c r="W1348" s="1" t="s">
        <v>24</v>
      </c>
      <c r="X1348" s="1">
        <v>2720</v>
      </c>
      <c r="Y1348" s="1" t="s">
        <v>24</v>
      </c>
      <c r="Z1348" s="1" t="s">
        <v>24</v>
      </c>
      <c r="AA1348" s="1" t="s">
        <v>24</v>
      </c>
      <c r="AB1348" s="1" t="s">
        <v>24</v>
      </c>
      <c r="AC1348" s="1" t="s">
        <v>24</v>
      </c>
      <c r="AD1348" s="1" t="s">
        <v>24</v>
      </c>
      <c r="AE1348" s="1" t="s">
        <v>24</v>
      </c>
      <c r="AF1348" s="22"/>
    </row>
    <row r="1349" spans="1:32" x14ac:dyDescent="0.2">
      <c r="A1349" s="1">
        <v>8289</v>
      </c>
      <c r="B1349" s="1" t="s">
        <v>4397</v>
      </c>
      <c r="C1349" s="5" t="s">
        <v>0</v>
      </c>
      <c r="D1349" s="1" t="s">
        <v>4398</v>
      </c>
      <c r="E1349" s="1" t="s">
        <v>4399</v>
      </c>
      <c r="F1349" s="1" t="s">
        <v>315</v>
      </c>
      <c r="G1349" s="1" t="s">
        <v>316</v>
      </c>
      <c r="H1349" s="1" t="s">
        <v>37</v>
      </c>
      <c r="I1349" s="1" t="s">
        <v>16</v>
      </c>
      <c r="J1349" s="1">
        <v>1</v>
      </c>
      <c r="K1349" s="1">
        <v>12</v>
      </c>
      <c r="L1349" s="1" t="s">
        <v>31</v>
      </c>
      <c r="M1349" s="1" t="s">
        <v>18</v>
      </c>
      <c r="N1349" s="1" t="s">
        <v>18</v>
      </c>
      <c r="O1349" s="1">
        <v>3</v>
      </c>
      <c r="P1349" s="1">
        <v>6</v>
      </c>
      <c r="R1349" s="1" t="s">
        <v>19</v>
      </c>
      <c r="S1349" s="1" t="s">
        <v>20</v>
      </c>
      <c r="T1349" s="1" t="s">
        <v>21</v>
      </c>
      <c r="U1349" s="1" t="s">
        <v>22</v>
      </c>
      <c r="V1349" s="1" t="s">
        <v>23</v>
      </c>
      <c r="W1349" s="1" t="s">
        <v>24</v>
      </c>
      <c r="X1349" s="1">
        <v>2731</v>
      </c>
      <c r="Y1349" s="1" t="s">
        <v>24</v>
      </c>
      <c r="Z1349" s="1" t="s">
        <v>24</v>
      </c>
      <c r="AA1349" s="1" t="s">
        <v>24</v>
      </c>
      <c r="AB1349" s="1" t="s">
        <v>24</v>
      </c>
      <c r="AC1349" s="1" t="s">
        <v>24</v>
      </c>
      <c r="AD1349" s="1" t="s">
        <v>24</v>
      </c>
      <c r="AE1349" s="1" t="s">
        <v>24</v>
      </c>
      <c r="AF1349" s="22"/>
    </row>
    <row r="1350" spans="1:32" x14ac:dyDescent="0.2">
      <c r="A1350" s="1">
        <v>8290</v>
      </c>
      <c r="B1350" s="1" t="s">
        <v>4400</v>
      </c>
      <c r="C1350" s="5" t="s">
        <v>0</v>
      </c>
      <c r="D1350" s="1" t="s">
        <v>4401</v>
      </c>
      <c r="E1350" s="1" t="s">
        <v>4402</v>
      </c>
      <c r="F1350" s="1" t="s">
        <v>831</v>
      </c>
      <c r="G1350" s="1" t="s">
        <v>61</v>
      </c>
      <c r="H1350" s="1" t="s">
        <v>37</v>
      </c>
      <c r="I1350" s="1" t="s">
        <v>16</v>
      </c>
      <c r="J1350" s="1">
        <v>1</v>
      </c>
      <c r="K1350" s="1">
        <v>8</v>
      </c>
      <c r="L1350" s="1" t="s">
        <v>31</v>
      </c>
      <c r="M1350" s="1" t="s">
        <v>18</v>
      </c>
      <c r="N1350" s="1" t="s">
        <v>18</v>
      </c>
      <c r="O1350" s="1">
        <v>3</v>
      </c>
      <c r="P1350" s="1">
        <v>6</v>
      </c>
      <c r="R1350" s="1" t="s">
        <v>19</v>
      </c>
      <c r="S1350" s="1" t="s">
        <v>20</v>
      </c>
      <c r="T1350" s="1" t="s">
        <v>21</v>
      </c>
      <c r="U1350" s="1" t="s">
        <v>22</v>
      </c>
      <c r="V1350" s="1" t="s">
        <v>24</v>
      </c>
      <c r="W1350" s="1" t="s">
        <v>24</v>
      </c>
      <c r="X1350" s="1">
        <v>3504</v>
      </c>
      <c r="Y1350" s="1">
        <v>2733</v>
      </c>
      <c r="Z1350" s="1">
        <v>2746</v>
      </c>
      <c r="AA1350" s="1" t="s">
        <v>24</v>
      </c>
      <c r="AB1350" s="1" t="s">
        <v>24</v>
      </c>
      <c r="AC1350" s="1" t="s">
        <v>24</v>
      </c>
      <c r="AD1350" s="1" t="s">
        <v>24</v>
      </c>
      <c r="AE1350" s="1" t="s">
        <v>24</v>
      </c>
      <c r="AF1350" s="22"/>
    </row>
    <row r="1351" spans="1:32" x14ac:dyDescent="0.2">
      <c r="A1351" s="1">
        <v>8293</v>
      </c>
      <c r="B1351" s="1" t="s">
        <v>4403</v>
      </c>
      <c r="C1351" s="5" t="s">
        <v>0</v>
      </c>
      <c r="D1351" s="1" t="s">
        <v>4404</v>
      </c>
      <c r="E1351" s="1" t="s">
        <v>4405</v>
      </c>
      <c r="F1351" s="1" t="s">
        <v>724</v>
      </c>
      <c r="G1351" s="1" t="s">
        <v>725</v>
      </c>
      <c r="H1351" s="1" t="s">
        <v>37</v>
      </c>
      <c r="I1351" s="1" t="s">
        <v>16</v>
      </c>
      <c r="J1351" s="1">
        <v>1</v>
      </c>
      <c r="K1351" s="1">
        <v>12</v>
      </c>
      <c r="L1351" s="1" t="s">
        <v>31</v>
      </c>
      <c r="M1351" s="1" t="s">
        <v>18</v>
      </c>
      <c r="N1351" s="1" t="s">
        <v>18</v>
      </c>
      <c r="O1351" s="1">
        <v>3</v>
      </c>
      <c r="P1351" s="1">
        <v>6</v>
      </c>
      <c r="R1351" s="1" t="s">
        <v>19</v>
      </c>
      <c r="S1351" s="1" t="s">
        <v>20</v>
      </c>
      <c r="T1351" s="1" t="s">
        <v>21</v>
      </c>
      <c r="U1351" s="1" t="s">
        <v>22</v>
      </c>
      <c r="V1351" s="1" t="s">
        <v>24</v>
      </c>
      <c r="W1351" s="1" t="s">
        <v>24</v>
      </c>
      <c r="X1351" s="1">
        <v>2725</v>
      </c>
      <c r="Y1351" s="1">
        <v>2713</v>
      </c>
      <c r="Z1351" s="1" t="s">
        <v>24</v>
      </c>
      <c r="AA1351" s="1" t="s">
        <v>24</v>
      </c>
      <c r="AB1351" s="1" t="s">
        <v>24</v>
      </c>
      <c r="AC1351" s="1" t="s">
        <v>24</v>
      </c>
      <c r="AD1351" s="1" t="s">
        <v>24</v>
      </c>
      <c r="AE1351" s="1" t="s">
        <v>24</v>
      </c>
      <c r="AF1351" s="22"/>
    </row>
    <row r="1352" spans="1:32" x14ac:dyDescent="0.2">
      <c r="A1352" s="1">
        <v>8296</v>
      </c>
      <c r="B1352" s="1" t="s">
        <v>4406</v>
      </c>
      <c r="C1352" s="5" t="s">
        <v>0</v>
      </c>
      <c r="D1352" s="1" t="s">
        <v>4407</v>
      </c>
      <c r="E1352" s="1" t="s">
        <v>4408</v>
      </c>
      <c r="F1352" s="1" t="s">
        <v>91</v>
      </c>
      <c r="G1352" s="1" t="s">
        <v>61</v>
      </c>
      <c r="H1352" s="1" t="s">
        <v>92</v>
      </c>
      <c r="I1352" s="1" t="s">
        <v>16</v>
      </c>
      <c r="J1352" s="1">
        <v>1</v>
      </c>
      <c r="K1352" s="1">
        <v>15</v>
      </c>
      <c r="L1352" s="1" t="s">
        <v>31</v>
      </c>
      <c r="M1352" s="1" t="s">
        <v>18</v>
      </c>
      <c r="N1352" s="1" t="s">
        <v>18</v>
      </c>
      <c r="O1352" s="1">
        <v>3</v>
      </c>
      <c r="P1352" s="1">
        <v>7</v>
      </c>
      <c r="Q1352" s="7" t="s">
        <v>17633</v>
      </c>
      <c r="R1352" s="1" t="s">
        <v>62</v>
      </c>
      <c r="S1352" s="1" t="s">
        <v>20</v>
      </c>
      <c r="T1352" s="1" t="s">
        <v>21</v>
      </c>
      <c r="U1352" s="1" t="s">
        <v>22</v>
      </c>
      <c r="V1352" s="1" t="s">
        <v>24</v>
      </c>
      <c r="W1352" s="1" t="s">
        <v>24</v>
      </c>
      <c r="X1352" s="1">
        <v>3003</v>
      </c>
      <c r="Y1352" s="1" t="s">
        <v>24</v>
      </c>
      <c r="Z1352" s="1" t="s">
        <v>24</v>
      </c>
      <c r="AA1352" s="1" t="s">
        <v>24</v>
      </c>
      <c r="AB1352" s="1" t="s">
        <v>24</v>
      </c>
      <c r="AC1352" s="1" t="s">
        <v>24</v>
      </c>
      <c r="AD1352" s="1" t="s">
        <v>24</v>
      </c>
      <c r="AE1352" s="1" t="s">
        <v>24</v>
      </c>
      <c r="AF1352" s="22"/>
    </row>
    <row r="1353" spans="1:32" x14ac:dyDescent="0.2">
      <c r="A1353" s="1">
        <v>8299</v>
      </c>
      <c r="B1353" s="1" t="s">
        <v>4409</v>
      </c>
      <c r="C1353" s="5" t="s">
        <v>0</v>
      </c>
      <c r="D1353" s="1" t="s">
        <v>4410</v>
      </c>
      <c r="E1353" s="1" t="s">
        <v>4411</v>
      </c>
      <c r="F1353" s="1" t="s">
        <v>291</v>
      </c>
      <c r="G1353" s="1" t="s">
        <v>292</v>
      </c>
      <c r="H1353" s="1" t="s">
        <v>37</v>
      </c>
      <c r="I1353" s="1" t="s">
        <v>16</v>
      </c>
      <c r="J1353" s="1">
        <v>1</v>
      </c>
      <c r="K1353" s="1">
        <v>4</v>
      </c>
      <c r="L1353" s="1" t="s">
        <v>31</v>
      </c>
      <c r="M1353" s="1" t="s">
        <v>18</v>
      </c>
      <c r="N1353" s="1" t="s">
        <v>18</v>
      </c>
      <c r="O1353" s="1">
        <v>3</v>
      </c>
      <c r="P1353" s="1">
        <v>7</v>
      </c>
      <c r="Q1353" s="7" t="s">
        <v>17633</v>
      </c>
      <c r="R1353" s="1" t="s">
        <v>19</v>
      </c>
      <c r="S1353" s="1" t="s">
        <v>20</v>
      </c>
      <c r="T1353" s="1" t="s">
        <v>21</v>
      </c>
      <c r="U1353" s="1" t="s">
        <v>22</v>
      </c>
      <c r="V1353" s="1" t="s">
        <v>24</v>
      </c>
      <c r="W1353" s="1" t="s">
        <v>24</v>
      </c>
      <c r="X1353" s="1">
        <v>2403</v>
      </c>
      <c r="Y1353" s="1">
        <v>2723</v>
      </c>
      <c r="Z1353" s="1">
        <v>3004</v>
      </c>
      <c r="AA1353" s="1">
        <v>3005</v>
      </c>
      <c r="AB1353" s="1" t="s">
        <v>24</v>
      </c>
      <c r="AC1353" s="1" t="s">
        <v>24</v>
      </c>
      <c r="AD1353" s="1" t="s">
        <v>24</v>
      </c>
      <c r="AE1353" s="1" t="s">
        <v>24</v>
      </c>
      <c r="AF1353" s="22"/>
    </row>
    <row r="1354" spans="1:32" x14ac:dyDescent="0.2">
      <c r="A1354" s="1">
        <v>8301</v>
      </c>
      <c r="B1354" s="1" t="s">
        <v>4412</v>
      </c>
      <c r="C1354" s="5" t="s">
        <v>0</v>
      </c>
      <c r="D1354" s="1" t="s">
        <v>4413</v>
      </c>
      <c r="E1354" s="1" t="s">
        <v>4414</v>
      </c>
      <c r="F1354" s="1" t="s">
        <v>315</v>
      </c>
      <c r="G1354" s="1" t="s">
        <v>316</v>
      </c>
      <c r="H1354" s="1" t="s">
        <v>37</v>
      </c>
      <c r="I1354" s="1" t="s">
        <v>16</v>
      </c>
      <c r="J1354" s="1">
        <v>1</v>
      </c>
      <c r="K1354" s="1">
        <v>6</v>
      </c>
      <c r="L1354" s="1" t="s">
        <v>31</v>
      </c>
      <c r="M1354" s="1" t="s">
        <v>18</v>
      </c>
      <c r="N1354" s="1" t="s">
        <v>18</v>
      </c>
      <c r="O1354" s="1">
        <v>3</v>
      </c>
      <c r="P1354" s="1">
        <v>6</v>
      </c>
      <c r="R1354" s="1" t="s">
        <v>19</v>
      </c>
      <c r="S1354" s="1" t="s">
        <v>20</v>
      </c>
      <c r="T1354" s="1" t="s">
        <v>21</v>
      </c>
      <c r="U1354" s="1" t="s">
        <v>22</v>
      </c>
      <c r="V1354" s="1" t="s">
        <v>24</v>
      </c>
      <c r="W1354" s="1" t="s">
        <v>24</v>
      </c>
      <c r="X1354" s="1">
        <v>2403</v>
      </c>
      <c r="Y1354" s="1">
        <v>1307</v>
      </c>
      <c r="Z1354" s="1" t="s">
        <v>24</v>
      </c>
      <c r="AA1354" s="1" t="s">
        <v>24</v>
      </c>
      <c r="AB1354" s="1" t="s">
        <v>24</v>
      </c>
      <c r="AC1354" s="1" t="s">
        <v>24</v>
      </c>
      <c r="AD1354" s="1" t="s">
        <v>24</v>
      </c>
      <c r="AE1354" s="1" t="s">
        <v>24</v>
      </c>
      <c r="AF1354" s="22"/>
    </row>
    <row r="1355" spans="1:32" x14ac:dyDescent="0.2">
      <c r="A1355" s="1">
        <v>8308</v>
      </c>
      <c r="B1355" s="1" t="s">
        <v>4415</v>
      </c>
      <c r="C1355" s="5" t="s">
        <v>0</v>
      </c>
      <c r="D1355" s="1" t="s">
        <v>4416</v>
      </c>
      <c r="F1355" s="1" t="s">
        <v>4417</v>
      </c>
      <c r="G1355" s="1" t="s">
        <v>4417</v>
      </c>
      <c r="H1355" s="1" t="s">
        <v>1116</v>
      </c>
      <c r="I1355" s="1" t="s">
        <v>16</v>
      </c>
      <c r="J1355" s="1">
        <v>1</v>
      </c>
      <c r="K1355" s="1">
        <v>4</v>
      </c>
      <c r="L1355" s="1" t="s">
        <v>42</v>
      </c>
      <c r="M1355" s="1" t="s">
        <v>4418</v>
      </c>
      <c r="N1355" s="1" t="s">
        <v>18</v>
      </c>
      <c r="O1355" s="1">
        <v>3</v>
      </c>
      <c r="P1355" s="1">
        <v>6</v>
      </c>
      <c r="R1355" s="1" t="s">
        <v>19</v>
      </c>
      <c r="S1355" s="1" t="s">
        <v>20</v>
      </c>
      <c r="T1355" s="1" t="s">
        <v>21</v>
      </c>
      <c r="U1355" s="1" t="s">
        <v>22</v>
      </c>
      <c r="V1355" s="1" t="s">
        <v>24</v>
      </c>
      <c r="W1355" s="1" t="s">
        <v>24</v>
      </c>
      <c r="X1355" s="1">
        <v>2705</v>
      </c>
      <c r="Y1355" s="1" t="s">
        <v>24</v>
      </c>
      <c r="Z1355" s="1" t="s">
        <v>24</v>
      </c>
      <c r="AA1355" s="1" t="s">
        <v>24</v>
      </c>
      <c r="AB1355" s="1" t="s">
        <v>24</v>
      </c>
      <c r="AC1355" s="1" t="s">
        <v>24</v>
      </c>
      <c r="AD1355" s="1" t="s">
        <v>24</v>
      </c>
      <c r="AE1355" s="1" t="s">
        <v>24</v>
      </c>
      <c r="AF1355" s="22"/>
    </row>
    <row r="1356" spans="1:32" x14ac:dyDescent="0.2">
      <c r="A1356" s="1">
        <v>8309</v>
      </c>
      <c r="B1356" s="1" t="s">
        <v>4419</v>
      </c>
      <c r="C1356" s="5" t="s">
        <v>0</v>
      </c>
      <c r="D1356" s="1" t="s">
        <v>4420</v>
      </c>
      <c r="E1356" s="1" t="s">
        <v>4421</v>
      </c>
      <c r="F1356" s="1" t="s">
        <v>217</v>
      </c>
      <c r="G1356" s="1" t="s">
        <v>130</v>
      </c>
      <c r="H1356" s="1" t="s">
        <v>92</v>
      </c>
      <c r="I1356" s="1" t="s">
        <v>16</v>
      </c>
      <c r="J1356" s="1">
        <v>1</v>
      </c>
      <c r="K1356" s="1">
        <v>6</v>
      </c>
      <c r="L1356" s="1" t="s">
        <v>31</v>
      </c>
      <c r="M1356" s="1" t="s">
        <v>18</v>
      </c>
      <c r="N1356" s="1" t="s">
        <v>18</v>
      </c>
      <c r="O1356" s="1">
        <v>3</v>
      </c>
      <c r="P1356" s="1">
        <v>7</v>
      </c>
      <c r="Q1356" s="7" t="s">
        <v>17633</v>
      </c>
      <c r="R1356" s="1" t="s">
        <v>19</v>
      </c>
      <c r="S1356" s="1" t="s">
        <v>20</v>
      </c>
      <c r="T1356" s="1" t="s">
        <v>21</v>
      </c>
      <c r="U1356" s="1" t="s">
        <v>22</v>
      </c>
      <c r="V1356" s="1" t="s">
        <v>24</v>
      </c>
      <c r="W1356" s="1" t="s">
        <v>24</v>
      </c>
      <c r="X1356" s="1">
        <v>1306</v>
      </c>
      <c r="Y1356" s="1" t="s">
        <v>24</v>
      </c>
      <c r="Z1356" s="1" t="s">
        <v>24</v>
      </c>
      <c r="AA1356" s="1" t="s">
        <v>24</v>
      </c>
      <c r="AB1356" s="1" t="s">
        <v>24</v>
      </c>
      <c r="AC1356" s="1" t="s">
        <v>24</v>
      </c>
      <c r="AD1356" s="1" t="s">
        <v>24</v>
      </c>
      <c r="AE1356" s="1" t="s">
        <v>24</v>
      </c>
      <c r="AF1356" s="22"/>
    </row>
    <row r="1357" spans="1:32" x14ac:dyDescent="0.2">
      <c r="A1357" s="1">
        <v>8310</v>
      </c>
      <c r="B1357" s="1" t="s">
        <v>4422</v>
      </c>
      <c r="C1357" s="5" t="s">
        <v>0</v>
      </c>
      <c r="D1357" s="1" t="s">
        <v>4423</v>
      </c>
      <c r="F1357" s="1" t="s">
        <v>4424</v>
      </c>
      <c r="G1357" s="1" t="s">
        <v>4425</v>
      </c>
      <c r="H1357" s="1" t="s">
        <v>30</v>
      </c>
      <c r="I1357" s="1" t="s">
        <v>112</v>
      </c>
      <c r="J1357" s="1">
        <v>0</v>
      </c>
      <c r="K1357" s="1">
        <v>0</v>
      </c>
      <c r="L1357" s="1" t="s">
        <v>17</v>
      </c>
      <c r="M1357" s="1" t="s">
        <v>18</v>
      </c>
      <c r="N1357" s="1" t="s">
        <v>18</v>
      </c>
      <c r="O1357" s="1">
        <v>0</v>
      </c>
      <c r="P1357" s="1">
        <v>6</v>
      </c>
      <c r="R1357" s="1" t="s">
        <v>19</v>
      </c>
      <c r="S1357" s="1" t="s">
        <v>20</v>
      </c>
      <c r="T1357" s="1" t="s">
        <v>21</v>
      </c>
      <c r="U1357" s="1" t="s">
        <v>22</v>
      </c>
      <c r="V1357" s="1" t="s">
        <v>24</v>
      </c>
      <c r="W1357" s="1" t="s">
        <v>24</v>
      </c>
      <c r="X1357" s="1">
        <v>2741</v>
      </c>
      <c r="Y1357" s="1">
        <v>3614</v>
      </c>
      <c r="Z1357" s="1">
        <v>3108</v>
      </c>
      <c r="AA1357" s="1">
        <v>2739</v>
      </c>
      <c r="AB1357" s="1" t="s">
        <v>24</v>
      </c>
      <c r="AC1357" s="1" t="s">
        <v>24</v>
      </c>
      <c r="AD1357" s="1" t="s">
        <v>24</v>
      </c>
      <c r="AE1357" s="1" t="s">
        <v>24</v>
      </c>
      <c r="AF1357" s="22"/>
    </row>
    <row r="1358" spans="1:32" x14ac:dyDescent="0.2">
      <c r="A1358" s="1">
        <v>8324</v>
      </c>
      <c r="B1358" s="1" t="s">
        <v>4426</v>
      </c>
      <c r="C1358" s="5" t="s">
        <v>0</v>
      </c>
      <c r="D1358" s="1" t="s">
        <v>4427</v>
      </c>
      <c r="E1358" s="1" t="s">
        <v>4428</v>
      </c>
      <c r="F1358" s="1" t="s">
        <v>97</v>
      </c>
      <c r="G1358" s="1" t="s">
        <v>98</v>
      </c>
      <c r="H1358" s="1" t="s">
        <v>37</v>
      </c>
      <c r="I1358" s="1" t="s">
        <v>16</v>
      </c>
      <c r="J1358" s="1">
        <v>1</v>
      </c>
      <c r="K1358" s="1">
        <v>10</v>
      </c>
      <c r="L1358" s="1" t="s">
        <v>31</v>
      </c>
      <c r="M1358" s="1" t="s">
        <v>18</v>
      </c>
      <c r="N1358" s="1" t="s">
        <v>18</v>
      </c>
      <c r="O1358" s="1">
        <v>3</v>
      </c>
      <c r="P1358" s="1">
        <v>7</v>
      </c>
      <c r="Q1358" s="7" t="s">
        <v>17633</v>
      </c>
      <c r="R1358" s="1" t="s">
        <v>19</v>
      </c>
      <c r="S1358" s="1" t="s">
        <v>20</v>
      </c>
      <c r="T1358" s="1" t="s">
        <v>21</v>
      </c>
      <c r="U1358" s="1" t="s">
        <v>22</v>
      </c>
      <c r="V1358" s="1" t="s">
        <v>23</v>
      </c>
      <c r="W1358" s="1" t="s">
        <v>24</v>
      </c>
      <c r="X1358" s="1">
        <v>2741</v>
      </c>
      <c r="Y1358" s="1">
        <v>3614</v>
      </c>
      <c r="Z1358" s="1" t="s">
        <v>24</v>
      </c>
      <c r="AA1358" s="1" t="s">
        <v>24</v>
      </c>
      <c r="AB1358" s="1" t="s">
        <v>24</v>
      </c>
      <c r="AC1358" s="1" t="s">
        <v>24</v>
      </c>
      <c r="AD1358" s="1" t="s">
        <v>24</v>
      </c>
      <c r="AE1358" s="1" t="s">
        <v>24</v>
      </c>
      <c r="AF1358" s="22"/>
    </row>
    <row r="1359" spans="1:32" x14ac:dyDescent="0.2">
      <c r="A1359" s="1">
        <v>8325</v>
      </c>
      <c r="B1359" s="1" t="s">
        <v>4429</v>
      </c>
      <c r="C1359" s="5" t="s">
        <v>0</v>
      </c>
      <c r="D1359" s="1" t="s">
        <v>4430</v>
      </c>
      <c r="E1359" s="1" t="s">
        <v>4431</v>
      </c>
      <c r="F1359" s="1" t="s">
        <v>291</v>
      </c>
      <c r="G1359" s="1" t="s">
        <v>292</v>
      </c>
      <c r="H1359" s="1" t="s">
        <v>37</v>
      </c>
      <c r="I1359" s="1" t="s">
        <v>16</v>
      </c>
      <c r="J1359" s="1">
        <v>1</v>
      </c>
      <c r="K1359" s="1">
        <v>8</v>
      </c>
      <c r="L1359" s="1" t="s">
        <v>31</v>
      </c>
      <c r="M1359" s="1" t="s">
        <v>18</v>
      </c>
      <c r="N1359" s="1" t="s">
        <v>18</v>
      </c>
      <c r="O1359" s="1">
        <v>3</v>
      </c>
      <c r="P1359" s="1">
        <v>7</v>
      </c>
      <c r="Q1359" s="7" t="s">
        <v>17633</v>
      </c>
      <c r="R1359" s="1" t="s">
        <v>19</v>
      </c>
      <c r="S1359" s="1" t="s">
        <v>20</v>
      </c>
      <c r="T1359" s="1" t="s">
        <v>21</v>
      </c>
      <c r="U1359" s="1" t="s">
        <v>22</v>
      </c>
      <c r="V1359" s="1" t="s">
        <v>23</v>
      </c>
      <c r="W1359" s="1" t="s">
        <v>24</v>
      </c>
      <c r="X1359" s="1">
        <v>2730</v>
      </c>
      <c r="Y1359" s="1">
        <v>2741</v>
      </c>
      <c r="Z1359" s="1">
        <v>2720</v>
      </c>
      <c r="AA1359" s="1" t="s">
        <v>24</v>
      </c>
      <c r="AB1359" s="1" t="s">
        <v>24</v>
      </c>
      <c r="AC1359" s="1" t="s">
        <v>24</v>
      </c>
      <c r="AD1359" s="1" t="s">
        <v>24</v>
      </c>
      <c r="AE1359" s="1" t="s">
        <v>24</v>
      </c>
      <c r="AF1359" s="22"/>
    </row>
    <row r="1360" spans="1:32" x14ac:dyDescent="0.2">
      <c r="A1360" s="1">
        <v>8328</v>
      </c>
      <c r="B1360" s="1" t="s">
        <v>4432</v>
      </c>
      <c r="C1360" s="5" t="s">
        <v>0</v>
      </c>
      <c r="D1360" s="1" t="s">
        <v>4433</v>
      </c>
      <c r="E1360" s="1" t="s">
        <v>4434</v>
      </c>
      <c r="F1360" s="1" t="s">
        <v>155</v>
      </c>
      <c r="G1360" s="1" t="s">
        <v>61</v>
      </c>
      <c r="H1360" s="1" t="s">
        <v>46</v>
      </c>
      <c r="I1360" s="1" t="s">
        <v>16</v>
      </c>
      <c r="J1360" s="1">
        <v>1</v>
      </c>
      <c r="K1360" s="1">
        <v>6</v>
      </c>
      <c r="L1360" s="1" t="s">
        <v>31</v>
      </c>
      <c r="M1360" s="1" t="s">
        <v>18</v>
      </c>
      <c r="N1360" s="1" t="s">
        <v>18</v>
      </c>
      <c r="O1360" s="1">
        <v>3</v>
      </c>
      <c r="P1360" s="1">
        <v>7</v>
      </c>
      <c r="Q1360" s="7" t="s">
        <v>17633</v>
      </c>
      <c r="R1360" s="1" t="s">
        <v>19</v>
      </c>
      <c r="S1360" s="1" t="s">
        <v>20</v>
      </c>
      <c r="T1360" s="1" t="s">
        <v>21</v>
      </c>
      <c r="U1360" s="1" t="s">
        <v>22</v>
      </c>
      <c r="V1360" s="1" t="s">
        <v>24</v>
      </c>
      <c r="W1360" s="1" t="s">
        <v>24</v>
      </c>
      <c r="X1360" s="1">
        <v>2700</v>
      </c>
      <c r="Y1360" s="1" t="s">
        <v>24</v>
      </c>
      <c r="Z1360" s="1" t="s">
        <v>24</v>
      </c>
      <c r="AA1360" s="1" t="s">
        <v>24</v>
      </c>
      <c r="AB1360" s="1" t="s">
        <v>24</v>
      </c>
      <c r="AC1360" s="1" t="s">
        <v>24</v>
      </c>
      <c r="AD1360" s="1" t="s">
        <v>24</v>
      </c>
      <c r="AE1360" s="1" t="s">
        <v>24</v>
      </c>
      <c r="AF1360" s="22" t="s">
        <v>17670</v>
      </c>
    </row>
    <row r="1361" spans="1:32" x14ac:dyDescent="0.2">
      <c r="A1361" s="1">
        <v>8333</v>
      </c>
      <c r="B1361" s="1" t="s">
        <v>4435</v>
      </c>
      <c r="C1361" s="5" t="s">
        <v>0</v>
      </c>
      <c r="D1361" s="1" t="s">
        <v>4436</v>
      </c>
      <c r="E1361" s="1" t="s">
        <v>4437</v>
      </c>
      <c r="F1361" s="1" t="s">
        <v>320</v>
      </c>
      <c r="G1361" s="1" t="s">
        <v>36</v>
      </c>
      <c r="H1361" s="1" t="s">
        <v>30</v>
      </c>
      <c r="I1361" s="1" t="s">
        <v>16</v>
      </c>
      <c r="J1361" s="1">
        <v>1</v>
      </c>
      <c r="K1361" s="1">
        <v>9</v>
      </c>
      <c r="L1361" s="1" t="s">
        <v>31</v>
      </c>
      <c r="M1361" s="1" t="s">
        <v>18</v>
      </c>
      <c r="N1361" s="1" t="s">
        <v>18</v>
      </c>
      <c r="O1361" s="1">
        <v>3</v>
      </c>
      <c r="P1361" s="1">
        <v>6</v>
      </c>
      <c r="R1361" s="1" t="s">
        <v>19</v>
      </c>
      <c r="S1361" s="1" t="s">
        <v>20</v>
      </c>
      <c r="T1361" s="1" t="s">
        <v>21</v>
      </c>
      <c r="U1361" s="1" t="s">
        <v>22</v>
      </c>
      <c r="V1361" s="1" t="s">
        <v>24</v>
      </c>
      <c r="W1361" s="1" t="s">
        <v>24</v>
      </c>
      <c r="X1361" s="1">
        <v>2307</v>
      </c>
      <c r="Y1361" s="1">
        <v>2713</v>
      </c>
      <c r="Z1361" s="1">
        <v>2716</v>
      </c>
      <c r="AA1361" s="1" t="s">
        <v>24</v>
      </c>
      <c r="AB1361" s="1" t="s">
        <v>24</v>
      </c>
      <c r="AC1361" s="1" t="s">
        <v>24</v>
      </c>
      <c r="AD1361" s="1" t="s">
        <v>24</v>
      </c>
      <c r="AE1361" s="1" t="s">
        <v>24</v>
      </c>
      <c r="AF1361" s="22"/>
    </row>
    <row r="1362" spans="1:32" x14ac:dyDescent="0.2">
      <c r="A1362" s="1">
        <v>8337</v>
      </c>
      <c r="B1362" s="1" t="s">
        <v>4438</v>
      </c>
      <c r="C1362" s="5" t="s">
        <v>0</v>
      </c>
      <c r="D1362" s="1" t="s">
        <v>4439</v>
      </c>
      <c r="F1362" s="1" t="s">
        <v>4440</v>
      </c>
      <c r="G1362" s="1" t="s">
        <v>4440</v>
      </c>
      <c r="H1362" s="1" t="s">
        <v>731</v>
      </c>
      <c r="I1362" s="1" t="s">
        <v>16</v>
      </c>
      <c r="J1362" s="1">
        <v>1</v>
      </c>
      <c r="K1362" s="1">
        <v>4</v>
      </c>
      <c r="L1362" s="1" t="s">
        <v>17</v>
      </c>
      <c r="M1362" s="1" t="s">
        <v>18</v>
      </c>
      <c r="N1362" s="1" t="s">
        <v>18</v>
      </c>
      <c r="O1362" s="1">
        <v>2</v>
      </c>
      <c r="P1362" s="1">
        <v>5</v>
      </c>
      <c r="R1362" s="1" t="s">
        <v>19</v>
      </c>
      <c r="S1362" s="1" t="s">
        <v>20</v>
      </c>
      <c r="T1362" s="1" t="s">
        <v>21</v>
      </c>
      <c r="U1362" s="1" t="s">
        <v>22</v>
      </c>
      <c r="V1362" s="1" t="s">
        <v>24</v>
      </c>
      <c r="W1362" s="1" t="s">
        <v>24</v>
      </c>
      <c r="X1362" s="1">
        <v>2707</v>
      </c>
      <c r="Y1362" s="1" t="s">
        <v>24</v>
      </c>
      <c r="Z1362" s="1" t="s">
        <v>24</v>
      </c>
      <c r="AA1362" s="1" t="s">
        <v>24</v>
      </c>
      <c r="AB1362" s="1" t="s">
        <v>24</v>
      </c>
      <c r="AC1362" s="1" t="s">
        <v>24</v>
      </c>
      <c r="AD1362" s="1" t="s">
        <v>24</v>
      </c>
      <c r="AE1362" s="1" t="s">
        <v>24</v>
      </c>
      <c r="AF1362" s="22"/>
    </row>
    <row r="1363" spans="1:32" x14ac:dyDescent="0.2">
      <c r="A1363" s="1">
        <v>8345</v>
      </c>
      <c r="B1363" s="1" t="s">
        <v>4441</v>
      </c>
      <c r="C1363" s="5" t="s">
        <v>0</v>
      </c>
      <c r="D1363" s="1" t="s">
        <v>4442</v>
      </c>
      <c r="E1363" s="1" t="s">
        <v>4443</v>
      </c>
      <c r="F1363" s="1" t="s">
        <v>291</v>
      </c>
      <c r="G1363" s="1" t="s">
        <v>292</v>
      </c>
      <c r="H1363" s="1" t="s">
        <v>37</v>
      </c>
      <c r="I1363" s="1" t="s">
        <v>16</v>
      </c>
      <c r="J1363" s="1">
        <v>1</v>
      </c>
      <c r="K1363" s="1">
        <v>8</v>
      </c>
      <c r="L1363" s="1" t="s">
        <v>31</v>
      </c>
      <c r="M1363" s="1" t="s">
        <v>18</v>
      </c>
      <c r="N1363" s="1" t="s">
        <v>18</v>
      </c>
      <c r="O1363" s="1">
        <v>3</v>
      </c>
      <c r="P1363" s="1">
        <v>6</v>
      </c>
      <c r="R1363" s="1" t="s">
        <v>19</v>
      </c>
      <c r="S1363" s="1" t="s">
        <v>20</v>
      </c>
      <c r="T1363" s="1" t="s">
        <v>21</v>
      </c>
      <c r="U1363" s="1" t="s">
        <v>22</v>
      </c>
      <c r="V1363" s="1" t="s">
        <v>24</v>
      </c>
      <c r="W1363" s="1" t="s">
        <v>24</v>
      </c>
      <c r="X1363" s="1">
        <v>2723</v>
      </c>
      <c r="Y1363" s="1">
        <v>2403</v>
      </c>
      <c r="Z1363" s="1" t="s">
        <v>24</v>
      </c>
      <c r="AA1363" s="1" t="s">
        <v>24</v>
      </c>
      <c r="AB1363" s="1" t="s">
        <v>24</v>
      </c>
      <c r="AC1363" s="1" t="s">
        <v>24</v>
      </c>
      <c r="AD1363" s="1" t="s">
        <v>24</v>
      </c>
      <c r="AE1363" s="1" t="s">
        <v>24</v>
      </c>
      <c r="AF1363" s="22"/>
    </row>
    <row r="1364" spans="1:32" x14ac:dyDescent="0.2">
      <c r="A1364" s="1">
        <v>8347</v>
      </c>
      <c r="B1364" s="1" t="s">
        <v>4444</v>
      </c>
      <c r="C1364" s="5" t="s">
        <v>0</v>
      </c>
      <c r="D1364" s="1" t="s">
        <v>4445</v>
      </c>
      <c r="E1364" s="1" t="s">
        <v>4446</v>
      </c>
      <c r="F1364" s="1" t="s">
        <v>272</v>
      </c>
      <c r="G1364" s="1" t="s">
        <v>61</v>
      </c>
      <c r="H1364" s="1" t="s">
        <v>30</v>
      </c>
      <c r="I1364" s="1" t="s">
        <v>16</v>
      </c>
      <c r="J1364" s="1">
        <v>1</v>
      </c>
      <c r="K1364" s="1">
        <v>6</v>
      </c>
      <c r="L1364" s="1" t="s">
        <v>31</v>
      </c>
      <c r="M1364" s="1" t="s">
        <v>18</v>
      </c>
      <c r="N1364" s="1" t="s">
        <v>18</v>
      </c>
      <c r="O1364" s="1">
        <v>3</v>
      </c>
      <c r="P1364" s="1">
        <v>7</v>
      </c>
      <c r="Q1364" s="7" t="s">
        <v>17633</v>
      </c>
      <c r="R1364" s="1" t="s">
        <v>19</v>
      </c>
      <c r="S1364" s="1" t="s">
        <v>63</v>
      </c>
      <c r="T1364" s="1" t="s">
        <v>21</v>
      </c>
      <c r="U1364" s="1" t="s">
        <v>22</v>
      </c>
      <c r="V1364" s="1" t="s">
        <v>24</v>
      </c>
      <c r="W1364" s="1" t="s">
        <v>24</v>
      </c>
      <c r="X1364" s="1">
        <v>2806</v>
      </c>
      <c r="Y1364" s="1">
        <v>2804</v>
      </c>
      <c r="Z1364" s="1">
        <v>3005</v>
      </c>
      <c r="AA1364" s="1" t="s">
        <v>24</v>
      </c>
      <c r="AB1364" s="1" t="s">
        <v>24</v>
      </c>
      <c r="AC1364" s="1" t="s">
        <v>24</v>
      </c>
      <c r="AD1364" s="1" t="s">
        <v>24</v>
      </c>
      <c r="AE1364" s="1" t="s">
        <v>24</v>
      </c>
      <c r="AF1364" s="22"/>
    </row>
    <row r="1365" spans="1:32" x14ac:dyDescent="0.2">
      <c r="A1365" s="1">
        <v>8356</v>
      </c>
      <c r="B1365" s="1" t="s">
        <v>4447</v>
      </c>
      <c r="C1365" s="5" t="s">
        <v>0</v>
      </c>
      <c r="D1365" s="1" t="s">
        <v>4448</v>
      </c>
      <c r="E1365" s="1" t="s">
        <v>4449</v>
      </c>
      <c r="F1365" s="1" t="s">
        <v>28</v>
      </c>
      <c r="G1365" s="1" t="s">
        <v>29</v>
      </c>
      <c r="H1365" s="1" t="s">
        <v>30</v>
      </c>
      <c r="I1365" s="1" t="s">
        <v>16</v>
      </c>
      <c r="J1365" s="1">
        <v>1</v>
      </c>
      <c r="K1365" s="1">
        <v>6</v>
      </c>
      <c r="L1365" s="1" t="s">
        <v>31</v>
      </c>
      <c r="M1365" s="1" t="s">
        <v>18</v>
      </c>
      <c r="N1365" s="1" t="s">
        <v>18</v>
      </c>
      <c r="O1365" s="1">
        <v>3</v>
      </c>
      <c r="P1365" s="1">
        <v>6</v>
      </c>
      <c r="R1365" s="1" t="s">
        <v>19</v>
      </c>
      <c r="S1365" s="1" t="s">
        <v>20</v>
      </c>
      <c r="T1365" s="1" t="s">
        <v>21</v>
      </c>
      <c r="U1365" s="1" t="s">
        <v>22</v>
      </c>
      <c r="V1365" s="1" t="s">
        <v>23</v>
      </c>
      <c r="W1365" s="1" t="s">
        <v>24</v>
      </c>
      <c r="X1365" s="1">
        <v>2715</v>
      </c>
      <c r="Y1365" s="1" t="s">
        <v>24</v>
      </c>
      <c r="Z1365" s="1" t="s">
        <v>24</v>
      </c>
      <c r="AA1365" s="1" t="s">
        <v>24</v>
      </c>
      <c r="AB1365" s="1" t="s">
        <v>24</v>
      </c>
      <c r="AC1365" s="1" t="s">
        <v>24</v>
      </c>
      <c r="AD1365" s="1" t="s">
        <v>24</v>
      </c>
      <c r="AE1365" s="1" t="s">
        <v>24</v>
      </c>
      <c r="AF1365" s="22"/>
    </row>
    <row r="1366" spans="1:32" x14ac:dyDescent="0.2">
      <c r="A1366" s="1">
        <v>8366</v>
      </c>
      <c r="B1366" s="1" t="s">
        <v>4450</v>
      </c>
      <c r="C1366" s="5" t="s">
        <v>0</v>
      </c>
      <c r="D1366" s="1" t="s">
        <v>4451</v>
      </c>
      <c r="E1366" s="1" t="s">
        <v>4452</v>
      </c>
      <c r="F1366" s="1" t="s">
        <v>272</v>
      </c>
      <c r="G1366" s="1" t="s">
        <v>61</v>
      </c>
      <c r="H1366" s="1" t="s">
        <v>30</v>
      </c>
      <c r="I1366" s="1" t="s">
        <v>16</v>
      </c>
      <c r="J1366" s="1">
        <v>1</v>
      </c>
      <c r="K1366" s="1">
        <v>6</v>
      </c>
      <c r="L1366" s="1" t="s">
        <v>31</v>
      </c>
      <c r="M1366" s="1" t="s">
        <v>18</v>
      </c>
      <c r="N1366" s="1" t="s">
        <v>18</v>
      </c>
      <c r="O1366" s="1">
        <v>3</v>
      </c>
      <c r="P1366" s="1">
        <v>6</v>
      </c>
      <c r="R1366" s="1" t="s">
        <v>19</v>
      </c>
      <c r="S1366" s="1" t="s">
        <v>63</v>
      </c>
      <c r="T1366" s="1" t="s">
        <v>21</v>
      </c>
      <c r="U1366" s="1" t="s">
        <v>22</v>
      </c>
      <c r="V1366" s="1" t="s">
        <v>23</v>
      </c>
      <c r="W1366" s="1" t="s">
        <v>24</v>
      </c>
      <c r="X1366" s="1">
        <v>3203</v>
      </c>
      <c r="Y1366" s="1">
        <v>3204</v>
      </c>
      <c r="Z1366" s="1" t="s">
        <v>24</v>
      </c>
      <c r="AA1366" s="1" t="s">
        <v>24</v>
      </c>
      <c r="AB1366" s="1" t="s">
        <v>24</v>
      </c>
      <c r="AC1366" s="1" t="s">
        <v>24</v>
      </c>
      <c r="AD1366" s="1" t="s">
        <v>24</v>
      </c>
      <c r="AE1366" s="1" t="s">
        <v>24</v>
      </c>
      <c r="AF1366" s="22"/>
    </row>
    <row r="1367" spans="1:32" x14ac:dyDescent="0.2">
      <c r="A1367" s="1">
        <v>8376</v>
      </c>
      <c r="B1367" s="1" t="s">
        <v>4453</v>
      </c>
      <c r="C1367" s="5" t="s">
        <v>0</v>
      </c>
      <c r="D1367" s="1" t="s">
        <v>4454</v>
      </c>
      <c r="F1367" s="1" t="s">
        <v>4455</v>
      </c>
      <c r="G1367" s="1" t="s">
        <v>4456</v>
      </c>
      <c r="H1367" s="1" t="s">
        <v>86</v>
      </c>
      <c r="I1367" s="1" t="s">
        <v>16</v>
      </c>
      <c r="J1367" s="1">
        <v>1</v>
      </c>
      <c r="K1367" s="1">
        <v>10</v>
      </c>
      <c r="L1367" s="1" t="s">
        <v>31</v>
      </c>
      <c r="M1367" s="1" t="s">
        <v>199</v>
      </c>
      <c r="N1367" s="1" t="s">
        <v>199</v>
      </c>
      <c r="O1367" s="1">
        <v>2</v>
      </c>
      <c r="P1367" s="1">
        <v>5</v>
      </c>
      <c r="R1367" s="1" t="s">
        <v>19</v>
      </c>
      <c r="S1367" s="1" t="s">
        <v>20</v>
      </c>
      <c r="T1367" s="1" t="s">
        <v>21</v>
      </c>
      <c r="U1367" s="1" t="s">
        <v>22</v>
      </c>
      <c r="V1367" s="1" t="s">
        <v>24</v>
      </c>
      <c r="W1367" s="1" t="s">
        <v>24</v>
      </c>
      <c r="X1367" s="1">
        <v>2708</v>
      </c>
      <c r="Y1367" s="1" t="s">
        <v>24</v>
      </c>
      <c r="Z1367" s="1" t="s">
        <v>24</v>
      </c>
      <c r="AA1367" s="1" t="s">
        <v>24</v>
      </c>
      <c r="AB1367" s="1" t="s">
        <v>24</v>
      </c>
      <c r="AC1367" s="1" t="s">
        <v>24</v>
      </c>
      <c r="AD1367" s="1" t="s">
        <v>24</v>
      </c>
      <c r="AE1367" s="1" t="s">
        <v>24</v>
      </c>
      <c r="AF1367" s="22"/>
    </row>
    <row r="1368" spans="1:32" x14ac:dyDescent="0.2">
      <c r="A1368" s="1">
        <v>8378</v>
      </c>
      <c r="B1368" s="1" t="s">
        <v>4457</v>
      </c>
      <c r="C1368" s="5" t="s">
        <v>0</v>
      </c>
      <c r="D1368" s="1" t="s">
        <v>4458</v>
      </c>
      <c r="E1368" s="1" t="s">
        <v>4459</v>
      </c>
      <c r="F1368" s="1" t="s">
        <v>272</v>
      </c>
      <c r="G1368" s="1" t="s">
        <v>61</v>
      </c>
      <c r="H1368" s="1" t="s">
        <v>30</v>
      </c>
      <c r="I1368" s="1" t="s">
        <v>16</v>
      </c>
      <c r="J1368" s="1">
        <v>1</v>
      </c>
      <c r="K1368" s="1">
        <v>12</v>
      </c>
      <c r="L1368" s="1" t="s">
        <v>31</v>
      </c>
      <c r="M1368" s="1" t="s">
        <v>18</v>
      </c>
      <c r="N1368" s="1" t="s">
        <v>18</v>
      </c>
      <c r="O1368" s="1">
        <v>3</v>
      </c>
      <c r="P1368" s="1">
        <v>7</v>
      </c>
      <c r="Q1368" s="7" t="s">
        <v>17633</v>
      </c>
      <c r="R1368" s="1" t="s">
        <v>19</v>
      </c>
      <c r="S1368" s="1" t="s">
        <v>20</v>
      </c>
      <c r="T1368" s="1" t="s">
        <v>21</v>
      </c>
      <c r="U1368" s="1" t="s">
        <v>22</v>
      </c>
      <c r="V1368" s="1" t="s">
        <v>23</v>
      </c>
      <c r="W1368" s="1" t="s">
        <v>24</v>
      </c>
      <c r="X1368" s="1">
        <v>2712</v>
      </c>
      <c r="Y1368" s="1">
        <v>2916</v>
      </c>
      <c r="Z1368" s="1" t="s">
        <v>24</v>
      </c>
      <c r="AA1368" s="1" t="s">
        <v>24</v>
      </c>
      <c r="AB1368" s="1" t="s">
        <v>24</v>
      </c>
      <c r="AC1368" s="1" t="s">
        <v>24</v>
      </c>
      <c r="AD1368" s="1" t="s">
        <v>24</v>
      </c>
      <c r="AE1368" s="1" t="s">
        <v>24</v>
      </c>
      <c r="AF1368" s="22"/>
    </row>
    <row r="1369" spans="1:32" x14ac:dyDescent="0.2">
      <c r="A1369" s="1">
        <v>8391</v>
      </c>
      <c r="B1369" s="1" t="s">
        <v>4460</v>
      </c>
      <c r="C1369" s="5" t="s">
        <v>0</v>
      </c>
      <c r="D1369" s="1" t="s">
        <v>4461</v>
      </c>
      <c r="E1369" s="1" t="s">
        <v>4462</v>
      </c>
      <c r="F1369" s="1" t="s">
        <v>35</v>
      </c>
      <c r="G1369" s="1" t="s">
        <v>36</v>
      </c>
      <c r="H1369" s="1" t="s">
        <v>37</v>
      </c>
      <c r="I1369" s="1" t="s">
        <v>16</v>
      </c>
      <c r="J1369" s="1">
        <v>1</v>
      </c>
      <c r="K1369" s="1">
        <v>6</v>
      </c>
      <c r="L1369" s="1" t="s">
        <v>31</v>
      </c>
      <c r="M1369" s="1" t="s">
        <v>18</v>
      </c>
      <c r="N1369" s="1" t="s">
        <v>18</v>
      </c>
      <c r="O1369" s="1">
        <v>3</v>
      </c>
      <c r="P1369" s="1">
        <v>6</v>
      </c>
      <c r="R1369" s="1" t="s">
        <v>19</v>
      </c>
      <c r="S1369" s="1" t="s">
        <v>20</v>
      </c>
      <c r="T1369" s="1" t="s">
        <v>21</v>
      </c>
      <c r="U1369" s="1" t="s">
        <v>22</v>
      </c>
      <c r="V1369" s="1" t="s">
        <v>24</v>
      </c>
      <c r="W1369" s="1" t="s">
        <v>24</v>
      </c>
      <c r="X1369" s="1">
        <v>2713</v>
      </c>
      <c r="Y1369" s="1">
        <v>2735</v>
      </c>
      <c r="Z1369" s="1" t="s">
        <v>24</v>
      </c>
      <c r="AA1369" s="1" t="s">
        <v>24</v>
      </c>
      <c r="AB1369" s="1" t="s">
        <v>24</v>
      </c>
      <c r="AC1369" s="1" t="s">
        <v>24</v>
      </c>
      <c r="AD1369" s="1" t="s">
        <v>24</v>
      </c>
      <c r="AE1369" s="1" t="s">
        <v>24</v>
      </c>
      <c r="AF1369" s="22"/>
    </row>
    <row r="1370" spans="1:32" x14ac:dyDescent="0.2">
      <c r="A1370" s="1">
        <v>8424</v>
      </c>
      <c r="B1370" s="1" t="s">
        <v>4463</v>
      </c>
      <c r="C1370" s="5" t="s">
        <v>0</v>
      </c>
      <c r="D1370" s="1" t="s">
        <v>4464</v>
      </c>
      <c r="E1370" s="1" t="s">
        <v>4465</v>
      </c>
      <c r="F1370" s="1" t="s">
        <v>920</v>
      </c>
      <c r="G1370" s="1" t="s">
        <v>921</v>
      </c>
      <c r="H1370" s="1" t="s">
        <v>92</v>
      </c>
      <c r="I1370" s="1" t="s">
        <v>16</v>
      </c>
      <c r="J1370" s="1">
        <v>1</v>
      </c>
      <c r="K1370" s="1">
        <v>1</v>
      </c>
      <c r="L1370" s="1" t="s">
        <v>31</v>
      </c>
      <c r="M1370" s="1" t="s">
        <v>18</v>
      </c>
      <c r="N1370" s="1" t="s">
        <v>18</v>
      </c>
      <c r="O1370" s="1">
        <v>3</v>
      </c>
      <c r="P1370" s="1">
        <v>7</v>
      </c>
      <c r="Q1370" s="7" t="s">
        <v>17633</v>
      </c>
      <c r="R1370" s="1" t="s">
        <v>19</v>
      </c>
      <c r="S1370" s="1" t="s">
        <v>20</v>
      </c>
      <c r="T1370" s="1" t="s">
        <v>21</v>
      </c>
      <c r="U1370" s="1" t="s">
        <v>22</v>
      </c>
      <c r="V1370" s="1" t="s">
        <v>24</v>
      </c>
      <c r="W1370" s="1" t="s">
        <v>24</v>
      </c>
      <c r="X1370" s="1">
        <v>2730</v>
      </c>
      <c r="Y1370" s="1">
        <v>1306</v>
      </c>
      <c r="Z1370" s="1" t="s">
        <v>24</v>
      </c>
      <c r="AA1370" s="1" t="s">
        <v>24</v>
      </c>
      <c r="AB1370" s="1" t="s">
        <v>24</v>
      </c>
      <c r="AC1370" s="1" t="s">
        <v>24</v>
      </c>
      <c r="AD1370" s="1" t="s">
        <v>24</v>
      </c>
      <c r="AE1370" s="1" t="s">
        <v>24</v>
      </c>
      <c r="AF1370" s="22"/>
    </row>
    <row r="1371" spans="1:32" x14ac:dyDescent="0.2">
      <c r="A1371" s="1">
        <v>8425</v>
      </c>
      <c r="B1371" s="1" t="s">
        <v>4466</v>
      </c>
      <c r="C1371" s="5" t="s">
        <v>0</v>
      </c>
      <c r="D1371" s="1" t="s">
        <v>4467</v>
      </c>
      <c r="E1371" s="1" t="s">
        <v>4468</v>
      </c>
      <c r="F1371" s="1" t="s">
        <v>970</v>
      </c>
      <c r="G1371" s="1" t="s">
        <v>36</v>
      </c>
      <c r="H1371" s="1" t="s">
        <v>30</v>
      </c>
      <c r="I1371" s="1" t="s">
        <v>16</v>
      </c>
      <c r="J1371" s="1">
        <v>1</v>
      </c>
      <c r="K1371" s="1">
        <v>12</v>
      </c>
      <c r="L1371" s="1" t="s">
        <v>31</v>
      </c>
      <c r="M1371" s="1" t="s">
        <v>18</v>
      </c>
      <c r="N1371" s="1" t="s">
        <v>18</v>
      </c>
      <c r="O1371" s="1">
        <v>2</v>
      </c>
      <c r="P1371" s="1">
        <v>6</v>
      </c>
      <c r="R1371" s="1" t="s">
        <v>62</v>
      </c>
      <c r="S1371" s="1" t="s">
        <v>20</v>
      </c>
      <c r="T1371" s="1" t="s">
        <v>21</v>
      </c>
      <c r="U1371" s="1" t="s">
        <v>22</v>
      </c>
      <c r="V1371" s="1" t="s">
        <v>23</v>
      </c>
      <c r="W1371" s="1" t="s">
        <v>24</v>
      </c>
      <c r="X1371" s="1">
        <v>2732</v>
      </c>
      <c r="Y1371" s="1">
        <v>2712</v>
      </c>
      <c r="Z1371" s="1" t="s">
        <v>24</v>
      </c>
      <c r="AA1371" s="1" t="s">
        <v>24</v>
      </c>
      <c r="AB1371" s="1" t="s">
        <v>24</v>
      </c>
      <c r="AC1371" s="1" t="s">
        <v>24</v>
      </c>
      <c r="AD1371" s="1" t="s">
        <v>24</v>
      </c>
      <c r="AE1371" s="1" t="s">
        <v>24</v>
      </c>
      <c r="AF1371" s="22"/>
    </row>
    <row r="1372" spans="1:32" x14ac:dyDescent="0.2">
      <c r="A1372" s="1">
        <v>8431</v>
      </c>
      <c r="B1372" s="1" t="s">
        <v>4469</v>
      </c>
      <c r="C1372" s="5" t="s">
        <v>0</v>
      </c>
      <c r="D1372" s="1" t="s">
        <v>4470</v>
      </c>
      <c r="E1372" s="1" t="s">
        <v>4471</v>
      </c>
      <c r="F1372" s="1" t="s">
        <v>4472</v>
      </c>
      <c r="G1372" s="1" t="s">
        <v>372</v>
      </c>
      <c r="H1372" s="1" t="s">
        <v>168</v>
      </c>
      <c r="I1372" s="1" t="s">
        <v>16</v>
      </c>
      <c r="J1372" s="1">
        <v>1</v>
      </c>
      <c r="K1372" s="1">
        <v>4</v>
      </c>
      <c r="L1372" s="1" t="s">
        <v>31</v>
      </c>
      <c r="M1372" s="1" t="s">
        <v>679</v>
      </c>
      <c r="N1372" s="1" t="s">
        <v>242</v>
      </c>
      <c r="O1372" s="1">
        <v>3</v>
      </c>
      <c r="P1372" s="1">
        <v>5</v>
      </c>
      <c r="R1372" s="1" t="s">
        <v>19</v>
      </c>
      <c r="S1372" s="1" t="s">
        <v>63</v>
      </c>
      <c r="T1372" s="1" t="s">
        <v>21</v>
      </c>
      <c r="U1372" s="1" t="s">
        <v>22</v>
      </c>
      <c r="V1372" s="1" t="s">
        <v>24</v>
      </c>
      <c r="W1372" s="1" t="s">
        <v>24</v>
      </c>
      <c r="X1372" s="1">
        <v>2730</v>
      </c>
      <c r="Y1372" s="1" t="s">
        <v>24</v>
      </c>
      <c r="Z1372" s="1" t="s">
        <v>24</v>
      </c>
      <c r="AA1372" s="1" t="s">
        <v>24</v>
      </c>
      <c r="AB1372" s="1" t="s">
        <v>24</v>
      </c>
      <c r="AC1372" s="1" t="s">
        <v>24</v>
      </c>
      <c r="AD1372" s="1" t="s">
        <v>24</v>
      </c>
      <c r="AE1372" s="1" t="s">
        <v>24</v>
      </c>
      <c r="AF1372" s="22"/>
    </row>
    <row r="1373" spans="1:32" x14ac:dyDescent="0.2">
      <c r="A1373" s="1">
        <v>8432</v>
      </c>
      <c r="B1373" s="1" t="s">
        <v>4473</v>
      </c>
      <c r="C1373" s="5" t="s">
        <v>0</v>
      </c>
      <c r="D1373" s="1" t="s">
        <v>4474</v>
      </c>
      <c r="F1373" s="1" t="s">
        <v>1278</v>
      </c>
      <c r="G1373" s="1" t="s">
        <v>1279</v>
      </c>
      <c r="H1373" s="1" t="s">
        <v>30</v>
      </c>
      <c r="I1373" s="1" t="s">
        <v>16</v>
      </c>
      <c r="J1373" s="1">
        <v>1</v>
      </c>
      <c r="K1373" s="1">
        <v>4</v>
      </c>
      <c r="L1373" s="1" t="s">
        <v>42</v>
      </c>
      <c r="M1373" s="1" t="s">
        <v>18</v>
      </c>
      <c r="N1373" s="1" t="s">
        <v>18</v>
      </c>
      <c r="O1373" s="1">
        <v>3</v>
      </c>
      <c r="P1373" s="1">
        <v>6</v>
      </c>
      <c r="R1373" s="1" t="s">
        <v>19</v>
      </c>
      <c r="S1373" s="1" t="s">
        <v>20</v>
      </c>
      <c r="T1373" s="1" t="s">
        <v>21</v>
      </c>
      <c r="U1373" s="1" t="s">
        <v>22</v>
      </c>
      <c r="V1373" s="1" t="s">
        <v>24</v>
      </c>
      <c r="W1373" s="1" t="s">
        <v>24</v>
      </c>
      <c r="X1373" s="1">
        <v>2728</v>
      </c>
      <c r="Y1373" s="1">
        <v>2800</v>
      </c>
      <c r="Z1373" s="1">
        <v>1314</v>
      </c>
      <c r="AA1373" s="1">
        <v>2737</v>
      </c>
      <c r="AB1373" s="1" t="s">
        <v>24</v>
      </c>
      <c r="AC1373" s="1" t="s">
        <v>24</v>
      </c>
      <c r="AD1373" s="1" t="s">
        <v>24</v>
      </c>
      <c r="AE1373" s="1" t="s">
        <v>24</v>
      </c>
      <c r="AF1373" s="22"/>
    </row>
    <row r="1374" spans="1:32" x14ac:dyDescent="0.2">
      <c r="A1374" s="1">
        <v>8439</v>
      </c>
      <c r="B1374" s="1" t="s">
        <v>4475</v>
      </c>
      <c r="C1374" s="5" t="s">
        <v>0</v>
      </c>
      <c r="E1374" s="1" t="s">
        <v>4476</v>
      </c>
      <c r="F1374" s="1" t="s">
        <v>4477</v>
      </c>
      <c r="G1374" s="1" t="s">
        <v>4477</v>
      </c>
      <c r="H1374" s="1" t="s">
        <v>30</v>
      </c>
      <c r="I1374" s="1" t="s">
        <v>16</v>
      </c>
      <c r="J1374" s="1">
        <v>1</v>
      </c>
      <c r="K1374" s="1">
        <v>12</v>
      </c>
      <c r="L1374" s="1" t="s">
        <v>42</v>
      </c>
      <c r="M1374" s="1" t="s">
        <v>18</v>
      </c>
      <c r="N1374" s="1" t="s">
        <v>18</v>
      </c>
      <c r="O1374" s="1">
        <v>3</v>
      </c>
      <c r="P1374" s="1">
        <v>7</v>
      </c>
      <c r="Q1374" s="7" t="s">
        <v>17633</v>
      </c>
      <c r="R1374" s="1" t="s">
        <v>62</v>
      </c>
      <c r="S1374" s="1" t="s">
        <v>20</v>
      </c>
      <c r="T1374" s="1" t="s">
        <v>21</v>
      </c>
      <c r="U1374" s="1" t="s">
        <v>22</v>
      </c>
      <c r="V1374" s="1" t="s">
        <v>24</v>
      </c>
      <c r="W1374" s="1" t="s">
        <v>64</v>
      </c>
      <c r="X1374" s="1">
        <v>1303</v>
      </c>
      <c r="Y1374" s="1">
        <v>1305</v>
      </c>
      <c r="Z1374" s="1">
        <v>1311</v>
      </c>
      <c r="AA1374" s="1">
        <v>1312</v>
      </c>
      <c r="AB1374" s="1" t="s">
        <v>24</v>
      </c>
      <c r="AC1374" s="1" t="s">
        <v>24</v>
      </c>
      <c r="AD1374" s="1" t="s">
        <v>24</v>
      </c>
      <c r="AE1374" s="1" t="s">
        <v>24</v>
      </c>
      <c r="AF1374" s="22" t="s">
        <v>17714</v>
      </c>
    </row>
    <row r="1375" spans="1:32" x14ac:dyDescent="0.2">
      <c r="A1375" s="1">
        <v>8444</v>
      </c>
      <c r="B1375" s="1" t="s">
        <v>4478</v>
      </c>
      <c r="C1375" s="5" t="s">
        <v>0</v>
      </c>
      <c r="D1375" s="1" t="s">
        <v>4479</v>
      </c>
      <c r="E1375" s="1" t="s">
        <v>4480</v>
      </c>
      <c r="F1375" s="1" t="s">
        <v>97</v>
      </c>
      <c r="G1375" s="1" t="s">
        <v>98</v>
      </c>
      <c r="H1375" s="1" t="s">
        <v>37</v>
      </c>
      <c r="I1375" s="1" t="s">
        <v>16</v>
      </c>
      <c r="J1375" s="1">
        <v>1</v>
      </c>
      <c r="K1375" s="1">
        <v>6</v>
      </c>
      <c r="L1375" s="1" t="s">
        <v>31</v>
      </c>
      <c r="M1375" s="1" t="s">
        <v>18</v>
      </c>
      <c r="N1375" s="1" t="s">
        <v>18</v>
      </c>
      <c r="O1375" s="1">
        <v>2</v>
      </c>
      <c r="P1375" s="1">
        <v>6</v>
      </c>
      <c r="R1375" s="1" t="s">
        <v>19</v>
      </c>
      <c r="S1375" s="1" t="s">
        <v>20</v>
      </c>
      <c r="T1375" s="1" t="s">
        <v>21</v>
      </c>
      <c r="U1375" s="1" t="s">
        <v>22</v>
      </c>
      <c r="V1375" s="1" t="s">
        <v>24</v>
      </c>
      <c r="W1375" s="1" t="s">
        <v>24</v>
      </c>
      <c r="X1375" s="1">
        <v>2502</v>
      </c>
      <c r="Y1375" s="1">
        <v>2507</v>
      </c>
      <c r="Z1375" s="1">
        <v>2505</v>
      </c>
      <c r="AA1375" s="1">
        <v>1502</v>
      </c>
      <c r="AB1375" s="1" t="s">
        <v>24</v>
      </c>
      <c r="AC1375" s="1" t="s">
        <v>24</v>
      </c>
      <c r="AD1375" s="1" t="s">
        <v>24</v>
      </c>
      <c r="AE1375" s="1" t="s">
        <v>24</v>
      </c>
      <c r="AF1375" s="22"/>
    </row>
    <row r="1376" spans="1:32" x14ac:dyDescent="0.2">
      <c r="A1376" s="1">
        <v>8446</v>
      </c>
      <c r="B1376" s="1" t="s">
        <v>4481</v>
      </c>
      <c r="C1376" s="5" t="s">
        <v>0</v>
      </c>
      <c r="D1376" s="1" t="s">
        <v>4482</v>
      </c>
      <c r="F1376" s="1" t="s">
        <v>4483</v>
      </c>
      <c r="G1376" s="1" t="s">
        <v>4481</v>
      </c>
      <c r="H1376" s="1" t="s">
        <v>30</v>
      </c>
      <c r="I1376" s="1" t="s">
        <v>16</v>
      </c>
      <c r="J1376" s="1">
        <v>1</v>
      </c>
      <c r="K1376" s="1">
        <v>12</v>
      </c>
      <c r="L1376" s="1" t="s">
        <v>17</v>
      </c>
      <c r="M1376" s="1" t="s">
        <v>18</v>
      </c>
      <c r="N1376" s="1" t="s">
        <v>18</v>
      </c>
      <c r="O1376" s="1">
        <v>2</v>
      </c>
      <c r="P1376" s="1">
        <v>6</v>
      </c>
      <c r="R1376" s="1" t="s">
        <v>19</v>
      </c>
      <c r="S1376" s="1" t="s">
        <v>20</v>
      </c>
      <c r="T1376" s="1" t="s">
        <v>21</v>
      </c>
      <c r="U1376" s="1" t="s">
        <v>22</v>
      </c>
      <c r="V1376" s="1" t="s">
        <v>24</v>
      </c>
      <c r="W1376" s="1" t="s">
        <v>24</v>
      </c>
      <c r="X1376" s="1">
        <v>2735</v>
      </c>
      <c r="Y1376" s="1" t="s">
        <v>24</v>
      </c>
      <c r="Z1376" s="1" t="s">
        <v>24</v>
      </c>
      <c r="AA1376" s="1" t="s">
        <v>24</v>
      </c>
      <c r="AB1376" s="1" t="s">
        <v>24</v>
      </c>
      <c r="AC1376" s="1" t="s">
        <v>24</v>
      </c>
      <c r="AD1376" s="1" t="s">
        <v>24</v>
      </c>
      <c r="AE1376" s="1" t="s">
        <v>24</v>
      </c>
      <c r="AF1376" s="22"/>
    </row>
    <row r="1377" spans="1:32" x14ac:dyDescent="0.2">
      <c r="A1377" s="1">
        <v>8455</v>
      </c>
      <c r="B1377" s="1" t="s">
        <v>4484</v>
      </c>
      <c r="C1377" s="5" t="s">
        <v>0</v>
      </c>
      <c r="D1377" s="1" t="s">
        <v>4485</v>
      </c>
      <c r="E1377" s="1" t="s">
        <v>4486</v>
      </c>
      <c r="F1377" s="1" t="s">
        <v>751</v>
      </c>
      <c r="G1377" s="1" t="s">
        <v>36</v>
      </c>
      <c r="H1377" s="1" t="s">
        <v>37</v>
      </c>
      <c r="I1377" s="1" t="s">
        <v>16</v>
      </c>
      <c r="J1377" s="1">
        <v>1</v>
      </c>
      <c r="K1377" s="1">
        <v>12</v>
      </c>
      <c r="L1377" s="1" t="s">
        <v>31</v>
      </c>
      <c r="M1377" s="1" t="s">
        <v>18</v>
      </c>
      <c r="N1377" s="1" t="s">
        <v>18</v>
      </c>
      <c r="O1377" s="1">
        <v>2</v>
      </c>
      <c r="P1377" s="1">
        <v>6</v>
      </c>
      <c r="R1377" s="1" t="s">
        <v>19</v>
      </c>
      <c r="S1377" s="1" t="s">
        <v>20</v>
      </c>
      <c r="T1377" s="1" t="s">
        <v>21</v>
      </c>
      <c r="U1377" s="1" t="s">
        <v>22</v>
      </c>
      <c r="V1377" s="1" t="s">
        <v>23</v>
      </c>
      <c r="W1377" s="1" t="s">
        <v>24</v>
      </c>
      <c r="X1377" s="1">
        <v>2717</v>
      </c>
      <c r="Y1377" s="1">
        <v>2738</v>
      </c>
      <c r="Z1377" s="1" t="s">
        <v>24</v>
      </c>
      <c r="AA1377" s="1" t="s">
        <v>24</v>
      </c>
      <c r="AB1377" s="1" t="s">
        <v>24</v>
      </c>
      <c r="AC1377" s="1" t="s">
        <v>24</v>
      </c>
      <c r="AD1377" s="1" t="s">
        <v>24</v>
      </c>
      <c r="AE1377" s="1" t="s">
        <v>24</v>
      </c>
      <c r="AF1377" s="22"/>
    </row>
    <row r="1378" spans="1:32" x14ac:dyDescent="0.2">
      <c r="A1378" s="1">
        <v>8457</v>
      </c>
      <c r="B1378" s="1" t="s">
        <v>4487</v>
      </c>
      <c r="C1378" s="5" t="s">
        <v>0</v>
      </c>
      <c r="D1378" s="1" t="s">
        <v>4488</v>
      </c>
      <c r="E1378" s="1" t="s">
        <v>4489</v>
      </c>
      <c r="F1378" s="1" t="s">
        <v>167</v>
      </c>
      <c r="G1378" s="1" t="s">
        <v>130</v>
      </c>
      <c r="H1378" s="1" t="s">
        <v>168</v>
      </c>
      <c r="I1378" s="1" t="s">
        <v>16</v>
      </c>
      <c r="J1378" s="1">
        <v>2</v>
      </c>
      <c r="K1378" s="1">
        <v>4</v>
      </c>
      <c r="L1378" s="1" t="s">
        <v>31</v>
      </c>
      <c r="M1378" s="1" t="s">
        <v>18</v>
      </c>
      <c r="N1378" s="1" t="s">
        <v>18</v>
      </c>
      <c r="O1378" s="1">
        <v>3</v>
      </c>
      <c r="P1378" s="1">
        <v>6</v>
      </c>
      <c r="R1378" s="1" t="s">
        <v>19</v>
      </c>
      <c r="S1378" s="1" t="s">
        <v>20</v>
      </c>
      <c r="T1378" s="1" t="s">
        <v>21</v>
      </c>
      <c r="U1378" s="1" t="s">
        <v>22</v>
      </c>
      <c r="V1378" s="1" t="s">
        <v>24</v>
      </c>
      <c r="W1378" s="1" t="s">
        <v>24</v>
      </c>
      <c r="X1378" s="1">
        <v>2729</v>
      </c>
      <c r="Y1378" s="1" t="s">
        <v>24</v>
      </c>
      <c r="Z1378" s="1" t="s">
        <v>24</v>
      </c>
      <c r="AA1378" s="1" t="s">
        <v>24</v>
      </c>
      <c r="AB1378" s="1" t="s">
        <v>24</v>
      </c>
      <c r="AC1378" s="1" t="s">
        <v>24</v>
      </c>
      <c r="AD1378" s="1" t="s">
        <v>24</v>
      </c>
      <c r="AE1378" s="1" t="s">
        <v>24</v>
      </c>
      <c r="AF1378" s="22"/>
    </row>
    <row r="1379" spans="1:32" x14ac:dyDescent="0.2">
      <c r="A1379" s="1">
        <v>8459</v>
      </c>
      <c r="B1379" s="1" t="s">
        <v>4490</v>
      </c>
      <c r="C1379" s="5" t="s">
        <v>0</v>
      </c>
      <c r="D1379" s="1" t="s">
        <v>4491</v>
      </c>
      <c r="E1379" s="1" t="s">
        <v>4492</v>
      </c>
      <c r="F1379" s="1" t="s">
        <v>85</v>
      </c>
      <c r="G1379" s="1" t="s">
        <v>61</v>
      </c>
      <c r="H1379" s="1" t="s">
        <v>86</v>
      </c>
      <c r="I1379" s="1" t="s">
        <v>16</v>
      </c>
      <c r="J1379" s="1">
        <v>1</v>
      </c>
      <c r="K1379" s="1">
        <v>6</v>
      </c>
      <c r="L1379" s="1" t="s">
        <v>31</v>
      </c>
      <c r="M1379" s="1" t="s">
        <v>87</v>
      </c>
      <c r="N1379" s="1" t="s">
        <v>18</v>
      </c>
      <c r="O1379" s="1">
        <v>3</v>
      </c>
      <c r="P1379" s="1">
        <v>6</v>
      </c>
      <c r="R1379" s="1" t="s">
        <v>19</v>
      </c>
      <c r="S1379" s="1" t="s">
        <v>20</v>
      </c>
      <c r="T1379" s="1" t="s">
        <v>21</v>
      </c>
      <c r="U1379" s="1" t="s">
        <v>22</v>
      </c>
      <c r="V1379" s="1" t="s">
        <v>24</v>
      </c>
      <c r="W1379" s="1" t="s">
        <v>24</v>
      </c>
      <c r="X1379" s="1">
        <v>2728</v>
      </c>
      <c r="Y1379" s="1">
        <v>2737</v>
      </c>
      <c r="Z1379" s="1">
        <v>2808</v>
      </c>
      <c r="AA1379" s="1" t="s">
        <v>24</v>
      </c>
      <c r="AB1379" s="1" t="s">
        <v>24</v>
      </c>
      <c r="AC1379" s="1" t="s">
        <v>24</v>
      </c>
      <c r="AD1379" s="1" t="s">
        <v>24</v>
      </c>
      <c r="AE1379" s="1" t="s">
        <v>24</v>
      </c>
      <c r="AF1379" s="22"/>
    </row>
    <row r="1380" spans="1:32" x14ac:dyDescent="0.2">
      <c r="A1380" s="1">
        <v>8462</v>
      </c>
      <c r="B1380" s="1" t="s">
        <v>4493</v>
      </c>
      <c r="C1380" s="5" t="s">
        <v>0</v>
      </c>
      <c r="D1380" s="1" t="s">
        <v>4494</v>
      </c>
      <c r="E1380" s="1" t="s">
        <v>4495</v>
      </c>
      <c r="F1380" s="1" t="s">
        <v>831</v>
      </c>
      <c r="G1380" s="1" t="s">
        <v>61</v>
      </c>
      <c r="H1380" s="1" t="s">
        <v>37</v>
      </c>
      <c r="I1380" s="1" t="s">
        <v>16</v>
      </c>
      <c r="J1380" s="1">
        <v>1</v>
      </c>
      <c r="K1380" s="1">
        <v>6</v>
      </c>
      <c r="L1380" s="1" t="s">
        <v>31</v>
      </c>
      <c r="M1380" s="1" t="s">
        <v>18</v>
      </c>
      <c r="N1380" s="1" t="s">
        <v>18</v>
      </c>
      <c r="O1380" s="1">
        <v>2</v>
      </c>
      <c r="P1380" s="1">
        <v>7</v>
      </c>
      <c r="Q1380" s="7" t="s">
        <v>17633</v>
      </c>
      <c r="R1380" s="1" t="s">
        <v>62</v>
      </c>
      <c r="S1380" s="1" t="s">
        <v>20</v>
      </c>
      <c r="T1380" s="1" t="s">
        <v>21</v>
      </c>
      <c r="U1380" s="1" t="s">
        <v>22</v>
      </c>
      <c r="V1380" s="1" t="s">
        <v>24</v>
      </c>
      <c r="W1380" s="1" t="s">
        <v>24</v>
      </c>
      <c r="X1380" s="1">
        <v>2720</v>
      </c>
      <c r="Y1380" s="1">
        <v>2730</v>
      </c>
      <c r="Z1380" s="1" t="s">
        <v>24</v>
      </c>
      <c r="AA1380" s="1" t="s">
        <v>24</v>
      </c>
      <c r="AB1380" s="1" t="s">
        <v>24</v>
      </c>
      <c r="AC1380" s="1" t="s">
        <v>24</v>
      </c>
      <c r="AD1380" s="1" t="s">
        <v>24</v>
      </c>
      <c r="AE1380" s="1" t="s">
        <v>24</v>
      </c>
      <c r="AF1380" s="22"/>
    </row>
    <row r="1381" spans="1:32" x14ac:dyDescent="0.2">
      <c r="A1381" s="1">
        <v>8463</v>
      </c>
      <c r="B1381" s="1" t="s">
        <v>4496</v>
      </c>
      <c r="C1381" s="5" t="s">
        <v>0</v>
      </c>
      <c r="D1381" s="1" t="s">
        <v>4497</v>
      </c>
      <c r="F1381" s="1" t="s">
        <v>4498</v>
      </c>
      <c r="G1381" s="1" t="s">
        <v>3649</v>
      </c>
      <c r="H1381" s="1" t="s">
        <v>878</v>
      </c>
      <c r="I1381" s="1" t="s">
        <v>16</v>
      </c>
      <c r="J1381" s="1">
        <v>1</v>
      </c>
      <c r="K1381" s="1">
        <v>6</v>
      </c>
      <c r="L1381" s="1" t="s">
        <v>17</v>
      </c>
      <c r="M1381" s="1" t="s">
        <v>117</v>
      </c>
      <c r="N1381" s="1" t="s">
        <v>18</v>
      </c>
      <c r="O1381" s="1">
        <v>3</v>
      </c>
      <c r="P1381" s="1">
        <v>5</v>
      </c>
      <c r="R1381" s="1" t="s">
        <v>19</v>
      </c>
      <c r="S1381" s="1" t="s">
        <v>20</v>
      </c>
      <c r="T1381" s="1" t="s">
        <v>21</v>
      </c>
      <c r="U1381" s="1" t="s">
        <v>22</v>
      </c>
      <c r="V1381" s="1" t="s">
        <v>24</v>
      </c>
      <c r="W1381" s="1" t="s">
        <v>24</v>
      </c>
      <c r="X1381" s="1">
        <v>2700</v>
      </c>
      <c r="Y1381" s="1" t="s">
        <v>24</v>
      </c>
      <c r="Z1381" s="1" t="s">
        <v>24</v>
      </c>
      <c r="AA1381" s="1" t="s">
        <v>24</v>
      </c>
      <c r="AB1381" s="1" t="s">
        <v>24</v>
      </c>
      <c r="AC1381" s="1" t="s">
        <v>24</v>
      </c>
      <c r="AD1381" s="1" t="s">
        <v>24</v>
      </c>
      <c r="AE1381" s="1" t="s">
        <v>24</v>
      </c>
      <c r="AF1381" s="22"/>
    </row>
    <row r="1382" spans="1:32" x14ac:dyDescent="0.2">
      <c r="A1382" s="1">
        <v>8465</v>
      </c>
      <c r="B1382" s="1" t="s">
        <v>4499</v>
      </c>
      <c r="C1382" s="5" t="s">
        <v>0</v>
      </c>
      <c r="D1382" s="1" t="s">
        <v>4500</v>
      </c>
      <c r="E1382" s="1" t="s">
        <v>4501</v>
      </c>
      <c r="F1382" s="1" t="s">
        <v>4502</v>
      </c>
      <c r="G1382" s="1" t="s">
        <v>4502</v>
      </c>
      <c r="H1382" s="1" t="s">
        <v>111</v>
      </c>
      <c r="I1382" s="1" t="s">
        <v>16</v>
      </c>
      <c r="J1382" s="1">
        <v>2</v>
      </c>
      <c r="K1382" s="1">
        <v>6</v>
      </c>
      <c r="L1382" s="1" t="s">
        <v>42</v>
      </c>
      <c r="M1382" s="1" t="s">
        <v>18</v>
      </c>
      <c r="N1382" s="1" t="s">
        <v>18</v>
      </c>
      <c r="O1382" s="1">
        <v>3</v>
      </c>
      <c r="P1382" s="1">
        <v>7</v>
      </c>
      <c r="Q1382" s="7" t="s">
        <v>17633</v>
      </c>
      <c r="R1382" s="1" t="s">
        <v>62</v>
      </c>
      <c r="S1382" s="1" t="s">
        <v>20</v>
      </c>
      <c r="T1382" s="1" t="s">
        <v>21</v>
      </c>
      <c r="U1382" s="1" t="s">
        <v>22</v>
      </c>
      <c r="V1382" s="1" t="s">
        <v>24</v>
      </c>
      <c r="W1382" s="1" t="s">
        <v>24</v>
      </c>
      <c r="X1382" s="1">
        <v>2740</v>
      </c>
      <c r="Y1382" s="1" t="s">
        <v>24</v>
      </c>
      <c r="Z1382" s="1" t="s">
        <v>24</v>
      </c>
      <c r="AA1382" s="1" t="s">
        <v>24</v>
      </c>
      <c r="AB1382" s="1" t="s">
        <v>24</v>
      </c>
      <c r="AC1382" s="1" t="s">
        <v>24</v>
      </c>
      <c r="AD1382" s="1" t="s">
        <v>24</v>
      </c>
      <c r="AE1382" s="1" t="s">
        <v>24</v>
      </c>
      <c r="AF1382" s="22"/>
    </row>
    <row r="1383" spans="1:32" x14ac:dyDescent="0.2">
      <c r="A1383" s="1">
        <v>8466</v>
      </c>
      <c r="B1383" s="1" t="s">
        <v>4503</v>
      </c>
      <c r="C1383" s="5" t="s">
        <v>0</v>
      </c>
      <c r="D1383" s="1" t="s">
        <v>4504</v>
      </c>
      <c r="E1383" s="1" t="s">
        <v>4505</v>
      </c>
      <c r="F1383" s="1" t="s">
        <v>50</v>
      </c>
      <c r="G1383" s="1" t="s">
        <v>36</v>
      </c>
      <c r="H1383" s="1" t="s">
        <v>51</v>
      </c>
      <c r="I1383" s="1" t="s">
        <v>16</v>
      </c>
      <c r="J1383" s="1">
        <v>1</v>
      </c>
      <c r="K1383" s="1">
        <v>12</v>
      </c>
      <c r="L1383" s="1" t="s">
        <v>31</v>
      </c>
      <c r="M1383" s="1" t="s">
        <v>18</v>
      </c>
      <c r="N1383" s="1" t="s">
        <v>18</v>
      </c>
      <c r="O1383" s="1">
        <v>3</v>
      </c>
      <c r="P1383" s="1">
        <v>7</v>
      </c>
      <c r="Q1383" s="7" t="s">
        <v>17633</v>
      </c>
      <c r="R1383" s="1" t="s">
        <v>19</v>
      </c>
      <c r="S1383" s="1" t="s">
        <v>20</v>
      </c>
      <c r="T1383" s="1" t="s">
        <v>21</v>
      </c>
      <c r="U1383" s="1" t="s">
        <v>22</v>
      </c>
      <c r="V1383" s="1" t="s">
        <v>24</v>
      </c>
      <c r="W1383" s="1" t="s">
        <v>24</v>
      </c>
      <c r="X1383" s="1">
        <v>2734</v>
      </c>
      <c r="Y1383" s="1">
        <v>2726</v>
      </c>
      <c r="Z1383" s="1">
        <v>2723</v>
      </c>
      <c r="AA1383" s="1" t="s">
        <v>24</v>
      </c>
      <c r="AB1383" s="1" t="s">
        <v>24</v>
      </c>
      <c r="AC1383" s="1" t="s">
        <v>24</v>
      </c>
      <c r="AD1383" s="1" t="s">
        <v>24</v>
      </c>
      <c r="AE1383" s="1" t="s">
        <v>24</v>
      </c>
      <c r="AF1383" s="22"/>
    </row>
    <row r="1384" spans="1:32" x14ac:dyDescent="0.2">
      <c r="A1384" s="1">
        <v>8469</v>
      </c>
      <c r="B1384" s="1" t="s">
        <v>4506</v>
      </c>
      <c r="C1384" s="5" t="s">
        <v>0</v>
      </c>
      <c r="D1384" s="1" t="s">
        <v>4507</v>
      </c>
      <c r="E1384" s="1" t="s">
        <v>4508</v>
      </c>
      <c r="F1384" s="1" t="s">
        <v>194</v>
      </c>
      <c r="G1384" s="1" t="s">
        <v>61</v>
      </c>
      <c r="H1384" s="1" t="s">
        <v>30</v>
      </c>
      <c r="I1384" s="1" t="s">
        <v>16</v>
      </c>
      <c r="J1384" s="1">
        <v>1</v>
      </c>
      <c r="K1384" s="1">
        <v>4</v>
      </c>
      <c r="L1384" s="1" t="s">
        <v>31</v>
      </c>
      <c r="M1384" s="1" t="s">
        <v>18</v>
      </c>
      <c r="N1384" s="1" t="s">
        <v>18</v>
      </c>
      <c r="O1384" s="1">
        <v>3</v>
      </c>
      <c r="P1384" s="1">
        <v>6</v>
      </c>
      <c r="R1384" s="1" t="s">
        <v>19</v>
      </c>
      <c r="S1384" s="1" t="s">
        <v>20</v>
      </c>
      <c r="T1384" s="1" t="s">
        <v>21</v>
      </c>
      <c r="U1384" s="1" t="s">
        <v>22</v>
      </c>
      <c r="V1384" s="1" t="s">
        <v>23</v>
      </c>
      <c r="W1384" s="1" t="s">
        <v>24</v>
      </c>
      <c r="X1384" s="1">
        <v>2733</v>
      </c>
      <c r="Y1384" s="1">
        <v>3616</v>
      </c>
      <c r="Z1384" s="1">
        <v>2912</v>
      </c>
      <c r="AA1384" s="1" t="s">
        <v>24</v>
      </c>
      <c r="AB1384" s="1" t="s">
        <v>24</v>
      </c>
      <c r="AC1384" s="1" t="s">
        <v>24</v>
      </c>
      <c r="AD1384" s="1" t="s">
        <v>24</v>
      </c>
      <c r="AE1384" s="1" t="s">
        <v>24</v>
      </c>
      <c r="AF1384" s="22"/>
    </row>
    <row r="1385" spans="1:32" x14ac:dyDescent="0.2">
      <c r="A1385" s="1">
        <v>8472</v>
      </c>
      <c r="B1385" s="1" t="s">
        <v>4509</v>
      </c>
      <c r="C1385" s="5" t="s">
        <v>0</v>
      </c>
      <c r="D1385" s="1" t="s">
        <v>4510</v>
      </c>
      <c r="E1385" s="1" t="s">
        <v>4511</v>
      </c>
      <c r="F1385" s="1" t="s">
        <v>4512</v>
      </c>
      <c r="G1385" s="1" t="s">
        <v>460</v>
      </c>
      <c r="H1385" s="1" t="s">
        <v>461</v>
      </c>
      <c r="I1385" s="1" t="s">
        <v>16</v>
      </c>
      <c r="J1385" s="1">
        <v>1</v>
      </c>
      <c r="K1385" s="1">
        <v>6</v>
      </c>
      <c r="L1385" s="1" t="s">
        <v>42</v>
      </c>
      <c r="M1385" s="1" t="s">
        <v>1735</v>
      </c>
      <c r="N1385" s="1" t="s">
        <v>18</v>
      </c>
      <c r="O1385" s="1">
        <v>3</v>
      </c>
      <c r="P1385" s="1">
        <v>5</v>
      </c>
      <c r="R1385" s="1" t="s">
        <v>19</v>
      </c>
      <c r="S1385" s="1" t="s">
        <v>20</v>
      </c>
      <c r="T1385" s="1" t="s">
        <v>21</v>
      </c>
      <c r="U1385" s="1" t="s">
        <v>22</v>
      </c>
      <c r="V1385" s="1" t="s">
        <v>24</v>
      </c>
      <c r="W1385" s="1" t="s">
        <v>24</v>
      </c>
      <c r="X1385" s="1">
        <v>2700</v>
      </c>
      <c r="Y1385" s="1" t="s">
        <v>24</v>
      </c>
      <c r="Z1385" s="1" t="s">
        <v>24</v>
      </c>
      <c r="AA1385" s="1" t="s">
        <v>24</v>
      </c>
      <c r="AB1385" s="1" t="s">
        <v>24</v>
      </c>
      <c r="AC1385" s="1" t="s">
        <v>24</v>
      </c>
      <c r="AD1385" s="1" t="s">
        <v>24</v>
      </c>
      <c r="AE1385" s="1" t="s">
        <v>24</v>
      </c>
      <c r="AF1385" s="22"/>
    </row>
    <row r="1386" spans="1:32" x14ac:dyDescent="0.2">
      <c r="A1386" s="1">
        <v>8474</v>
      </c>
      <c r="B1386" s="1" t="s">
        <v>4513</v>
      </c>
      <c r="C1386" s="5" t="s">
        <v>0</v>
      </c>
      <c r="D1386" s="1" t="s">
        <v>4514</v>
      </c>
      <c r="E1386" s="1" t="s">
        <v>4515</v>
      </c>
      <c r="F1386" s="1" t="s">
        <v>291</v>
      </c>
      <c r="G1386" s="1" t="s">
        <v>292</v>
      </c>
      <c r="H1386" s="1" t="s">
        <v>37</v>
      </c>
      <c r="I1386" s="1" t="s">
        <v>16</v>
      </c>
      <c r="J1386" s="1">
        <v>1</v>
      </c>
      <c r="K1386" s="1">
        <v>6</v>
      </c>
      <c r="L1386" s="1" t="s">
        <v>31</v>
      </c>
      <c r="M1386" s="1" t="s">
        <v>18</v>
      </c>
      <c r="N1386" s="1" t="s">
        <v>18</v>
      </c>
      <c r="O1386" s="1">
        <v>3</v>
      </c>
      <c r="P1386" s="1">
        <v>7</v>
      </c>
      <c r="Q1386" s="7" t="s">
        <v>17633</v>
      </c>
      <c r="R1386" s="1" t="s">
        <v>19</v>
      </c>
      <c r="S1386" s="1" t="s">
        <v>20</v>
      </c>
      <c r="T1386" s="1" t="s">
        <v>21</v>
      </c>
      <c r="U1386" s="1" t="s">
        <v>22</v>
      </c>
      <c r="V1386" s="1" t="s">
        <v>24</v>
      </c>
      <c r="W1386" s="1" t="s">
        <v>24</v>
      </c>
      <c r="X1386" s="1">
        <v>2728</v>
      </c>
      <c r="Y1386" s="1">
        <v>2746</v>
      </c>
      <c r="Z1386" s="1" t="s">
        <v>24</v>
      </c>
      <c r="AA1386" s="1" t="s">
        <v>24</v>
      </c>
      <c r="AB1386" s="1" t="s">
        <v>24</v>
      </c>
      <c r="AC1386" s="1" t="s">
        <v>24</v>
      </c>
      <c r="AD1386" s="1" t="s">
        <v>24</v>
      </c>
      <c r="AE1386" s="1" t="s">
        <v>24</v>
      </c>
      <c r="AF1386" s="22"/>
    </row>
    <row r="1387" spans="1:32" x14ac:dyDescent="0.2">
      <c r="A1387" s="1">
        <v>8475</v>
      </c>
      <c r="B1387" s="1" t="s">
        <v>4516</v>
      </c>
      <c r="C1387" s="5" t="s">
        <v>0</v>
      </c>
      <c r="D1387" s="1" t="s">
        <v>4517</v>
      </c>
      <c r="E1387" s="1" t="s">
        <v>4518</v>
      </c>
      <c r="F1387" s="1" t="s">
        <v>673</v>
      </c>
      <c r="G1387" s="1" t="s">
        <v>61</v>
      </c>
      <c r="H1387" s="1" t="s">
        <v>30</v>
      </c>
      <c r="I1387" s="1" t="s">
        <v>16</v>
      </c>
      <c r="J1387" s="1">
        <v>1</v>
      </c>
      <c r="K1387" s="1">
        <v>12</v>
      </c>
      <c r="L1387" s="1" t="s">
        <v>31</v>
      </c>
      <c r="M1387" s="1" t="s">
        <v>18</v>
      </c>
      <c r="N1387" s="1" t="s">
        <v>18</v>
      </c>
      <c r="O1387" s="1">
        <v>3</v>
      </c>
      <c r="P1387" s="1">
        <v>7</v>
      </c>
      <c r="Q1387" s="7" t="s">
        <v>17633</v>
      </c>
      <c r="R1387" s="1" t="s">
        <v>19</v>
      </c>
      <c r="S1387" s="1" t="s">
        <v>20</v>
      </c>
      <c r="T1387" s="1" t="s">
        <v>21</v>
      </c>
      <c r="U1387" s="1" t="s">
        <v>22</v>
      </c>
      <c r="V1387" s="1" t="s">
        <v>24</v>
      </c>
      <c r="W1387" s="1" t="s">
        <v>24</v>
      </c>
      <c r="X1387" s="1">
        <v>2713</v>
      </c>
      <c r="Y1387" s="1" t="s">
        <v>24</v>
      </c>
      <c r="Z1387" s="1" t="s">
        <v>24</v>
      </c>
      <c r="AA1387" s="1" t="s">
        <v>24</v>
      </c>
      <c r="AB1387" s="1" t="s">
        <v>24</v>
      </c>
      <c r="AC1387" s="1" t="s">
        <v>24</v>
      </c>
      <c r="AD1387" s="1" t="s">
        <v>24</v>
      </c>
      <c r="AE1387" s="1" t="s">
        <v>24</v>
      </c>
      <c r="AF1387" s="22"/>
    </row>
    <row r="1388" spans="1:32" x14ac:dyDescent="0.2">
      <c r="A1388" s="1">
        <v>8477</v>
      </c>
      <c r="B1388" s="1" t="s">
        <v>4519</v>
      </c>
      <c r="C1388" s="5" t="s">
        <v>0</v>
      </c>
      <c r="D1388" s="1" t="s">
        <v>4520</v>
      </c>
      <c r="E1388" s="1" t="s">
        <v>4521</v>
      </c>
      <c r="F1388" s="1" t="s">
        <v>1808</v>
      </c>
      <c r="G1388" s="1" t="s">
        <v>130</v>
      </c>
      <c r="H1388" s="1" t="s">
        <v>461</v>
      </c>
      <c r="I1388" s="1" t="s">
        <v>16</v>
      </c>
      <c r="J1388" s="1">
        <v>1</v>
      </c>
      <c r="K1388" s="1">
        <v>8</v>
      </c>
      <c r="L1388" s="1" t="s">
        <v>31</v>
      </c>
      <c r="M1388" s="1" t="s">
        <v>18</v>
      </c>
      <c r="N1388" s="1" t="s">
        <v>18</v>
      </c>
      <c r="O1388" s="1">
        <v>3</v>
      </c>
      <c r="P1388" s="1">
        <v>7</v>
      </c>
      <c r="Q1388" s="7" t="s">
        <v>17633</v>
      </c>
      <c r="R1388" s="1" t="s">
        <v>19</v>
      </c>
      <c r="S1388" s="1" t="s">
        <v>20</v>
      </c>
      <c r="T1388" s="1" t="s">
        <v>21</v>
      </c>
      <c r="U1388" s="1" t="s">
        <v>22</v>
      </c>
      <c r="V1388" s="1" t="s">
        <v>23</v>
      </c>
      <c r="W1388" s="1" t="s">
        <v>24</v>
      </c>
      <c r="X1388" s="1">
        <v>2741</v>
      </c>
      <c r="Y1388" s="1" t="s">
        <v>24</v>
      </c>
      <c r="Z1388" s="1" t="s">
        <v>24</v>
      </c>
      <c r="AA1388" s="1" t="s">
        <v>24</v>
      </c>
      <c r="AB1388" s="1" t="s">
        <v>24</v>
      </c>
      <c r="AC1388" s="1" t="s">
        <v>24</v>
      </c>
      <c r="AD1388" s="1" t="s">
        <v>24</v>
      </c>
      <c r="AE1388" s="1" t="s">
        <v>24</v>
      </c>
      <c r="AF1388" s="22"/>
    </row>
    <row r="1389" spans="1:32" x14ac:dyDescent="0.2">
      <c r="A1389" s="1">
        <v>8482</v>
      </c>
      <c r="B1389" s="1" t="s">
        <v>4522</v>
      </c>
      <c r="C1389" s="5" t="s">
        <v>0</v>
      </c>
      <c r="D1389" s="1" t="s">
        <v>4523</v>
      </c>
      <c r="E1389" s="1" t="s">
        <v>4524</v>
      </c>
      <c r="F1389" s="1" t="s">
        <v>291</v>
      </c>
      <c r="G1389" s="1" t="s">
        <v>292</v>
      </c>
      <c r="H1389" s="1" t="s">
        <v>37</v>
      </c>
      <c r="I1389" s="1" t="s">
        <v>16</v>
      </c>
      <c r="J1389" s="1">
        <v>1</v>
      </c>
      <c r="K1389" s="1">
        <v>14</v>
      </c>
      <c r="L1389" s="1" t="s">
        <v>31</v>
      </c>
      <c r="M1389" s="1" t="s">
        <v>18</v>
      </c>
      <c r="N1389" s="1" t="s">
        <v>18</v>
      </c>
      <c r="O1389" s="1">
        <v>3</v>
      </c>
      <c r="P1389" s="1">
        <v>6</v>
      </c>
      <c r="R1389" s="1" t="s">
        <v>19</v>
      </c>
      <c r="S1389" s="1" t="s">
        <v>20</v>
      </c>
      <c r="T1389" s="1" t="s">
        <v>21</v>
      </c>
      <c r="U1389" s="1" t="s">
        <v>22</v>
      </c>
      <c r="V1389" s="1" t="s">
        <v>23</v>
      </c>
      <c r="W1389" s="1" t="s">
        <v>24</v>
      </c>
      <c r="X1389" s="1">
        <v>2728</v>
      </c>
      <c r="Y1389" s="1">
        <v>1201</v>
      </c>
      <c r="Z1389" s="1">
        <v>3204</v>
      </c>
      <c r="AA1389" s="1" t="s">
        <v>24</v>
      </c>
      <c r="AB1389" s="1" t="s">
        <v>24</v>
      </c>
      <c r="AC1389" s="1" t="s">
        <v>24</v>
      </c>
      <c r="AD1389" s="1" t="s">
        <v>24</v>
      </c>
      <c r="AE1389" s="1" t="s">
        <v>24</v>
      </c>
      <c r="AF1389" s="22"/>
    </row>
    <row r="1390" spans="1:32" x14ac:dyDescent="0.2">
      <c r="A1390" s="1">
        <v>8486</v>
      </c>
      <c r="B1390" s="1" t="s">
        <v>4525</v>
      </c>
      <c r="C1390" s="5" t="s">
        <v>0</v>
      </c>
      <c r="D1390" s="1" t="s">
        <v>4526</v>
      </c>
      <c r="F1390" s="1" t="s">
        <v>4525</v>
      </c>
      <c r="G1390" s="1" t="s">
        <v>4525</v>
      </c>
      <c r="H1390" s="1" t="s">
        <v>1007</v>
      </c>
      <c r="I1390" s="1" t="s">
        <v>16</v>
      </c>
      <c r="J1390" s="1">
        <v>1</v>
      </c>
      <c r="K1390" s="1">
        <v>6</v>
      </c>
      <c r="L1390" s="1" t="s">
        <v>17</v>
      </c>
      <c r="M1390" s="1" t="s">
        <v>1008</v>
      </c>
      <c r="N1390" s="1" t="s">
        <v>18</v>
      </c>
      <c r="O1390" s="1">
        <v>1</v>
      </c>
      <c r="P1390" s="1">
        <v>5</v>
      </c>
      <c r="R1390" s="1" t="s">
        <v>19</v>
      </c>
      <c r="S1390" s="1" t="s">
        <v>20</v>
      </c>
      <c r="T1390" s="1" t="s">
        <v>21</v>
      </c>
      <c r="U1390" s="1" t="s">
        <v>22</v>
      </c>
      <c r="V1390" s="1" t="s">
        <v>24</v>
      </c>
      <c r="W1390" s="1" t="s">
        <v>24</v>
      </c>
      <c r="X1390" s="1">
        <v>3004</v>
      </c>
      <c r="Y1390" s="1">
        <v>3005</v>
      </c>
      <c r="Z1390" s="1" t="s">
        <v>24</v>
      </c>
      <c r="AA1390" s="1" t="s">
        <v>24</v>
      </c>
      <c r="AB1390" s="1" t="s">
        <v>24</v>
      </c>
      <c r="AC1390" s="1" t="s">
        <v>24</v>
      </c>
      <c r="AD1390" s="1" t="s">
        <v>24</v>
      </c>
      <c r="AE1390" s="1" t="s">
        <v>24</v>
      </c>
      <c r="AF1390" s="22"/>
    </row>
    <row r="1391" spans="1:32" x14ac:dyDescent="0.2">
      <c r="A1391" s="1">
        <v>8490</v>
      </c>
      <c r="B1391" s="1" t="s">
        <v>4527</v>
      </c>
      <c r="C1391" s="5" t="s">
        <v>0</v>
      </c>
      <c r="D1391" s="1" t="s">
        <v>4528</v>
      </c>
      <c r="E1391" s="1" t="s">
        <v>4529</v>
      </c>
      <c r="F1391" s="1" t="s">
        <v>303</v>
      </c>
      <c r="G1391" s="1" t="s">
        <v>61</v>
      </c>
      <c r="H1391" s="1" t="s">
        <v>30</v>
      </c>
      <c r="I1391" s="1" t="s">
        <v>16</v>
      </c>
      <c r="J1391" s="1">
        <v>1</v>
      </c>
      <c r="K1391" s="1">
        <v>4</v>
      </c>
      <c r="L1391" s="1" t="s">
        <v>31</v>
      </c>
      <c r="M1391" s="1" t="s">
        <v>18</v>
      </c>
      <c r="N1391" s="1" t="s">
        <v>18</v>
      </c>
      <c r="O1391" s="1">
        <v>3</v>
      </c>
      <c r="P1391" s="1">
        <v>7</v>
      </c>
      <c r="Q1391" s="7" t="s">
        <v>17633</v>
      </c>
      <c r="R1391" s="1" t="s">
        <v>62</v>
      </c>
      <c r="S1391" s="1" t="s">
        <v>20</v>
      </c>
      <c r="T1391" s="1" t="s">
        <v>21</v>
      </c>
      <c r="U1391" s="1" t="s">
        <v>22</v>
      </c>
      <c r="V1391" s="1" t="s">
        <v>23</v>
      </c>
      <c r="W1391" s="1" t="s">
        <v>24</v>
      </c>
      <c r="X1391" s="1">
        <v>1310</v>
      </c>
      <c r="Y1391" s="1">
        <v>2712</v>
      </c>
      <c r="Z1391" s="1" t="s">
        <v>24</v>
      </c>
      <c r="AA1391" s="1" t="s">
        <v>24</v>
      </c>
      <c r="AB1391" s="1" t="s">
        <v>24</v>
      </c>
      <c r="AC1391" s="1" t="s">
        <v>24</v>
      </c>
      <c r="AD1391" s="1" t="s">
        <v>24</v>
      </c>
      <c r="AE1391" s="1" t="s">
        <v>24</v>
      </c>
      <c r="AF1391" s="22"/>
    </row>
    <row r="1392" spans="1:32" x14ac:dyDescent="0.2">
      <c r="A1392" s="1">
        <v>8491</v>
      </c>
      <c r="B1392" s="1" t="s">
        <v>4530</v>
      </c>
      <c r="C1392" s="5" t="s">
        <v>0</v>
      </c>
      <c r="D1392" s="1" t="s">
        <v>4531</v>
      </c>
      <c r="E1392" s="1" t="s">
        <v>4532</v>
      </c>
      <c r="F1392" s="1" t="s">
        <v>303</v>
      </c>
      <c r="G1392" s="1" t="s">
        <v>61</v>
      </c>
      <c r="H1392" s="1" t="s">
        <v>30</v>
      </c>
      <c r="I1392" s="1" t="s">
        <v>16</v>
      </c>
      <c r="J1392" s="1">
        <v>1</v>
      </c>
      <c r="K1392" s="1">
        <v>4</v>
      </c>
      <c r="L1392" s="1" t="s">
        <v>31</v>
      </c>
      <c r="M1392" s="1" t="s">
        <v>18</v>
      </c>
      <c r="N1392" s="1" t="s">
        <v>18</v>
      </c>
      <c r="O1392" s="1">
        <v>2</v>
      </c>
      <c r="P1392" s="1">
        <v>6</v>
      </c>
      <c r="R1392" s="1" t="s">
        <v>19</v>
      </c>
      <c r="S1392" s="1" t="s">
        <v>20</v>
      </c>
      <c r="T1392" s="1" t="s">
        <v>21</v>
      </c>
      <c r="U1392" s="1" t="s">
        <v>22</v>
      </c>
      <c r="V1392" s="1" t="s">
        <v>23</v>
      </c>
      <c r="W1392" s="1" t="s">
        <v>24</v>
      </c>
      <c r="X1392" s="1">
        <v>2715</v>
      </c>
      <c r="Y1392" s="1" t="s">
        <v>24</v>
      </c>
      <c r="Z1392" s="1" t="s">
        <v>24</v>
      </c>
      <c r="AA1392" s="1" t="s">
        <v>24</v>
      </c>
      <c r="AB1392" s="1" t="s">
        <v>24</v>
      </c>
      <c r="AC1392" s="1" t="s">
        <v>24</v>
      </c>
      <c r="AD1392" s="1" t="s">
        <v>24</v>
      </c>
      <c r="AE1392" s="1" t="s">
        <v>24</v>
      </c>
      <c r="AF1392" s="22"/>
    </row>
    <row r="1393" spans="1:32" x14ac:dyDescent="0.2">
      <c r="A1393" s="1">
        <v>8492</v>
      </c>
      <c r="B1393" s="1" t="s">
        <v>4533</v>
      </c>
      <c r="C1393" s="5" t="s">
        <v>0</v>
      </c>
      <c r="D1393" s="1" t="s">
        <v>4534</v>
      </c>
      <c r="E1393" s="1" t="s">
        <v>4535</v>
      </c>
      <c r="F1393" s="1" t="s">
        <v>303</v>
      </c>
      <c r="G1393" s="1" t="s">
        <v>61</v>
      </c>
      <c r="H1393" s="1" t="s">
        <v>30</v>
      </c>
      <c r="I1393" s="1" t="s">
        <v>16</v>
      </c>
      <c r="J1393" s="1">
        <v>1</v>
      </c>
      <c r="K1393" s="1">
        <v>6</v>
      </c>
      <c r="L1393" s="1" t="s">
        <v>31</v>
      </c>
      <c r="M1393" s="1" t="s">
        <v>18</v>
      </c>
      <c r="N1393" s="1" t="s">
        <v>18</v>
      </c>
      <c r="O1393" s="1">
        <v>2</v>
      </c>
      <c r="P1393" s="1">
        <v>7</v>
      </c>
      <c r="Q1393" s="7" t="s">
        <v>17633</v>
      </c>
      <c r="R1393" s="1" t="s">
        <v>19</v>
      </c>
      <c r="S1393" s="1" t="s">
        <v>20</v>
      </c>
      <c r="T1393" s="1" t="s">
        <v>21</v>
      </c>
      <c r="U1393" s="1" t="s">
        <v>22</v>
      </c>
      <c r="V1393" s="1" t="s">
        <v>23</v>
      </c>
      <c r="W1393" s="1" t="s">
        <v>24</v>
      </c>
      <c r="X1393" s="1">
        <v>2730</v>
      </c>
      <c r="Y1393" s="1">
        <v>2720</v>
      </c>
      <c r="Z1393" s="1" t="s">
        <v>24</v>
      </c>
      <c r="AA1393" s="1" t="s">
        <v>24</v>
      </c>
      <c r="AB1393" s="1" t="s">
        <v>24</v>
      </c>
      <c r="AC1393" s="1" t="s">
        <v>24</v>
      </c>
      <c r="AD1393" s="1" t="s">
        <v>24</v>
      </c>
      <c r="AE1393" s="1" t="s">
        <v>24</v>
      </c>
      <c r="AF1393" s="22"/>
    </row>
    <row r="1394" spans="1:32" x14ac:dyDescent="0.2">
      <c r="A1394" s="1">
        <v>8493</v>
      </c>
      <c r="B1394" s="1" t="s">
        <v>4536</v>
      </c>
      <c r="C1394" s="5" t="s">
        <v>0</v>
      </c>
      <c r="D1394" s="1" t="s">
        <v>4537</v>
      </c>
      <c r="E1394" s="1" t="s">
        <v>4538</v>
      </c>
      <c r="F1394" s="1" t="s">
        <v>303</v>
      </c>
      <c r="G1394" s="1" t="s">
        <v>61</v>
      </c>
      <c r="H1394" s="1" t="s">
        <v>30</v>
      </c>
      <c r="I1394" s="1" t="s">
        <v>16</v>
      </c>
      <c r="J1394" s="1">
        <v>1</v>
      </c>
      <c r="K1394" s="1">
        <v>4</v>
      </c>
      <c r="L1394" s="1" t="s">
        <v>31</v>
      </c>
      <c r="M1394" s="1" t="s">
        <v>18</v>
      </c>
      <c r="N1394" s="1" t="s">
        <v>18</v>
      </c>
      <c r="O1394" s="1">
        <v>3</v>
      </c>
      <c r="P1394" s="1">
        <v>7</v>
      </c>
      <c r="Q1394" s="7" t="s">
        <v>17633</v>
      </c>
      <c r="R1394" s="1" t="s">
        <v>19</v>
      </c>
      <c r="S1394" s="1" t="s">
        <v>20</v>
      </c>
      <c r="T1394" s="1" t="s">
        <v>21</v>
      </c>
      <c r="U1394" s="1" t="s">
        <v>22</v>
      </c>
      <c r="V1394" s="1" t="s">
        <v>23</v>
      </c>
      <c r="W1394" s="1" t="s">
        <v>24</v>
      </c>
      <c r="X1394" s="1">
        <v>2723</v>
      </c>
      <c r="Y1394" s="1">
        <v>2403</v>
      </c>
      <c r="Z1394" s="1" t="s">
        <v>24</v>
      </c>
      <c r="AA1394" s="1" t="s">
        <v>24</v>
      </c>
      <c r="AB1394" s="1" t="s">
        <v>24</v>
      </c>
      <c r="AC1394" s="1" t="s">
        <v>24</v>
      </c>
      <c r="AD1394" s="1" t="s">
        <v>24</v>
      </c>
      <c r="AE1394" s="1" t="s">
        <v>24</v>
      </c>
      <c r="AF1394" s="22"/>
    </row>
    <row r="1395" spans="1:32" x14ac:dyDescent="0.2">
      <c r="A1395" s="1">
        <v>8494</v>
      </c>
      <c r="B1395" s="1" t="s">
        <v>4539</v>
      </c>
      <c r="C1395" s="5" t="s">
        <v>0</v>
      </c>
      <c r="D1395" s="1" t="s">
        <v>4540</v>
      </c>
      <c r="E1395" s="1" t="s">
        <v>4541</v>
      </c>
      <c r="F1395" s="1" t="s">
        <v>303</v>
      </c>
      <c r="G1395" s="1" t="s">
        <v>61</v>
      </c>
      <c r="H1395" s="1" t="s">
        <v>30</v>
      </c>
      <c r="I1395" s="1" t="s">
        <v>16</v>
      </c>
      <c r="J1395" s="1">
        <v>1</v>
      </c>
      <c r="K1395" s="1">
        <v>4</v>
      </c>
      <c r="L1395" s="1" t="s">
        <v>31</v>
      </c>
      <c r="M1395" s="1" t="s">
        <v>18</v>
      </c>
      <c r="N1395" s="1" t="s">
        <v>18</v>
      </c>
      <c r="O1395" s="1">
        <v>2</v>
      </c>
      <c r="P1395" s="1">
        <v>7</v>
      </c>
      <c r="Q1395" s="7" t="s">
        <v>17633</v>
      </c>
      <c r="R1395" s="1" t="s">
        <v>19</v>
      </c>
      <c r="S1395" s="1" t="s">
        <v>20</v>
      </c>
      <c r="T1395" s="1" t="s">
        <v>21</v>
      </c>
      <c r="U1395" s="1" t="s">
        <v>22</v>
      </c>
      <c r="V1395" s="1" t="s">
        <v>23</v>
      </c>
      <c r="W1395" s="1" t="s">
        <v>24</v>
      </c>
      <c r="X1395" s="1">
        <v>2729</v>
      </c>
      <c r="Y1395" s="1" t="s">
        <v>24</v>
      </c>
      <c r="Z1395" s="1" t="s">
        <v>24</v>
      </c>
      <c r="AA1395" s="1" t="s">
        <v>24</v>
      </c>
      <c r="AB1395" s="1" t="s">
        <v>24</v>
      </c>
      <c r="AC1395" s="1" t="s">
        <v>24</v>
      </c>
      <c r="AD1395" s="1" t="s">
        <v>24</v>
      </c>
      <c r="AE1395" s="1" t="s">
        <v>24</v>
      </c>
      <c r="AF1395" s="22"/>
    </row>
    <row r="1396" spans="1:32" x14ac:dyDescent="0.2">
      <c r="A1396" s="1">
        <v>8495</v>
      </c>
      <c r="B1396" s="1" t="s">
        <v>4542</v>
      </c>
      <c r="C1396" s="5" t="s">
        <v>0</v>
      </c>
      <c r="D1396" s="1" t="s">
        <v>4543</v>
      </c>
      <c r="E1396" s="1" t="s">
        <v>4544</v>
      </c>
      <c r="F1396" s="1" t="s">
        <v>303</v>
      </c>
      <c r="G1396" s="1" t="s">
        <v>61</v>
      </c>
      <c r="H1396" s="1" t="s">
        <v>30</v>
      </c>
      <c r="I1396" s="1" t="s">
        <v>16</v>
      </c>
      <c r="J1396" s="1">
        <v>1</v>
      </c>
      <c r="K1396" s="1">
        <v>4</v>
      </c>
      <c r="L1396" s="1" t="s">
        <v>31</v>
      </c>
      <c r="M1396" s="1" t="s">
        <v>18</v>
      </c>
      <c r="N1396" s="1" t="s">
        <v>18</v>
      </c>
      <c r="O1396" s="1">
        <v>2</v>
      </c>
      <c r="P1396" s="1">
        <v>7</v>
      </c>
      <c r="Q1396" s="7" t="s">
        <v>17633</v>
      </c>
      <c r="R1396" s="1" t="s">
        <v>62</v>
      </c>
      <c r="S1396" s="1" t="s">
        <v>20</v>
      </c>
      <c r="T1396" s="1" t="s">
        <v>21</v>
      </c>
      <c r="U1396" s="1" t="s">
        <v>22</v>
      </c>
      <c r="V1396" s="1" t="s">
        <v>23</v>
      </c>
      <c r="W1396" s="1" t="s">
        <v>24</v>
      </c>
      <c r="X1396" s="1">
        <v>2745</v>
      </c>
      <c r="Y1396" s="1" t="s">
        <v>24</v>
      </c>
      <c r="Z1396" s="1" t="s">
        <v>24</v>
      </c>
      <c r="AA1396" s="1" t="s">
        <v>24</v>
      </c>
      <c r="AB1396" s="1" t="s">
        <v>24</v>
      </c>
      <c r="AC1396" s="1" t="s">
        <v>24</v>
      </c>
      <c r="AD1396" s="1" t="s">
        <v>24</v>
      </c>
      <c r="AE1396" s="1" t="s">
        <v>24</v>
      </c>
      <c r="AF1396" s="22"/>
    </row>
    <row r="1397" spans="1:32" x14ac:dyDescent="0.2">
      <c r="A1397" s="1">
        <v>8500</v>
      </c>
      <c r="B1397" s="1" t="s">
        <v>4545</v>
      </c>
      <c r="C1397" s="5" t="s">
        <v>0</v>
      </c>
      <c r="D1397" s="1" t="s">
        <v>4546</v>
      </c>
      <c r="F1397" s="1" t="s">
        <v>4547</v>
      </c>
      <c r="G1397" s="1" t="s">
        <v>4548</v>
      </c>
      <c r="H1397" s="1" t="s">
        <v>116</v>
      </c>
      <c r="I1397" s="1" t="s">
        <v>16</v>
      </c>
      <c r="J1397" s="1">
        <v>1</v>
      </c>
      <c r="K1397" s="1">
        <v>4</v>
      </c>
      <c r="L1397" s="1" t="s">
        <v>31</v>
      </c>
      <c r="M1397" s="1" t="s">
        <v>226</v>
      </c>
      <c r="N1397" s="1" t="s">
        <v>18</v>
      </c>
      <c r="O1397" s="1">
        <v>1</v>
      </c>
      <c r="P1397" s="1">
        <v>6</v>
      </c>
      <c r="R1397" s="1" t="s">
        <v>19</v>
      </c>
      <c r="S1397" s="1" t="s">
        <v>20</v>
      </c>
      <c r="T1397" s="1" t="s">
        <v>21</v>
      </c>
      <c r="U1397" s="1" t="s">
        <v>22</v>
      </c>
      <c r="V1397" s="1" t="s">
        <v>24</v>
      </c>
      <c r="W1397" s="1" t="s">
        <v>24</v>
      </c>
      <c r="X1397" s="1">
        <v>3004</v>
      </c>
      <c r="Y1397" s="1">
        <v>2726</v>
      </c>
      <c r="Z1397" s="1" t="s">
        <v>24</v>
      </c>
      <c r="AA1397" s="1" t="s">
        <v>24</v>
      </c>
      <c r="AB1397" s="1" t="s">
        <v>24</v>
      </c>
      <c r="AC1397" s="1" t="s">
        <v>24</v>
      </c>
      <c r="AD1397" s="1" t="s">
        <v>24</v>
      </c>
      <c r="AE1397" s="1" t="s">
        <v>24</v>
      </c>
      <c r="AF1397" s="22"/>
    </row>
    <row r="1398" spans="1:32" x14ac:dyDescent="0.2">
      <c r="A1398" s="1">
        <v>8528</v>
      </c>
      <c r="B1398" s="1" t="s">
        <v>4549</v>
      </c>
      <c r="C1398" s="5" t="s">
        <v>0</v>
      </c>
      <c r="D1398" s="1" t="s">
        <v>4550</v>
      </c>
      <c r="E1398" s="1" t="s">
        <v>4551</v>
      </c>
      <c r="F1398" s="1" t="s">
        <v>4552</v>
      </c>
      <c r="G1398" s="1" t="s">
        <v>4553</v>
      </c>
      <c r="H1398" s="1" t="s">
        <v>1957</v>
      </c>
      <c r="I1398" s="1" t="s">
        <v>16</v>
      </c>
      <c r="J1398" s="1">
        <v>1</v>
      </c>
      <c r="K1398" s="1">
        <v>7</v>
      </c>
      <c r="L1398" s="1" t="s">
        <v>42</v>
      </c>
      <c r="M1398" s="1" t="s">
        <v>18</v>
      </c>
      <c r="N1398" s="1" t="s">
        <v>18</v>
      </c>
      <c r="O1398" s="1">
        <v>3</v>
      </c>
      <c r="P1398" s="1">
        <v>6</v>
      </c>
      <c r="R1398" s="1" t="s">
        <v>19</v>
      </c>
      <c r="S1398" s="1" t="s">
        <v>20</v>
      </c>
      <c r="T1398" s="1" t="s">
        <v>21</v>
      </c>
      <c r="U1398" s="1" t="s">
        <v>22</v>
      </c>
      <c r="V1398" s="1" t="s">
        <v>24</v>
      </c>
      <c r="W1398" s="1" t="s">
        <v>24</v>
      </c>
      <c r="X1398" s="1">
        <v>2700</v>
      </c>
      <c r="Y1398" s="1" t="s">
        <v>24</v>
      </c>
      <c r="Z1398" s="1" t="s">
        <v>24</v>
      </c>
      <c r="AA1398" s="1" t="s">
        <v>24</v>
      </c>
      <c r="AB1398" s="1" t="s">
        <v>24</v>
      </c>
      <c r="AC1398" s="1" t="s">
        <v>24</v>
      </c>
      <c r="AD1398" s="1" t="s">
        <v>24</v>
      </c>
      <c r="AE1398" s="1" t="s">
        <v>24</v>
      </c>
      <c r="AF1398" s="22"/>
    </row>
    <row r="1399" spans="1:32" x14ac:dyDescent="0.2">
      <c r="A1399" s="1">
        <v>8537</v>
      </c>
      <c r="B1399" s="1" t="s">
        <v>4554</v>
      </c>
      <c r="C1399" s="5" t="s">
        <v>0</v>
      </c>
      <c r="D1399" s="1" t="s">
        <v>4555</v>
      </c>
      <c r="F1399" s="1" t="s">
        <v>4556</v>
      </c>
      <c r="G1399" s="1" t="s">
        <v>4556</v>
      </c>
      <c r="H1399" s="1" t="s">
        <v>30</v>
      </c>
      <c r="I1399" s="1" t="s">
        <v>16</v>
      </c>
      <c r="J1399" s="1">
        <v>1</v>
      </c>
      <c r="K1399" s="1">
        <v>4</v>
      </c>
      <c r="L1399" s="1" t="s">
        <v>42</v>
      </c>
      <c r="M1399" s="1" t="s">
        <v>18</v>
      </c>
      <c r="N1399" s="1" t="s">
        <v>18</v>
      </c>
      <c r="O1399" s="1">
        <v>3</v>
      </c>
      <c r="P1399" s="1">
        <v>6</v>
      </c>
      <c r="R1399" s="1" t="s">
        <v>19</v>
      </c>
      <c r="S1399" s="1" t="s">
        <v>20</v>
      </c>
      <c r="T1399" s="1" t="s">
        <v>21</v>
      </c>
      <c r="U1399" s="1" t="s">
        <v>22</v>
      </c>
      <c r="V1399" s="1" t="s">
        <v>23</v>
      </c>
      <c r="W1399" s="1" t="s">
        <v>24</v>
      </c>
      <c r="X1399" s="1">
        <v>2742</v>
      </c>
      <c r="Y1399" s="1">
        <v>3612</v>
      </c>
      <c r="Z1399" s="1" t="s">
        <v>24</v>
      </c>
      <c r="AA1399" s="1" t="s">
        <v>24</v>
      </c>
      <c r="AB1399" s="1" t="s">
        <v>24</v>
      </c>
      <c r="AC1399" s="1" t="s">
        <v>24</v>
      </c>
      <c r="AD1399" s="1" t="s">
        <v>24</v>
      </c>
      <c r="AE1399" s="1" t="s">
        <v>24</v>
      </c>
      <c r="AF1399" s="22"/>
    </row>
    <row r="1400" spans="1:32" x14ac:dyDescent="0.2">
      <c r="A1400" s="1">
        <v>8538</v>
      </c>
      <c r="B1400" s="1" t="s">
        <v>4557</v>
      </c>
      <c r="C1400" s="5" t="s">
        <v>0</v>
      </c>
      <c r="D1400" s="1" t="s">
        <v>4558</v>
      </c>
      <c r="F1400" s="1" t="s">
        <v>28</v>
      </c>
      <c r="G1400" s="1" t="s">
        <v>29</v>
      </c>
      <c r="H1400" s="1" t="s">
        <v>30</v>
      </c>
      <c r="I1400" s="1" t="s">
        <v>16</v>
      </c>
      <c r="J1400" s="1">
        <v>1</v>
      </c>
      <c r="K1400" s="1">
        <v>4</v>
      </c>
      <c r="L1400" s="1" t="s">
        <v>31</v>
      </c>
      <c r="M1400" s="1" t="s">
        <v>18</v>
      </c>
      <c r="N1400" s="1" t="s">
        <v>18</v>
      </c>
      <c r="O1400" s="1">
        <v>3</v>
      </c>
      <c r="P1400" s="1">
        <v>7</v>
      </c>
      <c r="Q1400" s="7" t="s">
        <v>17633</v>
      </c>
      <c r="R1400" s="1" t="s">
        <v>19</v>
      </c>
      <c r="S1400" s="1" t="s">
        <v>20</v>
      </c>
      <c r="T1400" s="1" t="s">
        <v>21</v>
      </c>
      <c r="U1400" s="1" t="s">
        <v>22</v>
      </c>
      <c r="V1400" s="1" t="s">
        <v>23</v>
      </c>
      <c r="W1400" s="1" t="s">
        <v>24</v>
      </c>
      <c r="X1400" s="1">
        <v>2717</v>
      </c>
      <c r="Y1400" s="1">
        <v>2738</v>
      </c>
      <c r="Z1400" s="1">
        <v>2909</v>
      </c>
      <c r="AA1400" s="1">
        <v>3203</v>
      </c>
      <c r="AB1400" s="1" t="s">
        <v>24</v>
      </c>
      <c r="AC1400" s="1" t="s">
        <v>24</v>
      </c>
      <c r="AD1400" s="1" t="s">
        <v>24</v>
      </c>
      <c r="AE1400" s="1" t="s">
        <v>24</v>
      </c>
      <c r="AF1400" s="22"/>
    </row>
    <row r="1401" spans="1:32" x14ac:dyDescent="0.2">
      <c r="A1401" s="1">
        <v>8549</v>
      </c>
      <c r="B1401" s="1" t="s">
        <v>4559</v>
      </c>
      <c r="C1401" s="5" t="s">
        <v>0</v>
      </c>
      <c r="D1401" s="1" t="s">
        <v>4560</v>
      </c>
      <c r="E1401" s="1" t="s">
        <v>4561</v>
      </c>
      <c r="F1401" s="1" t="s">
        <v>441</v>
      </c>
      <c r="G1401" s="1" t="s">
        <v>441</v>
      </c>
      <c r="H1401" s="1" t="s">
        <v>30</v>
      </c>
      <c r="I1401" s="1" t="s">
        <v>16</v>
      </c>
      <c r="J1401" s="1">
        <v>1</v>
      </c>
      <c r="K1401" s="1">
        <v>4</v>
      </c>
      <c r="L1401" s="1" t="s">
        <v>42</v>
      </c>
      <c r="M1401" s="1" t="s">
        <v>18</v>
      </c>
      <c r="N1401" s="1" t="s">
        <v>18</v>
      </c>
      <c r="O1401" s="1">
        <v>2</v>
      </c>
      <c r="P1401" s="1">
        <v>6</v>
      </c>
      <c r="R1401" s="1" t="s">
        <v>62</v>
      </c>
      <c r="S1401" s="1" t="s">
        <v>20</v>
      </c>
      <c r="T1401" s="1" t="s">
        <v>21</v>
      </c>
      <c r="U1401" s="1" t="s">
        <v>22</v>
      </c>
      <c r="V1401" s="1" t="s">
        <v>24</v>
      </c>
      <c r="W1401" s="1" t="s">
        <v>24</v>
      </c>
      <c r="X1401" s="1">
        <v>2400</v>
      </c>
      <c r="Y1401" s="1">
        <v>2713</v>
      </c>
      <c r="Z1401" s="1">
        <v>2739</v>
      </c>
      <c r="AA1401" s="1">
        <v>2725</v>
      </c>
      <c r="AB1401" s="1">
        <v>2726</v>
      </c>
      <c r="AC1401" s="1" t="s">
        <v>24</v>
      </c>
      <c r="AD1401" s="1" t="s">
        <v>24</v>
      </c>
      <c r="AE1401" s="1" t="s">
        <v>24</v>
      </c>
      <c r="AF1401" s="22"/>
    </row>
    <row r="1402" spans="1:32" x14ac:dyDescent="0.2">
      <c r="A1402" s="1">
        <v>8556</v>
      </c>
      <c r="B1402" s="1" t="s">
        <v>4562</v>
      </c>
      <c r="C1402" s="5" t="s">
        <v>0</v>
      </c>
      <c r="D1402" s="1" t="s">
        <v>4563</v>
      </c>
      <c r="E1402" s="1" t="s">
        <v>4564</v>
      </c>
      <c r="F1402" s="1" t="s">
        <v>751</v>
      </c>
      <c r="G1402" s="1" t="s">
        <v>36</v>
      </c>
      <c r="H1402" s="1" t="s">
        <v>37</v>
      </c>
      <c r="I1402" s="1" t="s">
        <v>16</v>
      </c>
      <c r="J1402" s="1">
        <v>1</v>
      </c>
      <c r="K1402" s="1">
        <v>12</v>
      </c>
      <c r="L1402" s="1" t="s">
        <v>31</v>
      </c>
      <c r="M1402" s="1" t="s">
        <v>18</v>
      </c>
      <c r="N1402" s="1" t="s">
        <v>18</v>
      </c>
      <c r="O1402" s="1">
        <v>2</v>
      </c>
      <c r="P1402" s="1">
        <v>6</v>
      </c>
      <c r="R1402" s="1" t="s">
        <v>19</v>
      </c>
      <c r="S1402" s="1" t="s">
        <v>20</v>
      </c>
      <c r="T1402" s="1" t="s">
        <v>21</v>
      </c>
      <c r="U1402" s="1" t="s">
        <v>22</v>
      </c>
      <c r="V1402" s="1" t="s">
        <v>24</v>
      </c>
      <c r="W1402" s="1" t="s">
        <v>64</v>
      </c>
      <c r="X1402" s="1">
        <v>3004</v>
      </c>
      <c r="Y1402" s="1" t="s">
        <v>24</v>
      </c>
      <c r="Z1402" s="1" t="s">
        <v>24</v>
      </c>
      <c r="AA1402" s="1" t="s">
        <v>24</v>
      </c>
      <c r="AB1402" s="1" t="s">
        <v>24</v>
      </c>
      <c r="AC1402" s="1" t="s">
        <v>24</v>
      </c>
      <c r="AD1402" s="1" t="s">
        <v>24</v>
      </c>
      <c r="AE1402" s="1" t="s">
        <v>24</v>
      </c>
      <c r="AF1402" s="22"/>
    </row>
    <row r="1403" spans="1:32" x14ac:dyDescent="0.2">
      <c r="A1403" s="1">
        <v>8559</v>
      </c>
      <c r="B1403" s="1" t="s">
        <v>4565</v>
      </c>
      <c r="C1403" s="5" t="s">
        <v>0</v>
      </c>
      <c r="D1403" s="1" t="s">
        <v>4566</v>
      </c>
      <c r="F1403" s="1" t="s">
        <v>1100</v>
      </c>
      <c r="G1403" s="1" t="s">
        <v>1100</v>
      </c>
      <c r="H1403" s="1" t="s">
        <v>731</v>
      </c>
      <c r="I1403" s="1" t="s">
        <v>16</v>
      </c>
      <c r="J1403" s="1">
        <v>1</v>
      </c>
      <c r="K1403" s="1">
        <v>12</v>
      </c>
      <c r="L1403" s="1" t="s">
        <v>42</v>
      </c>
      <c r="M1403" s="1" t="s">
        <v>18</v>
      </c>
      <c r="N1403" s="1" t="s">
        <v>18</v>
      </c>
      <c r="O1403" s="1">
        <v>3</v>
      </c>
      <c r="P1403" s="1">
        <v>7</v>
      </c>
      <c r="Q1403" s="7" t="s">
        <v>17633</v>
      </c>
      <c r="R1403" s="1" t="s">
        <v>19</v>
      </c>
      <c r="S1403" s="1" t="s">
        <v>20</v>
      </c>
      <c r="T1403" s="1" t="s">
        <v>21</v>
      </c>
      <c r="U1403" s="1" t="s">
        <v>22</v>
      </c>
      <c r="V1403" s="1" t="s">
        <v>24</v>
      </c>
      <c r="W1403" s="1" t="s">
        <v>24</v>
      </c>
      <c r="X1403" s="1">
        <v>2715</v>
      </c>
      <c r="Y1403" s="1" t="s">
        <v>24</v>
      </c>
      <c r="Z1403" s="1" t="s">
        <v>24</v>
      </c>
      <c r="AA1403" s="1" t="s">
        <v>24</v>
      </c>
      <c r="AB1403" s="1" t="s">
        <v>24</v>
      </c>
      <c r="AC1403" s="1" t="s">
        <v>24</v>
      </c>
      <c r="AD1403" s="1" t="s">
        <v>24</v>
      </c>
      <c r="AE1403" s="1" t="s">
        <v>24</v>
      </c>
      <c r="AF1403" s="22"/>
    </row>
    <row r="1404" spans="1:32" x14ac:dyDescent="0.2">
      <c r="A1404" s="1">
        <v>8562</v>
      </c>
      <c r="B1404" s="1" t="s">
        <v>4567</v>
      </c>
      <c r="C1404" s="5" t="s">
        <v>0</v>
      </c>
      <c r="D1404" s="1" t="s">
        <v>4568</v>
      </c>
      <c r="E1404" s="1" t="s">
        <v>4569</v>
      </c>
      <c r="F1404" s="1" t="s">
        <v>751</v>
      </c>
      <c r="G1404" s="1" t="s">
        <v>36</v>
      </c>
      <c r="H1404" s="1" t="s">
        <v>37</v>
      </c>
      <c r="I1404" s="1" t="s">
        <v>16</v>
      </c>
      <c r="J1404" s="1">
        <v>1</v>
      </c>
      <c r="K1404" s="1">
        <v>8</v>
      </c>
      <c r="L1404" s="1" t="s">
        <v>31</v>
      </c>
      <c r="M1404" s="1" t="s">
        <v>18</v>
      </c>
      <c r="N1404" s="1" t="s">
        <v>18</v>
      </c>
      <c r="O1404" s="1">
        <v>3</v>
      </c>
      <c r="P1404" s="1">
        <v>7</v>
      </c>
      <c r="Q1404" s="7" t="s">
        <v>17633</v>
      </c>
      <c r="R1404" s="1" t="s">
        <v>19</v>
      </c>
      <c r="S1404" s="1" t="s">
        <v>20</v>
      </c>
      <c r="T1404" s="1" t="s">
        <v>21</v>
      </c>
      <c r="U1404" s="1" t="s">
        <v>22</v>
      </c>
      <c r="V1404" s="1" t="s">
        <v>24</v>
      </c>
      <c r="W1404" s="1" t="s">
        <v>64</v>
      </c>
      <c r="X1404" s="1">
        <v>2728</v>
      </c>
      <c r="Y1404" s="1">
        <v>2738</v>
      </c>
      <c r="Z1404" s="1">
        <v>2808</v>
      </c>
      <c r="AA1404" s="1">
        <v>2736</v>
      </c>
      <c r="AB1404" s="1" t="s">
        <v>24</v>
      </c>
      <c r="AC1404" s="1" t="s">
        <v>24</v>
      </c>
      <c r="AD1404" s="1" t="s">
        <v>24</v>
      </c>
      <c r="AE1404" s="1" t="s">
        <v>24</v>
      </c>
      <c r="AF1404" s="22"/>
    </row>
    <row r="1405" spans="1:32" x14ac:dyDescent="0.2">
      <c r="A1405" s="1">
        <v>8563</v>
      </c>
      <c r="B1405" s="1" t="s">
        <v>4570</v>
      </c>
      <c r="C1405" s="5" t="s">
        <v>0</v>
      </c>
      <c r="D1405" s="1" t="s">
        <v>4571</v>
      </c>
      <c r="E1405" s="1" t="s">
        <v>4572</v>
      </c>
      <c r="F1405" s="1" t="s">
        <v>751</v>
      </c>
      <c r="G1405" s="1" t="s">
        <v>36</v>
      </c>
      <c r="H1405" s="1" t="s">
        <v>37</v>
      </c>
      <c r="I1405" s="1" t="s">
        <v>16</v>
      </c>
      <c r="J1405" s="1">
        <v>1</v>
      </c>
      <c r="K1405" s="1">
        <v>12</v>
      </c>
      <c r="L1405" s="1" t="s">
        <v>31</v>
      </c>
      <c r="M1405" s="1" t="s">
        <v>18</v>
      </c>
      <c r="N1405" s="1" t="s">
        <v>18</v>
      </c>
      <c r="O1405" s="1">
        <v>3</v>
      </c>
      <c r="P1405" s="1">
        <v>7</v>
      </c>
      <c r="Q1405" s="7" t="s">
        <v>17633</v>
      </c>
      <c r="R1405" s="1" t="s">
        <v>19</v>
      </c>
      <c r="S1405" s="1" t="s">
        <v>20</v>
      </c>
      <c r="T1405" s="1" t="s">
        <v>21</v>
      </c>
      <c r="U1405" s="1" t="s">
        <v>22</v>
      </c>
      <c r="V1405" s="1" t="s">
        <v>24</v>
      </c>
      <c r="W1405" s="1" t="s">
        <v>24</v>
      </c>
      <c r="X1405" s="1">
        <v>1303</v>
      </c>
      <c r="Y1405" s="1">
        <v>1305</v>
      </c>
      <c r="Z1405" s="1">
        <v>1311</v>
      </c>
      <c r="AA1405" s="1">
        <v>1502</v>
      </c>
      <c r="AB1405" s="1">
        <v>2402</v>
      </c>
      <c r="AC1405" s="1" t="s">
        <v>24</v>
      </c>
      <c r="AD1405" s="1" t="s">
        <v>24</v>
      </c>
      <c r="AE1405" s="1" t="s">
        <v>24</v>
      </c>
      <c r="AF1405" s="22"/>
    </row>
    <row r="1406" spans="1:32" x14ac:dyDescent="0.2">
      <c r="A1406" s="1">
        <v>8571</v>
      </c>
      <c r="B1406" s="1" t="s">
        <v>4573</v>
      </c>
      <c r="C1406" s="5" t="s">
        <v>0</v>
      </c>
      <c r="D1406" s="1" t="s">
        <v>4574</v>
      </c>
      <c r="F1406" s="1" t="s">
        <v>4575</v>
      </c>
      <c r="G1406" s="1" t="s">
        <v>4575</v>
      </c>
      <c r="H1406" s="1" t="s">
        <v>684</v>
      </c>
      <c r="I1406" s="1" t="s">
        <v>16</v>
      </c>
      <c r="J1406" s="1">
        <v>1</v>
      </c>
      <c r="K1406" s="1">
        <v>5</v>
      </c>
      <c r="L1406" s="1" t="s">
        <v>17</v>
      </c>
      <c r="M1406" s="1" t="s">
        <v>852</v>
      </c>
      <c r="N1406" s="1" t="s">
        <v>685</v>
      </c>
      <c r="O1406" s="1">
        <v>3</v>
      </c>
      <c r="P1406" s="1">
        <v>5</v>
      </c>
      <c r="R1406" s="1" t="s">
        <v>19</v>
      </c>
      <c r="S1406" s="1" t="s">
        <v>20</v>
      </c>
      <c r="T1406" s="1" t="s">
        <v>21</v>
      </c>
      <c r="U1406" s="1" t="s">
        <v>22</v>
      </c>
      <c r="V1406" s="1" t="s">
        <v>24</v>
      </c>
      <c r="W1406" s="1" t="s">
        <v>24</v>
      </c>
      <c r="X1406" s="1">
        <v>2700</v>
      </c>
      <c r="Y1406" s="1" t="s">
        <v>24</v>
      </c>
      <c r="Z1406" s="1" t="s">
        <v>24</v>
      </c>
      <c r="AA1406" s="1" t="s">
        <v>24</v>
      </c>
      <c r="AB1406" s="1" t="s">
        <v>24</v>
      </c>
      <c r="AC1406" s="1" t="s">
        <v>24</v>
      </c>
      <c r="AD1406" s="1" t="s">
        <v>24</v>
      </c>
      <c r="AE1406" s="1" t="s">
        <v>24</v>
      </c>
      <c r="AF1406" s="22"/>
    </row>
    <row r="1407" spans="1:32" x14ac:dyDescent="0.2">
      <c r="A1407" s="1">
        <v>8573</v>
      </c>
      <c r="B1407" s="1" t="s">
        <v>4576</v>
      </c>
      <c r="C1407" s="5" t="s">
        <v>0</v>
      </c>
      <c r="D1407" s="1" t="s">
        <v>4577</v>
      </c>
      <c r="F1407" s="1" t="s">
        <v>4578</v>
      </c>
      <c r="G1407" s="1" t="s">
        <v>4578</v>
      </c>
      <c r="H1407" s="1" t="s">
        <v>428</v>
      </c>
      <c r="I1407" s="1" t="s">
        <v>16</v>
      </c>
      <c r="J1407" s="1">
        <v>1</v>
      </c>
      <c r="K1407" s="1">
        <v>2</v>
      </c>
      <c r="L1407" s="1" t="s">
        <v>17</v>
      </c>
      <c r="M1407" s="1" t="s">
        <v>2835</v>
      </c>
      <c r="N1407" s="1" t="s">
        <v>4081</v>
      </c>
      <c r="O1407" s="1">
        <v>1</v>
      </c>
      <c r="P1407" s="1">
        <v>5</v>
      </c>
      <c r="R1407" s="1" t="s">
        <v>19</v>
      </c>
      <c r="S1407" s="1" t="s">
        <v>20</v>
      </c>
      <c r="T1407" s="1" t="s">
        <v>21</v>
      </c>
      <c r="U1407" s="1" t="s">
        <v>22</v>
      </c>
      <c r="V1407" s="1" t="s">
        <v>24</v>
      </c>
      <c r="W1407" s="1" t="s">
        <v>24</v>
      </c>
      <c r="X1407" s="1">
        <v>2738</v>
      </c>
      <c r="Y1407" s="1">
        <v>3203</v>
      </c>
      <c r="Z1407" s="1" t="s">
        <v>24</v>
      </c>
      <c r="AA1407" s="1" t="s">
        <v>24</v>
      </c>
      <c r="AB1407" s="1" t="s">
        <v>24</v>
      </c>
      <c r="AC1407" s="1" t="s">
        <v>24</v>
      </c>
      <c r="AD1407" s="1" t="s">
        <v>24</v>
      </c>
      <c r="AE1407" s="1" t="s">
        <v>24</v>
      </c>
      <c r="AF1407" s="22"/>
    </row>
    <row r="1408" spans="1:32" x14ac:dyDescent="0.2">
      <c r="A1408" s="1">
        <v>8582</v>
      </c>
      <c r="B1408" s="1" t="s">
        <v>4579</v>
      </c>
      <c r="C1408" s="5" t="s">
        <v>0</v>
      </c>
      <c r="D1408" s="1" t="s">
        <v>4580</v>
      </c>
      <c r="F1408" s="1" t="s">
        <v>3695</v>
      </c>
      <c r="G1408" s="1" t="s">
        <v>3695</v>
      </c>
      <c r="H1408" s="1" t="s">
        <v>684</v>
      </c>
      <c r="I1408" s="1" t="s">
        <v>16</v>
      </c>
      <c r="J1408" s="1">
        <v>1</v>
      </c>
      <c r="K1408" s="1">
        <v>4</v>
      </c>
      <c r="L1408" s="1" t="s">
        <v>42</v>
      </c>
      <c r="M1408" s="1" t="s">
        <v>852</v>
      </c>
      <c r="N1408" s="1" t="s">
        <v>18</v>
      </c>
      <c r="O1408" s="1">
        <v>3</v>
      </c>
      <c r="P1408" s="1">
        <v>5</v>
      </c>
      <c r="R1408" s="1" t="s">
        <v>19</v>
      </c>
      <c r="S1408" s="1" t="s">
        <v>20</v>
      </c>
      <c r="T1408" s="1" t="s">
        <v>21</v>
      </c>
      <c r="U1408" s="1" t="s">
        <v>22</v>
      </c>
      <c r="V1408" s="1" t="s">
        <v>24</v>
      </c>
      <c r="W1408" s="1" t="s">
        <v>24</v>
      </c>
      <c r="X1408" s="1">
        <v>2736</v>
      </c>
      <c r="Y1408" s="1" t="s">
        <v>24</v>
      </c>
      <c r="Z1408" s="1" t="s">
        <v>24</v>
      </c>
      <c r="AA1408" s="1" t="s">
        <v>24</v>
      </c>
      <c r="AB1408" s="1" t="s">
        <v>24</v>
      </c>
      <c r="AC1408" s="1" t="s">
        <v>24</v>
      </c>
      <c r="AD1408" s="1" t="s">
        <v>24</v>
      </c>
      <c r="AE1408" s="1" t="s">
        <v>24</v>
      </c>
      <c r="AF1408" s="22"/>
    </row>
    <row r="1409" spans="1:32" x14ac:dyDescent="0.2">
      <c r="A1409" s="1">
        <v>8591</v>
      </c>
      <c r="B1409" s="1" t="s">
        <v>4581</v>
      </c>
      <c r="C1409" s="5" t="s">
        <v>0</v>
      </c>
      <c r="D1409" s="1" t="s">
        <v>4582</v>
      </c>
      <c r="E1409" s="1" t="s">
        <v>4583</v>
      </c>
      <c r="F1409" s="1" t="s">
        <v>4584</v>
      </c>
      <c r="G1409" s="1" t="s">
        <v>61</v>
      </c>
      <c r="H1409" s="1" t="s">
        <v>461</v>
      </c>
      <c r="I1409" s="1" t="s">
        <v>16</v>
      </c>
      <c r="J1409" s="1">
        <v>2</v>
      </c>
      <c r="K1409" s="1">
        <v>3</v>
      </c>
      <c r="L1409" s="1" t="s">
        <v>31</v>
      </c>
      <c r="M1409" s="1" t="s">
        <v>1735</v>
      </c>
      <c r="N1409" s="1" t="s">
        <v>18</v>
      </c>
      <c r="O1409" s="1">
        <v>2</v>
      </c>
      <c r="P1409" s="1">
        <v>6</v>
      </c>
      <c r="R1409" s="1" t="s">
        <v>19</v>
      </c>
      <c r="S1409" s="1" t="s">
        <v>20</v>
      </c>
      <c r="T1409" s="1" t="s">
        <v>21</v>
      </c>
      <c r="U1409" s="1" t="s">
        <v>22</v>
      </c>
      <c r="V1409" s="1" t="s">
        <v>24</v>
      </c>
      <c r="W1409" s="1" t="s">
        <v>24</v>
      </c>
      <c r="X1409" s="1">
        <v>2705</v>
      </c>
      <c r="Y1409" s="1" t="s">
        <v>24</v>
      </c>
      <c r="Z1409" s="1" t="s">
        <v>24</v>
      </c>
      <c r="AA1409" s="1" t="s">
        <v>24</v>
      </c>
      <c r="AB1409" s="1" t="s">
        <v>24</v>
      </c>
      <c r="AC1409" s="1" t="s">
        <v>24</v>
      </c>
      <c r="AD1409" s="1" t="s">
        <v>24</v>
      </c>
      <c r="AE1409" s="1" t="s">
        <v>24</v>
      </c>
      <c r="AF1409" s="22"/>
    </row>
    <row r="1410" spans="1:32" x14ac:dyDescent="0.2">
      <c r="A1410" s="1">
        <v>8592</v>
      </c>
      <c r="B1410" s="1" t="s">
        <v>4585</v>
      </c>
      <c r="C1410" s="5" t="s">
        <v>0</v>
      </c>
      <c r="D1410" s="1" t="s">
        <v>4586</v>
      </c>
      <c r="E1410" s="1" t="s">
        <v>4587</v>
      </c>
      <c r="F1410" s="1" t="s">
        <v>4588</v>
      </c>
      <c r="G1410" s="1" t="s">
        <v>61</v>
      </c>
      <c r="H1410" s="1" t="s">
        <v>684</v>
      </c>
      <c r="I1410" s="1" t="s">
        <v>16</v>
      </c>
      <c r="J1410" s="1">
        <v>1</v>
      </c>
      <c r="K1410" s="1">
        <v>4</v>
      </c>
      <c r="L1410" s="1" t="s">
        <v>31</v>
      </c>
      <c r="M1410" s="1" t="s">
        <v>18</v>
      </c>
      <c r="N1410" s="1" t="s">
        <v>18</v>
      </c>
      <c r="O1410" s="1">
        <v>2</v>
      </c>
      <c r="P1410" s="1">
        <v>6</v>
      </c>
      <c r="R1410" s="1" t="s">
        <v>19</v>
      </c>
      <c r="S1410" s="1" t="s">
        <v>20</v>
      </c>
      <c r="T1410" s="1" t="s">
        <v>21</v>
      </c>
      <c r="U1410" s="1" t="s">
        <v>22</v>
      </c>
      <c r="V1410" s="1" t="s">
        <v>23</v>
      </c>
      <c r="W1410" s="1" t="s">
        <v>24</v>
      </c>
      <c r="X1410" s="1">
        <v>1304</v>
      </c>
      <c r="Y1410" s="1">
        <v>2741</v>
      </c>
      <c r="Z1410" s="1">
        <v>3100</v>
      </c>
      <c r="AA1410" s="1" t="s">
        <v>24</v>
      </c>
      <c r="AB1410" s="1" t="s">
        <v>24</v>
      </c>
      <c r="AC1410" s="1" t="s">
        <v>24</v>
      </c>
      <c r="AD1410" s="1" t="s">
        <v>24</v>
      </c>
      <c r="AE1410" s="1" t="s">
        <v>24</v>
      </c>
      <c r="AF1410" s="22"/>
    </row>
    <row r="1411" spans="1:32" x14ac:dyDescent="0.2">
      <c r="A1411" s="1">
        <v>8594</v>
      </c>
      <c r="B1411" s="1" t="s">
        <v>4589</v>
      </c>
      <c r="C1411" s="5" t="s">
        <v>0</v>
      </c>
      <c r="D1411" s="1" t="s">
        <v>4590</v>
      </c>
      <c r="E1411" s="1" t="s">
        <v>4591</v>
      </c>
      <c r="F1411" s="1" t="s">
        <v>948</v>
      </c>
      <c r="G1411" s="1" t="s">
        <v>948</v>
      </c>
      <c r="H1411" s="1" t="s">
        <v>86</v>
      </c>
      <c r="I1411" s="1" t="s">
        <v>16</v>
      </c>
      <c r="J1411" s="1">
        <v>1</v>
      </c>
      <c r="K1411" s="1">
        <v>4</v>
      </c>
      <c r="L1411" s="1" t="s">
        <v>42</v>
      </c>
      <c r="M1411" s="1" t="s">
        <v>87</v>
      </c>
      <c r="N1411" s="1" t="s">
        <v>199</v>
      </c>
      <c r="O1411" s="1">
        <v>1</v>
      </c>
      <c r="P1411" s="1">
        <v>6</v>
      </c>
      <c r="R1411" s="1" t="s">
        <v>19</v>
      </c>
      <c r="S1411" s="1" t="s">
        <v>20</v>
      </c>
      <c r="T1411" s="1" t="s">
        <v>21</v>
      </c>
      <c r="U1411" s="1" t="s">
        <v>22</v>
      </c>
      <c r="V1411" s="1" t="s">
        <v>24</v>
      </c>
      <c r="W1411" s="1" t="s">
        <v>24</v>
      </c>
      <c r="X1411" s="1">
        <v>2728</v>
      </c>
      <c r="Y1411" s="1">
        <v>2808</v>
      </c>
      <c r="Z1411" s="1" t="s">
        <v>24</v>
      </c>
      <c r="AA1411" s="1" t="s">
        <v>24</v>
      </c>
      <c r="AB1411" s="1" t="s">
        <v>24</v>
      </c>
      <c r="AC1411" s="1" t="s">
        <v>24</v>
      </c>
      <c r="AD1411" s="1" t="s">
        <v>24</v>
      </c>
      <c r="AE1411" s="1" t="s">
        <v>24</v>
      </c>
      <c r="AF1411" s="22"/>
    </row>
    <row r="1412" spans="1:32" x14ac:dyDescent="0.2">
      <c r="A1412" s="1">
        <v>8596</v>
      </c>
      <c r="B1412" s="1" t="s">
        <v>4592</v>
      </c>
      <c r="C1412" s="5" t="s">
        <v>0</v>
      </c>
      <c r="D1412" s="1" t="s">
        <v>4593</v>
      </c>
      <c r="E1412" s="1" t="s">
        <v>4594</v>
      </c>
      <c r="F1412" s="1" t="s">
        <v>315</v>
      </c>
      <c r="G1412" s="1" t="s">
        <v>316</v>
      </c>
      <c r="H1412" s="1" t="s">
        <v>37</v>
      </c>
      <c r="I1412" s="1" t="s">
        <v>16</v>
      </c>
      <c r="J1412" s="1">
        <v>1</v>
      </c>
      <c r="K1412" s="1">
        <v>12</v>
      </c>
      <c r="L1412" s="1" t="s">
        <v>31</v>
      </c>
      <c r="M1412" s="1" t="s">
        <v>18</v>
      </c>
      <c r="N1412" s="1" t="s">
        <v>18</v>
      </c>
      <c r="O1412" s="1">
        <v>2</v>
      </c>
      <c r="P1412" s="1">
        <v>6</v>
      </c>
      <c r="R1412" s="1" t="s">
        <v>19</v>
      </c>
      <c r="S1412" s="1" t="s">
        <v>20</v>
      </c>
      <c r="T1412" s="1" t="s">
        <v>21</v>
      </c>
      <c r="U1412" s="1" t="s">
        <v>22</v>
      </c>
      <c r="V1412" s="1" t="s">
        <v>23</v>
      </c>
      <c r="W1412" s="1" t="s">
        <v>24</v>
      </c>
      <c r="X1412" s="1">
        <v>2701</v>
      </c>
      <c r="Y1412" s="1">
        <v>2916</v>
      </c>
      <c r="Z1412" s="1" t="s">
        <v>24</v>
      </c>
      <c r="AA1412" s="1" t="s">
        <v>24</v>
      </c>
      <c r="AB1412" s="1" t="s">
        <v>24</v>
      </c>
      <c r="AC1412" s="1" t="s">
        <v>24</v>
      </c>
      <c r="AD1412" s="1" t="s">
        <v>24</v>
      </c>
      <c r="AE1412" s="1" t="s">
        <v>24</v>
      </c>
      <c r="AF1412" s="22"/>
    </row>
    <row r="1413" spans="1:32" x14ac:dyDescent="0.2">
      <c r="A1413" s="1">
        <v>8598</v>
      </c>
      <c r="B1413" s="1" t="s">
        <v>4595</v>
      </c>
      <c r="C1413" s="5" t="s">
        <v>0</v>
      </c>
      <c r="D1413" s="1" t="s">
        <v>4596</v>
      </c>
      <c r="E1413" s="1" t="s">
        <v>4597</v>
      </c>
      <c r="F1413" s="1" t="s">
        <v>91</v>
      </c>
      <c r="G1413" s="1" t="s">
        <v>61</v>
      </c>
      <c r="H1413" s="1" t="s">
        <v>92</v>
      </c>
      <c r="I1413" s="1" t="s">
        <v>16</v>
      </c>
      <c r="J1413" s="1">
        <v>3</v>
      </c>
      <c r="K1413" s="1">
        <v>4</v>
      </c>
      <c r="L1413" s="1" t="s">
        <v>31</v>
      </c>
      <c r="M1413" s="1" t="s">
        <v>18</v>
      </c>
      <c r="N1413" s="1" t="s">
        <v>18</v>
      </c>
      <c r="O1413" s="1">
        <v>2</v>
      </c>
      <c r="P1413" s="1">
        <v>6</v>
      </c>
      <c r="R1413" s="1" t="s">
        <v>19</v>
      </c>
      <c r="S1413" s="1" t="s">
        <v>63</v>
      </c>
      <c r="T1413" s="1" t="s">
        <v>21</v>
      </c>
      <c r="U1413" s="1" t="s">
        <v>22</v>
      </c>
      <c r="V1413" s="1" t="s">
        <v>24</v>
      </c>
      <c r="W1413" s="1" t="s">
        <v>24</v>
      </c>
      <c r="X1413" s="1">
        <v>2311</v>
      </c>
      <c r="Y1413" s="1">
        <v>2002</v>
      </c>
      <c r="Z1413" s="1" t="s">
        <v>24</v>
      </c>
      <c r="AA1413" s="1" t="s">
        <v>24</v>
      </c>
      <c r="AB1413" s="1" t="s">
        <v>24</v>
      </c>
      <c r="AC1413" s="1" t="s">
        <v>24</v>
      </c>
      <c r="AD1413" s="1" t="s">
        <v>24</v>
      </c>
      <c r="AE1413" s="1" t="s">
        <v>24</v>
      </c>
      <c r="AF1413" s="22"/>
    </row>
    <row r="1414" spans="1:32" x14ac:dyDescent="0.2">
      <c r="A1414" s="1">
        <v>8599</v>
      </c>
      <c r="B1414" s="1" t="s">
        <v>4598</v>
      </c>
      <c r="C1414" s="5" t="s">
        <v>0</v>
      </c>
      <c r="D1414" s="1" t="s">
        <v>4599</v>
      </c>
      <c r="E1414" s="1" t="s">
        <v>4600</v>
      </c>
      <c r="F1414" s="1" t="s">
        <v>155</v>
      </c>
      <c r="G1414" s="1" t="s">
        <v>61</v>
      </c>
      <c r="H1414" s="1" t="s">
        <v>37</v>
      </c>
      <c r="I1414" s="1" t="s">
        <v>16</v>
      </c>
      <c r="J1414" s="1">
        <v>1</v>
      </c>
      <c r="K1414" s="1">
        <v>8</v>
      </c>
      <c r="L1414" s="1" t="s">
        <v>31</v>
      </c>
      <c r="M1414" s="1" t="s">
        <v>18</v>
      </c>
      <c r="N1414" s="1" t="s">
        <v>18</v>
      </c>
      <c r="O1414" s="1">
        <v>3</v>
      </c>
      <c r="P1414" s="1">
        <v>7</v>
      </c>
      <c r="Q1414" s="7" t="s">
        <v>17633</v>
      </c>
      <c r="R1414" s="1" t="s">
        <v>19</v>
      </c>
      <c r="S1414" s="1" t="s">
        <v>20</v>
      </c>
      <c r="T1414" s="1" t="s">
        <v>21</v>
      </c>
      <c r="U1414" s="1" t="s">
        <v>22</v>
      </c>
      <c r="V1414" s="1" t="s">
        <v>23</v>
      </c>
      <c r="W1414" s="1" t="s">
        <v>24</v>
      </c>
      <c r="X1414" s="1">
        <v>2741</v>
      </c>
      <c r="Y1414" s="1">
        <v>2718</v>
      </c>
      <c r="Z1414" s="1">
        <v>3614</v>
      </c>
      <c r="AA1414" s="1">
        <v>1704</v>
      </c>
      <c r="AB1414" s="1">
        <v>1707</v>
      </c>
      <c r="AC1414" s="1" t="s">
        <v>24</v>
      </c>
      <c r="AD1414" s="1" t="s">
        <v>24</v>
      </c>
      <c r="AE1414" s="1" t="s">
        <v>24</v>
      </c>
      <c r="AF1414" s="22"/>
    </row>
    <row r="1415" spans="1:32" x14ac:dyDescent="0.2">
      <c r="A1415" s="1">
        <v>8604</v>
      </c>
      <c r="B1415" s="1" t="s">
        <v>4601</v>
      </c>
      <c r="C1415" s="5" t="s">
        <v>0</v>
      </c>
      <c r="D1415" s="1" t="s">
        <v>4602</v>
      </c>
      <c r="E1415" s="1" t="s">
        <v>4603</v>
      </c>
      <c r="F1415" s="1" t="s">
        <v>776</v>
      </c>
      <c r="G1415" s="1" t="s">
        <v>777</v>
      </c>
      <c r="H1415" s="1" t="s">
        <v>30</v>
      </c>
      <c r="I1415" s="1" t="s">
        <v>16</v>
      </c>
      <c r="J1415" s="1">
        <v>1</v>
      </c>
      <c r="K1415" s="1">
        <v>12</v>
      </c>
      <c r="L1415" s="1" t="s">
        <v>31</v>
      </c>
      <c r="M1415" s="1" t="s">
        <v>18</v>
      </c>
      <c r="N1415" s="1" t="s">
        <v>18</v>
      </c>
      <c r="O1415" s="1">
        <v>3</v>
      </c>
      <c r="P1415" s="1">
        <v>5</v>
      </c>
      <c r="R1415" s="1" t="s">
        <v>62</v>
      </c>
      <c r="S1415" s="1" t="s">
        <v>20</v>
      </c>
      <c r="T1415" s="1" t="s">
        <v>21</v>
      </c>
      <c r="U1415" s="1" t="s">
        <v>22</v>
      </c>
      <c r="V1415" s="1" t="s">
        <v>24</v>
      </c>
      <c r="W1415" s="1" t="s">
        <v>64</v>
      </c>
      <c r="X1415" s="1">
        <v>3005</v>
      </c>
      <c r="Y1415" s="1" t="s">
        <v>24</v>
      </c>
      <c r="Z1415" s="1" t="s">
        <v>24</v>
      </c>
      <c r="AA1415" s="1" t="s">
        <v>24</v>
      </c>
      <c r="AB1415" s="1" t="s">
        <v>24</v>
      </c>
      <c r="AC1415" s="1" t="s">
        <v>24</v>
      </c>
      <c r="AD1415" s="1" t="s">
        <v>24</v>
      </c>
      <c r="AE1415" s="1" t="s">
        <v>24</v>
      </c>
      <c r="AF1415" s="22"/>
    </row>
    <row r="1416" spans="1:32" x14ac:dyDescent="0.2">
      <c r="A1416" s="1">
        <v>8606</v>
      </c>
      <c r="B1416" s="1" t="s">
        <v>4604</v>
      </c>
      <c r="C1416" s="5" t="s">
        <v>0</v>
      </c>
      <c r="D1416" s="1" t="s">
        <v>4605</v>
      </c>
      <c r="E1416" s="1" t="s">
        <v>4606</v>
      </c>
      <c r="F1416" s="1" t="s">
        <v>970</v>
      </c>
      <c r="G1416" s="1" t="s">
        <v>36</v>
      </c>
      <c r="H1416" s="1" t="s">
        <v>30</v>
      </c>
      <c r="I1416" s="1" t="s">
        <v>16</v>
      </c>
      <c r="J1416" s="1">
        <v>1</v>
      </c>
      <c r="K1416" s="1">
        <v>6</v>
      </c>
      <c r="L1416" s="1" t="s">
        <v>31</v>
      </c>
      <c r="M1416" s="1" t="s">
        <v>18</v>
      </c>
      <c r="N1416" s="1" t="s">
        <v>18</v>
      </c>
      <c r="O1416" s="1">
        <v>2</v>
      </c>
      <c r="P1416" s="1">
        <v>7</v>
      </c>
      <c r="Q1416" s="7" t="s">
        <v>17633</v>
      </c>
      <c r="R1416" s="1" t="s">
        <v>19</v>
      </c>
      <c r="S1416" s="1" t="s">
        <v>20</v>
      </c>
      <c r="T1416" s="1" t="s">
        <v>21</v>
      </c>
      <c r="U1416" s="1" t="s">
        <v>22</v>
      </c>
      <c r="V1416" s="1" t="s">
        <v>24</v>
      </c>
      <c r="W1416" s="1" t="s">
        <v>24</v>
      </c>
      <c r="X1416" s="1">
        <v>1303</v>
      </c>
      <c r="Y1416" s="1">
        <v>1308</v>
      </c>
      <c r="Z1416" s="1">
        <v>1313</v>
      </c>
      <c r="AA1416" s="1" t="s">
        <v>24</v>
      </c>
      <c r="AB1416" s="1" t="s">
        <v>24</v>
      </c>
      <c r="AC1416" s="1" t="s">
        <v>24</v>
      </c>
      <c r="AD1416" s="1" t="s">
        <v>24</v>
      </c>
      <c r="AE1416" s="1" t="s">
        <v>24</v>
      </c>
      <c r="AF1416" s="22"/>
    </row>
    <row r="1417" spans="1:32" x14ac:dyDescent="0.2">
      <c r="A1417" s="1">
        <v>8607</v>
      </c>
      <c r="B1417" s="1" t="s">
        <v>4607</v>
      </c>
      <c r="C1417" s="5" t="s">
        <v>0</v>
      </c>
      <c r="D1417" s="1" t="s">
        <v>4608</v>
      </c>
      <c r="E1417" s="1" t="s">
        <v>4609</v>
      </c>
      <c r="F1417" s="1" t="s">
        <v>91</v>
      </c>
      <c r="G1417" s="1" t="s">
        <v>61</v>
      </c>
      <c r="H1417" s="1" t="s">
        <v>92</v>
      </c>
      <c r="I1417" s="1" t="s">
        <v>16</v>
      </c>
      <c r="J1417" s="1">
        <v>7</v>
      </c>
      <c r="K1417" s="1">
        <v>3</v>
      </c>
      <c r="L1417" s="1" t="s">
        <v>31</v>
      </c>
      <c r="M1417" s="1" t="s">
        <v>18</v>
      </c>
      <c r="N1417" s="1" t="s">
        <v>18</v>
      </c>
      <c r="O1417" s="1">
        <v>3</v>
      </c>
      <c r="P1417" s="1">
        <v>7</v>
      </c>
      <c r="Q1417" s="7" t="s">
        <v>17633</v>
      </c>
      <c r="R1417" s="1" t="s">
        <v>62</v>
      </c>
      <c r="S1417" s="1" t="s">
        <v>20</v>
      </c>
      <c r="T1417" s="1" t="s">
        <v>21</v>
      </c>
      <c r="U1417" s="1" t="s">
        <v>22</v>
      </c>
      <c r="V1417" s="1" t="s">
        <v>23</v>
      </c>
      <c r="W1417" s="1" t="s">
        <v>24</v>
      </c>
      <c r="X1417" s="1">
        <v>2738</v>
      </c>
      <c r="Y1417" s="1">
        <v>2803</v>
      </c>
      <c r="Z1417" s="1" t="s">
        <v>24</v>
      </c>
      <c r="AA1417" s="1" t="s">
        <v>24</v>
      </c>
      <c r="AB1417" s="1" t="s">
        <v>24</v>
      </c>
      <c r="AC1417" s="1" t="s">
        <v>24</v>
      </c>
      <c r="AD1417" s="1" t="s">
        <v>24</v>
      </c>
      <c r="AE1417" s="1" t="s">
        <v>24</v>
      </c>
      <c r="AF1417" s="22"/>
    </row>
    <row r="1418" spans="1:32" x14ac:dyDescent="0.2">
      <c r="A1418" s="1">
        <v>8610</v>
      </c>
      <c r="B1418" s="1" t="s">
        <v>4610</v>
      </c>
      <c r="C1418" s="5" t="s">
        <v>0</v>
      </c>
      <c r="D1418" s="1" t="s">
        <v>4611</v>
      </c>
      <c r="E1418" s="1" t="s">
        <v>4612</v>
      </c>
      <c r="F1418" s="1" t="s">
        <v>97</v>
      </c>
      <c r="G1418" s="1" t="s">
        <v>98</v>
      </c>
      <c r="H1418" s="1" t="s">
        <v>37</v>
      </c>
      <c r="I1418" s="1" t="s">
        <v>16</v>
      </c>
      <c r="J1418" s="1">
        <v>1</v>
      </c>
      <c r="K1418" s="1">
        <v>8</v>
      </c>
      <c r="L1418" s="1" t="s">
        <v>31</v>
      </c>
      <c r="M1418" s="1" t="s">
        <v>18</v>
      </c>
      <c r="N1418" s="1" t="s">
        <v>18</v>
      </c>
      <c r="O1418" s="1">
        <v>3</v>
      </c>
      <c r="P1418" s="1">
        <v>7</v>
      </c>
      <c r="Q1418" s="7" t="s">
        <v>17633</v>
      </c>
      <c r="R1418" s="1" t="s">
        <v>62</v>
      </c>
      <c r="S1418" s="1" t="s">
        <v>20</v>
      </c>
      <c r="T1418" s="1" t="s">
        <v>21</v>
      </c>
      <c r="U1418" s="1" t="s">
        <v>22</v>
      </c>
      <c r="V1418" s="1" t="s">
        <v>24</v>
      </c>
      <c r="W1418" s="1" t="s">
        <v>64</v>
      </c>
      <c r="X1418" s="1">
        <v>3004</v>
      </c>
      <c r="Y1418" s="1">
        <v>2736</v>
      </c>
      <c r="Z1418" s="1">
        <v>2738</v>
      </c>
      <c r="AA1418" s="1" t="s">
        <v>24</v>
      </c>
      <c r="AB1418" s="1" t="s">
        <v>24</v>
      </c>
      <c r="AC1418" s="1" t="s">
        <v>24</v>
      </c>
      <c r="AD1418" s="1" t="s">
        <v>24</v>
      </c>
      <c r="AE1418" s="1" t="s">
        <v>24</v>
      </c>
      <c r="AF1418" s="22"/>
    </row>
    <row r="1419" spans="1:32" x14ac:dyDescent="0.2">
      <c r="A1419" s="1">
        <v>8611</v>
      </c>
      <c r="B1419" s="1" t="s">
        <v>4613</v>
      </c>
      <c r="C1419" s="5" t="s">
        <v>0</v>
      </c>
      <c r="D1419" s="1" t="s">
        <v>4614</v>
      </c>
      <c r="E1419" s="1" t="s">
        <v>4615</v>
      </c>
      <c r="F1419" s="1" t="s">
        <v>4616</v>
      </c>
      <c r="G1419" s="1" t="s">
        <v>4616</v>
      </c>
      <c r="H1419" s="1" t="s">
        <v>168</v>
      </c>
      <c r="I1419" s="1" t="s">
        <v>16</v>
      </c>
      <c r="J1419" s="1">
        <v>1</v>
      </c>
      <c r="K1419" s="1">
        <v>4</v>
      </c>
      <c r="L1419" s="1" t="s">
        <v>42</v>
      </c>
      <c r="M1419" s="1" t="s">
        <v>18</v>
      </c>
      <c r="N1419" s="1" t="s">
        <v>18</v>
      </c>
      <c r="O1419" s="1">
        <v>3</v>
      </c>
      <c r="P1419" s="1">
        <v>6</v>
      </c>
      <c r="R1419" s="1" t="s">
        <v>19</v>
      </c>
      <c r="S1419" s="1" t="s">
        <v>20</v>
      </c>
      <c r="T1419" s="1" t="s">
        <v>21</v>
      </c>
      <c r="U1419" s="1" t="s">
        <v>22</v>
      </c>
      <c r="V1419" s="1" t="s">
        <v>24</v>
      </c>
      <c r="W1419" s="1" t="s">
        <v>24</v>
      </c>
      <c r="X1419" s="1">
        <v>2800</v>
      </c>
      <c r="Y1419" s="1">
        <v>3206</v>
      </c>
      <c r="Z1419" s="1">
        <v>1314</v>
      </c>
      <c r="AA1419" s="1" t="s">
        <v>24</v>
      </c>
      <c r="AB1419" s="1" t="s">
        <v>24</v>
      </c>
      <c r="AC1419" s="1" t="s">
        <v>24</v>
      </c>
      <c r="AD1419" s="1" t="s">
        <v>24</v>
      </c>
      <c r="AE1419" s="1" t="s">
        <v>24</v>
      </c>
      <c r="AF1419" s="22"/>
    </row>
    <row r="1420" spans="1:32" x14ac:dyDescent="0.2">
      <c r="A1420" s="1">
        <v>8634</v>
      </c>
      <c r="B1420" s="1" t="s">
        <v>4617</v>
      </c>
      <c r="C1420" s="5" t="s">
        <v>0</v>
      </c>
      <c r="D1420" s="1" t="s">
        <v>4618</v>
      </c>
      <c r="E1420" s="1" t="s">
        <v>4619</v>
      </c>
      <c r="F1420" s="1" t="s">
        <v>689</v>
      </c>
      <c r="G1420" s="1" t="s">
        <v>311</v>
      </c>
      <c r="H1420" s="1" t="s">
        <v>37</v>
      </c>
      <c r="I1420" s="1" t="s">
        <v>16</v>
      </c>
      <c r="J1420" s="1">
        <v>1</v>
      </c>
      <c r="K1420" s="1">
        <v>5</v>
      </c>
      <c r="L1420" s="1" t="s">
        <v>31</v>
      </c>
      <c r="M1420" s="1" t="s">
        <v>18</v>
      </c>
      <c r="N1420" s="1" t="s">
        <v>18</v>
      </c>
      <c r="O1420" s="1">
        <v>3</v>
      </c>
      <c r="P1420" s="1">
        <v>6</v>
      </c>
      <c r="R1420" s="1" t="s">
        <v>19</v>
      </c>
      <c r="S1420" s="1" t="s">
        <v>20</v>
      </c>
      <c r="T1420" s="1" t="s">
        <v>21</v>
      </c>
      <c r="U1420" s="1" t="s">
        <v>22</v>
      </c>
      <c r="V1420" s="1" t="s">
        <v>23</v>
      </c>
      <c r="W1420" s="1" t="s">
        <v>24</v>
      </c>
      <c r="X1420" s="1">
        <v>3200</v>
      </c>
      <c r="Y1420" s="1">
        <v>2743</v>
      </c>
      <c r="Z1420" s="1">
        <v>2729</v>
      </c>
      <c r="AA1420" s="1">
        <v>2735</v>
      </c>
      <c r="AB1420" s="1" t="s">
        <v>24</v>
      </c>
      <c r="AC1420" s="1" t="s">
        <v>24</v>
      </c>
      <c r="AD1420" s="1" t="s">
        <v>24</v>
      </c>
      <c r="AE1420" s="1" t="s">
        <v>24</v>
      </c>
      <c r="AF1420" s="22"/>
    </row>
    <row r="1421" spans="1:32" x14ac:dyDescent="0.2">
      <c r="A1421" s="1">
        <v>8640</v>
      </c>
      <c r="B1421" s="1" t="s">
        <v>4620</v>
      </c>
      <c r="C1421" s="5" t="s">
        <v>0</v>
      </c>
      <c r="D1421" s="1" t="s">
        <v>4621</v>
      </c>
      <c r="E1421" s="1" t="s">
        <v>4622</v>
      </c>
      <c r="F1421" s="1" t="s">
        <v>55</v>
      </c>
      <c r="G1421" s="1" t="s">
        <v>56</v>
      </c>
      <c r="H1421" s="1" t="s">
        <v>37</v>
      </c>
      <c r="I1421" s="1" t="s">
        <v>16</v>
      </c>
      <c r="J1421" s="1">
        <v>1</v>
      </c>
      <c r="K1421" s="1">
        <v>12</v>
      </c>
      <c r="L1421" s="1" t="s">
        <v>31</v>
      </c>
      <c r="M1421" s="1" t="s">
        <v>18</v>
      </c>
      <c r="N1421" s="1" t="s">
        <v>18</v>
      </c>
      <c r="O1421" s="1">
        <v>3</v>
      </c>
      <c r="P1421" s="1">
        <v>7</v>
      </c>
      <c r="Q1421" s="7" t="s">
        <v>17633</v>
      </c>
      <c r="R1421" s="1" t="s">
        <v>62</v>
      </c>
      <c r="S1421" s="1" t="s">
        <v>20</v>
      </c>
      <c r="T1421" s="1" t="s">
        <v>21</v>
      </c>
      <c r="U1421" s="1" t="s">
        <v>22</v>
      </c>
      <c r="V1421" s="1" t="s">
        <v>24</v>
      </c>
      <c r="W1421" s="1" t="s">
        <v>24</v>
      </c>
      <c r="X1421" s="1">
        <v>2724</v>
      </c>
      <c r="Y1421" s="1" t="s">
        <v>24</v>
      </c>
      <c r="Z1421" s="1" t="s">
        <v>24</v>
      </c>
      <c r="AA1421" s="1" t="s">
        <v>24</v>
      </c>
      <c r="AB1421" s="1" t="s">
        <v>24</v>
      </c>
      <c r="AC1421" s="1" t="s">
        <v>24</v>
      </c>
      <c r="AD1421" s="1" t="s">
        <v>24</v>
      </c>
      <c r="AE1421" s="1" t="s">
        <v>24</v>
      </c>
      <c r="AF1421" s="22"/>
    </row>
    <row r="1422" spans="1:32" x14ac:dyDescent="0.2">
      <c r="A1422" s="1">
        <v>8643</v>
      </c>
      <c r="B1422" s="1" t="s">
        <v>4623</v>
      </c>
      <c r="C1422" s="5" t="s">
        <v>0</v>
      </c>
      <c r="D1422" s="1" t="s">
        <v>4624</v>
      </c>
      <c r="E1422" s="1" t="s">
        <v>4625</v>
      </c>
      <c r="F1422" s="1" t="s">
        <v>296</v>
      </c>
      <c r="G1422" s="1" t="s">
        <v>36</v>
      </c>
      <c r="H1422" s="1" t="s">
        <v>264</v>
      </c>
      <c r="I1422" s="1" t="s">
        <v>16</v>
      </c>
      <c r="J1422" s="1">
        <v>1</v>
      </c>
      <c r="K1422" s="1">
        <v>12</v>
      </c>
      <c r="L1422" s="1" t="s">
        <v>31</v>
      </c>
      <c r="M1422" s="1" t="s">
        <v>18</v>
      </c>
      <c r="N1422" s="1" t="s">
        <v>18</v>
      </c>
      <c r="O1422" s="1">
        <v>3</v>
      </c>
      <c r="P1422" s="1">
        <v>7</v>
      </c>
      <c r="Q1422" s="7" t="s">
        <v>17633</v>
      </c>
      <c r="R1422" s="1" t="s">
        <v>19</v>
      </c>
      <c r="S1422" s="1" t="s">
        <v>20</v>
      </c>
      <c r="T1422" s="1" t="s">
        <v>21</v>
      </c>
      <c r="U1422" s="1" t="s">
        <v>22</v>
      </c>
      <c r="V1422" s="1" t="s">
        <v>24</v>
      </c>
      <c r="W1422" s="1" t="s">
        <v>24</v>
      </c>
      <c r="X1422" s="1">
        <v>2715</v>
      </c>
      <c r="Y1422" s="1">
        <v>2721</v>
      </c>
      <c r="Z1422" s="1" t="s">
        <v>24</v>
      </c>
      <c r="AA1422" s="1" t="s">
        <v>24</v>
      </c>
      <c r="AB1422" s="1" t="s">
        <v>24</v>
      </c>
      <c r="AC1422" s="1" t="s">
        <v>24</v>
      </c>
      <c r="AD1422" s="1" t="s">
        <v>24</v>
      </c>
      <c r="AE1422" s="1" t="s">
        <v>24</v>
      </c>
      <c r="AF1422" s="22"/>
    </row>
    <row r="1423" spans="1:32" x14ac:dyDescent="0.2">
      <c r="A1423" s="1">
        <v>8648</v>
      </c>
      <c r="B1423" s="1" t="s">
        <v>4626</v>
      </c>
      <c r="C1423" s="5" t="s">
        <v>0</v>
      </c>
      <c r="D1423" s="1" t="s">
        <v>4627</v>
      </c>
      <c r="E1423" s="1" t="s">
        <v>4628</v>
      </c>
      <c r="F1423" s="1" t="s">
        <v>291</v>
      </c>
      <c r="G1423" s="1" t="s">
        <v>292</v>
      </c>
      <c r="H1423" s="1" t="s">
        <v>37</v>
      </c>
      <c r="I1423" s="1" t="s">
        <v>16</v>
      </c>
      <c r="J1423" s="1">
        <v>1</v>
      </c>
      <c r="K1423" s="1">
        <v>8</v>
      </c>
      <c r="L1423" s="1" t="s">
        <v>31</v>
      </c>
      <c r="M1423" s="1" t="s">
        <v>18</v>
      </c>
      <c r="N1423" s="1" t="s">
        <v>18</v>
      </c>
      <c r="O1423" s="1">
        <v>3</v>
      </c>
      <c r="P1423" s="1">
        <v>7</v>
      </c>
      <c r="Q1423" s="7" t="s">
        <v>17633</v>
      </c>
      <c r="R1423" s="1" t="s">
        <v>62</v>
      </c>
      <c r="S1423" s="1" t="s">
        <v>20</v>
      </c>
      <c r="T1423" s="1" t="s">
        <v>21</v>
      </c>
      <c r="U1423" s="1" t="s">
        <v>22</v>
      </c>
      <c r="V1423" s="1" t="s">
        <v>24</v>
      </c>
      <c r="W1423" s="1" t="s">
        <v>24</v>
      </c>
      <c r="X1423" s="1">
        <v>2700</v>
      </c>
      <c r="Y1423" s="1" t="s">
        <v>24</v>
      </c>
      <c r="Z1423" s="1" t="s">
        <v>24</v>
      </c>
      <c r="AA1423" s="1" t="s">
        <v>24</v>
      </c>
      <c r="AB1423" s="1" t="s">
        <v>24</v>
      </c>
      <c r="AC1423" s="1" t="s">
        <v>24</v>
      </c>
      <c r="AD1423" s="1" t="s">
        <v>24</v>
      </c>
      <c r="AE1423" s="1" t="s">
        <v>24</v>
      </c>
      <c r="AF1423" s="22"/>
    </row>
    <row r="1424" spans="1:32" x14ac:dyDescent="0.2">
      <c r="A1424" s="1">
        <v>8652</v>
      </c>
      <c r="B1424" s="1" t="s">
        <v>4629</v>
      </c>
      <c r="C1424" s="5" t="s">
        <v>0</v>
      </c>
      <c r="D1424" s="1" t="s">
        <v>4630</v>
      </c>
      <c r="F1424" s="1" t="s">
        <v>4631</v>
      </c>
      <c r="G1424" s="1" t="s">
        <v>4631</v>
      </c>
      <c r="H1424" s="1" t="s">
        <v>1007</v>
      </c>
      <c r="I1424" s="1" t="s">
        <v>16</v>
      </c>
      <c r="J1424" s="1">
        <v>1</v>
      </c>
      <c r="K1424" s="1">
        <v>12</v>
      </c>
      <c r="L1424" s="1" t="s">
        <v>17</v>
      </c>
      <c r="M1424" s="1" t="s">
        <v>1008</v>
      </c>
      <c r="N1424" s="1" t="s">
        <v>4418</v>
      </c>
      <c r="O1424" s="1">
        <v>2</v>
      </c>
      <c r="P1424" s="1">
        <v>5</v>
      </c>
      <c r="R1424" s="1" t="s">
        <v>19</v>
      </c>
      <c r="S1424" s="1" t="s">
        <v>20</v>
      </c>
      <c r="T1424" s="1" t="s">
        <v>21</v>
      </c>
      <c r="U1424" s="1" t="s">
        <v>22</v>
      </c>
      <c r="V1424" s="1" t="s">
        <v>24</v>
      </c>
      <c r="W1424" s="1" t="s">
        <v>24</v>
      </c>
      <c r="X1424" s="1">
        <v>3000</v>
      </c>
      <c r="Y1424" s="1">
        <v>1313</v>
      </c>
      <c r="Z1424" s="1" t="s">
        <v>24</v>
      </c>
      <c r="AA1424" s="1" t="s">
        <v>24</v>
      </c>
      <c r="AB1424" s="1" t="s">
        <v>24</v>
      </c>
      <c r="AC1424" s="1" t="s">
        <v>24</v>
      </c>
      <c r="AD1424" s="1" t="s">
        <v>24</v>
      </c>
      <c r="AE1424" s="1" t="s">
        <v>24</v>
      </c>
      <c r="AF1424" s="22"/>
    </row>
    <row r="1425" spans="1:32" x14ac:dyDescent="0.2">
      <c r="A1425" s="1">
        <v>8654</v>
      </c>
      <c r="B1425" s="1" t="s">
        <v>4632</v>
      </c>
      <c r="C1425" s="5" t="s">
        <v>0</v>
      </c>
      <c r="D1425" s="1" t="s">
        <v>4633</v>
      </c>
      <c r="E1425" s="1" t="s">
        <v>4634</v>
      </c>
      <c r="F1425" s="1" t="s">
        <v>91</v>
      </c>
      <c r="G1425" s="1" t="s">
        <v>61</v>
      </c>
      <c r="H1425" s="1" t="s">
        <v>92</v>
      </c>
      <c r="I1425" s="1" t="s">
        <v>16</v>
      </c>
      <c r="J1425" s="1">
        <v>2</v>
      </c>
      <c r="K1425" s="1">
        <v>4</v>
      </c>
      <c r="L1425" s="1" t="s">
        <v>31</v>
      </c>
      <c r="M1425" s="1" t="s">
        <v>18</v>
      </c>
      <c r="N1425" s="1" t="s">
        <v>18</v>
      </c>
      <c r="O1425" s="1">
        <v>3</v>
      </c>
      <c r="P1425" s="1">
        <v>7</v>
      </c>
      <c r="Q1425" s="7" t="s">
        <v>17633</v>
      </c>
      <c r="R1425" s="1" t="s">
        <v>19</v>
      </c>
      <c r="S1425" s="1" t="s">
        <v>20</v>
      </c>
      <c r="T1425" s="1" t="s">
        <v>21</v>
      </c>
      <c r="U1425" s="1" t="s">
        <v>22</v>
      </c>
      <c r="V1425" s="1" t="s">
        <v>24</v>
      </c>
      <c r="W1425" s="1" t="s">
        <v>24</v>
      </c>
      <c r="X1425" s="1">
        <v>2804</v>
      </c>
      <c r="Y1425" s="1" t="s">
        <v>24</v>
      </c>
      <c r="Z1425" s="1" t="s">
        <v>24</v>
      </c>
      <c r="AA1425" s="1" t="s">
        <v>24</v>
      </c>
      <c r="AB1425" s="1" t="s">
        <v>24</v>
      </c>
      <c r="AC1425" s="1" t="s">
        <v>24</v>
      </c>
      <c r="AD1425" s="1" t="s">
        <v>24</v>
      </c>
      <c r="AE1425" s="1" t="s">
        <v>24</v>
      </c>
      <c r="AF1425" s="22"/>
    </row>
    <row r="1426" spans="1:32" x14ac:dyDescent="0.2">
      <c r="A1426" s="1">
        <v>8655</v>
      </c>
      <c r="B1426" s="1" t="s">
        <v>4635</v>
      </c>
      <c r="C1426" s="5" t="s">
        <v>0</v>
      </c>
      <c r="D1426" s="1" t="s">
        <v>4636</v>
      </c>
      <c r="E1426" s="1" t="s">
        <v>4637</v>
      </c>
      <c r="F1426" s="1" t="s">
        <v>689</v>
      </c>
      <c r="G1426" s="1" t="s">
        <v>311</v>
      </c>
      <c r="H1426" s="1" t="s">
        <v>30</v>
      </c>
      <c r="I1426" s="1" t="s">
        <v>16</v>
      </c>
      <c r="J1426" s="1">
        <v>1</v>
      </c>
      <c r="K1426" s="1">
        <v>4</v>
      </c>
      <c r="L1426" s="1" t="s">
        <v>31</v>
      </c>
      <c r="M1426" s="1" t="s">
        <v>18</v>
      </c>
      <c r="N1426" s="1" t="s">
        <v>18</v>
      </c>
      <c r="O1426" s="1">
        <v>3</v>
      </c>
      <c r="P1426" s="1">
        <v>6</v>
      </c>
      <c r="R1426" s="1" t="s">
        <v>19</v>
      </c>
      <c r="S1426" s="1" t="s">
        <v>20</v>
      </c>
      <c r="T1426" s="1" t="s">
        <v>21</v>
      </c>
      <c r="U1426" s="1" t="s">
        <v>22</v>
      </c>
      <c r="V1426" s="1" t="s">
        <v>23</v>
      </c>
      <c r="W1426" s="1" t="s">
        <v>24</v>
      </c>
      <c r="X1426" s="1">
        <v>2738</v>
      </c>
      <c r="Y1426" s="1">
        <v>3202</v>
      </c>
      <c r="Z1426" s="1" t="s">
        <v>24</v>
      </c>
      <c r="AA1426" s="1" t="s">
        <v>24</v>
      </c>
      <c r="AB1426" s="1" t="s">
        <v>24</v>
      </c>
      <c r="AC1426" s="1" t="s">
        <v>24</v>
      </c>
      <c r="AD1426" s="1" t="s">
        <v>24</v>
      </c>
      <c r="AE1426" s="1" t="s">
        <v>24</v>
      </c>
      <c r="AF1426" s="22"/>
    </row>
    <row r="1427" spans="1:32" x14ac:dyDescent="0.2">
      <c r="A1427" s="1">
        <v>8682</v>
      </c>
      <c r="B1427" s="1" t="s">
        <v>4638</v>
      </c>
      <c r="C1427" s="5" t="s">
        <v>0</v>
      </c>
      <c r="D1427" s="1" t="s">
        <v>4639</v>
      </c>
      <c r="E1427" s="1" t="s">
        <v>4640</v>
      </c>
      <c r="F1427" s="1" t="s">
        <v>194</v>
      </c>
      <c r="G1427" s="1" t="s">
        <v>61</v>
      </c>
      <c r="H1427" s="1" t="s">
        <v>30</v>
      </c>
      <c r="I1427" s="1" t="s">
        <v>16</v>
      </c>
      <c r="J1427" s="1">
        <v>1</v>
      </c>
      <c r="K1427" s="1">
        <v>9</v>
      </c>
      <c r="L1427" s="1" t="s">
        <v>31</v>
      </c>
      <c r="M1427" s="1" t="s">
        <v>18</v>
      </c>
      <c r="N1427" s="1" t="s">
        <v>18</v>
      </c>
      <c r="O1427" s="1">
        <v>2</v>
      </c>
      <c r="P1427" s="1">
        <v>6</v>
      </c>
      <c r="R1427" s="1" t="s">
        <v>19</v>
      </c>
      <c r="S1427" s="1" t="s">
        <v>20</v>
      </c>
      <c r="T1427" s="1" t="s">
        <v>21</v>
      </c>
      <c r="U1427" s="1" t="s">
        <v>22</v>
      </c>
      <c r="V1427" s="1" t="s">
        <v>23</v>
      </c>
      <c r="W1427" s="1" t="s">
        <v>24</v>
      </c>
      <c r="X1427" s="1">
        <v>3602</v>
      </c>
      <c r="Y1427" s="1" t="s">
        <v>24</v>
      </c>
      <c r="Z1427" s="1" t="s">
        <v>24</v>
      </c>
      <c r="AA1427" s="1" t="s">
        <v>24</v>
      </c>
      <c r="AB1427" s="1" t="s">
        <v>24</v>
      </c>
      <c r="AC1427" s="1" t="s">
        <v>24</v>
      </c>
      <c r="AD1427" s="1" t="s">
        <v>24</v>
      </c>
      <c r="AE1427" s="1" t="s">
        <v>24</v>
      </c>
      <c r="AF1427" s="22"/>
    </row>
    <row r="1428" spans="1:32" x14ac:dyDescent="0.2">
      <c r="A1428" s="1">
        <v>8683</v>
      </c>
      <c r="B1428" s="1" t="s">
        <v>4641</v>
      </c>
      <c r="C1428" s="5" t="s">
        <v>0</v>
      </c>
      <c r="D1428" s="1" t="s">
        <v>4642</v>
      </c>
      <c r="F1428" s="1" t="s">
        <v>4643</v>
      </c>
      <c r="G1428" s="1" t="s">
        <v>4644</v>
      </c>
      <c r="H1428" s="1" t="s">
        <v>684</v>
      </c>
      <c r="I1428" s="1" t="s">
        <v>16</v>
      </c>
      <c r="J1428" s="1">
        <v>1</v>
      </c>
      <c r="K1428" s="1">
        <v>4</v>
      </c>
      <c r="L1428" s="1" t="s">
        <v>17</v>
      </c>
      <c r="M1428" s="1" t="s">
        <v>18</v>
      </c>
      <c r="N1428" s="1" t="s">
        <v>18</v>
      </c>
      <c r="O1428" s="1">
        <v>2</v>
      </c>
      <c r="P1428" s="1">
        <v>6</v>
      </c>
      <c r="R1428" s="1" t="s">
        <v>19</v>
      </c>
      <c r="S1428" s="1" t="s">
        <v>20</v>
      </c>
      <c r="T1428" s="1" t="s">
        <v>21</v>
      </c>
      <c r="U1428" s="1" t="s">
        <v>22</v>
      </c>
      <c r="V1428" s="1" t="s">
        <v>24</v>
      </c>
      <c r="W1428" s="1" t="s">
        <v>24</v>
      </c>
      <c r="X1428" s="1">
        <v>1314</v>
      </c>
      <c r="Y1428" s="1">
        <v>1310</v>
      </c>
      <c r="Z1428" s="1">
        <v>1306</v>
      </c>
      <c r="AA1428" s="1">
        <v>2403</v>
      </c>
      <c r="AB1428" s="1">
        <v>2737</v>
      </c>
      <c r="AC1428" s="1">
        <v>2712</v>
      </c>
      <c r="AD1428" s="1">
        <v>2730</v>
      </c>
      <c r="AE1428" s="1">
        <v>2723</v>
      </c>
      <c r="AF1428" s="22"/>
    </row>
    <row r="1429" spans="1:32" x14ac:dyDescent="0.2">
      <c r="A1429" s="1">
        <v>8684</v>
      </c>
      <c r="B1429" s="1" t="s">
        <v>4645</v>
      </c>
      <c r="C1429" s="5" t="s">
        <v>0</v>
      </c>
      <c r="D1429" s="1" t="s">
        <v>4646</v>
      </c>
      <c r="E1429" s="1" t="s">
        <v>4647</v>
      </c>
      <c r="F1429" s="1" t="s">
        <v>35</v>
      </c>
      <c r="G1429" s="1" t="s">
        <v>36</v>
      </c>
      <c r="H1429" s="1" t="s">
        <v>37</v>
      </c>
      <c r="I1429" s="1" t="s">
        <v>16</v>
      </c>
      <c r="J1429" s="1">
        <v>1</v>
      </c>
      <c r="K1429" s="1">
        <v>6</v>
      </c>
      <c r="L1429" s="1" t="s">
        <v>31</v>
      </c>
      <c r="M1429" s="1" t="s">
        <v>242</v>
      </c>
      <c r="N1429" s="1" t="s">
        <v>18</v>
      </c>
      <c r="O1429" s="1">
        <v>3</v>
      </c>
      <c r="P1429" s="1">
        <v>7</v>
      </c>
      <c r="Q1429" s="7" t="s">
        <v>17633</v>
      </c>
      <c r="R1429" s="1" t="s">
        <v>19</v>
      </c>
      <c r="S1429" s="1" t="s">
        <v>20</v>
      </c>
      <c r="T1429" s="1" t="s">
        <v>21</v>
      </c>
      <c r="U1429" s="1" t="s">
        <v>22</v>
      </c>
      <c r="V1429" s="1" t="s">
        <v>24</v>
      </c>
      <c r="W1429" s="1" t="s">
        <v>24</v>
      </c>
      <c r="X1429" s="1">
        <v>2708</v>
      </c>
      <c r="Y1429" s="1">
        <v>2725</v>
      </c>
      <c r="Z1429" s="1" t="s">
        <v>24</v>
      </c>
      <c r="AA1429" s="1" t="s">
        <v>24</v>
      </c>
      <c r="AB1429" s="1" t="s">
        <v>24</v>
      </c>
      <c r="AC1429" s="1" t="s">
        <v>24</v>
      </c>
      <c r="AD1429" s="1" t="s">
        <v>24</v>
      </c>
      <c r="AE1429" s="1" t="s">
        <v>24</v>
      </c>
      <c r="AF1429" s="22"/>
    </row>
    <row r="1430" spans="1:32" x14ac:dyDescent="0.2">
      <c r="A1430" s="1">
        <v>8687</v>
      </c>
      <c r="B1430" s="1" t="s">
        <v>4648</v>
      </c>
      <c r="C1430" s="5" t="s">
        <v>0</v>
      </c>
      <c r="D1430" s="1" t="s">
        <v>4649</v>
      </c>
      <c r="E1430" s="1" t="s">
        <v>4650</v>
      </c>
      <c r="F1430" s="1" t="s">
        <v>167</v>
      </c>
      <c r="G1430" s="1" t="s">
        <v>130</v>
      </c>
      <c r="H1430" s="1" t="s">
        <v>168</v>
      </c>
      <c r="I1430" s="1" t="s">
        <v>16</v>
      </c>
      <c r="J1430" s="1">
        <v>1</v>
      </c>
      <c r="K1430" s="1">
        <v>12</v>
      </c>
      <c r="L1430" s="1" t="s">
        <v>31</v>
      </c>
      <c r="M1430" s="1" t="s">
        <v>18</v>
      </c>
      <c r="N1430" s="1" t="s">
        <v>18</v>
      </c>
      <c r="O1430" s="1">
        <v>3</v>
      </c>
      <c r="P1430" s="1">
        <v>7</v>
      </c>
      <c r="Q1430" s="7" t="s">
        <v>17633</v>
      </c>
      <c r="R1430" s="1" t="s">
        <v>19</v>
      </c>
      <c r="S1430" s="1" t="s">
        <v>20</v>
      </c>
      <c r="T1430" s="1" t="s">
        <v>21</v>
      </c>
      <c r="U1430" s="1" t="s">
        <v>22</v>
      </c>
      <c r="V1430" s="1" t="s">
        <v>24</v>
      </c>
      <c r="W1430" s="1" t="s">
        <v>24</v>
      </c>
      <c r="X1430" s="1">
        <v>2726</v>
      </c>
      <c r="Y1430" s="1">
        <v>2725</v>
      </c>
      <c r="Z1430" s="1" t="s">
        <v>24</v>
      </c>
      <c r="AA1430" s="1" t="s">
        <v>24</v>
      </c>
      <c r="AB1430" s="1" t="s">
        <v>24</v>
      </c>
      <c r="AC1430" s="1" t="s">
        <v>24</v>
      </c>
      <c r="AD1430" s="1" t="s">
        <v>24</v>
      </c>
      <c r="AE1430" s="1" t="s">
        <v>24</v>
      </c>
      <c r="AF1430" s="22"/>
    </row>
    <row r="1431" spans="1:32" x14ac:dyDescent="0.2">
      <c r="A1431" s="1">
        <v>8702</v>
      </c>
      <c r="B1431" s="1" t="s">
        <v>4651</v>
      </c>
      <c r="C1431" s="5" t="s">
        <v>0</v>
      </c>
      <c r="D1431" s="1" t="s">
        <v>4652</v>
      </c>
      <c r="E1431" s="1" t="s">
        <v>4653</v>
      </c>
      <c r="F1431" s="1" t="s">
        <v>91</v>
      </c>
      <c r="G1431" s="1" t="s">
        <v>61</v>
      </c>
      <c r="H1431" s="1" t="s">
        <v>92</v>
      </c>
      <c r="I1431" s="1" t="s">
        <v>16</v>
      </c>
      <c r="J1431" s="1">
        <v>6</v>
      </c>
      <c r="K1431" s="1">
        <v>4</v>
      </c>
      <c r="L1431" s="1" t="s">
        <v>31</v>
      </c>
      <c r="M1431" s="1" t="s">
        <v>18</v>
      </c>
      <c r="N1431" s="1" t="s">
        <v>18</v>
      </c>
      <c r="O1431" s="1">
        <v>3</v>
      </c>
      <c r="P1431" s="1">
        <v>7</v>
      </c>
      <c r="Q1431" s="7" t="s">
        <v>17633</v>
      </c>
      <c r="R1431" s="1" t="s">
        <v>19</v>
      </c>
      <c r="S1431" s="1" t="s">
        <v>63</v>
      </c>
      <c r="T1431" s="1" t="s">
        <v>21</v>
      </c>
      <c r="U1431" s="1" t="s">
        <v>22</v>
      </c>
      <c r="V1431" s="1" t="s">
        <v>24</v>
      </c>
      <c r="W1431" s="1" t="s">
        <v>24</v>
      </c>
      <c r="X1431" s="1">
        <v>2312</v>
      </c>
      <c r="Y1431" s="1">
        <v>2304</v>
      </c>
      <c r="Z1431" s="1" t="s">
        <v>24</v>
      </c>
      <c r="AA1431" s="1" t="s">
        <v>24</v>
      </c>
      <c r="AB1431" s="1" t="s">
        <v>24</v>
      </c>
      <c r="AC1431" s="1" t="s">
        <v>24</v>
      </c>
      <c r="AD1431" s="1" t="s">
        <v>24</v>
      </c>
      <c r="AE1431" s="1" t="s">
        <v>24</v>
      </c>
      <c r="AF1431" s="22"/>
    </row>
    <row r="1432" spans="1:32" x14ac:dyDescent="0.2">
      <c r="A1432" s="1">
        <v>8712</v>
      </c>
      <c r="B1432" s="1" t="s">
        <v>4654</v>
      </c>
      <c r="C1432" s="5" t="s">
        <v>0</v>
      </c>
      <c r="D1432" s="1" t="s">
        <v>4655</v>
      </c>
      <c r="E1432" s="1" t="s">
        <v>4656</v>
      </c>
      <c r="F1432" s="1" t="s">
        <v>1890</v>
      </c>
      <c r="G1432" s="1" t="s">
        <v>1890</v>
      </c>
      <c r="H1432" s="1" t="s">
        <v>684</v>
      </c>
      <c r="I1432" s="1" t="s">
        <v>16</v>
      </c>
      <c r="J1432" s="1">
        <v>1</v>
      </c>
      <c r="K1432" s="1">
        <v>4</v>
      </c>
      <c r="L1432" s="1" t="s">
        <v>42</v>
      </c>
      <c r="M1432" s="1" t="s">
        <v>18</v>
      </c>
      <c r="N1432" s="1" t="s">
        <v>18</v>
      </c>
      <c r="O1432" s="1">
        <v>3</v>
      </c>
      <c r="P1432" s="1">
        <v>6</v>
      </c>
      <c r="R1432" s="1" t="s">
        <v>19</v>
      </c>
      <c r="S1432" s="1" t="s">
        <v>20</v>
      </c>
      <c r="T1432" s="1" t="s">
        <v>21</v>
      </c>
      <c r="U1432" s="1" t="s">
        <v>22</v>
      </c>
      <c r="V1432" s="1" t="s">
        <v>24</v>
      </c>
      <c r="W1432" s="1" t="s">
        <v>24</v>
      </c>
      <c r="X1432" s="1">
        <v>1308</v>
      </c>
      <c r="Y1432" s="1">
        <v>1306</v>
      </c>
      <c r="Z1432" s="1">
        <v>2730</v>
      </c>
      <c r="AA1432" s="1">
        <v>2734</v>
      </c>
      <c r="AB1432" s="1" t="s">
        <v>24</v>
      </c>
      <c r="AC1432" s="1" t="s">
        <v>24</v>
      </c>
      <c r="AD1432" s="1" t="s">
        <v>24</v>
      </c>
      <c r="AE1432" s="1" t="s">
        <v>24</v>
      </c>
      <c r="AF1432" s="22"/>
    </row>
    <row r="1433" spans="1:32" x14ac:dyDescent="0.2">
      <c r="A1433" s="1">
        <v>8717</v>
      </c>
      <c r="B1433" s="1" t="s">
        <v>4657</v>
      </c>
      <c r="C1433" s="5" t="s">
        <v>0</v>
      </c>
      <c r="D1433" s="1" t="s">
        <v>4658</v>
      </c>
      <c r="F1433" s="1" t="s">
        <v>4659</v>
      </c>
      <c r="G1433" s="1" t="s">
        <v>61</v>
      </c>
      <c r="H1433" s="1" t="s">
        <v>116</v>
      </c>
      <c r="I1433" s="1" t="s">
        <v>16</v>
      </c>
      <c r="J1433" s="1">
        <v>1</v>
      </c>
      <c r="K1433" s="1">
        <v>4</v>
      </c>
      <c r="L1433" s="1" t="s">
        <v>31</v>
      </c>
      <c r="M1433" s="1" t="s">
        <v>117</v>
      </c>
      <c r="N1433" s="1" t="s">
        <v>226</v>
      </c>
      <c r="O1433" s="1">
        <v>3</v>
      </c>
      <c r="P1433" s="1">
        <v>6</v>
      </c>
      <c r="R1433" s="1" t="s">
        <v>19</v>
      </c>
      <c r="S1433" s="1" t="s">
        <v>20</v>
      </c>
      <c r="T1433" s="1" t="s">
        <v>21</v>
      </c>
      <c r="U1433" s="1" t="s">
        <v>22</v>
      </c>
      <c r="V1433" s="1" t="s">
        <v>24</v>
      </c>
      <c r="W1433" s="1" t="s">
        <v>24</v>
      </c>
      <c r="X1433" s="1">
        <v>2403</v>
      </c>
      <c r="Y1433" s="1" t="s">
        <v>24</v>
      </c>
      <c r="Z1433" s="1" t="s">
        <v>24</v>
      </c>
      <c r="AA1433" s="1" t="s">
        <v>24</v>
      </c>
      <c r="AB1433" s="1" t="s">
        <v>24</v>
      </c>
      <c r="AC1433" s="1" t="s">
        <v>24</v>
      </c>
      <c r="AD1433" s="1" t="s">
        <v>24</v>
      </c>
      <c r="AE1433" s="1" t="s">
        <v>24</v>
      </c>
      <c r="AF1433" s="22" t="s">
        <v>17670</v>
      </c>
    </row>
    <row r="1434" spans="1:32" x14ac:dyDescent="0.2">
      <c r="A1434" s="1">
        <v>8733</v>
      </c>
      <c r="B1434" s="1" t="s">
        <v>4660</v>
      </c>
      <c r="C1434" s="5" t="s">
        <v>0</v>
      </c>
      <c r="D1434" s="1" t="s">
        <v>4661</v>
      </c>
      <c r="F1434" s="1" t="s">
        <v>1984</v>
      </c>
      <c r="G1434" s="1" t="s">
        <v>4662</v>
      </c>
      <c r="H1434" s="1" t="s">
        <v>899</v>
      </c>
      <c r="I1434" s="1" t="s">
        <v>16</v>
      </c>
      <c r="J1434" s="1">
        <v>1</v>
      </c>
      <c r="K1434" s="1">
        <v>6</v>
      </c>
      <c r="L1434" s="1" t="s">
        <v>42</v>
      </c>
      <c r="M1434" s="1" t="s">
        <v>18</v>
      </c>
      <c r="N1434" s="1" t="s">
        <v>18</v>
      </c>
      <c r="O1434" s="1">
        <v>0</v>
      </c>
      <c r="P1434" s="1">
        <v>5</v>
      </c>
      <c r="R1434" s="1" t="s">
        <v>19</v>
      </c>
      <c r="S1434" s="1" t="s">
        <v>20</v>
      </c>
      <c r="T1434" s="1" t="s">
        <v>21</v>
      </c>
      <c r="U1434" s="1" t="s">
        <v>22</v>
      </c>
      <c r="V1434" s="1" t="s">
        <v>24</v>
      </c>
      <c r="W1434" s="1" t="s">
        <v>24</v>
      </c>
      <c r="X1434" s="1">
        <v>2700</v>
      </c>
      <c r="Y1434" s="1" t="s">
        <v>24</v>
      </c>
      <c r="Z1434" s="1" t="s">
        <v>24</v>
      </c>
      <c r="AA1434" s="1" t="s">
        <v>24</v>
      </c>
      <c r="AB1434" s="1" t="s">
        <v>24</v>
      </c>
      <c r="AC1434" s="1" t="s">
        <v>24</v>
      </c>
      <c r="AD1434" s="1" t="s">
        <v>24</v>
      </c>
      <c r="AE1434" s="1" t="s">
        <v>24</v>
      </c>
      <c r="AF1434" s="22"/>
    </row>
    <row r="1435" spans="1:32" x14ac:dyDescent="0.2">
      <c r="A1435" s="1">
        <v>8736</v>
      </c>
      <c r="B1435" s="1" t="s">
        <v>4663</v>
      </c>
      <c r="C1435" s="5" t="s">
        <v>0</v>
      </c>
      <c r="D1435" s="1" t="s">
        <v>4664</v>
      </c>
      <c r="E1435" s="1" t="s">
        <v>4665</v>
      </c>
      <c r="F1435" s="1" t="s">
        <v>296</v>
      </c>
      <c r="G1435" s="1" t="s">
        <v>36</v>
      </c>
      <c r="H1435" s="1" t="s">
        <v>264</v>
      </c>
      <c r="I1435" s="1" t="s">
        <v>16</v>
      </c>
      <c r="J1435" s="1">
        <v>1</v>
      </c>
      <c r="K1435" s="1">
        <v>6</v>
      </c>
      <c r="L1435" s="1" t="s">
        <v>31</v>
      </c>
      <c r="M1435" s="1" t="s">
        <v>18</v>
      </c>
      <c r="N1435" s="1" t="s">
        <v>18</v>
      </c>
      <c r="O1435" s="1">
        <v>3</v>
      </c>
      <c r="P1435" s="1">
        <v>7</v>
      </c>
      <c r="Q1435" s="7" t="s">
        <v>17633</v>
      </c>
      <c r="R1435" s="1" t="s">
        <v>19</v>
      </c>
      <c r="S1435" s="1" t="s">
        <v>20</v>
      </c>
      <c r="T1435" s="1" t="s">
        <v>21</v>
      </c>
      <c r="U1435" s="1" t="s">
        <v>22</v>
      </c>
      <c r="V1435" s="1" t="s">
        <v>24</v>
      </c>
      <c r="W1435" s="1" t="s">
        <v>24</v>
      </c>
      <c r="X1435" s="1">
        <v>2715</v>
      </c>
      <c r="Y1435" s="1" t="s">
        <v>24</v>
      </c>
      <c r="Z1435" s="1" t="s">
        <v>24</v>
      </c>
      <c r="AA1435" s="1" t="s">
        <v>24</v>
      </c>
      <c r="AB1435" s="1" t="s">
        <v>24</v>
      </c>
      <c r="AC1435" s="1" t="s">
        <v>24</v>
      </c>
      <c r="AD1435" s="1" t="s">
        <v>24</v>
      </c>
      <c r="AE1435" s="1" t="s">
        <v>24</v>
      </c>
      <c r="AF1435" s="22"/>
    </row>
    <row r="1436" spans="1:32" x14ac:dyDescent="0.2">
      <c r="A1436" s="1">
        <v>8745</v>
      </c>
      <c r="B1436" s="1" t="s">
        <v>4666</v>
      </c>
      <c r="C1436" s="5" t="s">
        <v>0</v>
      </c>
      <c r="D1436" s="1" t="s">
        <v>4667</v>
      </c>
      <c r="F1436" s="1" t="s">
        <v>97</v>
      </c>
      <c r="G1436" s="1" t="s">
        <v>98</v>
      </c>
      <c r="H1436" s="1" t="s">
        <v>37</v>
      </c>
      <c r="I1436" s="1" t="s">
        <v>16</v>
      </c>
      <c r="J1436" s="1">
        <v>1</v>
      </c>
      <c r="K1436" s="1">
        <v>4</v>
      </c>
      <c r="L1436" s="1" t="s">
        <v>31</v>
      </c>
      <c r="M1436" s="1" t="s">
        <v>18</v>
      </c>
      <c r="N1436" s="1" t="s">
        <v>18</v>
      </c>
      <c r="O1436" s="1">
        <v>3</v>
      </c>
      <c r="P1436" s="1">
        <v>7</v>
      </c>
      <c r="Q1436" s="7" t="s">
        <v>17633</v>
      </c>
      <c r="R1436" s="1" t="s">
        <v>19</v>
      </c>
      <c r="S1436" s="1" t="s">
        <v>20</v>
      </c>
      <c r="T1436" s="1" t="s">
        <v>21</v>
      </c>
      <c r="U1436" s="1" t="s">
        <v>22</v>
      </c>
      <c r="V1436" s="1" t="s">
        <v>23</v>
      </c>
      <c r="W1436" s="1" t="s">
        <v>24</v>
      </c>
      <c r="X1436" s="1">
        <v>2719</v>
      </c>
      <c r="Y1436" s="1" t="s">
        <v>24</v>
      </c>
      <c r="Z1436" s="1" t="s">
        <v>24</v>
      </c>
      <c r="AA1436" s="1" t="s">
        <v>24</v>
      </c>
      <c r="AB1436" s="1" t="s">
        <v>24</v>
      </c>
      <c r="AC1436" s="1" t="s">
        <v>24</v>
      </c>
      <c r="AD1436" s="1" t="s">
        <v>24</v>
      </c>
      <c r="AE1436" s="1" t="s">
        <v>24</v>
      </c>
      <c r="AF1436" s="22" t="s">
        <v>17679</v>
      </c>
    </row>
    <row r="1437" spans="1:32" x14ac:dyDescent="0.2">
      <c r="A1437" s="1">
        <v>8746</v>
      </c>
      <c r="B1437" s="1" t="s">
        <v>4668</v>
      </c>
      <c r="C1437" s="5" t="s">
        <v>0</v>
      </c>
      <c r="D1437" s="1" t="s">
        <v>4669</v>
      </c>
      <c r="E1437" s="1" t="s">
        <v>4670</v>
      </c>
      <c r="F1437" s="1" t="s">
        <v>517</v>
      </c>
      <c r="G1437" s="1" t="s">
        <v>36</v>
      </c>
      <c r="H1437" s="1" t="s">
        <v>30</v>
      </c>
      <c r="I1437" s="1" t="s">
        <v>16</v>
      </c>
      <c r="J1437" s="1">
        <v>1</v>
      </c>
      <c r="K1437" s="1">
        <v>12</v>
      </c>
      <c r="L1437" s="1" t="s">
        <v>31</v>
      </c>
      <c r="M1437" s="1" t="s">
        <v>18</v>
      </c>
      <c r="N1437" s="1" t="s">
        <v>18</v>
      </c>
      <c r="O1437" s="1">
        <v>3</v>
      </c>
      <c r="P1437" s="1">
        <v>7</v>
      </c>
      <c r="Q1437" s="7" t="s">
        <v>17633</v>
      </c>
      <c r="R1437" s="1" t="s">
        <v>62</v>
      </c>
      <c r="S1437" s="1" t="s">
        <v>20</v>
      </c>
      <c r="T1437" s="1" t="s">
        <v>21</v>
      </c>
      <c r="U1437" s="1" t="s">
        <v>22</v>
      </c>
      <c r="V1437" s="1" t="s">
        <v>24</v>
      </c>
      <c r="W1437" s="1" t="s">
        <v>24</v>
      </c>
      <c r="X1437" s="1">
        <v>2804</v>
      </c>
      <c r="Y1437" s="1">
        <v>2808</v>
      </c>
      <c r="Z1437" s="1" t="s">
        <v>24</v>
      </c>
      <c r="AA1437" s="1" t="s">
        <v>24</v>
      </c>
      <c r="AB1437" s="1" t="s">
        <v>24</v>
      </c>
      <c r="AC1437" s="1" t="s">
        <v>24</v>
      </c>
      <c r="AD1437" s="1" t="s">
        <v>24</v>
      </c>
      <c r="AE1437" s="1" t="s">
        <v>24</v>
      </c>
      <c r="AF1437" s="22"/>
    </row>
    <row r="1438" spans="1:32" x14ac:dyDescent="0.2">
      <c r="A1438" s="1">
        <v>8750</v>
      </c>
      <c r="B1438" s="1" t="s">
        <v>4671</v>
      </c>
      <c r="C1438" s="5" t="s">
        <v>0</v>
      </c>
      <c r="D1438" s="1" t="s">
        <v>4672</v>
      </c>
      <c r="E1438" s="1" t="s">
        <v>4673</v>
      </c>
      <c r="F1438" s="1" t="s">
        <v>831</v>
      </c>
      <c r="G1438" s="1" t="s">
        <v>61</v>
      </c>
      <c r="H1438" s="1" t="s">
        <v>37</v>
      </c>
      <c r="I1438" s="1" t="s">
        <v>16</v>
      </c>
      <c r="J1438" s="1">
        <v>2</v>
      </c>
      <c r="K1438" s="1">
        <v>6</v>
      </c>
      <c r="L1438" s="1" t="s">
        <v>31</v>
      </c>
      <c r="M1438" s="1" t="s">
        <v>18</v>
      </c>
      <c r="N1438" s="1" t="s">
        <v>18</v>
      </c>
      <c r="O1438" s="1">
        <v>3</v>
      </c>
      <c r="P1438" s="1">
        <v>7</v>
      </c>
      <c r="Q1438" s="7" t="s">
        <v>17633</v>
      </c>
      <c r="R1438" s="1" t="s">
        <v>19</v>
      </c>
      <c r="S1438" s="1" t="s">
        <v>20</v>
      </c>
      <c r="T1438" s="1" t="s">
        <v>21</v>
      </c>
      <c r="U1438" s="1" t="s">
        <v>22</v>
      </c>
      <c r="V1438" s="1" t="s">
        <v>24</v>
      </c>
      <c r="W1438" s="1" t="s">
        <v>24</v>
      </c>
      <c r="X1438" s="1">
        <v>1307</v>
      </c>
      <c r="Y1438" s="1">
        <v>1308</v>
      </c>
      <c r="Z1438" s="1" t="s">
        <v>24</v>
      </c>
      <c r="AA1438" s="1" t="s">
        <v>24</v>
      </c>
      <c r="AB1438" s="1" t="s">
        <v>24</v>
      </c>
      <c r="AC1438" s="1" t="s">
        <v>24</v>
      </c>
      <c r="AD1438" s="1" t="s">
        <v>24</v>
      </c>
      <c r="AE1438" s="1" t="s">
        <v>24</v>
      </c>
      <c r="AF1438" s="22"/>
    </row>
    <row r="1439" spans="1:32" x14ac:dyDescent="0.2">
      <c r="A1439" s="1">
        <v>8753</v>
      </c>
      <c r="B1439" s="1" t="s">
        <v>4674</v>
      </c>
      <c r="C1439" s="5" t="s">
        <v>0</v>
      </c>
      <c r="D1439" s="1" t="s">
        <v>4675</v>
      </c>
      <c r="E1439" s="1" t="s">
        <v>4676</v>
      </c>
      <c r="F1439" s="1" t="s">
        <v>28</v>
      </c>
      <c r="G1439" s="1" t="s">
        <v>29</v>
      </c>
      <c r="H1439" s="1" t="s">
        <v>37</v>
      </c>
      <c r="I1439" s="1" t="s">
        <v>16</v>
      </c>
      <c r="J1439" s="1">
        <v>1</v>
      </c>
      <c r="K1439" s="1">
        <v>6</v>
      </c>
      <c r="L1439" s="1" t="s">
        <v>31</v>
      </c>
      <c r="M1439" s="1" t="s">
        <v>18</v>
      </c>
      <c r="N1439" s="1" t="s">
        <v>18</v>
      </c>
      <c r="O1439" s="1">
        <v>3</v>
      </c>
      <c r="P1439" s="1">
        <v>6</v>
      </c>
      <c r="R1439" s="1" t="s">
        <v>62</v>
      </c>
      <c r="S1439" s="1" t="s">
        <v>20</v>
      </c>
      <c r="T1439" s="1" t="s">
        <v>21</v>
      </c>
      <c r="U1439" s="1" t="s">
        <v>22</v>
      </c>
      <c r="V1439" s="1" t="s">
        <v>23</v>
      </c>
      <c r="W1439" s="1" t="s">
        <v>24</v>
      </c>
      <c r="X1439" s="1">
        <v>2726</v>
      </c>
      <c r="Y1439" s="1">
        <v>2725</v>
      </c>
      <c r="Z1439" s="1" t="s">
        <v>24</v>
      </c>
      <c r="AA1439" s="1" t="s">
        <v>24</v>
      </c>
      <c r="AB1439" s="1" t="s">
        <v>24</v>
      </c>
      <c r="AC1439" s="1" t="s">
        <v>24</v>
      </c>
      <c r="AD1439" s="1" t="s">
        <v>24</v>
      </c>
      <c r="AE1439" s="1" t="s">
        <v>24</v>
      </c>
      <c r="AF1439" s="22"/>
    </row>
    <row r="1440" spans="1:32" x14ac:dyDescent="0.2">
      <c r="A1440" s="1">
        <v>8757</v>
      </c>
      <c r="B1440" s="1" t="s">
        <v>4677</v>
      </c>
      <c r="C1440" s="5" t="s">
        <v>0</v>
      </c>
      <c r="D1440" s="1" t="s">
        <v>4678</v>
      </c>
      <c r="F1440" s="1" t="s">
        <v>4679</v>
      </c>
      <c r="G1440" s="1" t="s">
        <v>4680</v>
      </c>
      <c r="H1440" s="1" t="s">
        <v>445</v>
      </c>
      <c r="I1440" s="1" t="s">
        <v>16</v>
      </c>
      <c r="J1440" s="1">
        <v>1</v>
      </c>
      <c r="K1440" s="1">
        <v>3</v>
      </c>
      <c r="L1440" s="1" t="s">
        <v>31</v>
      </c>
      <c r="M1440" s="1" t="s">
        <v>446</v>
      </c>
      <c r="N1440" s="1" t="s">
        <v>18</v>
      </c>
      <c r="O1440" s="1">
        <v>1</v>
      </c>
      <c r="P1440" s="1">
        <v>6</v>
      </c>
      <c r="R1440" s="1" t="s">
        <v>19</v>
      </c>
      <c r="S1440" s="1" t="s">
        <v>20</v>
      </c>
      <c r="T1440" s="1" t="s">
        <v>21</v>
      </c>
      <c r="U1440" s="1" t="s">
        <v>22</v>
      </c>
      <c r="V1440" s="1" t="s">
        <v>24</v>
      </c>
      <c r="W1440" s="1" t="s">
        <v>24</v>
      </c>
      <c r="X1440" s="1">
        <v>2736</v>
      </c>
      <c r="Y1440" s="1">
        <v>3004</v>
      </c>
      <c r="Z1440" s="1" t="s">
        <v>24</v>
      </c>
      <c r="AA1440" s="1" t="s">
        <v>24</v>
      </c>
      <c r="AB1440" s="1" t="s">
        <v>24</v>
      </c>
      <c r="AC1440" s="1" t="s">
        <v>24</v>
      </c>
      <c r="AD1440" s="1" t="s">
        <v>24</v>
      </c>
      <c r="AE1440" s="1" t="s">
        <v>24</v>
      </c>
      <c r="AF1440" s="22"/>
    </row>
    <row r="1441" spans="1:32" x14ac:dyDescent="0.2">
      <c r="A1441" s="1">
        <v>8782</v>
      </c>
      <c r="B1441" s="1" t="s">
        <v>4681</v>
      </c>
      <c r="C1441" s="5" t="s">
        <v>0</v>
      </c>
      <c r="D1441" s="1" t="s">
        <v>4682</v>
      </c>
      <c r="E1441" s="1" t="s">
        <v>4683</v>
      </c>
      <c r="F1441" s="1" t="s">
        <v>28</v>
      </c>
      <c r="G1441" s="1" t="s">
        <v>29</v>
      </c>
      <c r="H1441" s="1" t="s">
        <v>37</v>
      </c>
      <c r="I1441" s="1" t="s">
        <v>16</v>
      </c>
      <c r="J1441" s="1">
        <v>1</v>
      </c>
      <c r="K1441" s="1">
        <v>6</v>
      </c>
      <c r="L1441" s="1" t="s">
        <v>31</v>
      </c>
      <c r="M1441" s="1" t="s">
        <v>18</v>
      </c>
      <c r="N1441" s="1" t="s">
        <v>18</v>
      </c>
      <c r="O1441" s="1">
        <v>1</v>
      </c>
      <c r="P1441" s="1">
        <v>5</v>
      </c>
      <c r="R1441" s="1" t="s">
        <v>19</v>
      </c>
      <c r="S1441" s="1" t="s">
        <v>20</v>
      </c>
      <c r="T1441" s="1" t="s">
        <v>21</v>
      </c>
      <c r="U1441" s="1" t="s">
        <v>22</v>
      </c>
      <c r="V1441" s="1" t="s">
        <v>23</v>
      </c>
      <c r="W1441" s="1" t="s">
        <v>24</v>
      </c>
      <c r="X1441" s="1">
        <v>2738</v>
      </c>
      <c r="Y1441" s="1" t="s">
        <v>24</v>
      </c>
      <c r="Z1441" s="1" t="s">
        <v>24</v>
      </c>
      <c r="AA1441" s="1" t="s">
        <v>24</v>
      </c>
      <c r="AB1441" s="1" t="s">
        <v>24</v>
      </c>
      <c r="AC1441" s="1" t="s">
        <v>24</v>
      </c>
      <c r="AD1441" s="1" t="s">
        <v>24</v>
      </c>
      <c r="AE1441" s="1" t="s">
        <v>24</v>
      </c>
      <c r="AF1441" s="22"/>
    </row>
    <row r="1442" spans="1:32" x14ac:dyDescent="0.2">
      <c r="A1442" s="1">
        <v>8784</v>
      </c>
      <c r="B1442" s="1" t="s">
        <v>4684</v>
      </c>
      <c r="C1442" s="5" t="s">
        <v>0</v>
      </c>
      <c r="D1442" s="1" t="s">
        <v>4685</v>
      </c>
      <c r="E1442" s="1" t="s">
        <v>4686</v>
      </c>
      <c r="F1442" s="1" t="s">
        <v>517</v>
      </c>
      <c r="G1442" s="1" t="s">
        <v>36</v>
      </c>
      <c r="H1442" s="1" t="s">
        <v>30</v>
      </c>
      <c r="I1442" s="1" t="s">
        <v>16</v>
      </c>
      <c r="J1442" s="1">
        <v>1</v>
      </c>
      <c r="K1442" s="1">
        <v>14</v>
      </c>
      <c r="L1442" s="1" t="s">
        <v>31</v>
      </c>
      <c r="M1442" s="1" t="s">
        <v>18</v>
      </c>
      <c r="N1442" s="1" t="s">
        <v>18</v>
      </c>
      <c r="O1442" s="1">
        <v>3</v>
      </c>
      <c r="P1442" s="1">
        <v>7</v>
      </c>
      <c r="Q1442" s="7" t="s">
        <v>17633</v>
      </c>
      <c r="R1442" s="1" t="s">
        <v>62</v>
      </c>
      <c r="S1442" s="1" t="s">
        <v>20</v>
      </c>
      <c r="T1442" s="1" t="s">
        <v>21</v>
      </c>
      <c r="U1442" s="1" t="s">
        <v>22</v>
      </c>
      <c r="V1442" s="1" t="s">
        <v>24</v>
      </c>
      <c r="W1442" s="1" t="s">
        <v>24</v>
      </c>
      <c r="X1442" s="1">
        <v>2728</v>
      </c>
      <c r="Y1442" s="1">
        <v>2808</v>
      </c>
      <c r="Z1442" s="1" t="s">
        <v>24</v>
      </c>
      <c r="AA1442" s="1" t="s">
        <v>24</v>
      </c>
      <c r="AB1442" s="1" t="s">
        <v>24</v>
      </c>
      <c r="AC1442" s="1" t="s">
        <v>24</v>
      </c>
      <c r="AD1442" s="1" t="s">
        <v>24</v>
      </c>
      <c r="AE1442" s="1" t="s">
        <v>24</v>
      </c>
      <c r="AF1442" s="22"/>
    </row>
    <row r="1443" spans="1:32" x14ac:dyDescent="0.2">
      <c r="A1443" s="1">
        <v>8785</v>
      </c>
      <c r="B1443" s="1" t="s">
        <v>4687</v>
      </c>
      <c r="C1443" s="5" t="s">
        <v>0</v>
      </c>
      <c r="D1443" s="1" t="s">
        <v>4688</v>
      </c>
      <c r="E1443" s="1" t="s">
        <v>4689</v>
      </c>
      <c r="F1443" s="1" t="s">
        <v>28</v>
      </c>
      <c r="G1443" s="1" t="s">
        <v>29</v>
      </c>
      <c r="H1443" s="1" t="s">
        <v>30</v>
      </c>
      <c r="I1443" s="1" t="s">
        <v>16</v>
      </c>
      <c r="J1443" s="1">
        <v>1</v>
      </c>
      <c r="K1443" s="1">
        <v>6</v>
      </c>
      <c r="L1443" s="1" t="s">
        <v>31</v>
      </c>
      <c r="M1443" s="1" t="s">
        <v>18</v>
      </c>
      <c r="N1443" s="1" t="s">
        <v>18</v>
      </c>
      <c r="O1443" s="1">
        <v>3</v>
      </c>
      <c r="P1443" s="1">
        <v>7</v>
      </c>
      <c r="Q1443" s="7" t="s">
        <v>17633</v>
      </c>
      <c r="R1443" s="1" t="s">
        <v>19</v>
      </c>
      <c r="S1443" s="1" t="s">
        <v>20</v>
      </c>
      <c r="T1443" s="1" t="s">
        <v>21</v>
      </c>
      <c r="U1443" s="1" t="s">
        <v>22</v>
      </c>
      <c r="V1443" s="1" t="s">
        <v>23</v>
      </c>
      <c r="W1443" s="1" t="s">
        <v>24</v>
      </c>
      <c r="X1443" s="1">
        <v>2730</v>
      </c>
      <c r="Y1443" s="1">
        <v>2917</v>
      </c>
      <c r="Z1443" s="1" t="s">
        <v>24</v>
      </c>
      <c r="AA1443" s="1" t="s">
        <v>24</v>
      </c>
      <c r="AB1443" s="1" t="s">
        <v>24</v>
      </c>
      <c r="AC1443" s="1" t="s">
        <v>24</v>
      </c>
      <c r="AD1443" s="1" t="s">
        <v>24</v>
      </c>
      <c r="AE1443" s="1" t="s">
        <v>24</v>
      </c>
      <c r="AF1443" s="22"/>
    </row>
    <row r="1444" spans="1:32" x14ac:dyDescent="0.2">
      <c r="A1444" s="1">
        <v>8820</v>
      </c>
      <c r="B1444" s="1" t="s">
        <v>4690</v>
      </c>
      <c r="C1444" s="5" t="s">
        <v>0</v>
      </c>
      <c r="D1444" s="1" t="s">
        <v>4691</v>
      </c>
      <c r="E1444" s="1" t="s">
        <v>4692</v>
      </c>
      <c r="F1444" s="1" t="s">
        <v>4693</v>
      </c>
      <c r="G1444" s="1" t="s">
        <v>4693</v>
      </c>
      <c r="H1444" s="1" t="s">
        <v>731</v>
      </c>
      <c r="I1444" s="1" t="s">
        <v>16</v>
      </c>
      <c r="J1444" s="1">
        <v>1</v>
      </c>
      <c r="K1444" s="1">
        <v>6</v>
      </c>
      <c r="L1444" s="1" t="s">
        <v>42</v>
      </c>
      <c r="M1444" s="1" t="s">
        <v>18</v>
      </c>
      <c r="N1444" s="1" t="s">
        <v>18</v>
      </c>
      <c r="O1444" s="1">
        <v>3</v>
      </c>
      <c r="P1444" s="1">
        <v>7</v>
      </c>
      <c r="Q1444" s="7" t="s">
        <v>17633</v>
      </c>
      <c r="R1444" s="1" t="s">
        <v>19</v>
      </c>
      <c r="S1444" s="1" t="s">
        <v>20</v>
      </c>
      <c r="T1444" s="1" t="s">
        <v>21</v>
      </c>
      <c r="U1444" s="1" t="s">
        <v>22</v>
      </c>
      <c r="V1444" s="1" t="s">
        <v>24</v>
      </c>
      <c r="W1444" s="1" t="s">
        <v>24</v>
      </c>
      <c r="X1444" s="1">
        <v>2727</v>
      </c>
      <c r="Y1444" s="1" t="s">
        <v>24</v>
      </c>
      <c r="Z1444" s="1" t="s">
        <v>24</v>
      </c>
      <c r="AA1444" s="1" t="s">
        <v>24</v>
      </c>
      <c r="AB1444" s="1" t="s">
        <v>24</v>
      </c>
      <c r="AC1444" s="1" t="s">
        <v>24</v>
      </c>
      <c r="AD1444" s="1" t="s">
        <v>24</v>
      </c>
      <c r="AE1444" s="1" t="s">
        <v>24</v>
      </c>
      <c r="AF1444" s="22"/>
    </row>
    <row r="1445" spans="1:32" x14ac:dyDescent="0.2">
      <c r="A1445" s="1">
        <v>8822</v>
      </c>
      <c r="B1445" s="1" t="s">
        <v>4694</v>
      </c>
      <c r="C1445" s="5" t="s">
        <v>0</v>
      </c>
      <c r="D1445" s="1" t="s">
        <v>4695</v>
      </c>
      <c r="E1445" s="1" t="s">
        <v>4696</v>
      </c>
      <c r="F1445" s="1" t="s">
        <v>320</v>
      </c>
      <c r="G1445" s="1" t="s">
        <v>36</v>
      </c>
      <c r="H1445" s="1" t="s">
        <v>30</v>
      </c>
      <c r="I1445" s="1" t="s">
        <v>16</v>
      </c>
      <c r="J1445" s="1">
        <v>1</v>
      </c>
      <c r="K1445" s="1">
        <v>8</v>
      </c>
      <c r="L1445" s="1" t="s">
        <v>31</v>
      </c>
      <c r="M1445" s="1" t="s">
        <v>18</v>
      </c>
      <c r="N1445" s="1" t="s">
        <v>18</v>
      </c>
      <c r="O1445" s="1">
        <v>3</v>
      </c>
      <c r="P1445" s="1">
        <v>8</v>
      </c>
      <c r="Q1445" s="7" t="s">
        <v>17633</v>
      </c>
      <c r="R1445" s="1" t="s">
        <v>19</v>
      </c>
      <c r="S1445" s="1" t="s">
        <v>20</v>
      </c>
      <c r="T1445" s="1" t="s">
        <v>21</v>
      </c>
      <c r="U1445" s="1" t="s">
        <v>22</v>
      </c>
      <c r="V1445" s="1" t="s">
        <v>24</v>
      </c>
      <c r="W1445" s="1" t="s">
        <v>24</v>
      </c>
      <c r="X1445" s="1">
        <v>2702</v>
      </c>
      <c r="Y1445" s="1">
        <v>2722</v>
      </c>
      <c r="Z1445" s="1" t="s">
        <v>24</v>
      </c>
      <c r="AA1445" s="1" t="s">
        <v>24</v>
      </c>
      <c r="AB1445" s="1" t="s">
        <v>24</v>
      </c>
      <c r="AC1445" s="1" t="s">
        <v>24</v>
      </c>
      <c r="AD1445" s="1" t="s">
        <v>24</v>
      </c>
      <c r="AE1445" s="1" t="s">
        <v>24</v>
      </c>
      <c r="AF1445" s="22"/>
    </row>
    <row r="1446" spans="1:32" x14ac:dyDescent="0.2">
      <c r="A1446" s="1">
        <v>8841</v>
      </c>
      <c r="B1446" s="1" t="s">
        <v>4697</v>
      </c>
      <c r="C1446" s="5" t="s">
        <v>0</v>
      </c>
      <c r="D1446" s="1" t="s">
        <v>4698</v>
      </c>
      <c r="F1446" s="1" t="s">
        <v>4699</v>
      </c>
      <c r="G1446" s="1" t="s">
        <v>4699</v>
      </c>
      <c r="H1446" s="1" t="s">
        <v>222</v>
      </c>
      <c r="I1446" s="1" t="s">
        <v>16</v>
      </c>
      <c r="J1446" s="1">
        <v>1</v>
      </c>
      <c r="K1446" s="1">
        <v>4</v>
      </c>
      <c r="L1446" s="1" t="s">
        <v>42</v>
      </c>
      <c r="M1446" s="1" t="s">
        <v>18</v>
      </c>
      <c r="N1446" s="1" t="s">
        <v>18</v>
      </c>
      <c r="O1446" s="1">
        <v>3</v>
      </c>
      <c r="P1446" s="1">
        <v>6</v>
      </c>
      <c r="R1446" s="1" t="s">
        <v>19</v>
      </c>
      <c r="S1446" s="1" t="s">
        <v>20</v>
      </c>
      <c r="T1446" s="1" t="s">
        <v>21</v>
      </c>
      <c r="U1446" s="1" t="s">
        <v>22</v>
      </c>
      <c r="V1446" s="1" t="s">
        <v>23</v>
      </c>
      <c r="W1446" s="1" t="s">
        <v>24</v>
      </c>
      <c r="X1446" s="1">
        <v>3202</v>
      </c>
      <c r="Y1446" s="1">
        <v>2738</v>
      </c>
      <c r="Z1446" s="1">
        <v>1207</v>
      </c>
      <c r="AA1446" s="1" t="s">
        <v>24</v>
      </c>
      <c r="AB1446" s="1" t="s">
        <v>24</v>
      </c>
      <c r="AC1446" s="1" t="s">
        <v>24</v>
      </c>
      <c r="AD1446" s="1" t="s">
        <v>24</v>
      </c>
      <c r="AE1446" s="1" t="s">
        <v>24</v>
      </c>
      <c r="AF1446" s="22"/>
    </row>
    <row r="1447" spans="1:32" x14ac:dyDescent="0.2">
      <c r="A1447" s="1">
        <v>8842</v>
      </c>
      <c r="B1447" s="1" t="s">
        <v>4700</v>
      </c>
      <c r="C1447" s="5" t="s">
        <v>0</v>
      </c>
      <c r="D1447" s="1" t="s">
        <v>4701</v>
      </c>
      <c r="E1447" s="1" t="s">
        <v>4702</v>
      </c>
      <c r="F1447" s="1" t="s">
        <v>2559</v>
      </c>
      <c r="G1447" s="1" t="s">
        <v>2560</v>
      </c>
      <c r="H1447" s="1" t="s">
        <v>37</v>
      </c>
      <c r="I1447" s="1" t="s">
        <v>16</v>
      </c>
      <c r="J1447" s="1">
        <v>2</v>
      </c>
      <c r="K1447" s="1">
        <v>3</v>
      </c>
      <c r="L1447" s="1" t="s">
        <v>42</v>
      </c>
      <c r="M1447" s="1" t="s">
        <v>18</v>
      </c>
      <c r="N1447" s="1" t="s">
        <v>18</v>
      </c>
      <c r="O1447" s="1">
        <v>3</v>
      </c>
      <c r="P1447" s="1">
        <v>7</v>
      </c>
      <c r="Q1447" s="7" t="s">
        <v>17633</v>
      </c>
      <c r="R1447" s="1" t="s">
        <v>19</v>
      </c>
      <c r="S1447" s="1" t="s">
        <v>63</v>
      </c>
      <c r="T1447" s="1" t="s">
        <v>21</v>
      </c>
      <c r="U1447" s="1" t="s">
        <v>22</v>
      </c>
      <c r="V1447" s="1" t="s">
        <v>24</v>
      </c>
      <c r="W1447" s="1" t="s">
        <v>24</v>
      </c>
      <c r="X1447" s="1">
        <v>1310</v>
      </c>
      <c r="Y1447" s="1">
        <v>1312</v>
      </c>
      <c r="Z1447" s="1" t="s">
        <v>24</v>
      </c>
      <c r="AA1447" s="1" t="s">
        <v>24</v>
      </c>
      <c r="AB1447" s="1" t="s">
        <v>24</v>
      </c>
      <c r="AC1447" s="1" t="s">
        <v>24</v>
      </c>
      <c r="AD1447" s="1" t="s">
        <v>24</v>
      </c>
      <c r="AE1447" s="1" t="s">
        <v>24</v>
      </c>
      <c r="AF1447" s="22"/>
    </row>
    <row r="1448" spans="1:32" x14ac:dyDescent="0.2">
      <c r="A1448" s="1">
        <v>8852</v>
      </c>
      <c r="B1448" s="1" t="s">
        <v>4703</v>
      </c>
      <c r="C1448" s="5" t="s">
        <v>0</v>
      </c>
      <c r="D1448" s="1" t="s">
        <v>4704</v>
      </c>
      <c r="E1448" s="1" t="s">
        <v>4705</v>
      </c>
      <c r="F1448" s="1" t="s">
        <v>320</v>
      </c>
      <c r="G1448" s="1" t="s">
        <v>36</v>
      </c>
      <c r="H1448" s="1" t="s">
        <v>30</v>
      </c>
      <c r="I1448" s="1" t="s">
        <v>16</v>
      </c>
      <c r="J1448" s="1">
        <v>2</v>
      </c>
      <c r="K1448" s="1">
        <v>6</v>
      </c>
      <c r="L1448" s="1" t="s">
        <v>31</v>
      </c>
      <c r="M1448" s="1" t="s">
        <v>18</v>
      </c>
      <c r="N1448" s="1" t="s">
        <v>18</v>
      </c>
      <c r="O1448" s="1">
        <v>3</v>
      </c>
      <c r="P1448" s="1">
        <v>7</v>
      </c>
      <c r="Q1448" s="7" t="s">
        <v>17633</v>
      </c>
      <c r="R1448" s="1" t="s">
        <v>19</v>
      </c>
      <c r="S1448" s="1" t="s">
        <v>20</v>
      </c>
      <c r="T1448" s="1" t="s">
        <v>21</v>
      </c>
      <c r="U1448" s="1" t="s">
        <v>22</v>
      </c>
      <c r="V1448" s="1" t="s">
        <v>24</v>
      </c>
      <c r="W1448" s="1" t="s">
        <v>24</v>
      </c>
      <c r="X1448" s="1">
        <v>2734</v>
      </c>
      <c r="Y1448" s="1">
        <v>2722</v>
      </c>
      <c r="Z1448" s="1" t="s">
        <v>24</v>
      </c>
      <c r="AA1448" s="1" t="s">
        <v>24</v>
      </c>
      <c r="AB1448" s="1" t="s">
        <v>24</v>
      </c>
      <c r="AC1448" s="1" t="s">
        <v>24</v>
      </c>
      <c r="AD1448" s="1" t="s">
        <v>24</v>
      </c>
      <c r="AE1448" s="1" t="s">
        <v>24</v>
      </c>
      <c r="AF1448" s="22"/>
    </row>
    <row r="1449" spans="1:32" x14ac:dyDescent="0.2">
      <c r="A1449" s="1">
        <v>8855</v>
      </c>
      <c r="B1449" s="1" t="s">
        <v>4706</v>
      </c>
      <c r="C1449" s="5" t="s">
        <v>0</v>
      </c>
      <c r="D1449" s="1" t="s">
        <v>4707</v>
      </c>
      <c r="E1449" s="1" t="s">
        <v>4708</v>
      </c>
      <c r="F1449" s="1" t="s">
        <v>97</v>
      </c>
      <c r="G1449" s="1" t="s">
        <v>98</v>
      </c>
      <c r="H1449" s="1" t="s">
        <v>37</v>
      </c>
      <c r="I1449" s="1" t="s">
        <v>16</v>
      </c>
      <c r="J1449" s="1">
        <v>1</v>
      </c>
      <c r="K1449" s="1">
        <v>9</v>
      </c>
      <c r="L1449" s="1" t="s">
        <v>31</v>
      </c>
      <c r="M1449" s="1" t="s">
        <v>18</v>
      </c>
      <c r="N1449" s="1" t="s">
        <v>18</v>
      </c>
      <c r="O1449" s="1">
        <v>3</v>
      </c>
      <c r="P1449" s="1">
        <v>7</v>
      </c>
      <c r="Q1449" s="7" t="s">
        <v>17633</v>
      </c>
      <c r="R1449" s="1" t="s">
        <v>19</v>
      </c>
      <c r="S1449" s="1" t="s">
        <v>20</v>
      </c>
      <c r="T1449" s="1" t="s">
        <v>21</v>
      </c>
      <c r="U1449" s="1" t="s">
        <v>22</v>
      </c>
      <c r="V1449" s="1" t="s">
        <v>24</v>
      </c>
      <c r="W1449" s="1" t="s">
        <v>24</v>
      </c>
      <c r="X1449" s="1">
        <v>2705</v>
      </c>
      <c r="Y1449" s="1" t="s">
        <v>24</v>
      </c>
      <c r="Z1449" s="1" t="s">
        <v>24</v>
      </c>
      <c r="AA1449" s="1" t="s">
        <v>24</v>
      </c>
      <c r="AB1449" s="1" t="s">
        <v>24</v>
      </c>
      <c r="AC1449" s="1" t="s">
        <v>24</v>
      </c>
      <c r="AD1449" s="1" t="s">
        <v>24</v>
      </c>
      <c r="AE1449" s="1" t="s">
        <v>24</v>
      </c>
      <c r="AF1449" s="22"/>
    </row>
    <row r="1450" spans="1:32" x14ac:dyDescent="0.2">
      <c r="A1450" s="1">
        <v>8860</v>
      </c>
      <c r="B1450" s="1" t="s">
        <v>4709</v>
      </c>
      <c r="C1450" s="5" t="s">
        <v>0</v>
      </c>
      <c r="D1450" s="1" t="s">
        <v>4710</v>
      </c>
      <c r="E1450" s="1" t="s">
        <v>4711</v>
      </c>
      <c r="F1450" s="1" t="s">
        <v>28</v>
      </c>
      <c r="G1450" s="1" t="s">
        <v>29</v>
      </c>
      <c r="H1450" s="1" t="s">
        <v>30</v>
      </c>
      <c r="I1450" s="1" t="s">
        <v>16</v>
      </c>
      <c r="J1450" s="1">
        <v>1</v>
      </c>
      <c r="K1450" s="1">
        <v>4</v>
      </c>
      <c r="L1450" s="1" t="s">
        <v>31</v>
      </c>
      <c r="M1450" s="1" t="s">
        <v>18</v>
      </c>
      <c r="N1450" s="1" t="s">
        <v>18</v>
      </c>
      <c r="O1450" s="1">
        <v>3</v>
      </c>
      <c r="P1450" s="1">
        <v>8</v>
      </c>
      <c r="Q1450" s="7" t="s">
        <v>17633</v>
      </c>
      <c r="R1450" s="1" t="s">
        <v>19</v>
      </c>
      <c r="S1450" s="1" t="s">
        <v>20</v>
      </c>
      <c r="T1450" s="1" t="s">
        <v>21</v>
      </c>
      <c r="U1450" s="1" t="s">
        <v>22</v>
      </c>
      <c r="V1450" s="1" t="s">
        <v>23</v>
      </c>
      <c r="W1450" s="1" t="s">
        <v>24</v>
      </c>
      <c r="X1450" s="1">
        <v>2741</v>
      </c>
      <c r="Y1450" s="1" t="s">
        <v>24</v>
      </c>
      <c r="Z1450" s="1" t="s">
        <v>24</v>
      </c>
      <c r="AA1450" s="1" t="s">
        <v>24</v>
      </c>
      <c r="AB1450" s="1" t="s">
        <v>24</v>
      </c>
      <c r="AC1450" s="1" t="s">
        <v>24</v>
      </c>
      <c r="AD1450" s="1" t="s">
        <v>24</v>
      </c>
      <c r="AE1450" s="1" t="s">
        <v>24</v>
      </c>
      <c r="AF1450" s="22"/>
    </row>
    <row r="1451" spans="1:32" x14ac:dyDescent="0.2">
      <c r="A1451" s="1">
        <v>8865</v>
      </c>
      <c r="B1451" s="1" t="s">
        <v>4712</v>
      </c>
      <c r="C1451" s="5" t="s">
        <v>0</v>
      </c>
      <c r="D1451" s="1" t="s">
        <v>4713</v>
      </c>
      <c r="E1451" s="1" t="s">
        <v>4714</v>
      </c>
      <c r="F1451" s="1" t="s">
        <v>28</v>
      </c>
      <c r="G1451" s="1" t="s">
        <v>29</v>
      </c>
      <c r="H1451" s="1" t="s">
        <v>30</v>
      </c>
      <c r="I1451" s="1" t="s">
        <v>16</v>
      </c>
      <c r="J1451" s="1">
        <v>1</v>
      </c>
      <c r="K1451" s="1">
        <v>4</v>
      </c>
      <c r="L1451" s="1" t="s">
        <v>31</v>
      </c>
      <c r="M1451" s="1" t="s">
        <v>18</v>
      </c>
      <c r="N1451" s="1" t="s">
        <v>18</v>
      </c>
      <c r="O1451" s="1">
        <v>3</v>
      </c>
      <c r="P1451" s="1">
        <v>7</v>
      </c>
      <c r="Q1451" s="7" t="s">
        <v>17633</v>
      </c>
      <c r="R1451" s="1" t="s">
        <v>19</v>
      </c>
      <c r="S1451" s="1" t="s">
        <v>20</v>
      </c>
      <c r="T1451" s="1" t="s">
        <v>21</v>
      </c>
      <c r="U1451" s="1" t="s">
        <v>22</v>
      </c>
      <c r="V1451" s="1" t="s">
        <v>23</v>
      </c>
      <c r="W1451" s="1" t="s">
        <v>24</v>
      </c>
      <c r="X1451" s="1">
        <v>2703</v>
      </c>
      <c r="Y1451" s="1">
        <v>2728</v>
      </c>
      <c r="Z1451" s="1">
        <v>2746</v>
      </c>
      <c r="AA1451" s="1" t="s">
        <v>24</v>
      </c>
      <c r="AB1451" s="1" t="s">
        <v>24</v>
      </c>
      <c r="AC1451" s="1" t="s">
        <v>24</v>
      </c>
      <c r="AD1451" s="1" t="s">
        <v>24</v>
      </c>
      <c r="AE1451" s="1" t="s">
        <v>24</v>
      </c>
      <c r="AF1451" s="22"/>
    </row>
    <row r="1452" spans="1:32" x14ac:dyDescent="0.2">
      <c r="A1452" s="1">
        <v>8867</v>
      </c>
      <c r="B1452" s="1" t="s">
        <v>4715</v>
      </c>
      <c r="C1452" s="5" t="s">
        <v>0</v>
      </c>
      <c r="D1452" s="1" t="s">
        <v>4716</v>
      </c>
      <c r="E1452" s="1" t="s">
        <v>4717</v>
      </c>
      <c r="F1452" s="1" t="s">
        <v>412</v>
      </c>
      <c r="G1452" s="1" t="s">
        <v>372</v>
      </c>
      <c r="H1452" s="1" t="s">
        <v>168</v>
      </c>
      <c r="I1452" s="1" t="s">
        <v>16</v>
      </c>
      <c r="J1452" s="1">
        <v>1</v>
      </c>
      <c r="K1452" s="1">
        <v>12</v>
      </c>
      <c r="L1452" s="1" t="s">
        <v>31</v>
      </c>
      <c r="M1452" s="1" t="s">
        <v>242</v>
      </c>
      <c r="N1452" s="1" t="s">
        <v>242</v>
      </c>
      <c r="O1452" s="1">
        <v>2</v>
      </c>
      <c r="P1452" s="1">
        <v>7</v>
      </c>
      <c r="Q1452" s="7" t="s">
        <v>17633</v>
      </c>
      <c r="R1452" s="1" t="s">
        <v>19</v>
      </c>
      <c r="S1452" s="1" t="s">
        <v>63</v>
      </c>
      <c r="T1452" s="1" t="s">
        <v>21</v>
      </c>
      <c r="U1452" s="1" t="s">
        <v>22</v>
      </c>
      <c r="V1452" s="1" t="s">
        <v>24</v>
      </c>
      <c r="W1452" s="1" t="s">
        <v>24</v>
      </c>
      <c r="X1452" s="1">
        <v>2740</v>
      </c>
      <c r="Y1452" s="1" t="s">
        <v>24</v>
      </c>
      <c r="Z1452" s="1" t="s">
        <v>24</v>
      </c>
      <c r="AA1452" s="1" t="s">
        <v>24</v>
      </c>
      <c r="AB1452" s="1" t="s">
        <v>24</v>
      </c>
      <c r="AC1452" s="1" t="s">
        <v>24</v>
      </c>
      <c r="AD1452" s="1" t="s">
        <v>24</v>
      </c>
      <c r="AE1452" s="1" t="s">
        <v>24</v>
      </c>
      <c r="AF1452" s="22"/>
    </row>
    <row r="1453" spans="1:32" x14ac:dyDescent="0.2">
      <c r="A1453" s="1">
        <v>8888</v>
      </c>
      <c r="B1453" s="1" t="s">
        <v>4718</v>
      </c>
      <c r="C1453" s="5" t="s">
        <v>0</v>
      </c>
      <c r="D1453" s="1" t="s">
        <v>4719</v>
      </c>
      <c r="E1453" s="1" t="s">
        <v>4720</v>
      </c>
      <c r="F1453" s="1" t="s">
        <v>109</v>
      </c>
      <c r="G1453" s="1" t="s">
        <v>110</v>
      </c>
      <c r="H1453" s="1" t="s">
        <v>111</v>
      </c>
      <c r="I1453" s="1" t="s">
        <v>16</v>
      </c>
      <c r="J1453" s="1">
        <v>2</v>
      </c>
      <c r="K1453" s="1">
        <v>4</v>
      </c>
      <c r="L1453" s="1" t="s">
        <v>31</v>
      </c>
      <c r="M1453" s="1" t="s">
        <v>18</v>
      </c>
      <c r="N1453" s="1" t="s">
        <v>18</v>
      </c>
      <c r="O1453" s="1">
        <v>3</v>
      </c>
      <c r="P1453" s="1">
        <v>6</v>
      </c>
      <c r="R1453" s="1" t="s">
        <v>19</v>
      </c>
      <c r="S1453" s="1" t="s">
        <v>20</v>
      </c>
      <c r="T1453" s="1" t="s">
        <v>21</v>
      </c>
      <c r="U1453" s="1" t="s">
        <v>22</v>
      </c>
      <c r="V1453" s="1" t="s">
        <v>24</v>
      </c>
      <c r="W1453" s="1" t="s">
        <v>24</v>
      </c>
      <c r="X1453" s="1">
        <v>2728</v>
      </c>
      <c r="Y1453" s="1">
        <v>2746</v>
      </c>
      <c r="Z1453" s="1" t="s">
        <v>24</v>
      </c>
      <c r="AA1453" s="1" t="s">
        <v>24</v>
      </c>
      <c r="AB1453" s="1" t="s">
        <v>24</v>
      </c>
      <c r="AC1453" s="1" t="s">
        <v>24</v>
      </c>
      <c r="AD1453" s="1" t="s">
        <v>24</v>
      </c>
      <c r="AE1453" s="1" t="s">
        <v>24</v>
      </c>
      <c r="AF1453" s="22"/>
    </row>
    <row r="1454" spans="1:32" x14ac:dyDescent="0.2">
      <c r="A1454" s="1">
        <v>8894</v>
      </c>
      <c r="B1454" s="1" t="s">
        <v>4721</v>
      </c>
      <c r="C1454" s="5" t="s">
        <v>0</v>
      </c>
      <c r="D1454" s="1" t="s">
        <v>4722</v>
      </c>
      <c r="F1454" s="1" t="s">
        <v>4723</v>
      </c>
      <c r="G1454" s="1" t="s">
        <v>4723</v>
      </c>
      <c r="H1454" s="1" t="s">
        <v>4724</v>
      </c>
      <c r="I1454" s="1" t="s">
        <v>16</v>
      </c>
      <c r="J1454" s="1">
        <v>1</v>
      </c>
      <c r="K1454" s="1">
        <v>4</v>
      </c>
      <c r="L1454" s="1" t="s">
        <v>42</v>
      </c>
      <c r="M1454" s="1" t="s">
        <v>117</v>
      </c>
      <c r="N1454" s="1" t="s">
        <v>118</v>
      </c>
      <c r="O1454" s="1">
        <v>2</v>
      </c>
      <c r="P1454" s="1">
        <v>4</v>
      </c>
      <c r="R1454" s="1" t="s">
        <v>19</v>
      </c>
      <c r="S1454" s="1" t="s">
        <v>20</v>
      </c>
      <c r="T1454" s="1" t="s">
        <v>21</v>
      </c>
      <c r="U1454" s="1" t="s">
        <v>22</v>
      </c>
      <c r="V1454" s="1" t="s">
        <v>24</v>
      </c>
      <c r="W1454" s="1" t="s">
        <v>24</v>
      </c>
      <c r="X1454" s="1">
        <v>2700</v>
      </c>
      <c r="Y1454" s="1" t="s">
        <v>24</v>
      </c>
      <c r="Z1454" s="1" t="s">
        <v>24</v>
      </c>
      <c r="AA1454" s="1" t="s">
        <v>24</v>
      </c>
      <c r="AB1454" s="1" t="s">
        <v>24</v>
      </c>
      <c r="AC1454" s="1" t="s">
        <v>24</v>
      </c>
      <c r="AD1454" s="1" t="s">
        <v>24</v>
      </c>
      <c r="AE1454" s="1" t="s">
        <v>24</v>
      </c>
      <c r="AF1454" s="22"/>
    </row>
    <row r="1455" spans="1:32" x14ac:dyDescent="0.2">
      <c r="A1455" s="1">
        <v>8898</v>
      </c>
      <c r="B1455" s="1" t="s">
        <v>4725</v>
      </c>
      <c r="C1455" s="5" t="s">
        <v>0</v>
      </c>
      <c r="D1455" s="1" t="s">
        <v>4726</v>
      </c>
      <c r="E1455" s="1" t="s">
        <v>4727</v>
      </c>
      <c r="F1455" s="1" t="s">
        <v>291</v>
      </c>
      <c r="G1455" s="1" t="s">
        <v>292</v>
      </c>
      <c r="H1455" s="1" t="s">
        <v>37</v>
      </c>
      <c r="I1455" s="1" t="s">
        <v>16</v>
      </c>
      <c r="J1455" s="1">
        <v>1</v>
      </c>
      <c r="K1455" s="1">
        <v>4</v>
      </c>
      <c r="L1455" s="1" t="s">
        <v>31</v>
      </c>
      <c r="M1455" s="1" t="s">
        <v>18</v>
      </c>
      <c r="N1455" s="1" t="s">
        <v>18</v>
      </c>
      <c r="O1455" s="1">
        <v>3</v>
      </c>
      <c r="P1455" s="1">
        <v>7</v>
      </c>
      <c r="Q1455" s="7" t="s">
        <v>17633</v>
      </c>
      <c r="R1455" s="1" t="s">
        <v>19</v>
      </c>
      <c r="S1455" s="1" t="s">
        <v>20</v>
      </c>
      <c r="T1455" s="1" t="s">
        <v>21</v>
      </c>
      <c r="U1455" s="1" t="s">
        <v>22</v>
      </c>
      <c r="V1455" s="1" t="s">
        <v>24</v>
      </c>
      <c r="W1455" s="1" t="s">
        <v>24</v>
      </c>
      <c r="X1455" s="1">
        <v>2728</v>
      </c>
      <c r="Y1455" s="1">
        <v>2808</v>
      </c>
      <c r="Z1455" s="1" t="s">
        <v>24</v>
      </c>
      <c r="AA1455" s="1" t="s">
        <v>24</v>
      </c>
      <c r="AB1455" s="1" t="s">
        <v>24</v>
      </c>
      <c r="AC1455" s="1" t="s">
        <v>24</v>
      </c>
      <c r="AD1455" s="1" t="s">
        <v>24</v>
      </c>
      <c r="AE1455" s="1" t="s">
        <v>24</v>
      </c>
      <c r="AF1455" s="22"/>
    </row>
    <row r="1456" spans="1:32" x14ac:dyDescent="0.2">
      <c r="A1456" s="1">
        <v>8899</v>
      </c>
      <c r="B1456" s="1" t="s">
        <v>4728</v>
      </c>
      <c r="C1456" s="5" t="s">
        <v>0</v>
      </c>
      <c r="D1456" s="1" t="s">
        <v>4729</v>
      </c>
      <c r="E1456" s="1" t="s">
        <v>4730</v>
      </c>
      <c r="F1456" s="1" t="s">
        <v>291</v>
      </c>
      <c r="G1456" s="1" t="s">
        <v>292</v>
      </c>
      <c r="H1456" s="1" t="s">
        <v>37</v>
      </c>
      <c r="I1456" s="1" t="s">
        <v>16</v>
      </c>
      <c r="J1456" s="1">
        <v>1</v>
      </c>
      <c r="K1456" s="1">
        <v>6</v>
      </c>
      <c r="L1456" s="1" t="s">
        <v>31</v>
      </c>
      <c r="M1456" s="1" t="s">
        <v>18</v>
      </c>
      <c r="N1456" s="1" t="s">
        <v>18</v>
      </c>
      <c r="O1456" s="1">
        <v>3</v>
      </c>
      <c r="P1456" s="1">
        <v>7</v>
      </c>
      <c r="Q1456" s="7" t="s">
        <v>17633</v>
      </c>
      <c r="R1456" s="1" t="s">
        <v>19</v>
      </c>
      <c r="S1456" s="1" t="s">
        <v>20</v>
      </c>
      <c r="T1456" s="1" t="s">
        <v>21</v>
      </c>
      <c r="U1456" s="1" t="s">
        <v>22</v>
      </c>
      <c r="V1456" s="1" t="s">
        <v>24</v>
      </c>
      <c r="W1456" s="1" t="s">
        <v>24</v>
      </c>
      <c r="X1456" s="1">
        <v>2746</v>
      </c>
      <c r="Y1456" s="1" t="s">
        <v>24</v>
      </c>
      <c r="Z1456" s="1" t="s">
        <v>24</v>
      </c>
      <c r="AA1456" s="1" t="s">
        <v>24</v>
      </c>
      <c r="AB1456" s="1" t="s">
        <v>24</v>
      </c>
      <c r="AC1456" s="1" t="s">
        <v>24</v>
      </c>
      <c r="AD1456" s="1" t="s">
        <v>24</v>
      </c>
      <c r="AE1456" s="1" t="s">
        <v>24</v>
      </c>
      <c r="AF1456" s="22"/>
    </row>
    <row r="1457" spans="1:32" x14ac:dyDescent="0.2">
      <c r="A1457" s="1">
        <v>8900</v>
      </c>
      <c r="B1457" s="1" t="s">
        <v>4731</v>
      </c>
      <c r="C1457" s="5" t="s">
        <v>0</v>
      </c>
      <c r="D1457" s="1" t="s">
        <v>4732</v>
      </c>
      <c r="E1457" s="1" t="s">
        <v>4733</v>
      </c>
      <c r="F1457" s="1" t="s">
        <v>320</v>
      </c>
      <c r="G1457" s="1" t="s">
        <v>36</v>
      </c>
      <c r="H1457" s="1" t="s">
        <v>30</v>
      </c>
      <c r="I1457" s="1" t="s">
        <v>16</v>
      </c>
      <c r="J1457" s="1">
        <v>3</v>
      </c>
      <c r="K1457" s="1">
        <v>4</v>
      </c>
      <c r="L1457" s="1" t="s">
        <v>31</v>
      </c>
      <c r="M1457" s="1" t="s">
        <v>18</v>
      </c>
      <c r="N1457" s="1" t="s">
        <v>18</v>
      </c>
      <c r="O1457" s="1">
        <v>3</v>
      </c>
      <c r="P1457" s="1">
        <v>8</v>
      </c>
      <c r="Q1457" s="7" t="s">
        <v>17633</v>
      </c>
      <c r="R1457" s="1" t="s">
        <v>19</v>
      </c>
      <c r="S1457" s="1" t="s">
        <v>20</v>
      </c>
      <c r="T1457" s="1" t="s">
        <v>21</v>
      </c>
      <c r="U1457" s="1" t="s">
        <v>22</v>
      </c>
      <c r="V1457" s="1" t="s">
        <v>24</v>
      </c>
      <c r="W1457" s="1" t="s">
        <v>24</v>
      </c>
      <c r="X1457" s="1">
        <v>1306</v>
      </c>
      <c r="Y1457" s="1">
        <v>1312</v>
      </c>
      <c r="Z1457" s="1" t="s">
        <v>24</v>
      </c>
      <c r="AA1457" s="1" t="s">
        <v>24</v>
      </c>
      <c r="AB1457" s="1" t="s">
        <v>24</v>
      </c>
      <c r="AC1457" s="1" t="s">
        <v>24</v>
      </c>
      <c r="AD1457" s="1" t="s">
        <v>24</v>
      </c>
      <c r="AE1457" s="1" t="s">
        <v>24</v>
      </c>
      <c r="AF1457" s="22"/>
    </row>
    <row r="1458" spans="1:32" x14ac:dyDescent="0.2">
      <c r="A1458" s="1">
        <v>8904</v>
      </c>
      <c r="B1458" s="1" t="s">
        <v>4734</v>
      </c>
      <c r="C1458" s="5" t="s">
        <v>0</v>
      </c>
      <c r="D1458" s="1" t="s">
        <v>4735</v>
      </c>
      <c r="F1458" s="1" t="s">
        <v>4736</v>
      </c>
      <c r="G1458" s="1" t="s">
        <v>4737</v>
      </c>
      <c r="H1458" s="1" t="s">
        <v>466</v>
      </c>
      <c r="I1458" s="1" t="s">
        <v>16</v>
      </c>
      <c r="J1458" s="1">
        <v>1</v>
      </c>
      <c r="K1458" s="1">
        <v>6</v>
      </c>
      <c r="L1458" s="1" t="s">
        <v>31</v>
      </c>
      <c r="M1458" s="1" t="s">
        <v>75</v>
      </c>
      <c r="N1458" s="1" t="s">
        <v>18</v>
      </c>
      <c r="O1458" s="1">
        <v>1</v>
      </c>
      <c r="P1458" s="1">
        <v>5</v>
      </c>
      <c r="R1458" s="1" t="s">
        <v>19</v>
      </c>
      <c r="S1458" s="1" t="s">
        <v>20</v>
      </c>
      <c r="T1458" s="1" t="s">
        <v>21</v>
      </c>
      <c r="U1458" s="1" t="s">
        <v>22</v>
      </c>
      <c r="V1458" s="1" t="s">
        <v>24</v>
      </c>
      <c r="W1458" s="1" t="s">
        <v>24</v>
      </c>
      <c r="X1458" s="1">
        <v>2700</v>
      </c>
      <c r="Y1458" s="1" t="s">
        <v>24</v>
      </c>
      <c r="Z1458" s="1" t="s">
        <v>24</v>
      </c>
      <c r="AA1458" s="1" t="s">
        <v>24</v>
      </c>
      <c r="AB1458" s="1" t="s">
        <v>24</v>
      </c>
      <c r="AC1458" s="1" t="s">
        <v>24</v>
      </c>
      <c r="AD1458" s="1" t="s">
        <v>24</v>
      </c>
      <c r="AE1458" s="1" t="s">
        <v>24</v>
      </c>
      <c r="AF1458" s="22"/>
    </row>
    <row r="1459" spans="1:32" x14ac:dyDescent="0.2">
      <c r="A1459" s="1">
        <v>8910</v>
      </c>
      <c r="B1459" s="1" t="s">
        <v>4738</v>
      </c>
      <c r="C1459" s="5" t="s">
        <v>0</v>
      </c>
      <c r="D1459" s="1" t="s">
        <v>4739</v>
      </c>
      <c r="E1459" s="1" t="s">
        <v>4740</v>
      </c>
      <c r="F1459" s="1" t="s">
        <v>4337</v>
      </c>
      <c r="G1459" s="1" t="s">
        <v>4338</v>
      </c>
      <c r="H1459" s="1" t="s">
        <v>30</v>
      </c>
      <c r="I1459" s="1" t="s">
        <v>16</v>
      </c>
      <c r="J1459" s="1">
        <v>1</v>
      </c>
      <c r="K1459" s="1">
        <v>24</v>
      </c>
      <c r="L1459" s="1" t="s">
        <v>31</v>
      </c>
      <c r="M1459" s="1" t="s">
        <v>18</v>
      </c>
      <c r="N1459" s="1" t="s">
        <v>18</v>
      </c>
      <c r="O1459" s="1">
        <v>3</v>
      </c>
      <c r="P1459" s="1">
        <v>6</v>
      </c>
      <c r="R1459" s="1" t="s">
        <v>19</v>
      </c>
      <c r="S1459" s="1" t="s">
        <v>20</v>
      </c>
      <c r="T1459" s="1" t="s">
        <v>21</v>
      </c>
      <c r="U1459" s="1" t="s">
        <v>22</v>
      </c>
      <c r="V1459" s="1" t="s">
        <v>24</v>
      </c>
      <c r="W1459" s="1" t="s">
        <v>24</v>
      </c>
      <c r="X1459" s="1">
        <v>2728</v>
      </c>
      <c r="Y1459" s="1" t="s">
        <v>24</v>
      </c>
      <c r="Z1459" s="1" t="s">
        <v>24</v>
      </c>
      <c r="AA1459" s="1" t="s">
        <v>24</v>
      </c>
      <c r="AB1459" s="1" t="s">
        <v>24</v>
      </c>
      <c r="AC1459" s="1" t="s">
        <v>24</v>
      </c>
      <c r="AD1459" s="1" t="s">
        <v>24</v>
      </c>
      <c r="AE1459" s="1" t="s">
        <v>24</v>
      </c>
      <c r="AF1459" s="22"/>
    </row>
    <row r="1460" spans="1:32" x14ac:dyDescent="0.2">
      <c r="A1460" s="1">
        <v>8957</v>
      </c>
      <c r="B1460" s="1" t="s">
        <v>4741</v>
      </c>
      <c r="C1460" s="5" t="s">
        <v>0</v>
      </c>
      <c r="D1460" s="1" t="s">
        <v>4742</v>
      </c>
      <c r="E1460" s="1" t="s">
        <v>4743</v>
      </c>
      <c r="F1460" s="1" t="s">
        <v>618</v>
      </c>
      <c r="G1460" s="1" t="s">
        <v>619</v>
      </c>
      <c r="H1460" s="1" t="s">
        <v>30</v>
      </c>
      <c r="I1460" s="1" t="s">
        <v>112</v>
      </c>
      <c r="J1460" s="1">
        <v>1</v>
      </c>
      <c r="K1460" s="1">
        <v>1</v>
      </c>
      <c r="L1460" s="1" t="s">
        <v>31</v>
      </c>
      <c r="M1460" s="1" t="s">
        <v>18</v>
      </c>
      <c r="N1460" s="1" t="s">
        <v>18</v>
      </c>
      <c r="O1460" s="1">
        <v>2</v>
      </c>
      <c r="P1460" s="1">
        <v>8</v>
      </c>
      <c r="Q1460" s="7" t="s">
        <v>17633</v>
      </c>
      <c r="R1460" s="1" t="s">
        <v>62</v>
      </c>
      <c r="S1460" s="1" t="s">
        <v>20</v>
      </c>
      <c r="T1460" s="1" t="s">
        <v>21</v>
      </c>
      <c r="U1460" s="1" t="s">
        <v>22</v>
      </c>
      <c r="V1460" s="1" t="s">
        <v>24</v>
      </c>
      <c r="W1460" s="1" t="s">
        <v>24</v>
      </c>
      <c r="X1460" s="1">
        <v>2700</v>
      </c>
      <c r="Y1460" s="1">
        <v>1300</v>
      </c>
      <c r="Z1460" s="1" t="s">
        <v>24</v>
      </c>
      <c r="AA1460" s="1" t="s">
        <v>24</v>
      </c>
      <c r="AB1460" s="1" t="s">
        <v>24</v>
      </c>
      <c r="AC1460" s="1" t="s">
        <v>24</v>
      </c>
      <c r="AD1460" s="1" t="s">
        <v>24</v>
      </c>
      <c r="AE1460" s="1" t="s">
        <v>24</v>
      </c>
      <c r="AF1460" s="22"/>
    </row>
    <row r="1461" spans="1:32" x14ac:dyDescent="0.2">
      <c r="A1461" s="1">
        <v>8958</v>
      </c>
      <c r="B1461" s="1" t="s">
        <v>4744</v>
      </c>
      <c r="C1461" s="5" t="s">
        <v>0</v>
      </c>
      <c r="D1461" s="1" t="s">
        <v>4745</v>
      </c>
      <c r="E1461" s="1" t="s">
        <v>4746</v>
      </c>
      <c r="F1461" s="1" t="s">
        <v>618</v>
      </c>
      <c r="G1461" s="1" t="s">
        <v>619</v>
      </c>
      <c r="H1461" s="1" t="s">
        <v>30</v>
      </c>
      <c r="I1461" s="1" t="s">
        <v>112</v>
      </c>
      <c r="J1461" s="1">
        <v>1</v>
      </c>
      <c r="K1461" s="1">
        <v>1</v>
      </c>
      <c r="L1461" s="1" t="s">
        <v>31</v>
      </c>
      <c r="M1461" s="1" t="s">
        <v>18</v>
      </c>
      <c r="N1461" s="1" t="s">
        <v>18</v>
      </c>
      <c r="O1461" s="1">
        <v>2</v>
      </c>
      <c r="P1461" s="1">
        <v>8</v>
      </c>
      <c r="Q1461" s="7" t="s">
        <v>17633</v>
      </c>
      <c r="R1461" s="1" t="s">
        <v>62</v>
      </c>
      <c r="S1461" s="1" t="s">
        <v>20</v>
      </c>
      <c r="T1461" s="1" t="s">
        <v>21</v>
      </c>
      <c r="U1461" s="1" t="s">
        <v>22</v>
      </c>
      <c r="V1461" s="1" t="s">
        <v>23</v>
      </c>
      <c r="W1461" s="1" t="s">
        <v>24</v>
      </c>
      <c r="X1461" s="1">
        <v>2739</v>
      </c>
      <c r="Y1461" s="1" t="s">
        <v>24</v>
      </c>
      <c r="Z1461" s="1" t="s">
        <v>24</v>
      </c>
      <c r="AA1461" s="1" t="s">
        <v>24</v>
      </c>
      <c r="AB1461" s="1" t="s">
        <v>24</v>
      </c>
      <c r="AC1461" s="1" t="s">
        <v>24</v>
      </c>
      <c r="AD1461" s="1" t="s">
        <v>24</v>
      </c>
      <c r="AE1461" s="1" t="s">
        <v>24</v>
      </c>
      <c r="AF1461" s="22"/>
    </row>
    <row r="1462" spans="1:32" x14ac:dyDescent="0.2">
      <c r="A1462" s="1">
        <v>8962</v>
      </c>
      <c r="B1462" s="1" t="s">
        <v>4747</v>
      </c>
      <c r="C1462" s="5" t="s">
        <v>0</v>
      </c>
      <c r="D1462" s="1" t="s">
        <v>4748</v>
      </c>
      <c r="E1462" s="1" t="s">
        <v>4749</v>
      </c>
      <c r="F1462" s="1" t="s">
        <v>291</v>
      </c>
      <c r="G1462" s="1" t="s">
        <v>292</v>
      </c>
      <c r="H1462" s="1" t="s">
        <v>37</v>
      </c>
      <c r="I1462" s="1" t="s">
        <v>16</v>
      </c>
      <c r="J1462" s="1">
        <v>1</v>
      </c>
      <c r="K1462" s="1">
        <v>6</v>
      </c>
      <c r="L1462" s="1" t="s">
        <v>31</v>
      </c>
      <c r="M1462" s="1" t="s">
        <v>18</v>
      </c>
      <c r="N1462" s="1" t="s">
        <v>18</v>
      </c>
      <c r="O1462" s="1">
        <v>2</v>
      </c>
      <c r="P1462" s="1">
        <v>8</v>
      </c>
      <c r="Q1462" s="7" t="s">
        <v>17633</v>
      </c>
      <c r="R1462" s="1" t="s">
        <v>62</v>
      </c>
      <c r="S1462" s="1" t="s">
        <v>20</v>
      </c>
      <c r="T1462" s="1" t="s">
        <v>21</v>
      </c>
      <c r="U1462" s="1" t="s">
        <v>22</v>
      </c>
      <c r="V1462" s="1" t="s">
        <v>23</v>
      </c>
      <c r="W1462" s="1" t="s">
        <v>24</v>
      </c>
      <c r="X1462" s="1">
        <v>2704</v>
      </c>
      <c r="Y1462" s="1">
        <v>1300</v>
      </c>
      <c r="Z1462" s="1">
        <v>1308</v>
      </c>
      <c r="AA1462" s="1" t="s">
        <v>24</v>
      </c>
      <c r="AB1462" s="1" t="s">
        <v>24</v>
      </c>
      <c r="AC1462" s="1" t="s">
        <v>24</v>
      </c>
      <c r="AD1462" s="1" t="s">
        <v>24</v>
      </c>
      <c r="AE1462" s="1" t="s">
        <v>24</v>
      </c>
      <c r="AF1462" s="22"/>
    </row>
    <row r="1463" spans="1:32" x14ac:dyDescent="0.2">
      <c r="A1463" s="1">
        <v>8967</v>
      </c>
      <c r="B1463" s="1" t="s">
        <v>4750</v>
      </c>
      <c r="C1463" s="5" t="s">
        <v>0</v>
      </c>
      <c r="D1463" s="1" t="s">
        <v>4751</v>
      </c>
      <c r="F1463" s="1" t="s">
        <v>4752</v>
      </c>
      <c r="G1463" s="1" t="s">
        <v>1878</v>
      </c>
      <c r="H1463" s="1" t="s">
        <v>30</v>
      </c>
      <c r="I1463" s="1" t="s">
        <v>16</v>
      </c>
      <c r="J1463" s="1">
        <v>1</v>
      </c>
      <c r="K1463" s="1">
        <v>12</v>
      </c>
      <c r="L1463" s="1" t="s">
        <v>31</v>
      </c>
      <c r="M1463" s="1" t="s">
        <v>18</v>
      </c>
      <c r="N1463" s="1" t="s">
        <v>18</v>
      </c>
      <c r="O1463" s="1">
        <v>3</v>
      </c>
      <c r="P1463" s="1">
        <v>6</v>
      </c>
      <c r="R1463" s="1" t="s">
        <v>62</v>
      </c>
      <c r="S1463" s="1" t="s">
        <v>63</v>
      </c>
      <c r="T1463" s="1" t="s">
        <v>21</v>
      </c>
      <c r="U1463" s="1" t="s">
        <v>22</v>
      </c>
      <c r="V1463" s="1" t="s">
        <v>23</v>
      </c>
      <c r="W1463" s="1" t="s">
        <v>24</v>
      </c>
      <c r="X1463" s="1">
        <v>2208</v>
      </c>
      <c r="Y1463" s="1">
        <v>1706</v>
      </c>
      <c r="Z1463" s="1">
        <v>3614</v>
      </c>
      <c r="AA1463" s="1">
        <v>1712</v>
      </c>
      <c r="AB1463" s="1" t="s">
        <v>24</v>
      </c>
      <c r="AC1463" s="1" t="s">
        <v>24</v>
      </c>
      <c r="AD1463" s="1" t="s">
        <v>24</v>
      </c>
      <c r="AE1463" s="1" t="s">
        <v>24</v>
      </c>
      <c r="AF1463" s="22" t="s">
        <v>17679</v>
      </c>
    </row>
    <row r="1464" spans="1:32" x14ac:dyDescent="0.2">
      <c r="A1464" s="1">
        <v>8969</v>
      </c>
      <c r="B1464" s="1" t="s">
        <v>4753</v>
      </c>
      <c r="C1464" s="5" t="s">
        <v>0</v>
      </c>
      <c r="D1464" s="1" t="s">
        <v>4754</v>
      </c>
      <c r="E1464" s="1" t="s">
        <v>4755</v>
      </c>
      <c r="F1464" s="1" t="s">
        <v>155</v>
      </c>
      <c r="G1464" s="1" t="s">
        <v>61</v>
      </c>
      <c r="H1464" s="1" t="s">
        <v>37</v>
      </c>
      <c r="I1464" s="1" t="s">
        <v>16</v>
      </c>
      <c r="J1464" s="1">
        <v>1</v>
      </c>
      <c r="K1464" s="1">
        <v>6</v>
      </c>
      <c r="L1464" s="1" t="s">
        <v>31</v>
      </c>
      <c r="M1464" s="1" t="s">
        <v>18</v>
      </c>
      <c r="N1464" s="1" t="s">
        <v>18</v>
      </c>
      <c r="O1464" s="1">
        <v>2</v>
      </c>
      <c r="P1464" s="1">
        <v>6</v>
      </c>
      <c r="R1464" s="1" t="s">
        <v>62</v>
      </c>
      <c r="S1464" s="1" t="s">
        <v>63</v>
      </c>
      <c r="T1464" s="1" t="s">
        <v>21</v>
      </c>
      <c r="U1464" s="1" t="s">
        <v>22</v>
      </c>
      <c r="V1464" s="1" t="s">
        <v>24</v>
      </c>
      <c r="W1464" s="1" t="s">
        <v>24</v>
      </c>
      <c r="X1464" s="1">
        <v>2723</v>
      </c>
      <c r="Y1464" s="1">
        <v>2403</v>
      </c>
      <c r="Z1464" s="1" t="s">
        <v>24</v>
      </c>
      <c r="AA1464" s="1" t="s">
        <v>24</v>
      </c>
      <c r="AB1464" s="1" t="s">
        <v>24</v>
      </c>
      <c r="AC1464" s="1" t="s">
        <v>24</v>
      </c>
      <c r="AD1464" s="1" t="s">
        <v>24</v>
      </c>
      <c r="AE1464" s="1" t="s">
        <v>24</v>
      </c>
      <c r="AF1464" s="22"/>
    </row>
    <row r="1465" spans="1:32" x14ac:dyDescent="0.2">
      <c r="A1465" s="1">
        <v>8975</v>
      </c>
      <c r="B1465" s="1" t="s">
        <v>4756</v>
      </c>
      <c r="C1465" s="5" t="s">
        <v>0</v>
      </c>
      <c r="D1465" s="1" t="s">
        <v>4757</v>
      </c>
      <c r="E1465" s="1" t="s">
        <v>4758</v>
      </c>
      <c r="F1465" s="1" t="s">
        <v>315</v>
      </c>
      <c r="G1465" s="1" t="s">
        <v>316</v>
      </c>
      <c r="H1465" s="1" t="s">
        <v>37</v>
      </c>
      <c r="I1465" s="1" t="s">
        <v>16</v>
      </c>
      <c r="J1465" s="1">
        <v>1</v>
      </c>
      <c r="K1465" s="1">
        <v>12</v>
      </c>
      <c r="L1465" s="1" t="s">
        <v>31</v>
      </c>
      <c r="M1465" s="1" t="s">
        <v>18</v>
      </c>
      <c r="N1465" s="1" t="s">
        <v>18</v>
      </c>
      <c r="O1465" s="1">
        <v>2</v>
      </c>
      <c r="P1465" s="1">
        <v>8</v>
      </c>
      <c r="Q1465" s="7" t="s">
        <v>17633</v>
      </c>
      <c r="R1465" s="1" t="s">
        <v>62</v>
      </c>
      <c r="S1465" s="1" t="s">
        <v>20</v>
      </c>
      <c r="T1465" s="1" t="s">
        <v>21</v>
      </c>
      <c r="U1465" s="1" t="s">
        <v>22</v>
      </c>
      <c r="V1465" s="1" t="s">
        <v>24</v>
      </c>
      <c r="W1465" s="1" t="s">
        <v>64</v>
      </c>
      <c r="X1465" s="1">
        <v>3004</v>
      </c>
      <c r="Y1465" s="1">
        <v>2738</v>
      </c>
      <c r="Z1465" s="1" t="s">
        <v>24</v>
      </c>
      <c r="AA1465" s="1" t="s">
        <v>24</v>
      </c>
      <c r="AB1465" s="1" t="s">
        <v>24</v>
      </c>
      <c r="AC1465" s="1" t="s">
        <v>24</v>
      </c>
      <c r="AD1465" s="1" t="s">
        <v>24</v>
      </c>
      <c r="AE1465" s="1" t="s">
        <v>24</v>
      </c>
      <c r="AF1465" s="22"/>
    </row>
    <row r="1466" spans="1:32" x14ac:dyDescent="0.2">
      <c r="A1466" s="1">
        <v>8982</v>
      </c>
      <c r="B1466" s="1" t="s">
        <v>4759</v>
      </c>
      <c r="C1466" s="5" t="s">
        <v>0</v>
      </c>
      <c r="D1466" s="1" t="s">
        <v>4760</v>
      </c>
      <c r="E1466" s="1" t="s">
        <v>4761</v>
      </c>
      <c r="F1466" s="1" t="s">
        <v>367</v>
      </c>
      <c r="G1466" s="1" t="s">
        <v>367</v>
      </c>
      <c r="H1466" s="1" t="s">
        <v>30</v>
      </c>
      <c r="I1466" s="1" t="s">
        <v>16</v>
      </c>
      <c r="J1466" s="1">
        <v>2</v>
      </c>
      <c r="K1466" s="1">
        <v>6</v>
      </c>
      <c r="L1466" s="1" t="s">
        <v>42</v>
      </c>
      <c r="M1466" s="1" t="s">
        <v>18</v>
      </c>
      <c r="N1466" s="1" t="s">
        <v>18</v>
      </c>
      <c r="O1466" s="1">
        <v>3</v>
      </c>
      <c r="P1466" s="1">
        <v>8</v>
      </c>
      <c r="Q1466" s="7" t="s">
        <v>17633</v>
      </c>
      <c r="R1466" s="1" t="s">
        <v>62</v>
      </c>
      <c r="S1466" s="1" t="s">
        <v>20</v>
      </c>
      <c r="T1466" s="1" t="s">
        <v>21</v>
      </c>
      <c r="U1466" s="1" t="s">
        <v>22</v>
      </c>
      <c r="V1466" s="1" t="s">
        <v>24</v>
      </c>
      <c r="W1466" s="1" t="s">
        <v>24</v>
      </c>
      <c r="X1466" s="1">
        <v>2740</v>
      </c>
      <c r="Y1466" s="1">
        <v>2737</v>
      </c>
      <c r="Z1466" s="1">
        <v>1307</v>
      </c>
      <c r="AA1466" s="1">
        <v>1314</v>
      </c>
      <c r="AB1466" s="1" t="s">
        <v>24</v>
      </c>
      <c r="AC1466" s="1" t="s">
        <v>24</v>
      </c>
      <c r="AD1466" s="1" t="s">
        <v>24</v>
      </c>
      <c r="AE1466" s="1" t="s">
        <v>24</v>
      </c>
      <c r="AF1466" s="22"/>
    </row>
    <row r="1467" spans="1:32" x14ac:dyDescent="0.2">
      <c r="A1467" s="1">
        <v>8989</v>
      </c>
      <c r="B1467" s="1" t="s">
        <v>4762</v>
      </c>
      <c r="C1467" s="5" t="s">
        <v>0</v>
      </c>
      <c r="D1467" s="1" t="s">
        <v>4763</v>
      </c>
      <c r="E1467" s="1" t="s">
        <v>4764</v>
      </c>
      <c r="F1467" s="1" t="s">
        <v>320</v>
      </c>
      <c r="G1467" s="1" t="s">
        <v>36</v>
      </c>
      <c r="H1467" s="1" t="s">
        <v>30</v>
      </c>
      <c r="I1467" s="1" t="s">
        <v>16</v>
      </c>
      <c r="J1467" s="1">
        <v>2</v>
      </c>
      <c r="K1467" s="1">
        <v>6</v>
      </c>
      <c r="L1467" s="1" t="s">
        <v>31</v>
      </c>
      <c r="M1467" s="1" t="s">
        <v>18</v>
      </c>
      <c r="N1467" s="1" t="s">
        <v>18</v>
      </c>
      <c r="O1467" s="1">
        <v>3</v>
      </c>
      <c r="P1467" s="1">
        <v>7</v>
      </c>
      <c r="Q1467" s="7" t="s">
        <v>17633</v>
      </c>
      <c r="R1467" s="1" t="s">
        <v>19</v>
      </c>
      <c r="S1467" s="1" t="s">
        <v>20</v>
      </c>
      <c r="T1467" s="1" t="s">
        <v>21</v>
      </c>
      <c r="U1467" s="1" t="s">
        <v>22</v>
      </c>
      <c r="V1467" s="1" t="s">
        <v>24</v>
      </c>
      <c r="W1467" s="1" t="s">
        <v>24</v>
      </c>
      <c r="X1467" s="1">
        <v>2735</v>
      </c>
      <c r="Y1467" s="1">
        <v>2740</v>
      </c>
      <c r="Z1467" s="1" t="s">
        <v>24</v>
      </c>
      <c r="AA1467" s="1" t="s">
        <v>24</v>
      </c>
      <c r="AB1467" s="1" t="s">
        <v>24</v>
      </c>
      <c r="AC1467" s="1" t="s">
        <v>24</v>
      </c>
      <c r="AD1467" s="1" t="s">
        <v>24</v>
      </c>
      <c r="AE1467" s="1" t="s">
        <v>24</v>
      </c>
      <c r="AF1467" s="22"/>
    </row>
    <row r="1468" spans="1:32" x14ac:dyDescent="0.2">
      <c r="A1468" s="1">
        <v>8991</v>
      </c>
      <c r="B1468" s="1" t="s">
        <v>4765</v>
      </c>
      <c r="C1468" s="5" t="s">
        <v>0</v>
      </c>
      <c r="D1468" s="1" t="s">
        <v>4766</v>
      </c>
      <c r="E1468" s="1" t="s">
        <v>4767</v>
      </c>
      <c r="F1468" s="1" t="s">
        <v>303</v>
      </c>
      <c r="G1468" s="1" t="s">
        <v>61</v>
      </c>
      <c r="H1468" s="1" t="s">
        <v>30</v>
      </c>
      <c r="I1468" s="1" t="s">
        <v>16</v>
      </c>
      <c r="J1468" s="1">
        <v>1</v>
      </c>
      <c r="K1468" s="1">
        <v>6</v>
      </c>
      <c r="L1468" s="1" t="s">
        <v>31</v>
      </c>
      <c r="M1468" s="1" t="s">
        <v>18</v>
      </c>
      <c r="N1468" s="1" t="s">
        <v>18</v>
      </c>
      <c r="O1468" s="1">
        <v>3</v>
      </c>
      <c r="P1468" s="1">
        <v>8</v>
      </c>
      <c r="Q1468" s="7" t="s">
        <v>17633</v>
      </c>
      <c r="R1468" s="1" t="s">
        <v>62</v>
      </c>
      <c r="S1468" s="1" t="s">
        <v>20</v>
      </c>
      <c r="T1468" s="1" t="s">
        <v>21</v>
      </c>
      <c r="U1468" s="1" t="s">
        <v>22</v>
      </c>
      <c r="V1468" s="1" t="s">
        <v>24</v>
      </c>
      <c r="W1468" s="1" t="s">
        <v>24</v>
      </c>
      <c r="X1468" s="1">
        <v>2727</v>
      </c>
      <c r="Y1468" s="1" t="s">
        <v>24</v>
      </c>
      <c r="Z1468" s="1" t="s">
        <v>24</v>
      </c>
      <c r="AA1468" s="1" t="s">
        <v>24</v>
      </c>
      <c r="AB1468" s="1" t="s">
        <v>24</v>
      </c>
      <c r="AC1468" s="1" t="s">
        <v>24</v>
      </c>
      <c r="AD1468" s="1" t="s">
        <v>24</v>
      </c>
      <c r="AE1468" s="1" t="s">
        <v>24</v>
      </c>
      <c r="AF1468" s="22"/>
    </row>
    <row r="1469" spans="1:32" x14ac:dyDescent="0.2">
      <c r="A1469" s="1">
        <v>8999</v>
      </c>
      <c r="B1469" s="1" t="s">
        <v>4768</v>
      </c>
      <c r="C1469" s="5" t="s">
        <v>0</v>
      </c>
      <c r="D1469" s="1" t="s">
        <v>4769</v>
      </c>
      <c r="E1469" s="1" t="s">
        <v>4770</v>
      </c>
      <c r="F1469" s="1" t="s">
        <v>109</v>
      </c>
      <c r="G1469" s="1" t="s">
        <v>110</v>
      </c>
      <c r="H1469" s="1" t="s">
        <v>111</v>
      </c>
      <c r="I1469" s="1" t="s">
        <v>16</v>
      </c>
      <c r="J1469" s="1">
        <v>1</v>
      </c>
      <c r="K1469" s="1">
        <v>6</v>
      </c>
      <c r="L1469" s="1" t="s">
        <v>31</v>
      </c>
      <c r="M1469" s="1" t="s">
        <v>18</v>
      </c>
      <c r="N1469" s="1" t="s">
        <v>18</v>
      </c>
      <c r="O1469" s="1">
        <v>3</v>
      </c>
      <c r="P1469" s="1">
        <v>6</v>
      </c>
      <c r="R1469" s="1" t="s">
        <v>19</v>
      </c>
      <c r="S1469" s="1" t="s">
        <v>20</v>
      </c>
      <c r="T1469" s="1" t="s">
        <v>21</v>
      </c>
      <c r="U1469" s="1" t="s">
        <v>22</v>
      </c>
      <c r="V1469" s="1" t="s">
        <v>23</v>
      </c>
      <c r="W1469" s="1" t="s">
        <v>24</v>
      </c>
      <c r="X1469" s="1">
        <v>2700</v>
      </c>
      <c r="Y1469" s="1" t="s">
        <v>24</v>
      </c>
      <c r="Z1469" s="1" t="s">
        <v>24</v>
      </c>
      <c r="AA1469" s="1" t="s">
        <v>24</v>
      </c>
      <c r="AB1469" s="1" t="s">
        <v>24</v>
      </c>
      <c r="AC1469" s="1" t="s">
        <v>24</v>
      </c>
      <c r="AD1469" s="1" t="s">
        <v>24</v>
      </c>
      <c r="AE1469" s="1" t="s">
        <v>24</v>
      </c>
      <c r="AF1469" s="22"/>
    </row>
    <row r="1470" spans="1:32" x14ac:dyDescent="0.2">
      <c r="A1470" s="1">
        <v>9000</v>
      </c>
      <c r="B1470" s="1" t="s">
        <v>4771</v>
      </c>
      <c r="C1470" s="5" t="s">
        <v>0</v>
      </c>
      <c r="D1470" s="1" t="s">
        <v>4772</v>
      </c>
      <c r="E1470" s="1" t="s">
        <v>4773</v>
      </c>
      <c r="F1470" s="1" t="s">
        <v>291</v>
      </c>
      <c r="G1470" s="1" t="s">
        <v>292</v>
      </c>
      <c r="H1470" s="1" t="s">
        <v>37</v>
      </c>
      <c r="I1470" s="1" t="s">
        <v>16</v>
      </c>
      <c r="J1470" s="1">
        <v>1</v>
      </c>
      <c r="K1470" s="1">
        <v>4</v>
      </c>
      <c r="L1470" s="1" t="s">
        <v>31</v>
      </c>
      <c r="M1470" s="1" t="s">
        <v>18</v>
      </c>
      <c r="N1470" s="1" t="s">
        <v>18</v>
      </c>
      <c r="O1470" s="1">
        <v>3</v>
      </c>
      <c r="P1470" s="1">
        <v>8</v>
      </c>
      <c r="Q1470" s="7" t="s">
        <v>17633</v>
      </c>
      <c r="R1470" s="1" t="s">
        <v>19</v>
      </c>
      <c r="S1470" s="1" t="s">
        <v>20</v>
      </c>
      <c r="T1470" s="1" t="s">
        <v>21</v>
      </c>
      <c r="U1470" s="1" t="s">
        <v>22</v>
      </c>
      <c r="V1470" s="1" t="s">
        <v>23</v>
      </c>
      <c r="W1470" s="1" t="s">
        <v>24</v>
      </c>
      <c r="X1470" s="1">
        <v>2731</v>
      </c>
      <c r="Y1470" s="1" t="s">
        <v>24</v>
      </c>
      <c r="Z1470" s="1" t="s">
        <v>24</v>
      </c>
      <c r="AA1470" s="1" t="s">
        <v>24</v>
      </c>
      <c r="AB1470" s="1" t="s">
        <v>24</v>
      </c>
      <c r="AC1470" s="1" t="s">
        <v>24</v>
      </c>
      <c r="AD1470" s="1" t="s">
        <v>24</v>
      </c>
      <c r="AE1470" s="1" t="s">
        <v>24</v>
      </c>
      <c r="AF1470" s="22"/>
    </row>
    <row r="1471" spans="1:32" x14ac:dyDescent="0.2">
      <c r="A1471" s="1">
        <v>9008</v>
      </c>
      <c r="B1471" s="1" t="s">
        <v>4774</v>
      </c>
      <c r="C1471" s="5" t="s">
        <v>0</v>
      </c>
      <c r="D1471" s="1" t="s">
        <v>4775</v>
      </c>
      <c r="E1471" s="1" t="s">
        <v>4776</v>
      </c>
      <c r="F1471" s="1" t="s">
        <v>91</v>
      </c>
      <c r="G1471" s="1" t="s">
        <v>61</v>
      </c>
      <c r="H1471" s="1" t="s">
        <v>92</v>
      </c>
      <c r="I1471" s="1" t="s">
        <v>16</v>
      </c>
      <c r="J1471" s="1">
        <v>1</v>
      </c>
      <c r="K1471" s="1">
        <v>8</v>
      </c>
      <c r="L1471" s="1" t="s">
        <v>31</v>
      </c>
      <c r="M1471" s="1" t="s">
        <v>18</v>
      </c>
      <c r="N1471" s="1" t="s">
        <v>18</v>
      </c>
      <c r="O1471" s="1">
        <v>3</v>
      </c>
      <c r="P1471" s="1">
        <v>6</v>
      </c>
      <c r="R1471" s="1" t="s">
        <v>19</v>
      </c>
      <c r="S1471" s="1" t="s">
        <v>20</v>
      </c>
      <c r="T1471" s="1" t="s">
        <v>21</v>
      </c>
      <c r="U1471" s="1" t="s">
        <v>22</v>
      </c>
      <c r="V1471" s="1" t="s">
        <v>23</v>
      </c>
      <c r="W1471" s="1" t="s">
        <v>24</v>
      </c>
      <c r="X1471" s="1">
        <v>2724</v>
      </c>
      <c r="Y1471" s="1" t="s">
        <v>24</v>
      </c>
      <c r="Z1471" s="1" t="s">
        <v>24</v>
      </c>
      <c r="AA1471" s="1" t="s">
        <v>24</v>
      </c>
      <c r="AB1471" s="1" t="s">
        <v>24</v>
      </c>
      <c r="AC1471" s="1" t="s">
        <v>24</v>
      </c>
      <c r="AD1471" s="1" t="s">
        <v>24</v>
      </c>
      <c r="AE1471" s="1" t="s">
        <v>24</v>
      </c>
      <c r="AF1471" s="22"/>
    </row>
    <row r="1472" spans="1:32" x14ac:dyDescent="0.2">
      <c r="A1472" s="1">
        <v>9009</v>
      </c>
      <c r="B1472" s="1" t="s">
        <v>4777</v>
      </c>
      <c r="C1472" s="5" t="s">
        <v>0</v>
      </c>
      <c r="D1472" s="1" t="s">
        <v>4778</v>
      </c>
      <c r="E1472" s="1" t="s">
        <v>4779</v>
      </c>
      <c r="F1472" s="1" t="s">
        <v>35</v>
      </c>
      <c r="G1472" s="1" t="s">
        <v>36</v>
      </c>
      <c r="H1472" s="1" t="s">
        <v>37</v>
      </c>
      <c r="I1472" s="1" t="s">
        <v>16</v>
      </c>
      <c r="J1472" s="1">
        <v>1</v>
      </c>
      <c r="K1472" s="1">
        <v>12</v>
      </c>
      <c r="L1472" s="1" t="s">
        <v>31</v>
      </c>
      <c r="M1472" s="1" t="s">
        <v>18</v>
      </c>
      <c r="N1472" s="1" t="s">
        <v>18</v>
      </c>
      <c r="O1472" s="1">
        <v>3</v>
      </c>
      <c r="P1472" s="1">
        <v>7</v>
      </c>
      <c r="Q1472" s="7" t="s">
        <v>17633</v>
      </c>
      <c r="R1472" s="1" t="s">
        <v>62</v>
      </c>
      <c r="S1472" s="1" t="s">
        <v>20</v>
      </c>
      <c r="T1472" s="1" t="s">
        <v>21</v>
      </c>
      <c r="U1472" s="1" t="s">
        <v>22</v>
      </c>
      <c r="V1472" s="1" t="s">
        <v>24</v>
      </c>
      <c r="W1472" s="1" t="s">
        <v>24</v>
      </c>
      <c r="X1472" s="1">
        <v>2403</v>
      </c>
      <c r="Y1472" s="1">
        <v>2723</v>
      </c>
      <c r="Z1472" s="1" t="s">
        <v>24</v>
      </c>
      <c r="AA1472" s="1" t="s">
        <v>24</v>
      </c>
      <c r="AB1472" s="1" t="s">
        <v>24</v>
      </c>
      <c r="AC1472" s="1" t="s">
        <v>24</v>
      </c>
      <c r="AD1472" s="1" t="s">
        <v>24</v>
      </c>
      <c r="AE1472" s="1" t="s">
        <v>24</v>
      </c>
      <c r="AF1472" s="22"/>
    </row>
    <row r="1473" spans="1:32" x14ac:dyDescent="0.2">
      <c r="A1473" s="1">
        <v>9010</v>
      </c>
      <c r="B1473" s="1" t="s">
        <v>4780</v>
      </c>
      <c r="C1473" s="5" t="s">
        <v>0</v>
      </c>
      <c r="D1473" s="1" t="s">
        <v>4781</v>
      </c>
      <c r="E1473" s="1" t="s">
        <v>4782</v>
      </c>
      <c r="F1473" s="1" t="s">
        <v>320</v>
      </c>
      <c r="G1473" s="1" t="s">
        <v>36</v>
      </c>
      <c r="H1473" s="1" t="s">
        <v>30</v>
      </c>
      <c r="I1473" s="1" t="s">
        <v>16</v>
      </c>
      <c r="J1473" s="1">
        <v>1</v>
      </c>
      <c r="K1473" s="1">
        <v>6</v>
      </c>
      <c r="L1473" s="1" t="s">
        <v>31</v>
      </c>
      <c r="M1473" s="1" t="s">
        <v>18</v>
      </c>
      <c r="N1473" s="1" t="s">
        <v>18</v>
      </c>
      <c r="O1473" s="1">
        <v>3</v>
      </c>
      <c r="P1473" s="1">
        <v>6</v>
      </c>
      <c r="R1473" s="1" t="s">
        <v>19</v>
      </c>
      <c r="S1473" s="1" t="s">
        <v>20</v>
      </c>
      <c r="T1473" s="1" t="s">
        <v>21</v>
      </c>
      <c r="U1473" s="1" t="s">
        <v>22</v>
      </c>
      <c r="V1473" s="1" t="s">
        <v>23</v>
      </c>
      <c r="W1473" s="1" t="s">
        <v>24</v>
      </c>
      <c r="X1473" s="1">
        <v>1308</v>
      </c>
      <c r="Y1473" s="1">
        <v>2704</v>
      </c>
      <c r="Z1473" s="1">
        <v>2739</v>
      </c>
      <c r="AA1473" s="1">
        <v>2720</v>
      </c>
      <c r="AB1473" s="1">
        <v>2723</v>
      </c>
      <c r="AC1473" s="1">
        <v>2726</v>
      </c>
      <c r="AD1473" s="1">
        <v>3607</v>
      </c>
      <c r="AE1473" s="1" t="s">
        <v>24</v>
      </c>
      <c r="AF1473" s="22"/>
    </row>
    <row r="1474" spans="1:32" x14ac:dyDescent="0.2">
      <c r="A1474" s="1">
        <v>9011</v>
      </c>
      <c r="B1474" s="1" t="s">
        <v>4783</v>
      </c>
      <c r="C1474" s="5" t="s">
        <v>0</v>
      </c>
      <c r="D1474" s="1" t="s">
        <v>4784</v>
      </c>
      <c r="E1474" s="1" t="s">
        <v>4785</v>
      </c>
      <c r="F1474" s="1" t="s">
        <v>35</v>
      </c>
      <c r="G1474" s="1" t="s">
        <v>36</v>
      </c>
      <c r="H1474" s="1" t="s">
        <v>37</v>
      </c>
      <c r="I1474" s="1" t="s">
        <v>16</v>
      </c>
      <c r="J1474" s="1">
        <v>2</v>
      </c>
      <c r="K1474" s="1">
        <v>6</v>
      </c>
      <c r="L1474" s="1" t="s">
        <v>31</v>
      </c>
      <c r="M1474" s="1" t="s">
        <v>18</v>
      </c>
      <c r="N1474" s="1" t="s">
        <v>18</v>
      </c>
      <c r="O1474" s="1">
        <v>3</v>
      </c>
      <c r="P1474" s="1">
        <v>8</v>
      </c>
      <c r="Q1474" s="7" t="s">
        <v>17633</v>
      </c>
      <c r="R1474" s="1" t="s">
        <v>62</v>
      </c>
      <c r="S1474" s="1" t="s">
        <v>20</v>
      </c>
      <c r="T1474" s="1" t="s">
        <v>21</v>
      </c>
      <c r="U1474" s="1" t="s">
        <v>22</v>
      </c>
      <c r="V1474" s="1" t="s">
        <v>24</v>
      </c>
      <c r="W1474" s="1" t="s">
        <v>24</v>
      </c>
      <c r="X1474" s="1">
        <v>2724</v>
      </c>
      <c r="Y1474" s="1" t="s">
        <v>24</v>
      </c>
      <c r="Z1474" s="1" t="s">
        <v>24</v>
      </c>
      <c r="AA1474" s="1" t="s">
        <v>24</v>
      </c>
      <c r="AB1474" s="1" t="s">
        <v>24</v>
      </c>
      <c r="AC1474" s="1" t="s">
        <v>24</v>
      </c>
      <c r="AD1474" s="1" t="s">
        <v>24</v>
      </c>
      <c r="AE1474" s="1" t="s">
        <v>24</v>
      </c>
      <c r="AF1474" s="22"/>
    </row>
    <row r="1475" spans="1:32" x14ac:dyDescent="0.2">
      <c r="A1475" s="1">
        <v>9014</v>
      </c>
      <c r="B1475" s="1" t="s">
        <v>4786</v>
      </c>
      <c r="C1475" s="5" t="s">
        <v>0</v>
      </c>
      <c r="D1475" s="1" t="s">
        <v>4787</v>
      </c>
      <c r="E1475" s="1" t="s">
        <v>4788</v>
      </c>
      <c r="F1475" s="1" t="s">
        <v>50</v>
      </c>
      <c r="G1475" s="1" t="s">
        <v>36</v>
      </c>
      <c r="H1475" s="1" t="s">
        <v>51</v>
      </c>
      <c r="I1475" s="1" t="s">
        <v>16</v>
      </c>
      <c r="J1475" s="1">
        <v>0</v>
      </c>
      <c r="K1475" s="1">
        <v>0</v>
      </c>
      <c r="L1475" s="1" t="s">
        <v>31</v>
      </c>
      <c r="M1475" s="1" t="s">
        <v>18</v>
      </c>
      <c r="N1475" s="1" t="s">
        <v>18</v>
      </c>
      <c r="O1475" s="1">
        <v>3</v>
      </c>
      <c r="P1475" s="1">
        <v>7</v>
      </c>
      <c r="Q1475" s="7" t="s">
        <v>17633</v>
      </c>
      <c r="R1475" s="1" t="s">
        <v>19</v>
      </c>
      <c r="S1475" s="1" t="s">
        <v>20</v>
      </c>
      <c r="T1475" s="1" t="s">
        <v>21</v>
      </c>
      <c r="U1475" s="1" t="s">
        <v>22</v>
      </c>
      <c r="V1475" s="1" t="s">
        <v>23</v>
      </c>
      <c r="W1475" s="1" t="s">
        <v>24</v>
      </c>
      <c r="X1475" s="1">
        <v>2703</v>
      </c>
      <c r="Y1475" s="1" t="s">
        <v>24</v>
      </c>
      <c r="Z1475" s="1" t="s">
        <v>24</v>
      </c>
      <c r="AA1475" s="1" t="s">
        <v>24</v>
      </c>
      <c r="AB1475" s="1" t="s">
        <v>24</v>
      </c>
      <c r="AC1475" s="1" t="s">
        <v>24</v>
      </c>
      <c r="AD1475" s="1" t="s">
        <v>24</v>
      </c>
      <c r="AE1475" s="1" t="s">
        <v>24</v>
      </c>
      <c r="AF1475" s="22"/>
    </row>
    <row r="1476" spans="1:32" x14ac:dyDescent="0.2">
      <c r="A1476" s="1">
        <v>9023</v>
      </c>
      <c r="B1476" s="1" t="s">
        <v>4789</v>
      </c>
      <c r="C1476" s="5" t="s">
        <v>0</v>
      </c>
      <c r="D1476" s="1" t="s">
        <v>4790</v>
      </c>
      <c r="E1476" s="1" t="s">
        <v>4791</v>
      </c>
      <c r="F1476" s="1" t="s">
        <v>4792</v>
      </c>
      <c r="G1476" s="1" t="s">
        <v>4793</v>
      </c>
      <c r="H1476" s="1" t="s">
        <v>30</v>
      </c>
      <c r="I1476" s="1" t="s">
        <v>16</v>
      </c>
      <c r="J1476" s="1">
        <v>1</v>
      </c>
      <c r="K1476" s="1">
        <v>6</v>
      </c>
      <c r="L1476" s="1" t="s">
        <v>42</v>
      </c>
      <c r="M1476" s="1" t="s">
        <v>18</v>
      </c>
      <c r="N1476" s="1" t="s">
        <v>18</v>
      </c>
      <c r="O1476" s="1">
        <v>2</v>
      </c>
      <c r="P1476" s="1">
        <v>6</v>
      </c>
      <c r="R1476" s="1" t="s">
        <v>19</v>
      </c>
      <c r="S1476" s="1" t="s">
        <v>20</v>
      </c>
      <c r="T1476" s="1" t="s">
        <v>21</v>
      </c>
      <c r="U1476" s="1" t="s">
        <v>22</v>
      </c>
      <c r="V1476" s="1" t="s">
        <v>23</v>
      </c>
      <c r="W1476" s="1" t="s">
        <v>24</v>
      </c>
      <c r="X1476" s="1">
        <v>2204</v>
      </c>
      <c r="Y1476" s="1">
        <v>1705</v>
      </c>
      <c r="Z1476" s="1" t="s">
        <v>24</v>
      </c>
      <c r="AA1476" s="1" t="s">
        <v>24</v>
      </c>
      <c r="AB1476" s="1" t="s">
        <v>24</v>
      </c>
      <c r="AC1476" s="1" t="s">
        <v>24</v>
      </c>
      <c r="AD1476" s="1" t="s">
        <v>24</v>
      </c>
      <c r="AE1476" s="1" t="s">
        <v>24</v>
      </c>
      <c r="AF1476" s="22"/>
    </row>
    <row r="1477" spans="1:32" x14ac:dyDescent="0.2">
      <c r="A1477" s="1">
        <v>9039</v>
      </c>
      <c r="B1477" s="1" t="s">
        <v>4794</v>
      </c>
      <c r="C1477" s="5" t="s">
        <v>0</v>
      </c>
      <c r="D1477" s="1" t="s">
        <v>4795</v>
      </c>
      <c r="F1477" s="1" t="s">
        <v>1373</v>
      </c>
      <c r="G1477" s="1" t="s">
        <v>3649</v>
      </c>
      <c r="H1477" s="1" t="s">
        <v>878</v>
      </c>
      <c r="I1477" s="1" t="s">
        <v>16</v>
      </c>
      <c r="J1477" s="1">
        <v>1</v>
      </c>
      <c r="K1477" s="1">
        <v>6</v>
      </c>
      <c r="L1477" s="1" t="s">
        <v>42</v>
      </c>
      <c r="M1477" s="1" t="s">
        <v>117</v>
      </c>
      <c r="N1477" s="1" t="s">
        <v>117</v>
      </c>
      <c r="O1477" s="1">
        <v>3</v>
      </c>
      <c r="P1477" s="1">
        <v>5</v>
      </c>
      <c r="R1477" s="1" t="s">
        <v>19</v>
      </c>
      <c r="S1477" s="1" t="s">
        <v>20</v>
      </c>
      <c r="T1477" s="1" t="s">
        <v>21</v>
      </c>
      <c r="U1477" s="1" t="s">
        <v>22</v>
      </c>
      <c r="V1477" s="1" t="s">
        <v>24</v>
      </c>
      <c r="W1477" s="1" t="s">
        <v>24</v>
      </c>
      <c r="X1477" s="1">
        <v>2723</v>
      </c>
      <c r="Y1477" s="1" t="s">
        <v>24</v>
      </c>
      <c r="Z1477" s="1" t="s">
        <v>24</v>
      </c>
      <c r="AA1477" s="1" t="s">
        <v>24</v>
      </c>
      <c r="AB1477" s="1" t="s">
        <v>24</v>
      </c>
      <c r="AC1477" s="1" t="s">
        <v>24</v>
      </c>
      <c r="AD1477" s="1" t="s">
        <v>24</v>
      </c>
      <c r="AE1477" s="1" t="s">
        <v>24</v>
      </c>
      <c r="AF1477" s="22"/>
    </row>
    <row r="1478" spans="1:32" x14ac:dyDescent="0.2">
      <c r="A1478" s="1">
        <v>9043</v>
      </c>
      <c r="B1478" s="1" t="s">
        <v>4796</v>
      </c>
      <c r="C1478" s="5" t="s">
        <v>0</v>
      </c>
      <c r="D1478" s="1" t="s">
        <v>4797</v>
      </c>
      <c r="E1478" s="1" t="s">
        <v>4798</v>
      </c>
      <c r="F1478" s="1" t="s">
        <v>618</v>
      </c>
      <c r="G1478" s="1" t="s">
        <v>619</v>
      </c>
      <c r="H1478" s="1" t="s">
        <v>30</v>
      </c>
      <c r="I1478" s="1" t="s">
        <v>112</v>
      </c>
      <c r="J1478" s="1">
        <v>1</v>
      </c>
      <c r="K1478" s="1">
        <v>1</v>
      </c>
      <c r="L1478" s="1" t="s">
        <v>31</v>
      </c>
      <c r="M1478" s="1" t="s">
        <v>18</v>
      </c>
      <c r="N1478" s="1" t="s">
        <v>18</v>
      </c>
      <c r="O1478" s="1">
        <v>2</v>
      </c>
      <c r="P1478" s="1">
        <v>8</v>
      </c>
      <c r="Q1478" s="7" t="s">
        <v>17633</v>
      </c>
      <c r="R1478" s="1" t="s">
        <v>62</v>
      </c>
      <c r="S1478" s="1" t="s">
        <v>20</v>
      </c>
      <c r="T1478" s="1" t="s">
        <v>21</v>
      </c>
      <c r="U1478" s="1" t="s">
        <v>22</v>
      </c>
      <c r="V1478" s="1" t="s">
        <v>24</v>
      </c>
      <c r="W1478" s="1" t="s">
        <v>24</v>
      </c>
      <c r="X1478" s="1">
        <v>2403</v>
      </c>
      <c r="Y1478" s="1">
        <v>2723</v>
      </c>
      <c r="Z1478" s="1" t="s">
        <v>24</v>
      </c>
      <c r="AA1478" s="1" t="s">
        <v>24</v>
      </c>
      <c r="AB1478" s="1" t="s">
        <v>24</v>
      </c>
      <c r="AC1478" s="1" t="s">
        <v>24</v>
      </c>
      <c r="AD1478" s="1" t="s">
        <v>24</v>
      </c>
      <c r="AE1478" s="1" t="s">
        <v>24</v>
      </c>
      <c r="AF1478" s="22"/>
    </row>
    <row r="1479" spans="1:32" x14ac:dyDescent="0.2">
      <c r="A1479" s="1">
        <v>9053</v>
      </c>
      <c r="B1479" s="1" t="s">
        <v>4799</v>
      </c>
      <c r="C1479" s="5" t="s">
        <v>0</v>
      </c>
      <c r="D1479" s="1" t="s">
        <v>4800</v>
      </c>
      <c r="F1479" s="1" t="s">
        <v>1278</v>
      </c>
      <c r="G1479" s="1" t="s">
        <v>1279</v>
      </c>
      <c r="H1479" s="1" t="s">
        <v>30</v>
      </c>
      <c r="I1479" s="1" t="s">
        <v>16</v>
      </c>
      <c r="J1479" s="1">
        <v>1</v>
      </c>
      <c r="K1479" s="1">
        <v>6</v>
      </c>
      <c r="L1479" s="1" t="s">
        <v>42</v>
      </c>
      <c r="M1479" s="1" t="s">
        <v>18</v>
      </c>
      <c r="N1479" s="1" t="s">
        <v>18</v>
      </c>
      <c r="O1479" s="1">
        <v>3</v>
      </c>
      <c r="P1479" s="1">
        <v>8</v>
      </c>
      <c r="Q1479" s="7" t="s">
        <v>17633</v>
      </c>
      <c r="R1479" s="1" t="s">
        <v>62</v>
      </c>
      <c r="S1479" s="1" t="s">
        <v>20</v>
      </c>
      <c r="T1479" s="1" t="s">
        <v>21</v>
      </c>
      <c r="U1479" s="1" t="s">
        <v>22</v>
      </c>
      <c r="V1479" s="1" t="s">
        <v>24</v>
      </c>
      <c r="W1479" s="1" t="s">
        <v>24</v>
      </c>
      <c r="X1479" s="1">
        <v>2403</v>
      </c>
      <c r="Y1479" s="1" t="s">
        <v>24</v>
      </c>
      <c r="Z1479" s="1" t="s">
        <v>24</v>
      </c>
      <c r="AA1479" s="1" t="s">
        <v>24</v>
      </c>
      <c r="AB1479" s="1" t="s">
        <v>24</v>
      </c>
      <c r="AC1479" s="1" t="s">
        <v>24</v>
      </c>
      <c r="AD1479" s="1" t="s">
        <v>24</v>
      </c>
      <c r="AE1479" s="1" t="s">
        <v>24</v>
      </c>
      <c r="AF1479" s="22"/>
    </row>
    <row r="1480" spans="1:32" x14ac:dyDescent="0.2">
      <c r="A1480" s="1">
        <v>9055</v>
      </c>
      <c r="B1480" s="1" t="s">
        <v>4801</v>
      </c>
      <c r="C1480" s="5" t="s">
        <v>0</v>
      </c>
      <c r="D1480" s="1" t="s">
        <v>4802</v>
      </c>
      <c r="F1480" s="1" t="s">
        <v>167</v>
      </c>
      <c r="G1480" s="1" t="s">
        <v>130</v>
      </c>
      <c r="H1480" s="1" t="s">
        <v>168</v>
      </c>
      <c r="I1480" s="1" t="s">
        <v>112</v>
      </c>
      <c r="J1480" s="1">
        <v>0</v>
      </c>
      <c r="K1480" s="1">
        <v>0</v>
      </c>
      <c r="L1480" s="1" t="s">
        <v>31</v>
      </c>
      <c r="M1480" s="1" t="s">
        <v>18</v>
      </c>
      <c r="N1480" s="1" t="s">
        <v>18</v>
      </c>
      <c r="O1480" s="1">
        <v>0</v>
      </c>
      <c r="P1480" s="1">
        <v>7</v>
      </c>
      <c r="Q1480" s="7" t="s">
        <v>17633</v>
      </c>
      <c r="R1480" s="1" t="s">
        <v>62</v>
      </c>
      <c r="S1480" s="1" t="s">
        <v>20</v>
      </c>
      <c r="T1480" s="1" t="s">
        <v>21</v>
      </c>
      <c r="U1480" s="1" t="s">
        <v>22</v>
      </c>
      <c r="V1480" s="1" t="s">
        <v>24</v>
      </c>
      <c r="W1480" s="1" t="s">
        <v>24</v>
      </c>
      <c r="X1480" s="1">
        <v>2723</v>
      </c>
      <c r="Y1480" s="1">
        <v>2726</v>
      </c>
      <c r="Z1480" s="1">
        <v>2403</v>
      </c>
      <c r="AA1480" s="1">
        <v>2404</v>
      </c>
      <c r="AB1480" s="1" t="s">
        <v>24</v>
      </c>
      <c r="AC1480" s="1" t="s">
        <v>24</v>
      </c>
      <c r="AD1480" s="1" t="s">
        <v>24</v>
      </c>
      <c r="AE1480" s="1" t="s">
        <v>24</v>
      </c>
      <c r="AF1480" s="22" t="s">
        <v>17679</v>
      </c>
    </row>
    <row r="1481" spans="1:32" x14ac:dyDescent="0.2">
      <c r="A1481" s="1">
        <v>9064</v>
      </c>
      <c r="B1481" s="1" t="s">
        <v>4803</v>
      </c>
      <c r="C1481" s="5" t="s">
        <v>0</v>
      </c>
      <c r="D1481" s="1" t="s">
        <v>4804</v>
      </c>
      <c r="E1481" s="1" t="s">
        <v>4805</v>
      </c>
      <c r="F1481" s="1" t="s">
        <v>291</v>
      </c>
      <c r="G1481" s="1" t="s">
        <v>292</v>
      </c>
      <c r="H1481" s="1" t="s">
        <v>37</v>
      </c>
      <c r="I1481" s="1" t="s">
        <v>16</v>
      </c>
      <c r="J1481" s="1">
        <v>1</v>
      </c>
      <c r="K1481" s="1">
        <v>6</v>
      </c>
      <c r="L1481" s="1" t="s">
        <v>31</v>
      </c>
      <c r="M1481" s="1" t="s">
        <v>18</v>
      </c>
      <c r="N1481" s="1" t="s">
        <v>18</v>
      </c>
      <c r="O1481" s="1">
        <v>3</v>
      </c>
      <c r="P1481" s="1">
        <v>7</v>
      </c>
      <c r="Q1481" s="7" t="s">
        <v>17633</v>
      </c>
      <c r="R1481" s="1" t="s">
        <v>19</v>
      </c>
      <c r="S1481" s="1" t="s">
        <v>20</v>
      </c>
      <c r="T1481" s="1" t="s">
        <v>21</v>
      </c>
      <c r="U1481" s="1" t="s">
        <v>22</v>
      </c>
      <c r="V1481" s="1" t="s">
        <v>24</v>
      </c>
      <c r="W1481" s="1" t="s">
        <v>24</v>
      </c>
      <c r="X1481" s="1">
        <v>2708</v>
      </c>
      <c r="Y1481" s="1" t="s">
        <v>24</v>
      </c>
      <c r="Z1481" s="1" t="s">
        <v>24</v>
      </c>
      <c r="AA1481" s="1" t="s">
        <v>24</v>
      </c>
      <c r="AB1481" s="1" t="s">
        <v>24</v>
      </c>
      <c r="AC1481" s="1" t="s">
        <v>24</v>
      </c>
      <c r="AD1481" s="1" t="s">
        <v>24</v>
      </c>
      <c r="AE1481" s="1" t="s">
        <v>24</v>
      </c>
      <c r="AF1481" s="22"/>
    </row>
    <row r="1482" spans="1:32" x14ac:dyDescent="0.2">
      <c r="A1482" s="1">
        <v>9079</v>
      </c>
      <c r="B1482" s="1" t="s">
        <v>4806</v>
      </c>
      <c r="C1482" s="5" t="s">
        <v>0</v>
      </c>
      <c r="D1482" s="1" t="s">
        <v>4807</v>
      </c>
      <c r="E1482" s="1" t="s">
        <v>4808</v>
      </c>
      <c r="F1482" s="1" t="s">
        <v>724</v>
      </c>
      <c r="G1482" s="1" t="s">
        <v>725</v>
      </c>
      <c r="H1482" s="1" t="s">
        <v>37</v>
      </c>
      <c r="I1482" s="1" t="s">
        <v>16</v>
      </c>
      <c r="J1482" s="1">
        <v>1</v>
      </c>
      <c r="K1482" s="1">
        <v>6</v>
      </c>
      <c r="L1482" s="1" t="s">
        <v>31</v>
      </c>
      <c r="M1482" s="1" t="s">
        <v>1646</v>
      </c>
      <c r="N1482" s="1" t="s">
        <v>18</v>
      </c>
      <c r="O1482" s="1">
        <v>3</v>
      </c>
      <c r="P1482" s="1">
        <v>5</v>
      </c>
      <c r="R1482" s="1" t="s">
        <v>19</v>
      </c>
      <c r="S1482" s="1" t="s">
        <v>20</v>
      </c>
      <c r="T1482" s="1" t="s">
        <v>21</v>
      </c>
      <c r="U1482" s="1" t="s">
        <v>22</v>
      </c>
      <c r="V1482" s="1" t="s">
        <v>24</v>
      </c>
      <c r="W1482" s="1" t="s">
        <v>24</v>
      </c>
      <c r="X1482" s="1">
        <v>2738</v>
      </c>
      <c r="Y1482" s="1">
        <v>2803</v>
      </c>
      <c r="Z1482" s="1" t="s">
        <v>24</v>
      </c>
      <c r="AA1482" s="1" t="s">
        <v>24</v>
      </c>
      <c r="AB1482" s="1" t="s">
        <v>24</v>
      </c>
      <c r="AC1482" s="1" t="s">
        <v>24</v>
      </c>
      <c r="AD1482" s="1" t="s">
        <v>24</v>
      </c>
      <c r="AE1482" s="1" t="s">
        <v>24</v>
      </c>
      <c r="AF1482" s="22"/>
    </row>
    <row r="1483" spans="1:32" x14ac:dyDescent="0.2">
      <c r="A1483" s="1">
        <v>9085</v>
      </c>
      <c r="B1483" s="1" t="s">
        <v>4809</v>
      </c>
      <c r="C1483" s="5" t="s">
        <v>0</v>
      </c>
      <c r="D1483" s="1" t="s">
        <v>4810</v>
      </c>
      <c r="E1483" s="1" t="s">
        <v>4811</v>
      </c>
      <c r="F1483" s="1" t="s">
        <v>356</v>
      </c>
      <c r="G1483" s="1" t="s">
        <v>357</v>
      </c>
      <c r="H1483" s="1" t="s">
        <v>30</v>
      </c>
      <c r="I1483" s="1" t="s">
        <v>16</v>
      </c>
      <c r="J1483" s="1">
        <v>1</v>
      </c>
      <c r="K1483" s="1">
        <v>6</v>
      </c>
      <c r="L1483" s="1" t="s">
        <v>31</v>
      </c>
      <c r="M1483" s="1" t="s">
        <v>18</v>
      </c>
      <c r="N1483" s="1" t="s">
        <v>18</v>
      </c>
      <c r="O1483" s="1">
        <v>3</v>
      </c>
      <c r="P1483" s="1">
        <v>7</v>
      </c>
      <c r="Q1483" s="7" t="s">
        <v>17633</v>
      </c>
      <c r="R1483" s="1" t="s">
        <v>19</v>
      </c>
      <c r="S1483" s="1" t="s">
        <v>20</v>
      </c>
      <c r="T1483" s="1" t="s">
        <v>21</v>
      </c>
      <c r="U1483" s="1" t="s">
        <v>22</v>
      </c>
      <c r="V1483" s="1" t="s">
        <v>24</v>
      </c>
      <c r="W1483" s="1" t="s">
        <v>24</v>
      </c>
      <c r="X1483" s="1">
        <v>3206</v>
      </c>
      <c r="Y1483" s="1">
        <v>1201</v>
      </c>
      <c r="Z1483" s="1" t="s">
        <v>24</v>
      </c>
      <c r="AA1483" s="1" t="s">
        <v>24</v>
      </c>
      <c r="AB1483" s="1" t="s">
        <v>24</v>
      </c>
      <c r="AC1483" s="1" t="s">
        <v>24</v>
      </c>
      <c r="AD1483" s="1" t="s">
        <v>24</v>
      </c>
      <c r="AE1483" s="1" t="s">
        <v>24</v>
      </c>
      <c r="AF1483" s="22"/>
    </row>
    <row r="1484" spans="1:32" x14ac:dyDescent="0.2">
      <c r="A1484" s="1">
        <v>9086</v>
      </c>
      <c r="B1484" s="1" t="s">
        <v>4812</v>
      </c>
      <c r="C1484" s="5" t="s">
        <v>0</v>
      </c>
      <c r="D1484" s="1" t="s">
        <v>4813</v>
      </c>
      <c r="E1484" s="1" t="s">
        <v>4814</v>
      </c>
      <c r="F1484" s="1" t="s">
        <v>155</v>
      </c>
      <c r="G1484" s="1" t="s">
        <v>61</v>
      </c>
      <c r="H1484" s="1" t="s">
        <v>37</v>
      </c>
      <c r="I1484" s="1" t="s">
        <v>16</v>
      </c>
      <c r="J1484" s="1">
        <v>1</v>
      </c>
      <c r="K1484" s="1">
        <v>6</v>
      </c>
      <c r="L1484" s="1" t="s">
        <v>31</v>
      </c>
      <c r="M1484" s="1" t="s">
        <v>18</v>
      </c>
      <c r="N1484" s="1" t="s">
        <v>18</v>
      </c>
      <c r="O1484" s="1">
        <v>2</v>
      </c>
      <c r="P1484" s="1">
        <v>7</v>
      </c>
      <c r="Q1484" s="7" t="s">
        <v>17633</v>
      </c>
      <c r="R1484" s="1" t="s">
        <v>62</v>
      </c>
      <c r="S1484" s="1" t="s">
        <v>63</v>
      </c>
      <c r="T1484" s="1" t="s">
        <v>21</v>
      </c>
      <c r="U1484" s="1" t="s">
        <v>22</v>
      </c>
      <c r="V1484" s="1" t="s">
        <v>24</v>
      </c>
      <c r="W1484" s="1" t="s">
        <v>24</v>
      </c>
      <c r="X1484" s="1">
        <v>1307</v>
      </c>
      <c r="Y1484" s="1" t="s">
        <v>24</v>
      </c>
      <c r="Z1484" s="1" t="s">
        <v>24</v>
      </c>
      <c r="AA1484" s="1" t="s">
        <v>24</v>
      </c>
      <c r="AB1484" s="1" t="s">
        <v>24</v>
      </c>
      <c r="AC1484" s="1" t="s">
        <v>24</v>
      </c>
      <c r="AD1484" s="1" t="s">
        <v>24</v>
      </c>
      <c r="AE1484" s="1" t="s">
        <v>24</v>
      </c>
      <c r="AF1484" s="22"/>
    </row>
    <row r="1485" spans="1:32" x14ac:dyDescent="0.2">
      <c r="A1485" s="1">
        <v>9088</v>
      </c>
      <c r="B1485" s="1" t="s">
        <v>4815</v>
      </c>
      <c r="C1485" s="5" t="s">
        <v>0</v>
      </c>
      <c r="D1485" s="1" t="s">
        <v>4816</v>
      </c>
      <c r="F1485" s="1" t="s">
        <v>4817</v>
      </c>
      <c r="G1485" s="1" t="s">
        <v>4817</v>
      </c>
      <c r="H1485" s="1" t="s">
        <v>30</v>
      </c>
      <c r="I1485" s="1" t="s">
        <v>16</v>
      </c>
      <c r="J1485" s="1">
        <v>1</v>
      </c>
      <c r="K1485" s="1">
        <v>12</v>
      </c>
      <c r="L1485" s="1" t="s">
        <v>42</v>
      </c>
      <c r="M1485" s="1" t="s">
        <v>18</v>
      </c>
      <c r="N1485" s="1" t="s">
        <v>18</v>
      </c>
      <c r="O1485" s="1">
        <v>2</v>
      </c>
      <c r="P1485" s="1">
        <v>6</v>
      </c>
      <c r="R1485" s="1" t="s">
        <v>19</v>
      </c>
      <c r="S1485" s="1" t="s">
        <v>63</v>
      </c>
      <c r="T1485" s="1" t="s">
        <v>21</v>
      </c>
      <c r="U1485" s="1" t="s">
        <v>22</v>
      </c>
      <c r="V1485" s="1" t="s">
        <v>23</v>
      </c>
      <c r="W1485" s="1" t="s">
        <v>24</v>
      </c>
      <c r="X1485" s="1">
        <v>2730</v>
      </c>
      <c r="Y1485" s="1">
        <v>1306</v>
      </c>
      <c r="Z1485" s="1" t="s">
        <v>24</v>
      </c>
      <c r="AA1485" s="1" t="s">
        <v>24</v>
      </c>
      <c r="AB1485" s="1" t="s">
        <v>24</v>
      </c>
      <c r="AC1485" s="1" t="s">
        <v>24</v>
      </c>
      <c r="AD1485" s="1" t="s">
        <v>24</v>
      </c>
      <c r="AE1485" s="1" t="s">
        <v>24</v>
      </c>
      <c r="AF1485" s="22"/>
    </row>
    <row r="1486" spans="1:32" x14ac:dyDescent="0.2">
      <c r="A1486" s="1">
        <v>9097</v>
      </c>
      <c r="B1486" s="1" t="s">
        <v>4818</v>
      </c>
      <c r="C1486" s="5" t="s">
        <v>0</v>
      </c>
      <c r="D1486" s="1" t="s">
        <v>4819</v>
      </c>
      <c r="F1486" s="1" t="s">
        <v>1289</v>
      </c>
      <c r="G1486" s="1" t="s">
        <v>1289</v>
      </c>
      <c r="H1486" s="1" t="s">
        <v>684</v>
      </c>
      <c r="I1486" s="1" t="s">
        <v>16</v>
      </c>
      <c r="J1486" s="1">
        <v>1</v>
      </c>
      <c r="K1486" s="1">
        <v>2</v>
      </c>
      <c r="L1486" s="1" t="s">
        <v>17</v>
      </c>
      <c r="M1486" s="1" t="s">
        <v>852</v>
      </c>
      <c r="N1486" s="1" t="s">
        <v>685</v>
      </c>
      <c r="O1486" s="1">
        <v>0</v>
      </c>
      <c r="P1486" s="1">
        <v>4</v>
      </c>
      <c r="R1486" s="1" t="s">
        <v>19</v>
      </c>
      <c r="S1486" s="1" t="s">
        <v>20</v>
      </c>
      <c r="T1486" s="1" t="s">
        <v>21</v>
      </c>
      <c r="U1486" s="1" t="s">
        <v>22</v>
      </c>
      <c r="V1486" s="1" t="s">
        <v>24</v>
      </c>
      <c r="W1486" s="1" t="s">
        <v>24</v>
      </c>
      <c r="X1486" s="1">
        <v>2715</v>
      </c>
      <c r="Y1486" s="1" t="s">
        <v>24</v>
      </c>
      <c r="Z1486" s="1" t="s">
        <v>24</v>
      </c>
      <c r="AA1486" s="1" t="s">
        <v>24</v>
      </c>
      <c r="AB1486" s="1" t="s">
        <v>24</v>
      </c>
      <c r="AC1486" s="1" t="s">
        <v>24</v>
      </c>
      <c r="AD1486" s="1" t="s">
        <v>24</v>
      </c>
      <c r="AE1486" s="1" t="s">
        <v>24</v>
      </c>
      <c r="AF1486" s="22"/>
    </row>
    <row r="1487" spans="1:32" x14ac:dyDescent="0.2">
      <c r="A1487" s="1">
        <v>9098</v>
      </c>
      <c r="B1487" s="1" t="s">
        <v>4820</v>
      </c>
      <c r="C1487" s="5" t="s">
        <v>0</v>
      </c>
      <c r="D1487" s="1" t="s">
        <v>4821</v>
      </c>
      <c r="F1487" s="1" t="s">
        <v>4679</v>
      </c>
      <c r="G1487" s="1" t="s">
        <v>4680</v>
      </c>
      <c r="H1487" s="1" t="s">
        <v>445</v>
      </c>
      <c r="I1487" s="1" t="s">
        <v>16</v>
      </c>
      <c r="J1487" s="1">
        <v>1</v>
      </c>
      <c r="K1487" s="1">
        <v>3</v>
      </c>
      <c r="L1487" s="1" t="s">
        <v>31</v>
      </c>
      <c r="M1487" s="1" t="s">
        <v>18</v>
      </c>
      <c r="N1487" s="1" t="s">
        <v>18</v>
      </c>
      <c r="O1487" s="1">
        <v>2</v>
      </c>
      <c r="P1487" s="1">
        <v>6</v>
      </c>
      <c r="R1487" s="1" t="s">
        <v>19</v>
      </c>
      <c r="S1487" s="1" t="s">
        <v>20</v>
      </c>
      <c r="T1487" s="1" t="s">
        <v>21</v>
      </c>
      <c r="U1487" s="1" t="s">
        <v>22</v>
      </c>
      <c r="V1487" s="1" t="s">
        <v>24</v>
      </c>
      <c r="W1487" s="1" t="s">
        <v>24</v>
      </c>
      <c r="X1487" s="1">
        <v>2736</v>
      </c>
      <c r="Y1487" s="1" t="s">
        <v>24</v>
      </c>
      <c r="Z1487" s="1" t="s">
        <v>24</v>
      </c>
      <c r="AA1487" s="1" t="s">
        <v>24</v>
      </c>
      <c r="AB1487" s="1" t="s">
        <v>24</v>
      </c>
      <c r="AC1487" s="1" t="s">
        <v>24</v>
      </c>
      <c r="AD1487" s="1" t="s">
        <v>24</v>
      </c>
      <c r="AE1487" s="1" t="s">
        <v>24</v>
      </c>
      <c r="AF1487" s="22"/>
    </row>
    <row r="1488" spans="1:32" x14ac:dyDescent="0.2">
      <c r="A1488" s="1">
        <v>9106</v>
      </c>
      <c r="B1488" s="1" t="s">
        <v>4822</v>
      </c>
      <c r="C1488" s="5" t="s">
        <v>0</v>
      </c>
      <c r="D1488" s="1" t="s">
        <v>4823</v>
      </c>
      <c r="F1488" s="1" t="s">
        <v>4824</v>
      </c>
      <c r="G1488" s="1" t="s">
        <v>4824</v>
      </c>
      <c r="H1488" s="1" t="s">
        <v>168</v>
      </c>
      <c r="I1488" s="1" t="s">
        <v>16</v>
      </c>
      <c r="J1488" s="1">
        <v>1</v>
      </c>
      <c r="K1488" s="1">
        <v>12</v>
      </c>
      <c r="L1488" s="1" t="s">
        <v>17</v>
      </c>
      <c r="M1488" s="1" t="s">
        <v>413</v>
      </c>
      <c r="N1488" s="1" t="s">
        <v>679</v>
      </c>
      <c r="O1488" s="1">
        <v>2</v>
      </c>
      <c r="P1488" s="1">
        <v>5</v>
      </c>
      <c r="R1488" s="1" t="s">
        <v>19</v>
      </c>
      <c r="S1488" s="1" t="s">
        <v>20</v>
      </c>
      <c r="T1488" s="1" t="s">
        <v>21</v>
      </c>
      <c r="U1488" s="1" t="s">
        <v>22</v>
      </c>
      <c r="V1488" s="1" t="s">
        <v>23</v>
      </c>
      <c r="W1488" s="1" t="s">
        <v>24</v>
      </c>
      <c r="X1488" s="1">
        <v>2736</v>
      </c>
      <c r="Y1488" s="1">
        <v>2920</v>
      </c>
      <c r="Z1488" s="1">
        <v>3001</v>
      </c>
      <c r="AA1488" s="1" t="s">
        <v>24</v>
      </c>
      <c r="AB1488" s="1" t="s">
        <v>24</v>
      </c>
      <c r="AC1488" s="1" t="s">
        <v>24</v>
      </c>
      <c r="AD1488" s="1" t="s">
        <v>24</v>
      </c>
      <c r="AE1488" s="1" t="s">
        <v>24</v>
      </c>
      <c r="AF1488" s="22"/>
    </row>
    <row r="1489" spans="1:32" x14ac:dyDescent="0.2">
      <c r="A1489" s="1">
        <v>9113</v>
      </c>
      <c r="B1489" s="1" t="s">
        <v>4825</v>
      </c>
      <c r="C1489" s="5" t="s">
        <v>0</v>
      </c>
      <c r="D1489" s="1" t="s">
        <v>4826</v>
      </c>
      <c r="E1489" s="1" t="s">
        <v>4827</v>
      </c>
      <c r="F1489" s="1" t="s">
        <v>4828</v>
      </c>
      <c r="G1489" s="1" t="s">
        <v>4828</v>
      </c>
      <c r="H1489" s="1" t="s">
        <v>30</v>
      </c>
      <c r="I1489" s="1" t="s">
        <v>16</v>
      </c>
      <c r="J1489" s="1">
        <v>1</v>
      </c>
      <c r="K1489" s="1">
        <v>12</v>
      </c>
      <c r="L1489" s="1" t="s">
        <v>42</v>
      </c>
      <c r="M1489" s="1" t="s">
        <v>18</v>
      </c>
      <c r="N1489" s="1" t="s">
        <v>18</v>
      </c>
      <c r="O1489" s="1">
        <v>0</v>
      </c>
      <c r="P1489" s="1">
        <v>5</v>
      </c>
      <c r="R1489" s="1" t="s">
        <v>19</v>
      </c>
      <c r="S1489" s="1" t="s">
        <v>20</v>
      </c>
      <c r="T1489" s="1" t="s">
        <v>21</v>
      </c>
      <c r="U1489" s="1" t="s">
        <v>22</v>
      </c>
      <c r="V1489" s="1" t="s">
        <v>23</v>
      </c>
      <c r="W1489" s="1" t="s">
        <v>24</v>
      </c>
      <c r="X1489" s="1">
        <v>3003</v>
      </c>
      <c r="Y1489" s="1">
        <v>3004</v>
      </c>
      <c r="Z1489" s="1" t="s">
        <v>24</v>
      </c>
      <c r="AA1489" s="1" t="s">
        <v>24</v>
      </c>
      <c r="AB1489" s="1" t="s">
        <v>24</v>
      </c>
      <c r="AC1489" s="1" t="s">
        <v>24</v>
      </c>
      <c r="AD1489" s="1" t="s">
        <v>24</v>
      </c>
      <c r="AE1489" s="1" t="s">
        <v>24</v>
      </c>
      <c r="AF1489" s="22"/>
    </row>
    <row r="1490" spans="1:32" x14ac:dyDescent="0.2">
      <c r="A1490" s="1">
        <v>9123</v>
      </c>
      <c r="B1490" s="1" t="s">
        <v>4829</v>
      </c>
      <c r="C1490" s="5" t="s">
        <v>0</v>
      </c>
      <c r="D1490" s="1" t="s">
        <v>4830</v>
      </c>
      <c r="F1490" s="1" t="s">
        <v>4831</v>
      </c>
      <c r="G1490" s="1" t="s">
        <v>4832</v>
      </c>
      <c r="H1490" s="1" t="s">
        <v>37</v>
      </c>
      <c r="I1490" s="1" t="s">
        <v>16</v>
      </c>
      <c r="J1490" s="1">
        <v>1</v>
      </c>
      <c r="K1490" s="1">
        <v>54</v>
      </c>
      <c r="L1490" s="1" t="s">
        <v>17</v>
      </c>
      <c r="M1490" s="1" t="s">
        <v>18</v>
      </c>
      <c r="N1490" s="1" t="s">
        <v>18</v>
      </c>
      <c r="O1490" s="1">
        <v>0</v>
      </c>
      <c r="P1490" s="1">
        <v>6</v>
      </c>
      <c r="R1490" s="1" t="s">
        <v>19</v>
      </c>
      <c r="S1490" s="1" t="s">
        <v>20</v>
      </c>
      <c r="T1490" s="1" t="s">
        <v>21</v>
      </c>
      <c r="U1490" s="1" t="s">
        <v>22</v>
      </c>
      <c r="V1490" s="1" t="s">
        <v>24</v>
      </c>
      <c r="W1490" s="1" t="s">
        <v>24</v>
      </c>
      <c r="X1490" s="1">
        <v>3003</v>
      </c>
      <c r="Y1490" s="1">
        <v>3004</v>
      </c>
      <c r="Z1490" s="1" t="s">
        <v>24</v>
      </c>
      <c r="AA1490" s="1" t="s">
        <v>24</v>
      </c>
      <c r="AB1490" s="1" t="s">
        <v>24</v>
      </c>
      <c r="AC1490" s="1" t="s">
        <v>24</v>
      </c>
      <c r="AD1490" s="1" t="s">
        <v>24</v>
      </c>
      <c r="AE1490" s="1" t="s">
        <v>24</v>
      </c>
      <c r="AF1490" s="22"/>
    </row>
    <row r="1491" spans="1:32" x14ac:dyDescent="0.2">
      <c r="A1491" s="1">
        <v>9134</v>
      </c>
      <c r="B1491" s="1" t="s">
        <v>4833</v>
      </c>
      <c r="C1491" s="5" t="s">
        <v>0</v>
      </c>
      <c r="D1491" s="1" t="s">
        <v>4834</v>
      </c>
      <c r="E1491" s="1" t="s">
        <v>4835</v>
      </c>
      <c r="F1491" s="1" t="s">
        <v>167</v>
      </c>
      <c r="G1491" s="1" t="s">
        <v>130</v>
      </c>
      <c r="H1491" s="1" t="s">
        <v>168</v>
      </c>
      <c r="I1491" s="1" t="s">
        <v>112</v>
      </c>
      <c r="J1491" s="1">
        <v>0</v>
      </c>
      <c r="K1491" s="1">
        <v>0</v>
      </c>
      <c r="L1491" s="1" t="s">
        <v>31</v>
      </c>
      <c r="M1491" s="1" t="s">
        <v>18</v>
      </c>
      <c r="N1491" s="1" t="s">
        <v>18</v>
      </c>
      <c r="O1491" s="1">
        <v>3</v>
      </c>
      <c r="P1491" s="1">
        <v>7</v>
      </c>
      <c r="Q1491" s="7" t="s">
        <v>17633</v>
      </c>
      <c r="R1491" s="1" t="s">
        <v>62</v>
      </c>
      <c r="S1491" s="1" t="s">
        <v>20</v>
      </c>
      <c r="T1491" s="1" t="s">
        <v>21</v>
      </c>
      <c r="U1491" s="1" t="s">
        <v>22</v>
      </c>
      <c r="V1491" s="1" t="s">
        <v>24</v>
      </c>
      <c r="W1491" s="1" t="s">
        <v>24</v>
      </c>
      <c r="X1491" s="1">
        <v>1303</v>
      </c>
      <c r="Y1491" s="1">
        <v>1314</v>
      </c>
      <c r="Z1491" s="1">
        <v>2737</v>
      </c>
      <c r="AA1491" s="1">
        <v>3004</v>
      </c>
      <c r="AB1491" s="1" t="s">
        <v>24</v>
      </c>
      <c r="AC1491" s="1" t="s">
        <v>24</v>
      </c>
      <c r="AD1491" s="1" t="s">
        <v>24</v>
      </c>
      <c r="AE1491" s="1" t="s">
        <v>24</v>
      </c>
      <c r="AF1491" s="22"/>
    </row>
    <row r="1492" spans="1:32" x14ac:dyDescent="0.2">
      <c r="A1492" s="1">
        <v>9137</v>
      </c>
      <c r="B1492" s="1" t="s">
        <v>4836</v>
      </c>
      <c r="C1492" s="5" t="s">
        <v>0</v>
      </c>
      <c r="D1492" s="1" t="s">
        <v>4837</v>
      </c>
      <c r="F1492" s="1" t="s">
        <v>4838</v>
      </c>
      <c r="G1492" s="1" t="s">
        <v>4839</v>
      </c>
      <c r="H1492" s="1" t="s">
        <v>116</v>
      </c>
      <c r="I1492" s="1" t="s">
        <v>16</v>
      </c>
      <c r="J1492" s="1">
        <v>1</v>
      </c>
      <c r="K1492" s="1">
        <v>8</v>
      </c>
      <c r="L1492" s="1" t="s">
        <v>42</v>
      </c>
      <c r="M1492" s="1" t="s">
        <v>18</v>
      </c>
      <c r="N1492" s="1" t="s">
        <v>18</v>
      </c>
      <c r="O1492" s="1">
        <v>3</v>
      </c>
      <c r="P1492" s="1">
        <v>8</v>
      </c>
      <c r="Q1492" s="7" t="s">
        <v>17633</v>
      </c>
      <c r="R1492" s="1" t="s">
        <v>19</v>
      </c>
      <c r="S1492" s="1" t="s">
        <v>20</v>
      </c>
      <c r="T1492" s="1" t="s">
        <v>21</v>
      </c>
      <c r="U1492" s="1" t="s">
        <v>22</v>
      </c>
      <c r="V1492" s="1" t="s">
        <v>24</v>
      </c>
      <c r="W1492" s="1" t="s">
        <v>24</v>
      </c>
      <c r="X1492" s="1">
        <v>1309</v>
      </c>
      <c r="Y1492" s="1">
        <v>2710</v>
      </c>
      <c r="Z1492" s="1" t="s">
        <v>24</v>
      </c>
      <c r="AA1492" s="1" t="s">
        <v>24</v>
      </c>
      <c r="AB1492" s="1" t="s">
        <v>24</v>
      </c>
      <c r="AC1492" s="1" t="s">
        <v>24</v>
      </c>
      <c r="AD1492" s="1" t="s">
        <v>24</v>
      </c>
      <c r="AE1492" s="1" t="s">
        <v>24</v>
      </c>
      <c r="AF1492" s="22"/>
    </row>
    <row r="1493" spans="1:32" x14ac:dyDescent="0.2">
      <c r="A1493" s="1">
        <v>9158</v>
      </c>
      <c r="B1493" s="1" t="s">
        <v>4840</v>
      </c>
      <c r="C1493" s="5" t="s">
        <v>0</v>
      </c>
      <c r="D1493" s="1" t="s">
        <v>4841</v>
      </c>
      <c r="E1493" s="1" t="s">
        <v>4842</v>
      </c>
      <c r="F1493" s="1" t="s">
        <v>618</v>
      </c>
      <c r="G1493" s="1" t="s">
        <v>619</v>
      </c>
      <c r="H1493" s="1" t="s">
        <v>30</v>
      </c>
      <c r="I1493" s="1" t="s">
        <v>112</v>
      </c>
      <c r="J1493" s="1">
        <v>1</v>
      </c>
      <c r="K1493" s="1">
        <v>1</v>
      </c>
      <c r="L1493" s="1" t="s">
        <v>31</v>
      </c>
      <c r="M1493" s="1" t="s">
        <v>18</v>
      </c>
      <c r="N1493" s="1" t="s">
        <v>18</v>
      </c>
      <c r="O1493" s="1">
        <v>3</v>
      </c>
      <c r="P1493" s="1">
        <v>8</v>
      </c>
      <c r="Q1493" s="7" t="s">
        <v>17633</v>
      </c>
      <c r="R1493" s="1" t="s">
        <v>62</v>
      </c>
      <c r="S1493" s="1" t="s">
        <v>20</v>
      </c>
      <c r="T1493" s="1" t="s">
        <v>21</v>
      </c>
      <c r="U1493" s="1" t="s">
        <v>22</v>
      </c>
      <c r="V1493" s="1" t="s">
        <v>23</v>
      </c>
      <c r="W1493" s="1" t="s">
        <v>24</v>
      </c>
      <c r="X1493" s="1">
        <v>2701</v>
      </c>
      <c r="Y1493" s="1">
        <v>2916</v>
      </c>
      <c r="Z1493" s="1" t="s">
        <v>24</v>
      </c>
      <c r="AA1493" s="1" t="s">
        <v>24</v>
      </c>
      <c r="AB1493" s="1" t="s">
        <v>24</v>
      </c>
      <c r="AC1493" s="1" t="s">
        <v>24</v>
      </c>
      <c r="AD1493" s="1" t="s">
        <v>24</v>
      </c>
      <c r="AE1493" s="1" t="s">
        <v>24</v>
      </c>
      <c r="AF1493" s="22"/>
    </row>
    <row r="1494" spans="1:32" x14ac:dyDescent="0.2">
      <c r="A1494" s="1">
        <v>9160</v>
      </c>
      <c r="B1494" s="1" t="s">
        <v>4843</v>
      </c>
      <c r="C1494" s="5" t="s">
        <v>0</v>
      </c>
      <c r="D1494" s="1" t="s">
        <v>4844</v>
      </c>
      <c r="E1494" s="1" t="s">
        <v>4845</v>
      </c>
      <c r="F1494" s="1" t="s">
        <v>618</v>
      </c>
      <c r="G1494" s="1" t="s">
        <v>619</v>
      </c>
      <c r="H1494" s="1" t="s">
        <v>30</v>
      </c>
      <c r="I1494" s="1" t="s">
        <v>112</v>
      </c>
      <c r="J1494" s="1">
        <v>1</v>
      </c>
      <c r="K1494" s="1">
        <v>1</v>
      </c>
      <c r="L1494" s="1" t="s">
        <v>31</v>
      </c>
      <c r="M1494" s="1" t="s">
        <v>18</v>
      </c>
      <c r="N1494" s="1" t="s">
        <v>18</v>
      </c>
      <c r="O1494" s="1">
        <v>3</v>
      </c>
      <c r="P1494" s="1">
        <v>8</v>
      </c>
      <c r="Q1494" s="7" t="s">
        <v>17633</v>
      </c>
      <c r="R1494" s="1" t="s">
        <v>62</v>
      </c>
      <c r="S1494" s="1" t="s">
        <v>20</v>
      </c>
      <c r="T1494" s="1" t="s">
        <v>21</v>
      </c>
      <c r="U1494" s="1" t="s">
        <v>22</v>
      </c>
      <c r="V1494" s="1" t="s">
        <v>24</v>
      </c>
      <c r="W1494" s="1" t="s">
        <v>24</v>
      </c>
      <c r="X1494" s="1">
        <v>2404</v>
      </c>
      <c r="Y1494" s="1" t="s">
        <v>24</v>
      </c>
      <c r="Z1494" s="1" t="s">
        <v>24</v>
      </c>
      <c r="AA1494" s="1" t="s">
        <v>24</v>
      </c>
      <c r="AB1494" s="1" t="s">
        <v>24</v>
      </c>
      <c r="AC1494" s="1" t="s">
        <v>24</v>
      </c>
      <c r="AD1494" s="1" t="s">
        <v>24</v>
      </c>
      <c r="AE1494" s="1" t="s">
        <v>24</v>
      </c>
      <c r="AF1494" s="22"/>
    </row>
    <row r="1495" spans="1:32" x14ac:dyDescent="0.2">
      <c r="A1495" s="1">
        <v>9161</v>
      </c>
      <c r="B1495" s="1" t="s">
        <v>4846</v>
      </c>
      <c r="C1495" s="5" t="s">
        <v>0</v>
      </c>
      <c r="D1495" s="1" t="s">
        <v>4847</v>
      </c>
      <c r="E1495" s="1" t="s">
        <v>4848</v>
      </c>
      <c r="F1495" s="1" t="s">
        <v>618</v>
      </c>
      <c r="G1495" s="1" t="s">
        <v>619</v>
      </c>
      <c r="H1495" s="1" t="s">
        <v>30</v>
      </c>
      <c r="I1495" s="1" t="s">
        <v>112</v>
      </c>
      <c r="J1495" s="1">
        <v>1</v>
      </c>
      <c r="K1495" s="1">
        <v>1</v>
      </c>
      <c r="L1495" s="1" t="s">
        <v>31</v>
      </c>
      <c r="M1495" s="1" t="s">
        <v>18</v>
      </c>
      <c r="N1495" s="1" t="s">
        <v>18</v>
      </c>
      <c r="O1495" s="1">
        <v>2</v>
      </c>
      <c r="P1495" s="1">
        <v>8</v>
      </c>
      <c r="Q1495" s="7" t="s">
        <v>17633</v>
      </c>
      <c r="R1495" s="1" t="s">
        <v>62</v>
      </c>
      <c r="S1495" s="1" t="s">
        <v>20</v>
      </c>
      <c r="T1495" s="1" t="s">
        <v>21</v>
      </c>
      <c r="U1495" s="1" t="s">
        <v>22</v>
      </c>
      <c r="V1495" s="1" t="s">
        <v>24</v>
      </c>
      <c r="W1495" s="1" t="s">
        <v>24</v>
      </c>
      <c r="X1495" s="1">
        <v>1311</v>
      </c>
      <c r="Y1495" s="1" t="s">
        <v>24</v>
      </c>
      <c r="Z1495" s="1" t="s">
        <v>24</v>
      </c>
      <c r="AA1495" s="1" t="s">
        <v>24</v>
      </c>
      <c r="AB1495" s="1" t="s">
        <v>24</v>
      </c>
      <c r="AC1495" s="1" t="s">
        <v>24</v>
      </c>
      <c r="AD1495" s="1" t="s">
        <v>24</v>
      </c>
      <c r="AE1495" s="1" t="s">
        <v>24</v>
      </c>
      <c r="AF1495" s="22"/>
    </row>
    <row r="1496" spans="1:32" x14ac:dyDescent="0.2">
      <c r="A1496" s="1">
        <v>9163</v>
      </c>
      <c r="B1496" s="1" t="s">
        <v>4849</v>
      </c>
      <c r="C1496" s="5" t="s">
        <v>0</v>
      </c>
      <c r="D1496" s="1" t="s">
        <v>4850</v>
      </c>
      <c r="E1496" s="1" t="s">
        <v>4851</v>
      </c>
      <c r="F1496" s="1" t="s">
        <v>35</v>
      </c>
      <c r="G1496" s="1" t="s">
        <v>36</v>
      </c>
      <c r="H1496" s="1" t="s">
        <v>37</v>
      </c>
      <c r="I1496" s="1" t="s">
        <v>16</v>
      </c>
      <c r="J1496" s="1">
        <v>1</v>
      </c>
      <c r="K1496" s="1">
        <v>6</v>
      </c>
      <c r="L1496" s="1" t="s">
        <v>31</v>
      </c>
      <c r="M1496" s="1" t="s">
        <v>18</v>
      </c>
      <c r="N1496" s="1" t="s">
        <v>18</v>
      </c>
      <c r="O1496" s="1">
        <v>3</v>
      </c>
      <c r="P1496" s="1">
        <v>7</v>
      </c>
      <c r="Q1496" s="7" t="s">
        <v>17633</v>
      </c>
      <c r="R1496" s="1" t="s">
        <v>19</v>
      </c>
      <c r="S1496" s="1" t="s">
        <v>20</v>
      </c>
      <c r="T1496" s="1" t="s">
        <v>21</v>
      </c>
      <c r="U1496" s="1" t="s">
        <v>22</v>
      </c>
      <c r="V1496" s="1" t="s">
        <v>24</v>
      </c>
      <c r="W1496" s="1" t="s">
        <v>24</v>
      </c>
      <c r="X1496" s="1">
        <v>3004</v>
      </c>
      <c r="Y1496" s="1">
        <v>3400</v>
      </c>
      <c r="Z1496" s="1" t="s">
        <v>24</v>
      </c>
      <c r="AA1496" s="1" t="s">
        <v>24</v>
      </c>
      <c r="AB1496" s="1" t="s">
        <v>24</v>
      </c>
      <c r="AC1496" s="1" t="s">
        <v>24</v>
      </c>
      <c r="AD1496" s="1" t="s">
        <v>24</v>
      </c>
      <c r="AE1496" s="1" t="s">
        <v>24</v>
      </c>
      <c r="AF1496" s="22"/>
    </row>
    <row r="1497" spans="1:32" x14ac:dyDescent="0.2">
      <c r="A1497" s="1">
        <v>9164</v>
      </c>
      <c r="B1497" s="1" t="s">
        <v>4852</v>
      </c>
      <c r="C1497" s="5" t="s">
        <v>0</v>
      </c>
      <c r="D1497" s="1" t="s">
        <v>4853</v>
      </c>
      <c r="F1497" s="1" t="s">
        <v>4854</v>
      </c>
      <c r="G1497" s="1" t="s">
        <v>4854</v>
      </c>
      <c r="H1497" s="1" t="s">
        <v>184</v>
      </c>
      <c r="I1497" s="1" t="s">
        <v>16</v>
      </c>
      <c r="J1497" s="1">
        <v>0</v>
      </c>
      <c r="K1497" s="1">
        <v>0</v>
      </c>
      <c r="L1497" s="1" t="s">
        <v>17</v>
      </c>
      <c r="M1497" s="1" t="s">
        <v>18</v>
      </c>
      <c r="N1497" s="1" t="s">
        <v>18</v>
      </c>
      <c r="O1497" s="1">
        <v>3</v>
      </c>
      <c r="P1497" s="1">
        <v>7</v>
      </c>
      <c r="Q1497" s="7" t="s">
        <v>17633</v>
      </c>
      <c r="R1497" s="1" t="s">
        <v>19</v>
      </c>
      <c r="S1497" s="1" t="s">
        <v>20</v>
      </c>
      <c r="T1497" s="1" t="s">
        <v>21</v>
      </c>
      <c r="U1497" s="1" t="s">
        <v>22</v>
      </c>
      <c r="V1497" s="1" t="s">
        <v>24</v>
      </c>
      <c r="W1497" s="1" t="s">
        <v>24</v>
      </c>
      <c r="X1497" s="1">
        <v>2708</v>
      </c>
      <c r="Y1497" s="1" t="s">
        <v>24</v>
      </c>
      <c r="Z1497" s="1" t="s">
        <v>24</v>
      </c>
      <c r="AA1497" s="1" t="s">
        <v>24</v>
      </c>
      <c r="AB1497" s="1" t="s">
        <v>24</v>
      </c>
      <c r="AC1497" s="1" t="s">
        <v>24</v>
      </c>
      <c r="AD1497" s="1" t="s">
        <v>24</v>
      </c>
      <c r="AE1497" s="1" t="s">
        <v>24</v>
      </c>
      <c r="AF1497" s="22"/>
    </row>
    <row r="1498" spans="1:32" x14ac:dyDescent="0.2">
      <c r="A1498" s="1">
        <v>9177</v>
      </c>
      <c r="B1498" s="1" t="s">
        <v>4855</v>
      </c>
      <c r="C1498" s="5" t="s">
        <v>0</v>
      </c>
      <c r="D1498" s="1" t="s">
        <v>4856</v>
      </c>
      <c r="E1498" s="1" t="s">
        <v>4857</v>
      </c>
      <c r="F1498" s="1" t="s">
        <v>272</v>
      </c>
      <c r="G1498" s="1" t="s">
        <v>61</v>
      </c>
      <c r="H1498" s="1" t="s">
        <v>30</v>
      </c>
      <c r="I1498" s="1" t="s">
        <v>16</v>
      </c>
      <c r="J1498" s="1">
        <v>1</v>
      </c>
      <c r="K1498" s="1">
        <v>12</v>
      </c>
      <c r="L1498" s="1" t="s">
        <v>31</v>
      </c>
      <c r="M1498" s="1" t="s">
        <v>18</v>
      </c>
      <c r="N1498" s="1" t="s">
        <v>18</v>
      </c>
      <c r="O1498" s="1">
        <v>3</v>
      </c>
      <c r="P1498" s="1">
        <v>8</v>
      </c>
      <c r="Q1498" s="7" t="s">
        <v>17633</v>
      </c>
      <c r="R1498" s="1" t="s">
        <v>62</v>
      </c>
      <c r="S1498" s="1" t="s">
        <v>63</v>
      </c>
      <c r="T1498" s="1" t="s">
        <v>21</v>
      </c>
      <c r="U1498" s="1" t="s">
        <v>22</v>
      </c>
      <c r="V1498" s="1" t="s">
        <v>24</v>
      </c>
      <c r="W1498" s="1" t="s">
        <v>24</v>
      </c>
      <c r="X1498" s="1">
        <v>1307</v>
      </c>
      <c r="Y1498" s="1" t="s">
        <v>24</v>
      </c>
      <c r="Z1498" s="1" t="s">
        <v>24</v>
      </c>
      <c r="AA1498" s="1" t="s">
        <v>24</v>
      </c>
      <c r="AB1498" s="1" t="s">
        <v>24</v>
      </c>
      <c r="AC1498" s="1" t="s">
        <v>24</v>
      </c>
      <c r="AD1498" s="1" t="s">
        <v>24</v>
      </c>
      <c r="AE1498" s="1" t="s">
        <v>24</v>
      </c>
      <c r="AF1498" s="22"/>
    </row>
    <row r="1499" spans="1:32" x14ac:dyDescent="0.2">
      <c r="A1499" s="1">
        <v>9178</v>
      </c>
      <c r="B1499" s="1" t="s">
        <v>4858</v>
      </c>
      <c r="C1499" s="5" t="s">
        <v>0</v>
      </c>
      <c r="D1499" s="1" t="s">
        <v>4859</v>
      </c>
      <c r="E1499" s="1" t="s">
        <v>4860</v>
      </c>
      <c r="F1499" s="1" t="s">
        <v>190</v>
      </c>
      <c r="G1499" s="1" t="s">
        <v>130</v>
      </c>
      <c r="H1499" s="1" t="s">
        <v>30</v>
      </c>
      <c r="I1499" s="1" t="s">
        <v>16</v>
      </c>
      <c r="J1499" s="1">
        <v>1</v>
      </c>
      <c r="K1499" s="1">
        <v>4</v>
      </c>
      <c r="L1499" s="1" t="s">
        <v>31</v>
      </c>
      <c r="M1499" s="1" t="s">
        <v>18</v>
      </c>
      <c r="N1499" s="1" t="s">
        <v>18</v>
      </c>
      <c r="O1499" s="1">
        <v>3</v>
      </c>
      <c r="P1499" s="1">
        <v>7</v>
      </c>
      <c r="Q1499" s="7" t="s">
        <v>17633</v>
      </c>
      <c r="R1499" s="1" t="s">
        <v>19</v>
      </c>
      <c r="S1499" s="1" t="s">
        <v>20</v>
      </c>
      <c r="T1499" s="1" t="s">
        <v>21</v>
      </c>
      <c r="U1499" s="1" t="s">
        <v>22</v>
      </c>
      <c r="V1499" s="1" t="s">
        <v>24</v>
      </c>
      <c r="W1499" s="1" t="s">
        <v>24</v>
      </c>
      <c r="X1499" s="1">
        <v>2728</v>
      </c>
      <c r="Y1499" s="1">
        <v>2702</v>
      </c>
      <c r="Z1499" s="1">
        <v>2808</v>
      </c>
      <c r="AA1499" s="1">
        <v>2741</v>
      </c>
      <c r="AB1499" s="1">
        <v>3614</v>
      </c>
      <c r="AC1499" s="1" t="s">
        <v>24</v>
      </c>
      <c r="AD1499" s="1" t="s">
        <v>24</v>
      </c>
      <c r="AE1499" s="1" t="s">
        <v>24</v>
      </c>
      <c r="AF1499" s="22"/>
    </row>
    <row r="1500" spans="1:32" x14ac:dyDescent="0.2">
      <c r="A1500" s="1">
        <v>9179</v>
      </c>
      <c r="B1500" s="1" t="s">
        <v>4861</v>
      </c>
      <c r="C1500" s="5" t="s">
        <v>0</v>
      </c>
      <c r="D1500" s="1" t="s">
        <v>4862</v>
      </c>
      <c r="E1500" s="1" t="s">
        <v>4863</v>
      </c>
      <c r="F1500" s="1" t="s">
        <v>320</v>
      </c>
      <c r="G1500" s="1" t="s">
        <v>36</v>
      </c>
      <c r="H1500" s="1" t="s">
        <v>30</v>
      </c>
      <c r="I1500" s="1" t="s">
        <v>16</v>
      </c>
      <c r="J1500" s="1">
        <v>1</v>
      </c>
      <c r="K1500" s="1">
        <v>9</v>
      </c>
      <c r="L1500" s="1" t="s">
        <v>31</v>
      </c>
      <c r="M1500" s="1" t="s">
        <v>18</v>
      </c>
      <c r="N1500" s="1" t="s">
        <v>18</v>
      </c>
      <c r="O1500" s="1">
        <v>3</v>
      </c>
      <c r="P1500" s="1">
        <v>7</v>
      </c>
      <c r="Q1500" s="7" t="s">
        <v>17633</v>
      </c>
      <c r="R1500" s="1" t="s">
        <v>19</v>
      </c>
      <c r="S1500" s="1" t="s">
        <v>20</v>
      </c>
      <c r="T1500" s="1" t="s">
        <v>21</v>
      </c>
      <c r="U1500" s="1" t="s">
        <v>22</v>
      </c>
      <c r="V1500" s="1" t="s">
        <v>24</v>
      </c>
      <c r="W1500" s="1" t="s">
        <v>64</v>
      </c>
      <c r="X1500" s="1">
        <v>1605</v>
      </c>
      <c r="Y1500" s="1">
        <v>1602</v>
      </c>
      <c r="Z1500" s="1">
        <v>3002</v>
      </c>
      <c r="AA1500" s="1">
        <v>3004</v>
      </c>
      <c r="AB1500" s="1">
        <v>1503</v>
      </c>
      <c r="AC1500" s="1">
        <v>1607</v>
      </c>
      <c r="AD1500" s="1" t="s">
        <v>24</v>
      </c>
      <c r="AE1500" s="1" t="s">
        <v>24</v>
      </c>
      <c r="AF1500" s="22"/>
    </row>
    <row r="1501" spans="1:32" x14ac:dyDescent="0.2">
      <c r="A1501" s="1">
        <v>9184</v>
      </c>
      <c r="B1501" s="1" t="s">
        <v>4864</v>
      </c>
      <c r="C1501" s="5" t="s">
        <v>0</v>
      </c>
      <c r="D1501" s="1" t="s">
        <v>4865</v>
      </c>
      <c r="E1501" s="1" t="s">
        <v>4866</v>
      </c>
      <c r="F1501" s="1" t="s">
        <v>217</v>
      </c>
      <c r="G1501" s="1" t="s">
        <v>130</v>
      </c>
      <c r="H1501" s="1" t="s">
        <v>92</v>
      </c>
      <c r="I1501" s="1" t="s">
        <v>16</v>
      </c>
      <c r="J1501" s="1">
        <v>1</v>
      </c>
      <c r="K1501" s="1">
        <v>4</v>
      </c>
      <c r="L1501" s="1" t="s">
        <v>31</v>
      </c>
      <c r="M1501" s="1" t="s">
        <v>18</v>
      </c>
      <c r="N1501" s="1" t="s">
        <v>18</v>
      </c>
      <c r="O1501" s="1">
        <v>3</v>
      </c>
      <c r="P1501" s="1">
        <v>7</v>
      </c>
      <c r="Q1501" s="7" t="s">
        <v>17633</v>
      </c>
      <c r="R1501" s="1" t="s">
        <v>62</v>
      </c>
      <c r="S1501" s="1" t="s">
        <v>20</v>
      </c>
      <c r="T1501" s="1" t="s">
        <v>21</v>
      </c>
      <c r="U1501" s="1" t="s">
        <v>22</v>
      </c>
      <c r="V1501" s="1" t="s">
        <v>24</v>
      </c>
      <c r="W1501" s="1" t="s">
        <v>24</v>
      </c>
      <c r="X1501" s="1">
        <v>2730</v>
      </c>
      <c r="Y1501" s="1">
        <v>1306</v>
      </c>
      <c r="Z1501" s="1" t="s">
        <v>24</v>
      </c>
      <c r="AA1501" s="1" t="s">
        <v>24</v>
      </c>
      <c r="AB1501" s="1" t="s">
        <v>24</v>
      </c>
      <c r="AC1501" s="1" t="s">
        <v>24</v>
      </c>
      <c r="AD1501" s="1" t="s">
        <v>24</v>
      </c>
      <c r="AE1501" s="1" t="s">
        <v>24</v>
      </c>
      <c r="AF1501" s="22"/>
    </row>
    <row r="1502" spans="1:32" x14ac:dyDescent="0.2">
      <c r="A1502" s="1">
        <v>9190</v>
      </c>
      <c r="B1502" s="1" t="s">
        <v>4867</v>
      </c>
      <c r="C1502" s="5" t="s">
        <v>0</v>
      </c>
      <c r="D1502" s="1" t="s">
        <v>4868</v>
      </c>
      <c r="E1502" s="1" t="s">
        <v>4869</v>
      </c>
      <c r="F1502" s="1" t="s">
        <v>320</v>
      </c>
      <c r="G1502" s="1" t="s">
        <v>36</v>
      </c>
      <c r="H1502" s="1" t="s">
        <v>30</v>
      </c>
      <c r="I1502" s="1" t="s">
        <v>16</v>
      </c>
      <c r="J1502" s="1">
        <v>3</v>
      </c>
      <c r="K1502" s="1">
        <v>4</v>
      </c>
      <c r="L1502" s="1" t="s">
        <v>31</v>
      </c>
      <c r="M1502" s="1" t="s">
        <v>18</v>
      </c>
      <c r="N1502" s="1" t="s">
        <v>18</v>
      </c>
      <c r="O1502" s="1">
        <v>3</v>
      </c>
      <c r="P1502" s="1">
        <v>8</v>
      </c>
      <c r="Q1502" s="7" t="s">
        <v>17633</v>
      </c>
      <c r="R1502" s="1" t="s">
        <v>19</v>
      </c>
      <c r="S1502" s="1" t="s">
        <v>20</v>
      </c>
      <c r="T1502" s="1" t="s">
        <v>21</v>
      </c>
      <c r="U1502" s="1" t="s">
        <v>22</v>
      </c>
      <c r="V1502" s="1" t="s">
        <v>24</v>
      </c>
      <c r="W1502" s="1" t="s">
        <v>24</v>
      </c>
      <c r="X1502" s="1">
        <v>1311</v>
      </c>
      <c r="Y1502" s="1">
        <v>1309</v>
      </c>
      <c r="Z1502" s="1">
        <v>1307</v>
      </c>
      <c r="AA1502" s="1" t="s">
        <v>24</v>
      </c>
      <c r="AB1502" s="1" t="s">
        <v>24</v>
      </c>
      <c r="AC1502" s="1" t="s">
        <v>24</v>
      </c>
      <c r="AD1502" s="1" t="s">
        <v>24</v>
      </c>
      <c r="AE1502" s="1" t="s">
        <v>24</v>
      </c>
      <c r="AF1502" s="22"/>
    </row>
    <row r="1503" spans="1:32" x14ac:dyDescent="0.2">
      <c r="A1503" s="1">
        <v>9196</v>
      </c>
      <c r="B1503" s="1" t="s">
        <v>4870</v>
      </c>
      <c r="C1503" s="5" t="s">
        <v>0</v>
      </c>
      <c r="D1503" s="1" t="s">
        <v>4871</v>
      </c>
      <c r="F1503" s="1" t="s">
        <v>4872</v>
      </c>
      <c r="G1503" s="1" t="s">
        <v>4873</v>
      </c>
      <c r="H1503" s="1" t="s">
        <v>684</v>
      </c>
      <c r="I1503" s="1" t="s">
        <v>16</v>
      </c>
      <c r="J1503" s="1">
        <v>1</v>
      </c>
      <c r="K1503" s="1">
        <v>4</v>
      </c>
      <c r="L1503" s="1" t="s">
        <v>17</v>
      </c>
      <c r="M1503" s="1" t="s">
        <v>852</v>
      </c>
      <c r="N1503" s="1" t="s">
        <v>18</v>
      </c>
      <c r="O1503" s="1">
        <v>1</v>
      </c>
      <c r="P1503" s="1">
        <v>6</v>
      </c>
      <c r="R1503" s="1" t="s">
        <v>19</v>
      </c>
      <c r="S1503" s="1" t="s">
        <v>20</v>
      </c>
      <c r="T1503" s="1" t="s">
        <v>21</v>
      </c>
      <c r="U1503" s="1" t="s">
        <v>22</v>
      </c>
      <c r="V1503" s="1" t="s">
        <v>24</v>
      </c>
      <c r="W1503" s="1" t="s">
        <v>24</v>
      </c>
      <c r="X1503" s="1">
        <v>2715</v>
      </c>
      <c r="Y1503" s="1">
        <v>2741</v>
      </c>
      <c r="Z1503" s="1" t="s">
        <v>24</v>
      </c>
      <c r="AA1503" s="1" t="s">
        <v>24</v>
      </c>
      <c r="AB1503" s="1" t="s">
        <v>24</v>
      </c>
      <c r="AC1503" s="1" t="s">
        <v>24</v>
      </c>
      <c r="AD1503" s="1" t="s">
        <v>24</v>
      </c>
      <c r="AE1503" s="1" t="s">
        <v>24</v>
      </c>
      <c r="AF1503" s="22"/>
    </row>
    <row r="1504" spans="1:32" x14ac:dyDescent="0.2">
      <c r="A1504" s="1">
        <v>9200</v>
      </c>
      <c r="B1504" s="1" t="s">
        <v>4874</v>
      </c>
      <c r="C1504" s="5" t="s">
        <v>0</v>
      </c>
      <c r="D1504" s="1" t="s">
        <v>4875</v>
      </c>
      <c r="E1504" s="1" t="s">
        <v>4876</v>
      </c>
      <c r="F1504" s="1" t="s">
        <v>856</v>
      </c>
      <c r="G1504" s="1" t="s">
        <v>857</v>
      </c>
      <c r="H1504" s="1" t="s">
        <v>37</v>
      </c>
      <c r="I1504" s="1" t="s">
        <v>16</v>
      </c>
      <c r="J1504" s="1">
        <v>1</v>
      </c>
      <c r="K1504" s="1">
        <v>6</v>
      </c>
      <c r="L1504" s="1" t="s">
        <v>42</v>
      </c>
      <c r="M1504" s="1" t="s">
        <v>18</v>
      </c>
      <c r="N1504" s="1" t="s">
        <v>18</v>
      </c>
      <c r="O1504" s="1">
        <v>2</v>
      </c>
      <c r="P1504" s="1">
        <v>6</v>
      </c>
      <c r="R1504" s="1" t="s">
        <v>19</v>
      </c>
      <c r="S1504" s="1" t="s">
        <v>20</v>
      </c>
      <c r="T1504" s="1" t="s">
        <v>21</v>
      </c>
      <c r="U1504" s="1" t="s">
        <v>22</v>
      </c>
      <c r="V1504" s="1" t="s">
        <v>24</v>
      </c>
      <c r="W1504" s="1" t="s">
        <v>24</v>
      </c>
      <c r="X1504" s="1">
        <v>2736</v>
      </c>
      <c r="Y1504" s="1">
        <v>2725</v>
      </c>
      <c r="Z1504" s="1">
        <v>2730</v>
      </c>
      <c r="AA1504" s="1">
        <v>3004</v>
      </c>
      <c r="AB1504" s="1" t="s">
        <v>24</v>
      </c>
      <c r="AC1504" s="1" t="s">
        <v>24</v>
      </c>
      <c r="AD1504" s="1" t="s">
        <v>24</v>
      </c>
      <c r="AE1504" s="1" t="s">
        <v>24</v>
      </c>
      <c r="AF1504" s="22"/>
    </row>
    <row r="1505" spans="1:32" x14ac:dyDescent="0.2">
      <c r="A1505" s="1">
        <v>9203</v>
      </c>
      <c r="B1505" s="1" t="s">
        <v>4877</v>
      </c>
      <c r="C1505" s="5" t="s">
        <v>0</v>
      </c>
      <c r="D1505" s="1" t="s">
        <v>4878</v>
      </c>
      <c r="E1505" s="1" t="s">
        <v>4879</v>
      </c>
      <c r="F1505" s="1" t="s">
        <v>272</v>
      </c>
      <c r="G1505" s="1" t="s">
        <v>61</v>
      </c>
      <c r="H1505" s="1" t="s">
        <v>30</v>
      </c>
      <c r="I1505" s="1" t="s">
        <v>16</v>
      </c>
      <c r="J1505" s="1">
        <v>1</v>
      </c>
      <c r="K1505" s="1">
        <v>6</v>
      </c>
      <c r="L1505" s="1" t="s">
        <v>31</v>
      </c>
      <c r="M1505" s="1" t="s">
        <v>18</v>
      </c>
      <c r="N1505" s="1" t="s">
        <v>18</v>
      </c>
      <c r="O1505" s="1">
        <v>3</v>
      </c>
      <c r="P1505" s="1">
        <v>7</v>
      </c>
      <c r="Q1505" s="7" t="s">
        <v>17633</v>
      </c>
      <c r="R1505" s="1" t="s">
        <v>19</v>
      </c>
      <c r="S1505" s="1" t="s">
        <v>20</v>
      </c>
      <c r="T1505" s="1" t="s">
        <v>21</v>
      </c>
      <c r="U1505" s="1" t="s">
        <v>22</v>
      </c>
      <c r="V1505" s="1" t="s">
        <v>23</v>
      </c>
      <c r="W1505" s="1" t="s">
        <v>24</v>
      </c>
      <c r="X1505" s="1">
        <v>2741</v>
      </c>
      <c r="Y1505" s="1" t="s">
        <v>24</v>
      </c>
      <c r="Z1505" s="1" t="s">
        <v>24</v>
      </c>
      <c r="AA1505" s="1" t="s">
        <v>24</v>
      </c>
      <c r="AB1505" s="1" t="s">
        <v>24</v>
      </c>
      <c r="AC1505" s="1" t="s">
        <v>24</v>
      </c>
      <c r="AD1505" s="1" t="s">
        <v>24</v>
      </c>
      <c r="AE1505" s="1" t="s">
        <v>24</v>
      </c>
      <c r="AF1505" s="22"/>
    </row>
    <row r="1506" spans="1:32" x14ac:dyDescent="0.2">
      <c r="A1506" s="1">
        <v>9210</v>
      </c>
      <c r="B1506" s="1" t="s">
        <v>4880</v>
      </c>
      <c r="C1506" s="5" t="s">
        <v>0</v>
      </c>
      <c r="D1506" s="1" t="s">
        <v>4881</v>
      </c>
      <c r="E1506" s="1" t="s">
        <v>4882</v>
      </c>
      <c r="F1506" s="1" t="s">
        <v>517</v>
      </c>
      <c r="G1506" s="1" t="s">
        <v>36</v>
      </c>
      <c r="H1506" s="1" t="s">
        <v>30</v>
      </c>
      <c r="I1506" s="1" t="s">
        <v>16</v>
      </c>
      <c r="J1506" s="1">
        <v>1</v>
      </c>
      <c r="K1506" s="1">
        <v>12</v>
      </c>
      <c r="L1506" s="1" t="s">
        <v>31</v>
      </c>
      <c r="M1506" s="1" t="s">
        <v>18</v>
      </c>
      <c r="N1506" s="1" t="s">
        <v>18</v>
      </c>
      <c r="O1506" s="1">
        <v>3</v>
      </c>
      <c r="P1506" s="1">
        <v>6</v>
      </c>
      <c r="R1506" s="1" t="s">
        <v>19</v>
      </c>
      <c r="S1506" s="1" t="s">
        <v>20</v>
      </c>
      <c r="T1506" s="1" t="s">
        <v>21</v>
      </c>
      <c r="U1506" s="1" t="s">
        <v>22</v>
      </c>
      <c r="V1506" s="1" t="s">
        <v>23</v>
      </c>
      <c r="W1506" s="1" t="s">
        <v>24</v>
      </c>
      <c r="X1506" s="1">
        <v>2745</v>
      </c>
      <c r="Y1506" s="1" t="s">
        <v>24</v>
      </c>
      <c r="Z1506" s="1" t="s">
        <v>24</v>
      </c>
      <c r="AA1506" s="1" t="s">
        <v>24</v>
      </c>
      <c r="AB1506" s="1" t="s">
        <v>24</v>
      </c>
      <c r="AC1506" s="1" t="s">
        <v>24</v>
      </c>
      <c r="AD1506" s="1" t="s">
        <v>24</v>
      </c>
      <c r="AE1506" s="1" t="s">
        <v>24</v>
      </c>
      <c r="AF1506" s="22"/>
    </row>
    <row r="1507" spans="1:32" x14ac:dyDescent="0.2">
      <c r="A1507" s="1">
        <v>9212</v>
      </c>
      <c r="B1507" s="1" t="s">
        <v>4883</v>
      </c>
      <c r="C1507" s="5" t="s">
        <v>0</v>
      </c>
      <c r="D1507" s="1" t="s">
        <v>4884</v>
      </c>
      <c r="E1507" s="1" t="s">
        <v>4885</v>
      </c>
      <c r="F1507" s="1" t="s">
        <v>412</v>
      </c>
      <c r="G1507" s="1" t="s">
        <v>372</v>
      </c>
      <c r="H1507" s="1" t="s">
        <v>168</v>
      </c>
      <c r="I1507" s="1" t="s">
        <v>16</v>
      </c>
      <c r="J1507" s="1">
        <v>1</v>
      </c>
      <c r="K1507" s="1">
        <v>12</v>
      </c>
      <c r="L1507" s="1" t="s">
        <v>31</v>
      </c>
      <c r="M1507" s="1" t="s">
        <v>413</v>
      </c>
      <c r="N1507" s="1" t="s">
        <v>18</v>
      </c>
      <c r="O1507" s="1">
        <v>1</v>
      </c>
      <c r="P1507" s="1">
        <v>7</v>
      </c>
      <c r="Q1507" s="7" t="s">
        <v>17633</v>
      </c>
      <c r="R1507" s="1" t="s">
        <v>19</v>
      </c>
      <c r="S1507" s="1" t="s">
        <v>63</v>
      </c>
      <c r="T1507" s="1" t="s">
        <v>21</v>
      </c>
      <c r="U1507" s="1" t="s">
        <v>22</v>
      </c>
      <c r="V1507" s="1" t="s">
        <v>24</v>
      </c>
      <c r="W1507" s="1" t="s">
        <v>24</v>
      </c>
      <c r="X1507" s="1">
        <v>2733</v>
      </c>
      <c r="Y1507" s="1" t="s">
        <v>24</v>
      </c>
      <c r="Z1507" s="1" t="s">
        <v>24</v>
      </c>
      <c r="AA1507" s="1" t="s">
        <v>24</v>
      </c>
      <c r="AB1507" s="1" t="s">
        <v>24</v>
      </c>
      <c r="AC1507" s="1" t="s">
        <v>24</v>
      </c>
      <c r="AD1507" s="1" t="s">
        <v>24</v>
      </c>
      <c r="AE1507" s="1" t="s">
        <v>24</v>
      </c>
      <c r="AF1507" s="22"/>
    </row>
    <row r="1508" spans="1:32" x14ac:dyDescent="0.2">
      <c r="A1508" s="1">
        <v>9215</v>
      </c>
      <c r="B1508" s="1" t="s">
        <v>4886</v>
      </c>
      <c r="C1508" s="5" t="s">
        <v>0</v>
      </c>
      <c r="D1508" s="1" t="s">
        <v>4887</v>
      </c>
      <c r="E1508" s="1" t="s">
        <v>4888</v>
      </c>
      <c r="F1508" s="1" t="s">
        <v>4889</v>
      </c>
      <c r="G1508" s="1" t="s">
        <v>4889</v>
      </c>
      <c r="H1508" s="1" t="s">
        <v>899</v>
      </c>
      <c r="I1508" s="1" t="s">
        <v>16</v>
      </c>
      <c r="J1508" s="1">
        <v>1</v>
      </c>
      <c r="K1508" s="1">
        <v>6</v>
      </c>
      <c r="L1508" s="1" t="s">
        <v>42</v>
      </c>
      <c r="M1508" s="1" t="s">
        <v>18</v>
      </c>
      <c r="N1508" s="1" t="s">
        <v>18</v>
      </c>
      <c r="O1508" s="1">
        <v>2</v>
      </c>
      <c r="P1508" s="1">
        <v>7</v>
      </c>
      <c r="Q1508" s="7" t="s">
        <v>17633</v>
      </c>
      <c r="R1508" s="1" t="s">
        <v>19</v>
      </c>
      <c r="S1508" s="1" t="s">
        <v>20</v>
      </c>
      <c r="T1508" s="1" t="s">
        <v>21</v>
      </c>
      <c r="U1508" s="1" t="s">
        <v>22</v>
      </c>
      <c r="V1508" s="1" t="s">
        <v>23</v>
      </c>
      <c r="W1508" s="1" t="s">
        <v>24</v>
      </c>
      <c r="X1508" s="1">
        <v>2700</v>
      </c>
      <c r="Y1508" s="1" t="s">
        <v>24</v>
      </c>
      <c r="Z1508" s="1" t="s">
        <v>24</v>
      </c>
      <c r="AA1508" s="1" t="s">
        <v>24</v>
      </c>
      <c r="AB1508" s="1" t="s">
        <v>24</v>
      </c>
      <c r="AC1508" s="1" t="s">
        <v>24</v>
      </c>
      <c r="AD1508" s="1" t="s">
        <v>24</v>
      </c>
      <c r="AE1508" s="1" t="s">
        <v>24</v>
      </c>
      <c r="AF1508" s="22"/>
    </row>
    <row r="1509" spans="1:32" x14ac:dyDescent="0.2">
      <c r="A1509" s="1">
        <v>9218</v>
      </c>
      <c r="B1509" s="1" t="s">
        <v>4890</v>
      </c>
      <c r="C1509" s="5" t="s">
        <v>0</v>
      </c>
      <c r="D1509" s="1" t="s">
        <v>4891</v>
      </c>
      <c r="E1509" s="1" t="s">
        <v>4892</v>
      </c>
      <c r="F1509" s="1" t="s">
        <v>35</v>
      </c>
      <c r="G1509" s="1" t="s">
        <v>36</v>
      </c>
      <c r="H1509" s="1" t="s">
        <v>37</v>
      </c>
      <c r="I1509" s="1" t="s">
        <v>16</v>
      </c>
      <c r="J1509" s="1">
        <v>2</v>
      </c>
      <c r="K1509" s="1">
        <v>12</v>
      </c>
      <c r="L1509" s="1" t="s">
        <v>31</v>
      </c>
      <c r="M1509" s="1" t="s">
        <v>18</v>
      </c>
      <c r="N1509" s="1" t="s">
        <v>18</v>
      </c>
      <c r="O1509" s="1">
        <v>3</v>
      </c>
      <c r="P1509" s="1">
        <v>8</v>
      </c>
      <c r="Q1509" s="7" t="s">
        <v>17633</v>
      </c>
      <c r="R1509" s="1" t="s">
        <v>62</v>
      </c>
      <c r="S1509" s="1" t="s">
        <v>20</v>
      </c>
      <c r="T1509" s="1" t="s">
        <v>21</v>
      </c>
      <c r="U1509" s="1" t="s">
        <v>22</v>
      </c>
      <c r="V1509" s="1" t="s">
        <v>24</v>
      </c>
      <c r="W1509" s="1" t="s">
        <v>24</v>
      </c>
      <c r="X1509" s="1">
        <v>2800</v>
      </c>
      <c r="Y1509" s="1" t="s">
        <v>24</v>
      </c>
      <c r="Z1509" s="1" t="s">
        <v>24</v>
      </c>
      <c r="AA1509" s="1" t="s">
        <v>24</v>
      </c>
      <c r="AB1509" s="1" t="s">
        <v>24</v>
      </c>
      <c r="AC1509" s="1" t="s">
        <v>24</v>
      </c>
      <c r="AD1509" s="1" t="s">
        <v>24</v>
      </c>
      <c r="AE1509" s="1" t="s">
        <v>24</v>
      </c>
      <c r="AF1509" s="22"/>
    </row>
    <row r="1510" spans="1:32" x14ac:dyDescent="0.2">
      <c r="A1510" s="1">
        <v>9224</v>
      </c>
      <c r="B1510" s="1" t="s">
        <v>4893</v>
      </c>
      <c r="C1510" s="5" t="s">
        <v>0</v>
      </c>
      <c r="D1510" s="1" t="s">
        <v>4894</v>
      </c>
      <c r="E1510" s="1" t="s">
        <v>4895</v>
      </c>
      <c r="F1510" s="1" t="s">
        <v>272</v>
      </c>
      <c r="G1510" s="1" t="s">
        <v>61</v>
      </c>
      <c r="H1510" s="1" t="s">
        <v>30</v>
      </c>
      <c r="I1510" s="1" t="s">
        <v>16</v>
      </c>
      <c r="J1510" s="1">
        <v>1</v>
      </c>
      <c r="K1510" s="1">
        <v>6</v>
      </c>
      <c r="L1510" s="1" t="s">
        <v>31</v>
      </c>
      <c r="M1510" s="1" t="s">
        <v>18</v>
      </c>
      <c r="N1510" s="1" t="s">
        <v>18</v>
      </c>
      <c r="O1510" s="1">
        <v>0</v>
      </c>
      <c r="P1510" s="1">
        <v>7</v>
      </c>
      <c r="Q1510" s="7" t="s">
        <v>17633</v>
      </c>
      <c r="R1510" s="1" t="s">
        <v>19</v>
      </c>
      <c r="S1510" s="1" t="s">
        <v>20</v>
      </c>
      <c r="T1510" s="1" t="s">
        <v>21</v>
      </c>
      <c r="U1510" s="1" t="s">
        <v>22</v>
      </c>
      <c r="V1510" s="1" t="s">
        <v>24</v>
      </c>
      <c r="W1510" s="1" t="s">
        <v>24</v>
      </c>
      <c r="X1510" s="1">
        <v>2708</v>
      </c>
      <c r="Y1510" s="1" t="s">
        <v>24</v>
      </c>
      <c r="Z1510" s="1" t="s">
        <v>24</v>
      </c>
      <c r="AA1510" s="1" t="s">
        <v>24</v>
      </c>
      <c r="AB1510" s="1" t="s">
        <v>24</v>
      </c>
      <c r="AC1510" s="1" t="s">
        <v>24</v>
      </c>
      <c r="AD1510" s="1" t="s">
        <v>24</v>
      </c>
      <c r="AE1510" s="1" t="s">
        <v>24</v>
      </c>
      <c r="AF1510" s="22"/>
    </row>
    <row r="1511" spans="1:32" x14ac:dyDescent="0.2">
      <c r="A1511" s="1">
        <v>9233</v>
      </c>
      <c r="B1511" s="1" t="s">
        <v>4896</v>
      </c>
      <c r="C1511" s="5" t="s">
        <v>0</v>
      </c>
      <c r="D1511" s="1" t="s">
        <v>4897</v>
      </c>
      <c r="F1511" s="1" t="s">
        <v>1708</v>
      </c>
      <c r="G1511" s="1" t="s">
        <v>1708</v>
      </c>
      <c r="H1511" s="1" t="s">
        <v>684</v>
      </c>
      <c r="I1511" s="1" t="s">
        <v>16</v>
      </c>
      <c r="J1511" s="1">
        <v>1</v>
      </c>
      <c r="K1511" s="1">
        <v>6</v>
      </c>
      <c r="L1511" s="1" t="s">
        <v>17</v>
      </c>
      <c r="M1511" s="1" t="s">
        <v>852</v>
      </c>
      <c r="N1511" s="1" t="s">
        <v>1755</v>
      </c>
      <c r="O1511" s="1">
        <v>3</v>
      </c>
      <c r="P1511" s="1">
        <v>6</v>
      </c>
      <c r="R1511" s="1" t="s">
        <v>19</v>
      </c>
      <c r="S1511" s="1" t="s">
        <v>20</v>
      </c>
      <c r="T1511" s="1" t="s">
        <v>21</v>
      </c>
      <c r="U1511" s="1" t="s">
        <v>22</v>
      </c>
      <c r="V1511" s="1" t="s">
        <v>24</v>
      </c>
      <c r="W1511" s="1" t="s">
        <v>24</v>
      </c>
      <c r="X1511" s="1">
        <v>2746</v>
      </c>
      <c r="Y1511" s="1" t="s">
        <v>24</v>
      </c>
      <c r="Z1511" s="1" t="s">
        <v>24</v>
      </c>
      <c r="AA1511" s="1" t="s">
        <v>24</v>
      </c>
      <c r="AB1511" s="1" t="s">
        <v>24</v>
      </c>
      <c r="AC1511" s="1" t="s">
        <v>24</v>
      </c>
      <c r="AD1511" s="1" t="s">
        <v>24</v>
      </c>
      <c r="AE1511" s="1" t="s">
        <v>24</v>
      </c>
      <c r="AF1511" s="22"/>
    </row>
    <row r="1512" spans="1:32" x14ac:dyDescent="0.2">
      <c r="A1512" s="1">
        <v>9244</v>
      </c>
      <c r="B1512" s="1" t="s">
        <v>4898</v>
      </c>
      <c r="C1512" s="5" t="s">
        <v>0</v>
      </c>
      <c r="D1512" s="1" t="s">
        <v>4899</v>
      </c>
      <c r="E1512" s="1" t="s">
        <v>4900</v>
      </c>
      <c r="F1512" s="1" t="s">
        <v>291</v>
      </c>
      <c r="G1512" s="1" t="s">
        <v>292</v>
      </c>
      <c r="H1512" s="1" t="s">
        <v>37</v>
      </c>
      <c r="I1512" s="1" t="s">
        <v>16</v>
      </c>
      <c r="J1512" s="1">
        <v>1</v>
      </c>
      <c r="K1512" s="1">
        <v>4</v>
      </c>
      <c r="L1512" s="1" t="s">
        <v>31</v>
      </c>
      <c r="M1512" s="1" t="s">
        <v>18</v>
      </c>
      <c r="N1512" s="1" t="s">
        <v>18</v>
      </c>
      <c r="O1512" s="1">
        <v>3</v>
      </c>
      <c r="P1512" s="1">
        <v>8</v>
      </c>
      <c r="Q1512" s="7" t="s">
        <v>17633</v>
      </c>
      <c r="R1512" s="1" t="s">
        <v>19</v>
      </c>
      <c r="S1512" s="1" t="s">
        <v>20</v>
      </c>
      <c r="T1512" s="1" t="s">
        <v>21</v>
      </c>
      <c r="U1512" s="1" t="s">
        <v>22</v>
      </c>
      <c r="V1512" s="1" t="s">
        <v>24</v>
      </c>
      <c r="W1512" s="1" t="s">
        <v>24</v>
      </c>
      <c r="X1512" s="1">
        <v>3003</v>
      </c>
      <c r="Y1512" s="1" t="s">
        <v>24</v>
      </c>
      <c r="Z1512" s="1" t="s">
        <v>24</v>
      </c>
      <c r="AA1512" s="1" t="s">
        <v>24</v>
      </c>
      <c r="AB1512" s="1" t="s">
        <v>24</v>
      </c>
      <c r="AC1512" s="1" t="s">
        <v>24</v>
      </c>
      <c r="AD1512" s="1" t="s">
        <v>24</v>
      </c>
      <c r="AE1512" s="1" t="s">
        <v>24</v>
      </c>
      <c r="AF1512" s="22"/>
    </row>
    <row r="1513" spans="1:32" x14ac:dyDescent="0.2">
      <c r="A1513" s="1">
        <v>9245</v>
      </c>
      <c r="B1513" s="1" t="s">
        <v>4901</v>
      </c>
      <c r="C1513" s="5" t="s">
        <v>0</v>
      </c>
      <c r="D1513" s="1" t="s">
        <v>4902</v>
      </c>
      <c r="E1513" s="1" t="s">
        <v>4903</v>
      </c>
      <c r="F1513" s="1" t="s">
        <v>724</v>
      </c>
      <c r="G1513" s="1" t="s">
        <v>725</v>
      </c>
      <c r="H1513" s="1" t="s">
        <v>37</v>
      </c>
      <c r="I1513" s="1" t="s">
        <v>16</v>
      </c>
      <c r="J1513" s="1">
        <v>1</v>
      </c>
      <c r="K1513" s="1">
        <v>2</v>
      </c>
      <c r="L1513" s="1" t="s">
        <v>31</v>
      </c>
      <c r="M1513" s="1" t="s">
        <v>18</v>
      </c>
      <c r="N1513" s="1" t="s">
        <v>18</v>
      </c>
      <c r="O1513" s="1">
        <v>3</v>
      </c>
      <c r="P1513" s="1">
        <v>6</v>
      </c>
      <c r="R1513" s="1" t="s">
        <v>19</v>
      </c>
      <c r="S1513" s="1" t="s">
        <v>20</v>
      </c>
      <c r="T1513" s="1" t="s">
        <v>21</v>
      </c>
      <c r="U1513" s="1" t="s">
        <v>22</v>
      </c>
      <c r="V1513" s="1" t="s">
        <v>23</v>
      </c>
      <c r="W1513" s="1" t="s">
        <v>24</v>
      </c>
      <c r="X1513" s="1">
        <v>2701</v>
      </c>
      <c r="Y1513" s="1">
        <v>2916</v>
      </c>
      <c r="Z1513" s="1" t="s">
        <v>24</v>
      </c>
      <c r="AA1513" s="1" t="s">
        <v>24</v>
      </c>
      <c r="AB1513" s="1" t="s">
        <v>24</v>
      </c>
      <c r="AC1513" s="1" t="s">
        <v>24</v>
      </c>
      <c r="AD1513" s="1" t="s">
        <v>24</v>
      </c>
      <c r="AE1513" s="1" t="s">
        <v>24</v>
      </c>
      <c r="AF1513" s="22"/>
    </row>
    <row r="1514" spans="1:32" x14ac:dyDescent="0.2">
      <c r="A1514" s="1">
        <v>9249</v>
      </c>
      <c r="B1514" s="1" t="s">
        <v>4904</v>
      </c>
      <c r="C1514" s="5" t="s">
        <v>0</v>
      </c>
      <c r="D1514" s="1" t="s">
        <v>4905</v>
      </c>
      <c r="E1514" s="1" t="s">
        <v>4906</v>
      </c>
      <c r="F1514" s="1" t="s">
        <v>493</v>
      </c>
      <c r="G1514" s="1" t="s">
        <v>98</v>
      </c>
      <c r="H1514" s="1" t="s">
        <v>30</v>
      </c>
      <c r="I1514" s="1" t="s">
        <v>16</v>
      </c>
      <c r="J1514" s="1">
        <v>1</v>
      </c>
      <c r="K1514" s="1">
        <v>4</v>
      </c>
      <c r="L1514" s="1" t="s">
        <v>31</v>
      </c>
      <c r="M1514" s="1" t="s">
        <v>18</v>
      </c>
      <c r="N1514" s="1" t="s">
        <v>18</v>
      </c>
      <c r="O1514" s="1">
        <v>2</v>
      </c>
      <c r="P1514" s="1">
        <v>8</v>
      </c>
      <c r="Q1514" s="7" t="s">
        <v>17633</v>
      </c>
      <c r="R1514" s="1" t="s">
        <v>19</v>
      </c>
      <c r="S1514" s="1" t="s">
        <v>20</v>
      </c>
      <c r="T1514" s="1" t="s">
        <v>21</v>
      </c>
      <c r="U1514" s="1" t="s">
        <v>22</v>
      </c>
      <c r="V1514" s="1" t="s">
        <v>23</v>
      </c>
      <c r="W1514" s="1" t="s">
        <v>24</v>
      </c>
      <c r="X1514" s="1">
        <v>2738</v>
      </c>
      <c r="Y1514" s="1">
        <v>2728</v>
      </c>
      <c r="Z1514" s="1">
        <v>2717</v>
      </c>
      <c r="AA1514" s="1" t="s">
        <v>24</v>
      </c>
      <c r="AB1514" s="1" t="s">
        <v>24</v>
      </c>
      <c r="AC1514" s="1" t="s">
        <v>24</v>
      </c>
      <c r="AD1514" s="1" t="s">
        <v>24</v>
      </c>
      <c r="AE1514" s="1" t="s">
        <v>24</v>
      </c>
      <c r="AF1514" s="22"/>
    </row>
    <row r="1515" spans="1:32" x14ac:dyDescent="0.2">
      <c r="A1515" s="1">
        <v>9254</v>
      </c>
      <c r="B1515" s="1" t="s">
        <v>4907</v>
      </c>
      <c r="C1515" s="5" t="s">
        <v>0</v>
      </c>
      <c r="D1515" s="1" t="s">
        <v>4908</v>
      </c>
      <c r="E1515" s="1" t="s">
        <v>4909</v>
      </c>
      <c r="F1515" s="1" t="s">
        <v>85</v>
      </c>
      <c r="G1515" s="1" t="s">
        <v>61</v>
      </c>
      <c r="H1515" s="1" t="s">
        <v>86</v>
      </c>
      <c r="I1515" s="1" t="s">
        <v>16</v>
      </c>
      <c r="J1515" s="1">
        <v>1</v>
      </c>
      <c r="K1515" s="1">
        <v>6</v>
      </c>
      <c r="L1515" s="1" t="s">
        <v>31</v>
      </c>
      <c r="M1515" s="1" t="s">
        <v>87</v>
      </c>
      <c r="N1515" s="1" t="s">
        <v>18</v>
      </c>
      <c r="O1515" s="1">
        <v>3</v>
      </c>
      <c r="P1515" s="1">
        <v>7</v>
      </c>
      <c r="Q1515" s="7" t="s">
        <v>17633</v>
      </c>
      <c r="R1515" s="1" t="s">
        <v>19</v>
      </c>
      <c r="S1515" s="1" t="s">
        <v>20</v>
      </c>
      <c r="T1515" s="1" t="s">
        <v>21</v>
      </c>
      <c r="U1515" s="1" t="s">
        <v>22</v>
      </c>
      <c r="V1515" s="1" t="s">
        <v>24</v>
      </c>
      <c r="W1515" s="1" t="s">
        <v>24</v>
      </c>
      <c r="X1515" s="1">
        <v>1308</v>
      </c>
      <c r="Y1515" s="1">
        <v>2704</v>
      </c>
      <c r="Z1515" s="1" t="s">
        <v>24</v>
      </c>
      <c r="AA1515" s="1" t="s">
        <v>24</v>
      </c>
      <c r="AB1515" s="1" t="s">
        <v>24</v>
      </c>
      <c r="AC1515" s="1" t="s">
        <v>24</v>
      </c>
      <c r="AD1515" s="1" t="s">
        <v>24</v>
      </c>
      <c r="AE1515" s="1" t="s">
        <v>24</v>
      </c>
      <c r="AF1515" s="22"/>
    </row>
    <row r="1516" spans="1:32" x14ac:dyDescent="0.2">
      <c r="A1516" s="1">
        <v>9255</v>
      </c>
      <c r="B1516" s="1" t="s">
        <v>4910</v>
      </c>
      <c r="C1516" s="5" t="s">
        <v>0</v>
      </c>
      <c r="D1516" s="1" t="s">
        <v>4911</v>
      </c>
      <c r="F1516" s="1" t="s">
        <v>4912</v>
      </c>
      <c r="G1516" s="1" t="s">
        <v>4912</v>
      </c>
      <c r="H1516" s="1" t="s">
        <v>168</v>
      </c>
      <c r="I1516" s="1" t="s">
        <v>16</v>
      </c>
      <c r="J1516" s="1">
        <v>1</v>
      </c>
      <c r="K1516" s="1">
        <v>4</v>
      </c>
      <c r="L1516" s="1" t="s">
        <v>42</v>
      </c>
      <c r="M1516" s="1" t="s">
        <v>18</v>
      </c>
      <c r="N1516" s="1" t="s">
        <v>18</v>
      </c>
      <c r="O1516" s="1">
        <v>3</v>
      </c>
      <c r="P1516" s="1">
        <v>7</v>
      </c>
      <c r="Q1516" s="7" t="s">
        <v>17633</v>
      </c>
      <c r="R1516" s="1" t="s">
        <v>19</v>
      </c>
      <c r="S1516" s="1" t="s">
        <v>20</v>
      </c>
      <c r="T1516" s="1" t="s">
        <v>21</v>
      </c>
      <c r="U1516" s="1" t="s">
        <v>22</v>
      </c>
      <c r="V1516" s="1" t="s">
        <v>23</v>
      </c>
      <c r="W1516" s="1" t="s">
        <v>24</v>
      </c>
      <c r="X1516" s="1">
        <v>2705</v>
      </c>
      <c r="Y1516" s="1">
        <v>2740</v>
      </c>
      <c r="Z1516" s="1">
        <v>2737</v>
      </c>
      <c r="AA1516" s="1" t="s">
        <v>24</v>
      </c>
      <c r="AB1516" s="1" t="s">
        <v>24</v>
      </c>
      <c r="AC1516" s="1" t="s">
        <v>24</v>
      </c>
      <c r="AD1516" s="1" t="s">
        <v>24</v>
      </c>
      <c r="AE1516" s="1" t="s">
        <v>24</v>
      </c>
      <c r="AF1516" s="22" t="s">
        <v>17679</v>
      </c>
    </row>
    <row r="1517" spans="1:32" x14ac:dyDescent="0.2">
      <c r="A1517" s="1">
        <v>9257</v>
      </c>
      <c r="B1517" s="1" t="s">
        <v>4913</v>
      </c>
      <c r="C1517" s="5" t="s">
        <v>0</v>
      </c>
      <c r="D1517" s="1" t="s">
        <v>4914</v>
      </c>
      <c r="E1517" s="1" t="s">
        <v>4915</v>
      </c>
      <c r="F1517" s="1" t="s">
        <v>35</v>
      </c>
      <c r="G1517" s="1" t="s">
        <v>36</v>
      </c>
      <c r="H1517" s="1" t="s">
        <v>37</v>
      </c>
      <c r="I1517" s="1" t="s">
        <v>16</v>
      </c>
      <c r="J1517" s="1">
        <v>1</v>
      </c>
      <c r="K1517" s="1">
        <v>6</v>
      </c>
      <c r="L1517" s="1" t="s">
        <v>31</v>
      </c>
      <c r="M1517" s="1" t="s">
        <v>18</v>
      </c>
      <c r="N1517" s="1" t="s">
        <v>18</v>
      </c>
      <c r="O1517" s="1">
        <v>3</v>
      </c>
      <c r="P1517" s="1">
        <v>8</v>
      </c>
      <c r="Q1517" s="7" t="s">
        <v>17633</v>
      </c>
      <c r="R1517" s="1" t="s">
        <v>19</v>
      </c>
      <c r="S1517" s="1" t="s">
        <v>20</v>
      </c>
      <c r="T1517" s="1" t="s">
        <v>21</v>
      </c>
      <c r="U1517" s="1" t="s">
        <v>22</v>
      </c>
      <c r="V1517" s="1" t="s">
        <v>24</v>
      </c>
      <c r="W1517" s="1" t="s">
        <v>24</v>
      </c>
      <c r="X1517" s="1">
        <v>2747</v>
      </c>
      <c r="Y1517" s="1" t="s">
        <v>24</v>
      </c>
      <c r="Z1517" s="1" t="s">
        <v>24</v>
      </c>
      <c r="AA1517" s="1" t="s">
        <v>24</v>
      </c>
      <c r="AB1517" s="1" t="s">
        <v>24</v>
      </c>
      <c r="AC1517" s="1" t="s">
        <v>24</v>
      </c>
      <c r="AD1517" s="1" t="s">
        <v>24</v>
      </c>
      <c r="AE1517" s="1" t="s">
        <v>24</v>
      </c>
      <c r="AF1517" s="22"/>
    </row>
    <row r="1518" spans="1:32" x14ac:dyDescent="0.2">
      <c r="A1518" s="1">
        <v>9260</v>
      </c>
      <c r="B1518" s="1" t="s">
        <v>4916</v>
      </c>
      <c r="C1518" s="5" t="s">
        <v>0</v>
      </c>
      <c r="D1518" s="1" t="s">
        <v>4917</v>
      </c>
      <c r="E1518" s="1" t="s">
        <v>4918</v>
      </c>
      <c r="F1518" s="1" t="s">
        <v>291</v>
      </c>
      <c r="G1518" s="1" t="s">
        <v>292</v>
      </c>
      <c r="H1518" s="1" t="s">
        <v>37</v>
      </c>
      <c r="I1518" s="1" t="s">
        <v>16</v>
      </c>
      <c r="J1518" s="1">
        <v>1</v>
      </c>
      <c r="K1518" s="1">
        <v>12</v>
      </c>
      <c r="L1518" s="1" t="s">
        <v>31</v>
      </c>
      <c r="M1518" s="1" t="s">
        <v>18</v>
      </c>
      <c r="N1518" s="1" t="s">
        <v>18</v>
      </c>
      <c r="O1518" s="1">
        <v>3</v>
      </c>
      <c r="P1518" s="1">
        <v>8</v>
      </c>
      <c r="Q1518" s="7" t="s">
        <v>17633</v>
      </c>
      <c r="R1518" s="1" t="s">
        <v>19</v>
      </c>
      <c r="S1518" s="1" t="s">
        <v>20</v>
      </c>
      <c r="T1518" s="1" t="s">
        <v>21</v>
      </c>
      <c r="U1518" s="1" t="s">
        <v>22</v>
      </c>
      <c r="V1518" s="1" t="s">
        <v>24</v>
      </c>
      <c r="W1518" s="1" t="s">
        <v>24</v>
      </c>
      <c r="X1518" s="1">
        <v>1310</v>
      </c>
      <c r="Y1518" s="1">
        <v>2712</v>
      </c>
      <c r="Z1518" s="1">
        <v>2729</v>
      </c>
      <c r="AA1518" s="1" t="s">
        <v>24</v>
      </c>
      <c r="AB1518" s="1" t="s">
        <v>24</v>
      </c>
      <c r="AC1518" s="1" t="s">
        <v>24</v>
      </c>
      <c r="AD1518" s="1" t="s">
        <v>24</v>
      </c>
      <c r="AE1518" s="1" t="s">
        <v>24</v>
      </c>
      <c r="AF1518" s="22"/>
    </row>
    <row r="1519" spans="1:32" x14ac:dyDescent="0.2">
      <c r="A1519" s="1">
        <v>9261</v>
      </c>
      <c r="B1519" s="1" t="s">
        <v>4919</v>
      </c>
      <c r="C1519" s="5" t="s">
        <v>0</v>
      </c>
      <c r="D1519" s="1" t="s">
        <v>4920</v>
      </c>
      <c r="E1519" s="1" t="s">
        <v>4921</v>
      </c>
      <c r="F1519" s="1" t="s">
        <v>35</v>
      </c>
      <c r="G1519" s="1" t="s">
        <v>36</v>
      </c>
      <c r="H1519" s="1" t="s">
        <v>37</v>
      </c>
      <c r="I1519" s="1" t="s">
        <v>16</v>
      </c>
      <c r="J1519" s="1">
        <v>1</v>
      </c>
      <c r="K1519" s="1">
        <v>12</v>
      </c>
      <c r="L1519" s="1" t="s">
        <v>31</v>
      </c>
      <c r="M1519" s="1" t="s">
        <v>18</v>
      </c>
      <c r="N1519" s="1" t="s">
        <v>18</v>
      </c>
      <c r="O1519" s="1">
        <v>3</v>
      </c>
      <c r="P1519" s="1">
        <v>7</v>
      </c>
      <c r="Q1519" s="7" t="s">
        <v>17633</v>
      </c>
      <c r="R1519" s="1" t="s">
        <v>62</v>
      </c>
      <c r="S1519" s="1" t="s">
        <v>20</v>
      </c>
      <c r="T1519" s="1" t="s">
        <v>21</v>
      </c>
      <c r="U1519" s="1" t="s">
        <v>22</v>
      </c>
      <c r="V1519" s="1" t="s">
        <v>24</v>
      </c>
      <c r="W1519" s="1" t="s">
        <v>24</v>
      </c>
      <c r="X1519" s="1">
        <v>1310</v>
      </c>
      <c r="Y1519" s="1">
        <v>2712</v>
      </c>
      <c r="Z1519" s="1">
        <v>2807</v>
      </c>
      <c r="AA1519" s="1">
        <v>2804</v>
      </c>
      <c r="AB1519" s="1" t="s">
        <v>24</v>
      </c>
      <c r="AC1519" s="1" t="s">
        <v>24</v>
      </c>
      <c r="AD1519" s="1" t="s">
        <v>24</v>
      </c>
      <c r="AE1519" s="1" t="s">
        <v>24</v>
      </c>
      <c r="AF1519" s="22"/>
    </row>
    <row r="1520" spans="1:32" x14ac:dyDescent="0.2">
      <c r="A1520" s="1">
        <v>9262</v>
      </c>
      <c r="B1520" s="1" t="s">
        <v>4922</v>
      </c>
      <c r="C1520" s="5" t="s">
        <v>0</v>
      </c>
      <c r="D1520" s="1" t="s">
        <v>4923</v>
      </c>
      <c r="E1520" s="1" t="s">
        <v>4924</v>
      </c>
      <c r="F1520" s="1" t="s">
        <v>4925</v>
      </c>
      <c r="G1520" s="1" t="s">
        <v>4925</v>
      </c>
      <c r="H1520" s="1" t="s">
        <v>30</v>
      </c>
      <c r="I1520" s="1" t="s">
        <v>16</v>
      </c>
      <c r="J1520" s="1">
        <v>1</v>
      </c>
      <c r="K1520" s="1">
        <v>4</v>
      </c>
      <c r="L1520" s="1" t="s">
        <v>42</v>
      </c>
      <c r="M1520" s="1" t="s">
        <v>18</v>
      </c>
      <c r="N1520" s="1" t="s">
        <v>18</v>
      </c>
      <c r="O1520" s="1">
        <v>3</v>
      </c>
      <c r="P1520" s="1">
        <v>7</v>
      </c>
      <c r="Q1520" s="7" t="s">
        <v>17633</v>
      </c>
      <c r="R1520" s="1" t="s">
        <v>19</v>
      </c>
      <c r="S1520" s="1" t="s">
        <v>20</v>
      </c>
      <c r="T1520" s="1" t="s">
        <v>21</v>
      </c>
      <c r="U1520" s="1" t="s">
        <v>22</v>
      </c>
      <c r="V1520" s="1" t="s">
        <v>24</v>
      </c>
      <c r="W1520" s="1" t="s">
        <v>24</v>
      </c>
      <c r="X1520" s="1">
        <v>2738</v>
      </c>
      <c r="Y1520" s="1" t="s">
        <v>24</v>
      </c>
      <c r="Z1520" s="1" t="s">
        <v>24</v>
      </c>
      <c r="AA1520" s="1" t="s">
        <v>24</v>
      </c>
      <c r="AB1520" s="1" t="s">
        <v>24</v>
      </c>
      <c r="AC1520" s="1" t="s">
        <v>24</v>
      </c>
      <c r="AD1520" s="1" t="s">
        <v>24</v>
      </c>
      <c r="AE1520" s="1" t="s">
        <v>24</v>
      </c>
      <c r="AF1520" s="22"/>
    </row>
    <row r="1521" spans="1:32" x14ac:dyDescent="0.2">
      <c r="A1521" s="1">
        <v>9264</v>
      </c>
      <c r="B1521" s="1" t="s">
        <v>4926</v>
      </c>
      <c r="C1521" s="5" t="s">
        <v>0</v>
      </c>
      <c r="D1521" s="1" t="s">
        <v>4927</v>
      </c>
      <c r="E1521" s="1" t="s">
        <v>4928</v>
      </c>
      <c r="F1521" s="1" t="s">
        <v>948</v>
      </c>
      <c r="G1521" s="1" t="s">
        <v>948</v>
      </c>
      <c r="H1521" s="1" t="s">
        <v>86</v>
      </c>
      <c r="I1521" s="1" t="s">
        <v>16</v>
      </c>
      <c r="J1521" s="1">
        <v>1</v>
      </c>
      <c r="K1521" s="1">
        <v>10</v>
      </c>
      <c r="L1521" s="1" t="s">
        <v>42</v>
      </c>
      <c r="M1521" s="1" t="s">
        <v>87</v>
      </c>
      <c r="N1521" s="1" t="s">
        <v>18</v>
      </c>
      <c r="O1521" s="1">
        <v>2</v>
      </c>
      <c r="P1521" s="1">
        <v>6</v>
      </c>
      <c r="R1521" s="1" t="s">
        <v>19</v>
      </c>
      <c r="S1521" s="1" t="s">
        <v>20</v>
      </c>
      <c r="T1521" s="1" t="s">
        <v>21</v>
      </c>
      <c r="U1521" s="1" t="s">
        <v>22</v>
      </c>
      <c r="V1521" s="1" t="s">
        <v>24</v>
      </c>
      <c r="W1521" s="1" t="s">
        <v>24</v>
      </c>
      <c r="X1521" s="1">
        <v>2720</v>
      </c>
      <c r="Y1521" s="1" t="s">
        <v>24</v>
      </c>
      <c r="Z1521" s="1" t="s">
        <v>24</v>
      </c>
      <c r="AA1521" s="1" t="s">
        <v>24</v>
      </c>
      <c r="AB1521" s="1" t="s">
        <v>24</v>
      </c>
      <c r="AC1521" s="1" t="s">
        <v>24</v>
      </c>
      <c r="AD1521" s="1" t="s">
        <v>24</v>
      </c>
      <c r="AE1521" s="1" t="s">
        <v>24</v>
      </c>
      <c r="AF1521" s="22"/>
    </row>
    <row r="1522" spans="1:32" x14ac:dyDescent="0.2">
      <c r="A1522" s="1">
        <v>9268</v>
      </c>
      <c r="B1522" s="1" t="s">
        <v>4929</v>
      </c>
      <c r="C1522" s="5" t="s">
        <v>0</v>
      </c>
      <c r="D1522" s="1" t="s">
        <v>4930</v>
      </c>
      <c r="E1522" s="1" t="s">
        <v>4931</v>
      </c>
      <c r="F1522" s="1" t="s">
        <v>28</v>
      </c>
      <c r="G1522" s="1" t="s">
        <v>29</v>
      </c>
      <c r="H1522" s="1" t="s">
        <v>30</v>
      </c>
      <c r="I1522" s="1" t="s">
        <v>16</v>
      </c>
      <c r="J1522" s="1">
        <v>1</v>
      </c>
      <c r="K1522" s="1">
        <v>6</v>
      </c>
      <c r="L1522" s="1" t="s">
        <v>31</v>
      </c>
      <c r="M1522" s="1" t="s">
        <v>18</v>
      </c>
      <c r="N1522" s="1" t="s">
        <v>18</v>
      </c>
      <c r="O1522" s="1">
        <v>3</v>
      </c>
      <c r="P1522" s="1">
        <v>7</v>
      </c>
      <c r="Q1522" s="7" t="s">
        <v>17633</v>
      </c>
      <c r="R1522" s="1" t="s">
        <v>19</v>
      </c>
      <c r="S1522" s="1" t="s">
        <v>20</v>
      </c>
      <c r="T1522" s="1" t="s">
        <v>21</v>
      </c>
      <c r="U1522" s="1" t="s">
        <v>22</v>
      </c>
      <c r="V1522" s="1" t="s">
        <v>23</v>
      </c>
      <c r="W1522" s="1" t="s">
        <v>24</v>
      </c>
      <c r="X1522" s="1">
        <v>2741</v>
      </c>
      <c r="Y1522" s="1" t="s">
        <v>24</v>
      </c>
      <c r="Z1522" s="1" t="s">
        <v>24</v>
      </c>
      <c r="AA1522" s="1" t="s">
        <v>24</v>
      </c>
      <c r="AB1522" s="1" t="s">
        <v>24</v>
      </c>
      <c r="AC1522" s="1" t="s">
        <v>24</v>
      </c>
      <c r="AD1522" s="1" t="s">
        <v>24</v>
      </c>
      <c r="AE1522" s="1" t="s">
        <v>24</v>
      </c>
      <c r="AF1522" s="22"/>
    </row>
    <row r="1523" spans="1:32" x14ac:dyDescent="0.2">
      <c r="A1523" s="1">
        <v>9269</v>
      </c>
      <c r="B1523" s="1" t="s">
        <v>4932</v>
      </c>
      <c r="C1523" s="5" t="s">
        <v>0</v>
      </c>
      <c r="D1523" s="1" t="s">
        <v>4933</v>
      </c>
      <c r="E1523" s="1" t="s">
        <v>4934</v>
      </c>
      <c r="F1523" s="1" t="s">
        <v>4935</v>
      </c>
      <c r="G1523" s="1" t="s">
        <v>4935</v>
      </c>
      <c r="H1523" s="1" t="s">
        <v>69</v>
      </c>
      <c r="I1523" s="1" t="s">
        <v>16</v>
      </c>
      <c r="J1523" s="1">
        <v>1</v>
      </c>
      <c r="K1523" s="1">
        <v>4</v>
      </c>
      <c r="L1523" s="1" t="s">
        <v>42</v>
      </c>
      <c r="M1523" s="1" t="s">
        <v>70</v>
      </c>
      <c r="N1523" s="1" t="s">
        <v>70</v>
      </c>
      <c r="O1523" s="1">
        <v>1</v>
      </c>
      <c r="P1523" s="1">
        <v>3</v>
      </c>
      <c r="R1523" s="1" t="s">
        <v>19</v>
      </c>
      <c r="S1523" s="1" t="s">
        <v>20</v>
      </c>
      <c r="T1523" s="1" t="s">
        <v>21</v>
      </c>
      <c r="U1523" s="1" t="s">
        <v>22</v>
      </c>
      <c r="V1523" s="1" t="s">
        <v>24</v>
      </c>
      <c r="W1523" s="1" t="s">
        <v>24</v>
      </c>
      <c r="X1523" s="1">
        <v>2700</v>
      </c>
      <c r="Y1523" s="1" t="s">
        <v>24</v>
      </c>
      <c r="Z1523" s="1" t="s">
        <v>24</v>
      </c>
      <c r="AA1523" s="1" t="s">
        <v>24</v>
      </c>
      <c r="AB1523" s="1" t="s">
        <v>24</v>
      </c>
      <c r="AC1523" s="1" t="s">
        <v>24</v>
      </c>
      <c r="AD1523" s="1" t="s">
        <v>24</v>
      </c>
      <c r="AE1523" s="1" t="s">
        <v>24</v>
      </c>
      <c r="AF1523" s="22"/>
    </row>
    <row r="1524" spans="1:32" x14ac:dyDescent="0.2">
      <c r="A1524" s="1">
        <v>9275</v>
      </c>
      <c r="B1524" s="1" t="s">
        <v>4936</v>
      </c>
      <c r="C1524" s="5" t="s">
        <v>0</v>
      </c>
      <c r="D1524" s="1" t="s">
        <v>4937</v>
      </c>
      <c r="E1524" s="1" t="s">
        <v>4938</v>
      </c>
      <c r="F1524" s="1" t="s">
        <v>394</v>
      </c>
      <c r="G1524" s="1" t="s">
        <v>394</v>
      </c>
      <c r="H1524" s="1" t="s">
        <v>30</v>
      </c>
      <c r="I1524" s="1" t="s">
        <v>16</v>
      </c>
      <c r="J1524" s="1">
        <v>1</v>
      </c>
      <c r="K1524" s="1">
        <v>4</v>
      </c>
      <c r="L1524" s="1" t="s">
        <v>42</v>
      </c>
      <c r="M1524" s="1" t="s">
        <v>18</v>
      </c>
      <c r="N1524" s="1" t="s">
        <v>18</v>
      </c>
      <c r="O1524" s="1">
        <v>3</v>
      </c>
      <c r="P1524" s="1">
        <v>7</v>
      </c>
      <c r="Q1524" s="7" t="s">
        <v>17633</v>
      </c>
      <c r="R1524" s="1" t="s">
        <v>19</v>
      </c>
      <c r="S1524" s="1" t="s">
        <v>20</v>
      </c>
      <c r="T1524" s="1" t="s">
        <v>21</v>
      </c>
      <c r="U1524" s="1" t="s">
        <v>22</v>
      </c>
      <c r="V1524" s="1" t="s">
        <v>24</v>
      </c>
      <c r="W1524" s="1" t="s">
        <v>24</v>
      </c>
      <c r="X1524" s="1">
        <v>2738</v>
      </c>
      <c r="Y1524" s="1">
        <v>2728</v>
      </c>
      <c r="Z1524" s="1" t="s">
        <v>24</v>
      </c>
      <c r="AA1524" s="1" t="s">
        <v>24</v>
      </c>
      <c r="AB1524" s="1" t="s">
        <v>24</v>
      </c>
      <c r="AC1524" s="1" t="s">
        <v>24</v>
      </c>
      <c r="AD1524" s="1" t="s">
        <v>24</v>
      </c>
      <c r="AE1524" s="1" t="s">
        <v>24</v>
      </c>
      <c r="AF1524" s="22"/>
    </row>
    <row r="1525" spans="1:32" x14ac:dyDescent="0.2">
      <c r="A1525" s="1">
        <v>9276</v>
      </c>
      <c r="B1525" s="1" t="s">
        <v>4939</v>
      </c>
      <c r="C1525" s="5" t="s">
        <v>0</v>
      </c>
      <c r="D1525" s="1" t="s">
        <v>4940</v>
      </c>
      <c r="E1525" s="1" t="s">
        <v>4941</v>
      </c>
      <c r="F1525" s="1" t="s">
        <v>1177</v>
      </c>
      <c r="G1525" s="1" t="s">
        <v>61</v>
      </c>
      <c r="H1525" s="1" t="s">
        <v>37</v>
      </c>
      <c r="I1525" s="1" t="s">
        <v>16</v>
      </c>
      <c r="J1525" s="1">
        <v>1</v>
      </c>
      <c r="K1525" s="1">
        <v>12</v>
      </c>
      <c r="L1525" s="1" t="s">
        <v>31</v>
      </c>
      <c r="M1525" s="1" t="s">
        <v>18</v>
      </c>
      <c r="N1525" s="1" t="s">
        <v>18</v>
      </c>
      <c r="O1525" s="1">
        <v>3</v>
      </c>
      <c r="P1525" s="1">
        <v>7</v>
      </c>
      <c r="Q1525" s="7" t="s">
        <v>17633</v>
      </c>
      <c r="R1525" s="1" t="s">
        <v>19</v>
      </c>
      <c r="S1525" s="1" t="s">
        <v>20</v>
      </c>
      <c r="T1525" s="1" t="s">
        <v>21</v>
      </c>
      <c r="U1525" s="1" t="s">
        <v>22</v>
      </c>
      <c r="V1525" s="1" t="s">
        <v>24</v>
      </c>
      <c r="W1525" s="1" t="s">
        <v>24</v>
      </c>
      <c r="X1525" s="1">
        <v>2740</v>
      </c>
      <c r="Y1525" s="1" t="s">
        <v>24</v>
      </c>
      <c r="Z1525" s="1" t="s">
        <v>24</v>
      </c>
      <c r="AA1525" s="1" t="s">
        <v>24</v>
      </c>
      <c r="AB1525" s="1" t="s">
        <v>24</v>
      </c>
      <c r="AC1525" s="1" t="s">
        <v>24</v>
      </c>
      <c r="AD1525" s="1" t="s">
        <v>24</v>
      </c>
      <c r="AE1525" s="1" t="s">
        <v>24</v>
      </c>
      <c r="AF1525" s="22"/>
    </row>
    <row r="1526" spans="1:32" x14ac:dyDescent="0.2">
      <c r="A1526" s="1">
        <v>9288</v>
      </c>
      <c r="B1526" s="1" t="s">
        <v>4942</v>
      </c>
      <c r="C1526" s="5" t="s">
        <v>0</v>
      </c>
      <c r="D1526" s="1" t="s">
        <v>4943</v>
      </c>
      <c r="E1526" s="1" t="s">
        <v>4944</v>
      </c>
      <c r="F1526" s="1" t="s">
        <v>291</v>
      </c>
      <c r="G1526" s="1" t="s">
        <v>292</v>
      </c>
      <c r="H1526" s="1" t="s">
        <v>37</v>
      </c>
      <c r="I1526" s="1" t="s">
        <v>16</v>
      </c>
      <c r="J1526" s="1">
        <v>1</v>
      </c>
      <c r="K1526" s="1">
        <v>4</v>
      </c>
      <c r="L1526" s="1" t="s">
        <v>31</v>
      </c>
      <c r="M1526" s="1" t="s">
        <v>18</v>
      </c>
      <c r="N1526" s="1" t="s">
        <v>18</v>
      </c>
      <c r="O1526" s="1">
        <v>3</v>
      </c>
      <c r="P1526" s="1">
        <v>8</v>
      </c>
      <c r="Q1526" s="7" t="s">
        <v>17633</v>
      </c>
      <c r="R1526" s="1" t="s">
        <v>19</v>
      </c>
      <c r="S1526" s="1" t="s">
        <v>20</v>
      </c>
      <c r="T1526" s="1" t="s">
        <v>21</v>
      </c>
      <c r="U1526" s="1" t="s">
        <v>22</v>
      </c>
      <c r="V1526" s="1" t="s">
        <v>24</v>
      </c>
      <c r="W1526" s="1" t="s">
        <v>24</v>
      </c>
      <c r="X1526" s="1">
        <v>1308</v>
      </c>
      <c r="Y1526" s="1">
        <v>1310</v>
      </c>
      <c r="Z1526" s="1">
        <v>1307</v>
      </c>
      <c r="AA1526" s="1" t="s">
        <v>24</v>
      </c>
      <c r="AB1526" s="1" t="s">
        <v>24</v>
      </c>
      <c r="AC1526" s="1" t="s">
        <v>24</v>
      </c>
      <c r="AD1526" s="1" t="s">
        <v>24</v>
      </c>
      <c r="AE1526" s="1" t="s">
        <v>24</v>
      </c>
      <c r="AF1526" s="22"/>
    </row>
    <row r="1527" spans="1:32" x14ac:dyDescent="0.2">
      <c r="A1527" s="1">
        <v>9366</v>
      </c>
      <c r="B1527" s="1" t="s">
        <v>4945</v>
      </c>
      <c r="C1527" s="5" t="s">
        <v>0</v>
      </c>
      <c r="D1527" s="1" t="s">
        <v>4946</v>
      </c>
      <c r="F1527" s="1" t="s">
        <v>4947</v>
      </c>
      <c r="G1527" s="1" t="s">
        <v>4948</v>
      </c>
      <c r="H1527" s="1" t="s">
        <v>1116</v>
      </c>
      <c r="I1527" s="1" t="s">
        <v>16</v>
      </c>
      <c r="J1527" s="1">
        <v>1</v>
      </c>
      <c r="K1527" s="1">
        <v>12</v>
      </c>
      <c r="L1527" s="1" t="s">
        <v>17</v>
      </c>
      <c r="M1527" s="1" t="s">
        <v>1009</v>
      </c>
      <c r="N1527" s="1" t="s">
        <v>18</v>
      </c>
      <c r="O1527" s="1">
        <v>3</v>
      </c>
      <c r="P1527" s="1">
        <v>5</v>
      </c>
      <c r="R1527" s="1" t="s">
        <v>19</v>
      </c>
      <c r="S1527" s="1" t="s">
        <v>20</v>
      </c>
      <c r="T1527" s="1" t="s">
        <v>21</v>
      </c>
      <c r="U1527" s="1" t="s">
        <v>22</v>
      </c>
      <c r="V1527" s="1" t="s">
        <v>23</v>
      </c>
      <c r="W1527" s="1" t="s">
        <v>24</v>
      </c>
      <c r="X1527" s="1">
        <v>2741</v>
      </c>
      <c r="Y1527" s="1" t="s">
        <v>24</v>
      </c>
      <c r="Z1527" s="1" t="s">
        <v>24</v>
      </c>
      <c r="AA1527" s="1" t="s">
        <v>24</v>
      </c>
      <c r="AB1527" s="1" t="s">
        <v>24</v>
      </c>
      <c r="AC1527" s="1" t="s">
        <v>24</v>
      </c>
      <c r="AD1527" s="1" t="s">
        <v>24</v>
      </c>
      <c r="AE1527" s="1" t="s">
        <v>24</v>
      </c>
      <c r="AF1527" s="22"/>
    </row>
    <row r="1528" spans="1:32" x14ac:dyDescent="0.2">
      <c r="A1528" s="1">
        <v>9399</v>
      </c>
      <c r="B1528" s="1" t="s">
        <v>4949</v>
      </c>
      <c r="C1528" s="5" t="s">
        <v>0</v>
      </c>
      <c r="D1528" s="1" t="s">
        <v>4950</v>
      </c>
      <c r="F1528" s="1" t="s">
        <v>412</v>
      </c>
      <c r="G1528" s="1" t="s">
        <v>372</v>
      </c>
      <c r="H1528" s="1" t="s">
        <v>168</v>
      </c>
      <c r="I1528" s="1" t="s">
        <v>16</v>
      </c>
      <c r="J1528" s="1">
        <v>0</v>
      </c>
      <c r="K1528" s="1">
        <v>0</v>
      </c>
      <c r="L1528" s="1" t="s">
        <v>31</v>
      </c>
      <c r="M1528" s="1" t="s">
        <v>18</v>
      </c>
      <c r="N1528" s="1" t="s">
        <v>18</v>
      </c>
      <c r="O1528" s="1">
        <v>3</v>
      </c>
      <c r="P1528" s="1">
        <v>7</v>
      </c>
      <c r="Q1528" s="7" t="s">
        <v>17633</v>
      </c>
      <c r="R1528" s="1" t="s">
        <v>19</v>
      </c>
      <c r="S1528" s="1" t="s">
        <v>63</v>
      </c>
      <c r="T1528" s="1" t="s">
        <v>21</v>
      </c>
      <c r="U1528" s="1" t="s">
        <v>22</v>
      </c>
      <c r="V1528" s="1" t="s">
        <v>24</v>
      </c>
      <c r="W1528" s="1" t="s">
        <v>24</v>
      </c>
      <c r="X1528" s="1">
        <v>2705</v>
      </c>
      <c r="Y1528" s="1">
        <v>2746</v>
      </c>
      <c r="Z1528" s="1">
        <v>2740</v>
      </c>
      <c r="AA1528" s="1" t="s">
        <v>24</v>
      </c>
      <c r="AB1528" s="1" t="s">
        <v>24</v>
      </c>
      <c r="AC1528" s="1" t="s">
        <v>24</v>
      </c>
      <c r="AD1528" s="1" t="s">
        <v>24</v>
      </c>
      <c r="AE1528" s="1" t="s">
        <v>24</v>
      </c>
      <c r="AF1528" s="22"/>
    </row>
    <row r="1529" spans="1:32" x14ac:dyDescent="0.2">
      <c r="A1529" s="1">
        <v>9401</v>
      </c>
      <c r="B1529" s="1" t="s">
        <v>4951</v>
      </c>
      <c r="C1529" s="5" t="s">
        <v>0</v>
      </c>
      <c r="D1529" s="1" t="s">
        <v>4952</v>
      </c>
      <c r="E1529" s="1" t="s">
        <v>4953</v>
      </c>
      <c r="F1529" s="1" t="s">
        <v>601</v>
      </c>
      <c r="G1529" s="1" t="s">
        <v>61</v>
      </c>
      <c r="H1529" s="1" t="s">
        <v>37</v>
      </c>
      <c r="I1529" s="1" t="s">
        <v>16</v>
      </c>
      <c r="J1529" s="1">
        <v>2</v>
      </c>
      <c r="K1529" s="1">
        <v>6</v>
      </c>
      <c r="L1529" s="1" t="s">
        <v>31</v>
      </c>
      <c r="M1529" s="1" t="s">
        <v>18</v>
      </c>
      <c r="N1529" s="1" t="s">
        <v>18</v>
      </c>
      <c r="O1529" s="1">
        <v>3</v>
      </c>
      <c r="P1529" s="1">
        <v>7</v>
      </c>
      <c r="Q1529" s="7" t="s">
        <v>17633</v>
      </c>
      <c r="R1529" s="1" t="s">
        <v>19</v>
      </c>
      <c r="S1529" s="1" t="s">
        <v>63</v>
      </c>
      <c r="T1529" s="1" t="s">
        <v>21</v>
      </c>
      <c r="U1529" s="1" t="s">
        <v>22</v>
      </c>
      <c r="V1529" s="1" t="s">
        <v>24</v>
      </c>
      <c r="W1529" s="1" t="s">
        <v>64</v>
      </c>
      <c r="X1529" s="1">
        <v>3004</v>
      </c>
      <c r="Y1529" s="1" t="s">
        <v>24</v>
      </c>
      <c r="Z1529" s="1" t="s">
        <v>24</v>
      </c>
      <c r="AA1529" s="1" t="s">
        <v>24</v>
      </c>
      <c r="AB1529" s="1" t="s">
        <v>24</v>
      </c>
      <c r="AC1529" s="1" t="s">
        <v>24</v>
      </c>
      <c r="AD1529" s="1" t="s">
        <v>24</v>
      </c>
      <c r="AE1529" s="1" t="s">
        <v>24</v>
      </c>
      <c r="AF1529" s="22"/>
    </row>
    <row r="1530" spans="1:32" x14ac:dyDescent="0.2">
      <c r="A1530" s="1">
        <v>9402</v>
      </c>
      <c r="B1530" s="1" t="s">
        <v>4954</v>
      </c>
      <c r="C1530" s="5" t="s">
        <v>0</v>
      </c>
      <c r="D1530" s="1" t="s">
        <v>4955</v>
      </c>
      <c r="E1530" s="1" t="s">
        <v>4956</v>
      </c>
      <c r="F1530" s="1" t="s">
        <v>85</v>
      </c>
      <c r="G1530" s="1" t="s">
        <v>61</v>
      </c>
      <c r="H1530" s="1" t="s">
        <v>86</v>
      </c>
      <c r="I1530" s="1" t="s">
        <v>16</v>
      </c>
      <c r="J1530" s="1">
        <v>1</v>
      </c>
      <c r="K1530" s="1">
        <v>10</v>
      </c>
      <c r="L1530" s="1" t="s">
        <v>31</v>
      </c>
      <c r="M1530" s="1" t="s">
        <v>18</v>
      </c>
      <c r="N1530" s="1" t="s">
        <v>18</v>
      </c>
      <c r="O1530" s="1">
        <v>3</v>
      </c>
      <c r="P1530" s="1">
        <v>7</v>
      </c>
      <c r="Q1530" s="7" t="s">
        <v>17633</v>
      </c>
      <c r="R1530" s="1" t="s">
        <v>19</v>
      </c>
      <c r="S1530" s="1" t="s">
        <v>20</v>
      </c>
      <c r="T1530" s="1" t="s">
        <v>21</v>
      </c>
      <c r="U1530" s="1" t="s">
        <v>22</v>
      </c>
      <c r="V1530" s="1" t="s">
        <v>24</v>
      </c>
      <c r="W1530" s="1" t="s">
        <v>24</v>
      </c>
      <c r="X1530" s="1">
        <v>2404</v>
      </c>
      <c r="Y1530" s="1">
        <v>1312</v>
      </c>
      <c r="Z1530" s="1" t="s">
        <v>24</v>
      </c>
      <c r="AA1530" s="1" t="s">
        <v>24</v>
      </c>
      <c r="AB1530" s="1" t="s">
        <v>24</v>
      </c>
      <c r="AC1530" s="1" t="s">
        <v>24</v>
      </c>
      <c r="AD1530" s="1" t="s">
        <v>24</v>
      </c>
      <c r="AE1530" s="1" t="s">
        <v>24</v>
      </c>
      <c r="AF1530" s="22"/>
    </row>
    <row r="1531" spans="1:32" x14ac:dyDescent="0.2">
      <c r="A1531" s="1">
        <v>9405</v>
      </c>
      <c r="B1531" s="1" t="s">
        <v>4957</v>
      </c>
      <c r="C1531" s="5" t="s">
        <v>0</v>
      </c>
      <c r="D1531" s="1" t="s">
        <v>4958</v>
      </c>
      <c r="F1531" s="1" t="s">
        <v>669</v>
      </c>
      <c r="G1531" s="1" t="s">
        <v>311</v>
      </c>
      <c r="H1531" s="1" t="s">
        <v>30</v>
      </c>
      <c r="I1531" s="1" t="s">
        <v>16</v>
      </c>
      <c r="J1531" s="1">
        <v>1</v>
      </c>
      <c r="K1531" s="1">
        <v>12</v>
      </c>
      <c r="L1531" s="1" t="s">
        <v>31</v>
      </c>
      <c r="M1531" s="1" t="s">
        <v>18</v>
      </c>
      <c r="N1531" s="1" t="s">
        <v>18</v>
      </c>
      <c r="O1531" s="1">
        <v>3</v>
      </c>
      <c r="P1531" s="1">
        <v>7</v>
      </c>
      <c r="Q1531" s="7" t="s">
        <v>17633</v>
      </c>
      <c r="R1531" s="1" t="s">
        <v>19</v>
      </c>
      <c r="S1531" s="1" t="s">
        <v>20</v>
      </c>
      <c r="T1531" s="1" t="s">
        <v>21</v>
      </c>
      <c r="U1531" s="1" t="s">
        <v>22</v>
      </c>
      <c r="V1531" s="1" t="s">
        <v>24</v>
      </c>
      <c r="W1531" s="1" t="s">
        <v>24</v>
      </c>
      <c r="X1531" s="1">
        <v>2308</v>
      </c>
      <c r="Y1531" s="1">
        <v>2311</v>
      </c>
      <c r="Z1531" s="1" t="s">
        <v>24</v>
      </c>
      <c r="AA1531" s="1" t="s">
        <v>24</v>
      </c>
      <c r="AB1531" s="1" t="s">
        <v>24</v>
      </c>
      <c r="AC1531" s="1" t="s">
        <v>24</v>
      </c>
      <c r="AD1531" s="1" t="s">
        <v>24</v>
      </c>
      <c r="AE1531" s="1" t="s">
        <v>24</v>
      </c>
      <c r="AF1531" s="22"/>
    </row>
    <row r="1532" spans="1:32" x14ac:dyDescent="0.2">
      <c r="A1532" s="1">
        <v>9408</v>
      </c>
      <c r="B1532" s="1" t="s">
        <v>4959</v>
      </c>
      <c r="C1532" s="5" t="s">
        <v>0</v>
      </c>
      <c r="D1532" s="1" t="s">
        <v>4960</v>
      </c>
      <c r="F1532" s="1" t="s">
        <v>4643</v>
      </c>
      <c r="G1532" s="1" t="s">
        <v>4644</v>
      </c>
      <c r="H1532" s="1" t="s">
        <v>684</v>
      </c>
      <c r="I1532" s="1" t="s">
        <v>16</v>
      </c>
      <c r="J1532" s="1">
        <v>1</v>
      </c>
      <c r="K1532" s="1">
        <v>3</v>
      </c>
      <c r="L1532" s="1" t="s">
        <v>17</v>
      </c>
      <c r="M1532" s="1" t="s">
        <v>18</v>
      </c>
      <c r="N1532" s="1" t="s">
        <v>18</v>
      </c>
      <c r="O1532" s="1">
        <v>2</v>
      </c>
      <c r="P1532" s="1">
        <v>7</v>
      </c>
      <c r="Q1532" s="7" t="s">
        <v>17633</v>
      </c>
      <c r="R1532" s="1" t="s">
        <v>62</v>
      </c>
      <c r="S1532" s="1" t="s">
        <v>20</v>
      </c>
      <c r="T1532" s="1" t="s">
        <v>21</v>
      </c>
      <c r="U1532" s="1" t="s">
        <v>22</v>
      </c>
      <c r="V1532" s="1" t="s">
        <v>24</v>
      </c>
      <c r="W1532" s="1" t="s">
        <v>24</v>
      </c>
      <c r="X1532" s="1">
        <v>3004</v>
      </c>
      <c r="Y1532" s="1">
        <v>2403</v>
      </c>
      <c r="Z1532" s="1">
        <v>2723</v>
      </c>
      <c r="AA1532" s="1" t="s">
        <v>24</v>
      </c>
      <c r="AB1532" s="1" t="s">
        <v>24</v>
      </c>
      <c r="AC1532" s="1" t="s">
        <v>24</v>
      </c>
      <c r="AD1532" s="1" t="s">
        <v>24</v>
      </c>
      <c r="AE1532" s="1" t="s">
        <v>24</v>
      </c>
      <c r="AF1532" s="22"/>
    </row>
    <row r="1533" spans="1:32" x14ac:dyDescent="0.2">
      <c r="A1533" s="1">
        <v>9414</v>
      </c>
      <c r="B1533" s="1" t="s">
        <v>4961</v>
      </c>
      <c r="C1533" s="5" t="s">
        <v>0</v>
      </c>
      <c r="D1533" s="1" t="s">
        <v>4962</v>
      </c>
      <c r="F1533" s="1" t="s">
        <v>272</v>
      </c>
      <c r="G1533" s="1" t="s">
        <v>61</v>
      </c>
      <c r="H1533" s="1" t="s">
        <v>30</v>
      </c>
      <c r="I1533" s="1" t="s">
        <v>16</v>
      </c>
      <c r="J1533" s="1">
        <v>1</v>
      </c>
      <c r="K1533" s="1">
        <v>4</v>
      </c>
      <c r="L1533" s="1" t="s">
        <v>31</v>
      </c>
      <c r="M1533" s="1" t="s">
        <v>105</v>
      </c>
      <c r="N1533" s="1" t="s">
        <v>105</v>
      </c>
      <c r="O1533" s="1">
        <v>3</v>
      </c>
      <c r="P1533" s="1">
        <v>7</v>
      </c>
      <c r="Q1533" s="7" t="s">
        <v>17633</v>
      </c>
      <c r="R1533" s="1" t="s">
        <v>19</v>
      </c>
      <c r="S1533" s="1" t="s">
        <v>20</v>
      </c>
      <c r="T1533" s="1" t="s">
        <v>21</v>
      </c>
      <c r="U1533" s="1" t="s">
        <v>22</v>
      </c>
      <c r="V1533" s="1" t="s">
        <v>23</v>
      </c>
      <c r="W1533" s="1" t="s">
        <v>24</v>
      </c>
      <c r="X1533" s="1">
        <v>2719</v>
      </c>
      <c r="Y1533" s="1" t="s">
        <v>24</v>
      </c>
      <c r="Z1533" s="1" t="s">
        <v>24</v>
      </c>
      <c r="AA1533" s="1" t="s">
        <v>24</v>
      </c>
      <c r="AB1533" s="1" t="s">
        <v>24</v>
      </c>
      <c r="AC1533" s="1" t="s">
        <v>24</v>
      </c>
      <c r="AD1533" s="1" t="s">
        <v>24</v>
      </c>
      <c r="AE1533" s="1" t="s">
        <v>24</v>
      </c>
      <c r="AF1533" s="22"/>
    </row>
    <row r="1534" spans="1:32" x14ac:dyDescent="0.2">
      <c r="A1534" s="1">
        <v>9421</v>
      </c>
      <c r="B1534" s="1" t="s">
        <v>4963</v>
      </c>
      <c r="C1534" s="5" t="s">
        <v>0</v>
      </c>
      <c r="D1534" s="1" t="s">
        <v>4964</v>
      </c>
      <c r="E1534" s="1" t="s">
        <v>4965</v>
      </c>
      <c r="F1534" s="1" t="s">
        <v>35</v>
      </c>
      <c r="G1534" s="1" t="s">
        <v>36</v>
      </c>
      <c r="H1534" s="1" t="s">
        <v>37</v>
      </c>
      <c r="I1534" s="1" t="s">
        <v>16</v>
      </c>
      <c r="J1534" s="1">
        <v>1</v>
      </c>
      <c r="K1534" s="1">
        <v>12</v>
      </c>
      <c r="L1534" s="1" t="s">
        <v>31</v>
      </c>
      <c r="M1534" s="1" t="s">
        <v>18</v>
      </c>
      <c r="N1534" s="1" t="s">
        <v>18</v>
      </c>
      <c r="O1534" s="1">
        <v>3</v>
      </c>
      <c r="P1534" s="1">
        <v>7</v>
      </c>
      <c r="Q1534" s="7" t="s">
        <v>17633</v>
      </c>
      <c r="R1534" s="1" t="s">
        <v>19</v>
      </c>
      <c r="S1534" s="1" t="s">
        <v>20</v>
      </c>
      <c r="T1534" s="1" t="s">
        <v>21</v>
      </c>
      <c r="U1534" s="1" t="s">
        <v>22</v>
      </c>
      <c r="V1534" s="1" t="s">
        <v>24</v>
      </c>
      <c r="W1534" s="1" t="s">
        <v>24</v>
      </c>
      <c r="X1534" s="1">
        <v>2747</v>
      </c>
      <c r="Y1534" s="1" t="s">
        <v>24</v>
      </c>
      <c r="Z1534" s="1" t="s">
        <v>24</v>
      </c>
      <c r="AA1534" s="1" t="s">
        <v>24</v>
      </c>
      <c r="AB1534" s="1" t="s">
        <v>24</v>
      </c>
      <c r="AC1534" s="1" t="s">
        <v>24</v>
      </c>
      <c r="AD1534" s="1" t="s">
        <v>24</v>
      </c>
      <c r="AE1534" s="1" t="s">
        <v>24</v>
      </c>
      <c r="AF1534" s="22"/>
    </row>
    <row r="1535" spans="1:32" x14ac:dyDescent="0.2">
      <c r="A1535" s="1">
        <v>9423</v>
      </c>
      <c r="B1535" s="1" t="s">
        <v>4966</v>
      </c>
      <c r="C1535" s="5" t="s">
        <v>0</v>
      </c>
      <c r="D1535" s="1" t="s">
        <v>4967</v>
      </c>
      <c r="E1535" s="1" t="s">
        <v>4968</v>
      </c>
      <c r="F1535" s="1" t="s">
        <v>4969</v>
      </c>
      <c r="G1535" s="1" t="s">
        <v>61</v>
      </c>
      <c r="H1535" s="1" t="s">
        <v>116</v>
      </c>
      <c r="I1535" s="1" t="s">
        <v>16</v>
      </c>
      <c r="J1535" s="1">
        <v>1</v>
      </c>
      <c r="K1535" s="1">
        <v>9</v>
      </c>
      <c r="L1535" s="1" t="s">
        <v>31</v>
      </c>
      <c r="M1535" s="1" t="s">
        <v>117</v>
      </c>
      <c r="N1535" s="1" t="s">
        <v>18</v>
      </c>
      <c r="O1535" s="1">
        <v>1</v>
      </c>
      <c r="P1535" s="1">
        <v>5</v>
      </c>
      <c r="R1535" s="1" t="s">
        <v>19</v>
      </c>
      <c r="S1535" s="1" t="s">
        <v>20</v>
      </c>
      <c r="T1535" s="1" t="s">
        <v>21</v>
      </c>
      <c r="U1535" s="1" t="s">
        <v>22</v>
      </c>
      <c r="V1535" s="1" t="s">
        <v>24</v>
      </c>
      <c r="W1535" s="1" t="s">
        <v>24</v>
      </c>
      <c r="X1535" s="1">
        <v>2728</v>
      </c>
      <c r="Y1535" s="1" t="s">
        <v>24</v>
      </c>
      <c r="Z1535" s="1" t="s">
        <v>24</v>
      </c>
      <c r="AA1535" s="1" t="s">
        <v>24</v>
      </c>
      <c r="AB1535" s="1" t="s">
        <v>24</v>
      </c>
      <c r="AC1535" s="1" t="s">
        <v>24</v>
      </c>
      <c r="AD1535" s="1" t="s">
        <v>24</v>
      </c>
      <c r="AE1535" s="1" t="s">
        <v>24</v>
      </c>
      <c r="AF1535" s="22"/>
    </row>
    <row r="1536" spans="1:32" x14ac:dyDescent="0.2">
      <c r="A1536" s="1">
        <v>9439</v>
      </c>
      <c r="B1536" s="1" t="s">
        <v>4970</v>
      </c>
      <c r="C1536" s="5" t="s">
        <v>0</v>
      </c>
      <c r="D1536" s="1" t="s">
        <v>4971</v>
      </c>
      <c r="E1536" s="1" t="s">
        <v>4972</v>
      </c>
      <c r="F1536" s="1" t="s">
        <v>155</v>
      </c>
      <c r="G1536" s="1" t="s">
        <v>61</v>
      </c>
      <c r="H1536" s="1" t="s">
        <v>37</v>
      </c>
      <c r="I1536" s="1" t="s">
        <v>16</v>
      </c>
      <c r="J1536" s="1">
        <v>1</v>
      </c>
      <c r="K1536" s="1">
        <v>12</v>
      </c>
      <c r="L1536" s="1" t="s">
        <v>31</v>
      </c>
      <c r="M1536" s="1" t="s">
        <v>18</v>
      </c>
      <c r="N1536" s="1" t="s">
        <v>18</v>
      </c>
      <c r="O1536" s="1">
        <v>3</v>
      </c>
      <c r="P1536" s="1">
        <v>8</v>
      </c>
      <c r="Q1536" s="7" t="s">
        <v>17633</v>
      </c>
      <c r="R1536" s="1" t="s">
        <v>19</v>
      </c>
      <c r="S1536" s="1" t="s">
        <v>20</v>
      </c>
      <c r="T1536" s="1" t="s">
        <v>21</v>
      </c>
      <c r="U1536" s="1" t="s">
        <v>22</v>
      </c>
      <c r="V1536" s="1" t="s">
        <v>24</v>
      </c>
      <c r="W1536" s="1" t="s">
        <v>24</v>
      </c>
      <c r="X1536" s="1">
        <v>2311</v>
      </c>
      <c r="Y1536" s="1" t="s">
        <v>24</v>
      </c>
      <c r="Z1536" s="1" t="s">
        <v>24</v>
      </c>
      <c r="AA1536" s="1" t="s">
        <v>24</v>
      </c>
      <c r="AB1536" s="1" t="s">
        <v>24</v>
      </c>
      <c r="AC1536" s="1" t="s">
        <v>24</v>
      </c>
      <c r="AD1536" s="1" t="s">
        <v>24</v>
      </c>
      <c r="AE1536" s="1" t="s">
        <v>24</v>
      </c>
      <c r="AF1536" s="22"/>
    </row>
    <row r="1537" spans="1:32" x14ac:dyDescent="0.2">
      <c r="A1537" s="1">
        <v>9445</v>
      </c>
      <c r="B1537" s="1" t="s">
        <v>4973</v>
      </c>
      <c r="C1537" s="5" t="s">
        <v>0</v>
      </c>
      <c r="D1537" s="1" t="s">
        <v>4974</v>
      </c>
      <c r="F1537" s="1" t="s">
        <v>4975</v>
      </c>
      <c r="G1537" s="1" t="s">
        <v>4975</v>
      </c>
      <c r="H1537" s="1" t="s">
        <v>2772</v>
      </c>
      <c r="I1537" s="1" t="s">
        <v>16</v>
      </c>
      <c r="J1537" s="1">
        <v>1</v>
      </c>
      <c r="K1537" s="1">
        <v>4</v>
      </c>
      <c r="L1537" s="1" t="s">
        <v>42</v>
      </c>
      <c r="M1537" s="1" t="s">
        <v>4976</v>
      </c>
      <c r="N1537" s="1" t="s">
        <v>18</v>
      </c>
      <c r="O1537" s="1">
        <v>2</v>
      </c>
      <c r="P1537" s="1">
        <v>4</v>
      </c>
      <c r="R1537" s="1" t="s">
        <v>19</v>
      </c>
      <c r="S1537" s="1" t="s">
        <v>20</v>
      </c>
      <c r="T1537" s="1" t="s">
        <v>21</v>
      </c>
      <c r="U1537" s="1" t="s">
        <v>22</v>
      </c>
      <c r="V1537" s="1" t="s">
        <v>24</v>
      </c>
      <c r="W1537" s="1" t="s">
        <v>24</v>
      </c>
      <c r="X1537" s="1">
        <v>3002</v>
      </c>
      <c r="Y1537" s="1">
        <v>3003</v>
      </c>
      <c r="Z1537" s="1">
        <v>3004</v>
      </c>
      <c r="AA1537" s="1" t="s">
        <v>24</v>
      </c>
      <c r="AB1537" s="1" t="s">
        <v>24</v>
      </c>
      <c r="AC1537" s="1" t="s">
        <v>24</v>
      </c>
      <c r="AD1537" s="1" t="s">
        <v>24</v>
      </c>
      <c r="AE1537" s="1" t="s">
        <v>24</v>
      </c>
      <c r="AF1537" s="22"/>
    </row>
    <row r="1538" spans="1:32" x14ac:dyDescent="0.2">
      <c r="A1538" s="1">
        <v>9484</v>
      </c>
      <c r="B1538" s="1" t="s">
        <v>4977</v>
      </c>
      <c r="C1538" s="5" t="s">
        <v>0</v>
      </c>
      <c r="D1538" s="1" t="s">
        <v>4978</v>
      </c>
      <c r="F1538" s="1" t="s">
        <v>4979</v>
      </c>
      <c r="G1538" s="1" t="s">
        <v>4979</v>
      </c>
      <c r="H1538" s="1" t="s">
        <v>428</v>
      </c>
      <c r="I1538" s="1" t="s">
        <v>16</v>
      </c>
      <c r="J1538" s="1">
        <v>1</v>
      </c>
      <c r="K1538" s="1">
        <v>4</v>
      </c>
      <c r="L1538" s="1" t="s">
        <v>17</v>
      </c>
      <c r="M1538" s="1" t="s">
        <v>255</v>
      </c>
      <c r="N1538" s="1" t="s">
        <v>18</v>
      </c>
      <c r="O1538" s="1">
        <v>2</v>
      </c>
      <c r="P1538" s="1">
        <v>5</v>
      </c>
      <c r="R1538" s="1" t="s">
        <v>19</v>
      </c>
      <c r="S1538" s="1" t="s">
        <v>20</v>
      </c>
      <c r="T1538" s="1" t="s">
        <v>21</v>
      </c>
      <c r="U1538" s="1" t="s">
        <v>22</v>
      </c>
      <c r="V1538" s="1" t="s">
        <v>24</v>
      </c>
      <c r="W1538" s="1" t="s">
        <v>24</v>
      </c>
      <c r="X1538" s="1">
        <v>3004</v>
      </c>
      <c r="Y1538" s="1">
        <v>2736</v>
      </c>
      <c r="Z1538" s="1" t="s">
        <v>24</v>
      </c>
      <c r="AA1538" s="1" t="s">
        <v>24</v>
      </c>
      <c r="AB1538" s="1" t="s">
        <v>24</v>
      </c>
      <c r="AC1538" s="1" t="s">
        <v>24</v>
      </c>
      <c r="AD1538" s="1" t="s">
        <v>24</v>
      </c>
      <c r="AE1538" s="1" t="s">
        <v>24</v>
      </c>
      <c r="AF1538" s="22"/>
    </row>
    <row r="1539" spans="1:32" x14ac:dyDescent="0.2">
      <c r="A1539" s="1">
        <v>9493</v>
      </c>
      <c r="B1539" s="1" t="s">
        <v>4980</v>
      </c>
      <c r="C1539" s="5" t="s">
        <v>0</v>
      </c>
      <c r="D1539" s="1" t="s">
        <v>4981</v>
      </c>
      <c r="F1539" s="1" t="s">
        <v>1343</v>
      </c>
      <c r="G1539" s="1" t="s">
        <v>1343</v>
      </c>
      <c r="H1539" s="1" t="s">
        <v>168</v>
      </c>
      <c r="I1539" s="1" t="s">
        <v>16</v>
      </c>
      <c r="J1539" s="1">
        <v>1</v>
      </c>
      <c r="K1539" s="1">
        <v>12</v>
      </c>
      <c r="L1539" s="1" t="s">
        <v>42</v>
      </c>
      <c r="M1539" s="1" t="s">
        <v>413</v>
      </c>
      <c r="N1539" s="1" t="s">
        <v>413</v>
      </c>
      <c r="O1539" s="1">
        <v>0</v>
      </c>
      <c r="P1539" s="1">
        <v>5</v>
      </c>
      <c r="R1539" s="1" t="s">
        <v>19</v>
      </c>
      <c r="S1539" s="1" t="s">
        <v>20</v>
      </c>
      <c r="T1539" s="1" t="s">
        <v>21</v>
      </c>
      <c r="U1539" s="1" t="s">
        <v>22</v>
      </c>
      <c r="V1539" s="1" t="s">
        <v>23</v>
      </c>
      <c r="W1539" s="1" t="s">
        <v>24</v>
      </c>
      <c r="X1539" s="1">
        <v>2736</v>
      </c>
      <c r="Y1539" s="1" t="s">
        <v>24</v>
      </c>
      <c r="Z1539" s="1" t="s">
        <v>24</v>
      </c>
      <c r="AA1539" s="1" t="s">
        <v>24</v>
      </c>
      <c r="AB1539" s="1" t="s">
        <v>24</v>
      </c>
      <c r="AC1539" s="1" t="s">
        <v>24</v>
      </c>
      <c r="AD1539" s="1" t="s">
        <v>24</v>
      </c>
      <c r="AE1539" s="1" t="s">
        <v>24</v>
      </c>
      <c r="AF1539" s="22"/>
    </row>
    <row r="1540" spans="1:32" x14ac:dyDescent="0.2">
      <c r="A1540" s="1">
        <v>9496</v>
      </c>
      <c r="B1540" s="1" t="s">
        <v>4982</v>
      </c>
      <c r="C1540" s="5" t="s">
        <v>0</v>
      </c>
      <c r="D1540" s="1" t="s">
        <v>4983</v>
      </c>
      <c r="E1540" s="1" t="s">
        <v>4984</v>
      </c>
      <c r="F1540" s="1" t="s">
        <v>669</v>
      </c>
      <c r="G1540" s="1" t="s">
        <v>311</v>
      </c>
      <c r="H1540" s="1" t="s">
        <v>30</v>
      </c>
      <c r="I1540" s="1" t="s">
        <v>16</v>
      </c>
      <c r="J1540" s="1">
        <v>1</v>
      </c>
      <c r="K1540" s="1">
        <v>6</v>
      </c>
      <c r="L1540" s="1" t="s">
        <v>31</v>
      </c>
      <c r="M1540" s="1" t="s">
        <v>18</v>
      </c>
      <c r="N1540" s="1" t="s">
        <v>18</v>
      </c>
      <c r="O1540" s="1">
        <v>2</v>
      </c>
      <c r="P1540" s="1">
        <v>7</v>
      </c>
      <c r="Q1540" s="7" t="s">
        <v>17633</v>
      </c>
      <c r="R1540" s="1" t="s">
        <v>19</v>
      </c>
      <c r="S1540" s="1" t="s">
        <v>20</v>
      </c>
      <c r="T1540" s="1" t="s">
        <v>21</v>
      </c>
      <c r="U1540" s="1" t="s">
        <v>22</v>
      </c>
      <c r="V1540" s="1" t="s">
        <v>24</v>
      </c>
      <c r="W1540" s="1" t="s">
        <v>24</v>
      </c>
      <c r="X1540" s="1">
        <v>1500</v>
      </c>
      <c r="Y1540" s="1" t="s">
        <v>24</v>
      </c>
      <c r="Z1540" s="1" t="s">
        <v>24</v>
      </c>
      <c r="AA1540" s="1" t="s">
        <v>24</v>
      </c>
      <c r="AB1540" s="1" t="s">
        <v>24</v>
      </c>
      <c r="AC1540" s="1" t="s">
        <v>24</v>
      </c>
      <c r="AD1540" s="1" t="s">
        <v>24</v>
      </c>
      <c r="AE1540" s="1" t="s">
        <v>24</v>
      </c>
      <c r="AF1540" s="22"/>
    </row>
    <row r="1541" spans="1:32" x14ac:dyDescent="0.2">
      <c r="A1541" s="1">
        <v>9513</v>
      </c>
      <c r="B1541" s="1" t="s">
        <v>4985</v>
      </c>
      <c r="C1541" s="5" t="s">
        <v>0</v>
      </c>
      <c r="D1541" s="1" t="s">
        <v>4986</v>
      </c>
      <c r="F1541" s="1" t="s">
        <v>4987</v>
      </c>
      <c r="G1541" s="1" t="s">
        <v>4988</v>
      </c>
      <c r="H1541" s="1" t="s">
        <v>428</v>
      </c>
      <c r="I1541" s="1" t="s">
        <v>16</v>
      </c>
      <c r="J1541" s="1">
        <v>1</v>
      </c>
      <c r="K1541" s="1">
        <v>12</v>
      </c>
      <c r="L1541" s="1" t="s">
        <v>17</v>
      </c>
      <c r="M1541" s="1" t="s">
        <v>255</v>
      </c>
      <c r="N1541" s="1" t="s">
        <v>18</v>
      </c>
      <c r="O1541" s="1">
        <v>1</v>
      </c>
      <c r="P1541" s="1">
        <v>5</v>
      </c>
      <c r="R1541" s="1" t="s">
        <v>19</v>
      </c>
      <c r="S1541" s="1" t="s">
        <v>20</v>
      </c>
      <c r="T1541" s="1" t="s">
        <v>21</v>
      </c>
      <c r="U1541" s="1" t="s">
        <v>22</v>
      </c>
      <c r="V1541" s="1" t="s">
        <v>24</v>
      </c>
      <c r="W1541" s="1" t="s">
        <v>24</v>
      </c>
      <c r="X1541" s="1">
        <v>3003</v>
      </c>
      <c r="Y1541" s="1">
        <v>3004</v>
      </c>
      <c r="Z1541" s="1" t="s">
        <v>24</v>
      </c>
      <c r="AA1541" s="1" t="s">
        <v>24</v>
      </c>
      <c r="AB1541" s="1" t="s">
        <v>24</v>
      </c>
      <c r="AC1541" s="1" t="s">
        <v>24</v>
      </c>
      <c r="AD1541" s="1" t="s">
        <v>24</v>
      </c>
      <c r="AE1541" s="1" t="s">
        <v>24</v>
      </c>
      <c r="AF1541" s="22"/>
    </row>
    <row r="1542" spans="1:32" x14ac:dyDescent="0.2">
      <c r="A1542" s="1">
        <v>9514</v>
      </c>
      <c r="B1542" s="1" t="s">
        <v>4989</v>
      </c>
      <c r="C1542" s="5" t="s">
        <v>0</v>
      </c>
      <c r="D1542" s="1" t="s">
        <v>4990</v>
      </c>
      <c r="F1542" s="1" t="s">
        <v>4991</v>
      </c>
      <c r="G1542" s="1" t="s">
        <v>4992</v>
      </c>
      <c r="H1542" s="1" t="s">
        <v>4993</v>
      </c>
      <c r="I1542" s="1" t="s">
        <v>16</v>
      </c>
      <c r="J1542" s="1">
        <v>1</v>
      </c>
      <c r="K1542" s="1">
        <v>6</v>
      </c>
      <c r="L1542" s="1" t="s">
        <v>42</v>
      </c>
      <c r="M1542" s="1" t="s">
        <v>4994</v>
      </c>
      <c r="N1542" s="1" t="s">
        <v>18</v>
      </c>
      <c r="O1542" s="1">
        <v>2</v>
      </c>
      <c r="P1542" s="1">
        <v>5</v>
      </c>
      <c r="R1542" s="1" t="s">
        <v>19</v>
      </c>
      <c r="S1542" s="1" t="s">
        <v>20</v>
      </c>
      <c r="T1542" s="1" t="s">
        <v>21</v>
      </c>
      <c r="U1542" s="1" t="s">
        <v>22</v>
      </c>
      <c r="V1542" s="1" t="s">
        <v>24</v>
      </c>
      <c r="W1542" s="1" t="s">
        <v>24</v>
      </c>
      <c r="X1542" s="1">
        <v>3003</v>
      </c>
      <c r="Y1542" s="1">
        <v>3004</v>
      </c>
      <c r="Z1542" s="1" t="s">
        <v>24</v>
      </c>
      <c r="AA1542" s="1" t="s">
        <v>24</v>
      </c>
      <c r="AB1542" s="1" t="s">
        <v>24</v>
      </c>
      <c r="AC1542" s="1" t="s">
        <v>24</v>
      </c>
      <c r="AD1542" s="1" t="s">
        <v>24</v>
      </c>
      <c r="AE1542" s="1" t="s">
        <v>24</v>
      </c>
      <c r="AF1542" s="22"/>
    </row>
    <row r="1543" spans="1:32" x14ac:dyDescent="0.2">
      <c r="A1543" s="1">
        <v>9515</v>
      </c>
      <c r="B1543" s="1" t="s">
        <v>4995</v>
      </c>
      <c r="C1543" s="5" t="s">
        <v>0</v>
      </c>
      <c r="D1543" s="1" t="s">
        <v>4996</v>
      </c>
      <c r="F1543" s="1" t="s">
        <v>4997</v>
      </c>
      <c r="G1543" s="1" t="s">
        <v>4997</v>
      </c>
      <c r="H1543" s="1" t="s">
        <v>899</v>
      </c>
      <c r="I1543" s="1" t="s">
        <v>16</v>
      </c>
      <c r="J1543" s="1">
        <v>1</v>
      </c>
      <c r="K1543" s="1">
        <v>12</v>
      </c>
      <c r="L1543" s="1" t="s">
        <v>17</v>
      </c>
      <c r="M1543" s="1" t="s">
        <v>18</v>
      </c>
      <c r="N1543" s="1" t="s">
        <v>18</v>
      </c>
      <c r="O1543" s="1">
        <v>2</v>
      </c>
      <c r="P1543" s="1">
        <v>5</v>
      </c>
      <c r="R1543" s="1" t="s">
        <v>19</v>
      </c>
      <c r="S1543" s="1" t="s">
        <v>20</v>
      </c>
      <c r="T1543" s="1" t="s">
        <v>21</v>
      </c>
      <c r="U1543" s="1" t="s">
        <v>22</v>
      </c>
      <c r="V1543" s="1" t="s">
        <v>24</v>
      </c>
      <c r="W1543" s="1" t="s">
        <v>24</v>
      </c>
      <c r="X1543" s="1">
        <v>3002</v>
      </c>
      <c r="Y1543" s="1">
        <v>3003</v>
      </c>
      <c r="Z1543" s="1">
        <v>3004</v>
      </c>
      <c r="AA1543" s="1" t="s">
        <v>24</v>
      </c>
      <c r="AB1543" s="1" t="s">
        <v>24</v>
      </c>
      <c r="AC1543" s="1" t="s">
        <v>24</v>
      </c>
      <c r="AD1543" s="1" t="s">
        <v>24</v>
      </c>
      <c r="AE1543" s="1" t="s">
        <v>24</v>
      </c>
      <c r="AF1543" s="22"/>
    </row>
    <row r="1544" spans="1:32" x14ac:dyDescent="0.2">
      <c r="A1544" s="1">
        <v>9530</v>
      </c>
      <c r="B1544" s="1" t="s">
        <v>4998</v>
      </c>
      <c r="C1544" s="5" t="s">
        <v>0</v>
      </c>
      <c r="D1544" s="1" t="s">
        <v>4999</v>
      </c>
      <c r="F1544" s="1" t="s">
        <v>5000</v>
      </c>
      <c r="G1544" s="1" t="s">
        <v>5000</v>
      </c>
      <c r="H1544" s="1" t="s">
        <v>30</v>
      </c>
      <c r="I1544" s="1" t="s">
        <v>5001</v>
      </c>
      <c r="J1544" s="1">
        <v>1</v>
      </c>
      <c r="K1544" s="1">
        <v>12</v>
      </c>
      <c r="L1544" s="1" t="s">
        <v>42</v>
      </c>
      <c r="M1544" s="1" t="s">
        <v>18</v>
      </c>
      <c r="N1544" s="1" t="s">
        <v>18</v>
      </c>
      <c r="O1544" s="1">
        <v>0</v>
      </c>
      <c r="P1544" s="1">
        <v>5</v>
      </c>
      <c r="R1544" s="1" t="s">
        <v>19</v>
      </c>
      <c r="S1544" s="1" t="s">
        <v>20</v>
      </c>
      <c r="T1544" s="1" t="s">
        <v>21</v>
      </c>
      <c r="U1544" s="1" t="s">
        <v>22</v>
      </c>
      <c r="V1544" s="1" t="s">
        <v>23</v>
      </c>
      <c r="W1544" s="1" t="s">
        <v>24</v>
      </c>
      <c r="X1544" s="1">
        <v>3003</v>
      </c>
      <c r="Y1544" s="1">
        <v>3004</v>
      </c>
      <c r="Z1544" s="1">
        <v>3611</v>
      </c>
      <c r="AA1544" s="1" t="s">
        <v>24</v>
      </c>
      <c r="AB1544" s="1" t="s">
        <v>24</v>
      </c>
      <c r="AC1544" s="1" t="s">
        <v>24</v>
      </c>
      <c r="AD1544" s="1" t="s">
        <v>24</v>
      </c>
      <c r="AE1544" s="1" t="s">
        <v>24</v>
      </c>
      <c r="AF1544" s="22"/>
    </row>
    <row r="1545" spans="1:32" x14ac:dyDescent="0.2">
      <c r="A1545" s="1">
        <v>9550</v>
      </c>
      <c r="B1545" s="1" t="s">
        <v>5002</v>
      </c>
      <c r="C1545" s="5" t="s">
        <v>0</v>
      </c>
      <c r="D1545" s="1" t="s">
        <v>5003</v>
      </c>
      <c r="F1545" s="1" t="s">
        <v>5004</v>
      </c>
      <c r="G1545" s="1" t="s">
        <v>5004</v>
      </c>
      <c r="H1545" s="1" t="s">
        <v>1007</v>
      </c>
      <c r="I1545" s="1" t="s">
        <v>16</v>
      </c>
      <c r="J1545" s="1">
        <v>1</v>
      </c>
      <c r="K1545" s="1">
        <v>6</v>
      </c>
      <c r="L1545" s="1" t="s">
        <v>17</v>
      </c>
      <c r="M1545" s="1" t="s">
        <v>4418</v>
      </c>
      <c r="N1545" s="1" t="s">
        <v>1009</v>
      </c>
      <c r="O1545" s="1">
        <v>3</v>
      </c>
      <c r="P1545" s="1">
        <v>5</v>
      </c>
      <c r="R1545" s="1" t="s">
        <v>19</v>
      </c>
      <c r="S1545" s="1" t="s">
        <v>20</v>
      </c>
      <c r="T1545" s="1" t="s">
        <v>21</v>
      </c>
      <c r="U1545" s="1" t="s">
        <v>22</v>
      </c>
      <c r="V1545" s="1" t="s">
        <v>24</v>
      </c>
      <c r="W1545" s="1" t="s">
        <v>24</v>
      </c>
      <c r="X1545" s="1">
        <v>3003</v>
      </c>
      <c r="Y1545" s="1">
        <v>3004</v>
      </c>
      <c r="Z1545" s="1" t="s">
        <v>24</v>
      </c>
      <c r="AA1545" s="1" t="s">
        <v>24</v>
      </c>
      <c r="AB1545" s="1" t="s">
        <v>24</v>
      </c>
      <c r="AC1545" s="1" t="s">
        <v>24</v>
      </c>
      <c r="AD1545" s="1" t="s">
        <v>24</v>
      </c>
      <c r="AE1545" s="1" t="s">
        <v>24</v>
      </c>
      <c r="AF1545" s="22"/>
    </row>
    <row r="1546" spans="1:32" x14ac:dyDescent="0.2">
      <c r="A1546" s="1">
        <v>9573</v>
      </c>
      <c r="B1546" s="1" t="s">
        <v>5005</v>
      </c>
      <c r="C1546" s="5" t="s">
        <v>0</v>
      </c>
      <c r="D1546" s="1" t="s">
        <v>5006</v>
      </c>
      <c r="F1546" s="1" t="s">
        <v>1887</v>
      </c>
      <c r="G1546" s="1" t="s">
        <v>254</v>
      </c>
      <c r="H1546" s="1" t="s">
        <v>168</v>
      </c>
      <c r="I1546" s="1" t="s">
        <v>16</v>
      </c>
      <c r="J1546" s="1">
        <v>1</v>
      </c>
      <c r="K1546" s="1">
        <v>4</v>
      </c>
      <c r="L1546" s="1" t="s">
        <v>31</v>
      </c>
      <c r="M1546" s="1" t="s">
        <v>18</v>
      </c>
      <c r="N1546" s="1" t="s">
        <v>18</v>
      </c>
      <c r="O1546" s="1">
        <v>2</v>
      </c>
      <c r="P1546" s="1">
        <v>6</v>
      </c>
      <c r="R1546" s="1" t="s">
        <v>19</v>
      </c>
      <c r="S1546" s="1" t="s">
        <v>20</v>
      </c>
      <c r="T1546" s="1" t="s">
        <v>21</v>
      </c>
      <c r="U1546" s="1" t="s">
        <v>22</v>
      </c>
      <c r="V1546" s="1" t="s">
        <v>24</v>
      </c>
      <c r="W1546" s="1" t="s">
        <v>24</v>
      </c>
      <c r="X1546" s="1">
        <v>2736</v>
      </c>
      <c r="Y1546" s="1">
        <v>3000</v>
      </c>
      <c r="Z1546" s="1" t="s">
        <v>24</v>
      </c>
      <c r="AA1546" s="1" t="s">
        <v>24</v>
      </c>
      <c r="AB1546" s="1" t="s">
        <v>24</v>
      </c>
      <c r="AC1546" s="1" t="s">
        <v>24</v>
      </c>
      <c r="AD1546" s="1" t="s">
        <v>24</v>
      </c>
      <c r="AE1546" s="1" t="s">
        <v>24</v>
      </c>
      <c r="AF1546" s="22" t="s">
        <v>17679</v>
      </c>
    </row>
    <row r="1547" spans="1:32" x14ac:dyDescent="0.2">
      <c r="A1547" s="1">
        <v>9586</v>
      </c>
      <c r="B1547" s="1" t="s">
        <v>5007</v>
      </c>
      <c r="C1547" s="5" t="s">
        <v>0</v>
      </c>
      <c r="D1547" s="1" t="s">
        <v>5008</v>
      </c>
      <c r="E1547" s="1" t="s">
        <v>5009</v>
      </c>
      <c r="F1547" s="1" t="s">
        <v>291</v>
      </c>
      <c r="G1547" s="1" t="s">
        <v>292</v>
      </c>
      <c r="H1547" s="1" t="s">
        <v>37</v>
      </c>
      <c r="I1547" s="1" t="s">
        <v>16</v>
      </c>
      <c r="J1547" s="1">
        <v>1</v>
      </c>
      <c r="K1547" s="1">
        <v>6</v>
      </c>
      <c r="L1547" s="1" t="s">
        <v>31</v>
      </c>
      <c r="M1547" s="1" t="s">
        <v>18</v>
      </c>
      <c r="N1547" s="1" t="s">
        <v>18</v>
      </c>
      <c r="O1547" s="1">
        <v>3</v>
      </c>
      <c r="P1547" s="1">
        <v>7</v>
      </c>
      <c r="Q1547" s="7" t="s">
        <v>17633</v>
      </c>
      <c r="R1547" s="1" t="s">
        <v>19</v>
      </c>
      <c r="S1547" s="1" t="s">
        <v>20</v>
      </c>
      <c r="T1547" s="1" t="s">
        <v>21</v>
      </c>
      <c r="U1547" s="1" t="s">
        <v>22</v>
      </c>
      <c r="V1547" s="1" t="s">
        <v>24</v>
      </c>
      <c r="W1547" s="1" t="s">
        <v>24</v>
      </c>
      <c r="X1547" s="1">
        <v>2727</v>
      </c>
      <c r="Y1547" s="1">
        <v>2748</v>
      </c>
      <c r="Z1547" s="1" t="s">
        <v>24</v>
      </c>
      <c r="AA1547" s="1" t="s">
        <v>24</v>
      </c>
      <c r="AB1547" s="1" t="s">
        <v>24</v>
      </c>
      <c r="AC1547" s="1" t="s">
        <v>24</v>
      </c>
      <c r="AD1547" s="1" t="s">
        <v>24</v>
      </c>
      <c r="AE1547" s="1" t="s">
        <v>24</v>
      </c>
      <c r="AF1547" s="22"/>
    </row>
    <row r="1548" spans="1:32" x14ac:dyDescent="0.2">
      <c r="A1548" s="1">
        <v>9596</v>
      </c>
      <c r="B1548" s="1" t="s">
        <v>5010</v>
      </c>
      <c r="C1548" s="5" t="s">
        <v>0</v>
      </c>
      <c r="D1548" s="1" t="s">
        <v>5011</v>
      </c>
      <c r="E1548" s="1" t="s">
        <v>5012</v>
      </c>
      <c r="F1548" s="1" t="s">
        <v>35</v>
      </c>
      <c r="G1548" s="1" t="s">
        <v>36</v>
      </c>
      <c r="H1548" s="1" t="s">
        <v>37</v>
      </c>
      <c r="I1548" s="1" t="s">
        <v>16</v>
      </c>
      <c r="J1548" s="1">
        <v>1</v>
      </c>
      <c r="K1548" s="1">
        <v>10</v>
      </c>
      <c r="L1548" s="1" t="s">
        <v>31</v>
      </c>
      <c r="M1548" s="1" t="s">
        <v>18</v>
      </c>
      <c r="N1548" s="1" t="s">
        <v>18</v>
      </c>
      <c r="O1548" s="1">
        <v>3</v>
      </c>
      <c r="P1548" s="1">
        <v>7</v>
      </c>
      <c r="Q1548" s="7" t="s">
        <v>17633</v>
      </c>
      <c r="R1548" s="1" t="s">
        <v>19</v>
      </c>
      <c r="S1548" s="1" t="s">
        <v>20</v>
      </c>
      <c r="T1548" s="1" t="s">
        <v>21</v>
      </c>
      <c r="U1548" s="1" t="s">
        <v>22</v>
      </c>
      <c r="V1548" s="1" t="s">
        <v>23</v>
      </c>
      <c r="W1548" s="1" t="s">
        <v>24</v>
      </c>
      <c r="X1548" s="1">
        <v>1306</v>
      </c>
      <c r="Y1548" s="1">
        <v>2734</v>
      </c>
      <c r="Z1548" s="1">
        <v>2733</v>
      </c>
      <c r="AA1548" s="1">
        <v>3504</v>
      </c>
      <c r="AB1548" s="1">
        <v>3506</v>
      </c>
      <c r="AC1548" s="1" t="s">
        <v>24</v>
      </c>
      <c r="AD1548" s="1" t="s">
        <v>24</v>
      </c>
      <c r="AE1548" s="1" t="s">
        <v>24</v>
      </c>
      <c r="AF1548" s="22"/>
    </row>
    <row r="1549" spans="1:32" x14ac:dyDescent="0.2">
      <c r="A1549" s="1">
        <v>9639</v>
      </c>
      <c r="B1549" s="1" t="s">
        <v>5013</v>
      </c>
      <c r="C1549" s="5" t="s">
        <v>0</v>
      </c>
      <c r="D1549" s="1" t="s">
        <v>5014</v>
      </c>
      <c r="E1549" s="1" t="s">
        <v>5015</v>
      </c>
      <c r="F1549" s="1" t="s">
        <v>4337</v>
      </c>
      <c r="G1549" s="1" t="s">
        <v>4338</v>
      </c>
      <c r="H1549" s="1" t="s">
        <v>30</v>
      </c>
      <c r="I1549" s="1" t="s">
        <v>16</v>
      </c>
      <c r="J1549" s="1">
        <v>1</v>
      </c>
      <c r="K1549" s="1">
        <v>4</v>
      </c>
      <c r="L1549" s="1" t="s">
        <v>31</v>
      </c>
      <c r="M1549" s="1" t="s">
        <v>18</v>
      </c>
      <c r="N1549" s="1" t="s">
        <v>18</v>
      </c>
      <c r="O1549" s="1">
        <v>3</v>
      </c>
      <c r="P1549" s="1">
        <v>7</v>
      </c>
      <c r="Q1549" s="7" t="s">
        <v>17633</v>
      </c>
      <c r="R1549" s="1" t="s">
        <v>19</v>
      </c>
      <c r="S1549" s="1" t="s">
        <v>20</v>
      </c>
      <c r="T1549" s="1" t="s">
        <v>21</v>
      </c>
      <c r="U1549" s="1" t="s">
        <v>22</v>
      </c>
      <c r="V1549" s="1" t="s">
        <v>23</v>
      </c>
      <c r="W1549" s="1" t="s">
        <v>24</v>
      </c>
      <c r="X1549" s="1">
        <v>2729</v>
      </c>
      <c r="Y1549" s="1">
        <v>2746</v>
      </c>
      <c r="Z1549" s="1" t="s">
        <v>24</v>
      </c>
      <c r="AA1549" s="1" t="s">
        <v>24</v>
      </c>
      <c r="AB1549" s="1" t="s">
        <v>24</v>
      </c>
      <c r="AC1549" s="1" t="s">
        <v>24</v>
      </c>
      <c r="AD1549" s="1" t="s">
        <v>24</v>
      </c>
      <c r="AE1549" s="1" t="s">
        <v>24</v>
      </c>
      <c r="AF1549" s="22"/>
    </row>
    <row r="1550" spans="1:32" x14ac:dyDescent="0.2">
      <c r="A1550" s="1">
        <v>9664</v>
      </c>
      <c r="B1550" s="1" t="s">
        <v>5016</v>
      </c>
      <c r="C1550" s="5" t="s">
        <v>0</v>
      </c>
      <c r="D1550" s="1" t="s">
        <v>5017</v>
      </c>
      <c r="E1550" s="1" t="s">
        <v>5018</v>
      </c>
      <c r="F1550" s="1" t="s">
        <v>517</v>
      </c>
      <c r="G1550" s="1" t="s">
        <v>36</v>
      </c>
      <c r="H1550" s="1" t="s">
        <v>30</v>
      </c>
      <c r="I1550" s="1" t="s">
        <v>16</v>
      </c>
      <c r="J1550" s="1">
        <v>1</v>
      </c>
      <c r="K1550" s="1">
        <v>12</v>
      </c>
      <c r="L1550" s="1" t="s">
        <v>31</v>
      </c>
      <c r="M1550" s="1" t="s">
        <v>18</v>
      </c>
      <c r="N1550" s="1" t="s">
        <v>18</v>
      </c>
      <c r="O1550" s="1">
        <v>3</v>
      </c>
      <c r="P1550" s="1">
        <v>7</v>
      </c>
      <c r="Q1550" s="7" t="s">
        <v>17633</v>
      </c>
      <c r="R1550" s="1" t="s">
        <v>19</v>
      </c>
      <c r="S1550" s="1" t="s">
        <v>20</v>
      </c>
      <c r="T1550" s="1" t="s">
        <v>21</v>
      </c>
      <c r="U1550" s="1" t="s">
        <v>22</v>
      </c>
      <c r="V1550" s="1" t="s">
        <v>24</v>
      </c>
      <c r="W1550" s="1" t="s">
        <v>24</v>
      </c>
      <c r="X1550" s="1">
        <v>2733</v>
      </c>
      <c r="Y1550" s="1" t="s">
        <v>24</v>
      </c>
      <c r="Z1550" s="1" t="s">
        <v>24</v>
      </c>
      <c r="AA1550" s="1" t="s">
        <v>24</v>
      </c>
      <c r="AB1550" s="1" t="s">
        <v>24</v>
      </c>
      <c r="AC1550" s="1" t="s">
        <v>24</v>
      </c>
      <c r="AD1550" s="1" t="s">
        <v>24</v>
      </c>
      <c r="AE1550" s="1" t="s">
        <v>24</v>
      </c>
      <c r="AF1550" s="22"/>
    </row>
    <row r="1551" spans="1:32" x14ac:dyDescent="0.2">
      <c r="A1551" s="1">
        <v>9667</v>
      </c>
      <c r="B1551" s="1" t="s">
        <v>5019</v>
      </c>
      <c r="C1551" s="5" t="s">
        <v>0</v>
      </c>
      <c r="D1551" s="1" t="s">
        <v>5020</v>
      </c>
      <c r="F1551" s="1" t="s">
        <v>437</v>
      </c>
      <c r="G1551" s="1" t="s">
        <v>437</v>
      </c>
      <c r="H1551" s="1" t="s">
        <v>168</v>
      </c>
      <c r="I1551" s="1" t="s">
        <v>16</v>
      </c>
      <c r="J1551" s="1">
        <v>1</v>
      </c>
      <c r="K1551" s="1">
        <v>6</v>
      </c>
      <c r="L1551" s="1" t="s">
        <v>42</v>
      </c>
      <c r="M1551" s="1" t="s">
        <v>413</v>
      </c>
      <c r="N1551" s="1" t="s">
        <v>242</v>
      </c>
      <c r="O1551" s="1">
        <v>3</v>
      </c>
      <c r="P1551" s="1">
        <v>6</v>
      </c>
      <c r="R1551" s="1" t="s">
        <v>19</v>
      </c>
      <c r="S1551" s="1" t="s">
        <v>20</v>
      </c>
      <c r="T1551" s="1" t="s">
        <v>21</v>
      </c>
      <c r="U1551" s="1" t="s">
        <v>22</v>
      </c>
      <c r="V1551" s="1" t="s">
        <v>24</v>
      </c>
      <c r="W1551" s="1" t="s">
        <v>24</v>
      </c>
      <c r="X1551" s="1">
        <v>2715</v>
      </c>
      <c r="Y1551" s="1" t="s">
        <v>24</v>
      </c>
      <c r="Z1551" s="1" t="s">
        <v>24</v>
      </c>
      <c r="AA1551" s="1" t="s">
        <v>24</v>
      </c>
      <c r="AB1551" s="1" t="s">
        <v>24</v>
      </c>
      <c r="AC1551" s="1" t="s">
        <v>24</v>
      </c>
      <c r="AD1551" s="1" t="s">
        <v>24</v>
      </c>
      <c r="AE1551" s="1" t="s">
        <v>24</v>
      </c>
      <c r="AF1551" s="22"/>
    </row>
    <row r="1552" spans="1:32" x14ac:dyDescent="0.2">
      <c r="A1552" s="1">
        <v>9669</v>
      </c>
      <c r="B1552" s="1" t="s">
        <v>5021</v>
      </c>
      <c r="C1552" s="5" t="s">
        <v>0</v>
      </c>
      <c r="D1552" s="1" t="s">
        <v>5022</v>
      </c>
      <c r="E1552" s="1" t="s">
        <v>5023</v>
      </c>
      <c r="F1552" s="1" t="s">
        <v>167</v>
      </c>
      <c r="G1552" s="1" t="s">
        <v>130</v>
      </c>
      <c r="H1552" s="1" t="s">
        <v>168</v>
      </c>
      <c r="I1552" s="1" t="s">
        <v>16</v>
      </c>
      <c r="J1552" s="1">
        <v>1</v>
      </c>
      <c r="K1552" s="1">
        <v>10</v>
      </c>
      <c r="L1552" s="1" t="s">
        <v>31</v>
      </c>
      <c r="M1552" s="1" t="s">
        <v>18</v>
      </c>
      <c r="N1552" s="1" t="s">
        <v>18</v>
      </c>
      <c r="O1552" s="1">
        <v>3</v>
      </c>
      <c r="P1552" s="1">
        <v>7</v>
      </c>
      <c r="Q1552" s="7" t="s">
        <v>17633</v>
      </c>
      <c r="R1552" s="1" t="s">
        <v>19</v>
      </c>
      <c r="S1552" s="1" t="s">
        <v>20</v>
      </c>
      <c r="T1552" s="1" t="s">
        <v>21</v>
      </c>
      <c r="U1552" s="1" t="s">
        <v>22</v>
      </c>
      <c r="V1552" s="1" t="s">
        <v>23</v>
      </c>
      <c r="W1552" s="1" t="s">
        <v>24</v>
      </c>
      <c r="X1552" s="1">
        <v>2746</v>
      </c>
      <c r="Y1552" s="1">
        <v>2732</v>
      </c>
      <c r="Z1552" s="1" t="s">
        <v>24</v>
      </c>
      <c r="AA1552" s="1" t="s">
        <v>24</v>
      </c>
      <c r="AB1552" s="1" t="s">
        <v>24</v>
      </c>
      <c r="AC1552" s="1" t="s">
        <v>24</v>
      </c>
      <c r="AD1552" s="1" t="s">
        <v>24</v>
      </c>
      <c r="AE1552" s="1" t="s">
        <v>24</v>
      </c>
      <c r="AF1552" s="22"/>
    </row>
    <row r="1553" spans="1:32" x14ac:dyDescent="0.2">
      <c r="A1553" s="1">
        <v>9670</v>
      </c>
      <c r="B1553" s="1" t="s">
        <v>5024</v>
      </c>
      <c r="C1553" s="5" t="s">
        <v>0</v>
      </c>
      <c r="D1553" s="1" t="s">
        <v>5025</v>
      </c>
      <c r="E1553" s="1" t="s">
        <v>5026</v>
      </c>
      <c r="F1553" s="1" t="s">
        <v>35</v>
      </c>
      <c r="G1553" s="1" t="s">
        <v>36</v>
      </c>
      <c r="H1553" s="1" t="s">
        <v>37</v>
      </c>
      <c r="I1553" s="1" t="s">
        <v>16</v>
      </c>
      <c r="J1553" s="1">
        <v>2</v>
      </c>
      <c r="K1553" s="1">
        <v>12</v>
      </c>
      <c r="L1553" s="1" t="s">
        <v>31</v>
      </c>
      <c r="M1553" s="1" t="s">
        <v>18</v>
      </c>
      <c r="N1553" s="1" t="s">
        <v>18</v>
      </c>
      <c r="O1553" s="1">
        <v>3</v>
      </c>
      <c r="P1553" s="1">
        <v>7</v>
      </c>
      <c r="Q1553" s="7" t="s">
        <v>17633</v>
      </c>
      <c r="R1553" s="1" t="s">
        <v>62</v>
      </c>
      <c r="S1553" s="1" t="s">
        <v>20</v>
      </c>
      <c r="T1553" s="1" t="s">
        <v>21</v>
      </c>
      <c r="U1553" s="1" t="s">
        <v>22</v>
      </c>
      <c r="V1553" s="1" t="s">
        <v>24</v>
      </c>
      <c r="W1553" s="1" t="s">
        <v>24</v>
      </c>
      <c r="X1553" s="1">
        <v>2736</v>
      </c>
      <c r="Y1553" s="1" t="s">
        <v>24</v>
      </c>
      <c r="Z1553" s="1" t="s">
        <v>24</v>
      </c>
      <c r="AA1553" s="1" t="s">
        <v>24</v>
      </c>
      <c r="AB1553" s="1" t="s">
        <v>24</v>
      </c>
      <c r="AC1553" s="1" t="s">
        <v>24</v>
      </c>
      <c r="AD1553" s="1" t="s">
        <v>24</v>
      </c>
      <c r="AE1553" s="1" t="s">
        <v>24</v>
      </c>
      <c r="AF1553" s="22"/>
    </row>
    <row r="1554" spans="1:32" x14ac:dyDescent="0.2">
      <c r="A1554" s="1">
        <v>9672</v>
      </c>
      <c r="B1554" s="1" t="s">
        <v>5027</v>
      </c>
      <c r="C1554" s="5" t="s">
        <v>0</v>
      </c>
      <c r="D1554" s="1" t="s">
        <v>5028</v>
      </c>
      <c r="E1554" s="1" t="s">
        <v>5029</v>
      </c>
      <c r="F1554" s="1" t="s">
        <v>291</v>
      </c>
      <c r="G1554" s="1" t="s">
        <v>292</v>
      </c>
      <c r="H1554" s="1" t="s">
        <v>37</v>
      </c>
      <c r="I1554" s="1" t="s">
        <v>16</v>
      </c>
      <c r="J1554" s="1">
        <v>1</v>
      </c>
      <c r="K1554" s="1">
        <v>12</v>
      </c>
      <c r="L1554" s="1" t="s">
        <v>31</v>
      </c>
      <c r="M1554" s="1" t="s">
        <v>18</v>
      </c>
      <c r="N1554" s="1" t="s">
        <v>18</v>
      </c>
      <c r="O1554" s="1">
        <v>3</v>
      </c>
      <c r="P1554" s="1">
        <v>7</v>
      </c>
      <c r="Q1554" s="7" t="s">
        <v>17633</v>
      </c>
      <c r="R1554" s="1" t="s">
        <v>19</v>
      </c>
      <c r="S1554" s="1" t="s">
        <v>20</v>
      </c>
      <c r="T1554" s="1" t="s">
        <v>21</v>
      </c>
      <c r="U1554" s="1" t="s">
        <v>22</v>
      </c>
      <c r="V1554" s="1" t="s">
        <v>24</v>
      </c>
      <c r="W1554" s="1" t="s">
        <v>24</v>
      </c>
      <c r="X1554" s="1">
        <v>2720</v>
      </c>
      <c r="Y1554" s="1">
        <v>2730</v>
      </c>
      <c r="Z1554" s="1">
        <v>1306</v>
      </c>
      <c r="AA1554" s="1" t="s">
        <v>24</v>
      </c>
      <c r="AB1554" s="1" t="s">
        <v>24</v>
      </c>
      <c r="AC1554" s="1" t="s">
        <v>24</v>
      </c>
      <c r="AD1554" s="1" t="s">
        <v>24</v>
      </c>
      <c r="AE1554" s="1" t="s">
        <v>24</v>
      </c>
      <c r="AF1554" s="22"/>
    </row>
    <row r="1555" spans="1:32" x14ac:dyDescent="0.2">
      <c r="A1555" s="1">
        <v>9684</v>
      </c>
      <c r="B1555" s="1" t="s">
        <v>5030</v>
      </c>
      <c r="C1555" s="5" t="s">
        <v>0</v>
      </c>
      <c r="D1555" s="1" t="s">
        <v>5031</v>
      </c>
      <c r="E1555" s="1" t="s">
        <v>5032</v>
      </c>
      <c r="F1555" s="1" t="s">
        <v>175</v>
      </c>
      <c r="G1555" s="1" t="s">
        <v>61</v>
      </c>
      <c r="H1555" s="1" t="s">
        <v>116</v>
      </c>
      <c r="I1555" s="1" t="s">
        <v>16</v>
      </c>
      <c r="J1555" s="1">
        <v>1</v>
      </c>
      <c r="K1555" s="1">
        <v>12</v>
      </c>
      <c r="L1555" s="1" t="s">
        <v>31</v>
      </c>
      <c r="M1555" s="1" t="s">
        <v>117</v>
      </c>
      <c r="N1555" s="1" t="s">
        <v>117</v>
      </c>
      <c r="O1555" s="1">
        <v>1</v>
      </c>
      <c r="P1555" s="1">
        <v>5</v>
      </c>
      <c r="R1555" s="1" t="s">
        <v>19</v>
      </c>
      <c r="S1555" s="1" t="s">
        <v>20</v>
      </c>
      <c r="T1555" s="1" t="s">
        <v>21</v>
      </c>
      <c r="U1555" s="1" t="s">
        <v>22</v>
      </c>
      <c r="V1555" s="1" t="s">
        <v>24</v>
      </c>
      <c r="W1555" s="1" t="s">
        <v>24</v>
      </c>
      <c r="X1555" s="1">
        <v>2700</v>
      </c>
      <c r="Y1555" s="1">
        <v>2714</v>
      </c>
      <c r="Z1555" s="1" t="s">
        <v>24</v>
      </c>
      <c r="AA1555" s="1" t="s">
        <v>24</v>
      </c>
      <c r="AB1555" s="1" t="s">
        <v>24</v>
      </c>
      <c r="AC1555" s="1" t="s">
        <v>24</v>
      </c>
      <c r="AD1555" s="1" t="s">
        <v>24</v>
      </c>
      <c r="AE1555" s="1" t="s">
        <v>24</v>
      </c>
      <c r="AF1555" s="22"/>
    </row>
    <row r="1556" spans="1:32" x14ac:dyDescent="0.2">
      <c r="A1556" s="1">
        <v>9701</v>
      </c>
      <c r="B1556" s="1" t="s">
        <v>5033</v>
      </c>
      <c r="C1556" s="5" t="s">
        <v>0</v>
      </c>
      <c r="D1556" s="1" t="s">
        <v>5034</v>
      </c>
      <c r="E1556" s="1" t="s">
        <v>5035</v>
      </c>
      <c r="F1556" s="1" t="s">
        <v>28</v>
      </c>
      <c r="G1556" s="1" t="s">
        <v>29</v>
      </c>
      <c r="H1556" s="1" t="s">
        <v>30</v>
      </c>
      <c r="I1556" s="1" t="s">
        <v>16</v>
      </c>
      <c r="J1556" s="1">
        <v>1</v>
      </c>
      <c r="K1556" s="1">
        <v>6</v>
      </c>
      <c r="L1556" s="1" t="s">
        <v>31</v>
      </c>
      <c r="M1556" s="1" t="s">
        <v>18</v>
      </c>
      <c r="N1556" s="1" t="s">
        <v>18</v>
      </c>
      <c r="O1556" s="1">
        <v>3</v>
      </c>
      <c r="P1556" s="1">
        <v>7</v>
      </c>
      <c r="Q1556" s="7" t="s">
        <v>17633</v>
      </c>
      <c r="R1556" s="1" t="s">
        <v>62</v>
      </c>
      <c r="S1556" s="1" t="s">
        <v>20</v>
      </c>
      <c r="T1556" s="1" t="s">
        <v>21</v>
      </c>
      <c r="U1556" s="1" t="s">
        <v>22</v>
      </c>
      <c r="V1556" s="1" t="s">
        <v>23</v>
      </c>
      <c r="W1556" s="1" t="s">
        <v>24</v>
      </c>
      <c r="X1556" s="1">
        <v>2745</v>
      </c>
      <c r="Y1556" s="1" t="s">
        <v>24</v>
      </c>
      <c r="Z1556" s="1" t="s">
        <v>24</v>
      </c>
      <c r="AA1556" s="1" t="s">
        <v>24</v>
      </c>
      <c r="AB1556" s="1" t="s">
        <v>24</v>
      </c>
      <c r="AC1556" s="1" t="s">
        <v>24</v>
      </c>
      <c r="AD1556" s="1" t="s">
        <v>24</v>
      </c>
      <c r="AE1556" s="1" t="s">
        <v>24</v>
      </c>
      <c r="AF1556" s="22"/>
    </row>
    <row r="1557" spans="1:32" x14ac:dyDescent="0.2">
      <c r="A1557" s="1">
        <v>9709</v>
      </c>
      <c r="B1557" s="1" t="s">
        <v>5036</v>
      </c>
      <c r="C1557" s="5" t="s">
        <v>0</v>
      </c>
      <c r="D1557" s="1" t="s">
        <v>5037</v>
      </c>
      <c r="E1557" s="1" t="s">
        <v>5038</v>
      </c>
      <c r="F1557" s="1" t="s">
        <v>303</v>
      </c>
      <c r="G1557" s="1" t="s">
        <v>61</v>
      </c>
      <c r="H1557" s="1" t="s">
        <v>30</v>
      </c>
      <c r="I1557" s="1" t="s">
        <v>16</v>
      </c>
      <c r="J1557" s="1">
        <v>1</v>
      </c>
      <c r="K1557" s="1">
        <v>4</v>
      </c>
      <c r="L1557" s="1" t="s">
        <v>31</v>
      </c>
      <c r="M1557" s="1" t="s">
        <v>18</v>
      </c>
      <c r="N1557" s="1" t="s">
        <v>18</v>
      </c>
      <c r="O1557" s="1">
        <v>3</v>
      </c>
      <c r="P1557" s="1">
        <v>6</v>
      </c>
      <c r="R1557" s="1" t="s">
        <v>19</v>
      </c>
      <c r="S1557" s="1" t="s">
        <v>20</v>
      </c>
      <c r="T1557" s="1" t="s">
        <v>21</v>
      </c>
      <c r="U1557" s="1" t="s">
        <v>22</v>
      </c>
      <c r="V1557" s="1" t="s">
        <v>23</v>
      </c>
      <c r="W1557" s="1" t="s">
        <v>24</v>
      </c>
      <c r="X1557" s="1">
        <v>2726</v>
      </c>
      <c r="Y1557" s="1">
        <v>2725</v>
      </c>
      <c r="Z1557" s="1" t="s">
        <v>24</v>
      </c>
      <c r="AA1557" s="1" t="s">
        <v>24</v>
      </c>
      <c r="AB1557" s="1" t="s">
        <v>24</v>
      </c>
      <c r="AC1557" s="1" t="s">
        <v>24</v>
      </c>
      <c r="AD1557" s="1" t="s">
        <v>24</v>
      </c>
      <c r="AE1557" s="1" t="s">
        <v>24</v>
      </c>
      <c r="AF1557" s="22"/>
    </row>
    <row r="1558" spans="1:32" x14ac:dyDescent="0.2">
      <c r="A1558" s="1">
        <v>9712</v>
      </c>
      <c r="B1558" s="1" t="s">
        <v>5039</v>
      </c>
      <c r="C1558" s="5" t="s">
        <v>0</v>
      </c>
      <c r="D1558" s="1" t="s">
        <v>5040</v>
      </c>
      <c r="E1558" s="1" t="s">
        <v>5041</v>
      </c>
      <c r="F1558" s="1" t="s">
        <v>303</v>
      </c>
      <c r="G1558" s="1" t="s">
        <v>61</v>
      </c>
      <c r="H1558" s="1" t="s">
        <v>30</v>
      </c>
      <c r="I1558" s="1" t="s">
        <v>16</v>
      </c>
      <c r="J1558" s="1">
        <v>1</v>
      </c>
      <c r="K1558" s="1">
        <v>4</v>
      </c>
      <c r="L1558" s="1" t="s">
        <v>31</v>
      </c>
      <c r="M1558" s="1" t="s">
        <v>18</v>
      </c>
      <c r="N1558" s="1" t="s">
        <v>18</v>
      </c>
      <c r="O1558" s="1">
        <v>0</v>
      </c>
      <c r="P1558" s="1">
        <v>7</v>
      </c>
      <c r="Q1558" s="7" t="s">
        <v>17633</v>
      </c>
      <c r="R1558" s="1" t="s">
        <v>19</v>
      </c>
      <c r="S1558" s="1" t="s">
        <v>20</v>
      </c>
      <c r="T1558" s="1" t="s">
        <v>21</v>
      </c>
      <c r="U1558" s="1" t="s">
        <v>22</v>
      </c>
      <c r="V1558" s="1" t="s">
        <v>24</v>
      </c>
      <c r="W1558" s="1" t="s">
        <v>24</v>
      </c>
      <c r="X1558" s="1">
        <v>2746</v>
      </c>
      <c r="Y1558" s="1">
        <v>2732</v>
      </c>
      <c r="Z1558" s="1" t="s">
        <v>24</v>
      </c>
      <c r="AA1558" s="1" t="s">
        <v>24</v>
      </c>
      <c r="AB1558" s="1" t="s">
        <v>24</v>
      </c>
      <c r="AC1558" s="1" t="s">
        <v>24</v>
      </c>
      <c r="AD1558" s="1" t="s">
        <v>24</v>
      </c>
      <c r="AE1558" s="1" t="s">
        <v>24</v>
      </c>
      <c r="AF1558" s="22"/>
    </row>
    <row r="1559" spans="1:32" x14ac:dyDescent="0.2">
      <c r="A1559" s="1">
        <v>9713</v>
      </c>
      <c r="B1559" s="1" t="s">
        <v>5042</v>
      </c>
      <c r="C1559" s="5" t="s">
        <v>0</v>
      </c>
      <c r="D1559" s="1" t="s">
        <v>5043</v>
      </c>
      <c r="E1559" s="1" t="s">
        <v>5044</v>
      </c>
      <c r="F1559" s="1" t="s">
        <v>303</v>
      </c>
      <c r="G1559" s="1" t="s">
        <v>61</v>
      </c>
      <c r="H1559" s="1" t="s">
        <v>30</v>
      </c>
      <c r="I1559" s="1" t="s">
        <v>16</v>
      </c>
      <c r="J1559" s="1">
        <v>1</v>
      </c>
      <c r="K1559" s="1">
        <v>4</v>
      </c>
      <c r="L1559" s="1" t="s">
        <v>31</v>
      </c>
      <c r="M1559" s="1" t="s">
        <v>18</v>
      </c>
      <c r="N1559" s="1" t="s">
        <v>18</v>
      </c>
      <c r="O1559" s="1">
        <v>0</v>
      </c>
      <c r="P1559" s="1">
        <v>7</v>
      </c>
      <c r="Q1559" s="7" t="s">
        <v>17633</v>
      </c>
      <c r="R1559" s="1" t="s">
        <v>19</v>
      </c>
      <c r="S1559" s="1" t="s">
        <v>20</v>
      </c>
      <c r="T1559" s="1" t="s">
        <v>21</v>
      </c>
      <c r="U1559" s="1" t="s">
        <v>22</v>
      </c>
      <c r="V1559" s="1" t="s">
        <v>24</v>
      </c>
      <c r="W1559" s="1" t="s">
        <v>24</v>
      </c>
      <c r="X1559" s="1">
        <v>2705</v>
      </c>
      <c r="Y1559" s="1">
        <v>2746</v>
      </c>
      <c r="Z1559" s="1" t="s">
        <v>24</v>
      </c>
      <c r="AA1559" s="1" t="s">
        <v>24</v>
      </c>
      <c r="AB1559" s="1" t="s">
        <v>24</v>
      </c>
      <c r="AC1559" s="1" t="s">
        <v>24</v>
      </c>
      <c r="AD1559" s="1" t="s">
        <v>24</v>
      </c>
      <c r="AE1559" s="1" t="s">
        <v>24</v>
      </c>
      <c r="AF1559" s="22"/>
    </row>
    <row r="1560" spans="1:32" x14ac:dyDescent="0.2">
      <c r="A1560" s="1">
        <v>9719</v>
      </c>
      <c r="B1560" s="1" t="s">
        <v>5045</v>
      </c>
      <c r="C1560" s="5" t="s">
        <v>0</v>
      </c>
      <c r="D1560" s="1" t="s">
        <v>5046</v>
      </c>
      <c r="F1560" s="1" t="s">
        <v>60</v>
      </c>
      <c r="G1560" s="1" t="s">
        <v>61</v>
      </c>
      <c r="H1560" s="1" t="s">
        <v>30</v>
      </c>
      <c r="I1560" s="1" t="s">
        <v>112</v>
      </c>
      <c r="J1560" s="1">
        <v>0</v>
      </c>
      <c r="K1560" s="1">
        <v>0</v>
      </c>
      <c r="L1560" s="1" t="s">
        <v>31</v>
      </c>
      <c r="M1560" s="1" t="s">
        <v>18</v>
      </c>
      <c r="N1560" s="1" t="s">
        <v>18</v>
      </c>
      <c r="O1560" s="1">
        <v>3</v>
      </c>
      <c r="P1560" s="1">
        <v>7</v>
      </c>
      <c r="Q1560" s="7" t="s">
        <v>17633</v>
      </c>
      <c r="R1560" s="1" t="s">
        <v>62</v>
      </c>
      <c r="S1560" s="1" t="s">
        <v>20</v>
      </c>
      <c r="T1560" s="1" t="s">
        <v>21</v>
      </c>
      <c r="U1560" s="1" t="s">
        <v>22</v>
      </c>
      <c r="V1560" s="1" t="s">
        <v>24</v>
      </c>
      <c r="W1560" s="1" t="s">
        <v>24</v>
      </c>
      <c r="X1560" s="1">
        <v>1306</v>
      </c>
      <c r="Y1560" s="1">
        <v>2730</v>
      </c>
      <c r="Z1560" s="1" t="s">
        <v>24</v>
      </c>
      <c r="AA1560" s="1" t="s">
        <v>24</v>
      </c>
      <c r="AB1560" s="1" t="s">
        <v>24</v>
      </c>
      <c r="AC1560" s="1" t="s">
        <v>24</v>
      </c>
      <c r="AD1560" s="1" t="s">
        <v>24</v>
      </c>
      <c r="AE1560" s="1" t="s">
        <v>24</v>
      </c>
      <c r="AF1560" s="22"/>
    </row>
    <row r="1561" spans="1:32" x14ac:dyDescent="0.2">
      <c r="A1561" s="1">
        <v>9720</v>
      </c>
      <c r="B1561" s="1" t="s">
        <v>5047</v>
      </c>
      <c r="C1561" s="5" t="s">
        <v>0</v>
      </c>
      <c r="D1561" s="1" t="s">
        <v>5048</v>
      </c>
      <c r="F1561" s="1" t="s">
        <v>60</v>
      </c>
      <c r="G1561" s="1" t="s">
        <v>61</v>
      </c>
      <c r="H1561" s="1" t="s">
        <v>30</v>
      </c>
      <c r="I1561" s="1" t="s">
        <v>112</v>
      </c>
      <c r="J1561" s="1">
        <v>0</v>
      </c>
      <c r="K1561" s="1">
        <v>0</v>
      </c>
      <c r="L1561" s="1" t="s">
        <v>31</v>
      </c>
      <c r="M1561" s="1" t="s">
        <v>18</v>
      </c>
      <c r="N1561" s="1" t="s">
        <v>18</v>
      </c>
      <c r="O1561" s="1">
        <v>2</v>
      </c>
      <c r="P1561" s="1">
        <v>7</v>
      </c>
      <c r="Q1561" s="7" t="s">
        <v>17633</v>
      </c>
      <c r="R1561" s="1" t="s">
        <v>19</v>
      </c>
      <c r="S1561" s="1" t="s">
        <v>20</v>
      </c>
      <c r="T1561" s="1" t="s">
        <v>21</v>
      </c>
      <c r="U1561" s="1" t="s">
        <v>22</v>
      </c>
      <c r="V1561" s="1" t="s">
        <v>24</v>
      </c>
      <c r="W1561" s="1" t="s">
        <v>24</v>
      </c>
      <c r="X1561" s="1">
        <v>1605</v>
      </c>
      <c r="Y1561" s="1">
        <v>1303</v>
      </c>
      <c r="Z1561" s="1" t="s">
        <v>24</v>
      </c>
      <c r="AA1561" s="1" t="s">
        <v>24</v>
      </c>
      <c r="AB1561" s="1" t="s">
        <v>24</v>
      </c>
      <c r="AC1561" s="1" t="s">
        <v>24</v>
      </c>
      <c r="AD1561" s="1" t="s">
        <v>24</v>
      </c>
      <c r="AE1561" s="1" t="s">
        <v>24</v>
      </c>
      <c r="AF1561" s="22"/>
    </row>
    <row r="1562" spans="1:32" x14ac:dyDescent="0.2">
      <c r="A1562" s="1">
        <v>9721</v>
      </c>
      <c r="B1562" s="1" t="s">
        <v>5049</v>
      </c>
      <c r="C1562" s="5" t="s">
        <v>0</v>
      </c>
      <c r="D1562" s="1" t="s">
        <v>5050</v>
      </c>
      <c r="F1562" s="1" t="s">
        <v>190</v>
      </c>
      <c r="G1562" s="1" t="s">
        <v>130</v>
      </c>
      <c r="H1562" s="1" t="s">
        <v>30</v>
      </c>
      <c r="I1562" s="1" t="s">
        <v>112</v>
      </c>
      <c r="J1562" s="1">
        <v>0</v>
      </c>
      <c r="K1562" s="1">
        <v>0</v>
      </c>
      <c r="L1562" s="1" t="s">
        <v>31</v>
      </c>
      <c r="M1562" s="1" t="s">
        <v>18</v>
      </c>
      <c r="N1562" s="1" t="s">
        <v>18</v>
      </c>
      <c r="O1562" s="1">
        <v>0</v>
      </c>
      <c r="P1562" s="1">
        <v>7</v>
      </c>
      <c r="Q1562" s="7" t="s">
        <v>17633</v>
      </c>
      <c r="R1562" s="1" t="s">
        <v>19</v>
      </c>
      <c r="S1562" s="1" t="s">
        <v>20</v>
      </c>
      <c r="T1562" s="1" t="s">
        <v>21</v>
      </c>
      <c r="U1562" s="1" t="s">
        <v>22</v>
      </c>
      <c r="V1562" s="1" t="s">
        <v>24</v>
      </c>
      <c r="W1562" s="1" t="s">
        <v>24</v>
      </c>
      <c r="X1562" s="1">
        <v>1300</v>
      </c>
      <c r="Y1562" s="1">
        <v>2700</v>
      </c>
      <c r="Z1562" s="1" t="s">
        <v>24</v>
      </c>
      <c r="AA1562" s="1" t="s">
        <v>24</v>
      </c>
      <c r="AB1562" s="1" t="s">
        <v>24</v>
      </c>
      <c r="AC1562" s="1" t="s">
        <v>24</v>
      </c>
      <c r="AD1562" s="1" t="s">
        <v>24</v>
      </c>
      <c r="AE1562" s="1" t="s">
        <v>24</v>
      </c>
      <c r="AF1562" s="22" t="s">
        <v>17679</v>
      </c>
    </row>
    <row r="1563" spans="1:32" x14ac:dyDescent="0.2">
      <c r="A1563" s="1">
        <v>9723</v>
      </c>
      <c r="B1563" s="1" t="s">
        <v>5051</v>
      </c>
      <c r="C1563" s="5" t="s">
        <v>0</v>
      </c>
      <c r="D1563" s="1" t="s">
        <v>5052</v>
      </c>
      <c r="F1563" s="1" t="s">
        <v>601</v>
      </c>
      <c r="G1563" s="1" t="s">
        <v>61</v>
      </c>
      <c r="H1563" s="1" t="s">
        <v>37</v>
      </c>
      <c r="I1563" s="1" t="s">
        <v>112</v>
      </c>
      <c r="J1563" s="1">
        <v>0</v>
      </c>
      <c r="K1563" s="1">
        <v>0</v>
      </c>
      <c r="L1563" s="1" t="s">
        <v>31</v>
      </c>
      <c r="M1563" s="1" t="s">
        <v>18</v>
      </c>
      <c r="N1563" s="1" t="s">
        <v>18</v>
      </c>
      <c r="O1563" s="1">
        <v>3</v>
      </c>
      <c r="P1563" s="1">
        <v>6</v>
      </c>
      <c r="R1563" s="1" t="s">
        <v>62</v>
      </c>
      <c r="S1563" s="1" t="s">
        <v>20</v>
      </c>
      <c r="T1563" s="1" t="s">
        <v>21</v>
      </c>
      <c r="U1563" s="1" t="s">
        <v>22</v>
      </c>
      <c r="V1563" s="1" t="s">
        <v>24</v>
      </c>
      <c r="W1563" s="1" t="s">
        <v>24</v>
      </c>
      <c r="X1563" s="1">
        <v>2404</v>
      </c>
      <c r="Y1563" s="1">
        <v>1314</v>
      </c>
      <c r="Z1563" s="1" t="s">
        <v>24</v>
      </c>
      <c r="AA1563" s="1" t="s">
        <v>24</v>
      </c>
      <c r="AB1563" s="1" t="s">
        <v>24</v>
      </c>
      <c r="AC1563" s="1" t="s">
        <v>24</v>
      </c>
      <c r="AD1563" s="1" t="s">
        <v>24</v>
      </c>
      <c r="AE1563" s="1" t="s">
        <v>24</v>
      </c>
      <c r="AF1563" s="22"/>
    </row>
    <row r="1564" spans="1:32" x14ac:dyDescent="0.2">
      <c r="A1564" s="1">
        <v>9725</v>
      </c>
      <c r="B1564" s="1" t="s">
        <v>5053</v>
      </c>
      <c r="C1564" s="5" t="s">
        <v>0</v>
      </c>
      <c r="D1564" s="1" t="s">
        <v>5054</v>
      </c>
      <c r="F1564" s="1" t="s">
        <v>601</v>
      </c>
      <c r="G1564" s="1" t="s">
        <v>61</v>
      </c>
      <c r="H1564" s="1" t="s">
        <v>37</v>
      </c>
      <c r="I1564" s="1" t="s">
        <v>112</v>
      </c>
      <c r="J1564" s="1">
        <v>0</v>
      </c>
      <c r="K1564" s="1">
        <v>0</v>
      </c>
      <c r="L1564" s="1" t="s">
        <v>31</v>
      </c>
      <c r="M1564" s="1" t="s">
        <v>18</v>
      </c>
      <c r="N1564" s="1" t="s">
        <v>18</v>
      </c>
      <c r="O1564" s="1">
        <v>3</v>
      </c>
      <c r="P1564" s="1">
        <v>7</v>
      </c>
      <c r="Q1564" s="7" t="s">
        <v>17633</v>
      </c>
      <c r="R1564" s="1" t="s">
        <v>62</v>
      </c>
      <c r="S1564" s="1" t="s">
        <v>20</v>
      </c>
      <c r="T1564" s="1" t="s">
        <v>21</v>
      </c>
      <c r="U1564" s="1" t="s">
        <v>22</v>
      </c>
      <c r="V1564" s="1" t="s">
        <v>24</v>
      </c>
      <c r="W1564" s="1" t="s">
        <v>24</v>
      </c>
      <c r="X1564" s="1">
        <v>2405</v>
      </c>
      <c r="Y1564" s="1" t="s">
        <v>24</v>
      </c>
      <c r="Z1564" s="1" t="s">
        <v>24</v>
      </c>
      <c r="AA1564" s="1" t="s">
        <v>24</v>
      </c>
      <c r="AB1564" s="1" t="s">
        <v>24</v>
      </c>
      <c r="AC1564" s="1" t="s">
        <v>24</v>
      </c>
      <c r="AD1564" s="1" t="s">
        <v>24</v>
      </c>
      <c r="AE1564" s="1" t="s">
        <v>24</v>
      </c>
      <c r="AF1564" s="22"/>
    </row>
    <row r="1565" spans="1:32" x14ac:dyDescent="0.2">
      <c r="A1565" s="1">
        <v>9728</v>
      </c>
      <c r="B1565" s="1" t="s">
        <v>5055</v>
      </c>
      <c r="C1565" s="5" t="s">
        <v>0</v>
      </c>
      <c r="D1565" s="1" t="s">
        <v>5056</v>
      </c>
      <c r="E1565" s="1" t="s">
        <v>5057</v>
      </c>
      <c r="F1565" s="1" t="s">
        <v>920</v>
      </c>
      <c r="G1565" s="1" t="s">
        <v>921</v>
      </c>
      <c r="H1565" s="1" t="s">
        <v>92</v>
      </c>
      <c r="I1565" s="1" t="s">
        <v>16</v>
      </c>
      <c r="J1565" s="1">
        <v>1</v>
      </c>
      <c r="K1565" s="1">
        <v>6</v>
      </c>
      <c r="L1565" s="1" t="s">
        <v>31</v>
      </c>
      <c r="M1565" s="1" t="s">
        <v>18</v>
      </c>
      <c r="N1565" s="1" t="s">
        <v>18</v>
      </c>
      <c r="O1565" s="1">
        <v>3</v>
      </c>
      <c r="P1565" s="1">
        <v>7</v>
      </c>
      <c r="Q1565" s="7" t="s">
        <v>17633</v>
      </c>
      <c r="R1565" s="1" t="s">
        <v>19</v>
      </c>
      <c r="S1565" s="1" t="s">
        <v>20</v>
      </c>
      <c r="T1565" s="1" t="s">
        <v>21</v>
      </c>
      <c r="U1565" s="1" t="s">
        <v>22</v>
      </c>
      <c r="V1565" s="1" t="s">
        <v>24</v>
      </c>
      <c r="W1565" s="1" t="s">
        <v>24</v>
      </c>
      <c r="X1565" s="1">
        <v>2808</v>
      </c>
      <c r="Y1565" s="1">
        <v>2806</v>
      </c>
      <c r="Z1565" s="1">
        <v>2728</v>
      </c>
      <c r="AA1565" s="1" t="s">
        <v>24</v>
      </c>
      <c r="AB1565" s="1" t="s">
        <v>24</v>
      </c>
      <c r="AC1565" s="1" t="s">
        <v>24</v>
      </c>
      <c r="AD1565" s="1" t="s">
        <v>24</v>
      </c>
      <c r="AE1565" s="1" t="s">
        <v>24</v>
      </c>
      <c r="AF1565" s="22"/>
    </row>
    <row r="1566" spans="1:32" x14ac:dyDescent="0.2">
      <c r="A1566" s="1">
        <v>9729</v>
      </c>
      <c r="B1566" s="1" t="s">
        <v>5058</v>
      </c>
      <c r="C1566" s="5" t="s">
        <v>0</v>
      </c>
      <c r="D1566" s="1" t="s">
        <v>5059</v>
      </c>
      <c r="E1566" s="1" t="s">
        <v>5060</v>
      </c>
      <c r="F1566" s="1" t="s">
        <v>493</v>
      </c>
      <c r="G1566" s="1" t="s">
        <v>98</v>
      </c>
      <c r="H1566" s="1" t="s">
        <v>30</v>
      </c>
      <c r="I1566" s="1" t="s">
        <v>16</v>
      </c>
      <c r="J1566" s="1">
        <v>1</v>
      </c>
      <c r="K1566" s="1">
        <v>8</v>
      </c>
      <c r="L1566" s="1" t="s">
        <v>31</v>
      </c>
      <c r="M1566" s="1" t="s">
        <v>18</v>
      </c>
      <c r="N1566" s="1" t="s">
        <v>18</v>
      </c>
      <c r="O1566" s="1">
        <v>3</v>
      </c>
      <c r="P1566" s="1">
        <v>6</v>
      </c>
      <c r="R1566" s="1" t="s">
        <v>19</v>
      </c>
      <c r="S1566" s="1" t="s">
        <v>20</v>
      </c>
      <c r="T1566" s="1" t="s">
        <v>21</v>
      </c>
      <c r="U1566" s="1" t="s">
        <v>22</v>
      </c>
      <c r="V1566" s="1" t="s">
        <v>23</v>
      </c>
      <c r="W1566" s="1" t="s">
        <v>24</v>
      </c>
      <c r="X1566" s="1">
        <v>2717</v>
      </c>
      <c r="Y1566" s="1">
        <v>2909</v>
      </c>
      <c r="Z1566" s="1" t="s">
        <v>24</v>
      </c>
      <c r="AA1566" s="1" t="s">
        <v>24</v>
      </c>
      <c r="AB1566" s="1" t="s">
        <v>24</v>
      </c>
      <c r="AC1566" s="1" t="s">
        <v>24</v>
      </c>
      <c r="AD1566" s="1" t="s">
        <v>24</v>
      </c>
      <c r="AE1566" s="1" t="s">
        <v>24</v>
      </c>
      <c r="AF1566" s="22"/>
    </row>
    <row r="1567" spans="1:32" x14ac:dyDescent="0.2">
      <c r="A1567" s="1">
        <v>9736</v>
      </c>
      <c r="B1567" s="1" t="s">
        <v>5061</v>
      </c>
      <c r="C1567" s="5" t="s">
        <v>0</v>
      </c>
      <c r="D1567" s="1" t="s">
        <v>5062</v>
      </c>
      <c r="E1567" s="1" t="s">
        <v>5063</v>
      </c>
      <c r="F1567" s="1" t="s">
        <v>272</v>
      </c>
      <c r="G1567" s="1" t="s">
        <v>61</v>
      </c>
      <c r="H1567" s="1" t="s">
        <v>30</v>
      </c>
      <c r="I1567" s="1" t="s">
        <v>16</v>
      </c>
      <c r="J1567" s="1">
        <v>1</v>
      </c>
      <c r="K1567" s="1">
        <v>12</v>
      </c>
      <c r="L1567" s="1" t="s">
        <v>31</v>
      </c>
      <c r="M1567" s="1" t="s">
        <v>18</v>
      </c>
      <c r="N1567" s="1" t="s">
        <v>18</v>
      </c>
      <c r="O1567" s="1">
        <v>1</v>
      </c>
      <c r="P1567" s="1">
        <v>6</v>
      </c>
      <c r="R1567" s="1" t="s">
        <v>19</v>
      </c>
      <c r="S1567" s="1" t="s">
        <v>20</v>
      </c>
      <c r="T1567" s="1" t="s">
        <v>21</v>
      </c>
      <c r="U1567" s="1" t="s">
        <v>22</v>
      </c>
      <c r="V1567" s="1" t="s">
        <v>23</v>
      </c>
      <c r="W1567" s="1" t="s">
        <v>24</v>
      </c>
      <c r="X1567" s="1">
        <v>1303</v>
      </c>
      <c r="Y1567" s="1">
        <v>1308</v>
      </c>
      <c r="Z1567" s="1">
        <v>1312</v>
      </c>
      <c r="AA1567" s="1">
        <v>2712</v>
      </c>
      <c r="AB1567" s="1">
        <v>2916</v>
      </c>
      <c r="AC1567" s="1" t="s">
        <v>24</v>
      </c>
      <c r="AD1567" s="1" t="s">
        <v>24</v>
      </c>
      <c r="AE1567" s="1" t="s">
        <v>24</v>
      </c>
      <c r="AF1567" s="22"/>
    </row>
    <row r="1568" spans="1:32" x14ac:dyDescent="0.2">
      <c r="A1568" s="1">
        <v>9747</v>
      </c>
      <c r="B1568" s="1" t="s">
        <v>5064</v>
      </c>
      <c r="C1568" s="5" t="s">
        <v>0</v>
      </c>
      <c r="D1568" s="1" t="s">
        <v>5065</v>
      </c>
      <c r="E1568" s="1" t="s">
        <v>5066</v>
      </c>
      <c r="F1568" s="1" t="s">
        <v>1887</v>
      </c>
      <c r="G1568" s="1" t="s">
        <v>254</v>
      </c>
      <c r="H1568" s="1" t="s">
        <v>168</v>
      </c>
      <c r="I1568" s="1" t="s">
        <v>16</v>
      </c>
      <c r="J1568" s="1">
        <v>1</v>
      </c>
      <c r="K1568" s="1">
        <v>4</v>
      </c>
      <c r="L1568" s="1" t="s">
        <v>31</v>
      </c>
      <c r="M1568" s="1" t="s">
        <v>18</v>
      </c>
      <c r="N1568" s="1" t="s">
        <v>18</v>
      </c>
      <c r="O1568" s="1">
        <v>3</v>
      </c>
      <c r="P1568" s="1">
        <v>7</v>
      </c>
      <c r="Q1568" s="7" t="s">
        <v>17633</v>
      </c>
      <c r="R1568" s="1" t="s">
        <v>19</v>
      </c>
      <c r="S1568" s="1" t="s">
        <v>20</v>
      </c>
      <c r="T1568" s="1" t="s">
        <v>21</v>
      </c>
      <c r="U1568" s="1" t="s">
        <v>22</v>
      </c>
      <c r="V1568" s="1" t="s">
        <v>24</v>
      </c>
      <c r="W1568" s="1" t="s">
        <v>24</v>
      </c>
      <c r="X1568" s="1">
        <v>1303</v>
      </c>
      <c r="Y1568" s="1">
        <v>1308</v>
      </c>
      <c r="Z1568" s="1">
        <v>1313</v>
      </c>
      <c r="AA1568" s="1" t="s">
        <v>24</v>
      </c>
      <c r="AB1568" s="1" t="s">
        <v>24</v>
      </c>
      <c r="AC1568" s="1" t="s">
        <v>24</v>
      </c>
      <c r="AD1568" s="1" t="s">
        <v>24</v>
      </c>
      <c r="AE1568" s="1" t="s">
        <v>24</v>
      </c>
      <c r="AF1568" s="22"/>
    </row>
    <row r="1569" spans="1:32" x14ac:dyDescent="0.2">
      <c r="A1569" s="1">
        <v>9748</v>
      </c>
      <c r="B1569" s="1" t="s">
        <v>5067</v>
      </c>
      <c r="C1569" s="5" t="s">
        <v>0</v>
      </c>
      <c r="D1569" s="1" t="s">
        <v>5068</v>
      </c>
      <c r="E1569" s="1" t="s">
        <v>5069</v>
      </c>
      <c r="F1569" s="1" t="s">
        <v>291</v>
      </c>
      <c r="G1569" s="1" t="s">
        <v>292</v>
      </c>
      <c r="H1569" s="1" t="s">
        <v>37</v>
      </c>
      <c r="I1569" s="1" t="s">
        <v>16</v>
      </c>
      <c r="J1569" s="1">
        <v>1</v>
      </c>
      <c r="K1569" s="1">
        <v>6</v>
      </c>
      <c r="L1569" s="1" t="s">
        <v>31</v>
      </c>
      <c r="M1569" s="1" t="s">
        <v>18</v>
      </c>
      <c r="N1569" s="1" t="s">
        <v>18</v>
      </c>
      <c r="O1569" s="1">
        <v>3</v>
      </c>
      <c r="P1569" s="1">
        <v>7</v>
      </c>
      <c r="Q1569" s="7" t="s">
        <v>17633</v>
      </c>
      <c r="R1569" s="1" t="s">
        <v>62</v>
      </c>
      <c r="S1569" s="1" t="s">
        <v>20</v>
      </c>
      <c r="T1569" s="1" t="s">
        <v>21</v>
      </c>
      <c r="U1569" s="1" t="s">
        <v>22</v>
      </c>
      <c r="V1569" s="1" t="s">
        <v>24</v>
      </c>
      <c r="W1569" s="1" t="s">
        <v>24</v>
      </c>
      <c r="X1569" s="1">
        <v>1312</v>
      </c>
      <c r="Y1569" s="1">
        <v>1303</v>
      </c>
      <c r="Z1569" s="1" t="s">
        <v>24</v>
      </c>
      <c r="AA1569" s="1" t="s">
        <v>24</v>
      </c>
      <c r="AB1569" s="1" t="s">
        <v>24</v>
      </c>
      <c r="AC1569" s="1" t="s">
        <v>24</v>
      </c>
      <c r="AD1569" s="1" t="s">
        <v>24</v>
      </c>
      <c r="AE1569" s="1" t="s">
        <v>24</v>
      </c>
      <c r="AF1569" s="22"/>
    </row>
    <row r="1570" spans="1:32" x14ac:dyDescent="0.2">
      <c r="A1570" s="1">
        <v>9749</v>
      </c>
      <c r="B1570" s="1" t="s">
        <v>5070</v>
      </c>
      <c r="C1570" s="5" t="s">
        <v>0</v>
      </c>
      <c r="D1570" s="1" t="s">
        <v>5071</v>
      </c>
      <c r="E1570" s="1" t="s">
        <v>5072</v>
      </c>
      <c r="F1570" s="1" t="s">
        <v>1260</v>
      </c>
      <c r="G1570" s="1" t="s">
        <v>130</v>
      </c>
      <c r="H1570" s="1" t="s">
        <v>111</v>
      </c>
      <c r="I1570" s="1" t="s">
        <v>16</v>
      </c>
      <c r="J1570" s="1">
        <v>1</v>
      </c>
      <c r="K1570" s="1">
        <v>12</v>
      </c>
      <c r="L1570" s="1" t="s">
        <v>31</v>
      </c>
      <c r="M1570" s="1" t="s">
        <v>18</v>
      </c>
      <c r="N1570" s="1" t="s">
        <v>18</v>
      </c>
      <c r="O1570" s="1">
        <v>3</v>
      </c>
      <c r="P1570" s="1">
        <v>7</v>
      </c>
      <c r="Q1570" s="7" t="s">
        <v>17633</v>
      </c>
      <c r="R1570" s="1" t="s">
        <v>62</v>
      </c>
      <c r="S1570" s="1" t="s">
        <v>20</v>
      </c>
      <c r="T1570" s="1" t="s">
        <v>21</v>
      </c>
      <c r="U1570" s="1" t="s">
        <v>22</v>
      </c>
      <c r="V1570" s="1" t="s">
        <v>23</v>
      </c>
      <c r="W1570" s="1" t="s">
        <v>24</v>
      </c>
      <c r="X1570" s="1">
        <v>2736</v>
      </c>
      <c r="Y1570" s="1">
        <v>3004</v>
      </c>
      <c r="Z1570" s="1">
        <v>3005</v>
      </c>
      <c r="AA1570" s="1" t="s">
        <v>24</v>
      </c>
      <c r="AB1570" s="1" t="s">
        <v>24</v>
      </c>
      <c r="AC1570" s="1" t="s">
        <v>24</v>
      </c>
      <c r="AD1570" s="1" t="s">
        <v>24</v>
      </c>
      <c r="AE1570" s="1" t="s">
        <v>24</v>
      </c>
      <c r="AF1570" s="22"/>
    </row>
    <row r="1571" spans="1:32" x14ac:dyDescent="0.2">
      <c r="A1571" s="1">
        <v>9756</v>
      </c>
      <c r="B1571" s="1" t="s">
        <v>5073</v>
      </c>
      <c r="C1571" s="5" t="s">
        <v>0</v>
      </c>
      <c r="D1571" s="1" t="s">
        <v>5074</v>
      </c>
      <c r="E1571" s="1" t="s">
        <v>5075</v>
      </c>
      <c r="F1571" s="1" t="s">
        <v>272</v>
      </c>
      <c r="G1571" s="1" t="s">
        <v>61</v>
      </c>
      <c r="H1571" s="1" t="s">
        <v>30</v>
      </c>
      <c r="I1571" s="1" t="s">
        <v>16</v>
      </c>
      <c r="J1571" s="1">
        <v>1</v>
      </c>
      <c r="K1571" s="1">
        <v>10</v>
      </c>
      <c r="L1571" s="1" t="s">
        <v>31</v>
      </c>
      <c r="M1571" s="1" t="s">
        <v>18</v>
      </c>
      <c r="N1571" s="1" t="s">
        <v>18</v>
      </c>
      <c r="O1571" s="1">
        <v>2</v>
      </c>
      <c r="P1571" s="1">
        <v>7</v>
      </c>
      <c r="Q1571" s="7" t="s">
        <v>17633</v>
      </c>
      <c r="R1571" s="1" t="s">
        <v>62</v>
      </c>
      <c r="S1571" s="1" t="s">
        <v>20</v>
      </c>
      <c r="T1571" s="1" t="s">
        <v>21</v>
      </c>
      <c r="U1571" s="1" t="s">
        <v>22</v>
      </c>
      <c r="V1571" s="1" t="s">
        <v>24</v>
      </c>
      <c r="W1571" s="1" t="s">
        <v>24</v>
      </c>
      <c r="X1571" s="1">
        <v>1310</v>
      </c>
      <c r="Y1571" s="1">
        <v>2712</v>
      </c>
      <c r="Z1571" s="1" t="s">
        <v>24</v>
      </c>
      <c r="AA1571" s="1" t="s">
        <v>24</v>
      </c>
      <c r="AB1571" s="1" t="s">
        <v>24</v>
      </c>
      <c r="AC1571" s="1" t="s">
        <v>24</v>
      </c>
      <c r="AD1571" s="1" t="s">
        <v>24</v>
      </c>
      <c r="AE1571" s="1" t="s">
        <v>24</v>
      </c>
      <c r="AF1571" s="22"/>
    </row>
    <row r="1572" spans="1:32" x14ac:dyDescent="0.2">
      <c r="A1572" s="1">
        <v>9758</v>
      </c>
      <c r="B1572" s="1" t="s">
        <v>5076</v>
      </c>
      <c r="C1572" s="5" t="s">
        <v>0</v>
      </c>
      <c r="D1572" s="1" t="s">
        <v>5077</v>
      </c>
      <c r="E1572" s="1" t="s">
        <v>5078</v>
      </c>
      <c r="F1572" s="1" t="s">
        <v>109</v>
      </c>
      <c r="G1572" s="1" t="s">
        <v>110</v>
      </c>
      <c r="H1572" s="1" t="s">
        <v>111</v>
      </c>
      <c r="I1572" s="1" t="s">
        <v>16</v>
      </c>
      <c r="J1572" s="1">
        <v>1</v>
      </c>
      <c r="K1572" s="1">
        <v>6</v>
      </c>
      <c r="L1572" s="1" t="s">
        <v>31</v>
      </c>
      <c r="M1572" s="1" t="s">
        <v>18</v>
      </c>
      <c r="N1572" s="1" t="s">
        <v>18</v>
      </c>
      <c r="O1572" s="1">
        <v>3</v>
      </c>
      <c r="P1572" s="1">
        <v>7</v>
      </c>
      <c r="Q1572" s="7" t="s">
        <v>17633</v>
      </c>
      <c r="R1572" s="1" t="s">
        <v>19</v>
      </c>
      <c r="S1572" s="1" t="s">
        <v>20</v>
      </c>
      <c r="T1572" s="1" t="s">
        <v>21</v>
      </c>
      <c r="U1572" s="1" t="s">
        <v>22</v>
      </c>
      <c r="V1572" s="1" t="s">
        <v>24</v>
      </c>
      <c r="W1572" s="1" t="s">
        <v>24</v>
      </c>
      <c r="X1572" s="1">
        <v>2734</v>
      </c>
      <c r="Y1572" s="1">
        <v>1312</v>
      </c>
      <c r="Z1572" s="1">
        <v>1307</v>
      </c>
      <c r="AA1572" s="1" t="s">
        <v>24</v>
      </c>
      <c r="AB1572" s="1" t="s">
        <v>24</v>
      </c>
      <c r="AC1572" s="1" t="s">
        <v>24</v>
      </c>
      <c r="AD1572" s="1" t="s">
        <v>24</v>
      </c>
      <c r="AE1572" s="1" t="s">
        <v>24</v>
      </c>
      <c r="AF1572" s="22"/>
    </row>
    <row r="1573" spans="1:32" x14ac:dyDescent="0.2">
      <c r="A1573" s="1">
        <v>9760</v>
      </c>
      <c r="B1573" s="1" t="s">
        <v>5079</v>
      </c>
      <c r="C1573" s="5" t="s">
        <v>0</v>
      </c>
      <c r="D1573" s="1" t="s">
        <v>5080</v>
      </c>
      <c r="E1573" s="1" t="s">
        <v>5081</v>
      </c>
      <c r="F1573" s="1" t="s">
        <v>109</v>
      </c>
      <c r="G1573" s="1" t="s">
        <v>110</v>
      </c>
      <c r="H1573" s="1" t="s">
        <v>111</v>
      </c>
      <c r="I1573" s="1" t="s">
        <v>16</v>
      </c>
      <c r="J1573" s="1">
        <v>1</v>
      </c>
      <c r="K1573" s="1">
        <v>6</v>
      </c>
      <c r="L1573" s="1" t="s">
        <v>31</v>
      </c>
      <c r="M1573" s="1" t="s">
        <v>18</v>
      </c>
      <c r="N1573" s="1" t="s">
        <v>18</v>
      </c>
      <c r="O1573" s="1">
        <v>3</v>
      </c>
      <c r="P1573" s="1">
        <v>7</v>
      </c>
      <c r="Q1573" s="7" t="s">
        <v>17633</v>
      </c>
      <c r="R1573" s="1" t="s">
        <v>19</v>
      </c>
      <c r="S1573" s="1" t="s">
        <v>20</v>
      </c>
      <c r="T1573" s="1" t="s">
        <v>21</v>
      </c>
      <c r="U1573" s="1" t="s">
        <v>22</v>
      </c>
      <c r="V1573" s="1" t="s">
        <v>23</v>
      </c>
      <c r="W1573" s="1" t="s">
        <v>24</v>
      </c>
      <c r="X1573" s="1">
        <v>2729</v>
      </c>
      <c r="Y1573" s="1">
        <v>2735</v>
      </c>
      <c r="Z1573" s="1">
        <v>2710</v>
      </c>
      <c r="AA1573" s="1">
        <v>2741</v>
      </c>
      <c r="AB1573" s="1" t="s">
        <v>24</v>
      </c>
      <c r="AC1573" s="1" t="s">
        <v>24</v>
      </c>
      <c r="AD1573" s="1" t="s">
        <v>24</v>
      </c>
      <c r="AE1573" s="1" t="s">
        <v>24</v>
      </c>
      <c r="AF1573" s="22"/>
    </row>
    <row r="1574" spans="1:32" x14ac:dyDescent="0.2">
      <c r="A1574" s="1">
        <v>9763</v>
      </c>
      <c r="B1574" s="1" t="s">
        <v>5082</v>
      </c>
      <c r="C1574" s="5" t="s">
        <v>0</v>
      </c>
      <c r="D1574" s="1" t="s">
        <v>5083</v>
      </c>
      <c r="E1574" s="1" t="s">
        <v>5084</v>
      </c>
      <c r="F1574" s="1" t="s">
        <v>324</v>
      </c>
      <c r="G1574" s="1" t="s">
        <v>61</v>
      </c>
      <c r="H1574" s="1" t="s">
        <v>30</v>
      </c>
      <c r="I1574" s="1" t="s">
        <v>16</v>
      </c>
      <c r="J1574" s="1">
        <v>4</v>
      </c>
      <c r="K1574" s="1">
        <v>6</v>
      </c>
      <c r="L1574" s="1" t="s">
        <v>31</v>
      </c>
      <c r="M1574" s="1" t="s">
        <v>18</v>
      </c>
      <c r="N1574" s="1" t="s">
        <v>18</v>
      </c>
      <c r="O1574" s="1">
        <v>3</v>
      </c>
      <c r="P1574" s="1">
        <v>7</v>
      </c>
      <c r="Q1574" s="7" t="s">
        <v>17633</v>
      </c>
      <c r="R1574" s="1" t="s">
        <v>62</v>
      </c>
      <c r="S1574" s="1" t="s">
        <v>20</v>
      </c>
      <c r="T1574" s="1" t="s">
        <v>21</v>
      </c>
      <c r="U1574" s="1" t="s">
        <v>22</v>
      </c>
      <c r="V1574" s="1" t="s">
        <v>24</v>
      </c>
      <c r="W1574" s="1" t="s">
        <v>24</v>
      </c>
      <c r="X1574" s="1">
        <v>2800</v>
      </c>
      <c r="Y1574" s="1" t="s">
        <v>24</v>
      </c>
      <c r="Z1574" s="1" t="s">
        <v>24</v>
      </c>
      <c r="AA1574" s="1" t="s">
        <v>24</v>
      </c>
      <c r="AB1574" s="1" t="s">
        <v>24</v>
      </c>
      <c r="AC1574" s="1" t="s">
        <v>24</v>
      </c>
      <c r="AD1574" s="1" t="s">
        <v>24</v>
      </c>
      <c r="AE1574" s="1" t="s">
        <v>24</v>
      </c>
      <c r="AF1574" s="22"/>
    </row>
    <row r="1575" spans="1:32" x14ac:dyDescent="0.2">
      <c r="A1575" s="1">
        <v>9766</v>
      </c>
      <c r="B1575" s="1" t="s">
        <v>5085</v>
      </c>
      <c r="C1575" s="5" t="s">
        <v>0</v>
      </c>
      <c r="D1575" s="1" t="s">
        <v>5086</v>
      </c>
      <c r="E1575" s="1" t="s">
        <v>5087</v>
      </c>
      <c r="F1575" s="1" t="s">
        <v>28</v>
      </c>
      <c r="G1575" s="1" t="s">
        <v>29</v>
      </c>
      <c r="H1575" s="1" t="s">
        <v>37</v>
      </c>
      <c r="I1575" s="1" t="s">
        <v>16</v>
      </c>
      <c r="J1575" s="1">
        <v>1</v>
      </c>
      <c r="K1575" s="1">
        <v>12</v>
      </c>
      <c r="L1575" s="1" t="s">
        <v>31</v>
      </c>
      <c r="M1575" s="1" t="s">
        <v>18</v>
      </c>
      <c r="N1575" s="1" t="s">
        <v>18</v>
      </c>
      <c r="O1575" s="1">
        <v>3</v>
      </c>
      <c r="P1575" s="1">
        <v>7</v>
      </c>
      <c r="Q1575" s="7" t="s">
        <v>17633</v>
      </c>
      <c r="R1575" s="1" t="s">
        <v>19</v>
      </c>
      <c r="S1575" s="1" t="s">
        <v>20</v>
      </c>
      <c r="T1575" s="1" t="s">
        <v>21</v>
      </c>
      <c r="U1575" s="1" t="s">
        <v>22</v>
      </c>
      <c r="V1575" s="1" t="s">
        <v>23</v>
      </c>
      <c r="W1575" s="1" t="s">
        <v>24</v>
      </c>
      <c r="X1575" s="1">
        <v>2715</v>
      </c>
      <c r="Y1575" s="1">
        <v>2721</v>
      </c>
      <c r="Z1575" s="1" t="s">
        <v>24</v>
      </c>
      <c r="AA1575" s="1" t="s">
        <v>24</v>
      </c>
      <c r="AB1575" s="1" t="s">
        <v>24</v>
      </c>
      <c r="AC1575" s="1" t="s">
        <v>24</v>
      </c>
      <c r="AD1575" s="1" t="s">
        <v>24</v>
      </c>
      <c r="AE1575" s="1" t="s">
        <v>24</v>
      </c>
      <c r="AF1575" s="22"/>
    </row>
    <row r="1576" spans="1:32" x14ac:dyDescent="0.2">
      <c r="A1576" s="1">
        <v>9767</v>
      </c>
      <c r="B1576" s="1" t="s">
        <v>5088</v>
      </c>
      <c r="C1576" s="5" t="s">
        <v>0</v>
      </c>
      <c r="D1576" s="1" t="s">
        <v>5089</v>
      </c>
      <c r="F1576" s="1" t="s">
        <v>97</v>
      </c>
      <c r="G1576" s="1" t="s">
        <v>98</v>
      </c>
      <c r="H1576" s="1" t="s">
        <v>37</v>
      </c>
      <c r="I1576" s="1" t="s">
        <v>16</v>
      </c>
      <c r="J1576" s="1">
        <v>1</v>
      </c>
      <c r="K1576" s="1">
        <v>12</v>
      </c>
      <c r="L1576" s="1" t="s">
        <v>31</v>
      </c>
      <c r="M1576" s="1" t="s">
        <v>18</v>
      </c>
      <c r="N1576" s="1" t="s">
        <v>18</v>
      </c>
      <c r="O1576" s="1">
        <v>3</v>
      </c>
      <c r="P1576" s="1">
        <v>7</v>
      </c>
      <c r="Q1576" s="7" t="s">
        <v>17633</v>
      </c>
      <c r="R1576" s="1" t="s">
        <v>19</v>
      </c>
      <c r="S1576" s="1" t="s">
        <v>20</v>
      </c>
      <c r="T1576" s="1" t="s">
        <v>21</v>
      </c>
      <c r="U1576" s="1" t="s">
        <v>22</v>
      </c>
      <c r="V1576" s="1" t="s">
        <v>24</v>
      </c>
      <c r="W1576" s="1" t="s">
        <v>24</v>
      </c>
      <c r="X1576" s="1">
        <v>2708</v>
      </c>
      <c r="Y1576" s="1">
        <v>2739</v>
      </c>
      <c r="Z1576" s="1">
        <v>2736</v>
      </c>
      <c r="AA1576" s="1">
        <v>2725</v>
      </c>
      <c r="AB1576" s="1" t="s">
        <v>24</v>
      </c>
      <c r="AC1576" s="1" t="s">
        <v>24</v>
      </c>
      <c r="AD1576" s="1" t="s">
        <v>24</v>
      </c>
      <c r="AE1576" s="1" t="s">
        <v>24</v>
      </c>
      <c r="AF1576" s="22" t="s">
        <v>17679</v>
      </c>
    </row>
    <row r="1577" spans="1:32" x14ac:dyDescent="0.2">
      <c r="A1577" s="1">
        <v>9768</v>
      </c>
      <c r="B1577" s="1" t="s">
        <v>5090</v>
      </c>
      <c r="C1577" s="5" t="s">
        <v>0</v>
      </c>
      <c r="D1577" s="1" t="s">
        <v>5091</v>
      </c>
      <c r="E1577" s="1" t="s">
        <v>5092</v>
      </c>
      <c r="F1577" s="1" t="s">
        <v>35</v>
      </c>
      <c r="G1577" s="1" t="s">
        <v>36</v>
      </c>
      <c r="H1577" s="1" t="s">
        <v>37</v>
      </c>
      <c r="I1577" s="1" t="s">
        <v>16</v>
      </c>
      <c r="J1577" s="1">
        <v>1</v>
      </c>
      <c r="K1577" s="1">
        <v>6</v>
      </c>
      <c r="L1577" s="1" t="s">
        <v>31</v>
      </c>
      <c r="M1577" s="1" t="s">
        <v>18</v>
      </c>
      <c r="N1577" s="1" t="s">
        <v>18</v>
      </c>
      <c r="O1577" s="1">
        <v>3</v>
      </c>
      <c r="P1577" s="1">
        <v>7</v>
      </c>
      <c r="Q1577" s="7" t="s">
        <v>17633</v>
      </c>
      <c r="R1577" s="1" t="s">
        <v>19</v>
      </c>
      <c r="S1577" s="1" t="s">
        <v>20</v>
      </c>
      <c r="T1577" s="1" t="s">
        <v>21</v>
      </c>
      <c r="U1577" s="1" t="s">
        <v>22</v>
      </c>
      <c r="V1577" s="1" t="s">
        <v>24</v>
      </c>
      <c r="W1577" s="1" t="s">
        <v>24</v>
      </c>
      <c r="X1577" s="1">
        <v>2734</v>
      </c>
      <c r="Y1577" s="1">
        <v>2722</v>
      </c>
      <c r="Z1577" s="1" t="s">
        <v>24</v>
      </c>
      <c r="AA1577" s="1" t="s">
        <v>24</v>
      </c>
      <c r="AB1577" s="1" t="s">
        <v>24</v>
      </c>
      <c r="AC1577" s="1" t="s">
        <v>24</v>
      </c>
      <c r="AD1577" s="1" t="s">
        <v>24</v>
      </c>
      <c r="AE1577" s="1" t="s">
        <v>24</v>
      </c>
      <c r="AF1577" s="22"/>
    </row>
    <row r="1578" spans="1:32" x14ac:dyDescent="0.2">
      <c r="A1578" s="1">
        <v>9772</v>
      </c>
      <c r="B1578" s="1" t="s">
        <v>5093</v>
      </c>
      <c r="C1578" s="5" t="s">
        <v>0</v>
      </c>
      <c r="D1578" s="1" t="s">
        <v>5094</v>
      </c>
      <c r="E1578" s="1" t="s">
        <v>5095</v>
      </c>
      <c r="F1578" s="1" t="s">
        <v>60</v>
      </c>
      <c r="G1578" s="1" t="s">
        <v>61</v>
      </c>
      <c r="H1578" s="1" t="s">
        <v>30</v>
      </c>
      <c r="I1578" s="1" t="s">
        <v>16</v>
      </c>
      <c r="J1578" s="1">
        <v>1</v>
      </c>
      <c r="K1578" s="1">
        <v>8</v>
      </c>
      <c r="L1578" s="1" t="s">
        <v>31</v>
      </c>
      <c r="M1578" s="1" t="s">
        <v>18</v>
      </c>
      <c r="N1578" s="1" t="s">
        <v>18</v>
      </c>
      <c r="O1578" s="1">
        <v>3</v>
      </c>
      <c r="P1578" s="1">
        <v>7</v>
      </c>
      <c r="Q1578" s="7" t="s">
        <v>17633</v>
      </c>
      <c r="R1578" s="1" t="s">
        <v>62</v>
      </c>
      <c r="S1578" s="1" t="s">
        <v>20</v>
      </c>
      <c r="T1578" s="1" t="s">
        <v>21</v>
      </c>
      <c r="U1578" s="1" t="s">
        <v>22</v>
      </c>
      <c r="V1578" s="1" t="s">
        <v>24</v>
      </c>
      <c r="W1578" s="1" t="s">
        <v>24</v>
      </c>
      <c r="X1578" s="1">
        <v>2403</v>
      </c>
      <c r="Y1578" s="1">
        <v>2802</v>
      </c>
      <c r="Z1578" s="1">
        <v>2807</v>
      </c>
      <c r="AA1578" s="1" t="s">
        <v>24</v>
      </c>
      <c r="AB1578" s="1" t="s">
        <v>24</v>
      </c>
      <c r="AC1578" s="1" t="s">
        <v>24</v>
      </c>
      <c r="AD1578" s="1" t="s">
        <v>24</v>
      </c>
      <c r="AE1578" s="1" t="s">
        <v>24</v>
      </c>
      <c r="AF1578" s="22"/>
    </row>
    <row r="1579" spans="1:32" x14ac:dyDescent="0.2">
      <c r="A1579" s="1">
        <v>9775</v>
      </c>
      <c r="B1579" s="1" t="s">
        <v>5096</v>
      </c>
      <c r="C1579" s="5" t="s">
        <v>0</v>
      </c>
      <c r="D1579" s="1" t="s">
        <v>5097</v>
      </c>
      <c r="E1579" s="1" t="s">
        <v>5098</v>
      </c>
      <c r="F1579" s="1" t="s">
        <v>689</v>
      </c>
      <c r="G1579" s="1" t="s">
        <v>311</v>
      </c>
      <c r="H1579" s="1" t="s">
        <v>37</v>
      </c>
      <c r="I1579" s="1" t="s">
        <v>16</v>
      </c>
      <c r="J1579" s="1">
        <v>1</v>
      </c>
      <c r="K1579" s="1">
        <v>12</v>
      </c>
      <c r="L1579" s="1" t="s">
        <v>31</v>
      </c>
      <c r="M1579" s="1" t="s">
        <v>18</v>
      </c>
      <c r="N1579" s="1" t="s">
        <v>18</v>
      </c>
      <c r="O1579" s="1">
        <v>3</v>
      </c>
      <c r="P1579" s="1">
        <v>7</v>
      </c>
      <c r="Q1579" s="7" t="s">
        <v>17633</v>
      </c>
      <c r="R1579" s="1" t="s">
        <v>19</v>
      </c>
      <c r="S1579" s="1" t="s">
        <v>20</v>
      </c>
      <c r="T1579" s="1" t="s">
        <v>21</v>
      </c>
      <c r="U1579" s="1" t="s">
        <v>22</v>
      </c>
      <c r="V1579" s="1" t="s">
        <v>23</v>
      </c>
      <c r="W1579" s="1" t="s">
        <v>24</v>
      </c>
      <c r="X1579" s="1">
        <v>2739</v>
      </c>
      <c r="Y1579" s="1">
        <v>3306</v>
      </c>
      <c r="Z1579" s="1">
        <v>3207</v>
      </c>
      <c r="AA1579" s="1" t="s">
        <v>24</v>
      </c>
      <c r="AB1579" s="1" t="s">
        <v>24</v>
      </c>
      <c r="AC1579" s="1" t="s">
        <v>24</v>
      </c>
      <c r="AD1579" s="1" t="s">
        <v>24</v>
      </c>
      <c r="AE1579" s="1" t="s">
        <v>24</v>
      </c>
      <c r="AF1579" s="22"/>
    </row>
    <row r="1580" spans="1:32" x14ac:dyDescent="0.2">
      <c r="A1580" s="1">
        <v>9776</v>
      </c>
      <c r="B1580" s="1" t="s">
        <v>5099</v>
      </c>
      <c r="C1580" s="5" t="s">
        <v>0</v>
      </c>
      <c r="D1580" s="1" t="s">
        <v>5100</v>
      </c>
      <c r="E1580" s="1" t="s">
        <v>5101</v>
      </c>
      <c r="F1580" s="1" t="s">
        <v>320</v>
      </c>
      <c r="G1580" s="1" t="s">
        <v>36</v>
      </c>
      <c r="H1580" s="1" t="s">
        <v>30</v>
      </c>
      <c r="I1580" s="1" t="s">
        <v>16</v>
      </c>
      <c r="J1580" s="1">
        <v>1</v>
      </c>
      <c r="K1580" s="1">
        <v>12</v>
      </c>
      <c r="L1580" s="1" t="s">
        <v>31</v>
      </c>
      <c r="M1580" s="1" t="s">
        <v>18</v>
      </c>
      <c r="N1580" s="1" t="s">
        <v>18</v>
      </c>
      <c r="O1580" s="1">
        <v>3</v>
      </c>
      <c r="P1580" s="1">
        <v>8</v>
      </c>
      <c r="Q1580" s="7" t="s">
        <v>17633</v>
      </c>
      <c r="R1580" s="1" t="s">
        <v>62</v>
      </c>
      <c r="S1580" s="1" t="s">
        <v>20</v>
      </c>
      <c r="T1580" s="1" t="s">
        <v>21</v>
      </c>
      <c r="U1580" s="1" t="s">
        <v>22</v>
      </c>
      <c r="V1580" s="1" t="s">
        <v>24</v>
      </c>
      <c r="W1580" s="1" t="s">
        <v>24</v>
      </c>
      <c r="X1580" s="1">
        <v>1306</v>
      </c>
      <c r="Y1580" s="1">
        <v>1311</v>
      </c>
      <c r="Z1580" s="1" t="s">
        <v>24</v>
      </c>
      <c r="AA1580" s="1" t="s">
        <v>24</v>
      </c>
      <c r="AB1580" s="1" t="s">
        <v>24</v>
      </c>
      <c r="AC1580" s="1" t="s">
        <v>24</v>
      </c>
      <c r="AD1580" s="1" t="s">
        <v>24</v>
      </c>
      <c r="AE1580" s="1" t="s">
        <v>24</v>
      </c>
      <c r="AF1580" s="22"/>
    </row>
    <row r="1581" spans="1:32" x14ac:dyDescent="0.2">
      <c r="A1581" s="1">
        <v>9778</v>
      </c>
      <c r="B1581" s="1" t="s">
        <v>5102</v>
      </c>
      <c r="C1581" s="5" t="s">
        <v>0</v>
      </c>
      <c r="D1581" s="1" t="s">
        <v>5103</v>
      </c>
      <c r="F1581" s="1" t="s">
        <v>5104</v>
      </c>
      <c r="G1581" s="1" t="s">
        <v>5104</v>
      </c>
      <c r="H1581" s="1" t="s">
        <v>37</v>
      </c>
      <c r="I1581" s="1" t="s">
        <v>16</v>
      </c>
      <c r="J1581" s="1">
        <v>1</v>
      </c>
      <c r="K1581" s="1">
        <v>6</v>
      </c>
      <c r="L1581" s="1" t="s">
        <v>42</v>
      </c>
      <c r="M1581" s="1" t="s">
        <v>18</v>
      </c>
      <c r="N1581" s="1" t="s">
        <v>18</v>
      </c>
      <c r="O1581" s="1">
        <v>3</v>
      </c>
      <c r="P1581" s="1">
        <v>7</v>
      </c>
      <c r="Q1581" s="7" t="s">
        <v>17633</v>
      </c>
      <c r="R1581" s="1" t="s">
        <v>19</v>
      </c>
      <c r="S1581" s="1" t="s">
        <v>20</v>
      </c>
      <c r="T1581" s="1" t="s">
        <v>21</v>
      </c>
      <c r="U1581" s="1" t="s">
        <v>22</v>
      </c>
      <c r="V1581" s="1" t="s">
        <v>24</v>
      </c>
      <c r="W1581" s="1" t="s">
        <v>24</v>
      </c>
      <c r="X1581" s="1">
        <v>2406</v>
      </c>
      <c r="Y1581" s="1">
        <v>3002</v>
      </c>
      <c r="Z1581" s="1">
        <v>3004</v>
      </c>
      <c r="AA1581" s="1" t="s">
        <v>24</v>
      </c>
      <c r="AB1581" s="1" t="s">
        <v>24</v>
      </c>
      <c r="AC1581" s="1" t="s">
        <v>24</v>
      </c>
      <c r="AD1581" s="1" t="s">
        <v>24</v>
      </c>
      <c r="AE1581" s="1" t="s">
        <v>24</v>
      </c>
      <c r="AF1581" s="22"/>
    </row>
    <row r="1582" spans="1:32" x14ac:dyDescent="0.2">
      <c r="A1582" s="1">
        <v>9779</v>
      </c>
      <c r="B1582" s="1" t="s">
        <v>5105</v>
      </c>
      <c r="C1582" s="5" t="s">
        <v>0</v>
      </c>
      <c r="D1582" s="1" t="s">
        <v>5106</v>
      </c>
      <c r="E1582" s="1" t="s">
        <v>5107</v>
      </c>
      <c r="F1582" s="1" t="s">
        <v>272</v>
      </c>
      <c r="G1582" s="1" t="s">
        <v>61</v>
      </c>
      <c r="H1582" s="1" t="s">
        <v>30</v>
      </c>
      <c r="I1582" s="1" t="s">
        <v>16</v>
      </c>
      <c r="J1582" s="1">
        <v>1</v>
      </c>
      <c r="K1582" s="1">
        <v>6</v>
      </c>
      <c r="L1582" s="1" t="s">
        <v>31</v>
      </c>
      <c r="M1582" s="1" t="s">
        <v>18</v>
      </c>
      <c r="N1582" s="1" t="s">
        <v>18</v>
      </c>
      <c r="O1582" s="1">
        <v>3</v>
      </c>
      <c r="P1582" s="1">
        <v>7</v>
      </c>
      <c r="Q1582" s="7" t="s">
        <v>17633</v>
      </c>
      <c r="R1582" s="1" t="s">
        <v>19</v>
      </c>
      <c r="S1582" s="1" t="s">
        <v>20</v>
      </c>
      <c r="T1582" s="1" t="s">
        <v>21</v>
      </c>
      <c r="U1582" s="1" t="s">
        <v>22</v>
      </c>
      <c r="V1582" s="1" t="s">
        <v>23</v>
      </c>
      <c r="W1582" s="1" t="s">
        <v>24</v>
      </c>
      <c r="X1582" s="1">
        <v>2705</v>
      </c>
      <c r="Y1582" s="1">
        <v>2746</v>
      </c>
      <c r="Z1582" s="1" t="s">
        <v>24</v>
      </c>
      <c r="AA1582" s="1" t="s">
        <v>24</v>
      </c>
      <c r="AB1582" s="1" t="s">
        <v>24</v>
      </c>
      <c r="AC1582" s="1" t="s">
        <v>24</v>
      </c>
      <c r="AD1582" s="1" t="s">
        <v>24</v>
      </c>
      <c r="AE1582" s="1" t="s">
        <v>24</v>
      </c>
      <c r="AF1582" s="22"/>
    </row>
    <row r="1583" spans="1:32" x14ac:dyDescent="0.2">
      <c r="A1583" s="1">
        <v>9785</v>
      </c>
      <c r="B1583" s="1" t="s">
        <v>5108</v>
      </c>
      <c r="C1583" s="5" t="s">
        <v>0</v>
      </c>
      <c r="D1583" s="1" t="s">
        <v>5109</v>
      </c>
      <c r="F1583" s="1" t="s">
        <v>5110</v>
      </c>
      <c r="G1583" s="1" t="s">
        <v>5110</v>
      </c>
      <c r="H1583" s="1" t="s">
        <v>899</v>
      </c>
      <c r="I1583" s="1" t="s">
        <v>16</v>
      </c>
      <c r="J1583" s="1">
        <v>1</v>
      </c>
      <c r="K1583" s="1">
        <v>4</v>
      </c>
      <c r="L1583" s="1" t="s">
        <v>42</v>
      </c>
      <c r="M1583" s="1" t="s">
        <v>18</v>
      </c>
      <c r="N1583" s="1" t="s">
        <v>18</v>
      </c>
      <c r="O1583" s="1">
        <v>3</v>
      </c>
      <c r="P1583" s="1">
        <v>5</v>
      </c>
      <c r="R1583" s="1" t="s">
        <v>19</v>
      </c>
      <c r="S1583" s="1" t="s">
        <v>63</v>
      </c>
      <c r="T1583" s="1" t="s">
        <v>21</v>
      </c>
      <c r="U1583" s="1" t="s">
        <v>22</v>
      </c>
      <c r="V1583" s="1" t="s">
        <v>24</v>
      </c>
      <c r="W1583" s="1" t="s">
        <v>24</v>
      </c>
      <c r="X1583" s="1">
        <v>1300</v>
      </c>
      <c r="Y1583" s="1">
        <v>2700</v>
      </c>
      <c r="Z1583" s="1" t="s">
        <v>24</v>
      </c>
      <c r="AA1583" s="1" t="s">
        <v>24</v>
      </c>
      <c r="AB1583" s="1" t="s">
        <v>24</v>
      </c>
      <c r="AC1583" s="1" t="s">
        <v>24</v>
      </c>
      <c r="AD1583" s="1" t="s">
        <v>24</v>
      </c>
      <c r="AE1583" s="1" t="s">
        <v>24</v>
      </c>
      <c r="AF1583" s="22"/>
    </row>
    <row r="1584" spans="1:32" x14ac:dyDescent="0.2">
      <c r="A1584" s="1">
        <v>9786</v>
      </c>
      <c r="B1584" s="1" t="s">
        <v>5111</v>
      </c>
      <c r="C1584" s="5" t="s">
        <v>0</v>
      </c>
      <c r="D1584" s="1" t="s">
        <v>5112</v>
      </c>
      <c r="F1584" s="1" t="s">
        <v>5113</v>
      </c>
      <c r="G1584" s="1" t="s">
        <v>5113</v>
      </c>
      <c r="H1584" s="1" t="s">
        <v>5114</v>
      </c>
      <c r="I1584" s="1" t="s">
        <v>16</v>
      </c>
      <c r="J1584" s="1">
        <v>1</v>
      </c>
      <c r="K1584" s="1">
        <v>4</v>
      </c>
      <c r="L1584" s="1" t="s">
        <v>42</v>
      </c>
      <c r="M1584" s="1" t="s">
        <v>18</v>
      </c>
      <c r="N1584" s="1" t="s">
        <v>18</v>
      </c>
      <c r="O1584" s="1">
        <v>2</v>
      </c>
      <c r="P1584" s="1">
        <v>5</v>
      </c>
      <c r="R1584" s="1" t="s">
        <v>19</v>
      </c>
      <c r="S1584" s="1" t="s">
        <v>20</v>
      </c>
      <c r="T1584" s="1" t="s">
        <v>21</v>
      </c>
      <c r="U1584" s="1" t="s">
        <v>22</v>
      </c>
      <c r="V1584" s="1" t="s">
        <v>24</v>
      </c>
      <c r="W1584" s="1" t="s">
        <v>24</v>
      </c>
      <c r="X1584" s="1">
        <v>2700</v>
      </c>
      <c r="Y1584" s="1" t="s">
        <v>24</v>
      </c>
      <c r="Z1584" s="1" t="s">
        <v>24</v>
      </c>
      <c r="AA1584" s="1" t="s">
        <v>24</v>
      </c>
      <c r="AB1584" s="1" t="s">
        <v>24</v>
      </c>
      <c r="AC1584" s="1" t="s">
        <v>24</v>
      </c>
      <c r="AD1584" s="1" t="s">
        <v>24</v>
      </c>
      <c r="AE1584" s="1" t="s">
        <v>24</v>
      </c>
      <c r="AF1584" s="22"/>
    </row>
    <row r="1585" spans="1:32" x14ac:dyDescent="0.2">
      <c r="A1585" s="1">
        <v>9792</v>
      </c>
      <c r="B1585" s="1" t="s">
        <v>5115</v>
      </c>
      <c r="C1585" s="5" t="s">
        <v>0</v>
      </c>
      <c r="D1585" s="1" t="s">
        <v>5116</v>
      </c>
      <c r="E1585" s="1" t="s">
        <v>5117</v>
      </c>
      <c r="F1585" s="1" t="s">
        <v>155</v>
      </c>
      <c r="G1585" s="1" t="s">
        <v>61</v>
      </c>
      <c r="H1585" s="1" t="s">
        <v>37</v>
      </c>
      <c r="I1585" s="1" t="s">
        <v>16</v>
      </c>
      <c r="J1585" s="1">
        <v>1</v>
      </c>
      <c r="K1585" s="1">
        <v>24</v>
      </c>
      <c r="L1585" s="1" t="s">
        <v>31</v>
      </c>
      <c r="M1585" s="1" t="s">
        <v>18</v>
      </c>
      <c r="N1585" s="1" t="s">
        <v>18</v>
      </c>
      <c r="O1585" s="1">
        <v>3</v>
      </c>
      <c r="P1585" s="1">
        <v>7</v>
      </c>
      <c r="Q1585" s="7" t="s">
        <v>17633</v>
      </c>
      <c r="R1585" s="1" t="s">
        <v>881</v>
      </c>
      <c r="S1585" s="1" t="s">
        <v>20</v>
      </c>
      <c r="T1585" s="1" t="s">
        <v>21</v>
      </c>
      <c r="U1585" s="1" t="s">
        <v>22</v>
      </c>
      <c r="V1585" s="1" t="s">
        <v>24</v>
      </c>
      <c r="W1585" s="1" t="s">
        <v>64</v>
      </c>
      <c r="X1585" s="1">
        <v>1605</v>
      </c>
      <c r="Y1585" s="1">
        <v>1604</v>
      </c>
      <c r="Z1585" s="1">
        <v>1606</v>
      </c>
      <c r="AA1585" s="1">
        <v>1503</v>
      </c>
      <c r="AB1585" s="1" t="s">
        <v>24</v>
      </c>
      <c r="AC1585" s="1" t="s">
        <v>24</v>
      </c>
      <c r="AD1585" s="1" t="s">
        <v>24</v>
      </c>
      <c r="AE1585" s="1" t="s">
        <v>24</v>
      </c>
      <c r="AF1585" s="22"/>
    </row>
    <row r="1586" spans="1:32" x14ac:dyDescent="0.2">
      <c r="A1586" s="1">
        <v>9797</v>
      </c>
      <c r="B1586" s="1" t="s">
        <v>5118</v>
      </c>
      <c r="C1586" s="5" t="s">
        <v>0</v>
      </c>
      <c r="D1586" s="1" t="s">
        <v>5119</v>
      </c>
      <c r="E1586" s="1" t="s">
        <v>5120</v>
      </c>
      <c r="F1586" s="1" t="s">
        <v>60</v>
      </c>
      <c r="G1586" s="1" t="s">
        <v>61</v>
      </c>
      <c r="H1586" s="1" t="s">
        <v>30</v>
      </c>
      <c r="I1586" s="1" t="s">
        <v>16</v>
      </c>
      <c r="J1586" s="1">
        <v>1</v>
      </c>
      <c r="K1586" s="1">
        <v>12</v>
      </c>
      <c r="L1586" s="1" t="s">
        <v>31</v>
      </c>
      <c r="M1586" s="1" t="s">
        <v>18</v>
      </c>
      <c r="N1586" s="1" t="s">
        <v>18</v>
      </c>
      <c r="O1586" s="1">
        <v>3</v>
      </c>
      <c r="P1586" s="1">
        <v>8</v>
      </c>
      <c r="Q1586" s="7" t="s">
        <v>17633</v>
      </c>
      <c r="R1586" s="1" t="s">
        <v>62</v>
      </c>
      <c r="S1586" s="1" t="s">
        <v>20</v>
      </c>
      <c r="T1586" s="1" t="s">
        <v>21</v>
      </c>
      <c r="U1586" s="1" t="s">
        <v>22</v>
      </c>
      <c r="V1586" s="1" t="s">
        <v>24</v>
      </c>
      <c r="W1586" s="1" t="s">
        <v>24</v>
      </c>
      <c r="X1586" s="1">
        <v>1311</v>
      </c>
      <c r="Y1586" s="1" t="s">
        <v>24</v>
      </c>
      <c r="Z1586" s="1" t="s">
        <v>24</v>
      </c>
      <c r="AA1586" s="1" t="s">
        <v>24</v>
      </c>
      <c r="AB1586" s="1" t="s">
        <v>24</v>
      </c>
      <c r="AC1586" s="1" t="s">
        <v>24</v>
      </c>
      <c r="AD1586" s="1" t="s">
        <v>24</v>
      </c>
      <c r="AE1586" s="1" t="s">
        <v>24</v>
      </c>
      <c r="AF1586" s="22"/>
    </row>
    <row r="1587" spans="1:32" x14ac:dyDescent="0.2">
      <c r="A1587" s="1">
        <v>9803</v>
      </c>
      <c r="B1587" s="1" t="s">
        <v>5121</v>
      </c>
      <c r="C1587" s="5" t="s">
        <v>0</v>
      </c>
      <c r="D1587" s="1" t="s">
        <v>5122</v>
      </c>
      <c r="E1587" s="1" t="s">
        <v>5123</v>
      </c>
      <c r="F1587" s="1" t="s">
        <v>5124</v>
      </c>
      <c r="G1587" s="1" t="s">
        <v>5125</v>
      </c>
      <c r="H1587" s="1" t="s">
        <v>264</v>
      </c>
      <c r="I1587" s="1" t="s">
        <v>16</v>
      </c>
      <c r="J1587" s="1">
        <v>1</v>
      </c>
      <c r="K1587" s="1">
        <v>8</v>
      </c>
      <c r="L1587" s="1" t="s">
        <v>31</v>
      </c>
      <c r="M1587" s="1" t="s">
        <v>18</v>
      </c>
      <c r="N1587" s="1" t="s">
        <v>18</v>
      </c>
      <c r="O1587" s="1">
        <v>3</v>
      </c>
      <c r="P1587" s="1">
        <v>6</v>
      </c>
      <c r="R1587" s="1" t="s">
        <v>19</v>
      </c>
      <c r="S1587" s="1" t="s">
        <v>20</v>
      </c>
      <c r="T1587" s="1" t="s">
        <v>21</v>
      </c>
      <c r="U1587" s="1" t="s">
        <v>22</v>
      </c>
      <c r="V1587" s="1" t="s">
        <v>24</v>
      </c>
      <c r="W1587" s="1" t="s">
        <v>24</v>
      </c>
      <c r="X1587" s="1">
        <v>1103</v>
      </c>
      <c r="Y1587" s="1">
        <v>2743</v>
      </c>
      <c r="Z1587" s="1">
        <v>1309</v>
      </c>
      <c r="AA1587" s="1">
        <v>1310</v>
      </c>
      <c r="AB1587" s="1">
        <v>1311</v>
      </c>
      <c r="AC1587" s="1">
        <v>1312</v>
      </c>
      <c r="AD1587" s="1">
        <v>1305</v>
      </c>
      <c r="AE1587" s="1" t="s">
        <v>24</v>
      </c>
      <c r="AF1587" s="22"/>
    </row>
    <row r="1588" spans="1:32" x14ac:dyDescent="0.2">
      <c r="A1588" s="1">
        <v>9807</v>
      </c>
      <c r="B1588" s="1" t="s">
        <v>5126</v>
      </c>
      <c r="C1588" s="5" t="s">
        <v>0</v>
      </c>
      <c r="D1588" s="1" t="s">
        <v>5127</v>
      </c>
      <c r="F1588" s="1" t="s">
        <v>724</v>
      </c>
      <c r="G1588" s="1" t="s">
        <v>725</v>
      </c>
      <c r="H1588" s="1" t="s">
        <v>37</v>
      </c>
      <c r="I1588" s="1" t="s">
        <v>16</v>
      </c>
      <c r="J1588" s="1">
        <v>0</v>
      </c>
      <c r="K1588" s="1">
        <v>0</v>
      </c>
      <c r="L1588" s="1" t="s">
        <v>31</v>
      </c>
      <c r="M1588" s="1" t="s">
        <v>18</v>
      </c>
      <c r="N1588" s="1" t="s">
        <v>18</v>
      </c>
      <c r="O1588" s="1">
        <v>2</v>
      </c>
      <c r="P1588" s="1">
        <v>6</v>
      </c>
      <c r="R1588" s="1" t="s">
        <v>19</v>
      </c>
      <c r="S1588" s="1" t="s">
        <v>20</v>
      </c>
      <c r="T1588" s="1" t="s">
        <v>21</v>
      </c>
      <c r="U1588" s="1" t="s">
        <v>22</v>
      </c>
      <c r="V1588" s="1" t="s">
        <v>23</v>
      </c>
      <c r="W1588" s="1" t="s">
        <v>24</v>
      </c>
      <c r="X1588" s="1">
        <v>2703</v>
      </c>
      <c r="Y1588" s="1" t="s">
        <v>24</v>
      </c>
      <c r="Z1588" s="1" t="s">
        <v>24</v>
      </c>
      <c r="AA1588" s="1" t="s">
        <v>24</v>
      </c>
      <c r="AB1588" s="1" t="s">
        <v>24</v>
      </c>
      <c r="AC1588" s="1" t="s">
        <v>24</v>
      </c>
      <c r="AD1588" s="1" t="s">
        <v>24</v>
      </c>
      <c r="AE1588" s="1" t="s">
        <v>24</v>
      </c>
      <c r="AF1588" s="22"/>
    </row>
    <row r="1589" spans="1:32" x14ac:dyDescent="0.2">
      <c r="A1589" s="1">
        <v>9808</v>
      </c>
      <c r="B1589" s="1" t="s">
        <v>5128</v>
      </c>
      <c r="C1589" s="5" t="s">
        <v>0</v>
      </c>
      <c r="D1589" s="1" t="s">
        <v>5129</v>
      </c>
      <c r="F1589" s="1" t="s">
        <v>97</v>
      </c>
      <c r="G1589" s="1" t="s">
        <v>98</v>
      </c>
      <c r="H1589" s="1" t="s">
        <v>37</v>
      </c>
      <c r="I1589" s="1" t="s">
        <v>16</v>
      </c>
      <c r="J1589" s="1">
        <v>0</v>
      </c>
      <c r="K1589" s="1">
        <v>0</v>
      </c>
      <c r="L1589" s="1" t="s">
        <v>31</v>
      </c>
      <c r="M1589" s="1" t="s">
        <v>18</v>
      </c>
      <c r="N1589" s="1" t="s">
        <v>18</v>
      </c>
      <c r="O1589" s="1">
        <v>0</v>
      </c>
      <c r="P1589" s="1">
        <v>6</v>
      </c>
      <c r="R1589" s="1" t="s">
        <v>19</v>
      </c>
      <c r="S1589" s="1" t="s">
        <v>20</v>
      </c>
      <c r="T1589" s="1" t="s">
        <v>21</v>
      </c>
      <c r="U1589" s="1" t="s">
        <v>22</v>
      </c>
      <c r="V1589" s="1" t="s">
        <v>24</v>
      </c>
      <c r="W1589" s="1" t="s">
        <v>24</v>
      </c>
      <c r="X1589" s="1">
        <v>2700</v>
      </c>
      <c r="Y1589" s="1" t="s">
        <v>24</v>
      </c>
      <c r="Z1589" s="1" t="s">
        <v>24</v>
      </c>
      <c r="AA1589" s="1" t="s">
        <v>24</v>
      </c>
      <c r="AB1589" s="1" t="s">
        <v>24</v>
      </c>
      <c r="AC1589" s="1" t="s">
        <v>24</v>
      </c>
      <c r="AD1589" s="1" t="s">
        <v>24</v>
      </c>
      <c r="AE1589" s="1" t="s">
        <v>24</v>
      </c>
      <c r="AF1589" s="22" t="s">
        <v>17679</v>
      </c>
    </row>
    <row r="1590" spans="1:32" x14ac:dyDescent="0.2">
      <c r="A1590" s="1">
        <v>9822</v>
      </c>
      <c r="B1590" s="1" t="s">
        <v>5130</v>
      </c>
      <c r="C1590" s="5" t="s">
        <v>0</v>
      </c>
      <c r="D1590" s="1" t="s">
        <v>5131</v>
      </c>
      <c r="E1590" s="1" t="s">
        <v>5132</v>
      </c>
      <c r="F1590" s="1" t="s">
        <v>291</v>
      </c>
      <c r="G1590" s="1" t="s">
        <v>292</v>
      </c>
      <c r="H1590" s="1" t="s">
        <v>37</v>
      </c>
      <c r="I1590" s="1" t="s">
        <v>16</v>
      </c>
      <c r="J1590" s="1">
        <v>1</v>
      </c>
      <c r="K1590" s="1">
        <v>8</v>
      </c>
      <c r="L1590" s="1" t="s">
        <v>31</v>
      </c>
      <c r="M1590" s="1" t="s">
        <v>18</v>
      </c>
      <c r="N1590" s="1" t="s">
        <v>18</v>
      </c>
      <c r="O1590" s="1">
        <v>3</v>
      </c>
      <c r="P1590" s="1">
        <v>7</v>
      </c>
      <c r="Q1590" s="7" t="s">
        <v>17633</v>
      </c>
      <c r="R1590" s="1" t="s">
        <v>19</v>
      </c>
      <c r="S1590" s="1" t="s">
        <v>20</v>
      </c>
      <c r="T1590" s="1" t="s">
        <v>21</v>
      </c>
      <c r="U1590" s="1" t="s">
        <v>22</v>
      </c>
      <c r="V1590" s="1" t="s">
        <v>24</v>
      </c>
      <c r="W1590" s="1" t="s">
        <v>24</v>
      </c>
      <c r="X1590" s="1">
        <v>2720</v>
      </c>
      <c r="Y1590" s="1" t="s">
        <v>24</v>
      </c>
      <c r="Z1590" s="1" t="s">
        <v>24</v>
      </c>
      <c r="AA1590" s="1" t="s">
        <v>24</v>
      </c>
      <c r="AB1590" s="1" t="s">
        <v>24</v>
      </c>
      <c r="AC1590" s="1" t="s">
        <v>24</v>
      </c>
      <c r="AD1590" s="1" t="s">
        <v>24</v>
      </c>
      <c r="AE1590" s="1" t="s">
        <v>24</v>
      </c>
      <c r="AF1590" s="22"/>
    </row>
    <row r="1591" spans="1:32" x14ac:dyDescent="0.2">
      <c r="A1591" s="1">
        <v>9823</v>
      </c>
      <c r="B1591" s="1" t="s">
        <v>5133</v>
      </c>
      <c r="C1591" s="5" t="s">
        <v>0</v>
      </c>
      <c r="D1591" s="1" t="s">
        <v>5134</v>
      </c>
      <c r="E1591" s="1" t="s">
        <v>5135</v>
      </c>
      <c r="F1591" s="1" t="s">
        <v>28</v>
      </c>
      <c r="G1591" s="1" t="s">
        <v>29</v>
      </c>
      <c r="H1591" s="1" t="s">
        <v>37</v>
      </c>
      <c r="I1591" s="1" t="s">
        <v>16</v>
      </c>
      <c r="J1591" s="1">
        <v>1</v>
      </c>
      <c r="K1591" s="1">
        <v>4</v>
      </c>
      <c r="L1591" s="1" t="s">
        <v>31</v>
      </c>
      <c r="M1591" s="1" t="s">
        <v>18</v>
      </c>
      <c r="N1591" s="1" t="s">
        <v>18</v>
      </c>
      <c r="O1591" s="1">
        <v>3</v>
      </c>
      <c r="P1591" s="1">
        <v>7</v>
      </c>
      <c r="Q1591" s="7" t="s">
        <v>17633</v>
      </c>
      <c r="R1591" s="1" t="s">
        <v>19</v>
      </c>
      <c r="S1591" s="1" t="s">
        <v>20</v>
      </c>
      <c r="T1591" s="1" t="s">
        <v>21</v>
      </c>
      <c r="U1591" s="1" t="s">
        <v>22</v>
      </c>
      <c r="V1591" s="1" t="s">
        <v>24</v>
      </c>
      <c r="W1591" s="1" t="s">
        <v>24</v>
      </c>
      <c r="X1591" s="1">
        <v>2726</v>
      </c>
      <c r="Y1591" s="1" t="s">
        <v>24</v>
      </c>
      <c r="Z1591" s="1" t="s">
        <v>24</v>
      </c>
      <c r="AA1591" s="1" t="s">
        <v>24</v>
      </c>
      <c r="AB1591" s="1" t="s">
        <v>24</v>
      </c>
      <c r="AC1591" s="1" t="s">
        <v>24</v>
      </c>
      <c r="AD1591" s="1" t="s">
        <v>24</v>
      </c>
      <c r="AE1591" s="1" t="s">
        <v>24</v>
      </c>
      <c r="AF1591" s="22"/>
    </row>
    <row r="1592" spans="1:32" x14ac:dyDescent="0.2">
      <c r="A1592" s="1">
        <v>9824</v>
      </c>
      <c r="B1592" s="1" t="s">
        <v>5136</v>
      </c>
      <c r="C1592" s="5" t="s">
        <v>0</v>
      </c>
      <c r="D1592" s="1" t="s">
        <v>5137</v>
      </c>
      <c r="E1592" s="1" t="s">
        <v>5138</v>
      </c>
      <c r="F1592" s="1" t="s">
        <v>28</v>
      </c>
      <c r="G1592" s="1" t="s">
        <v>29</v>
      </c>
      <c r="H1592" s="1" t="s">
        <v>30</v>
      </c>
      <c r="I1592" s="1" t="s">
        <v>16</v>
      </c>
      <c r="J1592" s="1">
        <v>1</v>
      </c>
      <c r="K1592" s="1">
        <v>6</v>
      </c>
      <c r="L1592" s="1" t="s">
        <v>31</v>
      </c>
      <c r="M1592" s="1" t="s">
        <v>18</v>
      </c>
      <c r="N1592" s="1" t="s">
        <v>18</v>
      </c>
      <c r="O1592" s="1">
        <v>3</v>
      </c>
      <c r="P1592" s="1">
        <v>7</v>
      </c>
      <c r="Q1592" s="7" t="s">
        <v>17633</v>
      </c>
      <c r="R1592" s="1" t="s">
        <v>62</v>
      </c>
      <c r="S1592" s="1" t="s">
        <v>20</v>
      </c>
      <c r="T1592" s="1" t="s">
        <v>21</v>
      </c>
      <c r="U1592" s="1" t="s">
        <v>22</v>
      </c>
      <c r="V1592" s="1" t="s">
        <v>24</v>
      </c>
      <c r="W1592" s="1" t="s">
        <v>24</v>
      </c>
      <c r="X1592" s="1">
        <v>2713</v>
      </c>
      <c r="Y1592" s="1" t="s">
        <v>24</v>
      </c>
      <c r="Z1592" s="1" t="s">
        <v>24</v>
      </c>
      <c r="AA1592" s="1" t="s">
        <v>24</v>
      </c>
      <c r="AB1592" s="1" t="s">
        <v>24</v>
      </c>
      <c r="AC1592" s="1" t="s">
        <v>24</v>
      </c>
      <c r="AD1592" s="1" t="s">
        <v>24</v>
      </c>
      <c r="AE1592" s="1" t="s">
        <v>24</v>
      </c>
      <c r="AF1592" s="22"/>
    </row>
    <row r="1593" spans="1:32" x14ac:dyDescent="0.2">
      <c r="A1593" s="1">
        <v>9829</v>
      </c>
      <c r="B1593" s="1" t="s">
        <v>5139</v>
      </c>
      <c r="C1593" s="5" t="s">
        <v>0</v>
      </c>
      <c r="D1593" s="1" t="s">
        <v>5140</v>
      </c>
      <c r="E1593" s="1" t="s">
        <v>5141</v>
      </c>
      <c r="F1593" s="1" t="s">
        <v>310</v>
      </c>
      <c r="G1593" s="1" t="s">
        <v>311</v>
      </c>
      <c r="H1593" s="1" t="s">
        <v>92</v>
      </c>
      <c r="I1593" s="1" t="s">
        <v>16</v>
      </c>
      <c r="J1593" s="1">
        <v>1</v>
      </c>
      <c r="K1593" s="1">
        <v>4</v>
      </c>
      <c r="L1593" s="1" t="s">
        <v>31</v>
      </c>
      <c r="M1593" s="1" t="s">
        <v>18</v>
      </c>
      <c r="N1593" s="1" t="s">
        <v>18</v>
      </c>
      <c r="O1593" s="1">
        <v>3</v>
      </c>
      <c r="P1593" s="1">
        <v>6</v>
      </c>
      <c r="R1593" s="1" t="s">
        <v>19</v>
      </c>
      <c r="S1593" s="1" t="s">
        <v>20</v>
      </c>
      <c r="T1593" s="1" t="s">
        <v>21</v>
      </c>
      <c r="U1593" s="1" t="s">
        <v>22</v>
      </c>
      <c r="V1593" s="1" t="s">
        <v>24</v>
      </c>
      <c r="W1593" s="1" t="s">
        <v>24</v>
      </c>
      <c r="X1593" s="1">
        <v>3400</v>
      </c>
      <c r="Y1593" s="1" t="s">
        <v>24</v>
      </c>
      <c r="Z1593" s="1" t="s">
        <v>24</v>
      </c>
      <c r="AA1593" s="1" t="s">
        <v>24</v>
      </c>
      <c r="AB1593" s="1" t="s">
        <v>24</v>
      </c>
      <c r="AC1593" s="1" t="s">
        <v>24</v>
      </c>
      <c r="AD1593" s="1" t="s">
        <v>24</v>
      </c>
      <c r="AE1593" s="1" t="s">
        <v>24</v>
      </c>
      <c r="AF1593" s="22" t="s">
        <v>17670</v>
      </c>
    </row>
    <row r="1594" spans="1:32" x14ac:dyDescent="0.2">
      <c r="A1594" s="1">
        <v>9833</v>
      </c>
      <c r="B1594" s="1" t="s">
        <v>5142</v>
      </c>
      <c r="C1594" s="5" t="s">
        <v>0</v>
      </c>
      <c r="D1594" s="1" t="s">
        <v>5143</v>
      </c>
      <c r="F1594" s="1" t="s">
        <v>5144</v>
      </c>
      <c r="G1594" s="1" t="s">
        <v>5142</v>
      </c>
      <c r="H1594" s="1" t="s">
        <v>30</v>
      </c>
      <c r="I1594" s="1" t="s">
        <v>16</v>
      </c>
      <c r="J1594" s="1">
        <v>1</v>
      </c>
      <c r="K1594" s="1">
        <v>12</v>
      </c>
      <c r="L1594" s="1" t="s">
        <v>42</v>
      </c>
      <c r="M1594" s="1" t="s">
        <v>18</v>
      </c>
      <c r="N1594" s="1" t="s">
        <v>18</v>
      </c>
      <c r="O1594" s="1">
        <v>2</v>
      </c>
      <c r="P1594" s="1">
        <v>5</v>
      </c>
      <c r="R1594" s="1" t="s">
        <v>19</v>
      </c>
      <c r="S1594" s="1" t="s">
        <v>20</v>
      </c>
      <c r="T1594" s="1" t="s">
        <v>21</v>
      </c>
      <c r="U1594" s="1" t="s">
        <v>22</v>
      </c>
      <c r="V1594" s="1" t="s">
        <v>24</v>
      </c>
      <c r="W1594" s="1" t="s">
        <v>24</v>
      </c>
      <c r="X1594" s="1">
        <v>2715</v>
      </c>
      <c r="Y1594" s="1" t="s">
        <v>24</v>
      </c>
      <c r="Z1594" s="1" t="s">
        <v>24</v>
      </c>
      <c r="AA1594" s="1" t="s">
        <v>24</v>
      </c>
      <c r="AB1594" s="1" t="s">
        <v>24</v>
      </c>
      <c r="AC1594" s="1" t="s">
        <v>24</v>
      </c>
      <c r="AD1594" s="1" t="s">
        <v>24</v>
      </c>
      <c r="AE1594" s="1" t="s">
        <v>24</v>
      </c>
      <c r="AF1594" s="22"/>
    </row>
    <row r="1595" spans="1:32" x14ac:dyDescent="0.2">
      <c r="A1595" s="1">
        <v>9837</v>
      </c>
      <c r="B1595" s="1" t="s">
        <v>5145</v>
      </c>
      <c r="C1595" s="5" t="s">
        <v>0</v>
      </c>
      <c r="D1595" s="1" t="s">
        <v>5146</v>
      </c>
      <c r="F1595" s="1" t="s">
        <v>5147</v>
      </c>
      <c r="G1595" s="1" t="s">
        <v>5147</v>
      </c>
      <c r="H1595" s="1" t="s">
        <v>428</v>
      </c>
      <c r="I1595" s="1" t="s">
        <v>16</v>
      </c>
      <c r="J1595" s="1">
        <v>1</v>
      </c>
      <c r="K1595" s="1">
        <v>4</v>
      </c>
      <c r="L1595" s="1" t="s">
        <v>42</v>
      </c>
      <c r="M1595" s="1" t="s">
        <v>2835</v>
      </c>
      <c r="N1595" s="1" t="s">
        <v>242</v>
      </c>
      <c r="O1595" s="1">
        <v>3</v>
      </c>
      <c r="P1595" s="1">
        <v>6</v>
      </c>
      <c r="R1595" s="1" t="s">
        <v>19</v>
      </c>
      <c r="S1595" s="1" t="s">
        <v>20</v>
      </c>
      <c r="T1595" s="1" t="s">
        <v>21</v>
      </c>
      <c r="U1595" s="1" t="s">
        <v>22</v>
      </c>
      <c r="V1595" s="1" t="s">
        <v>24</v>
      </c>
      <c r="W1595" s="1" t="s">
        <v>24</v>
      </c>
      <c r="X1595" s="1">
        <v>2738</v>
      </c>
      <c r="Y1595" s="1" t="s">
        <v>24</v>
      </c>
      <c r="Z1595" s="1" t="s">
        <v>24</v>
      </c>
      <c r="AA1595" s="1" t="s">
        <v>24</v>
      </c>
      <c r="AB1595" s="1" t="s">
        <v>24</v>
      </c>
      <c r="AC1595" s="1" t="s">
        <v>24</v>
      </c>
      <c r="AD1595" s="1" t="s">
        <v>24</v>
      </c>
      <c r="AE1595" s="1" t="s">
        <v>24</v>
      </c>
      <c r="AF1595" s="22"/>
    </row>
    <row r="1596" spans="1:32" x14ac:dyDescent="0.2">
      <c r="A1596" s="1">
        <v>9840</v>
      </c>
      <c r="B1596" s="1" t="s">
        <v>5148</v>
      </c>
      <c r="C1596" s="5" t="s">
        <v>0</v>
      </c>
      <c r="D1596" s="1" t="s">
        <v>5149</v>
      </c>
      <c r="E1596" s="1" t="s">
        <v>5150</v>
      </c>
      <c r="F1596" s="1" t="s">
        <v>5151</v>
      </c>
      <c r="G1596" s="1" t="s">
        <v>130</v>
      </c>
      <c r="H1596" s="1" t="s">
        <v>2772</v>
      </c>
      <c r="I1596" s="1" t="s">
        <v>16</v>
      </c>
      <c r="J1596" s="1">
        <v>1</v>
      </c>
      <c r="K1596" s="1">
        <v>12</v>
      </c>
      <c r="L1596" s="1" t="s">
        <v>31</v>
      </c>
      <c r="M1596" s="1" t="s">
        <v>18</v>
      </c>
      <c r="N1596" s="1" t="s">
        <v>18</v>
      </c>
      <c r="O1596" s="1">
        <v>2</v>
      </c>
      <c r="P1596" s="1">
        <v>6</v>
      </c>
      <c r="R1596" s="1" t="s">
        <v>19</v>
      </c>
      <c r="S1596" s="1" t="s">
        <v>20</v>
      </c>
      <c r="T1596" s="1" t="s">
        <v>21</v>
      </c>
      <c r="U1596" s="1" t="s">
        <v>22</v>
      </c>
      <c r="V1596" s="1" t="s">
        <v>24</v>
      </c>
      <c r="W1596" s="1" t="s">
        <v>64</v>
      </c>
      <c r="X1596" s="1">
        <v>3002</v>
      </c>
      <c r="Y1596" s="1">
        <v>1313</v>
      </c>
      <c r="Z1596" s="1">
        <v>1605</v>
      </c>
      <c r="AA1596" s="1" t="s">
        <v>24</v>
      </c>
      <c r="AB1596" s="1" t="s">
        <v>24</v>
      </c>
      <c r="AC1596" s="1" t="s">
        <v>24</v>
      </c>
      <c r="AD1596" s="1" t="s">
        <v>24</v>
      </c>
      <c r="AE1596" s="1" t="s">
        <v>24</v>
      </c>
      <c r="AF1596" s="22"/>
    </row>
    <row r="1597" spans="1:32" x14ac:dyDescent="0.2">
      <c r="A1597" s="1">
        <v>9855</v>
      </c>
      <c r="B1597" s="1" t="s">
        <v>5152</v>
      </c>
      <c r="C1597" s="5" t="s">
        <v>0</v>
      </c>
      <c r="D1597" s="1" t="s">
        <v>5153</v>
      </c>
      <c r="F1597" s="1" t="s">
        <v>5154</v>
      </c>
      <c r="G1597" s="1" t="s">
        <v>5154</v>
      </c>
      <c r="H1597" s="1" t="s">
        <v>116</v>
      </c>
      <c r="I1597" s="1" t="s">
        <v>16</v>
      </c>
      <c r="J1597" s="1">
        <v>1</v>
      </c>
      <c r="K1597" s="1">
        <v>12</v>
      </c>
      <c r="L1597" s="1" t="s">
        <v>42</v>
      </c>
      <c r="M1597" s="1" t="s">
        <v>118</v>
      </c>
      <c r="N1597" s="1" t="s">
        <v>226</v>
      </c>
      <c r="O1597" s="1">
        <v>2</v>
      </c>
      <c r="P1597" s="1">
        <v>6</v>
      </c>
      <c r="R1597" s="1" t="s">
        <v>19</v>
      </c>
      <c r="S1597" s="1" t="s">
        <v>20</v>
      </c>
      <c r="T1597" s="1" t="s">
        <v>21</v>
      </c>
      <c r="U1597" s="1" t="s">
        <v>22</v>
      </c>
      <c r="V1597" s="1" t="s">
        <v>23</v>
      </c>
      <c r="W1597" s="1" t="s">
        <v>24</v>
      </c>
      <c r="X1597" s="1">
        <v>2715</v>
      </c>
      <c r="Y1597" s="1" t="s">
        <v>24</v>
      </c>
      <c r="Z1597" s="1" t="s">
        <v>24</v>
      </c>
      <c r="AA1597" s="1" t="s">
        <v>24</v>
      </c>
      <c r="AB1597" s="1" t="s">
        <v>24</v>
      </c>
      <c r="AC1597" s="1" t="s">
        <v>24</v>
      </c>
      <c r="AD1597" s="1" t="s">
        <v>24</v>
      </c>
      <c r="AE1597" s="1" t="s">
        <v>24</v>
      </c>
      <c r="AF1597" s="22"/>
    </row>
    <row r="1598" spans="1:32" x14ac:dyDescent="0.2">
      <c r="A1598" s="1">
        <v>9856</v>
      </c>
      <c r="B1598" s="1" t="s">
        <v>5155</v>
      </c>
      <c r="C1598" s="5" t="s">
        <v>0</v>
      </c>
      <c r="D1598" s="1" t="s">
        <v>5156</v>
      </c>
      <c r="E1598" s="1" t="s">
        <v>5157</v>
      </c>
      <c r="F1598" s="1" t="s">
        <v>155</v>
      </c>
      <c r="G1598" s="1" t="s">
        <v>61</v>
      </c>
      <c r="H1598" s="1" t="s">
        <v>37</v>
      </c>
      <c r="I1598" s="1" t="s">
        <v>16</v>
      </c>
      <c r="J1598" s="1">
        <v>1</v>
      </c>
      <c r="K1598" s="1">
        <v>12</v>
      </c>
      <c r="L1598" s="1" t="s">
        <v>31</v>
      </c>
      <c r="M1598" s="1" t="s">
        <v>18</v>
      </c>
      <c r="N1598" s="1" t="s">
        <v>18</v>
      </c>
      <c r="O1598" s="1">
        <v>3</v>
      </c>
      <c r="P1598" s="1">
        <v>6</v>
      </c>
      <c r="R1598" s="1" t="s">
        <v>62</v>
      </c>
      <c r="S1598" s="1" t="s">
        <v>63</v>
      </c>
      <c r="T1598" s="1" t="s">
        <v>21</v>
      </c>
      <c r="U1598" s="1" t="s">
        <v>22</v>
      </c>
      <c r="V1598" s="1" t="s">
        <v>24</v>
      </c>
      <c r="W1598" s="1" t="s">
        <v>24</v>
      </c>
      <c r="X1598" s="1">
        <v>1304</v>
      </c>
      <c r="Y1598" s="1">
        <v>2204</v>
      </c>
      <c r="Z1598" s="1">
        <v>1305</v>
      </c>
      <c r="AA1598" s="1">
        <v>1603</v>
      </c>
      <c r="AB1598" s="1" t="s">
        <v>24</v>
      </c>
      <c r="AC1598" s="1" t="s">
        <v>24</v>
      </c>
      <c r="AD1598" s="1" t="s">
        <v>24</v>
      </c>
      <c r="AE1598" s="1" t="s">
        <v>24</v>
      </c>
      <c r="AF1598" s="22"/>
    </row>
    <row r="1599" spans="1:32" x14ac:dyDescent="0.2">
      <c r="A1599" s="1">
        <v>9859</v>
      </c>
      <c r="B1599" s="1" t="s">
        <v>5158</v>
      </c>
      <c r="C1599" s="5" t="s">
        <v>0</v>
      </c>
      <c r="D1599" s="1" t="s">
        <v>5159</v>
      </c>
      <c r="F1599" s="1" t="s">
        <v>5160</v>
      </c>
      <c r="G1599" s="1" t="s">
        <v>5160</v>
      </c>
      <c r="H1599" s="1" t="s">
        <v>111</v>
      </c>
      <c r="I1599" s="1" t="s">
        <v>16</v>
      </c>
      <c r="J1599" s="1">
        <v>1</v>
      </c>
      <c r="K1599" s="1">
        <v>4</v>
      </c>
      <c r="L1599" s="1" t="s">
        <v>17</v>
      </c>
      <c r="M1599" s="1" t="s">
        <v>18</v>
      </c>
      <c r="N1599" s="1" t="s">
        <v>18</v>
      </c>
      <c r="O1599" s="1">
        <v>2</v>
      </c>
      <c r="P1599" s="1">
        <v>6</v>
      </c>
      <c r="R1599" s="1" t="s">
        <v>19</v>
      </c>
      <c r="S1599" s="1" t="s">
        <v>20</v>
      </c>
      <c r="T1599" s="1" t="s">
        <v>21</v>
      </c>
      <c r="U1599" s="1" t="s">
        <v>22</v>
      </c>
      <c r="V1599" s="1" t="s">
        <v>24</v>
      </c>
      <c r="W1599" s="1" t="s">
        <v>24</v>
      </c>
      <c r="X1599" s="1">
        <v>2716</v>
      </c>
      <c r="Y1599" s="1" t="s">
        <v>24</v>
      </c>
      <c r="Z1599" s="1" t="s">
        <v>24</v>
      </c>
      <c r="AA1599" s="1" t="s">
        <v>24</v>
      </c>
      <c r="AB1599" s="1" t="s">
        <v>24</v>
      </c>
      <c r="AC1599" s="1" t="s">
        <v>24</v>
      </c>
      <c r="AD1599" s="1" t="s">
        <v>24</v>
      </c>
      <c r="AE1599" s="1" t="s">
        <v>24</v>
      </c>
      <c r="AF1599" s="22"/>
    </row>
    <row r="1600" spans="1:32" x14ac:dyDescent="0.2">
      <c r="A1600" s="1">
        <v>9864</v>
      </c>
      <c r="B1600" s="1" t="s">
        <v>5161</v>
      </c>
      <c r="C1600" s="5" t="s">
        <v>0</v>
      </c>
      <c r="D1600" s="1" t="s">
        <v>5162</v>
      </c>
      <c r="F1600" s="1" t="s">
        <v>5160</v>
      </c>
      <c r="G1600" s="1" t="s">
        <v>5160</v>
      </c>
      <c r="H1600" s="1" t="s">
        <v>111</v>
      </c>
      <c r="I1600" s="1" t="s">
        <v>16</v>
      </c>
      <c r="J1600" s="1">
        <v>1</v>
      </c>
      <c r="K1600" s="1">
        <v>4</v>
      </c>
      <c r="L1600" s="1" t="s">
        <v>17</v>
      </c>
      <c r="M1600" s="1" t="s">
        <v>87</v>
      </c>
      <c r="N1600" s="1" t="s">
        <v>18</v>
      </c>
      <c r="O1600" s="1">
        <v>2</v>
      </c>
      <c r="P1600" s="1">
        <v>5</v>
      </c>
      <c r="R1600" s="1" t="s">
        <v>19</v>
      </c>
      <c r="S1600" s="1" t="s">
        <v>20</v>
      </c>
      <c r="T1600" s="1" t="s">
        <v>21</v>
      </c>
      <c r="U1600" s="1" t="s">
        <v>22</v>
      </c>
      <c r="V1600" s="1" t="s">
        <v>23</v>
      </c>
      <c r="W1600" s="1" t="s">
        <v>24</v>
      </c>
      <c r="X1600" s="1">
        <v>2738</v>
      </c>
      <c r="Y1600" s="1">
        <v>3203</v>
      </c>
      <c r="Z1600" s="1" t="s">
        <v>24</v>
      </c>
      <c r="AA1600" s="1" t="s">
        <v>24</v>
      </c>
      <c r="AB1600" s="1" t="s">
        <v>24</v>
      </c>
      <c r="AC1600" s="1" t="s">
        <v>24</v>
      </c>
      <c r="AD1600" s="1" t="s">
        <v>24</v>
      </c>
      <c r="AE1600" s="1" t="s">
        <v>24</v>
      </c>
      <c r="AF1600" s="22"/>
    </row>
    <row r="1601" spans="1:32" x14ac:dyDescent="0.2">
      <c r="A1601" s="1">
        <v>9868</v>
      </c>
      <c r="B1601" s="1" t="s">
        <v>5163</v>
      </c>
      <c r="C1601" s="5" t="s">
        <v>0</v>
      </c>
      <c r="D1601" s="1" t="s">
        <v>5164</v>
      </c>
      <c r="E1601" s="1" t="s">
        <v>5165</v>
      </c>
      <c r="F1601" s="1" t="s">
        <v>198</v>
      </c>
      <c r="G1601" s="1" t="s">
        <v>130</v>
      </c>
      <c r="H1601" s="1" t="s">
        <v>86</v>
      </c>
      <c r="I1601" s="1" t="s">
        <v>16</v>
      </c>
      <c r="J1601" s="1">
        <v>1</v>
      </c>
      <c r="K1601" s="1">
        <v>4</v>
      </c>
      <c r="L1601" s="1" t="s">
        <v>31</v>
      </c>
      <c r="M1601" s="1" t="s">
        <v>87</v>
      </c>
      <c r="N1601" s="1" t="s">
        <v>87</v>
      </c>
      <c r="O1601" s="1">
        <v>1</v>
      </c>
      <c r="P1601" s="1">
        <v>4</v>
      </c>
      <c r="R1601" s="1" t="s">
        <v>19</v>
      </c>
      <c r="S1601" s="1" t="s">
        <v>20</v>
      </c>
      <c r="T1601" s="1" t="s">
        <v>21</v>
      </c>
      <c r="U1601" s="1" t="s">
        <v>22</v>
      </c>
      <c r="V1601" s="1" t="s">
        <v>23</v>
      </c>
      <c r="W1601" s="1" t="s">
        <v>24</v>
      </c>
      <c r="X1601" s="1">
        <v>2703</v>
      </c>
      <c r="Y1601" s="1" t="s">
        <v>24</v>
      </c>
      <c r="Z1601" s="1" t="s">
        <v>24</v>
      </c>
      <c r="AA1601" s="1" t="s">
        <v>24</v>
      </c>
      <c r="AB1601" s="1" t="s">
        <v>24</v>
      </c>
      <c r="AC1601" s="1" t="s">
        <v>24</v>
      </c>
      <c r="AD1601" s="1" t="s">
        <v>24</v>
      </c>
      <c r="AE1601" s="1" t="s">
        <v>24</v>
      </c>
      <c r="AF1601" s="22"/>
    </row>
    <row r="1602" spans="1:32" x14ac:dyDescent="0.2">
      <c r="A1602" s="1">
        <v>9869</v>
      </c>
      <c r="B1602" s="1" t="s">
        <v>5166</v>
      </c>
      <c r="C1602" s="5" t="s">
        <v>0</v>
      </c>
      <c r="D1602" s="1" t="s">
        <v>5167</v>
      </c>
      <c r="E1602" s="1" t="s">
        <v>5168</v>
      </c>
      <c r="F1602" s="1" t="s">
        <v>55</v>
      </c>
      <c r="G1602" s="1" t="s">
        <v>56</v>
      </c>
      <c r="H1602" s="1" t="s">
        <v>37</v>
      </c>
      <c r="I1602" s="1" t="s">
        <v>16</v>
      </c>
      <c r="J1602" s="1">
        <v>1</v>
      </c>
      <c r="K1602" s="1">
        <v>12</v>
      </c>
      <c r="L1602" s="1" t="s">
        <v>31</v>
      </c>
      <c r="M1602" s="1" t="s">
        <v>18</v>
      </c>
      <c r="N1602" s="1" t="s">
        <v>18</v>
      </c>
      <c r="O1602" s="1">
        <v>3</v>
      </c>
      <c r="P1602" s="1">
        <v>7</v>
      </c>
      <c r="Q1602" s="7" t="s">
        <v>17633</v>
      </c>
      <c r="R1602" s="1" t="s">
        <v>62</v>
      </c>
      <c r="S1602" s="1" t="s">
        <v>20</v>
      </c>
      <c r="T1602" s="1" t="s">
        <v>21</v>
      </c>
      <c r="U1602" s="1" t="s">
        <v>22</v>
      </c>
      <c r="V1602" s="1" t="s">
        <v>24</v>
      </c>
      <c r="W1602" s="1" t="s">
        <v>24</v>
      </c>
      <c r="X1602" s="1">
        <v>2730</v>
      </c>
      <c r="Y1602" s="1">
        <v>2720</v>
      </c>
      <c r="Z1602" s="1" t="s">
        <v>24</v>
      </c>
      <c r="AA1602" s="1" t="s">
        <v>24</v>
      </c>
      <c r="AB1602" s="1" t="s">
        <v>24</v>
      </c>
      <c r="AC1602" s="1" t="s">
        <v>24</v>
      </c>
      <c r="AD1602" s="1" t="s">
        <v>24</v>
      </c>
      <c r="AE1602" s="1" t="s">
        <v>24</v>
      </c>
      <c r="AF1602" s="22"/>
    </row>
    <row r="1603" spans="1:32" x14ac:dyDescent="0.2">
      <c r="A1603" s="1">
        <v>9872</v>
      </c>
      <c r="B1603" s="1" t="s">
        <v>5169</v>
      </c>
      <c r="C1603" s="5" t="s">
        <v>0</v>
      </c>
      <c r="D1603" s="1" t="s">
        <v>5170</v>
      </c>
      <c r="E1603" s="1" t="s">
        <v>5171</v>
      </c>
      <c r="F1603" s="1" t="s">
        <v>97</v>
      </c>
      <c r="G1603" s="1" t="s">
        <v>98</v>
      </c>
      <c r="H1603" s="1" t="s">
        <v>37</v>
      </c>
      <c r="I1603" s="1" t="s">
        <v>16</v>
      </c>
      <c r="J1603" s="1">
        <v>1</v>
      </c>
      <c r="K1603" s="1">
        <v>12</v>
      </c>
      <c r="L1603" s="1" t="s">
        <v>31</v>
      </c>
      <c r="M1603" s="1" t="s">
        <v>18</v>
      </c>
      <c r="N1603" s="1" t="s">
        <v>18</v>
      </c>
      <c r="O1603" s="1">
        <v>3</v>
      </c>
      <c r="P1603" s="1">
        <v>7</v>
      </c>
      <c r="Q1603" s="7" t="s">
        <v>17633</v>
      </c>
      <c r="R1603" s="1" t="s">
        <v>19</v>
      </c>
      <c r="S1603" s="1" t="s">
        <v>20</v>
      </c>
      <c r="T1603" s="1" t="s">
        <v>21</v>
      </c>
      <c r="U1603" s="1" t="s">
        <v>22</v>
      </c>
      <c r="V1603" s="1" t="s">
        <v>24</v>
      </c>
      <c r="W1603" s="1" t="s">
        <v>24</v>
      </c>
      <c r="X1603" s="1">
        <v>3005</v>
      </c>
      <c r="Y1603" s="1">
        <v>2307</v>
      </c>
      <c r="Z1603" s="1" t="s">
        <v>24</v>
      </c>
      <c r="AA1603" s="1" t="s">
        <v>24</v>
      </c>
      <c r="AB1603" s="1" t="s">
        <v>24</v>
      </c>
      <c r="AC1603" s="1" t="s">
        <v>24</v>
      </c>
      <c r="AD1603" s="1" t="s">
        <v>24</v>
      </c>
      <c r="AE1603" s="1" t="s">
        <v>24</v>
      </c>
      <c r="AF1603" s="22"/>
    </row>
    <row r="1604" spans="1:32" x14ac:dyDescent="0.2">
      <c r="A1604" s="1">
        <v>9873</v>
      </c>
      <c r="B1604" s="1" t="s">
        <v>5172</v>
      </c>
      <c r="C1604" s="5" t="s">
        <v>0</v>
      </c>
      <c r="D1604" s="1" t="s">
        <v>5173</v>
      </c>
      <c r="F1604" s="1" t="s">
        <v>5174</v>
      </c>
      <c r="G1604" s="1" t="s">
        <v>5174</v>
      </c>
      <c r="H1604" s="1" t="s">
        <v>461</v>
      </c>
      <c r="I1604" s="1" t="s">
        <v>16</v>
      </c>
      <c r="J1604" s="1">
        <v>1</v>
      </c>
      <c r="K1604" s="1">
        <v>6</v>
      </c>
      <c r="L1604" s="1" t="s">
        <v>17</v>
      </c>
      <c r="M1604" s="1" t="s">
        <v>1735</v>
      </c>
      <c r="N1604" s="1" t="s">
        <v>18</v>
      </c>
      <c r="O1604" s="1">
        <v>2</v>
      </c>
      <c r="P1604" s="1">
        <v>5</v>
      </c>
      <c r="R1604" s="1" t="s">
        <v>19</v>
      </c>
      <c r="S1604" s="1" t="s">
        <v>20</v>
      </c>
      <c r="T1604" s="1" t="s">
        <v>21</v>
      </c>
      <c r="U1604" s="1" t="s">
        <v>22</v>
      </c>
      <c r="V1604" s="1" t="s">
        <v>24</v>
      </c>
      <c r="W1604" s="1" t="s">
        <v>24</v>
      </c>
      <c r="X1604" s="1">
        <v>2700</v>
      </c>
      <c r="Y1604" s="1" t="s">
        <v>24</v>
      </c>
      <c r="Z1604" s="1" t="s">
        <v>24</v>
      </c>
      <c r="AA1604" s="1" t="s">
        <v>24</v>
      </c>
      <c r="AB1604" s="1" t="s">
        <v>24</v>
      </c>
      <c r="AC1604" s="1" t="s">
        <v>24</v>
      </c>
      <c r="AD1604" s="1" t="s">
        <v>24</v>
      </c>
      <c r="AE1604" s="1" t="s">
        <v>24</v>
      </c>
      <c r="AF1604" s="22"/>
    </row>
    <row r="1605" spans="1:32" x14ac:dyDescent="0.2">
      <c r="A1605" s="1">
        <v>9877</v>
      </c>
      <c r="B1605" s="1" t="s">
        <v>5175</v>
      </c>
      <c r="C1605" s="5" t="s">
        <v>0</v>
      </c>
      <c r="D1605" s="1" t="s">
        <v>5176</v>
      </c>
      <c r="E1605" s="1" t="s">
        <v>5177</v>
      </c>
      <c r="F1605" s="1" t="s">
        <v>548</v>
      </c>
      <c r="G1605" s="1" t="s">
        <v>36</v>
      </c>
      <c r="H1605" s="1" t="s">
        <v>30</v>
      </c>
      <c r="I1605" s="1" t="s">
        <v>16</v>
      </c>
      <c r="J1605" s="1">
        <v>1</v>
      </c>
      <c r="K1605" s="1">
        <v>12</v>
      </c>
      <c r="L1605" s="1" t="s">
        <v>31</v>
      </c>
      <c r="M1605" s="1" t="s">
        <v>18</v>
      </c>
      <c r="N1605" s="1" t="s">
        <v>18</v>
      </c>
      <c r="O1605" s="1">
        <v>3</v>
      </c>
      <c r="P1605" s="1">
        <v>7</v>
      </c>
      <c r="Q1605" s="7" t="s">
        <v>17633</v>
      </c>
      <c r="R1605" s="1" t="s">
        <v>62</v>
      </c>
      <c r="S1605" s="1" t="s">
        <v>20</v>
      </c>
      <c r="T1605" s="1" t="s">
        <v>21</v>
      </c>
      <c r="U1605" s="1" t="s">
        <v>22</v>
      </c>
      <c r="V1605" s="1" t="s">
        <v>23</v>
      </c>
      <c r="W1605" s="1" t="s">
        <v>24</v>
      </c>
      <c r="X1605" s="1">
        <v>2705</v>
      </c>
      <c r="Y1605" s="1">
        <v>2737</v>
      </c>
      <c r="Z1605" s="1" t="s">
        <v>24</v>
      </c>
      <c r="AA1605" s="1" t="s">
        <v>24</v>
      </c>
      <c r="AB1605" s="1" t="s">
        <v>24</v>
      </c>
      <c r="AC1605" s="1" t="s">
        <v>24</v>
      </c>
      <c r="AD1605" s="1" t="s">
        <v>24</v>
      </c>
      <c r="AE1605" s="1" t="s">
        <v>24</v>
      </c>
      <c r="AF1605" s="22"/>
    </row>
    <row r="1606" spans="1:32" x14ac:dyDescent="0.2">
      <c r="A1606" s="1">
        <v>9879</v>
      </c>
      <c r="B1606" s="1" t="s">
        <v>5178</v>
      </c>
      <c r="C1606" s="5" t="s">
        <v>0</v>
      </c>
      <c r="D1606" s="1" t="s">
        <v>5179</v>
      </c>
      <c r="E1606" s="1" t="s">
        <v>5180</v>
      </c>
      <c r="F1606" s="1" t="s">
        <v>35</v>
      </c>
      <c r="G1606" s="1" t="s">
        <v>36</v>
      </c>
      <c r="H1606" s="1" t="s">
        <v>37</v>
      </c>
      <c r="I1606" s="1" t="s">
        <v>16</v>
      </c>
      <c r="J1606" s="1">
        <v>1</v>
      </c>
      <c r="K1606" s="1">
        <v>4</v>
      </c>
      <c r="L1606" s="1" t="s">
        <v>31</v>
      </c>
      <c r="M1606" s="1" t="s">
        <v>18</v>
      </c>
      <c r="N1606" s="1" t="s">
        <v>18</v>
      </c>
      <c r="O1606" s="1">
        <v>3</v>
      </c>
      <c r="P1606" s="1">
        <v>6</v>
      </c>
      <c r="R1606" s="1" t="s">
        <v>19</v>
      </c>
      <c r="S1606" s="1" t="s">
        <v>20</v>
      </c>
      <c r="T1606" s="1" t="s">
        <v>21</v>
      </c>
      <c r="U1606" s="1" t="s">
        <v>22</v>
      </c>
      <c r="V1606" s="1" t="s">
        <v>24</v>
      </c>
      <c r="W1606" s="1" t="s">
        <v>24</v>
      </c>
      <c r="X1606" s="1">
        <v>2715</v>
      </c>
      <c r="Y1606" s="1">
        <v>2741</v>
      </c>
      <c r="Z1606" s="1" t="s">
        <v>24</v>
      </c>
      <c r="AA1606" s="1" t="s">
        <v>24</v>
      </c>
      <c r="AB1606" s="1" t="s">
        <v>24</v>
      </c>
      <c r="AC1606" s="1" t="s">
        <v>24</v>
      </c>
      <c r="AD1606" s="1" t="s">
        <v>24</v>
      </c>
      <c r="AE1606" s="1" t="s">
        <v>24</v>
      </c>
      <c r="AF1606" s="22"/>
    </row>
    <row r="1607" spans="1:32" x14ac:dyDescent="0.2">
      <c r="A1607" s="1">
        <v>9884</v>
      </c>
      <c r="B1607" s="1" t="s">
        <v>5181</v>
      </c>
      <c r="C1607" s="5" t="s">
        <v>0</v>
      </c>
      <c r="D1607" s="1" t="s">
        <v>5182</v>
      </c>
      <c r="E1607" s="1" t="s">
        <v>5183</v>
      </c>
      <c r="F1607" s="1" t="s">
        <v>28</v>
      </c>
      <c r="G1607" s="1" t="s">
        <v>29</v>
      </c>
      <c r="H1607" s="1" t="s">
        <v>30</v>
      </c>
      <c r="I1607" s="1" t="s">
        <v>16</v>
      </c>
      <c r="J1607" s="1">
        <v>1</v>
      </c>
      <c r="K1607" s="1">
        <v>6</v>
      </c>
      <c r="L1607" s="1" t="s">
        <v>31</v>
      </c>
      <c r="M1607" s="1" t="s">
        <v>18</v>
      </c>
      <c r="N1607" s="1" t="s">
        <v>18</v>
      </c>
      <c r="O1607" s="1">
        <v>3</v>
      </c>
      <c r="P1607" s="1">
        <v>7</v>
      </c>
      <c r="Q1607" s="7" t="s">
        <v>17633</v>
      </c>
      <c r="R1607" s="1" t="s">
        <v>19</v>
      </c>
      <c r="S1607" s="1" t="s">
        <v>20</v>
      </c>
      <c r="T1607" s="1" t="s">
        <v>21</v>
      </c>
      <c r="U1607" s="1" t="s">
        <v>22</v>
      </c>
      <c r="V1607" s="1" t="s">
        <v>23</v>
      </c>
      <c r="W1607" s="1" t="s">
        <v>24</v>
      </c>
      <c r="X1607" s="1">
        <v>2735</v>
      </c>
      <c r="Y1607" s="1" t="s">
        <v>24</v>
      </c>
      <c r="Z1607" s="1" t="s">
        <v>24</v>
      </c>
      <c r="AA1607" s="1" t="s">
        <v>24</v>
      </c>
      <c r="AB1607" s="1" t="s">
        <v>24</v>
      </c>
      <c r="AC1607" s="1" t="s">
        <v>24</v>
      </c>
      <c r="AD1607" s="1" t="s">
        <v>24</v>
      </c>
      <c r="AE1607" s="1" t="s">
        <v>24</v>
      </c>
      <c r="AF1607" s="22"/>
    </row>
    <row r="1608" spans="1:32" x14ac:dyDescent="0.2">
      <c r="A1608" s="1">
        <v>9889</v>
      </c>
      <c r="B1608" s="1" t="s">
        <v>5184</v>
      </c>
      <c r="C1608" s="5" t="s">
        <v>0</v>
      </c>
      <c r="D1608" s="1" t="s">
        <v>5185</v>
      </c>
      <c r="F1608" s="1" t="s">
        <v>1278</v>
      </c>
      <c r="G1608" s="1" t="s">
        <v>1279</v>
      </c>
      <c r="H1608" s="1" t="s">
        <v>30</v>
      </c>
      <c r="I1608" s="1" t="s">
        <v>16</v>
      </c>
      <c r="J1608" s="1">
        <v>1</v>
      </c>
      <c r="K1608" s="1">
        <v>4</v>
      </c>
      <c r="L1608" s="1" t="s">
        <v>42</v>
      </c>
      <c r="M1608" s="1" t="s">
        <v>18</v>
      </c>
      <c r="N1608" s="1" t="s">
        <v>18</v>
      </c>
      <c r="O1608" s="1">
        <v>3</v>
      </c>
      <c r="P1608" s="1">
        <v>7</v>
      </c>
      <c r="Q1608" s="7" t="s">
        <v>17633</v>
      </c>
      <c r="R1608" s="1" t="s">
        <v>62</v>
      </c>
      <c r="S1608" s="1" t="s">
        <v>20</v>
      </c>
      <c r="T1608" s="1" t="s">
        <v>21</v>
      </c>
      <c r="U1608" s="1" t="s">
        <v>22</v>
      </c>
      <c r="V1608" s="1" t="s">
        <v>24</v>
      </c>
      <c r="W1608" s="1" t="s">
        <v>24</v>
      </c>
      <c r="X1608" s="1">
        <v>1312</v>
      </c>
      <c r="Y1608" s="1">
        <v>1311</v>
      </c>
      <c r="Z1608" s="1" t="s">
        <v>24</v>
      </c>
      <c r="AA1608" s="1" t="s">
        <v>24</v>
      </c>
      <c r="AB1608" s="1" t="s">
        <v>24</v>
      </c>
      <c r="AC1608" s="1" t="s">
        <v>24</v>
      </c>
      <c r="AD1608" s="1" t="s">
        <v>24</v>
      </c>
      <c r="AE1608" s="1" t="s">
        <v>24</v>
      </c>
      <c r="AF1608" s="22"/>
    </row>
    <row r="1609" spans="1:32" x14ac:dyDescent="0.2">
      <c r="A1609" s="1">
        <v>9891</v>
      </c>
      <c r="B1609" s="1" t="s">
        <v>5186</v>
      </c>
      <c r="C1609" s="5" t="s">
        <v>0</v>
      </c>
      <c r="D1609" s="1" t="s">
        <v>5187</v>
      </c>
      <c r="E1609" s="1" t="s">
        <v>5188</v>
      </c>
      <c r="F1609" s="1" t="s">
        <v>217</v>
      </c>
      <c r="G1609" s="1" t="s">
        <v>130</v>
      </c>
      <c r="H1609" s="1" t="s">
        <v>92</v>
      </c>
      <c r="I1609" s="1" t="s">
        <v>16</v>
      </c>
      <c r="J1609" s="1">
        <v>2</v>
      </c>
      <c r="K1609" s="1">
        <v>3</v>
      </c>
      <c r="L1609" s="1" t="s">
        <v>31</v>
      </c>
      <c r="M1609" s="1" t="s">
        <v>18</v>
      </c>
      <c r="N1609" s="1" t="s">
        <v>18</v>
      </c>
      <c r="O1609" s="1">
        <v>3</v>
      </c>
      <c r="P1609" s="1">
        <v>7</v>
      </c>
      <c r="Q1609" s="7" t="s">
        <v>17633</v>
      </c>
      <c r="R1609" s="1" t="s">
        <v>19</v>
      </c>
      <c r="S1609" s="1" t="s">
        <v>20</v>
      </c>
      <c r="T1609" s="1" t="s">
        <v>21</v>
      </c>
      <c r="U1609" s="1" t="s">
        <v>22</v>
      </c>
      <c r="V1609" s="1" t="s">
        <v>24</v>
      </c>
      <c r="W1609" s="1" t="s">
        <v>24</v>
      </c>
      <c r="X1609" s="1">
        <v>2406</v>
      </c>
      <c r="Y1609" s="1">
        <v>1311</v>
      </c>
      <c r="Z1609" s="1">
        <v>1312</v>
      </c>
      <c r="AA1609" s="1" t="s">
        <v>24</v>
      </c>
      <c r="AB1609" s="1" t="s">
        <v>24</v>
      </c>
      <c r="AC1609" s="1" t="s">
        <v>24</v>
      </c>
      <c r="AD1609" s="1" t="s">
        <v>24</v>
      </c>
      <c r="AE1609" s="1" t="s">
        <v>24</v>
      </c>
      <c r="AF1609" s="22"/>
    </row>
    <row r="1610" spans="1:32" x14ac:dyDescent="0.2">
      <c r="A1610" s="1">
        <v>9892</v>
      </c>
      <c r="B1610" s="1" t="s">
        <v>5189</v>
      </c>
      <c r="C1610" s="5" t="s">
        <v>0</v>
      </c>
      <c r="D1610" s="1" t="s">
        <v>5190</v>
      </c>
      <c r="E1610" s="1" t="s">
        <v>5191</v>
      </c>
      <c r="F1610" s="1" t="s">
        <v>167</v>
      </c>
      <c r="G1610" s="1" t="s">
        <v>130</v>
      </c>
      <c r="H1610" s="1" t="s">
        <v>168</v>
      </c>
      <c r="I1610" s="1" t="s">
        <v>16</v>
      </c>
      <c r="J1610" s="1">
        <v>1</v>
      </c>
      <c r="K1610" s="1">
        <v>12</v>
      </c>
      <c r="L1610" s="1" t="s">
        <v>31</v>
      </c>
      <c r="M1610" s="1" t="s">
        <v>18</v>
      </c>
      <c r="N1610" s="1" t="s">
        <v>18</v>
      </c>
      <c r="O1610" s="1">
        <v>3</v>
      </c>
      <c r="P1610" s="1">
        <v>7</v>
      </c>
      <c r="Q1610" s="7" t="s">
        <v>17633</v>
      </c>
      <c r="R1610" s="1" t="s">
        <v>19</v>
      </c>
      <c r="S1610" s="1" t="s">
        <v>20</v>
      </c>
      <c r="T1610" s="1" t="s">
        <v>21</v>
      </c>
      <c r="U1610" s="1" t="s">
        <v>22</v>
      </c>
      <c r="V1610" s="1" t="s">
        <v>24</v>
      </c>
      <c r="W1610" s="1" t="s">
        <v>24</v>
      </c>
      <c r="X1610" s="1">
        <v>2733</v>
      </c>
      <c r="Y1610" s="1" t="s">
        <v>24</v>
      </c>
      <c r="Z1610" s="1" t="s">
        <v>24</v>
      </c>
      <c r="AA1610" s="1" t="s">
        <v>24</v>
      </c>
      <c r="AB1610" s="1" t="s">
        <v>24</v>
      </c>
      <c r="AC1610" s="1" t="s">
        <v>24</v>
      </c>
      <c r="AD1610" s="1" t="s">
        <v>24</v>
      </c>
      <c r="AE1610" s="1" t="s">
        <v>24</v>
      </c>
      <c r="AF1610" s="22"/>
    </row>
    <row r="1611" spans="1:32" x14ac:dyDescent="0.2">
      <c r="A1611" s="1">
        <v>9895</v>
      </c>
      <c r="B1611" s="1" t="s">
        <v>5192</v>
      </c>
      <c r="C1611" s="5" t="s">
        <v>0</v>
      </c>
      <c r="D1611" s="1" t="s">
        <v>5193</v>
      </c>
      <c r="E1611" s="1" t="s">
        <v>5194</v>
      </c>
      <c r="F1611" s="1" t="s">
        <v>5195</v>
      </c>
      <c r="G1611" s="1" t="s">
        <v>5196</v>
      </c>
      <c r="H1611" s="1" t="s">
        <v>693</v>
      </c>
      <c r="I1611" s="1" t="s">
        <v>16</v>
      </c>
      <c r="J1611" s="1">
        <v>1</v>
      </c>
      <c r="K1611" s="1">
        <v>4</v>
      </c>
      <c r="L1611" s="1" t="s">
        <v>31</v>
      </c>
      <c r="M1611" s="1" t="s">
        <v>18</v>
      </c>
      <c r="N1611" s="1" t="s">
        <v>18</v>
      </c>
      <c r="O1611" s="1">
        <v>3</v>
      </c>
      <c r="P1611" s="1">
        <v>6</v>
      </c>
      <c r="R1611" s="1" t="s">
        <v>19</v>
      </c>
      <c r="S1611" s="1" t="s">
        <v>20</v>
      </c>
      <c r="T1611" s="1" t="s">
        <v>21</v>
      </c>
      <c r="U1611" s="1" t="s">
        <v>22</v>
      </c>
      <c r="V1611" s="1" t="s">
        <v>24</v>
      </c>
      <c r="W1611" s="1" t="s">
        <v>24</v>
      </c>
      <c r="X1611" s="1">
        <v>1314</v>
      </c>
      <c r="Y1611" s="1">
        <v>1304</v>
      </c>
      <c r="Z1611" s="1" t="s">
        <v>24</v>
      </c>
      <c r="AA1611" s="1" t="s">
        <v>24</v>
      </c>
      <c r="AB1611" s="1" t="s">
        <v>24</v>
      </c>
      <c r="AC1611" s="1" t="s">
        <v>24</v>
      </c>
      <c r="AD1611" s="1" t="s">
        <v>24</v>
      </c>
      <c r="AE1611" s="1" t="s">
        <v>24</v>
      </c>
      <c r="AF1611" s="22"/>
    </row>
    <row r="1612" spans="1:32" x14ac:dyDescent="0.2">
      <c r="A1612" s="1">
        <v>9897</v>
      </c>
      <c r="B1612" s="1" t="s">
        <v>5197</v>
      </c>
      <c r="C1612" s="5" t="s">
        <v>0</v>
      </c>
      <c r="D1612" s="1" t="s">
        <v>5198</v>
      </c>
      <c r="F1612" s="1" t="s">
        <v>5197</v>
      </c>
      <c r="G1612" s="1" t="s">
        <v>5197</v>
      </c>
      <c r="H1612" s="1" t="s">
        <v>5114</v>
      </c>
      <c r="I1612" s="1" t="s">
        <v>16</v>
      </c>
      <c r="J1612" s="1">
        <v>1</v>
      </c>
      <c r="K1612" s="1">
        <v>4</v>
      </c>
      <c r="L1612" s="1" t="s">
        <v>42</v>
      </c>
      <c r="M1612" s="1" t="s">
        <v>18</v>
      </c>
      <c r="N1612" s="1" t="s">
        <v>18</v>
      </c>
      <c r="O1612" s="1">
        <v>3</v>
      </c>
      <c r="P1612" s="1">
        <v>6</v>
      </c>
      <c r="R1612" s="1" t="s">
        <v>19</v>
      </c>
      <c r="S1612" s="1" t="s">
        <v>20</v>
      </c>
      <c r="T1612" s="1" t="s">
        <v>21</v>
      </c>
      <c r="U1612" s="1" t="s">
        <v>22</v>
      </c>
      <c r="V1612" s="1" t="s">
        <v>24</v>
      </c>
      <c r="W1612" s="1" t="s">
        <v>24</v>
      </c>
      <c r="X1612" s="1">
        <v>2700</v>
      </c>
      <c r="Y1612" s="1" t="s">
        <v>24</v>
      </c>
      <c r="Z1612" s="1" t="s">
        <v>24</v>
      </c>
      <c r="AA1612" s="1" t="s">
        <v>24</v>
      </c>
      <c r="AB1612" s="1" t="s">
        <v>24</v>
      </c>
      <c r="AC1612" s="1" t="s">
        <v>24</v>
      </c>
      <c r="AD1612" s="1" t="s">
        <v>24</v>
      </c>
      <c r="AE1612" s="1" t="s">
        <v>24</v>
      </c>
      <c r="AF1612" s="22"/>
    </row>
    <row r="1613" spans="1:32" x14ac:dyDescent="0.2">
      <c r="A1613" s="1">
        <v>9899</v>
      </c>
      <c r="B1613" s="1" t="s">
        <v>5199</v>
      </c>
      <c r="C1613" s="5" t="s">
        <v>0</v>
      </c>
      <c r="D1613" s="1" t="s">
        <v>5200</v>
      </c>
      <c r="E1613" s="1" t="s">
        <v>5201</v>
      </c>
      <c r="F1613" s="1" t="s">
        <v>35</v>
      </c>
      <c r="G1613" s="1" t="s">
        <v>36</v>
      </c>
      <c r="H1613" s="1" t="s">
        <v>37</v>
      </c>
      <c r="I1613" s="1" t="s">
        <v>16</v>
      </c>
      <c r="J1613" s="1">
        <v>1</v>
      </c>
      <c r="K1613" s="1">
        <v>12</v>
      </c>
      <c r="L1613" s="1" t="s">
        <v>31</v>
      </c>
      <c r="M1613" s="1" t="s">
        <v>18</v>
      </c>
      <c r="N1613" s="1" t="s">
        <v>18</v>
      </c>
      <c r="O1613" s="1">
        <v>3</v>
      </c>
      <c r="P1613" s="1">
        <v>6</v>
      </c>
      <c r="R1613" s="1" t="s">
        <v>19</v>
      </c>
      <c r="S1613" s="1" t="s">
        <v>20</v>
      </c>
      <c r="T1613" s="1" t="s">
        <v>21</v>
      </c>
      <c r="U1613" s="1" t="s">
        <v>22</v>
      </c>
      <c r="V1613" s="1" t="s">
        <v>24</v>
      </c>
      <c r="W1613" s="1" t="s">
        <v>24</v>
      </c>
      <c r="X1613" s="1">
        <v>1314</v>
      </c>
      <c r="Y1613" s="1" t="s">
        <v>24</v>
      </c>
      <c r="Z1613" s="1" t="s">
        <v>24</v>
      </c>
      <c r="AA1613" s="1" t="s">
        <v>24</v>
      </c>
      <c r="AB1613" s="1" t="s">
        <v>24</v>
      </c>
      <c r="AC1613" s="1" t="s">
        <v>24</v>
      </c>
      <c r="AD1613" s="1" t="s">
        <v>24</v>
      </c>
      <c r="AE1613" s="1" t="s">
        <v>24</v>
      </c>
      <c r="AF1613" s="22"/>
    </row>
    <row r="1614" spans="1:32" x14ac:dyDescent="0.2">
      <c r="A1614" s="1">
        <v>9908</v>
      </c>
      <c r="B1614" s="1" t="s">
        <v>5202</v>
      </c>
      <c r="C1614" s="5" t="s">
        <v>0</v>
      </c>
      <c r="D1614" s="1" t="s">
        <v>5203</v>
      </c>
      <c r="E1614" s="1" t="s">
        <v>5204</v>
      </c>
      <c r="F1614" s="1" t="s">
        <v>28</v>
      </c>
      <c r="G1614" s="1" t="s">
        <v>29</v>
      </c>
      <c r="H1614" s="1" t="s">
        <v>37</v>
      </c>
      <c r="I1614" s="1" t="s">
        <v>16</v>
      </c>
      <c r="J1614" s="1">
        <v>1</v>
      </c>
      <c r="K1614" s="1">
        <v>8</v>
      </c>
      <c r="L1614" s="1" t="s">
        <v>31</v>
      </c>
      <c r="M1614" s="1" t="s">
        <v>18</v>
      </c>
      <c r="N1614" s="1" t="s">
        <v>18</v>
      </c>
      <c r="O1614" s="1">
        <v>3</v>
      </c>
      <c r="P1614" s="1">
        <v>7</v>
      </c>
      <c r="Q1614" s="7" t="s">
        <v>17633</v>
      </c>
      <c r="R1614" s="1" t="s">
        <v>19</v>
      </c>
      <c r="S1614" s="1" t="s">
        <v>20</v>
      </c>
      <c r="T1614" s="1" t="s">
        <v>21</v>
      </c>
      <c r="U1614" s="1" t="s">
        <v>22</v>
      </c>
      <c r="V1614" s="1" t="s">
        <v>23</v>
      </c>
      <c r="W1614" s="1" t="s">
        <v>24</v>
      </c>
      <c r="X1614" s="1">
        <v>2705</v>
      </c>
      <c r="Y1614" s="1" t="s">
        <v>24</v>
      </c>
      <c r="Z1614" s="1" t="s">
        <v>24</v>
      </c>
      <c r="AA1614" s="1" t="s">
        <v>24</v>
      </c>
      <c r="AB1614" s="1" t="s">
        <v>24</v>
      </c>
      <c r="AC1614" s="1" t="s">
        <v>24</v>
      </c>
      <c r="AD1614" s="1" t="s">
        <v>24</v>
      </c>
      <c r="AE1614" s="1" t="s">
        <v>24</v>
      </c>
      <c r="AF1614" s="22"/>
    </row>
    <row r="1615" spans="1:32" x14ac:dyDescent="0.2">
      <c r="A1615" s="1">
        <v>9915</v>
      </c>
      <c r="B1615" s="1" t="s">
        <v>5205</v>
      </c>
      <c r="C1615" s="5" t="s">
        <v>0</v>
      </c>
      <c r="D1615" s="1" t="s">
        <v>5206</v>
      </c>
      <c r="E1615" s="1" t="s">
        <v>5207</v>
      </c>
      <c r="F1615" s="1" t="s">
        <v>28</v>
      </c>
      <c r="G1615" s="1" t="s">
        <v>29</v>
      </c>
      <c r="H1615" s="1" t="s">
        <v>37</v>
      </c>
      <c r="I1615" s="1" t="s">
        <v>16</v>
      </c>
      <c r="J1615" s="1">
        <v>1</v>
      </c>
      <c r="K1615" s="1">
        <v>6</v>
      </c>
      <c r="L1615" s="1" t="s">
        <v>31</v>
      </c>
      <c r="M1615" s="1" t="s">
        <v>18</v>
      </c>
      <c r="N1615" s="1" t="s">
        <v>18</v>
      </c>
      <c r="O1615" s="1">
        <v>3</v>
      </c>
      <c r="P1615" s="1">
        <v>7</v>
      </c>
      <c r="Q1615" s="7" t="s">
        <v>17633</v>
      </c>
      <c r="R1615" s="1" t="s">
        <v>62</v>
      </c>
      <c r="S1615" s="1" t="s">
        <v>20</v>
      </c>
      <c r="T1615" s="1" t="s">
        <v>21</v>
      </c>
      <c r="U1615" s="1" t="s">
        <v>22</v>
      </c>
      <c r="V1615" s="1" t="s">
        <v>24</v>
      </c>
      <c r="W1615" s="1" t="s">
        <v>24</v>
      </c>
      <c r="X1615" s="1">
        <v>1307</v>
      </c>
      <c r="Y1615" s="1">
        <v>1311</v>
      </c>
      <c r="Z1615" s="1">
        <v>1312</v>
      </c>
      <c r="AA1615" s="1">
        <v>2705</v>
      </c>
      <c r="AB1615" s="1">
        <v>2712</v>
      </c>
      <c r="AC1615" s="1">
        <v>2916</v>
      </c>
      <c r="AD1615" s="1" t="s">
        <v>24</v>
      </c>
      <c r="AE1615" s="1" t="s">
        <v>24</v>
      </c>
      <c r="AF1615" s="22"/>
    </row>
    <row r="1616" spans="1:32" x14ac:dyDescent="0.2">
      <c r="A1616" s="1">
        <v>9925</v>
      </c>
      <c r="B1616" s="1" t="s">
        <v>5208</v>
      </c>
      <c r="C1616" s="5" t="s">
        <v>0</v>
      </c>
      <c r="D1616" s="1" t="s">
        <v>5209</v>
      </c>
      <c r="F1616" s="1" t="s">
        <v>5210</v>
      </c>
      <c r="G1616" s="1" t="s">
        <v>5210</v>
      </c>
      <c r="H1616" s="1" t="s">
        <v>92</v>
      </c>
      <c r="I1616" s="1" t="s">
        <v>16</v>
      </c>
      <c r="J1616" s="1">
        <v>1</v>
      </c>
      <c r="K1616" s="1">
        <v>11</v>
      </c>
      <c r="L1616" s="1" t="s">
        <v>42</v>
      </c>
      <c r="M1616" s="1" t="s">
        <v>18</v>
      </c>
      <c r="N1616" s="1" t="s">
        <v>18</v>
      </c>
      <c r="O1616" s="1">
        <v>3</v>
      </c>
      <c r="P1616" s="1">
        <v>6</v>
      </c>
      <c r="R1616" s="1" t="s">
        <v>19</v>
      </c>
      <c r="S1616" s="1" t="s">
        <v>20</v>
      </c>
      <c r="T1616" s="1" t="s">
        <v>21</v>
      </c>
      <c r="U1616" s="1" t="s">
        <v>22</v>
      </c>
      <c r="V1616" s="1" t="s">
        <v>24</v>
      </c>
      <c r="W1616" s="1" t="s">
        <v>24</v>
      </c>
      <c r="X1616" s="1">
        <v>2724</v>
      </c>
      <c r="Y1616" s="1" t="s">
        <v>24</v>
      </c>
      <c r="Z1616" s="1" t="s">
        <v>24</v>
      </c>
      <c r="AA1616" s="1" t="s">
        <v>24</v>
      </c>
      <c r="AB1616" s="1" t="s">
        <v>24</v>
      </c>
      <c r="AC1616" s="1" t="s">
        <v>24</v>
      </c>
      <c r="AD1616" s="1" t="s">
        <v>24</v>
      </c>
      <c r="AE1616" s="1" t="s">
        <v>24</v>
      </c>
      <c r="AF1616" s="22"/>
    </row>
    <row r="1617" spans="1:32" x14ac:dyDescent="0.2">
      <c r="A1617" s="1">
        <v>9927</v>
      </c>
      <c r="B1617" s="1" t="s">
        <v>5211</v>
      </c>
      <c r="C1617" s="5" t="s">
        <v>0</v>
      </c>
      <c r="D1617" s="1" t="s">
        <v>5212</v>
      </c>
      <c r="F1617" s="1" t="s">
        <v>874</v>
      </c>
      <c r="G1617" s="1" t="s">
        <v>874</v>
      </c>
      <c r="H1617" s="1" t="s">
        <v>30</v>
      </c>
      <c r="I1617" s="1" t="s">
        <v>16</v>
      </c>
      <c r="J1617" s="1">
        <v>1</v>
      </c>
      <c r="K1617" s="1">
        <v>6</v>
      </c>
      <c r="L1617" s="1" t="s">
        <v>42</v>
      </c>
      <c r="M1617" s="1" t="s">
        <v>18</v>
      </c>
      <c r="N1617" s="1" t="s">
        <v>18</v>
      </c>
      <c r="O1617" s="1">
        <v>3</v>
      </c>
      <c r="P1617" s="1">
        <v>6</v>
      </c>
      <c r="R1617" s="1" t="s">
        <v>19</v>
      </c>
      <c r="S1617" s="1" t="s">
        <v>20</v>
      </c>
      <c r="T1617" s="1" t="s">
        <v>21</v>
      </c>
      <c r="U1617" s="1" t="s">
        <v>22</v>
      </c>
      <c r="V1617" s="1" t="s">
        <v>23</v>
      </c>
      <c r="W1617" s="1" t="s">
        <v>24</v>
      </c>
      <c r="X1617" s="1">
        <v>2739</v>
      </c>
      <c r="Y1617" s="1">
        <v>2725</v>
      </c>
      <c r="Z1617" s="1">
        <v>3306</v>
      </c>
      <c r="AA1617" s="1" t="s">
        <v>24</v>
      </c>
      <c r="AB1617" s="1" t="s">
        <v>24</v>
      </c>
      <c r="AC1617" s="1" t="s">
        <v>24</v>
      </c>
      <c r="AD1617" s="1" t="s">
        <v>24</v>
      </c>
      <c r="AE1617" s="1" t="s">
        <v>24</v>
      </c>
      <c r="AF1617" s="22"/>
    </row>
    <row r="1618" spans="1:32" x14ac:dyDescent="0.2">
      <c r="A1618" s="1">
        <v>9931</v>
      </c>
      <c r="B1618" s="1" t="s">
        <v>5213</v>
      </c>
      <c r="C1618" s="5" t="s">
        <v>0</v>
      </c>
      <c r="D1618" s="1" t="s">
        <v>5214</v>
      </c>
      <c r="E1618" s="1" t="s">
        <v>5215</v>
      </c>
      <c r="F1618" s="1" t="s">
        <v>601</v>
      </c>
      <c r="G1618" s="1" t="s">
        <v>61</v>
      </c>
      <c r="H1618" s="1" t="s">
        <v>37</v>
      </c>
      <c r="I1618" s="1" t="s">
        <v>16</v>
      </c>
      <c r="J1618" s="1">
        <v>2</v>
      </c>
      <c r="K1618" s="1">
        <v>4</v>
      </c>
      <c r="L1618" s="1" t="s">
        <v>31</v>
      </c>
      <c r="M1618" s="1" t="s">
        <v>18</v>
      </c>
      <c r="N1618" s="1" t="s">
        <v>18</v>
      </c>
      <c r="O1618" s="1">
        <v>3</v>
      </c>
      <c r="P1618" s="1">
        <v>7</v>
      </c>
      <c r="Q1618" s="7" t="s">
        <v>17633</v>
      </c>
      <c r="R1618" s="1" t="s">
        <v>19</v>
      </c>
      <c r="S1618" s="1" t="s">
        <v>20</v>
      </c>
      <c r="T1618" s="1" t="s">
        <v>21</v>
      </c>
      <c r="U1618" s="1" t="s">
        <v>22</v>
      </c>
      <c r="V1618" s="1" t="s">
        <v>24</v>
      </c>
      <c r="W1618" s="1" t="s">
        <v>24</v>
      </c>
      <c r="X1618" s="1">
        <v>2403</v>
      </c>
      <c r="Y1618" s="1">
        <v>2723</v>
      </c>
      <c r="Z1618" s="1" t="s">
        <v>24</v>
      </c>
      <c r="AA1618" s="1" t="s">
        <v>24</v>
      </c>
      <c r="AB1618" s="1" t="s">
        <v>24</v>
      </c>
      <c r="AC1618" s="1" t="s">
        <v>24</v>
      </c>
      <c r="AD1618" s="1" t="s">
        <v>24</v>
      </c>
      <c r="AE1618" s="1" t="s">
        <v>24</v>
      </c>
      <c r="AF1618" s="22"/>
    </row>
    <row r="1619" spans="1:32" x14ac:dyDescent="0.2">
      <c r="A1619" s="1">
        <v>9942</v>
      </c>
      <c r="B1619" s="1" t="s">
        <v>5216</v>
      </c>
      <c r="C1619" s="5" t="s">
        <v>0</v>
      </c>
      <c r="D1619" s="1" t="s">
        <v>5217</v>
      </c>
      <c r="F1619" s="1" t="s">
        <v>5218</v>
      </c>
      <c r="G1619" s="1" t="s">
        <v>5218</v>
      </c>
      <c r="H1619" s="1" t="s">
        <v>86</v>
      </c>
      <c r="I1619" s="1" t="s">
        <v>112</v>
      </c>
      <c r="J1619" s="1">
        <v>0</v>
      </c>
      <c r="K1619" s="1">
        <v>0</v>
      </c>
      <c r="L1619" s="1" t="s">
        <v>42</v>
      </c>
      <c r="M1619" s="1" t="s">
        <v>18</v>
      </c>
      <c r="N1619" s="1" t="s">
        <v>18</v>
      </c>
      <c r="O1619" s="1">
        <v>0</v>
      </c>
      <c r="P1619" s="1">
        <v>7</v>
      </c>
      <c r="Q1619" s="7" t="s">
        <v>17633</v>
      </c>
      <c r="R1619" s="1" t="s">
        <v>19</v>
      </c>
      <c r="S1619" s="1" t="s">
        <v>20</v>
      </c>
      <c r="T1619" s="1" t="s">
        <v>21</v>
      </c>
      <c r="U1619" s="1" t="s">
        <v>22</v>
      </c>
      <c r="V1619" s="1" t="s">
        <v>24</v>
      </c>
      <c r="W1619" s="1" t="s">
        <v>24</v>
      </c>
      <c r="X1619" s="1">
        <v>1306</v>
      </c>
      <c r="Y1619" s="1">
        <v>3005</v>
      </c>
      <c r="Z1619" s="1" t="s">
        <v>24</v>
      </c>
      <c r="AA1619" s="1" t="s">
        <v>24</v>
      </c>
      <c r="AB1619" s="1" t="s">
        <v>24</v>
      </c>
      <c r="AC1619" s="1" t="s">
        <v>24</v>
      </c>
      <c r="AD1619" s="1" t="s">
        <v>24</v>
      </c>
      <c r="AE1619" s="1" t="s">
        <v>24</v>
      </c>
      <c r="AF1619" s="22"/>
    </row>
    <row r="1620" spans="1:32" x14ac:dyDescent="0.2">
      <c r="A1620" s="1">
        <v>9947</v>
      </c>
      <c r="B1620" s="1" t="s">
        <v>5219</v>
      </c>
      <c r="C1620" s="5" t="s">
        <v>0</v>
      </c>
      <c r="D1620" s="1" t="s">
        <v>5220</v>
      </c>
      <c r="E1620" s="1" t="s">
        <v>5221</v>
      </c>
      <c r="F1620" s="1" t="s">
        <v>689</v>
      </c>
      <c r="G1620" s="1" t="s">
        <v>311</v>
      </c>
      <c r="H1620" s="1" t="s">
        <v>30</v>
      </c>
      <c r="I1620" s="1" t="s">
        <v>16</v>
      </c>
      <c r="J1620" s="1">
        <v>1</v>
      </c>
      <c r="K1620" s="1">
        <v>4</v>
      </c>
      <c r="L1620" s="1" t="s">
        <v>31</v>
      </c>
      <c r="M1620" s="1" t="s">
        <v>18</v>
      </c>
      <c r="N1620" s="1" t="s">
        <v>18</v>
      </c>
      <c r="O1620" s="1">
        <v>3</v>
      </c>
      <c r="P1620" s="1">
        <v>6</v>
      </c>
      <c r="R1620" s="1" t="s">
        <v>19</v>
      </c>
      <c r="S1620" s="1" t="s">
        <v>20</v>
      </c>
      <c r="T1620" s="1" t="s">
        <v>21</v>
      </c>
      <c r="U1620" s="1" t="s">
        <v>22</v>
      </c>
      <c r="V1620" s="1" t="s">
        <v>23</v>
      </c>
      <c r="W1620" s="1" t="s">
        <v>24</v>
      </c>
      <c r="X1620" s="1">
        <v>2738</v>
      </c>
      <c r="Y1620" s="1">
        <v>3203</v>
      </c>
      <c r="Z1620" s="1" t="s">
        <v>24</v>
      </c>
      <c r="AA1620" s="1" t="s">
        <v>24</v>
      </c>
      <c r="AB1620" s="1" t="s">
        <v>24</v>
      </c>
      <c r="AC1620" s="1" t="s">
        <v>24</v>
      </c>
      <c r="AD1620" s="1" t="s">
        <v>24</v>
      </c>
      <c r="AE1620" s="1" t="s">
        <v>24</v>
      </c>
      <c r="AF1620" s="22"/>
    </row>
    <row r="1621" spans="1:32" x14ac:dyDescent="0.2">
      <c r="A1621" s="1">
        <v>9950</v>
      </c>
      <c r="B1621" s="1" t="s">
        <v>5222</v>
      </c>
      <c r="C1621" s="5" t="s">
        <v>0</v>
      </c>
      <c r="D1621" s="1" t="s">
        <v>5223</v>
      </c>
      <c r="F1621" s="1" t="s">
        <v>5224</v>
      </c>
      <c r="G1621" s="1" t="s">
        <v>5224</v>
      </c>
      <c r="H1621" s="1" t="s">
        <v>30</v>
      </c>
      <c r="I1621" s="1" t="s">
        <v>16</v>
      </c>
      <c r="J1621" s="1">
        <v>1</v>
      </c>
      <c r="K1621" s="1">
        <v>4</v>
      </c>
      <c r="L1621" s="1" t="s">
        <v>42</v>
      </c>
      <c r="M1621" s="1" t="s">
        <v>18</v>
      </c>
      <c r="N1621" s="1" t="s">
        <v>18</v>
      </c>
      <c r="O1621" s="1">
        <v>3</v>
      </c>
      <c r="P1621" s="1">
        <v>7</v>
      </c>
      <c r="Q1621" s="7" t="s">
        <v>17633</v>
      </c>
      <c r="R1621" s="1" t="s">
        <v>19</v>
      </c>
      <c r="S1621" s="1" t="s">
        <v>20</v>
      </c>
      <c r="T1621" s="1" t="s">
        <v>21</v>
      </c>
      <c r="U1621" s="1" t="s">
        <v>22</v>
      </c>
      <c r="V1621" s="1" t="s">
        <v>24</v>
      </c>
      <c r="W1621" s="1" t="s">
        <v>24</v>
      </c>
      <c r="X1621" s="1">
        <v>2720</v>
      </c>
      <c r="Y1621" s="1">
        <v>2723</v>
      </c>
      <c r="Z1621" s="1" t="s">
        <v>24</v>
      </c>
      <c r="AA1621" s="1" t="s">
        <v>24</v>
      </c>
      <c r="AB1621" s="1" t="s">
        <v>24</v>
      </c>
      <c r="AC1621" s="1" t="s">
        <v>24</v>
      </c>
      <c r="AD1621" s="1" t="s">
        <v>24</v>
      </c>
      <c r="AE1621" s="1" t="s">
        <v>24</v>
      </c>
      <c r="AF1621" s="22"/>
    </row>
    <row r="1622" spans="1:32" x14ac:dyDescent="0.2">
      <c r="A1622" s="1">
        <v>9951</v>
      </c>
      <c r="B1622" s="1" t="s">
        <v>5225</v>
      </c>
      <c r="C1622" s="5" t="s">
        <v>0</v>
      </c>
      <c r="D1622" s="1" t="s">
        <v>5226</v>
      </c>
      <c r="E1622" s="1" t="s">
        <v>5227</v>
      </c>
      <c r="F1622" s="1" t="s">
        <v>221</v>
      </c>
      <c r="G1622" s="1" t="s">
        <v>61</v>
      </c>
      <c r="H1622" s="1" t="s">
        <v>222</v>
      </c>
      <c r="I1622" s="1" t="s">
        <v>16</v>
      </c>
      <c r="J1622" s="1">
        <v>4</v>
      </c>
      <c r="K1622" s="1">
        <v>3</v>
      </c>
      <c r="L1622" s="1" t="s">
        <v>31</v>
      </c>
      <c r="M1622" s="1" t="s">
        <v>18</v>
      </c>
      <c r="N1622" s="1" t="s">
        <v>18</v>
      </c>
      <c r="O1622" s="1">
        <v>3</v>
      </c>
      <c r="P1622" s="1">
        <v>7</v>
      </c>
      <c r="Q1622" s="7" t="s">
        <v>17633</v>
      </c>
      <c r="R1622" s="1" t="s">
        <v>19</v>
      </c>
      <c r="S1622" s="1" t="s">
        <v>20</v>
      </c>
      <c r="T1622" s="1" t="s">
        <v>21</v>
      </c>
      <c r="U1622" s="1" t="s">
        <v>22</v>
      </c>
      <c r="V1622" s="1" t="s">
        <v>24</v>
      </c>
      <c r="W1622" s="1" t="s">
        <v>24</v>
      </c>
      <c r="X1622" s="1">
        <v>2708</v>
      </c>
      <c r="Y1622" s="1">
        <v>1303</v>
      </c>
      <c r="Z1622" s="1">
        <v>1312</v>
      </c>
      <c r="AA1622" s="1" t="s">
        <v>24</v>
      </c>
      <c r="AB1622" s="1" t="s">
        <v>24</v>
      </c>
      <c r="AC1622" s="1" t="s">
        <v>24</v>
      </c>
      <c r="AD1622" s="1" t="s">
        <v>24</v>
      </c>
      <c r="AE1622" s="1" t="s">
        <v>24</v>
      </c>
      <c r="AF1622" s="22"/>
    </row>
    <row r="1623" spans="1:32" x14ac:dyDescent="0.2">
      <c r="A1623" s="1">
        <v>9955</v>
      </c>
      <c r="B1623" s="1" t="s">
        <v>5228</v>
      </c>
      <c r="C1623" s="5" t="s">
        <v>0</v>
      </c>
      <c r="D1623" s="1" t="s">
        <v>5229</v>
      </c>
      <c r="E1623" s="1" t="s">
        <v>5230</v>
      </c>
      <c r="F1623" s="1" t="s">
        <v>296</v>
      </c>
      <c r="G1623" s="1" t="s">
        <v>36</v>
      </c>
      <c r="H1623" s="1" t="s">
        <v>264</v>
      </c>
      <c r="I1623" s="1" t="s">
        <v>16</v>
      </c>
      <c r="J1623" s="1">
        <v>1</v>
      </c>
      <c r="K1623" s="1">
        <v>12</v>
      </c>
      <c r="L1623" s="1" t="s">
        <v>31</v>
      </c>
      <c r="M1623" s="1" t="s">
        <v>18</v>
      </c>
      <c r="N1623" s="1" t="s">
        <v>18</v>
      </c>
      <c r="O1623" s="1">
        <v>3</v>
      </c>
      <c r="P1623" s="1">
        <v>7</v>
      </c>
      <c r="Q1623" s="7" t="s">
        <v>17633</v>
      </c>
      <c r="R1623" s="1" t="s">
        <v>19</v>
      </c>
      <c r="S1623" s="1" t="s">
        <v>20</v>
      </c>
      <c r="T1623" s="1" t="s">
        <v>21</v>
      </c>
      <c r="U1623" s="1" t="s">
        <v>22</v>
      </c>
      <c r="V1623" s="1" t="s">
        <v>23</v>
      </c>
      <c r="W1623" s="1" t="s">
        <v>24</v>
      </c>
      <c r="X1623" s="1">
        <v>2735</v>
      </c>
      <c r="Y1623" s="1" t="s">
        <v>24</v>
      </c>
      <c r="Z1623" s="1" t="s">
        <v>24</v>
      </c>
      <c r="AA1623" s="1" t="s">
        <v>24</v>
      </c>
      <c r="AB1623" s="1" t="s">
        <v>24</v>
      </c>
      <c r="AC1623" s="1" t="s">
        <v>24</v>
      </c>
      <c r="AD1623" s="1" t="s">
        <v>24</v>
      </c>
      <c r="AE1623" s="1" t="s">
        <v>24</v>
      </c>
      <c r="AF1623" s="22"/>
    </row>
    <row r="1624" spans="1:32" x14ac:dyDescent="0.2">
      <c r="A1624" s="1">
        <v>9962</v>
      </c>
      <c r="B1624" s="1" t="s">
        <v>5231</v>
      </c>
      <c r="C1624" s="5" t="s">
        <v>0</v>
      </c>
      <c r="D1624" s="1" t="s">
        <v>5232</v>
      </c>
      <c r="E1624" s="1" t="s">
        <v>5233</v>
      </c>
      <c r="F1624" s="1" t="s">
        <v>155</v>
      </c>
      <c r="G1624" s="1" t="s">
        <v>61</v>
      </c>
      <c r="H1624" s="1" t="s">
        <v>37</v>
      </c>
      <c r="I1624" s="1" t="s">
        <v>16</v>
      </c>
      <c r="J1624" s="1">
        <v>1</v>
      </c>
      <c r="K1624" s="1">
        <v>6</v>
      </c>
      <c r="L1624" s="1" t="s">
        <v>31</v>
      </c>
      <c r="M1624" s="1" t="s">
        <v>18</v>
      </c>
      <c r="N1624" s="1" t="s">
        <v>18</v>
      </c>
      <c r="O1624" s="1">
        <v>3</v>
      </c>
      <c r="P1624" s="1">
        <v>7</v>
      </c>
      <c r="Q1624" s="7" t="s">
        <v>17633</v>
      </c>
      <c r="R1624" s="1" t="s">
        <v>62</v>
      </c>
      <c r="S1624" s="1" t="s">
        <v>63</v>
      </c>
      <c r="T1624" s="1" t="s">
        <v>21</v>
      </c>
      <c r="U1624" s="1" t="s">
        <v>22</v>
      </c>
      <c r="V1624" s="1" t="s">
        <v>24</v>
      </c>
      <c r="W1624" s="1" t="s">
        <v>24</v>
      </c>
      <c r="X1624" s="1">
        <v>1305</v>
      </c>
      <c r="Y1624" s="1">
        <v>1502</v>
      </c>
      <c r="Z1624" s="1">
        <v>2204</v>
      </c>
      <c r="AA1624" s="1" t="s">
        <v>24</v>
      </c>
      <c r="AB1624" s="1" t="s">
        <v>24</v>
      </c>
      <c r="AC1624" s="1" t="s">
        <v>24</v>
      </c>
      <c r="AD1624" s="1" t="s">
        <v>24</v>
      </c>
      <c r="AE1624" s="1" t="s">
        <v>24</v>
      </c>
      <c r="AF1624" s="22"/>
    </row>
    <row r="1625" spans="1:32" x14ac:dyDescent="0.2">
      <c r="A1625" s="1">
        <v>9963</v>
      </c>
      <c r="B1625" s="1" t="s">
        <v>5234</v>
      </c>
      <c r="C1625" s="5" t="s">
        <v>0</v>
      </c>
      <c r="D1625" s="1" t="s">
        <v>5235</v>
      </c>
      <c r="E1625" s="1" t="s">
        <v>5236</v>
      </c>
      <c r="F1625" s="1" t="s">
        <v>155</v>
      </c>
      <c r="G1625" s="1" t="s">
        <v>61</v>
      </c>
      <c r="H1625" s="1" t="s">
        <v>37</v>
      </c>
      <c r="I1625" s="1" t="s">
        <v>16</v>
      </c>
      <c r="J1625" s="1">
        <v>1</v>
      </c>
      <c r="K1625" s="1">
        <v>6</v>
      </c>
      <c r="L1625" s="1" t="s">
        <v>31</v>
      </c>
      <c r="M1625" s="1" t="s">
        <v>18</v>
      </c>
      <c r="N1625" s="1" t="s">
        <v>18</v>
      </c>
      <c r="O1625" s="1">
        <v>3</v>
      </c>
      <c r="P1625" s="1">
        <v>7</v>
      </c>
      <c r="Q1625" s="7" t="s">
        <v>17633</v>
      </c>
      <c r="R1625" s="1" t="s">
        <v>62</v>
      </c>
      <c r="S1625" s="1" t="s">
        <v>63</v>
      </c>
      <c r="T1625" s="1" t="s">
        <v>21</v>
      </c>
      <c r="U1625" s="1" t="s">
        <v>22</v>
      </c>
      <c r="V1625" s="1" t="s">
        <v>24</v>
      </c>
      <c r="W1625" s="1" t="s">
        <v>24</v>
      </c>
      <c r="X1625" s="1">
        <v>1312</v>
      </c>
      <c r="Y1625" s="1">
        <v>1315</v>
      </c>
      <c r="Z1625" s="1" t="s">
        <v>24</v>
      </c>
      <c r="AA1625" s="1" t="s">
        <v>24</v>
      </c>
      <c r="AB1625" s="1" t="s">
        <v>24</v>
      </c>
      <c r="AC1625" s="1" t="s">
        <v>24</v>
      </c>
      <c r="AD1625" s="1" t="s">
        <v>24</v>
      </c>
      <c r="AE1625" s="1" t="s">
        <v>24</v>
      </c>
      <c r="AF1625" s="22"/>
    </row>
    <row r="1626" spans="1:32" x14ac:dyDescent="0.2">
      <c r="A1626" s="1">
        <v>9964</v>
      </c>
      <c r="B1626" s="1" t="s">
        <v>5237</v>
      </c>
      <c r="C1626" s="5" t="s">
        <v>0</v>
      </c>
      <c r="D1626" s="1" t="s">
        <v>5238</v>
      </c>
      <c r="E1626" s="1" t="s">
        <v>5239</v>
      </c>
      <c r="F1626" s="1" t="s">
        <v>155</v>
      </c>
      <c r="G1626" s="1" t="s">
        <v>61</v>
      </c>
      <c r="H1626" s="1" t="s">
        <v>37</v>
      </c>
      <c r="I1626" s="1" t="s">
        <v>16</v>
      </c>
      <c r="J1626" s="1">
        <v>1</v>
      </c>
      <c r="K1626" s="1">
        <v>6</v>
      </c>
      <c r="L1626" s="1" t="s">
        <v>31</v>
      </c>
      <c r="M1626" s="1" t="s">
        <v>18</v>
      </c>
      <c r="N1626" s="1" t="s">
        <v>18</v>
      </c>
      <c r="O1626" s="1">
        <v>2</v>
      </c>
      <c r="P1626" s="1">
        <v>7</v>
      </c>
      <c r="Q1626" s="7" t="s">
        <v>17633</v>
      </c>
      <c r="R1626" s="1" t="s">
        <v>62</v>
      </c>
      <c r="S1626" s="1" t="s">
        <v>63</v>
      </c>
      <c r="T1626" s="1" t="s">
        <v>21</v>
      </c>
      <c r="U1626" s="1" t="s">
        <v>22</v>
      </c>
      <c r="V1626" s="1" t="s">
        <v>24</v>
      </c>
      <c r="W1626" s="1" t="s">
        <v>24</v>
      </c>
      <c r="X1626" s="1">
        <v>2800</v>
      </c>
      <c r="Y1626" s="1" t="s">
        <v>24</v>
      </c>
      <c r="Z1626" s="1" t="s">
        <v>24</v>
      </c>
      <c r="AA1626" s="1" t="s">
        <v>24</v>
      </c>
      <c r="AB1626" s="1" t="s">
        <v>24</v>
      </c>
      <c r="AC1626" s="1" t="s">
        <v>24</v>
      </c>
      <c r="AD1626" s="1" t="s">
        <v>24</v>
      </c>
      <c r="AE1626" s="1" t="s">
        <v>24</v>
      </c>
      <c r="AF1626" s="22"/>
    </row>
    <row r="1627" spans="1:32" x14ac:dyDescent="0.2">
      <c r="A1627" s="1">
        <v>9965</v>
      </c>
      <c r="B1627" s="1" t="s">
        <v>5240</v>
      </c>
      <c r="C1627" s="5" t="s">
        <v>0</v>
      </c>
      <c r="D1627" s="1" t="s">
        <v>5241</v>
      </c>
      <c r="E1627" s="1" t="s">
        <v>5242</v>
      </c>
      <c r="F1627" s="1" t="s">
        <v>155</v>
      </c>
      <c r="G1627" s="1" t="s">
        <v>61</v>
      </c>
      <c r="H1627" s="1" t="s">
        <v>37</v>
      </c>
      <c r="I1627" s="1" t="s">
        <v>16</v>
      </c>
      <c r="J1627" s="1">
        <v>1</v>
      </c>
      <c r="K1627" s="1">
        <v>6</v>
      </c>
      <c r="L1627" s="1" t="s">
        <v>31</v>
      </c>
      <c r="M1627" s="1" t="s">
        <v>18</v>
      </c>
      <c r="N1627" s="1" t="s">
        <v>18</v>
      </c>
      <c r="O1627" s="1">
        <v>2</v>
      </c>
      <c r="P1627" s="1">
        <v>7</v>
      </c>
      <c r="Q1627" s="7" t="s">
        <v>17633</v>
      </c>
      <c r="R1627" s="1" t="s">
        <v>62</v>
      </c>
      <c r="S1627" s="1" t="s">
        <v>63</v>
      </c>
      <c r="T1627" s="1" t="s">
        <v>21</v>
      </c>
      <c r="U1627" s="1" t="s">
        <v>22</v>
      </c>
      <c r="V1627" s="1" t="s">
        <v>24</v>
      </c>
      <c r="W1627" s="1" t="s">
        <v>24</v>
      </c>
      <c r="X1627" s="1">
        <v>1311</v>
      </c>
      <c r="Y1627" s="1">
        <v>1309</v>
      </c>
      <c r="Z1627" s="1" t="s">
        <v>24</v>
      </c>
      <c r="AA1627" s="1" t="s">
        <v>24</v>
      </c>
      <c r="AB1627" s="1" t="s">
        <v>24</v>
      </c>
      <c r="AC1627" s="1" t="s">
        <v>24</v>
      </c>
      <c r="AD1627" s="1" t="s">
        <v>24</v>
      </c>
      <c r="AE1627" s="1" t="s">
        <v>24</v>
      </c>
      <c r="AF1627" s="22"/>
    </row>
    <row r="1628" spans="1:32" x14ac:dyDescent="0.2">
      <c r="A1628" s="1">
        <v>9967</v>
      </c>
      <c r="B1628" s="1" t="s">
        <v>5243</v>
      </c>
      <c r="C1628" s="5" t="s">
        <v>0</v>
      </c>
      <c r="D1628" s="1" t="s">
        <v>5244</v>
      </c>
      <c r="E1628" s="1" t="s">
        <v>5245</v>
      </c>
      <c r="F1628" s="1" t="s">
        <v>4337</v>
      </c>
      <c r="G1628" s="1" t="s">
        <v>4338</v>
      </c>
      <c r="H1628" s="1" t="s">
        <v>30</v>
      </c>
      <c r="I1628" s="1" t="s">
        <v>16</v>
      </c>
      <c r="J1628" s="1">
        <v>1</v>
      </c>
      <c r="K1628" s="1">
        <v>12</v>
      </c>
      <c r="L1628" s="1" t="s">
        <v>31</v>
      </c>
      <c r="M1628" s="1" t="s">
        <v>18</v>
      </c>
      <c r="N1628" s="1" t="s">
        <v>18</v>
      </c>
      <c r="O1628" s="1">
        <v>3</v>
      </c>
      <c r="P1628" s="1">
        <v>7</v>
      </c>
      <c r="Q1628" s="7" t="s">
        <v>17633</v>
      </c>
      <c r="R1628" s="1" t="s">
        <v>19</v>
      </c>
      <c r="S1628" s="1" t="s">
        <v>20</v>
      </c>
      <c r="T1628" s="1" t="s">
        <v>21</v>
      </c>
      <c r="U1628" s="1" t="s">
        <v>22</v>
      </c>
      <c r="V1628" s="1" t="s">
        <v>24</v>
      </c>
      <c r="W1628" s="1" t="s">
        <v>24</v>
      </c>
      <c r="X1628" s="1">
        <v>1312</v>
      </c>
      <c r="Y1628" s="1">
        <v>1311</v>
      </c>
      <c r="Z1628" s="1">
        <v>1307</v>
      </c>
      <c r="AA1628" s="1" t="s">
        <v>24</v>
      </c>
      <c r="AB1628" s="1" t="s">
        <v>24</v>
      </c>
      <c r="AC1628" s="1" t="s">
        <v>24</v>
      </c>
      <c r="AD1628" s="1" t="s">
        <v>24</v>
      </c>
      <c r="AE1628" s="1" t="s">
        <v>24</v>
      </c>
      <c r="AF1628" s="22"/>
    </row>
    <row r="1629" spans="1:32" x14ac:dyDescent="0.2">
      <c r="A1629" s="1">
        <v>9969</v>
      </c>
      <c r="B1629" s="1" t="s">
        <v>5246</v>
      </c>
      <c r="C1629" s="5" t="s">
        <v>0</v>
      </c>
      <c r="D1629" s="1" t="s">
        <v>5247</v>
      </c>
      <c r="E1629" s="1" t="s">
        <v>5248</v>
      </c>
      <c r="F1629" s="1" t="s">
        <v>5249</v>
      </c>
      <c r="G1629" s="1" t="s">
        <v>5249</v>
      </c>
      <c r="H1629" s="1" t="s">
        <v>3593</v>
      </c>
      <c r="I1629" s="1" t="s">
        <v>16</v>
      </c>
      <c r="J1629" s="1">
        <v>1</v>
      </c>
      <c r="K1629" s="1">
        <v>4</v>
      </c>
      <c r="L1629" s="1" t="s">
        <v>42</v>
      </c>
      <c r="M1629" s="1" t="s">
        <v>226</v>
      </c>
      <c r="N1629" s="1" t="s">
        <v>118</v>
      </c>
      <c r="O1629" s="1">
        <v>3</v>
      </c>
      <c r="P1629" s="1">
        <v>5</v>
      </c>
      <c r="R1629" s="1" t="s">
        <v>19</v>
      </c>
      <c r="S1629" s="1" t="s">
        <v>20</v>
      </c>
      <c r="T1629" s="1" t="s">
        <v>21</v>
      </c>
      <c r="U1629" s="1" t="s">
        <v>22</v>
      </c>
      <c r="V1629" s="1" t="s">
        <v>24</v>
      </c>
      <c r="W1629" s="1" t="s">
        <v>24</v>
      </c>
      <c r="X1629" s="1">
        <v>2402</v>
      </c>
      <c r="Y1629" s="1">
        <v>1305</v>
      </c>
      <c r="Z1629" s="1" t="s">
        <v>24</v>
      </c>
      <c r="AA1629" s="1" t="s">
        <v>24</v>
      </c>
      <c r="AB1629" s="1" t="s">
        <v>24</v>
      </c>
      <c r="AC1629" s="1" t="s">
        <v>24</v>
      </c>
      <c r="AD1629" s="1" t="s">
        <v>24</v>
      </c>
      <c r="AE1629" s="1" t="s">
        <v>24</v>
      </c>
      <c r="AF1629" s="22"/>
    </row>
    <row r="1630" spans="1:32" x14ac:dyDescent="0.2">
      <c r="A1630" s="1">
        <v>9970</v>
      </c>
      <c r="B1630" s="1" t="s">
        <v>5250</v>
      </c>
      <c r="C1630" s="5" t="s">
        <v>0</v>
      </c>
      <c r="D1630" s="1" t="s">
        <v>5251</v>
      </c>
      <c r="E1630" s="1" t="s">
        <v>5252</v>
      </c>
      <c r="F1630" s="1" t="s">
        <v>5253</v>
      </c>
      <c r="G1630" s="1" t="s">
        <v>5254</v>
      </c>
      <c r="H1630" s="1" t="s">
        <v>30</v>
      </c>
      <c r="I1630" s="1" t="s">
        <v>16</v>
      </c>
      <c r="J1630" s="1">
        <v>1</v>
      </c>
      <c r="K1630" s="1">
        <v>12</v>
      </c>
      <c r="L1630" s="1" t="s">
        <v>31</v>
      </c>
      <c r="M1630" s="1" t="s">
        <v>18</v>
      </c>
      <c r="N1630" s="1" t="s">
        <v>18</v>
      </c>
      <c r="O1630" s="1">
        <v>3</v>
      </c>
      <c r="P1630" s="1">
        <v>7</v>
      </c>
      <c r="Q1630" s="7" t="s">
        <v>17633</v>
      </c>
      <c r="R1630" s="1" t="s">
        <v>62</v>
      </c>
      <c r="S1630" s="1" t="s">
        <v>20</v>
      </c>
      <c r="T1630" s="1" t="s">
        <v>21</v>
      </c>
      <c r="U1630" s="1" t="s">
        <v>22</v>
      </c>
      <c r="V1630" s="1" t="s">
        <v>24</v>
      </c>
      <c r="W1630" s="1" t="s">
        <v>24</v>
      </c>
      <c r="X1630" s="1">
        <v>2805</v>
      </c>
      <c r="Y1630" s="1">
        <v>1203</v>
      </c>
      <c r="Z1630" s="1">
        <v>3310</v>
      </c>
      <c r="AA1630" s="1" t="s">
        <v>24</v>
      </c>
      <c r="AB1630" s="1" t="s">
        <v>24</v>
      </c>
      <c r="AC1630" s="1" t="s">
        <v>24</v>
      </c>
      <c r="AD1630" s="1" t="s">
        <v>24</v>
      </c>
      <c r="AE1630" s="1" t="s">
        <v>24</v>
      </c>
      <c r="AF1630" s="22"/>
    </row>
    <row r="1631" spans="1:32" x14ac:dyDescent="0.2">
      <c r="A1631" s="1">
        <v>9975</v>
      </c>
      <c r="B1631" s="1" t="s">
        <v>5255</v>
      </c>
      <c r="C1631" s="5" t="s">
        <v>0</v>
      </c>
      <c r="D1631" s="1" t="s">
        <v>5256</v>
      </c>
      <c r="F1631" s="1" t="s">
        <v>5257</v>
      </c>
      <c r="G1631" s="1" t="s">
        <v>5258</v>
      </c>
      <c r="H1631" s="1" t="s">
        <v>1007</v>
      </c>
      <c r="I1631" s="1" t="s">
        <v>16</v>
      </c>
      <c r="J1631" s="1">
        <v>1</v>
      </c>
      <c r="K1631" s="1">
        <v>6</v>
      </c>
      <c r="L1631" s="1" t="s">
        <v>31</v>
      </c>
      <c r="M1631" s="1" t="s">
        <v>1008</v>
      </c>
      <c r="N1631" s="1" t="s">
        <v>4418</v>
      </c>
      <c r="O1631" s="1">
        <v>2</v>
      </c>
      <c r="P1631" s="1">
        <v>5</v>
      </c>
      <c r="R1631" s="1" t="s">
        <v>19</v>
      </c>
      <c r="S1631" s="1" t="s">
        <v>20</v>
      </c>
      <c r="T1631" s="1" t="s">
        <v>21</v>
      </c>
      <c r="U1631" s="1" t="s">
        <v>22</v>
      </c>
      <c r="V1631" s="1" t="s">
        <v>24</v>
      </c>
      <c r="W1631" s="1" t="s">
        <v>24</v>
      </c>
      <c r="X1631" s="1">
        <v>2734</v>
      </c>
      <c r="Y1631" s="1" t="s">
        <v>24</v>
      </c>
      <c r="Z1631" s="1" t="s">
        <v>24</v>
      </c>
      <c r="AA1631" s="1" t="s">
        <v>24</v>
      </c>
      <c r="AB1631" s="1" t="s">
        <v>24</v>
      </c>
      <c r="AC1631" s="1" t="s">
        <v>24</v>
      </c>
      <c r="AD1631" s="1" t="s">
        <v>24</v>
      </c>
      <c r="AE1631" s="1" t="s">
        <v>24</v>
      </c>
      <c r="AF1631" s="22"/>
    </row>
    <row r="1632" spans="1:32" x14ac:dyDescent="0.2">
      <c r="A1632" s="1">
        <v>9983</v>
      </c>
      <c r="B1632" s="1" t="s">
        <v>5259</v>
      </c>
      <c r="C1632" s="5" t="s">
        <v>0</v>
      </c>
      <c r="D1632" s="1" t="s">
        <v>5260</v>
      </c>
      <c r="E1632" s="1" t="s">
        <v>5261</v>
      </c>
      <c r="F1632" s="1" t="s">
        <v>5262</v>
      </c>
      <c r="G1632" s="1" t="s">
        <v>5263</v>
      </c>
      <c r="H1632" s="1" t="s">
        <v>116</v>
      </c>
      <c r="I1632" s="1" t="s">
        <v>16</v>
      </c>
      <c r="J1632" s="1">
        <v>1</v>
      </c>
      <c r="K1632" s="1">
        <v>3</v>
      </c>
      <c r="L1632" s="1" t="s">
        <v>42</v>
      </c>
      <c r="M1632" s="1" t="s">
        <v>117</v>
      </c>
      <c r="N1632" s="1" t="s">
        <v>118</v>
      </c>
      <c r="O1632" s="1">
        <v>1</v>
      </c>
      <c r="P1632" s="1">
        <v>6</v>
      </c>
      <c r="R1632" s="1" t="s">
        <v>19</v>
      </c>
      <c r="S1632" s="1" t="s">
        <v>20</v>
      </c>
      <c r="T1632" s="1" t="s">
        <v>21</v>
      </c>
      <c r="U1632" s="1" t="s">
        <v>22</v>
      </c>
      <c r="V1632" s="1" t="s">
        <v>24</v>
      </c>
      <c r="W1632" s="1" t="s">
        <v>24</v>
      </c>
      <c r="X1632" s="1">
        <v>3005</v>
      </c>
      <c r="Y1632" s="1" t="s">
        <v>24</v>
      </c>
      <c r="Z1632" s="1" t="s">
        <v>24</v>
      </c>
      <c r="AA1632" s="1" t="s">
        <v>24</v>
      </c>
      <c r="AB1632" s="1" t="s">
        <v>24</v>
      </c>
      <c r="AC1632" s="1" t="s">
        <v>24</v>
      </c>
      <c r="AD1632" s="1" t="s">
        <v>24</v>
      </c>
      <c r="AE1632" s="1" t="s">
        <v>24</v>
      </c>
      <c r="AF1632" s="22"/>
    </row>
    <row r="1633" spans="1:32" x14ac:dyDescent="0.2">
      <c r="A1633" s="1">
        <v>9995</v>
      </c>
      <c r="B1633" s="1" t="s">
        <v>5264</v>
      </c>
      <c r="C1633" s="5" t="s">
        <v>0</v>
      </c>
      <c r="D1633" s="1" t="s">
        <v>5265</v>
      </c>
      <c r="E1633" s="1" t="s">
        <v>5266</v>
      </c>
      <c r="F1633" s="1" t="s">
        <v>920</v>
      </c>
      <c r="G1633" s="1" t="s">
        <v>921</v>
      </c>
      <c r="H1633" s="1" t="s">
        <v>92</v>
      </c>
      <c r="I1633" s="1" t="s">
        <v>16</v>
      </c>
      <c r="J1633" s="1">
        <v>1</v>
      </c>
      <c r="K1633" s="1">
        <v>4</v>
      </c>
      <c r="L1633" s="1" t="s">
        <v>31</v>
      </c>
      <c r="M1633" s="1" t="s">
        <v>18</v>
      </c>
      <c r="N1633" s="1" t="s">
        <v>18</v>
      </c>
      <c r="O1633" s="1">
        <v>3</v>
      </c>
      <c r="P1633" s="1">
        <v>6</v>
      </c>
      <c r="R1633" s="1" t="s">
        <v>19</v>
      </c>
      <c r="S1633" s="1" t="s">
        <v>20</v>
      </c>
      <c r="T1633" s="1" t="s">
        <v>21</v>
      </c>
      <c r="U1633" s="1" t="s">
        <v>22</v>
      </c>
      <c r="V1633" s="1" t="s">
        <v>23</v>
      </c>
      <c r="W1633" s="1" t="s">
        <v>24</v>
      </c>
      <c r="X1633" s="1">
        <v>2732</v>
      </c>
      <c r="Y1633" s="1">
        <v>3612</v>
      </c>
      <c r="Z1633" s="1">
        <v>1304</v>
      </c>
      <c r="AA1633" s="1" t="s">
        <v>24</v>
      </c>
      <c r="AB1633" s="1" t="s">
        <v>24</v>
      </c>
      <c r="AC1633" s="1" t="s">
        <v>24</v>
      </c>
      <c r="AD1633" s="1" t="s">
        <v>24</v>
      </c>
      <c r="AE1633" s="1" t="s">
        <v>24</v>
      </c>
      <c r="AF1633" s="22"/>
    </row>
    <row r="1634" spans="1:32" x14ac:dyDescent="0.2">
      <c r="A1634" s="1">
        <v>9999</v>
      </c>
      <c r="B1634" s="1" t="s">
        <v>5267</v>
      </c>
      <c r="C1634" s="5" t="s">
        <v>0</v>
      </c>
      <c r="D1634" s="1" t="s">
        <v>5268</v>
      </c>
      <c r="E1634" s="1" t="s">
        <v>5269</v>
      </c>
      <c r="F1634" s="1" t="s">
        <v>3695</v>
      </c>
      <c r="G1634" s="1" t="s">
        <v>3695</v>
      </c>
      <c r="H1634" s="1" t="s">
        <v>684</v>
      </c>
      <c r="I1634" s="1" t="s">
        <v>16</v>
      </c>
      <c r="J1634" s="1">
        <v>1</v>
      </c>
      <c r="K1634" s="1">
        <v>6</v>
      </c>
      <c r="L1634" s="1" t="s">
        <v>17</v>
      </c>
      <c r="M1634" s="1" t="s">
        <v>852</v>
      </c>
      <c r="N1634" s="1" t="s">
        <v>685</v>
      </c>
      <c r="O1634" s="1">
        <v>3</v>
      </c>
      <c r="P1634" s="1">
        <v>6</v>
      </c>
      <c r="R1634" s="1" t="s">
        <v>19</v>
      </c>
      <c r="S1634" s="1" t="s">
        <v>20</v>
      </c>
      <c r="T1634" s="1" t="s">
        <v>21</v>
      </c>
      <c r="U1634" s="1" t="s">
        <v>22</v>
      </c>
      <c r="V1634" s="1" t="s">
        <v>24</v>
      </c>
      <c r="W1634" s="1" t="s">
        <v>24</v>
      </c>
      <c r="X1634" s="1">
        <v>2700</v>
      </c>
      <c r="Y1634" s="1" t="s">
        <v>24</v>
      </c>
      <c r="Z1634" s="1" t="s">
        <v>24</v>
      </c>
      <c r="AA1634" s="1" t="s">
        <v>24</v>
      </c>
      <c r="AB1634" s="1" t="s">
        <v>24</v>
      </c>
      <c r="AC1634" s="1" t="s">
        <v>24</v>
      </c>
      <c r="AD1634" s="1" t="s">
        <v>24</v>
      </c>
      <c r="AE1634" s="1" t="s">
        <v>24</v>
      </c>
      <c r="AF1634" s="22"/>
    </row>
    <row r="1635" spans="1:32" x14ac:dyDescent="0.2">
      <c r="A1635" s="1">
        <v>10002</v>
      </c>
      <c r="B1635" s="1" t="s">
        <v>5270</v>
      </c>
      <c r="C1635" s="5" t="s">
        <v>0</v>
      </c>
      <c r="D1635" s="1" t="s">
        <v>5271</v>
      </c>
      <c r="F1635" s="1" t="s">
        <v>5272</v>
      </c>
      <c r="G1635" s="1" t="s">
        <v>5273</v>
      </c>
      <c r="H1635" s="1" t="s">
        <v>885</v>
      </c>
      <c r="I1635" s="1" t="s">
        <v>16</v>
      </c>
      <c r="J1635" s="1">
        <v>1</v>
      </c>
      <c r="K1635" s="1">
        <v>2</v>
      </c>
      <c r="L1635" s="1" t="s">
        <v>17</v>
      </c>
      <c r="M1635" s="1" t="s">
        <v>18</v>
      </c>
      <c r="N1635" s="1" t="s">
        <v>18</v>
      </c>
      <c r="O1635" s="1">
        <v>3</v>
      </c>
      <c r="P1635" s="1">
        <v>6</v>
      </c>
      <c r="R1635" s="1" t="s">
        <v>19</v>
      </c>
      <c r="S1635" s="1" t="s">
        <v>20</v>
      </c>
      <c r="T1635" s="1" t="s">
        <v>21</v>
      </c>
      <c r="U1635" s="1" t="s">
        <v>22</v>
      </c>
      <c r="V1635" s="1" t="s">
        <v>24</v>
      </c>
      <c r="W1635" s="1" t="s">
        <v>24</v>
      </c>
      <c r="X1635" s="1">
        <v>2727</v>
      </c>
      <c r="Y1635" s="1" t="s">
        <v>24</v>
      </c>
      <c r="Z1635" s="1" t="s">
        <v>24</v>
      </c>
      <c r="AA1635" s="1" t="s">
        <v>24</v>
      </c>
      <c r="AB1635" s="1" t="s">
        <v>24</v>
      </c>
      <c r="AC1635" s="1" t="s">
        <v>24</v>
      </c>
      <c r="AD1635" s="1" t="s">
        <v>24</v>
      </c>
      <c r="AE1635" s="1" t="s">
        <v>24</v>
      </c>
      <c r="AF1635" s="22"/>
    </row>
    <row r="1636" spans="1:32" x14ac:dyDescent="0.2">
      <c r="A1636" s="1">
        <v>10004</v>
      </c>
      <c r="B1636" s="1" t="s">
        <v>5274</v>
      </c>
      <c r="C1636" s="5" t="s">
        <v>0</v>
      </c>
      <c r="D1636" s="1" t="s">
        <v>5275</v>
      </c>
      <c r="E1636" s="1" t="s">
        <v>5276</v>
      </c>
      <c r="F1636" s="1" t="s">
        <v>60</v>
      </c>
      <c r="G1636" s="1" t="s">
        <v>61</v>
      </c>
      <c r="H1636" s="1" t="s">
        <v>30</v>
      </c>
      <c r="I1636" s="1" t="s">
        <v>16</v>
      </c>
      <c r="J1636" s="1">
        <v>4</v>
      </c>
      <c r="K1636" s="1">
        <v>3</v>
      </c>
      <c r="L1636" s="1" t="s">
        <v>31</v>
      </c>
      <c r="M1636" s="1" t="s">
        <v>18</v>
      </c>
      <c r="N1636" s="1" t="s">
        <v>18</v>
      </c>
      <c r="O1636" s="1">
        <v>3</v>
      </c>
      <c r="P1636" s="1">
        <v>7</v>
      </c>
      <c r="Q1636" s="7" t="s">
        <v>17633</v>
      </c>
      <c r="R1636" s="1" t="s">
        <v>62</v>
      </c>
      <c r="S1636" s="1" t="s">
        <v>20</v>
      </c>
      <c r="T1636" s="1" t="s">
        <v>21</v>
      </c>
      <c r="U1636" s="1" t="s">
        <v>22</v>
      </c>
      <c r="V1636" s="1" t="s">
        <v>24</v>
      </c>
      <c r="W1636" s="1" t="s">
        <v>24</v>
      </c>
      <c r="X1636" s="1">
        <v>1315</v>
      </c>
      <c r="Y1636" s="1" t="s">
        <v>24</v>
      </c>
      <c r="Z1636" s="1" t="s">
        <v>24</v>
      </c>
      <c r="AA1636" s="1" t="s">
        <v>24</v>
      </c>
      <c r="AB1636" s="1" t="s">
        <v>24</v>
      </c>
      <c r="AC1636" s="1" t="s">
        <v>24</v>
      </c>
      <c r="AD1636" s="1" t="s">
        <v>24</v>
      </c>
      <c r="AE1636" s="1" t="s">
        <v>24</v>
      </c>
      <c r="AF1636" s="22"/>
    </row>
    <row r="1637" spans="1:32" x14ac:dyDescent="0.2">
      <c r="A1637" s="1">
        <v>10006</v>
      </c>
      <c r="B1637" s="1" t="s">
        <v>5277</v>
      </c>
      <c r="C1637" s="5" t="s">
        <v>0</v>
      </c>
      <c r="D1637" s="1" t="s">
        <v>5278</v>
      </c>
      <c r="E1637" s="1" t="s">
        <v>5279</v>
      </c>
      <c r="F1637" s="1" t="s">
        <v>601</v>
      </c>
      <c r="G1637" s="1" t="s">
        <v>61</v>
      </c>
      <c r="H1637" s="1" t="s">
        <v>37</v>
      </c>
      <c r="I1637" s="1" t="s">
        <v>16</v>
      </c>
      <c r="J1637" s="1">
        <v>1</v>
      </c>
      <c r="K1637" s="1">
        <v>6</v>
      </c>
      <c r="L1637" s="1" t="s">
        <v>31</v>
      </c>
      <c r="M1637" s="1" t="s">
        <v>18</v>
      </c>
      <c r="N1637" s="1" t="s">
        <v>18</v>
      </c>
      <c r="O1637" s="1">
        <v>3</v>
      </c>
      <c r="P1637" s="1">
        <v>6</v>
      </c>
      <c r="R1637" s="1" t="s">
        <v>62</v>
      </c>
      <c r="S1637" s="1" t="s">
        <v>20</v>
      </c>
      <c r="T1637" s="1" t="s">
        <v>21</v>
      </c>
      <c r="U1637" s="1" t="s">
        <v>22</v>
      </c>
      <c r="V1637" s="1" t="s">
        <v>24</v>
      </c>
      <c r="W1637" s="1" t="s">
        <v>24</v>
      </c>
      <c r="X1637" s="1">
        <v>2723</v>
      </c>
      <c r="Y1637" s="1">
        <v>2403</v>
      </c>
      <c r="Z1637" s="1" t="s">
        <v>24</v>
      </c>
      <c r="AA1637" s="1" t="s">
        <v>24</v>
      </c>
      <c r="AB1637" s="1" t="s">
        <v>24</v>
      </c>
      <c r="AC1637" s="1" t="s">
        <v>24</v>
      </c>
      <c r="AD1637" s="1" t="s">
        <v>24</v>
      </c>
      <c r="AE1637" s="1" t="s">
        <v>24</v>
      </c>
      <c r="AF1637" s="22"/>
    </row>
    <row r="1638" spans="1:32" x14ac:dyDescent="0.2">
      <c r="A1638" s="1">
        <v>10007</v>
      </c>
      <c r="B1638" s="1" t="s">
        <v>5280</v>
      </c>
      <c r="C1638" s="5" t="s">
        <v>0</v>
      </c>
      <c r="D1638" s="1" t="s">
        <v>5281</v>
      </c>
      <c r="E1638" s="1" t="s">
        <v>5282</v>
      </c>
      <c r="F1638" s="1" t="s">
        <v>28</v>
      </c>
      <c r="G1638" s="1" t="s">
        <v>29</v>
      </c>
      <c r="H1638" s="1" t="s">
        <v>37</v>
      </c>
      <c r="I1638" s="1" t="s">
        <v>16</v>
      </c>
      <c r="J1638" s="1">
        <v>1</v>
      </c>
      <c r="K1638" s="1">
        <v>6</v>
      </c>
      <c r="L1638" s="1" t="s">
        <v>31</v>
      </c>
      <c r="M1638" s="1" t="s">
        <v>18</v>
      </c>
      <c r="N1638" s="1" t="s">
        <v>18</v>
      </c>
      <c r="O1638" s="1">
        <v>3</v>
      </c>
      <c r="P1638" s="1">
        <v>7</v>
      </c>
      <c r="Q1638" s="7" t="s">
        <v>17633</v>
      </c>
      <c r="R1638" s="1" t="s">
        <v>19</v>
      </c>
      <c r="S1638" s="1" t="s">
        <v>20</v>
      </c>
      <c r="T1638" s="1" t="s">
        <v>21</v>
      </c>
      <c r="U1638" s="1" t="s">
        <v>22</v>
      </c>
      <c r="V1638" s="1" t="s">
        <v>23</v>
      </c>
      <c r="W1638" s="1" t="s">
        <v>24</v>
      </c>
      <c r="X1638" s="1">
        <v>2729</v>
      </c>
      <c r="Y1638" s="1" t="s">
        <v>24</v>
      </c>
      <c r="Z1638" s="1" t="s">
        <v>24</v>
      </c>
      <c r="AA1638" s="1" t="s">
        <v>24</v>
      </c>
      <c r="AB1638" s="1" t="s">
        <v>24</v>
      </c>
      <c r="AC1638" s="1" t="s">
        <v>24</v>
      </c>
      <c r="AD1638" s="1" t="s">
        <v>24</v>
      </c>
      <c r="AE1638" s="1" t="s">
        <v>24</v>
      </c>
      <c r="AF1638" s="22"/>
    </row>
    <row r="1639" spans="1:32" x14ac:dyDescent="0.2">
      <c r="A1639" s="1">
        <v>10008</v>
      </c>
      <c r="B1639" s="1" t="s">
        <v>5283</v>
      </c>
      <c r="C1639" s="5" t="s">
        <v>0</v>
      </c>
      <c r="D1639" s="1" t="s">
        <v>5284</v>
      </c>
      <c r="E1639" s="1" t="s">
        <v>5285</v>
      </c>
      <c r="F1639" s="1" t="s">
        <v>35</v>
      </c>
      <c r="G1639" s="1" t="s">
        <v>36</v>
      </c>
      <c r="H1639" s="1" t="s">
        <v>37</v>
      </c>
      <c r="I1639" s="1" t="s">
        <v>16</v>
      </c>
      <c r="J1639" s="1">
        <v>1</v>
      </c>
      <c r="K1639" s="1">
        <v>6</v>
      </c>
      <c r="L1639" s="1" t="s">
        <v>31</v>
      </c>
      <c r="M1639" s="1" t="s">
        <v>18</v>
      </c>
      <c r="N1639" s="1" t="s">
        <v>18</v>
      </c>
      <c r="O1639" s="1">
        <v>3</v>
      </c>
      <c r="P1639" s="1">
        <v>6</v>
      </c>
      <c r="R1639" s="1" t="s">
        <v>19</v>
      </c>
      <c r="S1639" s="1" t="s">
        <v>20</v>
      </c>
      <c r="T1639" s="1" t="s">
        <v>21</v>
      </c>
      <c r="U1639" s="1" t="s">
        <v>22</v>
      </c>
      <c r="V1639" s="1" t="s">
        <v>24</v>
      </c>
      <c r="W1639" s="1" t="s">
        <v>24</v>
      </c>
      <c r="X1639" s="1">
        <v>2720</v>
      </c>
      <c r="Y1639" s="1" t="s">
        <v>24</v>
      </c>
      <c r="Z1639" s="1" t="s">
        <v>24</v>
      </c>
      <c r="AA1639" s="1" t="s">
        <v>24</v>
      </c>
      <c r="AB1639" s="1" t="s">
        <v>24</v>
      </c>
      <c r="AC1639" s="1" t="s">
        <v>24</v>
      </c>
      <c r="AD1639" s="1" t="s">
        <v>24</v>
      </c>
      <c r="AE1639" s="1" t="s">
        <v>24</v>
      </c>
      <c r="AF1639" s="22"/>
    </row>
    <row r="1640" spans="1:32" x14ac:dyDescent="0.2">
      <c r="A1640" s="1">
        <v>10009</v>
      </c>
      <c r="B1640" s="1" t="s">
        <v>5286</v>
      </c>
      <c r="C1640" s="5" t="s">
        <v>0</v>
      </c>
      <c r="D1640" s="1" t="s">
        <v>5287</v>
      </c>
      <c r="E1640" s="1" t="s">
        <v>5288</v>
      </c>
      <c r="F1640" s="1" t="s">
        <v>50</v>
      </c>
      <c r="G1640" s="1" t="s">
        <v>36</v>
      </c>
      <c r="H1640" s="1" t="s">
        <v>51</v>
      </c>
      <c r="I1640" s="1" t="s">
        <v>16</v>
      </c>
      <c r="J1640" s="1">
        <v>1</v>
      </c>
      <c r="K1640" s="1">
        <v>8</v>
      </c>
      <c r="L1640" s="1" t="s">
        <v>31</v>
      </c>
      <c r="M1640" s="1" t="s">
        <v>18</v>
      </c>
      <c r="N1640" s="1" t="s">
        <v>18</v>
      </c>
      <c r="O1640" s="1">
        <v>3</v>
      </c>
      <c r="P1640" s="1">
        <v>7</v>
      </c>
      <c r="Q1640" s="7" t="s">
        <v>17633</v>
      </c>
      <c r="R1640" s="1" t="s">
        <v>19</v>
      </c>
      <c r="S1640" s="1" t="s">
        <v>20</v>
      </c>
      <c r="T1640" s="1" t="s">
        <v>21</v>
      </c>
      <c r="U1640" s="1" t="s">
        <v>22</v>
      </c>
      <c r="V1640" s="1" t="s">
        <v>24</v>
      </c>
      <c r="W1640" s="1" t="s">
        <v>24</v>
      </c>
      <c r="X1640" s="1">
        <v>2723</v>
      </c>
      <c r="Y1640" s="1">
        <v>2735</v>
      </c>
      <c r="Z1640" s="1">
        <v>2403</v>
      </c>
      <c r="AA1640" s="1" t="s">
        <v>24</v>
      </c>
      <c r="AB1640" s="1" t="s">
        <v>24</v>
      </c>
      <c r="AC1640" s="1" t="s">
        <v>24</v>
      </c>
      <c r="AD1640" s="1" t="s">
        <v>24</v>
      </c>
      <c r="AE1640" s="1" t="s">
        <v>24</v>
      </c>
      <c r="AF1640" s="22"/>
    </row>
    <row r="1641" spans="1:32" x14ac:dyDescent="0.2">
      <c r="A1641" s="1">
        <v>10010</v>
      </c>
      <c r="B1641" s="1" t="s">
        <v>5289</v>
      </c>
      <c r="C1641" s="5" t="s">
        <v>0</v>
      </c>
      <c r="D1641" s="1" t="s">
        <v>5290</v>
      </c>
      <c r="E1641" s="1" t="s">
        <v>5291</v>
      </c>
      <c r="F1641" s="1" t="s">
        <v>109</v>
      </c>
      <c r="G1641" s="1" t="s">
        <v>110</v>
      </c>
      <c r="H1641" s="1" t="s">
        <v>111</v>
      </c>
      <c r="I1641" s="1" t="s">
        <v>16</v>
      </c>
      <c r="J1641" s="1">
        <v>2</v>
      </c>
      <c r="K1641" s="1">
        <v>6</v>
      </c>
      <c r="L1641" s="1" t="s">
        <v>31</v>
      </c>
      <c r="M1641" s="1" t="s">
        <v>18</v>
      </c>
      <c r="N1641" s="1" t="s">
        <v>18</v>
      </c>
      <c r="O1641" s="1">
        <v>3</v>
      </c>
      <c r="P1641" s="1">
        <v>7</v>
      </c>
      <c r="Q1641" s="7" t="s">
        <v>17633</v>
      </c>
      <c r="R1641" s="1" t="s">
        <v>62</v>
      </c>
      <c r="S1641" s="1" t="s">
        <v>20</v>
      </c>
      <c r="T1641" s="1" t="s">
        <v>21</v>
      </c>
      <c r="U1641" s="1" t="s">
        <v>22</v>
      </c>
      <c r="V1641" s="1" t="s">
        <v>24</v>
      </c>
      <c r="W1641" s="1" t="s">
        <v>24</v>
      </c>
      <c r="X1641" s="1">
        <v>1314</v>
      </c>
      <c r="Y1641" s="1" t="s">
        <v>24</v>
      </c>
      <c r="Z1641" s="1" t="s">
        <v>24</v>
      </c>
      <c r="AA1641" s="1" t="s">
        <v>24</v>
      </c>
      <c r="AB1641" s="1" t="s">
        <v>24</v>
      </c>
      <c r="AC1641" s="1" t="s">
        <v>24</v>
      </c>
      <c r="AD1641" s="1" t="s">
        <v>24</v>
      </c>
      <c r="AE1641" s="1" t="s">
        <v>24</v>
      </c>
      <c r="AF1641" s="22"/>
    </row>
    <row r="1642" spans="1:32" x14ac:dyDescent="0.2">
      <c r="A1642" s="1">
        <v>10011</v>
      </c>
      <c r="B1642" s="1" t="s">
        <v>5292</v>
      </c>
      <c r="C1642" s="5" t="s">
        <v>0</v>
      </c>
      <c r="D1642" s="1" t="s">
        <v>5293</v>
      </c>
      <c r="E1642" s="1" t="s">
        <v>5294</v>
      </c>
      <c r="F1642" s="1" t="s">
        <v>109</v>
      </c>
      <c r="G1642" s="1" t="s">
        <v>110</v>
      </c>
      <c r="H1642" s="1" t="s">
        <v>111</v>
      </c>
      <c r="I1642" s="1" t="s">
        <v>16</v>
      </c>
      <c r="J1642" s="1">
        <v>2</v>
      </c>
      <c r="K1642" s="1">
        <v>6</v>
      </c>
      <c r="L1642" s="1" t="s">
        <v>31</v>
      </c>
      <c r="M1642" s="1" t="s">
        <v>18</v>
      </c>
      <c r="N1642" s="1" t="s">
        <v>18</v>
      </c>
      <c r="O1642" s="1">
        <v>3</v>
      </c>
      <c r="P1642" s="1">
        <v>7</v>
      </c>
      <c r="Q1642" s="7" t="s">
        <v>17633</v>
      </c>
      <c r="R1642" s="1" t="s">
        <v>19</v>
      </c>
      <c r="S1642" s="1" t="s">
        <v>20</v>
      </c>
      <c r="T1642" s="1" t="s">
        <v>21</v>
      </c>
      <c r="U1642" s="1" t="s">
        <v>22</v>
      </c>
      <c r="V1642" s="1" t="s">
        <v>24</v>
      </c>
      <c r="W1642" s="1" t="s">
        <v>24</v>
      </c>
      <c r="X1642" s="1">
        <v>2728</v>
      </c>
      <c r="Y1642" s="1">
        <v>2808</v>
      </c>
      <c r="Z1642" s="1">
        <v>2705</v>
      </c>
      <c r="AA1642" s="1" t="s">
        <v>24</v>
      </c>
      <c r="AB1642" s="1" t="s">
        <v>24</v>
      </c>
      <c r="AC1642" s="1" t="s">
        <v>24</v>
      </c>
      <c r="AD1642" s="1" t="s">
        <v>24</v>
      </c>
      <c r="AE1642" s="1" t="s">
        <v>24</v>
      </c>
      <c r="AF1642" s="22"/>
    </row>
    <row r="1643" spans="1:32" x14ac:dyDescent="0.2">
      <c r="A1643" s="1">
        <v>10014</v>
      </c>
      <c r="B1643" s="1" t="s">
        <v>5295</v>
      </c>
      <c r="C1643" s="5" t="s">
        <v>0</v>
      </c>
      <c r="D1643" s="1" t="s">
        <v>5296</v>
      </c>
      <c r="F1643" s="1" t="s">
        <v>1278</v>
      </c>
      <c r="G1643" s="1" t="s">
        <v>1279</v>
      </c>
      <c r="H1643" s="1" t="s">
        <v>30</v>
      </c>
      <c r="I1643" s="1" t="s">
        <v>16</v>
      </c>
      <c r="J1643" s="1">
        <v>1</v>
      </c>
      <c r="K1643" s="1">
        <v>4</v>
      </c>
      <c r="L1643" s="1" t="s">
        <v>42</v>
      </c>
      <c r="M1643" s="1" t="s">
        <v>18</v>
      </c>
      <c r="N1643" s="1" t="s">
        <v>18</v>
      </c>
      <c r="O1643" s="1">
        <v>3</v>
      </c>
      <c r="P1643" s="1">
        <v>6</v>
      </c>
      <c r="R1643" s="1" t="s">
        <v>19</v>
      </c>
      <c r="S1643" s="1" t="s">
        <v>20</v>
      </c>
      <c r="T1643" s="1" t="s">
        <v>21</v>
      </c>
      <c r="U1643" s="1" t="s">
        <v>22</v>
      </c>
      <c r="V1643" s="1" t="s">
        <v>23</v>
      </c>
      <c r="W1643" s="1" t="s">
        <v>24</v>
      </c>
      <c r="X1643" s="1">
        <v>2204</v>
      </c>
      <c r="Y1643" s="1">
        <v>3500</v>
      </c>
      <c r="Z1643" s="1" t="s">
        <v>24</v>
      </c>
      <c r="AA1643" s="1" t="s">
        <v>24</v>
      </c>
      <c r="AB1643" s="1" t="s">
        <v>24</v>
      </c>
      <c r="AC1643" s="1" t="s">
        <v>24</v>
      </c>
      <c r="AD1643" s="1" t="s">
        <v>24</v>
      </c>
      <c r="AE1643" s="1" t="s">
        <v>24</v>
      </c>
      <c r="AF1643" s="22"/>
    </row>
    <row r="1644" spans="1:32" x14ac:dyDescent="0.2">
      <c r="A1644" s="1">
        <v>10015</v>
      </c>
      <c r="B1644" s="1" t="s">
        <v>5297</v>
      </c>
      <c r="C1644" s="5" t="s">
        <v>0</v>
      </c>
      <c r="D1644" s="1" t="s">
        <v>5298</v>
      </c>
      <c r="E1644" s="1" t="s">
        <v>5299</v>
      </c>
      <c r="F1644" s="1" t="s">
        <v>310</v>
      </c>
      <c r="G1644" s="1" t="s">
        <v>311</v>
      </c>
      <c r="H1644" s="1" t="s">
        <v>37</v>
      </c>
      <c r="I1644" s="1" t="s">
        <v>16</v>
      </c>
      <c r="J1644" s="1">
        <v>1</v>
      </c>
      <c r="K1644" s="1">
        <v>24</v>
      </c>
      <c r="L1644" s="1" t="s">
        <v>31</v>
      </c>
      <c r="M1644" s="1" t="s">
        <v>105</v>
      </c>
      <c r="N1644" s="1" t="s">
        <v>18</v>
      </c>
      <c r="O1644" s="1">
        <v>2</v>
      </c>
      <c r="P1644" s="1">
        <v>6</v>
      </c>
      <c r="R1644" s="1" t="s">
        <v>19</v>
      </c>
      <c r="S1644" s="1" t="s">
        <v>20</v>
      </c>
      <c r="T1644" s="1" t="s">
        <v>21</v>
      </c>
      <c r="U1644" s="1" t="s">
        <v>22</v>
      </c>
      <c r="V1644" s="1" t="s">
        <v>24</v>
      </c>
      <c r="W1644" s="1" t="s">
        <v>24</v>
      </c>
      <c r="X1644" s="1">
        <v>2304</v>
      </c>
      <c r="Y1644" s="1">
        <v>2311</v>
      </c>
      <c r="Z1644" s="1">
        <v>2312</v>
      </c>
      <c r="AA1644" s="1" t="s">
        <v>24</v>
      </c>
      <c r="AB1644" s="1" t="s">
        <v>24</v>
      </c>
      <c r="AC1644" s="1" t="s">
        <v>24</v>
      </c>
      <c r="AD1644" s="1" t="s">
        <v>24</v>
      </c>
      <c r="AE1644" s="1" t="s">
        <v>24</v>
      </c>
      <c r="AF1644" s="22"/>
    </row>
    <row r="1645" spans="1:32" x14ac:dyDescent="0.2">
      <c r="A1645" s="1">
        <v>10018</v>
      </c>
      <c r="B1645" s="1" t="s">
        <v>5300</v>
      </c>
      <c r="C1645" s="5" t="s">
        <v>0</v>
      </c>
      <c r="D1645" s="1" t="s">
        <v>5301</v>
      </c>
      <c r="E1645" s="1" t="s">
        <v>5302</v>
      </c>
      <c r="F1645" s="1" t="s">
        <v>60</v>
      </c>
      <c r="G1645" s="1" t="s">
        <v>61</v>
      </c>
      <c r="H1645" s="1" t="s">
        <v>30</v>
      </c>
      <c r="I1645" s="1" t="s">
        <v>16</v>
      </c>
      <c r="J1645" s="1">
        <v>1</v>
      </c>
      <c r="K1645" s="1">
        <v>4</v>
      </c>
      <c r="L1645" s="1" t="s">
        <v>31</v>
      </c>
      <c r="M1645" s="1" t="s">
        <v>18</v>
      </c>
      <c r="N1645" s="1" t="s">
        <v>18</v>
      </c>
      <c r="O1645" s="1">
        <v>3</v>
      </c>
      <c r="P1645" s="1">
        <v>7</v>
      </c>
      <c r="Q1645" s="7" t="s">
        <v>17633</v>
      </c>
      <c r="R1645" s="1" t="s">
        <v>62</v>
      </c>
      <c r="S1645" s="1" t="s">
        <v>20</v>
      </c>
      <c r="T1645" s="1" t="s">
        <v>21</v>
      </c>
      <c r="U1645" s="1" t="s">
        <v>22</v>
      </c>
      <c r="V1645" s="1" t="s">
        <v>24</v>
      </c>
      <c r="W1645" s="1" t="s">
        <v>24</v>
      </c>
      <c r="X1645" s="1">
        <v>2807</v>
      </c>
      <c r="Y1645" s="1" t="s">
        <v>24</v>
      </c>
      <c r="Z1645" s="1" t="s">
        <v>24</v>
      </c>
      <c r="AA1645" s="1" t="s">
        <v>24</v>
      </c>
      <c r="AB1645" s="1" t="s">
        <v>24</v>
      </c>
      <c r="AC1645" s="1" t="s">
        <v>24</v>
      </c>
      <c r="AD1645" s="1" t="s">
        <v>24</v>
      </c>
      <c r="AE1645" s="1" t="s">
        <v>24</v>
      </c>
      <c r="AF1645" s="22"/>
    </row>
    <row r="1646" spans="1:32" x14ac:dyDescent="0.2">
      <c r="A1646" s="1">
        <v>10019</v>
      </c>
      <c r="B1646" s="1" t="s">
        <v>5303</v>
      </c>
      <c r="C1646" s="5" t="s">
        <v>0</v>
      </c>
      <c r="D1646" s="1" t="s">
        <v>5304</v>
      </c>
      <c r="E1646" s="1" t="s">
        <v>5305</v>
      </c>
      <c r="F1646" s="1" t="s">
        <v>28</v>
      </c>
      <c r="G1646" s="1" t="s">
        <v>29</v>
      </c>
      <c r="H1646" s="1" t="s">
        <v>37</v>
      </c>
      <c r="I1646" s="1" t="s">
        <v>16</v>
      </c>
      <c r="J1646" s="1">
        <v>1</v>
      </c>
      <c r="K1646" s="1">
        <v>8</v>
      </c>
      <c r="L1646" s="1" t="s">
        <v>31</v>
      </c>
      <c r="M1646" s="1" t="s">
        <v>18</v>
      </c>
      <c r="N1646" s="1" t="s">
        <v>18</v>
      </c>
      <c r="O1646" s="1">
        <v>3</v>
      </c>
      <c r="P1646" s="1">
        <v>7</v>
      </c>
      <c r="Q1646" s="7" t="s">
        <v>17633</v>
      </c>
      <c r="R1646" s="1" t="s">
        <v>19</v>
      </c>
      <c r="S1646" s="1" t="s">
        <v>20</v>
      </c>
      <c r="T1646" s="1" t="s">
        <v>21</v>
      </c>
      <c r="U1646" s="1" t="s">
        <v>22</v>
      </c>
      <c r="V1646" s="1" t="s">
        <v>24</v>
      </c>
      <c r="W1646" s="1" t="s">
        <v>24</v>
      </c>
      <c r="X1646" s="1">
        <v>2720</v>
      </c>
      <c r="Y1646" s="1" t="s">
        <v>24</v>
      </c>
      <c r="Z1646" s="1" t="s">
        <v>24</v>
      </c>
      <c r="AA1646" s="1" t="s">
        <v>24</v>
      </c>
      <c r="AB1646" s="1" t="s">
        <v>24</v>
      </c>
      <c r="AC1646" s="1" t="s">
        <v>24</v>
      </c>
      <c r="AD1646" s="1" t="s">
        <v>24</v>
      </c>
      <c r="AE1646" s="1" t="s">
        <v>24</v>
      </c>
      <c r="AF1646" s="22"/>
    </row>
    <row r="1647" spans="1:32" x14ac:dyDescent="0.2">
      <c r="A1647" s="1">
        <v>10023</v>
      </c>
      <c r="B1647" s="1" t="s">
        <v>5306</v>
      </c>
      <c r="C1647" s="5" t="s">
        <v>0</v>
      </c>
      <c r="D1647" s="1" t="s">
        <v>5307</v>
      </c>
      <c r="E1647" s="1" t="s">
        <v>5308</v>
      </c>
      <c r="F1647" s="1" t="s">
        <v>155</v>
      </c>
      <c r="G1647" s="1" t="s">
        <v>61</v>
      </c>
      <c r="H1647" s="1" t="s">
        <v>37</v>
      </c>
      <c r="I1647" s="1" t="s">
        <v>16</v>
      </c>
      <c r="J1647" s="1">
        <v>1</v>
      </c>
      <c r="K1647" s="1">
        <v>10</v>
      </c>
      <c r="L1647" s="1" t="s">
        <v>31</v>
      </c>
      <c r="M1647" s="1" t="s">
        <v>18</v>
      </c>
      <c r="N1647" s="1" t="s">
        <v>18</v>
      </c>
      <c r="O1647" s="1">
        <v>3</v>
      </c>
      <c r="P1647" s="1">
        <v>7</v>
      </c>
      <c r="Q1647" s="7" t="s">
        <v>17633</v>
      </c>
      <c r="R1647" s="1" t="s">
        <v>19</v>
      </c>
      <c r="S1647" s="1" t="s">
        <v>20</v>
      </c>
      <c r="T1647" s="1" t="s">
        <v>21</v>
      </c>
      <c r="U1647" s="1" t="s">
        <v>22</v>
      </c>
      <c r="V1647" s="1" t="s">
        <v>23</v>
      </c>
      <c r="W1647" s="1" t="s">
        <v>24</v>
      </c>
      <c r="X1647" s="1">
        <v>2730</v>
      </c>
      <c r="Y1647" s="1">
        <v>2741</v>
      </c>
      <c r="Z1647" s="1" t="s">
        <v>24</v>
      </c>
      <c r="AA1647" s="1" t="s">
        <v>24</v>
      </c>
      <c r="AB1647" s="1" t="s">
        <v>24</v>
      </c>
      <c r="AC1647" s="1" t="s">
        <v>24</v>
      </c>
      <c r="AD1647" s="1" t="s">
        <v>24</v>
      </c>
      <c r="AE1647" s="1" t="s">
        <v>24</v>
      </c>
      <c r="AF1647" s="22"/>
    </row>
    <row r="1648" spans="1:32" x14ac:dyDescent="0.2">
      <c r="A1648" s="1">
        <v>10026</v>
      </c>
      <c r="B1648" s="1" t="s">
        <v>5309</v>
      </c>
      <c r="C1648" s="5" t="s">
        <v>0</v>
      </c>
      <c r="D1648" s="1" t="s">
        <v>5310</v>
      </c>
      <c r="E1648" s="1" t="s">
        <v>5311</v>
      </c>
      <c r="F1648" s="1" t="s">
        <v>109</v>
      </c>
      <c r="G1648" s="1" t="s">
        <v>110</v>
      </c>
      <c r="H1648" s="1" t="s">
        <v>111</v>
      </c>
      <c r="I1648" s="1" t="s">
        <v>16</v>
      </c>
      <c r="J1648" s="1">
        <v>1</v>
      </c>
      <c r="K1648" s="1">
        <v>4</v>
      </c>
      <c r="L1648" s="1" t="s">
        <v>31</v>
      </c>
      <c r="M1648" s="1" t="s">
        <v>18</v>
      </c>
      <c r="N1648" s="1" t="s">
        <v>18</v>
      </c>
      <c r="O1648" s="1">
        <v>3</v>
      </c>
      <c r="P1648" s="1">
        <v>7</v>
      </c>
      <c r="Q1648" s="7" t="s">
        <v>17633</v>
      </c>
      <c r="R1648" s="1" t="s">
        <v>19</v>
      </c>
      <c r="S1648" s="1" t="s">
        <v>20</v>
      </c>
      <c r="T1648" s="1" t="s">
        <v>21</v>
      </c>
      <c r="U1648" s="1" t="s">
        <v>22</v>
      </c>
      <c r="V1648" s="1" t="s">
        <v>24</v>
      </c>
      <c r="W1648" s="1" t="s">
        <v>24</v>
      </c>
      <c r="X1648" s="1">
        <v>2715</v>
      </c>
      <c r="Y1648" s="1" t="s">
        <v>24</v>
      </c>
      <c r="Z1648" s="1" t="s">
        <v>24</v>
      </c>
      <c r="AA1648" s="1" t="s">
        <v>24</v>
      </c>
      <c r="AB1648" s="1" t="s">
        <v>24</v>
      </c>
      <c r="AC1648" s="1" t="s">
        <v>24</v>
      </c>
      <c r="AD1648" s="1" t="s">
        <v>24</v>
      </c>
      <c r="AE1648" s="1" t="s">
        <v>24</v>
      </c>
      <c r="AF1648" s="22"/>
    </row>
    <row r="1649" spans="1:32" x14ac:dyDescent="0.2">
      <c r="A1649" s="1">
        <v>10030</v>
      </c>
      <c r="B1649" s="1" t="s">
        <v>5312</v>
      </c>
      <c r="C1649" s="5" t="s">
        <v>0</v>
      </c>
      <c r="D1649" s="1" t="s">
        <v>5313</v>
      </c>
      <c r="E1649" s="1" t="s">
        <v>5314</v>
      </c>
      <c r="F1649" s="1" t="s">
        <v>272</v>
      </c>
      <c r="G1649" s="1" t="s">
        <v>61</v>
      </c>
      <c r="H1649" s="1" t="s">
        <v>30</v>
      </c>
      <c r="I1649" s="1" t="s">
        <v>16</v>
      </c>
      <c r="J1649" s="1">
        <v>1</v>
      </c>
      <c r="K1649" s="1">
        <v>8</v>
      </c>
      <c r="L1649" s="1" t="s">
        <v>31</v>
      </c>
      <c r="M1649" s="1" t="s">
        <v>18</v>
      </c>
      <c r="N1649" s="1" t="s">
        <v>18</v>
      </c>
      <c r="O1649" s="1">
        <v>3</v>
      </c>
      <c r="P1649" s="1">
        <v>7</v>
      </c>
      <c r="Q1649" s="7" t="s">
        <v>17633</v>
      </c>
      <c r="R1649" s="1" t="s">
        <v>19</v>
      </c>
      <c r="S1649" s="1" t="s">
        <v>20</v>
      </c>
      <c r="T1649" s="1" t="s">
        <v>21</v>
      </c>
      <c r="U1649" s="1" t="s">
        <v>22</v>
      </c>
      <c r="V1649" s="1" t="s">
        <v>23</v>
      </c>
      <c r="W1649" s="1" t="s">
        <v>24</v>
      </c>
      <c r="X1649" s="1">
        <v>2703</v>
      </c>
      <c r="Y1649" s="1" t="s">
        <v>24</v>
      </c>
      <c r="Z1649" s="1" t="s">
        <v>24</v>
      </c>
      <c r="AA1649" s="1" t="s">
        <v>24</v>
      </c>
      <c r="AB1649" s="1" t="s">
        <v>24</v>
      </c>
      <c r="AC1649" s="1" t="s">
        <v>24</v>
      </c>
      <c r="AD1649" s="1" t="s">
        <v>24</v>
      </c>
      <c r="AE1649" s="1" t="s">
        <v>24</v>
      </c>
      <c r="AF1649" s="22"/>
    </row>
    <row r="1650" spans="1:32" x14ac:dyDescent="0.2">
      <c r="A1650" s="1">
        <v>10032</v>
      </c>
      <c r="B1650" s="1" t="s">
        <v>5315</v>
      </c>
      <c r="C1650" s="5" t="s">
        <v>0</v>
      </c>
      <c r="D1650" s="1" t="s">
        <v>5316</v>
      </c>
      <c r="E1650" s="1" t="s">
        <v>5317</v>
      </c>
      <c r="F1650" s="1" t="s">
        <v>601</v>
      </c>
      <c r="G1650" s="1" t="s">
        <v>61</v>
      </c>
      <c r="H1650" s="1" t="s">
        <v>37</v>
      </c>
      <c r="I1650" s="1" t="s">
        <v>16</v>
      </c>
      <c r="J1650" s="1">
        <v>4</v>
      </c>
      <c r="K1650" s="1">
        <v>3</v>
      </c>
      <c r="L1650" s="1" t="s">
        <v>31</v>
      </c>
      <c r="M1650" s="1" t="s">
        <v>18</v>
      </c>
      <c r="N1650" s="1" t="s">
        <v>18</v>
      </c>
      <c r="O1650" s="1">
        <v>3</v>
      </c>
      <c r="P1650" s="1">
        <v>7</v>
      </c>
      <c r="Q1650" s="7" t="s">
        <v>17633</v>
      </c>
      <c r="R1650" s="1" t="s">
        <v>19</v>
      </c>
      <c r="S1650" s="1" t="s">
        <v>63</v>
      </c>
      <c r="T1650" s="1" t="s">
        <v>21</v>
      </c>
      <c r="U1650" s="1" t="s">
        <v>22</v>
      </c>
      <c r="V1650" s="1" t="s">
        <v>24</v>
      </c>
      <c r="W1650" s="1" t="s">
        <v>24</v>
      </c>
      <c r="X1650" s="1">
        <v>2403</v>
      </c>
      <c r="Y1650" s="1">
        <v>2723</v>
      </c>
      <c r="Z1650" s="1">
        <v>2720</v>
      </c>
      <c r="AA1650" s="1">
        <v>1303</v>
      </c>
      <c r="AB1650" s="1">
        <v>1312</v>
      </c>
      <c r="AC1650" s="1" t="s">
        <v>24</v>
      </c>
      <c r="AD1650" s="1" t="s">
        <v>24</v>
      </c>
      <c r="AE1650" s="1" t="s">
        <v>24</v>
      </c>
      <c r="AF1650" s="22"/>
    </row>
    <row r="1651" spans="1:32" x14ac:dyDescent="0.2">
      <c r="A1651" s="1">
        <v>10033</v>
      </c>
      <c r="B1651" s="1" t="s">
        <v>5318</v>
      </c>
      <c r="C1651" s="5" t="s">
        <v>0</v>
      </c>
      <c r="D1651" s="1" t="s">
        <v>5319</v>
      </c>
      <c r="E1651" s="1" t="s">
        <v>5320</v>
      </c>
      <c r="F1651" s="1" t="s">
        <v>155</v>
      </c>
      <c r="G1651" s="1" t="s">
        <v>61</v>
      </c>
      <c r="H1651" s="1" t="s">
        <v>37</v>
      </c>
      <c r="I1651" s="1" t="s">
        <v>16</v>
      </c>
      <c r="J1651" s="1">
        <v>1</v>
      </c>
      <c r="K1651" s="1">
        <v>6</v>
      </c>
      <c r="L1651" s="1" t="s">
        <v>31</v>
      </c>
      <c r="M1651" s="1" t="s">
        <v>18</v>
      </c>
      <c r="N1651" s="1" t="s">
        <v>18</v>
      </c>
      <c r="O1651" s="1">
        <v>3</v>
      </c>
      <c r="P1651" s="1">
        <v>7</v>
      </c>
      <c r="Q1651" s="7" t="s">
        <v>17633</v>
      </c>
      <c r="R1651" s="1" t="s">
        <v>19</v>
      </c>
      <c r="S1651" s="1" t="s">
        <v>20</v>
      </c>
      <c r="T1651" s="1" t="s">
        <v>21</v>
      </c>
      <c r="U1651" s="1" t="s">
        <v>22</v>
      </c>
      <c r="V1651" s="1" t="s">
        <v>23</v>
      </c>
      <c r="W1651" s="1" t="s">
        <v>24</v>
      </c>
      <c r="X1651" s="1">
        <v>2801</v>
      </c>
      <c r="Y1651" s="1">
        <v>1304</v>
      </c>
      <c r="Z1651" s="1">
        <v>2728</v>
      </c>
      <c r="AA1651" s="1" t="s">
        <v>24</v>
      </c>
      <c r="AB1651" s="1" t="s">
        <v>24</v>
      </c>
      <c r="AC1651" s="1" t="s">
        <v>24</v>
      </c>
      <c r="AD1651" s="1" t="s">
        <v>24</v>
      </c>
      <c r="AE1651" s="1" t="s">
        <v>24</v>
      </c>
      <c r="AF1651" s="22"/>
    </row>
    <row r="1652" spans="1:32" x14ac:dyDescent="0.2">
      <c r="A1652" s="1">
        <v>10041</v>
      </c>
      <c r="B1652" s="1" t="s">
        <v>5321</v>
      </c>
      <c r="C1652" s="5" t="s">
        <v>0</v>
      </c>
      <c r="D1652" s="1" t="s">
        <v>5322</v>
      </c>
      <c r="E1652" s="1" t="s">
        <v>5323</v>
      </c>
      <c r="F1652" s="1" t="s">
        <v>1890</v>
      </c>
      <c r="G1652" s="1" t="s">
        <v>1890</v>
      </c>
      <c r="H1652" s="1" t="s">
        <v>684</v>
      </c>
      <c r="I1652" s="1" t="s">
        <v>16</v>
      </c>
      <c r="J1652" s="1">
        <v>1</v>
      </c>
      <c r="K1652" s="1">
        <v>6</v>
      </c>
      <c r="L1652" s="1" t="s">
        <v>42</v>
      </c>
      <c r="M1652" s="1" t="s">
        <v>18</v>
      </c>
      <c r="N1652" s="1" t="s">
        <v>18</v>
      </c>
      <c r="O1652" s="1">
        <v>3</v>
      </c>
      <c r="P1652" s="1">
        <v>6</v>
      </c>
      <c r="R1652" s="1" t="s">
        <v>19</v>
      </c>
      <c r="S1652" s="1" t="s">
        <v>20</v>
      </c>
      <c r="T1652" s="1" t="s">
        <v>21</v>
      </c>
      <c r="U1652" s="1" t="s">
        <v>22</v>
      </c>
      <c r="V1652" s="1" t="s">
        <v>24</v>
      </c>
      <c r="W1652" s="1" t="s">
        <v>24</v>
      </c>
      <c r="X1652" s="1">
        <v>2727</v>
      </c>
      <c r="Y1652" s="1" t="s">
        <v>24</v>
      </c>
      <c r="Z1652" s="1" t="s">
        <v>24</v>
      </c>
      <c r="AA1652" s="1" t="s">
        <v>24</v>
      </c>
      <c r="AB1652" s="1" t="s">
        <v>24</v>
      </c>
      <c r="AC1652" s="1" t="s">
        <v>24</v>
      </c>
      <c r="AD1652" s="1" t="s">
        <v>24</v>
      </c>
      <c r="AE1652" s="1" t="s">
        <v>24</v>
      </c>
      <c r="AF1652" s="22"/>
    </row>
    <row r="1653" spans="1:32" x14ac:dyDescent="0.2">
      <c r="A1653" s="1">
        <v>10044</v>
      </c>
      <c r="B1653" s="1" t="s">
        <v>5324</v>
      </c>
      <c r="C1653" s="5" t="s">
        <v>0</v>
      </c>
      <c r="D1653" s="1" t="s">
        <v>5325</v>
      </c>
      <c r="E1653" s="1" t="s">
        <v>5326</v>
      </c>
      <c r="F1653" s="1" t="s">
        <v>50</v>
      </c>
      <c r="G1653" s="1" t="s">
        <v>36</v>
      </c>
      <c r="H1653" s="1" t="s">
        <v>51</v>
      </c>
      <c r="I1653" s="1" t="s">
        <v>16</v>
      </c>
      <c r="J1653" s="1">
        <v>1</v>
      </c>
      <c r="K1653" s="1">
        <v>6</v>
      </c>
      <c r="L1653" s="1" t="s">
        <v>31</v>
      </c>
      <c r="M1653" s="1" t="s">
        <v>18</v>
      </c>
      <c r="N1653" s="1" t="s">
        <v>18</v>
      </c>
      <c r="O1653" s="1">
        <v>3</v>
      </c>
      <c r="P1653" s="1">
        <v>7</v>
      </c>
      <c r="Q1653" s="7" t="s">
        <v>17633</v>
      </c>
      <c r="R1653" s="1" t="s">
        <v>19</v>
      </c>
      <c r="S1653" s="1" t="s">
        <v>20</v>
      </c>
      <c r="T1653" s="1" t="s">
        <v>21</v>
      </c>
      <c r="U1653" s="1" t="s">
        <v>22</v>
      </c>
      <c r="V1653" s="1" t="s">
        <v>24</v>
      </c>
      <c r="W1653" s="1" t="s">
        <v>24</v>
      </c>
      <c r="X1653" s="1">
        <v>2708</v>
      </c>
      <c r="Y1653" s="1">
        <v>2723</v>
      </c>
      <c r="Z1653" s="1">
        <v>2403</v>
      </c>
      <c r="AA1653" s="1">
        <v>2741</v>
      </c>
      <c r="AB1653" s="1" t="s">
        <v>24</v>
      </c>
      <c r="AC1653" s="1" t="s">
        <v>24</v>
      </c>
      <c r="AD1653" s="1" t="s">
        <v>24</v>
      </c>
      <c r="AE1653" s="1" t="s">
        <v>24</v>
      </c>
      <c r="AF1653" s="22"/>
    </row>
    <row r="1654" spans="1:32" x14ac:dyDescent="0.2">
      <c r="A1654" s="1">
        <v>10049</v>
      </c>
      <c r="B1654" s="1" t="s">
        <v>5327</v>
      </c>
      <c r="C1654" s="5" t="s">
        <v>0</v>
      </c>
      <c r="D1654" s="1" t="s">
        <v>5328</v>
      </c>
      <c r="E1654" s="1" t="s">
        <v>5329</v>
      </c>
      <c r="F1654" s="1" t="s">
        <v>28</v>
      </c>
      <c r="G1654" s="1" t="s">
        <v>29</v>
      </c>
      <c r="H1654" s="1" t="s">
        <v>30</v>
      </c>
      <c r="I1654" s="1" t="s">
        <v>16</v>
      </c>
      <c r="J1654" s="1">
        <v>1</v>
      </c>
      <c r="K1654" s="1">
        <v>6</v>
      </c>
      <c r="L1654" s="1" t="s">
        <v>31</v>
      </c>
      <c r="M1654" s="1" t="s">
        <v>18</v>
      </c>
      <c r="N1654" s="1" t="s">
        <v>18</v>
      </c>
      <c r="O1654" s="1">
        <v>3</v>
      </c>
      <c r="P1654" s="1">
        <v>7</v>
      </c>
      <c r="Q1654" s="7" t="s">
        <v>17633</v>
      </c>
      <c r="R1654" s="1" t="s">
        <v>19</v>
      </c>
      <c r="S1654" s="1" t="s">
        <v>20</v>
      </c>
      <c r="T1654" s="1" t="s">
        <v>21</v>
      </c>
      <c r="U1654" s="1" t="s">
        <v>22</v>
      </c>
      <c r="V1654" s="1" t="s">
        <v>23</v>
      </c>
      <c r="W1654" s="1" t="s">
        <v>24</v>
      </c>
      <c r="X1654" s="1">
        <v>2731</v>
      </c>
      <c r="Y1654" s="1" t="s">
        <v>24</v>
      </c>
      <c r="Z1654" s="1" t="s">
        <v>24</v>
      </c>
      <c r="AA1654" s="1" t="s">
        <v>24</v>
      </c>
      <c r="AB1654" s="1" t="s">
        <v>24</v>
      </c>
      <c r="AC1654" s="1" t="s">
        <v>24</v>
      </c>
      <c r="AD1654" s="1" t="s">
        <v>24</v>
      </c>
      <c r="AE1654" s="1" t="s">
        <v>24</v>
      </c>
      <c r="AF1654" s="22"/>
    </row>
    <row r="1655" spans="1:32" x14ac:dyDescent="0.2">
      <c r="A1655" s="1">
        <v>10050</v>
      </c>
      <c r="B1655" s="1" t="s">
        <v>5330</v>
      </c>
      <c r="C1655" s="5" t="s">
        <v>0</v>
      </c>
      <c r="D1655" s="1" t="s">
        <v>5331</v>
      </c>
      <c r="E1655" s="1" t="s">
        <v>5332</v>
      </c>
      <c r="F1655" s="1" t="s">
        <v>28</v>
      </c>
      <c r="G1655" s="1" t="s">
        <v>29</v>
      </c>
      <c r="H1655" s="1" t="s">
        <v>30</v>
      </c>
      <c r="I1655" s="1" t="s">
        <v>16</v>
      </c>
      <c r="J1655" s="1">
        <v>1</v>
      </c>
      <c r="K1655" s="1">
        <v>6</v>
      </c>
      <c r="L1655" s="1" t="s">
        <v>31</v>
      </c>
      <c r="M1655" s="1" t="s">
        <v>18</v>
      </c>
      <c r="N1655" s="1" t="s">
        <v>18</v>
      </c>
      <c r="O1655" s="1">
        <v>3</v>
      </c>
      <c r="P1655" s="1">
        <v>7</v>
      </c>
      <c r="Q1655" s="7" t="s">
        <v>17633</v>
      </c>
      <c r="R1655" s="1" t="s">
        <v>62</v>
      </c>
      <c r="S1655" s="1" t="s">
        <v>20</v>
      </c>
      <c r="T1655" s="1" t="s">
        <v>21</v>
      </c>
      <c r="U1655" s="1" t="s">
        <v>22</v>
      </c>
      <c r="V1655" s="1" t="s">
        <v>23</v>
      </c>
      <c r="W1655" s="1" t="s">
        <v>24</v>
      </c>
      <c r="X1655" s="1">
        <v>1306</v>
      </c>
      <c r="Y1655" s="1">
        <v>2730</v>
      </c>
      <c r="Z1655" s="1" t="s">
        <v>24</v>
      </c>
      <c r="AA1655" s="1" t="s">
        <v>24</v>
      </c>
      <c r="AB1655" s="1" t="s">
        <v>24</v>
      </c>
      <c r="AC1655" s="1" t="s">
        <v>24</v>
      </c>
      <c r="AD1655" s="1" t="s">
        <v>24</v>
      </c>
      <c r="AE1655" s="1" t="s">
        <v>24</v>
      </c>
      <c r="AF1655" s="22"/>
    </row>
    <row r="1656" spans="1:32" x14ac:dyDescent="0.2">
      <c r="A1656" s="1">
        <v>10051</v>
      </c>
      <c r="B1656" s="1" t="s">
        <v>5333</v>
      </c>
      <c r="C1656" s="5" t="s">
        <v>0</v>
      </c>
      <c r="D1656" s="1" t="s">
        <v>5334</v>
      </c>
      <c r="E1656" s="1" t="s">
        <v>5335</v>
      </c>
      <c r="F1656" s="1" t="s">
        <v>1887</v>
      </c>
      <c r="G1656" s="1" t="s">
        <v>254</v>
      </c>
      <c r="H1656" s="1" t="s">
        <v>168</v>
      </c>
      <c r="I1656" s="1" t="s">
        <v>16</v>
      </c>
      <c r="J1656" s="1">
        <v>1</v>
      </c>
      <c r="K1656" s="1">
        <v>4</v>
      </c>
      <c r="L1656" s="1" t="s">
        <v>31</v>
      </c>
      <c r="M1656" s="1" t="s">
        <v>18</v>
      </c>
      <c r="N1656" s="1" t="s">
        <v>18</v>
      </c>
      <c r="O1656" s="1">
        <v>0</v>
      </c>
      <c r="P1656" s="1">
        <v>6</v>
      </c>
      <c r="R1656" s="1" t="s">
        <v>19</v>
      </c>
      <c r="S1656" s="1" t="s">
        <v>20</v>
      </c>
      <c r="T1656" s="1" t="s">
        <v>21</v>
      </c>
      <c r="U1656" s="1" t="s">
        <v>22</v>
      </c>
      <c r="V1656" s="1" t="s">
        <v>24</v>
      </c>
      <c r="W1656" s="1" t="s">
        <v>24</v>
      </c>
      <c r="X1656" s="1">
        <v>3004</v>
      </c>
      <c r="Y1656" s="1">
        <v>3002</v>
      </c>
      <c r="Z1656" s="1">
        <v>1314</v>
      </c>
      <c r="AA1656" s="1" t="s">
        <v>24</v>
      </c>
      <c r="AB1656" s="1" t="s">
        <v>24</v>
      </c>
      <c r="AC1656" s="1" t="s">
        <v>24</v>
      </c>
      <c r="AD1656" s="1" t="s">
        <v>24</v>
      </c>
      <c r="AE1656" s="1" t="s">
        <v>24</v>
      </c>
      <c r="AF1656" s="22"/>
    </row>
    <row r="1657" spans="1:32" x14ac:dyDescent="0.2">
      <c r="A1657" s="1">
        <v>10055</v>
      </c>
      <c r="B1657" s="1" t="s">
        <v>5336</v>
      </c>
      <c r="C1657" s="5" t="s">
        <v>0</v>
      </c>
      <c r="D1657" s="1" t="s">
        <v>5337</v>
      </c>
      <c r="E1657" s="1" t="s">
        <v>5338</v>
      </c>
      <c r="F1657" s="1" t="s">
        <v>5339</v>
      </c>
      <c r="G1657" s="1" t="s">
        <v>5339</v>
      </c>
      <c r="H1657" s="1" t="s">
        <v>30</v>
      </c>
      <c r="I1657" s="1" t="s">
        <v>16</v>
      </c>
      <c r="J1657" s="1">
        <v>1</v>
      </c>
      <c r="K1657" s="1">
        <v>12</v>
      </c>
      <c r="L1657" s="1" t="s">
        <v>42</v>
      </c>
      <c r="M1657" s="1" t="s">
        <v>18</v>
      </c>
      <c r="N1657" s="1" t="s">
        <v>18</v>
      </c>
      <c r="O1657" s="1">
        <v>3</v>
      </c>
      <c r="P1657" s="1">
        <v>7</v>
      </c>
      <c r="Q1657" s="7" t="s">
        <v>17633</v>
      </c>
      <c r="R1657" s="1" t="s">
        <v>62</v>
      </c>
      <c r="S1657" s="1" t="s">
        <v>20</v>
      </c>
      <c r="T1657" s="1" t="s">
        <v>21</v>
      </c>
      <c r="U1657" s="1" t="s">
        <v>22</v>
      </c>
      <c r="V1657" s="1" t="s">
        <v>24</v>
      </c>
      <c r="W1657" s="1" t="s">
        <v>24</v>
      </c>
      <c r="X1657" s="1">
        <v>2727</v>
      </c>
      <c r="Y1657" s="1" t="s">
        <v>24</v>
      </c>
      <c r="Z1657" s="1" t="s">
        <v>24</v>
      </c>
      <c r="AA1657" s="1" t="s">
        <v>24</v>
      </c>
      <c r="AB1657" s="1" t="s">
        <v>24</v>
      </c>
      <c r="AC1657" s="1" t="s">
        <v>24</v>
      </c>
      <c r="AD1657" s="1" t="s">
        <v>24</v>
      </c>
      <c r="AE1657" s="1" t="s">
        <v>24</v>
      </c>
      <c r="AF1657" s="22"/>
    </row>
    <row r="1658" spans="1:32" x14ac:dyDescent="0.2">
      <c r="A1658" s="1">
        <v>10057</v>
      </c>
      <c r="B1658" s="1" t="s">
        <v>5340</v>
      </c>
      <c r="C1658" s="5" t="s">
        <v>0</v>
      </c>
      <c r="D1658" s="1" t="s">
        <v>5341</v>
      </c>
      <c r="E1658" s="1" t="s">
        <v>5342</v>
      </c>
      <c r="F1658" s="1" t="s">
        <v>28</v>
      </c>
      <c r="G1658" s="1" t="s">
        <v>29</v>
      </c>
      <c r="H1658" s="1" t="s">
        <v>37</v>
      </c>
      <c r="I1658" s="1" t="s">
        <v>16</v>
      </c>
      <c r="J1658" s="1">
        <v>1</v>
      </c>
      <c r="K1658" s="1">
        <v>10</v>
      </c>
      <c r="L1658" s="1" t="s">
        <v>31</v>
      </c>
      <c r="M1658" s="1" t="s">
        <v>18</v>
      </c>
      <c r="N1658" s="1" t="s">
        <v>18</v>
      </c>
      <c r="O1658" s="1">
        <v>3</v>
      </c>
      <c r="P1658" s="1">
        <v>7</v>
      </c>
      <c r="Q1658" s="7" t="s">
        <v>17633</v>
      </c>
      <c r="R1658" s="1" t="s">
        <v>19</v>
      </c>
      <c r="S1658" s="1" t="s">
        <v>20</v>
      </c>
      <c r="T1658" s="1" t="s">
        <v>21</v>
      </c>
      <c r="U1658" s="1" t="s">
        <v>22</v>
      </c>
      <c r="V1658" s="1" t="s">
        <v>24</v>
      </c>
      <c r="W1658" s="1" t="s">
        <v>64</v>
      </c>
      <c r="X1658" s="1">
        <v>3004</v>
      </c>
      <c r="Y1658" s="1">
        <v>2736</v>
      </c>
      <c r="Z1658" s="1">
        <v>1306</v>
      </c>
      <c r="AA1658" s="1">
        <v>2730</v>
      </c>
      <c r="AB1658" s="1" t="s">
        <v>24</v>
      </c>
      <c r="AC1658" s="1" t="s">
        <v>24</v>
      </c>
      <c r="AD1658" s="1" t="s">
        <v>24</v>
      </c>
      <c r="AE1658" s="1" t="s">
        <v>24</v>
      </c>
      <c r="AF1658" s="22"/>
    </row>
    <row r="1659" spans="1:32" x14ac:dyDescent="0.2">
      <c r="A1659" s="1">
        <v>10058</v>
      </c>
      <c r="B1659" s="1" t="s">
        <v>5343</v>
      </c>
      <c r="C1659" s="5" t="s">
        <v>0</v>
      </c>
      <c r="D1659" s="1" t="s">
        <v>5344</v>
      </c>
      <c r="F1659" s="1" t="s">
        <v>5345</v>
      </c>
      <c r="G1659" s="1" t="s">
        <v>5346</v>
      </c>
      <c r="H1659" s="1" t="s">
        <v>5347</v>
      </c>
      <c r="I1659" s="1" t="s">
        <v>16</v>
      </c>
      <c r="J1659" s="1">
        <v>1</v>
      </c>
      <c r="K1659" s="1">
        <v>3</v>
      </c>
      <c r="L1659" s="1" t="s">
        <v>42</v>
      </c>
      <c r="M1659" s="1" t="s">
        <v>117</v>
      </c>
      <c r="N1659" s="1" t="s">
        <v>117</v>
      </c>
      <c r="O1659" s="1">
        <v>3</v>
      </c>
      <c r="P1659" s="1">
        <v>5</v>
      </c>
      <c r="R1659" s="1" t="s">
        <v>19</v>
      </c>
      <c r="S1659" s="1" t="s">
        <v>20</v>
      </c>
      <c r="T1659" s="1" t="s">
        <v>21</v>
      </c>
      <c r="U1659" s="1" t="s">
        <v>22</v>
      </c>
      <c r="V1659" s="1" t="s">
        <v>24</v>
      </c>
      <c r="W1659" s="1" t="s">
        <v>24</v>
      </c>
      <c r="X1659" s="1">
        <v>2728</v>
      </c>
      <c r="Y1659" s="1">
        <v>2808</v>
      </c>
      <c r="Z1659" s="1" t="s">
        <v>24</v>
      </c>
      <c r="AA1659" s="1" t="s">
        <v>24</v>
      </c>
      <c r="AB1659" s="1" t="s">
        <v>24</v>
      </c>
      <c r="AC1659" s="1" t="s">
        <v>24</v>
      </c>
      <c r="AD1659" s="1" t="s">
        <v>24</v>
      </c>
      <c r="AE1659" s="1" t="s">
        <v>24</v>
      </c>
      <c r="AF1659" s="22"/>
    </row>
    <row r="1660" spans="1:32" x14ac:dyDescent="0.2">
      <c r="A1660" s="1">
        <v>10062</v>
      </c>
      <c r="B1660" s="1" t="s">
        <v>5348</v>
      </c>
      <c r="C1660" s="5" t="s">
        <v>0</v>
      </c>
      <c r="D1660" s="1" t="s">
        <v>5349</v>
      </c>
      <c r="E1660" s="1" t="s">
        <v>5350</v>
      </c>
      <c r="F1660" s="1" t="s">
        <v>35</v>
      </c>
      <c r="G1660" s="1" t="s">
        <v>36</v>
      </c>
      <c r="H1660" s="1" t="s">
        <v>37</v>
      </c>
      <c r="I1660" s="1" t="s">
        <v>16</v>
      </c>
      <c r="J1660" s="1">
        <v>1</v>
      </c>
      <c r="K1660" s="1">
        <v>6</v>
      </c>
      <c r="L1660" s="1" t="s">
        <v>31</v>
      </c>
      <c r="M1660" s="1" t="s">
        <v>18</v>
      </c>
      <c r="N1660" s="1" t="s">
        <v>18</v>
      </c>
      <c r="O1660" s="1">
        <v>3</v>
      </c>
      <c r="P1660" s="1">
        <v>7</v>
      </c>
      <c r="Q1660" s="7" t="s">
        <v>17633</v>
      </c>
      <c r="R1660" s="1" t="s">
        <v>19</v>
      </c>
      <c r="S1660" s="1" t="s">
        <v>20</v>
      </c>
      <c r="T1660" s="1" t="s">
        <v>21</v>
      </c>
      <c r="U1660" s="1" t="s">
        <v>22</v>
      </c>
      <c r="V1660" s="1" t="s">
        <v>24</v>
      </c>
      <c r="W1660" s="1" t="s">
        <v>24</v>
      </c>
      <c r="X1660" s="1">
        <v>2734</v>
      </c>
      <c r="Y1660" s="1">
        <v>1307</v>
      </c>
      <c r="Z1660" s="1">
        <v>1312</v>
      </c>
      <c r="AA1660" s="1" t="s">
        <v>24</v>
      </c>
      <c r="AB1660" s="1" t="s">
        <v>24</v>
      </c>
      <c r="AC1660" s="1" t="s">
        <v>24</v>
      </c>
      <c r="AD1660" s="1" t="s">
        <v>24</v>
      </c>
      <c r="AE1660" s="1" t="s">
        <v>24</v>
      </c>
      <c r="AF1660" s="22"/>
    </row>
    <row r="1661" spans="1:32" x14ac:dyDescent="0.2">
      <c r="A1661" s="1">
        <v>10071</v>
      </c>
      <c r="B1661" s="1" t="s">
        <v>5351</v>
      </c>
      <c r="C1661" s="5" t="s">
        <v>0</v>
      </c>
      <c r="D1661" s="1" t="s">
        <v>5352</v>
      </c>
      <c r="E1661" s="1" t="s">
        <v>5353</v>
      </c>
      <c r="F1661" s="1" t="s">
        <v>91</v>
      </c>
      <c r="G1661" s="1" t="s">
        <v>61</v>
      </c>
      <c r="H1661" s="1" t="s">
        <v>92</v>
      </c>
      <c r="I1661" s="1" t="s">
        <v>16</v>
      </c>
      <c r="J1661" s="1">
        <v>1</v>
      </c>
      <c r="K1661" s="1">
        <v>12</v>
      </c>
      <c r="L1661" s="1" t="s">
        <v>31</v>
      </c>
      <c r="M1661" s="1" t="s">
        <v>18</v>
      </c>
      <c r="N1661" s="1" t="s">
        <v>18</v>
      </c>
      <c r="O1661" s="1">
        <v>3</v>
      </c>
      <c r="P1661" s="1">
        <v>8</v>
      </c>
      <c r="Q1661" s="7" t="s">
        <v>17633</v>
      </c>
      <c r="R1661" s="1" t="s">
        <v>19</v>
      </c>
      <c r="S1661" s="1" t="s">
        <v>63</v>
      </c>
      <c r="T1661" s="1" t="s">
        <v>21</v>
      </c>
      <c r="U1661" s="1" t="s">
        <v>22</v>
      </c>
      <c r="V1661" s="1" t="s">
        <v>24</v>
      </c>
      <c r="W1661" s="1" t="s">
        <v>24</v>
      </c>
      <c r="X1661" s="1">
        <v>1312</v>
      </c>
      <c r="Y1661" s="1">
        <v>1313</v>
      </c>
      <c r="Z1661" s="1" t="s">
        <v>24</v>
      </c>
      <c r="AA1661" s="1" t="s">
        <v>24</v>
      </c>
      <c r="AB1661" s="1" t="s">
        <v>24</v>
      </c>
      <c r="AC1661" s="1" t="s">
        <v>24</v>
      </c>
      <c r="AD1661" s="1" t="s">
        <v>24</v>
      </c>
      <c r="AE1661" s="1" t="s">
        <v>24</v>
      </c>
      <c r="AF1661" s="22"/>
    </row>
    <row r="1662" spans="1:32" x14ac:dyDescent="0.2">
      <c r="A1662" s="1">
        <v>10072</v>
      </c>
      <c r="B1662" s="1" t="s">
        <v>5354</v>
      </c>
      <c r="C1662" s="5" t="s">
        <v>0</v>
      </c>
      <c r="D1662" s="1" t="s">
        <v>5355</v>
      </c>
      <c r="E1662" s="1" t="s">
        <v>5356</v>
      </c>
      <c r="F1662" s="1" t="s">
        <v>221</v>
      </c>
      <c r="G1662" s="1" t="s">
        <v>61</v>
      </c>
      <c r="H1662" s="1" t="s">
        <v>222</v>
      </c>
      <c r="I1662" s="1" t="s">
        <v>16</v>
      </c>
      <c r="J1662" s="1">
        <v>3</v>
      </c>
      <c r="K1662" s="1">
        <v>3</v>
      </c>
      <c r="L1662" s="1" t="s">
        <v>31</v>
      </c>
      <c r="M1662" s="1" t="s">
        <v>18</v>
      </c>
      <c r="N1662" s="1" t="s">
        <v>18</v>
      </c>
      <c r="O1662" s="1">
        <v>3</v>
      </c>
      <c r="P1662" s="1">
        <v>7</v>
      </c>
      <c r="Q1662" s="7" t="s">
        <v>17633</v>
      </c>
      <c r="R1662" s="1" t="s">
        <v>19</v>
      </c>
      <c r="S1662" s="1" t="s">
        <v>20</v>
      </c>
      <c r="T1662" s="1" t="s">
        <v>21</v>
      </c>
      <c r="U1662" s="1" t="s">
        <v>22</v>
      </c>
      <c r="V1662" s="1" t="s">
        <v>24</v>
      </c>
      <c r="W1662" s="1" t="s">
        <v>24</v>
      </c>
      <c r="X1662" s="1">
        <v>2738</v>
      </c>
      <c r="Y1662" s="1">
        <v>2741</v>
      </c>
      <c r="Z1662" s="1">
        <v>2801</v>
      </c>
      <c r="AA1662" s="1" t="s">
        <v>24</v>
      </c>
      <c r="AB1662" s="1" t="s">
        <v>24</v>
      </c>
      <c r="AC1662" s="1" t="s">
        <v>24</v>
      </c>
      <c r="AD1662" s="1" t="s">
        <v>24</v>
      </c>
      <c r="AE1662" s="1" t="s">
        <v>24</v>
      </c>
      <c r="AF1662" s="22"/>
    </row>
    <row r="1663" spans="1:32" x14ac:dyDescent="0.2">
      <c r="A1663" s="1">
        <v>10076</v>
      </c>
      <c r="B1663" s="1" t="s">
        <v>5357</v>
      </c>
      <c r="C1663" s="5" t="s">
        <v>0</v>
      </c>
      <c r="D1663" s="1" t="s">
        <v>5358</v>
      </c>
      <c r="E1663" s="1" t="s">
        <v>5359</v>
      </c>
      <c r="F1663" s="1" t="s">
        <v>920</v>
      </c>
      <c r="G1663" s="1" t="s">
        <v>921</v>
      </c>
      <c r="H1663" s="1" t="s">
        <v>92</v>
      </c>
      <c r="I1663" s="1" t="s">
        <v>16</v>
      </c>
      <c r="J1663" s="1">
        <v>1</v>
      </c>
      <c r="K1663" s="1">
        <v>4</v>
      </c>
      <c r="L1663" s="1" t="s">
        <v>31</v>
      </c>
      <c r="M1663" s="1" t="s">
        <v>18</v>
      </c>
      <c r="N1663" s="1" t="s">
        <v>18</v>
      </c>
      <c r="O1663" s="1">
        <v>3</v>
      </c>
      <c r="P1663" s="1">
        <v>6</v>
      </c>
      <c r="R1663" s="1" t="s">
        <v>19</v>
      </c>
      <c r="S1663" s="1" t="s">
        <v>20</v>
      </c>
      <c r="T1663" s="1" t="s">
        <v>21</v>
      </c>
      <c r="U1663" s="1" t="s">
        <v>22</v>
      </c>
      <c r="V1663" s="1" t="s">
        <v>23</v>
      </c>
      <c r="W1663" s="1" t="s">
        <v>24</v>
      </c>
      <c r="X1663" s="1">
        <v>2700</v>
      </c>
      <c r="Y1663" s="1">
        <v>2739</v>
      </c>
      <c r="Z1663" s="1">
        <v>2719</v>
      </c>
      <c r="AA1663" s="1" t="s">
        <v>24</v>
      </c>
      <c r="AB1663" s="1" t="s">
        <v>24</v>
      </c>
      <c r="AC1663" s="1" t="s">
        <v>24</v>
      </c>
      <c r="AD1663" s="1" t="s">
        <v>24</v>
      </c>
      <c r="AE1663" s="1" t="s">
        <v>24</v>
      </c>
      <c r="AF1663" s="22"/>
    </row>
    <row r="1664" spans="1:32" x14ac:dyDescent="0.2">
      <c r="A1664" s="1">
        <v>10078</v>
      </c>
      <c r="B1664" s="1" t="s">
        <v>5360</v>
      </c>
      <c r="C1664" s="5" t="s">
        <v>0</v>
      </c>
      <c r="D1664" s="1" t="s">
        <v>5361</v>
      </c>
      <c r="F1664" s="1" t="s">
        <v>13</v>
      </c>
      <c r="G1664" s="1" t="s">
        <v>13</v>
      </c>
      <c r="H1664" s="1" t="s">
        <v>15</v>
      </c>
      <c r="I1664" s="1" t="s">
        <v>16</v>
      </c>
      <c r="J1664" s="1">
        <v>1</v>
      </c>
      <c r="K1664" s="1">
        <v>6</v>
      </c>
      <c r="L1664" s="1" t="s">
        <v>42</v>
      </c>
      <c r="M1664" s="1" t="s">
        <v>199</v>
      </c>
      <c r="N1664" s="1" t="s">
        <v>18</v>
      </c>
      <c r="O1664" s="1">
        <v>3</v>
      </c>
      <c r="P1664" s="1">
        <v>7</v>
      </c>
      <c r="Q1664" s="7" t="s">
        <v>17633</v>
      </c>
      <c r="R1664" s="1" t="s">
        <v>19</v>
      </c>
      <c r="S1664" s="1" t="s">
        <v>20</v>
      </c>
      <c r="T1664" s="1" t="s">
        <v>21</v>
      </c>
      <c r="U1664" s="1" t="s">
        <v>22</v>
      </c>
      <c r="V1664" s="1" t="s">
        <v>23</v>
      </c>
      <c r="W1664" s="1" t="s">
        <v>24</v>
      </c>
      <c r="X1664" s="1">
        <v>2741</v>
      </c>
      <c r="Y1664" s="1" t="s">
        <v>24</v>
      </c>
      <c r="Z1664" s="1" t="s">
        <v>24</v>
      </c>
      <c r="AA1664" s="1" t="s">
        <v>24</v>
      </c>
      <c r="AB1664" s="1" t="s">
        <v>24</v>
      </c>
      <c r="AC1664" s="1" t="s">
        <v>24</v>
      </c>
      <c r="AD1664" s="1" t="s">
        <v>24</v>
      </c>
      <c r="AE1664" s="1" t="s">
        <v>24</v>
      </c>
      <c r="AF1664" s="22"/>
    </row>
    <row r="1665" spans="1:32" x14ac:dyDescent="0.2">
      <c r="A1665" s="1">
        <v>10080</v>
      </c>
      <c r="B1665" s="1" t="s">
        <v>5362</v>
      </c>
      <c r="C1665" s="5" t="s">
        <v>0</v>
      </c>
      <c r="D1665" s="1" t="s">
        <v>5363</v>
      </c>
      <c r="F1665" s="1" t="s">
        <v>5364</v>
      </c>
      <c r="G1665" s="1" t="s">
        <v>5364</v>
      </c>
      <c r="H1665" s="1" t="s">
        <v>37</v>
      </c>
      <c r="I1665" s="1" t="s">
        <v>16</v>
      </c>
      <c r="J1665" s="1">
        <v>1</v>
      </c>
      <c r="K1665" s="1">
        <v>12</v>
      </c>
      <c r="L1665" s="1" t="s">
        <v>42</v>
      </c>
      <c r="M1665" s="1" t="s">
        <v>18</v>
      </c>
      <c r="N1665" s="1" t="s">
        <v>18</v>
      </c>
      <c r="O1665" s="1">
        <v>3</v>
      </c>
      <c r="P1665" s="1">
        <v>6</v>
      </c>
      <c r="R1665" s="1" t="s">
        <v>19</v>
      </c>
      <c r="S1665" s="1" t="s">
        <v>20</v>
      </c>
      <c r="T1665" s="1" t="s">
        <v>21</v>
      </c>
      <c r="U1665" s="1" t="s">
        <v>22</v>
      </c>
      <c r="V1665" s="1" t="s">
        <v>23</v>
      </c>
      <c r="W1665" s="1" t="s">
        <v>24</v>
      </c>
      <c r="X1665" s="1">
        <v>2714</v>
      </c>
      <c r="Y1665" s="1" t="s">
        <v>24</v>
      </c>
      <c r="Z1665" s="1" t="s">
        <v>24</v>
      </c>
      <c r="AA1665" s="1" t="s">
        <v>24</v>
      </c>
      <c r="AB1665" s="1" t="s">
        <v>24</v>
      </c>
      <c r="AC1665" s="1" t="s">
        <v>24</v>
      </c>
      <c r="AD1665" s="1" t="s">
        <v>24</v>
      </c>
      <c r="AE1665" s="1" t="s">
        <v>24</v>
      </c>
      <c r="AF1665" s="22"/>
    </row>
    <row r="1666" spans="1:32" x14ac:dyDescent="0.2">
      <c r="A1666" s="1">
        <v>10083</v>
      </c>
      <c r="B1666" s="1" t="s">
        <v>5365</v>
      </c>
      <c r="C1666" s="5" t="s">
        <v>0</v>
      </c>
      <c r="D1666" s="1" t="s">
        <v>5366</v>
      </c>
      <c r="E1666" s="1" t="s">
        <v>5367</v>
      </c>
      <c r="F1666" s="1" t="s">
        <v>28</v>
      </c>
      <c r="G1666" s="1" t="s">
        <v>29</v>
      </c>
      <c r="H1666" s="1" t="s">
        <v>30</v>
      </c>
      <c r="I1666" s="1" t="s">
        <v>16</v>
      </c>
      <c r="J1666" s="1">
        <v>1</v>
      </c>
      <c r="K1666" s="1">
        <v>4</v>
      </c>
      <c r="L1666" s="1" t="s">
        <v>31</v>
      </c>
      <c r="M1666" s="1" t="s">
        <v>18</v>
      </c>
      <c r="N1666" s="1" t="s">
        <v>18</v>
      </c>
      <c r="O1666" s="1">
        <v>3</v>
      </c>
      <c r="P1666" s="1">
        <v>7</v>
      </c>
      <c r="Q1666" s="7" t="s">
        <v>17633</v>
      </c>
      <c r="R1666" s="1" t="s">
        <v>19</v>
      </c>
      <c r="S1666" s="1" t="s">
        <v>20</v>
      </c>
      <c r="T1666" s="1" t="s">
        <v>21</v>
      </c>
      <c r="U1666" s="1" t="s">
        <v>22</v>
      </c>
      <c r="V1666" s="1" t="s">
        <v>24</v>
      </c>
      <c r="W1666" s="1" t="s">
        <v>24</v>
      </c>
      <c r="X1666" s="1">
        <v>2728</v>
      </c>
      <c r="Y1666" s="1">
        <v>2746</v>
      </c>
      <c r="Z1666" s="1" t="s">
        <v>24</v>
      </c>
      <c r="AA1666" s="1" t="s">
        <v>24</v>
      </c>
      <c r="AB1666" s="1" t="s">
        <v>24</v>
      </c>
      <c r="AC1666" s="1" t="s">
        <v>24</v>
      </c>
      <c r="AD1666" s="1" t="s">
        <v>24</v>
      </c>
      <c r="AE1666" s="1" t="s">
        <v>24</v>
      </c>
      <c r="AF1666" s="22"/>
    </row>
    <row r="1667" spans="1:32" x14ac:dyDescent="0.2">
      <c r="A1667" s="1">
        <v>10084</v>
      </c>
      <c r="B1667" s="1" t="s">
        <v>5368</v>
      </c>
      <c r="C1667" s="5" t="s">
        <v>0</v>
      </c>
      <c r="D1667" s="1" t="s">
        <v>5369</v>
      </c>
      <c r="E1667" s="1" t="s">
        <v>5370</v>
      </c>
      <c r="F1667" s="1" t="s">
        <v>28</v>
      </c>
      <c r="G1667" s="1" t="s">
        <v>29</v>
      </c>
      <c r="H1667" s="1" t="s">
        <v>30</v>
      </c>
      <c r="I1667" s="1" t="s">
        <v>16</v>
      </c>
      <c r="J1667" s="1">
        <v>1</v>
      </c>
      <c r="K1667" s="1">
        <v>6</v>
      </c>
      <c r="L1667" s="1" t="s">
        <v>31</v>
      </c>
      <c r="M1667" s="1" t="s">
        <v>18</v>
      </c>
      <c r="N1667" s="1" t="s">
        <v>18</v>
      </c>
      <c r="O1667" s="1">
        <v>3</v>
      </c>
      <c r="P1667" s="1">
        <v>7</v>
      </c>
      <c r="Q1667" s="7" t="s">
        <v>17633</v>
      </c>
      <c r="R1667" s="1" t="s">
        <v>62</v>
      </c>
      <c r="S1667" s="1" t="s">
        <v>20</v>
      </c>
      <c r="T1667" s="1" t="s">
        <v>21</v>
      </c>
      <c r="U1667" s="1" t="s">
        <v>22</v>
      </c>
      <c r="V1667" s="1" t="s">
        <v>23</v>
      </c>
      <c r="W1667" s="1" t="s">
        <v>24</v>
      </c>
      <c r="X1667" s="1">
        <v>2732</v>
      </c>
      <c r="Y1667" s="1">
        <v>3612</v>
      </c>
      <c r="Z1667" s="1" t="s">
        <v>24</v>
      </c>
      <c r="AA1667" s="1" t="s">
        <v>24</v>
      </c>
      <c r="AB1667" s="1" t="s">
        <v>24</v>
      </c>
      <c r="AC1667" s="1" t="s">
        <v>24</v>
      </c>
      <c r="AD1667" s="1" t="s">
        <v>24</v>
      </c>
      <c r="AE1667" s="1" t="s">
        <v>24</v>
      </c>
      <c r="AF1667" s="22"/>
    </row>
    <row r="1668" spans="1:32" x14ac:dyDescent="0.2">
      <c r="A1668" s="1">
        <v>10091</v>
      </c>
      <c r="B1668" s="1" t="s">
        <v>5371</v>
      </c>
      <c r="C1668" s="5" t="s">
        <v>0</v>
      </c>
      <c r="D1668" s="1" t="s">
        <v>5372</v>
      </c>
      <c r="E1668" s="1" t="s">
        <v>5373</v>
      </c>
      <c r="F1668" s="1" t="s">
        <v>1260</v>
      </c>
      <c r="G1668" s="1" t="s">
        <v>130</v>
      </c>
      <c r="H1668" s="1" t="s">
        <v>111</v>
      </c>
      <c r="I1668" s="1" t="s">
        <v>16</v>
      </c>
      <c r="J1668" s="1">
        <v>1</v>
      </c>
      <c r="K1668" s="1">
        <v>6</v>
      </c>
      <c r="L1668" s="1" t="s">
        <v>31</v>
      </c>
      <c r="M1668" s="1" t="s">
        <v>18</v>
      </c>
      <c r="N1668" s="1" t="s">
        <v>18</v>
      </c>
      <c r="O1668" s="1">
        <v>3</v>
      </c>
      <c r="P1668" s="1">
        <v>6</v>
      </c>
      <c r="R1668" s="1" t="s">
        <v>19</v>
      </c>
      <c r="S1668" s="1" t="s">
        <v>20</v>
      </c>
      <c r="T1668" s="1" t="s">
        <v>21</v>
      </c>
      <c r="U1668" s="1" t="s">
        <v>22</v>
      </c>
      <c r="V1668" s="1" t="s">
        <v>23</v>
      </c>
      <c r="W1668" s="1" t="s">
        <v>24</v>
      </c>
      <c r="X1668" s="1">
        <v>1302</v>
      </c>
      <c r="Y1668" s="1">
        <v>2717</v>
      </c>
      <c r="Z1668" s="1" t="s">
        <v>24</v>
      </c>
      <c r="AA1668" s="1" t="s">
        <v>24</v>
      </c>
      <c r="AB1668" s="1" t="s">
        <v>24</v>
      </c>
      <c r="AC1668" s="1" t="s">
        <v>24</v>
      </c>
      <c r="AD1668" s="1" t="s">
        <v>24</v>
      </c>
      <c r="AE1668" s="1" t="s">
        <v>24</v>
      </c>
      <c r="AF1668" s="22"/>
    </row>
    <row r="1669" spans="1:32" x14ac:dyDescent="0.2">
      <c r="A1669" s="1">
        <v>10092</v>
      </c>
      <c r="B1669" s="1" t="s">
        <v>5374</v>
      </c>
      <c r="C1669" s="5" t="s">
        <v>0</v>
      </c>
      <c r="D1669" s="1" t="s">
        <v>5375</v>
      </c>
      <c r="E1669" s="1" t="s">
        <v>5376</v>
      </c>
      <c r="F1669" s="1" t="s">
        <v>85</v>
      </c>
      <c r="G1669" s="1" t="s">
        <v>61</v>
      </c>
      <c r="H1669" s="1" t="s">
        <v>86</v>
      </c>
      <c r="I1669" s="1" t="s">
        <v>16</v>
      </c>
      <c r="J1669" s="1">
        <v>1</v>
      </c>
      <c r="K1669" s="1">
        <v>4</v>
      </c>
      <c r="L1669" s="1" t="s">
        <v>31</v>
      </c>
      <c r="M1669" s="1" t="s">
        <v>87</v>
      </c>
      <c r="N1669" s="1" t="s">
        <v>199</v>
      </c>
      <c r="O1669" s="1">
        <v>3</v>
      </c>
      <c r="P1669" s="1">
        <v>6</v>
      </c>
      <c r="R1669" s="1" t="s">
        <v>19</v>
      </c>
      <c r="S1669" s="1" t="s">
        <v>20</v>
      </c>
      <c r="T1669" s="1" t="s">
        <v>21</v>
      </c>
      <c r="U1669" s="1" t="s">
        <v>22</v>
      </c>
      <c r="V1669" s="1" t="s">
        <v>23</v>
      </c>
      <c r="W1669" s="1" t="s">
        <v>24</v>
      </c>
      <c r="X1669" s="1">
        <v>2712</v>
      </c>
      <c r="Y1669" s="1">
        <v>2724</v>
      </c>
      <c r="Z1669" s="1">
        <v>2916</v>
      </c>
      <c r="AA1669" s="1" t="s">
        <v>24</v>
      </c>
      <c r="AB1669" s="1" t="s">
        <v>24</v>
      </c>
      <c r="AC1669" s="1" t="s">
        <v>24</v>
      </c>
      <c r="AD1669" s="1" t="s">
        <v>24</v>
      </c>
      <c r="AE1669" s="1" t="s">
        <v>24</v>
      </c>
      <c r="AF1669" s="22"/>
    </row>
    <row r="1670" spans="1:32" x14ac:dyDescent="0.2">
      <c r="A1670" s="1">
        <v>10099</v>
      </c>
      <c r="B1670" s="1" t="s">
        <v>5377</v>
      </c>
      <c r="C1670" s="5" t="s">
        <v>0</v>
      </c>
      <c r="D1670" s="1" t="s">
        <v>5378</v>
      </c>
      <c r="E1670" s="1" t="s">
        <v>5379</v>
      </c>
      <c r="F1670" s="1" t="s">
        <v>5380</v>
      </c>
      <c r="G1670" s="1" t="s">
        <v>5380</v>
      </c>
      <c r="H1670" s="1" t="s">
        <v>116</v>
      </c>
      <c r="I1670" s="1" t="s">
        <v>16</v>
      </c>
      <c r="J1670" s="1">
        <v>1</v>
      </c>
      <c r="K1670" s="1">
        <v>6</v>
      </c>
      <c r="L1670" s="1" t="s">
        <v>42</v>
      </c>
      <c r="M1670" s="1" t="s">
        <v>117</v>
      </c>
      <c r="N1670" s="1" t="s">
        <v>117</v>
      </c>
      <c r="O1670" s="1">
        <v>2</v>
      </c>
      <c r="P1670" s="1">
        <v>5</v>
      </c>
      <c r="R1670" s="1" t="s">
        <v>19</v>
      </c>
      <c r="S1670" s="1" t="s">
        <v>20</v>
      </c>
      <c r="T1670" s="1" t="s">
        <v>21</v>
      </c>
      <c r="U1670" s="1" t="s">
        <v>22</v>
      </c>
      <c r="V1670" s="1" t="s">
        <v>23</v>
      </c>
      <c r="W1670" s="1" t="s">
        <v>24</v>
      </c>
      <c r="X1670" s="1">
        <v>3004</v>
      </c>
      <c r="Y1670" s="1" t="s">
        <v>24</v>
      </c>
      <c r="Z1670" s="1" t="s">
        <v>24</v>
      </c>
      <c r="AA1670" s="1" t="s">
        <v>24</v>
      </c>
      <c r="AB1670" s="1" t="s">
        <v>24</v>
      </c>
      <c r="AC1670" s="1" t="s">
        <v>24</v>
      </c>
      <c r="AD1670" s="1" t="s">
        <v>24</v>
      </c>
      <c r="AE1670" s="1" t="s">
        <v>24</v>
      </c>
      <c r="AF1670" s="22"/>
    </row>
    <row r="1671" spans="1:32" x14ac:dyDescent="0.2">
      <c r="A1671" s="1">
        <v>10101</v>
      </c>
      <c r="B1671" s="1" t="s">
        <v>5381</v>
      </c>
      <c r="C1671" s="5" t="s">
        <v>0</v>
      </c>
      <c r="D1671" s="1" t="s">
        <v>5382</v>
      </c>
      <c r="E1671" s="1" t="s">
        <v>5383</v>
      </c>
      <c r="F1671" s="1" t="s">
        <v>669</v>
      </c>
      <c r="G1671" s="1" t="s">
        <v>311</v>
      </c>
      <c r="H1671" s="1" t="s">
        <v>30</v>
      </c>
      <c r="I1671" s="1" t="s">
        <v>16</v>
      </c>
      <c r="J1671" s="1">
        <v>1</v>
      </c>
      <c r="K1671" s="1">
        <v>18</v>
      </c>
      <c r="L1671" s="1" t="s">
        <v>31</v>
      </c>
      <c r="M1671" s="1" t="s">
        <v>18</v>
      </c>
      <c r="N1671" s="1" t="s">
        <v>18</v>
      </c>
      <c r="O1671" s="1">
        <v>3</v>
      </c>
      <c r="P1671" s="1">
        <v>7</v>
      </c>
      <c r="Q1671" s="7" t="s">
        <v>17633</v>
      </c>
      <c r="R1671" s="1" t="s">
        <v>19</v>
      </c>
      <c r="S1671" s="1" t="s">
        <v>20</v>
      </c>
      <c r="T1671" s="1" t="s">
        <v>21</v>
      </c>
      <c r="U1671" s="1" t="s">
        <v>22</v>
      </c>
      <c r="V1671" s="1" t="s">
        <v>24</v>
      </c>
      <c r="W1671" s="1" t="s">
        <v>24</v>
      </c>
      <c r="X1671" s="1">
        <v>1304</v>
      </c>
      <c r="Y1671" s="1">
        <v>2502</v>
      </c>
      <c r="Z1671" s="1">
        <v>1502</v>
      </c>
      <c r="AA1671" s="1">
        <v>2204</v>
      </c>
      <c r="AB1671" s="1" t="s">
        <v>24</v>
      </c>
      <c r="AC1671" s="1" t="s">
        <v>24</v>
      </c>
      <c r="AD1671" s="1" t="s">
        <v>24</v>
      </c>
      <c r="AE1671" s="1" t="s">
        <v>24</v>
      </c>
      <c r="AF1671" s="22"/>
    </row>
    <row r="1672" spans="1:32" x14ac:dyDescent="0.2">
      <c r="A1672" s="1">
        <v>10109</v>
      </c>
      <c r="B1672" s="1" t="s">
        <v>5384</v>
      </c>
      <c r="C1672" s="5" t="s">
        <v>0</v>
      </c>
      <c r="D1672" s="1" t="s">
        <v>5385</v>
      </c>
      <c r="F1672" s="1" t="s">
        <v>5386</v>
      </c>
      <c r="G1672" s="1" t="s">
        <v>5387</v>
      </c>
      <c r="H1672" s="1" t="s">
        <v>30</v>
      </c>
      <c r="I1672" s="1" t="s">
        <v>16</v>
      </c>
      <c r="J1672" s="1">
        <v>1</v>
      </c>
      <c r="K1672" s="1">
        <v>12</v>
      </c>
      <c r="L1672" s="1" t="s">
        <v>42</v>
      </c>
      <c r="M1672" s="1" t="s">
        <v>18</v>
      </c>
      <c r="N1672" s="1" t="s">
        <v>18</v>
      </c>
      <c r="O1672" s="1">
        <v>3</v>
      </c>
      <c r="P1672" s="1">
        <v>6</v>
      </c>
      <c r="R1672" s="1" t="s">
        <v>19</v>
      </c>
      <c r="S1672" s="1" t="s">
        <v>20</v>
      </c>
      <c r="T1672" s="1" t="s">
        <v>21</v>
      </c>
      <c r="U1672" s="1" t="s">
        <v>22</v>
      </c>
      <c r="V1672" s="1" t="s">
        <v>24</v>
      </c>
      <c r="W1672" s="1" t="s">
        <v>24</v>
      </c>
      <c r="X1672" s="1">
        <v>2736</v>
      </c>
      <c r="Y1672" s="1" t="s">
        <v>24</v>
      </c>
      <c r="Z1672" s="1" t="s">
        <v>24</v>
      </c>
      <c r="AA1672" s="1" t="s">
        <v>24</v>
      </c>
      <c r="AB1672" s="1" t="s">
        <v>24</v>
      </c>
      <c r="AC1672" s="1" t="s">
        <v>24</v>
      </c>
      <c r="AD1672" s="1" t="s">
        <v>24</v>
      </c>
      <c r="AE1672" s="1" t="s">
        <v>24</v>
      </c>
      <c r="AF1672" s="22"/>
    </row>
    <row r="1673" spans="1:32" x14ac:dyDescent="0.2">
      <c r="A1673" s="1">
        <v>10117</v>
      </c>
      <c r="B1673" s="1" t="s">
        <v>5388</v>
      </c>
      <c r="C1673" s="5" t="s">
        <v>0</v>
      </c>
      <c r="D1673" s="1" t="s">
        <v>5389</v>
      </c>
      <c r="E1673" s="1" t="s">
        <v>5390</v>
      </c>
      <c r="F1673" s="1" t="s">
        <v>155</v>
      </c>
      <c r="G1673" s="1" t="s">
        <v>61</v>
      </c>
      <c r="H1673" s="1" t="s">
        <v>37</v>
      </c>
      <c r="I1673" s="1" t="s">
        <v>16</v>
      </c>
      <c r="J1673" s="1">
        <v>5</v>
      </c>
      <c r="K1673" s="1">
        <v>5</v>
      </c>
      <c r="L1673" s="1" t="s">
        <v>31</v>
      </c>
      <c r="M1673" s="1" t="s">
        <v>18</v>
      </c>
      <c r="N1673" s="1" t="s">
        <v>18</v>
      </c>
      <c r="O1673" s="1">
        <v>3</v>
      </c>
      <c r="P1673" s="1">
        <v>6</v>
      </c>
      <c r="R1673" s="1" t="s">
        <v>62</v>
      </c>
      <c r="S1673" s="1" t="s">
        <v>63</v>
      </c>
      <c r="T1673" s="1" t="s">
        <v>21</v>
      </c>
      <c r="U1673" s="1" t="s">
        <v>22</v>
      </c>
      <c r="V1673" s="1" t="s">
        <v>24</v>
      </c>
      <c r="W1673" s="1" t="s">
        <v>64</v>
      </c>
      <c r="X1673" s="1">
        <v>1303</v>
      </c>
      <c r="Y1673" s="1">
        <v>1308</v>
      </c>
      <c r="Z1673" s="1">
        <v>1310</v>
      </c>
      <c r="AA1673" s="1">
        <v>1307</v>
      </c>
      <c r="AB1673" s="1">
        <v>1312</v>
      </c>
      <c r="AC1673" s="1">
        <v>2712</v>
      </c>
      <c r="AD1673" s="1">
        <v>1313</v>
      </c>
      <c r="AE1673" s="1" t="s">
        <v>24</v>
      </c>
      <c r="AF1673" s="22"/>
    </row>
    <row r="1674" spans="1:32" x14ac:dyDescent="0.2">
      <c r="A1674" s="1">
        <v>10119</v>
      </c>
      <c r="B1674" s="1" t="s">
        <v>5391</v>
      </c>
      <c r="C1674" s="5" t="s">
        <v>0</v>
      </c>
      <c r="D1674" s="1" t="s">
        <v>5392</v>
      </c>
      <c r="E1674" s="1" t="s">
        <v>5393</v>
      </c>
      <c r="F1674" s="1" t="s">
        <v>1897</v>
      </c>
      <c r="G1674" s="1" t="s">
        <v>1898</v>
      </c>
      <c r="H1674" s="1" t="s">
        <v>899</v>
      </c>
      <c r="I1674" s="1" t="s">
        <v>16</v>
      </c>
      <c r="J1674" s="1">
        <v>1</v>
      </c>
      <c r="K1674" s="1">
        <v>4</v>
      </c>
      <c r="L1674" s="1" t="s">
        <v>31</v>
      </c>
      <c r="M1674" s="1" t="s">
        <v>18</v>
      </c>
      <c r="N1674" s="1" t="s">
        <v>18</v>
      </c>
      <c r="O1674" s="1">
        <v>3</v>
      </c>
      <c r="P1674" s="1">
        <v>6</v>
      </c>
      <c r="R1674" s="1" t="s">
        <v>19</v>
      </c>
      <c r="S1674" s="1" t="s">
        <v>20</v>
      </c>
      <c r="T1674" s="1" t="s">
        <v>21</v>
      </c>
      <c r="U1674" s="1" t="s">
        <v>22</v>
      </c>
      <c r="V1674" s="1" t="s">
        <v>24</v>
      </c>
      <c r="W1674" s="1" t="s">
        <v>24</v>
      </c>
      <c r="X1674" s="1">
        <v>2736</v>
      </c>
      <c r="Y1674" s="1">
        <v>2703</v>
      </c>
      <c r="Z1674" s="1">
        <v>3000</v>
      </c>
      <c r="AA1674" s="1" t="s">
        <v>24</v>
      </c>
      <c r="AB1674" s="1" t="s">
        <v>24</v>
      </c>
      <c r="AC1674" s="1" t="s">
        <v>24</v>
      </c>
      <c r="AD1674" s="1" t="s">
        <v>24</v>
      </c>
      <c r="AE1674" s="1" t="s">
        <v>24</v>
      </c>
      <c r="AF1674" s="22"/>
    </row>
    <row r="1675" spans="1:32" x14ac:dyDescent="0.2">
      <c r="A1675" s="1">
        <v>10122</v>
      </c>
      <c r="B1675" s="1" t="s">
        <v>5394</v>
      </c>
      <c r="C1675" s="5" t="s">
        <v>0</v>
      </c>
      <c r="D1675" s="1" t="s">
        <v>5395</v>
      </c>
      <c r="F1675" s="1" t="s">
        <v>5396</v>
      </c>
      <c r="G1675" s="1" t="s">
        <v>5396</v>
      </c>
      <c r="H1675" s="1" t="s">
        <v>899</v>
      </c>
      <c r="I1675" s="1" t="s">
        <v>16</v>
      </c>
      <c r="J1675" s="1">
        <v>1</v>
      </c>
      <c r="K1675" s="1">
        <v>4</v>
      </c>
      <c r="L1675" s="1" t="s">
        <v>42</v>
      </c>
      <c r="M1675" s="1" t="s">
        <v>18</v>
      </c>
      <c r="N1675" s="1" t="s">
        <v>18</v>
      </c>
      <c r="O1675" s="1">
        <v>2</v>
      </c>
      <c r="P1675" s="1">
        <v>4</v>
      </c>
      <c r="R1675" s="1" t="s">
        <v>19</v>
      </c>
      <c r="S1675" s="1" t="s">
        <v>20</v>
      </c>
      <c r="T1675" s="1" t="s">
        <v>21</v>
      </c>
      <c r="U1675" s="1" t="s">
        <v>22</v>
      </c>
      <c r="V1675" s="1" t="s">
        <v>24</v>
      </c>
      <c r="W1675" s="1" t="s">
        <v>24</v>
      </c>
      <c r="X1675" s="1">
        <v>2700</v>
      </c>
      <c r="Y1675" s="1" t="s">
        <v>24</v>
      </c>
      <c r="Z1675" s="1" t="s">
        <v>24</v>
      </c>
      <c r="AA1675" s="1" t="s">
        <v>24</v>
      </c>
      <c r="AB1675" s="1" t="s">
        <v>24</v>
      </c>
      <c r="AC1675" s="1" t="s">
        <v>24</v>
      </c>
      <c r="AD1675" s="1" t="s">
        <v>24</v>
      </c>
      <c r="AE1675" s="1" t="s">
        <v>24</v>
      </c>
      <c r="AF1675" s="22"/>
    </row>
    <row r="1676" spans="1:32" x14ac:dyDescent="0.2">
      <c r="A1676" s="1">
        <v>10126</v>
      </c>
      <c r="B1676" s="1" t="s">
        <v>5397</v>
      </c>
      <c r="C1676" s="5" t="s">
        <v>0</v>
      </c>
      <c r="D1676" s="1" t="s">
        <v>5398</v>
      </c>
      <c r="E1676" s="1" t="s">
        <v>5399</v>
      </c>
      <c r="F1676" s="1" t="s">
        <v>751</v>
      </c>
      <c r="G1676" s="1" t="s">
        <v>36</v>
      </c>
      <c r="H1676" s="1" t="s">
        <v>37</v>
      </c>
      <c r="I1676" s="1" t="s">
        <v>16</v>
      </c>
      <c r="J1676" s="1">
        <v>1</v>
      </c>
      <c r="K1676" s="1">
        <v>6</v>
      </c>
      <c r="L1676" s="1" t="s">
        <v>31</v>
      </c>
      <c r="M1676" s="1" t="s">
        <v>18</v>
      </c>
      <c r="N1676" s="1" t="s">
        <v>18</v>
      </c>
      <c r="O1676" s="1">
        <v>3</v>
      </c>
      <c r="P1676" s="1">
        <v>6</v>
      </c>
      <c r="R1676" s="1" t="s">
        <v>19</v>
      </c>
      <c r="S1676" s="1" t="s">
        <v>20</v>
      </c>
      <c r="T1676" s="1" t="s">
        <v>21</v>
      </c>
      <c r="U1676" s="1" t="s">
        <v>22</v>
      </c>
      <c r="V1676" s="1" t="s">
        <v>24</v>
      </c>
      <c r="W1676" s="1" t="s">
        <v>64</v>
      </c>
      <c r="X1676" s="1">
        <v>1110</v>
      </c>
      <c r="Y1676" s="1">
        <v>1602</v>
      </c>
      <c r="Z1676" s="1">
        <v>1303</v>
      </c>
      <c r="AA1676" s="1">
        <v>1106</v>
      </c>
      <c r="AB1676" s="1">
        <v>3002</v>
      </c>
      <c r="AC1676" s="1">
        <v>1313</v>
      </c>
      <c r="AD1676" s="1">
        <v>2707</v>
      </c>
      <c r="AE1676" s="1" t="s">
        <v>24</v>
      </c>
      <c r="AF1676" s="22"/>
    </row>
    <row r="1677" spans="1:32" x14ac:dyDescent="0.2">
      <c r="A1677" s="1">
        <v>10127</v>
      </c>
      <c r="B1677" s="1" t="s">
        <v>5400</v>
      </c>
      <c r="C1677" s="5" t="s">
        <v>0</v>
      </c>
      <c r="D1677" s="1" t="s">
        <v>5401</v>
      </c>
      <c r="E1677" s="1" t="s">
        <v>5402</v>
      </c>
      <c r="F1677" s="1" t="s">
        <v>751</v>
      </c>
      <c r="G1677" s="1" t="s">
        <v>36</v>
      </c>
      <c r="H1677" s="1" t="s">
        <v>37</v>
      </c>
      <c r="I1677" s="1" t="s">
        <v>16</v>
      </c>
      <c r="J1677" s="1">
        <v>1</v>
      </c>
      <c r="K1677" s="1">
        <v>8</v>
      </c>
      <c r="L1677" s="1" t="s">
        <v>31</v>
      </c>
      <c r="M1677" s="1" t="s">
        <v>18</v>
      </c>
      <c r="N1677" s="1" t="s">
        <v>18</v>
      </c>
      <c r="O1677" s="1">
        <v>3</v>
      </c>
      <c r="P1677" s="1">
        <v>7</v>
      </c>
      <c r="Q1677" s="7" t="s">
        <v>17633</v>
      </c>
      <c r="R1677" s="1" t="s">
        <v>19</v>
      </c>
      <c r="S1677" s="1" t="s">
        <v>20</v>
      </c>
      <c r="T1677" s="1" t="s">
        <v>21</v>
      </c>
      <c r="U1677" s="1" t="s">
        <v>22</v>
      </c>
      <c r="V1677" s="1" t="s">
        <v>24</v>
      </c>
      <c r="W1677" s="1" t="s">
        <v>24</v>
      </c>
      <c r="X1677" s="1">
        <v>1607</v>
      </c>
      <c r="Y1677" s="1">
        <v>1313</v>
      </c>
      <c r="Z1677" s="1">
        <v>2741</v>
      </c>
      <c r="AA1677" s="1" t="s">
        <v>24</v>
      </c>
      <c r="AB1677" s="1" t="s">
        <v>24</v>
      </c>
      <c r="AC1677" s="1" t="s">
        <v>24</v>
      </c>
      <c r="AD1677" s="1" t="s">
        <v>24</v>
      </c>
      <c r="AE1677" s="1" t="s">
        <v>24</v>
      </c>
      <c r="AF1677" s="22"/>
    </row>
    <row r="1678" spans="1:32" x14ac:dyDescent="0.2">
      <c r="A1678" s="1">
        <v>10129</v>
      </c>
      <c r="B1678" s="1" t="s">
        <v>5403</v>
      </c>
      <c r="C1678" s="5" t="s">
        <v>0</v>
      </c>
      <c r="D1678" s="1" t="s">
        <v>5404</v>
      </c>
      <c r="E1678" s="1" t="s">
        <v>5405</v>
      </c>
      <c r="F1678" s="1" t="s">
        <v>1260</v>
      </c>
      <c r="G1678" s="1" t="s">
        <v>130</v>
      </c>
      <c r="H1678" s="1" t="s">
        <v>111</v>
      </c>
      <c r="I1678" s="1" t="s">
        <v>16</v>
      </c>
      <c r="J1678" s="1">
        <v>1</v>
      </c>
      <c r="K1678" s="1">
        <v>12</v>
      </c>
      <c r="L1678" s="1" t="s">
        <v>31</v>
      </c>
      <c r="M1678" s="1" t="s">
        <v>18</v>
      </c>
      <c r="N1678" s="1" t="s">
        <v>18</v>
      </c>
      <c r="O1678" s="1">
        <v>3</v>
      </c>
      <c r="P1678" s="1">
        <v>7</v>
      </c>
      <c r="Q1678" s="7" t="s">
        <v>17633</v>
      </c>
      <c r="R1678" s="1" t="s">
        <v>19</v>
      </c>
      <c r="S1678" s="1" t="s">
        <v>20</v>
      </c>
      <c r="T1678" s="1" t="s">
        <v>21</v>
      </c>
      <c r="U1678" s="1" t="s">
        <v>22</v>
      </c>
      <c r="V1678" s="1" t="s">
        <v>23</v>
      </c>
      <c r="W1678" s="1" t="s">
        <v>24</v>
      </c>
      <c r="X1678" s="1">
        <v>2736</v>
      </c>
      <c r="Y1678" s="1">
        <v>2717</v>
      </c>
      <c r="Z1678" s="1" t="s">
        <v>24</v>
      </c>
      <c r="AA1678" s="1" t="s">
        <v>24</v>
      </c>
      <c r="AB1678" s="1" t="s">
        <v>24</v>
      </c>
      <c r="AC1678" s="1" t="s">
        <v>24</v>
      </c>
      <c r="AD1678" s="1" t="s">
        <v>24</v>
      </c>
      <c r="AE1678" s="1" t="s">
        <v>24</v>
      </c>
      <c r="AF1678" s="22"/>
    </row>
    <row r="1679" spans="1:32" x14ac:dyDescent="0.2">
      <c r="A1679" s="1">
        <v>10133</v>
      </c>
      <c r="B1679" s="1" t="s">
        <v>5406</v>
      </c>
      <c r="C1679" s="5" t="s">
        <v>0</v>
      </c>
      <c r="D1679" s="1" t="s">
        <v>5407</v>
      </c>
      <c r="E1679" s="1" t="s">
        <v>5408</v>
      </c>
      <c r="F1679" s="1" t="s">
        <v>268</v>
      </c>
      <c r="G1679" s="1" t="s">
        <v>130</v>
      </c>
      <c r="H1679" s="1" t="s">
        <v>111</v>
      </c>
      <c r="I1679" s="1" t="s">
        <v>16</v>
      </c>
      <c r="J1679" s="1">
        <v>1</v>
      </c>
      <c r="K1679" s="1">
        <v>6</v>
      </c>
      <c r="L1679" s="1" t="s">
        <v>31</v>
      </c>
      <c r="M1679" s="1" t="s">
        <v>18</v>
      </c>
      <c r="N1679" s="1" t="s">
        <v>18</v>
      </c>
      <c r="O1679" s="1">
        <v>3</v>
      </c>
      <c r="P1679" s="1">
        <v>7</v>
      </c>
      <c r="Q1679" s="7" t="s">
        <v>17633</v>
      </c>
      <c r="R1679" s="1" t="s">
        <v>19</v>
      </c>
      <c r="S1679" s="1" t="s">
        <v>20</v>
      </c>
      <c r="T1679" s="1" t="s">
        <v>21</v>
      </c>
      <c r="U1679" s="1" t="s">
        <v>22</v>
      </c>
      <c r="V1679" s="1" t="s">
        <v>24</v>
      </c>
      <c r="W1679" s="1" t="s">
        <v>24</v>
      </c>
      <c r="X1679" s="1">
        <v>3004</v>
      </c>
      <c r="Y1679" s="1">
        <v>2736</v>
      </c>
      <c r="Z1679" s="1">
        <v>2403</v>
      </c>
      <c r="AA1679" s="1" t="s">
        <v>24</v>
      </c>
      <c r="AB1679" s="1" t="s">
        <v>24</v>
      </c>
      <c r="AC1679" s="1" t="s">
        <v>24</v>
      </c>
      <c r="AD1679" s="1" t="s">
        <v>24</v>
      </c>
      <c r="AE1679" s="1" t="s">
        <v>24</v>
      </c>
      <c r="AF1679" s="22"/>
    </row>
    <row r="1680" spans="1:32" x14ac:dyDescent="0.2">
      <c r="A1680" s="1">
        <v>10137</v>
      </c>
      <c r="B1680" s="1" t="s">
        <v>5409</v>
      </c>
      <c r="C1680" s="5" t="s">
        <v>0</v>
      </c>
      <c r="D1680" s="1" t="s">
        <v>5410</v>
      </c>
      <c r="E1680" s="1" t="s">
        <v>5411</v>
      </c>
      <c r="F1680" s="1" t="s">
        <v>291</v>
      </c>
      <c r="G1680" s="1" t="s">
        <v>292</v>
      </c>
      <c r="H1680" s="1" t="s">
        <v>37</v>
      </c>
      <c r="I1680" s="1" t="s">
        <v>16</v>
      </c>
      <c r="J1680" s="1">
        <v>1</v>
      </c>
      <c r="K1680" s="1">
        <v>4</v>
      </c>
      <c r="L1680" s="1" t="s">
        <v>31</v>
      </c>
      <c r="M1680" s="1" t="s">
        <v>18</v>
      </c>
      <c r="N1680" s="1" t="s">
        <v>18</v>
      </c>
      <c r="O1680" s="1">
        <v>3</v>
      </c>
      <c r="P1680" s="1">
        <v>7</v>
      </c>
      <c r="Q1680" s="7" t="s">
        <v>17633</v>
      </c>
      <c r="R1680" s="1" t="s">
        <v>19</v>
      </c>
      <c r="S1680" s="1" t="s">
        <v>20</v>
      </c>
      <c r="T1680" s="1" t="s">
        <v>21</v>
      </c>
      <c r="U1680" s="1" t="s">
        <v>22</v>
      </c>
      <c r="V1680" s="1" t="s">
        <v>24</v>
      </c>
      <c r="W1680" s="1" t="s">
        <v>24</v>
      </c>
      <c r="X1680" s="1">
        <v>2738</v>
      </c>
      <c r="Y1680" s="1" t="s">
        <v>24</v>
      </c>
      <c r="Z1680" s="1" t="s">
        <v>24</v>
      </c>
      <c r="AA1680" s="1" t="s">
        <v>24</v>
      </c>
      <c r="AB1680" s="1" t="s">
        <v>24</v>
      </c>
      <c r="AC1680" s="1" t="s">
        <v>24</v>
      </c>
      <c r="AD1680" s="1" t="s">
        <v>24</v>
      </c>
      <c r="AE1680" s="1" t="s">
        <v>24</v>
      </c>
      <c r="AF1680" s="22"/>
    </row>
    <row r="1681" spans="1:32" x14ac:dyDescent="0.2">
      <c r="A1681" s="1">
        <v>10138</v>
      </c>
      <c r="B1681" s="1" t="s">
        <v>5412</v>
      </c>
      <c r="C1681" s="5" t="s">
        <v>0</v>
      </c>
      <c r="D1681" s="1" t="s">
        <v>5413</v>
      </c>
      <c r="E1681" s="1" t="s">
        <v>5414</v>
      </c>
      <c r="F1681" s="1" t="s">
        <v>272</v>
      </c>
      <c r="G1681" s="1" t="s">
        <v>61</v>
      </c>
      <c r="H1681" s="1" t="s">
        <v>30</v>
      </c>
      <c r="I1681" s="1" t="s">
        <v>16</v>
      </c>
      <c r="J1681" s="1">
        <v>1</v>
      </c>
      <c r="K1681" s="1">
        <v>12</v>
      </c>
      <c r="L1681" s="1" t="s">
        <v>31</v>
      </c>
      <c r="M1681" s="1" t="s">
        <v>18</v>
      </c>
      <c r="N1681" s="1" t="s">
        <v>18</v>
      </c>
      <c r="O1681" s="1">
        <v>3</v>
      </c>
      <c r="P1681" s="1">
        <v>7</v>
      </c>
      <c r="Q1681" s="7" t="s">
        <v>17633</v>
      </c>
      <c r="R1681" s="1" t="s">
        <v>19</v>
      </c>
      <c r="S1681" s="1" t="s">
        <v>20</v>
      </c>
      <c r="T1681" s="1" t="s">
        <v>21</v>
      </c>
      <c r="U1681" s="1" t="s">
        <v>22</v>
      </c>
      <c r="V1681" s="1" t="s">
        <v>23</v>
      </c>
      <c r="W1681" s="1" t="s">
        <v>24</v>
      </c>
      <c r="X1681" s="1">
        <v>2713</v>
      </c>
      <c r="Y1681" s="1" t="s">
        <v>24</v>
      </c>
      <c r="Z1681" s="1" t="s">
        <v>24</v>
      </c>
      <c r="AA1681" s="1" t="s">
        <v>24</v>
      </c>
      <c r="AB1681" s="1" t="s">
        <v>24</v>
      </c>
      <c r="AC1681" s="1" t="s">
        <v>24</v>
      </c>
      <c r="AD1681" s="1" t="s">
        <v>24</v>
      </c>
      <c r="AE1681" s="1" t="s">
        <v>24</v>
      </c>
      <c r="AF1681" s="22"/>
    </row>
    <row r="1682" spans="1:32" x14ac:dyDescent="0.2">
      <c r="A1682" s="1">
        <v>10142</v>
      </c>
      <c r="B1682" s="1" t="s">
        <v>5415</v>
      </c>
      <c r="C1682" s="5" t="s">
        <v>0</v>
      </c>
      <c r="D1682" s="1" t="s">
        <v>5416</v>
      </c>
      <c r="E1682" s="1" t="s">
        <v>5417</v>
      </c>
      <c r="F1682" s="1" t="s">
        <v>109</v>
      </c>
      <c r="G1682" s="1" t="s">
        <v>110</v>
      </c>
      <c r="H1682" s="1" t="s">
        <v>111</v>
      </c>
      <c r="I1682" s="1" t="s">
        <v>16</v>
      </c>
      <c r="J1682" s="1">
        <v>1</v>
      </c>
      <c r="K1682" s="1">
        <v>6</v>
      </c>
      <c r="L1682" s="1" t="s">
        <v>31</v>
      </c>
      <c r="M1682" s="1" t="s">
        <v>18</v>
      </c>
      <c r="N1682" s="1" t="s">
        <v>18</v>
      </c>
      <c r="O1682" s="1">
        <v>3</v>
      </c>
      <c r="P1682" s="1">
        <v>7</v>
      </c>
      <c r="Q1682" s="7" t="s">
        <v>17633</v>
      </c>
      <c r="R1682" s="1" t="s">
        <v>19</v>
      </c>
      <c r="S1682" s="1" t="s">
        <v>20</v>
      </c>
      <c r="T1682" s="1" t="s">
        <v>21</v>
      </c>
      <c r="U1682" s="1" t="s">
        <v>22</v>
      </c>
      <c r="V1682" s="1" t="s">
        <v>24</v>
      </c>
      <c r="W1682" s="1" t="s">
        <v>24</v>
      </c>
      <c r="X1682" s="1">
        <v>2735</v>
      </c>
      <c r="Y1682" s="1">
        <v>2728</v>
      </c>
      <c r="Z1682" s="1">
        <v>2746</v>
      </c>
      <c r="AA1682" s="1" t="s">
        <v>24</v>
      </c>
      <c r="AB1682" s="1" t="s">
        <v>24</v>
      </c>
      <c r="AC1682" s="1" t="s">
        <v>24</v>
      </c>
      <c r="AD1682" s="1" t="s">
        <v>24</v>
      </c>
      <c r="AE1682" s="1" t="s">
        <v>24</v>
      </c>
      <c r="AF1682" s="22"/>
    </row>
    <row r="1683" spans="1:32" x14ac:dyDescent="0.2">
      <c r="A1683" s="1">
        <v>10144</v>
      </c>
      <c r="B1683" s="1" t="s">
        <v>5418</v>
      </c>
      <c r="C1683" s="5" t="s">
        <v>0</v>
      </c>
      <c r="D1683" s="1" t="s">
        <v>5419</v>
      </c>
      <c r="F1683" s="1" t="s">
        <v>5420</v>
      </c>
      <c r="G1683" s="1" t="s">
        <v>5418</v>
      </c>
      <c r="H1683" s="1" t="s">
        <v>1384</v>
      </c>
      <c r="I1683" s="1" t="s">
        <v>16</v>
      </c>
      <c r="J1683" s="1">
        <v>1</v>
      </c>
      <c r="K1683" s="1">
        <v>8</v>
      </c>
      <c r="L1683" s="1" t="s">
        <v>17</v>
      </c>
      <c r="M1683" s="1" t="s">
        <v>1385</v>
      </c>
      <c r="N1683" s="1" t="s">
        <v>3142</v>
      </c>
      <c r="O1683" s="1">
        <v>2</v>
      </c>
      <c r="P1683" s="1">
        <v>4</v>
      </c>
      <c r="R1683" s="1" t="s">
        <v>19</v>
      </c>
      <c r="S1683" s="1" t="s">
        <v>20</v>
      </c>
      <c r="T1683" s="1" t="s">
        <v>21</v>
      </c>
      <c r="U1683" s="1" t="s">
        <v>22</v>
      </c>
      <c r="V1683" s="1" t="s">
        <v>24</v>
      </c>
      <c r="W1683" s="1" t="s">
        <v>24</v>
      </c>
      <c r="X1683" s="1">
        <v>2705</v>
      </c>
      <c r="Y1683" s="1" t="s">
        <v>24</v>
      </c>
      <c r="Z1683" s="1" t="s">
        <v>24</v>
      </c>
      <c r="AA1683" s="1" t="s">
        <v>24</v>
      </c>
      <c r="AB1683" s="1" t="s">
        <v>24</v>
      </c>
      <c r="AC1683" s="1" t="s">
        <v>24</v>
      </c>
      <c r="AD1683" s="1" t="s">
        <v>24</v>
      </c>
      <c r="AE1683" s="1" t="s">
        <v>24</v>
      </c>
      <c r="AF1683" s="22"/>
    </row>
    <row r="1684" spans="1:32" x14ac:dyDescent="0.2">
      <c r="A1684" s="1">
        <v>10149</v>
      </c>
      <c r="B1684" s="1" t="s">
        <v>5421</v>
      </c>
      <c r="C1684" s="5" t="s">
        <v>0</v>
      </c>
      <c r="D1684" s="1" t="s">
        <v>5422</v>
      </c>
      <c r="E1684" s="1" t="s">
        <v>5423</v>
      </c>
      <c r="F1684" s="1" t="s">
        <v>673</v>
      </c>
      <c r="G1684" s="1" t="s">
        <v>61</v>
      </c>
      <c r="H1684" s="1" t="s">
        <v>30</v>
      </c>
      <c r="I1684" s="1" t="s">
        <v>16</v>
      </c>
      <c r="J1684" s="1">
        <v>1</v>
      </c>
      <c r="K1684" s="1">
        <v>12</v>
      </c>
      <c r="L1684" s="1" t="s">
        <v>31</v>
      </c>
      <c r="M1684" s="1" t="s">
        <v>18</v>
      </c>
      <c r="N1684" s="1" t="s">
        <v>18</v>
      </c>
      <c r="O1684" s="1">
        <v>3</v>
      </c>
      <c r="P1684" s="1">
        <v>7</v>
      </c>
      <c r="Q1684" s="7" t="s">
        <v>17633</v>
      </c>
      <c r="R1684" s="1" t="s">
        <v>62</v>
      </c>
      <c r="S1684" s="1" t="s">
        <v>20</v>
      </c>
      <c r="T1684" s="1" t="s">
        <v>21</v>
      </c>
      <c r="U1684" s="1" t="s">
        <v>22</v>
      </c>
      <c r="V1684" s="1" t="s">
        <v>24</v>
      </c>
      <c r="W1684" s="1" t="s">
        <v>24</v>
      </c>
      <c r="X1684" s="1">
        <v>2747</v>
      </c>
      <c r="Y1684" s="1">
        <v>2705</v>
      </c>
      <c r="Z1684" s="1">
        <v>2740</v>
      </c>
      <c r="AA1684" s="1">
        <v>2746</v>
      </c>
      <c r="AB1684" s="1" t="s">
        <v>24</v>
      </c>
      <c r="AC1684" s="1" t="s">
        <v>24</v>
      </c>
      <c r="AD1684" s="1" t="s">
        <v>24</v>
      </c>
      <c r="AE1684" s="1" t="s">
        <v>24</v>
      </c>
      <c r="AF1684" s="22"/>
    </row>
    <row r="1685" spans="1:32" x14ac:dyDescent="0.2">
      <c r="A1685" s="1">
        <v>10153</v>
      </c>
      <c r="B1685" s="1" t="s">
        <v>5424</v>
      </c>
      <c r="C1685" s="5" t="s">
        <v>0</v>
      </c>
      <c r="D1685" s="1" t="s">
        <v>5425</v>
      </c>
      <c r="E1685" s="1" t="s">
        <v>5426</v>
      </c>
      <c r="F1685" s="1" t="s">
        <v>28</v>
      </c>
      <c r="G1685" s="1" t="s">
        <v>29</v>
      </c>
      <c r="H1685" s="1" t="s">
        <v>37</v>
      </c>
      <c r="I1685" s="1" t="s">
        <v>16</v>
      </c>
      <c r="J1685" s="1">
        <v>1</v>
      </c>
      <c r="K1685" s="1">
        <v>18</v>
      </c>
      <c r="L1685" s="1" t="s">
        <v>31</v>
      </c>
      <c r="M1685" s="1" t="s">
        <v>18</v>
      </c>
      <c r="N1685" s="1" t="s">
        <v>18</v>
      </c>
      <c r="O1685" s="1">
        <v>3</v>
      </c>
      <c r="P1685" s="1">
        <v>7</v>
      </c>
      <c r="Q1685" s="7" t="s">
        <v>17633</v>
      </c>
      <c r="R1685" s="1" t="s">
        <v>19</v>
      </c>
      <c r="S1685" s="1" t="s">
        <v>20</v>
      </c>
      <c r="T1685" s="1" t="s">
        <v>21</v>
      </c>
      <c r="U1685" s="1" t="s">
        <v>22</v>
      </c>
      <c r="V1685" s="1" t="s">
        <v>24</v>
      </c>
      <c r="W1685" s="1" t="s">
        <v>24</v>
      </c>
      <c r="X1685" s="1">
        <v>2800</v>
      </c>
      <c r="Y1685" s="1" t="s">
        <v>24</v>
      </c>
      <c r="Z1685" s="1" t="s">
        <v>24</v>
      </c>
      <c r="AA1685" s="1" t="s">
        <v>24</v>
      </c>
      <c r="AB1685" s="1" t="s">
        <v>24</v>
      </c>
      <c r="AC1685" s="1" t="s">
        <v>24</v>
      </c>
      <c r="AD1685" s="1" t="s">
        <v>24</v>
      </c>
      <c r="AE1685" s="1" t="s">
        <v>24</v>
      </c>
      <c r="AF1685" s="22"/>
    </row>
    <row r="1686" spans="1:32" x14ac:dyDescent="0.2">
      <c r="A1686" s="1">
        <v>10155</v>
      </c>
      <c r="B1686" s="1" t="s">
        <v>5427</v>
      </c>
      <c r="C1686" s="5" t="s">
        <v>0</v>
      </c>
      <c r="D1686" s="1" t="s">
        <v>5428</v>
      </c>
      <c r="E1686" s="1" t="s">
        <v>5429</v>
      </c>
      <c r="F1686" s="1" t="s">
        <v>217</v>
      </c>
      <c r="G1686" s="1" t="s">
        <v>130</v>
      </c>
      <c r="H1686" s="1" t="s">
        <v>92</v>
      </c>
      <c r="I1686" s="1" t="s">
        <v>16</v>
      </c>
      <c r="J1686" s="1">
        <v>1</v>
      </c>
      <c r="K1686" s="1">
        <v>10</v>
      </c>
      <c r="L1686" s="1" t="s">
        <v>31</v>
      </c>
      <c r="M1686" s="1" t="s">
        <v>18</v>
      </c>
      <c r="N1686" s="1" t="s">
        <v>18</v>
      </c>
      <c r="O1686" s="1">
        <v>3</v>
      </c>
      <c r="P1686" s="1">
        <v>7</v>
      </c>
      <c r="Q1686" s="7" t="s">
        <v>17633</v>
      </c>
      <c r="R1686" s="1" t="s">
        <v>62</v>
      </c>
      <c r="S1686" s="1" t="s">
        <v>20</v>
      </c>
      <c r="T1686" s="1" t="s">
        <v>21</v>
      </c>
      <c r="U1686" s="1" t="s">
        <v>22</v>
      </c>
      <c r="V1686" s="1" t="s">
        <v>24</v>
      </c>
      <c r="W1686" s="1" t="s">
        <v>24</v>
      </c>
      <c r="X1686" s="1">
        <v>2730</v>
      </c>
      <c r="Y1686" s="1">
        <v>1306</v>
      </c>
      <c r="Z1686" s="1" t="s">
        <v>24</v>
      </c>
      <c r="AA1686" s="1" t="s">
        <v>24</v>
      </c>
      <c r="AB1686" s="1" t="s">
        <v>24</v>
      </c>
      <c r="AC1686" s="1" t="s">
        <v>24</v>
      </c>
      <c r="AD1686" s="1" t="s">
        <v>24</v>
      </c>
      <c r="AE1686" s="1" t="s">
        <v>24</v>
      </c>
      <c r="AF1686" s="22"/>
    </row>
    <row r="1687" spans="1:32" x14ac:dyDescent="0.2">
      <c r="A1687" s="1">
        <v>10161</v>
      </c>
      <c r="B1687" s="1" t="s">
        <v>5430</v>
      </c>
      <c r="C1687" s="5" t="s">
        <v>0</v>
      </c>
      <c r="D1687" s="1" t="s">
        <v>5431</v>
      </c>
      <c r="E1687" s="1" t="s">
        <v>5432</v>
      </c>
      <c r="F1687" s="1" t="s">
        <v>601</v>
      </c>
      <c r="G1687" s="1" t="s">
        <v>61</v>
      </c>
      <c r="H1687" s="1" t="s">
        <v>37</v>
      </c>
      <c r="I1687" s="1" t="s">
        <v>16</v>
      </c>
      <c r="J1687" s="1">
        <v>1</v>
      </c>
      <c r="K1687" s="1">
        <v>6</v>
      </c>
      <c r="L1687" s="1" t="s">
        <v>31</v>
      </c>
      <c r="M1687" s="1" t="s">
        <v>18</v>
      </c>
      <c r="N1687" s="1" t="s">
        <v>18</v>
      </c>
      <c r="O1687" s="1">
        <v>3</v>
      </c>
      <c r="P1687" s="1">
        <v>7</v>
      </c>
      <c r="Q1687" s="7" t="s">
        <v>17633</v>
      </c>
      <c r="R1687" s="1" t="s">
        <v>19</v>
      </c>
      <c r="S1687" s="1" t="s">
        <v>20</v>
      </c>
      <c r="T1687" s="1" t="s">
        <v>21</v>
      </c>
      <c r="U1687" s="1" t="s">
        <v>22</v>
      </c>
      <c r="V1687" s="1" t="s">
        <v>24</v>
      </c>
      <c r="W1687" s="1" t="s">
        <v>24</v>
      </c>
      <c r="X1687" s="1">
        <v>1305</v>
      </c>
      <c r="Y1687" s="1">
        <v>2402</v>
      </c>
      <c r="Z1687" s="1">
        <v>1502</v>
      </c>
      <c r="AA1687" s="1">
        <v>2400</v>
      </c>
      <c r="AB1687" s="1">
        <v>3004</v>
      </c>
      <c r="AC1687" s="1" t="s">
        <v>24</v>
      </c>
      <c r="AD1687" s="1" t="s">
        <v>24</v>
      </c>
      <c r="AE1687" s="1" t="s">
        <v>24</v>
      </c>
      <c r="AF1687" s="22"/>
    </row>
    <row r="1688" spans="1:32" x14ac:dyDescent="0.2">
      <c r="A1688" s="1">
        <v>10170</v>
      </c>
      <c r="B1688" s="1" t="s">
        <v>5433</v>
      </c>
      <c r="C1688" s="5" t="s">
        <v>0</v>
      </c>
      <c r="D1688" s="1" t="s">
        <v>5434</v>
      </c>
      <c r="E1688" s="1" t="s">
        <v>5435</v>
      </c>
      <c r="F1688" s="1" t="s">
        <v>28</v>
      </c>
      <c r="G1688" s="1" t="s">
        <v>29</v>
      </c>
      <c r="H1688" s="1" t="s">
        <v>30</v>
      </c>
      <c r="I1688" s="1" t="s">
        <v>16</v>
      </c>
      <c r="J1688" s="1">
        <v>1</v>
      </c>
      <c r="K1688" s="1">
        <v>9</v>
      </c>
      <c r="L1688" s="1" t="s">
        <v>31</v>
      </c>
      <c r="M1688" s="1" t="s">
        <v>18</v>
      </c>
      <c r="N1688" s="1" t="s">
        <v>18</v>
      </c>
      <c r="O1688" s="1">
        <v>3</v>
      </c>
      <c r="P1688" s="1">
        <v>7</v>
      </c>
      <c r="Q1688" s="7" t="s">
        <v>17633</v>
      </c>
      <c r="R1688" s="1" t="s">
        <v>19</v>
      </c>
      <c r="S1688" s="1" t="s">
        <v>20</v>
      </c>
      <c r="T1688" s="1" t="s">
        <v>21</v>
      </c>
      <c r="U1688" s="1" t="s">
        <v>22</v>
      </c>
      <c r="V1688" s="1" t="s">
        <v>24</v>
      </c>
      <c r="W1688" s="1" t="s">
        <v>24</v>
      </c>
      <c r="X1688" s="1">
        <v>2729</v>
      </c>
      <c r="Y1688" s="1">
        <v>2730</v>
      </c>
      <c r="Z1688" s="1" t="s">
        <v>24</v>
      </c>
      <c r="AA1688" s="1" t="s">
        <v>24</v>
      </c>
      <c r="AB1688" s="1" t="s">
        <v>24</v>
      </c>
      <c r="AC1688" s="1" t="s">
        <v>24</v>
      </c>
      <c r="AD1688" s="1" t="s">
        <v>24</v>
      </c>
      <c r="AE1688" s="1" t="s">
        <v>24</v>
      </c>
      <c r="AF1688" s="22"/>
    </row>
    <row r="1689" spans="1:32" x14ac:dyDescent="0.2">
      <c r="A1689" s="1">
        <v>10183</v>
      </c>
      <c r="B1689" s="1" t="s">
        <v>5436</v>
      </c>
      <c r="C1689" s="5" t="s">
        <v>0</v>
      </c>
      <c r="D1689" s="1" t="s">
        <v>5437</v>
      </c>
      <c r="E1689" s="1" t="s">
        <v>5438</v>
      </c>
      <c r="F1689" s="1" t="s">
        <v>35</v>
      </c>
      <c r="G1689" s="1" t="s">
        <v>36</v>
      </c>
      <c r="H1689" s="1" t="s">
        <v>37</v>
      </c>
      <c r="I1689" s="1" t="s">
        <v>16</v>
      </c>
      <c r="J1689" s="1">
        <v>1</v>
      </c>
      <c r="K1689" s="1">
        <v>6</v>
      </c>
      <c r="L1689" s="1" t="s">
        <v>31</v>
      </c>
      <c r="M1689" s="1" t="s">
        <v>18</v>
      </c>
      <c r="N1689" s="1" t="s">
        <v>18</v>
      </c>
      <c r="O1689" s="1">
        <v>3</v>
      </c>
      <c r="P1689" s="1">
        <v>6</v>
      </c>
      <c r="R1689" s="1" t="s">
        <v>62</v>
      </c>
      <c r="S1689" s="1" t="s">
        <v>20</v>
      </c>
      <c r="T1689" s="1" t="s">
        <v>21</v>
      </c>
      <c r="U1689" s="1" t="s">
        <v>22</v>
      </c>
      <c r="V1689" s="1" t="s">
        <v>24</v>
      </c>
      <c r="W1689" s="1" t="s">
        <v>24</v>
      </c>
      <c r="X1689" s="1">
        <v>1307</v>
      </c>
      <c r="Y1689" s="1" t="s">
        <v>24</v>
      </c>
      <c r="Z1689" s="1" t="s">
        <v>24</v>
      </c>
      <c r="AA1689" s="1" t="s">
        <v>24</v>
      </c>
      <c r="AB1689" s="1" t="s">
        <v>24</v>
      </c>
      <c r="AC1689" s="1" t="s">
        <v>24</v>
      </c>
      <c r="AD1689" s="1" t="s">
        <v>24</v>
      </c>
      <c r="AE1689" s="1" t="s">
        <v>24</v>
      </c>
      <c r="AF1689" s="22"/>
    </row>
    <row r="1690" spans="1:32" x14ac:dyDescent="0.2">
      <c r="A1690" s="1">
        <v>10194</v>
      </c>
      <c r="B1690" s="1" t="s">
        <v>5439</v>
      </c>
      <c r="C1690" s="5" t="s">
        <v>0</v>
      </c>
      <c r="D1690" s="1" t="s">
        <v>5440</v>
      </c>
      <c r="E1690" s="1" t="s">
        <v>5441</v>
      </c>
      <c r="F1690" s="1" t="s">
        <v>155</v>
      </c>
      <c r="G1690" s="1" t="s">
        <v>61</v>
      </c>
      <c r="H1690" s="1" t="s">
        <v>37</v>
      </c>
      <c r="I1690" s="1" t="s">
        <v>16</v>
      </c>
      <c r="J1690" s="1">
        <v>1</v>
      </c>
      <c r="K1690" s="1">
        <v>1</v>
      </c>
      <c r="L1690" s="1" t="s">
        <v>31</v>
      </c>
      <c r="M1690" s="1" t="s">
        <v>18</v>
      </c>
      <c r="N1690" s="1" t="s">
        <v>18</v>
      </c>
      <c r="O1690" s="1">
        <v>3</v>
      </c>
      <c r="P1690" s="1">
        <v>7</v>
      </c>
      <c r="Q1690" s="7" t="s">
        <v>17633</v>
      </c>
      <c r="R1690" s="1" t="s">
        <v>19</v>
      </c>
      <c r="S1690" s="1" t="s">
        <v>63</v>
      </c>
      <c r="T1690" s="1" t="s">
        <v>21</v>
      </c>
      <c r="U1690" s="1" t="s">
        <v>22</v>
      </c>
      <c r="V1690" s="1" t="s">
        <v>24</v>
      </c>
      <c r="W1690" s="1" t="s">
        <v>64</v>
      </c>
      <c r="X1690" s="1">
        <v>1303</v>
      </c>
      <c r="Y1690" s="1">
        <v>1602</v>
      </c>
      <c r="Z1690" s="1">
        <v>1605</v>
      </c>
      <c r="AA1690" s="1" t="s">
        <v>24</v>
      </c>
      <c r="AB1690" s="1" t="s">
        <v>24</v>
      </c>
      <c r="AC1690" s="1" t="s">
        <v>24</v>
      </c>
      <c r="AD1690" s="1" t="s">
        <v>24</v>
      </c>
      <c r="AE1690" s="1" t="s">
        <v>24</v>
      </c>
      <c r="AF1690" s="22"/>
    </row>
    <row r="1691" spans="1:32" x14ac:dyDescent="0.2">
      <c r="A1691" s="1">
        <v>10197</v>
      </c>
      <c r="B1691" s="1" t="s">
        <v>5442</v>
      </c>
      <c r="C1691" s="5" t="s">
        <v>0</v>
      </c>
      <c r="D1691" s="1" t="s">
        <v>5443</v>
      </c>
      <c r="E1691" s="1" t="s">
        <v>5444</v>
      </c>
      <c r="F1691" s="1" t="s">
        <v>91</v>
      </c>
      <c r="G1691" s="1" t="s">
        <v>61</v>
      </c>
      <c r="H1691" s="1" t="s">
        <v>92</v>
      </c>
      <c r="I1691" s="1" t="s">
        <v>16</v>
      </c>
      <c r="J1691" s="1">
        <v>1</v>
      </c>
      <c r="K1691" s="1">
        <v>11</v>
      </c>
      <c r="L1691" s="1" t="s">
        <v>31</v>
      </c>
      <c r="M1691" s="1" t="s">
        <v>18</v>
      </c>
      <c r="N1691" s="1" t="s">
        <v>18</v>
      </c>
      <c r="O1691" s="1">
        <v>3</v>
      </c>
      <c r="P1691" s="1">
        <v>7</v>
      </c>
      <c r="Q1691" s="7" t="s">
        <v>17633</v>
      </c>
      <c r="R1691" s="1" t="s">
        <v>62</v>
      </c>
      <c r="S1691" s="1" t="s">
        <v>63</v>
      </c>
      <c r="T1691" s="1" t="s">
        <v>21</v>
      </c>
      <c r="U1691" s="1" t="s">
        <v>22</v>
      </c>
      <c r="V1691" s="1" t="s">
        <v>24</v>
      </c>
      <c r="W1691" s="1" t="s">
        <v>24</v>
      </c>
      <c r="X1691" s="1">
        <v>1602</v>
      </c>
      <c r="Y1691" s="1">
        <v>1607</v>
      </c>
      <c r="Z1691" s="1">
        <v>2304</v>
      </c>
      <c r="AA1691" s="1" t="s">
        <v>24</v>
      </c>
      <c r="AB1691" s="1" t="s">
        <v>24</v>
      </c>
      <c r="AC1691" s="1" t="s">
        <v>24</v>
      </c>
      <c r="AD1691" s="1" t="s">
        <v>24</v>
      </c>
      <c r="AE1691" s="1" t="s">
        <v>24</v>
      </c>
      <c r="AF1691" s="22"/>
    </row>
    <row r="1692" spans="1:32" x14ac:dyDescent="0.2">
      <c r="A1692" s="1">
        <v>10198</v>
      </c>
      <c r="B1692" s="1" t="s">
        <v>5445</v>
      </c>
      <c r="C1692" s="5" t="s">
        <v>0</v>
      </c>
      <c r="D1692" s="1" t="s">
        <v>5446</v>
      </c>
      <c r="E1692" s="1" t="s">
        <v>5447</v>
      </c>
      <c r="F1692" s="1" t="s">
        <v>55</v>
      </c>
      <c r="G1692" s="1" t="s">
        <v>56</v>
      </c>
      <c r="H1692" s="1" t="s">
        <v>37</v>
      </c>
      <c r="I1692" s="1" t="s">
        <v>16</v>
      </c>
      <c r="J1692" s="1">
        <v>1</v>
      </c>
      <c r="K1692" s="1">
        <v>12</v>
      </c>
      <c r="L1692" s="1" t="s">
        <v>31</v>
      </c>
      <c r="M1692" s="1" t="s">
        <v>18</v>
      </c>
      <c r="N1692" s="1" t="s">
        <v>18</v>
      </c>
      <c r="O1692" s="1">
        <v>3</v>
      </c>
      <c r="P1692" s="1">
        <v>7</v>
      </c>
      <c r="Q1692" s="7" t="s">
        <v>17633</v>
      </c>
      <c r="R1692" s="1" t="s">
        <v>62</v>
      </c>
      <c r="S1692" s="1" t="s">
        <v>20</v>
      </c>
      <c r="T1692" s="1" t="s">
        <v>21</v>
      </c>
      <c r="U1692" s="1" t="s">
        <v>22</v>
      </c>
      <c r="V1692" s="1" t="s">
        <v>24</v>
      </c>
      <c r="W1692" s="1" t="s">
        <v>64</v>
      </c>
      <c r="X1692" s="1">
        <v>1303</v>
      </c>
      <c r="Y1692" s="1" t="s">
        <v>24</v>
      </c>
      <c r="Z1692" s="1" t="s">
        <v>24</v>
      </c>
      <c r="AA1692" s="1" t="s">
        <v>24</v>
      </c>
      <c r="AB1692" s="1" t="s">
        <v>24</v>
      </c>
      <c r="AC1692" s="1" t="s">
        <v>24</v>
      </c>
      <c r="AD1692" s="1" t="s">
        <v>24</v>
      </c>
      <c r="AE1692" s="1" t="s">
        <v>24</v>
      </c>
      <c r="AF1692" s="22"/>
    </row>
    <row r="1693" spans="1:32" x14ac:dyDescent="0.2">
      <c r="A1693" s="1">
        <v>10200</v>
      </c>
      <c r="B1693" s="1" t="s">
        <v>5448</v>
      </c>
      <c r="C1693" s="5" t="s">
        <v>0</v>
      </c>
      <c r="D1693" s="1" t="s">
        <v>5449</v>
      </c>
      <c r="E1693" s="1" t="s">
        <v>5450</v>
      </c>
      <c r="F1693" s="1" t="s">
        <v>669</v>
      </c>
      <c r="G1693" s="1" t="s">
        <v>311</v>
      </c>
      <c r="H1693" s="1" t="s">
        <v>30</v>
      </c>
      <c r="I1693" s="1" t="s">
        <v>16</v>
      </c>
      <c r="J1693" s="1">
        <v>1</v>
      </c>
      <c r="K1693" s="1">
        <v>24</v>
      </c>
      <c r="L1693" s="1" t="s">
        <v>31</v>
      </c>
      <c r="M1693" s="1" t="s">
        <v>18</v>
      </c>
      <c r="N1693" s="1" t="s">
        <v>18</v>
      </c>
      <c r="O1693" s="1">
        <v>3</v>
      </c>
      <c r="P1693" s="1">
        <v>6</v>
      </c>
      <c r="R1693" s="1" t="s">
        <v>881</v>
      </c>
      <c r="S1693" s="1" t="s">
        <v>20</v>
      </c>
      <c r="T1693" s="1" t="s">
        <v>21</v>
      </c>
      <c r="U1693" s="1" t="s">
        <v>22</v>
      </c>
      <c r="V1693" s="1" t="s">
        <v>24</v>
      </c>
      <c r="W1693" s="1" t="s">
        <v>64</v>
      </c>
      <c r="X1693" s="1">
        <v>1605</v>
      </c>
      <c r="Y1693" s="1" t="s">
        <v>24</v>
      </c>
      <c r="Z1693" s="1" t="s">
        <v>24</v>
      </c>
      <c r="AA1693" s="1" t="s">
        <v>24</v>
      </c>
      <c r="AB1693" s="1" t="s">
        <v>24</v>
      </c>
      <c r="AC1693" s="1" t="s">
        <v>24</v>
      </c>
      <c r="AD1693" s="1" t="s">
        <v>24</v>
      </c>
      <c r="AE1693" s="1" t="s">
        <v>24</v>
      </c>
      <c r="AF1693" s="22"/>
    </row>
    <row r="1694" spans="1:32" x14ac:dyDescent="0.2">
      <c r="A1694" s="1">
        <v>10202</v>
      </c>
      <c r="B1694" s="1" t="s">
        <v>5451</v>
      </c>
      <c r="C1694" s="5" t="s">
        <v>0</v>
      </c>
      <c r="D1694" s="1" t="s">
        <v>5452</v>
      </c>
      <c r="E1694" s="1" t="s">
        <v>5453</v>
      </c>
      <c r="F1694" s="1" t="s">
        <v>5454</v>
      </c>
      <c r="G1694" s="1" t="s">
        <v>130</v>
      </c>
      <c r="H1694" s="1" t="s">
        <v>168</v>
      </c>
      <c r="I1694" s="1" t="s">
        <v>16</v>
      </c>
      <c r="J1694" s="1">
        <v>2</v>
      </c>
      <c r="K1694" s="1">
        <v>12</v>
      </c>
      <c r="L1694" s="1" t="s">
        <v>31</v>
      </c>
      <c r="M1694" s="1" t="s">
        <v>18</v>
      </c>
      <c r="N1694" s="1" t="s">
        <v>18</v>
      </c>
      <c r="O1694" s="1">
        <v>3</v>
      </c>
      <c r="P1694" s="1">
        <v>7</v>
      </c>
      <c r="Q1694" s="7" t="s">
        <v>17633</v>
      </c>
      <c r="R1694" s="1" t="s">
        <v>19</v>
      </c>
      <c r="S1694" s="1" t="s">
        <v>20</v>
      </c>
      <c r="T1694" s="1" t="s">
        <v>21</v>
      </c>
      <c r="U1694" s="1" t="s">
        <v>22</v>
      </c>
      <c r="V1694" s="1" t="s">
        <v>24</v>
      </c>
      <c r="W1694" s="1" t="s">
        <v>24</v>
      </c>
      <c r="X1694" s="1">
        <v>1602</v>
      </c>
      <c r="Y1694" s="1">
        <v>1303</v>
      </c>
      <c r="Z1694" s="1">
        <v>1308</v>
      </c>
      <c r="AA1694" s="1">
        <v>1605</v>
      </c>
      <c r="AB1694" s="1" t="s">
        <v>24</v>
      </c>
      <c r="AC1694" s="1" t="s">
        <v>24</v>
      </c>
      <c r="AD1694" s="1" t="s">
        <v>24</v>
      </c>
      <c r="AE1694" s="1" t="s">
        <v>24</v>
      </c>
      <c r="AF1694" s="22"/>
    </row>
    <row r="1695" spans="1:32" x14ac:dyDescent="0.2">
      <c r="A1695" s="1">
        <v>10215</v>
      </c>
      <c r="B1695" s="1" t="s">
        <v>5455</v>
      </c>
      <c r="C1695" s="5" t="s">
        <v>0</v>
      </c>
      <c r="D1695" s="1" t="s">
        <v>5456</v>
      </c>
      <c r="E1695" s="1" t="s">
        <v>5457</v>
      </c>
      <c r="F1695" s="1" t="s">
        <v>912</v>
      </c>
      <c r="G1695" s="1" t="s">
        <v>130</v>
      </c>
      <c r="H1695" s="1" t="s">
        <v>168</v>
      </c>
      <c r="I1695" s="1" t="s">
        <v>16</v>
      </c>
      <c r="J1695" s="1">
        <v>1</v>
      </c>
      <c r="K1695" s="1">
        <v>6</v>
      </c>
      <c r="L1695" s="1" t="s">
        <v>31</v>
      </c>
      <c r="M1695" s="1" t="s">
        <v>18</v>
      </c>
      <c r="N1695" s="1" t="s">
        <v>18</v>
      </c>
      <c r="O1695" s="1">
        <v>3</v>
      </c>
      <c r="P1695" s="1">
        <v>6</v>
      </c>
      <c r="R1695" s="1" t="s">
        <v>19</v>
      </c>
      <c r="S1695" s="1" t="s">
        <v>20</v>
      </c>
      <c r="T1695" s="1" t="s">
        <v>21</v>
      </c>
      <c r="U1695" s="1" t="s">
        <v>22</v>
      </c>
      <c r="V1695" s="1" t="s">
        <v>24</v>
      </c>
      <c r="W1695" s="1" t="s">
        <v>24</v>
      </c>
      <c r="X1695" s="1">
        <v>2728</v>
      </c>
      <c r="Y1695" s="1">
        <v>2807</v>
      </c>
      <c r="Z1695" s="1" t="s">
        <v>24</v>
      </c>
      <c r="AA1695" s="1" t="s">
        <v>24</v>
      </c>
      <c r="AB1695" s="1" t="s">
        <v>24</v>
      </c>
      <c r="AC1695" s="1" t="s">
        <v>24</v>
      </c>
      <c r="AD1695" s="1" t="s">
        <v>24</v>
      </c>
      <c r="AE1695" s="1" t="s">
        <v>24</v>
      </c>
      <c r="AF1695" s="22"/>
    </row>
    <row r="1696" spans="1:32" x14ac:dyDescent="0.2">
      <c r="A1696" s="1">
        <v>10216</v>
      </c>
      <c r="B1696" s="1" t="s">
        <v>5458</v>
      </c>
      <c r="C1696" s="5" t="s">
        <v>0</v>
      </c>
      <c r="D1696" s="1" t="s">
        <v>5459</v>
      </c>
      <c r="E1696" s="1" t="s">
        <v>5460</v>
      </c>
      <c r="F1696" s="1" t="s">
        <v>28</v>
      </c>
      <c r="G1696" s="1" t="s">
        <v>29</v>
      </c>
      <c r="H1696" s="1" t="s">
        <v>37</v>
      </c>
      <c r="I1696" s="1" t="s">
        <v>16</v>
      </c>
      <c r="J1696" s="1">
        <v>1</v>
      </c>
      <c r="K1696" s="1">
        <v>6</v>
      </c>
      <c r="L1696" s="1" t="s">
        <v>31</v>
      </c>
      <c r="M1696" s="1" t="s">
        <v>18</v>
      </c>
      <c r="N1696" s="1" t="s">
        <v>18</v>
      </c>
      <c r="O1696" s="1">
        <v>3</v>
      </c>
      <c r="P1696" s="1">
        <v>7</v>
      </c>
      <c r="Q1696" s="7" t="s">
        <v>17633</v>
      </c>
      <c r="R1696" s="1" t="s">
        <v>19</v>
      </c>
      <c r="S1696" s="1" t="s">
        <v>20</v>
      </c>
      <c r="T1696" s="1" t="s">
        <v>21</v>
      </c>
      <c r="U1696" s="1" t="s">
        <v>22</v>
      </c>
      <c r="V1696" s="1" t="s">
        <v>24</v>
      </c>
      <c r="W1696" s="1" t="s">
        <v>24</v>
      </c>
      <c r="X1696" s="1">
        <v>1306</v>
      </c>
      <c r="Y1696" s="1">
        <v>2730</v>
      </c>
      <c r="Z1696" s="1">
        <v>2708</v>
      </c>
      <c r="AA1696" s="1" t="s">
        <v>24</v>
      </c>
      <c r="AB1696" s="1" t="s">
        <v>24</v>
      </c>
      <c r="AC1696" s="1" t="s">
        <v>24</v>
      </c>
      <c r="AD1696" s="1" t="s">
        <v>24</v>
      </c>
      <c r="AE1696" s="1" t="s">
        <v>24</v>
      </c>
      <c r="AF1696" s="22"/>
    </row>
    <row r="1697" spans="1:32" x14ac:dyDescent="0.2">
      <c r="A1697" s="1">
        <v>10217</v>
      </c>
      <c r="B1697" s="1" t="s">
        <v>5461</v>
      </c>
      <c r="C1697" s="5" t="s">
        <v>0</v>
      </c>
      <c r="D1697" s="1" t="s">
        <v>5462</v>
      </c>
      <c r="E1697" s="1" t="s">
        <v>5463</v>
      </c>
      <c r="F1697" s="1" t="s">
        <v>190</v>
      </c>
      <c r="G1697" s="1" t="s">
        <v>130</v>
      </c>
      <c r="H1697" s="1" t="s">
        <v>30</v>
      </c>
      <c r="I1697" s="1" t="s">
        <v>16</v>
      </c>
      <c r="J1697" s="1">
        <v>1</v>
      </c>
      <c r="K1697" s="1">
        <v>12</v>
      </c>
      <c r="L1697" s="1" t="s">
        <v>31</v>
      </c>
      <c r="M1697" s="1" t="s">
        <v>18</v>
      </c>
      <c r="N1697" s="1" t="s">
        <v>18</v>
      </c>
      <c r="O1697" s="1">
        <v>3</v>
      </c>
      <c r="P1697" s="1">
        <v>7</v>
      </c>
      <c r="Q1697" s="7" t="s">
        <v>17633</v>
      </c>
      <c r="R1697" s="1" t="s">
        <v>62</v>
      </c>
      <c r="S1697" s="1" t="s">
        <v>20</v>
      </c>
      <c r="T1697" s="1" t="s">
        <v>21</v>
      </c>
      <c r="U1697" s="1" t="s">
        <v>22</v>
      </c>
      <c r="V1697" s="1" t="s">
        <v>24</v>
      </c>
      <c r="W1697" s="1" t="s">
        <v>24</v>
      </c>
      <c r="X1697" s="1">
        <v>2746</v>
      </c>
      <c r="Y1697" s="1">
        <v>2712</v>
      </c>
      <c r="Z1697" s="1">
        <v>2916</v>
      </c>
      <c r="AA1697" s="1" t="s">
        <v>24</v>
      </c>
      <c r="AB1697" s="1" t="s">
        <v>24</v>
      </c>
      <c r="AC1697" s="1" t="s">
        <v>24</v>
      </c>
      <c r="AD1697" s="1" t="s">
        <v>24</v>
      </c>
      <c r="AE1697" s="1" t="s">
        <v>24</v>
      </c>
      <c r="AF1697" s="22"/>
    </row>
    <row r="1698" spans="1:32" x14ac:dyDescent="0.2">
      <c r="A1698" s="1">
        <v>10219</v>
      </c>
      <c r="B1698" s="1" t="s">
        <v>5464</v>
      </c>
      <c r="C1698" s="5" t="s">
        <v>0</v>
      </c>
      <c r="D1698" s="1" t="s">
        <v>5465</v>
      </c>
      <c r="E1698" s="1" t="s">
        <v>5466</v>
      </c>
      <c r="F1698" s="1" t="s">
        <v>548</v>
      </c>
      <c r="G1698" s="1" t="s">
        <v>36</v>
      </c>
      <c r="H1698" s="1" t="s">
        <v>30</v>
      </c>
      <c r="I1698" s="1" t="s">
        <v>16</v>
      </c>
      <c r="J1698" s="1">
        <v>1</v>
      </c>
      <c r="K1698" s="1">
        <v>4</v>
      </c>
      <c r="L1698" s="1" t="s">
        <v>31</v>
      </c>
      <c r="M1698" s="1" t="s">
        <v>18</v>
      </c>
      <c r="N1698" s="1" t="s">
        <v>18</v>
      </c>
      <c r="O1698" s="1">
        <v>3</v>
      </c>
      <c r="P1698" s="1">
        <v>6</v>
      </c>
      <c r="R1698" s="1" t="s">
        <v>19</v>
      </c>
      <c r="S1698" s="1" t="s">
        <v>20</v>
      </c>
      <c r="T1698" s="1" t="s">
        <v>21</v>
      </c>
      <c r="U1698" s="1" t="s">
        <v>22</v>
      </c>
      <c r="V1698" s="1" t="s">
        <v>23</v>
      </c>
      <c r="W1698" s="1" t="s">
        <v>24</v>
      </c>
      <c r="X1698" s="1">
        <v>2741</v>
      </c>
      <c r="Y1698" s="1">
        <v>2728</v>
      </c>
      <c r="Z1698" s="1" t="s">
        <v>24</v>
      </c>
      <c r="AA1698" s="1" t="s">
        <v>24</v>
      </c>
      <c r="AB1698" s="1" t="s">
        <v>24</v>
      </c>
      <c r="AC1698" s="1" t="s">
        <v>24</v>
      </c>
      <c r="AD1698" s="1" t="s">
        <v>24</v>
      </c>
      <c r="AE1698" s="1" t="s">
        <v>24</v>
      </c>
      <c r="AF1698" s="22"/>
    </row>
    <row r="1699" spans="1:32" x14ac:dyDescent="0.2">
      <c r="A1699" s="1">
        <v>10222</v>
      </c>
      <c r="B1699" s="1" t="s">
        <v>5467</v>
      </c>
      <c r="C1699" s="5" t="s">
        <v>0</v>
      </c>
      <c r="D1699" s="1" t="s">
        <v>5468</v>
      </c>
      <c r="F1699" s="1" t="s">
        <v>155</v>
      </c>
      <c r="G1699" s="1" t="s">
        <v>61</v>
      </c>
      <c r="H1699" s="1" t="s">
        <v>37</v>
      </c>
      <c r="I1699" s="1" t="s">
        <v>16</v>
      </c>
      <c r="J1699" s="1">
        <v>1</v>
      </c>
      <c r="K1699" s="1">
        <v>4</v>
      </c>
      <c r="L1699" s="1" t="s">
        <v>31</v>
      </c>
      <c r="M1699" s="1" t="s">
        <v>18</v>
      </c>
      <c r="N1699" s="1" t="s">
        <v>18</v>
      </c>
      <c r="O1699" s="1">
        <v>3</v>
      </c>
      <c r="P1699" s="1">
        <v>5</v>
      </c>
      <c r="R1699" s="1" t="s">
        <v>19</v>
      </c>
      <c r="S1699" s="1" t="s">
        <v>20</v>
      </c>
      <c r="T1699" s="1" t="s">
        <v>21</v>
      </c>
      <c r="U1699" s="1" t="s">
        <v>22</v>
      </c>
      <c r="V1699" s="1" t="s">
        <v>24</v>
      </c>
      <c r="W1699" s="1" t="s">
        <v>24</v>
      </c>
      <c r="X1699" s="1">
        <v>2700</v>
      </c>
      <c r="Y1699" s="1" t="s">
        <v>24</v>
      </c>
      <c r="Z1699" s="1" t="s">
        <v>24</v>
      </c>
      <c r="AA1699" s="1" t="s">
        <v>24</v>
      </c>
      <c r="AB1699" s="1" t="s">
        <v>24</v>
      </c>
      <c r="AC1699" s="1" t="s">
        <v>24</v>
      </c>
      <c r="AD1699" s="1" t="s">
        <v>24</v>
      </c>
      <c r="AE1699" s="1" t="s">
        <v>24</v>
      </c>
      <c r="AF1699" s="22"/>
    </row>
    <row r="1700" spans="1:32" x14ac:dyDescent="0.2">
      <c r="A1700" s="1">
        <v>10232</v>
      </c>
      <c r="B1700" s="1" t="s">
        <v>5469</v>
      </c>
      <c r="C1700" s="5" t="s">
        <v>0</v>
      </c>
      <c r="D1700" s="1" t="s">
        <v>5470</v>
      </c>
      <c r="E1700" s="1" t="s">
        <v>5471</v>
      </c>
      <c r="F1700" s="1" t="s">
        <v>912</v>
      </c>
      <c r="G1700" s="1" t="s">
        <v>130</v>
      </c>
      <c r="H1700" s="1" t="s">
        <v>168</v>
      </c>
      <c r="I1700" s="1" t="s">
        <v>16</v>
      </c>
      <c r="J1700" s="1">
        <v>1</v>
      </c>
      <c r="K1700" s="1">
        <v>6</v>
      </c>
      <c r="L1700" s="1" t="s">
        <v>31</v>
      </c>
      <c r="M1700" s="1" t="s">
        <v>18</v>
      </c>
      <c r="N1700" s="1" t="s">
        <v>18</v>
      </c>
      <c r="O1700" s="1">
        <v>3</v>
      </c>
      <c r="P1700" s="1">
        <v>7</v>
      </c>
      <c r="Q1700" s="7" t="s">
        <v>17633</v>
      </c>
      <c r="R1700" s="1" t="s">
        <v>19</v>
      </c>
      <c r="S1700" s="1" t="s">
        <v>20</v>
      </c>
      <c r="T1700" s="1" t="s">
        <v>21</v>
      </c>
      <c r="U1700" s="1" t="s">
        <v>22</v>
      </c>
      <c r="V1700" s="1" t="s">
        <v>24</v>
      </c>
      <c r="W1700" s="1" t="s">
        <v>24</v>
      </c>
      <c r="X1700" s="1">
        <v>2738</v>
      </c>
      <c r="Y1700" s="1">
        <v>2803</v>
      </c>
      <c r="Z1700" s="1">
        <v>2736</v>
      </c>
      <c r="AA1700" s="1" t="s">
        <v>24</v>
      </c>
      <c r="AB1700" s="1" t="s">
        <v>24</v>
      </c>
      <c r="AC1700" s="1" t="s">
        <v>24</v>
      </c>
      <c r="AD1700" s="1" t="s">
        <v>24</v>
      </c>
      <c r="AE1700" s="1" t="s">
        <v>24</v>
      </c>
      <c r="AF1700" s="22"/>
    </row>
    <row r="1701" spans="1:32" x14ac:dyDescent="0.2">
      <c r="A1701" s="1">
        <v>10234</v>
      </c>
      <c r="B1701" s="1" t="s">
        <v>5472</v>
      </c>
      <c r="C1701" s="5" t="s">
        <v>0</v>
      </c>
      <c r="D1701" s="1" t="s">
        <v>5473</v>
      </c>
      <c r="E1701" s="1" t="s">
        <v>5474</v>
      </c>
      <c r="F1701" s="1" t="s">
        <v>221</v>
      </c>
      <c r="G1701" s="1" t="s">
        <v>61</v>
      </c>
      <c r="H1701" s="1" t="s">
        <v>222</v>
      </c>
      <c r="I1701" s="1" t="s">
        <v>16</v>
      </c>
      <c r="J1701" s="1">
        <v>1</v>
      </c>
      <c r="K1701" s="1">
        <v>12</v>
      </c>
      <c r="L1701" s="1" t="s">
        <v>31</v>
      </c>
      <c r="M1701" s="1" t="s">
        <v>18</v>
      </c>
      <c r="N1701" s="1" t="s">
        <v>18</v>
      </c>
      <c r="O1701" s="1">
        <v>3</v>
      </c>
      <c r="P1701" s="1">
        <v>7</v>
      </c>
      <c r="Q1701" s="7" t="s">
        <v>17633</v>
      </c>
      <c r="R1701" s="1" t="s">
        <v>62</v>
      </c>
      <c r="S1701" s="1" t="s">
        <v>20</v>
      </c>
      <c r="T1701" s="1" t="s">
        <v>21</v>
      </c>
      <c r="U1701" s="1" t="s">
        <v>22</v>
      </c>
      <c r="V1701" s="1" t="s">
        <v>24</v>
      </c>
      <c r="W1701" s="1" t="s">
        <v>24</v>
      </c>
      <c r="X1701" s="1">
        <v>1309</v>
      </c>
      <c r="Y1701" s="1">
        <v>2710</v>
      </c>
      <c r="Z1701" s="1" t="s">
        <v>24</v>
      </c>
      <c r="AA1701" s="1" t="s">
        <v>24</v>
      </c>
      <c r="AB1701" s="1" t="s">
        <v>24</v>
      </c>
      <c r="AC1701" s="1" t="s">
        <v>24</v>
      </c>
      <c r="AD1701" s="1" t="s">
        <v>24</v>
      </c>
      <c r="AE1701" s="1" t="s">
        <v>24</v>
      </c>
      <c r="AF1701" s="22"/>
    </row>
    <row r="1702" spans="1:32" x14ac:dyDescent="0.2">
      <c r="A1702" s="1">
        <v>10236</v>
      </c>
      <c r="B1702" s="1" t="s">
        <v>5475</v>
      </c>
      <c r="C1702" s="5" t="s">
        <v>0</v>
      </c>
      <c r="D1702" s="1" t="s">
        <v>5476</v>
      </c>
      <c r="F1702" s="1" t="s">
        <v>1708</v>
      </c>
      <c r="G1702" s="1" t="s">
        <v>1708</v>
      </c>
      <c r="H1702" s="1" t="s">
        <v>684</v>
      </c>
      <c r="I1702" s="1" t="s">
        <v>16</v>
      </c>
      <c r="J1702" s="1">
        <v>1</v>
      </c>
      <c r="K1702" s="1">
        <v>4</v>
      </c>
      <c r="L1702" s="1" t="s">
        <v>17</v>
      </c>
      <c r="M1702" s="1" t="s">
        <v>18</v>
      </c>
      <c r="N1702" s="1" t="s">
        <v>18</v>
      </c>
      <c r="O1702" s="1">
        <v>1</v>
      </c>
      <c r="P1702" s="1">
        <v>5</v>
      </c>
      <c r="R1702" s="1" t="s">
        <v>19</v>
      </c>
      <c r="S1702" s="1" t="s">
        <v>20</v>
      </c>
      <c r="T1702" s="1" t="s">
        <v>21</v>
      </c>
      <c r="U1702" s="1" t="s">
        <v>22</v>
      </c>
      <c r="V1702" s="1" t="s">
        <v>24</v>
      </c>
      <c r="W1702" s="1" t="s">
        <v>24</v>
      </c>
      <c r="X1702" s="1">
        <v>1305</v>
      </c>
      <c r="Y1702" s="1">
        <v>2402</v>
      </c>
      <c r="Z1702" s="1">
        <v>1502</v>
      </c>
      <c r="AA1702" s="1" t="s">
        <v>24</v>
      </c>
      <c r="AB1702" s="1" t="s">
        <v>24</v>
      </c>
      <c r="AC1702" s="1" t="s">
        <v>24</v>
      </c>
      <c r="AD1702" s="1" t="s">
        <v>24</v>
      </c>
      <c r="AE1702" s="1" t="s">
        <v>24</v>
      </c>
      <c r="AF1702" s="22"/>
    </row>
    <row r="1703" spans="1:32" x14ac:dyDescent="0.2">
      <c r="A1703" s="1">
        <v>10250</v>
      </c>
      <c r="B1703" s="1" t="s">
        <v>5477</v>
      </c>
      <c r="C1703" s="5" t="s">
        <v>0</v>
      </c>
      <c r="D1703" s="1" t="s">
        <v>5478</v>
      </c>
      <c r="E1703" s="1" t="s">
        <v>5479</v>
      </c>
      <c r="F1703" s="1" t="s">
        <v>272</v>
      </c>
      <c r="G1703" s="1" t="s">
        <v>61</v>
      </c>
      <c r="H1703" s="1" t="s">
        <v>30</v>
      </c>
      <c r="I1703" s="1" t="s">
        <v>16</v>
      </c>
      <c r="J1703" s="1">
        <v>1</v>
      </c>
      <c r="K1703" s="1">
        <v>8</v>
      </c>
      <c r="L1703" s="1" t="s">
        <v>31</v>
      </c>
      <c r="M1703" s="1" t="s">
        <v>18</v>
      </c>
      <c r="N1703" s="1" t="s">
        <v>18</v>
      </c>
      <c r="O1703" s="1">
        <v>3</v>
      </c>
      <c r="P1703" s="1">
        <v>7</v>
      </c>
      <c r="Q1703" s="7" t="s">
        <v>17633</v>
      </c>
      <c r="R1703" s="1" t="s">
        <v>62</v>
      </c>
      <c r="S1703" s="1" t="s">
        <v>20</v>
      </c>
      <c r="T1703" s="1" t="s">
        <v>21</v>
      </c>
      <c r="U1703" s="1" t="s">
        <v>22</v>
      </c>
      <c r="V1703" s="1" t="s">
        <v>24</v>
      </c>
      <c r="W1703" s="1" t="s">
        <v>24</v>
      </c>
      <c r="X1703" s="1">
        <v>2705</v>
      </c>
      <c r="Y1703" s="1" t="s">
        <v>24</v>
      </c>
      <c r="Z1703" s="1" t="s">
        <v>24</v>
      </c>
      <c r="AA1703" s="1" t="s">
        <v>24</v>
      </c>
      <c r="AB1703" s="1" t="s">
        <v>24</v>
      </c>
      <c r="AC1703" s="1" t="s">
        <v>24</v>
      </c>
      <c r="AD1703" s="1" t="s">
        <v>24</v>
      </c>
      <c r="AE1703" s="1" t="s">
        <v>24</v>
      </c>
      <c r="AF1703" s="22"/>
    </row>
    <row r="1704" spans="1:32" x14ac:dyDescent="0.2">
      <c r="A1704" s="1">
        <v>10259</v>
      </c>
      <c r="B1704" s="1" t="s">
        <v>5480</v>
      </c>
      <c r="C1704" s="5" t="s">
        <v>0</v>
      </c>
      <c r="D1704" s="1" t="s">
        <v>5481</v>
      </c>
      <c r="E1704" s="1" t="s">
        <v>5482</v>
      </c>
      <c r="F1704" s="1" t="s">
        <v>303</v>
      </c>
      <c r="G1704" s="1" t="s">
        <v>61</v>
      </c>
      <c r="H1704" s="1" t="s">
        <v>30</v>
      </c>
      <c r="I1704" s="1" t="s">
        <v>16</v>
      </c>
      <c r="J1704" s="1">
        <v>1</v>
      </c>
      <c r="K1704" s="1">
        <v>4</v>
      </c>
      <c r="L1704" s="1" t="s">
        <v>31</v>
      </c>
      <c r="M1704" s="1" t="s">
        <v>18</v>
      </c>
      <c r="N1704" s="1" t="s">
        <v>18</v>
      </c>
      <c r="O1704" s="1">
        <v>3</v>
      </c>
      <c r="P1704" s="1">
        <v>7</v>
      </c>
      <c r="Q1704" s="7" t="s">
        <v>17633</v>
      </c>
      <c r="R1704" s="1" t="s">
        <v>19</v>
      </c>
      <c r="S1704" s="1" t="s">
        <v>20</v>
      </c>
      <c r="T1704" s="1" t="s">
        <v>21</v>
      </c>
      <c r="U1704" s="1" t="s">
        <v>22</v>
      </c>
      <c r="V1704" s="1" t="s">
        <v>23</v>
      </c>
      <c r="W1704" s="1" t="s">
        <v>24</v>
      </c>
      <c r="X1704" s="1">
        <v>2733</v>
      </c>
      <c r="Y1704" s="1">
        <v>2746</v>
      </c>
      <c r="Z1704" s="1" t="s">
        <v>24</v>
      </c>
      <c r="AA1704" s="1" t="s">
        <v>24</v>
      </c>
      <c r="AB1704" s="1" t="s">
        <v>24</v>
      </c>
      <c r="AC1704" s="1" t="s">
        <v>24</v>
      </c>
      <c r="AD1704" s="1" t="s">
        <v>24</v>
      </c>
      <c r="AE1704" s="1" t="s">
        <v>24</v>
      </c>
      <c r="AF1704" s="22"/>
    </row>
    <row r="1705" spans="1:32" x14ac:dyDescent="0.2">
      <c r="A1705" s="1">
        <v>10261</v>
      </c>
      <c r="B1705" s="1" t="s">
        <v>5483</v>
      </c>
      <c r="C1705" s="5" t="s">
        <v>0</v>
      </c>
      <c r="D1705" s="1" t="s">
        <v>5484</v>
      </c>
      <c r="E1705" s="1" t="s">
        <v>5485</v>
      </c>
      <c r="F1705" s="1" t="s">
        <v>28</v>
      </c>
      <c r="G1705" s="1" t="s">
        <v>29</v>
      </c>
      <c r="H1705" s="1" t="s">
        <v>30</v>
      </c>
      <c r="I1705" s="1" t="s">
        <v>16</v>
      </c>
      <c r="J1705" s="1">
        <v>1</v>
      </c>
      <c r="K1705" s="1">
        <v>4</v>
      </c>
      <c r="L1705" s="1" t="s">
        <v>31</v>
      </c>
      <c r="M1705" s="1" t="s">
        <v>18</v>
      </c>
      <c r="N1705" s="1" t="s">
        <v>18</v>
      </c>
      <c r="O1705" s="1">
        <v>3</v>
      </c>
      <c r="P1705" s="1">
        <v>7</v>
      </c>
      <c r="Q1705" s="7" t="s">
        <v>17633</v>
      </c>
      <c r="R1705" s="1" t="s">
        <v>19</v>
      </c>
      <c r="S1705" s="1" t="s">
        <v>20</v>
      </c>
      <c r="T1705" s="1" t="s">
        <v>21</v>
      </c>
      <c r="U1705" s="1" t="s">
        <v>22</v>
      </c>
      <c r="V1705" s="1" t="s">
        <v>24</v>
      </c>
      <c r="W1705" s="1" t="s">
        <v>24</v>
      </c>
      <c r="X1705" s="1">
        <v>2734</v>
      </c>
      <c r="Y1705" s="1">
        <v>1307</v>
      </c>
      <c r="Z1705" s="1">
        <v>1312</v>
      </c>
      <c r="AA1705" s="1" t="s">
        <v>24</v>
      </c>
      <c r="AB1705" s="1" t="s">
        <v>24</v>
      </c>
      <c r="AC1705" s="1" t="s">
        <v>24</v>
      </c>
      <c r="AD1705" s="1" t="s">
        <v>24</v>
      </c>
      <c r="AE1705" s="1" t="s">
        <v>24</v>
      </c>
      <c r="AF1705" s="22"/>
    </row>
    <row r="1706" spans="1:32" x14ac:dyDescent="0.2">
      <c r="A1706" s="1">
        <v>10265</v>
      </c>
      <c r="B1706" s="1" t="s">
        <v>5486</v>
      </c>
      <c r="C1706" s="5" t="s">
        <v>0</v>
      </c>
      <c r="D1706" s="1" t="s">
        <v>5487</v>
      </c>
      <c r="E1706" s="1" t="s">
        <v>5488</v>
      </c>
      <c r="F1706" s="1" t="s">
        <v>303</v>
      </c>
      <c r="G1706" s="1" t="s">
        <v>61</v>
      </c>
      <c r="H1706" s="1" t="s">
        <v>30</v>
      </c>
      <c r="I1706" s="1" t="s">
        <v>16</v>
      </c>
      <c r="J1706" s="1">
        <v>1</v>
      </c>
      <c r="K1706" s="1">
        <v>4</v>
      </c>
      <c r="L1706" s="1" t="s">
        <v>31</v>
      </c>
      <c r="M1706" s="1" t="s">
        <v>18</v>
      </c>
      <c r="N1706" s="1" t="s">
        <v>18</v>
      </c>
      <c r="O1706" s="1">
        <v>3</v>
      </c>
      <c r="P1706" s="1">
        <v>6</v>
      </c>
      <c r="R1706" s="1" t="s">
        <v>19</v>
      </c>
      <c r="S1706" s="1" t="s">
        <v>20</v>
      </c>
      <c r="T1706" s="1" t="s">
        <v>21</v>
      </c>
      <c r="U1706" s="1" t="s">
        <v>22</v>
      </c>
      <c r="V1706" s="1" t="s">
        <v>24</v>
      </c>
      <c r="W1706" s="1" t="s">
        <v>24</v>
      </c>
      <c r="X1706" s="1">
        <v>2705</v>
      </c>
      <c r="Y1706" s="1">
        <v>2746</v>
      </c>
      <c r="Z1706" s="1">
        <v>2740</v>
      </c>
      <c r="AA1706" s="1" t="s">
        <v>24</v>
      </c>
      <c r="AB1706" s="1" t="s">
        <v>24</v>
      </c>
      <c r="AC1706" s="1" t="s">
        <v>24</v>
      </c>
      <c r="AD1706" s="1" t="s">
        <v>24</v>
      </c>
      <c r="AE1706" s="1" t="s">
        <v>24</v>
      </c>
      <c r="AF1706" s="22"/>
    </row>
    <row r="1707" spans="1:32" x14ac:dyDescent="0.2">
      <c r="A1707" s="1">
        <v>10268</v>
      </c>
      <c r="B1707" s="1" t="s">
        <v>5489</v>
      </c>
      <c r="C1707" s="5" t="s">
        <v>0</v>
      </c>
      <c r="D1707" s="1" t="s">
        <v>5490</v>
      </c>
      <c r="E1707" s="1" t="s">
        <v>5491</v>
      </c>
      <c r="F1707" s="1" t="s">
        <v>303</v>
      </c>
      <c r="G1707" s="1" t="s">
        <v>61</v>
      </c>
      <c r="H1707" s="1" t="s">
        <v>30</v>
      </c>
      <c r="I1707" s="1" t="s">
        <v>16</v>
      </c>
      <c r="J1707" s="1">
        <v>1</v>
      </c>
      <c r="K1707" s="1">
        <v>4</v>
      </c>
      <c r="L1707" s="1" t="s">
        <v>31</v>
      </c>
      <c r="M1707" s="1" t="s">
        <v>18</v>
      </c>
      <c r="N1707" s="1" t="s">
        <v>18</v>
      </c>
      <c r="O1707" s="1">
        <v>3</v>
      </c>
      <c r="P1707" s="1">
        <v>6</v>
      </c>
      <c r="R1707" s="1" t="s">
        <v>19</v>
      </c>
      <c r="S1707" s="1" t="s">
        <v>20</v>
      </c>
      <c r="T1707" s="1" t="s">
        <v>21</v>
      </c>
      <c r="U1707" s="1" t="s">
        <v>22</v>
      </c>
      <c r="V1707" s="1" t="s">
        <v>23</v>
      </c>
      <c r="W1707" s="1" t="s">
        <v>24</v>
      </c>
      <c r="X1707" s="1">
        <v>2715</v>
      </c>
      <c r="Y1707" s="1">
        <v>2746</v>
      </c>
      <c r="Z1707" s="1" t="s">
        <v>24</v>
      </c>
      <c r="AA1707" s="1" t="s">
        <v>24</v>
      </c>
      <c r="AB1707" s="1" t="s">
        <v>24</v>
      </c>
      <c r="AC1707" s="1" t="s">
        <v>24</v>
      </c>
      <c r="AD1707" s="1" t="s">
        <v>24</v>
      </c>
      <c r="AE1707" s="1" t="s">
        <v>24</v>
      </c>
      <c r="AF1707" s="22"/>
    </row>
    <row r="1708" spans="1:32" x14ac:dyDescent="0.2">
      <c r="A1708" s="1">
        <v>10270</v>
      </c>
      <c r="B1708" s="1" t="s">
        <v>5492</v>
      </c>
      <c r="C1708" s="5" t="s">
        <v>0</v>
      </c>
      <c r="D1708" s="1" t="s">
        <v>5493</v>
      </c>
      <c r="E1708" s="1" t="s">
        <v>5494</v>
      </c>
      <c r="F1708" s="1" t="s">
        <v>601</v>
      </c>
      <c r="G1708" s="1" t="s">
        <v>61</v>
      </c>
      <c r="H1708" s="1" t="s">
        <v>37</v>
      </c>
      <c r="I1708" s="1" t="s">
        <v>16</v>
      </c>
      <c r="J1708" s="1">
        <v>1</v>
      </c>
      <c r="K1708" s="1">
        <v>6</v>
      </c>
      <c r="L1708" s="1" t="s">
        <v>31</v>
      </c>
      <c r="M1708" s="1" t="s">
        <v>18</v>
      </c>
      <c r="N1708" s="1" t="s">
        <v>18</v>
      </c>
      <c r="O1708" s="1">
        <v>3</v>
      </c>
      <c r="P1708" s="1">
        <v>6</v>
      </c>
      <c r="R1708" s="1" t="s">
        <v>62</v>
      </c>
      <c r="S1708" s="1" t="s">
        <v>20</v>
      </c>
      <c r="T1708" s="1" t="s">
        <v>21</v>
      </c>
      <c r="U1708" s="1" t="s">
        <v>22</v>
      </c>
      <c r="V1708" s="1" t="s">
        <v>24</v>
      </c>
      <c r="W1708" s="1" t="s">
        <v>24</v>
      </c>
      <c r="X1708" s="1">
        <v>1306</v>
      </c>
      <c r="Y1708" s="1" t="s">
        <v>24</v>
      </c>
      <c r="Z1708" s="1" t="s">
        <v>24</v>
      </c>
      <c r="AA1708" s="1" t="s">
        <v>24</v>
      </c>
      <c r="AB1708" s="1" t="s">
        <v>24</v>
      </c>
      <c r="AC1708" s="1" t="s">
        <v>24</v>
      </c>
      <c r="AD1708" s="1" t="s">
        <v>24</v>
      </c>
      <c r="AE1708" s="1" t="s">
        <v>24</v>
      </c>
      <c r="AF1708" s="22"/>
    </row>
    <row r="1709" spans="1:32" x14ac:dyDescent="0.2">
      <c r="A1709" s="1">
        <v>10271</v>
      </c>
      <c r="B1709" s="1" t="s">
        <v>5495</v>
      </c>
      <c r="C1709" s="5" t="s">
        <v>0</v>
      </c>
      <c r="D1709" s="1" t="s">
        <v>5496</v>
      </c>
      <c r="E1709" s="1" t="s">
        <v>5497</v>
      </c>
      <c r="F1709" s="1" t="s">
        <v>303</v>
      </c>
      <c r="G1709" s="1" t="s">
        <v>61</v>
      </c>
      <c r="H1709" s="1" t="s">
        <v>30</v>
      </c>
      <c r="I1709" s="1" t="s">
        <v>16</v>
      </c>
      <c r="J1709" s="1">
        <v>1</v>
      </c>
      <c r="K1709" s="1">
        <v>4</v>
      </c>
      <c r="L1709" s="1" t="s">
        <v>31</v>
      </c>
      <c r="M1709" s="1" t="s">
        <v>18</v>
      </c>
      <c r="N1709" s="1" t="s">
        <v>18</v>
      </c>
      <c r="O1709" s="1">
        <v>3</v>
      </c>
      <c r="P1709" s="1">
        <v>6</v>
      </c>
      <c r="R1709" s="1" t="s">
        <v>19</v>
      </c>
      <c r="S1709" s="1" t="s">
        <v>20</v>
      </c>
      <c r="T1709" s="1" t="s">
        <v>21</v>
      </c>
      <c r="U1709" s="1" t="s">
        <v>22</v>
      </c>
      <c r="V1709" s="1" t="s">
        <v>23</v>
      </c>
      <c r="W1709" s="1" t="s">
        <v>24</v>
      </c>
      <c r="X1709" s="1">
        <v>2732</v>
      </c>
      <c r="Y1709" s="1">
        <v>2746</v>
      </c>
      <c r="Z1709" s="1" t="s">
        <v>24</v>
      </c>
      <c r="AA1709" s="1" t="s">
        <v>24</v>
      </c>
      <c r="AB1709" s="1" t="s">
        <v>24</v>
      </c>
      <c r="AC1709" s="1" t="s">
        <v>24</v>
      </c>
      <c r="AD1709" s="1" t="s">
        <v>24</v>
      </c>
      <c r="AE1709" s="1" t="s">
        <v>24</v>
      </c>
      <c r="AF1709" s="22"/>
    </row>
    <row r="1710" spans="1:32" x14ac:dyDescent="0.2">
      <c r="A1710" s="1">
        <v>10272</v>
      </c>
      <c r="B1710" s="1" t="s">
        <v>5498</v>
      </c>
      <c r="C1710" s="5" t="s">
        <v>0</v>
      </c>
      <c r="D1710" s="1" t="s">
        <v>5499</v>
      </c>
      <c r="E1710" s="1" t="s">
        <v>5500</v>
      </c>
      <c r="F1710" s="1" t="s">
        <v>155</v>
      </c>
      <c r="G1710" s="1" t="s">
        <v>61</v>
      </c>
      <c r="H1710" s="1" t="s">
        <v>37</v>
      </c>
      <c r="I1710" s="1" t="s">
        <v>16</v>
      </c>
      <c r="J1710" s="1">
        <v>1</v>
      </c>
      <c r="K1710" s="1">
        <v>12</v>
      </c>
      <c r="L1710" s="1" t="s">
        <v>31</v>
      </c>
      <c r="M1710" s="1" t="s">
        <v>18</v>
      </c>
      <c r="N1710" s="1" t="s">
        <v>18</v>
      </c>
      <c r="O1710" s="1">
        <v>3</v>
      </c>
      <c r="P1710" s="1">
        <v>7</v>
      </c>
      <c r="Q1710" s="7" t="s">
        <v>17633</v>
      </c>
      <c r="R1710" s="1" t="s">
        <v>62</v>
      </c>
      <c r="S1710" s="1" t="s">
        <v>20</v>
      </c>
      <c r="T1710" s="1" t="s">
        <v>21</v>
      </c>
      <c r="U1710" s="1" t="s">
        <v>22</v>
      </c>
      <c r="V1710" s="1" t="s">
        <v>24</v>
      </c>
      <c r="W1710" s="1" t="s">
        <v>24</v>
      </c>
      <c r="X1710" s="1">
        <v>2728</v>
      </c>
      <c r="Y1710" s="1">
        <v>2735</v>
      </c>
      <c r="Z1710" s="1">
        <v>2716</v>
      </c>
      <c r="AA1710" s="1">
        <v>2808</v>
      </c>
      <c r="AB1710" s="1" t="s">
        <v>24</v>
      </c>
      <c r="AC1710" s="1" t="s">
        <v>24</v>
      </c>
      <c r="AD1710" s="1" t="s">
        <v>24</v>
      </c>
      <c r="AE1710" s="1" t="s">
        <v>24</v>
      </c>
      <c r="AF1710" s="22"/>
    </row>
    <row r="1711" spans="1:32" x14ac:dyDescent="0.2">
      <c r="A1711" s="1">
        <v>10276</v>
      </c>
      <c r="B1711" s="1" t="s">
        <v>5501</v>
      </c>
      <c r="C1711" s="5" t="s">
        <v>0</v>
      </c>
      <c r="D1711" s="1" t="s">
        <v>5502</v>
      </c>
      <c r="E1711" s="1" t="s">
        <v>5503</v>
      </c>
      <c r="F1711" s="1" t="s">
        <v>412</v>
      </c>
      <c r="G1711" s="1" t="s">
        <v>372</v>
      </c>
      <c r="H1711" s="1" t="s">
        <v>168</v>
      </c>
      <c r="I1711" s="1" t="s">
        <v>16</v>
      </c>
      <c r="J1711" s="1">
        <v>1</v>
      </c>
      <c r="K1711" s="1">
        <v>6</v>
      </c>
      <c r="L1711" s="1" t="s">
        <v>31</v>
      </c>
      <c r="M1711" s="1" t="s">
        <v>18</v>
      </c>
      <c r="N1711" s="1" t="s">
        <v>18</v>
      </c>
      <c r="O1711" s="1">
        <v>3</v>
      </c>
      <c r="P1711" s="1">
        <v>6</v>
      </c>
      <c r="R1711" s="1" t="s">
        <v>19</v>
      </c>
      <c r="S1711" s="1" t="s">
        <v>63</v>
      </c>
      <c r="T1711" s="1" t="s">
        <v>21</v>
      </c>
      <c r="U1711" s="1" t="s">
        <v>22</v>
      </c>
      <c r="V1711" s="1" t="s">
        <v>23</v>
      </c>
      <c r="W1711" s="1" t="s">
        <v>24</v>
      </c>
      <c r="X1711" s="1">
        <v>2735</v>
      </c>
      <c r="Y1711" s="1">
        <v>2746</v>
      </c>
      <c r="Z1711" s="1" t="s">
        <v>24</v>
      </c>
      <c r="AA1711" s="1" t="s">
        <v>24</v>
      </c>
      <c r="AB1711" s="1" t="s">
        <v>24</v>
      </c>
      <c r="AC1711" s="1" t="s">
        <v>24</v>
      </c>
      <c r="AD1711" s="1" t="s">
        <v>24</v>
      </c>
      <c r="AE1711" s="1" t="s">
        <v>24</v>
      </c>
      <c r="AF1711" s="22"/>
    </row>
    <row r="1712" spans="1:32" x14ac:dyDescent="0.2">
      <c r="A1712" s="1">
        <v>10279</v>
      </c>
      <c r="B1712" s="1" t="s">
        <v>5504</v>
      </c>
      <c r="C1712" s="5" t="s">
        <v>0</v>
      </c>
      <c r="D1712" s="1" t="s">
        <v>5505</v>
      </c>
      <c r="E1712" s="1" t="s">
        <v>5506</v>
      </c>
      <c r="F1712" s="1" t="s">
        <v>91</v>
      </c>
      <c r="G1712" s="1" t="s">
        <v>61</v>
      </c>
      <c r="H1712" s="1" t="s">
        <v>92</v>
      </c>
      <c r="I1712" s="1" t="s">
        <v>16</v>
      </c>
      <c r="J1712" s="1">
        <v>12</v>
      </c>
      <c r="K1712" s="1">
        <v>2</v>
      </c>
      <c r="L1712" s="1" t="s">
        <v>31</v>
      </c>
      <c r="M1712" s="1" t="s">
        <v>18</v>
      </c>
      <c r="N1712" s="1" t="s">
        <v>18</v>
      </c>
      <c r="O1712" s="1">
        <v>3</v>
      </c>
      <c r="P1712" s="1">
        <v>7</v>
      </c>
      <c r="Q1712" s="7" t="s">
        <v>17633</v>
      </c>
      <c r="R1712" s="1" t="s">
        <v>62</v>
      </c>
      <c r="S1712" s="1" t="s">
        <v>63</v>
      </c>
      <c r="T1712" s="1" t="s">
        <v>21</v>
      </c>
      <c r="U1712" s="1" t="s">
        <v>22</v>
      </c>
      <c r="V1712" s="1" t="s">
        <v>24</v>
      </c>
      <c r="W1712" s="1" t="s">
        <v>24</v>
      </c>
      <c r="X1712" s="1">
        <v>1312</v>
      </c>
      <c r="Y1712" s="1">
        <v>1311</v>
      </c>
      <c r="Z1712" s="1">
        <v>2307</v>
      </c>
      <c r="AA1712" s="1" t="s">
        <v>24</v>
      </c>
      <c r="AB1712" s="1" t="s">
        <v>24</v>
      </c>
      <c r="AC1712" s="1" t="s">
        <v>24</v>
      </c>
      <c r="AD1712" s="1" t="s">
        <v>24</v>
      </c>
      <c r="AE1712" s="1" t="s">
        <v>24</v>
      </c>
      <c r="AF1712" s="22"/>
    </row>
    <row r="1713" spans="1:32" x14ac:dyDescent="0.2">
      <c r="A1713" s="1">
        <v>10285</v>
      </c>
      <c r="B1713" s="1" t="s">
        <v>5507</v>
      </c>
      <c r="C1713" s="5" t="s">
        <v>0</v>
      </c>
      <c r="D1713" s="1" t="s">
        <v>5508</v>
      </c>
      <c r="E1713" s="1" t="s">
        <v>5509</v>
      </c>
      <c r="F1713" s="1" t="s">
        <v>673</v>
      </c>
      <c r="G1713" s="1" t="s">
        <v>61</v>
      </c>
      <c r="H1713" s="1" t="s">
        <v>30</v>
      </c>
      <c r="I1713" s="1" t="s">
        <v>16</v>
      </c>
      <c r="J1713" s="1">
        <v>2</v>
      </c>
      <c r="K1713" s="1">
        <v>6</v>
      </c>
      <c r="L1713" s="1" t="s">
        <v>31</v>
      </c>
      <c r="M1713" s="1" t="s">
        <v>18</v>
      </c>
      <c r="N1713" s="1" t="s">
        <v>18</v>
      </c>
      <c r="O1713" s="1">
        <v>3</v>
      </c>
      <c r="P1713" s="1">
        <v>7</v>
      </c>
      <c r="Q1713" s="7" t="s">
        <v>17633</v>
      </c>
      <c r="R1713" s="1" t="s">
        <v>19</v>
      </c>
      <c r="S1713" s="1" t="s">
        <v>20</v>
      </c>
      <c r="T1713" s="1" t="s">
        <v>21</v>
      </c>
      <c r="U1713" s="1" t="s">
        <v>22</v>
      </c>
      <c r="V1713" s="1" t="s">
        <v>23</v>
      </c>
      <c r="W1713" s="1" t="s">
        <v>24</v>
      </c>
      <c r="X1713" s="1">
        <v>2735</v>
      </c>
      <c r="Y1713" s="1">
        <v>2738</v>
      </c>
      <c r="Z1713" s="1">
        <v>2739</v>
      </c>
      <c r="AA1713" s="1" t="s">
        <v>24</v>
      </c>
      <c r="AB1713" s="1" t="s">
        <v>24</v>
      </c>
      <c r="AC1713" s="1" t="s">
        <v>24</v>
      </c>
      <c r="AD1713" s="1" t="s">
        <v>24</v>
      </c>
      <c r="AE1713" s="1" t="s">
        <v>24</v>
      </c>
      <c r="AF1713" s="22"/>
    </row>
    <row r="1714" spans="1:32" x14ac:dyDescent="0.2">
      <c r="A1714" s="1">
        <v>10286</v>
      </c>
      <c r="B1714" s="1" t="s">
        <v>5510</v>
      </c>
      <c r="C1714" s="5" t="s">
        <v>0</v>
      </c>
      <c r="D1714" s="1" t="s">
        <v>5511</v>
      </c>
      <c r="E1714" s="1" t="s">
        <v>5512</v>
      </c>
      <c r="F1714" s="1" t="s">
        <v>28</v>
      </c>
      <c r="G1714" s="1" t="s">
        <v>29</v>
      </c>
      <c r="H1714" s="1" t="s">
        <v>30</v>
      </c>
      <c r="I1714" s="1" t="s">
        <v>16</v>
      </c>
      <c r="J1714" s="1">
        <v>1</v>
      </c>
      <c r="K1714" s="1">
        <v>8</v>
      </c>
      <c r="L1714" s="1" t="s">
        <v>31</v>
      </c>
      <c r="M1714" s="1" t="s">
        <v>18</v>
      </c>
      <c r="N1714" s="1" t="s">
        <v>18</v>
      </c>
      <c r="O1714" s="1">
        <v>3</v>
      </c>
      <c r="P1714" s="1">
        <v>7</v>
      </c>
      <c r="Q1714" s="7" t="s">
        <v>17633</v>
      </c>
      <c r="R1714" s="1" t="s">
        <v>62</v>
      </c>
      <c r="S1714" s="1" t="s">
        <v>20</v>
      </c>
      <c r="T1714" s="1" t="s">
        <v>21</v>
      </c>
      <c r="U1714" s="1" t="s">
        <v>22</v>
      </c>
      <c r="V1714" s="1" t="s">
        <v>24</v>
      </c>
      <c r="W1714" s="1" t="s">
        <v>24</v>
      </c>
      <c r="X1714" s="1">
        <v>2403</v>
      </c>
      <c r="Y1714" s="1">
        <v>2723</v>
      </c>
      <c r="Z1714" s="1">
        <v>1306</v>
      </c>
      <c r="AA1714" s="1">
        <v>3004</v>
      </c>
      <c r="AB1714" s="1" t="s">
        <v>24</v>
      </c>
      <c r="AC1714" s="1" t="s">
        <v>24</v>
      </c>
      <c r="AD1714" s="1" t="s">
        <v>24</v>
      </c>
      <c r="AE1714" s="1" t="s">
        <v>24</v>
      </c>
      <c r="AF1714" s="22"/>
    </row>
    <row r="1715" spans="1:32" x14ac:dyDescent="0.2">
      <c r="A1715" s="1">
        <v>10287</v>
      </c>
      <c r="B1715" s="1" t="s">
        <v>5513</v>
      </c>
      <c r="C1715" s="5" t="s">
        <v>0</v>
      </c>
      <c r="D1715" s="1" t="s">
        <v>5514</v>
      </c>
      <c r="F1715" s="1" t="s">
        <v>412</v>
      </c>
      <c r="G1715" s="1" t="s">
        <v>372</v>
      </c>
      <c r="H1715" s="1" t="s">
        <v>168</v>
      </c>
      <c r="I1715" s="1" t="s">
        <v>16</v>
      </c>
      <c r="J1715" s="1">
        <v>0</v>
      </c>
      <c r="K1715" s="1">
        <v>0</v>
      </c>
      <c r="L1715" s="1" t="s">
        <v>31</v>
      </c>
      <c r="M1715" s="1" t="s">
        <v>18</v>
      </c>
      <c r="N1715" s="1" t="s">
        <v>18</v>
      </c>
      <c r="O1715" s="1">
        <v>3</v>
      </c>
      <c r="P1715" s="1">
        <v>7</v>
      </c>
      <c r="Q1715" s="7" t="s">
        <v>17633</v>
      </c>
      <c r="R1715" s="1" t="s">
        <v>19</v>
      </c>
      <c r="S1715" s="1" t="s">
        <v>63</v>
      </c>
      <c r="T1715" s="1" t="s">
        <v>21</v>
      </c>
      <c r="U1715" s="1" t="s">
        <v>22</v>
      </c>
      <c r="V1715" s="1" t="s">
        <v>24</v>
      </c>
      <c r="W1715" s="1" t="s">
        <v>24</v>
      </c>
      <c r="X1715" s="1">
        <v>1303</v>
      </c>
      <c r="Y1715" s="1">
        <v>1310</v>
      </c>
      <c r="Z1715" s="1">
        <v>1308</v>
      </c>
      <c r="AA1715" s="1">
        <v>2704</v>
      </c>
      <c r="AB1715" s="1">
        <v>2712</v>
      </c>
      <c r="AC1715" s="1" t="s">
        <v>24</v>
      </c>
      <c r="AD1715" s="1" t="s">
        <v>24</v>
      </c>
      <c r="AE1715" s="1" t="s">
        <v>24</v>
      </c>
      <c r="AF1715" s="22"/>
    </row>
    <row r="1716" spans="1:32" x14ac:dyDescent="0.2">
      <c r="A1716" s="1">
        <v>10289</v>
      </c>
      <c r="B1716" s="1" t="s">
        <v>5515</v>
      </c>
      <c r="C1716" s="5" t="s">
        <v>0</v>
      </c>
      <c r="D1716" s="1" t="s">
        <v>5516</v>
      </c>
      <c r="E1716" s="1" t="s">
        <v>5517</v>
      </c>
      <c r="F1716" s="1" t="s">
        <v>1193</v>
      </c>
      <c r="G1716" s="1" t="s">
        <v>1193</v>
      </c>
      <c r="H1716" s="1" t="s">
        <v>731</v>
      </c>
      <c r="I1716" s="1" t="s">
        <v>16</v>
      </c>
      <c r="J1716" s="1">
        <v>1</v>
      </c>
      <c r="K1716" s="1">
        <v>6</v>
      </c>
      <c r="L1716" s="1" t="s">
        <v>42</v>
      </c>
      <c r="M1716" s="1" t="s">
        <v>18</v>
      </c>
      <c r="N1716" s="1" t="s">
        <v>18</v>
      </c>
      <c r="O1716" s="1">
        <v>3</v>
      </c>
      <c r="P1716" s="1">
        <v>6</v>
      </c>
      <c r="R1716" s="1" t="s">
        <v>62</v>
      </c>
      <c r="S1716" s="1" t="s">
        <v>20</v>
      </c>
      <c r="T1716" s="1" t="s">
        <v>21</v>
      </c>
      <c r="U1716" s="1" t="s">
        <v>22</v>
      </c>
      <c r="V1716" s="1" t="s">
        <v>23</v>
      </c>
      <c r="W1716" s="1" t="s">
        <v>24</v>
      </c>
      <c r="X1716" s="1">
        <v>2738</v>
      </c>
      <c r="Y1716" s="1">
        <v>2803</v>
      </c>
      <c r="Z1716" s="1">
        <v>2736</v>
      </c>
      <c r="AA1716" s="1" t="s">
        <v>24</v>
      </c>
      <c r="AB1716" s="1" t="s">
        <v>24</v>
      </c>
      <c r="AC1716" s="1" t="s">
        <v>24</v>
      </c>
      <c r="AD1716" s="1" t="s">
        <v>24</v>
      </c>
      <c r="AE1716" s="1" t="s">
        <v>24</v>
      </c>
      <c r="AF1716" s="22"/>
    </row>
    <row r="1717" spans="1:32" x14ac:dyDescent="0.2">
      <c r="A1717" s="1">
        <v>10290</v>
      </c>
      <c r="B1717" s="1" t="s">
        <v>5518</v>
      </c>
      <c r="C1717" s="5" t="s">
        <v>0</v>
      </c>
      <c r="D1717" s="1" t="s">
        <v>5519</v>
      </c>
      <c r="E1717" s="1" t="s">
        <v>5520</v>
      </c>
      <c r="F1717" s="1" t="s">
        <v>91</v>
      </c>
      <c r="G1717" s="1" t="s">
        <v>61</v>
      </c>
      <c r="H1717" s="1" t="s">
        <v>92</v>
      </c>
      <c r="I1717" s="1" t="s">
        <v>16</v>
      </c>
      <c r="J1717" s="1">
        <v>1</v>
      </c>
      <c r="K1717" s="1">
        <v>10</v>
      </c>
      <c r="L1717" s="1" t="s">
        <v>31</v>
      </c>
      <c r="M1717" s="1" t="s">
        <v>18</v>
      </c>
      <c r="N1717" s="1" t="s">
        <v>18</v>
      </c>
      <c r="O1717" s="1">
        <v>3</v>
      </c>
      <c r="P1717" s="1">
        <v>7</v>
      </c>
      <c r="Q1717" s="7" t="s">
        <v>17633</v>
      </c>
      <c r="R1717" s="1" t="s">
        <v>19</v>
      </c>
      <c r="S1717" s="1" t="s">
        <v>63</v>
      </c>
      <c r="T1717" s="1" t="s">
        <v>21</v>
      </c>
      <c r="U1717" s="1" t="s">
        <v>22</v>
      </c>
      <c r="V1717" s="1" t="s">
        <v>23</v>
      </c>
      <c r="W1717" s="1" t="s">
        <v>24</v>
      </c>
      <c r="X1717" s="1">
        <v>3311</v>
      </c>
      <c r="Y1717" s="1">
        <v>2739</v>
      </c>
      <c r="Z1717" s="1">
        <v>2213</v>
      </c>
      <c r="AA1717" s="1" t="s">
        <v>24</v>
      </c>
      <c r="AB1717" s="1" t="s">
        <v>24</v>
      </c>
      <c r="AC1717" s="1" t="s">
        <v>24</v>
      </c>
      <c r="AD1717" s="1" t="s">
        <v>24</v>
      </c>
      <c r="AE1717" s="1" t="s">
        <v>24</v>
      </c>
      <c r="AF1717" s="22"/>
    </row>
    <row r="1718" spans="1:32" x14ac:dyDescent="0.2">
      <c r="A1718" s="1">
        <v>10292</v>
      </c>
      <c r="B1718" s="1" t="s">
        <v>5521</v>
      </c>
      <c r="C1718" s="5" t="s">
        <v>0</v>
      </c>
      <c r="D1718" s="1" t="s">
        <v>5522</v>
      </c>
      <c r="F1718" s="1" t="s">
        <v>5420</v>
      </c>
      <c r="G1718" s="1" t="s">
        <v>5523</v>
      </c>
      <c r="H1718" s="1" t="s">
        <v>1384</v>
      </c>
      <c r="I1718" s="1" t="s">
        <v>16</v>
      </c>
      <c r="J1718" s="1">
        <v>1</v>
      </c>
      <c r="K1718" s="1">
        <v>4</v>
      </c>
      <c r="L1718" s="1" t="s">
        <v>17</v>
      </c>
      <c r="M1718" s="1" t="s">
        <v>1385</v>
      </c>
      <c r="N1718" s="1" t="s">
        <v>3142</v>
      </c>
      <c r="O1718" s="1">
        <v>3</v>
      </c>
      <c r="P1718" s="1">
        <v>4</v>
      </c>
      <c r="R1718" s="1" t="s">
        <v>19</v>
      </c>
      <c r="S1718" s="1" t="s">
        <v>20</v>
      </c>
      <c r="T1718" s="1" t="s">
        <v>21</v>
      </c>
      <c r="U1718" s="1" t="s">
        <v>22</v>
      </c>
      <c r="V1718" s="1" t="s">
        <v>24</v>
      </c>
      <c r="W1718" s="1" t="s">
        <v>24</v>
      </c>
      <c r="X1718" s="1">
        <v>2729</v>
      </c>
      <c r="Y1718" s="1" t="s">
        <v>24</v>
      </c>
      <c r="Z1718" s="1" t="s">
        <v>24</v>
      </c>
      <c r="AA1718" s="1" t="s">
        <v>24</v>
      </c>
      <c r="AB1718" s="1" t="s">
        <v>24</v>
      </c>
      <c r="AC1718" s="1" t="s">
        <v>24</v>
      </c>
      <c r="AD1718" s="1" t="s">
        <v>24</v>
      </c>
      <c r="AE1718" s="1" t="s">
        <v>24</v>
      </c>
      <c r="AF1718" s="22"/>
    </row>
    <row r="1719" spans="1:32" x14ac:dyDescent="0.2">
      <c r="A1719" s="1">
        <v>10294</v>
      </c>
      <c r="B1719" s="1" t="s">
        <v>5524</v>
      </c>
      <c r="C1719" s="5" t="s">
        <v>0</v>
      </c>
      <c r="D1719" s="1" t="s">
        <v>5525</v>
      </c>
      <c r="E1719" s="1" t="s">
        <v>5526</v>
      </c>
      <c r="F1719" s="1" t="s">
        <v>291</v>
      </c>
      <c r="G1719" s="1" t="s">
        <v>292</v>
      </c>
      <c r="H1719" s="1" t="s">
        <v>37</v>
      </c>
      <c r="I1719" s="1" t="s">
        <v>16</v>
      </c>
      <c r="J1719" s="1">
        <v>1</v>
      </c>
      <c r="K1719" s="1">
        <v>14</v>
      </c>
      <c r="L1719" s="1" t="s">
        <v>31</v>
      </c>
      <c r="M1719" s="1" t="s">
        <v>18</v>
      </c>
      <c r="N1719" s="1" t="s">
        <v>18</v>
      </c>
      <c r="O1719" s="1">
        <v>3</v>
      </c>
      <c r="P1719" s="1">
        <v>7</v>
      </c>
      <c r="Q1719" s="7" t="s">
        <v>17633</v>
      </c>
      <c r="R1719" s="1" t="s">
        <v>19</v>
      </c>
      <c r="S1719" s="1" t="s">
        <v>20</v>
      </c>
      <c r="T1719" s="1" t="s">
        <v>21</v>
      </c>
      <c r="U1719" s="1" t="s">
        <v>22</v>
      </c>
      <c r="V1719" s="1" t="s">
        <v>24</v>
      </c>
      <c r="W1719" s="1" t="s">
        <v>24</v>
      </c>
      <c r="X1719" s="1">
        <v>3005</v>
      </c>
      <c r="Y1719" s="1">
        <v>2307</v>
      </c>
      <c r="Z1719" s="1" t="s">
        <v>24</v>
      </c>
      <c r="AA1719" s="1" t="s">
        <v>24</v>
      </c>
      <c r="AB1719" s="1" t="s">
        <v>24</v>
      </c>
      <c r="AC1719" s="1" t="s">
        <v>24</v>
      </c>
      <c r="AD1719" s="1" t="s">
        <v>24</v>
      </c>
      <c r="AE1719" s="1" t="s">
        <v>24</v>
      </c>
      <c r="AF1719" s="22"/>
    </row>
    <row r="1720" spans="1:32" x14ac:dyDescent="0.2">
      <c r="A1720" s="1">
        <v>10306</v>
      </c>
      <c r="B1720" s="1" t="s">
        <v>5527</v>
      </c>
      <c r="C1720" s="5" t="s">
        <v>0</v>
      </c>
      <c r="D1720" s="1" t="s">
        <v>5528</v>
      </c>
      <c r="E1720" s="1" t="s">
        <v>5529</v>
      </c>
      <c r="F1720" s="1" t="s">
        <v>5530</v>
      </c>
      <c r="G1720" s="1" t="s">
        <v>5531</v>
      </c>
      <c r="H1720" s="1" t="s">
        <v>116</v>
      </c>
      <c r="I1720" s="1" t="s">
        <v>16</v>
      </c>
      <c r="J1720" s="1">
        <v>1</v>
      </c>
      <c r="K1720" s="1">
        <v>7</v>
      </c>
      <c r="L1720" s="1" t="s">
        <v>42</v>
      </c>
      <c r="M1720" s="1" t="s">
        <v>18</v>
      </c>
      <c r="N1720" s="1" t="s">
        <v>226</v>
      </c>
      <c r="O1720" s="1">
        <v>3</v>
      </c>
      <c r="P1720" s="1">
        <v>5</v>
      </c>
      <c r="R1720" s="1" t="s">
        <v>19</v>
      </c>
      <c r="S1720" s="1" t="s">
        <v>20</v>
      </c>
      <c r="T1720" s="1" t="s">
        <v>21</v>
      </c>
      <c r="U1720" s="1" t="s">
        <v>22</v>
      </c>
      <c r="V1720" s="1" t="s">
        <v>24</v>
      </c>
      <c r="W1720" s="1" t="s">
        <v>24</v>
      </c>
      <c r="X1720" s="1">
        <v>2723</v>
      </c>
      <c r="Y1720" s="1">
        <v>2403</v>
      </c>
      <c r="Z1720" s="1" t="s">
        <v>24</v>
      </c>
      <c r="AA1720" s="1" t="s">
        <v>24</v>
      </c>
      <c r="AB1720" s="1" t="s">
        <v>24</v>
      </c>
      <c r="AC1720" s="1" t="s">
        <v>24</v>
      </c>
      <c r="AD1720" s="1" t="s">
        <v>24</v>
      </c>
      <c r="AE1720" s="1" t="s">
        <v>24</v>
      </c>
      <c r="AF1720" s="22"/>
    </row>
    <row r="1721" spans="1:32" x14ac:dyDescent="0.2">
      <c r="A1721" s="1">
        <v>10318</v>
      </c>
      <c r="B1721" s="1" t="s">
        <v>5532</v>
      </c>
      <c r="C1721" s="5" t="s">
        <v>0</v>
      </c>
      <c r="D1721" s="1" t="s">
        <v>5533</v>
      </c>
      <c r="E1721" s="1" t="s">
        <v>5534</v>
      </c>
      <c r="F1721" s="1" t="s">
        <v>1808</v>
      </c>
      <c r="G1721" s="1" t="s">
        <v>130</v>
      </c>
      <c r="H1721" s="1" t="s">
        <v>461</v>
      </c>
      <c r="I1721" s="1" t="s">
        <v>16</v>
      </c>
      <c r="J1721" s="1">
        <v>2</v>
      </c>
      <c r="K1721" s="1">
        <v>5</v>
      </c>
      <c r="L1721" s="1" t="s">
        <v>31</v>
      </c>
      <c r="M1721" s="1" t="s">
        <v>18</v>
      </c>
      <c r="N1721" s="1" t="s">
        <v>18</v>
      </c>
      <c r="O1721" s="1">
        <v>3</v>
      </c>
      <c r="P1721" s="1">
        <v>6</v>
      </c>
      <c r="R1721" s="1" t="s">
        <v>19</v>
      </c>
      <c r="S1721" s="1" t="s">
        <v>20</v>
      </c>
      <c r="T1721" s="1" t="s">
        <v>21</v>
      </c>
      <c r="U1721" s="1" t="s">
        <v>22</v>
      </c>
      <c r="V1721" s="1" t="s">
        <v>24</v>
      </c>
      <c r="W1721" s="1" t="s">
        <v>24</v>
      </c>
      <c r="X1721" s="1">
        <v>2720</v>
      </c>
      <c r="Y1721" s="1" t="s">
        <v>24</v>
      </c>
      <c r="Z1721" s="1" t="s">
        <v>24</v>
      </c>
      <c r="AA1721" s="1" t="s">
        <v>24</v>
      </c>
      <c r="AB1721" s="1" t="s">
        <v>24</v>
      </c>
      <c r="AC1721" s="1" t="s">
        <v>24</v>
      </c>
      <c r="AD1721" s="1" t="s">
        <v>24</v>
      </c>
      <c r="AE1721" s="1" t="s">
        <v>24</v>
      </c>
      <c r="AF1721" s="22"/>
    </row>
    <row r="1722" spans="1:32" x14ac:dyDescent="0.2">
      <c r="A1722" s="1">
        <v>10321</v>
      </c>
      <c r="B1722" s="1" t="s">
        <v>5535</v>
      </c>
      <c r="C1722" s="5" t="s">
        <v>0</v>
      </c>
      <c r="D1722" s="1" t="s">
        <v>5536</v>
      </c>
      <c r="F1722" s="1" t="s">
        <v>5537</v>
      </c>
      <c r="G1722" s="1" t="s">
        <v>5538</v>
      </c>
      <c r="H1722" s="1" t="s">
        <v>15</v>
      </c>
      <c r="I1722" s="1" t="s">
        <v>16</v>
      </c>
      <c r="J1722" s="1">
        <v>1</v>
      </c>
      <c r="K1722" s="1">
        <v>4</v>
      </c>
      <c r="L1722" s="1" t="s">
        <v>42</v>
      </c>
      <c r="M1722" s="1" t="s">
        <v>18</v>
      </c>
      <c r="N1722" s="1" t="s">
        <v>18</v>
      </c>
      <c r="O1722" s="1">
        <v>3</v>
      </c>
      <c r="P1722" s="1">
        <v>6</v>
      </c>
      <c r="R1722" s="1" t="s">
        <v>19</v>
      </c>
      <c r="S1722" s="1" t="s">
        <v>20</v>
      </c>
      <c r="T1722" s="1" t="s">
        <v>21</v>
      </c>
      <c r="U1722" s="1" t="s">
        <v>22</v>
      </c>
      <c r="V1722" s="1" t="s">
        <v>24</v>
      </c>
      <c r="W1722" s="1" t="s">
        <v>24</v>
      </c>
      <c r="X1722" s="1">
        <v>2705</v>
      </c>
      <c r="Y1722" s="1" t="s">
        <v>24</v>
      </c>
      <c r="Z1722" s="1" t="s">
        <v>24</v>
      </c>
      <c r="AA1722" s="1" t="s">
        <v>24</v>
      </c>
      <c r="AB1722" s="1" t="s">
        <v>24</v>
      </c>
      <c r="AC1722" s="1" t="s">
        <v>24</v>
      </c>
      <c r="AD1722" s="1" t="s">
        <v>24</v>
      </c>
      <c r="AE1722" s="1" t="s">
        <v>24</v>
      </c>
      <c r="AF1722" s="22"/>
    </row>
    <row r="1723" spans="1:32" x14ac:dyDescent="0.2">
      <c r="A1723" s="1">
        <v>10324</v>
      </c>
      <c r="B1723" s="1" t="s">
        <v>5539</v>
      </c>
      <c r="C1723" s="5" t="s">
        <v>0</v>
      </c>
      <c r="D1723" s="1" t="s">
        <v>5540</v>
      </c>
      <c r="E1723" s="1" t="s">
        <v>5541</v>
      </c>
      <c r="F1723" s="1" t="s">
        <v>689</v>
      </c>
      <c r="G1723" s="1" t="s">
        <v>311</v>
      </c>
      <c r="H1723" s="1" t="s">
        <v>30</v>
      </c>
      <c r="I1723" s="1" t="s">
        <v>16</v>
      </c>
      <c r="J1723" s="1">
        <v>1</v>
      </c>
      <c r="K1723" s="1">
        <v>4</v>
      </c>
      <c r="L1723" s="1" t="s">
        <v>31</v>
      </c>
      <c r="M1723" s="1" t="s">
        <v>18</v>
      </c>
      <c r="N1723" s="1" t="s">
        <v>18</v>
      </c>
      <c r="O1723" s="1">
        <v>3</v>
      </c>
      <c r="P1723" s="1">
        <v>6</v>
      </c>
      <c r="R1723" s="1" t="s">
        <v>19</v>
      </c>
      <c r="S1723" s="1" t="s">
        <v>20</v>
      </c>
      <c r="T1723" s="1" t="s">
        <v>21</v>
      </c>
      <c r="U1723" s="1" t="s">
        <v>22</v>
      </c>
      <c r="V1723" s="1" t="s">
        <v>23</v>
      </c>
      <c r="W1723" s="1" t="s">
        <v>24</v>
      </c>
      <c r="X1723" s="1">
        <v>2701</v>
      </c>
      <c r="Y1723" s="1">
        <v>2738</v>
      </c>
      <c r="Z1723" s="1">
        <v>3203</v>
      </c>
      <c r="AA1723" s="1" t="s">
        <v>24</v>
      </c>
      <c r="AB1723" s="1" t="s">
        <v>24</v>
      </c>
      <c r="AC1723" s="1" t="s">
        <v>24</v>
      </c>
      <c r="AD1723" s="1" t="s">
        <v>24</v>
      </c>
      <c r="AE1723" s="1" t="s">
        <v>24</v>
      </c>
      <c r="AF1723" s="22"/>
    </row>
    <row r="1724" spans="1:32" x14ac:dyDescent="0.2">
      <c r="A1724" s="1">
        <v>10326</v>
      </c>
      <c r="B1724" s="1" t="s">
        <v>5542</v>
      </c>
      <c r="C1724" s="5" t="s">
        <v>0</v>
      </c>
      <c r="D1724" s="1" t="s">
        <v>5543</v>
      </c>
      <c r="E1724" s="1" t="s">
        <v>5544</v>
      </c>
      <c r="F1724" s="1" t="s">
        <v>167</v>
      </c>
      <c r="G1724" s="1" t="s">
        <v>130</v>
      </c>
      <c r="H1724" s="1" t="s">
        <v>168</v>
      </c>
      <c r="I1724" s="1" t="s">
        <v>16</v>
      </c>
      <c r="J1724" s="1">
        <v>1</v>
      </c>
      <c r="K1724" s="1">
        <v>12</v>
      </c>
      <c r="L1724" s="1" t="s">
        <v>31</v>
      </c>
      <c r="M1724" s="1" t="s">
        <v>18</v>
      </c>
      <c r="N1724" s="1" t="s">
        <v>18</v>
      </c>
      <c r="O1724" s="1">
        <v>3</v>
      </c>
      <c r="P1724" s="1">
        <v>7</v>
      </c>
      <c r="Q1724" s="7" t="s">
        <v>17633</v>
      </c>
      <c r="R1724" s="1" t="s">
        <v>19</v>
      </c>
      <c r="S1724" s="1" t="s">
        <v>20</v>
      </c>
      <c r="T1724" s="1" t="s">
        <v>21</v>
      </c>
      <c r="U1724" s="1" t="s">
        <v>22</v>
      </c>
      <c r="V1724" s="1" t="s">
        <v>24</v>
      </c>
      <c r="W1724" s="1" t="s">
        <v>24</v>
      </c>
      <c r="X1724" s="1">
        <v>2720</v>
      </c>
      <c r="Y1724" s="1" t="s">
        <v>24</v>
      </c>
      <c r="Z1724" s="1" t="s">
        <v>24</v>
      </c>
      <c r="AA1724" s="1" t="s">
        <v>24</v>
      </c>
      <c r="AB1724" s="1" t="s">
        <v>24</v>
      </c>
      <c r="AC1724" s="1" t="s">
        <v>24</v>
      </c>
      <c r="AD1724" s="1" t="s">
        <v>24</v>
      </c>
      <c r="AE1724" s="1" t="s">
        <v>24</v>
      </c>
      <c r="AF1724" s="22"/>
    </row>
    <row r="1725" spans="1:32" x14ac:dyDescent="0.2">
      <c r="A1725" s="1">
        <v>10327</v>
      </c>
      <c r="B1725" s="1" t="s">
        <v>5545</v>
      </c>
      <c r="C1725" s="5" t="s">
        <v>0</v>
      </c>
      <c r="D1725" s="1" t="s">
        <v>5546</v>
      </c>
      <c r="F1725" s="1" t="s">
        <v>1758</v>
      </c>
      <c r="G1725" s="1" t="s">
        <v>1758</v>
      </c>
      <c r="H1725" s="1" t="s">
        <v>168</v>
      </c>
      <c r="I1725" s="1" t="s">
        <v>16</v>
      </c>
      <c r="J1725" s="1">
        <v>1</v>
      </c>
      <c r="K1725" s="1">
        <v>6</v>
      </c>
      <c r="L1725" s="1" t="s">
        <v>42</v>
      </c>
      <c r="M1725" s="1" t="s">
        <v>413</v>
      </c>
      <c r="N1725" s="1" t="s">
        <v>242</v>
      </c>
      <c r="O1725" s="1">
        <v>2</v>
      </c>
      <c r="P1725" s="1">
        <v>5</v>
      </c>
      <c r="R1725" s="1" t="s">
        <v>19</v>
      </c>
      <c r="S1725" s="1" t="s">
        <v>20</v>
      </c>
      <c r="T1725" s="1" t="s">
        <v>21</v>
      </c>
      <c r="U1725" s="1" t="s">
        <v>22</v>
      </c>
      <c r="V1725" s="1" t="s">
        <v>24</v>
      </c>
      <c r="W1725" s="1" t="s">
        <v>24</v>
      </c>
      <c r="X1725" s="1">
        <v>2705</v>
      </c>
      <c r="Y1725" s="1" t="s">
        <v>24</v>
      </c>
      <c r="Z1725" s="1" t="s">
        <v>24</v>
      </c>
      <c r="AA1725" s="1" t="s">
        <v>24</v>
      </c>
      <c r="AB1725" s="1" t="s">
        <v>24</v>
      </c>
      <c r="AC1725" s="1" t="s">
        <v>24</v>
      </c>
      <c r="AD1725" s="1" t="s">
        <v>24</v>
      </c>
      <c r="AE1725" s="1" t="s">
        <v>24</v>
      </c>
      <c r="AF1725" s="22"/>
    </row>
    <row r="1726" spans="1:32" x14ac:dyDescent="0.2">
      <c r="A1726" s="1">
        <v>10329</v>
      </c>
      <c r="B1726" s="1" t="s">
        <v>5547</v>
      </c>
      <c r="C1726" s="5" t="s">
        <v>0</v>
      </c>
      <c r="D1726" s="1" t="s">
        <v>5548</v>
      </c>
      <c r="E1726" s="1" t="s">
        <v>5549</v>
      </c>
      <c r="F1726" s="1" t="s">
        <v>155</v>
      </c>
      <c r="G1726" s="1" t="s">
        <v>61</v>
      </c>
      <c r="H1726" s="1" t="s">
        <v>37</v>
      </c>
      <c r="I1726" s="1" t="s">
        <v>16</v>
      </c>
      <c r="J1726" s="1">
        <v>1</v>
      </c>
      <c r="K1726" s="1">
        <v>1</v>
      </c>
      <c r="L1726" s="1" t="s">
        <v>31</v>
      </c>
      <c r="M1726" s="1" t="s">
        <v>18</v>
      </c>
      <c r="N1726" s="1" t="s">
        <v>18</v>
      </c>
      <c r="O1726" s="1">
        <v>3</v>
      </c>
      <c r="P1726" s="1">
        <v>7</v>
      </c>
      <c r="Q1726" s="7" t="s">
        <v>17633</v>
      </c>
      <c r="R1726" s="1" t="s">
        <v>19</v>
      </c>
      <c r="S1726" s="1" t="s">
        <v>63</v>
      </c>
      <c r="T1726" s="1" t="s">
        <v>21</v>
      </c>
      <c r="U1726" s="1" t="s">
        <v>22</v>
      </c>
      <c r="V1726" s="1" t="s">
        <v>24</v>
      </c>
      <c r="W1726" s="1" t="s">
        <v>24</v>
      </c>
      <c r="X1726" s="1">
        <v>1502</v>
      </c>
      <c r="Y1726" s="1">
        <v>2305</v>
      </c>
      <c r="Z1726" s="1">
        <v>2311</v>
      </c>
      <c r="AA1726" s="1" t="s">
        <v>24</v>
      </c>
      <c r="AB1726" s="1" t="s">
        <v>24</v>
      </c>
      <c r="AC1726" s="1" t="s">
        <v>24</v>
      </c>
      <c r="AD1726" s="1" t="s">
        <v>24</v>
      </c>
      <c r="AE1726" s="1" t="s">
        <v>24</v>
      </c>
      <c r="AF1726" s="22"/>
    </row>
    <row r="1727" spans="1:32" x14ac:dyDescent="0.2">
      <c r="A1727" s="1">
        <v>10337</v>
      </c>
      <c r="B1727" s="1" t="s">
        <v>5550</v>
      </c>
      <c r="C1727" s="5" t="s">
        <v>0</v>
      </c>
      <c r="D1727" s="1" t="s">
        <v>5551</v>
      </c>
      <c r="E1727" s="1" t="s">
        <v>5552</v>
      </c>
      <c r="F1727" s="1" t="s">
        <v>91</v>
      </c>
      <c r="G1727" s="1" t="s">
        <v>61</v>
      </c>
      <c r="H1727" s="1" t="s">
        <v>92</v>
      </c>
      <c r="I1727" s="1" t="s">
        <v>16</v>
      </c>
      <c r="J1727" s="1">
        <v>3</v>
      </c>
      <c r="K1727" s="1">
        <v>3</v>
      </c>
      <c r="L1727" s="1" t="s">
        <v>31</v>
      </c>
      <c r="M1727" s="1" t="s">
        <v>18</v>
      </c>
      <c r="N1727" s="1" t="s">
        <v>18</v>
      </c>
      <c r="O1727" s="1">
        <v>3</v>
      </c>
      <c r="P1727" s="1">
        <v>7</v>
      </c>
      <c r="Q1727" s="7" t="s">
        <v>17633</v>
      </c>
      <c r="R1727" s="1" t="s">
        <v>19</v>
      </c>
      <c r="S1727" s="1" t="s">
        <v>20</v>
      </c>
      <c r="T1727" s="1" t="s">
        <v>21</v>
      </c>
      <c r="U1727" s="1" t="s">
        <v>22</v>
      </c>
      <c r="V1727" s="1" t="s">
        <v>23</v>
      </c>
      <c r="W1727" s="1" t="s">
        <v>24</v>
      </c>
      <c r="X1727" s="1">
        <v>1702</v>
      </c>
      <c r="Y1727" s="1">
        <v>2701</v>
      </c>
      <c r="Z1727" s="1" t="s">
        <v>24</v>
      </c>
      <c r="AA1727" s="1" t="s">
        <v>24</v>
      </c>
      <c r="AB1727" s="1" t="s">
        <v>24</v>
      </c>
      <c r="AC1727" s="1" t="s">
        <v>24</v>
      </c>
      <c r="AD1727" s="1" t="s">
        <v>24</v>
      </c>
      <c r="AE1727" s="1" t="s">
        <v>24</v>
      </c>
      <c r="AF1727" s="22"/>
    </row>
    <row r="1728" spans="1:32" x14ac:dyDescent="0.2">
      <c r="A1728" s="1">
        <v>10338</v>
      </c>
      <c r="B1728" s="1" t="s">
        <v>5553</v>
      </c>
      <c r="C1728" s="5" t="s">
        <v>0</v>
      </c>
      <c r="D1728" s="1" t="s">
        <v>5554</v>
      </c>
      <c r="E1728" s="1" t="s">
        <v>5555</v>
      </c>
      <c r="F1728" s="1" t="s">
        <v>91</v>
      </c>
      <c r="G1728" s="1" t="s">
        <v>61</v>
      </c>
      <c r="H1728" s="1" t="s">
        <v>92</v>
      </c>
      <c r="I1728" s="1" t="s">
        <v>16</v>
      </c>
      <c r="J1728" s="1">
        <v>1</v>
      </c>
      <c r="K1728" s="1">
        <v>18</v>
      </c>
      <c r="L1728" s="1" t="s">
        <v>31</v>
      </c>
      <c r="M1728" s="1" t="s">
        <v>18</v>
      </c>
      <c r="N1728" s="1" t="s">
        <v>18</v>
      </c>
      <c r="O1728" s="1">
        <v>3</v>
      </c>
      <c r="P1728" s="1">
        <v>7</v>
      </c>
      <c r="Q1728" s="7" t="s">
        <v>17633</v>
      </c>
      <c r="R1728" s="1" t="s">
        <v>19</v>
      </c>
      <c r="S1728" s="1" t="s">
        <v>20</v>
      </c>
      <c r="T1728" s="1" t="s">
        <v>21</v>
      </c>
      <c r="U1728" s="1" t="s">
        <v>22</v>
      </c>
      <c r="V1728" s="1" t="s">
        <v>24</v>
      </c>
      <c r="W1728" s="1" t="s">
        <v>24</v>
      </c>
      <c r="X1728" s="1">
        <v>1702</v>
      </c>
      <c r="Y1728" s="1">
        <v>1706</v>
      </c>
      <c r="Z1728" s="1">
        <v>2805</v>
      </c>
      <c r="AA1728" s="1" t="s">
        <v>24</v>
      </c>
      <c r="AB1728" s="1" t="s">
        <v>24</v>
      </c>
      <c r="AC1728" s="1" t="s">
        <v>24</v>
      </c>
      <c r="AD1728" s="1" t="s">
        <v>24</v>
      </c>
      <c r="AE1728" s="1" t="s">
        <v>24</v>
      </c>
      <c r="AF1728" s="22"/>
    </row>
    <row r="1729" spans="1:32" x14ac:dyDescent="0.2">
      <c r="A1729" s="1">
        <v>10343</v>
      </c>
      <c r="B1729" s="1" t="s">
        <v>5556</v>
      </c>
      <c r="C1729" s="5" t="s">
        <v>0</v>
      </c>
      <c r="D1729" s="1" t="s">
        <v>5557</v>
      </c>
      <c r="E1729" s="1" t="s">
        <v>5558</v>
      </c>
      <c r="F1729" s="1" t="s">
        <v>412</v>
      </c>
      <c r="G1729" s="1" t="s">
        <v>372</v>
      </c>
      <c r="H1729" s="1" t="s">
        <v>168</v>
      </c>
      <c r="I1729" s="1" t="s">
        <v>16</v>
      </c>
      <c r="J1729" s="1">
        <v>1</v>
      </c>
      <c r="K1729" s="1">
        <v>12</v>
      </c>
      <c r="L1729" s="1" t="s">
        <v>31</v>
      </c>
      <c r="M1729" s="1" t="s">
        <v>413</v>
      </c>
      <c r="N1729" s="1" t="s">
        <v>18</v>
      </c>
      <c r="O1729" s="1">
        <v>3</v>
      </c>
      <c r="P1729" s="1">
        <v>6</v>
      </c>
      <c r="R1729" s="1" t="s">
        <v>19</v>
      </c>
      <c r="S1729" s="1" t="s">
        <v>63</v>
      </c>
      <c r="T1729" s="1" t="s">
        <v>21</v>
      </c>
      <c r="U1729" s="1" t="s">
        <v>22</v>
      </c>
      <c r="V1729" s="1" t="s">
        <v>23</v>
      </c>
      <c r="W1729" s="1" t="s">
        <v>24</v>
      </c>
      <c r="X1729" s="1">
        <v>2703</v>
      </c>
      <c r="Y1729" s="1">
        <v>2706</v>
      </c>
      <c r="Z1729" s="1">
        <v>2711</v>
      </c>
      <c r="AA1729" s="1" t="s">
        <v>24</v>
      </c>
      <c r="AB1729" s="1" t="s">
        <v>24</v>
      </c>
      <c r="AC1729" s="1" t="s">
        <v>24</v>
      </c>
      <c r="AD1729" s="1" t="s">
        <v>24</v>
      </c>
      <c r="AE1729" s="1" t="s">
        <v>24</v>
      </c>
      <c r="AF1729" s="22"/>
    </row>
    <row r="1730" spans="1:32" x14ac:dyDescent="0.2">
      <c r="A1730" s="1">
        <v>10344</v>
      </c>
      <c r="B1730" s="1" t="s">
        <v>5559</v>
      </c>
      <c r="C1730" s="5" t="s">
        <v>0</v>
      </c>
      <c r="D1730" s="1" t="s">
        <v>5560</v>
      </c>
      <c r="E1730" s="1" t="s">
        <v>5561</v>
      </c>
      <c r="F1730" s="1" t="s">
        <v>91</v>
      </c>
      <c r="G1730" s="1" t="s">
        <v>61</v>
      </c>
      <c r="H1730" s="1" t="s">
        <v>92</v>
      </c>
      <c r="I1730" s="1" t="s">
        <v>16</v>
      </c>
      <c r="J1730" s="1">
        <v>3</v>
      </c>
      <c r="K1730" s="1">
        <v>3</v>
      </c>
      <c r="L1730" s="1" t="s">
        <v>31</v>
      </c>
      <c r="M1730" s="1" t="s">
        <v>93</v>
      </c>
      <c r="N1730" s="1" t="s">
        <v>18</v>
      </c>
      <c r="O1730" s="1">
        <v>3</v>
      </c>
      <c r="P1730" s="1">
        <v>5</v>
      </c>
      <c r="R1730" s="1" t="s">
        <v>19</v>
      </c>
      <c r="S1730" s="1" t="s">
        <v>20</v>
      </c>
      <c r="T1730" s="1" t="s">
        <v>21</v>
      </c>
      <c r="U1730" s="1" t="s">
        <v>22</v>
      </c>
      <c r="V1730" s="1" t="s">
        <v>24</v>
      </c>
      <c r="W1730" s="1" t="s">
        <v>64</v>
      </c>
      <c r="X1730" s="1">
        <v>1305</v>
      </c>
      <c r="Y1730" s="1">
        <v>3003</v>
      </c>
      <c r="Z1730" s="1" t="s">
        <v>24</v>
      </c>
      <c r="AA1730" s="1" t="s">
        <v>24</v>
      </c>
      <c r="AB1730" s="1" t="s">
        <v>24</v>
      </c>
      <c r="AC1730" s="1" t="s">
        <v>24</v>
      </c>
      <c r="AD1730" s="1" t="s">
        <v>24</v>
      </c>
      <c r="AE1730" s="1" t="s">
        <v>24</v>
      </c>
      <c r="AF1730" s="22"/>
    </row>
    <row r="1731" spans="1:32" x14ac:dyDescent="0.2">
      <c r="A1731" s="1">
        <v>10347</v>
      </c>
      <c r="B1731" s="1" t="s">
        <v>5562</v>
      </c>
      <c r="C1731" s="5" t="s">
        <v>0</v>
      </c>
      <c r="D1731" s="1" t="s">
        <v>5563</v>
      </c>
      <c r="F1731" s="1" t="s">
        <v>4616</v>
      </c>
      <c r="G1731" s="1" t="s">
        <v>4616</v>
      </c>
      <c r="H1731" s="1" t="s">
        <v>168</v>
      </c>
      <c r="I1731" s="1" t="s">
        <v>16</v>
      </c>
      <c r="J1731" s="1">
        <v>1</v>
      </c>
      <c r="K1731" s="1">
        <v>6</v>
      </c>
      <c r="L1731" s="1" t="s">
        <v>42</v>
      </c>
      <c r="M1731" s="1" t="s">
        <v>413</v>
      </c>
      <c r="N1731" s="1" t="s">
        <v>18</v>
      </c>
      <c r="O1731" s="1">
        <v>2</v>
      </c>
      <c r="P1731" s="1">
        <v>6</v>
      </c>
      <c r="R1731" s="1" t="s">
        <v>19</v>
      </c>
      <c r="S1731" s="1" t="s">
        <v>20</v>
      </c>
      <c r="T1731" s="1" t="s">
        <v>21</v>
      </c>
      <c r="U1731" s="1" t="s">
        <v>22</v>
      </c>
      <c r="V1731" s="1" t="s">
        <v>23</v>
      </c>
      <c r="W1731" s="1" t="s">
        <v>24</v>
      </c>
      <c r="X1731" s="1">
        <v>2701</v>
      </c>
      <c r="Y1731" s="1">
        <v>2738</v>
      </c>
      <c r="Z1731" s="1">
        <v>2739</v>
      </c>
      <c r="AA1731" s="1" t="s">
        <v>24</v>
      </c>
      <c r="AB1731" s="1" t="s">
        <v>24</v>
      </c>
      <c r="AC1731" s="1" t="s">
        <v>24</v>
      </c>
      <c r="AD1731" s="1" t="s">
        <v>24</v>
      </c>
      <c r="AE1731" s="1" t="s">
        <v>24</v>
      </c>
      <c r="AF1731" s="22"/>
    </row>
    <row r="1732" spans="1:32" x14ac:dyDescent="0.2">
      <c r="A1732" s="1">
        <v>10348</v>
      </c>
      <c r="B1732" s="1" t="s">
        <v>5564</v>
      </c>
      <c r="C1732" s="5" t="s">
        <v>0</v>
      </c>
      <c r="D1732" s="1" t="s">
        <v>5565</v>
      </c>
      <c r="E1732" s="1" t="s">
        <v>5566</v>
      </c>
      <c r="F1732" s="1" t="s">
        <v>303</v>
      </c>
      <c r="G1732" s="1" t="s">
        <v>61</v>
      </c>
      <c r="H1732" s="1" t="s">
        <v>30</v>
      </c>
      <c r="I1732" s="1" t="s">
        <v>16</v>
      </c>
      <c r="J1732" s="1">
        <v>1</v>
      </c>
      <c r="K1732" s="1">
        <v>6</v>
      </c>
      <c r="L1732" s="1" t="s">
        <v>31</v>
      </c>
      <c r="M1732" s="1" t="s">
        <v>18</v>
      </c>
      <c r="N1732" s="1" t="s">
        <v>18</v>
      </c>
      <c r="O1732" s="1">
        <v>3</v>
      </c>
      <c r="P1732" s="1">
        <v>8</v>
      </c>
      <c r="Q1732" s="7" t="s">
        <v>17633</v>
      </c>
      <c r="R1732" s="1" t="s">
        <v>19</v>
      </c>
      <c r="S1732" s="1" t="s">
        <v>20</v>
      </c>
      <c r="T1732" s="1" t="s">
        <v>21</v>
      </c>
      <c r="U1732" s="1" t="s">
        <v>22</v>
      </c>
      <c r="V1732" s="1" t="s">
        <v>24</v>
      </c>
      <c r="W1732" s="1" t="s">
        <v>24</v>
      </c>
      <c r="X1732" s="1">
        <v>2705</v>
      </c>
      <c r="Y1732" s="1">
        <v>2703</v>
      </c>
      <c r="Z1732" s="1" t="s">
        <v>24</v>
      </c>
      <c r="AA1732" s="1" t="s">
        <v>24</v>
      </c>
      <c r="AB1732" s="1" t="s">
        <v>24</v>
      </c>
      <c r="AC1732" s="1" t="s">
        <v>24</v>
      </c>
      <c r="AD1732" s="1" t="s">
        <v>24</v>
      </c>
      <c r="AE1732" s="1" t="s">
        <v>24</v>
      </c>
      <c r="AF1732" s="22"/>
    </row>
    <row r="1733" spans="1:32" x14ac:dyDescent="0.2">
      <c r="A1733" s="1">
        <v>10354</v>
      </c>
      <c r="B1733" s="1" t="s">
        <v>5567</v>
      </c>
      <c r="C1733" s="5" t="s">
        <v>0</v>
      </c>
      <c r="D1733" s="1" t="s">
        <v>5568</v>
      </c>
      <c r="F1733" s="1" t="s">
        <v>437</v>
      </c>
      <c r="G1733" s="1" t="s">
        <v>437</v>
      </c>
      <c r="H1733" s="1" t="s">
        <v>168</v>
      </c>
      <c r="I1733" s="1" t="s">
        <v>16</v>
      </c>
      <c r="J1733" s="1">
        <v>1</v>
      </c>
      <c r="K1733" s="1">
        <v>4</v>
      </c>
      <c r="L1733" s="1" t="s">
        <v>42</v>
      </c>
      <c r="M1733" s="1" t="s">
        <v>413</v>
      </c>
      <c r="N1733" s="1" t="s">
        <v>18</v>
      </c>
      <c r="O1733" s="1">
        <v>3</v>
      </c>
      <c r="P1733" s="1">
        <v>6</v>
      </c>
      <c r="R1733" s="1" t="s">
        <v>19</v>
      </c>
      <c r="S1733" s="1" t="s">
        <v>20</v>
      </c>
      <c r="T1733" s="1" t="s">
        <v>21</v>
      </c>
      <c r="U1733" s="1" t="s">
        <v>22</v>
      </c>
      <c r="V1733" s="1" t="s">
        <v>23</v>
      </c>
      <c r="W1733" s="1" t="s">
        <v>24</v>
      </c>
      <c r="X1733" s="1">
        <v>2706</v>
      </c>
      <c r="Y1733" s="1">
        <v>2711</v>
      </c>
      <c r="Z1733" s="1" t="s">
        <v>24</v>
      </c>
      <c r="AA1733" s="1" t="s">
        <v>24</v>
      </c>
      <c r="AB1733" s="1" t="s">
        <v>24</v>
      </c>
      <c r="AC1733" s="1" t="s">
        <v>24</v>
      </c>
      <c r="AD1733" s="1" t="s">
        <v>24</v>
      </c>
      <c r="AE1733" s="1" t="s">
        <v>24</v>
      </c>
      <c r="AF1733" s="22"/>
    </row>
    <row r="1734" spans="1:32" x14ac:dyDescent="0.2">
      <c r="A1734" s="1">
        <v>10357</v>
      </c>
      <c r="B1734" s="1" t="s">
        <v>5569</v>
      </c>
      <c r="C1734" s="5" t="s">
        <v>0</v>
      </c>
      <c r="D1734" s="1" t="s">
        <v>5570</v>
      </c>
      <c r="F1734" s="1" t="s">
        <v>5571</v>
      </c>
      <c r="G1734" s="1" t="s">
        <v>5571</v>
      </c>
      <c r="H1734" s="1" t="s">
        <v>86</v>
      </c>
      <c r="I1734" s="1" t="s">
        <v>16</v>
      </c>
      <c r="J1734" s="1">
        <v>1</v>
      </c>
      <c r="K1734" s="1">
        <v>6</v>
      </c>
      <c r="L1734" s="1" t="s">
        <v>17</v>
      </c>
      <c r="M1734" s="1" t="s">
        <v>199</v>
      </c>
      <c r="N1734" s="1" t="s">
        <v>105</v>
      </c>
      <c r="O1734" s="1">
        <v>2</v>
      </c>
      <c r="P1734" s="1">
        <v>5</v>
      </c>
      <c r="R1734" s="1" t="s">
        <v>19</v>
      </c>
      <c r="S1734" s="1" t="s">
        <v>20</v>
      </c>
      <c r="T1734" s="1" t="s">
        <v>21</v>
      </c>
      <c r="U1734" s="1" t="s">
        <v>22</v>
      </c>
      <c r="V1734" s="1" t="s">
        <v>23</v>
      </c>
      <c r="W1734" s="1" t="s">
        <v>24</v>
      </c>
      <c r="X1734" s="1">
        <v>3003</v>
      </c>
      <c r="Y1734" s="1" t="s">
        <v>24</v>
      </c>
      <c r="Z1734" s="1" t="s">
        <v>24</v>
      </c>
      <c r="AA1734" s="1" t="s">
        <v>24</v>
      </c>
      <c r="AB1734" s="1" t="s">
        <v>24</v>
      </c>
      <c r="AC1734" s="1" t="s">
        <v>24</v>
      </c>
      <c r="AD1734" s="1" t="s">
        <v>24</v>
      </c>
      <c r="AE1734" s="1" t="s">
        <v>24</v>
      </c>
      <c r="AF1734" s="22"/>
    </row>
    <row r="1735" spans="1:32" x14ac:dyDescent="0.2">
      <c r="A1735" s="1">
        <v>10359</v>
      </c>
      <c r="B1735" s="1" t="s">
        <v>5572</v>
      </c>
      <c r="C1735" s="5" t="s">
        <v>0</v>
      </c>
      <c r="D1735" s="1" t="s">
        <v>5573</v>
      </c>
      <c r="E1735" s="1" t="s">
        <v>5574</v>
      </c>
      <c r="F1735" s="1" t="s">
        <v>1181</v>
      </c>
      <c r="G1735" s="1" t="s">
        <v>130</v>
      </c>
      <c r="H1735" s="1" t="s">
        <v>37</v>
      </c>
      <c r="I1735" s="1" t="s">
        <v>16</v>
      </c>
      <c r="J1735" s="1">
        <v>1</v>
      </c>
      <c r="K1735" s="1">
        <v>12</v>
      </c>
      <c r="L1735" s="1" t="s">
        <v>31</v>
      </c>
      <c r="M1735" s="1" t="s">
        <v>18</v>
      </c>
      <c r="N1735" s="1" t="s">
        <v>18</v>
      </c>
      <c r="O1735" s="1">
        <v>3</v>
      </c>
      <c r="P1735" s="1">
        <v>7</v>
      </c>
      <c r="Q1735" s="7" t="s">
        <v>17633</v>
      </c>
      <c r="R1735" s="1" t="s">
        <v>62</v>
      </c>
      <c r="S1735" s="1" t="s">
        <v>20</v>
      </c>
      <c r="T1735" s="1" t="s">
        <v>21</v>
      </c>
      <c r="U1735" s="1" t="s">
        <v>22</v>
      </c>
      <c r="V1735" s="1" t="s">
        <v>23</v>
      </c>
      <c r="W1735" s="1" t="s">
        <v>24</v>
      </c>
      <c r="X1735" s="1">
        <v>2712</v>
      </c>
      <c r="Y1735" s="1" t="s">
        <v>24</v>
      </c>
      <c r="Z1735" s="1" t="s">
        <v>24</v>
      </c>
      <c r="AA1735" s="1" t="s">
        <v>24</v>
      </c>
      <c r="AB1735" s="1" t="s">
        <v>24</v>
      </c>
      <c r="AC1735" s="1" t="s">
        <v>24</v>
      </c>
      <c r="AD1735" s="1" t="s">
        <v>24</v>
      </c>
      <c r="AE1735" s="1" t="s">
        <v>24</v>
      </c>
      <c r="AF1735" s="22"/>
    </row>
    <row r="1736" spans="1:32" x14ac:dyDescent="0.2">
      <c r="A1736" s="1">
        <v>10368</v>
      </c>
      <c r="B1736" s="1" t="s">
        <v>5575</v>
      </c>
      <c r="C1736" s="5" t="s">
        <v>0</v>
      </c>
      <c r="D1736" s="1" t="s">
        <v>5576</v>
      </c>
      <c r="E1736" s="1" t="s">
        <v>5577</v>
      </c>
      <c r="F1736" s="1" t="s">
        <v>85</v>
      </c>
      <c r="G1736" s="1" t="s">
        <v>61</v>
      </c>
      <c r="H1736" s="1" t="s">
        <v>86</v>
      </c>
      <c r="I1736" s="1" t="s">
        <v>16</v>
      </c>
      <c r="J1736" s="1">
        <v>1</v>
      </c>
      <c r="K1736" s="1">
        <v>8</v>
      </c>
      <c r="L1736" s="1" t="s">
        <v>31</v>
      </c>
      <c r="M1736" s="1" t="s">
        <v>199</v>
      </c>
      <c r="N1736" s="1" t="s">
        <v>18</v>
      </c>
      <c r="O1736" s="1">
        <v>3</v>
      </c>
      <c r="P1736" s="1">
        <v>7</v>
      </c>
      <c r="Q1736" s="7" t="s">
        <v>17633</v>
      </c>
      <c r="R1736" s="1" t="s">
        <v>19</v>
      </c>
      <c r="S1736" s="1" t="s">
        <v>20</v>
      </c>
      <c r="T1736" s="1" t="s">
        <v>21</v>
      </c>
      <c r="U1736" s="1" t="s">
        <v>22</v>
      </c>
      <c r="V1736" s="1" t="s">
        <v>24</v>
      </c>
      <c r="W1736" s="1" t="s">
        <v>24</v>
      </c>
      <c r="X1736" s="1">
        <v>2738</v>
      </c>
      <c r="Y1736" s="1" t="s">
        <v>24</v>
      </c>
      <c r="Z1736" s="1" t="s">
        <v>24</v>
      </c>
      <c r="AA1736" s="1" t="s">
        <v>24</v>
      </c>
      <c r="AB1736" s="1" t="s">
        <v>24</v>
      </c>
      <c r="AC1736" s="1" t="s">
        <v>24</v>
      </c>
      <c r="AD1736" s="1" t="s">
        <v>24</v>
      </c>
      <c r="AE1736" s="1" t="s">
        <v>24</v>
      </c>
      <c r="AF1736" s="22"/>
    </row>
    <row r="1737" spans="1:32" x14ac:dyDescent="0.2">
      <c r="A1737" s="1">
        <v>10371</v>
      </c>
      <c r="B1737" s="1" t="s">
        <v>5578</v>
      </c>
      <c r="C1737" s="5" t="s">
        <v>0</v>
      </c>
      <c r="D1737" s="1" t="s">
        <v>5579</v>
      </c>
      <c r="E1737" s="1" t="s">
        <v>5580</v>
      </c>
      <c r="F1737" s="1" t="s">
        <v>91</v>
      </c>
      <c r="G1737" s="1" t="s">
        <v>61</v>
      </c>
      <c r="H1737" s="1" t="s">
        <v>92</v>
      </c>
      <c r="I1737" s="1" t="s">
        <v>16</v>
      </c>
      <c r="J1737" s="1">
        <v>4</v>
      </c>
      <c r="K1737" s="1">
        <v>3</v>
      </c>
      <c r="L1737" s="1" t="s">
        <v>31</v>
      </c>
      <c r="M1737" s="1" t="s">
        <v>18</v>
      </c>
      <c r="N1737" s="1" t="s">
        <v>18</v>
      </c>
      <c r="O1737" s="1">
        <v>3</v>
      </c>
      <c r="P1737" s="1">
        <v>7</v>
      </c>
      <c r="Q1737" s="7" t="s">
        <v>17633</v>
      </c>
      <c r="R1737" s="1" t="s">
        <v>19</v>
      </c>
      <c r="S1737" s="1" t="s">
        <v>63</v>
      </c>
      <c r="T1737" s="1" t="s">
        <v>21</v>
      </c>
      <c r="U1737" s="1" t="s">
        <v>22</v>
      </c>
      <c r="V1737" s="1" t="s">
        <v>24</v>
      </c>
      <c r="W1737" s="1" t="s">
        <v>64</v>
      </c>
      <c r="X1737" s="1">
        <v>3108</v>
      </c>
      <c r="Y1737" s="1">
        <v>2741</v>
      </c>
      <c r="Z1737" s="1">
        <v>3614</v>
      </c>
      <c r="AA1737" s="1">
        <v>1304</v>
      </c>
      <c r="AB1737" s="1" t="s">
        <v>24</v>
      </c>
      <c r="AC1737" s="1" t="s">
        <v>24</v>
      </c>
      <c r="AD1737" s="1" t="s">
        <v>24</v>
      </c>
      <c r="AE1737" s="1" t="s">
        <v>24</v>
      </c>
      <c r="AF1737" s="22"/>
    </row>
    <row r="1738" spans="1:32" x14ac:dyDescent="0.2">
      <c r="A1738" s="1">
        <v>10376</v>
      </c>
      <c r="B1738" s="1" t="s">
        <v>5581</v>
      </c>
      <c r="C1738" s="5" t="s">
        <v>0</v>
      </c>
      <c r="D1738" s="1" t="s">
        <v>5582</v>
      </c>
      <c r="E1738" s="1" t="s">
        <v>5583</v>
      </c>
      <c r="F1738" s="1" t="s">
        <v>155</v>
      </c>
      <c r="G1738" s="1" t="s">
        <v>61</v>
      </c>
      <c r="H1738" s="1" t="s">
        <v>37</v>
      </c>
      <c r="I1738" s="1" t="s">
        <v>16</v>
      </c>
      <c r="J1738" s="1">
        <v>1</v>
      </c>
      <c r="K1738" s="1">
        <v>24</v>
      </c>
      <c r="L1738" s="1" t="s">
        <v>31</v>
      </c>
      <c r="M1738" s="1" t="s">
        <v>18</v>
      </c>
      <c r="N1738" s="1" t="s">
        <v>18</v>
      </c>
      <c r="O1738" s="1">
        <v>2</v>
      </c>
      <c r="P1738" s="1">
        <v>6</v>
      </c>
      <c r="R1738" s="1" t="s">
        <v>881</v>
      </c>
      <c r="S1738" s="1" t="s">
        <v>20</v>
      </c>
      <c r="T1738" s="1" t="s">
        <v>21</v>
      </c>
      <c r="U1738" s="1" t="s">
        <v>22</v>
      </c>
      <c r="V1738" s="1" t="s">
        <v>24</v>
      </c>
      <c r="W1738" s="1" t="s">
        <v>64</v>
      </c>
      <c r="X1738" s="1">
        <v>1303</v>
      </c>
      <c r="Y1738" s="1">
        <v>1308</v>
      </c>
      <c r="Z1738" s="1">
        <v>1312</v>
      </c>
      <c r="AA1738" s="1">
        <v>1313</v>
      </c>
      <c r="AB1738" s="1">
        <v>1605</v>
      </c>
      <c r="AC1738" s="1">
        <v>3002</v>
      </c>
      <c r="AD1738" s="1">
        <v>3003</v>
      </c>
      <c r="AE1738" s="1" t="s">
        <v>24</v>
      </c>
      <c r="AF1738" s="22"/>
    </row>
    <row r="1739" spans="1:32" x14ac:dyDescent="0.2">
      <c r="A1739" s="1">
        <v>10379</v>
      </c>
      <c r="B1739" s="1" t="s">
        <v>5584</v>
      </c>
      <c r="C1739" s="5" t="s">
        <v>0</v>
      </c>
      <c r="D1739" s="1" t="s">
        <v>5585</v>
      </c>
      <c r="E1739" s="1" t="s">
        <v>5586</v>
      </c>
      <c r="F1739" s="1" t="s">
        <v>5587</v>
      </c>
      <c r="G1739" s="1" t="s">
        <v>4793</v>
      </c>
      <c r="H1739" s="1" t="s">
        <v>30</v>
      </c>
      <c r="I1739" s="1" t="s">
        <v>16</v>
      </c>
      <c r="J1739" s="1">
        <v>1</v>
      </c>
      <c r="K1739" s="1">
        <v>6</v>
      </c>
      <c r="L1739" s="1" t="s">
        <v>42</v>
      </c>
      <c r="M1739" s="1" t="s">
        <v>18</v>
      </c>
      <c r="N1739" s="1" t="s">
        <v>18</v>
      </c>
      <c r="O1739" s="1">
        <v>3</v>
      </c>
      <c r="P1739" s="1">
        <v>7</v>
      </c>
      <c r="Q1739" s="7" t="s">
        <v>17633</v>
      </c>
      <c r="R1739" s="1" t="s">
        <v>19</v>
      </c>
      <c r="S1739" s="1" t="s">
        <v>20</v>
      </c>
      <c r="T1739" s="1" t="s">
        <v>21</v>
      </c>
      <c r="U1739" s="1" t="s">
        <v>22</v>
      </c>
      <c r="V1739" s="1" t="s">
        <v>23</v>
      </c>
      <c r="W1739" s="1" t="s">
        <v>24</v>
      </c>
      <c r="X1739" s="1">
        <v>2733</v>
      </c>
      <c r="Y1739" s="1">
        <v>3504</v>
      </c>
      <c r="Z1739" s="1" t="s">
        <v>24</v>
      </c>
      <c r="AA1739" s="1" t="s">
        <v>24</v>
      </c>
      <c r="AB1739" s="1" t="s">
        <v>24</v>
      </c>
      <c r="AC1739" s="1" t="s">
        <v>24</v>
      </c>
      <c r="AD1739" s="1" t="s">
        <v>24</v>
      </c>
      <c r="AE1739" s="1" t="s">
        <v>24</v>
      </c>
      <c r="AF1739" s="22"/>
    </row>
    <row r="1740" spans="1:32" x14ac:dyDescent="0.2">
      <c r="A1740" s="1">
        <v>10380</v>
      </c>
      <c r="B1740" s="1" t="s">
        <v>5588</v>
      </c>
      <c r="C1740" s="5" t="s">
        <v>0</v>
      </c>
      <c r="D1740" s="1" t="s">
        <v>5589</v>
      </c>
      <c r="E1740" s="1" t="s">
        <v>5590</v>
      </c>
      <c r="F1740" s="1" t="s">
        <v>155</v>
      </c>
      <c r="G1740" s="1" t="s">
        <v>61</v>
      </c>
      <c r="H1740" s="1" t="s">
        <v>37</v>
      </c>
      <c r="I1740" s="1" t="s">
        <v>16</v>
      </c>
      <c r="J1740" s="1">
        <v>1</v>
      </c>
      <c r="K1740" s="1">
        <v>12</v>
      </c>
      <c r="L1740" s="1" t="s">
        <v>31</v>
      </c>
      <c r="M1740" s="1" t="s">
        <v>18</v>
      </c>
      <c r="N1740" s="1" t="s">
        <v>18</v>
      </c>
      <c r="O1740" s="1">
        <v>3</v>
      </c>
      <c r="P1740" s="1">
        <v>7</v>
      </c>
      <c r="Q1740" s="7" t="s">
        <v>17633</v>
      </c>
      <c r="R1740" s="1" t="s">
        <v>62</v>
      </c>
      <c r="S1740" s="1" t="s">
        <v>20</v>
      </c>
      <c r="T1740" s="1" t="s">
        <v>21</v>
      </c>
      <c r="U1740" s="1" t="s">
        <v>22</v>
      </c>
      <c r="V1740" s="1" t="s">
        <v>24</v>
      </c>
      <c r="W1740" s="1" t="s">
        <v>24</v>
      </c>
      <c r="X1740" s="1">
        <v>1307</v>
      </c>
      <c r="Y1740" s="1" t="s">
        <v>24</v>
      </c>
      <c r="Z1740" s="1" t="s">
        <v>24</v>
      </c>
      <c r="AA1740" s="1" t="s">
        <v>24</v>
      </c>
      <c r="AB1740" s="1" t="s">
        <v>24</v>
      </c>
      <c r="AC1740" s="1" t="s">
        <v>24</v>
      </c>
      <c r="AD1740" s="1" t="s">
        <v>24</v>
      </c>
      <c r="AE1740" s="1" t="s">
        <v>24</v>
      </c>
      <c r="AF1740" s="22"/>
    </row>
    <row r="1741" spans="1:32" x14ac:dyDescent="0.2">
      <c r="A1741" s="1">
        <v>10383</v>
      </c>
      <c r="B1741" s="1" t="s">
        <v>5591</v>
      </c>
      <c r="C1741" s="5" t="s">
        <v>0</v>
      </c>
      <c r="D1741" s="1" t="s">
        <v>5592</v>
      </c>
      <c r="E1741" s="1" t="s">
        <v>5593</v>
      </c>
      <c r="F1741" s="1" t="s">
        <v>724</v>
      </c>
      <c r="G1741" s="1" t="s">
        <v>725</v>
      </c>
      <c r="H1741" s="1" t="s">
        <v>37</v>
      </c>
      <c r="I1741" s="1" t="s">
        <v>16</v>
      </c>
      <c r="J1741" s="1">
        <v>1</v>
      </c>
      <c r="K1741" s="1">
        <v>6</v>
      </c>
      <c r="L1741" s="1" t="s">
        <v>31</v>
      </c>
      <c r="M1741" s="1" t="s">
        <v>18</v>
      </c>
      <c r="N1741" s="1" t="s">
        <v>18</v>
      </c>
      <c r="O1741" s="1">
        <v>3</v>
      </c>
      <c r="P1741" s="1">
        <v>6</v>
      </c>
      <c r="R1741" s="1" t="s">
        <v>19</v>
      </c>
      <c r="S1741" s="1" t="s">
        <v>20</v>
      </c>
      <c r="T1741" s="1" t="s">
        <v>21</v>
      </c>
      <c r="U1741" s="1" t="s">
        <v>22</v>
      </c>
      <c r="V1741" s="1" t="s">
        <v>23</v>
      </c>
      <c r="W1741" s="1" t="s">
        <v>24</v>
      </c>
      <c r="X1741" s="1">
        <v>2717</v>
      </c>
      <c r="Y1741" s="1">
        <v>2738</v>
      </c>
      <c r="Z1741" s="1">
        <v>2909</v>
      </c>
      <c r="AA1741" s="1">
        <v>3203</v>
      </c>
      <c r="AB1741" s="1" t="s">
        <v>24</v>
      </c>
      <c r="AC1741" s="1" t="s">
        <v>24</v>
      </c>
      <c r="AD1741" s="1" t="s">
        <v>24</v>
      </c>
      <c r="AE1741" s="1" t="s">
        <v>24</v>
      </c>
      <c r="AF1741" s="22"/>
    </row>
    <row r="1742" spans="1:32" x14ac:dyDescent="0.2">
      <c r="A1742" s="1">
        <v>10384</v>
      </c>
      <c r="B1742" s="1" t="s">
        <v>5594</v>
      </c>
      <c r="C1742" s="5" t="s">
        <v>0</v>
      </c>
      <c r="D1742" s="1" t="s">
        <v>5595</v>
      </c>
      <c r="F1742" s="1" t="s">
        <v>5596</v>
      </c>
      <c r="G1742" s="1" t="s">
        <v>1066</v>
      </c>
      <c r="H1742" s="1" t="s">
        <v>1007</v>
      </c>
      <c r="I1742" s="1" t="s">
        <v>16</v>
      </c>
      <c r="J1742" s="1">
        <v>1</v>
      </c>
      <c r="K1742" s="1">
        <v>12</v>
      </c>
      <c r="L1742" s="1" t="s">
        <v>17</v>
      </c>
      <c r="M1742" s="1" t="s">
        <v>1008</v>
      </c>
      <c r="N1742" s="1" t="s">
        <v>4418</v>
      </c>
      <c r="O1742" s="1">
        <v>1</v>
      </c>
      <c r="P1742" s="1">
        <v>3</v>
      </c>
      <c r="R1742" s="1" t="s">
        <v>19</v>
      </c>
      <c r="S1742" s="1" t="s">
        <v>20</v>
      </c>
      <c r="T1742" s="1" t="s">
        <v>21</v>
      </c>
      <c r="U1742" s="1" t="s">
        <v>22</v>
      </c>
      <c r="V1742" s="1" t="s">
        <v>24</v>
      </c>
      <c r="W1742" s="1" t="s">
        <v>24</v>
      </c>
      <c r="X1742" s="1">
        <v>2403</v>
      </c>
      <c r="Y1742" s="1">
        <v>2404</v>
      </c>
      <c r="Z1742" s="1">
        <v>2406</v>
      </c>
      <c r="AA1742" s="1" t="s">
        <v>24</v>
      </c>
      <c r="AB1742" s="1" t="s">
        <v>24</v>
      </c>
      <c r="AC1742" s="1" t="s">
        <v>24</v>
      </c>
      <c r="AD1742" s="1" t="s">
        <v>24</v>
      </c>
      <c r="AE1742" s="1" t="s">
        <v>24</v>
      </c>
      <c r="AF1742" s="22"/>
    </row>
    <row r="1743" spans="1:32" x14ac:dyDescent="0.2">
      <c r="A1743" s="1">
        <v>10387</v>
      </c>
      <c r="B1743" s="1" t="s">
        <v>5597</v>
      </c>
      <c r="C1743" s="5" t="s">
        <v>0</v>
      </c>
      <c r="D1743" s="1" t="s">
        <v>5598</v>
      </c>
      <c r="E1743" s="1" t="s">
        <v>5599</v>
      </c>
      <c r="F1743" s="1" t="s">
        <v>4337</v>
      </c>
      <c r="G1743" s="1" t="s">
        <v>4338</v>
      </c>
      <c r="H1743" s="1" t="s">
        <v>30</v>
      </c>
      <c r="I1743" s="1" t="s">
        <v>16</v>
      </c>
      <c r="J1743" s="1">
        <v>1</v>
      </c>
      <c r="K1743" s="1">
        <v>12</v>
      </c>
      <c r="L1743" s="1" t="s">
        <v>31</v>
      </c>
      <c r="M1743" s="1" t="s">
        <v>18</v>
      </c>
      <c r="N1743" s="1" t="s">
        <v>18</v>
      </c>
      <c r="O1743" s="1">
        <v>3</v>
      </c>
      <c r="P1743" s="1">
        <v>7</v>
      </c>
      <c r="Q1743" s="7" t="s">
        <v>17633</v>
      </c>
      <c r="R1743" s="1" t="s">
        <v>19</v>
      </c>
      <c r="S1743" s="1" t="s">
        <v>20</v>
      </c>
      <c r="T1743" s="1" t="s">
        <v>21</v>
      </c>
      <c r="U1743" s="1" t="s">
        <v>22</v>
      </c>
      <c r="V1743" s="1" t="s">
        <v>24</v>
      </c>
      <c r="W1743" s="1" t="s">
        <v>24</v>
      </c>
      <c r="X1743" s="1">
        <v>1310</v>
      </c>
      <c r="Y1743" s="1">
        <v>2712</v>
      </c>
      <c r="Z1743" s="1" t="s">
        <v>24</v>
      </c>
      <c r="AA1743" s="1" t="s">
        <v>24</v>
      </c>
      <c r="AB1743" s="1" t="s">
        <v>24</v>
      </c>
      <c r="AC1743" s="1" t="s">
        <v>24</v>
      </c>
      <c r="AD1743" s="1" t="s">
        <v>24</v>
      </c>
      <c r="AE1743" s="1" t="s">
        <v>24</v>
      </c>
      <c r="AF1743" s="22"/>
    </row>
    <row r="1744" spans="1:32" x14ac:dyDescent="0.2">
      <c r="A1744" s="1">
        <v>10388</v>
      </c>
      <c r="B1744" s="1" t="s">
        <v>5600</v>
      </c>
      <c r="C1744" s="5" t="s">
        <v>0</v>
      </c>
      <c r="D1744" s="1" t="s">
        <v>5601</v>
      </c>
      <c r="F1744" s="1" t="s">
        <v>5602</v>
      </c>
      <c r="G1744" s="1" t="s">
        <v>5603</v>
      </c>
      <c r="H1744" s="1" t="s">
        <v>461</v>
      </c>
      <c r="I1744" s="1" t="s">
        <v>16</v>
      </c>
      <c r="J1744" s="1">
        <v>1</v>
      </c>
      <c r="K1744" s="1">
        <v>2</v>
      </c>
      <c r="L1744" s="1" t="s">
        <v>17</v>
      </c>
      <c r="M1744" s="1" t="s">
        <v>1735</v>
      </c>
      <c r="N1744" s="1" t="s">
        <v>635</v>
      </c>
      <c r="O1744" s="1">
        <v>2</v>
      </c>
      <c r="P1744" s="1">
        <v>5</v>
      </c>
      <c r="R1744" s="1" t="s">
        <v>19</v>
      </c>
      <c r="S1744" s="1" t="s">
        <v>20</v>
      </c>
      <c r="T1744" s="1" t="s">
        <v>21</v>
      </c>
      <c r="U1744" s="1" t="s">
        <v>22</v>
      </c>
      <c r="V1744" s="1" t="s">
        <v>24</v>
      </c>
      <c r="W1744" s="1" t="s">
        <v>24</v>
      </c>
      <c r="X1744" s="1">
        <v>2715</v>
      </c>
      <c r="Y1744" s="1">
        <v>2741</v>
      </c>
      <c r="Z1744" s="1" t="s">
        <v>24</v>
      </c>
      <c r="AA1744" s="1" t="s">
        <v>24</v>
      </c>
      <c r="AB1744" s="1" t="s">
        <v>24</v>
      </c>
      <c r="AC1744" s="1" t="s">
        <v>24</v>
      </c>
      <c r="AD1744" s="1" t="s">
        <v>24</v>
      </c>
      <c r="AE1744" s="1" t="s">
        <v>24</v>
      </c>
      <c r="AF1744" s="22"/>
    </row>
    <row r="1745" spans="1:32" x14ac:dyDescent="0.2">
      <c r="A1745" s="1">
        <v>10400</v>
      </c>
      <c r="B1745" s="1" t="s">
        <v>5604</v>
      </c>
      <c r="C1745" s="5" t="s">
        <v>0</v>
      </c>
      <c r="D1745" s="1" t="s">
        <v>5605</v>
      </c>
      <c r="F1745" s="1" t="s">
        <v>5606</v>
      </c>
      <c r="G1745" s="1" t="s">
        <v>5606</v>
      </c>
      <c r="H1745" s="1" t="s">
        <v>1384</v>
      </c>
      <c r="I1745" s="1" t="s">
        <v>16</v>
      </c>
      <c r="J1745" s="1">
        <v>1</v>
      </c>
      <c r="K1745" s="1">
        <v>4</v>
      </c>
      <c r="L1745" s="1" t="s">
        <v>42</v>
      </c>
      <c r="M1745" s="1" t="s">
        <v>1385</v>
      </c>
      <c r="N1745" s="1" t="s">
        <v>3142</v>
      </c>
      <c r="O1745" s="1">
        <v>2</v>
      </c>
      <c r="P1745" s="1">
        <v>4</v>
      </c>
      <c r="R1745" s="1" t="s">
        <v>19</v>
      </c>
      <c r="S1745" s="1" t="s">
        <v>20</v>
      </c>
      <c r="T1745" s="1" t="s">
        <v>21</v>
      </c>
      <c r="U1745" s="1" t="s">
        <v>22</v>
      </c>
      <c r="V1745" s="1" t="s">
        <v>24</v>
      </c>
      <c r="W1745" s="1" t="s">
        <v>24</v>
      </c>
      <c r="X1745" s="1">
        <v>2735</v>
      </c>
      <c r="Y1745" s="1" t="s">
        <v>24</v>
      </c>
      <c r="Z1745" s="1" t="s">
        <v>24</v>
      </c>
      <c r="AA1745" s="1" t="s">
        <v>24</v>
      </c>
      <c r="AB1745" s="1" t="s">
        <v>24</v>
      </c>
      <c r="AC1745" s="1" t="s">
        <v>24</v>
      </c>
      <c r="AD1745" s="1" t="s">
        <v>24</v>
      </c>
      <c r="AE1745" s="1" t="s">
        <v>24</v>
      </c>
      <c r="AF1745" s="22"/>
    </row>
    <row r="1746" spans="1:32" x14ac:dyDescent="0.2">
      <c r="A1746" s="1">
        <v>10404</v>
      </c>
      <c r="B1746" s="1" t="s">
        <v>5607</v>
      </c>
      <c r="C1746" s="5" t="s">
        <v>0</v>
      </c>
      <c r="D1746" s="1" t="s">
        <v>5608</v>
      </c>
      <c r="F1746" s="1" t="s">
        <v>1890</v>
      </c>
      <c r="G1746" s="1" t="s">
        <v>1890</v>
      </c>
      <c r="H1746" s="1" t="s">
        <v>684</v>
      </c>
      <c r="I1746" s="1" t="s">
        <v>16</v>
      </c>
      <c r="J1746" s="1">
        <v>1</v>
      </c>
      <c r="K1746" s="1">
        <v>6</v>
      </c>
      <c r="L1746" s="1" t="s">
        <v>42</v>
      </c>
      <c r="M1746" s="1" t="s">
        <v>18</v>
      </c>
      <c r="N1746" s="1" t="s">
        <v>18</v>
      </c>
      <c r="O1746" s="1">
        <v>3</v>
      </c>
      <c r="P1746" s="1">
        <v>6</v>
      </c>
      <c r="R1746" s="1" t="s">
        <v>19</v>
      </c>
      <c r="S1746" s="1" t="s">
        <v>20</v>
      </c>
      <c r="T1746" s="1" t="s">
        <v>21</v>
      </c>
      <c r="U1746" s="1" t="s">
        <v>22</v>
      </c>
      <c r="V1746" s="1" t="s">
        <v>23</v>
      </c>
      <c r="W1746" s="1" t="s">
        <v>24</v>
      </c>
      <c r="X1746" s="1">
        <v>2732</v>
      </c>
      <c r="Y1746" s="1">
        <v>2746</v>
      </c>
      <c r="Z1746" s="1" t="s">
        <v>24</v>
      </c>
      <c r="AA1746" s="1" t="s">
        <v>24</v>
      </c>
      <c r="AB1746" s="1" t="s">
        <v>24</v>
      </c>
      <c r="AC1746" s="1" t="s">
        <v>24</v>
      </c>
      <c r="AD1746" s="1" t="s">
        <v>24</v>
      </c>
      <c r="AE1746" s="1" t="s">
        <v>24</v>
      </c>
      <c r="AF1746" s="22"/>
    </row>
    <row r="1747" spans="1:32" x14ac:dyDescent="0.2">
      <c r="A1747" s="1">
        <v>10406</v>
      </c>
      <c r="B1747" s="1" t="s">
        <v>5609</v>
      </c>
      <c r="C1747" s="5" t="s">
        <v>0</v>
      </c>
      <c r="D1747" s="1" t="s">
        <v>5610</v>
      </c>
      <c r="E1747" s="1" t="s">
        <v>5611</v>
      </c>
      <c r="F1747" s="1" t="s">
        <v>4502</v>
      </c>
      <c r="G1747" s="1" t="s">
        <v>4502</v>
      </c>
      <c r="H1747" s="1" t="s">
        <v>111</v>
      </c>
      <c r="I1747" s="1" t="s">
        <v>16</v>
      </c>
      <c r="J1747" s="1">
        <v>1</v>
      </c>
      <c r="K1747" s="1">
        <v>4</v>
      </c>
      <c r="L1747" s="1" t="s">
        <v>42</v>
      </c>
      <c r="M1747" s="1" t="s">
        <v>18</v>
      </c>
      <c r="N1747" s="1" t="s">
        <v>18</v>
      </c>
      <c r="O1747" s="1">
        <v>3</v>
      </c>
      <c r="P1747" s="1">
        <v>6</v>
      </c>
      <c r="R1747" s="1" t="s">
        <v>19</v>
      </c>
      <c r="S1747" s="1" t="s">
        <v>20</v>
      </c>
      <c r="T1747" s="1" t="s">
        <v>21</v>
      </c>
      <c r="U1747" s="1" t="s">
        <v>22</v>
      </c>
      <c r="V1747" s="1" t="s">
        <v>24</v>
      </c>
      <c r="W1747" s="1" t="s">
        <v>24</v>
      </c>
      <c r="X1747" s="1">
        <v>2740</v>
      </c>
      <c r="Y1747" s="1" t="s">
        <v>24</v>
      </c>
      <c r="Z1747" s="1" t="s">
        <v>24</v>
      </c>
      <c r="AA1747" s="1" t="s">
        <v>24</v>
      </c>
      <c r="AB1747" s="1" t="s">
        <v>24</v>
      </c>
      <c r="AC1747" s="1" t="s">
        <v>24</v>
      </c>
      <c r="AD1747" s="1" t="s">
        <v>24</v>
      </c>
      <c r="AE1747" s="1" t="s">
        <v>24</v>
      </c>
      <c r="AF1747" s="22"/>
    </row>
    <row r="1748" spans="1:32" x14ac:dyDescent="0.2">
      <c r="A1748" s="1">
        <v>10411</v>
      </c>
      <c r="B1748" s="1" t="s">
        <v>5612</v>
      </c>
      <c r="C1748" s="5" t="s">
        <v>0</v>
      </c>
      <c r="D1748" s="1" t="s">
        <v>5613</v>
      </c>
      <c r="F1748" s="1" t="s">
        <v>5614</v>
      </c>
      <c r="G1748" s="1" t="s">
        <v>5614</v>
      </c>
      <c r="H1748" s="1" t="s">
        <v>878</v>
      </c>
      <c r="I1748" s="1" t="s">
        <v>16</v>
      </c>
      <c r="J1748" s="1">
        <v>1</v>
      </c>
      <c r="K1748" s="1">
        <v>6</v>
      </c>
      <c r="L1748" s="1" t="s">
        <v>42</v>
      </c>
      <c r="M1748" s="1" t="s">
        <v>117</v>
      </c>
      <c r="N1748" s="1" t="s">
        <v>118</v>
      </c>
      <c r="O1748" s="1">
        <v>1</v>
      </c>
      <c r="P1748" s="1">
        <v>5</v>
      </c>
      <c r="R1748" s="1" t="s">
        <v>19</v>
      </c>
      <c r="S1748" s="1" t="s">
        <v>20</v>
      </c>
      <c r="T1748" s="1" t="s">
        <v>21</v>
      </c>
      <c r="U1748" s="1" t="s">
        <v>22</v>
      </c>
      <c r="V1748" s="1" t="s">
        <v>24</v>
      </c>
      <c r="W1748" s="1" t="s">
        <v>24</v>
      </c>
      <c r="X1748" s="1">
        <v>2700</v>
      </c>
      <c r="Y1748" s="1" t="s">
        <v>24</v>
      </c>
      <c r="Z1748" s="1" t="s">
        <v>24</v>
      </c>
      <c r="AA1748" s="1" t="s">
        <v>24</v>
      </c>
      <c r="AB1748" s="1" t="s">
        <v>24</v>
      </c>
      <c r="AC1748" s="1" t="s">
        <v>24</v>
      </c>
      <c r="AD1748" s="1" t="s">
        <v>24</v>
      </c>
      <c r="AE1748" s="1" t="s">
        <v>24</v>
      </c>
      <c r="AF1748" s="22"/>
    </row>
    <row r="1749" spans="1:32" x14ac:dyDescent="0.2">
      <c r="A1749" s="1">
        <v>10412</v>
      </c>
      <c r="B1749" s="1" t="s">
        <v>5615</v>
      </c>
      <c r="C1749" s="5" t="s">
        <v>0</v>
      </c>
      <c r="D1749" s="1" t="s">
        <v>5616</v>
      </c>
      <c r="F1749" s="1" t="s">
        <v>5617</v>
      </c>
      <c r="G1749" s="1" t="s">
        <v>5617</v>
      </c>
      <c r="H1749" s="1" t="s">
        <v>264</v>
      </c>
      <c r="I1749" s="1" t="s">
        <v>16</v>
      </c>
      <c r="J1749" s="1">
        <v>1</v>
      </c>
      <c r="K1749" s="1">
        <v>3</v>
      </c>
      <c r="L1749" s="1" t="s">
        <v>42</v>
      </c>
      <c r="M1749" s="1" t="s">
        <v>18</v>
      </c>
      <c r="N1749" s="1" t="s">
        <v>18</v>
      </c>
      <c r="O1749" s="1">
        <v>0</v>
      </c>
      <c r="P1749" s="1">
        <v>5</v>
      </c>
      <c r="R1749" s="1" t="s">
        <v>19</v>
      </c>
      <c r="S1749" s="1" t="s">
        <v>20</v>
      </c>
      <c r="T1749" s="1" t="s">
        <v>21</v>
      </c>
      <c r="U1749" s="1" t="s">
        <v>22</v>
      </c>
      <c r="V1749" s="1" t="s">
        <v>24</v>
      </c>
      <c r="W1749" s="1" t="s">
        <v>24</v>
      </c>
      <c r="X1749" s="1">
        <v>1306</v>
      </c>
      <c r="Y1749" s="1">
        <v>2730</v>
      </c>
      <c r="Z1749" s="1" t="s">
        <v>24</v>
      </c>
      <c r="AA1749" s="1" t="s">
        <v>24</v>
      </c>
      <c r="AB1749" s="1" t="s">
        <v>24</v>
      </c>
      <c r="AC1749" s="1" t="s">
        <v>24</v>
      </c>
      <c r="AD1749" s="1" t="s">
        <v>24</v>
      </c>
      <c r="AE1749" s="1" t="s">
        <v>24</v>
      </c>
      <c r="AF1749" s="22"/>
    </row>
    <row r="1750" spans="1:32" x14ac:dyDescent="0.2">
      <c r="A1750" s="1">
        <v>10417</v>
      </c>
      <c r="B1750" s="1" t="s">
        <v>5618</v>
      </c>
      <c r="C1750" s="5" t="s">
        <v>0</v>
      </c>
      <c r="D1750" s="1" t="s">
        <v>5619</v>
      </c>
      <c r="E1750" s="1" t="s">
        <v>5620</v>
      </c>
      <c r="F1750" s="1" t="s">
        <v>5621</v>
      </c>
      <c r="G1750" s="1" t="s">
        <v>5622</v>
      </c>
      <c r="H1750" s="1" t="s">
        <v>428</v>
      </c>
      <c r="I1750" s="1" t="s">
        <v>16</v>
      </c>
      <c r="J1750" s="1">
        <v>1</v>
      </c>
      <c r="K1750" s="1">
        <v>4</v>
      </c>
      <c r="L1750" s="1" t="s">
        <v>42</v>
      </c>
      <c r="M1750" s="1" t="s">
        <v>18</v>
      </c>
      <c r="N1750" s="1" t="s">
        <v>2835</v>
      </c>
      <c r="O1750" s="1">
        <v>3</v>
      </c>
      <c r="P1750" s="1">
        <v>5</v>
      </c>
      <c r="R1750" s="1" t="s">
        <v>19</v>
      </c>
      <c r="S1750" s="1" t="s">
        <v>20</v>
      </c>
      <c r="T1750" s="1" t="s">
        <v>21</v>
      </c>
      <c r="U1750" s="1" t="s">
        <v>22</v>
      </c>
      <c r="V1750" s="1" t="s">
        <v>23</v>
      </c>
      <c r="W1750" s="1" t="s">
        <v>24</v>
      </c>
      <c r="X1750" s="1">
        <v>2700</v>
      </c>
      <c r="Y1750" s="1" t="s">
        <v>24</v>
      </c>
      <c r="Z1750" s="1" t="s">
        <v>24</v>
      </c>
      <c r="AA1750" s="1" t="s">
        <v>24</v>
      </c>
      <c r="AB1750" s="1" t="s">
        <v>24</v>
      </c>
      <c r="AC1750" s="1" t="s">
        <v>24</v>
      </c>
      <c r="AD1750" s="1" t="s">
        <v>24</v>
      </c>
      <c r="AE1750" s="1" t="s">
        <v>24</v>
      </c>
      <c r="AF1750" s="22"/>
    </row>
    <row r="1751" spans="1:32" x14ac:dyDescent="0.2">
      <c r="A1751" s="1">
        <v>10418</v>
      </c>
      <c r="B1751" s="1" t="s">
        <v>5623</v>
      </c>
      <c r="C1751" s="5" t="s">
        <v>0</v>
      </c>
      <c r="D1751" s="1" t="s">
        <v>5624</v>
      </c>
      <c r="F1751" s="1" t="s">
        <v>5154</v>
      </c>
      <c r="G1751" s="1" t="s">
        <v>5154</v>
      </c>
      <c r="H1751" s="1" t="s">
        <v>116</v>
      </c>
      <c r="I1751" s="1" t="s">
        <v>16</v>
      </c>
      <c r="J1751" s="1">
        <v>1</v>
      </c>
      <c r="K1751" s="1">
        <v>6</v>
      </c>
      <c r="L1751" s="1" t="s">
        <v>17</v>
      </c>
      <c r="M1751" s="1" t="s">
        <v>117</v>
      </c>
      <c r="N1751" s="1" t="s">
        <v>118</v>
      </c>
      <c r="O1751" s="1">
        <v>0</v>
      </c>
      <c r="P1751" s="1">
        <v>5</v>
      </c>
      <c r="R1751" s="1" t="s">
        <v>19</v>
      </c>
      <c r="S1751" s="1" t="s">
        <v>20</v>
      </c>
      <c r="T1751" s="1" t="s">
        <v>21</v>
      </c>
      <c r="U1751" s="1" t="s">
        <v>22</v>
      </c>
      <c r="V1751" s="1" t="s">
        <v>24</v>
      </c>
      <c r="W1751" s="1" t="s">
        <v>24</v>
      </c>
      <c r="X1751" s="1">
        <v>2730</v>
      </c>
      <c r="Y1751" s="1" t="s">
        <v>24</v>
      </c>
      <c r="Z1751" s="1" t="s">
        <v>24</v>
      </c>
      <c r="AA1751" s="1" t="s">
        <v>24</v>
      </c>
      <c r="AB1751" s="1" t="s">
        <v>24</v>
      </c>
      <c r="AC1751" s="1" t="s">
        <v>24</v>
      </c>
      <c r="AD1751" s="1" t="s">
        <v>24</v>
      </c>
      <c r="AE1751" s="1" t="s">
        <v>24</v>
      </c>
      <c r="AF1751" s="22"/>
    </row>
    <row r="1752" spans="1:32" x14ac:dyDescent="0.2">
      <c r="A1752" s="1">
        <v>10428</v>
      </c>
      <c r="B1752" s="1" t="s">
        <v>5625</v>
      </c>
      <c r="C1752" s="5" t="s">
        <v>0</v>
      </c>
      <c r="D1752" s="1" t="s">
        <v>5626</v>
      </c>
      <c r="F1752" s="1" t="s">
        <v>437</v>
      </c>
      <c r="G1752" s="1" t="s">
        <v>437</v>
      </c>
      <c r="H1752" s="1" t="s">
        <v>168</v>
      </c>
      <c r="I1752" s="1" t="s">
        <v>16</v>
      </c>
      <c r="J1752" s="1">
        <v>1</v>
      </c>
      <c r="K1752" s="1">
        <v>4</v>
      </c>
      <c r="L1752" s="1" t="s">
        <v>42</v>
      </c>
      <c r="M1752" s="1" t="s">
        <v>413</v>
      </c>
      <c r="N1752" s="1" t="s">
        <v>679</v>
      </c>
      <c r="O1752" s="1">
        <v>3</v>
      </c>
      <c r="P1752" s="1">
        <v>6</v>
      </c>
      <c r="R1752" s="1" t="s">
        <v>19</v>
      </c>
      <c r="S1752" s="1" t="s">
        <v>20</v>
      </c>
      <c r="T1752" s="1" t="s">
        <v>21</v>
      </c>
      <c r="U1752" s="1" t="s">
        <v>22</v>
      </c>
      <c r="V1752" s="1" t="s">
        <v>23</v>
      </c>
      <c r="W1752" s="1" t="s">
        <v>24</v>
      </c>
      <c r="X1752" s="1">
        <v>2742</v>
      </c>
      <c r="Y1752" s="1">
        <v>3612</v>
      </c>
      <c r="Z1752" s="1" t="s">
        <v>24</v>
      </c>
      <c r="AA1752" s="1" t="s">
        <v>24</v>
      </c>
      <c r="AB1752" s="1" t="s">
        <v>24</v>
      </c>
      <c r="AC1752" s="1" t="s">
        <v>24</v>
      </c>
      <c r="AD1752" s="1" t="s">
        <v>24</v>
      </c>
      <c r="AE1752" s="1" t="s">
        <v>24</v>
      </c>
      <c r="AF1752" s="22"/>
    </row>
    <row r="1753" spans="1:32" x14ac:dyDescent="0.2">
      <c r="A1753" s="1">
        <v>10438</v>
      </c>
      <c r="B1753" s="1" t="s">
        <v>5627</v>
      </c>
      <c r="C1753" s="5" t="s">
        <v>0</v>
      </c>
      <c r="D1753" s="1" t="s">
        <v>5628</v>
      </c>
      <c r="E1753" s="1" t="s">
        <v>5629</v>
      </c>
      <c r="F1753" s="1" t="s">
        <v>60</v>
      </c>
      <c r="G1753" s="1" t="s">
        <v>61</v>
      </c>
      <c r="H1753" s="1" t="s">
        <v>30</v>
      </c>
      <c r="I1753" s="1" t="s">
        <v>16</v>
      </c>
      <c r="J1753" s="1">
        <v>3</v>
      </c>
      <c r="K1753" s="1">
        <v>4</v>
      </c>
      <c r="L1753" s="1" t="s">
        <v>31</v>
      </c>
      <c r="M1753" s="1" t="s">
        <v>18</v>
      </c>
      <c r="N1753" s="1" t="s">
        <v>18</v>
      </c>
      <c r="O1753" s="1">
        <v>3</v>
      </c>
      <c r="P1753" s="1">
        <v>7</v>
      </c>
      <c r="Q1753" s="7" t="s">
        <v>17633</v>
      </c>
      <c r="R1753" s="1" t="s">
        <v>62</v>
      </c>
      <c r="S1753" s="1" t="s">
        <v>63</v>
      </c>
      <c r="T1753" s="1" t="s">
        <v>21</v>
      </c>
      <c r="U1753" s="1" t="s">
        <v>22</v>
      </c>
      <c r="V1753" s="1" t="s">
        <v>24</v>
      </c>
      <c r="W1753" s="1" t="s">
        <v>24</v>
      </c>
      <c r="X1753" s="1">
        <v>1312</v>
      </c>
      <c r="Y1753" s="1">
        <v>2804</v>
      </c>
      <c r="Z1753" s="1">
        <v>1307</v>
      </c>
      <c r="AA1753" s="1" t="s">
        <v>24</v>
      </c>
      <c r="AB1753" s="1" t="s">
        <v>24</v>
      </c>
      <c r="AC1753" s="1" t="s">
        <v>24</v>
      </c>
      <c r="AD1753" s="1" t="s">
        <v>24</v>
      </c>
      <c r="AE1753" s="1" t="s">
        <v>24</v>
      </c>
      <c r="AF1753" s="22"/>
    </row>
    <row r="1754" spans="1:32" x14ac:dyDescent="0.2">
      <c r="A1754" s="1">
        <v>10440</v>
      </c>
      <c r="B1754" s="1" t="s">
        <v>5630</v>
      </c>
      <c r="C1754" s="5" t="s">
        <v>0</v>
      </c>
      <c r="D1754" s="1" t="s">
        <v>5631</v>
      </c>
      <c r="E1754" s="1" t="s">
        <v>5632</v>
      </c>
      <c r="F1754" s="1" t="s">
        <v>5633</v>
      </c>
      <c r="G1754" s="1" t="s">
        <v>5633</v>
      </c>
      <c r="H1754" s="1" t="s">
        <v>693</v>
      </c>
      <c r="I1754" s="1" t="s">
        <v>16</v>
      </c>
      <c r="J1754" s="1">
        <v>1</v>
      </c>
      <c r="K1754" s="1">
        <v>4</v>
      </c>
      <c r="L1754" s="1" t="s">
        <v>42</v>
      </c>
      <c r="M1754" s="1" t="s">
        <v>18</v>
      </c>
      <c r="N1754" s="1" t="s">
        <v>18</v>
      </c>
      <c r="O1754" s="1">
        <v>1</v>
      </c>
      <c r="P1754" s="1">
        <v>5</v>
      </c>
      <c r="R1754" s="1" t="s">
        <v>19</v>
      </c>
      <c r="S1754" s="1" t="s">
        <v>63</v>
      </c>
      <c r="T1754" s="1" t="s">
        <v>21</v>
      </c>
      <c r="U1754" s="1" t="s">
        <v>22</v>
      </c>
      <c r="V1754" s="1" t="s">
        <v>24</v>
      </c>
      <c r="W1754" s="1" t="s">
        <v>24</v>
      </c>
      <c r="X1754" s="1">
        <v>1310</v>
      </c>
      <c r="Y1754" s="1">
        <v>2712</v>
      </c>
      <c r="Z1754" s="1" t="s">
        <v>24</v>
      </c>
      <c r="AA1754" s="1" t="s">
        <v>24</v>
      </c>
      <c r="AB1754" s="1" t="s">
        <v>24</v>
      </c>
      <c r="AC1754" s="1" t="s">
        <v>24</v>
      </c>
      <c r="AD1754" s="1" t="s">
        <v>24</v>
      </c>
      <c r="AE1754" s="1" t="s">
        <v>24</v>
      </c>
      <c r="AF1754" s="22"/>
    </row>
    <row r="1755" spans="1:32" x14ac:dyDescent="0.2">
      <c r="A1755" s="1">
        <v>10446</v>
      </c>
      <c r="B1755" s="1" t="s">
        <v>5634</v>
      </c>
      <c r="C1755" s="5" t="s">
        <v>0</v>
      </c>
      <c r="D1755" s="1" t="s">
        <v>5635</v>
      </c>
      <c r="F1755" s="1" t="s">
        <v>5636</v>
      </c>
      <c r="G1755" s="1" t="s">
        <v>5637</v>
      </c>
      <c r="H1755" s="1" t="s">
        <v>885</v>
      </c>
      <c r="I1755" s="1" t="s">
        <v>16</v>
      </c>
      <c r="J1755" s="1">
        <v>0</v>
      </c>
      <c r="K1755" s="1">
        <v>0</v>
      </c>
      <c r="L1755" s="1" t="s">
        <v>42</v>
      </c>
      <c r="M1755" s="1" t="s">
        <v>18</v>
      </c>
      <c r="N1755" s="1" t="s">
        <v>18</v>
      </c>
      <c r="O1755" s="1">
        <v>3</v>
      </c>
      <c r="P1755" s="1">
        <v>5</v>
      </c>
      <c r="R1755" s="1" t="s">
        <v>19</v>
      </c>
      <c r="S1755" s="1" t="s">
        <v>20</v>
      </c>
      <c r="T1755" s="1" t="s">
        <v>21</v>
      </c>
      <c r="U1755" s="1" t="s">
        <v>22</v>
      </c>
      <c r="V1755" s="1" t="s">
        <v>24</v>
      </c>
      <c r="W1755" s="1" t="s">
        <v>24</v>
      </c>
      <c r="X1755" s="1">
        <v>2729</v>
      </c>
      <c r="Y1755" s="1" t="s">
        <v>24</v>
      </c>
      <c r="Z1755" s="1" t="s">
        <v>24</v>
      </c>
      <c r="AA1755" s="1" t="s">
        <v>24</v>
      </c>
      <c r="AB1755" s="1" t="s">
        <v>24</v>
      </c>
      <c r="AC1755" s="1" t="s">
        <v>24</v>
      </c>
      <c r="AD1755" s="1" t="s">
        <v>24</v>
      </c>
      <c r="AE1755" s="1" t="s">
        <v>24</v>
      </c>
      <c r="AF1755" s="22"/>
    </row>
    <row r="1756" spans="1:32" x14ac:dyDescent="0.2">
      <c r="A1756" s="1">
        <v>10449</v>
      </c>
      <c r="B1756" s="1" t="s">
        <v>5638</v>
      </c>
      <c r="C1756" s="5" t="s">
        <v>0</v>
      </c>
      <c r="D1756" s="1" t="s">
        <v>5639</v>
      </c>
      <c r="E1756" s="1" t="s">
        <v>5640</v>
      </c>
      <c r="F1756" s="1" t="s">
        <v>55</v>
      </c>
      <c r="G1756" s="1" t="s">
        <v>56</v>
      </c>
      <c r="H1756" s="1" t="s">
        <v>37</v>
      </c>
      <c r="I1756" s="1" t="s">
        <v>16</v>
      </c>
      <c r="J1756" s="1">
        <v>1</v>
      </c>
      <c r="K1756" s="1">
        <v>24</v>
      </c>
      <c r="L1756" s="1" t="s">
        <v>31</v>
      </c>
      <c r="M1756" s="1" t="s">
        <v>18</v>
      </c>
      <c r="N1756" s="1" t="s">
        <v>18</v>
      </c>
      <c r="O1756" s="1">
        <v>3</v>
      </c>
      <c r="P1756" s="1">
        <v>7</v>
      </c>
      <c r="Q1756" s="7" t="s">
        <v>17633</v>
      </c>
      <c r="R1756" s="1" t="s">
        <v>62</v>
      </c>
      <c r="S1756" s="1" t="s">
        <v>20</v>
      </c>
      <c r="T1756" s="1" t="s">
        <v>21</v>
      </c>
      <c r="U1756" s="1" t="s">
        <v>22</v>
      </c>
      <c r="V1756" s="1" t="s">
        <v>24</v>
      </c>
      <c r="W1756" s="1" t="s">
        <v>24</v>
      </c>
      <c r="X1756" s="1">
        <v>1311</v>
      </c>
      <c r="Y1756" s="1">
        <v>2716</v>
      </c>
      <c r="Z1756" s="1">
        <v>1312</v>
      </c>
      <c r="AA1756" s="1" t="s">
        <v>24</v>
      </c>
      <c r="AB1756" s="1" t="s">
        <v>24</v>
      </c>
      <c r="AC1756" s="1" t="s">
        <v>24</v>
      </c>
      <c r="AD1756" s="1" t="s">
        <v>24</v>
      </c>
      <c r="AE1756" s="1" t="s">
        <v>24</v>
      </c>
      <c r="AF1756" s="22"/>
    </row>
    <row r="1757" spans="1:32" x14ac:dyDescent="0.2">
      <c r="A1757" s="1">
        <v>10450</v>
      </c>
      <c r="B1757" s="1" t="s">
        <v>5641</v>
      </c>
      <c r="C1757" s="5" t="s">
        <v>0</v>
      </c>
      <c r="D1757" s="1" t="s">
        <v>5642</v>
      </c>
      <c r="E1757" s="1" t="s">
        <v>5643</v>
      </c>
      <c r="F1757" s="1" t="s">
        <v>109</v>
      </c>
      <c r="G1757" s="1" t="s">
        <v>110</v>
      </c>
      <c r="H1757" s="1" t="s">
        <v>111</v>
      </c>
      <c r="I1757" s="1" t="s">
        <v>16</v>
      </c>
      <c r="J1757" s="1">
        <v>1</v>
      </c>
      <c r="K1757" s="1">
        <v>6</v>
      </c>
      <c r="L1757" s="1" t="s">
        <v>31</v>
      </c>
      <c r="M1757" s="1" t="s">
        <v>18</v>
      </c>
      <c r="N1757" s="1" t="s">
        <v>18</v>
      </c>
      <c r="O1757" s="1">
        <v>3</v>
      </c>
      <c r="P1757" s="1">
        <v>7</v>
      </c>
      <c r="Q1757" s="7" t="s">
        <v>17633</v>
      </c>
      <c r="R1757" s="1" t="s">
        <v>62</v>
      </c>
      <c r="S1757" s="1" t="s">
        <v>20</v>
      </c>
      <c r="T1757" s="1" t="s">
        <v>21</v>
      </c>
      <c r="U1757" s="1" t="s">
        <v>22</v>
      </c>
      <c r="V1757" s="1" t="s">
        <v>24</v>
      </c>
      <c r="W1757" s="1" t="s">
        <v>24</v>
      </c>
      <c r="X1757" s="1">
        <v>1314</v>
      </c>
      <c r="Y1757" s="1">
        <v>2705</v>
      </c>
      <c r="Z1757" s="1" t="s">
        <v>24</v>
      </c>
      <c r="AA1757" s="1" t="s">
        <v>24</v>
      </c>
      <c r="AB1757" s="1" t="s">
        <v>24</v>
      </c>
      <c r="AC1757" s="1" t="s">
        <v>24</v>
      </c>
      <c r="AD1757" s="1" t="s">
        <v>24</v>
      </c>
      <c r="AE1757" s="1" t="s">
        <v>24</v>
      </c>
      <c r="AF1757" s="22"/>
    </row>
    <row r="1758" spans="1:32" x14ac:dyDescent="0.2">
      <c r="A1758" s="1">
        <v>10457</v>
      </c>
      <c r="B1758" s="1" t="s">
        <v>5644</v>
      </c>
      <c r="C1758" s="5" t="s">
        <v>0</v>
      </c>
      <c r="D1758" s="1" t="s">
        <v>5645</v>
      </c>
      <c r="E1758" s="1" t="s">
        <v>5646</v>
      </c>
      <c r="F1758" s="1" t="s">
        <v>1278</v>
      </c>
      <c r="G1758" s="1" t="s">
        <v>1279</v>
      </c>
      <c r="H1758" s="1" t="s">
        <v>30</v>
      </c>
      <c r="I1758" s="1" t="s">
        <v>16</v>
      </c>
      <c r="J1758" s="1">
        <v>1</v>
      </c>
      <c r="K1758" s="1">
        <v>2</v>
      </c>
      <c r="L1758" s="1" t="s">
        <v>42</v>
      </c>
      <c r="M1758" s="1" t="s">
        <v>18</v>
      </c>
      <c r="N1758" s="1" t="s">
        <v>18</v>
      </c>
      <c r="O1758" s="1">
        <v>3</v>
      </c>
      <c r="P1758" s="1">
        <v>7</v>
      </c>
      <c r="Q1758" s="7" t="s">
        <v>17633</v>
      </c>
      <c r="R1758" s="1" t="s">
        <v>19</v>
      </c>
      <c r="S1758" s="1" t="s">
        <v>20</v>
      </c>
      <c r="T1758" s="1" t="s">
        <v>21</v>
      </c>
      <c r="U1758" s="1" t="s">
        <v>22</v>
      </c>
      <c r="V1758" s="1" t="s">
        <v>24</v>
      </c>
      <c r="W1758" s="1" t="s">
        <v>24</v>
      </c>
      <c r="X1758" s="1">
        <v>1306</v>
      </c>
      <c r="Y1758" s="1" t="s">
        <v>24</v>
      </c>
      <c r="Z1758" s="1" t="s">
        <v>24</v>
      </c>
      <c r="AA1758" s="1" t="s">
        <v>24</v>
      </c>
      <c r="AB1758" s="1" t="s">
        <v>24</v>
      </c>
      <c r="AC1758" s="1" t="s">
        <v>24</v>
      </c>
      <c r="AD1758" s="1" t="s">
        <v>24</v>
      </c>
      <c r="AE1758" s="1" t="s">
        <v>24</v>
      </c>
      <c r="AF1758" s="22"/>
    </row>
    <row r="1759" spans="1:32" x14ac:dyDescent="0.2">
      <c r="A1759" s="1">
        <v>10463</v>
      </c>
      <c r="B1759" s="1" t="s">
        <v>5647</v>
      </c>
      <c r="C1759" s="5" t="s">
        <v>0</v>
      </c>
      <c r="D1759" s="1" t="s">
        <v>5648</v>
      </c>
      <c r="F1759" s="1" t="s">
        <v>5649</v>
      </c>
      <c r="G1759" s="1" t="s">
        <v>5650</v>
      </c>
      <c r="H1759" s="1" t="s">
        <v>1007</v>
      </c>
      <c r="I1759" s="1" t="s">
        <v>16</v>
      </c>
      <c r="J1759" s="1">
        <v>1</v>
      </c>
      <c r="K1759" s="1">
        <v>12</v>
      </c>
      <c r="L1759" s="1" t="s">
        <v>17</v>
      </c>
      <c r="M1759" s="1" t="s">
        <v>4418</v>
      </c>
      <c r="N1759" s="1" t="s">
        <v>4418</v>
      </c>
      <c r="O1759" s="1">
        <v>3</v>
      </c>
      <c r="P1759" s="1">
        <v>5</v>
      </c>
      <c r="R1759" s="1" t="s">
        <v>19</v>
      </c>
      <c r="S1759" s="1" t="s">
        <v>20</v>
      </c>
      <c r="T1759" s="1" t="s">
        <v>21</v>
      </c>
      <c r="U1759" s="1" t="s">
        <v>22</v>
      </c>
      <c r="V1759" s="1" t="s">
        <v>24</v>
      </c>
      <c r="W1759" s="1" t="s">
        <v>24</v>
      </c>
      <c r="X1759" s="1">
        <v>3004</v>
      </c>
      <c r="Y1759" s="1" t="s">
        <v>24</v>
      </c>
      <c r="Z1759" s="1" t="s">
        <v>24</v>
      </c>
      <c r="AA1759" s="1" t="s">
        <v>24</v>
      </c>
      <c r="AB1759" s="1" t="s">
        <v>24</v>
      </c>
      <c r="AC1759" s="1" t="s">
        <v>24</v>
      </c>
      <c r="AD1759" s="1" t="s">
        <v>24</v>
      </c>
      <c r="AE1759" s="1" t="s">
        <v>24</v>
      </c>
      <c r="AF1759" s="22"/>
    </row>
    <row r="1760" spans="1:32" x14ac:dyDescent="0.2">
      <c r="A1760" s="1">
        <v>10467</v>
      </c>
      <c r="B1760" s="1" t="s">
        <v>5651</v>
      </c>
      <c r="C1760" s="5" t="s">
        <v>0</v>
      </c>
      <c r="D1760" s="1" t="s">
        <v>5652</v>
      </c>
      <c r="E1760" s="1" t="s">
        <v>5653</v>
      </c>
      <c r="F1760" s="1" t="s">
        <v>35</v>
      </c>
      <c r="G1760" s="1" t="s">
        <v>36</v>
      </c>
      <c r="H1760" s="1" t="s">
        <v>37</v>
      </c>
      <c r="I1760" s="1" t="s">
        <v>16</v>
      </c>
      <c r="J1760" s="1">
        <v>1</v>
      </c>
      <c r="K1760" s="1">
        <v>12</v>
      </c>
      <c r="L1760" s="1" t="s">
        <v>31</v>
      </c>
      <c r="M1760" s="1" t="s">
        <v>18</v>
      </c>
      <c r="N1760" s="1" t="s">
        <v>18</v>
      </c>
      <c r="O1760" s="1">
        <v>3</v>
      </c>
      <c r="P1760" s="1">
        <v>7</v>
      </c>
      <c r="Q1760" s="7" t="s">
        <v>17633</v>
      </c>
      <c r="R1760" s="1" t="s">
        <v>19</v>
      </c>
      <c r="S1760" s="1" t="s">
        <v>20</v>
      </c>
      <c r="T1760" s="1" t="s">
        <v>21</v>
      </c>
      <c r="U1760" s="1" t="s">
        <v>22</v>
      </c>
      <c r="V1760" s="1" t="s">
        <v>23</v>
      </c>
      <c r="W1760" s="1" t="s">
        <v>24</v>
      </c>
      <c r="X1760" s="1">
        <v>2735</v>
      </c>
      <c r="Y1760" s="1" t="s">
        <v>24</v>
      </c>
      <c r="Z1760" s="1" t="s">
        <v>24</v>
      </c>
      <c r="AA1760" s="1" t="s">
        <v>24</v>
      </c>
      <c r="AB1760" s="1" t="s">
        <v>24</v>
      </c>
      <c r="AC1760" s="1" t="s">
        <v>24</v>
      </c>
      <c r="AD1760" s="1" t="s">
        <v>24</v>
      </c>
      <c r="AE1760" s="1" t="s">
        <v>24</v>
      </c>
      <c r="AF1760" s="22"/>
    </row>
    <row r="1761" spans="1:32" x14ac:dyDescent="0.2">
      <c r="A1761" s="1">
        <v>10471</v>
      </c>
      <c r="B1761" s="1" t="s">
        <v>5654</v>
      </c>
      <c r="C1761" s="5" t="s">
        <v>0</v>
      </c>
      <c r="D1761" s="1" t="s">
        <v>5655</v>
      </c>
      <c r="F1761" s="1" t="s">
        <v>129</v>
      </c>
      <c r="G1761" s="1" t="s">
        <v>130</v>
      </c>
      <c r="H1761" s="1" t="s">
        <v>131</v>
      </c>
      <c r="I1761" s="1" t="s">
        <v>112</v>
      </c>
      <c r="J1761" s="1">
        <v>0</v>
      </c>
      <c r="K1761" s="1">
        <v>0</v>
      </c>
      <c r="L1761" s="1" t="s">
        <v>31</v>
      </c>
      <c r="M1761" s="1" t="s">
        <v>18</v>
      </c>
      <c r="N1761" s="1" t="s">
        <v>18</v>
      </c>
      <c r="O1761" s="1">
        <v>3</v>
      </c>
      <c r="P1761" s="1">
        <v>7</v>
      </c>
      <c r="Q1761" s="7" t="s">
        <v>17633</v>
      </c>
      <c r="R1761" s="1" t="s">
        <v>19</v>
      </c>
      <c r="S1761" s="1" t="s">
        <v>20</v>
      </c>
      <c r="T1761" s="1" t="s">
        <v>21</v>
      </c>
      <c r="U1761" s="1" t="s">
        <v>22</v>
      </c>
      <c r="V1761" s="1" t="s">
        <v>24</v>
      </c>
      <c r="W1761" s="1" t="s">
        <v>24</v>
      </c>
      <c r="X1761" s="1">
        <v>2803</v>
      </c>
      <c r="Y1761" s="1">
        <v>2808</v>
      </c>
      <c r="Z1761" s="1">
        <v>2728</v>
      </c>
      <c r="AA1761" s="1">
        <v>2738</v>
      </c>
      <c r="AB1761" s="1" t="s">
        <v>24</v>
      </c>
      <c r="AC1761" s="1" t="s">
        <v>24</v>
      </c>
      <c r="AD1761" s="1" t="s">
        <v>24</v>
      </c>
      <c r="AE1761" s="1" t="s">
        <v>24</v>
      </c>
      <c r="AF1761" s="22"/>
    </row>
    <row r="1762" spans="1:32" x14ac:dyDescent="0.2">
      <c r="A1762" s="1">
        <v>10474</v>
      </c>
      <c r="B1762" s="1" t="s">
        <v>5656</v>
      </c>
      <c r="C1762" s="5" t="s">
        <v>0</v>
      </c>
      <c r="D1762" s="1" t="s">
        <v>5657</v>
      </c>
      <c r="F1762" s="1" t="s">
        <v>5658</v>
      </c>
      <c r="G1762" s="1" t="s">
        <v>1066</v>
      </c>
      <c r="H1762" s="1" t="s">
        <v>1007</v>
      </c>
      <c r="I1762" s="1" t="s">
        <v>16</v>
      </c>
      <c r="J1762" s="1">
        <v>1</v>
      </c>
      <c r="K1762" s="1">
        <v>24</v>
      </c>
      <c r="L1762" s="1" t="s">
        <v>17</v>
      </c>
      <c r="M1762" s="1" t="s">
        <v>1008</v>
      </c>
      <c r="N1762" s="1" t="s">
        <v>4418</v>
      </c>
      <c r="O1762" s="1">
        <v>2</v>
      </c>
      <c r="P1762" s="1">
        <v>5</v>
      </c>
      <c r="R1762" s="1" t="s">
        <v>19</v>
      </c>
      <c r="S1762" s="1" t="s">
        <v>20</v>
      </c>
      <c r="T1762" s="1" t="s">
        <v>21</v>
      </c>
      <c r="U1762" s="1" t="s">
        <v>22</v>
      </c>
      <c r="V1762" s="1" t="s">
        <v>24</v>
      </c>
      <c r="W1762" s="1" t="s">
        <v>24</v>
      </c>
      <c r="X1762" s="1">
        <v>3003</v>
      </c>
      <c r="Y1762" s="1">
        <v>3004</v>
      </c>
      <c r="Z1762" s="1" t="s">
        <v>24</v>
      </c>
      <c r="AA1762" s="1" t="s">
        <v>24</v>
      </c>
      <c r="AB1762" s="1" t="s">
        <v>24</v>
      </c>
      <c r="AC1762" s="1" t="s">
        <v>24</v>
      </c>
      <c r="AD1762" s="1" t="s">
        <v>24</v>
      </c>
      <c r="AE1762" s="1" t="s">
        <v>24</v>
      </c>
      <c r="AF1762" s="22"/>
    </row>
    <row r="1763" spans="1:32" x14ac:dyDescent="0.2">
      <c r="A1763" s="1">
        <v>10480</v>
      </c>
      <c r="B1763" s="1" t="s">
        <v>5659</v>
      </c>
      <c r="C1763" s="5" t="s">
        <v>0</v>
      </c>
      <c r="D1763" s="1" t="s">
        <v>5660</v>
      </c>
      <c r="E1763" s="1" t="s">
        <v>5661</v>
      </c>
      <c r="F1763" s="1" t="s">
        <v>540</v>
      </c>
      <c r="G1763" s="1" t="s">
        <v>130</v>
      </c>
      <c r="H1763" s="1" t="s">
        <v>684</v>
      </c>
      <c r="I1763" s="1" t="s">
        <v>16</v>
      </c>
      <c r="J1763" s="1">
        <v>1</v>
      </c>
      <c r="K1763" s="1">
        <v>4</v>
      </c>
      <c r="L1763" s="1" t="s">
        <v>31</v>
      </c>
      <c r="M1763" s="1" t="s">
        <v>18</v>
      </c>
      <c r="N1763" s="1" t="s">
        <v>18</v>
      </c>
      <c r="O1763" s="1">
        <v>3</v>
      </c>
      <c r="P1763" s="1">
        <v>7</v>
      </c>
      <c r="Q1763" s="7" t="s">
        <v>17633</v>
      </c>
      <c r="R1763" s="1" t="s">
        <v>19</v>
      </c>
      <c r="S1763" s="1" t="s">
        <v>20</v>
      </c>
      <c r="T1763" s="1" t="s">
        <v>21</v>
      </c>
      <c r="U1763" s="1" t="s">
        <v>22</v>
      </c>
      <c r="V1763" s="1" t="s">
        <v>24</v>
      </c>
      <c r="W1763" s="1" t="s">
        <v>24</v>
      </c>
      <c r="X1763" s="1">
        <v>1310</v>
      </c>
      <c r="Y1763" s="1">
        <v>2724</v>
      </c>
      <c r="Z1763" s="1">
        <v>2712</v>
      </c>
      <c r="AA1763" s="1" t="s">
        <v>24</v>
      </c>
      <c r="AB1763" s="1" t="s">
        <v>24</v>
      </c>
      <c r="AC1763" s="1" t="s">
        <v>24</v>
      </c>
      <c r="AD1763" s="1" t="s">
        <v>24</v>
      </c>
      <c r="AE1763" s="1" t="s">
        <v>24</v>
      </c>
      <c r="AF1763" s="22"/>
    </row>
    <row r="1764" spans="1:32" x14ac:dyDescent="0.2">
      <c r="A1764" s="1">
        <v>10485</v>
      </c>
      <c r="B1764" s="1" t="s">
        <v>5662</v>
      </c>
      <c r="C1764" s="5" t="s">
        <v>0</v>
      </c>
      <c r="D1764" s="1" t="s">
        <v>5663</v>
      </c>
      <c r="F1764" s="1" t="s">
        <v>1224</v>
      </c>
      <c r="G1764" s="1" t="s">
        <v>1224</v>
      </c>
      <c r="H1764" s="1" t="s">
        <v>30</v>
      </c>
      <c r="I1764" s="1" t="s">
        <v>16</v>
      </c>
      <c r="J1764" s="1">
        <v>1</v>
      </c>
      <c r="K1764" s="1">
        <v>12</v>
      </c>
      <c r="L1764" s="1" t="s">
        <v>42</v>
      </c>
      <c r="M1764" s="1" t="s">
        <v>18</v>
      </c>
      <c r="N1764" s="1" t="s">
        <v>18</v>
      </c>
      <c r="O1764" s="1">
        <v>3</v>
      </c>
      <c r="P1764" s="1">
        <v>7</v>
      </c>
      <c r="Q1764" s="7" t="s">
        <v>17633</v>
      </c>
      <c r="R1764" s="1" t="s">
        <v>62</v>
      </c>
      <c r="S1764" s="1" t="s">
        <v>20</v>
      </c>
      <c r="T1764" s="1" t="s">
        <v>21</v>
      </c>
      <c r="U1764" s="1" t="s">
        <v>22</v>
      </c>
      <c r="V1764" s="1" t="s">
        <v>24</v>
      </c>
      <c r="W1764" s="1" t="s">
        <v>24</v>
      </c>
      <c r="X1764" s="1">
        <v>2713</v>
      </c>
      <c r="Y1764" s="1">
        <v>2730</v>
      </c>
      <c r="Z1764" s="1" t="s">
        <v>24</v>
      </c>
      <c r="AA1764" s="1" t="s">
        <v>24</v>
      </c>
      <c r="AB1764" s="1" t="s">
        <v>24</v>
      </c>
      <c r="AC1764" s="1" t="s">
        <v>24</v>
      </c>
      <c r="AD1764" s="1" t="s">
        <v>24</v>
      </c>
      <c r="AE1764" s="1" t="s">
        <v>24</v>
      </c>
      <c r="AF1764" s="22"/>
    </row>
    <row r="1765" spans="1:32" x14ac:dyDescent="0.2">
      <c r="A1765" s="1">
        <v>10486</v>
      </c>
      <c r="B1765" s="1" t="s">
        <v>5664</v>
      </c>
      <c r="C1765" s="5" t="s">
        <v>0</v>
      </c>
      <c r="D1765" s="1" t="s">
        <v>5665</v>
      </c>
      <c r="E1765" s="1" t="s">
        <v>5666</v>
      </c>
      <c r="F1765" s="1" t="s">
        <v>91</v>
      </c>
      <c r="G1765" s="1" t="s">
        <v>61</v>
      </c>
      <c r="H1765" s="1" t="s">
        <v>92</v>
      </c>
      <c r="I1765" s="1" t="s">
        <v>16</v>
      </c>
      <c r="J1765" s="1">
        <v>2</v>
      </c>
      <c r="K1765" s="1">
        <v>6</v>
      </c>
      <c r="L1765" s="1" t="s">
        <v>31</v>
      </c>
      <c r="M1765" s="1" t="s">
        <v>18</v>
      </c>
      <c r="N1765" s="1" t="s">
        <v>18</v>
      </c>
      <c r="O1765" s="1">
        <v>3</v>
      </c>
      <c r="P1765" s="1">
        <v>7</v>
      </c>
      <c r="Q1765" s="7" t="s">
        <v>17633</v>
      </c>
      <c r="R1765" s="1" t="s">
        <v>19</v>
      </c>
      <c r="S1765" s="1" t="s">
        <v>20</v>
      </c>
      <c r="T1765" s="1" t="s">
        <v>21</v>
      </c>
      <c r="U1765" s="1" t="s">
        <v>22</v>
      </c>
      <c r="V1765" s="1" t="s">
        <v>24</v>
      </c>
      <c r="W1765" s="1" t="s">
        <v>64</v>
      </c>
      <c r="X1765" s="1">
        <v>2726</v>
      </c>
      <c r="Y1765" s="1">
        <v>2725</v>
      </c>
      <c r="Z1765" s="1">
        <v>2736</v>
      </c>
      <c r="AA1765" s="1" t="s">
        <v>24</v>
      </c>
      <c r="AB1765" s="1" t="s">
        <v>24</v>
      </c>
      <c r="AC1765" s="1" t="s">
        <v>24</v>
      </c>
      <c r="AD1765" s="1" t="s">
        <v>24</v>
      </c>
      <c r="AE1765" s="1" t="s">
        <v>24</v>
      </c>
      <c r="AF1765" s="22"/>
    </row>
    <row r="1766" spans="1:32" x14ac:dyDescent="0.2">
      <c r="A1766" s="1">
        <v>10489</v>
      </c>
      <c r="B1766" s="1" t="s">
        <v>5667</v>
      </c>
      <c r="C1766" s="5" t="s">
        <v>0</v>
      </c>
      <c r="D1766" s="1" t="s">
        <v>5668</v>
      </c>
      <c r="E1766" s="1" t="s">
        <v>5669</v>
      </c>
      <c r="F1766" s="1" t="s">
        <v>320</v>
      </c>
      <c r="G1766" s="1" t="s">
        <v>36</v>
      </c>
      <c r="H1766" s="1" t="s">
        <v>30</v>
      </c>
      <c r="I1766" s="1" t="s">
        <v>16</v>
      </c>
      <c r="J1766" s="1">
        <v>3</v>
      </c>
      <c r="K1766" s="1">
        <v>4</v>
      </c>
      <c r="L1766" s="1" t="s">
        <v>31</v>
      </c>
      <c r="M1766" s="1" t="s">
        <v>18</v>
      </c>
      <c r="N1766" s="1" t="s">
        <v>18</v>
      </c>
      <c r="O1766" s="1">
        <v>3</v>
      </c>
      <c r="P1766" s="1">
        <v>8</v>
      </c>
      <c r="Q1766" s="7" t="s">
        <v>17633</v>
      </c>
      <c r="R1766" s="1" t="s">
        <v>62</v>
      </c>
      <c r="S1766" s="1" t="s">
        <v>20</v>
      </c>
      <c r="T1766" s="1" t="s">
        <v>21</v>
      </c>
      <c r="U1766" s="1" t="s">
        <v>22</v>
      </c>
      <c r="V1766" s="1" t="s">
        <v>24</v>
      </c>
      <c r="W1766" s="1" t="s">
        <v>24</v>
      </c>
      <c r="X1766" s="1">
        <v>1309</v>
      </c>
      <c r="Y1766" s="1" t="s">
        <v>24</v>
      </c>
      <c r="Z1766" s="1" t="s">
        <v>24</v>
      </c>
      <c r="AA1766" s="1" t="s">
        <v>24</v>
      </c>
      <c r="AB1766" s="1" t="s">
        <v>24</v>
      </c>
      <c r="AC1766" s="1" t="s">
        <v>24</v>
      </c>
      <c r="AD1766" s="1" t="s">
        <v>24</v>
      </c>
      <c r="AE1766" s="1" t="s">
        <v>24</v>
      </c>
      <c r="AF1766" s="22"/>
    </row>
    <row r="1767" spans="1:32" x14ac:dyDescent="0.2">
      <c r="A1767" s="1">
        <v>10491</v>
      </c>
      <c r="B1767" s="1" t="s">
        <v>5670</v>
      </c>
      <c r="C1767" s="5" t="s">
        <v>0</v>
      </c>
      <c r="D1767" s="1" t="s">
        <v>5671</v>
      </c>
      <c r="E1767" s="1" t="s">
        <v>5672</v>
      </c>
      <c r="F1767" s="1" t="s">
        <v>35</v>
      </c>
      <c r="G1767" s="1" t="s">
        <v>36</v>
      </c>
      <c r="H1767" s="1" t="s">
        <v>37</v>
      </c>
      <c r="I1767" s="1" t="s">
        <v>16</v>
      </c>
      <c r="J1767" s="1">
        <v>1</v>
      </c>
      <c r="K1767" s="1">
        <v>12</v>
      </c>
      <c r="L1767" s="1" t="s">
        <v>31</v>
      </c>
      <c r="M1767" s="1" t="s">
        <v>18</v>
      </c>
      <c r="N1767" s="1" t="s">
        <v>18</v>
      </c>
      <c r="O1767" s="1">
        <v>3</v>
      </c>
      <c r="P1767" s="1">
        <v>6</v>
      </c>
      <c r="R1767" s="1" t="s">
        <v>19</v>
      </c>
      <c r="S1767" s="1" t="s">
        <v>20</v>
      </c>
      <c r="T1767" s="1" t="s">
        <v>21</v>
      </c>
      <c r="U1767" s="1" t="s">
        <v>22</v>
      </c>
      <c r="V1767" s="1" t="s">
        <v>23</v>
      </c>
      <c r="W1767" s="1" t="s">
        <v>24</v>
      </c>
      <c r="X1767" s="1">
        <v>2728</v>
      </c>
      <c r="Y1767" s="1">
        <v>2808</v>
      </c>
      <c r="Z1767" s="1">
        <v>2738</v>
      </c>
      <c r="AA1767" s="1">
        <v>2742</v>
      </c>
      <c r="AB1767" s="1">
        <v>1201</v>
      </c>
      <c r="AC1767" s="1" t="s">
        <v>24</v>
      </c>
      <c r="AD1767" s="1" t="s">
        <v>24</v>
      </c>
      <c r="AE1767" s="1" t="s">
        <v>24</v>
      </c>
      <c r="AF1767" s="22"/>
    </row>
    <row r="1768" spans="1:32" x14ac:dyDescent="0.2">
      <c r="A1768" s="1">
        <v>10492</v>
      </c>
      <c r="B1768" s="1" t="s">
        <v>5673</v>
      </c>
      <c r="C1768" s="5" t="s">
        <v>0</v>
      </c>
      <c r="D1768" s="1" t="s">
        <v>5674</v>
      </c>
      <c r="E1768" s="1" t="s">
        <v>5675</v>
      </c>
      <c r="F1768" s="1" t="s">
        <v>28</v>
      </c>
      <c r="G1768" s="1" t="s">
        <v>29</v>
      </c>
      <c r="H1768" s="1" t="s">
        <v>37</v>
      </c>
      <c r="I1768" s="1" t="s">
        <v>16</v>
      </c>
      <c r="J1768" s="1">
        <v>1</v>
      </c>
      <c r="K1768" s="1">
        <v>4</v>
      </c>
      <c r="L1768" s="1" t="s">
        <v>31</v>
      </c>
      <c r="M1768" s="1" t="s">
        <v>18</v>
      </c>
      <c r="N1768" s="1" t="s">
        <v>18</v>
      </c>
      <c r="O1768" s="1">
        <v>3</v>
      </c>
      <c r="P1768" s="1">
        <v>7</v>
      </c>
      <c r="Q1768" s="7" t="s">
        <v>17633</v>
      </c>
      <c r="R1768" s="1" t="s">
        <v>19</v>
      </c>
      <c r="S1768" s="1" t="s">
        <v>20</v>
      </c>
      <c r="T1768" s="1" t="s">
        <v>21</v>
      </c>
      <c r="U1768" s="1" t="s">
        <v>22</v>
      </c>
      <c r="V1768" s="1" t="s">
        <v>24</v>
      </c>
      <c r="W1768" s="1" t="s">
        <v>24</v>
      </c>
      <c r="X1768" s="1">
        <v>2716</v>
      </c>
      <c r="Y1768" s="1">
        <v>2735</v>
      </c>
      <c r="Z1768" s="1">
        <v>2702</v>
      </c>
      <c r="AA1768" s="1">
        <v>2734</v>
      </c>
      <c r="AB1768" s="1" t="s">
        <v>24</v>
      </c>
      <c r="AC1768" s="1" t="s">
        <v>24</v>
      </c>
      <c r="AD1768" s="1" t="s">
        <v>24</v>
      </c>
      <c r="AE1768" s="1" t="s">
        <v>24</v>
      </c>
      <c r="AF1768" s="22"/>
    </row>
    <row r="1769" spans="1:32" x14ac:dyDescent="0.2">
      <c r="A1769" s="1">
        <v>10494</v>
      </c>
      <c r="B1769" s="1" t="s">
        <v>5676</v>
      </c>
      <c r="C1769" s="5" t="s">
        <v>0</v>
      </c>
      <c r="D1769" s="1" t="s">
        <v>5677</v>
      </c>
      <c r="E1769" s="1" t="s">
        <v>5678</v>
      </c>
      <c r="F1769" s="1" t="s">
        <v>97</v>
      </c>
      <c r="G1769" s="1" t="s">
        <v>98</v>
      </c>
      <c r="H1769" s="1" t="s">
        <v>37</v>
      </c>
      <c r="I1769" s="1" t="s">
        <v>16</v>
      </c>
      <c r="J1769" s="1">
        <v>1</v>
      </c>
      <c r="K1769" s="1">
        <v>10</v>
      </c>
      <c r="L1769" s="1" t="s">
        <v>31</v>
      </c>
      <c r="M1769" s="1" t="s">
        <v>18</v>
      </c>
      <c r="N1769" s="1" t="s">
        <v>18</v>
      </c>
      <c r="O1769" s="1">
        <v>3</v>
      </c>
      <c r="P1769" s="1">
        <v>6</v>
      </c>
      <c r="R1769" s="1" t="s">
        <v>19</v>
      </c>
      <c r="S1769" s="1" t="s">
        <v>20</v>
      </c>
      <c r="T1769" s="1" t="s">
        <v>21</v>
      </c>
      <c r="U1769" s="1" t="s">
        <v>22</v>
      </c>
      <c r="V1769" s="1" t="s">
        <v>23</v>
      </c>
      <c r="W1769" s="1" t="s">
        <v>24</v>
      </c>
      <c r="X1769" s="1">
        <v>2700</v>
      </c>
      <c r="Y1769" s="1">
        <v>2703</v>
      </c>
      <c r="Z1769" s="1" t="s">
        <v>24</v>
      </c>
      <c r="AA1769" s="1" t="s">
        <v>24</v>
      </c>
      <c r="AB1769" s="1" t="s">
        <v>24</v>
      </c>
      <c r="AC1769" s="1" t="s">
        <v>24</v>
      </c>
      <c r="AD1769" s="1" t="s">
        <v>24</v>
      </c>
      <c r="AE1769" s="1" t="s">
        <v>24</v>
      </c>
      <c r="AF1769" s="22"/>
    </row>
    <row r="1770" spans="1:32" x14ac:dyDescent="0.2">
      <c r="A1770" s="1">
        <v>10496</v>
      </c>
      <c r="B1770" s="1" t="s">
        <v>5679</v>
      </c>
      <c r="C1770" s="5" t="s">
        <v>0</v>
      </c>
      <c r="D1770" s="1" t="s">
        <v>5680</v>
      </c>
      <c r="E1770" s="1" t="s">
        <v>5681</v>
      </c>
      <c r="F1770" s="1" t="s">
        <v>724</v>
      </c>
      <c r="G1770" s="1" t="s">
        <v>725</v>
      </c>
      <c r="H1770" s="1" t="s">
        <v>37</v>
      </c>
      <c r="I1770" s="1" t="s">
        <v>16</v>
      </c>
      <c r="J1770" s="1">
        <v>1</v>
      </c>
      <c r="K1770" s="1">
        <v>4</v>
      </c>
      <c r="L1770" s="1" t="s">
        <v>31</v>
      </c>
      <c r="M1770" s="1" t="s">
        <v>18</v>
      </c>
      <c r="N1770" s="1" t="s">
        <v>18</v>
      </c>
      <c r="O1770" s="1">
        <v>0</v>
      </c>
      <c r="P1770" s="1">
        <v>6</v>
      </c>
      <c r="R1770" s="1" t="s">
        <v>19</v>
      </c>
      <c r="S1770" s="1" t="s">
        <v>20</v>
      </c>
      <c r="T1770" s="1" t="s">
        <v>21</v>
      </c>
      <c r="U1770" s="1" t="s">
        <v>22</v>
      </c>
      <c r="V1770" s="1" t="s">
        <v>24</v>
      </c>
      <c r="W1770" s="1" t="s">
        <v>24</v>
      </c>
      <c r="X1770" s="1">
        <v>2729</v>
      </c>
      <c r="Y1770" s="1">
        <v>2735</v>
      </c>
      <c r="Z1770" s="1" t="s">
        <v>24</v>
      </c>
      <c r="AA1770" s="1" t="s">
        <v>24</v>
      </c>
      <c r="AB1770" s="1" t="s">
        <v>24</v>
      </c>
      <c r="AC1770" s="1" t="s">
        <v>24</v>
      </c>
      <c r="AD1770" s="1" t="s">
        <v>24</v>
      </c>
      <c r="AE1770" s="1" t="s">
        <v>24</v>
      </c>
      <c r="AF1770" s="22"/>
    </row>
    <row r="1771" spans="1:32" x14ac:dyDescent="0.2">
      <c r="A1771" s="1">
        <v>10497</v>
      </c>
      <c r="B1771" s="1" t="s">
        <v>5682</v>
      </c>
      <c r="C1771" s="5" t="s">
        <v>0</v>
      </c>
      <c r="D1771" s="1" t="s">
        <v>5683</v>
      </c>
      <c r="E1771" s="1" t="s">
        <v>5684</v>
      </c>
      <c r="F1771" s="1" t="s">
        <v>724</v>
      </c>
      <c r="G1771" s="1" t="s">
        <v>725</v>
      </c>
      <c r="H1771" s="1" t="s">
        <v>37</v>
      </c>
      <c r="I1771" s="1" t="s">
        <v>16</v>
      </c>
      <c r="J1771" s="1">
        <v>1</v>
      </c>
      <c r="K1771" s="1">
        <v>4</v>
      </c>
      <c r="L1771" s="1" t="s">
        <v>31</v>
      </c>
      <c r="M1771" s="1" t="s">
        <v>18</v>
      </c>
      <c r="N1771" s="1" t="s">
        <v>18</v>
      </c>
      <c r="O1771" s="1">
        <v>0</v>
      </c>
      <c r="P1771" s="1">
        <v>6</v>
      </c>
      <c r="R1771" s="1" t="s">
        <v>19</v>
      </c>
      <c r="S1771" s="1" t="s">
        <v>20</v>
      </c>
      <c r="T1771" s="1" t="s">
        <v>21</v>
      </c>
      <c r="U1771" s="1" t="s">
        <v>22</v>
      </c>
      <c r="V1771" s="1" t="s">
        <v>23</v>
      </c>
      <c r="W1771" s="1" t="s">
        <v>24</v>
      </c>
      <c r="X1771" s="1">
        <v>2717</v>
      </c>
      <c r="Y1771" s="1">
        <v>2909</v>
      </c>
      <c r="Z1771" s="1" t="s">
        <v>24</v>
      </c>
      <c r="AA1771" s="1" t="s">
        <v>24</v>
      </c>
      <c r="AB1771" s="1" t="s">
        <v>24</v>
      </c>
      <c r="AC1771" s="1" t="s">
        <v>24</v>
      </c>
      <c r="AD1771" s="1" t="s">
        <v>24</v>
      </c>
      <c r="AE1771" s="1" t="s">
        <v>24</v>
      </c>
      <c r="AF1771" s="22"/>
    </row>
    <row r="1772" spans="1:32" x14ac:dyDescent="0.2">
      <c r="A1772" s="1">
        <v>10500</v>
      </c>
      <c r="B1772" s="1" t="s">
        <v>5685</v>
      </c>
      <c r="C1772" s="5" t="s">
        <v>0</v>
      </c>
      <c r="D1772" s="1" t="s">
        <v>5686</v>
      </c>
      <c r="F1772" s="1" t="s">
        <v>5687</v>
      </c>
      <c r="G1772" s="1" t="s">
        <v>5688</v>
      </c>
      <c r="H1772" s="1" t="s">
        <v>428</v>
      </c>
      <c r="I1772" s="1" t="s">
        <v>16</v>
      </c>
      <c r="J1772" s="1">
        <v>1</v>
      </c>
      <c r="K1772" s="1">
        <v>5</v>
      </c>
      <c r="L1772" s="1" t="s">
        <v>31</v>
      </c>
      <c r="M1772" s="1" t="s">
        <v>255</v>
      </c>
      <c r="N1772" s="1" t="s">
        <v>2835</v>
      </c>
      <c r="O1772" s="1">
        <v>2</v>
      </c>
      <c r="P1772" s="1">
        <v>6</v>
      </c>
      <c r="R1772" s="1" t="s">
        <v>19</v>
      </c>
      <c r="S1772" s="1" t="s">
        <v>20</v>
      </c>
      <c r="T1772" s="1" t="s">
        <v>21</v>
      </c>
      <c r="U1772" s="1" t="s">
        <v>22</v>
      </c>
      <c r="V1772" s="1" t="s">
        <v>24</v>
      </c>
      <c r="W1772" s="1" t="s">
        <v>24</v>
      </c>
      <c r="X1772" s="1">
        <v>2700</v>
      </c>
      <c r="Y1772" s="1" t="s">
        <v>24</v>
      </c>
      <c r="Z1772" s="1" t="s">
        <v>24</v>
      </c>
      <c r="AA1772" s="1" t="s">
        <v>24</v>
      </c>
      <c r="AB1772" s="1" t="s">
        <v>24</v>
      </c>
      <c r="AC1772" s="1" t="s">
        <v>24</v>
      </c>
      <c r="AD1772" s="1" t="s">
        <v>24</v>
      </c>
      <c r="AE1772" s="1" t="s">
        <v>24</v>
      </c>
      <c r="AF1772" s="22"/>
    </row>
    <row r="1773" spans="1:32" x14ac:dyDescent="0.2">
      <c r="A1773" s="1">
        <v>10508</v>
      </c>
      <c r="B1773" s="1" t="s">
        <v>5689</v>
      </c>
      <c r="C1773" s="5" t="s">
        <v>0</v>
      </c>
      <c r="D1773" s="1" t="s">
        <v>5690</v>
      </c>
      <c r="F1773" s="1" t="s">
        <v>1890</v>
      </c>
      <c r="G1773" s="1" t="s">
        <v>1890</v>
      </c>
      <c r="H1773" s="1" t="s">
        <v>684</v>
      </c>
      <c r="I1773" s="1" t="s">
        <v>16</v>
      </c>
      <c r="J1773" s="1">
        <v>1</v>
      </c>
      <c r="K1773" s="1">
        <v>6</v>
      </c>
      <c r="L1773" s="1" t="s">
        <v>42</v>
      </c>
      <c r="M1773" s="1" t="s">
        <v>18</v>
      </c>
      <c r="N1773" s="1" t="s">
        <v>18</v>
      </c>
      <c r="O1773" s="1">
        <v>3</v>
      </c>
      <c r="P1773" s="1">
        <v>7</v>
      </c>
      <c r="Q1773" s="7" t="s">
        <v>17633</v>
      </c>
      <c r="R1773" s="1" t="s">
        <v>19</v>
      </c>
      <c r="S1773" s="1" t="s">
        <v>63</v>
      </c>
      <c r="T1773" s="1" t="s">
        <v>21</v>
      </c>
      <c r="U1773" s="1" t="s">
        <v>22</v>
      </c>
      <c r="V1773" s="1" t="s">
        <v>24</v>
      </c>
      <c r="W1773" s="1" t="s">
        <v>24</v>
      </c>
      <c r="X1773" s="1">
        <v>2731</v>
      </c>
      <c r="Y1773" s="1" t="s">
        <v>24</v>
      </c>
      <c r="Z1773" s="1" t="s">
        <v>24</v>
      </c>
      <c r="AA1773" s="1" t="s">
        <v>24</v>
      </c>
      <c r="AB1773" s="1" t="s">
        <v>24</v>
      </c>
      <c r="AC1773" s="1" t="s">
        <v>24</v>
      </c>
      <c r="AD1773" s="1" t="s">
        <v>24</v>
      </c>
      <c r="AE1773" s="1" t="s">
        <v>24</v>
      </c>
      <c r="AF1773" s="22"/>
    </row>
    <row r="1774" spans="1:32" x14ac:dyDescent="0.2">
      <c r="A1774" s="1">
        <v>10509</v>
      </c>
      <c r="B1774" s="1" t="s">
        <v>5691</v>
      </c>
      <c r="C1774" s="5" t="s">
        <v>0</v>
      </c>
      <c r="D1774" s="1" t="s">
        <v>5692</v>
      </c>
      <c r="F1774" s="1" t="s">
        <v>948</v>
      </c>
      <c r="G1774" s="1" t="s">
        <v>948</v>
      </c>
      <c r="H1774" s="1" t="s">
        <v>86</v>
      </c>
      <c r="I1774" s="1" t="s">
        <v>16</v>
      </c>
      <c r="J1774" s="1">
        <v>1</v>
      </c>
      <c r="K1774" s="1">
        <v>4</v>
      </c>
      <c r="L1774" s="1" t="s">
        <v>42</v>
      </c>
      <c r="M1774" s="1" t="s">
        <v>18</v>
      </c>
      <c r="N1774" s="1" t="s">
        <v>18</v>
      </c>
      <c r="O1774" s="1">
        <v>3</v>
      </c>
      <c r="P1774" s="1">
        <v>6</v>
      </c>
      <c r="R1774" s="1" t="s">
        <v>19</v>
      </c>
      <c r="S1774" s="1" t="s">
        <v>20</v>
      </c>
      <c r="T1774" s="1" t="s">
        <v>21</v>
      </c>
      <c r="U1774" s="1" t="s">
        <v>22</v>
      </c>
      <c r="V1774" s="1" t="s">
        <v>24</v>
      </c>
      <c r="W1774" s="1" t="s">
        <v>24</v>
      </c>
      <c r="X1774" s="1">
        <v>2403</v>
      </c>
      <c r="Y1774" s="1">
        <v>2723</v>
      </c>
      <c r="Z1774" s="1">
        <v>1308</v>
      </c>
      <c r="AA1774" s="1" t="s">
        <v>24</v>
      </c>
      <c r="AB1774" s="1" t="s">
        <v>24</v>
      </c>
      <c r="AC1774" s="1" t="s">
        <v>24</v>
      </c>
      <c r="AD1774" s="1" t="s">
        <v>24</v>
      </c>
      <c r="AE1774" s="1" t="s">
        <v>24</v>
      </c>
      <c r="AF1774" s="22"/>
    </row>
    <row r="1775" spans="1:32" x14ac:dyDescent="0.2">
      <c r="A1775" s="1">
        <v>10510</v>
      </c>
      <c r="B1775" s="1" t="s">
        <v>5693</v>
      </c>
      <c r="C1775" s="5" t="s">
        <v>0</v>
      </c>
      <c r="D1775" s="1" t="s">
        <v>5694</v>
      </c>
      <c r="E1775" s="1" t="s">
        <v>5695</v>
      </c>
      <c r="F1775" s="1" t="s">
        <v>948</v>
      </c>
      <c r="G1775" s="1" t="s">
        <v>948</v>
      </c>
      <c r="H1775" s="1" t="s">
        <v>86</v>
      </c>
      <c r="I1775" s="1" t="s">
        <v>16</v>
      </c>
      <c r="J1775" s="1">
        <v>1</v>
      </c>
      <c r="K1775" s="1">
        <v>6</v>
      </c>
      <c r="L1775" s="1" t="s">
        <v>42</v>
      </c>
      <c r="M1775" s="1" t="s">
        <v>18</v>
      </c>
      <c r="N1775" s="1" t="s">
        <v>18</v>
      </c>
      <c r="O1775" s="1">
        <v>3</v>
      </c>
      <c r="P1775" s="1">
        <v>6</v>
      </c>
      <c r="R1775" s="1" t="s">
        <v>19</v>
      </c>
      <c r="S1775" s="1" t="s">
        <v>20</v>
      </c>
      <c r="T1775" s="1" t="s">
        <v>21</v>
      </c>
      <c r="U1775" s="1" t="s">
        <v>22</v>
      </c>
      <c r="V1775" s="1" t="s">
        <v>24</v>
      </c>
      <c r="W1775" s="1" t="s">
        <v>24</v>
      </c>
      <c r="X1775" s="1">
        <v>2708</v>
      </c>
      <c r="Y1775" s="1" t="s">
        <v>24</v>
      </c>
      <c r="Z1775" s="1" t="s">
        <v>24</v>
      </c>
      <c r="AA1775" s="1" t="s">
        <v>24</v>
      </c>
      <c r="AB1775" s="1" t="s">
        <v>24</v>
      </c>
      <c r="AC1775" s="1" t="s">
        <v>24</v>
      </c>
      <c r="AD1775" s="1" t="s">
        <v>24</v>
      </c>
      <c r="AE1775" s="1" t="s">
        <v>24</v>
      </c>
      <c r="AF1775" s="22"/>
    </row>
    <row r="1776" spans="1:32" x14ac:dyDescent="0.2">
      <c r="A1776" s="1">
        <v>10511</v>
      </c>
      <c r="B1776" s="1" t="s">
        <v>5696</v>
      </c>
      <c r="C1776" s="5" t="s">
        <v>0</v>
      </c>
      <c r="D1776" s="1" t="s">
        <v>5697</v>
      </c>
      <c r="E1776" s="1" t="s">
        <v>5698</v>
      </c>
      <c r="F1776" s="1" t="s">
        <v>129</v>
      </c>
      <c r="G1776" s="1" t="s">
        <v>130</v>
      </c>
      <c r="H1776" s="1" t="s">
        <v>131</v>
      </c>
      <c r="I1776" s="1" t="s">
        <v>16</v>
      </c>
      <c r="J1776" s="1">
        <v>2</v>
      </c>
      <c r="K1776" s="1">
        <v>4</v>
      </c>
      <c r="L1776" s="1" t="s">
        <v>31</v>
      </c>
      <c r="M1776" s="1" t="s">
        <v>18</v>
      </c>
      <c r="N1776" s="1" t="s">
        <v>18</v>
      </c>
      <c r="O1776" s="1">
        <v>3</v>
      </c>
      <c r="P1776" s="1">
        <v>7</v>
      </c>
      <c r="Q1776" s="7" t="s">
        <v>17633</v>
      </c>
      <c r="R1776" s="1" t="s">
        <v>19</v>
      </c>
      <c r="S1776" s="1" t="s">
        <v>20</v>
      </c>
      <c r="T1776" s="1" t="s">
        <v>21</v>
      </c>
      <c r="U1776" s="1" t="s">
        <v>22</v>
      </c>
      <c r="V1776" s="1" t="s">
        <v>24</v>
      </c>
      <c r="W1776" s="1" t="s">
        <v>64</v>
      </c>
      <c r="X1776" s="1">
        <v>1303</v>
      </c>
      <c r="Y1776" s="1">
        <v>1308</v>
      </c>
      <c r="Z1776" s="1">
        <v>1605</v>
      </c>
      <c r="AA1776" s="1" t="s">
        <v>24</v>
      </c>
      <c r="AB1776" s="1" t="s">
        <v>24</v>
      </c>
      <c r="AC1776" s="1" t="s">
        <v>24</v>
      </c>
      <c r="AD1776" s="1" t="s">
        <v>24</v>
      </c>
      <c r="AE1776" s="1" t="s">
        <v>24</v>
      </c>
      <c r="AF1776" s="22"/>
    </row>
    <row r="1777" spans="1:32" x14ac:dyDescent="0.2">
      <c r="A1777" s="1">
        <v>10514</v>
      </c>
      <c r="B1777" s="1" t="s">
        <v>5699</v>
      </c>
      <c r="C1777" s="5" t="s">
        <v>0</v>
      </c>
      <c r="D1777" s="1" t="s">
        <v>5700</v>
      </c>
      <c r="E1777" s="1" t="s">
        <v>5701</v>
      </c>
      <c r="F1777" s="1" t="s">
        <v>4337</v>
      </c>
      <c r="G1777" s="1" t="s">
        <v>4338</v>
      </c>
      <c r="H1777" s="1" t="s">
        <v>30</v>
      </c>
      <c r="I1777" s="1" t="s">
        <v>16</v>
      </c>
      <c r="J1777" s="1">
        <v>1</v>
      </c>
      <c r="K1777" s="1">
        <v>12</v>
      </c>
      <c r="L1777" s="1" t="s">
        <v>31</v>
      </c>
      <c r="M1777" s="1" t="s">
        <v>18</v>
      </c>
      <c r="N1777" s="1" t="s">
        <v>18</v>
      </c>
      <c r="O1777" s="1">
        <v>3</v>
      </c>
      <c r="P1777" s="1">
        <v>6</v>
      </c>
      <c r="R1777" s="1" t="s">
        <v>62</v>
      </c>
      <c r="S1777" s="1" t="s">
        <v>20</v>
      </c>
      <c r="T1777" s="1" t="s">
        <v>21</v>
      </c>
      <c r="U1777" s="1" t="s">
        <v>22</v>
      </c>
      <c r="V1777" s="1" t="s">
        <v>24</v>
      </c>
      <c r="W1777" s="1" t="s">
        <v>24</v>
      </c>
      <c r="X1777" s="1">
        <v>1313</v>
      </c>
      <c r="Y1777" s="1">
        <v>1312</v>
      </c>
      <c r="Z1777" s="1">
        <v>1311</v>
      </c>
      <c r="AA1777" s="1" t="s">
        <v>24</v>
      </c>
      <c r="AB1777" s="1" t="s">
        <v>24</v>
      </c>
      <c r="AC1777" s="1" t="s">
        <v>24</v>
      </c>
      <c r="AD1777" s="1" t="s">
        <v>24</v>
      </c>
      <c r="AE1777" s="1" t="s">
        <v>24</v>
      </c>
      <c r="AF1777" s="22"/>
    </row>
    <row r="1778" spans="1:32" x14ac:dyDescent="0.2">
      <c r="A1778" s="1">
        <v>10516</v>
      </c>
      <c r="B1778" s="1" t="s">
        <v>5702</v>
      </c>
      <c r="C1778" s="5" t="s">
        <v>0</v>
      </c>
      <c r="D1778" s="1" t="s">
        <v>5703</v>
      </c>
      <c r="E1778" s="1" t="s">
        <v>5704</v>
      </c>
      <c r="F1778" s="1" t="s">
        <v>673</v>
      </c>
      <c r="G1778" s="1" t="s">
        <v>61</v>
      </c>
      <c r="H1778" s="1" t="s">
        <v>30</v>
      </c>
      <c r="I1778" s="1" t="s">
        <v>16</v>
      </c>
      <c r="J1778" s="1">
        <v>1</v>
      </c>
      <c r="K1778" s="1">
        <v>6</v>
      </c>
      <c r="L1778" s="1" t="s">
        <v>31</v>
      </c>
      <c r="M1778" s="1" t="s">
        <v>18</v>
      </c>
      <c r="N1778" s="1" t="s">
        <v>18</v>
      </c>
      <c r="O1778" s="1">
        <v>0</v>
      </c>
      <c r="P1778" s="1">
        <v>6</v>
      </c>
      <c r="R1778" s="1" t="s">
        <v>19</v>
      </c>
      <c r="S1778" s="1" t="s">
        <v>20</v>
      </c>
      <c r="T1778" s="1" t="s">
        <v>21</v>
      </c>
      <c r="U1778" s="1" t="s">
        <v>22</v>
      </c>
      <c r="V1778" s="1" t="s">
        <v>23</v>
      </c>
      <c r="W1778" s="1" t="s">
        <v>24</v>
      </c>
      <c r="X1778" s="1">
        <v>2729</v>
      </c>
      <c r="Y1778" s="1">
        <v>2739</v>
      </c>
      <c r="Z1778" s="1">
        <v>2913</v>
      </c>
      <c r="AA1778" s="1">
        <v>3306</v>
      </c>
      <c r="AB1778" s="1" t="s">
        <v>24</v>
      </c>
      <c r="AC1778" s="1" t="s">
        <v>24</v>
      </c>
      <c r="AD1778" s="1" t="s">
        <v>24</v>
      </c>
      <c r="AE1778" s="1" t="s">
        <v>24</v>
      </c>
      <c r="AF1778" s="22"/>
    </row>
    <row r="1779" spans="1:32" x14ac:dyDescent="0.2">
      <c r="A1779" s="1">
        <v>10517</v>
      </c>
      <c r="B1779" s="1" t="s">
        <v>5705</v>
      </c>
      <c r="C1779" s="5" t="s">
        <v>0</v>
      </c>
      <c r="D1779" s="1" t="s">
        <v>5706</v>
      </c>
      <c r="E1779" s="1" t="s">
        <v>5707</v>
      </c>
      <c r="F1779" s="1" t="s">
        <v>28</v>
      </c>
      <c r="G1779" s="1" t="s">
        <v>29</v>
      </c>
      <c r="H1779" s="1" t="s">
        <v>37</v>
      </c>
      <c r="I1779" s="1" t="s">
        <v>16</v>
      </c>
      <c r="J1779" s="1">
        <v>1</v>
      </c>
      <c r="K1779" s="1">
        <v>6</v>
      </c>
      <c r="L1779" s="1" t="s">
        <v>31</v>
      </c>
      <c r="M1779" s="1" t="s">
        <v>18</v>
      </c>
      <c r="N1779" s="1" t="s">
        <v>18</v>
      </c>
      <c r="O1779" s="1">
        <v>3</v>
      </c>
      <c r="P1779" s="1">
        <v>7</v>
      </c>
      <c r="Q1779" s="7" t="s">
        <v>17633</v>
      </c>
      <c r="R1779" s="1" t="s">
        <v>19</v>
      </c>
      <c r="S1779" s="1" t="s">
        <v>20</v>
      </c>
      <c r="T1779" s="1" t="s">
        <v>21</v>
      </c>
      <c r="U1779" s="1" t="s">
        <v>22</v>
      </c>
      <c r="V1779" s="1" t="s">
        <v>24</v>
      </c>
      <c r="W1779" s="1" t="s">
        <v>24</v>
      </c>
      <c r="X1779" s="1">
        <v>2748</v>
      </c>
      <c r="Y1779" s="1" t="s">
        <v>24</v>
      </c>
      <c r="Z1779" s="1" t="s">
        <v>24</v>
      </c>
      <c r="AA1779" s="1" t="s">
        <v>24</v>
      </c>
      <c r="AB1779" s="1" t="s">
        <v>24</v>
      </c>
      <c r="AC1779" s="1" t="s">
        <v>24</v>
      </c>
      <c r="AD1779" s="1" t="s">
        <v>24</v>
      </c>
      <c r="AE1779" s="1" t="s">
        <v>24</v>
      </c>
      <c r="AF1779" s="22"/>
    </row>
    <row r="1780" spans="1:32" x14ac:dyDescent="0.2">
      <c r="A1780" s="1">
        <v>10518</v>
      </c>
      <c r="B1780" s="1" t="s">
        <v>5708</v>
      </c>
      <c r="C1780" s="5" t="s">
        <v>0</v>
      </c>
      <c r="D1780" s="1" t="s">
        <v>5709</v>
      </c>
      <c r="E1780" s="1" t="s">
        <v>5710</v>
      </c>
      <c r="F1780" s="1" t="s">
        <v>5711</v>
      </c>
      <c r="G1780" s="1" t="s">
        <v>5711</v>
      </c>
      <c r="H1780" s="1" t="s">
        <v>2772</v>
      </c>
      <c r="I1780" s="1" t="s">
        <v>16</v>
      </c>
      <c r="J1780" s="1">
        <v>1</v>
      </c>
      <c r="K1780" s="1">
        <v>4</v>
      </c>
      <c r="L1780" s="1" t="s">
        <v>42</v>
      </c>
      <c r="M1780" s="1" t="s">
        <v>18</v>
      </c>
      <c r="N1780" s="1" t="s">
        <v>18</v>
      </c>
      <c r="O1780" s="1">
        <v>3</v>
      </c>
      <c r="P1780" s="1">
        <v>6</v>
      </c>
      <c r="R1780" s="1" t="s">
        <v>19</v>
      </c>
      <c r="S1780" s="1" t="s">
        <v>20</v>
      </c>
      <c r="T1780" s="1" t="s">
        <v>21</v>
      </c>
      <c r="U1780" s="1" t="s">
        <v>22</v>
      </c>
      <c r="V1780" s="1" t="s">
        <v>24</v>
      </c>
      <c r="W1780" s="1" t="s">
        <v>24</v>
      </c>
      <c r="X1780" s="1">
        <v>2724</v>
      </c>
      <c r="Y1780" s="1" t="s">
        <v>24</v>
      </c>
      <c r="Z1780" s="1" t="s">
        <v>24</v>
      </c>
      <c r="AA1780" s="1" t="s">
        <v>24</v>
      </c>
      <c r="AB1780" s="1" t="s">
        <v>24</v>
      </c>
      <c r="AC1780" s="1" t="s">
        <v>24</v>
      </c>
      <c r="AD1780" s="1" t="s">
        <v>24</v>
      </c>
      <c r="AE1780" s="1" t="s">
        <v>24</v>
      </c>
      <c r="AF1780" s="22"/>
    </row>
    <row r="1781" spans="1:32" x14ac:dyDescent="0.2">
      <c r="A1781" s="1">
        <v>10526</v>
      </c>
      <c r="B1781" s="1" t="s">
        <v>5712</v>
      </c>
      <c r="C1781" s="5" t="s">
        <v>0</v>
      </c>
      <c r="D1781" s="1" t="s">
        <v>5713</v>
      </c>
      <c r="E1781" s="1" t="s">
        <v>5714</v>
      </c>
      <c r="F1781" s="1" t="s">
        <v>241</v>
      </c>
      <c r="G1781" s="1" t="s">
        <v>61</v>
      </c>
      <c r="H1781" s="1" t="s">
        <v>168</v>
      </c>
      <c r="I1781" s="1" t="s">
        <v>16</v>
      </c>
      <c r="J1781" s="1">
        <v>1</v>
      </c>
      <c r="K1781" s="1">
        <v>6</v>
      </c>
      <c r="L1781" s="1" t="s">
        <v>31</v>
      </c>
      <c r="M1781" s="1" t="s">
        <v>18</v>
      </c>
      <c r="N1781" s="1" t="s">
        <v>18</v>
      </c>
      <c r="O1781" s="1">
        <v>3</v>
      </c>
      <c r="P1781" s="1">
        <v>6</v>
      </c>
      <c r="R1781" s="1" t="s">
        <v>19</v>
      </c>
      <c r="S1781" s="1" t="s">
        <v>20</v>
      </c>
      <c r="T1781" s="1" t="s">
        <v>21</v>
      </c>
      <c r="U1781" s="1" t="s">
        <v>22</v>
      </c>
      <c r="V1781" s="1" t="s">
        <v>24</v>
      </c>
      <c r="W1781" s="1" t="s">
        <v>24</v>
      </c>
      <c r="X1781" s="1">
        <v>2734</v>
      </c>
      <c r="Y1781" s="1">
        <v>3005</v>
      </c>
      <c r="Z1781" s="1">
        <v>1307</v>
      </c>
      <c r="AA1781" s="1" t="s">
        <v>24</v>
      </c>
      <c r="AB1781" s="1" t="s">
        <v>24</v>
      </c>
      <c r="AC1781" s="1" t="s">
        <v>24</v>
      </c>
      <c r="AD1781" s="1" t="s">
        <v>24</v>
      </c>
      <c r="AE1781" s="1" t="s">
        <v>24</v>
      </c>
      <c r="AF1781" s="22"/>
    </row>
    <row r="1782" spans="1:32" x14ac:dyDescent="0.2">
      <c r="A1782" s="1">
        <v>10528</v>
      </c>
      <c r="B1782" s="1" t="s">
        <v>5715</v>
      </c>
      <c r="C1782" s="5" t="s">
        <v>0</v>
      </c>
      <c r="D1782" s="1" t="s">
        <v>5716</v>
      </c>
      <c r="F1782" s="1" t="s">
        <v>5717</v>
      </c>
      <c r="G1782" s="1" t="s">
        <v>5718</v>
      </c>
      <c r="H1782" s="1" t="s">
        <v>428</v>
      </c>
      <c r="I1782" s="1" t="s">
        <v>16</v>
      </c>
      <c r="J1782" s="1">
        <v>1</v>
      </c>
      <c r="K1782" s="1">
        <v>4</v>
      </c>
      <c r="L1782" s="1" t="s">
        <v>42</v>
      </c>
      <c r="M1782" s="1" t="s">
        <v>18</v>
      </c>
      <c r="N1782" s="1" t="s">
        <v>2835</v>
      </c>
      <c r="O1782" s="1">
        <v>3</v>
      </c>
      <c r="P1782" s="1">
        <v>6</v>
      </c>
      <c r="R1782" s="1" t="s">
        <v>19</v>
      </c>
      <c r="S1782" s="1" t="s">
        <v>20</v>
      </c>
      <c r="T1782" s="1" t="s">
        <v>21</v>
      </c>
      <c r="U1782" s="1" t="s">
        <v>22</v>
      </c>
      <c r="V1782" s="1" t="s">
        <v>24</v>
      </c>
      <c r="W1782" s="1" t="s">
        <v>24</v>
      </c>
      <c r="X1782" s="1">
        <v>2728</v>
      </c>
      <c r="Y1782" s="1" t="s">
        <v>24</v>
      </c>
      <c r="Z1782" s="1" t="s">
        <v>24</v>
      </c>
      <c r="AA1782" s="1" t="s">
        <v>24</v>
      </c>
      <c r="AB1782" s="1" t="s">
        <v>24</v>
      </c>
      <c r="AC1782" s="1" t="s">
        <v>24</v>
      </c>
      <c r="AD1782" s="1" t="s">
        <v>24</v>
      </c>
      <c r="AE1782" s="1" t="s">
        <v>24</v>
      </c>
      <c r="AF1782" s="22"/>
    </row>
    <row r="1783" spans="1:32" x14ac:dyDescent="0.2">
      <c r="A1783" s="1">
        <v>10532</v>
      </c>
      <c r="B1783" s="1" t="s">
        <v>5719</v>
      </c>
      <c r="C1783" s="5" t="s">
        <v>0</v>
      </c>
      <c r="D1783" s="1" t="s">
        <v>5720</v>
      </c>
      <c r="F1783" s="1" t="s">
        <v>5721</v>
      </c>
      <c r="G1783" s="1" t="s">
        <v>5722</v>
      </c>
      <c r="H1783" s="1" t="s">
        <v>1384</v>
      </c>
      <c r="I1783" s="1" t="s">
        <v>16</v>
      </c>
      <c r="J1783" s="1">
        <v>1</v>
      </c>
      <c r="K1783" s="1">
        <v>4</v>
      </c>
      <c r="L1783" s="1" t="s">
        <v>42</v>
      </c>
      <c r="M1783" s="1" t="s">
        <v>18</v>
      </c>
      <c r="N1783" s="1" t="s">
        <v>18</v>
      </c>
      <c r="O1783" s="1">
        <v>2</v>
      </c>
      <c r="P1783" s="1">
        <v>5</v>
      </c>
      <c r="R1783" s="1" t="s">
        <v>19</v>
      </c>
      <c r="S1783" s="1" t="s">
        <v>20</v>
      </c>
      <c r="T1783" s="1" t="s">
        <v>21</v>
      </c>
      <c r="U1783" s="1" t="s">
        <v>22</v>
      </c>
      <c r="V1783" s="1" t="s">
        <v>24</v>
      </c>
      <c r="W1783" s="1" t="s">
        <v>24</v>
      </c>
      <c r="X1783" s="1">
        <v>2700</v>
      </c>
      <c r="Y1783" s="1" t="s">
        <v>24</v>
      </c>
      <c r="Z1783" s="1" t="s">
        <v>24</v>
      </c>
      <c r="AA1783" s="1" t="s">
        <v>24</v>
      </c>
      <c r="AB1783" s="1" t="s">
        <v>24</v>
      </c>
      <c r="AC1783" s="1" t="s">
        <v>24</v>
      </c>
      <c r="AD1783" s="1" t="s">
        <v>24</v>
      </c>
      <c r="AE1783" s="1" t="s">
        <v>24</v>
      </c>
      <c r="AF1783" s="22"/>
    </row>
    <row r="1784" spans="1:32" x14ac:dyDescent="0.2">
      <c r="A1784" s="1">
        <v>10534</v>
      </c>
      <c r="B1784" s="1" t="s">
        <v>5723</v>
      </c>
      <c r="C1784" s="5" t="s">
        <v>0</v>
      </c>
      <c r="D1784" s="1" t="s">
        <v>5724</v>
      </c>
      <c r="E1784" s="1" t="s">
        <v>5725</v>
      </c>
      <c r="F1784" s="1" t="s">
        <v>1260</v>
      </c>
      <c r="G1784" s="1" t="s">
        <v>130</v>
      </c>
      <c r="H1784" s="1" t="s">
        <v>111</v>
      </c>
      <c r="I1784" s="1" t="s">
        <v>16</v>
      </c>
      <c r="J1784" s="1">
        <v>1</v>
      </c>
      <c r="K1784" s="1">
        <v>12</v>
      </c>
      <c r="L1784" s="1" t="s">
        <v>31</v>
      </c>
      <c r="M1784" s="1" t="s">
        <v>18</v>
      </c>
      <c r="N1784" s="1" t="s">
        <v>18</v>
      </c>
      <c r="O1784" s="1">
        <v>3</v>
      </c>
      <c r="P1784" s="1">
        <v>7</v>
      </c>
      <c r="Q1784" s="7" t="s">
        <v>17633</v>
      </c>
      <c r="R1784" s="1" t="s">
        <v>19</v>
      </c>
      <c r="S1784" s="1" t="s">
        <v>20</v>
      </c>
      <c r="T1784" s="1" t="s">
        <v>21</v>
      </c>
      <c r="U1784" s="1" t="s">
        <v>22</v>
      </c>
      <c r="V1784" s="1" t="s">
        <v>23</v>
      </c>
      <c r="W1784" s="1" t="s">
        <v>24</v>
      </c>
      <c r="X1784" s="1">
        <v>3004</v>
      </c>
      <c r="Y1784" s="1">
        <v>2719</v>
      </c>
      <c r="Z1784" s="1">
        <v>2739</v>
      </c>
      <c r="AA1784" s="1" t="s">
        <v>24</v>
      </c>
      <c r="AB1784" s="1" t="s">
        <v>24</v>
      </c>
      <c r="AC1784" s="1" t="s">
        <v>24</v>
      </c>
      <c r="AD1784" s="1" t="s">
        <v>24</v>
      </c>
      <c r="AE1784" s="1" t="s">
        <v>24</v>
      </c>
      <c r="AF1784" s="22"/>
    </row>
    <row r="1785" spans="1:32" x14ac:dyDescent="0.2">
      <c r="A1785" s="1">
        <v>10535</v>
      </c>
      <c r="B1785" s="1" t="s">
        <v>5726</v>
      </c>
      <c r="C1785" s="5" t="s">
        <v>0</v>
      </c>
      <c r="D1785" s="1" t="s">
        <v>5727</v>
      </c>
      <c r="E1785" s="1" t="s">
        <v>5728</v>
      </c>
      <c r="F1785" s="1" t="s">
        <v>97</v>
      </c>
      <c r="G1785" s="1" t="s">
        <v>98</v>
      </c>
      <c r="H1785" s="1" t="s">
        <v>37</v>
      </c>
      <c r="I1785" s="1" t="s">
        <v>16</v>
      </c>
      <c r="J1785" s="1">
        <v>1</v>
      </c>
      <c r="K1785" s="1">
        <v>12</v>
      </c>
      <c r="L1785" s="1" t="s">
        <v>31</v>
      </c>
      <c r="M1785" s="1" t="s">
        <v>18</v>
      </c>
      <c r="N1785" s="1" t="s">
        <v>18</v>
      </c>
      <c r="O1785" s="1">
        <v>3</v>
      </c>
      <c r="P1785" s="1">
        <v>7</v>
      </c>
      <c r="Q1785" s="7" t="s">
        <v>17633</v>
      </c>
      <c r="R1785" s="1" t="s">
        <v>19</v>
      </c>
      <c r="S1785" s="1" t="s">
        <v>20</v>
      </c>
      <c r="T1785" s="1" t="s">
        <v>21</v>
      </c>
      <c r="U1785" s="1" t="s">
        <v>22</v>
      </c>
      <c r="V1785" s="1" t="s">
        <v>24</v>
      </c>
      <c r="W1785" s="1" t="s">
        <v>24</v>
      </c>
      <c r="X1785" s="1">
        <v>2745</v>
      </c>
      <c r="Y1785" s="1" t="s">
        <v>24</v>
      </c>
      <c r="Z1785" s="1" t="s">
        <v>24</v>
      </c>
      <c r="AA1785" s="1" t="s">
        <v>24</v>
      </c>
      <c r="AB1785" s="1" t="s">
        <v>24</v>
      </c>
      <c r="AC1785" s="1" t="s">
        <v>24</v>
      </c>
      <c r="AD1785" s="1" t="s">
        <v>24</v>
      </c>
      <c r="AE1785" s="1" t="s">
        <v>24</v>
      </c>
      <c r="AF1785" s="22"/>
    </row>
    <row r="1786" spans="1:32" x14ac:dyDescent="0.2">
      <c r="A1786" s="1">
        <v>10537</v>
      </c>
      <c r="B1786" s="1" t="s">
        <v>5729</v>
      </c>
      <c r="C1786" s="5" t="s">
        <v>0</v>
      </c>
      <c r="D1786" s="1" t="s">
        <v>5730</v>
      </c>
      <c r="E1786" s="1" t="s">
        <v>5731</v>
      </c>
      <c r="F1786" s="1" t="s">
        <v>28</v>
      </c>
      <c r="G1786" s="1" t="s">
        <v>29</v>
      </c>
      <c r="H1786" s="1" t="s">
        <v>30</v>
      </c>
      <c r="I1786" s="1" t="s">
        <v>16</v>
      </c>
      <c r="J1786" s="1">
        <v>1</v>
      </c>
      <c r="K1786" s="1">
        <v>9</v>
      </c>
      <c r="L1786" s="1" t="s">
        <v>31</v>
      </c>
      <c r="M1786" s="1" t="s">
        <v>18</v>
      </c>
      <c r="N1786" s="1" t="s">
        <v>18</v>
      </c>
      <c r="O1786" s="1">
        <v>3</v>
      </c>
      <c r="P1786" s="1">
        <v>7</v>
      </c>
      <c r="Q1786" s="7" t="s">
        <v>17633</v>
      </c>
      <c r="R1786" s="1" t="s">
        <v>19</v>
      </c>
      <c r="S1786" s="1" t="s">
        <v>20</v>
      </c>
      <c r="T1786" s="1" t="s">
        <v>21</v>
      </c>
      <c r="U1786" s="1" t="s">
        <v>22</v>
      </c>
      <c r="V1786" s="1" t="s">
        <v>24</v>
      </c>
      <c r="W1786" s="1" t="s">
        <v>24</v>
      </c>
      <c r="X1786" s="1">
        <v>2731</v>
      </c>
      <c r="Y1786" s="1" t="s">
        <v>24</v>
      </c>
      <c r="Z1786" s="1" t="s">
        <v>24</v>
      </c>
      <c r="AA1786" s="1" t="s">
        <v>24</v>
      </c>
      <c r="AB1786" s="1" t="s">
        <v>24</v>
      </c>
      <c r="AC1786" s="1" t="s">
        <v>24</v>
      </c>
      <c r="AD1786" s="1" t="s">
        <v>24</v>
      </c>
      <c r="AE1786" s="1" t="s">
        <v>24</v>
      </c>
      <c r="AF1786" s="22"/>
    </row>
    <row r="1787" spans="1:32" x14ac:dyDescent="0.2">
      <c r="A1787" s="1">
        <v>10538</v>
      </c>
      <c r="B1787" s="1" t="s">
        <v>5732</v>
      </c>
      <c r="C1787" s="5" t="s">
        <v>0</v>
      </c>
      <c r="D1787" s="1" t="s">
        <v>5733</v>
      </c>
      <c r="E1787" s="1" t="s">
        <v>5734</v>
      </c>
      <c r="F1787" s="1" t="s">
        <v>91</v>
      </c>
      <c r="G1787" s="1" t="s">
        <v>61</v>
      </c>
      <c r="H1787" s="1" t="s">
        <v>92</v>
      </c>
      <c r="I1787" s="1" t="s">
        <v>16</v>
      </c>
      <c r="J1787" s="1">
        <v>1</v>
      </c>
      <c r="K1787" s="1">
        <v>6</v>
      </c>
      <c r="L1787" s="1" t="s">
        <v>31</v>
      </c>
      <c r="M1787" s="1" t="s">
        <v>18</v>
      </c>
      <c r="N1787" s="1" t="s">
        <v>18</v>
      </c>
      <c r="O1787" s="1">
        <v>3</v>
      </c>
      <c r="P1787" s="1">
        <v>7</v>
      </c>
      <c r="Q1787" s="7" t="s">
        <v>17633</v>
      </c>
      <c r="R1787" s="1" t="s">
        <v>19</v>
      </c>
      <c r="S1787" s="1" t="s">
        <v>20</v>
      </c>
      <c r="T1787" s="1" t="s">
        <v>21</v>
      </c>
      <c r="U1787" s="1" t="s">
        <v>22</v>
      </c>
      <c r="V1787" s="1" t="s">
        <v>23</v>
      </c>
      <c r="W1787" s="1" t="s">
        <v>24</v>
      </c>
      <c r="X1787" s="1">
        <v>2701</v>
      </c>
      <c r="Y1787" s="1">
        <v>2719</v>
      </c>
      <c r="Z1787" s="1" t="s">
        <v>24</v>
      </c>
      <c r="AA1787" s="1" t="s">
        <v>24</v>
      </c>
      <c r="AB1787" s="1" t="s">
        <v>24</v>
      </c>
      <c r="AC1787" s="1" t="s">
        <v>24</v>
      </c>
      <c r="AD1787" s="1" t="s">
        <v>24</v>
      </c>
      <c r="AE1787" s="1" t="s">
        <v>24</v>
      </c>
      <c r="AF1787" s="22"/>
    </row>
    <row r="1788" spans="1:32" x14ac:dyDescent="0.2">
      <c r="A1788" s="1">
        <v>10539</v>
      </c>
      <c r="B1788" s="1" t="s">
        <v>5735</v>
      </c>
      <c r="C1788" s="5" t="s">
        <v>0</v>
      </c>
      <c r="D1788" s="1" t="s">
        <v>5736</v>
      </c>
      <c r="E1788" s="1" t="s">
        <v>5737</v>
      </c>
      <c r="F1788" s="1" t="s">
        <v>28</v>
      </c>
      <c r="G1788" s="1" t="s">
        <v>29</v>
      </c>
      <c r="H1788" s="1" t="s">
        <v>37</v>
      </c>
      <c r="I1788" s="1" t="s">
        <v>16</v>
      </c>
      <c r="J1788" s="1">
        <v>1</v>
      </c>
      <c r="K1788" s="1">
        <v>6</v>
      </c>
      <c r="L1788" s="1" t="s">
        <v>31</v>
      </c>
      <c r="M1788" s="1" t="s">
        <v>18</v>
      </c>
      <c r="N1788" s="1" t="s">
        <v>18</v>
      </c>
      <c r="O1788" s="1">
        <v>3</v>
      </c>
      <c r="P1788" s="1">
        <v>7</v>
      </c>
      <c r="Q1788" s="7" t="s">
        <v>17633</v>
      </c>
      <c r="R1788" s="1" t="s">
        <v>19</v>
      </c>
      <c r="S1788" s="1" t="s">
        <v>20</v>
      </c>
      <c r="T1788" s="1" t="s">
        <v>21</v>
      </c>
      <c r="U1788" s="1" t="s">
        <v>22</v>
      </c>
      <c r="V1788" s="1" t="s">
        <v>24</v>
      </c>
      <c r="W1788" s="1" t="s">
        <v>24</v>
      </c>
      <c r="X1788" s="1">
        <v>2716</v>
      </c>
      <c r="Y1788" s="1">
        <v>2738</v>
      </c>
      <c r="Z1788" s="1">
        <v>1311</v>
      </c>
      <c r="AA1788" s="1">
        <v>2803</v>
      </c>
      <c r="AB1788" s="1" t="s">
        <v>24</v>
      </c>
      <c r="AC1788" s="1" t="s">
        <v>24</v>
      </c>
      <c r="AD1788" s="1" t="s">
        <v>24</v>
      </c>
      <c r="AE1788" s="1" t="s">
        <v>24</v>
      </c>
      <c r="AF1788" s="22"/>
    </row>
    <row r="1789" spans="1:32" x14ac:dyDescent="0.2">
      <c r="A1789" s="1">
        <v>10540</v>
      </c>
      <c r="B1789" s="1" t="s">
        <v>5738</v>
      </c>
      <c r="C1789" s="5" t="s">
        <v>0</v>
      </c>
      <c r="D1789" s="1" t="s">
        <v>5739</v>
      </c>
      <c r="E1789" s="1" t="s">
        <v>5740</v>
      </c>
      <c r="F1789" s="1" t="s">
        <v>28</v>
      </c>
      <c r="G1789" s="1" t="s">
        <v>29</v>
      </c>
      <c r="H1789" s="1" t="s">
        <v>37</v>
      </c>
      <c r="I1789" s="1" t="s">
        <v>16</v>
      </c>
      <c r="J1789" s="1">
        <v>1</v>
      </c>
      <c r="K1789" s="1">
        <v>8</v>
      </c>
      <c r="L1789" s="1" t="s">
        <v>31</v>
      </c>
      <c r="M1789" s="1" t="s">
        <v>18</v>
      </c>
      <c r="N1789" s="1" t="s">
        <v>18</v>
      </c>
      <c r="O1789" s="1">
        <v>3</v>
      </c>
      <c r="P1789" s="1">
        <v>6</v>
      </c>
      <c r="R1789" s="1" t="s">
        <v>62</v>
      </c>
      <c r="S1789" s="1" t="s">
        <v>20</v>
      </c>
      <c r="T1789" s="1" t="s">
        <v>21</v>
      </c>
      <c r="U1789" s="1" t="s">
        <v>22</v>
      </c>
      <c r="V1789" s="1" t="s">
        <v>24</v>
      </c>
      <c r="W1789" s="1" t="s">
        <v>64</v>
      </c>
      <c r="X1789" s="1">
        <v>3004</v>
      </c>
      <c r="Y1789" s="1">
        <v>2738</v>
      </c>
      <c r="Z1789" s="1" t="s">
        <v>24</v>
      </c>
      <c r="AA1789" s="1" t="s">
        <v>24</v>
      </c>
      <c r="AB1789" s="1" t="s">
        <v>24</v>
      </c>
      <c r="AC1789" s="1" t="s">
        <v>24</v>
      </c>
      <c r="AD1789" s="1" t="s">
        <v>24</v>
      </c>
      <c r="AE1789" s="1" t="s">
        <v>24</v>
      </c>
      <c r="AF1789" s="22"/>
    </row>
    <row r="1790" spans="1:32" x14ac:dyDescent="0.2">
      <c r="A1790" s="1">
        <v>10541</v>
      </c>
      <c r="B1790" s="1" t="s">
        <v>5741</v>
      </c>
      <c r="C1790" s="5" t="s">
        <v>0</v>
      </c>
      <c r="D1790" s="1" t="s">
        <v>5742</v>
      </c>
      <c r="E1790" s="1" t="s">
        <v>5743</v>
      </c>
      <c r="F1790" s="1" t="s">
        <v>28</v>
      </c>
      <c r="G1790" s="1" t="s">
        <v>29</v>
      </c>
      <c r="H1790" s="1" t="s">
        <v>37</v>
      </c>
      <c r="I1790" s="1" t="s">
        <v>16</v>
      </c>
      <c r="J1790" s="1">
        <v>1</v>
      </c>
      <c r="K1790" s="1">
        <v>6</v>
      </c>
      <c r="L1790" s="1" t="s">
        <v>31</v>
      </c>
      <c r="M1790" s="1" t="s">
        <v>18</v>
      </c>
      <c r="N1790" s="1" t="s">
        <v>18</v>
      </c>
      <c r="O1790" s="1">
        <v>3</v>
      </c>
      <c r="P1790" s="1">
        <v>7</v>
      </c>
      <c r="Q1790" s="7" t="s">
        <v>17633</v>
      </c>
      <c r="R1790" s="1" t="s">
        <v>62</v>
      </c>
      <c r="S1790" s="1" t="s">
        <v>20</v>
      </c>
      <c r="T1790" s="1" t="s">
        <v>21</v>
      </c>
      <c r="U1790" s="1" t="s">
        <v>22</v>
      </c>
      <c r="V1790" s="1" t="s">
        <v>24</v>
      </c>
      <c r="W1790" s="1" t="s">
        <v>24</v>
      </c>
      <c r="X1790" s="1">
        <v>2738</v>
      </c>
      <c r="Y1790" s="1">
        <v>2736</v>
      </c>
      <c r="Z1790" s="1" t="s">
        <v>24</v>
      </c>
      <c r="AA1790" s="1" t="s">
        <v>24</v>
      </c>
      <c r="AB1790" s="1" t="s">
        <v>24</v>
      </c>
      <c r="AC1790" s="1" t="s">
        <v>24</v>
      </c>
      <c r="AD1790" s="1" t="s">
        <v>24</v>
      </c>
      <c r="AE1790" s="1" t="s">
        <v>24</v>
      </c>
      <c r="AF1790" s="22"/>
    </row>
    <row r="1791" spans="1:32" x14ac:dyDescent="0.2">
      <c r="A1791" s="1">
        <v>10542</v>
      </c>
      <c r="B1791" s="1" t="s">
        <v>5744</v>
      </c>
      <c r="C1791" s="5" t="s">
        <v>0</v>
      </c>
      <c r="D1791" s="1" t="s">
        <v>5745</v>
      </c>
      <c r="E1791" s="1" t="s">
        <v>5746</v>
      </c>
      <c r="F1791" s="1" t="s">
        <v>1412</v>
      </c>
      <c r="G1791" s="1" t="s">
        <v>1413</v>
      </c>
      <c r="H1791" s="1" t="s">
        <v>92</v>
      </c>
      <c r="I1791" s="1" t="s">
        <v>16</v>
      </c>
      <c r="J1791" s="1">
        <v>1</v>
      </c>
      <c r="K1791" s="1">
        <v>4</v>
      </c>
      <c r="L1791" s="1" t="s">
        <v>31</v>
      </c>
      <c r="M1791" s="1" t="s">
        <v>18</v>
      </c>
      <c r="N1791" s="1" t="s">
        <v>18</v>
      </c>
      <c r="O1791" s="1">
        <v>3</v>
      </c>
      <c r="P1791" s="1">
        <v>7</v>
      </c>
      <c r="Q1791" s="7" t="s">
        <v>17633</v>
      </c>
      <c r="R1791" s="1" t="s">
        <v>19</v>
      </c>
      <c r="S1791" s="1" t="s">
        <v>20</v>
      </c>
      <c r="T1791" s="1" t="s">
        <v>21</v>
      </c>
      <c r="U1791" s="1" t="s">
        <v>22</v>
      </c>
      <c r="V1791" s="1" t="s">
        <v>24</v>
      </c>
      <c r="W1791" s="1" t="s">
        <v>24</v>
      </c>
      <c r="X1791" s="1">
        <v>3206</v>
      </c>
      <c r="Y1791" s="1">
        <v>2728</v>
      </c>
      <c r="Z1791" s="1">
        <v>2808</v>
      </c>
      <c r="AA1791" s="1" t="s">
        <v>24</v>
      </c>
      <c r="AB1791" s="1" t="s">
        <v>24</v>
      </c>
      <c r="AC1791" s="1" t="s">
        <v>24</v>
      </c>
      <c r="AD1791" s="1" t="s">
        <v>24</v>
      </c>
      <c r="AE1791" s="1" t="s">
        <v>24</v>
      </c>
      <c r="AF1791" s="22"/>
    </row>
    <row r="1792" spans="1:32" x14ac:dyDescent="0.2">
      <c r="A1792" s="1">
        <v>10546</v>
      </c>
      <c r="B1792" s="1" t="s">
        <v>5747</v>
      </c>
      <c r="C1792" s="5" t="s">
        <v>0</v>
      </c>
      <c r="D1792" s="1" t="s">
        <v>5748</v>
      </c>
      <c r="E1792" s="1" t="s">
        <v>5749</v>
      </c>
      <c r="F1792" s="1" t="s">
        <v>310</v>
      </c>
      <c r="G1792" s="1" t="s">
        <v>311</v>
      </c>
      <c r="H1792" s="1" t="s">
        <v>37</v>
      </c>
      <c r="I1792" s="1" t="s">
        <v>16</v>
      </c>
      <c r="J1792" s="1">
        <v>1</v>
      </c>
      <c r="K1792" s="1">
        <v>6</v>
      </c>
      <c r="L1792" s="1" t="s">
        <v>31</v>
      </c>
      <c r="M1792" s="1" t="s">
        <v>18</v>
      </c>
      <c r="N1792" s="1" t="s">
        <v>18</v>
      </c>
      <c r="O1792" s="1">
        <v>3</v>
      </c>
      <c r="P1792" s="1">
        <v>6</v>
      </c>
      <c r="R1792" s="1" t="s">
        <v>19</v>
      </c>
      <c r="S1792" s="1" t="s">
        <v>20</v>
      </c>
      <c r="T1792" s="1" t="s">
        <v>21</v>
      </c>
      <c r="U1792" s="1" t="s">
        <v>22</v>
      </c>
      <c r="V1792" s="1" t="s">
        <v>23</v>
      </c>
      <c r="W1792" s="1" t="s">
        <v>24</v>
      </c>
      <c r="X1792" s="1">
        <v>2307</v>
      </c>
      <c r="Y1792" s="1">
        <v>2310</v>
      </c>
      <c r="Z1792" s="1">
        <v>2739</v>
      </c>
      <c r="AA1792" s="1" t="s">
        <v>24</v>
      </c>
      <c r="AB1792" s="1" t="s">
        <v>24</v>
      </c>
      <c r="AC1792" s="1" t="s">
        <v>24</v>
      </c>
      <c r="AD1792" s="1" t="s">
        <v>24</v>
      </c>
      <c r="AE1792" s="1" t="s">
        <v>24</v>
      </c>
      <c r="AF1792" s="22"/>
    </row>
    <row r="1793" spans="1:32" x14ac:dyDescent="0.2">
      <c r="A1793" s="1">
        <v>10548</v>
      </c>
      <c r="B1793" s="1" t="s">
        <v>5750</v>
      </c>
      <c r="C1793" s="5" t="s">
        <v>0</v>
      </c>
      <c r="D1793" s="1" t="s">
        <v>5751</v>
      </c>
      <c r="E1793" s="1" t="s">
        <v>5752</v>
      </c>
      <c r="F1793" s="1" t="s">
        <v>217</v>
      </c>
      <c r="G1793" s="1" t="s">
        <v>130</v>
      </c>
      <c r="H1793" s="1" t="s">
        <v>92</v>
      </c>
      <c r="I1793" s="1" t="s">
        <v>16</v>
      </c>
      <c r="J1793" s="1">
        <v>1</v>
      </c>
      <c r="K1793" s="1">
        <v>12</v>
      </c>
      <c r="L1793" s="1" t="s">
        <v>31</v>
      </c>
      <c r="M1793" s="1" t="s">
        <v>18</v>
      </c>
      <c r="N1793" s="1" t="s">
        <v>18</v>
      </c>
      <c r="O1793" s="1">
        <v>3</v>
      </c>
      <c r="P1793" s="1">
        <v>7</v>
      </c>
      <c r="Q1793" s="7" t="s">
        <v>17633</v>
      </c>
      <c r="R1793" s="1" t="s">
        <v>19</v>
      </c>
      <c r="S1793" s="1" t="s">
        <v>20</v>
      </c>
      <c r="T1793" s="1" t="s">
        <v>21</v>
      </c>
      <c r="U1793" s="1" t="s">
        <v>22</v>
      </c>
      <c r="V1793" s="1" t="s">
        <v>24</v>
      </c>
      <c r="W1793" s="1" t="s">
        <v>24</v>
      </c>
      <c r="X1793" s="1">
        <v>1304</v>
      </c>
      <c r="Y1793" s="1">
        <v>2502</v>
      </c>
      <c r="Z1793" s="1">
        <v>1502</v>
      </c>
      <c r="AA1793" s="1">
        <v>2204</v>
      </c>
      <c r="AB1793" s="1" t="s">
        <v>24</v>
      </c>
      <c r="AC1793" s="1" t="s">
        <v>24</v>
      </c>
      <c r="AD1793" s="1" t="s">
        <v>24</v>
      </c>
      <c r="AE1793" s="1" t="s">
        <v>24</v>
      </c>
      <c r="AF1793" s="22"/>
    </row>
    <row r="1794" spans="1:32" x14ac:dyDescent="0.2">
      <c r="A1794" s="1">
        <v>10554</v>
      </c>
      <c r="B1794" s="1" t="s">
        <v>5753</v>
      </c>
      <c r="C1794" s="5" t="s">
        <v>0</v>
      </c>
      <c r="D1794" s="1" t="s">
        <v>5754</v>
      </c>
      <c r="E1794" s="1" t="s">
        <v>5755</v>
      </c>
      <c r="F1794" s="1" t="s">
        <v>5756</v>
      </c>
      <c r="G1794" s="1" t="s">
        <v>5756</v>
      </c>
      <c r="H1794" s="1" t="s">
        <v>249</v>
      </c>
      <c r="I1794" s="1" t="s">
        <v>16</v>
      </c>
      <c r="J1794" s="1">
        <v>1</v>
      </c>
      <c r="K1794" s="1">
        <v>6</v>
      </c>
      <c r="L1794" s="1" t="s">
        <v>42</v>
      </c>
      <c r="M1794" s="1" t="s">
        <v>18</v>
      </c>
      <c r="N1794" s="1" t="s">
        <v>18</v>
      </c>
      <c r="O1794" s="1">
        <v>3</v>
      </c>
      <c r="P1794" s="1">
        <v>5</v>
      </c>
      <c r="R1794" s="1" t="s">
        <v>19</v>
      </c>
      <c r="S1794" s="1" t="s">
        <v>20</v>
      </c>
      <c r="T1794" s="1" t="s">
        <v>21</v>
      </c>
      <c r="U1794" s="1" t="s">
        <v>22</v>
      </c>
      <c r="V1794" s="1" t="s">
        <v>24</v>
      </c>
      <c r="W1794" s="1" t="s">
        <v>24</v>
      </c>
      <c r="X1794" s="1">
        <v>3004</v>
      </c>
      <c r="Y1794" s="1">
        <v>1314</v>
      </c>
      <c r="Z1794" s="1" t="s">
        <v>24</v>
      </c>
      <c r="AA1794" s="1" t="s">
        <v>24</v>
      </c>
      <c r="AB1794" s="1" t="s">
        <v>24</v>
      </c>
      <c r="AC1794" s="1" t="s">
        <v>24</v>
      </c>
      <c r="AD1794" s="1" t="s">
        <v>24</v>
      </c>
      <c r="AE1794" s="1" t="s">
        <v>24</v>
      </c>
      <c r="AF1794" s="22"/>
    </row>
    <row r="1795" spans="1:32" x14ac:dyDescent="0.2">
      <c r="A1795" s="1">
        <v>10555</v>
      </c>
      <c r="B1795" s="1" t="s">
        <v>5757</v>
      </c>
      <c r="C1795" s="5" t="s">
        <v>0</v>
      </c>
      <c r="D1795" s="1" t="s">
        <v>5758</v>
      </c>
      <c r="E1795" s="1" t="s">
        <v>5759</v>
      </c>
      <c r="F1795" s="1" t="s">
        <v>55</v>
      </c>
      <c r="G1795" s="1" t="s">
        <v>56</v>
      </c>
      <c r="H1795" s="1" t="s">
        <v>37</v>
      </c>
      <c r="I1795" s="1" t="s">
        <v>16</v>
      </c>
      <c r="J1795" s="1">
        <v>2</v>
      </c>
      <c r="K1795" s="1">
        <v>12</v>
      </c>
      <c r="L1795" s="1" t="s">
        <v>31</v>
      </c>
      <c r="M1795" s="1" t="s">
        <v>18</v>
      </c>
      <c r="N1795" s="1" t="s">
        <v>18</v>
      </c>
      <c r="O1795" s="1">
        <v>3</v>
      </c>
      <c r="P1795" s="1">
        <v>7</v>
      </c>
      <c r="Q1795" s="7" t="s">
        <v>17633</v>
      </c>
      <c r="R1795" s="1" t="s">
        <v>62</v>
      </c>
      <c r="S1795" s="1" t="s">
        <v>20</v>
      </c>
      <c r="T1795" s="1" t="s">
        <v>21</v>
      </c>
      <c r="U1795" s="1" t="s">
        <v>22</v>
      </c>
      <c r="V1795" s="1" t="s">
        <v>24</v>
      </c>
      <c r="W1795" s="1" t="s">
        <v>24</v>
      </c>
      <c r="X1795" s="1">
        <v>2725</v>
      </c>
      <c r="Y1795" s="1">
        <v>2726</v>
      </c>
      <c r="Z1795" s="1" t="s">
        <v>24</v>
      </c>
      <c r="AA1795" s="1" t="s">
        <v>24</v>
      </c>
      <c r="AB1795" s="1" t="s">
        <v>24</v>
      </c>
      <c r="AC1795" s="1" t="s">
        <v>24</v>
      </c>
      <c r="AD1795" s="1" t="s">
        <v>24</v>
      </c>
      <c r="AE1795" s="1" t="s">
        <v>24</v>
      </c>
      <c r="AF1795" s="22"/>
    </row>
    <row r="1796" spans="1:32" x14ac:dyDescent="0.2">
      <c r="A1796" s="1">
        <v>10558</v>
      </c>
      <c r="B1796" s="1" t="s">
        <v>5760</v>
      </c>
      <c r="C1796" s="5" t="s">
        <v>0</v>
      </c>
      <c r="D1796" s="1" t="s">
        <v>5761</v>
      </c>
      <c r="F1796" s="1" t="s">
        <v>5762</v>
      </c>
      <c r="G1796" s="1" t="s">
        <v>5763</v>
      </c>
      <c r="H1796" s="1" t="s">
        <v>264</v>
      </c>
      <c r="I1796" s="1" t="s">
        <v>16</v>
      </c>
      <c r="J1796" s="1">
        <v>1</v>
      </c>
      <c r="K1796" s="1">
        <v>4</v>
      </c>
      <c r="L1796" s="1" t="s">
        <v>31</v>
      </c>
      <c r="M1796" s="1" t="s">
        <v>18</v>
      </c>
      <c r="N1796" s="1" t="s">
        <v>18</v>
      </c>
      <c r="O1796" s="1">
        <v>3</v>
      </c>
      <c r="P1796" s="1">
        <v>5</v>
      </c>
      <c r="R1796" s="1" t="s">
        <v>19</v>
      </c>
      <c r="S1796" s="1" t="s">
        <v>20</v>
      </c>
      <c r="T1796" s="1" t="s">
        <v>21</v>
      </c>
      <c r="U1796" s="1" t="s">
        <v>22</v>
      </c>
      <c r="V1796" s="1" t="s">
        <v>24</v>
      </c>
      <c r="W1796" s="1" t="s">
        <v>24</v>
      </c>
      <c r="X1796" s="1">
        <v>1308</v>
      </c>
      <c r="Y1796" s="1">
        <v>2704</v>
      </c>
      <c r="Z1796" s="1">
        <v>2720</v>
      </c>
      <c r="AA1796" s="1">
        <v>2726</v>
      </c>
      <c r="AB1796" s="1">
        <v>2723</v>
      </c>
      <c r="AC1796" s="1">
        <v>3607</v>
      </c>
      <c r="AD1796" s="1" t="s">
        <v>24</v>
      </c>
      <c r="AE1796" s="1" t="s">
        <v>24</v>
      </c>
      <c r="AF1796" s="22"/>
    </row>
    <row r="1797" spans="1:32" x14ac:dyDescent="0.2">
      <c r="A1797" s="1">
        <v>10560</v>
      </c>
      <c r="B1797" s="1" t="s">
        <v>5764</v>
      </c>
      <c r="C1797" s="5" t="s">
        <v>0</v>
      </c>
      <c r="D1797" s="1" t="s">
        <v>5765</v>
      </c>
      <c r="F1797" s="1" t="s">
        <v>5766</v>
      </c>
      <c r="G1797" s="1" t="s">
        <v>5766</v>
      </c>
      <c r="H1797" s="1" t="s">
        <v>30</v>
      </c>
      <c r="I1797" s="1" t="s">
        <v>16</v>
      </c>
      <c r="J1797" s="1">
        <v>1</v>
      </c>
      <c r="K1797" s="1">
        <v>8</v>
      </c>
      <c r="L1797" s="1" t="s">
        <v>42</v>
      </c>
      <c r="M1797" s="1" t="s">
        <v>18</v>
      </c>
      <c r="N1797" s="1" t="s">
        <v>18</v>
      </c>
      <c r="O1797" s="1">
        <v>3</v>
      </c>
      <c r="P1797" s="1">
        <v>7</v>
      </c>
      <c r="Q1797" s="7" t="s">
        <v>17633</v>
      </c>
      <c r="R1797" s="1" t="s">
        <v>62</v>
      </c>
      <c r="S1797" s="1" t="s">
        <v>20</v>
      </c>
      <c r="T1797" s="1" t="s">
        <v>21</v>
      </c>
      <c r="U1797" s="1" t="s">
        <v>22</v>
      </c>
      <c r="V1797" s="1" t="s">
        <v>24</v>
      </c>
      <c r="W1797" s="1" t="s">
        <v>24</v>
      </c>
      <c r="X1797" s="1">
        <v>1307</v>
      </c>
      <c r="Y1797" s="1">
        <v>2747</v>
      </c>
      <c r="Z1797" s="1">
        <v>2204</v>
      </c>
      <c r="AA1797" s="1" t="s">
        <v>24</v>
      </c>
      <c r="AB1797" s="1" t="s">
        <v>24</v>
      </c>
      <c r="AC1797" s="1" t="s">
        <v>24</v>
      </c>
      <c r="AD1797" s="1" t="s">
        <v>24</v>
      </c>
      <c r="AE1797" s="1" t="s">
        <v>24</v>
      </c>
      <c r="AF1797" s="22"/>
    </row>
    <row r="1798" spans="1:32" x14ac:dyDescent="0.2">
      <c r="A1798" s="1">
        <v>10561</v>
      </c>
      <c r="B1798" s="1" t="s">
        <v>5767</v>
      </c>
      <c r="C1798" s="5" t="s">
        <v>0</v>
      </c>
      <c r="D1798" s="1" t="s">
        <v>5768</v>
      </c>
      <c r="E1798" s="1" t="s">
        <v>5769</v>
      </c>
      <c r="F1798" s="1" t="s">
        <v>5770</v>
      </c>
      <c r="G1798" s="1" t="s">
        <v>36</v>
      </c>
      <c r="H1798" s="1" t="s">
        <v>30</v>
      </c>
      <c r="I1798" s="1" t="s">
        <v>16</v>
      </c>
      <c r="J1798" s="1">
        <v>1</v>
      </c>
      <c r="K1798" s="1">
        <v>12</v>
      </c>
      <c r="L1798" s="1" t="s">
        <v>31</v>
      </c>
      <c r="M1798" s="1" t="s">
        <v>18</v>
      </c>
      <c r="N1798" s="1" t="s">
        <v>18</v>
      </c>
      <c r="O1798" s="1">
        <v>3</v>
      </c>
      <c r="P1798" s="1">
        <v>7</v>
      </c>
      <c r="Q1798" s="7" t="s">
        <v>17633</v>
      </c>
      <c r="R1798" s="1" t="s">
        <v>62</v>
      </c>
      <c r="S1798" s="1" t="s">
        <v>20</v>
      </c>
      <c r="T1798" s="1" t="s">
        <v>21</v>
      </c>
      <c r="U1798" s="1" t="s">
        <v>22</v>
      </c>
      <c r="V1798" s="1" t="s">
        <v>24</v>
      </c>
      <c r="W1798" s="1" t="s">
        <v>64</v>
      </c>
      <c r="X1798" s="1">
        <v>1303</v>
      </c>
      <c r="Y1798" s="1">
        <v>1312</v>
      </c>
      <c r="Z1798" s="1" t="s">
        <v>24</v>
      </c>
      <c r="AA1798" s="1" t="s">
        <v>24</v>
      </c>
      <c r="AB1798" s="1" t="s">
        <v>24</v>
      </c>
      <c r="AC1798" s="1" t="s">
        <v>24</v>
      </c>
      <c r="AD1798" s="1" t="s">
        <v>24</v>
      </c>
      <c r="AE1798" s="1" t="s">
        <v>24</v>
      </c>
      <c r="AF1798" s="22" t="s">
        <v>17703</v>
      </c>
    </row>
    <row r="1799" spans="1:32" x14ac:dyDescent="0.2">
      <c r="A1799" s="1">
        <v>10563</v>
      </c>
      <c r="B1799" s="1" t="s">
        <v>5771</v>
      </c>
      <c r="C1799" s="5" t="s">
        <v>0</v>
      </c>
      <c r="D1799" s="1" t="s">
        <v>5772</v>
      </c>
      <c r="E1799" s="1" t="s">
        <v>5773</v>
      </c>
      <c r="F1799" s="1" t="s">
        <v>291</v>
      </c>
      <c r="G1799" s="1" t="s">
        <v>292</v>
      </c>
      <c r="H1799" s="1" t="s">
        <v>30</v>
      </c>
      <c r="I1799" s="1" t="s">
        <v>16</v>
      </c>
      <c r="J1799" s="1">
        <v>1</v>
      </c>
      <c r="K1799" s="1">
        <v>4</v>
      </c>
      <c r="L1799" s="1" t="s">
        <v>31</v>
      </c>
      <c r="M1799" s="1" t="s">
        <v>18</v>
      </c>
      <c r="N1799" s="1" t="s">
        <v>18</v>
      </c>
      <c r="O1799" s="1">
        <v>3</v>
      </c>
      <c r="P1799" s="1">
        <v>6</v>
      </c>
      <c r="R1799" s="1" t="s">
        <v>19</v>
      </c>
      <c r="S1799" s="1" t="s">
        <v>20</v>
      </c>
      <c r="T1799" s="1" t="s">
        <v>21</v>
      </c>
      <c r="U1799" s="1" t="s">
        <v>22</v>
      </c>
      <c r="V1799" s="1" t="s">
        <v>23</v>
      </c>
      <c r="W1799" s="1" t="s">
        <v>24</v>
      </c>
      <c r="X1799" s="1">
        <v>2745</v>
      </c>
      <c r="Y1799" s="1" t="s">
        <v>24</v>
      </c>
      <c r="Z1799" s="1" t="s">
        <v>24</v>
      </c>
      <c r="AA1799" s="1" t="s">
        <v>24</v>
      </c>
      <c r="AB1799" s="1" t="s">
        <v>24</v>
      </c>
      <c r="AC1799" s="1" t="s">
        <v>24</v>
      </c>
      <c r="AD1799" s="1" t="s">
        <v>24</v>
      </c>
      <c r="AE1799" s="1" t="s">
        <v>24</v>
      </c>
      <c r="AF1799" s="22"/>
    </row>
    <row r="1800" spans="1:32" x14ac:dyDescent="0.2">
      <c r="A1800" s="1">
        <v>10564</v>
      </c>
      <c r="B1800" s="1" t="s">
        <v>5774</v>
      </c>
      <c r="C1800" s="5" t="s">
        <v>0</v>
      </c>
      <c r="D1800" s="1" t="s">
        <v>5775</v>
      </c>
      <c r="E1800" s="1" t="s">
        <v>5776</v>
      </c>
      <c r="F1800" s="1" t="s">
        <v>4912</v>
      </c>
      <c r="G1800" s="1" t="s">
        <v>5622</v>
      </c>
      <c r="H1800" s="1" t="s">
        <v>428</v>
      </c>
      <c r="I1800" s="1" t="s">
        <v>16</v>
      </c>
      <c r="J1800" s="1">
        <v>1</v>
      </c>
      <c r="K1800" s="1">
        <v>6</v>
      </c>
      <c r="L1800" s="1" t="s">
        <v>42</v>
      </c>
      <c r="M1800" s="1" t="s">
        <v>18</v>
      </c>
      <c r="N1800" s="1" t="s">
        <v>18</v>
      </c>
      <c r="O1800" s="1">
        <v>3</v>
      </c>
      <c r="P1800" s="1">
        <v>5</v>
      </c>
      <c r="R1800" s="1" t="s">
        <v>19</v>
      </c>
      <c r="S1800" s="1" t="s">
        <v>20</v>
      </c>
      <c r="T1800" s="1" t="s">
        <v>21</v>
      </c>
      <c r="U1800" s="1" t="s">
        <v>22</v>
      </c>
      <c r="V1800" s="1" t="s">
        <v>24</v>
      </c>
      <c r="W1800" s="1" t="s">
        <v>24</v>
      </c>
      <c r="X1800" s="1">
        <v>2700</v>
      </c>
      <c r="Y1800" s="1" t="s">
        <v>24</v>
      </c>
      <c r="Z1800" s="1" t="s">
        <v>24</v>
      </c>
      <c r="AA1800" s="1" t="s">
        <v>24</v>
      </c>
      <c r="AB1800" s="1" t="s">
        <v>24</v>
      </c>
      <c r="AC1800" s="1" t="s">
        <v>24</v>
      </c>
      <c r="AD1800" s="1" t="s">
        <v>24</v>
      </c>
      <c r="AE1800" s="1" t="s">
        <v>24</v>
      </c>
      <c r="AF1800" s="22" t="s">
        <v>17670</v>
      </c>
    </row>
    <row r="1801" spans="1:32" x14ac:dyDescent="0.2">
      <c r="A1801" s="1">
        <v>10568</v>
      </c>
      <c r="B1801" s="1" t="s">
        <v>5777</v>
      </c>
      <c r="C1801" s="5" t="s">
        <v>0</v>
      </c>
      <c r="D1801" s="1" t="s">
        <v>5778</v>
      </c>
      <c r="E1801" s="1" t="s">
        <v>5779</v>
      </c>
      <c r="F1801" s="1" t="s">
        <v>5780</v>
      </c>
      <c r="G1801" s="1" t="s">
        <v>460</v>
      </c>
      <c r="H1801" s="1" t="s">
        <v>461</v>
      </c>
      <c r="I1801" s="1" t="s">
        <v>16</v>
      </c>
      <c r="J1801" s="1">
        <v>0</v>
      </c>
      <c r="K1801" s="1">
        <v>0</v>
      </c>
      <c r="L1801" s="1" t="s">
        <v>42</v>
      </c>
      <c r="M1801" s="1" t="s">
        <v>1097</v>
      </c>
      <c r="N1801" s="1" t="s">
        <v>1097</v>
      </c>
      <c r="O1801" s="1">
        <v>3</v>
      </c>
      <c r="P1801" s="1">
        <v>5</v>
      </c>
      <c r="R1801" s="1" t="s">
        <v>19</v>
      </c>
      <c r="S1801" s="1" t="s">
        <v>20</v>
      </c>
      <c r="T1801" s="1" t="s">
        <v>21</v>
      </c>
      <c r="U1801" s="1" t="s">
        <v>22</v>
      </c>
      <c r="V1801" s="1" t="s">
        <v>23</v>
      </c>
      <c r="W1801" s="1" t="s">
        <v>24</v>
      </c>
      <c r="X1801" s="1">
        <v>2741</v>
      </c>
      <c r="Y1801" s="1">
        <v>2730</v>
      </c>
      <c r="Z1801" s="1" t="s">
        <v>24</v>
      </c>
      <c r="AA1801" s="1" t="s">
        <v>24</v>
      </c>
      <c r="AB1801" s="1" t="s">
        <v>24</v>
      </c>
      <c r="AC1801" s="1" t="s">
        <v>24</v>
      </c>
      <c r="AD1801" s="1" t="s">
        <v>24</v>
      </c>
      <c r="AE1801" s="1" t="s">
        <v>24</v>
      </c>
      <c r="AF1801" s="22"/>
    </row>
    <row r="1802" spans="1:32" x14ac:dyDescent="0.2">
      <c r="A1802" s="1">
        <v>10571</v>
      </c>
      <c r="B1802" s="1" t="s">
        <v>5781</v>
      </c>
      <c r="C1802" s="5" t="s">
        <v>0</v>
      </c>
      <c r="D1802" s="1" t="s">
        <v>5782</v>
      </c>
      <c r="E1802" s="1" t="s">
        <v>5783</v>
      </c>
      <c r="F1802" s="1" t="s">
        <v>303</v>
      </c>
      <c r="G1802" s="1" t="s">
        <v>61</v>
      </c>
      <c r="H1802" s="1" t="s">
        <v>30</v>
      </c>
      <c r="I1802" s="1" t="s">
        <v>16</v>
      </c>
      <c r="J1802" s="1">
        <v>1</v>
      </c>
      <c r="K1802" s="1">
        <v>4</v>
      </c>
      <c r="L1802" s="1" t="s">
        <v>31</v>
      </c>
      <c r="M1802" s="1" t="s">
        <v>18</v>
      </c>
      <c r="N1802" s="1" t="s">
        <v>18</v>
      </c>
      <c r="O1802" s="1">
        <v>3</v>
      </c>
      <c r="P1802" s="1">
        <v>7</v>
      </c>
      <c r="Q1802" s="7" t="s">
        <v>17633</v>
      </c>
      <c r="R1802" s="1" t="s">
        <v>19</v>
      </c>
      <c r="S1802" s="1" t="s">
        <v>20</v>
      </c>
      <c r="T1802" s="1" t="s">
        <v>21</v>
      </c>
      <c r="U1802" s="1" t="s">
        <v>22</v>
      </c>
      <c r="V1802" s="1" t="s">
        <v>23</v>
      </c>
      <c r="W1802" s="1" t="s">
        <v>24</v>
      </c>
      <c r="X1802" s="1">
        <v>2741</v>
      </c>
      <c r="Y1802" s="1">
        <v>2728</v>
      </c>
      <c r="Z1802" s="1" t="s">
        <v>24</v>
      </c>
      <c r="AA1802" s="1" t="s">
        <v>24</v>
      </c>
      <c r="AB1802" s="1" t="s">
        <v>24</v>
      </c>
      <c r="AC1802" s="1" t="s">
        <v>24</v>
      </c>
      <c r="AD1802" s="1" t="s">
        <v>24</v>
      </c>
      <c r="AE1802" s="1" t="s">
        <v>24</v>
      </c>
      <c r="AF1802" s="22"/>
    </row>
    <row r="1803" spans="1:32" x14ac:dyDescent="0.2">
      <c r="A1803" s="1">
        <v>10572</v>
      </c>
      <c r="B1803" s="1" t="s">
        <v>5784</v>
      </c>
      <c r="C1803" s="5" t="s">
        <v>0</v>
      </c>
      <c r="D1803" s="1" t="s">
        <v>5785</v>
      </c>
      <c r="E1803" s="1" t="s">
        <v>5786</v>
      </c>
      <c r="F1803" s="1" t="s">
        <v>831</v>
      </c>
      <c r="G1803" s="1" t="s">
        <v>61</v>
      </c>
      <c r="H1803" s="1" t="s">
        <v>37</v>
      </c>
      <c r="I1803" s="1" t="s">
        <v>16</v>
      </c>
      <c r="J1803" s="1">
        <v>1</v>
      </c>
      <c r="K1803" s="1">
        <v>4</v>
      </c>
      <c r="L1803" s="1" t="s">
        <v>31</v>
      </c>
      <c r="M1803" s="1" t="s">
        <v>18</v>
      </c>
      <c r="N1803" s="1" t="s">
        <v>18</v>
      </c>
      <c r="O1803" s="1">
        <v>3</v>
      </c>
      <c r="P1803" s="1">
        <v>6</v>
      </c>
      <c r="R1803" s="1" t="s">
        <v>19</v>
      </c>
      <c r="S1803" s="1" t="s">
        <v>20</v>
      </c>
      <c r="T1803" s="1" t="s">
        <v>21</v>
      </c>
      <c r="U1803" s="1" t="s">
        <v>22</v>
      </c>
      <c r="V1803" s="1" t="s">
        <v>23</v>
      </c>
      <c r="W1803" s="1" t="s">
        <v>24</v>
      </c>
      <c r="X1803" s="1">
        <v>2703</v>
      </c>
      <c r="Y1803" s="1">
        <v>2729</v>
      </c>
      <c r="Z1803" s="1" t="s">
        <v>24</v>
      </c>
      <c r="AA1803" s="1" t="s">
        <v>24</v>
      </c>
      <c r="AB1803" s="1" t="s">
        <v>24</v>
      </c>
      <c r="AC1803" s="1" t="s">
        <v>24</v>
      </c>
      <c r="AD1803" s="1" t="s">
        <v>24</v>
      </c>
      <c r="AE1803" s="1" t="s">
        <v>24</v>
      </c>
      <c r="AF1803" s="22"/>
    </row>
    <row r="1804" spans="1:32" x14ac:dyDescent="0.2">
      <c r="A1804" s="1">
        <v>10573</v>
      </c>
      <c r="B1804" s="1" t="s">
        <v>5787</v>
      </c>
      <c r="C1804" s="5" t="s">
        <v>0</v>
      </c>
      <c r="D1804" s="1" t="s">
        <v>5788</v>
      </c>
      <c r="E1804" s="1" t="s">
        <v>5789</v>
      </c>
      <c r="F1804" s="1" t="s">
        <v>320</v>
      </c>
      <c r="G1804" s="1" t="s">
        <v>36</v>
      </c>
      <c r="H1804" s="1" t="s">
        <v>30</v>
      </c>
      <c r="I1804" s="1" t="s">
        <v>16</v>
      </c>
      <c r="J1804" s="1">
        <v>1</v>
      </c>
      <c r="K1804" s="1">
        <v>12</v>
      </c>
      <c r="L1804" s="1" t="s">
        <v>31</v>
      </c>
      <c r="M1804" s="1" t="s">
        <v>18</v>
      </c>
      <c r="N1804" s="1" t="s">
        <v>18</v>
      </c>
      <c r="O1804" s="1">
        <v>3</v>
      </c>
      <c r="P1804" s="1">
        <v>7</v>
      </c>
      <c r="Q1804" s="7" t="s">
        <v>17633</v>
      </c>
      <c r="R1804" s="1" t="s">
        <v>62</v>
      </c>
      <c r="S1804" s="1" t="s">
        <v>20</v>
      </c>
      <c r="T1804" s="1" t="s">
        <v>21</v>
      </c>
      <c r="U1804" s="1" t="s">
        <v>22</v>
      </c>
      <c r="V1804" s="1" t="s">
        <v>24</v>
      </c>
      <c r="W1804" s="1" t="s">
        <v>24</v>
      </c>
      <c r="X1804" s="1">
        <v>2805</v>
      </c>
      <c r="Y1804" s="1" t="s">
        <v>24</v>
      </c>
      <c r="Z1804" s="1" t="s">
        <v>24</v>
      </c>
      <c r="AA1804" s="1" t="s">
        <v>24</v>
      </c>
      <c r="AB1804" s="1" t="s">
        <v>24</v>
      </c>
      <c r="AC1804" s="1" t="s">
        <v>24</v>
      </c>
      <c r="AD1804" s="1" t="s">
        <v>24</v>
      </c>
      <c r="AE1804" s="1" t="s">
        <v>24</v>
      </c>
      <c r="AF1804" s="22"/>
    </row>
    <row r="1805" spans="1:32" x14ac:dyDescent="0.2">
      <c r="A1805" s="1">
        <v>10576</v>
      </c>
      <c r="B1805" s="1" t="s">
        <v>5790</v>
      </c>
      <c r="C1805" s="5" t="s">
        <v>0</v>
      </c>
      <c r="D1805" s="1" t="s">
        <v>5791</v>
      </c>
      <c r="E1805" s="1" t="s">
        <v>5792</v>
      </c>
      <c r="F1805" s="1" t="s">
        <v>109</v>
      </c>
      <c r="G1805" s="1" t="s">
        <v>110</v>
      </c>
      <c r="H1805" s="1" t="s">
        <v>111</v>
      </c>
      <c r="I1805" s="1" t="s">
        <v>16</v>
      </c>
      <c r="J1805" s="1">
        <v>2</v>
      </c>
      <c r="K1805" s="1">
        <v>4</v>
      </c>
      <c r="L1805" s="1" t="s">
        <v>31</v>
      </c>
      <c r="M1805" s="1" t="s">
        <v>18</v>
      </c>
      <c r="N1805" s="1" t="s">
        <v>18</v>
      </c>
      <c r="O1805" s="1">
        <v>3</v>
      </c>
      <c r="P1805" s="1">
        <v>7</v>
      </c>
      <c r="Q1805" s="7" t="s">
        <v>17633</v>
      </c>
      <c r="R1805" s="1" t="s">
        <v>19</v>
      </c>
      <c r="S1805" s="1" t="s">
        <v>20</v>
      </c>
      <c r="T1805" s="1" t="s">
        <v>21</v>
      </c>
      <c r="U1805" s="1" t="s">
        <v>22</v>
      </c>
      <c r="V1805" s="1" t="s">
        <v>24</v>
      </c>
      <c r="W1805" s="1" t="s">
        <v>24</v>
      </c>
      <c r="X1805" s="1">
        <v>2708</v>
      </c>
      <c r="Y1805" s="1" t="s">
        <v>24</v>
      </c>
      <c r="Z1805" s="1" t="s">
        <v>24</v>
      </c>
      <c r="AA1805" s="1" t="s">
        <v>24</v>
      </c>
      <c r="AB1805" s="1" t="s">
        <v>24</v>
      </c>
      <c r="AC1805" s="1" t="s">
        <v>24</v>
      </c>
      <c r="AD1805" s="1" t="s">
        <v>24</v>
      </c>
      <c r="AE1805" s="1" t="s">
        <v>24</v>
      </c>
      <c r="AF1805" s="22"/>
    </row>
    <row r="1806" spans="1:32" x14ac:dyDescent="0.2">
      <c r="A1806" s="1">
        <v>10579</v>
      </c>
      <c r="B1806" s="1" t="s">
        <v>5793</v>
      </c>
      <c r="C1806" s="5" t="s">
        <v>0</v>
      </c>
      <c r="D1806" s="1" t="s">
        <v>5794</v>
      </c>
      <c r="E1806" s="1" t="s">
        <v>5795</v>
      </c>
      <c r="F1806" s="1" t="s">
        <v>751</v>
      </c>
      <c r="G1806" s="1" t="s">
        <v>36</v>
      </c>
      <c r="H1806" s="1" t="s">
        <v>37</v>
      </c>
      <c r="I1806" s="1" t="s">
        <v>16</v>
      </c>
      <c r="J1806" s="1">
        <v>1</v>
      </c>
      <c r="K1806" s="1">
        <v>12</v>
      </c>
      <c r="L1806" s="1" t="s">
        <v>31</v>
      </c>
      <c r="M1806" s="1" t="s">
        <v>18</v>
      </c>
      <c r="N1806" s="1" t="s">
        <v>18</v>
      </c>
      <c r="O1806" s="1">
        <v>1</v>
      </c>
      <c r="P1806" s="1">
        <v>7</v>
      </c>
      <c r="Q1806" s="7" t="s">
        <v>17633</v>
      </c>
      <c r="R1806" s="1" t="s">
        <v>19</v>
      </c>
      <c r="S1806" s="1" t="s">
        <v>20</v>
      </c>
      <c r="T1806" s="1" t="s">
        <v>21</v>
      </c>
      <c r="U1806" s="1" t="s">
        <v>22</v>
      </c>
      <c r="V1806" s="1" t="s">
        <v>24</v>
      </c>
      <c r="W1806" s="1" t="s">
        <v>24</v>
      </c>
      <c r="X1806" s="1">
        <v>2736</v>
      </c>
      <c r="Y1806" s="1">
        <v>2713</v>
      </c>
      <c r="Z1806" s="1" t="s">
        <v>24</v>
      </c>
      <c r="AA1806" s="1" t="s">
        <v>24</v>
      </c>
      <c r="AB1806" s="1" t="s">
        <v>24</v>
      </c>
      <c r="AC1806" s="1" t="s">
        <v>24</v>
      </c>
      <c r="AD1806" s="1" t="s">
        <v>24</v>
      </c>
      <c r="AE1806" s="1" t="s">
        <v>24</v>
      </c>
      <c r="AF1806" s="22"/>
    </row>
    <row r="1807" spans="1:32" x14ac:dyDescent="0.2">
      <c r="A1807" s="1">
        <v>10580</v>
      </c>
      <c r="B1807" s="1" t="s">
        <v>5796</v>
      </c>
      <c r="C1807" s="5" t="s">
        <v>0</v>
      </c>
      <c r="D1807" s="1" t="s">
        <v>5797</v>
      </c>
      <c r="E1807" s="1" t="s">
        <v>5798</v>
      </c>
      <c r="F1807" s="1" t="s">
        <v>751</v>
      </c>
      <c r="G1807" s="1" t="s">
        <v>36</v>
      </c>
      <c r="H1807" s="1" t="s">
        <v>37</v>
      </c>
      <c r="I1807" s="1" t="s">
        <v>16</v>
      </c>
      <c r="J1807" s="1">
        <v>1</v>
      </c>
      <c r="K1807" s="1">
        <v>6</v>
      </c>
      <c r="L1807" s="1" t="s">
        <v>31</v>
      </c>
      <c r="M1807" s="1" t="s">
        <v>18</v>
      </c>
      <c r="N1807" s="1" t="s">
        <v>18</v>
      </c>
      <c r="O1807" s="1">
        <v>0</v>
      </c>
      <c r="P1807" s="1">
        <v>6</v>
      </c>
      <c r="R1807" s="1" t="s">
        <v>62</v>
      </c>
      <c r="S1807" s="1" t="s">
        <v>20</v>
      </c>
      <c r="T1807" s="1" t="s">
        <v>21</v>
      </c>
      <c r="U1807" s="1" t="s">
        <v>22</v>
      </c>
      <c r="V1807" s="1" t="s">
        <v>24</v>
      </c>
      <c r="W1807" s="1" t="s">
        <v>24</v>
      </c>
      <c r="X1807" s="1">
        <v>2406</v>
      </c>
      <c r="Y1807" s="1">
        <v>2725</v>
      </c>
      <c r="Z1807" s="1" t="s">
        <v>24</v>
      </c>
      <c r="AA1807" s="1" t="s">
        <v>24</v>
      </c>
      <c r="AB1807" s="1" t="s">
        <v>24</v>
      </c>
      <c r="AC1807" s="1" t="s">
        <v>24</v>
      </c>
      <c r="AD1807" s="1" t="s">
        <v>24</v>
      </c>
      <c r="AE1807" s="1" t="s">
        <v>24</v>
      </c>
      <c r="AF1807" s="22"/>
    </row>
    <row r="1808" spans="1:32" x14ac:dyDescent="0.2">
      <c r="A1808" s="1">
        <v>10581</v>
      </c>
      <c r="B1808" s="1" t="s">
        <v>5799</v>
      </c>
      <c r="C1808" s="5" t="s">
        <v>0</v>
      </c>
      <c r="D1808" s="1" t="s">
        <v>5800</v>
      </c>
      <c r="E1808" s="1" t="s">
        <v>5801</v>
      </c>
      <c r="F1808" s="1" t="s">
        <v>751</v>
      </c>
      <c r="G1808" s="1" t="s">
        <v>36</v>
      </c>
      <c r="H1808" s="1" t="s">
        <v>37</v>
      </c>
      <c r="I1808" s="1" t="s">
        <v>16</v>
      </c>
      <c r="J1808" s="1">
        <v>1</v>
      </c>
      <c r="K1808" s="1">
        <v>12</v>
      </c>
      <c r="L1808" s="1" t="s">
        <v>31</v>
      </c>
      <c r="M1808" s="1" t="s">
        <v>18</v>
      </c>
      <c r="N1808" s="1" t="s">
        <v>18</v>
      </c>
      <c r="O1808" s="1">
        <v>3</v>
      </c>
      <c r="P1808" s="1">
        <v>6</v>
      </c>
      <c r="R1808" s="1" t="s">
        <v>19</v>
      </c>
      <c r="S1808" s="1" t="s">
        <v>20</v>
      </c>
      <c r="T1808" s="1" t="s">
        <v>21</v>
      </c>
      <c r="U1808" s="1" t="s">
        <v>22</v>
      </c>
      <c r="V1808" s="1" t="s">
        <v>23</v>
      </c>
      <c r="W1808" s="1" t="s">
        <v>24</v>
      </c>
      <c r="X1808" s="1">
        <v>2730</v>
      </c>
      <c r="Y1808" s="1">
        <v>2738</v>
      </c>
      <c r="Z1808" s="1">
        <v>3205</v>
      </c>
      <c r="AA1808" s="1" t="s">
        <v>24</v>
      </c>
      <c r="AB1808" s="1" t="s">
        <v>24</v>
      </c>
      <c r="AC1808" s="1" t="s">
        <v>24</v>
      </c>
      <c r="AD1808" s="1" t="s">
        <v>24</v>
      </c>
      <c r="AE1808" s="1" t="s">
        <v>24</v>
      </c>
      <c r="AF1808" s="22"/>
    </row>
    <row r="1809" spans="1:32" x14ac:dyDescent="0.2">
      <c r="A1809" s="1">
        <v>10583</v>
      </c>
      <c r="B1809" s="1" t="s">
        <v>5802</v>
      </c>
      <c r="C1809" s="5" t="s">
        <v>0</v>
      </c>
      <c r="D1809" s="1" t="s">
        <v>5803</v>
      </c>
      <c r="E1809" s="1" t="s">
        <v>5804</v>
      </c>
      <c r="F1809" s="1" t="s">
        <v>35</v>
      </c>
      <c r="G1809" s="1" t="s">
        <v>36</v>
      </c>
      <c r="H1809" s="1" t="s">
        <v>37</v>
      </c>
      <c r="I1809" s="1" t="s">
        <v>16</v>
      </c>
      <c r="J1809" s="1">
        <v>1</v>
      </c>
      <c r="K1809" s="1">
        <v>4</v>
      </c>
      <c r="L1809" s="1" t="s">
        <v>31</v>
      </c>
      <c r="M1809" s="1" t="s">
        <v>18</v>
      </c>
      <c r="N1809" s="1" t="s">
        <v>18</v>
      </c>
      <c r="O1809" s="1">
        <v>3</v>
      </c>
      <c r="P1809" s="1">
        <v>7</v>
      </c>
      <c r="Q1809" s="7" t="s">
        <v>17633</v>
      </c>
      <c r="R1809" s="1" t="s">
        <v>62</v>
      </c>
      <c r="S1809" s="1" t="s">
        <v>20</v>
      </c>
      <c r="T1809" s="1" t="s">
        <v>21</v>
      </c>
      <c r="U1809" s="1" t="s">
        <v>22</v>
      </c>
      <c r="V1809" s="1" t="s">
        <v>24</v>
      </c>
      <c r="W1809" s="1" t="s">
        <v>24</v>
      </c>
      <c r="X1809" s="1">
        <v>2802</v>
      </c>
      <c r="Y1809" s="1">
        <v>2805</v>
      </c>
      <c r="Z1809" s="1">
        <v>2700</v>
      </c>
      <c r="AA1809" s="1" t="s">
        <v>24</v>
      </c>
      <c r="AB1809" s="1" t="s">
        <v>24</v>
      </c>
      <c r="AC1809" s="1" t="s">
        <v>24</v>
      </c>
      <c r="AD1809" s="1" t="s">
        <v>24</v>
      </c>
      <c r="AE1809" s="1" t="s">
        <v>24</v>
      </c>
      <c r="AF1809" s="22"/>
    </row>
    <row r="1810" spans="1:32" x14ac:dyDescent="0.2">
      <c r="A1810" s="1">
        <v>10585</v>
      </c>
      <c r="B1810" s="1" t="s">
        <v>5805</v>
      </c>
      <c r="C1810" s="5" t="s">
        <v>0</v>
      </c>
      <c r="D1810" s="1" t="s">
        <v>5806</v>
      </c>
      <c r="E1810" s="1" t="s">
        <v>5807</v>
      </c>
      <c r="F1810" s="1" t="s">
        <v>28</v>
      </c>
      <c r="G1810" s="1" t="s">
        <v>29</v>
      </c>
      <c r="H1810" s="1" t="s">
        <v>37</v>
      </c>
      <c r="I1810" s="1" t="s">
        <v>16</v>
      </c>
      <c r="J1810" s="1">
        <v>1</v>
      </c>
      <c r="K1810" s="1">
        <v>6</v>
      </c>
      <c r="L1810" s="1" t="s">
        <v>31</v>
      </c>
      <c r="M1810" s="1" t="s">
        <v>18</v>
      </c>
      <c r="N1810" s="1" t="s">
        <v>18</v>
      </c>
      <c r="O1810" s="1">
        <v>2</v>
      </c>
      <c r="P1810" s="1">
        <v>7</v>
      </c>
      <c r="Q1810" s="7" t="s">
        <v>17633</v>
      </c>
      <c r="R1810" s="1" t="s">
        <v>19</v>
      </c>
      <c r="S1810" s="1" t="s">
        <v>20</v>
      </c>
      <c r="T1810" s="1" t="s">
        <v>21</v>
      </c>
      <c r="U1810" s="1" t="s">
        <v>22</v>
      </c>
      <c r="V1810" s="1" t="s">
        <v>23</v>
      </c>
      <c r="W1810" s="1" t="s">
        <v>24</v>
      </c>
      <c r="X1810" s="1">
        <v>2703</v>
      </c>
      <c r="Y1810" s="1" t="s">
        <v>24</v>
      </c>
      <c r="Z1810" s="1" t="s">
        <v>24</v>
      </c>
      <c r="AA1810" s="1" t="s">
        <v>24</v>
      </c>
      <c r="AB1810" s="1" t="s">
        <v>24</v>
      </c>
      <c r="AC1810" s="1" t="s">
        <v>24</v>
      </c>
      <c r="AD1810" s="1" t="s">
        <v>24</v>
      </c>
      <c r="AE1810" s="1" t="s">
        <v>24</v>
      </c>
      <c r="AF1810" s="22"/>
    </row>
    <row r="1811" spans="1:32" x14ac:dyDescent="0.2">
      <c r="A1811" s="1">
        <v>10586</v>
      </c>
      <c r="B1811" s="1" t="s">
        <v>5808</v>
      </c>
      <c r="C1811" s="5" t="s">
        <v>0</v>
      </c>
      <c r="D1811" s="1" t="s">
        <v>5809</v>
      </c>
      <c r="E1811" s="1" t="s">
        <v>5810</v>
      </c>
      <c r="F1811" s="1" t="s">
        <v>155</v>
      </c>
      <c r="G1811" s="1" t="s">
        <v>61</v>
      </c>
      <c r="H1811" s="1" t="s">
        <v>37</v>
      </c>
      <c r="I1811" s="1" t="s">
        <v>16</v>
      </c>
      <c r="J1811" s="1">
        <v>1</v>
      </c>
      <c r="K1811" s="1">
        <v>4</v>
      </c>
      <c r="L1811" s="1" t="s">
        <v>31</v>
      </c>
      <c r="M1811" s="1" t="s">
        <v>18</v>
      </c>
      <c r="N1811" s="1" t="s">
        <v>18</v>
      </c>
      <c r="O1811" s="1">
        <v>3</v>
      </c>
      <c r="P1811" s="1">
        <v>7</v>
      </c>
      <c r="Q1811" s="7" t="s">
        <v>17633</v>
      </c>
      <c r="R1811" s="1" t="s">
        <v>19</v>
      </c>
      <c r="S1811" s="1" t="s">
        <v>20</v>
      </c>
      <c r="T1811" s="1" t="s">
        <v>21</v>
      </c>
      <c r="U1811" s="1" t="s">
        <v>22</v>
      </c>
      <c r="V1811" s="1" t="s">
        <v>24</v>
      </c>
      <c r="W1811" s="1" t="s">
        <v>24</v>
      </c>
      <c r="X1811" s="1">
        <v>2730</v>
      </c>
      <c r="Y1811" s="1">
        <v>2746</v>
      </c>
      <c r="Z1811" s="1" t="s">
        <v>24</v>
      </c>
      <c r="AA1811" s="1" t="s">
        <v>24</v>
      </c>
      <c r="AB1811" s="1" t="s">
        <v>24</v>
      </c>
      <c r="AC1811" s="1" t="s">
        <v>24</v>
      </c>
      <c r="AD1811" s="1" t="s">
        <v>24</v>
      </c>
      <c r="AE1811" s="1" t="s">
        <v>24</v>
      </c>
      <c r="AF1811" s="22"/>
    </row>
    <row r="1812" spans="1:32" x14ac:dyDescent="0.2">
      <c r="A1812" s="1">
        <v>10588</v>
      </c>
      <c r="B1812" s="1" t="s">
        <v>5811</v>
      </c>
      <c r="C1812" s="5" t="s">
        <v>0</v>
      </c>
      <c r="D1812" s="1" t="s">
        <v>5812</v>
      </c>
      <c r="E1812" s="1" t="s">
        <v>5813</v>
      </c>
      <c r="F1812" s="1" t="s">
        <v>303</v>
      </c>
      <c r="G1812" s="1" t="s">
        <v>61</v>
      </c>
      <c r="H1812" s="1" t="s">
        <v>30</v>
      </c>
      <c r="I1812" s="1" t="s">
        <v>16</v>
      </c>
      <c r="J1812" s="1">
        <v>1</v>
      </c>
      <c r="K1812" s="1">
        <v>4</v>
      </c>
      <c r="L1812" s="1" t="s">
        <v>31</v>
      </c>
      <c r="M1812" s="1" t="s">
        <v>18</v>
      </c>
      <c r="N1812" s="1" t="s">
        <v>18</v>
      </c>
      <c r="O1812" s="1">
        <v>3</v>
      </c>
      <c r="P1812" s="1">
        <v>7</v>
      </c>
      <c r="Q1812" s="7" t="s">
        <v>17633</v>
      </c>
      <c r="R1812" s="1" t="s">
        <v>62</v>
      </c>
      <c r="S1812" s="1" t="s">
        <v>20</v>
      </c>
      <c r="T1812" s="1" t="s">
        <v>21</v>
      </c>
      <c r="U1812" s="1" t="s">
        <v>22</v>
      </c>
      <c r="V1812" s="1" t="s">
        <v>23</v>
      </c>
      <c r="W1812" s="1" t="s">
        <v>24</v>
      </c>
      <c r="X1812" s="1">
        <v>2730</v>
      </c>
      <c r="Y1812" s="1">
        <v>2741</v>
      </c>
      <c r="Z1812" s="1">
        <v>1306</v>
      </c>
      <c r="AA1812" s="1" t="s">
        <v>24</v>
      </c>
      <c r="AB1812" s="1" t="s">
        <v>24</v>
      </c>
      <c r="AC1812" s="1" t="s">
        <v>24</v>
      </c>
      <c r="AD1812" s="1" t="s">
        <v>24</v>
      </c>
      <c r="AE1812" s="1" t="s">
        <v>24</v>
      </c>
      <c r="AF1812" s="22"/>
    </row>
    <row r="1813" spans="1:32" x14ac:dyDescent="0.2">
      <c r="A1813" s="1">
        <v>10593</v>
      </c>
      <c r="B1813" s="1" t="s">
        <v>5814</v>
      </c>
      <c r="C1813" s="5" t="s">
        <v>0</v>
      </c>
      <c r="D1813" s="1" t="s">
        <v>5815</v>
      </c>
      <c r="E1813" s="1" t="s">
        <v>5816</v>
      </c>
      <c r="F1813" s="1" t="s">
        <v>5766</v>
      </c>
      <c r="G1813" s="1" t="s">
        <v>5766</v>
      </c>
      <c r="H1813" s="1" t="s">
        <v>30</v>
      </c>
      <c r="I1813" s="1" t="s">
        <v>16</v>
      </c>
      <c r="J1813" s="1">
        <v>1</v>
      </c>
      <c r="K1813" s="1">
        <v>12</v>
      </c>
      <c r="L1813" s="1" t="s">
        <v>42</v>
      </c>
      <c r="M1813" s="1" t="s">
        <v>18</v>
      </c>
      <c r="N1813" s="1" t="s">
        <v>18</v>
      </c>
      <c r="O1813" s="1">
        <v>3</v>
      </c>
      <c r="P1813" s="1">
        <v>7</v>
      </c>
      <c r="Q1813" s="7" t="s">
        <v>17633</v>
      </c>
      <c r="R1813" s="1" t="s">
        <v>19</v>
      </c>
      <c r="S1813" s="1" t="s">
        <v>20</v>
      </c>
      <c r="T1813" s="1" t="s">
        <v>21</v>
      </c>
      <c r="U1813" s="1" t="s">
        <v>22</v>
      </c>
      <c r="V1813" s="1" t="s">
        <v>24</v>
      </c>
      <c r="W1813" s="1" t="s">
        <v>24</v>
      </c>
      <c r="X1813" s="1">
        <v>1306</v>
      </c>
      <c r="Y1813" s="1">
        <v>2730</v>
      </c>
      <c r="Z1813" s="1" t="s">
        <v>24</v>
      </c>
      <c r="AA1813" s="1" t="s">
        <v>24</v>
      </c>
      <c r="AB1813" s="1" t="s">
        <v>24</v>
      </c>
      <c r="AC1813" s="1" t="s">
        <v>24</v>
      </c>
      <c r="AD1813" s="1" t="s">
        <v>24</v>
      </c>
      <c r="AE1813" s="1" t="s">
        <v>24</v>
      </c>
      <c r="AF1813" s="22"/>
    </row>
    <row r="1814" spans="1:32" x14ac:dyDescent="0.2">
      <c r="A1814" s="1">
        <v>10597</v>
      </c>
      <c r="B1814" s="1" t="s">
        <v>5817</v>
      </c>
      <c r="C1814" s="5" t="s">
        <v>0</v>
      </c>
      <c r="D1814" s="1" t="s">
        <v>5818</v>
      </c>
      <c r="E1814" s="1" t="s">
        <v>5819</v>
      </c>
      <c r="F1814" s="1" t="s">
        <v>493</v>
      </c>
      <c r="G1814" s="1" t="s">
        <v>98</v>
      </c>
      <c r="H1814" s="1" t="s">
        <v>30</v>
      </c>
      <c r="I1814" s="1" t="s">
        <v>16</v>
      </c>
      <c r="J1814" s="1">
        <v>1</v>
      </c>
      <c r="K1814" s="1">
        <v>12</v>
      </c>
      <c r="L1814" s="1" t="s">
        <v>31</v>
      </c>
      <c r="M1814" s="1" t="s">
        <v>18</v>
      </c>
      <c r="N1814" s="1" t="s">
        <v>18</v>
      </c>
      <c r="O1814" s="1">
        <v>3</v>
      </c>
      <c r="P1814" s="1">
        <v>7</v>
      </c>
      <c r="Q1814" s="7" t="s">
        <v>17633</v>
      </c>
      <c r="R1814" s="1" t="s">
        <v>19</v>
      </c>
      <c r="S1814" s="1" t="s">
        <v>20</v>
      </c>
      <c r="T1814" s="1" t="s">
        <v>21</v>
      </c>
      <c r="U1814" s="1" t="s">
        <v>22</v>
      </c>
      <c r="V1814" s="1" t="s">
        <v>23</v>
      </c>
      <c r="W1814" s="1" t="s">
        <v>24</v>
      </c>
      <c r="X1814" s="1">
        <v>2736</v>
      </c>
      <c r="Y1814" s="1" t="s">
        <v>24</v>
      </c>
      <c r="Z1814" s="1" t="s">
        <v>24</v>
      </c>
      <c r="AA1814" s="1" t="s">
        <v>24</v>
      </c>
      <c r="AB1814" s="1" t="s">
        <v>24</v>
      </c>
      <c r="AC1814" s="1" t="s">
        <v>24</v>
      </c>
      <c r="AD1814" s="1" t="s">
        <v>24</v>
      </c>
      <c r="AE1814" s="1" t="s">
        <v>24</v>
      </c>
      <c r="AF1814" s="22"/>
    </row>
    <row r="1815" spans="1:32" x14ac:dyDescent="0.2">
      <c r="A1815" s="1">
        <v>10599</v>
      </c>
      <c r="B1815" s="1" t="s">
        <v>5820</v>
      </c>
      <c r="C1815" s="5" t="s">
        <v>0</v>
      </c>
      <c r="D1815" s="1" t="s">
        <v>5821</v>
      </c>
      <c r="E1815" s="1" t="s">
        <v>5822</v>
      </c>
      <c r="F1815" s="1" t="s">
        <v>751</v>
      </c>
      <c r="G1815" s="1" t="s">
        <v>36</v>
      </c>
      <c r="H1815" s="1" t="s">
        <v>37</v>
      </c>
      <c r="I1815" s="1" t="s">
        <v>16</v>
      </c>
      <c r="J1815" s="1">
        <v>1</v>
      </c>
      <c r="K1815" s="1">
        <v>4</v>
      </c>
      <c r="L1815" s="1" t="s">
        <v>31</v>
      </c>
      <c r="M1815" s="1" t="s">
        <v>18</v>
      </c>
      <c r="N1815" s="1" t="s">
        <v>18</v>
      </c>
      <c r="O1815" s="1">
        <v>3</v>
      </c>
      <c r="P1815" s="1">
        <v>6</v>
      </c>
      <c r="R1815" s="1" t="s">
        <v>19</v>
      </c>
      <c r="S1815" s="1" t="s">
        <v>20</v>
      </c>
      <c r="T1815" s="1" t="s">
        <v>21</v>
      </c>
      <c r="U1815" s="1" t="s">
        <v>22</v>
      </c>
      <c r="V1815" s="1" t="s">
        <v>23</v>
      </c>
      <c r="W1815" s="1" t="s">
        <v>24</v>
      </c>
      <c r="X1815" s="1">
        <v>2738</v>
      </c>
      <c r="Y1815" s="1">
        <v>2734</v>
      </c>
      <c r="Z1815" s="1">
        <v>3201</v>
      </c>
      <c r="AA1815" s="1" t="s">
        <v>24</v>
      </c>
      <c r="AB1815" s="1" t="s">
        <v>24</v>
      </c>
      <c r="AC1815" s="1" t="s">
        <v>24</v>
      </c>
      <c r="AD1815" s="1" t="s">
        <v>24</v>
      </c>
      <c r="AE1815" s="1" t="s">
        <v>24</v>
      </c>
      <c r="AF1815" s="22"/>
    </row>
    <row r="1816" spans="1:32" x14ac:dyDescent="0.2">
      <c r="A1816" s="1">
        <v>10600</v>
      </c>
      <c r="B1816" s="1" t="s">
        <v>5823</v>
      </c>
      <c r="C1816" s="5" t="s">
        <v>0</v>
      </c>
      <c r="D1816" s="1" t="s">
        <v>5824</v>
      </c>
      <c r="E1816" s="1" t="s">
        <v>5825</v>
      </c>
      <c r="F1816" s="1" t="s">
        <v>291</v>
      </c>
      <c r="G1816" s="1" t="s">
        <v>292</v>
      </c>
      <c r="H1816" s="1" t="s">
        <v>30</v>
      </c>
      <c r="I1816" s="1" t="s">
        <v>16</v>
      </c>
      <c r="J1816" s="1">
        <v>1</v>
      </c>
      <c r="K1816" s="1">
        <v>4</v>
      </c>
      <c r="L1816" s="1" t="s">
        <v>31</v>
      </c>
      <c r="M1816" s="1" t="s">
        <v>18</v>
      </c>
      <c r="N1816" s="1" t="s">
        <v>18</v>
      </c>
      <c r="O1816" s="1">
        <v>3</v>
      </c>
      <c r="P1816" s="1">
        <v>5</v>
      </c>
      <c r="R1816" s="1" t="s">
        <v>19</v>
      </c>
      <c r="S1816" s="1" t="s">
        <v>20</v>
      </c>
      <c r="T1816" s="1" t="s">
        <v>21</v>
      </c>
      <c r="U1816" s="1" t="s">
        <v>22</v>
      </c>
      <c r="V1816" s="1" t="s">
        <v>24</v>
      </c>
      <c r="W1816" s="1" t="s">
        <v>24</v>
      </c>
      <c r="X1816" s="1">
        <v>3003</v>
      </c>
      <c r="Y1816" s="1">
        <v>3004</v>
      </c>
      <c r="Z1816" s="1">
        <v>2736</v>
      </c>
      <c r="AA1816" s="1" t="s">
        <v>24</v>
      </c>
      <c r="AB1816" s="1" t="s">
        <v>24</v>
      </c>
      <c r="AC1816" s="1" t="s">
        <v>24</v>
      </c>
      <c r="AD1816" s="1" t="s">
        <v>24</v>
      </c>
      <c r="AE1816" s="1" t="s">
        <v>24</v>
      </c>
      <c r="AF1816" s="22"/>
    </row>
    <row r="1817" spans="1:32" x14ac:dyDescent="0.2">
      <c r="A1817" s="1">
        <v>10601</v>
      </c>
      <c r="B1817" s="1" t="s">
        <v>5826</v>
      </c>
      <c r="C1817" s="5" t="s">
        <v>0</v>
      </c>
      <c r="D1817" s="1" t="s">
        <v>5827</v>
      </c>
      <c r="F1817" s="1" t="s">
        <v>5828</v>
      </c>
      <c r="G1817" s="1" t="s">
        <v>5622</v>
      </c>
      <c r="H1817" s="1" t="s">
        <v>428</v>
      </c>
      <c r="I1817" s="1" t="s">
        <v>16</v>
      </c>
      <c r="J1817" s="1">
        <v>1</v>
      </c>
      <c r="K1817" s="1">
        <v>4</v>
      </c>
      <c r="L1817" s="1" t="s">
        <v>42</v>
      </c>
      <c r="M1817" s="1" t="s">
        <v>2835</v>
      </c>
      <c r="N1817" s="1" t="s">
        <v>2835</v>
      </c>
      <c r="O1817" s="1">
        <v>3</v>
      </c>
      <c r="P1817" s="1">
        <v>4</v>
      </c>
      <c r="R1817" s="1" t="s">
        <v>19</v>
      </c>
      <c r="S1817" s="1" t="s">
        <v>20</v>
      </c>
      <c r="T1817" s="1" t="s">
        <v>21</v>
      </c>
      <c r="U1817" s="1" t="s">
        <v>22</v>
      </c>
      <c r="V1817" s="1" t="s">
        <v>24</v>
      </c>
      <c r="W1817" s="1" t="s">
        <v>24</v>
      </c>
      <c r="X1817" s="1">
        <v>2729</v>
      </c>
      <c r="Y1817" s="1">
        <v>2735</v>
      </c>
      <c r="Z1817" s="1" t="s">
        <v>24</v>
      </c>
      <c r="AA1817" s="1" t="s">
        <v>24</v>
      </c>
      <c r="AB1817" s="1" t="s">
        <v>24</v>
      </c>
      <c r="AC1817" s="1" t="s">
        <v>24</v>
      </c>
      <c r="AD1817" s="1" t="s">
        <v>24</v>
      </c>
      <c r="AE1817" s="1" t="s">
        <v>24</v>
      </c>
      <c r="AF1817" s="22"/>
    </row>
    <row r="1818" spans="1:32" x14ac:dyDescent="0.2">
      <c r="A1818" s="1">
        <v>10603</v>
      </c>
      <c r="B1818" s="1" t="s">
        <v>5829</v>
      </c>
      <c r="C1818" s="5" t="s">
        <v>0</v>
      </c>
      <c r="D1818" s="1" t="s">
        <v>5830</v>
      </c>
      <c r="E1818" s="1" t="s">
        <v>5831</v>
      </c>
      <c r="F1818" s="1" t="s">
        <v>5832</v>
      </c>
      <c r="G1818" s="1" t="s">
        <v>5833</v>
      </c>
      <c r="H1818" s="1" t="s">
        <v>30</v>
      </c>
      <c r="I1818" s="1" t="s">
        <v>16</v>
      </c>
      <c r="J1818" s="1">
        <v>1</v>
      </c>
      <c r="K1818" s="1">
        <v>6</v>
      </c>
      <c r="L1818" s="1" t="s">
        <v>42</v>
      </c>
      <c r="M1818" s="1" t="s">
        <v>18</v>
      </c>
      <c r="N1818" s="1" t="s">
        <v>18</v>
      </c>
      <c r="O1818" s="1">
        <v>3</v>
      </c>
      <c r="P1818" s="1">
        <v>7</v>
      </c>
      <c r="Q1818" s="7" t="s">
        <v>17633</v>
      </c>
      <c r="R1818" s="1" t="s">
        <v>19</v>
      </c>
      <c r="S1818" s="1" t="s">
        <v>20</v>
      </c>
      <c r="T1818" s="1" t="s">
        <v>21</v>
      </c>
      <c r="U1818" s="1" t="s">
        <v>22</v>
      </c>
      <c r="V1818" s="1" t="s">
        <v>24</v>
      </c>
      <c r="W1818" s="1" t="s">
        <v>24</v>
      </c>
      <c r="X1818" s="1">
        <v>2304</v>
      </c>
      <c r="Y1818" s="1">
        <v>2312</v>
      </c>
      <c r="Z1818" s="1" t="s">
        <v>24</v>
      </c>
      <c r="AA1818" s="1" t="s">
        <v>24</v>
      </c>
      <c r="AB1818" s="1" t="s">
        <v>24</v>
      </c>
      <c r="AC1818" s="1" t="s">
        <v>24</v>
      </c>
      <c r="AD1818" s="1" t="s">
        <v>24</v>
      </c>
      <c r="AE1818" s="1" t="s">
        <v>24</v>
      </c>
      <c r="AF1818" s="22"/>
    </row>
    <row r="1819" spans="1:32" x14ac:dyDescent="0.2">
      <c r="A1819" s="1">
        <v>10605</v>
      </c>
      <c r="B1819" s="1" t="s">
        <v>5834</v>
      </c>
      <c r="C1819" s="5" t="s">
        <v>0</v>
      </c>
      <c r="D1819" s="1" t="s">
        <v>5835</v>
      </c>
      <c r="E1819" s="1" t="s">
        <v>5836</v>
      </c>
      <c r="F1819" s="1" t="s">
        <v>55</v>
      </c>
      <c r="G1819" s="1" t="s">
        <v>56</v>
      </c>
      <c r="H1819" s="1" t="s">
        <v>37</v>
      </c>
      <c r="I1819" s="1" t="s">
        <v>16</v>
      </c>
      <c r="J1819" s="1">
        <v>1</v>
      </c>
      <c r="K1819" s="1">
        <v>12</v>
      </c>
      <c r="L1819" s="1" t="s">
        <v>31</v>
      </c>
      <c r="M1819" s="1" t="s">
        <v>18</v>
      </c>
      <c r="N1819" s="1" t="s">
        <v>18</v>
      </c>
      <c r="O1819" s="1">
        <v>3</v>
      </c>
      <c r="P1819" s="1">
        <v>7</v>
      </c>
      <c r="Q1819" s="7" t="s">
        <v>17633</v>
      </c>
      <c r="R1819" s="1" t="s">
        <v>62</v>
      </c>
      <c r="S1819" s="1" t="s">
        <v>20</v>
      </c>
      <c r="T1819" s="1" t="s">
        <v>21</v>
      </c>
      <c r="U1819" s="1" t="s">
        <v>22</v>
      </c>
      <c r="V1819" s="1" t="s">
        <v>24</v>
      </c>
      <c r="W1819" s="1" t="s">
        <v>24</v>
      </c>
      <c r="X1819" s="1">
        <v>2805</v>
      </c>
      <c r="Y1819" s="1">
        <v>2804</v>
      </c>
      <c r="Z1819" s="1" t="s">
        <v>24</v>
      </c>
      <c r="AA1819" s="1" t="s">
        <v>24</v>
      </c>
      <c r="AB1819" s="1" t="s">
        <v>24</v>
      </c>
      <c r="AC1819" s="1" t="s">
        <v>24</v>
      </c>
      <c r="AD1819" s="1" t="s">
        <v>24</v>
      </c>
      <c r="AE1819" s="1" t="s">
        <v>24</v>
      </c>
      <c r="AF1819" s="22"/>
    </row>
    <row r="1820" spans="1:32" x14ac:dyDescent="0.2">
      <c r="A1820" s="1">
        <v>10610</v>
      </c>
      <c r="B1820" s="1" t="s">
        <v>5837</v>
      </c>
      <c r="C1820" s="5" t="s">
        <v>0</v>
      </c>
      <c r="D1820" s="1" t="s">
        <v>5838</v>
      </c>
      <c r="E1820" s="1" t="s">
        <v>5839</v>
      </c>
      <c r="F1820" s="1" t="s">
        <v>91</v>
      </c>
      <c r="G1820" s="1" t="s">
        <v>61</v>
      </c>
      <c r="H1820" s="1" t="s">
        <v>92</v>
      </c>
      <c r="I1820" s="1" t="s">
        <v>16</v>
      </c>
      <c r="J1820" s="1">
        <v>1</v>
      </c>
      <c r="K1820" s="1">
        <v>12</v>
      </c>
      <c r="L1820" s="1" t="s">
        <v>31</v>
      </c>
      <c r="M1820" s="1" t="s">
        <v>18</v>
      </c>
      <c r="N1820" s="1" t="s">
        <v>18</v>
      </c>
      <c r="O1820" s="1">
        <v>3</v>
      </c>
      <c r="P1820" s="1">
        <v>7</v>
      </c>
      <c r="Q1820" s="7" t="s">
        <v>17633</v>
      </c>
      <c r="R1820" s="1" t="s">
        <v>62</v>
      </c>
      <c r="S1820" s="1" t="s">
        <v>20</v>
      </c>
      <c r="T1820" s="1" t="s">
        <v>21</v>
      </c>
      <c r="U1820" s="1" t="s">
        <v>22</v>
      </c>
      <c r="V1820" s="1" t="s">
        <v>24</v>
      </c>
      <c r="W1820" s="1" t="s">
        <v>24</v>
      </c>
      <c r="X1820" s="1">
        <v>2728</v>
      </c>
      <c r="Y1820" s="1">
        <v>2738</v>
      </c>
      <c r="Z1820" s="1">
        <v>2736</v>
      </c>
      <c r="AA1820" s="1">
        <v>2803</v>
      </c>
      <c r="AB1820" s="1">
        <v>2808</v>
      </c>
      <c r="AC1820" s="1">
        <v>3004</v>
      </c>
      <c r="AD1820" s="1" t="s">
        <v>24</v>
      </c>
      <c r="AE1820" s="1" t="s">
        <v>24</v>
      </c>
      <c r="AF1820" s="22"/>
    </row>
    <row r="1821" spans="1:32" x14ac:dyDescent="0.2">
      <c r="A1821" s="1">
        <v>10611</v>
      </c>
      <c r="B1821" s="1" t="s">
        <v>5840</v>
      </c>
      <c r="C1821" s="5" t="s">
        <v>0</v>
      </c>
      <c r="D1821" s="1" t="s">
        <v>5841</v>
      </c>
      <c r="E1821" s="1" t="s">
        <v>5842</v>
      </c>
      <c r="F1821" s="1" t="s">
        <v>517</v>
      </c>
      <c r="G1821" s="1" t="s">
        <v>36</v>
      </c>
      <c r="H1821" s="1" t="s">
        <v>30</v>
      </c>
      <c r="I1821" s="1" t="s">
        <v>16</v>
      </c>
      <c r="J1821" s="1">
        <v>1</v>
      </c>
      <c r="K1821" s="1">
        <v>12</v>
      </c>
      <c r="L1821" s="1" t="s">
        <v>31</v>
      </c>
      <c r="M1821" s="1" t="s">
        <v>18</v>
      </c>
      <c r="N1821" s="1" t="s">
        <v>18</v>
      </c>
      <c r="O1821" s="1">
        <v>3</v>
      </c>
      <c r="P1821" s="1">
        <v>6</v>
      </c>
      <c r="R1821" s="1" t="s">
        <v>62</v>
      </c>
      <c r="S1821" s="1" t="s">
        <v>20</v>
      </c>
      <c r="T1821" s="1" t="s">
        <v>21</v>
      </c>
      <c r="U1821" s="1" t="s">
        <v>22</v>
      </c>
      <c r="V1821" s="1" t="s">
        <v>24</v>
      </c>
      <c r="W1821" s="1" t="s">
        <v>24</v>
      </c>
      <c r="X1821" s="1">
        <v>1300</v>
      </c>
      <c r="Y1821" s="1" t="s">
        <v>24</v>
      </c>
      <c r="Z1821" s="1" t="s">
        <v>24</v>
      </c>
      <c r="AA1821" s="1" t="s">
        <v>24</v>
      </c>
      <c r="AB1821" s="1" t="s">
        <v>24</v>
      </c>
      <c r="AC1821" s="1" t="s">
        <v>24</v>
      </c>
      <c r="AD1821" s="1" t="s">
        <v>24</v>
      </c>
      <c r="AE1821" s="1" t="s">
        <v>24</v>
      </c>
      <c r="AF1821" s="22"/>
    </row>
    <row r="1822" spans="1:32" x14ac:dyDescent="0.2">
      <c r="A1822" s="1">
        <v>10613</v>
      </c>
      <c r="B1822" s="1" t="s">
        <v>5843</v>
      </c>
      <c r="C1822" s="5" t="s">
        <v>0</v>
      </c>
      <c r="D1822" s="1" t="s">
        <v>5844</v>
      </c>
      <c r="F1822" s="1" t="s">
        <v>5845</v>
      </c>
      <c r="G1822" s="1" t="s">
        <v>5845</v>
      </c>
      <c r="H1822" s="1" t="s">
        <v>37</v>
      </c>
      <c r="I1822" s="1" t="s">
        <v>16</v>
      </c>
      <c r="J1822" s="1">
        <v>1</v>
      </c>
      <c r="K1822" s="1">
        <v>5</v>
      </c>
      <c r="L1822" s="1" t="s">
        <v>42</v>
      </c>
      <c r="M1822" s="1" t="s">
        <v>18</v>
      </c>
      <c r="N1822" s="1" t="s">
        <v>18</v>
      </c>
      <c r="O1822" s="1">
        <v>3</v>
      </c>
      <c r="P1822" s="1">
        <v>6</v>
      </c>
      <c r="R1822" s="1" t="s">
        <v>19</v>
      </c>
      <c r="S1822" s="1" t="s">
        <v>20</v>
      </c>
      <c r="T1822" s="1" t="s">
        <v>21</v>
      </c>
      <c r="U1822" s="1" t="s">
        <v>22</v>
      </c>
      <c r="V1822" s="1" t="s">
        <v>23</v>
      </c>
      <c r="W1822" s="1" t="s">
        <v>24</v>
      </c>
      <c r="X1822" s="1">
        <v>2705</v>
      </c>
      <c r="Y1822" s="1" t="s">
        <v>24</v>
      </c>
      <c r="Z1822" s="1" t="s">
        <v>24</v>
      </c>
      <c r="AA1822" s="1" t="s">
        <v>24</v>
      </c>
      <c r="AB1822" s="1" t="s">
        <v>24</v>
      </c>
      <c r="AC1822" s="1" t="s">
        <v>24</v>
      </c>
      <c r="AD1822" s="1" t="s">
        <v>24</v>
      </c>
      <c r="AE1822" s="1" t="s">
        <v>24</v>
      </c>
      <c r="AF1822" s="22"/>
    </row>
    <row r="1823" spans="1:32" x14ac:dyDescent="0.2">
      <c r="A1823" s="1">
        <v>10614</v>
      </c>
      <c r="B1823" s="1" t="s">
        <v>5846</v>
      </c>
      <c r="C1823" s="5" t="s">
        <v>0</v>
      </c>
      <c r="D1823" s="1" t="s">
        <v>5847</v>
      </c>
      <c r="E1823" s="1" t="s">
        <v>5848</v>
      </c>
      <c r="F1823" s="1" t="s">
        <v>272</v>
      </c>
      <c r="G1823" s="1" t="s">
        <v>61</v>
      </c>
      <c r="H1823" s="1" t="s">
        <v>30</v>
      </c>
      <c r="I1823" s="1" t="s">
        <v>16</v>
      </c>
      <c r="J1823" s="1">
        <v>2</v>
      </c>
      <c r="K1823" s="1">
        <v>3</v>
      </c>
      <c r="L1823" s="1" t="s">
        <v>31</v>
      </c>
      <c r="M1823" s="1" t="s">
        <v>18</v>
      </c>
      <c r="N1823" s="1" t="s">
        <v>18</v>
      </c>
      <c r="O1823" s="1">
        <v>3</v>
      </c>
      <c r="P1823" s="1">
        <v>6</v>
      </c>
      <c r="R1823" s="1" t="s">
        <v>19</v>
      </c>
      <c r="S1823" s="1" t="s">
        <v>63</v>
      </c>
      <c r="T1823" s="1" t="s">
        <v>21</v>
      </c>
      <c r="U1823" s="1" t="s">
        <v>22</v>
      </c>
      <c r="V1823" s="1" t="s">
        <v>24</v>
      </c>
      <c r="W1823" s="1" t="s">
        <v>24</v>
      </c>
      <c r="X1823" s="1">
        <v>3004</v>
      </c>
      <c r="Y1823" s="1">
        <v>3005</v>
      </c>
      <c r="Z1823" s="1" t="s">
        <v>24</v>
      </c>
      <c r="AA1823" s="1" t="s">
        <v>24</v>
      </c>
      <c r="AB1823" s="1" t="s">
        <v>24</v>
      </c>
      <c r="AC1823" s="1" t="s">
        <v>24</v>
      </c>
      <c r="AD1823" s="1" t="s">
        <v>24</v>
      </c>
      <c r="AE1823" s="1" t="s">
        <v>24</v>
      </c>
      <c r="AF1823" s="22"/>
    </row>
    <row r="1824" spans="1:32" x14ac:dyDescent="0.2">
      <c r="A1824" s="1">
        <v>10616</v>
      </c>
      <c r="B1824" s="1" t="s">
        <v>5849</v>
      </c>
      <c r="C1824" s="5" t="s">
        <v>0</v>
      </c>
      <c r="D1824" s="1" t="s">
        <v>5850</v>
      </c>
      <c r="F1824" s="1" t="s">
        <v>5851</v>
      </c>
      <c r="G1824" s="1" t="s">
        <v>5849</v>
      </c>
      <c r="H1824" s="1" t="s">
        <v>4080</v>
      </c>
      <c r="I1824" s="1" t="s">
        <v>16</v>
      </c>
      <c r="J1824" s="1">
        <v>1</v>
      </c>
      <c r="K1824" s="1">
        <v>4</v>
      </c>
      <c r="L1824" s="1" t="s">
        <v>17</v>
      </c>
      <c r="M1824" s="1" t="s">
        <v>4081</v>
      </c>
      <c r="N1824" s="1" t="s">
        <v>18</v>
      </c>
      <c r="O1824" s="1">
        <v>1</v>
      </c>
      <c r="P1824" s="1">
        <v>5</v>
      </c>
      <c r="R1824" s="1" t="s">
        <v>19</v>
      </c>
      <c r="S1824" s="1" t="s">
        <v>20</v>
      </c>
      <c r="T1824" s="1" t="s">
        <v>21</v>
      </c>
      <c r="U1824" s="1" t="s">
        <v>22</v>
      </c>
      <c r="V1824" s="1" t="s">
        <v>24</v>
      </c>
      <c r="W1824" s="1" t="s">
        <v>24</v>
      </c>
      <c r="X1824" s="1">
        <v>2715</v>
      </c>
      <c r="Y1824" s="1">
        <v>2721</v>
      </c>
      <c r="Z1824" s="1" t="s">
        <v>24</v>
      </c>
      <c r="AA1824" s="1" t="s">
        <v>24</v>
      </c>
      <c r="AB1824" s="1" t="s">
        <v>24</v>
      </c>
      <c r="AC1824" s="1" t="s">
        <v>24</v>
      </c>
      <c r="AD1824" s="1" t="s">
        <v>24</v>
      </c>
      <c r="AE1824" s="1" t="s">
        <v>24</v>
      </c>
      <c r="AF1824" s="22"/>
    </row>
    <row r="1825" spans="1:32" x14ac:dyDescent="0.2">
      <c r="A1825" s="1">
        <v>10617</v>
      </c>
      <c r="B1825" s="1" t="s">
        <v>5852</v>
      </c>
      <c r="C1825" s="5" t="s">
        <v>0</v>
      </c>
      <c r="D1825" s="1" t="s">
        <v>5853</v>
      </c>
      <c r="E1825" s="1" t="s">
        <v>5854</v>
      </c>
      <c r="F1825" s="1" t="s">
        <v>190</v>
      </c>
      <c r="G1825" s="1" t="s">
        <v>130</v>
      </c>
      <c r="H1825" s="1" t="s">
        <v>30</v>
      </c>
      <c r="I1825" s="1" t="s">
        <v>16</v>
      </c>
      <c r="J1825" s="1">
        <v>1</v>
      </c>
      <c r="K1825" s="1">
        <v>12</v>
      </c>
      <c r="L1825" s="1" t="s">
        <v>31</v>
      </c>
      <c r="M1825" s="1" t="s">
        <v>18</v>
      </c>
      <c r="N1825" s="1" t="s">
        <v>18</v>
      </c>
      <c r="O1825" s="1">
        <v>3</v>
      </c>
      <c r="P1825" s="1">
        <v>7</v>
      </c>
      <c r="Q1825" s="7" t="s">
        <v>17633</v>
      </c>
      <c r="R1825" s="1" t="s">
        <v>19</v>
      </c>
      <c r="S1825" s="1" t="s">
        <v>20</v>
      </c>
      <c r="T1825" s="1" t="s">
        <v>21</v>
      </c>
      <c r="U1825" s="1" t="s">
        <v>22</v>
      </c>
      <c r="V1825" s="1" t="s">
        <v>23</v>
      </c>
      <c r="W1825" s="1" t="s">
        <v>24</v>
      </c>
      <c r="X1825" s="1">
        <v>2729</v>
      </c>
      <c r="Y1825" s="1">
        <v>2743</v>
      </c>
      <c r="Z1825" s="1">
        <v>1309</v>
      </c>
      <c r="AA1825" s="1">
        <v>1311</v>
      </c>
      <c r="AB1825" s="1">
        <v>2716</v>
      </c>
      <c r="AC1825" s="1" t="s">
        <v>24</v>
      </c>
      <c r="AD1825" s="1" t="s">
        <v>24</v>
      </c>
      <c r="AE1825" s="1" t="s">
        <v>24</v>
      </c>
      <c r="AF1825" s="22"/>
    </row>
    <row r="1826" spans="1:32" x14ac:dyDescent="0.2">
      <c r="A1826" s="1">
        <v>10618</v>
      </c>
      <c r="B1826" s="1" t="s">
        <v>5855</v>
      </c>
      <c r="C1826" s="5" t="s">
        <v>0</v>
      </c>
      <c r="D1826" s="1" t="s">
        <v>5856</v>
      </c>
      <c r="E1826" s="1" t="s">
        <v>5857</v>
      </c>
      <c r="F1826" s="1" t="s">
        <v>291</v>
      </c>
      <c r="G1826" s="1" t="s">
        <v>292</v>
      </c>
      <c r="H1826" s="1" t="s">
        <v>37</v>
      </c>
      <c r="I1826" s="1" t="s">
        <v>16</v>
      </c>
      <c r="J1826" s="1">
        <v>1</v>
      </c>
      <c r="K1826" s="1">
        <v>6</v>
      </c>
      <c r="L1826" s="1" t="s">
        <v>31</v>
      </c>
      <c r="M1826" s="1" t="s">
        <v>18</v>
      </c>
      <c r="N1826" s="1" t="s">
        <v>18</v>
      </c>
      <c r="O1826" s="1">
        <v>3</v>
      </c>
      <c r="P1826" s="1">
        <v>6</v>
      </c>
      <c r="R1826" s="1" t="s">
        <v>19</v>
      </c>
      <c r="S1826" s="1" t="s">
        <v>20</v>
      </c>
      <c r="T1826" s="1" t="s">
        <v>21</v>
      </c>
      <c r="U1826" s="1" t="s">
        <v>22</v>
      </c>
      <c r="V1826" s="1" t="s">
        <v>24</v>
      </c>
      <c r="W1826" s="1" t="s">
        <v>24</v>
      </c>
      <c r="X1826" s="1">
        <v>2738</v>
      </c>
      <c r="Y1826" s="1" t="s">
        <v>24</v>
      </c>
      <c r="Z1826" s="1" t="s">
        <v>24</v>
      </c>
      <c r="AA1826" s="1" t="s">
        <v>24</v>
      </c>
      <c r="AB1826" s="1" t="s">
        <v>24</v>
      </c>
      <c r="AC1826" s="1" t="s">
        <v>24</v>
      </c>
      <c r="AD1826" s="1" t="s">
        <v>24</v>
      </c>
      <c r="AE1826" s="1" t="s">
        <v>24</v>
      </c>
      <c r="AF1826" s="22"/>
    </row>
    <row r="1827" spans="1:32" x14ac:dyDescent="0.2">
      <c r="A1827" s="1">
        <v>10621</v>
      </c>
      <c r="B1827" s="1" t="s">
        <v>5858</v>
      </c>
      <c r="C1827" s="5" t="s">
        <v>0</v>
      </c>
      <c r="D1827" s="1" t="s">
        <v>5859</v>
      </c>
      <c r="E1827" s="1" t="s">
        <v>5860</v>
      </c>
      <c r="F1827" s="1" t="s">
        <v>1412</v>
      </c>
      <c r="G1827" s="1" t="s">
        <v>1413</v>
      </c>
      <c r="H1827" s="1" t="s">
        <v>30</v>
      </c>
      <c r="I1827" s="1" t="s">
        <v>16</v>
      </c>
      <c r="J1827" s="1">
        <v>1</v>
      </c>
      <c r="K1827" s="1">
        <v>6</v>
      </c>
      <c r="L1827" s="1" t="s">
        <v>31</v>
      </c>
      <c r="M1827" s="1" t="s">
        <v>18</v>
      </c>
      <c r="N1827" s="1" t="s">
        <v>18</v>
      </c>
      <c r="O1827" s="1">
        <v>3</v>
      </c>
      <c r="P1827" s="1">
        <v>7</v>
      </c>
      <c r="Q1827" s="7" t="s">
        <v>17633</v>
      </c>
      <c r="R1827" s="1" t="s">
        <v>19</v>
      </c>
      <c r="S1827" s="1" t="s">
        <v>63</v>
      </c>
      <c r="T1827" s="1" t="s">
        <v>21</v>
      </c>
      <c r="U1827" s="1" t="s">
        <v>22</v>
      </c>
      <c r="V1827" s="1" t="s">
        <v>24</v>
      </c>
      <c r="W1827" s="1" t="s">
        <v>24</v>
      </c>
      <c r="X1827" s="1">
        <v>2403</v>
      </c>
      <c r="Y1827" s="1">
        <v>1307</v>
      </c>
      <c r="Z1827" s="1" t="s">
        <v>24</v>
      </c>
      <c r="AA1827" s="1" t="s">
        <v>24</v>
      </c>
      <c r="AB1827" s="1" t="s">
        <v>24</v>
      </c>
      <c r="AC1827" s="1" t="s">
        <v>24</v>
      </c>
      <c r="AD1827" s="1" t="s">
        <v>24</v>
      </c>
      <c r="AE1827" s="1" t="s">
        <v>24</v>
      </c>
      <c r="AF1827" s="22"/>
    </row>
    <row r="1828" spans="1:32" x14ac:dyDescent="0.2">
      <c r="A1828" s="1">
        <v>10632</v>
      </c>
      <c r="B1828" s="1" t="s">
        <v>5861</v>
      </c>
      <c r="C1828" s="5" t="s">
        <v>0</v>
      </c>
      <c r="D1828" s="1" t="s">
        <v>5862</v>
      </c>
      <c r="F1828" s="1" t="s">
        <v>5154</v>
      </c>
      <c r="G1828" s="1" t="s">
        <v>5154</v>
      </c>
      <c r="H1828" s="1" t="s">
        <v>116</v>
      </c>
      <c r="I1828" s="1" t="s">
        <v>16</v>
      </c>
      <c r="J1828" s="1">
        <v>1</v>
      </c>
      <c r="K1828" s="1">
        <v>4</v>
      </c>
      <c r="L1828" s="1" t="s">
        <v>17</v>
      </c>
      <c r="M1828" s="1" t="s">
        <v>117</v>
      </c>
      <c r="N1828" s="1" t="s">
        <v>118</v>
      </c>
      <c r="O1828" s="1">
        <v>0</v>
      </c>
      <c r="P1828" s="1">
        <v>5</v>
      </c>
      <c r="R1828" s="1" t="s">
        <v>19</v>
      </c>
      <c r="S1828" s="1" t="s">
        <v>20</v>
      </c>
      <c r="T1828" s="1" t="s">
        <v>21</v>
      </c>
      <c r="U1828" s="1" t="s">
        <v>22</v>
      </c>
      <c r="V1828" s="1" t="s">
        <v>23</v>
      </c>
      <c r="W1828" s="1" t="s">
        <v>24</v>
      </c>
      <c r="X1828" s="1">
        <v>2703</v>
      </c>
      <c r="Y1828" s="1">
        <v>2706</v>
      </c>
      <c r="Z1828" s="1" t="s">
        <v>24</v>
      </c>
      <c r="AA1828" s="1" t="s">
        <v>24</v>
      </c>
      <c r="AB1828" s="1" t="s">
        <v>24</v>
      </c>
      <c r="AC1828" s="1" t="s">
        <v>24</v>
      </c>
      <c r="AD1828" s="1" t="s">
        <v>24</v>
      </c>
      <c r="AE1828" s="1" t="s">
        <v>24</v>
      </c>
      <c r="AF1828" s="22"/>
    </row>
    <row r="1829" spans="1:32" x14ac:dyDescent="0.2">
      <c r="A1829" s="1">
        <v>10633</v>
      </c>
      <c r="B1829" s="1" t="s">
        <v>5863</v>
      </c>
      <c r="C1829" s="5" t="s">
        <v>0</v>
      </c>
      <c r="D1829" s="1" t="s">
        <v>5864</v>
      </c>
      <c r="E1829" s="1" t="s">
        <v>5865</v>
      </c>
      <c r="F1829" s="1" t="s">
        <v>831</v>
      </c>
      <c r="G1829" s="1" t="s">
        <v>61</v>
      </c>
      <c r="H1829" s="1" t="s">
        <v>37</v>
      </c>
      <c r="I1829" s="1" t="s">
        <v>16</v>
      </c>
      <c r="J1829" s="1">
        <v>1</v>
      </c>
      <c r="K1829" s="1">
        <v>4</v>
      </c>
      <c r="L1829" s="1" t="s">
        <v>31</v>
      </c>
      <c r="M1829" s="1" t="s">
        <v>18</v>
      </c>
      <c r="N1829" s="1" t="s">
        <v>18</v>
      </c>
      <c r="O1829" s="1">
        <v>3</v>
      </c>
      <c r="P1829" s="1">
        <v>7</v>
      </c>
      <c r="Q1829" s="7" t="s">
        <v>17633</v>
      </c>
      <c r="R1829" s="1" t="s">
        <v>19</v>
      </c>
      <c r="S1829" s="1" t="s">
        <v>20</v>
      </c>
      <c r="T1829" s="1" t="s">
        <v>21</v>
      </c>
      <c r="U1829" s="1" t="s">
        <v>22</v>
      </c>
      <c r="V1829" s="1" t="s">
        <v>23</v>
      </c>
      <c r="W1829" s="1" t="s">
        <v>24</v>
      </c>
      <c r="X1829" s="1">
        <v>2732</v>
      </c>
      <c r="Y1829" s="1">
        <v>3613</v>
      </c>
      <c r="Z1829" s="1" t="s">
        <v>24</v>
      </c>
      <c r="AA1829" s="1" t="s">
        <v>24</v>
      </c>
      <c r="AB1829" s="1" t="s">
        <v>24</v>
      </c>
      <c r="AC1829" s="1" t="s">
        <v>24</v>
      </c>
      <c r="AD1829" s="1" t="s">
        <v>24</v>
      </c>
      <c r="AE1829" s="1" t="s">
        <v>24</v>
      </c>
      <c r="AF1829" s="22"/>
    </row>
    <row r="1830" spans="1:32" x14ac:dyDescent="0.2">
      <c r="A1830" s="1">
        <v>10634</v>
      </c>
      <c r="B1830" s="1" t="s">
        <v>5866</v>
      </c>
      <c r="C1830" s="5" t="s">
        <v>0</v>
      </c>
      <c r="D1830" s="1" t="s">
        <v>5867</v>
      </c>
      <c r="E1830" s="1" t="s">
        <v>5868</v>
      </c>
      <c r="F1830" s="1" t="s">
        <v>831</v>
      </c>
      <c r="G1830" s="1" t="s">
        <v>61</v>
      </c>
      <c r="H1830" s="1" t="s">
        <v>37</v>
      </c>
      <c r="I1830" s="1" t="s">
        <v>16</v>
      </c>
      <c r="J1830" s="1">
        <v>1</v>
      </c>
      <c r="K1830" s="1">
        <v>6</v>
      </c>
      <c r="L1830" s="1" t="s">
        <v>31</v>
      </c>
      <c r="M1830" s="1" t="s">
        <v>18</v>
      </c>
      <c r="N1830" s="1" t="s">
        <v>18</v>
      </c>
      <c r="O1830" s="1">
        <v>3</v>
      </c>
      <c r="P1830" s="1">
        <v>7</v>
      </c>
      <c r="Q1830" s="7" t="s">
        <v>17633</v>
      </c>
      <c r="R1830" s="1" t="s">
        <v>19</v>
      </c>
      <c r="S1830" s="1" t="s">
        <v>20</v>
      </c>
      <c r="T1830" s="1" t="s">
        <v>21</v>
      </c>
      <c r="U1830" s="1" t="s">
        <v>22</v>
      </c>
      <c r="V1830" s="1" t="s">
        <v>24</v>
      </c>
      <c r="W1830" s="1" t="s">
        <v>24</v>
      </c>
      <c r="X1830" s="1">
        <v>2746</v>
      </c>
      <c r="Y1830" s="1" t="s">
        <v>24</v>
      </c>
      <c r="Z1830" s="1" t="s">
        <v>24</v>
      </c>
      <c r="AA1830" s="1" t="s">
        <v>24</v>
      </c>
      <c r="AB1830" s="1" t="s">
        <v>24</v>
      </c>
      <c r="AC1830" s="1" t="s">
        <v>24</v>
      </c>
      <c r="AD1830" s="1" t="s">
        <v>24</v>
      </c>
      <c r="AE1830" s="1" t="s">
        <v>24</v>
      </c>
      <c r="AF1830" s="22"/>
    </row>
    <row r="1831" spans="1:32" x14ac:dyDescent="0.2">
      <c r="A1831" s="1">
        <v>10635</v>
      </c>
      <c r="B1831" s="1" t="s">
        <v>5869</v>
      </c>
      <c r="C1831" s="5" t="s">
        <v>0</v>
      </c>
      <c r="D1831" s="1" t="s">
        <v>5870</v>
      </c>
      <c r="E1831" s="1" t="s">
        <v>5871</v>
      </c>
      <c r="F1831" s="1" t="s">
        <v>241</v>
      </c>
      <c r="G1831" s="1" t="s">
        <v>61</v>
      </c>
      <c r="H1831" s="1" t="s">
        <v>168</v>
      </c>
      <c r="I1831" s="1" t="s">
        <v>16</v>
      </c>
      <c r="J1831" s="1">
        <v>1</v>
      </c>
      <c r="K1831" s="1">
        <v>6</v>
      </c>
      <c r="L1831" s="1" t="s">
        <v>31</v>
      </c>
      <c r="M1831" s="1" t="s">
        <v>242</v>
      </c>
      <c r="N1831" s="1" t="s">
        <v>18</v>
      </c>
      <c r="O1831" s="1">
        <v>2</v>
      </c>
      <c r="P1831" s="1">
        <v>6</v>
      </c>
      <c r="R1831" s="1" t="s">
        <v>19</v>
      </c>
      <c r="S1831" s="1" t="s">
        <v>20</v>
      </c>
      <c r="T1831" s="1" t="s">
        <v>21</v>
      </c>
      <c r="U1831" s="1" t="s">
        <v>22</v>
      </c>
      <c r="V1831" s="1" t="s">
        <v>24</v>
      </c>
      <c r="W1831" s="1" t="s">
        <v>24</v>
      </c>
      <c r="X1831" s="1">
        <v>2702</v>
      </c>
      <c r="Y1831" s="1">
        <v>1309</v>
      </c>
      <c r="Z1831" s="1" t="s">
        <v>24</v>
      </c>
      <c r="AA1831" s="1" t="s">
        <v>24</v>
      </c>
      <c r="AB1831" s="1" t="s">
        <v>24</v>
      </c>
      <c r="AC1831" s="1" t="s">
        <v>24</v>
      </c>
      <c r="AD1831" s="1" t="s">
        <v>24</v>
      </c>
      <c r="AE1831" s="1" t="s">
        <v>24</v>
      </c>
      <c r="AF1831" s="22"/>
    </row>
    <row r="1832" spans="1:32" x14ac:dyDescent="0.2">
      <c r="A1832" s="1">
        <v>10638</v>
      </c>
      <c r="B1832" s="1" t="s">
        <v>5872</v>
      </c>
      <c r="C1832" s="5" t="s">
        <v>0</v>
      </c>
      <c r="D1832" s="1" t="s">
        <v>5873</v>
      </c>
      <c r="E1832" s="1" t="s">
        <v>5874</v>
      </c>
      <c r="F1832" s="1" t="s">
        <v>1808</v>
      </c>
      <c r="G1832" s="1" t="s">
        <v>130</v>
      </c>
      <c r="H1832" s="1" t="s">
        <v>461</v>
      </c>
      <c r="I1832" s="1" t="s">
        <v>16</v>
      </c>
      <c r="J1832" s="1">
        <v>1</v>
      </c>
      <c r="K1832" s="1">
        <v>12</v>
      </c>
      <c r="L1832" s="1" t="s">
        <v>31</v>
      </c>
      <c r="M1832" s="1" t="s">
        <v>18</v>
      </c>
      <c r="N1832" s="1" t="s">
        <v>18</v>
      </c>
      <c r="O1832" s="1">
        <v>3</v>
      </c>
      <c r="P1832" s="1">
        <v>6</v>
      </c>
      <c r="R1832" s="1" t="s">
        <v>19</v>
      </c>
      <c r="S1832" s="1" t="s">
        <v>20</v>
      </c>
      <c r="T1832" s="1" t="s">
        <v>21</v>
      </c>
      <c r="U1832" s="1" t="s">
        <v>22</v>
      </c>
      <c r="V1832" s="1" t="s">
        <v>24</v>
      </c>
      <c r="W1832" s="1" t="s">
        <v>24</v>
      </c>
      <c r="X1832" s="1">
        <v>2746</v>
      </c>
      <c r="Y1832" s="1" t="s">
        <v>24</v>
      </c>
      <c r="Z1832" s="1" t="s">
        <v>24</v>
      </c>
      <c r="AA1832" s="1" t="s">
        <v>24</v>
      </c>
      <c r="AB1832" s="1" t="s">
        <v>24</v>
      </c>
      <c r="AC1832" s="1" t="s">
        <v>24</v>
      </c>
      <c r="AD1832" s="1" t="s">
        <v>24</v>
      </c>
      <c r="AE1832" s="1" t="s">
        <v>24</v>
      </c>
      <c r="AF1832" s="22"/>
    </row>
    <row r="1833" spans="1:32" x14ac:dyDescent="0.2">
      <c r="A1833" s="1">
        <v>10644</v>
      </c>
      <c r="B1833" s="1" t="s">
        <v>5875</v>
      </c>
      <c r="C1833" s="5" t="s">
        <v>0</v>
      </c>
      <c r="D1833" s="1" t="s">
        <v>5876</v>
      </c>
      <c r="E1833" s="1" t="s">
        <v>5877</v>
      </c>
      <c r="F1833" s="1" t="s">
        <v>844</v>
      </c>
      <c r="G1833" s="1" t="s">
        <v>844</v>
      </c>
      <c r="H1833" s="1" t="s">
        <v>37</v>
      </c>
      <c r="I1833" s="1" t="s">
        <v>16</v>
      </c>
      <c r="J1833" s="1">
        <v>0</v>
      </c>
      <c r="K1833" s="1">
        <v>0</v>
      </c>
      <c r="L1833" s="1" t="s">
        <v>42</v>
      </c>
      <c r="M1833" s="1" t="s">
        <v>18</v>
      </c>
      <c r="N1833" s="1" t="s">
        <v>18</v>
      </c>
      <c r="O1833" s="1">
        <v>0</v>
      </c>
      <c r="P1833" s="1">
        <v>7</v>
      </c>
      <c r="Q1833" s="7" t="s">
        <v>17633</v>
      </c>
      <c r="R1833" s="1" t="s">
        <v>19</v>
      </c>
      <c r="S1833" s="1" t="s">
        <v>20</v>
      </c>
      <c r="T1833" s="1" t="s">
        <v>21</v>
      </c>
      <c r="U1833" s="1" t="s">
        <v>22</v>
      </c>
      <c r="V1833" s="1" t="s">
        <v>23</v>
      </c>
      <c r="W1833" s="1" t="s">
        <v>24</v>
      </c>
      <c r="X1833" s="1">
        <v>2741</v>
      </c>
      <c r="Y1833" s="1" t="s">
        <v>24</v>
      </c>
      <c r="Z1833" s="1" t="s">
        <v>24</v>
      </c>
      <c r="AA1833" s="1" t="s">
        <v>24</v>
      </c>
      <c r="AB1833" s="1" t="s">
        <v>24</v>
      </c>
      <c r="AC1833" s="1" t="s">
        <v>24</v>
      </c>
      <c r="AD1833" s="1" t="s">
        <v>24</v>
      </c>
      <c r="AE1833" s="1" t="s">
        <v>24</v>
      </c>
      <c r="AF1833" s="22"/>
    </row>
    <row r="1834" spans="1:32" x14ac:dyDescent="0.2">
      <c r="A1834" s="1">
        <v>10648</v>
      </c>
      <c r="B1834" s="1" t="s">
        <v>5878</v>
      </c>
      <c r="C1834" s="5" t="s">
        <v>0</v>
      </c>
      <c r="D1834" s="1" t="s">
        <v>5879</v>
      </c>
      <c r="E1834" s="1" t="s">
        <v>5880</v>
      </c>
      <c r="F1834" s="1" t="s">
        <v>109</v>
      </c>
      <c r="G1834" s="1" t="s">
        <v>110</v>
      </c>
      <c r="H1834" s="1" t="s">
        <v>111</v>
      </c>
      <c r="I1834" s="1" t="s">
        <v>16</v>
      </c>
      <c r="J1834" s="1">
        <v>3</v>
      </c>
      <c r="K1834" s="1">
        <v>4</v>
      </c>
      <c r="L1834" s="1" t="s">
        <v>31</v>
      </c>
      <c r="M1834" s="1" t="s">
        <v>18</v>
      </c>
      <c r="N1834" s="1" t="s">
        <v>18</v>
      </c>
      <c r="O1834" s="1">
        <v>3</v>
      </c>
      <c r="P1834" s="1">
        <v>7</v>
      </c>
      <c r="Q1834" s="7" t="s">
        <v>17633</v>
      </c>
      <c r="R1834" s="1" t="s">
        <v>19</v>
      </c>
      <c r="S1834" s="1" t="s">
        <v>20</v>
      </c>
      <c r="T1834" s="1" t="s">
        <v>21</v>
      </c>
      <c r="U1834" s="1" t="s">
        <v>22</v>
      </c>
      <c r="V1834" s="1" t="s">
        <v>24</v>
      </c>
      <c r="W1834" s="1" t="s">
        <v>24</v>
      </c>
      <c r="X1834" s="1">
        <v>2723</v>
      </c>
      <c r="Y1834" s="1">
        <v>2403</v>
      </c>
      <c r="Z1834" s="1" t="s">
        <v>24</v>
      </c>
      <c r="AA1834" s="1" t="s">
        <v>24</v>
      </c>
      <c r="AB1834" s="1" t="s">
        <v>24</v>
      </c>
      <c r="AC1834" s="1" t="s">
        <v>24</v>
      </c>
      <c r="AD1834" s="1" t="s">
        <v>24</v>
      </c>
      <c r="AE1834" s="1" t="s">
        <v>24</v>
      </c>
      <c r="AF1834" s="22"/>
    </row>
    <row r="1835" spans="1:32" x14ac:dyDescent="0.2">
      <c r="A1835" s="1">
        <v>10649</v>
      </c>
      <c r="B1835" s="1" t="s">
        <v>5881</v>
      </c>
      <c r="C1835" s="5" t="s">
        <v>0</v>
      </c>
      <c r="D1835" s="1" t="s">
        <v>5882</v>
      </c>
      <c r="E1835" s="1" t="s">
        <v>5883</v>
      </c>
      <c r="F1835" s="1" t="s">
        <v>35</v>
      </c>
      <c r="G1835" s="1" t="s">
        <v>36</v>
      </c>
      <c r="H1835" s="1" t="s">
        <v>37</v>
      </c>
      <c r="I1835" s="1" t="s">
        <v>16</v>
      </c>
      <c r="J1835" s="1">
        <v>1</v>
      </c>
      <c r="K1835" s="1">
        <v>4</v>
      </c>
      <c r="L1835" s="1" t="s">
        <v>31</v>
      </c>
      <c r="M1835" s="1" t="s">
        <v>18</v>
      </c>
      <c r="N1835" s="1" t="s">
        <v>18</v>
      </c>
      <c r="O1835" s="1">
        <v>3</v>
      </c>
      <c r="P1835" s="1">
        <v>6</v>
      </c>
      <c r="R1835" s="1" t="s">
        <v>62</v>
      </c>
      <c r="S1835" s="1" t="s">
        <v>20</v>
      </c>
      <c r="T1835" s="1" t="s">
        <v>21</v>
      </c>
      <c r="U1835" s="1" t="s">
        <v>22</v>
      </c>
      <c r="V1835" s="1" t="s">
        <v>24</v>
      </c>
      <c r="W1835" s="1" t="s">
        <v>24</v>
      </c>
      <c r="X1835" s="1">
        <v>2800</v>
      </c>
      <c r="Y1835" s="1">
        <v>2734</v>
      </c>
      <c r="Z1835" s="1">
        <v>2728</v>
      </c>
      <c r="AA1835" s="1" t="s">
        <v>24</v>
      </c>
      <c r="AB1835" s="1" t="s">
        <v>24</v>
      </c>
      <c r="AC1835" s="1" t="s">
        <v>24</v>
      </c>
      <c r="AD1835" s="1" t="s">
        <v>24</v>
      </c>
      <c r="AE1835" s="1" t="s">
        <v>24</v>
      </c>
      <c r="AF1835" s="22"/>
    </row>
    <row r="1836" spans="1:32" x14ac:dyDescent="0.2">
      <c r="A1836" s="1">
        <v>10652</v>
      </c>
      <c r="B1836" s="1" t="s">
        <v>5884</v>
      </c>
      <c r="C1836" s="5" t="s">
        <v>0</v>
      </c>
      <c r="D1836" s="1" t="s">
        <v>5885</v>
      </c>
      <c r="F1836" s="1" t="s">
        <v>5886</v>
      </c>
      <c r="G1836" s="1" t="s">
        <v>5886</v>
      </c>
      <c r="H1836" s="1" t="s">
        <v>693</v>
      </c>
      <c r="I1836" s="1" t="s">
        <v>16</v>
      </c>
      <c r="J1836" s="1">
        <v>1</v>
      </c>
      <c r="K1836" s="1">
        <v>4</v>
      </c>
      <c r="L1836" s="1" t="s">
        <v>17</v>
      </c>
      <c r="M1836" s="1" t="s">
        <v>1131</v>
      </c>
      <c r="N1836" s="1" t="s">
        <v>5887</v>
      </c>
      <c r="O1836" s="1">
        <v>1</v>
      </c>
      <c r="P1836" s="1">
        <v>4</v>
      </c>
      <c r="R1836" s="1" t="s">
        <v>19</v>
      </c>
      <c r="S1836" s="1" t="s">
        <v>20</v>
      </c>
      <c r="T1836" s="1" t="s">
        <v>21</v>
      </c>
      <c r="U1836" s="1" t="s">
        <v>22</v>
      </c>
      <c r="V1836" s="1" t="s">
        <v>24</v>
      </c>
      <c r="W1836" s="1" t="s">
        <v>24</v>
      </c>
      <c r="X1836" s="1">
        <v>2723</v>
      </c>
      <c r="Y1836" s="1" t="s">
        <v>24</v>
      </c>
      <c r="Z1836" s="1" t="s">
        <v>24</v>
      </c>
      <c r="AA1836" s="1" t="s">
        <v>24</v>
      </c>
      <c r="AB1836" s="1" t="s">
        <v>24</v>
      </c>
      <c r="AC1836" s="1" t="s">
        <v>24</v>
      </c>
      <c r="AD1836" s="1" t="s">
        <v>24</v>
      </c>
      <c r="AE1836" s="1" t="s">
        <v>24</v>
      </c>
      <c r="AF1836" s="22"/>
    </row>
    <row r="1837" spans="1:32" x14ac:dyDescent="0.2">
      <c r="A1837" s="1">
        <v>10658</v>
      </c>
      <c r="B1837" s="1" t="s">
        <v>5888</v>
      </c>
      <c r="C1837" s="5" t="s">
        <v>0</v>
      </c>
      <c r="D1837" s="1" t="s">
        <v>5889</v>
      </c>
      <c r="E1837" s="1" t="s">
        <v>5890</v>
      </c>
      <c r="F1837" s="1" t="s">
        <v>5891</v>
      </c>
      <c r="G1837" s="1" t="s">
        <v>5891</v>
      </c>
      <c r="H1837" s="1" t="s">
        <v>30</v>
      </c>
      <c r="I1837" s="1" t="s">
        <v>16</v>
      </c>
      <c r="J1837" s="1">
        <v>1</v>
      </c>
      <c r="K1837" s="1">
        <v>24</v>
      </c>
      <c r="L1837" s="1" t="s">
        <v>42</v>
      </c>
      <c r="M1837" s="1" t="s">
        <v>18</v>
      </c>
      <c r="N1837" s="1" t="s">
        <v>18</v>
      </c>
      <c r="O1837" s="1">
        <v>3</v>
      </c>
      <c r="P1837" s="1">
        <v>7</v>
      </c>
      <c r="Q1837" s="7" t="s">
        <v>17633</v>
      </c>
      <c r="R1837" s="1" t="s">
        <v>62</v>
      </c>
      <c r="S1837" s="1" t="s">
        <v>20</v>
      </c>
      <c r="T1837" s="1" t="s">
        <v>21</v>
      </c>
      <c r="U1837" s="1" t="s">
        <v>22</v>
      </c>
      <c r="V1837" s="1" t="s">
        <v>24</v>
      </c>
      <c r="W1837" s="1" t="s">
        <v>24</v>
      </c>
      <c r="X1837" s="1">
        <v>1312</v>
      </c>
      <c r="Y1837" s="1">
        <v>1307</v>
      </c>
      <c r="Z1837" s="1" t="s">
        <v>24</v>
      </c>
      <c r="AA1837" s="1" t="s">
        <v>24</v>
      </c>
      <c r="AB1837" s="1" t="s">
        <v>24</v>
      </c>
      <c r="AC1837" s="1" t="s">
        <v>24</v>
      </c>
      <c r="AD1837" s="1" t="s">
        <v>24</v>
      </c>
      <c r="AE1837" s="1" t="s">
        <v>24</v>
      </c>
      <c r="AF1837" s="22"/>
    </row>
    <row r="1838" spans="1:32" x14ac:dyDescent="0.2">
      <c r="A1838" s="1">
        <v>10661</v>
      </c>
      <c r="B1838" s="1" t="s">
        <v>5892</v>
      </c>
      <c r="C1838" s="5" t="s">
        <v>0</v>
      </c>
      <c r="D1838" s="1" t="s">
        <v>5893</v>
      </c>
      <c r="E1838" s="1" t="s">
        <v>5894</v>
      </c>
      <c r="F1838" s="1" t="s">
        <v>1808</v>
      </c>
      <c r="G1838" s="1" t="s">
        <v>130</v>
      </c>
      <c r="H1838" s="1" t="s">
        <v>461</v>
      </c>
      <c r="I1838" s="1" t="s">
        <v>16</v>
      </c>
      <c r="J1838" s="1">
        <v>1</v>
      </c>
      <c r="K1838" s="1">
        <v>6</v>
      </c>
      <c r="L1838" s="1" t="s">
        <v>31</v>
      </c>
      <c r="M1838" s="1" t="s">
        <v>18</v>
      </c>
      <c r="N1838" s="1" t="s">
        <v>18</v>
      </c>
      <c r="O1838" s="1">
        <v>3</v>
      </c>
      <c r="P1838" s="1">
        <v>5</v>
      </c>
      <c r="R1838" s="1" t="s">
        <v>19</v>
      </c>
      <c r="S1838" s="1" t="s">
        <v>20</v>
      </c>
      <c r="T1838" s="1" t="s">
        <v>21</v>
      </c>
      <c r="U1838" s="1" t="s">
        <v>22</v>
      </c>
      <c r="V1838" s="1" t="s">
        <v>23</v>
      </c>
      <c r="W1838" s="1" t="s">
        <v>24</v>
      </c>
      <c r="X1838" s="1">
        <v>2703</v>
      </c>
      <c r="Y1838" s="1" t="s">
        <v>24</v>
      </c>
      <c r="Z1838" s="1" t="s">
        <v>24</v>
      </c>
      <c r="AA1838" s="1" t="s">
        <v>24</v>
      </c>
      <c r="AB1838" s="1" t="s">
        <v>24</v>
      </c>
      <c r="AC1838" s="1" t="s">
        <v>24</v>
      </c>
      <c r="AD1838" s="1" t="s">
        <v>24</v>
      </c>
      <c r="AE1838" s="1" t="s">
        <v>24</v>
      </c>
      <c r="AF1838" s="22"/>
    </row>
    <row r="1839" spans="1:32" x14ac:dyDescent="0.2">
      <c r="A1839" s="1">
        <v>10662</v>
      </c>
      <c r="B1839" s="1" t="s">
        <v>5895</v>
      </c>
      <c r="C1839" s="5" t="s">
        <v>0</v>
      </c>
      <c r="D1839" s="1" t="s">
        <v>5896</v>
      </c>
      <c r="F1839" s="1" t="s">
        <v>5897</v>
      </c>
      <c r="G1839" s="1" t="s">
        <v>5898</v>
      </c>
      <c r="H1839" s="1" t="s">
        <v>461</v>
      </c>
      <c r="I1839" s="1" t="s">
        <v>16</v>
      </c>
      <c r="J1839" s="1">
        <v>1</v>
      </c>
      <c r="K1839" s="1">
        <v>5</v>
      </c>
      <c r="L1839" s="1" t="s">
        <v>17</v>
      </c>
      <c r="M1839" s="1" t="s">
        <v>1735</v>
      </c>
      <c r="N1839" s="1" t="s">
        <v>635</v>
      </c>
      <c r="O1839" s="1">
        <v>3</v>
      </c>
      <c r="P1839" s="1">
        <v>6</v>
      </c>
      <c r="R1839" s="1" t="s">
        <v>19</v>
      </c>
      <c r="S1839" s="1" t="s">
        <v>20</v>
      </c>
      <c r="T1839" s="1" t="s">
        <v>21</v>
      </c>
      <c r="U1839" s="1" t="s">
        <v>22</v>
      </c>
      <c r="V1839" s="1" t="s">
        <v>23</v>
      </c>
      <c r="W1839" s="1" t="s">
        <v>24</v>
      </c>
      <c r="X1839" s="1">
        <v>2703</v>
      </c>
      <c r="Y1839" s="1">
        <v>3500</v>
      </c>
      <c r="Z1839" s="1" t="s">
        <v>24</v>
      </c>
      <c r="AA1839" s="1" t="s">
        <v>24</v>
      </c>
      <c r="AB1839" s="1" t="s">
        <v>24</v>
      </c>
      <c r="AC1839" s="1" t="s">
        <v>24</v>
      </c>
      <c r="AD1839" s="1" t="s">
        <v>24</v>
      </c>
      <c r="AE1839" s="1" t="s">
        <v>24</v>
      </c>
      <c r="AF1839" s="22"/>
    </row>
    <row r="1840" spans="1:32" x14ac:dyDescent="0.2">
      <c r="A1840" s="1">
        <v>10664</v>
      </c>
      <c r="B1840" s="1" t="s">
        <v>5899</v>
      </c>
      <c r="C1840" s="5" t="s">
        <v>0</v>
      </c>
      <c r="D1840" s="1" t="s">
        <v>5900</v>
      </c>
      <c r="E1840" s="1" t="s">
        <v>5901</v>
      </c>
      <c r="F1840" s="1" t="s">
        <v>28</v>
      </c>
      <c r="G1840" s="1" t="s">
        <v>29</v>
      </c>
      <c r="H1840" s="1" t="s">
        <v>30</v>
      </c>
      <c r="I1840" s="1" t="s">
        <v>16</v>
      </c>
      <c r="J1840" s="1">
        <v>1</v>
      </c>
      <c r="K1840" s="1">
        <v>6</v>
      </c>
      <c r="L1840" s="1" t="s">
        <v>31</v>
      </c>
      <c r="M1840" s="1" t="s">
        <v>18</v>
      </c>
      <c r="N1840" s="1" t="s">
        <v>18</v>
      </c>
      <c r="O1840" s="1">
        <v>3</v>
      </c>
      <c r="P1840" s="1">
        <v>7</v>
      </c>
      <c r="Q1840" s="7" t="s">
        <v>17633</v>
      </c>
      <c r="R1840" s="1" t="s">
        <v>19</v>
      </c>
      <c r="S1840" s="1" t="s">
        <v>20</v>
      </c>
      <c r="T1840" s="1" t="s">
        <v>21</v>
      </c>
      <c r="U1840" s="1" t="s">
        <v>22</v>
      </c>
      <c r="V1840" s="1" t="s">
        <v>23</v>
      </c>
      <c r="W1840" s="1" t="s">
        <v>24</v>
      </c>
      <c r="X1840" s="1">
        <v>1304</v>
      </c>
      <c r="Y1840" s="1">
        <v>2502</v>
      </c>
      <c r="Z1840" s="1">
        <v>1502</v>
      </c>
      <c r="AA1840" s="1">
        <v>2204</v>
      </c>
      <c r="AB1840" s="1">
        <v>2700</v>
      </c>
      <c r="AC1840" s="1" t="s">
        <v>24</v>
      </c>
      <c r="AD1840" s="1" t="s">
        <v>24</v>
      </c>
      <c r="AE1840" s="1" t="s">
        <v>24</v>
      </c>
      <c r="AF1840" s="22"/>
    </row>
    <row r="1841" spans="1:32" x14ac:dyDescent="0.2">
      <c r="A1841" s="1">
        <v>10665</v>
      </c>
      <c r="B1841" s="1" t="s">
        <v>5902</v>
      </c>
      <c r="C1841" s="5" t="s">
        <v>0</v>
      </c>
      <c r="D1841" s="1" t="s">
        <v>5903</v>
      </c>
      <c r="E1841" s="1" t="s">
        <v>5904</v>
      </c>
      <c r="F1841" s="1" t="s">
        <v>4988</v>
      </c>
      <c r="G1841" s="1" t="s">
        <v>254</v>
      </c>
      <c r="H1841" s="1" t="s">
        <v>168</v>
      </c>
      <c r="I1841" s="1" t="s">
        <v>16</v>
      </c>
      <c r="J1841" s="1">
        <v>1</v>
      </c>
      <c r="K1841" s="1">
        <v>4</v>
      </c>
      <c r="L1841" s="1" t="s">
        <v>31</v>
      </c>
      <c r="M1841" s="1" t="s">
        <v>18</v>
      </c>
      <c r="N1841" s="1" t="s">
        <v>18</v>
      </c>
      <c r="O1841" s="1">
        <v>2</v>
      </c>
      <c r="P1841" s="1">
        <v>5</v>
      </c>
      <c r="R1841" s="1" t="s">
        <v>19</v>
      </c>
      <c r="S1841" s="1" t="s">
        <v>20</v>
      </c>
      <c r="T1841" s="1" t="s">
        <v>21</v>
      </c>
      <c r="U1841" s="1" t="s">
        <v>22</v>
      </c>
      <c r="V1841" s="1" t="s">
        <v>24</v>
      </c>
      <c r="W1841" s="1" t="s">
        <v>24</v>
      </c>
      <c r="X1841" s="1">
        <v>3003</v>
      </c>
      <c r="Y1841" s="1">
        <v>3004</v>
      </c>
      <c r="Z1841" s="1" t="s">
        <v>24</v>
      </c>
      <c r="AA1841" s="1" t="s">
        <v>24</v>
      </c>
      <c r="AB1841" s="1" t="s">
        <v>24</v>
      </c>
      <c r="AC1841" s="1" t="s">
        <v>24</v>
      </c>
      <c r="AD1841" s="1" t="s">
        <v>24</v>
      </c>
      <c r="AE1841" s="1" t="s">
        <v>24</v>
      </c>
      <c r="AF1841" s="22"/>
    </row>
    <row r="1842" spans="1:32" x14ac:dyDescent="0.2">
      <c r="A1842" s="1">
        <v>10671</v>
      </c>
      <c r="B1842" s="1" t="s">
        <v>5905</v>
      </c>
      <c r="C1842" s="5" t="s">
        <v>0</v>
      </c>
      <c r="D1842" s="1" t="s">
        <v>5906</v>
      </c>
      <c r="E1842" s="1" t="s">
        <v>5907</v>
      </c>
      <c r="F1842" s="1" t="s">
        <v>315</v>
      </c>
      <c r="G1842" s="1" t="s">
        <v>316</v>
      </c>
      <c r="H1842" s="1" t="s">
        <v>30</v>
      </c>
      <c r="I1842" s="1" t="s">
        <v>16</v>
      </c>
      <c r="J1842" s="1">
        <v>1</v>
      </c>
      <c r="K1842" s="1">
        <v>12</v>
      </c>
      <c r="L1842" s="1" t="s">
        <v>31</v>
      </c>
      <c r="M1842" s="1" t="s">
        <v>18</v>
      </c>
      <c r="N1842" s="1" t="s">
        <v>18</v>
      </c>
      <c r="O1842" s="1">
        <v>3</v>
      </c>
      <c r="P1842" s="1">
        <v>9</v>
      </c>
      <c r="Q1842" s="7" t="s">
        <v>17633</v>
      </c>
      <c r="R1842" s="1" t="s">
        <v>62</v>
      </c>
      <c r="S1842" s="1" t="s">
        <v>20</v>
      </c>
      <c r="T1842" s="1" t="s">
        <v>21</v>
      </c>
      <c r="U1842" s="1" t="s">
        <v>22</v>
      </c>
      <c r="V1842" s="1" t="s">
        <v>24</v>
      </c>
      <c r="W1842" s="1" t="s">
        <v>24</v>
      </c>
      <c r="X1842" s="1">
        <v>1311</v>
      </c>
      <c r="Y1842" s="1" t="s">
        <v>24</v>
      </c>
      <c r="Z1842" s="1" t="s">
        <v>24</v>
      </c>
      <c r="AA1842" s="1" t="s">
        <v>24</v>
      </c>
      <c r="AB1842" s="1" t="s">
        <v>24</v>
      </c>
      <c r="AC1842" s="1" t="s">
        <v>24</v>
      </c>
      <c r="AD1842" s="1" t="s">
        <v>24</v>
      </c>
      <c r="AE1842" s="1" t="s">
        <v>24</v>
      </c>
      <c r="AF1842" s="22"/>
    </row>
    <row r="1843" spans="1:32" x14ac:dyDescent="0.2">
      <c r="A1843" s="1">
        <v>10673</v>
      </c>
      <c r="B1843" s="1" t="s">
        <v>5908</v>
      </c>
      <c r="C1843" s="5" t="s">
        <v>0</v>
      </c>
      <c r="D1843" s="1" t="s">
        <v>5909</v>
      </c>
      <c r="E1843" s="1" t="s">
        <v>5910</v>
      </c>
      <c r="F1843" s="1" t="s">
        <v>28</v>
      </c>
      <c r="G1843" s="1" t="s">
        <v>29</v>
      </c>
      <c r="H1843" s="1" t="s">
        <v>30</v>
      </c>
      <c r="I1843" s="1" t="s">
        <v>16</v>
      </c>
      <c r="J1843" s="1">
        <v>1</v>
      </c>
      <c r="K1843" s="1">
        <v>6</v>
      </c>
      <c r="L1843" s="1" t="s">
        <v>31</v>
      </c>
      <c r="M1843" s="1" t="s">
        <v>18</v>
      </c>
      <c r="N1843" s="1" t="s">
        <v>18</v>
      </c>
      <c r="O1843" s="1">
        <v>3</v>
      </c>
      <c r="P1843" s="1">
        <v>6</v>
      </c>
      <c r="R1843" s="1" t="s">
        <v>19</v>
      </c>
      <c r="S1843" s="1" t="s">
        <v>20</v>
      </c>
      <c r="T1843" s="1" t="s">
        <v>21</v>
      </c>
      <c r="U1843" s="1" t="s">
        <v>22</v>
      </c>
      <c r="V1843" s="1" t="s">
        <v>24</v>
      </c>
      <c r="W1843" s="1" t="s">
        <v>24</v>
      </c>
      <c r="X1843" s="1">
        <v>2705</v>
      </c>
      <c r="Y1843" s="1" t="s">
        <v>24</v>
      </c>
      <c r="Z1843" s="1" t="s">
        <v>24</v>
      </c>
      <c r="AA1843" s="1" t="s">
        <v>24</v>
      </c>
      <c r="AB1843" s="1" t="s">
        <v>24</v>
      </c>
      <c r="AC1843" s="1" t="s">
        <v>24</v>
      </c>
      <c r="AD1843" s="1" t="s">
        <v>24</v>
      </c>
      <c r="AE1843" s="1" t="s">
        <v>24</v>
      </c>
      <c r="AF1843" s="22"/>
    </row>
    <row r="1844" spans="1:32" x14ac:dyDescent="0.2">
      <c r="A1844" s="1">
        <v>10676</v>
      </c>
      <c r="B1844" s="1" t="s">
        <v>5911</v>
      </c>
      <c r="C1844" s="5" t="s">
        <v>0</v>
      </c>
      <c r="D1844" s="1" t="s">
        <v>5912</v>
      </c>
      <c r="E1844" s="1" t="s">
        <v>5913</v>
      </c>
      <c r="F1844" s="1" t="s">
        <v>291</v>
      </c>
      <c r="G1844" s="1" t="s">
        <v>292</v>
      </c>
      <c r="H1844" s="1" t="s">
        <v>37</v>
      </c>
      <c r="I1844" s="1" t="s">
        <v>16</v>
      </c>
      <c r="J1844" s="1">
        <v>1</v>
      </c>
      <c r="K1844" s="1">
        <v>6</v>
      </c>
      <c r="L1844" s="1" t="s">
        <v>31</v>
      </c>
      <c r="M1844" s="1" t="s">
        <v>18</v>
      </c>
      <c r="N1844" s="1" t="s">
        <v>18</v>
      </c>
      <c r="O1844" s="1">
        <v>3</v>
      </c>
      <c r="P1844" s="1">
        <v>7</v>
      </c>
      <c r="Q1844" s="7" t="s">
        <v>17633</v>
      </c>
      <c r="R1844" s="1" t="s">
        <v>19</v>
      </c>
      <c r="S1844" s="1" t="s">
        <v>20</v>
      </c>
      <c r="T1844" s="1" t="s">
        <v>21</v>
      </c>
      <c r="U1844" s="1" t="s">
        <v>22</v>
      </c>
      <c r="V1844" s="1" t="s">
        <v>24</v>
      </c>
      <c r="W1844" s="1" t="s">
        <v>24</v>
      </c>
      <c r="X1844" s="1">
        <v>2724</v>
      </c>
      <c r="Y1844" s="1">
        <v>2705</v>
      </c>
      <c r="Z1844" s="1" t="s">
        <v>24</v>
      </c>
      <c r="AA1844" s="1" t="s">
        <v>24</v>
      </c>
      <c r="AB1844" s="1" t="s">
        <v>24</v>
      </c>
      <c r="AC1844" s="1" t="s">
        <v>24</v>
      </c>
      <c r="AD1844" s="1" t="s">
        <v>24</v>
      </c>
      <c r="AE1844" s="1" t="s">
        <v>24</v>
      </c>
      <c r="AF1844" s="22"/>
    </row>
    <row r="1845" spans="1:32" x14ac:dyDescent="0.2">
      <c r="A1845" s="1">
        <v>10677</v>
      </c>
      <c r="B1845" s="1" t="s">
        <v>5914</v>
      </c>
      <c r="C1845" s="5" t="s">
        <v>0</v>
      </c>
      <c r="D1845" s="1" t="s">
        <v>5915</v>
      </c>
      <c r="E1845" s="1" t="s">
        <v>5916</v>
      </c>
      <c r="F1845" s="1" t="s">
        <v>4337</v>
      </c>
      <c r="G1845" s="1" t="s">
        <v>4338</v>
      </c>
      <c r="H1845" s="1" t="s">
        <v>30</v>
      </c>
      <c r="I1845" s="1" t="s">
        <v>16</v>
      </c>
      <c r="J1845" s="1">
        <v>1</v>
      </c>
      <c r="K1845" s="1">
        <v>10</v>
      </c>
      <c r="L1845" s="1" t="s">
        <v>31</v>
      </c>
      <c r="M1845" s="1" t="s">
        <v>18</v>
      </c>
      <c r="N1845" s="1" t="s">
        <v>18</v>
      </c>
      <c r="O1845" s="1">
        <v>2</v>
      </c>
      <c r="P1845" s="1">
        <v>7</v>
      </c>
      <c r="Q1845" s="7" t="s">
        <v>17633</v>
      </c>
      <c r="R1845" s="1" t="s">
        <v>19</v>
      </c>
      <c r="S1845" s="1" t="s">
        <v>20</v>
      </c>
      <c r="T1845" s="1" t="s">
        <v>21</v>
      </c>
      <c r="U1845" s="1" t="s">
        <v>22</v>
      </c>
      <c r="V1845" s="1" t="s">
        <v>24</v>
      </c>
      <c r="W1845" s="1" t="s">
        <v>24</v>
      </c>
      <c r="X1845" s="1">
        <v>2748</v>
      </c>
      <c r="Y1845" s="1" t="s">
        <v>24</v>
      </c>
      <c r="Z1845" s="1" t="s">
        <v>24</v>
      </c>
      <c r="AA1845" s="1" t="s">
        <v>24</v>
      </c>
      <c r="AB1845" s="1" t="s">
        <v>24</v>
      </c>
      <c r="AC1845" s="1" t="s">
        <v>24</v>
      </c>
      <c r="AD1845" s="1" t="s">
        <v>24</v>
      </c>
      <c r="AE1845" s="1" t="s">
        <v>24</v>
      </c>
      <c r="AF1845" s="22"/>
    </row>
    <row r="1846" spans="1:32" x14ac:dyDescent="0.2">
      <c r="A1846" s="1">
        <v>10678</v>
      </c>
      <c r="B1846" s="1" t="s">
        <v>5917</v>
      </c>
      <c r="C1846" s="5" t="s">
        <v>0</v>
      </c>
      <c r="D1846" s="1" t="s">
        <v>5918</v>
      </c>
      <c r="F1846" s="1" t="s">
        <v>5919</v>
      </c>
      <c r="G1846" s="1" t="s">
        <v>5919</v>
      </c>
      <c r="H1846" s="1" t="s">
        <v>30</v>
      </c>
      <c r="I1846" s="1" t="s">
        <v>16</v>
      </c>
      <c r="J1846" s="1">
        <v>0</v>
      </c>
      <c r="K1846" s="1">
        <v>0</v>
      </c>
      <c r="L1846" s="1" t="s">
        <v>17</v>
      </c>
      <c r="M1846" s="1" t="s">
        <v>18</v>
      </c>
      <c r="N1846" s="1" t="s">
        <v>18</v>
      </c>
      <c r="O1846" s="1">
        <v>0</v>
      </c>
      <c r="P1846" s="1">
        <v>5</v>
      </c>
      <c r="R1846" s="1" t="s">
        <v>19</v>
      </c>
      <c r="S1846" s="1" t="s">
        <v>20</v>
      </c>
      <c r="T1846" s="1" t="s">
        <v>21</v>
      </c>
      <c r="U1846" s="1" t="s">
        <v>22</v>
      </c>
      <c r="V1846" s="1" t="s">
        <v>24</v>
      </c>
      <c r="W1846" s="1" t="s">
        <v>24</v>
      </c>
      <c r="X1846" s="1">
        <v>3003</v>
      </c>
      <c r="Y1846" s="1" t="s">
        <v>24</v>
      </c>
      <c r="Z1846" s="1" t="s">
        <v>24</v>
      </c>
      <c r="AA1846" s="1" t="s">
        <v>24</v>
      </c>
      <c r="AB1846" s="1" t="s">
        <v>24</v>
      </c>
      <c r="AC1846" s="1" t="s">
        <v>24</v>
      </c>
      <c r="AD1846" s="1" t="s">
        <v>24</v>
      </c>
      <c r="AE1846" s="1" t="s">
        <v>24</v>
      </c>
      <c r="AF1846" s="22"/>
    </row>
    <row r="1847" spans="1:32" x14ac:dyDescent="0.2">
      <c r="A1847" s="1">
        <v>10683</v>
      </c>
      <c r="B1847" s="1" t="s">
        <v>5920</v>
      </c>
      <c r="C1847" s="5" t="s">
        <v>0</v>
      </c>
      <c r="D1847" s="1" t="s">
        <v>5921</v>
      </c>
      <c r="E1847" s="1" t="s">
        <v>5922</v>
      </c>
      <c r="F1847" s="1" t="s">
        <v>303</v>
      </c>
      <c r="G1847" s="1" t="s">
        <v>61</v>
      </c>
      <c r="H1847" s="1" t="s">
        <v>30</v>
      </c>
      <c r="I1847" s="1" t="s">
        <v>16</v>
      </c>
      <c r="J1847" s="1">
        <v>1</v>
      </c>
      <c r="K1847" s="1">
        <v>4</v>
      </c>
      <c r="L1847" s="1" t="s">
        <v>31</v>
      </c>
      <c r="M1847" s="1" t="s">
        <v>18</v>
      </c>
      <c r="N1847" s="1" t="s">
        <v>18</v>
      </c>
      <c r="O1847" s="1">
        <v>3</v>
      </c>
      <c r="P1847" s="1">
        <v>7</v>
      </c>
      <c r="Q1847" s="7" t="s">
        <v>17633</v>
      </c>
      <c r="R1847" s="1" t="s">
        <v>19</v>
      </c>
      <c r="S1847" s="1" t="s">
        <v>20</v>
      </c>
      <c r="T1847" s="1" t="s">
        <v>21</v>
      </c>
      <c r="U1847" s="1" t="s">
        <v>22</v>
      </c>
      <c r="V1847" s="1" t="s">
        <v>23</v>
      </c>
      <c r="W1847" s="1" t="s">
        <v>24</v>
      </c>
      <c r="X1847" s="1">
        <v>2715</v>
      </c>
      <c r="Y1847" s="1" t="s">
        <v>24</v>
      </c>
      <c r="Z1847" s="1" t="s">
        <v>24</v>
      </c>
      <c r="AA1847" s="1" t="s">
        <v>24</v>
      </c>
      <c r="AB1847" s="1" t="s">
        <v>24</v>
      </c>
      <c r="AC1847" s="1" t="s">
        <v>24</v>
      </c>
      <c r="AD1847" s="1" t="s">
        <v>24</v>
      </c>
      <c r="AE1847" s="1" t="s">
        <v>24</v>
      </c>
      <c r="AF1847" s="22"/>
    </row>
    <row r="1848" spans="1:32" x14ac:dyDescent="0.2">
      <c r="A1848" s="1">
        <v>10687</v>
      </c>
      <c r="B1848" s="1" t="s">
        <v>5923</v>
      </c>
      <c r="C1848" s="5" t="s">
        <v>0</v>
      </c>
      <c r="D1848" s="1" t="s">
        <v>5924</v>
      </c>
      <c r="E1848" s="1" t="s">
        <v>5925</v>
      </c>
      <c r="F1848" s="1" t="s">
        <v>1130</v>
      </c>
      <c r="G1848" s="1" t="s">
        <v>1130</v>
      </c>
      <c r="H1848" s="1" t="s">
        <v>135</v>
      </c>
      <c r="I1848" s="1" t="s">
        <v>16</v>
      </c>
      <c r="J1848" s="1">
        <v>1</v>
      </c>
      <c r="K1848" s="1">
        <v>6</v>
      </c>
      <c r="L1848" s="1" t="s">
        <v>17</v>
      </c>
      <c r="M1848" s="1" t="s">
        <v>1612</v>
      </c>
      <c r="N1848" s="1" t="s">
        <v>5887</v>
      </c>
      <c r="O1848" s="1">
        <v>1</v>
      </c>
      <c r="P1848" s="1">
        <v>3</v>
      </c>
      <c r="R1848" s="1" t="s">
        <v>19</v>
      </c>
      <c r="S1848" s="1" t="s">
        <v>20</v>
      </c>
      <c r="T1848" s="1" t="s">
        <v>21</v>
      </c>
      <c r="U1848" s="1" t="s">
        <v>22</v>
      </c>
      <c r="V1848" s="1" t="s">
        <v>23</v>
      </c>
      <c r="W1848" s="1" t="s">
        <v>24</v>
      </c>
      <c r="X1848" s="1">
        <v>2730</v>
      </c>
      <c r="Y1848" s="1" t="s">
        <v>24</v>
      </c>
      <c r="Z1848" s="1" t="s">
        <v>24</v>
      </c>
      <c r="AA1848" s="1" t="s">
        <v>24</v>
      </c>
      <c r="AB1848" s="1" t="s">
        <v>24</v>
      </c>
      <c r="AC1848" s="1" t="s">
        <v>24</v>
      </c>
      <c r="AD1848" s="1" t="s">
        <v>24</v>
      </c>
      <c r="AE1848" s="1" t="s">
        <v>24</v>
      </c>
      <c r="AF1848" s="22"/>
    </row>
    <row r="1849" spans="1:32" x14ac:dyDescent="0.2">
      <c r="A1849" s="1">
        <v>10689</v>
      </c>
      <c r="B1849" s="1" t="s">
        <v>5926</v>
      </c>
      <c r="C1849" s="5" t="s">
        <v>0</v>
      </c>
      <c r="D1849" s="1" t="s">
        <v>5927</v>
      </c>
      <c r="E1849" s="1" t="s">
        <v>5928</v>
      </c>
      <c r="F1849" s="1" t="s">
        <v>28</v>
      </c>
      <c r="G1849" s="1" t="s">
        <v>29</v>
      </c>
      <c r="H1849" s="1" t="s">
        <v>37</v>
      </c>
      <c r="I1849" s="1" t="s">
        <v>16</v>
      </c>
      <c r="J1849" s="1">
        <v>1</v>
      </c>
      <c r="K1849" s="1">
        <v>6</v>
      </c>
      <c r="L1849" s="1" t="s">
        <v>31</v>
      </c>
      <c r="M1849" s="1" t="s">
        <v>18</v>
      </c>
      <c r="N1849" s="1" t="s">
        <v>18</v>
      </c>
      <c r="O1849" s="1">
        <v>3</v>
      </c>
      <c r="P1849" s="1">
        <v>7</v>
      </c>
      <c r="Q1849" s="7" t="s">
        <v>17633</v>
      </c>
      <c r="R1849" s="1" t="s">
        <v>19</v>
      </c>
      <c r="S1849" s="1" t="s">
        <v>20</v>
      </c>
      <c r="T1849" s="1" t="s">
        <v>21</v>
      </c>
      <c r="U1849" s="1" t="s">
        <v>22</v>
      </c>
      <c r="V1849" s="1" t="s">
        <v>24</v>
      </c>
      <c r="W1849" s="1" t="s">
        <v>24</v>
      </c>
      <c r="X1849" s="1">
        <v>1306</v>
      </c>
      <c r="Y1849" s="1">
        <v>2730</v>
      </c>
      <c r="Z1849" s="1">
        <v>2713</v>
      </c>
      <c r="AA1849" s="1">
        <v>2739</v>
      </c>
      <c r="AB1849" s="1" t="s">
        <v>24</v>
      </c>
      <c r="AC1849" s="1" t="s">
        <v>24</v>
      </c>
      <c r="AD1849" s="1" t="s">
        <v>24</v>
      </c>
      <c r="AE1849" s="1" t="s">
        <v>24</v>
      </c>
      <c r="AF1849" s="22"/>
    </row>
    <row r="1850" spans="1:32" x14ac:dyDescent="0.2">
      <c r="A1850" s="1">
        <v>10703</v>
      </c>
      <c r="B1850" s="1" t="s">
        <v>5929</v>
      </c>
      <c r="C1850" s="5" t="s">
        <v>0</v>
      </c>
      <c r="D1850" s="1" t="s">
        <v>5930</v>
      </c>
      <c r="F1850" s="1" t="s">
        <v>5931</v>
      </c>
      <c r="G1850" s="1" t="s">
        <v>5622</v>
      </c>
      <c r="H1850" s="1" t="s">
        <v>428</v>
      </c>
      <c r="I1850" s="1" t="s">
        <v>16</v>
      </c>
      <c r="J1850" s="1">
        <v>1</v>
      </c>
      <c r="K1850" s="1">
        <v>2</v>
      </c>
      <c r="L1850" s="1" t="s">
        <v>42</v>
      </c>
      <c r="M1850" s="1" t="s">
        <v>255</v>
      </c>
      <c r="N1850" s="1" t="s">
        <v>2835</v>
      </c>
      <c r="O1850" s="1">
        <v>3</v>
      </c>
      <c r="P1850" s="1">
        <v>5</v>
      </c>
      <c r="R1850" s="1" t="s">
        <v>19</v>
      </c>
      <c r="S1850" s="1" t="s">
        <v>20</v>
      </c>
      <c r="T1850" s="1" t="s">
        <v>21</v>
      </c>
      <c r="U1850" s="1" t="s">
        <v>22</v>
      </c>
      <c r="V1850" s="1" t="s">
        <v>24</v>
      </c>
      <c r="W1850" s="1" t="s">
        <v>24</v>
      </c>
      <c r="X1850" s="1">
        <v>1308</v>
      </c>
      <c r="Y1850" s="1">
        <v>2704</v>
      </c>
      <c r="Z1850" s="1" t="s">
        <v>24</v>
      </c>
      <c r="AA1850" s="1" t="s">
        <v>24</v>
      </c>
      <c r="AB1850" s="1" t="s">
        <v>24</v>
      </c>
      <c r="AC1850" s="1" t="s">
        <v>24</v>
      </c>
      <c r="AD1850" s="1" t="s">
        <v>24</v>
      </c>
      <c r="AE1850" s="1" t="s">
        <v>24</v>
      </c>
      <c r="AF1850" s="22"/>
    </row>
    <row r="1851" spans="1:32" x14ac:dyDescent="0.2">
      <c r="A1851" s="1">
        <v>10705</v>
      </c>
      <c r="B1851" s="1" t="s">
        <v>5932</v>
      </c>
      <c r="C1851" s="5" t="s">
        <v>0</v>
      </c>
      <c r="D1851" s="1" t="s">
        <v>5933</v>
      </c>
      <c r="E1851" s="1" t="s">
        <v>5934</v>
      </c>
      <c r="F1851" s="1" t="s">
        <v>669</v>
      </c>
      <c r="G1851" s="1" t="s">
        <v>311</v>
      </c>
      <c r="H1851" s="1" t="s">
        <v>30</v>
      </c>
      <c r="I1851" s="1" t="s">
        <v>16</v>
      </c>
      <c r="J1851" s="1">
        <v>1</v>
      </c>
      <c r="K1851" s="1">
        <v>4</v>
      </c>
      <c r="L1851" s="1" t="s">
        <v>31</v>
      </c>
      <c r="M1851" s="1" t="s">
        <v>18</v>
      </c>
      <c r="N1851" s="1" t="s">
        <v>18</v>
      </c>
      <c r="O1851" s="1">
        <v>0</v>
      </c>
      <c r="P1851" s="1">
        <v>6</v>
      </c>
      <c r="R1851" s="1" t="s">
        <v>19</v>
      </c>
      <c r="S1851" s="1" t="s">
        <v>20</v>
      </c>
      <c r="T1851" s="1" t="s">
        <v>21</v>
      </c>
      <c r="U1851" s="1" t="s">
        <v>22</v>
      </c>
      <c r="V1851" s="1" t="s">
        <v>24</v>
      </c>
      <c r="W1851" s="1" t="s">
        <v>24</v>
      </c>
      <c r="X1851" s="1">
        <v>2307</v>
      </c>
      <c r="Y1851" s="1">
        <v>1306</v>
      </c>
      <c r="Z1851" s="1" t="s">
        <v>24</v>
      </c>
      <c r="AA1851" s="1" t="s">
        <v>24</v>
      </c>
      <c r="AB1851" s="1" t="s">
        <v>24</v>
      </c>
      <c r="AC1851" s="1" t="s">
        <v>24</v>
      </c>
      <c r="AD1851" s="1" t="s">
        <v>24</v>
      </c>
      <c r="AE1851" s="1" t="s">
        <v>24</v>
      </c>
      <c r="AF1851" s="22"/>
    </row>
    <row r="1852" spans="1:32" x14ac:dyDescent="0.2">
      <c r="A1852" s="1">
        <v>10712</v>
      </c>
      <c r="B1852" s="1" t="s">
        <v>5935</v>
      </c>
      <c r="C1852" s="5" t="s">
        <v>0</v>
      </c>
      <c r="D1852" s="1" t="s">
        <v>5936</v>
      </c>
      <c r="E1852" s="1" t="s">
        <v>5937</v>
      </c>
      <c r="F1852" s="1" t="s">
        <v>320</v>
      </c>
      <c r="G1852" s="1" t="s">
        <v>36</v>
      </c>
      <c r="H1852" s="1" t="s">
        <v>30</v>
      </c>
      <c r="I1852" s="1" t="s">
        <v>16</v>
      </c>
      <c r="J1852" s="1">
        <v>1</v>
      </c>
      <c r="K1852" s="1">
        <v>12</v>
      </c>
      <c r="L1852" s="1" t="s">
        <v>31</v>
      </c>
      <c r="M1852" s="1" t="s">
        <v>18</v>
      </c>
      <c r="N1852" s="1" t="s">
        <v>18</v>
      </c>
      <c r="O1852" s="1">
        <v>3</v>
      </c>
      <c r="P1852" s="1">
        <v>7</v>
      </c>
      <c r="Q1852" s="7" t="s">
        <v>17633</v>
      </c>
      <c r="R1852" s="1" t="s">
        <v>62</v>
      </c>
      <c r="S1852" s="1" t="s">
        <v>20</v>
      </c>
      <c r="T1852" s="1" t="s">
        <v>21</v>
      </c>
      <c r="U1852" s="1" t="s">
        <v>22</v>
      </c>
      <c r="V1852" s="1" t="s">
        <v>24</v>
      </c>
      <c r="W1852" s="1" t="s">
        <v>24</v>
      </c>
      <c r="X1852" s="1">
        <v>1311</v>
      </c>
      <c r="Y1852" s="1">
        <v>2716</v>
      </c>
      <c r="Z1852" s="1" t="s">
        <v>24</v>
      </c>
      <c r="AA1852" s="1" t="s">
        <v>24</v>
      </c>
      <c r="AB1852" s="1" t="s">
        <v>24</v>
      </c>
      <c r="AC1852" s="1" t="s">
        <v>24</v>
      </c>
      <c r="AD1852" s="1" t="s">
        <v>24</v>
      </c>
      <c r="AE1852" s="1" t="s">
        <v>24</v>
      </c>
      <c r="AF1852" s="22"/>
    </row>
    <row r="1853" spans="1:32" x14ac:dyDescent="0.2">
      <c r="A1853" s="1">
        <v>10714</v>
      </c>
      <c r="B1853" s="1" t="s">
        <v>5938</v>
      </c>
      <c r="C1853" s="5" t="s">
        <v>0</v>
      </c>
      <c r="D1853" s="1" t="s">
        <v>5939</v>
      </c>
      <c r="E1853" s="1" t="s">
        <v>5940</v>
      </c>
      <c r="F1853" s="1" t="s">
        <v>5941</v>
      </c>
      <c r="G1853" s="1" t="s">
        <v>460</v>
      </c>
      <c r="H1853" s="1" t="s">
        <v>461</v>
      </c>
      <c r="I1853" s="1" t="s">
        <v>16</v>
      </c>
      <c r="J1853" s="1">
        <v>1</v>
      </c>
      <c r="K1853" s="1">
        <v>24</v>
      </c>
      <c r="L1853" s="1" t="s">
        <v>42</v>
      </c>
      <c r="M1853" s="1" t="s">
        <v>18</v>
      </c>
      <c r="N1853" s="1" t="s">
        <v>18</v>
      </c>
      <c r="O1853" s="1">
        <v>2</v>
      </c>
      <c r="P1853" s="1">
        <v>6</v>
      </c>
      <c r="R1853" s="1" t="s">
        <v>19</v>
      </c>
      <c r="S1853" s="1" t="s">
        <v>20</v>
      </c>
      <c r="T1853" s="1" t="s">
        <v>21</v>
      </c>
      <c r="U1853" s="1" t="s">
        <v>22</v>
      </c>
      <c r="V1853" s="1" t="s">
        <v>24</v>
      </c>
      <c r="W1853" s="1" t="s">
        <v>24</v>
      </c>
      <c r="X1853" s="1">
        <v>2724</v>
      </c>
      <c r="Y1853" s="1" t="s">
        <v>24</v>
      </c>
      <c r="Z1853" s="1" t="s">
        <v>24</v>
      </c>
      <c r="AA1853" s="1" t="s">
        <v>24</v>
      </c>
      <c r="AB1853" s="1" t="s">
        <v>24</v>
      </c>
      <c r="AC1853" s="1" t="s">
        <v>24</v>
      </c>
      <c r="AD1853" s="1" t="s">
        <v>24</v>
      </c>
      <c r="AE1853" s="1" t="s">
        <v>24</v>
      </c>
      <c r="AF1853" s="22"/>
    </row>
    <row r="1854" spans="1:32" x14ac:dyDescent="0.2">
      <c r="A1854" s="1">
        <v>10716</v>
      </c>
      <c r="B1854" s="1" t="s">
        <v>5942</v>
      </c>
      <c r="C1854" s="5" t="s">
        <v>0</v>
      </c>
      <c r="D1854" s="1" t="s">
        <v>5943</v>
      </c>
      <c r="E1854" s="1" t="s">
        <v>5944</v>
      </c>
      <c r="F1854" s="1" t="s">
        <v>1708</v>
      </c>
      <c r="G1854" s="1" t="s">
        <v>1708</v>
      </c>
      <c r="H1854" s="1" t="s">
        <v>684</v>
      </c>
      <c r="I1854" s="1" t="s">
        <v>16</v>
      </c>
      <c r="J1854" s="1">
        <v>1</v>
      </c>
      <c r="K1854" s="1">
        <v>4</v>
      </c>
      <c r="L1854" s="1" t="s">
        <v>17</v>
      </c>
      <c r="M1854" s="1" t="s">
        <v>852</v>
      </c>
      <c r="N1854" s="1" t="s">
        <v>18</v>
      </c>
      <c r="O1854" s="1">
        <v>2</v>
      </c>
      <c r="P1854" s="1">
        <v>5</v>
      </c>
      <c r="R1854" s="1" t="s">
        <v>19</v>
      </c>
      <c r="S1854" s="1" t="s">
        <v>20</v>
      </c>
      <c r="T1854" s="1" t="s">
        <v>21</v>
      </c>
      <c r="U1854" s="1" t="s">
        <v>22</v>
      </c>
      <c r="V1854" s="1" t="s">
        <v>24</v>
      </c>
      <c r="W1854" s="1" t="s">
        <v>24</v>
      </c>
      <c r="X1854" s="1">
        <v>2715</v>
      </c>
      <c r="Y1854" s="1">
        <v>2724</v>
      </c>
      <c r="Z1854" s="1">
        <v>2916</v>
      </c>
      <c r="AA1854" s="1">
        <v>2712</v>
      </c>
      <c r="AB1854" s="1" t="s">
        <v>24</v>
      </c>
      <c r="AC1854" s="1" t="s">
        <v>24</v>
      </c>
      <c r="AD1854" s="1" t="s">
        <v>24</v>
      </c>
      <c r="AE1854" s="1" t="s">
        <v>24</v>
      </c>
      <c r="AF1854" s="22"/>
    </row>
    <row r="1855" spans="1:32" x14ac:dyDescent="0.2">
      <c r="A1855" s="1">
        <v>10717</v>
      </c>
      <c r="B1855" s="1" t="s">
        <v>5945</v>
      </c>
      <c r="C1855" s="5" t="s">
        <v>0</v>
      </c>
      <c r="D1855" s="1" t="s">
        <v>5946</v>
      </c>
      <c r="E1855" s="1" t="s">
        <v>5947</v>
      </c>
      <c r="F1855" s="1" t="s">
        <v>167</v>
      </c>
      <c r="G1855" s="1" t="s">
        <v>130</v>
      </c>
      <c r="H1855" s="1" t="s">
        <v>168</v>
      </c>
      <c r="I1855" s="1" t="s">
        <v>16</v>
      </c>
      <c r="J1855" s="1">
        <v>1</v>
      </c>
      <c r="K1855" s="1">
        <v>12</v>
      </c>
      <c r="L1855" s="1" t="s">
        <v>31</v>
      </c>
      <c r="M1855" s="1" t="s">
        <v>18</v>
      </c>
      <c r="N1855" s="1" t="s">
        <v>18</v>
      </c>
      <c r="O1855" s="1">
        <v>3</v>
      </c>
      <c r="P1855" s="1">
        <v>7</v>
      </c>
      <c r="Q1855" s="7" t="s">
        <v>17633</v>
      </c>
      <c r="R1855" s="1" t="s">
        <v>19</v>
      </c>
      <c r="S1855" s="1" t="s">
        <v>20</v>
      </c>
      <c r="T1855" s="1" t="s">
        <v>21</v>
      </c>
      <c r="U1855" s="1" t="s">
        <v>22</v>
      </c>
      <c r="V1855" s="1" t="s">
        <v>23</v>
      </c>
      <c r="W1855" s="1" t="s">
        <v>24</v>
      </c>
      <c r="X1855" s="1">
        <v>2746</v>
      </c>
      <c r="Y1855" s="1">
        <v>2732</v>
      </c>
      <c r="Z1855" s="1" t="s">
        <v>24</v>
      </c>
      <c r="AA1855" s="1" t="s">
        <v>24</v>
      </c>
      <c r="AB1855" s="1" t="s">
        <v>24</v>
      </c>
      <c r="AC1855" s="1" t="s">
        <v>24</v>
      </c>
      <c r="AD1855" s="1" t="s">
        <v>24</v>
      </c>
      <c r="AE1855" s="1" t="s">
        <v>24</v>
      </c>
      <c r="AF1855" s="22"/>
    </row>
    <row r="1856" spans="1:32" x14ac:dyDescent="0.2">
      <c r="A1856" s="1">
        <v>10723</v>
      </c>
      <c r="B1856" s="1" t="s">
        <v>5948</v>
      </c>
      <c r="C1856" s="5" t="s">
        <v>0</v>
      </c>
      <c r="D1856" s="1" t="s">
        <v>5949</v>
      </c>
      <c r="E1856" s="1" t="s">
        <v>5950</v>
      </c>
      <c r="F1856" s="1" t="s">
        <v>5951</v>
      </c>
      <c r="G1856" s="1" t="s">
        <v>5951</v>
      </c>
      <c r="H1856" s="1" t="s">
        <v>445</v>
      </c>
      <c r="I1856" s="1" t="s">
        <v>16</v>
      </c>
      <c r="J1856" s="1">
        <v>1</v>
      </c>
      <c r="K1856" s="1">
        <v>12</v>
      </c>
      <c r="L1856" s="1" t="s">
        <v>42</v>
      </c>
      <c r="M1856" s="1" t="s">
        <v>18</v>
      </c>
      <c r="N1856" s="1" t="s">
        <v>18</v>
      </c>
      <c r="O1856" s="1">
        <v>3</v>
      </c>
      <c r="P1856" s="1">
        <v>7</v>
      </c>
      <c r="Q1856" s="7" t="s">
        <v>17633</v>
      </c>
      <c r="R1856" s="1" t="s">
        <v>19</v>
      </c>
      <c r="S1856" s="1" t="s">
        <v>20</v>
      </c>
      <c r="T1856" s="1" t="s">
        <v>21</v>
      </c>
      <c r="U1856" s="1" t="s">
        <v>22</v>
      </c>
      <c r="V1856" s="1" t="s">
        <v>24</v>
      </c>
      <c r="W1856" s="1" t="s">
        <v>24</v>
      </c>
      <c r="X1856" s="1">
        <v>1306</v>
      </c>
      <c r="Y1856" s="1">
        <v>2730</v>
      </c>
      <c r="Z1856" s="1" t="s">
        <v>24</v>
      </c>
      <c r="AA1856" s="1" t="s">
        <v>24</v>
      </c>
      <c r="AB1856" s="1" t="s">
        <v>24</v>
      </c>
      <c r="AC1856" s="1" t="s">
        <v>24</v>
      </c>
      <c r="AD1856" s="1" t="s">
        <v>24</v>
      </c>
      <c r="AE1856" s="1" t="s">
        <v>24</v>
      </c>
      <c r="AF1856" s="22"/>
    </row>
    <row r="1857" spans="1:32" x14ac:dyDescent="0.2">
      <c r="A1857" s="1">
        <v>10733</v>
      </c>
      <c r="B1857" s="1" t="s">
        <v>5952</v>
      </c>
      <c r="C1857" s="5" t="s">
        <v>0</v>
      </c>
      <c r="D1857" s="1" t="s">
        <v>5953</v>
      </c>
      <c r="E1857" s="1" t="s">
        <v>5954</v>
      </c>
      <c r="F1857" s="1" t="s">
        <v>601</v>
      </c>
      <c r="G1857" s="1" t="s">
        <v>61</v>
      </c>
      <c r="H1857" s="1" t="s">
        <v>37</v>
      </c>
      <c r="I1857" s="1" t="s">
        <v>16</v>
      </c>
      <c r="J1857" s="1">
        <v>1</v>
      </c>
      <c r="K1857" s="1">
        <v>6</v>
      </c>
      <c r="L1857" s="1" t="s">
        <v>31</v>
      </c>
      <c r="M1857" s="1" t="s">
        <v>18</v>
      </c>
      <c r="N1857" s="1" t="s">
        <v>18</v>
      </c>
      <c r="O1857" s="1">
        <v>3</v>
      </c>
      <c r="P1857" s="1">
        <v>7</v>
      </c>
      <c r="Q1857" s="7" t="s">
        <v>17633</v>
      </c>
      <c r="R1857" s="1" t="s">
        <v>19</v>
      </c>
      <c r="S1857" s="1" t="s">
        <v>20</v>
      </c>
      <c r="T1857" s="1" t="s">
        <v>21</v>
      </c>
      <c r="U1857" s="1" t="s">
        <v>22</v>
      </c>
      <c r="V1857" s="1" t="s">
        <v>24</v>
      </c>
      <c r="W1857" s="1" t="s">
        <v>24</v>
      </c>
      <c r="X1857" s="1">
        <v>1307</v>
      </c>
      <c r="Y1857" s="1">
        <v>1312</v>
      </c>
      <c r="Z1857" s="1" t="s">
        <v>24</v>
      </c>
      <c r="AA1857" s="1" t="s">
        <v>24</v>
      </c>
      <c r="AB1857" s="1" t="s">
        <v>24</v>
      </c>
      <c r="AC1857" s="1" t="s">
        <v>24</v>
      </c>
      <c r="AD1857" s="1" t="s">
        <v>24</v>
      </c>
      <c r="AE1857" s="1" t="s">
        <v>24</v>
      </c>
      <c r="AF1857" s="22"/>
    </row>
    <row r="1858" spans="1:32" x14ac:dyDescent="0.2">
      <c r="A1858" s="1">
        <v>10736</v>
      </c>
      <c r="B1858" s="1" t="s">
        <v>5955</v>
      </c>
      <c r="C1858" s="5" t="s">
        <v>0</v>
      </c>
      <c r="D1858" s="1" t="s">
        <v>5956</v>
      </c>
      <c r="F1858" s="1" t="s">
        <v>5957</v>
      </c>
      <c r="G1858" s="1" t="s">
        <v>5958</v>
      </c>
      <c r="H1858" s="1" t="s">
        <v>684</v>
      </c>
      <c r="I1858" s="1" t="s">
        <v>16</v>
      </c>
      <c r="J1858" s="1">
        <v>1</v>
      </c>
      <c r="K1858" s="1">
        <v>3</v>
      </c>
      <c r="L1858" s="1" t="s">
        <v>42</v>
      </c>
      <c r="M1858" s="1" t="s">
        <v>852</v>
      </c>
      <c r="N1858" s="1" t="s">
        <v>852</v>
      </c>
      <c r="O1858" s="1">
        <v>2</v>
      </c>
      <c r="P1858" s="1">
        <v>5</v>
      </c>
      <c r="R1858" s="1" t="s">
        <v>19</v>
      </c>
      <c r="S1858" s="1" t="s">
        <v>20</v>
      </c>
      <c r="T1858" s="1" t="s">
        <v>21</v>
      </c>
      <c r="U1858" s="1" t="s">
        <v>22</v>
      </c>
      <c r="V1858" s="1" t="s">
        <v>24</v>
      </c>
      <c r="W1858" s="1" t="s">
        <v>24</v>
      </c>
      <c r="X1858" s="1">
        <v>2728</v>
      </c>
      <c r="Y1858" s="1">
        <v>2808</v>
      </c>
      <c r="Z1858" s="1" t="s">
        <v>24</v>
      </c>
      <c r="AA1858" s="1" t="s">
        <v>24</v>
      </c>
      <c r="AB1858" s="1" t="s">
        <v>24</v>
      </c>
      <c r="AC1858" s="1" t="s">
        <v>24</v>
      </c>
      <c r="AD1858" s="1" t="s">
        <v>24</v>
      </c>
      <c r="AE1858" s="1" t="s">
        <v>24</v>
      </c>
      <c r="AF1858" s="22"/>
    </row>
    <row r="1859" spans="1:32" x14ac:dyDescent="0.2">
      <c r="A1859" s="1">
        <v>10738</v>
      </c>
      <c r="B1859" s="1" t="s">
        <v>5959</v>
      </c>
      <c r="C1859" s="5" t="s">
        <v>0</v>
      </c>
      <c r="D1859" s="1" t="s">
        <v>5960</v>
      </c>
      <c r="E1859" s="1" t="s">
        <v>5961</v>
      </c>
      <c r="F1859" s="1" t="s">
        <v>35</v>
      </c>
      <c r="G1859" s="1" t="s">
        <v>36</v>
      </c>
      <c r="H1859" s="1" t="s">
        <v>37</v>
      </c>
      <c r="I1859" s="1" t="s">
        <v>16</v>
      </c>
      <c r="J1859" s="1">
        <v>1</v>
      </c>
      <c r="K1859" s="1">
        <v>12</v>
      </c>
      <c r="L1859" s="1" t="s">
        <v>31</v>
      </c>
      <c r="M1859" s="1" t="s">
        <v>18</v>
      </c>
      <c r="N1859" s="1" t="s">
        <v>18</v>
      </c>
      <c r="O1859" s="1">
        <v>3</v>
      </c>
      <c r="P1859" s="1">
        <v>6</v>
      </c>
      <c r="R1859" s="1" t="s">
        <v>19</v>
      </c>
      <c r="S1859" s="1" t="s">
        <v>20</v>
      </c>
      <c r="T1859" s="1" t="s">
        <v>21</v>
      </c>
      <c r="U1859" s="1" t="s">
        <v>22</v>
      </c>
      <c r="V1859" s="1" t="s">
        <v>24</v>
      </c>
      <c r="W1859" s="1" t="s">
        <v>24</v>
      </c>
      <c r="X1859" s="1">
        <v>2708</v>
      </c>
      <c r="Y1859" s="1">
        <v>1312</v>
      </c>
      <c r="Z1859" s="1">
        <v>1303</v>
      </c>
      <c r="AA1859" s="1" t="s">
        <v>24</v>
      </c>
      <c r="AB1859" s="1" t="s">
        <v>24</v>
      </c>
      <c r="AC1859" s="1" t="s">
        <v>24</v>
      </c>
      <c r="AD1859" s="1" t="s">
        <v>24</v>
      </c>
      <c r="AE1859" s="1" t="s">
        <v>24</v>
      </c>
      <c r="AF1859" s="22"/>
    </row>
    <row r="1860" spans="1:32" x14ac:dyDescent="0.2">
      <c r="A1860" s="1">
        <v>10750</v>
      </c>
      <c r="B1860" s="1" t="s">
        <v>5962</v>
      </c>
      <c r="C1860" s="5" t="s">
        <v>0</v>
      </c>
      <c r="D1860" s="1" t="s">
        <v>5963</v>
      </c>
      <c r="E1860" s="1" t="s">
        <v>3809</v>
      </c>
      <c r="F1860" s="1" t="s">
        <v>5964</v>
      </c>
      <c r="G1860" s="1" t="s">
        <v>36</v>
      </c>
      <c r="H1860" s="1" t="s">
        <v>37</v>
      </c>
      <c r="I1860" s="1" t="s">
        <v>16</v>
      </c>
      <c r="J1860" s="1">
        <v>0</v>
      </c>
      <c r="K1860" s="1">
        <v>0</v>
      </c>
      <c r="L1860" s="1" t="s">
        <v>31</v>
      </c>
      <c r="M1860" s="1" t="s">
        <v>18</v>
      </c>
      <c r="N1860" s="1" t="s">
        <v>18</v>
      </c>
      <c r="O1860" s="1">
        <v>3</v>
      </c>
      <c r="P1860" s="1">
        <v>7</v>
      </c>
      <c r="Q1860" s="7" t="s">
        <v>17633</v>
      </c>
      <c r="R1860" s="1" t="s">
        <v>19</v>
      </c>
      <c r="S1860" s="1" t="s">
        <v>20</v>
      </c>
      <c r="T1860" s="1" t="s">
        <v>21</v>
      </c>
      <c r="U1860" s="1" t="s">
        <v>22</v>
      </c>
      <c r="V1860" s="1" t="s">
        <v>24</v>
      </c>
      <c r="W1860" s="1" t="s">
        <v>24</v>
      </c>
      <c r="X1860" s="1">
        <v>2403</v>
      </c>
      <c r="Y1860" s="1" t="s">
        <v>24</v>
      </c>
      <c r="Z1860" s="1" t="s">
        <v>24</v>
      </c>
      <c r="AA1860" s="1" t="s">
        <v>24</v>
      </c>
      <c r="AB1860" s="1" t="s">
        <v>24</v>
      </c>
      <c r="AC1860" s="1" t="s">
        <v>24</v>
      </c>
      <c r="AD1860" s="1" t="s">
        <v>24</v>
      </c>
      <c r="AE1860" s="1" t="s">
        <v>24</v>
      </c>
      <c r="AF1860" s="22"/>
    </row>
    <row r="1861" spans="1:32" x14ac:dyDescent="0.2">
      <c r="A1861" s="1">
        <v>10755</v>
      </c>
      <c r="B1861" s="1" t="s">
        <v>5965</v>
      </c>
      <c r="C1861" s="5" t="s">
        <v>0</v>
      </c>
      <c r="D1861" s="1" t="s">
        <v>5966</v>
      </c>
      <c r="E1861" s="1" t="s">
        <v>5967</v>
      </c>
      <c r="F1861" s="1" t="s">
        <v>1177</v>
      </c>
      <c r="G1861" s="1" t="s">
        <v>61</v>
      </c>
      <c r="H1861" s="1" t="s">
        <v>37</v>
      </c>
      <c r="I1861" s="1" t="s">
        <v>16</v>
      </c>
      <c r="J1861" s="1">
        <v>1</v>
      </c>
      <c r="K1861" s="1">
        <v>8</v>
      </c>
      <c r="L1861" s="1" t="s">
        <v>31</v>
      </c>
      <c r="M1861" s="1" t="s">
        <v>18</v>
      </c>
      <c r="N1861" s="1" t="s">
        <v>18</v>
      </c>
      <c r="O1861" s="1">
        <v>3</v>
      </c>
      <c r="P1861" s="1">
        <v>7</v>
      </c>
      <c r="Q1861" s="7" t="s">
        <v>17633</v>
      </c>
      <c r="R1861" s="1" t="s">
        <v>19</v>
      </c>
      <c r="S1861" s="1" t="s">
        <v>20</v>
      </c>
      <c r="T1861" s="1" t="s">
        <v>21</v>
      </c>
      <c r="U1861" s="1" t="s">
        <v>22</v>
      </c>
      <c r="V1861" s="1" t="s">
        <v>24</v>
      </c>
      <c r="W1861" s="1" t="s">
        <v>24</v>
      </c>
      <c r="X1861" s="1">
        <v>2728</v>
      </c>
      <c r="Y1861" s="1">
        <v>2808</v>
      </c>
      <c r="Z1861" s="1" t="s">
        <v>24</v>
      </c>
      <c r="AA1861" s="1" t="s">
        <v>24</v>
      </c>
      <c r="AB1861" s="1" t="s">
        <v>24</v>
      </c>
      <c r="AC1861" s="1" t="s">
        <v>24</v>
      </c>
      <c r="AD1861" s="1" t="s">
        <v>24</v>
      </c>
      <c r="AE1861" s="1" t="s">
        <v>24</v>
      </c>
      <c r="AF1861" s="22"/>
    </row>
    <row r="1862" spans="1:32" x14ac:dyDescent="0.2">
      <c r="A1862" s="1">
        <v>10756</v>
      </c>
      <c r="B1862" s="1" t="s">
        <v>5968</v>
      </c>
      <c r="C1862" s="5" t="s">
        <v>0</v>
      </c>
      <c r="D1862" s="1" t="s">
        <v>5969</v>
      </c>
      <c r="E1862" s="1" t="s">
        <v>5970</v>
      </c>
      <c r="F1862" s="1" t="s">
        <v>217</v>
      </c>
      <c r="G1862" s="1" t="s">
        <v>130</v>
      </c>
      <c r="H1862" s="1" t="s">
        <v>92</v>
      </c>
      <c r="I1862" s="1" t="s">
        <v>16</v>
      </c>
      <c r="J1862" s="1">
        <v>1</v>
      </c>
      <c r="K1862" s="1">
        <v>6</v>
      </c>
      <c r="L1862" s="1" t="s">
        <v>31</v>
      </c>
      <c r="M1862" s="1" t="s">
        <v>18</v>
      </c>
      <c r="N1862" s="1" t="s">
        <v>18</v>
      </c>
      <c r="O1862" s="1">
        <v>3</v>
      </c>
      <c r="P1862" s="1">
        <v>6</v>
      </c>
      <c r="R1862" s="1" t="s">
        <v>19</v>
      </c>
      <c r="S1862" s="1" t="s">
        <v>20</v>
      </c>
      <c r="T1862" s="1" t="s">
        <v>21</v>
      </c>
      <c r="U1862" s="1" t="s">
        <v>22</v>
      </c>
      <c r="V1862" s="1" t="s">
        <v>24</v>
      </c>
      <c r="W1862" s="1" t="s">
        <v>64</v>
      </c>
      <c r="X1862" s="1">
        <v>2502</v>
      </c>
      <c r="Y1862" s="1">
        <v>2506</v>
      </c>
      <c r="Z1862" s="1">
        <v>1100</v>
      </c>
      <c r="AA1862" s="1">
        <v>1300</v>
      </c>
      <c r="AB1862" s="1" t="s">
        <v>24</v>
      </c>
      <c r="AC1862" s="1" t="s">
        <v>24</v>
      </c>
      <c r="AD1862" s="1" t="s">
        <v>24</v>
      </c>
      <c r="AE1862" s="1" t="s">
        <v>24</v>
      </c>
      <c r="AF1862" s="22"/>
    </row>
    <row r="1863" spans="1:32" x14ac:dyDescent="0.2">
      <c r="A1863" s="1">
        <v>10758</v>
      </c>
      <c r="B1863" s="1" t="s">
        <v>5971</v>
      </c>
      <c r="C1863" s="5" t="s">
        <v>0</v>
      </c>
      <c r="D1863" s="1" t="s">
        <v>5972</v>
      </c>
      <c r="E1863" s="1" t="s">
        <v>5973</v>
      </c>
      <c r="F1863" s="1" t="s">
        <v>35</v>
      </c>
      <c r="G1863" s="1" t="s">
        <v>36</v>
      </c>
      <c r="H1863" s="1" t="s">
        <v>37</v>
      </c>
      <c r="I1863" s="1" t="s">
        <v>16</v>
      </c>
      <c r="J1863" s="1">
        <v>1</v>
      </c>
      <c r="K1863" s="1">
        <v>6</v>
      </c>
      <c r="L1863" s="1" t="s">
        <v>31</v>
      </c>
      <c r="M1863" s="1" t="s">
        <v>18</v>
      </c>
      <c r="N1863" s="1" t="s">
        <v>18</v>
      </c>
      <c r="O1863" s="1">
        <v>3</v>
      </c>
      <c r="P1863" s="1">
        <v>7</v>
      </c>
      <c r="Q1863" s="7" t="s">
        <v>17633</v>
      </c>
      <c r="R1863" s="1" t="s">
        <v>19</v>
      </c>
      <c r="S1863" s="1" t="s">
        <v>20</v>
      </c>
      <c r="T1863" s="1" t="s">
        <v>21</v>
      </c>
      <c r="U1863" s="1" t="s">
        <v>22</v>
      </c>
      <c r="V1863" s="1" t="s">
        <v>24</v>
      </c>
      <c r="W1863" s="1" t="s">
        <v>24</v>
      </c>
      <c r="X1863" s="1">
        <v>2708</v>
      </c>
      <c r="Y1863" s="1">
        <v>2725</v>
      </c>
      <c r="Z1863" s="1" t="s">
        <v>24</v>
      </c>
      <c r="AA1863" s="1" t="s">
        <v>24</v>
      </c>
      <c r="AB1863" s="1" t="s">
        <v>24</v>
      </c>
      <c r="AC1863" s="1" t="s">
        <v>24</v>
      </c>
      <c r="AD1863" s="1" t="s">
        <v>24</v>
      </c>
      <c r="AE1863" s="1" t="s">
        <v>24</v>
      </c>
      <c r="AF1863" s="22"/>
    </row>
    <row r="1864" spans="1:32" x14ac:dyDescent="0.2">
      <c r="A1864" s="1">
        <v>10765</v>
      </c>
      <c r="B1864" s="1" t="s">
        <v>5974</v>
      </c>
      <c r="C1864" s="5" t="s">
        <v>0</v>
      </c>
      <c r="D1864" s="1" t="s">
        <v>5975</v>
      </c>
      <c r="E1864" s="1" t="s">
        <v>5976</v>
      </c>
      <c r="F1864" s="1" t="s">
        <v>91</v>
      </c>
      <c r="G1864" s="1" t="s">
        <v>61</v>
      </c>
      <c r="H1864" s="1" t="s">
        <v>92</v>
      </c>
      <c r="I1864" s="1" t="s">
        <v>16</v>
      </c>
      <c r="J1864" s="1">
        <v>3</v>
      </c>
      <c r="K1864" s="1">
        <v>5</v>
      </c>
      <c r="L1864" s="1" t="s">
        <v>31</v>
      </c>
      <c r="M1864" s="1" t="s">
        <v>18</v>
      </c>
      <c r="N1864" s="1" t="s">
        <v>18</v>
      </c>
      <c r="O1864" s="1">
        <v>3</v>
      </c>
      <c r="P1864" s="1">
        <v>7</v>
      </c>
      <c r="Q1864" s="7" t="s">
        <v>17633</v>
      </c>
      <c r="R1864" s="1" t="s">
        <v>19</v>
      </c>
      <c r="S1864" s="1" t="s">
        <v>63</v>
      </c>
      <c r="T1864" s="1" t="s">
        <v>21</v>
      </c>
      <c r="U1864" s="1" t="s">
        <v>22</v>
      </c>
      <c r="V1864" s="1" t="s">
        <v>24</v>
      </c>
      <c r="W1864" s="1" t="s">
        <v>64</v>
      </c>
      <c r="X1864" s="1">
        <v>3003</v>
      </c>
      <c r="Y1864" s="1" t="s">
        <v>24</v>
      </c>
      <c r="Z1864" s="1" t="s">
        <v>24</v>
      </c>
      <c r="AA1864" s="1" t="s">
        <v>24</v>
      </c>
      <c r="AB1864" s="1" t="s">
        <v>24</v>
      </c>
      <c r="AC1864" s="1" t="s">
        <v>24</v>
      </c>
      <c r="AD1864" s="1" t="s">
        <v>24</v>
      </c>
      <c r="AE1864" s="1" t="s">
        <v>24</v>
      </c>
      <c r="AF1864" s="22"/>
    </row>
    <row r="1865" spans="1:32" x14ac:dyDescent="0.2">
      <c r="A1865" s="1">
        <v>10768</v>
      </c>
      <c r="B1865" s="1" t="s">
        <v>5977</v>
      </c>
      <c r="C1865" s="5" t="s">
        <v>0</v>
      </c>
      <c r="D1865" s="1" t="s">
        <v>5978</v>
      </c>
      <c r="E1865" s="1" t="s">
        <v>5979</v>
      </c>
      <c r="F1865" s="1" t="s">
        <v>60</v>
      </c>
      <c r="G1865" s="1" t="s">
        <v>61</v>
      </c>
      <c r="H1865" s="1" t="s">
        <v>30</v>
      </c>
      <c r="I1865" s="1" t="s">
        <v>16</v>
      </c>
      <c r="J1865" s="1">
        <v>1</v>
      </c>
      <c r="K1865" s="1">
        <v>1</v>
      </c>
      <c r="L1865" s="1" t="s">
        <v>31</v>
      </c>
      <c r="M1865" s="1" t="s">
        <v>18</v>
      </c>
      <c r="N1865" s="1" t="s">
        <v>18</v>
      </c>
      <c r="O1865" s="1">
        <v>3</v>
      </c>
      <c r="P1865" s="1">
        <v>7</v>
      </c>
      <c r="Q1865" s="7" t="s">
        <v>17633</v>
      </c>
      <c r="R1865" s="1" t="s">
        <v>19</v>
      </c>
      <c r="S1865" s="1" t="s">
        <v>63</v>
      </c>
      <c r="T1865" s="1" t="s">
        <v>21</v>
      </c>
      <c r="U1865" s="1" t="s">
        <v>22</v>
      </c>
      <c r="V1865" s="1" t="s">
        <v>24</v>
      </c>
      <c r="W1865" s="1" t="s">
        <v>24</v>
      </c>
      <c r="X1865" s="1">
        <v>2508</v>
      </c>
      <c r="Y1865" s="1">
        <v>2504</v>
      </c>
      <c r="Z1865" s="1">
        <v>2502</v>
      </c>
      <c r="AA1865" s="1">
        <v>1505</v>
      </c>
      <c r="AB1865" s="1" t="s">
        <v>24</v>
      </c>
      <c r="AC1865" s="1" t="s">
        <v>24</v>
      </c>
      <c r="AD1865" s="1" t="s">
        <v>24</v>
      </c>
      <c r="AE1865" s="1" t="s">
        <v>24</v>
      </c>
      <c r="AF1865" s="22"/>
    </row>
    <row r="1866" spans="1:32" x14ac:dyDescent="0.2">
      <c r="A1866" s="1">
        <v>10771</v>
      </c>
      <c r="B1866" s="1" t="s">
        <v>5980</v>
      </c>
      <c r="C1866" s="5" t="s">
        <v>0</v>
      </c>
      <c r="D1866" s="1" t="s">
        <v>5981</v>
      </c>
      <c r="E1866" s="1" t="s">
        <v>5982</v>
      </c>
      <c r="F1866" s="1" t="s">
        <v>5983</v>
      </c>
      <c r="G1866" s="1" t="s">
        <v>254</v>
      </c>
      <c r="H1866" s="1" t="s">
        <v>168</v>
      </c>
      <c r="I1866" s="1" t="s">
        <v>16</v>
      </c>
      <c r="J1866" s="1">
        <v>1</v>
      </c>
      <c r="K1866" s="1">
        <v>4</v>
      </c>
      <c r="L1866" s="1" t="s">
        <v>31</v>
      </c>
      <c r="M1866" s="1" t="s">
        <v>18</v>
      </c>
      <c r="N1866" s="1" t="s">
        <v>18</v>
      </c>
      <c r="O1866" s="1">
        <v>2</v>
      </c>
      <c r="P1866" s="1">
        <v>6</v>
      </c>
      <c r="R1866" s="1" t="s">
        <v>19</v>
      </c>
      <c r="S1866" s="1" t="s">
        <v>20</v>
      </c>
      <c r="T1866" s="1" t="s">
        <v>21</v>
      </c>
      <c r="U1866" s="1" t="s">
        <v>22</v>
      </c>
      <c r="V1866" s="1" t="s">
        <v>24</v>
      </c>
      <c r="W1866" s="1" t="s">
        <v>24</v>
      </c>
      <c r="X1866" s="1">
        <v>2730</v>
      </c>
      <c r="Y1866" s="1">
        <v>2741</v>
      </c>
      <c r="Z1866" s="1" t="s">
        <v>24</v>
      </c>
      <c r="AA1866" s="1" t="s">
        <v>24</v>
      </c>
      <c r="AB1866" s="1" t="s">
        <v>24</v>
      </c>
      <c r="AC1866" s="1" t="s">
        <v>24</v>
      </c>
      <c r="AD1866" s="1" t="s">
        <v>24</v>
      </c>
      <c r="AE1866" s="1" t="s">
        <v>24</v>
      </c>
      <c r="AF1866" s="22"/>
    </row>
    <row r="1867" spans="1:32" x14ac:dyDescent="0.2">
      <c r="A1867" s="1">
        <v>10779</v>
      </c>
      <c r="B1867" s="1" t="s">
        <v>5984</v>
      </c>
      <c r="C1867" s="5" t="s">
        <v>0</v>
      </c>
      <c r="D1867" s="1" t="s">
        <v>5985</v>
      </c>
      <c r="F1867" s="1" t="s">
        <v>1711</v>
      </c>
      <c r="G1867" s="1" t="s">
        <v>1712</v>
      </c>
      <c r="H1867" s="1" t="s">
        <v>684</v>
      </c>
      <c r="I1867" s="1" t="s">
        <v>16</v>
      </c>
      <c r="J1867" s="1">
        <v>1</v>
      </c>
      <c r="K1867" s="1">
        <v>4</v>
      </c>
      <c r="L1867" s="1" t="s">
        <v>31</v>
      </c>
      <c r="M1867" s="1" t="s">
        <v>18</v>
      </c>
      <c r="N1867" s="1" t="s">
        <v>18</v>
      </c>
      <c r="O1867" s="1">
        <v>3</v>
      </c>
      <c r="P1867" s="1">
        <v>6</v>
      </c>
      <c r="R1867" s="1" t="s">
        <v>19</v>
      </c>
      <c r="S1867" s="1" t="s">
        <v>20</v>
      </c>
      <c r="T1867" s="1" t="s">
        <v>21</v>
      </c>
      <c r="U1867" s="1" t="s">
        <v>22</v>
      </c>
      <c r="V1867" s="1" t="s">
        <v>23</v>
      </c>
      <c r="W1867" s="1" t="s">
        <v>24</v>
      </c>
      <c r="X1867" s="1">
        <v>2739</v>
      </c>
      <c r="Y1867" s="1">
        <v>2725</v>
      </c>
      <c r="Z1867" s="1" t="s">
        <v>24</v>
      </c>
      <c r="AA1867" s="1" t="s">
        <v>24</v>
      </c>
      <c r="AB1867" s="1" t="s">
        <v>24</v>
      </c>
      <c r="AC1867" s="1" t="s">
        <v>24</v>
      </c>
      <c r="AD1867" s="1" t="s">
        <v>24</v>
      </c>
      <c r="AE1867" s="1" t="s">
        <v>24</v>
      </c>
      <c r="AF1867" s="22"/>
    </row>
    <row r="1868" spans="1:32" x14ac:dyDescent="0.2">
      <c r="A1868" s="1">
        <v>10780</v>
      </c>
      <c r="B1868" s="1" t="s">
        <v>5986</v>
      </c>
      <c r="C1868" s="5" t="s">
        <v>0</v>
      </c>
      <c r="D1868" s="1" t="s">
        <v>5987</v>
      </c>
      <c r="F1868" s="1" t="s">
        <v>5988</v>
      </c>
      <c r="G1868" s="1" t="s">
        <v>5989</v>
      </c>
      <c r="H1868" s="1" t="s">
        <v>684</v>
      </c>
      <c r="I1868" s="1" t="s">
        <v>16</v>
      </c>
      <c r="J1868" s="1">
        <v>1</v>
      </c>
      <c r="K1868" s="1">
        <v>4</v>
      </c>
      <c r="L1868" s="1" t="s">
        <v>42</v>
      </c>
      <c r="M1868" s="1" t="s">
        <v>18</v>
      </c>
      <c r="N1868" s="1" t="s">
        <v>18</v>
      </c>
      <c r="O1868" s="1">
        <v>3</v>
      </c>
      <c r="P1868" s="1">
        <v>6</v>
      </c>
      <c r="R1868" s="1" t="s">
        <v>19</v>
      </c>
      <c r="S1868" s="1" t="s">
        <v>20</v>
      </c>
      <c r="T1868" s="1" t="s">
        <v>21</v>
      </c>
      <c r="U1868" s="1" t="s">
        <v>22</v>
      </c>
      <c r="V1868" s="1" t="s">
        <v>24</v>
      </c>
      <c r="W1868" s="1" t="s">
        <v>24</v>
      </c>
      <c r="X1868" s="1">
        <v>2729</v>
      </c>
      <c r="Y1868" s="1" t="s">
        <v>24</v>
      </c>
      <c r="Z1868" s="1" t="s">
        <v>24</v>
      </c>
      <c r="AA1868" s="1" t="s">
        <v>24</v>
      </c>
      <c r="AB1868" s="1" t="s">
        <v>24</v>
      </c>
      <c r="AC1868" s="1" t="s">
        <v>24</v>
      </c>
      <c r="AD1868" s="1" t="s">
        <v>24</v>
      </c>
      <c r="AE1868" s="1" t="s">
        <v>24</v>
      </c>
      <c r="AF1868" s="22"/>
    </row>
    <row r="1869" spans="1:32" x14ac:dyDescent="0.2">
      <c r="A1869" s="1">
        <v>10782</v>
      </c>
      <c r="B1869" s="1" t="s">
        <v>5990</v>
      </c>
      <c r="C1869" s="5" t="s">
        <v>0</v>
      </c>
      <c r="D1869" s="1" t="s">
        <v>5991</v>
      </c>
      <c r="E1869" s="1" t="s">
        <v>5992</v>
      </c>
      <c r="F1869" s="1" t="s">
        <v>155</v>
      </c>
      <c r="G1869" s="1" t="s">
        <v>61</v>
      </c>
      <c r="H1869" s="1" t="s">
        <v>37</v>
      </c>
      <c r="I1869" s="1" t="s">
        <v>16</v>
      </c>
      <c r="J1869" s="1">
        <v>1</v>
      </c>
      <c r="K1869" s="1">
        <v>12</v>
      </c>
      <c r="L1869" s="1" t="s">
        <v>31</v>
      </c>
      <c r="M1869" s="1" t="s">
        <v>18</v>
      </c>
      <c r="N1869" s="1" t="s">
        <v>18</v>
      </c>
      <c r="O1869" s="1">
        <v>2</v>
      </c>
      <c r="P1869" s="1">
        <v>7</v>
      </c>
      <c r="Q1869" s="7" t="s">
        <v>17633</v>
      </c>
      <c r="R1869" s="1" t="s">
        <v>62</v>
      </c>
      <c r="S1869" s="1" t="s">
        <v>20</v>
      </c>
      <c r="T1869" s="1" t="s">
        <v>21</v>
      </c>
      <c r="U1869" s="1" t="s">
        <v>22</v>
      </c>
      <c r="V1869" s="1" t="s">
        <v>24</v>
      </c>
      <c r="W1869" s="1" t="s">
        <v>24</v>
      </c>
      <c r="X1869" s="1">
        <v>2725</v>
      </c>
      <c r="Y1869" s="1">
        <v>2726</v>
      </c>
      <c r="Z1869" s="1">
        <v>2404</v>
      </c>
      <c r="AA1869" s="1">
        <v>2406</v>
      </c>
      <c r="AB1869" s="1" t="s">
        <v>24</v>
      </c>
      <c r="AC1869" s="1" t="s">
        <v>24</v>
      </c>
      <c r="AD1869" s="1" t="s">
        <v>24</v>
      </c>
      <c r="AE1869" s="1" t="s">
        <v>24</v>
      </c>
      <c r="AF1869" s="22"/>
    </row>
    <row r="1870" spans="1:32" x14ac:dyDescent="0.2">
      <c r="A1870" s="1">
        <v>10789</v>
      </c>
      <c r="B1870" s="1" t="s">
        <v>5993</v>
      </c>
      <c r="C1870" s="5" t="s">
        <v>0</v>
      </c>
      <c r="D1870" s="1" t="s">
        <v>5994</v>
      </c>
      <c r="F1870" s="1" t="s">
        <v>35</v>
      </c>
      <c r="G1870" s="1" t="s">
        <v>36</v>
      </c>
      <c r="H1870" s="1" t="s">
        <v>37</v>
      </c>
      <c r="I1870" s="1" t="s">
        <v>16</v>
      </c>
      <c r="J1870" s="1">
        <v>0</v>
      </c>
      <c r="K1870" s="1">
        <v>0</v>
      </c>
      <c r="L1870" s="1" t="s">
        <v>31</v>
      </c>
      <c r="M1870" s="1" t="s">
        <v>18</v>
      </c>
      <c r="N1870" s="1" t="s">
        <v>18</v>
      </c>
      <c r="O1870" s="1">
        <v>3</v>
      </c>
      <c r="P1870" s="1">
        <v>7</v>
      </c>
      <c r="Q1870" s="7" t="s">
        <v>17633</v>
      </c>
      <c r="R1870" s="1" t="s">
        <v>19</v>
      </c>
      <c r="S1870" s="1" t="s">
        <v>20</v>
      </c>
      <c r="T1870" s="1" t="s">
        <v>21</v>
      </c>
      <c r="U1870" s="1" t="s">
        <v>22</v>
      </c>
      <c r="V1870" s="1" t="s">
        <v>24</v>
      </c>
      <c r="W1870" s="1" t="s">
        <v>24</v>
      </c>
      <c r="X1870" s="1">
        <v>2708</v>
      </c>
      <c r="Y1870" s="1" t="s">
        <v>24</v>
      </c>
      <c r="Z1870" s="1" t="s">
        <v>24</v>
      </c>
      <c r="AA1870" s="1" t="s">
        <v>24</v>
      </c>
      <c r="AB1870" s="1" t="s">
        <v>24</v>
      </c>
      <c r="AC1870" s="1" t="s">
        <v>24</v>
      </c>
      <c r="AD1870" s="1" t="s">
        <v>24</v>
      </c>
      <c r="AE1870" s="1" t="s">
        <v>24</v>
      </c>
      <c r="AF1870" s="22"/>
    </row>
    <row r="1871" spans="1:32" x14ac:dyDescent="0.2">
      <c r="A1871" s="1">
        <v>10795</v>
      </c>
      <c r="B1871" s="1" t="s">
        <v>5995</v>
      </c>
      <c r="C1871" s="5" t="s">
        <v>0</v>
      </c>
      <c r="D1871" s="1" t="s">
        <v>5996</v>
      </c>
      <c r="E1871" s="1" t="s">
        <v>5997</v>
      </c>
      <c r="F1871" s="1" t="s">
        <v>5998</v>
      </c>
      <c r="G1871" s="1" t="s">
        <v>5998</v>
      </c>
      <c r="H1871" s="1" t="s">
        <v>4993</v>
      </c>
      <c r="I1871" s="1" t="s">
        <v>16</v>
      </c>
      <c r="J1871" s="1">
        <v>1</v>
      </c>
      <c r="K1871" s="1">
        <v>12</v>
      </c>
      <c r="L1871" s="1" t="s">
        <v>42</v>
      </c>
      <c r="M1871" s="1" t="s">
        <v>4994</v>
      </c>
      <c r="N1871" s="1" t="s">
        <v>5999</v>
      </c>
      <c r="O1871" s="1">
        <v>1</v>
      </c>
      <c r="P1871" s="1">
        <v>1</v>
      </c>
      <c r="R1871" s="1" t="s">
        <v>19</v>
      </c>
      <c r="S1871" s="1" t="s">
        <v>20</v>
      </c>
      <c r="T1871" s="1" t="s">
        <v>21</v>
      </c>
      <c r="U1871" s="1" t="s">
        <v>22</v>
      </c>
      <c r="V1871" s="1" t="s">
        <v>24</v>
      </c>
      <c r="W1871" s="1" t="s">
        <v>24</v>
      </c>
      <c r="X1871" s="1">
        <v>2700</v>
      </c>
      <c r="Y1871" s="1" t="s">
        <v>24</v>
      </c>
      <c r="Z1871" s="1" t="s">
        <v>24</v>
      </c>
      <c r="AA1871" s="1" t="s">
        <v>24</v>
      </c>
      <c r="AB1871" s="1" t="s">
        <v>24</v>
      </c>
      <c r="AC1871" s="1" t="s">
        <v>24</v>
      </c>
      <c r="AD1871" s="1" t="s">
        <v>24</v>
      </c>
      <c r="AE1871" s="1" t="s">
        <v>24</v>
      </c>
      <c r="AF1871" s="22"/>
    </row>
    <row r="1872" spans="1:32" x14ac:dyDescent="0.2">
      <c r="A1872" s="1">
        <v>10796</v>
      </c>
      <c r="B1872" s="1" t="s">
        <v>6000</v>
      </c>
      <c r="C1872" s="5" t="s">
        <v>0</v>
      </c>
      <c r="D1872" s="1" t="s">
        <v>6001</v>
      </c>
      <c r="E1872" s="1" t="s">
        <v>6002</v>
      </c>
      <c r="F1872" s="1" t="s">
        <v>315</v>
      </c>
      <c r="G1872" s="1" t="s">
        <v>316</v>
      </c>
      <c r="H1872" s="1" t="s">
        <v>37</v>
      </c>
      <c r="I1872" s="1" t="s">
        <v>16</v>
      </c>
      <c r="J1872" s="1">
        <v>1</v>
      </c>
      <c r="K1872" s="1">
        <v>12</v>
      </c>
      <c r="L1872" s="1" t="s">
        <v>31</v>
      </c>
      <c r="M1872" s="1" t="s">
        <v>18</v>
      </c>
      <c r="N1872" s="1" t="s">
        <v>18</v>
      </c>
      <c r="O1872" s="1">
        <v>3</v>
      </c>
      <c r="P1872" s="1">
        <v>7</v>
      </c>
      <c r="Q1872" s="7" t="s">
        <v>17633</v>
      </c>
      <c r="R1872" s="1" t="s">
        <v>62</v>
      </c>
      <c r="S1872" s="1" t="s">
        <v>20</v>
      </c>
      <c r="T1872" s="1" t="s">
        <v>21</v>
      </c>
      <c r="U1872" s="1" t="s">
        <v>22</v>
      </c>
      <c r="V1872" s="1" t="s">
        <v>24</v>
      </c>
      <c r="W1872" s="1" t="s">
        <v>24</v>
      </c>
      <c r="X1872" s="1">
        <v>2716</v>
      </c>
      <c r="Y1872" s="1">
        <v>1311</v>
      </c>
      <c r="Z1872" s="1" t="s">
        <v>24</v>
      </c>
      <c r="AA1872" s="1" t="s">
        <v>24</v>
      </c>
      <c r="AB1872" s="1" t="s">
        <v>24</v>
      </c>
      <c r="AC1872" s="1" t="s">
        <v>24</v>
      </c>
      <c r="AD1872" s="1" t="s">
        <v>24</v>
      </c>
      <c r="AE1872" s="1" t="s">
        <v>24</v>
      </c>
      <c r="AF1872" s="22"/>
    </row>
    <row r="1873" spans="1:32" x14ac:dyDescent="0.2">
      <c r="A1873" s="1">
        <v>10802</v>
      </c>
      <c r="B1873" s="1" t="s">
        <v>6003</v>
      </c>
      <c r="C1873" s="5" t="s">
        <v>0</v>
      </c>
      <c r="D1873" s="1" t="s">
        <v>6004</v>
      </c>
      <c r="E1873" s="1" t="s">
        <v>6005</v>
      </c>
      <c r="F1873" s="1" t="s">
        <v>6006</v>
      </c>
      <c r="G1873" s="1" t="s">
        <v>6006</v>
      </c>
      <c r="H1873" s="1" t="s">
        <v>684</v>
      </c>
      <c r="I1873" s="1" t="s">
        <v>16</v>
      </c>
      <c r="J1873" s="1">
        <v>1</v>
      </c>
      <c r="K1873" s="1">
        <v>4</v>
      </c>
      <c r="L1873" s="1" t="s">
        <v>42</v>
      </c>
      <c r="M1873" s="1" t="s">
        <v>18</v>
      </c>
      <c r="N1873" s="1" t="s">
        <v>18</v>
      </c>
      <c r="O1873" s="1">
        <v>2</v>
      </c>
      <c r="P1873" s="1">
        <v>6</v>
      </c>
      <c r="R1873" s="1" t="s">
        <v>19</v>
      </c>
      <c r="S1873" s="1" t="s">
        <v>20</v>
      </c>
      <c r="T1873" s="1" t="s">
        <v>21</v>
      </c>
      <c r="U1873" s="1" t="s">
        <v>22</v>
      </c>
      <c r="V1873" s="1" t="s">
        <v>24</v>
      </c>
      <c r="W1873" s="1" t="s">
        <v>24</v>
      </c>
      <c r="X1873" s="1">
        <v>2708</v>
      </c>
      <c r="Y1873" s="1">
        <v>2735</v>
      </c>
      <c r="Z1873" s="1" t="s">
        <v>24</v>
      </c>
      <c r="AA1873" s="1" t="s">
        <v>24</v>
      </c>
      <c r="AB1873" s="1" t="s">
        <v>24</v>
      </c>
      <c r="AC1873" s="1" t="s">
        <v>24</v>
      </c>
      <c r="AD1873" s="1" t="s">
        <v>24</v>
      </c>
      <c r="AE1873" s="1" t="s">
        <v>24</v>
      </c>
      <c r="AF1873" s="22"/>
    </row>
    <row r="1874" spans="1:32" x14ac:dyDescent="0.2">
      <c r="A1874" s="1">
        <v>10803</v>
      </c>
      <c r="B1874" s="1" t="s">
        <v>6007</v>
      </c>
      <c r="C1874" s="5" t="s">
        <v>0</v>
      </c>
      <c r="D1874" s="1" t="s">
        <v>6008</v>
      </c>
      <c r="E1874" s="1" t="s">
        <v>6009</v>
      </c>
      <c r="F1874" s="1" t="s">
        <v>272</v>
      </c>
      <c r="G1874" s="1" t="s">
        <v>61</v>
      </c>
      <c r="H1874" s="1" t="s">
        <v>30</v>
      </c>
      <c r="I1874" s="1" t="s">
        <v>16</v>
      </c>
      <c r="J1874" s="1">
        <v>1</v>
      </c>
      <c r="K1874" s="1">
        <v>6</v>
      </c>
      <c r="L1874" s="1" t="s">
        <v>31</v>
      </c>
      <c r="M1874" s="1" t="s">
        <v>18</v>
      </c>
      <c r="N1874" s="1" t="s">
        <v>18</v>
      </c>
      <c r="O1874" s="1">
        <v>3</v>
      </c>
      <c r="P1874" s="1">
        <v>7</v>
      </c>
      <c r="Q1874" s="7" t="s">
        <v>17633</v>
      </c>
      <c r="R1874" s="1" t="s">
        <v>19</v>
      </c>
      <c r="S1874" s="1" t="s">
        <v>20</v>
      </c>
      <c r="T1874" s="1" t="s">
        <v>21</v>
      </c>
      <c r="U1874" s="1" t="s">
        <v>22</v>
      </c>
      <c r="V1874" s="1" t="s">
        <v>24</v>
      </c>
      <c r="W1874" s="1" t="s">
        <v>24</v>
      </c>
      <c r="X1874" s="1">
        <v>1310</v>
      </c>
      <c r="Y1874" s="1">
        <v>2712</v>
      </c>
      <c r="Z1874" s="1">
        <v>2724</v>
      </c>
      <c r="AA1874" s="1" t="s">
        <v>24</v>
      </c>
      <c r="AB1874" s="1" t="s">
        <v>24</v>
      </c>
      <c r="AC1874" s="1" t="s">
        <v>24</v>
      </c>
      <c r="AD1874" s="1" t="s">
        <v>24</v>
      </c>
      <c r="AE1874" s="1" t="s">
        <v>24</v>
      </c>
      <c r="AF1874" s="22"/>
    </row>
    <row r="1875" spans="1:32" x14ac:dyDescent="0.2">
      <c r="A1875" s="1">
        <v>10805</v>
      </c>
      <c r="B1875" s="1" t="s">
        <v>6010</v>
      </c>
      <c r="C1875" s="5" t="s">
        <v>0</v>
      </c>
      <c r="D1875" s="1" t="s">
        <v>6011</v>
      </c>
      <c r="E1875" s="1" t="s">
        <v>6012</v>
      </c>
      <c r="F1875" s="1" t="s">
        <v>272</v>
      </c>
      <c r="G1875" s="1" t="s">
        <v>61</v>
      </c>
      <c r="H1875" s="1" t="s">
        <v>30</v>
      </c>
      <c r="I1875" s="1" t="s">
        <v>16</v>
      </c>
      <c r="J1875" s="1">
        <v>1</v>
      </c>
      <c r="K1875" s="1">
        <v>8</v>
      </c>
      <c r="L1875" s="1" t="s">
        <v>31</v>
      </c>
      <c r="M1875" s="1" t="s">
        <v>18</v>
      </c>
      <c r="N1875" s="1" t="s">
        <v>18</v>
      </c>
      <c r="O1875" s="1">
        <v>3</v>
      </c>
      <c r="P1875" s="1">
        <v>6</v>
      </c>
      <c r="R1875" s="1" t="s">
        <v>19</v>
      </c>
      <c r="S1875" s="1" t="s">
        <v>20</v>
      </c>
      <c r="T1875" s="1" t="s">
        <v>21</v>
      </c>
      <c r="U1875" s="1" t="s">
        <v>22</v>
      </c>
      <c r="V1875" s="1" t="s">
        <v>24</v>
      </c>
      <c r="W1875" s="1" t="s">
        <v>24</v>
      </c>
      <c r="X1875" s="1">
        <v>2700</v>
      </c>
      <c r="Y1875" s="1" t="s">
        <v>24</v>
      </c>
      <c r="Z1875" s="1" t="s">
        <v>24</v>
      </c>
      <c r="AA1875" s="1" t="s">
        <v>24</v>
      </c>
      <c r="AB1875" s="1" t="s">
        <v>24</v>
      </c>
      <c r="AC1875" s="1" t="s">
        <v>24</v>
      </c>
      <c r="AD1875" s="1" t="s">
        <v>24</v>
      </c>
      <c r="AE1875" s="1" t="s">
        <v>24</v>
      </c>
      <c r="AF1875" s="22"/>
    </row>
    <row r="1876" spans="1:32" x14ac:dyDescent="0.2">
      <c r="A1876" s="1">
        <v>10816</v>
      </c>
      <c r="B1876" s="1" t="s">
        <v>6013</v>
      </c>
      <c r="C1876" s="5" t="s">
        <v>0</v>
      </c>
      <c r="D1876" s="1" t="s">
        <v>6014</v>
      </c>
      <c r="E1876" s="1" t="s">
        <v>6015</v>
      </c>
      <c r="F1876" s="1" t="s">
        <v>291</v>
      </c>
      <c r="G1876" s="1" t="s">
        <v>292</v>
      </c>
      <c r="H1876" s="1" t="s">
        <v>30</v>
      </c>
      <c r="I1876" s="1" t="s">
        <v>16</v>
      </c>
      <c r="J1876" s="1">
        <v>1</v>
      </c>
      <c r="K1876" s="1">
        <v>3</v>
      </c>
      <c r="L1876" s="1" t="s">
        <v>31</v>
      </c>
      <c r="M1876" s="1" t="s">
        <v>18</v>
      </c>
      <c r="N1876" s="1" t="s">
        <v>18</v>
      </c>
      <c r="O1876" s="1">
        <v>3</v>
      </c>
      <c r="P1876" s="1">
        <v>6</v>
      </c>
      <c r="R1876" s="1" t="s">
        <v>19</v>
      </c>
      <c r="S1876" s="1" t="s">
        <v>20</v>
      </c>
      <c r="T1876" s="1" t="s">
        <v>21</v>
      </c>
      <c r="U1876" s="1" t="s">
        <v>22</v>
      </c>
      <c r="V1876" s="1" t="s">
        <v>24</v>
      </c>
      <c r="W1876" s="1" t="s">
        <v>24</v>
      </c>
      <c r="X1876" s="1">
        <v>2729</v>
      </c>
      <c r="Y1876" s="1">
        <v>2724</v>
      </c>
      <c r="Z1876" s="1" t="s">
        <v>24</v>
      </c>
      <c r="AA1876" s="1" t="s">
        <v>24</v>
      </c>
      <c r="AB1876" s="1" t="s">
        <v>24</v>
      </c>
      <c r="AC1876" s="1" t="s">
        <v>24</v>
      </c>
      <c r="AD1876" s="1" t="s">
        <v>24</v>
      </c>
      <c r="AE1876" s="1" t="s">
        <v>24</v>
      </c>
      <c r="AF1876" s="22"/>
    </row>
    <row r="1877" spans="1:32" x14ac:dyDescent="0.2">
      <c r="A1877" s="1">
        <v>10817</v>
      </c>
      <c r="B1877" s="1" t="s">
        <v>6016</v>
      </c>
      <c r="C1877" s="5" t="s">
        <v>0</v>
      </c>
      <c r="D1877" s="1" t="s">
        <v>6017</v>
      </c>
      <c r="E1877" s="1" t="s">
        <v>6018</v>
      </c>
      <c r="F1877" s="1" t="s">
        <v>6019</v>
      </c>
      <c r="G1877" s="1" t="s">
        <v>6019</v>
      </c>
      <c r="H1877" s="1" t="s">
        <v>428</v>
      </c>
      <c r="I1877" s="1" t="s">
        <v>16</v>
      </c>
      <c r="J1877" s="1">
        <v>1</v>
      </c>
      <c r="K1877" s="1">
        <v>4</v>
      </c>
      <c r="L1877" s="1" t="s">
        <v>42</v>
      </c>
      <c r="M1877" s="1" t="s">
        <v>2835</v>
      </c>
      <c r="N1877" s="1" t="s">
        <v>18</v>
      </c>
      <c r="O1877" s="1">
        <v>2</v>
      </c>
      <c r="P1877" s="1">
        <v>5</v>
      </c>
      <c r="R1877" s="1" t="s">
        <v>19</v>
      </c>
      <c r="S1877" s="1" t="s">
        <v>20</v>
      </c>
      <c r="T1877" s="1" t="s">
        <v>21</v>
      </c>
      <c r="U1877" s="1" t="s">
        <v>22</v>
      </c>
      <c r="V1877" s="1" t="s">
        <v>24</v>
      </c>
      <c r="W1877" s="1" t="s">
        <v>24</v>
      </c>
      <c r="X1877" s="1">
        <v>2735</v>
      </c>
      <c r="Y1877" s="1" t="s">
        <v>24</v>
      </c>
      <c r="Z1877" s="1" t="s">
        <v>24</v>
      </c>
      <c r="AA1877" s="1" t="s">
        <v>24</v>
      </c>
      <c r="AB1877" s="1" t="s">
        <v>24</v>
      </c>
      <c r="AC1877" s="1" t="s">
        <v>24</v>
      </c>
      <c r="AD1877" s="1" t="s">
        <v>24</v>
      </c>
      <c r="AE1877" s="1" t="s">
        <v>24</v>
      </c>
      <c r="AF1877" s="22"/>
    </row>
    <row r="1878" spans="1:32" x14ac:dyDescent="0.2">
      <c r="A1878" s="1">
        <v>10820</v>
      </c>
      <c r="B1878" s="1" t="s">
        <v>6020</v>
      </c>
      <c r="C1878" s="5" t="s">
        <v>0</v>
      </c>
      <c r="D1878" s="1" t="s">
        <v>6021</v>
      </c>
      <c r="F1878" s="1" t="s">
        <v>1801</v>
      </c>
      <c r="G1878" s="1" t="s">
        <v>6022</v>
      </c>
      <c r="H1878" s="1" t="s">
        <v>168</v>
      </c>
      <c r="I1878" s="1" t="s">
        <v>16</v>
      </c>
      <c r="J1878" s="1">
        <v>1</v>
      </c>
      <c r="K1878" s="1">
        <v>8</v>
      </c>
      <c r="L1878" s="1" t="s">
        <v>42</v>
      </c>
      <c r="M1878" s="1" t="s">
        <v>679</v>
      </c>
      <c r="N1878" s="1" t="s">
        <v>242</v>
      </c>
      <c r="O1878" s="1">
        <v>3</v>
      </c>
      <c r="P1878" s="1">
        <v>6</v>
      </c>
      <c r="R1878" s="1" t="s">
        <v>19</v>
      </c>
      <c r="S1878" s="1" t="s">
        <v>20</v>
      </c>
      <c r="T1878" s="1" t="s">
        <v>21</v>
      </c>
      <c r="U1878" s="1" t="s">
        <v>22</v>
      </c>
      <c r="V1878" s="1" t="s">
        <v>24</v>
      </c>
      <c r="W1878" s="1" t="s">
        <v>24</v>
      </c>
      <c r="X1878" s="1">
        <v>2723</v>
      </c>
      <c r="Y1878" s="1" t="s">
        <v>24</v>
      </c>
      <c r="Z1878" s="1" t="s">
        <v>24</v>
      </c>
      <c r="AA1878" s="1" t="s">
        <v>24</v>
      </c>
      <c r="AB1878" s="1" t="s">
        <v>24</v>
      </c>
      <c r="AC1878" s="1" t="s">
        <v>24</v>
      </c>
      <c r="AD1878" s="1" t="s">
        <v>24</v>
      </c>
      <c r="AE1878" s="1" t="s">
        <v>24</v>
      </c>
      <c r="AF1878" s="22" t="s">
        <v>17679</v>
      </c>
    </row>
    <row r="1879" spans="1:32" x14ac:dyDescent="0.2">
      <c r="A1879" s="1">
        <v>10823</v>
      </c>
      <c r="B1879" s="1" t="s">
        <v>6023</v>
      </c>
      <c r="C1879" s="5" t="s">
        <v>0</v>
      </c>
      <c r="D1879" s="1" t="s">
        <v>6024</v>
      </c>
      <c r="E1879" s="1" t="s">
        <v>6025</v>
      </c>
      <c r="F1879" s="1" t="s">
        <v>60</v>
      </c>
      <c r="G1879" s="1" t="s">
        <v>61</v>
      </c>
      <c r="H1879" s="1" t="s">
        <v>30</v>
      </c>
      <c r="I1879" s="1" t="s">
        <v>16</v>
      </c>
      <c r="J1879" s="1">
        <v>5</v>
      </c>
      <c r="K1879" s="1">
        <v>4</v>
      </c>
      <c r="L1879" s="1" t="s">
        <v>31</v>
      </c>
      <c r="M1879" s="1" t="s">
        <v>18</v>
      </c>
      <c r="N1879" s="1" t="s">
        <v>18</v>
      </c>
      <c r="O1879" s="1">
        <v>3</v>
      </c>
      <c r="P1879" s="1">
        <v>7</v>
      </c>
      <c r="Q1879" s="7" t="s">
        <v>17633</v>
      </c>
      <c r="R1879" s="1" t="s">
        <v>62</v>
      </c>
      <c r="S1879" s="1" t="s">
        <v>63</v>
      </c>
      <c r="T1879" s="1" t="s">
        <v>21</v>
      </c>
      <c r="U1879" s="1" t="s">
        <v>22</v>
      </c>
      <c r="V1879" s="1" t="s">
        <v>23</v>
      </c>
      <c r="W1879" s="1" t="s">
        <v>24</v>
      </c>
      <c r="X1879" s="1">
        <v>2805</v>
      </c>
      <c r="Y1879" s="1">
        <v>2808</v>
      </c>
      <c r="Z1879" s="1" t="s">
        <v>24</v>
      </c>
      <c r="AA1879" s="1" t="s">
        <v>24</v>
      </c>
      <c r="AB1879" s="1" t="s">
        <v>24</v>
      </c>
      <c r="AC1879" s="1" t="s">
        <v>24</v>
      </c>
      <c r="AD1879" s="1" t="s">
        <v>24</v>
      </c>
      <c r="AE1879" s="1" t="s">
        <v>24</v>
      </c>
      <c r="AF1879" s="22"/>
    </row>
    <row r="1880" spans="1:32" x14ac:dyDescent="0.2">
      <c r="A1880" s="1">
        <v>10825</v>
      </c>
      <c r="B1880" s="1" t="s">
        <v>6026</v>
      </c>
      <c r="C1880" s="5" t="s">
        <v>0</v>
      </c>
      <c r="D1880" s="1" t="s">
        <v>6027</v>
      </c>
      <c r="F1880" s="1" t="s">
        <v>6028</v>
      </c>
      <c r="G1880" s="1" t="s">
        <v>6028</v>
      </c>
      <c r="H1880" s="1" t="s">
        <v>461</v>
      </c>
      <c r="I1880" s="1" t="s">
        <v>16</v>
      </c>
      <c r="J1880" s="1">
        <v>1</v>
      </c>
      <c r="K1880" s="1">
        <v>12</v>
      </c>
      <c r="L1880" s="1" t="s">
        <v>42</v>
      </c>
      <c r="M1880" s="1" t="s">
        <v>1735</v>
      </c>
      <c r="N1880" s="1" t="s">
        <v>635</v>
      </c>
      <c r="O1880" s="1">
        <v>3</v>
      </c>
      <c r="P1880" s="1">
        <v>5</v>
      </c>
      <c r="R1880" s="1" t="s">
        <v>19</v>
      </c>
      <c r="S1880" s="1" t="s">
        <v>20</v>
      </c>
      <c r="T1880" s="1" t="s">
        <v>21</v>
      </c>
      <c r="U1880" s="1" t="s">
        <v>22</v>
      </c>
      <c r="V1880" s="1" t="s">
        <v>24</v>
      </c>
      <c r="W1880" s="1" t="s">
        <v>24</v>
      </c>
      <c r="X1880" s="1">
        <v>2728</v>
      </c>
      <c r="Y1880" s="1">
        <v>2746</v>
      </c>
      <c r="Z1880" s="1" t="s">
        <v>24</v>
      </c>
      <c r="AA1880" s="1" t="s">
        <v>24</v>
      </c>
      <c r="AB1880" s="1" t="s">
        <v>24</v>
      </c>
      <c r="AC1880" s="1" t="s">
        <v>24</v>
      </c>
      <c r="AD1880" s="1" t="s">
        <v>24</v>
      </c>
      <c r="AE1880" s="1" t="s">
        <v>24</v>
      </c>
      <c r="AF1880" s="22"/>
    </row>
    <row r="1881" spans="1:32" x14ac:dyDescent="0.2">
      <c r="A1881" s="1">
        <v>10829</v>
      </c>
      <c r="B1881" s="1" t="s">
        <v>6029</v>
      </c>
      <c r="C1881" s="5" t="s">
        <v>0</v>
      </c>
      <c r="D1881" s="1" t="s">
        <v>6030</v>
      </c>
      <c r="E1881" s="1" t="s">
        <v>6031</v>
      </c>
      <c r="F1881" s="1" t="s">
        <v>970</v>
      </c>
      <c r="G1881" s="1" t="s">
        <v>36</v>
      </c>
      <c r="H1881" s="1" t="s">
        <v>30</v>
      </c>
      <c r="I1881" s="1" t="s">
        <v>16</v>
      </c>
      <c r="J1881" s="1">
        <v>1</v>
      </c>
      <c r="K1881" s="1">
        <v>12</v>
      </c>
      <c r="L1881" s="1" t="s">
        <v>31</v>
      </c>
      <c r="M1881" s="1" t="s">
        <v>18</v>
      </c>
      <c r="N1881" s="1" t="s">
        <v>18</v>
      </c>
      <c r="O1881" s="1">
        <v>3</v>
      </c>
      <c r="P1881" s="1">
        <v>6</v>
      </c>
      <c r="R1881" s="1" t="s">
        <v>62</v>
      </c>
      <c r="S1881" s="1" t="s">
        <v>20</v>
      </c>
      <c r="T1881" s="1" t="s">
        <v>21</v>
      </c>
      <c r="U1881" s="1" t="s">
        <v>22</v>
      </c>
      <c r="V1881" s="1" t="s">
        <v>24</v>
      </c>
      <c r="W1881" s="1" t="s">
        <v>24</v>
      </c>
      <c r="X1881" s="1">
        <v>1307</v>
      </c>
      <c r="Y1881" s="1">
        <v>1309</v>
      </c>
      <c r="Z1881" s="1">
        <v>1313</v>
      </c>
      <c r="AA1881" s="1" t="s">
        <v>24</v>
      </c>
      <c r="AB1881" s="1" t="s">
        <v>24</v>
      </c>
      <c r="AC1881" s="1" t="s">
        <v>24</v>
      </c>
      <c r="AD1881" s="1" t="s">
        <v>24</v>
      </c>
      <c r="AE1881" s="1" t="s">
        <v>24</v>
      </c>
      <c r="AF1881" s="22"/>
    </row>
    <row r="1882" spans="1:32" x14ac:dyDescent="0.2">
      <c r="A1882" s="1">
        <v>10830</v>
      </c>
      <c r="B1882" s="1" t="s">
        <v>6032</v>
      </c>
      <c r="C1882" s="5" t="s">
        <v>0</v>
      </c>
      <c r="D1882" s="1" t="s">
        <v>6033</v>
      </c>
      <c r="F1882" s="1" t="s">
        <v>6034</v>
      </c>
      <c r="G1882" s="1" t="s">
        <v>6034</v>
      </c>
      <c r="H1882" s="1" t="s">
        <v>37</v>
      </c>
      <c r="I1882" s="1" t="s">
        <v>16</v>
      </c>
      <c r="J1882" s="1">
        <v>1</v>
      </c>
      <c r="K1882" s="1">
        <v>4</v>
      </c>
      <c r="L1882" s="1" t="s">
        <v>42</v>
      </c>
      <c r="M1882" s="1" t="s">
        <v>18</v>
      </c>
      <c r="N1882" s="1" t="s">
        <v>18</v>
      </c>
      <c r="O1882" s="1">
        <v>3</v>
      </c>
      <c r="P1882" s="1">
        <v>7</v>
      </c>
      <c r="Q1882" s="7" t="s">
        <v>17633</v>
      </c>
      <c r="R1882" s="1" t="s">
        <v>19</v>
      </c>
      <c r="S1882" s="1" t="s">
        <v>20</v>
      </c>
      <c r="T1882" s="1" t="s">
        <v>21</v>
      </c>
      <c r="U1882" s="1" t="s">
        <v>22</v>
      </c>
      <c r="V1882" s="1" t="s">
        <v>24</v>
      </c>
      <c r="W1882" s="1" t="s">
        <v>24</v>
      </c>
      <c r="X1882" s="1">
        <v>2726</v>
      </c>
      <c r="Y1882" s="1">
        <v>2725</v>
      </c>
      <c r="Z1882" s="1">
        <v>2723</v>
      </c>
      <c r="AA1882" s="1">
        <v>2404</v>
      </c>
      <c r="AB1882" s="1">
        <v>2403</v>
      </c>
      <c r="AC1882" s="1">
        <v>2704</v>
      </c>
      <c r="AD1882" s="1">
        <v>1308</v>
      </c>
      <c r="AE1882" s="1" t="s">
        <v>24</v>
      </c>
      <c r="AF1882" s="22"/>
    </row>
    <row r="1883" spans="1:32" x14ac:dyDescent="0.2">
      <c r="A1883" s="1">
        <v>10837</v>
      </c>
      <c r="B1883" s="1" t="s">
        <v>6035</v>
      </c>
      <c r="C1883" s="5" t="s">
        <v>0</v>
      </c>
      <c r="D1883" s="1" t="s">
        <v>6036</v>
      </c>
      <c r="E1883" s="1" t="s">
        <v>6037</v>
      </c>
      <c r="F1883" s="1" t="s">
        <v>555</v>
      </c>
      <c r="G1883" s="1" t="s">
        <v>36</v>
      </c>
      <c r="H1883" s="1" t="s">
        <v>37</v>
      </c>
      <c r="I1883" s="1" t="s">
        <v>16</v>
      </c>
      <c r="J1883" s="1">
        <v>1</v>
      </c>
      <c r="K1883" s="1">
        <v>12</v>
      </c>
      <c r="L1883" s="1" t="s">
        <v>42</v>
      </c>
      <c r="M1883" s="1" t="s">
        <v>18</v>
      </c>
      <c r="N1883" s="1" t="s">
        <v>18</v>
      </c>
      <c r="O1883" s="1">
        <v>3</v>
      </c>
      <c r="P1883" s="1">
        <v>6</v>
      </c>
      <c r="R1883" s="1" t="s">
        <v>19</v>
      </c>
      <c r="S1883" s="1" t="s">
        <v>20</v>
      </c>
      <c r="T1883" s="1" t="s">
        <v>21</v>
      </c>
      <c r="U1883" s="1" t="s">
        <v>22</v>
      </c>
      <c r="V1883" s="1" t="s">
        <v>24</v>
      </c>
      <c r="W1883" s="1" t="s">
        <v>24</v>
      </c>
      <c r="X1883" s="1">
        <v>1307</v>
      </c>
      <c r="Y1883" s="1" t="s">
        <v>24</v>
      </c>
      <c r="Z1883" s="1" t="s">
        <v>24</v>
      </c>
      <c r="AA1883" s="1" t="s">
        <v>24</v>
      </c>
      <c r="AB1883" s="1" t="s">
        <v>24</v>
      </c>
      <c r="AC1883" s="1" t="s">
        <v>24</v>
      </c>
      <c r="AD1883" s="1" t="s">
        <v>24</v>
      </c>
      <c r="AE1883" s="1" t="s">
        <v>24</v>
      </c>
      <c r="AF1883" s="22"/>
    </row>
    <row r="1884" spans="1:32" x14ac:dyDescent="0.2">
      <c r="A1884" s="1">
        <v>10842</v>
      </c>
      <c r="B1884" s="1" t="s">
        <v>6038</v>
      </c>
      <c r="C1884" s="5" t="s">
        <v>0</v>
      </c>
      <c r="D1884" s="1" t="s">
        <v>6039</v>
      </c>
      <c r="E1884" s="1" t="s">
        <v>6040</v>
      </c>
      <c r="F1884" s="1" t="s">
        <v>241</v>
      </c>
      <c r="G1884" s="1" t="s">
        <v>61</v>
      </c>
      <c r="H1884" s="1" t="s">
        <v>168</v>
      </c>
      <c r="I1884" s="1" t="s">
        <v>16</v>
      </c>
      <c r="J1884" s="1">
        <v>1</v>
      </c>
      <c r="K1884" s="1">
        <v>4</v>
      </c>
      <c r="L1884" s="1" t="s">
        <v>31</v>
      </c>
      <c r="M1884" s="1" t="s">
        <v>679</v>
      </c>
      <c r="N1884" s="1" t="s">
        <v>679</v>
      </c>
      <c r="O1884" s="1">
        <v>3</v>
      </c>
      <c r="P1884" s="1">
        <v>5</v>
      </c>
      <c r="R1884" s="1" t="s">
        <v>19</v>
      </c>
      <c r="S1884" s="1" t="s">
        <v>20</v>
      </c>
      <c r="T1884" s="1" t="s">
        <v>21</v>
      </c>
      <c r="U1884" s="1" t="s">
        <v>22</v>
      </c>
      <c r="V1884" s="1" t="s">
        <v>24</v>
      </c>
      <c r="W1884" s="1" t="s">
        <v>24</v>
      </c>
      <c r="X1884" s="1">
        <v>1304</v>
      </c>
      <c r="Y1884" s="1">
        <v>2741</v>
      </c>
      <c r="Z1884" s="1">
        <v>3614</v>
      </c>
      <c r="AA1884" s="1" t="s">
        <v>24</v>
      </c>
      <c r="AB1884" s="1" t="s">
        <v>24</v>
      </c>
      <c r="AC1884" s="1" t="s">
        <v>24</v>
      </c>
      <c r="AD1884" s="1" t="s">
        <v>24</v>
      </c>
      <c r="AE1884" s="1" t="s">
        <v>24</v>
      </c>
      <c r="AF1884" s="22"/>
    </row>
    <row r="1885" spans="1:32" x14ac:dyDescent="0.2">
      <c r="A1885" s="1">
        <v>10848</v>
      </c>
      <c r="B1885" s="1" t="s">
        <v>6041</v>
      </c>
      <c r="C1885" s="5" t="s">
        <v>0</v>
      </c>
      <c r="D1885" s="1" t="s">
        <v>6042</v>
      </c>
      <c r="E1885" s="1" t="s">
        <v>6043</v>
      </c>
      <c r="F1885" s="1" t="s">
        <v>303</v>
      </c>
      <c r="G1885" s="1" t="s">
        <v>61</v>
      </c>
      <c r="H1885" s="1" t="s">
        <v>30</v>
      </c>
      <c r="I1885" s="1" t="s">
        <v>16</v>
      </c>
      <c r="J1885" s="1">
        <v>1</v>
      </c>
      <c r="K1885" s="1">
        <v>4</v>
      </c>
      <c r="L1885" s="1" t="s">
        <v>31</v>
      </c>
      <c r="M1885" s="1" t="s">
        <v>18</v>
      </c>
      <c r="N1885" s="1" t="s">
        <v>18</v>
      </c>
      <c r="O1885" s="1">
        <v>3</v>
      </c>
      <c r="P1885" s="1">
        <v>7</v>
      </c>
      <c r="Q1885" s="7" t="s">
        <v>17633</v>
      </c>
      <c r="R1885" s="1" t="s">
        <v>19</v>
      </c>
      <c r="S1885" s="1" t="s">
        <v>20</v>
      </c>
      <c r="T1885" s="1" t="s">
        <v>21</v>
      </c>
      <c r="U1885" s="1" t="s">
        <v>22</v>
      </c>
      <c r="V1885" s="1" t="s">
        <v>23</v>
      </c>
      <c r="W1885" s="1" t="s">
        <v>24</v>
      </c>
      <c r="X1885" s="1">
        <v>2735</v>
      </c>
      <c r="Y1885" s="1">
        <v>2746</v>
      </c>
      <c r="Z1885" s="1" t="s">
        <v>24</v>
      </c>
      <c r="AA1885" s="1" t="s">
        <v>24</v>
      </c>
      <c r="AB1885" s="1" t="s">
        <v>24</v>
      </c>
      <c r="AC1885" s="1" t="s">
        <v>24</v>
      </c>
      <c r="AD1885" s="1" t="s">
        <v>24</v>
      </c>
      <c r="AE1885" s="1" t="s">
        <v>24</v>
      </c>
      <c r="AF1885" s="22"/>
    </row>
    <row r="1886" spans="1:32" x14ac:dyDescent="0.2">
      <c r="A1886" s="1">
        <v>10849</v>
      </c>
      <c r="B1886" s="1" t="s">
        <v>6044</v>
      </c>
      <c r="C1886" s="5" t="s">
        <v>0</v>
      </c>
      <c r="D1886" s="1" t="s">
        <v>6045</v>
      </c>
      <c r="E1886" s="1" t="s">
        <v>6046</v>
      </c>
      <c r="F1886" s="1" t="s">
        <v>217</v>
      </c>
      <c r="G1886" s="1" t="s">
        <v>130</v>
      </c>
      <c r="H1886" s="1" t="s">
        <v>92</v>
      </c>
      <c r="I1886" s="1" t="s">
        <v>16</v>
      </c>
      <c r="J1886" s="1">
        <v>1</v>
      </c>
      <c r="K1886" s="1">
        <v>8</v>
      </c>
      <c r="L1886" s="1" t="s">
        <v>31</v>
      </c>
      <c r="M1886" s="1" t="s">
        <v>18</v>
      </c>
      <c r="N1886" s="1" t="s">
        <v>18</v>
      </c>
      <c r="O1886" s="1">
        <v>3</v>
      </c>
      <c r="P1886" s="1">
        <v>7</v>
      </c>
      <c r="Q1886" s="7" t="s">
        <v>17633</v>
      </c>
      <c r="R1886" s="1" t="s">
        <v>62</v>
      </c>
      <c r="S1886" s="1" t="s">
        <v>20</v>
      </c>
      <c r="T1886" s="1" t="s">
        <v>21</v>
      </c>
      <c r="U1886" s="1" t="s">
        <v>22</v>
      </c>
      <c r="V1886" s="1" t="s">
        <v>24</v>
      </c>
      <c r="W1886" s="1" t="s">
        <v>24</v>
      </c>
      <c r="X1886" s="1">
        <v>1311</v>
      </c>
      <c r="Y1886" s="1" t="s">
        <v>24</v>
      </c>
      <c r="Z1886" s="1" t="s">
        <v>24</v>
      </c>
      <c r="AA1886" s="1" t="s">
        <v>24</v>
      </c>
      <c r="AB1886" s="1" t="s">
        <v>24</v>
      </c>
      <c r="AC1886" s="1" t="s">
        <v>24</v>
      </c>
      <c r="AD1886" s="1" t="s">
        <v>24</v>
      </c>
      <c r="AE1886" s="1" t="s">
        <v>24</v>
      </c>
      <c r="AF1886" s="22"/>
    </row>
    <row r="1887" spans="1:32" x14ac:dyDescent="0.2">
      <c r="A1887" s="1">
        <v>10856</v>
      </c>
      <c r="B1887" s="1" t="s">
        <v>6047</v>
      </c>
      <c r="C1887" s="5" t="s">
        <v>0</v>
      </c>
      <c r="D1887" s="1" t="s">
        <v>6048</v>
      </c>
      <c r="E1887" s="1" t="s">
        <v>6049</v>
      </c>
      <c r="F1887" s="1" t="s">
        <v>217</v>
      </c>
      <c r="G1887" s="1" t="s">
        <v>130</v>
      </c>
      <c r="H1887" s="1" t="s">
        <v>92</v>
      </c>
      <c r="I1887" s="1" t="s">
        <v>16</v>
      </c>
      <c r="J1887" s="1">
        <v>1</v>
      </c>
      <c r="K1887" s="1">
        <v>8</v>
      </c>
      <c r="L1887" s="1" t="s">
        <v>31</v>
      </c>
      <c r="M1887" s="1" t="s">
        <v>18</v>
      </c>
      <c r="N1887" s="1" t="s">
        <v>18</v>
      </c>
      <c r="O1887" s="1">
        <v>3</v>
      </c>
      <c r="P1887" s="1">
        <v>7</v>
      </c>
      <c r="Q1887" s="7" t="s">
        <v>17633</v>
      </c>
      <c r="R1887" s="1" t="s">
        <v>19</v>
      </c>
      <c r="S1887" s="1" t="s">
        <v>20</v>
      </c>
      <c r="T1887" s="1" t="s">
        <v>21</v>
      </c>
      <c r="U1887" s="1" t="s">
        <v>22</v>
      </c>
      <c r="V1887" s="1" t="s">
        <v>24</v>
      </c>
      <c r="W1887" s="1" t="s">
        <v>24</v>
      </c>
      <c r="X1887" s="1">
        <v>2307</v>
      </c>
      <c r="Y1887" s="1">
        <v>3005</v>
      </c>
      <c r="Z1887" s="1">
        <v>2308</v>
      </c>
      <c r="AA1887" s="1" t="s">
        <v>24</v>
      </c>
      <c r="AB1887" s="1" t="s">
        <v>24</v>
      </c>
      <c r="AC1887" s="1" t="s">
        <v>24</v>
      </c>
      <c r="AD1887" s="1" t="s">
        <v>24</v>
      </c>
      <c r="AE1887" s="1" t="s">
        <v>24</v>
      </c>
      <c r="AF1887" s="22"/>
    </row>
    <row r="1888" spans="1:32" x14ac:dyDescent="0.2">
      <c r="A1888" s="1">
        <v>10859</v>
      </c>
      <c r="B1888" s="1" t="s">
        <v>6050</v>
      </c>
      <c r="C1888" s="5" t="s">
        <v>0</v>
      </c>
      <c r="D1888" s="1" t="s">
        <v>6051</v>
      </c>
      <c r="E1888" s="1" t="s">
        <v>6052</v>
      </c>
      <c r="F1888" s="1" t="s">
        <v>28</v>
      </c>
      <c r="G1888" s="1" t="s">
        <v>29</v>
      </c>
      <c r="H1888" s="1" t="s">
        <v>30</v>
      </c>
      <c r="I1888" s="1" t="s">
        <v>16</v>
      </c>
      <c r="J1888" s="1">
        <v>1</v>
      </c>
      <c r="K1888" s="1">
        <v>6</v>
      </c>
      <c r="L1888" s="1" t="s">
        <v>31</v>
      </c>
      <c r="M1888" s="1" t="s">
        <v>18</v>
      </c>
      <c r="N1888" s="1" t="s">
        <v>18</v>
      </c>
      <c r="O1888" s="1">
        <v>2</v>
      </c>
      <c r="P1888" s="1">
        <v>6</v>
      </c>
      <c r="R1888" s="1" t="s">
        <v>19</v>
      </c>
      <c r="S1888" s="1" t="s">
        <v>20</v>
      </c>
      <c r="T1888" s="1" t="s">
        <v>21</v>
      </c>
      <c r="U1888" s="1" t="s">
        <v>22</v>
      </c>
      <c r="V1888" s="1" t="s">
        <v>24</v>
      </c>
      <c r="W1888" s="1" t="s">
        <v>24</v>
      </c>
      <c r="X1888" s="1">
        <v>2726</v>
      </c>
      <c r="Y1888" s="1">
        <v>2725</v>
      </c>
      <c r="Z1888" s="1" t="s">
        <v>24</v>
      </c>
      <c r="AA1888" s="1" t="s">
        <v>24</v>
      </c>
      <c r="AB1888" s="1" t="s">
        <v>24</v>
      </c>
      <c r="AC1888" s="1" t="s">
        <v>24</v>
      </c>
      <c r="AD1888" s="1" t="s">
        <v>24</v>
      </c>
      <c r="AE1888" s="1" t="s">
        <v>24</v>
      </c>
      <c r="AF1888" s="22"/>
    </row>
    <row r="1889" spans="1:32" x14ac:dyDescent="0.2">
      <c r="A1889" s="1">
        <v>10861</v>
      </c>
      <c r="B1889" s="1" t="s">
        <v>6053</v>
      </c>
      <c r="C1889" s="5" t="s">
        <v>0</v>
      </c>
      <c r="D1889" s="1" t="s">
        <v>6054</v>
      </c>
      <c r="E1889" s="1" t="s">
        <v>6055</v>
      </c>
      <c r="F1889" s="1" t="s">
        <v>272</v>
      </c>
      <c r="G1889" s="1" t="s">
        <v>61</v>
      </c>
      <c r="H1889" s="1" t="s">
        <v>30</v>
      </c>
      <c r="I1889" s="1" t="s">
        <v>16</v>
      </c>
      <c r="J1889" s="1">
        <v>1</v>
      </c>
      <c r="K1889" s="1">
        <v>6</v>
      </c>
      <c r="L1889" s="1" t="s">
        <v>31</v>
      </c>
      <c r="M1889" s="1" t="s">
        <v>18</v>
      </c>
      <c r="N1889" s="1" t="s">
        <v>18</v>
      </c>
      <c r="O1889" s="1">
        <v>3</v>
      </c>
      <c r="P1889" s="1">
        <v>7</v>
      </c>
      <c r="Q1889" s="7" t="s">
        <v>17633</v>
      </c>
      <c r="R1889" s="1" t="s">
        <v>19</v>
      </c>
      <c r="S1889" s="1" t="s">
        <v>20</v>
      </c>
      <c r="T1889" s="1" t="s">
        <v>21</v>
      </c>
      <c r="U1889" s="1" t="s">
        <v>22</v>
      </c>
      <c r="V1889" s="1" t="s">
        <v>24</v>
      </c>
      <c r="W1889" s="1" t="s">
        <v>24</v>
      </c>
      <c r="X1889" s="1">
        <v>2705</v>
      </c>
      <c r="Y1889" s="1">
        <v>2734</v>
      </c>
      <c r="Z1889" s="1" t="s">
        <v>24</v>
      </c>
      <c r="AA1889" s="1" t="s">
        <v>24</v>
      </c>
      <c r="AB1889" s="1" t="s">
        <v>24</v>
      </c>
      <c r="AC1889" s="1" t="s">
        <v>24</v>
      </c>
      <c r="AD1889" s="1" t="s">
        <v>24</v>
      </c>
      <c r="AE1889" s="1" t="s">
        <v>24</v>
      </c>
      <c r="AF1889" s="22"/>
    </row>
    <row r="1890" spans="1:32" x14ac:dyDescent="0.2">
      <c r="A1890" s="1">
        <v>10867</v>
      </c>
      <c r="B1890" s="1" t="s">
        <v>6056</v>
      </c>
      <c r="C1890" s="5" t="s">
        <v>0</v>
      </c>
      <c r="D1890" s="1" t="s">
        <v>6057</v>
      </c>
      <c r="F1890" s="1" t="s">
        <v>6058</v>
      </c>
      <c r="G1890" s="1" t="s">
        <v>6058</v>
      </c>
      <c r="H1890" s="1" t="s">
        <v>1384</v>
      </c>
      <c r="I1890" s="1" t="s">
        <v>16</v>
      </c>
      <c r="J1890" s="1">
        <v>1</v>
      </c>
      <c r="K1890" s="1">
        <v>4</v>
      </c>
      <c r="L1890" s="1" t="s">
        <v>17</v>
      </c>
      <c r="M1890" s="1" t="s">
        <v>3142</v>
      </c>
      <c r="N1890" s="1" t="s">
        <v>3142</v>
      </c>
      <c r="O1890" s="1">
        <v>1</v>
      </c>
      <c r="P1890" s="1">
        <v>4</v>
      </c>
      <c r="R1890" s="1" t="s">
        <v>19</v>
      </c>
      <c r="S1890" s="1" t="s">
        <v>20</v>
      </c>
      <c r="T1890" s="1" t="s">
        <v>21</v>
      </c>
      <c r="U1890" s="1" t="s">
        <v>22</v>
      </c>
      <c r="V1890" s="1" t="s">
        <v>23</v>
      </c>
      <c r="W1890" s="1" t="s">
        <v>24</v>
      </c>
      <c r="X1890" s="1">
        <v>2745</v>
      </c>
      <c r="Y1890" s="1">
        <v>2742</v>
      </c>
      <c r="Z1890" s="1" t="s">
        <v>24</v>
      </c>
      <c r="AA1890" s="1" t="s">
        <v>24</v>
      </c>
      <c r="AB1890" s="1" t="s">
        <v>24</v>
      </c>
      <c r="AC1890" s="1" t="s">
        <v>24</v>
      </c>
      <c r="AD1890" s="1" t="s">
        <v>24</v>
      </c>
      <c r="AE1890" s="1" t="s">
        <v>24</v>
      </c>
      <c r="AF1890" s="22"/>
    </row>
    <row r="1891" spans="1:32" x14ac:dyDescent="0.2">
      <c r="A1891" s="1">
        <v>10868</v>
      </c>
      <c r="B1891" s="1" t="s">
        <v>6059</v>
      </c>
      <c r="C1891" s="5" t="s">
        <v>0</v>
      </c>
      <c r="D1891" s="1" t="s">
        <v>6060</v>
      </c>
      <c r="F1891" s="1" t="s">
        <v>6061</v>
      </c>
      <c r="G1891" s="1" t="s">
        <v>6062</v>
      </c>
      <c r="H1891" s="1" t="s">
        <v>37</v>
      </c>
      <c r="I1891" s="1" t="s">
        <v>16</v>
      </c>
      <c r="J1891" s="1">
        <v>1</v>
      </c>
      <c r="K1891" s="1">
        <v>6</v>
      </c>
      <c r="L1891" s="1" t="s">
        <v>17</v>
      </c>
      <c r="M1891" s="1" t="s">
        <v>18</v>
      </c>
      <c r="N1891" s="1" t="s">
        <v>18</v>
      </c>
      <c r="O1891" s="1">
        <v>3</v>
      </c>
      <c r="P1891" s="1">
        <v>7</v>
      </c>
      <c r="Q1891" s="7" t="s">
        <v>17633</v>
      </c>
      <c r="R1891" s="1" t="s">
        <v>19</v>
      </c>
      <c r="S1891" s="1" t="s">
        <v>20</v>
      </c>
      <c r="T1891" s="1" t="s">
        <v>21</v>
      </c>
      <c r="U1891" s="1" t="s">
        <v>22</v>
      </c>
      <c r="V1891" s="1" t="s">
        <v>24</v>
      </c>
      <c r="W1891" s="1" t="s">
        <v>24</v>
      </c>
      <c r="X1891" s="1">
        <v>2705</v>
      </c>
      <c r="Y1891" s="1" t="s">
        <v>24</v>
      </c>
      <c r="Z1891" s="1" t="s">
        <v>24</v>
      </c>
      <c r="AA1891" s="1" t="s">
        <v>24</v>
      </c>
      <c r="AB1891" s="1" t="s">
        <v>24</v>
      </c>
      <c r="AC1891" s="1" t="s">
        <v>24</v>
      </c>
      <c r="AD1891" s="1" t="s">
        <v>24</v>
      </c>
      <c r="AE1891" s="1" t="s">
        <v>24</v>
      </c>
      <c r="AF1891" s="22"/>
    </row>
    <row r="1892" spans="1:32" x14ac:dyDescent="0.2">
      <c r="A1892" s="1">
        <v>10869</v>
      </c>
      <c r="B1892" s="1" t="s">
        <v>6063</v>
      </c>
      <c r="C1892" s="5" t="s">
        <v>0</v>
      </c>
      <c r="D1892" s="1" t="s">
        <v>6064</v>
      </c>
      <c r="E1892" s="1" t="s">
        <v>6065</v>
      </c>
      <c r="F1892" s="1" t="s">
        <v>1278</v>
      </c>
      <c r="G1892" s="1" t="s">
        <v>1279</v>
      </c>
      <c r="H1892" s="1" t="s">
        <v>30</v>
      </c>
      <c r="I1892" s="1" t="s">
        <v>16</v>
      </c>
      <c r="J1892" s="1">
        <v>1</v>
      </c>
      <c r="K1892" s="1">
        <v>4</v>
      </c>
      <c r="L1892" s="1" t="s">
        <v>42</v>
      </c>
      <c r="M1892" s="1" t="s">
        <v>18</v>
      </c>
      <c r="N1892" s="1" t="s">
        <v>18</v>
      </c>
      <c r="O1892" s="1">
        <v>3</v>
      </c>
      <c r="P1892" s="1">
        <v>7</v>
      </c>
      <c r="Q1892" s="7" t="s">
        <v>17633</v>
      </c>
      <c r="R1892" s="1" t="s">
        <v>19</v>
      </c>
      <c r="S1892" s="1" t="s">
        <v>20</v>
      </c>
      <c r="T1892" s="1" t="s">
        <v>21</v>
      </c>
      <c r="U1892" s="1" t="s">
        <v>22</v>
      </c>
      <c r="V1892" s="1" t="s">
        <v>23</v>
      </c>
      <c r="W1892" s="1" t="s">
        <v>24</v>
      </c>
      <c r="X1892" s="1">
        <v>2742</v>
      </c>
      <c r="Y1892" s="1">
        <v>3612</v>
      </c>
      <c r="Z1892" s="1" t="s">
        <v>24</v>
      </c>
      <c r="AA1892" s="1" t="s">
        <v>24</v>
      </c>
      <c r="AB1892" s="1" t="s">
        <v>24</v>
      </c>
      <c r="AC1892" s="1" t="s">
        <v>24</v>
      </c>
      <c r="AD1892" s="1" t="s">
        <v>24</v>
      </c>
      <c r="AE1892" s="1" t="s">
        <v>24</v>
      </c>
      <c r="AF1892" s="22"/>
    </row>
    <row r="1893" spans="1:32" x14ac:dyDescent="0.2">
      <c r="A1893" s="1">
        <v>10874</v>
      </c>
      <c r="B1893" s="1" t="s">
        <v>6066</v>
      </c>
      <c r="C1893" s="5" t="s">
        <v>0</v>
      </c>
      <c r="D1893" s="1" t="s">
        <v>6067</v>
      </c>
      <c r="E1893" s="1" t="s">
        <v>6068</v>
      </c>
      <c r="F1893" s="1" t="s">
        <v>190</v>
      </c>
      <c r="G1893" s="1" t="s">
        <v>130</v>
      </c>
      <c r="H1893" s="1" t="s">
        <v>30</v>
      </c>
      <c r="I1893" s="1" t="s">
        <v>16</v>
      </c>
      <c r="J1893" s="1">
        <v>1</v>
      </c>
      <c r="K1893" s="1">
        <v>6</v>
      </c>
      <c r="L1893" s="1" t="s">
        <v>31</v>
      </c>
      <c r="M1893" s="1" t="s">
        <v>18</v>
      </c>
      <c r="N1893" s="1" t="s">
        <v>18</v>
      </c>
      <c r="O1893" s="1">
        <v>3</v>
      </c>
      <c r="P1893" s="1">
        <v>7</v>
      </c>
      <c r="Q1893" s="7" t="s">
        <v>17633</v>
      </c>
      <c r="R1893" s="1" t="s">
        <v>19</v>
      </c>
      <c r="S1893" s="1" t="s">
        <v>20</v>
      </c>
      <c r="T1893" s="1" t="s">
        <v>21</v>
      </c>
      <c r="U1893" s="1" t="s">
        <v>22</v>
      </c>
      <c r="V1893" s="1" t="s">
        <v>24</v>
      </c>
      <c r="W1893" s="1" t="s">
        <v>24</v>
      </c>
      <c r="X1893" s="1">
        <v>2715</v>
      </c>
      <c r="Y1893" s="1">
        <v>2748</v>
      </c>
      <c r="Z1893" s="1">
        <v>2741</v>
      </c>
      <c r="AA1893" s="1">
        <v>3614</v>
      </c>
      <c r="AB1893" s="1" t="s">
        <v>24</v>
      </c>
      <c r="AC1893" s="1" t="s">
        <v>24</v>
      </c>
      <c r="AD1893" s="1" t="s">
        <v>24</v>
      </c>
      <c r="AE1893" s="1" t="s">
        <v>24</v>
      </c>
      <c r="AF1893" s="22"/>
    </row>
    <row r="1894" spans="1:32" x14ac:dyDescent="0.2">
      <c r="A1894" s="1">
        <v>10878</v>
      </c>
      <c r="B1894" s="1" t="s">
        <v>6069</v>
      </c>
      <c r="C1894" s="5" t="s">
        <v>0</v>
      </c>
      <c r="D1894" s="1" t="s">
        <v>6070</v>
      </c>
      <c r="E1894" s="1" t="s">
        <v>6071</v>
      </c>
      <c r="F1894" s="1" t="s">
        <v>85</v>
      </c>
      <c r="G1894" s="1" t="s">
        <v>61</v>
      </c>
      <c r="H1894" s="1" t="s">
        <v>86</v>
      </c>
      <c r="I1894" s="1" t="s">
        <v>16</v>
      </c>
      <c r="J1894" s="1">
        <v>1</v>
      </c>
      <c r="K1894" s="1">
        <v>6</v>
      </c>
      <c r="L1894" s="1" t="s">
        <v>31</v>
      </c>
      <c r="M1894" s="1" t="s">
        <v>18</v>
      </c>
      <c r="N1894" s="1" t="s">
        <v>18</v>
      </c>
      <c r="O1894" s="1">
        <v>3</v>
      </c>
      <c r="P1894" s="1">
        <v>6</v>
      </c>
      <c r="R1894" s="1" t="s">
        <v>19</v>
      </c>
      <c r="S1894" s="1" t="s">
        <v>20</v>
      </c>
      <c r="T1894" s="1" t="s">
        <v>21</v>
      </c>
      <c r="U1894" s="1" t="s">
        <v>22</v>
      </c>
      <c r="V1894" s="1" t="s">
        <v>24</v>
      </c>
      <c r="W1894" s="1" t="s">
        <v>24</v>
      </c>
      <c r="X1894" s="1">
        <v>2800</v>
      </c>
      <c r="Y1894" s="1">
        <v>2737</v>
      </c>
      <c r="Z1894" s="1" t="s">
        <v>24</v>
      </c>
      <c r="AA1894" s="1" t="s">
        <v>24</v>
      </c>
      <c r="AB1894" s="1" t="s">
        <v>24</v>
      </c>
      <c r="AC1894" s="1" t="s">
        <v>24</v>
      </c>
      <c r="AD1894" s="1" t="s">
        <v>24</v>
      </c>
      <c r="AE1894" s="1" t="s">
        <v>24</v>
      </c>
      <c r="AF1894" s="22"/>
    </row>
    <row r="1895" spans="1:32" x14ac:dyDescent="0.2">
      <c r="A1895" s="1">
        <v>10880</v>
      </c>
      <c r="B1895" s="1" t="s">
        <v>6072</v>
      </c>
      <c r="C1895" s="5" t="s">
        <v>0</v>
      </c>
      <c r="D1895" s="1" t="s">
        <v>6073</v>
      </c>
      <c r="E1895" s="1" t="s">
        <v>6074</v>
      </c>
      <c r="F1895" s="1" t="s">
        <v>60</v>
      </c>
      <c r="G1895" s="1" t="s">
        <v>61</v>
      </c>
      <c r="H1895" s="1" t="s">
        <v>30</v>
      </c>
      <c r="I1895" s="1" t="s">
        <v>16</v>
      </c>
      <c r="J1895" s="1">
        <v>1</v>
      </c>
      <c r="K1895" s="1">
        <v>6</v>
      </c>
      <c r="L1895" s="1" t="s">
        <v>31</v>
      </c>
      <c r="M1895" s="1" t="s">
        <v>18</v>
      </c>
      <c r="N1895" s="1" t="s">
        <v>18</v>
      </c>
      <c r="O1895" s="1">
        <v>3</v>
      </c>
      <c r="P1895" s="1">
        <v>6</v>
      </c>
      <c r="R1895" s="1" t="s">
        <v>19</v>
      </c>
      <c r="S1895" s="1" t="s">
        <v>20</v>
      </c>
      <c r="T1895" s="1" t="s">
        <v>21</v>
      </c>
      <c r="U1895" s="1" t="s">
        <v>22</v>
      </c>
      <c r="V1895" s="1" t="s">
        <v>23</v>
      </c>
      <c r="W1895" s="1" t="s">
        <v>24</v>
      </c>
      <c r="X1895" s="1">
        <v>2732</v>
      </c>
      <c r="Y1895" s="1">
        <v>2746</v>
      </c>
      <c r="Z1895" s="1" t="s">
        <v>24</v>
      </c>
      <c r="AA1895" s="1" t="s">
        <v>24</v>
      </c>
      <c r="AB1895" s="1" t="s">
        <v>24</v>
      </c>
      <c r="AC1895" s="1" t="s">
        <v>24</v>
      </c>
      <c r="AD1895" s="1" t="s">
        <v>24</v>
      </c>
      <c r="AE1895" s="1" t="s">
        <v>24</v>
      </c>
      <c r="AF1895" s="22"/>
    </row>
    <row r="1896" spans="1:32" x14ac:dyDescent="0.2">
      <c r="A1896" s="1">
        <v>10881</v>
      </c>
      <c r="B1896" s="1" t="s">
        <v>6075</v>
      </c>
      <c r="C1896" s="5" t="s">
        <v>0</v>
      </c>
      <c r="D1896" s="1" t="s">
        <v>6076</v>
      </c>
      <c r="E1896" s="1" t="s">
        <v>6077</v>
      </c>
      <c r="F1896" s="1" t="s">
        <v>291</v>
      </c>
      <c r="G1896" s="1" t="s">
        <v>292</v>
      </c>
      <c r="H1896" s="1" t="s">
        <v>30</v>
      </c>
      <c r="I1896" s="1" t="s">
        <v>16</v>
      </c>
      <c r="J1896" s="1">
        <v>1</v>
      </c>
      <c r="K1896" s="1">
        <v>8</v>
      </c>
      <c r="L1896" s="1" t="s">
        <v>31</v>
      </c>
      <c r="M1896" s="1" t="s">
        <v>18</v>
      </c>
      <c r="N1896" s="1" t="s">
        <v>18</v>
      </c>
      <c r="O1896" s="1">
        <v>3</v>
      </c>
      <c r="P1896" s="1">
        <v>6</v>
      </c>
      <c r="R1896" s="1" t="s">
        <v>19</v>
      </c>
      <c r="S1896" s="1" t="s">
        <v>20</v>
      </c>
      <c r="T1896" s="1" t="s">
        <v>21</v>
      </c>
      <c r="U1896" s="1" t="s">
        <v>22</v>
      </c>
      <c r="V1896" s="1" t="s">
        <v>24</v>
      </c>
      <c r="W1896" s="1" t="s">
        <v>24</v>
      </c>
      <c r="X1896" s="1">
        <v>2724</v>
      </c>
      <c r="Y1896" s="1">
        <v>1314</v>
      </c>
      <c r="Z1896" s="1" t="s">
        <v>24</v>
      </c>
      <c r="AA1896" s="1" t="s">
        <v>24</v>
      </c>
      <c r="AB1896" s="1" t="s">
        <v>24</v>
      </c>
      <c r="AC1896" s="1" t="s">
        <v>24</v>
      </c>
      <c r="AD1896" s="1" t="s">
        <v>24</v>
      </c>
      <c r="AE1896" s="1" t="s">
        <v>24</v>
      </c>
      <c r="AF1896" s="22"/>
    </row>
    <row r="1897" spans="1:32" x14ac:dyDescent="0.2">
      <c r="A1897" s="1">
        <v>10886</v>
      </c>
      <c r="B1897" s="1" t="s">
        <v>6078</v>
      </c>
      <c r="C1897" s="5" t="s">
        <v>0</v>
      </c>
      <c r="D1897" s="1" t="s">
        <v>6079</v>
      </c>
      <c r="E1897" s="1" t="s">
        <v>6080</v>
      </c>
      <c r="F1897" s="1" t="s">
        <v>1253</v>
      </c>
      <c r="G1897" s="1" t="s">
        <v>460</v>
      </c>
      <c r="H1897" s="1" t="s">
        <v>461</v>
      </c>
      <c r="I1897" s="1" t="s">
        <v>16</v>
      </c>
      <c r="J1897" s="1">
        <v>1</v>
      </c>
      <c r="K1897" s="1">
        <v>12</v>
      </c>
      <c r="L1897" s="1" t="s">
        <v>42</v>
      </c>
      <c r="M1897" s="1" t="s">
        <v>18</v>
      </c>
      <c r="N1897" s="1" t="s">
        <v>18</v>
      </c>
      <c r="O1897" s="1">
        <v>3</v>
      </c>
      <c r="P1897" s="1">
        <v>6</v>
      </c>
      <c r="R1897" s="1" t="s">
        <v>19</v>
      </c>
      <c r="S1897" s="1" t="s">
        <v>20</v>
      </c>
      <c r="T1897" s="1" t="s">
        <v>21</v>
      </c>
      <c r="U1897" s="1" t="s">
        <v>22</v>
      </c>
      <c r="V1897" s="1" t="s">
        <v>24</v>
      </c>
      <c r="W1897" s="1" t="s">
        <v>64</v>
      </c>
      <c r="X1897" s="1">
        <v>3003</v>
      </c>
      <c r="Y1897" s="1">
        <v>3004</v>
      </c>
      <c r="Z1897" s="1" t="s">
        <v>24</v>
      </c>
      <c r="AA1897" s="1" t="s">
        <v>24</v>
      </c>
      <c r="AB1897" s="1" t="s">
        <v>24</v>
      </c>
      <c r="AC1897" s="1" t="s">
        <v>24</v>
      </c>
      <c r="AD1897" s="1" t="s">
        <v>24</v>
      </c>
      <c r="AE1897" s="1" t="s">
        <v>24</v>
      </c>
      <c r="AF1897" s="22"/>
    </row>
    <row r="1898" spans="1:32" x14ac:dyDescent="0.2">
      <c r="A1898" s="1">
        <v>10889</v>
      </c>
      <c r="B1898" s="1" t="s">
        <v>6081</v>
      </c>
      <c r="C1898" s="5" t="s">
        <v>0</v>
      </c>
      <c r="D1898" s="1" t="s">
        <v>6082</v>
      </c>
      <c r="E1898" s="1" t="s">
        <v>6083</v>
      </c>
      <c r="F1898" s="1" t="s">
        <v>689</v>
      </c>
      <c r="G1898" s="1" t="s">
        <v>311</v>
      </c>
      <c r="H1898" s="1" t="s">
        <v>37</v>
      </c>
      <c r="I1898" s="1" t="s">
        <v>16</v>
      </c>
      <c r="J1898" s="1">
        <v>1</v>
      </c>
      <c r="K1898" s="1">
        <v>4</v>
      </c>
      <c r="L1898" s="1" t="s">
        <v>31</v>
      </c>
      <c r="M1898" s="1" t="s">
        <v>18</v>
      </c>
      <c r="N1898" s="1" t="s">
        <v>18</v>
      </c>
      <c r="O1898" s="1">
        <v>3</v>
      </c>
      <c r="P1898" s="1">
        <v>7</v>
      </c>
      <c r="Q1898" s="7" t="s">
        <v>17633</v>
      </c>
      <c r="R1898" s="1" t="s">
        <v>19</v>
      </c>
      <c r="S1898" s="1" t="s">
        <v>20</v>
      </c>
      <c r="T1898" s="1" t="s">
        <v>21</v>
      </c>
      <c r="U1898" s="1" t="s">
        <v>22</v>
      </c>
      <c r="V1898" s="1" t="s">
        <v>24</v>
      </c>
      <c r="W1898" s="1" t="s">
        <v>24</v>
      </c>
      <c r="X1898" s="1">
        <v>2738</v>
      </c>
      <c r="Y1898" s="1">
        <v>3203</v>
      </c>
      <c r="Z1898" s="1" t="s">
        <v>24</v>
      </c>
      <c r="AA1898" s="1" t="s">
        <v>24</v>
      </c>
      <c r="AB1898" s="1" t="s">
        <v>24</v>
      </c>
      <c r="AC1898" s="1" t="s">
        <v>24</v>
      </c>
      <c r="AD1898" s="1" t="s">
        <v>24</v>
      </c>
      <c r="AE1898" s="1" t="s">
        <v>24</v>
      </c>
      <c r="AF1898" s="22"/>
    </row>
    <row r="1899" spans="1:32" x14ac:dyDescent="0.2">
      <c r="A1899" s="1">
        <v>10894</v>
      </c>
      <c r="B1899" s="1" t="s">
        <v>6084</v>
      </c>
      <c r="C1899" s="5" t="s">
        <v>0</v>
      </c>
      <c r="D1899" s="1" t="s">
        <v>6085</v>
      </c>
      <c r="E1899" s="1" t="s">
        <v>6086</v>
      </c>
      <c r="F1899" s="1" t="s">
        <v>85</v>
      </c>
      <c r="G1899" s="1" t="s">
        <v>61</v>
      </c>
      <c r="H1899" s="1" t="s">
        <v>86</v>
      </c>
      <c r="I1899" s="1" t="s">
        <v>16</v>
      </c>
      <c r="J1899" s="1">
        <v>1</v>
      </c>
      <c r="K1899" s="1">
        <v>4</v>
      </c>
      <c r="L1899" s="1" t="s">
        <v>31</v>
      </c>
      <c r="M1899" s="1" t="s">
        <v>105</v>
      </c>
      <c r="N1899" s="1" t="s">
        <v>199</v>
      </c>
      <c r="O1899" s="1">
        <v>3</v>
      </c>
      <c r="P1899" s="1">
        <v>6</v>
      </c>
      <c r="R1899" s="1" t="s">
        <v>19</v>
      </c>
      <c r="S1899" s="1" t="s">
        <v>20</v>
      </c>
      <c r="T1899" s="1" t="s">
        <v>21</v>
      </c>
      <c r="U1899" s="1" t="s">
        <v>22</v>
      </c>
      <c r="V1899" s="1" t="s">
        <v>24</v>
      </c>
      <c r="W1899" s="1" t="s">
        <v>24</v>
      </c>
      <c r="X1899" s="1">
        <v>2725</v>
      </c>
      <c r="Y1899" s="1" t="s">
        <v>24</v>
      </c>
      <c r="Z1899" s="1" t="s">
        <v>24</v>
      </c>
      <c r="AA1899" s="1" t="s">
        <v>24</v>
      </c>
      <c r="AB1899" s="1" t="s">
        <v>24</v>
      </c>
      <c r="AC1899" s="1" t="s">
        <v>24</v>
      </c>
      <c r="AD1899" s="1" t="s">
        <v>24</v>
      </c>
      <c r="AE1899" s="1" t="s">
        <v>24</v>
      </c>
      <c r="AF1899" s="22"/>
    </row>
    <row r="1900" spans="1:32" x14ac:dyDescent="0.2">
      <c r="A1900" s="1">
        <v>10896</v>
      </c>
      <c r="B1900" s="1" t="s">
        <v>6087</v>
      </c>
      <c r="C1900" s="5" t="s">
        <v>0</v>
      </c>
      <c r="D1900" s="1" t="s">
        <v>6088</v>
      </c>
      <c r="F1900" s="1" t="s">
        <v>3076</v>
      </c>
      <c r="G1900" s="1" t="s">
        <v>3076</v>
      </c>
      <c r="H1900" s="1" t="s">
        <v>693</v>
      </c>
      <c r="I1900" s="1" t="s">
        <v>16</v>
      </c>
      <c r="J1900" s="1">
        <v>1</v>
      </c>
      <c r="K1900" s="1">
        <v>4</v>
      </c>
      <c r="L1900" s="1" t="s">
        <v>17</v>
      </c>
      <c r="M1900" s="1" t="s">
        <v>1612</v>
      </c>
      <c r="N1900" s="1" t="s">
        <v>6089</v>
      </c>
      <c r="O1900" s="1">
        <v>3</v>
      </c>
      <c r="P1900" s="1">
        <v>5</v>
      </c>
      <c r="R1900" s="1" t="s">
        <v>19</v>
      </c>
      <c r="S1900" s="1" t="s">
        <v>20</v>
      </c>
      <c r="T1900" s="1" t="s">
        <v>21</v>
      </c>
      <c r="U1900" s="1" t="s">
        <v>22</v>
      </c>
      <c r="V1900" s="1" t="s">
        <v>24</v>
      </c>
      <c r="W1900" s="1" t="s">
        <v>24</v>
      </c>
      <c r="X1900" s="1">
        <v>2745</v>
      </c>
      <c r="Y1900" s="1">
        <v>2403</v>
      </c>
      <c r="Z1900" s="1">
        <v>2723</v>
      </c>
      <c r="AA1900" s="1" t="s">
        <v>24</v>
      </c>
      <c r="AB1900" s="1" t="s">
        <v>24</v>
      </c>
      <c r="AC1900" s="1" t="s">
        <v>24</v>
      </c>
      <c r="AD1900" s="1" t="s">
        <v>24</v>
      </c>
      <c r="AE1900" s="1" t="s">
        <v>24</v>
      </c>
      <c r="AF1900" s="22"/>
    </row>
    <row r="1901" spans="1:32" x14ac:dyDescent="0.2">
      <c r="A1901" s="1">
        <v>10897</v>
      </c>
      <c r="B1901" s="1" t="s">
        <v>6090</v>
      </c>
      <c r="C1901" s="5" t="s">
        <v>0</v>
      </c>
      <c r="D1901" s="1" t="s">
        <v>6091</v>
      </c>
      <c r="E1901" s="1" t="s">
        <v>6092</v>
      </c>
      <c r="F1901" s="1" t="s">
        <v>85</v>
      </c>
      <c r="G1901" s="1" t="s">
        <v>61</v>
      </c>
      <c r="H1901" s="1" t="s">
        <v>86</v>
      </c>
      <c r="I1901" s="1" t="s">
        <v>16</v>
      </c>
      <c r="J1901" s="1">
        <v>1</v>
      </c>
      <c r="K1901" s="1">
        <v>12</v>
      </c>
      <c r="L1901" s="1" t="s">
        <v>31</v>
      </c>
      <c r="M1901" s="1" t="s">
        <v>87</v>
      </c>
      <c r="N1901" s="1" t="s">
        <v>199</v>
      </c>
      <c r="O1901" s="1">
        <v>2</v>
      </c>
      <c r="P1901" s="1">
        <v>5</v>
      </c>
      <c r="R1901" s="1" t="s">
        <v>19</v>
      </c>
      <c r="S1901" s="1" t="s">
        <v>20</v>
      </c>
      <c r="T1901" s="1" t="s">
        <v>21</v>
      </c>
      <c r="U1901" s="1" t="s">
        <v>22</v>
      </c>
      <c r="V1901" s="1" t="s">
        <v>24</v>
      </c>
      <c r="W1901" s="1" t="s">
        <v>24</v>
      </c>
      <c r="X1901" s="1">
        <v>1304</v>
      </c>
      <c r="Y1901" s="1">
        <v>2741</v>
      </c>
      <c r="Z1901" s="1">
        <v>3614</v>
      </c>
      <c r="AA1901" s="1" t="s">
        <v>24</v>
      </c>
      <c r="AB1901" s="1" t="s">
        <v>24</v>
      </c>
      <c r="AC1901" s="1" t="s">
        <v>24</v>
      </c>
      <c r="AD1901" s="1" t="s">
        <v>24</v>
      </c>
      <c r="AE1901" s="1" t="s">
        <v>24</v>
      </c>
      <c r="AF1901" s="22"/>
    </row>
    <row r="1902" spans="1:32" x14ac:dyDescent="0.2">
      <c r="A1902" s="1">
        <v>10907</v>
      </c>
      <c r="B1902" s="1" t="s">
        <v>6093</v>
      </c>
      <c r="C1902" s="5" t="s">
        <v>0</v>
      </c>
      <c r="D1902" s="1" t="s">
        <v>6094</v>
      </c>
      <c r="E1902" s="1" t="s">
        <v>6095</v>
      </c>
      <c r="F1902" s="1" t="s">
        <v>1177</v>
      </c>
      <c r="G1902" s="1" t="s">
        <v>61</v>
      </c>
      <c r="H1902" s="1" t="s">
        <v>37</v>
      </c>
      <c r="I1902" s="1" t="s">
        <v>16</v>
      </c>
      <c r="J1902" s="1">
        <v>1</v>
      </c>
      <c r="K1902" s="1">
        <v>12</v>
      </c>
      <c r="L1902" s="1" t="s">
        <v>31</v>
      </c>
      <c r="M1902" s="1" t="s">
        <v>18</v>
      </c>
      <c r="N1902" s="1" t="s">
        <v>18</v>
      </c>
      <c r="O1902" s="1">
        <v>3</v>
      </c>
      <c r="P1902" s="1">
        <v>7</v>
      </c>
      <c r="Q1902" s="7" t="s">
        <v>17633</v>
      </c>
      <c r="R1902" s="1" t="s">
        <v>62</v>
      </c>
      <c r="S1902" s="1" t="s">
        <v>20</v>
      </c>
      <c r="T1902" s="1" t="s">
        <v>21</v>
      </c>
      <c r="U1902" s="1" t="s">
        <v>22</v>
      </c>
      <c r="V1902" s="1" t="s">
        <v>23</v>
      </c>
      <c r="W1902" s="1" t="s">
        <v>24</v>
      </c>
      <c r="X1902" s="1">
        <v>2204</v>
      </c>
      <c r="Y1902" s="1">
        <v>2732</v>
      </c>
      <c r="Z1902" s="1">
        <v>2745</v>
      </c>
      <c r="AA1902" s="1" t="s">
        <v>24</v>
      </c>
      <c r="AB1902" s="1" t="s">
        <v>24</v>
      </c>
      <c r="AC1902" s="1" t="s">
        <v>24</v>
      </c>
      <c r="AD1902" s="1" t="s">
        <v>24</v>
      </c>
      <c r="AE1902" s="1" t="s">
        <v>24</v>
      </c>
      <c r="AF1902" s="22"/>
    </row>
    <row r="1903" spans="1:32" x14ac:dyDescent="0.2">
      <c r="A1903" s="1">
        <v>10908</v>
      </c>
      <c r="B1903" s="1" t="s">
        <v>6096</v>
      </c>
      <c r="C1903" s="5" t="s">
        <v>0</v>
      </c>
      <c r="D1903" s="1" t="s">
        <v>6097</v>
      </c>
      <c r="E1903" s="1" t="s">
        <v>6098</v>
      </c>
      <c r="F1903" s="1" t="s">
        <v>167</v>
      </c>
      <c r="G1903" s="1" t="s">
        <v>130</v>
      </c>
      <c r="H1903" s="1" t="s">
        <v>168</v>
      </c>
      <c r="I1903" s="1" t="s">
        <v>16</v>
      </c>
      <c r="J1903" s="1">
        <v>1</v>
      </c>
      <c r="K1903" s="1">
        <v>4</v>
      </c>
      <c r="L1903" s="1" t="s">
        <v>31</v>
      </c>
      <c r="M1903" s="1" t="s">
        <v>413</v>
      </c>
      <c r="N1903" s="1" t="s">
        <v>413</v>
      </c>
      <c r="O1903" s="1">
        <v>1</v>
      </c>
      <c r="P1903" s="1">
        <v>6</v>
      </c>
      <c r="R1903" s="1" t="s">
        <v>19</v>
      </c>
      <c r="S1903" s="1" t="s">
        <v>20</v>
      </c>
      <c r="T1903" s="1" t="s">
        <v>21</v>
      </c>
      <c r="U1903" s="1" t="s">
        <v>22</v>
      </c>
      <c r="V1903" s="1" t="s">
        <v>24</v>
      </c>
      <c r="W1903" s="1" t="s">
        <v>24</v>
      </c>
      <c r="X1903" s="1">
        <v>2716</v>
      </c>
      <c r="Y1903" s="1">
        <v>1311</v>
      </c>
      <c r="Z1903" s="1" t="s">
        <v>24</v>
      </c>
      <c r="AA1903" s="1" t="s">
        <v>24</v>
      </c>
      <c r="AB1903" s="1" t="s">
        <v>24</v>
      </c>
      <c r="AC1903" s="1" t="s">
        <v>24</v>
      </c>
      <c r="AD1903" s="1" t="s">
        <v>24</v>
      </c>
      <c r="AE1903" s="1" t="s">
        <v>24</v>
      </c>
      <c r="AF1903" s="22"/>
    </row>
    <row r="1904" spans="1:32" x14ac:dyDescent="0.2">
      <c r="A1904" s="1">
        <v>10921</v>
      </c>
      <c r="B1904" s="1" t="s">
        <v>6099</v>
      </c>
      <c r="C1904" s="5" t="s">
        <v>0</v>
      </c>
      <c r="D1904" s="1" t="s">
        <v>6100</v>
      </c>
      <c r="E1904" s="1" t="s">
        <v>6101</v>
      </c>
      <c r="F1904" s="1" t="s">
        <v>831</v>
      </c>
      <c r="G1904" s="1" t="s">
        <v>61</v>
      </c>
      <c r="H1904" s="1" t="s">
        <v>37</v>
      </c>
      <c r="I1904" s="1" t="s">
        <v>16</v>
      </c>
      <c r="J1904" s="1">
        <v>1</v>
      </c>
      <c r="K1904" s="1">
        <v>6</v>
      </c>
      <c r="L1904" s="1" t="s">
        <v>31</v>
      </c>
      <c r="M1904" s="1" t="s">
        <v>18</v>
      </c>
      <c r="N1904" s="1" t="s">
        <v>18</v>
      </c>
      <c r="O1904" s="1">
        <v>2</v>
      </c>
      <c r="P1904" s="1">
        <v>5</v>
      </c>
      <c r="R1904" s="1" t="s">
        <v>19</v>
      </c>
      <c r="S1904" s="1" t="s">
        <v>20</v>
      </c>
      <c r="T1904" s="1" t="s">
        <v>21</v>
      </c>
      <c r="U1904" s="1" t="s">
        <v>22</v>
      </c>
      <c r="V1904" s="1" t="s">
        <v>23</v>
      </c>
      <c r="W1904" s="1" t="s">
        <v>24</v>
      </c>
      <c r="X1904" s="1">
        <v>2707</v>
      </c>
      <c r="Y1904" s="1">
        <v>2902</v>
      </c>
      <c r="Z1904" s="1">
        <v>3603</v>
      </c>
      <c r="AA1904" s="1" t="s">
        <v>24</v>
      </c>
      <c r="AB1904" s="1" t="s">
        <v>24</v>
      </c>
      <c r="AC1904" s="1" t="s">
        <v>24</v>
      </c>
      <c r="AD1904" s="1" t="s">
        <v>24</v>
      </c>
      <c r="AE1904" s="1" t="s">
        <v>24</v>
      </c>
      <c r="AF1904" s="22"/>
    </row>
    <row r="1905" spans="1:32" x14ac:dyDescent="0.2">
      <c r="A1905" s="1">
        <v>10932</v>
      </c>
      <c r="B1905" s="1" t="s">
        <v>6102</v>
      </c>
      <c r="C1905" s="5" t="s">
        <v>0</v>
      </c>
      <c r="D1905" s="1" t="s">
        <v>6103</v>
      </c>
      <c r="F1905" s="1" t="s">
        <v>6104</v>
      </c>
      <c r="G1905" s="1" t="s">
        <v>6104</v>
      </c>
      <c r="H1905" s="1" t="s">
        <v>30</v>
      </c>
      <c r="I1905" s="1" t="s">
        <v>16</v>
      </c>
      <c r="J1905" s="1">
        <v>1</v>
      </c>
      <c r="K1905" s="1">
        <v>3</v>
      </c>
      <c r="L1905" s="1" t="s">
        <v>17</v>
      </c>
      <c r="M1905" s="1" t="s">
        <v>18</v>
      </c>
      <c r="N1905" s="1" t="s">
        <v>18</v>
      </c>
      <c r="O1905" s="1">
        <v>0</v>
      </c>
      <c r="P1905" s="1">
        <v>5</v>
      </c>
      <c r="R1905" s="1" t="s">
        <v>19</v>
      </c>
      <c r="S1905" s="1" t="s">
        <v>20</v>
      </c>
      <c r="T1905" s="1" t="s">
        <v>21</v>
      </c>
      <c r="U1905" s="1" t="s">
        <v>22</v>
      </c>
      <c r="V1905" s="1" t="s">
        <v>23</v>
      </c>
      <c r="W1905" s="1" t="s">
        <v>24</v>
      </c>
      <c r="X1905" s="1">
        <v>3308</v>
      </c>
      <c r="Y1905" s="1">
        <v>2739</v>
      </c>
      <c r="Z1905" s="1">
        <v>3004</v>
      </c>
      <c r="AA1905" s="1" t="s">
        <v>24</v>
      </c>
      <c r="AB1905" s="1" t="s">
        <v>24</v>
      </c>
      <c r="AC1905" s="1" t="s">
        <v>24</v>
      </c>
      <c r="AD1905" s="1" t="s">
        <v>24</v>
      </c>
      <c r="AE1905" s="1" t="s">
        <v>24</v>
      </c>
      <c r="AF1905" s="22"/>
    </row>
    <row r="1906" spans="1:32" x14ac:dyDescent="0.2">
      <c r="A1906" s="1">
        <v>10943</v>
      </c>
      <c r="B1906" s="1" t="s">
        <v>6105</v>
      </c>
      <c r="C1906" s="5" t="s">
        <v>0</v>
      </c>
      <c r="D1906" s="1" t="s">
        <v>6106</v>
      </c>
      <c r="E1906" s="1" t="s">
        <v>6107</v>
      </c>
      <c r="F1906" s="1" t="s">
        <v>91</v>
      </c>
      <c r="G1906" s="1" t="s">
        <v>61</v>
      </c>
      <c r="H1906" s="1" t="s">
        <v>92</v>
      </c>
      <c r="I1906" s="1" t="s">
        <v>16</v>
      </c>
      <c r="J1906" s="1">
        <v>1</v>
      </c>
      <c r="K1906" s="1">
        <v>4</v>
      </c>
      <c r="L1906" s="1" t="s">
        <v>31</v>
      </c>
      <c r="M1906" s="1" t="s">
        <v>18</v>
      </c>
      <c r="N1906" s="1" t="s">
        <v>18</v>
      </c>
      <c r="O1906" s="1">
        <v>3</v>
      </c>
      <c r="P1906" s="1">
        <v>7</v>
      </c>
      <c r="Q1906" s="7" t="s">
        <v>17633</v>
      </c>
      <c r="R1906" s="1" t="s">
        <v>19</v>
      </c>
      <c r="S1906" s="1" t="s">
        <v>20</v>
      </c>
      <c r="T1906" s="1" t="s">
        <v>21</v>
      </c>
      <c r="U1906" s="1" t="s">
        <v>22</v>
      </c>
      <c r="V1906" s="1" t="s">
        <v>24</v>
      </c>
      <c r="W1906" s="1" t="s">
        <v>24</v>
      </c>
      <c r="X1906" s="1">
        <v>2403</v>
      </c>
      <c r="Y1906" s="1">
        <v>2723</v>
      </c>
      <c r="Z1906" s="1">
        <v>2747</v>
      </c>
      <c r="AA1906" s="1" t="s">
        <v>24</v>
      </c>
      <c r="AB1906" s="1" t="s">
        <v>24</v>
      </c>
      <c r="AC1906" s="1" t="s">
        <v>24</v>
      </c>
      <c r="AD1906" s="1" t="s">
        <v>24</v>
      </c>
      <c r="AE1906" s="1" t="s">
        <v>24</v>
      </c>
      <c r="AF1906" s="22"/>
    </row>
    <row r="1907" spans="1:32" x14ac:dyDescent="0.2">
      <c r="A1907" s="1">
        <v>10948</v>
      </c>
      <c r="B1907" s="1" t="s">
        <v>6108</v>
      </c>
      <c r="C1907" s="5" t="s">
        <v>0</v>
      </c>
      <c r="D1907" s="1" t="s">
        <v>6109</v>
      </c>
      <c r="F1907" s="1" t="s">
        <v>6110</v>
      </c>
      <c r="G1907" s="1" t="s">
        <v>6110</v>
      </c>
      <c r="H1907" s="1" t="s">
        <v>428</v>
      </c>
      <c r="I1907" s="1" t="s">
        <v>16</v>
      </c>
      <c r="J1907" s="1">
        <v>1</v>
      </c>
      <c r="K1907" s="1">
        <v>4</v>
      </c>
      <c r="L1907" s="1" t="s">
        <v>42</v>
      </c>
      <c r="M1907" s="1" t="s">
        <v>2835</v>
      </c>
      <c r="N1907" s="1" t="s">
        <v>2835</v>
      </c>
      <c r="O1907" s="1">
        <v>1</v>
      </c>
      <c r="P1907" s="1">
        <v>5</v>
      </c>
      <c r="R1907" s="1" t="s">
        <v>19</v>
      </c>
      <c r="S1907" s="1" t="s">
        <v>20</v>
      </c>
      <c r="T1907" s="1" t="s">
        <v>21</v>
      </c>
      <c r="U1907" s="1" t="s">
        <v>22</v>
      </c>
      <c r="V1907" s="1" t="s">
        <v>24</v>
      </c>
      <c r="W1907" s="1" t="s">
        <v>24</v>
      </c>
      <c r="X1907" s="1">
        <v>2708</v>
      </c>
      <c r="Y1907" s="1">
        <v>2725</v>
      </c>
      <c r="Z1907" s="1" t="s">
        <v>24</v>
      </c>
      <c r="AA1907" s="1" t="s">
        <v>24</v>
      </c>
      <c r="AB1907" s="1" t="s">
        <v>24</v>
      </c>
      <c r="AC1907" s="1" t="s">
        <v>24</v>
      </c>
      <c r="AD1907" s="1" t="s">
        <v>24</v>
      </c>
      <c r="AE1907" s="1" t="s">
        <v>24</v>
      </c>
      <c r="AF1907" s="22"/>
    </row>
    <row r="1908" spans="1:32" x14ac:dyDescent="0.2">
      <c r="A1908" s="1">
        <v>10952</v>
      </c>
      <c r="B1908" s="1" t="s">
        <v>6111</v>
      </c>
      <c r="C1908" s="5" t="s">
        <v>0</v>
      </c>
      <c r="D1908" s="1" t="s">
        <v>6112</v>
      </c>
      <c r="F1908" s="1" t="s">
        <v>6113</v>
      </c>
      <c r="G1908" s="1" t="s">
        <v>61</v>
      </c>
      <c r="H1908" s="1" t="s">
        <v>1116</v>
      </c>
      <c r="I1908" s="1" t="s">
        <v>16</v>
      </c>
      <c r="J1908" s="1">
        <v>1</v>
      </c>
      <c r="K1908" s="1">
        <v>4</v>
      </c>
      <c r="L1908" s="1" t="s">
        <v>31</v>
      </c>
      <c r="M1908" s="1" t="s">
        <v>4418</v>
      </c>
      <c r="N1908" s="1" t="s">
        <v>4418</v>
      </c>
      <c r="O1908" s="1">
        <v>2</v>
      </c>
      <c r="P1908" s="1">
        <v>5</v>
      </c>
      <c r="R1908" s="1" t="s">
        <v>19</v>
      </c>
      <c r="S1908" s="1" t="s">
        <v>20</v>
      </c>
      <c r="T1908" s="1" t="s">
        <v>21</v>
      </c>
      <c r="U1908" s="1" t="s">
        <v>22</v>
      </c>
      <c r="V1908" s="1" t="s">
        <v>24</v>
      </c>
      <c r="W1908" s="1" t="s">
        <v>24</v>
      </c>
      <c r="X1908" s="1">
        <v>1106</v>
      </c>
      <c r="Y1908" s="1">
        <v>3004</v>
      </c>
      <c r="Z1908" s="1" t="s">
        <v>24</v>
      </c>
      <c r="AA1908" s="1" t="s">
        <v>24</v>
      </c>
      <c r="AB1908" s="1" t="s">
        <v>24</v>
      </c>
      <c r="AC1908" s="1" t="s">
        <v>24</v>
      </c>
      <c r="AD1908" s="1" t="s">
        <v>24</v>
      </c>
      <c r="AE1908" s="1" t="s">
        <v>24</v>
      </c>
      <c r="AF1908" s="22"/>
    </row>
    <row r="1909" spans="1:32" x14ac:dyDescent="0.2">
      <c r="A1909" s="1">
        <v>10954</v>
      </c>
      <c r="B1909" s="1" t="s">
        <v>6114</v>
      </c>
      <c r="C1909" s="5" t="s">
        <v>0</v>
      </c>
      <c r="D1909" s="1" t="s">
        <v>6115</v>
      </c>
      <c r="E1909" s="1" t="s">
        <v>6116</v>
      </c>
      <c r="F1909" s="1" t="s">
        <v>291</v>
      </c>
      <c r="G1909" s="1" t="s">
        <v>292</v>
      </c>
      <c r="H1909" s="1" t="s">
        <v>37</v>
      </c>
      <c r="I1909" s="1" t="s">
        <v>16</v>
      </c>
      <c r="J1909" s="1">
        <v>1</v>
      </c>
      <c r="K1909" s="1">
        <v>10</v>
      </c>
      <c r="L1909" s="1" t="s">
        <v>31</v>
      </c>
      <c r="M1909" s="1" t="s">
        <v>18</v>
      </c>
      <c r="N1909" s="1" t="s">
        <v>18</v>
      </c>
      <c r="O1909" s="1">
        <v>3</v>
      </c>
      <c r="P1909" s="1">
        <v>7</v>
      </c>
      <c r="Q1909" s="7" t="s">
        <v>17633</v>
      </c>
      <c r="R1909" s="1" t="s">
        <v>19</v>
      </c>
      <c r="S1909" s="1" t="s">
        <v>20</v>
      </c>
      <c r="T1909" s="1" t="s">
        <v>21</v>
      </c>
      <c r="U1909" s="1" t="s">
        <v>22</v>
      </c>
      <c r="V1909" s="1" t="s">
        <v>24</v>
      </c>
      <c r="W1909" s="1" t="s">
        <v>64</v>
      </c>
      <c r="X1909" s="1">
        <v>3003</v>
      </c>
      <c r="Y1909" s="1" t="s">
        <v>24</v>
      </c>
      <c r="Z1909" s="1" t="s">
        <v>24</v>
      </c>
      <c r="AA1909" s="1" t="s">
        <v>24</v>
      </c>
      <c r="AB1909" s="1" t="s">
        <v>24</v>
      </c>
      <c r="AC1909" s="1" t="s">
        <v>24</v>
      </c>
      <c r="AD1909" s="1" t="s">
        <v>24</v>
      </c>
      <c r="AE1909" s="1" t="s">
        <v>24</v>
      </c>
      <c r="AF1909" s="22"/>
    </row>
    <row r="1910" spans="1:32" x14ac:dyDescent="0.2">
      <c r="A1910" s="1">
        <v>10957</v>
      </c>
      <c r="B1910" s="1" t="s">
        <v>6117</v>
      </c>
      <c r="C1910" s="5" t="s">
        <v>0</v>
      </c>
      <c r="D1910" s="1" t="s">
        <v>6118</v>
      </c>
      <c r="E1910" s="1" t="s">
        <v>6119</v>
      </c>
      <c r="F1910" s="1" t="s">
        <v>555</v>
      </c>
      <c r="G1910" s="1" t="s">
        <v>36</v>
      </c>
      <c r="H1910" s="1" t="s">
        <v>37</v>
      </c>
      <c r="I1910" s="1" t="s">
        <v>16</v>
      </c>
      <c r="J1910" s="1">
        <v>1</v>
      </c>
      <c r="K1910" s="1">
        <v>6</v>
      </c>
      <c r="L1910" s="1" t="s">
        <v>31</v>
      </c>
      <c r="M1910" s="1" t="s">
        <v>18</v>
      </c>
      <c r="N1910" s="1" t="s">
        <v>18</v>
      </c>
      <c r="O1910" s="1">
        <v>3</v>
      </c>
      <c r="P1910" s="1">
        <v>6</v>
      </c>
      <c r="R1910" s="1" t="s">
        <v>19</v>
      </c>
      <c r="S1910" s="1" t="s">
        <v>20</v>
      </c>
      <c r="T1910" s="1" t="s">
        <v>21</v>
      </c>
      <c r="U1910" s="1" t="s">
        <v>22</v>
      </c>
      <c r="V1910" s="1" t="s">
        <v>23</v>
      </c>
      <c r="W1910" s="1" t="s">
        <v>24</v>
      </c>
      <c r="X1910" s="1">
        <v>2701</v>
      </c>
      <c r="Y1910" s="1">
        <v>2738</v>
      </c>
      <c r="Z1910" s="1">
        <v>3203</v>
      </c>
      <c r="AA1910" s="1" t="s">
        <v>24</v>
      </c>
      <c r="AB1910" s="1" t="s">
        <v>24</v>
      </c>
      <c r="AC1910" s="1" t="s">
        <v>24</v>
      </c>
      <c r="AD1910" s="1" t="s">
        <v>24</v>
      </c>
      <c r="AE1910" s="1" t="s">
        <v>24</v>
      </c>
      <c r="AF1910" s="22"/>
    </row>
    <row r="1911" spans="1:32" x14ac:dyDescent="0.2">
      <c r="A1911" s="1">
        <v>10958</v>
      </c>
      <c r="B1911" s="1" t="s">
        <v>6120</v>
      </c>
      <c r="C1911" s="5" t="s">
        <v>0</v>
      </c>
      <c r="D1911" s="1" t="s">
        <v>6121</v>
      </c>
      <c r="E1911" s="1" t="s">
        <v>6122</v>
      </c>
      <c r="F1911" s="1" t="s">
        <v>91</v>
      </c>
      <c r="G1911" s="1" t="s">
        <v>61</v>
      </c>
      <c r="H1911" s="1" t="s">
        <v>92</v>
      </c>
      <c r="I1911" s="1" t="s">
        <v>16</v>
      </c>
      <c r="J1911" s="1">
        <v>1</v>
      </c>
      <c r="K1911" s="1">
        <v>12</v>
      </c>
      <c r="L1911" s="1" t="s">
        <v>31</v>
      </c>
      <c r="M1911" s="1" t="s">
        <v>18</v>
      </c>
      <c r="N1911" s="1" t="s">
        <v>18</v>
      </c>
      <c r="O1911" s="1">
        <v>3</v>
      </c>
      <c r="P1911" s="1">
        <v>6</v>
      </c>
      <c r="R1911" s="1" t="s">
        <v>62</v>
      </c>
      <c r="S1911" s="1" t="s">
        <v>20</v>
      </c>
      <c r="T1911" s="1" t="s">
        <v>21</v>
      </c>
      <c r="U1911" s="1" t="s">
        <v>22</v>
      </c>
      <c r="V1911" s="1" t="s">
        <v>23</v>
      </c>
      <c r="W1911" s="1" t="s">
        <v>24</v>
      </c>
      <c r="X1911" s="1">
        <v>2738</v>
      </c>
      <c r="Y1911" s="1">
        <v>2717</v>
      </c>
      <c r="Z1911" s="1" t="s">
        <v>24</v>
      </c>
      <c r="AA1911" s="1" t="s">
        <v>24</v>
      </c>
      <c r="AB1911" s="1" t="s">
        <v>24</v>
      </c>
      <c r="AC1911" s="1" t="s">
        <v>24</v>
      </c>
      <c r="AD1911" s="1" t="s">
        <v>24</v>
      </c>
      <c r="AE1911" s="1" t="s">
        <v>24</v>
      </c>
      <c r="AF1911" s="22"/>
    </row>
    <row r="1912" spans="1:32" x14ac:dyDescent="0.2">
      <c r="A1912" s="1">
        <v>10975</v>
      </c>
      <c r="B1912" s="1" t="s">
        <v>6123</v>
      </c>
      <c r="C1912" s="5" t="s">
        <v>0</v>
      </c>
      <c r="D1912" s="1" t="s">
        <v>6124</v>
      </c>
      <c r="E1912" s="1" t="s">
        <v>6125</v>
      </c>
      <c r="F1912" s="1" t="s">
        <v>356</v>
      </c>
      <c r="G1912" s="1" t="s">
        <v>357</v>
      </c>
      <c r="H1912" s="1" t="s">
        <v>30</v>
      </c>
      <c r="I1912" s="1" t="s">
        <v>16</v>
      </c>
      <c r="J1912" s="1">
        <v>1</v>
      </c>
      <c r="K1912" s="1">
        <v>4</v>
      </c>
      <c r="L1912" s="1" t="s">
        <v>31</v>
      </c>
      <c r="M1912" s="1" t="s">
        <v>18</v>
      </c>
      <c r="N1912" s="1" t="s">
        <v>18</v>
      </c>
      <c r="O1912" s="1">
        <v>3</v>
      </c>
      <c r="P1912" s="1">
        <v>6</v>
      </c>
      <c r="R1912" s="1" t="s">
        <v>19</v>
      </c>
      <c r="S1912" s="1" t="s">
        <v>20</v>
      </c>
      <c r="T1912" s="1" t="s">
        <v>21</v>
      </c>
      <c r="U1912" s="1" t="s">
        <v>22</v>
      </c>
      <c r="V1912" s="1" t="s">
        <v>24</v>
      </c>
      <c r="W1912" s="1" t="s">
        <v>24</v>
      </c>
      <c r="X1912" s="1">
        <v>3004</v>
      </c>
      <c r="Y1912" s="1">
        <v>2736</v>
      </c>
      <c r="Z1912" s="1">
        <v>2738</v>
      </c>
      <c r="AA1912" s="1" t="s">
        <v>24</v>
      </c>
      <c r="AB1912" s="1" t="s">
        <v>24</v>
      </c>
      <c r="AC1912" s="1" t="s">
        <v>24</v>
      </c>
      <c r="AD1912" s="1" t="s">
        <v>24</v>
      </c>
      <c r="AE1912" s="1" t="s">
        <v>24</v>
      </c>
      <c r="AF1912" s="22"/>
    </row>
    <row r="1913" spans="1:32" x14ac:dyDescent="0.2">
      <c r="A1913" s="1">
        <v>10984</v>
      </c>
      <c r="B1913" s="1" t="s">
        <v>6126</v>
      </c>
      <c r="C1913" s="5" t="s">
        <v>0</v>
      </c>
      <c r="D1913" s="1" t="s">
        <v>6127</v>
      </c>
      <c r="E1913" s="1" t="s">
        <v>6128</v>
      </c>
      <c r="F1913" s="1" t="s">
        <v>315</v>
      </c>
      <c r="G1913" s="1" t="s">
        <v>316</v>
      </c>
      <c r="H1913" s="1" t="s">
        <v>37</v>
      </c>
      <c r="I1913" s="1" t="s">
        <v>16</v>
      </c>
      <c r="J1913" s="1">
        <v>1</v>
      </c>
      <c r="K1913" s="1">
        <v>24</v>
      </c>
      <c r="L1913" s="1" t="s">
        <v>31</v>
      </c>
      <c r="M1913" s="1" t="s">
        <v>18</v>
      </c>
      <c r="N1913" s="1" t="s">
        <v>18</v>
      </c>
      <c r="O1913" s="1">
        <v>3</v>
      </c>
      <c r="P1913" s="1">
        <v>7</v>
      </c>
      <c r="Q1913" s="7" t="s">
        <v>17633</v>
      </c>
      <c r="R1913" s="1" t="s">
        <v>62</v>
      </c>
      <c r="S1913" s="1" t="s">
        <v>20</v>
      </c>
      <c r="T1913" s="1" t="s">
        <v>21</v>
      </c>
      <c r="U1913" s="1" t="s">
        <v>22</v>
      </c>
      <c r="V1913" s="1" t="s">
        <v>24</v>
      </c>
      <c r="W1913" s="1" t="s">
        <v>24</v>
      </c>
      <c r="X1913" s="1">
        <v>1313</v>
      </c>
      <c r="Y1913" s="1">
        <v>1312</v>
      </c>
      <c r="Z1913" s="1">
        <v>1311</v>
      </c>
      <c r="AA1913" s="1" t="s">
        <v>24</v>
      </c>
      <c r="AB1913" s="1" t="s">
        <v>24</v>
      </c>
      <c r="AC1913" s="1" t="s">
        <v>24</v>
      </c>
      <c r="AD1913" s="1" t="s">
        <v>24</v>
      </c>
      <c r="AE1913" s="1" t="s">
        <v>24</v>
      </c>
      <c r="AF1913" s="22"/>
    </row>
    <row r="1914" spans="1:32" x14ac:dyDescent="0.2">
      <c r="A1914" s="1">
        <v>10985</v>
      </c>
      <c r="B1914" s="1" t="s">
        <v>6129</v>
      </c>
      <c r="C1914" s="5" t="s">
        <v>0</v>
      </c>
      <c r="D1914" s="1" t="s">
        <v>6130</v>
      </c>
      <c r="E1914" s="1" t="s">
        <v>6131</v>
      </c>
      <c r="F1914" s="1" t="s">
        <v>6132</v>
      </c>
      <c r="G1914" s="1" t="s">
        <v>460</v>
      </c>
      <c r="H1914" s="1" t="s">
        <v>461</v>
      </c>
      <c r="I1914" s="1" t="s">
        <v>16</v>
      </c>
      <c r="J1914" s="1">
        <v>1</v>
      </c>
      <c r="K1914" s="1">
        <v>6</v>
      </c>
      <c r="L1914" s="1" t="s">
        <v>42</v>
      </c>
      <c r="M1914" s="1" t="s">
        <v>18</v>
      </c>
      <c r="N1914" s="1" t="s">
        <v>18</v>
      </c>
      <c r="O1914" s="1">
        <v>2</v>
      </c>
      <c r="P1914" s="1">
        <v>6</v>
      </c>
      <c r="R1914" s="1" t="s">
        <v>19</v>
      </c>
      <c r="S1914" s="1" t="s">
        <v>20</v>
      </c>
      <c r="T1914" s="1" t="s">
        <v>21</v>
      </c>
      <c r="U1914" s="1" t="s">
        <v>22</v>
      </c>
      <c r="V1914" s="1" t="s">
        <v>24</v>
      </c>
      <c r="W1914" s="1" t="s">
        <v>24</v>
      </c>
      <c r="X1914" s="1">
        <v>1310</v>
      </c>
      <c r="Y1914" s="1">
        <v>2712</v>
      </c>
      <c r="Z1914" s="1" t="s">
        <v>24</v>
      </c>
      <c r="AA1914" s="1" t="s">
        <v>24</v>
      </c>
      <c r="AB1914" s="1" t="s">
        <v>24</v>
      </c>
      <c r="AC1914" s="1" t="s">
        <v>24</v>
      </c>
      <c r="AD1914" s="1" t="s">
        <v>24</v>
      </c>
      <c r="AE1914" s="1" t="s">
        <v>24</v>
      </c>
      <c r="AF1914" s="22"/>
    </row>
    <row r="1915" spans="1:32" x14ac:dyDescent="0.2">
      <c r="A1915" s="1">
        <v>10987</v>
      </c>
      <c r="B1915" s="1" t="s">
        <v>6133</v>
      </c>
      <c r="C1915" s="5" t="s">
        <v>0</v>
      </c>
      <c r="D1915" s="1" t="s">
        <v>6134</v>
      </c>
      <c r="E1915" s="1" t="s">
        <v>6135</v>
      </c>
      <c r="F1915" s="1" t="s">
        <v>412</v>
      </c>
      <c r="G1915" s="1" t="s">
        <v>372</v>
      </c>
      <c r="H1915" s="1" t="s">
        <v>168</v>
      </c>
      <c r="I1915" s="1" t="s">
        <v>16</v>
      </c>
      <c r="J1915" s="1">
        <v>0</v>
      </c>
      <c r="K1915" s="1">
        <v>0</v>
      </c>
      <c r="L1915" s="1" t="s">
        <v>31</v>
      </c>
      <c r="M1915" s="1" t="s">
        <v>413</v>
      </c>
      <c r="N1915" s="1" t="s">
        <v>18</v>
      </c>
      <c r="O1915" s="1">
        <v>3</v>
      </c>
      <c r="P1915" s="1">
        <v>6</v>
      </c>
      <c r="R1915" s="1" t="s">
        <v>19</v>
      </c>
      <c r="S1915" s="1" t="s">
        <v>63</v>
      </c>
      <c r="T1915" s="1" t="s">
        <v>21</v>
      </c>
      <c r="U1915" s="1" t="s">
        <v>22</v>
      </c>
      <c r="V1915" s="1" t="s">
        <v>24</v>
      </c>
      <c r="W1915" s="1" t="s">
        <v>24</v>
      </c>
      <c r="X1915" s="1">
        <v>2738</v>
      </c>
      <c r="Y1915" s="1" t="s">
        <v>24</v>
      </c>
      <c r="Z1915" s="1" t="s">
        <v>24</v>
      </c>
      <c r="AA1915" s="1" t="s">
        <v>24</v>
      </c>
      <c r="AB1915" s="1" t="s">
        <v>24</v>
      </c>
      <c r="AC1915" s="1" t="s">
        <v>24</v>
      </c>
      <c r="AD1915" s="1" t="s">
        <v>24</v>
      </c>
      <c r="AE1915" s="1" t="s">
        <v>24</v>
      </c>
      <c r="AF1915" s="22"/>
    </row>
    <row r="1916" spans="1:32" x14ac:dyDescent="0.2">
      <c r="A1916" s="1">
        <v>10989</v>
      </c>
      <c r="B1916" s="1" t="s">
        <v>6136</v>
      </c>
      <c r="C1916" s="5" t="s">
        <v>0</v>
      </c>
      <c r="D1916" s="1" t="s">
        <v>6137</v>
      </c>
      <c r="F1916" s="1" t="s">
        <v>6138</v>
      </c>
      <c r="G1916" s="1" t="s">
        <v>6139</v>
      </c>
      <c r="H1916" s="1" t="s">
        <v>4993</v>
      </c>
      <c r="I1916" s="1" t="s">
        <v>16</v>
      </c>
      <c r="J1916" s="1">
        <v>1</v>
      </c>
      <c r="K1916" s="1">
        <v>4</v>
      </c>
      <c r="L1916" s="1" t="s">
        <v>42</v>
      </c>
      <c r="M1916" s="1" t="s">
        <v>18</v>
      </c>
      <c r="N1916" s="1" t="s">
        <v>18</v>
      </c>
      <c r="O1916" s="1">
        <v>2</v>
      </c>
      <c r="P1916" s="1">
        <v>5</v>
      </c>
      <c r="R1916" s="1" t="s">
        <v>19</v>
      </c>
      <c r="S1916" s="1" t="s">
        <v>20</v>
      </c>
      <c r="T1916" s="1" t="s">
        <v>21</v>
      </c>
      <c r="U1916" s="1" t="s">
        <v>22</v>
      </c>
      <c r="V1916" s="1" t="s">
        <v>24</v>
      </c>
      <c r="W1916" s="1" t="s">
        <v>24</v>
      </c>
      <c r="X1916" s="1">
        <v>2708</v>
      </c>
      <c r="Y1916" s="1">
        <v>2725</v>
      </c>
      <c r="Z1916" s="1" t="s">
        <v>24</v>
      </c>
      <c r="AA1916" s="1" t="s">
        <v>24</v>
      </c>
      <c r="AB1916" s="1" t="s">
        <v>24</v>
      </c>
      <c r="AC1916" s="1" t="s">
        <v>24</v>
      </c>
      <c r="AD1916" s="1" t="s">
        <v>24</v>
      </c>
      <c r="AE1916" s="1" t="s">
        <v>24</v>
      </c>
      <c r="AF1916" s="22"/>
    </row>
    <row r="1917" spans="1:32" x14ac:dyDescent="0.2">
      <c r="A1917" s="1">
        <v>10992</v>
      </c>
      <c r="B1917" s="1" t="s">
        <v>6140</v>
      </c>
      <c r="C1917" s="5" t="s">
        <v>0</v>
      </c>
      <c r="D1917" s="1" t="s">
        <v>6141</v>
      </c>
      <c r="E1917" s="1" t="s">
        <v>6142</v>
      </c>
      <c r="F1917" s="1" t="s">
        <v>28</v>
      </c>
      <c r="G1917" s="1" t="s">
        <v>29</v>
      </c>
      <c r="H1917" s="1" t="s">
        <v>30</v>
      </c>
      <c r="I1917" s="1" t="s">
        <v>16</v>
      </c>
      <c r="J1917" s="1">
        <v>1</v>
      </c>
      <c r="K1917" s="1">
        <v>6</v>
      </c>
      <c r="L1917" s="1" t="s">
        <v>31</v>
      </c>
      <c r="M1917" s="1" t="s">
        <v>18</v>
      </c>
      <c r="N1917" s="1" t="s">
        <v>18</v>
      </c>
      <c r="O1917" s="1">
        <v>3</v>
      </c>
      <c r="P1917" s="1">
        <v>7</v>
      </c>
      <c r="Q1917" s="7" t="s">
        <v>17633</v>
      </c>
      <c r="R1917" s="1" t="s">
        <v>19</v>
      </c>
      <c r="S1917" s="1" t="s">
        <v>20</v>
      </c>
      <c r="T1917" s="1" t="s">
        <v>21</v>
      </c>
      <c r="U1917" s="1" t="s">
        <v>22</v>
      </c>
      <c r="V1917" s="1" t="s">
        <v>24</v>
      </c>
      <c r="W1917" s="1" t="s">
        <v>24</v>
      </c>
      <c r="X1917" s="1">
        <v>2738</v>
      </c>
      <c r="Y1917" s="1" t="s">
        <v>24</v>
      </c>
      <c r="Z1917" s="1" t="s">
        <v>24</v>
      </c>
      <c r="AA1917" s="1" t="s">
        <v>24</v>
      </c>
      <c r="AB1917" s="1" t="s">
        <v>24</v>
      </c>
      <c r="AC1917" s="1" t="s">
        <v>24</v>
      </c>
      <c r="AD1917" s="1" t="s">
        <v>24</v>
      </c>
      <c r="AE1917" s="1" t="s">
        <v>24</v>
      </c>
      <c r="AF1917" s="22"/>
    </row>
    <row r="1918" spans="1:32" x14ac:dyDescent="0.2">
      <c r="A1918" s="1">
        <v>10993</v>
      </c>
      <c r="B1918" s="1" t="s">
        <v>6143</v>
      </c>
      <c r="C1918" s="5" t="s">
        <v>0</v>
      </c>
      <c r="D1918" s="1" t="s">
        <v>6144</v>
      </c>
      <c r="E1918" s="1" t="s">
        <v>6145</v>
      </c>
      <c r="F1918" s="1" t="s">
        <v>190</v>
      </c>
      <c r="G1918" s="1" t="s">
        <v>130</v>
      </c>
      <c r="H1918" s="1" t="s">
        <v>30</v>
      </c>
      <c r="I1918" s="1" t="s">
        <v>16</v>
      </c>
      <c r="J1918" s="1">
        <v>1</v>
      </c>
      <c r="K1918" s="1">
        <v>6</v>
      </c>
      <c r="L1918" s="1" t="s">
        <v>31</v>
      </c>
      <c r="M1918" s="1" t="s">
        <v>18</v>
      </c>
      <c r="N1918" s="1" t="s">
        <v>18</v>
      </c>
      <c r="O1918" s="1">
        <v>3</v>
      </c>
      <c r="P1918" s="1">
        <v>7</v>
      </c>
      <c r="Q1918" s="7" t="s">
        <v>17633</v>
      </c>
      <c r="R1918" s="1" t="s">
        <v>19</v>
      </c>
      <c r="S1918" s="1" t="s">
        <v>20</v>
      </c>
      <c r="T1918" s="1" t="s">
        <v>21</v>
      </c>
      <c r="U1918" s="1" t="s">
        <v>22</v>
      </c>
      <c r="V1918" s="1" t="s">
        <v>23</v>
      </c>
      <c r="W1918" s="1" t="s">
        <v>24</v>
      </c>
      <c r="X1918" s="1">
        <v>2705</v>
      </c>
      <c r="Y1918" s="1">
        <v>2741</v>
      </c>
      <c r="Z1918" s="1" t="s">
        <v>24</v>
      </c>
      <c r="AA1918" s="1" t="s">
        <v>24</v>
      </c>
      <c r="AB1918" s="1" t="s">
        <v>24</v>
      </c>
      <c r="AC1918" s="1" t="s">
        <v>24</v>
      </c>
      <c r="AD1918" s="1" t="s">
        <v>24</v>
      </c>
      <c r="AE1918" s="1" t="s">
        <v>24</v>
      </c>
      <c r="AF1918" s="22"/>
    </row>
    <row r="1919" spans="1:32" x14ac:dyDescent="0.2">
      <c r="A1919" s="1">
        <v>10994</v>
      </c>
      <c r="B1919" s="1" t="s">
        <v>6146</v>
      </c>
      <c r="C1919" s="5" t="s">
        <v>0</v>
      </c>
      <c r="D1919" s="1" t="s">
        <v>6147</v>
      </c>
      <c r="F1919" s="1" t="s">
        <v>6148</v>
      </c>
      <c r="G1919" s="1" t="s">
        <v>6148</v>
      </c>
      <c r="H1919" s="1" t="s">
        <v>168</v>
      </c>
      <c r="I1919" s="1" t="s">
        <v>16</v>
      </c>
      <c r="J1919" s="1">
        <v>1</v>
      </c>
      <c r="K1919" s="1">
        <v>6</v>
      </c>
      <c r="L1919" s="1" t="s">
        <v>42</v>
      </c>
      <c r="M1919" s="1" t="s">
        <v>679</v>
      </c>
      <c r="N1919" s="1" t="s">
        <v>679</v>
      </c>
      <c r="O1919" s="1">
        <v>3</v>
      </c>
      <c r="P1919" s="1">
        <v>5</v>
      </c>
      <c r="R1919" s="1" t="s">
        <v>19</v>
      </c>
      <c r="S1919" s="1" t="s">
        <v>20</v>
      </c>
      <c r="T1919" s="1" t="s">
        <v>21</v>
      </c>
      <c r="U1919" s="1" t="s">
        <v>22</v>
      </c>
      <c r="V1919" s="1" t="s">
        <v>23</v>
      </c>
      <c r="W1919" s="1" t="s">
        <v>24</v>
      </c>
      <c r="X1919" s="1">
        <v>3607</v>
      </c>
      <c r="Y1919" s="1">
        <v>2726</v>
      </c>
      <c r="Z1919" s="1" t="s">
        <v>24</v>
      </c>
      <c r="AA1919" s="1" t="s">
        <v>24</v>
      </c>
      <c r="AB1919" s="1" t="s">
        <v>24</v>
      </c>
      <c r="AC1919" s="1" t="s">
        <v>24</v>
      </c>
      <c r="AD1919" s="1" t="s">
        <v>24</v>
      </c>
      <c r="AE1919" s="1" t="s">
        <v>24</v>
      </c>
      <c r="AF1919" s="22"/>
    </row>
    <row r="1920" spans="1:32" x14ac:dyDescent="0.2">
      <c r="A1920" s="1">
        <v>10995</v>
      </c>
      <c r="B1920" s="1" t="s">
        <v>6149</v>
      </c>
      <c r="C1920" s="5" t="s">
        <v>0</v>
      </c>
      <c r="D1920" s="1" t="s">
        <v>6150</v>
      </c>
      <c r="F1920" s="1" t="s">
        <v>2776</v>
      </c>
      <c r="G1920" s="1" t="s">
        <v>61</v>
      </c>
      <c r="H1920" s="1" t="s">
        <v>46</v>
      </c>
      <c r="I1920" s="1" t="s">
        <v>16</v>
      </c>
      <c r="J1920" s="1">
        <v>1</v>
      </c>
      <c r="K1920" s="1">
        <v>4</v>
      </c>
      <c r="L1920" s="1" t="s">
        <v>31</v>
      </c>
      <c r="M1920" s="1" t="s">
        <v>18</v>
      </c>
      <c r="N1920" s="1" t="s">
        <v>18</v>
      </c>
      <c r="O1920" s="1">
        <v>3</v>
      </c>
      <c r="P1920" s="1">
        <v>6</v>
      </c>
      <c r="R1920" s="1" t="s">
        <v>19</v>
      </c>
      <c r="S1920" s="1" t="s">
        <v>20</v>
      </c>
      <c r="T1920" s="1" t="s">
        <v>21</v>
      </c>
      <c r="U1920" s="1" t="s">
        <v>22</v>
      </c>
      <c r="V1920" s="1" t="s">
        <v>23</v>
      </c>
      <c r="W1920" s="1" t="s">
        <v>24</v>
      </c>
      <c r="X1920" s="1">
        <v>2741</v>
      </c>
      <c r="Y1920" s="1" t="s">
        <v>24</v>
      </c>
      <c r="Z1920" s="1" t="s">
        <v>24</v>
      </c>
      <c r="AA1920" s="1" t="s">
        <v>24</v>
      </c>
      <c r="AB1920" s="1" t="s">
        <v>24</v>
      </c>
      <c r="AC1920" s="1" t="s">
        <v>24</v>
      </c>
      <c r="AD1920" s="1" t="s">
        <v>24</v>
      </c>
      <c r="AE1920" s="1" t="s">
        <v>24</v>
      </c>
      <c r="AF1920" s="22"/>
    </row>
    <row r="1921" spans="1:32" x14ac:dyDescent="0.2">
      <c r="A1921" s="1">
        <v>10996</v>
      </c>
      <c r="B1921" s="1" t="s">
        <v>6151</v>
      </c>
      <c r="C1921" s="5" t="s">
        <v>0</v>
      </c>
      <c r="D1921" s="1" t="s">
        <v>6152</v>
      </c>
      <c r="E1921" s="1" t="s">
        <v>6153</v>
      </c>
      <c r="F1921" s="1" t="s">
        <v>4337</v>
      </c>
      <c r="G1921" s="1" t="s">
        <v>4338</v>
      </c>
      <c r="H1921" s="1" t="s">
        <v>30</v>
      </c>
      <c r="I1921" s="1" t="s">
        <v>16</v>
      </c>
      <c r="J1921" s="1">
        <v>1</v>
      </c>
      <c r="K1921" s="1">
        <v>6</v>
      </c>
      <c r="L1921" s="1" t="s">
        <v>31</v>
      </c>
      <c r="M1921" s="1" t="s">
        <v>18</v>
      </c>
      <c r="N1921" s="1" t="s">
        <v>18</v>
      </c>
      <c r="O1921" s="1">
        <v>3</v>
      </c>
      <c r="P1921" s="1">
        <v>6</v>
      </c>
      <c r="R1921" s="1" t="s">
        <v>19</v>
      </c>
      <c r="S1921" s="1" t="s">
        <v>20</v>
      </c>
      <c r="T1921" s="1" t="s">
        <v>21</v>
      </c>
      <c r="U1921" s="1" t="s">
        <v>22</v>
      </c>
      <c r="V1921" s="1" t="s">
        <v>24</v>
      </c>
      <c r="W1921" s="1" t="s">
        <v>24</v>
      </c>
      <c r="X1921" s="1">
        <v>2736</v>
      </c>
      <c r="Y1921" s="1">
        <v>2735</v>
      </c>
      <c r="Z1921" s="1">
        <v>2738</v>
      </c>
      <c r="AA1921" s="1" t="s">
        <v>24</v>
      </c>
      <c r="AB1921" s="1" t="s">
        <v>24</v>
      </c>
      <c r="AC1921" s="1" t="s">
        <v>24</v>
      </c>
      <c r="AD1921" s="1" t="s">
        <v>24</v>
      </c>
      <c r="AE1921" s="1" t="s">
        <v>24</v>
      </c>
      <c r="AF1921" s="22"/>
    </row>
    <row r="1922" spans="1:32" x14ac:dyDescent="0.2">
      <c r="A1922" s="1">
        <v>10998</v>
      </c>
      <c r="B1922" s="1" t="s">
        <v>6154</v>
      </c>
      <c r="C1922" s="5" t="s">
        <v>0</v>
      </c>
      <c r="D1922" s="1" t="s">
        <v>6155</v>
      </c>
      <c r="E1922" s="1" t="s">
        <v>6156</v>
      </c>
      <c r="F1922" s="1" t="s">
        <v>669</v>
      </c>
      <c r="G1922" s="1" t="s">
        <v>311</v>
      </c>
      <c r="H1922" s="1" t="s">
        <v>30</v>
      </c>
      <c r="I1922" s="1" t="s">
        <v>16</v>
      </c>
      <c r="J1922" s="1">
        <v>1</v>
      </c>
      <c r="K1922" s="1">
        <v>6</v>
      </c>
      <c r="L1922" s="1" t="s">
        <v>31</v>
      </c>
      <c r="M1922" s="1" t="s">
        <v>18</v>
      </c>
      <c r="N1922" s="1" t="s">
        <v>18</v>
      </c>
      <c r="O1922" s="1">
        <v>3</v>
      </c>
      <c r="P1922" s="1">
        <v>7</v>
      </c>
      <c r="Q1922" s="7" t="s">
        <v>17633</v>
      </c>
      <c r="R1922" s="1" t="s">
        <v>19</v>
      </c>
      <c r="S1922" s="1" t="s">
        <v>20</v>
      </c>
      <c r="T1922" s="1" t="s">
        <v>21</v>
      </c>
      <c r="U1922" s="1" t="s">
        <v>22</v>
      </c>
      <c r="V1922" s="1" t="s">
        <v>24</v>
      </c>
      <c r="W1922" s="1" t="s">
        <v>24</v>
      </c>
      <c r="X1922" s="1">
        <v>2736</v>
      </c>
      <c r="Y1922" s="1">
        <v>3004</v>
      </c>
      <c r="Z1922" s="1">
        <v>2613</v>
      </c>
      <c r="AA1922" s="1" t="s">
        <v>24</v>
      </c>
      <c r="AB1922" s="1" t="s">
        <v>24</v>
      </c>
      <c r="AC1922" s="1" t="s">
        <v>24</v>
      </c>
      <c r="AD1922" s="1" t="s">
        <v>24</v>
      </c>
      <c r="AE1922" s="1" t="s">
        <v>24</v>
      </c>
      <c r="AF1922" s="22"/>
    </row>
    <row r="1923" spans="1:32" x14ac:dyDescent="0.2">
      <c r="A1923" s="1">
        <v>10999</v>
      </c>
      <c r="B1923" s="1" t="s">
        <v>6157</v>
      </c>
      <c r="C1923" s="5" t="s">
        <v>0</v>
      </c>
      <c r="D1923" s="1" t="s">
        <v>6158</v>
      </c>
      <c r="F1923" s="1" t="s">
        <v>6159</v>
      </c>
      <c r="G1923" s="1" t="s">
        <v>61</v>
      </c>
      <c r="H1923" s="1" t="s">
        <v>92</v>
      </c>
      <c r="I1923" s="1" t="s">
        <v>16</v>
      </c>
      <c r="J1923" s="1">
        <v>1</v>
      </c>
      <c r="K1923" s="1">
        <v>4</v>
      </c>
      <c r="L1923" s="1" t="s">
        <v>31</v>
      </c>
      <c r="M1923" s="1" t="s">
        <v>18</v>
      </c>
      <c r="N1923" s="1" t="s">
        <v>18</v>
      </c>
      <c r="O1923" s="1">
        <v>3</v>
      </c>
      <c r="P1923" s="1">
        <v>7</v>
      </c>
      <c r="Q1923" s="7" t="s">
        <v>17633</v>
      </c>
      <c r="R1923" s="1" t="s">
        <v>19</v>
      </c>
      <c r="S1923" s="1" t="s">
        <v>20</v>
      </c>
      <c r="T1923" s="1" t="s">
        <v>21</v>
      </c>
      <c r="U1923" s="1" t="s">
        <v>22</v>
      </c>
      <c r="V1923" s="1" t="s">
        <v>24</v>
      </c>
      <c r="W1923" s="1" t="s">
        <v>24</v>
      </c>
      <c r="X1923" s="1">
        <v>2738</v>
      </c>
      <c r="Y1923" s="1">
        <v>2728</v>
      </c>
      <c r="Z1923" s="1">
        <v>2800</v>
      </c>
      <c r="AA1923" s="1" t="s">
        <v>24</v>
      </c>
      <c r="AB1923" s="1" t="s">
        <v>24</v>
      </c>
      <c r="AC1923" s="1" t="s">
        <v>24</v>
      </c>
      <c r="AD1923" s="1" t="s">
        <v>24</v>
      </c>
      <c r="AE1923" s="1" t="s">
        <v>24</v>
      </c>
      <c r="AF1923" s="22" t="s">
        <v>17674</v>
      </c>
    </row>
    <row r="1924" spans="1:32" x14ac:dyDescent="0.2">
      <c r="A1924" s="1">
        <v>11000</v>
      </c>
      <c r="B1924" s="1" t="s">
        <v>6160</v>
      </c>
      <c r="C1924" s="5" t="s">
        <v>0</v>
      </c>
      <c r="D1924" s="1" t="s">
        <v>6161</v>
      </c>
      <c r="F1924" s="1" t="s">
        <v>229</v>
      </c>
      <c r="G1924" s="1" t="s">
        <v>229</v>
      </c>
      <c r="H1924" s="1" t="s">
        <v>86</v>
      </c>
      <c r="I1924" s="1" t="s">
        <v>16</v>
      </c>
      <c r="J1924" s="1">
        <v>1</v>
      </c>
      <c r="K1924" s="1">
        <v>4</v>
      </c>
      <c r="L1924" s="1" t="s">
        <v>17</v>
      </c>
      <c r="M1924" s="1" t="s">
        <v>87</v>
      </c>
      <c r="N1924" s="1" t="s">
        <v>87</v>
      </c>
      <c r="O1924" s="1">
        <v>2</v>
      </c>
      <c r="P1924" s="1">
        <v>6</v>
      </c>
      <c r="R1924" s="1" t="s">
        <v>19</v>
      </c>
      <c r="S1924" s="1" t="s">
        <v>20</v>
      </c>
      <c r="T1924" s="1" t="s">
        <v>21</v>
      </c>
      <c r="U1924" s="1" t="s">
        <v>22</v>
      </c>
      <c r="V1924" s="1" t="s">
        <v>24</v>
      </c>
      <c r="W1924" s="1" t="s">
        <v>24</v>
      </c>
      <c r="X1924" s="1">
        <v>2729</v>
      </c>
      <c r="Y1924" s="1">
        <v>2743</v>
      </c>
      <c r="Z1924" s="1" t="s">
        <v>24</v>
      </c>
      <c r="AA1924" s="1" t="s">
        <v>24</v>
      </c>
      <c r="AB1924" s="1" t="s">
        <v>24</v>
      </c>
      <c r="AC1924" s="1" t="s">
        <v>24</v>
      </c>
      <c r="AD1924" s="1" t="s">
        <v>24</v>
      </c>
      <c r="AE1924" s="1" t="s">
        <v>24</v>
      </c>
      <c r="AF1924" s="22"/>
    </row>
    <row r="1925" spans="1:32" x14ac:dyDescent="0.2">
      <c r="A1925" s="1">
        <v>11002</v>
      </c>
      <c r="B1925" s="1" t="s">
        <v>6162</v>
      </c>
      <c r="C1925" s="5" t="s">
        <v>0</v>
      </c>
      <c r="D1925" s="1" t="s">
        <v>6163</v>
      </c>
      <c r="F1925" s="1" t="s">
        <v>6162</v>
      </c>
      <c r="G1925" s="1" t="s">
        <v>6162</v>
      </c>
      <c r="H1925" s="1" t="s">
        <v>684</v>
      </c>
      <c r="I1925" s="1" t="s">
        <v>16</v>
      </c>
      <c r="J1925" s="1">
        <v>1</v>
      </c>
      <c r="K1925" s="1">
        <v>12</v>
      </c>
      <c r="L1925" s="1" t="s">
        <v>42</v>
      </c>
      <c r="M1925" s="1" t="s">
        <v>852</v>
      </c>
      <c r="N1925" s="1" t="s">
        <v>685</v>
      </c>
      <c r="O1925" s="1">
        <v>3</v>
      </c>
      <c r="P1925" s="1">
        <v>5</v>
      </c>
      <c r="R1925" s="1" t="s">
        <v>19</v>
      </c>
      <c r="S1925" s="1" t="s">
        <v>20</v>
      </c>
      <c r="T1925" s="1" t="s">
        <v>21</v>
      </c>
      <c r="U1925" s="1" t="s">
        <v>22</v>
      </c>
      <c r="V1925" s="1" t="s">
        <v>24</v>
      </c>
      <c r="W1925" s="1" t="s">
        <v>24</v>
      </c>
      <c r="X1925" s="1">
        <v>2735</v>
      </c>
      <c r="Y1925" s="1" t="s">
        <v>24</v>
      </c>
      <c r="Z1925" s="1" t="s">
        <v>24</v>
      </c>
      <c r="AA1925" s="1" t="s">
        <v>24</v>
      </c>
      <c r="AB1925" s="1" t="s">
        <v>24</v>
      </c>
      <c r="AC1925" s="1" t="s">
        <v>24</v>
      </c>
      <c r="AD1925" s="1" t="s">
        <v>24</v>
      </c>
      <c r="AE1925" s="1" t="s">
        <v>24</v>
      </c>
      <c r="AF1925" s="22"/>
    </row>
    <row r="1926" spans="1:32" x14ac:dyDescent="0.2">
      <c r="A1926" s="1">
        <v>11008</v>
      </c>
      <c r="B1926" s="1" t="s">
        <v>6164</v>
      </c>
      <c r="C1926" s="5" t="s">
        <v>0</v>
      </c>
      <c r="D1926" s="1" t="s">
        <v>6165</v>
      </c>
      <c r="E1926" s="1" t="s">
        <v>6166</v>
      </c>
      <c r="F1926" s="1" t="s">
        <v>1412</v>
      </c>
      <c r="G1926" s="1" t="s">
        <v>1413</v>
      </c>
      <c r="H1926" s="1" t="s">
        <v>30</v>
      </c>
      <c r="I1926" s="1" t="s">
        <v>16</v>
      </c>
      <c r="J1926" s="1">
        <v>1</v>
      </c>
      <c r="K1926" s="1">
        <v>4</v>
      </c>
      <c r="L1926" s="1" t="s">
        <v>31</v>
      </c>
      <c r="M1926" s="1" t="s">
        <v>18</v>
      </c>
      <c r="N1926" s="1" t="s">
        <v>18</v>
      </c>
      <c r="O1926" s="1">
        <v>3</v>
      </c>
      <c r="P1926" s="1">
        <v>7</v>
      </c>
      <c r="Q1926" s="7" t="s">
        <v>17633</v>
      </c>
      <c r="R1926" s="1" t="s">
        <v>19</v>
      </c>
      <c r="S1926" s="1" t="s">
        <v>63</v>
      </c>
      <c r="T1926" s="1" t="s">
        <v>21</v>
      </c>
      <c r="U1926" s="1" t="s">
        <v>22</v>
      </c>
      <c r="V1926" s="1" t="s">
        <v>24</v>
      </c>
      <c r="W1926" s="1" t="s">
        <v>24</v>
      </c>
      <c r="X1926" s="1">
        <v>2729</v>
      </c>
      <c r="Y1926" s="1">
        <v>2725</v>
      </c>
      <c r="Z1926" s="1">
        <v>2708</v>
      </c>
      <c r="AA1926" s="1" t="s">
        <v>24</v>
      </c>
      <c r="AB1926" s="1" t="s">
        <v>24</v>
      </c>
      <c r="AC1926" s="1" t="s">
        <v>24</v>
      </c>
      <c r="AD1926" s="1" t="s">
        <v>24</v>
      </c>
      <c r="AE1926" s="1" t="s">
        <v>24</v>
      </c>
      <c r="AF1926" s="22"/>
    </row>
    <row r="1927" spans="1:32" x14ac:dyDescent="0.2">
      <c r="A1927" s="1">
        <v>11011</v>
      </c>
      <c r="B1927" s="1" t="s">
        <v>6167</v>
      </c>
      <c r="C1927" s="5" t="s">
        <v>0</v>
      </c>
      <c r="D1927" s="1" t="s">
        <v>6168</v>
      </c>
      <c r="E1927" s="1" t="s">
        <v>6169</v>
      </c>
      <c r="F1927" s="1" t="s">
        <v>6170</v>
      </c>
      <c r="G1927" s="1" t="s">
        <v>6170</v>
      </c>
      <c r="H1927" s="1" t="s">
        <v>30</v>
      </c>
      <c r="I1927" s="1" t="s">
        <v>16</v>
      </c>
      <c r="J1927" s="1">
        <v>2</v>
      </c>
      <c r="K1927" s="1">
        <v>12</v>
      </c>
      <c r="L1927" s="1" t="s">
        <v>42</v>
      </c>
      <c r="M1927" s="1" t="s">
        <v>18</v>
      </c>
      <c r="N1927" s="1" t="s">
        <v>18</v>
      </c>
      <c r="O1927" s="1">
        <v>3</v>
      </c>
      <c r="P1927" s="1">
        <v>7</v>
      </c>
      <c r="Q1927" s="7" t="s">
        <v>17633</v>
      </c>
      <c r="R1927" s="1" t="s">
        <v>62</v>
      </c>
      <c r="S1927" s="1" t="s">
        <v>20</v>
      </c>
      <c r="T1927" s="1" t="s">
        <v>21</v>
      </c>
      <c r="U1927" s="1" t="s">
        <v>22</v>
      </c>
      <c r="V1927" s="1" t="s">
        <v>23</v>
      </c>
      <c r="W1927" s="1" t="s">
        <v>24</v>
      </c>
      <c r="X1927" s="1">
        <v>2740</v>
      </c>
      <c r="Y1927" s="1">
        <v>2706</v>
      </c>
      <c r="Z1927" s="1" t="s">
        <v>24</v>
      </c>
      <c r="AA1927" s="1" t="s">
        <v>24</v>
      </c>
      <c r="AB1927" s="1" t="s">
        <v>24</v>
      </c>
      <c r="AC1927" s="1" t="s">
        <v>24</v>
      </c>
      <c r="AD1927" s="1" t="s">
        <v>24</v>
      </c>
      <c r="AE1927" s="1" t="s">
        <v>24</v>
      </c>
      <c r="AF1927" s="22"/>
    </row>
    <row r="1928" spans="1:32" x14ac:dyDescent="0.2">
      <c r="A1928" s="1">
        <v>11015</v>
      </c>
      <c r="B1928" s="1" t="s">
        <v>6171</v>
      </c>
      <c r="C1928" s="5" t="s">
        <v>0</v>
      </c>
      <c r="D1928" s="1" t="s">
        <v>6172</v>
      </c>
      <c r="F1928" s="1" t="s">
        <v>6173</v>
      </c>
      <c r="G1928" s="1" t="s">
        <v>6173</v>
      </c>
      <c r="H1928" s="1" t="s">
        <v>1384</v>
      </c>
      <c r="I1928" s="1" t="s">
        <v>16</v>
      </c>
      <c r="J1928" s="1">
        <v>1</v>
      </c>
      <c r="K1928" s="1">
        <v>4</v>
      </c>
      <c r="L1928" s="1" t="s">
        <v>42</v>
      </c>
      <c r="M1928" s="1" t="s">
        <v>3142</v>
      </c>
      <c r="N1928" s="1" t="s">
        <v>3142</v>
      </c>
      <c r="O1928" s="1">
        <v>1</v>
      </c>
      <c r="P1928" s="1">
        <v>5</v>
      </c>
      <c r="R1928" s="1" t="s">
        <v>19</v>
      </c>
      <c r="S1928" s="1" t="s">
        <v>20</v>
      </c>
      <c r="T1928" s="1" t="s">
        <v>21</v>
      </c>
      <c r="U1928" s="1" t="s">
        <v>22</v>
      </c>
      <c r="V1928" s="1" t="s">
        <v>24</v>
      </c>
      <c r="W1928" s="1" t="s">
        <v>24</v>
      </c>
      <c r="X1928" s="1">
        <v>2700</v>
      </c>
      <c r="Y1928" s="1" t="s">
        <v>24</v>
      </c>
      <c r="Z1928" s="1" t="s">
        <v>24</v>
      </c>
      <c r="AA1928" s="1" t="s">
        <v>24</v>
      </c>
      <c r="AB1928" s="1" t="s">
        <v>24</v>
      </c>
      <c r="AC1928" s="1" t="s">
        <v>24</v>
      </c>
      <c r="AD1928" s="1" t="s">
        <v>24</v>
      </c>
      <c r="AE1928" s="1" t="s">
        <v>24</v>
      </c>
      <c r="AF1928" s="22"/>
    </row>
    <row r="1929" spans="1:32" x14ac:dyDescent="0.2">
      <c r="A1929" s="1">
        <v>11025</v>
      </c>
      <c r="B1929" s="1" t="s">
        <v>6174</v>
      </c>
      <c r="C1929" s="5" t="s">
        <v>0</v>
      </c>
      <c r="D1929" s="1" t="s">
        <v>6175</v>
      </c>
      <c r="E1929" s="1" t="s">
        <v>6176</v>
      </c>
      <c r="F1929" s="1" t="s">
        <v>912</v>
      </c>
      <c r="G1929" s="1" t="s">
        <v>130</v>
      </c>
      <c r="H1929" s="1" t="s">
        <v>168</v>
      </c>
      <c r="I1929" s="1" t="s">
        <v>16</v>
      </c>
      <c r="J1929" s="1">
        <v>1</v>
      </c>
      <c r="K1929" s="1">
        <v>12</v>
      </c>
      <c r="L1929" s="1" t="s">
        <v>31</v>
      </c>
      <c r="M1929" s="1" t="s">
        <v>18</v>
      </c>
      <c r="N1929" s="1" t="s">
        <v>18</v>
      </c>
      <c r="O1929" s="1">
        <v>3</v>
      </c>
      <c r="P1929" s="1">
        <v>6</v>
      </c>
      <c r="R1929" s="1" t="s">
        <v>19</v>
      </c>
      <c r="S1929" s="1" t="s">
        <v>20</v>
      </c>
      <c r="T1929" s="1" t="s">
        <v>21</v>
      </c>
      <c r="U1929" s="1" t="s">
        <v>22</v>
      </c>
      <c r="V1929" s="1" t="s">
        <v>23</v>
      </c>
      <c r="W1929" s="1" t="s">
        <v>24</v>
      </c>
      <c r="X1929" s="1">
        <v>2738</v>
      </c>
      <c r="Y1929" s="1">
        <v>2735</v>
      </c>
      <c r="Z1929" s="1">
        <v>1211</v>
      </c>
      <c r="AA1929" s="1">
        <v>3204</v>
      </c>
      <c r="AB1929" s="1" t="s">
        <v>24</v>
      </c>
      <c r="AC1929" s="1" t="s">
        <v>24</v>
      </c>
      <c r="AD1929" s="1" t="s">
        <v>24</v>
      </c>
      <c r="AE1929" s="1" t="s">
        <v>24</v>
      </c>
      <c r="AF1929" s="22"/>
    </row>
    <row r="1930" spans="1:32" x14ac:dyDescent="0.2">
      <c r="A1930" s="1">
        <v>11031</v>
      </c>
      <c r="B1930" s="1" t="s">
        <v>6177</v>
      </c>
      <c r="C1930" s="5" t="s">
        <v>0</v>
      </c>
      <c r="D1930" s="1" t="s">
        <v>6178</v>
      </c>
      <c r="E1930" s="1" t="s">
        <v>6179</v>
      </c>
      <c r="F1930" s="1" t="s">
        <v>2299</v>
      </c>
      <c r="G1930" s="1" t="s">
        <v>2300</v>
      </c>
      <c r="H1930" s="1" t="s">
        <v>37</v>
      </c>
      <c r="I1930" s="1" t="s">
        <v>16</v>
      </c>
      <c r="J1930" s="1">
        <v>1</v>
      </c>
      <c r="K1930" s="1">
        <v>6</v>
      </c>
      <c r="L1930" s="1" t="s">
        <v>31</v>
      </c>
      <c r="M1930" s="1" t="s">
        <v>18</v>
      </c>
      <c r="N1930" s="1" t="s">
        <v>18</v>
      </c>
      <c r="O1930" s="1">
        <v>3</v>
      </c>
      <c r="P1930" s="1">
        <v>7</v>
      </c>
      <c r="Q1930" s="7" t="s">
        <v>17633</v>
      </c>
      <c r="R1930" s="1" t="s">
        <v>19</v>
      </c>
      <c r="S1930" s="1" t="s">
        <v>63</v>
      </c>
      <c r="T1930" s="1" t="s">
        <v>21</v>
      </c>
      <c r="U1930" s="1" t="s">
        <v>22</v>
      </c>
      <c r="V1930" s="1" t="s">
        <v>24</v>
      </c>
      <c r="W1930" s="1" t="s">
        <v>24</v>
      </c>
      <c r="X1930" s="1">
        <v>1308</v>
      </c>
      <c r="Y1930" s="1">
        <v>1312</v>
      </c>
      <c r="Z1930" s="1">
        <v>1307</v>
      </c>
      <c r="AA1930" s="1">
        <v>2704</v>
      </c>
      <c r="AB1930" s="1">
        <v>2712</v>
      </c>
      <c r="AC1930" s="1">
        <v>2736</v>
      </c>
      <c r="AD1930" s="1" t="s">
        <v>24</v>
      </c>
      <c r="AE1930" s="1" t="s">
        <v>24</v>
      </c>
      <c r="AF1930" s="22"/>
    </row>
    <row r="1931" spans="1:32" x14ac:dyDescent="0.2">
      <c r="A1931" s="1">
        <v>11032</v>
      </c>
      <c r="B1931" s="1" t="s">
        <v>6180</v>
      </c>
      <c r="C1931" s="5" t="s">
        <v>0</v>
      </c>
      <c r="D1931" s="1" t="s">
        <v>6181</v>
      </c>
      <c r="E1931" s="1" t="s">
        <v>6182</v>
      </c>
      <c r="F1931" s="1" t="s">
        <v>109</v>
      </c>
      <c r="G1931" s="1" t="s">
        <v>110</v>
      </c>
      <c r="H1931" s="1" t="s">
        <v>111</v>
      </c>
      <c r="I1931" s="1" t="s">
        <v>16</v>
      </c>
      <c r="J1931" s="1">
        <v>2</v>
      </c>
      <c r="K1931" s="1">
        <v>4</v>
      </c>
      <c r="L1931" s="1" t="s">
        <v>31</v>
      </c>
      <c r="M1931" s="1" t="s">
        <v>18</v>
      </c>
      <c r="N1931" s="1" t="s">
        <v>18</v>
      </c>
      <c r="O1931" s="1">
        <v>3</v>
      </c>
      <c r="P1931" s="1">
        <v>7</v>
      </c>
      <c r="Q1931" s="7" t="s">
        <v>17633</v>
      </c>
      <c r="R1931" s="1" t="s">
        <v>19</v>
      </c>
      <c r="S1931" s="1" t="s">
        <v>20</v>
      </c>
      <c r="T1931" s="1" t="s">
        <v>21</v>
      </c>
      <c r="U1931" s="1" t="s">
        <v>22</v>
      </c>
      <c r="V1931" s="1" t="s">
        <v>24</v>
      </c>
      <c r="W1931" s="1" t="s">
        <v>24</v>
      </c>
      <c r="X1931" s="1">
        <v>1310</v>
      </c>
      <c r="Y1931" s="1">
        <v>2403</v>
      </c>
      <c r="Z1931" s="1">
        <v>2807</v>
      </c>
      <c r="AA1931" s="1">
        <v>2808</v>
      </c>
      <c r="AB1931" s="1" t="s">
        <v>24</v>
      </c>
      <c r="AC1931" s="1" t="s">
        <v>24</v>
      </c>
      <c r="AD1931" s="1" t="s">
        <v>24</v>
      </c>
      <c r="AE1931" s="1" t="s">
        <v>24</v>
      </c>
      <c r="AF1931" s="22"/>
    </row>
    <row r="1932" spans="1:32" x14ac:dyDescent="0.2">
      <c r="A1932" s="1">
        <v>11036</v>
      </c>
      <c r="B1932" s="1" t="s">
        <v>6183</v>
      </c>
      <c r="C1932" s="5" t="s">
        <v>0</v>
      </c>
      <c r="D1932" s="1" t="s">
        <v>6184</v>
      </c>
      <c r="E1932" s="1" t="s">
        <v>6185</v>
      </c>
      <c r="F1932" s="1" t="s">
        <v>85</v>
      </c>
      <c r="G1932" s="1" t="s">
        <v>61</v>
      </c>
      <c r="H1932" s="1" t="s">
        <v>86</v>
      </c>
      <c r="I1932" s="1" t="s">
        <v>16</v>
      </c>
      <c r="J1932" s="1">
        <v>1</v>
      </c>
      <c r="K1932" s="1">
        <v>12</v>
      </c>
      <c r="L1932" s="1" t="s">
        <v>31</v>
      </c>
      <c r="M1932" s="1" t="s">
        <v>87</v>
      </c>
      <c r="N1932" s="1" t="s">
        <v>18</v>
      </c>
      <c r="O1932" s="1">
        <v>3</v>
      </c>
      <c r="P1932" s="1">
        <v>6</v>
      </c>
      <c r="R1932" s="1" t="s">
        <v>19</v>
      </c>
      <c r="S1932" s="1" t="s">
        <v>20</v>
      </c>
      <c r="T1932" s="1" t="s">
        <v>21</v>
      </c>
      <c r="U1932" s="1" t="s">
        <v>22</v>
      </c>
      <c r="V1932" s="1" t="s">
        <v>24</v>
      </c>
      <c r="W1932" s="1" t="s">
        <v>24</v>
      </c>
      <c r="X1932" s="1">
        <v>2735</v>
      </c>
      <c r="Y1932" s="1" t="s">
        <v>24</v>
      </c>
      <c r="Z1932" s="1" t="s">
        <v>24</v>
      </c>
      <c r="AA1932" s="1" t="s">
        <v>24</v>
      </c>
      <c r="AB1932" s="1" t="s">
        <v>24</v>
      </c>
      <c r="AC1932" s="1" t="s">
        <v>24</v>
      </c>
      <c r="AD1932" s="1" t="s">
        <v>24</v>
      </c>
      <c r="AE1932" s="1" t="s">
        <v>24</v>
      </c>
      <c r="AF1932" s="22"/>
    </row>
    <row r="1933" spans="1:32" x14ac:dyDescent="0.2">
      <c r="A1933" s="1">
        <v>11037</v>
      </c>
      <c r="B1933" s="1" t="s">
        <v>6186</v>
      </c>
      <c r="C1933" s="5" t="s">
        <v>0</v>
      </c>
      <c r="D1933" s="1" t="s">
        <v>6187</v>
      </c>
      <c r="E1933" s="1" t="s">
        <v>6188</v>
      </c>
      <c r="F1933" s="1" t="s">
        <v>155</v>
      </c>
      <c r="G1933" s="1" t="s">
        <v>61</v>
      </c>
      <c r="H1933" s="1" t="s">
        <v>37</v>
      </c>
      <c r="I1933" s="1" t="s">
        <v>16</v>
      </c>
      <c r="J1933" s="1">
        <v>1</v>
      </c>
      <c r="K1933" s="1">
        <v>6</v>
      </c>
      <c r="L1933" s="1" t="s">
        <v>31</v>
      </c>
      <c r="M1933" s="1" t="s">
        <v>18</v>
      </c>
      <c r="N1933" s="1" t="s">
        <v>18</v>
      </c>
      <c r="O1933" s="1">
        <v>0</v>
      </c>
      <c r="P1933" s="1">
        <v>7</v>
      </c>
      <c r="Q1933" s="7" t="s">
        <v>17633</v>
      </c>
      <c r="R1933" s="1" t="s">
        <v>62</v>
      </c>
      <c r="S1933" s="1" t="s">
        <v>20</v>
      </c>
      <c r="T1933" s="1" t="s">
        <v>21</v>
      </c>
      <c r="U1933" s="1" t="s">
        <v>22</v>
      </c>
      <c r="V1933" s="1" t="s">
        <v>23</v>
      </c>
      <c r="W1933" s="1" t="s">
        <v>24</v>
      </c>
      <c r="X1933" s="1">
        <v>2809</v>
      </c>
      <c r="Y1933" s="1">
        <v>2731</v>
      </c>
      <c r="Z1933" s="1" t="s">
        <v>24</v>
      </c>
      <c r="AA1933" s="1" t="s">
        <v>24</v>
      </c>
      <c r="AB1933" s="1" t="s">
        <v>24</v>
      </c>
      <c r="AC1933" s="1" t="s">
        <v>24</v>
      </c>
      <c r="AD1933" s="1" t="s">
        <v>24</v>
      </c>
      <c r="AE1933" s="1" t="s">
        <v>24</v>
      </c>
      <c r="AF1933" s="22"/>
    </row>
    <row r="1934" spans="1:32" x14ac:dyDescent="0.2">
      <c r="A1934" s="1">
        <v>11039</v>
      </c>
      <c r="B1934" s="1" t="s">
        <v>6189</v>
      </c>
      <c r="C1934" s="5" t="s">
        <v>0</v>
      </c>
      <c r="D1934" s="1" t="s">
        <v>6190</v>
      </c>
      <c r="E1934" s="1" t="s">
        <v>6191</v>
      </c>
      <c r="F1934" s="1" t="s">
        <v>28</v>
      </c>
      <c r="G1934" s="1" t="s">
        <v>29</v>
      </c>
      <c r="H1934" s="1" t="s">
        <v>30</v>
      </c>
      <c r="I1934" s="1" t="s">
        <v>16</v>
      </c>
      <c r="J1934" s="1">
        <v>1</v>
      </c>
      <c r="K1934" s="1">
        <v>4</v>
      </c>
      <c r="L1934" s="1" t="s">
        <v>31</v>
      </c>
      <c r="M1934" s="1" t="s">
        <v>18</v>
      </c>
      <c r="N1934" s="1" t="s">
        <v>18</v>
      </c>
      <c r="O1934" s="1">
        <v>3</v>
      </c>
      <c r="P1934" s="1">
        <v>7</v>
      </c>
      <c r="Q1934" s="7" t="s">
        <v>17633</v>
      </c>
      <c r="R1934" s="1" t="s">
        <v>19</v>
      </c>
      <c r="S1934" s="1" t="s">
        <v>20</v>
      </c>
      <c r="T1934" s="1" t="s">
        <v>21</v>
      </c>
      <c r="U1934" s="1" t="s">
        <v>22</v>
      </c>
      <c r="V1934" s="1" t="s">
        <v>24</v>
      </c>
      <c r="W1934" s="1" t="s">
        <v>24</v>
      </c>
      <c r="X1934" s="1">
        <v>2728</v>
      </c>
      <c r="Y1934" s="1">
        <v>2731</v>
      </c>
      <c r="Z1934" s="1" t="s">
        <v>24</v>
      </c>
      <c r="AA1934" s="1" t="s">
        <v>24</v>
      </c>
      <c r="AB1934" s="1" t="s">
        <v>24</v>
      </c>
      <c r="AC1934" s="1" t="s">
        <v>24</v>
      </c>
      <c r="AD1934" s="1" t="s">
        <v>24</v>
      </c>
      <c r="AE1934" s="1" t="s">
        <v>24</v>
      </c>
      <c r="AF1934" s="22"/>
    </row>
    <row r="1935" spans="1:32" x14ac:dyDescent="0.2">
      <c r="A1935" s="1">
        <v>11040</v>
      </c>
      <c r="B1935" s="1" t="s">
        <v>6192</v>
      </c>
      <c r="C1935" s="5" t="s">
        <v>0</v>
      </c>
      <c r="D1935" s="1" t="s">
        <v>6193</v>
      </c>
      <c r="E1935" s="1" t="s">
        <v>6194</v>
      </c>
      <c r="F1935" s="1" t="s">
        <v>2341</v>
      </c>
      <c r="G1935" s="1" t="s">
        <v>2341</v>
      </c>
      <c r="H1935" s="1" t="s">
        <v>37</v>
      </c>
      <c r="I1935" s="1" t="s">
        <v>16</v>
      </c>
      <c r="J1935" s="1">
        <v>1</v>
      </c>
      <c r="K1935" s="1">
        <v>12</v>
      </c>
      <c r="L1935" s="1" t="s">
        <v>42</v>
      </c>
      <c r="M1935" s="1" t="s">
        <v>18</v>
      </c>
      <c r="N1935" s="1" t="s">
        <v>18</v>
      </c>
      <c r="O1935" s="1">
        <v>3</v>
      </c>
      <c r="P1935" s="1">
        <v>8</v>
      </c>
      <c r="Q1935" s="7" t="s">
        <v>17633</v>
      </c>
      <c r="R1935" s="1" t="s">
        <v>62</v>
      </c>
      <c r="S1935" s="1" t="s">
        <v>20</v>
      </c>
      <c r="T1935" s="1" t="s">
        <v>21</v>
      </c>
      <c r="U1935" s="1" t="s">
        <v>22</v>
      </c>
      <c r="V1935" s="1" t="s">
        <v>24</v>
      </c>
      <c r="W1935" s="1" t="s">
        <v>24</v>
      </c>
      <c r="X1935" s="1">
        <v>2404</v>
      </c>
      <c r="Y1935" s="1" t="s">
        <v>24</v>
      </c>
      <c r="Z1935" s="1" t="s">
        <v>24</v>
      </c>
      <c r="AA1935" s="1" t="s">
        <v>24</v>
      </c>
      <c r="AB1935" s="1" t="s">
        <v>24</v>
      </c>
      <c r="AC1935" s="1" t="s">
        <v>24</v>
      </c>
      <c r="AD1935" s="1" t="s">
        <v>24</v>
      </c>
      <c r="AE1935" s="1" t="s">
        <v>24</v>
      </c>
      <c r="AF1935" s="22"/>
    </row>
    <row r="1936" spans="1:32" x14ac:dyDescent="0.2">
      <c r="A1936" s="1">
        <v>11041</v>
      </c>
      <c r="B1936" s="1" t="s">
        <v>6195</v>
      </c>
      <c r="C1936" s="5" t="s">
        <v>0</v>
      </c>
      <c r="D1936" s="1" t="s">
        <v>6196</v>
      </c>
      <c r="E1936" s="1" t="s">
        <v>6197</v>
      </c>
      <c r="F1936" s="1" t="s">
        <v>2559</v>
      </c>
      <c r="G1936" s="1" t="s">
        <v>2560</v>
      </c>
      <c r="H1936" s="1" t="s">
        <v>37</v>
      </c>
      <c r="I1936" s="1" t="s">
        <v>16</v>
      </c>
      <c r="J1936" s="1">
        <v>2</v>
      </c>
      <c r="K1936" s="1">
        <v>6</v>
      </c>
      <c r="L1936" s="1" t="s">
        <v>42</v>
      </c>
      <c r="M1936" s="1" t="s">
        <v>18</v>
      </c>
      <c r="N1936" s="1" t="s">
        <v>18</v>
      </c>
      <c r="O1936" s="1">
        <v>3</v>
      </c>
      <c r="P1936" s="1">
        <v>7</v>
      </c>
      <c r="Q1936" s="7" t="s">
        <v>17633</v>
      </c>
      <c r="R1936" s="1" t="s">
        <v>62</v>
      </c>
      <c r="S1936" s="1" t="s">
        <v>20</v>
      </c>
      <c r="T1936" s="1" t="s">
        <v>21</v>
      </c>
      <c r="U1936" s="1" t="s">
        <v>22</v>
      </c>
      <c r="V1936" s="1" t="s">
        <v>24</v>
      </c>
      <c r="W1936" s="1" t="s">
        <v>24</v>
      </c>
      <c r="X1936" s="1">
        <v>1310</v>
      </c>
      <c r="Y1936" s="1">
        <v>2712</v>
      </c>
      <c r="Z1936" s="1" t="s">
        <v>24</v>
      </c>
      <c r="AA1936" s="1" t="s">
        <v>24</v>
      </c>
      <c r="AB1936" s="1" t="s">
        <v>24</v>
      </c>
      <c r="AC1936" s="1" t="s">
        <v>24</v>
      </c>
      <c r="AD1936" s="1" t="s">
        <v>24</v>
      </c>
      <c r="AE1936" s="1" t="s">
        <v>24</v>
      </c>
      <c r="AF1936" s="22"/>
    </row>
    <row r="1937" spans="1:32" x14ac:dyDescent="0.2">
      <c r="A1937" s="1">
        <v>11042</v>
      </c>
      <c r="B1937" s="1" t="s">
        <v>6198</v>
      </c>
      <c r="C1937" s="5" t="s">
        <v>0</v>
      </c>
      <c r="D1937" s="1" t="s">
        <v>6199</v>
      </c>
      <c r="E1937" s="1" t="s">
        <v>6200</v>
      </c>
      <c r="F1937" s="1" t="s">
        <v>155</v>
      </c>
      <c r="G1937" s="1" t="s">
        <v>61</v>
      </c>
      <c r="H1937" s="1" t="s">
        <v>37</v>
      </c>
      <c r="I1937" s="1" t="s">
        <v>16</v>
      </c>
      <c r="J1937" s="1">
        <v>1</v>
      </c>
      <c r="K1937" s="1">
        <v>10</v>
      </c>
      <c r="L1937" s="1" t="s">
        <v>31</v>
      </c>
      <c r="M1937" s="1" t="s">
        <v>18</v>
      </c>
      <c r="N1937" s="1" t="s">
        <v>18</v>
      </c>
      <c r="O1937" s="1">
        <v>3</v>
      </c>
      <c r="P1937" s="1">
        <v>7</v>
      </c>
      <c r="Q1937" s="7" t="s">
        <v>17633</v>
      </c>
      <c r="R1937" s="1" t="s">
        <v>19</v>
      </c>
      <c r="S1937" s="1" t="s">
        <v>20</v>
      </c>
      <c r="T1937" s="1" t="s">
        <v>21</v>
      </c>
      <c r="U1937" s="1" t="s">
        <v>22</v>
      </c>
      <c r="V1937" s="1" t="s">
        <v>23</v>
      </c>
      <c r="W1937" s="1" t="s">
        <v>24</v>
      </c>
      <c r="X1937" s="1">
        <v>2204</v>
      </c>
      <c r="Y1937" s="1">
        <v>1304</v>
      </c>
      <c r="Z1937" s="1" t="s">
        <v>24</v>
      </c>
      <c r="AA1937" s="1" t="s">
        <v>24</v>
      </c>
      <c r="AB1937" s="1" t="s">
        <v>24</v>
      </c>
      <c r="AC1937" s="1" t="s">
        <v>24</v>
      </c>
      <c r="AD1937" s="1" t="s">
        <v>24</v>
      </c>
      <c r="AE1937" s="1" t="s">
        <v>24</v>
      </c>
      <c r="AF1937" s="22"/>
    </row>
    <row r="1938" spans="1:32" x14ac:dyDescent="0.2">
      <c r="A1938" s="1">
        <v>11046</v>
      </c>
      <c r="B1938" s="1" t="s">
        <v>6201</v>
      </c>
      <c r="C1938" s="5" t="s">
        <v>0</v>
      </c>
      <c r="D1938" s="1" t="s">
        <v>6202</v>
      </c>
      <c r="E1938" s="1" t="s">
        <v>6203</v>
      </c>
      <c r="F1938" s="1" t="s">
        <v>291</v>
      </c>
      <c r="G1938" s="1" t="s">
        <v>292</v>
      </c>
      <c r="H1938" s="1" t="s">
        <v>37</v>
      </c>
      <c r="I1938" s="1" t="s">
        <v>16</v>
      </c>
      <c r="J1938" s="1">
        <v>1</v>
      </c>
      <c r="K1938" s="1">
        <v>6</v>
      </c>
      <c r="L1938" s="1" t="s">
        <v>31</v>
      </c>
      <c r="M1938" s="1" t="s">
        <v>18</v>
      </c>
      <c r="N1938" s="1" t="s">
        <v>18</v>
      </c>
      <c r="O1938" s="1">
        <v>3</v>
      </c>
      <c r="P1938" s="1">
        <v>6</v>
      </c>
      <c r="R1938" s="1" t="s">
        <v>19</v>
      </c>
      <c r="S1938" s="1" t="s">
        <v>20</v>
      </c>
      <c r="T1938" s="1" t="s">
        <v>21</v>
      </c>
      <c r="U1938" s="1" t="s">
        <v>22</v>
      </c>
      <c r="V1938" s="1" t="s">
        <v>23</v>
      </c>
      <c r="W1938" s="1" t="s">
        <v>24</v>
      </c>
      <c r="X1938" s="1">
        <v>2731</v>
      </c>
      <c r="Y1938" s="1">
        <v>2723</v>
      </c>
      <c r="Z1938" s="1" t="s">
        <v>24</v>
      </c>
      <c r="AA1938" s="1" t="s">
        <v>24</v>
      </c>
      <c r="AB1938" s="1" t="s">
        <v>24</v>
      </c>
      <c r="AC1938" s="1" t="s">
        <v>24</v>
      </c>
      <c r="AD1938" s="1" t="s">
        <v>24</v>
      </c>
      <c r="AE1938" s="1" t="s">
        <v>24</v>
      </c>
      <c r="AF1938" s="22"/>
    </row>
    <row r="1939" spans="1:32" x14ac:dyDescent="0.2">
      <c r="A1939" s="1">
        <v>11049</v>
      </c>
      <c r="B1939" s="1" t="s">
        <v>6204</v>
      </c>
      <c r="C1939" s="5" t="s">
        <v>0</v>
      </c>
      <c r="D1939" s="1" t="s">
        <v>6205</v>
      </c>
      <c r="F1939" s="1" t="s">
        <v>6206</v>
      </c>
      <c r="G1939" s="1" t="s">
        <v>6207</v>
      </c>
      <c r="H1939" s="1" t="s">
        <v>2772</v>
      </c>
      <c r="I1939" s="1" t="s">
        <v>16</v>
      </c>
      <c r="J1939" s="1">
        <v>1</v>
      </c>
      <c r="K1939" s="1">
        <v>2</v>
      </c>
      <c r="L1939" s="1" t="s">
        <v>31</v>
      </c>
      <c r="M1939" s="1" t="s">
        <v>6208</v>
      </c>
      <c r="N1939" s="1" t="s">
        <v>18</v>
      </c>
      <c r="O1939" s="1">
        <v>1</v>
      </c>
      <c r="P1939" s="1">
        <v>5</v>
      </c>
      <c r="R1939" s="1" t="s">
        <v>19</v>
      </c>
      <c r="S1939" s="1" t="s">
        <v>20</v>
      </c>
      <c r="T1939" s="1" t="s">
        <v>21</v>
      </c>
      <c r="U1939" s="1" t="s">
        <v>22</v>
      </c>
      <c r="V1939" s="1" t="s">
        <v>24</v>
      </c>
      <c r="W1939" s="1" t="s">
        <v>24</v>
      </c>
      <c r="X1939" s="1">
        <v>2736</v>
      </c>
      <c r="Y1939" s="1" t="s">
        <v>24</v>
      </c>
      <c r="Z1939" s="1" t="s">
        <v>24</v>
      </c>
      <c r="AA1939" s="1" t="s">
        <v>24</v>
      </c>
      <c r="AB1939" s="1" t="s">
        <v>24</v>
      </c>
      <c r="AC1939" s="1" t="s">
        <v>24</v>
      </c>
      <c r="AD1939" s="1" t="s">
        <v>24</v>
      </c>
      <c r="AE1939" s="1" t="s">
        <v>24</v>
      </c>
      <c r="AF1939" s="22"/>
    </row>
    <row r="1940" spans="1:32" x14ac:dyDescent="0.2">
      <c r="A1940" s="1">
        <v>11051</v>
      </c>
      <c r="B1940" s="1" t="s">
        <v>6209</v>
      </c>
      <c r="C1940" s="5" t="s">
        <v>0</v>
      </c>
      <c r="D1940" s="1" t="s">
        <v>6210</v>
      </c>
      <c r="E1940" s="1" t="s">
        <v>6211</v>
      </c>
      <c r="F1940" s="1" t="s">
        <v>159</v>
      </c>
      <c r="G1940" s="1" t="s">
        <v>160</v>
      </c>
      <c r="H1940" s="1" t="s">
        <v>37</v>
      </c>
      <c r="I1940" s="1" t="s">
        <v>16</v>
      </c>
      <c r="J1940" s="1">
        <v>1</v>
      </c>
      <c r="K1940" s="1">
        <v>12</v>
      </c>
      <c r="L1940" s="1" t="s">
        <v>42</v>
      </c>
      <c r="M1940" s="1" t="s">
        <v>18</v>
      </c>
      <c r="N1940" s="1" t="s">
        <v>18</v>
      </c>
      <c r="O1940" s="1">
        <v>3</v>
      </c>
      <c r="P1940" s="1">
        <v>7</v>
      </c>
      <c r="Q1940" s="7" t="s">
        <v>17633</v>
      </c>
      <c r="R1940" s="1" t="s">
        <v>19</v>
      </c>
      <c r="S1940" s="1" t="s">
        <v>20</v>
      </c>
      <c r="T1940" s="1" t="s">
        <v>21</v>
      </c>
      <c r="U1940" s="1" t="s">
        <v>22</v>
      </c>
      <c r="V1940" s="1" t="s">
        <v>23</v>
      </c>
      <c r="W1940" s="1" t="s">
        <v>24</v>
      </c>
      <c r="X1940" s="1">
        <v>2739</v>
      </c>
      <c r="Y1940" s="1" t="s">
        <v>24</v>
      </c>
      <c r="Z1940" s="1" t="s">
        <v>24</v>
      </c>
      <c r="AA1940" s="1" t="s">
        <v>24</v>
      </c>
      <c r="AB1940" s="1" t="s">
        <v>24</v>
      </c>
      <c r="AC1940" s="1" t="s">
        <v>24</v>
      </c>
      <c r="AD1940" s="1" t="s">
        <v>24</v>
      </c>
      <c r="AE1940" s="1" t="s">
        <v>24</v>
      </c>
      <c r="AF1940" s="22"/>
    </row>
    <row r="1941" spans="1:32" x14ac:dyDescent="0.2">
      <c r="A1941" s="1">
        <v>11052</v>
      </c>
      <c r="B1941" s="1" t="s">
        <v>6212</v>
      </c>
      <c r="C1941" s="5" t="s">
        <v>0</v>
      </c>
      <c r="D1941" s="1" t="s">
        <v>6213</v>
      </c>
      <c r="E1941" s="1" t="s">
        <v>6214</v>
      </c>
      <c r="F1941" s="1" t="s">
        <v>669</v>
      </c>
      <c r="G1941" s="1" t="s">
        <v>311</v>
      </c>
      <c r="H1941" s="1" t="s">
        <v>30</v>
      </c>
      <c r="I1941" s="1" t="s">
        <v>16</v>
      </c>
      <c r="J1941" s="1">
        <v>1</v>
      </c>
      <c r="K1941" s="1">
        <v>24</v>
      </c>
      <c r="L1941" s="1" t="s">
        <v>31</v>
      </c>
      <c r="M1941" s="1" t="s">
        <v>18</v>
      </c>
      <c r="N1941" s="1" t="s">
        <v>18</v>
      </c>
      <c r="O1941" s="1">
        <v>3</v>
      </c>
      <c r="P1941" s="1">
        <v>6</v>
      </c>
      <c r="R1941" s="1" t="s">
        <v>62</v>
      </c>
      <c r="S1941" s="1" t="s">
        <v>20</v>
      </c>
      <c r="T1941" s="1" t="s">
        <v>21</v>
      </c>
      <c r="U1941" s="1" t="s">
        <v>22</v>
      </c>
      <c r="V1941" s="1" t="s">
        <v>24</v>
      </c>
      <c r="W1941" s="1" t="s">
        <v>24</v>
      </c>
      <c r="X1941" s="1">
        <v>2310</v>
      </c>
      <c r="Y1941" s="1">
        <v>2305</v>
      </c>
      <c r="Z1941" s="1">
        <v>2311</v>
      </c>
      <c r="AA1941" s="1">
        <v>2312</v>
      </c>
      <c r="AB1941" s="1" t="s">
        <v>24</v>
      </c>
      <c r="AC1941" s="1" t="s">
        <v>24</v>
      </c>
      <c r="AD1941" s="1" t="s">
        <v>24</v>
      </c>
      <c r="AE1941" s="1" t="s">
        <v>24</v>
      </c>
      <c r="AF1941" s="22"/>
    </row>
    <row r="1942" spans="1:32" x14ac:dyDescent="0.2">
      <c r="A1942" s="1">
        <v>11055</v>
      </c>
      <c r="B1942" s="1" t="s">
        <v>6215</v>
      </c>
      <c r="C1942" s="5" t="s">
        <v>0</v>
      </c>
      <c r="D1942" s="1" t="s">
        <v>6216</v>
      </c>
      <c r="E1942" s="1" t="s">
        <v>6217</v>
      </c>
      <c r="F1942" s="1" t="s">
        <v>751</v>
      </c>
      <c r="G1942" s="1" t="s">
        <v>36</v>
      </c>
      <c r="H1942" s="1" t="s">
        <v>37</v>
      </c>
      <c r="I1942" s="1" t="s">
        <v>16</v>
      </c>
      <c r="J1942" s="1">
        <v>1</v>
      </c>
      <c r="K1942" s="1">
        <v>6</v>
      </c>
      <c r="L1942" s="1" t="s">
        <v>31</v>
      </c>
      <c r="M1942" s="1" t="s">
        <v>18</v>
      </c>
      <c r="N1942" s="1" t="s">
        <v>18</v>
      </c>
      <c r="O1942" s="1">
        <v>3</v>
      </c>
      <c r="P1942" s="1">
        <v>5</v>
      </c>
      <c r="R1942" s="1" t="s">
        <v>19</v>
      </c>
      <c r="S1942" s="1" t="s">
        <v>20</v>
      </c>
      <c r="T1942" s="1" t="s">
        <v>21</v>
      </c>
      <c r="U1942" s="1" t="s">
        <v>22</v>
      </c>
      <c r="V1942" s="1" t="s">
        <v>23</v>
      </c>
      <c r="W1942" s="1" t="s">
        <v>24</v>
      </c>
      <c r="X1942" s="1">
        <v>3203</v>
      </c>
      <c r="Y1942" s="1">
        <v>2738</v>
      </c>
      <c r="Z1942" s="1" t="s">
        <v>24</v>
      </c>
      <c r="AA1942" s="1" t="s">
        <v>24</v>
      </c>
      <c r="AB1942" s="1" t="s">
        <v>24</v>
      </c>
      <c r="AC1942" s="1" t="s">
        <v>24</v>
      </c>
      <c r="AD1942" s="1" t="s">
        <v>24</v>
      </c>
      <c r="AE1942" s="1" t="s">
        <v>24</v>
      </c>
      <c r="AF1942" s="22"/>
    </row>
    <row r="1943" spans="1:32" x14ac:dyDescent="0.2">
      <c r="A1943" s="1">
        <v>11060</v>
      </c>
      <c r="B1943" s="1" t="s">
        <v>6218</v>
      </c>
      <c r="C1943" s="5" t="s">
        <v>0</v>
      </c>
      <c r="D1943" s="1" t="s">
        <v>6219</v>
      </c>
      <c r="E1943" s="1" t="s">
        <v>6220</v>
      </c>
      <c r="F1943" s="1" t="s">
        <v>28</v>
      </c>
      <c r="G1943" s="1" t="s">
        <v>29</v>
      </c>
      <c r="H1943" s="1" t="s">
        <v>37</v>
      </c>
      <c r="I1943" s="1" t="s">
        <v>16</v>
      </c>
      <c r="J1943" s="1">
        <v>1</v>
      </c>
      <c r="K1943" s="1">
        <v>6</v>
      </c>
      <c r="L1943" s="1" t="s">
        <v>31</v>
      </c>
      <c r="M1943" s="1" t="s">
        <v>18</v>
      </c>
      <c r="N1943" s="1" t="s">
        <v>18</v>
      </c>
      <c r="O1943" s="1">
        <v>2</v>
      </c>
      <c r="P1943" s="1">
        <v>6</v>
      </c>
      <c r="R1943" s="1" t="s">
        <v>62</v>
      </c>
      <c r="S1943" s="1" t="s">
        <v>20</v>
      </c>
      <c r="T1943" s="1" t="s">
        <v>21</v>
      </c>
      <c r="U1943" s="1" t="s">
        <v>22</v>
      </c>
      <c r="V1943" s="1" t="s">
        <v>23</v>
      </c>
      <c r="W1943" s="1" t="s">
        <v>24</v>
      </c>
      <c r="X1943" s="1">
        <v>2728</v>
      </c>
      <c r="Y1943" s="1">
        <v>2808</v>
      </c>
      <c r="Z1943" s="1" t="s">
        <v>24</v>
      </c>
      <c r="AA1943" s="1" t="s">
        <v>24</v>
      </c>
      <c r="AB1943" s="1" t="s">
        <v>24</v>
      </c>
      <c r="AC1943" s="1" t="s">
        <v>24</v>
      </c>
      <c r="AD1943" s="1" t="s">
        <v>24</v>
      </c>
      <c r="AE1943" s="1" t="s">
        <v>24</v>
      </c>
      <c r="AF1943" s="22"/>
    </row>
    <row r="1944" spans="1:32" x14ac:dyDescent="0.2">
      <c r="A1944" s="1">
        <v>11067</v>
      </c>
      <c r="B1944" s="1" t="s">
        <v>6221</v>
      </c>
      <c r="C1944" s="5" t="s">
        <v>0</v>
      </c>
      <c r="D1944" s="1" t="s">
        <v>6222</v>
      </c>
      <c r="E1944" s="1" t="s">
        <v>6223</v>
      </c>
      <c r="F1944" s="1" t="s">
        <v>167</v>
      </c>
      <c r="G1944" s="1" t="s">
        <v>130</v>
      </c>
      <c r="H1944" s="1" t="s">
        <v>168</v>
      </c>
      <c r="I1944" s="1" t="s">
        <v>16</v>
      </c>
      <c r="J1944" s="1">
        <v>2</v>
      </c>
      <c r="K1944" s="1">
        <v>6</v>
      </c>
      <c r="L1944" s="1" t="s">
        <v>31</v>
      </c>
      <c r="M1944" s="1" t="s">
        <v>18</v>
      </c>
      <c r="N1944" s="1" t="s">
        <v>18</v>
      </c>
      <c r="O1944" s="1">
        <v>3</v>
      </c>
      <c r="P1944" s="1">
        <v>8</v>
      </c>
      <c r="Q1944" s="7" t="s">
        <v>17633</v>
      </c>
      <c r="R1944" s="1" t="s">
        <v>19</v>
      </c>
      <c r="S1944" s="1" t="s">
        <v>20</v>
      </c>
      <c r="T1944" s="1" t="s">
        <v>21</v>
      </c>
      <c r="U1944" s="1" t="s">
        <v>22</v>
      </c>
      <c r="V1944" s="1" t="s">
        <v>24</v>
      </c>
      <c r="W1944" s="1" t="s">
        <v>24</v>
      </c>
      <c r="X1944" s="1">
        <v>2734</v>
      </c>
      <c r="Y1944" s="1">
        <v>1307</v>
      </c>
      <c r="Z1944" s="1">
        <v>1312</v>
      </c>
      <c r="AA1944" s="1" t="s">
        <v>24</v>
      </c>
      <c r="AB1944" s="1" t="s">
        <v>24</v>
      </c>
      <c r="AC1944" s="1" t="s">
        <v>24</v>
      </c>
      <c r="AD1944" s="1" t="s">
        <v>24</v>
      </c>
      <c r="AE1944" s="1" t="s">
        <v>24</v>
      </c>
      <c r="AF1944" s="22"/>
    </row>
    <row r="1945" spans="1:32" x14ac:dyDescent="0.2">
      <c r="A1945" s="1">
        <v>11068</v>
      </c>
      <c r="B1945" s="1" t="s">
        <v>6224</v>
      </c>
      <c r="C1945" s="5" t="s">
        <v>0</v>
      </c>
      <c r="D1945" s="1" t="s">
        <v>6225</v>
      </c>
      <c r="E1945" s="1" t="s">
        <v>6226</v>
      </c>
      <c r="F1945" s="1" t="s">
        <v>6227</v>
      </c>
      <c r="G1945" s="1" t="s">
        <v>6227</v>
      </c>
      <c r="H1945" s="1" t="s">
        <v>233</v>
      </c>
      <c r="I1945" s="1" t="s">
        <v>16</v>
      </c>
      <c r="J1945" s="1">
        <v>1</v>
      </c>
      <c r="K1945" s="1">
        <v>3</v>
      </c>
      <c r="L1945" s="1" t="s">
        <v>42</v>
      </c>
      <c r="M1945" s="1" t="s">
        <v>18</v>
      </c>
      <c r="N1945" s="1" t="s">
        <v>18</v>
      </c>
      <c r="O1945" s="1">
        <v>3</v>
      </c>
      <c r="P1945" s="1">
        <v>6</v>
      </c>
      <c r="R1945" s="1" t="s">
        <v>19</v>
      </c>
      <c r="S1945" s="1" t="s">
        <v>20</v>
      </c>
      <c r="T1945" s="1" t="s">
        <v>21</v>
      </c>
      <c r="U1945" s="1" t="s">
        <v>22</v>
      </c>
      <c r="V1945" s="1" t="s">
        <v>24</v>
      </c>
      <c r="W1945" s="1" t="s">
        <v>24</v>
      </c>
      <c r="X1945" s="1">
        <v>1307</v>
      </c>
      <c r="Y1945" s="1" t="s">
        <v>24</v>
      </c>
      <c r="Z1945" s="1" t="s">
        <v>24</v>
      </c>
      <c r="AA1945" s="1" t="s">
        <v>24</v>
      </c>
      <c r="AB1945" s="1" t="s">
        <v>24</v>
      </c>
      <c r="AC1945" s="1" t="s">
        <v>24</v>
      </c>
      <c r="AD1945" s="1" t="s">
        <v>24</v>
      </c>
      <c r="AE1945" s="1" t="s">
        <v>24</v>
      </c>
      <c r="AF1945" s="22"/>
    </row>
    <row r="1946" spans="1:32" x14ac:dyDescent="0.2">
      <c r="A1946" s="1">
        <v>11069</v>
      </c>
      <c r="B1946" s="1" t="s">
        <v>6228</v>
      </c>
      <c r="C1946" s="5" t="s">
        <v>0</v>
      </c>
      <c r="D1946" s="1" t="s">
        <v>6229</v>
      </c>
      <c r="E1946" s="1" t="s">
        <v>6230</v>
      </c>
      <c r="F1946" s="1" t="s">
        <v>155</v>
      </c>
      <c r="G1946" s="1" t="s">
        <v>61</v>
      </c>
      <c r="H1946" s="1" t="s">
        <v>37</v>
      </c>
      <c r="I1946" s="1" t="s">
        <v>16</v>
      </c>
      <c r="J1946" s="1">
        <v>1</v>
      </c>
      <c r="K1946" s="1">
        <v>2</v>
      </c>
      <c r="L1946" s="1" t="s">
        <v>31</v>
      </c>
      <c r="M1946" s="1" t="s">
        <v>18</v>
      </c>
      <c r="N1946" s="1" t="s">
        <v>18</v>
      </c>
      <c r="O1946" s="1">
        <v>3</v>
      </c>
      <c r="P1946" s="1">
        <v>7</v>
      </c>
      <c r="Q1946" s="7" t="s">
        <v>17633</v>
      </c>
      <c r="R1946" s="1" t="s">
        <v>19</v>
      </c>
      <c r="S1946" s="1" t="s">
        <v>20</v>
      </c>
      <c r="T1946" s="1" t="s">
        <v>21</v>
      </c>
      <c r="U1946" s="1" t="s">
        <v>22</v>
      </c>
      <c r="V1946" s="1" t="s">
        <v>23</v>
      </c>
      <c r="W1946" s="1" t="s">
        <v>24</v>
      </c>
      <c r="X1946" s="1">
        <v>2729</v>
      </c>
      <c r="Y1946" s="1">
        <v>2743</v>
      </c>
      <c r="Z1946" s="1" t="s">
        <v>24</v>
      </c>
      <c r="AA1946" s="1" t="s">
        <v>24</v>
      </c>
      <c r="AB1946" s="1" t="s">
        <v>24</v>
      </c>
      <c r="AC1946" s="1" t="s">
        <v>24</v>
      </c>
      <c r="AD1946" s="1" t="s">
        <v>24</v>
      </c>
      <c r="AE1946" s="1" t="s">
        <v>24</v>
      </c>
      <c r="AF1946" s="22"/>
    </row>
    <row r="1947" spans="1:32" x14ac:dyDescent="0.2">
      <c r="A1947" s="1">
        <v>11070</v>
      </c>
      <c r="B1947" s="1" t="s">
        <v>6231</v>
      </c>
      <c r="C1947" s="5" t="s">
        <v>0</v>
      </c>
      <c r="D1947" s="1" t="s">
        <v>6232</v>
      </c>
      <c r="E1947" s="1" t="s">
        <v>6233</v>
      </c>
      <c r="F1947" s="1" t="s">
        <v>371</v>
      </c>
      <c r="G1947" s="1" t="s">
        <v>372</v>
      </c>
      <c r="H1947" s="1" t="s">
        <v>30</v>
      </c>
      <c r="I1947" s="1" t="s">
        <v>16</v>
      </c>
      <c r="J1947" s="1">
        <v>1</v>
      </c>
      <c r="K1947" s="1">
        <v>6</v>
      </c>
      <c r="L1947" s="1" t="s">
        <v>31</v>
      </c>
      <c r="M1947" s="1" t="s">
        <v>18</v>
      </c>
      <c r="N1947" s="1" t="s">
        <v>18</v>
      </c>
      <c r="O1947" s="1">
        <v>2</v>
      </c>
      <c r="P1947" s="1">
        <v>7</v>
      </c>
      <c r="Q1947" s="7" t="s">
        <v>17633</v>
      </c>
      <c r="R1947" s="1" t="s">
        <v>19</v>
      </c>
      <c r="S1947" s="1" t="s">
        <v>63</v>
      </c>
      <c r="T1947" s="1" t="s">
        <v>21</v>
      </c>
      <c r="U1947" s="1" t="s">
        <v>22</v>
      </c>
      <c r="V1947" s="1" t="s">
        <v>23</v>
      </c>
      <c r="W1947" s="1" t="s">
        <v>24</v>
      </c>
      <c r="X1947" s="1">
        <v>2740</v>
      </c>
      <c r="Y1947" s="1">
        <v>2706</v>
      </c>
      <c r="Z1947" s="1" t="s">
        <v>24</v>
      </c>
      <c r="AA1947" s="1" t="s">
        <v>24</v>
      </c>
      <c r="AB1947" s="1" t="s">
        <v>24</v>
      </c>
      <c r="AC1947" s="1" t="s">
        <v>24</v>
      </c>
      <c r="AD1947" s="1" t="s">
        <v>24</v>
      </c>
      <c r="AE1947" s="1" t="s">
        <v>24</v>
      </c>
      <c r="AF1947" s="22"/>
    </row>
    <row r="1948" spans="1:32" x14ac:dyDescent="0.2">
      <c r="A1948" s="1">
        <v>11071</v>
      </c>
      <c r="B1948" s="1" t="s">
        <v>6234</v>
      </c>
      <c r="C1948" s="5" t="s">
        <v>0</v>
      </c>
      <c r="D1948" s="1" t="s">
        <v>6235</v>
      </c>
      <c r="E1948" s="1" t="s">
        <v>6236</v>
      </c>
      <c r="F1948" s="1" t="s">
        <v>291</v>
      </c>
      <c r="G1948" s="1" t="s">
        <v>292</v>
      </c>
      <c r="H1948" s="1" t="s">
        <v>37</v>
      </c>
      <c r="I1948" s="1" t="s">
        <v>16</v>
      </c>
      <c r="J1948" s="1">
        <v>1</v>
      </c>
      <c r="K1948" s="1">
        <v>4</v>
      </c>
      <c r="L1948" s="1" t="s">
        <v>31</v>
      </c>
      <c r="M1948" s="1" t="s">
        <v>18</v>
      </c>
      <c r="N1948" s="1" t="s">
        <v>18</v>
      </c>
      <c r="O1948" s="1">
        <v>3</v>
      </c>
      <c r="P1948" s="1">
        <v>7</v>
      </c>
      <c r="Q1948" s="7" t="s">
        <v>17633</v>
      </c>
      <c r="R1948" s="1" t="s">
        <v>19</v>
      </c>
      <c r="S1948" s="1" t="s">
        <v>20</v>
      </c>
      <c r="T1948" s="1" t="s">
        <v>21</v>
      </c>
      <c r="U1948" s="1" t="s">
        <v>22</v>
      </c>
      <c r="V1948" s="1" t="s">
        <v>24</v>
      </c>
      <c r="W1948" s="1" t="s">
        <v>24</v>
      </c>
      <c r="X1948" s="1">
        <v>2731</v>
      </c>
      <c r="Y1948" s="1">
        <v>2735</v>
      </c>
      <c r="Z1948" s="1">
        <v>2716</v>
      </c>
      <c r="AA1948" s="1" t="s">
        <v>24</v>
      </c>
      <c r="AB1948" s="1" t="s">
        <v>24</v>
      </c>
      <c r="AC1948" s="1" t="s">
        <v>24</v>
      </c>
      <c r="AD1948" s="1" t="s">
        <v>24</v>
      </c>
      <c r="AE1948" s="1" t="s">
        <v>24</v>
      </c>
      <c r="AF1948" s="22"/>
    </row>
    <row r="1949" spans="1:32" x14ac:dyDescent="0.2">
      <c r="A1949" s="1">
        <v>11072</v>
      </c>
      <c r="B1949" s="1" t="s">
        <v>6237</v>
      </c>
      <c r="C1949" s="5" t="s">
        <v>0</v>
      </c>
      <c r="D1949" s="1" t="s">
        <v>6238</v>
      </c>
      <c r="E1949" s="1" t="s">
        <v>6239</v>
      </c>
      <c r="F1949" s="1" t="s">
        <v>296</v>
      </c>
      <c r="G1949" s="1" t="s">
        <v>36</v>
      </c>
      <c r="H1949" s="1" t="s">
        <v>264</v>
      </c>
      <c r="I1949" s="1" t="s">
        <v>16</v>
      </c>
      <c r="J1949" s="1">
        <v>1</v>
      </c>
      <c r="K1949" s="1">
        <v>12</v>
      </c>
      <c r="L1949" s="1" t="s">
        <v>31</v>
      </c>
      <c r="M1949" s="1" t="s">
        <v>18</v>
      </c>
      <c r="N1949" s="1" t="s">
        <v>18</v>
      </c>
      <c r="O1949" s="1">
        <v>3</v>
      </c>
      <c r="P1949" s="1">
        <v>7</v>
      </c>
      <c r="Q1949" s="7" t="s">
        <v>17633</v>
      </c>
      <c r="R1949" s="1" t="s">
        <v>19</v>
      </c>
      <c r="S1949" s="1" t="s">
        <v>20</v>
      </c>
      <c r="T1949" s="1" t="s">
        <v>21</v>
      </c>
      <c r="U1949" s="1" t="s">
        <v>22</v>
      </c>
      <c r="V1949" s="1" t="s">
        <v>24</v>
      </c>
      <c r="W1949" s="1" t="s">
        <v>24</v>
      </c>
      <c r="X1949" s="1">
        <v>2734</v>
      </c>
      <c r="Y1949" s="1" t="s">
        <v>24</v>
      </c>
      <c r="Z1949" s="1" t="s">
        <v>24</v>
      </c>
      <c r="AA1949" s="1" t="s">
        <v>24</v>
      </c>
      <c r="AB1949" s="1" t="s">
        <v>24</v>
      </c>
      <c r="AC1949" s="1" t="s">
        <v>24</v>
      </c>
      <c r="AD1949" s="1" t="s">
        <v>24</v>
      </c>
      <c r="AE1949" s="1" t="s">
        <v>24</v>
      </c>
      <c r="AF1949" s="22"/>
    </row>
    <row r="1950" spans="1:32" x14ac:dyDescent="0.2">
      <c r="A1950" s="1">
        <v>11073</v>
      </c>
      <c r="B1950" s="1" t="s">
        <v>6240</v>
      </c>
      <c r="C1950" s="5" t="s">
        <v>0</v>
      </c>
      <c r="D1950" s="1" t="s">
        <v>6241</v>
      </c>
      <c r="E1950" s="1" t="s">
        <v>6242</v>
      </c>
      <c r="F1950" s="1" t="s">
        <v>291</v>
      </c>
      <c r="G1950" s="1" t="s">
        <v>292</v>
      </c>
      <c r="H1950" s="1" t="s">
        <v>37</v>
      </c>
      <c r="I1950" s="1" t="s">
        <v>16</v>
      </c>
      <c r="J1950" s="1">
        <v>1</v>
      </c>
      <c r="K1950" s="1">
        <v>12</v>
      </c>
      <c r="L1950" s="1" t="s">
        <v>31</v>
      </c>
      <c r="M1950" s="1" t="s">
        <v>18</v>
      </c>
      <c r="N1950" s="1" t="s">
        <v>18</v>
      </c>
      <c r="O1950" s="1">
        <v>3</v>
      </c>
      <c r="P1950" s="1">
        <v>6</v>
      </c>
      <c r="R1950" s="1" t="s">
        <v>62</v>
      </c>
      <c r="S1950" s="1" t="s">
        <v>20</v>
      </c>
      <c r="T1950" s="1" t="s">
        <v>21</v>
      </c>
      <c r="U1950" s="1" t="s">
        <v>22</v>
      </c>
      <c r="V1950" s="1" t="s">
        <v>24</v>
      </c>
      <c r="W1950" s="1" t="s">
        <v>64</v>
      </c>
      <c r="X1950" s="1">
        <v>1303</v>
      </c>
      <c r="Y1950" s="1" t="s">
        <v>24</v>
      </c>
      <c r="Z1950" s="1" t="s">
        <v>24</v>
      </c>
      <c r="AA1950" s="1" t="s">
        <v>24</v>
      </c>
      <c r="AB1950" s="1" t="s">
        <v>24</v>
      </c>
      <c r="AC1950" s="1" t="s">
        <v>24</v>
      </c>
      <c r="AD1950" s="1" t="s">
        <v>24</v>
      </c>
      <c r="AE1950" s="1" t="s">
        <v>24</v>
      </c>
      <c r="AF1950" s="22"/>
    </row>
    <row r="1951" spans="1:32" x14ac:dyDescent="0.2">
      <c r="A1951" s="1">
        <v>11074</v>
      </c>
      <c r="B1951" s="1" t="s">
        <v>6243</v>
      </c>
      <c r="C1951" s="5" t="s">
        <v>0</v>
      </c>
      <c r="D1951" s="1" t="s">
        <v>6244</v>
      </c>
      <c r="E1951" s="1" t="s">
        <v>6245</v>
      </c>
      <c r="F1951" s="1" t="s">
        <v>1260</v>
      </c>
      <c r="G1951" s="1" t="s">
        <v>130</v>
      </c>
      <c r="H1951" s="1" t="s">
        <v>111</v>
      </c>
      <c r="I1951" s="1" t="s">
        <v>16</v>
      </c>
      <c r="J1951" s="1">
        <v>1</v>
      </c>
      <c r="K1951" s="1">
        <v>12</v>
      </c>
      <c r="L1951" s="1" t="s">
        <v>31</v>
      </c>
      <c r="M1951" s="1" t="s">
        <v>18</v>
      </c>
      <c r="N1951" s="1" t="s">
        <v>18</v>
      </c>
      <c r="O1951" s="1">
        <v>3</v>
      </c>
      <c r="P1951" s="1">
        <v>6</v>
      </c>
      <c r="R1951" s="1" t="s">
        <v>19</v>
      </c>
      <c r="S1951" s="1" t="s">
        <v>20</v>
      </c>
      <c r="T1951" s="1" t="s">
        <v>21</v>
      </c>
      <c r="U1951" s="1" t="s">
        <v>22</v>
      </c>
      <c r="V1951" s="1" t="s">
        <v>23</v>
      </c>
      <c r="W1951" s="1" t="s">
        <v>24</v>
      </c>
      <c r="X1951" s="1">
        <v>2736</v>
      </c>
      <c r="Y1951" s="1" t="s">
        <v>24</v>
      </c>
      <c r="Z1951" s="1" t="s">
        <v>24</v>
      </c>
      <c r="AA1951" s="1" t="s">
        <v>24</v>
      </c>
      <c r="AB1951" s="1" t="s">
        <v>24</v>
      </c>
      <c r="AC1951" s="1" t="s">
        <v>24</v>
      </c>
      <c r="AD1951" s="1" t="s">
        <v>24</v>
      </c>
      <c r="AE1951" s="1" t="s">
        <v>24</v>
      </c>
      <c r="AF1951" s="22"/>
    </row>
    <row r="1952" spans="1:32" x14ac:dyDescent="0.2">
      <c r="A1952" s="1">
        <v>11080</v>
      </c>
      <c r="B1952" s="1" t="s">
        <v>6246</v>
      </c>
      <c r="C1952" s="5" t="s">
        <v>0</v>
      </c>
      <c r="D1952" s="1" t="s">
        <v>6247</v>
      </c>
      <c r="E1952" s="1" t="s">
        <v>6248</v>
      </c>
      <c r="F1952" s="1" t="s">
        <v>5951</v>
      </c>
      <c r="G1952" s="1" t="s">
        <v>5951</v>
      </c>
      <c r="H1952" s="1" t="s">
        <v>445</v>
      </c>
      <c r="I1952" s="1" t="s">
        <v>16</v>
      </c>
      <c r="J1952" s="1">
        <v>1</v>
      </c>
      <c r="K1952" s="1">
        <v>12</v>
      </c>
      <c r="L1952" s="1" t="s">
        <v>42</v>
      </c>
      <c r="M1952" s="1" t="s">
        <v>18</v>
      </c>
      <c r="N1952" s="1" t="s">
        <v>18</v>
      </c>
      <c r="O1952" s="1">
        <v>3</v>
      </c>
      <c r="P1952" s="1">
        <v>7</v>
      </c>
      <c r="Q1952" s="7" t="s">
        <v>17633</v>
      </c>
      <c r="R1952" s="1" t="s">
        <v>19</v>
      </c>
      <c r="S1952" s="1" t="s">
        <v>20</v>
      </c>
      <c r="T1952" s="1" t="s">
        <v>21</v>
      </c>
      <c r="U1952" s="1" t="s">
        <v>22</v>
      </c>
      <c r="V1952" s="1" t="s">
        <v>24</v>
      </c>
      <c r="W1952" s="1" t="s">
        <v>24</v>
      </c>
      <c r="X1952" s="1">
        <v>1306</v>
      </c>
      <c r="Y1952" s="1">
        <v>2730</v>
      </c>
      <c r="Z1952" s="1" t="s">
        <v>24</v>
      </c>
      <c r="AA1952" s="1" t="s">
        <v>24</v>
      </c>
      <c r="AB1952" s="1" t="s">
        <v>24</v>
      </c>
      <c r="AC1952" s="1" t="s">
        <v>24</v>
      </c>
      <c r="AD1952" s="1" t="s">
        <v>24</v>
      </c>
      <c r="AE1952" s="1" t="s">
        <v>24</v>
      </c>
      <c r="AF1952" s="22"/>
    </row>
    <row r="1953" spans="1:32" x14ac:dyDescent="0.2">
      <c r="A1953" s="1">
        <v>11082</v>
      </c>
      <c r="B1953" s="1" t="s">
        <v>6249</v>
      </c>
      <c r="C1953" s="5" t="s">
        <v>0</v>
      </c>
      <c r="D1953" s="1" t="s">
        <v>6250</v>
      </c>
      <c r="E1953" s="1" t="s">
        <v>6251</v>
      </c>
      <c r="F1953" s="1" t="s">
        <v>2559</v>
      </c>
      <c r="G1953" s="1" t="s">
        <v>2560</v>
      </c>
      <c r="H1953" s="1" t="s">
        <v>37</v>
      </c>
      <c r="I1953" s="1" t="s">
        <v>16</v>
      </c>
      <c r="J1953" s="1">
        <v>1</v>
      </c>
      <c r="K1953" s="1">
        <v>4</v>
      </c>
      <c r="L1953" s="1" t="s">
        <v>42</v>
      </c>
      <c r="M1953" s="1" t="s">
        <v>18</v>
      </c>
      <c r="N1953" s="1" t="s">
        <v>18</v>
      </c>
      <c r="O1953" s="1">
        <v>0</v>
      </c>
      <c r="P1953" s="1">
        <v>6</v>
      </c>
      <c r="R1953" s="1" t="s">
        <v>62</v>
      </c>
      <c r="S1953" s="1" t="s">
        <v>20</v>
      </c>
      <c r="T1953" s="1" t="s">
        <v>21</v>
      </c>
      <c r="U1953" s="1" t="s">
        <v>22</v>
      </c>
      <c r="V1953" s="1" t="s">
        <v>24</v>
      </c>
      <c r="W1953" s="1" t="s">
        <v>24</v>
      </c>
      <c r="X1953" s="1">
        <v>1310</v>
      </c>
      <c r="Y1953" s="1">
        <v>2730</v>
      </c>
      <c r="Z1953" s="1">
        <v>1306</v>
      </c>
      <c r="AA1953" s="1">
        <v>2712</v>
      </c>
      <c r="AB1953" s="1" t="s">
        <v>24</v>
      </c>
      <c r="AC1953" s="1" t="s">
        <v>24</v>
      </c>
      <c r="AD1953" s="1" t="s">
        <v>24</v>
      </c>
      <c r="AE1953" s="1" t="s">
        <v>24</v>
      </c>
      <c r="AF1953" s="22"/>
    </row>
    <row r="1954" spans="1:32" x14ac:dyDescent="0.2">
      <c r="A1954" s="1">
        <v>11084</v>
      </c>
      <c r="B1954" s="1" t="s">
        <v>6252</v>
      </c>
      <c r="C1954" s="5" t="s">
        <v>0</v>
      </c>
      <c r="D1954" s="1" t="s">
        <v>6253</v>
      </c>
      <c r="E1954" s="1" t="s">
        <v>6254</v>
      </c>
      <c r="F1954" s="1" t="s">
        <v>493</v>
      </c>
      <c r="G1954" s="1" t="s">
        <v>98</v>
      </c>
      <c r="H1954" s="1" t="s">
        <v>30</v>
      </c>
      <c r="I1954" s="1" t="s">
        <v>16</v>
      </c>
      <c r="J1954" s="1">
        <v>1</v>
      </c>
      <c r="K1954" s="1">
        <v>12</v>
      </c>
      <c r="L1954" s="1" t="s">
        <v>31</v>
      </c>
      <c r="M1954" s="1" t="s">
        <v>18</v>
      </c>
      <c r="N1954" s="1" t="s">
        <v>18</v>
      </c>
      <c r="O1954" s="1">
        <v>2</v>
      </c>
      <c r="P1954" s="1">
        <v>7</v>
      </c>
      <c r="Q1954" s="7" t="s">
        <v>17633</v>
      </c>
      <c r="R1954" s="1" t="s">
        <v>19</v>
      </c>
      <c r="S1954" s="1" t="s">
        <v>20</v>
      </c>
      <c r="T1954" s="1" t="s">
        <v>21</v>
      </c>
      <c r="U1954" s="1" t="s">
        <v>22</v>
      </c>
      <c r="V1954" s="1" t="s">
        <v>23</v>
      </c>
      <c r="W1954" s="1" t="s">
        <v>24</v>
      </c>
      <c r="X1954" s="1">
        <v>2746</v>
      </c>
      <c r="Y1954" s="1">
        <v>2732</v>
      </c>
      <c r="Z1954" s="1" t="s">
        <v>24</v>
      </c>
      <c r="AA1954" s="1" t="s">
        <v>24</v>
      </c>
      <c r="AB1954" s="1" t="s">
        <v>24</v>
      </c>
      <c r="AC1954" s="1" t="s">
        <v>24</v>
      </c>
      <c r="AD1954" s="1" t="s">
        <v>24</v>
      </c>
      <c r="AE1954" s="1" t="s">
        <v>24</v>
      </c>
      <c r="AF1954" s="22"/>
    </row>
    <row r="1955" spans="1:32" x14ac:dyDescent="0.2">
      <c r="A1955" s="1">
        <v>11086</v>
      </c>
      <c r="B1955" s="1" t="s">
        <v>6255</v>
      </c>
      <c r="C1955" s="5" t="s">
        <v>0</v>
      </c>
      <c r="D1955" s="1" t="s">
        <v>6256</v>
      </c>
      <c r="E1955" s="1" t="s">
        <v>6257</v>
      </c>
      <c r="F1955" s="1" t="s">
        <v>272</v>
      </c>
      <c r="G1955" s="1" t="s">
        <v>61</v>
      </c>
      <c r="H1955" s="1" t="s">
        <v>30</v>
      </c>
      <c r="I1955" s="1" t="s">
        <v>16</v>
      </c>
      <c r="J1955" s="1">
        <v>2</v>
      </c>
      <c r="K1955" s="1">
        <v>6</v>
      </c>
      <c r="L1955" s="1" t="s">
        <v>31</v>
      </c>
      <c r="M1955" s="1" t="s">
        <v>18</v>
      </c>
      <c r="N1955" s="1" t="s">
        <v>18</v>
      </c>
      <c r="O1955" s="1">
        <v>3</v>
      </c>
      <c r="P1955" s="1">
        <v>7</v>
      </c>
      <c r="Q1955" s="7" t="s">
        <v>17633</v>
      </c>
      <c r="R1955" s="1" t="s">
        <v>19</v>
      </c>
      <c r="S1955" s="1" t="s">
        <v>20</v>
      </c>
      <c r="T1955" s="1" t="s">
        <v>21</v>
      </c>
      <c r="U1955" s="1" t="s">
        <v>22</v>
      </c>
      <c r="V1955" s="1" t="s">
        <v>24</v>
      </c>
      <c r="W1955" s="1" t="s">
        <v>24</v>
      </c>
      <c r="X1955" s="1">
        <v>2746</v>
      </c>
      <c r="Y1955" s="1" t="s">
        <v>24</v>
      </c>
      <c r="Z1955" s="1" t="s">
        <v>24</v>
      </c>
      <c r="AA1955" s="1" t="s">
        <v>24</v>
      </c>
      <c r="AB1955" s="1" t="s">
        <v>24</v>
      </c>
      <c r="AC1955" s="1" t="s">
        <v>24</v>
      </c>
      <c r="AD1955" s="1" t="s">
        <v>24</v>
      </c>
      <c r="AE1955" s="1" t="s">
        <v>24</v>
      </c>
      <c r="AF1955" s="22"/>
    </row>
    <row r="1956" spans="1:32" x14ac:dyDescent="0.2">
      <c r="A1956" s="1">
        <v>11087</v>
      </c>
      <c r="B1956" s="1" t="s">
        <v>6258</v>
      </c>
      <c r="C1956" s="5" t="s">
        <v>0</v>
      </c>
      <c r="D1956" s="1" t="s">
        <v>6259</v>
      </c>
      <c r="E1956" s="1" t="s">
        <v>6260</v>
      </c>
      <c r="F1956" s="1" t="s">
        <v>91</v>
      </c>
      <c r="G1956" s="1" t="s">
        <v>61</v>
      </c>
      <c r="H1956" s="1" t="s">
        <v>92</v>
      </c>
      <c r="I1956" s="1" t="s">
        <v>16</v>
      </c>
      <c r="J1956" s="1">
        <v>2</v>
      </c>
      <c r="K1956" s="1">
        <v>6</v>
      </c>
      <c r="L1956" s="1" t="s">
        <v>31</v>
      </c>
      <c r="M1956" s="1" t="s">
        <v>18</v>
      </c>
      <c r="N1956" s="1" t="s">
        <v>18</v>
      </c>
      <c r="O1956" s="1">
        <v>3</v>
      </c>
      <c r="P1956" s="1">
        <v>7</v>
      </c>
      <c r="Q1956" s="7" t="s">
        <v>17633</v>
      </c>
      <c r="R1956" s="1" t="s">
        <v>19</v>
      </c>
      <c r="S1956" s="1" t="s">
        <v>63</v>
      </c>
      <c r="T1956" s="1" t="s">
        <v>21</v>
      </c>
      <c r="U1956" s="1" t="s">
        <v>22</v>
      </c>
      <c r="V1956" s="1" t="s">
        <v>23</v>
      </c>
      <c r="W1956" s="1" t="s">
        <v>24</v>
      </c>
      <c r="X1956" s="1">
        <v>3307</v>
      </c>
      <c r="Y1956" s="1">
        <v>2739</v>
      </c>
      <c r="Z1956" s="1" t="s">
        <v>24</v>
      </c>
      <c r="AA1956" s="1" t="s">
        <v>24</v>
      </c>
      <c r="AB1956" s="1" t="s">
        <v>24</v>
      </c>
      <c r="AC1956" s="1" t="s">
        <v>24</v>
      </c>
      <c r="AD1956" s="1" t="s">
        <v>24</v>
      </c>
      <c r="AE1956" s="1" t="s">
        <v>24</v>
      </c>
      <c r="AF1956" s="22"/>
    </row>
    <row r="1957" spans="1:32" x14ac:dyDescent="0.2">
      <c r="A1957" s="1">
        <v>11090</v>
      </c>
      <c r="B1957" s="1" t="s">
        <v>6261</v>
      </c>
      <c r="C1957" s="5" t="s">
        <v>0</v>
      </c>
      <c r="D1957" s="1" t="s">
        <v>6262</v>
      </c>
      <c r="F1957" s="1" t="s">
        <v>1758</v>
      </c>
      <c r="G1957" s="1" t="s">
        <v>1758</v>
      </c>
      <c r="H1957" s="1" t="s">
        <v>111</v>
      </c>
      <c r="I1957" s="1" t="s">
        <v>16</v>
      </c>
      <c r="J1957" s="1">
        <v>1</v>
      </c>
      <c r="K1957" s="1">
        <v>4</v>
      </c>
      <c r="L1957" s="1" t="s">
        <v>42</v>
      </c>
      <c r="M1957" s="1" t="s">
        <v>413</v>
      </c>
      <c r="N1957" s="1" t="s">
        <v>413</v>
      </c>
      <c r="O1957" s="1">
        <v>3</v>
      </c>
      <c r="P1957" s="1">
        <v>5</v>
      </c>
      <c r="R1957" s="1" t="s">
        <v>19</v>
      </c>
      <c r="S1957" s="1" t="s">
        <v>20</v>
      </c>
      <c r="T1957" s="1" t="s">
        <v>21</v>
      </c>
      <c r="U1957" s="1" t="s">
        <v>22</v>
      </c>
      <c r="V1957" s="1" t="s">
        <v>24</v>
      </c>
      <c r="W1957" s="1" t="s">
        <v>24</v>
      </c>
      <c r="X1957" s="1">
        <v>2700</v>
      </c>
      <c r="Y1957" s="1" t="s">
        <v>24</v>
      </c>
      <c r="Z1957" s="1" t="s">
        <v>24</v>
      </c>
      <c r="AA1957" s="1" t="s">
        <v>24</v>
      </c>
      <c r="AB1957" s="1" t="s">
        <v>24</v>
      </c>
      <c r="AC1957" s="1" t="s">
        <v>24</v>
      </c>
      <c r="AD1957" s="1" t="s">
        <v>24</v>
      </c>
      <c r="AE1957" s="1" t="s">
        <v>24</v>
      </c>
      <c r="AF1957" s="22" t="s">
        <v>17670</v>
      </c>
    </row>
    <row r="1958" spans="1:32" x14ac:dyDescent="0.2">
      <c r="A1958" s="1">
        <v>11097</v>
      </c>
      <c r="B1958" s="1" t="s">
        <v>6263</v>
      </c>
      <c r="C1958" s="5" t="s">
        <v>0</v>
      </c>
      <c r="D1958" s="1" t="s">
        <v>6264</v>
      </c>
      <c r="E1958" s="1" t="s">
        <v>6265</v>
      </c>
      <c r="F1958" s="1" t="s">
        <v>97</v>
      </c>
      <c r="G1958" s="1" t="s">
        <v>98</v>
      </c>
      <c r="H1958" s="1" t="s">
        <v>37</v>
      </c>
      <c r="I1958" s="1" t="s">
        <v>16</v>
      </c>
      <c r="J1958" s="1">
        <v>1</v>
      </c>
      <c r="K1958" s="1">
        <v>6</v>
      </c>
      <c r="L1958" s="1" t="s">
        <v>31</v>
      </c>
      <c r="M1958" s="1" t="s">
        <v>18</v>
      </c>
      <c r="N1958" s="1" t="s">
        <v>18</v>
      </c>
      <c r="O1958" s="1">
        <v>3</v>
      </c>
      <c r="P1958" s="1">
        <v>6</v>
      </c>
      <c r="R1958" s="1" t="s">
        <v>19</v>
      </c>
      <c r="S1958" s="1" t="s">
        <v>20</v>
      </c>
      <c r="T1958" s="1" t="s">
        <v>21</v>
      </c>
      <c r="U1958" s="1" t="s">
        <v>22</v>
      </c>
      <c r="V1958" s="1" t="s">
        <v>23</v>
      </c>
      <c r="W1958" s="1" t="s">
        <v>24</v>
      </c>
      <c r="X1958" s="1">
        <v>2713</v>
      </c>
      <c r="Y1958" s="1">
        <v>3605</v>
      </c>
      <c r="Z1958" s="1">
        <v>2613</v>
      </c>
      <c r="AA1958" s="1" t="s">
        <v>24</v>
      </c>
      <c r="AB1958" s="1" t="s">
        <v>24</v>
      </c>
      <c r="AC1958" s="1" t="s">
        <v>24</v>
      </c>
      <c r="AD1958" s="1" t="s">
        <v>24</v>
      </c>
      <c r="AE1958" s="1" t="s">
        <v>24</v>
      </c>
      <c r="AF1958" s="22"/>
    </row>
    <row r="1959" spans="1:32" x14ac:dyDescent="0.2">
      <c r="A1959" s="1">
        <v>11101</v>
      </c>
      <c r="B1959" s="1" t="s">
        <v>6266</v>
      </c>
      <c r="C1959" s="5" t="s">
        <v>0</v>
      </c>
      <c r="D1959" s="1" t="s">
        <v>6267</v>
      </c>
      <c r="F1959" s="1" t="s">
        <v>437</v>
      </c>
      <c r="G1959" s="1" t="s">
        <v>437</v>
      </c>
      <c r="H1959" s="1" t="s">
        <v>168</v>
      </c>
      <c r="I1959" s="1" t="s">
        <v>16</v>
      </c>
      <c r="J1959" s="1">
        <v>1</v>
      </c>
      <c r="K1959" s="1">
        <v>12</v>
      </c>
      <c r="L1959" s="1" t="s">
        <v>42</v>
      </c>
      <c r="M1959" s="1" t="s">
        <v>18</v>
      </c>
      <c r="N1959" s="1" t="s">
        <v>18</v>
      </c>
      <c r="O1959" s="1">
        <v>3</v>
      </c>
      <c r="P1959" s="1">
        <v>6</v>
      </c>
      <c r="R1959" s="1" t="s">
        <v>19</v>
      </c>
      <c r="S1959" s="1" t="s">
        <v>20</v>
      </c>
      <c r="T1959" s="1" t="s">
        <v>21</v>
      </c>
      <c r="U1959" s="1" t="s">
        <v>22</v>
      </c>
      <c r="V1959" s="1" t="s">
        <v>24</v>
      </c>
      <c r="W1959" s="1" t="s">
        <v>64</v>
      </c>
      <c r="X1959" s="1">
        <v>3004</v>
      </c>
      <c r="Y1959" s="1">
        <v>2736</v>
      </c>
      <c r="Z1959" s="1" t="s">
        <v>24</v>
      </c>
      <c r="AA1959" s="1" t="s">
        <v>24</v>
      </c>
      <c r="AB1959" s="1" t="s">
        <v>24</v>
      </c>
      <c r="AC1959" s="1" t="s">
        <v>24</v>
      </c>
      <c r="AD1959" s="1" t="s">
        <v>24</v>
      </c>
      <c r="AE1959" s="1" t="s">
        <v>24</v>
      </c>
      <c r="AF1959" s="22"/>
    </row>
    <row r="1960" spans="1:32" x14ac:dyDescent="0.2">
      <c r="A1960" s="1">
        <v>11109</v>
      </c>
      <c r="B1960" s="1" t="s">
        <v>6268</v>
      </c>
      <c r="C1960" s="5" t="s">
        <v>0</v>
      </c>
      <c r="D1960" s="1" t="s">
        <v>6269</v>
      </c>
      <c r="E1960" s="1" t="s">
        <v>6270</v>
      </c>
      <c r="F1960" s="1" t="s">
        <v>28</v>
      </c>
      <c r="G1960" s="1" t="s">
        <v>29</v>
      </c>
      <c r="H1960" s="1" t="s">
        <v>30</v>
      </c>
      <c r="I1960" s="1" t="s">
        <v>16</v>
      </c>
      <c r="J1960" s="1">
        <v>1</v>
      </c>
      <c r="K1960" s="1">
        <v>6</v>
      </c>
      <c r="L1960" s="1" t="s">
        <v>31</v>
      </c>
      <c r="M1960" s="1" t="s">
        <v>18</v>
      </c>
      <c r="N1960" s="1" t="s">
        <v>18</v>
      </c>
      <c r="O1960" s="1">
        <v>3</v>
      </c>
      <c r="P1960" s="1">
        <v>7</v>
      </c>
      <c r="Q1960" s="7" t="s">
        <v>17633</v>
      </c>
      <c r="R1960" s="1" t="s">
        <v>19</v>
      </c>
      <c r="S1960" s="1" t="s">
        <v>20</v>
      </c>
      <c r="T1960" s="1" t="s">
        <v>21</v>
      </c>
      <c r="U1960" s="1" t="s">
        <v>22</v>
      </c>
      <c r="V1960" s="1" t="s">
        <v>23</v>
      </c>
      <c r="W1960" s="1" t="s">
        <v>24</v>
      </c>
      <c r="X1960" s="1">
        <v>2733</v>
      </c>
      <c r="Y1960" s="1">
        <v>2746</v>
      </c>
      <c r="Z1960" s="1" t="s">
        <v>24</v>
      </c>
      <c r="AA1960" s="1" t="s">
        <v>24</v>
      </c>
      <c r="AB1960" s="1" t="s">
        <v>24</v>
      </c>
      <c r="AC1960" s="1" t="s">
        <v>24</v>
      </c>
      <c r="AD1960" s="1" t="s">
        <v>24</v>
      </c>
      <c r="AE1960" s="1" t="s">
        <v>24</v>
      </c>
      <c r="AF1960" s="22"/>
    </row>
    <row r="1961" spans="1:32" x14ac:dyDescent="0.2">
      <c r="A1961" s="1">
        <v>11114</v>
      </c>
      <c r="B1961" s="1" t="s">
        <v>6271</v>
      </c>
      <c r="C1961" s="5" t="s">
        <v>0</v>
      </c>
      <c r="D1961" s="1" t="s">
        <v>6272</v>
      </c>
      <c r="F1961" s="1" t="s">
        <v>6273</v>
      </c>
      <c r="G1961" s="1" t="s">
        <v>6273</v>
      </c>
      <c r="H1961" s="1" t="s">
        <v>1384</v>
      </c>
      <c r="I1961" s="1" t="s">
        <v>16</v>
      </c>
      <c r="J1961" s="1">
        <v>1</v>
      </c>
      <c r="K1961" s="1">
        <v>6</v>
      </c>
      <c r="L1961" s="1" t="s">
        <v>42</v>
      </c>
      <c r="M1961" s="1" t="s">
        <v>18</v>
      </c>
      <c r="N1961" s="1" t="s">
        <v>18</v>
      </c>
      <c r="O1961" s="1">
        <v>1</v>
      </c>
      <c r="P1961" s="1">
        <v>5</v>
      </c>
      <c r="R1961" s="1" t="s">
        <v>19</v>
      </c>
      <c r="S1961" s="1" t="s">
        <v>20</v>
      </c>
      <c r="T1961" s="1" t="s">
        <v>21</v>
      </c>
      <c r="U1961" s="1" t="s">
        <v>22</v>
      </c>
      <c r="V1961" s="1" t="s">
        <v>24</v>
      </c>
      <c r="W1961" s="1" t="s">
        <v>24</v>
      </c>
      <c r="X1961" s="1">
        <v>2700</v>
      </c>
      <c r="Y1961" s="1" t="s">
        <v>24</v>
      </c>
      <c r="Z1961" s="1" t="s">
        <v>24</v>
      </c>
      <c r="AA1961" s="1" t="s">
        <v>24</v>
      </c>
      <c r="AB1961" s="1" t="s">
        <v>24</v>
      </c>
      <c r="AC1961" s="1" t="s">
        <v>24</v>
      </c>
      <c r="AD1961" s="1" t="s">
        <v>24</v>
      </c>
      <c r="AE1961" s="1" t="s">
        <v>24</v>
      </c>
      <c r="AF1961" s="22"/>
    </row>
    <row r="1962" spans="1:32" x14ac:dyDescent="0.2">
      <c r="A1962" s="1">
        <v>11115</v>
      </c>
      <c r="B1962" s="1" t="s">
        <v>6274</v>
      </c>
      <c r="C1962" s="5" t="s">
        <v>0</v>
      </c>
      <c r="D1962" s="1" t="s">
        <v>6275</v>
      </c>
      <c r="E1962" s="1" t="s">
        <v>6276</v>
      </c>
      <c r="F1962" s="1" t="s">
        <v>155</v>
      </c>
      <c r="G1962" s="1" t="s">
        <v>61</v>
      </c>
      <c r="H1962" s="1" t="s">
        <v>37</v>
      </c>
      <c r="I1962" s="1" t="s">
        <v>16</v>
      </c>
      <c r="J1962" s="1">
        <v>1</v>
      </c>
      <c r="K1962" s="1">
        <v>24</v>
      </c>
      <c r="L1962" s="1" t="s">
        <v>31</v>
      </c>
      <c r="M1962" s="1" t="s">
        <v>18</v>
      </c>
      <c r="N1962" s="1" t="s">
        <v>18</v>
      </c>
      <c r="O1962" s="1">
        <v>3</v>
      </c>
      <c r="P1962" s="1">
        <v>6</v>
      </c>
      <c r="R1962" s="1" t="s">
        <v>881</v>
      </c>
      <c r="S1962" s="1" t="s">
        <v>20</v>
      </c>
      <c r="T1962" s="1" t="s">
        <v>21</v>
      </c>
      <c r="U1962" s="1" t="s">
        <v>22</v>
      </c>
      <c r="V1962" s="1" t="s">
        <v>24</v>
      </c>
      <c r="W1962" s="1" t="s">
        <v>64</v>
      </c>
      <c r="X1962" s="1">
        <v>1303</v>
      </c>
      <c r="Y1962" s="1">
        <v>1308</v>
      </c>
      <c r="Z1962" s="1">
        <v>1312</v>
      </c>
      <c r="AA1962" s="1">
        <v>1313</v>
      </c>
      <c r="AB1962" s="1">
        <v>1605</v>
      </c>
      <c r="AC1962" s="1">
        <v>3002</v>
      </c>
      <c r="AD1962" s="1">
        <v>3003</v>
      </c>
      <c r="AE1962" s="1" t="s">
        <v>24</v>
      </c>
      <c r="AF1962" s="22"/>
    </row>
    <row r="1963" spans="1:32" x14ac:dyDescent="0.2">
      <c r="A1963" s="1">
        <v>11117</v>
      </c>
      <c r="B1963" s="1" t="s">
        <v>6277</v>
      </c>
      <c r="C1963" s="5" t="s">
        <v>0</v>
      </c>
      <c r="D1963" s="1" t="s">
        <v>6278</v>
      </c>
      <c r="E1963" s="1" t="s">
        <v>6279</v>
      </c>
      <c r="F1963" s="1" t="s">
        <v>6280</v>
      </c>
      <c r="G1963" s="1" t="s">
        <v>6280</v>
      </c>
      <c r="H1963" s="1" t="s">
        <v>30</v>
      </c>
      <c r="I1963" s="1" t="s">
        <v>16</v>
      </c>
      <c r="J1963" s="1">
        <v>1</v>
      </c>
      <c r="K1963" s="1">
        <v>4</v>
      </c>
      <c r="L1963" s="1" t="s">
        <v>42</v>
      </c>
      <c r="M1963" s="1" t="s">
        <v>18</v>
      </c>
      <c r="N1963" s="1" t="s">
        <v>18</v>
      </c>
      <c r="O1963" s="1">
        <v>3</v>
      </c>
      <c r="P1963" s="1">
        <v>6</v>
      </c>
      <c r="R1963" s="1" t="s">
        <v>19</v>
      </c>
      <c r="S1963" s="1" t="s">
        <v>20</v>
      </c>
      <c r="T1963" s="1" t="s">
        <v>21</v>
      </c>
      <c r="U1963" s="1" t="s">
        <v>22</v>
      </c>
      <c r="V1963" s="1" t="s">
        <v>23</v>
      </c>
      <c r="W1963" s="1" t="s">
        <v>24</v>
      </c>
      <c r="X1963" s="1">
        <v>2732</v>
      </c>
      <c r="Y1963" s="1">
        <v>1304</v>
      </c>
      <c r="Z1963" s="1">
        <v>2742</v>
      </c>
      <c r="AA1963" s="1" t="s">
        <v>24</v>
      </c>
      <c r="AB1963" s="1" t="s">
        <v>24</v>
      </c>
      <c r="AC1963" s="1" t="s">
        <v>24</v>
      </c>
      <c r="AD1963" s="1" t="s">
        <v>24</v>
      </c>
      <c r="AE1963" s="1" t="s">
        <v>24</v>
      </c>
      <c r="AF1963" s="22"/>
    </row>
    <row r="1964" spans="1:32" x14ac:dyDescent="0.2">
      <c r="A1964" s="1">
        <v>11122</v>
      </c>
      <c r="B1964" s="1" t="s">
        <v>6281</v>
      </c>
      <c r="C1964" s="5" t="s">
        <v>0</v>
      </c>
      <c r="D1964" s="1" t="s">
        <v>6282</v>
      </c>
      <c r="E1964" s="1" t="s">
        <v>6283</v>
      </c>
      <c r="F1964" s="1" t="s">
        <v>493</v>
      </c>
      <c r="G1964" s="1" t="s">
        <v>98</v>
      </c>
      <c r="H1964" s="1" t="s">
        <v>37</v>
      </c>
      <c r="I1964" s="1" t="s">
        <v>16</v>
      </c>
      <c r="J1964" s="1">
        <v>1</v>
      </c>
      <c r="K1964" s="1">
        <v>4</v>
      </c>
      <c r="L1964" s="1" t="s">
        <v>31</v>
      </c>
      <c r="M1964" s="1" t="s">
        <v>18</v>
      </c>
      <c r="N1964" s="1" t="s">
        <v>18</v>
      </c>
      <c r="O1964" s="1">
        <v>3</v>
      </c>
      <c r="P1964" s="1">
        <v>6</v>
      </c>
      <c r="R1964" s="1" t="s">
        <v>19</v>
      </c>
      <c r="S1964" s="1" t="s">
        <v>20</v>
      </c>
      <c r="T1964" s="1" t="s">
        <v>21</v>
      </c>
      <c r="U1964" s="1" t="s">
        <v>22</v>
      </c>
      <c r="V1964" s="1" t="s">
        <v>23</v>
      </c>
      <c r="W1964" s="1" t="s">
        <v>24</v>
      </c>
      <c r="X1964" s="1">
        <v>2700</v>
      </c>
      <c r="Y1964" s="1">
        <v>3308</v>
      </c>
      <c r="Z1964" s="1" t="s">
        <v>24</v>
      </c>
      <c r="AA1964" s="1" t="s">
        <v>24</v>
      </c>
      <c r="AB1964" s="1" t="s">
        <v>24</v>
      </c>
      <c r="AC1964" s="1" t="s">
        <v>24</v>
      </c>
      <c r="AD1964" s="1" t="s">
        <v>24</v>
      </c>
      <c r="AE1964" s="1" t="s">
        <v>24</v>
      </c>
      <c r="AF1964" s="22" t="s">
        <v>17670</v>
      </c>
    </row>
    <row r="1965" spans="1:32" x14ac:dyDescent="0.2">
      <c r="A1965" s="1">
        <v>11127</v>
      </c>
      <c r="B1965" s="1" t="s">
        <v>6284</v>
      </c>
      <c r="C1965" s="5" t="s">
        <v>0</v>
      </c>
      <c r="D1965" s="1" t="s">
        <v>6285</v>
      </c>
      <c r="F1965" s="1" t="s">
        <v>6286</v>
      </c>
      <c r="G1965" s="1" t="s">
        <v>6286</v>
      </c>
      <c r="H1965" s="1" t="s">
        <v>461</v>
      </c>
      <c r="I1965" s="1" t="s">
        <v>16</v>
      </c>
      <c r="J1965" s="1">
        <v>1</v>
      </c>
      <c r="K1965" s="1">
        <v>6</v>
      </c>
      <c r="L1965" s="1" t="s">
        <v>17</v>
      </c>
      <c r="M1965" s="1" t="s">
        <v>1735</v>
      </c>
      <c r="N1965" s="1" t="s">
        <v>635</v>
      </c>
      <c r="O1965" s="1">
        <v>3</v>
      </c>
      <c r="P1965" s="1">
        <v>5</v>
      </c>
      <c r="R1965" s="1" t="s">
        <v>19</v>
      </c>
      <c r="S1965" s="1" t="s">
        <v>20</v>
      </c>
      <c r="T1965" s="1" t="s">
        <v>21</v>
      </c>
      <c r="U1965" s="1" t="s">
        <v>22</v>
      </c>
      <c r="V1965" s="1" t="s">
        <v>23</v>
      </c>
      <c r="W1965" s="1" t="s">
        <v>24</v>
      </c>
      <c r="X1965" s="1">
        <v>1306</v>
      </c>
      <c r="Y1965" s="1">
        <v>2730</v>
      </c>
      <c r="Z1965" s="1" t="s">
        <v>24</v>
      </c>
      <c r="AA1965" s="1" t="s">
        <v>24</v>
      </c>
      <c r="AB1965" s="1" t="s">
        <v>24</v>
      </c>
      <c r="AC1965" s="1" t="s">
        <v>24</v>
      </c>
      <c r="AD1965" s="1" t="s">
        <v>24</v>
      </c>
      <c r="AE1965" s="1" t="s">
        <v>24</v>
      </c>
      <c r="AF1965" s="22"/>
    </row>
    <row r="1966" spans="1:32" x14ac:dyDescent="0.2">
      <c r="A1966" s="1">
        <v>11128</v>
      </c>
      <c r="B1966" s="1" t="s">
        <v>6287</v>
      </c>
      <c r="C1966" s="5" t="s">
        <v>0</v>
      </c>
      <c r="D1966" s="1" t="s">
        <v>6288</v>
      </c>
      <c r="F1966" s="1" t="s">
        <v>1130</v>
      </c>
      <c r="G1966" s="1" t="s">
        <v>6289</v>
      </c>
      <c r="H1966" s="1" t="s">
        <v>135</v>
      </c>
      <c r="I1966" s="1" t="s">
        <v>16</v>
      </c>
      <c r="J1966" s="1">
        <v>1</v>
      </c>
      <c r="K1966" s="1">
        <v>4</v>
      </c>
      <c r="L1966" s="1" t="s">
        <v>31</v>
      </c>
      <c r="M1966" s="1" t="s">
        <v>1131</v>
      </c>
      <c r="N1966" s="1" t="s">
        <v>1132</v>
      </c>
      <c r="O1966" s="1">
        <v>3</v>
      </c>
      <c r="P1966" s="1">
        <v>5</v>
      </c>
      <c r="R1966" s="1" t="s">
        <v>19</v>
      </c>
      <c r="S1966" s="1" t="s">
        <v>20</v>
      </c>
      <c r="T1966" s="1" t="s">
        <v>21</v>
      </c>
      <c r="U1966" s="1" t="s">
        <v>22</v>
      </c>
      <c r="V1966" s="1" t="s">
        <v>24</v>
      </c>
      <c r="W1966" s="1" t="s">
        <v>24</v>
      </c>
      <c r="X1966" s="1">
        <v>2745</v>
      </c>
      <c r="Y1966" s="1" t="s">
        <v>24</v>
      </c>
      <c r="Z1966" s="1" t="s">
        <v>24</v>
      </c>
      <c r="AA1966" s="1" t="s">
        <v>24</v>
      </c>
      <c r="AB1966" s="1" t="s">
        <v>24</v>
      </c>
      <c r="AC1966" s="1" t="s">
        <v>24</v>
      </c>
      <c r="AD1966" s="1" t="s">
        <v>24</v>
      </c>
      <c r="AE1966" s="1" t="s">
        <v>24</v>
      </c>
      <c r="AF1966" s="22"/>
    </row>
    <row r="1967" spans="1:32" x14ac:dyDescent="0.2">
      <c r="A1967" s="1">
        <v>11129</v>
      </c>
      <c r="B1967" s="1" t="s">
        <v>6290</v>
      </c>
      <c r="C1967" s="5" t="s">
        <v>0</v>
      </c>
      <c r="D1967" s="1" t="s">
        <v>6291</v>
      </c>
      <c r="E1967" s="1" t="s">
        <v>6292</v>
      </c>
      <c r="F1967" s="1" t="s">
        <v>291</v>
      </c>
      <c r="G1967" s="1" t="s">
        <v>292</v>
      </c>
      <c r="H1967" s="1" t="s">
        <v>37</v>
      </c>
      <c r="I1967" s="1" t="s">
        <v>16</v>
      </c>
      <c r="J1967" s="1">
        <v>1</v>
      </c>
      <c r="K1967" s="1">
        <v>12</v>
      </c>
      <c r="L1967" s="1" t="s">
        <v>31</v>
      </c>
      <c r="M1967" s="1" t="s">
        <v>18</v>
      </c>
      <c r="N1967" s="1" t="s">
        <v>18</v>
      </c>
      <c r="O1967" s="1">
        <v>3</v>
      </c>
      <c r="P1967" s="1">
        <v>6</v>
      </c>
      <c r="R1967" s="1" t="s">
        <v>62</v>
      </c>
      <c r="S1967" s="1" t="s">
        <v>20</v>
      </c>
      <c r="T1967" s="1" t="s">
        <v>21</v>
      </c>
      <c r="U1967" s="1" t="s">
        <v>22</v>
      </c>
      <c r="V1967" s="1" t="s">
        <v>24</v>
      </c>
      <c r="W1967" s="1" t="s">
        <v>64</v>
      </c>
      <c r="X1967" s="1">
        <v>3004</v>
      </c>
      <c r="Y1967" s="1">
        <v>2736</v>
      </c>
      <c r="Z1967" s="1" t="s">
        <v>24</v>
      </c>
      <c r="AA1967" s="1" t="s">
        <v>24</v>
      </c>
      <c r="AB1967" s="1" t="s">
        <v>24</v>
      </c>
      <c r="AC1967" s="1" t="s">
        <v>24</v>
      </c>
      <c r="AD1967" s="1" t="s">
        <v>24</v>
      </c>
      <c r="AE1967" s="1" t="s">
        <v>24</v>
      </c>
      <c r="AF1967" s="22"/>
    </row>
    <row r="1968" spans="1:32" x14ac:dyDescent="0.2">
      <c r="A1968" s="1">
        <v>11130</v>
      </c>
      <c r="B1968" s="1" t="s">
        <v>6293</v>
      </c>
      <c r="C1968" s="5" t="s">
        <v>0</v>
      </c>
      <c r="D1968" s="1" t="s">
        <v>6294</v>
      </c>
      <c r="E1968" s="1" t="s">
        <v>6295</v>
      </c>
      <c r="F1968" s="1" t="s">
        <v>91</v>
      </c>
      <c r="G1968" s="1" t="s">
        <v>61</v>
      </c>
      <c r="H1968" s="1" t="s">
        <v>92</v>
      </c>
      <c r="I1968" s="1" t="s">
        <v>16</v>
      </c>
      <c r="J1968" s="1">
        <v>39</v>
      </c>
      <c r="K1968" s="1">
        <v>2</v>
      </c>
      <c r="L1968" s="1" t="s">
        <v>31</v>
      </c>
      <c r="M1968" s="1" t="s">
        <v>18</v>
      </c>
      <c r="N1968" s="1" t="s">
        <v>18</v>
      </c>
      <c r="O1968" s="1">
        <v>3</v>
      </c>
      <c r="P1968" s="1">
        <v>7</v>
      </c>
      <c r="Q1968" s="7" t="s">
        <v>17633</v>
      </c>
      <c r="R1968" s="1" t="s">
        <v>62</v>
      </c>
      <c r="S1968" s="1" t="s">
        <v>20</v>
      </c>
      <c r="T1968" s="1" t="s">
        <v>21</v>
      </c>
      <c r="U1968" s="1" t="s">
        <v>22</v>
      </c>
      <c r="V1968" s="1" t="s">
        <v>24</v>
      </c>
      <c r="W1968" s="1" t="s">
        <v>24</v>
      </c>
      <c r="X1968" s="1">
        <v>1602</v>
      </c>
      <c r="Y1968" s="1">
        <v>1605</v>
      </c>
      <c r="Z1968" s="1">
        <v>1303</v>
      </c>
      <c r="AA1968" s="1" t="s">
        <v>24</v>
      </c>
      <c r="AB1968" s="1" t="s">
        <v>24</v>
      </c>
      <c r="AC1968" s="1" t="s">
        <v>24</v>
      </c>
      <c r="AD1968" s="1" t="s">
        <v>24</v>
      </c>
      <c r="AE1968" s="1" t="s">
        <v>24</v>
      </c>
      <c r="AF1968" s="22"/>
    </row>
    <row r="1969" spans="1:32" x14ac:dyDescent="0.2">
      <c r="A1969" s="1">
        <v>11133</v>
      </c>
      <c r="B1969" s="1" t="s">
        <v>6296</v>
      </c>
      <c r="C1969" s="5" t="s">
        <v>0</v>
      </c>
      <c r="D1969" s="1" t="s">
        <v>6297</v>
      </c>
      <c r="E1969" s="1" t="s">
        <v>6298</v>
      </c>
      <c r="F1969" s="1" t="s">
        <v>1808</v>
      </c>
      <c r="G1969" s="1" t="s">
        <v>130</v>
      </c>
      <c r="H1969" s="1" t="s">
        <v>461</v>
      </c>
      <c r="I1969" s="1" t="s">
        <v>16</v>
      </c>
      <c r="J1969" s="1">
        <v>1</v>
      </c>
      <c r="K1969" s="1">
        <v>12</v>
      </c>
      <c r="L1969" s="1" t="s">
        <v>31</v>
      </c>
      <c r="M1969" s="1" t="s">
        <v>18</v>
      </c>
      <c r="N1969" s="1" t="s">
        <v>18</v>
      </c>
      <c r="O1969" s="1">
        <v>3</v>
      </c>
      <c r="P1969" s="1">
        <v>7</v>
      </c>
      <c r="Q1969" s="7" t="s">
        <v>17633</v>
      </c>
      <c r="R1969" s="1" t="s">
        <v>19</v>
      </c>
      <c r="S1969" s="1" t="s">
        <v>20</v>
      </c>
      <c r="T1969" s="1" t="s">
        <v>21</v>
      </c>
      <c r="U1969" s="1" t="s">
        <v>22</v>
      </c>
      <c r="V1969" s="1" t="s">
        <v>23</v>
      </c>
      <c r="W1969" s="1" t="s">
        <v>24</v>
      </c>
      <c r="X1969" s="1">
        <v>2715</v>
      </c>
      <c r="Y1969" s="1" t="s">
        <v>24</v>
      </c>
      <c r="Z1969" s="1" t="s">
        <v>24</v>
      </c>
      <c r="AA1969" s="1" t="s">
        <v>24</v>
      </c>
      <c r="AB1969" s="1" t="s">
        <v>24</v>
      </c>
      <c r="AC1969" s="1" t="s">
        <v>24</v>
      </c>
      <c r="AD1969" s="1" t="s">
        <v>24</v>
      </c>
      <c r="AE1969" s="1" t="s">
        <v>24</v>
      </c>
      <c r="AF1969" s="22"/>
    </row>
    <row r="1970" spans="1:32" x14ac:dyDescent="0.2">
      <c r="A1970" s="1">
        <v>11134</v>
      </c>
      <c r="B1970" s="1" t="s">
        <v>6299</v>
      </c>
      <c r="C1970" s="5" t="s">
        <v>0</v>
      </c>
      <c r="D1970" s="1" t="s">
        <v>6300</v>
      </c>
      <c r="E1970" s="1" t="s">
        <v>6301</v>
      </c>
      <c r="F1970" s="1" t="s">
        <v>35</v>
      </c>
      <c r="G1970" s="1" t="s">
        <v>36</v>
      </c>
      <c r="H1970" s="1" t="s">
        <v>37</v>
      </c>
      <c r="I1970" s="1" t="s">
        <v>16</v>
      </c>
      <c r="J1970" s="1">
        <v>1</v>
      </c>
      <c r="K1970" s="1">
        <v>12</v>
      </c>
      <c r="L1970" s="1" t="s">
        <v>31</v>
      </c>
      <c r="M1970" s="1" t="s">
        <v>18</v>
      </c>
      <c r="N1970" s="1" t="s">
        <v>18</v>
      </c>
      <c r="O1970" s="1">
        <v>3</v>
      </c>
      <c r="P1970" s="1">
        <v>7</v>
      </c>
      <c r="Q1970" s="7" t="s">
        <v>17633</v>
      </c>
      <c r="R1970" s="1" t="s">
        <v>19</v>
      </c>
      <c r="S1970" s="1" t="s">
        <v>20</v>
      </c>
      <c r="T1970" s="1" t="s">
        <v>21</v>
      </c>
      <c r="U1970" s="1" t="s">
        <v>22</v>
      </c>
      <c r="V1970" s="1" t="s">
        <v>24</v>
      </c>
      <c r="W1970" s="1" t="s">
        <v>24</v>
      </c>
      <c r="X1970" s="1">
        <v>2807</v>
      </c>
      <c r="Y1970" s="1">
        <v>2715</v>
      </c>
      <c r="Z1970" s="1">
        <v>1314</v>
      </c>
      <c r="AA1970" s="1" t="s">
        <v>24</v>
      </c>
      <c r="AB1970" s="1" t="s">
        <v>24</v>
      </c>
      <c r="AC1970" s="1" t="s">
        <v>24</v>
      </c>
      <c r="AD1970" s="1" t="s">
        <v>24</v>
      </c>
      <c r="AE1970" s="1" t="s">
        <v>24</v>
      </c>
      <c r="AF1970" s="22"/>
    </row>
    <row r="1971" spans="1:32" x14ac:dyDescent="0.2">
      <c r="A1971" s="1">
        <v>11135</v>
      </c>
      <c r="B1971" s="1" t="s">
        <v>6302</v>
      </c>
      <c r="C1971" s="5" t="s">
        <v>0</v>
      </c>
      <c r="D1971" s="1" t="s">
        <v>6303</v>
      </c>
      <c r="E1971" s="1" t="s">
        <v>6304</v>
      </c>
      <c r="F1971" s="1" t="s">
        <v>28</v>
      </c>
      <c r="G1971" s="1" t="s">
        <v>29</v>
      </c>
      <c r="H1971" s="1" t="s">
        <v>30</v>
      </c>
      <c r="I1971" s="1" t="s">
        <v>16</v>
      </c>
      <c r="J1971" s="1">
        <v>1</v>
      </c>
      <c r="K1971" s="1">
        <v>6</v>
      </c>
      <c r="L1971" s="1" t="s">
        <v>31</v>
      </c>
      <c r="M1971" s="1" t="s">
        <v>18</v>
      </c>
      <c r="N1971" s="1" t="s">
        <v>18</v>
      </c>
      <c r="O1971" s="1">
        <v>3</v>
      </c>
      <c r="P1971" s="1">
        <v>7</v>
      </c>
      <c r="Q1971" s="7" t="s">
        <v>17633</v>
      </c>
      <c r="R1971" s="1" t="s">
        <v>19</v>
      </c>
      <c r="S1971" s="1" t="s">
        <v>20</v>
      </c>
      <c r="T1971" s="1" t="s">
        <v>21</v>
      </c>
      <c r="U1971" s="1" t="s">
        <v>22</v>
      </c>
      <c r="V1971" s="1" t="s">
        <v>23</v>
      </c>
      <c r="W1971" s="1" t="s">
        <v>24</v>
      </c>
      <c r="X1971" s="1">
        <v>3004</v>
      </c>
      <c r="Y1971" s="1">
        <v>2736</v>
      </c>
      <c r="Z1971" s="1" t="s">
        <v>24</v>
      </c>
      <c r="AA1971" s="1" t="s">
        <v>24</v>
      </c>
      <c r="AB1971" s="1" t="s">
        <v>24</v>
      </c>
      <c r="AC1971" s="1" t="s">
        <v>24</v>
      </c>
      <c r="AD1971" s="1" t="s">
        <v>24</v>
      </c>
      <c r="AE1971" s="1" t="s">
        <v>24</v>
      </c>
      <c r="AF1971" s="22"/>
    </row>
    <row r="1972" spans="1:32" x14ac:dyDescent="0.2">
      <c r="A1972" s="1">
        <v>11137</v>
      </c>
      <c r="B1972" s="1" t="s">
        <v>6305</v>
      </c>
      <c r="C1972" s="5" t="s">
        <v>0</v>
      </c>
      <c r="D1972" s="1" t="s">
        <v>6306</v>
      </c>
      <c r="E1972" s="1" t="s">
        <v>6307</v>
      </c>
      <c r="F1972" s="1" t="s">
        <v>948</v>
      </c>
      <c r="G1972" s="1" t="s">
        <v>948</v>
      </c>
      <c r="H1972" s="1" t="s">
        <v>86</v>
      </c>
      <c r="I1972" s="1" t="s">
        <v>16</v>
      </c>
      <c r="J1972" s="1">
        <v>1</v>
      </c>
      <c r="K1972" s="1">
        <v>6</v>
      </c>
      <c r="L1972" s="1" t="s">
        <v>42</v>
      </c>
      <c r="M1972" s="1" t="s">
        <v>87</v>
      </c>
      <c r="N1972" s="1" t="s">
        <v>199</v>
      </c>
      <c r="O1972" s="1">
        <v>3</v>
      </c>
      <c r="P1972" s="1">
        <v>5</v>
      </c>
      <c r="R1972" s="1" t="s">
        <v>19</v>
      </c>
      <c r="S1972" s="1" t="s">
        <v>20</v>
      </c>
      <c r="T1972" s="1" t="s">
        <v>21</v>
      </c>
      <c r="U1972" s="1" t="s">
        <v>22</v>
      </c>
      <c r="V1972" s="1" t="s">
        <v>24</v>
      </c>
      <c r="W1972" s="1" t="s">
        <v>24</v>
      </c>
      <c r="X1972" s="1">
        <v>2720</v>
      </c>
      <c r="Y1972" s="1" t="s">
        <v>24</v>
      </c>
      <c r="Z1972" s="1" t="s">
        <v>24</v>
      </c>
      <c r="AA1972" s="1" t="s">
        <v>24</v>
      </c>
      <c r="AB1972" s="1" t="s">
        <v>24</v>
      </c>
      <c r="AC1972" s="1" t="s">
        <v>24</v>
      </c>
      <c r="AD1972" s="1" t="s">
        <v>24</v>
      </c>
      <c r="AE1972" s="1" t="s">
        <v>24</v>
      </c>
      <c r="AF1972" s="22"/>
    </row>
    <row r="1973" spans="1:32" x14ac:dyDescent="0.2">
      <c r="A1973" s="1">
        <v>11141</v>
      </c>
      <c r="B1973" s="1" t="s">
        <v>6308</v>
      </c>
      <c r="C1973" s="5" t="s">
        <v>0</v>
      </c>
      <c r="D1973" s="1" t="s">
        <v>6309</v>
      </c>
      <c r="E1973" s="1" t="s">
        <v>6310</v>
      </c>
      <c r="F1973" s="1" t="s">
        <v>91</v>
      </c>
      <c r="G1973" s="1" t="s">
        <v>61</v>
      </c>
      <c r="H1973" s="1" t="s">
        <v>92</v>
      </c>
      <c r="I1973" s="1" t="s">
        <v>16</v>
      </c>
      <c r="J1973" s="1">
        <v>1</v>
      </c>
      <c r="K1973" s="1">
        <v>8</v>
      </c>
      <c r="L1973" s="1" t="s">
        <v>31</v>
      </c>
      <c r="M1973" s="1" t="s">
        <v>18</v>
      </c>
      <c r="N1973" s="1" t="s">
        <v>18</v>
      </c>
      <c r="O1973" s="1">
        <v>3</v>
      </c>
      <c r="P1973" s="1">
        <v>7</v>
      </c>
      <c r="Q1973" s="7" t="s">
        <v>17633</v>
      </c>
      <c r="R1973" s="1" t="s">
        <v>62</v>
      </c>
      <c r="S1973" s="1" t="s">
        <v>63</v>
      </c>
      <c r="T1973" s="1" t="s">
        <v>21</v>
      </c>
      <c r="U1973" s="1" t="s">
        <v>22</v>
      </c>
      <c r="V1973" s="1" t="s">
        <v>24</v>
      </c>
      <c r="W1973" s="1" t="s">
        <v>24</v>
      </c>
      <c r="X1973" s="1">
        <v>1312</v>
      </c>
      <c r="Y1973" s="1" t="s">
        <v>24</v>
      </c>
      <c r="Z1973" s="1" t="s">
        <v>24</v>
      </c>
      <c r="AA1973" s="1" t="s">
        <v>24</v>
      </c>
      <c r="AB1973" s="1" t="s">
        <v>24</v>
      </c>
      <c r="AC1973" s="1" t="s">
        <v>24</v>
      </c>
      <c r="AD1973" s="1" t="s">
        <v>24</v>
      </c>
      <c r="AE1973" s="1" t="s">
        <v>24</v>
      </c>
      <c r="AF1973" s="22"/>
    </row>
    <row r="1974" spans="1:32" x14ac:dyDescent="0.2">
      <c r="A1974" s="1">
        <v>11145</v>
      </c>
      <c r="B1974" s="1" t="s">
        <v>6311</v>
      </c>
      <c r="C1974" s="5" t="s">
        <v>0</v>
      </c>
      <c r="D1974" s="1" t="s">
        <v>6312</v>
      </c>
      <c r="F1974" s="1" t="s">
        <v>1130</v>
      </c>
      <c r="G1974" s="1" t="s">
        <v>6289</v>
      </c>
      <c r="H1974" s="1" t="s">
        <v>135</v>
      </c>
      <c r="I1974" s="1" t="s">
        <v>16</v>
      </c>
      <c r="J1974" s="1">
        <v>1</v>
      </c>
      <c r="K1974" s="1">
        <v>6</v>
      </c>
      <c r="L1974" s="1" t="s">
        <v>31</v>
      </c>
      <c r="M1974" s="1" t="s">
        <v>1612</v>
      </c>
      <c r="N1974" s="1" t="s">
        <v>18</v>
      </c>
      <c r="O1974" s="1">
        <v>2</v>
      </c>
      <c r="P1974" s="1">
        <v>5</v>
      </c>
      <c r="R1974" s="1" t="s">
        <v>19</v>
      </c>
      <c r="S1974" s="1" t="s">
        <v>20</v>
      </c>
      <c r="T1974" s="1" t="s">
        <v>21</v>
      </c>
      <c r="U1974" s="1" t="s">
        <v>22</v>
      </c>
      <c r="V1974" s="1" t="s">
        <v>24</v>
      </c>
      <c r="W1974" s="1" t="s">
        <v>24</v>
      </c>
      <c r="X1974" s="1">
        <v>3003</v>
      </c>
      <c r="Y1974" s="1" t="s">
        <v>24</v>
      </c>
      <c r="Z1974" s="1" t="s">
        <v>24</v>
      </c>
      <c r="AA1974" s="1" t="s">
        <v>24</v>
      </c>
      <c r="AB1974" s="1" t="s">
        <v>24</v>
      </c>
      <c r="AC1974" s="1" t="s">
        <v>24</v>
      </c>
      <c r="AD1974" s="1" t="s">
        <v>24</v>
      </c>
      <c r="AE1974" s="1" t="s">
        <v>24</v>
      </c>
      <c r="AF1974" s="22"/>
    </row>
    <row r="1975" spans="1:32" x14ac:dyDescent="0.2">
      <c r="A1975" s="1">
        <v>11157</v>
      </c>
      <c r="B1975" s="1" t="s">
        <v>6313</v>
      </c>
      <c r="C1975" s="5" t="s">
        <v>0</v>
      </c>
      <c r="D1975" s="1" t="s">
        <v>6314</v>
      </c>
      <c r="E1975" s="1" t="s">
        <v>6315</v>
      </c>
      <c r="F1975" s="1" t="s">
        <v>155</v>
      </c>
      <c r="G1975" s="1" t="s">
        <v>61</v>
      </c>
      <c r="H1975" s="1" t="s">
        <v>37</v>
      </c>
      <c r="I1975" s="1" t="s">
        <v>16</v>
      </c>
      <c r="J1975" s="1">
        <v>1</v>
      </c>
      <c r="K1975" s="1">
        <v>1</v>
      </c>
      <c r="L1975" s="1" t="s">
        <v>31</v>
      </c>
      <c r="M1975" s="1" t="s">
        <v>18</v>
      </c>
      <c r="N1975" s="1" t="s">
        <v>18</v>
      </c>
      <c r="O1975" s="1">
        <v>3</v>
      </c>
      <c r="P1975" s="1">
        <v>7</v>
      </c>
      <c r="Q1975" s="7" t="s">
        <v>17633</v>
      </c>
      <c r="R1975" s="1" t="s">
        <v>62</v>
      </c>
      <c r="S1975" s="1" t="s">
        <v>63</v>
      </c>
      <c r="T1975" s="1" t="s">
        <v>21</v>
      </c>
      <c r="U1975" s="1" t="s">
        <v>22</v>
      </c>
      <c r="V1975" s="1" t="s">
        <v>24</v>
      </c>
      <c r="W1975" s="1" t="s">
        <v>24</v>
      </c>
      <c r="X1975" s="1">
        <v>1902</v>
      </c>
      <c r="Y1975" s="1">
        <v>2300</v>
      </c>
      <c r="Z1975" s="1" t="s">
        <v>24</v>
      </c>
      <c r="AA1975" s="1" t="s">
        <v>24</v>
      </c>
      <c r="AB1975" s="1" t="s">
        <v>24</v>
      </c>
      <c r="AC1975" s="1" t="s">
        <v>24</v>
      </c>
      <c r="AD1975" s="1" t="s">
        <v>24</v>
      </c>
      <c r="AE1975" s="1" t="s">
        <v>24</v>
      </c>
      <c r="AF1975" s="22"/>
    </row>
    <row r="1976" spans="1:32" x14ac:dyDescent="0.2">
      <c r="A1976" s="1">
        <v>11158</v>
      </c>
      <c r="B1976" s="1" t="s">
        <v>6316</v>
      </c>
      <c r="C1976" s="5" t="s">
        <v>0</v>
      </c>
      <c r="D1976" s="1" t="s">
        <v>6317</v>
      </c>
      <c r="E1976" s="1" t="s">
        <v>6318</v>
      </c>
      <c r="F1976" s="1" t="s">
        <v>291</v>
      </c>
      <c r="G1976" s="1" t="s">
        <v>292</v>
      </c>
      <c r="H1976" s="1" t="s">
        <v>37</v>
      </c>
      <c r="I1976" s="1" t="s">
        <v>16</v>
      </c>
      <c r="J1976" s="1">
        <v>1</v>
      </c>
      <c r="K1976" s="1">
        <v>12</v>
      </c>
      <c r="L1976" s="1" t="s">
        <v>31</v>
      </c>
      <c r="M1976" s="1" t="s">
        <v>18</v>
      </c>
      <c r="N1976" s="1" t="s">
        <v>18</v>
      </c>
      <c r="O1976" s="1">
        <v>0</v>
      </c>
      <c r="P1976" s="1">
        <v>6</v>
      </c>
      <c r="R1976" s="1" t="s">
        <v>19</v>
      </c>
      <c r="S1976" s="1" t="s">
        <v>20</v>
      </c>
      <c r="T1976" s="1" t="s">
        <v>21</v>
      </c>
      <c r="U1976" s="1" t="s">
        <v>22</v>
      </c>
      <c r="V1976" s="1" t="s">
        <v>24</v>
      </c>
      <c r="W1976" s="1" t="s">
        <v>64</v>
      </c>
      <c r="X1976" s="1">
        <v>3002</v>
      </c>
      <c r="Y1976" s="1">
        <v>3004</v>
      </c>
      <c r="Z1976" s="1" t="s">
        <v>24</v>
      </c>
      <c r="AA1976" s="1" t="s">
        <v>24</v>
      </c>
      <c r="AB1976" s="1" t="s">
        <v>24</v>
      </c>
      <c r="AC1976" s="1" t="s">
        <v>24</v>
      </c>
      <c r="AD1976" s="1" t="s">
        <v>24</v>
      </c>
      <c r="AE1976" s="1" t="s">
        <v>24</v>
      </c>
      <c r="AF1976" s="22"/>
    </row>
    <row r="1977" spans="1:32" x14ac:dyDescent="0.2">
      <c r="A1977" s="1">
        <v>11160</v>
      </c>
      <c r="B1977" s="1" t="s">
        <v>6319</v>
      </c>
      <c r="C1977" s="5" t="s">
        <v>0</v>
      </c>
      <c r="D1977" s="1" t="s">
        <v>6320</v>
      </c>
      <c r="F1977" s="1" t="s">
        <v>1130</v>
      </c>
      <c r="G1977" s="1" t="s">
        <v>1130</v>
      </c>
      <c r="H1977" s="1" t="s">
        <v>135</v>
      </c>
      <c r="I1977" s="1" t="s">
        <v>16</v>
      </c>
      <c r="J1977" s="1">
        <v>1</v>
      </c>
      <c r="K1977" s="1">
        <v>4</v>
      </c>
      <c r="L1977" s="1" t="s">
        <v>17</v>
      </c>
      <c r="M1977" s="1" t="s">
        <v>1131</v>
      </c>
      <c r="N1977" s="1" t="s">
        <v>1132</v>
      </c>
      <c r="O1977" s="1">
        <v>3</v>
      </c>
      <c r="P1977" s="1">
        <v>5</v>
      </c>
      <c r="R1977" s="1" t="s">
        <v>19</v>
      </c>
      <c r="S1977" s="1" t="s">
        <v>20</v>
      </c>
      <c r="T1977" s="1" t="s">
        <v>21</v>
      </c>
      <c r="U1977" s="1" t="s">
        <v>22</v>
      </c>
      <c r="V1977" s="1" t="s">
        <v>23</v>
      </c>
      <c r="W1977" s="1" t="s">
        <v>24</v>
      </c>
      <c r="X1977" s="1">
        <v>2741</v>
      </c>
      <c r="Y1977" s="1" t="s">
        <v>24</v>
      </c>
      <c r="Z1977" s="1" t="s">
        <v>24</v>
      </c>
      <c r="AA1977" s="1" t="s">
        <v>24</v>
      </c>
      <c r="AB1977" s="1" t="s">
        <v>24</v>
      </c>
      <c r="AC1977" s="1" t="s">
        <v>24</v>
      </c>
      <c r="AD1977" s="1" t="s">
        <v>24</v>
      </c>
      <c r="AE1977" s="1" t="s">
        <v>24</v>
      </c>
      <c r="AF1977" s="22"/>
    </row>
    <row r="1978" spans="1:32" x14ac:dyDescent="0.2">
      <c r="A1978" s="1">
        <v>11164</v>
      </c>
      <c r="B1978" s="1" t="s">
        <v>6321</v>
      </c>
      <c r="C1978" s="5" t="s">
        <v>0</v>
      </c>
      <c r="D1978" s="1" t="s">
        <v>6322</v>
      </c>
      <c r="E1978" s="1" t="s">
        <v>6323</v>
      </c>
      <c r="F1978" s="1" t="s">
        <v>303</v>
      </c>
      <c r="G1978" s="1" t="s">
        <v>61</v>
      </c>
      <c r="H1978" s="1" t="s">
        <v>30</v>
      </c>
      <c r="I1978" s="1" t="s">
        <v>16</v>
      </c>
      <c r="J1978" s="1">
        <v>1</v>
      </c>
      <c r="K1978" s="1">
        <v>4</v>
      </c>
      <c r="L1978" s="1" t="s">
        <v>31</v>
      </c>
      <c r="M1978" s="1" t="s">
        <v>18</v>
      </c>
      <c r="N1978" s="1" t="s">
        <v>18</v>
      </c>
      <c r="O1978" s="1">
        <v>3</v>
      </c>
      <c r="P1978" s="1">
        <v>7</v>
      </c>
      <c r="Q1978" s="7" t="s">
        <v>17633</v>
      </c>
      <c r="R1978" s="1" t="s">
        <v>19</v>
      </c>
      <c r="S1978" s="1" t="s">
        <v>20</v>
      </c>
      <c r="T1978" s="1" t="s">
        <v>21</v>
      </c>
      <c r="U1978" s="1" t="s">
        <v>22</v>
      </c>
      <c r="V1978" s="1" t="s">
        <v>23</v>
      </c>
      <c r="W1978" s="1" t="s">
        <v>24</v>
      </c>
      <c r="X1978" s="1">
        <v>2728</v>
      </c>
      <c r="Y1978" s="1">
        <v>2746</v>
      </c>
      <c r="Z1978" s="1" t="s">
        <v>24</v>
      </c>
      <c r="AA1978" s="1" t="s">
        <v>24</v>
      </c>
      <c r="AB1978" s="1" t="s">
        <v>24</v>
      </c>
      <c r="AC1978" s="1" t="s">
        <v>24</v>
      </c>
      <c r="AD1978" s="1" t="s">
        <v>24</v>
      </c>
      <c r="AE1978" s="1" t="s">
        <v>24</v>
      </c>
      <c r="AF1978" s="22"/>
    </row>
    <row r="1979" spans="1:32" x14ac:dyDescent="0.2">
      <c r="A1979" s="1">
        <v>11166</v>
      </c>
      <c r="B1979" s="1" t="s">
        <v>6324</v>
      </c>
      <c r="C1979" s="5" t="s">
        <v>0</v>
      </c>
      <c r="D1979" s="1" t="s">
        <v>6325</v>
      </c>
      <c r="E1979" s="1" t="s">
        <v>6326</v>
      </c>
      <c r="F1979" s="1" t="s">
        <v>303</v>
      </c>
      <c r="G1979" s="1" t="s">
        <v>61</v>
      </c>
      <c r="H1979" s="1" t="s">
        <v>30</v>
      </c>
      <c r="I1979" s="1" t="s">
        <v>16</v>
      </c>
      <c r="J1979" s="1">
        <v>1</v>
      </c>
      <c r="K1979" s="1">
        <v>4</v>
      </c>
      <c r="L1979" s="1" t="s">
        <v>31</v>
      </c>
      <c r="M1979" s="1" t="s">
        <v>18</v>
      </c>
      <c r="N1979" s="1" t="s">
        <v>18</v>
      </c>
      <c r="O1979" s="1">
        <v>3</v>
      </c>
      <c r="P1979" s="1">
        <v>7</v>
      </c>
      <c r="Q1979" s="7" t="s">
        <v>17633</v>
      </c>
      <c r="R1979" s="1" t="s">
        <v>19</v>
      </c>
      <c r="S1979" s="1" t="s">
        <v>20</v>
      </c>
      <c r="T1979" s="1" t="s">
        <v>21</v>
      </c>
      <c r="U1979" s="1" t="s">
        <v>22</v>
      </c>
      <c r="V1979" s="1" t="s">
        <v>23</v>
      </c>
      <c r="W1979" s="1" t="s">
        <v>24</v>
      </c>
      <c r="X1979" s="1">
        <v>2742</v>
      </c>
      <c r="Y1979" s="1">
        <v>3612</v>
      </c>
      <c r="Z1979" s="1" t="s">
        <v>24</v>
      </c>
      <c r="AA1979" s="1" t="s">
        <v>24</v>
      </c>
      <c r="AB1979" s="1" t="s">
        <v>24</v>
      </c>
      <c r="AC1979" s="1" t="s">
        <v>24</v>
      </c>
      <c r="AD1979" s="1" t="s">
        <v>24</v>
      </c>
      <c r="AE1979" s="1" t="s">
        <v>24</v>
      </c>
      <c r="AF1979" s="22"/>
    </row>
    <row r="1980" spans="1:32" x14ac:dyDescent="0.2">
      <c r="A1980" s="1">
        <v>11167</v>
      </c>
      <c r="B1980" s="1" t="s">
        <v>6327</v>
      </c>
      <c r="C1980" s="5" t="s">
        <v>0</v>
      </c>
      <c r="D1980" s="1" t="s">
        <v>6328</v>
      </c>
      <c r="E1980" s="1" t="s">
        <v>6329</v>
      </c>
      <c r="F1980" s="1" t="s">
        <v>303</v>
      </c>
      <c r="G1980" s="1" t="s">
        <v>61</v>
      </c>
      <c r="H1980" s="1" t="s">
        <v>30</v>
      </c>
      <c r="I1980" s="1" t="s">
        <v>16</v>
      </c>
      <c r="J1980" s="1">
        <v>1</v>
      </c>
      <c r="K1980" s="1">
        <v>4</v>
      </c>
      <c r="L1980" s="1" t="s">
        <v>31</v>
      </c>
      <c r="M1980" s="1" t="s">
        <v>18</v>
      </c>
      <c r="N1980" s="1" t="s">
        <v>18</v>
      </c>
      <c r="O1980" s="1">
        <v>3</v>
      </c>
      <c r="P1980" s="1">
        <v>7</v>
      </c>
      <c r="Q1980" s="7" t="s">
        <v>17633</v>
      </c>
      <c r="R1980" s="1" t="s">
        <v>19</v>
      </c>
      <c r="S1980" s="1" t="s">
        <v>20</v>
      </c>
      <c r="T1980" s="1" t="s">
        <v>21</v>
      </c>
      <c r="U1980" s="1" t="s">
        <v>22</v>
      </c>
      <c r="V1980" s="1" t="s">
        <v>24</v>
      </c>
      <c r="W1980" s="1" t="s">
        <v>24</v>
      </c>
      <c r="X1980" s="1">
        <v>2738</v>
      </c>
      <c r="Y1980" s="1">
        <v>2735</v>
      </c>
      <c r="Z1980" s="1" t="s">
        <v>24</v>
      </c>
      <c r="AA1980" s="1" t="s">
        <v>24</v>
      </c>
      <c r="AB1980" s="1" t="s">
        <v>24</v>
      </c>
      <c r="AC1980" s="1" t="s">
        <v>24</v>
      </c>
      <c r="AD1980" s="1" t="s">
        <v>24</v>
      </c>
      <c r="AE1980" s="1" t="s">
        <v>24</v>
      </c>
      <c r="AF1980" s="22"/>
    </row>
    <row r="1981" spans="1:32" x14ac:dyDescent="0.2">
      <c r="A1981" s="1">
        <v>11172</v>
      </c>
      <c r="B1981" s="1" t="s">
        <v>6330</v>
      </c>
      <c r="C1981" s="5" t="s">
        <v>0</v>
      </c>
      <c r="D1981" s="1" t="s">
        <v>6331</v>
      </c>
      <c r="E1981" s="1" t="s">
        <v>6332</v>
      </c>
      <c r="F1981" s="1" t="s">
        <v>6333</v>
      </c>
      <c r="G1981" s="1" t="s">
        <v>6333</v>
      </c>
      <c r="H1981" s="1" t="s">
        <v>30</v>
      </c>
      <c r="I1981" s="1" t="s">
        <v>16</v>
      </c>
      <c r="J1981" s="1">
        <v>1</v>
      </c>
      <c r="K1981" s="1">
        <v>4</v>
      </c>
      <c r="L1981" s="1" t="s">
        <v>42</v>
      </c>
      <c r="M1981" s="1" t="s">
        <v>18</v>
      </c>
      <c r="N1981" s="1" t="s">
        <v>18</v>
      </c>
      <c r="O1981" s="1">
        <v>2</v>
      </c>
      <c r="P1981" s="1">
        <v>6</v>
      </c>
      <c r="R1981" s="1" t="s">
        <v>19</v>
      </c>
      <c r="S1981" s="1" t="s">
        <v>20</v>
      </c>
      <c r="T1981" s="1" t="s">
        <v>21</v>
      </c>
      <c r="U1981" s="1" t="s">
        <v>22</v>
      </c>
      <c r="V1981" s="1" t="s">
        <v>23</v>
      </c>
      <c r="W1981" s="1" t="s">
        <v>24</v>
      </c>
      <c r="X1981" s="1">
        <v>2730</v>
      </c>
      <c r="Y1981" s="1">
        <v>2720</v>
      </c>
      <c r="Z1981" s="1" t="s">
        <v>24</v>
      </c>
      <c r="AA1981" s="1" t="s">
        <v>24</v>
      </c>
      <c r="AB1981" s="1" t="s">
        <v>24</v>
      </c>
      <c r="AC1981" s="1" t="s">
        <v>24</v>
      </c>
      <c r="AD1981" s="1" t="s">
        <v>24</v>
      </c>
      <c r="AE1981" s="1" t="s">
        <v>24</v>
      </c>
      <c r="AF1981" s="22"/>
    </row>
    <row r="1982" spans="1:32" x14ac:dyDescent="0.2">
      <c r="A1982" s="1">
        <v>11177</v>
      </c>
      <c r="B1982" s="1" t="s">
        <v>6334</v>
      </c>
      <c r="C1982" s="5" t="s">
        <v>0</v>
      </c>
      <c r="D1982" s="1" t="s">
        <v>6335</v>
      </c>
      <c r="E1982" s="1" t="s">
        <v>6336</v>
      </c>
      <c r="F1982" s="1" t="s">
        <v>6337</v>
      </c>
      <c r="G1982" s="1" t="s">
        <v>6338</v>
      </c>
      <c r="H1982" s="1" t="s">
        <v>30</v>
      </c>
      <c r="I1982" s="1" t="s">
        <v>16</v>
      </c>
      <c r="J1982" s="1">
        <v>1</v>
      </c>
      <c r="K1982" s="1">
        <v>6</v>
      </c>
      <c r="L1982" s="1" t="s">
        <v>42</v>
      </c>
      <c r="M1982" s="1" t="s">
        <v>18</v>
      </c>
      <c r="N1982" s="1" t="s">
        <v>18</v>
      </c>
      <c r="O1982" s="1">
        <v>3</v>
      </c>
      <c r="P1982" s="1">
        <v>6</v>
      </c>
      <c r="R1982" s="1" t="s">
        <v>19</v>
      </c>
      <c r="S1982" s="1" t="s">
        <v>20</v>
      </c>
      <c r="T1982" s="1" t="s">
        <v>21</v>
      </c>
      <c r="U1982" s="1" t="s">
        <v>22</v>
      </c>
      <c r="V1982" s="1" t="s">
        <v>24</v>
      </c>
      <c r="W1982" s="1" t="s">
        <v>24</v>
      </c>
      <c r="X1982" s="1">
        <v>3003</v>
      </c>
      <c r="Y1982" s="1" t="s">
        <v>24</v>
      </c>
      <c r="Z1982" s="1" t="s">
        <v>24</v>
      </c>
      <c r="AA1982" s="1" t="s">
        <v>24</v>
      </c>
      <c r="AB1982" s="1" t="s">
        <v>24</v>
      </c>
      <c r="AC1982" s="1" t="s">
        <v>24</v>
      </c>
      <c r="AD1982" s="1" t="s">
        <v>24</v>
      </c>
      <c r="AE1982" s="1" t="s">
        <v>24</v>
      </c>
      <c r="AF1982" s="22"/>
    </row>
    <row r="1983" spans="1:32" x14ac:dyDescent="0.2">
      <c r="A1983" s="1">
        <v>11179</v>
      </c>
      <c r="B1983" s="1" t="s">
        <v>6339</v>
      </c>
      <c r="C1983" s="5" t="s">
        <v>0</v>
      </c>
      <c r="D1983" s="1" t="s">
        <v>6340</v>
      </c>
      <c r="E1983" s="1" t="s">
        <v>6341</v>
      </c>
      <c r="F1983" s="1" t="s">
        <v>91</v>
      </c>
      <c r="G1983" s="1" t="s">
        <v>61</v>
      </c>
      <c r="H1983" s="1" t="s">
        <v>92</v>
      </c>
      <c r="I1983" s="1" t="s">
        <v>16</v>
      </c>
      <c r="J1983" s="1">
        <v>1</v>
      </c>
      <c r="K1983" s="1">
        <v>4</v>
      </c>
      <c r="L1983" s="1" t="s">
        <v>31</v>
      </c>
      <c r="M1983" s="1" t="s">
        <v>18</v>
      </c>
      <c r="N1983" s="1" t="s">
        <v>18</v>
      </c>
      <c r="O1983" s="1">
        <v>3</v>
      </c>
      <c r="P1983" s="1">
        <v>7</v>
      </c>
      <c r="Q1983" s="7" t="s">
        <v>17633</v>
      </c>
      <c r="R1983" s="1" t="s">
        <v>19</v>
      </c>
      <c r="S1983" s="1" t="s">
        <v>20</v>
      </c>
      <c r="T1983" s="1" t="s">
        <v>21</v>
      </c>
      <c r="U1983" s="1" t="s">
        <v>22</v>
      </c>
      <c r="V1983" s="1" t="s">
        <v>24</v>
      </c>
      <c r="W1983" s="1" t="s">
        <v>24</v>
      </c>
      <c r="X1983" s="1">
        <v>2734</v>
      </c>
      <c r="Y1983" s="1">
        <v>2737</v>
      </c>
      <c r="Z1983" s="1" t="s">
        <v>24</v>
      </c>
      <c r="AA1983" s="1" t="s">
        <v>24</v>
      </c>
      <c r="AB1983" s="1" t="s">
        <v>24</v>
      </c>
      <c r="AC1983" s="1" t="s">
        <v>24</v>
      </c>
      <c r="AD1983" s="1" t="s">
        <v>24</v>
      </c>
      <c r="AE1983" s="1" t="s">
        <v>24</v>
      </c>
      <c r="AF1983" s="22"/>
    </row>
    <row r="1984" spans="1:32" x14ac:dyDescent="0.2">
      <c r="A1984" s="1">
        <v>11185</v>
      </c>
      <c r="B1984" s="1" t="s">
        <v>6342</v>
      </c>
      <c r="C1984" s="5" t="s">
        <v>0</v>
      </c>
      <c r="D1984" s="1" t="s">
        <v>6343</v>
      </c>
      <c r="E1984" s="1" t="s">
        <v>6344</v>
      </c>
      <c r="F1984" s="1" t="s">
        <v>291</v>
      </c>
      <c r="G1984" s="1" t="s">
        <v>292</v>
      </c>
      <c r="H1984" s="1" t="s">
        <v>37</v>
      </c>
      <c r="I1984" s="1" t="s">
        <v>16</v>
      </c>
      <c r="J1984" s="1">
        <v>1</v>
      </c>
      <c r="K1984" s="1">
        <v>6</v>
      </c>
      <c r="L1984" s="1" t="s">
        <v>31</v>
      </c>
      <c r="M1984" s="1" t="s">
        <v>18</v>
      </c>
      <c r="N1984" s="1" t="s">
        <v>18</v>
      </c>
      <c r="O1984" s="1">
        <v>3</v>
      </c>
      <c r="P1984" s="1">
        <v>7</v>
      </c>
      <c r="Q1984" s="7" t="s">
        <v>17633</v>
      </c>
      <c r="R1984" s="1" t="s">
        <v>19</v>
      </c>
      <c r="S1984" s="1" t="s">
        <v>20</v>
      </c>
      <c r="T1984" s="1" t="s">
        <v>21</v>
      </c>
      <c r="U1984" s="1" t="s">
        <v>22</v>
      </c>
      <c r="V1984" s="1" t="s">
        <v>24</v>
      </c>
      <c r="W1984" s="1" t="s">
        <v>24</v>
      </c>
      <c r="X1984" s="1">
        <v>3003</v>
      </c>
      <c r="Y1984" s="1" t="s">
        <v>24</v>
      </c>
      <c r="Z1984" s="1" t="s">
        <v>24</v>
      </c>
      <c r="AA1984" s="1" t="s">
        <v>24</v>
      </c>
      <c r="AB1984" s="1" t="s">
        <v>24</v>
      </c>
      <c r="AC1984" s="1" t="s">
        <v>24</v>
      </c>
      <c r="AD1984" s="1" t="s">
        <v>24</v>
      </c>
      <c r="AE1984" s="1" t="s">
        <v>24</v>
      </c>
      <c r="AF1984" s="22"/>
    </row>
    <row r="1985" spans="1:32" x14ac:dyDescent="0.2">
      <c r="A1985" s="1">
        <v>11187</v>
      </c>
      <c r="B1985" s="1" t="s">
        <v>6345</v>
      </c>
      <c r="C1985" s="5" t="s">
        <v>0</v>
      </c>
      <c r="D1985" s="1" t="s">
        <v>6346</v>
      </c>
      <c r="E1985" s="1" t="s">
        <v>6347</v>
      </c>
      <c r="F1985" s="1" t="s">
        <v>6348</v>
      </c>
      <c r="G1985" s="1" t="s">
        <v>357</v>
      </c>
      <c r="H1985" s="1" t="s">
        <v>30</v>
      </c>
      <c r="I1985" s="1" t="s">
        <v>16</v>
      </c>
      <c r="J1985" s="1">
        <v>1</v>
      </c>
      <c r="K1985" s="1">
        <v>4</v>
      </c>
      <c r="L1985" s="1" t="s">
        <v>31</v>
      </c>
      <c r="M1985" s="1" t="s">
        <v>18</v>
      </c>
      <c r="N1985" s="1" t="s">
        <v>18</v>
      </c>
      <c r="O1985" s="1">
        <v>3</v>
      </c>
      <c r="P1985" s="1">
        <v>6</v>
      </c>
      <c r="R1985" s="1" t="s">
        <v>19</v>
      </c>
      <c r="S1985" s="1" t="s">
        <v>20</v>
      </c>
      <c r="T1985" s="1" t="s">
        <v>21</v>
      </c>
      <c r="U1985" s="1" t="s">
        <v>22</v>
      </c>
      <c r="V1985" s="1" t="s">
        <v>23</v>
      </c>
      <c r="W1985" s="1" t="s">
        <v>24</v>
      </c>
      <c r="X1985" s="1">
        <v>2738</v>
      </c>
      <c r="Y1985" s="1">
        <v>3203</v>
      </c>
      <c r="Z1985" s="1">
        <v>2701</v>
      </c>
      <c r="AA1985" s="1" t="s">
        <v>24</v>
      </c>
      <c r="AB1985" s="1" t="s">
        <v>24</v>
      </c>
      <c r="AC1985" s="1" t="s">
        <v>24</v>
      </c>
      <c r="AD1985" s="1" t="s">
        <v>24</v>
      </c>
      <c r="AE1985" s="1" t="s">
        <v>24</v>
      </c>
      <c r="AF1985" s="22"/>
    </row>
    <row r="1986" spans="1:32" x14ac:dyDescent="0.2">
      <c r="A1986" s="1">
        <v>11188</v>
      </c>
      <c r="B1986" s="1" t="s">
        <v>6349</v>
      </c>
      <c r="C1986" s="5" t="s">
        <v>0</v>
      </c>
      <c r="D1986" s="1" t="s">
        <v>6350</v>
      </c>
      <c r="E1986" s="1" t="s">
        <v>6351</v>
      </c>
      <c r="F1986" s="1" t="s">
        <v>356</v>
      </c>
      <c r="G1986" s="1" t="s">
        <v>357</v>
      </c>
      <c r="H1986" s="1" t="s">
        <v>30</v>
      </c>
      <c r="I1986" s="1" t="s">
        <v>16</v>
      </c>
      <c r="J1986" s="1">
        <v>1</v>
      </c>
      <c r="K1986" s="1">
        <v>4</v>
      </c>
      <c r="L1986" s="1" t="s">
        <v>31</v>
      </c>
      <c r="M1986" s="1" t="s">
        <v>18</v>
      </c>
      <c r="N1986" s="1" t="s">
        <v>18</v>
      </c>
      <c r="O1986" s="1">
        <v>3</v>
      </c>
      <c r="P1986" s="1">
        <v>6</v>
      </c>
      <c r="R1986" s="1" t="s">
        <v>19</v>
      </c>
      <c r="S1986" s="1" t="s">
        <v>20</v>
      </c>
      <c r="T1986" s="1" t="s">
        <v>21</v>
      </c>
      <c r="U1986" s="1" t="s">
        <v>22</v>
      </c>
      <c r="V1986" s="1" t="s">
        <v>24</v>
      </c>
      <c r="W1986" s="1" t="s">
        <v>24</v>
      </c>
      <c r="X1986" s="1">
        <v>2738</v>
      </c>
      <c r="Y1986" s="1">
        <v>3203</v>
      </c>
      <c r="Z1986" s="1" t="s">
        <v>24</v>
      </c>
      <c r="AA1986" s="1" t="s">
        <v>24</v>
      </c>
      <c r="AB1986" s="1" t="s">
        <v>24</v>
      </c>
      <c r="AC1986" s="1" t="s">
        <v>24</v>
      </c>
      <c r="AD1986" s="1" t="s">
        <v>24</v>
      </c>
      <c r="AE1986" s="1" t="s">
        <v>24</v>
      </c>
      <c r="AF1986" s="22"/>
    </row>
    <row r="1987" spans="1:32" x14ac:dyDescent="0.2">
      <c r="A1987" s="1">
        <v>11189</v>
      </c>
      <c r="B1987" s="1" t="s">
        <v>6352</v>
      </c>
      <c r="C1987" s="5" t="s">
        <v>0</v>
      </c>
      <c r="D1987" s="1" t="s">
        <v>6353</v>
      </c>
      <c r="E1987" s="1" t="s">
        <v>6354</v>
      </c>
      <c r="F1987" s="1" t="s">
        <v>356</v>
      </c>
      <c r="G1987" s="1" t="s">
        <v>357</v>
      </c>
      <c r="H1987" s="1" t="s">
        <v>30</v>
      </c>
      <c r="I1987" s="1" t="s">
        <v>16</v>
      </c>
      <c r="J1987" s="1">
        <v>1</v>
      </c>
      <c r="K1987" s="1">
        <v>4</v>
      </c>
      <c r="L1987" s="1" t="s">
        <v>31</v>
      </c>
      <c r="M1987" s="1" t="s">
        <v>18</v>
      </c>
      <c r="N1987" s="1" t="s">
        <v>18</v>
      </c>
      <c r="O1987" s="1">
        <v>3</v>
      </c>
      <c r="P1987" s="1">
        <v>6</v>
      </c>
      <c r="R1987" s="1" t="s">
        <v>19</v>
      </c>
      <c r="S1987" s="1" t="s">
        <v>20</v>
      </c>
      <c r="T1987" s="1" t="s">
        <v>21</v>
      </c>
      <c r="U1987" s="1" t="s">
        <v>22</v>
      </c>
      <c r="V1987" s="1" t="s">
        <v>23</v>
      </c>
      <c r="W1987" s="1" t="s">
        <v>24</v>
      </c>
      <c r="X1987" s="1">
        <v>1302</v>
      </c>
      <c r="Y1987" s="1">
        <v>2717</v>
      </c>
      <c r="Z1987" s="1">
        <v>3207</v>
      </c>
      <c r="AA1987" s="1" t="s">
        <v>24</v>
      </c>
      <c r="AB1987" s="1" t="s">
        <v>24</v>
      </c>
      <c r="AC1987" s="1" t="s">
        <v>24</v>
      </c>
      <c r="AD1987" s="1" t="s">
        <v>24</v>
      </c>
      <c r="AE1987" s="1" t="s">
        <v>24</v>
      </c>
      <c r="AF1987" s="22"/>
    </row>
    <row r="1988" spans="1:32" x14ac:dyDescent="0.2">
      <c r="A1988" s="1">
        <v>11196</v>
      </c>
      <c r="B1988" s="1" t="s">
        <v>6355</v>
      </c>
      <c r="C1988" s="5" t="s">
        <v>0</v>
      </c>
      <c r="D1988" s="1" t="s">
        <v>6356</v>
      </c>
      <c r="E1988" s="1" t="s">
        <v>6357</v>
      </c>
      <c r="F1988" s="1" t="s">
        <v>291</v>
      </c>
      <c r="G1988" s="1" t="s">
        <v>292</v>
      </c>
      <c r="H1988" s="1" t="s">
        <v>37</v>
      </c>
      <c r="I1988" s="1" t="s">
        <v>16</v>
      </c>
      <c r="J1988" s="1">
        <v>1</v>
      </c>
      <c r="K1988" s="1">
        <v>6</v>
      </c>
      <c r="L1988" s="1" t="s">
        <v>31</v>
      </c>
      <c r="M1988" s="1" t="s">
        <v>18</v>
      </c>
      <c r="N1988" s="1" t="s">
        <v>18</v>
      </c>
      <c r="O1988" s="1">
        <v>3</v>
      </c>
      <c r="P1988" s="1">
        <v>7</v>
      </c>
      <c r="Q1988" s="7" t="s">
        <v>17633</v>
      </c>
      <c r="R1988" s="1" t="s">
        <v>62</v>
      </c>
      <c r="S1988" s="1" t="s">
        <v>20</v>
      </c>
      <c r="T1988" s="1" t="s">
        <v>21</v>
      </c>
      <c r="U1988" s="1" t="s">
        <v>22</v>
      </c>
      <c r="V1988" s="1" t="s">
        <v>24</v>
      </c>
      <c r="W1988" s="1" t="s">
        <v>24</v>
      </c>
      <c r="X1988" s="1">
        <v>1307</v>
      </c>
      <c r="Y1988" s="1">
        <v>1312</v>
      </c>
      <c r="Z1988" s="1" t="s">
        <v>24</v>
      </c>
      <c r="AA1988" s="1" t="s">
        <v>24</v>
      </c>
      <c r="AB1988" s="1" t="s">
        <v>24</v>
      </c>
      <c r="AC1988" s="1" t="s">
        <v>24</v>
      </c>
      <c r="AD1988" s="1" t="s">
        <v>24</v>
      </c>
      <c r="AE1988" s="1" t="s">
        <v>24</v>
      </c>
      <c r="AF1988" s="22"/>
    </row>
    <row r="1989" spans="1:32" x14ac:dyDescent="0.2">
      <c r="A1989" s="1">
        <v>11202</v>
      </c>
      <c r="B1989" s="1" t="s">
        <v>6358</v>
      </c>
      <c r="C1989" s="5" t="s">
        <v>0</v>
      </c>
      <c r="D1989" s="1" t="s">
        <v>6359</v>
      </c>
      <c r="E1989" s="1" t="s">
        <v>6360</v>
      </c>
      <c r="F1989" s="1" t="s">
        <v>940</v>
      </c>
      <c r="G1989" s="1" t="s">
        <v>130</v>
      </c>
      <c r="H1989" s="1" t="s">
        <v>30</v>
      </c>
      <c r="I1989" s="1" t="s">
        <v>16</v>
      </c>
      <c r="J1989" s="1">
        <v>2</v>
      </c>
      <c r="K1989" s="1">
        <v>3</v>
      </c>
      <c r="L1989" s="1" t="s">
        <v>31</v>
      </c>
      <c r="M1989" s="1" t="s">
        <v>18</v>
      </c>
      <c r="N1989" s="1" t="s">
        <v>18</v>
      </c>
      <c r="O1989" s="1">
        <v>3</v>
      </c>
      <c r="P1989" s="1">
        <v>7</v>
      </c>
      <c r="Q1989" s="7" t="s">
        <v>17633</v>
      </c>
      <c r="R1989" s="1" t="s">
        <v>19</v>
      </c>
      <c r="S1989" s="1" t="s">
        <v>20</v>
      </c>
      <c r="T1989" s="1" t="s">
        <v>21</v>
      </c>
      <c r="U1989" s="1" t="s">
        <v>22</v>
      </c>
      <c r="V1989" s="1" t="s">
        <v>24</v>
      </c>
      <c r="W1989" s="1" t="s">
        <v>24</v>
      </c>
      <c r="X1989" s="1">
        <v>1310</v>
      </c>
      <c r="Y1989" s="1">
        <v>2712</v>
      </c>
      <c r="Z1989" s="1" t="s">
        <v>24</v>
      </c>
      <c r="AA1989" s="1" t="s">
        <v>24</v>
      </c>
      <c r="AB1989" s="1" t="s">
        <v>24</v>
      </c>
      <c r="AC1989" s="1" t="s">
        <v>24</v>
      </c>
      <c r="AD1989" s="1" t="s">
        <v>24</v>
      </c>
      <c r="AE1989" s="1" t="s">
        <v>24</v>
      </c>
      <c r="AF1989" s="22"/>
    </row>
    <row r="1990" spans="1:32" x14ac:dyDescent="0.2">
      <c r="A1990" s="1">
        <v>11204</v>
      </c>
      <c r="B1990" s="1" t="s">
        <v>6361</v>
      </c>
      <c r="C1990" s="5" t="s">
        <v>0</v>
      </c>
      <c r="D1990" s="1" t="s">
        <v>6362</v>
      </c>
      <c r="F1990" s="1" t="s">
        <v>6363</v>
      </c>
      <c r="G1990" s="1" t="s">
        <v>6363</v>
      </c>
      <c r="H1990" s="1" t="s">
        <v>264</v>
      </c>
      <c r="I1990" s="1" t="s">
        <v>16</v>
      </c>
      <c r="J1990" s="1">
        <v>1</v>
      </c>
      <c r="K1990" s="1">
        <v>6</v>
      </c>
      <c r="L1990" s="1" t="s">
        <v>42</v>
      </c>
      <c r="M1990" s="1" t="s">
        <v>18</v>
      </c>
      <c r="N1990" s="1" t="s">
        <v>18</v>
      </c>
      <c r="O1990" s="1">
        <v>3</v>
      </c>
      <c r="P1990" s="1">
        <v>6</v>
      </c>
      <c r="R1990" s="1" t="s">
        <v>19</v>
      </c>
      <c r="S1990" s="1" t="s">
        <v>20</v>
      </c>
      <c r="T1990" s="1" t="s">
        <v>21</v>
      </c>
      <c r="U1990" s="1" t="s">
        <v>22</v>
      </c>
      <c r="V1990" s="1" t="s">
        <v>24</v>
      </c>
      <c r="W1990" s="1" t="s">
        <v>24</v>
      </c>
      <c r="X1990" s="1">
        <v>2736</v>
      </c>
      <c r="Y1990" s="1" t="s">
        <v>24</v>
      </c>
      <c r="Z1990" s="1" t="s">
        <v>24</v>
      </c>
      <c r="AA1990" s="1" t="s">
        <v>24</v>
      </c>
      <c r="AB1990" s="1" t="s">
        <v>24</v>
      </c>
      <c r="AC1990" s="1" t="s">
        <v>24</v>
      </c>
      <c r="AD1990" s="1" t="s">
        <v>24</v>
      </c>
      <c r="AE1990" s="1" t="s">
        <v>24</v>
      </c>
      <c r="AF1990" s="22"/>
    </row>
    <row r="1991" spans="1:32" x14ac:dyDescent="0.2">
      <c r="A1991" s="1">
        <v>11205</v>
      </c>
      <c r="B1991" s="1" t="s">
        <v>6364</v>
      </c>
      <c r="C1991" s="5" t="s">
        <v>0</v>
      </c>
      <c r="D1991" s="1" t="s">
        <v>6365</v>
      </c>
      <c r="F1991" s="1" t="s">
        <v>6366</v>
      </c>
      <c r="G1991" s="1" t="s">
        <v>6366</v>
      </c>
      <c r="H1991" s="1" t="s">
        <v>899</v>
      </c>
      <c r="I1991" s="1" t="s">
        <v>16</v>
      </c>
      <c r="J1991" s="1">
        <v>1</v>
      </c>
      <c r="K1991" s="1">
        <v>12</v>
      </c>
      <c r="L1991" s="1" t="s">
        <v>42</v>
      </c>
      <c r="M1991" s="1" t="s">
        <v>18</v>
      </c>
      <c r="N1991" s="1" t="s">
        <v>18</v>
      </c>
      <c r="O1991" s="1">
        <v>3</v>
      </c>
      <c r="P1991" s="1">
        <v>6</v>
      </c>
      <c r="R1991" s="1" t="s">
        <v>19</v>
      </c>
      <c r="S1991" s="1" t="s">
        <v>20</v>
      </c>
      <c r="T1991" s="1" t="s">
        <v>21</v>
      </c>
      <c r="U1991" s="1" t="s">
        <v>22</v>
      </c>
      <c r="V1991" s="1" t="s">
        <v>24</v>
      </c>
      <c r="W1991" s="1" t="s">
        <v>24</v>
      </c>
      <c r="X1991" s="1">
        <v>1300</v>
      </c>
      <c r="Y1991" s="1">
        <v>2700</v>
      </c>
      <c r="Z1991" s="1" t="s">
        <v>24</v>
      </c>
      <c r="AA1991" s="1" t="s">
        <v>24</v>
      </c>
      <c r="AB1991" s="1" t="s">
        <v>24</v>
      </c>
      <c r="AC1991" s="1" t="s">
        <v>24</v>
      </c>
      <c r="AD1991" s="1" t="s">
        <v>24</v>
      </c>
      <c r="AE1991" s="1" t="s">
        <v>24</v>
      </c>
      <c r="AF1991" s="22"/>
    </row>
    <row r="1992" spans="1:32" x14ac:dyDescent="0.2">
      <c r="A1992" s="1">
        <v>11218</v>
      </c>
      <c r="B1992" s="1" t="s">
        <v>6367</v>
      </c>
      <c r="C1992" s="5" t="s">
        <v>0</v>
      </c>
      <c r="D1992" s="1" t="s">
        <v>6368</v>
      </c>
      <c r="E1992" s="1" t="s">
        <v>6369</v>
      </c>
      <c r="F1992" s="1" t="s">
        <v>155</v>
      </c>
      <c r="G1992" s="1" t="s">
        <v>61</v>
      </c>
      <c r="H1992" s="1" t="s">
        <v>37</v>
      </c>
      <c r="I1992" s="1" t="s">
        <v>16</v>
      </c>
      <c r="J1992" s="1">
        <v>1</v>
      </c>
      <c r="K1992" s="1">
        <v>10</v>
      </c>
      <c r="L1992" s="1" t="s">
        <v>31</v>
      </c>
      <c r="M1992" s="1" t="s">
        <v>18</v>
      </c>
      <c r="N1992" s="1" t="s">
        <v>18</v>
      </c>
      <c r="O1992" s="1">
        <v>3</v>
      </c>
      <c r="P1992" s="1">
        <v>7</v>
      </c>
      <c r="Q1992" s="7" t="s">
        <v>17633</v>
      </c>
      <c r="R1992" s="1" t="s">
        <v>19</v>
      </c>
      <c r="S1992" s="1" t="s">
        <v>63</v>
      </c>
      <c r="T1992" s="1" t="s">
        <v>21</v>
      </c>
      <c r="U1992" s="1" t="s">
        <v>22</v>
      </c>
      <c r="V1992" s="1" t="s">
        <v>24</v>
      </c>
      <c r="W1992" s="1" t="s">
        <v>24</v>
      </c>
      <c r="X1992" s="1">
        <v>1702</v>
      </c>
      <c r="Y1992" s="1">
        <v>2805</v>
      </c>
      <c r="Z1992" s="1" t="s">
        <v>24</v>
      </c>
      <c r="AA1992" s="1" t="s">
        <v>24</v>
      </c>
      <c r="AB1992" s="1" t="s">
        <v>24</v>
      </c>
      <c r="AC1992" s="1" t="s">
        <v>24</v>
      </c>
      <c r="AD1992" s="1" t="s">
        <v>24</v>
      </c>
      <c r="AE1992" s="1" t="s">
        <v>24</v>
      </c>
      <c r="AF1992" s="22"/>
    </row>
    <row r="1993" spans="1:32" x14ac:dyDescent="0.2">
      <c r="A1993" s="1">
        <v>11220</v>
      </c>
      <c r="B1993" s="1" t="s">
        <v>6370</v>
      </c>
      <c r="C1993" s="5" t="s">
        <v>0</v>
      </c>
      <c r="D1993" s="1" t="s">
        <v>6371</v>
      </c>
      <c r="E1993" s="1" t="s">
        <v>6372</v>
      </c>
      <c r="F1993" s="1" t="s">
        <v>28</v>
      </c>
      <c r="G1993" s="1" t="s">
        <v>29</v>
      </c>
      <c r="H1993" s="1" t="s">
        <v>37</v>
      </c>
      <c r="I1993" s="1" t="s">
        <v>16</v>
      </c>
      <c r="J1993" s="1">
        <v>1</v>
      </c>
      <c r="K1993" s="1">
        <v>6</v>
      </c>
      <c r="L1993" s="1" t="s">
        <v>31</v>
      </c>
      <c r="M1993" s="1" t="s">
        <v>18</v>
      </c>
      <c r="N1993" s="1" t="s">
        <v>18</v>
      </c>
      <c r="O1993" s="1">
        <v>3</v>
      </c>
      <c r="P1993" s="1">
        <v>7</v>
      </c>
      <c r="Q1993" s="7" t="s">
        <v>17633</v>
      </c>
      <c r="R1993" s="1" t="s">
        <v>62</v>
      </c>
      <c r="S1993" s="1" t="s">
        <v>20</v>
      </c>
      <c r="T1993" s="1" t="s">
        <v>21</v>
      </c>
      <c r="U1993" s="1" t="s">
        <v>22</v>
      </c>
      <c r="V1993" s="1" t="s">
        <v>23</v>
      </c>
      <c r="W1993" s="1" t="s">
        <v>24</v>
      </c>
      <c r="X1993" s="1">
        <v>2727</v>
      </c>
      <c r="Y1993" s="1">
        <v>2724</v>
      </c>
      <c r="Z1993" s="1" t="s">
        <v>24</v>
      </c>
      <c r="AA1993" s="1" t="s">
        <v>24</v>
      </c>
      <c r="AB1993" s="1" t="s">
        <v>24</v>
      </c>
      <c r="AC1993" s="1" t="s">
        <v>24</v>
      </c>
      <c r="AD1993" s="1" t="s">
        <v>24</v>
      </c>
      <c r="AE1993" s="1" t="s">
        <v>24</v>
      </c>
      <c r="AF1993" s="22"/>
    </row>
    <row r="1994" spans="1:32" x14ac:dyDescent="0.2">
      <c r="A1994" s="1">
        <v>11221</v>
      </c>
      <c r="B1994" s="1" t="s">
        <v>6373</v>
      </c>
      <c r="C1994" s="5" t="s">
        <v>0</v>
      </c>
      <c r="D1994" s="1" t="s">
        <v>6374</v>
      </c>
      <c r="E1994" s="1" t="s">
        <v>6375</v>
      </c>
      <c r="F1994" s="1" t="s">
        <v>324</v>
      </c>
      <c r="G1994" s="1" t="s">
        <v>61</v>
      </c>
      <c r="H1994" s="1" t="s">
        <v>30</v>
      </c>
      <c r="I1994" s="1" t="s">
        <v>16</v>
      </c>
      <c r="J1994" s="1">
        <v>2</v>
      </c>
      <c r="K1994" s="1">
        <v>6</v>
      </c>
      <c r="L1994" s="1" t="s">
        <v>31</v>
      </c>
      <c r="M1994" s="1" t="s">
        <v>18</v>
      </c>
      <c r="N1994" s="1" t="s">
        <v>18</v>
      </c>
      <c r="O1994" s="1">
        <v>3</v>
      </c>
      <c r="P1994" s="1">
        <v>7</v>
      </c>
      <c r="Q1994" s="7" t="s">
        <v>17633</v>
      </c>
      <c r="R1994" s="1" t="s">
        <v>62</v>
      </c>
      <c r="S1994" s="1" t="s">
        <v>20</v>
      </c>
      <c r="T1994" s="1" t="s">
        <v>21</v>
      </c>
      <c r="U1994" s="1" t="s">
        <v>22</v>
      </c>
      <c r="V1994" s="1" t="s">
        <v>24</v>
      </c>
      <c r="W1994" s="1" t="s">
        <v>24</v>
      </c>
      <c r="X1994" s="1">
        <v>2723</v>
      </c>
      <c r="Y1994" s="1">
        <v>2725</v>
      </c>
      <c r="Z1994" s="1">
        <v>2403</v>
      </c>
      <c r="AA1994" s="1" t="s">
        <v>24</v>
      </c>
      <c r="AB1994" s="1" t="s">
        <v>24</v>
      </c>
      <c r="AC1994" s="1" t="s">
        <v>24</v>
      </c>
      <c r="AD1994" s="1" t="s">
        <v>24</v>
      </c>
      <c r="AE1994" s="1" t="s">
        <v>24</v>
      </c>
      <c r="AF1994" s="22"/>
    </row>
    <row r="1995" spans="1:32" x14ac:dyDescent="0.2">
      <c r="A1995" s="1">
        <v>11224</v>
      </c>
      <c r="B1995" s="1" t="s">
        <v>6376</v>
      </c>
      <c r="C1995" s="5" t="s">
        <v>0</v>
      </c>
      <c r="D1995" s="1" t="s">
        <v>6377</v>
      </c>
      <c r="F1995" s="1" t="s">
        <v>221</v>
      </c>
      <c r="G1995" s="1" t="s">
        <v>61</v>
      </c>
      <c r="H1995" s="1" t="s">
        <v>222</v>
      </c>
      <c r="I1995" s="1" t="s">
        <v>16</v>
      </c>
      <c r="J1995" s="1">
        <v>1</v>
      </c>
      <c r="K1995" s="1">
        <v>4</v>
      </c>
      <c r="L1995" s="1" t="s">
        <v>31</v>
      </c>
      <c r="M1995" s="1" t="s">
        <v>18</v>
      </c>
      <c r="N1995" s="1" t="s">
        <v>18</v>
      </c>
      <c r="O1995" s="1">
        <v>3</v>
      </c>
      <c r="P1995" s="1">
        <v>7</v>
      </c>
      <c r="Q1995" s="7" t="s">
        <v>17633</v>
      </c>
      <c r="R1995" s="1" t="s">
        <v>19</v>
      </c>
      <c r="S1995" s="1" t="s">
        <v>20</v>
      </c>
      <c r="T1995" s="1" t="s">
        <v>21</v>
      </c>
      <c r="U1995" s="1" t="s">
        <v>22</v>
      </c>
      <c r="V1995" s="1" t="s">
        <v>24</v>
      </c>
      <c r="W1995" s="1" t="s">
        <v>24</v>
      </c>
      <c r="X1995" s="1">
        <v>2705</v>
      </c>
      <c r="Y1995" s="1">
        <v>2735</v>
      </c>
      <c r="Z1995" s="1" t="s">
        <v>24</v>
      </c>
      <c r="AA1995" s="1" t="s">
        <v>24</v>
      </c>
      <c r="AB1995" s="1" t="s">
        <v>24</v>
      </c>
      <c r="AC1995" s="1" t="s">
        <v>24</v>
      </c>
      <c r="AD1995" s="1" t="s">
        <v>24</v>
      </c>
      <c r="AE1995" s="1" t="s">
        <v>24</v>
      </c>
      <c r="AF1995" s="22"/>
    </row>
    <row r="1996" spans="1:32" x14ac:dyDescent="0.2">
      <c r="A1996" s="1">
        <v>11226</v>
      </c>
      <c r="B1996" s="1" t="s">
        <v>6378</v>
      </c>
      <c r="C1996" s="5" t="s">
        <v>0</v>
      </c>
      <c r="D1996" s="1" t="s">
        <v>6379</v>
      </c>
      <c r="E1996" s="1" t="s">
        <v>6380</v>
      </c>
      <c r="F1996" s="1" t="s">
        <v>1260</v>
      </c>
      <c r="G1996" s="1" t="s">
        <v>130</v>
      </c>
      <c r="H1996" s="1" t="s">
        <v>111</v>
      </c>
      <c r="I1996" s="1" t="s">
        <v>16</v>
      </c>
      <c r="J1996" s="1">
        <v>1</v>
      </c>
      <c r="K1996" s="1">
        <v>12</v>
      </c>
      <c r="L1996" s="1" t="s">
        <v>31</v>
      </c>
      <c r="M1996" s="1" t="s">
        <v>18</v>
      </c>
      <c r="N1996" s="1" t="s">
        <v>18</v>
      </c>
      <c r="O1996" s="1">
        <v>3</v>
      </c>
      <c r="P1996" s="1">
        <v>7</v>
      </c>
      <c r="Q1996" s="7" t="s">
        <v>17633</v>
      </c>
      <c r="R1996" s="1" t="s">
        <v>62</v>
      </c>
      <c r="S1996" s="1" t="s">
        <v>20</v>
      </c>
      <c r="T1996" s="1" t="s">
        <v>21</v>
      </c>
      <c r="U1996" s="1" t="s">
        <v>22</v>
      </c>
      <c r="V1996" s="1" t="s">
        <v>24</v>
      </c>
      <c r="W1996" s="1" t="s">
        <v>64</v>
      </c>
      <c r="X1996" s="1">
        <v>2736</v>
      </c>
      <c r="Y1996" s="1">
        <v>2738</v>
      </c>
      <c r="Z1996" s="1">
        <v>2728</v>
      </c>
      <c r="AA1996" s="1" t="s">
        <v>24</v>
      </c>
      <c r="AB1996" s="1" t="s">
        <v>24</v>
      </c>
      <c r="AC1996" s="1" t="s">
        <v>24</v>
      </c>
      <c r="AD1996" s="1" t="s">
        <v>24</v>
      </c>
      <c r="AE1996" s="1" t="s">
        <v>24</v>
      </c>
      <c r="AF1996" s="22"/>
    </row>
    <row r="1997" spans="1:32" x14ac:dyDescent="0.2">
      <c r="A1997" s="1">
        <v>11227</v>
      </c>
      <c r="B1997" s="1" t="s">
        <v>6381</v>
      </c>
      <c r="C1997" s="5" t="s">
        <v>0</v>
      </c>
      <c r="D1997" s="1" t="s">
        <v>6382</v>
      </c>
      <c r="E1997" s="1" t="s">
        <v>6383</v>
      </c>
      <c r="F1997" s="1" t="s">
        <v>28</v>
      </c>
      <c r="G1997" s="1" t="s">
        <v>29</v>
      </c>
      <c r="H1997" s="1" t="s">
        <v>30</v>
      </c>
      <c r="I1997" s="1" t="s">
        <v>16</v>
      </c>
      <c r="J1997" s="1">
        <v>1</v>
      </c>
      <c r="K1997" s="1">
        <v>6</v>
      </c>
      <c r="L1997" s="1" t="s">
        <v>31</v>
      </c>
      <c r="M1997" s="1" t="s">
        <v>18</v>
      </c>
      <c r="N1997" s="1" t="s">
        <v>18</v>
      </c>
      <c r="O1997" s="1">
        <v>3</v>
      </c>
      <c r="P1997" s="1">
        <v>6</v>
      </c>
      <c r="R1997" s="1" t="s">
        <v>19</v>
      </c>
      <c r="S1997" s="1" t="s">
        <v>20</v>
      </c>
      <c r="T1997" s="1" t="s">
        <v>21</v>
      </c>
      <c r="U1997" s="1" t="s">
        <v>22</v>
      </c>
      <c r="V1997" s="1" t="s">
        <v>24</v>
      </c>
      <c r="W1997" s="1" t="s">
        <v>24</v>
      </c>
      <c r="X1997" s="1">
        <v>2740</v>
      </c>
      <c r="Y1997" s="1">
        <v>2706</v>
      </c>
      <c r="Z1997" s="1" t="s">
        <v>24</v>
      </c>
      <c r="AA1997" s="1" t="s">
        <v>24</v>
      </c>
      <c r="AB1997" s="1" t="s">
        <v>24</v>
      </c>
      <c r="AC1997" s="1" t="s">
        <v>24</v>
      </c>
      <c r="AD1997" s="1" t="s">
        <v>24</v>
      </c>
      <c r="AE1997" s="1" t="s">
        <v>24</v>
      </c>
      <c r="AF1997" s="22"/>
    </row>
    <row r="1998" spans="1:32" x14ac:dyDescent="0.2">
      <c r="A1998" s="1">
        <v>11232</v>
      </c>
      <c r="B1998" s="1" t="s">
        <v>6384</v>
      </c>
      <c r="C1998" s="5" t="s">
        <v>0</v>
      </c>
      <c r="D1998" s="1" t="s">
        <v>6385</v>
      </c>
      <c r="E1998" s="1" t="s">
        <v>6386</v>
      </c>
      <c r="F1998" s="1" t="s">
        <v>60</v>
      </c>
      <c r="G1998" s="1" t="s">
        <v>61</v>
      </c>
      <c r="H1998" s="1" t="s">
        <v>30</v>
      </c>
      <c r="I1998" s="1" t="s">
        <v>16</v>
      </c>
      <c r="J1998" s="1">
        <v>4</v>
      </c>
      <c r="K1998" s="1">
        <v>3</v>
      </c>
      <c r="L1998" s="1" t="s">
        <v>31</v>
      </c>
      <c r="M1998" s="1" t="s">
        <v>18</v>
      </c>
      <c r="N1998" s="1" t="s">
        <v>18</v>
      </c>
      <c r="O1998" s="1">
        <v>3</v>
      </c>
      <c r="P1998" s="1">
        <v>7</v>
      </c>
      <c r="Q1998" s="7" t="s">
        <v>17633</v>
      </c>
      <c r="R1998" s="1" t="s">
        <v>62</v>
      </c>
      <c r="S1998" s="1" t="s">
        <v>63</v>
      </c>
      <c r="T1998" s="1" t="s">
        <v>21</v>
      </c>
      <c r="U1998" s="1" t="s">
        <v>22</v>
      </c>
      <c r="V1998" s="1" t="s">
        <v>24</v>
      </c>
      <c r="W1998" s="1" t="s">
        <v>24</v>
      </c>
      <c r="X1998" s="1">
        <v>2808</v>
      </c>
      <c r="Y1998" s="1" t="s">
        <v>24</v>
      </c>
      <c r="Z1998" s="1" t="s">
        <v>24</v>
      </c>
      <c r="AA1998" s="1" t="s">
        <v>24</v>
      </c>
      <c r="AB1998" s="1" t="s">
        <v>24</v>
      </c>
      <c r="AC1998" s="1" t="s">
        <v>24</v>
      </c>
      <c r="AD1998" s="1" t="s">
        <v>24</v>
      </c>
      <c r="AE1998" s="1" t="s">
        <v>24</v>
      </c>
      <c r="AF1998" s="22"/>
    </row>
    <row r="1999" spans="1:32" x14ac:dyDescent="0.2">
      <c r="A1999" s="1">
        <v>11235</v>
      </c>
      <c r="B1999" s="1" t="s">
        <v>6387</v>
      </c>
      <c r="C1999" s="5" t="s">
        <v>0</v>
      </c>
      <c r="D1999" s="1" t="s">
        <v>6388</v>
      </c>
      <c r="E1999" s="1" t="s">
        <v>6389</v>
      </c>
      <c r="F1999" s="1" t="s">
        <v>291</v>
      </c>
      <c r="G1999" s="1" t="s">
        <v>292</v>
      </c>
      <c r="H1999" s="1" t="s">
        <v>37</v>
      </c>
      <c r="I1999" s="1" t="s">
        <v>16</v>
      </c>
      <c r="J1999" s="1">
        <v>1</v>
      </c>
      <c r="K1999" s="1">
        <v>6</v>
      </c>
      <c r="L1999" s="1" t="s">
        <v>31</v>
      </c>
      <c r="M1999" s="1" t="s">
        <v>18</v>
      </c>
      <c r="N1999" s="1" t="s">
        <v>18</v>
      </c>
      <c r="O1999" s="1">
        <v>3</v>
      </c>
      <c r="P1999" s="1">
        <v>6</v>
      </c>
      <c r="R1999" s="1" t="s">
        <v>19</v>
      </c>
      <c r="S1999" s="1" t="s">
        <v>20</v>
      </c>
      <c r="T1999" s="1" t="s">
        <v>21</v>
      </c>
      <c r="U1999" s="1" t="s">
        <v>22</v>
      </c>
      <c r="V1999" s="1" t="s">
        <v>23</v>
      </c>
      <c r="W1999" s="1" t="s">
        <v>24</v>
      </c>
      <c r="X1999" s="1">
        <v>2738</v>
      </c>
      <c r="Y1999" s="1" t="s">
        <v>24</v>
      </c>
      <c r="Z1999" s="1" t="s">
        <v>24</v>
      </c>
      <c r="AA1999" s="1" t="s">
        <v>24</v>
      </c>
      <c r="AB1999" s="1" t="s">
        <v>24</v>
      </c>
      <c r="AC1999" s="1" t="s">
        <v>24</v>
      </c>
      <c r="AD1999" s="1" t="s">
        <v>24</v>
      </c>
      <c r="AE1999" s="1" t="s">
        <v>24</v>
      </c>
      <c r="AF1999" s="22"/>
    </row>
    <row r="2000" spans="1:32" x14ac:dyDescent="0.2">
      <c r="A2000" s="1">
        <v>11236</v>
      </c>
      <c r="B2000" s="1" t="s">
        <v>6390</v>
      </c>
      <c r="C2000" s="5" t="s">
        <v>0</v>
      </c>
      <c r="D2000" s="1" t="s">
        <v>6391</v>
      </c>
      <c r="E2000" s="1" t="s">
        <v>6392</v>
      </c>
      <c r="F2000" s="1" t="s">
        <v>167</v>
      </c>
      <c r="G2000" s="1" t="s">
        <v>130</v>
      </c>
      <c r="H2000" s="1" t="s">
        <v>168</v>
      </c>
      <c r="I2000" s="1" t="s">
        <v>16</v>
      </c>
      <c r="J2000" s="1">
        <v>1</v>
      </c>
      <c r="K2000" s="1">
        <v>6</v>
      </c>
      <c r="L2000" s="1" t="s">
        <v>31</v>
      </c>
      <c r="M2000" s="1" t="s">
        <v>413</v>
      </c>
      <c r="N2000" s="1" t="s">
        <v>679</v>
      </c>
      <c r="O2000" s="1">
        <v>3</v>
      </c>
      <c r="P2000" s="1">
        <v>6</v>
      </c>
      <c r="R2000" s="1" t="s">
        <v>19</v>
      </c>
      <c r="S2000" s="1" t="s">
        <v>20</v>
      </c>
      <c r="T2000" s="1" t="s">
        <v>21</v>
      </c>
      <c r="U2000" s="1" t="s">
        <v>22</v>
      </c>
      <c r="V2000" s="1" t="s">
        <v>23</v>
      </c>
      <c r="W2000" s="1" t="s">
        <v>24</v>
      </c>
      <c r="X2000" s="1">
        <v>2703</v>
      </c>
      <c r="Y2000" s="1">
        <v>2728</v>
      </c>
      <c r="Z2000" s="1" t="s">
        <v>24</v>
      </c>
      <c r="AA2000" s="1" t="s">
        <v>24</v>
      </c>
      <c r="AB2000" s="1" t="s">
        <v>24</v>
      </c>
      <c r="AC2000" s="1" t="s">
        <v>24</v>
      </c>
      <c r="AD2000" s="1" t="s">
        <v>24</v>
      </c>
      <c r="AE2000" s="1" t="s">
        <v>24</v>
      </c>
      <c r="AF2000" s="22"/>
    </row>
    <row r="2001" spans="1:32" x14ac:dyDescent="0.2">
      <c r="A2001" s="1">
        <v>11237</v>
      </c>
      <c r="B2001" s="1" t="s">
        <v>6393</v>
      </c>
      <c r="C2001" s="5" t="s">
        <v>0</v>
      </c>
      <c r="D2001" s="1" t="s">
        <v>6394</v>
      </c>
      <c r="E2001" s="1" t="s">
        <v>6395</v>
      </c>
      <c r="F2001" s="1" t="s">
        <v>315</v>
      </c>
      <c r="G2001" s="1" t="s">
        <v>316</v>
      </c>
      <c r="H2001" s="1" t="s">
        <v>37</v>
      </c>
      <c r="I2001" s="1" t="s">
        <v>16</v>
      </c>
      <c r="J2001" s="1">
        <v>1</v>
      </c>
      <c r="K2001" s="1">
        <v>12</v>
      </c>
      <c r="L2001" s="1" t="s">
        <v>31</v>
      </c>
      <c r="M2001" s="1" t="s">
        <v>18</v>
      </c>
      <c r="N2001" s="1" t="s">
        <v>18</v>
      </c>
      <c r="O2001" s="1">
        <v>3</v>
      </c>
      <c r="P2001" s="1">
        <v>7</v>
      </c>
      <c r="Q2001" s="7" t="s">
        <v>17633</v>
      </c>
      <c r="R2001" s="1" t="s">
        <v>62</v>
      </c>
      <c r="S2001" s="1" t="s">
        <v>20</v>
      </c>
      <c r="T2001" s="1" t="s">
        <v>21</v>
      </c>
      <c r="U2001" s="1" t="s">
        <v>22</v>
      </c>
      <c r="V2001" s="1" t="s">
        <v>24</v>
      </c>
      <c r="W2001" s="1" t="s">
        <v>24</v>
      </c>
      <c r="X2001" s="1">
        <v>2734</v>
      </c>
      <c r="Y2001" s="1" t="s">
        <v>24</v>
      </c>
      <c r="Z2001" s="1" t="s">
        <v>24</v>
      </c>
      <c r="AA2001" s="1" t="s">
        <v>24</v>
      </c>
      <c r="AB2001" s="1" t="s">
        <v>24</v>
      </c>
      <c r="AC2001" s="1" t="s">
        <v>24</v>
      </c>
      <c r="AD2001" s="1" t="s">
        <v>24</v>
      </c>
      <c r="AE2001" s="1" t="s">
        <v>24</v>
      </c>
      <c r="AF2001" s="22"/>
    </row>
    <row r="2002" spans="1:32" x14ac:dyDescent="0.2">
      <c r="A2002" s="1">
        <v>11240</v>
      </c>
      <c r="B2002" s="1" t="s">
        <v>6396</v>
      </c>
      <c r="C2002" s="5" t="s">
        <v>0</v>
      </c>
      <c r="D2002" s="1" t="s">
        <v>6397</v>
      </c>
      <c r="E2002" s="1" t="s">
        <v>6398</v>
      </c>
      <c r="F2002" s="1" t="s">
        <v>320</v>
      </c>
      <c r="G2002" s="1" t="s">
        <v>36</v>
      </c>
      <c r="H2002" s="1" t="s">
        <v>30</v>
      </c>
      <c r="I2002" s="1" t="s">
        <v>16</v>
      </c>
      <c r="J2002" s="1">
        <v>1</v>
      </c>
      <c r="K2002" s="1">
        <v>12</v>
      </c>
      <c r="L2002" s="1" t="s">
        <v>31</v>
      </c>
      <c r="M2002" s="1" t="s">
        <v>18</v>
      </c>
      <c r="N2002" s="1" t="s">
        <v>18</v>
      </c>
      <c r="O2002" s="1">
        <v>3</v>
      </c>
      <c r="P2002" s="1">
        <v>7</v>
      </c>
      <c r="Q2002" s="7" t="s">
        <v>17633</v>
      </c>
      <c r="R2002" s="1" t="s">
        <v>62</v>
      </c>
      <c r="S2002" s="1" t="s">
        <v>20</v>
      </c>
      <c r="T2002" s="1" t="s">
        <v>21</v>
      </c>
      <c r="U2002" s="1" t="s">
        <v>22</v>
      </c>
      <c r="V2002" s="1" t="s">
        <v>24</v>
      </c>
      <c r="W2002" s="1" t="s">
        <v>24</v>
      </c>
      <c r="X2002" s="1">
        <v>2728</v>
      </c>
      <c r="Y2002" s="1">
        <v>2702</v>
      </c>
      <c r="Z2002" s="1">
        <v>2808</v>
      </c>
      <c r="AA2002" s="1">
        <v>2741</v>
      </c>
      <c r="AB2002" s="1">
        <v>3614</v>
      </c>
      <c r="AC2002" s="1" t="s">
        <v>24</v>
      </c>
      <c r="AD2002" s="1" t="s">
        <v>24</v>
      </c>
      <c r="AE2002" s="1" t="s">
        <v>24</v>
      </c>
      <c r="AF2002" s="22"/>
    </row>
    <row r="2003" spans="1:32" x14ac:dyDescent="0.2">
      <c r="A2003" s="1">
        <v>11255</v>
      </c>
      <c r="B2003" s="1" t="s">
        <v>6399</v>
      </c>
      <c r="C2003" s="5" t="s">
        <v>0</v>
      </c>
      <c r="D2003" s="1" t="s">
        <v>6400</v>
      </c>
      <c r="F2003" s="1" t="s">
        <v>6401</v>
      </c>
      <c r="G2003" s="1" t="s">
        <v>6401</v>
      </c>
      <c r="H2003" s="1" t="s">
        <v>1116</v>
      </c>
      <c r="I2003" s="1" t="s">
        <v>16</v>
      </c>
      <c r="J2003" s="1">
        <v>1</v>
      </c>
      <c r="K2003" s="1">
        <v>6</v>
      </c>
      <c r="L2003" s="1" t="s">
        <v>17</v>
      </c>
      <c r="M2003" s="1" t="s">
        <v>18</v>
      </c>
      <c r="N2003" s="1" t="s">
        <v>18</v>
      </c>
      <c r="O2003" s="1">
        <v>3</v>
      </c>
      <c r="P2003" s="1">
        <v>6</v>
      </c>
      <c r="R2003" s="1" t="s">
        <v>19</v>
      </c>
      <c r="S2003" s="1" t="s">
        <v>20</v>
      </c>
      <c r="T2003" s="1" t="s">
        <v>21</v>
      </c>
      <c r="U2003" s="1" t="s">
        <v>22</v>
      </c>
      <c r="V2003" s="1" t="s">
        <v>24</v>
      </c>
      <c r="W2003" s="1" t="s">
        <v>24</v>
      </c>
      <c r="X2003" s="1">
        <v>3003</v>
      </c>
      <c r="Y2003" s="1">
        <v>3004</v>
      </c>
      <c r="Z2003" s="1" t="s">
        <v>24</v>
      </c>
      <c r="AA2003" s="1" t="s">
        <v>24</v>
      </c>
      <c r="AB2003" s="1" t="s">
        <v>24</v>
      </c>
      <c r="AC2003" s="1" t="s">
        <v>24</v>
      </c>
      <c r="AD2003" s="1" t="s">
        <v>24</v>
      </c>
      <c r="AE2003" s="1" t="s">
        <v>24</v>
      </c>
      <c r="AF2003" s="22"/>
    </row>
    <row r="2004" spans="1:32" x14ac:dyDescent="0.2">
      <c r="A2004" s="1">
        <v>11270</v>
      </c>
      <c r="B2004" s="1" t="s">
        <v>6402</v>
      </c>
      <c r="C2004" s="5" t="s">
        <v>0</v>
      </c>
      <c r="D2004" s="1" t="s">
        <v>6403</v>
      </c>
      <c r="E2004" s="1" t="s">
        <v>6404</v>
      </c>
      <c r="F2004" s="1" t="s">
        <v>6405</v>
      </c>
      <c r="G2004" s="1" t="s">
        <v>6406</v>
      </c>
      <c r="H2004" s="1" t="s">
        <v>92</v>
      </c>
      <c r="I2004" s="1" t="s">
        <v>16</v>
      </c>
      <c r="J2004" s="1">
        <v>1</v>
      </c>
      <c r="K2004" s="1">
        <v>36</v>
      </c>
      <c r="L2004" s="1" t="s">
        <v>31</v>
      </c>
      <c r="M2004" s="1" t="s">
        <v>18</v>
      </c>
      <c r="N2004" s="1" t="s">
        <v>18</v>
      </c>
      <c r="O2004" s="1">
        <v>3</v>
      </c>
      <c r="P2004" s="1">
        <v>6</v>
      </c>
      <c r="R2004" s="1" t="s">
        <v>62</v>
      </c>
      <c r="S2004" s="1" t="s">
        <v>20</v>
      </c>
      <c r="T2004" s="1" t="s">
        <v>21</v>
      </c>
      <c r="U2004" s="1" t="s">
        <v>22</v>
      </c>
      <c r="V2004" s="1" t="s">
        <v>24</v>
      </c>
      <c r="W2004" s="1" t="s">
        <v>64</v>
      </c>
      <c r="X2004" s="1">
        <v>1313</v>
      </c>
      <c r="Y2004" s="1">
        <v>3004</v>
      </c>
      <c r="Z2004" s="1" t="s">
        <v>24</v>
      </c>
      <c r="AA2004" s="1" t="s">
        <v>24</v>
      </c>
      <c r="AB2004" s="1" t="s">
        <v>24</v>
      </c>
      <c r="AC2004" s="1" t="s">
        <v>24</v>
      </c>
      <c r="AD2004" s="1" t="s">
        <v>24</v>
      </c>
      <c r="AE2004" s="1" t="s">
        <v>24</v>
      </c>
      <c r="AF2004" s="22"/>
    </row>
    <row r="2005" spans="1:32" x14ac:dyDescent="0.2">
      <c r="A2005" s="1">
        <v>11271</v>
      </c>
      <c r="B2005" s="1" t="s">
        <v>6407</v>
      </c>
      <c r="C2005" s="5" t="s">
        <v>0</v>
      </c>
      <c r="D2005" s="1" t="s">
        <v>6408</v>
      </c>
      <c r="F2005" s="1" t="s">
        <v>6405</v>
      </c>
      <c r="G2005" s="1" t="s">
        <v>6406</v>
      </c>
      <c r="H2005" s="1" t="s">
        <v>92</v>
      </c>
      <c r="I2005" s="1" t="s">
        <v>16</v>
      </c>
      <c r="J2005" s="1">
        <v>1</v>
      </c>
      <c r="K2005" s="1">
        <v>10</v>
      </c>
      <c r="L2005" s="1" t="s">
        <v>31</v>
      </c>
      <c r="M2005" s="1" t="s">
        <v>18</v>
      </c>
      <c r="N2005" s="1" t="s">
        <v>18</v>
      </c>
      <c r="O2005" s="1">
        <v>2</v>
      </c>
      <c r="P2005" s="1">
        <v>5</v>
      </c>
      <c r="R2005" s="1" t="s">
        <v>19</v>
      </c>
      <c r="S2005" s="1" t="s">
        <v>20</v>
      </c>
      <c r="T2005" s="1" t="s">
        <v>21</v>
      </c>
      <c r="U2005" s="1" t="s">
        <v>22</v>
      </c>
      <c r="V2005" s="1" t="s">
        <v>24</v>
      </c>
      <c r="W2005" s="1" t="s">
        <v>64</v>
      </c>
      <c r="X2005" s="1">
        <v>1303</v>
      </c>
      <c r="Y2005" s="1">
        <v>1315</v>
      </c>
      <c r="Z2005" s="1" t="s">
        <v>24</v>
      </c>
      <c r="AA2005" s="1" t="s">
        <v>24</v>
      </c>
      <c r="AB2005" s="1" t="s">
        <v>24</v>
      </c>
      <c r="AC2005" s="1" t="s">
        <v>24</v>
      </c>
      <c r="AD2005" s="1" t="s">
        <v>24</v>
      </c>
      <c r="AE2005" s="1" t="s">
        <v>24</v>
      </c>
      <c r="AF2005" s="22"/>
    </row>
    <row r="2006" spans="1:32" x14ac:dyDescent="0.2">
      <c r="A2006" s="1">
        <v>11272</v>
      </c>
      <c r="B2006" s="1" t="s">
        <v>6409</v>
      </c>
      <c r="C2006" s="5" t="s">
        <v>0</v>
      </c>
      <c r="D2006" s="1" t="s">
        <v>6410</v>
      </c>
      <c r="E2006" s="1" t="s">
        <v>6411</v>
      </c>
      <c r="F2006" s="1" t="s">
        <v>1412</v>
      </c>
      <c r="G2006" s="1" t="s">
        <v>1413</v>
      </c>
      <c r="H2006" s="1" t="s">
        <v>30</v>
      </c>
      <c r="I2006" s="1" t="s">
        <v>16</v>
      </c>
      <c r="J2006" s="1">
        <v>1</v>
      </c>
      <c r="K2006" s="1">
        <v>1</v>
      </c>
      <c r="L2006" s="1" t="s">
        <v>31</v>
      </c>
      <c r="M2006" s="1" t="s">
        <v>18</v>
      </c>
      <c r="N2006" s="1" t="s">
        <v>18</v>
      </c>
      <c r="O2006" s="1">
        <v>3</v>
      </c>
      <c r="P2006" s="1">
        <v>6</v>
      </c>
      <c r="R2006" s="1" t="s">
        <v>19</v>
      </c>
      <c r="S2006" s="1" t="s">
        <v>63</v>
      </c>
      <c r="T2006" s="1" t="s">
        <v>21</v>
      </c>
      <c r="U2006" s="1" t="s">
        <v>22</v>
      </c>
      <c r="V2006" s="1" t="s">
        <v>24</v>
      </c>
      <c r="W2006" s="1" t="s">
        <v>24</v>
      </c>
      <c r="X2006" s="1">
        <v>2741</v>
      </c>
      <c r="Y2006" s="1" t="s">
        <v>24</v>
      </c>
      <c r="Z2006" s="1" t="s">
        <v>24</v>
      </c>
      <c r="AA2006" s="1" t="s">
        <v>24</v>
      </c>
      <c r="AB2006" s="1" t="s">
        <v>24</v>
      </c>
      <c r="AC2006" s="1" t="s">
        <v>24</v>
      </c>
      <c r="AD2006" s="1" t="s">
        <v>24</v>
      </c>
      <c r="AE2006" s="1" t="s">
        <v>24</v>
      </c>
      <c r="AF2006" s="22"/>
    </row>
    <row r="2007" spans="1:32" x14ac:dyDescent="0.2">
      <c r="A2007" s="1">
        <v>11282</v>
      </c>
      <c r="B2007" s="1" t="s">
        <v>6412</v>
      </c>
      <c r="C2007" s="5" t="s">
        <v>0</v>
      </c>
      <c r="D2007" s="1" t="s">
        <v>6413</v>
      </c>
      <c r="E2007" s="1" t="s">
        <v>6414</v>
      </c>
      <c r="F2007" s="1" t="s">
        <v>6415</v>
      </c>
      <c r="G2007" s="1" t="s">
        <v>460</v>
      </c>
      <c r="H2007" s="1" t="s">
        <v>461</v>
      </c>
      <c r="I2007" s="1" t="s">
        <v>16</v>
      </c>
      <c r="J2007" s="1">
        <v>1</v>
      </c>
      <c r="K2007" s="1">
        <v>4</v>
      </c>
      <c r="L2007" s="1" t="s">
        <v>42</v>
      </c>
      <c r="M2007" s="1" t="s">
        <v>18</v>
      </c>
      <c r="N2007" s="1" t="s">
        <v>18</v>
      </c>
      <c r="O2007" s="1">
        <v>3</v>
      </c>
      <c r="P2007" s="1">
        <v>6</v>
      </c>
      <c r="R2007" s="1" t="s">
        <v>19</v>
      </c>
      <c r="S2007" s="1" t="s">
        <v>20</v>
      </c>
      <c r="T2007" s="1" t="s">
        <v>21</v>
      </c>
      <c r="U2007" s="1" t="s">
        <v>22</v>
      </c>
      <c r="V2007" s="1" t="s">
        <v>24</v>
      </c>
      <c r="W2007" s="1" t="s">
        <v>24</v>
      </c>
      <c r="X2007" s="1">
        <v>1310</v>
      </c>
      <c r="Y2007" s="1">
        <v>2712</v>
      </c>
      <c r="Z2007" s="1">
        <v>2735</v>
      </c>
      <c r="AA2007" s="1" t="s">
        <v>24</v>
      </c>
      <c r="AB2007" s="1" t="s">
        <v>24</v>
      </c>
      <c r="AC2007" s="1" t="s">
        <v>24</v>
      </c>
      <c r="AD2007" s="1" t="s">
        <v>24</v>
      </c>
      <c r="AE2007" s="1" t="s">
        <v>24</v>
      </c>
      <c r="AF2007" s="22"/>
    </row>
    <row r="2008" spans="1:32" x14ac:dyDescent="0.2">
      <c r="A2008" s="1">
        <v>11288</v>
      </c>
      <c r="B2008" s="1" t="s">
        <v>6416</v>
      </c>
      <c r="C2008" s="5" t="s">
        <v>0</v>
      </c>
      <c r="D2008" s="1" t="s">
        <v>6417</v>
      </c>
      <c r="E2008" s="1" t="s">
        <v>6418</v>
      </c>
      <c r="F2008" s="1" t="s">
        <v>940</v>
      </c>
      <c r="G2008" s="1" t="s">
        <v>130</v>
      </c>
      <c r="H2008" s="1" t="s">
        <v>30</v>
      </c>
      <c r="I2008" s="1" t="s">
        <v>16</v>
      </c>
      <c r="J2008" s="1">
        <v>1</v>
      </c>
      <c r="K2008" s="1">
        <v>5</v>
      </c>
      <c r="L2008" s="1" t="s">
        <v>31</v>
      </c>
      <c r="M2008" s="1" t="s">
        <v>18</v>
      </c>
      <c r="N2008" s="1" t="s">
        <v>18</v>
      </c>
      <c r="O2008" s="1">
        <v>3</v>
      </c>
      <c r="P2008" s="1">
        <v>7</v>
      </c>
      <c r="Q2008" s="7" t="s">
        <v>17633</v>
      </c>
      <c r="R2008" s="1" t="s">
        <v>19</v>
      </c>
      <c r="S2008" s="1" t="s">
        <v>20</v>
      </c>
      <c r="T2008" s="1" t="s">
        <v>21</v>
      </c>
      <c r="U2008" s="1" t="s">
        <v>22</v>
      </c>
      <c r="V2008" s="1" t="s">
        <v>24</v>
      </c>
      <c r="W2008" s="1" t="s">
        <v>24</v>
      </c>
      <c r="X2008" s="1">
        <v>2730</v>
      </c>
      <c r="Y2008" s="1">
        <v>1306</v>
      </c>
      <c r="Z2008" s="1">
        <v>2720</v>
      </c>
      <c r="AA2008" s="1" t="s">
        <v>24</v>
      </c>
      <c r="AB2008" s="1" t="s">
        <v>24</v>
      </c>
      <c r="AC2008" s="1" t="s">
        <v>24</v>
      </c>
      <c r="AD2008" s="1" t="s">
        <v>24</v>
      </c>
      <c r="AE2008" s="1" t="s">
        <v>24</v>
      </c>
      <c r="AF2008" s="22"/>
    </row>
    <row r="2009" spans="1:32" x14ac:dyDescent="0.2">
      <c r="A2009" s="1">
        <v>11293</v>
      </c>
      <c r="B2009" s="1" t="s">
        <v>6419</v>
      </c>
      <c r="C2009" s="5" t="s">
        <v>0</v>
      </c>
      <c r="D2009" s="1" t="s">
        <v>6420</v>
      </c>
      <c r="E2009" s="1" t="s">
        <v>6421</v>
      </c>
      <c r="F2009" s="1" t="s">
        <v>60</v>
      </c>
      <c r="G2009" s="1" t="s">
        <v>61</v>
      </c>
      <c r="H2009" s="1" t="s">
        <v>30</v>
      </c>
      <c r="I2009" s="1" t="s">
        <v>16</v>
      </c>
      <c r="J2009" s="1">
        <v>4</v>
      </c>
      <c r="K2009" s="1">
        <v>2</v>
      </c>
      <c r="L2009" s="1" t="s">
        <v>31</v>
      </c>
      <c r="M2009" s="1" t="s">
        <v>18</v>
      </c>
      <c r="N2009" s="1" t="s">
        <v>18</v>
      </c>
      <c r="O2009" s="1">
        <v>3</v>
      </c>
      <c r="P2009" s="1">
        <v>6</v>
      </c>
      <c r="R2009" s="1" t="s">
        <v>62</v>
      </c>
      <c r="S2009" s="1" t="s">
        <v>63</v>
      </c>
      <c r="T2009" s="1" t="s">
        <v>21</v>
      </c>
      <c r="U2009" s="1" t="s">
        <v>22</v>
      </c>
      <c r="V2009" s="1" t="s">
        <v>24</v>
      </c>
      <c r="W2009" s="1" t="s">
        <v>24</v>
      </c>
      <c r="X2009" s="1">
        <v>2802</v>
      </c>
      <c r="Y2009" s="1">
        <v>2805</v>
      </c>
      <c r="Z2009" s="1">
        <v>3205</v>
      </c>
      <c r="AA2009" s="1" t="s">
        <v>24</v>
      </c>
      <c r="AB2009" s="1" t="s">
        <v>24</v>
      </c>
      <c r="AC2009" s="1" t="s">
        <v>24</v>
      </c>
      <c r="AD2009" s="1" t="s">
        <v>24</v>
      </c>
      <c r="AE2009" s="1" t="s">
        <v>24</v>
      </c>
      <c r="AF2009" s="22"/>
    </row>
    <row r="2010" spans="1:32" x14ac:dyDescent="0.2">
      <c r="A2010" s="1">
        <v>11305</v>
      </c>
      <c r="B2010" s="1" t="s">
        <v>6422</v>
      </c>
      <c r="C2010" s="5" t="s">
        <v>0</v>
      </c>
      <c r="D2010" s="1" t="s">
        <v>6423</v>
      </c>
      <c r="E2010" s="1" t="s">
        <v>6424</v>
      </c>
      <c r="F2010" s="1" t="s">
        <v>6425</v>
      </c>
      <c r="G2010" s="1" t="s">
        <v>6425</v>
      </c>
      <c r="H2010" s="1" t="s">
        <v>1660</v>
      </c>
      <c r="I2010" s="1" t="s">
        <v>16</v>
      </c>
      <c r="J2010" s="1">
        <v>1</v>
      </c>
      <c r="K2010" s="1">
        <v>4</v>
      </c>
      <c r="L2010" s="1" t="s">
        <v>42</v>
      </c>
      <c r="M2010" s="1" t="s">
        <v>6426</v>
      </c>
      <c r="N2010" s="1" t="s">
        <v>3233</v>
      </c>
      <c r="O2010" s="1">
        <v>3</v>
      </c>
      <c r="P2010" s="1">
        <v>5</v>
      </c>
      <c r="R2010" s="1" t="s">
        <v>19</v>
      </c>
      <c r="S2010" s="1" t="s">
        <v>20</v>
      </c>
      <c r="T2010" s="1" t="s">
        <v>21</v>
      </c>
      <c r="U2010" s="1" t="s">
        <v>22</v>
      </c>
      <c r="V2010" s="1" t="s">
        <v>23</v>
      </c>
      <c r="W2010" s="1" t="s">
        <v>24</v>
      </c>
      <c r="X2010" s="1">
        <v>2734</v>
      </c>
      <c r="Y2010" s="1" t="s">
        <v>24</v>
      </c>
      <c r="Z2010" s="1" t="s">
        <v>24</v>
      </c>
      <c r="AA2010" s="1" t="s">
        <v>24</v>
      </c>
      <c r="AB2010" s="1" t="s">
        <v>24</v>
      </c>
      <c r="AC2010" s="1" t="s">
        <v>24</v>
      </c>
      <c r="AD2010" s="1" t="s">
        <v>24</v>
      </c>
      <c r="AE2010" s="1" t="s">
        <v>24</v>
      </c>
      <c r="AF2010" s="22"/>
    </row>
    <row r="2011" spans="1:32" x14ac:dyDescent="0.2">
      <c r="A2011" s="1">
        <v>11307</v>
      </c>
      <c r="B2011" s="1" t="s">
        <v>6427</v>
      </c>
      <c r="C2011" s="5" t="s">
        <v>0</v>
      </c>
      <c r="D2011" s="1" t="s">
        <v>6428</v>
      </c>
      <c r="F2011" s="1" t="s">
        <v>6429</v>
      </c>
      <c r="G2011" s="1" t="s">
        <v>6429</v>
      </c>
      <c r="H2011" s="1" t="s">
        <v>2672</v>
      </c>
      <c r="I2011" s="1" t="s">
        <v>16</v>
      </c>
      <c r="J2011" s="1">
        <v>1</v>
      </c>
      <c r="K2011" s="1">
        <v>12</v>
      </c>
      <c r="L2011" s="1" t="s">
        <v>42</v>
      </c>
      <c r="M2011" s="1" t="s">
        <v>18</v>
      </c>
      <c r="N2011" s="1" t="s">
        <v>18</v>
      </c>
      <c r="O2011" s="1">
        <v>3</v>
      </c>
      <c r="P2011" s="1">
        <v>5</v>
      </c>
      <c r="R2011" s="1" t="s">
        <v>19</v>
      </c>
      <c r="S2011" s="1" t="s">
        <v>20</v>
      </c>
      <c r="T2011" s="1" t="s">
        <v>21</v>
      </c>
      <c r="U2011" s="1" t="s">
        <v>22</v>
      </c>
      <c r="V2011" s="1" t="s">
        <v>24</v>
      </c>
      <c r="W2011" s="1" t="s">
        <v>24</v>
      </c>
      <c r="X2011" s="1">
        <v>2700</v>
      </c>
      <c r="Y2011" s="1" t="s">
        <v>24</v>
      </c>
      <c r="Z2011" s="1" t="s">
        <v>24</v>
      </c>
      <c r="AA2011" s="1" t="s">
        <v>24</v>
      </c>
      <c r="AB2011" s="1" t="s">
        <v>24</v>
      </c>
      <c r="AC2011" s="1" t="s">
        <v>24</v>
      </c>
      <c r="AD2011" s="1" t="s">
        <v>24</v>
      </c>
      <c r="AE2011" s="1" t="s">
        <v>24</v>
      </c>
      <c r="AF2011" s="22"/>
    </row>
    <row r="2012" spans="1:32" x14ac:dyDescent="0.2">
      <c r="A2012" s="1">
        <v>11308</v>
      </c>
      <c r="B2012" s="1" t="s">
        <v>6430</v>
      </c>
      <c r="C2012" s="5" t="s">
        <v>0</v>
      </c>
      <c r="D2012" s="1" t="s">
        <v>6431</v>
      </c>
      <c r="E2012" s="1" t="s">
        <v>6432</v>
      </c>
      <c r="F2012" s="1" t="s">
        <v>6433</v>
      </c>
      <c r="G2012" s="1" t="s">
        <v>130</v>
      </c>
      <c r="H2012" s="1" t="s">
        <v>1007</v>
      </c>
      <c r="I2012" s="1" t="s">
        <v>16</v>
      </c>
      <c r="J2012" s="1">
        <v>1</v>
      </c>
      <c r="K2012" s="1">
        <v>6</v>
      </c>
      <c r="L2012" s="1" t="s">
        <v>31</v>
      </c>
      <c r="M2012" s="1" t="s">
        <v>1008</v>
      </c>
      <c r="N2012" s="1" t="s">
        <v>4418</v>
      </c>
      <c r="O2012" s="1">
        <v>3</v>
      </c>
      <c r="P2012" s="1">
        <v>5</v>
      </c>
      <c r="R2012" s="1" t="s">
        <v>19</v>
      </c>
      <c r="S2012" s="1" t="s">
        <v>20</v>
      </c>
      <c r="T2012" s="1" t="s">
        <v>21</v>
      </c>
      <c r="U2012" s="1" t="s">
        <v>22</v>
      </c>
      <c r="V2012" s="1" t="s">
        <v>24</v>
      </c>
      <c r="W2012" s="1" t="s">
        <v>24</v>
      </c>
      <c r="X2012" s="1">
        <v>2406</v>
      </c>
      <c r="Y2012" s="1">
        <v>1313</v>
      </c>
      <c r="Z2012" s="1">
        <v>2403</v>
      </c>
      <c r="AA2012" s="1" t="s">
        <v>24</v>
      </c>
      <c r="AB2012" s="1" t="s">
        <v>24</v>
      </c>
      <c r="AC2012" s="1" t="s">
        <v>24</v>
      </c>
      <c r="AD2012" s="1" t="s">
        <v>24</v>
      </c>
      <c r="AE2012" s="1" t="s">
        <v>24</v>
      </c>
      <c r="AF2012" s="22"/>
    </row>
    <row r="2013" spans="1:32" x14ac:dyDescent="0.2">
      <c r="A2013" s="1">
        <v>11310</v>
      </c>
      <c r="B2013" s="1" t="s">
        <v>6434</v>
      </c>
      <c r="C2013" s="5" t="s">
        <v>0</v>
      </c>
      <c r="D2013" s="1" t="s">
        <v>6435</v>
      </c>
      <c r="F2013" s="1" t="s">
        <v>6436</v>
      </c>
      <c r="G2013" s="1" t="s">
        <v>6437</v>
      </c>
      <c r="H2013" s="1" t="s">
        <v>86</v>
      </c>
      <c r="I2013" s="1" t="s">
        <v>16</v>
      </c>
      <c r="J2013" s="1">
        <v>1</v>
      </c>
      <c r="K2013" s="1">
        <v>4</v>
      </c>
      <c r="L2013" s="1" t="s">
        <v>17</v>
      </c>
      <c r="M2013" s="1" t="s">
        <v>87</v>
      </c>
      <c r="N2013" s="1" t="s">
        <v>199</v>
      </c>
      <c r="O2013" s="1">
        <v>1</v>
      </c>
      <c r="P2013" s="1">
        <v>5</v>
      </c>
      <c r="R2013" s="1" t="s">
        <v>19</v>
      </c>
      <c r="S2013" s="1" t="s">
        <v>20</v>
      </c>
      <c r="T2013" s="1" t="s">
        <v>21</v>
      </c>
      <c r="U2013" s="1" t="s">
        <v>22</v>
      </c>
      <c r="V2013" s="1" t="s">
        <v>24</v>
      </c>
      <c r="W2013" s="1" t="s">
        <v>24</v>
      </c>
      <c r="X2013" s="1">
        <v>3204</v>
      </c>
      <c r="Y2013" s="1">
        <v>3206</v>
      </c>
      <c r="Z2013" s="1" t="s">
        <v>24</v>
      </c>
      <c r="AA2013" s="1" t="s">
        <v>24</v>
      </c>
      <c r="AB2013" s="1" t="s">
        <v>24</v>
      </c>
      <c r="AC2013" s="1" t="s">
        <v>24</v>
      </c>
      <c r="AD2013" s="1" t="s">
        <v>24</v>
      </c>
      <c r="AE2013" s="1" t="s">
        <v>24</v>
      </c>
      <c r="AF2013" s="22"/>
    </row>
    <row r="2014" spans="1:32" x14ac:dyDescent="0.2">
      <c r="A2014" s="1">
        <v>11315</v>
      </c>
      <c r="B2014" s="1" t="s">
        <v>6438</v>
      </c>
      <c r="C2014" s="5" t="s">
        <v>0</v>
      </c>
      <c r="D2014" s="1" t="s">
        <v>6439</v>
      </c>
      <c r="F2014" s="1" t="s">
        <v>437</v>
      </c>
      <c r="G2014" s="1" t="s">
        <v>437</v>
      </c>
      <c r="H2014" s="1" t="s">
        <v>168</v>
      </c>
      <c r="I2014" s="1" t="s">
        <v>16</v>
      </c>
      <c r="J2014" s="1">
        <v>1</v>
      </c>
      <c r="K2014" s="1">
        <v>4</v>
      </c>
      <c r="L2014" s="1" t="s">
        <v>42</v>
      </c>
      <c r="M2014" s="1" t="s">
        <v>18</v>
      </c>
      <c r="N2014" s="1" t="s">
        <v>18</v>
      </c>
      <c r="O2014" s="1">
        <v>3</v>
      </c>
      <c r="P2014" s="1">
        <v>7</v>
      </c>
      <c r="Q2014" s="7" t="s">
        <v>17633</v>
      </c>
      <c r="R2014" s="1" t="s">
        <v>19</v>
      </c>
      <c r="S2014" s="1" t="s">
        <v>20</v>
      </c>
      <c r="T2014" s="1" t="s">
        <v>21</v>
      </c>
      <c r="U2014" s="1" t="s">
        <v>22</v>
      </c>
      <c r="V2014" s="1" t="s">
        <v>24</v>
      </c>
      <c r="W2014" s="1" t="s">
        <v>24</v>
      </c>
      <c r="X2014" s="1">
        <v>1303</v>
      </c>
      <c r="Y2014" s="1">
        <v>1604</v>
      </c>
      <c r="Z2014" s="1">
        <v>1308</v>
      </c>
      <c r="AA2014" s="1" t="s">
        <v>24</v>
      </c>
      <c r="AB2014" s="1" t="s">
        <v>24</v>
      </c>
      <c r="AC2014" s="1" t="s">
        <v>24</v>
      </c>
      <c r="AD2014" s="1" t="s">
        <v>24</v>
      </c>
      <c r="AE2014" s="1" t="s">
        <v>24</v>
      </c>
      <c r="AF2014" s="22"/>
    </row>
    <row r="2015" spans="1:32" x14ac:dyDescent="0.2">
      <c r="A2015" s="1">
        <v>11320</v>
      </c>
      <c r="B2015" s="1" t="s">
        <v>6440</v>
      </c>
      <c r="C2015" s="5" t="s">
        <v>0</v>
      </c>
      <c r="D2015" s="1" t="s">
        <v>6441</v>
      </c>
      <c r="F2015" s="1" t="s">
        <v>6442</v>
      </c>
      <c r="G2015" s="1" t="s">
        <v>6442</v>
      </c>
      <c r="H2015" s="1" t="s">
        <v>30</v>
      </c>
      <c r="I2015" s="1" t="s">
        <v>16</v>
      </c>
      <c r="J2015" s="1">
        <v>2</v>
      </c>
      <c r="K2015" s="1">
        <v>6</v>
      </c>
      <c r="L2015" s="1" t="s">
        <v>17</v>
      </c>
      <c r="M2015" s="1" t="s">
        <v>18</v>
      </c>
      <c r="N2015" s="1" t="s">
        <v>18</v>
      </c>
      <c r="O2015" s="1">
        <v>3</v>
      </c>
      <c r="P2015" s="1">
        <v>7</v>
      </c>
      <c r="Q2015" s="7" t="s">
        <v>17633</v>
      </c>
      <c r="R2015" s="1" t="s">
        <v>19</v>
      </c>
      <c r="S2015" s="1" t="s">
        <v>20</v>
      </c>
      <c r="T2015" s="1" t="s">
        <v>21</v>
      </c>
      <c r="U2015" s="1" t="s">
        <v>22</v>
      </c>
      <c r="V2015" s="1" t="s">
        <v>24</v>
      </c>
      <c r="W2015" s="1" t="s">
        <v>24</v>
      </c>
      <c r="X2015" s="1">
        <v>3004</v>
      </c>
      <c r="Y2015" s="1">
        <v>1313</v>
      </c>
      <c r="Z2015" s="1" t="s">
        <v>24</v>
      </c>
      <c r="AA2015" s="1" t="s">
        <v>24</v>
      </c>
      <c r="AB2015" s="1" t="s">
        <v>24</v>
      </c>
      <c r="AC2015" s="1" t="s">
        <v>24</v>
      </c>
      <c r="AD2015" s="1" t="s">
        <v>24</v>
      </c>
      <c r="AE2015" s="1" t="s">
        <v>24</v>
      </c>
      <c r="AF2015" s="22"/>
    </row>
    <row r="2016" spans="1:32" x14ac:dyDescent="0.2">
      <c r="A2016" s="1">
        <v>11322</v>
      </c>
      <c r="B2016" s="1" t="s">
        <v>6443</v>
      </c>
      <c r="C2016" s="5" t="s">
        <v>0</v>
      </c>
      <c r="D2016" s="1" t="s">
        <v>6444</v>
      </c>
      <c r="E2016" s="1" t="s">
        <v>6445</v>
      </c>
      <c r="F2016" s="1" t="s">
        <v>129</v>
      </c>
      <c r="G2016" s="1" t="s">
        <v>130</v>
      </c>
      <c r="H2016" s="1" t="s">
        <v>131</v>
      </c>
      <c r="I2016" s="1" t="s">
        <v>16</v>
      </c>
      <c r="J2016" s="1">
        <v>1</v>
      </c>
      <c r="K2016" s="1">
        <v>4</v>
      </c>
      <c r="L2016" s="1" t="s">
        <v>31</v>
      </c>
      <c r="M2016" s="1" t="s">
        <v>413</v>
      </c>
      <c r="N2016" s="1" t="s">
        <v>679</v>
      </c>
      <c r="O2016" s="1">
        <v>3</v>
      </c>
      <c r="P2016" s="1">
        <v>6</v>
      </c>
      <c r="R2016" s="1" t="s">
        <v>19</v>
      </c>
      <c r="S2016" s="1" t="s">
        <v>20</v>
      </c>
      <c r="T2016" s="1" t="s">
        <v>21</v>
      </c>
      <c r="U2016" s="1" t="s">
        <v>22</v>
      </c>
      <c r="V2016" s="1" t="s">
        <v>23</v>
      </c>
      <c r="W2016" s="1" t="s">
        <v>24</v>
      </c>
      <c r="X2016" s="1">
        <v>2738</v>
      </c>
      <c r="Y2016" s="1">
        <v>3203</v>
      </c>
      <c r="Z2016" s="1" t="s">
        <v>24</v>
      </c>
      <c r="AA2016" s="1" t="s">
        <v>24</v>
      </c>
      <c r="AB2016" s="1" t="s">
        <v>24</v>
      </c>
      <c r="AC2016" s="1" t="s">
        <v>24</v>
      </c>
      <c r="AD2016" s="1" t="s">
        <v>24</v>
      </c>
      <c r="AE2016" s="1" t="s">
        <v>24</v>
      </c>
      <c r="AF2016" s="22"/>
    </row>
    <row r="2017" spans="1:32" x14ac:dyDescent="0.2">
      <c r="A2017" s="1">
        <v>11324</v>
      </c>
      <c r="B2017" s="1" t="s">
        <v>6446</v>
      </c>
      <c r="C2017" s="5" t="s">
        <v>0</v>
      </c>
      <c r="D2017" s="1" t="s">
        <v>6447</v>
      </c>
      <c r="F2017" s="1" t="s">
        <v>6448</v>
      </c>
      <c r="G2017" s="1" t="s">
        <v>6448</v>
      </c>
      <c r="H2017" s="1" t="s">
        <v>30</v>
      </c>
      <c r="I2017" s="1" t="s">
        <v>16</v>
      </c>
      <c r="J2017" s="1">
        <v>1</v>
      </c>
      <c r="K2017" s="1">
        <v>6</v>
      </c>
      <c r="L2017" s="1" t="s">
        <v>17</v>
      </c>
      <c r="M2017" s="1" t="s">
        <v>18</v>
      </c>
      <c r="N2017" s="1" t="s">
        <v>18</v>
      </c>
      <c r="O2017" s="1">
        <v>3</v>
      </c>
      <c r="P2017" s="1">
        <v>6</v>
      </c>
      <c r="R2017" s="1" t="s">
        <v>19</v>
      </c>
      <c r="S2017" s="1" t="s">
        <v>20</v>
      </c>
      <c r="T2017" s="1" t="s">
        <v>21</v>
      </c>
      <c r="U2017" s="1" t="s">
        <v>22</v>
      </c>
      <c r="V2017" s="1" t="s">
        <v>24</v>
      </c>
      <c r="W2017" s="1" t="s">
        <v>24</v>
      </c>
      <c r="X2017" s="1">
        <v>2734</v>
      </c>
      <c r="Y2017" s="1" t="s">
        <v>24</v>
      </c>
      <c r="Z2017" s="1" t="s">
        <v>24</v>
      </c>
      <c r="AA2017" s="1" t="s">
        <v>24</v>
      </c>
      <c r="AB2017" s="1" t="s">
        <v>24</v>
      </c>
      <c r="AC2017" s="1" t="s">
        <v>24</v>
      </c>
      <c r="AD2017" s="1" t="s">
        <v>24</v>
      </c>
      <c r="AE2017" s="1" t="s">
        <v>24</v>
      </c>
      <c r="AF2017" s="22"/>
    </row>
    <row r="2018" spans="1:32" x14ac:dyDescent="0.2">
      <c r="A2018" s="1">
        <v>11326</v>
      </c>
      <c r="B2018" s="1" t="s">
        <v>6449</v>
      </c>
      <c r="C2018" s="5" t="s">
        <v>0</v>
      </c>
      <c r="D2018" s="1" t="s">
        <v>6450</v>
      </c>
      <c r="E2018" s="1" t="s">
        <v>6451</v>
      </c>
      <c r="F2018" s="1" t="s">
        <v>6452</v>
      </c>
      <c r="G2018" s="1" t="s">
        <v>80</v>
      </c>
      <c r="H2018" s="1" t="s">
        <v>81</v>
      </c>
      <c r="I2018" s="1" t="s">
        <v>16</v>
      </c>
      <c r="J2018" s="1">
        <v>1</v>
      </c>
      <c r="K2018" s="1">
        <v>6</v>
      </c>
      <c r="L2018" s="1" t="s">
        <v>31</v>
      </c>
      <c r="M2018" s="1" t="s">
        <v>18</v>
      </c>
      <c r="N2018" s="1" t="s">
        <v>18</v>
      </c>
      <c r="O2018" s="1">
        <v>3</v>
      </c>
      <c r="P2018" s="1">
        <v>6</v>
      </c>
      <c r="R2018" s="1" t="s">
        <v>19</v>
      </c>
      <c r="S2018" s="1" t="s">
        <v>20</v>
      </c>
      <c r="T2018" s="1" t="s">
        <v>21</v>
      </c>
      <c r="U2018" s="1" t="s">
        <v>22</v>
      </c>
      <c r="V2018" s="1" t="s">
        <v>24</v>
      </c>
      <c r="W2018" s="1" t="s">
        <v>24</v>
      </c>
      <c r="X2018" s="1">
        <v>1602</v>
      </c>
      <c r="Y2018" s="1">
        <v>1303</v>
      </c>
      <c r="Z2018" s="1">
        <v>1308</v>
      </c>
      <c r="AA2018" s="1" t="s">
        <v>24</v>
      </c>
      <c r="AB2018" s="1" t="s">
        <v>24</v>
      </c>
      <c r="AC2018" s="1" t="s">
        <v>24</v>
      </c>
      <c r="AD2018" s="1" t="s">
        <v>24</v>
      </c>
      <c r="AE2018" s="1" t="s">
        <v>24</v>
      </c>
      <c r="AF2018" s="22"/>
    </row>
    <row r="2019" spans="1:32" x14ac:dyDescent="0.2">
      <c r="A2019" s="1">
        <v>11338</v>
      </c>
      <c r="B2019" s="1" t="s">
        <v>6453</v>
      </c>
      <c r="C2019" s="5" t="s">
        <v>0</v>
      </c>
      <c r="D2019" s="1" t="s">
        <v>6454</v>
      </c>
      <c r="E2019" s="1" t="s">
        <v>6455</v>
      </c>
      <c r="F2019" s="1" t="s">
        <v>296</v>
      </c>
      <c r="G2019" s="1" t="s">
        <v>36</v>
      </c>
      <c r="H2019" s="1" t="s">
        <v>264</v>
      </c>
      <c r="I2019" s="1" t="s">
        <v>16</v>
      </c>
      <c r="J2019" s="1">
        <v>1</v>
      </c>
      <c r="K2019" s="1">
        <v>12</v>
      </c>
      <c r="L2019" s="1" t="s">
        <v>31</v>
      </c>
      <c r="M2019" s="1" t="s">
        <v>18</v>
      </c>
      <c r="N2019" s="1" t="s">
        <v>18</v>
      </c>
      <c r="O2019" s="1">
        <v>3</v>
      </c>
      <c r="P2019" s="1">
        <v>7</v>
      </c>
      <c r="Q2019" s="7" t="s">
        <v>17633</v>
      </c>
      <c r="R2019" s="1" t="s">
        <v>19</v>
      </c>
      <c r="S2019" s="1" t="s">
        <v>20</v>
      </c>
      <c r="T2019" s="1" t="s">
        <v>21</v>
      </c>
      <c r="U2019" s="1" t="s">
        <v>22</v>
      </c>
      <c r="V2019" s="1" t="s">
        <v>24</v>
      </c>
      <c r="W2019" s="1" t="s">
        <v>24</v>
      </c>
      <c r="X2019" s="1">
        <v>2748</v>
      </c>
      <c r="Y2019" s="1" t="s">
        <v>24</v>
      </c>
      <c r="Z2019" s="1" t="s">
        <v>24</v>
      </c>
      <c r="AA2019" s="1" t="s">
        <v>24</v>
      </c>
      <c r="AB2019" s="1" t="s">
        <v>24</v>
      </c>
      <c r="AC2019" s="1" t="s">
        <v>24</v>
      </c>
      <c r="AD2019" s="1" t="s">
        <v>24</v>
      </c>
      <c r="AE2019" s="1" t="s">
        <v>24</v>
      </c>
      <c r="AF2019" s="22"/>
    </row>
    <row r="2020" spans="1:32" x14ac:dyDescent="0.2">
      <c r="A2020" s="1">
        <v>11340</v>
      </c>
      <c r="B2020" s="1" t="s">
        <v>6456</v>
      </c>
      <c r="C2020" s="5" t="s">
        <v>0</v>
      </c>
      <c r="D2020" s="1" t="s">
        <v>6457</v>
      </c>
      <c r="E2020" s="1" t="s">
        <v>6458</v>
      </c>
      <c r="F2020" s="1" t="s">
        <v>60</v>
      </c>
      <c r="G2020" s="1" t="s">
        <v>61</v>
      </c>
      <c r="H2020" s="1" t="s">
        <v>30</v>
      </c>
      <c r="I2020" s="1" t="s">
        <v>16</v>
      </c>
      <c r="J2020" s="1">
        <v>2</v>
      </c>
      <c r="K2020" s="1">
        <v>4</v>
      </c>
      <c r="L2020" s="1" t="s">
        <v>31</v>
      </c>
      <c r="M2020" s="1" t="s">
        <v>18</v>
      </c>
      <c r="N2020" s="1" t="s">
        <v>18</v>
      </c>
      <c r="O2020" s="1">
        <v>3</v>
      </c>
      <c r="P2020" s="1">
        <v>7</v>
      </c>
      <c r="Q2020" s="7" t="s">
        <v>17633</v>
      </c>
      <c r="R2020" s="1" t="s">
        <v>19</v>
      </c>
      <c r="S2020" s="1" t="s">
        <v>20</v>
      </c>
      <c r="T2020" s="1" t="s">
        <v>21</v>
      </c>
      <c r="U2020" s="1" t="s">
        <v>22</v>
      </c>
      <c r="V2020" s="1" t="s">
        <v>24</v>
      </c>
      <c r="W2020" s="1" t="s">
        <v>24</v>
      </c>
      <c r="X2020" s="1">
        <v>1312</v>
      </c>
      <c r="Y2020" s="1">
        <v>1313</v>
      </c>
      <c r="Z2020" s="1">
        <v>2720</v>
      </c>
      <c r="AA2020" s="1">
        <v>1307</v>
      </c>
      <c r="AB2020" s="1" t="s">
        <v>24</v>
      </c>
      <c r="AC2020" s="1" t="s">
        <v>24</v>
      </c>
      <c r="AD2020" s="1" t="s">
        <v>24</v>
      </c>
      <c r="AE2020" s="1" t="s">
        <v>24</v>
      </c>
      <c r="AF2020" s="22"/>
    </row>
    <row r="2021" spans="1:32" x14ac:dyDescent="0.2">
      <c r="A2021" s="1">
        <v>11342</v>
      </c>
      <c r="B2021" s="1" t="s">
        <v>6459</v>
      </c>
      <c r="C2021" s="5" t="s">
        <v>0</v>
      </c>
      <c r="D2021" s="1" t="s">
        <v>6460</v>
      </c>
      <c r="F2021" s="1" t="s">
        <v>6461</v>
      </c>
      <c r="G2021" s="1" t="s">
        <v>6461</v>
      </c>
      <c r="H2021" s="1" t="s">
        <v>116</v>
      </c>
      <c r="I2021" s="1" t="s">
        <v>16</v>
      </c>
      <c r="J2021" s="1">
        <v>1</v>
      </c>
      <c r="K2021" s="1">
        <v>3</v>
      </c>
      <c r="L2021" s="1" t="s">
        <v>42</v>
      </c>
      <c r="M2021" s="1" t="s">
        <v>18</v>
      </c>
      <c r="N2021" s="1" t="s">
        <v>18</v>
      </c>
      <c r="O2021" s="1">
        <v>3</v>
      </c>
      <c r="P2021" s="1">
        <v>6</v>
      </c>
      <c r="R2021" s="1" t="s">
        <v>19</v>
      </c>
      <c r="S2021" s="1" t="s">
        <v>20</v>
      </c>
      <c r="T2021" s="1" t="s">
        <v>21</v>
      </c>
      <c r="U2021" s="1" t="s">
        <v>22</v>
      </c>
      <c r="V2021" s="1" t="s">
        <v>24</v>
      </c>
      <c r="W2021" s="1" t="s">
        <v>24</v>
      </c>
      <c r="X2021" s="1">
        <v>2702</v>
      </c>
      <c r="Y2021" s="1" t="s">
        <v>24</v>
      </c>
      <c r="Z2021" s="1" t="s">
        <v>24</v>
      </c>
      <c r="AA2021" s="1" t="s">
        <v>24</v>
      </c>
      <c r="AB2021" s="1" t="s">
        <v>24</v>
      </c>
      <c r="AC2021" s="1" t="s">
        <v>24</v>
      </c>
      <c r="AD2021" s="1" t="s">
        <v>24</v>
      </c>
      <c r="AE2021" s="1" t="s">
        <v>24</v>
      </c>
      <c r="AF2021" s="22"/>
    </row>
    <row r="2022" spans="1:32" x14ac:dyDescent="0.2">
      <c r="A2022" s="1">
        <v>11345</v>
      </c>
      <c r="B2022" s="1" t="s">
        <v>6462</v>
      </c>
      <c r="C2022" s="5" t="s">
        <v>0</v>
      </c>
      <c r="D2022" s="1" t="s">
        <v>6463</v>
      </c>
      <c r="E2022" s="1" t="s">
        <v>6464</v>
      </c>
      <c r="F2022" s="1" t="s">
        <v>548</v>
      </c>
      <c r="G2022" s="1" t="s">
        <v>36</v>
      </c>
      <c r="H2022" s="1" t="s">
        <v>30</v>
      </c>
      <c r="I2022" s="1" t="s">
        <v>16</v>
      </c>
      <c r="J2022" s="1">
        <v>1</v>
      </c>
      <c r="K2022" s="1">
        <v>6</v>
      </c>
      <c r="L2022" s="1" t="s">
        <v>31</v>
      </c>
      <c r="M2022" s="1" t="s">
        <v>18</v>
      </c>
      <c r="N2022" s="1" t="s">
        <v>18</v>
      </c>
      <c r="O2022" s="1">
        <v>3</v>
      </c>
      <c r="P2022" s="1">
        <v>7</v>
      </c>
      <c r="Q2022" s="7" t="s">
        <v>17633</v>
      </c>
      <c r="R2022" s="1" t="s">
        <v>19</v>
      </c>
      <c r="S2022" s="1" t="s">
        <v>20</v>
      </c>
      <c r="T2022" s="1" t="s">
        <v>21</v>
      </c>
      <c r="U2022" s="1" t="s">
        <v>22</v>
      </c>
      <c r="V2022" s="1" t="s">
        <v>23</v>
      </c>
      <c r="W2022" s="1" t="s">
        <v>24</v>
      </c>
      <c r="X2022" s="1">
        <v>2705</v>
      </c>
      <c r="Y2022" s="1">
        <v>2741</v>
      </c>
      <c r="Z2022" s="1" t="s">
        <v>24</v>
      </c>
      <c r="AA2022" s="1" t="s">
        <v>24</v>
      </c>
      <c r="AB2022" s="1" t="s">
        <v>24</v>
      </c>
      <c r="AC2022" s="1" t="s">
        <v>24</v>
      </c>
      <c r="AD2022" s="1" t="s">
        <v>24</v>
      </c>
      <c r="AE2022" s="1" t="s">
        <v>24</v>
      </c>
      <c r="AF2022" s="22"/>
    </row>
    <row r="2023" spans="1:32" x14ac:dyDescent="0.2">
      <c r="A2023" s="1">
        <v>11347</v>
      </c>
      <c r="B2023" s="1" t="s">
        <v>6465</v>
      </c>
      <c r="C2023" s="5" t="s">
        <v>0</v>
      </c>
      <c r="D2023" s="1" t="s">
        <v>6466</v>
      </c>
      <c r="E2023" s="1" t="s">
        <v>6467</v>
      </c>
      <c r="F2023" s="1" t="s">
        <v>6468</v>
      </c>
      <c r="G2023" s="1" t="s">
        <v>6468</v>
      </c>
      <c r="H2023" s="1" t="s">
        <v>1384</v>
      </c>
      <c r="I2023" s="1" t="s">
        <v>16</v>
      </c>
      <c r="J2023" s="1">
        <v>1</v>
      </c>
      <c r="K2023" s="1">
        <v>3</v>
      </c>
      <c r="L2023" s="1" t="s">
        <v>42</v>
      </c>
      <c r="M2023" s="1" t="s">
        <v>18</v>
      </c>
      <c r="N2023" s="1" t="s">
        <v>18</v>
      </c>
      <c r="O2023" s="1">
        <v>1</v>
      </c>
      <c r="P2023" s="1">
        <v>5</v>
      </c>
      <c r="R2023" s="1" t="s">
        <v>19</v>
      </c>
      <c r="S2023" s="1" t="s">
        <v>20</v>
      </c>
      <c r="T2023" s="1" t="s">
        <v>21</v>
      </c>
      <c r="U2023" s="1" t="s">
        <v>22</v>
      </c>
      <c r="V2023" s="1" t="s">
        <v>24</v>
      </c>
      <c r="W2023" s="1" t="s">
        <v>24</v>
      </c>
      <c r="X2023" s="1">
        <v>2700</v>
      </c>
      <c r="Y2023" s="1" t="s">
        <v>24</v>
      </c>
      <c r="Z2023" s="1" t="s">
        <v>24</v>
      </c>
      <c r="AA2023" s="1" t="s">
        <v>24</v>
      </c>
      <c r="AB2023" s="1" t="s">
        <v>24</v>
      </c>
      <c r="AC2023" s="1" t="s">
        <v>24</v>
      </c>
      <c r="AD2023" s="1" t="s">
        <v>24</v>
      </c>
      <c r="AE2023" s="1" t="s">
        <v>24</v>
      </c>
      <c r="AF2023" s="22"/>
    </row>
    <row r="2024" spans="1:32" x14ac:dyDescent="0.2">
      <c r="A2024" s="1">
        <v>11348</v>
      </c>
      <c r="B2024" s="1" t="s">
        <v>6469</v>
      </c>
      <c r="C2024" s="5" t="s">
        <v>0</v>
      </c>
      <c r="D2024" s="1" t="s">
        <v>6470</v>
      </c>
      <c r="E2024" s="1" t="s">
        <v>6471</v>
      </c>
      <c r="F2024" s="1" t="s">
        <v>371</v>
      </c>
      <c r="G2024" s="1" t="s">
        <v>372</v>
      </c>
      <c r="H2024" s="1" t="s">
        <v>30</v>
      </c>
      <c r="I2024" s="1" t="s">
        <v>16</v>
      </c>
      <c r="J2024" s="1">
        <v>1</v>
      </c>
      <c r="K2024" s="1">
        <v>4</v>
      </c>
      <c r="L2024" s="1" t="s">
        <v>31</v>
      </c>
      <c r="M2024" s="1" t="s">
        <v>18</v>
      </c>
      <c r="N2024" s="1" t="s">
        <v>18</v>
      </c>
      <c r="O2024" s="1">
        <v>3</v>
      </c>
      <c r="P2024" s="1">
        <v>7</v>
      </c>
      <c r="Q2024" s="7" t="s">
        <v>17633</v>
      </c>
      <c r="R2024" s="1" t="s">
        <v>19</v>
      </c>
      <c r="S2024" s="1" t="s">
        <v>20</v>
      </c>
      <c r="T2024" s="1" t="s">
        <v>21</v>
      </c>
      <c r="U2024" s="1" t="s">
        <v>22</v>
      </c>
      <c r="V2024" s="1" t="s">
        <v>24</v>
      </c>
      <c r="W2024" s="1" t="s">
        <v>24</v>
      </c>
      <c r="X2024" s="1">
        <v>2705</v>
      </c>
      <c r="Y2024" s="1" t="s">
        <v>24</v>
      </c>
      <c r="Z2024" s="1" t="s">
        <v>24</v>
      </c>
      <c r="AA2024" s="1" t="s">
        <v>24</v>
      </c>
      <c r="AB2024" s="1" t="s">
        <v>24</v>
      </c>
      <c r="AC2024" s="1" t="s">
        <v>24</v>
      </c>
      <c r="AD2024" s="1" t="s">
        <v>24</v>
      </c>
      <c r="AE2024" s="1" t="s">
        <v>24</v>
      </c>
      <c r="AF2024" s="22"/>
    </row>
    <row r="2025" spans="1:32" x14ac:dyDescent="0.2">
      <c r="A2025" s="1">
        <v>11355</v>
      </c>
      <c r="B2025" s="1" t="s">
        <v>6472</v>
      </c>
      <c r="C2025" s="5" t="s">
        <v>0</v>
      </c>
      <c r="D2025" s="1" t="s">
        <v>6473</v>
      </c>
      <c r="E2025" s="1" t="s">
        <v>6474</v>
      </c>
      <c r="F2025" s="1" t="s">
        <v>324</v>
      </c>
      <c r="G2025" s="1" t="s">
        <v>61</v>
      </c>
      <c r="H2025" s="1" t="s">
        <v>30</v>
      </c>
      <c r="I2025" s="1" t="s">
        <v>16</v>
      </c>
      <c r="J2025" s="1">
        <v>1</v>
      </c>
      <c r="K2025" s="1">
        <v>12</v>
      </c>
      <c r="L2025" s="1" t="s">
        <v>31</v>
      </c>
      <c r="M2025" s="1" t="s">
        <v>18</v>
      </c>
      <c r="N2025" s="1" t="s">
        <v>18</v>
      </c>
      <c r="O2025" s="1">
        <v>3</v>
      </c>
      <c r="P2025" s="1">
        <v>7</v>
      </c>
      <c r="Q2025" s="7" t="s">
        <v>17633</v>
      </c>
      <c r="R2025" s="1" t="s">
        <v>62</v>
      </c>
      <c r="S2025" s="1" t="s">
        <v>20</v>
      </c>
      <c r="T2025" s="1" t="s">
        <v>21</v>
      </c>
      <c r="U2025" s="1" t="s">
        <v>22</v>
      </c>
      <c r="V2025" s="1" t="s">
        <v>24</v>
      </c>
      <c r="W2025" s="1" t="s">
        <v>64</v>
      </c>
      <c r="X2025" s="1">
        <v>1312</v>
      </c>
      <c r="Y2025" s="1">
        <v>1315</v>
      </c>
      <c r="Z2025" s="1" t="s">
        <v>24</v>
      </c>
      <c r="AA2025" s="1" t="s">
        <v>24</v>
      </c>
      <c r="AB2025" s="1" t="s">
        <v>24</v>
      </c>
      <c r="AC2025" s="1" t="s">
        <v>24</v>
      </c>
      <c r="AD2025" s="1" t="s">
        <v>24</v>
      </c>
      <c r="AE2025" s="1" t="s">
        <v>24</v>
      </c>
      <c r="AF2025" s="22"/>
    </row>
    <row r="2026" spans="1:32" x14ac:dyDescent="0.2">
      <c r="A2026" s="1">
        <v>11356</v>
      </c>
      <c r="B2026" s="1" t="s">
        <v>6475</v>
      </c>
      <c r="C2026" s="5" t="s">
        <v>0</v>
      </c>
      <c r="D2026" s="1" t="s">
        <v>6476</v>
      </c>
      <c r="E2026" s="1" t="s">
        <v>6477</v>
      </c>
      <c r="F2026" s="1" t="s">
        <v>190</v>
      </c>
      <c r="G2026" s="1" t="s">
        <v>130</v>
      </c>
      <c r="H2026" s="1" t="s">
        <v>30</v>
      </c>
      <c r="I2026" s="1" t="s">
        <v>16</v>
      </c>
      <c r="J2026" s="1">
        <v>1</v>
      </c>
      <c r="K2026" s="1">
        <v>6</v>
      </c>
      <c r="L2026" s="1" t="s">
        <v>31</v>
      </c>
      <c r="M2026" s="1" t="s">
        <v>18</v>
      </c>
      <c r="N2026" s="1" t="s">
        <v>18</v>
      </c>
      <c r="O2026" s="1">
        <v>3</v>
      </c>
      <c r="P2026" s="1">
        <v>7</v>
      </c>
      <c r="Q2026" s="7" t="s">
        <v>17633</v>
      </c>
      <c r="R2026" s="1" t="s">
        <v>19</v>
      </c>
      <c r="S2026" s="1" t="s">
        <v>20</v>
      </c>
      <c r="T2026" s="1" t="s">
        <v>21</v>
      </c>
      <c r="U2026" s="1" t="s">
        <v>22</v>
      </c>
      <c r="V2026" s="1" t="s">
        <v>23</v>
      </c>
      <c r="W2026" s="1" t="s">
        <v>24</v>
      </c>
      <c r="X2026" s="1">
        <v>2741</v>
      </c>
      <c r="Y2026" s="1">
        <v>2711</v>
      </c>
      <c r="Z2026" s="1" t="s">
        <v>24</v>
      </c>
      <c r="AA2026" s="1" t="s">
        <v>24</v>
      </c>
      <c r="AB2026" s="1" t="s">
        <v>24</v>
      </c>
      <c r="AC2026" s="1" t="s">
        <v>24</v>
      </c>
      <c r="AD2026" s="1" t="s">
        <v>24</v>
      </c>
      <c r="AE2026" s="1" t="s">
        <v>24</v>
      </c>
      <c r="AF2026" s="22"/>
    </row>
    <row r="2027" spans="1:32" x14ac:dyDescent="0.2">
      <c r="A2027" s="1">
        <v>11357</v>
      </c>
      <c r="B2027" s="1" t="s">
        <v>6478</v>
      </c>
      <c r="C2027" s="5" t="s">
        <v>0</v>
      </c>
      <c r="D2027" s="1" t="s">
        <v>6479</v>
      </c>
      <c r="E2027" s="1" t="s">
        <v>6480</v>
      </c>
      <c r="F2027" s="1" t="s">
        <v>751</v>
      </c>
      <c r="G2027" s="1" t="s">
        <v>36</v>
      </c>
      <c r="H2027" s="1" t="s">
        <v>37</v>
      </c>
      <c r="I2027" s="1" t="s">
        <v>16</v>
      </c>
      <c r="J2027" s="1">
        <v>1</v>
      </c>
      <c r="K2027" s="1">
        <v>12</v>
      </c>
      <c r="L2027" s="1" t="s">
        <v>31</v>
      </c>
      <c r="M2027" s="1" t="s">
        <v>18</v>
      </c>
      <c r="N2027" s="1" t="s">
        <v>18</v>
      </c>
      <c r="O2027" s="1">
        <v>3</v>
      </c>
      <c r="P2027" s="1">
        <v>7</v>
      </c>
      <c r="Q2027" s="7" t="s">
        <v>17633</v>
      </c>
      <c r="R2027" s="1" t="s">
        <v>62</v>
      </c>
      <c r="S2027" s="1" t="s">
        <v>20</v>
      </c>
      <c r="T2027" s="1" t="s">
        <v>21</v>
      </c>
      <c r="U2027" s="1" t="s">
        <v>22</v>
      </c>
      <c r="V2027" s="1" t="s">
        <v>24</v>
      </c>
      <c r="W2027" s="1" t="s">
        <v>64</v>
      </c>
      <c r="X2027" s="1">
        <v>1607</v>
      </c>
      <c r="Y2027" s="1" t="s">
        <v>24</v>
      </c>
      <c r="Z2027" s="1" t="s">
        <v>24</v>
      </c>
      <c r="AA2027" s="1" t="s">
        <v>24</v>
      </c>
      <c r="AB2027" s="1" t="s">
        <v>24</v>
      </c>
      <c r="AC2027" s="1" t="s">
        <v>24</v>
      </c>
      <c r="AD2027" s="1" t="s">
        <v>24</v>
      </c>
      <c r="AE2027" s="1" t="s">
        <v>24</v>
      </c>
      <c r="AF2027" s="22"/>
    </row>
    <row r="2028" spans="1:32" x14ac:dyDescent="0.2">
      <c r="A2028" s="1">
        <v>11358</v>
      </c>
      <c r="B2028" s="1" t="s">
        <v>6481</v>
      </c>
      <c r="C2028" s="5" t="s">
        <v>0</v>
      </c>
      <c r="D2028" s="1" t="s">
        <v>6482</v>
      </c>
      <c r="E2028" s="1" t="s">
        <v>6483</v>
      </c>
      <c r="F2028" s="1" t="s">
        <v>493</v>
      </c>
      <c r="G2028" s="1" t="s">
        <v>98</v>
      </c>
      <c r="H2028" s="1" t="s">
        <v>30</v>
      </c>
      <c r="I2028" s="1" t="s">
        <v>16</v>
      </c>
      <c r="J2028" s="1">
        <v>1</v>
      </c>
      <c r="K2028" s="1">
        <v>4</v>
      </c>
      <c r="L2028" s="1" t="s">
        <v>31</v>
      </c>
      <c r="M2028" s="1" t="s">
        <v>18</v>
      </c>
      <c r="N2028" s="1" t="s">
        <v>18</v>
      </c>
      <c r="O2028" s="1">
        <v>3</v>
      </c>
      <c r="P2028" s="1">
        <v>7</v>
      </c>
      <c r="Q2028" s="7" t="s">
        <v>17633</v>
      </c>
      <c r="R2028" s="1" t="s">
        <v>19</v>
      </c>
      <c r="S2028" s="1" t="s">
        <v>20</v>
      </c>
      <c r="T2028" s="1" t="s">
        <v>21</v>
      </c>
      <c r="U2028" s="1" t="s">
        <v>22</v>
      </c>
      <c r="V2028" s="1" t="s">
        <v>24</v>
      </c>
      <c r="W2028" s="1" t="s">
        <v>24</v>
      </c>
      <c r="X2028" s="1">
        <v>2702</v>
      </c>
      <c r="Y2028" s="1">
        <v>2734</v>
      </c>
      <c r="Z2028" s="1">
        <v>2746</v>
      </c>
      <c r="AA2028" s="1" t="s">
        <v>24</v>
      </c>
      <c r="AB2028" s="1" t="s">
        <v>24</v>
      </c>
      <c r="AC2028" s="1" t="s">
        <v>24</v>
      </c>
      <c r="AD2028" s="1" t="s">
        <v>24</v>
      </c>
      <c r="AE2028" s="1" t="s">
        <v>24</v>
      </c>
      <c r="AF2028" s="22"/>
    </row>
    <row r="2029" spans="1:32" x14ac:dyDescent="0.2">
      <c r="A2029" s="1">
        <v>11362</v>
      </c>
      <c r="B2029" s="1" t="s">
        <v>6484</v>
      </c>
      <c r="C2029" s="5" t="s">
        <v>0</v>
      </c>
      <c r="D2029" s="1" t="s">
        <v>6485</v>
      </c>
      <c r="F2029" s="1" t="s">
        <v>6486</v>
      </c>
      <c r="G2029" s="1" t="s">
        <v>6487</v>
      </c>
      <c r="H2029" s="1" t="s">
        <v>30</v>
      </c>
      <c r="I2029" s="1" t="s">
        <v>16</v>
      </c>
      <c r="J2029" s="1">
        <v>1</v>
      </c>
      <c r="K2029" s="1">
        <v>4</v>
      </c>
      <c r="L2029" s="1" t="s">
        <v>31</v>
      </c>
      <c r="M2029" s="1" t="s">
        <v>18</v>
      </c>
      <c r="N2029" s="1" t="s">
        <v>18</v>
      </c>
      <c r="O2029" s="1">
        <v>3</v>
      </c>
      <c r="P2029" s="1">
        <v>6</v>
      </c>
      <c r="R2029" s="1" t="s">
        <v>19</v>
      </c>
      <c r="S2029" s="1" t="s">
        <v>20</v>
      </c>
      <c r="T2029" s="1" t="s">
        <v>21</v>
      </c>
      <c r="U2029" s="1" t="s">
        <v>22</v>
      </c>
      <c r="V2029" s="1" t="s">
        <v>24</v>
      </c>
      <c r="W2029" s="1" t="s">
        <v>24</v>
      </c>
      <c r="X2029" s="1">
        <v>3205</v>
      </c>
      <c r="Y2029" s="1">
        <v>1201</v>
      </c>
      <c r="Z2029" s="1" t="s">
        <v>24</v>
      </c>
      <c r="AA2029" s="1" t="s">
        <v>24</v>
      </c>
      <c r="AB2029" s="1" t="s">
        <v>24</v>
      </c>
      <c r="AC2029" s="1" t="s">
        <v>24</v>
      </c>
      <c r="AD2029" s="1" t="s">
        <v>24</v>
      </c>
      <c r="AE2029" s="1" t="s">
        <v>24</v>
      </c>
      <c r="AF2029" s="22"/>
    </row>
    <row r="2030" spans="1:32" x14ac:dyDescent="0.2">
      <c r="A2030" s="1">
        <v>11364</v>
      </c>
      <c r="B2030" s="1" t="s">
        <v>6488</v>
      </c>
      <c r="C2030" s="5" t="s">
        <v>0</v>
      </c>
      <c r="D2030" s="1" t="s">
        <v>6489</v>
      </c>
      <c r="F2030" s="1" t="s">
        <v>1814</v>
      </c>
      <c r="G2030" s="1" t="s">
        <v>1814</v>
      </c>
      <c r="H2030" s="1" t="s">
        <v>461</v>
      </c>
      <c r="I2030" s="1" t="s">
        <v>16</v>
      </c>
      <c r="J2030" s="1">
        <v>1</v>
      </c>
      <c r="K2030" s="1">
        <v>4</v>
      </c>
      <c r="L2030" s="1" t="s">
        <v>17</v>
      </c>
      <c r="M2030" s="1" t="s">
        <v>635</v>
      </c>
      <c r="N2030" s="1" t="s">
        <v>18</v>
      </c>
      <c r="O2030" s="1">
        <v>2</v>
      </c>
      <c r="P2030" s="1">
        <v>4</v>
      </c>
      <c r="R2030" s="1" t="s">
        <v>19</v>
      </c>
      <c r="S2030" s="1" t="s">
        <v>20</v>
      </c>
      <c r="T2030" s="1" t="s">
        <v>21</v>
      </c>
      <c r="U2030" s="1" t="s">
        <v>22</v>
      </c>
      <c r="V2030" s="1" t="s">
        <v>23</v>
      </c>
      <c r="W2030" s="1" t="s">
        <v>24</v>
      </c>
      <c r="X2030" s="1">
        <v>2703</v>
      </c>
      <c r="Y2030" s="1">
        <v>2711</v>
      </c>
      <c r="Z2030" s="1" t="s">
        <v>24</v>
      </c>
      <c r="AA2030" s="1" t="s">
        <v>24</v>
      </c>
      <c r="AB2030" s="1" t="s">
        <v>24</v>
      </c>
      <c r="AC2030" s="1" t="s">
        <v>24</v>
      </c>
      <c r="AD2030" s="1" t="s">
        <v>24</v>
      </c>
      <c r="AE2030" s="1" t="s">
        <v>24</v>
      </c>
      <c r="AF2030" s="22"/>
    </row>
    <row r="2031" spans="1:32" x14ac:dyDescent="0.2">
      <c r="A2031" s="1">
        <v>11365</v>
      </c>
      <c r="B2031" s="1" t="s">
        <v>6490</v>
      </c>
      <c r="C2031" s="5" t="s">
        <v>0</v>
      </c>
      <c r="D2031" s="1" t="s">
        <v>6491</v>
      </c>
      <c r="E2031" s="1" t="s">
        <v>6492</v>
      </c>
      <c r="F2031" s="1" t="s">
        <v>320</v>
      </c>
      <c r="G2031" s="1" t="s">
        <v>36</v>
      </c>
      <c r="H2031" s="1" t="s">
        <v>30</v>
      </c>
      <c r="I2031" s="1" t="s">
        <v>16</v>
      </c>
      <c r="J2031" s="1">
        <v>8</v>
      </c>
      <c r="K2031" s="1">
        <v>1</v>
      </c>
      <c r="L2031" s="1" t="s">
        <v>31</v>
      </c>
      <c r="M2031" s="1" t="s">
        <v>18</v>
      </c>
      <c r="N2031" s="1" t="s">
        <v>18</v>
      </c>
      <c r="O2031" s="1">
        <v>3</v>
      </c>
      <c r="P2031" s="1">
        <v>8</v>
      </c>
      <c r="Q2031" s="7" t="s">
        <v>17633</v>
      </c>
      <c r="R2031" s="1" t="s">
        <v>62</v>
      </c>
      <c r="S2031" s="1" t="s">
        <v>20</v>
      </c>
      <c r="T2031" s="1" t="s">
        <v>21</v>
      </c>
      <c r="U2031" s="1" t="s">
        <v>22</v>
      </c>
      <c r="V2031" s="1" t="s">
        <v>24</v>
      </c>
      <c r="W2031" s="1" t="s">
        <v>24</v>
      </c>
      <c r="X2031" s="1">
        <v>2716</v>
      </c>
      <c r="Y2031" s="1">
        <v>2738</v>
      </c>
      <c r="Z2031" s="1">
        <v>2804</v>
      </c>
      <c r="AA2031" s="1" t="s">
        <v>24</v>
      </c>
      <c r="AB2031" s="1" t="s">
        <v>24</v>
      </c>
      <c r="AC2031" s="1" t="s">
        <v>24</v>
      </c>
      <c r="AD2031" s="1" t="s">
        <v>24</v>
      </c>
      <c r="AE2031" s="1" t="s">
        <v>24</v>
      </c>
      <c r="AF2031" s="22"/>
    </row>
    <row r="2032" spans="1:32" x14ac:dyDescent="0.2">
      <c r="A2032" s="1">
        <v>11367</v>
      </c>
      <c r="B2032" s="1" t="s">
        <v>6493</v>
      </c>
      <c r="C2032" s="5" t="s">
        <v>0</v>
      </c>
      <c r="D2032" s="1" t="s">
        <v>6494</v>
      </c>
      <c r="E2032" s="1" t="s">
        <v>6495</v>
      </c>
      <c r="F2032" s="1" t="s">
        <v>35</v>
      </c>
      <c r="G2032" s="1" t="s">
        <v>36</v>
      </c>
      <c r="H2032" s="1" t="s">
        <v>37</v>
      </c>
      <c r="I2032" s="1" t="s">
        <v>16</v>
      </c>
      <c r="J2032" s="1">
        <v>1</v>
      </c>
      <c r="K2032" s="1">
        <v>12</v>
      </c>
      <c r="L2032" s="1" t="s">
        <v>31</v>
      </c>
      <c r="M2032" s="1" t="s">
        <v>18</v>
      </c>
      <c r="N2032" s="1" t="s">
        <v>18</v>
      </c>
      <c r="O2032" s="1">
        <v>3</v>
      </c>
      <c r="P2032" s="1">
        <v>7</v>
      </c>
      <c r="Q2032" s="7" t="s">
        <v>17633</v>
      </c>
      <c r="R2032" s="1" t="s">
        <v>19</v>
      </c>
      <c r="S2032" s="1" t="s">
        <v>20</v>
      </c>
      <c r="T2032" s="1" t="s">
        <v>21</v>
      </c>
      <c r="U2032" s="1" t="s">
        <v>22</v>
      </c>
      <c r="V2032" s="1" t="s">
        <v>24</v>
      </c>
      <c r="W2032" s="1" t="s">
        <v>24</v>
      </c>
      <c r="X2032" s="1">
        <v>2708</v>
      </c>
      <c r="Y2032" s="1">
        <v>2746</v>
      </c>
      <c r="Z2032" s="1" t="s">
        <v>24</v>
      </c>
      <c r="AA2032" s="1" t="s">
        <v>24</v>
      </c>
      <c r="AB2032" s="1" t="s">
        <v>24</v>
      </c>
      <c r="AC2032" s="1" t="s">
        <v>24</v>
      </c>
      <c r="AD2032" s="1" t="s">
        <v>24</v>
      </c>
      <c r="AE2032" s="1" t="s">
        <v>24</v>
      </c>
      <c r="AF2032" s="22" t="s">
        <v>17704</v>
      </c>
    </row>
    <row r="2033" spans="1:32" x14ac:dyDescent="0.2">
      <c r="A2033" s="1">
        <v>11368</v>
      </c>
      <c r="B2033" s="1" t="s">
        <v>6496</v>
      </c>
      <c r="C2033" s="5" t="s">
        <v>0</v>
      </c>
      <c r="D2033" s="1" t="s">
        <v>6497</v>
      </c>
      <c r="E2033" s="1" t="s">
        <v>6498</v>
      </c>
      <c r="F2033" s="1" t="s">
        <v>167</v>
      </c>
      <c r="G2033" s="1" t="s">
        <v>130</v>
      </c>
      <c r="H2033" s="1" t="s">
        <v>168</v>
      </c>
      <c r="I2033" s="1" t="s">
        <v>16</v>
      </c>
      <c r="J2033" s="1">
        <v>1</v>
      </c>
      <c r="K2033" s="1">
        <v>12</v>
      </c>
      <c r="L2033" s="1" t="s">
        <v>31</v>
      </c>
      <c r="M2033" s="1" t="s">
        <v>18</v>
      </c>
      <c r="N2033" s="1" t="s">
        <v>18</v>
      </c>
      <c r="O2033" s="1">
        <v>3</v>
      </c>
      <c r="P2033" s="1">
        <v>6</v>
      </c>
      <c r="R2033" s="1" t="s">
        <v>62</v>
      </c>
      <c r="S2033" s="1" t="s">
        <v>20</v>
      </c>
      <c r="T2033" s="1" t="s">
        <v>21</v>
      </c>
      <c r="U2033" s="1" t="s">
        <v>22</v>
      </c>
      <c r="V2033" s="1" t="s">
        <v>24</v>
      </c>
      <c r="W2033" s="1" t="s">
        <v>24</v>
      </c>
      <c r="X2033" s="1">
        <v>1313</v>
      </c>
      <c r="Y2033" s="1">
        <v>3002</v>
      </c>
      <c r="Z2033" s="1">
        <v>2716</v>
      </c>
      <c r="AA2033" s="1" t="s">
        <v>24</v>
      </c>
      <c r="AB2033" s="1" t="s">
        <v>24</v>
      </c>
      <c r="AC2033" s="1" t="s">
        <v>24</v>
      </c>
      <c r="AD2033" s="1" t="s">
        <v>24</v>
      </c>
      <c r="AE2033" s="1" t="s">
        <v>24</v>
      </c>
      <c r="AF2033" s="22"/>
    </row>
    <row r="2034" spans="1:32" x14ac:dyDescent="0.2">
      <c r="A2034" s="1">
        <v>11373</v>
      </c>
      <c r="B2034" s="1" t="s">
        <v>6499</v>
      </c>
      <c r="C2034" s="5" t="s">
        <v>0</v>
      </c>
      <c r="D2034" s="1" t="s">
        <v>6500</v>
      </c>
      <c r="E2034" s="1" t="s">
        <v>6501</v>
      </c>
      <c r="F2034" s="1" t="s">
        <v>315</v>
      </c>
      <c r="G2034" s="1" t="s">
        <v>316</v>
      </c>
      <c r="H2034" s="1" t="s">
        <v>37</v>
      </c>
      <c r="I2034" s="1" t="s">
        <v>16</v>
      </c>
      <c r="J2034" s="1">
        <v>1</v>
      </c>
      <c r="K2034" s="1">
        <v>12</v>
      </c>
      <c r="L2034" s="1" t="s">
        <v>31</v>
      </c>
      <c r="M2034" s="1" t="s">
        <v>18</v>
      </c>
      <c r="N2034" s="1" t="s">
        <v>18</v>
      </c>
      <c r="O2034" s="1">
        <v>3</v>
      </c>
      <c r="P2034" s="1">
        <v>9</v>
      </c>
      <c r="Q2034" s="7" t="s">
        <v>17633</v>
      </c>
      <c r="R2034" s="1" t="s">
        <v>62</v>
      </c>
      <c r="S2034" s="1" t="s">
        <v>20</v>
      </c>
      <c r="T2034" s="1" t="s">
        <v>21</v>
      </c>
      <c r="U2034" s="1" t="s">
        <v>22</v>
      </c>
      <c r="V2034" s="1" t="s">
        <v>24</v>
      </c>
      <c r="W2034" s="1" t="s">
        <v>64</v>
      </c>
      <c r="X2034" s="1">
        <v>1300</v>
      </c>
      <c r="Y2034" s="1">
        <v>2700</v>
      </c>
      <c r="Z2034" s="1" t="s">
        <v>24</v>
      </c>
      <c r="AA2034" s="1" t="s">
        <v>24</v>
      </c>
      <c r="AB2034" s="1" t="s">
        <v>24</v>
      </c>
      <c r="AC2034" s="1" t="s">
        <v>24</v>
      </c>
      <c r="AD2034" s="1" t="s">
        <v>24</v>
      </c>
      <c r="AE2034" s="1" t="s">
        <v>24</v>
      </c>
      <c r="AF2034" s="22"/>
    </row>
    <row r="2035" spans="1:32" x14ac:dyDescent="0.2">
      <c r="A2035" s="1">
        <v>11380</v>
      </c>
      <c r="B2035" s="1" t="s">
        <v>6502</v>
      </c>
      <c r="C2035" s="5" t="s">
        <v>0</v>
      </c>
      <c r="D2035" s="1" t="s">
        <v>6503</v>
      </c>
      <c r="E2035" s="1" t="s">
        <v>6504</v>
      </c>
      <c r="F2035" s="1" t="s">
        <v>1177</v>
      </c>
      <c r="G2035" s="1" t="s">
        <v>61</v>
      </c>
      <c r="H2035" s="1" t="s">
        <v>37</v>
      </c>
      <c r="I2035" s="1" t="s">
        <v>16</v>
      </c>
      <c r="J2035" s="1">
        <v>2</v>
      </c>
      <c r="K2035" s="1">
        <v>6</v>
      </c>
      <c r="L2035" s="1" t="s">
        <v>31</v>
      </c>
      <c r="M2035" s="1" t="s">
        <v>18</v>
      </c>
      <c r="N2035" s="1" t="s">
        <v>18</v>
      </c>
      <c r="O2035" s="1">
        <v>3</v>
      </c>
      <c r="P2035" s="1">
        <v>7</v>
      </c>
      <c r="Q2035" s="7" t="s">
        <v>17633</v>
      </c>
      <c r="R2035" s="1" t="s">
        <v>19</v>
      </c>
      <c r="S2035" s="1" t="s">
        <v>20</v>
      </c>
      <c r="T2035" s="1" t="s">
        <v>21</v>
      </c>
      <c r="U2035" s="1" t="s">
        <v>22</v>
      </c>
      <c r="V2035" s="1" t="s">
        <v>24</v>
      </c>
      <c r="W2035" s="1" t="s">
        <v>24</v>
      </c>
      <c r="X2035" s="1">
        <v>2705</v>
      </c>
      <c r="Y2035" s="1">
        <v>2746</v>
      </c>
      <c r="Z2035" s="1" t="s">
        <v>24</v>
      </c>
      <c r="AA2035" s="1" t="s">
        <v>24</v>
      </c>
      <c r="AB2035" s="1" t="s">
        <v>24</v>
      </c>
      <c r="AC2035" s="1" t="s">
        <v>24</v>
      </c>
      <c r="AD2035" s="1" t="s">
        <v>24</v>
      </c>
      <c r="AE2035" s="1" t="s">
        <v>24</v>
      </c>
      <c r="AF2035" s="22"/>
    </row>
    <row r="2036" spans="1:32" x14ac:dyDescent="0.2">
      <c r="A2036" s="1">
        <v>11381</v>
      </c>
      <c r="B2036" s="1" t="s">
        <v>6505</v>
      </c>
      <c r="C2036" s="5" t="s">
        <v>0</v>
      </c>
      <c r="D2036" s="1" t="s">
        <v>6506</v>
      </c>
      <c r="F2036" s="1" t="s">
        <v>6507</v>
      </c>
      <c r="G2036" s="1" t="s">
        <v>6508</v>
      </c>
      <c r="H2036" s="1" t="s">
        <v>30</v>
      </c>
      <c r="I2036" s="1" t="s">
        <v>16</v>
      </c>
      <c r="J2036" s="1">
        <v>1</v>
      </c>
      <c r="K2036" s="1">
        <v>4</v>
      </c>
      <c r="L2036" s="1" t="s">
        <v>17</v>
      </c>
      <c r="M2036" s="1" t="s">
        <v>18</v>
      </c>
      <c r="N2036" s="1" t="s">
        <v>18</v>
      </c>
      <c r="O2036" s="1">
        <v>3</v>
      </c>
      <c r="P2036" s="1">
        <v>6</v>
      </c>
      <c r="R2036" s="1" t="s">
        <v>19</v>
      </c>
      <c r="S2036" s="1" t="s">
        <v>20</v>
      </c>
      <c r="T2036" s="1" t="s">
        <v>21</v>
      </c>
      <c r="U2036" s="1" t="s">
        <v>22</v>
      </c>
      <c r="V2036" s="1" t="s">
        <v>24</v>
      </c>
      <c r="W2036" s="1" t="s">
        <v>24</v>
      </c>
      <c r="X2036" s="1">
        <v>1308</v>
      </c>
      <c r="Y2036" s="1">
        <v>2704</v>
      </c>
      <c r="Z2036" s="1" t="s">
        <v>24</v>
      </c>
      <c r="AA2036" s="1" t="s">
        <v>24</v>
      </c>
      <c r="AB2036" s="1" t="s">
        <v>24</v>
      </c>
      <c r="AC2036" s="1" t="s">
        <v>24</v>
      </c>
      <c r="AD2036" s="1" t="s">
        <v>24</v>
      </c>
      <c r="AE2036" s="1" t="s">
        <v>24</v>
      </c>
      <c r="AF2036" s="22"/>
    </row>
    <row r="2037" spans="1:32" x14ac:dyDescent="0.2">
      <c r="A2037" s="1">
        <v>11382</v>
      </c>
      <c r="B2037" s="1" t="s">
        <v>6509</v>
      </c>
      <c r="C2037" s="5" t="s">
        <v>0</v>
      </c>
      <c r="D2037" s="1" t="s">
        <v>6510</v>
      </c>
      <c r="F2037" s="1" t="s">
        <v>6511</v>
      </c>
      <c r="G2037" s="1" t="s">
        <v>6511</v>
      </c>
      <c r="H2037" s="1" t="s">
        <v>1384</v>
      </c>
      <c r="I2037" s="1" t="s">
        <v>16</v>
      </c>
      <c r="J2037" s="1">
        <v>0</v>
      </c>
      <c r="K2037" s="1">
        <v>0</v>
      </c>
      <c r="L2037" s="1" t="s">
        <v>17</v>
      </c>
      <c r="M2037" s="1" t="s">
        <v>1385</v>
      </c>
      <c r="N2037" s="1" t="s">
        <v>3142</v>
      </c>
      <c r="O2037" s="1">
        <v>3</v>
      </c>
      <c r="P2037" s="1">
        <v>5</v>
      </c>
      <c r="R2037" s="1" t="s">
        <v>19</v>
      </c>
      <c r="S2037" s="1" t="s">
        <v>20</v>
      </c>
      <c r="T2037" s="1" t="s">
        <v>21</v>
      </c>
      <c r="U2037" s="1" t="s">
        <v>22</v>
      </c>
      <c r="V2037" s="1" t="s">
        <v>24</v>
      </c>
      <c r="W2037" s="1" t="s">
        <v>24</v>
      </c>
      <c r="X2037" s="1">
        <v>2729</v>
      </c>
      <c r="Y2037" s="1" t="s">
        <v>24</v>
      </c>
      <c r="Z2037" s="1" t="s">
        <v>24</v>
      </c>
      <c r="AA2037" s="1" t="s">
        <v>24</v>
      </c>
      <c r="AB2037" s="1" t="s">
        <v>24</v>
      </c>
      <c r="AC2037" s="1" t="s">
        <v>24</v>
      </c>
      <c r="AD2037" s="1" t="s">
        <v>24</v>
      </c>
      <c r="AE2037" s="1" t="s">
        <v>24</v>
      </c>
      <c r="AF2037" s="22"/>
    </row>
    <row r="2038" spans="1:32" x14ac:dyDescent="0.2">
      <c r="A2038" s="1">
        <v>11387</v>
      </c>
      <c r="B2038" s="1" t="s">
        <v>6512</v>
      </c>
      <c r="C2038" s="5" t="s">
        <v>0</v>
      </c>
      <c r="D2038" s="1" t="s">
        <v>6513</v>
      </c>
      <c r="E2038" s="1" t="s">
        <v>6514</v>
      </c>
      <c r="F2038" s="1" t="s">
        <v>6515</v>
      </c>
      <c r="G2038" s="1" t="s">
        <v>6515</v>
      </c>
      <c r="H2038" s="1" t="s">
        <v>453</v>
      </c>
      <c r="I2038" s="1" t="s">
        <v>16</v>
      </c>
      <c r="J2038" s="1">
        <v>1</v>
      </c>
      <c r="K2038" s="1">
        <v>1</v>
      </c>
      <c r="L2038" s="1" t="s">
        <v>42</v>
      </c>
      <c r="M2038" s="1" t="s">
        <v>18</v>
      </c>
      <c r="N2038" s="1" t="s">
        <v>18</v>
      </c>
      <c r="O2038" s="1">
        <v>3</v>
      </c>
      <c r="P2038" s="1">
        <v>5</v>
      </c>
      <c r="R2038" s="1" t="s">
        <v>19</v>
      </c>
      <c r="S2038" s="1" t="s">
        <v>20</v>
      </c>
      <c r="T2038" s="1" t="s">
        <v>21</v>
      </c>
      <c r="U2038" s="1" t="s">
        <v>22</v>
      </c>
      <c r="V2038" s="1" t="s">
        <v>24</v>
      </c>
      <c r="W2038" s="1" t="s">
        <v>24</v>
      </c>
      <c r="X2038" s="1">
        <v>1300</v>
      </c>
      <c r="Y2038" s="1">
        <v>2700</v>
      </c>
      <c r="Z2038" s="1" t="s">
        <v>24</v>
      </c>
      <c r="AA2038" s="1" t="s">
        <v>24</v>
      </c>
      <c r="AB2038" s="1" t="s">
        <v>24</v>
      </c>
      <c r="AC2038" s="1" t="s">
        <v>24</v>
      </c>
      <c r="AD2038" s="1" t="s">
        <v>24</v>
      </c>
      <c r="AE2038" s="1" t="s">
        <v>24</v>
      </c>
      <c r="AF2038" s="22"/>
    </row>
    <row r="2039" spans="1:32" x14ac:dyDescent="0.2">
      <c r="A2039" s="1">
        <v>11390</v>
      </c>
      <c r="B2039" s="1" t="s">
        <v>6516</v>
      </c>
      <c r="C2039" s="5" t="s">
        <v>0</v>
      </c>
      <c r="D2039" s="1" t="s">
        <v>6517</v>
      </c>
      <c r="E2039" s="1" t="s">
        <v>6518</v>
      </c>
      <c r="F2039" s="1" t="s">
        <v>1260</v>
      </c>
      <c r="G2039" s="1" t="s">
        <v>130</v>
      </c>
      <c r="H2039" s="1" t="s">
        <v>111</v>
      </c>
      <c r="I2039" s="1" t="s">
        <v>16</v>
      </c>
      <c r="J2039" s="1">
        <v>1</v>
      </c>
      <c r="K2039" s="1">
        <v>12</v>
      </c>
      <c r="L2039" s="1" t="s">
        <v>31</v>
      </c>
      <c r="M2039" s="1" t="s">
        <v>18</v>
      </c>
      <c r="N2039" s="1" t="s">
        <v>18</v>
      </c>
      <c r="O2039" s="1">
        <v>3</v>
      </c>
      <c r="P2039" s="1">
        <v>7</v>
      </c>
      <c r="Q2039" s="7" t="s">
        <v>17633</v>
      </c>
      <c r="R2039" s="1" t="s">
        <v>19</v>
      </c>
      <c r="S2039" s="1" t="s">
        <v>20</v>
      </c>
      <c r="T2039" s="1" t="s">
        <v>21</v>
      </c>
      <c r="U2039" s="1" t="s">
        <v>22</v>
      </c>
      <c r="V2039" s="1" t="s">
        <v>24</v>
      </c>
      <c r="W2039" s="1" t="s">
        <v>24</v>
      </c>
      <c r="X2039" s="1">
        <v>2736</v>
      </c>
      <c r="Y2039" s="1" t="s">
        <v>24</v>
      </c>
      <c r="Z2039" s="1" t="s">
        <v>24</v>
      </c>
      <c r="AA2039" s="1" t="s">
        <v>24</v>
      </c>
      <c r="AB2039" s="1" t="s">
        <v>24</v>
      </c>
      <c r="AC2039" s="1" t="s">
        <v>24</v>
      </c>
      <c r="AD2039" s="1" t="s">
        <v>24</v>
      </c>
      <c r="AE2039" s="1" t="s">
        <v>24</v>
      </c>
      <c r="AF2039" s="22"/>
    </row>
    <row r="2040" spans="1:32" x14ac:dyDescent="0.2">
      <c r="A2040" s="1">
        <v>11391</v>
      </c>
      <c r="B2040" s="1" t="s">
        <v>6519</v>
      </c>
      <c r="C2040" s="5" t="s">
        <v>0</v>
      </c>
      <c r="D2040" s="1" t="s">
        <v>6520</v>
      </c>
      <c r="E2040" s="1" t="s">
        <v>6521</v>
      </c>
      <c r="F2040" s="1" t="s">
        <v>272</v>
      </c>
      <c r="G2040" s="1" t="s">
        <v>61</v>
      </c>
      <c r="H2040" s="1" t="s">
        <v>30</v>
      </c>
      <c r="I2040" s="1" t="s">
        <v>16</v>
      </c>
      <c r="J2040" s="1">
        <v>1</v>
      </c>
      <c r="K2040" s="1">
        <v>4</v>
      </c>
      <c r="L2040" s="1" t="s">
        <v>31</v>
      </c>
      <c r="M2040" s="1" t="s">
        <v>18</v>
      </c>
      <c r="N2040" s="1" t="s">
        <v>18</v>
      </c>
      <c r="O2040" s="1">
        <v>3</v>
      </c>
      <c r="P2040" s="1">
        <v>7</v>
      </c>
      <c r="Q2040" s="7" t="s">
        <v>17633</v>
      </c>
      <c r="R2040" s="1" t="s">
        <v>19</v>
      </c>
      <c r="S2040" s="1" t="s">
        <v>20</v>
      </c>
      <c r="T2040" s="1" t="s">
        <v>21</v>
      </c>
      <c r="U2040" s="1" t="s">
        <v>22</v>
      </c>
      <c r="V2040" s="1" t="s">
        <v>24</v>
      </c>
      <c r="W2040" s="1" t="s">
        <v>24</v>
      </c>
      <c r="X2040" s="1">
        <v>3203</v>
      </c>
      <c r="Y2040" s="1" t="s">
        <v>24</v>
      </c>
      <c r="Z2040" s="1" t="s">
        <v>24</v>
      </c>
      <c r="AA2040" s="1" t="s">
        <v>24</v>
      </c>
      <c r="AB2040" s="1" t="s">
        <v>24</v>
      </c>
      <c r="AC2040" s="1" t="s">
        <v>24</v>
      </c>
      <c r="AD2040" s="1" t="s">
        <v>24</v>
      </c>
      <c r="AE2040" s="1" t="s">
        <v>24</v>
      </c>
      <c r="AF2040" s="22"/>
    </row>
    <row r="2041" spans="1:32" x14ac:dyDescent="0.2">
      <c r="A2041" s="1">
        <v>11392</v>
      </c>
      <c r="B2041" s="1" t="s">
        <v>6522</v>
      </c>
      <c r="C2041" s="5" t="s">
        <v>0</v>
      </c>
      <c r="D2041" s="1" t="s">
        <v>6523</v>
      </c>
      <c r="E2041" s="1" t="s">
        <v>6524</v>
      </c>
      <c r="F2041" s="1" t="s">
        <v>28</v>
      </c>
      <c r="G2041" s="1" t="s">
        <v>29</v>
      </c>
      <c r="H2041" s="1" t="s">
        <v>30</v>
      </c>
      <c r="I2041" s="1" t="s">
        <v>16</v>
      </c>
      <c r="J2041" s="1">
        <v>1</v>
      </c>
      <c r="K2041" s="1">
        <v>13</v>
      </c>
      <c r="L2041" s="1" t="s">
        <v>31</v>
      </c>
      <c r="M2041" s="1" t="s">
        <v>18</v>
      </c>
      <c r="N2041" s="1" t="s">
        <v>18</v>
      </c>
      <c r="O2041" s="1">
        <v>3</v>
      </c>
      <c r="P2041" s="1">
        <v>7</v>
      </c>
      <c r="Q2041" s="7" t="s">
        <v>17633</v>
      </c>
      <c r="R2041" s="1" t="s">
        <v>62</v>
      </c>
      <c r="S2041" s="1" t="s">
        <v>20</v>
      </c>
      <c r="T2041" s="1" t="s">
        <v>21</v>
      </c>
      <c r="U2041" s="1" t="s">
        <v>22</v>
      </c>
      <c r="V2041" s="1" t="s">
        <v>24</v>
      </c>
      <c r="W2041" s="1" t="s">
        <v>24</v>
      </c>
      <c r="X2041" s="1">
        <v>2715</v>
      </c>
      <c r="Y2041" s="1">
        <v>2723</v>
      </c>
      <c r="Z2041" s="1" t="s">
        <v>24</v>
      </c>
      <c r="AA2041" s="1" t="s">
        <v>24</v>
      </c>
      <c r="AB2041" s="1" t="s">
        <v>24</v>
      </c>
      <c r="AC2041" s="1" t="s">
        <v>24</v>
      </c>
      <c r="AD2041" s="1" t="s">
        <v>24</v>
      </c>
      <c r="AE2041" s="1" t="s">
        <v>24</v>
      </c>
      <c r="AF2041" s="22"/>
    </row>
    <row r="2042" spans="1:32" x14ac:dyDescent="0.2">
      <c r="A2042" s="1">
        <v>11396</v>
      </c>
      <c r="B2042" s="1" t="s">
        <v>6525</v>
      </c>
      <c r="C2042" s="5" t="s">
        <v>0</v>
      </c>
      <c r="D2042" s="1" t="s">
        <v>6526</v>
      </c>
      <c r="E2042" s="1" t="s">
        <v>6527</v>
      </c>
      <c r="F2042" s="1" t="s">
        <v>91</v>
      </c>
      <c r="G2042" s="1" t="s">
        <v>61</v>
      </c>
      <c r="H2042" s="1" t="s">
        <v>92</v>
      </c>
      <c r="I2042" s="1" t="s">
        <v>16</v>
      </c>
      <c r="J2042" s="1">
        <v>6</v>
      </c>
      <c r="K2042" s="1">
        <v>4</v>
      </c>
      <c r="L2042" s="1" t="s">
        <v>31</v>
      </c>
      <c r="M2042" s="1" t="s">
        <v>18</v>
      </c>
      <c r="N2042" s="1" t="s">
        <v>18</v>
      </c>
      <c r="O2042" s="1">
        <v>3</v>
      </c>
      <c r="P2042" s="1">
        <v>6</v>
      </c>
      <c r="R2042" s="1" t="s">
        <v>19</v>
      </c>
      <c r="S2042" s="1" t="s">
        <v>63</v>
      </c>
      <c r="T2042" s="1" t="s">
        <v>21</v>
      </c>
      <c r="U2042" s="1" t="s">
        <v>22</v>
      </c>
      <c r="V2042" s="1" t="s">
        <v>24</v>
      </c>
      <c r="W2042" s="1" t="s">
        <v>64</v>
      </c>
      <c r="X2042" s="1">
        <v>1303</v>
      </c>
      <c r="Y2042" s="1">
        <v>1502</v>
      </c>
      <c r="Z2042" s="1">
        <v>1503</v>
      </c>
      <c r="AA2042" s="1">
        <v>1508</v>
      </c>
      <c r="AB2042" s="1" t="s">
        <v>24</v>
      </c>
      <c r="AC2042" s="1" t="s">
        <v>24</v>
      </c>
      <c r="AD2042" s="1" t="s">
        <v>24</v>
      </c>
      <c r="AE2042" s="1" t="s">
        <v>24</v>
      </c>
      <c r="AF2042" s="22"/>
    </row>
    <row r="2043" spans="1:32" x14ac:dyDescent="0.2">
      <c r="A2043" s="1">
        <v>11397</v>
      </c>
      <c r="B2043" s="1" t="s">
        <v>6528</v>
      </c>
      <c r="C2043" s="5" t="s">
        <v>0</v>
      </c>
      <c r="D2043" s="1" t="s">
        <v>6529</v>
      </c>
      <c r="E2043" s="1" t="s">
        <v>6530</v>
      </c>
      <c r="F2043" s="1" t="s">
        <v>155</v>
      </c>
      <c r="G2043" s="1" t="s">
        <v>61</v>
      </c>
      <c r="H2043" s="1" t="s">
        <v>37</v>
      </c>
      <c r="I2043" s="1" t="s">
        <v>16</v>
      </c>
      <c r="J2043" s="1">
        <v>1</v>
      </c>
      <c r="K2043" s="1">
        <v>6</v>
      </c>
      <c r="L2043" s="1" t="s">
        <v>31</v>
      </c>
      <c r="M2043" s="1" t="s">
        <v>18</v>
      </c>
      <c r="N2043" s="1" t="s">
        <v>18</v>
      </c>
      <c r="O2043" s="1">
        <v>3</v>
      </c>
      <c r="P2043" s="1">
        <v>7</v>
      </c>
      <c r="Q2043" s="7" t="s">
        <v>17633</v>
      </c>
      <c r="R2043" s="1" t="s">
        <v>19</v>
      </c>
      <c r="S2043" s="1" t="s">
        <v>63</v>
      </c>
      <c r="T2043" s="1" t="s">
        <v>21</v>
      </c>
      <c r="U2043" s="1" t="s">
        <v>22</v>
      </c>
      <c r="V2043" s="1" t="s">
        <v>23</v>
      </c>
      <c r="W2043" s="1" t="s">
        <v>24</v>
      </c>
      <c r="X2043" s="1">
        <v>2739</v>
      </c>
      <c r="Y2043" s="1">
        <v>3305</v>
      </c>
      <c r="Z2043" s="1">
        <v>3306</v>
      </c>
      <c r="AA2043" s="1" t="s">
        <v>24</v>
      </c>
      <c r="AB2043" s="1" t="s">
        <v>24</v>
      </c>
      <c r="AC2043" s="1" t="s">
        <v>24</v>
      </c>
      <c r="AD2043" s="1" t="s">
        <v>24</v>
      </c>
      <c r="AE2043" s="1" t="s">
        <v>24</v>
      </c>
      <c r="AF2043" s="22"/>
    </row>
    <row r="2044" spans="1:32" x14ac:dyDescent="0.2">
      <c r="A2044" s="1">
        <v>11398</v>
      </c>
      <c r="B2044" s="1" t="s">
        <v>6531</v>
      </c>
      <c r="C2044" s="5" t="s">
        <v>0</v>
      </c>
      <c r="D2044" s="1" t="s">
        <v>6532</v>
      </c>
      <c r="E2044" s="1" t="s">
        <v>6533</v>
      </c>
      <c r="F2044" s="1" t="s">
        <v>155</v>
      </c>
      <c r="G2044" s="1" t="s">
        <v>61</v>
      </c>
      <c r="H2044" s="1" t="s">
        <v>37</v>
      </c>
      <c r="I2044" s="1" t="s">
        <v>16</v>
      </c>
      <c r="J2044" s="1">
        <v>1</v>
      </c>
      <c r="K2044" s="1">
        <v>8</v>
      </c>
      <c r="L2044" s="1" t="s">
        <v>31</v>
      </c>
      <c r="M2044" s="1" t="s">
        <v>18</v>
      </c>
      <c r="N2044" s="1" t="s">
        <v>18</v>
      </c>
      <c r="O2044" s="1">
        <v>3</v>
      </c>
      <c r="P2044" s="1">
        <v>7</v>
      </c>
      <c r="Q2044" s="7" t="s">
        <v>17633</v>
      </c>
      <c r="R2044" s="1" t="s">
        <v>19</v>
      </c>
      <c r="S2044" s="1" t="s">
        <v>20</v>
      </c>
      <c r="T2044" s="1" t="s">
        <v>21</v>
      </c>
      <c r="U2044" s="1" t="s">
        <v>22</v>
      </c>
      <c r="V2044" s="1" t="s">
        <v>23</v>
      </c>
      <c r="W2044" s="1" t="s">
        <v>24</v>
      </c>
      <c r="X2044" s="1">
        <v>2717</v>
      </c>
      <c r="Y2044" s="1">
        <v>2728</v>
      </c>
      <c r="Z2044" s="1">
        <v>2808</v>
      </c>
      <c r="AA2044" s="1" t="s">
        <v>24</v>
      </c>
      <c r="AB2044" s="1" t="s">
        <v>24</v>
      </c>
      <c r="AC2044" s="1" t="s">
        <v>24</v>
      </c>
      <c r="AD2044" s="1" t="s">
        <v>24</v>
      </c>
      <c r="AE2044" s="1" t="s">
        <v>24</v>
      </c>
      <c r="AF2044" s="22"/>
    </row>
    <row r="2045" spans="1:32" x14ac:dyDescent="0.2">
      <c r="A2045" s="1">
        <v>11401</v>
      </c>
      <c r="B2045" s="1" t="s">
        <v>6534</v>
      </c>
      <c r="C2045" s="5" t="s">
        <v>0</v>
      </c>
      <c r="D2045" s="1" t="s">
        <v>6535</v>
      </c>
      <c r="E2045" s="1" t="s">
        <v>6536</v>
      </c>
      <c r="F2045" s="1" t="s">
        <v>268</v>
      </c>
      <c r="G2045" s="1" t="s">
        <v>130</v>
      </c>
      <c r="H2045" s="1" t="s">
        <v>111</v>
      </c>
      <c r="I2045" s="1" t="s">
        <v>16</v>
      </c>
      <c r="J2045" s="1">
        <v>1</v>
      </c>
      <c r="K2045" s="1">
        <v>12</v>
      </c>
      <c r="L2045" s="1" t="s">
        <v>31</v>
      </c>
      <c r="M2045" s="1" t="s">
        <v>18</v>
      </c>
      <c r="N2045" s="1" t="s">
        <v>18</v>
      </c>
      <c r="O2045" s="1">
        <v>3</v>
      </c>
      <c r="P2045" s="1">
        <v>6</v>
      </c>
      <c r="R2045" s="1" t="s">
        <v>19</v>
      </c>
      <c r="S2045" s="1" t="s">
        <v>20</v>
      </c>
      <c r="T2045" s="1" t="s">
        <v>21</v>
      </c>
      <c r="U2045" s="1" t="s">
        <v>22</v>
      </c>
      <c r="V2045" s="1" t="s">
        <v>24</v>
      </c>
      <c r="W2045" s="1" t="s">
        <v>24</v>
      </c>
      <c r="X2045" s="1">
        <v>3004</v>
      </c>
      <c r="Y2045" s="1">
        <v>2403</v>
      </c>
      <c r="Z2045" s="1" t="s">
        <v>24</v>
      </c>
      <c r="AA2045" s="1" t="s">
        <v>24</v>
      </c>
      <c r="AB2045" s="1" t="s">
        <v>24</v>
      </c>
      <c r="AC2045" s="1" t="s">
        <v>24</v>
      </c>
      <c r="AD2045" s="1" t="s">
        <v>24</v>
      </c>
      <c r="AE2045" s="1" t="s">
        <v>24</v>
      </c>
      <c r="AF2045" s="22"/>
    </row>
    <row r="2046" spans="1:32" x14ac:dyDescent="0.2">
      <c r="A2046" s="1">
        <v>11408</v>
      </c>
      <c r="B2046" s="1" t="s">
        <v>6537</v>
      </c>
      <c r="C2046" s="5" t="s">
        <v>0</v>
      </c>
      <c r="D2046" s="1" t="s">
        <v>6538</v>
      </c>
      <c r="E2046" s="1" t="s">
        <v>6539</v>
      </c>
      <c r="F2046" s="1" t="s">
        <v>35</v>
      </c>
      <c r="G2046" s="1" t="s">
        <v>36</v>
      </c>
      <c r="H2046" s="1" t="s">
        <v>37</v>
      </c>
      <c r="I2046" s="1" t="s">
        <v>16</v>
      </c>
      <c r="J2046" s="1">
        <v>1</v>
      </c>
      <c r="K2046" s="1">
        <v>12</v>
      </c>
      <c r="L2046" s="1" t="s">
        <v>31</v>
      </c>
      <c r="M2046" s="1" t="s">
        <v>18</v>
      </c>
      <c r="N2046" s="1" t="s">
        <v>18</v>
      </c>
      <c r="O2046" s="1">
        <v>3</v>
      </c>
      <c r="P2046" s="1">
        <v>7</v>
      </c>
      <c r="Q2046" s="7" t="s">
        <v>17633</v>
      </c>
      <c r="R2046" s="1" t="s">
        <v>19</v>
      </c>
      <c r="S2046" s="1" t="s">
        <v>20</v>
      </c>
      <c r="T2046" s="1" t="s">
        <v>21</v>
      </c>
      <c r="U2046" s="1" t="s">
        <v>22</v>
      </c>
      <c r="V2046" s="1" t="s">
        <v>24</v>
      </c>
      <c r="W2046" s="1" t="s">
        <v>24</v>
      </c>
      <c r="X2046" s="1">
        <v>2728</v>
      </c>
      <c r="Y2046" s="1">
        <v>2808</v>
      </c>
      <c r="Z2046" s="1" t="s">
        <v>24</v>
      </c>
      <c r="AA2046" s="1" t="s">
        <v>24</v>
      </c>
      <c r="AB2046" s="1" t="s">
        <v>24</v>
      </c>
      <c r="AC2046" s="1" t="s">
        <v>24</v>
      </c>
      <c r="AD2046" s="1" t="s">
        <v>24</v>
      </c>
      <c r="AE2046" s="1" t="s">
        <v>24</v>
      </c>
      <c r="AF2046" s="22"/>
    </row>
    <row r="2047" spans="1:32" x14ac:dyDescent="0.2">
      <c r="A2047" s="1">
        <v>11411</v>
      </c>
      <c r="B2047" s="1" t="s">
        <v>6540</v>
      </c>
      <c r="C2047" s="5" t="s">
        <v>0</v>
      </c>
      <c r="D2047" s="1" t="s">
        <v>6541</v>
      </c>
      <c r="F2047" s="1" t="s">
        <v>6542</v>
      </c>
      <c r="G2047" s="1" t="s">
        <v>6542</v>
      </c>
      <c r="H2047" s="1" t="s">
        <v>878</v>
      </c>
      <c r="I2047" s="1" t="s">
        <v>16</v>
      </c>
      <c r="J2047" s="1">
        <v>1</v>
      </c>
      <c r="K2047" s="1">
        <v>4</v>
      </c>
      <c r="L2047" s="1" t="s">
        <v>42</v>
      </c>
      <c r="M2047" s="1" t="s">
        <v>117</v>
      </c>
      <c r="N2047" s="1" t="s">
        <v>118</v>
      </c>
      <c r="O2047" s="1">
        <v>1</v>
      </c>
      <c r="P2047" s="1">
        <v>5</v>
      </c>
      <c r="R2047" s="1" t="s">
        <v>19</v>
      </c>
      <c r="S2047" s="1" t="s">
        <v>20</v>
      </c>
      <c r="T2047" s="1" t="s">
        <v>21</v>
      </c>
      <c r="U2047" s="1" t="s">
        <v>22</v>
      </c>
      <c r="V2047" s="1" t="s">
        <v>24</v>
      </c>
      <c r="W2047" s="1" t="s">
        <v>24</v>
      </c>
      <c r="X2047" s="1">
        <v>2740</v>
      </c>
      <c r="Y2047" s="1" t="s">
        <v>24</v>
      </c>
      <c r="Z2047" s="1" t="s">
        <v>24</v>
      </c>
      <c r="AA2047" s="1" t="s">
        <v>24</v>
      </c>
      <c r="AB2047" s="1" t="s">
        <v>24</v>
      </c>
      <c r="AC2047" s="1" t="s">
        <v>24</v>
      </c>
      <c r="AD2047" s="1" t="s">
        <v>24</v>
      </c>
      <c r="AE2047" s="1" t="s">
        <v>24</v>
      </c>
      <c r="AF2047" s="22"/>
    </row>
    <row r="2048" spans="1:32" x14ac:dyDescent="0.2">
      <c r="A2048" s="1">
        <v>11412</v>
      </c>
      <c r="B2048" s="1" t="s">
        <v>6543</v>
      </c>
      <c r="C2048" s="5" t="s">
        <v>0</v>
      </c>
      <c r="D2048" s="1" t="s">
        <v>6544</v>
      </c>
      <c r="F2048" s="1" t="s">
        <v>85</v>
      </c>
      <c r="G2048" s="1" t="s">
        <v>61</v>
      </c>
      <c r="H2048" s="1" t="s">
        <v>86</v>
      </c>
      <c r="I2048" s="1" t="s">
        <v>16</v>
      </c>
      <c r="J2048" s="1">
        <v>1</v>
      </c>
      <c r="K2048" s="1">
        <v>10</v>
      </c>
      <c r="L2048" s="1" t="s">
        <v>31</v>
      </c>
      <c r="M2048" s="1" t="s">
        <v>87</v>
      </c>
      <c r="N2048" s="1" t="s">
        <v>87</v>
      </c>
      <c r="O2048" s="1">
        <v>0</v>
      </c>
      <c r="P2048" s="1">
        <v>5</v>
      </c>
      <c r="R2048" s="1" t="s">
        <v>19</v>
      </c>
      <c r="S2048" s="1" t="s">
        <v>20</v>
      </c>
      <c r="T2048" s="1" t="s">
        <v>21</v>
      </c>
      <c r="U2048" s="1" t="s">
        <v>22</v>
      </c>
      <c r="V2048" s="1" t="s">
        <v>24</v>
      </c>
      <c r="W2048" s="1" t="s">
        <v>24</v>
      </c>
      <c r="X2048" s="1">
        <v>2705</v>
      </c>
      <c r="Y2048" s="1" t="s">
        <v>24</v>
      </c>
      <c r="Z2048" s="1" t="s">
        <v>24</v>
      </c>
      <c r="AA2048" s="1" t="s">
        <v>24</v>
      </c>
      <c r="AB2048" s="1" t="s">
        <v>24</v>
      </c>
      <c r="AC2048" s="1" t="s">
        <v>24</v>
      </c>
      <c r="AD2048" s="1" t="s">
        <v>24</v>
      </c>
      <c r="AE2048" s="1" t="s">
        <v>24</v>
      </c>
      <c r="AF2048" s="22"/>
    </row>
    <row r="2049" spans="1:32" x14ac:dyDescent="0.2">
      <c r="A2049" s="1">
        <v>11413</v>
      </c>
      <c r="B2049" s="1" t="s">
        <v>6545</v>
      </c>
      <c r="C2049" s="5" t="s">
        <v>0</v>
      </c>
      <c r="D2049" s="1" t="s">
        <v>6546</v>
      </c>
      <c r="E2049" s="1" t="s">
        <v>6547</v>
      </c>
      <c r="F2049" s="1" t="s">
        <v>6548</v>
      </c>
      <c r="G2049" s="1" t="s">
        <v>6548</v>
      </c>
      <c r="H2049" s="1" t="s">
        <v>30</v>
      </c>
      <c r="I2049" s="1" t="s">
        <v>16</v>
      </c>
      <c r="J2049" s="1">
        <v>1</v>
      </c>
      <c r="K2049" s="1">
        <v>24</v>
      </c>
      <c r="L2049" s="1" t="s">
        <v>42</v>
      </c>
      <c r="M2049" s="1" t="s">
        <v>18</v>
      </c>
      <c r="N2049" s="1" t="s">
        <v>18</v>
      </c>
      <c r="O2049" s="1">
        <v>3</v>
      </c>
      <c r="P2049" s="1">
        <v>7</v>
      </c>
      <c r="Q2049" s="7" t="s">
        <v>17633</v>
      </c>
      <c r="R2049" s="1" t="s">
        <v>19</v>
      </c>
      <c r="S2049" s="1" t="s">
        <v>20</v>
      </c>
      <c r="T2049" s="1" t="s">
        <v>21</v>
      </c>
      <c r="U2049" s="1" t="s">
        <v>22</v>
      </c>
      <c r="V2049" s="1" t="s">
        <v>23</v>
      </c>
      <c r="W2049" s="1" t="s">
        <v>24</v>
      </c>
      <c r="X2049" s="1">
        <v>3004</v>
      </c>
      <c r="Y2049" s="1">
        <v>2719</v>
      </c>
      <c r="Z2049" s="1" t="s">
        <v>24</v>
      </c>
      <c r="AA2049" s="1" t="s">
        <v>24</v>
      </c>
      <c r="AB2049" s="1" t="s">
        <v>24</v>
      </c>
      <c r="AC2049" s="1" t="s">
        <v>24</v>
      </c>
      <c r="AD2049" s="1" t="s">
        <v>24</v>
      </c>
      <c r="AE2049" s="1" t="s">
        <v>24</v>
      </c>
      <c r="AF2049" s="22"/>
    </row>
    <row r="2050" spans="1:32" x14ac:dyDescent="0.2">
      <c r="A2050" s="1">
        <v>11414</v>
      </c>
      <c r="B2050" s="1" t="s">
        <v>6549</v>
      </c>
      <c r="C2050" s="5" t="s">
        <v>0</v>
      </c>
      <c r="D2050" s="1" t="s">
        <v>6550</v>
      </c>
      <c r="E2050" s="1" t="s">
        <v>6551</v>
      </c>
      <c r="F2050" s="1" t="s">
        <v>394</v>
      </c>
      <c r="G2050" s="1" t="s">
        <v>394</v>
      </c>
      <c r="H2050" s="1" t="s">
        <v>30</v>
      </c>
      <c r="I2050" s="1" t="s">
        <v>16</v>
      </c>
      <c r="J2050" s="1">
        <v>1</v>
      </c>
      <c r="K2050" s="1">
        <v>12</v>
      </c>
      <c r="L2050" s="1" t="s">
        <v>42</v>
      </c>
      <c r="M2050" s="1" t="s">
        <v>18</v>
      </c>
      <c r="N2050" s="1" t="s">
        <v>18</v>
      </c>
      <c r="O2050" s="1">
        <v>2</v>
      </c>
      <c r="P2050" s="1">
        <v>6</v>
      </c>
      <c r="R2050" s="1" t="s">
        <v>19</v>
      </c>
      <c r="S2050" s="1" t="s">
        <v>20</v>
      </c>
      <c r="T2050" s="1" t="s">
        <v>21</v>
      </c>
      <c r="U2050" s="1" t="s">
        <v>22</v>
      </c>
      <c r="V2050" s="1" t="s">
        <v>23</v>
      </c>
      <c r="W2050" s="1" t="s">
        <v>24</v>
      </c>
      <c r="X2050" s="1">
        <v>2738</v>
      </c>
      <c r="Y2050" s="1" t="s">
        <v>24</v>
      </c>
      <c r="Z2050" s="1" t="s">
        <v>24</v>
      </c>
      <c r="AA2050" s="1" t="s">
        <v>24</v>
      </c>
      <c r="AB2050" s="1" t="s">
        <v>24</v>
      </c>
      <c r="AC2050" s="1" t="s">
        <v>24</v>
      </c>
      <c r="AD2050" s="1" t="s">
        <v>24</v>
      </c>
      <c r="AE2050" s="1" t="s">
        <v>24</v>
      </c>
      <c r="AF2050" s="22"/>
    </row>
    <row r="2051" spans="1:32" x14ac:dyDescent="0.2">
      <c r="A2051" s="1">
        <v>11415</v>
      </c>
      <c r="B2051" s="1" t="s">
        <v>6552</v>
      </c>
      <c r="C2051" s="5" t="s">
        <v>0</v>
      </c>
      <c r="D2051" s="1" t="s">
        <v>6553</v>
      </c>
      <c r="E2051" s="1" t="s">
        <v>6554</v>
      </c>
      <c r="F2051" s="1" t="s">
        <v>28</v>
      </c>
      <c r="G2051" s="1" t="s">
        <v>29</v>
      </c>
      <c r="H2051" s="1" t="s">
        <v>30</v>
      </c>
      <c r="I2051" s="1" t="s">
        <v>16</v>
      </c>
      <c r="J2051" s="1">
        <v>1</v>
      </c>
      <c r="K2051" s="1">
        <v>12</v>
      </c>
      <c r="L2051" s="1" t="s">
        <v>31</v>
      </c>
      <c r="M2051" s="1" t="s">
        <v>18</v>
      </c>
      <c r="N2051" s="1" t="s">
        <v>18</v>
      </c>
      <c r="O2051" s="1">
        <v>3</v>
      </c>
      <c r="P2051" s="1">
        <v>7</v>
      </c>
      <c r="Q2051" s="7" t="s">
        <v>17633</v>
      </c>
      <c r="R2051" s="1" t="s">
        <v>62</v>
      </c>
      <c r="S2051" s="1" t="s">
        <v>20</v>
      </c>
      <c r="T2051" s="1" t="s">
        <v>21</v>
      </c>
      <c r="U2051" s="1" t="s">
        <v>22</v>
      </c>
      <c r="V2051" s="1" t="s">
        <v>24</v>
      </c>
      <c r="W2051" s="1" t="s">
        <v>24</v>
      </c>
      <c r="X2051" s="1">
        <v>2705</v>
      </c>
      <c r="Y2051" s="1" t="s">
        <v>24</v>
      </c>
      <c r="Z2051" s="1" t="s">
        <v>24</v>
      </c>
      <c r="AA2051" s="1" t="s">
        <v>24</v>
      </c>
      <c r="AB2051" s="1" t="s">
        <v>24</v>
      </c>
      <c r="AC2051" s="1" t="s">
        <v>24</v>
      </c>
      <c r="AD2051" s="1" t="s">
        <v>24</v>
      </c>
      <c r="AE2051" s="1" t="s">
        <v>24</v>
      </c>
      <c r="AF2051" s="22"/>
    </row>
    <row r="2052" spans="1:32" x14ac:dyDescent="0.2">
      <c r="A2052" s="1">
        <v>11416</v>
      </c>
      <c r="B2052" s="1" t="s">
        <v>6555</v>
      </c>
      <c r="C2052" s="5" t="s">
        <v>0</v>
      </c>
      <c r="D2052" s="1" t="s">
        <v>6556</v>
      </c>
      <c r="E2052" s="1" t="s">
        <v>6557</v>
      </c>
      <c r="F2052" s="1" t="s">
        <v>28</v>
      </c>
      <c r="G2052" s="1" t="s">
        <v>29</v>
      </c>
      <c r="H2052" s="1" t="s">
        <v>30</v>
      </c>
      <c r="I2052" s="1" t="s">
        <v>16</v>
      </c>
      <c r="J2052" s="1">
        <v>1</v>
      </c>
      <c r="K2052" s="1">
        <v>8</v>
      </c>
      <c r="L2052" s="1" t="s">
        <v>31</v>
      </c>
      <c r="M2052" s="1" t="s">
        <v>18</v>
      </c>
      <c r="N2052" s="1" t="s">
        <v>18</v>
      </c>
      <c r="O2052" s="1">
        <v>3</v>
      </c>
      <c r="P2052" s="1">
        <v>7</v>
      </c>
      <c r="Q2052" s="7" t="s">
        <v>17633</v>
      </c>
      <c r="R2052" s="1" t="s">
        <v>19</v>
      </c>
      <c r="S2052" s="1" t="s">
        <v>20</v>
      </c>
      <c r="T2052" s="1" t="s">
        <v>21</v>
      </c>
      <c r="U2052" s="1" t="s">
        <v>22</v>
      </c>
      <c r="V2052" s="1" t="s">
        <v>24</v>
      </c>
      <c r="W2052" s="1" t="s">
        <v>24</v>
      </c>
      <c r="X2052" s="1">
        <v>2735</v>
      </c>
      <c r="Y2052" s="1">
        <v>2730</v>
      </c>
      <c r="Z2052" s="1">
        <v>2720</v>
      </c>
      <c r="AA2052" s="1" t="s">
        <v>24</v>
      </c>
      <c r="AB2052" s="1" t="s">
        <v>24</v>
      </c>
      <c r="AC2052" s="1" t="s">
        <v>24</v>
      </c>
      <c r="AD2052" s="1" t="s">
        <v>24</v>
      </c>
      <c r="AE2052" s="1" t="s">
        <v>24</v>
      </c>
      <c r="AF2052" s="22"/>
    </row>
    <row r="2053" spans="1:32" x14ac:dyDescent="0.2">
      <c r="A2053" s="1">
        <v>11420</v>
      </c>
      <c r="B2053" s="1" t="s">
        <v>6558</v>
      </c>
      <c r="C2053" s="5" t="s">
        <v>0</v>
      </c>
      <c r="D2053" s="1" t="s">
        <v>6559</v>
      </c>
      <c r="E2053" s="1" t="s">
        <v>6560</v>
      </c>
      <c r="F2053" s="1" t="s">
        <v>920</v>
      </c>
      <c r="G2053" s="1" t="s">
        <v>921</v>
      </c>
      <c r="H2053" s="1" t="s">
        <v>92</v>
      </c>
      <c r="I2053" s="1" t="s">
        <v>16</v>
      </c>
      <c r="J2053" s="1">
        <v>1</v>
      </c>
      <c r="K2053" s="1">
        <v>4</v>
      </c>
      <c r="L2053" s="1" t="s">
        <v>31</v>
      </c>
      <c r="M2053" s="1" t="s">
        <v>18</v>
      </c>
      <c r="N2053" s="1" t="s">
        <v>18</v>
      </c>
      <c r="O2053" s="1">
        <v>3</v>
      </c>
      <c r="P2053" s="1">
        <v>6</v>
      </c>
      <c r="R2053" s="1" t="s">
        <v>19</v>
      </c>
      <c r="S2053" s="1" t="s">
        <v>20</v>
      </c>
      <c r="T2053" s="1" t="s">
        <v>21</v>
      </c>
      <c r="U2053" s="1" t="s">
        <v>22</v>
      </c>
      <c r="V2053" s="1" t="s">
        <v>23</v>
      </c>
      <c r="W2053" s="1" t="s">
        <v>24</v>
      </c>
      <c r="X2053" s="1">
        <v>2742</v>
      </c>
      <c r="Y2053" s="1">
        <v>2718</v>
      </c>
      <c r="Z2053" s="1" t="s">
        <v>24</v>
      </c>
      <c r="AA2053" s="1" t="s">
        <v>24</v>
      </c>
      <c r="AB2053" s="1" t="s">
        <v>24</v>
      </c>
      <c r="AC2053" s="1" t="s">
        <v>24</v>
      </c>
      <c r="AD2053" s="1" t="s">
        <v>24</v>
      </c>
      <c r="AE2053" s="1" t="s">
        <v>24</v>
      </c>
      <c r="AF2053" s="22"/>
    </row>
    <row r="2054" spans="1:32" x14ac:dyDescent="0.2">
      <c r="A2054" s="1">
        <v>11421</v>
      </c>
      <c r="B2054" s="1" t="s">
        <v>6561</v>
      </c>
      <c r="C2054" s="5" t="s">
        <v>0</v>
      </c>
      <c r="D2054" s="1" t="s">
        <v>6562</v>
      </c>
      <c r="E2054" s="1" t="s">
        <v>6563</v>
      </c>
      <c r="F2054" s="1" t="s">
        <v>920</v>
      </c>
      <c r="G2054" s="1" t="s">
        <v>921</v>
      </c>
      <c r="H2054" s="1" t="s">
        <v>92</v>
      </c>
      <c r="I2054" s="1" t="s">
        <v>16</v>
      </c>
      <c r="J2054" s="1">
        <v>1</v>
      </c>
      <c r="K2054" s="1">
        <v>4</v>
      </c>
      <c r="L2054" s="1" t="s">
        <v>31</v>
      </c>
      <c r="M2054" s="1" t="s">
        <v>18</v>
      </c>
      <c r="N2054" s="1" t="s">
        <v>18</v>
      </c>
      <c r="O2054" s="1">
        <v>3</v>
      </c>
      <c r="P2054" s="1">
        <v>6</v>
      </c>
      <c r="R2054" s="1" t="s">
        <v>19</v>
      </c>
      <c r="S2054" s="1" t="s">
        <v>20</v>
      </c>
      <c r="T2054" s="1" t="s">
        <v>21</v>
      </c>
      <c r="U2054" s="1" t="s">
        <v>22</v>
      </c>
      <c r="V2054" s="1" t="s">
        <v>23</v>
      </c>
      <c r="W2054" s="1" t="s">
        <v>24</v>
      </c>
      <c r="X2054" s="1">
        <v>2728</v>
      </c>
      <c r="Y2054" s="1">
        <v>2742</v>
      </c>
      <c r="Z2054" s="1">
        <v>3612</v>
      </c>
      <c r="AA2054" s="1" t="s">
        <v>24</v>
      </c>
      <c r="AB2054" s="1" t="s">
        <v>24</v>
      </c>
      <c r="AC2054" s="1" t="s">
        <v>24</v>
      </c>
      <c r="AD2054" s="1" t="s">
        <v>24</v>
      </c>
      <c r="AE2054" s="1" t="s">
        <v>24</v>
      </c>
      <c r="AF2054" s="22"/>
    </row>
    <row r="2055" spans="1:32" x14ac:dyDescent="0.2">
      <c r="A2055" s="1">
        <v>11422</v>
      </c>
      <c r="B2055" s="1" t="s">
        <v>6564</v>
      </c>
      <c r="C2055" s="5" t="s">
        <v>0</v>
      </c>
      <c r="D2055" s="1" t="s">
        <v>6565</v>
      </c>
      <c r="E2055" s="1" t="s">
        <v>6566</v>
      </c>
      <c r="F2055" s="1" t="s">
        <v>920</v>
      </c>
      <c r="G2055" s="1" t="s">
        <v>921</v>
      </c>
      <c r="H2055" s="1" t="s">
        <v>92</v>
      </c>
      <c r="I2055" s="1" t="s">
        <v>16</v>
      </c>
      <c r="J2055" s="1">
        <v>2</v>
      </c>
      <c r="K2055" s="1">
        <v>3</v>
      </c>
      <c r="L2055" s="1" t="s">
        <v>31</v>
      </c>
      <c r="M2055" s="1" t="s">
        <v>18</v>
      </c>
      <c r="N2055" s="1" t="s">
        <v>18</v>
      </c>
      <c r="O2055" s="1">
        <v>3</v>
      </c>
      <c r="P2055" s="1">
        <v>6</v>
      </c>
      <c r="R2055" s="1" t="s">
        <v>19</v>
      </c>
      <c r="S2055" s="1" t="s">
        <v>20</v>
      </c>
      <c r="T2055" s="1" t="s">
        <v>21</v>
      </c>
      <c r="U2055" s="1" t="s">
        <v>22</v>
      </c>
      <c r="V2055" s="1" t="s">
        <v>23</v>
      </c>
      <c r="W2055" s="1" t="s">
        <v>24</v>
      </c>
      <c r="X2055" s="1">
        <v>2742</v>
      </c>
      <c r="Y2055" s="1">
        <v>3609</v>
      </c>
      <c r="Z2055" s="1" t="s">
        <v>24</v>
      </c>
      <c r="AA2055" s="1" t="s">
        <v>24</v>
      </c>
      <c r="AB2055" s="1" t="s">
        <v>24</v>
      </c>
      <c r="AC2055" s="1" t="s">
        <v>24</v>
      </c>
      <c r="AD2055" s="1" t="s">
        <v>24</v>
      </c>
      <c r="AE2055" s="1" t="s">
        <v>24</v>
      </c>
      <c r="AF2055" s="22"/>
    </row>
    <row r="2056" spans="1:32" x14ac:dyDescent="0.2">
      <c r="A2056" s="1">
        <v>11424</v>
      </c>
      <c r="B2056" s="1" t="s">
        <v>6567</v>
      </c>
      <c r="C2056" s="5" t="s">
        <v>0</v>
      </c>
      <c r="D2056" s="1" t="s">
        <v>6568</v>
      </c>
      <c r="E2056" s="1" t="s">
        <v>6569</v>
      </c>
      <c r="F2056" s="1" t="s">
        <v>91</v>
      </c>
      <c r="G2056" s="1" t="s">
        <v>61</v>
      </c>
      <c r="H2056" s="1" t="s">
        <v>92</v>
      </c>
      <c r="I2056" s="1" t="s">
        <v>16</v>
      </c>
      <c r="J2056" s="1">
        <v>2</v>
      </c>
      <c r="K2056" s="1">
        <v>3</v>
      </c>
      <c r="L2056" s="1" t="s">
        <v>31</v>
      </c>
      <c r="M2056" s="1" t="s">
        <v>18</v>
      </c>
      <c r="N2056" s="1" t="s">
        <v>18</v>
      </c>
      <c r="O2056" s="1">
        <v>3</v>
      </c>
      <c r="P2056" s="1">
        <v>7</v>
      </c>
      <c r="Q2056" s="7" t="s">
        <v>17633</v>
      </c>
      <c r="R2056" s="1" t="s">
        <v>19</v>
      </c>
      <c r="S2056" s="1" t="s">
        <v>20</v>
      </c>
      <c r="T2056" s="1" t="s">
        <v>21</v>
      </c>
      <c r="U2056" s="1" t="s">
        <v>22</v>
      </c>
      <c r="V2056" s="1" t="s">
        <v>23</v>
      </c>
      <c r="W2056" s="1" t="s">
        <v>24</v>
      </c>
      <c r="X2056" s="1">
        <v>2732</v>
      </c>
      <c r="Y2056" s="1">
        <v>2742</v>
      </c>
      <c r="Z2056" s="1">
        <v>1304</v>
      </c>
      <c r="AA2056" s="1" t="s">
        <v>24</v>
      </c>
      <c r="AB2056" s="1" t="s">
        <v>24</v>
      </c>
      <c r="AC2056" s="1" t="s">
        <v>24</v>
      </c>
      <c r="AD2056" s="1" t="s">
        <v>24</v>
      </c>
      <c r="AE2056" s="1" t="s">
        <v>24</v>
      </c>
      <c r="AF2056" s="22"/>
    </row>
    <row r="2057" spans="1:32" x14ac:dyDescent="0.2">
      <c r="A2057" s="1">
        <v>11425</v>
      </c>
      <c r="B2057" s="1" t="s">
        <v>6570</v>
      </c>
      <c r="C2057" s="5" t="s">
        <v>0</v>
      </c>
      <c r="D2057" s="1" t="s">
        <v>6571</v>
      </c>
      <c r="E2057" s="1" t="s">
        <v>6572</v>
      </c>
      <c r="F2057" s="1" t="s">
        <v>28</v>
      </c>
      <c r="G2057" s="1" t="s">
        <v>29</v>
      </c>
      <c r="H2057" s="1" t="s">
        <v>30</v>
      </c>
      <c r="I2057" s="1" t="s">
        <v>16</v>
      </c>
      <c r="J2057" s="1">
        <v>1</v>
      </c>
      <c r="K2057" s="1">
        <v>12</v>
      </c>
      <c r="L2057" s="1" t="s">
        <v>31</v>
      </c>
      <c r="M2057" s="1" t="s">
        <v>18</v>
      </c>
      <c r="N2057" s="1" t="s">
        <v>18</v>
      </c>
      <c r="O2057" s="1">
        <v>3</v>
      </c>
      <c r="P2057" s="1">
        <v>6</v>
      </c>
      <c r="R2057" s="1" t="s">
        <v>19</v>
      </c>
      <c r="S2057" s="1" t="s">
        <v>20</v>
      </c>
      <c r="T2057" s="1" t="s">
        <v>21</v>
      </c>
      <c r="U2057" s="1" t="s">
        <v>22</v>
      </c>
      <c r="V2057" s="1" t="s">
        <v>23</v>
      </c>
      <c r="W2057" s="1" t="s">
        <v>24</v>
      </c>
      <c r="X2057" s="1">
        <v>2739</v>
      </c>
      <c r="Y2057" s="1" t="s">
        <v>24</v>
      </c>
      <c r="Z2057" s="1" t="s">
        <v>24</v>
      </c>
      <c r="AA2057" s="1" t="s">
        <v>24</v>
      </c>
      <c r="AB2057" s="1" t="s">
        <v>24</v>
      </c>
      <c r="AC2057" s="1" t="s">
        <v>24</v>
      </c>
      <c r="AD2057" s="1" t="s">
        <v>24</v>
      </c>
      <c r="AE2057" s="1" t="s">
        <v>24</v>
      </c>
      <c r="AF2057" s="22"/>
    </row>
    <row r="2058" spans="1:32" x14ac:dyDescent="0.2">
      <c r="A2058" s="1">
        <v>11432</v>
      </c>
      <c r="B2058" s="1" t="s">
        <v>6573</v>
      </c>
      <c r="C2058" s="5" t="s">
        <v>0</v>
      </c>
      <c r="D2058" s="1" t="s">
        <v>6574</v>
      </c>
      <c r="E2058" s="1" t="s">
        <v>6575</v>
      </c>
      <c r="F2058" s="1" t="s">
        <v>109</v>
      </c>
      <c r="G2058" s="1" t="s">
        <v>110</v>
      </c>
      <c r="H2058" s="1" t="s">
        <v>111</v>
      </c>
      <c r="I2058" s="1" t="s">
        <v>16</v>
      </c>
      <c r="J2058" s="1">
        <v>1</v>
      </c>
      <c r="K2058" s="1">
        <v>4</v>
      </c>
      <c r="L2058" s="1" t="s">
        <v>31</v>
      </c>
      <c r="M2058" s="1" t="s">
        <v>18</v>
      </c>
      <c r="N2058" s="1" t="s">
        <v>18</v>
      </c>
      <c r="O2058" s="1">
        <v>3</v>
      </c>
      <c r="P2058" s="1">
        <v>7</v>
      </c>
      <c r="Q2058" s="7" t="s">
        <v>17633</v>
      </c>
      <c r="R2058" s="1" t="s">
        <v>19</v>
      </c>
      <c r="S2058" s="1" t="s">
        <v>20</v>
      </c>
      <c r="T2058" s="1" t="s">
        <v>21</v>
      </c>
      <c r="U2058" s="1" t="s">
        <v>22</v>
      </c>
      <c r="V2058" s="1" t="s">
        <v>23</v>
      </c>
      <c r="W2058" s="1" t="s">
        <v>24</v>
      </c>
      <c r="X2058" s="1">
        <v>2701</v>
      </c>
      <c r="Y2058" s="1">
        <v>2738</v>
      </c>
      <c r="Z2058" s="1">
        <v>3306</v>
      </c>
      <c r="AA2058" s="1" t="s">
        <v>24</v>
      </c>
      <c r="AB2058" s="1" t="s">
        <v>24</v>
      </c>
      <c r="AC2058" s="1" t="s">
        <v>24</v>
      </c>
      <c r="AD2058" s="1" t="s">
        <v>24</v>
      </c>
      <c r="AE2058" s="1" t="s">
        <v>24</v>
      </c>
      <c r="AF2058" s="22"/>
    </row>
    <row r="2059" spans="1:32" x14ac:dyDescent="0.2">
      <c r="A2059" s="1">
        <v>11433</v>
      </c>
      <c r="B2059" s="1" t="s">
        <v>6576</v>
      </c>
      <c r="C2059" s="5" t="s">
        <v>0</v>
      </c>
      <c r="D2059" s="1" t="s">
        <v>6577</v>
      </c>
      <c r="F2059" s="1" t="s">
        <v>6578</v>
      </c>
      <c r="G2059" s="1" t="s">
        <v>6578</v>
      </c>
      <c r="H2059" s="1" t="s">
        <v>249</v>
      </c>
      <c r="I2059" s="1" t="s">
        <v>16</v>
      </c>
      <c r="J2059" s="1">
        <v>1</v>
      </c>
      <c r="K2059" s="1">
        <v>4</v>
      </c>
      <c r="L2059" s="1" t="s">
        <v>42</v>
      </c>
      <c r="M2059" s="1" t="s">
        <v>18</v>
      </c>
      <c r="N2059" s="1" t="s">
        <v>18</v>
      </c>
      <c r="O2059" s="1">
        <v>3</v>
      </c>
      <c r="P2059" s="1">
        <v>5</v>
      </c>
      <c r="R2059" s="1" t="s">
        <v>19</v>
      </c>
      <c r="S2059" s="1" t="s">
        <v>20</v>
      </c>
      <c r="T2059" s="1" t="s">
        <v>21</v>
      </c>
      <c r="U2059" s="1" t="s">
        <v>22</v>
      </c>
      <c r="V2059" s="1" t="s">
        <v>24</v>
      </c>
      <c r="W2059" s="1" t="s">
        <v>24</v>
      </c>
      <c r="X2059" s="1">
        <v>2723</v>
      </c>
      <c r="Y2059" s="1" t="s">
        <v>24</v>
      </c>
      <c r="Z2059" s="1" t="s">
        <v>24</v>
      </c>
      <c r="AA2059" s="1" t="s">
        <v>24</v>
      </c>
      <c r="AB2059" s="1" t="s">
        <v>24</v>
      </c>
      <c r="AC2059" s="1" t="s">
        <v>24</v>
      </c>
      <c r="AD2059" s="1" t="s">
        <v>24</v>
      </c>
      <c r="AE2059" s="1" t="s">
        <v>24</v>
      </c>
      <c r="AF2059" s="22"/>
    </row>
    <row r="2060" spans="1:32" x14ac:dyDescent="0.2">
      <c r="A2060" s="1">
        <v>11434</v>
      </c>
      <c r="B2060" s="1" t="s">
        <v>6579</v>
      </c>
      <c r="C2060" s="5" t="s">
        <v>0</v>
      </c>
      <c r="D2060" s="1" t="s">
        <v>6580</v>
      </c>
      <c r="F2060" s="1" t="s">
        <v>155</v>
      </c>
      <c r="G2060" s="1" t="s">
        <v>61</v>
      </c>
      <c r="H2060" s="1" t="s">
        <v>37</v>
      </c>
      <c r="I2060" s="1" t="s">
        <v>16</v>
      </c>
      <c r="J2060" s="1">
        <v>1</v>
      </c>
      <c r="K2060" s="1">
        <v>12</v>
      </c>
      <c r="L2060" s="1" t="s">
        <v>31</v>
      </c>
      <c r="M2060" s="1" t="s">
        <v>18</v>
      </c>
      <c r="N2060" s="1" t="s">
        <v>18</v>
      </c>
      <c r="O2060" s="1">
        <v>3</v>
      </c>
      <c r="P2060" s="1">
        <v>7</v>
      </c>
      <c r="Q2060" s="7" t="s">
        <v>17633</v>
      </c>
      <c r="R2060" s="1" t="s">
        <v>62</v>
      </c>
      <c r="S2060" s="1" t="s">
        <v>20</v>
      </c>
      <c r="T2060" s="1" t="s">
        <v>21</v>
      </c>
      <c r="U2060" s="1" t="s">
        <v>22</v>
      </c>
      <c r="V2060" s="1" t="s">
        <v>24</v>
      </c>
      <c r="W2060" s="1" t="s">
        <v>64</v>
      </c>
      <c r="X2060" s="1">
        <v>1303</v>
      </c>
      <c r="Y2060" s="1">
        <v>3002</v>
      </c>
      <c r="Z2060" s="1">
        <v>1312</v>
      </c>
      <c r="AA2060" s="1">
        <v>1308</v>
      </c>
      <c r="AB2060" s="1">
        <v>1313</v>
      </c>
      <c r="AC2060" s="1">
        <v>3004</v>
      </c>
      <c r="AD2060" s="1" t="s">
        <v>24</v>
      </c>
      <c r="AE2060" s="1" t="s">
        <v>24</v>
      </c>
      <c r="AF2060" s="22"/>
    </row>
    <row r="2061" spans="1:32" x14ac:dyDescent="0.2">
      <c r="A2061" s="1">
        <v>11435</v>
      </c>
      <c r="B2061" s="1" t="s">
        <v>6581</v>
      </c>
      <c r="C2061" s="5" t="s">
        <v>0</v>
      </c>
      <c r="D2061" s="1" t="s">
        <v>6582</v>
      </c>
      <c r="E2061" s="1" t="s">
        <v>6583</v>
      </c>
      <c r="F2061" s="1" t="s">
        <v>35</v>
      </c>
      <c r="G2061" s="1" t="s">
        <v>36</v>
      </c>
      <c r="H2061" s="1" t="s">
        <v>37</v>
      </c>
      <c r="I2061" s="1" t="s">
        <v>16</v>
      </c>
      <c r="J2061" s="1">
        <v>1</v>
      </c>
      <c r="K2061" s="1">
        <v>12</v>
      </c>
      <c r="L2061" s="1" t="s">
        <v>31</v>
      </c>
      <c r="M2061" s="1" t="s">
        <v>18</v>
      </c>
      <c r="N2061" s="1" t="s">
        <v>18</v>
      </c>
      <c r="O2061" s="1">
        <v>3</v>
      </c>
      <c r="P2061" s="1">
        <v>7</v>
      </c>
      <c r="Q2061" s="7" t="s">
        <v>17633</v>
      </c>
      <c r="R2061" s="1" t="s">
        <v>19</v>
      </c>
      <c r="S2061" s="1" t="s">
        <v>20</v>
      </c>
      <c r="T2061" s="1" t="s">
        <v>21</v>
      </c>
      <c r="U2061" s="1" t="s">
        <v>22</v>
      </c>
      <c r="V2061" s="1" t="s">
        <v>23</v>
      </c>
      <c r="W2061" s="1" t="s">
        <v>24</v>
      </c>
      <c r="X2061" s="1">
        <v>2711</v>
      </c>
      <c r="Y2061" s="1" t="s">
        <v>24</v>
      </c>
      <c r="Z2061" s="1" t="s">
        <v>24</v>
      </c>
      <c r="AA2061" s="1" t="s">
        <v>24</v>
      </c>
      <c r="AB2061" s="1" t="s">
        <v>24</v>
      </c>
      <c r="AC2061" s="1" t="s">
        <v>24</v>
      </c>
      <c r="AD2061" s="1" t="s">
        <v>24</v>
      </c>
      <c r="AE2061" s="1" t="s">
        <v>24</v>
      </c>
      <c r="AF2061" s="22"/>
    </row>
    <row r="2062" spans="1:32" x14ac:dyDescent="0.2">
      <c r="A2062" s="1">
        <v>11436</v>
      </c>
      <c r="B2062" s="1" t="s">
        <v>6584</v>
      </c>
      <c r="C2062" s="5" t="s">
        <v>0</v>
      </c>
      <c r="D2062" s="1" t="s">
        <v>6585</v>
      </c>
      <c r="E2062" s="1" t="s">
        <v>6586</v>
      </c>
      <c r="F2062" s="1" t="s">
        <v>6587</v>
      </c>
      <c r="G2062" s="1" t="s">
        <v>61</v>
      </c>
      <c r="H2062" s="1" t="s">
        <v>30</v>
      </c>
      <c r="I2062" s="1" t="s">
        <v>16</v>
      </c>
      <c r="J2062" s="1">
        <v>1</v>
      </c>
      <c r="K2062" s="1">
        <v>4</v>
      </c>
      <c r="L2062" s="1" t="s">
        <v>31</v>
      </c>
      <c r="M2062" s="1" t="s">
        <v>18</v>
      </c>
      <c r="N2062" s="1" t="s">
        <v>18</v>
      </c>
      <c r="O2062" s="1">
        <v>3</v>
      </c>
      <c r="P2062" s="1">
        <v>6</v>
      </c>
      <c r="R2062" s="1" t="s">
        <v>19</v>
      </c>
      <c r="S2062" s="1" t="s">
        <v>20</v>
      </c>
      <c r="T2062" s="1" t="s">
        <v>21</v>
      </c>
      <c r="U2062" s="1" t="s">
        <v>22</v>
      </c>
      <c r="V2062" s="1" t="s">
        <v>23</v>
      </c>
      <c r="W2062" s="1" t="s">
        <v>24</v>
      </c>
      <c r="X2062" s="1">
        <v>2742</v>
      </c>
      <c r="Y2062" s="1">
        <v>3612</v>
      </c>
      <c r="Z2062" s="1" t="s">
        <v>24</v>
      </c>
      <c r="AA2062" s="1" t="s">
        <v>24</v>
      </c>
      <c r="AB2062" s="1" t="s">
        <v>24</v>
      </c>
      <c r="AC2062" s="1" t="s">
        <v>24</v>
      </c>
      <c r="AD2062" s="1" t="s">
        <v>24</v>
      </c>
      <c r="AE2062" s="1" t="s">
        <v>24</v>
      </c>
      <c r="AF2062" s="22"/>
    </row>
    <row r="2063" spans="1:32" x14ac:dyDescent="0.2">
      <c r="A2063" s="1">
        <v>11437</v>
      </c>
      <c r="B2063" s="1" t="s">
        <v>6588</v>
      </c>
      <c r="C2063" s="5" t="s">
        <v>0</v>
      </c>
      <c r="D2063" s="1" t="s">
        <v>6589</v>
      </c>
      <c r="E2063" s="1" t="s">
        <v>6590</v>
      </c>
      <c r="F2063" s="1" t="s">
        <v>6591</v>
      </c>
      <c r="G2063" s="1" t="s">
        <v>6591</v>
      </c>
      <c r="H2063" s="1" t="s">
        <v>30</v>
      </c>
      <c r="I2063" s="1" t="s">
        <v>16</v>
      </c>
      <c r="J2063" s="1">
        <v>1</v>
      </c>
      <c r="K2063" s="1">
        <v>4</v>
      </c>
      <c r="L2063" s="1" t="s">
        <v>42</v>
      </c>
      <c r="M2063" s="1" t="s">
        <v>18</v>
      </c>
      <c r="N2063" s="1" t="s">
        <v>18</v>
      </c>
      <c r="O2063" s="1">
        <v>3</v>
      </c>
      <c r="P2063" s="1">
        <v>6</v>
      </c>
      <c r="R2063" s="1" t="s">
        <v>19</v>
      </c>
      <c r="S2063" s="1" t="s">
        <v>20</v>
      </c>
      <c r="T2063" s="1" t="s">
        <v>21</v>
      </c>
      <c r="U2063" s="1" t="s">
        <v>22</v>
      </c>
      <c r="V2063" s="1" t="s">
        <v>23</v>
      </c>
      <c r="W2063" s="1" t="s">
        <v>24</v>
      </c>
      <c r="X2063" s="1">
        <v>2700</v>
      </c>
      <c r="Y2063" s="1">
        <v>1207</v>
      </c>
      <c r="Z2063" s="1" t="s">
        <v>24</v>
      </c>
      <c r="AA2063" s="1" t="s">
        <v>24</v>
      </c>
      <c r="AB2063" s="1" t="s">
        <v>24</v>
      </c>
      <c r="AC2063" s="1" t="s">
        <v>24</v>
      </c>
      <c r="AD2063" s="1" t="s">
        <v>24</v>
      </c>
      <c r="AE2063" s="1" t="s">
        <v>24</v>
      </c>
      <c r="AF2063" s="22"/>
    </row>
    <row r="2064" spans="1:32" x14ac:dyDescent="0.2">
      <c r="A2064" s="1">
        <v>11438</v>
      </c>
      <c r="B2064" s="1" t="s">
        <v>6592</v>
      </c>
      <c r="C2064" s="5" t="s">
        <v>0</v>
      </c>
      <c r="D2064" s="1" t="s">
        <v>6593</v>
      </c>
      <c r="F2064" s="1" t="s">
        <v>6594</v>
      </c>
      <c r="G2064" s="1" t="s">
        <v>6595</v>
      </c>
      <c r="H2064" s="1" t="s">
        <v>1007</v>
      </c>
      <c r="I2064" s="1" t="s">
        <v>16</v>
      </c>
      <c r="J2064" s="1">
        <v>1</v>
      </c>
      <c r="K2064" s="1">
        <v>6</v>
      </c>
      <c r="L2064" s="1" t="s">
        <v>17</v>
      </c>
      <c r="M2064" s="1" t="s">
        <v>1008</v>
      </c>
      <c r="N2064" s="1" t="s">
        <v>4418</v>
      </c>
      <c r="O2064" s="1">
        <v>1</v>
      </c>
      <c r="P2064" s="1">
        <v>5</v>
      </c>
      <c r="R2064" s="1" t="s">
        <v>19</v>
      </c>
      <c r="S2064" s="1" t="s">
        <v>20</v>
      </c>
      <c r="T2064" s="1" t="s">
        <v>21</v>
      </c>
      <c r="U2064" s="1" t="s">
        <v>22</v>
      </c>
      <c r="V2064" s="1" t="s">
        <v>24</v>
      </c>
      <c r="W2064" s="1" t="s">
        <v>24</v>
      </c>
      <c r="X2064" s="1">
        <v>2716</v>
      </c>
      <c r="Y2064" s="1" t="s">
        <v>24</v>
      </c>
      <c r="Z2064" s="1" t="s">
        <v>24</v>
      </c>
      <c r="AA2064" s="1" t="s">
        <v>24</v>
      </c>
      <c r="AB2064" s="1" t="s">
        <v>24</v>
      </c>
      <c r="AC2064" s="1" t="s">
        <v>24</v>
      </c>
      <c r="AD2064" s="1" t="s">
        <v>24</v>
      </c>
      <c r="AE2064" s="1" t="s">
        <v>24</v>
      </c>
      <c r="AF2064" s="22"/>
    </row>
    <row r="2065" spans="1:32" x14ac:dyDescent="0.2">
      <c r="A2065" s="1">
        <v>11441</v>
      </c>
      <c r="B2065" s="1" t="s">
        <v>6596</v>
      </c>
      <c r="C2065" s="5" t="s">
        <v>0</v>
      </c>
      <c r="D2065" s="1" t="s">
        <v>6597</v>
      </c>
      <c r="F2065" s="1" t="s">
        <v>1100</v>
      </c>
      <c r="G2065" s="1" t="s">
        <v>1100</v>
      </c>
      <c r="H2065" s="1" t="s">
        <v>731</v>
      </c>
      <c r="I2065" s="1" t="s">
        <v>16</v>
      </c>
      <c r="J2065" s="1">
        <v>1</v>
      </c>
      <c r="K2065" s="1">
        <v>6</v>
      </c>
      <c r="L2065" s="1" t="s">
        <v>42</v>
      </c>
      <c r="M2065" s="1" t="s">
        <v>18</v>
      </c>
      <c r="N2065" s="1" t="s">
        <v>18</v>
      </c>
      <c r="O2065" s="1">
        <v>3</v>
      </c>
      <c r="P2065" s="1">
        <v>7</v>
      </c>
      <c r="Q2065" s="7" t="s">
        <v>17633</v>
      </c>
      <c r="R2065" s="1" t="s">
        <v>19</v>
      </c>
      <c r="S2065" s="1" t="s">
        <v>20</v>
      </c>
      <c r="T2065" s="1" t="s">
        <v>21</v>
      </c>
      <c r="U2065" s="1" t="s">
        <v>22</v>
      </c>
      <c r="V2065" s="1" t="s">
        <v>24</v>
      </c>
      <c r="W2065" s="1" t="s">
        <v>24</v>
      </c>
      <c r="X2065" s="1">
        <v>2740</v>
      </c>
      <c r="Y2065" s="1" t="s">
        <v>24</v>
      </c>
      <c r="Z2065" s="1" t="s">
        <v>24</v>
      </c>
      <c r="AA2065" s="1" t="s">
        <v>24</v>
      </c>
      <c r="AB2065" s="1" t="s">
        <v>24</v>
      </c>
      <c r="AC2065" s="1" t="s">
        <v>24</v>
      </c>
      <c r="AD2065" s="1" t="s">
        <v>24</v>
      </c>
      <c r="AE2065" s="1" t="s">
        <v>24</v>
      </c>
      <c r="AF2065" s="22"/>
    </row>
    <row r="2066" spans="1:32" x14ac:dyDescent="0.2">
      <c r="A2066" s="1">
        <v>11444</v>
      </c>
      <c r="B2066" s="1" t="s">
        <v>6598</v>
      </c>
      <c r="C2066" s="5" t="s">
        <v>0</v>
      </c>
      <c r="D2066" s="1" t="s">
        <v>6599</v>
      </c>
      <c r="E2066" s="1" t="s">
        <v>6600</v>
      </c>
      <c r="F2066" s="1" t="s">
        <v>296</v>
      </c>
      <c r="G2066" s="1" t="s">
        <v>36</v>
      </c>
      <c r="H2066" s="1" t="s">
        <v>264</v>
      </c>
      <c r="I2066" s="1" t="s">
        <v>16</v>
      </c>
      <c r="J2066" s="1">
        <v>1</v>
      </c>
      <c r="K2066" s="1">
        <v>6</v>
      </c>
      <c r="L2066" s="1" t="s">
        <v>31</v>
      </c>
      <c r="M2066" s="1" t="s">
        <v>18</v>
      </c>
      <c r="N2066" s="1" t="s">
        <v>18</v>
      </c>
      <c r="O2066" s="1">
        <v>3</v>
      </c>
      <c r="P2066" s="1">
        <v>7</v>
      </c>
      <c r="Q2066" s="7" t="s">
        <v>17633</v>
      </c>
      <c r="R2066" s="1" t="s">
        <v>19</v>
      </c>
      <c r="S2066" s="1" t="s">
        <v>20</v>
      </c>
      <c r="T2066" s="1" t="s">
        <v>21</v>
      </c>
      <c r="U2066" s="1" t="s">
        <v>22</v>
      </c>
      <c r="V2066" s="1" t="s">
        <v>24</v>
      </c>
      <c r="W2066" s="1" t="s">
        <v>24</v>
      </c>
      <c r="X2066" s="1">
        <v>2734</v>
      </c>
      <c r="Y2066" s="1">
        <v>2728</v>
      </c>
      <c r="Z2066" s="1" t="s">
        <v>24</v>
      </c>
      <c r="AA2066" s="1" t="s">
        <v>24</v>
      </c>
      <c r="AB2066" s="1" t="s">
        <v>24</v>
      </c>
      <c r="AC2066" s="1" t="s">
        <v>24</v>
      </c>
      <c r="AD2066" s="1" t="s">
        <v>24</v>
      </c>
      <c r="AE2066" s="1" t="s">
        <v>24</v>
      </c>
      <c r="AF2066" s="22"/>
    </row>
    <row r="2067" spans="1:32" x14ac:dyDescent="0.2">
      <c r="A2067" s="1">
        <v>11445</v>
      </c>
      <c r="B2067" s="1" t="s">
        <v>6601</v>
      </c>
      <c r="C2067" s="5" t="s">
        <v>0</v>
      </c>
      <c r="D2067" s="1" t="s">
        <v>6602</v>
      </c>
      <c r="E2067" s="1" t="s">
        <v>6603</v>
      </c>
      <c r="F2067" s="1" t="s">
        <v>35</v>
      </c>
      <c r="G2067" s="1" t="s">
        <v>36</v>
      </c>
      <c r="H2067" s="1" t="s">
        <v>37</v>
      </c>
      <c r="I2067" s="1" t="s">
        <v>16</v>
      </c>
      <c r="J2067" s="1">
        <v>1</v>
      </c>
      <c r="K2067" s="1">
        <v>6</v>
      </c>
      <c r="L2067" s="1" t="s">
        <v>31</v>
      </c>
      <c r="M2067" s="1" t="s">
        <v>18</v>
      </c>
      <c r="N2067" s="1" t="s">
        <v>242</v>
      </c>
      <c r="O2067" s="1">
        <v>2</v>
      </c>
      <c r="P2067" s="1">
        <v>6</v>
      </c>
      <c r="R2067" s="1" t="s">
        <v>19</v>
      </c>
      <c r="S2067" s="1" t="s">
        <v>20</v>
      </c>
      <c r="T2067" s="1" t="s">
        <v>21</v>
      </c>
      <c r="U2067" s="1" t="s">
        <v>22</v>
      </c>
      <c r="V2067" s="1" t="s">
        <v>24</v>
      </c>
      <c r="W2067" s="1" t="s">
        <v>24</v>
      </c>
      <c r="X2067" s="1">
        <v>2728</v>
      </c>
      <c r="Y2067" s="1">
        <v>2808</v>
      </c>
      <c r="Z2067" s="1">
        <v>2738</v>
      </c>
      <c r="AA2067" s="1">
        <v>2800</v>
      </c>
      <c r="AB2067" s="1" t="s">
        <v>24</v>
      </c>
      <c r="AC2067" s="1" t="s">
        <v>24</v>
      </c>
      <c r="AD2067" s="1" t="s">
        <v>24</v>
      </c>
      <c r="AE2067" s="1" t="s">
        <v>24</v>
      </c>
      <c r="AF2067" s="22"/>
    </row>
    <row r="2068" spans="1:32" x14ac:dyDescent="0.2">
      <c r="A2068" s="1">
        <v>11448</v>
      </c>
      <c r="B2068" s="1" t="s">
        <v>6604</v>
      </c>
      <c r="C2068" s="5" t="s">
        <v>0</v>
      </c>
      <c r="D2068" s="1" t="s">
        <v>6605</v>
      </c>
      <c r="E2068" s="1" t="s">
        <v>6606</v>
      </c>
      <c r="F2068" s="1" t="s">
        <v>167</v>
      </c>
      <c r="G2068" s="1" t="s">
        <v>130</v>
      </c>
      <c r="H2068" s="1" t="s">
        <v>168</v>
      </c>
      <c r="I2068" s="1" t="s">
        <v>16</v>
      </c>
      <c r="J2068" s="1">
        <v>2</v>
      </c>
      <c r="K2068" s="1">
        <v>6</v>
      </c>
      <c r="L2068" s="1" t="s">
        <v>31</v>
      </c>
      <c r="M2068" s="1" t="s">
        <v>18</v>
      </c>
      <c r="N2068" s="1" t="s">
        <v>18</v>
      </c>
      <c r="O2068" s="1">
        <v>3</v>
      </c>
      <c r="P2068" s="1">
        <v>7</v>
      </c>
      <c r="Q2068" s="7" t="s">
        <v>17633</v>
      </c>
      <c r="R2068" s="1" t="s">
        <v>19</v>
      </c>
      <c r="S2068" s="1" t="s">
        <v>20</v>
      </c>
      <c r="T2068" s="1" t="s">
        <v>21</v>
      </c>
      <c r="U2068" s="1" t="s">
        <v>22</v>
      </c>
      <c r="V2068" s="1" t="s">
        <v>24</v>
      </c>
      <c r="W2068" s="1" t="s">
        <v>24</v>
      </c>
      <c r="X2068" s="1">
        <v>1307</v>
      </c>
      <c r="Y2068" s="1">
        <v>2722</v>
      </c>
      <c r="Z2068" s="1">
        <v>3607</v>
      </c>
      <c r="AA2068" s="1">
        <v>1312</v>
      </c>
      <c r="AB2068" s="1" t="s">
        <v>24</v>
      </c>
      <c r="AC2068" s="1" t="s">
        <v>24</v>
      </c>
      <c r="AD2068" s="1" t="s">
        <v>24</v>
      </c>
      <c r="AE2068" s="1" t="s">
        <v>24</v>
      </c>
      <c r="AF2068" s="22"/>
    </row>
    <row r="2069" spans="1:32" x14ac:dyDescent="0.2">
      <c r="A2069" s="1">
        <v>11449</v>
      </c>
      <c r="B2069" s="1" t="s">
        <v>6607</v>
      </c>
      <c r="C2069" s="5" t="s">
        <v>0</v>
      </c>
      <c r="D2069" s="1" t="s">
        <v>6608</v>
      </c>
      <c r="F2069" s="1" t="s">
        <v>6609</v>
      </c>
      <c r="G2069" s="1" t="s">
        <v>6609</v>
      </c>
      <c r="H2069" s="1" t="s">
        <v>116</v>
      </c>
      <c r="I2069" s="1" t="s">
        <v>16</v>
      </c>
      <c r="J2069" s="1">
        <v>1</v>
      </c>
      <c r="K2069" s="1">
        <v>4</v>
      </c>
      <c r="L2069" s="1" t="s">
        <v>42</v>
      </c>
      <c r="M2069" s="1" t="s">
        <v>117</v>
      </c>
      <c r="N2069" s="1" t="s">
        <v>118</v>
      </c>
      <c r="O2069" s="1">
        <v>1</v>
      </c>
      <c r="P2069" s="1">
        <v>5</v>
      </c>
      <c r="R2069" s="1" t="s">
        <v>19</v>
      </c>
      <c r="S2069" s="1" t="s">
        <v>20</v>
      </c>
      <c r="T2069" s="1" t="s">
        <v>21</v>
      </c>
      <c r="U2069" s="1" t="s">
        <v>22</v>
      </c>
      <c r="V2069" s="1" t="s">
        <v>24</v>
      </c>
      <c r="W2069" s="1" t="s">
        <v>24</v>
      </c>
      <c r="X2069" s="1">
        <v>2703</v>
      </c>
      <c r="Y2069" s="1" t="s">
        <v>24</v>
      </c>
      <c r="Z2069" s="1" t="s">
        <v>24</v>
      </c>
      <c r="AA2069" s="1" t="s">
        <v>24</v>
      </c>
      <c r="AB2069" s="1" t="s">
        <v>24</v>
      </c>
      <c r="AC2069" s="1" t="s">
        <v>24</v>
      </c>
      <c r="AD2069" s="1" t="s">
        <v>24</v>
      </c>
      <c r="AE2069" s="1" t="s">
        <v>24</v>
      </c>
      <c r="AF2069" s="22"/>
    </row>
    <row r="2070" spans="1:32" x14ac:dyDescent="0.2">
      <c r="A2070" s="1">
        <v>11453</v>
      </c>
      <c r="B2070" s="1" t="s">
        <v>6610</v>
      </c>
      <c r="C2070" s="5" t="s">
        <v>0</v>
      </c>
      <c r="D2070" s="1" t="s">
        <v>6611</v>
      </c>
      <c r="E2070" s="1" t="s">
        <v>6612</v>
      </c>
      <c r="F2070" s="1" t="s">
        <v>1224</v>
      </c>
      <c r="G2070" s="1" t="s">
        <v>1224</v>
      </c>
      <c r="H2070" s="1" t="s">
        <v>30</v>
      </c>
      <c r="I2070" s="1" t="s">
        <v>16</v>
      </c>
      <c r="J2070" s="1">
        <v>1</v>
      </c>
      <c r="K2070" s="1">
        <v>24</v>
      </c>
      <c r="L2070" s="1" t="s">
        <v>42</v>
      </c>
      <c r="M2070" s="1" t="s">
        <v>18</v>
      </c>
      <c r="N2070" s="1" t="s">
        <v>18</v>
      </c>
      <c r="O2070" s="1">
        <v>3</v>
      </c>
      <c r="P2070" s="1">
        <v>7</v>
      </c>
      <c r="Q2070" s="7" t="s">
        <v>17633</v>
      </c>
      <c r="R2070" s="1" t="s">
        <v>62</v>
      </c>
      <c r="S2070" s="1" t="s">
        <v>20</v>
      </c>
      <c r="T2070" s="1" t="s">
        <v>21</v>
      </c>
      <c r="U2070" s="1" t="s">
        <v>22</v>
      </c>
      <c r="V2070" s="1" t="s">
        <v>24</v>
      </c>
      <c r="W2070" s="1" t="s">
        <v>64</v>
      </c>
      <c r="X2070" s="1">
        <v>1306</v>
      </c>
      <c r="Y2070" s="1">
        <v>2730</v>
      </c>
      <c r="Z2070" s="1" t="s">
        <v>24</v>
      </c>
      <c r="AA2070" s="1" t="s">
        <v>24</v>
      </c>
      <c r="AB2070" s="1" t="s">
        <v>24</v>
      </c>
      <c r="AC2070" s="1" t="s">
        <v>24</v>
      </c>
      <c r="AD2070" s="1" t="s">
        <v>24</v>
      </c>
      <c r="AE2070" s="1" t="s">
        <v>24</v>
      </c>
      <c r="AF2070" s="22"/>
    </row>
    <row r="2071" spans="1:32" x14ac:dyDescent="0.2">
      <c r="A2071" s="1">
        <v>11456</v>
      </c>
      <c r="B2071" s="1" t="s">
        <v>6613</v>
      </c>
      <c r="C2071" s="5" t="s">
        <v>0</v>
      </c>
      <c r="D2071" s="1" t="s">
        <v>6614</v>
      </c>
      <c r="E2071" s="1" t="s">
        <v>6615</v>
      </c>
      <c r="F2071" s="1" t="s">
        <v>217</v>
      </c>
      <c r="G2071" s="1" t="s">
        <v>130</v>
      </c>
      <c r="H2071" s="1" t="s">
        <v>92</v>
      </c>
      <c r="I2071" s="1" t="s">
        <v>16</v>
      </c>
      <c r="J2071" s="1">
        <v>2</v>
      </c>
      <c r="K2071" s="1">
        <v>3</v>
      </c>
      <c r="L2071" s="1" t="s">
        <v>31</v>
      </c>
      <c r="M2071" s="1" t="s">
        <v>18</v>
      </c>
      <c r="N2071" s="1" t="s">
        <v>18</v>
      </c>
      <c r="O2071" s="1">
        <v>3</v>
      </c>
      <c r="P2071" s="1">
        <v>7</v>
      </c>
      <c r="Q2071" s="7" t="s">
        <v>17633</v>
      </c>
      <c r="R2071" s="1" t="s">
        <v>19</v>
      </c>
      <c r="S2071" s="1" t="s">
        <v>20</v>
      </c>
      <c r="T2071" s="1" t="s">
        <v>21</v>
      </c>
      <c r="U2071" s="1" t="s">
        <v>22</v>
      </c>
      <c r="V2071" s="1" t="s">
        <v>24</v>
      </c>
      <c r="W2071" s="1" t="s">
        <v>24</v>
      </c>
      <c r="X2071" s="1">
        <v>2720</v>
      </c>
      <c r="Y2071" s="1">
        <v>2705</v>
      </c>
      <c r="Z2071" s="1" t="s">
        <v>24</v>
      </c>
      <c r="AA2071" s="1" t="s">
        <v>24</v>
      </c>
      <c r="AB2071" s="1" t="s">
        <v>24</v>
      </c>
      <c r="AC2071" s="1" t="s">
        <v>24</v>
      </c>
      <c r="AD2071" s="1" t="s">
        <v>24</v>
      </c>
      <c r="AE2071" s="1" t="s">
        <v>24</v>
      </c>
      <c r="AF2071" s="22"/>
    </row>
    <row r="2072" spans="1:32" x14ac:dyDescent="0.2">
      <c r="A2072" s="1">
        <v>11457</v>
      </c>
      <c r="B2072" s="1" t="s">
        <v>6616</v>
      </c>
      <c r="C2072" s="5" t="s">
        <v>0</v>
      </c>
      <c r="D2072" s="1" t="s">
        <v>6617</v>
      </c>
      <c r="E2072" s="1" t="s">
        <v>6618</v>
      </c>
      <c r="F2072" s="1" t="s">
        <v>217</v>
      </c>
      <c r="G2072" s="1" t="s">
        <v>130</v>
      </c>
      <c r="H2072" s="1" t="s">
        <v>92</v>
      </c>
      <c r="I2072" s="1" t="s">
        <v>16</v>
      </c>
      <c r="J2072" s="1">
        <v>2</v>
      </c>
      <c r="K2072" s="1">
        <v>3</v>
      </c>
      <c r="L2072" s="1" t="s">
        <v>31</v>
      </c>
      <c r="M2072" s="1" t="s">
        <v>18</v>
      </c>
      <c r="N2072" s="1" t="s">
        <v>18</v>
      </c>
      <c r="O2072" s="1">
        <v>3</v>
      </c>
      <c r="P2072" s="1">
        <v>7</v>
      </c>
      <c r="Q2072" s="7" t="s">
        <v>17633</v>
      </c>
      <c r="R2072" s="1" t="s">
        <v>19</v>
      </c>
      <c r="S2072" s="1" t="s">
        <v>20</v>
      </c>
      <c r="T2072" s="1" t="s">
        <v>21</v>
      </c>
      <c r="U2072" s="1" t="s">
        <v>22</v>
      </c>
      <c r="V2072" s="1" t="s">
        <v>24</v>
      </c>
      <c r="W2072" s="1" t="s">
        <v>24</v>
      </c>
      <c r="X2072" s="1">
        <v>2804</v>
      </c>
      <c r="Y2072" s="1">
        <v>2805</v>
      </c>
      <c r="Z2072" s="1">
        <v>2809</v>
      </c>
      <c r="AA2072" s="1" t="s">
        <v>24</v>
      </c>
      <c r="AB2072" s="1" t="s">
        <v>24</v>
      </c>
      <c r="AC2072" s="1" t="s">
        <v>24</v>
      </c>
      <c r="AD2072" s="1" t="s">
        <v>24</v>
      </c>
      <c r="AE2072" s="1" t="s">
        <v>24</v>
      </c>
      <c r="AF2072" s="22"/>
    </row>
    <row r="2073" spans="1:32" x14ac:dyDescent="0.2">
      <c r="A2073" s="1">
        <v>11464</v>
      </c>
      <c r="B2073" s="1" t="s">
        <v>6619</v>
      </c>
      <c r="C2073" s="5" t="s">
        <v>0</v>
      </c>
      <c r="D2073" s="1" t="s">
        <v>6620</v>
      </c>
      <c r="F2073" s="1" t="s">
        <v>6621</v>
      </c>
      <c r="G2073" s="1" t="s">
        <v>6621</v>
      </c>
      <c r="H2073" s="1" t="s">
        <v>37</v>
      </c>
      <c r="I2073" s="1" t="s">
        <v>16</v>
      </c>
      <c r="J2073" s="1">
        <v>0</v>
      </c>
      <c r="K2073" s="1">
        <v>0</v>
      </c>
      <c r="L2073" s="1" t="s">
        <v>17</v>
      </c>
      <c r="M2073" s="1" t="s">
        <v>18</v>
      </c>
      <c r="N2073" s="1" t="s">
        <v>18</v>
      </c>
      <c r="O2073" s="1">
        <v>3</v>
      </c>
      <c r="P2073" s="1">
        <v>6</v>
      </c>
      <c r="R2073" s="1" t="s">
        <v>19</v>
      </c>
      <c r="S2073" s="1" t="s">
        <v>20</v>
      </c>
      <c r="T2073" s="1" t="s">
        <v>21</v>
      </c>
      <c r="U2073" s="1" t="s">
        <v>22</v>
      </c>
      <c r="V2073" s="1" t="s">
        <v>24</v>
      </c>
      <c r="W2073" s="1" t="s">
        <v>24</v>
      </c>
      <c r="X2073" s="1">
        <v>2700</v>
      </c>
      <c r="Y2073" s="1" t="s">
        <v>24</v>
      </c>
      <c r="Z2073" s="1" t="s">
        <v>24</v>
      </c>
      <c r="AA2073" s="1" t="s">
        <v>24</v>
      </c>
      <c r="AB2073" s="1" t="s">
        <v>24</v>
      </c>
      <c r="AC2073" s="1" t="s">
        <v>24</v>
      </c>
      <c r="AD2073" s="1" t="s">
        <v>24</v>
      </c>
      <c r="AE2073" s="1" t="s">
        <v>24</v>
      </c>
      <c r="AF2073" s="22"/>
    </row>
    <row r="2074" spans="1:32" x14ac:dyDescent="0.2">
      <c r="A2074" s="1">
        <v>11471</v>
      </c>
      <c r="B2074" s="1" t="s">
        <v>6622</v>
      </c>
      <c r="C2074" s="5" t="s">
        <v>0</v>
      </c>
      <c r="D2074" s="1" t="s">
        <v>6623</v>
      </c>
      <c r="E2074" s="1" t="s">
        <v>6624</v>
      </c>
      <c r="F2074" s="1" t="s">
        <v>155</v>
      </c>
      <c r="G2074" s="1" t="s">
        <v>61</v>
      </c>
      <c r="H2074" s="1" t="s">
        <v>37</v>
      </c>
      <c r="I2074" s="1" t="s">
        <v>16</v>
      </c>
      <c r="J2074" s="1">
        <v>1</v>
      </c>
      <c r="K2074" s="1">
        <v>12</v>
      </c>
      <c r="L2074" s="1" t="s">
        <v>31</v>
      </c>
      <c r="M2074" s="1" t="s">
        <v>18</v>
      </c>
      <c r="N2074" s="1" t="s">
        <v>18</v>
      </c>
      <c r="O2074" s="1">
        <v>3</v>
      </c>
      <c r="P2074" s="1">
        <v>6</v>
      </c>
      <c r="R2074" s="1" t="s">
        <v>62</v>
      </c>
      <c r="S2074" s="1" t="s">
        <v>63</v>
      </c>
      <c r="T2074" s="1" t="s">
        <v>21</v>
      </c>
      <c r="U2074" s="1" t="s">
        <v>22</v>
      </c>
      <c r="V2074" s="1" t="s">
        <v>24</v>
      </c>
      <c r="W2074" s="1" t="s">
        <v>64</v>
      </c>
      <c r="X2074" s="1">
        <v>1303</v>
      </c>
      <c r="Y2074" s="1">
        <v>1307</v>
      </c>
      <c r="Z2074" s="1" t="s">
        <v>24</v>
      </c>
      <c r="AA2074" s="1" t="s">
        <v>24</v>
      </c>
      <c r="AB2074" s="1" t="s">
        <v>24</v>
      </c>
      <c r="AC2074" s="1" t="s">
        <v>24</v>
      </c>
      <c r="AD2074" s="1" t="s">
        <v>24</v>
      </c>
      <c r="AE2074" s="1" t="s">
        <v>24</v>
      </c>
      <c r="AF2074" s="22"/>
    </row>
    <row r="2075" spans="1:32" x14ac:dyDescent="0.2">
      <c r="A2075" s="1">
        <v>11474</v>
      </c>
      <c r="B2075" s="1" t="s">
        <v>6625</v>
      </c>
      <c r="C2075" s="5" t="s">
        <v>0</v>
      </c>
      <c r="D2075" s="1" t="s">
        <v>6626</v>
      </c>
      <c r="E2075" s="1" t="s">
        <v>6627</v>
      </c>
      <c r="F2075" s="1" t="s">
        <v>4337</v>
      </c>
      <c r="G2075" s="1" t="s">
        <v>4338</v>
      </c>
      <c r="H2075" s="1" t="s">
        <v>30</v>
      </c>
      <c r="I2075" s="1" t="s">
        <v>16</v>
      </c>
      <c r="J2075" s="1">
        <v>1</v>
      </c>
      <c r="K2075" s="1">
        <v>12</v>
      </c>
      <c r="L2075" s="1" t="s">
        <v>31</v>
      </c>
      <c r="M2075" s="1" t="s">
        <v>18</v>
      </c>
      <c r="N2075" s="1" t="s">
        <v>18</v>
      </c>
      <c r="O2075" s="1">
        <v>3</v>
      </c>
      <c r="P2075" s="1">
        <v>7</v>
      </c>
      <c r="Q2075" s="7" t="s">
        <v>17633</v>
      </c>
      <c r="R2075" s="1" t="s">
        <v>19</v>
      </c>
      <c r="S2075" s="1" t="s">
        <v>20</v>
      </c>
      <c r="T2075" s="1" t="s">
        <v>21</v>
      </c>
      <c r="U2075" s="1" t="s">
        <v>22</v>
      </c>
      <c r="V2075" s="1" t="s">
        <v>24</v>
      </c>
      <c r="W2075" s="1" t="s">
        <v>24</v>
      </c>
      <c r="X2075" s="1">
        <v>2403</v>
      </c>
      <c r="Y2075" s="1">
        <v>2406</v>
      </c>
      <c r="Z2075" s="1">
        <v>1307</v>
      </c>
      <c r="AA2075" s="1" t="s">
        <v>24</v>
      </c>
      <c r="AB2075" s="1" t="s">
        <v>24</v>
      </c>
      <c r="AC2075" s="1" t="s">
        <v>24</v>
      </c>
      <c r="AD2075" s="1" t="s">
        <v>24</v>
      </c>
      <c r="AE2075" s="1" t="s">
        <v>24</v>
      </c>
      <c r="AF2075" s="22"/>
    </row>
    <row r="2076" spans="1:32" x14ac:dyDescent="0.2">
      <c r="A2076" s="1">
        <v>11475</v>
      </c>
      <c r="B2076" s="1" t="s">
        <v>6628</v>
      </c>
      <c r="C2076" s="5" t="s">
        <v>0</v>
      </c>
      <c r="D2076" s="1" t="s">
        <v>6629</v>
      </c>
      <c r="E2076" s="1" t="s">
        <v>6630</v>
      </c>
      <c r="F2076" s="1" t="s">
        <v>412</v>
      </c>
      <c r="G2076" s="1" t="s">
        <v>372</v>
      </c>
      <c r="H2076" s="1" t="s">
        <v>168</v>
      </c>
      <c r="I2076" s="1" t="s">
        <v>16</v>
      </c>
      <c r="J2076" s="1">
        <v>1</v>
      </c>
      <c r="K2076" s="1">
        <v>10</v>
      </c>
      <c r="L2076" s="1" t="s">
        <v>31</v>
      </c>
      <c r="M2076" s="1" t="s">
        <v>18</v>
      </c>
      <c r="N2076" s="1" t="s">
        <v>18</v>
      </c>
      <c r="O2076" s="1">
        <v>2</v>
      </c>
      <c r="P2076" s="1">
        <v>7</v>
      </c>
      <c r="Q2076" s="7" t="s">
        <v>17633</v>
      </c>
      <c r="R2076" s="1" t="s">
        <v>19</v>
      </c>
      <c r="S2076" s="1" t="s">
        <v>63</v>
      </c>
      <c r="T2076" s="1" t="s">
        <v>21</v>
      </c>
      <c r="U2076" s="1" t="s">
        <v>22</v>
      </c>
      <c r="V2076" s="1" t="s">
        <v>24</v>
      </c>
      <c r="W2076" s="1" t="s">
        <v>24</v>
      </c>
      <c r="X2076" s="1">
        <v>1310</v>
      </c>
      <c r="Y2076" s="1">
        <v>2712</v>
      </c>
      <c r="Z2076" s="1">
        <v>2724</v>
      </c>
      <c r="AA2076" s="1" t="s">
        <v>24</v>
      </c>
      <c r="AB2076" s="1" t="s">
        <v>24</v>
      </c>
      <c r="AC2076" s="1" t="s">
        <v>24</v>
      </c>
      <c r="AD2076" s="1" t="s">
        <v>24</v>
      </c>
      <c r="AE2076" s="1" t="s">
        <v>24</v>
      </c>
      <c r="AF2076" s="22"/>
    </row>
    <row r="2077" spans="1:32" x14ac:dyDescent="0.2">
      <c r="A2077" s="1">
        <v>11480</v>
      </c>
      <c r="B2077" s="1" t="s">
        <v>6631</v>
      </c>
      <c r="C2077" s="5" t="s">
        <v>0</v>
      </c>
      <c r="D2077" s="1" t="s">
        <v>6632</v>
      </c>
      <c r="F2077" s="1" t="s">
        <v>6633</v>
      </c>
      <c r="G2077" s="1" t="s">
        <v>6633</v>
      </c>
      <c r="H2077" s="1" t="s">
        <v>461</v>
      </c>
      <c r="I2077" s="1" t="s">
        <v>16</v>
      </c>
      <c r="J2077" s="1">
        <v>1</v>
      </c>
      <c r="K2077" s="1">
        <v>6</v>
      </c>
      <c r="L2077" s="1" t="s">
        <v>17</v>
      </c>
      <c r="M2077" s="1" t="s">
        <v>1735</v>
      </c>
      <c r="N2077" s="1" t="s">
        <v>18</v>
      </c>
      <c r="O2077" s="1">
        <v>3</v>
      </c>
      <c r="P2077" s="1">
        <v>5</v>
      </c>
      <c r="R2077" s="1" t="s">
        <v>19</v>
      </c>
      <c r="S2077" s="1" t="s">
        <v>20</v>
      </c>
      <c r="T2077" s="1" t="s">
        <v>21</v>
      </c>
      <c r="U2077" s="1" t="s">
        <v>22</v>
      </c>
      <c r="V2077" s="1" t="s">
        <v>24</v>
      </c>
      <c r="W2077" s="1" t="s">
        <v>24</v>
      </c>
      <c r="X2077" s="1">
        <v>3004</v>
      </c>
      <c r="Y2077" s="1">
        <v>2736</v>
      </c>
      <c r="Z2077" s="1" t="s">
        <v>24</v>
      </c>
      <c r="AA2077" s="1" t="s">
        <v>24</v>
      </c>
      <c r="AB2077" s="1" t="s">
        <v>24</v>
      </c>
      <c r="AC2077" s="1" t="s">
        <v>24</v>
      </c>
      <c r="AD2077" s="1" t="s">
        <v>24</v>
      </c>
      <c r="AE2077" s="1" t="s">
        <v>24</v>
      </c>
      <c r="AF2077" s="22"/>
    </row>
    <row r="2078" spans="1:32" x14ac:dyDescent="0.2">
      <c r="A2078" s="1">
        <v>11482</v>
      </c>
      <c r="B2078" s="1" t="s">
        <v>6634</v>
      </c>
      <c r="C2078" s="5" t="s">
        <v>0</v>
      </c>
      <c r="D2078" s="1" t="s">
        <v>6635</v>
      </c>
      <c r="E2078" s="1" t="s">
        <v>6636</v>
      </c>
      <c r="F2078" s="1" t="s">
        <v>2688</v>
      </c>
      <c r="G2078" s="1" t="s">
        <v>2688</v>
      </c>
      <c r="H2078" s="1" t="s">
        <v>30</v>
      </c>
      <c r="I2078" s="1" t="s">
        <v>16</v>
      </c>
      <c r="J2078" s="1">
        <v>1</v>
      </c>
      <c r="K2078" s="1">
        <v>12</v>
      </c>
      <c r="L2078" s="1" t="s">
        <v>42</v>
      </c>
      <c r="M2078" s="1" t="s">
        <v>18</v>
      </c>
      <c r="N2078" s="1" t="s">
        <v>18</v>
      </c>
      <c r="O2078" s="1">
        <v>3</v>
      </c>
      <c r="P2078" s="1">
        <v>7</v>
      </c>
      <c r="Q2078" s="7" t="s">
        <v>17633</v>
      </c>
      <c r="R2078" s="1" t="s">
        <v>19</v>
      </c>
      <c r="S2078" s="1" t="s">
        <v>20</v>
      </c>
      <c r="T2078" s="1" t="s">
        <v>21</v>
      </c>
      <c r="U2078" s="1" t="s">
        <v>22</v>
      </c>
      <c r="V2078" s="1" t="s">
        <v>24</v>
      </c>
      <c r="W2078" s="1" t="s">
        <v>24</v>
      </c>
      <c r="X2078" s="1">
        <v>2731</v>
      </c>
      <c r="Y2078" s="1">
        <v>2746</v>
      </c>
      <c r="Z2078" s="1" t="s">
        <v>24</v>
      </c>
      <c r="AA2078" s="1" t="s">
        <v>24</v>
      </c>
      <c r="AB2078" s="1" t="s">
        <v>24</v>
      </c>
      <c r="AC2078" s="1" t="s">
        <v>24</v>
      </c>
      <c r="AD2078" s="1" t="s">
        <v>24</v>
      </c>
      <c r="AE2078" s="1" t="s">
        <v>24</v>
      </c>
      <c r="AF2078" s="22"/>
    </row>
    <row r="2079" spans="1:32" x14ac:dyDescent="0.2">
      <c r="A2079" s="1">
        <v>11486</v>
      </c>
      <c r="B2079" s="1" t="s">
        <v>6637</v>
      </c>
      <c r="C2079" s="5" t="s">
        <v>0</v>
      </c>
      <c r="D2079" s="1" t="s">
        <v>6638</v>
      </c>
      <c r="E2079" s="1" t="s">
        <v>6639</v>
      </c>
      <c r="F2079" s="1" t="s">
        <v>6640</v>
      </c>
      <c r="G2079" s="1" t="s">
        <v>61</v>
      </c>
      <c r="H2079" s="1" t="s">
        <v>30</v>
      </c>
      <c r="I2079" s="1" t="s">
        <v>16</v>
      </c>
      <c r="J2079" s="1">
        <v>2</v>
      </c>
      <c r="K2079" s="1">
        <v>6</v>
      </c>
      <c r="L2079" s="1" t="s">
        <v>31</v>
      </c>
      <c r="M2079" s="1" t="s">
        <v>18</v>
      </c>
      <c r="N2079" s="1" t="s">
        <v>18</v>
      </c>
      <c r="O2079" s="1">
        <v>3</v>
      </c>
      <c r="P2079" s="1">
        <v>7</v>
      </c>
      <c r="Q2079" s="7" t="s">
        <v>17633</v>
      </c>
      <c r="R2079" s="1" t="s">
        <v>19</v>
      </c>
      <c r="S2079" s="1" t="s">
        <v>20</v>
      </c>
      <c r="T2079" s="1" t="s">
        <v>21</v>
      </c>
      <c r="U2079" s="1" t="s">
        <v>22</v>
      </c>
      <c r="V2079" s="1" t="s">
        <v>23</v>
      </c>
      <c r="W2079" s="1" t="s">
        <v>24</v>
      </c>
      <c r="X2079" s="1">
        <v>2723</v>
      </c>
      <c r="Y2079" s="1">
        <v>2740</v>
      </c>
      <c r="Z2079" s="1" t="s">
        <v>24</v>
      </c>
      <c r="AA2079" s="1" t="s">
        <v>24</v>
      </c>
      <c r="AB2079" s="1" t="s">
        <v>24</v>
      </c>
      <c r="AC2079" s="1" t="s">
        <v>24</v>
      </c>
      <c r="AD2079" s="1" t="s">
        <v>24</v>
      </c>
      <c r="AE2079" s="1" t="s">
        <v>24</v>
      </c>
      <c r="AF2079" s="22"/>
    </row>
    <row r="2080" spans="1:32" x14ac:dyDescent="0.2">
      <c r="A2080" s="1">
        <v>11487</v>
      </c>
      <c r="B2080" s="1" t="s">
        <v>6641</v>
      </c>
      <c r="C2080" s="5" t="s">
        <v>0</v>
      </c>
      <c r="D2080" s="1" t="s">
        <v>6642</v>
      </c>
      <c r="E2080" s="1" t="s">
        <v>6643</v>
      </c>
      <c r="F2080" s="1" t="s">
        <v>167</v>
      </c>
      <c r="G2080" s="1" t="s">
        <v>130</v>
      </c>
      <c r="H2080" s="1" t="s">
        <v>168</v>
      </c>
      <c r="I2080" s="1" t="s">
        <v>16</v>
      </c>
      <c r="J2080" s="1">
        <v>1</v>
      </c>
      <c r="K2080" s="1">
        <v>12</v>
      </c>
      <c r="L2080" s="1" t="s">
        <v>31</v>
      </c>
      <c r="M2080" s="1" t="s">
        <v>413</v>
      </c>
      <c r="N2080" s="1" t="s">
        <v>413</v>
      </c>
      <c r="O2080" s="1">
        <v>0</v>
      </c>
      <c r="P2080" s="1">
        <v>5</v>
      </c>
      <c r="R2080" s="1" t="s">
        <v>19</v>
      </c>
      <c r="S2080" s="1" t="s">
        <v>20</v>
      </c>
      <c r="T2080" s="1" t="s">
        <v>21</v>
      </c>
      <c r="U2080" s="1" t="s">
        <v>22</v>
      </c>
      <c r="V2080" s="1" t="s">
        <v>24</v>
      </c>
      <c r="W2080" s="1" t="s">
        <v>24</v>
      </c>
      <c r="X2080" s="1">
        <v>2730</v>
      </c>
      <c r="Y2080" s="1">
        <v>2720</v>
      </c>
      <c r="Z2080" s="1" t="s">
        <v>24</v>
      </c>
      <c r="AA2080" s="1" t="s">
        <v>24</v>
      </c>
      <c r="AB2080" s="1" t="s">
        <v>24</v>
      </c>
      <c r="AC2080" s="1" t="s">
        <v>24</v>
      </c>
      <c r="AD2080" s="1" t="s">
        <v>24</v>
      </c>
      <c r="AE2080" s="1" t="s">
        <v>24</v>
      </c>
      <c r="AF2080" s="22"/>
    </row>
    <row r="2081" spans="1:32" x14ac:dyDescent="0.2">
      <c r="A2081" s="1">
        <v>11493</v>
      </c>
      <c r="B2081" s="1" t="s">
        <v>6644</v>
      </c>
      <c r="C2081" s="5" t="s">
        <v>0</v>
      </c>
      <c r="D2081" s="1" t="s">
        <v>6645</v>
      </c>
      <c r="E2081" s="1" t="s">
        <v>6646</v>
      </c>
      <c r="F2081" s="1" t="s">
        <v>55</v>
      </c>
      <c r="G2081" s="1" t="s">
        <v>56</v>
      </c>
      <c r="H2081" s="1" t="s">
        <v>37</v>
      </c>
      <c r="I2081" s="1" t="s">
        <v>16</v>
      </c>
      <c r="J2081" s="1">
        <v>1</v>
      </c>
      <c r="K2081" s="1">
        <v>6</v>
      </c>
      <c r="L2081" s="1" t="s">
        <v>31</v>
      </c>
      <c r="M2081" s="1" t="s">
        <v>18</v>
      </c>
      <c r="N2081" s="1" t="s">
        <v>18</v>
      </c>
      <c r="O2081" s="1">
        <v>3</v>
      </c>
      <c r="P2081" s="1">
        <v>7</v>
      </c>
      <c r="Q2081" s="7" t="s">
        <v>17633</v>
      </c>
      <c r="R2081" s="1" t="s">
        <v>62</v>
      </c>
      <c r="S2081" s="1" t="s">
        <v>20</v>
      </c>
      <c r="T2081" s="1" t="s">
        <v>21</v>
      </c>
      <c r="U2081" s="1" t="s">
        <v>22</v>
      </c>
      <c r="V2081" s="1" t="s">
        <v>23</v>
      </c>
      <c r="W2081" s="1" t="s">
        <v>24</v>
      </c>
      <c r="X2081" s="1">
        <v>2729</v>
      </c>
      <c r="Y2081" s="1">
        <v>2743</v>
      </c>
      <c r="Z2081" s="1" t="s">
        <v>24</v>
      </c>
      <c r="AA2081" s="1" t="s">
        <v>24</v>
      </c>
      <c r="AB2081" s="1" t="s">
        <v>24</v>
      </c>
      <c r="AC2081" s="1" t="s">
        <v>24</v>
      </c>
      <c r="AD2081" s="1" t="s">
        <v>24</v>
      </c>
      <c r="AE2081" s="1" t="s">
        <v>24</v>
      </c>
      <c r="AF2081" s="22"/>
    </row>
    <row r="2082" spans="1:32" x14ac:dyDescent="0.2">
      <c r="A2082" s="1">
        <v>11494</v>
      </c>
      <c r="B2082" s="1" t="s">
        <v>6647</v>
      </c>
      <c r="C2082" s="5" t="s">
        <v>0</v>
      </c>
      <c r="D2082" s="1" t="s">
        <v>6648</v>
      </c>
      <c r="F2082" s="1" t="s">
        <v>6649</v>
      </c>
      <c r="G2082" s="1" t="s">
        <v>6650</v>
      </c>
      <c r="H2082" s="1" t="s">
        <v>461</v>
      </c>
      <c r="I2082" s="1" t="s">
        <v>16</v>
      </c>
      <c r="J2082" s="1">
        <v>1</v>
      </c>
      <c r="K2082" s="1">
        <v>4</v>
      </c>
      <c r="L2082" s="1" t="s">
        <v>31</v>
      </c>
      <c r="M2082" s="1" t="s">
        <v>18</v>
      </c>
      <c r="N2082" s="1" t="s">
        <v>18</v>
      </c>
      <c r="O2082" s="1">
        <v>0</v>
      </c>
      <c r="P2082" s="1">
        <v>6</v>
      </c>
      <c r="R2082" s="1" t="s">
        <v>19</v>
      </c>
      <c r="S2082" s="1" t="s">
        <v>20</v>
      </c>
      <c r="T2082" s="1" t="s">
        <v>21</v>
      </c>
      <c r="U2082" s="1" t="s">
        <v>22</v>
      </c>
      <c r="V2082" s="1" t="s">
        <v>24</v>
      </c>
      <c r="W2082" s="1" t="s">
        <v>24</v>
      </c>
      <c r="X2082" s="1">
        <v>2700</v>
      </c>
      <c r="Y2082" s="1" t="s">
        <v>24</v>
      </c>
      <c r="Z2082" s="1" t="s">
        <v>24</v>
      </c>
      <c r="AA2082" s="1" t="s">
        <v>24</v>
      </c>
      <c r="AB2082" s="1" t="s">
        <v>24</v>
      </c>
      <c r="AC2082" s="1" t="s">
        <v>24</v>
      </c>
      <c r="AD2082" s="1" t="s">
        <v>24</v>
      </c>
      <c r="AE2082" s="1" t="s">
        <v>24</v>
      </c>
      <c r="AF2082" s="22"/>
    </row>
    <row r="2083" spans="1:32" x14ac:dyDescent="0.2">
      <c r="A2083" s="1">
        <v>11495</v>
      </c>
      <c r="B2083" s="1" t="s">
        <v>6651</v>
      </c>
      <c r="C2083" s="5" t="s">
        <v>0</v>
      </c>
      <c r="D2083" s="1" t="s">
        <v>6652</v>
      </c>
      <c r="E2083" s="1" t="s">
        <v>6653</v>
      </c>
      <c r="F2083" s="1" t="s">
        <v>35</v>
      </c>
      <c r="G2083" s="1" t="s">
        <v>36</v>
      </c>
      <c r="H2083" s="1" t="s">
        <v>37</v>
      </c>
      <c r="I2083" s="1" t="s">
        <v>16</v>
      </c>
      <c r="J2083" s="1">
        <v>1</v>
      </c>
      <c r="K2083" s="1">
        <v>4</v>
      </c>
      <c r="L2083" s="1" t="s">
        <v>31</v>
      </c>
      <c r="M2083" s="1" t="s">
        <v>18</v>
      </c>
      <c r="N2083" s="1" t="s">
        <v>18</v>
      </c>
      <c r="O2083" s="1">
        <v>3</v>
      </c>
      <c r="P2083" s="1">
        <v>6</v>
      </c>
      <c r="R2083" s="1" t="s">
        <v>19</v>
      </c>
      <c r="S2083" s="1" t="s">
        <v>20</v>
      </c>
      <c r="T2083" s="1" t="s">
        <v>21</v>
      </c>
      <c r="U2083" s="1" t="s">
        <v>22</v>
      </c>
      <c r="V2083" s="1" t="s">
        <v>24</v>
      </c>
      <c r="W2083" s="1" t="s">
        <v>24</v>
      </c>
      <c r="X2083" s="1">
        <v>2708</v>
      </c>
      <c r="Y2083" s="1" t="s">
        <v>24</v>
      </c>
      <c r="Z2083" s="1" t="s">
        <v>24</v>
      </c>
      <c r="AA2083" s="1" t="s">
        <v>24</v>
      </c>
      <c r="AB2083" s="1" t="s">
        <v>24</v>
      </c>
      <c r="AC2083" s="1" t="s">
        <v>24</v>
      </c>
      <c r="AD2083" s="1" t="s">
        <v>24</v>
      </c>
      <c r="AE2083" s="1" t="s">
        <v>24</v>
      </c>
      <c r="AF2083" s="22"/>
    </row>
    <row r="2084" spans="1:32" x14ac:dyDescent="0.2">
      <c r="A2084" s="1">
        <v>11497</v>
      </c>
      <c r="B2084" s="1" t="s">
        <v>6654</v>
      </c>
      <c r="C2084" s="5" t="s">
        <v>0</v>
      </c>
      <c r="D2084" s="1" t="s">
        <v>6655</v>
      </c>
      <c r="F2084" s="1" t="s">
        <v>6656</v>
      </c>
      <c r="G2084" s="1" t="s">
        <v>6656</v>
      </c>
      <c r="H2084" s="1" t="s">
        <v>30</v>
      </c>
      <c r="I2084" s="1" t="s">
        <v>16</v>
      </c>
      <c r="J2084" s="1">
        <v>1</v>
      </c>
      <c r="K2084" s="1">
        <v>4</v>
      </c>
      <c r="L2084" s="1" t="s">
        <v>17</v>
      </c>
      <c r="M2084" s="1" t="s">
        <v>18</v>
      </c>
      <c r="N2084" s="1" t="s">
        <v>18</v>
      </c>
      <c r="O2084" s="1">
        <v>3</v>
      </c>
      <c r="P2084" s="1">
        <v>6</v>
      </c>
      <c r="R2084" s="1" t="s">
        <v>19</v>
      </c>
      <c r="S2084" s="1" t="s">
        <v>20</v>
      </c>
      <c r="T2084" s="1" t="s">
        <v>21</v>
      </c>
      <c r="U2084" s="1" t="s">
        <v>22</v>
      </c>
      <c r="V2084" s="1" t="s">
        <v>24</v>
      </c>
      <c r="W2084" s="1" t="s">
        <v>24</v>
      </c>
      <c r="X2084" s="1">
        <v>2734</v>
      </c>
      <c r="Y2084" s="1">
        <v>3202</v>
      </c>
      <c r="Z2084" s="1" t="s">
        <v>24</v>
      </c>
      <c r="AA2084" s="1" t="s">
        <v>24</v>
      </c>
      <c r="AB2084" s="1" t="s">
        <v>24</v>
      </c>
      <c r="AC2084" s="1" t="s">
        <v>24</v>
      </c>
      <c r="AD2084" s="1" t="s">
        <v>24</v>
      </c>
      <c r="AE2084" s="1" t="s">
        <v>24</v>
      </c>
      <c r="AF2084" s="22"/>
    </row>
    <row r="2085" spans="1:32" x14ac:dyDescent="0.2">
      <c r="A2085" s="1">
        <v>11500</v>
      </c>
      <c r="B2085" s="1" t="s">
        <v>6657</v>
      </c>
      <c r="C2085" s="5" t="s">
        <v>0</v>
      </c>
      <c r="D2085" s="1" t="s">
        <v>6658</v>
      </c>
      <c r="F2085" s="1" t="s">
        <v>6659</v>
      </c>
      <c r="G2085" s="1" t="s">
        <v>6659</v>
      </c>
      <c r="H2085" s="1" t="s">
        <v>461</v>
      </c>
      <c r="I2085" s="1" t="s">
        <v>16</v>
      </c>
      <c r="J2085" s="1">
        <v>1</v>
      </c>
      <c r="K2085" s="1">
        <v>6</v>
      </c>
      <c r="L2085" s="1" t="s">
        <v>17</v>
      </c>
      <c r="M2085" s="1" t="s">
        <v>635</v>
      </c>
      <c r="N2085" s="1" t="s">
        <v>635</v>
      </c>
      <c r="O2085" s="1">
        <v>1</v>
      </c>
      <c r="P2085" s="1">
        <v>5</v>
      </c>
      <c r="R2085" s="1" t="s">
        <v>19</v>
      </c>
      <c r="S2085" s="1" t="s">
        <v>20</v>
      </c>
      <c r="T2085" s="1" t="s">
        <v>21</v>
      </c>
      <c r="U2085" s="1" t="s">
        <v>22</v>
      </c>
      <c r="V2085" s="1" t="s">
        <v>24</v>
      </c>
      <c r="W2085" s="1" t="s">
        <v>24</v>
      </c>
      <c r="X2085" s="1">
        <v>2734</v>
      </c>
      <c r="Y2085" s="1" t="s">
        <v>24</v>
      </c>
      <c r="Z2085" s="1" t="s">
        <v>24</v>
      </c>
      <c r="AA2085" s="1" t="s">
        <v>24</v>
      </c>
      <c r="AB2085" s="1" t="s">
        <v>24</v>
      </c>
      <c r="AC2085" s="1" t="s">
        <v>24</v>
      </c>
      <c r="AD2085" s="1" t="s">
        <v>24</v>
      </c>
      <c r="AE2085" s="1" t="s">
        <v>24</v>
      </c>
      <c r="AF2085" s="22"/>
    </row>
    <row r="2086" spans="1:32" x14ac:dyDescent="0.2">
      <c r="A2086" s="1">
        <v>11503</v>
      </c>
      <c r="B2086" s="1" t="s">
        <v>6660</v>
      </c>
      <c r="C2086" s="5" t="s">
        <v>0</v>
      </c>
      <c r="D2086" s="1" t="s">
        <v>6661</v>
      </c>
      <c r="E2086" s="1" t="s">
        <v>6662</v>
      </c>
      <c r="F2086" s="1" t="s">
        <v>167</v>
      </c>
      <c r="G2086" s="1" t="s">
        <v>130</v>
      </c>
      <c r="H2086" s="1" t="s">
        <v>168</v>
      </c>
      <c r="I2086" s="1" t="s">
        <v>16</v>
      </c>
      <c r="J2086" s="1">
        <v>1</v>
      </c>
      <c r="K2086" s="1">
        <v>6</v>
      </c>
      <c r="L2086" s="1" t="s">
        <v>31</v>
      </c>
      <c r="M2086" s="1" t="s">
        <v>413</v>
      </c>
      <c r="N2086" s="1" t="s">
        <v>679</v>
      </c>
      <c r="O2086" s="1">
        <v>3</v>
      </c>
      <c r="P2086" s="1">
        <v>6</v>
      </c>
      <c r="R2086" s="1" t="s">
        <v>19</v>
      </c>
      <c r="S2086" s="1" t="s">
        <v>20</v>
      </c>
      <c r="T2086" s="1" t="s">
        <v>21</v>
      </c>
      <c r="U2086" s="1" t="s">
        <v>22</v>
      </c>
      <c r="V2086" s="1" t="s">
        <v>23</v>
      </c>
      <c r="W2086" s="1" t="s">
        <v>24</v>
      </c>
      <c r="X2086" s="1">
        <v>2734</v>
      </c>
      <c r="Y2086" s="1" t="s">
        <v>24</v>
      </c>
      <c r="Z2086" s="1" t="s">
        <v>24</v>
      </c>
      <c r="AA2086" s="1" t="s">
        <v>24</v>
      </c>
      <c r="AB2086" s="1" t="s">
        <v>24</v>
      </c>
      <c r="AC2086" s="1" t="s">
        <v>24</v>
      </c>
      <c r="AD2086" s="1" t="s">
        <v>24</v>
      </c>
      <c r="AE2086" s="1" t="s">
        <v>24</v>
      </c>
      <c r="AF2086" s="22"/>
    </row>
    <row r="2087" spans="1:32" x14ac:dyDescent="0.2">
      <c r="A2087" s="1">
        <v>11507</v>
      </c>
      <c r="B2087" s="1" t="s">
        <v>6663</v>
      </c>
      <c r="C2087" s="5" t="s">
        <v>0</v>
      </c>
      <c r="D2087" s="1" t="s">
        <v>6664</v>
      </c>
      <c r="E2087" s="1" t="s">
        <v>6665</v>
      </c>
      <c r="F2087" s="1" t="s">
        <v>1181</v>
      </c>
      <c r="G2087" s="1" t="s">
        <v>130</v>
      </c>
      <c r="H2087" s="1" t="s">
        <v>37</v>
      </c>
      <c r="I2087" s="1" t="s">
        <v>16</v>
      </c>
      <c r="J2087" s="1">
        <v>1</v>
      </c>
      <c r="K2087" s="1">
        <v>6</v>
      </c>
      <c r="L2087" s="1" t="s">
        <v>31</v>
      </c>
      <c r="M2087" s="1" t="s">
        <v>18</v>
      </c>
      <c r="N2087" s="1" t="s">
        <v>18</v>
      </c>
      <c r="O2087" s="1">
        <v>3</v>
      </c>
      <c r="P2087" s="1">
        <v>7</v>
      </c>
      <c r="Q2087" s="7" t="s">
        <v>17633</v>
      </c>
      <c r="R2087" s="1" t="s">
        <v>19</v>
      </c>
      <c r="S2087" s="1" t="s">
        <v>20</v>
      </c>
      <c r="T2087" s="1" t="s">
        <v>21</v>
      </c>
      <c r="U2087" s="1" t="s">
        <v>22</v>
      </c>
      <c r="V2087" s="1" t="s">
        <v>24</v>
      </c>
      <c r="W2087" s="1" t="s">
        <v>24</v>
      </c>
      <c r="X2087" s="1">
        <v>2748</v>
      </c>
      <c r="Y2087" s="1">
        <v>2729</v>
      </c>
      <c r="Z2087" s="1" t="s">
        <v>24</v>
      </c>
      <c r="AA2087" s="1" t="s">
        <v>24</v>
      </c>
      <c r="AB2087" s="1" t="s">
        <v>24</v>
      </c>
      <c r="AC2087" s="1" t="s">
        <v>24</v>
      </c>
      <c r="AD2087" s="1" t="s">
        <v>24</v>
      </c>
      <c r="AE2087" s="1" t="s">
        <v>24</v>
      </c>
      <c r="AF2087" s="22"/>
    </row>
    <row r="2088" spans="1:32" x14ac:dyDescent="0.2">
      <c r="A2088" s="1">
        <v>11511</v>
      </c>
      <c r="B2088" s="1" t="s">
        <v>6666</v>
      </c>
      <c r="C2088" s="5" t="s">
        <v>0</v>
      </c>
      <c r="D2088" s="1" t="s">
        <v>6667</v>
      </c>
      <c r="E2088" s="1" t="s">
        <v>6668</v>
      </c>
      <c r="F2088" s="1" t="s">
        <v>91</v>
      </c>
      <c r="G2088" s="1" t="s">
        <v>61</v>
      </c>
      <c r="H2088" s="1" t="s">
        <v>92</v>
      </c>
      <c r="I2088" s="1" t="s">
        <v>16</v>
      </c>
      <c r="J2088" s="1">
        <v>1</v>
      </c>
      <c r="K2088" s="1">
        <v>6</v>
      </c>
      <c r="L2088" s="1" t="s">
        <v>31</v>
      </c>
      <c r="M2088" s="1" t="s">
        <v>18</v>
      </c>
      <c r="N2088" s="1" t="s">
        <v>18</v>
      </c>
      <c r="O2088" s="1">
        <v>3</v>
      </c>
      <c r="P2088" s="1">
        <v>7</v>
      </c>
      <c r="Q2088" s="7" t="s">
        <v>17633</v>
      </c>
      <c r="R2088" s="1" t="s">
        <v>19</v>
      </c>
      <c r="S2088" s="1" t="s">
        <v>20</v>
      </c>
      <c r="T2088" s="1" t="s">
        <v>21</v>
      </c>
      <c r="U2088" s="1" t="s">
        <v>22</v>
      </c>
      <c r="V2088" s="1" t="s">
        <v>23</v>
      </c>
      <c r="W2088" s="1" t="s">
        <v>24</v>
      </c>
      <c r="X2088" s="1">
        <v>2732</v>
      </c>
      <c r="Y2088" s="1" t="s">
        <v>24</v>
      </c>
      <c r="Z2088" s="1" t="s">
        <v>24</v>
      </c>
      <c r="AA2088" s="1" t="s">
        <v>24</v>
      </c>
      <c r="AB2088" s="1" t="s">
        <v>24</v>
      </c>
      <c r="AC2088" s="1" t="s">
        <v>24</v>
      </c>
      <c r="AD2088" s="1" t="s">
        <v>24</v>
      </c>
      <c r="AE2088" s="1" t="s">
        <v>24</v>
      </c>
      <c r="AF2088" s="22"/>
    </row>
    <row r="2089" spans="1:32" x14ac:dyDescent="0.2">
      <c r="A2089" s="1">
        <v>11514</v>
      </c>
      <c r="B2089" s="1" t="s">
        <v>6669</v>
      </c>
      <c r="C2089" s="5" t="s">
        <v>0</v>
      </c>
      <c r="D2089" s="1" t="s">
        <v>6670</v>
      </c>
      <c r="F2089" s="1" t="s">
        <v>1130</v>
      </c>
      <c r="G2089" s="1" t="s">
        <v>1130</v>
      </c>
      <c r="H2089" s="1" t="s">
        <v>135</v>
      </c>
      <c r="I2089" s="1" t="s">
        <v>16</v>
      </c>
      <c r="J2089" s="1">
        <v>1</v>
      </c>
      <c r="K2089" s="1">
        <v>4</v>
      </c>
      <c r="L2089" s="1" t="s">
        <v>42</v>
      </c>
      <c r="M2089" s="1" t="s">
        <v>6671</v>
      </c>
      <c r="N2089" s="1" t="s">
        <v>6671</v>
      </c>
      <c r="O2089" s="1">
        <v>1</v>
      </c>
      <c r="P2089" s="1">
        <v>5</v>
      </c>
      <c r="R2089" s="1" t="s">
        <v>19</v>
      </c>
      <c r="S2089" s="1" t="s">
        <v>20</v>
      </c>
      <c r="T2089" s="1" t="s">
        <v>21</v>
      </c>
      <c r="U2089" s="1" t="s">
        <v>22</v>
      </c>
      <c r="V2089" s="1" t="s">
        <v>24</v>
      </c>
      <c r="W2089" s="1" t="s">
        <v>24</v>
      </c>
      <c r="X2089" s="1">
        <v>1308</v>
      </c>
      <c r="Y2089" s="1">
        <v>1310</v>
      </c>
      <c r="Z2089" s="1">
        <v>2712</v>
      </c>
      <c r="AA2089" s="1" t="s">
        <v>24</v>
      </c>
      <c r="AB2089" s="1" t="s">
        <v>24</v>
      </c>
      <c r="AC2089" s="1" t="s">
        <v>24</v>
      </c>
      <c r="AD2089" s="1" t="s">
        <v>24</v>
      </c>
      <c r="AE2089" s="1" t="s">
        <v>24</v>
      </c>
      <c r="AF2089" s="22"/>
    </row>
    <row r="2090" spans="1:32" x14ac:dyDescent="0.2">
      <c r="A2090" s="1">
        <v>11518</v>
      </c>
      <c r="B2090" s="1" t="s">
        <v>6672</v>
      </c>
      <c r="C2090" s="5" t="s">
        <v>0</v>
      </c>
      <c r="D2090" s="1" t="s">
        <v>6673</v>
      </c>
      <c r="E2090" s="1" t="s">
        <v>6674</v>
      </c>
      <c r="F2090" s="1" t="s">
        <v>28</v>
      </c>
      <c r="G2090" s="1" t="s">
        <v>29</v>
      </c>
      <c r="H2090" s="1" t="s">
        <v>30</v>
      </c>
      <c r="I2090" s="1" t="s">
        <v>16</v>
      </c>
      <c r="J2090" s="1">
        <v>1</v>
      </c>
      <c r="K2090" s="1">
        <v>8</v>
      </c>
      <c r="L2090" s="1" t="s">
        <v>31</v>
      </c>
      <c r="M2090" s="1" t="s">
        <v>18</v>
      </c>
      <c r="N2090" s="1" t="s">
        <v>18</v>
      </c>
      <c r="O2090" s="1">
        <v>3</v>
      </c>
      <c r="P2090" s="1">
        <v>7</v>
      </c>
      <c r="Q2090" s="7" t="s">
        <v>17633</v>
      </c>
      <c r="R2090" s="1" t="s">
        <v>19</v>
      </c>
      <c r="S2090" s="1" t="s">
        <v>20</v>
      </c>
      <c r="T2090" s="1" t="s">
        <v>21</v>
      </c>
      <c r="U2090" s="1" t="s">
        <v>22</v>
      </c>
      <c r="V2090" s="1" t="s">
        <v>24</v>
      </c>
      <c r="W2090" s="1" t="s">
        <v>24</v>
      </c>
      <c r="X2090" s="1">
        <v>2745</v>
      </c>
      <c r="Y2090" s="1" t="s">
        <v>24</v>
      </c>
      <c r="Z2090" s="1" t="s">
        <v>24</v>
      </c>
      <c r="AA2090" s="1" t="s">
        <v>24</v>
      </c>
      <c r="AB2090" s="1" t="s">
        <v>24</v>
      </c>
      <c r="AC2090" s="1" t="s">
        <v>24</v>
      </c>
      <c r="AD2090" s="1" t="s">
        <v>24</v>
      </c>
      <c r="AE2090" s="1" t="s">
        <v>24</v>
      </c>
      <c r="AF2090" s="22"/>
    </row>
    <row r="2091" spans="1:32" x14ac:dyDescent="0.2">
      <c r="A2091" s="1">
        <v>11530</v>
      </c>
      <c r="B2091" s="1" t="s">
        <v>6675</v>
      </c>
      <c r="C2091" s="5" t="s">
        <v>0</v>
      </c>
      <c r="D2091" s="1" t="s">
        <v>6676</v>
      </c>
      <c r="E2091" s="1" t="s">
        <v>6677</v>
      </c>
      <c r="F2091" s="1" t="s">
        <v>97</v>
      </c>
      <c r="G2091" s="1" t="s">
        <v>98</v>
      </c>
      <c r="H2091" s="1" t="s">
        <v>37</v>
      </c>
      <c r="I2091" s="1" t="s">
        <v>16</v>
      </c>
      <c r="J2091" s="1">
        <v>1</v>
      </c>
      <c r="K2091" s="1">
        <v>14</v>
      </c>
      <c r="L2091" s="1" t="s">
        <v>31</v>
      </c>
      <c r="M2091" s="1" t="s">
        <v>18</v>
      </c>
      <c r="N2091" s="1" t="s">
        <v>18</v>
      </c>
      <c r="O2091" s="1">
        <v>3</v>
      </c>
      <c r="P2091" s="1">
        <v>6</v>
      </c>
      <c r="R2091" s="1" t="s">
        <v>62</v>
      </c>
      <c r="S2091" s="1" t="s">
        <v>20</v>
      </c>
      <c r="T2091" s="1" t="s">
        <v>21</v>
      </c>
      <c r="U2091" s="1" t="s">
        <v>22</v>
      </c>
      <c r="V2091" s="1" t="s">
        <v>24</v>
      </c>
      <c r="W2091" s="1" t="s">
        <v>24</v>
      </c>
      <c r="X2091" s="1">
        <v>2728</v>
      </c>
      <c r="Y2091" s="1">
        <v>2808</v>
      </c>
      <c r="Z2091" s="1" t="s">
        <v>24</v>
      </c>
      <c r="AA2091" s="1" t="s">
        <v>24</v>
      </c>
      <c r="AB2091" s="1" t="s">
        <v>24</v>
      </c>
      <c r="AC2091" s="1" t="s">
        <v>24</v>
      </c>
      <c r="AD2091" s="1" t="s">
        <v>24</v>
      </c>
      <c r="AE2091" s="1" t="s">
        <v>24</v>
      </c>
      <c r="AF2091" s="22"/>
    </row>
    <row r="2092" spans="1:32" x14ac:dyDescent="0.2">
      <c r="A2092" s="1">
        <v>11531</v>
      </c>
      <c r="B2092" s="1" t="s">
        <v>6678</v>
      </c>
      <c r="C2092" s="5" t="s">
        <v>0</v>
      </c>
      <c r="D2092" s="1" t="s">
        <v>6679</v>
      </c>
      <c r="E2092" s="1" t="s">
        <v>6680</v>
      </c>
      <c r="F2092" s="1" t="s">
        <v>190</v>
      </c>
      <c r="G2092" s="1" t="s">
        <v>130</v>
      </c>
      <c r="H2092" s="1" t="s">
        <v>30</v>
      </c>
      <c r="I2092" s="1" t="s">
        <v>16</v>
      </c>
      <c r="J2092" s="1">
        <v>1</v>
      </c>
      <c r="K2092" s="1">
        <v>6</v>
      </c>
      <c r="L2092" s="1" t="s">
        <v>31</v>
      </c>
      <c r="M2092" s="1" t="s">
        <v>18</v>
      </c>
      <c r="N2092" s="1" t="s">
        <v>18</v>
      </c>
      <c r="O2092" s="1">
        <v>3</v>
      </c>
      <c r="P2092" s="1">
        <v>7</v>
      </c>
      <c r="Q2092" s="7" t="s">
        <v>17633</v>
      </c>
      <c r="R2092" s="1" t="s">
        <v>62</v>
      </c>
      <c r="S2092" s="1" t="s">
        <v>20</v>
      </c>
      <c r="T2092" s="1" t="s">
        <v>21</v>
      </c>
      <c r="U2092" s="1" t="s">
        <v>22</v>
      </c>
      <c r="V2092" s="1" t="s">
        <v>24</v>
      </c>
      <c r="W2092" s="1" t="s">
        <v>24</v>
      </c>
      <c r="X2092" s="1">
        <v>2406</v>
      </c>
      <c r="Y2092" s="1">
        <v>2728</v>
      </c>
      <c r="Z2092" s="1">
        <v>2804</v>
      </c>
      <c r="AA2092" s="1">
        <v>2808</v>
      </c>
      <c r="AB2092" s="1" t="s">
        <v>24</v>
      </c>
      <c r="AC2092" s="1" t="s">
        <v>24</v>
      </c>
      <c r="AD2092" s="1" t="s">
        <v>24</v>
      </c>
      <c r="AE2092" s="1" t="s">
        <v>24</v>
      </c>
      <c r="AF2092" s="22"/>
    </row>
    <row r="2093" spans="1:32" x14ac:dyDescent="0.2">
      <c r="A2093" s="1">
        <v>11532</v>
      </c>
      <c r="B2093" s="1" t="s">
        <v>6681</v>
      </c>
      <c r="C2093" s="5" t="s">
        <v>0</v>
      </c>
      <c r="D2093" s="1" t="s">
        <v>6682</v>
      </c>
      <c r="E2093" s="1" t="s">
        <v>6683</v>
      </c>
      <c r="F2093" s="1" t="s">
        <v>920</v>
      </c>
      <c r="G2093" s="1" t="s">
        <v>921</v>
      </c>
      <c r="H2093" s="1" t="s">
        <v>92</v>
      </c>
      <c r="I2093" s="1" t="s">
        <v>16</v>
      </c>
      <c r="J2093" s="1">
        <v>1</v>
      </c>
      <c r="K2093" s="1">
        <v>4</v>
      </c>
      <c r="L2093" s="1" t="s">
        <v>31</v>
      </c>
      <c r="M2093" s="1" t="s">
        <v>18</v>
      </c>
      <c r="N2093" s="1" t="s">
        <v>18</v>
      </c>
      <c r="O2093" s="1">
        <v>3</v>
      </c>
      <c r="P2093" s="1">
        <v>7</v>
      </c>
      <c r="Q2093" s="7" t="s">
        <v>17633</v>
      </c>
      <c r="R2093" s="1" t="s">
        <v>19</v>
      </c>
      <c r="S2093" s="1" t="s">
        <v>20</v>
      </c>
      <c r="T2093" s="1" t="s">
        <v>21</v>
      </c>
      <c r="U2093" s="1" t="s">
        <v>22</v>
      </c>
      <c r="V2093" s="1" t="s">
        <v>23</v>
      </c>
      <c r="W2093" s="1" t="s">
        <v>24</v>
      </c>
      <c r="X2093" s="1">
        <v>2742</v>
      </c>
      <c r="Y2093" s="1">
        <v>2732</v>
      </c>
      <c r="Z2093" s="1">
        <v>3612</v>
      </c>
      <c r="AA2093" s="1" t="s">
        <v>24</v>
      </c>
      <c r="AB2093" s="1" t="s">
        <v>24</v>
      </c>
      <c r="AC2093" s="1" t="s">
        <v>24</v>
      </c>
      <c r="AD2093" s="1" t="s">
        <v>24</v>
      </c>
      <c r="AE2093" s="1" t="s">
        <v>24</v>
      </c>
      <c r="AF2093" s="22"/>
    </row>
    <row r="2094" spans="1:32" x14ac:dyDescent="0.2">
      <c r="A2094" s="1">
        <v>11536</v>
      </c>
      <c r="B2094" s="1" t="s">
        <v>6684</v>
      </c>
      <c r="C2094" s="5" t="s">
        <v>0</v>
      </c>
      <c r="D2094" s="1" t="s">
        <v>6685</v>
      </c>
      <c r="E2094" s="1" t="s">
        <v>6686</v>
      </c>
      <c r="F2094" s="1" t="s">
        <v>1479</v>
      </c>
      <c r="G2094" s="1" t="s">
        <v>61</v>
      </c>
      <c r="H2094" s="1" t="s">
        <v>168</v>
      </c>
      <c r="I2094" s="1" t="s">
        <v>16</v>
      </c>
      <c r="J2094" s="1">
        <v>1</v>
      </c>
      <c r="K2094" s="1">
        <v>4</v>
      </c>
      <c r="L2094" s="1" t="s">
        <v>31</v>
      </c>
      <c r="M2094" s="1" t="s">
        <v>18</v>
      </c>
      <c r="N2094" s="1" t="s">
        <v>18</v>
      </c>
      <c r="O2094" s="1">
        <v>2</v>
      </c>
      <c r="P2094" s="1">
        <v>7</v>
      </c>
      <c r="Q2094" s="7" t="s">
        <v>17633</v>
      </c>
      <c r="R2094" s="1" t="s">
        <v>19</v>
      </c>
      <c r="S2094" s="1" t="s">
        <v>20</v>
      </c>
      <c r="T2094" s="1" t="s">
        <v>21</v>
      </c>
      <c r="U2094" s="1" t="s">
        <v>22</v>
      </c>
      <c r="V2094" s="1" t="s">
        <v>24</v>
      </c>
      <c r="W2094" s="1" t="s">
        <v>24</v>
      </c>
      <c r="X2094" s="1">
        <v>1303</v>
      </c>
      <c r="Y2094" s="1">
        <v>1604</v>
      </c>
      <c r="Z2094" s="1">
        <v>1313</v>
      </c>
      <c r="AA2094" s="1" t="s">
        <v>24</v>
      </c>
      <c r="AB2094" s="1" t="s">
        <v>24</v>
      </c>
      <c r="AC2094" s="1" t="s">
        <v>24</v>
      </c>
      <c r="AD2094" s="1" t="s">
        <v>24</v>
      </c>
      <c r="AE2094" s="1" t="s">
        <v>24</v>
      </c>
      <c r="AF2094" s="22"/>
    </row>
    <row r="2095" spans="1:32" x14ac:dyDescent="0.2">
      <c r="A2095" s="1">
        <v>11537</v>
      </c>
      <c r="B2095" s="1" t="s">
        <v>6687</v>
      </c>
      <c r="C2095" s="5" t="s">
        <v>0</v>
      </c>
      <c r="D2095" s="1" t="s">
        <v>6688</v>
      </c>
      <c r="E2095" s="1" t="s">
        <v>6689</v>
      </c>
      <c r="F2095" s="1" t="s">
        <v>4337</v>
      </c>
      <c r="G2095" s="1" t="s">
        <v>4338</v>
      </c>
      <c r="H2095" s="1" t="s">
        <v>30</v>
      </c>
      <c r="I2095" s="1" t="s">
        <v>16</v>
      </c>
      <c r="J2095" s="1">
        <v>1</v>
      </c>
      <c r="K2095" s="1">
        <v>10</v>
      </c>
      <c r="L2095" s="1" t="s">
        <v>31</v>
      </c>
      <c r="M2095" s="1" t="s">
        <v>18</v>
      </c>
      <c r="N2095" s="1" t="s">
        <v>18</v>
      </c>
      <c r="O2095" s="1">
        <v>3</v>
      </c>
      <c r="P2095" s="1">
        <v>6</v>
      </c>
      <c r="R2095" s="1" t="s">
        <v>19</v>
      </c>
      <c r="S2095" s="1" t="s">
        <v>20</v>
      </c>
      <c r="T2095" s="1" t="s">
        <v>21</v>
      </c>
      <c r="U2095" s="1" t="s">
        <v>22</v>
      </c>
      <c r="V2095" s="1" t="s">
        <v>23</v>
      </c>
      <c r="W2095" s="1" t="s">
        <v>24</v>
      </c>
      <c r="X2095" s="1">
        <v>2736</v>
      </c>
      <c r="Y2095" s="1">
        <v>2731</v>
      </c>
      <c r="Z2095" s="1">
        <v>3004</v>
      </c>
      <c r="AA2095" s="1" t="s">
        <v>24</v>
      </c>
      <c r="AB2095" s="1" t="s">
        <v>24</v>
      </c>
      <c r="AC2095" s="1" t="s">
        <v>24</v>
      </c>
      <c r="AD2095" s="1" t="s">
        <v>24</v>
      </c>
      <c r="AE2095" s="1" t="s">
        <v>24</v>
      </c>
      <c r="AF2095" s="22"/>
    </row>
    <row r="2096" spans="1:32" x14ac:dyDescent="0.2">
      <c r="A2096" s="1">
        <v>11538</v>
      </c>
      <c r="B2096" s="1" t="s">
        <v>6690</v>
      </c>
      <c r="C2096" s="5" t="s">
        <v>0</v>
      </c>
      <c r="D2096" s="1" t="s">
        <v>6691</v>
      </c>
      <c r="E2096" s="1" t="s">
        <v>6692</v>
      </c>
      <c r="F2096" s="1" t="s">
        <v>6693</v>
      </c>
      <c r="G2096" s="1" t="s">
        <v>6694</v>
      </c>
      <c r="H2096" s="1" t="s">
        <v>684</v>
      </c>
      <c r="I2096" s="1" t="s">
        <v>16</v>
      </c>
      <c r="J2096" s="1">
        <v>1</v>
      </c>
      <c r="K2096" s="1">
        <v>4</v>
      </c>
      <c r="L2096" s="1" t="s">
        <v>31</v>
      </c>
      <c r="M2096" s="1" t="s">
        <v>18</v>
      </c>
      <c r="N2096" s="1" t="s">
        <v>18</v>
      </c>
      <c r="O2096" s="1">
        <v>3</v>
      </c>
      <c r="P2096" s="1">
        <v>6</v>
      </c>
      <c r="R2096" s="1" t="s">
        <v>19</v>
      </c>
      <c r="S2096" s="1" t="s">
        <v>20</v>
      </c>
      <c r="T2096" s="1" t="s">
        <v>21</v>
      </c>
      <c r="U2096" s="1" t="s">
        <v>22</v>
      </c>
      <c r="V2096" s="1" t="s">
        <v>24</v>
      </c>
      <c r="W2096" s="1" t="s">
        <v>24</v>
      </c>
      <c r="X2096" s="1">
        <v>2748</v>
      </c>
      <c r="Y2096" s="1" t="s">
        <v>24</v>
      </c>
      <c r="Z2096" s="1" t="s">
        <v>24</v>
      </c>
      <c r="AA2096" s="1" t="s">
        <v>24</v>
      </c>
      <c r="AB2096" s="1" t="s">
        <v>24</v>
      </c>
      <c r="AC2096" s="1" t="s">
        <v>24</v>
      </c>
      <c r="AD2096" s="1" t="s">
        <v>24</v>
      </c>
      <c r="AE2096" s="1" t="s">
        <v>24</v>
      </c>
      <c r="AF2096" s="22"/>
    </row>
    <row r="2097" spans="1:32" x14ac:dyDescent="0.2">
      <c r="A2097" s="1">
        <v>11543</v>
      </c>
      <c r="B2097" s="1" t="s">
        <v>6695</v>
      </c>
      <c r="C2097" s="5" t="s">
        <v>0</v>
      </c>
      <c r="D2097" s="1" t="s">
        <v>6696</v>
      </c>
      <c r="E2097" s="1" t="s">
        <v>6697</v>
      </c>
      <c r="F2097" s="1" t="s">
        <v>303</v>
      </c>
      <c r="G2097" s="1" t="s">
        <v>61</v>
      </c>
      <c r="H2097" s="1" t="s">
        <v>30</v>
      </c>
      <c r="I2097" s="1" t="s">
        <v>16</v>
      </c>
      <c r="J2097" s="1">
        <v>1</v>
      </c>
      <c r="K2097" s="1">
        <v>4</v>
      </c>
      <c r="L2097" s="1" t="s">
        <v>31</v>
      </c>
      <c r="M2097" s="1" t="s">
        <v>18</v>
      </c>
      <c r="N2097" s="1" t="s">
        <v>18</v>
      </c>
      <c r="O2097" s="1">
        <v>3</v>
      </c>
      <c r="P2097" s="1">
        <v>6</v>
      </c>
      <c r="R2097" s="1" t="s">
        <v>19</v>
      </c>
      <c r="S2097" s="1" t="s">
        <v>20</v>
      </c>
      <c r="T2097" s="1" t="s">
        <v>21</v>
      </c>
      <c r="U2097" s="1" t="s">
        <v>22</v>
      </c>
      <c r="V2097" s="1" t="s">
        <v>23</v>
      </c>
      <c r="W2097" s="1" t="s">
        <v>24</v>
      </c>
      <c r="X2097" s="1">
        <v>2728</v>
      </c>
      <c r="Y2097" s="1">
        <v>2735</v>
      </c>
      <c r="Z2097" s="1" t="s">
        <v>24</v>
      </c>
      <c r="AA2097" s="1" t="s">
        <v>24</v>
      </c>
      <c r="AB2097" s="1" t="s">
        <v>24</v>
      </c>
      <c r="AC2097" s="1" t="s">
        <v>24</v>
      </c>
      <c r="AD2097" s="1" t="s">
        <v>24</v>
      </c>
      <c r="AE2097" s="1" t="s">
        <v>24</v>
      </c>
      <c r="AF2097" s="22"/>
    </row>
    <row r="2098" spans="1:32" x14ac:dyDescent="0.2">
      <c r="A2098" s="1">
        <v>11544</v>
      </c>
      <c r="B2098" s="1" t="s">
        <v>6698</v>
      </c>
      <c r="C2098" s="5" t="s">
        <v>0</v>
      </c>
      <c r="D2098" s="1" t="s">
        <v>6699</v>
      </c>
      <c r="E2098" s="1" t="s">
        <v>6700</v>
      </c>
      <c r="F2098" s="1" t="s">
        <v>1177</v>
      </c>
      <c r="G2098" s="1" t="s">
        <v>61</v>
      </c>
      <c r="H2098" s="1" t="s">
        <v>37</v>
      </c>
      <c r="I2098" s="1" t="s">
        <v>16</v>
      </c>
      <c r="J2098" s="1">
        <v>1</v>
      </c>
      <c r="K2098" s="1">
        <v>4</v>
      </c>
      <c r="L2098" s="1" t="s">
        <v>31</v>
      </c>
      <c r="M2098" s="1" t="s">
        <v>18</v>
      </c>
      <c r="N2098" s="1" t="s">
        <v>18</v>
      </c>
      <c r="O2098" s="1">
        <v>3</v>
      </c>
      <c r="P2098" s="1">
        <v>7</v>
      </c>
      <c r="Q2098" s="7" t="s">
        <v>17633</v>
      </c>
      <c r="R2098" s="1" t="s">
        <v>19</v>
      </c>
      <c r="S2098" s="1" t="s">
        <v>20</v>
      </c>
      <c r="T2098" s="1" t="s">
        <v>21</v>
      </c>
      <c r="U2098" s="1" t="s">
        <v>22</v>
      </c>
      <c r="V2098" s="1" t="s">
        <v>23</v>
      </c>
      <c r="W2098" s="1" t="s">
        <v>24</v>
      </c>
      <c r="X2098" s="1">
        <v>2741</v>
      </c>
      <c r="Y2098" s="1" t="s">
        <v>24</v>
      </c>
      <c r="Z2098" s="1" t="s">
        <v>24</v>
      </c>
      <c r="AA2098" s="1" t="s">
        <v>24</v>
      </c>
      <c r="AB2098" s="1" t="s">
        <v>24</v>
      </c>
      <c r="AC2098" s="1" t="s">
        <v>24</v>
      </c>
      <c r="AD2098" s="1" t="s">
        <v>24</v>
      </c>
      <c r="AE2098" s="1" t="s">
        <v>24</v>
      </c>
      <c r="AF2098" s="22"/>
    </row>
    <row r="2099" spans="1:32" x14ac:dyDescent="0.2">
      <c r="A2099" s="1">
        <v>11545</v>
      </c>
      <c r="B2099" s="1" t="s">
        <v>6701</v>
      </c>
      <c r="C2099" s="5" t="s">
        <v>0</v>
      </c>
      <c r="D2099" s="1" t="s">
        <v>6702</v>
      </c>
      <c r="F2099" s="1" t="s">
        <v>6703</v>
      </c>
      <c r="G2099" s="1" t="s">
        <v>6703</v>
      </c>
      <c r="H2099" s="1" t="s">
        <v>30</v>
      </c>
      <c r="I2099" s="1" t="s">
        <v>16</v>
      </c>
      <c r="J2099" s="1">
        <v>1</v>
      </c>
      <c r="K2099" s="1">
        <v>6</v>
      </c>
      <c r="L2099" s="1" t="s">
        <v>42</v>
      </c>
      <c r="M2099" s="1" t="s">
        <v>18</v>
      </c>
      <c r="N2099" s="1" t="s">
        <v>18</v>
      </c>
      <c r="O2099" s="1">
        <v>3</v>
      </c>
      <c r="P2099" s="1">
        <v>7</v>
      </c>
      <c r="Q2099" s="7" t="s">
        <v>17633</v>
      </c>
      <c r="R2099" s="1" t="s">
        <v>62</v>
      </c>
      <c r="S2099" s="1" t="s">
        <v>63</v>
      </c>
      <c r="T2099" s="1" t="s">
        <v>21</v>
      </c>
      <c r="U2099" s="1" t="s">
        <v>22</v>
      </c>
      <c r="V2099" s="1" t="s">
        <v>24</v>
      </c>
      <c r="W2099" s="1" t="s">
        <v>24</v>
      </c>
      <c r="X2099" s="1">
        <v>1311</v>
      </c>
      <c r="Y2099" s="1">
        <v>1312</v>
      </c>
      <c r="Z2099" s="1">
        <v>1313</v>
      </c>
      <c r="AA2099" s="1">
        <v>2716</v>
      </c>
      <c r="AB2099" s="1" t="s">
        <v>24</v>
      </c>
      <c r="AC2099" s="1" t="s">
        <v>24</v>
      </c>
      <c r="AD2099" s="1" t="s">
        <v>24</v>
      </c>
      <c r="AE2099" s="1" t="s">
        <v>24</v>
      </c>
      <c r="AF2099" s="22"/>
    </row>
    <row r="2100" spans="1:32" x14ac:dyDescent="0.2">
      <c r="A2100" s="1">
        <v>11550</v>
      </c>
      <c r="B2100" s="1" t="s">
        <v>6704</v>
      </c>
      <c r="C2100" s="5" t="s">
        <v>0</v>
      </c>
      <c r="D2100" s="1" t="s">
        <v>6705</v>
      </c>
      <c r="E2100" s="1" t="s">
        <v>6706</v>
      </c>
      <c r="F2100" s="1" t="s">
        <v>4337</v>
      </c>
      <c r="G2100" s="1" t="s">
        <v>4338</v>
      </c>
      <c r="H2100" s="1" t="s">
        <v>30</v>
      </c>
      <c r="I2100" s="1" t="s">
        <v>16</v>
      </c>
      <c r="J2100" s="1">
        <v>1</v>
      </c>
      <c r="K2100" s="1">
        <v>4</v>
      </c>
      <c r="L2100" s="1" t="s">
        <v>31</v>
      </c>
      <c r="M2100" s="1" t="s">
        <v>18</v>
      </c>
      <c r="N2100" s="1" t="s">
        <v>18</v>
      </c>
      <c r="O2100" s="1">
        <v>3</v>
      </c>
      <c r="P2100" s="1">
        <v>7</v>
      </c>
      <c r="Q2100" s="7" t="s">
        <v>17633</v>
      </c>
      <c r="R2100" s="1" t="s">
        <v>19</v>
      </c>
      <c r="S2100" s="1" t="s">
        <v>20</v>
      </c>
      <c r="T2100" s="1" t="s">
        <v>21</v>
      </c>
      <c r="U2100" s="1" t="s">
        <v>22</v>
      </c>
      <c r="V2100" s="1" t="s">
        <v>24</v>
      </c>
      <c r="W2100" s="1" t="s">
        <v>24</v>
      </c>
      <c r="X2100" s="1">
        <v>2726</v>
      </c>
      <c r="Y2100" s="1">
        <v>3004</v>
      </c>
      <c r="Z2100" s="1">
        <v>2403</v>
      </c>
      <c r="AA2100" s="1">
        <v>2404</v>
      </c>
      <c r="AB2100" s="1" t="s">
        <v>24</v>
      </c>
      <c r="AC2100" s="1" t="s">
        <v>24</v>
      </c>
      <c r="AD2100" s="1" t="s">
        <v>24</v>
      </c>
      <c r="AE2100" s="1" t="s">
        <v>24</v>
      </c>
      <c r="AF2100" s="22"/>
    </row>
    <row r="2101" spans="1:32" x14ac:dyDescent="0.2">
      <c r="A2101" s="1">
        <v>11552</v>
      </c>
      <c r="B2101" s="1" t="s">
        <v>6707</v>
      </c>
      <c r="C2101" s="5" t="s">
        <v>0</v>
      </c>
      <c r="D2101" s="1" t="s">
        <v>6708</v>
      </c>
      <c r="E2101" s="1" t="s">
        <v>6709</v>
      </c>
      <c r="F2101" s="1" t="s">
        <v>4337</v>
      </c>
      <c r="G2101" s="1" t="s">
        <v>4338</v>
      </c>
      <c r="H2101" s="1" t="s">
        <v>30</v>
      </c>
      <c r="I2101" s="1" t="s">
        <v>16</v>
      </c>
      <c r="J2101" s="1">
        <v>1</v>
      </c>
      <c r="K2101" s="1">
        <v>6</v>
      </c>
      <c r="L2101" s="1" t="s">
        <v>31</v>
      </c>
      <c r="M2101" s="1" t="s">
        <v>18</v>
      </c>
      <c r="N2101" s="1" t="s">
        <v>18</v>
      </c>
      <c r="O2101" s="1">
        <v>3</v>
      </c>
      <c r="P2101" s="1">
        <v>7</v>
      </c>
      <c r="Q2101" s="7" t="s">
        <v>17633</v>
      </c>
      <c r="R2101" s="1" t="s">
        <v>19</v>
      </c>
      <c r="S2101" s="1" t="s">
        <v>20</v>
      </c>
      <c r="T2101" s="1" t="s">
        <v>21</v>
      </c>
      <c r="U2101" s="1" t="s">
        <v>22</v>
      </c>
      <c r="V2101" s="1" t="s">
        <v>23</v>
      </c>
      <c r="W2101" s="1" t="s">
        <v>24</v>
      </c>
      <c r="X2101" s="1">
        <v>2707</v>
      </c>
      <c r="Y2101" s="1" t="s">
        <v>24</v>
      </c>
      <c r="Z2101" s="1" t="s">
        <v>24</v>
      </c>
      <c r="AA2101" s="1" t="s">
        <v>24</v>
      </c>
      <c r="AB2101" s="1" t="s">
        <v>24</v>
      </c>
      <c r="AC2101" s="1" t="s">
        <v>24</v>
      </c>
      <c r="AD2101" s="1" t="s">
        <v>24</v>
      </c>
      <c r="AE2101" s="1" t="s">
        <v>24</v>
      </c>
      <c r="AF2101" s="22"/>
    </row>
    <row r="2102" spans="1:32" x14ac:dyDescent="0.2">
      <c r="A2102" s="1">
        <v>11553</v>
      </c>
      <c r="B2102" s="1" t="s">
        <v>6710</v>
      </c>
      <c r="C2102" s="5" t="s">
        <v>0</v>
      </c>
      <c r="D2102" s="1" t="s">
        <v>6711</v>
      </c>
      <c r="E2102" s="1" t="s">
        <v>6712</v>
      </c>
      <c r="F2102" s="1" t="s">
        <v>1307</v>
      </c>
      <c r="G2102" s="1" t="s">
        <v>1307</v>
      </c>
      <c r="H2102" s="1" t="s">
        <v>30</v>
      </c>
      <c r="I2102" s="1" t="s">
        <v>16</v>
      </c>
      <c r="J2102" s="1">
        <v>1</v>
      </c>
      <c r="K2102" s="1">
        <v>12</v>
      </c>
      <c r="L2102" s="1" t="s">
        <v>42</v>
      </c>
      <c r="M2102" s="1" t="s">
        <v>18</v>
      </c>
      <c r="N2102" s="1" t="s">
        <v>18</v>
      </c>
      <c r="O2102" s="1">
        <v>3</v>
      </c>
      <c r="P2102" s="1">
        <v>7</v>
      </c>
      <c r="Q2102" s="7" t="s">
        <v>17633</v>
      </c>
      <c r="R2102" s="1" t="s">
        <v>62</v>
      </c>
      <c r="S2102" s="1" t="s">
        <v>20</v>
      </c>
      <c r="T2102" s="1" t="s">
        <v>21</v>
      </c>
      <c r="U2102" s="1" t="s">
        <v>22</v>
      </c>
      <c r="V2102" s="1" t="s">
        <v>24</v>
      </c>
      <c r="W2102" s="1" t="s">
        <v>24</v>
      </c>
      <c r="X2102" s="1">
        <v>1312</v>
      </c>
      <c r="Y2102" s="1" t="s">
        <v>24</v>
      </c>
      <c r="Z2102" s="1" t="s">
        <v>24</v>
      </c>
      <c r="AA2102" s="1" t="s">
        <v>24</v>
      </c>
      <c r="AB2102" s="1" t="s">
        <v>24</v>
      </c>
      <c r="AC2102" s="1" t="s">
        <v>24</v>
      </c>
      <c r="AD2102" s="1" t="s">
        <v>24</v>
      </c>
      <c r="AE2102" s="1" t="s">
        <v>24</v>
      </c>
      <c r="AF2102" s="22"/>
    </row>
    <row r="2103" spans="1:32" x14ac:dyDescent="0.2">
      <c r="A2103" s="1">
        <v>11557</v>
      </c>
      <c r="B2103" s="1" t="s">
        <v>6713</v>
      </c>
      <c r="C2103" s="5" t="s">
        <v>0</v>
      </c>
      <c r="D2103" s="1" t="s">
        <v>6714</v>
      </c>
      <c r="F2103" s="1" t="s">
        <v>6715</v>
      </c>
      <c r="G2103" s="1" t="s">
        <v>6715</v>
      </c>
      <c r="H2103" s="1" t="s">
        <v>30</v>
      </c>
      <c r="I2103" s="1" t="s">
        <v>16</v>
      </c>
      <c r="J2103" s="1">
        <v>1</v>
      </c>
      <c r="K2103" s="1">
        <v>4</v>
      </c>
      <c r="L2103" s="1" t="s">
        <v>17</v>
      </c>
      <c r="M2103" s="1" t="s">
        <v>18</v>
      </c>
      <c r="N2103" s="1" t="s">
        <v>18</v>
      </c>
      <c r="O2103" s="1">
        <v>3</v>
      </c>
      <c r="P2103" s="1">
        <v>6</v>
      </c>
      <c r="R2103" s="1" t="s">
        <v>19</v>
      </c>
      <c r="S2103" s="1" t="s">
        <v>20</v>
      </c>
      <c r="T2103" s="1" t="s">
        <v>21</v>
      </c>
      <c r="U2103" s="1" t="s">
        <v>22</v>
      </c>
      <c r="V2103" s="1" t="s">
        <v>23</v>
      </c>
      <c r="W2103" s="1" t="s">
        <v>24</v>
      </c>
      <c r="X2103" s="1">
        <v>2719</v>
      </c>
      <c r="Y2103" s="1" t="s">
        <v>24</v>
      </c>
      <c r="Z2103" s="1" t="s">
        <v>24</v>
      </c>
      <c r="AA2103" s="1" t="s">
        <v>24</v>
      </c>
      <c r="AB2103" s="1" t="s">
        <v>24</v>
      </c>
      <c r="AC2103" s="1" t="s">
        <v>24</v>
      </c>
      <c r="AD2103" s="1" t="s">
        <v>24</v>
      </c>
      <c r="AE2103" s="1" t="s">
        <v>24</v>
      </c>
      <c r="AF2103" s="22"/>
    </row>
    <row r="2104" spans="1:32" x14ac:dyDescent="0.2">
      <c r="A2104" s="1">
        <v>11570</v>
      </c>
      <c r="B2104" s="1" t="s">
        <v>6716</v>
      </c>
      <c r="C2104" s="5" t="s">
        <v>0</v>
      </c>
      <c r="D2104" s="1" t="s">
        <v>6717</v>
      </c>
      <c r="F2104" s="1" t="s">
        <v>6718</v>
      </c>
      <c r="G2104" s="1" t="s">
        <v>6719</v>
      </c>
      <c r="H2104" s="1" t="s">
        <v>30</v>
      </c>
      <c r="I2104" s="1" t="s">
        <v>5001</v>
      </c>
      <c r="J2104" s="1">
        <v>1</v>
      </c>
      <c r="K2104" s="1">
        <v>12</v>
      </c>
      <c r="L2104" s="1" t="s">
        <v>42</v>
      </c>
      <c r="M2104" s="1" t="s">
        <v>18</v>
      </c>
      <c r="N2104" s="1" t="s">
        <v>18</v>
      </c>
      <c r="O2104" s="1">
        <v>0</v>
      </c>
      <c r="P2104" s="1">
        <v>5</v>
      </c>
      <c r="R2104" s="1" t="s">
        <v>19</v>
      </c>
      <c r="S2104" s="1" t="s">
        <v>20</v>
      </c>
      <c r="T2104" s="1" t="s">
        <v>21</v>
      </c>
      <c r="U2104" s="1" t="s">
        <v>22</v>
      </c>
      <c r="V2104" s="1" t="s">
        <v>23</v>
      </c>
      <c r="W2104" s="1" t="s">
        <v>24</v>
      </c>
      <c r="X2104" s="1">
        <v>3003</v>
      </c>
      <c r="Y2104" s="1">
        <v>3004</v>
      </c>
      <c r="Z2104" s="1">
        <v>3611</v>
      </c>
      <c r="AA2104" s="1" t="s">
        <v>24</v>
      </c>
      <c r="AB2104" s="1" t="s">
        <v>24</v>
      </c>
      <c r="AC2104" s="1" t="s">
        <v>24</v>
      </c>
      <c r="AD2104" s="1" t="s">
        <v>24</v>
      </c>
      <c r="AE2104" s="1" t="s">
        <v>24</v>
      </c>
      <c r="AF2104" s="22"/>
    </row>
    <row r="2105" spans="1:32" x14ac:dyDescent="0.2">
      <c r="A2105" s="1">
        <v>11572</v>
      </c>
      <c r="B2105" s="1" t="s">
        <v>6720</v>
      </c>
      <c r="C2105" s="5" t="s">
        <v>0</v>
      </c>
      <c r="D2105" s="1" t="s">
        <v>6721</v>
      </c>
      <c r="E2105" s="1" t="s">
        <v>6722</v>
      </c>
      <c r="F2105" s="1" t="s">
        <v>751</v>
      </c>
      <c r="G2105" s="1" t="s">
        <v>36</v>
      </c>
      <c r="H2105" s="1" t="s">
        <v>37</v>
      </c>
      <c r="I2105" s="1" t="s">
        <v>16</v>
      </c>
      <c r="J2105" s="1">
        <v>1</v>
      </c>
      <c r="K2105" s="1">
        <v>12</v>
      </c>
      <c r="L2105" s="1" t="s">
        <v>31</v>
      </c>
      <c r="M2105" s="1" t="s">
        <v>18</v>
      </c>
      <c r="N2105" s="1" t="s">
        <v>18</v>
      </c>
      <c r="O2105" s="1">
        <v>3</v>
      </c>
      <c r="P2105" s="1">
        <v>7</v>
      </c>
      <c r="Q2105" s="7" t="s">
        <v>17633</v>
      </c>
      <c r="R2105" s="1" t="s">
        <v>19</v>
      </c>
      <c r="S2105" s="1" t="s">
        <v>20</v>
      </c>
      <c r="T2105" s="1" t="s">
        <v>21</v>
      </c>
      <c r="U2105" s="1" t="s">
        <v>22</v>
      </c>
      <c r="V2105" s="1" t="s">
        <v>23</v>
      </c>
      <c r="W2105" s="1" t="s">
        <v>24</v>
      </c>
      <c r="X2105" s="1">
        <v>2719</v>
      </c>
      <c r="Y2105" s="1" t="s">
        <v>24</v>
      </c>
      <c r="Z2105" s="1" t="s">
        <v>24</v>
      </c>
      <c r="AA2105" s="1" t="s">
        <v>24</v>
      </c>
      <c r="AB2105" s="1" t="s">
        <v>24</v>
      </c>
      <c r="AC2105" s="1" t="s">
        <v>24</v>
      </c>
      <c r="AD2105" s="1" t="s">
        <v>24</v>
      </c>
      <c r="AE2105" s="1" t="s">
        <v>24</v>
      </c>
      <c r="AF2105" s="22"/>
    </row>
    <row r="2106" spans="1:32" x14ac:dyDescent="0.2">
      <c r="A2106" s="1">
        <v>11580</v>
      </c>
      <c r="B2106" s="1" t="s">
        <v>6723</v>
      </c>
      <c r="C2106" s="5" t="s">
        <v>0</v>
      </c>
      <c r="D2106" s="1" t="s">
        <v>6724</v>
      </c>
      <c r="F2106" s="1" t="s">
        <v>6725</v>
      </c>
      <c r="G2106" s="1" t="s">
        <v>6723</v>
      </c>
      <c r="H2106" s="1" t="s">
        <v>86</v>
      </c>
      <c r="I2106" s="1" t="s">
        <v>16</v>
      </c>
      <c r="J2106" s="1">
        <v>1</v>
      </c>
      <c r="K2106" s="1">
        <v>10</v>
      </c>
      <c r="L2106" s="1" t="s">
        <v>42</v>
      </c>
      <c r="M2106" s="1" t="s">
        <v>18</v>
      </c>
      <c r="N2106" s="1" t="s">
        <v>18</v>
      </c>
      <c r="O2106" s="1">
        <v>0</v>
      </c>
      <c r="P2106" s="1">
        <v>5</v>
      </c>
      <c r="R2106" s="1" t="s">
        <v>19</v>
      </c>
      <c r="S2106" s="1" t="s">
        <v>20</v>
      </c>
      <c r="T2106" s="1" t="s">
        <v>21</v>
      </c>
      <c r="U2106" s="1" t="s">
        <v>22</v>
      </c>
      <c r="V2106" s="1" t="s">
        <v>24</v>
      </c>
      <c r="W2106" s="1" t="s">
        <v>24</v>
      </c>
      <c r="X2106" s="1">
        <v>3004</v>
      </c>
      <c r="Y2106" s="1">
        <v>2736</v>
      </c>
      <c r="Z2106" s="1" t="s">
        <v>24</v>
      </c>
      <c r="AA2106" s="1" t="s">
        <v>24</v>
      </c>
      <c r="AB2106" s="1" t="s">
        <v>24</v>
      </c>
      <c r="AC2106" s="1" t="s">
        <v>24</v>
      </c>
      <c r="AD2106" s="1" t="s">
        <v>24</v>
      </c>
      <c r="AE2106" s="1" t="s">
        <v>24</v>
      </c>
      <c r="AF2106" s="22"/>
    </row>
    <row r="2107" spans="1:32" x14ac:dyDescent="0.2">
      <c r="A2107" s="1">
        <v>11582</v>
      </c>
      <c r="B2107" s="1" t="s">
        <v>6726</v>
      </c>
      <c r="C2107" s="5" t="s">
        <v>0</v>
      </c>
      <c r="D2107" s="1" t="s">
        <v>6727</v>
      </c>
      <c r="E2107" s="1" t="s">
        <v>6728</v>
      </c>
      <c r="F2107" s="1" t="s">
        <v>55</v>
      </c>
      <c r="G2107" s="1" t="s">
        <v>56</v>
      </c>
      <c r="H2107" s="1" t="s">
        <v>37</v>
      </c>
      <c r="I2107" s="1" t="s">
        <v>16</v>
      </c>
      <c r="J2107" s="1">
        <v>1</v>
      </c>
      <c r="K2107" s="1">
        <v>12</v>
      </c>
      <c r="L2107" s="1" t="s">
        <v>31</v>
      </c>
      <c r="M2107" s="1" t="s">
        <v>18</v>
      </c>
      <c r="N2107" s="1" t="s">
        <v>18</v>
      </c>
      <c r="O2107" s="1">
        <v>3</v>
      </c>
      <c r="P2107" s="1">
        <v>7</v>
      </c>
      <c r="Q2107" s="7" t="s">
        <v>17633</v>
      </c>
      <c r="R2107" s="1" t="s">
        <v>62</v>
      </c>
      <c r="S2107" s="1" t="s">
        <v>20</v>
      </c>
      <c r="T2107" s="1" t="s">
        <v>21</v>
      </c>
      <c r="U2107" s="1" t="s">
        <v>22</v>
      </c>
      <c r="V2107" s="1" t="s">
        <v>24</v>
      </c>
      <c r="W2107" s="1" t="s">
        <v>24</v>
      </c>
      <c r="X2107" s="1">
        <v>2700</v>
      </c>
      <c r="Y2107" s="1" t="s">
        <v>24</v>
      </c>
      <c r="Z2107" s="1" t="s">
        <v>24</v>
      </c>
      <c r="AA2107" s="1" t="s">
        <v>24</v>
      </c>
      <c r="AB2107" s="1" t="s">
        <v>24</v>
      </c>
      <c r="AC2107" s="1" t="s">
        <v>24</v>
      </c>
      <c r="AD2107" s="1" t="s">
        <v>24</v>
      </c>
      <c r="AE2107" s="1" t="s">
        <v>24</v>
      </c>
      <c r="AF2107" s="22"/>
    </row>
    <row r="2108" spans="1:32" x14ac:dyDescent="0.2">
      <c r="A2108" s="1">
        <v>11585</v>
      </c>
      <c r="B2108" s="1" t="s">
        <v>6729</v>
      </c>
      <c r="C2108" s="5" t="s">
        <v>0</v>
      </c>
      <c r="D2108" s="1" t="s">
        <v>6730</v>
      </c>
      <c r="E2108" s="1" t="s">
        <v>6731</v>
      </c>
      <c r="F2108" s="1" t="s">
        <v>167</v>
      </c>
      <c r="G2108" s="1" t="s">
        <v>130</v>
      </c>
      <c r="H2108" s="1" t="s">
        <v>168</v>
      </c>
      <c r="I2108" s="1" t="s">
        <v>16</v>
      </c>
      <c r="J2108" s="1">
        <v>1</v>
      </c>
      <c r="K2108" s="1">
        <v>12</v>
      </c>
      <c r="L2108" s="1" t="s">
        <v>31</v>
      </c>
      <c r="M2108" s="1" t="s">
        <v>18</v>
      </c>
      <c r="N2108" s="1" t="s">
        <v>18</v>
      </c>
      <c r="O2108" s="1">
        <v>3</v>
      </c>
      <c r="P2108" s="1">
        <v>7</v>
      </c>
      <c r="Q2108" s="7" t="s">
        <v>17633</v>
      </c>
      <c r="R2108" s="1" t="s">
        <v>19</v>
      </c>
      <c r="S2108" s="1" t="s">
        <v>20</v>
      </c>
      <c r="T2108" s="1" t="s">
        <v>21</v>
      </c>
      <c r="U2108" s="1" t="s">
        <v>22</v>
      </c>
      <c r="V2108" s="1" t="s">
        <v>23</v>
      </c>
      <c r="W2108" s="1" t="s">
        <v>24</v>
      </c>
      <c r="X2108" s="1">
        <v>2730</v>
      </c>
      <c r="Y2108" s="1" t="s">
        <v>24</v>
      </c>
      <c r="Z2108" s="1" t="s">
        <v>24</v>
      </c>
      <c r="AA2108" s="1" t="s">
        <v>24</v>
      </c>
      <c r="AB2108" s="1" t="s">
        <v>24</v>
      </c>
      <c r="AC2108" s="1" t="s">
        <v>24</v>
      </c>
      <c r="AD2108" s="1" t="s">
        <v>24</v>
      </c>
      <c r="AE2108" s="1" t="s">
        <v>24</v>
      </c>
      <c r="AF2108" s="22"/>
    </row>
    <row r="2109" spans="1:32" x14ac:dyDescent="0.2">
      <c r="A2109" s="1">
        <v>11586</v>
      </c>
      <c r="B2109" s="1" t="s">
        <v>6732</v>
      </c>
      <c r="C2109" s="5" t="s">
        <v>0</v>
      </c>
      <c r="D2109" s="1" t="s">
        <v>6733</v>
      </c>
      <c r="F2109" s="1" t="s">
        <v>275</v>
      </c>
      <c r="G2109" s="1" t="s">
        <v>276</v>
      </c>
      <c r="H2109" s="1" t="s">
        <v>46</v>
      </c>
      <c r="I2109" s="1" t="s">
        <v>16</v>
      </c>
      <c r="J2109" s="1">
        <v>1</v>
      </c>
      <c r="K2109" s="1">
        <v>6</v>
      </c>
      <c r="L2109" s="1" t="s">
        <v>31</v>
      </c>
      <c r="M2109" s="1" t="s">
        <v>18</v>
      </c>
      <c r="N2109" s="1" t="s">
        <v>18</v>
      </c>
      <c r="O2109" s="1">
        <v>1</v>
      </c>
      <c r="P2109" s="1">
        <v>5</v>
      </c>
      <c r="R2109" s="1" t="s">
        <v>19</v>
      </c>
      <c r="S2109" s="1" t="s">
        <v>20</v>
      </c>
      <c r="T2109" s="1" t="s">
        <v>21</v>
      </c>
      <c r="U2109" s="1" t="s">
        <v>22</v>
      </c>
      <c r="V2109" s="1" t="s">
        <v>23</v>
      </c>
      <c r="W2109" s="1" t="s">
        <v>24</v>
      </c>
      <c r="X2109" s="1">
        <v>1304</v>
      </c>
      <c r="Y2109" s="1">
        <v>2204</v>
      </c>
      <c r="Z2109" s="1">
        <v>1502</v>
      </c>
      <c r="AA2109" s="1" t="s">
        <v>24</v>
      </c>
      <c r="AB2109" s="1" t="s">
        <v>24</v>
      </c>
      <c r="AC2109" s="1" t="s">
        <v>24</v>
      </c>
      <c r="AD2109" s="1" t="s">
        <v>24</v>
      </c>
      <c r="AE2109" s="1" t="s">
        <v>24</v>
      </c>
      <c r="AF2109" s="22"/>
    </row>
    <row r="2110" spans="1:32" x14ac:dyDescent="0.2">
      <c r="A2110" s="1">
        <v>11587</v>
      </c>
      <c r="B2110" s="1" t="s">
        <v>6734</v>
      </c>
      <c r="C2110" s="5" t="s">
        <v>0</v>
      </c>
      <c r="D2110" s="1" t="s">
        <v>6735</v>
      </c>
      <c r="E2110" s="1" t="s">
        <v>6736</v>
      </c>
      <c r="F2110" s="1" t="s">
        <v>689</v>
      </c>
      <c r="G2110" s="1" t="s">
        <v>311</v>
      </c>
      <c r="H2110" s="1" t="s">
        <v>37</v>
      </c>
      <c r="I2110" s="1" t="s">
        <v>16</v>
      </c>
      <c r="J2110" s="1">
        <v>1</v>
      </c>
      <c r="K2110" s="1">
        <v>3</v>
      </c>
      <c r="L2110" s="1" t="s">
        <v>31</v>
      </c>
      <c r="M2110" s="1" t="s">
        <v>18</v>
      </c>
      <c r="N2110" s="1" t="s">
        <v>18</v>
      </c>
      <c r="O2110" s="1">
        <v>3</v>
      </c>
      <c r="P2110" s="1">
        <v>6</v>
      </c>
      <c r="R2110" s="1" t="s">
        <v>19</v>
      </c>
      <c r="S2110" s="1" t="s">
        <v>20</v>
      </c>
      <c r="T2110" s="1" t="s">
        <v>21</v>
      </c>
      <c r="U2110" s="1" t="s">
        <v>22</v>
      </c>
      <c r="V2110" s="1" t="s">
        <v>23</v>
      </c>
      <c r="W2110" s="1" t="s">
        <v>24</v>
      </c>
      <c r="X2110" s="1">
        <v>2738</v>
      </c>
      <c r="Y2110" s="1">
        <v>2735</v>
      </c>
      <c r="Z2110" s="1">
        <v>3203</v>
      </c>
      <c r="AA2110" s="1" t="s">
        <v>24</v>
      </c>
      <c r="AB2110" s="1" t="s">
        <v>24</v>
      </c>
      <c r="AC2110" s="1" t="s">
        <v>24</v>
      </c>
      <c r="AD2110" s="1" t="s">
        <v>24</v>
      </c>
      <c r="AE2110" s="1" t="s">
        <v>24</v>
      </c>
      <c r="AF2110" s="22"/>
    </row>
    <row r="2111" spans="1:32" x14ac:dyDescent="0.2">
      <c r="A2111" s="1">
        <v>11590</v>
      </c>
      <c r="B2111" s="1" t="s">
        <v>6737</v>
      </c>
      <c r="C2111" s="5" t="s">
        <v>0</v>
      </c>
      <c r="D2111" s="1" t="s">
        <v>6738</v>
      </c>
      <c r="E2111" s="1" t="s">
        <v>6739</v>
      </c>
      <c r="F2111" s="1" t="s">
        <v>689</v>
      </c>
      <c r="G2111" s="1" t="s">
        <v>311</v>
      </c>
      <c r="H2111" s="1" t="s">
        <v>37</v>
      </c>
      <c r="I2111" s="1" t="s">
        <v>16</v>
      </c>
      <c r="J2111" s="1">
        <v>1</v>
      </c>
      <c r="K2111" s="1">
        <v>4</v>
      </c>
      <c r="L2111" s="1" t="s">
        <v>31</v>
      </c>
      <c r="M2111" s="1" t="s">
        <v>18</v>
      </c>
      <c r="N2111" s="1" t="s">
        <v>18</v>
      </c>
      <c r="O2111" s="1">
        <v>3</v>
      </c>
      <c r="P2111" s="1">
        <v>7</v>
      </c>
      <c r="Q2111" s="7" t="s">
        <v>17633</v>
      </c>
      <c r="R2111" s="1" t="s">
        <v>19</v>
      </c>
      <c r="S2111" s="1" t="s">
        <v>20</v>
      </c>
      <c r="T2111" s="1" t="s">
        <v>21</v>
      </c>
      <c r="U2111" s="1" t="s">
        <v>22</v>
      </c>
      <c r="V2111" s="1" t="s">
        <v>23</v>
      </c>
      <c r="W2111" s="1" t="s">
        <v>24</v>
      </c>
      <c r="X2111" s="1">
        <v>3304</v>
      </c>
      <c r="Y2111" s="1">
        <v>3601</v>
      </c>
      <c r="Z2111" s="1">
        <v>3204</v>
      </c>
      <c r="AA2111" s="1" t="s">
        <v>24</v>
      </c>
      <c r="AB2111" s="1" t="s">
        <v>24</v>
      </c>
      <c r="AC2111" s="1" t="s">
        <v>24</v>
      </c>
      <c r="AD2111" s="1" t="s">
        <v>24</v>
      </c>
      <c r="AE2111" s="1" t="s">
        <v>24</v>
      </c>
      <c r="AF2111" s="22"/>
    </row>
    <row r="2112" spans="1:32" x14ac:dyDescent="0.2">
      <c r="A2112" s="1">
        <v>11591</v>
      </c>
      <c r="B2112" s="1" t="s">
        <v>6740</v>
      </c>
      <c r="C2112" s="5" t="s">
        <v>0</v>
      </c>
      <c r="D2112" s="1" t="s">
        <v>6741</v>
      </c>
      <c r="E2112" s="1" t="s">
        <v>6742</v>
      </c>
      <c r="F2112" s="1" t="s">
        <v>167</v>
      </c>
      <c r="G2112" s="1" t="s">
        <v>130</v>
      </c>
      <c r="H2112" s="1" t="s">
        <v>168</v>
      </c>
      <c r="I2112" s="1" t="s">
        <v>16</v>
      </c>
      <c r="J2112" s="1">
        <v>1</v>
      </c>
      <c r="K2112" s="1">
        <v>4</v>
      </c>
      <c r="L2112" s="1" t="s">
        <v>31</v>
      </c>
      <c r="M2112" s="1" t="s">
        <v>242</v>
      </c>
      <c r="N2112" s="1" t="s">
        <v>679</v>
      </c>
      <c r="O2112" s="1">
        <v>3</v>
      </c>
      <c r="P2112" s="1">
        <v>6</v>
      </c>
      <c r="R2112" s="1" t="s">
        <v>19</v>
      </c>
      <c r="S2112" s="1" t="s">
        <v>20</v>
      </c>
      <c r="T2112" s="1" t="s">
        <v>21</v>
      </c>
      <c r="U2112" s="1" t="s">
        <v>22</v>
      </c>
      <c r="V2112" s="1" t="s">
        <v>24</v>
      </c>
      <c r="W2112" s="1" t="s">
        <v>24</v>
      </c>
      <c r="X2112" s="1">
        <v>2705</v>
      </c>
      <c r="Y2112" s="1">
        <v>2746</v>
      </c>
      <c r="Z2112" s="1" t="s">
        <v>24</v>
      </c>
      <c r="AA2112" s="1" t="s">
        <v>24</v>
      </c>
      <c r="AB2112" s="1" t="s">
        <v>24</v>
      </c>
      <c r="AC2112" s="1" t="s">
        <v>24</v>
      </c>
      <c r="AD2112" s="1" t="s">
        <v>24</v>
      </c>
      <c r="AE2112" s="1" t="s">
        <v>24</v>
      </c>
      <c r="AF2112" s="22"/>
    </row>
    <row r="2113" spans="1:32" x14ac:dyDescent="0.2">
      <c r="A2113" s="1">
        <v>11594</v>
      </c>
      <c r="B2113" s="1" t="s">
        <v>6743</v>
      </c>
      <c r="C2113" s="5" t="s">
        <v>0</v>
      </c>
      <c r="D2113" s="1" t="s">
        <v>6744</v>
      </c>
      <c r="E2113" s="1" t="s">
        <v>6745</v>
      </c>
      <c r="F2113" s="1" t="s">
        <v>4828</v>
      </c>
      <c r="G2113" s="1" t="s">
        <v>6746</v>
      </c>
      <c r="H2113" s="1" t="s">
        <v>30</v>
      </c>
      <c r="I2113" s="1" t="s">
        <v>16</v>
      </c>
      <c r="J2113" s="1">
        <v>1</v>
      </c>
      <c r="K2113" s="1">
        <v>12</v>
      </c>
      <c r="L2113" s="1" t="s">
        <v>31</v>
      </c>
      <c r="M2113" s="1" t="s">
        <v>18</v>
      </c>
      <c r="N2113" s="1" t="s">
        <v>18</v>
      </c>
      <c r="O2113" s="1">
        <v>2</v>
      </c>
      <c r="P2113" s="1">
        <v>5</v>
      </c>
      <c r="R2113" s="1" t="s">
        <v>19</v>
      </c>
      <c r="S2113" s="1" t="s">
        <v>20</v>
      </c>
      <c r="T2113" s="1" t="s">
        <v>21</v>
      </c>
      <c r="U2113" s="1" t="s">
        <v>22</v>
      </c>
      <c r="V2113" s="1" t="s">
        <v>23</v>
      </c>
      <c r="W2113" s="1" t="s">
        <v>24</v>
      </c>
      <c r="X2113" s="1">
        <v>2736</v>
      </c>
      <c r="Y2113" s="1" t="s">
        <v>24</v>
      </c>
      <c r="Z2113" s="1" t="s">
        <v>24</v>
      </c>
      <c r="AA2113" s="1" t="s">
        <v>24</v>
      </c>
      <c r="AB2113" s="1" t="s">
        <v>24</v>
      </c>
      <c r="AC2113" s="1" t="s">
        <v>24</v>
      </c>
      <c r="AD2113" s="1" t="s">
        <v>24</v>
      </c>
      <c r="AE2113" s="1" t="s">
        <v>24</v>
      </c>
      <c r="AF2113" s="22"/>
    </row>
    <row r="2114" spans="1:32" x14ac:dyDescent="0.2">
      <c r="A2114" s="1">
        <v>11602</v>
      </c>
      <c r="B2114" s="1" t="s">
        <v>6747</v>
      </c>
      <c r="C2114" s="5" t="s">
        <v>0</v>
      </c>
      <c r="D2114" s="1" t="s">
        <v>6748</v>
      </c>
      <c r="E2114" s="1" t="s">
        <v>6749</v>
      </c>
      <c r="F2114" s="1" t="s">
        <v>6405</v>
      </c>
      <c r="G2114" s="1" t="s">
        <v>6406</v>
      </c>
      <c r="H2114" s="1" t="s">
        <v>92</v>
      </c>
      <c r="I2114" s="1" t="s">
        <v>16</v>
      </c>
      <c r="J2114" s="1">
        <v>1</v>
      </c>
      <c r="K2114" s="1">
        <v>36</v>
      </c>
      <c r="L2114" s="1" t="s">
        <v>31</v>
      </c>
      <c r="M2114" s="1" t="s">
        <v>18</v>
      </c>
      <c r="N2114" s="1" t="s">
        <v>18</v>
      </c>
      <c r="O2114" s="1">
        <v>3</v>
      </c>
      <c r="P2114" s="1">
        <v>7</v>
      </c>
      <c r="Q2114" s="7" t="s">
        <v>17633</v>
      </c>
      <c r="R2114" s="1" t="s">
        <v>62</v>
      </c>
      <c r="S2114" s="1" t="s">
        <v>20</v>
      </c>
      <c r="T2114" s="1" t="s">
        <v>21</v>
      </c>
      <c r="U2114" s="1" t="s">
        <v>22</v>
      </c>
      <c r="V2114" s="1" t="s">
        <v>24</v>
      </c>
      <c r="W2114" s="1" t="s">
        <v>24</v>
      </c>
      <c r="X2114" s="1">
        <v>3002</v>
      </c>
      <c r="Y2114" s="1">
        <v>3004</v>
      </c>
      <c r="Z2114" s="1" t="s">
        <v>24</v>
      </c>
      <c r="AA2114" s="1" t="s">
        <v>24</v>
      </c>
      <c r="AB2114" s="1" t="s">
        <v>24</v>
      </c>
      <c r="AC2114" s="1" t="s">
        <v>24</v>
      </c>
      <c r="AD2114" s="1" t="s">
        <v>24</v>
      </c>
      <c r="AE2114" s="1" t="s">
        <v>24</v>
      </c>
      <c r="AF2114" s="22"/>
    </row>
    <row r="2115" spans="1:32" x14ac:dyDescent="0.2">
      <c r="A2115" s="1">
        <v>11605</v>
      </c>
      <c r="B2115" s="1" t="s">
        <v>6750</v>
      </c>
      <c r="C2115" s="5" t="s">
        <v>0</v>
      </c>
      <c r="D2115" s="1" t="s">
        <v>6751</v>
      </c>
      <c r="E2115" s="1" t="s">
        <v>6752</v>
      </c>
      <c r="F2115" s="1" t="s">
        <v>601</v>
      </c>
      <c r="G2115" s="1" t="s">
        <v>61</v>
      </c>
      <c r="H2115" s="1" t="s">
        <v>37</v>
      </c>
      <c r="I2115" s="1" t="s">
        <v>16</v>
      </c>
      <c r="J2115" s="1">
        <v>0</v>
      </c>
      <c r="K2115" s="1">
        <v>0</v>
      </c>
      <c r="L2115" s="1" t="s">
        <v>31</v>
      </c>
      <c r="M2115" s="1" t="s">
        <v>18</v>
      </c>
      <c r="N2115" s="1" t="s">
        <v>18</v>
      </c>
      <c r="O2115" s="1">
        <v>3</v>
      </c>
      <c r="P2115" s="1">
        <v>7</v>
      </c>
      <c r="Q2115" s="7" t="s">
        <v>17633</v>
      </c>
      <c r="R2115" s="1" t="s">
        <v>19</v>
      </c>
      <c r="S2115" s="1" t="s">
        <v>63</v>
      </c>
      <c r="T2115" s="1" t="s">
        <v>21</v>
      </c>
      <c r="U2115" s="1" t="s">
        <v>22</v>
      </c>
      <c r="V2115" s="1" t="s">
        <v>24</v>
      </c>
      <c r="W2115" s="1" t="s">
        <v>24</v>
      </c>
      <c r="X2115" s="1">
        <v>2404</v>
      </c>
      <c r="Y2115" s="1">
        <v>2725</v>
      </c>
      <c r="Z2115" s="1" t="s">
        <v>24</v>
      </c>
      <c r="AA2115" s="1" t="s">
        <v>24</v>
      </c>
      <c r="AB2115" s="1" t="s">
        <v>24</v>
      </c>
      <c r="AC2115" s="1" t="s">
        <v>24</v>
      </c>
      <c r="AD2115" s="1" t="s">
        <v>24</v>
      </c>
      <c r="AE2115" s="1" t="s">
        <v>24</v>
      </c>
      <c r="AF2115" s="22"/>
    </row>
    <row r="2116" spans="1:32" x14ac:dyDescent="0.2">
      <c r="A2116" s="1">
        <v>11606</v>
      </c>
      <c r="B2116" s="1" t="s">
        <v>6753</v>
      </c>
      <c r="C2116" s="5" t="s">
        <v>0</v>
      </c>
      <c r="D2116" s="1" t="s">
        <v>6754</v>
      </c>
      <c r="E2116" s="1" t="s">
        <v>6755</v>
      </c>
      <c r="F2116" s="1" t="s">
        <v>1887</v>
      </c>
      <c r="G2116" s="1" t="s">
        <v>254</v>
      </c>
      <c r="H2116" s="1" t="s">
        <v>168</v>
      </c>
      <c r="I2116" s="1" t="s">
        <v>16</v>
      </c>
      <c r="J2116" s="1">
        <v>1</v>
      </c>
      <c r="K2116" s="1">
        <v>12</v>
      </c>
      <c r="L2116" s="1" t="s">
        <v>31</v>
      </c>
      <c r="M2116" s="1" t="s">
        <v>18</v>
      </c>
      <c r="N2116" s="1" t="s">
        <v>18</v>
      </c>
      <c r="O2116" s="1">
        <v>3</v>
      </c>
      <c r="P2116" s="1">
        <v>6</v>
      </c>
      <c r="R2116" s="1" t="s">
        <v>19</v>
      </c>
      <c r="S2116" s="1" t="s">
        <v>20</v>
      </c>
      <c r="T2116" s="1" t="s">
        <v>21</v>
      </c>
      <c r="U2116" s="1" t="s">
        <v>22</v>
      </c>
      <c r="V2116" s="1" t="s">
        <v>24</v>
      </c>
      <c r="W2116" s="1" t="s">
        <v>24</v>
      </c>
      <c r="X2116" s="1">
        <v>1310</v>
      </c>
      <c r="Y2116" s="1">
        <v>2712</v>
      </c>
      <c r="Z2116" s="1">
        <v>2735</v>
      </c>
      <c r="AA2116" s="1" t="s">
        <v>24</v>
      </c>
      <c r="AB2116" s="1" t="s">
        <v>24</v>
      </c>
      <c r="AC2116" s="1" t="s">
        <v>24</v>
      </c>
      <c r="AD2116" s="1" t="s">
        <v>24</v>
      </c>
      <c r="AE2116" s="1" t="s">
        <v>24</v>
      </c>
      <c r="AF2116" s="22"/>
    </row>
    <row r="2117" spans="1:32" x14ac:dyDescent="0.2">
      <c r="A2117" s="1">
        <v>11615</v>
      </c>
      <c r="B2117" s="1" t="s">
        <v>6756</v>
      </c>
      <c r="C2117" s="5" t="s">
        <v>0</v>
      </c>
      <c r="D2117" s="1" t="s">
        <v>6757</v>
      </c>
      <c r="E2117" s="1" t="s">
        <v>6758</v>
      </c>
      <c r="F2117" s="1" t="s">
        <v>91</v>
      </c>
      <c r="G2117" s="1" t="s">
        <v>61</v>
      </c>
      <c r="H2117" s="1" t="s">
        <v>92</v>
      </c>
      <c r="I2117" s="1" t="s">
        <v>16</v>
      </c>
      <c r="J2117" s="1">
        <v>12</v>
      </c>
      <c r="K2117" s="1">
        <v>3</v>
      </c>
      <c r="L2117" s="1" t="s">
        <v>31</v>
      </c>
      <c r="M2117" s="1" t="s">
        <v>18</v>
      </c>
      <c r="N2117" s="1" t="s">
        <v>18</v>
      </c>
      <c r="O2117" s="1">
        <v>3</v>
      </c>
      <c r="P2117" s="1">
        <v>7</v>
      </c>
      <c r="Q2117" s="7" t="s">
        <v>17633</v>
      </c>
      <c r="R2117" s="1" t="s">
        <v>19</v>
      </c>
      <c r="S2117" s="1" t="s">
        <v>63</v>
      </c>
      <c r="T2117" s="1" t="s">
        <v>21</v>
      </c>
      <c r="U2117" s="1" t="s">
        <v>22</v>
      </c>
      <c r="V2117" s="1" t="s">
        <v>24</v>
      </c>
      <c r="W2117" s="1" t="s">
        <v>24</v>
      </c>
      <c r="X2117" s="1">
        <v>1505</v>
      </c>
      <c r="Y2117" s="1" t="s">
        <v>24</v>
      </c>
      <c r="Z2117" s="1" t="s">
        <v>24</v>
      </c>
      <c r="AA2117" s="1" t="s">
        <v>24</v>
      </c>
      <c r="AB2117" s="1" t="s">
        <v>24</v>
      </c>
      <c r="AC2117" s="1" t="s">
        <v>24</v>
      </c>
      <c r="AD2117" s="1" t="s">
        <v>24</v>
      </c>
      <c r="AE2117" s="1" t="s">
        <v>24</v>
      </c>
      <c r="AF2117" s="22"/>
    </row>
    <row r="2118" spans="1:32" x14ac:dyDescent="0.2">
      <c r="A2118" s="1">
        <v>11616</v>
      </c>
      <c r="B2118" s="1" t="s">
        <v>6759</v>
      </c>
      <c r="C2118" s="5" t="s">
        <v>0</v>
      </c>
      <c r="D2118" s="1" t="s">
        <v>6760</v>
      </c>
      <c r="E2118" s="1" t="s">
        <v>6761</v>
      </c>
      <c r="F2118" s="1" t="s">
        <v>91</v>
      </c>
      <c r="G2118" s="1" t="s">
        <v>61</v>
      </c>
      <c r="H2118" s="1" t="s">
        <v>92</v>
      </c>
      <c r="I2118" s="1" t="s">
        <v>16</v>
      </c>
      <c r="J2118" s="1">
        <v>6</v>
      </c>
      <c r="K2118" s="1">
        <v>2</v>
      </c>
      <c r="L2118" s="1" t="s">
        <v>31</v>
      </c>
      <c r="M2118" s="1" t="s">
        <v>18</v>
      </c>
      <c r="N2118" s="1" t="s">
        <v>18</v>
      </c>
      <c r="O2118" s="1">
        <v>3</v>
      </c>
      <c r="P2118" s="1">
        <v>7</v>
      </c>
      <c r="Q2118" s="7" t="s">
        <v>17633</v>
      </c>
      <c r="R2118" s="1" t="s">
        <v>19</v>
      </c>
      <c r="S2118" s="1" t="s">
        <v>63</v>
      </c>
      <c r="T2118" s="1" t="s">
        <v>21</v>
      </c>
      <c r="U2118" s="1" t="s">
        <v>22</v>
      </c>
      <c r="V2118" s="1" t="s">
        <v>24</v>
      </c>
      <c r="W2118" s="1" t="s">
        <v>24</v>
      </c>
      <c r="X2118" s="1">
        <v>1305</v>
      </c>
      <c r="Y2118" s="1">
        <v>1505</v>
      </c>
      <c r="Z2118" s="1">
        <v>1606</v>
      </c>
      <c r="AA2118" s="1">
        <v>3110</v>
      </c>
      <c r="AB2118" s="1" t="s">
        <v>24</v>
      </c>
      <c r="AC2118" s="1" t="s">
        <v>24</v>
      </c>
      <c r="AD2118" s="1" t="s">
        <v>24</v>
      </c>
      <c r="AE2118" s="1" t="s">
        <v>24</v>
      </c>
      <c r="AF2118" s="22"/>
    </row>
    <row r="2119" spans="1:32" x14ac:dyDescent="0.2">
      <c r="A2119" s="1">
        <v>11617</v>
      </c>
      <c r="B2119" s="1" t="s">
        <v>6762</v>
      </c>
      <c r="C2119" s="5" t="s">
        <v>0</v>
      </c>
      <c r="D2119" s="1" t="s">
        <v>6763</v>
      </c>
      <c r="E2119" s="1" t="s">
        <v>6764</v>
      </c>
      <c r="F2119" s="1" t="s">
        <v>167</v>
      </c>
      <c r="G2119" s="1" t="s">
        <v>130</v>
      </c>
      <c r="H2119" s="1" t="s">
        <v>168</v>
      </c>
      <c r="I2119" s="1" t="s">
        <v>16</v>
      </c>
      <c r="J2119" s="1">
        <v>1</v>
      </c>
      <c r="K2119" s="1">
        <v>12</v>
      </c>
      <c r="L2119" s="1" t="s">
        <v>31</v>
      </c>
      <c r="M2119" s="1" t="s">
        <v>18</v>
      </c>
      <c r="N2119" s="1" t="s">
        <v>18</v>
      </c>
      <c r="O2119" s="1">
        <v>3</v>
      </c>
      <c r="P2119" s="1">
        <v>7</v>
      </c>
      <c r="Q2119" s="7" t="s">
        <v>17633</v>
      </c>
      <c r="R2119" s="1" t="s">
        <v>19</v>
      </c>
      <c r="S2119" s="1" t="s">
        <v>20</v>
      </c>
      <c r="T2119" s="1" t="s">
        <v>21</v>
      </c>
      <c r="U2119" s="1" t="s">
        <v>22</v>
      </c>
      <c r="V2119" s="1" t="s">
        <v>24</v>
      </c>
      <c r="W2119" s="1" t="s">
        <v>24</v>
      </c>
      <c r="X2119" s="1">
        <v>1606</v>
      </c>
      <c r="Y2119" s="1">
        <v>2507</v>
      </c>
      <c r="Z2119" s="1">
        <v>2505</v>
      </c>
      <c r="AA2119" s="1">
        <v>1505</v>
      </c>
      <c r="AB2119" s="1" t="s">
        <v>24</v>
      </c>
      <c r="AC2119" s="1" t="s">
        <v>24</v>
      </c>
      <c r="AD2119" s="1" t="s">
        <v>24</v>
      </c>
      <c r="AE2119" s="1" t="s">
        <v>24</v>
      </c>
      <c r="AF2119" s="22"/>
    </row>
    <row r="2120" spans="1:32" x14ac:dyDescent="0.2">
      <c r="A2120" s="1">
        <v>11618</v>
      </c>
      <c r="B2120" s="1" t="s">
        <v>6765</v>
      </c>
      <c r="C2120" s="5" t="s">
        <v>0</v>
      </c>
      <c r="D2120" s="1" t="s">
        <v>6766</v>
      </c>
      <c r="E2120" s="1" t="s">
        <v>6767</v>
      </c>
      <c r="F2120" s="1" t="s">
        <v>6768</v>
      </c>
      <c r="G2120" s="1" t="s">
        <v>460</v>
      </c>
      <c r="H2120" s="1" t="s">
        <v>461</v>
      </c>
      <c r="I2120" s="1" t="s">
        <v>16</v>
      </c>
      <c r="J2120" s="1">
        <v>1</v>
      </c>
      <c r="K2120" s="1">
        <v>6</v>
      </c>
      <c r="L2120" s="1" t="s">
        <v>42</v>
      </c>
      <c r="M2120" s="1" t="s">
        <v>1735</v>
      </c>
      <c r="N2120" s="1" t="s">
        <v>635</v>
      </c>
      <c r="O2120" s="1">
        <v>2</v>
      </c>
      <c r="P2120" s="1">
        <v>5</v>
      </c>
      <c r="R2120" s="1" t="s">
        <v>19</v>
      </c>
      <c r="S2120" s="1" t="s">
        <v>20</v>
      </c>
      <c r="T2120" s="1" t="s">
        <v>21</v>
      </c>
      <c r="U2120" s="1" t="s">
        <v>22</v>
      </c>
      <c r="V2120" s="1" t="s">
        <v>24</v>
      </c>
      <c r="W2120" s="1" t="s">
        <v>24</v>
      </c>
      <c r="X2120" s="1">
        <v>3003</v>
      </c>
      <c r="Y2120" s="1" t="s">
        <v>24</v>
      </c>
      <c r="Z2120" s="1" t="s">
        <v>24</v>
      </c>
      <c r="AA2120" s="1" t="s">
        <v>24</v>
      </c>
      <c r="AB2120" s="1" t="s">
        <v>24</v>
      </c>
      <c r="AC2120" s="1" t="s">
        <v>24</v>
      </c>
      <c r="AD2120" s="1" t="s">
        <v>24</v>
      </c>
      <c r="AE2120" s="1" t="s">
        <v>24</v>
      </c>
      <c r="AF2120" s="22"/>
    </row>
    <row r="2121" spans="1:32" x14ac:dyDescent="0.2">
      <c r="A2121" s="1">
        <v>11619</v>
      </c>
      <c r="B2121" s="1" t="s">
        <v>6769</v>
      </c>
      <c r="C2121" s="5" t="s">
        <v>0</v>
      </c>
      <c r="D2121" s="1" t="s">
        <v>6770</v>
      </c>
      <c r="E2121" s="1" t="s">
        <v>6771</v>
      </c>
      <c r="F2121" s="1" t="s">
        <v>155</v>
      </c>
      <c r="G2121" s="1" t="s">
        <v>61</v>
      </c>
      <c r="H2121" s="1" t="s">
        <v>37</v>
      </c>
      <c r="I2121" s="1" t="s">
        <v>16</v>
      </c>
      <c r="J2121" s="1">
        <v>1</v>
      </c>
      <c r="K2121" s="1">
        <v>12</v>
      </c>
      <c r="L2121" s="1" t="s">
        <v>31</v>
      </c>
      <c r="M2121" s="1" t="s">
        <v>18</v>
      </c>
      <c r="N2121" s="1" t="s">
        <v>18</v>
      </c>
      <c r="O2121" s="1">
        <v>3</v>
      </c>
      <c r="P2121" s="1">
        <v>7</v>
      </c>
      <c r="Q2121" s="7" t="s">
        <v>17633</v>
      </c>
      <c r="R2121" s="1" t="s">
        <v>19</v>
      </c>
      <c r="S2121" s="1" t="s">
        <v>63</v>
      </c>
      <c r="T2121" s="1" t="s">
        <v>21</v>
      </c>
      <c r="U2121" s="1" t="s">
        <v>22</v>
      </c>
      <c r="V2121" s="1" t="s">
        <v>24</v>
      </c>
      <c r="W2121" s="1" t="s">
        <v>24</v>
      </c>
      <c r="X2121" s="1">
        <v>2500</v>
      </c>
      <c r="Y2121" s="1">
        <v>2304</v>
      </c>
      <c r="Z2121" s="1">
        <v>2310</v>
      </c>
      <c r="AA2121" s="1" t="s">
        <v>24</v>
      </c>
      <c r="AB2121" s="1" t="s">
        <v>24</v>
      </c>
      <c r="AC2121" s="1" t="s">
        <v>24</v>
      </c>
      <c r="AD2121" s="1" t="s">
        <v>24</v>
      </c>
      <c r="AE2121" s="1" t="s">
        <v>24</v>
      </c>
      <c r="AF2121" s="22"/>
    </row>
    <row r="2122" spans="1:32" x14ac:dyDescent="0.2">
      <c r="A2122" s="1">
        <v>11621</v>
      </c>
      <c r="B2122" s="1" t="s">
        <v>6772</v>
      </c>
      <c r="C2122" s="5" t="s">
        <v>0</v>
      </c>
      <c r="D2122" s="1" t="s">
        <v>6773</v>
      </c>
      <c r="F2122" s="1" t="s">
        <v>6774</v>
      </c>
      <c r="G2122" s="1" t="s">
        <v>6775</v>
      </c>
      <c r="H2122" s="1" t="s">
        <v>37</v>
      </c>
      <c r="I2122" s="1" t="s">
        <v>5001</v>
      </c>
      <c r="J2122" s="1">
        <v>1</v>
      </c>
      <c r="K2122" s="1">
        <v>12</v>
      </c>
      <c r="L2122" s="1" t="s">
        <v>17</v>
      </c>
      <c r="M2122" s="1" t="s">
        <v>18</v>
      </c>
      <c r="N2122" s="1" t="s">
        <v>18</v>
      </c>
      <c r="O2122" s="1">
        <v>0</v>
      </c>
      <c r="P2122" s="1">
        <v>5</v>
      </c>
      <c r="R2122" s="1" t="s">
        <v>19</v>
      </c>
      <c r="S2122" s="1" t="s">
        <v>20</v>
      </c>
      <c r="T2122" s="1" t="s">
        <v>21</v>
      </c>
      <c r="U2122" s="1" t="s">
        <v>22</v>
      </c>
      <c r="V2122" s="1" t="s">
        <v>24</v>
      </c>
      <c r="W2122" s="1" t="s">
        <v>24</v>
      </c>
      <c r="X2122" s="1">
        <v>3003</v>
      </c>
      <c r="Y2122" s="1" t="s">
        <v>24</v>
      </c>
      <c r="Z2122" s="1" t="s">
        <v>24</v>
      </c>
      <c r="AA2122" s="1" t="s">
        <v>24</v>
      </c>
      <c r="AB2122" s="1" t="s">
        <v>24</v>
      </c>
      <c r="AC2122" s="1" t="s">
        <v>24</v>
      </c>
      <c r="AD2122" s="1" t="s">
        <v>24</v>
      </c>
      <c r="AE2122" s="1" t="s">
        <v>24</v>
      </c>
      <c r="AF2122" s="22"/>
    </row>
    <row r="2123" spans="1:32" x14ac:dyDescent="0.2">
      <c r="A2123" s="1">
        <v>11623</v>
      </c>
      <c r="B2123" s="1" t="s">
        <v>6776</v>
      </c>
      <c r="C2123" s="5" t="s">
        <v>0</v>
      </c>
      <c r="D2123" s="1" t="s">
        <v>6777</v>
      </c>
      <c r="F2123" s="1" t="s">
        <v>6778</v>
      </c>
      <c r="G2123" s="1" t="s">
        <v>6779</v>
      </c>
      <c r="H2123" s="1" t="s">
        <v>30</v>
      </c>
      <c r="I2123" s="1" t="s">
        <v>16</v>
      </c>
      <c r="J2123" s="1">
        <v>1</v>
      </c>
      <c r="K2123" s="1">
        <v>6</v>
      </c>
      <c r="L2123" s="1" t="s">
        <v>42</v>
      </c>
      <c r="M2123" s="1" t="s">
        <v>18</v>
      </c>
      <c r="N2123" s="1" t="s">
        <v>18</v>
      </c>
      <c r="O2123" s="1">
        <v>3</v>
      </c>
      <c r="P2123" s="1">
        <v>6</v>
      </c>
      <c r="R2123" s="1" t="s">
        <v>19</v>
      </c>
      <c r="S2123" s="1" t="s">
        <v>20</v>
      </c>
      <c r="T2123" s="1" t="s">
        <v>21</v>
      </c>
      <c r="U2123" s="1" t="s">
        <v>22</v>
      </c>
      <c r="V2123" s="1" t="s">
        <v>24</v>
      </c>
      <c r="W2123" s="1" t="s">
        <v>24</v>
      </c>
      <c r="X2123" s="1">
        <v>3003</v>
      </c>
      <c r="Y2123" s="1" t="s">
        <v>24</v>
      </c>
      <c r="Z2123" s="1" t="s">
        <v>24</v>
      </c>
      <c r="AA2123" s="1" t="s">
        <v>24</v>
      </c>
      <c r="AB2123" s="1" t="s">
        <v>24</v>
      </c>
      <c r="AC2123" s="1" t="s">
        <v>24</v>
      </c>
      <c r="AD2123" s="1" t="s">
        <v>24</v>
      </c>
      <c r="AE2123" s="1" t="s">
        <v>24</v>
      </c>
      <c r="AF2123" s="22"/>
    </row>
    <row r="2124" spans="1:32" x14ac:dyDescent="0.2">
      <c r="A2124" s="1">
        <v>11625</v>
      </c>
      <c r="B2124" s="1" t="s">
        <v>6780</v>
      </c>
      <c r="C2124" s="5" t="s">
        <v>0</v>
      </c>
      <c r="D2124" s="1" t="s">
        <v>6781</v>
      </c>
      <c r="E2124" s="1" t="s">
        <v>6782</v>
      </c>
      <c r="F2124" s="1" t="s">
        <v>91</v>
      </c>
      <c r="G2124" s="1" t="s">
        <v>61</v>
      </c>
      <c r="H2124" s="1" t="s">
        <v>92</v>
      </c>
      <c r="I2124" s="1" t="s">
        <v>16</v>
      </c>
      <c r="J2124" s="1">
        <v>5</v>
      </c>
      <c r="K2124" s="1">
        <v>3</v>
      </c>
      <c r="L2124" s="1" t="s">
        <v>31</v>
      </c>
      <c r="M2124" s="1" t="s">
        <v>18</v>
      </c>
      <c r="N2124" s="1" t="s">
        <v>18</v>
      </c>
      <c r="O2124" s="1">
        <v>3</v>
      </c>
      <c r="P2124" s="1">
        <v>6</v>
      </c>
      <c r="R2124" s="1" t="s">
        <v>19</v>
      </c>
      <c r="S2124" s="1" t="s">
        <v>63</v>
      </c>
      <c r="T2124" s="1" t="s">
        <v>21</v>
      </c>
      <c r="U2124" s="1" t="s">
        <v>22</v>
      </c>
      <c r="V2124" s="1" t="s">
        <v>24</v>
      </c>
      <c r="W2124" s="1" t="s">
        <v>24</v>
      </c>
      <c r="X2124" s="1">
        <v>1500</v>
      </c>
      <c r="Y2124" s="1" t="s">
        <v>24</v>
      </c>
      <c r="Z2124" s="1" t="s">
        <v>24</v>
      </c>
      <c r="AA2124" s="1" t="s">
        <v>24</v>
      </c>
      <c r="AB2124" s="1" t="s">
        <v>24</v>
      </c>
      <c r="AC2124" s="1" t="s">
        <v>24</v>
      </c>
      <c r="AD2124" s="1" t="s">
        <v>24</v>
      </c>
      <c r="AE2124" s="1" t="s">
        <v>24</v>
      </c>
      <c r="AF2124" s="22"/>
    </row>
    <row r="2125" spans="1:32" x14ac:dyDescent="0.2">
      <c r="A2125" s="1">
        <v>11627</v>
      </c>
      <c r="B2125" s="1" t="s">
        <v>6783</v>
      </c>
      <c r="C2125" s="5" t="s">
        <v>0</v>
      </c>
      <c r="D2125" s="1" t="s">
        <v>6784</v>
      </c>
      <c r="F2125" s="1" t="s">
        <v>4824</v>
      </c>
      <c r="G2125" s="1" t="s">
        <v>4824</v>
      </c>
      <c r="H2125" s="1" t="s">
        <v>168</v>
      </c>
      <c r="I2125" s="1" t="s">
        <v>16</v>
      </c>
      <c r="J2125" s="1">
        <v>1</v>
      </c>
      <c r="K2125" s="1">
        <v>6</v>
      </c>
      <c r="L2125" s="1" t="s">
        <v>17</v>
      </c>
      <c r="M2125" s="1" t="s">
        <v>413</v>
      </c>
      <c r="N2125" s="1" t="s">
        <v>413</v>
      </c>
      <c r="O2125" s="1">
        <v>1</v>
      </c>
      <c r="P2125" s="1">
        <v>5</v>
      </c>
      <c r="R2125" s="1" t="s">
        <v>19</v>
      </c>
      <c r="S2125" s="1" t="s">
        <v>20</v>
      </c>
      <c r="T2125" s="1" t="s">
        <v>21</v>
      </c>
      <c r="U2125" s="1" t="s">
        <v>22</v>
      </c>
      <c r="V2125" s="1" t="s">
        <v>24</v>
      </c>
      <c r="W2125" s="1" t="s">
        <v>24</v>
      </c>
      <c r="X2125" s="1">
        <v>2736</v>
      </c>
      <c r="Y2125" s="1">
        <v>2738</v>
      </c>
      <c r="Z2125" s="1" t="s">
        <v>24</v>
      </c>
      <c r="AA2125" s="1" t="s">
        <v>24</v>
      </c>
      <c r="AB2125" s="1" t="s">
        <v>24</v>
      </c>
      <c r="AC2125" s="1" t="s">
        <v>24</v>
      </c>
      <c r="AD2125" s="1" t="s">
        <v>24</v>
      </c>
      <c r="AE2125" s="1" t="s">
        <v>24</v>
      </c>
      <c r="AF2125" s="22"/>
    </row>
    <row r="2126" spans="1:32" x14ac:dyDescent="0.2">
      <c r="A2126" s="1">
        <v>11629</v>
      </c>
      <c r="B2126" s="1" t="s">
        <v>6785</v>
      </c>
      <c r="C2126" s="5" t="s">
        <v>0</v>
      </c>
      <c r="D2126" s="1" t="s">
        <v>6786</v>
      </c>
      <c r="E2126" s="1" t="s">
        <v>6787</v>
      </c>
      <c r="F2126" s="1" t="s">
        <v>272</v>
      </c>
      <c r="G2126" s="1" t="s">
        <v>61</v>
      </c>
      <c r="H2126" s="1" t="s">
        <v>30</v>
      </c>
      <c r="I2126" s="1" t="s">
        <v>16</v>
      </c>
      <c r="J2126" s="1">
        <v>1</v>
      </c>
      <c r="K2126" s="1">
        <v>12</v>
      </c>
      <c r="L2126" s="1" t="s">
        <v>31</v>
      </c>
      <c r="M2126" s="1" t="s">
        <v>18</v>
      </c>
      <c r="N2126" s="1" t="s">
        <v>18</v>
      </c>
      <c r="O2126" s="1">
        <v>3</v>
      </c>
      <c r="P2126" s="1">
        <v>7</v>
      </c>
      <c r="Q2126" s="7" t="s">
        <v>17633</v>
      </c>
      <c r="R2126" s="1" t="s">
        <v>19</v>
      </c>
      <c r="S2126" s="1" t="s">
        <v>20</v>
      </c>
      <c r="T2126" s="1" t="s">
        <v>21</v>
      </c>
      <c r="U2126" s="1" t="s">
        <v>22</v>
      </c>
      <c r="V2126" s="1" t="s">
        <v>23</v>
      </c>
      <c r="W2126" s="1" t="s">
        <v>24</v>
      </c>
      <c r="X2126" s="1">
        <v>2741</v>
      </c>
      <c r="Y2126" s="1">
        <v>2705</v>
      </c>
      <c r="Z2126" s="1" t="s">
        <v>24</v>
      </c>
      <c r="AA2126" s="1" t="s">
        <v>24</v>
      </c>
      <c r="AB2126" s="1" t="s">
        <v>24</v>
      </c>
      <c r="AC2126" s="1" t="s">
        <v>24</v>
      </c>
      <c r="AD2126" s="1" t="s">
        <v>24</v>
      </c>
      <c r="AE2126" s="1" t="s">
        <v>24</v>
      </c>
      <c r="AF2126" s="22"/>
    </row>
    <row r="2127" spans="1:32" x14ac:dyDescent="0.2">
      <c r="A2127" s="1">
        <v>11631</v>
      </c>
      <c r="B2127" s="1" t="s">
        <v>6788</v>
      </c>
      <c r="C2127" s="5" t="s">
        <v>0</v>
      </c>
      <c r="D2127" s="1" t="s">
        <v>6789</v>
      </c>
      <c r="E2127" s="1" t="s">
        <v>6790</v>
      </c>
      <c r="F2127" s="1" t="s">
        <v>6791</v>
      </c>
      <c r="G2127" s="1" t="s">
        <v>6791</v>
      </c>
      <c r="H2127" s="1" t="s">
        <v>30</v>
      </c>
      <c r="I2127" s="1" t="s">
        <v>16</v>
      </c>
      <c r="J2127" s="1">
        <v>1</v>
      </c>
      <c r="K2127" s="1">
        <v>6</v>
      </c>
      <c r="L2127" s="1" t="s">
        <v>42</v>
      </c>
      <c r="M2127" s="1" t="s">
        <v>18</v>
      </c>
      <c r="N2127" s="1" t="s">
        <v>18</v>
      </c>
      <c r="O2127" s="1">
        <v>3</v>
      </c>
      <c r="P2127" s="1">
        <v>5</v>
      </c>
      <c r="R2127" s="1" t="s">
        <v>19</v>
      </c>
      <c r="S2127" s="1" t="s">
        <v>20</v>
      </c>
      <c r="T2127" s="1" t="s">
        <v>21</v>
      </c>
      <c r="U2127" s="1" t="s">
        <v>22</v>
      </c>
      <c r="V2127" s="1" t="s">
        <v>23</v>
      </c>
      <c r="W2127" s="1" t="s">
        <v>24</v>
      </c>
      <c r="X2127" s="1">
        <v>2709</v>
      </c>
      <c r="Y2127" s="1">
        <v>3611</v>
      </c>
      <c r="Z2127" s="1">
        <v>3004</v>
      </c>
      <c r="AA2127" s="1" t="s">
        <v>24</v>
      </c>
      <c r="AB2127" s="1" t="s">
        <v>24</v>
      </c>
      <c r="AC2127" s="1" t="s">
        <v>24</v>
      </c>
      <c r="AD2127" s="1" t="s">
        <v>24</v>
      </c>
      <c r="AE2127" s="1" t="s">
        <v>24</v>
      </c>
      <c r="AF2127" s="22"/>
    </row>
    <row r="2128" spans="1:32" x14ac:dyDescent="0.2">
      <c r="A2128" s="1">
        <v>11632</v>
      </c>
      <c r="B2128" s="1" t="s">
        <v>6792</v>
      </c>
      <c r="C2128" s="5" t="s">
        <v>0</v>
      </c>
      <c r="D2128" s="1" t="s">
        <v>6793</v>
      </c>
      <c r="E2128" s="1" t="s">
        <v>6794</v>
      </c>
      <c r="F2128" s="1" t="s">
        <v>4828</v>
      </c>
      <c r="G2128" s="1" t="s">
        <v>6746</v>
      </c>
      <c r="H2128" s="1" t="s">
        <v>30</v>
      </c>
      <c r="I2128" s="1" t="s">
        <v>16</v>
      </c>
      <c r="J2128" s="1">
        <v>1</v>
      </c>
      <c r="K2128" s="1">
        <v>6</v>
      </c>
      <c r="L2128" s="1" t="s">
        <v>31</v>
      </c>
      <c r="M2128" s="1" t="s">
        <v>18</v>
      </c>
      <c r="N2128" s="1" t="s">
        <v>18</v>
      </c>
      <c r="O2128" s="1">
        <v>3</v>
      </c>
      <c r="P2128" s="1">
        <v>6</v>
      </c>
      <c r="R2128" s="1" t="s">
        <v>19</v>
      </c>
      <c r="S2128" s="1" t="s">
        <v>20</v>
      </c>
      <c r="T2128" s="1" t="s">
        <v>21</v>
      </c>
      <c r="U2128" s="1" t="s">
        <v>22</v>
      </c>
      <c r="V2128" s="1" t="s">
        <v>24</v>
      </c>
      <c r="W2128" s="1" t="s">
        <v>24</v>
      </c>
      <c r="X2128" s="1">
        <v>3003</v>
      </c>
      <c r="Y2128" s="1">
        <v>1304</v>
      </c>
      <c r="Z2128" s="1" t="s">
        <v>24</v>
      </c>
      <c r="AA2128" s="1" t="s">
        <v>24</v>
      </c>
      <c r="AB2128" s="1" t="s">
        <v>24</v>
      </c>
      <c r="AC2128" s="1" t="s">
        <v>24</v>
      </c>
      <c r="AD2128" s="1" t="s">
        <v>24</v>
      </c>
      <c r="AE2128" s="1" t="s">
        <v>24</v>
      </c>
      <c r="AF2128" s="22"/>
    </row>
    <row r="2129" spans="1:32" x14ac:dyDescent="0.2">
      <c r="A2129" s="1">
        <v>11638</v>
      </c>
      <c r="B2129" s="1" t="s">
        <v>6795</v>
      </c>
      <c r="C2129" s="5" t="s">
        <v>0</v>
      </c>
      <c r="D2129" s="1" t="s">
        <v>6796</v>
      </c>
      <c r="F2129" s="1" t="s">
        <v>6797</v>
      </c>
      <c r="G2129" s="1" t="s">
        <v>6797</v>
      </c>
      <c r="H2129" s="1" t="s">
        <v>249</v>
      </c>
      <c r="I2129" s="1" t="s">
        <v>16</v>
      </c>
      <c r="J2129" s="1">
        <v>1</v>
      </c>
      <c r="K2129" s="1">
        <v>6</v>
      </c>
      <c r="L2129" s="1" t="s">
        <v>42</v>
      </c>
      <c r="M2129" s="1" t="s">
        <v>250</v>
      </c>
      <c r="N2129" s="1" t="s">
        <v>1463</v>
      </c>
      <c r="O2129" s="1">
        <v>1</v>
      </c>
      <c r="P2129" s="1">
        <v>5</v>
      </c>
      <c r="R2129" s="1" t="s">
        <v>19</v>
      </c>
      <c r="S2129" s="1" t="s">
        <v>20</v>
      </c>
      <c r="T2129" s="1" t="s">
        <v>21</v>
      </c>
      <c r="U2129" s="1" t="s">
        <v>22</v>
      </c>
      <c r="V2129" s="1" t="s">
        <v>24</v>
      </c>
      <c r="W2129" s="1" t="s">
        <v>24</v>
      </c>
      <c r="X2129" s="1">
        <v>2715</v>
      </c>
      <c r="Y2129" s="1" t="s">
        <v>24</v>
      </c>
      <c r="Z2129" s="1" t="s">
        <v>24</v>
      </c>
      <c r="AA2129" s="1" t="s">
        <v>24</v>
      </c>
      <c r="AB2129" s="1" t="s">
        <v>24</v>
      </c>
      <c r="AC2129" s="1" t="s">
        <v>24</v>
      </c>
      <c r="AD2129" s="1" t="s">
        <v>24</v>
      </c>
      <c r="AE2129" s="1" t="s">
        <v>24</v>
      </c>
      <c r="AF2129" s="22"/>
    </row>
    <row r="2130" spans="1:32" x14ac:dyDescent="0.2">
      <c r="A2130" s="1">
        <v>11641</v>
      </c>
      <c r="B2130" s="1" t="s">
        <v>6798</v>
      </c>
      <c r="C2130" s="5" t="s">
        <v>0</v>
      </c>
      <c r="D2130" s="1" t="s">
        <v>6799</v>
      </c>
      <c r="F2130" s="1" t="s">
        <v>6800</v>
      </c>
      <c r="G2130" s="1" t="s">
        <v>6800</v>
      </c>
      <c r="H2130" s="1" t="s">
        <v>1384</v>
      </c>
      <c r="I2130" s="1" t="s">
        <v>16</v>
      </c>
      <c r="J2130" s="1">
        <v>1</v>
      </c>
      <c r="K2130" s="1">
        <v>4</v>
      </c>
      <c r="L2130" s="1" t="s">
        <v>42</v>
      </c>
      <c r="M2130" s="1" t="s">
        <v>1385</v>
      </c>
      <c r="N2130" s="1" t="s">
        <v>3142</v>
      </c>
      <c r="O2130" s="1">
        <v>1</v>
      </c>
      <c r="P2130" s="1">
        <v>5</v>
      </c>
      <c r="R2130" s="1" t="s">
        <v>19</v>
      </c>
      <c r="S2130" s="1" t="s">
        <v>20</v>
      </c>
      <c r="T2130" s="1" t="s">
        <v>21</v>
      </c>
      <c r="U2130" s="1" t="s">
        <v>22</v>
      </c>
      <c r="V2130" s="1" t="s">
        <v>24</v>
      </c>
      <c r="W2130" s="1" t="s">
        <v>24</v>
      </c>
      <c r="X2130" s="1">
        <v>2715</v>
      </c>
      <c r="Y2130" s="1" t="s">
        <v>24</v>
      </c>
      <c r="Z2130" s="1" t="s">
        <v>24</v>
      </c>
      <c r="AA2130" s="1" t="s">
        <v>24</v>
      </c>
      <c r="AB2130" s="1" t="s">
        <v>24</v>
      </c>
      <c r="AC2130" s="1" t="s">
        <v>24</v>
      </c>
      <c r="AD2130" s="1" t="s">
        <v>24</v>
      </c>
      <c r="AE2130" s="1" t="s">
        <v>24</v>
      </c>
      <c r="AF2130" s="22"/>
    </row>
    <row r="2131" spans="1:32" x14ac:dyDescent="0.2">
      <c r="A2131" s="1">
        <v>11644</v>
      </c>
      <c r="B2131" s="1" t="s">
        <v>6801</v>
      </c>
      <c r="C2131" s="5" t="s">
        <v>0</v>
      </c>
      <c r="D2131" s="1" t="s">
        <v>6802</v>
      </c>
      <c r="E2131" s="1" t="s">
        <v>6803</v>
      </c>
      <c r="F2131" s="1" t="s">
        <v>1307</v>
      </c>
      <c r="G2131" s="1" t="s">
        <v>1307</v>
      </c>
      <c r="H2131" s="1" t="s">
        <v>30</v>
      </c>
      <c r="I2131" s="1" t="s">
        <v>16</v>
      </c>
      <c r="J2131" s="1">
        <v>1</v>
      </c>
      <c r="K2131" s="1">
        <v>12</v>
      </c>
      <c r="L2131" s="1" t="s">
        <v>42</v>
      </c>
      <c r="M2131" s="1" t="s">
        <v>18</v>
      </c>
      <c r="N2131" s="1" t="s">
        <v>18</v>
      </c>
      <c r="O2131" s="1">
        <v>3</v>
      </c>
      <c r="P2131" s="1">
        <v>7</v>
      </c>
      <c r="Q2131" s="7" t="s">
        <v>17633</v>
      </c>
      <c r="R2131" s="1" t="s">
        <v>62</v>
      </c>
      <c r="S2131" s="1" t="s">
        <v>20</v>
      </c>
      <c r="T2131" s="1" t="s">
        <v>21</v>
      </c>
      <c r="U2131" s="1" t="s">
        <v>22</v>
      </c>
      <c r="V2131" s="1" t="s">
        <v>23</v>
      </c>
      <c r="W2131" s="1" t="s">
        <v>24</v>
      </c>
      <c r="X2131" s="1">
        <v>2805</v>
      </c>
      <c r="Y2131" s="1">
        <v>2804</v>
      </c>
      <c r="Z2131" s="1">
        <v>3206</v>
      </c>
      <c r="AA2131" s="1" t="s">
        <v>24</v>
      </c>
      <c r="AB2131" s="1" t="s">
        <v>24</v>
      </c>
      <c r="AC2131" s="1" t="s">
        <v>24</v>
      </c>
      <c r="AD2131" s="1" t="s">
        <v>24</v>
      </c>
      <c r="AE2131" s="1" t="s">
        <v>24</v>
      </c>
      <c r="AF2131" s="22"/>
    </row>
    <row r="2132" spans="1:32" x14ac:dyDescent="0.2">
      <c r="A2132" s="1">
        <v>11649</v>
      </c>
      <c r="B2132" s="1" t="s">
        <v>6804</v>
      </c>
      <c r="C2132" s="5" t="s">
        <v>0</v>
      </c>
      <c r="D2132" s="1" t="s">
        <v>6805</v>
      </c>
      <c r="E2132" s="1" t="s">
        <v>6806</v>
      </c>
      <c r="F2132" s="1" t="s">
        <v>291</v>
      </c>
      <c r="G2132" s="1" t="s">
        <v>292</v>
      </c>
      <c r="H2132" s="1" t="s">
        <v>37</v>
      </c>
      <c r="I2132" s="1" t="s">
        <v>16</v>
      </c>
      <c r="J2132" s="1">
        <v>1</v>
      </c>
      <c r="K2132" s="1">
        <v>4</v>
      </c>
      <c r="L2132" s="1" t="s">
        <v>31</v>
      </c>
      <c r="M2132" s="1" t="s">
        <v>18</v>
      </c>
      <c r="N2132" s="1" t="s">
        <v>18</v>
      </c>
      <c r="O2132" s="1">
        <v>3</v>
      </c>
      <c r="P2132" s="1">
        <v>7</v>
      </c>
      <c r="Q2132" s="7" t="s">
        <v>17633</v>
      </c>
      <c r="R2132" s="1" t="s">
        <v>19</v>
      </c>
      <c r="S2132" s="1" t="s">
        <v>20</v>
      </c>
      <c r="T2132" s="1" t="s">
        <v>21</v>
      </c>
      <c r="U2132" s="1" t="s">
        <v>22</v>
      </c>
      <c r="V2132" s="1" t="s">
        <v>24</v>
      </c>
      <c r="W2132" s="1" t="s">
        <v>24</v>
      </c>
      <c r="X2132" s="1">
        <v>2731</v>
      </c>
      <c r="Y2132" s="1" t="s">
        <v>24</v>
      </c>
      <c r="Z2132" s="1" t="s">
        <v>24</v>
      </c>
      <c r="AA2132" s="1" t="s">
        <v>24</v>
      </c>
      <c r="AB2132" s="1" t="s">
        <v>24</v>
      </c>
      <c r="AC2132" s="1" t="s">
        <v>24</v>
      </c>
      <c r="AD2132" s="1" t="s">
        <v>24</v>
      </c>
      <c r="AE2132" s="1" t="s">
        <v>24</v>
      </c>
      <c r="AF2132" s="22"/>
    </row>
    <row r="2133" spans="1:32" x14ac:dyDescent="0.2">
      <c r="A2133" s="1">
        <v>11650</v>
      </c>
      <c r="B2133" s="1" t="s">
        <v>6807</v>
      </c>
      <c r="C2133" s="5" t="s">
        <v>0</v>
      </c>
      <c r="D2133" s="1" t="s">
        <v>6808</v>
      </c>
      <c r="E2133" s="1" t="s">
        <v>6809</v>
      </c>
      <c r="F2133" s="1" t="s">
        <v>291</v>
      </c>
      <c r="G2133" s="1" t="s">
        <v>292</v>
      </c>
      <c r="H2133" s="1" t="s">
        <v>37</v>
      </c>
      <c r="I2133" s="1" t="s">
        <v>16</v>
      </c>
      <c r="J2133" s="1">
        <v>1</v>
      </c>
      <c r="K2133" s="1">
        <v>6</v>
      </c>
      <c r="L2133" s="1" t="s">
        <v>31</v>
      </c>
      <c r="M2133" s="1" t="s">
        <v>18</v>
      </c>
      <c r="N2133" s="1" t="s">
        <v>18</v>
      </c>
      <c r="O2133" s="1">
        <v>3</v>
      </c>
      <c r="P2133" s="1">
        <v>7</v>
      </c>
      <c r="Q2133" s="7" t="s">
        <v>17633</v>
      </c>
      <c r="R2133" s="1" t="s">
        <v>19</v>
      </c>
      <c r="S2133" s="1" t="s">
        <v>20</v>
      </c>
      <c r="T2133" s="1" t="s">
        <v>21</v>
      </c>
      <c r="U2133" s="1" t="s">
        <v>22</v>
      </c>
      <c r="V2133" s="1" t="s">
        <v>24</v>
      </c>
      <c r="W2133" s="1" t="s">
        <v>24</v>
      </c>
      <c r="X2133" s="1">
        <v>2731</v>
      </c>
      <c r="Y2133" s="1">
        <v>2713</v>
      </c>
      <c r="Z2133" s="1" t="s">
        <v>24</v>
      </c>
      <c r="AA2133" s="1" t="s">
        <v>24</v>
      </c>
      <c r="AB2133" s="1" t="s">
        <v>24</v>
      </c>
      <c r="AC2133" s="1" t="s">
        <v>24</v>
      </c>
      <c r="AD2133" s="1" t="s">
        <v>24</v>
      </c>
      <c r="AE2133" s="1" t="s">
        <v>24</v>
      </c>
      <c r="AF2133" s="22"/>
    </row>
    <row r="2134" spans="1:32" x14ac:dyDescent="0.2">
      <c r="A2134" s="1">
        <v>11654</v>
      </c>
      <c r="B2134" s="1" t="s">
        <v>6810</v>
      </c>
      <c r="C2134" s="5" t="s">
        <v>0</v>
      </c>
      <c r="D2134" s="1" t="s">
        <v>6811</v>
      </c>
      <c r="E2134" s="1" t="s">
        <v>6812</v>
      </c>
      <c r="F2134" s="1" t="s">
        <v>35</v>
      </c>
      <c r="G2134" s="1" t="s">
        <v>36</v>
      </c>
      <c r="H2134" s="1" t="s">
        <v>37</v>
      </c>
      <c r="I2134" s="1" t="s">
        <v>16</v>
      </c>
      <c r="J2134" s="1">
        <v>1</v>
      </c>
      <c r="K2134" s="1">
        <v>7</v>
      </c>
      <c r="L2134" s="1" t="s">
        <v>31</v>
      </c>
      <c r="M2134" s="1" t="s">
        <v>18</v>
      </c>
      <c r="N2134" s="1" t="s">
        <v>18</v>
      </c>
      <c r="O2134" s="1">
        <v>3</v>
      </c>
      <c r="P2134" s="1">
        <v>7</v>
      </c>
      <c r="Q2134" s="7" t="s">
        <v>17633</v>
      </c>
      <c r="R2134" s="1" t="s">
        <v>19</v>
      </c>
      <c r="S2134" s="1" t="s">
        <v>20</v>
      </c>
      <c r="T2134" s="1" t="s">
        <v>21</v>
      </c>
      <c r="U2134" s="1" t="s">
        <v>22</v>
      </c>
      <c r="V2134" s="1" t="s">
        <v>24</v>
      </c>
      <c r="W2134" s="1" t="s">
        <v>24</v>
      </c>
      <c r="X2134" s="1">
        <v>2720</v>
      </c>
      <c r="Y2134" s="1">
        <v>2716</v>
      </c>
      <c r="Z2134" s="1" t="s">
        <v>24</v>
      </c>
      <c r="AA2134" s="1" t="s">
        <v>24</v>
      </c>
      <c r="AB2134" s="1" t="s">
        <v>24</v>
      </c>
      <c r="AC2134" s="1" t="s">
        <v>24</v>
      </c>
      <c r="AD2134" s="1" t="s">
        <v>24</v>
      </c>
      <c r="AE2134" s="1" t="s">
        <v>24</v>
      </c>
      <c r="AF2134" s="22"/>
    </row>
    <row r="2135" spans="1:32" x14ac:dyDescent="0.2">
      <c r="A2135" s="1">
        <v>11655</v>
      </c>
      <c r="B2135" s="1" t="s">
        <v>6813</v>
      </c>
      <c r="C2135" s="5" t="s">
        <v>0</v>
      </c>
      <c r="D2135" s="1" t="s">
        <v>6814</v>
      </c>
      <c r="E2135" s="1" t="s">
        <v>6815</v>
      </c>
      <c r="F2135" s="1" t="s">
        <v>2692</v>
      </c>
      <c r="G2135" s="1" t="s">
        <v>36</v>
      </c>
      <c r="H2135" s="1" t="s">
        <v>37</v>
      </c>
      <c r="I2135" s="1" t="s">
        <v>16</v>
      </c>
      <c r="J2135" s="1">
        <v>1</v>
      </c>
      <c r="K2135" s="1">
        <v>4</v>
      </c>
      <c r="L2135" s="1" t="s">
        <v>31</v>
      </c>
      <c r="M2135" s="1" t="s">
        <v>18</v>
      </c>
      <c r="N2135" s="1" t="s">
        <v>18</v>
      </c>
      <c r="O2135" s="1">
        <v>3</v>
      </c>
      <c r="P2135" s="1">
        <v>7</v>
      </c>
      <c r="Q2135" s="7" t="s">
        <v>17633</v>
      </c>
      <c r="R2135" s="1" t="s">
        <v>19</v>
      </c>
      <c r="S2135" s="1" t="s">
        <v>20</v>
      </c>
      <c r="T2135" s="1" t="s">
        <v>21</v>
      </c>
      <c r="U2135" s="1" t="s">
        <v>22</v>
      </c>
      <c r="V2135" s="1" t="s">
        <v>23</v>
      </c>
      <c r="W2135" s="1" t="s">
        <v>24</v>
      </c>
      <c r="X2135" s="1">
        <v>3003</v>
      </c>
      <c r="Y2135" s="1">
        <v>2719</v>
      </c>
      <c r="Z2135" s="1">
        <v>2739</v>
      </c>
      <c r="AA2135" s="1">
        <v>3611</v>
      </c>
      <c r="AB2135" s="1" t="s">
        <v>24</v>
      </c>
      <c r="AC2135" s="1" t="s">
        <v>24</v>
      </c>
      <c r="AD2135" s="1" t="s">
        <v>24</v>
      </c>
      <c r="AE2135" s="1" t="s">
        <v>24</v>
      </c>
      <c r="AF2135" s="22" t="s">
        <v>17703</v>
      </c>
    </row>
    <row r="2136" spans="1:32" x14ac:dyDescent="0.2">
      <c r="A2136" s="1">
        <v>11657</v>
      </c>
      <c r="B2136" s="1" t="s">
        <v>6816</v>
      </c>
      <c r="C2136" s="5" t="s">
        <v>0</v>
      </c>
      <c r="D2136" s="1" t="s">
        <v>6817</v>
      </c>
      <c r="F2136" s="1" t="s">
        <v>1412</v>
      </c>
      <c r="G2136" s="1" t="s">
        <v>1413</v>
      </c>
      <c r="H2136" s="1" t="s">
        <v>30</v>
      </c>
      <c r="I2136" s="1" t="s">
        <v>16</v>
      </c>
      <c r="J2136" s="1">
        <v>1</v>
      </c>
      <c r="K2136" s="1">
        <v>6</v>
      </c>
      <c r="L2136" s="1" t="s">
        <v>31</v>
      </c>
      <c r="M2136" s="1" t="s">
        <v>18</v>
      </c>
      <c r="N2136" s="1" t="s">
        <v>18</v>
      </c>
      <c r="O2136" s="1">
        <v>3</v>
      </c>
      <c r="P2136" s="1">
        <v>7</v>
      </c>
      <c r="Q2136" s="7" t="s">
        <v>17633</v>
      </c>
      <c r="R2136" s="1" t="s">
        <v>19</v>
      </c>
      <c r="S2136" s="1" t="s">
        <v>63</v>
      </c>
      <c r="T2136" s="1" t="s">
        <v>21</v>
      </c>
      <c r="U2136" s="1" t="s">
        <v>22</v>
      </c>
      <c r="V2136" s="1" t="s">
        <v>24</v>
      </c>
      <c r="W2136" s="1" t="s">
        <v>24</v>
      </c>
      <c r="X2136" s="1">
        <v>3004</v>
      </c>
      <c r="Y2136" s="1">
        <v>3002</v>
      </c>
      <c r="Z2136" s="1">
        <v>3005</v>
      </c>
      <c r="AA2136" s="1">
        <v>1604</v>
      </c>
      <c r="AB2136" s="1" t="s">
        <v>24</v>
      </c>
      <c r="AC2136" s="1" t="s">
        <v>24</v>
      </c>
      <c r="AD2136" s="1" t="s">
        <v>24</v>
      </c>
      <c r="AE2136" s="1" t="s">
        <v>24</v>
      </c>
      <c r="AF2136" s="22"/>
    </row>
    <row r="2137" spans="1:32" x14ac:dyDescent="0.2">
      <c r="A2137" s="1">
        <v>11658</v>
      </c>
      <c r="B2137" s="1" t="s">
        <v>6818</v>
      </c>
      <c r="C2137" s="5" t="s">
        <v>0</v>
      </c>
      <c r="D2137" s="1" t="s">
        <v>6819</v>
      </c>
      <c r="E2137" s="1" t="s">
        <v>6820</v>
      </c>
      <c r="F2137" s="1" t="s">
        <v>60</v>
      </c>
      <c r="G2137" s="1" t="s">
        <v>61</v>
      </c>
      <c r="H2137" s="1" t="s">
        <v>30</v>
      </c>
      <c r="I2137" s="1" t="s">
        <v>16</v>
      </c>
      <c r="J2137" s="1">
        <v>3</v>
      </c>
      <c r="K2137" s="1">
        <v>3</v>
      </c>
      <c r="L2137" s="1" t="s">
        <v>31</v>
      </c>
      <c r="M2137" s="1" t="s">
        <v>18</v>
      </c>
      <c r="N2137" s="1" t="s">
        <v>18</v>
      </c>
      <c r="O2137" s="1">
        <v>3</v>
      </c>
      <c r="P2137" s="1">
        <v>7</v>
      </c>
      <c r="Q2137" s="7" t="s">
        <v>17633</v>
      </c>
      <c r="R2137" s="1" t="s">
        <v>19</v>
      </c>
      <c r="S2137" s="1" t="s">
        <v>63</v>
      </c>
      <c r="T2137" s="1" t="s">
        <v>21</v>
      </c>
      <c r="U2137" s="1" t="s">
        <v>22</v>
      </c>
      <c r="V2137" s="1" t="s">
        <v>23</v>
      </c>
      <c r="W2137" s="1" t="s">
        <v>24</v>
      </c>
      <c r="X2137" s="1">
        <v>2805</v>
      </c>
      <c r="Y2137" s="1">
        <v>3205</v>
      </c>
      <c r="Z2137" s="1">
        <v>3206</v>
      </c>
      <c r="AA2137" s="1">
        <v>1201</v>
      </c>
      <c r="AB2137" s="1">
        <v>3204</v>
      </c>
      <c r="AC2137" s="1" t="s">
        <v>24</v>
      </c>
      <c r="AD2137" s="1" t="s">
        <v>24</v>
      </c>
      <c r="AE2137" s="1" t="s">
        <v>24</v>
      </c>
      <c r="AF2137" s="22"/>
    </row>
    <row r="2138" spans="1:32" x14ac:dyDescent="0.2">
      <c r="A2138" s="1">
        <v>11660</v>
      </c>
      <c r="B2138" s="1" t="s">
        <v>6821</v>
      </c>
      <c r="C2138" s="5" t="s">
        <v>0</v>
      </c>
      <c r="D2138" s="1" t="s">
        <v>6822</v>
      </c>
      <c r="F2138" s="1" t="s">
        <v>6823</v>
      </c>
      <c r="G2138" s="1" t="s">
        <v>6824</v>
      </c>
      <c r="H2138" s="1" t="s">
        <v>30</v>
      </c>
      <c r="I2138" s="1" t="s">
        <v>16</v>
      </c>
      <c r="J2138" s="1">
        <v>1</v>
      </c>
      <c r="K2138" s="1">
        <v>1</v>
      </c>
      <c r="L2138" s="1" t="s">
        <v>31</v>
      </c>
      <c r="M2138" s="1" t="s">
        <v>18</v>
      </c>
      <c r="N2138" s="1" t="s">
        <v>18</v>
      </c>
      <c r="O2138" s="1">
        <v>3</v>
      </c>
      <c r="P2138" s="1">
        <v>6</v>
      </c>
      <c r="R2138" s="1" t="s">
        <v>19</v>
      </c>
      <c r="S2138" s="1" t="s">
        <v>20</v>
      </c>
      <c r="T2138" s="1" t="s">
        <v>21</v>
      </c>
      <c r="U2138" s="1" t="s">
        <v>22</v>
      </c>
      <c r="V2138" s="1" t="s">
        <v>23</v>
      </c>
      <c r="W2138" s="1" t="s">
        <v>24</v>
      </c>
      <c r="X2138" s="1">
        <v>2403</v>
      </c>
      <c r="Y2138" s="1" t="s">
        <v>24</v>
      </c>
      <c r="Z2138" s="1" t="s">
        <v>24</v>
      </c>
      <c r="AA2138" s="1" t="s">
        <v>24</v>
      </c>
      <c r="AB2138" s="1" t="s">
        <v>24</v>
      </c>
      <c r="AC2138" s="1" t="s">
        <v>24</v>
      </c>
      <c r="AD2138" s="1" t="s">
        <v>24</v>
      </c>
      <c r="AE2138" s="1" t="s">
        <v>24</v>
      </c>
      <c r="AF2138" s="22"/>
    </row>
    <row r="2139" spans="1:32" x14ac:dyDescent="0.2">
      <c r="A2139" s="1">
        <v>11662</v>
      </c>
      <c r="B2139" s="1" t="s">
        <v>6825</v>
      </c>
      <c r="C2139" s="5" t="s">
        <v>0</v>
      </c>
      <c r="D2139" s="1" t="s">
        <v>6826</v>
      </c>
      <c r="E2139" s="1" t="s">
        <v>6827</v>
      </c>
      <c r="F2139" s="1" t="s">
        <v>28</v>
      </c>
      <c r="G2139" s="1" t="s">
        <v>29</v>
      </c>
      <c r="H2139" s="1" t="s">
        <v>30</v>
      </c>
      <c r="I2139" s="1" t="s">
        <v>16</v>
      </c>
      <c r="J2139" s="1">
        <v>1</v>
      </c>
      <c r="K2139" s="1">
        <v>6</v>
      </c>
      <c r="L2139" s="1" t="s">
        <v>31</v>
      </c>
      <c r="M2139" s="1" t="s">
        <v>18</v>
      </c>
      <c r="N2139" s="1" t="s">
        <v>18</v>
      </c>
      <c r="O2139" s="1">
        <v>3</v>
      </c>
      <c r="P2139" s="1">
        <v>7</v>
      </c>
      <c r="Q2139" s="7" t="s">
        <v>17633</v>
      </c>
      <c r="R2139" s="1" t="s">
        <v>62</v>
      </c>
      <c r="S2139" s="1" t="s">
        <v>20</v>
      </c>
      <c r="T2139" s="1" t="s">
        <v>21</v>
      </c>
      <c r="U2139" s="1" t="s">
        <v>22</v>
      </c>
      <c r="V2139" s="1" t="s">
        <v>23</v>
      </c>
      <c r="W2139" s="1" t="s">
        <v>24</v>
      </c>
      <c r="X2139" s="1">
        <v>2720</v>
      </c>
      <c r="Y2139" s="1" t="s">
        <v>24</v>
      </c>
      <c r="Z2139" s="1" t="s">
        <v>24</v>
      </c>
      <c r="AA2139" s="1" t="s">
        <v>24</v>
      </c>
      <c r="AB2139" s="1" t="s">
        <v>24</v>
      </c>
      <c r="AC2139" s="1" t="s">
        <v>24</v>
      </c>
      <c r="AD2139" s="1" t="s">
        <v>24</v>
      </c>
      <c r="AE2139" s="1" t="s">
        <v>24</v>
      </c>
      <c r="AF2139" s="22"/>
    </row>
    <row r="2140" spans="1:32" x14ac:dyDescent="0.2">
      <c r="A2140" s="1">
        <v>11669</v>
      </c>
      <c r="B2140" s="1" t="s">
        <v>6828</v>
      </c>
      <c r="C2140" s="5" t="s">
        <v>0</v>
      </c>
      <c r="D2140" s="1" t="s">
        <v>6829</v>
      </c>
      <c r="E2140" s="1" t="s">
        <v>6830</v>
      </c>
      <c r="F2140" s="1" t="s">
        <v>689</v>
      </c>
      <c r="G2140" s="1" t="s">
        <v>311</v>
      </c>
      <c r="H2140" s="1" t="s">
        <v>37</v>
      </c>
      <c r="I2140" s="1" t="s">
        <v>16</v>
      </c>
      <c r="J2140" s="1">
        <v>1</v>
      </c>
      <c r="K2140" s="1">
        <v>6</v>
      </c>
      <c r="L2140" s="1" t="s">
        <v>31</v>
      </c>
      <c r="M2140" s="1" t="s">
        <v>18</v>
      </c>
      <c r="N2140" s="1" t="s">
        <v>18</v>
      </c>
      <c r="O2140" s="1">
        <v>3</v>
      </c>
      <c r="P2140" s="1">
        <v>6</v>
      </c>
      <c r="R2140" s="1" t="s">
        <v>19</v>
      </c>
      <c r="S2140" s="1" t="s">
        <v>20</v>
      </c>
      <c r="T2140" s="1" t="s">
        <v>21</v>
      </c>
      <c r="U2140" s="1" t="s">
        <v>22</v>
      </c>
      <c r="V2140" s="1" t="s">
        <v>23</v>
      </c>
      <c r="W2140" s="1" t="s">
        <v>24</v>
      </c>
      <c r="X2140" s="1">
        <v>2728</v>
      </c>
      <c r="Y2140" s="1">
        <v>1201</v>
      </c>
      <c r="Z2140" s="1" t="s">
        <v>24</v>
      </c>
      <c r="AA2140" s="1" t="s">
        <v>24</v>
      </c>
      <c r="AB2140" s="1" t="s">
        <v>24</v>
      </c>
      <c r="AC2140" s="1" t="s">
        <v>24</v>
      </c>
      <c r="AD2140" s="1" t="s">
        <v>24</v>
      </c>
      <c r="AE2140" s="1" t="s">
        <v>24</v>
      </c>
      <c r="AF2140" s="22"/>
    </row>
    <row r="2141" spans="1:32" x14ac:dyDescent="0.2">
      <c r="A2141" s="1">
        <v>11675</v>
      </c>
      <c r="B2141" s="1" t="s">
        <v>6831</v>
      </c>
      <c r="C2141" s="5" t="s">
        <v>0</v>
      </c>
      <c r="D2141" s="1" t="s">
        <v>6832</v>
      </c>
      <c r="E2141" s="1" t="s">
        <v>6833</v>
      </c>
      <c r="F2141" s="1" t="s">
        <v>6834</v>
      </c>
      <c r="G2141" s="1" t="s">
        <v>6834</v>
      </c>
      <c r="H2141" s="1" t="s">
        <v>30</v>
      </c>
      <c r="I2141" s="1" t="s">
        <v>16</v>
      </c>
      <c r="J2141" s="1">
        <v>1</v>
      </c>
      <c r="K2141" s="1">
        <v>6</v>
      </c>
      <c r="L2141" s="1" t="s">
        <v>42</v>
      </c>
      <c r="M2141" s="1" t="s">
        <v>18</v>
      </c>
      <c r="N2141" s="1" t="s">
        <v>18</v>
      </c>
      <c r="O2141" s="1">
        <v>3</v>
      </c>
      <c r="P2141" s="1">
        <v>6</v>
      </c>
      <c r="R2141" s="1" t="s">
        <v>19</v>
      </c>
      <c r="S2141" s="1" t="s">
        <v>20</v>
      </c>
      <c r="T2141" s="1" t="s">
        <v>21</v>
      </c>
      <c r="U2141" s="1" t="s">
        <v>22</v>
      </c>
      <c r="V2141" s="1" t="s">
        <v>24</v>
      </c>
      <c r="W2141" s="1" t="s">
        <v>24</v>
      </c>
      <c r="X2141" s="1">
        <v>2723</v>
      </c>
      <c r="Y2141" s="1">
        <v>2740</v>
      </c>
      <c r="Z2141" s="1" t="s">
        <v>24</v>
      </c>
      <c r="AA2141" s="1" t="s">
        <v>24</v>
      </c>
      <c r="AB2141" s="1" t="s">
        <v>24</v>
      </c>
      <c r="AC2141" s="1" t="s">
        <v>24</v>
      </c>
      <c r="AD2141" s="1" t="s">
        <v>24</v>
      </c>
      <c r="AE2141" s="1" t="s">
        <v>24</v>
      </c>
      <c r="AF2141" s="22"/>
    </row>
    <row r="2142" spans="1:32" x14ac:dyDescent="0.2">
      <c r="A2142" s="1">
        <v>11679</v>
      </c>
      <c r="B2142" s="1" t="s">
        <v>6835</v>
      </c>
      <c r="C2142" s="5" t="s">
        <v>0</v>
      </c>
      <c r="D2142" s="1" t="s">
        <v>6836</v>
      </c>
      <c r="E2142" s="1" t="s">
        <v>6837</v>
      </c>
      <c r="F2142" s="1" t="s">
        <v>6838</v>
      </c>
      <c r="G2142" s="1" t="s">
        <v>80</v>
      </c>
      <c r="H2142" s="1" t="s">
        <v>30</v>
      </c>
      <c r="I2142" s="1" t="s">
        <v>16</v>
      </c>
      <c r="J2142" s="1">
        <v>1</v>
      </c>
      <c r="K2142" s="1">
        <v>4</v>
      </c>
      <c r="L2142" s="1" t="s">
        <v>31</v>
      </c>
      <c r="M2142" s="1" t="s">
        <v>18</v>
      </c>
      <c r="N2142" s="1" t="s">
        <v>18</v>
      </c>
      <c r="O2142" s="1">
        <v>3</v>
      </c>
      <c r="P2142" s="1">
        <v>6</v>
      </c>
      <c r="R2142" s="1" t="s">
        <v>19</v>
      </c>
      <c r="S2142" s="1" t="s">
        <v>20</v>
      </c>
      <c r="T2142" s="1" t="s">
        <v>21</v>
      </c>
      <c r="U2142" s="1" t="s">
        <v>22</v>
      </c>
      <c r="V2142" s="1" t="s">
        <v>23</v>
      </c>
      <c r="W2142" s="1" t="s">
        <v>24</v>
      </c>
      <c r="X2142" s="1">
        <v>2728</v>
      </c>
      <c r="Y2142" s="1">
        <v>2742</v>
      </c>
      <c r="Z2142" s="1">
        <v>2905</v>
      </c>
      <c r="AA2142" s="1" t="s">
        <v>24</v>
      </c>
      <c r="AB2142" s="1" t="s">
        <v>24</v>
      </c>
      <c r="AC2142" s="1" t="s">
        <v>24</v>
      </c>
      <c r="AD2142" s="1" t="s">
        <v>24</v>
      </c>
      <c r="AE2142" s="1" t="s">
        <v>24</v>
      </c>
      <c r="AF2142" s="22"/>
    </row>
    <row r="2143" spans="1:32" x14ac:dyDescent="0.2">
      <c r="A2143" s="1">
        <v>11682</v>
      </c>
      <c r="B2143" s="1" t="s">
        <v>6839</v>
      </c>
      <c r="C2143" s="5" t="s">
        <v>0</v>
      </c>
      <c r="D2143" s="1" t="s">
        <v>6840</v>
      </c>
      <c r="E2143" s="1" t="s">
        <v>6841</v>
      </c>
      <c r="F2143" s="1" t="s">
        <v>303</v>
      </c>
      <c r="G2143" s="1" t="s">
        <v>61</v>
      </c>
      <c r="H2143" s="1" t="s">
        <v>30</v>
      </c>
      <c r="I2143" s="1" t="s">
        <v>16</v>
      </c>
      <c r="J2143" s="1">
        <v>1</v>
      </c>
      <c r="K2143" s="1">
        <v>4</v>
      </c>
      <c r="L2143" s="1" t="s">
        <v>31</v>
      </c>
      <c r="M2143" s="1" t="s">
        <v>18</v>
      </c>
      <c r="N2143" s="1" t="s">
        <v>18</v>
      </c>
      <c r="O2143" s="1">
        <v>3</v>
      </c>
      <c r="P2143" s="1">
        <v>6</v>
      </c>
      <c r="R2143" s="1" t="s">
        <v>19</v>
      </c>
      <c r="S2143" s="1" t="s">
        <v>20</v>
      </c>
      <c r="T2143" s="1" t="s">
        <v>21</v>
      </c>
      <c r="U2143" s="1" t="s">
        <v>22</v>
      </c>
      <c r="V2143" s="1" t="s">
        <v>23</v>
      </c>
      <c r="W2143" s="1" t="s">
        <v>24</v>
      </c>
      <c r="X2143" s="1">
        <v>2730</v>
      </c>
      <c r="Y2143" s="1">
        <v>2746</v>
      </c>
      <c r="Z2143" s="1" t="s">
        <v>24</v>
      </c>
      <c r="AA2143" s="1" t="s">
        <v>24</v>
      </c>
      <c r="AB2143" s="1" t="s">
        <v>24</v>
      </c>
      <c r="AC2143" s="1" t="s">
        <v>24</v>
      </c>
      <c r="AD2143" s="1" t="s">
        <v>24</v>
      </c>
      <c r="AE2143" s="1" t="s">
        <v>24</v>
      </c>
      <c r="AF2143" s="22"/>
    </row>
    <row r="2144" spans="1:32" x14ac:dyDescent="0.2">
      <c r="A2144" s="1">
        <v>11683</v>
      </c>
      <c r="B2144" s="1" t="s">
        <v>6842</v>
      </c>
      <c r="C2144" s="5" t="s">
        <v>0</v>
      </c>
      <c r="D2144" s="1" t="s">
        <v>6843</v>
      </c>
      <c r="E2144" s="1" t="s">
        <v>6844</v>
      </c>
      <c r="F2144" s="1" t="s">
        <v>303</v>
      </c>
      <c r="G2144" s="1" t="s">
        <v>61</v>
      </c>
      <c r="H2144" s="1" t="s">
        <v>30</v>
      </c>
      <c r="I2144" s="1" t="s">
        <v>16</v>
      </c>
      <c r="J2144" s="1">
        <v>1</v>
      </c>
      <c r="K2144" s="1">
        <v>4</v>
      </c>
      <c r="L2144" s="1" t="s">
        <v>31</v>
      </c>
      <c r="M2144" s="1" t="s">
        <v>18</v>
      </c>
      <c r="N2144" s="1" t="s">
        <v>18</v>
      </c>
      <c r="O2144" s="1">
        <v>3</v>
      </c>
      <c r="P2144" s="1">
        <v>6</v>
      </c>
      <c r="R2144" s="1" t="s">
        <v>19</v>
      </c>
      <c r="S2144" s="1" t="s">
        <v>20</v>
      </c>
      <c r="T2144" s="1" t="s">
        <v>21</v>
      </c>
      <c r="U2144" s="1" t="s">
        <v>22</v>
      </c>
      <c r="V2144" s="1" t="s">
        <v>23</v>
      </c>
      <c r="W2144" s="1" t="s">
        <v>24</v>
      </c>
      <c r="X2144" s="1">
        <v>2741</v>
      </c>
      <c r="Y2144" s="1" t="s">
        <v>24</v>
      </c>
      <c r="Z2144" s="1" t="s">
        <v>24</v>
      </c>
      <c r="AA2144" s="1" t="s">
        <v>24</v>
      </c>
      <c r="AB2144" s="1" t="s">
        <v>24</v>
      </c>
      <c r="AC2144" s="1" t="s">
        <v>24</v>
      </c>
      <c r="AD2144" s="1" t="s">
        <v>24</v>
      </c>
      <c r="AE2144" s="1" t="s">
        <v>24</v>
      </c>
      <c r="AF2144" s="22"/>
    </row>
    <row r="2145" spans="1:32" x14ac:dyDescent="0.2">
      <c r="A2145" s="1">
        <v>11688</v>
      </c>
      <c r="B2145" s="1" t="s">
        <v>6845</v>
      </c>
      <c r="C2145" s="5" t="s">
        <v>0</v>
      </c>
      <c r="D2145" s="1" t="s">
        <v>6846</v>
      </c>
      <c r="E2145" s="1" t="s">
        <v>6847</v>
      </c>
      <c r="F2145" s="1" t="s">
        <v>493</v>
      </c>
      <c r="G2145" s="1" t="s">
        <v>98</v>
      </c>
      <c r="H2145" s="1" t="s">
        <v>30</v>
      </c>
      <c r="I2145" s="1" t="s">
        <v>16</v>
      </c>
      <c r="J2145" s="1">
        <v>1</v>
      </c>
      <c r="K2145" s="1">
        <v>6</v>
      </c>
      <c r="L2145" s="1" t="s">
        <v>31</v>
      </c>
      <c r="M2145" s="1" t="s">
        <v>18</v>
      </c>
      <c r="N2145" s="1" t="s">
        <v>18</v>
      </c>
      <c r="O2145" s="1">
        <v>3</v>
      </c>
      <c r="P2145" s="1">
        <v>6</v>
      </c>
      <c r="R2145" s="1" t="s">
        <v>19</v>
      </c>
      <c r="S2145" s="1" t="s">
        <v>20</v>
      </c>
      <c r="T2145" s="1" t="s">
        <v>21</v>
      </c>
      <c r="U2145" s="1" t="s">
        <v>22</v>
      </c>
      <c r="V2145" s="1" t="s">
        <v>24</v>
      </c>
      <c r="W2145" s="1" t="s">
        <v>24</v>
      </c>
      <c r="X2145" s="1">
        <v>2736</v>
      </c>
      <c r="Y2145" s="1" t="s">
        <v>24</v>
      </c>
      <c r="Z2145" s="1" t="s">
        <v>24</v>
      </c>
      <c r="AA2145" s="1" t="s">
        <v>24</v>
      </c>
      <c r="AB2145" s="1" t="s">
        <v>24</v>
      </c>
      <c r="AC2145" s="1" t="s">
        <v>24</v>
      </c>
      <c r="AD2145" s="1" t="s">
        <v>24</v>
      </c>
      <c r="AE2145" s="1" t="s">
        <v>24</v>
      </c>
      <c r="AF2145" s="22"/>
    </row>
    <row r="2146" spans="1:32" x14ac:dyDescent="0.2">
      <c r="A2146" s="1">
        <v>11689</v>
      </c>
      <c r="B2146" s="1" t="s">
        <v>6848</v>
      </c>
      <c r="C2146" s="5" t="s">
        <v>0</v>
      </c>
      <c r="D2146" s="1" t="s">
        <v>6849</v>
      </c>
      <c r="E2146" s="1" t="s">
        <v>6850</v>
      </c>
      <c r="F2146" s="1" t="s">
        <v>315</v>
      </c>
      <c r="G2146" s="1" t="s">
        <v>316</v>
      </c>
      <c r="H2146" s="1" t="s">
        <v>37</v>
      </c>
      <c r="I2146" s="1" t="s">
        <v>16</v>
      </c>
      <c r="J2146" s="1">
        <v>1</v>
      </c>
      <c r="K2146" s="1">
        <v>12</v>
      </c>
      <c r="L2146" s="1" t="s">
        <v>31</v>
      </c>
      <c r="M2146" s="1" t="s">
        <v>18</v>
      </c>
      <c r="N2146" s="1" t="s">
        <v>18</v>
      </c>
      <c r="O2146" s="1">
        <v>3</v>
      </c>
      <c r="P2146" s="1">
        <v>7</v>
      </c>
      <c r="Q2146" s="7" t="s">
        <v>17633</v>
      </c>
      <c r="R2146" s="1" t="s">
        <v>62</v>
      </c>
      <c r="S2146" s="1" t="s">
        <v>20</v>
      </c>
      <c r="T2146" s="1" t="s">
        <v>21</v>
      </c>
      <c r="U2146" s="1" t="s">
        <v>22</v>
      </c>
      <c r="V2146" s="1" t="s">
        <v>24</v>
      </c>
      <c r="W2146" s="1" t="s">
        <v>64</v>
      </c>
      <c r="X2146" s="1">
        <v>1307</v>
      </c>
      <c r="Y2146" s="1">
        <v>1312</v>
      </c>
      <c r="Z2146" s="1" t="s">
        <v>24</v>
      </c>
      <c r="AA2146" s="1" t="s">
        <v>24</v>
      </c>
      <c r="AB2146" s="1" t="s">
        <v>24</v>
      </c>
      <c r="AC2146" s="1" t="s">
        <v>24</v>
      </c>
      <c r="AD2146" s="1" t="s">
        <v>24</v>
      </c>
      <c r="AE2146" s="1" t="s">
        <v>24</v>
      </c>
      <c r="AF2146" s="22"/>
    </row>
    <row r="2147" spans="1:32" x14ac:dyDescent="0.2">
      <c r="A2147" s="1">
        <v>11696</v>
      </c>
      <c r="B2147" s="1" t="s">
        <v>6851</v>
      </c>
      <c r="C2147" s="5" t="s">
        <v>0</v>
      </c>
      <c r="D2147" s="1" t="s">
        <v>6852</v>
      </c>
      <c r="E2147" s="1" t="s">
        <v>6853</v>
      </c>
      <c r="F2147" s="1" t="s">
        <v>6854</v>
      </c>
      <c r="G2147" s="1" t="s">
        <v>80</v>
      </c>
      <c r="H2147" s="1" t="s">
        <v>731</v>
      </c>
      <c r="I2147" s="1" t="s">
        <v>16</v>
      </c>
      <c r="J2147" s="1">
        <v>1</v>
      </c>
      <c r="K2147" s="1">
        <v>4</v>
      </c>
      <c r="L2147" s="1" t="s">
        <v>31</v>
      </c>
      <c r="M2147" s="1" t="s">
        <v>18</v>
      </c>
      <c r="N2147" s="1" t="s">
        <v>18</v>
      </c>
      <c r="O2147" s="1">
        <v>3</v>
      </c>
      <c r="P2147" s="1">
        <v>6</v>
      </c>
      <c r="R2147" s="1" t="s">
        <v>19</v>
      </c>
      <c r="S2147" s="1" t="s">
        <v>20</v>
      </c>
      <c r="T2147" s="1" t="s">
        <v>21</v>
      </c>
      <c r="U2147" s="1" t="s">
        <v>22</v>
      </c>
      <c r="V2147" s="1" t="s">
        <v>23</v>
      </c>
      <c r="W2147" s="1" t="s">
        <v>24</v>
      </c>
      <c r="X2147" s="1">
        <v>2738</v>
      </c>
      <c r="Y2147" s="1">
        <v>3201</v>
      </c>
      <c r="Z2147" s="1" t="s">
        <v>24</v>
      </c>
      <c r="AA2147" s="1" t="s">
        <v>24</v>
      </c>
      <c r="AB2147" s="1" t="s">
        <v>24</v>
      </c>
      <c r="AC2147" s="1" t="s">
        <v>24</v>
      </c>
      <c r="AD2147" s="1" t="s">
        <v>24</v>
      </c>
      <c r="AE2147" s="1" t="s">
        <v>24</v>
      </c>
      <c r="AF2147" s="22"/>
    </row>
    <row r="2148" spans="1:32" x14ac:dyDescent="0.2">
      <c r="A2148" s="1">
        <v>11702</v>
      </c>
      <c r="B2148" s="1" t="s">
        <v>6855</v>
      </c>
      <c r="C2148" s="5" t="s">
        <v>0</v>
      </c>
      <c r="D2148" s="1" t="s">
        <v>6856</v>
      </c>
      <c r="F2148" s="1" t="s">
        <v>955</v>
      </c>
      <c r="G2148" s="1" t="s">
        <v>955</v>
      </c>
      <c r="H2148" s="1" t="s">
        <v>111</v>
      </c>
      <c r="I2148" s="1" t="s">
        <v>16</v>
      </c>
      <c r="J2148" s="1">
        <v>1</v>
      </c>
      <c r="K2148" s="1">
        <v>4</v>
      </c>
      <c r="L2148" s="1" t="s">
        <v>42</v>
      </c>
      <c r="M2148" s="1" t="s">
        <v>18</v>
      </c>
      <c r="N2148" s="1" t="s">
        <v>18</v>
      </c>
      <c r="O2148" s="1">
        <v>0</v>
      </c>
      <c r="P2148" s="1">
        <v>6</v>
      </c>
      <c r="R2148" s="1" t="s">
        <v>19</v>
      </c>
      <c r="S2148" s="1" t="s">
        <v>20</v>
      </c>
      <c r="T2148" s="1" t="s">
        <v>21</v>
      </c>
      <c r="U2148" s="1" t="s">
        <v>22</v>
      </c>
      <c r="V2148" s="1" t="s">
        <v>23</v>
      </c>
      <c r="W2148" s="1" t="s">
        <v>24</v>
      </c>
      <c r="X2148" s="1">
        <v>2736</v>
      </c>
      <c r="Y2148" s="1">
        <v>2739</v>
      </c>
      <c r="Z2148" s="1" t="s">
        <v>24</v>
      </c>
      <c r="AA2148" s="1" t="s">
        <v>24</v>
      </c>
      <c r="AB2148" s="1" t="s">
        <v>24</v>
      </c>
      <c r="AC2148" s="1" t="s">
        <v>24</v>
      </c>
      <c r="AD2148" s="1" t="s">
        <v>24</v>
      </c>
      <c r="AE2148" s="1" t="s">
        <v>24</v>
      </c>
      <c r="AF2148" s="22"/>
    </row>
    <row r="2149" spans="1:32" x14ac:dyDescent="0.2">
      <c r="A2149" s="1">
        <v>11708</v>
      </c>
      <c r="B2149" s="1" t="s">
        <v>6857</v>
      </c>
      <c r="C2149" s="5" t="s">
        <v>0</v>
      </c>
      <c r="D2149" s="1" t="s">
        <v>6858</v>
      </c>
      <c r="E2149" s="1" t="s">
        <v>6859</v>
      </c>
      <c r="F2149" s="1" t="s">
        <v>190</v>
      </c>
      <c r="G2149" s="1" t="s">
        <v>130</v>
      </c>
      <c r="H2149" s="1" t="s">
        <v>30</v>
      </c>
      <c r="I2149" s="1" t="s">
        <v>16</v>
      </c>
      <c r="J2149" s="1">
        <v>1</v>
      </c>
      <c r="K2149" s="1">
        <v>12</v>
      </c>
      <c r="L2149" s="1" t="s">
        <v>31</v>
      </c>
      <c r="M2149" s="1" t="s">
        <v>18</v>
      </c>
      <c r="N2149" s="1" t="s">
        <v>18</v>
      </c>
      <c r="O2149" s="1">
        <v>3</v>
      </c>
      <c r="P2149" s="1">
        <v>6</v>
      </c>
      <c r="R2149" s="1" t="s">
        <v>62</v>
      </c>
      <c r="S2149" s="1" t="s">
        <v>20</v>
      </c>
      <c r="T2149" s="1" t="s">
        <v>21</v>
      </c>
      <c r="U2149" s="1" t="s">
        <v>22</v>
      </c>
      <c r="V2149" s="1" t="s">
        <v>24</v>
      </c>
      <c r="W2149" s="1" t="s">
        <v>64</v>
      </c>
      <c r="X2149" s="1">
        <v>1315</v>
      </c>
      <c r="Y2149" s="1">
        <v>1607</v>
      </c>
      <c r="Z2149" s="1" t="s">
        <v>24</v>
      </c>
      <c r="AA2149" s="1" t="s">
        <v>24</v>
      </c>
      <c r="AB2149" s="1" t="s">
        <v>24</v>
      </c>
      <c r="AC2149" s="1" t="s">
        <v>24</v>
      </c>
      <c r="AD2149" s="1" t="s">
        <v>24</v>
      </c>
      <c r="AE2149" s="1" t="s">
        <v>24</v>
      </c>
      <c r="AF2149" s="22"/>
    </row>
    <row r="2150" spans="1:32" x14ac:dyDescent="0.2">
      <c r="A2150" s="1">
        <v>11709</v>
      </c>
      <c r="B2150" s="1" t="s">
        <v>6860</v>
      </c>
      <c r="C2150" s="5" t="s">
        <v>0</v>
      </c>
      <c r="D2150" s="1" t="s">
        <v>6861</v>
      </c>
      <c r="E2150" s="1" t="s">
        <v>6862</v>
      </c>
      <c r="F2150" s="1" t="s">
        <v>6863</v>
      </c>
      <c r="G2150" s="1" t="s">
        <v>372</v>
      </c>
      <c r="H2150" s="1" t="s">
        <v>168</v>
      </c>
      <c r="I2150" s="1" t="s">
        <v>16</v>
      </c>
      <c r="J2150" s="1">
        <v>1</v>
      </c>
      <c r="K2150" s="1">
        <v>12</v>
      </c>
      <c r="L2150" s="1" t="s">
        <v>31</v>
      </c>
      <c r="M2150" s="1" t="s">
        <v>413</v>
      </c>
      <c r="N2150" s="1" t="s">
        <v>413</v>
      </c>
      <c r="O2150" s="1">
        <v>0</v>
      </c>
      <c r="P2150" s="1">
        <v>5</v>
      </c>
      <c r="R2150" s="1" t="s">
        <v>19</v>
      </c>
      <c r="S2150" s="1" t="s">
        <v>63</v>
      </c>
      <c r="T2150" s="1" t="s">
        <v>21</v>
      </c>
      <c r="U2150" s="1" t="s">
        <v>22</v>
      </c>
      <c r="V2150" s="1" t="s">
        <v>24</v>
      </c>
      <c r="W2150" s="1" t="s">
        <v>24</v>
      </c>
      <c r="X2150" s="1">
        <v>2700</v>
      </c>
      <c r="Y2150" s="1" t="s">
        <v>24</v>
      </c>
      <c r="Z2150" s="1" t="s">
        <v>24</v>
      </c>
      <c r="AA2150" s="1" t="s">
        <v>24</v>
      </c>
      <c r="AB2150" s="1" t="s">
        <v>24</v>
      </c>
      <c r="AC2150" s="1" t="s">
        <v>24</v>
      </c>
      <c r="AD2150" s="1" t="s">
        <v>24</v>
      </c>
      <c r="AE2150" s="1" t="s">
        <v>24</v>
      </c>
      <c r="AF2150" s="22"/>
    </row>
    <row r="2151" spans="1:32" x14ac:dyDescent="0.2">
      <c r="A2151" s="1">
        <v>11710</v>
      </c>
      <c r="B2151" s="1" t="s">
        <v>6864</v>
      </c>
      <c r="C2151" s="5" t="s">
        <v>0</v>
      </c>
      <c r="D2151" s="1" t="s">
        <v>6865</v>
      </c>
      <c r="F2151" s="1" t="s">
        <v>6866</v>
      </c>
      <c r="G2151" s="1" t="s">
        <v>6867</v>
      </c>
      <c r="H2151" s="1" t="s">
        <v>445</v>
      </c>
      <c r="I2151" s="1" t="s">
        <v>16</v>
      </c>
      <c r="J2151" s="1">
        <v>1</v>
      </c>
      <c r="K2151" s="1">
        <v>6</v>
      </c>
      <c r="L2151" s="1" t="s">
        <v>42</v>
      </c>
      <c r="M2151" s="1" t="s">
        <v>6868</v>
      </c>
      <c r="N2151" s="1" t="s">
        <v>6868</v>
      </c>
      <c r="O2151" s="1">
        <v>3</v>
      </c>
      <c r="P2151" s="1">
        <v>5</v>
      </c>
      <c r="R2151" s="1" t="s">
        <v>19</v>
      </c>
      <c r="S2151" s="1" t="s">
        <v>20</v>
      </c>
      <c r="T2151" s="1" t="s">
        <v>21</v>
      </c>
      <c r="U2151" s="1" t="s">
        <v>22</v>
      </c>
      <c r="V2151" s="1" t="s">
        <v>24</v>
      </c>
      <c r="W2151" s="1" t="s">
        <v>24</v>
      </c>
      <c r="X2151" s="1">
        <v>2700</v>
      </c>
      <c r="Y2151" s="1" t="s">
        <v>24</v>
      </c>
      <c r="Z2151" s="1" t="s">
        <v>24</v>
      </c>
      <c r="AA2151" s="1" t="s">
        <v>24</v>
      </c>
      <c r="AB2151" s="1" t="s">
        <v>24</v>
      </c>
      <c r="AC2151" s="1" t="s">
        <v>24</v>
      </c>
      <c r="AD2151" s="1" t="s">
        <v>24</v>
      </c>
      <c r="AE2151" s="1" t="s">
        <v>24</v>
      </c>
      <c r="AF2151" s="22"/>
    </row>
    <row r="2152" spans="1:32" x14ac:dyDescent="0.2">
      <c r="A2152" s="1">
        <v>11713</v>
      </c>
      <c r="B2152" s="1" t="s">
        <v>6869</v>
      </c>
      <c r="C2152" s="5" t="s">
        <v>0</v>
      </c>
      <c r="D2152" s="1" t="s">
        <v>6870</v>
      </c>
      <c r="E2152" s="1" t="s">
        <v>6871</v>
      </c>
      <c r="F2152" s="1" t="s">
        <v>1307</v>
      </c>
      <c r="G2152" s="1" t="s">
        <v>1307</v>
      </c>
      <c r="H2152" s="1" t="s">
        <v>30</v>
      </c>
      <c r="I2152" s="1" t="s">
        <v>16</v>
      </c>
      <c r="J2152" s="1">
        <v>1</v>
      </c>
      <c r="K2152" s="1">
        <v>12</v>
      </c>
      <c r="L2152" s="1" t="s">
        <v>42</v>
      </c>
      <c r="M2152" s="1" t="s">
        <v>18</v>
      </c>
      <c r="N2152" s="1" t="s">
        <v>18</v>
      </c>
      <c r="O2152" s="1">
        <v>3</v>
      </c>
      <c r="P2152" s="1">
        <v>7</v>
      </c>
      <c r="Q2152" s="7" t="s">
        <v>17633</v>
      </c>
      <c r="R2152" s="1" t="s">
        <v>62</v>
      </c>
      <c r="S2152" s="1" t="s">
        <v>20</v>
      </c>
      <c r="T2152" s="1" t="s">
        <v>21</v>
      </c>
      <c r="U2152" s="1" t="s">
        <v>22</v>
      </c>
      <c r="V2152" s="1" t="s">
        <v>24</v>
      </c>
      <c r="W2152" s="1" t="s">
        <v>24</v>
      </c>
      <c r="X2152" s="1">
        <v>1311</v>
      </c>
      <c r="Y2152" s="1">
        <v>2716</v>
      </c>
      <c r="Z2152" s="1" t="s">
        <v>24</v>
      </c>
      <c r="AA2152" s="1" t="s">
        <v>24</v>
      </c>
      <c r="AB2152" s="1" t="s">
        <v>24</v>
      </c>
      <c r="AC2152" s="1" t="s">
        <v>24</v>
      </c>
      <c r="AD2152" s="1" t="s">
        <v>24</v>
      </c>
      <c r="AE2152" s="1" t="s">
        <v>24</v>
      </c>
      <c r="AF2152" s="22"/>
    </row>
    <row r="2153" spans="1:32" x14ac:dyDescent="0.2">
      <c r="A2153" s="1">
        <v>11715</v>
      </c>
      <c r="B2153" s="1" t="s">
        <v>6872</v>
      </c>
      <c r="C2153" s="5" t="s">
        <v>0</v>
      </c>
      <c r="D2153" s="1" t="s">
        <v>6873</v>
      </c>
      <c r="E2153" s="1" t="s">
        <v>6874</v>
      </c>
      <c r="F2153" s="1" t="s">
        <v>948</v>
      </c>
      <c r="G2153" s="1" t="s">
        <v>948</v>
      </c>
      <c r="H2153" s="1" t="s">
        <v>86</v>
      </c>
      <c r="I2153" s="1" t="s">
        <v>16</v>
      </c>
      <c r="J2153" s="1">
        <v>1</v>
      </c>
      <c r="K2153" s="1">
        <v>10</v>
      </c>
      <c r="L2153" s="1" t="s">
        <v>42</v>
      </c>
      <c r="M2153" s="1" t="s">
        <v>87</v>
      </c>
      <c r="N2153" s="1" t="s">
        <v>87</v>
      </c>
      <c r="O2153" s="1">
        <v>0</v>
      </c>
      <c r="P2153" s="1">
        <v>5</v>
      </c>
      <c r="R2153" s="1" t="s">
        <v>19</v>
      </c>
      <c r="S2153" s="1" t="s">
        <v>20</v>
      </c>
      <c r="T2153" s="1" t="s">
        <v>21</v>
      </c>
      <c r="U2153" s="1" t="s">
        <v>22</v>
      </c>
      <c r="V2153" s="1" t="s">
        <v>24</v>
      </c>
      <c r="W2153" s="1" t="s">
        <v>24</v>
      </c>
      <c r="X2153" s="1">
        <v>2715</v>
      </c>
      <c r="Y2153" s="1">
        <v>2721</v>
      </c>
      <c r="Z2153" s="1" t="s">
        <v>24</v>
      </c>
      <c r="AA2153" s="1" t="s">
        <v>24</v>
      </c>
      <c r="AB2153" s="1" t="s">
        <v>24</v>
      </c>
      <c r="AC2153" s="1" t="s">
        <v>24</v>
      </c>
      <c r="AD2153" s="1" t="s">
        <v>24</v>
      </c>
      <c r="AE2153" s="1" t="s">
        <v>24</v>
      </c>
      <c r="AF2153" s="22"/>
    </row>
    <row r="2154" spans="1:32" x14ac:dyDescent="0.2">
      <c r="A2154" s="1">
        <v>11720</v>
      </c>
      <c r="B2154" s="1" t="s">
        <v>6875</v>
      </c>
      <c r="C2154" s="5" t="s">
        <v>0</v>
      </c>
      <c r="D2154" s="1" t="s">
        <v>6876</v>
      </c>
      <c r="E2154" s="1" t="s">
        <v>6877</v>
      </c>
      <c r="F2154" s="1" t="s">
        <v>159</v>
      </c>
      <c r="G2154" s="1" t="s">
        <v>160</v>
      </c>
      <c r="H2154" s="1" t="s">
        <v>37</v>
      </c>
      <c r="I2154" s="1" t="s">
        <v>16</v>
      </c>
      <c r="J2154" s="1">
        <v>2</v>
      </c>
      <c r="K2154" s="1">
        <v>6</v>
      </c>
      <c r="L2154" s="1" t="s">
        <v>42</v>
      </c>
      <c r="M2154" s="1" t="s">
        <v>18</v>
      </c>
      <c r="N2154" s="1" t="s">
        <v>18</v>
      </c>
      <c r="O2154" s="1">
        <v>3</v>
      </c>
      <c r="P2154" s="1">
        <v>7</v>
      </c>
      <c r="Q2154" s="7" t="s">
        <v>17633</v>
      </c>
      <c r="R2154" s="1" t="s">
        <v>62</v>
      </c>
      <c r="S2154" s="1" t="s">
        <v>63</v>
      </c>
      <c r="T2154" s="1" t="s">
        <v>21</v>
      </c>
      <c r="U2154" s="1" t="s">
        <v>22</v>
      </c>
      <c r="V2154" s="1" t="s">
        <v>23</v>
      </c>
      <c r="W2154" s="1" t="s">
        <v>24</v>
      </c>
      <c r="X2154" s="1">
        <v>2705</v>
      </c>
      <c r="Y2154" s="1" t="s">
        <v>24</v>
      </c>
      <c r="Z2154" s="1" t="s">
        <v>24</v>
      </c>
      <c r="AA2154" s="1" t="s">
        <v>24</v>
      </c>
      <c r="AB2154" s="1" t="s">
        <v>24</v>
      </c>
      <c r="AC2154" s="1" t="s">
        <v>24</v>
      </c>
      <c r="AD2154" s="1" t="s">
        <v>24</v>
      </c>
      <c r="AE2154" s="1" t="s">
        <v>24</v>
      </c>
      <c r="AF2154" s="22"/>
    </row>
    <row r="2155" spans="1:32" x14ac:dyDescent="0.2">
      <c r="A2155" s="1">
        <v>11721</v>
      </c>
      <c r="B2155" s="1" t="s">
        <v>6878</v>
      </c>
      <c r="C2155" s="5" t="s">
        <v>0</v>
      </c>
      <c r="D2155" s="1" t="s">
        <v>6879</v>
      </c>
      <c r="E2155" s="1" t="s">
        <v>6880</v>
      </c>
      <c r="F2155" s="1" t="s">
        <v>35</v>
      </c>
      <c r="G2155" s="1" t="s">
        <v>36</v>
      </c>
      <c r="H2155" s="1" t="s">
        <v>37</v>
      </c>
      <c r="I2155" s="1" t="s">
        <v>16</v>
      </c>
      <c r="J2155" s="1">
        <v>1</v>
      </c>
      <c r="K2155" s="1">
        <v>12</v>
      </c>
      <c r="L2155" s="1" t="s">
        <v>31</v>
      </c>
      <c r="M2155" s="1" t="s">
        <v>6881</v>
      </c>
      <c r="N2155" s="1" t="s">
        <v>6882</v>
      </c>
      <c r="O2155" s="1">
        <v>3</v>
      </c>
      <c r="P2155" s="1">
        <v>6</v>
      </c>
      <c r="R2155" s="1" t="s">
        <v>19</v>
      </c>
      <c r="S2155" s="1" t="s">
        <v>20</v>
      </c>
      <c r="T2155" s="1" t="s">
        <v>21</v>
      </c>
      <c r="U2155" s="1" t="s">
        <v>22</v>
      </c>
      <c r="V2155" s="1" t="s">
        <v>23</v>
      </c>
      <c r="W2155" s="1" t="s">
        <v>24</v>
      </c>
      <c r="X2155" s="1">
        <v>2739</v>
      </c>
      <c r="Y2155" s="1">
        <v>2725</v>
      </c>
      <c r="Z2155" s="1">
        <v>2405</v>
      </c>
      <c r="AA2155" s="1" t="s">
        <v>24</v>
      </c>
      <c r="AB2155" s="1" t="s">
        <v>24</v>
      </c>
      <c r="AC2155" s="1" t="s">
        <v>24</v>
      </c>
      <c r="AD2155" s="1" t="s">
        <v>24</v>
      </c>
      <c r="AE2155" s="1" t="s">
        <v>24</v>
      </c>
      <c r="AF2155" s="22"/>
    </row>
    <row r="2156" spans="1:32" x14ac:dyDescent="0.2">
      <c r="A2156" s="1">
        <v>11722</v>
      </c>
      <c r="B2156" s="1" t="s">
        <v>6883</v>
      </c>
      <c r="C2156" s="5" t="s">
        <v>0</v>
      </c>
      <c r="D2156" s="1" t="s">
        <v>6884</v>
      </c>
      <c r="E2156" s="1" t="s">
        <v>6885</v>
      </c>
      <c r="F2156" s="1" t="s">
        <v>517</v>
      </c>
      <c r="G2156" s="1" t="s">
        <v>36</v>
      </c>
      <c r="H2156" s="1" t="s">
        <v>30</v>
      </c>
      <c r="I2156" s="1" t="s">
        <v>16</v>
      </c>
      <c r="J2156" s="1">
        <v>2</v>
      </c>
      <c r="K2156" s="1">
        <v>6</v>
      </c>
      <c r="L2156" s="1" t="s">
        <v>31</v>
      </c>
      <c r="M2156" s="1" t="s">
        <v>18</v>
      </c>
      <c r="N2156" s="1" t="s">
        <v>18</v>
      </c>
      <c r="O2156" s="1">
        <v>3</v>
      </c>
      <c r="P2156" s="1">
        <v>7</v>
      </c>
      <c r="Q2156" s="7" t="s">
        <v>17633</v>
      </c>
      <c r="R2156" s="1" t="s">
        <v>19</v>
      </c>
      <c r="S2156" s="1" t="s">
        <v>20</v>
      </c>
      <c r="T2156" s="1" t="s">
        <v>21</v>
      </c>
      <c r="U2156" s="1" t="s">
        <v>22</v>
      </c>
      <c r="V2156" s="1" t="s">
        <v>23</v>
      </c>
      <c r="W2156" s="1" t="s">
        <v>24</v>
      </c>
      <c r="X2156" s="1">
        <v>2741</v>
      </c>
      <c r="Y2156" s="1" t="s">
        <v>24</v>
      </c>
      <c r="Z2156" s="1" t="s">
        <v>24</v>
      </c>
      <c r="AA2156" s="1" t="s">
        <v>24</v>
      </c>
      <c r="AB2156" s="1" t="s">
        <v>24</v>
      </c>
      <c r="AC2156" s="1" t="s">
        <v>24</v>
      </c>
      <c r="AD2156" s="1" t="s">
        <v>24</v>
      </c>
      <c r="AE2156" s="1" t="s">
        <v>24</v>
      </c>
      <c r="AF2156" s="22"/>
    </row>
    <row r="2157" spans="1:32" x14ac:dyDescent="0.2">
      <c r="A2157" s="1">
        <v>11724</v>
      </c>
      <c r="B2157" s="1" t="s">
        <v>6886</v>
      </c>
      <c r="C2157" s="5" t="s">
        <v>0</v>
      </c>
      <c r="D2157" s="1" t="s">
        <v>6887</v>
      </c>
      <c r="F2157" s="1" t="s">
        <v>2776</v>
      </c>
      <c r="G2157" s="1" t="s">
        <v>61</v>
      </c>
      <c r="H2157" s="1" t="s">
        <v>46</v>
      </c>
      <c r="I2157" s="1" t="s">
        <v>16</v>
      </c>
      <c r="J2157" s="1">
        <v>1</v>
      </c>
      <c r="K2157" s="1">
        <v>4</v>
      </c>
      <c r="L2157" s="1" t="s">
        <v>31</v>
      </c>
      <c r="M2157" s="1" t="s">
        <v>4418</v>
      </c>
      <c r="N2157" s="1" t="s">
        <v>4418</v>
      </c>
      <c r="O2157" s="1">
        <v>1</v>
      </c>
      <c r="P2157" s="1">
        <v>5</v>
      </c>
      <c r="R2157" s="1" t="s">
        <v>19</v>
      </c>
      <c r="S2157" s="1" t="s">
        <v>20</v>
      </c>
      <c r="T2157" s="1" t="s">
        <v>21</v>
      </c>
      <c r="U2157" s="1" t="s">
        <v>22</v>
      </c>
      <c r="V2157" s="1" t="s">
        <v>24</v>
      </c>
      <c r="W2157" s="1" t="s">
        <v>24</v>
      </c>
      <c r="X2157" s="1">
        <v>2700</v>
      </c>
      <c r="Y2157" s="1" t="s">
        <v>24</v>
      </c>
      <c r="Z2157" s="1" t="s">
        <v>24</v>
      </c>
      <c r="AA2157" s="1" t="s">
        <v>24</v>
      </c>
      <c r="AB2157" s="1" t="s">
        <v>24</v>
      </c>
      <c r="AC2157" s="1" t="s">
        <v>24</v>
      </c>
      <c r="AD2157" s="1" t="s">
        <v>24</v>
      </c>
      <c r="AE2157" s="1" t="s">
        <v>24</v>
      </c>
      <c r="AF2157" s="22"/>
    </row>
    <row r="2158" spans="1:32" x14ac:dyDescent="0.2">
      <c r="A2158" s="1">
        <v>11729</v>
      </c>
      <c r="B2158" s="1" t="s">
        <v>6888</v>
      </c>
      <c r="C2158" s="5" t="s">
        <v>0</v>
      </c>
      <c r="D2158" s="1" t="s">
        <v>6889</v>
      </c>
      <c r="F2158" s="1" t="s">
        <v>6890</v>
      </c>
      <c r="G2158" s="1" t="s">
        <v>6891</v>
      </c>
      <c r="H2158" s="1" t="s">
        <v>30</v>
      </c>
      <c r="I2158" s="1" t="s">
        <v>16</v>
      </c>
      <c r="J2158" s="1">
        <v>1</v>
      </c>
      <c r="K2158" s="1">
        <v>4</v>
      </c>
      <c r="L2158" s="1" t="s">
        <v>31</v>
      </c>
      <c r="M2158" s="1" t="s">
        <v>18</v>
      </c>
      <c r="N2158" s="1" t="s">
        <v>18</v>
      </c>
      <c r="O2158" s="1">
        <v>3</v>
      </c>
      <c r="P2158" s="1">
        <v>6</v>
      </c>
      <c r="R2158" s="1" t="s">
        <v>19</v>
      </c>
      <c r="S2158" s="1" t="s">
        <v>20</v>
      </c>
      <c r="T2158" s="1" t="s">
        <v>21</v>
      </c>
      <c r="U2158" s="1" t="s">
        <v>22</v>
      </c>
      <c r="V2158" s="1" t="s">
        <v>23</v>
      </c>
      <c r="W2158" s="1" t="s">
        <v>24</v>
      </c>
      <c r="X2158" s="1">
        <v>2728</v>
      </c>
      <c r="Y2158" s="1">
        <v>3607</v>
      </c>
      <c r="Z2158" s="1" t="s">
        <v>24</v>
      </c>
      <c r="AA2158" s="1" t="s">
        <v>24</v>
      </c>
      <c r="AB2158" s="1" t="s">
        <v>24</v>
      </c>
      <c r="AC2158" s="1" t="s">
        <v>24</v>
      </c>
      <c r="AD2158" s="1" t="s">
        <v>24</v>
      </c>
      <c r="AE2158" s="1" t="s">
        <v>24</v>
      </c>
      <c r="AF2158" s="22"/>
    </row>
    <row r="2159" spans="1:32" x14ac:dyDescent="0.2">
      <c r="A2159" s="1">
        <v>11732</v>
      </c>
      <c r="B2159" s="1" t="s">
        <v>6892</v>
      </c>
      <c r="C2159" s="5" t="s">
        <v>0</v>
      </c>
      <c r="D2159" s="1" t="s">
        <v>6893</v>
      </c>
      <c r="F2159" s="1" t="s">
        <v>6894</v>
      </c>
      <c r="G2159" s="1" t="s">
        <v>6894</v>
      </c>
      <c r="H2159" s="1" t="s">
        <v>6895</v>
      </c>
      <c r="I2159" s="1" t="s">
        <v>16</v>
      </c>
      <c r="J2159" s="1">
        <v>1</v>
      </c>
      <c r="K2159" s="1">
        <v>6</v>
      </c>
      <c r="L2159" s="1" t="s">
        <v>42</v>
      </c>
      <c r="M2159" s="1" t="s">
        <v>18</v>
      </c>
      <c r="N2159" s="1" t="s">
        <v>18</v>
      </c>
      <c r="O2159" s="1">
        <v>3</v>
      </c>
      <c r="P2159" s="1">
        <v>5</v>
      </c>
      <c r="R2159" s="1" t="s">
        <v>19</v>
      </c>
      <c r="S2159" s="1" t="s">
        <v>20</v>
      </c>
      <c r="T2159" s="1" t="s">
        <v>21</v>
      </c>
      <c r="U2159" s="1" t="s">
        <v>22</v>
      </c>
      <c r="V2159" s="1" t="s">
        <v>24</v>
      </c>
      <c r="W2159" s="1" t="s">
        <v>24</v>
      </c>
      <c r="X2159" s="1">
        <v>2700</v>
      </c>
      <c r="Y2159" s="1" t="s">
        <v>24</v>
      </c>
      <c r="Z2159" s="1" t="s">
        <v>24</v>
      </c>
      <c r="AA2159" s="1" t="s">
        <v>24</v>
      </c>
      <c r="AB2159" s="1" t="s">
        <v>24</v>
      </c>
      <c r="AC2159" s="1" t="s">
        <v>24</v>
      </c>
      <c r="AD2159" s="1" t="s">
        <v>24</v>
      </c>
      <c r="AE2159" s="1" t="s">
        <v>24</v>
      </c>
      <c r="AF2159" s="22"/>
    </row>
    <row r="2160" spans="1:32" x14ac:dyDescent="0.2">
      <c r="A2160" s="1">
        <v>11736</v>
      </c>
      <c r="B2160" s="1" t="s">
        <v>6896</v>
      </c>
      <c r="C2160" s="5" t="s">
        <v>0</v>
      </c>
      <c r="D2160" s="1" t="s">
        <v>6897</v>
      </c>
      <c r="F2160" s="1" t="s">
        <v>6898</v>
      </c>
      <c r="G2160" s="1" t="s">
        <v>6899</v>
      </c>
      <c r="H2160" s="1" t="s">
        <v>69</v>
      </c>
      <c r="I2160" s="1" t="s">
        <v>16</v>
      </c>
      <c r="J2160" s="1">
        <v>1</v>
      </c>
      <c r="K2160" s="1">
        <v>3</v>
      </c>
      <c r="L2160" s="1" t="s">
        <v>17</v>
      </c>
      <c r="M2160" s="1" t="s">
        <v>70</v>
      </c>
      <c r="N2160" s="1" t="s">
        <v>75</v>
      </c>
      <c r="O2160" s="1">
        <v>2</v>
      </c>
      <c r="P2160" s="1">
        <v>5</v>
      </c>
      <c r="R2160" s="1" t="s">
        <v>19</v>
      </c>
      <c r="S2160" s="1" t="s">
        <v>20</v>
      </c>
      <c r="T2160" s="1" t="s">
        <v>21</v>
      </c>
      <c r="U2160" s="1" t="s">
        <v>22</v>
      </c>
      <c r="V2160" s="1" t="s">
        <v>24</v>
      </c>
      <c r="W2160" s="1" t="s">
        <v>24</v>
      </c>
      <c r="X2160" s="1">
        <v>2715</v>
      </c>
      <c r="Y2160" s="1">
        <v>2741</v>
      </c>
      <c r="Z2160" s="1" t="s">
        <v>24</v>
      </c>
      <c r="AA2160" s="1" t="s">
        <v>24</v>
      </c>
      <c r="AB2160" s="1" t="s">
        <v>24</v>
      </c>
      <c r="AC2160" s="1" t="s">
        <v>24</v>
      </c>
      <c r="AD2160" s="1" t="s">
        <v>24</v>
      </c>
      <c r="AE2160" s="1" t="s">
        <v>24</v>
      </c>
      <c r="AF2160" s="22"/>
    </row>
    <row r="2161" spans="1:32" x14ac:dyDescent="0.2">
      <c r="A2161" s="1">
        <v>11752</v>
      </c>
      <c r="B2161" s="1" t="s">
        <v>6900</v>
      </c>
      <c r="C2161" s="5" t="s">
        <v>0</v>
      </c>
      <c r="D2161" s="1" t="s">
        <v>6901</v>
      </c>
      <c r="F2161" s="1" t="s">
        <v>91</v>
      </c>
      <c r="G2161" s="1" t="s">
        <v>61</v>
      </c>
      <c r="H2161" s="1" t="s">
        <v>92</v>
      </c>
      <c r="I2161" s="1" t="s">
        <v>16</v>
      </c>
      <c r="J2161" s="1">
        <v>1</v>
      </c>
      <c r="K2161" s="1">
        <v>4</v>
      </c>
      <c r="L2161" s="1" t="s">
        <v>31</v>
      </c>
      <c r="M2161" s="1" t="s">
        <v>18</v>
      </c>
      <c r="N2161" s="1" t="s">
        <v>18</v>
      </c>
      <c r="O2161" s="1">
        <v>3</v>
      </c>
      <c r="P2161" s="1">
        <v>6</v>
      </c>
      <c r="R2161" s="1" t="s">
        <v>19</v>
      </c>
      <c r="S2161" s="1" t="s">
        <v>20</v>
      </c>
      <c r="T2161" s="1" t="s">
        <v>21</v>
      </c>
      <c r="U2161" s="1" t="s">
        <v>22</v>
      </c>
      <c r="V2161" s="1" t="s">
        <v>24</v>
      </c>
      <c r="W2161" s="1" t="s">
        <v>24</v>
      </c>
      <c r="X2161" s="1">
        <v>3003</v>
      </c>
      <c r="Y2161" s="1">
        <v>3004</v>
      </c>
      <c r="Z2161" s="1" t="s">
        <v>24</v>
      </c>
      <c r="AA2161" s="1" t="s">
        <v>24</v>
      </c>
      <c r="AB2161" s="1" t="s">
        <v>24</v>
      </c>
      <c r="AC2161" s="1" t="s">
        <v>24</v>
      </c>
      <c r="AD2161" s="1" t="s">
        <v>24</v>
      </c>
      <c r="AE2161" s="1" t="s">
        <v>24</v>
      </c>
      <c r="AF2161" s="22"/>
    </row>
    <row r="2162" spans="1:32" x14ac:dyDescent="0.2">
      <c r="A2162" s="1">
        <v>11754</v>
      </c>
      <c r="B2162" s="1" t="s">
        <v>6902</v>
      </c>
      <c r="C2162" s="5" t="s">
        <v>0</v>
      </c>
      <c r="D2162" s="1" t="s">
        <v>6903</v>
      </c>
      <c r="E2162" s="1" t="s">
        <v>6904</v>
      </c>
      <c r="F2162" s="1" t="s">
        <v>85</v>
      </c>
      <c r="G2162" s="1" t="s">
        <v>61</v>
      </c>
      <c r="H2162" s="1" t="s">
        <v>86</v>
      </c>
      <c r="I2162" s="1" t="s">
        <v>16</v>
      </c>
      <c r="J2162" s="1">
        <v>1</v>
      </c>
      <c r="K2162" s="1">
        <v>6</v>
      </c>
      <c r="L2162" s="1" t="s">
        <v>31</v>
      </c>
      <c r="M2162" s="1" t="s">
        <v>87</v>
      </c>
      <c r="N2162" s="1" t="s">
        <v>87</v>
      </c>
      <c r="O2162" s="1">
        <v>0</v>
      </c>
      <c r="P2162" s="1">
        <v>5</v>
      </c>
      <c r="R2162" s="1" t="s">
        <v>19</v>
      </c>
      <c r="S2162" s="1" t="s">
        <v>20</v>
      </c>
      <c r="T2162" s="1" t="s">
        <v>21</v>
      </c>
      <c r="U2162" s="1" t="s">
        <v>22</v>
      </c>
      <c r="V2162" s="1" t="s">
        <v>23</v>
      </c>
      <c r="W2162" s="1" t="s">
        <v>24</v>
      </c>
      <c r="X2162" s="1">
        <v>2700</v>
      </c>
      <c r="Y2162" s="1">
        <v>3308</v>
      </c>
      <c r="Z2162" s="1" t="s">
        <v>24</v>
      </c>
      <c r="AA2162" s="1" t="s">
        <v>24</v>
      </c>
      <c r="AB2162" s="1" t="s">
        <v>24</v>
      </c>
      <c r="AC2162" s="1" t="s">
        <v>24</v>
      </c>
      <c r="AD2162" s="1" t="s">
        <v>24</v>
      </c>
      <c r="AE2162" s="1" t="s">
        <v>24</v>
      </c>
      <c r="AF2162" s="22"/>
    </row>
    <row r="2163" spans="1:32" x14ac:dyDescent="0.2">
      <c r="A2163" s="1">
        <v>11755</v>
      </c>
      <c r="B2163" s="1" t="s">
        <v>6905</v>
      </c>
      <c r="C2163" s="5" t="s">
        <v>0</v>
      </c>
      <c r="D2163" s="1" t="s">
        <v>6906</v>
      </c>
      <c r="E2163" s="1" t="s">
        <v>6907</v>
      </c>
      <c r="F2163" s="1" t="s">
        <v>85</v>
      </c>
      <c r="G2163" s="1" t="s">
        <v>61</v>
      </c>
      <c r="H2163" s="1" t="s">
        <v>86</v>
      </c>
      <c r="I2163" s="1" t="s">
        <v>16</v>
      </c>
      <c r="J2163" s="1">
        <v>1</v>
      </c>
      <c r="K2163" s="1">
        <v>8</v>
      </c>
      <c r="L2163" s="1" t="s">
        <v>31</v>
      </c>
      <c r="M2163" s="1" t="s">
        <v>87</v>
      </c>
      <c r="N2163" s="1" t="s">
        <v>87</v>
      </c>
      <c r="O2163" s="1">
        <v>0</v>
      </c>
      <c r="P2163" s="1">
        <v>5</v>
      </c>
      <c r="R2163" s="1" t="s">
        <v>19</v>
      </c>
      <c r="S2163" s="1" t="s">
        <v>20</v>
      </c>
      <c r="T2163" s="1" t="s">
        <v>21</v>
      </c>
      <c r="U2163" s="1" t="s">
        <v>22</v>
      </c>
      <c r="V2163" s="1" t="s">
        <v>23</v>
      </c>
      <c r="W2163" s="1" t="s">
        <v>24</v>
      </c>
      <c r="X2163" s="1">
        <v>2735</v>
      </c>
      <c r="Y2163" s="1" t="s">
        <v>24</v>
      </c>
      <c r="Z2163" s="1" t="s">
        <v>24</v>
      </c>
      <c r="AA2163" s="1" t="s">
        <v>24</v>
      </c>
      <c r="AB2163" s="1" t="s">
        <v>24</v>
      </c>
      <c r="AC2163" s="1" t="s">
        <v>24</v>
      </c>
      <c r="AD2163" s="1" t="s">
        <v>24</v>
      </c>
      <c r="AE2163" s="1" t="s">
        <v>24</v>
      </c>
      <c r="AF2163" s="22"/>
    </row>
    <row r="2164" spans="1:32" x14ac:dyDescent="0.2">
      <c r="A2164" s="1">
        <v>11756</v>
      </c>
      <c r="B2164" s="1" t="s">
        <v>6908</v>
      </c>
      <c r="C2164" s="5" t="s">
        <v>0</v>
      </c>
      <c r="D2164" s="1" t="s">
        <v>6909</v>
      </c>
      <c r="F2164" s="1" t="s">
        <v>6910</v>
      </c>
      <c r="G2164" s="1" t="s">
        <v>6910</v>
      </c>
      <c r="H2164" s="1" t="s">
        <v>684</v>
      </c>
      <c r="I2164" s="1" t="s">
        <v>16</v>
      </c>
      <c r="J2164" s="1">
        <v>1</v>
      </c>
      <c r="K2164" s="1">
        <v>2</v>
      </c>
      <c r="L2164" s="1" t="s">
        <v>17</v>
      </c>
      <c r="M2164" s="1" t="s">
        <v>18</v>
      </c>
      <c r="N2164" s="1" t="s">
        <v>18</v>
      </c>
      <c r="O2164" s="1">
        <v>3</v>
      </c>
      <c r="P2164" s="1">
        <v>7</v>
      </c>
      <c r="Q2164" s="7" t="s">
        <v>17633</v>
      </c>
      <c r="R2164" s="1" t="s">
        <v>62</v>
      </c>
      <c r="S2164" s="1" t="s">
        <v>20</v>
      </c>
      <c r="T2164" s="1" t="s">
        <v>21</v>
      </c>
      <c r="U2164" s="1" t="s">
        <v>22</v>
      </c>
      <c r="V2164" s="1" t="s">
        <v>24</v>
      </c>
      <c r="W2164" s="1" t="s">
        <v>24</v>
      </c>
      <c r="X2164" s="1">
        <v>2740</v>
      </c>
      <c r="Y2164" s="1">
        <v>2723</v>
      </c>
      <c r="Z2164" s="1">
        <v>2724</v>
      </c>
      <c r="AA2164" s="1" t="s">
        <v>24</v>
      </c>
      <c r="AB2164" s="1" t="s">
        <v>24</v>
      </c>
      <c r="AC2164" s="1" t="s">
        <v>24</v>
      </c>
      <c r="AD2164" s="1" t="s">
        <v>24</v>
      </c>
      <c r="AE2164" s="1" t="s">
        <v>24</v>
      </c>
      <c r="AF2164" s="22"/>
    </row>
    <row r="2165" spans="1:32" x14ac:dyDescent="0.2">
      <c r="A2165" s="1">
        <v>11758</v>
      </c>
      <c r="B2165" s="1" t="s">
        <v>6911</v>
      </c>
      <c r="C2165" s="5" t="s">
        <v>0</v>
      </c>
      <c r="D2165" s="1" t="s">
        <v>6912</v>
      </c>
      <c r="E2165" s="1" t="s">
        <v>6913</v>
      </c>
      <c r="F2165" s="1" t="s">
        <v>6914</v>
      </c>
      <c r="G2165" s="1" t="s">
        <v>6915</v>
      </c>
      <c r="H2165" s="1" t="s">
        <v>37</v>
      </c>
      <c r="I2165" s="1" t="s">
        <v>16</v>
      </c>
      <c r="J2165" s="1">
        <v>1</v>
      </c>
      <c r="K2165" s="1">
        <v>48</v>
      </c>
      <c r="L2165" s="1" t="s">
        <v>31</v>
      </c>
      <c r="M2165" s="1" t="s">
        <v>18</v>
      </c>
      <c r="N2165" s="1" t="s">
        <v>18</v>
      </c>
      <c r="O2165" s="1">
        <v>2</v>
      </c>
      <c r="P2165" s="1">
        <v>6</v>
      </c>
      <c r="R2165" s="1" t="s">
        <v>881</v>
      </c>
      <c r="S2165" s="1" t="s">
        <v>20</v>
      </c>
      <c r="T2165" s="1" t="s">
        <v>21</v>
      </c>
      <c r="U2165" s="1" t="s">
        <v>22</v>
      </c>
      <c r="V2165" s="1" t="s">
        <v>24</v>
      </c>
      <c r="W2165" s="1" t="s">
        <v>64</v>
      </c>
      <c r="X2165" s="1">
        <v>1600</v>
      </c>
      <c r="Y2165" s="1">
        <v>1503</v>
      </c>
      <c r="Z2165" s="1">
        <v>2503</v>
      </c>
      <c r="AA2165" s="1">
        <v>2504</v>
      </c>
      <c r="AB2165" s="1">
        <v>2508</v>
      </c>
      <c r="AC2165" s="1">
        <v>2505</v>
      </c>
      <c r="AD2165" s="1">
        <v>2506</v>
      </c>
      <c r="AE2165" s="1" t="s">
        <v>24</v>
      </c>
      <c r="AF2165" s="22"/>
    </row>
    <row r="2166" spans="1:32" x14ac:dyDescent="0.2">
      <c r="A2166" s="1">
        <v>11762</v>
      </c>
      <c r="B2166" s="1" t="s">
        <v>6916</v>
      </c>
      <c r="C2166" s="5" t="s">
        <v>0</v>
      </c>
      <c r="D2166" s="1" t="s">
        <v>6917</v>
      </c>
      <c r="E2166" s="1" t="s">
        <v>6918</v>
      </c>
      <c r="F2166" s="1" t="s">
        <v>91</v>
      </c>
      <c r="G2166" s="1" t="s">
        <v>61</v>
      </c>
      <c r="H2166" s="1" t="s">
        <v>92</v>
      </c>
      <c r="I2166" s="1" t="s">
        <v>16</v>
      </c>
      <c r="J2166" s="1">
        <v>2</v>
      </c>
      <c r="K2166" s="1">
        <v>3</v>
      </c>
      <c r="L2166" s="1" t="s">
        <v>31</v>
      </c>
      <c r="M2166" s="1" t="s">
        <v>18</v>
      </c>
      <c r="N2166" s="1" t="s">
        <v>18</v>
      </c>
      <c r="O2166" s="1">
        <v>3</v>
      </c>
      <c r="P2166" s="1">
        <v>7</v>
      </c>
      <c r="Q2166" s="7" t="s">
        <v>17633</v>
      </c>
      <c r="R2166" s="1" t="s">
        <v>19</v>
      </c>
      <c r="S2166" s="1" t="s">
        <v>63</v>
      </c>
      <c r="T2166" s="1" t="s">
        <v>21</v>
      </c>
      <c r="U2166" s="1" t="s">
        <v>22</v>
      </c>
      <c r="V2166" s="1" t="s">
        <v>24</v>
      </c>
      <c r="W2166" s="1" t="s">
        <v>24</v>
      </c>
      <c r="X2166" s="1">
        <v>3005</v>
      </c>
      <c r="Y2166" s="1">
        <v>2307</v>
      </c>
      <c r="Z2166" s="1">
        <v>3004</v>
      </c>
      <c r="AA2166" s="1" t="s">
        <v>24</v>
      </c>
      <c r="AB2166" s="1" t="s">
        <v>24</v>
      </c>
      <c r="AC2166" s="1" t="s">
        <v>24</v>
      </c>
      <c r="AD2166" s="1" t="s">
        <v>24</v>
      </c>
      <c r="AE2166" s="1" t="s">
        <v>24</v>
      </c>
      <c r="AF2166" s="22"/>
    </row>
    <row r="2167" spans="1:32" x14ac:dyDescent="0.2">
      <c r="A2167" s="1">
        <v>11763</v>
      </c>
      <c r="B2167" s="1" t="s">
        <v>6919</v>
      </c>
      <c r="C2167" s="5" t="s">
        <v>0</v>
      </c>
      <c r="D2167" s="1" t="s">
        <v>6920</v>
      </c>
      <c r="E2167" s="1" t="s">
        <v>6921</v>
      </c>
      <c r="F2167" s="1" t="s">
        <v>618</v>
      </c>
      <c r="G2167" s="1" t="s">
        <v>619</v>
      </c>
      <c r="H2167" s="1" t="s">
        <v>30</v>
      </c>
      <c r="I2167" s="1" t="s">
        <v>112</v>
      </c>
      <c r="J2167" s="1">
        <v>1</v>
      </c>
      <c r="K2167" s="1">
        <v>1</v>
      </c>
      <c r="L2167" s="1" t="s">
        <v>31</v>
      </c>
      <c r="M2167" s="1" t="s">
        <v>18</v>
      </c>
      <c r="N2167" s="1" t="s">
        <v>18</v>
      </c>
      <c r="O2167" s="1">
        <v>2</v>
      </c>
      <c r="P2167" s="1">
        <v>8</v>
      </c>
      <c r="Q2167" s="7" t="s">
        <v>17633</v>
      </c>
      <c r="R2167" s="1" t="s">
        <v>62</v>
      </c>
      <c r="S2167" s="1" t="s">
        <v>20</v>
      </c>
      <c r="T2167" s="1" t="s">
        <v>21</v>
      </c>
      <c r="U2167" s="1" t="s">
        <v>22</v>
      </c>
      <c r="V2167" s="1" t="s">
        <v>24</v>
      </c>
      <c r="W2167" s="1" t="s">
        <v>24</v>
      </c>
      <c r="X2167" s="1">
        <v>1309</v>
      </c>
      <c r="Y2167" s="1">
        <v>1307</v>
      </c>
      <c r="Z2167" s="1" t="s">
        <v>24</v>
      </c>
      <c r="AA2167" s="1" t="s">
        <v>24</v>
      </c>
      <c r="AB2167" s="1" t="s">
        <v>24</v>
      </c>
      <c r="AC2167" s="1" t="s">
        <v>24</v>
      </c>
      <c r="AD2167" s="1" t="s">
        <v>24</v>
      </c>
      <c r="AE2167" s="1" t="s">
        <v>24</v>
      </c>
      <c r="AF2167" s="22"/>
    </row>
    <row r="2168" spans="1:32" x14ac:dyDescent="0.2">
      <c r="A2168" s="1">
        <v>11764</v>
      </c>
      <c r="B2168" s="1" t="s">
        <v>6922</v>
      </c>
      <c r="C2168" s="5" t="s">
        <v>0</v>
      </c>
      <c r="D2168" s="1" t="s">
        <v>6923</v>
      </c>
      <c r="F2168" s="1" t="s">
        <v>6924</v>
      </c>
      <c r="G2168" s="1" t="s">
        <v>6925</v>
      </c>
      <c r="H2168" s="1" t="s">
        <v>168</v>
      </c>
      <c r="I2168" s="1" t="s">
        <v>16</v>
      </c>
      <c r="J2168" s="1">
        <v>1</v>
      </c>
      <c r="K2168" s="1">
        <v>12</v>
      </c>
      <c r="L2168" s="1" t="s">
        <v>17</v>
      </c>
      <c r="M2168" s="1" t="s">
        <v>413</v>
      </c>
      <c r="N2168" s="1" t="s">
        <v>679</v>
      </c>
      <c r="O2168" s="1">
        <v>3</v>
      </c>
      <c r="P2168" s="1">
        <v>6</v>
      </c>
      <c r="R2168" s="1" t="s">
        <v>19</v>
      </c>
      <c r="S2168" s="1" t="s">
        <v>20</v>
      </c>
      <c r="T2168" s="1" t="s">
        <v>21</v>
      </c>
      <c r="U2168" s="1" t="s">
        <v>22</v>
      </c>
      <c r="V2168" s="1" t="s">
        <v>24</v>
      </c>
      <c r="W2168" s="1" t="s">
        <v>24</v>
      </c>
      <c r="X2168" s="1">
        <v>2307</v>
      </c>
      <c r="Y2168" s="1">
        <v>2308</v>
      </c>
      <c r="Z2168" s="1">
        <v>2310</v>
      </c>
      <c r="AA2168" s="1" t="s">
        <v>24</v>
      </c>
      <c r="AB2168" s="1" t="s">
        <v>24</v>
      </c>
      <c r="AC2168" s="1" t="s">
        <v>24</v>
      </c>
      <c r="AD2168" s="1" t="s">
        <v>24</v>
      </c>
      <c r="AE2168" s="1" t="s">
        <v>24</v>
      </c>
      <c r="AF2168" s="22"/>
    </row>
    <row r="2169" spans="1:32" x14ac:dyDescent="0.2">
      <c r="A2169" s="1">
        <v>11765</v>
      </c>
      <c r="B2169" s="1" t="s">
        <v>6926</v>
      </c>
      <c r="C2169" s="5" t="s">
        <v>0</v>
      </c>
      <c r="D2169" s="1" t="s">
        <v>6927</v>
      </c>
      <c r="E2169" s="1" t="s">
        <v>6928</v>
      </c>
      <c r="F2169" s="1" t="s">
        <v>315</v>
      </c>
      <c r="G2169" s="1" t="s">
        <v>316</v>
      </c>
      <c r="H2169" s="1" t="s">
        <v>37</v>
      </c>
      <c r="I2169" s="1" t="s">
        <v>16</v>
      </c>
      <c r="J2169" s="1">
        <v>1</v>
      </c>
      <c r="K2169" s="1">
        <v>6</v>
      </c>
      <c r="L2169" s="1" t="s">
        <v>31</v>
      </c>
      <c r="M2169" s="1" t="s">
        <v>18</v>
      </c>
      <c r="N2169" s="1" t="s">
        <v>18</v>
      </c>
      <c r="O2169" s="1">
        <v>3</v>
      </c>
      <c r="P2169" s="1">
        <v>5</v>
      </c>
      <c r="R2169" s="1" t="s">
        <v>19</v>
      </c>
      <c r="S2169" s="1" t="s">
        <v>20</v>
      </c>
      <c r="T2169" s="1" t="s">
        <v>21</v>
      </c>
      <c r="U2169" s="1" t="s">
        <v>22</v>
      </c>
      <c r="V2169" s="1" t="s">
        <v>24</v>
      </c>
      <c r="W2169" s="1" t="s">
        <v>24</v>
      </c>
      <c r="X2169" s="1">
        <v>1303</v>
      </c>
      <c r="Y2169" s="1">
        <v>1312</v>
      </c>
      <c r="Z2169" s="1">
        <v>1313</v>
      </c>
      <c r="AA2169" s="1">
        <v>1308</v>
      </c>
      <c r="AB2169" s="1" t="s">
        <v>24</v>
      </c>
      <c r="AC2169" s="1" t="s">
        <v>24</v>
      </c>
      <c r="AD2169" s="1" t="s">
        <v>24</v>
      </c>
      <c r="AE2169" s="1" t="s">
        <v>24</v>
      </c>
      <c r="AF2169" s="22"/>
    </row>
    <row r="2170" spans="1:32" x14ac:dyDescent="0.2">
      <c r="A2170" s="1">
        <v>11808</v>
      </c>
      <c r="B2170" s="1" t="s">
        <v>6929</v>
      </c>
      <c r="C2170" s="5" t="s">
        <v>0</v>
      </c>
      <c r="D2170" s="1" t="s">
        <v>6930</v>
      </c>
      <c r="E2170" s="1" t="s">
        <v>6931</v>
      </c>
      <c r="F2170" s="1" t="s">
        <v>776</v>
      </c>
      <c r="G2170" s="1" t="s">
        <v>777</v>
      </c>
      <c r="H2170" s="1" t="s">
        <v>30</v>
      </c>
      <c r="I2170" s="1" t="s">
        <v>16</v>
      </c>
      <c r="J2170" s="1">
        <v>1</v>
      </c>
      <c r="K2170" s="1">
        <v>12</v>
      </c>
      <c r="L2170" s="1" t="s">
        <v>31</v>
      </c>
      <c r="M2170" s="1" t="s">
        <v>18</v>
      </c>
      <c r="N2170" s="1" t="s">
        <v>18</v>
      </c>
      <c r="O2170" s="1">
        <v>3</v>
      </c>
      <c r="P2170" s="1">
        <v>6</v>
      </c>
      <c r="R2170" s="1" t="s">
        <v>62</v>
      </c>
      <c r="S2170" s="1" t="s">
        <v>20</v>
      </c>
      <c r="T2170" s="1" t="s">
        <v>21</v>
      </c>
      <c r="U2170" s="1" t="s">
        <v>22</v>
      </c>
      <c r="V2170" s="1" t="s">
        <v>24</v>
      </c>
      <c r="W2170" s="1" t="s">
        <v>64</v>
      </c>
      <c r="X2170" s="1">
        <v>1305</v>
      </c>
      <c r="Y2170" s="1">
        <v>1502</v>
      </c>
      <c r="Z2170" s="1">
        <v>1605</v>
      </c>
      <c r="AA2170" s="1">
        <v>3003</v>
      </c>
      <c r="AB2170" s="1">
        <v>2204</v>
      </c>
      <c r="AC2170" s="1">
        <v>3004</v>
      </c>
      <c r="AD2170" s="1" t="s">
        <v>24</v>
      </c>
      <c r="AE2170" s="1" t="s">
        <v>24</v>
      </c>
      <c r="AF2170" s="22"/>
    </row>
    <row r="2171" spans="1:32" x14ac:dyDescent="0.2">
      <c r="A2171" s="1">
        <v>11811</v>
      </c>
      <c r="B2171" s="1" t="s">
        <v>6932</v>
      </c>
      <c r="C2171" s="5" t="s">
        <v>0</v>
      </c>
      <c r="D2171" s="1" t="s">
        <v>6933</v>
      </c>
      <c r="E2171" s="1" t="s">
        <v>6934</v>
      </c>
      <c r="F2171" s="1" t="s">
        <v>669</v>
      </c>
      <c r="G2171" s="1" t="s">
        <v>311</v>
      </c>
      <c r="H2171" s="1" t="s">
        <v>30</v>
      </c>
      <c r="I2171" s="1" t="s">
        <v>16</v>
      </c>
      <c r="J2171" s="1">
        <v>1</v>
      </c>
      <c r="K2171" s="1">
        <v>20</v>
      </c>
      <c r="L2171" s="1" t="s">
        <v>31</v>
      </c>
      <c r="M2171" s="1" t="s">
        <v>18</v>
      </c>
      <c r="N2171" s="1" t="s">
        <v>18</v>
      </c>
      <c r="O2171" s="1">
        <v>3</v>
      </c>
      <c r="P2171" s="1">
        <v>6</v>
      </c>
      <c r="R2171" s="1" t="s">
        <v>19</v>
      </c>
      <c r="S2171" s="1" t="s">
        <v>20</v>
      </c>
      <c r="T2171" s="1" t="s">
        <v>21</v>
      </c>
      <c r="U2171" s="1" t="s">
        <v>22</v>
      </c>
      <c r="V2171" s="1" t="s">
        <v>24</v>
      </c>
      <c r="W2171" s="1" t="s">
        <v>24</v>
      </c>
      <c r="X2171" s="1">
        <v>1602</v>
      </c>
      <c r="Y2171" s="1">
        <v>3003</v>
      </c>
      <c r="Z2171" s="1">
        <v>1303</v>
      </c>
      <c r="AA2171" s="1">
        <v>1308</v>
      </c>
      <c r="AB2171" s="1" t="s">
        <v>24</v>
      </c>
      <c r="AC2171" s="1" t="s">
        <v>24</v>
      </c>
      <c r="AD2171" s="1" t="s">
        <v>24</v>
      </c>
      <c r="AE2171" s="1" t="s">
        <v>24</v>
      </c>
      <c r="AF2171" s="22"/>
    </row>
    <row r="2172" spans="1:32" x14ac:dyDescent="0.2">
      <c r="A2172" s="1">
        <v>11846</v>
      </c>
      <c r="B2172" s="1" t="s">
        <v>6935</v>
      </c>
      <c r="C2172" s="5" t="s">
        <v>0</v>
      </c>
      <c r="D2172" s="1" t="s">
        <v>6936</v>
      </c>
      <c r="F2172" s="1" t="s">
        <v>6937</v>
      </c>
      <c r="G2172" s="1" t="s">
        <v>6937</v>
      </c>
      <c r="H2172" s="1" t="s">
        <v>264</v>
      </c>
      <c r="I2172" s="1" t="s">
        <v>16</v>
      </c>
      <c r="J2172" s="1">
        <v>1</v>
      </c>
      <c r="K2172" s="1">
        <v>3</v>
      </c>
      <c r="L2172" s="1" t="s">
        <v>42</v>
      </c>
      <c r="M2172" s="1" t="s">
        <v>18</v>
      </c>
      <c r="N2172" s="1" t="s">
        <v>18</v>
      </c>
      <c r="O2172" s="1">
        <v>3</v>
      </c>
      <c r="P2172" s="1">
        <v>6</v>
      </c>
      <c r="R2172" s="1" t="s">
        <v>19</v>
      </c>
      <c r="S2172" s="1" t="s">
        <v>20</v>
      </c>
      <c r="T2172" s="1" t="s">
        <v>21</v>
      </c>
      <c r="U2172" s="1" t="s">
        <v>22</v>
      </c>
      <c r="V2172" s="1" t="s">
        <v>24</v>
      </c>
      <c r="W2172" s="1" t="s">
        <v>24</v>
      </c>
      <c r="X2172" s="1">
        <v>1305</v>
      </c>
      <c r="Y2172" s="1">
        <v>2402</v>
      </c>
      <c r="Z2172" s="1">
        <v>1502</v>
      </c>
      <c r="AA2172" s="1" t="s">
        <v>24</v>
      </c>
      <c r="AB2172" s="1" t="s">
        <v>24</v>
      </c>
      <c r="AC2172" s="1" t="s">
        <v>24</v>
      </c>
      <c r="AD2172" s="1" t="s">
        <v>24</v>
      </c>
      <c r="AE2172" s="1" t="s">
        <v>24</v>
      </c>
      <c r="AF2172" s="22"/>
    </row>
    <row r="2173" spans="1:32" x14ac:dyDescent="0.2">
      <c r="A2173" s="1">
        <v>11915</v>
      </c>
      <c r="B2173" s="1" t="s">
        <v>6938</v>
      </c>
      <c r="C2173" s="5" t="s">
        <v>0</v>
      </c>
      <c r="D2173" s="1" t="s">
        <v>6939</v>
      </c>
      <c r="E2173" s="1" t="s">
        <v>6940</v>
      </c>
      <c r="F2173" s="1" t="s">
        <v>724</v>
      </c>
      <c r="G2173" s="1" t="s">
        <v>725</v>
      </c>
      <c r="H2173" s="1" t="s">
        <v>30</v>
      </c>
      <c r="I2173" s="1" t="s">
        <v>16</v>
      </c>
      <c r="J2173" s="1">
        <v>1</v>
      </c>
      <c r="K2173" s="1">
        <v>6</v>
      </c>
      <c r="L2173" s="1" t="s">
        <v>31</v>
      </c>
      <c r="M2173" s="1" t="s">
        <v>18</v>
      </c>
      <c r="N2173" s="1" t="s">
        <v>18</v>
      </c>
      <c r="O2173" s="1">
        <v>3</v>
      </c>
      <c r="P2173" s="1">
        <v>7</v>
      </c>
      <c r="Q2173" s="7" t="s">
        <v>17633</v>
      </c>
      <c r="R2173" s="1" t="s">
        <v>19</v>
      </c>
      <c r="S2173" s="1" t="s">
        <v>20</v>
      </c>
      <c r="T2173" s="1" t="s">
        <v>21</v>
      </c>
      <c r="U2173" s="1" t="s">
        <v>22</v>
      </c>
      <c r="V2173" s="1" t="s">
        <v>24</v>
      </c>
      <c r="W2173" s="1" t="s">
        <v>24</v>
      </c>
      <c r="X2173" s="1">
        <v>2809</v>
      </c>
      <c r="Y2173" s="1">
        <v>1314</v>
      </c>
      <c r="Z2173" s="1" t="s">
        <v>24</v>
      </c>
      <c r="AA2173" s="1" t="s">
        <v>24</v>
      </c>
      <c r="AB2173" s="1" t="s">
        <v>24</v>
      </c>
      <c r="AC2173" s="1" t="s">
        <v>24</v>
      </c>
      <c r="AD2173" s="1" t="s">
        <v>24</v>
      </c>
      <c r="AE2173" s="1" t="s">
        <v>24</v>
      </c>
      <c r="AF2173" s="22"/>
    </row>
    <row r="2174" spans="1:32" x14ac:dyDescent="0.2">
      <c r="A2174" s="1">
        <v>11961</v>
      </c>
      <c r="B2174" s="1" t="s">
        <v>6941</v>
      </c>
      <c r="C2174" s="5" t="s">
        <v>0</v>
      </c>
      <c r="D2174" s="1" t="s">
        <v>6942</v>
      </c>
      <c r="E2174" s="1" t="s">
        <v>6943</v>
      </c>
      <c r="F2174" s="1" t="s">
        <v>217</v>
      </c>
      <c r="G2174" s="1" t="s">
        <v>130</v>
      </c>
      <c r="H2174" s="1" t="s">
        <v>92</v>
      </c>
      <c r="I2174" s="1" t="s">
        <v>16</v>
      </c>
      <c r="J2174" s="1">
        <v>3</v>
      </c>
      <c r="K2174" s="1">
        <v>3</v>
      </c>
      <c r="L2174" s="1" t="s">
        <v>31</v>
      </c>
      <c r="M2174" s="1" t="s">
        <v>18</v>
      </c>
      <c r="N2174" s="1" t="s">
        <v>18</v>
      </c>
      <c r="O2174" s="1">
        <v>3</v>
      </c>
      <c r="P2174" s="1">
        <v>6</v>
      </c>
      <c r="R2174" s="1" t="s">
        <v>19</v>
      </c>
      <c r="S2174" s="1" t="s">
        <v>20</v>
      </c>
      <c r="T2174" s="1" t="s">
        <v>21</v>
      </c>
      <c r="U2174" s="1" t="s">
        <v>22</v>
      </c>
      <c r="V2174" s="1" t="s">
        <v>24</v>
      </c>
      <c r="W2174" s="1" t="s">
        <v>24</v>
      </c>
      <c r="X2174" s="1">
        <v>1307</v>
      </c>
      <c r="Y2174" s="1">
        <v>1305</v>
      </c>
      <c r="Z2174" s="1">
        <v>2204</v>
      </c>
      <c r="AA2174" s="1">
        <v>1502</v>
      </c>
      <c r="AB2174" s="1">
        <v>1308</v>
      </c>
      <c r="AC2174" s="1" t="s">
        <v>24</v>
      </c>
      <c r="AD2174" s="1" t="s">
        <v>24</v>
      </c>
      <c r="AE2174" s="1" t="s">
        <v>24</v>
      </c>
      <c r="AF2174" s="22"/>
    </row>
    <row r="2175" spans="1:32" x14ac:dyDescent="0.2">
      <c r="A2175" s="1">
        <v>11964</v>
      </c>
      <c r="B2175" s="1" t="s">
        <v>6944</v>
      </c>
      <c r="C2175" s="5" t="s">
        <v>0</v>
      </c>
      <c r="D2175" s="1" t="s">
        <v>6945</v>
      </c>
      <c r="E2175" s="1" t="s">
        <v>6946</v>
      </c>
      <c r="F2175" s="1" t="s">
        <v>217</v>
      </c>
      <c r="G2175" s="1" t="s">
        <v>130</v>
      </c>
      <c r="H2175" s="1" t="s">
        <v>92</v>
      </c>
      <c r="I2175" s="1" t="s">
        <v>16</v>
      </c>
      <c r="J2175" s="1">
        <v>1</v>
      </c>
      <c r="K2175" s="1">
        <v>4</v>
      </c>
      <c r="L2175" s="1" t="s">
        <v>31</v>
      </c>
      <c r="M2175" s="1" t="s">
        <v>18</v>
      </c>
      <c r="N2175" s="1" t="s">
        <v>18</v>
      </c>
      <c r="O2175" s="1">
        <v>3</v>
      </c>
      <c r="P2175" s="1">
        <v>6</v>
      </c>
      <c r="R2175" s="1" t="s">
        <v>19</v>
      </c>
      <c r="S2175" s="1" t="s">
        <v>20</v>
      </c>
      <c r="T2175" s="1" t="s">
        <v>21</v>
      </c>
      <c r="U2175" s="1" t="s">
        <v>22</v>
      </c>
      <c r="V2175" s="1" t="s">
        <v>24</v>
      </c>
      <c r="W2175" s="1" t="s">
        <v>24</v>
      </c>
      <c r="X2175" s="1">
        <v>1311</v>
      </c>
      <c r="Y2175" s="1">
        <v>1312</v>
      </c>
      <c r="Z2175" s="1" t="s">
        <v>24</v>
      </c>
      <c r="AA2175" s="1" t="s">
        <v>24</v>
      </c>
      <c r="AB2175" s="1" t="s">
        <v>24</v>
      </c>
      <c r="AC2175" s="1" t="s">
        <v>24</v>
      </c>
      <c r="AD2175" s="1" t="s">
        <v>24</v>
      </c>
      <c r="AE2175" s="1" t="s">
        <v>24</v>
      </c>
      <c r="AF2175" s="22"/>
    </row>
    <row r="2176" spans="1:32" x14ac:dyDescent="0.2">
      <c r="A2176" s="1">
        <v>11984</v>
      </c>
      <c r="B2176" s="1" t="s">
        <v>6947</v>
      </c>
      <c r="C2176" s="5" t="s">
        <v>0</v>
      </c>
      <c r="D2176" s="1" t="s">
        <v>6948</v>
      </c>
      <c r="E2176" s="1" t="s">
        <v>6949</v>
      </c>
      <c r="F2176" s="1" t="s">
        <v>272</v>
      </c>
      <c r="G2176" s="1" t="s">
        <v>61</v>
      </c>
      <c r="H2176" s="1" t="s">
        <v>30</v>
      </c>
      <c r="I2176" s="1" t="s">
        <v>16</v>
      </c>
      <c r="J2176" s="1">
        <v>2</v>
      </c>
      <c r="K2176" s="1">
        <v>4</v>
      </c>
      <c r="L2176" s="1" t="s">
        <v>31</v>
      </c>
      <c r="M2176" s="1" t="s">
        <v>18</v>
      </c>
      <c r="N2176" s="1" t="s">
        <v>18</v>
      </c>
      <c r="O2176" s="1">
        <v>3</v>
      </c>
      <c r="P2176" s="1">
        <v>6</v>
      </c>
      <c r="R2176" s="1" t="s">
        <v>19</v>
      </c>
      <c r="S2176" s="1" t="s">
        <v>63</v>
      </c>
      <c r="T2176" s="1" t="s">
        <v>21</v>
      </c>
      <c r="U2176" s="1" t="s">
        <v>22</v>
      </c>
      <c r="V2176" s="1" t="s">
        <v>24</v>
      </c>
      <c r="W2176" s="1" t="s">
        <v>24</v>
      </c>
      <c r="X2176" s="1">
        <v>3005</v>
      </c>
      <c r="Y2176" s="1" t="s">
        <v>24</v>
      </c>
      <c r="Z2176" s="1" t="s">
        <v>24</v>
      </c>
      <c r="AA2176" s="1" t="s">
        <v>24</v>
      </c>
      <c r="AB2176" s="1" t="s">
        <v>24</v>
      </c>
      <c r="AC2176" s="1" t="s">
        <v>24</v>
      </c>
      <c r="AD2176" s="1" t="s">
        <v>24</v>
      </c>
      <c r="AE2176" s="1" t="s">
        <v>24</v>
      </c>
      <c r="AF2176" s="22"/>
    </row>
    <row r="2177" spans="1:32" x14ac:dyDescent="0.2">
      <c r="A2177" s="1">
        <v>11999</v>
      </c>
      <c r="B2177" s="1" t="s">
        <v>6950</v>
      </c>
      <c r="C2177" s="5" t="s">
        <v>0</v>
      </c>
      <c r="D2177" s="1" t="s">
        <v>6951</v>
      </c>
      <c r="E2177" s="1" t="s">
        <v>6952</v>
      </c>
      <c r="F2177" s="1" t="s">
        <v>315</v>
      </c>
      <c r="G2177" s="1" t="s">
        <v>316</v>
      </c>
      <c r="H2177" s="1" t="s">
        <v>30</v>
      </c>
      <c r="I2177" s="1" t="s">
        <v>16</v>
      </c>
      <c r="J2177" s="1">
        <v>1</v>
      </c>
      <c r="K2177" s="1">
        <v>12</v>
      </c>
      <c r="L2177" s="1" t="s">
        <v>31</v>
      </c>
      <c r="M2177" s="1" t="s">
        <v>18</v>
      </c>
      <c r="N2177" s="1" t="s">
        <v>18</v>
      </c>
      <c r="O2177" s="1">
        <v>3</v>
      </c>
      <c r="P2177" s="1">
        <v>9</v>
      </c>
      <c r="Q2177" s="7" t="s">
        <v>17633</v>
      </c>
      <c r="R2177" s="1" t="s">
        <v>62</v>
      </c>
      <c r="S2177" s="1" t="s">
        <v>20</v>
      </c>
      <c r="T2177" s="1" t="s">
        <v>21</v>
      </c>
      <c r="U2177" s="1" t="s">
        <v>22</v>
      </c>
      <c r="V2177" s="1" t="s">
        <v>24</v>
      </c>
      <c r="W2177" s="1" t="s">
        <v>64</v>
      </c>
      <c r="X2177" s="1">
        <v>2402</v>
      </c>
      <c r="Y2177" s="1">
        <v>1305</v>
      </c>
      <c r="Z2177" s="1">
        <v>1313</v>
      </c>
      <c r="AA2177" s="1">
        <v>1502</v>
      </c>
      <c r="AB2177" s="1">
        <v>2204</v>
      </c>
      <c r="AC2177" s="1" t="s">
        <v>24</v>
      </c>
      <c r="AD2177" s="1" t="s">
        <v>24</v>
      </c>
      <c r="AE2177" s="1" t="s">
        <v>24</v>
      </c>
      <c r="AF2177" s="22"/>
    </row>
    <row r="2178" spans="1:32" x14ac:dyDescent="0.2">
      <c r="A2178" s="1">
        <v>12001</v>
      </c>
      <c r="B2178" s="1" t="s">
        <v>6953</v>
      </c>
      <c r="C2178" s="5" t="s">
        <v>0</v>
      </c>
      <c r="D2178" s="1" t="s">
        <v>6954</v>
      </c>
      <c r="E2178" s="1" t="s">
        <v>6955</v>
      </c>
      <c r="F2178" s="1" t="s">
        <v>190</v>
      </c>
      <c r="G2178" s="1" t="s">
        <v>130</v>
      </c>
      <c r="H2178" s="1" t="s">
        <v>30</v>
      </c>
      <c r="I2178" s="1" t="s">
        <v>16</v>
      </c>
      <c r="J2178" s="1">
        <v>1</v>
      </c>
      <c r="K2178" s="1">
        <v>12</v>
      </c>
      <c r="L2178" s="1" t="s">
        <v>31</v>
      </c>
      <c r="M2178" s="1" t="s">
        <v>18</v>
      </c>
      <c r="N2178" s="1" t="s">
        <v>18</v>
      </c>
      <c r="O2178" s="1">
        <v>3</v>
      </c>
      <c r="P2178" s="1">
        <v>6</v>
      </c>
      <c r="R2178" s="1" t="s">
        <v>62</v>
      </c>
      <c r="S2178" s="1" t="s">
        <v>20</v>
      </c>
      <c r="T2178" s="1" t="s">
        <v>21</v>
      </c>
      <c r="U2178" s="1" t="s">
        <v>22</v>
      </c>
      <c r="V2178" s="1" t="s">
        <v>24</v>
      </c>
      <c r="W2178" s="1" t="s">
        <v>24</v>
      </c>
      <c r="X2178" s="1">
        <v>1311</v>
      </c>
      <c r="Y2178" s="1" t="s">
        <v>24</v>
      </c>
      <c r="Z2178" s="1" t="s">
        <v>24</v>
      </c>
      <c r="AA2178" s="1" t="s">
        <v>24</v>
      </c>
      <c r="AB2178" s="1" t="s">
        <v>24</v>
      </c>
      <c r="AC2178" s="1" t="s">
        <v>24</v>
      </c>
      <c r="AD2178" s="1" t="s">
        <v>24</v>
      </c>
      <c r="AE2178" s="1" t="s">
        <v>24</v>
      </c>
      <c r="AF2178" s="22"/>
    </row>
    <row r="2179" spans="1:32" x14ac:dyDescent="0.2">
      <c r="A2179" s="1">
        <v>12017</v>
      </c>
      <c r="B2179" s="1" t="s">
        <v>6956</v>
      </c>
      <c r="C2179" s="5" t="s">
        <v>0</v>
      </c>
      <c r="D2179" s="1" t="s">
        <v>6957</v>
      </c>
      <c r="E2179" s="1" t="s">
        <v>6958</v>
      </c>
      <c r="F2179" s="1" t="s">
        <v>310</v>
      </c>
      <c r="G2179" s="1" t="s">
        <v>311</v>
      </c>
      <c r="H2179" s="1" t="s">
        <v>37</v>
      </c>
      <c r="I2179" s="1" t="s">
        <v>16</v>
      </c>
      <c r="J2179" s="1">
        <v>1</v>
      </c>
      <c r="K2179" s="1">
        <v>6</v>
      </c>
      <c r="L2179" s="1" t="s">
        <v>31</v>
      </c>
      <c r="M2179" s="1" t="s">
        <v>18</v>
      </c>
      <c r="N2179" s="1" t="s">
        <v>18</v>
      </c>
      <c r="O2179" s="1">
        <v>3</v>
      </c>
      <c r="P2179" s="1">
        <v>6</v>
      </c>
      <c r="R2179" s="1" t="s">
        <v>19</v>
      </c>
      <c r="S2179" s="1" t="s">
        <v>20</v>
      </c>
      <c r="T2179" s="1" t="s">
        <v>21</v>
      </c>
      <c r="U2179" s="1" t="s">
        <v>22</v>
      </c>
      <c r="V2179" s="1" t="s">
        <v>24</v>
      </c>
      <c r="W2179" s="1" t="s">
        <v>24</v>
      </c>
      <c r="X2179" s="1">
        <v>1314</v>
      </c>
      <c r="Y2179" s="1">
        <v>2737</v>
      </c>
      <c r="Z2179" s="1">
        <v>1105</v>
      </c>
      <c r="AA2179" s="1" t="s">
        <v>24</v>
      </c>
      <c r="AB2179" s="1" t="s">
        <v>24</v>
      </c>
      <c r="AC2179" s="1" t="s">
        <v>24</v>
      </c>
      <c r="AD2179" s="1" t="s">
        <v>24</v>
      </c>
      <c r="AE2179" s="1" t="s">
        <v>24</v>
      </c>
      <c r="AF2179" s="22"/>
    </row>
    <row r="2180" spans="1:32" x14ac:dyDescent="0.2">
      <c r="A2180" s="1">
        <v>12077</v>
      </c>
      <c r="B2180" s="1" t="s">
        <v>6959</v>
      </c>
      <c r="C2180" s="5" t="s">
        <v>0</v>
      </c>
      <c r="D2180" s="1" t="s">
        <v>6960</v>
      </c>
      <c r="F2180" s="1" t="s">
        <v>6961</v>
      </c>
      <c r="G2180" s="1" t="s">
        <v>460</v>
      </c>
      <c r="H2180" s="1" t="s">
        <v>461</v>
      </c>
      <c r="I2180" s="1" t="s">
        <v>16</v>
      </c>
      <c r="J2180" s="1">
        <v>2</v>
      </c>
      <c r="K2180" s="1">
        <v>3</v>
      </c>
      <c r="L2180" s="1" t="s">
        <v>42</v>
      </c>
      <c r="M2180" s="1" t="s">
        <v>18</v>
      </c>
      <c r="N2180" s="1" t="s">
        <v>18</v>
      </c>
      <c r="O2180" s="1">
        <v>3</v>
      </c>
      <c r="P2180" s="1">
        <v>6</v>
      </c>
      <c r="R2180" s="1" t="s">
        <v>19</v>
      </c>
      <c r="S2180" s="1" t="s">
        <v>20</v>
      </c>
      <c r="T2180" s="1" t="s">
        <v>21</v>
      </c>
      <c r="U2180" s="1" t="s">
        <v>22</v>
      </c>
      <c r="V2180" s="1" t="s">
        <v>23</v>
      </c>
      <c r="W2180" s="1" t="s">
        <v>24</v>
      </c>
      <c r="X2180" s="1">
        <v>1308</v>
      </c>
      <c r="Y2180" s="1">
        <v>2701</v>
      </c>
      <c r="Z2180" s="1">
        <v>2916</v>
      </c>
      <c r="AA2180" s="1" t="s">
        <v>24</v>
      </c>
      <c r="AB2180" s="1" t="s">
        <v>24</v>
      </c>
      <c r="AC2180" s="1" t="s">
        <v>24</v>
      </c>
      <c r="AD2180" s="1" t="s">
        <v>24</v>
      </c>
      <c r="AE2180" s="1" t="s">
        <v>24</v>
      </c>
      <c r="AF2180" s="22"/>
    </row>
    <row r="2181" spans="1:32" x14ac:dyDescent="0.2">
      <c r="A2181" s="1">
        <v>12097</v>
      </c>
      <c r="B2181" s="1" t="s">
        <v>6962</v>
      </c>
      <c r="C2181" s="5" t="s">
        <v>0</v>
      </c>
      <c r="D2181" s="1" t="s">
        <v>6963</v>
      </c>
      <c r="E2181" s="1" t="s">
        <v>6964</v>
      </c>
      <c r="F2181" s="1" t="s">
        <v>315</v>
      </c>
      <c r="G2181" s="1" t="s">
        <v>316</v>
      </c>
      <c r="H2181" s="1" t="s">
        <v>37</v>
      </c>
      <c r="I2181" s="1" t="s">
        <v>16</v>
      </c>
      <c r="J2181" s="1">
        <v>1</v>
      </c>
      <c r="K2181" s="1">
        <v>12</v>
      </c>
      <c r="L2181" s="1" t="s">
        <v>31</v>
      </c>
      <c r="M2181" s="1" t="s">
        <v>18</v>
      </c>
      <c r="N2181" s="1" t="s">
        <v>18</v>
      </c>
      <c r="O2181" s="1">
        <v>3</v>
      </c>
      <c r="P2181" s="1">
        <v>7</v>
      </c>
      <c r="Q2181" s="7" t="s">
        <v>17633</v>
      </c>
      <c r="R2181" s="1" t="s">
        <v>19</v>
      </c>
      <c r="S2181" s="1" t="s">
        <v>20</v>
      </c>
      <c r="T2181" s="1" t="s">
        <v>21</v>
      </c>
      <c r="U2181" s="1" t="s">
        <v>22</v>
      </c>
      <c r="V2181" s="1" t="s">
        <v>23</v>
      </c>
      <c r="W2181" s="1" t="s">
        <v>24</v>
      </c>
      <c r="X2181" s="1">
        <v>2728</v>
      </c>
      <c r="Y2181" s="1">
        <v>2808</v>
      </c>
      <c r="Z2181" s="1" t="s">
        <v>24</v>
      </c>
      <c r="AA2181" s="1" t="s">
        <v>24</v>
      </c>
      <c r="AB2181" s="1" t="s">
        <v>24</v>
      </c>
      <c r="AC2181" s="1" t="s">
        <v>24</v>
      </c>
      <c r="AD2181" s="1" t="s">
        <v>24</v>
      </c>
      <c r="AE2181" s="1" t="s">
        <v>24</v>
      </c>
      <c r="AF2181" s="22"/>
    </row>
    <row r="2182" spans="1:32" x14ac:dyDescent="0.2">
      <c r="A2182" s="1">
        <v>12159</v>
      </c>
      <c r="B2182" s="1" t="s">
        <v>6965</v>
      </c>
      <c r="C2182" s="5" t="s">
        <v>0</v>
      </c>
      <c r="D2182" s="1" t="s">
        <v>6966</v>
      </c>
      <c r="F2182" s="1" t="s">
        <v>6967</v>
      </c>
      <c r="G2182" s="1" t="s">
        <v>6967</v>
      </c>
      <c r="H2182" s="1" t="s">
        <v>116</v>
      </c>
      <c r="I2182" s="1" t="s">
        <v>16</v>
      </c>
      <c r="J2182" s="1">
        <v>1</v>
      </c>
      <c r="K2182" s="1">
        <v>4</v>
      </c>
      <c r="L2182" s="1" t="s">
        <v>17</v>
      </c>
      <c r="M2182" s="1" t="s">
        <v>6968</v>
      </c>
      <c r="N2182" s="1" t="s">
        <v>6969</v>
      </c>
      <c r="O2182" s="1">
        <v>1</v>
      </c>
      <c r="P2182" s="1">
        <v>5</v>
      </c>
      <c r="R2182" s="1" t="s">
        <v>19</v>
      </c>
      <c r="S2182" s="1" t="s">
        <v>20</v>
      </c>
      <c r="T2182" s="1" t="s">
        <v>21</v>
      </c>
      <c r="U2182" s="1" t="s">
        <v>22</v>
      </c>
      <c r="V2182" s="1" t="s">
        <v>24</v>
      </c>
      <c r="W2182" s="1" t="s">
        <v>24</v>
      </c>
      <c r="X2182" s="1">
        <v>2735</v>
      </c>
      <c r="Y2182" s="1" t="s">
        <v>24</v>
      </c>
      <c r="Z2182" s="1" t="s">
        <v>24</v>
      </c>
      <c r="AA2182" s="1" t="s">
        <v>24</v>
      </c>
      <c r="AB2182" s="1" t="s">
        <v>24</v>
      </c>
      <c r="AC2182" s="1" t="s">
        <v>24</v>
      </c>
      <c r="AD2182" s="1" t="s">
        <v>24</v>
      </c>
      <c r="AE2182" s="1" t="s">
        <v>24</v>
      </c>
      <c r="AF2182" s="22"/>
    </row>
    <row r="2183" spans="1:32" x14ac:dyDescent="0.2">
      <c r="A2183" s="1">
        <v>12186</v>
      </c>
      <c r="B2183" s="1" t="s">
        <v>6970</v>
      </c>
      <c r="C2183" s="5" t="s">
        <v>0</v>
      </c>
      <c r="D2183" s="1" t="s">
        <v>6971</v>
      </c>
      <c r="E2183" s="1" t="s">
        <v>6972</v>
      </c>
      <c r="F2183" s="1" t="s">
        <v>540</v>
      </c>
      <c r="G2183" s="1" t="s">
        <v>130</v>
      </c>
      <c r="H2183" s="1" t="s">
        <v>684</v>
      </c>
      <c r="I2183" s="1" t="s">
        <v>16</v>
      </c>
      <c r="J2183" s="1">
        <v>1</v>
      </c>
      <c r="K2183" s="1">
        <v>4</v>
      </c>
      <c r="L2183" s="1" t="s">
        <v>31</v>
      </c>
      <c r="M2183" s="1" t="s">
        <v>18</v>
      </c>
      <c r="N2183" s="1" t="s">
        <v>18</v>
      </c>
      <c r="O2183" s="1">
        <v>3</v>
      </c>
      <c r="P2183" s="1">
        <v>6</v>
      </c>
      <c r="R2183" s="1" t="s">
        <v>19</v>
      </c>
      <c r="S2183" s="1" t="s">
        <v>20</v>
      </c>
      <c r="T2183" s="1" t="s">
        <v>21</v>
      </c>
      <c r="U2183" s="1" t="s">
        <v>22</v>
      </c>
      <c r="V2183" s="1" t="s">
        <v>24</v>
      </c>
      <c r="W2183" s="1" t="s">
        <v>24</v>
      </c>
      <c r="X2183" s="1">
        <v>2715</v>
      </c>
      <c r="Y2183" s="1">
        <v>2746</v>
      </c>
      <c r="Z2183" s="1" t="s">
        <v>24</v>
      </c>
      <c r="AA2183" s="1" t="s">
        <v>24</v>
      </c>
      <c r="AB2183" s="1" t="s">
        <v>24</v>
      </c>
      <c r="AC2183" s="1" t="s">
        <v>24</v>
      </c>
      <c r="AD2183" s="1" t="s">
        <v>24</v>
      </c>
      <c r="AE2183" s="1" t="s">
        <v>24</v>
      </c>
      <c r="AF2183" s="22"/>
    </row>
    <row r="2184" spans="1:32" x14ac:dyDescent="0.2">
      <c r="A2184" s="1">
        <v>12217</v>
      </c>
      <c r="B2184" s="1" t="s">
        <v>6973</v>
      </c>
      <c r="C2184" s="5" t="s">
        <v>0</v>
      </c>
      <c r="D2184" s="1" t="s">
        <v>6974</v>
      </c>
      <c r="E2184" s="1" t="s">
        <v>6975</v>
      </c>
      <c r="F2184" s="1" t="s">
        <v>4337</v>
      </c>
      <c r="G2184" s="1" t="s">
        <v>4338</v>
      </c>
      <c r="H2184" s="1" t="s">
        <v>30</v>
      </c>
      <c r="I2184" s="1" t="s">
        <v>16</v>
      </c>
      <c r="J2184" s="1">
        <v>1</v>
      </c>
      <c r="K2184" s="1">
        <v>12</v>
      </c>
      <c r="L2184" s="1" t="s">
        <v>31</v>
      </c>
      <c r="M2184" s="1" t="s">
        <v>18</v>
      </c>
      <c r="N2184" s="1" t="s">
        <v>18</v>
      </c>
      <c r="O2184" s="1">
        <v>3</v>
      </c>
      <c r="P2184" s="1">
        <v>6</v>
      </c>
      <c r="R2184" s="1" t="s">
        <v>19</v>
      </c>
      <c r="S2184" s="1" t="s">
        <v>20</v>
      </c>
      <c r="T2184" s="1" t="s">
        <v>21</v>
      </c>
      <c r="U2184" s="1" t="s">
        <v>22</v>
      </c>
      <c r="V2184" s="1" t="s">
        <v>23</v>
      </c>
      <c r="W2184" s="1" t="s">
        <v>24</v>
      </c>
      <c r="X2184" s="1">
        <v>2739</v>
      </c>
      <c r="Y2184" s="1">
        <v>2725</v>
      </c>
      <c r="Z2184" s="1" t="s">
        <v>24</v>
      </c>
      <c r="AA2184" s="1" t="s">
        <v>24</v>
      </c>
      <c r="AB2184" s="1" t="s">
        <v>24</v>
      </c>
      <c r="AC2184" s="1" t="s">
        <v>24</v>
      </c>
      <c r="AD2184" s="1" t="s">
        <v>24</v>
      </c>
      <c r="AE2184" s="1" t="s">
        <v>24</v>
      </c>
      <c r="AF2184" s="22"/>
    </row>
    <row r="2185" spans="1:32" x14ac:dyDescent="0.2">
      <c r="A2185" s="1">
        <v>12218</v>
      </c>
      <c r="B2185" s="1" t="s">
        <v>6976</v>
      </c>
      <c r="C2185" s="5" t="s">
        <v>0</v>
      </c>
      <c r="D2185" s="1" t="s">
        <v>6977</v>
      </c>
      <c r="F2185" s="1" t="s">
        <v>6978</v>
      </c>
      <c r="G2185" s="1" t="s">
        <v>6978</v>
      </c>
      <c r="H2185" s="1" t="s">
        <v>92</v>
      </c>
      <c r="I2185" s="1" t="s">
        <v>16</v>
      </c>
      <c r="J2185" s="1">
        <v>1</v>
      </c>
      <c r="K2185" s="1">
        <v>1</v>
      </c>
      <c r="L2185" s="1" t="s">
        <v>17</v>
      </c>
      <c r="M2185" s="1" t="s">
        <v>18</v>
      </c>
      <c r="N2185" s="1" t="s">
        <v>18</v>
      </c>
      <c r="O2185" s="1">
        <v>0</v>
      </c>
      <c r="P2185" s="1">
        <v>6</v>
      </c>
      <c r="R2185" s="1" t="s">
        <v>19</v>
      </c>
      <c r="S2185" s="1" t="s">
        <v>20</v>
      </c>
      <c r="T2185" s="1" t="s">
        <v>21</v>
      </c>
      <c r="U2185" s="1" t="s">
        <v>22</v>
      </c>
      <c r="V2185" s="1" t="s">
        <v>24</v>
      </c>
      <c r="W2185" s="1" t="s">
        <v>24</v>
      </c>
      <c r="X2185" s="1">
        <v>2728</v>
      </c>
      <c r="Y2185" s="1">
        <v>2808</v>
      </c>
      <c r="Z2185" s="1" t="s">
        <v>24</v>
      </c>
      <c r="AA2185" s="1" t="s">
        <v>24</v>
      </c>
      <c r="AB2185" s="1" t="s">
        <v>24</v>
      </c>
      <c r="AC2185" s="1" t="s">
        <v>24</v>
      </c>
      <c r="AD2185" s="1" t="s">
        <v>24</v>
      </c>
      <c r="AE2185" s="1" t="s">
        <v>24</v>
      </c>
      <c r="AF2185" s="22"/>
    </row>
    <row r="2186" spans="1:32" x14ac:dyDescent="0.2">
      <c r="A2186" s="1">
        <v>12219</v>
      </c>
      <c r="B2186" s="1" t="s">
        <v>6979</v>
      </c>
      <c r="C2186" s="5" t="s">
        <v>0</v>
      </c>
      <c r="D2186" s="1" t="s">
        <v>6980</v>
      </c>
      <c r="E2186" s="1" t="s">
        <v>6981</v>
      </c>
      <c r="F2186" s="1" t="s">
        <v>6982</v>
      </c>
      <c r="G2186" s="1" t="s">
        <v>6983</v>
      </c>
      <c r="H2186" s="1" t="s">
        <v>30</v>
      </c>
      <c r="I2186" s="1" t="s">
        <v>16</v>
      </c>
      <c r="J2186" s="1">
        <v>1</v>
      </c>
      <c r="K2186" s="1">
        <v>12</v>
      </c>
      <c r="L2186" s="1" t="s">
        <v>42</v>
      </c>
      <c r="M2186" s="1" t="s">
        <v>18</v>
      </c>
      <c r="N2186" s="1" t="s">
        <v>18</v>
      </c>
      <c r="O2186" s="1">
        <v>3</v>
      </c>
      <c r="P2186" s="1">
        <v>5</v>
      </c>
      <c r="R2186" s="1" t="s">
        <v>19</v>
      </c>
      <c r="S2186" s="1" t="s">
        <v>63</v>
      </c>
      <c r="T2186" s="1" t="s">
        <v>21</v>
      </c>
      <c r="U2186" s="1" t="s">
        <v>22</v>
      </c>
      <c r="V2186" s="1" t="s">
        <v>24</v>
      </c>
      <c r="W2186" s="1" t="s">
        <v>24</v>
      </c>
      <c r="X2186" s="1">
        <v>2700</v>
      </c>
      <c r="Y2186" s="1" t="s">
        <v>24</v>
      </c>
      <c r="Z2186" s="1" t="s">
        <v>24</v>
      </c>
      <c r="AA2186" s="1" t="s">
        <v>24</v>
      </c>
      <c r="AB2186" s="1" t="s">
        <v>24</v>
      </c>
      <c r="AC2186" s="1" t="s">
        <v>24</v>
      </c>
      <c r="AD2186" s="1" t="s">
        <v>24</v>
      </c>
      <c r="AE2186" s="1" t="s">
        <v>24</v>
      </c>
      <c r="AF2186" s="22"/>
    </row>
    <row r="2187" spans="1:32" x14ac:dyDescent="0.2">
      <c r="A2187" s="1">
        <v>12220</v>
      </c>
      <c r="B2187" s="1" t="s">
        <v>6984</v>
      </c>
      <c r="C2187" s="5" t="s">
        <v>0</v>
      </c>
      <c r="D2187" s="1" t="s">
        <v>6985</v>
      </c>
      <c r="F2187" s="1" t="s">
        <v>2009</v>
      </c>
      <c r="G2187" s="1" t="s">
        <v>2009</v>
      </c>
      <c r="H2187" s="1" t="s">
        <v>111</v>
      </c>
      <c r="I2187" s="1" t="s">
        <v>16</v>
      </c>
      <c r="J2187" s="1">
        <v>1</v>
      </c>
      <c r="K2187" s="1">
        <v>4</v>
      </c>
      <c r="L2187" s="1" t="s">
        <v>42</v>
      </c>
      <c r="M2187" s="1" t="s">
        <v>413</v>
      </c>
      <c r="N2187" s="1" t="s">
        <v>18</v>
      </c>
      <c r="O2187" s="1">
        <v>3</v>
      </c>
      <c r="P2187" s="1">
        <v>5</v>
      </c>
      <c r="R2187" s="1" t="s">
        <v>19</v>
      </c>
      <c r="S2187" s="1" t="s">
        <v>20</v>
      </c>
      <c r="T2187" s="1" t="s">
        <v>21</v>
      </c>
      <c r="U2187" s="1" t="s">
        <v>22</v>
      </c>
      <c r="V2187" s="1" t="s">
        <v>23</v>
      </c>
      <c r="W2187" s="1" t="s">
        <v>24</v>
      </c>
      <c r="X2187" s="1">
        <v>2738</v>
      </c>
      <c r="Y2187" s="1">
        <v>2735</v>
      </c>
      <c r="Z2187" s="1">
        <v>3203</v>
      </c>
      <c r="AA2187" s="1" t="s">
        <v>24</v>
      </c>
      <c r="AB2187" s="1" t="s">
        <v>24</v>
      </c>
      <c r="AC2187" s="1" t="s">
        <v>24</v>
      </c>
      <c r="AD2187" s="1" t="s">
        <v>24</v>
      </c>
      <c r="AE2187" s="1" t="s">
        <v>24</v>
      </c>
      <c r="AF2187" s="22"/>
    </row>
    <row r="2188" spans="1:32" x14ac:dyDescent="0.2">
      <c r="A2188" s="1">
        <v>12221</v>
      </c>
      <c r="B2188" s="1" t="s">
        <v>6986</v>
      </c>
      <c r="C2188" s="5" t="s">
        <v>0</v>
      </c>
      <c r="D2188" s="1" t="s">
        <v>6987</v>
      </c>
      <c r="E2188" s="1" t="s">
        <v>6988</v>
      </c>
      <c r="F2188" s="1" t="s">
        <v>35</v>
      </c>
      <c r="G2188" s="1" t="s">
        <v>36</v>
      </c>
      <c r="H2188" s="1" t="s">
        <v>37</v>
      </c>
      <c r="I2188" s="1" t="s">
        <v>16</v>
      </c>
      <c r="J2188" s="1">
        <v>1</v>
      </c>
      <c r="K2188" s="1">
        <v>12</v>
      </c>
      <c r="L2188" s="1" t="s">
        <v>31</v>
      </c>
      <c r="M2188" s="1" t="s">
        <v>18</v>
      </c>
      <c r="N2188" s="1" t="s">
        <v>18</v>
      </c>
      <c r="O2188" s="1">
        <v>3</v>
      </c>
      <c r="P2188" s="1">
        <v>7</v>
      </c>
      <c r="Q2188" s="7" t="s">
        <v>17633</v>
      </c>
      <c r="R2188" s="1" t="s">
        <v>19</v>
      </c>
      <c r="S2188" s="1" t="s">
        <v>20</v>
      </c>
      <c r="T2188" s="1" t="s">
        <v>21</v>
      </c>
      <c r="U2188" s="1" t="s">
        <v>22</v>
      </c>
      <c r="V2188" s="1" t="s">
        <v>24</v>
      </c>
      <c r="W2188" s="1" t="s">
        <v>24</v>
      </c>
      <c r="X2188" s="1">
        <v>2703</v>
      </c>
      <c r="Y2188" s="1">
        <v>2735</v>
      </c>
      <c r="Z2188" s="1" t="s">
        <v>24</v>
      </c>
      <c r="AA2188" s="1" t="s">
        <v>24</v>
      </c>
      <c r="AB2188" s="1" t="s">
        <v>24</v>
      </c>
      <c r="AC2188" s="1" t="s">
        <v>24</v>
      </c>
      <c r="AD2188" s="1" t="s">
        <v>24</v>
      </c>
      <c r="AE2188" s="1" t="s">
        <v>24</v>
      </c>
      <c r="AF2188" s="22"/>
    </row>
    <row r="2189" spans="1:32" x14ac:dyDescent="0.2">
      <c r="A2189" s="1">
        <v>12223</v>
      </c>
      <c r="B2189" s="1" t="s">
        <v>6989</v>
      </c>
      <c r="C2189" s="5" t="s">
        <v>0</v>
      </c>
      <c r="D2189" s="1" t="s">
        <v>6990</v>
      </c>
      <c r="E2189" s="1" t="s">
        <v>6991</v>
      </c>
      <c r="F2189" s="1" t="s">
        <v>85</v>
      </c>
      <c r="G2189" s="1" t="s">
        <v>61</v>
      </c>
      <c r="H2189" s="1" t="s">
        <v>86</v>
      </c>
      <c r="I2189" s="1" t="s">
        <v>16</v>
      </c>
      <c r="J2189" s="1">
        <v>1</v>
      </c>
      <c r="K2189" s="1">
        <v>6</v>
      </c>
      <c r="L2189" s="1" t="s">
        <v>31</v>
      </c>
      <c r="M2189" s="1" t="s">
        <v>87</v>
      </c>
      <c r="N2189" s="1" t="s">
        <v>199</v>
      </c>
      <c r="O2189" s="1">
        <v>3</v>
      </c>
      <c r="P2189" s="1">
        <v>6</v>
      </c>
      <c r="R2189" s="1" t="s">
        <v>19</v>
      </c>
      <c r="S2189" s="1" t="s">
        <v>20</v>
      </c>
      <c r="T2189" s="1" t="s">
        <v>21</v>
      </c>
      <c r="U2189" s="1" t="s">
        <v>22</v>
      </c>
      <c r="V2189" s="1" t="s">
        <v>24</v>
      </c>
      <c r="W2189" s="1" t="s">
        <v>24</v>
      </c>
      <c r="X2189" s="1">
        <v>2720</v>
      </c>
      <c r="Y2189" s="1">
        <v>1308</v>
      </c>
      <c r="Z2189" s="1">
        <v>2704</v>
      </c>
      <c r="AA2189" s="1" t="s">
        <v>24</v>
      </c>
      <c r="AB2189" s="1" t="s">
        <v>24</v>
      </c>
      <c r="AC2189" s="1" t="s">
        <v>24</v>
      </c>
      <c r="AD2189" s="1" t="s">
        <v>24</v>
      </c>
      <c r="AE2189" s="1" t="s">
        <v>24</v>
      </c>
      <c r="AF2189" s="22"/>
    </row>
    <row r="2190" spans="1:32" x14ac:dyDescent="0.2">
      <c r="A2190" s="1">
        <v>12224</v>
      </c>
      <c r="B2190" s="1" t="s">
        <v>6992</v>
      </c>
      <c r="C2190" s="5" t="s">
        <v>0</v>
      </c>
      <c r="D2190" s="1" t="s">
        <v>6993</v>
      </c>
      <c r="E2190" s="1" t="s">
        <v>6994</v>
      </c>
      <c r="F2190" s="1" t="s">
        <v>155</v>
      </c>
      <c r="G2190" s="1" t="s">
        <v>61</v>
      </c>
      <c r="H2190" s="1" t="s">
        <v>37</v>
      </c>
      <c r="I2190" s="1" t="s">
        <v>16</v>
      </c>
      <c r="J2190" s="1">
        <v>1</v>
      </c>
      <c r="K2190" s="1">
        <v>4</v>
      </c>
      <c r="L2190" s="1" t="s">
        <v>31</v>
      </c>
      <c r="M2190" s="1" t="s">
        <v>18</v>
      </c>
      <c r="N2190" s="1" t="s">
        <v>18</v>
      </c>
      <c r="O2190" s="1">
        <v>3</v>
      </c>
      <c r="P2190" s="1">
        <v>7</v>
      </c>
      <c r="Q2190" s="7" t="s">
        <v>17633</v>
      </c>
      <c r="R2190" s="1" t="s">
        <v>19</v>
      </c>
      <c r="S2190" s="1" t="s">
        <v>20</v>
      </c>
      <c r="T2190" s="1" t="s">
        <v>21</v>
      </c>
      <c r="U2190" s="1" t="s">
        <v>22</v>
      </c>
      <c r="V2190" s="1" t="s">
        <v>23</v>
      </c>
      <c r="W2190" s="1" t="s">
        <v>24</v>
      </c>
      <c r="X2190" s="1">
        <v>2732</v>
      </c>
      <c r="Y2190" s="1" t="s">
        <v>24</v>
      </c>
      <c r="Z2190" s="1" t="s">
        <v>24</v>
      </c>
      <c r="AA2190" s="1" t="s">
        <v>24</v>
      </c>
      <c r="AB2190" s="1" t="s">
        <v>24</v>
      </c>
      <c r="AC2190" s="1" t="s">
        <v>24</v>
      </c>
      <c r="AD2190" s="1" t="s">
        <v>24</v>
      </c>
      <c r="AE2190" s="1" t="s">
        <v>24</v>
      </c>
      <c r="AF2190" s="22"/>
    </row>
    <row r="2191" spans="1:32" x14ac:dyDescent="0.2">
      <c r="A2191" s="1">
        <v>12226</v>
      </c>
      <c r="B2191" s="1" t="s">
        <v>6995</v>
      </c>
      <c r="C2191" s="5" t="s">
        <v>0</v>
      </c>
      <c r="D2191" s="1" t="s">
        <v>6996</v>
      </c>
      <c r="E2191" s="1" t="s">
        <v>6997</v>
      </c>
      <c r="F2191" s="1" t="s">
        <v>97</v>
      </c>
      <c r="G2191" s="1" t="s">
        <v>98</v>
      </c>
      <c r="H2191" s="1" t="s">
        <v>37</v>
      </c>
      <c r="I2191" s="1" t="s">
        <v>16</v>
      </c>
      <c r="J2191" s="1">
        <v>1</v>
      </c>
      <c r="K2191" s="1">
        <v>4</v>
      </c>
      <c r="L2191" s="1" t="s">
        <v>31</v>
      </c>
      <c r="M2191" s="1" t="s">
        <v>18</v>
      </c>
      <c r="N2191" s="1" t="s">
        <v>18</v>
      </c>
      <c r="O2191" s="1">
        <v>3</v>
      </c>
      <c r="P2191" s="1">
        <v>7</v>
      </c>
      <c r="Q2191" s="7" t="s">
        <v>17633</v>
      </c>
      <c r="R2191" s="1" t="s">
        <v>19</v>
      </c>
      <c r="S2191" s="1" t="s">
        <v>20</v>
      </c>
      <c r="T2191" s="1" t="s">
        <v>21</v>
      </c>
      <c r="U2191" s="1" t="s">
        <v>22</v>
      </c>
      <c r="V2191" s="1" t="s">
        <v>24</v>
      </c>
      <c r="W2191" s="1" t="s">
        <v>24</v>
      </c>
      <c r="X2191" s="1">
        <v>2705</v>
      </c>
      <c r="Y2191" s="1" t="s">
        <v>24</v>
      </c>
      <c r="Z2191" s="1" t="s">
        <v>24</v>
      </c>
      <c r="AA2191" s="1" t="s">
        <v>24</v>
      </c>
      <c r="AB2191" s="1" t="s">
        <v>24</v>
      </c>
      <c r="AC2191" s="1" t="s">
        <v>24</v>
      </c>
      <c r="AD2191" s="1" t="s">
        <v>24</v>
      </c>
      <c r="AE2191" s="1" t="s">
        <v>24</v>
      </c>
      <c r="AF2191" s="22"/>
    </row>
    <row r="2192" spans="1:32" x14ac:dyDescent="0.2">
      <c r="A2192" s="1">
        <v>12227</v>
      </c>
      <c r="B2192" s="1" t="s">
        <v>6998</v>
      </c>
      <c r="C2192" s="5" t="s">
        <v>0</v>
      </c>
      <c r="D2192" s="1" t="s">
        <v>6999</v>
      </c>
      <c r="F2192" s="1" t="s">
        <v>7000</v>
      </c>
      <c r="G2192" s="1" t="s">
        <v>7000</v>
      </c>
      <c r="H2192" s="1" t="s">
        <v>1116</v>
      </c>
      <c r="I2192" s="1" t="s">
        <v>16</v>
      </c>
      <c r="J2192" s="1">
        <v>1</v>
      </c>
      <c r="K2192" s="1">
        <v>4</v>
      </c>
      <c r="L2192" s="1" t="s">
        <v>17</v>
      </c>
      <c r="M2192" s="1" t="s">
        <v>4418</v>
      </c>
      <c r="N2192" s="1" t="s">
        <v>18</v>
      </c>
      <c r="O2192" s="1">
        <v>1</v>
      </c>
      <c r="P2192" s="1">
        <v>5</v>
      </c>
      <c r="R2192" s="1" t="s">
        <v>19</v>
      </c>
      <c r="S2192" s="1" t="s">
        <v>20</v>
      </c>
      <c r="T2192" s="1" t="s">
        <v>21</v>
      </c>
      <c r="U2192" s="1" t="s">
        <v>22</v>
      </c>
      <c r="V2192" s="1" t="s">
        <v>23</v>
      </c>
      <c r="W2192" s="1" t="s">
        <v>24</v>
      </c>
      <c r="X2192" s="1">
        <v>2701</v>
      </c>
      <c r="Y2192" s="1">
        <v>2916</v>
      </c>
      <c r="Z2192" s="1" t="s">
        <v>24</v>
      </c>
      <c r="AA2192" s="1" t="s">
        <v>24</v>
      </c>
      <c r="AB2192" s="1" t="s">
        <v>24</v>
      </c>
      <c r="AC2192" s="1" t="s">
        <v>24</v>
      </c>
      <c r="AD2192" s="1" t="s">
        <v>24</v>
      </c>
      <c r="AE2192" s="1" t="s">
        <v>24</v>
      </c>
      <c r="AF2192" s="22"/>
    </row>
    <row r="2193" spans="1:32" x14ac:dyDescent="0.2">
      <c r="A2193" s="1">
        <v>12228</v>
      </c>
      <c r="B2193" s="1" t="s">
        <v>7001</v>
      </c>
      <c r="C2193" s="5" t="s">
        <v>0</v>
      </c>
      <c r="D2193" s="1" t="s">
        <v>7002</v>
      </c>
      <c r="E2193" s="1" t="s">
        <v>7003</v>
      </c>
      <c r="F2193" s="1" t="s">
        <v>7004</v>
      </c>
      <c r="G2193" s="1" t="s">
        <v>36</v>
      </c>
      <c r="H2193" s="1" t="s">
        <v>461</v>
      </c>
      <c r="I2193" s="1" t="s">
        <v>16</v>
      </c>
      <c r="J2193" s="1">
        <v>1</v>
      </c>
      <c r="K2193" s="1">
        <v>6</v>
      </c>
      <c r="L2193" s="1" t="s">
        <v>31</v>
      </c>
      <c r="M2193" s="1" t="s">
        <v>18</v>
      </c>
      <c r="N2193" s="1" t="s">
        <v>18</v>
      </c>
      <c r="O2193" s="1">
        <v>3</v>
      </c>
      <c r="P2193" s="1">
        <v>6</v>
      </c>
      <c r="R2193" s="1" t="s">
        <v>19</v>
      </c>
      <c r="S2193" s="1" t="s">
        <v>20</v>
      </c>
      <c r="T2193" s="1" t="s">
        <v>21</v>
      </c>
      <c r="U2193" s="1" t="s">
        <v>22</v>
      </c>
      <c r="V2193" s="1" t="s">
        <v>24</v>
      </c>
      <c r="W2193" s="1" t="s">
        <v>24</v>
      </c>
      <c r="X2193" s="1">
        <v>2729</v>
      </c>
      <c r="Y2193" s="1" t="s">
        <v>24</v>
      </c>
      <c r="Z2193" s="1" t="s">
        <v>24</v>
      </c>
      <c r="AA2193" s="1" t="s">
        <v>24</v>
      </c>
      <c r="AB2193" s="1" t="s">
        <v>24</v>
      </c>
      <c r="AC2193" s="1" t="s">
        <v>24</v>
      </c>
      <c r="AD2193" s="1" t="s">
        <v>24</v>
      </c>
      <c r="AE2193" s="1" t="s">
        <v>24</v>
      </c>
      <c r="AF2193" s="22"/>
    </row>
    <row r="2194" spans="1:32" x14ac:dyDescent="0.2">
      <c r="A2194" s="1">
        <v>12230</v>
      </c>
      <c r="B2194" s="1" t="s">
        <v>7005</v>
      </c>
      <c r="C2194" s="5" t="s">
        <v>0</v>
      </c>
      <c r="D2194" s="1" t="s">
        <v>7006</v>
      </c>
      <c r="E2194" s="1" t="s">
        <v>7007</v>
      </c>
      <c r="F2194" s="1" t="s">
        <v>155</v>
      </c>
      <c r="G2194" s="1" t="s">
        <v>61</v>
      </c>
      <c r="H2194" s="1" t="s">
        <v>37</v>
      </c>
      <c r="I2194" s="1" t="s">
        <v>16</v>
      </c>
      <c r="J2194" s="1">
        <v>1</v>
      </c>
      <c r="K2194" s="1">
        <v>6</v>
      </c>
      <c r="L2194" s="1" t="s">
        <v>31</v>
      </c>
      <c r="M2194" s="1" t="s">
        <v>18</v>
      </c>
      <c r="N2194" s="1" t="s">
        <v>18</v>
      </c>
      <c r="O2194" s="1">
        <v>3</v>
      </c>
      <c r="P2194" s="1">
        <v>7</v>
      </c>
      <c r="Q2194" s="7" t="s">
        <v>17633</v>
      </c>
      <c r="R2194" s="1" t="s">
        <v>62</v>
      </c>
      <c r="S2194" s="1" t="s">
        <v>20</v>
      </c>
      <c r="T2194" s="1" t="s">
        <v>21</v>
      </c>
      <c r="U2194" s="1" t="s">
        <v>22</v>
      </c>
      <c r="V2194" s="1" t="s">
        <v>24</v>
      </c>
      <c r="W2194" s="1" t="s">
        <v>24</v>
      </c>
      <c r="X2194" s="1">
        <v>2403</v>
      </c>
      <c r="Y2194" s="1">
        <v>2712</v>
      </c>
      <c r="Z2194" s="1">
        <v>2723</v>
      </c>
      <c r="AA2194" s="1">
        <v>1300</v>
      </c>
      <c r="AB2194" s="1" t="s">
        <v>24</v>
      </c>
      <c r="AC2194" s="1" t="s">
        <v>24</v>
      </c>
      <c r="AD2194" s="1" t="s">
        <v>24</v>
      </c>
      <c r="AE2194" s="1" t="s">
        <v>24</v>
      </c>
      <c r="AF2194" s="22"/>
    </row>
    <row r="2195" spans="1:32" x14ac:dyDescent="0.2">
      <c r="A2195" s="1">
        <v>12261</v>
      </c>
      <c r="B2195" s="1" t="s">
        <v>7008</v>
      </c>
      <c r="C2195" s="5" t="s">
        <v>0</v>
      </c>
      <c r="D2195" s="1" t="s">
        <v>7009</v>
      </c>
      <c r="E2195" s="1" t="s">
        <v>7010</v>
      </c>
      <c r="F2195" s="1" t="s">
        <v>4337</v>
      </c>
      <c r="G2195" s="1" t="s">
        <v>4338</v>
      </c>
      <c r="H2195" s="1" t="s">
        <v>30</v>
      </c>
      <c r="I2195" s="1" t="s">
        <v>16</v>
      </c>
      <c r="J2195" s="1">
        <v>1</v>
      </c>
      <c r="K2195" s="1">
        <v>6</v>
      </c>
      <c r="L2195" s="1" t="s">
        <v>31</v>
      </c>
      <c r="M2195" s="1" t="s">
        <v>18</v>
      </c>
      <c r="N2195" s="1" t="s">
        <v>18</v>
      </c>
      <c r="O2195" s="1">
        <v>3</v>
      </c>
      <c r="P2195" s="1">
        <v>7</v>
      </c>
      <c r="Q2195" s="7" t="s">
        <v>17633</v>
      </c>
      <c r="R2195" s="1" t="s">
        <v>19</v>
      </c>
      <c r="S2195" s="1" t="s">
        <v>20</v>
      </c>
      <c r="T2195" s="1" t="s">
        <v>21</v>
      </c>
      <c r="U2195" s="1" t="s">
        <v>22</v>
      </c>
      <c r="V2195" s="1" t="s">
        <v>23</v>
      </c>
      <c r="W2195" s="1" t="s">
        <v>24</v>
      </c>
      <c r="X2195" s="1">
        <v>1306</v>
      </c>
      <c r="Y2195" s="1">
        <v>2730</v>
      </c>
      <c r="Z2195" s="1">
        <v>2741</v>
      </c>
      <c r="AA2195" s="1">
        <v>3004</v>
      </c>
      <c r="AB2195" s="1" t="s">
        <v>24</v>
      </c>
      <c r="AC2195" s="1" t="s">
        <v>24</v>
      </c>
      <c r="AD2195" s="1" t="s">
        <v>24</v>
      </c>
      <c r="AE2195" s="1" t="s">
        <v>24</v>
      </c>
      <c r="AF2195" s="22"/>
    </row>
    <row r="2196" spans="1:32" x14ac:dyDescent="0.2">
      <c r="A2196" s="1">
        <v>12266</v>
      </c>
      <c r="B2196" s="1" t="s">
        <v>7011</v>
      </c>
      <c r="C2196" s="5" t="s">
        <v>0</v>
      </c>
      <c r="D2196" s="1" t="s">
        <v>7012</v>
      </c>
      <c r="E2196" s="1" t="s">
        <v>7013</v>
      </c>
      <c r="F2196" s="1" t="s">
        <v>831</v>
      </c>
      <c r="G2196" s="1" t="s">
        <v>61</v>
      </c>
      <c r="H2196" s="1" t="s">
        <v>37</v>
      </c>
      <c r="I2196" s="1" t="s">
        <v>16</v>
      </c>
      <c r="J2196" s="1">
        <v>1</v>
      </c>
      <c r="K2196" s="1">
        <v>6</v>
      </c>
      <c r="L2196" s="1" t="s">
        <v>31</v>
      </c>
      <c r="M2196" s="1" t="s">
        <v>18</v>
      </c>
      <c r="N2196" s="1" t="s">
        <v>18</v>
      </c>
      <c r="O2196" s="1">
        <v>3</v>
      </c>
      <c r="P2196" s="1">
        <v>7</v>
      </c>
      <c r="Q2196" s="7" t="s">
        <v>17633</v>
      </c>
      <c r="R2196" s="1" t="s">
        <v>19</v>
      </c>
      <c r="S2196" s="1" t="s">
        <v>20</v>
      </c>
      <c r="T2196" s="1" t="s">
        <v>21</v>
      </c>
      <c r="U2196" s="1" t="s">
        <v>22</v>
      </c>
      <c r="V2196" s="1" t="s">
        <v>23</v>
      </c>
      <c r="W2196" s="1" t="s">
        <v>24</v>
      </c>
      <c r="X2196" s="1">
        <v>3612</v>
      </c>
      <c r="Y2196" s="1" t="s">
        <v>24</v>
      </c>
      <c r="Z2196" s="1" t="s">
        <v>24</v>
      </c>
      <c r="AA2196" s="1" t="s">
        <v>24</v>
      </c>
      <c r="AB2196" s="1" t="s">
        <v>24</v>
      </c>
      <c r="AC2196" s="1" t="s">
        <v>24</v>
      </c>
      <c r="AD2196" s="1" t="s">
        <v>24</v>
      </c>
      <c r="AE2196" s="1" t="s">
        <v>24</v>
      </c>
      <c r="AF2196" s="22"/>
    </row>
    <row r="2197" spans="1:32" x14ac:dyDescent="0.2">
      <c r="A2197" s="1">
        <v>12268</v>
      </c>
      <c r="B2197" s="1" t="s">
        <v>7014</v>
      </c>
      <c r="C2197" s="5" t="s">
        <v>0</v>
      </c>
      <c r="D2197" s="1" t="s">
        <v>7015</v>
      </c>
      <c r="E2197" s="1" t="s">
        <v>7016</v>
      </c>
      <c r="F2197" s="1" t="s">
        <v>35</v>
      </c>
      <c r="G2197" s="1" t="s">
        <v>36</v>
      </c>
      <c r="H2197" s="1" t="s">
        <v>37</v>
      </c>
      <c r="I2197" s="1" t="s">
        <v>16</v>
      </c>
      <c r="J2197" s="1">
        <v>1</v>
      </c>
      <c r="K2197" s="1">
        <v>4</v>
      </c>
      <c r="L2197" s="1" t="s">
        <v>31</v>
      </c>
      <c r="M2197" s="1" t="s">
        <v>18</v>
      </c>
      <c r="N2197" s="1" t="s">
        <v>18</v>
      </c>
      <c r="O2197" s="1">
        <v>3</v>
      </c>
      <c r="P2197" s="1">
        <v>7</v>
      </c>
      <c r="Q2197" s="7" t="s">
        <v>17633</v>
      </c>
      <c r="R2197" s="1" t="s">
        <v>19</v>
      </c>
      <c r="S2197" s="1" t="s">
        <v>20</v>
      </c>
      <c r="T2197" s="1" t="s">
        <v>21</v>
      </c>
      <c r="U2197" s="1" t="s">
        <v>22</v>
      </c>
      <c r="V2197" s="1" t="s">
        <v>23</v>
      </c>
      <c r="W2197" s="1" t="s">
        <v>24</v>
      </c>
      <c r="X2197" s="1">
        <v>2701</v>
      </c>
      <c r="Y2197" s="1">
        <v>2738</v>
      </c>
      <c r="Z2197" s="1">
        <v>3004</v>
      </c>
      <c r="AA2197" s="1" t="s">
        <v>24</v>
      </c>
      <c r="AB2197" s="1" t="s">
        <v>24</v>
      </c>
      <c r="AC2197" s="1" t="s">
        <v>24</v>
      </c>
      <c r="AD2197" s="1" t="s">
        <v>24</v>
      </c>
      <c r="AE2197" s="1" t="s">
        <v>24</v>
      </c>
      <c r="AF2197" s="22"/>
    </row>
    <row r="2198" spans="1:32" x14ac:dyDescent="0.2">
      <c r="A2198" s="1">
        <v>12270</v>
      </c>
      <c r="B2198" s="1" t="s">
        <v>7017</v>
      </c>
      <c r="C2198" s="5" t="s">
        <v>0</v>
      </c>
      <c r="D2198" s="1" t="s">
        <v>7018</v>
      </c>
      <c r="E2198" s="1" t="s">
        <v>7019</v>
      </c>
      <c r="F2198" s="1" t="s">
        <v>1808</v>
      </c>
      <c r="G2198" s="1" t="s">
        <v>130</v>
      </c>
      <c r="H2198" s="1" t="s">
        <v>461</v>
      </c>
      <c r="I2198" s="1" t="s">
        <v>16</v>
      </c>
      <c r="J2198" s="1">
        <v>1</v>
      </c>
      <c r="K2198" s="1">
        <v>6</v>
      </c>
      <c r="L2198" s="1" t="s">
        <v>31</v>
      </c>
      <c r="M2198" s="1" t="s">
        <v>18</v>
      </c>
      <c r="N2198" s="1" t="s">
        <v>18</v>
      </c>
      <c r="O2198" s="1">
        <v>3</v>
      </c>
      <c r="P2198" s="1">
        <v>7</v>
      </c>
      <c r="Q2198" s="7" t="s">
        <v>17633</v>
      </c>
      <c r="R2198" s="1" t="s">
        <v>19</v>
      </c>
      <c r="S2198" s="1" t="s">
        <v>20</v>
      </c>
      <c r="T2198" s="1" t="s">
        <v>21</v>
      </c>
      <c r="U2198" s="1" t="s">
        <v>22</v>
      </c>
      <c r="V2198" s="1" t="s">
        <v>24</v>
      </c>
      <c r="W2198" s="1" t="s">
        <v>24</v>
      </c>
      <c r="X2198" s="1">
        <v>1310</v>
      </c>
      <c r="Y2198" s="1">
        <v>2712</v>
      </c>
      <c r="Z2198" s="1">
        <v>2732</v>
      </c>
      <c r="AA2198" s="1" t="s">
        <v>24</v>
      </c>
      <c r="AB2198" s="1" t="s">
        <v>24</v>
      </c>
      <c r="AC2198" s="1" t="s">
        <v>24</v>
      </c>
      <c r="AD2198" s="1" t="s">
        <v>24</v>
      </c>
      <c r="AE2198" s="1" t="s">
        <v>24</v>
      </c>
      <c r="AF2198" s="22"/>
    </row>
    <row r="2199" spans="1:32" x14ac:dyDescent="0.2">
      <c r="A2199" s="1">
        <v>12272</v>
      </c>
      <c r="B2199" s="1" t="s">
        <v>7020</v>
      </c>
      <c r="C2199" s="5" t="s">
        <v>0</v>
      </c>
      <c r="D2199" s="1" t="s">
        <v>7021</v>
      </c>
      <c r="F2199" s="1" t="s">
        <v>7022</v>
      </c>
      <c r="G2199" s="1" t="s">
        <v>7022</v>
      </c>
      <c r="H2199" s="1" t="s">
        <v>684</v>
      </c>
      <c r="I2199" s="1" t="s">
        <v>16</v>
      </c>
      <c r="J2199" s="1">
        <v>1</v>
      </c>
      <c r="K2199" s="1">
        <v>4</v>
      </c>
      <c r="L2199" s="1" t="s">
        <v>17</v>
      </c>
      <c r="M2199" s="1" t="s">
        <v>18</v>
      </c>
      <c r="N2199" s="1" t="s">
        <v>18</v>
      </c>
      <c r="O2199" s="1">
        <v>3</v>
      </c>
      <c r="P2199" s="1">
        <v>6</v>
      </c>
      <c r="R2199" s="1" t="s">
        <v>19</v>
      </c>
      <c r="S2199" s="1" t="s">
        <v>20</v>
      </c>
      <c r="T2199" s="1" t="s">
        <v>21</v>
      </c>
      <c r="U2199" s="1" t="s">
        <v>22</v>
      </c>
      <c r="V2199" s="1" t="s">
        <v>23</v>
      </c>
      <c r="W2199" s="1" t="s">
        <v>24</v>
      </c>
      <c r="X2199" s="1">
        <v>2741</v>
      </c>
      <c r="Y2199" s="1">
        <v>2728</v>
      </c>
      <c r="Z2199" s="1">
        <v>2705</v>
      </c>
      <c r="AA2199" s="1" t="s">
        <v>24</v>
      </c>
      <c r="AB2199" s="1" t="s">
        <v>24</v>
      </c>
      <c r="AC2199" s="1" t="s">
        <v>24</v>
      </c>
      <c r="AD2199" s="1" t="s">
        <v>24</v>
      </c>
      <c r="AE2199" s="1" t="s">
        <v>24</v>
      </c>
      <c r="AF2199" s="22"/>
    </row>
    <row r="2200" spans="1:32" x14ac:dyDescent="0.2">
      <c r="A2200" s="1">
        <v>12275</v>
      </c>
      <c r="B2200" s="1" t="s">
        <v>7023</v>
      </c>
      <c r="C2200" s="5" t="s">
        <v>0</v>
      </c>
      <c r="D2200" s="1" t="s">
        <v>7024</v>
      </c>
      <c r="E2200" s="1" t="s">
        <v>7025</v>
      </c>
      <c r="F2200" s="1" t="s">
        <v>155</v>
      </c>
      <c r="G2200" s="1" t="s">
        <v>61</v>
      </c>
      <c r="H2200" s="1" t="s">
        <v>37</v>
      </c>
      <c r="I2200" s="1" t="s">
        <v>16</v>
      </c>
      <c r="J2200" s="1">
        <v>1</v>
      </c>
      <c r="K2200" s="1">
        <v>24</v>
      </c>
      <c r="L2200" s="1" t="s">
        <v>31</v>
      </c>
      <c r="M2200" s="1" t="s">
        <v>18</v>
      </c>
      <c r="N2200" s="1" t="s">
        <v>18</v>
      </c>
      <c r="O2200" s="1">
        <v>3</v>
      </c>
      <c r="P2200" s="1">
        <v>6</v>
      </c>
      <c r="R2200" s="1" t="s">
        <v>62</v>
      </c>
      <c r="S2200" s="1" t="s">
        <v>20</v>
      </c>
      <c r="T2200" s="1" t="s">
        <v>21</v>
      </c>
      <c r="U2200" s="1" t="s">
        <v>22</v>
      </c>
      <c r="V2200" s="1" t="s">
        <v>24</v>
      </c>
      <c r="W2200" s="1" t="s">
        <v>64</v>
      </c>
      <c r="X2200" s="1">
        <v>3002</v>
      </c>
      <c r="Y2200" s="1">
        <v>3004</v>
      </c>
      <c r="Z2200" s="1" t="s">
        <v>24</v>
      </c>
      <c r="AA2200" s="1" t="s">
        <v>24</v>
      </c>
      <c r="AB2200" s="1" t="s">
        <v>24</v>
      </c>
      <c r="AC2200" s="1" t="s">
        <v>24</v>
      </c>
      <c r="AD2200" s="1" t="s">
        <v>24</v>
      </c>
      <c r="AE2200" s="1" t="s">
        <v>24</v>
      </c>
      <c r="AF2200" s="22"/>
    </row>
    <row r="2201" spans="1:32" x14ac:dyDescent="0.2">
      <c r="A2201" s="1">
        <v>12276</v>
      </c>
      <c r="B2201" s="1" t="s">
        <v>7026</v>
      </c>
      <c r="C2201" s="5" t="s">
        <v>0</v>
      </c>
      <c r="D2201" s="1" t="s">
        <v>7027</v>
      </c>
      <c r="E2201" s="1" t="s">
        <v>7028</v>
      </c>
      <c r="F2201" s="1" t="s">
        <v>548</v>
      </c>
      <c r="G2201" s="1" t="s">
        <v>36</v>
      </c>
      <c r="H2201" s="1" t="s">
        <v>30</v>
      </c>
      <c r="I2201" s="1" t="s">
        <v>16</v>
      </c>
      <c r="J2201" s="1">
        <v>1</v>
      </c>
      <c r="K2201" s="1">
        <v>4</v>
      </c>
      <c r="L2201" s="1" t="s">
        <v>31</v>
      </c>
      <c r="M2201" s="1" t="s">
        <v>18</v>
      </c>
      <c r="N2201" s="1" t="s">
        <v>18</v>
      </c>
      <c r="O2201" s="1">
        <v>3</v>
      </c>
      <c r="P2201" s="1">
        <v>7</v>
      </c>
      <c r="Q2201" s="7" t="s">
        <v>17633</v>
      </c>
      <c r="R2201" s="1" t="s">
        <v>19</v>
      </c>
      <c r="S2201" s="1" t="s">
        <v>20</v>
      </c>
      <c r="T2201" s="1" t="s">
        <v>21</v>
      </c>
      <c r="U2201" s="1" t="s">
        <v>22</v>
      </c>
      <c r="V2201" s="1" t="s">
        <v>23</v>
      </c>
      <c r="W2201" s="1" t="s">
        <v>24</v>
      </c>
      <c r="X2201" s="1">
        <v>2705</v>
      </c>
      <c r="Y2201" s="1">
        <v>2737</v>
      </c>
      <c r="Z2201" s="1" t="s">
        <v>24</v>
      </c>
      <c r="AA2201" s="1" t="s">
        <v>24</v>
      </c>
      <c r="AB2201" s="1" t="s">
        <v>24</v>
      </c>
      <c r="AC2201" s="1" t="s">
        <v>24</v>
      </c>
      <c r="AD2201" s="1" t="s">
        <v>24</v>
      </c>
      <c r="AE2201" s="1" t="s">
        <v>24</v>
      </c>
      <c r="AF2201" s="22"/>
    </row>
    <row r="2202" spans="1:32" x14ac:dyDescent="0.2">
      <c r="A2202" s="1">
        <v>12277</v>
      </c>
      <c r="B2202" s="1" t="s">
        <v>7029</v>
      </c>
      <c r="C2202" s="5" t="s">
        <v>0</v>
      </c>
      <c r="D2202" s="1" t="s">
        <v>7030</v>
      </c>
      <c r="E2202" s="1" t="s">
        <v>7031</v>
      </c>
      <c r="F2202" s="1" t="s">
        <v>60</v>
      </c>
      <c r="G2202" s="1" t="s">
        <v>61</v>
      </c>
      <c r="H2202" s="1" t="s">
        <v>30</v>
      </c>
      <c r="I2202" s="1" t="s">
        <v>16</v>
      </c>
      <c r="J2202" s="1">
        <v>1</v>
      </c>
      <c r="K2202" s="1">
        <v>12</v>
      </c>
      <c r="L2202" s="1" t="s">
        <v>31</v>
      </c>
      <c r="M2202" s="1" t="s">
        <v>18</v>
      </c>
      <c r="N2202" s="1" t="s">
        <v>18</v>
      </c>
      <c r="O2202" s="1">
        <v>3</v>
      </c>
      <c r="P2202" s="1">
        <v>7</v>
      </c>
      <c r="Q2202" s="7" t="s">
        <v>17633</v>
      </c>
      <c r="R2202" s="1" t="s">
        <v>62</v>
      </c>
      <c r="S2202" s="1" t="s">
        <v>63</v>
      </c>
      <c r="T2202" s="1" t="s">
        <v>21</v>
      </c>
      <c r="U2202" s="1" t="s">
        <v>22</v>
      </c>
      <c r="V2202" s="1" t="s">
        <v>24</v>
      </c>
      <c r="W2202" s="1" t="s">
        <v>24</v>
      </c>
      <c r="X2202" s="1">
        <v>1311</v>
      </c>
      <c r="Y2202" s="1">
        <v>2404</v>
      </c>
      <c r="Z2202" s="1" t="s">
        <v>24</v>
      </c>
      <c r="AA2202" s="1" t="s">
        <v>24</v>
      </c>
      <c r="AB2202" s="1" t="s">
        <v>24</v>
      </c>
      <c r="AC2202" s="1" t="s">
        <v>24</v>
      </c>
      <c r="AD2202" s="1" t="s">
        <v>24</v>
      </c>
      <c r="AE2202" s="1" t="s">
        <v>24</v>
      </c>
      <c r="AF2202" s="22"/>
    </row>
    <row r="2203" spans="1:32" x14ac:dyDescent="0.2">
      <c r="A2203" s="1">
        <v>12279</v>
      </c>
      <c r="B2203" s="1" t="s">
        <v>7032</v>
      </c>
      <c r="C2203" s="5" t="s">
        <v>0</v>
      </c>
      <c r="D2203" s="1" t="s">
        <v>7033</v>
      </c>
      <c r="F2203" s="1" t="s">
        <v>7034</v>
      </c>
      <c r="G2203" s="1" t="s">
        <v>7034</v>
      </c>
      <c r="H2203" s="1" t="s">
        <v>684</v>
      </c>
      <c r="I2203" s="1" t="s">
        <v>16</v>
      </c>
      <c r="J2203" s="1">
        <v>1</v>
      </c>
      <c r="K2203" s="1">
        <v>4</v>
      </c>
      <c r="L2203" s="1" t="s">
        <v>42</v>
      </c>
      <c r="M2203" s="1" t="s">
        <v>852</v>
      </c>
      <c r="N2203" s="1" t="s">
        <v>685</v>
      </c>
      <c r="O2203" s="1">
        <v>2</v>
      </c>
      <c r="P2203" s="1">
        <v>5</v>
      </c>
      <c r="R2203" s="1" t="s">
        <v>19</v>
      </c>
      <c r="S2203" s="1" t="s">
        <v>20</v>
      </c>
      <c r="T2203" s="1" t="s">
        <v>21</v>
      </c>
      <c r="U2203" s="1" t="s">
        <v>22</v>
      </c>
      <c r="V2203" s="1" t="s">
        <v>24</v>
      </c>
      <c r="W2203" s="1" t="s">
        <v>24</v>
      </c>
      <c r="X2203" s="1">
        <v>2726</v>
      </c>
      <c r="Y2203" s="1">
        <v>2725</v>
      </c>
      <c r="Z2203" s="1" t="s">
        <v>24</v>
      </c>
      <c r="AA2203" s="1" t="s">
        <v>24</v>
      </c>
      <c r="AB2203" s="1" t="s">
        <v>24</v>
      </c>
      <c r="AC2203" s="1" t="s">
        <v>24</v>
      </c>
      <c r="AD2203" s="1" t="s">
        <v>24</v>
      </c>
      <c r="AE2203" s="1" t="s">
        <v>24</v>
      </c>
      <c r="AF2203" s="22"/>
    </row>
    <row r="2204" spans="1:32" x14ac:dyDescent="0.2">
      <c r="A2204" s="1">
        <v>12282</v>
      </c>
      <c r="B2204" s="1" t="s">
        <v>7035</v>
      </c>
      <c r="C2204" s="5" t="s">
        <v>0</v>
      </c>
      <c r="D2204" s="1" t="s">
        <v>7036</v>
      </c>
      <c r="F2204" s="1" t="s">
        <v>7037</v>
      </c>
      <c r="G2204" s="1" t="s">
        <v>7037</v>
      </c>
      <c r="H2204" s="1" t="s">
        <v>6895</v>
      </c>
      <c r="I2204" s="1" t="s">
        <v>16</v>
      </c>
      <c r="J2204" s="1">
        <v>1</v>
      </c>
      <c r="K2204" s="1">
        <v>4</v>
      </c>
      <c r="L2204" s="1" t="s">
        <v>17</v>
      </c>
      <c r="M2204" s="1" t="s">
        <v>18</v>
      </c>
      <c r="N2204" s="1" t="s">
        <v>18</v>
      </c>
      <c r="O2204" s="1">
        <v>3</v>
      </c>
      <c r="P2204" s="1">
        <v>5</v>
      </c>
      <c r="R2204" s="1" t="s">
        <v>19</v>
      </c>
      <c r="S2204" s="1" t="s">
        <v>20</v>
      </c>
      <c r="T2204" s="1" t="s">
        <v>21</v>
      </c>
      <c r="U2204" s="1" t="s">
        <v>22</v>
      </c>
      <c r="V2204" s="1" t="s">
        <v>24</v>
      </c>
      <c r="W2204" s="1" t="s">
        <v>24</v>
      </c>
      <c r="X2204" s="1">
        <v>2714</v>
      </c>
      <c r="Y2204" s="1" t="s">
        <v>24</v>
      </c>
      <c r="Z2204" s="1" t="s">
        <v>24</v>
      </c>
      <c r="AA2204" s="1" t="s">
        <v>24</v>
      </c>
      <c r="AB2204" s="1" t="s">
        <v>24</v>
      </c>
      <c r="AC2204" s="1" t="s">
        <v>24</v>
      </c>
      <c r="AD2204" s="1" t="s">
        <v>24</v>
      </c>
      <c r="AE2204" s="1" t="s">
        <v>24</v>
      </c>
      <c r="AF2204" s="22"/>
    </row>
    <row r="2205" spans="1:32" x14ac:dyDescent="0.2">
      <c r="A2205" s="1">
        <v>12283</v>
      </c>
      <c r="B2205" s="1" t="s">
        <v>7038</v>
      </c>
      <c r="C2205" s="5" t="s">
        <v>0</v>
      </c>
      <c r="D2205" s="1" t="s">
        <v>7039</v>
      </c>
      <c r="E2205" s="1" t="s">
        <v>7040</v>
      </c>
      <c r="F2205" s="1" t="s">
        <v>129</v>
      </c>
      <c r="G2205" s="1" t="s">
        <v>130</v>
      </c>
      <c r="H2205" s="1" t="s">
        <v>131</v>
      </c>
      <c r="I2205" s="1" t="s">
        <v>16</v>
      </c>
      <c r="J2205" s="1">
        <v>1</v>
      </c>
      <c r="K2205" s="1">
        <v>12</v>
      </c>
      <c r="L2205" s="1" t="s">
        <v>31</v>
      </c>
      <c r="M2205" s="1" t="s">
        <v>18</v>
      </c>
      <c r="N2205" s="1" t="s">
        <v>18</v>
      </c>
      <c r="O2205" s="1">
        <v>3</v>
      </c>
      <c r="P2205" s="1">
        <v>7</v>
      </c>
      <c r="Q2205" s="7" t="s">
        <v>17633</v>
      </c>
      <c r="R2205" s="1" t="s">
        <v>19</v>
      </c>
      <c r="S2205" s="1" t="s">
        <v>20</v>
      </c>
      <c r="T2205" s="1" t="s">
        <v>21</v>
      </c>
      <c r="U2205" s="1" t="s">
        <v>22</v>
      </c>
      <c r="V2205" s="1" t="s">
        <v>24</v>
      </c>
      <c r="W2205" s="1" t="s">
        <v>24</v>
      </c>
      <c r="X2205" s="1">
        <v>2803</v>
      </c>
      <c r="Y2205" s="1">
        <v>2808</v>
      </c>
      <c r="Z2205" s="1">
        <v>2728</v>
      </c>
      <c r="AA2205" s="1">
        <v>2738</v>
      </c>
      <c r="AB2205" s="1" t="s">
        <v>24</v>
      </c>
      <c r="AC2205" s="1" t="s">
        <v>24</v>
      </c>
      <c r="AD2205" s="1" t="s">
        <v>24</v>
      </c>
      <c r="AE2205" s="1" t="s">
        <v>24</v>
      </c>
      <c r="AF2205" s="22"/>
    </row>
    <row r="2206" spans="1:32" x14ac:dyDescent="0.2">
      <c r="A2206" s="1">
        <v>12285</v>
      </c>
      <c r="B2206" s="1" t="s">
        <v>7041</v>
      </c>
      <c r="C2206" s="5" t="s">
        <v>0</v>
      </c>
      <c r="D2206" s="1" t="s">
        <v>7042</v>
      </c>
      <c r="E2206" s="1" t="s">
        <v>7043</v>
      </c>
      <c r="F2206" s="1" t="s">
        <v>493</v>
      </c>
      <c r="G2206" s="1" t="s">
        <v>98</v>
      </c>
      <c r="H2206" s="1" t="s">
        <v>30</v>
      </c>
      <c r="I2206" s="1" t="s">
        <v>16</v>
      </c>
      <c r="J2206" s="1">
        <v>1</v>
      </c>
      <c r="K2206" s="1">
        <v>4</v>
      </c>
      <c r="L2206" s="1" t="s">
        <v>31</v>
      </c>
      <c r="M2206" s="1" t="s">
        <v>18</v>
      </c>
      <c r="N2206" s="1" t="s">
        <v>18</v>
      </c>
      <c r="O2206" s="1">
        <v>3</v>
      </c>
      <c r="P2206" s="1">
        <v>7</v>
      </c>
      <c r="Q2206" s="7" t="s">
        <v>17633</v>
      </c>
      <c r="R2206" s="1" t="s">
        <v>19</v>
      </c>
      <c r="S2206" s="1" t="s">
        <v>20</v>
      </c>
      <c r="T2206" s="1" t="s">
        <v>21</v>
      </c>
      <c r="U2206" s="1" t="s">
        <v>22</v>
      </c>
      <c r="V2206" s="1" t="s">
        <v>24</v>
      </c>
      <c r="W2206" s="1" t="s">
        <v>24</v>
      </c>
      <c r="X2206" s="1">
        <v>2720</v>
      </c>
      <c r="Y2206" s="1" t="s">
        <v>24</v>
      </c>
      <c r="Z2206" s="1" t="s">
        <v>24</v>
      </c>
      <c r="AA2206" s="1" t="s">
        <v>24</v>
      </c>
      <c r="AB2206" s="1" t="s">
        <v>24</v>
      </c>
      <c r="AC2206" s="1" t="s">
        <v>24</v>
      </c>
      <c r="AD2206" s="1" t="s">
        <v>24</v>
      </c>
      <c r="AE2206" s="1" t="s">
        <v>24</v>
      </c>
      <c r="AF2206" s="22"/>
    </row>
    <row r="2207" spans="1:32" x14ac:dyDescent="0.2">
      <c r="A2207" s="1">
        <v>12286</v>
      </c>
      <c r="B2207" s="1" t="s">
        <v>7044</v>
      </c>
      <c r="C2207" s="5" t="s">
        <v>0</v>
      </c>
      <c r="D2207" s="1" t="s">
        <v>7045</v>
      </c>
      <c r="E2207" s="1" t="s">
        <v>7046</v>
      </c>
      <c r="F2207" s="1" t="s">
        <v>35</v>
      </c>
      <c r="G2207" s="1" t="s">
        <v>36</v>
      </c>
      <c r="H2207" s="1" t="s">
        <v>37</v>
      </c>
      <c r="I2207" s="1" t="s">
        <v>16</v>
      </c>
      <c r="J2207" s="1">
        <v>1</v>
      </c>
      <c r="K2207" s="1">
        <v>6</v>
      </c>
      <c r="L2207" s="1" t="s">
        <v>31</v>
      </c>
      <c r="M2207" s="1" t="s">
        <v>18</v>
      </c>
      <c r="N2207" s="1" t="s">
        <v>18</v>
      </c>
      <c r="O2207" s="1">
        <v>3</v>
      </c>
      <c r="P2207" s="1">
        <v>7</v>
      </c>
      <c r="Q2207" s="7" t="s">
        <v>17633</v>
      </c>
      <c r="R2207" s="1" t="s">
        <v>19</v>
      </c>
      <c r="S2207" s="1" t="s">
        <v>20</v>
      </c>
      <c r="T2207" s="1" t="s">
        <v>21</v>
      </c>
      <c r="U2207" s="1" t="s">
        <v>22</v>
      </c>
      <c r="V2207" s="1" t="s">
        <v>24</v>
      </c>
      <c r="W2207" s="1" t="s">
        <v>24</v>
      </c>
      <c r="X2207" s="1">
        <v>2715</v>
      </c>
      <c r="Y2207" s="1">
        <v>2725</v>
      </c>
      <c r="Z2207" s="1" t="s">
        <v>24</v>
      </c>
      <c r="AA2207" s="1" t="s">
        <v>24</v>
      </c>
      <c r="AB2207" s="1" t="s">
        <v>24</v>
      </c>
      <c r="AC2207" s="1" t="s">
        <v>24</v>
      </c>
      <c r="AD2207" s="1" t="s">
        <v>24</v>
      </c>
      <c r="AE2207" s="1" t="s">
        <v>24</v>
      </c>
      <c r="AF2207" s="22"/>
    </row>
    <row r="2208" spans="1:32" x14ac:dyDescent="0.2">
      <c r="A2208" s="1">
        <v>12287</v>
      </c>
      <c r="B2208" s="1" t="s">
        <v>7047</v>
      </c>
      <c r="C2208" s="5" t="s">
        <v>0</v>
      </c>
      <c r="D2208" s="1" t="s">
        <v>7048</v>
      </c>
      <c r="E2208" s="1" t="s">
        <v>7049</v>
      </c>
      <c r="F2208" s="1" t="s">
        <v>548</v>
      </c>
      <c r="G2208" s="1" t="s">
        <v>36</v>
      </c>
      <c r="H2208" s="1" t="s">
        <v>30</v>
      </c>
      <c r="I2208" s="1" t="s">
        <v>16</v>
      </c>
      <c r="J2208" s="1">
        <v>1</v>
      </c>
      <c r="K2208" s="1">
        <v>6</v>
      </c>
      <c r="L2208" s="1" t="s">
        <v>31</v>
      </c>
      <c r="M2208" s="1" t="s">
        <v>18</v>
      </c>
      <c r="N2208" s="1" t="s">
        <v>18</v>
      </c>
      <c r="O2208" s="1">
        <v>3</v>
      </c>
      <c r="P2208" s="1">
        <v>6</v>
      </c>
      <c r="R2208" s="1" t="s">
        <v>19</v>
      </c>
      <c r="S2208" s="1" t="s">
        <v>20</v>
      </c>
      <c r="T2208" s="1" t="s">
        <v>21</v>
      </c>
      <c r="U2208" s="1" t="s">
        <v>22</v>
      </c>
      <c r="V2208" s="1" t="s">
        <v>23</v>
      </c>
      <c r="W2208" s="1" t="s">
        <v>24</v>
      </c>
      <c r="X2208" s="1">
        <v>2724</v>
      </c>
      <c r="Y2208" s="1">
        <v>2730</v>
      </c>
      <c r="Z2208" s="1">
        <v>2746</v>
      </c>
      <c r="AA2208" s="1" t="s">
        <v>24</v>
      </c>
      <c r="AB2208" s="1" t="s">
        <v>24</v>
      </c>
      <c r="AC2208" s="1" t="s">
        <v>24</v>
      </c>
      <c r="AD2208" s="1" t="s">
        <v>24</v>
      </c>
      <c r="AE2208" s="1" t="s">
        <v>24</v>
      </c>
      <c r="AF2208" s="22"/>
    </row>
    <row r="2209" spans="1:32" x14ac:dyDescent="0.2">
      <c r="A2209" s="1">
        <v>12288</v>
      </c>
      <c r="B2209" s="1" t="s">
        <v>7050</v>
      </c>
      <c r="C2209" s="5" t="s">
        <v>0</v>
      </c>
      <c r="D2209" s="1" t="s">
        <v>7051</v>
      </c>
      <c r="E2209" s="1" t="s">
        <v>7052</v>
      </c>
      <c r="F2209" s="1" t="s">
        <v>669</v>
      </c>
      <c r="G2209" s="1" t="s">
        <v>311</v>
      </c>
      <c r="H2209" s="1" t="s">
        <v>30</v>
      </c>
      <c r="I2209" s="1" t="s">
        <v>16</v>
      </c>
      <c r="J2209" s="1">
        <v>1</v>
      </c>
      <c r="K2209" s="1">
        <v>4</v>
      </c>
      <c r="L2209" s="1" t="s">
        <v>31</v>
      </c>
      <c r="M2209" s="1" t="s">
        <v>18</v>
      </c>
      <c r="N2209" s="1" t="s">
        <v>18</v>
      </c>
      <c r="O2209" s="1">
        <v>3</v>
      </c>
      <c r="P2209" s="1">
        <v>6</v>
      </c>
      <c r="R2209" s="1" t="s">
        <v>19</v>
      </c>
      <c r="S2209" s="1" t="s">
        <v>20</v>
      </c>
      <c r="T2209" s="1" t="s">
        <v>21</v>
      </c>
      <c r="U2209" s="1" t="s">
        <v>22</v>
      </c>
      <c r="V2209" s="1" t="s">
        <v>23</v>
      </c>
      <c r="W2209" s="1" t="s">
        <v>24</v>
      </c>
      <c r="X2209" s="1">
        <v>3004</v>
      </c>
      <c r="Y2209" s="1">
        <v>2707</v>
      </c>
      <c r="Z2209" s="1" t="s">
        <v>24</v>
      </c>
      <c r="AA2209" s="1" t="s">
        <v>24</v>
      </c>
      <c r="AB2209" s="1" t="s">
        <v>24</v>
      </c>
      <c r="AC2209" s="1" t="s">
        <v>24</v>
      </c>
      <c r="AD2209" s="1" t="s">
        <v>24</v>
      </c>
      <c r="AE2209" s="1" t="s">
        <v>24</v>
      </c>
      <c r="AF2209" s="22"/>
    </row>
    <row r="2210" spans="1:32" x14ac:dyDescent="0.2">
      <c r="A2210" s="1">
        <v>12289</v>
      </c>
      <c r="B2210" s="1" t="s">
        <v>7053</v>
      </c>
      <c r="C2210" s="5" t="s">
        <v>0</v>
      </c>
      <c r="D2210" s="1" t="s">
        <v>7054</v>
      </c>
      <c r="E2210" s="1" t="s">
        <v>7055</v>
      </c>
      <c r="F2210" s="1" t="s">
        <v>155</v>
      </c>
      <c r="G2210" s="1" t="s">
        <v>61</v>
      </c>
      <c r="H2210" s="1" t="s">
        <v>37</v>
      </c>
      <c r="I2210" s="1" t="s">
        <v>16</v>
      </c>
      <c r="J2210" s="1">
        <v>1</v>
      </c>
      <c r="K2210" s="1">
        <v>6</v>
      </c>
      <c r="L2210" s="1" t="s">
        <v>31</v>
      </c>
      <c r="M2210" s="1" t="s">
        <v>18</v>
      </c>
      <c r="N2210" s="1" t="s">
        <v>18</v>
      </c>
      <c r="O2210" s="1">
        <v>3</v>
      </c>
      <c r="P2210" s="1">
        <v>7</v>
      </c>
      <c r="Q2210" s="7" t="s">
        <v>17633</v>
      </c>
      <c r="R2210" s="1" t="s">
        <v>19</v>
      </c>
      <c r="S2210" s="1" t="s">
        <v>20</v>
      </c>
      <c r="T2210" s="1" t="s">
        <v>21</v>
      </c>
      <c r="U2210" s="1" t="s">
        <v>22</v>
      </c>
      <c r="V2210" s="1" t="s">
        <v>23</v>
      </c>
      <c r="W2210" s="1" t="s">
        <v>24</v>
      </c>
      <c r="X2210" s="1">
        <v>2734</v>
      </c>
      <c r="Y2210" s="1">
        <v>2738</v>
      </c>
      <c r="Z2210" s="1">
        <v>3203</v>
      </c>
      <c r="AA2210" s="1" t="s">
        <v>24</v>
      </c>
      <c r="AB2210" s="1" t="s">
        <v>24</v>
      </c>
      <c r="AC2210" s="1" t="s">
        <v>24</v>
      </c>
      <c r="AD2210" s="1" t="s">
        <v>24</v>
      </c>
      <c r="AE2210" s="1" t="s">
        <v>24</v>
      </c>
      <c r="AF2210" s="22"/>
    </row>
    <row r="2211" spans="1:32" x14ac:dyDescent="0.2">
      <c r="A2211" s="1">
        <v>12291</v>
      </c>
      <c r="B2211" s="1" t="s">
        <v>7056</v>
      </c>
      <c r="C2211" s="5" t="s">
        <v>0</v>
      </c>
      <c r="D2211" s="1" t="s">
        <v>7057</v>
      </c>
      <c r="E2211" s="1" t="s">
        <v>7058</v>
      </c>
      <c r="F2211" s="1" t="s">
        <v>217</v>
      </c>
      <c r="G2211" s="1" t="s">
        <v>130</v>
      </c>
      <c r="H2211" s="1" t="s">
        <v>92</v>
      </c>
      <c r="I2211" s="1" t="s">
        <v>16</v>
      </c>
      <c r="J2211" s="1">
        <v>1</v>
      </c>
      <c r="K2211" s="1">
        <v>12</v>
      </c>
      <c r="L2211" s="1" t="s">
        <v>31</v>
      </c>
      <c r="M2211" s="1" t="s">
        <v>18</v>
      </c>
      <c r="N2211" s="1" t="s">
        <v>18</v>
      </c>
      <c r="O2211" s="1">
        <v>3</v>
      </c>
      <c r="P2211" s="1">
        <v>7</v>
      </c>
      <c r="Q2211" s="7" t="s">
        <v>17633</v>
      </c>
      <c r="R2211" s="1" t="s">
        <v>62</v>
      </c>
      <c r="S2211" s="1" t="s">
        <v>20</v>
      </c>
      <c r="T2211" s="1" t="s">
        <v>21</v>
      </c>
      <c r="U2211" s="1" t="s">
        <v>22</v>
      </c>
      <c r="V2211" s="1" t="s">
        <v>24</v>
      </c>
      <c r="W2211" s="1" t="s">
        <v>64</v>
      </c>
      <c r="X2211" s="1">
        <v>1307</v>
      </c>
      <c r="Y2211" s="1">
        <v>1308</v>
      </c>
      <c r="Z2211" s="1">
        <v>2704</v>
      </c>
      <c r="AA2211" s="1">
        <v>1306</v>
      </c>
      <c r="AB2211" s="1">
        <v>3003</v>
      </c>
      <c r="AC2211" s="1">
        <v>3004</v>
      </c>
      <c r="AD2211" s="1" t="s">
        <v>24</v>
      </c>
      <c r="AE2211" s="1" t="s">
        <v>24</v>
      </c>
      <c r="AF2211" s="22"/>
    </row>
    <row r="2212" spans="1:32" x14ac:dyDescent="0.2">
      <c r="A2212" s="1">
        <v>12292</v>
      </c>
      <c r="B2212" s="1" t="s">
        <v>7059</v>
      </c>
      <c r="C2212" s="5" t="s">
        <v>0</v>
      </c>
      <c r="D2212" s="1" t="s">
        <v>7060</v>
      </c>
      <c r="E2212" s="1" t="s">
        <v>7061</v>
      </c>
      <c r="F2212" s="1" t="s">
        <v>28</v>
      </c>
      <c r="G2212" s="1" t="s">
        <v>29</v>
      </c>
      <c r="H2212" s="1" t="s">
        <v>37</v>
      </c>
      <c r="I2212" s="1" t="s">
        <v>16</v>
      </c>
      <c r="J2212" s="1">
        <v>1</v>
      </c>
      <c r="K2212" s="1">
        <v>6</v>
      </c>
      <c r="L2212" s="1" t="s">
        <v>31</v>
      </c>
      <c r="M2212" s="1" t="s">
        <v>18</v>
      </c>
      <c r="N2212" s="1" t="s">
        <v>18</v>
      </c>
      <c r="O2212" s="1">
        <v>3</v>
      </c>
      <c r="P2212" s="1">
        <v>7</v>
      </c>
      <c r="Q2212" s="7" t="s">
        <v>17633</v>
      </c>
      <c r="R2212" s="1" t="s">
        <v>19</v>
      </c>
      <c r="S2212" s="1" t="s">
        <v>20</v>
      </c>
      <c r="T2212" s="1" t="s">
        <v>21</v>
      </c>
      <c r="U2212" s="1" t="s">
        <v>22</v>
      </c>
      <c r="V2212" s="1" t="s">
        <v>23</v>
      </c>
      <c r="W2212" s="1" t="s">
        <v>24</v>
      </c>
      <c r="X2212" s="1">
        <v>2724</v>
      </c>
      <c r="Y2212" s="1">
        <v>2705</v>
      </c>
      <c r="Z2212" s="1">
        <v>2903</v>
      </c>
      <c r="AA2212" s="1">
        <v>2902</v>
      </c>
      <c r="AB2212" s="1" t="s">
        <v>24</v>
      </c>
      <c r="AC2212" s="1" t="s">
        <v>24</v>
      </c>
      <c r="AD2212" s="1" t="s">
        <v>24</v>
      </c>
      <c r="AE2212" s="1" t="s">
        <v>24</v>
      </c>
      <c r="AF2212" s="22"/>
    </row>
    <row r="2213" spans="1:32" x14ac:dyDescent="0.2">
      <c r="A2213" s="1">
        <v>12293</v>
      </c>
      <c r="B2213" s="1" t="s">
        <v>7062</v>
      </c>
      <c r="C2213" s="5" t="s">
        <v>0</v>
      </c>
      <c r="D2213" s="1" t="s">
        <v>7063</v>
      </c>
      <c r="F2213" s="1" t="s">
        <v>7064</v>
      </c>
      <c r="G2213" s="1" t="s">
        <v>7064</v>
      </c>
      <c r="H2213" s="1" t="s">
        <v>30</v>
      </c>
      <c r="I2213" s="1" t="s">
        <v>16</v>
      </c>
      <c r="J2213" s="1">
        <v>1</v>
      </c>
      <c r="K2213" s="1">
        <v>4</v>
      </c>
      <c r="L2213" s="1" t="s">
        <v>42</v>
      </c>
      <c r="M2213" s="1" t="s">
        <v>18</v>
      </c>
      <c r="N2213" s="1" t="s">
        <v>18</v>
      </c>
      <c r="O2213" s="1">
        <v>3</v>
      </c>
      <c r="P2213" s="1">
        <v>7</v>
      </c>
      <c r="Q2213" s="7" t="s">
        <v>17633</v>
      </c>
      <c r="R2213" s="1" t="s">
        <v>19</v>
      </c>
      <c r="S2213" s="1" t="s">
        <v>20</v>
      </c>
      <c r="T2213" s="1" t="s">
        <v>21</v>
      </c>
      <c r="U2213" s="1" t="s">
        <v>22</v>
      </c>
      <c r="V2213" s="1" t="s">
        <v>24</v>
      </c>
      <c r="W2213" s="1" t="s">
        <v>24</v>
      </c>
      <c r="X2213" s="1">
        <v>3004</v>
      </c>
      <c r="Y2213" s="1">
        <v>3002</v>
      </c>
      <c r="Z2213" s="1">
        <v>1306</v>
      </c>
      <c r="AA2213" s="1" t="s">
        <v>24</v>
      </c>
      <c r="AB2213" s="1" t="s">
        <v>24</v>
      </c>
      <c r="AC2213" s="1" t="s">
        <v>24</v>
      </c>
      <c r="AD2213" s="1" t="s">
        <v>24</v>
      </c>
      <c r="AE2213" s="1" t="s">
        <v>24</v>
      </c>
      <c r="AF2213" s="22"/>
    </row>
    <row r="2214" spans="1:32" x14ac:dyDescent="0.2">
      <c r="A2214" s="1">
        <v>12295</v>
      </c>
      <c r="B2214" s="1" t="s">
        <v>7065</v>
      </c>
      <c r="C2214" s="5" t="s">
        <v>0</v>
      </c>
      <c r="D2214" s="1" t="s">
        <v>7066</v>
      </c>
      <c r="E2214" s="1" t="s">
        <v>7067</v>
      </c>
      <c r="F2214" s="1" t="s">
        <v>5104</v>
      </c>
      <c r="G2214" s="1" t="s">
        <v>5104</v>
      </c>
      <c r="H2214" s="1" t="s">
        <v>37</v>
      </c>
      <c r="I2214" s="1" t="s">
        <v>16</v>
      </c>
      <c r="J2214" s="1">
        <v>1</v>
      </c>
      <c r="K2214" s="1">
        <v>8</v>
      </c>
      <c r="L2214" s="1" t="s">
        <v>42</v>
      </c>
      <c r="M2214" s="1" t="s">
        <v>18</v>
      </c>
      <c r="N2214" s="1" t="s">
        <v>18</v>
      </c>
      <c r="O2214" s="1">
        <v>3</v>
      </c>
      <c r="P2214" s="1">
        <v>7</v>
      </c>
      <c r="Q2214" s="7" t="s">
        <v>17633</v>
      </c>
      <c r="R2214" s="1" t="s">
        <v>62</v>
      </c>
      <c r="S2214" s="1" t="s">
        <v>20</v>
      </c>
      <c r="T2214" s="1" t="s">
        <v>21</v>
      </c>
      <c r="U2214" s="1" t="s">
        <v>22</v>
      </c>
      <c r="V2214" s="1" t="s">
        <v>24</v>
      </c>
      <c r="W2214" s="1" t="s">
        <v>64</v>
      </c>
      <c r="X2214" s="1">
        <v>3004</v>
      </c>
      <c r="Y2214" s="1">
        <v>2736</v>
      </c>
      <c r="Z2214" s="1">
        <v>2725</v>
      </c>
      <c r="AA2214" s="1" t="s">
        <v>24</v>
      </c>
      <c r="AB2214" s="1" t="s">
        <v>24</v>
      </c>
      <c r="AC2214" s="1" t="s">
        <v>24</v>
      </c>
      <c r="AD2214" s="1" t="s">
        <v>24</v>
      </c>
      <c r="AE2214" s="1" t="s">
        <v>24</v>
      </c>
      <c r="AF2214" s="22"/>
    </row>
    <row r="2215" spans="1:32" x14ac:dyDescent="0.2">
      <c r="A2215" s="1">
        <v>12299</v>
      </c>
      <c r="B2215" s="1" t="s">
        <v>7068</v>
      </c>
      <c r="C2215" s="5" t="s">
        <v>0</v>
      </c>
      <c r="D2215" s="1" t="s">
        <v>7069</v>
      </c>
      <c r="E2215" s="1" t="s">
        <v>7070</v>
      </c>
      <c r="F2215" s="1" t="s">
        <v>50</v>
      </c>
      <c r="G2215" s="1" t="s">
        <v>36</v>
      </c>
      <c r="H2215" s="1" t="s">
        <v>51</v>
      </c>
      <c r="I2215" s="1" t="s">
        <v>16</v>
      </c>
      <c r="J2215" s="1">
        <v>1</v>
      </c>
      <c r="K2215" s="1">
        <v>8</v>
      </c>
      <c r="L2215" s="1" t="s">
        <v>31</v>
      </c>
      <c r="M2215" s="1" t="s">
        <v>18</v>
      </c>
      <c r="N2215" s="1" t="s">
        <v>18</v>
      </c>
      <c r="O2215" s="1">
        <v>3</v>
      </c>
      <c r="P2215" s="1">
        <v>7</v>
      </c>
      <c r="Q2215" s="7" t="s">
        <v>17633</v>
      </c>
      <c r="R2215" s="1" t="s">
        <v>19</v>
      </c>
      <c r="S2215" s="1" t="s">
        <v>20</v>
      </c>
      <c r="T2215" s="1" t="s">
        <v>21</v>
      </c>
      <c r="U2215" s="1" t="s">
        <v>22</v>
      </c>
      <c r="V2215" s="1" t="s">
        <v>23</v>
      </c>
      <c r="W2215" s="1" t="s">
        <v>24</v>
      </c>
      <c r="X2215" s="1">
        <v>3500</v>
      </c>
      <c r="Y2215" s="1">
        <v>2733</v>
      </c>
      <c r="Z2215" s="1" t="s">
        <v>24</v>
      </c>
      <c r="AA2215" s="1" t="s">
        <v>24</v>
      </c>
      <c r="AB2215" s="1" t="s">
        <v>24</v>
      </c>
      <c r="AC2215" s="1" t="s">
        <v>24</v>
      </c>
      <c r="AD2215" s="1" t="s">
        <v>24</v>
      </c>
      <c r="AE2215" s="1" t="s">
        <v>24</v>
      </c>
      <c r="AF2215" s="22"/>
    </row>
    <row r="2216" spans="1:32" x14ac:dyDescent="0.2">
      <c r="A2216" s="1">
        <v>12305</v>
      </c>
      <c r="B2216" s="1" t="s">
        <v>7071</v>
      </c>
      <c r="C2216" s="5" t="s">
        <v>0</v>
      </c>
      <c r="D2216" s="1" t="s">
        <v>7072</v>
      </c>
      <c r="F2216" s="1" t="s">
        <v>7073</v>
      </c>
      <c r="G2216" s="1" t="s">
        <v>7074</v>
      </c>
      <c r="H2216" s="1" t="s">
        <v>30</v>
      </c>
      <c r="I2216" s="1" t="s">
        <v>16</v>
      </c>
      <c r="J2216" s="1">
        <v>1</v>
      </c>
      <c r="K2216" s="1">
        <v>2</v>
      </c>
      <c r="L2216" s="1" t="s">
        <v>17</v>
      </c>
      <c r="M2216" s="1" t="s">
        <v>18</v>
      </c>
      <c r="N2216" s="1" t="s">
        <v>18</v>
      </c>
      <c r="O2216" s="1">
        <v>3</v>
      </c>
      <c r="P2216" s="1">
        <v>6</v>
      </c>
      <c r="R2216" s="1" t="s">
        <v>19</v>
      </c>
      <c r="S2216" s="1" t="s">
        <v>20</v>
      </c>
      <c r="T2216" s="1" t="s">
        <v>21</v>
      </c>
      <c r="U2216" s="1" t="s">
        <v>22</v>
      </c>
      <c r="V2216" s="1" t="s">
        <v>23</v>
      </c>
      <c r="W2216" s="1" t="s">
        <v>24</v>
      </c>
      <c r="X2216" s="1">
        <v>2746</v>
      </c>
      <c r="Y2216" s="1">
        <v>2731</v>
      </c>
      <c r="Z2216" s="1">
        <v>2732</v>
      </c>
      <c r="AA2216" s="1">
        <v>2733</v>
      </c>
      <c r="AB2216" s="1">
        <v>3504</v>
      </c>
      <c r="AC2216" s="1" t="s">
        <v>24</v>
      </c>
      <c r="AD2216" s="1" t="s">
        <v>24</v>
      </c>
      <c r="AE2216" s="1" t="s">
        <v>24</v>
      </c>
      <c r="AF2216" s="22"/>
    </row>
    <row r="2217" spans="1:32" x14ac:dyDescent="0.2">
      <c r="A2217" s="1">
        <v>12306</v>
      </c>
      <c r="B2217" s="1" t="s">
        <v>7075</v>
      </c>
      <c r="C2217" s="5" t="s">
        <v>0</v>
      </c>
      <c r="D2217" s="1" t="s">
        <v>7076</v>
      </c>
      <c r="E2217" s="1" t="s">
        <v>7077</v>
      </c>
      <c r="F2217" s="1" t="s">
        <v>109</v>
      </c>
      <c r="G2217" s="1" t="s">
        <v>110</v>
      </c>
      <c r="H2217" s="1" t="s">
        <v>111</v>
      </c>
      <c r="I2217" s="1" t="s">
        <v>16</v>
      </c>
      <c r="J2217" s="1">
        <v>1</v>
      </c>
      <c r="K2217" s="1">
        <v>6</v>
      </c>
      <c r="L2217" s="1" t="s">
        <v>31</v>
      </c>
      <c r="M2217" s="1" t="s">
        <v>18</v>
      </c>
      <c r="N2217" s="1" t="s">
        <v>18</v>
      </c>
      <c r="O2217" s="1">
        <v>3</v>
      </c>
      <c r="P2217" s="1">
        <v>8</v>
      </c>
      <c r="Q2217" s="7" t="s">
        <v>17633</v>
      </c>
      <c r="R2217" s="1" t="s">
        <v>19</v>
      </c>
      <c r="S2217" s="1" t="s">
        <v>20</v>
      </c>
      <c r="T2217" s="1" t="s">
        <v>21</v>
      </c>
      <c r="U2217" s="1" t="s">
        <v>22</v>
      </c>
      <c r="V2217" s="1" t="s">
        <v>24</v>
      </c>
      <c r="W2217" s="1" t="s">
        <v>24</v>
      </c>
      <c r="X2217" s="1">
        <v>2727</v>
      </c>
      <c r="Y2217" s="1">
        <v>2705</v>
      </c>
      <c r="Z2217" s="1" t="s">
        <v>24</v>
      </c>
      <c r="AA2217" s="1" t="s">
        <v>24</v>
      </c>
      <c r="AB2217" s="1" t="s">
        <v>24</v>
      </c>
      <c r="AC2217" s="1" t="s">
        <v>24</v>
      </c>
      <c r="AD2217" s="1" t="s">
        <v>24</v>
      </c>
      <c r="AE2217" s="1" t="s">
        <v>24</v>
      </c>
      <c r="AF2217" s="22"/>
    </row>
    <row r="2218" spans="1:32" x14ac:dyDescent="0.2">
      <c r="A2218" s="1">
        <v>12311</v>
      </c>
      <c r="B2218" s="1" t="s">
        <v>7078</v>
      </c>
      <c r="C2218" s="5" t="s">
        <v>0</v>
      </c>
      <c r="D2218" s="1" t="s">
        <v>7079</v>
      </c>
      <c r="F2218" s="1" t="s">
        <v>7078</v>
      </c>
      <c r="G2218" s="1" t="s">
        <v>7078</v>
      </c>
      <c r="H2218" s="1" t="s">
        <v>899</v>
      </c>
      <c r="I2218" s="1" t="s">
        <v>16</v>
      </c>
      <c r="J2218" s="1">
        <v>1</v>
      </c>
      <c r="K2218" s="1">
        <v>4</v>
      </c>
      <c r="L2218" s="1" t="s">
        <v>17</v>
      </c>
      <c r="M2218" s="1" t="s">
        <v>18</v>
      </c>
      <c r="N2218" s="1" t="s">
        <v>18</v>
      </c>
      <c r="O2218" s="1">
        <v>3</v>
      </c>
      <c r="P2218" s="1">
        <v>6</v>
      </c>
      <c r="R2218" s="1" t="s">
        <v>19</v>
      </c>
      <c r="S2218" s="1" t="s">
        <v>20</v>
      </c>
      <c r="T2218" s="1" t="s">
        <v>21</v>
      </c>
      <c r="U2218" s="1" t="s">
        <v>22</v>
      </c>
      <c r="V2218" s="1" t="s">
        <v>24</v>
      </c>
      <c r="W2218" s="1" t="s">
        <v>24</v>
      </c>
      <c r="X2218" s="1">
        <v>2700</v>
      </c>
      <c r="Y2218" s="1" t="s">
        <v>24</v>
      </c>
      <c r="Z2218" s="1" t="s">
        <v>24</v>
      </c>
      <c r="AA2218" s="1" t="s">
        <v>24</v>
      </c>
      <c r="AB2218" s="1" t="s">
        <v>24</v>
      </c>
      <c r="AC2218" s="1" t="s">
        <v>24</v>
      </c>
      <c r="AD2218" s="1" t="s">
        <v>24</v>
      </c>
      <c r="AE2218" s="1" t="s">
        <v>24</v>
      </c>
      <c r="AF2218" s="22"/>
    </row>
    <row r="2219" spans="1:32" x14ac:dyDescent="0.2">
      <c r="A2219" s="1">
        <v>12315</v>
      </c>
      <c r="B2219" s="1" t="s">
        <v>7080</v>
      </c>
      <c r="C2219" s="5" t="s">
        <v>0</v>
      </c>
      <c r="D2219" s="1" t="s">
        <v>7081</v>
      </c>
      <c r="F2219" s="1" t="s">
        <v>7082</v>
      </c>
      <c r="G2219" s="1" t="s">
        <v>7082</v>
      </c>
      <c r="H2219" s="1" t="s">
        <v>30</v>
      </c>
      <c r="I2219" s="1" t="s">
        <v>16</v>
      </c>
      <c r="J2219" s="1">
        <v>1</v>
      </c>
      <c r="K2219" s="1">
        <v>12</v>
      </c>
      <c r="L2219" s="1" t="s">
        <v>42</v>
      </c>
      <c r="M2219" s="1" t="s">
        <v>18</v>
      </c>
      <c r="N2219" s="1" t="s">
        <v>18</v>
      </c>
      <c r="O2219" s="1">
        <v>3</v>
      </c>
      <c r="P2219" s="1">
        <v>7</v>
      </c>
      <c r="Q2219" s="7" t="s">
        <v>17633</v>
      </c>
      <c r="R2219" s="1" t="s">
        <v>19</v>
      </c>
      <c r="S2219" s="1" t="s">
        <v>20</v>
      </c>
      <c r="T2219" s="1" t="s">
        <v>21</v>
      </c>
      <c r="U2219" s="1" t="s">
        <v>22</v>
      </c>
      <c r="V2219" s="1" t="s">
        <v>23</v>
      </c>
      <c r="W2219" s="1" t="s">
        <v>24</v>
      </c>
      <c r="X2219" s="1">
        <v>2700</v>
      </c>
      <c r="Y2219" s="1" t="s">
        <v>24</v>
      </c>
      <c r="Z2219" s="1" t="s">
        <v>24</v>
      </c>
      <c r="AA2219" s="1" t="s">
        <v>24</v>
      </c>
      <c r="AB2219" s="1" t="s">
        <v>24</v>
      </c>
      <c r="AC2219" s="1" t="s">
        <v>24</v>
      </c>
      <c r="AD2219" s="1" t="s">
        <v>24</v>
      </c>
      <c r="AE2219" s="1" t="s">
        <v>24</v>
      </c>
      <c r="AF2219" s="22"/>
    </row>
    <row r="2220" spans="1:32" x14ac:dyDescent="0.2">
      <c r="A2220" s="1">
        <v>12317</v>
      </c>
      <c r="B2220" s="1" t="s">
        <v>7083</v>
      </c>
      <c r="C2220" s="5" t="s">
        <v>0</v>
      </c>
      <c r="D2220" s="1" t="s">
        <v>7084</v>
      </c>
      <c r="E2220" s="1" t="s">
        <v>7085</v>
      </c>
      <c r="F2220" s="1" t="s">
        <v>155</v>
      </c>
      <c r="G2220" s="1" t="s">
        <v>61</v>
      </c>
      <c r="H2220" s="1" t="s">
        <v>116</v>
      </c>
      <c r="I2220" s="1" t="s">
        <v>16</v>
      </c>
      <c r="J2220" s="1">
        <v>1</v>
      </c>
      <c r="K2220" s="1">
        <v>4</v>
      </c>
      <c r="L2220" s="1" t="s">
        <v>31</v>
      </c>
      <c r="M2220" s="1" t="s">
        <v>2903</v>
      </c>
      <c r="N2220" s="1" t="s">
        <v>7086</v>
      </c>
      <c r="O2220" s="1">
        <v>1</v>
      </c>
      <c r="P2220" s="1">
        <v>5</v>
      </c>
      <c r="R2220" s="1" t="s">
        <v>19</v>
      </c>
      <c r="S2220" s="1" t="s">
        <v>20</v>
      </c>
      <c r="T2220" s="1" t="s">
        <v>21</v>
      </c>
      <c r="U2220" s="1" t="s">
        <v>22</v>
      </c>
      <c r="V2220" s="1" t="s">
        <v>24</v>
      </c>
      <c r="W2220" s="1" t="s">
        <v>24</v>
      </c>
      <c r="X2220" s="1">
        <v>2738</v>
      </c>
      <c r="Y2220" s="1" t="s">
        <v>24</v>
      </c>
      <c r="Z2220" s="1" t="s">
        <v>24</v>
      </c>
      <c r="AA2220" s="1" t="s">
        <v>24</v>
      </c>
      <c r="AB2220" s="1" t="s">
        <v>24</v>
      </c>
      <c r="AC2220" s="1" t="s">
        <v>24</v>
      </c>
      <c r="AD2220" s="1" t="s">
        <v>24</v>
      </c>
      <c r="AE2220" s="1" t="s">
        <v>24</v>
      </c>
      <c r="AF2220" s="22" t="s">
        <v>17670</v>
      </c>
    </row>
    <row r="2221" spans="1:32" x14ac:dyDescent="0.2">
      <c r="A2221" s="1">
        <v>12318</v>
      </c>
      <c r="B2221" s="1" t="s">
        <v>7087</v>
      </c>
      <c r="C2221" s="5" t="s">
        <v>0</v>
      </c>
      <c r="D2221" s="1" t="s">
        <v>7088</v>
      </c>
      <c r="F2221" s="1" t="s">
        <v>4975</v>
      </c>
      <c r="G2221" s="1" t="s">
        <v>4975</v>
      </c>
      <c r="H2221" s="1" t="s">
        <v>2772</v>
      </c>
      <c r="I2221" s="1" t="s">
        <v>16</v>
      </c>
      <c r="J2221" s="1">
        <v>1</v>
      </c>
      <c r="K2221" s="1">
        <v>4</v>
      </c>
      <c r="L2221" s="1" t="s">
        <v>42</v>
      </c>
      <c r="M2221" s="1" t="s">
        <v>18</v>
      </c>
      <c r="N2221" s="1" t="s">
        <v>18</v>
      </c>
      <c r="O2221" s="1">
        <v>3</v>
      </c>
      <c r="P2221" s="1">
        <v>5</v>
      </c>
      <c r="R2221" s="1" t="s">
        <v>19</v>
      </c>
      <c r="S2221" s="1" t="s">
        <v>20</v>
      </c>
      <c r="T2221" s="1" t="s">
        <v>21</v>
      </c>
      <c r="U2221" s="1" t="s">
        <v>22</v>
      </c>
      <c r="V2221" s="1" t="s">
        <v>24</v>
      </c>
      <c r="W2221" s="1" t="s">
        <v>24</v>
      </c>
      <c r="X2221" s="1">
        <v>3002</v>
      </c>
      <c r="Y2221" s="1">
        <v>1605</v>
      </c>
      <c r="Z2221" s="1" t="s">
        <v>24</v>
      </c>
      <c r="AA2221" s="1" t="s">
        <v>24</v>
      </c>
      <c r="AB2221" s="1" t="s">
        <v>24</v>
      </c>
      <c r="AC2221" s="1" t="s">
        <v>24</v>
      </c>
      <c r="AD2221" s="1" t="s">
        <v>24</v>
      </c>
      <c r="AE2221" s="1" t="s">
        <v>24</v>
      </c>
      <c r="AF2221" s="22"/>
    </row>
    <row r="2222" spans="1:32" x14ac:dyDescent="0.2">
      <c r="A2222" s="1">
        <v>12319</v>
      </c>
      <c r="B2222" s="1" t="s">
        <v>7089</v>
      </c>
      <c r="C2222" s="5" t="s">
        <v>0</v>
      </c>
      <c r="D2222" s="1" t="s">
        <v>7090</v>
      </c>
      <c r="F2222" s="1" t="s">
        <v>7091</v>
      </c>
      <c r="G2222" s="1" t="s">
        <v>7092</v>
      </c>
      <c r="H2222" s="1" t="s">
        <v>684</v>
      </c>
      <c r="I2222" s="1" t="s">
        <v>16</v>
      </c>
      <c r="J2222" s="1">
        <v>0</v>
      </c>
      <c r="K2222" s="1">
        <v>0</v>
      </c>
      <c r="L2222" s="1" t="s">
        <v>17</v>
      </c>
      <c r="M2222" s="1" t="s">
        <v>852</v>
      </c>
      <c r="N2222" s="1" t="s">
        <v>685</v>
      </c>
      <c r="O2222" s="1">
        <v>1</v>
      </c>
      <c r="P2222" s="1">
        <v>5</v>
      </c>
      <c r="R2222" s="1" t="s">
        <v>19</v>
      </c>
      <c r="S2222" s="1" t="s">
        <v>20</v>
      </c>
      <c r="T2222" s="1" t="s">
        <v>21</v>
      </c>
      <c r="U2222" s="1" t="s">
        <v>22</v>
      </c>
      <c r="V2222" s="1" t="s">
        <v>23</v>
      </c>
      <c r="W2222" s="1" t="s">
        <v>24</v>
      </c>
      <c r="X2222" s="1">
        <v>2707</v>
      </c>
      <c r="Y2222" s="1" t="s">
        <v>24</v>
      </c>
      <c r="Z2222" s="1" t="s">
        <v>24</v>
      </c>
      <c r="AA2222" s="1" t="s">
        <v>24</v>
      </c>
      <c r="AB2222" s="1" t="s">
        <v>24</v>
      </c>
      <c r="AC2222" s="1" t="s">
        <v>24</v>
      </c>
      <c r="AD2222" s="1" t="s">
        <v>24</v>
      </c>
      <c r="AE2222" s="1" t="s">
        <v>24</v>
      </c>
      <c r="AF2222" s="22"/>
    </row>
    <row r="2223" spans="1:32" x14ac:dyDescent="0.2">
      <c r="A2223" s="1">
        <v>12324</v>
      </c>
      <c r="B2223" s="1" t="s">
        <v>7093</v>
      </c>
      <c r="C2223" s="5" t="s">
        <v>0</v>
      </c>
      <c r="D2223" s="1" t="s">
        <v>7094</v>
      </c>
      <c r="E2223" s="1" t="s">
        <v>7095</v>
      </c>
      <c r="F2223" s="1" t="s">
        <v>7096</v>
      </c>
      <c r="G2223" s="1" t="s">
        <v>36</v>
      </c>
      <c r="H2223" s="1" t="s">
        <v>37</v>
      </c>
      <c r="I2223" s="1" t="s">
        <v>16</v>
      </c>
      <c r="J2223" s="1">
        <v>1</v>
      </c>
      <c r="K2223" s="1">
        <v>2</v>
      </c>
      <c r="L2223" s="1" t="s">
        <v>31</v>
      </c>
      <c r="M2223" s="1" t="s">
        <v>18</v>
      </c>
      <c r="N2223" s="1" t="s">
        <v>18</v>
      </c>
      <c r="O2223" s="1">
        <v>3</v>
      </c>
      <c r="P2223" s="1">
        <v>7</v>
      </c>
      <c r="Q2223" s="7" t="s">
        <v>17633</v>
      </c>
      <c r="R2223" s="1" t="s">
        <v>19</v>
      </c>
      <c r="S2223" s="1" t="s">
        <v>20</v>
      </c>
      <c r="T2223" s="1" t="s">
        <v>21</v>
      </c>
      <c r="U2223" s="1" t="s">
        <v>22</v>
      </c>
      <c r="V2223" s="1" t="s">
        <v>24</v>
      </c>
      <c r="W2223" s="1" t="s">
        <v>24</v>
      </c>
      <c r="X2223" s="1">
        <v>2734</v>
      </c>
      <c r="Y2223" s="1">
        <v>3202</v>
      </c>
      <c r="Z2223" s="1" t="s">
        <v>24</v>
      </c>
      <c r="AA2223" s="1" t="s">
        <v>24</v>
      </c>
      <c r="AB2223" s="1" t="s">
        <v>24</v>
      </c>
      <c r="AC2223" s="1" t="s">
        <v>24</v>
      </c>
      <c r="AD2223" s="1" t="s">
        <v>24</v>
      </c>
      <c r="AE2223" s="1" t="s">
        <v>24</v>
      </c>
      <c r="AF2223" s="22"/>
    </row>
    <row r="2224" spans="1:32" x14ac:dyDescent="0.2">
      <c r="A2224" s="1">
        <v>12328</v>
      </c>
      <c r="B2224" s="1" t="s">
        <v>7097</v>
      </c>
      <c r="C2224" s="5" t="s">
        <v>0</v>
      </c>
      <c r="D2224" s="1" t="s">
        <v>7098</v>
      </c>
      <c r="E2224" s="1" t="s">
        <v>7099</v>
      </c>
      <c r="F2224" s="1" t="s">
        <v>856</v>
      </c>
      <c r="G2224" s="1" t="s">
        <v>857</v>
      </c>
      <c r="H2224" s="1" t="s">
        <v>37</v>
      </c>
      <c r="I2224" s="1" t="s">
        <v>16</v>
      </c>
      <c r="J2224" s="1">
        <v>1</v>
      </c>
      <c r="K2224" s="1">
        <v>6</v>
      </c>
      <c r="L2224" s="1" t="s">
        <v>42</v>
      </c>
      <c r="M2224" s="1" t="s">
        <v>18</v>
      </c>
      <c r="N2224" s="1" t="s">
        <v>18</v>
      </c>
      <c r="O2224" s="1">
        <v>3</v>
      </c>
      <c r="P2224" s="1">
        <v>7</v>
      </c>
      <c r="Q2224" s="7" t="s">
        <v>17633</v>
      </c>
      <c r="R2224" s="1" t="s">
        <v>19</v>
      </c>
      <c r="S2224" s="1" t="s">
        <v>20</v>
      </c>
      <c r="T2224" s="1" t="s">
        <v>21</v>
      </c>
      <c r="U2224" s="1" t="s">
        <v>22</v>
      </c>
      <c r="V2224" s="1" t="s">
        <v>24</v>
      </c>
      <c r="W2224" s="1" t="s">
        <v>24</v>
      </c>
      <c r="X2224" s="1">
        <v>2720</v>
      </c>
      <c r="Y2224" s="1" t="s">
        <v>24</v>
      </c>
      <c r="Z2224" s="1" t="s">
        <v>24</v>
      </c>
      <c r="AA2224" s="1" t="s">
        <v>24</v>
      </c>
      <c r="AB2224" s="1" t="s">
        <v>24</v>
      </c>
      <c r="AC2224" s="1" t="s">
        <v>24</v>
      </c>
      <c r="AD2224" s="1" t="s">
        <v>24</v>
      </c>
      <c r="AE2224" s="1" t="s">
        <v>24</v>
      </c>
      <c r="AF2224" s="22"/>
    </row>
    <row r="2225" spans="1:32" x14ac:dyDescent="0.2">
      <c r="A2225" s="1">
        <v>12331</v>
      </c>
      <c r="B2225" s="1" t="s">
        <v>7100</v>
      </c>
      <c r="C2225" s="5" t="s">
        <v>0</v>
      </c>
      <c r="D2225" s="1" t="s">
        <v>7101</v>
      </c>
      <c r="F2225" s="1" t="s">
        <v>97</v>
      </c>
      <c r="G2225" s="1" t="s">
        <v>98</v>
      </c>
      <c r="H2225" s="1" t="s">
        <v>37</v>
      </c>
      <c r="I2225" s="1" t="s">
        <v>16</v>
      </c>
      <c r="J2225" s="1">
        <v>1</v>
      </c>
      <c r="K2225" s="1">
        <v>4</v>
      </c>
      <c r="L2225" s="1" t="s">
        <v>31</v>
      </c>
      <c r="M2225" s="1" t="s">
        <v>18</v>
      </c>
      <c r="N2225" s="1" t="s">
        <v>18</v>
      </c>
      <c r="O2225" s="1">
        <v>3</v>
      </c>
      <c r="P2225" s="1">
        <v>7</v>
      </c>
      <c r="Q2225" s="7" t="s">
        <v>17633</v>
      </c>
      <c r="R2225" s="1" t="s">
        <v>19</v>
      </c>
      <c r="S2225" s="1" t="s">
        <v>20</v>
      </c>
      <c r="T2225" s="1" t="s">
        <v>21</v>
      </c>
      <c r="U2225" s="1" t="s">
        <v>22</v>
      </c>
      <c r="V2225" s="1" t="s">
        <v>23</v>
      </c>
      <c r="W2225" s="1" t="s">
        <v>24</v>
      </c>
      <c r="X2225" s="1">
        <v>2739</v>
      </c>
      <c r="Y2225" s="1">
        <v>2719</v>
      </c>
      <c r="Z2225" s="1" t="s">
        <v>24</v>
      </c>
      <c r="AA2225" s="1" t="s">
        <v>24</v>
      </c>
      <c r="AB2225" s="1" t="s">
        <v>24</v>
      </c>
      <c r="AC2225" s="1" t="s">
        <v>24</v>
      </c>
      <c r="AD2225" s="1" t="s">
        <v>24</v>
      </c>
      <c r="AE2225" s="1" t="s">
        <v>24</v>
      </c>
      <c r="AF2225" s="22" t="s">
        <v>17679</v>
      </c>
    </row>
    <row r="2226" spans="1:32" x14ac:dyDescent="0.2">
      <c r="A2226" s="1">
        <v>12332</v>
      </c>
      <c r="B2226" s="1" t="s">
        <v>7102</v>
      </c>
      <c r="C2226" s="5" t="s">
        <v>0</v>
      </c>
      <c r="D2226" s="1" t="s">
        <v>7103</v>
      </c>
      <c r="F2226" s="1" t="s">
        <v>2622</v>
      </c>
      <c r="G2226" s="1" t="s">
        <v>91</v>
      </c>
      <c r="H2226" s="1" t="s">
        <v>69</v>
      </c>
      <c r="I2226" s="1" t="s">
        <v>16</v>
      </c>
      <c r="J2226" s="1">
        <v>1</v>
      </c>
      <c r="K2226" s="1">
        <v>6</v>
      </c>
      <c r="L2226" s="1" t="s">
        <v>42</v>
      </c>
      <c r="M2226" s="1" t="s">
        <v>3659</v>
      </c>
      <c r="N2226" s="1" t="s">
        <v>75</v>
      </c>
      <c r="O2226" s="1">
        <v>1</v>
      </c>
      <c r="P2226" s="1">
        <v>5</v>
      </c>
      <c r="R2226" s="1" t="s">
        <v>19</v>
      </c>
      <c r="S2226" s="1" t="s">
        <v>20</v>
      </c>
      <c r="T2226" s="1" t="s">
        <v>21</v>
      </c>
      <c r="U2226" s="1" t="s">
        <v>22</v>
      </c>
      <c r="V2226" s="1" t="s">
        <v>24</v>
      </c>
      <c r="W2226" s="1" t="s">
        <v>24</v>
      </c>
      <c r="X2226" s="1">
        <v>2745</v>
      </c>
      <c r="Y2226" s="1" t="s">
        <v>24</v>
      </c>
      <c r="Z2226" s="1" t="s">
        <v>24</v>
      </c>
      <c r="AA2226" s="1" t="s">
        <v>24</v>
      </c>
      <c r="AB2226" s="1" t="s">
        <v>24</v>
      </c>
      <c r="AC2226" s="1" t="s">
        <v>24</v>
      </c>
      <c r="AD2226" s="1" t="s">
        <v>24</v>
      </c>
      <c r="AE2226" s="1" t="s">
        <v>24</v>
      </c>
      <c r="AF2226" s="22"/>
    </row>
    <row r="2227" spans="1:32" x14ac:dyDescent="0.2">
      <c r="A2227" s="1">
        <v>12341</v>
      </c>
      <c r="B2227" s="1" t="s">
        <v>7104</v>
      </c>
      <c r="C2227" s="5" t="s">
        <v>0</v>
      </c>
      <c r="D2227" s="1" t="s">
        <v>7105</v>
      </c>
      <c r="E2227" s="1" t="s">
        <v>7106</v>
      </c>
      <c r="F2227" s="1" t="s">
        <v>55</v>
      </c>
      <c r="G2227" s="1" t="s">
        <v>56</v>
      </c>
      <c r="H2227" s="1" t="s">
        <v>37</v>
      </c>
      <c r="I2227" s="1" t="s">
        <v>16</v>
      </c>
      <c r="J2227" s="1">
        <v>1</v>
      </c>
      <c r="K2227" s="1">
        <v>6</v>
      </c>
      <c r="L2227" s="1" t="s">
        <v>31</v>
      </c>
      <c r="M2227" s="1" t="s">
        <v>18</v>
      </c>
      <c r="N2227" s="1" t="s">
        <v>18</v>
      </c>
      <c r="O2227" s="1">
        <v>3</v>
      </c>
      <c r="P2227" s="1">
        <v>7</v>
      </c>
      <c r="Q2227" s="7" t="s">
        <v>17633</v>
      </c>
      <c r="R2227" s="1" t="s">
        <v>19</v>
      </c>
      <c r="S2227" s="1" t="s">
        <v>20</v>
      </c>
      <c r="T2227" s="1" t="s">
        <v>21</v>
      </c>
      <c r="U2227" s="1" t="s">
        <v>22</v>
      </c>
      <c r="V2227" s="1" t="s">
        <v>23</v>
      </c>
      <c r="W2227" s="1" t="s">
        <v>24</v>
      </c>
      <c r="X2227" s="1">
        <v>2719</v>
      </c>
      <c r="Y2227" s="1">
        <v>2739</v>
      </c>
      <c r="Z2227" s="1" t="s">
        <v>24</v>
      </c>
      <c r="AA2227" s="1" t="s">
        <v>24</v>
      </c>
      <c r="AB2227" s="1" t="s">
        <v>24</v>
      </c>
      <c r="AC2227" s="1" t="s">
        <v>24</v>
      </c>
      <c r="AD2227" s="1" t="s">
        <v>24</v>
      </c>
      <c r="AE2227" s="1" t="s">
        <v>24</v>
      </c>
      <c r="AF2227" s="22"/>
    </row>
    <row r="2228" spans="1:32" x14ac:dyDescent="0.2">
      <c r="A2228" s="1">
        <v>12342</v>
      </c>
      <c r="B2228" s="1" t="s">
        <v>7107</v>
      </c>
      <c r="C2228" s="5" t="s">
        <v>0</v>
      </c>
      <c r="D2228" s="1" t="s">
        <v>7108</v>
      </c>
      <c r="F2228" s="1" t="s">
        <v>7109</v>
      </c>
      <c r="G2228" s="1" t="s">
        <v>7109</v>
      </c>
      <c r="H2228" s="1" t="s">
        <v>37</v>
      </c>
      <c r="I2228" s="1" t="s">
        <v>16</v>
      </c>
      <c r="J2228" s="1">
        <v>1</v>
      </c>
      <c r="K2228" s="1">
        <v>2</v>
      </c>
      <c r="L2228" s="1" t="s">
        <v>42</v>
      </c>
      <c r="M2228" s="1" t="s">
        <v>18</v>
      </c>
      <c r="N2228" s="1" t="s">
        <v>18</v>
      </c>
      <c r="O2228" s="1">
        <v>3</v>
      </c>
      <c r="P2228" s="1">
        <v>6</v>
      </c>
      <c r="R2228" s="1" t="s">
        <v>19</v>
      </c>
      <c r="S2228" s="1" t="s">
        <v>20</v>
      </c>
      <c r="T2228" s="1" t="s">
        <v>21</v>
      </c>
      <c r="U2228" s="1" t="s">
        <v>22</v>
      </c>
      <c r="V2228" s="1" t="s">
        <v>23</v>
      </c>
      <c r="W2228" s="1" t="s">
        <v>24</v>
      </c>
      <c r="X2228" s="1">
        <v>2746</v>
      </c>
      <c r="Y2228" s="1">
        <v>2703</v>
      </c>
      <c r="Z2228" s="1">
        <v>2914</v>
      </c>
      <c r="AA2228" s="1" t="s">
        <v>24</v>
      </c>
      <c r="AB2228" s="1" t="s">
        <v>24</v>
      </c>
      <c r="AC2228" s="1" t="s">
        <v>24</v>
      </c>
      <c r="AD2228" s="1" t="s">
        <v>24</v>
      </c>
      <c r="AE2228" s="1" t="s">
        <v>24</v>
      </c>
      <c r="AF2228" s="22"/>
    </row>
    <row r="2229" spans="1:32" x14ac:dyDescent="0.2">
      <c r="A2229" s="1">
        <v>12344</v>
      </c>
      <c r="B2229" s="1" t="s">
        <v>7110</v>
      </c>
      <c r="C2229" s="5" t="s">
        <v>0</v>
      </c>
      <c r="D2229" s="1" t="s">
        <v>7111</v>
      </c>
      <c r="E2229" s="1" t="s">
        <v>7112</v>
      </c>
      <c r="F2229" s="1" t="s">
        <v>217</v>
      </c>
      <c r="G2229" s="1" t="s">
        <v>130</v>
      </c>
      <c r="H2229" s="1" t="s">
        <v>92</v>
      </c>
      <c r="I2229" s="1" t="s">
        <v>16</v>
      </c>
      <c r="J2229" s="1">
        <v>1</v>
      </c>
      <c r="K2229" s="1">
        <v>4</v>
      </c>
      <c r="L2229" s="1" t="s">
        <v>31</v>
      </c>
      <c r="M2229" s="1" t="s">
        <v>18</v>
      </c>
      <c r="N2229" s="1" t="s">
        <v>18</v>
      </c>
      <c r="O2229" s="1">
        <v>3</v>
      </c>
      <c r="P2229" s="1">
        <v>7</v>
      </c>
      <c r="Q2229" s="7" t="s">
        <v>17633</v>
      </c>
      <c r="R2229" s="1" t="s">
        <v>19</v>
      </c>
      <c r="S2229" s="1" t="s">
        <v>20</v>
      </c>
      <c r="T2229" s="1" t="s">
        <v>21</v>
      </c>
      <c r="U2229" s="1" t="s">
        <v>22</v>
      </c>
      <c r="V2229" s="1" t="s">
        <v>24</v>
      </c>
      <c r="W2229" s="1" t="s">
        <v>24</v>
      </c>
      <c r="X2229" s="1">
        <v>2723</v>
      </c>
      <c r="Y2229" s="1">
        <v>1110</v>
      </c>
      <c r="Z2229" s="1">
        <v>2403</v>
      </c>
      <c r="AA2229" s="1" t="s">
        <v>24</v>
      </c>
      <c r="AB2229" s="1" t="s">
        <v>24</v>
      </c>
      <c r="AC2229" s="1" t="s">
        <v>24</v>
      </c>
      <c r="AD2229" s="1" t="s">
        <v>24</v>
      </c>
      <c r="AE2229" s="1" t="s">
        <v>24</v>
      </c>
      <c r="AF2229" s="22"/>
    </row>
    <row r="2230" spans="1:32" x14ac:dyDescent="0.2">
      <c r="A2230" s="1">
        <v>12346</v>
      </c>
      <c r="B2230" s="1" t="s">
        <v>7113</v>
      </c>
      <c r="C2230" s="5" t="s">
        <v>0</v>
      </c>
      <c r="D2230" s="1" t="s">
        <v>7114</v>
      </c>
      <c r="E2230" s="1" t="s">
        <v>7115</v>
      </c>
      <c r="F2230" s="1" t="s">
        <v>272</v>
      </c>
      <c r="G2230" s="1" t="s">
        <v>61</v>
      </c>
      <c r="H2230" s="1" t="s">
        <v>30</v>
      </c>
      <c r="I2230" s="1" t="s">
        <v>16</v>
      </c>
      <c r="J2230" s="1">
        <v>1</v>
      </c>
      <c r="K2230" s="1">
        <v>24</v>
      </c>
      <c r="L2230" s="1" t="s">
        <v>31</v>
      </c>
      <c r="M2230" s="1" t="s">
        <v>18</v>
      </c>
      <c r="N2230" s="1" t="s">
        <v>18</v>
      </c>
      <c r="O2230" s="1">
        <v>0</v>
      </c>
      <c r="P2230" s="1">
        <v>6</v>
      </c>
      <c r="R2230" s="1" t="s">
        <v>19</v>
      </c>
      <c r="S2230" s="1" t="s">
        <v>20</v>
      </c>
      <c r="T2230" s="1" t="s">
        <v>21</v>
      </c>
      <c r="U2230" s="1" t="s">
        <v>22</v>
      </c>
      <c r="V2230" s="1" t="s">
        <v>24</v>
      </c>
      <c r="W2230" s="1" t="s">
        <v>24</v>
      </c>
      <c r="X2230" s="1">
        <v>2726</v>
      </c>
      <c r="Y2230" s="1">
        <v>2725</v>
      </c>
      <c r="Z2230" s="1" t="s">
        <v>24</v>
      </c>
      <c r="AA2230" s="1" t="s">
        <v>24</v>
      </c>
      <c r="AB2230" s="1" t="s">
        <v>24</v>
      </c>
      <c r="AC2230" s="1" t="s">
        <v>24</v>
      </c>
      <c r="AD2230" s="1" t="s">
        <v>24</v>
      </c>
      <c r="AE2230" s="1" t="s">
        <v>24</v>
      </c>
      <c r="AF2230" s="22"/>
    </row>
    <row r="2231" spans="1:32" x14ac:dyDescent="0.2">
      <c r="A2231" s="1">
        <v>12349</v>
      </c>
      <c r="B2231" s="1" t="s">
        <v>7116</v>
      </c>
      <c r="C2231" s="5" t="s">
        <v>0</v>
      </c>
      <c r="D2231" s="1" t="s">
        <v>7117</v>
      </c>
      <c r="E2231" s="1" t="s">
        <v>7118</v>
      </c>
      <c r="F2231" s="1" t="s">
        <v>272</v>
      </c>
      <c r="G2231" s="1" t="s">
        <v>61</v>
      </c>
      <c r="H2231" s="1" t="s">
        <v>30</v>
      </c>
      <c r="I2231" s="1" t="s">
        <v>16</v>
      </c>
      <c r="J2231" s="1">
        <v>1</v>
      </c>
      <c r="K2231" s="1">
        <v>4</v>
      </c>
      <c r="L2231" s="1" t="s">
        <v>31</v>
      </c>
      <c r="M2231" s="1" t="s">
        <v>18</v>
      </c>
      <c r="N2231" s="1" t="s">
        <v>18</v>
      </c>
      <c r="O2231" s="1">
        <v>3</v>
      </c>
      <c r="P2231" s="1">
        <v>7</v>
      </c>
      <c r="Q2231" s="7" t="s">
        <v>17633</v>
      </c>
      <c r="R2231" s="1" t="s">
        <v>19</v>
      </c>
      <c r="S2231" s="1" t="s">
        <v>20</v>
      </c>
      <c r="T2231" s="1" t="s">
        <v>21</v>
      </c>
      <c r="U2231" s="1" t="s">
        <v>22</v>
      </c>
      <c r="V2231" s="1" t="s">
        <v>24</v>
      </c>
      <c r="W2231" s="1" t="s">
        <v>24</v>
      </c>
      <c r="X2231" s="1">
        <v>2730</v>
      </c>
      <c r="Y2231" s="1">
        <v>2741</v>
      </c>
      <c r="Z2231" s="1">
        <v>3614</v>
      </c>
      <c r="AA2231" s="1" t="s">
        <v>24</v>
      </c>
      <c r="AB2231" s="1" t="s">
        <v>24</v>
      </c>
      <c r="AC2231" s="1" t="s">
        <v>24</v>
      </c>
      <c r="AD2231" s="1" t="s">
        <v>24</v>
      </c>
      <c r="AE2231" s="1" t="s">
        <v>24</v>
      </c>
      <c r="AF2231" s="22"/>
    </row>
    <row r="2232" spans="1:32" x14ac:dyDescent="0.2">
      <c r="A2232" s="1">
        <v>12351</v>
      </c>
      <c r="B2232" s="1" t="s">
        <v>7119</v>
      </c>
      <c r="C2232" s="5" t="s">
        <v>0</v>
      </c>
      <c r="D2232" s="1" t="s">
        <v>7120</v>
      </c>
      <c r="E2232" s="1" t="s">
        <v>7121</v>
      </c>
      <c r="F2232" s="1" t="s">
        <v>3134</v>
      </c>
      <c r="G2232" s="1" t="s">
        <v>3134</v>
      </c>
      <c r="H2232" s="1" t="s">
        <v>249</v>
      </c>
      <c r="I2232" s="1" t="s">
        <v>16</v>
      </c>
      <c r="J2232" s="1">
        <v>1</v>
      </c>
      <c r="K2232" s="1">
        <v>4</v>
      </c>
      <c r="L2232" s="1" t="s">
        <v>42</v>
      </c>
      <c r="M2232" s="1" t="s">
        <v>3290</v>
      </c>
      <c r="N2232" s="1" t="s">
        <v>1463</v>
      </c>
      <c r="O2232" s="1">
        <v>3</v>
      </c>
      <c r="P2232" s="1">
        <v>5</v>
      </c>
      <c r="R2232" s="1" t="s">
        <v>19</v>
      </c>
      <c r="S2232" s="1" t="s">
        <v>20</v>
      </c>
      <c r="T2232" s="1" t="s">
        <v>21</v>
      </c>
      <c r="U2232" s="1" t="s">
        <v>22</v>
      </c>
      <c r="V2232" s="1" t="s">
        <v>24</v>
      </c>
      <c r="W2232" s="1" t="s">
        <v>24</v>
      </c>
      <c r="X2232" s="1">
        <v>2403</v>
      </c>
      <c r="Y2232" s="1">
        <v>2723</v>
      </c>
      <c r="Z2232" s="1" t="s">
        <v>24</v>
      </c>
      <c r="AA2232" s="1" t="s">
        <v>24</v>
      </c>
      <c r="AB2232" s="1" t="s">
        <v>24</v>
      </c>
      <c r="AC2232" s="1" t="s">
        <v>24</v>
      </c>
      <c r="AD2232" s="1" t="s">
        <v>24</v>
      </c>
      <c r="AE2232" s="1" t="s">
        <v>24</v>
      </c>
      <c r="AF2232" s="22" t="s">
        <v>50544</v>
      </c>
    </row>
    <row r="2233" spans="1:32" x14ac:dyDescent="0.2">
      <c r="A2233" s="1">
        <v>12353</v>
      </c>
      <c r="B2233" s="1" t="s">
        <v>7122</v>
      </c>
      <c r="C2233" s="5" t="s">
        <v>0</v>
      </c>
      <c r="D2233" s="1" t="s">
        <v>7123</v>
      </c>
      <c r="E2233" s="1" t="s">
        <v>7124</v>
      </c>
      <c r="F2233" s="1" t="s">
        <v>85</v>
      </c>
      <c r="G2233" s="1" t="s">
        <v>61</v>
      </c>
      <c r="H2233" s="1" t="s">
        <v>86</v>
      </c>
      <c r="I2233" s="1" t="s">
        <v>16</v>
      </c>
      <c r="J2233" s="1">
        <v>1</v>
      </c>
      <c r="K2233" s="1">
        <v>6</v>
      </c>
      <c r="L2233" s="1" t="s">
        <v>31</v>
      </c>
      <c r="M2233" s="1" t="s">
        <v>199</v>
      </c>
      <c r="N2233" s="1" t="s">
        <v>18</v>
      </c>
      <c r="O2233" s="1">
        <v>3</v>
      </c>
      <c r="P2233" s="1">
        <v>6</v>
      </c>
      <c r="R2233" s="1" t="s">
        <v>19</v>
      </c>
      <c r="S2233" s="1" t="s">
        <v>20</v>
      </c>
      <c r="T2233" s="1" t="s">
        <v>21</v>
      </c>
      <c r="U2233" s="1" t="s">
        <v>22</v>
      </c>
      <c r="V2233" s="1" t="s">
        <v>24</v>
      </c>
      <c r="W2233" s="1" t="s">
        <v>24</v>
      </c>
      <c r="X2233" s="1">
        <v>2724</v>
      </c>
      <c r="Y2233" s="1">
        <v>1310</v>
      </c>
      <c r="Z2233" s="1">
        <v>2712</v>
      </c>
      <c r="AA2233" s="1" t="s">
        <v>24</v>
      </c>
      <c r="AB2233" s="1" t="s">
        <v>24</v>
      </c>
      <c r="AC2233" s="1" t="s">
        <v>24</v>
      </c>
      <c r="AD2233" s="1" t="s">
        <v>24</v>
      </c>
      <c r="AE2233" s="1" t="s">
        <v>24</v>
      </c>
      <c r="AF2233" s="22"/>
    </row>
    <row r="2234" spans="1:32" x14ac:dyDescent="0.2">
      <c r="A2234" s="1">
        <v>12354</v>
      </c>
      <c r="B2234" s="1" t="s">
        <v>7125</v>
      </c>
      <c r="C2234" s="5" t="s">
        <v>0</v>
      </c>
      <c r="D2234" s="1" t="s">
        <v>7126</v>
      </c>
      <c r="E2234" s="1" t="s">
        <v>7127</v>
      </c>
      <c r="F2234" s="1" t="s">
        <v>7128</v>
      </c>
      <c r="G2234" s="1" t="s">
        <v>7128</v>
      </c>
      <c r="H2234" s="1" t="s">
        <v>30</v>
      </c>
      <c r="I2234" s="1" t="s">
        <v>16</v>
      </c>
      <c r="J2234" s="1">
        <v>1</v>
      </c>
      <c r="K2234" s="1">
        <v>4</v>
      </c>
      <c r="L2234" s="1" t="s">
        <v>42</v>
      </c>
      <c r="M2234" s="1" t="s">
        <v>18</v>
      </c>
      <c r="N2234" s="1" t="s">
        <v>18</v>
      </c>
      <c r="O2234" s="1">
        <v>3</v>
      </c>
      <c r="P2234" s="1">
        <v>6</v>
      </c>
      <c r="R2234" s="1" t="s">
        <v>19</v>
      </c>
      <c r="S2234" s="1" t="s">
        <v>20</v>
      </c>
      <c r="T2234" s="1" t="s">
        <v>21</v>
      </c>
      <c r="U2234" s="1" t="s">
        <v>22</v>
      </c>
      <c r="V2234" s="1" t="s">
        <v>24</v>
      </c>
      <c r="W2234" s="1" t="s">
        <v>24</v>
      </c>
      <c r="X2234" s="1">
        <v>2708</v>
      </c>
      <c r="Y2234" s="1">
        <v>2746</v>
      </c>
      <c r="Z2234" s="1" t="s">
        <v>24</v>
      </c>
      <c r="AA2234" s="1" t="s">
        <v>24</v>
      </c>
      <c r="AB2234" s="1" t="s">
        <v>24</v>
      </c>
      <c r="AC2234" s="1" t="s">
        <v>24</v>
      </c>
      <c r="AD2234" s="1" t="s">
        <v>24</v>
      </c>
      <c r="AE2234" s="1" t="s">
        <v>24</v>
      </c>
      <c r="AF2234" s="22"/>
    </row>
    <row r="2235" spans="1:32" x14ac:dyDescent="0.2">
      <c r="A2235" s="1">
        <v>12355</v>
      </c>
      <c r="B2235" s="1" t="s">
        <v>7129</v>
      </c>
      <c r="C2235" s="5" t="s">
        <v>0</v>
      </c>
      <c r="D2235" s="1" t="s">
        <v>7130</v>
      </c>
      <c r="E2235" s="1" t="s">
        <v>7131</v>
      </c>
      <c r="F2235" s="1" t="s">
        <v>7132</v>
      </c>
      <c r="G2235" s="1" t="s">
        <v>7133</v>
      </c>
      <c r="H2235" s="1" t="s">
        <v>3228</v>
      </c>
      <c r="I2235" s="1" t="s">
        <v>16</v>
      </c>
      <c r="J2235" s="1">
        <v>1</v>
      </c>
      <c r="K2235" s="1">
        <v>4</v>
      </c>
      <c r="L2235" s="1" t="s">
        <v>31</v>
      </c>
      <c r="M2235" s="1" t="s">
        <v>18</v>
      </c>
      <c r="N2235" s="1" t="s">
        <v>18</v>
      </c>
      <c r="O2235" s="1">
        <v>3</v>
      </c>
      <c r="P2235" s="1">
        <v>6</v>
      </c>
      <c r="R2235" s="1" t="s">
        <v>19</v>
      </c>
      <c r="S2235" s="1" t="s">
        <v>20</v>
      </c>
      <c r="T2235" s="1" t="s">
        <v>21</v>
      </c>
      <c r="U2235" s="1" t="s">
        <v>22</v>
      </c>
      <c r="V2235" s="1" t="s">
        <v>24</v>
      </c>
      <c r="W2235" s="1" t="s">
        <v>24</v>
      </c>
      <c r="X2235" s="1">
        <v>1100</v>
      </c>
      <c r="Y2235" s="1">
        <v>1303</v>
      </c>
      <c r="Z2235" s="1">
        <v>2307</v>
      </c>
      <c r="AA2235" s="1">
        <v>2739</v>
      </c>
      <c r="AB2235" s="1">
        <v>3500</v>
      </c>
      <c r="AC2235" s="1">
        <v>1600</v>
      </c>
      <c r="AD2235" s="1">
        <v>3005</v>
      </c>
      <c r="AE2235" s="1" t="s">
        <v>24</v>
      </c>
      <c r="AF2235" s="22"/>
    </row>
    <row r="2236" spans="1:32" x14ac:dyDescent="0.2">
      <c r="A2236" s="1">
        <v>12356</v>
      </c>
      <c r="B2236" s="1" t="s">
        <v>7134</v>
      </c>
      <c r="C2236" s="5" t="s">
        <v>0</v>
      </c>
      <c r="D2236" s="1" t="s">
        <v>7135</v>
      </c>
      <c r="E2236" s="1" t="s">
        <v>7136</v>
      </c>
      <c r="F2236" s="1" t="s">
        <v>167</v>
      </c>
      <c r="G2236" s="1" t="s">
        <v>130</v>
      </c>
      <c r="H2236" s="1" t="s">
        <v>168</v>
      </c>
      <c r="I2236" s="1" t="s">
        <v>16</v>
      </c>
      <c r="J2236" s="1">
        <v>1</v>
      </c>
      <c r="K2236" s="1">
        <v>12</v>
      </c>
      <c r="L2236" s="1" t="s">
        <v>31</v>
      </c>
      <c r="M2236" s="1" t="s">
        <v>18</v>
      </c>
      <c r="N2236" s="1" t="s">
        <v>18</v>
      </c>
      <c r="O2236" s="1">
        <v>3</v>
      </c>
      <c r="P2236" s="1">
        <v>7</v>
      </c>
      <c r="Q2236" s="7" t="s">
        <v>17633</v>
      </c>
      <c r="R2236" s="1" t="s">
        <v>19</v>
      </c>
      <c r="S2236" s="1" t="s">
        <v>20</v>
      </c>
      <c r="T2236" s="1" t="s">
        <v>21</v>
      </c>
      <c r="U2236" s="1" t="s">
        <v>22</v>
      </c>
      <c r="V2236" s="1" t="s">
        <v>24</v>
      </c>
      <c r="W2236" s="1" t="s">
        <v>24</v>
      </c>
      <c r="X2236" s="1">
        <v>1309</v>
      </c>
      <c r="Y2236" s="1">
        <v>1311</v>
      </c>
      <c r="Z2236" s="1" t="s">
        <v>24</v>
      </c>
      <c r="AA2236" s="1" t="s">
        <v>24</v>
      </c>
      <c r="AB2236" s="1" t="s">
        <v>24</v>
      </c>
      <c r="AC2236" s="1" t="s">
        <v>24</v>
      </c>
      <c r="AD2236" s="1" t="s">
        <v>24</v>
      </c>
      <c r="AE2236" s="1" t="s">
        <v>24</v>
      </c>
      <c r="AF2236" s="22"/>
    </row>
    <row r="2237" spans="1:32" x14ac:dyDescent="0.2">
      <c r="A2237" s="1">
        <v>12359</v>
      </c>
      <c r="B2237" s="1" t="s">
        <v>7137</v>
      </c>
      <c r="C2237" s="5" t="s">
        <v>0</v>
      </c>
      <c r="D2237" s="1" t="s">
        <v>7138</v>
      </c>
      <c r="E2237" s="1" t="s">
        <v>7139</v>
      </c>
      <c r="F2237" s="1" t="s">
        <v>291</v>
      </c>
      <c r="G2237" s="1" t="s">
        <v>292</v>
      </c>
      <c r="H2237" s="1" t="s">
        <v>37</v>
      </c>
      <c r="I2237" s="1" t="s">
        <v>16</v>
      </c>
      <c r="J2237" s="1">
        <v>1</v>
      </c>
      <c r="K2237" s="1">
        <v>6</v>
      </c>
      <c r="L2237" s="1" t="s">
        <v>31</v>
      </c>
      <c r="M2237" s="1" t="s">
        <v>18</v>
      </c>
      <c r="N2237" s="1" t="s">
        <v>18</v>
      </c>
      <c r="O2237" s="1">
        <v>3</v>
      </c>
      <c r="P2237" s="1">
        <v>7</v>
      </c>
      <c r="Q2237" s="7" t="s">
        <v>17633</v>
      </c>
      <c r="R2237" s="1" t="s">
        <v>19</v>
      </c>
      <c r="S2237" s="1" t="s">
        <v>20</v>
      </c>
      <c r="T2237" s="1" t="s">
        <v>21</v>
      </c>
      <c r="U2237" s="1" t="s">
        <v>22</v>
      </c>
      <c r="V2237" s="1" t="s">
        <v>23</v>
      </c>
      <c r="W2237" s="1" t="s">
        <v>24</v>
      </c>
      <c r="X2237" s="1">
        <v>2746</v>
      </c>
      <c r="Y2237" s="1" t="s">
        <v>24</v>
      </c>
      <c r="Z2237" s="1" t="s">
        <v>24</v>
      </c>
      <c r="AA2237" s="1" t="s">
        <v>24</v>
      </c>
      <c r="AB2237" s="1" t="s">
        <v>24</v>
      </c>
      <c r="AC2237" s="1" t="s">
        <v>24</v>
      </c>
      <c r="AD2237" s="1" t="s">
        <v>24</v>
      </c>
      <c r="AE2237" s="1" t="s">
        <v>24</v>
      </c>
      <c r="AF2237" s="22"/>
    </row>
    <row r="2238" spans="1:32" x14ac:dyDescent="0.2">
      <c r="A2238" s="1">
        <v>12367</v>
      </c>
      <c r="B2238" s="1" t="s">
        <v>7140</v>
      </c>
      <c r="C2238" s="5" t="s">
        <v>0</v>
      </c>
      <c r="D2238" s="1" t="s">
        <v>7141</v>
      </c>
      <c r="E2238" s="1" t="s">
        <v>7142</v>
      </c>
      <c r="F2238" s="1" t="s">
        <v>856</v>
      </c>
      <c r="G2238" s="1" t="s">
        <v>857</v>
      </c>
      <c r="H2238" s="1" t="s">
        <v>37</v>
      </c>
      <c r="I2238" s="1" t="s">
        <v>16</v>
      </c>
      <c r="J2238" s="1">
        <v>1</v>
      </c>
      <c r="K2238" s="1">
        <v>6</v>
      </c>
      <c r="L2238" s="1" t="s">
        <v>42</v>
      </c>
      <c r="M2238" s="1" t="s">
        <v>18</v>
      </c>
      <c r="N2238" s="1" t="s">
        <v>18</v>
      </c>
      <c r="O2238" s="1">
        <v>3</v>
      </c>
      <c r="P2238" s="1">
        <v>7</v>
      </c>
      <c r="Q2238" s="7" t="s">
        <v>17633</v>
      </c>
      <c r="R2238" s="1" t="s">
        <v>19</v>
      </c>
      <c r="S2238" s="1" t="s">
        <v>20</v>
      </c>
      <c r="T2238" s="1" t="s">
        <v>21</v>
      </c>
      <c r="U2238" s="1" t="s">
        <v>22</v>
      </c>
      <c r="V2238" s="1" t="s">
        <v>24</v>
      </c>
      <c r="W2238" s="1" t="s">
        <v>24</v>
      </c>
      <c r="X2238" s="1">
        <v>1303</v>
      </c>
      <c r="Y2238" s="1">
        <v>1307</v>
      </c>
      <c r="Z2238" s="1">
        <v>1308</v>
      </c>
      <c r="AA2238" s="1">
        <v>2704</v>
      </c>
      <c r="AB2238" s="1">
        <v>1314</v>
      </c>
      <c r="AC2238" s="1" t="s">
        <v>24</v>
      </c>
      <c r="AD2238" s="1" t="s">
        <v>24</v>
      </c>
      <c r="AE2238" s="1" t="s">
        <v>24</v>
      </c>
      <c r="AF2238" s="22"/>
    </row>
    <row r="2239" spans="1:32" x14ac:dyDescent="0.2">
      <c r="A2239" s="1">
        <v>12369</v>
      </c>
      <c r="B2239" s="1" t="s">
        <v>7143</v>
      </c>
      <c r="C2239" s="5" t="s">
        <v>0</v>
      </c>
      <c r="D2239" s="1" t="s">
        <v>7144</v>
      </c>
      <c r="E2239" s="1" t="s">
        <v>7145</v>
      </c>
      <c r="F2239" s="1" t="s">
        <v>2296</v>
      </c>
      <c r="G2239" s="1" t="s">
        <v>61</v>
      </c>
      <c r="H2239" s="1" t="s">
        <v>30</v>
      </c>
      <c r="I2239" s="1" t="s">
        <v>16</v>
      </c>
      <c r="J2239" s="1">
        <v>1</v>
      </c>
      <c r="K2239" s="1">
        <v>10</v>
      </c>
      <c r="L2239" s="1" t="s">
        <v>31</v>
      </c>
      <c r="M2239" s="1" t="s">
        <v>18</v>
      </c>
      <c r="N2239" s="1" t="s">
        <v>18</v>
      </c>
      <c r="O2239" s="1">
        <v>3</v>
      </c>
      <c r="P2239" s="1">
        <v>7</v>
      </c>
      <c r="Q2239" s="7" t="s">
        <v>17633</v>
      </c>
      <c r="R2239" s="1" t="s">
        <v>62</v>
      </c>
      <c r="S2239" s="1" t="s">
        <v>20</v>
      </c>
      <c r="T2239" s="1" t="s">
        <v>21</v>
      </c>
      <c r="U2239" s="1" t="s">
        <v>22</v>
      </c>
      <c r="V2239" s="1" t="s">
        <v>23</v>
      </c>
      <c r="W2239" s="1" t="s">
        <v>24</v>
      </c>
      <c r="X2239" s="1">
        <v>2705</v>
      </c>
      <c r="Y2239" s="1" t="s">
        <v>24</v>
      </c>
      <c r="Z2239" s="1" t="s">
        <v>24</v>
      </c>
      <c r="AA2239" s="1" t="s">
        <v>24</v>
      </c>
      <c r="AB2239" s="1" t="s">
        <v>24</v>
      </c>
      <c r="AC2239" s="1" t="s">
        <v>24</v>
      </c>
      <c r="AD2239" s="1" t="s">
        <v>24</v>
      </c>
      <c r="AE2239" s="1" t="s">
        <v>24</v>
      </c>
      <c r="AF2239" s="22"/>
    </row>
    <row r="2240" spans="1:32" x14ac:dyDescent="0.2">
      <c r="A2240" s="1">
        <v>12372</v>
      </c>
      <c r="B2240" s="1" t="s">
        <v>7146</v>
      </c>
      <c r="C2240" s="5" t="s">
        <v>0</v>
      </c>
      <c r="D2240" s="1" t="s">
        <v>7147</v>
      </c>
      <c r="E2240" s="1" t="s">
        <v>7148</v>
      </c>
      <c r="F2240" s="1" t="s">
        <v>7149</v>
      </c>
      <c r="G2240" s="1" t="s">
        <v>7149</v>
      </c>
      <c r="H2240" s="1" t="s">
        <v>4080</v>
      </c>
      <c r="I2240" s="1" t="s">
        <v>16</v>
      </c>
      <c r="J2240" s="1">
        <v>1</v>
      </c>
      <c r="K2240" s="1">
        <v>4</v>
      </c>
      <c r="L2240" s="1" t="s">
        <v>42</v>
      </c>
      <c r="M2240" s="1" t="s">
        <v>18</v>
      </c>
      <c r="N2240" s="1" t="s">
        <v>18</v>
      </c>
      <c r="O2240" s="1">
        <v>3</v>
      </c>
      <c r="P2240" s="1">
        <v>6</v>
      </c>
      <c r="R2240" s="1" t="s">
        <v>19</v>
      </c>
      <c r="S2240" s="1" t="s">
        <v>20</v>
      </c>
      <c r="T2240" s="1" t="s">
        <v>21</v>
      </c>
      <c r="U2240" s="1" t="s">
        <v>22</v>
      </c>
      <c r="V2240" s="1" t="s">
        <v>24</v>
      </c>
      <c r="W2240" s="1" t="s">
        <v>24</v>
      </c>
      <c r="X2240" s="1">
        <v>2730</v>
      </c>
      <c r="Y2240" s="1">
        <v>2720</v>
      </c>
      <c r="Z2240" s="1" t="s">
        <v>24</v>
      </c>
      <c r="AA2240" s="1" t="s">
        <v>24</v>
      </c>
      <c r="AB2240" s="1" t="s">
        <v>24</v>
      </c>
      <c r="AC2240" s="1" t="s">
        <v>24</v>
      </c>
      <c r="AD2240" s="1" t="s">
        <v>24</v>
      </c>
      <c r="AE2240" s="1" t="s">
        <v>24</v>
      </c>
      <c r="AF2240" s="22"/>
    </row>
    <row r="2241" spans="1:32" x14ac:dyDescent="0.2">
      <c r="A2241" s="1">
        <v>12373</v>
      </c>
      <c r="B2241" s="1" t="s">
        <v>7150</v>
      </c>
      <c r="C2241" s="5" t="s">
        <v>0</v>
      </c>
      <c r="D2241" s="1" t="s">
        <v>7151</v>
      </c>
      <c r="E2241" s="1" t="s">
        <v>7152</v>
      </c>
      <c r="F2241" s="1" t="s">
        <v>7150</v>
      </c>
      <c r="G2241" s="1" t="s">
        <v>130</v>
      </c>
      <c r="H2241" s="1" t="s">
        <v>30</v>
      </c>
      <c r="I2241" s="1" t="s">
        <v>16</v>
      </c>
      <c r="J2241" s="1">
        <v>1</v>
      </c>
      <c r="K2241" s="1">
        <v>6</v>
      </c>
      <c r="L2241" s="1" t="s">
        <v>31</v>
      </c>
      <c r="M2241" s="1" t="s">
        <v>18</v>
      </c>
      <c r="N2241" s="1" t="s">
        <v>18</v>
      </c>
      <c r="O2241" s="1">
        <v>3</v>
      </c>
      <c r="P2241" s="1">
        <v>7</v>
      </c>
      <c r="Q2241" s="7" t="s">
        <v>17633</v>
      </c>
      <c r="R2241" s="1" t="s">
        <v>62</v>
      </c>
      <c r="S2241" s="1" t="s">
        <v>20</v>
      </c>
      <c r="T2241" s="1" t="s">
        <v>21</v>
      </c>
      <c r="U2241" s="1" t="s">
        <v>22</v>
      </c>
      <c r="V2241" s="1" t="s">
        <v>24</v>
      </c>
      <c r="W2241" s="1" t="s">
        <v>24</v>
      </c>
      <c r="X2241" s="1">
        <v>1303</v>
      </c>
      <c r="Y2241" s="1">
        <v>1307</v>
      </c>
      <c r="Z2241" s="1" t="s">
        <v>24</v>
      </c>
      <c r="AA2241" s="1" t="s">
        <v>24</v>
      </c>
      <c r="AB2241" s="1" t="s">
        <v>24</v>
      </c>
      <c r="AC2241" s="1" t="s">
        <v>24</v>
      </c>
      <c r="AD2241" s="1" t="s">
        <v>24</v>
      </c>
      <c r="AE2241" s="1" t="s">
        <v>24</v>
      </c>
      <c r="AF2241" s="22"/>
    </row>
    <row r="2242" spans="1:32" x14ac:dyDescent="0.2">
      <c r="A2242" s="1">
        <v>12379</v>
      </c>
      <c r="B2242" s="1" t="s">
        <v>7153</v>
      </c>
      <c r="C2242" s="5" t="s">
        <v>0</v>
      </c>
      <c r="D2242" s="1" t="s">
        <v>7154</v>
      </c>
      <c r="E2242" s="1" t="s">
        <v>7155</v>
      </c>
      <c r="F2242" s="1" t="s">
        <v>856</v>
      </c>
      <c r="G2242" s="1" t="s">
        <v>857</v>
      </c>
      <c r="H2242" s="1" t="s">
        <v>37</v>
      </c>
      <c r="I2242" s="1" t="s">
        <v>16</v>
      </c>
      <c r="J2242" s="1">
        <v>1</v>
      </c>
      <c r="K2242" s="1">
        <v>4</v>
      </c>
      <c r="L2242" s="1" t="s">
        <v>42</v>
      </c>
      <c r="M2242" s="1" t="s">
        <v>18</v>
      </c>
      <c r="N2242" s="1" t="s">
        <v>18</v>
      </c>
      <c r="O2242" s="1">
        <v>3</v>
      </c>
      <c r="P2242" s="1">
        <v>6</v>
      </c>
      <c r="R2242" s="1" t="s">
        <v>19</v>
      </c>
      <c r="S2242" s="1" t="s">
        <v>20</v>
      </c>
      <c r="T2242" s="1" t="s">
        <v>21</v>
      </c>
      <c r="U2242" s="1" t="s">
        <v>22</v>
      </c>
      <c r="V2242" s="1" t="s">
        <v>23</v>
      </c>
      <c r="W2242" s="1" t="s">
        <v>24</v>
      </c>
      <c r="X2242" s="1">
        <v>3612</v>
      </c>
      <c r="Y2242" s="1" t="s">
        <v>24</v>
      </c>
      <c r="Z2242" s="1" t="s">
        <v>24</v>
      </c>
      <c r="AA2242" s="1" t="s">
        <v>24</v>
      </c>
      <c r="AB2242" s="1" t="s">
        <v>24</v>
      </c>
      <c r="AC2242" s="1" t="s">
        <v>24</v>
      </c>
      <c r="AD2242" s="1" t="s">
        <v>24</v>
      </c>
      <c r="AE2242" s="1" t="s">
        <v>24</v>
      </c>
      <c r="AF2242" s="22"/>
    </row>
    <row r="2243" spans="1:32" x14ac:dyDescent="0.2">
      <c r="A2243" s="1">
        <v>12381</v>
      </c>
      <c r="B2243" s="1" t="s">
        <v>7156</v>
      </c>
      <c r="C2243" s="5" t="s">
        <v>0</v>
      </c>
      <c r="D2243" s="1" t="s">
        <v>7157</v>
      </c>
      <c r="E2243" s="1" t="s">
        <v>7158</v>
      </c>
      <c r="F2243" s="1" t="s">
        <v>7156</v>
      </c>
      <c r="G2243" s="1" t="s">
        <v>7159</v>
      </c>
      <c r="H2243" s="1" t="s">
        <v>899</v>
      </c>
      <c r="I2243" s="1" t="s">
        <v>16</v>
      </c>
      <c r="J2243" s="1">
        <v>1</v>
      </c>
      <c r="K2243" s="1">
        <v>2</v>
      </c>
      <c r="L2243" s="1" t="s">
        <v>31</v>
      </c>
      <c r="M2243" s="1" t="s">
        <v>18</v>
      </c>
      <c r="N2243" s="1" t="s">
        <v>18</v>
      </c>
      <c r="O2243" s="1">
        <v>3</v>
      </c>
      <c r="P2243" s="1">
        <v>5</v>
      </c>
      <c r="R2243" s="1" t="s">
        <v>19</v>
      </c>
      <c r="S2243" s="1" t="s">
        <v>20</v>
      </c>
      <c r="T2243" s="1" t="s">
        <v>21</v>
      </c>
      <c r="U2243" s="1" t="s">
        <v>22</v>
      </c>
      <c r="V2243" s="1" t="s">
        <v>23</v>
      </c>
      <c r="W2243" s="1" t="s">
        <v>24</v>
      </c>
      <c r="X2243" s="1">
        <v>2734</v>
      </c>
      <c r="Y2243" s="1" t="s">
        <v>24</v>
      </c>
      <c r="Z2243" s="1" t="s">
        <v>24</v>
      </c>
      <c r="AA2243" s="1" t="s">
        <v>24</v>
      </c>
      <c r="AB2243" s="1" t="s">
        <v>24</v>
      </c>
      <c r="AC2243" s="1" t="s">
        <v>24</v>
      </c>
      <c r="AD2243" s="1" t="s">
        <v>24</v>
      </c>
      <c r="AE2243" s="1" t="s">
        <v>24</v>
      </c>
      <c r="AF2243" s="22"/>
    </row>
    <row r="2244" spans="1:32" x14ac:dyDescent="0.2">
      <c r="A2244" s="1">
        <v>12382</v>
      </c>
      <c r="B2244" s="1" t="s">
        <v>7160</v>
      </c>
      <c r="C2244" s="5" t="s">
        <v>0</v>
      </c>
      <c r="D2244" s="1" t="s">
        <v>7161</v>
      </c>
      <c r="F2244" s="1" t="s">
        <v>7162</v>
      </c>
      <c r="G2244" s="1" t="s">
        <v>7162</v>
      </c>
      <c r="H2244" s="1" t="s">
        <v>168</v>
      </c>
      <c r="I2244" s="1" t="s">
        <v>16</v>
      </c>
      <c r="J2244" s="1">
        <v>1</v>
      </c>
      <c r="K2244" s="1">
        <v>6</v>
      </c>
      <c r="L2244" s="1" t="s">
        <v>17</v>
      </c>
      <c r="M2244" s="1" t="s">
        <v>413</v>
      </c>
      <c r="N2244" s="1" t="s">
        <v>413</v>
      </c>
      <c r="O2244" s="1">
        <v>3</v>
      </c>
      <c r="P2244" s="1">
        <v>5</v>
      </c>
      <c r="R2244" s="1" t="s">
        <v>19</v>
      </c>
      <c r="S2244" s="1" t="s">
        <v>20</v>
      </c>
      <c r="T2244" s="1" t="s">
        <v>21</v>
      </c>
      <c r="U2244" s="1" t="s">
        <v>22</v>
      </c>
      <c r="V2244" s="1" t="s">
        <v>24</v>
      </c>
      <c r="W2244" s="1" t="s">
        <v>24</v>
      </c>
      <c r="X2244" s="1">
        <v>2705</v>
      </c>
      <c r="Y2244" s="1" t="s">
        <v>24</v>
      </c>
      <c r="Z2244" s="1" t="s">
        <v>24</v>
      </c>
      <c r="AA2244" s="1" t="s">
        <v>24</v>
      </c>
      <c r="AB2244" s="1" t="s">
        <v>24</v>
      </c>
      <c r="AC2244" s="1" t="s">
        <v>24</v>
      </c>
      <c r="AD2244" s="1" t="s">
        <v>24</v>
      </c>
      <c r="AE2244" s="1" t="s">
        <v>24</v>
      </c>
      <c r="AF2244" s="22"/>
    </row>
    <row r="2245" spans="1:32" x14ac:dyDescent="0.2">
      <c r="A2245" s="1">
        <v>12383</v>
      </c>
      <c r="B2245" s="1" t="s">
        <v>7163</v>
      </c>
      <c r="C2245" s="5" t="s">
        <v>0</v>
      </c>
      <c r="D2245" s="1" t="s">
        <v>7164</v>
      </c>
      <c r="F2245" s="1" t="s">
        <v>7165</v>
      </c>
      <c r="G2245" s="1" t="s">
        <v>7165</v>
      </c>
      <c r="H2245" s="1" t="s">
        <v>168</v>
      </c>
      <c r="I2245" s="1" t="s">
        <v>16</v>
      </c>
      <c r="J2245" s="1">
        <v>1</v>
      </c>
      <c r="K2245" s="1">
        <v>6</v>
      </c>
      <c r="L2245" s="1" t="s">
        <v>42</v>
      </c>
      <c r="M2245" s="1" t="s">
        <v>413</v>
      </c>
      <c r="N2245" s="1" t="s">
        <v>679</v>
      </c>
      <c r="O2245" s="1">
        <v>3</v>
      </c>
      <c r="P2245" s="1">
        <v>6</v>
      </c>
      <c r="R2245" s="1" t="s">
        <v>19</v>
      </c>
      <c r="S2245" s="1" t="s">
        <v>20</v>
      </c>
      <c r="T2245" s="1" t="s">
        <v>21</v>
      </c>
      <c r="U2245" s="1" t="s">
        <v>22</v>
      </c>
      <c r="V2245" s="1" t="s">
        <v>23</v>
      </c>
      <c r="W2245" s="1" t="s">
        <v>24</v>
      </c>
      <c r="X2245" s="1">
        <v>2742</v>
      </c>
      <c r="Y2245" s="1">
        <v>2728</v>
      </c>
      <c r="Z2245" s="1" t="s">
        <v>24</v>
      </c>
      <c r="AA2245" s="1" t="s">
        <v>24</v>
      </c>
      <c r="AB2245" s="1" t="s">
        <v>24</v>
      </c>
      <c r="AC2245" s="1" t="s">
        <v>24</v>
      </c>
      <c r="AD2245" s="1" t="s">
        <v>24</v>
      </c>
      <c r="AE2245" s="1" t="s">
        <v>24</v>
      </c>
      <c r="AF2245" s="22"/>
    </row>
    <row r="2246" spans="1:32" x14ac:dyDescent="0.2">
      <c r="A2246" s="1">
        <v>12385</v>
      </c>
      <c r="B2246" s="1" t="s">
        <v>7166</v>
      </c>
      <c r="C2246" s="5" t="s">
        <v>0</v>
      </c>
      <c r="D2246" s="1" t="s">
        <v>7167</v>
      </c>
      <c r="E2246" s="1" t="s">
        <v>7168</v>
      </c>
      <c r="F2246" s="1" t="s">
        <v>7169</v>
      </c>
      <c r="G2246" s="1" t="s">
        <v>7169</v>
      </c>
      <c r="H2246" s="1" t="s">
        <v>37</v>
      </c>
      <c r="I2246" s="1" t="s">
        <v>16</v>
      </c>
      <c r="J2246" s="1">
        <v>1</v>
      </c>
      <c r="K2246" s="1">
        <v>3</v>
      </c>
      <c r="L2246" s="1" t="s">
        <v>42</v>
      </c>
      <c r="M2246" s="1" t="s">
        <v>18</v>
      </c>
      <c r="N2246" s="1" t="s">
        <v>18</v>
      </c>
      <c r="O2246" s="1">
        <v>0</v>
      </c>
      <c r="P2246" s="1">
        <v>6</v>
      </c>
      <c r="R2246" s="1" t="s">
        <v>19</v>
      </c>
      <c r="S2246" s="1" t="s">
        <v>20</v>
      </c>
      <c r="T2246" s="1" t="s">
        <v>21</v>
      </c>
      <c r="U2246" s="1" t="s">
        <v>22</v>
      </c>
      <c r="V2246" s="1" t="s">
        <v>24</v>
      </c>
      <c r="W2246" s="1" t="s">
        <v>24</v>
      </c>
      <c r="X2246" s="1">
        <v>2728</v>
      </c>
      <c r="Y2246" s="1">
        <v>2808</v>
      </c>
      <c r="Z2246" s="1" t="s">
        <v>24</v>
      </c>
      <c r="AA2246" s="1" t="s">
        <v>24</v>
      </c>
      <c r="AB2246" s="1" t="s">
        <v>24</v>
      </c>
      <c r="AC2246" s="1" t="s">
        <v>24</v>
      </c>
      <c r="AD2246" s="1" t="s">
        <v>24</v>
      </c>
      <c r="AE2246" s="1" t="s">
        <v>24</v>
      </c>
      <c r="AF2246" s="22"/>
    </row>
    <row r="2247" spans="1:32" x14ac:dyDescent="0.2">
      <c r="A2247" s="1">
        <v>12394</v>
      </c>
      <c r="B2247" s="1" t="s">
        <v>7170</v>
      </c>
      <c r="C2247" s="5" t="s">
        <v>0</v>
      </c>
      <c r="D2247" s="1" t="s">
        <v>7171</v>
      </c>
      <c r="E2247" s="1" t="s">
        <v>7172</v>
      </c>
      <c r="F2247" s="1" t="s">
        <v>167</v>
      </c>
      <c r="G2247" s="1" t="s">
        <v>130</v>
      </c>
      <c r="H2247" s="1" t="s">
        <v>168</v>
      </c>
      <c r="I2247" s="1" t="s">
        <v>16</v>
      </c>
      <c r="J2247" s="1">
        <v>1</v>
      </c>
      <c r="K2247" s="1">
        <v>8</v>
      </c>
      <c r="L2247" s="1" t="s">
        <v>31</v>
      </c>
      <c r="M2247" s="1" t="s">
        <v>18</v>
      </c>
      <c r="N2247" s="1" t="s">
        <v>18</v>
      </c>
      <c r="O2247" s="1">
        <v>3</v>
      </c>
      <c r="P2247" s="1">
        <v>7</v>
      </c>
      <c r="Q2247" s="7" t="s">
        <v>17633</v>
      </c>
      <c r="R2247" s="1" t="s">
        <v>62</v>
      </c>
      <c r="S2247" s="1" t="s">
        <v>20</v>
      </c>
      <c r="T2247" s="1" t="s">
        <v>21</v>
      </c>
      <c r="U2247" s="1" t="s">
        <v>22</v>
      </c>
      <c r="V2247" s="1" t="s">
        <v>24</v>
      </c>
      <c r="W2247" s="1" t="s">
        <v>64</v>
      </c>
      <c r="X2247" s="1">
        <v>1303</v>
      </c>
      <c r="Y2247" s="1">
        <v>1604</v>
      </c>
      <c r="Z2247" s="1" t="s">
        <v>24</v>
      </c>
      <c r="AA2247" s="1" t="s">
        <v>24</v>
      </c>
      <c r="AB2247" s="1" t="s">
        <v>24</v>
      </c>
      <c r="AC2247" s="1" t="s">
        <v>24</v>
      </c>
      <c r="AD2247" s="1" t="s">
        <v>24</v>
      </c>
      <c r="AE2247" s="1" t="s">
        <v>24</v>
      </c>
      <c r="AF2247" s="22"/>
    </row>
    <row r="2248" spans="1:32" x14ac:dyDescent="0.2">
      <c r="A2248" s="1">
        <v>12397</v>
      </c>
      <c r="B2248" s="1" t="s">
        <v>7173</v>
      </c>
      <c r="C2248" s="5" t="s">
        <v>0</v>
      </c>
      <c r="D2248" s="1" t="s">
        <v>7174</v>
      </c>
      <c r="E2248" s="1" t="s">
        <v>7175</v>
      </c>
      <c r="F2248" s="1" t="s">
        <v>28</v>
      </c>
      <c r="G2248" s="1" t="s">
        <v>29</v>
      </c>
      <c r="H2248" s="1" t="s">
        <v>30</v>
      </c>
      <c r="I2248" s="1" t="s">
        <v>16</v>
      </c>
      <c r="J2248" s="1">
        <v>1</v>
      </c>
      <c r="K2248" s="1">
        <v>6</v>
      </c>
      <c r="L2248" s="1" t="s">
        <v>31</v>
      </c>
      <c r="M2248" s="1" t="s">
        <v>18</v>
      </c>
      <c r="N2248" s="1" t="s">
        <v>18</v>
      </c>
      <c r="O2248" s="1">
        <v>3</v>
      </c>
      <c r="P2248" s="1">
        <v>8</v>
      </c>
      <c r="Q2248" s="7" t="s">
        <v>17633</v>
      </c>
      <c r="R2248" s="1" t="s">
        <v>19</v>
      </c>
      <c r="S2248" s="1" t="s">
        <v>20</v>
      </c>
      <c r="T2248" s="1" t="s">
        <v>21</v>
      </c>
      <c r="U2248" s="1" t="s">
        <v>22</v>
      </c>
      <c r="V2248" s="1" t="s">
        <v>23</v>
      </c>
      <c r="W2248" s="1" t="s">
        <v>24</v>
      </c>
      <c r="X2248" s="1">
        <v>2735</v>
      </c>
      <c r="Y2248" s="1">
        <v>2732</v>
      </c>
      <c r="Z2248" s="1" t="s">
        <v>24</v>
      </c>
      <c r="AA2248" s="1" t="s">
        <v>24</v>
      </c>
      <c r="AB2248" s="1" t="s">
        <v>24</v>
      </c>
      <c r="AC2248" s="1" t="s">
        <v>24</v>
      </c>
      <c r="AD2248" s="1" t="s">
        <v>24</v>
      </c>
      <c r="AE2248" s="1" t="s">
        <v>24</v>
      </c>
      <c r="AF2248" s="22"/>
    </row>
    <row r="2249" spans="1:32" x14ac:dyDescent="0.2">
      <c r="A2249" s="1">
        <v>12398</v>
      </c>
      <c r="B2249" s="1" t="s">
        <v>7176</v>
      </c>
      <c r="C2249" s="5" t="s">
        <v>0</v>
      </c>
      <c r="D2249" s="1" t="s">
        <v>7177</v>
      </c>
      <c r="E2249" s="1" t="s">
        <v>7178</v>
      </c>
      <c r="F2249" s="1" t="s">
        <v>7179</v>
      </c>
      <c r="G2249" s="1" t="s">
        <v>460</v>
      </c>
      <c r="H2249" s="1" t="s">
        <v>461</v>
      </c>
      <c r="I2249" s="1" t="s">
        <v>16</v>
      </c>
      <c r="J2249" s="1">
        <v>1</v>
      </c>
      <c r="K2249" s="1">
        <v>6</v>
      </c>
      <c r="L2249" s="1" t="s">
        <v>42</v>
      </c>
      <c r="M2249" s="1" t="s">
        <v>18</v>
      </c>
      <c r="N2249" s="1" t="s">
        <v>18</v>
      </c>
      <c r="O2249" s="1">
        <v>3</v>
      </c>
      <c r="P2249" s="1">
        <v>6</v>
      </c>
      <c r="R2249" s="1" t="s">
        <v>19</v>
      </c>
      <c r="S2249" s="1" t="s">
        <v>20</v>
      </c>
      <c r="T2249" s="1" t="s">
        <v>21</v>
      </c>
      <c r="U2249" s="1" t="s">
        <v>22</v>
      </c>
      <c r="V2249" s="1" t="s">
        <v>24</v>
      </c>
      <c r="W2249" s="1" t="s">
        <v>24</v>
      </c>
      <c r="X2249" s="1">
        <v>1311</v>
      </c>
      <c r="Y2249" s="1">
        <v>1312</v>
      </c>
      <c r="Z2249" s="1" t="s">
        <v>24</v>
      </c>
      <c r="AA2249" s="1" t="s">
        <v>24</v>
      </c>
      <c r="AB2249" s="1" t="s">
        <v>24</v>
      </c>
      <c r="AC2249" s="1" t="s">
        <v>24</v>
      </c>
      <c r="AD2249" s="1" t="s">
        <v>24</v>
      </c>
      <c r="AE2249" s="1" t="s">
        <v>24</v>
      </c>
      <c r="AF2249" s="22"/>
    </row>
    <row r="2250" spans="1:32" x14ac:dyDescent="0.2">
      <c r="A2250" s="1">
        <v>12400</v>
      </c>
      <c r="B2250" s="1" t="s">
        <v>7180</v>
      </c>
      <c r="C2250" s="5" t="s">
        <v>0</v>
      </c>
      <c r="D2250" s="1" t="s">
        <v>7181</v>
      </c>
      <c r="E2250" s="1" t="s">
        <v>7182</v>
      </c>
      <c r="F2250" s="1" t="s">
        <v>296</v>
      </c>
      <c r="G2250" s="1" t="s">
        <v>36</v>
      </c>
      <c r="H2250" s="1" t="s">
        <v>264</v>
      </c>
      <c r="I2250" s="1" t="s">
        <v>16</v>
      </c>
      <c r="J2250" s="1">
        <v>1</v>
      </c>
      <c r="K2250" s="1">
        <v>8</v>
      </c>
      <c r="L2250" s="1" t="s">
        <v>31</v>
      </c>
      <c r="M2250" s="1" t="s">
        <v>18</v>
      </c>
      <c r="N2250" s="1" t="s">
        <v>18</v>
      </c>
      <c r="O2250" s="1">
        <v>3</v>
      </c>
      <c r="P2250" s="1">
        <v>7</v>
      </c>
      <c r="Q2250" s="7" t="s">
        <v>17633</v>
      </c>
      <c r="R2250" s="1" t="s">
        <v>19</v>
      </c>
      <c r="S2250" s="1" t="s">
        <v>20</v>
      </c>
      <c r="T2250" s="1" t="s">
        <v>21</v>
      </c>
      <c r="U2250" s="1" t="s">
        <v>22</v>
      </c>
      <c r="V2250" s="1" t="s">
        <v>24</v>
      </c>
      <c r="W2250" s="1" t="s">
        <v>24</v>
      </c>
      <c r="X2250" s="1">
        <v>2740</v>
      </c>
      <c r="Y2250" s="1" t="s">
        <v>24</v>
      </c>
      <c r="Z2250" s="1" t="s">
        <v>24</v>
      </c>
      <c r="AA2250" s="1" t="s">
        <v>24</v>
      </c>
      <c r="AB2250" s="1" t="s">
        <v>24</v>
      </c>
      <c r="AC2250" s="1" t="s">
        <v>24</v>
      </c>
      <c r="AD2250" s="1" t="s">
        <v>24</v>
      </c>
      <c r="AE2250" s="1" t="s">
        <v>24</v>
      </c>
      <c r="AF2250" s="22"/>
    </row>
    <row r="2251" spans="1:32" x14ac:dyDescent="0.2">
      <c r="A2251" s="1">
        <v>12401</v>
      </c>
      <c r="B2251" s="1" t="s">
        <v>7183</v>
      </c>
      <c r="C2251" s="5" t="s">
        <v>0</v>
      </c>
      <c r="D2251" s="1" t="s">
        <v>7184</v>
      </c>
      <c r="F2251" s="1" t="s">
        <v>28</v>
      </c>
      <c r="G2251" s="1" t="s">
        <v>29</v>
      </c>
      <c r="H2251" s="1" t="s">
        <v>30</v>
      </c>
      <c r="I2251" s="1" t="s">
        <v>16</v>
      </c>
      <c r="J2251" s="1">
        <v>1</v>
      </c>
      <c r="K2251" s="1">
        <v>6</v>
      </c>
      <c r="L2251" s="1" t="s">
        <v>31</v>
      </c>
      <c r="M2251" s="1" t="s">
        <v>18</v>
      </c>
      <c r="N2251" s="1" t="s">
        <v>18</v>
      </c>
      <c r="O2251" s="1">
        <v>3</v>
      </c>
      <c r="P2251" s="1">
        <v>7</v>
      </c>
      <c r="Q2251" s="7" t="s">
        <v>17633</v>
      </c>
      <c r="R2251" s="1" t="s">
        <v>19</v>
      </c>
      <c r="S2251" s="1" t="s">
        <v>20</v>
      </c>
      <c r="T2251" s="1" t="s">
        <v>21</v>
      </c>
      <c r="U2251" s="1" t="s">
        <v>22</v>
      </c>
      <c r="V2251" s="1" t="s">
        <v>24</v>
      </c>
      <c r="W2251" s="1" t="s">
        <v>24</v>
      </c>
      <c r="X2251" s="1">
        <v>2728</v>
      </c>
      <c r="Y2251" s="1" t="s">
        <v>24</v>
      </c>
      <c r="Z2251" s="1" t="s">
        <v>24</v>
      </c>
      <c r="AA2251" s="1" t="s">
        <v>24</v>
      </c>
      <c r="AB2251" s="1" t="s">
        <v>24</v>
      </c>
      <c r="AC2251" s="1" t="s">
        <v>24</v>
      </c>
      <c r="AD2251" s="1" t="s">
        <v>24</v>
      </c>
      <c r="AE2251" s="1" t="s">
        <v>24</v>
      </c>
      <c r="AF2251" s="22"/>
    </row>
    <row r="2252" spans="1:32" x14ac:dyDescent="0.2">
      <c r="A2252" s="1">
        <v>12404</v>
      </c>
      <c r="B2252" s="1" t="s">
        <v>7185</v>
      </c>
      <c r="C2252" s="5" t="s">
        <v>0</v>
      </c>
      <c r="D2252" s="1" t="s">
        <v>7186</v>
      </c>
      <c r="E2252" s="1" t="s">
        <v>7187</v>
      </c>
      <c r="F2252" s="1" t="s">
        <v>1887</v>
      </c>
      <c r="G2252" s="1" t="s">
        <v>254</v>
      </c>
      <c r="H2252" s="1" t="s">
        <v>168</v>
      </c>
      <c r="I2252" s="1" t="s">
        <v>16</v>
      </c>
      <c r="J2252" s="1">
        <v>1</v>
      </c>
      <c r="K2252" s="1">
        <v>12</v>
      </c>
      <c r="L2252" s="1" t="s">
        <v>31</v>
      </c>
      <c r="M2252" s="1" t="s">
        <v>18</v>
      </c>
      <c r="N2252" s="1" t="s">
        <v>18</v>
      </c>
      <c r="O2252" s="1">
        <v>3</v>
      </c>
      <c r="P2252" s="1">
        <v>7</v>
      </c>
      <c r="Q2252" s="7" t="s">
        <v>17633</v>
      </c>
      <c r="R2252" s="1" t="s">
        <v>19</v>
      </c>
      <c r="S2252" s="1" t="s">
        <v>20</v>
      </c>
      <c r="T2252" s="1" t="s">
        <v>21</v>
      </c>
      <c r="U2252" s="1" t="s">
        <v>22</v>
      </c>
      <c r="V2252" s="1" t="s">
        <v>24</v>
      </c>
      <c r="W2252" s="1" t="s">
        <v>64</v>
      </c>
      <c r="X2252" s="1">
        <v>1303</v>
      </c>
      <c r="Y2252" s="1">
        <v>1308</v>
      </c>
      <c r="Z2252" s="1">
        <v>1312</v>
      </c>
      <c r="AA2252" s="1" t="s">
        <v>24</v>
      </c>
      <c r="AB2252" s="1" t="s">
        <v>24</v>
      </c>
      <c r="AC2252" s="1" t="s">
        <v>24</v>
      </c>
      <c r="AD2252" s="1" t="s">
        <v>24</v>
      </c>
      <c r="AE2252" s="1" t="s">
        <v>24</v>
      </c>
      <c r="AF2252" s="22"/>
    </row>
    <row r="2253" spans="1:32" x14ac:dyDescent="0.2">
      <c r="A2253" s="1">
        <v>12405</v>
      </c>
      <c r="B2253" s="1" t="s">
        <v>7188</v>
      </c>
      <c r="C2253" s="5" t="s">
        <v>0</v>
      </c>
      <c r="D2253" s="1" t="s">
        <v>7189</v>
      </c>
      <c r="F2253" s="1" t="s">
        <v>7188</v>
      </c>
      <c r="G2253" s="1" t="s">
        <v>7188</v>
      </c>
      <c r="H2253" s="1" t="s">
        <v>899</v>
      </c>
      <c r="I2253" s="1" t="s">
        <v>16</v>
      </c>
      <c r="J2253" s="1">
        <v>1</v>
      </c>
      <c r="K2253" s="1">
        <v>4</v>
      </c>
      <c r="L2253" s="1" t="s">
        <v>17</v>
      </c>
      <c r="M2253" s="1" t="s">
        <v>18</v>
      </c>
      <c r="N2253" s="1" t="s">
        <v>18</v>
      </c>
      <c r="O2253" s="1">
        <v>3</v>
      </c>
      <c r="P2253" s="1">
        <v>7</v>
      </c>
      <c r="Q2253" s="7" t="s">
        <v>17633</v>
      </c>
      <c r="R2253" s="1" t="s">
        <v>19</v>
      </c>
      <c r="S2253" s="1" t="s">
        <v>20</v>
      </c>
      <c r="T2253" s="1" t="s">
        <v>21</v>
      </c>
      <c r="U2253" s="1" t="s">
        <v>22</v>
      </c>
      <c r="V2253" s="1" t="s">
        <v>23</v>
      </c>
      <c r="W2253" s="1" t="s">
        <v>24</v>
      </c>
      <c r="X2253" s="1">
        <v>2741</v>
      </c>
      <c r="Y2253" s="1" t="s">
        <v>24</v>
      </c>
      <c r="Z2253" s="1" t="s">
        <v>24</v>
      </c>
      <c r="AA2253" s="1" t="s">
        <v>24</v>
      </c>
      <c r="AB2253" s="1" t="s">
        <v>24</v>
      </c>
      <c r="AC2253" s="1" t="s">
        <v>24</v>
      </c>
      <c r="AD2253" s="1" t="s">
        <v>24</v>
      </c>
      <c r="AE2253" s="1" t="s">
        <v>24</v>
      </c>
      <c r="AF2253" s="22"/>
    </row>
    <row r="2254" spans="1:32" x14ac:dyDescent="0.2">
      <c r="A2254" s="1">
        <v>12406</v>
      </c>
      <c r="B2254" s="1" t="s">
        <v>7190</v>
      </c>
      <c r="C2254" s="5" t="s">
        <v>0</v>
      </c>
      <c r="D2254" s="1" t="s">
        <v>7191</v>
      </c>
      <c r="E2254" s="1" t="s">
        <v>7192</v>
      </c>
      <c r="F2254" s="1" t="s">
        <v>1808</v>
      </c>
      <c r="G2254" s="1" t="s">
        <v>130</v>
      </c>
      <c r="H2254" s="1" t="s">
        <v>461</v>
      </c>
      <c r="I2254" s="1" t="s">
        <v>16</v>
      </c>
      <c r="J2254" s="1">
        <v>1</v>
      </c>
      <c r="K2254" s="1">
        <v>6</v>
      </c>
      <c r="L2254" s="1" t="s">
        <v>31</v>
      </c>
      <c r="M2254" s="1" t="s">
        <v>18</v>
      </c>
      <c r="N2254" s="1" t="s">
        <v>18</v>
      </c>
      <c r="O2254" s="1">
        <v>3</v>
      </c>
      <c r="P2254" s="1">
        <v>6</v>
      </c>
      <c r="R2254" s="1" t="s">
        <v>19</v>
      </c>
      <c r="S2254" s="1" t="s">
        <v>20</v>
      </c>
      <c r="T2254" s="1" t="s">
        <v>21</v>
      </c>
      <c r="U2254" s="1" t="s">
        <v>22</v>
      </c>
      <c r="V2254" s="1" t="s">
        <v>24</v>
      </c>
      <c r="W2254" s="1" t="s">
        <v>24</v>
      </c>
      <c r="X2254" s="1">
        <v>2739</v>
      </c>
      <c r="Y2254" s="1" t="s">
        <v>24</v>
      </c>
      <c r="Z2254" s="1" t="s">
        <v>24</v>
      </c>
      <c r="AA2254" s="1" t="s">
        <v>24</v>
      </c>
      <c r="AB2254" s="1" t="s">
        <v>24</v>
      </c>
      <c r="AC2254" s="1" t="s">
        <v>24</v>
      </c>
      <c r="AD2254" s="1" t="s">
        <v>24</v>
      </c>
      <c r="AE2254" s="1" t="s">
        <v>24</v>
      </c>
      <c r="AF2254" s="22"/>
    </row>
    <row r="2255" spans="1:32" x14ac:dyDescent="0.2">
      <c r="A2255" s="1">
        <v>12408</v>
      </c>
      <c r="B2255" s="1" t="s">
        <v>7193</v>
      </c>
      <c r="C2255" s="5" t="s">
        <v>0</v>
      </c>
      <c r="D2255" s="1" t="s">
        <v>7194</v>
      </c>
      <c r="E2255" s="1" t="s">
        <v>7195</v>
      </c>
      <c r="F2255" s="1" t="s">
        <v>315</v>
      </c>
      <c r="G2255" s="1" t="s">
        <v>316</v>
      </c>
      <c r="H2255" s="1" t="s">
        <v>37</v>
      </c>
      <c r="I2255" s="1" t="s">
        <v>16</v>
      </c>
      <c r="J2255" s="1">
        <v>1</v>
      </c>
      <c r="K2255" s="1">
        <v>12</v>
      </c>
      <c r="L2255" s="1" t="s">
        <v>31</v>
      </c>
      <c r="M2255" s="1" t="s">
        <v>18</v>
      </c>
      <c r="N2255" s="1" t="s">
        <v>18</v>
      </c>
      <c r="O2255" s="1">
        <v>3</v>
      </c>
      <c r="P2255" s="1">
        <v>7</v>
      </c>
      <c r="Q2255" s="7" t="s">
        <v>17633</v>
      </c>
      <c r="R2255" s="1" t="s">
        <v>62</v>
      </c>
      <c r="S2255" s="1" t="s">
        <v>20</v>
      </c>
      <c r="T2255" s="1" t="s">
        <v>21</v>
      </c>
      <c r="U2255" s="1" t="s">
        <v>22</v>
      </c>
      <c r="V2255" s="1" t="s">
        <v>24</v>
      </c>
      <c r="W2255" s="1" t="s">
        <v>24</v>
      </c>
      <c r="X2255" s="1">
        <v>1312</v>
      </c>
      <c r="Y2255" s="1">
        <v>2738</v>
      </c>
      <c r="Z2255" s="1">
        <v>2804</v>
      </c>
      <c r="AA2255" s="1" t="s">
        <v>24</v>
      </c>
      <c r="AB2255" s="1" t="s">
        <v>24</v>
      </c>
      <c r="AC2255" s="1" t="s">
        <v>24</v>
      </c>
      <c r="AD2255" s="1" t="s">
        <v>24</v>
      </c>
      <c r="AE2255" s="1" t="s">
        <v>24</v>
      </c>
      <c r="AF2255" s="22"/>
    </row>
    <row r="2256" spans="1:32" x14ac:dyDescent="0.2">
      <c r="A2256" s="1">
        <v>12415</v>
      </c>
      <c r="B2256" s="1" t="s">
        <v>7196</v>
      </c>
      <c r="C2256" s="5" t="s">
        <v>0</v>
      </c>
      <c r="D2256" s="1" t="s">
        <v>7197</v>
      </c>
      <c r="E2256" s="1" t="s">
        <v>7198</v>
      </c>
      <c r="F2256" s="1" t="s">
        <v>1808</v>
      </c>
      <c r="G2256" s="1" t="s">
        <v>130</v>
      </c>
      <c r="H2256" s="1" t="s">
        <v>461</v>
      </c>
      <c r="I2256" s="1" t="s">
        <v>16</v>
      </c>
      <c r="J2256" s="1">
        <v>1</v>
      </c>
      <c r="K2256" s="1">
        <v>6</v>
      </c>
      <c r="L2256" s="1" t="s">
        <v>31</v>
      </c>
      <c r="M2256" s="1" t="s">
        <v>18</v>
      </c>
      <c r="N2256" s="1" t="s">
        <v>18</v>
      </c>
      <c r="O2256" s="1">
        <v>3</v>
      </c>
      <c r="P2256" s="1">
        <v>6</v>
      </c>
      <c r="R2256" s="1" t="s">
        <v>19</v>
      </c>
      <c r="S2256" s="1" t="s">
        <v>20</v>
      </c>
      <c r="T2256" s="1" t="s">
        <v>21</v>
      </c>
      <c r="U2256" s="1" t="s">
        <v>22</v>
      </c>
      <c r="V2256" s="1" t="s">
        <v>23</v>
      </c>
      <c r="W2256" s="1" t="s">
        <v>24</v>
      </c>
      <c r="X2256" s="1">
        <v>2732</v>
      </c>
      <c r="Y2256" s="1" t="s">
        <v>24</v>
      </c>
      <c r="Z2256" s="1" t="s">
        <v>24</v>
      </c>
      <c r="AA2256" s="1" t="s">
        <v>24</v>
      </c>
      <c r="AB2256" s="1" t="s">
        <v>24</v>
      </c>
      <c r="AC2256" s="1" t="s">
        <v>24</v>
      </c>
      <c r="AD2256" s="1" t="s">
        <v>24</v>
      </c>
      <c r="AE2256" s="1" t="s">
        <v>24</v>
      </c>
      <c r="AF2256" s="22"/>
    </row>
    <row r="2257" spans="1:32" x14ac:dyDescent="0.2">
      <c r="A2257" s="1">
        <v>12419</v>
      </c>
      <c r="B2257" s="1" t="s">
        <v>7199</v>
      </c>
      <c r="C2257" s="5" t="s">
        <v>0</v>
      </c>
      <c r="D2257" s="1" t="s">
        <v>7200</v>
      </c>
      <c r="F2257" s="1" t="s">
        <v>3610</v>
      </c>
      <c r="G2257" s="1" t="s">
        <v>7199</v>
      </c>
      <c r="H2257" s="1" t="s">
        <v>116</v>
      </c>
      <c r="I2257" s="1" t="s">
        <v>16</v>
      </c>
      <c r="J2257" s="1">
        <v>1</v>
      </c>
      <c r="K2257" s="1">
        <v>10</v>
      </c>
      <c r="L2257" s="1" t="s">
        <v>42</v>
      </c>
      <c r="M2257" s="1" t="s">
        <v>117</v>
      </c>
      <c r="N2257" s="1" t="s">
        <v>118</v>
      </c>
      <c r="O2257" s="1">
        <v>1</v>
      </c>
      <c r="P2257" s="1">
        <v>5</v>
      </c>
      <c r="R2257" s="1" t="s">
        <v>19</v>
      </c>
      <c r="S2257" s="1" t="s">
        <v>63</v>
      </c>
      <c r="T2257" s="1" t="s">
        <v>21</v>
      </c>
      <c r="U2257" s="1" t="s">
        <v>22</v>
      </c>
      <c r="V2257" s="1" t="s">
        <v>24</v>
      </c>
      <c r="W2257" s="1" t="s">
        <v>24</v>
      </c>
      <c r="X2257" s="1">
        <v>2735</v>
      </c>
      <c r="Y2257" s="1" t="s">
        <v>24</v>
      </c>
      <c r="Z2257" s="1" t="s">
        <v>24</v>
      </c>
      <c r="AA2257" s="1" t="s">
        <v>24</v>
      </c>
      <c r="AB2257" s="1" t="s">
        <v>24</v>
      </c>
      <c r="AC2257" s="1" t="s">
        <v>24</v>
      </c>
      <c r="AD2257" s="1" t="s">
        <v>24</v>
      </c>
      <c r="AE2257" s="1" t="s">
        <v>24</v>
      </c>
      <c r="AF2257" s="22"/>
    </row>
    <row r="2258" spans="1:32" x14ac:dyDescent="0.2">
      <c r="A2258" s="1">
        <v>12426</v>
      </c>
      <c r="B2258" s="1" t="s">
        <v>7201</v>
      </c>
      <c r="C2258" s="5" t="s">
        <v>0</v>
      </c>
      <c r="D2258" s="1" t="s">
        <v>7202</v>
      </c>
      <c r="F2258" s="1" t="s">
        <v>1372</v>
      </c>
      <c r="G2258" s="1" t="s">
        <v>7203</v>
      </c>
      <c r="H2258" s="1" t="s">
        <v>878</v>
      </c>
      <c r="I2258" s="1" t="s">
        <v>16</v>
      </c>
      <c r="J2258" s="1">
        <v>1</v>
      </c>
      <c r="K2258" s="1">
        <v>4</v>
      </c>
      <c r="L2258" s="1" t="s">
        <v>42</v>
      </c>
      <c r="M2258" s="1" t="s">
        <v>117</v>
      </c>
      <c r="N2258" s="1" t="s">
        <v>118</v>
      </c>
      <c r="O2258" s="1">
        <v>1</v>
      </c>
      <c r="P2258" s="1">
        <v>5</v>
      </c>
      <c r="R2258" s="1" t="s">
        <v>19</v>
      </c>
      <c r="S2258" s="1" t="s">
        <v>20</v>
      </c>
      <c r="T2258" s="1" t="s">
        <v>21</v>
      </c>
      <c r="U2258" s="1" t="s">
        <v>22</v>
      </c>
      <c r="V2258" s="1" t="s">
        <v>24</v>
      </c>
      <c r="W2258" s="1" t="s">
        <v>24</v>
      </c>
      <c r="X2258" s="1">
        <v>2726</v>
      </c>
      <c r="Y2258" s="1">
        <v>2725</v>
      </c>
      <c r="Z2258" s="1" t="s">
        <v>24</v>
      </c>
      <c r="AA2258" s="1" t="s">
        <v>24</v>
      </c>
      <c r="AB2258" s="1" t="s">
        <v>24</v>
      </c>
      <c r="AC2258" s="1" t="s">
        <v>24</v>
      </c>
      <c r="AD2258" s="1" t="s">
        <v>24</v>
      </c>
      <c r="AE2258" s="1" t="s">
        <v>24</v>
      </c>
      <c r="AF2258" s="22"/>
    </row>
    <row r="2259" spans="1:32" x14ac:dyDescent="0.2">
      <c r="A2259" s="1">
        <v>12428</v>
      </c>
      <c r="B2259" s="1" t="s">
        <v>7204</v>
      </c>
      <c r="C2259" s="5" t="s">
        <v>0</v>
      </c>
      <c r="D2259" s="1" t="s">
        <v>7205</v>
      </c>
      <c r="F2259" s="1" t="s">
        <v>7206</v>
      </c>
      <c r="G2259" s="1" t="s">
        <v>7206</v>
      </c>
      <c r="H2259" s="1" t="s">
        <v>878</v>
      </c>
      <c r="I2259" s="1" t="s">
        <v>16</v>
      </c>
      <c r="J2259" s="1">
        <v>1</v>
      </c>
      <c r="K2259" s="1">
        <v>4</v>
      </c>
      <c r="L2259" s="1" t="s">
        <v>42</v>
      </c>
      <c r="M2259" s="1" t="s">
        <v>117</v>
      </c>
      <c r="N2259" s="1" t="s">
        <v>118</v>
      </c>
      <c r="O2259" s="1">
        <v>3</v>
      </c>
      <c r="P2259" s="1">
        <v>5</v>
      </c>
      <c r="R2259" s="1" t="s">
        <v>19</v>
      </c>
      <c r="S2259" s="1" t="s">
        <v>20</v>
      </c>
      <c r="T2259" s="1" t="s">
        <v>21</v>
      </c>
      <c r="U2259" s="1" t="s">
        <v>22</v>
      </c>
      <c r="V2259" s="1" t="s">
        <v>23</v>
      </c>
      <c r="W2259" s="1" t="s">
        <v>24</v>
      </c>
      <c r="X2259" s="1">
        <v>3003</v>
      </c>
      <c r="Y2259" s="1">
        <v>3004</v>
      </c>
      <c r="Z2259" s="1" t="s">
        <v>24</v>
      </c>
      <c r="AA2259" s="1" t="s">
        <v>24</v>
      </c>
      <c r="AB2259" s="1" t="s">
        <v>24</v>
      </c>
      <c r="AC2259" s="1" t="s">
        <v>24</v>
      </c>
      <c r="AD2259" s="1" t="s">
        <v>24</v>
      </c>
      <c r="AE2259" s="1" t="s">
        <v>24</v>
      </c>
      <c r="AF2259" s="22"/>
    </row>
    <row r="2260" spans="1:32" x14ac:dyDescent="0.2">
      <c r="A2260" s="1">
        <v>12429</v>
      </c>
      <c r="B2260" s="1" t="s">
        <v>7207</v>
      </c>
      <c r="C2260" s="5" t="s">
        <v>0</v>
      </c>
      <c r="D2260" s="1" t="s">
        <v>7208</v>
      </c>
      <c r="E2260" s="1" t="s">
        <v>7209</v>
      </c>
      <c r="F2260" s="1" t="s">
        <v>7210</v>
      </c>
      <c r="G2260" s="1" t="s">
        <v>7210</v>
      </c>
      <c r="H2260" s="1" t="s">
        <v>30</v>
      </c>
      <c r="I2260" s="1" t="s">
        <v>16</v>
      </c>
      <c r="J2260" s="1">
        <v>1</v>
      </c>
      <c r="K2260" s="1">
        <v>12</v>
      </c>
      <c r="L2260" s="1" t="s">
        <v>42</v>
      </c>
      <c r="M2260" s="1" t="s">
        <v>18</v>
      </c>
      <c r="N2260" s="1" t="s">
        <v>18</v>
      </c>
      <c r="O2260" s="1">
        <v>3</v>
      </c>
      <c r="P2260" s="1">
        <v>7</v>
      </c>
      <c r="Q2260" s="7" t="s">
        <v>17633</v>
      </c>
      <c r="R2260" s="1" t="s">
        <v>62</v>
      </c>
      <c r="S2260" s="1" t="s">
        <v>20</v>
      </c>
      <c r="T2260" s="1" t="s">
        <v>21</v>
      </c>
      <c r="U2260" s="1" t="s">
        <v>22</v>
      </c>
      <c r="V2260" s="1" t="s">
        <v>23</v>
      </c>
      <c r="W2260" s="1" t="s">
        <v>24</v>
      </c>
      <c r="X2260" s="1">
        <v>1306</v>
      </c>
      <c r="Y2260" s="1">
        <v>2730</v>
      </c>
      <c r="Z2260" s="1" t="s">
        <v>24</v>
      </c>
      <c r="AA2260" s="1" t="s">
        <v>24</v>
      </c>
      <c r="AB2260" s="1" t="s">
        <v>24</v>
      </c>
      <c r="AC2260" s="1" t="s">
        <v>24</v>
      </c>
      <c r="AD2260" s="1" t="s">
        <v>24</v>
      </c>
      <c r="AE2260" s="1" t="s">
        <v>24</v>
      </c>
      <c r="AF2260" s="22"/>
    </row>
    <row r="2261" spans="1:32" x14ac:dyDescent="0.2">
      <c r="A2261" s="1">
        <v>12432</v>
      </c>
      <c r="B2261" s="1" t="s">
        <v>7211</v>
      </c>
      <c r="C2261" s="5" t="s">
        <v>0</v>
      </c>
      <c r="D2261" s="1" t="s">
        <v>7212</v>
      </c>
      <c r="E2261" s="1" t="s">
        <v>7213</v>
      </c>
      <c r="F2261" s="1" t="s">
        <v>315</v>
      </c>
      <c r="G2261" s="1" t="s">
        <v>316</v>
      </c>
      <c r="H2261" s="1" t="s">
        <v>37</v>
      </c>
      <c r="I2261" s="1" t="s">
        <v>16</v>
      </c>
      <c r="J2261" s="1">
        <v>0</v>
      </c>
      <c r="K2261" s="1">
        <v>0</v>
      </c>
      <c r="L2261" s="1" t="s">
        <v>31</v>
      </c>
      <c r="M2261" s="1" t="s">
        <v>18</v>
      </c>
      <c r="N2261" s="1" t="s">
        <v>18</v>
      </c>
      <c r="O2261" s="1">
        <v>3</v>
      </c>
      <c r="P2261" s="1">
        <v>6</v>
      </c>
      <c r="R2261" s="1" t="s">
        <v>19</v>
      </c>
      <c r="S2261" s="1" t="s">
        <v>20</v>
      </c>
      <c r="T2261" s="1" t="s">
        <v>21</v>
      </c>
      <c r="U2261" s="1" t="s">
        <v>22</v>
      </c>
      <c r="V2261" s="1" t="s">
        <v>24</v>
      </c>
      <c r="W2261" s="1" t="s">
        <v>24</v>
      </c>
      <c r="X2261" s="1">
        <v>2708</v>
      </c>
      <c r="Y2261" s="1">
        <v>1305</v>
      </c>
      <c r="Z2261" s="1">
        <v>1312</v>
      </c>
      <c r="AA2261" s="1">
        <v>1307</v>
      </c>
      <c r="AB2261" s="1" t="s">
        <v>24</v>
      </c>
      <c r="AC2261" s="1" t="s">
        <v>24</v>
      </c>
      <c r="AD2261" s="1" t="s">
        <v>24</v>
      </c>
      <c r="AE2261" s="1" t="s">
        <v>24</v>
      </c>
      <c r="AF2261" s="22"/>
    </row>
    <row r="2262" spans="1:32" x14ac:dyDescent="0.2">
      <c r="A2262" s="1">
        <v>12433</v>
      </c>
      <c r="B2262" s="1" t="s">
        <v>7214</v>
      </c>
      <c r="C2262" s="5" t="s">
        <v>0</v>
      </c>
      <c r="D2262" s="1" t="s">
        <v>7215</v>
      </c>
      <c r="F2262" s="1" t="s">
        <v>7216</v>
      </c>
      <c r="G2262" s="1" t="s">
        <v>7216</v>
      </c>
      <c r="H2262" s="1" t="s">
        <v>1384</v>
      </c>
      <c r="I2262" s="1" t="s">
        <v>16</v>
      </c>
      <c r="J2262" s="1">
        <v>1</v>
      </c>
      <c r="K2262" s="1">
        <v>4</v>
      </c>
      <c r="L2262" s="1" t="s">
        <v>17</v>
      </c>
      <c r="M2262" s="1" t="s">
        <v>1385</v>
      </c>
      <c r="N2262" s="1" t="s">
        <v>3142</v>
      </c>
      <c r="O2262" s="1">
        <v>1</v>
      </c>
      <c r="P2262" s="1">
        <v>5</v>
      </c>
      <c r="R2262" s="1" t="s">
        <v>19</v>
      </c>
      <c r="S2262" s="1" t="s">
        <v>20</v>
      </c>
      <c r="T2262" s="1" t="s">
        <v>21</v>
      </c>
      <c r="U2262" s="1" t="s">
        <v>22</v>
      </c>
      <c r="V2262" s="1" t="s">
        <v>24</v>
      </c>
      <c r="W2262" s="1" t="s">
        <v>24</v>
      </c>
      <c r="X2262" s="1">
        <v>3003</v>
      </c>
      <c r="Y2262" s="1">
        <v>3004</v>
      </c>
      <c r="Z2262" s="1" t="s">
        <v>24</v>
      </c>
      <c r="AA2262" s="1" t="s">
        <v>24</v>
      </c>
      <c r="AB2262" s="1" t="s">
        <v>24</v>
      </c>
      <c r="AC2262" s="1" t="s">
        <v>24</v>
      </c>
      <c r="AD2262" s="1" t="s">
        <v>24</v>
      </c>
      <c r="AE2262" s="1" t="s">
        <v>24</v>
      </c>
      <c r="AF2262" s="22"/>
    </row>
    <row r="2263" spans="1:32" x14ac:dyDescent="0.2">
      <c r="A2263" s="1">
        <v>12443</v>
      </c>
      <c r="B2263" s="1" t="s">
        <v>7217</v>
      </c>
      <c r="C2263" s="5" t="s">
        <v>0</v>
      </c>
      <c r="D2263" s="1" t="s">
        <v>7218</v>
      </c>
      <c r="E2263" s="1" t="s">
        <v>7219</v>
      </c>
      <c r="F2263" s="1" t="s">
        <v>493</v>
      </c>
      <c r="G2263" s="1" t="s">
        <v>98</v>
      </c>
      <c r="H2263" s="1" t="s">
        <v>30</v>
      </c>
      <c r="I2263" s="1" t="s">
        <v>16</v>
      </c>
      <c r="J2263" s="1">
        <v>1</v>
      </c>
      <c r="K2263" s="1">
        <v>6</v>
      </c>
      <c r="L2263" s="1" t="s">
        <v>31</v>
      </c>
      <c r="M2263" s="1" t="s">
        <v>18</v>
      </c>
      <c r="N2263" s="1" t="s">
        <v>18</v>
      </c>
      <c r="O2263" s="1">
        <v>3</v>
      </c>
      <c r="P2263" s="1">
        <v>7</v>
      </c>
      <c r="Q2263" s="7" t="s">
        <v>17633</v>
      </c>
      <c r="R2263" s="1" t="s">
        <v>62</v>
      </c>
      <c r="S2263" s="1" t="s">
        <v>20</v>
      </c>
      <c r="T2263" s="1" t="s">
        <v>21</v>
      </c>
      <c r="U2263" s="1" t="s">
        <v>22</v>
      </c>
      <c r="V2263" s="1" t="s">
        <v>24</v>
      </c>
      <c r="W2263" s="1" t="s">
        <v>24</v>
      </c>
      <c r="X2263" s="1">
        <v>2800</v>
      </c>
      <c r="Y2263" s="1">
        <v>2728</v>
      </c>
      <c r="Z2263" s="1" t="s">
        <v>24</v>
      </c>
      <c r="AA2263" s="1" t="s">
        <v>24</v>
      </c>
      <c r="AB2263" s="1" t="s">
        <v>24</v>
      </c>
      <c r="AC2263" s="1" t="s">
        <v>24</v>
      </c>
      <c r="AD2263" s="1" t="s">
        <v>24</v>
      </c>
      <c r="AE2263" s="1" t="s">
        <v>24</v>
      </c>
      <c r="AF2263" s="22"/>
    </row>
    <row r="2264" spans="1:32" x14ac:dyDescent="0.2">
      <c r="A2264" s="1">
        <v>12447</v>
      </c>
      <c r="B2264" s="1" t="s">
        <v>7220</v>
      </c>
      <c r="C2264" s="5" t="s">
        <v>0</v>
      </c>
      <c r="D2264" s="1" t="s">
        <v>7221</v>
      </c>
      <c r="E2264" s="1" t="s">
        <v>7222</v>
      </c>
      <c r="F2264" s="1" t="s">
        <v>97</v>
      </c>
      <c r="G2264" s="1" t="s">
        <v>98</v>
      </c>
      <c r="H2264" s="1" t="s">
        <v>30</v>
      </c>
      <c r="I2264" s="1" t="s">
        <v>16</v>
      </c>
      <c r="J2264" s="1">
        <v>1</v>
      </c>
      <c r="K2264" s="1">
        <v>6</v>
      </c>
      <c r="L2264" s="1" t="s">
        <v>31</v>
      </c>
      <c r="M2264" s="1" t="s">
        <v>18</v>
      </c>
      <c r="N2264" s="1" t="s">
        <v>18</v>
      </c>
      <c r="O2264" s="1">
        <v>3</v>
      </c>
      <c r="P2264" s="1">
        <v>7</v>
      </c>
      <c r="Q2264" s="7" t="s">
        <v>17633</v>
      </c>
      <c r="R2264" s="1" t="s">
        <v>19</v>
      </c>
      <c r="S2264" s="1" t="s">
        <v>20</v>
      </c>
      <c r="T2264" s="1" t="s">
        <v>21</v>
      </c>
      <c r="U2264" s="1" t="s">
        <v>22</v>
      </c>
      <c r="V2264" s="1" t="s">
        <v>24</v>
      </c>
      <c r="W2264" s="1" t="s">
        <v>24</v>
      </c>
      <c r="X2264" s="1">
        <v>3004</v>
      </c>
      <c r="Y2264" s="1">
        <v>2736</v>
      </c>
      <c r="Z2264" s="1">
        <v>2705</v>
      </c>
      <c r="AA2264" s="1" t="s">
        <v>24</v>
      </c>
      <c r="AB2264" s="1" t="s">
        <v>24</v>
      </c>
      <c r="AC2264" s="1" t="s">
        <v>24</v>
      </c>
      <c r="AD2264" s="1" t="s">
        <v>24</v>
      </c>
      <c r="AE2264" s="1" t="s">
        <v>24</v>
      </c>
      <c r="AF2264" s="22" t="s">
        <v>17670</v>
      </c>
    </row>
    <row r="2265" spans="1:32" x14ac:dyDescent="0.2">
      <c r="A2265" s="1">
        <v>12450</v>
      </c>
      <c r="B2265" s="1" t="s">
        <v>7223</v>
      </c>
      <c r="C2265" s="5" t="s">
        <v>0</v>
      </c>
      <c r="D2265" s="1" t="s">
        <v>7224</v>
      </c>
      <c r="E2265" s="1" t="s">
        <v>7225</v>
      </c>
      <c r="F2265" s="1" t="s">
        <v>940</v>
      </c>
      <c r="G2265" s="1" t="s">
        <v>130</v>
      </c>
      <c r="H2265" s="1" t="s">
        <v>30</v>
      </c>
      <c r="I2265" s="1" t="s">
        <v>16</v>
      </c>
      <c r="J2265" s="1">
        <v>3</v>
      </c>
      <c r="K2265" s="1">
        <v>3</v>
      </c>
      <c r="L2265" s="1" t="s">
        <v>31</v>
      </c>
      <c r="M2265" s="1" t="s">
        <v>18</v>
      </c>
      <c r="N2265" s="1" t="s">
        <v>18</v>
      </c>
      <c r="O2265" s="1">
        <v>3</v>
      </c>
      <c r="P2265" s="1">
        <v>6</v>
      </c>
      <c r="R2265" s="1" t="s">
        <v>19</v>
      </c>
      <c r="S2265" s="1" t="s">
        <v>20</v>
      </c>
      <c r="T2265" s="1" t="s">
        <v>21</v>
      </c>
      <c r="U2265" s="1" t="s">
        <v>22</v>
      </c>
      <c r="V2265" s="1" t="s">
        <v>24</v>
      </c>
      <c r="W2265" s="1" t="s">
        <v>24</v>
      </c>
      <c r="X2265" s="1">
        <v>2804</v>
      </c>
      <c r="Y2265" s="1" t="s">
        <v>24</v>
      </c>
      <c r="Z2265" s="1" t="s">
        <v>24</v>
      </c>
      <c r="AA2265" s="1" t="s">
        <v>24</v>
      </c>
      <c r="AB2265" s="1" t="s">
        <v>24</v>
      </c>
      <c r="AC2265" s="1" t="s">
        <v>24</v>
      </c>
      <c r="AD2265" s="1" t="s">
        <v>24</v>
      </c>
      <c r="AE2265" s="1" t="s">
        <v>24</v>
      </c>
      <c r="AF2265" s="22"/>
    </row>
    <row r="2266" spans="1:32" x14ac:dyDescent="0.2">
      <c r="A2266" s="1">
        <v>12451</v>
      </c>
      <c r="B2266" s="1" t="s">
        <v>7226</v>
      </c>
      <c r="C2266" s="5" t="s">
        <v>0</v>
      </c>
      <c r="D2266" s="1" t="s">
        <v>7227</v>
      </c>
      <c r="E2266" s="1" t="s">
        <v>7228</v>
      </c>
      <c r="F2266" s="1" t="s">
        <v>940</v>
      </c>
      <c r="G2266" s="1" t="s">
        <v>130</v>
      </c>
      <c r="H2266" s="1" t="s">
        <v>30</v>
      </c>
      <c r="I2266" s="1" t="s">
        <v>16</v>
      </c>
      <c r="J2266" s="1">
        <v>2</v>
      </c>
      <c r="K2266" s="1">
        <v>3</v>
      </c>
      <c r="L2266" s="1" t="s">
        <v>31</v>
      </c>
      <c r="M2266" s="1" t="s">
        <v>18</v>
      </c>
      <c r="N2266" s="1" t="s">
        <v>18</v>
      </c>
      <c r="O2266" s="1">
        <v>0</v>
      </c>
      <c r="P2266" s="1">
        <v>6</v>
      </c>
      <c r="R2266" s="1" t="s">
        <v>19</v>
      </c>
      <c r="S2266" s="1" t="s">
        <v>20</v>
      </c>
      <c r="T2266" s="1" t="s">
        <v>21</v>
      </c>
      <c r="U2266" s="1" t="s">
        <v>22</v>
      </c>
      <c r="V2266" s="1" t="s">
        <v>24</v>
      </c>
      <c r="W2266" s="1" t="s">
        <v>24</v>
      </c>
      <c r="X2266" s="1">
        <v>2723</v>
      </c>
      <c r="Y2266" s="1" t="s">
        <v>24</v>
      </c>
      <c r="Z2266" s="1" t="s">
        <v>24</v>
      </c>
      <c r="AA2266" s="1" t="s">
        <v>24</v>
      </c>
      <c r="AB2266" s="1" t="s">
        <v>24</v>
      </c>
      <c r="AC2266" s="1" t="s">
        <v>24</v>
      </c>
      <c r="AD2266" s="1" t="s">
        <v>24</v>
      </c>
      <c r="AE2266" s="1" t="s">
        <v>24</v>
      </c>
      <c r="AF2266" s="22"/>
    </row>
    <row r="2267" spans="1:32" x14ac:dyDescent="0.2">
      <c r="A2267" s="1">
        <v>12452</v>
      </c>
      <c r="B2267" s="1" t="s">
        <v>7229</v>
      </c>
      <c r="C2267" s="5" t="s">
        <v>0</v>
      </c>
      <c r="D2267" s="1" t="s">
        <v>7230</v>
      </c>
      <c r="E2267" s="1" t="s">
        <v>7231</v>
      </c>
      <c r="F2267" s="1" t="s">
        <v>940</v>
      </c>
      <c r="G2267" s="1" t="s">
        <v>130</v>
      </c>
      <c r="H2267" s="1" t="s">
        <v>30</v>
      </c>
      <c r="I2267" s="1" t="s">
        <v>16</v>
      </c>
      <c r="J2267" s="1">
        <v>2</v>
      </c>
      <c r="K2267" s="1">
        <v>3</v>
      </c>
      <c r="L2267" s="1" t="s">
        <v>31</v>
      </c>
      <c r="M2267" s="1" t="s">
        <v>18</v>
      </c>
      <c r="N2267" s="1" t="s">
        <v>18</v>
      </c>
      <c r="O2267" s="1">
        <v>3</v>
      </c>
      <c r="P2267" s="1">
        <v>6</v>
      </c>
      <c r="R2267" s="1" t="s">
        <v>62</v>
      </c>
      <c r="S2267" s="1" t="s">
        <v>20</v>
      </c>
      <c r="T2267" s="1" t="s">
        <v>21</v>
      </c>
      <c r="U2267" s="1" t="s">
        <v>22</v>
      </c>
      <c r="V2267" s="1" t="s">
        <v>24</v>
      </c>
      <c r="W2267" s="1" t="s">
        <v>24</v>
      </c>
      <c r="X2267" s="1">
        <v>2804</v>
      </c>
      <c r="Y2267" s="1" t="s">
        <v>24</v>
      </c>
      <c r="Z2267" s="1" t="s">
        <v>24</v>
      </c>
      <c r="AA2267" s="1" t="s">
        <v>24</v>
      </c>
      <c r="AB2267" s="1" t="s">
        <v>24</v>
      </c>
      <c r="AC2267" s="1" t="s">
        <v>24</v>
      </c>
      <c r="AD2267" s="1" t="s">
        <v>24</v>
      </c>
      <c r="AE2267" s="1" t="s">
        <v>24</v>
      </c>
      <c r="AF2267" s="22"/>
    </row>
    <row r="2268" spans="1:32" x14ac:dyDescent="0.2">
      <c r="A2268" s="1">
        <v>12453</v>
      </c>
      <c r="B2268" s="1" t="s">
        <v>7232</v>
      </c>
      <c r="C2268" s="5" t="s">
        <v>0</v>
      </c>
      <c r="D2268" s="1" t="s">
        <v>7233</v>
      </c>
      <c r="E2268" s="1" t="s">
        <v>7234</v>
      </c>
      <c r="F2268" s="1" t="s">
        <v>35</v>
      </c>
      <c r="G2268" s="1" t="s">
        <v>36</v>
      </c>
      <c r="H2268" s="1" t="s">
        <v>37</v>
      </c>
      <c r="I2268" s="1" t="s">
        <v>16</v>
      </c>
      <c r="J2268" s="1">
        <v>1</v>
      </c>
      <c r="K2268" s="1">
        <v>12</v>
      </c>
      <c r="L2268" s="1" t="s">
        <v>31</v>
      </c>
      <c r="M2268" s="1" t="s">
        <v>18</v>
      </c>
      <c r="N2268" s="1" t="s">
        <v>18</v>
      </c>
      <c r="O2268" s="1">
        <v>3</v>
      </c>
      <c r="P2268" s="1">
        <v>7</v>
      </c>
      <c r="Q2268" s="7" t="s">
        <v>17633</v>
      </c>
      <c r="R2268" s="1" t="s">
        <v>19</v>
      </c>
      <c r="S2268" s="1" t="s">
        <v>20</v>
      </c>
      <c r="T2268" s="1" t="s">
        <v>21</v>
      </c>
      <c r="U2268" s="1" t="s">
        <v>22</v>
      </c>
      <c r="V2268" s="1" t="s">
        <v>24</v>
      </c>
      <c r="W2268" s="1" t="s">
        <v>24</v>
      </c>
      <c r="X2268" s="1">
        <v>2726</v>
      </c>
      <c r="Y2268" s="1">
        <v>2725</v>
      </c>
      <c r="Z2268" s="1" t="s">
        <v>24</v>
      </c>
      <c r="AA2268" s="1" t="s">
        <v>24</v>
      </c>
      <c r="AB2268" s="1" t="s">
        <v>24</v>
      </c>
      <c r="AC2268" s="1" t="s">
        <v>24</v>
      </c>
      <c r="AD2268" s="1" t="s">
        <v>24</v>
      </c>
      <c r="AE2268" s="1" t="s">
        <v>24</v>
      </c>
      <c r="AF2268" s="22"/>
    </row>
    <row r="2269" spans="1:32" x14ac:dyDescent="0.2">
      <c r="A2269" s="1">
        <v>12454</v>
      </c>
      <c r="B2269" s="1" t="s">
        <v>7235</v>
      </c>
      <c r="C2269" s="5" t="s">
        <v>0</v>
      </c>
      <c r="D2269" s="1" t="s">
        <v>7236</v>
      </c>
      <c r="E2269" s="1" t="s">
        <v>7237</v>
      </c>
      <c r="F2269" s="1" t="s">
        <v>194</v>
      </c>
      <c r="G2269" s="1" t="s">
        <v>61</v>
      </c>
      <c r="H2269" s="1" t="s">
        <v>30</v>
      </c>
      <c r="I2269" s="1" t="s">
        <v>16</v>
      </c>
      <c r="J2269" s="1">
        <v>1</v>
      </c>
      <c r="K2269" s="1">
        <v>12</v>
      </c>
      <c r="L2269" s="1" t="s">
        <v>31</v>
      </c>
      <c r="M2269" s="1" t="s">
        <v>18</v>
      </c>
      <c r="N2269" s="1" t="s">
        <v>18</v>
      </c>
      <c r="O2269" s="1">
        <v>3</v>
      </c>
      <c r="P2269" s="1">
        <v>6</v>
      </c>
      <c r="R2269" s="1" t="s">
        <v>19</v>
      </c>
      <c r="S2269" s="1" t="s">
        <v>20</v>
      </c>
      <c r="T2269" s="1" t="s">
        <v>21</v>
      </c>
      <c r="U2269" s="1" t="s">
        <v>22</v>
      </c>
      <c r="V2269" s="1" t="s">
        <v>23</v>
      </c>
      <c r="W2269" s="1" t="s">
        <v>24</v>
      </c>
      <c r="X2269" s="1">
        <v>2741</v>
      </c>
      <c r="Y2269" s="1">
        <v>2705</v>
      </c>
      <c r="Z2269" s="1" t="s">
        <v>24</v>
      </c>
      <c r="AA2269" s="1" t="s">
        <v>24</v>
      </c>
      <c r="AB2269" s="1" t="s">
        <v>24</v>
      </c>
      <c r="AC2269" s="1" t="s">
        <v>24</v>
      </c>
      <c r="AD2269" s="1" t="s">
        <v>24</v>
      </c>
      <c r="AE2269" s="1" t="s">
        <v>24</v>
      </c>
      <c r="AF2269" s="22"/>
    </row>
    <row r="2270" spans="1:32" x14ac:dyDescent="0.2">
      <c r="A2270" s="1">
        <v>12457</v>
      </c>
      <c r="B2270" s="1" t="s">
        <v>7238</v>
      </c>
      <c r="C2270" s="5" t="s">
        <v>0</v>
      </c>
      <c r="D2270" s="1" t="s">
        <v>7239</v>
      </c>
      <c r="F2270" s="1" t="s">
        <v>6894</v>
      </c>
      <c r="G2270" s="1" t="s">
        <v>7240</v>
      </c>
      <c r="H2270" s="1" t="s">
        <v>6895</v>
      </c>
      <c r="I2270" s="1" t="s">
        <v>16</v>
      </c>
      <c r="J2270" s="1">
        <v>1</v>
      </c>
      <c r="K2270" s="1">
        <v>4</v>
      </c>
      <c r="L2270" s="1" t="s">
        <v>17</v>
      </c>
      <c r="M2270" s="1" t="s">
        <v>18</v>
      </c>
      <c r="N2270" s="1" t="s">
        <v>18</v>
      </c>
      <c r="O2270" s="1">
        <v>3</v>
      </c>
      <c r="P2270" s="1">
        <v>5</v>
      </c>
      <c r="R2270" s="1" t="s">
        <v>19</v>
      </c>
      <c r="S2270" s="1" t="s">
        <v>20</v>
      </c>
      <c r="T2270" s="1" t="s">
        <v>21</v>
      </c>
      <c r="U2270" s="1" t="s">
        <v>22</v>
      </c>
      <c r="V2270" s="1" t="s">
        <v>23</v>
      </c>
      <c r="W2270" s="1" t="s">
        <v>24</v>
      </c>
      <c r="X2270" s="1">
        <v>2738</v>
      </c>
      <c r="Y2270" s="1" t="s">
        <v>24</v>
      </c>
      <c r="Z2270" s="1" t="s">
        <v>24</v>
      </c>
      <c r="AA2270" s="1" t="s">
        <v>24</v>
      </c>
      <c r="AB2270" s="1" t="s">
        <v>24</v>
      </c>
      <c r="AC2270" s="1" t="s">
        <v>24</v>
      </c>
      <c r="AD2270" s="1" t="s">
        <v>24</v>
      </c>
      <c r="AE2270" s="1" t="s">
        <v>24</v>
      </c>
      <c r="AF2270" s="22"/>
    </row>
    <row r="2271" spans="1:32" x14ac:dyDescent="0.2">
      <c r="A2271" s="1">
        <v>12461</v>
      </c>
      <c r="B2271" s="1" t="s">
        <v>7241</v>
      </c>
      <c r="C2271" s="5" t="s">
        <v>0</v>
      </c>
      <c r="D2271" s="1" t="s">
        <v>7242</v>
      </c>
      <c r="E2271" s="1" t="s">
        <v>7243</v>
      </c>
      <c r="F2271" s="1" t="s">
        <v>315</v>
      </c>
      <c r="G2271" s="1" t="s">
        <v>316</v>
      </c>
      <c r="H2271" s="1" t="s">
        <v>37</v>
      </c>
      <c r="I2271" s="1" t="s">
        <v>16</v>
      </c>
      <c r="J2271" s="1">
        <v>1</v>
      </c>
      <c r="K2271" s="1">
        <v>6</v>
      </c>
      <c r="L2271" s="1" t="s">
        <v>31</v>
      </c>
      <c r="M2271" s="1" t="s">
        <v>18</v>
      </c>
      <c r="N2271" s="1" t="s">
        <v>18</v>
      </c>
      <c r="O2271" s="1">
        <v>3</v>
      </c>
      <c r="P2271" s="1">
        <v>7</v>
      </c>
      <c r="Q2271" s="7" t="s">
        <v>17633</v>
      </c>
      <c r="R2271" s="1" t="s">
        <v>19</v>
      </c>
      <c r="S2271" s="1" t="s">
        <v>20</v>
      </c>
      <c r="T2271" s="1" t="s">
        <v>21</v>
      </c>
      <c r="U2271" s="1" t="s">
        <v>22</v>
      </c>
      <c r="V2271" s="1" t="s">
        <v>24</v>
      </c>
      <c r="W2271" s="1" t="s">
        <v>24</v>
      </c>
      <c r="X2271" s="1">
        <v>2748</v>
      </c>
      <c r="Y2271" s="1" t="s">
        <v>24</v>
      </c>
      <c r="Z2271" s="1" t="s">
        <v>24</v>
      </c>
      <c r="AA2271" s="1" t="s">
        <v>24</v>
      </c>
      <c r="AB2271" s="1" t="s">
        <v>24</v>
      </c>
      <c r="AC2271" s="1" t="s">
        <v>24</v>
      </c>
      <c r="AD2271" s="1" t="s">
        <v>24</v>
      </c>
      <c r="AE2271" s="1" t="s">
        <v>24</v>
      </c>
      <c r="AF2271" s="22"/>
    </row>
    <row r="2272" spans="1:32" x14ac:dyDescent="0.2">
      <c r="A2272" s="1">
        <v>12463</v>
      </c>
      <c r="B2272" s="1" t="s">
        <v>7244</v>
      </c>
      <c r="C2272" s="5" t="s">
        <v>0</v>
      </c>
      <c r="D2272" s="1" t="s">
        <v>7245</v>
      </c>
      <c r="E2272" s="1" t="s">
        <v>7246</v>
      </c>
      <c r="F2272" s="1" t="s">
        <v>4502</v>
      </c>
      <c r="G2272" s="1" t="s">
        <v>4502</v>
      </c>
      <c r="H2272" s="1" t="s">
        <v>37</v>
      </c>
      <c r="I2272" s="1" t="s">
        <v>112</v>
      </c>
      <c r="J2272" s="1">
        <v>1</v>
      </c>
      <c r="K2272" s="1">
        <v>4</v>
      </c>
      <c r="L2272" s="1" t="s">
        <v>42</v>
      </c>
      <c r="M2272" s="1" t="s">
        <v>18</v>
      </c>
      <c r="N2272" s="1" t="s">
        <v>18</v>
      </c>
      <c r="O2272" s="1">
        <v>2</v>
      </c>
      <c r="P2272" s="1">
        <v>6</v>
      </c>
      <c r="R2272" s="1" t="s">
        <v>19</v>
      </c>
      <c r="S2272" s="1" t="s">
        <v>20</v>
      </c>
      <c r="T2272" s="1" t="s">
        <v>21</v>
      </c>
      <c r="U2272" s="1" t="s">
        <v>22</v>
      </c>
      <c r="V2272" s="1" t="s">
        <v>23</v>
      </c>
      <c r="W2272" s="1" t="s">
        <v>24</v>
      </c>
      <c r="X2272" s="1">
        <v>2740</v>
      </c>
      <c r="Y2272" s="1" t="s">
        <v>24</v>
      </c>
      <c r="Z2272" s="1" t="s">
        <v>24</v>
      </c>
      <c r="AA2272" s="1" t="s">
        <v>24</v>
      </c>
      <c r="AB2272" s="1" t="s">
        <v>24</v>
      </c>
      <c r="AC2272" s="1" t="s">
        <v>24</v>
      </c>
      <c r="AD2272" s="1" t="s">
        <v>24</v>
      </c>
      <c r="AE2272" s="1" t="s">
        <v>24</v>
      </c>
      <c r="AF2272" s="22" t="s">
        <v>17672</v>
      </c>
    </row>
    <row r="2273" spans="1:32" x14ac:dyDescent="0.2">
      <c r="A2273" s="1">
        <v>12466</v>
      </c>
      <c r="B2273" s="1" t="s">
        <v>7247</v>
      </c>
      <c r="C2273" s="5" t="s">
        <v>0</v>
      </c>
      <c r="D2273" s="1" t="s">
        <v>7248</v>
      </c>
      <c r="F2273" s="1" t="s">
        <v>7249</v>
      </c>
      <c r="G2273" s="1" t="s">
        <v>7249</v>
      </c>
      <c r="H2273" s="1" t="s">
        <v>111</v>
      </c>
      <c r="I2273" s="1" t="s">
        <v>16</v>
      </c>
      <c r="J2273" s="1">
        <v>1</v>
      </c>
      <c r="K2273" s="1">
        <v>12</v>
      </c>
      <c r="L2273" s="1" t="s">
        <v>17</v>
      </c>
      <c r="M2273" s="1" t="s">
        <v>413</v>
      </c>
      <c r="N2273" s="1" t="s">
        <v>413</v>
      </c>
      <c r="O2273" s="1">
        <v>0</v>
      </c>
      <c r="P2273" s="1">
        <v>5</v>
      </c>
      <c r="R2273" s="1" t="s">
        <v>19</v>
      </c>
      <c r="S2273" s="1" t="s">
        <v>20</v>
      </c>
      <c r="T2273" s="1" t="s">
        <v>21</v>
      </c>
      <c r="U2273" s="1" t="s">
        <v>22</v>
      </c>
      <c r="V2273" s="1" t="s">
        <v>24</v>
      </c>
      <c r="W2273" s="1" t="s">
        <v>24</v>
      </c>
      <c r="X2273" s="1">
        <v>2736</v>
      </c>
      <c r="Y2273" s="1" t="s">
        <v>24</v>
      </c>
      <c r="Z2273" s="1" t="s">
        <v>24</v>
      </c>
      <c r="AA2273" s="1" t="s">
        <v>24</v>
      </c>
      <c r="AB2273" s="1" t="s">
        <v>24</v>
      </c>
      <c r="AC2273" s="1" t="s">
        <v>24</v>
      </c>
      <c r="AD2273" s="1" t="s">
        <v>24</v>
      </c>
      <c r="AE2273" s="1" t="s">
        <v>24</v>
      </c>
      <c r="AF2273" s="22"/>
    </row>
    <row r="2274" spans="1:32" x14ac:dyDescent="0.2">
      <c r="A2274" s="1">
        <v>12467</v>
      </c>
      <c r="B2274" s="1" t="s">
        <v>7250</v>
      </c>
      <c r="C2274" s="5" t="s">
        <v>0</v>
      </c>
      <c r="D2274" s="1" t="s">
        <v>7251</v>
      </c>
      <c r="F2274" s="1" t="s">
        <v>7252</v>
      </c>
      <c r="G2274" s="1" t="s">
        <v>7253</v>
      </c>
      <c r="H2274" s="1" t="s">
        <v>731</v>
      </c>
      <c r="I2274" s="1" t="s">
        <v>16</v>
      </c>
      <c r="J2274" s="1">
        <v>1</v>
      </c>
      <c r="K2274" s="1">
        <v>2</v>
      </c>
      <c r="L2274" s="1" t="s">
        <v>42</v>
      </c>
      <c r="M2274" s="1" t="s">
        <v>18</v>
      </c>
      <c r="N2274" s="1" t="s">
        <v>18</v>
      </c>
      <c r="O2274" s="1">
        <v>3</v>
      </c>
      <c r="P2274" s="1">
        <v>6</v>
      </c>
      <c r="R2274" s="1" t="s">
        <v>19</v>
      </c>
      <c r="S2274" s="1" t="s">
        <v>20</v>
      </c>
      <c r="T2274" s="1" t="s">
        <v>21</v>
      </c>
      <c r="U2274" s="1" t="s">
        <v>22</v>
      </c>
      <c r="V2274" s="1" t="s">
        <v>24</v>
      </c>
      <c r="W2274" s="1" t="s">
        <v>24</v>
      </c>
      <c r="X2274" s="1">
        <v>2700</v>
      </c>
      <c r="Y2274" s="1" t="s">
        <v>24</v>
      </c>
      <c r="Z2274" s="1" t="s">
        <v>24</v>
      </c>
      <c r="AA2274" s="1" t="s">
        <v>24</v>
      </c>
      <c r="AB2274" s="1" t="s">
        <v>24</v>
      </c>
      <c r="AC2274" s="1" t="s">
        <v>24</v>
      </c>
      <c r="AD2274" s="1" t="s">
        <v>24</v>
      </c>
      <c r="AE2274" s="1" t="s">
        <v>24</v>
      </c>
      <c r="AF2274" s="22"/>
    </row>
    <row r="2275" spans="1:32" x14ac:dyDescent="0.2">
      <c r="A2275" s="1">
        <v>12468</v>
      </c>
      <c r="B2275" s="1" t="s">
        <v>7254</v>
      </c>
      <c r="C2275" s="5" t="s">
        <v>0</v>
      </c>
      <c r="D2275" s="1" t="s">
        <v>7255</v>
      </c>
      <c r="E2275" s="1" t="s">
        <v>7256</v>
      </c>
      <c r="F2275" s="1" t="s">
        <v>91</v>
      </c>
      <c r="G2275" s="1" t="s">
        <v>61</v>
      </c>
      <c r="H2275" s="1" t="s">
        <v>92</v>
      </c>
      <c r="I2275" s="1" t="s">
        <v>16</v>
      </c>
      <c r="J2275" s="1">
        <v>1</v>
      </c>
      <c r="K2275" s="1">
        <v>6</v>
      </c>
      <c r="L2275" s="1" t="s">
        <v>31</v>
      </c>
      <c r="M2275" s="1" t="s">
        <v>18</v>
      </c>
      <c r="N2275" s="1" t="s">
        <v>18</v>
      </c>
      <c r="O2275" s="1">
        <v>3</v>
      </c>
      <c r="P2275" s="1">
        <v>6</v>
      </c>
      <c r="R2275" s="1" t="s">
        <v>19</v>
      </c>
      <c r="S2275" s="1" t="s">
        <v>63</v>
      </c>
      <c r="T2275" s="1" t="s">
        <v>21</v>
      </c>
      <c r="U2275" s="1" t="s">
        <v>22</v>
      </c>
      <c r="V2275" s="1" t="s">
        <v>24</v>
      </c>
      <c r="W2275" s="1" t="s">
        <v>24</v>
      </c>
      <c r="X2275" s="1">
        <v>2726</v>
      </c>
      <c r="Y2275" s="1">
        <v>2725</v>
      </c>
      <c r="Z2275" s="1" t="s">
        <v>24</v>
      </c>
      <c r="AA2275" s="1" t="s">
        <v>24</v>
      </c>
      <c r="AB2275" s="1" t="s">
        <v>24</v>
      </c>
      <c r="AC2275" s="1" t="s">
        <v>24</v>
      </c>
      <c r="AD2275" s="1" t="s">
        <v>24</v>
      </c>
      <c r="AE2275" s="1" t="s">
        <v>24</v>
      </c>
      <c r="AF2275" s="22"/>
    </row>
    <row r="2276" spans="1:32" x14ac:dyDescent="0.2">
      <c r="A2276" s="1">
        <v>12469</v>
      </c>
      <c r="B2276" s="1" t="s">
        <v>7257</v>
      </c>
      <c r="C2276" s="5" t="s">
        <v>0</v>
      </c>
      <c r="D2276" s="1" t="s">
        <v>7258</v>
      </c>
      <c r="E2276" s="1" t="s">
        <v>7259</v>
      </c>
      <c r="F2276" s="1" t="s">
        <v>35</v>
      </c>
      <c r="G2276" s="1" t="s">
        <v>36</v>
      </c>
      <c r="H2276" s="1" t="s">
        <v>37</v>
      </c>
      <c r="I2276" s="1" t="s">
        <v>16</v>
      </c>
      <c r="J2276" s="1">
        <v>1</v>
      </c>
      <c r="K2276" s="1">
        <v>6</v>
      </c>
      <c r="L2276" s="1" t="s">
        <v>31</v>
      </c>
      <c r="M2276" s="1" t="s">
        <v>18</v>
      </c>
      <c r="N2276" s="1" t="s">
        <v>18</v>
      </c>
      <c r="O2276" s="1">
        <v>3</v>
      </c>
      <c r="P2276" s="1">
        <v>6</v>
      </c>
      <c r="R2276" s="1" t="s">
        <v>19</v>
      </c>
      <c r="S2276" s="1" t="s">
        <v>20</v>
      </c>
      <c r="T2276" s="1" t="s">
        <v>21</v>
      </c>
      <c r="U2276" s="1" t="s">
        <v>22</v>
      </c>
      <c r="V2276" s="1" t="s">
        <v>23</v>
      </c>
      <c r="W2276" s="1" t="s">
        <v>24</v>
      </c>
      <c r="X2276" s="1">
        <v>2739</v>
      </c>
      <c r="Y2276" s="1">
        <v>2725</v>
      </c>
      <c r="Z2276" s="1" t="s">
        <v>24</v>
      </c>
      <c r="AA2276" s="1" t="s">
        <v>24</v>
      </c>
      <c r="AB2276" s="1" t="s">
        <v>24</v>
      </c>
      <c r="AC2276" s="1" t="s">
        <v>24</v>
      </c>
      <c r="AD2276" s="1" t="s">
        <v>24</v>
      </c>
      <c r="AE2276" s="1" t="s">
        <v>24</v>
      </c>
      <c r="AF2276" s="22"/>
    </row>
    <row r="2277" spans="1:32" x14ac:dyDescent="0.2">
      <c r="A2277" s="1">
        <v>12472</v>
      </c>
      <c r="B2277" s="1" t="s">
        <v>7260</v>
      </c>
      <c r="C2277" s="5" t="s">
        <v>0</v>
      </c>
      <c r="D2277" s="1" t="s">
        <v>7261</v>
      </c>
      <c r="E2277" s="1" t="s">
        <v>7262</v>
      </c>
      <c r="F2277" s="1" t="s">
        <v>109</v>
      </c>
      <c r="G2277" s="1" t="s">
        <v>110</v>
      </c>
      <c r="H2277" s="1" t="s">
        <v>111</v>
      </c>
      <c r="I2277" s="1" t="s">
        <v>16</v>
      </c>
      <c r="J2277" s="1">
        <v>2</v>
      </c>
      <c r="K2277" s="1">
        <v>4</v>
      </c>
      <c r="L2277" s="1" t="s">
        <v>31</v>
      </c>
      <c r="M2277" s="1" t="s">
        <v>18</v>
      </c>
      <c r="N2277" s="1" t="s">
        <v>18</v>
      </c>
      <c r="O2277" s="1">
        <v>3</v>
      </c>
      <c r="P2277" s="1">
        <v>8</v>
      </c>
      <c r="Q2277" s="7" t="s">
        <v>17633</v>
      </c>
      <c r="R2277" s="1" t="s">
        <v>19</v>
      </c>
      <c r="S2277" s="1" t="s">
        <v>20</v>
      </c>
      <c r="T2277" s="1" t="s">
        <v>21</v>
      </c>
      <c r="U2277" s="1" t="s">
        <v>22</v>
      </c>
      <c r="V2277" s="1" t="s">
        <v>23</v>
      </c>
      <c r="W2277" s="1" t="s">
        <v>24</v>
      </c>
      <c r="X2277" s="1">
        <v>2738</v>
      </c>
      <c r="Y2277" s="1">
        <v>2717</v>
      </c>
      <c r="Z2277" s="1">
        <v>2805</v>
      </c>
      <c r="AA2277" s="1" t="s">
        <v>24</v>
      </c>
      <c r="AB2277" s="1" t="s">
        <v>24</v>
      </c>
      <c r="AC2277" s="1" t="s">
        <v>24</v>
      </c>
      <c r="AD2277" s="1" t="s">
        <v>24</v>
      </c>
      <c r="AE2277" s="1" t="s">
        <v>24</v>
      </c>
      <c r="AF2277" s="22"/>
    </row>
    <row r="2278" spans="1:32" x14ac:dyDescent="0.2">
      <c r="A2278" s="1">
        <v>12475</v>
      </c>
      <c r="B2278" s="1" t="s">
        <v>7263</v>
      </c>
      <c r="C2278" s="5" t="s">
        <v>0</v>
      </c>
      <c r="D2278" s="1" t="s">
        <v>7264</v>
      </c>
      <c r="E2278" s="1" t="s">
        <v>7265</v>
      </c>
      <c r="F2278" s="1" t="s">
        <v>60</v>
      </c>
      <c r="G2278" s="1" t="s">
        <v>61</v>
      </c>
      <c r="H2278" s="1" t="s">
        <v>30</v>
      </c>
      <c r="I2278" s="1" t="s">
        <v>16</v>
      </c>
      <c r="J2278" s="1">
        <v>2</v>
      </c>
      <c r="K2278" s="1">
        <v>4</v>
      </c>
      <c r="L2278" s="1" t="s">
        <v>31</v>
      </c>
      <c r="M2278" s="1" t="s">
        <v>18</v>
      </c>
      <c r="N2278" s="1" t="s">
        <v>18</v>
      </c>
      <c r="O2278" s="1">
        <v>3</v>
      </c>
      <c r="P2278" s="1">
        <v>8</v>
      </c>
      <c r="Q2278" s="7" t="s">
        <v>17633</v>
      </c>
      <c r="R2278" s="1" t="s">
        <v>19</v>
      </c>
      <c r="S2278" s="1" t="s">
        <v>63</v>
      </c>
      <c r="T2278" s="1" t="s">
        <v>21</v>
      </c>
      <c r="U2278" s="1" t="s">
        <v>22</v>
      </c>
      <c r="V2278" s="1" t="s">
        <v>24</v>
      </c>
      <c r="W2278" s="1" t="s">
        <v>64</v>
      </c>
      <c r="X2278" s="1">
        <v>1303</v>
      </c>
      <c r="Y2278" s="1">
        <v>1308</v>
      </c>
      <c r="Z2278" s="1">
        <v>1306</v>
      </c>
      <c r="AA2278" s="1">
        <v>1314</v>
      </c>
      <c r="AB2278" s="1" t="s">
        <v>24</v>
      </c>
      <c r="AC2278" s="1" t="s">
        <v>24</v>
      </c>
      <c r="AD2278" s="1" t="s">
        <v>24</v>
      </c>
      <c r="AE2278" s="1" t="s">
        <v>24</v>
      </c>
      <c r="AF2278" s="22"/>
    </row>
    <row r="2279" spans="1:32" x14ac:dyDescent="0.2">
      <c r="A2279" s="1">
        <v>12476</v>
      </c>
      <c r="B2279" s="1" t="s">
        <v>7266</v>
      </c>
      <c r="C2279" s="5" t="s">
        <v>0</v>
      </c>
      <c r="D2279" s="1" t="s">
        <v>7267</v>
      </c>
      <c r="E2279" s="1" t="s">
        <v>7268</v>
      </c>
      <c r="F2279" s="1" t="s">
        <v>159</v>
      </c>
      <c r="G2279" s="1" t="s">
        <v>160</v>
      </c>
      <c r="H2279" s="1" t="s">
        <v>37</v>
      </c>
      <c r="I2279" s="1" t="s">
        <v>16</v>
      </c>
      <c r="J2279" s="1">
        <v>1</v>
      </c>
      <c r="K2279" s="1">
        <v>6</v>
      </c>
      <c r="L2279" s="1" t="s">
        <v>42</v>
      </c>
      <c r="M2279" s="1" t="s">
        <v>18</v>
      </c>
      <c r="N2279" s="1" t="s">
        <v>18</v>
      </c>
      <c r="O2279" s="1">
        <v>3</v>
      </c>
      <c r="P2279" s="1">
        <v>6</v>
      </c>
      <c r="R2279" s="1" t="s">
        <v>19</v>
      </c>
      <c r="S2279" s="1" t="s">
        <v>20</v>
      </c>
      <c r="T2279" s="1" t="s">
        <v>21</v>
      </c>
      <c r="U2279" s="1" t="s">
        <v>22</v>
      </c>
      <c r="V2279" s="1" t="s">
        <v>23</v>
      </c>
      <c r="W2279" s="1" t="s">
        <v>24</v>
      </c>
      <c r="X2279" s="1">
        <v>2700</v>
      </c>
      <c r="Y2279" s="1" t="s">
        <v>24</v>
      </c>
      <c r="Z2279" s="1" t="s">
        <v>24</v>
      </c>
      <c r="AA2279" s="1" t="s">
        <v>24</v>
      </c>
      <c r="AB2279" s="1" t="s">
        <v>24</v>
      </c>
      <c r="AC2279" s="1" t="s">
        <v>24</v>
      </c>
      <c r="AD2279" s="1" t="s">
        <v>24</v>
      </c>
      <c r="AE2279" s="1" t="s">
        <v>24</v>
      </c>
      <c r="AF2279" s="22"/>
    </row>
    <row r="2280" spans="1:32" x14ac:dyDescent="0.2">
      <c r="A2280" s="1">
        <v>12479</v>
      </c>
      <c r="B2280" s="1" t="s">
        <v>7269</v>
      </c>
      <c r="C2280" s="5" t="s">
        <v>0</v>
      </c>
      <c r="D2280" s="1" t="s">
        <v>7270</v>
      </c>
      <c r="E2280" s="1" t="s">
        <v>7271</v>
      </c>
      <c r="F2280" s="1" t="s">
        <v>296</v>
      </c>
      <c r="G2280" s="1" t="s">
        <v>36</v>
      </c>
      <c r="H2280" s="1" t="s">
        <v>264</v>
      </c>
      <c r="I2280" s="1" t="s">
        <v>16</v>
      </c>
      <c r="J2280" s="1">
        <v>1</v>
      </c>
      <c r="K2280" s="1">
        <v>8</v>
      </c>
      <c r="L2280" s="1" t="s">
        <v>31</v>
      </c>
      <c r="M2280" s="1" t="s">
        <v>18</v>
      </c>
      <c r="N2280" s="1" t="s">
        <v>18</v>
      </c>
      <c r="O2280" s="1">
        <v>3</v>
      </c>
      <c r="P2280" s="1">
        <v>7</v>
      </c>
      <c r="Q2280" s="7" t="s">
        <v>17633</v>
      </c>
      <c r="R2280" s="1" t="s">
        <v>19</v>
      </c>
      <c r="S2280" s="1" t="s">
        <v>20</v>
      </c>
      <c r="T2280" s="1" t="s">
        <v>21</v>
      </c>
      <c r="U2280" s="1" t="s">
        <v>22</v>
      </c>
      <c r="V2280" s="1" t="s">
        <v>24</v>
      </c>
      <c r="W2280" s="1" t="s">
        <v>24</v>
      </c>
      <c r="X2280" s="1">
        <v>2727</v>
      </c>
      <c r="Y2280" s="1" t="s">
        <v>24</v>
      </c>
      <c r="Z2280" s="1" t="s">
        <v>24</v>
      </c>
      <c r="AA2280" s="1" t="s">
        <v>24</v>
      </c>
      <c r="AB2280" s="1" t="s">
        <v>24</v>
      </c>
      <c r="AC2280" s="1" t="s">
        <v>24</v>
      </c>
      <c r="AD2280" s="1" t="s">
        <v>24</v>
      </c>
      <c r="AE2280" s="1" t="s">
        <v>24</v>
      </c>
      <c r="AF2280" s="22"/>
    </row>
    <row r="2281" spans="1:32" x14ac:dyDescent="0.2">
      <c r="A2281" s="1">
        <v>12481</v>
      </c>
      <c r="B2281" s="1" t="s">
        <v>7272</v>
      </c>
      <c r="C2281" s="5" t="s">
        <v>0</v>
      </c>
      <c r="D2281" s="1" t="s">
        <v>7273</v>
      </c>
      <c r="E2281" s="1" t="s">
        <v>7274</v>
      </c>
      <c r="F2281" s="1" t="s">
        <v>7275</v>
      </c>
      <c r="G2281" s="1" t="s">
        <v>56</v>
      </c>
      <c r="H2281" s="1" t="s">
        <v>37</v>
      </c>
      <c r="I2281" s="1" t="s">
        <v>16</v>
      </c>
      <c r="J2281" s="1">
        <v>2</v>
      </c>
      <c r="K2281" s="1">
        <v>6</v>
      </c>
      <c r="L2281" s="1" t="s">
        <v>31</v>
      </c>
      <c r="M2281" s="1" t="s">
        <v>18</v>
      </c>
      <c r="N2281" s="1" t="s">
        <v>18</v>
      </c>
      <c r="O2281" s="1">
        <v>3</v>
      </c>
      <c r="P2281" s="1">
        <v>7</v>
      </c>
      <c r="Q2281" s="7" t="s">
        <v>17633</v>
      </c>
      <c r="R2281" s="1" t="s">
        <v>19</v>
      </c>
      <c r="S2281" s="1" t="s">
        <v>20</v>
      </c>
      <c r="T2281" s="1" t="s">
        <v>21</v>
      </c>
      <c r="U2281" s="1" t="s">
        <v>22</v>
      </c>
      <c r="V2281" s="1" t="s">
        <v>24</v>
      </c>
      <c r="W2281" s="1" t="s">
        <v>24</v>
      </c>
      <c r="X2281" s="1">
        <v>2705</v>
      </c>
      <c r="Y2281" s="1">
        <v>2746</v>
      </c>
      <c r="Z2281" s="1">
        <v>2740</v>
      </c>
      <c r="AA2281" s="1" t="s">
        <v>24</v>
      </c>
      <c r="AB2281" s="1" t="s">
        <v>24</v>
      </c>
      <c r="AC2281" s="1" t="s">
        <v>24</v>
      </c>
      <c r="AD2281" s="1" t="s">
        <v>24</v>
      </c>
      <c r="AE2281" s="1" t="s">
        <v>24</v>
      </c>
      <c r="AF2281" s="22"/>
    </row>
    <row r="2282" spans="1:32" x14ac:dyDescent="0.2">
      <c r="A2282" s="1">
        <v>12483</v>
      </c>
      <c r="B2282" s="1" t="s">
        <v>7276</v>
      </c>
      <c r="C2282" s="5" t="s">
        <v>0</v>
      </c>
      <c r="D2282" s="1" t="s">
        <v>7277</v>
      </c>
      <c r="E2282" s="1" t="s">
        <v>7278</v>
      </c>
      <c r="F2282" s="1" t="s">
        <v>673</v>
      </c>
      <c r="G2282" s="1" t="s">
        <v>61</v>
      </c>
      <c r="H2282" s="1" t="s">
        <v>30</v>
      </c>
      <c r="I2282" s="1" t="s">
        <v>16</v>
      </c>
      <c r="J2282" s="1">
        <v>1</v>
      </c>
      <c r="K2282" s="1">
        <v>6</v>
      </c>
      <c r="L2282" s="1" t="s">
        <v>31</v>
      </c>
      <c r="M2282" s="1" t="s">
        <v>18</v>
      </c>
      <c r="N2282" s="1" t="s">
        <v>18</v>
      </c>
      <c r="O2282" s="1">
        <v>3</v>
      </c>
      <c r="P2282" s="1">
        <v>7</v>
      </c>
      <c r="Q2282" s="7" t="s">
        <v>17633</v>
      </c>
      <c r="R2282" s="1" t="s">
        <v>19</v>
      </c>
      <c r="S2282" s="1" t="s">
        <v>20</v>
      </c>
      <c r="T2282" s="1" t="s">
        <v>21</v>
      </c>
      <c r="U2282" s="1" t="s">
        <v>22</v>
      </c>
      <c r="V2282" s="1" t="s">
        <v>24</v>
      </c>
      <c r="W2282" s="1" t="s">
        <v>24</v>
      </c>
      <c r="X2282" s="1">
        <v>2729</v>
      </c>
      <c r="Y2282" s="1">
        <v>2735</v>
      </c>
      <c r="Z2282" s="1" t="s">
        <v>24</v>
      </c>
      <c r="AA2282" s="1" t="s">
        <v>24</v>
      </c>
      <c r="AB2282" s="1" t="s">
        <v>24</v>
      </c>
      <c r="AC2282" s="1" t="s">
        <v>24</v>
      </c>
      <c r="AD2282" s="1" t="s">
        <v>24</v>
      </c>
      <c r="AE2282" s="1" t="s">
        <v>24</v>
      </c>
      <c r="AF2282" s="22"/>
    </row>
    <row r="2283" spans="1:32" x14ac:dyDescent="0.2">
      <c r="A2283" s="1">
        <v>12486</v>
      </c>
      <c r="B2283" s="1" t="s">
        <v>7279</v>
      </c>
      <c r="C2283" s="5" t="s">
        <v>0</v>
      </c>
      <c r="D2283" s="1" t="s">
        <v>7280</v>
      </c>
      <c r="F2283" s="1" t="s">
        <v>7281</v>
      </c>
      <c r="G2283" s="1" t="s">
        <v>7281</v>
      </c>
      <c r="H2283" s="1" t="s">
        <v>7282</v>
      </c>
      <c r="I2283" s="1" t="s">
        <v>16</v>
      </c>
      <c r="J2283" s="1">
        <v>1</v>
      </c>
      <c r="K2283" s="1">
        <v>4</v>
      </c>
      <c r="L2283" s="1" t="s">
        <v>42</v>
      </c>
      <c r="M2283" s="1" t="s">
        <v>18</v>
      </c>
      <c r="N2283" s="1" t="s">
        <v>4066</v>
      </c>
      <c r="O2283" s="1">
        <v>2</v>
      </c>
      <c r="P2283" s="1">
        <v>5</v>
      </c>
      <c r="R2283" s="1" t="s">
        <v>19</v>
      </c>
      <c r="S2283" s="1" t="s">
        <v>20</v>
      </c>
      <c r="T2283" s="1" t="s">
        <v>21</v>
      </c>
      <c r="U2283" s="1" t="s">
        <v>22</v>
      </c>
      <c r="V2283" s="1" t="s">
        <v>24</v>
      </c>
      <c r="W2283" s="1" t="s">
        <v>24</v>
      </c>
      <c r="X2283" s="1">
        <v>1306</v>
      </c>
      <c r="Y2283" s="1">
        <v>2730</v>
      </c>
      <c r="Z2283" s="1" t="s">
        <v>24</v>
      </c>
      <c r="AA2283" s="1" t="s">
        <v>24</v>
      </c>
      <c r="AB2283" s="1" t="s">
        <v>24</v>
      </c>
      <c r="AC2283" s="1" t="s">
        <v>24</v>
      </c>
      <c r="AD2283" s="1" t="s">
        <v>24</v>
      </c>
      <c r="AE2283" s="1" t="s">
        <v>24</v>
      </c>
      <c r="AF2283" s="22"/>
    </row>
    <row r="2284" spans="1:32" x14ac:dyDescent="0.2">
      <c r="A2284" s="1">
        <v>12487</v>
      </c>
      <c r="B2284" s="1" t="s">
        <v>7283</v>
      </c>
      <c r="C2284" s="5" t="s">
        <v>0</v>
      </c>
      <c r="D2284" s="1" t="s">
        <v>7284</v>
      </c>
      <c r="E2284" s="1" t="s">
        <v>7285</v>
      </c>
      <c r="F2284" s="1" t="s">
        <v>35</v>
      </c>
      <c r="G2284" s="1" t="s">
        <v>36</v>
      </c>
      <c r="H2284" s="1" t="s">
        <v>37</v>
      </c>
      <c r="I2284" s="1" t="s">
        <v>16</v>
      </c>
      <c r="J2284" s="1">
        <v>2</v>
      </c>
      <c r="K2284" s="1">
        <v>6</v>
      </c>
      <c r="L2284" s="1" t="s">
        <v>31</v>
      </c>
      <c r="M2284" s="1" t="s">
        <v>18</v>
      </c>
      <c r="N2284" s="1" t="s">
        <v>18</v>
      </c>
      <c r="O2284" s="1">
        <v>3</v>
      </c>
      <c r="P2284" s="1">
        <v>6</v>
      </c>
      <c r="R2284" s="1" t="s">
        <v>19</v>
      </c>
      <c r="S2284" s="1" t="s">
        <v>20</v>
      </c>
      <c r="T2284" s="1" t="s">
        <v>21</v>
      </c>
      <c r="U2284" s="1" t="s">
        <v>22</v>
      </c>
      <c r="V2284" s="1" t="s">
        <v>24</v>
      </c>
      <c r="W2284" s="1" t="s">
        <v>24</v>
      </c>
      <c r="X2284" s="1">
        <v>2402</v>
      </c>
      <c r="Y2284" s="1">
        <v>1305</v>
      </c>
      <c r="Z2284" s="1" t="s">
        <v>24</v>
      </c>
      <c r="AA2284" s="1" t="s">
        <v>24</v>
      </c>
      <c r="AB2284" s="1" t="s">
        <v>24</v>
      </c>
      <c r="AC2284" s="1" t="s">
        <v>24</v>
      </c>
      <c r="AD2284" s="1" t="s">
        <v>24</v>
      </c>
      <c r="AE2284" s="1" t="s">
        <v>24</v>
      </c>
      <c r="AF2284" s="22"/>
    </row>
    <row r="2285" spans="1:32" x14ac:dyDescent="0.2">
      <c r="A2285" s="1">
        <v>12491</v>
      </c>
      <c r="B2285" s="1" t="s">
        <v>7286</v>
      </c>
      <c r="C2285" s="5" t="s">
        <v>0</v>
      </c>
      <c r="D2285" s="1" t="s">
        <v>7287</v>
      </c>
      <c r="E2285" s="1" t="s">
        <v>7288</v>
      </c>
      <c r="F2285" s="1" t="s">
        <v>91</v>
      </c>
      <c r="G2285" s="1" t="s">
        <v>61</v>
      </c>
      <c r="H2285" s="1" t="s">
        <v>92</v>
      </c>
      <c r="I2285" s="1" t="s">
        <v>16</v>
      </c>
      <c r="J2285" s="1">
        <v>2</v>
      </c>
      <c r="K2285" s="1">
        <v>3</v>
      </c>
      <c r="L2285" s="1" t="s">
        <v>31</v>
      </c>
      <c r="M2285" s="1" t="s">
        <v>18</v>
      </c>
      <c r="N2285" s="1" t="s">
        <v>18</v>
      </c>
      <c r="O2285" s="1">
        <v>3</v>
      </c>
      <c r="P2285" s="1">
        <v>7</v>
      </c>
      <c r="Q2285" s="7" t="s">
        <v>17633</v>
      </c>
      <c r="R2285" s="1" t="s">
        <v>62</v>
      </c>
      <c r="S2285" s="1" t="s">
        <v>20</v>
      </c>
      <c r="T2285" s="1" t="s">
        <v>21</v>
      </c>
      <c r="U2285" s="1" t="s">
        <v>22</v>
      </c>
      <c r="V2285" s="1" t="s">
        <v>24</v>
      </c>
      <c r="W2285" s="1" t="s">
        <v>24</v>
      </c>
      <c r="X2285" s="1">
        <v>1311</v>
      </c>
      <c r="Y2285" s="1">
        <v>2307</v>
      </c>
      <c r="Z2285" s="1" t="s">
        <v>24</v>
      </c>
      <c r="AA2285" s="1" t="s">
        <v>24</v>
      </c>
      <c r="AB2285" s="1" t="s">
        <v>24</v>
      </c>
      <c r="AC2285" s="1" t="s">
        <v>24</v>
      </c>
      <c r="AD2285" s="1" t="s">
        <v>24</v>
      </c>
      <c r="AE2285" s="1" t="s">
        <v>24</v>
      </c>
      <c r="AF2285" s="22"/>
    </row>
    <row r="2286" spans="1:32" x14ac:dyDescent="0.2">
      <c r="A2286" s="1">
        <v>12492</v>
      </c>
      <c r="B2286" s="1" t="s">
        <v>7289</v>
      </c>
      <c r="C2286" s="5" t="s">
        <v>0</v>
      </c>
      <c r="D2286" s="1" t="s">
        <v>7290</v>
      </c>
      <c r="E2286" s="1" t="s">
        <v>7291</v>
      </c>
      <c r="F2286" s="1" t="s">
        <v>91</v>
      </c>
      <c r="G2286" s="1" t="s">
        <v>61</v>
      </c>
      <c r="H2286" s="1" t="s">
        <v>92</v>
      </c>
      <c r="I2286" s="1" t="s">
        <v>16</v>
      </c>
      <c r="J2286" s="1">
        <v>12</v>
      </c>
      <c r="K2286" s="1">
        <v>2</v>
      </c>
      <c r="L2286" s="1" t="s">
        <v>31</v>
      </c>
      <c r="M2286" s="1" t="s">
        <v>18</v>
      </c>
      <c r="N2286" s="1" t="s">
        <v>18</v>
      </c>
      <c r="O2286" s="1">
        <v>3</v>
      </c>
      <c r="P2286" s="1">
        <v>7</v>
      </c>
      <c r="Q2286" s="7" t="s">
        <v>17633</v>
      </c>
      <c r="R2286" s="1" t="s">
        <v>19</v>
      </c>
      <c r="S2286" s="1" t="s">
        <v>63</v>
      </c>
      <c r="T2286" s="1" t="s">
        <v>21</v>
      </c>
      <c r="U2286" s="1" t="s">
        <v>22</v>
      </c>
      <c r="V2286" s="1" t="s">
        <v>24</v>
      </c>
      <c r="W2286" s="1" t="s">
        <v>24</v>
      </c>
      <c r="X2286" s="1">
        <v>2307</v>
      </c>
      <c r="Y2286" s="1">
        <v>1311</v>
      </c>
      <c r="Z2286" s="1" t="s">
        <v>24</v>
      </c>
      <c r="AA2286" s="1" t="s">
        <v>24</v>
      </c>
      <c r="AB2286" s="1" t="s">
        <v>24</v>
      </c>
      <c r="AC2286" s="1" t="s">
        <v>24</v>
      </c>
      <c r="AD2286" s="1" t="s">
        <v>24</v>
      </c>
      <c r="AE2286" s="1" t="s">
        <v>24</v>
      </c>
      <c r="AF2286" s="22"/>
    </row>
    <row r="2287" spans="1:32" x14ac:dyDescent="0.2">
      <c r="A2287" s="1">
        <v>12494</v>
      </c>
      <c r="B2287" s="1" t="s">
        <v>7292</v>
      </c>
      <c r="C2287" s="5" t="s">
        <v>0</v>
      </c>
      <c r="D2287" s="1" t="s">
        <v>7293</v>
      </c>
      <c r="E2287" s="1" t="s">
        <v>7294</v>
      </c>
      <c r="F2287" s="1" t="s">
        <v>1260</v>
      </c>
      <c r="G2287" s="1" t="s">
        <v>130</v>
      </c>
      <c r="H2287" s="1" t="s">
        <v>111</v>
      </c>
      <c r="I2287" s="1" t="s">
        <v>16</v>
      </c>
      <c r="J2287" s="1">
        <v>1</v>
      </c>
      <c r="K2287" s="1">
        <v>6</v>
      </c>
      <c r="L2287" s="1" t="s">
        <v>31</v>
      </c>
      <c r="M2287" s="1" t="s">
        <v>18</v>
      </c>
      <c r="N2287" s="1" t="s">
        <v>18</v>
      </c>
      <c r="O2287" s="1">
        <v>3</v>
      </c>
      <c r="P2287" s="1">
        <v>7</v>
      </c>
      <c r="Q2287" s="7" t="s">
        <v>17633</v>
      </c>
      <c r="R2287" s="1" t="s">
        <v>19</v>
      </c>
      <c r="S2287" s="1" t="s">
        <v>20</v>
      </c>
      <c r="T2287" s="1" t="s">
        <v>21</v>
      </c>
      <c r="U2287" s="1" t="s">
        <v>22</v>
      </c>
      <c r="V2287" s="1" t="s">
        <v>24</v>
      </c>
      <c r="W2287" s="1" t="s">
        <v>64</v>
      </c>
      <c r="X2287" s="1">
        <v>2736</v>
      </c>
      <c r="Y2287" s="1">
        <v>3004</v>
      </c>
      <c r="Z2287" s="1">
        <v>1305</v>
      </c>
      <c r="AA2287" s="1" t="s">
        <v>24</v>
      </c>
      <c r="AB2287" s="1" t="s">
        <v>24</v>
      </c>
      <c r="AC2287" s="1" t="s">
        <v>24</v>
      </c>
      <c r="AD2287" s="1" t="s">
        <v>24</v>
      </c>
      <c r="AE2287" s="1" t="s">
        <v>24</v>
      </c>
      <c r="AF2287" s="22"/>
    </row>
    <row r="2288" spans="1:32" x14ac:dyDescent="0.2">
      <c r="A2288" s="1">
        <v>12495</v>
      </c>
      <c r="B2288" s="1" t="s">
        <v>7295</v>
      </c>
      <c r="C2288" s="5" t="s">
        <v>0</v>
      </c>
      <c r="E2288" s="1" t="s">
        <v>7296</v>
      </c>
      <c r="F2288" s="1" t="s">
        <v>155</v>
      </c>
      <c r="G2288" s="1" t="s">
        <v>61</v>
      </c>
      <c r="H2288" s="1" t="s">
        <v>6895</v>
      </c>
      <c r="I2288" s="1" t="s">
        <v>16</v>
      </c>
      <c r="J2288" s="1">
        <v>1</v>
      </c>
      <c r="K2288" s="1">
        <v>12</v>
      </c>
      <c r="L2288" s="1" t="s">
        <v>31</v>
      </c>
      <c r="M2288" s="1" t="s">
        <v>18</v>
      </c>
      <c r="N2288" s="1" t="s">
        <v>18</v>
      </c>
      <c r="O2288" s="1">
        <v>3</v>
      </c>
      <c r="P2288" s="1">
        <v>5</v>
      </c>
      <c r="R2288" s="1" t="s">
        <v>19</v>
      </c>
      <c r="S2288" s="1" t="s">
        <v>20</v>
      </c>
      <c r="T2288" s="1" t="s">
        <v>21</v>
      </c>
      <c r="U2288" s="1" t="s">
        <v>22</v>
      </c>
      <c r="V2288" s="1" t="s">
        <v>24</v>
      </c>
      <c r="W2288" s="1" t="s">
        <v>24</v>
      </c>
      <c r="X2288" s="1">
        <v>2700</v>
      </c>
      <c r="Y2288" s="1" t="s">
        <v>24</v>
      </c>
      <c r="Z2288" s="1" t="s">
        <v>24</v>
      </c>
      <c r="AA2288" s="1" t="s">
        <v>24</v>
      </c>
      <c r="AB2288" s="1" t="s">
        <v>24</v>
      </c>
      <c r="AC2288" s="1" t="s">
        <v>24</v>
      </c>
      <c r="AD2288" s="1" t="s">
        <v>24</v>
      </c>
      <c r="AE2288" s="1" t="s">
        <v>24</v>
      </c>
      <c r="AF2288" s="22" t="s">
        <v>17670</v>
      </c>
    </row>
    <row r="2289" spans="1:32" x14ac:dyDescent="0.2">
      <c r="A2289" s="1">
        <v>12496</v>
      </c>
      <c r="B2289" s="1" t="s">
        <v>7297</v>
      </c>
      <c r="C2289" s="5" t="s">
        <v>0</v>
      </c>
      <c r="D2289" s="1" t="s">
        <v>7298</v>
      </c>
      <c r="E2289" s="1" t="s">
        <v>7299</v>
      </c>
      <c r="F2289" s="1" t="s">
        <v>217</v>
      </c>
      <c r="G2289" s="1" t="s">
        <v>130</v>
      </c>
      <c r="H2289" s="1" t="s">
        <v>92</v>
      </c>
      <c r="I2289" s="1" t="s">
        <v>16</v>
      </c>
      <c r="J2289" s="1">
        <v>1</v>
      </c>
      <c r="K2289" s="1">
        <v>4</v>
      </c>
      <c r="L2289" s="1" t="s">
        <v>31</v>
      </c>
      <c r="M2289" s="1" t="s">
        <v>18</v>
      </c>
      <c r="N2289" s="1" t="s">
        <v>18</v>
      </c>
      <c r="O2289" s="1">
        <v>3</v>
      </c>
      <c r="P2289" s="1">
        <v>6</v>
      </c>
      <c r="R2289" s="1" t="s">
        <v>19</v>
      </c>
      <c r="S2289" s="1" t="s">
        <v>20</v>
      </c>
      <c r="T2289" s="1" t="s">
        <v>21</v>
      </c>
      <c r="U2289" s="1" t="s">
        <v>22</v>
      </c>
      <c r="V2289" s="1" t="s">
        <v>24</v>
      </c>
      <c r="W2289" s="1" t="s">
        <v>24</v>
      </c>
      <c r="X2289" s="1">
        <v>1314</v>
      </c>
      <c r="Y2289" s="1">
        <v>1303</v>
      </c>
      <c r="Z2289" s="1" t="s">
        <v>24</v>
      </c>
      <c r="AA2289" s="1" t="s">
        <v>24</v>
      </c>
      <c r="AB2289" s="1" t="s">
        <v>24</v>
      </c>
      <c r="AC2289" s="1" t="s">
        <v>24</v>
      </c>
      <c r="AD2289" s="1" t="s">
        <v>24</v>
      </c>
      <c r="AE2289" s="1" t="s">
        <v>24</v>
      </c>
      <c r="AF2289" s="22"/>
    </row>
    <row r="2290" spans="1:32" x14ac:dyDescent="0.2">
      <c r="A2290" s="1">
        <v>12497</v>
      </c>
      <c r="B2290" s="1" t="s">
        <v>7300</v>
      </c>
      <c r="C2290" s="5" t="s">
        <v>0</v>
      </c>
      <c r="D2290" s="1" t="s">
        <v>7301</v>
      </c>
      <c r="E2290" s="1" t="s">
        <v>7302</v>
      </c>
      <c r="F2290" s="1" t="s">
        <v>493</v>
      </c>
      <c r="G2290" s="1" t="s">
        <v>98</v>
      </c>
      <c r="H2290" s="1" t="s">
        <v>30</v>
      </c>
      <c r="I2290" s="1" t="s">
        <v>16</v>
      </c>
      <c r="J2290" s="1">
        <v>1</v>
      </c>
      <c r="K2290" s="1">
        <v>6</v>
      </c>
      <c r="L2290" s="1" t="s">
        <v>31</v>
      </c>
      <c r="M2290" s="1" t="s">
        <v>18</v>
      </c>
      <c r="N2290" s="1" t="s">
        <v>18</v>
      </c>
      <c r="O2290" s="1">
        <v>3</v>
      </c>
      <c r="P2290" s="1">
        <v>6</v>
      </c>
      <c r="R2290" s="1" t="s">
        <v>19</v>
      </c>
      <c r="S2290" s="1" t="s">
        <v>20</v>
      </c>
      <c r="T2290" s="1" t="s">
        <v>21</v>
      </c>
      <c r="U2290" s="1" t="s">
        <v>22</v>
      </c>
      <c r="V2290" s="1" t="s">
        <v>24</v>
      </c>
      <c r="W2290" s="1" t="s">
        <v>24</v>
      </c>
      <c r="X2290" s="1">
        <v>3005</v>
      </c>
      <c r="Y2290" s="1" t="s">
        <v>24</v>
      </c>
      <c r="Z2290" s="1" t="s">
        <v>24</v>
      </c>
      <c r="AA2290" s="1" t="s">
        <v>24</v>
      </c>
      <c r="AB2290" s="1" t="s">
        <v>24</v>
      </c>
      <c r="AC2290" s="1" t="s">
        <v>24</v>
      </c>
      <c r="AD2290" s="1" t="s">
        <v>24</v>
      </c>
      <c r="AE2290" s="1" t="s">
        <v>24</v>
      </c>
      <c r="AF2290" s="22"/>
    </row>
    <row r="2291" spans="1:32" x14ac:dyDescent="0.2">
      <c r="A2291" s="1">
        <v>12498</v>
      </c>
      <c r="B2291" s="1" t="s">
        <v>7303</v>
      </c>
      <c r="C2291" s="5" t="s">
        <v>0</v>
      </c>
      <c r="D2291" s="1" t="s">
        <v>7304</v>
      </c>
      <c r="F2291" s="1" t="s">
        <v>7305</v>
      </c>
      <c r="G2291" s="1" t="s">
        <v>7306</v>
      </c>
      <c r="H2291" s="1" t="s">
        <v>1384</v>
      </c>
      <c r="I2291" s="1" t="s">
        <v>16</v>
      </c>
      <c r="J2291" s="1">
        <v>1</v>
      </c>
      <c r="K2291" s="1">
        <v>4</v>
      </c>
      <c r="L2291" s="1" t="s">
        <v>42</v>
      </c>
      <c r="M2291" s="1" t="s">
        <v>18</v>
      </c>
      <c r="N2291" s="1" t="s">
        <v>18</v>
      </c>
      <c r="O2291" s="1">
        <v>3</v>
      </c>
      <c r="P2291" s="1">
        <v>6</v>
      </c>
      <c r="R2291" s="1" t="s">
        <v>19</v>
      </c>
      <c r="S2291" s="1" t="s">
        <v>20</v>
      </c>
      <c r="T2291" s="1" t="s">
        <v>21</v>
      </c>
      <c r="U2291" s="1" t="s">
        <v>22</v>
      </c>
      <c r="V2291" s="1" t="s">
        <v>24</v>
      </c>
      <c r="W2291" s="1" t="s">
        <v>24</v>
      </c>
      <c r="X2291" s="1">
        <v>2730</v>
      </c>
      <c r="Y2291" s="1">
        <v>2720</v>
      </c>
      <c r="Z2291" s="1">
        <v>1306</v>
      </c>
      <c r="AA2291" s="1" t="s">
        <v>24</v>
      </c>
      <c r="AB2291" s="1" t="s">
        <v>24</v>
      </c>
      <c r="AC2291" s="1" t="s">
        <v>24</v>
      </c>
      <c r="AD2291" s="1" t="s">
        <v>24</v>
      </c>
      <c r="AE2291" s="1" t="s">
        <v>24</v>
      </c>
      <c r="AF2291" s="22"/>
    </row>
    <row r="2292" spans="1:32" x14ac:dyDescent="0.2">
      <c r="A2292" s="1">
        <v>12499</v>
      </c>
      <c r="B2292" s="1" t="s">
        <v>7307</v>
      </c>
      <c r="C2292" s="5" t="s">
        <v>0</v>
      </c>
      <c r="D2292" s="1" t="s">
        <v>7308</v>
      </c>
      <c r="F2292" s="1" t="s">
        <v>7309</v>
      </c>
      <c r="G2292" s="1" t="s">
        <v>7309</v>
      </c>
      <c r="H2292" s="1" t="s">
        <v>7310</v>
      </c>
      <c r="I2292" s="1" t="s">
        <v>16</v>
      </c>
      <c r="J2292" s="1">
        <v>1</v>
      </c>
      <c r="K2292" s="1">
        <v>4</v>
      </c>
      <c r="L2292" s="1" t="s">
        <v>42</v>
      </c>
      <c r="M2292" s="1" t="s">
        <v>199</v>
      </c>
      <c r="N2292" s="1" t="s">
        <v>199</v>
      </c>
      <c r="O2292" s="1">
        <v>3</v>
      </c>
      <c r="P2292" s="1">
        <v>5</v>
      </c>
      <c r="R2292" s="1" t="s">
        <v>19</v>
      </c>
      <c r="S2292" s="1" t="s">
        <v>20</v>
      </c>
      <c r="T2292" s="1" t="s">
        <v>21</v>
      </c>
      <c r="U2292" s="1" t="s">
        <v>22</v>
      </c>
      <c r="V2292" s="1" t="s">
        <v>24</v>
      </c>
      <c r="W2292" s="1" t="s">
        <v>24</v>
      </c>
      <c r="X2292" s="1">
        <v>2700</v>
      </c>
      <c r="Y2292" s="1" t="s">
        <v>24</v>
      </c>
      <c r="Z2292" s="1" t="s">
        <v>24</v>
      </c>
      <c r="AA2292" s="1" t="s">
        <v>24</v>
      </c>
      <c r="AB2292" s="1" t="s">
        <v>24</v>
      </c>
      <c r="AC2292" s="1" t="s">
        <v>24</v>
      </c>
      <c r="AD2292" s="1" t="s">
        <v>24</v>
      </c>
      <c r="AE2292" s="1" t="s">
        <v>24</v>
      </c>
      <c r="AF2292" s="22"/>
    </row>
    <row r="2293" spans="1:32" x14ac:dyDescent="0.2">
      <c r="A2293" s="1">
        <v>12507</v>
      </c>
      <c r="B2293" s="1" t="s">
        <v>7311</v>
      </c>
      <c r="C2293" s="5" t="s">
        <v>0</v>
      </c>
      <c r="D2293" s="1" t="s">
        <v>7312</v>
      </c>
      <c r="E2293" s="1" t="s">
        <v>7313</v>
      </c>
      <c r="F2293" s="1" t="s">
        <v>548</v>
      </c>
      <c r="G2293" s="1" t="s">
        <v>36</v>
      </c>
      <c r="H2293" s="1" t="s">
        <v>30</v>
      </c>
      <c r="I2293" s="1" t="s">
        <v>16</v>
      </c>
      <c r="J2293" s="1">
        <v>2</v>
      </c>
      <c r="K2293" s="1">
        <v>4</v>
      </c>
      <c r="L2293" s="1" t="s">
        <v>31</v>
      </c>
      <c r="M2293" s="1" t="s">
        <v>18</v>
      </c>
      <c r="N2293" s="1" t="s">
        <v>18</v>
      </c>
      <c r="O2293" s="1">
        <v>3</v>
      </c>
      <c r="P2293" s="1">
        <v>7</v>
      </c>
      <c r="Q2293" s="7" t="s">
        <v>17633</v>
      </c>
      <c r="R2293" s="1" t="s">
        <v>19</v>
      </c>
      <c r="S2293" s="1" t="s">
        <v>20</v>
      </c>
      <c r="T2293" s="1" t="s">
        <v>21</v>
      </c>
      <c r="U2293" s="1" t="s">
        <v>22</v>
      </c>
      <c r="V2293" s="1" t="s">
        <v>23</v>
      </c>
      <c r="W2293" s="1" t="s">
        <v>24</v>
      </c>
      <c r="X2293" s="1">
        <v>2738</v>
      </c>
      <c r="Y2293" s="1">
        <v>3203</v>
      </c>
      <c r="Z2293" s="1" t="s">
        <v>24</v>
      </c>
      <c r="AA2293" s="1" t="s">
        <v>24</v>
      </c>
      <c r="AB2293" s="1" t="s">
        <v>24</v>
      </c>
      <c r="AC2293" s="1" t="s">
        <v>24</v>
      </c>
      <c r="AD2293" s="1" t="s">
        <v>24</v>
      </c>
      <c r="AE2293" s="1" t="s">
        <v>24</v>
      </c>
      <c r="AF2293" s="22"/>
    </row>
    <row r="2294" spans="1:32" x14ac:dyDescent="0.2">
      <c r="A2294" s="1">
        <v>12510</v>
      </c>
      <c r="B2294" s="1" t="s">
        <v>7314</v>
      </c>
      <c r="C2294" s="5" t="s">
        <v>0</v>
      </c>
      <c r="D2294" s="1" t="s">
        <v>7315</v>
      </c>
      <c r="E2294" s="1" t="s">
        <v>7316</v>
      </c>
      <c r="F2294" s="1" t="s">
        <v>6797</v>
      </c>
      <c r="G2294" s="1" t="s">
        <v>6797</v>
      </c>
      <c r="H2294" s="1" t="s">
        <v>249</v>
      </c>
      <c r="I2294" s="1" t="s">
        <v>16</v>
      </c>
      <c r="J2294" s="1">
        <v>1</v>
      </c>
      <c r="K2294" s="1">
        <v>4</v>
      </c>
      <c r="L2294" s="1" t="s">
        <v>42</v>
      </c>
      <c r="M2294" s="1" t="s">
        <v>250</v>
      </c>
      <c r="N2294" s="1" t="s">
        <v>1463</v>
      </c>
      <c r="O2294" s="1">
        <v>1</v>
      </c>
      <c r="P2294" s="1">
        <v>5</v>
      </c>
      <c r="R2294" s="1" t="s">
        <v>19</v>
      </c>
      <c r="S2294" s="1" t="s">
        <v>20</v>
      </c>
      <c r="T2294" s="1" t="s">
        <v>21</v>
      </c>
      <c r="U2294" s="1" t="s">
        <v>22</v>
      </c>
      <c r="V2294" s="1" t="s">
        <v>24</v>
      </c>
      <c r="W2294" s="1" t="s">
        <v>24</v>
      </c>
      <c r="X2294" s="1">
        <v>2735</v>
      </c>
      <c r="Y2294" s="1" t="s">
        <v>24</v>
      </c>
      <c r="Z2294" s="1" t="s">
        <v>24</v>
      </c>
      <c r="AA2294" s="1" t="s">
        <v>24</v>
      </c>
      <c r="AB2294" s="1" t="s">
        <v>24</v>
      </c>
      <c r="AC2294" s="1" t="s">
        <v>24</v>
      </c>
      <c r="AD2294" s="1" t="s">
        <v>24</v>
      </c>
      <c r="AE2294" s="1" t="s">
        <v>24</v>
      </c>
      <c r="AF2294" s="22"/>
    </row>
    <row r="2295" spans="1:32" x14ac:dyDescent="0.2">
      <c r="A2295" s="1">
        <v>12513</v>
      </c>
      <c r="B2295" s="1" t="s">
        <v>7317</v>
      </c>
      <c r="C2295" s="5" t="s">
        <v>0</v>
      </c>
      <c r="D2295" s="1" t="s">
        <v>7318</v>
      </c>
      <c r="E2295" s="1" t="s">
        <v>7319</v>
      </c>
      <c r="F2295" s="1" t="s">
        <v>2299</v>
      </c>
      <c r="G2295" s="1" t="s">
        <v>2300</v>
      </c>
      <c r="H2295" s="1" t="s">
        <v>37</v>
      </c>
      <c r="I2295" s="1" t="s">
        <v>16</v>
      </c>
      <c r="J2295" s="1">
        <v>1</v>
      </c>
      <c r="K2295" s="1">
        <v>6</v>
      </c>
      <c r="L2295" s="1" t="s">
        <v>31</v>
      </c>
      <c r="M2295" s="1" t="s">
        <v>18</v>
      </c>
      <c r="N2295" s="1" t="s">
        <v>18</v>
      </c>
      <c r="O2295" s="1">
        <v>3</v>
      </c>
      <c r="P2295" s="1">
        <v>7</v>
      </c>
      <c r="Q2295" s="7" t="s">
        <v>17633</v>
      </c>
      <c r="R2295" s="1" t="s">
        <v>62</v>
      </c>
      <c r="S2295" s="1" t="s">
        <v>63</v>
      </c>
      <c r="T2295" s="1" t="s">
        <v>21</v>
      </c>
      <c r="U2295" s="1" t="s">
        <v>22</v>
      </c>
      <c r="V2295" s="1" t="s">
        <v>23</v>
      </c>
      <c r="W2295" s="1" t="s">
        <v>24</v>
      </c>
      <c r="X2295" s="1">
        <v>2706</v>
      </c>
      <c r="Y2295" s="1" t="s">
        <v>24</v>
      </c>
      <c r="Z2295" s="1" t="s">
        <v>24</v>
      </c>
      <c r="AA2295" s="1" t="s">
        <v>24</v>
      </c>
      <c r="AB2295" s="1" t="s">
        <v>24</v>
      </c>
      <c r="AC2295" s="1" t="s">
        <v>24</v>
      </c>
      <c r="AD2295" s="1" t="s">
        <v>24</v>
      </c>
      <c r="AE2295" s="1" t="s">
        <v>24</v>
      </c>
      <c r="AF2295" s="22"/>
    </row>
    <row r="2296" spans="1:32" x14ac:dyDescent="0.2">
      <c r="A2296" s="1">
        <v>12518</v>
      </c>
      <c r="B2296" s="1" t="s">
        <v>7320</v>
      </c>
      <c r="C2296" s="5" t="s">
        <v>0</v>
      </c>
      <c r="D2296" s="1" t="s">
        <v>7321</v>
      </c>
      <c r="E2296" s="1" t="s">
        <v>7322</v>
      </c>
      <c r="F2296" s="1" t="s">
        <v>221</v>
      </c>
      <c r="G2296" s="1" t="s">
        <v>61</v>
      </c>
      <c r="H2296" s="1" t="s">
        <v>222</v>
      </c>
      <c r="I2296" s="1" t="s">
        <v>16</v>
      </c>
      <c r="J2296" s="1">
        <v>1</v>
      </c>
      <c r="K2296" s="1">
        <v>4</v>
      </c>
      <c r="L2296" s="1" t="s">
        <v>31</v>
      </c>
      <c r="M2296" s="1" t="s">
        <v>18</v>
      </c>
      <c r="N2296" s="1" t="s">
        <v>18</v>
      </c>
      <c r="O2296" s="1">
        <v>3</v>
      </c>
      <c r="P2296" s="1">
        <v>7</v>
      </c>
      <c r="Q2296" s="7" t="s">
        <v>17633</v>
      </c>
      <c r="R2296" s="1" t="s">
        <v>19</v>
      </c>
      <c r="S2296" s="1" t="s">
        <v>63</v>
      </c>
      <c r="T2296" s="1" t="s">
        <v>21</v>
      </c>
      <c r="U2296" s="1" t="s">
        <v>22</v>
      </c>
      <c r="V2296" s="1" t="s">
        <v>24</v>
      </c>
      <c r="W2296" s="1" t="s">
        <v>24</v>
      </c>
      <c r="X2296" s="1">
        <v>2405</v>
      </c>
      <c r="Y2296" s="1">
        <v>2725</v>
      </c>
      <c r="Z2296" s="1" t="s">
        <v>24</v>
      </c>
      <c r="AA2296" s="1" t="s">
        <v>24</v>
      </c>
      <c r="AB2296" s="1" t="s">
        <v>24</v>
      </c>
      <c r="AC2296" s="1" t="s">
        <v>24</v>
      </c>
      <c r="AD2296" s="1" t="s">
        <v>24</v>
      </c>
      <c r="AE2296" s="1" t="s">
        <v>24</v>
      </c>
      <c r="AF2296" s="22"/>
    </row>
    <row r="2297" spans="1:32" x14ac:dyDescent="0.2">
      <c r="A2297" s="1">
        <v>12529</v>
      </c>
      <c r="B2297" s="1" t="s">
        <v>7323</v>
      </c>
      <c r="C2297" s="5" t="s">
        <v>0</v>
      </c>
      <c r="D2297" s="1" t="s">
        <v>7324</v>
      </c>
      <c r="E2297" s="1" t="s">
        <v>7325</v>
      </c>
      <c r="F2297" s="1" t="s">
        <v>1801</v>
      </c>
      <c r="G2297" s="1" t="s">
        <v>130</v>
      </c>
      <c r="H2297" s="1" t="s">
        <v>168</v>
      </c>
      <c r="I2297" s="1" t="s">
        <v>16</v>
      </c>
      <c r="J2297" s="1">
        <v>1</v>
      </c>
      <c r="K2297" s="1">
        <v>6</v>
      </c>
      <c r="L2297" s="1" t="s">
        <v>31</v>
      </c>
      <c r="M2297" s="1" t="s">
        <v>679</v>
      </c>
      <c r="N2297" s="1" t="s">
        <v>679</v>
      </c>
      <c r="O2297" s="1">
        <v>3</v>
      </c>
      <c r="P2297" s="1">
        <v>6</v>
      </c>
      <c r="R2297" s="1" t="s">
        <v>19</v>
      </c>
      <c r="S2297" s="1" t="s">
        <v>20</v>
      </c>
      <c r="T2297" s="1" t="s">
        <v>21</v>
      </c>
      <c r="U2297" s="1" t="s">
        <v>22</v>
      </c>
      <c r="V2297" s="1" t="s">
        <v>24</v>
      </c>
      <c r="W2297" s="1" t="s">
        <v>24</v>
      </c>
      <c r="X2297" s="1">
        <v>2715</v>
      </c>
      <c r="Y2297" s="1">
        <v>2746</v>
      </c>
      <c r="Z2297" s="1" t="s">
        <v>24</v>
      </c>
      <c r="AA2297" s="1" t="s">
        <v>24</v>
      </c>
      <c r="AB2297" s="1" t="s">
        <v>24</v>
      </c>
      <c r="AC2297" s="1" t="s">
        <v>24</v>
      </c>
      <c r="AD2297" s="1" t="s">
        <v>24</v>
      </c>
      <c r="AE2297" s="1" t="s">
        <v>24</v>
      </c>
      <c r="AF2297" s="22"/>
    </row>
    <row r="2298" spans="1:32" x14ac:dyDescent="0.2">
      <c r="A2298" s="1">
        <v>12530</v>
      </c>
      <c r="B2298" s="1" t="s">
        <v>7326</v>
      </c>
      <c r="C2298" s="5" t="s">
        <v>0</v>
      </c>
      <c r="D2298" s="1" t="s">
        <v>7327</v>
      </c>
      <c r="F2298" s="1" t="s">
        <v>1801</v>
      </c>
      <c r="G2298" s="1" t="s">
        <v>6022</v>
      </c>
      <c r="H2298" s="1" t="s">
        <v>168</v>
      </c>
      <c r="I2298" s="1" t="s">
        <v>16</v>
      </c>
      <c r="J2298" s="1">
        <v>1</v>
      </c>
      <c r="K2298" s="1">
        <v>4</v>
      </c>
      <c r="L2298" s="1" t="s">
        <v>17</v>
      </c>
      <c r="M2298" s="1" t="s">
        <v>413</v>
      </c>
      <c r="N2298" s="1" t="s">
        <v>679</v>
      </c>
      <c r="O2298" s="1">
        <v>3</v>
      </c>
      <c r="P2298" s="1">
        <v>5</v>
      </c>
      <c r="R2298" s="1" t="s">
        <v>19</v>
      </c>
      <c r="S2298" s="1" t="s">
        <v>20</v>
      </c>
      <c r="T2298" s="1" t="s">
        <v>21</v>
      </c>
      <c r="U2298" s="1" t="s">
        <v>22</v>
      </c>
      <c r="V2298" s="1" t="s">
        <v>23</v>
      </c>
      <c r="W2298" s="1" t="s">
        <v>24</v>
      </c>
      <c r="X2298" s="1">
        <v>2707</v>
      </c>
      <c r="Y2298" s="1" t="s">
        <v>24</v>
      </c>
      <c r="Z2298" s="1" t="s">
        <v>24</v>
      </c>
      <c r="AA2298" s="1" t="s">
        <v>24</v>
      </c>
      <c r="AB2298" s="1" t="s">
        <v>24</v>
      </c>
      <c r="AC2298" s="1" t="s">
        <v>24</v>
      </c>
      <c r="AD2298" s="1" t="s">
        <v>24</v>
      </c>
      <c r="AE2298" s="1" t="s">
        <v>24</v>
      </c>
      <c r="AF2298" s="22" t="s">
        <v>17679</v>
      </c>
    </row>
    <row r="2299" spans="1:32" x14ac:dyDescent="0.2">
      <c r="A2299" s="1">
        <v>12537</v>
      </c>
      <c r="B2299" s="1" t="s">
        <v>7328</v>
      </c>
      <c r="C2299" s="5" t="s">
        <v>0</v>
      </c>
      <c r="D2299" s="1" t="s">
        <v>7329</v>
      </c>
      <c r="E2299" s="1" t="s">
        <v>7330</v>
      </c>
      <c r="F2299" s="1" t="s">
        <v>315</v>
      </c>
      <c r="G2299" s="1" t="s">
        <v>316</v>
      </c>
      <c r="H2299" s="1" t="s">
        <v>30</v>
      </c>
      <c r="I2299" s="1" t="s">
        <v>16</v>
      </c>
      <c r="J2299" s="1">
        <v>1</v>
      </c>
      <c r="K2299" s="1">
        <v>12</v>
      </c>
      <c r="L2299" s="1" t="s">
        <v>31</v>
      </c>
      <c r="M2299" s="1" t="s">
        <v>18</v>
      </c>
      <c r="N2299" s="1" t="s">
        <v>18</v>
      </c>
      <c r="O2299" s="1">
        <v>3</v>
      </c>
      <c r="P2299" s="1">
        <v>7</v>
      </c>
      <c r="Q2299" s="7" t="s">
        <v>17633</v>
      </c>
      <c r="R2299" s="1" t="s">
        <v>62</v>
      </c>
      <c r="S2299" s="1" t="s">
        <v>20</v>
      </c>
      <c r="T2299" s="1" t="s">
        <v>21</v>
      </c>
      <c r="U2299" s="1" t="s">
        <v>22</v>
      </c>
      <c r="V2299" s="1" t="s">
        <v>24</v>
      </c>
      <c r="W2299" s="1" t="s">
        <v>24</v>
      </c>
      <c r="X2299" s="1">
        <v>1306</v>
      </c>
      <c r="Y2299" s="1">
        <v>1313</v>
      </c>
      <c r="Z2299" s="1">
        <v>1312</v>
      </c>
      <c r="AA2299" s="1" t="s">
        <v>24</v>
      </c>
      <c r="AB2299" s="1" t="s">
        <v>24</v>
      </c>
      <c r="AC2299" s="1" t="s">
        <v>24</v>
      </c>
      <c r="AD2299" s="1" t="s">
        <v>24</v>
      </c>
      <c r="AE2299" s="1" t="s">
        <v>24</v>
      </c>
      <c r="AF2299" s="22"/>
    </row>
    <row r="2300" spans="1:32" x14ac:dyDescent="0.2">
      <c r="A2300" s="1">
        <v>12541</v>
      </c>
      <c r="B2300" s="1" t="s">
        <v>7331</v>
      </c>
      <c r="C2300" s="5" t="s">
        <v>0</v>
      </c>
      <c r="D2300" s="1" t="s">
        <v>7332</v>
      </c>
      <c r="E2300" s="1" t="s">
        <v>7333</v>
      </c>
      <c r="F2300" s="1" t="s">
        <v>689</v>
      </c>
      <c r="G2300" s="1" t="s">
        <v>311</v>
      </c>
      <c r="H2300" s="1" t="s">
        <v>37</v>
      </c>
      <c r="I2300" s="1" t="s">
        <v>16</v>
      </c>
      <c r="J2300" s="1">
        <v>1</v>
      </c>
      <c r="K2300" s="1">
        <v>3</v>
      </c>
      <c r="L2300" s="1" t="s">
        <v>31</v>
      </c>
      <c r="M2300" s="1" t="s">
        <v>18</v>
      </c>
      <c r="N2300" s="1" t="s">
        <v>18</v>
      </c>
      <c r="O2300" s="1">
        <v>3</v>
      </c>
      <c r="P2300" s="1">
        <v>7</v>
      </c>
      <c r="Q2300" s="7" t="s">
        <v>17633</v>
      </c>
      <c r="R2300" s="1" t="s">
        <v>19</v>
      </c>
      <c r="S2300" s="1" t="s">
        <v>20</v>
      </c>
      <c r="T2300" s="1" t="s">
        <v>21</v>
      </c>
      <c r="U2300" s="1" t="s">
        <v>22</v>
      </c>
      <c r="V2300" s="1" t="s">
        <v>23</v>
      </c>
      <c r="W2300" s="1" t="s">
        <v>24</v>
      </c>
      <c r="X2300" s="1">
        <v>2739</v>
      </c>
      <c r="Y2300" s="1">
        <v>3314</v>
      </c>
      <c r="Z2300" s="1">
        <v>1201</v>
      </c>
      <c r="AA2300" s="1" t="s">
        <v>24</v>
      </c>
      <c r="AB2300" s="1" t="s">
        <v>24</v>
      </c>
      <c r="AC2300" s="1" t="s">
        <v>24</v>
      </c>
      <c r="AD2300" s="1" t="s">
        <v>24</v>
      </c>
      <c r="AE2300" s="1" t="s">
        <v>24</v>
      </c>
      <c r="AF2300" s="22"/>
    </row>
    <row r="2301" spans="1:32" x14ac:dyDescent="0.2">
      <c r="A2301" s="1">
        <v>12542</v>
      </c>
      <c r="B2301" s="1" t="s">
        <v>7334</v>
      </c>
      <c r="C2301" s="5" t="s">
        <v>0</v>
      </c>
      <c r="D2301" s="1" t="s">
        <v>7335</v>
      </c>
      <c r="E2301" s="1" t="s">
        <v>7336</v>
      </c>
      <c r="F2301" s="1" t="s">
        <v>1412</v>
      </c>
      <c r="G2301" s="1" t="s">
        <v>1413</v>
      </c>
      <c r="H2301" s="1" t="s">
        <v>30</v>
      </c>
      <c r="I2301" s="1" t="s">
        <v>16</v>
      </c>
      <c r="J2301" s="1">
        <v>1</v>
      </c>
      <c r="K2301" s="1">
        <v>4</v>
      </c>
      <c r="L2301" s="1" t="s">
        <v>31</v>
      </c>
      <c r="M2301" s="1" t="s">
        <v>18</v>
      </c>
      <c r="N2301" s="1" t="s">
        <v>18</v>
      </c>
      <c r="O2301" s="1">
        <v>3</v>
      </c>
      <c r="P2301" s="1">
        <v>7</v>
      </c>
      <c r="Q2301" s="7" t="s">
        <v>17633</v>
      </c>
      <c r="R2301" s="1" t="s">
        <v>19</v>
      </c>
      <c r="S2301" s="1" t="s">
        <v>63</v>
      </c>
      <c r="T2301" s="1" t="s">
        <v>21</v>
      </c>
      <c r="U2301" s="1" t="s">
        <v>22</v>
      </c>
      <c r="V2301" s="1" t="s">
        <v>23</v>
      </c>
      <c r="W2301" s="1" t="s">
        <v>24</v>
      </c>
      <c r="X2301" s="1">
        <v>2730</v>
      </c>
      <c r="Y2301" s="1">
        <v>2741</v>
      </c>
      <c r="Z2301" s="1" t="s">
        <v>24</v>
      </c>
      <c r="AA2301" s="1" t="s">
        <v>24</v>
      </c>
      <c r="AB2301" s="1" t="s">
        <v>24</v>
      </c>
      <c r="AC2301" s="1" t="s">
        <v>24</v>
      </c>
      <c r="AD2301" s="1" t="s">
        <v>24</v>
      </c>
      <c r="AE2301" s="1" t="s">
        <v>24</v>
      </c>
      <c r="AF2301" s="22"/>
    </row>
    <row r="2302" spans="1:32" x14ac:dyDescent="0.2">
      <c r="A2302" s="1">
        <v>12544</v>
      </c>
      <c r="B2302" s="1" t="s">
        <v>7337</v>
      </c>
      <c r="C2302" s="5" t="s">
        <v>0</v>
      </c>
      <c r="D2302" s="1" t="s">
        <v>7338</v>
      </c>
      <c r="F2302" s="1" t="s">
        <v>7339</v>
      </c>
      <c r="G2302" s="1" t="s">
        <v>7340</v>
      </c>
      <c r="H2302" s="1" t="s">
        <v>30</v>
      </c>
      <c r="I2302" s="1" t="s">
        <v>16</v>
      </c>
      <c r="J2302" s="1">
        <v>1</v>
      </c>
      <c r="K2302" s="1">
        <v>12</v>
      </c>
      <c r="L2302" s="1" t="s">
        <v>42</v>
      </c>
      <c r="M2302" s="1" t="s">
        <v>18</v>
      </c>
      <c r="N2302" s="1" t="s">
        <v>18</v>
      </c>
      <c r="O2302" s="1">
        <v>3</v>
      </c>
      <c r="P2302" s="1">
        <v>6</v>
      </c>
      <c r="R2302" s="1" t="s">
        <v>19</v>
      </c>
      <c r="S2302" s="1" t="s">
        <v>20</v>
      </c>
      <c r="T2302" s="1" t="s">
        <v>21</v>
      </c>
      <c r="U2302" s="1" t="s">
        <v>22</v>
      </c>
      <c r="V2302" s="1" t="s">
        <v>23</v>
      </c>
      <c r="W2302" s="1" t="s">
        <v>24</v>
      </c>
      <c r="X2302" s="1">
        <v>2726</v>
      </c>
      <c r="Y2302" s="1">
        <v>2713</v>
      </c>
      <c r="Z2302" s="1">
        <v>2725</v>
      </c>
      <c r="AA2302" s="1" t="s">
        <v>24</v>
      </c>
      <c r="AB2302" s="1" t="s">
        <v>24</v>
      </c>
      <c r="AC2302" s="1" t="s">
        <v>24</v>
      </c>
      <c r="AD2302" s="1" t="s">
        <v>24</v>
      </c>
      <c r="AE2302" s="1" t="s">
        <v>24</v>
      </c>
      <c r="AF2302" s="22"/>
    </row>
    <row r="2303" spans="1:32" x14ac:dyDescent="0.2">
      <c r="A2303" s="1">
        <v>12545</v>
      </c>
      <c r="B2303" s="1" t="s">
        <v>7341</v>
      </c>
      <c r="C2303" s="5" t="s">
        <v>0</v>
      </c>
      <c r="D2303" s="1" t="s">
        <v>7342</v>
      </c>
      <c r="E2303" s="1" t="s">
        <v>7343</v>
      </c>
      <c r="F2303" s="1" t="s">
        <v>28</v>
      </c>
      <c r="G2303" s="1" t="s">
        <v>29</v>
      </c>
      <c r="H2303" s="1" t="s">
        <v>30</v>
      </c>
      <c r="I2303" s="1" t="s">
        <v>16</v>
      </c>
      <c r="J2303" s="1">
        <v>1</v>
      </c>
      <c r="K2303" s="1">
        <v>8</v>
      </c>
      <c r="L2303" s="1" t="s">
        <v>31</v>
      </c>
      <c r="M2303" s="1" t="s">
        <v>18</v>
      </c>
      <c r="N2303" s="1" t="s">
        <v>18</v>
      </c>
      <c r="O2303" s="1">
        <v>3</v>
      </c>
      <c r="P2303" s="1">
        <v>6</v>
      </c>
      <c r="R2303" s="1" t="s">
        <v>19</v>
      </c>
      <c r="S2303" s="1" t="s">
        <v>20</v>
      </c>
      <c r="T2303" s="1" t="s">
        <v>21</v>
      </c>
      <c r="U2303" s="1" t="s">
        <v>22</v>
      </c>
      <c r="V2303" s="1" t="s">
        <v>24</v>
      </c>
      <c r="W2303" s="1" t="s">
        <v>24</v>
      </c>
      <c r="X2303" s="1">
        <v>1300</v>
      </c>
      <c r="Y2303" s="1">
        <v>2700</v>
      </c>
      <c r="Z2303" s="1" t="s">
        <v>24</v>
      </c>
      <c r="AA2303" s="1" t="s">
        <v>24</v>
      </c>
      <c r="AB2303" s="1" t="s">
        <v>24</v>
      </c>
      <c r="AC2303" s="1" t="s">
        <v>24</v>
      </c>
      <c r="AD2303" s="1" t="s">
        <v>24</v>
      </c>
      <c r="AE2303" s="1" t="s">
        <v>24</v>
      </c>
      <c r="AF2303" s="22"/>
    </row>
    <row r="2304" spans="1:32" x14ac:dyDescent="0.2">
      <c r="A2304" s="1">
        <v>12549</v>
      </c>
      <c r="B2304" s="1" t="s">
        <v>7344</v>
      </c>
      <c r="C2304" s="5" t="s">
        <v>0</v>
      </c>
      <c r="D2304" s="1" t="s">
        <v>7345</v>
      </c>
      <c r="F2304" s="1" t="s">
        <v>7346</v>
      </c>
      <c r="G2304" s="1" t="s">
        <v>7346</v>
      </c>
      <c r="H2304" s="1" t="s">
        <v>30</v>
      </c>
      <c r="I2304" s="1" t="s">
        <v>16</v>
      </c>
      <c r="J2304" s="1">
        <v>1</v>
      </c>
      <c r="K2304" s="1">
        <v>6</v>
      </c>
      <c r="L2304" s="1" t="s">
        <v>42</v>
      </c>
      <c r="M2304" s="1" t="s">
        <v>18</v>
      </c>
      <c r="N2304" s="1" t="s">
        <v>18</v>
      </c>
      <c r="O2304" s="1">
        <v>3</v>
      </c>
      <c r="P2304" s="1">
        <v>7</v>
      </c>
      <c r="Q2304" s="7" t="s">
        <v>17633</v>
      </c>
      <c r="R2304" s="1" t="s">
        <v>19</v>
      </c>
      <c r="S2304" s="1" t="s">
        <v>20</v>
      </c>
      <c r="T2304" s="1" t="s">
        <v>21</v>
      </c>
      <c r="U2304" s="1" t="s">
        <v>22</v>
      </c>
      <c r="V2304" s="1" t="s">
        <v>24</v>
      </c>
      <c r="W2304" s="1" t="s">
        <v>24</v>
      </c>
      <c r="X2304" s="1">
        <v>2708</v>
      </c>
      <c r="Y2304" s="1">
        <v>2746</v>
      </c>
      <c r="Z2304" s="1" t="s">
        <v>24</v>
      </c>
      <c r="AA2304" s="1" t="s">
        <v>24</v>
      </c>
      <c r="AB2304" s="1" t="s">
        <v>24</v>
      </c>
      <c r="AC2304" s="1" t="s">
        <v>24</v>
      </c>
      <c r="AD2304" s="1" t="s">
        <v>24</v>
      </c>
      <c r="AE2304" s="1" t="s">
        <v>24</v>
      </c>
      <c r="AF2304" s="22" t="s">
        <v>17674</v>
      </c>
    </row>
    <row r="2305" spans="1:32" x14ac:dyDescent="0.2">
      <c r="A2305" s="1">
        <v>12552</v>
      </c>
      <c r="B2305" s="1" t="s">
        <v>7347</v>
      </c>
      <c r="C2305" s="5" t="s">
        <v>0</v>
      </c>
      <c r="D2305" s="1" t="s">
        <v>7348</v>
      </c>
      <c r="F2305" s="1" t="s">
        <v>7349</v>
      </c>
      <c r="G2305" s="1" t="s">
        <v>7349</v>
      </c>
      <c r="H2305" s="1" t="s">
        <v>30</v>
      </c>
      <c r="I2305" s="1" t="s">
        <v>16</v>
      </c>
      <c r="J2305" s="1">
        <v>1</v>
      </c>
      <c r="K2305" s="1">
        <v>10</v>
      </c>
      <c r="L2305" s="1" t="s">
        <v>42</v>
      </c>
      <c r="M2305" s="1" t="s">
        <v>18</v>
      </c>
      <c r="N2305" s="1" t="s">
        <v>18</v>
      </c>
      <c r="O2305" s="1">
        <v>3</v>
      </c>
      <c r="P2305" s="1">
        <v>7</v>
      </c>
      <c r="Q2305" s="7" t="s">
        <v>17633</v>
      </c>
      <c r="R2305" s="1" t="s">
        <v>19</v>
      </c>
      <c r="S2305" s="1" t="s">
        <v>20</v>
      </c>
      <c r="T2305" s="1" t="s">
        <v>21</v>
      </c>
      <c r="U2305" s="1" t="s">
        <v>22</v>
      </c>
      <c r="V2305" s="1" t="s">
        <v>23</v>
      </c>
      <c r="W2305" s="1" t="s">
        <v>24</v>
      </c>
      <c r="X2305" s="1">
        <v>3616</v>
      </c>
      <c r="Y2305" s="1" t="s">
        <v>24</v>
      </c>
      <c r="Z2305" s="1" t="s">
        <v>24</v>
      </c>
      <c r="AA2305" s="1" t="s">
        <v>24</v>
      </c>
      <c r="AB2305" s="1" t="s">
        <v>24</v>
      </c>
      <c r="AC2305" s="1" t="s">
        <v>24</v>
      </c>
      <c r="AD2305" s="1" t="s">
        <v>24</v>
      </c>
      <c r="AE2305" s="1" t="s">
        <v>24</v>
      </c>
      <c r="AF2305" s="22"/>
    </row>
    <row r="2306" spans="1:32" x14ac:dyDescent="0.2">
      <c r="A2306" s="1">
        <v>12553</v>
      </c>
      <c r="B2306" s="1" t="s">
        <v>7350</v>
      </c>
      <c r="C2306" s="5" t="s">
        <v>0</v>
      </c>
      <c r="D2306" s="1" t="s">
        <v>7351</v>
      </c>
      <c r="E2306" s="1" t="s">
        <v>7352</v>
      </c>
      <c r="F2306" s="1" t="s">
        <v>194</v>
      </c>
      <c r="G2306" s="1" t="s">
        <v>61</v>
      </c>
      <c r="H2306" s="1" t="s">
        <v>30</v>
      </c>
      <c r="I2306" s="1" t="s">
        <v>16</v>
      </c>
      <c r="J2306" s="1">
        <v>1</v>
      </c>
      <c r="K2306" s="1">
        <v>6</v>
      </c>
      <c r="L2306" s="1" t="s">
        <v>31</v>
      </c>
      <c r="M2306" s="1" t="s">
        <v>18</v>
      </c>
      <c r="N2306" s="1" t="s">
        <v>18</v>
      </c>
      <c r="O2306" s="1">
        <v>3</v>
      </c>
      <c r="P2306" s="1">
        <v>7</v>
      </c>
      <c r="Q2306" s="7" t="s">
        <v>17633</v>
      </c>
      <c r="R2306" s="1" t="s">
        <v>19</v>
      </c>
      <c r="S2306" s="1" t="s">
        <v>20</v>
      </c>
      <c r="T2306" s="1" t="s">
        <v>21</v>
      </c>
      <c r="U2306" s="1" t="s">
        <v>22</v>
      </c>
      <c r="V2306" s="1" t="s">
        <v>23</v>
      </c>
      <c r="W2306" s="1" t="s">
        <v>24</v>
      </c>
      <c r="X2306" s="1">
        <v>2907</v>
      </c>
      <c r="Y2306" s="1">
        <v>2711</v>
      </c>
      <c r="Z2306" s="1" t="s">
        <v>24</v>
      </c>
      <c r="AA2306" s="1" t="s">
        <v>24</v>
      </c>
      <c r="AB2306" s="1" t="s">
        <v>24</v>
      </c>
      <c r="AC2306" s="1" t="s">
        <v>24</v>
      </c>
      <c r="AD2306" s="1" t="s">
        <v>24</v>
      </c>
      <c r="AE2306" s="1" t="s">
        <v>24</v>
      </c>
      <c r="AF2306" s="22"/>
    </row>
    <row r="2307" spans="1:32" x14ac:dyDescent="0.2">
      <c r="A2307" s="1">
        <v>12554</v>
      </c>
      <c r="B2307" s="1" t="s">
        <v>7353</v>
      </c>
      <c r="C2307" s="5" t="s">
        <v>0</v>
      </c>
      <c r="D2307" s="1" t="s">
        <v>7354</v>
      </c>
      <c r="E2307" s="1" t="s">
        <v>7355</v>
      </c>
      <c r="F2307" s="1" t="s">
        <v>315</v>
      </c>
      <c r="G2307" s="1" t="s">
        <v>316</v>
      </c>
      <c r="H2307" s="1" t="s">
        <v>37</v>
      </c>
      <c r="I2307" s="1" t="s">
        <v>16</v>
      </c>
      <c r="J2307" s="1">
        <v>1</v>
      </c>
      <c r="K2307" s="1">
        <v>12</v>
      </c>
      <c r="L2307" s="1" t="s">
        <v>31</v>
      </c>
      <c r="M2307" s="1" t="s">
        <v>18</v>
      </c>
      <c r="N2307" s="1" t="s">
        <v>18</v>
      </c>
      <c r="O2307" s="1">
        <v>3</v>
      </c>
      <c r="P2307" s="1">
        <v>6</v>
      </c>
      <c r="R2307" s="1" t="s">
        <v>19</v>
      </c>
      <c r="S2307" s="1" t="s">
        <v>20</v>
      </c>
      <c r="T2307" s="1" t="s">
        <v>21</v>
      </c>
      <c r="U2307" s="1" t="s">
        <v>22</v>
      </c>
      <c r="V2307" s="1" t="s">
        <v>23</v>
      </c>
      <c r="W2307" s="1" t="s">
        <v>24</v>
      </c>
      <c r="X2307" s="1">
        <v>2729</v>
      </c>
      <c r="Y2307" s="1">
        <v>2735</v>
      </c>
      <c r="Z2307" s="1" t="s">
        <v>24</v>
      </c>
      <c r="AA2307" s="1" t="s">
        <v>24</v>
      </c>
      <c r="AB2307" s="1" t="s">
        <v>24</v>
      </c>
      <c r="AC2307" s="1" t="s">
        <v>24</v>
      </c>
      <c r="AD2307" s="1" t="s">
        <v>24</v>
      </c>
      <c r="AE2307" s="1" t="s">
        <v>24</v>
      </c>
      <c r="AF2307" s="22"/>
    </row>
    <row r="2308" spans="1:32" x14ac:dyDescent="0.2">
      <c r="A2308" s="1">
        <v>12555</v>
      </c>
      <c r="B2308" s="1" t="s">
        <v>7356</v>
      </c>
      <c r="C2308" s="5" t="s">
        <v>0</v>
      </c>
      <c r="D2308" s="1" t="s">
        <v>7357</v>
      </c>
      <c r="E2308" s="1" t="s">
        <v>7358</v>
      </c>
      <c r="F2308" s="1" t="s">
        <v>548</v>
      </c>
      <c r="G2308" s="1" t="s">
        <v>36</v>
      </c>
      <c r="H2308" s="1" t="s">
        <v>30</v>
      </c>
      <c r="I2308" s="1" t="s">
        <v>16</v>
      </c>
      <c r="J2308" s="1">
        <v>1</v>
      </c>
      <c r="K2308" s="1">
        <v>6</v>
      </c>
      <c r="L2308" s="1" t="s">
        <v>31</v>
      </c>
      <c r="M2308" s="1" t="s">
        <v>18</v>
      </c>
      <c r="N2308" s="1" t="s">
        <v>18</v>
      </c>
      <c r="O2308" s="1">
        <v>3</v>
      </c>
      <c r="P2308" s="1">
        <v>7</v>
      </c>
      <c r="Q2308" s="7" t="s">
        <v>17633</v>
      </c>
      <c r="R2308" s="1" t="s">
        <v>19</v>
      </c>
      <c r="S2308" s="1" t="s">
        <v>20</v>
      </c>
      <c r="T2308" s="1" t="s">
        <v>21</v>
      </c>
      <c r="U2308" s="1" t="s">
        <v>22</v>
      </c>
      <c r="V2308" s="1" t="s">
        <v>23</v>
      </c>
      <c r="W2308" s="1" t="s">
        <v>24</v>
      </c>
      <c r="X2308" s="1">
        <v>2708</v>
      </c>
      <c r="Y2308" s="1">
        <v>2746</v>
      </c>
      <c r="Z2308" s="1" t="s">
        <v>24</v>
      </c>
      <c r="AA2308" s="1" t="s">
        <v>24</v>
      </c>
      <c r="AB2308" s="1" t="s">
        <v>24</v>
      </c>
      <c r="AC2308" s="1" t="s">
        <v>24</v>
      </c>
      <c r="AD2308" s="1" t="s">
        <v>24</v>
      </c>
      <c r="AE2308" s="1" t="s">
        <v>24</v>
      </c>
      <c r="AF2308" s="22"/>
    </row>
    <row r="2309" spans="1:32" x14ac:dyDescent="0.2">
      <c r="A2309" s="1">
        <v>12557</v>
      </c>
      <c r="B2309" s="1" t="s">
        <v>7359</v>
      </c>
      <c r="C2309" s="5" t="s">
        <v>0</v>
      </c>
      <c r="D2309" s="1" t="s">
        <v>7360</v>
      </c>
      <c r="F2309" s="1" t="s">
        <v>28</v>
      </c>
      <c r="G2309" s="1" t="s">
        <v>29</v>
      </c>
      <c r="H2309" s="1" t="s">
        <v>30</v>
      </c>
      <c r="I2309" s="1" t="s">
        <v>16</v>
      </c>
      <c r="J2309" s="1">
        <v>1</v>
      </c>
      <c r="K2309" s="1">
        <v>6</v>
      </c>
      <c r="L2309" s="1" t="s">
        <v>31</v>
      </c>
      <c r="M2309" s="1" t="s">
        <v>18</v>
      </c>
      <c r="N2309" s="1" t="s">
        <v>18</v>
      </c>
      <c r="O2309" s="1">
        <v>3</v>
      </c>
      <c r="P2309" s="1">
        <v>6</v>
      </c>
      <c r="R2309" s="1" t="s">
        <v>19</v>
      </c>
      <c r="S2309" s="1" t="s">
        <v>20</v>
      </c>
      <c r="T2309" s="1" t="s">
        <v>21</v>
      </c>
      <c r="U2309" s="1" t="s">
        <v>22</v>
      </c>
      <c r="V2309" s="1" t="s">
        <v>23</v>
      </c>
      <c r="W2309" s="1" t="s">
        <v>24</v>
      </c>
      <c r="X2309" s="1">
        <v>2738</v>
      </c>
      <c r="Y2309" s="1" t="s">
        <v>24</v>
      </c>
      <c r="Z2309" s="1" t="s">
        <v>24</v>
      </c>
      <c r="AA2309" s="1" t="s">
        <v>24</v>
      </c>
      <c r="AB2309" s="1" t="s">
        <v>24</v>
      </c>
      <c r="AC2309" s="1" t="s">
        <v>24</v>
      </c>
      <c r="AD2309" s="1" t="s">
        <v>24</v>
      </c>
      <c r="AE2309" s="1" t="s">
        <v>24</v>
      </c>
      <c r="AF2309" s="22"/>
    </row>
    <row r="2310" spans="1:32" x14ac:dyDescent="0.2">
      <c r="A2310" s="1">
        <v>12558</v>
      </c>
      <c r="B2310" s="1" t="s">
        <v>7361</v>
      </c>
      <c r="C2310" s="5" t="s">
        <v>0</v>
      </c>
      <c r="D2310" s="1" t="s">
        <v>7362</v>
      </c>
      <c r="E2310" s="1" t="s">
        <v>7363</v>
      </c>
      <c r="F2310" s="1" t="s">
        <v>291</v>
      </c>
      <c r="G2310" s="1" t="s">
        <v>292</v>
      </c>
      <c r="H2310" s="1" t="s">
        <v>37</v>
      </c>
      <c r="I2310" s="1" t="s">
        <v>16</v>
      </c>
      <c r="J2310" s="1">
        <v>1</v>
      </c>
      <c r="K2310" s="1">
        <v>6</v>
      </c>
      <c r="L2310" s="1" t="s">
        <v>31</v>
      </c>
      <c r="M2310" s="1" t="s">
        <v>18</v>
      </c>
      <c r="N2310" s="1" t="s">
        <v>18</v>
      </c>
      <c r="O2310" s="1">
        <v>3</v>
      </c>
      <c r="P2310" s="1">
        <v>6</v>
      </c>
      <c r="R2310" s="1" t="s">
        <v>19</v>
      </c>
      <c r="S2310" s="1" t="s">
        <v>20</v>
      </c>
      <c r="T2310" s="1" t="s">
        <v>21</v>
      </c>
      <c r="U2310" s="1" t="s">
        <v>22</v>
      </c>
      <c r="V2310" s="1" t="s">
        <v>24</v>
      </c>
      <c r="W2310" s="1" t="s">
        <v>24</v>
      </c>
      <c r="X2310" s="1">
        <v>1303</v>
      </c>
      <c r="Y2310" s="1">
        <v>1308</v>
      </c>
      <c r="Z2310" s="1">
        <v>2307</v>
      </c>
      <c r="AA2310" s="1" t="s">
        <v>24</v>
      </c>
      <c r="AB2310" s="1" t="s">
        <v>24</v>
      </c>
      <c r="AC2310" s="1" t="s">
        <v>24</v>
      </c>
      <c r="AD2310" s="1" t="s">
        <v>24</v>
      </c>
      <c r="AE2310" s="1" t="s">
        <v>24</v>
      </c>
      <c r="AF2310" s="22"/>
    </row>
    <row r="2311" spans="1:32" x14ac:dyDescent="0.2">
      <c r="A2311" s="1">
        <v>12560</v>
      </c>
      <c r="B2311" s="1" t="s">
        <v>7364</v>
      </c>
      <c r="C2311" s="5" t="s">
        <v>0</v>
      </c>
      <c r="D2311" s="1" t="s">
        <v>7365</v>
      </c>
      <c r="E2311" s="1" t="s">
        <v>7366</v>
      </c>
      <c r="F2311" s="1" t="s">
        <v>155</v>
      </c>
      <c r="G2311" s="1" t="s">
        <v>61</v>
      </c>
      <c r="H2311" s="1" t="s">
        <v>37</v>
      </c>
      <c r="I2311" s="1" t="s">
        <v>16</v>
      </c>
      <c r="J2311" s="1">
        <v>1</v>
      </c>
      <c r="K2311" s="1">
        <v>6</v>
      </c>
      <c r="L2311" s="1" t="s">
        <v>31</v>
      </c>
      <c r="M2311" s="1" t="s">
        <v>18</v>
      </c>
      <c r="N2311" s="1" t="s">
        <v>18</v>
      </c>
      <c r="O2311" s="1">
        <v>3</v>
      </c>
      <c r="P2311" s="1">
        <v>6</v>
      </c>
      <c r="R2311" s="1" t="s">
        <v>62</v>
      </c>
      <c r="S2311" s="1" t="s">
        <v>20</v>
      </c>
      <c r="T2311" s="1" t="s">
        <v>21</v>
      </c>
      <c r="U2311" s="1" t="s">
        <v>22</v>
      </c>
      <c r="V2311" s="1" t="s">
        <v>24</v>
      </c>
      <c r="W2311" s="1" t="s">
        <v>24</v>
      </c>
      <c r="X2311" s="1">
        <v>1606</v>
      </c>
      <c r="Y2311" s="1">
        <v>2507</v>
      </c>
      <c r="Z2311" s="1">
        <v>1505</v>
      </c>
      <c r="AA2311" s="1">
        <v>3110</v>
      </c>
      <c r="AB2311" s="1" t="s">
        <v>24</v>
      </c>
      <c r="AC2311" s="1" t="s">
        <v>24</v>
      </c>
      <c r="AD2311" s="1" t="s">
        <v>24</v>
      </c>
      <c r="AE2311" s="1" t="s">
        <v>24</v>
      </c>
      <c r="AF2311" s="22"/>
    </row>
    <row r="2312" spans="1:32" x14ac:dyDescent="0.2">
      <c r="A2312" s="1">
        <v>12562</v>
      </c>
      <c r="B2312" s="1" t="s">
        <v>7367</v>
      </c>
      <c r="C2312" s="5" t="s">
        <v>0</v>
      </c>
      <c r="D2312" s="1" t="s">
        <v>7368</v>
      </c>
      <c r="F2312" s="1" t="s">
        <v>7369</v>
      </c>
      <c r="G2312" s="1" t="s">
        <v>7369</v>
      </c>
      <c r="H2312" s="1" t="s">
        <v>30</v>
      </c>
      <c r="I2312" s="1" t="s">
        <v>16</v>
      </c>
      <c r="J2312" s="1">
        <v>1</v>
      </c>
      <c r="K2312" s="1">
        <v>12</v>
      </c>
      <c r="L2312" s="1" t="s">
        <v>42</v>
      </c>
      <c r="M2312" s="1" t="s">
        <v>18</v>
      </c>
      <c r="N2312" s="1" t="s">
        <v>18</v>
      </c>
      <c r="O2312" s="1">
        <v>2</v>
      </c>
      <c r="P2312" s="1">
        <v>6</v>
      </c>
      <c r="R2312" s="1" t="s">
        <v>19</v>
      </c>
      <c r="S2312" s="1" t="s">
        <v>63</v>
      </c>
      <c r="T2312" s="1" t="s">
        <v>21</v>
      </c>
      <c r="U2312" s="1" t="s">
        <v>22</v>
      </c>
      <c r="V2312" s="1" t="s">
        <v>24</v>
      </c>
      <c r="W2312" s="1" t="s">
        <v>24</v>
      </c>
      <c r="X2312" s="1">
        <v>2725</v>
      </c>
      <c r="Y2312" s="1" t="s">
        <v>24</v>
      </c>
      <c r="Z2312" s="1" t="s">
        <v>24</v>
      </c>
      <c r="AA2312" s="1" t="s">
        <v>24</v>
      </c>
      <c r="AB2312" s="1" t="s">
        <v>24</v>
      </c>
      <c r="AC2312" s="1" t="s">
        <v>24</v>
      </c>
      <c r="AD2312" s="1" t="s">
        <v>24</v>
      </c>
      <c r="AE2312" s="1" t="s">
        <v>24</v>
      </c>
      <c r="AF2312" s="22"/>
    </row>
    <row r="2313" spans="1:32" x14ac:dyDescent="0.2">
      <c r="A2313" s="1">
        <v>12563</v>
      </c>
      <c r="B2313" s="1" t="s">
        <v>7370</v>
      </c>
      <c r="C2313" s="5" t="s">
        <v>0</v>
      </c>
      <c r="D2313" s="1" t="s">
        <v>7371</v>
      </c>
      <c r="E2313" s="1" t="s">
        <v>7372</v>
      </c>
      <c r="F2313" s="1" t="s">
        <v>7373</v>
      </c>
      <c r="G2313" s="1" t="s">
        <v>7373</v>
      </c>
      <c r="H2313" s="1" t="s">
        <v>30</v>
      </c>
      <c r="I2313" s="1" t="s">
        <v>16</v>
      </c>
      <c r="J2313" s="1">
        <v>1</v>
      </c>
      <c r="K2313" s="1">
        <v>12</v>
      </c>
      <c r="L2313" s="1" t="s">
        <v>42</v>
      </c>
      <c r="M2313" s="1" t="s">
        <v>18</v>
      </c>
      <c r="N2313" s="1" t="s">
        <v>18</v>
      </c>
      <c r="O2313" s="1">
        <v>3</v>
      </c>
      <c r="P2313" s="1">
        <v>6</v>
      </c>
      <c r="R2313" s="1" t="s">
        <v>62</v>
      </c>
      <c r="S2313" s="1" t="s">
        <v>20</v>
      </c>
      <c r="T2313" s="1" t="s">
        <v>21</v>
      </c>
      <c r="U2313" s="1" t="s">
        <v>22</v>
      </c>
      <c r="V2313" s="1" t="s">
        <v>24</v>
      </c>
      <c r="W2313" s="1" t="s">
        <v>24</v>
      </c>
      <c r="X2313" s="1">
        <v>2726</v>
      </c>
      <c r="Y2313" s="1">
        <v>2725</v>
      </c>
      <c r="Z2313" s="1">
        <v>2713</v>
      </c>
      <c r="AA2313" s="1" t="s">
        <v>24</v>
      </c>
      <c r="AB2313" s="1" t="s">
        <v>24</v>
      </c>
      <c r="AC2313" s="1" t="s">
        <v>24</v>
      </c>
      <c r="AD2313" s="1" t="s">
        <v>24</v>
      </c>
      <c r="AE2313" s="1" t="s">
        <v>24</v>
      </c>
      <c r="AF2313" s="22"/>
    </row>
    <row r="2314" spans="1:32" x14ac:dyDescent="0.2">
      <c r="A2314" s="1">
        <v>12564</v>
      </c>
      <c r="B2314" s="1" t="s">
        <v>7374</v>
      </c>
      <c r="C2314" s="5" t="s">
        <v>0</v>
      </c>
      <c r="D2314" s="1" t="s">
        <v>7375</v>
      </c>
      <c r="E2314" s="1" t="s">
        <v>7376</v>
      </c>
      <c r="F2314" s="1" t="s">
        <v>291</v>
      </c>
      <c r="G2314" s="1" t="s">
        <v>292</v>
      </c>
      <c r="H2314" s="1" t="s">
        <v>37</v>
      </c>
      <c r="I2314" s="1" t="s">
        <v>16</v>
      </c>
      <c r="J2314" s="1">
        <v>1</v>
      </c>
      <c r="K2314" s="1">
        <v>4</v>
      </c>
      <c r="L2314" s="1" t="s">
        <v>31</v>
      </c>
      <c r="M2314" s="1" t="s">
        <v>18</v>
      </c>
      <c r="N2314" s="1" t="s">
        <v>18</v>
      </c>
      <c r="O2314" s="1">
        <v>3</v>
      </c>
      <c r="P2314" s="1">
        <v>7</v>
      </c>
      <c r="Q2314" s="7" t="s">
        <v>17633</v>
      </c>
      <c r="R2314" s="1" t="s">
        <v>19</v>
      </c>
      <c r="S2314" s="1" t="s">
        <v>20</v>
      </c>
      <c r="T2314" s="1" t="s">
        <v>21</v>
      </c>
      <c r="U2314" s="1" t="s">
        <v>22</v>
      </c>
      <c r="V2314" s="1" t="s">
        <v>24</v>
      </c>
      <c r="W2314" s="1" t="s">
        <v>24</v>
      </c>
      <c r="X2314" s="1">
        <v>2724</v>
      </c>
      <c r="Y2314" s="1" t="s">
        <v>24</v>
      </c>
      <c r="Z2314" s="1" t="s">
        <v>24</v>
      </c>
      <c r="AA2314" s="1" t="s">
        <v>24</v>
      </c>
      <c r="AB2314" s="1" t="s">
        <v>24</v>
      </c>
      <c r="AC2314" s="1" t="s">
        <v>24</v>
      </c>
      <c r="AD2314" s="1" t="s">
        <v>24</v>
      </c>
      <c r="AE2314" s="1" t="s">
        <v>24</v>
      </c>
      <c r="AF2314" s="22"/>
    </row>
    <row r="2315" spans="1:32" x14ac:dyDescent="0.2">
      <c r="A2315" s="1">
        <v>12567</v>
      </c>
      <c r="B2315" s="1" t="s">
        <v>7377</v>
      </c>
      <c r="C2315" s="5" t="s">
        <v>0</v>
      </c>
      <c r="D2315" s="1" t="s">
        <v>7378</v>
      </c>
      <c r="E2315" s="1" t="s">
        <v>7379</v>
      </c>
      <c r="F2315" s="1" t="s">
        <v>28</v>
      </c>
      <c r="G2315" s="1" t="s">
        <v>29</v>
      </c>
      <c r="H2315" s="1" t="s">
        <v>30</v>
      </c>
      <c r="I2315" s="1" t="s">
        <v>16</v>
      </c>
      <c r="J2315" s="1">
        <v>1</v>
      </c>
      <c r="K2315" s="1">
        <v>4</v>
      </c>
      <c r="L2315" s="1" t="s">
        <v>31</v>
      </c>
      <c r="M2315" s="1" t="s">
        <v>18</v>
      </c>
      <c r="N2315" s="1" t="s">
        <v>18</v>
      </c>
      <c r="O2315" s="1">
        <v>3</v>
      </c>
      <c r="P2315" s="1">
        <v>6</v>
      </c>
      <c r="R2315" s="1" t="s">
        <v>19</v>
      </c>
      <c r="S2315" s="1" t="s">
        <v>20</v>
      </c>
      <c r="T2315" s="1" t="s">
        <v>21</v>
      </c>
      <c r="U2315" s="1" t="s">
        <v>22</v>
      </c>
      <c r="V2315" s="1" t="s">
        <v>24</v>
      </c>
      <c r="W2315" s="1" t="s">
        <v>24</v>
      </c>
      <c r="X2315" s="1">
        <v>2729</v>
      </c>
      <c r="Y2315" s="1" t="s">
        <v>24</v>
      </c>
      <c r="Z2315" s="1" t="s">
        <v>24</v>
      </c>
      <c r="AA2315" s="1" t="s">
        <v>24</v>
      </c>
      <c r="AB2315" s="1" t="s">
        <v>24</v>
      </c>
      <c r="AC2315" s="1" t="s">
        <v>24</v>
      </c>
      <c r="AD2315" s="1" t="s">
        <v>24</v>
      </c>
      <c r="AE2315" s="1" t="s">
        <v>24</v>
      </c>
      <c r="AF2315" s="22"/>
    </row>
    <row r="2316" spans="1:32" x14ac:dyDescent="0.2">
      <c r="A2316" s="1">
        <v>12568</v>
      </c>
      <c r="B2316" s="1" t="s">
        <v>7380</v>
      </c>
      <c r="C2316" s="5" t="s">
        <v>0</v>
      </c>
      <c r="D2316" s="1" t="s">
        <v>7381</v>
      </c>
      <c r="E2316" s="1" t="s">
        <v>7382</v>
      </c>
      <c r="F2316" s="1" t="s">
        <v>35</v>
      </c>
      <c r="G2316" s="1" t="s">
        <v>36</v>
      </c>
      <c r="H2316" s="1" t="s">
        <v>37</v>
      </c>
      <c r="I2316" s="1" t="s">
        <v>16</v>
      </c>
      <c r="J2316" s="1">
        <v>1</v>
      </c>
      <c r="K2316" s="1">
        <v>12</v>
      </c>
      <c r="L2316" s="1" t="s">
        <v>31</v>
      </c>
      <c r="M2316" s="1" t="s">
        <v>18</v>
      </c>
      <c r="N2316" s="1" t="s">
        <v>18</v>
      </c>
      <c r="O2316" s="1">
        <v>3</v>
      </c>
      <c r="P2316" s="1">
        <v>7</v>
      </c>
      <c r="Q2316" s="7" t="s">
        <v>17633</v>
      </c>
      <c r="R2316" s="1" t="s">
        <v>62</v>
      </c>
      <c r="S2316" s="1" t="s">
        <v>20</v>
      </c>
      <c r="T2316" s="1" t="s">
        <v>21</v>
      </c>
      <c r="U2316" s="1" t="s">
        <v>22</v>
      </c>
      <c r="V2316" s="1" t="s">
        <v>24</v>
      </c>
      <c r="W2316" s="1" t="s">
        <v>24</v>
      </c>
      <c r="X2316" s="1">
        <v>1311</v>
      </c>
      <c r="Y2316" s="1">
        <v>1307</v>
      </c>
      <c r="Z2316" s="1" t="s">
        <v>24</v>
      </c>
      <c r="AA2316" s="1" t="s">
        <v>24</v>
      </c>
      <c r="AB2316" s="1" t="s">
        <v>24</v>
      </c>
      <c r="AC2316" s="1" t="s">
        <v>24</v>
      </c>
      <c r="AD2316" s="1" t="s">
        <v>24</v>
      </c>
      <c r="AE2316" s="1" t="s">
        <v>24</v>
      </c>
      <c r="AF2316" s="22"/>
    </row>
    <row r="2317" spans="1:32" x14ac:dyDescent="0.2">
      <c r="A2317" s="1">
        <v>12570</v>
      </c>
      <c r="B2317" s="1" t="s">
        <v>7383</v>
      </c>
      <c r="C2317" s="5" t="s">
        <v>0</v>
      </c>
      <c r="D2317" s="1" t="s">
        <v>7384</v>
      </c>
      <c r="E2317" s="1" t="s">
        <v>7385</v>
      </c>
      <c r="F2317" s="1" t="s">
        <v>35</v>
      </c>
      <c r="G2317" s="1" t="s">
        <v>36</v>
      </c>
      <c r="H2317" s="1" t="s">
        <v>37</v>
      </c>
      <c r="I2317" s="1" t="s">
        <v>16</v>
      </c>
      <c r="J2317" s="1">
        <v>1</v>
      </c>
      <c r="K2317" s="1">
        <v>6</v>
      </c>
      <c r="L2317" s="1" t="s">
        <v>31</v>
      </c>
      <c r="M2317" s="1" t="s">
        <v>18</v>
      </c>
      <c r="N2317" s="1" t="s">
        <v>18</v>
      </c>
      <c r="O2317" s="1">
        <v>3</v>
      </c>
      <c r="P2317" s="1">
        <v>7</v>
      </c>
      <c r="Q2317" s="7" t="s">
        <v>17633</v>
      </c>
      <c r="R2317" s="1" t="s">
        <v>19</v>
      </c>
      <c r="S2317" s="1" t="s">
        <v>20</v>
      </c>
      <c r="T2317" s="1" t="s">
        <v>21</v>
      </c>
      <c r="U2317" s="1" t="s">
        <v>22</v>
      </c>
      <c r="V2317" s="1" t="s">
        <v>24</v>
      </c>
      <c r="W2317" s="1" t="s">
        <v>24</v>
      </c>
      <c r="X2317" s="1">
        <v>2721</v>
      </c>
      <c r="Y2317" s="1">
        <v>2725</v>
      </c>
      <c r="Z2317" s="1">
        <v>2406</v>
      </c>
      <c r="AA2317" s="1" t="s">
        <v>24</v>
      </c>
      <c r="AB2317" s="1" t="s">
        <v>24</v>
      </c>
      <c r="AC2317" s="1" t="s">
        <v>24</v>
      </c>
      <c r="AD2317" s="1" t="s">
        <v>24</v>
      </c>
      <c r="AE2317" s="1" t="s">
        <v>24</v>
      </c>
      <c r="AF2317" s="22"/>
    </row>
    <row r="2318" spans="1:32" x14ac:dyDescent="0.2">
      <c r="A2318" s="1">
        <v>12572</v>
      </c>
      <c r="B2318" s="1" t="s">
        <v>7386</v>
      </c>
      <c r="C2318" s="5" t="s">
        <v>0</v>
      </c>
      <c r="D2318" s="1" t="s">
        <v>7387</v>
      </c>
      <c r="E2318" s="1" t="s">
        <v>7388</v>
      </c>
      <c r="F2318" s="1" t="s">
        <v>217</v>
      </c>
      <c r="G2318" s="1" t="s">
        <v>130</v>
      </c>
      <c r="H2318" s="1" t="s">
        <v>92</v>
      </c>
      <c r="I2318" s="1" t="s">
        <v>16</v>
      </c>
      <c r="J2318" s="1">
        <v>1</v>
      </c>
      <c r="K2318" s="1">
        <v>4</v>
      </c>
      <c r="L2318" s="1" t="s">
        <v>31</v>
      </c>
      <c r="M2318" s="1" t="s">
        <v>18</v>
      </c>
      <c r="N2318" s="1" t="s">
        <v>18</v>
      </c>
      <c r="O2318" s="1">
        <v>3</v>
      </c>
      <c r="P2318" s="1">
        <v>7</v>
      </c>
      <c r="Q2318" s="7" t="s">
        <v>17633</v>
      </c>
      <c r="R2318" s="1" t="s">
        <v>19</v>
      </c>
      <c r="S2318" s="1" t="s">
        <v>20</v>
      </c>
      <c r="T2318" s="1" t="s">
        <v>21</v>
      </c>
      <c r="U2318" s="1" t="s">
        <v>22</v>
      </c>
      <c r="V2318" s="1" t="s">
        <v>24</v>
      </c>
      <c r="W2318" s="1" t="s">
        <v>24</v>
      </c>
      <c r="X2318" s="1">
        <v>1605</v>
      </c>
      <c r="Y2318" s="1">
        <v>1503</v>
      </c>
      <c r="Z2318" s="1">
        <v>1604</v>
      </c>
      <c r="AA2318" s="1">
        <v>1606</v>
      </c>
      <c r="AB2318" s="1">
        <v>1710</v>
      </c>
      <c r="AC2318" s="1">
        <v>3002</v>
      </c>
      <c r="AD2318" s="1">
        <v>1312</v>
      </c>
      <c r="AE2318" s="1" t="s">
        <v>24</v>
      </c>
      <c r="AF2318" s="22"/>
    </row>
    <row r="2319" spans="1:32" x14ac:dyDescent="0.2">
      <c r="A2319" s="1">
        <v>12573</v>
      </c>
      <c r="B2319" s="1" t="s">
        <v>7389</v>
      </c>
      <c r="C2319" s="5" t="s">
        <v>0</v>
      </c>
      <c r="D2319" s="1" t="s">
        <v>7390</v>
      </c>
      <c r="E2319" s="1" t="s">
        <v>7391</v>
      </c>
      <c r="F2319" s="1" t="s">
        <v>217</v>
      </c>
      <c r="G2319" s="1" t="s">
        <v>130</v>
      </c>
      <c r="H2319" s="1" t="s">
        <v>92</v>
      </c>
      <c r="I2319" s="1" t="s">
        <v>16</v>
      </c>
      <c r="J2319" s="1">
        <v>1</v>
      </c>
      <c r="K2319" s="1">
        <v>12</v>
      </c>
      <c r="L2319" s="1" t="s">
        <v>31</v>
      </c>
      <c r="M2319" s="1" t="s">
        <v>18</v>
      </c>
      <c r="N2319" s="1" t="s">
        <v>18</v>
      </c>
      <c r="O2319" s="1">
        <v>3</v>
      </c>
      <c r="P2319" s="1">
        <v>7</v>
      </c>
      <c r="Q2319" s="7" t="s">
        <v>17633</v>
      </c>
      <c r="R2319" s="1" t="s">
        <v>19</v>
      </c>
      <c r="S2319" s="1" t="s">
        <v>20</v>
      </c>
      <c r="T2319" s="1" t="s">
        <v>21</v>
      </c>
      <c r="U2319" s="1" t="s">
        <v>22</v>
      </c>
      <c r="V2319" s="1" t="s">
        <v>24</v>
      </c>
      <c r="W2319" s="1" t="s">
        <v>64</v>
      </c>
      <c r="X2319" s="1">
        <v>3002</v>
      </c>
      <c r="Y2319" s="1">
        <v>1606</v>
      </c>
      <c r="Z2319" s="1">
        <v>1706</v>
      </c>
      <c r="AA2319" s="1" t="s">
        <v>24</v>
      </c>
      <c r="AB2319" s="1" t="s">
        <v>24</v>
      </c>
      <c r="AC2319" s="1" t="s">
        <v>24</v>
      </c>
      <c r="AD2319" s="1" t="s">
        <v>24</v>
      </c>
      <c r="AE2319" s="1" t="s">
        <v>24</v>
      </c>
      <c r="AF2319" s="22"/>
    </row>
    <row r="2320" spans="1:32" x14ac:dyDescent="0.2">
      <c r="A2320" s="1">
        <v>12575</v>
      </c>
      <c r="B2320" s="1" t="s">
        <v>7392</v>
      </c>
      <c r="C2320" s="5" t="s">
        <v>0</v>
      </c>
      <c r="D2320" s="1" t="s">
        <v>7393</v>
      </c>
      <c r="E2320" s="1" t="s">
        <v>7394</v>
      </c>
      <c r="F2320" s="1" t="s">
        <v>1177</v>
      </c>
      <c r="G2320" s="1" t="s">
        <v>61</v>
      </c>
      <c r="H2320" s="1" t="s">
        <v>37</v>
      </c>
      <c r="I2320" s="1" t="s">
        <v>16</v>
      </c>
      <c r="J2320" s="1">
        <v>1</v>
      </c>
      <c r="K2320" s="1">
        <v>6</v>
      </c>
      <c r="L2320" s="1" t="s">
        <v>31</v>
      </c>
      <c r="M2320" s="1" t="s">
        <v>18</v>
      </c>
      <c r="N2320" s="1" t="s">
        <v>18</v>
      </c>
      <c r="O2320" s="1">
        <v>3</v>
      </c>
      <c r="P2320" s="1">
        <v>6</v>
      </c>
      <c r="R2320" s="1" t="s">
        <v>62</v>
      </c>
      <c r="S2320" s="1" t="s">
        <v>20</v>
      </c>
      <c r="T2320" s="1" t="s">
        <v>21</v>
      </c>
      <c r="U2320" s="1" t="s">
        <v>22</v>
      </c>
      <c r="V2320" s="1" t="s">
        <v>23</v>
      </c>
      <c r="W2320" s="1" t="s">
        <v>24</v>
      </c>
      <c r="X2320" s="1">
        <v>2728</v>
      </c>
      <c r="Y2320" s="1">
        <v>2737</v>
      </c>
      <c r="Z2320" s="1">
        <v>2740</v>
      </c>
      <c r="AA2320" s="1">
        <v>2808</v>
      </c>
      <c r="AB2320" s="1" t="s">
        <v>24</v>
      </c>
      <c r="AC2320" s="1" t="s">
        <v>24</v>
      </c>
      <c r="AD2320" s="1" t="s">
        <v>24</v>
      </c>
      <c r="AE2320" s="1" t="s">
        <v>24</v>
      </c>
      <c r="AF2320" s="22"/>
    </row>
    <row r="2321" spans="1:32" x14ac:dyDescent="0.2">
      <c r="A2321" s="1">
        <v>12577</v>
      </c>
      <c r="B2321" s="1" t="s">
        <v>7395</v>
      </c>
      <c r="C2321" s="5" t="s">
        <v>0</v>
      </c>
      <c r="D2321" s="1" t="s">
        <v>7396</v>
      </c>
      <c r="E2321" s="1" t="s">
        <v>7397</v>
      </c>
      <c r="F2321" s="1" t="s">
        <v>1177</v>
      </c>
      <c r="G2321" s="1" t="s">
        <v>61</v>
      </c>
      <c r="H2321" s="1" t="s">
        <v>37</v>
      </c>
      <c r="I2321" s="1" t="s">
        <v>16</v>
      </c>
      <c r="J2321" s="1">
        <v>1</v>
      </c>
      <c r="K2321" s="1">
        <v>6</v>
      </c>
      <c r="L2321" s="1" t="s">
        <v>31</v>
      </c>
      <c r="M2321" s="1" t="s">
        <v>18</v>
      </c>
      <c r="N2321" s="1" t="s">
        <v>18</v>
      </c>
      <c r="O2321" s="1">
        <v>3</v>
      </c>
      <c r="P2321" s="1">
        <v>7</v>
      </c>
      <c r="Q2321" s="7" t="s">
        <v>17633</v>
      </c>
      <c r="R2321" s="1" t="s">
        <v>19</v>
      </c>
      <c r="S2321" s="1" t="s">
        <v>20</v>
      </c>
      <c r="T2321" s="1" t="s">
        <v>21</v>
      </c>
      <c r="U2321" s="1" t="s">
        <v>22</v>
      </c>
      <c r="V2321" s="1" t="s">
        <v>24</v>
      </c>
      <c r="W2321" s="1" t="s">
        <v>24</v>
      </c>
      <c r="X2321" s="1">
        <v>2728</v>
      </c>
      <c r="Y2321" s="1">
        <v>2735</v>
      </c>
      <c r="Z2321" s="1" t="s">
        <v>24</v>
      </c>
      <c r="AA2321" s="1" t="s">
        <v>24</v>
      </c>
      <c r="AB2321" s="1" t="s">
        <v>24</v>
      </c>
      <c r="AC2321" s="1" t="s">
        <v>24</v>
      </c>
      <c r="AD2321" s="1" t="s">
        <v>24</v>
      </c>
      <c r="AE2321" s="1" t="s">
        <v>24</v>
      </c>
      <c r="AF2321" s="22"/>
    </row>
    <row r="2322" spans="1:32" x14ac:dyDescent="0.2">
      <c r="A2322" s="1">
        <v>12578</v>
      </c>
      <c r="B2322" s="1" t="s">
        <v>7398</v>
      </c>
      <c r="C2322" s="5" t="s">
        <v>0</v>
      </c>
      <c r="D2322" s="1" t="s">
        <v>7399</v>
      </c>
      <c r="E2322" s="1" t="s">
        <v>7400</v>
      </c>
      <c r="F2322" s="1" t="s">
        <v>7401</v>
      </c>
      <c r="G2322" s="1" t="s">
        <v>7401</v>
      </c>
      <c r="H2322" s="1" t="s">
        <v>37</v>
      </c>
      <c r="I2322" s="1" t="s">
        <v>16</v>
      </c>
      <c r="J2322" s="1">
        <v>0</v>
      </c>
      <c r="K2322" s="1">
        <v>0</v>
      </c>
      <c r="L2322" s="1" t="s">
        <v>42</v>
      </c>
      <c r="M2322" s="1" t="s">
        <v>18</v>
      </c>
      <c r="N2322" s="1" t="s">
        <v>18</v>
      </c>
      <c r="O2322" s="1">
        <v>3</v>
      </c>
      <c r="P2322" s="1">
        <v>6</v>
      </c>
      <c r="R2322" s="1" t="s">
        <v>19</v>
      </c>
      <c r="S2322" s="1" t="s">
        <v>20</v>
      </c>
      <c r="T2322" s="1" t="s">
        <v>21</v>
      </c>
      <c r="U2322" s="1" t="s">
        <v>22</v>
      </c>
      <c r="V2322" s="1" t="s">
        <v>23</v>
      </c>
      <c r="W2322" s="1" t="s">
        <v>24</v>
      </c>
      <c r="X2322" s="1">
        <v>2719</v>
      </c>
      <c r="Y2322" s="1" t="s">
        <v>24</v>
      </c>
      <c r="Z2322" s="1" t="s">
        <v>24</v>
      </c>
      <c r="AA2322" s="1" t="s">
        <v>24</v>
      </c>
      <c r="AB2322" s="1" t="s">
        <v>24</v>
      </c>
      <c r="AC2322" s="1" t="s">
        <v>24</v>
      </c>
      <c r="AD2322" s="1" t="s">
        <v>24</v>
      </c>
      <c r="AE2322" s="1" t="s">
        <v>24</v>
      </c>
      <c r="AF2322" s="22"/>
    </row>
    <row r="2323" spans="1:32" x14ac:dyDescent="0.2">
      <c r="A2323" s="1">
        <v>12580</v>
      </c>
      <c r="B2323" s="1" t="s">
        <v>7402</v>
      </c>
      <c r="C2323" s="5" t="s">
        <v>0</v>
      </c>
      <c r="D2323" s="1" t="s">
        <v>7403</v>
      </c>
      <c r="F2323" s="1" t="s">
        <v>7404</v>
      </c>
      <c r="G2323" s="1" t="s">
        <v>7404</v>
      </c>
      <c r="H2323" s="1" t="s">
        <v>86</v>
      </c>
      <c r="I2323" s="1" t="s">
        <v>16</v>
      </c>
      <c r="J2323" s="1">
        <v>1</v>
      </c>
      <c r="K2323" s="1">
        <v>4</v>
      </c>
      <c r="L2323" s="1" t="s">
        <v>42</v>
      </c>
      <c r="M2323" s="1" t="s">
        <v>18</v>
      </c>
      <c r="N2323" s="1" t="s">
        <v>18</v>
      </c>
      <c r="O2323" s="1">
        <v>2</v>
      </c>
      <c r="P2323" s="1">
        <v>6</v>
      </c>
      <c r="R2323" s="1" t="s">
        <v>19</v>
      </c>
      <c r="S2323" s="1" t="s">
        <v>20</v>
      </c>
      <c r="T2323" s="1" t="s">
        <v>21</v>
      </c>
      <c r="U2323" s="1" t="s">
        <v>22</v>
      </c>
      <c r="V2323" s="1" t="s">
        <v>24</v>
      </c>
      <c r="W2323" s="1" t="s">
        <v>24</v>
      </c>
      <c r="X2323" s="1">
        <v>2705</v>
      </c>
      <c r="Y2323" s="1" t="s">
        <v>24</v>
      </c>
      <c r="Z2323" s="1" t="s">
        <v>24</v>
      </c>
      <c r="AA2323" s="1" t="s">
        <v>24</v>
      </c>
      <c r="AB2323" s="1" t="s">
        <v>24</v>
      </c>
      <c r="AC2323" s="1" t="s">
        <v>24</v>
      </c>
      <c r="AD2323" s="1" t="s">
        <v>24</v>
      </c>
      <c r="AE2323" s="1" t="s">
        <v>24</v>
      </c>
      <c r="AF2323" s="22"/>
    </row>
    <row r="2324" spans="1:32" x14ac:dyDescent="0.2">
      <c r="A2324" s="1">
        <v>12582</v>
      </c>
      <c r="B2324" s="1" t="s">
        <v>7405</v>
      </c>
      <c r="C2324" s="5" t="s">
        <v>0</v>
      </c>
      <c r="D2324" s="1" t="s">
        <v>7406</v>
      </c>
      <c r="F2324" s="1" t="s">
        <v>7407</v>
      </c>
      <c r="G2324" s="1" t="s">
        <v>7407</v>
      </c>
      <c r="H2324" s="1" t="s">
        <v>445</v>
      </c>
      <c r="I2324" s="1" t="s">
        <v>16</v>
      </c>
      <c r="J2324" s="1">
        <v>1</v>
      </c>
      <c r="K2324" s="1">
        <v>4</v>
      </c>
      <c r="L2324" s="1" t="s">
        <v>17</v>
      </c>
      <c r="M2324" s="1" t="s">
        <v>18</v>
      </c>
      <c r="N2324" s="1" t="s">
        <v>18</v>
      </c>
      <c r="O2324" s="1">
        <v>3</v>
      </c>
      <c r="P2324" s="1">
        <v>6</v>
      </c>
      <c r="R2324" s="1" t="s">
        <v>19</v>
      </c>
      <c r="S2324" s="1" t="s">
        <v>20</v>
      </c>
      <c r="T2324" s="1" t="s">
        <v>21</v>
      </c>
      <c r="U2324" s="1" t="s">
        <v>22</v>
      </c>
      <c r="V2324" s="1" t="s">
        <v>24</v>
      </c>
      <c r="W2324" s="1" t="s">
        <v>24</v>
      </c>
      <c r="X2324" s="1">
        <v>2730</v>
      </c>
      <c r="Y2324" s="1">
        <v>1306</v>
      </c>
      <c r="Z2324" s="1">
        <v>2720</v>
      </c>
      <c r="AA2324" s="1">
        <v>2741</v>
      </c>
      <c r="AB2324" s="1" t="s">
        <v>24</v>
      </c>
      <c r="AC2324" s="1" t="s">
        <v>24</v>
      </c>
      <c r="AD2324" s="1" t="s">
        <v>24</v>
      </c>
      <c r="AE2324" s="1" t="s">
        <v>24</v>
      </c>
      <c r="AF2324" s="22"/>
    </row>
    <row r="2325" spans="1:32" x14ac:dyDescent="0.2">
      <c r="A2325" s="1">
        <v>12583</v>
      </c>
      <c r="B2325" s="1" t="s">
        <v>7408</v>
      </c>
      <c r="C2325" s="5" t="s">
        <v>0</v>
      </c>
      <c r="D2325" s="1" t="s">
        <v>7409</v>
      </c>
      <c r="E2325" s="1" t="s">
        <v>7410</v>
      </c>
      <c r="F2325" s="1" t="s">
        <v>159</v>
      </c>
      <c r="G2325" s="1" t="s">
        <v>160</v>
      </c>
      <c r="H2325" s="1" t="s">
        <v>37</v>
      </c>
      <c r="I2325" s="1" t="s">
        <v>16</v>
      </c>
      <c r="J2325" s="1">
        <v>1</v>
      </c>
      <c r="K2325" s="1">
        <v>6</v>
      </c>
      <c r="L2325" s="1" t="s">
        <v>42</v>
      </c>
      <c r="M2325" s="1" t="s">
        <v>18</v>
      </c>
      <c r="N2325" s="1" t="s">
        <v>18</v>
      </c>
      <c r="O2325" s="1">
        <v>3</v>
      </c>
      <c r="P2325" s="1">
        <v>6</v>
      </c>
      <c r="R2325" s="1" t="s">
        <v>62</v>
      </c>
      <c r="S2325" s="1" t="s">
        <v>63</v>
      </c>
      <c r="T2325" s="1" t="s">
        <v>21</v>
      </c>
      <c r="U2325" s="1" t="s">
        <v>22</v>
      </c>
      <c r="V2325" s="1" t="s">
        <v>23</v>
      </c>
      <c r="W2325" s="1" t="s">
        <v>24</v>
      </c>
      <c r="X2325" s="1">
        <v>2718</v>
      </c>
      <c r="Y2325" s="1" t="s">
        <v>24</v>
      </c>
      <c r="Z2325" s="1" t="s">
        <v>24</v>
      </c>
      <c r="AA2325" s="1" t="s">
        <v>24</v>
      </c>
      <c r="AB2325" s="1" t="s">
        <v>24</v>
      </c>
      <c r="AC2325" s="1" t="s">
        <v>24</v>
      </c>
      <c r="AD2325" s="1" t="s">
        <v>24</v>
      </c>
      <c r="AE2325" s="1" t="s">
        <v>24</v>
      </c>
      <c r="AF2325" s="22"/>
    </row>
    <row r="2326" spans="1:32" x14ac:dyDescent="0.2">
      <c r="A2326" s="1">
        <v>12584</v>
      </c>
      <c r="B2326" s="1" t="s">
        <v>7411</v>
      </c>
      <c r="C2326" s="5" t="s">
        <v>0</v>
      </c>
      <c r="D2326" s="1" t="s">
        <v>7412</v>
      </c>
      <c r="E2326" s="1" t="s">
        <v>7413</v>
      </c>
      <c r="F2326" s="1" t="s">
        <v>7414</v>
      </c>
      <c r="G2326" s="1" t="s">
        <v>61</v>
      </c>
      <c r="H2326" s="1" t="s">
        <v>37</v>
      </c>
      <c r="I2326" s="1" t="s">
        <v>16</v>
      </c>
      <c r="J2326" s="1">
        <v>4</v>
      </c>
      <c r="K2326" s="1">
        <v>3</v>
      </c>
      <c r="L2326" s="1" t="s">
        <v>31</v>
      </c>
      <c r="M2326" s="1" t="s">
        <v>18</v>
      </c>
      <c r="N2326" s="1" t="s">
        <v>18</v>
      </c>
      <c r="O2326" s="1">
        <v>3</v>
      </c>
      <c r="P2326" s="1">
        <v>6</v>
      </c>
      <c r="R2326" s="1" t="s">
        <v>19</v>
      </c>
      <c r="S2326" s="1" t="s">
        <v>20</v>
      </c>
      <c r="T2326" s="1" t="s">
        <v>21</v>
      </c>
      <c r="U2326" s="1" t="s">
        <v>22</v>
      </c>
      <c r="V2326" s="1" t="s">
        <v>24</v>
      </c>
      <c r="W2326" s="1" t="s">
        <v>24</v>
      </c>
      <c r="X2326" s="1">
        <v>1103</v>
      </c>
      <c r="Y2326" s="1">
        <v>3400</v>
      </c>
      <c r="Z2326" s="1" t="s">
        <v>24</v>
      </c>
      <c r="AA2326" s="1" t="s">
        <v>24</v>
      </c>
      <c r="AB2326" s="1" t="s">
        <v>24</v>
      </c>
      <c r="AC2326" s="1" t="s">
        <v>24</v>
      </c>
      <c r="AD2326" s="1" t="s">
        <v>24</v>
      </c>
      <c r="AE2326" s="1" t="s">
        <v>24</v>
      </c>
      <c r="AF2326" s="22"/>
    </row>
    <row r="2327" spans="1:32" x14ac:dyDescent="0.2">
      <c r="A2327" s="1">
        <v>12589</v>
      </c>
      <c r="B2327" s="1" t="s">
        <v>7415</v>
      </c>
      <c r="C2327" s="5" t="s">
        <v>0</v>
      </c>
      <c r="D2327" s="1" t="s">
        <v>7416</v>
      </c>
      <c r="E2327" s="1" t="s">
        <v>7417</v>
      </c>
      <c r="F2327" s="1" t="s">
        <v>367</v>
      </c>
      <c r="G2327" s="1" t="s">
        <v>367</v>
      </c>
      <c r="H2327" s="1" t="s">
        <v>30</v>
      </c>
      <c r="I2327" s="1" t="s">
        <v>16</v>
      </c>
      <c r="J2327" s="1">
        <v>2</v>
      </c>
      <c r="K2327" s="1">
        <v>6</v>
      </c>
      <c r="L2327" s="1" t="s">
        <v>42</v>
      </c>
      <c r="M2327" s="1" t="s">
        <v>18</v>
      </c>
      <c r="N2327" s="1" t="s">
        <v>18</v>
      </c>
      <c r="O2327" s="1">
        <v>3</v>
      </c>
      <c r="P2327" s="1">
        <v>8</v>
      </c>
      <c r="Q2327" s="7" t="s">
        <v>17633</v>
      </c>
      <c r="R2327" s="1" t="s">
        <v>62</v>
      </c>
      <c r="S2327" s="1" t="s">
        <v>20</v>
      </c>
      <c r="T2327" s="1" t="s">
        <v>21</v>
      </c>
      <c r="U2327" s="1" t="s">
        <v>22</v>
      </c>
      <c r="V2327" s="1" t="s">
        <v>24</v>
      </c>
      <c r="W2327" s="1" t="s">
        <v>24</v>
      </c>
      <c r="X2327" s="1">
        <v>1314</v>
      </c>
      <c r="Y2327" s="1">
        <v>2748</v>
      </c>
      <c r="Z2327" s="1" t="s">
        <v>24</v>
      </c>
      <c r="AA2327" s="1" t="s">
        <v>24</v>
      </c>
      <c r="AB2327" s="1" t="s">
        <v>24</v>
      </c>
      <c r="AC2327" s="1" t="s">
        <v>24</v>
      </c>
      <c r="AD2327" s="1" t="s">
        <v>24</v>
      </c>
      <c r="AE2327" s="1" t="s">
        <v>24</v>
      </c>
      <c r="AF2327" s="22"/>
    </row>
    <row r="2328" spans="1:32" x14ac:dyDescent="0.2">
      <c r="A2328" s="1">
        <v>12590</v>
      </c>
      <c r="B2328" s="1" t="s">
        <v>7418</v>
      </c>
      <c r="C2328" s="5" t="s">
        <v>0</v>
      </c>
      <c r="D2328" s="1" t="s">
        <v>7419</v>
      </c>
      <c r="E2328" s="1" t="s">
        <v>7420</v>
      </c>
      <c r="F2328" s="1" t="s">
        <v>441</v>
      </c>
      <c r="G2328" s="1" t="s">
        <v>441</v>
      </c>
      <c r="H2328" s="1" t="s">
        <v>30</v>
      </c>
      <c r="I2328" s="1" t="s">
        <v>16</v>
      </c>
      <c r="J2328" s="1">
        <v>1</v>
      </c>
      <c r="K2328" s="1">
        <v>4</v>
      </c>
      <c r="L2328" s="1" t="s">
        <v>42</v>
      </c>
      <c r="M2328" s="1" t="s">
        <v>18</v>
      </c>
      <c r="N2328" s="1" t="s">
        <v>18</v>
      </c>
      <c r="O2328" s="1">
        <v>3</v>
      </c>
      <c r="P2328" s="1">
        <v>6</v>
      </c>
      <c r="R2328" s="1" t="s">
        <v>62</v>
      </c>
      <c r="S2328" s="1" t="s">
        <v>20</v>
      </c>
      <c r="T2328" s="1" t="s">
        <v>21</v>
      </c>
      <c r="U2328" s="1" t="s">
        <v>22</v>
      </c>
      <c r="V2328" s="1" t="s">
        <v>24</v>
      </c>
      <c r="W2328" s="1" t="s">
        <v>24</v>
      </c>
      <c r="X2328" s="1">
        <v>1312</v>
      </c>
      <c r="Y2328" s="1">
        <v>2400</v>
      </c>
      <c r="Z2328" s="1" t="s">
        <v>24</v>
      </c>
      <c r="AA2328" s="1" t="s">
        <v>24</v>
      </c>
      <c r="AB2328" s="1" t="s">
        <v>24</v>
      </c>
      <c r="AC2328" s="1" t="s">
        <v>24</v>
      </c>
      <c r="AD2328" s="1" t="s">
        <v>24</v>
      </c>
      <c r="AE2328" s="1" t="s">
        <v>24</v>
      </c>
      <c r="AF2328" s="22"/>
    </row>
    <row r="2329" spans="1:32" x14ac:dyDescent="0.2">
      <c r="A2329" s="1">
        <v>12604</v>
      </c>
      <c r="B2329" s="1" t="s">
        <v>7421</v>
      </c>
      <c r="C2329" s="5" t="s">
        <v>0</v>
      </c>
      <c r="D2329" s="1" t="s">
        <v>7422</v>
      </c>
      <c r="F2329" s="1" t="s">
        <v>412</v>
      </c>
      <c r="G2329" s="1" t="s">
        <v>372</v>
      </c>
      <c r="H2329" s="1" t="s">
        <v>168</v>
      </c>
      <c r="I2329" s="1" t="s">
        <v>16</v>
      </c>
      <c r="J2329" s="1">
        <v>0</v>
      </c>
      <c r="K2329" s="1">
        <v>0</v>
      </c>
      <c r="L2329" s="1" t="s">
        <v>31</v>
      </c>
      <c r="M2329" s="1" t="s">
        <v>18</v>
      </c>
      <c r="N2329" s="1" t="s">
        <v>18</v>
      </c>
      <c r="O2329" s="1">
        <v>3</v>
      </c>
      <c r="P2329" s="1">
        <v>6</v>
      </c>
      <c r="R2329" s="1" t="s">
        <v>19</v>
      </c>
      <c r="S2329" s="1" t="s">
        <v>63</v>
      </c>
      <c r="T2329" s="1" t="s">
        <v>21</v>
      </c>
      <c r="U2329" s="1" t="s">
        <v>22</v>
      </c>
      <c r="V2329" s="1" t="s">
        <v>23</v>
      </c>
      <c r="W2329" s="1" t="s">
        <v>24</v>
      </c>
      <c r="X2329" s="1">
        <v>2732</v>
      </c>
      <c r="Y2329" s="1" t="s">
        <v>24</v>
      </c>
      <c r="Z2329" s="1" t="s">
        <v>24</v>
      </c>
      <c r="AA2329" s="1" t="s">
        <v>24</v>
      </c>
      <c r="AB2329" s="1" t="s">
        <v>24</v>
      </c>
      <c r="AC2329" s="1" t="s">
        <v>24</v>
      </c>
      <c r="AD2329" s="1" t="s">
        <v>24</v>
      </c>
      <c r="AE2329" s="1" t="s">
        <v>24</v>
      </c>
      <c r="AF2329" s="22"/>
    </row>
    <row r="2330" spans="1:32" x14ac:dyDescent="0.2">
      <c r="A2330" s="1">
        <v>12609</v>
      </c>
      <c r="B2330" s="1" t="s">
        <v>7423</v>
      </c>
      <c r="C2330" s="5" t="s">
        <v>0</v>
      </c>
      <c r="D2330" s="1" t="s">
        <v>7424</v>
      </c>
      <c r="E2330" s="1" t="s">
        <v>7425</v>
      </c>
      <c r="F2330" s="1" t="s">
        <v>7426</v>
      </c>
      <c r="G2330" s="1" t="s">
        <v>61</v>
      </c>
      <c r="H2330" s="1" t="s">
        <v>116</v>
      </c>
      <c r="I2330" s="1" t="s">
        <v>16</v>
      </c>
      <c r="J2330" s="1">
        <v>1</v>
      </c>
      <c r="K2330" s="1">
        <v>4</v>
      </c>
      <c r="L2330" s="1" t="s">
        <v>31</v>
      </c>
      <c r="M2330" s="1" t="s">
        <v>118</v>
      </c>
      <c r="N2330" s="1" t="s">
        <v>118</v>
      </c>
      <c r="O2330" s="1">
        <v>3</v>
      </c>
      <c r="P2330" s="1">
        <v>5</v>
      </c>
      <c r="R2330" s="1" t="s">
        <v>19</v>
      </c>
      <c r="S2330" s="1" t="s">
        <v>20</v>
      </c>
      <c r="T2330" s="1" t="s">
        <v>21</v>
      </c>
      <c r="U2330" s="1" t="s">
        <v>22</v>
      </c>
      <c r="V2330" s="1" t="s">
        <v>24</v>
      </c>
      <c r="W2330" s="1" t="s">
        <v>24</v>
      </c>
      <c r="X2330" s="1">
        <v>2404</v>
      </c>
      <c r="Y2330" s="1">
        <v>2725</v>
      </c>
      <c r="Z2330" s="1" t="s">
        <v>24</v>
      </c>
      <c r="AA2330" s="1" t="s">
        <v>24</v>
      </c>
      <c r="AB2330" s="1" t="s">
        <v>24</v>
      </c>
      <c r="AC2330" s="1" t="s">
        <v>24</v>
      </c>
      <c r="AD2330" s="1" t="s">
        <v>24</v>
      </c>
      <c r="AE2330" s="1" t="s">
        <v>24</v>
      </c>
      <c r="AF2330" s="22"/>
    </row>
    <row r="2331" spans="1:32" x14ac:dyDescent="0.2">
      <c r="A2331" s="1">
        <v>12639</v>
      </c>
      <c r="B2331" s="1" t="s">
        <v>7427</v>
      </c>
      <c r="C2331" s="5" t="s">
        <v>0</v>
      </c>
      <c r="D2331" s="1" t="s">
        <v>7428</v>
      </c>
      <c r="E2331" s="1" t="s">
        <v>7429</v>
      </c>
      <c r="F2331" s="1" t="s">
        <v>291</v>
      </c>
      <c r="G2331" s="1" t="s">
        <v>292</v>
      </c>
      <c r="H2331" s="1" t="s">
        <v>37</v>
      </c>
      <c r="I2331" s="1" t="s">
        <v>16</v>
      </c>
      <c r="J2331" s="1">
        <v>1</v>
      </c>
      <c r="K2331" s="1">
        <v>6</v>
      </c>
      <c r="L2331" s="1" t="s">
        <v>31</v>
      </c>
      <c r="M2331" s="1" t="s">
        <v>18</v>
      </c>
      <c r="N2331" s="1" t="s">
        <v>18</v>
      </c>
      <c r="O2331" s="1">
        <v>3</v>
      </c>
      <c r="P2331" s="1">
        <v>7</v>
      </c>
      <c r="Q2331" s="7" t="s">
        <v>17633</v>
      </c>
      <c r="R2331" s="1" t="s">
        <v>19</v>
      </c>
      <c r="S2331" s="1" t="s">
        <v>20</v>
      </c>
      <c r="T2331" s="1" t="s">
        <v>21</v>
      </c>
      <c r="U2331" s="1" t="s">
        <v>22</v>
      </c>
      <c r="V2331" s="1" t="s">
        <v>24</v>
      </c>
      <c r="W2331" s="1" t="s">
        <v>24</v>
      </c>
      <c r="X2331" s="1">
        <v>2705</v>
      </c>
      <c r="Y2331" s="1" t="s">
        <v>24</v>
      </c>
      <c r="Z2331" s="1" t="s">
        <v>24</v>
      </c>
      <c r="AA2331" s="1" t="s">
        <v>24</v>
      </c>
      <c r="AB2331" s="1" t="s">
        <v>24</v>
      </c>
      <c r="AC2331" s="1" t="s">
        <v>24</v>
      </c>
      <c r="AD2331" s="1" t="s">
        <v>24</v>
      </c>
      <c r="AE2331" s="1" t="s">
        <v>24</v>
      </c>
      <c r="AF2331" s="22"/>
    </row>
    <row r="2332" spans="1:32" x14ac:dyDescent="0.2">
      <c r="A2332" s="1">
        <v>12651</v>
      </c>
      <c r="B2332" s="1" t="s">
        <v>7430</v>
      </c>
      <c r="C2332" s="5" t="s">
        <v>0</v>
      </c>
      <c r="D2332" s="1" t="s">
        <v>7431</v>
      </c>
      <c r="E2332" s="1" t="s">
        <v>7432</v>
      </c>
      <c r="F2332" s="1" t="s">
        <v>4337</v>
      </c>
      <c r="G2332" s="1" t="s">
        <v>4338</v>
      </c>
      <c r="H2332" s="1" t="s">
        <v>30</v>
      </c>
      <c r="I2332" s="1" t="s">
        <v>16</v>
      </c>
      <c r="J2332" s="1">
        <v>1</v>
      </c>
      <c r="K2332" s="1">
        <v>6</v>
      </c>
      <c r="L2332" s="1" t="s">
        <v>31</v>
      </c>
      <c r="M2332" s="1" t="s">
        <v>18</v>
      </c>
      <c r="N2332" s="1" t="s">
        <v>18</v>
      </c>
      <c r="O2332" s="1">
        <v>3</v>
      </c>
      <c r="P2332" s="1">
        <v>6</v>
      </c>
      <c r="R2332" s="1" t="s">
        <v>19</v>
      </c>
      <c r="S2332" s="1" t="s">
        <v>20</v>
      </c>
      <c r="T2332" s="1" t="s">
        <v>21</v>
      </c>
      <c r="U2332" s="1" t="s">
        <v>22</v>
      </c>
      <c r="V2332" s="1" t="s">
        <v>24</v>
      </c>
      <c r="W2332" s="1" t="s">
        <v>24</v>
      </c>
      <c r="X2332" s="1">
        <v>2310</v>
      </c>
      <c r="Y2332" s="1">
        <v>2311</v>
      </c>
      <c r="Z2332" s="1">
        <v>2304</v>
      </c>
      <c r="AA2332" s="1" t="s">
        <v>24</v>
      </c>
      <c r="AB2332" s="1" t="s">
        <v>24</v>
      </c>
      <c r="AC2332" s="1" t="s">
        <v>24</v>
      </c>
      <c r="AD2332" s="1" t="s">
        <v>24</v>
      </c>
      <c r="AE2332" s="1" t="s">
        <v>24</v>
      </c>
      <c r="AF2332" s="22"/>
    </row>
    <row r="2333" spans="1:32" x14ac:dyDescent="0.2">
      <c r="A2333" s="1">
        <v>12722</v>
      </c>
      <c r="B2333" s="1" t="s">
        <v>7433</v>
      </c>
      <c r="C2333" s="5" t="s">
        <v>0</v>
      </c>
      <c r="D2333" s="1" t="s">
        <v>7434</v>
      </c>
      <c r="E2333" s="1" t="s">
        <v>7435</v>
      </c>
      <c r="F2333" s="1" t="s">
        <v>751</v>
      </c>
      <c r="G2333" s="1" t="s">
        <v>36</v>
      </c>
      <c r="H2333" s="1" t="s">
        <v>37</v>
      </c>
      <c r="I2333" s="1" t="s">
        <v>16</v>
      </c>
      <c r="J2333" s="1">
        <v>1</v>
      </c>
      <c r="K2333" s="1">
        <v>12</v>
      </c>
      <c r="L2333" s="1" t="s">
        <v>31</v>
      </c>
      <c r="M2333" s="1" t="s">
        <v>18</v>
      </c>
      <c r="N2333" s="1" t="s">
        <v>18</v>
      </c>
      <c r="O2333" s="1">
        <v>3</v>
      </c>
      <c r="P2333" s="1">
        <v>7</v>
      </c>
      <c r="Q2333" s="7" t="s">
        <v>17633</v>
      </c>
      <c r="R2333" s="1" t="s">
        <v>19</v>
      </c>
      <c r="S2333" s="1" t="s">
        <v>20</v>
      </c>
      <c r="T2333" s="1" t="s">
        <v>21</v>
      </c>
      <c r="U2333" s="1" t="s">
        <v>22</v>
      </c>
      <c r="V2333" s="1" t="s">
        <v>24</v>
      </c>
      <c r="W2333" s="1" t="s">
        <v>64</v>
      </c>
      <c r="X2333" s="1">
        <v>1605</v>
      </c>
      <c r="Y2333" s="1">
        <v>3002</v>
      </c>
      <c r="Z2333" s="1">
        <v>3004</v>
      </c>
      <c r="AA2333" s="1">
        <v>1303</v>
      </c>
      <c r="AB2333" s="1">
        <v>1312</v>
      </c>
      <c r="AC2333" s="1">
        <v>1313</v>
      </c>
      <c r="AD2333" s="1">
        <v>1315</v>
      </c>
      <c r="AE2333" s="1" t="s">
        <v>24</v>
      </c>
      <c r="AF2333" s="22"/>
    </row>
    <row r="2334" spans="1:32" x14ac:dyDescent="0.2">
      <c r="A2334" s="1">
        <v>12724</v>
      </c>
      <c r="B2334" s="1" t="s">
        <v>7436</v>
      </c>
      <c r="C2334" s="5" t="s">
        <v>0</v>
      </c>
      <c r="D2334" s="1" t="s">
        <v>7437</v>
      </c>
      <c r="E2334" s="1" t="s">
        <v>7438</v>
      </c>
      <c r="F2334" s="1" t="s">
        <v>7439</v>
      </c>
      <c r="G2334" s="1" t="s">
        <v>7439</v>
      </c>
      <c r="H2334" s="1" t="s">
        <v>684</v>
      </c>
      <c r="I2334" s="1" t="s">
        <v>16</v>
      </c>
      <c r="J2334" s="1">
        <v>1</v>
      </c>
      <c r="K2334" s="1">
        <v>4</v>
      </c>
      <c r="L2334" s="1" t="s">
        <v>42</v>
      </c>
      <c r="M2334" s="1" t="s">
        <v>18</v>
      </c>
      <c r="N2334" s="1" t="s">
        <v>18</v>
      </c>
      <c r="O2334" s="1">
        <v>3</v>
      </c>
      <c r="P2334" s="1">
        <v>6</v>
      </c>
      <c r="R2334" s="1" t="s">
        <v>19</v>
      </c>
      <c r="S2334" s="1" t="s">
        <v>20</v>
      </c>
      <c r="T2334" s="1" t="s">
        <v>21</v>
      </c>
      <c r="U2334" s="1" t="s">
        <v>22</v>
      </c>
      <c r="V2334" s="1" t="s">
        <v>23</v>
      </c>
      <c r="W2334" s="1" t="s">
        <v>24</v>
      </c>
      <c r="X2334" s="1">
        <v>2738</v>
      </c>
      <c r="Y2334" s="1">
        <v>2739</v>
      </c>
      <c r="Z2334" s="1" t="s">
        <v>24</v>
      </c>
      <c r="AA2334" s="1" t="s">
        <v>24</v>
      </c>
      <c r="AB2334" s="1" t="s">
        <v>24</v>
      </c>
      <c r="AC2334" s="1" t="s">
        <v>24</v>
      </c>
      <c r="AD2334" s="1" t="s">
        <v>24</v>
      </c>
      <c r="AE2334" s="1" t="s">
        <v>24</v>
      </c>
      <c r="AF2334" s="22"/>
    </row>
    <row r="2335" spans="1:32" x14ac:dyDescent="0.2">
      <c r="A2335" s="1">
        <v>12747</v>
      </c>
      <c r="B2335" s="1" t="s">
        <v>7440</v>
      </c>
      <c r="C2335" s="5" t="s">
        <v>0</v>
      </c>
      <c r="D2335" s="1" t="s">
        <v>7441</v>
      </c>
      <c r="E2335" s="1" t="s">
        <v>7442</v>
      </c>
      <c r="F2335" s="1" t="s">
        <v>548</v>
      </c>
      <c r="G2335" s="1" t="s">
        <v>36</v>
      </c>
      <c r="H2335" s="1" t="s">
        <v>30</v>
      </c>
      <c r="I2335" s="1" t="s">
        <v>16</v>
      </c>
      <c r="J2335" s="1">
        <v>1</v>
      </c>
      <c r="K2335" s="1">
        <v>12</v>
      </c>
      <c r="L2335" s="1" t="s">
        <v>31</v>
      </c>
      <c r="M2335" s="1" t="s">
        <v>18</v>
      </c>
      <c r="N2335" s="1" t="s">
        <v>18</v>
      </c>
      <c r="O2335" s="1">
        <v>3</v>
      </c>
      <c r="P2335" s="1">
        <v>7</v>
      </c>
      <c r="Q2335" s="7" t="s">
        <v>17633</v>
      </c>
      <c r="R2335" s="1" t="s">
        <v>19</v>
      </c>
      <c r="S2335" s="1" t="s">
        <v>20</v>
      </c>
      <c r="T2335" s="1" t="s">
        <v>21</v>
      </c>
      <c r="U2335" s="1" t="s">
        <v>22</v>
      </c>
      <c r="V2335" s="1" t="s">
        <v>24</v>
      </c>
      <c r="W2335" s="1" t="s">
        <v>24</v>
      </c>
      <c r="X2335" s="1">
        <v>2721</v>
      </c>
      <c r="Y2335" s="1">
        <v>2725</v>
      </c>
      <c r="Z2335" s="1" t="s">
        <v>24</v>
      </c>
      <c r="AA2335" s="1" t="s">
        <v>24</v>
      </c>
      <c r="AB2335" s="1" t="s">
        <v>24</v>
      </c>
      <c r="AC2335" s="1" t="s">
        <v>24</v>
      </c>
      <c r="AD2335" s="1" t="s">
        <v>24</v>
      </c>
      <c r="AE2335" s="1" t="s">
        <v>24</v>
      </c>
      <c r="AF2335" s="22"/>
    </row>
    <row r="2336" spans="1:32" x14ac:dyDescent="0.2">
      <c r="A2336" s="1">
        <v>12748</v>
      </c>
      <c r="B2336" s="1" t="s">
        <v>7443</v>
      </c>
      <c r="C2336" s="5" t="s">
        <v>0</v>
      </c>
      <c r="D2336" s="1" t="s">
        <v>7444</v>
      </c>
      <c r="E2336" s="1" t="s">
        <v>7445</v>
      </c>
      <c r="F2336" s="1" t="s">
        <v>221</v>
      </c>
      <c r="G2336" s="1" t="s">
        <v>61</v>
      </c>
      <c r="H2336" s="1" t="s">
        <v>222</v>
      </c>
      <c r="I2336" s="1" t="s">
        <v>16</v>
      </c>
      <c r="J2336" s="1">
        <v>1</v>
      </c>
      <c r="K2336" s="1">
        <v>12</v>
      </c>
      <c r="L2336" s="1" t="s">
        <v>31</v>
      </c>
      <c r="M2336" s="1" t="s">
        <v>18</v>
      </c>
      <c r="N2336" s="1" t="s">
        <v>18</v>
      </c>
      <c r="O2336" s="1">
        <v>3</v>
      </c>
      <c r="P2336" s="1">
        <v>7</v>
      </c>
      <c r="Q2336" s="7" t="s">
        <v>17633</v>
      </c>
      <c r="R2336" s="1" t="s">
        <v>19</v>
      </c>
      <c r="S2336" s="1" t="s">
        <v>20</v>
      </c>
      <c r="T2336" s="1" t="s">
        <v>21</v>
      </c>
      <c r="U2336" s="1" t="s">
        <v>22</v>
      </c>
      <c r="V2336" s="1" t="s">
        <v>23</v>
      </c>
      <c r="W2336" s="1" t="s">
        <v>24</v>
      </c>
      <c r="X2336" s="1">
        <v>2718</v>
      </c>
      <c r="Y2336" s="1" t="s">
        <v>24</v>
      </c>
      <c r="Z2336" s="1" t="s">
        <v>24</v>
      </c>
      <c r="AA2336" s="1" t="s">
        <v>24</v>
      </c>
      <c r="AB2336" s="1" t="s">
        <v>24</v>
      </c>
      <c r="AC2336" s="1" t="s">
        <v>24</v>
      </c>
      <c r="AD2336" s="1" t="s">
        <v>24</v>
      </c>
      <c r="AE2336" s="1" t="s">
        <v>24</v>
      </c>
      <c r="AF2336" s="22"/>
    </row>
    <row r="2337" spans="1:32" x14ac:dyDescent="0.2">
      <c r="A2337" s="1">
        <v>12750</v>
      </c>
      <c r="B2337" s="1" t="s">
        <v>7446</v>
      </c>
      <c r="C2337" s="5" t="s">
        <v>0</v>
      </c>
      <c r="D2337" s="1" t="s">
        <v>7447</v>
      </c>
      <c r="E2337" s="1" t="s">
        <v>7448</v>
      </c>
      <c r="F2337" s="1" t="s">
        <v>268</v>
      </c>
      <c r="G2337" s="1" t="s">
        <v>130</v>
      </c>
      <c r="H2337" s="1" t="s">
        <v>111</v>
      </c>
      <c r="I2337" s="1" t="s">
        <v>16</v>
      </c>
      <c r="J2337" s="1">
        <v>1</v>
      </c>
      <c r="K2337" s="1">
        <v>24</v>
      </c>
      <c r="L2337" s="1" t="s">
        <v>31</v>
      </c>
      <c r="M2337" s="1" t="s">
        <v>18</v>
      </c>
      <c r="N2337" s="1" t="s">
        <v>18</v>
      </c>
      <c r="O2337" s="1">
        <v>3</v>
      </c>
      <c r="P2337" s="1">
        <v>6</v>
      </c>
      <c r="R2337" s="1" t="s">
        <v>62</v>
      </c>
      <c r="S2337" s="1" t="s">
        <v>20</v>
      </c>
      <c r="T2337" s="1" t="s">
        <v>21</v>
      </c>
      <c r="U2337" s="1" t="s">
        <v>22</v>
      </c>
      <c r="V2337" s="1" t="s">
        <v>24</v>
      </c>
      <c r="W2337" s="1" t="s">
        <v>64</v>
      </c>
      <c r="X2337" s="1">
        <v>1307</v>
      </c>
      <c r="Y2337" s="1">
        <v>1312</v>
      </c>
      <c r="Z2337" s="1">
        <v>1313</v>
      </c>
      <c r="AA2337" s="1">
        <v>3004</v>
      </c>
      <c r="AB2337" s="1">
        <v>2804</v>
      </c>
      <c r="AC2337" s="1" t="s">
        <v>24</v>
      </c>
      <c r="AD2337" s="1" t="s">
        <v>24</v>
      </c>
      <c r="AE2337" s="1" t="s">
        <v>24</v>
      </c>
      <c r="AF2337" s="22"/>
    </row>
    <row r="2338" spans="1:32" x14ac:dyDescent="0.2">
      <c r="A2338" s="1">
        <v>12751</v>
      </c>
      <c r="B2338" s="1" t="s">
        <v>7449</v>
      </c>
      <c r="C2338" s="5" t="s">
        <v>0</v>
      </c>
      <c r="D2338" s="1" t="s">
        <v>7450</v>
      </c>
      <c r="F2338" s="1" t="s">
        <v>7451</v>
      </c>
      <c r="G2338" s="1" t="s">
        <v>7451</v>
      </c>
      <c r="H2338" s="1" t="s">
        <v>168</v>
      </c>
      <c r="I2338" s="1" t="s">
        <v>16</v>
      </c>
      <c r="J2338" s="1">
        <v>1</v>
      </c>
      <c r="K2338" s="1">
        <v>12</v>
      </c>
      <c r="L2338" s="1" t="s">
        <v>17</v>
      </c>
      <c r="M2338" s="1" t="s">
        <v>242</v>
      </c>
      <c r="N2338" s="1" t="s">
        <v>242</v>
      </c>
      <c r="O2338" s="1">
        <v>3</v>
      </c>
      <c r="P2338" s="1">
        <v>5</v>
      </c>
      <c r="R2338" s="1" t="s">
        <v>19</v>
      </c>
      <c r="S2338" s="1" t="s">
        <v>20</v>
      </c>
      <c r="T2338" s="1" t="s">
        <v>21</v>
      </c>
      <c r="U2338" s="1" t="s">
        <v>22</v>
      </c>
      <c r="V2338" s="1" t="s">
        <v>23</v>
      </c>
      <c r="W2338" s="1" t="s">
        <v>24</v>
      </c>
      <c r="X2338" s="1">
        <v>1300</v>
      </c>
      <c r="Y2338" s="1" t="s">
        <v>24</v>
      </c>
      <c r="Z2338" s="1" t="s">
        <v>24</v>
      </c>
      <c r="AA2338" s="1" t="s">
        <v>24</v>
      </c>
      <c r="AB2338" s="1" t="s">
        <v>24</v>
      </c>
      <c r="AC2338" s="1" t="s">
        <v>24</v>
      </c>
      <c r="AD2338" s="1" t="s">
        <v>24</v>
      </c>
      <c r="AE2338" s="1" t="s">
        <v>24</v>
      </c>
      <c r="AF2338" s="22"/>
    </row>
    <row r="2339" spans="1:32" x14ac:dyDescent="0.2">
      <c r="A2339" s="1">
        <v>12752</v>
      </c>
      <c r="B2339" s="1" t="s">
        <v>7452</v>
      </c>
      <c r="C2339" s="5" t="s">
        <v>0</v>
      </c>
      <c r="D2339" s="1" t="s">
        <v>7453</v>
      </c>
      <c r="E2339" s="1" t="s">
        <v>7454</v>
      </c>
      <c r="F2339" s="1" t="s">
        <v>85</v>
      </c>
      <c r="G2339" s="1" t="s">
        <v>61</v>
      </c>
      <c r="H2339" s="1" t="s">
        <v>86</v>
      </c>
      <c r="I2339" s="1" t="s">
        <v>16</v>
      </c>
      <c r="J2339" s="1">
        <v>1</v>
      </c>
      <c r="K2339" s="1">
        <v>6</v>
      </c>
      <c r="L2339" s="1" t="s">
        <v>31</v>
      </c>
      <c r="M2339" s="1" t="s">
        <v>87</v>
      </c>
      <c r="N2339" s="1" t="s">
        <v>105</v>
      </c>
      <c r="O2339" s="1">
        <v>3</v>
      </c>
      <c r="P2339" s="1">
        <v>7</v>
      </c>
      <c r="Q2339" s="7" t="s">
        <v>17633</v>
      </c>
      <c r="R2339" s="1" t="s">
        <v>19</v>
      </c>
      <c r="S2339" s="1" t="s">
        <v>20</v>
      </c>
      <c r="T2339" s="1" t="s">
        <v>21</v>
      </c>
      <c r="U2339" s="1" t="s">
        <v>22</v>
      </c>
      <c r="V2339" s="1" t="s">
        <v>23</v>
      </c>
      <c r="W2339" s="1" t="s">
        <v>24</v>
      </c>
      <c r="X2339" s="1">
        <v>2730</v>
      </c>
      <c r="Y2339" s="1">
        <v>2741</v>
      </c>
      <c r="Z2339" s="1" t="s">
        <v>24</v>
      </c>
      <c r="AA2339" s="1" t="s">
        <v>24</v>
      </c>
      <c r="AB2339" s="1" t="s">
        <v>24</v>
      </c>
      <c r="AC2339" s="1" t="s">
        <v>24</v>
      </c>
      <c r="AD2339" s="1" t="s">
        <v>24</v>
      </c>
      <c r="AE2339" s="1" t="s">
        <v>24</v>
      </c>
      <c r="AF2339" s="22"/>
    </row>
    <row r="2340" spans="1:32" x14ac:dyDescent="0.2">
      <c r="A2340" s="1">
        <v>12753</v>
      </c>
      <c r="B2340" s="1" t="s">
        <v>7455</v>
      </c>
      <c r="C2340" s="5" t="s">
        <v>0</v>
      </c>
      <c r="D2340" s="1" t="s">
        <v>7456</v>
      </c>
      <c r="F2340" s="1" t="s">
        <v>1065</v>
      </c>
      <c r="G2340" s="1" t="s">
        <v>1066</v>
      </c>
      <c r="H2340" s="1" t="s">
        <v>1007</v>
      </c>
      <c r="I2340" s="1" t="s">
        <v>16</v>
      </c>
      <c r="J2340" s="1">
        <v>1</v>
      </c>
      <c r="K2340" s="1">
        <v>12</v>
      </c>
      <c r="L2340" s="1" t="s">
        <v>17</v>
      </c>
      <c r="M2340" s="1" t="s">
        <v>1008</v>
      </c>
      <c r="N2340" s="1" t="s">
        <v>4418</v>
      </c>
      <c r="O2340" s="1">
        <v>2</v>
      </c>
      <c r="P2340" s="1">
        <v>5</v>
      </c>
      <c r="R2340" s="1" t="s">
        <v>19</v>
      </c>
      <c r="S2340" s="1" t="s">
        <v>20</v>
      </c>
      <c r="T2340" s="1" t="s">
        <v>21</v>
      </c>
      <c r="U2340" s="1" t="s">
        <v>22</v>
      </c>
      <c r="V2340" s="1" t="s">
        <v>24</v>
      </c>
      <c r="W2340" s="1" t="s">
        <v>24</v>
      </c>
      <c r="X2340" s="1">
        <v>2728</v>
      </c>
      <c r="Y2340" s="1">
        <v>2808</v>
      </c>
      <c r="Z2340" s="1" t="s">
        <v>24</v>
      </c>
      <c r="AA2340" s="1" t="s">
        <v>24</v>
      </c>
      <c r="AB2340" s="1" t="s">
        <v>24</v>
      </c>
      <c r="AC2340" s="1" t="s">
        <v>24</v>
      </c>
      <c r="AD2340" s="1" t="s">
        <v>24</v>
      </c>
      <c r="AE2340" s="1" t="s">
        <v>24</v>
      </c>
      <c r="AF2340" s="22"/>
    </row>
    <row r="2341" spans="1:32" x14ac:dyDescent="0.2">
      <c r="A2341" s="1">
        <v>12756</v>
      </c>
      <c r="B2341" s="1" t="s">
        <v>7457</v>
      </c>
      <c r="C2341" s="5" t="s">
        <v>0</v>
      </c>
      <c r="D2341" s="1" t="s">
        <v>7458</v>
      </c>
      <c r="E2341" s="1" t="s">
        <v>7459</v>
      </c>
      <c r="F2341" s="1" t="s">
        <v>167</v>
      </c>
      <c r="G2341" s="1" t="s">
        <v>130</v>
      </c>
      <c r="H2341" s="1" t="s">
        <v>168</v>
      </c>
      <c r="I2341" s="1" t="s">
        <v>16</v>
      </c>
      <c r="J2341" s="1">
        <v>1</v>
      </c>
      <c r="K2341" s="1">
        <v>12</v>
      </c>
      <c r="L2341" s="1" t="s">
        <v>31</v>
      </c>
      <c r="M2341" s="1" t="s">
        <v>18</v>
      </c>
      <c r="N2341" s="1" t="s">
        <v>18</v>
      </c>
      <c r="O2341" s="1">
        <v>3</v>
      </c>
      <c r="P2341" s="1">
        <v>6</v>
      </c>
      <c r="R2341" s="1" t="s">
        <v>19</v>
      </c>
      <c r="S2341" s="1" t="s">
        <v>20</v>
      </c>
      <c r="T2341" s="1" t="s">
        <v>21</v>
      </c>
      <c r="U2341" s="1" t="s">
        <v>22</v>
      </c>
      <c r="V2341" s="1" t="s">
        <v>24</v>
      </c>
      <c r="W2341" s="1" t="s">
        <v>24</v>
      </c>
      <c r="X2341" s="1">
        <v>1305</v>
      </c>
      <c r="Y2341" s="1">
        <v>2402</v>
      </c>
      <c r="Z2341" s="1" t="s">
        <v>24</v>
      </c>
      <c r="AA2341" s="1" t="s">
        <v>24</v>
      </c>
      <c r="AB2341" s="1" t="s">
        <v>24</v>
      </c>
      <c r="AC2341" s="1" t="s">
        <v>24</v>
      </c>
      <c r="AD2341" s="1" t="s">
        <v>24</v>
      </c>
      <c r="AE2341" s="1" t="s">
        <v>24</v>
      </c>
      <c r="AF2341" s="22"/>
    </row>
    <row r="2342" spans="1:32" x14ac:dyDescent="0.2">
      <c r="A2342" s="1">
        <v>12762</v>
      </c>
      <c r="B2342" s="1" t="s">
        <v>7460</v>
      </c>
      <c r="C2342" s="5" t="s">
        <v>0</v>
      </c>
      <c r="D2342" s="1" t="s">
        <v>7461</v>
      </c>
      <c r="F2342" s="1" t="s">
        <v>7462</v>
      </c>
      <c r="G2342" s="1" t="s">
        <v>7462</v>
      </c>
      <c r="H2342" s="1" t="s">
        <v>30</v>
      </c>
      <c r="I2342" s="1" t="s">
        <v>16</v>
      </c>
      <c r="J2342" s="1">
        <v>1</v>
      </c>
      <c r="K2342" s="1">
        <v>12</v>
      </c>
      <c r="L2342" s="1" t="s">
        <v>42</v>
      </c>
      <c r="M2342" s="1" t="s">
        <v>18</v>
      </c>
      <c r="N2342" s="1" t="s">
        <v>18</v>
      </c>
      <c r="O2342" s="1">
        <v>3</v>
      </c>
      <c r="P2342" s="1">
        <v>7</v>
      </c>
      <c r="Q2342" s="7" t="s">
        <v>17633</v>
      </c>
      <c r="R2342" s="1" t="s">
        <v>19</v>
      </c>
      <c r="S2342" s="1" t="s">
        <v>20</v>
      </c>
      <c r="T2342" s="1" t="s">
        <v>21</v>
      </c>
      <c r="U2342" s="1" t="s">
        <v>22</v>
      </c>
      <c r="V2342" s="1" t="s">
        <v>23</v>
      </c>
      <c r="W2342" s="1" t="s">
        <v>24</v>
      </c>
      <c r="X2342" s="1">
        <v>2719</v>
      </c>
      <c r="Y2342" s="1" t="s">
        <v>24</v>
      </c>
      <c r="Z2342" s="1" t="s">
        <v>24</v>
      </c>
      <c r="AA2342" s="1" t="s">
        <v>24</v>
      </c>
      <c r="AB2342" s="1" t="s">
        <v>24</v>
      </c>
      <c r="AC2342" s="1" t="s">
        <v>24</v>
      </c>
      <c r="AD2342" s="1" t="s">
        <v>24</v>
      </c>
      <c r="AE2342" s="1" t="s">
        <v>24</v>
      </c>
      <c r="AF2342" s="22"/>
    </row>
    <row r="2343" spans="1:32" x14ac:dyDescent="0.2">
      <c r="A2343" s="1">
        <v>12763</v>
      </c>
      <c r="B2343" s="1" t="s">
        <v>7463</v>
      </c>
      <c r="C2343" s="5" t="s">
        <v>0</v>
      </c>
      <c r="D2343" s="1" t="s">
        <v>7464</v>
      </c>
      <c r="E2343" s="1" t="s">
        <v>7465</v>
      </c>
      <c r="F2343" s="1" t="s">
        <v>217</v>
      </c>
      <c r="G2343" s="1" t="s">
        <v>130</v>
      </c>
      <c r="H2343" s="1" t="s">
        <v>92</v>
      </c>
      <c r="I2343" s="1" t="s">
        <v>16</v>
      </c>
      <c r="J2343" s="1">
        <v>1</v>
      </c>
      <c r="K2343" s="1">
        <v>4</v>
      </c>
      <c r="L2343" s="1" t="s">
        <v>31</v>
      </c>
      <c r="M2343" s="1" t="s">
        <v>18</v>
      </c>
      <c r="N2343" s="1" t="s">
        <v>18</v>
      </c>
      <c r="O2343" s="1">
        <v>3</v>
      </c>
      <c r="P2343" s="1">
        <v>6</v>
      </c>
      <c r="R2343" s="1" t="s">
        <v>62</v>
      </c>
      <c r="S2343" s="1" t="s">
        <v>20</v>
      </c>
      <c r="T2343" s="1" t="s">
        <v>21</v>
      </c>
      <c r="U2343" s="1" t="s">
        <v>22</v>
      </c>
      <c r="V2343" s="1" t="s">
        <v>23</v>
      </c>
      <c r="W2343" s="1" t="s">
        <v>24</v>
      </c>
      <c r="X2343" s="1">
        <v>2705</v>
      </c>
      <c r="Y2343" s="1" t="s">
        <v>24</v>
      </c>
      <c r="Z2343" s="1" t="s">
        <v>24</v>
      </c>
      <c r="AA2343" s="1" t="s">
        <v>24</v>
      </c>
      <c r="AB2343" s="1" t="s">
        <v>24</v>
      </c>
      <c r="AC2343" s="1" t="s">
        <v>24</v>
      </c>
      <c r="AD2343" s="1" t="s">
        <v>24</v>
      </c>
      <c r="AE2343" s="1" t="s">
        <v>24</v>
      </c>
      <c r="AF2343" s="22"/>
    </row>
    <row r="2344" spans="1:32" x14ac:dyDescent="0.2">
      <c r="A2344" s="1">
        <v>12766</v>
      </c>
      <c r="B2344" s="1" t="s">
        <v>7466</v>
      </c>
      <c r="C2344" s="5" t="s">
        <v>0</v>
      </c>
      <c r="D2344" s="1" t="s">
        <v>7467</v>
      </c>
      <c r="E2344" s="1" t="s">
        <v>7468</v>
      </c>
      <c r="F2344" s="1" t="s">
        <v>291</v>
      </c>
      <c r="G2344" s="1" t="s">
        <v>292</v>
      </c>
      <c r="H2344" s="1" t="s">
        <v>30</v>
      </c>
      <c r="I2344" s="1" t="s">
        <v>16</v>
      </c>
      <c r="J2344" s="1">
        <v>1</v>
      </c>
      <c r="K2344" s="1">
        <v>4</v>
      </c>
      <c r="L2344" s="1" t="s">
        <v>31</v>
      </c>
      <c r="M2344" s="1" t="s">
        <v>18</v>
      </c>
      <c r="N2344" s="1" t="s">
        <v>18</v>
      </c>
      <c r="O2344" s="1">
        <v>3</v>
      </c>
      <c r="P2344" s="1">
        <v>7</v>
      </c>
      <c r="Q2344" s="7" t="s">
        <v>17633</v>
      </c>
      <c r="R2344" s="1" t="s">
        <v>19</v>
      </c>
      <c r="S2344" s="1" t="s">
        <v>20</v>
      </c>
      <c r="T2344" s="1" t="s">
        <v>21</v>
      </c>
      <c r="U2344" s="1" t="s">
        <v>22</v>
      </c>
      <c r="V2344" s="1" t="s">
        <v>24</v>
      </c>
      <c r="W2344" s="1" t="s">
        <v>24</v>
      </c>
      <c r="X2344" s="1">
        <v>3003</v>
      </c>
      <c r="Y2344" s="1" t="s">
        <v>24</v>
      </c>
      <c r="Z2344" s="1" t="s">
        <v>24</v>
      </c>
      <c r="AA2344" s="1" t="s">
        <v>24</v>
      </c>
      <c r="AB2344" s="1" t="s">
        <v>24</v>
      </c>
      <c r="AC2344" s="1" t="s">
        <v>24</v>
      </c>
      <c r="AD2344" s="1" t="s">
        <v>24</v>
      </c>
      <c r="AE2344" s="1" t="s">
        <v>24</v>
      </c>
      <c r="AF2344" s="22"/>
    </row>
    <row r="2345" spans="1:32" x14ac:dyDescent="0.2">
      <c r="A2345" s="1">
        <v>12767</v>
      </c>
      <c r="B2345" s="1" t="s">
        <v>7469</v>
      </c>
      <c r="C2345" s="5" t="s">
        <v>0</v>
      </c>
      <c r="D2345" s="1" t="s">
        <v>7470</v>
      </c>
      <c r="E2345" s="1" t="s">
        <v>7471</v>
      </c>
      <c r="F2345" s="1" t="s">
        <v>97</v>
      </c>
      <c r="G2345" s="1" t="s">
        <v>98</v>
      </c>
      <c r="H2345" s="1" t="s">
        <v>37</v>
      </c>
      <c r="I2345" s="1" t="s">
        <v>16</v>
      </c>
      <c r="J2345" s="1">
        <v>1</v>
      </c>
      <c r="K2345" s="1">
        <v>6</v>
      </c>
      <c r="L2345" s="1" t="s">
        <v>31</v>
      </c>
      <c r="M2345" s="1" t="s">
        <v>18</v>
      </c>
      <c r="N2345" s="1" t="s">
        <v>18</v>
      </c>
      <c r="O2345" s="1">
        <v>3</v>
      </c>
      <c r="P2345" s="1">
        <v>6</v>
      </c>
      <c r="R2345" s="1" t="s">
        <v>19</v>
      </c>
      <c r="S2345" s="1" t="s">
        <v>20</v>
      </c>
      <c r="T2345" s="1" t="s">
        <v>21</v>
      </c>
      <c r="U2345" s="1" t="s">
        <v>22</v>
      </c>
      <c r="V2345" s="1" t="s">
        <v>24</v>
      </c>
      <c r="W2345" s="1" t="s">
        <v>24</v>
      </c>
      <c r="X2345" s="1">
        <v>2738</v>
      </c>
      <c r="Y2345" s="1" t="s">
        <v>24</v>
      </c>
      <c r="Z2345" s="1" t="s">
        <v>24</v>
      </c>
      <c r="AA2345" s="1" t="s">
        <v>24</v>
      </c>
      <c r="AB2345" s="1" t="s">
        <v>24</v>
      </c>
      <c r="AC2345" s="1" t="s">
        <v>24</v>
      </c>
      <c r="AD2345" s="1" t="s">
        <v>24</v>
      </c>
      <c r="AE2345" s="1" t="s">
        <v>24</v>
      </c>
      <c r="AF2345" s="22"/>
    </row>
    <row r="2346" spans="1:32" x14ac:dyDescent="0.2">
      <c r="A2346" s="1">
        <v>12769</v>
      </c>
      <c r="B2346" s="1" t="s">
        <v>7472</v>
      </c>
      <c r="C2346" s="5" t="s">
        <v>0</v>
      </c>
      <c r="D2346" s="1" t="s">
        <v>7473</v>
      </c>
      <c r="F2346" s="1" t="s">
        <v>5766</v>
      </c>
      <c r="G2346" s="1" t="s">
        <v>5766</v>
      </c>
      <c r="H2346" s="1" t="s">
        <v>30</v>
      </c>
      <c r="I2346" s="1" t="s">
        <v>16</v>
      </c>
      <c r="J2346" s="1">
        <v>1</v>
      </c>
      <c r="K2346" s="1">
        <v>1</v>
      </c>
      <c r="L2346" s="1" t="s">
        <v>42</v>
      </c>
      <c r="M2346" s="1" t="s">
        <v>18</v>
      </c>
      <c r="N2346" s="1" t="s">
        <v>18</v>
      </c>
      <c r="O2346" s="1">
        <v>3</v>
      </c>
      <c r="P2346" s="1">
        <v>6</v>
      </c>
      <c r="R2346" s="1" t="s">
        <v>19</v>
      </c>
      <c r="S2346" s="1" t="s">
        <v>20</v>
      </c>
      <c r="T2346" s="1" t="s">
        <v>21</v>
      </c>
      <c r="U2346" s="1" t="s">
        <v>22</v>
      </c>
      <c r="V2346" s="1" t="s">
        <v>24</v>
      </c>
      <c r="W2346" s="1" t="s">
        <v>24</v>
      </c>
      <c r="X2346" s="1">
        <v>1311</v>
      </c>
      <c r="Y2346" s="1">
        <v>1312</v>
      </c>
      <c r="Z2346" s="1" t="s">
        <v>24</v>
      </c>
      <c r="AA2346" s="1" t="s">
        <v>24</v>
      </c>
      <c r="AB2346" s="1" t="s">
        <v>24</v>
      </c>
      <c r="AC2346" s="1" t="s">
        <v>24</v>
      </c>
      <c r="AD2346" s="1" t="s">
        <v>24</v>
      </c>
      <c r="AE2346" s="1" t="s">
        <v>24</v>
      </c>
      <c r="AF2346" s="22"/>
    </row>
    <row r="2347" spans="1:32" x14ac:dyDescent="0.2">
      <c r="A2347" s="1">
        <v>12771</v>
      </c>
      <c r="B2347" s="1" t="s">
        <v>7474</v>
      </c>
      <c r="C2347" s="5" t="s">
        <v>0</v>
      </c>
      <c r="D2347" s="1" t="s">
        <v>7475</v>
      </c>
      <c r="E2347" s="1" t="s">
        <v>7476</v>
      </c>
      <c r="F2347" s="1" t="s">
        <v>920</v>
      </c>
      <c r="G2347" s="1" t="s">
        <v>921</v>
      </c>
      <c r="H2347" s="1" t="s">
        <v>92</v>
      </c>
      <c r="I2347" s="1" t="s">
        <v>16</v>
      </c>
      <c r="J2347" s="1">
        <v>2</v>
      </c>
      <c r="K2347" s="1">
        <v>4</v>
      </c>
      <c r="L2347" s="1" t="s">
        <v>31</v>
      </c>
      <c r="M2347" s="1" t="s">
        <v>18</v>
      </c>
      <c r="N2347" s="1" t="s">
        <v>18</v>
      </c>
      <c r="O2347" s="1">
        <v>3</v>
      </c>
      <c r="P2347" s="1">
        <v>6</v>
      </c>
      <c r="R2347" s="1" t="s">
        <v>19</v>
      </c>
      <c r="S2347" s="1" t="s">
        <v>20</v>
      </c>
      <c r="T2347" s="1" t="s">
        <v>21</v>
      </c>
      <c r="U2347" s="1" t="s">
        <v>22</v>
      </c>
      <c r="V2347" s="1" t="s">
        <v>24</v>
      </c>
      <c r="W2347" s="1" t="s">
        <v>24</v>
      </c>
      <c r="X2347" s="1">
        <v>2720</v>
      </c>
      <c r="Y2347" s="1">
        <v>1314</v>
      </c>
      <c r="Z2347" s="1">
        <v>2737</v>
      </c>
      <c r="AA2347" s="1">
        <v>2705</v>
      </c>
      <c r="AB2347" s="1" t="s">
        <v>24</v>
      </c>
      <c r="AC2347" s="1" t="s">
        <v>24</v>
      </c>
      <c r="AD2347" s="1" t="s">
        <v>24</v>
      </c>
      <c r="AE2347" s="1" t="s">
        <v>24</v>
      </c>
      <c r="AF2347" s="22"/>
    </row>
    <row r="2348" spans="1:32" x14ac:dyDescent="0.2">
      <c r="A2348" s="1">
        <v>12774</v>
      </c>
      <c r="B2348" s="1" t="s">
        <v>7477</v>
      </c>
      <c r="C2348" s="5" t="s">
        <v>0</v>
      </c>
      <c r="D2348" s="1" t="s">
        <v>7478</v>
      </c>
      <c r="F2348" s="1" t="s">
        <v>7479</v>
      </c>
      <c r="G2348" s="1" t="s">
        <v>7480</v>
      </c>
      <c r="H2348" s="1" t="s">
        <v>1116</v>
      </c>
      <c r="I2348" s="1" t="s">
        <v>16</v>
      </c>
      <c r="J2348" s="1">
        <v>1</v>
      </c>
      <c r="K2348" s="1">
        <v>4</v>
      </c>
      <c r="L2348" s="1" t="s">
        <v>42</v>
      </c>
      <c r="M2348" s="1" t="s">
        <v>18</v>
      </c>
      <c r="N2348" s="1" t="s">
        <v>18</v>
      </c>
      <c r="O2348" s="1">
        <v>3</v>
      </c>
      <c r="P2348" s="1">
        <v>5</v>
      </c>
      <c r="R2348" s="1" t="s">
        <v>19</v>
      </c>
      <c r="S2348" s="1" t="s">
        <v>20</v>
      </c>
      <c r="T2348" s="1" t="s">
        <v>21</v>
      </c>
      <c r="U2348" s="1" t="s">
        <v>22</v>
      </c>
      <c r="V2348" s="1" t="s">
        <v>24</v>
      </c>
      <c r="W2348" s="1" t="s">
        <v>24</v>
      </c>
      <c r="X2348" s="1">
        <v>2728</v>
      </c>
      <c r="Y2348" s="1">
        <v>2808</v>
      </c>
      <c r="Z2348" s="1" t="s">
        <v>24</v>
      </c>
      <c r="AA2348" s="1" t="s">
        <v>24</v>
      </c>
      <c r="AB2348" s="1" t="s">
        <v>24</v>
      </c>
      <c r="AC2348" s="1" t="s">
        <v>24</v>
      </c>
      <c r="AD2348" s="1" t="s">
        <v>24</v>
      </c>
      <c r="AE2348" s="1" t="s">
        <v>24</v>
      </c>
      <c r="AF2348" s="22"/>
    </row>
    <row r="2349" spans="1:32" x14ac:dyDescent="0.2">
      <c r="A2349" s="1">
        <v>12776</v>
      </c>
      <c r="B2349" s="1" t="s">
        <v>7481</v>
      </c>
      <c r="C2349" s="5" t="s">
        <v>0</v>
      </c>
      <c r="D2349" s="1" t="s">
        <v>7482</v>
      </c>
      <c r="E2349" s="1" t="s">
        <v>7483</v>
      </c>
      <c r="F2349" s="1" t="s">
        <v>920</v>
      </c>
      <c r="G2349" s="1" t="s">
        <v>921</v>
      </c>
      <c r="H2349" s="1" t="s">
        <v>92</v>
      </c>
      <c r="I2349" s="1" t="s">
        <v>16</v>
      </c>
      <c r="J2349" s="1">
        <v>1</v>
      </c>
      <c r="K2349" s="1">
        <v>4</v>
      </c>
      <c r="L2349" s="1" t="s">
        <v>31</v>
      </c>
      <c r="M2349" s="1" t="s">
        <v>18</v>
      </c>
      <c r="N2349" s="1" t="s">
        <v>18</v>
      </c>
      <c r="O2349" s="1">
        <v>3</v>
      </c>
      <c r="P2349" s="1">
        <v>7</v>
      </c>
      <c r="Q2349" s="7" t="s">
        <v>17633</v>
      </c>
      <c r="R2349" s="1" t="s">
        <v>19</v>
      </c>
      <c r="S2349" s="1" t="s">
        <v>20</v>
      </c>
      <c r="T2349" s="1" t="s">
        <v>21</v>
      </c>
      <c r="U2349" s="1" t="s">
        <v>22</v>
      </c>
      <c r="V2349" s="1" t="s">
        <v>24</v>
      </c>
      <c r="W2349" s="1" t="s">
        <v>24</v>
      </c>
      <c r="X2349" s="1">
        <v>2403</v>
      </c>
      <c r="Y2349" s="1">
        <v>2723</v>
      </c>
      <c r="Z2349" s="1" t="s">
        <v>24</v>
      </c>
      <c r="AA2349" s="1" t="s">
        <v>24</v>
      </c>
      <c r="AB2349" s="1" t="s">
        <v>24</v>
      </c>
      <c r="AC2349" s="1" t="s">
        <v>24</v>
      </c>
      <c r="AD2349" s="1" t="s">
        <v>24</v>
      </c>
      <c r="AE2349" s="1" t="s">
        <v>24</v>
      </c>
      <c r="AF2349" s="22"/>
    </row>
    <row r="2350" spans="1:32" x14ac:dyDescent="0.2">
      <c r="A2350" s="1">
        <v>12784</v>
      </c>
      <c r="B2350" s="1" t="s">
        <v>7484</v>
      </c>
      <c r="C2350" s="5" t="s">
        <v>0</v>
      </c>
      <c r="D2350" s="1" t="s">
        <v>7485</v>
      </c>
      <c r="E2350" s="1" t="s">
        <v>7486</v>
      </c>
      <c r="F2350" s="1" t="s">
        <v>155</v>
      </c>
      <c r="G2350" s="1" t="s">
        <v>61</v>
      </c>
      <c r="H2350" s="1" t="s">
        <v>37</v>
      </c>
      <c r="I2350" s="1" t="s">
        <v>16</v>
      </c>
      <c r="J2350" s="1">
        <v>1</v>
      </c>
      <c r="K2350" s="1">
        <v>12</v>
      </c>
      <c r="L2350" s="1" t="s">
        <v>31</v>
      </c>
      <c r="M2350" s="1" t="s">
        <v>18</v>
      </c>
      <c r="N2350" s="1" t="s">
        <v>18</v>
      </c>
      <c r="O2350" s="1">
        <v>3</v>
      </c>
      <c r="P2350" s="1">
        <v>6</v>
      </c>
      <c r="R2350" s="1" t="s">
        <v>62</v>
      </c>
      <c r="S2350" s="1" t="s">
        <v>20</v>
      </c>
      <c r="T2350" s="1" t="s">
        <v>21</v>
      </c>
      <c r="U2350" s="1" t="s">
        <v>22</v>
      </c>
      <c r="V2350" s="1" t="s">
        <v>24</v>
      </c>
      <c r="W2350" s="1" t="s">
        <v>24</v>
      </c>
      <c r="X2350" s="1">
        <v>2805</v>
      </c>
      <c r="Y2350" s="1">
        <v>3205</v>
      </c>
      <c r="Z2350" s="1">
        <v>3206</v>
      </c>
      <c r="AA2350" s="1" t="s">
        <v>24</v>
      </c>
      <c r="AB2350" s="1" t="s">
        <v>24</v>
      </c>
      <c r="AC2350" s="1" t="s">
        <v>24</v>
      </c>
      <c r="AD2350" s="1" t="s">
        <v>24</v>
      </c>
      <c r="AE2350" s="1" t="s">
        <v>24</v>
      </c>
      <c r="AF2350" s="22"/>
    </row>
    <row r="2351" spans="1:32" x14ac:dyDescent="0.2">
      <c r="A2351" s="1">
        <v>12785</v>
      </c>
      <c r="B2351" s="1" t="s">
        <v>7487</v>
      </c>
      <c r="C2351" s="5" t="s">
        <v>0</v>
      </c>
      <c r="D2351" s="1" t="s">
        <v>7488</v>
      </c>
      <c r="F2351" s="1" t="s">
        <v>7489</v>
      </c>
      <c r="G2351" s="1" t="s">
        <v>7489</v>
      </c>
      <c r="H2351" s="1" t="s">
        <v>30</v>
      </c>
      <c r="I2351" s="1" t="s">
        <v>16</v>
      </c>
      <c r="J2351" s="1">
        <v>1</v>
      </c>
      <c r="K2351" s="1">
        <v>4</v>
      </c>
      <c r="L2351" s="1" t="s">
        <v>42</v>
      </c>
      <c r="M2351" s="1" t="s">
        <v>18</v>
      </c>
      <c r="N2351" s="1" t="s">
        <v>18</v>
      </c>
      <c r="O2351" s="1">
        <v>3</v>
      </c>
      <c r="P2351" s="1">
        <v>6</v>
      </c>
      <c r="R2351" s="1" t="s">
        <v>19</v>
      </c>
      <c r="S2351" s="1" t="s">
        <v>20</v>
      </c>
      <c r="T2351" s="1" t="s">
        <v>21</v>
      </c>
      <c r="U2351" s="1" t="s">
        <v>22</v>
      </c>
      <c r="V2351" s="1" t="s">
        <v>23</v>
      </c>
      <c r="W2351" s="1" t="s">
        <v>24</v>
      </c>
      <c r="X2351" s="1">
        <v>2707</v>
      </c>
      <c r="Y2351" s="1" t="s">
        <v>24</v>
      </c>
      <c r="Z2351" s="1" t="s">
        <v>24</v>
      </c>
      <c r="AA2351" s="1" t="s">
        <v>24</v>
      </c>
      <c r="AB2351" s="1" t="s">
        <v>24</v>
      </c>
      <c r="AC2351" s="1" t="s">
        <v>24</v>
      </c>
      <c r="AD2351" s="1" t="s">
        <v>24</v>
      </c>
      <c r="AE2351" s="1" t="s">
        <v>24</v>
      </c>
      <c r="AF2351" s="22"/>
    </row>
    <row r="2352" spans="1:32" x14ac:dyDescent="0.2">
      <c r="A2352" s="1">
        <v>12789</v>
      </c>
      <c r="B2352" s="1" t="s">
        <v>7490</v>
      </c>
      <c r="C2352" s="5" t="s">
        <v>0</v>
      </c>
      <c r="D2352" s="1" t="s">
        <v>7491</v>
      </c>
      <c r="F2352" s="1" t="s">
        <v>1683</v>
      </c>
      <c r="G2352" s="1" t="s">
        <v>1683</v>
      </c>
      <c r="H2352" s="1" t="s">
        <v>116</v>
      </c>
      <c r="I2352" s="1" t="s">
        <v>16</v>
      </c>
      <c r="J2352" s="1">
        <v>1</v>
      </c>
      <c r="K2352" s="1">
        <v>6</v>
      </c>
      <c r="L2352" s="1" t="s">
        <v>42</v>
      </c>
      <c r="M2352" s="1" t="s">
        <v>117</v>
      </c>
      <c r="N2352" s="1" t="s">
        <v>118</v>
      </c>
      <c r="O2352" s="1">
        <v>3</v>
      </c>
      <c r="P2352" s="1">
        <v>5</v>
      </c>
      <c r="R2352" s="1" t="s">
        <v>19</v>
      </c>
      <c r="S2352" s="1" t="s">
        <v>20</v>
      </c>
      <c r="T2352" s="1" t="s">
        <v>21</v>
      </c>
      <c r="U2352" s="1" t="s">
        <v>22</v>
      </c>
      <c r="V2352" s="1" t="s">
        <v>24</v>
      </c>
      <c r="W2352" s="1" t="s">
        <v>24</v>
      </c>
      <c r="X2352" s="1">
        <v>2703</v>
      </c>
      <c r="Y2352" s="1" t="s">
        <v>24</v>
      </c>
      <c r="Z2352" s="1" t="s">
        <v>24</v>
      </c>
      <c r="AA2352" s="1" t="s">
        <v>24</v>
      </c>
      <c r="AB2352" s="1" t="s">
        <v>24</v>
      </c>
      <c r="AC2352" s="1" t="s">
        <v>24</v>
      </c>
      <c r="AD2352" s="1" t="s">
        <v>24</v>
      </c>
      <c r="AE2352" s="1" t="s">
        <v>24</v>
      </c>
      <c r="AF2352" s="22"/>
    </row>
    <row r="2353" spans="1:32" x14ac:dyDescent="0.2">
      <c r="A2353" s="1">
        <v>12790</v>
      </c>
      <c r="B2353" s="1" t="s">
        <v>7492</v>
      </c>
      <c r="C2353" s="5" t="s">
        <v>0</v>
      </c>
      <c r="D2353" s="1" t="s">
        <v>7493</v>
      </c>
      <c r="E2353" s="1" t="s">
        <v>7494</v>
      </c>
      <c r="F2353" s="1" t="s">
        <v>548</v>
      </c>
      <c r="G2353" s="1" t="s">
        <v>36</v>
      </c>
      <c r="H2353" s="1" t="s">
        <v>30</v>
      </c>
      <c r="I2353" s="1" t="s">
        <v>16</v>
      </c>
      <c r="J2353" s="1">
        <v>1</v>
      </c>
      <c r="K2353" s="1">
        <v>6</v>
      </c>
      <c r="L2353" s="1" t="s">
        <v>31</v>
      </c>
      <c r="M2353" s="1" t="s">
        <v>18</v>
      </c>
      <c r="N2353" s="1" t="s">
        <v>18</v>
      </c>
      <c r="O2353" s="1">
        <v>0</v>
      </c>
      <c r="P2353" s="1">
        <v>6</v>
      </c>
      <c r="R2353" s="1" t="s">
        <v>19</v>
      </c>
      <c r="S2353" s="1" t="s">
        <v>20</v>
      </c>
      <c r="T2353" s="1" t="s">
        <v>21</v>
      </c>
      <c r="U2353" s="1" t="s">
        <v>22</v>
      </c>
      <c r="V2353" s="1" t="s">
        <v>24</v>
      </c>
      <c r="W2353" s="1" t="s">
        <v>24</v>
      </c>
      <c r="X2353" s="1">
        <v>2708</v>
      </c>
      <c r="Y2353" s="1" t="s">
        <v>24</v>
      </c>
      <c r="Z2353" s="1" t="s">
        <v>24</v>
      </c>
      <c r="AA2353" s="1" t="s">
        <v>24</v>
      </c>
      <c r="AB2353" s="1" t="s">
        <v>24</v>
      </c>
      <c r="AC2353" s="1" t="s">
        <v>24</v>
      </c>
      <c r="AD2353" s="1" t="s">
        <v>24</v>
      </c>
      <c r="AE2353" s="1" t="s">
        <v>24</v>
      </c>
      <c r="AF2353" s="22"/>
    </row>
    <row r="2354" spans="1:32" x14ac:dyDescent="0.2">
      <c r="A2354" s="1">
        <v>12793</v>
      </c>
      <c r="B2354" s="1" t="s">
        <v>7495</v>
      </c>
      <c r="C2354" s="5" t="s">
        <v>0</v>
      </c>
      <c r="D2354" s="1" t="s">
        <v>7496</v>
      </c>
      <c r="E2354" s="1" t="s">
        <v>7497</v>
      </c>
      <c r="F2354" s="1" t="s">
        <v>291</v>
      </c>
      <c r="G2354" s="1" t="s">
        <v>292</v>
      </c>
      <c r="H2354" s="1" t="s">
        <v>37</v>
      </c>
      <c r="I2354" s="1" t="s">
        <v>16</v>
      </c>
      <c r="J2354" s="1">
        <v>1</v>
      </c>
      <c r="K2354" s="1">
        <v>4</v>
      </c>
      <c r="L2354" s="1" t="s">
        <v>31</v>
      </c>
      <c r="M2354" s="1" t="s">
        <v>18</v>
      </c>
      <c r="N2354" s="1" t="s">
        <v>18</v>
      </c>
      <c r="O2354" s="1">
        <v>3</v>
      </c>
      <c r="P2354" s="1">
        <v>7</v>
      </c>
      <c r="Q2354" s="7" t="s">
        <v>17633</v>
      </c>
      <c r="R2354" s="1" t="s">
        <v>62</v>
      </c>
      <c r="S2354" s="1" t="s">
        <v>20</v>
      </c>
      <c r="T2354" s="1" t="s">
        <v>21</v>
      </c>
      <c r="U2354" s="1" t="s">
        <v>22</v>
      </c>
      <c r="V2354" s="1" t="s">
        <v>23</v>
      </c>
      <c r="W2354" s="1" t="s">
        <v>24</v>
      </c>
      <c r="X2354" s="1">
        <v>2802</v>
      </c>
      <c r="Y2354" s="1">
        <v>2807</v>
      </c>
      <c r="Z2354" s="1">
        <v>1314</v>
      </c>
      <c r="AA2354" s="1">
        <v>2738</v>
      </c>
      <c r="AB2354" s="1">
        <v>3206</v>
      </c>
      <c r="AC2354" s="1" t="s">
        <v>24</v>
      </c>
      <c r="AD2354" s="1" t="s">
        <v>24</v>
      </c>
      <c r="AE2354" s="1" t="s">
        <v>24</v>
      </c>
      <c r="AF2354" s="22"/>
    </row>
    <row r="2355" spans="1:32" x14ac:dyDescent="0.2">
      <c r="A2355" s="1">
        <v>12798</v>
      </c>
      <c r="B2355" s="1" t="s">
        <v>7498</v>
      </c>
      <c r="C2355" s="5" t="s">
        <v>0</v>
      </c>
      <c r="D2355" s="1" t="s">
        <v>7499</v>
      </c>
      <c r="E2355" s="1" t="s">
        <v>7500</v>
      </c>
      <c r="F2355" s="1" t="s">
        <v>493</v>
      </c>
      <c r="G2355" s="1" t="s">
        <v>98</v>
      </c>
      <c r="H2355" s="1" t="s">
        <v>30</v>
      </c>
      <c r="I2355" s="1" t="s">
        <v>16</v>
      </c>
      <c r="J2355" s="1">
        <v>1</v>
      </c>
      <c r="K2355" s="1">
        <v>4</v>
      </c>
      <c r="L2355" s="1" t="s">
        <v>31</v>
      </c>
      <c r="M2355" s="1" t="s">
        <v>18</v>
      </c>
      <c r="N2355" s="1" t="s">
        <v>18</v>
      </c>
      <c r="O2355" s="1">
        <v>3</v>
      </c>
      <c r="P2355" s="1">
        <v>6</v>
      </c>
      <c r="R2355" s="1" t="s">
        <v>19</v>
      </c>
      <c r="S2355" s="1" t="s">
        <v>20</v>
      </c>
      <c r="T2355" s="1" t="s">
        <v>21</v>
      </c>
      <c r="U2355" s="1" t="s">
        <v>22</v>
      </c>
      <c r="V2355" s="1" t="s">
        <v>24</v>
      </c>
      <c r="W2355" s="1" t="s">
        <v>24</v>
      </c>
      <c r="X2355" s="1">
        <v>2705</v>
      </c>
      <c r="Y2355" s="1">
        <v>2746</v>
      </c>
      <c r="Z2355" s="1">
        <v>2740</v>
      </c>
      <c r="AA2355" s="1" t="s">
        <v>24</v>
      </c>
      <c r="AB2355" s="1" t="s">
        <v>24</v>
      </c>
      <c r="AC2355" s="1" t="s">
        <v>24</v>
      </c>
      <c r="AD2355" s="1" t="s">
        <v>24</v>
      </c>
      <c r="AE2355" s="1" t="s">
        <v>24</v>
      </c>
      <c r="AF2355" s="22"/>
    </row>
    <row r="2356" spans="1:32" x14ac:dyDescent="0.2">
      <c r="A2356" s="1">
        <v>12799</v>
      </c>
      <c r="B2356" s="1" t="s">
        <v>7501</v>
      </c>
      <c r="C2356" s="5" t="s">
        <v>0</v>
      </c>
      <c r="D2356" s="1" t="s">
        <v>7502</v>
      </c>
      <c r="E2356" s="1" t="s">
        <v>7503</v>
      </c>
      <c r="F2356" s="1" t="s">
        <v>948</v>
      </c>
      <c r="G2356" s="1" t="s">
        <v>948</v>
      </c>
      <c r="H2356" s="1" t="s">
        <v>86</v>
      </c>
      <c r="I2356" s="1" t="s">
        <v>16</v>
      </c>
      <c r="J2356" s="1">
        <v>1</v>
      </c>
      <c r="K2356" s="1">
        <v>6</v>
      </c>
      <c r="L2356" s="1" t="s">
        <v>42</v>
      </c>
      <c r="M2356" s="1" t="s">
        <v>87</v>
      </c>
      <c r="N2356" s="1" t="s">
        <v>199</v>
      </c>
      <c r="O2356" s="1">
        <v>3</v>
      </c>
      <c r="P2356" s="1">
        <v>5</v>
      </c>
      <c r="R2356" s="1" t="s">
        <v>19</v>
      </c>
      <c r="S2356" s="1" t="s">
        <v>20</v>
      </c>
      <c r="T2356" s="1" t="s">
        <v>21</v>
      </c>
      <c r="U2356" s="1" t="s">
        <v>22</v>
      </c>
      <c r="V2356" s="1" t="s">
        <v>24</v>
      </c>
      <c r="W2356" s="1" t="s">
        <v>24</v>
      </c>
      <c r="X2356" s="1">
        <v>2406</v>
      </c>
      <c r="Y2356" s="1">
        <v>2725</v>
      </c>
      <c r="Z2356" s="1" t="s">
        <v>24</v>
      </c>
      <c r="AA2356" s="1" t="s">
        <v>24</v>
      </c>
      <c r="AB2356" s="1" t="s">
        <v>24</v>
      </c>
      <c r="AC2356" s="1" t="s">
        <v>24</v>
      </c>
      <c r="AD2356" s="1" t="s">
        <v>24</v>
      </c>
      <c r="AE2356" s="1" t="s">
        <v>24</v>
      </c>
      <c r="AF2356" s="22"/>
    </row>
    <row r="2357" spans="1:32" x14ac:dyDescent="0.2">
      <c r="A2357" s="1">
        <v>12800</v>
      </c>
      <c r="B2357" s="1" t="s">
        <v>7504</v>
      </c>
      <c r="C2357" s="5" t="s">
        <v>0</v>
      </c>
      <c r="D2357" s="1" t="s">
        <v>7505</v>
      </c>
      <c r="E2357" s="1" t="s">
        <v>7506</v>
      </c>
      <c r="F2357" s="1" t="s">
        <v>831</v>
      </c>
      <c r="G2357" s="1" t="s">
        <v>61</v>
      </c>
      <c r="H2357" s="1" t="s">
        <v>37</v>
      </c>
      <c r="I2357" s="1" t="s">
        <v>16</v>
      </c>
      <c r="J2357" s="1">
        <v>1</v>
      </c>
      <c r="K2357" s="1">
        <v>4</v>
      </c>
      <c r="L2357" s="1" t="s">
        <v>31</v>
      </c>
      <c r="M2357" s="1" t="s">
        <v>18</v>
      </c>
      <c r="N2357" s="1" t="s">
        <v>18</v>
      </c>
      <c r="O2357" s="1">
        <v>3</v>
      </c>
      <c r="P2357" s="1">
        <v>6</v>
      </c>
      <c r="R2357" s="1" t="s">
        <v>19</v>
      </c>
      <c r="S2357" s="1" t="s">
        <v>20</v>
      </c>
      <c r="T2357" s="1" t="s">
        <v>21</v>
      </c>
      <c r="U2357" s="1" t="s">
        <v>22</v>
      </c>
      <c r="V2357" s="1" t="s">
        <v>23</v>
      </c>
      <c r="W2357" s="1" t="s">
        <v>24</v>
      </c>
      <c r="X2357" s="1">
        <v>2707</v>
      </c>
      <c r="Y2357" s="1">
        <v>2742</v>
      </c>
      <c r="Z2357" s="1">
        <v>3603</v>
      </c>
      <c r="AA2357" s="1">
        <v>3612</v>
      </c>
      <c r="AB2357" s="1" t="s">
        <v>24</v>
      </c>
      <c r="AC2357" s="1" t="s">
        <v>24</v>
      </c>
      <c r="AD2357" s="1" t="s">
        <v>24</v>
      </c>
      <c r="AE2357" s="1" t="s">
        <v>24</v>
      </c>
      <c r="AF2357" s="22"/>
    </row>
    <row r="2358" spans="1:32" x14ac:dyDescent="0.2">
      <c r="A2358" s="1">
        <v>12801</v>
      </c>
      <c r="B2358" s="1" t="s">
        <v>7507</v>
      </c>
      <c r="C2358" s="5" t="s">
        <v>0</v>
      </c>
      <c r="D2358" s="1" t="s">
        <v>7508</v>
      </c>
      <c r="E2358" s="1" t="s">
        <v>7509</v>
      </c>
      <c r="F2358" s="1" t="s">
        <v>6838</v>
      </c>
      <c r="G2358" s="1" t="s">
        <v>80</v>
      </c>
      <c r="H2358" s="1" t="s">
        <v>30</v>
      </c>
      <c r="I2358" s="1" t="s">
        <v>16</v>
      </c>
      <c r="J2358" s="1">
        <v>1</v>
      </c>
      <c r="K2358" s="1">
        <v>4</v>
      </c>
      <c r="L2358" s="1" t="s">
        <v>31</v>
      </c>
      <c r="M2358" s="1" t="s">
        <v>18</v>
      </c>
      <c r="N2358" s="1" t="s">
        <v>18</v>
      </c>
      <c r="O2358" s="1">
        <v>3</v>
      </c>
      <c r="P2358" s="1">
        <v>6</v>
      </c>
      <c r="R2358" s="1" t="s">
        <v>19</v>
      </c>
      <c r="S2358" s="1" t="s">
        <v>20</v>
      </c>
      <c r="T2358" s="1" t="s">
        <v>21</v>
      </c>
      <c r="U2358" s="1" t="s">
        <v>22</v>
      </c>
      <c r="V2358" s="1" t="s">
        <v>23</v>
      </c>
      <c r="W2358" s="1" t="s">
        <v>24</v>
      </c>
      <c r="X2358" s="1">
        <v>2728</v>
      </c>
      <c r="Y2358" s="1">
        <v>2742</v>
      </c>
      <c r="Z2358" s="1">
        <v>3612</v>
      </c>
      <c r="AA2358" s="1" t="s">
        <v>24</v>
      </c>
      <c r="AB2358" s="1" t="s">
        <v>24</v>
      </c>
      <c r="AC2358" s="1" t="s">
        <v>24</v>
      </c>
      <c r="AD2358" s="1" t="s">
        <v>24</v>
      </c>
      <c r="AE2358" s="1" t="s">
        <v>24</v>
      </c>
      <c r="AF2358" s="22"/>
    </row>
    <row r="2359" spans="1:32" x14ac:dyDescent="0.2">
      <c r="A2359" s="1">
        <v>12802</v>
      </c>
      <c r="B2359" s="1" t="s">
        <v>7510</v>
      </c>
      <c r="C2359" s="5" t="s">
        <v>0</v>
      </c>
      <c r="D2359" s="1" t="s">
        <v>7511</v>
      </c>
      <c r="E2359" s="1" t="s">
        <v>7512</v>
      </c>
      <c r="F2359" s="1" t="s">
        <v>155</v>
      </c>
      <c r="G2359" s="1" t="s">
        <v>61</v>
      </c>
      <c r="H2359" s="1" t="s">
        <v>37</v>
      </c>
      <c r="I2359" s="1" t="s">
        <v>16</v>
      </c>
      <c r="J2359" s="1">
        <v>1</v>
      </c>
      <c r="K2359" s="1">
        <v>6</v>
      </c>
      <c r="L2359" s="1" t="s">
        <v>31</v>
      </c>
      <c r="M2359" s="1" t="s">
        <v>18</v>
      </c>
      <c r="N2359" s="1" t="s">
        <v>18</v>
      </c>
      <c r="O2359" s="1">
        <v>3</v>
      </c>
      <c r="P2359" s="1">
        <v>6</v>
      </c>
      <c r="R2359" s="1" t="s">
        <v>62</v>
      </c>
      <c r="S2359" s="1" t="s">
        <v>63</v>
      </c>
      <c r="T2359" s="1" t="s">
        <v>21</v>
      </c>
      <c r="U2359" s="1" t="s">
        <v>22</v>
      </c>
      <c r="V2359" s="1" t="s">
        <v>24</v>
      </c>
      <c r="W2359" s="1" t="s">
        <v>24</v>
      </c>
      <c r="X2359" s="1">
        <v>1303</v>
      </c>
      <c r="Y2359" s="1">
        <v>1602</v>
      </c>
      <c r="Z2359" s="1" t="s">
        <v>24</v>
      </c>
      <c r="AA2359" s="1" t="s">
        <v>24</v>
      </c>
      <c r="AB2359" s="1" t="s">
        <v>24</v>
      </c>
      <c r="AC2359" s="1" t="s">
        <v>24</v>
      </c>
      <c r="AD2359" s="1" t="s">
        <v>24</v>
      </c>
      <c r="AE2359" s="1" t="s">
        <v>24</v>
      </c>
      <c r="AF2359" s="22"/>
    </row>
    <row r="2360" spans="1:32" x14ac:dyDescent="0.2">
      <c r="A2360" s="1">
        <v>12805</v>
      </c>
      <c r="B2360" s="1" t="s">
        <v>7513</v>
      </c>
      <c r="C2360" s="5" t="s">
        <v>0</v>
      </c>
      <c r="D2360" s="1" t="s">
        <v>7514</v>
      </c>
      <c r="E2360" s="1" t="s">
        <v>7515</v>
      </c>
      <c r="F2360" s="1" t="s">
        <v>548</v>
      </c>
      <c r="G2360" s="1" t="s">
        <v>36</v>
      </c>
      <c r="H2360" s="1" t="s">
        <v>30</v>
      </c>
      <c r="I2360" s="1" t="s">
        <v>16</v>
      </c>
      <c r="J2360" s="1">
        <v>1</v>
      </c>
      <c r="K2360" s="1">
        <v>4</v>
      </c>
      <c r="L2360" s="1" t="s">
        <v>31</v>
      </c>
      <c r="M2360" s="1" t="s">
        <v>18</v>
      </c>
      <c r="N2360" s="1" t="s">
        <v>18</v>
      </c>
      <c r="O2360" s="1">
        <v>3</v>
      </c>
      <c r="P2360" s="1">
        <v>7</v>
      </c>
      <c r="Q2360" s="7" t="s">
        <v>17633</v>
      </c>
      <c r="R2360" s="1" t="s">
        <v>19</v>
      </c>
      <c r="S2360" s="1" t="s">
        <v>20</v>
      </c>
      <c r="T2360" s="1" t="s">
        <v>21</v>
      </c>
      <c r="U2360" s="1" t="s">
        <v>22</v>
      </c>
      <c r="V2360" s="1" t="s">
        <v>23</v>
      </c>
      <c r="W2360" s="1" t="s">
        <v>24</v>
      </c>
      <c r="X2360" s="1">
        <v>2728</v>
      </c>
      <c r="Y2360" s="1">
        <v>2800</v>
      </c>
      <c r="Z2360" s="1" t="s">
        <v>24</v>
      </c>
      <c r="AA2360" s="1" t="s">
        <v>24</v>
      </c>
      <c r="AB2360" s="1" t="s">
        <v>24</v>
      </c>
      <c r="AC2360" s="1" t="s">
        <v>24</v>
      </c>
      <c r="AD2360" s="1" t="s">
        <v>24</v>
      </c>
      <c r="AE2360" s="1" t="s">
        <v>24</v>
      </c>
      <c r="AF2360" s="22"/>
    </row>
    <row r="2361" spans="1:32" x14ac:dyDescent="0.2">
      <c r="A2361" s="1">
        <v>12809</v>
      </c>
      <c r="B2361" s="1" t="s">
        <v>7516</v>
      </c>
      <c r="C2361" s="5" t="s">
        <v>0</v>
      </c>
      <c r="D2361" s="1" t="s">
        <v>7517</v>
      </c>
      <c r="F2361" s="1" t="s">
        <v>7518</v>
      </c>
      <c r="G2361" s="1" t="s">
        <v>7519</v>
      </c>
      <c r="H2361" s="1" t="s">
        <v>1384</v>
      </c>
      <c r="I2361" s="1" t="s">
        <v>16</v>
      </c>
      <c r="J2361" s="1">
        <v>1</v>
      </c>
      <c r="K2361" s="1">
        <v>4</v>
      </c>
      <c r="L2361" s="1" t="s">
        <v>42</v>
      </c>
      <c r="M2361" s="1" t="s">
        <v>3142</v>
      </c>
      <c r="N2361" s="1" t="s">
        <v>3142</v>
      </c>
      <c r="O2361" s="1">
        <v>2</v>
      </c>
      <c r="P2361" s="1">
        <v>5</v>
      </c>
      <c r="R2361" s="1" t="s">
        <v>19</v>
      </c>
      <c r="S2361" s="1" t="s">
        <v>20</v>
      </c>
      <c r="T2361" s="1" t="s">
        <v>21</v>
      </c>
      <c r="U2361" s="1" t="s">
        <v>22</v>
      </c>
      <c r="V2361" s="1" t="s">
        <v>24</v>
      </c>
      <c r="W2361" s="1" t="s">
        <v>24</v>
      </c>
      <c r="X2361" s="1">
        <v>3003</v>
      </c>
      <c r="Y2361" s="1" t="s">
        <v>24</v>
      </c>
      <c r="Z2361" s="1" t="s">
        <v>24</v>
      </c>
      <c r="AA2361" s="1" t="s">
        <v>24</v>
      </c>
      <c r="AB2361" s="1" t="s">
        <v>24</v>
      </c>
      <c r="AC2361" s="1" t="s">
        <v>24</v>
      </c>
      <c r="AD2361" s="1" t="s">
        <v>24</v>
      </c>
      <c r="AE2361" s="1" t="s">
        <v>24</v>
      </c>
      <c r="AF2361" s="22"/>
    </row>
    <row r="2362" spans="1:32" x14ac:dyDescent="0.2">
      <c r="A2362" s="1">
        <v>12810</v>
      </c>
      <c r="B2362" s="1" t="s">
        <v>7520</v>
      </c>
      <c r="C2362" s="5" t="s">
        <v>0</v>
      </c>
      <c r="D2362" s="1" t="s">
        <v>7521</v>
      </c>
      <c r="E2362" s="1" t="s">
        <v>7522</v>
      </c>
      <c r="F2362" s="1" t="s">
        <v>356</v>
      </c>
      <c r="G2362" s="1" t="s">
        <v>357</v>
      </c>
      <c r="H2362" s="1" t="s">
        <v>30</v>
      </c>
      <c r="I2362" s="1" t="s">
        <v>16</v>
      </c>
      <c r="J2362" s="1">
        <v>1</v>
      </c>
      <c r="K2362" s="1">
        <v>6</v>
      </c>
      <c r="L2362" s="1" t="s">
        <v>31</v>
      </c>
      <c r="M2362" s="1" t="s">
        <v>18</v>
      </c>
      <c r="N2362" s="1" t="s">
        <v>18</v>
      </c>
      <c r="O2362" s="1">
        <v>3</v>
      </c>
      <c r="P2362" s="1">
        <v>6</v>
      </c>
      <c r="R2362" s="1" t="s">
        <v>62</v>
      </c>
      <c r="S2362" s="1" t="s">
        <v>20</v>
      </c>
      <c r="T2362" s="1" t="s">
        <v>21</v>
      </c>
      <c r="U2362" s="1" t="s">
        <v>22</v>
      </c>
      <c r="V2362" s="1" t="s">
        <v>23</v>
      </c>
      <c r="W2362" s="1" t="s">
        <v>24</v>
      </c>
      <c r="X2362" s="1">
        <v>2738</v>
      </c>
      <c r="Y2362" s="1">
        <v>3202</v>
      </c>
      <c r="Z2362" s="1" t="s">
        <v>24</v>
      </c>
      <c r="AA2362" s="1" t="s">
        <v>24</v>
      </c>
      <c r="AB2362" s="1" t="s">
        <v>24</v>
      </c>
      <c r="AC2362" s="1" t="s">
        <v>24</v>
      </c>
      <c r="AD2362" s="1" t="s">
        <v>24</v>
      </c>
      <c r="AE2362" s="1" t="s">
        <v>24</v>
      </c>
      <c r="AF2362" s="22"/>
    </row>
    <row r="2363" spans="1:32" x14ac:dyDescent="0.2">
      <c r="A2363" s="1">
        <v>12811</v>
      </c>
      <c r="B2363" s="1" t="s">
        <v>7523</v>
      </c>
      <c r="C2363" s="5" t="s">
        <v>0</v>
      </c>
      <c r="D2363" s="1" t="s">
        <v>7524</v>
      </c>
      <c r="E2363" s="1" t="s">
        <v>7525</v>
      </c>
      <c r="F2363" s="1" t="s">
        <v>291</v>
      </c>
      <c r="G2363" s="1" t="s">
        <v>292</v>
      </c>
      <c r="H2363" s="1" t="s">
        <v>37</v>
      </c>
      <c r="I2363" s="1" t="s">
        <v>16</v>
      </c>
      <c r="J2363" s="1">
        <v>1</v>
      </c>
      <c r="K2363" s="1">
        <v>4</v>
      </c>
      <c r="L2363" s="1" t="s">
        <v>31</v>
      </c>
      <c r="M2363" s="1" t="s">
        <v>18</v>
      </c>
      <c r="N2363" s="1" t="s">
        <v>18</v>
      </c>
      <c r="O2363" s="1">
        <v>3</v>
      </c>
      <c r="P2363" s="1">
        <v>7</v>
      </c>
      <c r="Q2363" s="7" t="s">
        <v>17633</v>
      </c>
      <c r="R2363" s="1" t="s">
        <v>19</v>
      </c>
      <c r="S2363" s="1" t="s">
        <v>20</v>
      </c>
      <c r="T2363" s="1" t="s">
        <v>21</v>
      </c>
      <c r="U2363" s="1" t="s">
        <v>22</v>
      </c>
      <c r="V2363" s="1" t="s">
        <v>23</v>
      </c>
      <c r="W2363" s="1" t="s">
        <v>24</v>
      </c>
      <c r="X2363" s="1">
        <v>2738</v>
      </c>
      <c r="Y2363" s="1" t="s">
        <v>24</v>
      </c>
      <c r="Z2363" s="1" t="s">
        <v>24</v>
      </c>
      <c r="AA2363" s="1" t="s">
        <v>24</v>
      </c>
      <c r="AB2363" s="1" t="s">
        <v>24</v>
      </c>
      <c r="AC2363" s="1" t="s">
        <v>24</v>
      </c>
      <c r="AD2363" s="1" t="s">
        <v>24</v>
      </c>
      <c r="AE2363" s="1" t="s">
        <v>24</v>
      </c>
      <c r="AF2363" s="22"/>
    </row>
    <row r="2364" spans="1:32" x14ac:dyDescent="0.2">
      <c r="A2364" s="1">
        <v>12814</v>
      </c>
      <c r="B2364" s="1" t="s">
        <v>7526</v>
      </c>
      <c r="C2364" s="5" t="s">
        <v>0</v>
      </c>
      <c r="D2364" s="1" t="s">
        <v>7527</v>
      </c>
      <c r="E2364" s="1" t="s">
        <v>7528</v>
      </c>
      <c r="F2364" s="1" t="s">
        <v>1808</v>
      </c>
      <c r="G2364" s="1" t="s">
        <v>130</v>
      </c>
      <c r="H2364" s="1" t="s">
        <v>461</v>
      </c>
      <c r="I2364" s="1" t="s">
        <v>16</v>
      </c>
      <c r="J2364" s="1">
        <v>1</v>
      </c>
      <c r="K2364" s="1">
        <v>6</v>
      </c>
      <c r="L2364" s="1" t="s">
        <v>31</v>
      </c>
      <c r="M2364" s="1" t="s">
        <v>18</v>
      </c>
      <c r="N2364" s="1" t="s">
        <v>18</v>
      </c>
      <c r="O2364" s="1">
        <v>3</v>
      </c>
      <c r="P2364" s="1">
        <v>7</v>
      </c>
      <c r="Q2364" s="7" t="s">
        <v>17633</v>
      </c>
      <c r="R2364" s="1" t="s">
        <v>19</v>
      </c>
      <c r="S2364" s="1" t="s">
        <v>20</v>
      </c>
      <c r="T2364" s="1" t="s">
        <v>21</v>
      </c>
      <c r="U2364" s="1" t="s">
        <v>22</v>
      </c>
      <c r="V2364" s="1" t="s">
        <v>24</v>
      </c>
      <c r="W2364" s="1" t="s">
        <v>24</v>
      </c>
      <c r="X2364" s="1">
        <v>2730</v>
      </c>
      <c r="Y2364" s="1">
        <v>2746</v>
      </c>
      <c r="Z2364" s="1">
        <v>2720</v>
      </c>
      <c r="AA2364" s="1" t="s">
        <v>24</v>
      </c>
      <c r="AB2364" s="1" t="s">
        <v>24</v>
      </c>
      <c r="AC2364" s="1" t="s">
        <v>24</v>
      </c>
      <c r="AD2364" s="1" t="s">
        <v>24</v>
      </c>
      <c r="AE2364" s="1" t="s">
        <v>24</v>
      </c>
      <c r="AF2364" s="22"/>
    </row>
    <row r="2365" spans="1:32" x14ac:dyDescent="0.2">
      <c r="A2365" s="1">
        <v>12817</v>
      </c>
      <c r="B2365" s="1" t="s">
        <v>7529</v>
      </c>
      <c r="C2365" s="5" t="s">
        <v>0</v>
      </c>
      <c r="D2365" s="1" t="s">
        <v>7530</v>
      </c>
      <c r="E2365" s="1" t="s">
        <v>7531</v>
      </c>
      <c r="F2365" s="1" t="s">
        <v>555</v>
      </c>
      <c r="G2365" s="1" t="s">
        <v>36</v>
      </c>
      <c r="H2365" s="1" t="s">
        <v>37</v>
      </c>
      <c r="I2365" s="1" t="s">
        <v>16</v>
      </c>
      <c r="J2365" s="1">
        <v>1</v>
      </c>
      <c r="K2365" s="1">
        <v>6</v>
      </c>
      <c r="L2365" s="1" t="s">
        <v>31</v>
      </c>
      <c r="M2365" s="1" t="s">
        <v>18</v>
      </c>
      <c r="N2365" s="1" t="s">
        <v>18</v>
      </c>
      <c r="O2365" s="1">
        <v>3</v>
      </c>
      <c r="P2365" s="1">
        <v>7</v>
      </c>
      <c r="Q2365" s="7" t="s">
        <v>17633</v>
      </c>
      <c r="R2365" s="1" t="s">
        <v>19</v>
      </c>
      <c r="S2365" s="1" t="s">
        <v>20</v>
      </c>
      <c r="T2365" s="1" t="s">
        <v>21</v>
      </c>
      <c r="U2365" s="1" t="s">
        <v>22</v>
      </c>
      <c r="V2365" s="1" t="s">
        <v>23</v>
      </c>
      <c r="W2365" s="1" t="s">
        <v>24</v>
      </c>
      <c r="X2365" s="1">
        <v>2703</v>
      </c>
      <c r="Y2365" s="1" t="s">
        <v>24</v>
      </c>
      <c r="Z2365" s="1" t="s">
        <v>24</v>
      </c>
      <c r="AA2365" s="1" t="s">
        <v>24</v>
      </c>
      <c r="AB2365" s="1" t="s">
        <v>24</v>
      </c>
      <c r="AC2365" s="1" t="s">
        <v>24</v>
      </c>
      <c r="AD2365" s="1" t="s">
        <v>24</v>
      </c>
      <c r="AE2365" s="1" t="s">
        <v>24</v>
      </c>
      <c r="AF2365" s="22"/>
    </row>
    <row r="2366" spans="1:32" x14ac:dyDescent="0.2">
      <c r="A2366" s="1">
        <v>12820</v>
      </c>
      <c r="B2366" s="1" t="s">
        <v>7532</v>
      </c>
      <c r="C2366" s="5" t="s">
        <v>0</v>
      </c>
      <c r="D2366" s="1" t="s">
        <v>7533</v>
      </c>
      <c r="F2366" s="1" t="s">
        <v>7534</v>
      </c>
      <c r="G2366" s="1" t="s">
        <v>7534</v>
      </c>
      <c r="H2366" s="1" t="s">
        <v>81</v>
      </c>
      <c r="I2366" s="1" t="s">
        <v>16</v>
      </c>
      <c r="J2366" s="1">
        <v>0</v>
      </c>
      <c r="K2366" s="1">
        <v>0</v>
      </c>
      <c r="L2366" s="1" t="s">
        <v>42</v>
      </c>
      <c r="M2366" s="1" t="s">
        <v>18</v>
      </c>
      <c r="N2366" s="1" t="s">
        <v>18</v>
      </c>
      <c r="O2366" s="1">
        <v>3</v>
      </c>
      <c r="P2366" s="1">
        <v>6</v>
      </c>
      <c r="R2366" s="1" t="s">
        <v>19</v>
      </c>
      <c r="S2366" s="1" t="s">
        <v>20</v>
      </c>
      <c r="T2366" s="1" t="s">
        <v>21</v>
      </c>
      <c r="U2366" s="1" t="s">
        <v>22</v>
      </c>
      <c r="V2366" s="1" t="s">
        <v>24</v>
      </c>
      <c r="W2366" s="1" t="s">
        <v>24</v>
      </c>
      <c r="X2366" s="1">
        <v>2729</v>
      </c>
      <c r="Y2366" s="1">
        <v>2730</v>
      </c>
      <c r="Z2366" s="1" t="s">
        <v>24</v>
      </c>
      <c r="AA2366" s="1" t="s">
        <v>24</v>
      </c>
      <c r="AB2366" s="1" t="s">
        <v>24</v>
      </c>
      <c r="AC2366" s="1" t="s">
        <v>24</v>
      </c>
      <c r="AD2366" s="1" t="s">
        <v>24</v>
      </c>
      <c r="AE2366" s="1" t="s">
        <v>24</v>
      </c>
      <c r="AF2366" s="22"/>
    </row>
    <row r="2367" spans="1:32" x14ac:dyDescent="0.2">
      <c r="A2367" s="1">
        <v>12828</v>
      </c>
      <c r="B2367" s="1" t="s">
        <v>7535</v>
      </c>
      <c r="C2367" s="5" t="s">
        <v>0</v>
      </c>
      <c r="D2367" s="1" t="s">
        <v>7536</v>
      </c>
      <c r="E2367" s="1" t="s">
        <v>7537</v>
      </c>
      <c r="F2367" s="1" t="s">
        <v>7538</v>
      </c>
      <c r="G2367" s="1" t="s">
        <v>130</v>
      </c>
      <c r="H2367" s="1" t="s">
        <v>30</v>
      </c>
      <c r="I2367" s="1" t="s">
        <v>16</v>
      </c>
      <c r="J2367" s="1">
        <v>1</v>
      </c>
      <c r="K2367" s="1">
        <v>9</v>
      </c>
      <c r="L2367" s="1" t="s">
        <v>31</v>
      </c>
      <c r="M2367" s="1" t="s">
        <v>18</v>
      </c>
      <c r="N2367" s="1" t="s">
        <v>18</v>
      </c>
      <c r="O2367" s="1">
        <v>3</v>
      </c>
      <c r="P2367" s="1">
        <v>6</v>
      </c>
      <c r="R2367" s="1" t="s">
        <v>19</v>
      </c>
      <c r="S2367" s="1" t="s">
        <v>20</v>
      </c>
      <c r="T2367" s="1" t="s">
        <v>21</v>
      </c>
      <c r="U2367" s="1" t="s">
        <v>22</v>
      </c>
      <c r="V2367" s="1" t="s">
        <v>24</v>
      </c>
      <c r="W2367" s="1" t="s">
        <v>64</v>
      </c>
      <c r="X2367" s="1">
        <v>3000</v>
      </c>
      <c r="Y2367" s="1">
        <v>1605</v>
      </c>
      <c r="Z2367" s="1" t="s">
        <v>24</v>
      </c>
      <c r="AA2367" s="1" t="s">
        <v>24</v>
      </c>
      <c r="AB2367" s="1" t="s">
        <v>24</v>
      </c>
      <c r="AC2367" s="1" t="s">
        <v>24</v>
      </c>
      <c r="AD2367" s="1" t="s">
        <v>24</v>
      </c>
      <c r="AE2367" s="1" t="s">
        <v>24</v>
      </c>
      <c r="AF2367" s="22"/>
    </row>
    <row r="2368" spans="1:32" x14ac:dyDescent="0.2">
      <c r="A2368" s="1">
        <v>12829</v>
      </c>
      <c r="B2368" s="1" t="s">
        <v>7539</v>
      </c>
      <c r="C2368" s="5" t="s">
        <v>0</v>
      </c>
      <c r="D2368" s="1" t="s">
        <v>7540</v>
      </c>
      <c r="E2368" s="1" t="s">
        <v>7541</v>
      </c>
      <c r="F2368" s="1" t="s">
        <v>7542</v>
      </c>
      <c r="G2368" s="1" t="s">
        <v>7542</v>
      </c>
      <c r="H2368" s="1" t="s">
        <v>684</v>
      </c>
      <c r="I2368" s="1" t="s">
        <v>16</v>
      </c>
      <c r="J2368" s="1">
        <v>1</v>
      </c>
      <c r="K2368" s="1">
        <v>2</v>
      </c>
      <c r="L2368" s="1" t="s">
        <v>42</v>
      </c>
      <c r="M2368" s="1" t="s">
        <v>18</v>
      </c>
      <c r="N2368" s="1" t="s">
        <v>18</v>
      </c>
      <c r="O2368" s="1">
        <v>3</v>
      </c>
      <c r="P2368" s="1">
        <v>6</v>
      </c>
      <c r="R2368" s="1" t="s">
        <v>19</v>
      </c>
      <c r="S2368" s="1" t="s">
        <v>20</v>
      </c>
      <c r="T2368" s="1" t="s">
        <v>21</v>
      </c>
      <c r="U2368" s="1" t="s">
        <v>22</v>
      </c>
      <c r="V2368" s="1" t="s">
        <v>24</v>
      </c>
      <c r="W2368" s="1" t="s">
        <v>24</v>
      </c>
      <c r="X2368" s="1">
        <v>2720</v>
      </c>
      <c r="Y2368" s="1">
        <v>2730</v>
      </c>
      <c r="Z2368" s="1">
        <v>1306</v>
      </c>
      <c r="AA2368" s="1" t="s">
        <v>24</v>
      </c>
      <c r="AB2368" s="1" t="s">
        <v>24</v>
      </c>
      <c r="AC2368" s="1" t="s">
        <v>24</v>
      </c>
      <c r="AD2368" s="1" t="s">
        <v>24</v>
      </c>
      <c r="AE2368" s="1" t="s">
        <v>24</v>
      </c>
      <c r="AF2368" s="22"/>
    </row>
    <row r="2369" spans="1:32" x14ac:dyDescent="0.2">
      <c r="A2369" s="1">
        <v>12830</v>
      </c>
      <c r="B2369" s="1" t="s">
        <v>7543</v>
      </c>
      <c r="C2369" s="5" t="s">
        <v>0</v>
      </c>
      <c r="D2369" s="1" t="s">
        <v>7544</v>
      </c>
      <c r="F2369" s="1" t="s">
        <v>920</v>
      </c>
      <c r="G2369" s="1" t="s">
        <v>921</v>
      </c>
      <c r="H2369" s="1" t="s">
        <v>92</v>
      </c>
      <c r="I2369" s="1" t="s">
        <v>16</v>
      </c>
      <c r="J2369" s="1">
        <v>1</v>
      </c>
      <c r="K2369" s="1">
        <v>6</v>
      </c>
      <c r="L2369" s="1" t="s">
        <v>31</v>
      </c>
      <c r="M2369" s="1" t="s">
        <v>18</v>
      </c>
      <c r="N2369" s="1" t="s">
        <v>18</v>
      </c>
      <c r="O2369" s="1">
        <v>3</v>
      </c>
      <c r="P2369" s="1">
        <v>7</v>
      </c>
      <c r="Q2369" s="7" t="s">
        <v>17633</v>
      </c>
      <c r="R2369" s="1" t="s">
        <v>19</v>
      </c>
      <c r="S2369" s="1" t="s">
        <v>20</v>
      </c>
      <c r="T2369" s="1" t="s">
        <v>21</v>
      </c>
      <c r="U2369" s="1" t="s">
        <v>22</v>
      </c>
      <c r="V2369" s="1" t="s">
        <v>23</v>
      </c>
      <c r="W2369" s="1" t="s">
        <v>24</v>
      </c>
      <c r="X2369" s="1">
        <v>2204</v>
      </c>
      <c r="Y2369" s="1">
        <v>2502</v>
      </c>
      <c r="Z2369" s="1" t="s">
        <v>24</v>
      </c>
      <c r="AA2369" s="1" t="s">
        <v>24</v>
      </c>
      <c r="AB2369" s="1" t="s">
        <v>24</v>
      </c>
      <c r="AC2369" s="1" t="s">
        <v>24</v>
      </c>
      <c r="AD2369" s="1" t="s">
        <v>24</v>
      </c>
      <c r="AE2369" s="1" t="s">
        <v>24</v>
      </c>
      <c r="AF2369" s="22" t="s">
        <v>17679</v>
      </c>
    </row>
    <row r="2370" spans="1:32" x14ac:dyDescent="0.2">
      <c r="A2370" s="1">
        <v>12831</v>
      </c>
      <c r="B2370" s="1" t="s">
        <v>7545</v>
      </c>
      <c r="C2370" s="5" t="s">
        <v>0</v>
      </c>
      <c r="D2370" s="1" t="s">
        <v>7546</v>
      </c>
      <c r="E2370" s="1" t="s">
        <v>7547</v>
      </c>
      <c r="F2370" s="1" t="s">
        <v>217</v>
      </c>
      <c r="G2370" s="1" t="s">
        <v>130</v>
      </c>
      <c r="H2370" s="1" t="s">
        <v>92</v>
      </c>
      <c r="I2370" s="1" t="s">
        <v>16</v>
      </c>
      <c r="J2370" s="1">
        <v>1</v>
      </c>
      <c r="K2370" s="1">
        <v>4</v>
      </c>
      <c r="L2370" s="1" t="s">
        <v>31</v>
      </c>
      <c r="M2370" s="1" t="s">
        <v>18</v>
      </c>
      <c r="N2370" s="1" t="s">
        <v>18</v>
      </c>
      <c r="O2370" s="1">
        <v>3</v>
      </c>
      <c r="P2370" s="1">
        <v>7</v>
      </c>
      <c r="Q2370" s="7" t="s">
        <v>17633</v>
      </c>
      <c r="R2370" s="1" t="s">
        <v>19</v>
      </c>
      <c r="S2370" s="1" t="s">
        <v>20</v>
      </c>
      <c r="T2370" s="1" t="s">
        <v>21</v>
      </c>
      <c r="U2370" s="1" t="s">
        <v>22</v>
      </c>
      <c r="V2370" s="1" t="s">
        <v>24</v>
      </c>
      <c r="W2370" s="1" t="s">
        <v>24</v>
      </c>
      <c r="X2370" s="1">
        <v>1306</v>
      </c>
      <c r="Y2370" s="1">
        <v>1314</v>
      </c>
      <c r="Z2370" s="1">
        <v>1308</v>
      </c>
      <c r="AA2370" s="1" t="s">
        <v>24</v>
      </c>
      <c r="AB2370" s="1" t="s">
        <v>24</v>
      </c>
      <c r="AC2370" s="1" t="s">
        <v>24</v>
      </c>
      <c r="AD2370" s="1" t="s">
        <v>24</v>
      </c>
      <c r="AE2370" s="1" t="s">
        <v>24</v>
      </c>
      <c r="AF2370" s="22"/>
    </row>
    <row r="2371" spans="1:32" x14ac:dyDescent="0.2">
      <c r="A2371" s="1">
        <v>12834</v>
      </c>
      <c r="B2371" s="1" t="s">
        <v>7548</v>
      </c>
      <c r="C2371" s="5" t="s">
        <v>0</v>
      </c>
      <c r="D2371" s="1" t="s">
        <v>7549</v>
      </c>
      <c r="E2371" s="1" t="s">
        <v>7550</v>
      </c>
      <c r="F2371" s="1" t="s">
        <v>303</v>
      </c>
      <c r="G2371" s="1" t="s">
        <v>61</v>
      </c>
      <c r="H2371" s="1" t="s">
        <v>30</v>
      </c>
      <c r="I2371" s="1" t="s">
        <v>16</v>
      </c>
      <c r="J2371" s="1">
        <v>1</v>
      </c>
      <c r="K2371" s="1">
        <v>4</v>
      </c>
      <c r="L2371" s="1" t="s">
        <v>31</v>
      </c>
      <c r="M2371" s="1" t="s">
        <v>18</v>
      </c>
      <c r="N2371" s="1" t="s">
        <v>18</v>
      </c>
      <c r="O2371" s="1">
        <v>3</v>
      </c>
      <c r="P2371" s="1">
        <v>6</v>
      </c>
      <c r="R2371" s="1" t="s">
        <v>19</v>
      </c>
      <c r="S2371" s="1" t="s">
        <v>20</v>
      </c>
      <c r="T2371" s="1" t="s">
        <v>21</v>
      </c>
      <c r="U2371" s="1" t="s">
        <v>22</v>
      </c>
      <c r="V2371" s="1" t="s">
        <v>23</v>
      </c>
      <c r="W2371" s="1" t="s">
        <v>24</v>
      </c>
      <c r="X2371" s="1">
        <v>2703</v>
      </c>
      <c r="Y2371" s="1" t="s">
        <v>24</v>
      </c>
      <c r="Z2371" s="1" t="s">
        <v>24</v>
      </c>
      <c r="AA2371" s="1" t="s">
        <v>24</v>
      </c>
      <c r="AB2371" s="1" t="s">
        <v>24</v>
      </c>
      <c r="AC2371" s="1" t="s">
        <v>24</v>
      </c>
      <c r="AD2371" s="1" t="s">
        <v>24</v>
      </c>
      <c r="AE2371" s="1" t="s">
        <v>24</v>
      </c>
      <c r="AF2371" s="22"/>
    </row>
    <row r="2372" spans="1:32" x14ac:dyDescent="0.2">
      <c r="A2372" s="1">
        <v>12835</v>
      </c>
      <c r="B2372" s="1" t="s">
        <v>7551</v>
      </c>
      <c r="C2372" s="5" t="s">
        <v>0</v>
      </c>
      <c r="D2372" s="1" t="s">
        <v>7552</v>
      </c>
      <c r="E2372" s="1" t="s">
        <v>7553</v>
      </c>
      <c r="F2372" s="1" t="s">
        <v>493</v>
      </c>
      <c r="G2372" s="1" t="s">
        <v>98</v>
      </c>
      <c r="H2372" s="1" t="s">
        <v>30</v>
      </c>
      <c r="I2372" s="1" t="s">
        <v>16</v>
      </c>
      <c r="J2372" s="1">
        <v>1</v>
      </c>
      <c r="K2372" s="1">
        <v>4</v>
      </c>
      <c r="L2372" s="1" t="s">
        <v>31</v>
      </c>
      <c r="M2372" s="1" t="s">
        <v>18</v>
      </c>
      <c r="N2372" s="1" t="s">
        <v>18</v>
      </c>
      <c r="O2372" s="1">
        <v>3</v>
      </c>
      <c r="P2372" s="1">
        <v>6</v>
      </c>
      <c r="R2372" s="1" t="s">
        <v>19</v>
      </c>
      <c r="S2372" s="1" t="s">
        <v>20</v>
      </c>
      <c r="T2372" s="1" t="s">
        <v>21</v>
      </c>
      <c r="U2372" s="1" t="s">
        <v>22</v>
      </c>
      <c r="V2372" s="1" t="s">
        <v>23</v>
      </c>
      <c r="W2372" s="1" t="s">
        <v>24</v>
      </c>
      <c r="X2372" s="1">
        <v>2703</v>
      </c>
      <c r="Y2372" s="1">
        <v>2705</v>
      </c>
      <c r="Z2372" s="1" t="s">
        <v>24</v>
      </c>
      <c r="AA2372" s="1" t="s">
        <v>24</v>
      </c>
      <c r="AB2372" s="1" t="s">
        <v>24</v>
      </c>
      <c r="AC2372" s="1" t="s">
        <v>24</v>
      </c>
      <c r="AD2372" s="1" t="s">
        <v>24</v>
      </c>
      <c r="AE2372" s="1" t="s">
        <v>24</v>
      </c>
      <c r="AF2372" s="22"/>
    </row>
    <row r="2373" spans="1:32" x14ac:dyDescent="0.2">
      <c r="A2373" s="1">
        <v>12836</v>
      </c>
      <c r="B2373" s="1" t="s">
        <v>7554</v>
      </c>
      <c r="C2373" s="5" t="s">
        <v>0</v>
      </c>
      <c r="D2373" s="1" t="s">
        <v>7555</v>
      </c>
      <c r="E2373" s="1" t="s">
        <v>7556</v>
      </c>
      <c r="F2373" s="1" t="s">
        <v>493</v>
      </c>
      <c r="G2373" s="1" t="s">
        <v>98</v>
      </c>
      <c r="H2373" s="1" t="s">
        <v>30</v>
      </c>
      <c r="I2373" s="1" t="s">
        <v>16</v>
      </c>
      <c r="J2373" s="1">
        <v>1</v>
      </c>
      <c r="K2373" s="1">
        <v>4</v>
      </c>
      <c r="L2373" s="1" t="s">
        <v>31</v>
      </c>
      <c r="M2373" s="1" t="s">
        <v>18</v>
      </c>
      <c r="N2373" s="1" t="s">
        <v>18</v>
      </c>
      <c r="O2373" s="1">
        <v>3</v>
      </c>
      <c r="P2373" s="1">
        <v>6</v>
      </c>
      <c r="R2373" s="1" t="s">
        <v>19</v>
      </c>
      <c r="S2373" s="1" t="s">
        <v>20</v>
      </c>
      <c r="T2373" s="1" t="s">
        <v>21</v>
      </c>
      <c r="U2373" s="1" t="s">
        <v>22</v>
      </c>
      <c r="V2373" s="1" t="s">
        <v>23</v>
      </c>
      <c r="W2373" s="1" t="s">
        <v>24</v>
      </c>
      <c r="X2373" s="1">
        <v>2719</v>
      </c>
      <c r="Y2373" s="1" t="s">
        <v>24</v>
      </c>
      <c r="Z2373" s="1" t="s">
        <v>24</v>
      </c>
      <c r="AA2373" s="1" t="s">
        <v>24</v>
      </c>
      <c r="AB2373" s="1" t="s">
        <v>24</v>
      </c>
      <c r="AC2373" s="1" t="s">
        <v>24</v>
      </c>
      <c r="AD2373" s="1" t="s">
        <v>24</v>
      </c>
      <c r="AE2373" s="1" t="s">
        <v>24</v>
      </c>
      <c r="AF2373" s="22"/>
    </row>
    <row r="2374" spans="1:32" x14ac:dyDescent="0.2">
      <c r="A2374" s="1">
        <v>12837</v>
      </c>
      <c r="B2374" s="1" t="s">
        <v>7557</v>
      </c>
      <c r="C2374" s="5" t="s">
        <v>0</v>
      </c>
      <c r="D2374" s="1" t="s">
        <v>7558</v>
      </c>
      <c r="E2374" s="1" t="s">
        <v>7559</v>
      </c>
      <c r="F2374" s="1" t="s">
        <v>35</v>
      </c>
      <c r="G2374" s="1" t="s">
        <v>36</v>
      </c>
      <c r="H2374" s="1" t="s">
        <v>37</v>
      </c>
      <c r="I2374" s="1" t="s">
        <v>16</v>
      </c>
      <c r="J2374" s="1">
        <v>1</v>
      </c>
      <c r="K2374" s="1">
        <v>4</v>
      </c>
      <c r="L2374" s="1" t="s">
        <v>31</v>
      </c>
      <c r="M2374" s="1" t="s">
        <v>18</v>
      </c>
      <c r="N2374" s="1" t="s">
        <v>18</v>
      </c>
      <c r="O2374" s="1">
        <v>3</v>
      </c>
      <c r="P2374" s="1">
        <v>7</v>
      </c>
      <c r="Q2374" s="7" t="s">
        <v>17633</v>
      </c>
      <c r="R2374" s="1" t="s">
        <v>19</v>
      </c>
      <c r="S2374" s="1" t="s">
        <v>20</v>
      </c>
      <c r="T2374" s="1" t="s">
        <v>21</v>
      </c>
      <c r="U2374" s="1" t="s">
        <v>22</v>
      </c>
      <c r="V2374" s="1" t="s">
        <v>24</v>
      </c>
      <c r="W2374" s="1" t="s">
        <v>24</v>
      </c>
      <c r="X2374" s="1">
        <v>2739</v>
      </c>
      <c r="Y2374" s="1">
        <v>2719</v>
      </c>
      <c r="Z2374" s="1" t="s">
        <v>24</v>
      </c>
      <c r="AA2374" s="1" t="s">
        <v>24</v>
      </c>
      <c r="AB2374" s="1" t="s">
        <v>24</v>
      </c>
      <c r="AC2374" s="1" t="s">
        <v>24</v>
      </c>
      <c r="AD2374" s="1" t="s">
        <v>24</v>
      </c>
      <c r="AE2374" s="1" t="s">
        <v>24</v>
      </c>
      <c r="AF2374" s="22"/>
    </row>
    <row r="2375" spans="1:32" x14ac:dyDescent="0.2">
      <c r="A2375" s="1">
        <v>12845</v>
      </c>
      <c r="B2375" s="1" t="s">
        <v>7560</v>
      </c>
      <c r="C2375" s="5" t="s">
        <v>0</v>
      </c>
      <c r="D2375" s="1" t="s">
        <v>7561</v>
      </c>
      <c r="E2375" s="1" t="s">
        <v>7562</v>
      </c>
      <c r="F2375" s="1" t="s">
        <v>912</v>
      </c>
      <c r="G2375" s="1" t="s">
        <v>130</v>
      </c>
      <c r="H2375" s="1" t="s">
        <v>168</v>
      </c>
      <c r="I2375" s="1" t="s">
        <v>16</v>
      </c>
      <c r="J2375" s="1">
        <v>1</v>
      </c>
      <c r="K2375" s="1">
        <v>4</v>
      </c>
      <c r="L2375" s="1" t="s">
        <v>31</v>
      </c>
      <c r="M2375" s="1" t="s">
        <v>413</v>
      </c>
      <c r="N2375" s="1" t="s">
        <v>679</v>
      </c>
      <c r="O2375" s="1">
        <v>3</v>
      </c>
      <c r="P2375" s="1">
        <v>5</v>
      </c>
      <c r="R2375" s="1" t="s">
        <v>19</v>
      </c>
      <c r="S2375" s="1" t="s">
        <v>20</v>
      </c>
      <c r="T2375" s="1" t="s">
        <v>21</v>
      </c>
      <c r="U2375" s="1" t="s">
        <v>22</v>
      </c>
      <c r="V2375" s="1" t="s">
        <v>23</v>
      </c>
      <c r="W2375" s="1" t="s">
        <v>24</v>
      </c>
      <c r="X2375" s="1">
        <v>2705</v>
      </c>
      <c r="Y2375" s="1">
        <v>2737</v>
      </c>
      <c r="Z2375" s="1" t="s">
        <v>24</v>
      </c>
      <c r="AA2375" s="1" t="s">
        <v>24</v>
      </c>
      <c r="AB2375" s="1" t="s">
        <v>24</v>
      </c>
      <c r="AC2375" s="1" t="s">
        <v>24</v>
      </c>
      <c r="AD2375" s="1" t="s">
        <v>24</v>
      </c>
      <c r="AE2375" s="1" t="s">
        <v>24</v>
      </c>
      <c r="AF2375" s="22"/>
    </row>
    <row r="2376" spans="1:32" x14ac:dyDescent="0.2">
      <c r="A2376" s="1">
        <v>12854</v>
      </c>
      <c r="B2376" s="1" t="s">
        <v>7563</v>
      </c>
      <c r="C2376" s="5" t="s">
        <v>0</v>
      </c>
      <c r="D2376" s="1" t="s">
        <v>7564</v>
      </c>
      <c r="F2376" s="1" t="s">
        <v>7565</v>
      </c>
      <c r="G2376" s="1" t="s">
        <v>7565</v>
      </c>
      <c r="H2376" s="1" t="s">
        <v>1384</v>
      </c>
      <c r="I2376" s="1" t="s">
        <v>16</v>
      </c>
      <c r="J2376" s="1">
        <v>1</v>
      </c>
      <c r="K2376" s="1">
        <v>1</v>
      </c>
      <c r="L2376" s="1" t="s">
        <v>42</v>
      </c>
      <c r="M2376" s="1" t="s">
        <v>18</v>
      </c>
      <c r="N2376" s="1" t="s">
        <v>18</v>
      </c>
      <c r="O2376" s="1">
        <v>3</v>
      </c>
      <c r="P2376" s="1">
        <v>6</v>
      </c>
      <c r="R2376" s="1" t="s">
        <v>19</v>
      </c>
      <c r="S2376" s="1" t="s">
        <v>20</v>
      </c>
      <c r="T2376" s="1" t="s">
        <v>21</v>
      </c>
      <c r="U2376" s="1" t="s">
        <v>22</v>
      </c>
      <c r="V2376" s="1" t="s">
        <v>24</v>
      </c>
      <c r="W2376" s="1" t="s">
        <v>24</v>
      </c>
      <c r="X2376" s="1">
        <v>2403</v>
      </c>
      <c r="Y2376" s="1">
        <v>2723</v>
      </c>
      <c r="Z2376" s="1" t="s">
        <v>24</v>
      </c>
      <c r="AA2376" s="1" t="s">
        <v>24</v>
      </c>
      <c r="AB2376" s="1" t="s">
        <v>24</v>
      </c>
      <c r="AC2376" s="1" t="s">
        <v>24</v>
      </c>
      <c r="AD2376" s="1" t="s">
        <v>24</v>
      </c>
      <c r="AE2376" s="1" t="s">
        <v>24</v>
      </c>
      <c r="AF2376" s="22"/>
    </row>
    <row r="2377" spans="1:32" x14ac:dyDescent="0.2">
      <c r="A2377" s="1">
        <v>12856</v>
      </c>
      <c r="B2377" s="1" t="s">
        <v>7566</v>
      </c>
      <c r="C2377" s="5" t="s">
        <v>0</v>
      </c>
      <c r="D2377" s="1" t="s">
        <v>7567</v>
      </c>
      <c r="F2377" s="1" t="s">
        <v>7568</v>
      </c>
      <c r="G2377" s="1" t="s">
        <v>7569</v>
      </c>
      <c r="H2377" s="1" t="s">
        <v>899</v>
      </c>
      <c r="I2377" s="1" t="s">
        <v>16</v>
      </c>
      <c r="J2377" s="1">
        <v>1</v>
      </c>
      <c r="K2377" s="1">
        <v>2</v>
      </c>
      <c r="L2377" s="1" t="s">
        <v>31</v>
      </c>
      <c r="M2377" s="1" t="s">
        <v>18</v>
      </c>
      <c r="N2377" s="1" t="s">
        <v>18</v>
      </c>
      <c r="O2377" s="1">
        <v>3</v>
      </c>
      <c r="P2377" s="1">
        <v>5</v>
      </c>
      <c r="R2377" s="1" t="s">
        <v>19</v>
      </c>
      <c r="S2377" s="1" t="s">
        <v>20</v>
      </c>
      <c r="T2377" s="1" t="s">
        <v>21</v>
      </c>
      <c r="U2377" s="1" t="s">
        <v>22</v>
      </c>
      <c r="V2377" s="1" t="s">
        <v>24</v>
      </c>
      <c r="W2377" s="1" t="s">
        <v>24</v>
      </c>
      <c r="X2377" s="1">
        <v>2734</v>
      </c>
      <c r="Y2377" s="1">
        <v>3005</v>
      </c>
      <c r="Z2377" s="1" t="s">
        <v>24</v>
      </c>
      <c r="AA2377" s="1" t="s">
        <v>24</v>
      </c>
      <c r="AB2377" s="1" t="s">
        <v>24</v>
      </c>
      <c r="AC2377" s="1" t="s">
        <v>24</v>
      </c>
      <c r="AD2377" s="1" t="s">
        <v>24</v>
      </c>
      <c r="AE2377" s="1" t="s">
        <v>24</v>
      </c>
      <c r="AF2377" s="22"/>
    </row>
    <row r="2378" spans="1:32" x14ac:dyDescent="0.2">
      <c r="A2378" s="1">
        <v>12857</v>
      </c>
      <c r="B2378" s="1" t="s">
        <v>7570</v>
      </c>
      <c r="C2378" s="5" t="s">
        <v>0</v>
      </c>
      <c r="D2378" s="1" t="s">
        <v>7571</v>
      </c>
      <c r="F2378" s="1" t="s">
        <v>5110</v>
      </c>
      <c r="G2378" s="1" t="s">
        <v>5110</v>
      </c>
      <c r="H2378" s="1" t="s">
        <v>899</v>
      </c>
      <c r="I2378" s="1" t="s">
        <v>16</v>
      </c>
      <c r="J2378" s="1">
        <v>1</v>
      </c>
      <c r="K2378" s="1">
        <v>2</v>
      </c>
      <c r="L2378" s="1" t="s">
        <v>42</v>
      </c>
      <c r="M2378" s="1" t="s">
        <v>18</v>
      </c>
      <c r="N2378" s="1" t="s">
        <v>18</v>
      </c>
      <c r="O2378" s="1">
        <v>3</v>
      </c>
      <c r="P2378" s="1">
        <v>6</v>
      </c>
      <c r="R2378" s="1" t="s">
        <v>19</v>
      </c>
      <c r="S2378" s="1" t="s">
        <v>20</v>
      </c>
      <c r="T2378" s="1" t="s">
        <v>21</v>
      </c>
      <c r="U2378" s="1" t="s">
        <v>22</v>
      </c>
      <c r="V2378" s="1" t="s">
        <v>24</v>
      </c>
      <c r="W2378" s="1" t="s">
        <v>24</v>
      </c>
      <c r="X2378" s="1">
        <v>2735</v>
      </c>
      <c r="Y2378" s="1" t="s">
        <v>24</v>
      </c>
      <c r="Z2378" s="1" t="s">
        <v>24</v>
      </c>
      <c r="AA2378" s="1" t="s">
        <v>24</v>
      </c>
      <c r="AB2378" s="1" t="s">
        <v>24</v>
      </c>
      <c r="AC2378" s="1" t="s">
        <v>24</v>
      </c>
      <c r="AD2378" s="1" t="s">
        <v>24</v>
      </c>
      <c r="AE2378" s="1" t="s">
        <v>24</v>
      </c>
      <c r="AF2378" s="22"/>
    </row>
    <row r="2379" spans="1:32" x14ac:dyDescent="0.2">
      <c r="A2379" s="1">
        <v>12866</v>
      </c>
      <c r="B2379" s="1" t="s">
        <v>7572</v>
      </c>
      <c r="C2379" s="5" t="s">
        <v>0</v>
      </c>
      <c r="D2379" s="1" t="s">
        <v>7573</v>
      </c>
      <c r="E2379" s="1" t="s">
        <v>7574</v>
      </c>
      <c r="F2379" s="1" t="s">
        <v>55</v>
      </c>
      <c r="G2379" s="1" t="s">
        <v>56</v>
      </c>
      <c r="H2379" s="1" t="s">
        <v>37</v>
      </c>
      <c r="I2379" s="1" t="s">
        <v>16</v>
      </c>
      <c r="J2379" s="1">
        <v>1</v>
      </c>
      <c r="K2379" s="1">
        <v>12</v>
      </c>
      <c r="L2379" s="1" t="s">
        <v>31</v>
      </c>
      <c r="M2379" s="1" t="s">
        <v>18</v>
      </c>
      <c r="N2379" s="1" t="s">
        <v>18</v>
      </c>
      <c r="O2379" s="1">
        <v>3</v>
      </c>
      <c r="P2379" s="1">
        <v>7</v>
      </c>
      <c r="Q2379" s="7" t="s">
        <v>17633</v>
      </c>
      <c r="R2379" s="1" t="s">
        <v>62</v>
      </c>
      <c r="S2379" s="1" t="s">
        <v>20</v>
      </c>
      <c r="T2379" s="1" t="s">
        <v>21</v>
      </c>
      <c r="U2379" s="1" t="s">
        <v>22</v>
      </c>
      <c r="V2379" s="1" t="s">
        <v>24</v>
      </c>
      <c r="W2379" s="1" t="s">
        <v>24</v>
      </c>
      <c r="X2379" s="1">
        <v>2729</v>
      </c>
      <c r="Y2379" s="1">
        <v>2743</v>
      </c>
      <c r="Z2379" s="1">
        <v>1309</v>
      </c>
      <c r="AA2379" s="1">
        <v>1311</v>
      </c>
      <c r="AB2379" s="1">
        <v>1307</v>
      </c>
      <c r="AC2379" s="1">
        <v>2710</v>
      </c>
      <c r="AD2379" s="1">
        <v>1312</v>
      </c>
      <c r="AE2379" s="1" t="s">
        <v>24</v>
      </c>
      <c r="AF2379" s="22"/>
    </row>
    <row r="2380" spans="1:32" x14ac:dyDescent="0.2">
      <c r="A2380" s="1">
        <v>12867</v>
      </c>
      <c r="B2380" s="1" t="s">
        <v>7575</v>
      </c>
      <c r="C2380" s="5" t="s">
        <v>0</v>
      </c>
      <c r="D2380" s="1" t="s">
        <v>7576</v>
      </c>
      <c r="E2380" s="1" t="s">
        <v>7577</v>
      </c>
      <c r="F2380" s="1" t="s">
        <v>7578</v>
      </c>
      <c r="G2380" s="1" t="s">
        <v>7579</v>
      </c>
      <c r="H2380" s="1" t="s">
        <v>2772</v>
      </c>
      <c r="I2380" s="1" t="s">
        <v>16</v>
      </c>
      <c r="J2380" s="1">
        <v>1</v>
      </c>
      <c r="K2380" s="1">
        <v>6</v>
      </c>
      <c r="L2380" s="1" t="s">
        <v>42</v>
      </c>
      <c r="M2380" s="1" t="s">
        <v>2773</v>
      </c>
      <c r="N2380" s="1" t="s">
        <v>18</v>
      </c>
      <c r="O2380" s="1">
        <v>3</v>
      </c>
      <c r="P2380" s="1">
        <v>5</v>
      </c>
      <c r="R2380" s="1" t="s">
        <v>19</v>
      </c>
      <c r="S2380" s="1" t="s">
        <v>20</v>
      </c>
      <c r="T2380" s="1" t="s">
        <v>21</v>
      </c>
      <c r="U2380" s="1" t="s">
        <v>22</v>
      </c>
      <c r="V2380" s="1" t="s">
        <v>24</v>
      </c>
      <c r="W2380" s="1" t="s">
        <v>24</v>
      </c>
      <c r="X2380" s="1">
        <v>3004</v>
      </c>
      <c r="Y2380" s="1">
        <v>1314</v>
      </c>
      <c r="Z2380" s="1" t="s">
        <v>24</v>
      </c>
      <c r="AA2380" s="1" t="s">
        <v>24</v>
      </c>
      <c r="AB2380" s="1" t="s">
        <v>24</v>
      </c>
      <c r="AC2380" s="1" t="s">
        <v>24</v>
      </c>
      <c r="AD2380" s="1" t="s">
        <v>24</v>
      </c>
      <c r="AE2380" s="1" t="s">
        <v>24</v>
      </c>
      <c r="AF2380" s="22"/>
    </row>
    <row r="2381" spans="1:32" x14ac:dyDescent="0.2">
      <c r="A2381" s="1">
        <v>12868</v>
      </c>
      <c r="B2381" s="1" t="s">
        <v>7580</v>
      </c>
      <c r="C2381" s="5" t="s">
        <v>0</v>
      </c>
      <c r="D2381" s="1" t="s">
        <v>7581</v>
      </c>
      <c r="E2381" s="1" t="s">
        <v>7582</v>
      </c>
      <c r="F2381" s="1" t="s">
        <v>97</v>
      </c>
      <c r="G2381" s="1" t="s">
        <v>98</v>
      </c>
      <c r="H2381" s="1" t="s">
        <v>37</v>
      </c>
      <c r="I2381" s="1" t="s">
        <v>16</v>
      </c>
      <c r="J2381" s="1">
        <v>1</v>
      </c>
      <c r="K2381" s="1">
        <v>6</v>
      </c>
      <c r="L2381" s="1" t="s">
        <v>31</v>
      </c>
      <c r="M2381" s="1" t="s">
        <v>18</v>
      </c>
      <c r="N2381" s="1" t="s">
        <v>18</v>
      </c>
      <c r="O2381" s="1">
        <v>3</v>
      </c>
      <c r="P2381" s="1">
        <v>7</v>
      </c>
      <c r="Q2381" s="7" t="s">
        <v>17633</v>
      </c>
      <c r="R2381" s="1" t="s">
        <v>19</v>
      </c>
      <c r="S2381" s="1" t="s">
        <v>20</v>
      </c>
      <c r="T2381" s="1" t="s">
        <v>21</v>
      </c>
      <c r="U2381" s="1" t="s">
        <v>22</v>
      </c>
      <c r="V2381" s="1" t="s">
        <v>24</v>
      </c>
      <c r="W2381" s="1" t="s">
        <v>24</v>
      </c>
      <c r="X2381" s="1">
        <v>2204</v>
      </c>
      <c r="Y2381" s="1">
        <v>2502</v>
      </c>
      <c r="Z2381" s="1" t="s">
        <v>24</v>
      </c>
      <c r="AA2381" s="1" t="s">
        <v>24</v>
      </c>
      <c r="AB2381" s="1" t="s">
        <v>24</v>
      </c>
      <c r="AC2381" s="1" t="s">
        <v>24</v>
      </c>
      <c r="AD2381" s="1" t="s">
        <v>24</v>
      </c>
      <c r="AE2381" s="1" t="s">
        <v>24</v>
      </c>
      <c r="AF2381" s="22"/>
    </row>
    <row r="2382" spans="1:32" x14ac:dyDescent="0.2">
      <c r="A2382" s="1">
        <v>12871</v>
      </c>
      <c r="B2382" s="1" t="s">
        <v>7583</v>
      </c>
      <c r="C2382" s="5" t="s">
        <v>0</v>
      </c>
      <c r="D2382" s="1" t="s">
        <v>7584</v>
      </c>
      <c r="E2382" s="1" t="s">
        <v>7585</v>
      </c>
      <c r="F2382" s="1" t="s">
        <v>315</v>
      </c>
      <c r="G2382" s="1" t="s">
        <v>316</v>
      </c>
      <c r="H2382" s="1" t="s">
        <v>37</v>
      </c>
      <c r="I2382" s="1" t="s">
        <v>16</v>
      </c>
      <c r="J2382" s="1">
        <v>1</v>
      </c>
      <c r="K2382" s="1">
        <v>4</v>
      </c>
      <c r="L2382" s="1" t="s">
        <v>31</v>
      </c>
      <c r="M2382" s="1" t="s">
        <v>18</v>
      </c>
      <c r="N2382" s="1" t="s">
        <v>18</v>
      </c>
      <c r="O2382" s="1">
        <v>3</v>
      </c>
      <c r="P2382" s="1">
        <v>7</v>
      </c>
      <c r="Q2382" s="7" t="s">
        <v>17633</v>
      </c>
      <c r="R2382" s="1" t="s">
        <v>19</v>
      </c>
      <c r="S2382" s="1" t="s">
        <v>20</v>
      </c>
      <c r="T2382" s="1" t="s">
        <v>21</v>
      </c>
      <c r="U2382" s="1" t="s">
        <v>22</v>
      </c>
      <c r="V2382" s="1" t="s">
        <v>24</v>
      </c>
      <c r="W2382" s="1" t="s">
        <v>24</v>
      </c>
      <c r="X2382" s="1">
        <v>2730</v>
      </c>
      <c r="Y2382" s="1">
        <v>2748</v>
      </c>
      <c r="Z2382" s="1">
        <v>1306</v>
      </c>
      <c r="AA2382" s="1" t="s">
        <v>24</v>
      </c>
      <c r="AB2382" s="1" t="s">
        <v>24</v>
      </c>
      <c r="AC2382" s="1" t="s">
        <v>24</v>
      </c>
      <c r="AD2382" s="1" t="s">
        <v>24</v>
      </c>
      <c r="AE2382" s="1" t="s">
        <v>24</v>
      </c>
      <c r="AF2382" s="22"/>
    </row>
    <row r="2383" spans="1:32" x14ac:dyDescent="0.2">
      <c r="A2383" s="1">
        <v>12875</v>
      </c>
      <c r="B2383" s="1" t="s">
        <v>7586</v>
      </c>
      <c r="C2383" s="5" t="s">
        <v>0</v>
      </c>
      <c r="D2383" s="1" t="s">
        <v>7587</v>
      </c>
      <c r="E2383" s="1" t="s">
        <v>7588</v>
      </c>
      <c r="F2383" s="1" t="s">
        <v>912</v>
      </c>
      <c r="G2383" s="1" t="s">
        <v>130</v>
      </c>
      <c r="H2383" s="1" t="s">
        <v>168</v>
      </c>
      <c r="I2383" s="1" t="s">
        <v>16</v>
      </c>
      <c r="J2383" s="1">
        <v>1</v>
      </c>
      <c r="K2383" s="1">
        <v>4</v>
      </c>
      <c r="L2383" s="1" t="s">
        <v>31</v>
      </c>
      <c r="M2383" s="1" t="s">
        <v>679</v>
      </c>
      <c r="N2383" s="1" t="s">
        <v>679</v>
      </c>
      <c r="O2383" s="1">
        <v>3</v>
      </c>
      <c r="P2383" s="1">
        <v>6</v>
      </c>
      <c r="R2383" s="1" t="s">
        <v>19</v>
      </c>
      <c r="S2383" s="1" t="s">
        <v>20</v>
      </c>
      <c r="T2383" s="1" t="s">
        <v>21</v>
      </c>
      <c r="U2383" s="1" t="s">
        <v>22</v>
      </c>
      <c r="V2383" s="1" t="s">
        <v>24</v>
      </c>
      <c r="W2383" s="1" t="s">
        <v>24</v>
      </c>
      <c r="X2383" s="1">
        <v>2737</v>
      </c>
      <c r="Y2383" s="1" t="s">
        <v>24</v>
      </c>
      <c r="Z2383" s="1" t="s">
        <v>24</v>
      </c>
      <c r="AA2383" s="1" t="s">
        <v>24</v>
      </c>
      <c r="AB2383" s="1" t="s">
        <v>24</v>
      </c>
      <c r="AC2383" s="1" t="s">
        <v>24</v>
      </c>
      <c r="AD2383" s="1" t="s">
        <v>24</v>
      </c>
      <c r="AE2383" s="1" t="s">
        <v>24</v>
      </c>
      <c r="AF2383" s="22"/>
    </row>
    <row r="2384" spans="1:32" x14ac:dyDescent="0.2">
      <c r="A2384" s="1">
        <v>12877</v>
      </c>
      <c r="B2384" s="1" t="s">
        <v>7589</v>
      </c>
      <c r="C2384" s="5" t="s">
        <v>0</v>
      </c>
      <c r="D2384" s="1" t="s">
        <v>7590</v>
      </c>
      <c r="E2384" s="1" t="s">
        <v>7591</v>
      </c>
      <c r="F2384" s="1" t="s">
        <v>601</v>
      </c>
      <c r="G2384" s="1" t="s">
        <v>61</v>
      </c>
      <c r="H2384" s="1" t="s">
        <v>37</v>
      </c>
      <c r="I2384" s="1" t="s">
        <v>16</v>
      </c>
      <c r="J2384" s="1">
        <v>1</v>
      </c>
      <c r="K2384" s="1">
        <v>9</v>
      </c>
      <c r="L2384" s="1" t="s">
        <v>31</v>
      </c>
      <c r="M2384" s="1" t="s">
        <v>18</v>
      </c>
      <c r="N2384" s="1" t="s">
        <v>18</v>
      </c>
      <c r="O2384" s="1">
        <v>3</v>
      </c>
      <c r="P2384" s="1">
        <v>6</v>
      </c>
      <c r="R2384" s="1" t="s">
        <v>62</v>
      </c>
      <c r="S2384" s="1" t="s">
        <v>20</v>
      </c>
      <c r="T2384" s="1" t="s">
        <v>21</v>
      </c>
      <c r="U2384" s="1" t="s">
        <v>22</v>
      </c>
      <c r="V2384" s="1" t="s">
        <v>24</v>
      </c>
      <c r="W2384" s="1" t="s">
        <v>24</v>
      </c>
      <c r="X2384" s="1">
        <v>1309</v>
      </c>
      <c r="Y2384" s="1">
        <v>1307</v>
      </c>
      <c r="Z2384" s="1" t="s">
        <v>24</v>
      </c>
      <c r="AA2384" s="1" t="s">
        <v>24</v>
      </c>
      <c r="AB2384" s="1" t="s">
        <v>24</v>
      </c>
      <c r="AC2384" s="1" t="s">
        <v>24</v>
      </c>
      <c r="AD2384" s="1" t="s">
        <v>24</v>
      </c>
      <c r="AE2384" s="1" t="s">
        <v>24</v>
      </c>
      <c r="AF2384" s="22"/>
    </row>
    <row r="2385" spans="1:32" x14ac:dyDescent="0.2">
      <c r="A2385" s="1">
        <v>12879</v>
      </c>
      <c r="B2385" s="1" t="s">
        <v>7592</v>
      </c>
      <c r="C2385" s="5" t="s">
        <v>0</v>
      </c>
      <c r="D2385" s="1" t="s">
        <v>7593</v>
      </c>
      <c r="E2385" s="1" t="s">
        <v>7594</v>
      </c>
      <c r="F2385" s="1" t="s">
        <v>159</v>
      </c>
      <c r="G2385" s="1" t="s">
        <v>160</v>
      </c>
      <c r="H2385" s="1" t="s">
        <v>37</v>
      </c>
      <c r="I2385" s="1" t="s">
        <v>16</v>
      </c>
      <c r="J2385" s="1">
        <v>1</v>
      </c>
      <c r="K2385" s="1">
        <v>6</v>
      </c>
      <c r="L2385" s="1" t="s">
        <v>42</v>
      </c>
      <c r="M2385" s="1" t="s">
        <v>18</v>
      </c>
      <c r="N2385" s="1" t="s">
        <v>18</v>
      </c>
      <c r="O2385" s="1">
        <v>3</v>
      </c>
      <c r="P2385" s="1">
        <v>7</v>
      </c>
      <c r="Q2385" s="7" t="s">
        <v>17633</v>
      </c>
      <c r="R2385" s="1" t="s">
        <v>19</v>
      </c>
      <c r="S2385" s="1" t="s">
        <v>63</v>
      </c>
      <c r="T2385" s="1" t="s">
        <v>21</v>
      </c>
      <c r="U2385" s="1" t="s">
        <v>22</v>
      </c>
      <c r="V2385" s="1" t="s">
        <v>23</v>
      </c>
      <c r="W2385" s="1" t="s">
        <v>24</v>
      </c>
      <c r="X2385" s="1">
        <v>2735</v>
      </c>
      <c r="Y2385" s="1">
        <v>2729</v>
      </c>
      <c r="Z2385" s="1" t="s">
        <v>24</v>
      </c>
      <c r="AA2385" s="1" t="s">
        <v>24</v>
      </c>
      <c r="AB2385" s="1" t="s">
        <v>24</v>
      </c>
      <c r="AC2385" s="1" t="s">
        <v>24</v>
      </c>
      <c r="AD2385" s="1" t="s">
        <v>24</v>
      </c>
      <c r="AE2385" s="1" t="s">
        <v>24</v>
      </c>
      <c r="AF2385" s="22"/>
    </row>
    <row r="2386" spans="1:32" x14ac:dyDescent="0.2">
      <c r="A2386" s="1">
        <v>12881</v>
      </c>
      <c r="B2386" s="1" t="s">
        <v>7595</v>
      </c>
      <c r="C2386" s="5" t="s">
        <v>0</v>
      </c>
      <c r="D2386" s="1" t="s">
        <v>7596</v>
      </c>
      <c r="E2386" s="1" t="s">
        <v>7597</v>
      </c>
      <c r="F2386" s="1" t="s">
        <v>35</v>
      </c>
      <c r="G2386" s="1" t="s">
        <v>36</v>
      </c>
      <c r="H2386" s="1" t="s">
        <v>37</v>
      </c>
      <c r="I2386" s="1" t="s">
        <v>16</v>
      </c>
      <c r="J2386" s="1">
        <v>1</v>
      </c>
      <c r="K2386" s="1">
        <v>6</v>
      </c>
      <c r="L2386" s="1" t="s">
        <v>31</v>
      </c>
      <c r="M2386" s="1" t="s">
        <v>18</v>
      </c>
      <c r="N2386" s="1" t="s">
        <v>18</v>
      </c>
      <c r="O2386" s="1">
        <v>3</v>
      </c>
      <c r="P2386" s="1">
        <v>7</v>
      </c>
      <c r="Q2386" s="7" t="s">
        <v>17633</v>
      </c>
      <c r="R2386" s="1" t="s">
        <v>19</v>
      </c>
      <c r="S2386" s="1" t="s">
        <v>20</v>
      </c>
      <c r="T2386" s="1" t="s">
        <v>21</v>
      </c>
      <c r="U2386" s="1" t="s">
        <v>22</v>
      </c>
      <c r="V2386" s="1" t="s">
        <v>24</v>
      </c>
      <c r="W2386" s="1" t="s">
        <v>24</v>
      </c>
      <c r="X2386" s="1">
        <v>2747</v>
      </c>
      <c r="Y2386" s="1">
        <v>2403</v>
      </c>
      <c r="Z2386" s="1" t="s">
        <v>24</v>
      </c>
      <c r="AA2386" s="1" t="s">
        <v>24</v>
      </c>
      <c r="AB2386" s="1" t="s">
        <v>24</v>
      </c>
      <c r="AC2386" s="1" t="s">
        <v>24</v>
      </c>
      <c r="AD2386" s="1" t="s">
        <v>24</v>
      </c>
      <c r="AE2386" s="1" t="s">
        <v>24</v>
      </c>
      <c r="AF2386" s="22"/>
    </row>
    <row r="2387" spans="1:32" x14ac:dyDescent="0.2">
      <c r="A2387" s="1">
        <v>12883</v>
      </c>
      <c r="B2387" s="1" t="s">
        <v>7598</v>
      </c>
      <c r="C2387" s="5" t="s">
        <v>0</v>
      </c>
      <c r="D2387" s="1" t="s">
        <v>7599</v>
      </c>
      <c r="E2387" s="1" t="s">
        <v>7600</v>
      </c>
      <c r="F2387" s="1" t="s">
        <v>190</v>
      </c>
      <c r="G2387" s="1" t="s">
        <v>130</v>
      </c>
      <c r="H2387" s="1" t="s">
        <v>30</v>
      </c>
      <c r="I2387" s="1" t="s">
        <v>16</v>
      </c>
      <c r="J2387" s="1">
        <v>1</v>
      </c>
      <c r="K2387" s="1">
        <v>12</v>
      </c>
      <c r="L2387" s="1" t="s">
        <v>31</v>
      </c>
      <c r="M2387" s="1" t="s">
        <v>18</v>
      </c>
      <c r="N2387" s="1" t="s">
        <v>18</v>
      </c>
      <c r="O2387" s="1">
        <v>3</v>
      </c>
      <c r="P2387" s="1">
        <v>6</v>
      </c>
      <c r="R2387" s="1" t="s">
        <v>62</v>
      </c>
      <c r="S2387" s="1" t="s">
        <v>20</v>
      </c>
      <c r="T2387" s="1" t="s">
        <v>21</v>
      </c>
      <c r="U2387" s="1" t="s">
        <v>22</v>
      </c>
      <c r="V2387" s="1" t="s">
        <v>24</v>
      </c>
      <c r="W2387" s="1" t="s">
        <v>24</v>
      </c>
      <c r="X2387" s="1">
        <v>2746</v>
      </c>
      <c r="Y2387" s="1">
        <v>2730</v>
      </c>
      <c r="Z2387" s="1" t="s">
        <v>24</v>
      </c>
      <c r="AA2387" s="1" t="s">
        <v>24</v>
      </c>
      <c r="AB2387" s="1" t="s">
        <v>24</v>
      </c>
      <c r="AC2387" s="1" t="s">
        <v>24</v>
      </c>
      <c r="AD2387" s="1" t="s">
        <v>24</v>
      </c>
      <c r="AE2387" s="1" t="s">
        <v>24</v>
      </c>
      <c r="AF2387" s="22"/>
    </row>
    <row r="2388" spans="1:32" x14ac:dyDescent="0.2">
      <c r="A2388" s="1">
        <v>12884</v>
      </c>
      <c r="B2388" s="1" t="s">
        <v>7601</v>
      </c>
      <c r="C2388" s="5" t="s">
        <v>0</v>
      </c>
      <c r="D2388" s="1" t="s">
        <v>7602</v>
      </c>
      <c r="E2388" s="1" t="s">
        <v>7603</v>
      </c>
      <c r="F2388" s="1" t="s">
        <v>28</v>
      </c>
      <c r="G2388" s="1" t="s">
        <v>29</v>
      </c>
      <c r="H2388" s="1" t="s">
        <v>30</v>
      </c>
      <c r="I2388" s="1" t="s">
        <v>16</v>
      </c>
      <c r="J2388" s="1">
        <v>1</v>
      </c>
      <c r="K2388" s="1">
        <v>12</v>
      </c>
      <c r="L2388" s="1" t="s">
        <v>31</v>
      </c>
      <c r="M2388" s="1" t="s">
        <v>18</v>
      </c>
      <c r="N2388" s="1" t="s">
        <v>18</v>
      </c>
      <c r="O2388" s="1">
        <v>3</v>
      </c>
      <c r="P2388" s="1">
        <v>6</v>
      </c>
      <c r="R2388" s="1" t="s">
        <v>62</v>
      </c>
      <c r="S2388" s="1" t="s">
        <v>20</v>
      </c>
      <c r="T2388" s="1" t="s">
        <v>21</v>
      </c>
      <c r="U2388" s="1" t="s">
        <v>22</v>
      </c>
      <c r="V2388" s="1" t="s">
        <v>23</v>
      </c>
      <c r="W2388" s="1" t="s">
        <v>24</v>
      </c>
      <c r="X2388" s="1">
        <v>2729</v>
      </c>
      <c r="Y2388" s="1" t="s">
        <v>24</v>
      </c>
      <c r="Z2388" s="1" t="s">
        <v>24</v>
      </c>
      <c r="AA2388" s="1" t="s">
        <v>24</v>
      </c>
      <c r="AB2388" s="1" t="s">
        <v>24</v>
      </c>
      <c r="AC2388" s="1" t="s">
        <v>24</v>
      </c>
      <c r="AD2388" s="1" t="s">
        <v>24</v>
      </c>
      <c r="AE2388" s="1" t="s">
        <v>24</v>
      </c>
      <c r="AF2388" s="22"/>
    </row>
    <row r="2389" spans="1:32" x14ac:dyDescent="0.2">
      <c r="A2389" s="1">
        <v>12886</v>
      </c>
      <c r="B2389" s="1" t="s">
        <v>7604</v>
      </c>
      <c r="C2389" s="5" t="s">
        <v>0</v>
      </c>
      <c r="D2389" s="1" t="s">
        <v>7605</v>
      </c>
      <c r="E2389" s="1" t="s">
        <v>7606</v>
      </c>
      <c r="F2389" s="1" t="s">
        <v>35</v>
      </c>
      <c r="G2389" s="1" t="s">
        <v>36</v>
      </c>
      <c r="H2389" s="1" t="s">
        <v>37</v>
      </c>
      <c r="I2389" s="1" t="s">
        <v>16</v>
      </c>
      <c r="J2389" s="1">
        <v>1</v>
      </c>
      <c r="K2389" s="1">
        <v>12</v>
      </c>
      <c r="L2389" s="1" t="s">
        <v>31</v>
      </c>
      <c r="M2389" s="1" t="s">
        <v>18</v>
      </c>
      <c r="N2389" s="1" t="s">
        <v>18</v>
      </c>
      <c r="O2389" s="1">
        <v>3</v>
      </c>
      <c r="P2389" s="1">
        <v>7</v>
      </c>
      <c r="Q2389" s="7" t="s">
        <v>17633</v>
      </c>
      <c r="R2389" s="1" t="s">
        <v>19</v>
      </c>
      <c r="S2389" s="1" t="s">
        <v>20</v>
      </c>
      <c r="T2389" s="1" t="s">
        <v>21</v>
      </c>
      <c r="U2389" s="1" t="s">
        <v>22</v>
      </c>
      <c r="V2389" s="1" t="s">
        <v>23</v>
      </c>
      <c r="W2389" s="1" t="s">
        <v>24</v>
      </c>
      <c r="X2389" s="1">
        <v>2700</v>
      </c>
      <c r="Y2389" s="1" t="s">
        <v>24</v>
      </c>
      <c r="Z2389" s="1" t="s">
        <v>24</v>
      </c>
      <c r="AA2389" s="1" t="s">
        <v>24</v>
      </c>
      <c r="AB2389" s="1" t="s">
        <v>24</v>
      </c>
      <c r="AC2389" s="1" t="s">
        <v>24</v>
      </c>
      <c r="AD2389" s="1" t="s">
        <v>24</v>
      </c>
      <c r="AE2389" s="1" t="s">
        <v>24</v>
      </c>
      <c r="AF2389" s="22"/>
    </row>
    <row r="2390" spans="1:32" x14ac:dyDescent="0.2">
      <c r="A2390" s="1">
        <v>12893</v>
      </c>
      <c r="B2390" s="1" t="s">
        <v>7607</v>
      </c>
      <c r="C2390" s="5" t="s">
        <v>0</v>
      </c>
      <c r="D2390" s="1" t="s">
        <v>7608</v>
      </c>
      <c r="E2390" s="1" t="s">
        <v>7609</v>
      </c>
      <c r="F2390" s="1" t="s">
        <v>7610</v>
      </c>
      <c r="G2390" s="1" t="s">
        <v>7611</v>
      </c>
      <c r="H2390" s="1" t="s">
        <v>2772</v>
      </c>
      <c r="I2390" s="1" t="s">
        <v>16</v>
      </c>
      <c r="J2390" s="1">
        <v>1</v>
      </c>
      <c r="K2390" s="1">
        <v>6</v>
      </c>
      <c r="L2390" s="1" t="s">
        <v>42</v>
      </c>
      <c r="M2390" s="1" t="s">
        <v>18</v>
      </c>
      <c r="N2390" s="1" t="s">
        <v>18</v>
      </c>
      <c r="O2390" s="1">
        <v>3</v>
      </c>
      <c r="P2390" s="1">
        <v>6</v>
      </c>
      <c r="R2390" s="1" t="s">
        <v>19</v>
      </c>
      <c r="S2390" s="1" t="s">
        <v>63</v>
      </c>
      <c r="T2390" s="1" t="s">
        <v>21</v>
      </c>
      <c r="U2390" s="1" t="s">
        <v>22</v>
      </c>
      <c r="V2390" s="1" t="s">
        <v>24</v>
      </c>
      <c r="W2390" s="1" t="s">
        <v>24</v>
      </c>
      <c r="X2390" s="1">
        <v>1305</v>
      </c>
      <c r="Y2390" s="1">
        <v>2402</v>
      </c>
      <c r="Z2390" s="1" t="s">
        <v>24</v>
      </c>
      <c r="AA2390" s="1" t="s">
        <v>24</v>
      </c>
      <c r="AB2390" s="1" t="s">
        <v>24</v>
      </c>
      <c r="AC2390" s="1" t="s">
        <v>24</v>
      </c>
      <c r="AD2390" s="1" t="s">
        <v>24</v>
      </c>
      <c r="AE2390" s="1" t="s">
        <v>24</v>
      </c>
      <c r="AF2390" s="22"/>
    </row>
    <row r="2391" spans="1:32" x14ac:dyDescent="0.2">
      <c r="A2391" s="1">
        <v>12895</v>
      </c>
      <c r="B2391" s="1" t="s">
        <v>7612</v>
      </c>
      <c r="C2391" s="5" t="s">
        <v>0</v>
      </c>
      <c r="D2391" s="1" t="s">
        <v>7613</v>
      </c>
      <c r="E2391" s="1" t="s">
        <v>7614</v>
      </c>
      <c r="F2391" s="1" t="s">
        <v>291</v>
      </c>
      <c r="G2391" s="1" t="s">
        <v>292</v>
      </c>
      <c r="H2391" s="1" t="s">
        <v>30</v>
      </c>
      <c r="I2391" s="1" t="s">
        <v>16</v>
      </c>
      <c r="J2391" s="1">
        <v>1</v>
      </c>
      <c r="K2391" s="1">
        <v>4</v>
      </c>
      <c r="L2391" s="1" t="s">
        <v>31</v>
      </c>
      <c r="M2391" s="1" t="s">
        <v>18</v>
      </c>
      <c r="N2391" s="1" t="s">
        <v>18</v>
      </c>
      <c r="O2391" s="1">
        <v>3</v>
      </c>
      <c r="P2391" s="1">
        <v>7</v>
      </c>
      <c r="Q2391" s="7" t="s">
        <v>17633</v>
      </c>
      <c r="R2391" s="1" t="s">
        <v>62</v>
      </c>
      <c r="S2391" s="1" t="s">
        <v>20</v>
      </c>
      <c r="T2391" s="1" t="s">
        <v>21</v>
      </c>
      <c r="U2391" s="1" t="s">
        <v>22</v>
      </c>
      <c r="V2391" s="1" t="s">
        <v>24</v>
      </c>
      <c r="W2391" s="1" t="s">
        <v>24</v>
      </c>
      <c r="X2391" s="1">
        <v>1305</v>
      </c>
      <c r="Y2391" s="1">
        <v>2402</v>
      </c>
      <c r="Z2391" s="1" t="s">
        <v>24</v>
      </c>
      <c r="AA2391" s="1" t="s">
        <v>24</v>
      </c>
      <c r="AB2391" s="1" t="s">
        <v>24</v>
      </c>
      <c r="AC2391" s="1" t="s">
        <v>24</v>
      </c>
      <c r="AD2391" s="1" t="s">
        <v>24</v>
      </c>
      <c r="AE2391" s="1" t="s">
        <v>24</v>
      </c>
      <c r="AF2391" s="22"/>
    </row>
    <row r="2392" spans="1:32" x14ac:dyDescent="0.2">
      <c r="A2392" s="1">
        <v>12896</v>
      </c>
      <c r="B2392" s="1" t="s">
        <v>7615</v>
      </c>
      <c r="C2392" s="5" t="s">
        <v>0</v>
      </c>
      <c r="D2392" s="1" t="s">
        <v>7616</v>
      </c>
      <c r="F2392" s="1" t="s">
        <v>7617</v>
      </c>
      <c r="G2392" s="1" t="s">
        <v>7617</v>
      </c>
      <c r="H2392" s="1" t="s">
        <v>461</v>
      </c>
      <c r="I2392" s="1" t="s">
        <v>16</v>
      </c>
      <c r="J2392" s="1">
        <v>1</v>
      </c>
      <c r="K2392" s="1">
        <v>1</v>
      </c>
      <c r="L2392" s="1" t="s">
        <v>17</v>
      </c>
      <c r="M2392" s="1" t="s">
        <v>18</v>
      </c>
      <c r="N2392" s="1" t="s">
        <v>18</v>
      </c>
      <c r="O2392" s="1">
        <v>1</v>
      </c>
      <c r="P2392" s="1">
        <v>6</v>
      </c>
      <c r="R2392" s="1" t="s">
        <v>19</v>
      </c>
      <c r="S2392" s="1" t="s">
        <v>20</v>
      </c>
      <c r="T2392" s="1" t="s">
        <v>21</v>
      </c>
      <c r="U2392" s="1" t="s">
        <v>22</v>
      </c>
      <c r="V2392" s="1" t="s">
        <v>24</v>
      </c>
      <c r="W2392" s="1" t="s">
        <v>24</v>
      </c>
      <c r="X2392" s="1">
        <v>2800</v>
      </c>
      <c r="Y2392" s="1" t="s">
        <v>24</v>
      </c>
      <c r="Z2392" s="1" t="s">
        <v>24</v>
      </c>
      <c r="AA2392" s="1" t="s">
        <v>24</v>
      </c>
      <c r="AB2392" s="1" t="s">
        <v>24</v>
      </c>
      <c r="AC2392" s="1" t="s">
        <v>24</v>
      </c>
      <c r="AD2392" s="1" t="s">
        <v>24</v>
      </c>
      <c r="AE2392" s="1" t="s">
        <v>24</v>
      </c>
      <c r="AF2392" s="22"/>
    </row>
    <row r="2393" spans="1:32" x14ac:dyDescent="0.2">
      <c r="A2393" s="1">
        <v>12900</v>
      </c>
      <c r="B2393" s="1" t="s">
        <v>7618</v>
      </c>
      <c r="C2393" s="5" t="s">
        <v>0</v>
      </c>
      <c r="D2393" s="1" t="s">
        <v>7619</v>
      </c>
      <c r="E2393" s="1" t="s">
        <v>7620</v>
      </c>
      <c r="F2393" s="1" t="s">
        <v>291</v>
      </c>
      <c r="G2393" s="1" t="s">
        <v>292</v>
      </c>
      <c r="H2393" s="1" t="s">
        <v>37</v>
      </c>
      <c r="I2393" s="1" t="s">
        <v>16</v>
      </c>
      <c r="J2393" s="1">
        <v>1</v>
      </c>
      <c r="K2393" s="1">
        <v>6</v>
      </c>
      <c r="L2393" s="1" t="s">
        <v>31</v>
      </c>
      <c r="M2393" s="1" t="s">
        <v>18</v>
      </c>
      <c r="N2393" s="1" t="s">
        <v>18</v>
      </c>
      <c r="O2393" s="1">
        <v>3</v>
      </c>
      <c r="P2393" s="1">
        <v>6</v>
      </c>
      <c r="R2393" s="1" t="s">
        <v>19</v>
      </c>
      <c r="S2393" s="1" t="s">
        <v>20</v>
      </c>
      <c r="T2393" s="1" t="s">
        <v>21</v>
      </c>
      <c r="U2393" s="1" t="s">
        <v>22</v>
      </c>
      <c r="V2393" s="1" t="s">
        <v>24</v>
      </c>
      <c r="W2393" s="1" t="s">
        <v>64</v>
      </c>
      <c r="X2393" s="1">
        <v>1303</v>
      </c>
      <c r="Y2393" s="1">
        <v>1305</v>
      </c>
      <c r="Z2393" s="1">
        <v>1503</v>
      </c>
      <c r="AA2393" s="1" t="s">
        <v>24</v>
      </c>
      <c r="AB2393" s="1" t="s">
        <v>24</v>
      </c>
      <c r="AC2393" s="1" t="s">
        <v>24</v>
      </c>
      <c r="AD2393" s="1" t="s">
        <v>24</v>
      </c>
      <c r="AE2393" s="1" t="s">
        <v>24</v>
      </c>
      <c r="AF2393" s="22"/>
    </row>
    <row r="2394" spans="1:32" x14ac:dyDescent="0.2">
      <c r="A2394" s="1">
        <v>12905</v>
      </c>
      <c r="B2394" s="1" t="s">
        <v>7621</v>
      </c>
      <c r="C2394" s="5" t="s">
        <v>0</v>
      </c>
      <c r="D2394" s="1" t="s">
        <v>7622</v>
      </c>
      <c r="E2394" s="1" t="s">
        <v>7623</v>
      </c>
      <c r="F2394" s="1" t="s">
        <v>940</v>
      </c>
      <c r="G2394" s="1" t="s">
        <v>130</v>
      </c>
      <c r="H2394" s="1" t="s">
        <v>30</v>
      </c>
      <c r="I2394" s="1" t="s">
        <v>16</v>
      </c>
      <c r="J2394" s="1">
        <v>1</v>
      </c>
      <c r="K2394" s="1">
        <v>4</v>
      </c>
      <c r="L2394" s="1" t="s">
        <v>31</v>
      </c>
      <c r="M2394" s="1" t="s">
        <v>18</v>
      </c>
      <c r="N2394" s="1" t="s">
        <v>18</v>
      </c>
      <c r="O2394" s="1">
        <v>3</v>
      </c>
      <c r="P2394" s="1">
        <v>7</v>
      </c>
      <c r="Q2394" s="7" t="s">
        <v>17633</v>
      </c>
      <c r="R2394" s="1" t="s">
        <v>19</v>
      </c>
      <c r="S2394" s="1" t="s">
        <v>20</v>
      </c>
      <c r="T2394" s="1" t="s">
        <v>21</v>
      </c>
      <c r="U2394" s="1" t="s">
        <v>22</v>
      </c>
      <c r="V2394" s="1" t="s">
        <v>24</v>
      </c>
      <c r="W2394" s="1" t="s">
        <v>24</v>
      </c>
      <c r="X2394" s="1">
        <v>2734</v>
      </c>
      <c r="Y2394" s="1">
        <v>1310</v>
      </c>
      <c r="Z2394" s="1">
        <v>2712</v>
      </c>
      <c r="AA2394" s="1" t="s">
        <v>24</v>
      </c>
      <c r="AB2394" s="1" t="s">
        <v>24</v>
      </c>
      <c r="AC2394" s="1" t="s">
        <v>24</v>
      </c>
      <c r="AD2394" s="1" t="s">
        <v>24</v>
      </c>
      <c r="AE2394" s="1" t="s">
        <v>24</v>
      </c>
      <c r="AF2394" s="22"/>
    </row>
    <row r="2395" spans="1:32" x14ac:dyDescent="0.2">
      <c r="A2395" s="1">
        <v>12915</v>
      </c>
      <c r="B2395" s="1" t="s">
        <v>7624</v>
      </c>
      <c r="C2395" s="5" t="s">
        <v>0</v>
      </c>
      <c r="D2395" s="1" t="s">
        <v>7625</v>
      </c>
      <c r="E2395" s="1" t="s">
        <v>7626</v>
      </c>
      <c r="F2395" s="1" t="s">
        <v>303</v>
      </c>
      <c r="G2395" s="1" t="s">
        <v>61</v>
      </c>
      <c r="H2395" s="1" t="s">
        <v>30</v>
      </c>
      <c r="I2395" s="1" t="s">
        <v>16</v>
      </c>
      <c r="J2395" s="1">
        <v>1</v>
      </c>
      <c r="K2395" s="1">
        <v>4</v>
      </c>
      <c r="L2395" s="1" t="s">
        <v>31</v>
      </c>
      <c r="M2395" s="1" t="s">
        <v>18</v>
      </c>
      <c r="N2395" s="1" t="s">
        <v>18</v>
      </c>
      <c r="O2395" s="1">
        <v>2</v>
      </c>
      <c r="P2395" s="1">
        <v>6</v>
      </c>
      <c r="R2395" s="1" t="s">
        <v>19</v>
      </c>
      <c r="S2395" s="1" t="s">
        <v>20</v>
      </c>
      <c r="T2395" s="1" t="s">
        <v>21</v>
      </c>
      <c r="U2395" s="1" t="s">
        <v>22</v>
      </c>
      <c r="V2395" s="1" t="s">
        <v>24</v>
      </c>
      <c r="W2395" s="1" t="s">
        <v>24</v>
      </c>
      <c r="X2395" s="1">
        <v>2747</v>
      </c>
      <c r="Y2395" s="1" t="s">
        <v>24</v>
      </c>
      <c r="Z2395" s="1" t="s">
        <v>24</v>
      </c>
      <c r="AA2395" s="1" t="s">
        <v>24</v>
      </c>
      <c r="AB2395" s="1" t="s">
        <v>24</v>
      </c>
      <c r="AC2395" s="1" t="s">
        <v>24</v>
      </c>
      <c r="AD2395" s="1" t="s">
        <v>24</v>
      </c>
      <c r="AE2395" s="1" t="s">
        <v>24</v>
      </c>
      <c r="AF2395" s="22"/>
    </row>
    <row r="2396" spans="1:32" x14ac:dyDescent="0.2">
      <c r="A2396" s="1">
        <v>12916</v>
      </c>
      <c r="B2396" s="1" t="s">
        <v>7627</v>
      </c>
      <c r="C2396" s="5" t="s">
        <v>0</v>
      </c>
      <c r="D2396" s="1" t="s">
        <v>7628</v>
      </c>
      <c r="E2396" s="1" t="s">
        <v>7629</v>
      </c>
      <c r="F2396" s="1" t="s">
        <v>303</v>
      </c>
      <c r="G2396" s="1" t="s">
        <v>61</v>
      </c>
      <c r="H2396" s="1" t="s">
        <v>30</v>
      </c>
      <c r="I2396" s="1" t="s">
        <v>16</v>
      </c>
      <c r="J2396" s="1">
        <v>1</v>
      </c>
      <c r="K2396" s="1">
        <v>4</v>
      </c>
      <c r="L2396" s="1" t="s">
        <v>31</v>
      </c>
      <c r="M2396" s="1" t="s">
        <v>18</v>
      </c>
      <c r="N2396" s="1" t="s">
        <v>18</v>
      </c>
      <c r="O2396" s="1">
        <v>3</v>
      </c>
      <c r="P2396" s="1">
        <v>6</v>
      </c>
      <c r="R2396" s="1" t="s">
        <v>19</v>
      </c>
      <c r="S2396" s="1" t="s">
        <v>20</v>
      </c>
      <c r="T2396" s="1" t="s">
        <v>21</v>
      </c>
      <c r="U2396" s="1" t="s">
        <v>22</v>
      </c>
      <c r="V2396" s="1" t="s">
        <v>24</v>
      </c>
      <c r="W2396" s="1" t="s">
        <v>24</v>
      </c>
      <c r="X2396" s="1">
        <v>2721</v>
      </c>
      <c r="Y2396" s="1" t="s">
        <v>24</v>
      </c>
      <c r="Z2396" s="1" t="s">
        <v>24</v>
      </c>
      <c r="AA2396" s="1" t="s">
        <v>24</v>
      </c>
      <c r="AB2396" s="1" t="s">
        <v>24</v>
      </c>
      <c r="AC2396" s="1" t="s">
        <v>24</v>
      </c>
      <c r="AD2396" s="1" t="s">
        <v>24</v>
      </c>
      <c r="AE2396" s="1" t="s">
        <v>24</v>
      </c>
      <c r="AF2396" s="22"/>
    </row>
    <row r="2397" spans="1:32" x14ac:dyDescent="0.2">
      <c r="A2397" s="1">
        <v>12921</v>
      </c>
      <c r="B2397" s="1" t="s">
        <v>7630</v>
      </c>
      <c r="C2397" s="5" t="s">
        <v>0</v>
      </c>
      <c r="D2397" s="1" t="s">
        <v>7631</v>
      </c>
      <c r="F2397" s="1" t="s">
        <v>7632</v>
      </c>
      <c r="G2397" s="1" t="s">
        <v>3649</v>
      </c>
      <c r="H2397" s="1" t="s">
        <v>878</v>
      </c>
      <c r="I2397" s="1" t="s">
        <v>16</v>
      </c>
      <c r="J2397" s="1">
        <v>1</v>
      </c>
      <c r="K2397" s="1">
        <v>4</v>
      </c>
      <c r="L2397" s="1" t="s">
        <v>42</v>
      </c>
      <c r="M2397" s="1" t="s">
        <v>118</v>
      </c>
      <c r="N2397" s="1" t="s">
        <v>118</v>
      </c>
      <c r="O2397" s="1">
        <v>1</v>
      </c>
      <c r="P2397" s="1">
        <v>5</v>
      </c>
      <c r="R2397" s="1" t="s">
        <v>19</v>
      </c>
      <c r="S2397" s="1" t="s">
        <v>20</v>
      </c>
      <c r="T2397" s="1" t="s">
        <v>21</v>
      </c>
      <c r="U2397" s="1" t="s">
        <v>22</v>
      </c>
      <c r="V2397" s="1" t="s">
        <v>23</v>
      </c>
      <c r="W2397" s="1" t="s">
        <v>24</v>
      </c>
      <c r="X2397" s="1">
        <v>2728</v>
      </c>
      <c r="Y2397" s="1">
        <v>2808</v>
      </c>
      <c r="Z2397" s="1" t="s">
        <v>24</v>
      </c>
      <c r="AA2397" s="1" t="s">
        <v>24</v>
      </c>
      <c r="AB2397" s="1" t="s">
        <v>24</v>
      </c>
      <c r="AC2397" s="1" t="s">
        <v>24</v>
      </c>
      <c r="AD2397" s="1" t="s">
        <v>24</v>
      </c>
      <c r="AE2397" s="1" t="s">
        <v>24</v>
      </c>
      <c r="AF2397" s="22"/>
    </row>
    <row r="2398" spans="1:32" x14ac:dyDescent="0.2">
      <c r="A2398" s="1">
        <v>12924</v>
      </c>
      <c r="B2398" s="1" t="s">
        <v>7633</v>
      </c>
      <c r="C2398" s="5" t="s">
        <v>0</v>
      </c>
      <c r="D2398" s="1" t="s">
        <v>7634</v>
      </c>
      <c r="E2398" s="1" t="s">
        <v>7635</v>
      </c>
      <c r="F2398" s="1" t="s">
        <v>217</v>
      </c>
      <c r="G2398" s="1" t="s">
        <v>130</v>
      </c>
      <c r="H2398" s="1" t="s">
        <v>92</v>
      </c>
      <c r="I2398" s="1" t="s">
        <v>16</v>
      </c>
      <c r="J2398" s="1">
        <v>1</v>
      </c>
      <c r="K2398" s="1">
        <v>4</v>
      </c>
      <c r="L2398" s="1" t="s">
        <v>31</v>
      </c>
      <c r="M2398" s="1" t="s">
        <v>18</v>
      </c>
      <c r="N2398" s="1" t="s">
        <v>18</v>
      </c>
      <c r="O2398" s="1">
        <v>3</v>
      </c>
      <c r="P2398" s="1">
        <v>6</v>
      </c>
      <c r="R2398" s="1" t="s">
        <v>19</v>
      </c>
      <c r="S2398" s="1" t="s">
        <v>20</v>
      </c>
      <c r="T2398" s="1" t="s">
        <v>21</v>
      </c>
      <c r="U2398" s="1" t="s">
        <v>22</v>
      </c>
      <c r="V2398" s="1" t="s">
        <v>24</v>
      </c>
      <c r="W2398" s="1" t="s">
        <v>24</v>
      </c>
      <c r="X2398" s="1">
        <v>1306</v>
      </c>
      <c r="Y2398" s="1">
        <v>2730</v>
      </c>
      <c r="Z2398" s="1">
        <v>2734</v>
      </c>
      <c r="AA2398" s="1" t="s">
        <v>24</v>
      </c>
      <c r="AB2398" s="1" t="s">
        <v>24</v>
      </c>
      <c r="AC2398" s="1" t="s">
        <v>24</v>
      </c>
      <c r="AD2398" s="1" t="s">
        <v>24</v>
      </c>
      <c r="AE2398" s="1" t="s">
        <v>24</v>
      </c>
      <c r="AF2398" s="22"/>
    </row>
    <row r="2399" spans="1:32" x14ac:dyDescent="0.2">
      <c r="A2399" s="1">
        <v>12927</v>
      </c>
      <c r="B2399" s="1" t="s">
        <v>7636</v>
      </c>
      <c r="C2399" s="5" t="s">
        <v>0</v>
      </c>
      <c r="D2399" s="1" t="s">
        <v>7637</v>
      </c>
      <c r="E2399" s="1" t="s">
        <v>7638</v>
      </c>
      <c r="F2399" s="1" t="s">
        <v>7639</v>
      </c>
      <c r="G2399" s="1" t="s">
        <v>61</v>
      </c>
      <c r="H2399" s="1" t="s">
        <v>7640</v>
      </c>
      <c r="I2399" s="1" t="s">
        <v>16</v>
      </c>
      <c r="J2399" s="1">
        <v>1</v>
      </c>
      <c r="K2399" s="1">
        <v>4</v>
      </c>
      <c r="L2399" s="1" t="s">
        <v>31</v>
      </c>
      <c r="M2399" s="1" t="s">
        <v>18</v>
      </c>
      <c r="N2399" s="1" t="s">
        <v>18</v>
      </c>
      <c r="O2399" s="1">
        <v>3</v>
      </c>
      <c r="P2399" s="1">
        <v>6</v>
      </c>
      <c r="R2399" s="1" t="s">
        <v>19</v>
      </c>
      <c r="S2399" s="1" t="s">
        <v>20</v>
      </c>
      <c r="T2399" s="1" t="s">
        <v>21</v>
      </c>
      <c r="U2399" s="1" t="s">
        <v>22</v>
      </c>
      <c r="V2399" s="1" t="s">
        <v>23</v>
      </c>
      <c r="W2399" s="1" t="s">
        <v>24</v>
      </c>
      <c r="X2399" s="1">
        <v>2729</v>
      </c>
      <c r="Y2399" s="1">
        <v>2743</v>
      </c>
      <c r="Z2399" s="1" t="s">
        <v>24</v>
      </c>
      <c r="AA2399" s="1" t="s">
        <v>24</v>
      </c>
      <c r="AB2399" s="1" t="s">
        <v>24</v>
      </c>
      <c r="AC2399" s="1" t="s">
        <v>24</v>
      </c>
      <c r="AD2399" s="1" t="s">
        <v>24</v>
      </c>
      <c r="AE2399" s="1" t="s">
        <v>24</v>
      </c>
      <c r="AF2399" s="22"/>
    </row>
    <row r="2400" spans="1:32" x14ac:dyDescent="0.2">
      <c r="A2400" s="1">
        <v>12928</v>
      </c>
      <c r="B2400" s="1" t="s">
        <v>7641</v>
      </c>
      <c r="C2400" s="5" t="s">
        <v>0</v>
      </c>
      <c r="D2400" s="1" t="s">
        <v>7642</v>
      </c>
      <c r="F2400" s="1" t="s">
        <v>7643</v>
      </c>
      <c r="G2400" s="1" t="s">
        <v>7643</v>
      </c>
      <c r="H2400" s="1" t="s">
        <v>86</v>
      </c>
      <c r="I2400" s="1" t="s">
        <v>16</v>
      </c>
      <c r="J2400" s="1">
        <v>1</v>
      </c>
      <c r="K2400" s="1">
        <v>12</v>
      </c>
      <c r="L2400" s="1" t="s">
        <v>42</v>
      </c>
      <c r="M2400" s="1" t="s">
        <v>18</v>
      </c>
      <c r="N2400" s="1" t="s">
        <v>18</v>
      </c>
      <c r="O2400" s="1">
        <v>3</v>
      </c>
      <c r="P2400" s="1">
        <v>7</v>
      </c>
      <c r="Q2400" s="7" t="s">
        <v>17633</v>
      </c>
      <c r="R2400" s="1" t="s">
        <v>19</v>
      </c>
      <c r="S2400" s="1" t="s">
        <v>20</v>
      </c>
      <c r="T2400" s="1" t="s">
        <v>21</v>
      </c>
      <c r="U2400" s="1" t="s">
        <v>22</v>
      </c>
      <c r="V2400" s="1" t="s">
        <v>24</v>
      </c>
      <c r="W2400" s="1" t="s">
        <v>24</v>
      </c>
      <c r="X2400" s="1">
        <v>2740</v>
      </c>
      <c r="Y2400" s="1">
        <v>2725</v>
      </c>
      <c r="Z2400" s="1" t="s">
        <v>24</v>
      </c>
      <c r="AA2400" s="1" t="s">
        <v>24</v>
      </c>
      <c r="AB2400" s="1" t="s">
        <v>24</v>
      </c>
      <c r="AC2400" s="1" t="s">
        <v>24</v>
      </c>
      <c r="AD2400" s="1" t="s">
        <v>24</v>
      </c>
      <c r="AE2400" s="1" t="s">
        <v>24</v>
      </c>
      <c r="AF2400" s="22"/>
    </row>
    <row r="2401" spans="1:32" x14ac:dyDescent="0.2">
      <c r="A2401" s="1">
        <v>12929</v>
      </c>
      <c r="B2401" s="1" t="s">
        <v>7644</v>
      </c>
      <c r="C2401" s="5" t="s">
        <v>0</v>
      </c>
      <c r="D2401" s="1" t="s">
        <v>7645</v>
      </c>
      <c r="F2401" s="1" t="s">
        <v>4828</v>
      </c>
      <c r="G2401" s="1" t="s">
        <v>4828</v>
      </c>
      <c r="H2401" s="1" t="s">
        <v>30</v>
      </c>
      <c r="I2401" s="1" t="s">
        <v>16</v>
      </c>
      <c r="J2401" s="1">
        <v>1</v>
      </c>
      <c r="K2401" s="1">
        <v>12</v>
      </c>
      <c r="L2401" s="1" t="s">
        <v>42</v>
      </c>
      <c r="M2401" s="1" t="s">
        <v>18</v>
      </c>
      <c r="N2401" s="1" t="s">
        <v>18</v>
      </c>
      <c r="O2401" s="1">
        <v>2</v>
      </c>
      <c r="P2401" s="1">
        <v>6</v>
      </c>
      <c r="R2401" s="1" t="s">
        <v>19</v>
      </c>
      <c r="S2401" s="1" t="s">
        <v>20</v>
      </c>
      <c r="T2401" s="1" t="s">
        <v>21</v>
      </c>
      <c r="U2401" s="1" t="s">
        <v>22</v>
      </c>
      <c r="V2401" s="1" t="s">
        <v>24</v>
      </c>
      <c r="W2401" s="1" t="s">
        <v>24</v>
      </c>
      <c r="X2401" s="1">
        <v>3003</v>
      </c>
      <c r="Y2401" s="1" t="s">
        <v>24</v>
      </c>
      <c r="Z2401" s="1" t="s">
        <v>24</v>
      </c>
      <c r="AA2401" s="1" t="s">
        <v>24</v>
      </c>
      <c r="AB2401" s="1" t="s">
        <v>24</v>
      </c>
      <c r="AC2401" s="1" t="s">
        <v>24</v>
      </c>
      <c r="AD2401" s="1" t="s">
        <v>24</v>
      </c>
      <c r="AE2401" s="1" t="s">
        <v>24</v>
      </c>
      <c r="AF2401" s="22"/>
    </row>
    <row r="2402" spans="1:32" x14ac:dyDescent="0.2">
      <c r="A2402" s="1">
        <v>12934</v>
      </c>
      <c r="B2402" s="1" t="s">
        <v>7646</v>
      </c>
      <c r="C2402" s="5" t="s">
        <v>0</v>
      </c>
      <c r="D2402" s="1" t="s">
        <v>7647</v>
      </c>
      <c r="E2402" s="1" t="s">
        <v>7648</v>
      </c>
      <c r="F2402" s="1" t="s">
        <v>673</v>
      </c>
      <c r="G2402" s="1" t="s">
        <v>61</v>
      </c>
      <c r="H2402" s="1" t="s">
        <v>30</v>
      </c>
      <c r="I2402" s="1" t="s">
        <v>16</v>
      </c>
      <c r="J2402" s="1">
        <v>1</v>
      </c>
      <c r="K2402" s="1">
        <v>12</v>
      </c>
      <c r="L2402" s="1" t="s">
        <v>31</v>
      </c>
      <c r="M2402" s="1" t="s">
        <v>18</v>
      </c>
      <c r="N2402" s="1" t="s">
        <v>18</v>
      </c>
      <c r="O2402" s="1">
        <v>3</v>
      </c>
      <c r="P2402" s="1">
        <v>7</v>
      </c>
      <c r="Q2402" s="7" t="s">
        <v>17633</v>
      </c>
      <c r="R2402" s="1" t="s">
        <v>19</v>
      </c>
      <c r="S2402" s="1" t="s">
        <v>20</v>
      </c>
      <c r="T2402" s="1" t="s">
        <v>21</v>
      </c>
      <c r="U2402" s="1" t="s">
        <v>22</v>
      </c>
      <c r="V2402" s="1" t="s">
        <v>23</v>
      </c>
      <c r="W2402" s="1" t="s">
        <v>24</v>
      </c>
      <c r="X2402" s="1">
        <v>2741</v>
      </c>
      <c r="Y2402" s="1" t="s">
        <v>24</v>
      </c>
      <c r="Z2402" s="1" t="s">
        <v>24</v>
      </c>
      <c r="AA2402" s="1" t="s">
        <v>24</v>
      </c>
      <c r="AB2402" s="1" t="s">
        <v>24</v>
      </c>
      <c r="AC2402" s="1" t="s">
        <v>24</v>
      </c>
      <c r="AD2402" s="1" t="s">
        <v>24</v>
      </c>
      <c r="AE2402" s="1" t="s">
        <v>24</v>
      </c>
      <c r="AF2402" s="22"/>
    </row>
    <row r="2403" spans="1:32" x14ac:dyDescent="0.2">
      <c r="A2403" s="1">
        <v>12938</v>
      </c>
      <c r="B2403" s="1" t="s">
        <v>7649</v>
      </c>
      <c r="C2403" s="5" t="s">
        <v>0</v>
      </c>
      <c r="D2403" s="1" t="s">
        <v>7650</v>
      </c>
      <c r="E2403" s="1" t="s">
        <v>7651</v>
      </c>
      <c r="F2403" s="1" t="s">
        <v>167</v>
      </c>
      <c r="G2403" s="1" t="s">
        <v>130</v>
      </c>
      <c r="H2403" s="1" t="s">
        <v>168</v>
      </c>
      <c r="I2403" s="1" t="s">
        <v>16</v>
      </c>
      <c r="J2403" s="1">
        <v>1</v>
      </c>
      <c r="K2403" s="1">
        <v>9</v>
      </c>
      <c r="L2403" s="1" t="s">
        <v>31</v>
      </c>
      <c r="M2403" s="1" t="s">
        <v>18</v>
      </c>
      <c r="N2403" s="1" t="s">
        <v>18</v>
      </c>
      <c r="O2403" s="1">
        <v>3</v>
      </c>
      <c r="P2403" s="1">
        <v>7</v>
      </c>
      <c r="Q2403" s="7" t="s">
        <v>17633</v>
      </c>
      <c r="R2403" s="1" t="s">
        <v>19</v>
      </c>
      <c r="S2403" s="1" t="s">
        <v>20</v>
      </c>
      <c r="T2403" s="1" t="s">
        <v>21</v>
      </c>
      <c r="U2403" s="1" t="s">
        <v>22</v>
      </c>
      <c r="V2403" s="1" t="s">
        <v>24</v>
      </c>
      <c r="W2403" s="1" t="s">
        <v>24</v>
      </c>
      <c r="X2403" s="1">
        <v>2300</v>
      </c>
      <c r="Y2403" s="1" t="s">
        <v>24</v>
      </c>
      <c r="Z2403" s="1" t="s">
        <v>24</v>
      </c>
      <c r="AA2403" s="1" t="s">
        <v>24</v>
      </c>
      <c r="AB2403" s="1" t="s">
        <v>24</v>
      </c>
      <c r="AC2403" s="1" t="s">
        <v>24</v>
      </c>
      <c r="AD2403" s="1" t="s">
        <v>24</v>
      </c>
      <c r="AE2403" s="1" t="s">
        <v>24</v>
      </c>
      <c r="AF2403" s="22"/>
    </row>
    <row r="2404" spans="1:32" x14ac:dyDescent="0.2">
      <c r="A2404" s="1">
        <v>12942</v>
      </c>
      <c r="B2404" s="1" t="s">
        <v>7652</v>
      </c>
      <c r="C2404" s="5" t="s">
        <v>0</v>
      </c>
      <c r="D2404" s="1" t="s">
        <v>7653</v>
      </c>
      <c r="E2404" s="1" t="s">
        <v>7654</v>
      </c>
      <c r="F2404" s="1" t="s">
        <v>167</v>
      </c>
      <c r="G2404" s="1" t="s">
        <v>130</v>
      </c>
      <c r="H2404" s="1" t="s">
        <v>168</v>
      </c>
      <c r="I2404" s="1" t="s">
        <v>16</v>
      </c>
      <c r="J2404" s="1">
        <v>1</v>
      </c>
      <c r="K2404" s="1">
        <v>4</v>
      </c>
      <c r="L2404" s="1" t="s">
        <v>31</v>
      </c>
      <c r="M2404" s="1" t="s">
        <v>18</v>
      </c>
      <c r="N2404" s="1" t="s">
        <v>18</v>
      </c>
      <c r="O2404" s="1">
        <v>3</v>
      </c>
      <c r="P2404" s="1">
        <v>5</v>
      </c>
      <c r="R2404" s="1" t="s">
        <v>19</v>
      </c>
      <c r="S2404" s="1" t="s">
        <v>20</v>
      </c>
      <c r="T2404" s="1" t="s">
        <v>21</v>
      </c>
      <c r="U2404" s="1" t="s">
        <v>22</v>
      </c>
      <c r="V2404" s="1" t="s">
        <v>24</v>
      </c>
      <c r="W2404" s="1" t="s">
        <v>24</v>
      </c>
      <c r="X2404" s="1">
        <v>1303</v>
      </c>
      <c r="Y2404" s="1">
        <v>1307</v>
      </c>
      <c r="Z2404" s="1">
        <v>1312</v>
      </c>
      <c r="AA2404" s="1" t="s">
        <v>24</v>
      </c>
      <c r="AB2404" s="1" t="s">
        <v>24</v>
      </c>
      <c r="AC2404" s="1" t="s">
        <v>24</v>
      </c>
      <c r="AD2404" s="1" t="s">
        <v>24</v>
      </c>
      <c r="AE2404" s="1" t="s">
        <v>24</v>
      </c>
      <c r="AF2404" s="22"/>
    </row>
    <row r="2405" spans="1:32" x14ac:dyDescent="0.2">
      <c r="A2405" s="1">
        <v>12944</v>
      </c>
      <c r="B2405" s="1" t="s">
        <v>7655</v>
      </c>
      <c r="C2405" s="5" t="s">
        <v>0</v>
      </c>
      <c r="D2405" s="1" t="s">
        <v>7656</v>
      </c>
      <c r="F2405" s="1" t="s">
        <v>310</v>
      </c>
      <c r="G2405" s="1" t="s">
        <v>311</v>
      </c>
      <c r="H2405" s="1" t="s">
        <v>37</v>
      </c>
      <c r="I2405" s="1" t="s">
        <v>16</v>
      </c>
      <c r="J2405" s="1">
        <v>1</v>
      </c>
      <c r="K2405" s="1">
        <v>2</v>
      </c>
      <c r="L2405" s="1" t="s">
        <v>31</v>
      </c>
      <c r="M2405" s="1" t="s">
        <v>18</v>
      </c>
      <c r="N2405" s="1" t="s">
        <v>18</v>
      </c>
      <c r="O2405" s="1">
        <v>0</v>
      </c>
      <c r="P2405" s="1">
        <v>6</v>
      </c>
      <c r="R2405" s="1" t="s">
        <v>19</v>
      </c>
      <c r="S2405" s="1" t="s">
        <v>20</v>
      </c>
      <c r="T2405" s="1" t="s">
        <v>21</v>
      </c>
      <c r="U2405" s="1" t="s">
        <v>22</v>
      </c>
      <c r="V2405" s="1" t="s">
        <v>24</v>
      </c>
      <c r="W2405" s="1" t="s">
        <v>24</v>
      </c>
      <c r="X2405" s="1">
        <v>1305</v>
      </c>
      <c r="Y2405" s="1">
        <v>1312</v>
      </c>
      <c r="Z2405" s="1">
        <v>1502</v>
      </c>
      <c r="AA2405" s="1" t="s">
        <v>24</v>
      </c>
      <c r="AB2405" s="1" t="s">
        <v>24</v>
      </c>
      <c r="AC2405" s="1" t="s">
        <v>24</v>
      </c>
      <c r="AD2405" s="1" t="s">
        <v>24</v>
      </c>
      <c r="AE2405" s="1" t="s">
        <v>24</v>
      </c>
      <c r="AF2405" s="22" t="s">
        <v>17679</v>
      </c>
    </row>
    <row r="2406" spans="1:32" x14ac:dyDescent="0.2">
      <c r="A2406" s="1">
        <v>12947</v>
      </c>
      <c r="B2406" s="1" t="s">
        <v>7657</v>
      </c>
      <c r="C2406" s="5" t="s">
        <v>0</v>
      </c>
      <c r="D2406" s="1" t="s">
        <v>7658</v>
      </c>
      <c r="E2406" s="1" t="s">
        <v>7659</v>
      </c>
      <c r="F2406" s="1" t="s">
        <v>55</v>
      </c>
      <c r="G2406" s="1" t="s">
        <v>56</v>
      </c>
      <c r="H2406" s="1" t="s">
        <v>37</v>
      </c>
      <c r="I2406" s="1" t="s">
        <v>16</v>
      </c>
      <c r="J2406" s="1">
        <v>1</v>
      </c>
      <c r="K2406" s="1">
        <v>6</v>
      </c>
      <c r="L2406" s="1" t="s">
        <v>31</v>
      </c>
      <c r="M2406" s="1" t="s">
        <v>18</v>
      </c>
      <c r="N2406" s="1" t="s">
        <v>18</v>
      </c>
      <c r="O2406" s="1">
        <v>3</v>
      </c>
      <c r="P2406" s="1">
        <v>6</v>
      </c>
      <c r="R2406" s="1" t="s">
        <v>62</v>
      </c>
      <c r="S2406" s="1" t="s">
        <v>20</v>
      </c>
      <c r="T2406" s="1" t="s">
        <v>21</v>
      </c>
      <c r="U2406" s="1" t="s">
        <v>22</v>
      </c>
      <c r="V2406" s="1" t="s">
        <v>24</v>
      </c>
      <c r="W2406" s="1" t="s">
        <v>24</v>
      </c>
      <c r="X2406" s="1">
        <v>1311</v>
      </c>
      <c r="Y2406" s="1">
        <v>1312</v>
      </c>
      <c r="Z2406" s="1" t="s">
        <v>24</v>
      </c>
      <c r="AA2406" s="1" t="s">
        <v>24</v>
      </c>
      <c r="AB2406" s="1" t="s">
        <v>24</v>
      </c>
      <c r="AC2406" s="1" t="s">
        <v>24</v>
      </c>
      <c r="AD2406" s="1" t="s">
        <v>24</v>
      </c>
      <c r="AE2406" s="1" t="s">
        <v>24</v>
      </c>
      <c r="AF2406" s="22"/>
    </row>
    <row r="2407" spans="1:32" x14ac:dyDescent="0.2">
      <c r="A2407" s="1">
        <v>12962</v>
      </c>
      <c r="B2407" s="1" t="s">
        <v>7660</v>
      </c>
      <c r="C2407" s="5" t="s">
        <v>0</v>
      </c>
      <c r="D2407" s="1" t="s">
        <v>7661</v>
      </c>
      <c r="E2407" s="1" t="s">
        <v>7662</v>
      </c>
      <c r="F2407" s="1" t="s">
        <v>272</v>
      </c>
      <c r="G2407" s="1" t="s">
        <v>61</v>
      </c>
      <c r="H2407" s="1" t="s">
        <v>30</v>
      </c>
      <c r="I2407" s="1" t="s">
        <v>16</v>
      </c>
      <c r="J2407" s="1">
        <v>1</v>
      </c>
      <c r="K2407" s="1">
        <v>8</v>
      </c>
      <c r="L2407" s="1" t="s">
        <v>31</v>
      </c>
      <c r="M2407" s="1" t="s">
        <v>18</v>
      </c>
      <c r="N2407" s="1" t="s">
        <v>18</v>
      </c>
      <c r="O2407" s="1">
        <v>3</v>
      </c>
      <c r="P2407" s="1">
        <v>7</v>
      </c>
      <c r="Q2407" s="7" t="s">
        <v>17633</v>
      </c>
      <c r="R2407" s="1" t="s">
        <v>19</v>
      </c>
      <c r="S2407" s="1" t="s">
        <v>63</v>
      </c>
      <c r="T2407" s="1" t="s">
        <v>21</v>
      </c>
      <c r="U2407" s="1" t="s">
        <v>22</v>
      </c>
      <c r="V2407" s="1" t="s">
        <v>24</v>
      </c>
      <c r="W2407" s="1" t="s">
        <v>64</v>
      </c>
      <c r="X2407" s="1">
        <v>1606</v>
      </c>
      <c r="Y2407" s="1">
        <v>1607</v>
      </c>
      <c r="Z2407" s="1">
        <v>1704</v>
      </c>
      <c r="AA2407" s="1">
        <v>2505</v>
      </c>
      <c r="AB2407" s="1" t="s">
        <v>24</v>
      </c>
      <c r="AC2407" s="1" t="s">
        <v>24</v>
      </c>
      <c r="AD2407" s="1" t="s">
        <v>24</v>
      </c>
      <c r="AE2407" s="1" t="s">
        <v>24</v>
      </c>
      <c r="AF2407" s="22"/>
    </row>
    <row r="2408" spans="1:32" x14ac:dyDescent="0.2">
      <c r="A2408" s="1">
        <v>12964</v>
      </c>
      <c r="B2408" s="1" t="s">
        <v>7663</v>
      </c>
      <c r="C2408" s="5" t="s">
        <v>0</v>
      </c>
      <c r="D2408" s="1" t="s">
        <v>7664</v>
      </c>
      <c r="E2408" s="1" t="s">
        <v>7665</v>
      </c>
      <c r="F2408" s="1" t="s">
        <v>7666</v>
      </c>
      <c r="G2408" s="1" t="s">
        <v>7666</v>
      </c>
      <c r="H2408" s="1" t="s">
        <v>249</v>
      </c>
      <c r="I2408" s="1" t="s">
        <v>16</v>
      </c>
      <c r="J2408" s="1">
        <v>1</v>
      </c>
      <c r="K2408" s="1">
        <v>2</v>
      </c>
      <c r="L2408" s="1" t="s">
        <v>42</v>
      </c>
      <c r="M2408" s="1" t="s">
        <v>18</v>
      </c>
      <c r="N2408" s="1" t="s">
        <v>18</v>
      </c>
      <c r="O2408" s="1">
        <v>3</v>
      </c>
      <c r="P2408" s="1">
        <v>6</v>
      </c>
      <c r="R2408" s="1" t="s">
        <v>19</v>
      </c>
      <c r="S2408" s="1" t="s">
        <v>20</v>
      </c>
      <c r="T2408" s="1" t="s">
        <v>21</v>
      </c>
      <c r="U2408" s="1" t="s">
        <v>22</v>
      </c>
      <c r="V2408" s="1" t="s">
        <v>24</v>
      </c>
      <c r="W2408" s="1" t="s">
        <v>24</v>
      </c>
      <c r="X2408" s="1">
        <v>1105</v>
      </c>
      <c r="Y2408" s="1">
        <v>2311</v>
      </c>
      <c r="Z2408" s="1">
        <v>2739</v>
      </c>
      <c r="AA2408" s="1" t="s">
        <v>24</v>
      </c>
      <c r="AB2408" s="1" t="s">
        <v>24</v>
      </c>
      <c r="AC2408" s="1" t="s">
        <v>24</v>
      </c>
      <c r="AD2408" s="1" t="s">
        <v>24</v>
      </c>
      <c r="AE2408" s="1" t="s">
        <v>24</v>
      </c>
      <c r="AF2408" s="22"/>
    </row>
    <row r="2409" spans="1:32" x14ac:dyDescent="0.2">
      <c r="A2409" s="1">
        <v>12969</v>
      </c>
      <c r="B2409" s="1" t="s">
        <v>7667</v>
      </c>
      <c r="C2409" s="5" t="s">
        <v>0</v>
      </c>
      <c r="D2409" s="1" t="s">
        <v>7668</v>
      </c>
      <c r="E2409" s="1" t="s">
        <v>7669</v>
      </c>
      <c r="F2409" s="1" t="s">
        <v>1808</v>
      </c>
      <c r="G2409" s="1" t="s">
        <v>130</v>
      </c>
      <c r="H2409" s="1" t="s">
        <v>461</v>
      </c>
      <c r="I2409" s="1" t="s">
        <v>16</v>
      </c>
      <c r="J2409" s="1">
        <v>1</v>
      </c>
      <c r="K2409" s="1">
        <v>4</v>
      </c>
      <c r="L2409" s="1" t="s">
        <v>31</v>
      </c>
      <c r="M2409" s="1" t="s">
        <v>18</v>
      </c>
      <c r="N2409" s="1" t="s">
        <v>18</v>
      </c>
      <c r="O2409" s="1">
        <v>3</v>
      </c>
      <c r="P2409" s="1">
        <v>6</v>
      </c>
      <c r="R2409" s="1" t="s">
        <v>19</v>
      </c>
      <c r="S2409" s="1" t="s">
        <v>20</v>
      </c>
      <c r="T2409" s="1" t="s">
        <v>21</v>
      </c>
      <c r="U2409" s="1" t="s">
        <v>22</v>
      </c>
      <c r="V2409" s="1" t="s">
        <v>24</v>
      </c>
      <c r="W2409" s="1" t="s">
        <v>24</v>
      </c>
      <c r="X2409" s="1">
        <v>1306</v>
      </c>
      <c r="Y2409" s="1">
        <v>2730</v>
      </c>
      <c r="Z2409" s="1">
        <v>2728</v>
      </c>
      <c r="AA2409" s="1" t="s">
        <v>24</v>
      </c>
      <c r="AB2409" s="1" t="s">
        <v>24</v>
      </c>
      <c r="AC2409" s="1" t="s">
        <v>24</v>
      </c>
      <c r="AD2409" s="1" t="s">
        <v>24</v>
      </c>
      <c r="AE2409" s="1" t="s">
        <v>24</v>
      </c>
      <c r="AF2409" s="22"/>
    </row>
    <row r="2410" spans="1:32" x14ac:dyDescent="0.2">
      <c r="A2410" s="1">
        <v>12970</v>
      </c>
      <c r="B2410" s="1" t="s">
        <v>7670</v>
      </c>
      <c r="C2410" s="5" t="s">
        <v>0</v>
      </c>
      <c r="D2410" s="1" t="s">
        <v>7671</v>
      </c>
      <c r="E2410" s="1" t="s">
        <v>7672</v>
      </c>
      <c r="F2410" s="1" t="s">
        <v>167</v>
      </c>
      <c r="G2410" s="1" t="s">
        <v>130</v>
      </c>
      <c r="H2410" s="1" t="s">
        <v>168</v>
      </c>
      <c r="I2410" s="1" t="s">
        <v>16</v>
      </c>
      <c r="J2410" s="1">
        <v>1</v>
      </c>
      <c r="K2410" s="1">
        <v>4</v>
      </c>
      <c r="L2410" s="1" t="s">
        <v>31</v>
      </c>
      <c r="M2410" s="1" t="s">
        <v>18</v>
      </c>
      <c r="N2410" s="1" t="s">
        <v>18</v>
      </c>
      <c r="O2410" s="1">
        <v>3</v>
      </c>
      <c r="P2410" s="1">
        <v>7</v>
      </c>
      <c r="Q2410" s="7" t="s">
        <v>17633</v>
      </c>
      <c r="R2410" s="1" t="s">
        <v>62</v>
      </c>
      <c r="S2410" s="1" t="s">
        <v>20</v>
      </c>
      <c r="T2410" s="1" t="s">
        <v>21</v>
      </c>
      <c r="U2410" s="1" t="s">
        <v>22</v>
      </c>
      <c r="V2410" s="1" t="s">
        <v>24</v>
      </c>
      <c r="W2410" s="1" t="s">
        <v>24</v>
      </c>
      <c r="X2410" s="1">
        <v>2716</v>
      </c>
      <c r="Y2410" s="1">
        <v>2804</v>
      </c>
      <c r="Z2410" s="1">
        <v>1311</v>
      </c>
      <c r="AA2410" s="1" t="s">
        <v>24</v>
      </c>
      <c r="AB2410" s="1" t="s">
        <v>24</v>
      </c>
      <c r="AC2410" s="1" t="s">
        <v>24</v>
      </c>
      <c r="AD2410" s="1" t="s">
        <v>24</v>
      </c>
      <c r="AE2410" s="1" t="s">
        <v>24</v>
      </c>
      <c r="AF2410" s="22"/>
    </row>
    <row r="2411" spans="1:32" x14ac:dyDescent="0.2">
      <c r="A2411" s="1">
        <v>12971</v>
      </c>
      <c r="B2411" s="1" t="s">
        <v>7673</v>
      </c>
      <c r="C2411" s="5" t="s">
        <v>0</v>
      </c>
      <c r="D2411" s="1" t="s">
        <v>7674</v>
      </c>
      <c r="E2411" s="1" t="s">
        <v>7675</v>
      </c>
      <c r="F2411" s="1" t="s">
        <v>198</v>
      </c>
      <c r="G2411" s="1" t="s">
        <v>130</v>
      </c>
      <c r="H2411" s="1" t="s">
        <v>86</v>
      </c>
      <c r="I2411" s="1" t="s">
        <v>16</v>
      </c>
      <c r="J2411" s="1">
        <v>1</v>
      </c>
      <c r="K2411" s="1">
        <v>6</v>
      </c>
      <c r="L2411" s="1" t="s">
        <v>31</v>
      </c>
      <c r="M2411" s="1" t="s">
        <v>18</v>
      </c>
      <c r="N2411" s="1" t="s">
        <v>18</v>
      </c>
      <c r="O2411" s="1">
        <v>3</v>
      </c>
      <c r="P2411" s="1">
        <v>7</v>
      </c>
      <c r="Q2411" s="7" t="s">
        <v>17633</v>
      </c>
      <c r="R2411" s="1" t="s">
        <v>19</v>
      </c>
      <c r="S2411" s="1" t="s">
        <v>20</v>
      </c>
      <c r="T2411" s="1" t="s">
        <v>21</v>
      </c>
      <c r="U2411" s="1" t="s">
        <v>22</v>
      </c>
      <c r="V2411" s="1" t="s">
        <v>23</v>
      </c>
      <c r="W2411" s="1" t="s">
        <v>24</v>
      </c>
      <c r="X2411" s="1">
        <v>2746</v>
      </c>
      <c r="Y2411" s="1" t="s">
        <v>24</v>
      </c>
      <c r="Z2411" s="1" t="s">
        <v>24</v>
      </c>
      <c r="AA2411" s="1" t="s">
        <v>24</v>
      </c>
      <c r="AB2411" s="1" t="s">
        <v>24</v>
      </c>
      <c r="AC2411" s="1" t="s">
        <v>24</v>
      </c>
      <c r="AD2411" s="1" t="s">
        <v>24</v>
      </c>
      <c r="AE2411" s="1" t="s">
        <v>24</v>
      </c>
      <c r="AF2411" s="22"/>
    </row>
    <row r="2412" spans="1:32" x14ac:dyDescent="0.2">
      <c r="A2412" s="1">
        <v>12973</v>
      </c>
      <c r="B2412" s="1" t="s">
        <v>7676</v>
      </c>
      <c r="C2412" s="5" t="s">
        <v>0</v>
      </c>
      <c r="D2412" s="1" t="s">
        <v>7677</v>
      </c>
      <c r="F2412" s="1" t="s">
        <v>7678</v>
      </c>
      <c r="G2412" s="1" t="s">
        <v>7678</v>
      </c>
      <c r="H2412" s="1" t="s">
        <v>116</v>
      </c>
      <c r="I2412" s="1" t="s">
        <v>16</v>
      </c>
      <c r="J2412" s="1">
        <v>1</v>
      </c>
      <c r="K2412" s="1">
        <v>3</v>
      </c>
      <c r="L2412" s="1" t="s">
        <v>42</v>
      </c>
      <c r="M2412" s="1" t="s">
        <v>117</v>
      </c>
      <c r="N2412" s="1" t="s">
        <v>118</v>
      </c>
      <c r="O2412" s="1">
        <v>1</v>
      </c>
      <c r="P2412" s="1">
        <v>5</v>
      </c>
      <c r="R2412" s="1" t="s">
        <v>19</v>
      </c>
      <c r="S2412" s="1" t="s">
        <v>20</v>
      </c>
      <c r="T2412" s="1" t="s">
        <v>21</v>
      </c>
      <c r="U2412" s="1" t="s">
        <v>22</v>
      </c>
      <c r="V2412" s="1" t="s">
        <v>24</v>
      </c>
      <c r="W2412" s="1" t="s">
        <v>24</v>
      </c>
      <c r="X2412" s="1">
        <v>2700</v>
      </c>
      <c r="Y2412" s="1" t="s">
        <v>24</v>
      </c>
      <c r="Z2412" s="1" t="s">
        <v>24</v>
      </c>
      <c r="AA2412" s="1" t="s">
        <v>24</v>
      </c>
      <c r="AB2412" s="1" t="s">
        <v>24</v>
      </c>
      <c r="AC2412" s="1" t="s">
        <v>24</v>
      </c>
      <c r="AD2412" s="1" t="s">
        <v>24</v>
      </c>
      <c r="AE2412" s="1" t="s">
        <v>24</v>
      </c>
      <c r="AF2412" s="22"/>
    </row>
    <row r="2413" spans="1:32" x14ac:dyDescent="0.2">
      <c r="A2413" s="1">
        <v>12975</v>
      </c>
      <c r="B2413" s="1" t="s">
        <v>7679</v>
      </c>
      <c r="C2413" s="5" t="s">
        <v>0</v>
      </c>
      <c r="D2413" s="1" t="s">
        <v>7680</v>
      </c>
      <c r="E2413" s="1" t="s">
        <v>7681</v>
      </c>
      <c r="F2413" s="1" t="s">
        <v>1462</v>
      </c>
      <c r="G2413" s="1" t="s">
        <v>1462</v>
      </c>
      <c r="H2413" s="1" t="s">
        <v>249</v>
      </c>
      <c r="I2413" s="1" t="s">
        <v>16</v>
      </c>
      <c r="J2413" s="1">
        <v>1</v>
      </c>
      <c r="K2413" s="1">
        <v>4</v>
      </c>
      <c r="L2413" s="1" t="s">
        <v>42</v>
      </c>
      <c r="M2413" s="1" t="s">
        <v>3290</v>
      </c>
      <c r="N2413" s="1" t="s">
        <v>3290</v>
      </c>
      <c r="O2413" s="1">
        <v>3</v>
      </c>
      <c r="P2413" s="1">
        <v>6</v>
      </c>
      <c r="R2413" s="1" t="s">
        <v>19</v>
      </c>
      <c r="S2413" s="1" t="s">
        <v>20</v>
      </c>
      <c r="T2413" s="1" t="s">
        <v>21</v>
      </c>
      <c r="U2413" s="1" t="s">
        <v>22</v>
      </c>
      <c r="V2413" s="1" t="s">
        <v>24</v>
      </c>
      <c r="W2413" s="1" t="s">
        <v>24</v>
      </c>
      <c r="X2413" s="1">
        <v>2705</v>
      </c>
      <c r="Y2413" s="1" t="s">
        <v>24</v>
      </c>
      <c r="Z2413" s="1" t="s">
        <v>24</v>
      </c>
      <c r="AA2413" s="1" t="s">
        <v>24</v>
      </c>
      <c r="AB2413" s="1" t="s">
        <v>24</v>
      </c>
      <c r="AC2413" s="1" t="s">
        <v>24</v>
      </c>
      <c r="AD2413" s="1" t="s">
        <v>24</v>
      </c>
      <c r="AE2413" s="1" t="s">
        <v>24</v>
      </c>
      <c r="AF2413" s="22"/>
    </row>
    <row r="2414" spans="1:32" x14ac:dyDescent="0.2">
      <c r="A2414" s="1">
        <v>12978</v>
      </c>
      <c r="B2414" s="1" t="s">
        <v>7682</v>
      </c>
      <c r="C2414" s="5" t="s">
        <v>0</v>
      </c>
      <c r="D2414" s="1" t="s">
        <v>7683</v>
      </c>
      <c r="E2414" s="1" t="s">
        <v>7684</v>
      </c>
      <c r="F2414" s="1" t="s">
        <v>412</v>
      </c>
      <c r="G2414" s="1" t="s">
        <v>372</v>
      </c>
      <c r="H2414" s="1" t="s">
        <v>168</v>
      </c>
      <c r="I2414" s="1" t="s">
        <v>16</v>
      </c>
      <c r="J2414" s="1">
        <v>1</v>
      </c>
      <c r="K2414" s="1">
        <v>4</v>
      </c>
      <c r="L2414" s="1" t="s">
        <v>31</v>
      </c>
      <c r="M2414" s="1" t="s">
        <v>413</v>
      </c>
      <c r="N2414" s="1" t="s">
        <v>18</v>
      </c>
      <c r="O2414" s="1">
        <v>3</v>
      </c>
      <c r="P2414" s="1">
        <v>6</v>
      </c>
      <c r="R2414" s="1" t="s">
        <v>19</v>
      </c>
      <c r="S2414" s="1" t="s">
        <v>63</v>
      </c>
      <c r="T2414" s="1" t="s">
        <v>21</v>
      </c>
      <c r="U2414" s="1" t="s">
        <v>22</v>
      </c>
      <c r="V2414" s="1" t="s">
        <v>24</v>
      </c>
      <c r="W2414" s="1" t="s">
        <v>24</v>
      </c>
      <c r="X2414" s="1">
        <v>2728</v>
      </c>
      <c r="Y2414" s="1">
        <v>2737</v>
      </c>
      <c r="Z2414" s="1" t="s">
        <v>24</v>
      </c>
      <c r="AA2414" s="1" t="s">
        <v>24</v>
      </c>
      <c r="AB2414" s="1" t="s">
        <v>24</v>
      </c>
      <c r="AC2414" s="1" t="s">
        <v>24</v>
      </c>
      <c r="AD2414" s="1" t="s">
        <v>24</v>
      </c>
      <c r="AE2414" s="1" t="s">
        <v>24</v>
      </c>
      <c r="AF2414" s="22"/>
    </row>
    <row r="2415" spans="1:32" x14ac:dyDescent="0.2">
      <c r="A2415" s="1">
        <v>12980</v>
      </c>
      <c r="B2415" s="1" t="s">
        <v>7685</v>
      </c>
      <c r="C2415" s="5" t="s">
        <v>0</v>
      </c>
      <c r="D2415" s="1" t="s">
        <v>7686</v>
      </c>
      <c r="E2415" s="1" t="s">
        <v>7687</v>
      </c>
      <c r="F2415" s="1" t="s">
        <v>601</v>
      </c>
      <c r="G2415" s="1" t="s">
        <v>61</v>
      </c>
      <c r="H2415" s="1" t="s">
        <v>37</v>
      </c>
      <c r="I2415" s="1" t="s">
        <v>16</v>
      </c>
      <c r="J2415" s="1">
        <v>1</v>
      </c>
      <c r="K2415" s="1">
        <v>6</v>
      </c>
      <c r="L2415" s="1" t="s">
        <v>31</v>
      </c>
      <c r="M2415" s="1" t="s">
        <v>18</v>
      </c>
      <c r="N2415" s="1" t="s">
        <v>18</v>
      </c>
      <c r="O2415" s="1">
        <v>3</v>
      </c>
      <c r="P2415" s="1">
        <v>7</v>
      </c>
      <c r="Q2415" s="7" t="s">
        <v>17633</v>
      </c>
      <c r="R2415" s="1" t="s">
        <v>19</v>
      </c>
      <c r="S2415" s="1" t="s">
        <v>20</v>
      </c>
      <c r="T2415" s="1" t="s">
        <v>21</v>
      </c>
      <c r="U2415" s="1" t="s">
        <v>22</v>
      </c>
      <c r="V2415" s="1" t="s">
        <v>24</v>
      </c>
      <c r="W2415" s="1" t="s">
        <v>24</v>
      </c>
      <c r="X2415" s="1">
        <v>2740</v>
      </c>
      <c r="Y2415" s="1">
        <v>2736</v>
      </c>
      <c r="Z2415" s="1">
        <v>2704</v>
      </c>
      <c r="AA2415" s="1" t="s">
        <v>24</v>
      </c>
      <c r="AB2415" s="1" t="s">
        <v>24</v>
      </c>
      <c r="AC2415" s="1" t="s">
        <v>24</v>
      </c>
      <c r="AD2415" s="1" t="s">
        <v>24</v>
      </c>
      <c r="AE2415" s="1" t="s">
        <v>24</v>
      </c>
      <c r="AF2415" s="22"/>
    </row>
    <row r="2416" spans="1:32" x14ac:dyDescent="0.2">
      <c r="A2416" s="1">
        <v>12985</v>
      </c>
      <c r="B2416" s="1" t="s">
        <v>7688</v>
      </c>
      <c r="C2416" s="5" t="s">
        <v>0</v>
      </c>
      <c r="D2416" s="1" t="s">
        <v>7689</v>
      </c>
      <c r="F2416" s="1" t="s">
        <v>1897</v>
      </c>
      <c r="G2416" s="1" t="s">
        <v>1898</v>
      </c>
      <c r="H2416" s="1" t="s">
        <v>899</v>
      </c>
      <c r="I2416" s="1" t="s">
        <v>16</v>
      </c>
      <c r="J2416" s="1">
        <v>1</v>
      </c>
      <c r="K2416" s="1">
        <v>4</v>
      </c>
      <c r="L2416" s="1" t="s">
        <v>31</v>
      </c>
      <c r="M2416" s="1" t="s">
        <v>18</v>
      </c>
      <c r="N2416" s="1" t="s">
        <v>18</v>
      </c>
      <c r="O2416" s="1">
        <v>3</v>
      </c>
      <c r="P2416" s="1">
        <v>6</v>
      </c>
      <c r="R2416" s="1" t="s">
        <v>19</v>
      </c>
      <c r="S2416" s="1" t="s">
        <v>20</v>
      </c>
      <c r="T2416" s="1" t="s">
        <v>21</v>
      </c>
      <c r="U2416" s="1" t="s">
        <v>22</v>
      </c>
      <c r="V2416" s="1" t="s">
        <v>23</v>
      </c>
      <c r="W2416" s="1" t="s">
        <v>24</v>
      </c>
      <c r="X2416" s="1">
        <v>2733</v>
      </c>
      <c r="Y2416" s="1" t="s">
        <v>24</v>
      </c>
      <c r="Z2416" s="1" t="s">
        <v>24</v>
      </c>
      <c r="AA2416" s="1" t="s">
        <v>24</v>
      </c>
      <c r="AB2416" s="1" t="s">
        <v>24</v>
      </c>
      <c r="AC2416" s="1" t="s">
        <v>24</v>
      </c>
      <c r="AD2416" s="1" t="s">
        <v>24</v>
      </c>
      <c r="AE2416" s="1" t="s">
        <v>24</v>
      </c>
      <c r="AF2416" s="22" t="s">
        <v>17679</v>
      </c>
    </row>
    <row r="2417" spans="1:32" x14ac:dyDescent="0.2">
      <c r="A2417" s="1">
        <v>12990</v>
      </c>
      <c r="B2417" s="1" t="s">
        <v>7690</v>
      </c>
      <c r="C2417" s="5" t="s">
        <v>0</v>
      </c>
      <c r="D2417" s="1" t="s">
        <v>7691</v>
      </c>
      <c r="F2417" s="1" t="s">
        <v>2178</v>
      </c>
      <c r="G2417" s="1" t="s">
        <v>2178</v>
      </c>
      <c r="H2417" s="1" t="s">
        <v>69</v>
      </c>
      <c r="I2417" s="1" t="s">
        <v>16</v>
      </c>
      <c r="J2417" s="1">
        <v>1</v>
      </c>
      <c r="K2417" s="1">
        <v>3</v>
      </c>
      <c r="L2417" s="1" t="s">
        <v>17</v>
      </c>
      <c r="M2417" s="1" t="s">
        <v>70</v>
      </c>
      <c r="N2417" s="1" t="s">
        <v>75</v>
      </c>
      <c r="O2417" s="1">
        <v>1</v>
      </c>
      <c r="P2417" s="1">
        <v>5</v>
      </c>
      <c r="R2417" s="1" t="s">
        <v>19</v>
      </c>
      <c r="S2417" s="1" t="s">
        <v>20</v>
      </c>
      <c r="T2417" s="1" t="s">
        <v>21</v>
      </c>
      <c r="U2417" s="1" t="s">
        <v>22</v>
      </c>
      <c r="V2417" s="1" t="s">
        <v>24</v>
      </c>
      <c r="W2417" s="1" t="s">
        <v>24</v>
      </c>
      <c r="X2417" s="1">
        <v>2738</v>
      </c>
      <c r="Y2417" s="1">
        <v>2728</v>
      </c>
      <c r="Z2417" s="1" t="s">
        <v>24</v>
      </c>
      <c r="AA2417" s="1" t="s">
        <v>24</v>
      </c>
      <c r="AB2417" s="1" t="s">
        <v>24</v>
      </c>
      <c r="AC2417" s="1" t="s">
        <v>24</v>
      </c>
      <c r="AD2417" s="1" t="s">
        <v>24</v>
      </c>
      <c r="AE2417" s="1" t="s">
        <v>24</v>
      </c>
      <c r="AF2417" s="22"/>
    </row>
    <row r="2418" spans="1:32" x14ac:dyDescent="0.2">
      <c r="A2418" s="1">
        <v>12994</v>
      </c>
      <c r="B2418" s="1" t="s">
        <v>7692</v>
      </c>
      <c r="C2418" s="5" t="s">
        <v>0</v>
      </c>
      <c r="D2418" s="1" t="s">
        <v>7693</v>
      </c>
      <c r="E2418" s="1" t="s">
        <v>7694</v>
      </c>
      <c r="F2418" s="1" t="s">
        <v>4693</v>
      </c>
      <c r="G2418" s="1" t="s">
        <v>7692</v>
      </c>
      <c r="H2418" s="1" t="s">
        <v>731</v>
      </c>
      <c r="I2418" s="1" t="s">
        <v>16</v>
      </c>
      <c r="J2418" s="1">
        <v>1</v>
      </c>
      <c r="K2418" s="1">
        <v>6</v>
      </c>
      <c r="L2418" s="1" t="s">
        <v>42</v>
      </c>
      <c r="M2418" s="1" t="s">
        <v>18</v>
      </c>
      <c r="N2418" s="1" t="s">
        <v>18</v>
      </c>
      <c r="O2418" s="1">
        <v>0</v>
      </c>
      <c r="P2418" s="1">
        <v>6</v>
      </c>
      <c r="R2418" s="1" t="s">
        <v>19</v>
      </c>
      <c r="S2418" s="1" t="s">
        <v>20</v>
      </c>
      <c r="T2418" s="1" t="s">
        <v>21</v>
      </c>
      <c r="U2418" s="1" t="s">
        <v>22</v>
      </c>
      <c r="V2418" s="1" t="s">
        <v>23</v>
      </c>
      <c r="W2418" s="1" t="s">
        <v>24</v>
      </c>
      <c r="X2418" s="1">
        <v>2730</v>
      </c>
      <c r="Y2418" s="1" t="s">
        <v>24</v>
      </c>
      <c r="Z2418" s="1" t="s">
        <v>24</v>
      </c>
      <c r="AA2418" s="1" t="s">
        <v>24</v>
      </c>
      <c r="AB2418" s="1" t="s">
        <v>24</v>
      </c>
      <c r="AC2418" s="1" t="s">
        <v>24</v>
      </c>
      <c r="AD2418" s="1" t="s">
        <v>24</v>
      </c>
      <c r="AE2418" s="1" t="s">
        <v>24</v>
      </c>
      <c r="AF2418" s="22"/>
    </row>
    <row r="2419" spans="1:32" x14ac:dyDescent="0.2">
      <c r="A2419" s="1">
        <v>13003</v>
      </c>
      <c r="B2419" s="1" t="s">
        <v>7695</v>
      </c>
      <c r="C2419" s="5" t="s">
        <v>0</v>
      </c>
      <c r="D2419" s="1" t="s">
        <v>7696</v>
      </c>
      <c r="E2419" s="1" t="s">
        <v>7697</v>
      </c>
      <c r="F2419" s="1" t="s">
        <v>97</v>
      </c>
      <c r="G2419" s="1" t="s">
        <v>98</v>
      </c>
      <c r="H2419" s="1" t="s">
        <v>37</v>
      </c>
      <c r="I2419" s="1" t="s">
        <v>16</v>
      </c>
      <c r="J2419" s="1">
        <v>1</v>
      </c>
      <c r="K2419" s="1">
        <v>6</v>
      </c>
      <c r="L2419" s="1" t="s">
        <v>31</v>
      </c>
      <c r="M2419" s="1" t="s">
        <v>18</v>
      </c>
      <c r="N2419" s="1" t="s">
        <v>18</v>
      </c>
      <c r="O2419" s="1">
        <v>3</v>
      </c>
      <c r="P2419" s="1">
        <v>6</v>
      </c>
      <c r="R2419" s="1" t="s">
        <v>19</v>
      </c>
      <c r="S2419" s="1" t="s">
        <v>20</v>
      </c>
      <c r="T2419" s="1" t="s">
        <v>21</v>
      </c>
      <c r="U2419" s="1" t="s">
        <v>22</v>
      </c>
      <c r="V2419" s="1" t="s">
        <v>23</v>
      </c>
      <c r="W2419" s="1" t="s">
        <v>24</v>
      </c>
      <c r="X2419" s="1">
        <v>2738</v>
      </c>
      <c r="Y2419" s="1">
        <v>3306</v>
      </c>
      <c r="Z2419" s="1" t="s">
        <v>24</v>
      </c>
      <c r="AA2419" s="1" t="s">
        <v>24</v>
      </c>
      <c r="AB2419" s="1" t="s">
        <v>24</v>
      </c>
      <c r="AC2419" s="1" t="s">
        <v>24</v>
      </c>
      <c r="AD2419" s="1" t="s">
        <v>24</v>
      </c>
      <c r="AE2419" s="1" t="s">
        <v>24</v>
      </c>
      <c r="AF2419" s="22"/>
    </row>
    <row r="2420" spans="1:32" x14ac:dyDescent="0.2">
      <c r="A2420" s="1">
        <v>13004</v>
      </c>
      <c r="B2420" s="1" t="s">
        <v>7698</v>
      </c>
      <c r="C2420" s="5" t="s">
        <v>0</v>
      </c>
      <c r="D2420" s="1" t="s">
        <v>7699</v>
      </c>
      <c r="F2420" s="1" t="s">
        <v>7700</v>
      </c>
      <c r="G2420" s="1" t="s">
        <v>7700</v>
      </c>
      <c r="H2420" s="1" t="s">
        <v>684</v>
      </c>
      <c r="I2420" s="1" t="s">
        <v>16</v>
      </c>
      <c r="J2420" s="1">
        <v>1</v>
      </c>
      <c r="K2420" s="1">
        <v>4</v>
      </c>
      <c r="L2420" s="1" t="s">
        <v>17</v>
      </c>
      <c r="M2420" s="1" t="s">
        <v>685</v>
      </c>
      <c r="N2420" s="1" t="s">
        <v>685</v>
      </c>
      <c r="O2420" s="1">
        <v>1</v>
      </c>
      <c r="P2420" s="1">
        <v>5</v>
      </c>
      <c r="R2420" s="1" t="s">
        <v>19</v>
      </c>
      <c r="S2420" s="1" t="s">
        <v>20</v>
      </c>
      <c r="T2420" s="1" t="s">
        <v>21</v>
      </c>
      <c r="U2420" s="1" t="s">
        <v>22</v>
      </c>
      <c r="V2420" s="1" t="s">
        <v>24</v>
      </c>
      <c r="W2420" s="1" t="s">
        <v>24</v>
      </c>
      <c r="X2420" s="1">
        <v>2725</v>
      </c>
      <c r="Y2420" s="1">
        <v>2726</v>
      </c>
      <c r="Z2420" s="1">
        <v>2739</v>
      </c>
      <c r="AA2420" s="1" t="s">
        <v>24</v>
      </c>
      <c r="AB2420" s="1" t="s">
        <v>24</v>
      </c>
      <c r="AC2420" s="1" t="s">
        <v>24</v>
      </c>
      <c r="AD2420" s="1" t="s">
        <v>24</v>
      </c>
      <c r="AE2420" s="1" t="s">
        <v>24</v>
      </c>
      <c r="AF2420" s="22"/>
    </row>
    <row r="2421" spans="1:32" x14ac:dyDescent="0.2">
      <c r="A2421" s="1">
        <v>13009</v>
      </c>
      <c r="B2421" s="1" t="s">
        <v>7701</v>
      </c>
      <c r="C2421" s="5" t="s">
        <v>0</v>
      </c>
      <c r="D2421" s="1" t="s">
        <v>7702</v>
      </c>
      <c r="E2421" s="1" t="s">
        <v>7703</v>
      </c>
      <c r="F2421" s="1" t="s">
        <v>634</v>
      </c>
      <c r="G2421" s="1" t="s">
        <v>460</v>
      </c>
      <c r="H2421" s="1" t="s">
        <v>461</v>
      </c>
      <c r="I2421" s="1" t="s">
        <v>16</v>
      </c>
      <c r="J2421" s="1">
        <v>1</v>
      </c>
      <c r="K2421" s="1">
        <v>4</v>
      </c>
      <c r="L2421" s="1" t="s">
        <v>42</v>
      </c>
      <c r="M2421" s="1" t="s">
        <v>18</v>
      </c>
      <c r="N2421" s="1" t="s">
        <v>18</v>
      </c>
      <c r="O2421" s="1">
        <v>3</v>
      </c>
      <c r="P2421" s="1">
        <v>7</v>
      </c>
      <c r="Q2421" s="7" t="s">
        <v>17633</v>
      </c>
      <c r="R2421" s="1" t="s">
        <v>19</v>
      </c>
      <c r="S2421" s="1" t="s">
        <v>20</v>
      </c>
      <c r="T2421" s="1" t="s">
        <v>21</v>
      </c>
      <c r="U2421" s="1" t="s">
        <v>22</v>
      </c>
      <c r="V2421" s="1" t="s">
        <v>24</v>
      </c>
      <c r="W2421" s="1" t="s">
        <v>24</v>
      </c>
      <c r="X2421" s="1">
        <v>2723</v>
      </c>
      <c r="Y2421" s="1" t="s">
        <v>24</v>
      </c>
      <c r="Z2421" s="1" t="s">
        <v>24</v>
      </c>
      <c r="AA2421" s="1" t="s">
        <v>24</v>
      </c>
      <c r="AB2421" s="1" t="s">
        <v>24</v>
      </c>
      <c r="AC2421" s="1" t="s">
        <v>24</v>
      </c>
      <c r="AD2421" s="1" t="s">
        <v>24</v>
      </c>
      <c r="AE2421" s="1" t="s">
        <v>24</v>
      </c>
      <c r="AF2421" s="22"/>
    </row>
    <row r="2422" spans="1:32" x14ac:dyDescent="0.2">
      <c r="A2422" s="1">
        <v>13011</v>
      </c>
      <c r="B2422" s="1" t="s">
        <v>7704</v>
      </c>
      <c r="C2422" s="5" t="s">
        <v>0</v>
      </c>
      <c r="D2422" s="1" t="s">
        <v>7705</v>
      </c>
      <c r="F2422" s="1" t="s">
        <v>452</v>
      </c>
      <c r="G2422" s="1" t="s">
        <v>452</v>
      </c>
      <c r="H2422" s="1" t="s">
        <v>453</v>
      </c>
      <c r="I2422" s="1" t="s">
        <v>16</v>
      </c>
      <c r="J2422" s="1">
        <v>1</v>
      </c>
      <c r="K2422" s="1">
        <v>4</v>
      </c>
      <c r="L2422" s="1" t="s">
        <v>17</v>
      </c>
      <c r="M2422" s="1" t="s">
        <v>3606</v>
      </c>
      <c r="N2422" s="1" t="s">
        <v>3427</v>
      </c>
      <c r="O2422" s="1">
        <v>3</v>
      </c>
      <c r="P2422" s="1">
        <v>5</v>
      </c>
      <c r="R2422" s="1" t="s">
        <v>19</v>
      </c>
      <c r="S2422" s="1" t="s">
        <v>20</v>
      </c>
      <c r="T2422" s="1" t="s">
        <v>21</v>
      </c>
      <c r="U2422" s="1" t="s">
        <v>22</v>
      </c>
      <c r="V2422" s="1" t="s">
        <v>24</v>
      </c>
      <c r="W2422" s="1" t="s">
        <v>24</v>
      </c>
      <c r="X2422" s="1">
        <v>1310</v>
      </c>
      <c r="Y2422" s="1">
        <v>2712</v>
      </c>
      <c r="Z2422" s="1" t="s">
        <v>24</v>
      </c>
      <c r="AA2422" s="1" t="s">
        <v>24</v>
      </c>
      <c r="AB2422" s="1" t="s">
        <v>24</v>
      </c>
      <c r="AC2422" s="1" t="s">
        <v>24</v>
      </c>
      <c r="AD2422" s="1" t="s">
        <v>24</v>
      </c>
      <c r="AE2422" s="1" t="s">
        <v>24</v>
      </c>
      <c r="AF2422" s="22"/>
    </row>
    <row r="2423" spans="1:32" x14ac:dyDescent="0.2">
      <c r="A2423" s="1">
        <v>13012</v>
      </c>
      <c r="B2423" s="1" t="s">
        <v>7706</v>
      </c>
      <c r="C2423" s="5" t="s">
        <v>0</v>
      </c>
      <c r="D2423" s="1" t="s">
        <v>7707</v>
      </c>
      <c r="F2423" s="1" t="s">
        <v>452</v>
      </c>
      <c r="G2423" s="1" t="s">
        <v>452</v>
      </c>
      <c r="H2423" s="1" t="s">
        <v>453</v>
      </c>
      <c r="I2423" s="1" t="s">
        <v>16</v>
      </c>
      <c r="J2423" s="1">
        <v>1</v>
      </c>
      <c r="K2423" s="1">
        <v>4</v>
      </c>
      <c r="L2423" s="1" t="s">
        <v>17</v>
      </c>
      <c r="M2423" s="1" t="s">
        <v>3606</v>
      </c>
      <c r="N2423" s="1" t="s">
        <v>3427</v>
      </c>
      <c r="O2423" s="1">
        <v>1</v>
      </c>
      <c r="P2423" s="1">
        <v>5</v>
      </c>
      <c r="R2423" s="1" t="s">
        <v>19</v>
      </c>
      <c r="S2423" s="1" t="s">
        <v>20</v>
      </c>
      <c r="T2423" s="1" t="s">
        <v>21</v>
      </c>
      <c r="U2423" s="1" t="s">
        <v>22</v>
      </c>
      <c r="V2423" s="1" t="s">
        <v>24</v>
      </c>
      <c r="W2423" s="1" t="s">
        <v>24</v>
      </c>
      <c r="X2423" s="1">
        <v>2745</v>
      </c>
      <c r="Y2423" s="1" t="s">
        <v>24</v>
      </c>
      <c r="Z2423" s="1" t="s">
        <v>24</v>
      </c>
      <c r="AA2423" s="1" t="s">
        <v>24</v>
      </c>
      <c r="AB2423" s="1" t="s">
        <v>24</v>
      </c>
      <c r="AC2423" s="1" t="s">
        <v>24</v>
      </c>
      <c r="AD2423" s="1" t="s">
        <v>24</v>
      </c>
      <c r="AE2423" s="1" t="s">
        <v>24</v>
      </c>
      <c r="AF2423" s="22"/>
    </row>
    <row r="2424" spans="1:32" x14ac:dyDescent="0.2">
      <c r="A2424" s="1">
        <v>13014</v>
      </c>
      <c r="B2424" s="1" t="s">
        <v>7708</v>
      </c>
      <c r="C2424" s="5" t="s">
        <v>0</v>
      </c>
      <c r="D2424" s="1" t="s">
        <v>7709</v>
      </c>
      <c r="E2424" s="1" t="s">
        <v>7710</v>
      </c>
      <c r="F2424" s="1" t="s">
        <v>1808</v>
      </c>
      <c r="G2424" s="1" t="s">
        <v>130</v>
      </c>
      <c r="H2424" s="1" t="s">
        <v>461</v>
      </c>
      <c r="I2424" s="1" t="s">
        <v>16</v>
      </c>
      <c r="J2424" s="1">
        <v>1</v>
      </c>
      <c r="K2424" s="1">
        <v>4</v>
      </c>
      <c r="L2424" s="1" t="s">
        <v>31</v>
      </c>
      <c r="M2424" s="1" t="s">
        <v>635</v>
      </c>
      <c r="N2424" s="1" t="s">
        <v>18</v>
      </c>
      <c r="O2424" s="1">
        <v>2</v>
      </c>
      <c r="P2424" s="1">
        <v>5</v>
      </c>
      <c r="R2424" s="1" t="s">
        <v>19</v>
      </c>
      <c r="S2424" s="1" t="s">
        <v>20</v>
      </c>
      <c r="T2424" s="1" t="s">
        <v>21</v>
      </c>
      <c r="U2424" s="1" t="s">
        <v>22</v>
      </c>
      <c r="V2424" s="1" t="s">
        <v>23</v>
      </c>
      <c r="W2424" s="1" t="s">
        <v>24</v>
      </c>
      <c r="X2424" s="1">
        <v>2741</v>
      </c>
      <c r="Y2424" s="1" t="s">
        <v>24</v>
      </c>
      <c r="Z2424" s="1" t="s">
        <v>24</v>
      </c>
      <c r="AA2424" s="1" t="s">
        <v>24</v>
      </c>
      <c r="AB2424" s="1" t="s">
        <v>24</v>
      </c>
      <c r="AC2424" s="1" t="s">
        <v>24</v>
      </c>
      <c r="AD2424" s="1" t="s">
        <v>24</v>
      </c>
      <c r="AE2424" s="1" t="s">
        <v>24</v>
      </c>
      <c r="AF2424" s="22"/>
    </row>
    <row r="2425" spans="1:32" x14ac:dyDescent="0.2">
      <c r="A2425" s="1">
        <v>13015</v>
      </c>
      <c r="B2425" s="1" t="s">
        <v>7711</v>
      </c>
      <c r="C2425" s="5" t="s">
        <v>0</v>
      </c>
      <c r="D2425" s="1" t="s">
        <v>7712</v>
      </c>
      <c r="F2425" s="1" t="s">
        <v>7713</v>
      </c>
      <c r="G2425" s="1" t="s">
        <v>7713</v>
      </c>
      <c r="H2425" s="1" t="s">
        <v>37</v>
      </c>
      <c r="I2425" s="1" t="s">
        <v>16</v>
      </c>
      <c r="J2425" s="1">
        <v>0</v>
      </c>
      <c r="K2425" s="1">
        <v>0</v>
      </c>
      <c r="L2425" s="1" t="s">
        <v>17</v>
      </c>
      <c r="M2425" s="1" t="s">
        <v>18</v>
      </c>
      <c r="N2425" s="1" t="s">
        <v>18</v>
      </c>
      <c r="O2425" s="1">
        <v>3</v>
      </c>
      <c r="P2425" s="1">
        <v>6</v>
      </c>
      <c r="R2425" s="1" t="s">
        <v>19</v>
      </c>
      <c r="S2425" s="1" t="s">
        <v>20</v>
      </c>
      <c r="T2425" s="1" t="s">
        <v>21</v>
      </c>
      <c r="U2425" s="1" t="s">
        <v>22</v>
      </c>
      <c r="V2425" s="1" t="s">
        <v>24</v>
      </c>
      <c r="W2425" s="1" t="s">
        <v>24</v>
      </c>
      <c r="X2425" s="1">
        <v>2736</v>
      </c>
      <c r="Y2425" s="1">
        <v>3004</v>
      </c>
      <c r="Z2425" s="1" t="s">
        <v>24</v>
      </c>
      <c r="AA2425" s="1" t="s">
        <v>24</v>
      </c>
      <c r="AB2425" s="1" t="s">
        <v>24</v>
      </c>
      <c r="AC2425" s="1" t="s">
        <v>24</v>
      </c>
      <c r="AD2425" s="1" t="s">
        <v>24</v>
      </c>
      <c r="AE2425" s="1" t="s">
        <v>24</v>
      </c>
      <c r="AF2425" s="22"/>
    </row>
    <row r="2426" spans="1:32" x14ac:dyDescent="0.2">
      <c r="A2426" s="1">
        <v>13017</v>
      </c>
      <c r="B2426" s="1" t="s">
        <v>7714</v>
      </c>
      <c r="C2426" s="5" t="s">
        <v>0</v>
      </c>
      <c r="D2426" s="1" t="s">
        <v>7715</v>
      </c>
      <c r="E2426" s="1" t="s">
        <v>7716</v>
      </c>
      <c r="F2426" s="1" t="s">
        <v>155</v>
      </c>
      <c r="G2426" s="1" t="s">
        <v>61</v>
      </c>
      <c r="H2426" s="1" t="s">
        <v>37</v>
      </c>
      <c r="I2426" s="1" t="s">
        <v>16</v>
      </c>
      <c r="J2426" s="1">
        <v>1</v>
      </c>
      <c r="K2426" s="1">
        <v>18</v>
      </c>
      <c r="L2426" s="1" t="s">
        <v>31</v>
      </c>
      <c r="M2426" s="1" t="s">
        <v>18</v>
      </c>
      <c r="N2426" s="1" t="s">
        <v>18</v>
      </c>
      <c r="O2426" s="1">
        <v>3</v>
      </c>
      <c r="P2426" s="1">
        <v>7</v>
      </c>
      <c r="Q2426" s="7" t="s">
        <v>17633</v>
      </c>
      <c r="R2426" s="1" t="s">
        <v>62</v>
      </c>
      <c r="S2426" s="1" t="s">
        <v>20</v>
      </c>
      <c r="T2426" s="1" t="s">
        <v>21</v>
      </c>
      <c r="U2426" s="1" t="s">
        <v>22</v>
      </c>
      <c r="V2426" s="1" t="s">
        <v>24</v>
      </c>
      <c r="W2426" s="1" t="s">
        <v>64</v>
      </c>
      <c r="X2426" s="1">
        <v>1306</v>
      </c>
      <c r="Y2426" s="1">
        <v>2730</v>
      </c>
      <c r="Z2426" s="1" t="s">
        <v>24</v>
      </c>
      <c r="AA2426" s="1" t="s">
        <v>24</v>
      </c>
      <c r="AB2426" s="1" t="s">
        <v>24</v>
      </c>
      <c r="AC2426" s="1" t="s">
        <v>24</v>
      </c>
      <c r="AD2426" s="1" t="s">
        <v>24</v>
      </c>
      <c r="AE2426" s="1" t="s">
        <v>24</v>
      </c>
      <c r="AF2426" s="22"/>
    </row>
    <row r="2427" spans="1:32" x14ac:dyDescent="0.2">
      <c r="A2427" s="1">
        <v>13018</v>
      </c>
      <c r="B2427" s="1" t="s">
        <v>7717</v>
      </c>
      <c r="C2427" s="5" t="s">
        <v>0</v>
      </c>
      <c r="D2427" s="1" t="s">
        <v>7718</v>
      </c>
      <c r="E2427" s="1" t="s">
        <v>7719</v>
      </c>
      <c r="F2427" s="1" t="s">
        <v>155</v>
      </c>
      <c r="G2427" s="1" t="s">
        <v>61</v>
      </c>
      <c r="H2427" s="1" t="s">
        <v>37</v>
      </c>
      <c r="I2427" s="1" t="s">
        <v>16</v>
      </c>
      <c r="J2427" s="1">
        <v>1</v>
      </c>
      <c r="K2427" s="1">
        <v>12</v>
      </c>
      <c r="L2427" s="1" t="s">
        <v>31</v>
      </c>
      <c r="M2427" s="1" t="s">
        <v>18</v>
      </c>
      <c r="N2427" s="1" t="s">
        <v>18</v>
      </c>
      <c r="O2427" s="1">
        <v>3</v>
      </c>
      <c r="P2427" s="1">
        <v>7</v>
      </c>
      <c r="Q2427" s="7" t="s">
        <v>17633</v>
      </c>
      <c r="R2427" s="1" t="s">
        <v>19</v>
      </c>
      <c r="S2427" s="1" t="s">
        <v>20</v>
      </c>
      <c r="T2427" s="1" t="s">
        <v>21</v>
      </c>
      <c r="U2427" s="1" t="s">
        <v>22</v>
      </c>
      <c r="V2427" s="1" t="s">
        <v>23</v>
      </c>
      <c r="W2427" s="1" t="s">
        <v>24</v>
      </c>
      <c r="X2427" s="1">
        <v>2730</v>
      </c>
      <c r="Y2427" s="1">
        <v>3504</v>
      </c>
      <c r="Z2427" s="1">
        <v>1306</v>
      </c>
      <c r="AA2427" s="1" t="s">
        <v>24</v>
      </c>
      <c r="AB2427" s="1" t="s">
        <v>24</v>
      </c>
      <c r="AC2427" s="1" t="s">
        <v>24</v>
      </c>
      <c r="AD2427" s="1" t="s">
        <v>24</v>
      </c>
      <c r="AE2427" s="1" t="s">
        <v>24</v>
      </c>
      <c r="AF2427" s="22"/>
    </row>
    <row r="2428" spans="1:32" x14ac:dyDescent="0.2">
      <c r="A2428" s="1">
        <v>13020</v>
      </c>
      <c r="B2428" s="1" t="s">
        <v>7720</v>
      </c>
      <c r="C2428" s="5" t="s">
        <v>0</v>
      </c>
      <c r="D2428" s="1" t="s">
        <v>7721</v>
      </c>
      <c r="E2428" s="1" t="s">
        <v>7722</v>
      </c>
      <c r="F2428" s="1" t="s">
        <v>7723</v>
      </c>
      <c r="G2428" s="1" t="s">
        <v>7723</v>
      </c>
      <c r="H2428" s="1" t="s">
        <v>30</v>
      </c>
      <c r="I2428" s="1" t="s">
        <v>16</v>
      </c>
      <c r="J2428" s="1">
        <v>1</v>
      </c>
      <c r="K2428" s="1">
        <v>6</v>
      </c>
      <c r="L2428" s="1" t="s">
        <v>42</v>
      </c>
      <c r="M2428" s="1" t="s">
        <v>18</v>
      </c>
      <c r="N2428" s="1" t="s">
        <v>18</v>
      </c>
      <c r="O2428" s="1">
        <v>3</v>
      </c>
      <c r="P2428" s="1">
        <v>6</v>
      </c>
      <c r="R2428" s="1" t="s">
        <v>19</v>
      </c>
      <c r="S2428" s="1" t="s">
        <v>20</v>
      </c>
      <c r="T2428" s="1" t="s">
        <v>21</v>
      </c>
      <c r="U2428" s="1" t="s">
        <v>22</v>
      </c>
      <c r="V2428" s="1" t="s">
        <v>23</v>
      </c>
      <c r="W2428" s="1" t="s">
        <v>24</v>
      </c>
      <c r="X2428" s="1">
        <v>2719</v>
      </c>
      <c r="Y2428" s="1">
        <v>2911</v>
      </c>
      <c r="Z2428" s="1">
        <v>1408</v>
      </c>
      <c r="AA2428" s="1" t="s">
        <v>24</v>
      </c>
      <c r="AB2428" s="1" t="s">
        <v>24</v>
      </c>
      <c r="AC2428" s="1" t="s">
        <v>24</v>
      </c>
      <c r="AD2428" s="1" t="s">
        <v>24</v>
      </c>
      <c r="AE2428" s="1" t="s">
        <v>24</v>
      </c>
      <c r="AF2428" s="22"/>
    </row>
    <row r="2429" spans="1:32" x14ac:dyDescent="0.2">
      <c r="A2429" s="1">
        <v>13024</v>
      </c>
      <c r="B2429" s="1" t="s">
        <v>7724</v>
      </c>
      <c r="C2429" s="5" t="s">
        <v>0</v>
      </c>
      <c r="D2429" s="1" t="s">
        <v>7725</v>
      </c>
      <c r="E2429" s="1" t="s">
        <v>7726</v>
      </c>
      <c r="F2429" s="1" t="s">
        <v>291</v>
      </c>
      <c r="G2429" s="1" t="s">
        <v>292</v>
      </c>
      <c r="H2429" s="1" t="s">
        <v>37</v>
      </c>
      <c r="I2429" s="1" t="s">
        <v>16</v>
      </c>
      <c r="J2429" s="1">
        <v>1</v>
      </c>
      <c r="K2429" s="1">
        <v>4</v>
      </c>
      <c r="L2429" s="1" t="s">
        <v>31</v>
      </c>
      <c r="M2429" s="1" t="s">
        <v>18</v>
      </c>
      <c r="N2429" s="1" t="s">
        <v>18</v>
      </c>
      <c r="O2429" s="1">
        <v>3</v>
      </c>
      <c r="P2429" s="1">
        <v>6</v>
      </c>
      <c r="R2429" s="1" t="s">
        <v>19</v>
      </c>
      <c r="S2429" s="1" t="s">
        <v>20</v>
      </c>
      <c r="T2429" s="1" t="s">
        <v>21</v>
      </c>
      <c r="U2429" s="1" t="s">
        <v>22</v>
      </c>
      <c r="V2429" s="1" t="s">
        <v>23</v>
      </c>
      <c r="W2429" s="1" t="s">
        <v>24</v>
      </c>
      <c r="X2429" s="1">
        <v>2719</v>
      </c>
      <c r="Y2429" s="1" t="s">
        <v>24</v>
      </c>
      <c r="Z2429" s="1" t="s">
        <v>24</v>
      </c>
      <c r="AA2429" s="1" t="s">
        <v>24</v>
      </c>
      <c r="AB2429" s="1" t="s">
        <v>24</v>
      </c>
      <c r="AC2429" s="1" t="s">
        <v>24</v>
      </c>
      <c r="AD2429" s="1" t="s">
        <v>24</v>
      </c>
      <c r="AE2429" s="1" t="s">
        <v>24</v>
      </c>
      <c r="AF2429" s="22"/>
    </row>
    <row r="2430" spans="1:32" x14ac:dyDescent="0.2">
      <c r="A2430" s="1">
        <v>13025</v>
      </c>
      <c r="B2430" s="1" t="s">
        <v>7727</v>
      </c>
      <c r="C2430" s="5" t="s">
        <v>0</v>
      </c>
      <c r="D2430" s="1" t="s">
        <v>7728</v>
      </c>
      <c r="E2430" s="1" t="s">
        <v>7729</v>
      </c>
      <c r="F2430" s="1" t="s">
        <v>1887</v>
      </c>
      <c r="G2430" s="1" t="s">
        <v>254</v>
      </c>
      <c r="H2430" s="1" t="s">
        <v>168</v>
      </c>
      <c r="I2430" s="1" t="s">
        <v>16</v>
      </c>
      <c r="J2430" s="1">
        <v>1</v>
      </c>
      <c r="K2430" s="1">
        <v>12</v>
      </c>
      <c r="L2430" s="1" t="s">
        <v>31</v>
      </c>
      <c r="M2430" s="1" t="s">
        <v>18</v>
      </c>
      <c r="N2430" s="1" t="s">
        <v>18</v>
      </c>
      <c r="O2430" s="1">
        <v>3</v>
      </c>
      <c r="P2430" s="1">
        <v>7</v>
      </c>
      <c r="Q2430" s="7" t="s">
        <v>17633</v>
      </c>
      <c r="R2430" s="1" t="s">
        <v>19</v>
      </c>
      <c r="S2430" s="1" t="s">
        <v>20</v>
      </c>
      <c r="T2430" s="1" t="s">
        <v>21</v>
      </c>
      <c r="U2430" s="1" t="s">
        <v>22</v>
      </c>
      <c r="V2430" s="1" t="s">
        <v>24</v>
      </c>
      <c r="W2430" s="1" t="s">
        <v>24</v>
      </c>
      <c r="X2430" s="1">
        <v>1308</v>
      </c>
      <c r="Y2430" s="1">
        <v>2704</v>
      </c>
      <c r="Z2430" s="1" t="s">
        <v>24</v>
      </c>
      <c r="AA2430" s="1" t="s">
        <v>24</v>
      </c>
      <c r="AB2430" s="1" t="s">
        <v>24</v>
      </c>
      <c r="AC2430" s="1" t="s">
        <v>24</v>
      </c>
      <c r="AD2430" s="1" t="s">
        <v>24</v>
      </c>
      <c r="AE2430" s="1" t="s">
        <v>24</v>
      </c>
      <c r="AF2430" s="22"/>
    </row>
    <row r="2431" spans="1:32" x14ac:dyDescent="0.2">
      <c r="A2431" s="1">
        <v>13027</v>
      </c>
      <c r="B2431" s="1" t="s">
        <v>7730</v>
      </c>
      <c r="C2431" s="5" t="s">
        <v>0</v>
      </c>
      <c r="D2431" s="1" t="s">
        <v>7731</v>
      </c>
      <c r="E2431" s="1" t="s">
        <v>7732</v>
      </c>
      <c r="F2431" s="1" t="s">
        <v>28</v>
      </c>
      <c r="G2431" s="1" t="s">
        <v>29</v>
      </c>
      <c r="H2431" s="1" t="s">
        <v>30</v>
      </c>
      <c r="I2431" s="1" t="s">
        <v>16</v>
      </c>
      <c r="J2431" s="1">
        <v>1</v>
      </c>
      <c r="K2431" s="1">
        <v>4</v>
      </c>
      <c r="L2431" s="1" t="s">
        <v>31</v>
      </c>
      <c r="M2431" s="1" t="s">
        <v>18</v>
      </c>
      <c r="N2431" s="1" t="s">
        <v>18</v>
      </c>
      <c r="O2431" s="1">
        <v>3</v>
      </c>
      <c r="P2431" s="1">
        <v>6</v>
      </c>
      <c r="R2431" s="1" t="s">
        <v>19</v>
      </c>
      <c r="S2431" s="1" t="s">
        <v>20</v>
      </c>
      <c r="T2431" s="1" t="s">
        <v>21</v>
      </c>
      <c r="U2431" s="1" t="s">
        <v>22</v>
      </c>
      <c r="V2431" s="1" t="s">
        <v>23</v>
      </c>
      <c r="W2431" s="1" t="s">
        <v>24</v>
      </c>
      <c r="X2431" s="1">
        <v>2738</v>
      </c>
      <c r="Y2431" s="1">
        <v>2801</v>
      </c>
      <c r="Z2431" s="1" t="s">
        <v>24</v>
      </c>
      <c r="AA2431" s="1" t="s">
        <v>24</v>
      </c>
      <c r="AB2431" s="1" t="s">
        <v>24</v>
      </c>
      <c r="AC2431" s="1" t="s">
        <v>24</v>
      </c>
      <c r="AD2431" s="1" t="s">
        <v>24</v>
      </c>
      <c r="AE2431" s="1" t="s">
        <v>24</v>
      </c>
      <c r="AF2431" s="22"/>
    </row>
    <row r="2432" spans="1:32" x14ac:dyDescent="0.2">
      <c r="A2432" s="1">
        <v>13028</v>
      </c>
      <c r="B2432" s="1" t="s">
        <v>7733</v>
      </c>
      <c r="C2432" s="5" t="s">
        <v>0</v>
      </c>
      <c r="D2432" s="1" t="s">
        <v>7734</v>
      </c>
      <c r="E2432" s="1" t="s">
        <v>7735</v>
      </c>
      <c r="F2432" s="1" t="s">
        <v>55</v>
      </c>
      <c r="G2432" s="1" t="s">
        <v>56</v>
      </c>
      <c r="H2432" s="1" t="s">
        <v>37</v>
      </c>
      <c r="I2432" s="1" t="s">
        <v>16</v>
      </c>
      <c r="J2432" s="1">
        <v>1</v>
      </c>
      <c r="K2432" s="1">
        <v>8</v>
      </c>
      <c r="L2432" s="1" t="s">
        <v>31</v>
      </c>
      <c r="M2432" s="1" t="s">
        <v>18</v>
      </c>
      <c r="N2432" s="1" t="s">
        <v>18</v>
      </c>
      <c r="O2432" s="1">
        <v>3</v>
      </c>
      <c r="P2432" s="1">
        <v>6</v>
      </c>
      <c r="R2432" s="1" t="s">
        <v>19</v>
      </c>
      <c r="S2432" s="1" t="s">
        <v>20</v>
      </c>
      <c r="T2432" s="1" t="s">
        <v>21</v>
      </c>
      <c r="U2432" s="1" t="s">
        <v>22</v>
      </c>
      <c r="V2432" s="1" t="s">
        <v>24</v>
      </c>
      <c r="W2432" s="1" t="s">
        <v>24</v>
      </c>
      <c r="X2432" s="1">
        <v>3400</v>
      </c>
      <c r="Y2432" s="1">
        <v>2725</v>
      </c>
      <c r="Z2432" s="1" t="s">
        <v>24</v>
      </c>
      <c r="AA2432" s="1" t="s">
        <v>24</v>
      </c>
      <c r="AB2432" s="1" t="s">
        <v>24</v>
      </c>
      <c r="AC2432" s="1" t="s">
        <v>24</v>
      </c>
      <c r="AD2432" s="1" t="s">
        <v>24</v>
      </c>
      <c r="AE2432" s="1" t="s">
        <v>24</v>
      </c>
      <c r="AF2432" s="22"/>
    </row>
    <row r="2433" spans="1:32" x14ac:dyDescent="0.2">
      <c r="A2433" s="1">
        <v>13029</v>
      </c>
      <c r="B2433" s="1" t="s">
        <v>7736</v>
      </c>
      <c r="C2433" s="5" t="s">
        <v>0</v>
      </c>
      <c r="D2433" s="1" t="s">
        <v>7737</v>
      </c>
      <c r="E2433" s="1" t="s">
        <v>7738</v>
      </c>
      <c r="F2433" s="1" t="s">
        <v>55</v>
      </c>
      <c r="G2433" s="1" t="s">
        <v>56</v>
      </c>
      <c r="H2433" s="1" t="s">
        <v>37</v>
      </c>
      <c r="I2433" s="1" t="s">
        <v>16</v>
      </c>
      <c r="J2433" s="1">
        <v>6</v>
      </c>
      <c r="K2433" s="1">
        <v>2</v>
      </c>
      <c r="L2433" s="1" t="s">
        <v>31</v>
      </c>
      <c r="M2433" s="1" t="s">
        <v>18</v>
      </c>
      <c r="N2433" s="1" t="s">
        <v>18</v>
      </c>
      <c r="O2433" s="1">
        <v>3</v>
      </c>
      <c r="P2433" s="1">
        <v>6</v>
      </c>
      <c r="R2433" s="1" t="s">
        <v>62</v>
      </c>
      <c r="S2433" s="1" t="s">
        <v>20</v>
      </c>
      <c r="T2433" s="1" t="s">
        <v>21</v>
      </c>
      <c r="U2433" s="1" t="s">
        <v>22</v>
      </c>
      <c r="V2433" s="1" t="s">
        <v>24</v>
      </c>
      <c r="W2433" s="1" t="s">
        <v>24</v>
      </c>
      <c r="X2433" s="1">
        <v>3005</v>
      </c>
      <c r="Y2433" s="1" t="s">
        <v>24</v>
      </c>
      <c r="Z2433" s="1" t="s">
        <v>24</v>
      </c>
      <c r="AA2433" s="1" t="s">
        <v>24</v>
      </c>
      <c r="AB2433" s="1" t="s">
        <v>24</v>
      </c>
      <c r="AC2433" s="1" t="s">
        <v>24</v>
      </c>
      <c r="AD2433" s="1" t="s">
        <v>24</v>
      </c>
      <c r="AE2433" s="1" t="s">
        <v>24</v>
      </c>
      <c r="AF2433" s="22"/>
    </row>
    <row r="2434" spans="1:32" x14ac:dyDescent="0.2">
      <c r="A2434" s="1">
        <v>13031</v>
      </c>
      <c r="B2434" s="1" t="s">
        <v>7739</v>
      </c>
      <c r="C2434" s="5" t="s">
        <v>0</v>
      </c>
      <c r="D2434" s="1" t="s">
        <v>7740</v>
      </c>
      <c r="E2434" s="1" t="s">
        <v>7741</v>
      </c>
      <c r="F2434" s="1" t="s">
        <v>291</v>
      </c>
      <c r="G2434" s="1" t="s">
        <v>292</v>
      </c>
      <c r="H2434" s="1" t="s">
        <v>37</v>
      </c>
      <c r="I2434" s="1" t="s">
        <v>16</v>
      </c>
      <c r="J2434" s="1">
        <v>1</v>
      </c>
      <c r="K2434" s="1">
        <v>4</v>
      </c>
      <c r="L2434" s="1" t="s">
        <v>31</v>
      </c>
      <c r="M2434" s="1" t="s">
        <v>18</v>
      </c>
      <c r="N2434" s="1" t="s">
        <v>18</v>
      </c>
      <c r="O2434" s="1">
        <v>3</v>
      </c>
      <c r="P2434" s="1">
        <v>7</v>
      </c>
      <c r="Q2434" s="7" t="s">
        <v>17633</v>
      </c>
      <c r="R2434" s="1" t="s">
        <v>19</v>
      </c>
      <c r="S2434" s="1" t="s">
        <v>20</v>
      </c>
      <c r="T2434" s="1" t="s">
        <v>21</v>
      </c>
      <c r="U2434" s="1" t="s">
        <v>22</v>
      </c>
      <c r="V2434" s="1" t="s">
        <v>23</v>
      </c>
      <c r="W2434" s="1" t="s">
        <v>24</v>
      </c>
      <c r="X2434" s="1">
        <v>2729</v>
      </c>
      <c r="Y2434" s="1">
        <v>2736</v>
      </c>
      <c r="Z2434" s="1">
        <v>2743</v>
      </c>
      <c r="AA2434" s="1" t="s">
        <v>24</v>
      </c>
      <c r="AB2434" s="1" t="s">
        <v>24</v>
      </c>
      <c r="AC2434" s="1" t="s">
        <v>24</v>
      </c>
      <c r="AD2434" s="1" t="s">
        <v>24</v>
      </c>
      <c r="AE2434" s="1" t="s">
        <v>24</v>
      </c>
      <c r="AF2434" s="22"/>
    </row>
    <row r="2435" spans="1:32" x14ac:dyDescent="0.2">
      <c r="A2435" s="1">
        <v>13034</v>
      </c>
      <c r="B2435" s="1" t="s">
        <v>7742</v>
      </c>
      <c r="C2435" s="5" t="s">
        <v>0</v>
      </c>
      <c r="D2435" s="1" t="s">
        <v>7743</v>
      </c>
      <c r="E2435" s="1" t="s">
        <v>7744</v>
      </c>
      <c r="F2435" s="1" t="s">
        <v>272</v>
      </c>
      <c r="G2435" s="1" t="s">
        <v>61</v>
      </c>
      <c r="H2435" s="1" t="s">
        <v>30</v>
      </c>
      <c r="I2435" s="1" t="s">
        <v>16</v>
      </c>
      <c r="J2435" s="1">
        <v>3</v>
      </c>
      <c r="K2435" s="1">
        <v>4</v>
      </c>
      <c r="L2435" s="1" t="s">
        <v>31</v>
      </c>
      <c r="M2435" s="1" t="s">
        <v>18</v>
      </c>
      <c r="N2435" s="1" t="s">
        <v>18</v>
      </c>
      <c r="O2435" s="1">
        <v>3</v>
      </c>
      <c r="P2435" s="1">
        <v>6</v>
      </c>
      <c r="R2435" s="1" t="s">
        <v>19</v>
      </c>
      <c r="S2435" s="1" t="s">
        <v>63</v>
      </c>
      <c r="T2435" s="1" t="s">
        <v>21</v>
      </c>
      <c r="U2435" s="1" t="s">
        <v>22</v>
      </c>
      <c r="V2435" s="1" t="s">
        <v>24</v>
      </c>
      <c r="W2435" s="1" t="s">
        <v>24</v>
      </c>
      <c r="X2435" s="1">
        <v>1303</v>
      </c>
      <c r="Y2435" s="1">
        <v>1312</v>
      </c>
      <c r="Z2435" s="1">
        <v>1314</v>
      </c>
      <c r="AA2435" s="1" t="s">
        <v>24</v>
      </c>
      <c r="AB2435" s="1" t="s">
        <v>24</v>
      </c>
      <c r="AC2435" s="1" t="s">
        <v>24</v>
      </c>
      <c r="AD2435" s="1" t="s">
        <v>24</v>
      </c>
      <c r="AE2435" s="1" t="s">
        <v>24</v>
      </c>
      <c r="AF2435" s="22" t="s">
        <v>17664</v>
      </c>
    </row>
    <row r="2436" spans="1:32" x14ac:dyDescent="0.2">
      <c r="A2436" s="1">
        <v>13037</v>
      </c>
      <c r="B2436" s="1" t="s">
        <v>7745</v>
      </c>
      <c r="C2436" s="5" t="s">
        <v>0</v>
      </c>
      <c r="D2436" s="1" t="s">
        <v>7746</v>
      </c>
      <c r="F2436" s="1" t="s">
        <v>412</v>
      </c>
      <c r="G2436" s="1" t="s">
        <v>372</v>
      </c>
      <c r="H2436" s="1" t="s">
        <v>168</v>
      </c>
      <c r="I2436" s="1" t="s">
        <v>16</v>
      </c>
      <c r="J2436" s="1">
        <v>0</v>
      </c>
      <c r="K2436" s="1">
        <v>0</v>
      </c>
      <c r="L2436" s="1" t="s">
        <v>31</v>
      </c>
      <c r="M2436" s="1" t="s">
        <v>413</v>
      </c>
      <c r="N2436" s="1" t="s">
        <v>18</v>
      </c>
      <c r="O2436" s="1">
        <v>2</v>
      </c>
      <c r="P2436" s="1">
        <v>5</v>
      </c>
      <c r="R2436" s="1" t="s">
        <v>19</v>
      </c>
      <c r="S2436" s="1" t="s">
        <v>63</v>
      </c>
      <c r="T2436" s="1" t="s">
        <v>21</v>
      </c>
      <c r="U2436" s="1" t="s">
        <v>22</v>
      </c>
      <c r="V2436" s="1" t="s">
        <v>24</v>
      </c>
      <c r="W2436" s="1" t="s">
        <v>24</v>
      </c>
      <c r="X2436" s="1">
        <v>2745</v>
      </c>
      <c r="Y2436" s="1" t="s">
        <v>24</v>
      </c>
      <c r="Z2436" s="1" t="s">
        <v>24</v>
      </c>
      <c r="AA2436" s="1" t="s">
        <v>24</v>
      </c>
      <c r="AB2436" s="1" t="s">
        <v>24</v>
      </c>
      <c r="AC2436" s="1" t="s">
        <v>24</v>
      </c>
      <c r="AD2436" s="1" t="s">
        <v>24</v>
      </c>
      <c r="AE2436" s="1" t="s">
        <v>24</v>
      </c>
      <c r="AF2436" s="22"/>
    </row>
    <row r="2437" spans="1:32" x14ac:dyDescent="0.2">
      <c r="A2437" s="1">
        <v>13038</v>
      </c>
      <c r="B2437" s="1" t="s">
        <v>7747</v>
      </c>
      <c r="C2437" s="5" t="s">
        <v>0</v>
      </c>
      <c r="D2437" s="1" t="s">
        <v>7748</v>
      </c>
      <c r="E2437" s="1" t="s">
        <v>7749</v>
      </c>
      <c r="F2437" s="1" t="s">
        <v>159</v>
      </c>
      <c r="G2437" s="1" t="s">
        <v>160</v>
      </c>
      <c r="H2437" s="1" t="s">
        <v>37</v>
      </c>
      <c r="I2437" s="1" t="s">
        <v>16</v>
      </c>
      <c r="J2437" s="1">
        <v>1</v>
      </c>
      <c r="K2437" s="1">
        <v>8</v>
      </c>
      <c r="L2437" s="1" t="s">
        <v>42</v>
      </c>
      <c r="M2437" s="1" t="s">
        <v>18</v>
      </c>
      <c r="N2437" s="1" t="s">
        <v>18</v>
      </c>
      <c r="O2437" s="1">
        <v>3</v>
      </c>
      <c r="P2437" s="1">
        <v>7</v>
      </c>
      <c r="Q2437" s="7" t="s">
        <v>17633</v>
      </c>
      <c r="R2437" s="1" t="s">
        <v>19</v>
      </c>
      <c r="S2437" s="1" t="s">
        <v>20</v>
      </c>
      <c r="T2437" s="1" t="s">
        <v>21</v>
      </c>
      <c r="U2437" s="1" t="s">
        <v>22</v>
      </c>
      <c r="V2437" s="1" t="s">
        <v>24</v>
      </c>
      <c r="W2437" s="1" t="s">
        <v>24</v>
      </c>
      <c r="X2437" s="1">
        <v>2708</v>
      </c>
      <c r="Y2437" s="1">
        <v>2725</v>
      </c>
      <c r="Z2437" s="1" t="s">
        <v>24</v>
      </c>
      <c r="AA2437" s="1" t="s">
        <v>24</v>
      </c>
      <c r="AB2437" s="1" t="s">
        <v>24</v>
      </c>
      <c r="AC2437" s="1" t="s">
        <v>24</v>
      </c>
      <c r="AD2437" s="1" t="s">
        <v>24</v>
      </c>
      <c r="AE2437" s="1" t="s">
        <v>24</v>
      </c>
      <c r="AF2437" s="22"/>
    </row>
    <row r="2438" spans="1:32" x14ac:dyDescent="0.2">
      <c r="A2438" s="1">
        <v>13039</v>
      </c>
      <c r="B2438" s="1" t="s">
        <v>7750</v>
      </c>
      <c r="C2438" s="5" t="s">
        <v>0</v>
      </c>
      <c r="D2438" s="1" t="s">
        <v>7751</v>
      </c>
      <c r="F2438" s="1" t="s">
        <v>1372</v>
      </c>
      <c r="G2438" s="1" t="s">
        <v>3649</v>
      </c>
      <c r="H2438" s="1" t="s">
        <v>878</v>
      </c>
      <c r="I2438" s="1" t="s">
        <v>16</v>
      </c>
      <c r="J2438" s="1">
        <v>1</v>
      </c>
      <c r="K2438" s="1">
        <v>6</v>
      </c>
      <c r="L2438" s="1" t="s">
        <v>42</v>
      </c>
      <c r="M2438" s="1" t="s">
        <v>117</v>
      </c>
      <c r="N2438" s="1" t="s">
        <v>118</v>
      </c>
      <c r="O2438" s="1">
        <v>1</v>
      </c>
      <c r="P2438" s="1">
        <v>5</v>
      </c>
      <c r="R2438" s="1" t="s">
        <v>19</v>
      </c>
      <c r="S2438" s="1" t="s">
        <v>20</v>
      </c>
      <c r="T2438" s="1" t="s">
        <v>21</v>
      </c>
      <c r="U2438" s="1" t="s">
        <v>22</v>
      </c>
      <c r="V2438" s="1" t="s">
        <v>24</v>
      </c>
      <c r="W2438" s="1" t="s">
        <v>24</v>
      </c>
      <c r="X2438" s="1">
        <v>2724</v>
      </c>
      <c r="Y2438" s="1" t="s">
        <v>24</v>
      </c>
      <c r="Z2438" s="1" t="s">
        <v>24</v>
      </c>
      <c r="AA2438" s="1" t="s">
        <v>24</v>
      </c>
      <c r="AB2438" s="1" t="s">
        <v>24</v>
      </c>
      <c r="AC2438" s="1" t="s">
        <v>24</v>
      </c>
      <c r="AD2438" s="1" t="s">
        <v>24</v>
      </c>
      <c r="AE2438" s="1" t="s">
        <v>24</v>
      </c>
      <c r="AF2438" s="22"/>
    </row>
    <row r="2439" spans="1:32" x14ac:dyDescent="0.2">
      <c r="A2439" s="1">
        <v>13040</v>
      </c>
      <c r="B2439" s="1" t="s">
        <v>7752</v>
      </c>
      <c r="C2439" s="5" t="s">
        <v>0</v>
      </c>
      <c r="D2439" s="1" t="s">
        <v>7753</v>
      </c>
      <c r="F2439" s="1" t="s">
        <v>1130</v>
      </c>
      <c r="G2439" s="1" t="s">
        <v>1130</v>
      </c>
      <c r="H2439" s="1" t="s">
        <v>135</v>
      </c>
      <c r="I2439" s="1" t="s">
        <v>16</v>
      </c>
      <c r="J2439" s="1">
        <v>1</v>
      </c>
      <c r="K2439" s="1">
        <v>6</v>
      </c>
      <c r="L2439" s="1" t="s">
        <v>17</v>
      </c>
      <c r="M2439" s="1" t="s">
        <v>1612</v>
      </c>
      <c r="N2439" s="1" t="s">
        <v>7754</v>
      </c>
      <c r="O2439" s="1">
        <v>1</v>
      </c>
      <c r="P2439" s="1">
        <v>5</v>
      </c>
      <c r="R2439" s="1" t="s">
        <v>19</v>
      </c>
      <c r="S2439" s="1" t="s">
        <v>20</v>
      </c>
      <c r="T2439" s="1" t="s">
        <v>21</v>
      </c>
      <c r="U2439" s="1" t="s">
        <v>22</v>
      </c>
      <c r="V2439" s="1" t="s">
        <v>24</v>
      </c>
      <c r="W2439" s="1" t="s">
        <v>24</v>
      </c>
      <c r="X2439" s="1">
        <v>2738</v>
      </c>
      <c r="Y2439" s="1" t="s">
        <v>24</v>
      </c>
      <c r="Z2439" s="1" t="s">
        <v>24</v>
      </c>
      <c r="AA2439" s="1" t="s">
        <v>24</v>
      </c>
      <c r="AB2439" s="1" t="s">
        <v>24</v>
      </c>
      <c r="AC2439" s="1" t="s">
        <v>24</v>
      </c>
      <c r="AD2439" s="1" t="s">
        <v>24</v>
      </c>
      <c r="AE2439" s="1" t="s">
        <v>24</v>
      </c>
      <c r="AF2439" s="22"/>
    </row>
    <row r="2440" spans="1:32" x14ac:dyDescent="0.2">
      <c r="A2440" s="1">
        <v>13043</v>
      </c>
      <c r="B2440" s="1" t="s">
        <v>7755</v>
      </c>
      <c r="C2440" s="5" t="s">
        <v>0</v>
      </c>
      <c r="D2440" s="1" t="s">
        <v>7756</v>
      </c>
      <c r="F2440" s="1" t="s">
        <v>4824</v>
      </c>
      <c r="G2440" s="1" t="s">
        <v>4824</v>
      </c>
      <c r="H2440" s="1" t="s">
        <v>168</v>
      </c>
      <c r="I2440" s="1" t="s">
        <v>16</v>
      </c>
      <c r="J2440" s="1">
        <v>0</v>
      </c>
      <c r="K2440" s="1">
        <v>0</v>
      </c>
      <c r="L2440" s="1" t="s">
        <v>17</v>
      </c>
      <c r="M2440" s="1" t="s">
        <v>413</v>
      </c>
      <c r="N2440" s="1" t="s">
        <v>679</v>
      </c>
      <c r="O2440" s="1">
        <v>0</v>
      </c>
      <c r="P2440" s="1">
        <v>5</v>
      </c>
      <c r="R2440" s="1" t="s">
        <v>19</v>
      </c>
      <c r="S2440" s="1" t="s">
        <v>20</v>
      </c>
      <c r="T2440" s="1" t="s">
        <v>21</v>
      </c>
      <c r="U2440" s="1" t="s">
        <v>22</v>
      </c>
      <c r="V2440" s="1" t="s">
        <v>24</v>
      </c>
      <c r="W2440" s="1" t="s">
        <v>24</v>
      </c>
      <c r="X2440" s="1">
        <v>2736</v>
      </c>
      <c r="Y2440" s="1">
        <v>2738</v>
      </c>
      <c r="Z2440" s="1" t="s">
        <v>24</v>
      </c>
      <c r="AA2440" s="1" t="s">
        <v>24</v>
      </c>
      <c r="AB2440" s="1" t="s">
        <v>24</v>
      </c>
      <c r="AC2440" s="1" t="s">
        <v>24</v>
      </c>
      <c r="AD2440" s="1" t="s">
        <v>24</v>
      </c>
      <c r="AE2440" s="1" t="s">
        <v>24</v>
      </c>
      <c r="AF2440" s="22"/>
    </row>
    <row r="2441" spans="1:32" x14ac:dyDescent="0.2">
      <c r="A2441" s="1">
        <v>13053</v>
      </c>
      <c r="B2441" s="1" t="s">
        <v>7757</v>
      </c>
      <c r="C2441" s="5" t="s">
        <v>0</v>
      </c>
      <c r="D2441" s="1" t="s">
        <v>7758</v>
      </c>
      <c r="E2441" s="1" t="s">
        <v>7759</v>
      </c>
      <c r="F2441" s="1" t="s">
        <v>217</v>
      </c>
      <c r="G2441" s="1" t="s">
        <v>130</v>
      </c>
      <c r="H2441" s="1" t="s">
        <v>92</v>
      </c>
      <c r="I2441" s="1" t="s">
        <v>16</v>
      </c>
      <c r="J2441" s="1">
        <v>1</v>
      </c>
      <c r="K2441" s="1">
        <v>6</v>
      </c>
      <c r="L2441" s="1" t="s">
        <v>31</v>
      </c>
      <c r="M2441" s="1" t="s">
        <v>18</v>
      </c>
      <c r="N2441" s="1" t="s">
        <v>18</v>
      </c>
      <c r="O2441" s="1">
        <v>3</v>
      </c>
      <c r="P2441" s="1">
        <v>7</v>
      </c>
      <c r="Q2441" s="7" t="s">
        <v>17633</v>
      </c>
      <c r="R2441" s="1" t="s">
        <v>19</v>
      </c>
      <c r="S2441" s="1" t="s">
        <v>20</v>
      </c>
      <c r="T2441" s="1" t="s">
        <v>21</v>
      </c>
      <c r="U2441" s="1" t="s">
        <v>22</v>
      </c>
      <c r="V2441" s="1" t="s">
        <v>23</v>
      </c>
      <c r="W2441" s="1" t="s">
        <v>24</v>
      </c>
      <c r="X2441" s="1">
        <v>2703</v>
      </c>
      <c r="Y2441" s="1">
        <v>2706</v>
      </c>
      <c r="Z2441" s="1">
        <v>2718</v>
      </c>
      <c r="AA2441" s="1" t="s">
        <v>24</v>
      </c>
      <c r="AB2441" s="1" t="s">
        <v>24</v>
      </c>
      <c r="AC2441" s="1" t="s">
        <v>24</v>
      </c>
      <c r="AD2441" s="1" t="s">
        <v>24</v>
      </c>
      <c r="AE2441" s="1" t="s">
        <v>24</v>
      </c>
      <c r="AF2441" s="22"/>
    </row>
    <row r="2442" spans="1:32" x14ac:dyDescent="0.2">
      <c r="A2442" s="1">
        <v>13213</v>
      </c>
      <c r="B2442" s="1" t="s">
        <v>7760</v>
      </c>
      <c r="C2442" s="5" t="s">
        <v>0</v>
      </c>
      <c r="D2442" s="1" t="s">
        <v>7761</v>
      </c>
      <c r="F2442" s="1" t="s">
        <v>7462</v>
      </c>
      <c r="G2442" s="1" t="s">
        <v>7462</v>
      </c>
      <c r="H2442" s="1" t="s">
        <v>30</v>
      </c>
      <c r="I2442" s="1" t="s">
        <v>16</v>
      </c>
      <c r="J2442" s="1">
        <v>0</v>
      </c>
      <c r="K2442" s="1">
        <v>0</v>
      </c>
      <c r="L2442" s="1" t="s">
        <v>42</v>
      </c>
      <c r="M2442" s="1" t="s">
        <v>18</v>
      </c>
      <c r="N2442" s="1" t="s">
        <v>18</v>
      </c>
      <c r="O2442" s="1">
        <v>3</v>
      </c>
      <c r="P2442" s="1">
        <v>6</v>
      </c>
      <c r="R2442" s="1" t="s">
        <v>19</v>
      </c>
      <c r="S2442" s="1" t="s">
        <v>20</v>
      </c>
      <c r="T2442" s="1" t="s">
        <v>21</v>
      </c>
      <c r="U2442" s="1" t="s">
        <v>22</v>
      </c>
      <c r="V2442" s="1" t="s">
        <v>24</v>
      </c>
      <c r="W2442" s="1" t="s">
        <v>24</v>
      </c>
      <c r="X2442" s="1">
        <v>2705</v>
      </c>
      <c r="Y2442" s="1" t="s">
        <v>24</v>
      </c>
      <c r="Z2442" s="1" t="s">
        <v>24</v>
      </c>
      <c r="AA2442" s="1" t="s">
        <v>24</v>
      </c>
      <c r="AB2442" s="1" t="s">
        <v>24</v>
      </c>
      <c r="AC2442" s="1" t="s">
        <v>24</v>
      </c>
      <c r="AD2442" s="1" t="s">
        <v>24</v>
      </c>
      <c r="AE2442" s="1" t="s">
        <v>24</v>
      </c>
      <c r="AF2442" s="22"/>
    </row>
    <row r="2443" spans="1:32" x14ac:dyDescent="0.2">
      <c r="A2443" s="1">
        <v>13214</v>
      </c>
      <c r="B2443" s="1" t="s">
        <v>7762</v>
      </c>
      <c r="C2443" s="5" t="s">
        <v>0</v>
      </c>
      <c r="D2443" s="1" t="s">
        <v>7763</v>
      </c>
      <c r="E2443" s="1" t="s">
        <v>7764</v>
      </c>
      <c r="F2443" s="1" t="s">
        <v>669</v>
      </c>
      <c r="G2443" s="1" t="s">
        <v>311</v>
      </c>
      <c r="H2443" s="1" t="s">
        <v>30</v>
      </c>
      <c r="I2443" s="1" t="s">
        <v>16</v>
      </c>
      <c r="J2443" s="1">
        <v>1</v>
      </c>
      <c r="K2443" s="1">
        <v>14</v>
      </c>
      <c r="L2443" s="1" t="s">
        <v>31</v>
      </c>
      <c r="M2443" s="1" t="s">
        <v>18</v>
      </c>
      <c r="N2443" s="1" t="s">
        <v>18</v>
      </c>
      <c r="O2443" s="1">
        <v>3</v>
      </c>
      <c r="P2443" s="1">
        <v>6</v>
      </c>
      <c r="R2443" s="1" t="s">
        <v>19</v>
      </c>
      <c r="S2443" s="1" t="s">
        <v>20</v>
      </c>
      <c r="T2443" s="1" t="s">
        <v>21</v>
      </c>
      <c r="U2443" s="1" t="s">
        <v>22</v>
      </c>
      <c r="V2443" s="1" t="s">
        <v>24</v>
      </c>
      <c r="W2443" s="1" t="s">
        <v>24</v>
      </c>
      <c r="X2443" s="1">
        <v>2305</v>
      </c>
      <c r="Y2443" s="1" t="s">
        <v>24</v>
      </c>
      <c r="Z2443" s="1" t="s">
        <v>24</v>
      </c>
      <c r="AA2443" s="1" t="s">
        <v>24</v>
      </c>
      <c r="AB2443" s="1" t="s">
        <v>24</v>
      </c>
      <c r="AC2443" s="1" t="s">
        <v>24</v>
      </c>
      <c r="AD2443" s="1" t="s">
        <v>24</v>
      </c>
      <c r="AE2443" s="1" t="s">
        <v>24</v>
      </c>
      <c r="AF2443" s="22"/>
    </row>
    <row r="2444" spans="1:32" x14ac:dyDescent="0.2">
      <c r="A2444" s="1">
        <v>13345</v>
      </c>
      <c r="B2444" s="1" t="s">
        <v>7765</v>
      </c>
      <c r="C2444" s="5" t="s">
        <v>0</v>
      </c>
      <c r="D2444" s="1" t="s">
        <v>7766</v>
      </c>
      <c r="E2444" s="1" t="s">
        <v>7767</v>
      </c>
      <c r="F2444" s="1" t="s">
        <v>28</v>
      </c>
      <c r="G2444" s="1" t="s">
        <v>29</v>
      </c>
      <c r="H2444" s="1" t="s">
        <v>30</v>
      </c>
      <c r="I2444" s="1" t="s">
        <v>16</v>
      </c>
      <c r="J2444" s="1">
        <v>1</v>
      </c>
      <c r="K2444" s="1">
        <v>6</v>
      </c>
      <c r="L2444" s="1" t="s">
        <v>31</v>
      </c>
      <c r="M2444" s="1" t="s">
        <v>18</v>
      </c>
      <c r="N2444" s="1" t="s">
        <v>18</v>
      </c>
      <c r="O2444" s="1">
        <v>3</v>
      </c>
      <c r="P2444" s="1">
        <v>7</v>
      </c>
      <c r="Q2444" s="7" t="s">
        <v>17633</v>
      </c>
      <c r="R2444" s="1" t="s">
        <v>19</v>
      </c>
      <c r="S2444" s="1" t="s">
        <v>20</v>
      </c>
      <c r="T2444" s="1" t="s">
        <v>21</v>
      </c>
      <c r="U2444" s="1" t="s">
        <v>22</v>
      </c>
      <c r="V2444" s="1" t="s">
        <v>23</v>
      </c>
      <c r="W2444" s="1" t="s">
        <v>24</v>
      </c>
      <c r="X2444" s="1">
        <v>2703</v>
      </c>
      <c r="Y2444" s="1" t="s">
        <v>24</v>
      </c>
      <c r="Z2444" s="1" t="s">
        <v>24</v>
      </c>
      <c r="AA2444" s="1" t="s">
        <v>24</v>
      </c>
      <c r="AB2444" s="1" t="s">
        <v>24</v>
      </c>
      <c r="AC2444" s="1" t="s">
        <v>24</v>
      </c>
      <c r="AD2444" s="1" t="s">
        <v>24</v>
      </c>
      <c r="AE2444" s="1" t="s">
        <v>24</v>
      </c>
      <c r="AF2444" s="22"/>
    </row>
    <row r="2445" spans="1:32" x14ac:dyDescent="0.2">
      <c r="A2445" s="1">
        <v>13490</v>
      </c>
      <c r="B2445" s="1" t="s">
        <v>7768</v>
      </c>
      <c r="C2445" s="5" t="s">
        <v>0</v>
      </c>
      <c r="D2445" s="1" t="s">
        <v>7769</v>
      </c>
      <c r="E2445" s="1" t="s">
        <v>7770</v>
      </c>
      <c r="F2445" s="1" t="s">
        <v>291</v>
      </c>
      <c r="G2445" s="1" t="s">
        <v>292</v>
      </c>
      <c r="H2445" s="1" t="s">
        <v>37</v>
      </c>
      <c r="I2445" s="1" t="s">
        <v>16</v>
      </c>
      <c r="J2445" s="1">
        <v>1</v>
      </c>
      <c r="K2445" s="1">
        <v>9</v>
      </c>
      <c r="L2445" s="1" t="s">
        <v>31</v>
      </c>
      <c r="M2445" s="1" t="s">
        <v>18</v>
      </c>
      <c r="N2445" s="1" t="s">
        <v>18</v>
      </c>
      <c r="O2445" s="1">
        <v>2</v>
      </c>
      <c r="P2445" s="1">
        <v>6</v>
      </c>
      <c r="R2445" s="1" t="s">
        <v>19</v>
      </c>
      <c r="S2445" s="1" t="s">
        <v>20</v>
      </c>
      <c r="T2445" s="1" t="s">
        <v>21</v>
      </c>
      <c r="U2445" s="1" t="s">
        <v>22</v>
      </c>
      <c r="V2445" s="1" t="s">
        <v>24</v>
      </c>
      <c r="W2445" s="1" t="s">
        <v>24</v>
      </c>
      <c r="X2445" s="1">
        <v>3002</v>
      </c>
      <c r="Y2445" s="1">
        <v>3004</v>
      </c>
      <c r="Z2445" s="1">
        <v>3003</v>
      </c>
      <c r="AA2445" s="1">
        <v>2707</v>
      </c>
      <c r="AB2445" s="1">
        <v>1313</v>
      </c>
      <c r="AC2445" s="1" t="s">
        <v>24</v>
      </c>
      <c r="AD2445" s="1" t="s">
        <v>24</v>
      </c>
      <c r="AE2445" s="1" t="s">
        <v>24</v>
      </c>
      <c r="AF2445" s="22"/>
    </row>
    <row r="2446" spans="1:32" x14ac:dyDescent="0.2">
      <c r="A2446" s="1">
        <v>13665</v>
      </c>
      <c r="B2446" s="1" t="s">
        <v>7771</v>
      </c>
      <c r="C2446" s="5" t="s">
        <v>0</v>
      </c>
      <c r="D2446" s="1" t="s">
        <v>7772</v>
      </c>
      <c r="E2446" s="1" t="s">
        <v>7773</v>
      </c>
      <c r="F2446" s="1" t="s">
        <v>7774</v>
      </c>
      <c r="G2446" s="1" t="s">
        <v>7774</v>
      </c>
      <c r="H2446" s="1" t="s">
        <v>69</v>
      </c>
      <c r="I2446" s="1" t="s">
        <v>16</v>
      </c>
      <c r="J2446" s="1">
        <v>1</v>
      </c>
      <c r="K2446" s="1">
        <v>4</v>
      </c>
      <c r="L2446" s="1" t="s">
        <v>42</v>
      </c>
      <c r="M2446" s="1" t="s">
        <v>18</v>
      </c>
      <c r="N2446" s="1" t="s">
        <v>18</v>
      </c>
      <c r="O2446" s="1">
        <v>3</v>
      </c>
      <c r="P2446" s="1">
        <v>5</v>
      </c>
      <c r="R2446" s="1" t="s">
        <v>19</v>
      </c>
      <c r="S2446" s="1" t="s">
        <v>20</v>
      </c>
      <c r="T2446" s="1" t="s">
        <v>21</v>
      </c>
      <c r="U2446" s="1" t="s">
        <v>22</v>
      </c>
      <c r="V2446" s="1" t="s">
        <v>24</v>
      </c>
      <c r="W2446" s="1" t="s">
        <v>24</v>
      </c>
      <c r="X2446" s="1">
        <v>1311</v>
      </c>
      <c r="Y2446" s="1">
        <v>1312</v>
      </c>
      <c r="Z2446" s="1" t="s">
        <v>24</v>
      </c>
      <c r="AA2446" s="1" t="s">
        <v>24</v>
      </c>
      <c r="AB2446" s="1" t="s">
        <v>24</v>
      </c>
      <c r="AC2446" s="1" t="s">
        <v>24</v>
      </c>
      <c r="AD2446" s="1" t="s">
        <v>24</v>
      </c>
      <c r="AE2446" s="1" t="s">
        <v>24</v>
      </c>
      <c r="AF2446" s="22"/>
    </row>
    <row r="2447" spans="1:32" x14ac:dyDescent="0.2">
      <c r="A2447" s="1">
        <v>13772</v>
      </c>
      <c r="B2447" s="1" t="s">
        <v>7775</v>
      </c>
      <c r="C2447" s="5" t="s">
        <v>0</v>
      </c>
      <c r="D2447" s="1" t="s">
        <v>7776</v>
      </c>
      <c r="E2447" s="1" t="s">
        <v>7777</v>
      </c>
      <c r="F2447" s="1" t="s">
        <v>167</v>
      </c>
      <c r="G2447" s="1" t="s">
        <v>130</v>
      </c>
      <c r="H2447" s="1" t="s">
        <v>168</v>
      </c>
      <c r="I2447" s="1" t="s">
        <v>16</v>
      </c>
      <c r="J2447" s="1">
        <v>1</v>
      </c>
      <c r="K2447" s="1">
        <v>8</v>
      </c>
      <c r="L2447" s="1" t="s">
        <v>31</v>
      </c>
      <c r="M2447" s="1" t="s">
        <v>18</v>
      </c>
      <c r="N2447" s="1" t="s">
        <v>18</v>
      </c>
      <c r="O2447" s="1">
        <v>3</v>
      </c>
      <c r="P2447" s="1">
        <v>7</v>
      </c>
      <c r="Q2447" s="7" t="s">
        <v>17633</v>
      </c>
      <c r="R2447" s="1" t="s">
        <v>19</v>
      </c>
      <c r="S2447" s="1" t="s">
        <v>20</v>
      </c>
      <c r="T2447" s="1" t="s">
        <v>21</v>
      </c>
      <c r="U2447" s="1" t="s">
        <v>22</v>
      </c>
      <c r="V2447" s="1" t="s">
        <v>24</v>
      </c>
      <c r="W2447" s="1" t="s">
        <v>24</v>
      </c>
      <c r="X2447" s="1">
        <v>2746</v>
      </c>
      <c r="Y2447" s="1" t="s">
        <v>24</v>
      </c>
      <c r="Z2447" s="1" t="s">
        <v>24</v>
      </c>
      <c r="AA2447" s="1" t="s">
        <v>24</v>
      </c>
      <c r="AB2447" s="1" t="s">
        <v>24</v>
      </c>
      <c r="AC2447" s="1" t="s">
        <v>24</v>
      </c>
      <c r="AD2447" s="1" t="s">
        <v>24</v>
      </c>
      <c r="AE2447" s="1" t="s">
        <v>24</v>
      </c>
      <c r="AF2447" s="22"/>
    </row>
    <row r="2448" spans="1:32" x14ac:dyDescent="0.2">
      <c r="A2448" s="1">
        <v>13831</v>
      </c>
      <c r="B2448" s="1" t="s">
        <v>7778</v>
      </c>
      <c r="C2448" s="5" t="s">
        <v>0</v>
      </c>
      <c r="D2448" s="1" t="s">
        <v>7779</v>
      </c>
      <c r="E2448" s="1" t="s">
        <v>7780</v>
      </c>
      <c r="F2448" s="1" t="s">
        <v>60</v>
      </c>
      <c r="G2448" s="1" t="s">
        <v>61</v>
      </c>
      <c r="H2448" s="1" t="s">
        <v>30</v>
      </c>
      <c r="I2448" s="1" t="s">
        <v>16</v>
      </c>
      <c r="J2448" s="1">
        <v>3</v>
      </c>
      <c r="K2448" s="1">
        <v>4</v>
      </c>
      <c r="L2448" s="1" t="s">
        <v>31</v>
      </c>
      <c r="M2448" s="1" t="s">
        <v>18</v>
      </c>
      <c r="N2448" s="1" t="s">
        <v>18</v>
      </c>
      <c r="O2448" s="1">
        <v>3</v>
      </c>
      <c r="P2448" s="1">
        <v>7</v>
      </c>
      <c r="Q2448" s="7" t="s">
        <v>17633</v>
      </c>
      <c r="R2448" s="1" t="s">
        <v>19</v>
      </c>
      <c r="S2448" s="1" t="s">
        <v>20</v>
      </c>
      <c r="T2448" s="1" t="s">
        <v>21</v>
      </c>
      <c r="U2448" s="1" t="s">
        <v>22</v>
      </c>
      <c r="V2448" s="1" t="s">
        <v>24</v>
      </c>
      <c r="W2448" s="1" t="s">
        <v>24</v>
      </c>
      <c r="X2448" s="1">
        <v>1303</v>
      </c>
      <c r="Y2448" s="1">
        <v>1312</v>
      </c>
      <c r="Z2448" s="1">
        <v>1311</v>
      </c>
      <c r="AA2448" s="1">
        <v>1310</v>
      </c>
      <c r="AB2448" s="1">
        <v>2712</v>
      </c>
      <c r="AC2448" s="1" t="s">
        <v>24</v>
      </c>
      <c r="AD2448" s="1" t="s">
        <v>24</v>
      </c>
      <c r="AE2448" s="1" t="s">
        <v>24</v>
      </c>
      <c r="AF2448" s="22"/>
    </row>
    <row r="2449" spans="1:32" x14ac:dyDescent="0.2">
      <c r="A2449" s="1">
        <v>13840</v>
      </c>
      <c r="B2449" s="1" t="s">
        <v>7781</v>
      </c>
      <c r="C2449" s="5" t="s">
        <v>0</v>
      </c>
      <c r="D2449" s="1" t="s">
        <v>7782</v>
      </c>
      <c r="E2449" s="1" t="s">
        <v>7783</v>
      </c>
      <c r="F2449" s="1" t="s">
        <v>315</v>
      </c>
      <c r="G2449" s="1" t="s">
        <v>316</v>
      </c>
      <c r="H2449" s="1" t="s">
        <v>37</v>
      </c>
      <c r="I2449" s="1" t="s">
        <v>16</v>
      </c>
      <c r="J2449" s="1">
        <v>1</v>
      </c>
      <c r="K2449" s="1">
        <v>12</v>
      </c>
      <c r="L2449" s="1" t="s">
        <v>31</v>
      </c>
      <c r="M2449" s="1" t="s">
        <v>18</v>
      </c>
      <c r="N2449" s="1" t="s">
        <v>18</v>
      </c>
      <c r="O2449" s="1">
        <v>3</v>
      </c>
      <c r="P2449" s="1">
        <v>6</v>
      </c>
      <c r="R2449" s="1" t="s">
        <v>19</v>
      </c>
      <c r="S2449" s="1" t="s">
        <v>20</v>
      </c>
      <c r="T2449" s="1" t="s">
        <v>21</v>
      </c>
      <c r="U2449" s="1" t="s">
        <v>22</v>
      </c>
      <c r="V2449" s="1" t="s">
        <v>24</v>
      </c>
      <c r="W2449" s="1" t="s">
        <v>24</v>
      </c>
      <c r="X2449" s="1">
        <v>2716</v>
      </c>
      <c r="Y2449" s="1">
        <v>1311</v>
      </c>
      <c r="Z2449" s="1" t="s">
        <v>24</v>
      </c>
      <c r="AA2449" s="1" t="s">
        <v>24</v>
      </c>
      <c r="AB2449" s="1" t="s">
        <v>24</v>
      </c>
      <c r="AC2449" s="1" t="s">
        <v>24</v>
      </c>
      <c r="AD2449" s="1" t="s">
        <v>24</v>
      </c>
      <c r="AE2449" s="1" t="s">
        <v>24</v>
      </c>
      <c r="AF2449" s="22"/>
    </row>
    <row r="2450" spans="1:32" x14ac:dyDescent="0.2">
      <c r="A2450" s="1">
        <v>14252</v>
      </c>
      <c r="B2450" s="1" t="s">
        <v>7784</v>
      </c>
      <c r="C2450" s="5" t="s">
        <v>0</v>
      </c>
      <c r="D2450" s="1" t="s">
        <v>7785</v>
      </c>
      <c r="E2450" s="1" t="s">
        <v>7786</v>
      </c>
      <c r="F2450" s="1" t="s">
        <v>155</v>
      </c>
      <c r="G2450" s="1" t="s">
        <v>61</v>
      </c>
      <c r="H2450" s="1" t="s">
        <v>37</v>
      </c>
      <c r="I2450" s="1" t="s">
        <v>16</v>
      </c>
      <c r="J2450" s="1">
        <v>1</v>
      </c>
      <c r="K2450" s="1">
        <v>6</v>
      </c>
      <c r="L2450" s="1" t="s">
        <v>31</v>
      </c>
      <c r="M2450" s="1" t="s">
        <v>18</v>
      </c>
      <c r="N2450" s="1" t="s">
        <v>18</v>
      </c>
      <c r="O2450" s="1">
        <v>3</v>
      </c>
      <c r="P2450" s="1">
        <v>6</v>
      </c>
      <c r="R2450" s="1" t="s">
        <v>19</v>
      </c>
      <c r="S2450" s="1" t="s">
        <v>20</v>
      </c>
      <c r="T2450" s="1" t="s">
        <v>21</v>
      </c>
      <c r="U2450" s="1" t="s">
        <v>22</v>
      </c>
      <c r="V2450" s="1" t="s">
        <v>23</v>
      </c>
      <c r="W2450" s="1" t="s">
        <v>24</v>
      </c>
      <c r="X2450" s="1">
        <v>2732</v>
      </c>
      <c r="Y2450" s="1">
        <v>3612</v>
      </c>
      <c r="Z2450" s="1" t="s">
        <v>24</v>
      </c>
      <c r="AA2450" s="1" t="s">
        <v>24</v>
      </c>
      <c r="AB2450" s="1" t="s">
        <v>24</v>
      </c>
      <c r="AC2450" s="1" t="s">
        <v>24</v>
      </c>
      <c r="AD2450" s="1" t="s">
        <v>24</v>
      </c>
      <c r="AE2450" s="1" t="s">
        <v>24</v>
      </c>
      <c r="AF2450" s="22"/>
    </row>
    <row r="2451" spans="1:32" x14ac:dyDescent="0.2">
      <c r="A2451" s="1">
        <v>14491</v>
      </c>
      <c r="B2451" s="1" t="s">
        <v>7787</v>
      </c>
      <c r="C2451" s="5" t="s">
        <v>0</v>
      </c>
      <c r="D2451" s="1" t="s">
        <v>7788</v>
      </c>
      <c r="E2451" s="1" t="s">
        <v>7789</v>
      </c>
      <c r="F2451" s="1" t="s">
        <v>315</v>
      </c>
      <c r="G2451" s="1" t="s">
        <v>316</v>
      </c>
      <c r="H2451" s="1" t="s">
        <v>30</v>
      </c>
      <c r="I2451" s="1" t="s">
        <v>16</v>
      </c>
      <c r="J2451" s="1">
        <v>1</v>
      </c>
      <c r="K2451" s="1">
        <v>12</v>
      </c>
      <c r="L2451" s="1" t="s">
        <v>31</v>
      </c>
      <c r="M2451" s="1" t="s">
        <v>18</v>
      </c>
      <c r="N2451" s="1" t="s">
        <v>18</v>
      </c>
      <c r="O2451" s="1">
        <v>3</v>
      </c>
      <c r="P2451" s="1">
        <v>9</v>
      </c>
      <c r="Q2451" s="7" t="s">
        <v>17633</v>
      </c>
      <c r="R2451" s="1" t="s">
        <v>62</v>
      </c>
      <c r="S2451" s="1" t="s">
        <v>20</v>
      </c>
      <c r="T2451" s="1" t="s">
        <v>21</v>
      </c>
      <c r="U2451" s="1" t="s">
        <v>22</v>
      </c>
      <c r="V2451" s="1" t="s">
        <v>24</v>
      </c>
      <c r="W2451" s="1" t="s">
        <v>24</v>
      </c>
      <c r="X2451" s="1">
        <v>2800</v>
      </c>
      <c r="Y2451" s="1" t="s">
        <v>24</v>
      </c>
      <c r="Z2451" s="1" t="s">
        <v>24</v>
      </c>
      <c r="AA2451" s="1" t="s">
        <v>24</v>
      </c>
      <c r="AB2451" s="1" t="s">
        <v>24</v>
      </c>
      <c r="AC2451" s="1" t="s">
        <v>24</v>
      </c>
      <c r="AD2451" s="1" t="s">
        <v>24</v>
      </c>
      <c r="AE2451" s="1" t="s">
        <v>24</v>
      </c>
      <c r="AF2451" s="22"/>
    </row>
    <row r="2452" spans="1:32" x14ac:dyDescent="0.2">
      <c r="A2452" s="1">
        <v>14540</v>
      </c>
      <c r="B2452" s="1" t="s">
        <v>7790</v>
      </c>
      <c r="C2452" s="5" t="s">
        <v>0</v>
      </c>
      <c r="D2452" s="1" t="s">
        <v>7791</v>
      </c>
      <c r="E2452" s="1" t="s">
        <v>7792</v>
      </c>
      <c r="F2452" s="1" t="s">
        <v>1412</v>
      </c>
      <c r="G2452" s="1" t="s">
        <v>1413</v>
      </c>
      <c r="H2452" s="1" t="s">
        <v>30</v>
      </c>
      <c r="I2452" s="1" t="s">
        <v>16</v>
      </c>
      <c r="J2452" s="1">
        <v>1</v>
      </c>
      <c r="K2452" s="1">
        <v>4</v>
      </c>
      <c r="L2452" s="1" t="s">
        <v>31</v>
      </c>
      <c r="M2452" s="1" t="s">
        <v>18</v>
      </c>
      <c r="N2452" s="1" t="s">
        <v>18</v>
      </c>
      <c r="O2452" s="1">
        <v>3</v>
      </c>
      <c r="P2452" s="1">
        <v>6</v>
      </c>
      <c r="R2452" s="1" t="s">
        <v>19</v>
      </c>
      <c r="S2452" s="1" t="s">
        <v>63</v>
      </c>
      <c r="T2452" s="1" t="s">
        <v>21</v>
      </c>
      <c r="U2452" s="1" t="s">
        <v>22</v>
      </c>
      <c r="V2452" s="1" t="s">
        <v>24</v>
      </c>
      <c r="W2452" s="1" t="s">
        <v>24</v>
      </c>
      <c r="X2452" s="1">
        <v>2808</v>
      </c>
      <c r="Y2452" s="1">
        <v>2728</v>
      </c>
      <c r="Z2452" s="1" t="s">
        <v>24</v>
      </c>
      <c r="AA2452" s="1" t="s">
        <v>24</v>
      </c>
      <c r="AB2452" s="1" t="s">
        <v>24</v>
      </c>
      <c r="AC2452" s="1" t="s">
        <v>24</v>
      </c>
      <c r="AD2452" s="1" t="s">
        <v>24</v>
      </c>
      <c r="AE2452" s="1" t="s">
        <v>24</v>
      </c>
      <c r="AF2452" s="22" t="s">
        <v>17715</v>
      </c>
    </row>
    <row r="2453" spans="1:32" x14ac:dyDescent="0.2">
      <c r="A2453" s="1">
        <v>14656</v>
      </c>
      <c r="B2453" s="1" t="s">
        <v>7793</v>
      </c>
      <c r="C2453" s="5" t="s">
        <v>0</v>
      </c>
      <c r="D2453" s="1" t="s">
        <v>7794</v>
      </c>
      <c r="F2453" s="1" t="s">
        <v>7795</v>
      </c>
      <c r="G2453" s="1" t="s">
        <v>7796</v>
      </c>
      <c r="H2453" s="1" t="s">
        <v>168</v>
      </c>
      <c r="I2453" s="1" t="s">
        <v>16</v>
      </c>
      <c r="J2453" s="1">
        <v>1</v>
      </c>
      <c r="K2453" s="1">
        <v>4</v>
      </c>
      <c r="L2453" s="1" t="s">
        <v>31</v>
      </c>
      <c r="M2453" s="1" t="s">
        <v>413</v>
      </c>
      <c r="N2453" s="1" t="s">
        <v>413</v>
      </c>
      <c r="O2453" s="1">
        <v>3</v>
      </c>
      <c r="P2453" s="1">
        <v>6</v>
      </c>
      <c r="R2453" s="1" t="s">
        <v>19</v>
      </c>
      <c r="S2453" s="1" t="s">
        <v>20</v>
      </c>
      <c r="T2453" s="1" t="s">
        <v>21</v>
      </c>
      <c r="U2453" s="1" t="s">
        <v>22</v>
      </c>
      <c r="V2453" s="1" t="s">
        <v>23</v>
      </c>
      <c r="W2453" s="1" t="s">
        <v>24</v>
      </c>
      <c r="X2453" s="1">
        <v>1304</v>
      </c>
      <c r="Y2453" s="1">
        <v>2705</v>
      </c>
      <c r="Z2453" s="1" t="s">
        <v>24</v>
      </c>
      <c r="AA2453" s="1" t="s">
        <v>24</v>
      </c>
      <c r="AB2453" s="1" t="s">
        <v>24</v>
      </c>
      <c r="AC2453" s="1" t="s">
        <v>24</v>
      </c>
      <c r="AD2453" s="1" t="s">
        <v>24</v>
      </c>
      <c r="AE2453" s="1" t="s">
        <v>24</v>
      </c>
      <c r="AF2453" s="22"/>
    </row>
    <row r="2454" spans="1:32" x14ac:dyDescent="0.2">
      <c r="A2454" s="1">
        <v>14705</v>
      </c>
      <c r="B2454" s="1" t="s">
        <v>7797</v>
      </c>
      <c r="C2454" s="5" t="s">
        <v>0</v>
      </c>
      <c r="D2454" s="1" t="s">
        <v>7798</v>
      </c>
      <c r="E2454" s="1" t="s">
        <v>7799</v>
      </c>
      <c r="F2454" s="1" t="s">
        <v>217</v>
      </c>
      <c r="G2454" s="1" t="s">
        <v>130</v>
      </c>
      <c r="H2454" s="1" t="s">
        <v>92</v>
      </c>
      <c r="I2454" s="1" t="s">
        <v>16</v>
      </c>
      <c r="J2454" s="1">
        <v>3</v>
      </c>
      <c r="K2454" s="1">
        <v>4</v>
      </c>
      <c r="L2454" s="1" t="s">
        <v>31</v>
      </c>
      <c r="M2454" s="1" t="s">
        <v>18</v>
      </c>
      <c r="N2454" s="1" t="s">
        <v>18</v>
      </c>
      <c r="O2454" s="1">
        <v>3</v>
      </c>
      <c r="P2454" s="1">
        <v>7</v>
      </c>
      <c r="Q2454" s="7" t="s">
        <v>17633</v>
      </c>
      <c r="R2454" s="1" t="s">
        <v>19</v>
      </c>
      <c r="S2454" s="1" t="s">
        <v>20</v>
      </c>
      <c r="T2454" s="1" t="s">
        <v>21</v>
      </c>
      <c r="U2454" s="1" t="s">
        <v>22</v>
      </c>
      <c r="V2454" s="1" t="s">
        <v>24</v>
      </c>
      <c r="W2454" s="1" t="s">
        <v>64</v>
      </c>
      <c r="X2454" s="1">
        <v>1607</v>
      </c>
      <c r="Y2454" s="1">
        <v>1303</v>
      </c>
      <c r="Z2454" s="1" t="s">
        <v>24</v>
      </c>
      <c r="AA2454" s="1" t="s">
        <v>24</v>
      </c>
      <c r="AB2454" s="1" t="s">
        <v>24</v>
      </c>
      <c r="AC2454" s="1" t="s">
        <v>24</v>
      </c>
      <c r="AD2454" s="1" t="s">
        <v>24</v>
      </c>
      <c r="AE2454" s="1" t="s">
        <v>24</v>
      </c>
      <c r="AF2454" s="22"/>
    </row>
    <row r="2455" spans="1:32" x14ac:dyDescent="0.2">
      <c r="A2455" s="1">
        <v>14706</v>
      </c>
      <c r="B2455" s="1" t="s">
        <v>7800</v>
      </c>
      <c r="C2455" s="5" t="s">
        <v>0</v>
      </c>
      <c r="D2455" s="1" t="s">
        <v>7801</v>
      </c>
      <c r="E2455" s="1" t="s">
        <v>7802</v>
      </c>
      <c r="F2455" s="1" t="s">
        <v>155</v>
      </c>
      <c r="G2455" s="1" t="s">
        <v>61</v>
      </c>
      <c r="H2455" s="1" t="s">
        <v>37</v>
      </c>
      <c r="I2455" s="1" t="s">
        <v>16</v>
      </c>
      <c r="J2455" s="1">
        <v>1</v>
      </c>
      <c r="K2455" s="1">
        <v>6</v>
      </c>
      <c r="L2455" s="1" t="s">
        <v>31</v>
      </c>
      <c r="M2455" s="1" t="s">
        <v>18</v>
      </c>
      <c r="N2455" s="1" t="s">
        <v>18</v>
      </c>
      <c r="O2455" s="1">
        <v>3</v>
      </c>
      <c r="P2455" s="1">
        <v>6</v>
      </c>
      <c r="R2455" s="1" t="s">
        <v>62</v>
      </c>
      <c r="S2455" s="1" t="s">
        <v>63</v>
      </c>
      <c r="T2455" s="1" t="s">
        <v>21</v>
      </c>
      <c r="U2455" s="1" t="s">
        <v>22</v>
      </c>
      <c r="V2455" s="1" t="s">
        <v>24</v>
      </c>
      <c r="W2455" s="1" t="s">
        <v>24</v>
      </c>
      <c r="X2455" s="1">
        <v>2725</v>
      </c>
      <c r="Y2455" s="1">
        <v>2726</v>
      </c>
      <c r="Z2455" s="1">
        <v>2404</v>
      </c>
      <c r="AA2455" s="1" t="s">
        <v>24</v>
      </c>
      <c r="AB2455" s="1" t="s">
        <v>24</v>
      </c>
      <c r="AC2455" s="1" t="s">
        <v>24</v>
      </c>
      <c r="AD2455" s="1" t="s">
        <v>24</v>
      </c>
      <c r="AE2455" s="1" t="s">
        <v>24</v>
      </c>
      <c r="AF2455" s="22"/>
    </row>
    <row r="2456" spans="1:32" x14ac:dyDescent="0.2">
      <c r="A2456" s="1">
        <v>14709</v>
      </c>
      <c r="B2456" s="1" t="s">
        <v>7803</v>
      </c>
      <c r="C2456" s="5" t="s">
        <v>0</v>
      </c>
      <c r="D2456" s="1" t="s">
        <v>7804</v>
      </c>
      <c r="E2456" s="1" t="s">
        <v>7805</v>
      </c>
      <c r="F2456" s="1" t="s">
        <v>6405</v>
      </c>
      <c r="G2456" s="1" t="s">
        <v>6406</v>
      </c>
      <c r="H2456" s="1" t="s">
        <v>92</v>
      </c>
      <c r="I2456" s="1" t="s">
        <v>16</v>
      </c>
      <c r="J2456" s="1">
        <v>1</v>
      </c>
      <c r="K2456" s="1">
        <v>10</v>
      </c>
      <c r="L2456" s="1" t="s">
        <v>31</v>
      </c>
      <c r="M2456" s="1" t="s">
        <v>18</v>
      </c>
      <c r="N2456" s="1" t="s">
        <v>18</v>
      </c>
      <c r="O2456" s="1">
        <v>3</v>
      </c>
      <c r="P2456" s="1">
        <v>7</v>
      </c>
      <c r="Q2456" s="7" t="s">
        <v>17633</v>
      </c>
      <c r="R2456" s="1" t="s">
        <v>19</v>
      </c>
      <c r="S2456" s="1" t="s">
        <v>20</v>
      </c>
      <c r="T2456" s="1" t="s">
        <v>21</v>
      </c>
      <c r="U2456" s="1" t="s">
        <v>22</v>
      </c>
      <c r="V2456" s="1" t="s">
        <v>24</v>
      </c>
      <c r="W2456" s="1" t="s">
        <v>64</v>
      </c>
      <c r="X2456" s="1">
        <v>1605</v>
      </c>
      <c r="Y2456" s="1">
        <v>3002</v>
      </c>
      <c r="Z2456" s="1">
        <v>1706</v>
      </c>
      <c r="AA2456" s="1" t="s">
        <v>24</v>
      </c>
      <c r="AB2456" s="1" t="s">
        <v>24</v>
      </c>
      <c r="AC2456" s="1" t="s">
        <v>24</v>
      </c>
      <c r="AD2456" s="1" t="s">
        <v>24</v>
      </c>
      <c r="AE2456" s="1" t="s">
        <v>24</v>
      </c>
      <c r="AF2456" s="22"/>
    </row>
    <row r="2457" spans="1:32" x14ac:dyDescent="0.2">
      <c r="A2457" s="1">
        <v>14711</v>
      </c>
      <c r="B2457" s="1" t="s">
        <v>7806</v>
      </c>
      <c r="C2457" s="5" t="s">
        <v>0</v>
      </c>
      <c r="D2457" s="1" t="s">
        <v>7807</v>
      </c>
      <c r="E2457" s="1" t="s">
        <v>7808</v>
      </c>
      <c r="F2457" s="1" t="s">
        <v>5951</v>
      </c>
      <c r="G2457" s="1" t="s">
        <v>5951</v>
      </c>
      <c r="H2457" s="1" t="s">
        <v>445</v>
      </c>
      <c r="I2457" s="1" t="s">
        <v>16</v>
      </c>
      <c r="J2457" s="1">
        <v>1</v>
      </c>
      <c r="K2457" s="1">
        <v>12</v>
      </c>
      <c r="L2457" s="1" t="s">
        <v>42</v>
      </c>
      <c r="M2457" s="1" t="s">
        <v>18</v>
      </c>
      <c r="N2457" s="1" t="s">
        <v>18</v>
      </c>
      <c r="O2457" s="1">
        <v>3</v>
      </c>
      <c r="P2457" s="1">
        <v>7</v>
      </c>
      <c r="Q2457" s="7" t="s">
        <v>17633</v>
      </c>
      <c r="R2457" s="1" t="s">
        <v>19</v>
      </c>
      <c r="S2457" s="1" t="s">
        <v>20</v>
      </c>
      <c r="T2457" s="1" t="s">
        <v>21</v>
      </c>
      <c r="U2457" s="1" t="s">
        <v>22</v>
      </c>
      <c r="V2457" s="1" t="s">
        <v>24</v>
      </c>
      <c r="W2457" s="1" t="s">
        <v>24</v>
      </c>
      <c r="X2457" s="1">
        <v>1311</v>
      </c>
      <c r="Y2457" s="1" t="s">
        <v>24</v>
      </c>
      <c r="Z2457" s="1" t="s">
        <v>24</v>
      </c>
      <c r="AA2457" s="1" t="s">
        <v>24</v>
      </c>
      <c r="AB2457" s="1" t="s">
        <v>24</v>
      </c>
      <c r="AC2457" s="1" t="s">
        <v>24</v>
      </c>
      <c r="AD2457" s="1" t="s">
        <v>24</v>
      </c>
      <c r="AE2457" s="1" t="s">
        <v>24</v>
      </c>
      <c r="AF2457" s="22"/>
    </row>
    <row r="2458" spans="1:32" x14ac:dyDescent="0.2">
      <c r="A2458" s="1">
        <v>14714</v>
      </c>
      <c r="B2458" s="1" t="s">
        <v>7809</v>
      </c>
      <c r="C2458" s="5" t="s">
        <v>0</v>
      </c>
      <c r="D2458" s="1" t="s">
        <v>7810</v>
      </c>
      <c r="E2458" s="1" t="s">
        <v>7811</v>
      </c>
      <c r="F2458" s="1" t="s">
        <v>324</v>
      </c>
      <c r="G2458" s="1" t="s">
        <v>61</v>
      </c>
      <c r="H2458" s="1" t="s">
        <v>30</v>
      </c>
      <c r="I2458" s="1" t="s">
        <v>16</v>
      </c>
      <c r="J2458" s="1">
        <v>4</v>
      </c>
      <c r="K2458" s="1">
        <v>6</v>
      </c>
      <c r="L2458" s="1" t="s">
        <v>31</v>
      </c>
      <c r="M2458" s="1" t="s">
        <v>18</v>
      </c>
      <c r="N2458" s="1" t="s">
        <v>18</v>
      </c>
      <c r="O2458" s="1">
        <v>3</v>
      </c>
      <c r="P2458" s="1">
        <v>6</v>
      </c>
      <c r="R2458" s="1" t="s">
        <v>62</v>
      </c>
      <c r="S2458" s="1" t="s">
        <v>20</v>
      </c>
      <c r="T2458" s="1" t="s">
        <v>21</v>
      </c>
      <c r="U2458" s="1" t="s">
        <v>22</v>
      </c>
      <c r="V2458" s="1" t="s">
        <v>24</v>
      </c>
      <c r="W2458" s="1" t="s">
        <v>24</v>
      </c>
      <c r="X2458" s="1">
        <v>1312</v>
      </c>
      <c r="Y2458" s="1">
        <v>1307</v>
      </c>
      <c r="Z2458" s="1" t="s">
        <v>24</v>
      </c>
      <c r="AA2458" s="1" t="s">
        <v>24</v>
      </c>
      <c r="AB2458" s="1" t="s">
        <v>24</v>
      </c>
      <c r="AC2458" s="1" t="s">
        <v>24</v>
      </c>
      <c r="AD2458" s="1" t="s">
        <v>24</v>
      </c>
      <c r="AE2458" s="1" t="s">
        <v>24</v>
      </c>
      <c r="AF2458" s="22"/>
    </row>
    <row r="2459" spans="1:32" x14ac:dyDescent="0.2">
      <c r="A2459" s="1">
        <v>14729</v>
      </c>
      <c r="B2459" s="1" t="s">
        <v>7812</v>
      </c>
      <c r="C2459" s="5" t="s">
        <v>0</v>
      </c>
      <c r="D2459" s="1" t="s">
        <v>7813</v>
      </c>
      <c r="F2459" s="1" t="s">
        <v>6442</v>
      </c>
      <c r="G2459" s="1" t="s">
        <v>6442</v>
      </c>
      <c r="H2459" s="1" t="s">
        <v>30</v>
      </c>
      <c r="I2459" s="1" t="s">
        <v>16</v>
      </c>
      <c r="J2459" s="1">
        <v>1</v>
      </c>
      <c r="K2459" s="1">
        <v>4</v>
      </c>
      <c r="L2459" s="1" t="s">
        <v>17</v>
      </c>
      <c r="M2459" s="1" t="s">
        <v>18</v>
      </c>
      <c r="N2459" s="1" t="s">
        <v>18</v>
      </c>
      <c r="O2459" s="1">
        <v>3</v>
      </c>
      <c r="P2459" s="1">
        <v>6</v>
      </c>
      <c r="R2459" s="1" t="s">
        <v>19</v>
      </c>
      <c r="S2459" s="1" t="s">
        <v>20</v>
      </c>
      <c r="T2459" s="1" t="s">
        <v>21</v>
      </c>
      <c r="U2459" s="1" t="s">
        <v>22</v>
      </c>
      <c r="V2459" s="1" t="s">
        <v>24</v>
      </c>
      <c r="W2459" s="1" t="s">
        <v>24</v>
      </c>
      <c r="X2459" s="1">
        <v>1303</v>
      </c>
      <c r="Y2459" s="1">
        <v>1307</v>
      </c>
      <c r="Z2459" s="1">
        <v>1312</v>
      </c>
      <c r="AA2459" s="1" t="s">
        <v>24</v>
      </c>
      <c r="AB2459" s="1" t="s">
        <v>24</v>
      </c>
      <c r="AC2459" s="1" t="s">
        <v>24</v>
      </c>
      <c r="AD2459" s="1" t="s">
        <v>24</v>
      </c>
      <c r="AE2459" s="1" t="s">
        <v>24</v>
      </c>
      <c r="AF2459" s="22"/>
    </row>
    <row r="2460" spans="1:32" x14ac:dyDescent="0.2">
      <c r="A2460" s="1">
        <v>14731</v>
      </c>
      <c r="B2460" s="1" t="s">
        <v>7814</v>
      </c>
      <c r="C2460" s="5" t="s">
        <v>0</v>
      </c>
      <c r="D2460" s="1" t="s">
        <v>7815</v>
      </c>
      <c r="E2460" s="1" t="s">
        <v>7816</v>
      </c>
      <c r="F2460" s="1" t="s">
        <v>548</v>
      </c>
      <c r="G2460" s="1" t="s">
        <v>36</v>
      </c>
      <c r="H2460" s="1" t="s">
        <v>30</v>
      </c>
      <c r="I2460" s="1" t="s">
        <v>16</v>
      </c>
      <c r="J2460" s="1">
        <v>1</v>
      </c>
      <c r="K2460" s="1">
        <v>4</v>
      </c>
      <c r="L2460" s="1" t="s">
        <v>31</v>
      </c>
      <c r="M2460" s="1" t="s">
        <v>18</v>
      </c>
      <c r="N2460" s="1" t="s">
        <v>18</v>
      </c>
      <c r="O2460" s="1">
        <v>3</v>
      </c>
      <c r="P2460" s="1">
        <v>7</v>
      </c>
      <c r="Q2460" s="7" t="s">
        <v>17633</v>
      </c>
      <c r="R2460" s="1" t="s">
        <v>19</v>
      </c>
      <c r="S2460" s="1" t="s">
        <v>20</v>
      </c>
      <c r="T2460" s="1" t="s">
        <v>21</v>
      </c>
      <c r="U2460" s="1" t="s">
        <v>22</v>
      </c>
      <c r="V2460" s="1" t="s">
        <v>24</v>
      </c>
      <c r="W2460" s="1" t="s">
        <v>24</v>
      </c>
      <c r="X2460" s="1">
        <v>2705</v>
      </c>
      <c r="Y2460" s="1">
        <v>2739</v>
      </c>
      <c r="Z2460" s="1" t="s">
        <v>24</v>
      </c>
      <c r="AA2460" s="1" t="s">
        <v>24</v>
      </c>
      <c r="AB2460" s="1" t="s">
        <v>24</v>
      </c>
      <c r="AC2460" s="1" t="s">
        <v>24</v>
      </c>
      <c r="AD2460" s="1" t="s">
        <v>24</v>
      </c>
      <c r="AE2460" s="1" t="s">
        <v>24</v>
      </c>
      <c r="AF2460" s="22"/>
    </row>
    <row r="2461" spans="1:32" x14ac:dyDescent="0.2">
      <c r="A2461" s="1">
        <v>14735</v>
      </c>
      <c r="B2461" s="1" t="s">
        <v>7817</v>
      </c>
      <c r="C2461" s="5" t="s">
        <v>0</v>
      </c>
      <c r="D2461" s="1" t="s">
        <v>7818</v>
      </c>
      <c r="E2461" s="1" t="s">
        <v>7819</v>
      </c>
      <c r="F2461" s="1" t="s">
        <v>1808</v>
      </c>
      <c r="G2461" s="1" t="s">
        <v>130</v>
      </c>
      <c r="H2461" s="1" t="s">
        <v>461</v>
      </c>
      <c r="I2461" s="1" t="s">
        <v>16</v>
      </c>
      <c r="J2461" s="1">
        <v>1</v>
      </c>
      <c r="K2461" s="1">
        <v>6</v>
      </c>
      <c r="L2461" s="1" t="s">
        <v>31</v>
      </c>
      <c r="M2461" s="1" t="s">
        <v>18</v>
      </c>
      <c r="N2461" s="1" t="s">
        <v>18</v>
      </c>
      <c r="O2461" s="1">
        <v>3</v>
      </c>
      <c r="P2461" s="1">
        <v>6</v>
      </c>
      <c r="R2461" s="1" t="s">
        <v>19</v>
      </c>
      <c r="S2461" s="1" t="s">
        <v>20</v>
      </c>
      <c r="T2461" s="1" t="s">
        <v>21</v>
      </c>
      <c r="U2461" s="1" t="s">
        <v>22</v>
      </c>
      <c r="V2461" s="1" t="s">
        <v>24</v>
      </c>
      <c r="W2461" s="1" t="s">
        <v>24</v>
      </c>
      <c r="X2461" s="1">
        <v>2727</v>
      </c>
      <c r="Y2461" s="1">
        <v>1314</v>
      </c>
      <c r="Z2461" s="1">
        <v>2737</v>
      </c>
      <c r="AA2461" s="1" t="s">
        <v>24</v>
      </c>
      <c r="AB2461" s="1" t="s">
        <v>24</v>
      </c>
      <c r="AC2461" s="1" t="s">
        <v>24</v>
      </c>
      <c r="AD2461" s="1" t="s">
        <v>24</v>
      </c>
      <c r="AE2461" s="1" t="s">
        <v>24</v>
      </c>
      <c r="AF2461" s="22"/>
    </row>
    <row r="2462" spans="1:32" x14ac:dyDescent="0.2">
      <c r="A2462" s="1">
        <v>14736</v>
      </c>
      <c r="B2462" s="1" t="s">
        <v>7820</v>
      </c>
      <c r="C2462" s="5" t="s">
        <v>0</v>
      </c>
      <c r="D2462" s="1" t="s">
        <v>7821</v>
      </c>
      <c r="E2462" s="1" t="s">
        <v>7822</v>
      </c>
      <c r="F2462" s="1" t="s">
        <v>1808</v>
      </c>
      <c r="G2462" s="1" t="s">
        <v>130</v>
      </c>
      <c r="H2462" s="1" t="s">
        <v>461</v>
      </c>
      <c r="I2462" s="1" t="s">
        <v>16</v>
      </c>
      <c r="J2462" s="1">
        <v>1</v>
      </c>
      <c r="K2462" s="1">
        <v>6</v>
      </c>
      <c r="L2462" s="1" t="s">
        <v>31</v>
      </c>
      <c r="M2462" s="1" t="s">
        <v>18</v>
      </c>
      <c r="N2462" s="1" t="s">
        <v>18</v>
      </c>
      <c r="O2462" s="1">
        <v>3</v>
      </c>
      <c r="P2462" s="1">
        <v>6</v>
      </c>
      <c r="R2462" s="1" t="s">
        <v>19</v>
      </c>
      <c r="S2462" s="1" t="s">
        <v>20</v>
      </c>
      <c r="T2462" s="1" t="s">
        <v>21</v>
      </c>
      <c r="U2462" s="1" t="s">
        <v>22</v>
      </c>
      <c r="V2462" s="1" t="s">
        <v>24</v>
      </c>
      <c r="W2462" s="1" t="s">
        <v>24</v>
      </c>
      <c r="X2462" s="1">
        <v>2726</v>
      </c>
      <c r="Y2462" s="1">
        <v>2736</v>
      </c>
      <c r="Z2462" s="1">
        <v>2725</v>
      </c>
      <c r="AA2462" s="1" t="s">
        <v>24</v>
      </c>
      <c r="AB2462" s="1" t="s">
        <v>24</v>
      </c>
      <c r="AC2462" s="1" t="s">
        <v>24</v>
      </c>
      <c r="AD2462" s="1" t="s">
        <v>24</v>
      </c>
      <c r="AE2462" s="1" t="s">
        <v>24</v>
      </c>
      <c r="AF2462" s="22"/>
    </row>
    <row r="2463" spans="1:32" x14ac:dyDescent="0.2">
      <c r="A2463" s="1">
        <v>14745</v>
      </c>
      <c r="B2463" s="1" t="s">
        <v>7823</v>
      </c>
      <c r="C2463" s="5" t="s">
        <v>0</v>
      </c>
      <c r="D2463" s="1" t="s">
        <v>7824</v>
      </c>
      <c r="E2463" s="1" t="s">
        <v>7825</v>
      </c>
      <c r="F2463" s="1" t="s">
        <v>831</v>
      </c>
      <c r="G2463" s="1" t="s">
        <v>61</v>
      </c>
      <c r="H2463" s="1" t="s">
        <v>37</v>
      </c>
      <c r="I2463" s="1" t="s">
        <v>16</v>
      </c>
      <c r="J2463" s="1">
        <v>1</v>
      </c>
      <c r="K2463" s="1">
        <v>6</v>
      </c>
      <c r="L2463" s="1" t="s">
        <v>31</v>
      </c>
      <c r="M2463" s="1" t="s">
        <v>18</v>
      </c>
      <c r="N2463" s="1" t="s">
        <v>18</v>
      </c>
      <c r="O2463" s="1">
        <v>3</v>
      </c>
      <c r="P2463" s="1">
        <v>7</v>
      </c>
      <c r="Q2463" s="7" t="s">
        <v>17633</v>
      </c>
      <c r="R2463" s="1" t="s">
        <v>62</v>
      </c>
      <c r="S2463" s="1" t="s">
        <v>20</v>
      </c>
      <c r="T2463" s="1" t="s">
        <v>21</v>
      </c>
      <c r="U2463" s="1" t="s">
        <v>22</v>
      </c>
      <c r="V2463" s="1" t="s">
        <v>24</v>
      </c>
      <c r="W2463" s="1" t="s">
        <v>64</v>
      </c>
      <c r="X2463" s="1">
        <v>1306</v>
      </c>
      <c r="Y2463" s="1">
        <v>2725</v>
      </c>
      <c r="Z2463" s="1">
        <v>2730</v>
      </c>
      <c r="AA2463" s="1">
        <v>2736</v>
      </c>
      <c r="AB2463" s="1">
        <v>3004</v>
      </c>
      <c r="AC2463" s="1" t="s">
        <v>24</v>
      </c>
      <c r="AD2463" s="1" t="s">
        <v>24</v>
      </c>
      <c r="AE2463" s="1" t="s">
        <v>24</v>
      </c>
      <c r="AF2463" s="22"/>
    </row>
    <row r="2464" spans="1:32" x14ac:dyDescent="0.2">
      <c r="A2464" s="1">
        <v>14747</v>
      </c>
      <c r="B2464" s="1" t="s">
        <v>7826</v>
      </c>
      <c r="C2464" s="5" t="s">
        <v>0</v>
      </c>
      <c r="D2464" s="1" t="s">
        <v>7827</v>
      </c>
      <c r="F2464" s="1" t="s">
        <v>7828</v>
      </c>
      <c r="G2464" s="1" t="s">
        <v>7829</v>
      </c>
      <c r="H2464" s="1" t="s">
        <v>69</v>
      </c>
      <c r="I2464" s="1" t="s">
        <v>16</v>
      </c>
      <c r="J2464" s="1">
        <v>1</v>
      </c>
      <c r="K2464" s="1">
        <v>2</v>
      </c>
      <c r="L2464" s="1" t="s">
        <v>31</v>
      </c>
      <c r="M2464" s="1" t="s">
        <v>18</v>
      </c>
      <c r="N2464" s="1" t="s">
        <v>18</v>
      </c>
      <c r="O2464" s="1">
        <v>3</v>
      </c>
      <c r="P2464" s="1">
        <v>7</v>
      </c>
      <c r="Q2464" s="7" t="s">
        <v>17633</v>
      </c>
      <c r="R2464" s="1" t="s">
        <v>19</v>
      </c>
      <c r="S2464" s="1" t="s">
        <v>20</v>
      </c>
      <c r="T2464" s="1" t="s">
        <v>21</v>
      </c>
      <c r="U2464" s="1" t="s">
        <v>22</v>
      </c>
      <c r="V2464" s="1" t="s">
        <v>24</v>
      </c>
      <c r="W2464" s="1" t="s">
        <v>24</v>
      </c>
      <c r="X2464" s="1">
        <v>2733</v>
      </c>
      <c r="Y2464" s="1">
        <v>3616</v>
      </c>
      <c r="Z2464" s="1">
        <v>2809</v>
      </c>
      <c r="AA2464" s="1" t="s">
        <v>24</v>
      </c>
      <c r="AB2464" s="1" t="s">
        <v>24</v>
      </c>
      <c r="AC2464" s="1" t="s">
        <v>24</v>
      </c>
      <c r="AD2464" s="1" t="s">
        <v>24</v>
      </c>
      <c r="AE2464" s="1" t="s">
        <v>24</v>
      </c>
      <c r="AF2464" s="22"/>
    </row>
    <row r="2465" spans="1:32" x14ac:dyDescent="0.2">
      <c r="A2465" s="1">
        <v>14749</v>
      </c>
      <c r="B2465" s="1" t="s">
        <v>7830</v>
      </c>
      <c r="C2465" s="5" t="s">
        <v>0</v>
      </c>
      <c r="D2465" s="1" t="s">
        <v>7831</v>
      </c>
      <c r="F2465" s="1" t="s">
        <v>7832</v>
      </c>
      <c r="G2465" s="1" t="s">
        <v>7832</v>
      </c>
      <c r="H2465" s="1" t="s">
        <v>30</v>
      </c>
      <c r="I2465" s="1" t="s">
        <v>16</v>
      </c>
      <c r="J2465" s="1">
        <v>1</v>
      </c>
      <c r="K2465" s="1">
        <v>4</v>
      </c>
      <c r="L2465" s="1" t="s">
        <v>17</v>
      </c>
      <c r="M2465" s="1" t="s">
        <v>18</v>
      </c>
      <c r="N2465" s="1" t="s">
        <v>18</v>
      </c>
      <c r="O2465" s="1">
        <v>3</v>
      </c>
      <c r="P2465" s="1">
        <v>7</v>
      </c>
      <c r="Q2465" s="7" t="s">
        <v>17633</v>
      </c>
      <c r="R2465" s="1" t="s">
        <v>19</v>
      </c>
      <c r="S2465" s="1" t="s">
        <v>20</v>
      </c>
      <c r="T2465" s="1" t="s">
        <v>21</v>
      </c>
      <c r="U2465" s="1" t="s">
        <v>22</v>
      </c>
      <c r="V2465" s="1" t="s">
        <v>23</v>
      </c>
      <c r="W2465" s="1" t="s">
        <v>24</v>
      </c>
      <c r="X2465" s="1">
        <v>2742</v>
      </c>
      <c r="Y2465" s="1">
        <v>2733</v>
      </c>
      <c r="Z2465" s="1">
        <v>3616</v>
      </c>
      <c r="AA2465" s="1" t="s">
        <v>24</v>
      </c>
      <c r="AB2465" s="1" t="s">
        <v>24</v>
      </c>
      <c r="AC2465" s="1" t="s">
        <v>24</v>
      </c>
      <c r="AD2465" s="1" t="s">
        <v>24</v>
      </c>
      <c r="AE2465" s="1" t="s">
        <v>24</v>
      </c>
      <c r="AF2465" s="22"/>
    </row>
    <row r="2466" spans="1:32" x14ac:dyDescent="0.2">
      <c r="A2466" s="1">
        <v>14757</v>
      </c>
      <c r="B2466" s="1" t="s">
        <v>7833</v>
      </c>
      <c r="C2466" s="5" t="s">
        <v>0</v>
      </c>
      <c r="D2466" s="1" t="s">
        <v>7834</v>
      </c>
      <c r="E2466" s="1" t="s">
        <v>7835</v>
      </c>
      <c r="F2466" s="1" t="s">
        <v>291</v>
      </c>
      <c r="G2466" s="1" t="s">
        <v>292</v>
      </c>
      <c r="H2466" s="1" t="s">
        <v>37</v>
      </c>
      <c r="I2466" s="1" t="s">
        <v>16</v>
      </c>
      <c r="J2466" s="1">
        <v>1</v>
      </c>
      <c r="K2466" s="1">
        <v>4</v>
      </c>
      <c r="L2466" s="1" t="s">
        <v>31</v>
      </c>
      <c r="M2466" s="1" t="s">
        <v>18</v>
      </c>
      <c r="N2466" s="1" t="s">
        <v>18</v>
      </c>
      <c r="O2466" s="1">
        <v>3</v>
      </c>
      <c r="P2466" s="1">
        <v>7</v>
      </c>
      <c r="Q2466" s="7" t="s">
        <v>17633</v>
      </c>
      <c r="R2466" s="1" t="s">
        <v>19</v>
      </c>
      <c r="S2466" s="1" t="s">
        <v>20</v>
      </c>
      <c r="T2466" s="1" t="s">
        <v>21</v>
      </c>
      <c r="U2466" s="1" t="s">
        <v>22</v>
      </c>
      <c r="V2466" s="1" t="s">
        <v>23</v>
      </c>
      <c r="W2466" s="1" t="s">
        <v>24</v>
      </c>
      <c r="X2466" s="1">
        <v>2717</v>
      </c>
      <c r="Y2466" s="1" t="s">
        <v>24</v>
      </c>
      <c r="Z2466" s="1" t="s">
        <v>24</v>
      </c>
      <c r="AA2466" s="1" t="s">
        <v>24</v>
      </c>
      <c r="AB2466" s="1" t="s">
        <v>24</v>
      </c>
      <c r="AC2466" s="1" t="s">
        <v>24</v>
      </c>
      <c r="AD2466" s="1" t="s">
        <v>24</v>
      </c>
      <c r="AE2466" s="1" t="s">
        <v>24</v>
      </c>
      <c r="AF2466" s="22"/>
    </row>
    <row r="2467" spans="1:32" x14ac:dyDescent="0.2">
      <c r="A2467" s="1">
        <v>14758</v>
      </c>
      <c r="B2467" s="1" t="s">
        <v>7836</v>
      </c>
      <c r="C2467" s="5" t="s">
        <v>0</v>
      </c>
      <c r="D2467" s="1" t="s">
        <v>7837</v>
      </c>
      <c r="E2467" s="1" t="s">
        <v>7838</v>
      </c>
      <c r="F2467" s="1" t="s">
        <v>291</v>
      </c>
      <c r="G2467" s="1" t="s">
        <v>292</v>
      </c>
      <c r="H2467" s="1" t="s">
        <v>37</v>
      </c>
      <c r="I2467" s="1" t="s">
        <v>16</v>
      </c>
      <c r="J2467" s="1">
        <v>1</v>
      </c>
      <c r="K2467" s="1">
        <v>6</v>
      </c>
      <c r="L2467" s="1" t="s">
        <v>31</v>
      </c>
      <c r="M2467" s="1" t="s">
        <v>18</v>
      </c>
      <c r="N2467" s="1" t="s">
        <v>18</v>
      </c>
      <c r="O2467" s="1">
        <v>3</v>
      </c>
      <c r="P2467" s="1">
        <v>7</v>
      </c>
      <c r="Q2467" s="7" t="s">
        <v>17633</v>
      </c>
      <c r="R2467" s="1" t="s">
        <v>19</v>
      </c>
      <c r="S2467" s="1" t="s">
        <v>20</v>
      </c>
      <c r="T2467" s="1" t="s">
        <v>21</v>
      </c>
      <c r="U2467" s="1" t="s">
        <v>22</v>
      </c>
      <c r="V2467" s="1" t="s">
        <v>23</v>
      </c>
      <c r="W2467" s="1" t="s">
        <v>24</v>
      </c>
      <c r="X2467" s="1">
        <v>2729</v>
      </c>
      <c r="Y2467" s="1" t="s">
        <v>24</v>
      </c>
      <c r="Z2467" s="1" t="s">
        <v>24</v>
      </c>
      <c r="AA2467" s="1" t="s">
        <v>24</v>
      </c>
      <c r="AB2467" s="1" t="s">
        <v>24</v>
      </c>
      <c r="AC2467" s="1" t="s">
        <v>24</v>
      </c>
      <c r="AD2467" s="1" t="s">
        <v>24</v>
      </c>
      <c r="AE2467" s="1" t="s">
        <v>24</v>
      </c>
      <c r="AF2467" s="22"/>
    </row>
    <row r="2468" spans="1:32" x14ac:dyDescent="0.2">
      <c r="A2468" s="1">
        <v>14759</v>
      </c>
      <c r="B2468" s="1" t="s">
        <v>7839</v>
      </c>
      <c r="C2468" s="5" t="s">
        <v>0</v>
      </c>
      <c r="D2468" s="1" t="s">
        <v>7840</v>
      </c>
      <c r="E2468" s="1" t="s">
        <v>7841</v>
      </c>
      <c r="F2468" s="1" t="s">
        <v>7842</v>
      </c>
      <c r="G2468" s="1" t="s">
        <v>7842</v>
      </c>
      <c r="H2468" s="1" t="s">
        <v>30</v>
      </c>
      <c r="I2468" s="1" t="s">
        <v>16</v>
      </c>
      <c r="J2468" s="1">
        <v>1</v>
      </c>
      <c r="K2468" s="1">
        <v>6</v>
      </c>
      <c r="L2468" s="1" t="s">
        <v>42</v>
      </c>
      <c r="M2468" s="1" t="s">
        <v>18</v>
      </c>
      <c r="N2468" s="1" t="s">
        <v>18</v>
      </c>
      <c r="O2468" s="1">
        <v>3</v>
      </c>
      <c r="P2468" s="1">
        <v>7</v>
      </c>
      <c r="Q2468" s="7" t="s">
        <v>17633</v>
      </c>
      <c r="R2468" s="1" t="s">
        <v>19</v>
      </c>
      <c r="S2468" s="1" t="s">
        <v>20</v>
      </c>
      <c r="T2468" s="1" t="s">
        <v>21</v>
      </c>
      <c r="U2468" s="1" t="s">
        <v>22</v>
      </c>
      <c r="V2468" s="1" t="s">
        <v>24</v>
      </c>
      <c r="W2468" s="1" t="s">
        <v>24</v>
      </c>
      <c r="X2468" s="1">
        <v>2735</v>
      </c>
      <c r="Y2468" s="1">
        <v>2734</v>
      </c>
      <c r="Z2468" s="1" t="s">
        <v>24</v>
      </c>
      <c r="AA2468" s="1" t="s">
        <v>24</v>
      </c>
      <c r="AB2468" s="1" t="s">
        <v>24</v>
      </c>
      <c r="AC2468" s="1" t="s">
        <v>24</v>
      </c>
      <c r="AD2468" s="1" t="s">
        <v>24</v>
      </c>
      <c r="AE2468" s="1" t="s">
        <v>24</v>
      </c>
      <c r="AF2468" s="22"/>
    </row>
    <row r="2469" spans="1:32" x14ac:dyDescent="0.2">
      <c r="A2469" s="1">
        <v>14760</v>
      </c>
      <c r="B2469" s="1" t="s">
        <v>7843</v>
      </c>
      <c r="C2469" s="5" t="s">
        <v>0</v>
      </c>
      <c r="D2469" s="1" t="s">
        <v>7844</v>
      </c>
      <c r="F2469" s="1" t="s">
        <v>7845</v>
      </c>
      <c r="G2469" s="1" t="s">
        <v>7846</v>
      </c>
      <c r="H2469" s="1" t="s">
        <v>30</v>
      </c>
      <c r="I2469" s="1" t="s">
        <v>16</v>
      </c>
      <c r="J2469" s="1">
        <v>1</v>
      </c>
      <c r="K2469" s="1">
        <v>12</v>
      </c>
      <c r="L2469" s="1" t="s">
        <v>31</v>
      </c>
      <c r="M2469" s="1" t="s">
        <v>18</v>
      </c>
      <c r="N2469" s="1" t="s">
        <v>18</v>
      </c>
      <c r="O2469" s="1">
        <v>0</v>
      </c>
      <c r="P2469" s="1">
        <v>6</v>
      </c>
      <c r="R2469" s="1" t="s">
        <v>19</v>
      </c>
      <c r="S2469" s="1" t="s">
        <v>20</v>
      </c>
      <c r="T2469" s="1" t="s">
        <v>21</v>
      </c>
      <c r="U2469" s="1" t="s">
        <v>22</v>
      </c>
      <c r="V2469" s="1" t="s">
        <v>23</v>
      </c>
      <c r="W2469" s="1" t="s">
        <v>24</v>
      </c>
      <c r="X2469" s="1">
        <v>2717</v>
      </c>
      <c r="Y2469" s="1" t="s">
        <v>24</v>
      </c>
      <c r="Z2469" s="1" t="s">
        <v>24</v>
      </c>
      <c r="AA2469" s="1" t="s">
        <v>24</v>
      </c>
      <c r="AB2469" s="1" t="s">
        <v>24</v>
      </c>
      <c r="AC2469" s="1" t="s">
        <v>24</v>
      </c>
      <c r="AD2469" s="1" t="s">
        <v>24</v>
      </c>
      <c r="AE2469" s="1" t="s">
        <v>24</v>
      </c>
      <c r="AF2469" s="22"/>
    </row>
    <row r="2470" spans="1:32" x14ac:dyDescent="0.2">
      <c r="A2470" s="1">
        <v>14761</v>
      </c>
      <c r="B2470" s="1" t="s">
        <v>7847</v>
      </c>
      <c r="C2470" s="5" t="s">
        <v>0</v>
      </c>
      <c r="D2470" s="1" t="s">
        <v>7848</v>
      </c>
      <c r="E2470" s="1" t="s">
        <v>7849</v>
      </c>
      <c r="F2470" s="1" t="s">
        <v>7845</v>
      </c>
      <c r="G2470" s="1" t="s">
        <v>7846</v>
      </c>
      <c r="H2470" s="1" t="s">
        <v>30</v>
      </c>
      <c r="I2470" s="1" t="s">
        <v>16</v>
      </c>
      <c r="J2470" s="1">
        <v>1</v>
      </c>
      <c r="K2470" s="1">
        <v>12</v>
      </c>
      <c r="L2470" s="1" t="s">
        <v>31</v>
      </c>
      <c r="M2470" s="1" t="s">
        <v>18</v>
      </c>
      <c r="N2470" s="1" t="s">
        <v>18</v>
      </c>
      <c r="O2470" s="1">
        <v>3</v>
      </c>
      <c r="P2470" s="1">
        <v>6</v>
      </c>
      <c r="R2470" s="1" t="s">
        <v>19</v>
      </c>
      <c r="S2470" s="1" t="s">
        <v>20</v>
      </c>
      <c r="T2470" s="1" t="s">
        <v>21</v>
      </c>
      <c r="U2470" s="1" t="s">
        <v>22</v>
      </c>
      <c r="V2470" s="1" t="s">
        <v>23</v>
      </c>
      <c r="W2470" s="1" t="s">
        <v>24</v>
      </c>
      <c r="X2470" s="1">
        <v>2717</v>
      </c>
      <c r="Y2470" s="1">
        <v>2909</v>
      </c>
      <c r="Z2470" s="1" t="s">
        <v>24</v>
      </c>
      <c r="AA2470" s="1" t="s">
        <v>24</v>
      </c>
      <c r="AB2470" s="1" t="s">
        <v>24</v>
      </c>
      <c r="AC2470" s="1" t="s">
        <v>24</v>
      </c>
      <c r="AD2470" s="1" t="s">
        <v>24</v>
      </c>
      <c r="AE2470" s="1" t="s">
        <v>24</v>
      </c>
      <c r="AF2470" s="22"/>
    </row>
    <row r="2471" spans="1:32" x14ac:dyDescent="0.2">
      <c r="A2471" s="1">
        <v>14765</v>
      </c>
      <c r="B2471" s="1" t="s">
        <v>7850</v>
      </c>
      <c r="C2471" s="5" t="s">
        <v>0</v>
      </c>
      <c r="D2471" s="1" t="s">
        <v>7851</v>
      </c>
      <c r="F2471" s="1" t="s">
        <v>724</v>
      </c>
      <c r="G2471" s="1" t="s">
        <v>725</v>
      </c>
      <c r="H2471" s="1" t="s">
        <v>37</v>
      </c>
      <c r="I2471" s="1" t="s">
        <v>16</v>
      </c>
      <c r="J2471" s="1">
        <v>1</v>
      </c>
      <c r="K2471" s="1">
        <v>12</v>
      </c>
      <c r="L2471" s="1" t="s">
        <v>31</v>
      </c>
      <c r="M2471" s="1" t="s">
        <v>18</v>
      </c>
      <c r="N2471" s="1" t="s">
        <v>18</v>
      </c>
      <c r="O2471" s="1">
        <v>3</v>
      </c>
      <c r="P2471" s="1">
        <v>7</v>
      </c>
      <c r="Q2471" s="7" t="s">
        <v>17633</v>
      </c>
      <c r="R2471" s="1" t="s">
        <v>19</v>
      </c>
      <c r="S2471" s="1" t="s">
        <v>20</v>
      </c>
      <c r="T2471" s="1" t="s">
        <v>21</v>
      </c>
      <c r="U2471" s="1" t="s">
        <v>22</v>
      </c>
      <c r="V2471" s="1" t="s">
        <v>24</v>
      </c>
      <c r="W2471" s="1" t="s">
        <v>24</v>
      </c>
      <c r="X2471" s="1">
        <v>2728</v>
      </c>
      <c r="Y2471" s="1">
        <v>2738</v>
      </c>
      <c r="Z2471" s="1" t="s">
        <v>24</v>
      </c>
      <c r="AA2471" s="1" t="s">
        <v>24</v>
      </c>
      <c r="AB2471" s="1" t="s">
        <v>24</v>
      </c>
      <c r="AC2471" s="1" t="s">
        <v>24</v>
      </c>
      <c r="AD2471" s="1" t="s">
        <v>24</v>
      </c>
      <c r="AE2471" s="1" t="s">
        <v>24</v>
      </c>
      <c r="AF2471" s="22"/>
    </row>
    <row r="2472" spans="1:32" x14ac:dyDescent="0.2">
      <c r="A2472" s="1">
        <v>14767</v>
      </c>
      <c r="B2472" s="1" t="s">
        <v>7852</v>
      </c>
      <c r="C2472" s="5" t="s">
        <v>0</v>
      </c>
      <c r="D2472" s="1" t="s">
        <v>7853</v>
      </c>
      <c r="E2472" s="1" t="s">
        <v>7854</v>
      </c>
      <c r="F2472" s="1" t="s">
        <v>35</v>
      </c>
      <c r="G2472" s="1" t="s">
        <v>36</v>
      </c>
      <c r="H2472" s="1" t="s">
        <v>37</v>
      </c>
      <c r="I2472" s="1" t="s">
        <v>16</v>
      </c>
      <c r="J2472" s="1">
        <v>1</v>
      </c>
      <c r="K2472" s="1">
        <v>8</v>
      </c>
      <c r="L2472" s="1" t="s">
        <v>31</v>
      </c>
      <c r="M2472" s="1" t="s">
        <v>18</v>
      </c>
      <c r="N2472" s="1" t="s">
        <v>18</v>
      </c>
      <c r="O2472" s="1">
        <v>3</v>
      </c>
      <c r="P2472" s="1">
        <v>6</v>
      </c>
      <c r="R2472" s="1" t="s">
        <v>19</v>
      </c>
      <c r="S2472" s="1" t="s">
        <v>20</v>
      </c>
      <c r="T2472" s="1" t="s">
        <v>21</v>
      </c>
      <c r="U2472" s="1" t="s">
        <v>22</v>
      </c>
      <c r="V2472" s="1" t="s">
        <v>24</v>
      </c>
      <c r="W2472" s="1" t="s">
        <v>24</v>
      </c>
      <c r="X2472" s="1">
        <v>2735</v>
      </c>
      <c r="Y2472" s="1">
        <v>2747</v>
      </c>
      <c r="Z2472" s="1" t="s">
        <v>24</v>
      </c>
      <c r="AA2472" s="1" t="s">
        <v>24</v>
      </c>
      <c r="AB2472" s="1" t="s">
        <v>24</v>
      </c>
      <c r="AC2472" s="1" t="s">
        <v>24</v>
      </c>
      <c r="AD2472" s="1" t="s">
        <v>24</v>
      </c>
      <c r="AE2472" s="1" t="s">
        <v>24</v>
      </c>
      <c r="AF2472" s="22"/>
    </row>
    <row r="2473" spans="1:32" x14ac:dyDescent="0.2">
      <c r="A2473" s="1">
        <v>14768</v>
      </c>
      <c r="B2473" s="1" t="s">
        <v>7855</v>
      </c>
      <c r="C2473" s="5" t="s">
        <v>0</v>
      </c>
      <c r="D2473" s="1" t="s">
        <v>7856</v>
      </c>
      <c r="F2473" s="1" t="s">
        <v>272</v>
      </c>
      <c r="G2473" s="1" t="s">
        <v>61</v>
      </c>
      <c r="H2473" s="1" t="s">
        <v>30</v>
      </c>
      <c r="I2473" s="1" t="s">
        <v>16</v>
      </c>
      <c r="J2473" s="1">
        <v>2</v>
      </c>
      <c r="K2473" s="1">
        <v>6</v>
      </c>
      <c r="L2473" s="1" t="s">
        <v>31</v>
      </c>
      <c r="M2473" s="1" t="s">
        <v>18</v>
      </c>
      <c r="N2473" s="1" t="s">
        <v>18</v>
      </c>
      <c r="O2473" s="1">
        <v>3</v>
      </c>
      <c r="P2473" s="1">
        <v>6</v>
      </c>
      <c r="R2473" s="1" t="s">
        <v>19</v>
      </c>
      <c r="S2473" s="1" t="s">
        <v>63</v>
      </c>
      <c r="T2473" s="1" t="s">
        <v>21</v>
      </c>
      <c r="U2473" s="1" t="s">
        <v>22</v>
      </c>
      <c r="V2473" s="1" t="s">
        <v>24</v>
      </c>
      <c r="W2473" s="1" t="s">
        <v>64</v>
      </c>
      <c r="X2473" s="1">
        <v>1303</v>
      </c>
      <c r="Y2473" s="1">
        <v>1314</v>
      </c>
      <c r="Z2473" s="1">
        <v>3004</v>
      </c>
      <c r="AA2473" s="1">
        <v>1307</v>
      </c>
      <c r="AB2473" s="1" t="s">
        <v>24</v>
      </c>
      <c r="AC2473" s="1" t="s">
        <v>24</v>
      </c>
      <c r="AD2473" s="1" t="s">
        <v>24</v>
      </c>
      <c r="AE2473" s="1" t="s">
        <v>24</v>
      </c>
      <c r="AF2473" s="22"/>
    </row>
    <row r="2474" spans="1:32" x14ac:dyDescent="0.2">
      <c r="A2474" s="1">
        <v>14769</v>
      </c>
      <c r="B2474" s="1" t="s">
        <v>7857</v>
      </c>
      <c r="C2474" s="5" t="s">
        <v>0</v>
      </c>
      <c r="D2474" s="1" t="s">
        <v>7858</v>
      </c>
      <c r="F2474" s="1" t="s">
        <v>7859</v>
      </c>
      <c r="G2474" s="1" t="s">
        <v>7859</v>
      </c>
      <c r="H2474" s="1" t="s">
        <v>116</v>
      </c>
      <c r="I2474" s="1" t="s">
        <v>16</v>
      </c>
      <c r="J2474" s="1">
        <v>1</v>
      </c>
      <c r="K2474" s="1">
        <v>3</v>
      </c>
      <c r="L2474" s="1" t="s">
        <v>17</v>
      </c>
      <c r="M2474" s="1" t="s">
        <v>117</v>
      </c>
      <c r="N2474" s="1" t="s">
        <v>118</v>
      </c>
      <c r="O2474" s="1">
        <v>1</v>
      </c>
      <c r="P2474" s="1">
        <v>5</v>
      </c>
      <c r="R2474" s="1" t="s">
        <v>19</v>
      </c>
      <c r="S2474" s="1" t="s">
        <v>20</v>
      </c>
      <c r="T2474" s="1" t="s">
        <v>21</v>
      </c>
      <c r="U2474" s="1" t="s">
        <v>22</v>
      </c>
      <c r="V2474" s="1" t="s">
        <v>24</v>
      </c>
      <c r="W2474" s="1" t="s">
        <v>24</v>
      </c>
      <c r="X2474" s="1">
        <v>2729</v>
      </c>
      <c r="Y2474" s="1">
        <v>2743</v>
      </c>
      <c r="Z2474" s="1" t="s">
        <v>24</v>
      </c>
      <c r="AA2474" s="1" t="s">
        <v>24</v>
      </c>
      <c r="AB2474" s="1" t="s">
        <v>24</v>
      </c>
      <c r="AC2474" s="1" t="s">
        <v>24</v>
      </c>
      <c r="AD2474" s="1" t="s">
        <v>24</v>
      </c>
      <c r="AE2474" s="1" t="s">
        <v>24</v>
      </c>
      <c r="AF2474" s="22"/>
    </row>
    <row r="2475" spans="1:32" x14ac:dyDescent="0.2">
      <c r="A2475" s="1">
        <v>14770</v>
      </c>
      <c r="B2475" s="1" t="s">
        <v>7860</v>
      </c>
      <c r="C2475" s="5" t="s">
        <v>0</v>
      </c>
      <c r="D2475" s="1" t="s">
        <v>7861</v>
      </c>
      <c r="E2475" s="1" t="s">
        <v>7862</v>
      </c>
      <c r="F2475" s="1" t="s">
        <v>412</v>
      </c>
      <c r="G2475" s="1" t="s">
        <v>372</v>
      </c>
      <c r="H2475" s="1" t="s">
        <v>168</v>
      </c>
      <c r="I2475" s="1" t="s">
        <v>16</v>
      </c>
      <c r="J2475" s="1">
        <v>1</v>
      </c>
      <c r="K2475" s="1">
        <v>6</v>
      </c>
      <c r="L2475" s="1" t="s">
        <v>31</v>
      </c>
      <c r="M2475" s="1" t="s">
        <v>413</v>
      </c>
      <c r="N2475" s="1" t="s">
        <v>679</v>
      </c>
      <c r="O2475" s="1">
        <v>3</v>
      </c>
      <c r="P2475" s="1">
        <v>6</v>
      </c>
      <c r="R2475" s="1" t="s">
        <v>19</v>
      </c>
      <c r="S2475" s="1" t="s">
        <v>63</v>
      </c>
      <c r="T2475" s="1" t="s">
        <v>21</v>
      </c>
      <c r="U2475" s="1" t="s">
        <v>22</v>
      </c>
      <c r="V2475" s="1" t="s">
        <v>23</v>
      </c>
      <c r="W2475" s="1" t="s">
        <v>24</v>
      </c>
      <c r="X2475" s="1">
        <v>2719</v>
      </c>
      <c r="Y2475" s="1" t="s">
        <v>24</v>
      </c>
      <c r="Z2475" s="1" t="s">
        <v>24</v>
      </c>
      <c r="AA2475" s="1" t="s">
        <v>24</v>
      </c>
      <c r="AB2475" s="1" t="s">
        <v>24</v>
      </c>
      <c r="AC2475" s="1" t="s">
        <v>24</v>
      </c>
      <c r="AD2475" s="1" t="s">
        <v>24</v>
      </c>
      <c r="AE2475" s="1" t="s">
        <v>24</v>
      </c>
      <c r="AF2475" s="22"/>
    </row>
    <row r="2476" spans="1:32" x14ac:dyDescent="0.2">
      <c r="A2476" s="1">
        <v>14771</v>
      </c>
      <c r="B2476" s="1" t="s">
        <v>7863</v>
      </c>
      <c r="C2476" s="5" t="s">
        <v>0</v>
      </c>
      <c r="D2476" s="1" t="s">
        <v>7864</v>
      </c>
      <c r="E2476" s="1" t="s">
        <v>7865</v>
      </c>
      <c r="F2476" s="1" t="s">
        <v>7866</v>
      </c>
      <c r="G2476" s="1" t="s">
        <v>7866</v>
      </c>
      <c r="H2476" s="1" t="s">
        <v>131</v>
      </c>
      <c r="I2476" s="1" t="s">
        <v>16</v>
      </c>
      <c r="J2476" s="1">
        <v>1</v>
      </c>
      <c r="K2476" s="1">
        <v>12</v>
      </c>
      <c r="L2476" s="1" t="s">
        <v>42</v>
      </c>
      <c r="M2476" s="1" t="s">
        <v>413</v>
      </c>
      <c r="N2476" s="1" t="s">
        <v>413</v>
      </c>
      <c r="O2476" s="1">
        <v>3</v>
      </c>
      <c r="P2476" s="1">
        <v>5</v>
      </c>
      <c r="R2476" s="1" t="s">
        <v>19</v>
      </c>
      <c r="S2476" s="1" t="s">
        <v>20</v>
      </c>
      <c r="T2476" s="1" t="s">
        <v>21</v>
      </c>
      <c r="U2476" s="1" t="s">
        <v>22</v>
      </c>
      <c r="V2476" s="1" t="s">
        <v>24</v>
      </c>
      <c r="W2476" s="1" t="s">
        <v>24</v>
      </c>
      <c r="X2476" s="1">
        <v>2705</v>
      </c>
      <c r="Y2476" s="1" t="s">
        <v>24</v>
      </c>
      <c r="Z2476" s="1" t="s">
        <v>24</v>
      </c>
      <c r="AA2476" s="1" t="s">
        <v>24</v>
      </c>
      <c r="AB2476" s="1" t="s">
        <v>24</v>
      </c>
      <c r="AC2476" s="1" t="s">
        <v>24</v>
      </c>
      <c r="AD2476" s="1" t="s">
        <v>24</v>
      </c>
      <c r="AE2476" s="1" t="s">
        <v>24</v>
      </c>
      <c r="AF2476" s="22"/>
    </row>
    <row r="2477" spans="1:32" x14ac:dyDescent="0.2">
      <c r="A2477" s="5">
        <v>14773</v>
      </c>
      <c r="B2477" s="1" t="s">
        <v>7867</v>
      </c>
      <c r="C2477" s="5" t="s">
        <v>0</v>
      </c>
      <c r="D2477" s="1" t="s">
        <v>7868</v>
      </c>
      <c r="E2477" s="1" t="s">
        <v>7869</v>
      </c>
      <c r="F2477" s="1" t="s">
        <v>7866</v>
      </c>
      <c r="G2477" s="1" t="s">
        <v>7866</v>
      </c>
      <c r="H2477" s="1" t="s">
        <v>131</v>
      </c>
      <c r="I2477" s="1" t="s">
        <v>16</v>
      </c>
      <c r="J2477" s="1">
        <v>1</v>
      </c>
      <c r="K2477" s="1">
        <v>4</v>
      </c>
      <c r="L2477" s="1" t="s">
        <v>42</v>
      </c>
      <c r="M2477" s="1" t="s">
        <v>413</v>
      </c>
      <c r="N2477" s="1" t="s">
        <v>413</v>
      </c>
      <c r="O2477" s="1">
        <v>3</v>
      </c>
      <c r="P2477" s="1">
        <v>5</v>
      </c>
      <c r="R2477" s="1" t="s">
        <v>19</v>
      </c>
      <c r="S2477" s="1" t="s">
        <v>20</v>
      </c>
      <c r="T2477" s="1" t="s">
        <v>21</v>
      </c>
      <c r="U2477" s="1" t="s">
        <v>22</v>
      </c>
      <c r="V2477" s="1" t="s">
        <v>24</v>
      </c>
      <c r="W2477" s="1" t="s">
        <v>24</v>
      </c>
      <c r="X2477" s="1">
        <v>2724</v>
      </c>
      <c r="Y2477" s="1" t="s">
        <v>24</v>
      </c>
      <c r="Z2477" s="1" t="s">
        <v>24</v>
      </c>
      <c r="AA2477" s="1" t="s">
        <v>24</v>
      </c>
      <c r="AB2477" s="1" t="s">
        <v>24</v>
      </c>
      <c r="AC2477" s="1" t="s">
        <v>24</v>
      </c>
      <c r="AD2477" s="1" t="s">
        <v>24</v>
      </c>
      <c r="AE2477" s="1" t="s">
        <v>24</v>
      </c>
      <c r="AF2477" s="22"/>
    </row>
    <row r="2478" spans="1:32" x14ac:dyDescent="0.2">
      <c r="A2478" s="1">
        <v>14775</v>
      </c>
      <c r="B2478" s="1" t="s">
        <v>7870</v>
      </c>
      <c r="C2478" s="5" t="s">
        <v>0</v>
      </c>
      <c r="D2478" s="1" t="s">
        <v>7871</v>
      </c>
      <c r="E2478" s="1" t="s">
        <v>7872</v>
      </c>
      <c r="F2478" s="1" t="s">
        <v>7866</v>
      </c>
      <c r="G2478" s="1" t="s">
        <v>7866</v>
      </c>
      <c r="H2478" s="1" t="s">
        <v>131</v>
      </c>
      <c r="I2478" s="1" t="s">
        <v>16</v>
      </c>
      <c r="J2478" s="1">
        <v>1</v>
      </c>
      <c r="K2478" s="1">
        <v>4</v>
      </c>
      <c r="L2478" s="1" t="s">
        <v>42</v>
      </c>
      <c r="M2478" s="1" t="s">
        <v>413</v>
      </c>
      <c r="N2478" s="1" t="s">
        <v>413</v>
      </c>
      <c r="O2478" s="1">
        <v>3</v>
      </c>
      <c r="P2478" s="1">
        <v>5</v>
      </c>
      <c r="R2478" s="1" t="s">
        <v>19</v>
      </c>
      <c r="S2478" s="1" t="s">
        <v>20</v>
      </c>
      <c r="T2478" s="1" t="s">
        <v>21</v>
      </c>
      <c r="U2478" s="1" t="s">
        <v>22</v>
      </c>
      <c r="V2478" s="1" t="s">
        <v>24</v>
      </c>
      <c r="W2478" s="1" t="s">
        <v>24</v>
      </c>
      <c r="X2478" s="1">
        <v>1310</v>
      </c>
      <c r="Y2478" s="1">
        <v>2712</v>
      </c>
      <c r="Z2478" s="1">
        <v>2732</v>
      </c>
      <c r="AA2478" s="1" t="s">
        <v>24</v>
      </c>
      <c r="AB2478" s="1" t="s">
        <v>24</v>
      </c>
      <c r="AC2478" s="1" t="s">
        <v>24</v>
      </c>
      <c r="AD2478" s="1" t="s">
        <v>24</v>
      </c>
      <c r="AE2478" s="1" t="s">
        <v>24</v>
      </c>
      <c r="AF2478" s="22"/>
    </row>
    <row r="2479" spans="1:32" x14ac:dyDescent="0.2">
      <c r="A2479" s="1">
        <v>14776</v>
      </c>
      <c r="B2479" s="1" t="s">
        <v>7873</v>
      </c>
      <c r="C2479" s="5" t="s">
        <v>0</v>
      </c>
      <c r="D2479" s="1" t="s">
        <v>7874</v>
      </c>
      <c r="E2479" s="1" t="s">
        <v>7875</v>
      </c>
      <c r="F2479" s="1" t="s">
        <v>7866</v>
      </c>
      <c r="G2479" s="1" t="s">
        <v>7866</v>
      </c>
      <c r="H2479" s="1" t="s">
        <v>131</v>
      </c>
      <c r="I2479" s="1" t="s">
        <v>16</v>
      </c>
      <c r="J2479" s="1">
        <v>1</v>
      </c>
      <c r="K2479" s="1">
        <v>4</v>
      </c>
      <c r="L2479" s="1" t="s">
        <v>42</v>
      </c>
      <c r="M2479" s="1" t="s">
        <v>413</v>
      </c>
      <c r="N2479" s="1" t="s">
        <v>679</v>
      </c>
      <c r="O2479" s="1">
        <v>3</v>
      </c>
      <c r="P2479" s="1">
        <v>5</v>
      </c>
      <c r="R2479" s="1" t="s">
        <v>19</v>
      </c>
      <c r="S2479" s="1" t="s">
        <v>20</v>
      </c>
      <c r="T2479" s="1" t="s">
        <v>21</v>
      </c>
      <c r="U2479" s="1" t="s">
        <v>22</v>
      </c>
      <c r="V2479" s="1" t="s">
        <v>23</v>
      </c>
      <c r="W2479" s="1" t="s">
        <v>24</v>
      </c>
      <c r="X2479" s="1">
        <v>2748</v>
      </c>
      <c r="Y2479" s="1">
        <v>2729</v>
      </c>
      <c r="Z2479" s="1" t="s">
        <v>24</v>
      </c>
      <c r="AA2479" s="1" t="s">
        <v>24</v>
      </c>
      <c r="AB2479" s="1" t="s">
        <v>24</v>
      </c>
      <c r="AC2479" s="1" t="s">
        <v>24</v>
      </c>
      <c r="AD2479" s="1" t="s">
        <v>24</v>
      </c>
      <c r="AE2479" s="1" t="s">
        <v>24</v>
      </c>
      <c r="AF2479" s="22"/>
    </row>
    <row r="2480" spans="1:32" x14ac:dyDescent="0.2">
      <c r="A2480" s="1">
        <v>14779</v>
      </c>
      <c r="B2480" s="1" t="s">
        <v>7876</v>
      </c>
      <c r="C2480" s="5" t="s">
        <v>0</v>
      </c>
      <c r="D2480" s="1" t="s">
        <v>7877</v>
      </c>
      <c r="F2480" s="1" t="s">
        <v>155</v>
      </c>
      <c r="G2480" s="1" t="s">
        <v>61</v>
      </c>
      <c r="H2480" s="1" t="s">
        <v>116</v>
      </c>
      <c r="I2480" s="1" t="s">
        <v>16</v>
      </c>
      <c r="J2480" s="1">
        <v>1</v>
      </c>
      <c r="K2480" s="1">
        <v>3</v>
      </c>
      <c r="L2480" s="1" t="s">
        <v>31</v>
      </c>
      <c r="M2480" s="1" t="s">
        <v>117</v>
      </c>
      <c r="N2480" s="1" t="s">
        <v>118</v>
      </c>
      <c r="O2480" s="1">
        <v>3</v>
      </c>
      <c r="P2480" s="1">
        <v>5</v>
      </c>
      <c r="R2480" s="1" t="s">
        <v>19</v>
      </c>
      <c r="S2480" s="1" t="s">
        <v>20</v>
      </c>
      <c r="T2480" s="1" t="s">
        <v>21</v>
      </c>
      <c r="U2480" s="1" t="s">
        <v>22</v>
      </c>
      <c r="V2480" s="1" t="s">
        <v>24</v>
      </c>
      <c r="W2480" s="1" t="s">
        <v>24</v>
      </c>
      <c r="X2480" s="1">
        <v>2735</v>
      </c>
      <c r="Y2480" s="1">
        <v>2701</v>
      </c>
      <c r="Z2480" s="1" t="s">
        <v>24</v>
      </c>
      <c r="AA2480" s="1" t="s">
        <v>24</v>
      </c>
      <c r="AB2480" s="1" t="s">
        <v>24</v>
      </c>
      <c r="AC2480" s="1" t="s">
        <v>24</v>
      </c>
      <c r="AD2480" s="1" t="s">
        <v>24</v>
      </c>
      <c r="AE2480" s="1" t="s">
        <v>24</v>
      </c>
      <c r="AF2480" s="22" t="s">
        <v>17670</v>
      </c>
    </row>
    <row r="2481" spans="1:32" x14ac:dyDescent="0.2">
      <c r="A2481" s="1">
        <v>14786</v>
      </c>
      <c r="B2481" s="1" t="s">
        <v>7878</v>
      </c>
      <c r="C2481" s="5" t="s">
        <v>0</v>
      </c>
      <c r="D2481" s="1" t="s">
        <v>7879</v>
      </c>
      <c r="E2481" s="1" t="s">
        <v>7880</v>
      </c>
      <c r="F2481" s="1" t="s">
        <v>91</v>
      </c>
      <c r="G2481" s="1" t="s">
        <v>61</v>
      </c>
      <c r="H2481" s="1" t="s">
        <v>92</v>
      </c>
      <c r="I2481" s="1" t="s">
        <v>16</v>
      </c>
      <c r="J2481" s="1">
        <v>1</v>
      </c>
      <c r="K2481" s="1">
        <v>6</v>
      </c>
      <c r="L2481" s="1" t="s">
        <v>31</v>
      </c>
      <c r="M2481" s="1" t="s">
        <v>18</v>
      </c>
      <c r="N2481" s="1" t="s">
        <v>18</v>
      </c>
      <c r="O2481" s="1">
        <v>3</v>
      </c>
      <c r="P2481" s="1">
        <v>7</v>
      </c>
      <c r="Q2481" s="7" t="s">
        <v>17633</v>
      </c>
      <c r="R2481" s="1" t="s">
        <v>19</v>
      </c>
      <c r="S2481" s="1" t="s">
        <v>20</v>
      </c>
      <c r="T2481" s="1" t="s">
        <v>21</v>
      </c>
      <c r="U2481" s="1" t="s">
        <v>22</v>
      </c>
      <c r="V2481" s="1" t="s">
        <v>24</v>
      </c>
      <c r="W2481" s="1" t="s">
        <v>64</v>
      </c>
      <c r="X2481" s="1">
        <v>1501</v>
      </c>
      <c r="Y2481" s="1">
        <v>3102</v>
      </c>
      <c r="Z2481" s="1">
        <v>2741</v>
      </c>
      <c r="AA2481" s="1" t="s">
        <v>24</v>
      </c>
      <c r="AB2481" s="1" t="s">
        <v>24</v>
      </c>
      <c r="AC2481" s="1" t="s">
        <v>24</v>
      </c>
      <c r="AD2481" s="1" t="s">
        <v>24</v>
      </c>
      <c r="AE2481" s="1" t="s">
        <v>24</v>
      </c>
      <c r="AF2481" s="22"/>
    </row>
    <row r="2482" spans="1:32" x14ac:dyDescent="0.2">
      <c r="A2482" s="1">
        <v>14802</v>
      </c>
      <c r="B2482" s="1" t="s">
        <v>7881</v>
      </c>
      <c r="C2482" s="5" t="s">
        <v>0</v>
      </c>
      <c r="D2482" s="1" t="s">
        <v>7882</v>
      </c>
      <c r="E2482" s="1" t="s">
        <v>7883</v>
      </c>
      <c r="F2482" s="1" t="s">
        <v>689</v>
      </c>
      <c r="G2482" s="1" t="s">
        <v>311</v>
      </c>
      <c r="H2482" s="1" t="s">
        <v>30</v>
      </c>
      <c r="I2482" s="1" t="s">
        <v>16</v>
      </c>
      <c r="J2482" s="1">
        <v>1</v>
      </c>
      <c r="K2482" s="1">
        <v>4</v>
      </c>
      <c r="L2482" s="1" t="s">
        <v>31</v>
      </c>
      <c r="M2482" s="1" t="s">
        <v>18</v>
      </c>
      <c r="N2482" s="1" t="s">
        <v>18</v>
      </c>
      <c r="O2482" s="1">
        <v>3</v>
      </c>
      <c r="P2482" s="1">
        <v>6</v>
      </c>
      <c r="R2482" s="1" t="s">
        <v>19</v>
      </c>
      <c r="S2482" s="1" t="s">
        <v>20</v>
      </c>
      <c r="T2482" s="1" t="s">
        <v>21</v>
      </c>
      <c r="U2482" s="1" t="s">
        <v>22</v>
      </c>
      <c r="V2482" s="1" t="s">
        <v>23</v>
      </c>
      <c r="W2482" s="1" t="s">
        <v>24</v>
      </c>
      <c r="X2482" s="1">
        <v>2735</v>
      </c>
      <c r="Y2482" s="1">
        <v>3203</v>
      </c>
      <c r="Z2482" s="1">
        <v>3204</v>
      </c>
      <c r="AA2482" s="1" t="s">
        <v>24</v>
      </c>
      <c r="AB2482" s="1" t="s">
        <v>24</v>
      </c>
      <c r="AC2482" s="1" t="s">
        <v>24</v>
      </c>
      <c r="AD2482" s="1" t="s">
        <v>24</v>
      </c>
      <c r="AE2482" s="1" t="s">
        <v>24</v>
      </c>
      <c r="AF2482" s="22"/>
    </row>
    <row r="2483" spans="1:32" x14ac:dyDescent="0.2">
      <c r="A2483" s="1">
        <v>14806</v>
      </c>
      <c r="B2483" s="1" t="s">
        <v>7884</v>
      </c>
      <c r="C2483" s="5" t="s">
        <v>0</v>
      </c>
      <c r="D2483" s="1" t="s">
        <v>7885</v>
      </c>
      <c r="E2483" s="1" t="s">
        <v>7886</v>
      </c>
      <c r="F2483" s="1" t="s">
        <v>689</v>
      </c>
      <c r="G2483" s="1" t="s">
        <v>311</v>
      </c>
      <c r="H2483" s="1" t="s">
        <v>30</v>
      </c>
      <c r="I2483" s="1" t="s">
        <v>16</v>
      </c>
      <c r="J2483" s="1">
        <v>1</v>
      </c>
      <c r="K2483" s="1">
        <v>4</v>
      </c>
      <c r="L2483" s="1" t="s">
        <v>31</v>
      </c>
      <c r="M2483" s="1" t="s">
        <v>18</v>
      </c>
      <c r="N2483" s="1" t="s">
        <v>18</v>
      </c>
      <c r="O2483" s="1">
        <v>3</v>
      </c>
      <c r="P2483" s="1">
        <v>6</v>
      </c>
      <c r="R2483" s="1" t="s">
        <v>19</v>
      </c>
      <c r="S2483" s="1" t="s">
        <v>20</v>
      </c>
      <c r="T2483" s="1" t="s">
        <v>21</v>
      </c>
      <c r="U2483" s="1" t="s">
        <v>22</v>
      </c>
      <c r="V2483" s="1" t="s">
        <v>23</v>
      </c>
      <c r="W2483" s="1" t="s">
        <v>24</v>
      </c>
      <c r="X2483" s="1">
        <v>2732</v>
      </c>
      <c r="Y2483" s="1">
        <v>3612</v>
      </c>
      <c r="Z2483" s="1" t="s">
        <v>24</v>
      </c>
      <c r="AA2483" s="1" t="s">
        <v>24</v>
      </c>
      <c r="AB2483" s="1" t="s">
        <v>24</v>
      </c>
      <c r="AC2483" s="1" t="s">
        <v>24</v>
      </c>
      <c r="AD2483" s="1" t="s">
        <v>24</v>
      </c>
      <c r="AE2483" s="1" t="s">
        <v>24</v>
      </c>
      <c r="AF2483" s="22"/>
    </row>
    <row r="2484" spans="1:32" x14ac:dyDescent="0.2">
      <c r="A2484" s="1">
        <v>14812</v>
      </c>
      <c r="B2484" s="1" t="s">
        <v>7887</v>
      </c>
      <c r="C2484" s="5" t="s">
        <v>0</v>
      </c>
      <c r="D2484" s="1" t="s">
        <v>7888</v>
      </c>
      <c r="E2484" s="1" t="s">
        <v>7889</v>
      </c>
      <c r="F2484" s="1" t="s">
        <v>97</v>
      </c>
      <c r="G2484" s="1" t="s">
        <v>98</v>
      </c>
      <c r="H2484" s="1" t="s">
        <v>37</v>
      </c>
      <c r="I2484" s="1" t="s">
        <v>16</v>
      </c>
      <c r="J2484" s="1">
        <v>1</v>
      </c>
      <c r="K2484" s="1">
        <v>4</v>
      </c>
      <c r="L2484" s="1" t="s">
        <v>31</v>
      </c>
      <c r="M2484" s="1" t="s">
        <v>18</v>
      </c>
      <c r="N2484" s="1" t="s">
        <v>18</v>
      </c>
      <c r="O2484" s="1">
        <v>3</v>
      </c>
      <c r="P2484" s="1">
        <v>7</v>
      </c>
      <c r="Q2484" s="7" t="s">
        <v>17633</v>
      </c>
      <c r="R2484" s="1" t="s">
        <v>19</v>
      </c>
      <c r="S2484" s="1" t="s">
        <v>20</v>
      </c>
      <c r="T2484" s="1" t="s">
        <v>21</v>
      </c>
      <c r="U2484" s="1" t="s">
        <v>22</v>
      </c>
      <c r="V2484" s="1" t="s">
        <v>23</v>
      </c>
      <c r="W2484" s="1" t="s">
        <v>24</v>
      </c>
      <c r="X2484" s="1">
        <v>3204</v>
      </c>
      <c r="Y2484" s="1" t="s">
        <v>24</v>
      </c>
      <c r="Z2484" s="1" t="s">
        <v>24</v>
      </c>
      <c r="AA2484" s="1" t="s">
        <v>24</v>
      </c>
      <c r="AB2484" s="1" t="s">
        <v>24</v>
      </c>
      <c r="AC2484" s="1" t="s">
        <v>24</v>
      </c>
      <c r="AD2484" s="1" t="s">
        <v>24</v>
      </c>
      <c r="AE2484" s="1" t="s">
        <v>24</v>
      </c>
      <c r="AF2484" s="22"/>
    </row>
    <row r="2485" spans="1:32" x14ac:dyDescent="0.2">
      <c r="A2485" s="1">
        <v>14814</v>
      </c>
      <c r="B2485" s="1" t="s">
        <v>7890</v>
      </c>
      <c r="C2485" s="5" t="s">
        <v>0</v>
      </c>
      <c r="D2485" s="1" t="s">
        <v>7891</v>
      </c>
      <c r="F2485" s="1" t="s">
        <v>7892</v>
      </c>
      <c r="G2485" s="1" t="s">
        <v>7892</v>
      </c>
      <c r="H2485" s="1" t="s">
        <v>233</v>
      </c>
      <c r="I2485" s="1" t="s">
        <v>16</v>
      </c>
      <c r="J2485" s="1">
        <v>1</v>
      </c>
      <c r="K2485" s="1">
        <v>4</v>
      </c>
      <c r="L2485" s="1" t="s">
        <v>42</v>
      </c>
      <c r="M2485" s="1" t="s">
        <v>118</v>
      </c>
      <c r="N2485" s="1" t="s">
        <v>117</v>
      </c>
      <c r="O2485" s="1">
        <v>1</v>
      </c>
      <c r="P2485" s="1">
        <v>5</v>
      </c>
      <c r="R2485" s="1" t="s">
        <v>19</v>
      </c>
      <c r="S2485" s="1" t="s">
        <v>20</v>
      </c>
      <c r="T2485" s="1" t="s">
        <v>21</v>
      </c>
      <c r="U2485" s="1" t="s">
        <v>22</v>
      </c>
      <c r="V2485" s="1" t="s">
        <v>24</v>
      </c>
      <c r="W2485" s="1" t="s">
        <v>24</v>
      </c>
      <c r="X2485" s="1">
        <v>1310</v>
      </c>
      <c r="Y2485" s="1">
        <v>2712</v>
      </c>
      <c r="Z2485" s="1" t="s">
        <v>24</v>
      </c>
      <c r="AA2485" s="1" t="s">
        <v>24</v>
      </c>
      <c r="AB2485" s="1" t="s">
        <v>24</v>
      </c>
      <c r="AC2485" s="1" t="s">
        <v>24</v>
      </c>
      <c r="AD2485" s="1" t="s">
        <v>24</v>
      </c>
      <c r="AE2485" s="1" t="s">
        <v>24</v>
      </c>
      <c r="AF2485" s="22"/>
    </row>
    <row r="2486" spans="1:32" x14ac:dyDescent="0.2">
      <c r="A2486" s="1">
        <v>14819</v>
      </c>
      <c r="B2486" s="1" t="s">
        <v>7893</v>
      </c>
      <c r="C2486" s="5" t="s">
        <v>0</v>
      </c>
      <c r="D2486" s="1" t="s">
        <v>7894</v>
      </c>
      <c r="F2486" s="1" t="s">
        <v>7895</v>
      </c>
      <c r="G2486" s="1" t="s">
        <v>7895</v>
      </c>
      <c r="H2486" s="1" t="s">
        <v>37</v>
      </c>
      <c r="I2486" s="1" t="s">
        <v>16</v>
      </c>
      <c r="J2486" s="1">
        <v>1</v>
      </c>
      <c r="K2486" s="1">
        <v>12</v>
      </c>
      <c r="L2486" s="1" t="s">
        <v>42</v>
      </c>
      <c r="M2486" s="1" t="s">
        <v>18</v>
      </c>
      <c r="N2486" s="1" t="s">
        <v>18</v>
      </c>
      <c r="O2486" s="1">
        <v>3</v>
      </c>
      <c r="P2486" s="1">
        <v>5</v>
      </c>
      <c r="R2486" s="1" t="s">
        <v>19</v>
      </c>
      <c r="S2486" s="1" t="s">
        <v>20</v>
      </c>
      <c r="T2486" s="1" t="s">
        <v>21</v>
      </c>
      <c r="U2486" s="1" t="s">
        <v>22</v>
      </c>
      <c r="V2486" s="1" t="s">
        <v>24</v>
      </c>
      <c r="W2486" s="1" t="s">
        <v>24</v>
      </c>
      <c r="X2486" s="1">
        <v>2736</v>
      </c>
      <c r="Y2486" s="1" t="s">
        <v>24</v>
      </c>
      <c r="Z2486" s="1" t="s">
        <v>24</v>
      </c>
      <c r="AA2486" s="1" t="s">
        <v>24</v>
      </c>
      <c r="AB2486" s="1" t="s">
        <v>24</v>
      </c>
      <c r="AC2486" s="1" t="s">
        <v>24</v>
      </c>
      <c r="AD2486" s="1" t="s">
        <v>24</v>
      </c>
      <c r="AE2486" s="1" t="s">
        <v>24</v>
      </c>
      <c r="AF2486" s="22"/>
    </row>
    <row r="2487" spans="1:32" x14ac:dyDescent="0.2">
      <c r="A2487" s="1">
        <v>14823</v>
      </c>
      <c r="B2487" s="1" t="s">
        <v>7896</v>
      </c>
      <c r="C2487" s="5" t="s">
        <v>0</v>
      </c>
      <c r="D2487" s="1" t="s">
        <v>7897</v>
      </c>
      <c r="F2487" s="1" t="s">
        <v>6797</v>
      </c>
      <c r="G2487" s="1" t="s">
        <v>6797</v>
      </c>
      <c r="H2487" s="1" t="s">
        <v>249</v>
      </c>
      <c r="I2487" s="1" t="s">
        <v>16</v>
      </c>
      <c r="J2487" s="1">
        <v>1</v>
      </c>
      <c r="K2487" s="1">
        <v>4</v>
      </c>
      <c r="L2487" s="1" t="s">
        <v>42</v>
      </c>
      <c r="M2487" s="1" t="s">
        <v>3290</v>
      </c>
      <c r="N2487" s="1" t="s">
        <v>3290</v>
      </c>
      <c r="O2487" s="1">
        <v>1</v>
      </c>
      <c r="P2487" s="1">
        <v>5</v>
      </c>
      <c r="R2487" s="1" t="s">
        <v>19</v>
      </c>
      <c r="S2487" s="1" t="s">
        <v>20</v>
      </c>
      <c r="T2487" s="1" t="s">
        <v>21</v>
      </c>
      <c r="U2487" s="1" t="s">
        <v>22</v>
      </c>
      <c r="V2487" s="1" t="s">
        <v>24</v>
      </c>
      <c r="W2487" s="1" t="s">
        <v>24</v>
      </c>
      <c r="X2487" s="1">
        <v>2725</v>
      </c>
      <c r="Y2487" s="1">
        <v>2726</v>
      </c>
      <c r="Z2487" s="1" t="s">
        <v>24</v>
      </c>
      <c r="AA2487" s="1" t="s">
        <v>24</v>
      </c>
      <c r="AB2487" s="1" t="s">
        <v>24</v>
      </c>
      <c r="AC2487" s="1" t="s">
        <v>24</v>
      </c>
      <c r="AD2487" s="1" t="s">
        <v>24</v>
      </c>
      <c r="AE2487" s="1" t="s">
        <v>24</v>
      </c>
      <c r="AF2487" s="22"/>
    </row>
    <row r="2488" spans="1:32" x14ac:dyDescent="0.2">
      <c r="A2488" s="1">
        <v>14855</v>
      </c>
      <c r="B2488" s="1" t="s">
        <v>7898</v>
      </c>
      <c r="C2488" s="5" t="s">
        <v>0</v>
      </c>
      <c r="D2488" s="1" t="s">
        <v>7899</v>
      </c>
      <c r="E2488" s="1" t="s">
        <v>7900</v>
      </c>
      <c r="F2488" s="1" t="s">
        <v>91</v>
      </c>
      <c r="G2488" s="1" t="s">
        <v>61</v>
      </c>
      <c r="H2488" s="1" t="s">
        <v>92</v>
      </c>
      <c r="I2488" s="1" t="s">
        <v>16</v>
      </c>
      <c r="J2488" s="1">
        <v>4</v>
      </c>
      <c r="K2488" s="1">
        <v>3</v>
      </c>
      <c r="L2488" s="1" t="s">
        <v>31</v>
      </c>
      <c r="M2488" s="1" t="s">
        <v>18</v>
      </c>
      <c r="N2488" s="1" t="s">
        <v>18</v>
      </c>
      <c r="O2488" s="1">
        <v>3</v>
      </c>
      <c r="P2488" s="1">
        <v>7</v>
      </c>
      <c r="Q2488" s="7" t="s">
        <v>17633</v>
      </c>
      <c r="R2488" s="1" t="s">
        <v>62</v>
      </c>
      <c r="S2488" s="1" t="s">
        <v>63</v>
      </c>
      <c r="T2488" s="1" t="s">
        <v>21</v>
      </c>
      <c r="U2488" s="1" t="s">
        <v>22</v>
      </c>
      <c r="V2488" s="1" t="s">
        <v>24</v>
      </c>
      <c r="W2488" s="1" t="s">
        <v>24</v>
      </c>
      <c r="X2488" s="1">
        <v>3310</v>
      </c>
      <c r="Y2488" s="1">
        <v>2805</v>
      </c>
      <c r="Z2488" s="1">
        <v>3205</v>
      </c>
      <c r="AA2488" s="1">
        <v>1203</v>
      </c>
      <c r="AB2488" s="1">
        <v>3204</v>
      </c>
      <c r="AC2488" s="1" t="s">
        <v>24</v>
      </c>
      <c r="AD2488" s="1" t="s">
        <v>24</v>
      </c>
      <c r="AE2488" s="1" t="s">
        <v>24</v>
      </c>
      <c r="AF2488" s="22"/>
    </row>
    <row r="2489" spans="1:32" x14ac:dyDescent="0.2">
      <c r="A2489" s="1">
        <v>14857</v>
      </c>
      <c r="B2489" s="1" t="s">
        <v>7901</v>
      </c>
      <c r="C2489" s="5" t="s">
        <v>0</v>
      </c>
      <c r="D2489" s="1" t="s">
        <v>7902</v>
      </c>
      <c r="E2489" s="1" t="s">
        <v>7903</v>
      </c>
      <c r="F2489" s="1" t="s">
        <v>7904</v>
      </c>
      <c r="G2489" s="1" t="s">
        <v>7904</v>
      </c>
      <c r="H2489" s="1" t="s">
        <v>37</v>
      </c>
      <c r="I2489" s="1" t="s">
        <v>16</v>
      </c>
      <c r="J2489" s="1">
        <v>1</v>
      </c>
      <c r="K2489" s="1">
        <v>4</v>
      </c>
      <c r="L2489" s="1" t="s">
        <v>17</v>
      </c>
      <c r="M2489" s="1" t="s">
        <v>18</v>
      </c>
      <c r="N2489" s="1" t="s">
        <v>18</v>
      </c>
      <c r="O2489" s="1">
        <v>0</v>
      </c>
      <c r="P2489" s="1">
        <v>6</v>
      </c>
      <c r="R2489" s="1" t="s">
        <v>19</v>
      </c>
      <c r="S2489" s="1" t="s">
        <v>20</v>
      </c>
      <c r="T2489" s="1" t="s">
        <v>21</v>
      </c>
      <c r="U2489" s="1" t="s">
        <v>22</v>
      </c>
      <c r="V2489" s="1" t="s">
        <v>23</v>
      </c>
      <c r="W2489" s="1" t="s">
        <v>24</v>
      </c>
      <c r="X2489" s="1">
        <v>2736</v>
      </c>
      <c r="Y2489" s="1">
        <v>2735</v>
      </c>
      <c r="Z2489" s="1" t="s">
        <v>24</v>
      </c>
      <c r="AA2489" s="1" t="s">
        <v>24</v>
      </c>
      <c r="AB2489" s="1" t="s">
        <v>24</v>
      </c>
      <c r="AC2489" s="1" t="s">
        <v>24</v>
      </c>
      <c r="AD2489" s="1" t="s">
        <v>24</v>
      </c>
      <c r="AE2489" s="1" t="s">
        <v>24</v>
      </c>
      <c r="AF2489" s="22"/>
    </row>
    <row r="2490" spans="1:32" x14ac:dyDescent="0.2">
      <c r="A2490" s="1">
        <v>14858</v>
      </c>
      <c r="B2490" s="1" t="s">
        <v>7905</v>
      </c>
      <c r="C2490" s="5" t="s">
        <v>0</v>
      </c>
      <c r="D2490" s="1" t="s">
        <v>7906</v>
      </c>
      <c r="E2490" s="1" t="s">
        <v>7907</v>
      </c>
      <c r="F2490" s="1" t="s">
        <v>548</v>
      </c>
      <c r="G2490" s="1" t="s">
        <v>36</v>
      </c>
      <c r="H2490" s="1" t="s">
        <v>30</v>
      </c>
      <c r="I2490" s="1" t="s">
        <v>16</v>
      </c>
      <c r="J2490" s="1">
        <v>1</v>
      </c>
      <c r="K2490" s="1">
        <v>4</v>
      </c>
      <c r="L2490" s="1" t="s">
        <v>31</v>
      </c>
      <c r="M2490" s="1" t="s">
        <v>18</v>
      </c>
      <c r="N2490" s="1" t="s">
        <v>18</v>
      </c>
      <c r="O2490" s="1">
        <v>3</v>
      </c>
      <c r="P2490" s="1">
        <v>6</v>
      </c>
      <c r="R2490" s="1" t="s">
        <v>19</v>
      </c>
      <c r="S2490" s="1" t="s">
        <v>20</v>
      </c>
      <c r="T2490" s="1" t="s">
        <v>21</v>
      </c>
      <c r="U2490" s="1" t="s">
        <v>22</v>
      </c>
      <c r="V2490" s="1" t="s">
        <v>24</v>
      </c>
      <c r="W2490" s="1" t="s">
        <v>24</v>
      </c>
      <c r="X2490" s="1">
        <v>2703</v>
      </c>
      <c r="Y2490" s="1">
        <v>2808</v>
      </c>
      <c r="Z2490" s="1">
        <v>2728</v>
      </c>
      <c r="AA2490" s="1" t="s">
        <v>24</v>
      </c>
      <c r="AB2490" s="1" t="s">
        <v>24</v>
      </c>
      <c r="AC2490" s="1" t="s">
        <v>24</v>
      </c>
      <c r="AD2490" s="1" t="s">
        <v>24</v>
      </c>
      <c r="AE2490" s="1" t="s">
        <v>24</v>
      </c>
      <c r="AF2490" s="22"/>
    </row>
    <row r="2491" spans="1:32" x14ac:dyDescent="0.2">
      <c r="A2491" s="1">
        <v>14863</v>
      </c>
      <c r="B2491" s="1" t="s">
        <v>7908</v>
      </c>
      <c r="C2491" s="5" t="s">
        <v>0</v>
      </c>
      <c r="D2491" s="1" t="s">
        <v>7909</v>
      </c>
      <c r="E2491" s="1" t="s">
        <v>7910</v>
      </c>
      <c r="F2491" s="1" t="s">
        <v>724</v>
      </c>
      <c r="G2491" s="1" t="s">
        <v>725</v>
      </c>
      <c r="H2491" s="1" t="s">
        <v>37</v>
      </c>
      <c r="I2491" s="1" t="s">
        <v>16</v>
      </c>
      <c r="J2491" s="1">
        <v>1</v>
      </c>
      <c r="K2491" s="1">
        <v>4</v>
      </c>
      <c r="L2491" s="1" t="s">
        <v>31</v>
      </c>
      <c r="M2491" s="1" t="s">
        <v>18</v>
      </c>
      <c r="N2491" s="1" t="s">
        <v>18</v>
      </c>
      <c r="O2491" s="1">
        <v>0</v>
      </c>
      <c r="P2491" s="1">
        <v>6</v>
      </c>
      <c r="R2491" s="1" t="s">
        <v>19</v>
      </c>
      <c r="S2491" s="1" t="s">
        <v>20</v>
      </c>
      <c r="T2491" s="1" t="s">
        <v>21</v>
      </c>
      <c r="U2491" s="1" t="s">
        <v>22</v>
      </c>
      <c r="V2491" s="1" t="s">
        <v>23</v>
      </c>
      <c r="W2491" s="1" t="s">
        <v>24</v>
      </c>
      <c r="X2491" s="1">
        <v>2701</v>
      </c>
      <c r="Y2491" s="1">
        <v>2916</v>
      </c>
      <c r="Z2491" s="1" t="s">
        <v>24</v>
      </c>
      <c r="AA2491" s="1" t="s">
        <v>24</v>
      </c>
      <c r="AB2491" s="1" t="s">
        <v>24</v>
      </c>
      <c r="AC2491" s="1" t="s">
        <v>24</v>
      </c>
      <c r="AD2491" s="1" t="s">
        <v>24</v>
      </c>
      <c r="AE2491" s="1" t="s">
        <v>24</v>
      </c>
      <c r="AF2491" s="22"/>
    </row>
    <row r="2492" spans="1:32" x14ac:dyDescent="0.2">
      <c r="A2492" s="1">
        <v>14866</v>
      </c>
      <c r="B2492" s="1" t="s">
        <v>7911</v>
      </c>
      <c r="C2492" s="5" t="s">
        <v>0</v>
      </c>
      <c r="D2492" s="1" t="s">
        <v>7912</v>
      </c>
      <c r="E2492" s="1" t="s">
        <v>7913</v>
      </c>
      <c r="F2492" s="1" t="s">
        <v>109</v>
      </c>
      <c r="G2492" s="1" t="s">
        <v>110</v>
      </c>
      <c r="H2492" s="1" t="s">
        <v>111</v>
      </c>
      <c r="I2492" s="1" t="s">
        <v>16</v>
      </c>
      <c r="J2492" s="1">
        <v>1</v>
      </c>
      <c r="K2492" s="1">
        <v>4</v>
      </c>
      <c r="L2492" s="1" t="s">
        <v>31</v>
      </c>
      <c r="M2492" s="1" t="s">
        <v>413</v>
      </c>
      <c r="N2492" s="1" t="s">
        <v>679</v>
      </c>
      <c r="O2492" s="1">
        <v>3</v>
      </c>
      <c r="P2492" s="1">
        <v>6</v>
      </c>
      <c r="R2492" s="1" t="s">
        <v>19</v>
      </c>
      <c r="S2492" s="1" t="s">
        <v>20</v>
      </c>
      <c r="T2492" s="1" t="s">
        <v>21</v>
      </c>
      <c r="U2492" s="1" t="s">
        <v>22</v>
      </c>
      <c r="V2492" s="1" t="s">
        <v>23</v>
      </c>
      <c r="W2492" s="1" t="s">
        <v>24</v>
      </c>
      <c r="X2492" s="1">
        <v>2738</v>
      </c>
      <c r="Y2492" s="1">
        <v>3203</v>
      </c>
      <c r="Z2492" s="1" t="s">
        <v>24</v>
      </c>
      <c r="AA2492" s="1" t="s">
        <v>24</v>
      </c>
      <c r="AB2492" s="1" t="s">
        <v>24</v>
      </c>
      <c r="AC2492" s="1" t="s">
        <v>24</v>
      </c>
      <c r="AD2492" s="1" t="s">
        <v>24</v>
      </c>
      <c r="AE2492" s="1" t="s">
        <v>24</v>
      </c>
      <c r="AF2492" s="22"/>
    </row>
    <row r="2493" spans="1:32" x14ac:dyDescent="0.2">
      <c r="A2493" s="1">
        <v>14869</v>
      </c>
      <c r="B2493" s="1" t="s">
        <v>7914</v>
      </c>
      <c r="C2493" s="5" t="s">
        <v>0</v>
      </c>
      <c r="D2493" s="1" t="s">
        <v>7915</v>
      </c>
      <c r="E2493" s="1" t="s">
        <v>7916</v>
      </c>
      <c r="F2493" s="1" t="s">
        <v>97</v>
      </c>
      <c r="G2493" s="1" t="s">
        <v>98</v>
      </c>
      <c r="H2493" s="1" t="s">
        <v>37</v>
      </c>
      <c r="I2493" s="1" t="s">
        <v>16</v>
      </c>
      <c r="J2493" s="1">
        <v>1</v>
      </c>
      <c r="K2493" s="1">
        <v>6</v>
      </c>
      <c r="L2493" s="1" t="s">
        <v>31</v>
      </c>
      <c r="M2493" s="1" t="s">
        <v>18</v>
      </c>
      <c r="N2493" s="1" t="s">
        <v>18</v>
      </c>
      <c r="O2493" s="1">
        <v>3</v>
      </c>
      <c r="P2493" s="1">
        <v>7</v>
      </c>
      <c r="Q2493" s="7" t="s">
        <v>17633</v>
      </c>
      <c r="R2493" s="1" t="s">
        <v>19</v>
      </c>
      <c r="S2493" s="1" t="s">
        <v>20</v>
      </c>
      <c r="T2493" s="1" t="s">
        <v>21</v>
      </c>
      <c r="U2493" s="1" t="s">
        <v>22</v>
      </c>
      <c r="V2493" s="1" t="s">
        <v>23</v>
      </c>
      <c r="W2493" s="1" t="s">
        <v>24</v>
      </c>
      <c r="X2493" s="1">
        <v>2739</v>
      </c>
      <c r="Y2493" s="1" t="s">
        <v>24</v>
      </c>
      <c r="Z2493" s="1" t="s">
        <v>24</v>
      </c>
      <c r="AA2493" s="1" t="s">
        <v>24</v>
      </c>
      <c r="AB2493" s="1" t="s">
        <v>24</v>
      </c>
      <c r="AC2493" s="1" t="s">
        <v>24</v>
      </c>
      <c r="AD2493" s="1" t="s">
        <v>24</v>
      </c>
      <c r="AE2493" s="1" t="s">
        <v>24</v>
      </c>
      <c r="AF2493" s="22"/>
    </row>
    <row r="2494" spans="1:32" x14ac:dyDescent="0.2">
      <c r="A2494" s="1">
        <v>14871</v>
      </c>
      <c r="B2494" s="1" t="s">
        <v>7917</v>
      </c>
      <c r="C2494" s="5" t="s">
        <v>0</v>
      </c>
      <c r="D2494" s="1" t="s">
        <v>7918</v>
      </c>
      <c r="E2494" s="1" t="s">
        <v>7919</v>
      </c>
      <c r="F2494" s="1" t="s">
        <v>689</v>
      </c>
      <c r="G2494" s="1" t="s">
        <v>311</v>
      </c>
      <c r="H2494" s="1" t="s">
        <v>30</v>
      </c>
      <c r="I2494" s="1" t="s">
        <v>16</v>
      </c>
      <c r="J2494" s="1">
        <v>1</v>
      </c>
      <c r="K2494" s="1">
        <v>10</v>
      </c>
      <c r="L2494" s="1" t="s">
        <v>31</v>
      </c>
      <c r="M2494" s="1" t="s">
        <v>18</v>
      </c>
      <c r="N2494" s="1" t="s">
        <v>18</v>
      </c>
      <c r="O2494" s="1">
        <v>3</v>
      </c>
      <c r="P2494" s="1">
        <v>6</v>
      </c>
      <c r="R2494" s="1" t="s">
        <v>19</v>
      </c>
      <c r="S2494" s="1" t="s">
        <v>20</v>
      </c>
      <c r="T2494" s="1" t="s">
        <v>21</v>
      </c>
      <c r="U2494" s="1" t="s">
        <v>22</v>
      </c>
      <c r="V2494" s="1" t="s">
        <v>23</v>
      </c>
      <c r="W2494" s="1" t="s">
        <v>24</v>
      </c>
      <c r="X2494" s="1">
        <v>2738</v>
      </c>
      <c r="Y2494" s="1">
        <v>3203</v>
      </c>
      <c r="Z2494" s="1">
        <v>3601</v>
      </c>
      <c r="AA2494" s="1" t="s">
        <v>24</v>
      </c>
      <c r="AB2494" s="1" t="s">
        <v>24</v>
      </c>
      <c r="AC2494" s="1" t="s">
        <v>24</v>
      </c>
      <c r="AD2494" s="1" t="s">
        <v>24</v>
      </c>
      <c r="AE2494" s="1" t="s">
        <v>24</v>
      </c>
      <c r="AF2494" s="22"/>
    </row>
    <row r="2495" spans="1:32" x14ac:dyDescent="0.2">
      <c r="A2495" s="1">
        <v>14875</v>
      </c>
      <c r="B2495" s="1" t="s">
        <v>7920</v>
      </c>
      <c r="C2495" s="5" t="s">
        <v>0</v>
      </c>
      <c r="D2495" s="1" t="s">
        <v>7921</v>
      </c>
      <c r="F2495" s="1" t="s">
        <v>7922</v>
      </c>
      <c r="G2495" s="1" t="s">
        <v>7923</v>
      </c>
      <c r="H2495" s="1" t="s">
        <v>899</v>
      </c>
      <c r="I2495" s="1" t="s">
        <v>16</v>
      </c>
      <c r="J2495" s="1">
        <v>1</v>
      </c>
      <c r="K2495" s="1">
        <v>4</v>
      </c>
      <c r="L2495" s="1" t="s">
        <v>17</v>
      </c>
      <c r="M2495" s="1" t="s">
        <v>18</v>
      </c>
      <c r="N2495" s="1" t="s">
        <v>18</v>
      </c>
      <c r="O2495" s="1">
        <v>3</v>
      </c>
      <c r="P2495" s="1">
        <v>5</v>
      </c>
      <c r="R2495" s="1" t="s">
        <v>19</v>
      </c>
      <c r="S2495" s="1" t="s">
        <v>20</v>
      </c>
      <c r="T2495" s="1" t="s">
        <v>21</v>
      </c>
      <c r="U2495" s="1" t="s">
        <v>22</v>
      </c>
      <c r="V2495" s="1" t="s">
        <v>23</v>
      </c>
      <c r="W2495" s="1" t="s">
        <v>24</v>
      </c>
      <c r="X2495" s="1">
        <v>1300</v>
      </c>
      <c r="Y2495" s="1">
        <v>2700</v>
      </c>
      <c r="Z2495" s="1" t="s">
        <v>24</v>
      </c>
      <c r="AA2495" s="1" t="s">
        <v>24</v>
      </c>
      <c r="AB2495" s="1" t="s">
        <v>24</v>
      </c>
      <c r="AC2495" s="1" t="s">
        <v>24</v>
      </c>
      <c r="AD2495" s="1" t="s">
        <v>24</v>
      </c>
      <c r="AE2495" s="1" t="s">
        <v>24</v>
      </c>
      <c r="AF2495" s="22"/>
    </row>
    <row r="2496" spans="1:32" x14ac:dyDescent="0.2">
      <c r="A2496" s="1">
        <v>14876</v>
      </c>
      <c r="B2496" s="1" t="s">
        <v>7924</v>
      </c>
      <c r="C2496" s="5" t="s">
        <v>0</v>
      </c>
      <c r="D2496" s="1" t="s">
        <v>7925</v>
      </c>
      <c r="F2496" s="1" t="s">
        <v>7926</v>
      </c>
      <c r="G2496" s="1" t="s">
        <v>7926</v>
      </c>
      <c r="H2496" s="1" t="s">
        <v>37</v>
      </c>
      <c r="I2496" s="1" t="s">
        <v>16</v>
      </c>
      <c r="J2496" s="1">
        <v>1</v>
      </c>
      <c r="K2496" s="1">
        <v>6</v>
      </c>
      <c r="L2496" s="1" t="s">
        <v>42</v>
      </c>
      <c r="M2496" s="1" t="s">
        <v>18</v>
      </c>
      <c r="N2496" s="1" t="s">
        <v>18</v>
      </c>
      <c r="O2496" s="1">
        <v>3</v>
      </c>
      <c r="P2496" s="1">
        <v>7</v>
      </c>
      <c r="Q2496" s="7" t="s">
        <v>17633</v>
      </c>
      <c r="R2496" s="1" t="s">
        <v>19</v>
      </c>
      <c r="S2496" s="1" t="s">
        <v>20</v>
      </c>
      <c r="T2496" s="1" t="s">
        <v>21</v>
      </c>
      <c r="U2496" s="1" t="s">
        <v>22</v>
      </c>
      <c r="V2496" s="1" t="s">
        <v>24</v>
      </c>
      <c r="W2496" s="1" t="s">
        <v>24</v>
      </c>
      <c r="X2496" s="1">
        <v>1300</v>
      </c>
      <c r="Y2496" s="1">
        <v>3005</v>
      </c>
      <c r="Z2496" s="1">
        <v>3607</v>
      </c>
      <c r="AA2496" s="1" t="s">
        <v>24</v>
      </c>
      <c r="AB2496" s="1" t="s">
        <v>24</v>
      </c>
      <c r="AC2496" s="1" t="s">
        <v>24</v>
      </c>
      <c r="AD2496" s="1" t="s">
        <v>24</v>
      </c>
      <c r="AE2496" s="1" t="s">
        <v>24</v>
      </c>
      <c r="AF2496" s="22"/>
    </row>
    <row r="2497" spans="1:32" x14ac:dyDescent="0.2">
      <c r="A2497" s="1">
        <v>14883</v>
      </c>
      <c r="B2497" s="1" t="s">
        <v>7927</v>
      </c>
      <c r="C2497" s="5" t="s">
        <v>0</v>
      </c>
      <c r="D2497" s="1" t="s">
        <v>7928</v>
      </c>
      <c r="F2497" s="1" t="s">
        <v>7929</v>
      </c>
      <c r="G2497" s="1" t="s">
        <v>7929</v>
      </c>
      <c r="H2497" s="1" t="s">
        <v>249</v>
      </c>
      <c r="I2497" s="1" t="s">
        <v>16</v>
      </c>
      <c r="J2497" s="1">
        <v>1</v>
      </c>
      <c r="K2497" s="1">
        <v>4</v>
      </c>
      <c r="L2497" s="1" t="s">
        <v>42</v>
      </c>
      <c r="M2497" s="1" t="s">
        <v>1463</v>
      </c>
      <c r="N2497" s="1" t="s">
        <v>1463</v>
      </c>
      <c r="O2497" s="1">
        <v>2</v>
      </c>
      <c r="P2497" s="1">
        <v>5</v>
      </c>
      <c r="R2497" s="1" t="s">
        <v>19</v>
      </c>
      <c r="S2497" s="1" t="s">
        <v>20</v>
      </c>
      <c r="T2497" s="1" t="s">
        <v>21</v>
      </c>
      <c r="U2497" s="1" t="s">
        <v>22</v>
      </c>
      <c r="V2497" s="1" t="s">
        <v>24</v>
      </c>
      <c r="W2497" s="1" t="s">
        <v>24</v>
      </c>
      <c r="X2497" s="1">
        <v>2734</v>
      </c>
      <c r="Y2497" s="1" t="s">
        <v>24</v>
      </c>
      <c r="Z2497" s="1" t="s">
        <v>24</v>
      </c>
      <c r="AA2497" s="1" t="s">
        <v>24</v>
      </c>
      <c r="AB2497" s="1" t="s">
        <v>24</v>
      </c>
      <c r="AC2497" s="1" t="s">
        <v>24</v>
      </c>
      <c r="AD2497" s="1" t="s">
        <v>24</v>
      </c>
      <c r="AE2497" s="1" t="s">
        <v>24</v>
      </c>
      <c r="AF2497" s="22"/>
    </row>
    <row r="2498" spans="1:32" x14ac:dyDescent="0.2">
      <c r="A2498" s="1">
        <v>14886</v>
      </c>
      <c r="B2498" s="1" t="s">
        <v>7930</v>
      </c>
      <c r="C2498" s="5" t="s">
        <v>0</v>
      </c>
      <c r="D2498" s="1" t="s">
        <v>7931</v>
      </c>
      <c r="F2498" s="1" t="s">
        <v>7162</v>
      </c>
      <c r="G2498" s="1" t="s">
        <v>7162</v>
      </c>
      <c r="H2498" s="1" t="s">
        <v>168</v>
      </c>
      <c r="I2498" s="1" t="s">
        <v>16</v>
      </c>
      <c r="J2498" s="1">
        <v>1</v>
      </c>
      <c r="K2498" s="1">
        <v>2</v>
      </c>
      <c r="L2498" s="1" t="s">
        <v>17</v>
      </c>
      <c r="M2498" s="1" t="s">
        <v>413</v>
      </c>
      <c r="N2498" s="1" t="s">
        <v>679</v>
      </c>
      <c r="O2498" s="1">
        <v>3</v>
      </c>
      <c r="P2498" s="1">
        <v>5</v>
      </c>
      <c r="R2498" s="1" t="s">
        <v>19</v>
      </c>
      <c r="S2498" s="1" t="s">
        <v>20</v>
      </c>
      <c r="T2498" s="1" t="s">
        <v>21</v>
      </c>
      <c r="U2498" s="1" t="s">
        <v>22</v>
      </c>
      <c r="V2498" s="1" t="s">
        <v>24</v>
      </c>
      <c r="W2498" s="1" t="s">
        <v>24</v>
      </c>
      <c r="X2498" s="1">
        <v>2705</v>
      </c>
      <c r="Y2498" s="1" t="s">
        <v>24</v>
      </c>
      <c r="Z2498" s="1" t="s">
        <v>24</v>
      </c>
      <c r="AA2498" s="1" t="s">
        <v>24</v>
      </c>
      <c r="AB2498" s="1" t="s">
        <v>24</v>
      </c>
      <c r="AC2498" s="1" t="s">
        <v>24</v>
      </c>
      <c r="AD2498" s="1" t="s">
        <v>24</v>
      </c>
      <c r="AE2498" s="1" t="s">
        <v>24</v>
      </c>
      <c r="AF2498" s="22"/>
    </row>
    <row r="2499" spans="1:32" x14ac:dyDescent="0.2">
      <c r="A2499" s="1">
        <v>14889</v>
      </c>
      <c r="B2499" s="1" t="s">
        <v>7932</v>
      </c>
      <c r="C2499" s="5" t="s">
        <v>0</v>
      </c>
      <c r="D2499" s="1" t="s">
        <v>7933</v>
      </c>
      <c r="E2499" s="1" t="s">
        <v>7934</v>
      </c>
      <c r="F2499" s="1" t="s">
        <v>91</v>
      </c>
      <c r="G2499" s="1" t="s">
        <v>61</v>
      </c>
      <c r="H2499" s="1" t="s">
        <v>92</v>
      </c>
      <c r="I2499" s="1" t="s">
        <v>16</v>
      </c>
      <c r="J2499" s="1">
        <v>5</v>
      </c>
      <c r="K2499" s="1">
        <v>3</v>
      </c>
      <c r="L2499" s="1" t="s">
        <v>31</v>
      </c>
      <c r="M2499" s="1" t="s">
        <v>18</v>
      </c>
      <c r="N2499" s="1" t="s">
        <v>18</v>
      </c>
      <c r="O2499" s="1">
        <v>3</v>
      </c>
      <c r="P2499" s="1">
        <v>7</v>
      </c>
      <c r="Q2499" s="7" t="s">
        <v>17633</v>
      </c>
      <c r="R2499" s="1" t="s">
        <v>19</v>
      </c>
      <c r="S2499" s="1" t="s">
        <v>63</v>
      </c>
      <c r="T2499" s="1" t="s">
        <v>21</v>
      </c>
      <c r="U2499" s="1" t="s">
        <v>22</v>
      </c>
      <c r="V2499" s="1" t="s">
        <v>24</v>
      </c>
      <c r="W2499" s="1" t="s">
        <v>24</v>
      </c>
      <c r="X2499" s="1">
        <v>1305</v>
      </c>
      <c r="Y2499" s="1">
        <v>1502</v>
      </c>
      <c r="Z2499" s="1">
        <v>2204</v>
      </c>
      <c r="AA2499" s="1">
        <v>2305</v>
      </c>
      <c r="AB2499" s="1" t="s">
        <v>24</v>
      </c>
      <c r="AC2499" s="1" t="s">
        <v>24</v>
      </c>
      <c r="AD2499" s="1" t="s">
        <v>24</v>
      </c>
      <c r="AE2499" s="1" t="s">
        <v>24</v>
      </c>
      <c r="AF2499" s="22"/>
    </row>
    <row r="2500" spans="1:32" x14ac:dyDescent="0.2">
      <c r="A2500" s="1">
        <v>14891</v>
      </c>
      <c r="B2500" s="1" t="s">
        <v>7935</v>
      </c>
      <c r="C2500" s="5" t="s">
        <v>0</v>
      </c>
      <c r="D2500" s="1" t="s">
        <v>7936</v>
      </c>
      <c r="E2500" s="1" t="s">
        <v>7937</v>
      </c>
      <c r="F2500" s="1" t="s">
        <v>91</v>
      </c>
      <c r="G2500" s="1" t="s">
        <v>61</v>
      </c>
      <c r="H2500" s="1" t="s">
        <v>92</v>
      </c>
      <c r="I2500" s="1" t="s">
        <v>16</v>
      </c>
      <c r="J2500" s="1">
        <v>3</v>
      </c>
      <c r="K2500" s="1">
        <v>4</v>
      </c>
      <c r="L2500" s="1" t="s">
        <v>31</v>
      </c>
      <c r="M2500" s="1" t="s">
        <v>18</v>
      </c>
      <c r="N2500" s="1" t="s">
        <v>18</v>
      </c>
      <c r="O2500" s="1">
        <v>3</v>
      </c>
      <c r="P2500" s="1">
        <v>7</v>
      </c>
      <c r="Q2500" s="7" t="s">
        <v>17633</v>
      </c>
      <c r="R2500" s="1" t="s">
        <v>19</v>
      </c>
      <c r="S2500" s="1" t="s">
        <v>20</v>
      </c>
      <c r="T2500" s="1" t="s">
        <v>21</v>
      </c>
      <c r="U2500" s="1" t="s">
        <v>22</v>
      </c>
      <c r="V2500" s="1" t="s">
        <v>24</v>
      </c>
      <c r="W2500" s="1" t="s">
        <v>24</v>
      </c>
      <c r="X2500" s="1">
        <v>2406</v>
      </c>
      <c r="Y2500" s="1">
        <v>2725</v>
      </c>
      <c r="Z2500" s="1" t="s">
        <v>24</v>
      </c>
      <c r="AA2500" s="1" t="s">
        <v>24</v>
      </c>
      <c r="AB2500" s="1" t="s">
        <v>24</v>
      </c>
      <c r="AC2500" s="1" t="s">
        <v>24</v>
      </c>
      <c r="AD2500" s="1" t="s">
        <v>24</v>
      </c>
      <c r="AE2500" s="1" t="s">
        <v>24</v>
      </c>
      <c r="AF2500" s="22"/>
    </row>
    <row r="2501" spans="1:32" x14ac:dyDescent="0.2">
      <c r="A2501" s="1">
        <v>14893</v>
      </c>
      <c r="B2501" s="1" t="s">
        <v>7938</v>
      </c>
      <c r="C2501" s="5" t="s">
        <v>0</v>
      </c>
      <c r="D2501" s="1" t="s">
        <v>7939</v>
      </c>
      <c r="E2501" s="1" t="s">
        <v>7940</v>
      </c>
      <c r="F2501" s="1" t="s">
        <v>831</v>
      </c>
      <c r="G2501" s="1" t="s">
        <v>61</v>
      </c>
      <c r="H2501" s="1" t="s">
        <v>37</v>
      </c>
      <c r="I2501" s="1" t="s">
        <v>16</v>
      </c>
      <c r="J2501" s="1">
        <v>1</v>
      </c>
      <c r="K2501" s="1">
        <v>6</v>
      </c>
      <c r="L2501" s="1" t="s">
        <v>31</v>
      </c>
      <c r="M2501" s="1" t="s">
        <v>18</v>
      </c>
      <c r="N2501" s="1" t="s">
        <v>18</v>
      </c>
      <c r="O2501" s="1">
        <v>3</v>
      </c>
      <c r="P2501" s="1">
        <v>7</v>
      </c>
      <c r="Q2501" s="7" t="s">
        <v>17633</v>
      </c>
      <c r="R2501" s="1" t="s">
        <v>19</v>
      </c>
      <c r="S2501" s="1" t="s">
        <v>20</v>
      </c>
      <c r="T2501" s="1" t="s">
        <v>21</v>
      </c>
      <c r="U2501" s="1" t="s">
        <v>22</v>
      </c>
      <c r="V2501" s="1" t="s">
        <v>24</v>
      </c>
      <c r="W2501" s="1" t="s">
        <v>24</v>
      </c>
      <c r="X2501" s="1">
        <v>1310</v>
      </c>
      <c r="Y2501" s="1">
        <v>2712</v>
      </c>
      <c r="Z2501" s="1" t="s">
        <v>24</v>
      </c>
      <c r="AA2501" s="1" t="s">
        <v>24</v>
      </c>
      <c r="AB2501" s="1" t="s">
        <v>24</v>
      </c>
      <c r="AC2501" s="1" t="s">
        <v>24</v>
      </c>
      <c r="AD2501" s="1" t="s">
        <v>24</v>
      </c>
      <c r="AE2501" s="1" t="s">
        <v>24</v>
      </c>
      <c r="AF2501" s="22"/>
    </row>
    <row r="2502" spans="1:32" x14ac:dyDescent="0.2">
      <c r="A2502" s="1">
        <v>14926</v>
      </c>
      <c r="B2502" s="1" t="s">
        <v>7941</v>
      </c>
      <c r="C2502" s="5" t="s">
        <v>0</v>
      </c>
      <c r="D2502" s="1" t="s">
        <v>7942</v>
      </c>
      <c r="E2502" s="1" t="s">
        <v>7943</v>
      </c>
      <c r="F2502" s="1" t="s">
        <v>7944</v>
      </c>
      <c r="G2502" s="1" t="s">
        <v>460</v>
      </c>
      <c r="H2502" s="1" t="s">
        <v>461</v>
      </c>
      <c r="I2502" s="1" t="s">
        <v>16</v>
      </c>
      <c r="J2502" s="1">
        <v>1</v>
      </c>
      <c r="K2502" s="1">
        <v>4</v>
      </c>
      <c r="L2502" s="1" t="s">
        <v>42</v>
      </c>
      <c r="M2502" s="1" t="s">
        <v>18</v>
      </c>
      <c r="N2502" s="1" t="s">
        <v>18</v>
      </c>
      <c r="O2502" s="1">
        <v>3</v>
      </c>
      <c r="P2502" s="1">
        <v>6</v>
      </c>
      <c r="R2502" s="1" t="s">
        <v>19</v>
      </c>
      <c r="S2502" s="1" t="s">
        <v>20</v>
      </c>
      <c r="T2502" s="1" t="s">
        <v>21</v>
      </c>
      <c r="U2502" s="1" t="s">
        <v>22</v>
      </c>
      <c r="V2502" s="1" t="s">
        <v>24</v>
      </c>
      <c r="W2502" s="1" t="s">
        <v>24</v>
      </c>
      <c r="X2502" s="1">
        <v>2402</v>
      </c>
      <c r="Y2502" s="1">
        <v>2739</v>
      </c>
      <c r="Z2502" s="1" t="s">
        <v>24</v>
      </c>
      <c r="AA2502" s="1" t="s">
        <v>24</v>
      </c>
      <c r="AB2502" s="1" t="s">
        <v>24</v>
      </c>
      <c r="AC2502" s="1" t="s">
        <v>24</v>
      </c>
      <c r="AD2502" s="1" t="s">
        <v>24</v>
      </c>
      <c r="AE2502" s="1" t="s">
        <v>24</v>
      </c>
      <c r="AF2502" s="22"/>
    </row>
    <row r="2503" spans="1:32" x14ac:dyDescent="0.2">
      <c r="A2503" s="1">
        <v>14934</v>
      </c>
      <c r="B2503" s="1" t="s">
        <v>7945</v>
      </c>
      <c r="C2503" s="5" t="s">
        <v>0</v>
      </c>
      <c r="D2503" s="1" t="s">
        <v>7946</v>
      </c>
      <c r="E2503" s="1" t="s">
        <v>7947</v>
      </c>
      <c r="F2503" s="1" t="s">
        <v>669</v>
      </c>
      <c r="G2503" s="1" t="s">
        <v>311</v>
      </c>
      <c r="H2503" s="1" t="s">
        <v>30</v>
      </c>
      <c r="I2503" s="1" t="s">
        <v>16</v>
      </c>
      <c r="J2503" s="1">
        <v>1</v>
      </c>
      <c r="K2503" s="1">
        <v>8</v>
      </c>
      <c r="L2503" s="1" t="s">
        <v>31</v>
      </c>
      <c r="M2503" s="1" t="s">
        <v>18</v>
      </c>
      <c r="N2503" s="1" t="s">
        <v>18</v>
      </c>
      <c r="O2503" s="1">
        <v>3</v>
      </c>
      <c r="P2503" s="1">
        <v>6</v>
      </c>
      <c r="R2503" s="1" t="s">
        <v>19</v>
      </c>
      <c r="S2503" s="1" t="s">
        <v>20</v>
      </c>
      <c r="T2503" s="1" t="s">
        <v>21</v>
      </c>
      <c r="U2503" s="1" t="s">
        <v>22</v>
      </c>
      <c r="V2503" s="1" t="s">
        <v>24</v>
      </c>
      <c r="W2503" s="1" t="s">
        <v>24</v>
      </c>
      <c r="X2503" s="1">
        <v>2307</v>
      </c>
      <c r="Y2503" s="1">
        <v>3005</v>
      </c>
      <c r="Z2503" s="1" t="s">
        <v>24</v>
      </c>
      <c r="AA2503" s="1" t="s">
        <v>24</v>
      </c>
      <c r="AB2503" s="1" t="s">
        <v>24</v>
      </c>
      <c r="AC2503" s="1" t="s">
        <v>24</v>
      </c>
      <c r="AD2503" s="1" t="s">
        <v>24</v>
      </c>
      <c r="AE2503" s="1" t="s">
        <v>24</v>
      </c>
      <c r="AF2503" s="22"/>
    </row>
    <row r="2504" spans="1:32" x14ac:dyDescent="0.2">
      <c r="A2504" s="1">
        <v>14949</v>
      </c>
      <c r="B2504" s="1" t="s">
        <v>7948</v>
      </c>
      <c r="C2504" s="5" t="s">
        <v>0</v>
      </c>
      <c r="D2504" s="1" t="s">
        <v>7949</v>
      </c>
      <c r="F2504" s="1" t="s">
        <v>7950</v>
      </c>
      <c r="G2504" s="1" t="s">
        <v>7951</v>
      </c>
      <c r="H2504" s="1" t="s">
        <v>461</v>
      </c>
      <c r="I2504" s="1" t="s">
        <v>16</v>
      </c>
      <c r="J2504" s="1">
        <v>1</v>
      </c>
      <c r="K2504" s="1">
        <v>4</v>
      </c>
      <c r="L2504" s="1" t="s">
        <v>17</v>
      </c>
      <c r="M2504" s="1" t="s">
        <v>1735</v>
      </c>
      <c r="N2504" s="1" t="s">
        <v>18</v>
      </c>
      <c r="O2504" s="1">
        <v>2</v>
      </c>
      <c r="P2504" s="1">
        <v>5</v>
      </c>
      <c r="R2504" s="1" t="s">
        <v>19</v>
      </c>
      <c r="S2504" s="1" t="s">
        <v>20</v>
      </c>
      <c r="T2504" s="1" t="s">
        <v>21</v>
      </c>
      <c r="U2504" s="1" t="s">
        <v>22</v>
      </c>
      <c r="V2504" s="1" t="s">
        <v>24</v>
      </c>
      <c r="W2504" s="1" t="s">
        <v>24</v>
      </c>
      <c r="X2504" s="1">
        <v>2700</v>
      </c>
      <c r="Y2504" s="1" t="s">
        <v>24</v>
      </c>
      <c r="Z2504" s="1" t="s">
        <v>24</v>
      </c>
      <c r="AA2504" s="1" t="s">
        <v>24</v>
      </c>
      <c r="AB2504" s="1" t="s">
        <v>24</v>
      </c>
      <c r="AC2504" s="1" t="s">
        <v>24</v>
      </c>
      <c r="AD2504" s="1" t="s">
        <v>24</v>
      </c>
      <c r="AE2504" s="1" t="s">
        <v>24</v>
      </c>
      <c r="AF2504" s="22"/>
    </row>
    <row r="2505" spans="1:32" x14ac:dyDescent="0.2">
      <c r="A2505" s="1">
        <v>14951</v>
      </c>
      <c r="B2505" s="1" t="s">
        <v>7952</v>
      </c>
      <c r="C2505" s="5" t="s">
        <v>0</v>
      </c>
      <c r="D2505" s="1" t="s">
        <v>7953</v>
      </c>
      <c r="E2505" s="1" t="s">
        <v>7954</v>
      </c>
      <c r="F2505" s="1" t="s">
        <v>356</v>
      </c>
      <c r="G2505" s="1" t="s">
        <v>357</v>
      </c>
      <c r="H2505" s="1" t="s">
        <v>30</v>
      </c>
      <c r="I2505" s="1" t="s">
        <v>16</v>
      </c>
      <c r="J2505" s="1">
        <v>1</v>
      </c>
      <c r="K2505" s="1">
        <v>4</v>
      </c>
      <c r="L2505" s="1" t="s">
        <v>31</v>
      </c>
      <c r="M2505" s="1" t="s">
        <v>18</v>
      </c>
      <c r="N2505" s="1" t="s">
        <v>18</v>
      </c>
      <c r="O2505" s="1">
        <v>3</v>
      </c>
      <c r="P2505" s="1">
        <v>7</v>
      </c>
      <c r="Q2505" s="7" t="s">
        <v>17633</v>
      </c>
      <c r="R2505" s="1" t="s">
        <v>19</v>
      </c>
      <c r="S2505" s="1" t="s">
        <v>20</v>
      </c>
      <c r="T2505" s="1" t="s">
        <v>21</v>
      </c>
      <c r="U2505" s="1" t="s">
        <v>22</v>
      </c>
      <c r="V2505" s="1" t="s">
        <v>23</v>
      </c>
      <c r="W2505" s="1" t="s">
        <v>24</v>
      </c>
      <c r="X2505" s="1">
        <v>2739</v>
      </c>
      <c r="Y2505" s="1">
        <v>3202</v>
      </c>
      <c r="Z2505" s="1" t="s">
        <v>24</v>
      </c>
      <c r="AA2505" s="1" t="s">
        <v>24</v>
      </c>
      <c r="AB2505" s="1" t="s">
        <v>24</v>
      </c>
      <c r="AC2505" s="1" t="s">
        <v>24</v>
      </c>
      <c r="AD2505" s="1" t="s">
        <v>24</v>
      </c>
      <c r="AE2505" s="1" t="s">
        <v>24</v>
      </c>
      <c r="AF2505" s="22"/>
    </row>
    <row r="2506" spans="1:32" x14ac:dyDescent="0.2">
      <c r="A2506" s="1">
        <v>14952</v>
      </c>
      <c r="B2506" s="1" t="s">
        <v>7955</v>
      </c>
      <c r="C2506" s="5" t="s">
        <v>0</v>
      </c>
      <c r="D2506" s="1" t="s">
        <v>7956</v>
      </c>
      <c r="F2506" s="1" t="s">
        <v>7955</v>
      </c>
      <c r="G2506" s="1" t="s">
        <v>7955</v>
      </c>
      <c r="H2506" s="1" t="s">
        <v>885</v>
      </c>
      <c r="I2506" s="1" t="s">
        <v>16</v>
      </c>
      <c r="J2506" s="1">
        <v>1</v>
      </c>
      <c r="K2506" s="1">
        <v>2</v>
      </c>
      <c r="L2506" s="1" t="s">
        <v>17</v>
      </c>
      <c r="M2506" s="1" t="s">
        <v>18</v>
      </c>
      <c r="N2506" s="1" t="s">
        <v>18</v>
      </c>
      <c r="O2506" s="1">
        <v>3</v>
      </c>
      <c r="P2506" s="1">
        <v>5</v>
      </c>
      <c r="R2506" s="1" t="s">
        <v>19</v>
      </c>
      <c r="S2506" s="1" t="s">
        <v>20</v>
      </c>
      <c r="T2506" s="1" t="s">
        <v>21</v>
      </c>
      <c r="U2506" s="1" t="s">
        <v>22</v>
      </c>
      <c r="V2506" s="1" t="s">
        <v>23</v>
      </c>
      <c r="W2506" s="1" t="s">
        <v>24</v>
      </c>
      <c r="X2506" s="1">
        <v>2700</v>
      </c>
      <c r="Y2506" s="1" t="s">
        <v>24</v>
      </c>
      <c r="Z2506" s="1" t="s">
        <v>24</v>
      </c>
      <c r="AA2506" s="1" t="s">
        <v>24</v>
      </c>
      <c r="AB2506" s="1" t="s">
        <v>24</v>
      </c>
      <c r="AC2506" s="1" t="s">
        <v>24</v>
      </c>
      <c r="AD2506" s="1" t="s">
        <v>24</v>
      </c>
      <c r="AE2506" s="1" t="s">
        <v>24</v>
      </c>
      <c r="AF2506" s="22"/>
    </row>
    <row r="2507" spans="1:32" x14ac:dyDescent="0.2">
      <c r="A2507" s="1">
        <v>14967</v>
      </c>
      <c r="B2507" s="1" t="s">
        <v>7957</v>
      </c>
      <c r="C2507" s="5" t="s">
        <v>0</v>
      </c>
      <c r="D2507" s="1" t="s">
        <v>7958</v>
      </c>
      <c r="E2507" s="1" t="s">
        <v>7959</v>
      </c>
      <c r="F2507" s="1" t="s">
        <v>6914</v>
      </c>
      <c r="G2507" s="1" t="s">
        <v>6915</v>
      </c>
      <c r="H2507" s="1" t="s">
        <v>37</v>
      </c>
      <c r="I2507" s="1" t="s">
        <v>16</v>
      </c>
      <c r="J2507" s="1">
        <v>1</v>
      </c>
      <c r="K2507" s="1">
        <v>12</v>
      </c>
      <c r="L2507" s="1" t="s">
        <v>31</v>
      </c>
      <c r="M2507" s="1" t="s">
        <v>18</v>
      </c>
      <c r="N2507" s="1" t="s">
        <v>18</v>
      </c>
      <c r="O2507" s="1">
        <v>3</v>
      </c>
      <c r="P2507" s="1">
        <v>7</v>
      </c>
      <c r="Q2507" s="7" t="s">
        <v>17633</v>
      </c>
      <c r="R2507" s="1" t="s">
        <v>19</v>
      </c>
      <c r="S2507" s="1" t="s">
        <v>20</v>
      </c>
      <c r="T2507" s="1" t="s">
        <v>21</v>
      </c>
      <c r="U2507" s="1" t="s">
        <v>22</v>
      </c>
      <c r="V2507" s="1" t="s">
        <v>24</v>
      </c>
      <c r="W2507" s="1" t="s">
        <v>64</v>
      </c>
      <c r="X2507" s="1">
        <v>1600</v>
      </c>
      <c r="Y2507" s="1">
        <v>1503</v>
      </c>
      <c r="Z2507" s="1">
        <v>2505</v>
      </c>
      <c r="AA2507" s="1" t="s">
        <v>24</v>
      </c>
      <c r="AB2507" s="1" t="s">
        <v>24</v>
      </c>
      <c r="AC2507" s="1" t="s">
        <v>24</v>
      </c>
      <c r="AD2507" s="1" t="s">
        <v>24</v>
      </c>
      <c r="AE2507" s="1" t="s">
        <v>24</v>
      </c>
      <c r="AF2507" s="22"/>
    </row>
    <row r="2508" spans="1:32" x14ac:dyDescent="0.2">
      <c r="A2508" s="1">
        <v>14971</v>
      </c>
      <c r="B2508" s="1" t="s">
        <v>7960</v>
      </c>
      <c r="C2508" s="5" t="s">
        <v>0</v>
      </c>
      <c r="D2508" s="1" t="s">
        <v>7961</v>
      </c>
      <c r="E2508" s="1" t="s">
        <v>7962</v>
      </c>
      <c r="F2508" s="1" t="s">
        <v>493</v>
      </c>
      <c r="G2508" s="1" t="s">
        <v>98</v>
      </c>
      <c r="H2508" s="1" t="s">
        <v>30</v>
      </c>
      <c r="I2508" s="1" t="s">
        <v>16</v>
      </c>
      <c r="J2508" s="1">
        <v>1</v>
      </c>
      <c r="K2508" s="1">
        <v>10</v>
      </c>
      <c r="L2508" s="1" t="s">
        <v>31</v>
      </c>
      <c r="M2508" s="1" t="s">
        <v>18</v>
      </c>
      <c r="N2508" s="1" t="s">
        <v>18</v>
      </c>
      <c r="O2508" s="1">
        <v>3</v>
      </c>
      <c r="P2508" s="1">
        <v>7</v>
      </c>
      <c r="Q2508" s="7" t="s">
        <v>17633</v>
      </c>
      <c r="R2508" s="1" t="s">
        <v>62</v>
      </c>
      <c r="S2508" s="1" t="s">
        <v>20</v>
      </c>
      <c r="T2508" s="1" t="s">
        <v>21</v>
      </c>
      <c r="U2508" s="1" t="s">
        <v>22</v>
      </c>
      <c r="V2508" s="1" t="s">
        <v>24</v>
      </c>
      <c r="W2508" s="1" t="s">
        <v>24</v>
      </c>
      <c r="X2508" s="1">
        <v>1602</v>
      </c>
      <c r="Y2508" s="1">
        <v>3002</v>
      </c>
      <c r="Z2508" s="1">
        <v>3004</v>
      </c>
      <c r="AA2508" s="1">
        <v>1303</v>
      </c>
      <c r="AB2508" s="1">
        <v>1313</v>
      </c>
      <c r="AC2508" s="1">
        <v>1305</v>
      </c>
      <c r="AD2508" s="1" t="s">
        <v>24</v>
      </c>
      <c r="AE2508" s="1" t="s">
        <v>24</v>
      </c>
      <c r="AF2508" s="22"/>
    </row>
    <row r="2509" spans="1:32" x14ac:dyDescent="0.2">
      <c r="A2509" s="1">
        <v>14972</v>
      </c>
      <c r="B2509" s="1" t="s">
        <v>7963</v>
      </c>
      <c r="C2509" s="5" t="s">
        <v>0</v>
      </c>
      <c r="D2509" s="1" t="s">
        <v>7964</v>
      </c>
      <c r="E2509" s="1" t="s">
        <v>7965</v>
      </c>
      <c r="F2509" s="1" t="s">
        <v>4337</v>
      </c>
      <c r="G2509" s="1" t="s">
        <v>4338</v>
      </c>
      <c r="H2509" s="1" t="s">
        <v>30</v>
      </c>
      <c r="I2509" s="1" t="s">
        <v>16</v>
      </c>
      <c r="J2509" s="1">
        <v>1</v>
      </c>
      <c r="K2509" s="1">
        <v>4</v>
      </c>
      <c r="L2509" s="1" t="s">
        <v>31</v>
      </c>
      <c r="M2509" s="1" t="s">
        <v>18</v>
      </c>
      <c r="N2509" s="1" t="s">
        <v>18</v>
      </c>
      <c r="O2509" s="1">
        <v>3</v>
      </c>
      <c r="P2509" s="1">
        <v>7</v>
      </c>
      <c r="Q2509" s="7" t="s">
        <v>17633</v>
      </c>
      <c r="R2509" s="1" t="s">
        <v>19</v>
      </c>
      <c r="S2509" s="1" t="s">
        <v>20</v>
      </c>
      <c r="T2509" s="1" t="s">
        <v>21</v>
      </c>
      <c r="U2509" s="1" t="s">
        <v>22</v>
      </c>
      <c r="V2509" s="1" t="s">
        <v>23</v>
      </c>
      <c r="W2509" s="1" t="s">
        <v>24</v>
      </c>
      <c r="X2509" s="1">
        <v>2701</v>
      </c>
      <c r="Y2509" s="1">
        <v>2916</v>
      </c>
      <c r="Z2509" s="1" t="s">
        <v>24</v>
      </c>
      <c r="AA2509" s="1" t="s">
        <v>24</v>
      </c>
      <c r="AB2509" s="1" t="s">
        <v>24</v>
      </c>
      <c r="AC2509" s="1" t="s">
        <v>24</v>
      </c>
      <c r="AD2509" s="1" t="s">
        <v>24</v>
      </c>
      <c r="AE2509" s="1" t="s">
        <v>24</v>
      </c>
      <c r="AF2509" s="22"/>
    </row>
    <row r="2510" spans="1:32" x14ac:dyDescent="0.2">
      <c r="A2510" s="1">
        <v>14973</v>
      </c>
      <c r="B2510" s="1" t="s">
        <v>7966</v>
      </c>
      <c r="C2510" s="5" t="s">
        <v>0</v>
      </c>
      <c r="D2510" s="1" t="s">
        <v>7967</v>
      </c>
      <c r="E2510" s="1" t="s">
        <v>7968</v>
      </c>
      <c r="F2510" s="1" t="s">
        <v>4337</v>
      </c>
      <c r="G2510" s="1" t="s">
        <v>4338</v>
      </c>
      <c r="H2510" s="1" t="s">
        <v>30</v>
      </c>
      <c r="I2510" s="1" t="s">
        <v>16</v>
      </c>
      <c r="J2510" s="1">
        <v>1</v>
      </c>
      <c r="K2510" s="1">
        <v>6</v>
      </c>
      <c r="L2510" s="1" t="s">
        <v>31</v>
      </c>
      <c r="M2510" s="1" t="s">
        <v>18</v>
      </c>
      <c r="N2510" s="1" t="s">
        <v>18</v>
      </c>
      <c r="O2510" s="1">
        <v>3</v>
      </c>
      <c r="P2510" s="1">
        <v>6</v>
      </c>
      <c r="R2510" s="1" t="s">
        <v>19</v>
      </c>
      <c r="S2510" s="1" t="s">
        <v>20</v>
      </c>
      <c r="T2510" s="1" t="s">
        <v>21</v>
      </c>
      <c r="U2510" s="1" t="s">
        <v>22</v>
      </c>
      <c r="V2510" s="1" t="s">
        <v>23</v>
      </c>
      <c r="W2510" s="1" t="s">
        <v>24</v>
      </c>
      <c r="X2510" s="1">
        <v>2700</v>
      </c>
      <c r="Y2510" s="1">
        <v>2703</v>
      </c>
      <c r="Z2510" s="1">
        <v>2900</v>
      </c>
      <c r="AA2510" s="1" t="s">
        <v>24</v>
      </c>
      <c r="AB2510" s="1" t="s">
        <v>24</v>
      </c>
      <c r="AC2510" s="1" t="s">
        <v>24</v>
      </c>
      <c r="AD2510" s="1" t="s">
        <v>24</v>
      </c>
      <c r="AE2510" s="1" t="s">
        <v>24</v>
      </c>
      <c r="AF2510" s="22"/>
    </row>
    <row r="2511" spans="1:32" x14ac:dyDescent="0.2">
      <c r="A2511" s="1">
        <v>14985</v>
      </c>
      <c r="B2511" s="1" t="s">
        <v>7969</v>
      </c>
      <c r="C2511" s="5" t="s">
        <v>0</v>
      </c>
      <c r="D2511" s="1" t="s">
        <v>7970</v>
      </c>
      <c r="F2511" s="1" t="s">
        <v>7971</v>
      </c>
      <c r="G2511" s="1" t="s">
        <v>7971</v>
      </c>
      <c r="H2511" s="1" t="s">
        <v>2672</v>
      </c>
      <c r="I2511" s="1" t="s">
        <v>16</v>
      </c>
      <c r="J2511" s="1">
        <v>1</v>
      </c>
      <c r="K2511" s="1">
        <v>4</v>
      </c>
      <c r="L2511" s="1" t="s">
        <v>42</v>
      </c>
      <c r="M2511" s="1" t="s">
        <v>18</v>
      </c>
      <c r="N2511" s="1" t="s">
        <v>18</v>
      </c>
      <c r="O2511" s="1">
        <v>1</v>
      </c>
      <c r="P2511" s="1">
        <v>5</v>
      </c>
      <c r="R2511" s="1" t="s">
        <v>19</v>
      </c>
      <c r="S2511" s="1" t="s">
        <v>20</v>
      </c>
      <c r="T2511" s="1" t="s">
        <v>21</v>
      </c>
      <c r="U2511" s="1" t="s">
        <v>22</v>
      </c>
      <c r="V2511" s="1" t="s">
        <v>24</v>
      </c>
      <c r="W2511" s="1" t="s">
        <v>24</v>
      </c>
      <c r="X2511" s="1">
        <v>2708</v>
      </c>
      <c r="Y2511" s="1" t="s">
        <v>24</v>
      </c>
      <c r="Z2511" s="1" t="s">
        <v>24</v>
      </c>
      <c r="AA2511" s="1" t="s">
        <v>24</v>
      </c>
      <c r="AB2511" s="1" t="s">
        <v>24</v>
      </c>
      <c r="AC2511" s="1" t="s">
        <v>24</v>
      </c>
      <c r="AD2511" s="1" t="s">
        <v>24</v>
      </c>
      <c r="AE2511" s="1" t="s">
        <v>24</v>
      </c>
      <c r="AF2511" s="22"/>
    </row>
    <row r="2512" spans="1:32" x14ac:dyDescent="0.2">
      <c r="A2512" s="1">
        <v>14987</v>
      </c>
      <c r="B2512" s="1" t="s">
        <v>7972</v>
      </c>
      <c r="C2512" s="5" t="s">
        <v>0</v>
      </c>
      <c r="D2512" s="1" t="s">
        <v>7973</v>
      </c>
      <c r="F2512" s="1" t="s">
        <v>7974</v>
      </c>
      <c r="G2512" s="1" t="s">
        <v>7975</v>
      </c>
      <c r="H2512" s="1" t="s">
        <v>3228</v>
      </c>
      <c r="I2512" s="1" t="s">
        <v>16</v>
      </c>
      <c r="J2512" s="1">
        <v>1</v>
      </c>
      <c r="K2512" s="1">
        <v>3</v>
      </c>
      <c r="L2512" s="1" t="s">
        <v>31</v>
      </c>
      <c r="M2512" s="1" t="s">
        <v>18</v>
      </c>
      <c r="N2512" s="1" t="s">
        <v>18</v>
      </c>
      <c r="O2512" s="1">
        <v>3</v>
      </c>
      <c r="P2512" s="1">
        <v>6</v>
      </c>
      <c r="R2512" s="1" t="s">
        <v>19</v>
      </c>
      <c r="S2512" s="1" t="s">
        <v>20</v>
      </c>
      <c r="T2512" s="1" t="s">
        <v>21</v>
      </c>
      <c r="U2512" s="1" t="s">
        <v>22</v>
      </c>
      <c r="V2512" s="1" t="s">
        <v>23</v>
      </c>
      <c r="W2512" s="1" t="s">
        <v>24</v>
      </c>
      <c r="X2512" s="1">
        <v>1308</v>
      </c>
      <c r="Y2512" s="1" t="s">
        <v>24</v>
      </c>
      <c r="Z2512" s="1" t="s">
        <v>24</v>
      </c>
      <c r="AA2512" s="1" t="s">
        <v>24</v>
      </c>
      <c r="AB2512" s="1" t="s">
        <v>24</v>
      </c>
      <c r="AC2512" s="1" t="s">
        <v>24</v>
      </c>
      <c r="AD2512" s="1" t="s">
        <v>24</v>
      </c>
      <c r="AE2512" s="1" t="s">
        <v>24</v>
      </c>
      <c r="AF2512" s="22"/>
    </row>
    <row r="2513" spans="1:32" x14ac:dyDescent="0.2">
      <c r="A2513" s="1">
        <v>15002</v>
      </c>
      <c r="B2513" s="1" t="s">
        <v>7976</v>
      </c>
      <c r="C2513" s="5" t="s">
        <v>0</v>
      </c>
      <c r="D2513" s="1" t="s">
        <v>7977</v>
      </c>
      <c r="E2513" s="1" t="s">
        <v>7978</v>
      </c>
      <c r="F2513" s="1" t="s">
        <v>412</v>
      </c>
      <c r="G2513" s="1" t="s">
        <v>372</v>
      </c>
      <c r="H2513" s="1" t="s">
        <v>168</v>
      </c>
      <c r="I2513" s="1" t="s">
        <v>16</v>
      </c>
      <c r="J2513" s="1">
        <v>1</v>
      </c>
      <c r="K2513" s="1">
        <v>20</v>
      </c>
      <c r="L2513" s="1" t="s">
        <v>31</v>
      </c>
      <c r="M2513" s="1" t="s">
        <v>18</v>
      </c>
      <c r="N2513" s="1" t="s">
        <v>18</v>
      </c>
      <c r="O2513" s="1">
        <v>3</v>
      </c>
      <c r="P2513" s="1">
        <v>6</v>
      </c>
      <c r="R2513" s="1" t="s">
        <v>881</v>
      </c>
      <c r="S2513" s="1" t="s">
        <v>63</v>
      </c>
      <c r="T2513" s="1" t="s">
        <v>21</v>
      </c>
      <c r="U2513" s="1" t="s">
        <v>22</v>
      </c>
      <c r="V2513" s="1" t="s">
        <v>24</v>
      </c>
      <c r="W2513" s="1" t="s">
        <v>64</v>
      </c>
      <c r="X2513" s="1">
        <v>1605</v>
      </c>
      <c r="Y2513" s="1" t="s">
        <v>24</v>
      </c>
      <c r="Z2513" s="1" t="s">
        <v>24</v>
      </c>
      <c r="AA2513" s="1" t="s">
        <v>24</v>
      </c>
      <c r="AB2513" s="1" t="s">
        <v>24</v>
      </c>
      <c r="AC2513" s="1" t="s">
        <v>24</v>
      </c>
      <c r="AD2513" s="1" t="s">
        <v>24</v>
      </c>
      <c r="AE2513" s="1" t="s">
        <v>24</v>
      </c>
      <c r="AF2513" s="22"/>
    </row>
    <row r="2514" spans="1:32" x14ac:dyDescent="0.2">
      <c r="A2514" s="1">
        <v>15004</v>
      </c>
      <c r="B2514" s="1" t="s">
        <v>7979</v>
      </c>
      <c r="C2514" s="5" t="s">
        <v>0</v>
      </c>
      <c r="D2514" s="1" t="s">
        <v>7980</v>
      </c>
      <c r="F2514" s="1" t="s">
        <v>1711</v>
      </c>
      <c r="G2514" s="1" t="s">
        <v>1712</v>
      </c>
      <c r="H2514" s="1" t="s">
        <v>684</v>
      </c>
      <c r="I2514" s="1" t="s">
        <v>16</v>
      </c>
      <c r="J2514" s="1">
        <v>1</v>
      </c>
      <c r="K2514" s="1">
        <v>3</v>
      </c>
      <c r="L2514" s="1" t="s">
        <v>31</v>
      </c>
      <c r="M2514" s="1" t="s">
        <v>18</v>
      </c>
      <c r="N2514" s="1" t="s">
        <v>18</v>
      </c>
      <c r="O2514" s="1">
        <v>3</v>
      </c>
      <c r="P2514" s="1">
        <v>5</v>
      </c>
      <c r="R2514" s="1" t="s">
        <v>19</v>
      </c>
      <c r="S2514" s="1" t="s">
        <v>20</v>
      </c>
      <c r="T2514" s="1" t="s">
        <v>21</v>
      </c>
      <c r="U2514" s="1" t="s">
        <v>22</v>
      </c>
      <c r="V2514" s="1" t="s">
        <v>24</v>
      </c>
      <c r="W2514" s="1" t="s">
        <v>24</v>
      </c>
      <c r="X2514" s="1">
        <v>2705</v>
      </c>
      <c r="Y2514" s="1" t="s">
        <v>24</v>
      </c>
      <c r="Z2514" s="1" t="s">
        <v>24</v>
      </c>
      <c r="AA2514" s="1" t="s">
        <v>24</v>
      </c>
      <c r="AB2514" s="1" t="s">
        <v>24</v>
      </c>
      <c r="AC2514" s="1" t="s">
        <v>24</v>
      </c>
      <c r="AD2514" s="1" t="s">
        <v>24</v>
      </c>
      <c r="AE2514" s="1" t="s">
        <v>24</v>
      </c>
      <c r="AF2514" s="22"/>
    </row>
    <row r="2515" spans="1:32" x14ac:dyDescent="0.2">
      <c r="A2515" s="1">
        <v>15007</v>
      </c>
      <c r="B2515" s="1" t="s">
        <v>7981</v>
      </c>
      <c r="C2515" s="5" t="s">
        <v>0</v>
      </c>
      <c r="D2515" s="1" t="s">
        <v>7982</v>
      </c>
      <c r="E2515" s="1" t="s">
        <v>7983</v>
      </c>
      <c r="F2515" s="1" t="s">
        <v>1897</v>
      </c>
      <c r="G2515" s="1" t="s">
        <v>1898</v>
      </c>
      <c r="H2515" s="1" t="s">
        <v>899</v>
      </c>
      <c r="I2515" s="1" t="s">
        <v>16</v>
      </c>
      <c r="J2515" s="1">
        <v>1</v>
      </c>
      <c r="K2515" s="1">
        <v>3</v>
      </c>
      <c r="L2515" s="1" t="s">
        <v>31</v>
      </c>
      <c r="M2515" s="1" t="s">
        <v>18</v>
      </c>
      <c r="N2515" s="1" t="s">
        <v>18</v>
      </c>
      <c r="O2515" s="1">
        <v>3</v>
      </c>
      <c r="P2515" s="1">
        <v>6</v>
      </c>
      <c r="R2515" s="1" t="s">
        <v>19</v>
      </c>
      <c r="S2515" s="1" t="s">
        <v>20</v>
      </c>
      <c r="T2515" s="1" t="s">
        <v>21</v>
      </c>
      <c r="U2515" s="1" t="s">
        <v>22</v>
      </c>
      <c r="V2515" s="1" t="s">
        <v>24</v>
      </c>
      <c r="W2515" s="1" t="s">
        <v>24</v>
      </c>
      <c r="X2515" s="1">
        <v>2739</v>
      </c>
      <c r="Y2515" s="1" t="s">
        <v>24</v>
      </c>
      <c r="Z2515" s="1" t="s">
        <v>24</v>
      </c>
      <c r="AA2515" s="1" t="s">
        <v>24</v>
      </c>
      <c r="AB2515" s="1" t="s">
        <v>24</v>
      </c>
      <c r="AC2515" s="1" t="s">
        <v>24</v>
      </c>
      <c r="AD2515" s="1" t="s">
        <v>24</v>
      </c>
      <c r="AE2515" s="1" t="s">
        <v>24</v>
      </c>
      <c r="AF2515" s="22"/>
    </row>
    <row r="2516" spans="1:32" x14ac:dyDescent="0.2">
      <c r="A2516" s="1">
        <v>15008</v>
      </c>
      <c r="B2516" s="1" t="s">
        <v>7984</v>
      </c>
      <c r="C2516" s="5" t="s">
        <v>0</v>
      </c>
      <c r="D2516" s="1" t="s">
        <v>7985</v>
      </c>
      <c r="E2516" s="1" t="s">
        <v>7986</v>
      </c>
      <c r="F2516" s="1" t="s">
        <v>3358</v>
      </c>
      <c r="G2516" s="1" t="s">
        <v>3358</v>
      </c>
      <c r="H2516" s="1" t="s">
        <v>30</v>
      </c>
      <c r="I2516" s="1" t="s">
        <v>16</v>
      </c>
      <c r="J2516" s="1">
        <v>1</v>
      </c>
      <c r="K2516" s="1">
        <v>12</v>
      </c>
      <c r="L2516" s="1" t="s">
        <v>42</v>
      </c>
      <c r="M2516" s="1" t="s">
        <v>18</v>
      </c>
      <c r="N2516" s="1" t="s">
        <v>18</v>
      </c>
      <c r="O2516" s="1">
        <v>3</v>
      </c>
      <c r="P2516" s="1">
        <v>6</v>
      </c>
      <c r="R2516" s="1" t="s">
        <v>19</v>
      </c>
      <c r="S2516" s="1" t="s">
        <v>20</v>
      </c>
      <c r="T2516" s="1" t="s">
        <v>21</v>
      </c>
      <c r="U2516" s="1" t="s">
        <v>22</v>
      </c>
      <c r="V2516" s="1" t="s">
        <v>23</v>
      </c>
      <c r="W2516" s="1" t="s">
        <v>24</v>
      </c>
      <c r="X2516" s="1">
        <v>2735</v>
      </c>
      <c r="Y2516" s="1" t="s">
        <v>24</v>
      </c>
      <c r="Z2516" s="1" t="s">
        <v>24</v>
      </c>
      <c r="AA2516" s="1" t="s">
        <v>24</v>
      </c>
      <c r="AB2516" s="1" t="s">
        <v>24</v>
      </c>
      <c r="AC2516" s="1" t="s">
        <v>24</v>
      </c>
      <c r="AD2516" s="1" t="s">
        <v>24</v>
      </c>
      <c r="AE2516" s="1" t="s">
        <v>24</v>
      </c>
      <c r="AF2516" s="22"/>
    </row>
    <row r="2517" spans="1:32" x14ac:dyDescent="0.2">
      <c r="A2517" s="1">
        <v>15014</v>
      </c>
      <c r="B2517" s="1" t="s">
        <v>7987</v>
      </c>
      <c r="C2517" s="5" t="s">
        <v>0</v>
      </c>
      <c r="D2517" s="1" t="s">
        <v>7988</v>
      </c>
      <c r="E2517" s="1" t="s">
        <v>7989</v>
      </c>
      <c r="F2517" s="1" t="s">
        <v>7990</v>
      </c>
      <c r="G2517" s="1" t="s">
        <v>7990</v>
      </c>
      <c r="H2517" s="1" t="s">
        <v>135</v>
      </c>
      <c r="I2517" s="1" t="s">
        <v>16</v>
      </c>
      <c r="J2517" s="1">
        <v>1</v>
      </c>
      <c r="K2517" s="1">
        <v>4</v>
      </c>
      <c r="L2517" s="1" t="s">
        <v>42</v>
      </c>
      <c r="M2517" s="1" t="s">
        <v>1131</v>
      </c>
      <c r="N2517" s="1" t="s">
        <v>5887</v>
      </c>
      <c r="O2517" s="1">
        <v>1</v>
      </c>
      <c r="P2517" s="1">
        <v>5</v>
      </c>
      <c r="R2517" s="1" t="s">
        <v>19</v>
      </c>
      <c r="S2517" s="1" t="s">
        <v>20</v>
      </c>
      <c r="T2517" s="1" t="s">
        <v>21</v>
      </c>
      <c r="U2517" s="1" t="s">
        <v>22</v>
      </c>
      <c r="V2517" s="1" t="s">
        <v>24</v>
      </c>
      <c r="W2517" s="1" t="s">
        <v>24</v>
      </c>
      <c r="X2517" s="1">
        <v>2738</v>
      </c>
      <c r="Y2517" s="1" t="s">
        <v>24</v>
      </c>
      <c r="Z2517" s="1" t="s">
        <v>24</v>
      </c>
      <c r="AA2517" s="1" t="s">
        <v>24</v>
      </c>
      <c r="AB2517" s="1" t="s">
        <v>24</v>
      </c>
      <c r="AC2517" s="1" t="s">
        <v>24</v>
      </c>
      <c r="AD2517" s="1" t="s">
        <v>24</v>
      </c>
      <c r="AE2517" s="1" t="s">
        <v>24</v>
      </c>
      <c r="AF2517" s="22"/>
    </row>
    <row r="2518" spans="1:32" x14ac:dyDescent="0.2">
      <c r="A2518" s="1">
        <v>15020</v>
      </c>
      <c r="B2518" s="1" t="s">
        <v>7991</v>
      </c>
      <c r="C2518" s="5" t="s">
        <v>0</v>
      </c>
      <c r="D2518" s="1" t="s">
        <v>7992</v>
      </c>
      <c r="E2518" s="1" t="s">
        <v>7993</v>
      </c>
      <c r="F2518" s="1" t="s">
        <v>7994</v>
      </c>
      <c r="G2518" s="1" t="s">
        <v>130</v>
      </c>
      <c r="H2518" s="1" t="s">
        <v>1007</v>
      </c>
      <c r="I2518" s="1" t="s">
        <v>16</v>
      </c>
      <c r="J2518" s="1">
        <v>1</v>
      </c>
      <c r="K2518" s="1">
        <v>4</v>
      </c>
      <c r="L2518" s="1" t="s">
        <v>31</v>
      </c>
      <c r="M2518" s="1" t="s">
        <v>18</v>
      </c>
      <c r="N2518" s="1" t="s">
        <v>18</v>
      </c>
      <c r="O2518" s="1">
        <v>1</v>
      </c>
      <c r="P2518" s="1">
        <v>5</v>
      </c>
      <c r="R2518" s="1" t="s">
        <v>19</v>
      </c>
      <c r="S2518" s="1" t="s">
        <v>20</v>
      </c>
      <c r="T2518" s="1" t="s">
        <v>21</v>
      </c>
      <c r="U2518" s="1" t="s">
        <v>22</v>
      </c>
      <c r="V2518" s="1" t="s">
        <v>24</v>
      </c>
      <c r="W2518" s="1" t="s">
        <v>24</v>
      </c>
      <c r="X2518" s="1">
        <v>1306</v>
      </c>
      <c r="Y2518" s="1">
        <v>2730</v>
      </c>
      <c r="Z2518" s="1" t="s">
        <v>24</v>
      </c>
      <c r="AA2518" s="1" t="s">
        <v>24</v>
      </c>
      <c r="AB2518" s="1" t="s">
        <v>24</v>
      </c>
      <c r="AC2518" s="1" t="s">
        <v>24</v>
      </c>
      <c r="AD2518" s="1" t="s">
        <v>24</v>
      </c>
      <c r="AE2518" s="1" t="s">
        <v>24</v>
      </c>
      <c r="AF2518" s="22"/>
    </row>
    <row r="2519" spans="1:32" x14ac:dyDescent="0.2">
      <c r="A2519" s="1">
        <v>15025</v>
      </c>
      <c r="B2519" s="1" t="s">
        <v>7995</v>
      </c>
      <c r="C2519" s="5" t="s">
        <v>0</v>
      </c>
      <c r="D2519" s="1" t="s">
        <v>7996</v>
      </c>
      <c r="F2519" s="1" t="s">
        <v>7997</v>
      </c>
      <c r="G2519" s="1" t="s">
        <v>7997</v>
      </c>
      <c r="H2519" s="1" t="s">
        <v>249</v>
      </c>
      <c r="I2519" s="1" t="s">
        <v>16</v>
      </c>
      <c r="J2519" s="1">
        <v>0</v>
      </c>
      <c r="K2519" s="1">
        <v>0</v>
      </c>
      <c r="L2519" s="1" t="s">
        <v>17</v>
      </c>
      <c r="M2519" s="1" t="s">
        <v>18</v>
      </c>
      <c r="N2519" s="1" t="s">
        <v>18</v>
      </c>
      <c r="O2519" s="1">
        <v>2</v>
      </c>
      <c r="P2519" s="1">
        <v>5</v>
      </c>
      <c r="R2519" s="1" t="s">
        <v>19</v>
      </c>
      <c r="S2519" s="1" t="s">
        <v>20</v>
      </c>
      <c r="T2519" s="1" t="s">
        <v>21</v>
      </c>
      <c r="U2519" s="1" t="s">
        <v>22</v>
      </c>
      <c r="V2519" s="1" t="s">
        <v>24</v>
      </c>
      <c r="W2519" s="1" t="s">
        <v>24</v>
      </c>
      <c r="X2519" s="1">
        <v>2700</v>
      </c>
      <c r="Y2519" s="1" t="s">
        <v>24</v>
      </c>
      <c r="Z2519" s="1" t="s">
        <v>24</v>
      </c>
      <c r="AA2519" s="1" t="s">
        <v>24</v>
      </c>
      <c r="AB2519" s="1" t="s">
        <v>24</v>
      </c>
      <c r="AC2519" s="1" t="s">
        <v>24</v>
      </c>
      <c r="AD2519" s="1" t="s">
        <v>24</v>
      </c>
      <c r="AE2519" s="1" t="s">
        <v>24</v>
      </c>
      <c r="AF2519" s="22"/>
    </row>
    <row r="2520" spans="1:32" x14ac:dyDescent="0.2">
      <c r="A2520" s="1">
        <v>15027</v>
      </c>
      <c r="B2520" s="5" t="s">
        <v>7998</v>
      </c>
      <c r="C2520" s="5" t="s">
        <v>50553</v>
      </c>
      <c r="D2520" s="1" t="s">
        <v>7999</v>
      </c>
      <c r="E2520" s="1" t="s">
        <v>8000</v>
      </c>
      <c r="F2520" s="1" t="s">
        <v>371</v>
      </c>
      <c r="G2520" s="1" t="s">
        <v>17607</v>
      </c>
      <c r="H2520" s="1" t="s">
        <v>30</v>
      </c>
      <c r="I2520" s="1" t="s">
        <v>16</v>
      </c>
      <c r="J2520" s="1">
        <v>1</v>
      </c>
      <c r="K2520" s="1">
        <v>5</v>
      </c>
      <c r="L2520" s="1" t="s">
        <v>31</v>
      </c>
      <c r="M2520" s="1" t="s">
        <v>18</v>
      </c>
      <c r="N2520" s="5" t="s">
        <v>18</v>
      </c>
      <c r="O2520" s="5">
        <v>3</v>
      </c>
      <c r="P2520" s="5">
        <v>7</v>
      </c>
      <c r="Q2520" s="5" t="s">
        <v>17633</v>
      </c>
      <c r="R2520" s="5" t="s">
        <v>19</v>
      </c>
      <c r="S2520" s="1" t="s">
        <v>20</v>
      </c>
      <c r="T2520" s="5" t="s">
        <v>21</v>
      </c>
      <c r="U2520" s="5"/>
      <c r="V2520" s="5"/>
      <c r="W2520" s="5"/>
      <c r="X2520" s="5">
        <v>2732</v>
      </c>
      <c r="Y2520" s="1">
        <v>2741</v>
      </c>
      <c r="AF2520" s="22"/>
    </row>
    <row r="2521" spans="1:32" x14ac:dyDescent="0.2">
      <c r="A2521" s="1">
        <v>15095</v>
      </c>
      <c r="B2521" s="1" t="s">
        <v>8001</v>
      </c>
      <c r="C2521" s="5" t="s">
        <v>0</v>
      </c>
      <c r="D2521" s="1" t="s">
        <v>8002</v>
      </c>
      <c r="E2521" s="1" t="s">
        <v>8003</v>
      </c>
      <c r="F2521" s="1" t="s">
        <v>1808</v>
      </c>
      <c r="G2521" s="1" t="s">
        <v>130</v>
      </c>
      <c r="H2521" s="1" t="s">
        <v>461</v>
      </c>
      <c r="I2521" s="1" t="s">
        <v>16</v>
      </c>
      <c r="J2521" s="1">
        <v>1</v>
      </c>
      <c r="K2521" s="1">
        <v>4</v>
      </c>
      <c r="L2521" s="1" t="s">
        <v>31</v>
      </c>
      <c r="M2521" s="1" t="s">
        <v>18</v>
      </c>
      <c r="N2521" s="1" t="s">
        <v>18</v>
      </c>
      <c r="O2521" s="1">
        <v>3</v>
      </c>
      <c r="P2521" s="1">
        <v>7</v>
      </c>
      <c r="Q2521" s="7" t="s">
        <v>17633</v>
      </c>
      <c r="R2521" s="1" t="s">
        <v>19</v>
      </c>
      <c r="S2521" s="1" t="s">
        <v>20</v>
      </c>
      <c r="T2521" s="1" t="s">
        <v>21</v>
      </c>
      <c r="U2521" s="1" t="s">
        <v>22</v>
      </c>
      <c r="V2521" s="1" t="s">
        <v>23</v>
      </c>
      <c r="W2521" s="1" t="s">
        <v>24</v>
      </c>
      <c r="X2521" s="1">
        <v>2502</v>
      </c>
      <c r="Y2521" s="1">
        <v>2204</v>
      </c>
      <c r="Z2521" s="1">
        <v>2705</v>
      </c>
      <c r="AA2521" s="1">
        <v>2701</v>
      </c>
      <c r="AB2521" s="1" t="s">
        <v>24</v>
      </c>
      <c r="AC2521" s="1" t="s">
        <v>24</v>
      </c>
      <c r="AD2521" s="1" t="s">
        <v>24</v>
      </c>
      <c r="AE2521" s="1" t="s">
        <v>24</v>
      </c>
      <c r="AF2521" s="22"/>
    </row>
    <row r="2522" spans="1:32" x14ac:dyDescent="0.2">
      <c r="A2522" s="1">
        <v>15099</v>
      </c>
      <c r="B2522" s="1" t="s">
        <v>8004</v>
      </c>
      <c r="C2522" s="5" t="s">
        <v>0</v>
      </c>
      <c r="E2522" s="1" t="s">
        <v>8005</v>
      </c>
      <c r="F2522" s="1" t="s">
        <v>155</v>
      </c>
      <c r="G2522" s="1" t="s">
        <v>61</v>
      </c>
      <c r="H2522" s="1" t="s">
        <v>46</v>
      </c>
      <c r="I2522" s="1" t="s">
        <v>16</v>
      </c>
      <c r="J2522" s="1">
        <v>1</v>
      </c>
      <c r="K2522" s="1">
        <v>1</v>
      </c>
      <c r="L2522" s="1" t="s">
        <v>31</v>
      </c>
      <c r="M2522" s="1" t="s">
        <v>18</v>
      </c>
      <c r="N2522" s="1" t="s">
        <v>18</v>
      </c>
      <c r="O2522" s="1">
        <v>3</v>
      </c>
      <c r="P2522" s="1">
        <v>6</v>
      </c>
      <c r="R2522" s="1" t="s">
        <v>19</v>
      </c>
      <c r="S2522" s="1" t="s">
        <v>20</v>
      </c>
      <c r="T2522" s="1" t="s">
        <v>21</v>
      </c>
      <c r="U2522" s="1" t="s">
        <v>22</v>
      </c>
      <c r="V2522" s="1" t="s">
        <v>23</v>
      </c>
      <c r="W2522" s="1" t="s">
        <v>24</v>
      </c>
      <c r="X2522" s="1">
        <v>3612</v>
      </c>
      <c r="Y2522" s="1" t="s">
        <v>24</v>
      </c>
      <c r="Z2522" s="1" t="s">
        <v>24</v>
      </c>
      <c r="AA2522" s="1" t="s">
        <v>24</v>
      </c>
      <c r="AB2522" s="1" t="s">
        <v>24</v>
      </c>
      <c r="AC2522" s="1" t="s">
        <v>24</v>
      </c>
      <c r="AD2522" s="1" t="s">
        <v>24</v>
      </c>
      <c r="AE2522" s="1" t="s">
        <v>24</v>
      </c>
      <c r="AF2522" s="22" t="s">
        <v>17670</v>
      </c>
    </row>
    <row r="2523" spans="1:32" x14ac:dyDescent="0.2">
      <c r="A2523" s="1">
        <v>15102</v>
      </c>
      <c r="B2523" s="1" t="s">
        <v>8006</v>
      </c>
      <c r="C2523" s="5" t="s">
        <v>0</v>
      </c>
      <c r="D2523" s="1" t="s">
        <v>8007</v>
      </c>
      <c r="F2523" s="1" t="s">
        <v>8008</v>
      </c>
      <c r="G2523" s="1" t="s">
        <v>8008</v>
      </c>
      <c r="H2523" s="1" t="s">
        <v>428</v>
      </c>
      <c r="I2523" s="1" t="s">
        <v>16</v>
      </c>
      <c r="J2523" s="1">
        <v>1</v>
      </c>
      <c r="K2523" s="1">
        <v>4</v>
      </c>
      <c r="L2523" s="1" t="s">
        <v>17</v>
      </c>
      <c r="M2523" s="1" t="s">
        <v>2835</v>
      </c>
      <c r="N2523" s="1" t="s">
        <v>2835</v>
      </c>
      <c r="O2523" s="1">
        <v>1</v>
      </c>
      <c r="P2523" s="1">
        <v>5</v>
      </c>
      <c r="R2523" s="1" t="s">
        <v>19</v>
      </c>
      <c r="S2523" s="1" t="s">
        <v>20</v>
      </c>
      <c r="T2523" s="1" t="s">
        <v>21</v>
      </c>
      <c r="U2523" s="1" t="s">
        <v>22</v>
      </c>
      <c r="V2523" s="1" t="s">
        <v>23</v>
      </c>
      <c r="W2523" s="1" t="s">
        <v>24</v>
      </c>
      <c r="X2523" s="1">
        <v>2738</v>
      </c>
      <c r="Y2523" s="1" t="s">
        <v>24</v>
      </c>
      <c r="Z2523" s="1" t="s">
        <v>24</v>
      </c>
      <c r="AA2523" s="1" t="s">
        <v>24</v>
      </c>
      <c r="AB2523" s="1" t="s">
        <v>24</v>
      </c>
      <c r="AC2523" s="1" t="s">
        <v>24</v>
      </c>
      <c r="AD2523" s="1" t="s">
        <v>24</v>
      </c>
      <c r="AE2523" s="1" t="s">
        <v>24</v>
      </c>
      <c r="AF2523" s="22"/>
    </row>
    <row r="2524" spans="1:32" x14ac:dyDescent="0.2">
      <c r="A2524" s="1">
        <v>15108</v>
      </c>
      <c r="B2524" s="1" t="s">
        <v>8009</v>
      </c>
      <c r="C2524" s="5" t="s">
        <v>0</v>
      </c>
      <c r="D2524" s="1" t="s">
        <v>8010</v>
      </c>
      <c r="E2524" s="1" t="s">
        <v>8011</v>
      </c>
      <c r="F2524" s="1" t="s">
        <v>291</v>
      </c>
      <c r="G2524" s="1" t="s">
        <v>292</v>
      </c>
      <c r="H2524" s="1" t="s">
        <v>37</v>
      </c>
      <c r="I2524" s="1" t="s">
        <v>16</v>
      </c>
      <c r="J2524" s="1">
        <v>1</v>
      </c>
      <c r="K2524" s="1">
        <v>4</v>
      </c>
      <c r="L2524" s="1" t="s">
        <v>31</v>
      </c>
      <c r="M2524" s="1" t="s">
        <v>18</v>
      </c>
      <c r="N2524" s="1" t="s">
        <v>18</v>
      </c>
      <c r="O2524" s="1">
        <v>3</v>
      </c>
      <c r="P2524" s="1">
        <v>6</v>
      </c>
      <c r="R2524" s="1" t="s">
        <v>19</v>
      </c>
      <c r="S2524" s="1" t="s">
        <v>20</v>
      </c>
      <c r="T2524" s="1" t="s">
        <v>21</v>
      </c>
      <c r="U2524" s="1" t="s">
        <v>22</v>
      </c>
      <c r="V2524" s="1" t="s">
        <v>23</v>
      </c>
      <c r="W2524" s="1" t="s">
        <v>24</v>
      </c>
      <c r="X2524" s="1">
        <v>2729</v>
      </c>
      <c r="Y2524" s="1">
        <v>2743</v>
      </c>
      <c r="Z2524" s="1" t="s">
        <v>24</v>
      </c>
      <c r="AA2524" s="1" t="s">
        <v>24</v>
      </c>
      <c r="AB2524" s="1" t="s">
        <v>24</v>
      </c>
      <c r="AC2524" s="1" t="s">
        <v>24</v>
      </c>
      <c r="AD2524" s="1" t="s">
        <v>24</v>
      </c>
      <c r="AE2524" s="1" t="s">
        <v>24</v>
      </c>
      <c r="AF2524" s="22"/>
    </row>
    <row r="2525" spans="1:32" x14ac:dyDescent="0.2">
      <c r="A2525" s="1">
        <v>15109</v>
      </c>
      <c r="B2525" s="1" t="s">
        <v>8012</v>
      </c>
      <c r="C2525" s="5" t="s">
        <v>0</v>
      </c>
      <c r="D2525" s="1" t="s">
        <v>8013</v>
      </c>
      <c r="E2525" s="1" t="s">
        <v>8014</v>
      </c>
      <c r="F2525" s="1" t="s">
        <v>8015</v>
      </c>
      <c r="G2525" s="1" t="s">
        <v>2776</v>
      </c>
      <c r="H2525" s="1" t="s">
        <v>1007</v>
      </c>
      <c r="I2525" s="1" t="s">
        <v>16</v>
      </c>
      <c r="J2525" s="1">
        <v>1</v>
      </c>
      <c r="K2525" s="1">
        <v>48</v>
      </c>
      <c r="L2525" s="1" t="s">
        <v>42</v>
      </c>
      <c r="M2525" s="1" t="s">
        <v>18</v>
      </c>
      <c r="N2525" s="1" t="s">
        <v>18</v>
      </c>
      <c r="O2525" s="1">
        <v>1</v>
      </c>
      <c r="P2525" s="1">
        <v>6</v>
      </c>
      <c r="R2525" s="1" t="s">
        <v>19</v>
      </c>
      <c r="S2525" s="1" t="s">
        <v>20</v>
      </c>
      <c r="T2525" s="1" t="s">
        <v>21</v>
      </c>
      <c r="U2525" s="1" t="s">
        <v>22</v>
      </c>
      <c r="V2525" s="1" t="s">
        <v>24</v>
      </c>
      <c r="W2525" s="1" t="s">
        <v>24</v>
      </c>
      <c r="X2525" s="1">
        <v>2715</v>
      </c>
      <c r="Y2525" s="1" t="s">
        <v>24</v>
      </c>
      <c r="Z2525" s="1" t="s">
        <v>24</v>
      </c>
      <c r="AA2525" s="1" t="s">
        <v>24</v>
      </c>
      <c r="AB2525" s="1" t="s">
        <v>24</v>
      </c>
      <c r="AC2525" s="1" t="s">
        <v>24</v>
      </c>
      <c r="AD2525" s="1" t="s">
        <v>24</v>
      </c>
      <c r="AE2525" s="1" t="s">
        <v>24</v>
      </c>
      <c r="AF2525" s="22"/>
    </row>
    <row r="2526" spans="1:32" x14ac:dyDescent="0.2">
      <c r="A2526" s="1">
        <v>15115</v>
      </c>
      <c r="B2526" s="1" t="s">
        <v>8016</v>
      </c>
      <c r="C2526" s="5" t="s">
        <v>0</v>
      </c>
      <c r="D2526" s="1" t="s">
        <v>8017</v>
      </c>
      <c r="E2526" s="1" t="s">
        <v>8018</v>
      </c>
      <c r="F2526" s="1" t="s">
        <v>310</v>
      </c>
      <c r="G2526" s="1" t="s">
        <v>311</v>
      </c>
      <c r="H2526" s="1" t="s">
        <v>37</v>
      </c>
      <c r="I2526" s="1" t="s">
        <v>16</v>
      </c>
      <c r="J2526" s="1">
        <v>1</v>
      </c>
      <c r="K2526" s="1">
        <v>12</v>
      </c>
      <c r="L2526" s="1" t="s">
        <v>31</v>
      </c>
      <c r="M2526" s="1" t="s">
        <v>18</v>
      </c>
      <c r="N2526" s="1" t="s">
        <v>18</v>
      </c>
      <c r="O2526" s="1">
        <v>3</v>
      </c>
      <c r="P2526" s="1">
        <v>6</v>
      </c>
      <c r="R2526" s="1" t="s">
        <v>19</v>
      </c>
      <c r="S2526" s="1" t="s">
        <v>20</v>
      </c>
      <c r="T2526" s="1" t="s">
        <v>21</v>
      </c>
      <c r="U2526" s="1" t="s">
        <v>22</v>
      </c>
      <c r="V2526" s="1" t="s">
        <v>24</v>
      </c>
      <c r="W2526" s="1" t="s">
        <v>64</v>
      </c>
      <c r="X2526" s="1">
        <v>3002</v>
      </c>
      <c r="Y2526" s="1">
        <v>3004</v>
      </c>
      <c r="Z2526" s="1">
        <v>3003</v>
      </c>
      <c r="AA2526" s="1">
        <v>1602</v>
      </c>
      <c r="AB2526" s="1">
        <v>1605</v>
      </c>
      <c r="AC2526" s="1">
        <v>1313</v>
      </c>
      <c r="AD2526" s="1">
        <v>2707</v>
      </c>
      <c r="AE2526" s="1" t="s">
        <v>24</v>
      </c>
      <c r="AF2526" s="22"/>
    </row>
    <row r="2527" spans="1:32" x14ac:dyDescent="0.2">
      <c r="A2527" s="1">
        <v>15119</v>
      </c>
      <c r="B2527" s="1" t="s">
        <v>8019</v>
      </c>
      <c r="C2527" s="5" t="s">
        <v>0</v>
      </c>
      <c r="D2527" s="1" t="s">
        <v>8020</v>
      </c>
      <c r="E2527" s="1" t="s">
        <v>8021</v>
      </c>
      <c r="F2527" s="1" t="s">
        <v>2299</v>
      </c>
      <c r="G2527" s="1" t="s">
        <v>2300</v>
      </c>
      <c r="H2527" s="1" t="s">
        <v>37</v>
      </c>
      <c r="I2527" s="1" t="s">
        <v>16</v>
      </c>
      <c r="J2527" s="1">
        <v>1</v>
      </c>
      <c r="K2527" s="1">
        <v>6</v>
      </c>
      <c r="L2527" s="1" t="s">
        <v>31</v>
      </c>
      <c r="M2527" s="1" t="s">
        <v>18</v>
      </c>
      <c r="N2527" s="1" t="s">
        <v>18</v>
      </c>
      <c r="O2527" s="1">
        <v>3</v>
      </c>
      <c r="P2527" s="1">
        <v>7</v>
      </c>
      <c r="Q2527" s="7" t="s">
        <v>17633</v>
      </c>
      <c r="R2527" s="1" t="s">
        <v>19</v>
      </c>
      <c r="S2527" s="1" t="s">
        <v>63</v>
      </c>
      <c r="T2527" s="1" t="s">
        <v>21</v>
      </c>
      <c r="U2527" s="1" t="s">
        <v>22</v>
      </c>
      <c r="V2527" s="1" t="s">
        <v>23</v>
      </c>
      <c r="W2527" s="1" t="s">
        <v>24</v>
      </c>
      <c r="X2527" s="1">
        <v>2705</v>
      </c>
      <c r="Y2527" s="1">
        <v>2741</v>
      </c>
      <c r="Z2527" s="1">
        <v>3614</v>
      </c>
      <c r="AA2527" s="1">
        <v>2714</v>
      </c>
      <c r="AB2527" s="1" t="s">
        <v>24</v>
      </c>
      <c r="AC2527" s="1" t="s">
        <v>24</v>
      </c>
      <c r="AD2527" s="1" t="s">
        <v>24</v>
      </c>
      <c r="AE2527" s="1" t="s">
        <v>24</v>
      </c>
      <c r="AF2527" s="22"/>
    </row>
    <row r="2528" spans="1:32" x14ac:dyDescent="0.2">
      <c r="A2528" s="1">
        <v>15121</v>
      </c>
      <c r="B2528" s="1" t="s">
        <v>8022</v>
      </c>
      <c r="C2528" s="5" t="s">
        <v>0</v>
      </c>
      <c r="D2528" s="1" t="s">
        <v>8023</v>
      </c>
      <c r="F2528" s="1" t="s">
        <v>8024</v>
      </c>
      <c r="G2528" s="1" t="s">
        <v>8024</v>
      </c>
      <c r="H2528" s="1" t="s">
        <v>30</v>
      </c>
      <c r="I2528" s="1" t="s">
        <v>16</v>
      </c>
      <c r="J2528" s="1">
        <v>1</v>
      </c>
      <c r="K2528" s="1">
        <v>12</v>
      </c>
      <c r="L2528" s="1" t="s">
        <v>42</v>
      </c>
      <c r="M2528" s="1" t="s">
        <v>18</v>
      </c>
      <c r="N2528" s="1" t="s">
        <v>18</v>
      </c>
      <c r="O2528" s="1">
        <v>3</v>
      </c>
      <c r="P2528" s="1">
        <v>6</v>
      </c>
      <c r="R2528" s="1" t="s">
        <v>19</v>
      </c>
      <c r="S2528" s="1" t="s">
        <v>20</v>
      </c>
      <c r="T2528" s="1" t="s">
        <v>21</v>
      </c>
      <c r="U2528" s="1" t="s">
        <v>22</v>
      </c>
      <c r="V2528" s="1" t="s">
        <v>23</v>
      </c>
      <c r="W2528" s="1" t="s">
        <v>24</v>
      </c>
      <c r="X2528" s="1">
        <v>2700</v>
      </c>
      <c r="Y2528" s="1">
        <v>2719</v>
      </c>
      <c r="Z2528" s="1" t="s">
        <v>24</v>
      </c>
      <c r="AA2528" s="1" t="s">
        <v>24</v>
      </c>
      <c r="AB2528" s="1" t="s">
        <v>24</v>
      </c>
      <c r="AC2528" s="1" t="s">
        <v>24</v>
      </c>
      <c r="AD2528" s="1" t="s">
        <v>24</v>
      </c>
      <c r="AE2528" s="1" t="s">
        <v>24</v>
      </c>
      <c r="AF2528" s="22"/>
    </row>
    <row r="2529" spans="1:32" x14ac:dyDescent="0.2">
      <c r="A2529" s="1">
        <v>15129</v>
      </c>
      <c r="B2529" s="1" t="s">
        <v>8025</v>
      </c>
      <c r="C2529" s="5" t="s">
        <v>0</v>
      </c>
      <c r="D2529" s="1" t="s">
        <v>8026</v>
      </c>
      <c r="E2529" s="1" t="s">
        <v>8027</v>
      </c>
      <c r="F2529" s="1" t="s">
        <v>190</v>
      </c>
      <c r="G2529" s="1" t="s">
        <v>130</v>
      </c>
      <c r="H2529" s="1" t="s">
        <v>30</v>
      </c>
      <c r="I2529" s="1" t="s">
        <v>16</v>
      </c>
      <c r="J2529" s="1">
        <v>1</v>
      </c>
      <c r="K2529" s="1">
        <v>12</v>
      </c>
      <c r="L2529" s="1" t="s">
        <v>31</v>
      </c>
      <c r="M2529" s="1" t="s">
        <v>18</v>
      </c>
      <c r="N2529" s="1" t="s">
        <v>18</v>
      </c>
      <c r="O2529" s="1">
        <v>3</v>
      </c>
      <c r="P2529" s="1">
        <v>6</v>
      </c>
      <c r="R2529" s="1" t="s">
        <v>19</v>
      </c>
      <c r="S2529" s="1" t="s">
        <v>20</v>
      </c>
      <c r="T2529" s="1" t="s">
        <v>21</v>
      </c>
      <c r="U2529" s="1" t="s">
        <v>22</v>
      </c>
      <c r="V2529" s="1" t="s">
        <v>24</v>
      </c>
      <c r="W2529" s="1" t="s">
        <v>24</v>
      </c>
      <c r="X2529" s="1">
        <v>3002</v>
      </c>
      <c r="Y2529" s="1">
        <v>3004</v>
      </c>
      <c r="Z2529" s="1" t="s">
        <v>24</v>
      </c>
      <c r="AA2529" s="1" t="s">
        <v>24</v>
      </c>
      <c r="AB2529" s="1" t="s">
        <v>24</v>
      </c>
      <c r="AC2529" s="1" t="s">
        <v>24</v>
      </c>
      <c r="AD2529" s="1" t="s">
        <v>24</v>
      </c>
      <c r="AE2529" s="1" t="s">
        <v>24</v>
      </c>
      <c r="AF2529" s="22"/>
    </row>
    <row r="2530" spans="1:32" x14ac:dyDescent="0.2">
      <c r="A2530" s="1">
        <v>15134</v>
      </c>
      <c r="B2530" s="1" t="s">
        <v>8028</v>
      </c>
      <c r="C2530" s="5" t="s">
        <v>0</v>
      </c>
      <c r="D2530" s="1" t="s">
        <v>8029</v>
      </c>
      <c r="E2530" s="1" t="s">
        <v>8030</v>
      </c>
      <c r="F2530" s="1" t="s">
        <v>7866</v>
      </c>
      <c r="G2530" s="1" t="s">
        <v>7866</v>
      </c>
      <c r="H2530" s="1" t="s">
        <v>131</v>
      </c>
      <c r="I2530" s="1" t="s">
        <v>16</v>
      </c>
      <c r="J2530" s="1">
        <v>1</v>
      </c>
      <c r="K2530" s="1">
        <v>4</v>
      </c>
      <c r="L2530" s="1" t="s">
        <v>42</v>
      </c>
      <c r="M2530" s="1" t="s">
        <v>18</v>
      </c>
      <c r="N2530" s="1" t="s">
        <v>18</v>
      </c>
      <c r="O2530" s="1">
        <v>3</v>
      </c>
      <c r="P2530" s="1">
        <v>7</v>
      </c>
      <c r="Q2530" s="7" t="s">
        <v>17633</v>
      </c>
      <c r="R2530" s="1" t="s">
        <v>19</v>
      </c>
      <c r="S2530" s="1" t="s">
        <v>20</v>
      </c>
      <c r="T2530" s="1" t="s">
        <v>21</v>
      </c>
      <c r="U2530" s="1" t="s">
        <v>22</v>
      </c>
      <c r="V2530" s="1" t="s">
        <v>24</v>
      </c>
      <c r="W2530" s="1" t="s">
        <v>24</v>
      </c>
      <c r="X2530" s="1">
        <v>2705</v>
      </c>
      <c r="Y2530" s="1" t="s">
        <v>24</v>
      </c>
      <c r="Z2530" s="1" t="s">
        <v>24</v>
      </c>
      <c r="AA2530" s="1" t="s">
        <v>24</v>
      </c>
      <c r="AB2530" s="1" t="s">
        <v>24</v>
      </c>
      <c r="AC2530" s="1" t="s">
        <v>24</v>
      </c>
      <c r="AD2530" s="1" t="s">
        <v>24</v>
      </c>
      <c r="AE2530" s="1" t="s">
        <v>24</v>
      </c>
      <c r="AF2530" s="22"/>
    </row>
    <row r="2531" spans="1:32" x14ac:dyDescent="0.2">
      <c r="A2531" s="1">
        <v>15135</v>
      </c>
      <c r="B2531" s="1" t="s">
        <v>8031</v>
      </c>
      <c r="C2531" s="5" t="s">
        <v>0</v>
      </c>
      <c r="D2531" s="1" t="s">
        <v>8032</v>
      </c>
      <c r="E2531" s="1" t="s">
        <v>8033</v>
      </c>
      <c r="F2531" s="1" t="s">
        <v>91</v>
      </c>
      <c r="G2531" s="1" t="s">
        <v>61</v>
      </c>
      <c r="H2531" s="1" t="s">
        <v>92</v>
      </c>
      <c r="I2531" s="1" t="s">
        <v>16</v>
      </c>
      <c r="J2531" s="1">
        <v>1</v>
      </c>
      <c r="K2531" s="1">
        <v>12</v>
      </c>
      <c r="L2531" s="1" t="s">
        <v>31</v>
      </c>
      <c r="M2531" s="1" t="s">
        <v>18</v>
      </c>
      <c r="N2531" s="1" t="s">
        <v>18</v>
      </c>
      <c r="O2531" s="1">
        <v>3</v>
      </c>
      <c r="P2531" s="1">
        <v>7</v>
      </c>
      <c r="Q2531" s="7" t="s">
        <v>17633</v>
      </c>
      <c r="R2531" s="1" t="s">
        <v>62</v>
      </c>
      <c r="S2531" s="1" t="s">
        <v>63</v>
      </c>
      <c r="T2531" s="1" t="s">
        <v>21</v>
      </c>
      <c r="U2531" s="1" t="s">
        <v>22</v>
      </c>
      <c r="V2531" s="1" t="s">
        <v>24</v>
      </c>
      <c r="W2531" s="1" t="s">
        <v>64</v>
      </c>
      <c r="X2531" s="1">
        <v>1307</v>
      </c>
      <c r="Y2531" s="1">
        <v>1312</v>
      </c>
      <c r="Z2531" s="1" t="s">
        <v>24</v>
      </c>
      <c r="AA2531" s="1" t="s">
        <v>24</v>
      </c>
      <c r="AB2531" s="1" t="s">
        <v>24</v>
      </c>
      <c r="AC2531" s="1" t="s">
        <v>24</v>
      </c>
      <c r="AD2531" s="1" t="s">
        <v>24</v>
      </c>
      <c r="AE2531" s="1" t="s">
        <v>24</v>
      </c>
      <c r="AF2531" s="22"/>
    </row>
    <row r="2532" spans="1:32" x14ac:dyDescent="0.2">
      <c r="A2532" s="1">
        <v>15301</v>
      </c>
      <c r="B2532" s="1" t="s">
        <v>8034</v>
      </c>
      <c r="C2532" s="5" t="s">
        <v>0</v>
      </c>
      <c r="D2532" s="1" t="s">
        <v>8035</v>
      </c>
      <c r="E2532" s="1" t="s">
        <v>8036</v>
      </c>
      <c r="F2532" s="1" t="s">
        <v>217</v>
      </c>
      <c r="G2532" s="1" t="s">
        <v>130</v>
      </c>
      <c r="H2532" s="1" t="s">
        <v>92</v>
      </c>
      <c r="I2532" s="1" t="s">
        <v>16</v>
      </c>
      <c r="J2532" s="1">
        <v>1</v>
      </c>
      <c r="K2532" s="1">
        <v>12</v>
      </c>
      <c r="L2532" s="1" t="s">
        <v>31</v>
      </c>
      <c r="M2532" s="1" t="s">
        <v>18</v>
      </c>
      <c r="N2532" s="1" t="s">
        <v>18</v>
      </c>
      <c r="O2532" s="1">
        <v>3</v>
      </c>
      <c r="P2532" s="1">
        <v>7</v>
      </c>
      <c r="Q2532" s="7" t="s">
        <v>17633</v>
      </c>
      <c r="R2532" s="1" t="s">
        <v>19</v>
      </c>
      <c r="S2532" s="1" t="s">
        <v>20</v>
      </c>
      <c r="T2532" s="1" t="s">
        <v>21</v>
      </c>
      <c r="U2532" s="1" t="s">
        <v>22</v>
      </c>
      <c r="V2532" s="1" t="s">
        <v>24</v>
      </c>
      <c r="W2532" s="1" t="s">
        <v>24</v>
      </c>
      <c r="X2532" s="1">
        <v>2204</v>
      </c>
      <c r="Y2532" s="1" t="s">
        <v>24</v>
      </c>
      <c r="Z2532" s="1" t="s">
        <v>24</v>
      </c>
      <c r="AA2532" s="1" t="s">
        <v>24</v>
      </c>
      <c r="AB2532" s="1" t="s">
        <v>24</v>
      </c>
      <c r="AC2532" s="1" t="s">
        <v>24</v>
      </c>
      <c r="AD2532" s="1" t="s">
        <v>24</v>
      </c>
      <c r="AE2532" s="1" t="s">
        <v>24</v>
      </c>
      <c r="AF2532" s="22"/>
    </row>
    <row r="2533" spans="1:32" x14ac:dyDescent="0.2">
      <c r="A2533" s="1">
        <v>16523</v>
      </c>
      <c r="B2533" s="1" t="s">
        <v>8037</v>
      </c>
      <c r="C2533" s="5" t="s">
        <v>0</v>
      </c>
      <c r="D2533" s="1" t="s">
        <v>8038</v>
      </c>
      <c r="E2533" s="1" t="s">
        <v>8039</v>
      </c>
      <c r="F2533" s="1" t="s">
        <v>8040</v>
      </c>
      <c r="G2533" s="1" t="s">
        <v>8041</v>
      </c>
      <c r="H2533" s="1" t="s">
        <v>111</v>
      </c>
      <c r="I2533" s="1" t="s">
        <v>16</v>
      </c>
      <c r="J2533" s="1">
        <v>4</v>
      </c>
      <c r="K2533" s="1">
        <v>4</v>
      </c>
      <c r="L2533" s="1" t="s">
        <v>31</v>
      </c>
      <c r="M2533" s="1" t="s">
        <v>18</v>
      </c>
      <c r="N2533" s="1" t="s">
        <v>18</v>
      </c>
      <c r="O2533" s="1">
        <v>3</v>
      </c>
      <c r="P2533" s="1">
        <v>6</v>
      </c>
      <c r="R2533" s="1" t="s">
        <v>19</v>
      </c>
      <c r="S2533" s="1" t="s">
        <v>20</v>
      </c>
      <c r="T2533" s="1" t="s">
        <v>21</v>
      </c>
      <c r="U2533" s="1" t="s">
        <v>22</v>
      </c>
      <c r="V2533" s="1" t="s">
        <v>24</v>
      </c>
      <c r="W2533" s="1" t="s">
        <v>24</v>
      </c>
      <c r="X2533" s="1">
        <v>2310</v>
      </c>
      <c r="Y2533" s="1">
        <v>2311</v>
      </c>
      <c r="Z2533" s="1">
        <v>2308</v>
      </c>
      <c r="AA2533" s="1" t="s">
        <v>24</v>
      </c>
      <c r="AB2533" s="1" t="s">
        <v>24</v>
      </c>
      <c r="AC2533" s="1" t="s">
        <v>24</v>
      </c>
      <c r="AD2533" s="1" t="s">
        <v>24</v>
      </c>
      <c r="AE2533" s="1" t="s">
        <v>24</v>
      </c>
      <c r="AF2533" s="22"/>
    </row>
    <row r="2534" spans="1:32" x14ac:dyDescent="0.2">
      <c r="A2534" s="1">
        <v>16629</v>
      </c>
      <c r="B2534" s="1" t="s">
        <v>8042</v>
      </c>
      <c r="C2534" s="5" t="s">
        <v>0</v>
      </c>
      <c r="D2534" s="1" t="s">
        <v>8043</v>
      </c>
      <c r="E2534" s="1" t="s">
        <v>8044</v>
      </c>
      <c r="F2534" s="1" t="s">
        <v>4337</v>
      </c>
      <c r="G2534" s="1" t="s">
        <v>4338</v>
      </c>
      <c r="H2534" s="1" t="s">
        <v>30</v>
      </c>
      <c r="I2534" s="1" t="s">
        <v>16</v>
      </c>
      <c r="J2534" s="1">
        <v>1</v>
      </c>
      <c r="K2534" s="1">
        <v>6</v>
      </c>
      <c r="L2534" s="1" t="s">
        <v>31</v>
      </c>
      <c r="M2534" s="1" t="s">
        <v>18</v>
      </c>
      <c r="N2534" s="1" t="s">
        <v>18</v>
      </c>
      <c r="O2534" s="1">
        <v>3</v>
      </c>
      <c r="P2534" s="1">
        <v>7</v>
      </c>
      <c r="Q2534" s="7" t="s">
        <v>17633</v>
      </c>
      <c r="R2534" s="1" t="s">
        <v>19</v>
      </c>
      <c r="S2534" s="1" t="s">
        <v>20</v>
      </c>
      <c r="T2534" s="1" t="s">
        <v>21</v>
      </c>
      <c r="U2534" s="1" t="s">
        <v>22</v>
      </c>
      <c r="V2534" s="1" t="s">
        <v>23</v>
      </c>
      <c r="W2534" s="1" t="s">
        <v>24</v>
      </c>
      <c r="X2534" s="1">
        <v>1310</v>
      </c>
      <c r="Y2534" s="1">
        <v>2712</v>
      </c>
      <c r="Z2534" s="1">
        <v>3607</v>
      </c>
      <c r="AA2534" s="1" t="s">
        <v>24</v>
      </c>
      <c r="AB2534" s="1" t="s">
        <v>24</v>
      </c>
      <c r="AC2534" s="1" t="s">
        <v>24</v>
      </c>
      <c r="AD2534" s="1" t="s">
        <v>24</v>
      </c>
      <c r="AE2534" s="1" t="s">
        <v>24</v>
      </c>
      <c r="AF2534" s="22"/>
    </row>
    <row r="2535" spans="1:32" x14ac:dyDescent="0.2">
      <c r="A2535" s="1">
        <v>17143</v>
      </c>
      <c r="B2535" s="1" t="s">
        <v>8045</v>
      </c>
      <c r="C2535" s="5" t="s">
        <v>0</v>
      </c>
      <c r="D2535" s="1" t="s">
        <v>8046</v>
      </c>
      <c r="E2535" s="1" t="s">
        <v>8047</v>
      </c>
      <c r="F2535" s="1" t="s">
        <v>35</v>
      </c>
      <c r="G2535" s="1" t="s">
        <v>36</v>
      </c>
      <c r="H2535" s="1" t="s">
        <v>37</v>
      </c>
      <c r="I2535" s="1" t="s">
        <v>16</v>
      </c>
      <c r="J2535" s="1">
        <v>1</v>
      </c>
      <c r="K2535" s="1">
        <v>12</v>
      </c>
      <c r="L2535" s="1" t="s">
        <v>31</v>
      </c>
      <c r="M2535" s="1" t="s">
        <v>18</v>
      </c>
      <c r="N2535" s="1" t="s">
        <v>18</v>
      </c>
      <c r="O2535" s="1">
        <v>3</v>
      </c>
      <c r="P2535" s="1">
        <v>7</v>
      </c>
      <c r="Q2535" s="7" t="s">
        <v>17633</v>
      </c>
      <c r="R2535" s="1" t="s">
        <v>19</v>
      </c>
      <c r="S2535" s="1" t="s">
        <v>20</v>
      </c>
      <c r="T2535" s="1" t="s">
        <v>21</v>
      </c>
      <c r="U2535" s="1" t="s">
        <v>22</v>
      </c>
      <c r="V2535" s="1" t="s">
        <v>24</v>
      </c>
      <c r="W2535" s="1" t="s">
        <v>24</v>
      </c>
      <c r="X2535" s="1">
        <v>2715</v>
      </c>
      <c r="Y2535" s="1" t="s">
        <v>24</v>
      </c>
      <c r="Z2535" s="1" t="s">
        <v>24</v>
      </c>
      <c r="AA2535" s="1" t="s">
        <v>24</v>
      </c>
      <c r="AB2535" s="1" t="s">
        <v>24</v>
      </c>
      <c r="AC2535" s="1" t="s">
        <v>24</v>
      </c>
      <c r="AD2535" s="1" t="s">
        <v>24</v>
      </c>
      <c r="AE2535" s="1" t="s">
        <v>24</v>
      </c>
      <c r="AF2535" s="22"/>
    </row>
    <row r="2536" spans="1:32" x14ac:dyDescent="0.2">
      <c r="A2536" s="1">
        <v>17222</v>
      </c>
      <c r="B2536" s="1" t="s">
        <v>8048</v>
      </c>
      <c r="C2536" s="5" t="s">
        <v>0</v>
      </c>
      <c r="D2536" s="1" t="s">
        <v>8049</v>
      </c>
      <c r="E2536" s="1" t="s">
        <v>8050</v>
      </c>
      <c r="F2536" s="1" t="s">
        <v>831</v>
      </c>
      <c r="G2536" s="1" t="s">
        <v>61</v>
      </c>
      <c r="H2536" s="1" t="s">
        <v>37</v>
      </c>
      <c r="I2536" s="1" t="s">
        <v>16</v>
      </c>
      <c r="J2536" s="1">
        <v>1</v>
      </c>
      <c r="K2536" s="1">
        <v>12</v>
      </c>
      <c r="L2536" s="1" t="s">
        <v>31</v>
      </c>
      <c r="M2536" s="1" t="s">
        <v>18</v>
      </c>
      <c r="N2536" s="1" t="s">
        <v>18</v>
      </c>
      <c r="O2536" s="1">
        <v>3</v>
      </c>
      <c r="P2536" s="1">
        <v>7</v>
      </c>
      <c r="Q2536" s="7" t="s">
        <v>17633</v>
      </c>
      <c r="R2536" s="1" t="s">
        <v>19</v>
      </c>
      <c r="S2536" s="1" t="s">
        <v>20</v>
      </c>
      <c r="T2536" s="1" t="s">
        <v>21</v>
      </c>
      <c r="U2536" s="1" t="s">
        <v>22</v>
      </c>
      <c r="V2536" s="1" t="s">
        <v>24</v>
      </c>
      <c r="W2536" s="1" t="s">
        <v>24</v>
      </c>
      <c r="X2536" s="1">
        <v>2728</v>
      </c>
      <c r="Y2536" s="1">
        <v>2808</v>
      </c>
      <c r="Z2536" s="1">
        <v>2737</v>
      </c>
      <c r="AA2536" s="1" t="s">
        <v>24</v>
      </c>
      <c r="AB2536" s="1" t="s">
        <v>24</v>
      </c>
      <c r="AC2536" s="1" t="s">
        <v>24</v>
      </c>
      <c r="AD2536" s="1" t="s">
        <v>24</v>
      </c>
      <c r="AE2536" s="1" t="s">
        <v>24</v>
      </c>
      <c r="AF2536" s="22"/>
    </row>
    <row r="2537" spans="1:32" x14ac:dyDescent="0.2">
      <c r="A2537" s="1">
        <v>18377</v>
      </c>
      <c r="B2537" s="1" t="s">
        <v>8051</v>
      </c>
      <c r="C2537" s="5" t="s">
        <v>0</v>
      </c>
      <c r="D2537" s="1" t="s">
        <v>8052</v>
      </c>
      <c r="E2537" s="1" t="s">
        <v>8053</v>
      </c>
      <c r="F2537" s="1" t="s">
        <v>35</v>
      </c>
      <c r="G2537" s="1" t="s">
        <v>36</v>
      </c>
      <c r="H2537" s="1" t="s">
        <v>37</v>
      </c>
      <c r="I2537" s="1" t="s">
        <v>16</v>
      </c>
      <c r="J2537" s="1">
        <v>1</v>
      </c>
      <c r="K2537" s="1">
        <v>4</v>
      </c>
      <c r="L2537" s="1" t="s">
        <v>31</v>
      </c>
      <c r="M2537" s="1" t="s">
        <v>18</v>
      </c>
      <c r="N2537" s="1" t="s">
        <v>18</v>
      </c>
      <c r="O2537" s="1">
        <v>3</v>
      </c>
      <c r="P2537" s="1">
        <v>7</v>
      </c>
      <c r="Q2537" s="7" t="s">
        <v>17633</v>
      </c>
      <c r="R2537" s="1" t="s">
        <v>19</v>
      </c>
      <c r="S2537" s="1" t="s">
        <v>20</v>
      </c>
      <c r="T2537" s="1" t="s">
        <v>21</v>
      </c>
      <c r="U2537" s="1" t="s">
        <v>22</v>
      </c>
      <c r="V2537" s="1" t="s">
        <v>24</v>
      </c>
      <c r="W2537" s="1" t="s">
        <v>24</v>
      </c>
      <c r="X2537" s="1">
        <v>2747</v>
      </c>
      <c r="Y2537" s="1">
        <v>2725</v>
      </c>
      <c r="Z2537" s="1" t="s">
        <v>24</v>
      </c>
      <c r="AA2537" s="1" t="s">
        <v>24</v>
      </c>
      <c r="AB2537" s="1" t="s">
        <v>24</v>
      </c>
      <c r="AC2537" s="1" t="s">
        <v>24</v>
      </c>
      <c r="AD2537" s="1" t="s">
        <v>24</v>
      </c>
      <c r="AE2537" s="1" t="s">
        <v>24</v>
      </c>
      <c r="AF2537" s="22"/>
    </row>
    <row r="2538" spans="1:32" x14ac:dyDescent="0.2">
      <c r="A2538" s="1">
        <v>18483</v>
      </c>
      <c r="B2538" s="1" t="s">
        <v>8054</v>
      </c>
      <c r="C2538" s="5" t="s">
        <v>0</v>
      </c>
      <c r="D2538" s="1" t="s">
        <v>8055</v>
      </c>
      <c r="E2538" s="1" t="s">
        <v>8056</v>
      </c>
      <c r="F2538" s="1" t="s">
        <v>217</v>
      </c>
      <c r="G2538" s="1" t="s">
        <v>130</v>
      </c>
      <c r="H2538" s="1" t="s">
        <v>92</v>
      </c>
      <c r="I2538" s="1" t="s">
        <v>16</v>
      </c>
      <c r="J2538" s="1">
        <v>2</v>
      </c>
      <c r="K2538" s="1">
        <v>3</v>
      </c>
      <c r="L2538" s="1" t="s">
        <v>31</v>
      </c>
      <c r="M2538" s="1" t="s">
        <v>18</v>
      </c>
      <c r="N2538" s="1" t="s">
        <v>18</v>
      </c>
      <c r="O2538" s="1">
        <v>3</v>
      </c>
      <c r="P2538" s="1">
        <v>7</v>
      </c>
      <c r="Q2538" s="7" t="s">
        <v>17633</v>
      </c>
      <c r="R2538" s="1" t="s">
        <v>19</v>
      </c>
      <c r="S2538" s="1" t="s">
        <v>20</v>
      </c>
      <c r="T2538" s="1" t="s">
        <v>21</v>
      </c>
      <c r="U2538" s="1" t="s">
        <v>22</v>
      </c>
      <c r="V2538" s="1" t="s">
        <v>23</v>
      </c>
      <c r="W2538" s="1" t="s">
        <v>24</v>
      </c>
      <c r="X2538" s="1">
        <v>2705</v>
      </c>
      <c r="Y2538" s="1">
        <v>2737</v>
      </c>
      <c r="Z2538" s="1" t="s">
        <v>24</v>
      </c>
      <c r="AA2538" s="1" t="s">
        <v>24</v>
      </c>
      <c r="AB2538" s="1" t="s">
        <v>24</v>
      </c>
      <c r="AC2538" s="1" t="s">
        <v>24</v>
      </c>
      <c r="AD2538" s="1" t="s">
        <v>24</v>
      </c>
      <c r="AE2538" s="1" t="s">
        <v>24</v>
      </c>
      <c r="AF2538" s="22"/>
    </row>
    <row r="2539" spans="1:32" x14ac:dyDescent="0.2">
      <c r="A2539" s="1">
        <v>18489</v>
      </c>
      <c r="B2539" s="1" t="s">
        <v>8057</v>
      </c>
      <c r="C2539" s="5" t="s">
        <v>0</v>
      </c>
      <c r="D2539" s="1" t="s">
        <v>8058</v>
      </c>
      <c r="E2539" s="1" t="s">
        <v>8059</v>
      </c>
      <c r="F2539" s="1" t="s">
        <v>315</v>
      </c>
      <c r="G2539" s="1" t="s">
        <v>316</v>
      </c>
      <c r="H2539" s="1" t="s">
        <v>37</v>
      </c>
      <c r="I2539" s="1" t="s">
        <v>16</v>
      </c>
      <c r="J2539" s="1">
        <v>1</v>
      </c>
      <c r="K2539" s="1">
        <v>12</v>
      </c>
      <c r="L2539" s="1" t="s">
        <v>31</v>
      </c>
      <c r="M2539" s="1" t="s">
        <v>18</v>
      </c>
      <c r="N2539" s="1" t="s">
        <v>18</v>
      </c>
      <c r="O2539" s="1">
        <v>3</v>
      </c>
      <c r="P2539" s="1">
        <v>6</v>
      </c>
      <c r="R2539" s="1" t="s">
        <v>62</v>
      </c>
      <c r="S2539" s="1" t="s">
        <v>20</v>
      </c>
      <c r="T2539" s="1" t="s">
        <v>21</v>
      </c>
      <c r="U2539" s="1" t="s">
        <v>22</v>
      </c>
      <c r="V2539" s="1" t="s">
        <v>24</v>
      </c>
      <c r="W2539" s="1" t="s">
        <v>24</v>
      </c>
      <c r="X2539" s="1">
        <v>2716</v>
      </c>
      <c r="Y2539" s="1" t="s">
        <v>24</v>
      </c>
      <c r="Z2539" s="1" t="s">
        <v>24</v>
      </c>
      <c r="AA2539" s="1" t="s">
        <v>24</v>
      </c>
      <c r="AB2539" s="1" t="s">
        <v>24</v>
      </c>
      <c r="AC2539" s="1" t="s">
        <v>24</v>
      </c>
      <c r="AD2539" s="1" t="s">
        <v>24</v>
      </c>
      <c r="AE2539" s="1" t="s">
        <v>24</v>
      </c>
      <c r="AF2539" s="22"/>
    </row>
    <row r="2540" spans="1:32" x14ac:dyDescent="0.2">
      <c r="A2540" s="1">
        <v>18494</v>
      </c>
      <c r="B2540" s="1" t="s">
        <v>8060</v>
      </c>
      <c r="C2540" s="5" t="s">
        <v>0</v>
      </c>
      <c r="D2540" s="1" t="s">
        <v>8061</v>
      </c>
      <c r="E2540" s="1" t="s">
        <v>8062</v>
      </c>
      <c r="F2540" s="1" t="s">
        <v>221</v>
      </c>
      <c r="G2540" s="1" t="s">
        <v>61</v>
      </c>
      <c r="H2540" s="1" t="s">
        <v>222</v>
      </c>
      <c r="I2540" s="1" t="s">
        <v>16</v>
      </c>
      <c r="J2540" s="1">
        <v>1</v>
      </c>
      <c r="K2540" s="1">
        <v>12</v>
      </c>
      <c r="L2540" s="1" t="s">
        <v>31</v>
      </c>
      <c r="M2540" s="1" t="s">
        <v>18</v>
      </c>
      <c r="N2540" s="1" t="s">
        <v>18</v>
      </c>
      <c r="O2540" s="1">
        <v>3</v>
      </c>
      <c r="P2540" s="1">
        <v>7</v>
      </c>
      <c r="Q2540" s="7" t="s">
        <v>17633</v>
      </c>
      <c r="R2540" s="1" t="s">
        <v>19</v>
      </c>
      <c r="S2540" s="1" t="s">
        <v>20</v>
      </c>
      <c r="T2540" s="1" t="s">
        <v>21</v>
      </c>
      <c r="U2540" s="1" t="s">
        <v>22</v>
      </c>
      <c r="V2540" s="1" t="s">
        <v>24</v>
      </c>
      <c r="W2540" s="1" t="s">
        <v>24</v>
      </c>
      <c r="X2540" s="1">
        <v>2728</v>
      </c>
      <c r="Y2540" s="1">
        <v>2808</v>
      </c>
      <c r="Z2540" s="1">
        <v>2737</v>
      </c>
      <c r="AA2540" s="1">
        <v>2809</v>
      </c>
      <c r="AB2540" s="1" t="s">
        <v>24</v>
      </c>
      <c r="AC2540" s="1" t="s">
        <v>24</v>
      </c>
      <c r="AD2540" s="1" t="s">
        <v>24</v>
      </c>
      <c r="AE2540" s="1" t="s">
        <v>24</v>
      </c>
      <c r="AF2540" s="22"/>
    </row>
    <row r="2541" spans="1:32" x14ac:dyDescent="0.2">
      <c r="A2541" s="1">
        <v>18495</v>
      </c>
      <c r="B2541" s="1" t="s">
        <v>8063</v>
      </c>
      <c r="C2541" s="5" t="s">
        <v>0</v>
      </c>
      <c r="D2541" s="1" t="s">
        <v>8064</v>
      </c>
      <c r="E2541" s="1" t="s">
        <v>8065</v>
      </c>
      <c r="F2541" s="1" t="s">
        <v>35</v>
      </c>
      <c r="G2541" s="1" t="s">
        <v>36</v>
      </c>
      <c r="H2541" s="1" t="s">
        <v>37</v>
      </c>
      <c r="I2541" s="1" t="s">
        <v>16</v>
      </c>
      <c r="J2541" s="1">
        <v>2</v>
      </c>
      <c r="K2541" s="1">
        <v>12</v>
      </c>
      <c r="L2541" s="1" t="s">
        <v>31</v>
      </c>
      <c r="M2541" s="1" t="s">
        <v>18</v>
      </c>
      <c r="N2541" s="1" t="s">
        <v>18</v>
      </c>
      <c r="O2541" s="1">
        <v>3</v>
      </c>
      <c r="P2541" s="1">
        <v>7</v>
      </c>
      <c r="Q2541" s="7" t="s">
        <v>17633</v>
      </c>
      <c r="R2541" s="1" t="s">
        <v>19</v>
      </c>
      <c r="S2541" s="1" t="s">
        <v>20</v>
      </c>
      <c r="T2541" s="1" t="s">
        <v>21</v>
      </c>
      <c r="U2541" s="1" t="s">
        <v>22</v>
      </c>
      <c r="V2541" s="1" t="s">
        <v>24</v>
      </c>
      <c r="W2541" s="1" t="s">
        <v>24</v>
      </c>
      <c r="X2541" s="1">
        <v>2748</v>
      </c>
      <c r="Y2541" s="1" t="s">
        <v>24</v>
      </c>
      <c r="Z2541" s="1" t="s">
        <v>24</v>
      </c>
      <c r="AA2541" s="1" t="s">
        <v>24</v>
      </c>
      <c r="AB2541" s="1" t="s">
        <v>24</v>
      </c>
      <c r="AC2541" s="1" t="s">
        <v>24</v>
      </c>
      <c r="AD2541" s="1" t="s">
        <v>24</v>
      </c>
      <c r="AE2541" s="1" t="s">
        <v>24</v>
      </c>
      <c r="AF2541" s="22"/>
    </row>
    <row r="2542" spans="1:32" x14ac:dyDescent="0.2">
      <c r="A2542" s="1">
        <v>18496</v>
      </c>
      <c r="B2542" s="1" t="s">
        <v>8066</v>
      </c>
      <c r="C2542" s="5" t="s">
        <v>0</v>
      </c>
      <c r="D2542" s="1" t="s">
        <v>8067</v>
      </c>
      <c r="F2542" s="1" t="s">
        <v>35</v>
      </c>
      <c r="G2542" s="1" t="s">
        <v>36</v>
      </c>
      <c r="H2542" s="1" t="s">
        <v>37</v>
      </c>
      <c r="I2542" s="1" t="s">
        <v>16</v>
      </c>
      <c r="J2542" s="1">
        <v>0</v>
      </c>
      <c r="K2542" s="1">
        <v>0</v>
      </c>
      <c r="L2542" s="1" t="s">
        <v>31</v>
      </c>
      <c r="M2542" s="1" t="s">
        <v>18</v>
      </c>
      <c r="N2542" s="1" t="s">
        <v>18</v>
      </c>
      <c r="O2542" s="1">
        <v>3</v>
      </c>
      <c r="P2542" s="1">
        <v>7</v>
      </c>
      <c r="Q2542" s="7" t="s">
        <v>17633</v>
      </c>
      <c r="R2542" s="1" t="s">
        <v>19</v>
      </c>
      <c r="S2542" s="1" t="s">
        <v>20</v>
      </c>
      <c r="T2542" s="1" t="s">
        <v>21</v>
      </c>
      <c r="U2542" s="1" t="s">
        <v>22</v>
      </c>
      <c r="V2542" s="1" t="s">
        <v>24</v>
      </c>
      <c r="W2542" s="1" t="s">
        <v>24</v>
      </c>
      <c r="X2542" s="1">
        <v>2748</v>
      </c>
      <c r="Y2542" s="1" t="s">
        <v>24</v>
      </c>
      <c r="Z2542" s="1" t="s">
        <v>24</v>
      </c>
      <c r="AA2542" s="1" t="s">
        <v>24</v>
      </c>
      <c r="AB2542" s="1" t="s">
        <v>24</v>
      </c>
      <c r="AC2542" s="1" t="s">
        <v>24</v>
      </c>
      <c r="AD2542" s="1" t="s">
        <v>24</v>
      </c>
      <c r="AE2542" s="1" t="s">
        <v>24</v>
      </c>
      <c r="AF2542" s="22"/>
    </row>
    <row r="2543" spans="1:32" x14ac:dyDescent="0.2">
      <c r="A2543" s="1">
        <v>18498</v>
      </c>
      <c r="B2543" s="1" t="s">
        <v>8068</v>
      </c>
      <c r="C2543" s="5" t="s">
        <v>0</v>
      </c>
      <c r="D2543" s="1" t="s">
        <v>8069</v>
      </c>
      <c r="E2543" s="1" t="s">
        <v>8070</v>
      </c>
      <c r="F2543" s="1" t="s">
        <v>60</v>
      </c>
      <c r="G2543" s="1" t="s">
        <v>61</v>
      </c>
      <c r="H2543" s="1" t="s">
        <v>30</v>
      </c>
      <c r="I2543" s="1" t="s">
        <v>16</v>
      </c>
      <c r="J2543" s="1">
        <v>1</v>
      </c>
      <c r="K2543" s="1">
        <v>6</v>
      </c>
      <c r="L2543" s="1" t="s">
        <v>31</v>
      </c>
      <c r="M2543" s="1" t="s">
        <v>18</v>
      </c>
      <c r="N2543" s="1" t="s">
        <v>18</v>
      </c>
      <c r="O2543" s="1">
        <v>3</v>
      </c>
      <c r="P2543" s="1">
        <v>7</v>
      </c>
      <c r="Q2543" s="7" t="s">
        <v>17633</v>
      </c>
      <c r="R2543" s="1" t="s">
        <v>19</v>
      </c>
      <c r="S2543" s="1" t="s">
        <v>63</v>
      </c>
      <c r="T2543" s="1" t="s">
        <v>21</v>
      </c>
      <c r="U2543" s="1" t="s">
        <v>22</v>
      </c>
      <c r="V2543" s="1" t="s">
        <v>24</v>
      </c>
      <c r="W2543" s="1" t="s">
        <v>24</v>
      </c>
      <c r="X2543" s="1">
        <v>1502</v>
      </c>
      <c r="Y2543" s="1">
        <v>1305</v>
      </c>
      <c r="Z2543" s="1">
        <v>2402</v>
      </c>
      <c r="AA2543" s="1" t="s">
        <v>24</v>
      </c>
      <c r="AB2543" s="1" t="s">
        <v>24</v>
      </c>
      <c r="AC2543" s="1" t="s">
        <v>24</v>
      </c>
      <c r="AD2543" s="1" t="s">
        <v>24</v>
      </c>
      <c r="AE2543" s="1" t="s">
        <v>24</v>
      </c>
      <c r="AF2543" s="22"/>
    </row>
    <row r="2544" spans="1:32" x14ac:dyDescent="0.2">
      <c r="A2544" s="1">
        <v>18502</v>
      </c>
      <c r="B2544" s="1" t="s">
        <v>8071</v>
      </c>
      <c r="C2544" s="5" t="s">
        <v>0</v>
      </c>
      <c r="D2544" s="1" t="s">
        <v>8072</v>
      </c>
      <c r="F2544" s="1" t="s">
        <v>8073</v>
      </c>
      <c r="G2544" s="1" t="s">
        <v>8073</v>
      </c>
      <c r="H2544" s="1" t="s">
        <v>131</v>
      </c>
      <c r="I2544" s="1" t="s">
        <v>16</v>
      </c>
      <c r="J2544" s="1">
        <v>1</v>
      </c>
      <c r="K2544" s="1">
        <v>4</v>
      </c>
      <c r="L2544" s="1" t="s">
        <v>17</v>
      </c>
      <c r="M2544" s="1" t="s">
        <v>18</v>
      </c>
      <c r="N2544" s="1" t="s">
        <v>18</v>
      </c>
      <c r="O2544" s="1">
        <v>3</v>
      </c>
      <c r="P2544" s="1">
        <v>6</v>
      </c>
      <c r="R2544" s="1" t="s">
        <v>19</v>
      </c>
      <c r="S2544" s="1" t="s">
        <v>20</v>
      </c>
      <c r="T2544" s="1" t="s">
        <v>21</v>
      </c>
      <c r="U2544" s="1" t="s">
        <v>22</v>
      </c>
      <c r="V2544" s="1" t="s">
        <v>24</v>
      </c>
      <c r="W2544" s="1" t="s">
        <v>24</v>
      </c>
      <c r="X2544" s="1">
        <v>2707</v>
      </c>
      <c r="Y2544" s="1" t="s">
        <v>24</v>
      </c>
      <c r="Z2544" s="1" t="s">
        <v>24</v>
      </c>
      <c r="AA2544" s="1" t="s">
        <v>24</v>
      </c>
      <c r="AB2544" s="1" t="s">
        <v>24</v>
      </c>
      <c r="AC2544" s="1" t="s">
        <v>24</v>
      </c>
      <c r="AD2544" s="1" t="s">
        <v>24</v>
      </c>
      <c r="AE2544" s="1" t="s">
        <v>24</v>
      </c>
      <c r="AF2544" s="22"/>
    </row>
    <row r="2545" spans="1:32" x14ac:dyDescent="0.2">
      <c r="A2545" s="1">
        <v>18503</v>
      </c>
      <c r="B2545" s="1" t="s">
        <v>8074</v>
      </c>
      <c r="C2545" s="5" t="s">
        <v>0</v>
      </c>
      <c r="D2545" s="1" t="s">
        <v>8075</v>
      </c>
      <c r="E2545" s="1" t="s">
        <v>8076</v>
      </c>
      <c r="F2545" s="1" t="s">
        <v>689</v>
      </c>
      <c r="G2545" s="1" t="s">
        <v>311</v>
      </c>
      <c r="H2545" s="1" t="s">
        <v>37</v>
      </c>
      <c r="I2545" s="1" t="s">
        <v>16</v>
      </c>
      <c r="J2545" s="1">
        <v>1</v>
      </c>
      <c r="K2545" s="1">
        <v>6</v>
      </c>
      <c r="L2545" s="1" t="s">
        <v>31</v>
      </c>
      <c r="M2545" s="1" t="s">
        <v>18</v>
      </c>
      <c r="N2545" s="1" t="s">
        <v>18</v>
      </c>
      <c r="O2545" s="1">
        <v>3</v>
      </c>
      <c r="P2545" s="1">
        <v>7</v>
      </c>
      <c r="Q2545" s="7" t="s">
        <v>17633</v>
      </c>
      <c r="R2545" s="1" t="s">
        <v>19</v>
      </c>
      <c r="S2545" s="1" t="s">
        <v>20</v>
      </c>
      <c r="T2545" s="1" t="s">
        <v>21</v>
      </c>
      <c r="U2545" s="1" t="s">
        <v>22</v>
      </c>
      <c r="V2545" s="1" t="s">
        <v>24</v>
      </c>
      <c r="W2545" s="1" t="s">
        <v>24</v>
      </c>
      <c r="X2545" s="1">
        <v>2738</v>
      </c>
      <c r="Y2545" s="1">
        <v>2805</v>
      </c>
      <c r="Z2545" s="1" t="s">
        <v>24</v>
      </c>
      <c r="AA2545" s="1" t="s">
        <v>24</v>
      </c>
      <c r="AB2545" s="1" t="s">
        <v>24</v>
      </c>
      <c r="AC2545" s="1" t="s">
        <v>24</v>
      </c>
      <c r="AD2545" s="1" t="s">
        <v>24</v>
      </c>
      <c r="AE2545" s="1" t="s">
        <v>24</v>
      </c>
      <c r="AF2545" s="22"/>
    </row>
    <row r="2546" spans="1:32" x14ac:dyDescent="0.2">
      <c r="A2546" s="1">
        <v>18506</v>
      </c>
      <c r="B2546" s="1" t="s">
        <v>8077</v>
      </c>
      <c r="C2546" s="5" t="s">
        <v>0</v>
      </c>
      <c r="D2546" s="1" t="s">
        <v>8078</v>
      </c>
      <c r="F2546" s="1" t="s">
        <v>8079</v>
      </c>
      <c r="G2546" s="1" t="s">
        <v>8079</v>
      </c>
      <c r="H2546" s="1" t="s">
        <v>731</v>
      </c>
      <c r="I2546" s="1" t="s">
        <v>16</v>
      </c>
      <c r="J2546" s="1">
        <v>1</v>
      </c>
      <c r="K2546" s="1">
        <v>4</v>
      </c>
      <c r="L2546" s="1" t="s">
        <v>42</v>
      </c>
      <c r="M2546" s="1" t="s">
        <v>18</v>
      </c>
      <c r="N2546" s="1" t="s">
        <v>18</v>
      </c>
      <c r="O2546" s="1">
        <v>3</v>
      </c>
      <c r="P2546" s="1">
        <v>5</v>
      </c>
      <c r="R2546" s="1" t="s">
        <v>19</v>
      </c>
      <c r="S2546" s="1" t="s">
        <v>20</v>
      </c>
      <c r="T2546" s="1" t="s">
        <v>21</v>
      </c>
      <c r="U2546" s="1" t="s">
        <v>22</v>
      </c>
      <c r="V2546" s="1" t="s">
        <v>23</v>
      </c>
      <c r="W2546" s="1" t="s">
        <v>24</v>
      </c>
      <c r="X2546" s="1">
        <v>2740</v>
      </c>
      <c r="Y2546" s="1">
        <v>3601</v>
      </c>
      <c r="Z2546" s="1" t="s">
        <v>24</v>
      </c>
      <c r="AA2546" s="1" t="s">
        <v>24</v>
      </c>
      <c r="AB2546" s="1" t="s">
        <v>24</v>
      </c>
      <c r="AC2546" s="1" t="s">
        <v>24</v>
      </c>
      <c r="AD2546" s="1" t="s">
        <v>24</v>
      </c>
      <c r="AE2546" s="1" t="s">
        <v>24</v>
      </c>
      <c r="AF2546" s="22"/>
    </row>
    <row r="2547" spans="1:32" x14ac:dyDescent="0.2">
      <c r="A2547" s="1">
        <v>18510</v>
      </c>
      <c r="B2547" s="1" t="s">
        <v>8080</v>
      </c>
      <c r="C2547" s="5" t="s">
        <v>0</v>
      </c>
      <c r="D2547" s="1" t="s">
        <v>8081</v>
      </c>
      <c r="F2547" s="1" t="s">
        <v>1711</v>
      </c>
      <c r="G2547" s="1" t="s">
        <v>1711</v>
      </c>
      <c r="H2547" s="1" t="s">
        <v>684</v>
      </c>
      <c r="I2547" s="1" t="s">
        <v>16</v>
      </c>
      <c r="J2547" s="1">
        <v>1</v>
      </c>
      <c r="K2547" s="1">
        <v>3</v>
      </c>
      <c r="L2547" s="1" t="s">
        <v>17</v>
      </c>
      <c r="M2547" s="1" t="s">
        <v>18</v>
      </c>
      <c r="N2547" s="1" t="s">
        <v>18</v>
      </c>
      <c r="O2547" s="1">
        <v>3</v>
      </c>
      <c r="P2547" s="1">
        <v>6</v>
      </c>
      <c r="R2547" s="1" t="s">
        <v>19</v>
      </c>
      <c r="S2547" s="1" t="s">
        <v>20</v>
      </c>
      <c r="T2547" s="1" t="s">
        <v>21</v>
      </c>
      <c r="U2547" s="1" t="s">
        <v>22</v>
      </c>
      <c r="V2547" s="1" t="s">
        <v>24</v>
      </c>
      <c r="W2547" s="1" t="s">
        <v>24</v>
      </c>
      <c r="X2547" s="1">
        <v>1310</v>
      </c>
      <c r="Y2547" s="1">
        <v>2712</v>
      </c>
      <c r="Z2547" s="1" t="s">
        <v>24</v>
      </c>
      <c r="AA2547" s="1" t="s">
        <v>24</v>
      </c>
      <c r="AB2547" s="1" t="s">
        <v>24</v>
      </c>
      <c r="AC2547" s="1" t="s">
        <v>24</v>
      </c>
      <c r="AD2547" s="1" t="s">
        <v>24</v>
      </c>
      <c r="AE2547" s="1" t="s">
        <v>24</v>
      </c>
      <c r="AF2547" s="22"/>
    </row>
    <row r="2548" spans="1:32" x14ac:dyDescent="0.2">
      <c r="A2548" s="1">
        <v>18511</v>
      </c>
      <c r="B2548" s="1" t="s">
        <v>8082</v>
      </c>
      <c r="C2548" s="5" t="s">
        <v>0</v>
      </c>
      <c r="D2548" s="1" t="s">
        <v>8083</v>
      </c>
      <c r="F2548" s="1" t="s">
        <v>1711</v>
      </c>
      <c r="G2548" s="1" t="s">
        <v>1711</v>
      </c>
      <c r="H2548" s="1" t="s">
        <v>684</v>
      </c>
      <c r="I2548" s="1" t="s">
        <v>16</v>
      </c>
      <c r="J2548" s="1">
        <v>1</v>
      </c>
      <c r="K2548" s="1">
        <v>3</v>
      </c>
      <c r="L2548" s="1" t="s">
        <v>17</v>
      </c>
      <c r="M2548" s="1" t="s">
        <v>18</v>
      </c>
      <c r="N2548" s="1" t="s">
        <v>18</v>
      </c>
      <c r="O2548" s="1">
        <v>3</v>
      </c>
      <c r="P2548" s="1">
        <v>6</v>
      </c>
      <c r="R2548" s="1" t="s">
        <v>19</v>
      </c>
      <c r="S2548" s="1" t="s">
        <v>20</v>
      </c>
      <c r="T2548" s="1" t="s">
        <v>21</v>
      </c>
      <c r="U2548" s="1" t="s">
        <v>22</v>
      </c>
      <c r="V2548" s="1" t="s">
        <v>23</v>
      </c>
      <c r="W2548" s="1" t="s">
        <v>24</v>
      </c>
      <c r="X2548" s="1">
        <v>2724</v>
      </c>
      <c r="Y2548" s="1">
        <v>2704</v>
      </c>
      <c r="Z2548" s="1">
        <v>1308</v>
      </c>
      <c r="AA2548" s="1" t="s">
        <v>24</v>
      </c>
      <c r="AB2548" s="1" t="s">
        <v>24</v>
      </c>
      <c r="AC2548" s="1" t="s">
        <v>24</v>
      </c>
      <c r="AD2548" s="1" t="s">
        <v>24</v>
      </c>
      <c r="AE2548" s="1" t="s">
        <v>24</v>
      </c>
      <c r="AF2548" s="22"/>
    </row>
    <row r="2549" spans="1:32" x14ac:dyDescent="0.2">
      <c r="A2549" s="1">
        <v>18525</v>
      </c>
      <c r="B2549" s="1" t="s">
        <v>8084</v>
      </c>
      <c r="C2549" s="5" t="s">
        <v>0</v>
      </c>
      <c r="D2549" s="1" t="s">
        <v>8085</v>
      </c>
      <c r="E2549" s="1" t="s">
        <v>8086</v>
      </c>
      <c r="F2549" s="1" t="s">
        <v>724</v>
      </c>
      <c r="G2549" s="1" t="s">
        <v>725</v>
      </c>
      <c r="H2549" s="1" t="s">
        <v>37</v>
      </c>
      <c r="I2549" s="1" t="s">
        <v>16</v>
      </c>
      <c r="J2549" s="1">
        <v>1</v>
      </c>
      <c r="K2549" s="1">
        <v>10</v>
      </c>
      <c r="L2549" s="1" t="s">
        <v>31</v>
      </c>
      <c r="M2549" s="1" t="s">
        <v>18</v>
      </c>
      <c r="N2549" s="1" t="s">
        <v>18</v>
      </c>
      <c r="O2549" s="1">
        <v>3</v>
      </c>
      <c r="P2549" s="1">
        <v>7</v>
      </c>
      <c r="Q2549" s="7" t="s">
        <v>17633</v>
      </c>
      <c r="R2549" s="1" t="s">
        <v>62</v>
      </c>
      <c r="S2549" s="1" t="s">
        <v>20</v>
      </c>
      <c r="T2549" s="1" t="s">
        <v>21</v>
      </c>
      <c r="U2549" s="1" t="s">
        <v>22</v>
      </c>
      <c r="V2549" s="1" t="s">
        <v>24</v>
      </c>
      <c r="W2549" s="1" t="s">
        <v>64</v>
      </c>
      <c r="X2549" s="1">
        <v>2736</v>
      </c>
      <c r="Y2549" s="1">
        <v>3004</v>
      </c>
      <c r="Z2549" s="1">
        <v>2738</v>
      </c>
      <c r="AA2549" s="1" t="s">
        <v>24</v>
      </c>
      <c r="AB2549" s="1" t="s">
        <v>24</v>
      </c>
      <c r="AC2549" s="1" t="s">
        <v>24</v>
      </c>
      <c r="AD2549" s="1" t="s">
        <v>24</v>
      </c>
      <c r="AE2549" s="1" t="s">
        <v>24</v>
      </c>
      <c r="AF2549" s="22"/>
    </row>
    <row r="2550" spans="1:32" x14ac:dyDescent="0.2">
      <c r="A2550" s="1">
        <v>18542</v>
      </c>
      <c r="B2550" s="1" t="s">
        <v>8087</v>
      </c>
      <c r="C2550" s="5" t="s">
        <v>0</v>
      </c>
      <c r="D2550" s="1" t="s">
        <v>8088</v>
      </c>
      <c r="E2550" s="1" t="s">
        <v>8089</v>
      </c>
      <c r="F2550" s="1" t="s">
        <v>517</v>
      </c>
      <c r="G2550" s="1" t="s">
        <v>36</v>
      </c>
      <c r="H2550" s="1" t="s">
        <v>30</v>
      </c>
      <c r="I2550" s="1" t="s">
        <v>16</v>
      </c>
      <c r="J2550" s="1">
        <v>1</v>
      </c>
      <c r="K2550" s="1">
        <v>6</v>
      </c>
      <c r="L2550" s="1" t="s">
        <v>31</v>
      </c>
      <c r="M2550" s="1" t="s">
        <v>18</v>
      </c>
      <c r="N2550" s="1" t="s">
        <v>18</v>
      </c>
      <c r="O2550" s="1">
        <v>3</v>
      </c>
      <c r="P2550" s="1">
        <v>7</v>
      </c>
      <c r="Q2550" s="7" t="s">
        <v>17633</v>
      </c>
      <c r="R2550" s="1" t="s">
        <v>19</v>
      </c>
      <c r="S2550" s="1" t="s">
        <v>20</v>
      </c>
      <c r="T2550" s="1" t="s">
        <v>21</v>
      </c>
      <c r="U2550" s="1" t="s">
        <v>22</v>
      </c>
      <c r="V2550" s="1" t="s">
        <v>24</v>
      </c>
      <c r="W2550" s="1" t="s">
        <v>24</v>
      </c>
      <c r="X2550" s="1">
        <v>2307</v>
      </c>
      <c r="Y2550" s="1">
        <v>3005</v>
      </c>
      <c r="Z2550" s="1">
        <v>2308</v>
      </c>
      <c r="AA2550" s="1" t="s">
        <v>24</v>
      </c>
      <c r="AB2550" s="1" t="s">
        <v>24</v>
      </c>
      <c r="AC2550" s="1" t="s">
        <v>24</v>
      </c>
      <c r="AD2550" s="1" t="s">
        <v>24</v>
      </c>
      <c r="AE2550" s="1" t="s">
        <v>24</v>
      </c>
      <c r="AF2550" s="22"/>
    </row>
    <row r="2551" spans="1:32" x14ac:dyDescent="0.2">
      <c r="A2551" s="1">
        <v>18543</v>
      </c>
      <c r="B2551" s="1" t="s">
        <v>8090</v>
      </c>
      <c r="C2551" s="5" t="s">
        <v>0</v>
      </c>
      <c r="D2551" s="1" t="s">
        <v>8091</v>
      </c>
      <c r="E2551" s="1" t="s">
        <v>8092</v>
      </c>
      <c r="F2551" s="1" t="s">
        <v>198</v>
      </c>
      <c r="G2551" s="1" t="s">
        <v>130</v>
      </c>
      <c r="H2551" s="1" t="s">
        <v>86</v>
      </c>
      <c r="I2551" s="1" t="s">
        <v>16</v>
      </c>
      <c r="J2551" s="1">
        <v>1</v>
      </c>
      <c r="K2551" s="1">
        <v>8</v>
      </c>
      <c r="L2551" s="1" t="s">
        <v>31</v>
      </c>
      <c r="M2551" s="1" t="s">
        <v>87</v>
      </c>
      <c r="N2551" s="1" t="s">
        <v>87</v>
      </c>
      <c r="O2551" s="1">
        <v>3</v>
      </c>
      <c r="P2551" s="1">
        <v>5</v>
      </c>
      <c r="R2551" s="1" t="s">
        <v>19</v>
      </c>
      <c r="S2551" s="1" t="s">
        <v>20</v>
      </c>
      <c r="T2551" s="1" t="s">
        <v>21</v>
      </c>
      <c r="U2551" s="1" t="s">
        <v>22</v>
      </c>
      <c r="V2551" s="1" t="s">
        <v>24</v>
      </c>
      <c r="W2551" s="1" t="s">
        <v>24</v>
      </c>
      <c r="X2551" s="1">
        <v>2730</v>
      </c>
      <c r="Y2551" s="1" t="s">
        <v>24</v>
      </c>
      <c r="Z2551" s="1" t="s">
        <v>24</v>
      </c>
      <c r="AA2551" s="1" t="s">
        <v>24</v>
      </c>
      <c r="AB2551" s="1" t="s">
        <v>24</v>
      </c>
      <c r="AC2551" s="1" t="s">
        <v>24</v>
      </c>
      <c r="AD2551" s="1" t="s">
        <v>24</v>
      </c>
      <c r="AE2551" s="1" t="s">
        <v>24</v>
      </c>
      <c r="AF2551" s="22"/>
    </row>
    <row r="2552" spans="1:32" x14ac:dyDescent="0.2">
      <c r="A2552" s="1">
        <v>18544</v>
      </c>
      <c r="B2552" s="1" t="s">
        <v>8093</v>
      </c>
      <c r="C2552" s="5" t="s">
        <v>0</v>
      </c>
      <c r="D2552" s="1" t="s">
        <v>8094</v>
      </c>
      <c r="E2552" s="1" t="s">
        <v>8095</v>
      </c>
      <c r="F2552" s="1" t="s">
        <v>91</v>
      </c>
      <c r="G2552" s="1" t="s">
        <v>61</v>
      </c>
      <c r="H2552" s="1" t="s">
        <v>92</v>
      </c>
      <c r="I2552" s="1" t="s">
        <v>16</v>
      </c>
      <c r="J2552" s="1">
        <v>2</v>
      </c>
      <c r="K2552" s="1">
        <v>6</v>
      </c>
      <c r="L2552" s="1" t="s">
        <v>31</v>
      </c>
      <c r="M2552" s="1" t="s">
        <v>18</v>
      </c>
      <c r="N2552" s="1" t="s">
        <v>18</v>
      </c>
      <c r="O2552" s="1">
        <v>3</v>
      </c>
      <c r="P2552" s="1">
        <v>6</v>
      </c>
      <c r="R2552" s="1" t="s">
        <v>19</v>
      </c>
      <c r="S2552" s="1" t="s">
        <v>20</v>
      </c>
      <c r="T2552" s="1" t="s">
        <v>21</v>
      </c>
      <c r="U2552" s="1" t="s">
        <v>22</v>
      </c>
      <c r="V2552" s="1" t="s">
        <v>24</v>
      </c>
      <c r="W2552" s="1" t="s">
        <v>24</v>
      </c>
      <c r="X2552" s="1">
        <v>1305</v>
      </c>
      <c r="Y2552" s="1">
        <v>2402</v>
      </c>
      <c r="Z2552" s="1">
        <v>1502</v>
      </c>
      <c r="AA2552" s="1" t="s">
        <v>24</v>
      </c>
      <c r="AB2552" s="1" t="s">
        <v>24</v>
      </c>
      <c r="AC2552" s="1" t="s">
        <v>24</v>
      </c>
      <c r="AD2552" s="1" t="s">
        <v>24</v>
      </c>
      <c r="AE2552" s="1" t="s">
        <v>24</v>
      </c>
      <c r="AF2552" s="22"/>
    </row>
    <row r="2553" spans="1:32" x14ac:dyDescent="0.2">
      <c r="A2553" s="1">
        <v>18546</v>
      </c>
      <c r="B2553" s="1" t="s">
        <v>8096</v>
      </c>
      <c r="C2553" s="5" t="s">
        <v>0</v>
      </c>
      <c r="D2553" s="1" t="s">
        <v>8097</v>
      </c>
      <c r="E2553" s="1" t="s">
        <v>8098</v>
      </c>
      <c r="F2553" s="1" t="s">
        <v>60</v>
      </c>
      <c r="G2553" s="1" t="s">
        <v>61</v>
      </c>
      <c r="H2553" s="1" t="s">
        <v>30</v>
      </c>
      <c r="I2553" s="1" t="s">
        <v>16</v>
      </c>
      <c r="J2553" s="1">
        <v>4</v>
      </c>
      <c r="K2553" s="1">
        <v>3</v>
      </c>
      <c r="L2553" s="1" t="s">
        <v>31</v>
      </c>
      <c r="M2553" s="1" t="s">
        <v>18</v>
      </c>
      <c r="N2553" s="1" t="s">
        <v>18</v>
      </c>
      <c r="O2553" s="1">
        <v>3</v>
      </c>
      <c r="P2553" s="1">
        <v>7</v>
      </c>
      <c r="Q2553" s="7" t="s">
        <v>17633</v>
      </c>
      <c r="R2553" s="1" t="s">
        <v>62</v>
      </c>
      <c r="S2553" s="1" t="s">
        <v>63</v>
      </c>
      <c r="T2553" s="1" t="s">
        <v>21</v>
      </c>
      <c r="U2553" s="1" t="s">
        <v>22</v>
      </c>
      <c r="V2553" s="1" t="s">
        <v>24</v>
      </c>
      <c r="W2553" s="1" t="s">
        <v>24</v>
      </c>
      <c r="X2553" s="1">
        <v>2403</v>
      </c>
      <c r="Y2553" s="1">
        <v>2723</v>
      </c>
      <c r="Z2553" s="1" t="s">
        <v>24</v>
      </c>
      <c r="AA2553" s="1" t="s">
        <v>24</v>
      </c>
      <c r="AB2553" s="1" t="s">
        <v>24</v>
      </c>
      <c r="AC2553" s="1" t="s">
        <v>24</v>
      </c>
      <c r="AD2553" s="1" t="s">
        <v>24</v>
      </c>
      <c r="AE2553" s="1" t="s">
        <v>24</v>
      </c>
      <c r="AF2553" s="22"/>
    </row>
    <row r="2554" spans="1:32" x14ac:dyDescent="0.2">
      <c r="A2554" s="1">
        <v>18548</v>
      </c>
      <c r="B2554" s="1" t="s">
        <v>8099</v>
      </c>
      <c r="C2554" s="5" t="s">
        <v>0</v>
      </c>
      <c r="D2554" s="1" t="s">
        <v>8100</v>
      </c>
      <c r="F2554" s="1" t="s">
        <v>5621</v>
      </c>
      <c r="G2554" s="1" t="s">
        <v>5622</v>
      </c>
      <c r="H2554" s="1" t="s">
        <v>428</v>
      </c>
      <c r="I2554" s="1" t="s">
        <v>16</v>
      </c>
      <c r="J2554" s="1">
        <v>0</v>
      </c>
      <c r="K2554" s="1">
        <v>0</v>
      </c>
      <c r="L2554" s="1" t="s">
        <v>17</v>
      </c>
      <c r="M2554" s="1" t="s">
        <v>18</v>
      </c>
      <c r="N2554" s="1" t="s">
        <v>18</v>
      </c>
      <c r="O2554" s="1">
        <v>3</v>
      </c>
      <c r="P2554" s="1">
        <v>5</v>
      </c>
      <c r="R2554" s="1" t="s">
        <v>19</v>
      </c>
      <c r="S2554" s="1" t="s">
        <v>20</v>
      </c>
      <c r="T2554" s="1" t="s">
        <v>21</v>
      </c>
      <c r="U2554" s="1" t="s">
        <v>22</v>
      </c>
      <c r="V2554" s="1" t="s">
        <v>24</v>
      </c>
      <c r="W2554" s="1" t="s">
        <v>24</v>
      </c>
      <c r="X2554" s="1">
        <v>2700</v>
      </c>
      <c r="Y2554" s="1" t="s">
        <v>24</v>
      </c>
      <c r="Z2554" s="1" t="s">
        <v>24</v>
      </c>
      <c r="AA2554" s="1" t="s">
        <v>24</v>
      </c>
      <c r="AB2554" s="1" t="s">
        <v>24</v>
      </c>
      <c r="AC2554" s="1" t="s">
        <v>24</v>
      </c>
      <c r="AD2554" s="1" t="s">
        <v>24</v>
      </c>
      <c r="AE2554" s="1" t="s">
        <v>24</v>
      </c>
      <c r="AF2554" s="22"/>
    </row>
    <row r="2555" spans="1:32" x14ac:dyDescent="0.2">
      <c r="A2555" s="1">
        <v>18563</v>
      </c>
      <c r="B2555" s="1" t="s">
        <v>8101</v>
      </c>
      <c r="C2555" s="5" t="s">
        <v>0</v>
      </c>
      <c r="D2555" s="1" t="s">
        <v>8102</v>
      </c>
      <c r="E2555" s="1" t="s">
        <v>8103</v>
      </c>
      <c r="F2555" s="1" t="s">
        <v>1260</v>
      </c>
      <c r="G2555" s="1" t="s">
        <v>130</v>
      </c>
      <c r="H2555" s="1" t="s">
        <v>111</v>
      </c>
      <c r="I2555" s="1" t="s">
        <v>16</v>
      </c>
      <c r="J2555" s="1">
        <v>1</v>
      </c>
      <c r="K2555" s="1">
        <v>4</v>
      </c>
      <c r="L2555" s="1" t="s">
        <v>31</v>
      </c>
      <c r="M2555" s="1" t="s">
        <v>18</v>
      </c>
      <c r="N2555" s="1" t="s">
        <v>18</v>
      </c>
      <c r="O2555" s="1">
        <v>3</v>
      </c>
      <c r="P2555" s="1">
        <v>7</v>
      </c>
      <c r="Q2555" s="7" t="s">
        <v>17633</v>
      </c>
      <c r="R2555" s="1" t="s">
        <v>19</v>
      </c>
      <c r="S2555" s="1" t="s">
        <v>20</v>
      </c>
      <c r="T2555" s="1" t="s">
        <v>21</v>
      </c>
      <c r="U2555" s="1" t="s">
        <v>22</v>
      </c>
      <c r="V2555" s="1" t="s">
        <v>24</v>
      </c>
      <c r="W2555" s="1" t="s">
        <v>24</v>
      </c>
      <c r="X2555" s="1">
        <v>3004</v>
      </c>
      <c r="Y2555" s="1" t="s">
        <v>24</v>
      </c>
      <c r="Z2555" s="1" t="s">
        <v>24</v>
      </c>
      <c r="AA2555" s="1" t="s">
        <v>24</v>
      </c>
      <c r="AB2555" s="1" t="s">
        <v>24</v>
      </c>
      <c r="AC2555" s="1" t="s">
        <v>24</v>
      </c>
      <c r="AD2555" s="1" t="s">
        <v>24</v>
      </c>
      <c r="AE2555" s="1" t="s">
        <v>24</v>
      </c>
      <c r="AF2555" s="22"/>
    </row>
    <row r="2556" spans="1:32" x14ac:dyDescent="0.2">
      <c r="A2556" s="1">
        <v>18572</v>
      </c>
      <c r="B2556" s="1" t="s">
        <v>8104</v>
      </c>
      <c r="C2556" s="5" t="s">
        <v>0</v>
      </c>
      <c r="D2556" s="1" t="s">
        <v>8105</v>
      </c>
      <c r="E2556" s="1" t="s">
        <v>8106</v>
      </c>
      <c r="F2556" s="1" t="s">
        <v>751</v>
      </c>
      <c r="G2556" s="1" t="s">
        <v>36</v>
      </c>
      <c r="H2556" s="1" t="s">
        <v>37</v>
      </c>
      <c r="I2556" s="1" t="s">
        <v>16</v>
      </c>
      <c r="J2556" s="1">
        <v>1</v>
      </c>
      <c r="K2556" s="1">
        <v>12</v>
      </c>
      <c r="L2556" s="1" t="s">
        <v>31</v>
      </c>
      <c r="M2556" s="1" t="s">
        <v>18</v>
      </c>
      <c r="N2556" s="1" t="s">
        <v>18</v>
      </c>
      <c r="O2556" s="1">
        <v>3</v>
      </c>
      <c r="P2556" s="1">
        <v>7</v>
      </c>
      <c r="Q2556" s="7" t="s">
        <v>17633</v>
      </c>
      <c r="R2556" s="1" t="s">
        <v>62</v>
      </c>
      <c r="S2556" s="1" t="s">
        <v>20</v>
      </c>
      <c r="T2556" s="1" t="s">
        <v>21</v>
      </c>
      <c r="U2556" s="1" t="s">
        <v>22</v>
      </c>
      <c r="V2556" s="1" t="s">
        <v>24</v>
      </c>
      <c r="W2556" s="1" t="s">
        <v>24</v>
      </c>
      <c r="X2556" s="1">
        <v>1311</v>
      </c>
      <c r="Y2556" s="1">
        <v>1312</v>
      </c>
      <c r="Z2556" s="1">
        <v>1313</v>
      </c>
      <c r="AA2556" s="1">
        <v>2716</v>
      </c>
      <c r="AB2556" s="1">
        <v>3002</v>
      </c>
      <c r="AC2556" s="1" t="s">
        <v>24</v>
      </c>
      <c r="AD2556" s="1" t="s">
        <v>24</v>
      </c>
      <c r="AE2556" s="1" t="s">
        <v>24</v>
      </c>
      <c r="AF2556" s="22"/>
    </row>
    <row r="2557" spans="1:32" x14ac:dyDescent="0.2">
      <c r="A2557" s="1">
        <v>18573</v>
      </c>
      <c r="B2557" s="1" t="s">
        <v>8107</v>
      </c>
      <c r="C2557" s="5" t="s">
        <v>0</v>
      </c>
      <c r="D2557" s="1" t="s">
        <v>8108</v>
      </c>
      <c r="F2557" s="1" t="s">
        <v>1984</v>
      </c>
      <c r="G2557" s="1" t="s">
        <v>4662</v>
      </c>
      <c r="H2557" s="1" t="s">
        <v>899</v>
      </c>
      <c r="I2557" s="1" t="s">
        <v>16</v>
      </c>
      <c r="J2557" s="1">
        <v>1</v>
      </c>
      <c r="K2557" s="1">
        <v>2</v>
      </c>
      <c r="L2557" s="1" t="s">
        <v>31</v>
      </c>
      <c r="M2557" s="1" t="s">
        <v>18</v>
      </c>
      <c r="N2557" s="1" t="s">
        <v>18</v>
      </c>
      <c r="O2557" s="1">
        <v>3</v>
      </c>
      <c r="P2557" s="1">
        <v>5</v>
      </c>
      <c r="R2557" s="1" t="s">
        <v>19</v>
      </c>
      <c r="S2557" s="1" t="s">
        <v>20</v>
      </c>
      <c r="T2557" s="1" t="s">
        <v>21</v>
      </c>
      <c r="U2557" s="1" t="s">
        <v>22</v>
      </c>
      <c r="V2557" s="1" t="s">
        <v>24</v>
      </c>
      <c r="W2557" s="1" t="s">
        <v>24</v>
      </c>
      <c r="X2557" s="1">
        <v>3005</v>
      </c>
      <c r="Y2557" s="1">
        <v>2734</v>
      </c>
      <c r="Z2557" s="1" t="s">
        <v>24</v>
      </c>
      <c r="AA2557" s="1" t="s">
        <v>24</v>
      </c>
      <c r="AB2557" s="1" t="s">
        <v>24</v>
      </c>
      <c r="AC2557" s="1" t="s">
        <v>24</v>
      </c>
      <c r="AD2557" s="1" t="s">
        <v>24</v>
      </c>
      <c r="AE2557" s="1" t="s">
        <v>24</v>
      </c>
      <c r="AF2557" s="22"/>
    </row>
    <row r="2558" spans="1:32" x14ac:dyDescent="0.2">
      <c r="A2558" s="1">
        <v>18574</v>
      </c>
      <c r="B2558" s="1" t="s">
        <v>8109</v>
      </c>
      <c r="C2558" s="5" t="s">
        <v>0</v>
      </c>
      <c r="D2558" s="1" t="s">
        <v>8110</v>
      </c>
      <c r="E2558" s="1" t="s">
        <v>8111</v>
      </c>
      <c r="F2558" s="1" t="s">
        <v>751</v>
      </c>
      <c r="G2558" s="1" t="s">
        <v>36</v>
      </c>
      <c r="H2558" s="1" t="s">
        <v>37</v>
      </c>
      <c r="I2558" s="1" t="s">
        <v>16</v>
      </c>
      <c r="J2558" s="1">
        <v>1</v>
      </c>
      <c r="K2558" s="1">
        <v>12</v>
      </c>
      <c r="L2558" s="1" t="s">
        <v>31</v>
      </c>
      <c r="M2558" s="1" t="s">
        <v>18</v>
      </c>
      <c r="N2558" s="1" t="s">
        <v>18</v>
      </c>
      <c r="O2558" s="1">
        <v>3</v>
      </c>
      <c r="P2558" s="1">
        <v>7</v>
      </c>
      <c r="Q2558" s="7" t="s">
        <v>17633</v>
      </c>
      <c r="R2558" s="1" t="s">
        <v>62</v>
      </c>
      <c r="S2558" s="1" t="s">
        <v>20</v>
      </c>
      <c r="T2558" s="1" t="s">
        <v>21</v>
      </c>
      <c r="U2558" s="1" t="s">
        <v>22</v>
      </c>
      <c r="V2558" s="1" t="s">
        <v>23</v>
      </c>
      <c r="W2558" s="1" t="s">
        <v>24</v>
      </c>
      <c r="X2558" s="1">
        <v>2705</v>
      </c>
      <c r="Y2558" s="1" t="s">
        <v>24</v>
      </c>
      <c r="Z2558" s="1" t="s">
        <v>24</v>
      </c>
      <c r="AA2558" s="1" t="s">
        <v>24</v>
      </c>
      <c r="AB2558" s="1" t="s">
        <v>24</v>
      </c>
      <c r="AC2558" s="1" t="s">
        <v>24</v>
      </c>
      <c r="AD2558" s="1" t="s">
        <v>24</v>
      </c>
      <c r="AE2558" s="1" t="s">
        <v>24</v>
      </c>
      <c r="AF2558" s="22"/>
    </row>
    <row r="2559" spans="1:32" x14ac:dyDescent="0.2">
      <c r="A2559" s="1">
        <v>18576</v>
      </c>
      <c r="B2559" s="1" t="s">
        <v>8112</v>
      </c>
      <c r="C2559" s="5" t="s">
        <v>0</v>
      </c>
      <c r="D2559" s="1" t="s">
        <v>8113</v>
      </c>
      <c r="E2559" s="1" t="s">
        <v>8114</v>
      </c>
      <c r="F2559" s="1" t="s">
        <v>190</v>
      </c>
      <c r="G2559" s="1" t="s">
        <v>130</v>
      </c>
      <c r="H2559" s="1" t="s">
        <v>30</v>
      </c>
      <c r="I2559" s="1" t="s">
        <v>16</v>
      </c>
      <c r="J2559" s="1">
        <v>1</v>
      </c>
      <c r="K2559" s="1">
        <v>4</v>
      </c>
      <c r="L2559" s="1" t="s">
        <v>31</v>
      </c>
      <c r="M2559" s="1" t="s">
        <v>18</v>
      </c>
      <c r="N2559" s="1" t="s">
        <v>18</v>
      </c>
      <c r="O2559" s="1">
        <v>3</v>
      </c>
      <c r="P2559" s="1">
        <v>6</v>
      </c>
      <c r="R2559" s="1" t="s">
        <v>62</v>
      </c>
      <c r="S2559" s="1" t="s">
        <v>20</v>
      </c>
      <c r="T2559" s="1" t="s">
        <v>21</v>
      </c>
      <c r="U2559" s="1" t="s">
        <v>22</v>
      </c>
      <c r="V2559" s="1" t="s">
        <v>24</v>
      </c>
      <c r="W2559" s="1" t="s">
        <v>24</v>
      </c>
      <c r="X2559" s="1">
        <v>1306</v>
      </c>
      <c r="Y2559" s="1">
        <v>2730</v>
      </c>
      <c r="Z2559" s="1" t="s">
        <v>24</v>
      </c>
      <c r="AA2559" s="1" t="s">
        <v>24</v>
      </c>
      <c r="AB2559" s="1" t="s">
        <v>24</v>
      </c>
      <c r="AC2559" s="1" t="s">
        <v>24</v>
      </c>
      <c r="AD2559" s="1" t="s">
        <v>24</v>
      </c>
      <c r="AE2559" s="1" t="s">
        <v>24</v>
      </c>
      <c r="AF2559" s="22"/>
    </row>
    <row r="2560" spans="1:32" x14ac:dyDescent="0.2">
      <c r="A2560" s="1">
        <v>18577</v>
      </c>
      <c r="B2560" s="1" t="s">
        <v>8115</v>
      </c>
      <c r="C2560" s="5" t="s">
        <v>0</v>
      </c>
      <c r="D2560" s="1" t="s">
        <v>8116</v>
      </c>
      <c r="F2560" s="1" t="s">
        <v>6609</v>
      </c>
      <c r="G2560" s="1" t="s">
        <v>6609</v>
      </c>
      <c r="H2560" s="1" t="s">
        <v>116</v>
      </c>
      <c r="I2560" s="1" t="s">
        <v>16</v>
      </c>
      <c r="J2560" s="1">
        <v>1</v>
      </c>
      <c r="K2560" s="1">
        <v>4</v>
      </c>
      <c r="L2560" s="1" t="s">
        <v>42</v>
      </c>
      <c r="M2560" s="1" t="s">
        <v>18</v>
      </c>
      <c r="N2560" s="1" t="s">
        <v>18</v>
      </c>
      <c r="O2560" s="1">
        <v>3</v>
      </c>
      <c r="P2560" s="1">
        <v>6</v>
      </c>
      <c r="R2560" s="1" t="s">
        <v>19</v>
      </c>
      <c r="S2560" s="1" t="s">
        <v>20</v>
      </c>
      <c r="T2560" s="1" t="s">
        <v>21</v>
      </c>
      <c r="U2560" s="1" t="s">
        <v>22</v>
      </c>
      <c r="V2560" s="1" t="s">
        <v>24</v>
      </c>
      <c r="W2560" s="1" t="s">
        <v>24</v>
      </c>
      <c r="X2560" s="1">
        <v>2725</v>
      </c>
      <c r="Y2560" s="1">
        <v>2736</v>
      </c>
      <c r="Z2560" s="1" t="s">
        <v>24</v>
      </c>
      <c r="AA2560" s="1" t="s">
        <v>24</v>
      </c>
      <c r="AB2560" s="1" t="s">
        <v>24</v>
      </c>
      <c r="AC2560" s="1" t="s">
        <v>24</v>
      </c>
      <c r="AD2560" s="1" t="s">
        <v>24</v>
      </c>
      <c r="AE2560" s="1" t="s">
        <v>24</v>
      </c>
      <c r="AF2560" s="22"/>
    </row>
    <row r="2561" spans="1:32" x14ac:dyDescent="0.2">
      <c r="A2561" s="1">
        <v>19173</v>
      </c>
      <c r="B2561" s="1" t="s">
        <v>8117</v>
      </c>
      <c r="C2561" s="5" t="s">
        <v>0</v>
      </c>
      <c r="D2561" s="1" t="s">
        <v>8118</v>
      </c>
      <c r="E2561" s="1" t="s">
        <v>8119</v>
      </c>
      <c r="F2561" s="1" t="s">
        <v>109</v>
      </c>
      <c r="G2561" s="1" t="s">
        <v>110</v>
      </c>
      <c r="H2561" s="1" t="s">
        <v>111</v>
      </c>
      <c r="I2561" s="1" t="s">
        <v>16</v>
      </c>
      <c r="J2561" s="1">
        <v>3</v>
      </c>
      <c r="K2561" s="1">
        <v>4</v>
      </c>
      <c r="L2561" s="1" t="s">
        <v>31</v>
      </c>
      <c r="M2561" s="1" t="s">
        <v>18</v>
      </c>
      <c r="N2561" s="1" t="s">
        <v>18</v>
      </c>
      <c r="O2561" s="1">
        <v>3</v>
      </c>
      <c r="P2561" s="1">
        <v>7</v>
      </c>
      <c r="Q2561" s="7" t="s">
        <v>17633</v>
      </c>
      <c r="R2561" s="1" t="s">
        <v>19</v>
      </c>
      <c r="S2561" s="1" t="s">
        <v>20</v>
      </c>
      <c r="T2561" s="1" t="s">
        <v>21</v>
      </c>
      <c r="U2561" s="1" t="s">
        <v>22</v>
      </c>
      <c r="V2561" s="1" t="s">
        <v>24</v>
      </c>
      <c r="W2561" s="1" t="s">
        <v>24</v>
      </c>
      <c r="X2561" s="1">
        <v>2702</v>
      </c>
      <c r="Y2561" s="1">
        <v>2722</v>
      </c>
      <c r="Z2561" s="1" t="s">
        <v>24</v>
      </c>
      <c r="AA2561" s="1" t="s">
        <v>24</v>
      </c>
      <c r="AB2561" s="1" t="s">
        <v>24</v>
      </c>
      <c r="AC2561" s="1" t="s">
        <v>24</v>
      </c>
      <c r="AD2561" s="1" t="s">
        <v>24</v>
      </c>
      <c r="AE2561" s="1" t="s">
        <v>24</v>
      </c>
      <c r="AF2561" s="22"/>
    </row>
    <row r="2562" spans="1:32" x14ac:dyDescent="0.2">
      <c r="A2562" s="1">
        <v>19174</v>
      </c>
      <c r="B2562" s="1" t="s">
        <v>8120</v>
      </c>
      <c r="C2562" s="5" t="s">
        <v>0</v>
      </c>
      <c r="D2562" s="1" t="s">
        <v>8121</v>
      </c>
      <c r="F2562" s="1" t="s">
        <v>8122</v>
      </c>
      <c r="G2562" s="1" t="s">
        <v>8122</v>
      </c>
      <c r="H2562" s="1" t="s">
        <v>116</v>
      </c>
      <c r="I2562" s="1" t="s">
        <v>16</v>
      </c>
      <c r="J2562" s="1">
        <v>1</v>
      </c>
      <c r="K2562" s="1">
        <v>6</v>
      </c>
      <c r="L2562" s="1" t="s">
        <v>17</v>
      </c>
      <c r="M2562" s="1" t="s">
        <v>117</v>
      </c>
      <c r="N2562" s="1" t="s">
        <v>118</v>
      </c>
      <c r="O2562" s="1">
        <v>3</v>
      </c>
      <c r="P2562" s="1">
        <v>5</v>
      </c>
      <c r="R2562" s="1" t="s">
        <v>19</v>
      </c>
      <c r="S2562" s="1" t="s">
        <v>20</v>
      </c>
      <c r="T2562" s="1" t="s">
        <v>21</v>
      </c>
      <c r="U2562" s="1" t="s">
        <v>22</v>
      </c>
      <c r="V2562" s="1" t="s">
        <v>24</v>
      </c>
      <c r="W2562" s="1" t="s">
        <v>24</v>
      </c>
      <c r="X2562" s="1">
        <v>2736</v>
      </c>
      <c r="Y2562" s="1" t="s">
        <v>24</v>
      </c>
      <c r="Z2562" s="1" t="s">
        <v>24</v>
      </c>
      <c r="AA2562" s="1" t="s">
        <v>24</v>
      </c>
      <c r="AB2562" s="1" t="s">
        <v>24</v>
      </c>
      <c r="AC2562" s="1" t="s">
        <v>24</v>
      </c>
      <c r="AD2562" s="1" t="s">
        <v>24</v>
      </c>
      <c r="AE2562" s="1" t="s">
        <v>24</v>
      </c>
      <c r="AF2562" s="22"/>
    </row>
    <row r="2563" spans="1:32" x14ac:dyDescent="0.2">
      <c r="A2563" s="1">
        <v>19204</v>
      </c>
      <c r="B2563" s="1" t="s">
        <v>8123</v>
      </c>
      <c r="C2563" s="5" t="s">
        <v>0</v>
      </c>
      <c r="D2563" s="1" t="s">
        <v>8124</v>
      </c>
      <c r="E2563" s="1" t="s">
        <v>8125</v>
      </c>
      <c r="F2563" s="1" t="s">
        <v>8126</v>
      </c>
      <c r="G2563" s="1" t="s">
        <v>8126</v>
      </c>
      <c r="H2563" s="1" t="s">
        <v>69</v>
      </c>
      <c r="I2563" s="1" t="s">
        <v>16</v>
      </c>
      <c r="J2563" s="1">
        <v>1</v>
      </c>
      <c r="K2563" s="1">
        <v>4</v>
      </c>
      <c r="L2563" s="1" t="s">
        <v>42</v>
      </c>
      <c r="M2563" s="1" t="s">
        <v>70</v>
      </c>
      <c r="N2563" s="1" t="s">
        <v>75</v>
      </c>
      <c r="O2563" s="1">
        <v>1</v>
      </c>
      <c r="P2563" s="1">
        <v>5</v>
      </c>
      <c r="R2563" s="1" t="s">
        <v>19</v>
      </c>
      <c r="S2563" s="1" t="s">
        <v>20</v>
      </c>
      <c r="T2563" s="1" t="s">
        <v>21</v>
      </c>
      <c r="U2563" s="1" t="s">
        <v>22</v>
      </c>
      <c r="V2563" s="1" t="s">
        <v>24</v>
      </c>
      <c r="W2563" s="1" t="s">
        <v>24</v>
      </c>
      <c r="X2563" s="1">
        <v>3004</v>
      </c>
      <c r="Y2563" s="1">
        <v>2707</v>
      </c>
      <c r="Z2563" s="1" t="s">
        <v>24</v>
      </c>
      <c r="AA2563" s="1" t="s">
        <v>24</v>
      </c>
      <c r="AB2563" s="1" t="s">
        <v>24</v>
      </c>
      <c r="AC2563" s="1" t="s">
        <v>24</v>
      </c>
      <c r="AD2563" s="1" t="s">
        <v>24</v>
      </c>
      <c r="AE2563" s="1" t="s">
        <v>24</v>
      </c>
      <c r="AF2563" s="22"/>
    </row>
    <row r="2564" spans="1:32" x14ac:dyDescent="0.2">
      <c r="A2564" s="1">
        <v>19218</v>
      </c>
      <c r="B2564" s="1" t="s">
        <v>8127</v>
      </c>
      <c r="C2564" s="5" t="s">
        <v>0</v>
      </c>
      <c r="D2564" s="1" t="s">
        <v>8128</v>
      </c>
      <c r="E2564" s="1" t="s">
        <v>8129</v>
      </c>
      <c r="F2564" s="1" t="s">
        <v>920</v>
      </c>
      <c r="G2564" s="1" t="s">
        <v>921</v>
      </c>
      <c r="H2564" s="1" t="s">
        <v>92</v>
      </c>
      <c r="I2564" s="1" t="s">
        <v>16</v>
      </c>
      <c r="J2564" s="1">
        <v>2</v>
      </c>
      <c r="K2564" s="1">
        <v>4</v>
      </c>
      <c r="L2564" s="1" t="s">
        <v>31</v>
      </c>
      <c r="M2564" s="1" t="s">
        <v>18</v>
      </c>
      <c r="N2564" s="1" t="s">
        <v>18</v>
      </c>
      <c r="O2564" s="1">
        <v>3</v>
      </c>
      <c r="P2564" s="1">
        <v>7</v>
      </c>
      <c r="Q2564" s="7" t="s">
        <v>17633</v>
      </c>
      <c r="R2564" s="1" t="s">
        <v>19</v>
      </c>
      <c r="S2564" s="1" t="s">
        <v>20</v>
      </c>
      <c r="T2564" s="1" t="s">
        <v>21</v>
      </c>
      <c r="U2564" s="1" t="s">
        <v>22</v>
      </c>
      <c r="V2564" s="1" t="s">
        <v>23</v>
      </c>
      <c r="W2564" s="1" t="s">
        <v>24</v>
      </c>
      <c r="X2564" s="1">
        <v>2738</v>
      </c>
      <c r="Y2564" s="1">
        <v>2717</v>
      </c>
      <c r="Z2564" s="1">
        <v>3203</v>
      </c>
      <c r="AA2564" s="1" t="s">
        <v>24</v>
      </c>
      <c r="AB2564" s="1" t="s">
        <v>24</v>
      </c>
      <c r="AC2564" s="1" t="s">
        <v>24</v>
      </c>
      <c r="AD2564" s="1" t="s">
        <v>24</v>
      </c>
      <c r="AE2564" s="1" t="s">
        <v>24</v>
      </c>
      <c r="AF2564" s="22"/>
    </row>
    <row r="2565" spans="1:32" x14ac:dyDescent="0.2">
      <c r="A2565" s="1">
        <v>19221</v>
      </c>
      <c r="B2565" s="1" t="s">
        <v>8130</v>
      </c>
      <c r="C2565" s="5" t="s">
        <v>0</v>
      </c>
      <c r="D2565" s="1" t="s">
        <v>8131</v>
      </c>
      <c r="E2565" s="1" t="s">
        <v>8132</v>
      </c>
      <c r="F2565" s="1" t="s">
        <v>155</v>
      </c>
      <c r="G2565" s="1" t="s">
        <v>61</v>
      </c>
      <c r="H2565" s="1" t="s">
        <v>37</v>
      </c>
      <c r="I2565" s="1" t="s">
        <v>16</v>
      </c>
      <c r="J2565" s="1">
        <v>1</v>
      </c>
      <c r="K2565" s="1">
        <v>6</v>
      </c>
      <c r="L2565" s="1" t="s">
        <v>31</v>
      </c>
      <c r="M2565" s="1" t="s">
        <v>1009</v>
      </c>
      <c r="N2565" s="1" t="s">
        <v>1009</v>
      </c>
      <c r="O2565" s="1">
        <v>1</v>
      </c>
      <c r="P2565" s="1">
        <v>5</v>
      </c>
      <c r="R2565" s="1" t="s">
        <v>19</v>
      </c>
      <c r="S2565" s="1" t="s">
        <v>20</v>
      </c>
      <c r="T2565" s="1" t="s">
        <v>21</v>
      </c>
      <c r="U2565" s="1" t="s">
        <v>22</v>
      </c>
      <c r="V2565" s="1" t="s">
        <v>24</v>
      </c>
      <c r="W2565" s="1" t="s">
        <v>24</v>
      </c>
      <c r="X2565" s="1">
        <v>2726</v>
      </c>
      <c r="Y2565" s="1">
        <v>2723</v>
      </c>
      <c r="Z2565" s="1">
        <v>2400</v>
      </c>
      <c r="AA2565" s="1">
        <v>2725</v>
      </c>
      <c r="AB2565" s="1" t="s">
        <v>24</v>
      </c>
      <c r="AC2565" s="1" t="s">
        <v>24</v>
      </c>
      <c r="AD2565" s="1" t="s">
        <v>24</v>
      </c>
      <c r="AE2565" s="1" t="s">
        <v>24</v>
      </c>
      <c r="AF2565" s="22"/>
    </row>
    <row r="2566" spans="1:32" x14ac:dyDescent="0.2">
      <c r="A2566" s="1">
        <v>19224</v>
      </c>
      <c r="B2566" s="1" t="s">
        <v>8133</v>
      </c>
      <c r="C2566" s="5" t="s">
        <v>0</v>
      </c>
      <c r="D2566" s="1" t="s">
        <v>8134</v>
      </c>
      <c r="E2566" s="1" t="s">
        <v>8135</v>
      </c>
      <c r="F2566" s="1" t="s">
        <v>8136</v>
      </c>
      <c r="G2566" s="1" t="s">
        <v>311</v>
      </c>
      <c r="H2566" s="1" t="s">
        <v>37</v>
      </c>
      <c r="I2566" s="1" t="s">
        <v>16</v>
      </c>
      <c r="J2566" s="1">
        <v>1</v>
      </c>
      <c r="K2566" s="1">
        <v>6</v>
      </c>
      <c r="L2566" s="1" t="s">
        <v>31</v>
      </c>
      <c r="M2566" s="1" t="s">
        <v>18</v>
      </c>
      <c r="N2566" s="1" t="s">
        <v>18</v>
      </c>
      <c r="O2566" s="1">
        <v>3</v>
      </c>
      <c r="P2566" s="1">
        <v>6</v>
      </c>
      <c r="R2566" s="1" t="s">
        <v>19</v>
      </c>
      <c r="S2566" s="1" t="s">
        <v>20</v>
      </c>
      <c r="T2566" s="1" t="s">
        <v>21</v>
      </c>
      <c r="U2566" s="1" t="s">
        <v>22</v>
      </c>
      <c r="V2566" s="1" t="s">
        <v>23</v>
      </c>
      <c r="W2566" s="1" t="s">
        <v>24</v>
      </c>
      <c r="X2566" s="1">
        <v>2739</v>
      </c>
      <c r="Y2566" s="1" t="s">
        <v>24</v>
      </c>
      <c r="Z2566" s="1" t="s">
        <v>24</v>
      </c>
      <c r="AA2566" s="1" t="s">
        <v>24</v>
      </c>
      <c r="AB2566" s="1" t="s">
        <v>24</v>
      </c>
      <c r="AC2566" s="1" t="s">
        <v>24</v>
      </c>
      <c r="AD2566" s="1" t="s">
        <v>24</v>
      </c>
      <c r="AE2566" s="1" t="s">
        <v>24</v>
      </c>
      <c r="AF2566" s="22"/>
    </row>
    <row r="2567" spans="1:32" x14ac:dyDescent="0.2">
      <c r="A2567" s="1">
        <v>19226</v>
      </c>
      <c r="B2567" s="1" t="s">
        <v>8137</v>
      </c>
      <c r="C2567" s="5" t="s">
        <v>0</v>
      </c>
      <c r="D2567" s="1" t="s">
        <v>8138</v>
      </c>
      <c r="E2567" s="1" t="s">
        <v>8139</v>
      </c>
      <c r="F2567" s="1" t="s">
        <v>356</v>
      </c>
      <c r="G2567" s="1" t="s">
        <v>357</v>
      </c>
      <c r="H2567" s="1" t="s">
        <v>30</v>
      </c>
      <c r="I2567" s="1" t="s">
        <v>16</v>
      </c>
      <c r="J2567" s="1">
        <v>1</v>
      </c>
      <c r="K2567" s="1">
        <v>4</v>
      </c>
      <c r="L2567" s="1" t="s">
        <v>31</v>
      </c>
      <c r="M2567" s="1" t="s">
        <v>18</v>
      </c>
      <c r="N2567" s="1" t="s">
        <v>18</v>
      </c>
      <c r="O2567" s="1">
        <v>3</v>
      </c>
      <c r="P2567" s="1">
        <v>6</v>
      </c>
      <c r="R2567" s="1" t="s">
        <v>19</v>
      </c>
      <c r="S2567" s="1" t="s">
        <v>20</v>
      </c>
      <c r="T2567" s="1" t="s">
        <v>21</v>
      </c>
      <c r="U2567" s="1" t="s">
        <v>22</v>
      </c>
      <c r="V2567" s="1" t="s">
        <v>24</v>
      </c>
      <c r="W2567" s="1" t="s">
        <v>24</v>
      </c>
      <c r="X2567" s="1">
        <v>3207</v>
      </c>
      <c r="Y2567" s="1">
        <v>3312</v>
      </c>
      <c r="Z2567" s="1" t="s">
        <v>24</v>
      </c>
      <c r="AA2567" s="1" t="s">
        <v>24</v>
      </c>
      <c r="AB2567" s="1" t="s">
        <v>24</v>
      </c>
      <c r="AC2567" s="1" t="s">
        <v>24</v>
      </c>
      <c r="AD2567" s="1" t="s">
        <v>24</v>
      </c>
      <c r="AE2567" s="1" t="s">
        <v>24</v>
      </c>
      <c r="AF2567" s="22"/>
    </row>
    <row r="2568" spans="1:32" x14ac:dyDescent="0.2">
      <c r="A2568" s="1">
        <v>19227</v>
      </c>
      <c r="B2568" s="1" t="s">
        <v>8140</v>
      </c>
      <c r="C2568" s="5" t="s">
        <v>0</v>
      </c>
      <c r="D2568" s="1" t="s">
        <v>8141</v>
      </c>
      <c r="E2568" s="1" t="s">
        <v>8142</v>
      </c>
      <c r="F2568" s="1" t="s">
        <v>296</v>
      </c>
      <c r="G2568" s="1" t="s">
        <v>36</v>
      </c>
      <c r="H2568" s="1" t="s">
        <v>264</v>
      </c>
      <c r="I2568" s="1" t="s">
        <v>16</v>
      </c>
      <c r="J2568" s="1">
        <v>1</v>
      </c>
      <c r="K2568" s="1">
        <v>6</v>
      </c>
      <c r="L2568" s="1" t="s">
        <v>31</v>
      </c>
      <c r="M2568" s="1" t="s">
        <v>18</v>
      </c>
      <c r="N2568" s="1" t="s">
        <v>18</v>
      </c>
      <c r="O2568" s="1">
        <v>3</v>
      </c>
      <c r="P2568" s="1">
        <v>7</v>
      </c>
      <c r="Q2568" s="7" t="s">
        <v>17633</v>
      </c>
      <c r="R2568" s="1" t="s">
        <v>19</v>
      </c>
      <c r="S2568" s="1" t="s">
        <v>20</v>
      </c>
      <c r="T2568" s="1" t="s">
        <v>21</v>
      </c>
      <c r="U2568" s="1" t="s">
        <v>22</v>
      </c>
      <c r="V2568" s="1" t="s">
        <v>23</v>
      </c>
      <c r="W2568" s="1" t="s">
        <v>24</v>
      </c>
      <c r="X2568" s="1">
        <v>2735</v>
      </c>
      <c r="Y2568" s="1" t="s">
        <v>24</v>
      </c>
      <c r="Z2568" s="1" t="s">
        <v>24</v>
      </c>
      <c r="AA2568" s="1" t="s">
        <v>24</v>
      </c>
      <c r="AB2568" s="1" t="s">
        <v>24</v>
      </c>
      <c r="AC2568" s="1" t="s">
        <v>24</v>
      </c>
      <c r="AD2568" s="1" t="s">
        <v>24</v>
      </c>
      <c r="AE2568" s="1" t="s">
        <v>24</v>
      </c>
      <c r="AF2568" s="22"/>
    </row>
    <row r="2569" spans="1:32" x14ac:dyDescent="0.2">
      <c r="A2569" s="1">
        <v>19233</v>
      </c>
      <c r="B2569" s="1" t="s">
        <v>8143</v>
      </c>
      <c r="C2569" s="5" t="s">
        <v>0</v>
      </c>
      <c r="D2569" s="1" t="s">
        <v>8144</v>
      </c>
      <c r="E2569" s="1" t="s">
        <v>8145</v>
      </c>
      <c r="F2569" s="1" t="s">
        <v>751</v>
      </c>
      <c r="G2569" s="1" t="s">
        <v>36</v>
      </c>
      <c r="H2569" s="1" t="s">
        <v>37</v>
      </c>
      <c r="I2569" s="1" t="s">
        <v>16</v>
      </c>
      <c r="J2569" s="1">
        <v>1</v>
      </c>
      <c r="K2569" s="1">
        <v>8</v>
      </c>
      <c r="L2569" s="1" t="s">
        <v>31</v>
      </c>
      <c r="M2569" s="1" t="s">
        <v>18</v>
      </c>
      <c r="N2569" s="1" t="s">
        <v>18</v>
      </c>
      <c r="O2569" s="1">
        <v>3</v>
      </c>
      <c r="P2569" s="1">
        <v>7</v>
      </c>
      <c r="Q2569" s="7" t="s">
        <v>17633</v>
      </c>
      <c r="R2569" s="1" t="s">
        <v>19</v>
      </c>
      <c r="S2569" s="1" t="s">
        <v>20</v>
      </c>
      <c r="T2569" s="1" t="s">
        <v>21</v>
      </c>
      <c r="U2569" s="1" t="s">
        <v>22</v>
      </c>
      <c r="V2569" s="1" t="s">
        <v>24</v>
      </c>
      <c r="W2569" s="1" t="s">
        <v>24</v>
      </c>
      <c r="X2569" s="1">
        <v>1310</v>
      </c>
      <c r="Y2569" s="1">
        <v>2712</v>
      </c>
      <c r="Z2569" s="1">
        <v>2724</v>
      </c>
      <c r="AA2569" s="1" t="s">
        <v>24</v>
      </c>
      <c r="AB2569" s="1" t="s">
        <v>24</v>
      </c>
      <c r="AC2569" s="1" t="s">
        <v>24</v>
      </c>
      <c r="AD2569" s="1" t="s">
        <v>24</v>
      </c>
      <c r="AE2569" s="1" t="s">
        <v>24</v>
      </c>
      <c r="AF2569" s="22"/>
    </row>
    <row r="2570" spans="1:32" x14ac:dyDescent="0.2">
      <c r="A2570" s="1">
        <v>19237</v>
      </c>
      <c r="B2570" s="1" t="s">
        <v>8146</v>
      </c>
      <c r="C2570" s="5" t="s">
        <v>0</v>
      </c>
      <c r="D2570" s="1" t="s">
        <v>8147</v>
      </c>
      <c r="E2570" s="1" t="s">
        <v>8148</v>
      </c>
      <c r="F2570" s="1" t="s">
        <v>912</v>
      </c>
      <c r="G2570" s="1" t="s">
        <v>130</v>
      </c>
      <c r="H2570" s="1" t="s">
        <v>168</v>
      </c>
      <c r="I2570" s="1" t="s">
        <v>16</v>
      </c>
      <c r="J2570" s="1">
        <v>1</v>
      </c>
      <c r="K2570" s="1">
        <v>6</v>
      </c>
      <c r="L2570" s="1" t="s">
        <v>31</v>
      </c>
      <c r="M2570" s="1" t="s">
        <v>242</v>
      </c>
      <c r="N2570" s="1" t="s">
        <v>18</v>
      </c>
      <c r="O2570" s="1">
        <v>3</v>
      </c>
      <c r="P2570" s="1">
        <v>6</v>
      </c>
      <c r="R2570" s="1" t="s">
        <v>19</v>
      </c>
      <c r="S2570" s="1" t="s">
        <v>20</v>
      </c>
      <c r="T2570" s="1" t="s">
        <v>21</v>
      </c>
      <c r="U2570" s="1" t="s">
        <v>22</v>
      </c>
      <c r="V2570" s="1" t="s">
        <v>23</v>
      </c>
      <c r="W2570" s="1" t="s">
        <v>24</v>
      </c>
      <c r="X2570" s="1">
        <v>2701</v>
      </c>
      <c r="Y2570" s="1">
        <v>2916</v>
      </c>
      <c r="Z2570" s="1" t="s">
        <v>24</v>
      </c>
      <c r="AA2570" s="1" t="s">
        <v>24</v>
      </c>
      <c r="AB2570" s="1" t="s">
        <v>24</v>
      </c>
      <c r="AC2570" s="1" t="s">
        <v>24</v>
      </c>
      <c r="AD2570" s="1" t="s">
        <v>24</v>
      </c>
      <c r="AE2570" s="1" t="s">
        <v>24</v>
      </c>
      <c r="AF2570" s="22"/>
    </row>
    <row r="2571" spans="1:32" x14ac:dyDescent="0.2">
      <c r="A2571" s="1">
        <v>19239</v>
      </c>
      <c r="B2571" s="1" t="s">
        <v>8149</v>
      </c>
      <c r="C2571" s="5" t="s">
        <v>0</v>
      </c>
      <c r="D2571" s="1" t="s">
        <v>8150</v>
      </c>
      <c r="E2571" s="1" t="s">
        <v>8151</v>
      </c>
      <c r="F2571" s="1" t="s">
        <v>155</v>
      </c>
      <c r="G2571" s="1" t="s">
        <v>61</v>
      </c>
      <c r="H2571" s="1" t="s">
        <v>37</v>
      </c>
      <c r="I2571" s="1" t="s">
        <v>16</v>
      </c>
      <c r="J2571" s="1">
        <v>1</v>
      </c>
      <c r="K2571" s="1">
        <v>6</v>
      </c>
      <c r="L2571" s="1" t="s">
        <v>31</v>
      </c>
      <c r="M2571" s="1" t="s">
        <v>18</v>
      </c>
      <c r="N2571" s="1" t="s">
        <v>18</v>
      </c>
      <c r="O2571" s="1">
        <v>3</v>
      </c>
      <c r="P2571" s="1">
        <v>7</v>
      </c>
      <c r="Q2571" s="7" t="s">
        <v>17633</v>
      </c>
      <c r="R2571" s="1" t="s">
        <v>62</v>
      </c>
      <c r="S2571" s="1" t="s">
        <v>20</v>
      </c>
      <c r="T2571" s="1" t="s">
        <v>21</v>
      </c>
      <c r="U2571" s="1" t="s">
        <v>22</v>
      </c>
      <c r="V2571" s="1" t="s">
        <v>23</v>
      </c>
      <c r="W2571" s="1" t="s">
        <v>24</v>
      </c>
      <c r="X2571" s="1">
        <v>2719</v>
      </c>
      <c r="Y2571" s="1">
        <v>2739</v>
      </c>
      <c r="Z2571" s="1" t="s">
        <v>24</v>
      </c>
      <c r="AA2571" s="1" t="s">
        <v>24</v>
      </c>
      <c r="AB2571" s="1" t="s">
        <v>24</v>
      </c>
      <c r="AC2571" s="1" t="s">
        <v>24</v>
      </c>
      <c r="AD2571" s="1" t="s">
        <v>24</v>
      </c>
      <c r="AE2571" s="1" t="s">
        <v>24</v>
      </c>
      <c r="AF2571" s="22"/>
    </row>
    <row r="2572" spans="1:32" x14ac:dyDescent="0.2">
      <c r="A2572" s="1">
        <v>19240</v>
      </c>
      <c r="B2572" s="1" t="s">
        <v>8152</v>
      </c>
      <c r="C2572" s="5" t="s">
        <v>0</v>
      </c>
      <c r="D2572" s="1" t="s">
        <v>8153</v>
      </c>
      <c r="F2572" s="1" t="s">
        <v>241</v>
      </c>
      <c r="G2572" s="1" t="s">
        <v>241</v>
      </c>
      <c r="H2572" s="1" t="s">
        <v>168</v>
      </c>
      <c r="I2572" s="1" t="s">
        <v>16</v>
      </c>
      <c r="J2572" s="1">
        <v>1</v>
      </c>
      <c r="K2572" s="1">
        <v>4</v>
      </c>
      <c r="L2572" s="1" t="s">
        <v>17</v>
      </c>
      <c r="M2572" s="1" t="s">
        <v>413</v>
      </c>
      <c r="N2572" s="1" t="s">
        <v>679</v>
      </c>
      <c r="O2572" s="1">
        <v>3</v>
      </c>
      <c r="P2572" s="1">
        <v>5</v>
      </c>
      <c r="R2572" s="1" t="s">
        <v>19</v>
      </c>
      <c r="S2572" s="1" t="s">
        <v>20</v>
      </c>
      <c r="T2572" s="1" t="s">
        <v>21</v>
      </c>
      <c r="U2572" s="1" t="s">
        <v>22</v>
      </c>
      <c r="V2572" s="1" t="s">
        <v>23</v>
      </c>
      <c r="W2572" s="1" t="s">
        <v>24</v>
      </c>
      <c r="X2572" s="1">
        <v>2729</v>
      </c>
      <c r="Y2572" s="1">
        <v>2738</v>
      </c>
      <c r="Z2572" s="1" t="s">
        <v>24</v>
      </c>
      <c r="AA2572" s="1" t="s">
        <v>24</v>
      </c>
      <c r="AB2572" s="1" t="s">
        <v>24</v>
      </c>
      <c r="AC2572" s="1" t="s">
        <v>24</v>
      </c>
      <c r="AD2572" s="1" t="s">
        <v>24</v>
      </c>
      <c r="AE2572" s="1" t="s">
        <v>24</v>
      </c>
      <c r="AF2572" s="22"/>
    </row>
    <row r="2573" spans="1:32" x14ac:dyDescent="0.2">
      <c r="A2573" s="1">
        <v>19241</v>
      </c>
      <c r="B2573" s="1" t="s">
        <v>8154</v>
      </c>
      <c r="C2573" s="5" t="s">
        <v>0</v>
      </c>
      <c r="D2573" s="1" t="s">
        <v>8155</v>
      </c>
      <c r="E2573" s="1" t="s">
        <v>8156</v>
      </c>
      <c r="F2573" s="1" t="s">
        <v>241</v>
      </c>
      <c r="G2573" s="1" t="s">
        <v>61</v>
      </c>
      <c r="H2573" s="1" t="s">
        <v>168</v>
      </c>
      <c r="I2573" s="1" t="s">
        <v>16</v>
      </c>
      <c r="J2573" s="1">
        <v>1</v>
      </c>
      <c r="K2573" s="1">
        <v>10</v>
      </c>
      <c r="L2573" s="1" t="s">
        <v>31</v>
      </c>
      <c r="M2573" s="1" t="s">
        <v>18</v>
      </c>
      <c r="N2573" s="1" t="s">
        <v>18</v>
      </c>
      <c r="O2573" s="1">
        <v>3</v>
      </c>
      <c r="P2573" s="1">
        <v>7</v>
      </c>
      <c r="Q2573" s="7" t="s">
        <v>17633</v>
      </c>
      <c r="R2573" s="1" t="s">
        <v>19</v>
      </c>
      <c r="S2573" s="1" t="s">
        <v>20</v>
      </c>
      <c r="T2573" s="1" t="s">
        <v>21</v>
      </c>
      <c r="U2573" s="1" t="s">
        <v>22</v>
      </c>
      <c r="V2573" s="1" t="s">
        <v>23</v>
      </c>
      <c r="W2573" s="1" t="s">
        <v>64</v>
      </c>
      <c r="X2573" s="1">
        <v>3002</v>
      </c>
      <c r="Y2573" s="1">
        <v>3004</v>
      </c>
      <c r="Z2573" s="1">
        <v>3003</v>
      </c>
      <c r="AA2573" s="1">
        <v>2707</v>
      </c>
      <c r="AB2573" s="1">
        <v>1313</v>
      </c>
      <c r="AC2573" s="1" t="s">
        <v>24</v>
      </c>
      <c r="AD2573" s="1" t="s">
        <v>24</v>
      </c>
      <c r="AE2573" s="1" t="s">
        <v>24</v>
      </c>
      <c r="AF2573" s="22"/>
    </row>
    <row r="2574" spans="1:32" x14ac:dyDescent="0.2">
      <c r="A2574" s="1">
        <v>19260</v>
      </c>
      <c r="B2574" s="1" t="s">
        <v>8157</v>
      </c>
      <c r="C2574" s="5" t="s">
        <v>0</v>
      </c>
      <c r="D2574" s="1" t="s">
        <v>8158</v>
      </c>
      <c r="E2574" s="1" t="s">
        <v>8159</v>
      </c>
      <c r="F2574" s="1" t="s">
        <v>320</v>
      </c>
      <c r="G2574" s="1" t="s">
        <v>36</v>
      </c>
      <c r="H2574" s="1" t="s">
        <v>30</v>
      </c>
      <c r="I2574" s="1" t="s">
        <v>16</v>
      </c>
      <c r="J2574" s="1">
        <v>2</v>
      </c>
      <c r="K2574" s="1">
        <v>7</v>
      </c>
      <c r="L2574" s="1" t="s">
        <v>31</v>
      </c>
      <c r="M2574" s="1" t="s">
        <v>18</v>
      </c>
      <c r="N2574" s="1" t="s">
        <v>18</v>
      </c>
      <c r="O2574" s="1">
        <v>3</v>
      </c>
      <c r="P2574" s="1">
        <v>6</v>
      </c>
      <c r="R2574" s="1" t="s">
        <v>19</v>
      </c>
      <c r="S2574" s="1" t="s">
        <v>20</v>
      </c>
      <c r="T2574" s="1" t="s">
        <v>21</v>
      </c>
      <c r="U2574" s="1" t="s">
        <v>22</v>
      </c>
      <c r="V2574" s="1" t="s">
        <v>24</v>
      </c>
      <c r="W2574" s="1" t="s">
        <v>24</v>
      </c>
      <c r="X2574" s="1">
        <v>2705</v>
      </c>
      <c r="Y2574" s="1">
        <v>2741</v>
      </c>
      <c r="Z2574" s="1" t="s">
        <v>24</v>
      </c>
      <c r="AA2574" s="1" t="s">
        <v>24</v>
      </c>
      <c r="AB2574" s="1" t="s">
        <v>24</v>
      </c>
      <c r="AC2574" s="1" t="s">
        <v>24</v>
      </c>
      <c r="AD2574" s="1" t="s">
        <v>24</v>
      </c>
      <c r="AE2574" s="1" t="s">
        <v>24</v>
      </c>
      <c r="AF2574" s="22"/>
    </row>
    <row r="2575" spans="1:32" x14ac:dyDescent="0.2">
      <c r="A2575" s="1">
        <v>19266</v>
      </c>
      <c r="B2575" s="1" t="s">
        <v>8160</v>
      </c>
      <c r="C2575" s="5" t="s">
        <v>0</v>
      </c>
      <c r="D2575" s="1" t="s">
        <v>8161</v>
      </c>
      <c r="E2575" s="1" t="s">
        <v>8162</v>
      </c>
      <c r="F2575" s="1" t="s">
        <v>948</v>
      </c>
      <c r="G2575" s="1" t="s">
        <v>948</v>
      </c>
      <c r="H2575" s="1" t="s">
        <v>86</v>
      </c>
      <c r="I2575" s="1" t="s">
        <v>16</v>
      </c>
      <c r="J2575" s="1">
        <v>1</v>
      </c>
      <c r="K2575" s="1">
        <v>4</v>
      </c>
      <c r="L2575" s="1" t="s">
        <v>42</v>
      </c>
      <c r="M2575" s="1" t="s">
        <v>18</v>
      </c>
      <c r="N2575" s="1" t="s">
        <v>18</v>
      </c>
      <c r="O2575" s="1">
        <v>3</v>
      </c>
      <c r="P2575" s="1">
        <v>7</v>
      </c>
      <c r="Q2575" s="7" t="s">
        <v>17633</v>
      </c>
      <c r="R2575" s="1" t="s">
        <v>19</v>
      </c>
      <c r="S2575" s="1" t="s">
        <v>20</v>
      </c>
      <c r="T2575" s="1" t="s">
        <v>21</v>
      </c>
      <c r="U2575" s="1" t="s">
        <v>22</v>
      </c>
      <c r="V2575" s="1" t="s">
        <v>24</v>
      </c>
      <c r="W2575" s="1" t="s">
        <v>24</v>
      </c>
      <c r="X2575" s="1">
        <v>2728</v>
      </c>
      <c r="Y2575" s="1">
        <v>2808</v>
      </c>
      <c r="Z2575" s="1" t="s">
        <v>24</v>
      </c>
      <c r="AA2575" s="1" t="s">
        <v>24</v>
      </c>
      <c r="AB2575" s="1" t="s">
        <v>24</v>
      </c>
      <c r="AC2575" s="1" t="s">
        <v>24</v>
      </c>
      <c r="AD2575" s="1" t="s">
        <v>24</v>
      </c>
      <c r="AE2575" s="1" t="s">
        <v>24</v>
      </c>
      <c r="AF2575" s="22"/>
    </row>
    <row r="2576" spans="1:32" x14ac:dyDescent="0.2">
      <c r="A2576" s="1">
        <v>19267</v>
      </c>
      <c r="B2576" s="1" t="s">
        <v>8163</v>
      </c>
      <c r="C2576" s="5" t="s">
        <v>0</v>
      </c>
      <c r="D2576" s="1" t="s">
        <v>8164</v>
      </c>
      <c r="E2576" s="1" t="s">
        <v>8165</v>
      </c>
      <c r="F2576" s="1" t="s">
        <v>315</v>
      </c>
      <c r="G2576" s="1" t="s">
        <v>316</v>
      </c>
      <c r="H2576" s="1" t="s">
        <v>37</v>
      </c>
      <c r="I2576" s="1" t="s">
        <v>16</v>
      </c>
      <c r="J2576" s="1">
        <v>1</v>
      </c>
      <c r="K2576" s="1">
        <v>12</v>
      </c>
      <c r="L2576" s="1" t="s">
        <v>31</v>
      </c>
      <c r="M2576" s="1" t="s">
        <v>18</v>
      </c>
      <c r="N2576" s="1" t="s">
        <v>18</v>
      </c>
      <c r="O2576" s="1">
        <v>3</v>
      </c>
      <c r="P2576" s="1">
        <v>9</v>
      </c>
      <c r="Q2576" s="7" t="s">
        <v>17633</v>
      </c>
      <c r="R2576" s="1" t="s">
        <v>62</v>
      </c>
      <c r="S2576" s="1" t="s">
        <v>20</v>
      </c>
      <c r="T2576" s="1" t="s">
        <v>21</v>
      </c>
      <c r="U2576" s="1" t="s">
        <v>22</v>
      </c>
      <c r="V2576" s="1" t="s">
        <v>24</v>
      </c>
      <c r="W2576" s="1" t="s">
        <v>24</v>
      </c>
      <c r="X2576" s="1">
        <v>1307</v>
      </c>
      <c r="Y2576" s="1" t="s">
        <v>24</v>
      </c>
      <c r="Z2576" s="1" t="s">
        <v>24</v>
      </c>
      <c r="AA2576" s="1" t="s">
        <v>24</v>
      </c>
      <c r="AB2576" s="1" t="s">
        <v>24</v>
      </c>
      <c r="AC2576" s="1" t="s">
        <v>24</v>
      </c>
      <c r="AD2576" s="1" t="s">
        <v>24</v>
      </c>
      <c r="AE2576" s="1" t="s">
        <v>24</v>
      </c>
      <c r="AF2576" s="22"/>
    </row>
    <row r="2577" spans="1:32" x14ac:dyDescent="0.2">
      <c r="A2577" s="1">
        <v>19268</v>
      </c>
      <c r="B2577" s="1" t="s">
        <v>8166</v>
      </c>
      <c r="C2577" s="5" t="s">
        <v>0</v>
      </c>
      <c r="D2577" s="1" t="s">
        <v>8167</v>
      </c>
      <c r="E2577" s="1" t="s">
        <v>8168</v>
      </c>
      <c r="F2577" s="1" t="s">
        <v>35</v>
      </c>
      <c r="G2577" s="1" t="s">
        <v>36</v>
      </c>
      <c r="H2577" s="1" t="s">
        <v>37</v>
      </c>
      <c r="I2577" s="1" t="s">
        <v>16</v>
      </c>
      <c r="J2577" s="1">
        <v>1</v>
      </c>
      <c r="K2577" s="1">
        <v>12</v>
      </c>
      <c r="L2577" s="1" t="s">
        <v>31</v>
      </c>
      <c r="M2577" s="1" t="s">
        <v>18</v>
      </c>
      <c r="N2577" s="1" t="s">
        <v>18</v>
      </c>
      <c r="O2577" s="1">
        <v>3</v>
      </c>
      <c r="P2577" s="1">
        <v>6</v>
      </c>
      <c r="R2577" s="1" t="s">
        <v>19</v>
      </c>
      <c r="S2577" s="1" t="s">
        <v>20</v>
      </c>
      <c r="T2577" s="1" t="s">
        <v>21</v>
      </c>
      <c r="U2577" s="1" t="s">
        <v>22</v>
      </c>
      <c r="V2577" s="1" t="s">
        <v>24</v>
      </c>
      <c r="W2577" s="1" t="s">
        <v>24</v>
      </c>
      <c r="X2577" s="1">
        <v>2724</v>
      </c>
      <c r="Y2577" s="1">
        <v>1310</v>
      </c>
      <c r="Z2577" s="1">
        <v>2712</v>
      </c>
      <c r="AA2577" s="1" t="s">
        <v>24</v>
      </c>
      <c r="AB2577" s="1" t="s">
        <v>24</v>
      </c>
      <c r="AC2577" s="1" t="s">
        <v>24</v>
      </c>
      <c r="AD2577" s="1" t="s">
        <v>24</v>
      </c>
      <c r="AE2577" s="1" t="s">
        <v>24</v>
      </c>
      <c r="AF2577" s="22"/>
    </row>
    <row r="2578" spans="1:32" x14ac:dyDescent="0.2">
      <c r="A2578" s="1">
        <v>19269</v>
      </c>
      <c r="B2578" s="1" t="s">
        <v>8169</v>
      </c>
      <c r="C2578" s="5" t="s">
        <v>0</v>
      </c>
      <c r="D2578" s="1" t="s">
        <v>8170</v>
      </c>
      <c r="E2578" s="1" t="s">
        <v>8171</v>
      </c>
      <c r="F2578" s="1" t="s">
        <v>8172</v>
      </c>
      <c r="G2578" s="1" t="s">
        <v>8172</v>
      </c>
      <c r="H2578" s="1" t="s">
        <v>30</v>
      </c>
      <c r="I2578" s="1" t="s">
        <v>16</v>
      </c>
      <c r="J2578" s="1">
        <v>1</v>
      </c>
      <c r="K2578" s="1">
        <v>12</v>
      </c>
      <c r="L2578" s="1" t="s">
        <v>42</v>
      </c>
      <c r="M2578" s="1" t="s">
        <v>18</v>
      </c>
      <c r="N2578" s="1" t="s">
        <v>18</v>
      </c>
      <c r="O2578" s="1">
        <v>3</v>
      </c>
      <c r="P2578" s="1">
        <v>7</v>
      </c>
      <c r="Q2578" s="7" t="s">
        <v>17633</v>
      </c>
      <c r="R2578" s="1" t="s">
        <v>62</v>
      </c>
      <c r="S2578" s="1" t="s">
        <v>20</v>
      </c>
      <c r="T2578" s="1" t="s">
        <v>21</v>
      </c>
      <c r="U2578" s="1" t="s">
        <v>22</v>
      </c>
      <c r="V2578" s="1" t="s">
        <v>24</v>
      </c>
      <c r="W2578" s="1" t="s">
        <v>24</v>
      </c>
      <c r="X2578" s="1">
        <v>1306</v>
      </c>
      <c r="Y2578" s="1" t="s">
        <v>24</v>
      </c>
      <c r="Z2578" s="1" t="s">
        <v>24</v>
      </c>
      <c r="AA2578" s="1" t="s">
        <v>24</v>
      </c>
      <c r="AB2578" s="1" t="s">
        <v>24</v>
      </c>
      <c r="AC2578" s="1" t="s">
        <v>24</v>
      </c>
      <c r="AD2578" s="1" t="s">
        <v>24</v>
      </c>
      <c r="AE2578" s="1" t="s">
        <v>24</v>
      </c>
      <c r="AF2578" s="22"/>
    </row>
    <row r="2579" spans="1:32" x14ac:dyDescent="0.2">
      <c r="A2579" s="1">
        <v>19271</v>
      </c>
      <c r="B2579" s="1" t="s">
        <v>8173</v>
      </c>
      <c r="C2579" s="5" t="s">
        <v>0</v>
      </c>
      <c r="D2579" s="1" t="s">
        <v>8174</v>
      </c>
      <c r="E2579" s="1" t="s">
        <v>8175</v>
      </c>
      <c r="F2579" s="1" t="s">
        <v>303</v>
      </c>
      <c r="G2579" s="1" t="s">
        <v>61</v>
      </c>
      <c r="H2579" s="1" t="s">
        <v>30</v>
      </c>
      <c r="I2579" s="1" t="s">
        <v>16</v>
      </c>
      <c r="J2579" s="1">
        <v>1</v>
      </c>
      <c r="K2579" s="1">
        <v>4</v>
      </c>
      <c r="L2579" s="1" t="s">
        <v>31</v>
      </c>
      <c r="M2579" s="1" t="s">
        <v>18</v>
      </c>
      <c r="N2579" s="1" t="s">
        <v>18</v>
      </c>
      <c r="O2579" s="1">
        <v>3</v>
      </c>
      <c r="P2579" s="1">
        <v>6</v>
      </c>
      <c r="R2579" s="1" t="s">
        <v>19</v>
      </c>
      <c r="S2579" s="1" t="s">
        <v>20</v>
      </c>
      <c r="T2579" s="1" t="s">
        <v>21</v>
      </c>
      <c r="U2579" s="1" t="s">
        <v>22</v>
      </c>
      <c r="V2579" s="1" t="s">
        <v>23</v>
      </c>
      <c r="W2579" s="1" t="s">
        <v>24</v>
      </c>
      <c r="X2579" s="1">
        <v>2741</v>
      </c>
      <c r="Y2579" s="1">
        <v>2705</v>
      </c>
      <c r="Z2579" s="1" t="s">
        <v>24</v>
      </c>
      <c r="AA2579" s="1" t="s">
        <v>24</v>
      </c>
      <c r="AB2579" s="1" t="s">
        <v>24</v>
      </c>
      <c r="AC2579" s="1" t="s">
        <v>24</v>
      </c>
      <c r="AD2579" s="1" t="s">
        <v>24</v>
      </c>
      <c r="AE2579" s="1" t="s">
        <v>24</v>
      </c>
      <c r="AF2579" s="22"/>
    </row>
    <row r="2580" spans="1:32" x14ac:dyDescent="0.2">
      <c r="A2580" s="1">
        <v>19272</v>
      </c>
      <c r="B2580" s="1" t="s">
        <v>8176</v>
      </c>
      <c r="C2580" s="5" t="s">
        <v>0</v>
      </c>
      <c r="D2580" s="1" t="s">
        <v>8177</v>
      </c>
      <c r="E2580" s="1" t="s">
        <v>8178</v>
      </c>
      <c r="F2580" s="1" t="s">
        <v>303</v>
      </c>
      <c r="G2580" s="1" t="s">
        <v>61</v>
      </c>
      <c r="H2580" s="1" t="s">
        <v>30</v>
      </c>
      <c r="I2580" s="1" t="s">
        <v>16</v>
      </c>
      <c r="J2580" s="1">
        <v>1</v>
      </c>
      <c r="K2580" s="1">
        <v>6</v>
      </c>
      <c r="L2580" s="1" t="s">
        <v>31</v>
      </c>
      <c r="M2580" s="1" t="s">
        <v>18</v>
      </c>
      <c r="N2580" s="1" t="s">
        <v>18</v>
      </c>
      <c r="O2580" s="1">
        <v>3</v>
      </c>
      <c r="P2580" s="1">
        <v>7</v>
      </c>
      <c r="Q2580" s="7" t="s">
        <v>17633</v>
      </c>
      <c r="R2580" s="1" t="s">
        <v>19</v>
      </c>
      <c r="S2580" s="1" t="s">
        <v>20</v>
      </c>
      <c r="T2580" s="1" t="s">
        <v>21</v>
      </c>
      <c r="U2580" s="1" t="s">
        <v>22</v>
      </c>
      <c r="V2580" s="1" t="s">
        <v>23</v>
      </c>
      <c r="W2580" s="1" t="s">
        <v>24</v>
      </c>
      <c r="X2580" s="1">
        <v>2728</v>
      </c>
      <c r="Y2580" s="1">
        <v>2746</v>
      </c>
      <c r="Z2580" s="1">
        <v>2742</v>
      </c>
      <c r="AA2580" s="1">
        <v>2705</v>
      </c>
      <c r="AB2580" s="1" t="s">
        <v>24</v>
      </c>
      <c r="AC2580" s="1" t="s">
        <v>24</v>
      </c>
      <c r="AD2580" s="1" t="s">
        <v>24</v>
      </c>
      <c r="AE2580" s="1" t="s">
        <v>24</v>
      </c>
      <c r="AF2580" s="22"/>
    </row>
    <row r="2581" spans="1:32" x14ac:dyDescent="0.2">
      <c r="A2581" s="1">
        <v>19281</v>
      </c>
      <c r="B2581" s="1" t="s">
        <v>8179</v>
      </c>
      <c r="C2581" s="5" t="s">
        <v>0</v>
      </c>
      <c r="D2581" s="1" t="s">
        <v>8180</v>
      </c>
      <c r="E2581" s="1" t="s">
        <v>8181</v>
      </c>
      <c r="F2581" s="1" t="s">
        <v>8182</v>
      </c>
      <c r="G2581" s="1" t="s">
        <v>7846</v>
      </c>
      <c r="H2581" s="1" t="s">
        <v>30</v>
      </c>
      <c r="I2581" s="1" t="s">
        <v>16</v>
      </c>
      <c r="J2581" s="1">
        <v>1</v>
      </c>
      <c r="K2581" s="1">
        <v>12</v>
      </c>
      <c r="L2581" s="1" t="s">
        <v>31</v>
      </c>
      <c r="M2581" s="1" t="s">
        <v>18</v>
      </c>
      <c r="N2581" s="1" t="s">
        <v>18</v>
      </c>
      <c r="O2581" s="1">
        <v>3</v>
      </c>
      <c r="P2581" s="1">
        <v>6</v>
      </c>
      <c r="R2581" s="1" t="s">
        <v>19</v>
      </c>
      <c r="S2581" s="1" t="s">
        <v>20</v>
      </c>
      <c r="T2581" s="1" t="s">
        <v>21</v>
      </c>
      <c r="U2581" s="1" t="s">
        <v>22</v>
      </c>
      <c r="V2581" s="1" t="s">
        <v>23</v>
      </c>
      <c r="W2581" s="1" t="s">
        <v>24</v>
      </c>
      <c r="X2581" s="1">
        <v>2705</v>
      </c>
      <c r="Y2581" s="1">
        <v>2741</v>
      </c>
      <c r="Z2581" s="1" t="s">
        <v>24</v>
      </c>
      <c r="AA2581" s="1" t="s">
        <v>24</v>
      </c>
      <c r="AB2581" s="1" t="s">
        <v>24</v>
      </c>
      <c r="AC2581" s="1" t="s">
        <v>24</v>
      </c>
      <c r="AD2581" s="1" t="s">
        <v>24</v>
      </c>
      <c r="AE2581" s="1" t="s">
        <v>24</v>
      </c>
      <c r="AF2581" s="22"/>
    </row>
    <row r="2582" spans="1:32" x14ac:dyDescent="0.2">
      <c r="A2582" s="1">
        <v>19284</v>
      </c>
      <c r="B2582" s="1" t="s">
        <v>8183</v>
      </c>
      <c r="C2582" s="5" t="s">
        <v>0</v>
      </c>
      <c r="D2582" s="1" t="s">
        <v>8184</v>
      </c>
      <c r="F2582" s="1" t="s">
        <v>8185</v>
      </c>
      <c r="G2582" s="1" t="s">
        <v>8185</v>
      </c>
      <c r="H2582" s="1" t="s">
        <v>30</v>
      </c>
      <c r="I2582" s="1" t="s">
        <v>16</v>
      </c>
      <c r="J2582" s="1">
        <v>0</v>
      </c>
      <c r="K2582" s="1">
        <v>0</v>
      </c>
      <c r="L2582" s="1" t="s">
        <v>42</v>
      </c>
      <c r="M2582" s="1" t="s">
        <v>18</v>
      </c>
      <c r="N2582" s="1" t="s">
        <v>18</v>
      </c>
      <c r="O2582" s="1">
        <v>3</v>
      </c>
      <c r="P2582" s="1">
        <v>6</v>
      </c>
      <c r="R2582" s="1" t="s">
        <v>19</v>
      </c>
      <c r="S2582" s="1" t="s">
        <v>20</v>
      </c>
      <c r="T2582" s="1" t="s">
        <v>21</v>
      </c>
      <c r="U2582" s="1" t="s">
        <v>22</v>
      </c>
      <c r="V2582" s="1" t="s">
        <v>23</v>
      </c>
      <c r="W2582" s="1" t="s">
        <v>24</v>
      </c>
      <c r="X2582" s="1">
        <v>2738</v>
      </c>
      <c r="Y2582" s="1" t="s">
        <v>24</v>
      </c>
      <c r="Z2582" s="1" t="s">
        <v>24</v>
      </c>
      <c r="AA2582" s="1" t="s">
        <v>24</v>
      </c>
      <c r="AB2582" s="1" t="s">
        <v>24</v>
      </c>
      <c r="AC2582" s="1" t="s">
        <v>24</v>
      </c>
      <c r="AD2582" s="1" t="s">
        <v>24</v>
      </c>
      <c r="AE2582" s="1" t="s">
        <v>24</v>
      </c>
      <c r="AF2582" s="22"/>
    </row>
    <row r="2583" spans="1:32" x14ac:dyDescent="0.2">
      <c r="A2583" s="1">
        <v>19289</v>
      </c>
      <c r="B2583" s="1" t="s">
        <v>8186</v>
      </c>
      <c r="C2583" s="5" t="s">
        <v>0</v>
      </c>
      <c r="D2583" s="1" t="s">
        <v>8187</v>
      </c>
      <c r="E2583" s="1" t="s">
        <v>8188</v>
      </c>
      <c r="F2583" s="1" t="s">
        <v>272</v>
      </c>
      <c r="G2583" s="1" t="s">
        <v>61</v>
      </c>
      <c r="H2583" s="1" t="s">
        <v>30</v>
      </c>
      <c r="I2583" s="1" t="s">
        <v>16</v>
      </c>
      <c r="J2583" s="1">
        <v>1</v>
      </c>
      <c r="K2583" s="1">
        <v>4</v>
      </c>
      <c r="L2583" s="1" t="s">
        <v>31</v>
      </c>
      <c r="M2583" s="1" t="s">
        <v>18</v>
      </c>
      <c r="N2583" s="1" t="s">
        <v>18</v>
      </c>
      <c r="O2583" s="1">
        <v>3</v>
      </c>
      <c r="P2583" s="1">
        <v>7</v>
      </c>
      <c r="Q2583" s="7" t="s">
        <v>17633</v>
      </c>
      <c r="R2583" s="1" t="s">
        <v>19</v>
      </c>
      <c r="S2583" s="1" t="s">
        <v>20</v>
      </c>
      <c r="T2583" s="1" t="s">
        <v>21</v>
      </c>
      <c r="U2583" s="1" t="s">
        <v>22</v>
      </c>
      <c r="V2583" s="1" t="s">
        <v>24</v>
      </c>
      <c r="W2583" s="1" t="s">
        <v>24</v>
      </c>
      <c r="X2583" s="1">
        <v>2741</v>
      </c>
      <c r="Y2583" s="1">
        <v>2732</v>
      </c>
      <c r="Z2583" s="1">
        <v>2712</v>
      </c>
      <c r="AA2583" s="1" t="s">
        <v>24</v>
      </c>
      <c r="AB2583" s="1" t="s">
        <v>24</v>
      </c>
      <c r="AC2583" s="1" t="s">
        <v>24</v>
      </c>
      <c r="AD2583" s="1" t="s">
        <v>24</v>
      </c>
      <c r="AE2583" s="1" t="s">
        <v>24</v>
      </c>
      <c r="AF2583" s="22"/>
    </row>
    <row r="2584" spans="1:32" x14ac:dyDescent="0.2">
      <c r="A2584" s="1">
        <v>19296</v>
      </c>
      <c r="B2584" s="1" t="s">
        <v>8189</v>
      </c>
      <c r="C2584" s="5" t="s">
        <v>0</v>
      </c>
      <c r="D2584" s="1" t="s">
        <v>8190</v>
      </c>
      <c r="E2584" s="1" t="s">
        <v>8191</v>
      </c>
      <c r="F2584" s="1" t="s">
        <v>689</v>
      </c>
      <c r="G2584" s="1" t="s">
        <v>311</v>
      </c>
      <c r="H2584" s="1" t="s">
        <v>37</v>
      </c>
      <c r="I2584" s="1" t="s">
        <v>16</v>
      </c>
      <c r="J2584" s="1">
        <v>1</v>
      </c>
      <c r="K2584" s="1">
        <v>4</v>
      </c>
      <c r="L2584" s="1" t="s">
        <v>31</v>
      </c>
      <c r="M2584" s="1" t="s">
        <v>18</v>
      </c>
      <c r="N2584" s="1" t="s">
        <v>18</v>
      </c>
      <c r="O2584" s="1">
        <v>3</v>
      </c>
      <c r="P2584" s="1">
        <v>7</v>
      </c>
      <c r="Q2584" s="7" t="s">
        <v>17633</v>
      </c>
      <c r="R2584" s="1" t="s">
        <v>19</v>
      </c>
      <c r="S2584" s="1" t="s">
        <v>20</v>
      </c>
      <c r="T2584" s="1" t="s">
        <v>21</v>
      </c>
      <c r="U2584" s="1" t="s">
        <v>22</v>
      </c>
      <c r="V2584" s="1" t="s">
        <v>24</v>
      </c>
      <c r="W2584" s="1" t="s">
        <v>24</v>
      </c>
      <c r="X2584" s="1">
        <v>2719</v>
      </c>
      <c r="Y2584" s="1">
        <v>2910</v>
      </c>
      <c r="Z2584" s="1">
        <v>3306</v>
      </c>
      <c r="AA2584" s="1">
        <v>1311</v>
      </c>
      <c r="AB2584" s="1" t="s">
        <v>24</v>
      </c>
      <c r="AC2584" s="1" t="s">
        <v>24</v>
      </c>
      <c r="AD2584" s="1" t="s">
        <v>24</v>
      </c>
      <c r="AE2584" s="1" t="s">
        <v>24</v>
      </c>
      <c r="AF2584" s="22"/>
    </row>
    <row r="2585" spans="1:32" x14ac:dyDescent="0.2">
      <c r="A2585" s="1">
        <v>19297</v>
      </c>
      <c r="B2585" s="1" t="s">
        <v>8192</v>
      </c>
      <c r="C2585" s="5" t="s">
        <v>0</v>
      </c>
      <c r="D2585" s="1" t="s">
        <v>8193</v>
      </c>
      <c r="E2585" s="1" t="s">
        <v>8194</v>
      </c>
      <c r="F2585" s="1" t="s">
        <v>291</v>
      </c>
      <c r="G2585" s="1" t="s">
        <v>292</v>
      </c>
      <c r="H2585" s="1" t="s">
        <v>37</v>
      </c>
      <c r="I2585" s="1" t="s">
        <v>16</v>
      </c>
      <c r="J2585" s="1">
        <v>1</v>
      </c>
      <c r="K2585" s="1">
        <v>6</v>
      </c>
      <c r="L2585" s="1" t="s">
        <v>31</v>
      </c>
      <c r="M2585" s="1" t="s">
        <v>18</v>
      </c>
      <c r="N2585" s="1" t="s">
        <v>18</v>
      </c>
      <c r="O2585" s="1">
        <v>3</v>
      </c>
      <c r="P2585" s="1">
        <v>7</v>
      </c>
      <c r="Q2585" s="7" t="s">
        <v>17633</v>
      </c>
      <c r="R2585" s="1" t="s">
        <v>19</v>
      </c>
      <c r="S2585" s="1" t="s">
        <v>20</v>
      </c>
      <c r="T2585" s="1" t="s">
        <v>21</v>
      </c>
      <c r="U2585" s="1" t="s">
        <v>22</v>
      </c>
      <c r="V2585" s="1" t="s">
        <v>23</v>
      </c>
      <c r="W2585" s="1" t="s">
        <v>24</v>
      </c>
      <c r="X2585" s="1">
        <v>2701</v>
      </c>
      <c r="Y2585" s="1">
        <v>3306</v>
      </c>
      <c r="Z2585" s="1" t="s">
        <v>24</v>
      </c>
      <c r="AA2585" s="1" t="s">
        <v>24</v>
      </c>
      <c r="AB2585" s="1" t="s">
        <v>24</v>
      </c>
      <c r="AC2585" s="1" t="s">
        <v>24</v>
      </c>
      <c r="AD2585" s="1" t="s">
        <v>24</v>
      </c>
      <c r="AE2585" s="1" t="s">
        <v>24</v>
      </c>
      <c r="AF2585" s="22"/>
    </row>
    <row r="2586" spans="1:32" x14ac:dyDescent="0.2">
      <c r="A2586" s="1">
        <v>19299</v>
      </c>
      <c r="B2586" s="1" t="s">
        <v>8195</v>
      </c>
      <c r="C2586" s="5" t="s">
        <v>0</v>
      </c>
      <c r="D2586" s="1" t="s">
        <v>8196</v>
      </c>
      <c r="E2586" s="1" t="s">
        <v>8197</v>
      </c>
      <c r="F2586" s="1" t="s">
        <v>129</v>
      </c>
      <c r="G2586" s="1" t="s">
        <v>130</v>
      </c>
      <c r="H2586" s="1" t="s">
        <v>131</v>
      </c>
      <c r="I2586" s="1" t="s">
        <v>16</v>
      </c>
      <c r="J2586" s="1">
        <v>1</v>
      </c>
      <c r="K2586" s="1">
        <v>6</v>
      </c>
      <c r="L2586" s="1" t="s">
        <v>31</v>
      </c>
      <c r="M2586" s="1" t="s">
        <v>18</v>
      </c>
      <c r="N2586" s="1" t="s">
        <v>18</v>
      </c>
      <c r="O2586" s="1">
        <v>3</v>
      </c>
      <c r="P2586" s="1">
        <v>7</v>
      </c>
      <c r="Q2586" s="7" t="s">
        <v>17633</v>
      </c>
      <c r="R2586" s="1" t="s">
        <v>19</v>
      </c>
      <c r="S2586" s="1" t="s">
        <v>20</v>
      </c>
      <c r="T2586" s="1" t="s">
        <v>21</v>
      </c>
      <c r="U2586" s="1" t="s">
        <v>22</v>
      </c>
      <c r="V2586" s="1" t="s">
        <v>23</v>
      </c>
      <c r="W2586" s="1" t="s">
        <v>24</v>
      </c>
      <c r="X2586" s="1">
        <v>2738</v>
      </c>
      <c r="Y2586" s="1">
        <v>2729</v>
      </c>
      <c r="Z2586" s="1" t="s">
        <v>24</v>
      </c>
      <c r="AA2586" s="1" t="s">
        <v>24</v>
      </c>
      <c r="AB2586" s="1" t="s">
        <v>24</v>
      </c>
      <c r="AC2586" s="1" t="s">
        <v>24</v>
      </c>
      <c r="AD2586" s="1" t="s">
        <v>24</v>
      </c>
      <c r="AE2586" s="1" t="s">
        <v>24</v>
      </c>
      <c r="AF2586" s="22"/>
    </row>
    <row r="2587" spans="1:32" x14ac:dyDescent="0.2">
      <c r="A2587" s="1">
        <v>19300</v>
      </c>
      <c r="B2587" s="1" t="s">
        <v>8198</v>
      </c>
      <c r="C2587" s="5" t="s">
        <v>0</v>
      </c>
      <c r="D2587" s="1" t="s">
        <v>8199</v>
      </c>
      <c r="E2587" s="1" t="s">
        <v>8200</v>
      </c>
      <c r="F2587" s="1" t="s">
        <v>291</v>
      </c>
      <c r="G2587" s="1" t="s">
        <v>292</v>
      </c>
      <c r="H2587" s="1" t="s">
        <v>37</v>
      </c>
      <c r="I2587" s="1" t="s">
        <v>16</v>
      </c>
      <c r="J2587" s="1">
        <v>1</v>
      </c>
      <c r="K2587" s="1">
        <v>4</v>
      </c>
      <c r="L2587" s="1" t="s">
        <v>31</v>
      </c>
      <c r="M2587" s="1" t="s">
        <v>18</v>
      </c>
      <c r="N2587" s="1" t="s">
        <v>18</v>
      </c>
      <c r="O2587" s="1">
        <v>3</v>
      </c>
      <c r="P2587" s="1">
        <v>6</v>
      </c>
      <c r="R2587" s="1" t="s">
        <v>19</v>
      </c>
      <c r="S2587" s="1" t="s">
        <v>20</v>
      </c>
      <c r="T2587" s="1" t="s">
        <v>21</v>
      </c>
      <c r="U2587" s="1" t="s">
        <v>22</v>
      </c>
      <c r="V2587" s="1" t="s">
        <v>23</v>
      </c>
      <c r="W2587" s="1" t="s">
        <v>24</v>
      </c>
      <c r="X2587" s="1">
        <v>2714</v>
      </c>
      <c r="Y2587" s="1" t="s">
        <v>24</v>
      </c>
      <c r="Z2587" s="1" t="s">
        <v>24</v>
      </c>
      <c r="AA2587" s="1" t="s">
        <v>24</v>
      </c>
      <c r="AB2587" s="1" t="s">
        <v>24</v>
      </c>
      <c r="AC2587" s="1" t="s">
        <v>24</v>
      </c>
      <c r="AD2587" s="1" t="s">
        <v>24</v>
      </c>
      <c r="AE2587" s="1" t="s">
        <v>24</v>
      </c>
      <c r="AF2587" s="22"/>
    </row>
    <row r="2588" spans="1:32" x14ac:dyDescent="0.2">
      <c r="A2588" s="1">
        <v>19309</v>
      </c>
      <c r="B2588" s="1" t="s">
        <v>8201</v>
      </c>
      <c r="C2588" s="5" t="s">
        <v>0</v>
      </c>
      <c r="D2588" s="1" t="s">
        <v>8202</v>
      </c>
      <c r="F2588" s="1" t="s">
        <v>8203</v>
      </c>
      <c r="G2588" s="1" t="s">
        <v>8203</v>
      </c>
      <c r="H2588" s="1" t="s">
        <v>69</v>
      </c>
      <c r="I2588" s="1" t="s">
        <v>16</v>
      </c>
      <c r="J2588" s="1">
        <v>1</v>
      </c>
      <c r="K2588" s="1">
        <v>6</v>
      </c>
      <c r="L2588" s="1" t="s">
        <v>42</v>
      </c>
      <c r="M2588" s="1" t="s">
        <v>3659</v>
      </c>
      <c r="N2588" s="1" t="s">
        <v>18</v>
      </c>
      <c r="O2588" s="1">
        <v>3</v>
      </c>
      <c r="P2588" s="1">
        <v>6</v>
      </c>
      <c r="R2588" s="1" t="s">
        <v>19</v>
      </c>
      <c r="S2588" s="1" t="s">
        <v>20</v>
      </c>
      <c r="T2588" s="1" t="s">
        <v>21</v>
      </c>
      <c r="U2588" s="1" t="s">
        <v>22</v>
      </c>
      <c r="V2588" s="1" t="s">
        <v>24</v>
      </c>
      <c r="W2588" s="1" t="s">
        <v>24</v>
      </c>
      <c r="X2588" s="1">
        <v>2700</v>
      </c>
      <c r="Y2588" s="1" t="s">
        <v>24</v>
      </c>
      <c r="Z2588" s="1" t="s">
        <v>24</v>
      </c>
      <c r="AA2588" s="1" t="s">
        <v>24</v>
      </c>
      <c r="AB2588" s="1" t="s">
        <v>24</v>
      </c>
      <c r="AC2588" s="1" t="s">
        <v>24</v>
      </c>
      <c r="AD2588" s="1" t="s">
        <v>24</v>
      </c>
      <c r="AE2588" s="1" t="s">
        <v>24</v>
      </c>
      <c r="AF2588" s="22"/>
    </row>
    <row r="2589" spans="1:32" x14ac:dyDescent="0.2">
      <c r="A2589" s="1">
        <v>19315</v>
      </c>
      <c r="B2589" s="1" t="s">
        <v>8204</v>
      </c>
      <c r="C2589" s="5" t="s">
        <v>0</v>
      </c>
      <c r="D2589" s="1" t="s">
        <v>8205</v>
      </c>
      <c r="E2589" s="1" t="s">
        <v>8206</v>
      </c>
      <c r="F2589" s="1" t="s">
        <v>55</v>
      </c>
      <c r="G2589" s="1" t="s">
        <v>56</v>
      </c>
      <c r="H2589" s="1" t="s">
        <v>37</v>
      </c>
      <c r="I2589" s="1" t="s">
        <v>16</v>
      </c>
      <c r="J2589" s="1">
        <v>0</v>
      </c>
      <c r="K2589" s="1">
        <v>0</v>
      </c>
      <c r="L2589" s="1" t="s">
        <v>31</v>
      </c>
      <c r="M2589" s="1" t="s">
        <v>18</v>
      </c>
      <c r="N2589" s="1" t="s">
        <v>18</v>
      </c>
      <c r="O2589" s="1">
        <v>3</v>
      </c>
      <c r="P2589" s="1">
        <v>7</v>
      </c>
      <c r="Q2589" s="7" t="s">
        <v>17633</v>
      </c>
      <c r="R2589" s="1" t="s">
        <v>19</v>
      </c>
      <c r="S2589" s="1" t="s">
        <v>20</v>
      </c>
      <c r="T2589" s="1" t="s">
        <v>21</v>
      </c>
      <c r="U2589" s="1" t="s">
        <v>22</v>
      </c>
      <c r="V2589" s="1" t="s">
        <v>24</v>
      </c>
      <c r="W2589" s="1" t="s">
        <v>24</v>
      </c>
      <c r="X2589" s="1">
        <v>2705</v>
      </c>
      <c r="Y2589" s="1" t="s">
        <v>24</v>
      </c>
      <c r="Z2589" s="1" t="s">
        <v>24</v>
      </c>
      <c r="AA2589" s="1" t="s">
        <v>24</v>
      </c>
      <c r="AB2589" s="1" t="s">
        <v>24</v>
      </c>
      <c r="AC2589" s="1" t="s">
        <v>24</v>
      </c>
      <c r="AD2589" s="1" t="s">
        <v>24</v>
      </c>
      <c r="AE2589" s="1" t="s">
        <v>24</v>
      </c>
      <c r="AF2589" s="22"/>
    </row>
    <row r="2590" spans="1:32" x14ac:dyDescent="0.2">
      <c r="A2590" s="1">
        <v>19369</v>
      </c>
      <c r="B2590" s="1" t="s">
        <v>8207</v>
      </c>
      <c r="C2590" s="5" t="s">
        <v>0</v>
      </c>
      <c r="D2590" s="1" t="s">
        <v>8208</v>
      </c>
      <c r="E2590" s="1" t="s">
        <v>8209</v>
      </c>
      <c r="F2590" s="1" t="s">
        <v>91</v>
      </c>
      <c r="G2590" s="1" t="s">
        <v>61</v>
      </c>
      <c r="H2590" s="1" t="s">
        <v>92</v>
      </c>
      <c r="I2590" s="1" t="s">
        <v>16</v>
      </c>
      <c r="J2590" s="1">
        <v>1</v>
      </c>
      <c r="K2590" s="1">
        <v>4</v>
      </c>
      <c r="L2590" s="1" t="s">
        <v>31</v>
      </c>
      <c r="M2590" s="1" t="s">
        <v>18</v>
      </c>
      <c r="N2590" s="1" t="s">
        <v>18</v>
      </c>
      <c r="O2590" s="1">
        <v>3</v>
      </c>
      <c r="P2590" s="1">
        <v>6</v>
      </c>
      <c r="R2590" s="1" t="s">
        <v>19</v>
      </c>
      <c r="S2590" s="1" t="s">
        <v>20</v>
      </c>
      <c r="T2590" s="1" t="s">
        <v>21</v>
      </c>
      <c r="U2590" s="1" t="s">
        <v>22</v>
      </c>
      <c r="V2590" s="1" t="s">
        <v>23</v>
      </c>
      <c r="W2590" s="1" t="s">
        <v>24</v>
      </c>
      <c r="X2590" s="1">
        <v>2734</v>
      </c>
      <c r="Y2590" s="1">
        <v>2910</v>
      </c>
      <c r="Z2590" s="1" t="s">
        <v>24</v>
      </c>
      <c r="AA2590" s="1" t="s">
        <v>24</v>
      </c>
      <c r="AB2590" s="1" t="s">
        <v>24</v>
      </c>
      <c r="AC2590" s="1" t="s">
        <v>24</v>
      </c>
      <c r="AD2590" s="1" t="s">
        <v>24</v>
      </c>
      <c r="AE2590" s="1" t="s">
        <v>24</v>
      </c>
      <c r="AF2590" s="22"/>
    </row>
    <row r="2591" spans="1:32" x14ac:dyDescent="0.2">
      <c r="A2591" s="1">
        <v>19397</v>
      </c>
      <c r="B2591" s="1" t="s">
        <v>8210</v>
      </c>
      <c r="C2591" s="5" t="s">
        <v>0</v>
      </c>
      <c r="D2591" s="1" t="s">
        <v>8211</v>
      </c>
      <c r="E2591" s="1" t="s">
        <v>8212</v>
      </c>
      <c r="F2591" s="1" t="s">
        <v>85</v>
      </c>
      <c r="G2591" s="1" t="s">
        <v>61</v>
      </c>
      <c r="H2591" s="1" t="s">
        <v>86</v>
      </c>
      <c r="I2591" s="1" t="s">
        <v>16</v>
      </c>
      <c r="J2591" s="1">
        <v>1</v>
      </c>
      <c r="K2591" s="1">
        <v>15</v>
      </c>
      <c r="L2591" s="1" t="s">
        <v>31</v>
      </c>
      <c r="M2591" s="1" t="s">
        <v>18</v>
      </c>
      <c r="N2591" s="1" t="s">
        <v>18</v>
      </c>
      <c r="O2591" s="1">
        <v>3</v>
      </c>
      <c r="P2591" s="1">
        <v>7</v>
      </c>
      <c r="Q2591" s="7" t="s">
        <v>17633</v>
      </c>
      <c r="R2591" s="1" t="s">
        <v>62</v>
      </c>
      <c r="S2591" s="1" t="s">
        <v>20</v>
      </c>
      <c r="T2591" s="1" t="s">
        <v>21</v>
      </c>
      <c r="U2591" s="1" t="s">
        <v>22</v>
      </c>
      <c r="V2591" s="1" t="s">
        <v>24</v>
      </c>
      <c r="W2591" s="1" t="s">
        <v>24</v>
      </c>
      <c r="X2591" s="1">
        <v>2404</v>
      </c>
      <c r="Y2591" s="1">
        <v>2403</v>
      </c>
      <c r="Z2591" s="1">
        <v>2725</v>
      </c>
      <c r="AA2591" s="1" t="s">
        <v>24</v>
      </c>
      <c r="AB2591" s="1" t="s">
        <v>24</v>
      </c>
      <c r="AC2591" s="1" t="s">
        <v>24</v>
      </c>
      <c r="AD2591" s="1" t="s">
        <v>24</v>
      </c>
      <c r="AE2591" s="1" t="s">
        <v>24</v>
      </c>
      <c r="AF2591" s="22"/>
    </row>
    <row r="2592" spans="1:32" x14ac:dyDescent="0.2">
      <c r="A2592" s="1">
        <v>19480</v>
      </c>
      <c r="B2592" s="1" t="s">
        <v>8213</v>
      </c>
      <c r="C2592" s="5" t="s">
        <v>0</v>
      </c>
      <c r="D2592" s="1" t="s">
        <v>8214</v>
      </c>
      <c r="E2592" s="1" t="s">
        <v>8215</v>
      </c>
      <c r="F2592" s="1" t="s">
        <v>272</v>
      </c>
      <c r="G2592" s="1" t="s">
        <v>61</v>
      </c>
      <c r="H2592" s="1" t="s">
        <v>30</v>
      </c>
      <c r="I2592" s="1" t="s">
        <v>16</v>
      </c>
      <c r="J2592" s="1">
        <v>1</v>
      </c>
      <c r="K2592" s="1">
        <v>12</v>
      </c>
      <c r="L2592" s="1" t="s">
        <v>31</v>
      </c>
      <c r="M2592" s="1" t="s">
        <v>18</v>
      </c>
      <c r="N2592" s="1" t="s">
        <v>18</v>
      </c>
      <c r="O2592" s="1">
        <v>3</v>
      </c>
      <c r="P2592" s="1">
        <v>7</v>
      </c>
      <c r="Q2592" s="7" t="s">
        <v>17633</v>
      </c>
      <c r="R2592" s="1" t="s">
        <v>19</v>
      </c>
      <c r="S2592" s="1" t="s">
        <v>20</v>
      </c>
      <c r="T2592" s="1" t="s">
        <v>21</v>
      </c>
      <c r="U2592" s="1" t="s">
        <v>22</v>
      </c>
      <c r="V2592" s="1" t="s">
        <v>24</v>
      </c>
      <c r="W2592" s="1" t="s">
        <v>24</v>
      </c>
      <c r="X2592" s="1">
        <v>2403</v>
      </c>
      <c r="Y2592" s="1">
        <v>2723</v>
      </c>
      <c r="Z2592" s="1">
        <v>2730</v>
      </c>
      <c r="AA2592" s="1">
        <v>2716</v>
      </c>
      <c r="AB2592" s="1">
        <v>2747</v>
      </c>
      <c r="AC2592" s="1">
        <v>1306</v>
      </c>
      <c r="AD2592" s="1">
        <v>1307</v>
      </c>
      <c r="AE2592" s="1" t="s">
        <v>24</v>
      </c>
      <c r="AF2592" s="22"/>
    </row>
    <row r="2593" spans="1:32" x14ac:dyDescent="0.2">
      <c r="A2593" s="1">
        <v>19491</v>
      </c>
      <c r="B2593" s="1" t="s">
        <v>8216</v>
      </c>
      <c r="C2593" s="5" t="s">
        <v>0</v>
      </c>
      <c r="D2593" s="1" t="s">
        <v>8217</v>
      </c>
      <c r="E2593" s="1" t="s">
        <v>8218</v>
      </c>
      <c r="F2593" s="1" t="s">
        <v>198</v>
      </c>
      <c r="G2593" s="1" t="s">
        <v>130</v>
      </c>
      <c r="H2593" s="1" t="s">
        <v>86</v>
      </c>
      <c r="I2593" s="1" t="s">
        <v>16</v>
      </c>
      <c r="J2593" s="1">
        <v>1</v>
      </c>
      <c r="K2593" s="1">
        <v>8</v>
      </c>
      <c r="L2593" s="1" t="s">
        <v>31</v>
      </c>
      <c r="M2593" s="1" t="s">
        <v>18</v>
      </c>
      <c r="N2593" s="1" t="s">
        <v>18</v>
      </c>
      <c r="O2593" s="1">
        <v>3</v>
      </c>
      <c r="P2593" s="1">
        <v>7</v>
      </c>
      <c r="Q2593" s="7" t="s">
        <v>17633</v>
      </c>
      <c r="R2593" s="1" t="s">
        <v>19</v>
      </c>
      <c r="S2593" s="1" t="s">
        <v>20</v>
      </c>
      <c r="T2593" s="1" t="s">
        <v>21</v>
      </c>
      <c r="U2593" s="1" t="s">
        <v>22</v>
      </c>
      <c r="V2593" s="1" t="s">
        <v>23</v>
      </c>
      <c r="W2593" s="1" t="s">
        <v>24</v>
      </c>
      <c r="X2593" s="1">
        <v>2746</v>
      </c>
      <c r="Y2593" s="1">
        <v>2732</v>
      </c>
      <c r="Z2593" s="1" t="s">
        <v>24</v>
      </c>
      <c r="AA2593" s="1" t="s">
        <v>24</v>
      </c>
      <c r="AB2593" s="1" t="s">
        <v>24</v>
      </c>
      <c r="AC2593" s="1" t="s">
        <v>24</v>
      </c>
      <c r="AD2593" s="1" t="s">
        <v>24</v>
      </c>
      <c r="AE2593" s="1" t="s">
        <v>24</v>
      </c>
      <c r="AF2593" s="22"/>
    </row>
    <row r="2594" spans="1:32" x14ac:dyDescent="0.2">
      <c r="A2594" s="9">
        <v>19494</v>
      </c>
      <c r="B2594" s="9" t="s">
        <v>50551</v>
      </c>
      <c r="C2594" s="18" t="s">
        <v>50553</v>
      </c>
      <c r="D2594" s="19" t="s">
        <v>50550</v>
      </c>
      <c r="E2594" s="19"/>
      <c r="F2594" s="19" t="s">
        <v>6797</v>
      </c>
      <c r="G2594" s="19" t="s">
        <v>6797</v>
      </c>
      <c r="H2594" s="19" t="s">
        <v>249</v>
      </c>
      <c r="I2594" s="19" t="s">
        <v>16</v>
      </c>
      <c r="J2594" s="19">
        <v>1</v>
      </c>
      <c r="K2594" s="19">
        <v>4</v>
      </c>
      <c r="L2594" s="19" t="s">
        <v>42</v>
      </c>
      <c r="M2594" s="19" t="s">
        <v>250</v>
      </c>
      <c r="N2594" s="19" t="s">
        <v>1463</v>
      </c>
      <c r="O2594" s="18">
        <v>1</v>
      </c>
      <c r="P2594" s="19">
        <v>5</v>
      </c>
      <c r="Q2594" s="19"/>
      <c r="R2594" s="19" t="s">
        <v>19</v>
      </c>
      <c r="S2594" s="19" t="s">
        <v>20</v>
      </c>
      <c r="T2594" s="19" t="s">
        <v>21</v>
      </c>
      <c r="U2594" s="19" t="s">
        <v>22</v>
      </c>
      <c r="V2594" s="19"/>
      <c r="W2594" s="19"/>
      <c r="X2594" s="19">
        <v>2712</v>
      </c>
      <c r="Y2594" s="19">
        <v>2735</v>
      </c>
      <c r="Z2594" s="19"/>
      <c r="AA2594" s="19"/>
      <c r="AB2594" s="19"/>
      <c r="AC2594" s="19"/>
      <c r="AD2594" s="19">
        <v>19494</v>
      </c>
      <c r="AE2594" s="9"/>
      <c r="AF2594" s="22" t="s">
        <v>50552</v>
      </c>
    </row>
    <row r="2595" spans="1:32" x14ac:dyDescent="0.2">
      <c r="A2595" s="1">
        <v>19552</v>
      </c>
      <c r="B2595" s="1" t="s">
        <v>8219</v>
      </c>
      <c r="C2595" s="5" t="s">
        <v>0</v>
      </c>
      <c r="D2595" s="1" t="s">
        <v>8220</v>
      </c>
      <c r="F2595" s="1" t="s">
        <v>8221</v>
      </c>
      <c r="G2595" s="1" t="s">
        <v>8221</v>
      </c>
      <c r="H2595" s="1" t="s">
        <v>69</v>
      </c>
      <c r="I2595" s="1" t="s">
        <v>16</v>
      </c>
      <c r="J2595" s="1">
        <v>1</v>
      </c>
      <c r="K2595" s="1">
        <v>2</v>
      </c>
      <c r="L2595" s="1" t="s">
        <v>17</v>
      </c>
      <c r="M2595" s="1" t="s">
        <v>70</v>
      </c>
      <c r="N2595" s="1" t="s">
        <v>75</v>
      </c>
      <c r="O2595" s="1">
        <v>3</v>
      </c>
      <c r="P2595" s="1">
        <v>5</v>
      </c>
      <c r="R2595" s="1" t="s">
        <v>19</v>
      </c>
      <c r="S2595" s="1" t="s">
        <v>20</v>
      </c>
      <c r="T2595" s="1" t="s">
        <v>21</v>
      </c>
      <c r="U2595" s="1" t="s">
        <v>22</v>
      </c>
      <c r="V2595" s="1" t="s">
        <v>24</v>
      </c>
      <c r="W2595" s="1" t="s">
        <v>24</v>
      </c>
      <c r="X2595" s="1">
        <v>3005</v>
      </c>
      <c r="Y2595" s="1" t="s">
        <v>24</v>
      </c>
      <c r="Z2595" s="1" t="s">
        <v>24</v>
      </c>
      <c r="AA2595" s="1" t="s">
        <v>24</v>
      </c>
      <c r="AB2595" s="1" t="s">
        <v>24</v>
      </c>
      <c r="AC2595" s="1" t="s">
        <v>24</v>
      </c>
      <c r="AD2595" s="1" t="s">
        <v>24</v>
      </c>
      <c r="AE2595" s="1" t="s">
        <v>24</v>
      </c>
      <c r="AF2595" s="22"/>
    </row>
    <row r="2596" spans="1:32" x14ac:dyDescent="0.2">
      <c r="A2596" s="1">
        <v>19605</v>
      </c>
      <c r="B2596" s="1" t="s">
        <v>8222</v>
      </c>
      <c r="C2596" s="5" t="s">
        <v>0</v>
      </c>
      <c r="D2596" s="1" t="s">
        <v>8223</v>
      </c>
      <c r="E2596" s="1" t="s">
        <v>8224</v>
      </c>
      <c r="F2596" s="1" t="s">
        <v>1808</v>
      </c>
      <c r="G2596" s="1" t="s">
        <v>130</v>
      </c>
      <c r="H2596" s="1" t="s">
        <v>461</v>
      </c>
      <c r="I2596" s="1" t="s">
        <v>16</v>
      </c>
      <c r="J2596" s="1">
        <v>1</v>
      </c>
      <c r="K2596" s="1">
        <v>4</v>
      </c>
      <c r="L2596" s="1" t="s">
        <v>31</v>
      </c>
      <c r="M2596" s="1" t="s">
        <v>18</v>
      </c>
      <c r="N2596" s="1" t="s">
        <v>18</v>
      </c>
      <c r="O2596" s="1">
        <v>3</v>
      </c>
      <c r="P2596" s="1">
        <v>7</v>
      </c>
      <c r="Q2596" s="7" t="s">
        <v>17633</v>
      </c>
      <c r="R2596" s="1" t="s">
        <v>19</v>
      </c>
      <c r="S2596" s="1" t="s">
        <v>20</v>
      </c>
      <c r="T2596" s="1" t="s">
        <v>21</v>
      </c>
      <c r="U2596" s="1" t="s">
        <v>22</v>
      </c>
      <c r="V2596" s="1" t="s">
        <v>24</v>
      </c>
      <c r="W2596" s="1" t="s">
        <v>24</v>
      </c>
      <c r="X2596" s="1">
        <v>2730</v>
      </c>
      <c r="Y2596" s="1">
        <v>2715</v>
      </c>
      <c r="Z2596" s="1">
        <v>1306</v>
      </c>
      <c r="AA2596" s="1" t="s">
        <v>24</v>
      </c>
      <c r="AB2596" s="1" t="s">
        <v>24</v>
      </c>
      <c r="AC2596" s="1" t="s">
        <v>24</v>
      </c>
      <c r="AD2596" s="1" t="s">
        <v>24</v>
      </c>
      <c r="AE2596" s="1" t="s">
        <v>24</v>
      </c>
      <c r="AF2596" s="22"/>
    </row>
    <row r="2597" spans="1:32" x14ac:dyDescent="0.2">
      <c r="A2597" s="1">
        <v>19606</v>
      </c>
      <c r="B2597" s="1" t="s">
        <v>8225</v>
      </c>
      <c r="C2597" s="5" t="s">
        <v>0</v>
      </c>
      <c r="D2597" s="1" t="s">
        <v>8226</v>
      </c>
      <c r="E2597" s="1" t="s">
        <v>8227</v>
      </c>
      <c r="F2597" s="1" t="s">
        <v>412</v>
      </c>
      <c r="G2597" s="1" t="s">
        <v>372</v>
      </c>
      <c r="H2597" s="1" t="s">
        <v>168</v>
      </c>
      <c r="I2597" s="1" t="s">
        <v>16</v>
      </c>
      <c r="J2597" s="1">
        <v>1</v>
      </c>
      <c r="K2597" s="1">
        <v>6</v>
      </c>
      <c r="L2597" s="1" t="s">
        <v>31</v>
      </c>
      <c r="M2597" s="1" t="s">
        <v>413</v>
      </c>
      <c r="N2597" s="1" t="s">
        <v>18</v>
      </c>
      <c r="O2597" s="1">
        <v>2</v>
      </c>
      <c r="P2597" s="1">
        <v>5</v>
      </c>
      <c r="R2597" s="1" t="s">
        <v>19</v>
      </c>
      <c r="S2597" s="1" t="s">
        <v>63</v>
      </c>
      <c r="T2597" s="1" t="s">
        <v>21</v>
      </c>
      <c r="U2597" s="1" t="s">
        <v>22</v>
      </c>
      <c r="V2597" s="1" t="s">
        <v>23</v>
      </c>
      <c r="W2597" s="1" t="s">
        <v>24</v>
      </c>
      <c r="X2597" s="1">
        <v>2701</v>
      </c>
      <c r="Y2597" s="1">
        <v>2916</v>
      </c>
      <c r="Z2597" s="1" t="s">
        <v>24</v>
      </c>
      <c r="AA2597" s="1" t="s">
        <v>24</v>
      </c>
      <c r="AB2597" s="1" t="s">
        <v>24</v>
      </c>
      <c r="AC2597" s="1" t="s">
        <v>24</v>
      </c>
      <c r="AD2597" s="1" t="s">
        <v>24</v>
      </c>
      <c r="AE2597" s="1" t="s">
        <v>24</v>
      </c>
      <c r="AF2597" s="22"/>
    </row>
    <row r="2598" spans="1:32" x14ac:dyDescent="0.2">
      <c r="A2598" s="1">
        <v>19617</v>
      </c>
      <c r="B2598" s="1" t="s">
        <v>8228</v>
      </c>
      <c r="C2598" s="5" t="s">
        <v>0</v>
      </c>
      <c r="D2598" s="1" t="s">
        <v>8229</v>
      </c>
      <c r="F2598" s="1" t="s">
        <v>275</v>
      </c>
      <c r="G2598" s="1" t="s">
        <v>276</v>
      </c>
      <c r="H2598" s="1" t="s">
        <v>46</v>
      </c>
      <c r="I2598" s="1" t="s">
        <v>16</v>
      </c>
      <c r="J2598" s="1">
        <v>1</v>
      </c>
      <c r="K2598" s="1">
        <v>4</v>
      </c>
      <c r="L2598" s="1" t="s">
        <v>31</v>
      </c>
      <c r="M2598" s="1" t="s">
        <v>18</v>
      </c>
      <c r="N2598" s="1" t="s">
        <v>18</v>
      </c>
      <c r="O2598" s="1">
        <v>3</v>
      </c>
      <c r="P2598" s="1">
        <v>6</v>
      </c>
      <c r="R2598" s="1" t="s">
        <v>19</v>
      </c>
      <c r="S2598" s="1" t="s">
        <v>20</v>
      </c>
      <c r="T2598" s="1" t="s">
        <v>21</v>
      </c>
      <c r="U2598" s="1" t="s">
        <v>22</v>
      </c>
      <c r="V2598" s="1" t="s">
        <v>24</v>
      </c>
      <c r="W2598" s="1" t="s">
        <v>24</v>
      </c>
      <c r="X2598" s="1">
        <v>2732</v>
      </c>
      <c r="Y2598" s="1" t="s">
        <v>24</v>
      </c>
      <c r="Z2598" s="1" t="s">
        <v>24</v>
      </c>
      <c r="AA2598" s="1" t="s">
        <v>24</v>
      </c>
      <c r="AB2598" s="1" t="s">
        <v>24</v>
      </c>
      <c r="AC2598" s="1" t="s">
        <v>24</v>
      </c>
      <c r="AD2598" s="1" t="s">
        <v>24</v>
      </c>
      <c r="AE2598" s="1" t="s">
        <v>24</v>
      </c>
      <c r="AF2598" s="22"/>
    </row>
    <row r="2599" spans="1:32" x14ac:dyDescent="0.2">
      <c r="A2599" s="1">
        <v>19633</v>
      </c>
      <c r="B2599" s="1" t="s">
        <v>8230</v>
      </c>
      <c r="C2599" s="5" t="s">
        <v>0</v>
      </c>
      <c r="D2599" s="1" t="s">
        <v>8231</v>
      </c>
      <c r="F2599" s="1" t="s">
        <v>8232</v>
      </c>
      <c r="G2599" s="1" t="s">
        <v>61</v>
      </c>
      <c r="H2599" s="1" t="s">
        <v>116</v>
      </c>
      <c r="I2599" s="1" t="s">
        <v>16</v>
      </c>
      <c r="J2599" s="1">
        <v>1</v>
      </c>
      <c r="K2599" s="1">
        <v>4</v>
      </c>
      <c r="L2599" s="1" t="s">
        <v>31</v>
      </c>
      <c r="M2599" s="1" t="s">
        <v>117</v>
      </c>
      <c r="N2599" s="1" t="s">
        <v>118</v>
      </c>
      <c r="O2599" s="1">
        <v>1</v>
      </c>
      <c r="P2599" s="1">
        <v>5</v>
      </c>
      <c r="R2599" s="1" t="s">
        <v>19</v>
      </c>
      <c r="S2599" s="1" t="s">
        <v>20</v>
      </c>
      <c r="T2599" s="1" t="s">
        <v>21</v>
      </c>
      <c r="U2599" s="1" t="s">
        <v>22</v>
      </c>
      <c r="V2599" s="1" t="s">
        <v>23</v>
      </c>
      <c r="W2599" s="1" t="s">
        <v>24</v>
      </c>
      <c r="X2599" s="1">
        <v>2700</v>
      </c>
      <c r="Y2599" s="1">
        <v>2703</v>
      </c>
      <c r="Z2599" s="1">
        <v>2900</v>
      </c>
      <c r="AA2599" s="1" t="s">
        <v>24</v>
      </c>
      <c r="AB2599" s="1" t="s">
        <v>24</v>
      </c>
      <c r="AC2599" s="1" t="s">
        <v>24</v>
      </c>
      <c r="AD2599" s="1" t="s">
        <v>24</v>
      </c>
      <c r="AE2599" s="1" t="s">
        <v>24</v>
      </c>
      <c r="AF2599" s="22"/>
    </row>
    <row r="2600" spans="1:32" x14ac:dyDescent="0.2">
      <c r="A2600" s="1">
        <v>19646</v>
      </c>
      <c r="B2600" s="1" t="s">
        <v>8233</v>
      </c>
      <c r="C2600" s="5" t="s">
        <v>0</v>
      </c>
      <c r="D2600" s="1" t="s">
        <v>8234</v>
      </c>
      <c r="E2600" s="1" t="s">
        <v>8235</v>
      </c>
      <c r="F2600" s="1" t="s">
        <v>194</v>
      </c>
      <c r="G2600" s="1" t="s">
        <v>61</v>
      </c>
      <c r="H2600" s="1" t="s">
        <v>30</v>
      </c>
      <c r="I2600" s="1" t="s">
        <v>16</v>
      </c>
      <c r="J2600" s="1">
        <v>1</v>
      </c>
      <c r="K2600" s="1">
        <v>6</v>
      </c>
      <c r="L2600" s="1" t="s">
        <v>31</v>
      </c>
      <c r="M2600" s="1" t="s">
        <v>18</v>
      </c>
      <c r="N2600" s="1" t="s">
        <v>18</v>
      </c>
      <c r="O2600" s="1">
        <v>3</v>
      </c>
      <c r="P2600" s="1">
        <v>6</v>
      </c>
      <c r="R2600" s="1" t="s">
        <v>19</v>
      </c>
      <c r="S2600" s="1" t="s">
        <v>20</v>
      </c>
      <c r="T2600" s="1" t="s">
        <v>21</v>
      </c>
      <c r="U2600" s="1" t="s">
        <v>22</v>
      </c>
      <c r="V2600" s="1" t="s">
        <v>24</v>
      </c>
      <c r="W2600" s="1" t="s">
        <v>24</v>
      </c>
      <c r="X2600" s="1">
        <v>2730</v>
      </c>
      <c r="Y2600" s="1">
        <v>1306</v>
      </c>
      <c r="Z2600" s="1" t="s">
        <v>24</v>
      </c>
      <c r="AA2600" s="1" t="s">
        <v>24</v>
      </c>
      <c r="AB2600" s="1" t="s">
        <v>24</v>
      </c>
      <c r="AC2600" s="1" t="s">
        <v>24</v>
      </c>
      <c r="AD2600" s="1" t="s">
        <v>24</v>
      </c>
      <c r="AE2600" s="1" t="s">
        <v>24</v>
      </c>
      <c r="AF2600" s="22"/>
    </row>
    <row r="2601" spans="1:32" x14ac:dyDescent="0.2">
      <c r="A2601" s="1">
        <v>19649</v>
      </c>
      <c r="B2601" s="1" t="s">
        <v>8236</v>
      </c>
      <c r="C2601" s="5" t="s">
        <v>0</v>
      </c>
      <c r="D2601" s="1" t="s">
        <v>8237</v>
      </c>
      <c r="E2601" s="1" t="s">
        <v>8238</v>
      </c>
      <c r="F2601" s="1" t="s">
        <v>4337</v>
      </c>
      <c r="G2601" s="1" t="s">
        <v>4338</v>
      </c>
      <c r="H2601" s="1" t="s">
        <v>30</v>
      </c>
      <c r="I2601" s="1" t="s">
        <v>16</v>
      </c>
      <c r="J2601" s="1">
        <v>1</v>
      </c>
      <c r="K2601" s="1">
        <v>12</v>
      </c>
      <c r="L2601" s="1" t="s">
        <v>31</v>
      </c>
      <c r="M2601" s="1" t="s">
        <v>18</v>
      </c>
      <c r="N2601" s="1" t="s">
        <v>18</v>
      </c>
      <c r="O2601" s="1">
        <v>3</v>
      </c>
      <c r="P2601" s="1">
        <v>7</v>
      </c>
      <c r="Q2601" s="7" t="s">
        <v>17633</v>
      </c>
      <c r="R2601" s="1" t="s">
        <v>62</v>
      </c>
      <c r="S2601" s="1" t="s">
        <v>20</v>
      </c>
      <c r="T2601" s="1" t="s">
        <v>21</v>
      </c>
      <c r="U2601" s="1" t="s">
        <v>22</v>
      </c>
      <c r="V2601" s="1" t="s">
        <v>24</v>
      </c>
      <c r="W2601" s="1" t="s">
        <v>64</v>
      </c>
      <c r="X2601" s="1">
        <v>1303</v>
      </c>
      <c r="Y2601" s="1">
        <v>1307</v>
      </c>
      <c r="Z2601" s="1">
        <v>1312</v>
      </c>
      <c r="AA2601" s="1">
        <v>1314</v>
      </c>
      <c r="AB2601" s="1">
        <v>1308</v>
      </c>
      <c r="AC2601" s="1" t="s">
        <v>24</v>
      </c>
      <c r="AD2601" s="1" t="s">
        <v>24</v>
      </c>
      <c r="AE2601" s="1" t="s">
        <v>24</v>
      </c>
      <c r="AF2601" s="22"/>
    </row>
    <row r="2602" spans="1:32" x14ac:dyDescent="0.2">
      <c r="A2602" s="1">
        <v>19650</v>
      </c>
      <c r="B2602" s="1" t="s">
        <v>8239</v>
      </c>
      <c r="C2602" s="5" t="s">
        <v>0</v>
      </c>
      <c r="D2602" s="1" t="s">
        <v>8240</v>
      </c>
      <c r="E2602" s="1" t="s">
        <v>8241</v>
      </c>
      <c r="F2602" s="1" t="s">
        <v>8242</v>
      </c>
      <c r="G2602" s="1" t="s">
        <v>8243</v>
      </c>
      <c r="H2602" s="1" t="s">
        <v>69</v>
      </c>
      <c r="I2602" s="1" t="s">
        <v>16</v>
      </c>
      <c r="J2602" s="1">
        <v>1</v>
      </c>
      <c r="K2602" s="1">
        <v>6</v>
      </c>
      <c r="L2602" s="1" t="s">
        <v>42</v>
      </c>
      <c r="M2602" s="1" t="s">
        <v>70</v>
      </c>
      <c r="N2602" s="1" t="s">
        <v>75</v>
      </c>
      <c r="O2602" s="1">
        <v>3</v>
      </c>
      <c r="P2602" s="1">
        <v>5</v>
      </c>
      <c r="R2602" s="1" t="s">
        <v>19</v>
      </c>
      <c r="S2602" s="1" t="s">
        <v>20</v>
      </c>
      <c r="T2602" s="1" t="s">
        <v>21</v>
      </c>
      <c r="U2602" s="1" t="s">
        <v>22</v>
      </c>
      <c r="V2602" s="1" t="s">
        <v>24</v>
      </c>
      <c r="W2602" s="1" t="s">
        <v>24</v>
      </c>
      <c r="X2602" s="1">
        <v>2738</v>
      </c>
      <c r="Y2602" s="1" t="s">
        <v>24</v>
      </c>
      <c r="Z2602" s="1" t="s">
        <v>24</v>
      </c>
      <c r="AA2602" s="1" t="s">
        <v>24</v>
      </c>
      <c r="AB2602" s="1" t="s">
        <v>24</v>
      </c>
      <c r="AC2602" s="1" t="s">
        <v>24</v>
      </c>
      <c r="AD2602" s="1" t="s">
        <v>24</v>
      </c>
      <c r="AE2602" s="1" t="s">
        <v>24</v>
      </c>
      <c r="AF2602" s="22"/>
    </row>
    <row r="2603" spans="1:32" x14ac:dyDescent="0.2">
      <c r="A2603" s="1">
        <v>19653</v>
      </c>
      <c r="B2603" s="1" t="s">
        <v>8244</v>
      </c>
      <c r="C2603" s="5" t="s">
        <v>0</v>
      </c>
      <c r="D2603" s="1" t="s">
        <v>8245</v>
      </c>
      <c r="F2603" s="1" t="s">
        <v>8246</v>
      </c>
      <c r="G2603" s="1" t="s">
        <v>8247</v>
      </c>
      <c r="H2603" s="1" t="s">
        <v>8248</v>
      </c>
      <c r="I2603" s="1" t="s">
        <v>16</v>
      </c>
      <c r="J2603" s="1">
        <v>1</v>
      </c>
      <c r="K2603" s="1">
        <v>2</v>
      </c>
      <c r="L2603" s="1" t="s">
        <v>31</v>
      </c>
      <c r="M2603" s="1" t="s">
        <v>18</v>
      </c>
      <c r="N2603" s="1" t="s">
        <v>18</v>
      </c>
      <c r="O2603" s="1">
        <v>3</v>
      </c>
      <c r="P2603" s="1">
        <v>5</v>
      </c>
      <c r="R2603" s="1" t="s">
        <v>19</v>
      </c>
      <c r="S2603" s="1" t="s">
        <v>20</v>
      </c>
      <c r="T2603" s="1" t="s">
        <v>21</v>
      </c>
      <c r="U2603" s="1" t="s">
        <v>22</v>
      </c>
      <c r="V2603" s="1" t="s">
        <v>24</v>
      </c>
      <c r="W2603" s="1" t="s">
        <v>24</v>
      </c>
      <c r="X2603" s="1">
        <v>3004</v>
      </c>
      <c r="Y2603" s="1" t="s">
        <v>24</v>
      </c>
      <c r="Z2603" s="1" t="s">
        <v>24</v>
      </c>
      <c r="AA2603" s="1" t="s">
        <v>24</v>
      </c>
      <c r="AB2603" s="1" t="s">
        <v>24</v>
      </c>
      <c r="AC2603" s="1" t="s">
        <v>24</v>
      </c>
      <c r="AD2603" s="1" t="s">
        <v>24</v>
      </c>
      <c r="AE2603" s="1" t="s">
        <v>24</v>
      </c>
      <c r="AF2603" s="22"/>
    </row>
    <row r="2604" spans="1:32" x14ac:dyDescent="0.2">
      <c r="A2604" s="1">
        <v>19656</v>
      </c>
      <c r="B2604" s="1" t="s">
        <v>8249</v>
      </c>
      <c r="C2604" s="5" t="s">
        <v>0</v>
      </c>
      <c r="D2604" s="1" t="s">
        <v>8250</v>
      </c>
      <c r="E2604" s="1" t="s">
        <v>8251</v>
      </c>
      <c r="F2604" s="1" t="s">
        <v>303</v>
      </c>
      <c r="G2604" s="1" t="s">
        <v>61</v>
      </c>
      <c r="H2604" s="1" t="s">
        <v>30</v>
      </c>
      <c r="I2604" s="1" t="s">
        <v>16</v>
      </c>
      <c r="J2604" s="1">
        <v>1</v>
      </c>
      <c r="K2604" s="1">
        <v>6</v>
      </c>
      <c r="L2604" s="1" t="s">
        <v>31</v>
      </c>
      <c r="M2604" s="1" t="s">
        <v>18</v>
      </c>
      <c r="N2604" s="1" t="s">
        <v>18</v>
      </c>
      <c r="O2604" s="1">
        <v>3</v>
      </c>
      <c r="P2604" s="1">
        <v>7</v>
      </c>
      <c r="Q2604" s="7" t="s">
        <v>17633</v>
      </c>
      <c r="R2604" s="1" t="s">
        <v>19</v>
      </c>
      <c r="S2604" s="1" t="s">
        <v>20</v>
      </c>
      <c r="T2604" s="1" t="s">
        <v>21</v>
      </c>
      <c r="U2604" s="1" t="s">
        <v>22</v>
      </c>
      <c r="V2604" s="1" t="s">
        <v>24</v>
      </c>
      <c r="W2604" s="1" t="s">
        <v>24</v>
      </c>
      <c r="X2604" s="1">
        <v>2734</v>
      </c>
      <c r="Y2604" s="1" t="s">
        <v>24</v>
      </c>
      <c r="Z2604" s="1" t="s">
        <v>24</v>
      </c>
      <c r="AA2604" s="1" t="s">
        <v>24</v>
      </c>
      <c r="AB2604" s="1" t="s">
        <v>24</v>
      </c>
      <c r="AC2604" s="1" t="s">
        <v>24</v>
      </c>
      <c r="AD2604" s="1" t="s">
        <v>24</v>
      </c>
      <c r="AE2604" s="1" t="s">
        <v>24</v>
      </c>
      <c r="AF2604" s="22"/>
    </row>
    <row r="2605" spans="1:32" x14ac:dyDescent="0.2">
      <c r="A2605" s="1">
        <v>19657</v>
      </c>
      <c r="B2605" s="1" t="s">
        <v>8252</v>
      </c>
      <c r="C2605" s="5" t="s">
        <v>0</v>
      </c>
      <c r="D2605" s="1" t="s">
        <v>8253</v>
      </c>
      <c r="E2605" s="1" t="s">
        <v>8254</v>
      </c>
      <c r="F2605" s="1" t="s">
        <v>28</v>
      </c>
      <c r="G2605" s="1" t="s">
        <v>29</v>
      </c>
      <c r="H2605" s="1" t="s">
        <v>30</v>
      </c>
      <c r="I2605" s="1" t="s">
        <v>16</v>
      </c>
      <c r="J2605" s="1">
        <v>1</v>
      </c>
      <c r="K2605" s="1">
        <v>6</v>
      </c>
      <c r="L2605" s="1" t="s">
        <v>31</v>
      </c>
      <c r="M2605" s="1" t="s">
        <v>18</v>
      </c>
      <c r="N2605" s="1" t="s">
        <v>18</v>
      </c>
      <c r="O2605" s="1">
        <v>3</v>
      </c>
      <c r="P2605" s="1">
        <v>6</v>
      </c>
      <c r="R2605" s="1" t="s">
        <v>19</v>
      </c>
      <c r="S2605" s="1" t="s">
        <v>20</v>
      </c>
      <c r="T2605" s="1" t="s">
        <v>21</v>
      </c>
      <c r="U2605" s="1" t="s">
        <v>22</v>
      </c>
      <c r="V2605" s="1" t="s">
        <v>23</v>
      </c>
      <c r="W2605" s="1" t="s">
        <v>24</v>
      </c>
      <c r="X2605" s="1">
        <v>2740</v>
      </c>
      <c r="Y2605" s="1" t="s">
        <v>24</v>
      </c>
      <c r="Z2605" s="1" t="s">
        <v>24</v>
      </c>
      <c r="AA2605" s="1" t="s">
        <v>24</v>
      </c>
      <c r="AB2605" s="1" t="s">
        <v>24</v>
      </c>
      <c r="AC2605" s="1" t="s">
        <v>24</v>
      </c>
      <c r="AD2605" s="1" t="s">
        <v>24</v>
      </c>
      <c r="AE2605" s="1" t="s">
        <v>24</v>
      </c>
      <c r="AF2605" s="22"/>
    </row>
    <row r="2606" spans="1:32" x14ac:dyDescent="0.2">
      <c r="A2606" s="1">
        <v>19658</v>
      </c>
      <c r="B2606" s="1" t="s">
        <v>8255</v>
      </c>
      <c r="C2606" s="5" t="s">
        <v>0</v>
      </c>
      <c r="D2606" s="1" t="s">
        <v>8256</v>
      </c>
      <c r="E2606" s="1" t="s">
        <v>8257</v>
      </c>
      <c r="F2606" s="1" t="s">
        <v>28</v>
      </c>
      <c r="G2606" s="1" t="s">
        <v>29</v>
      </c>
      <c r="H2606" s="1" t="s">
        <v>30</v>
      </c>
      <c r="I2606" s="1" t="s">
        <v>16</v>
      </c>
      <c r="J2606" s="1">
        <v>1</v>
      </c>
      <c r="K2606" s="1">
        <v>6</v>
      </c>
      <c r="L2606" s="1" t="s">
        <v>31</v>
      </c>
      <c r="M2606" s="1" t="s">
        <v>18</v>
      </c>
      <c r="N2606" s="1" t="s">
        <v>18</v>
      </c>
      <c r="O2606" s="1">
        <v>3</v>
      </c>
      <c r="P2606" s="1">
        <v>6</v>
      </c>
      <c r="R2606" s="1" t="s">
        <v>62</v>
      </c>
      <c r="S2606" s="1" t="s">
        <v>20</v>
      </c>
      <c r="T2606" s="1" t="s">
        <v>21</v>
      </c>
      <c r="U2606" s="1" t="s">
        <v>22</v>
      </c>
      <c r="V2606" s="1" t="s">
        <v>23</v>
      </c>
      <c r="W2606" s="1" t="s">
        <v>24</v>
      </c>
      <c r="X2606" s="1">
        <v>2701</v>
      </c>
      <c r="Y2606" s="1">
        <v>2916</v>
      </c>
      <c r="Z2606" s="1" t="s">
        <v>24</v>
      </c>
      <c r="AA2606" s="1" t="s">
        <v>24</v>
      </c>
      <c r="AB2606" s="1" t="s">
        <v>24</v>
      </c>
      <c r="AC2606" s="1" t="s">
        <v>24</v>
      </c>
      <c r="AD2606" s="1" t="s">
        <v>24</v>
      </c>
      <c r="AE2606" s="1" t="s">
        <v>24</v>
      </c>
      <c r="AF2606" s="22"/>
    </row>
    <row r="2607" spans="1:32" x14ac:dyDescent="0.2">
      <c r="A2607" s="1">
        <v>19659</v>
      </c>
      <c r="B2607" s="1" t="s">
        <v>8258</v>
      </c>
      <c r="C2607" s="5" t="s">
        <v>0</v>
      </c>
      <c r="D2607" s="1" t="s">
        <v>8259</v>
      </c>
      <c r="E2607" s="1" t="s">
        <v>8260</v>
      </c>
      <c r="F2607" s="1" t="s">
        <v>28</v>
      </c>
      <c r="G2607" s="1" t="s">
        <v>29</v>
      </c>
      <c r="H2607" s="1" t="s">
        <v>30</v>
      </c>
      <c r="I2607" s="1" t="s">
        <v>16</v>
      </c>
      <c r="J2607" s="1">
        <v>1</v>
      </c>
      <c r="K2607" s="1">
        <v>6</v>
      </c>
      <c r="L2607" s="1" t="s">
        <v>31</v>
      </c>
      <c r="M2607" s="1" t="s">
        <v>18</v>
      </c>
      <c r="N2607" s="1" t="s">
        <v>18</v>
      </c>
      <c r="O2607" s="1">
        <v>3</v>
      </c>
      <c r="P2607" s="1">
        <v>6</v>
      </c>
      <c r="R2607" s="1" t="s">
        <v>19</v>
      </c>
      <c r="S2607" s="1" t="s">
        <v>20</v>
      </c>
      <c r="T2607" s="1" t="s">
        <v>21</v>
      </c>
      <c r="U2607" s="1" t="s">
        <v>22</v>
      </c>
      <c r="V2607" s="1" t="s">
        <v>23</v>
      </c>
      <c r="W2607" s="1" t="s">
        <v>24</v>
      </c>
      <c r="X2607" s="1">
        <v>2706</v>
      </c>
      <c r="Y2607" s="1" t="s">
        <v>24</v>
      </c>
      <c r="Z2607" s="1" t="s">
        <v>24</v>
      </c>
      <c r="AA2607" s="1" t="s">
        <v>24</v>
      </c>
      <c r="AB2607" s="1" t="s">
        <v>24</v>
      </c>
      <c r="AC2607" s="1" t="s">
        <v>24</v>
      </c>
      <c r="AD2607" s="1" t="s">
        <v>24</v>
      </c>
      <c r="AE2607" s="1" t="s">
        <v>24</v>
      </c>
      <c r="AF2607" s="22"/>
    </row>
    <row r="2608" spans="1:32" x14ac:dyDescent="0.2">
      <c r="A2608" s="1">
        <v>19661</v>
      </c>
      <c r="B2608" s="1" t="s">
        <v>8261</v>
      </c>
      <c r="C2608" s="5" t="s">
        <v>0</v>
      </c>
      <c r="D2608" s="1" t="s">
        <v>8262</v>
      </c>
      <c r="F2608" s="1" t="s">
        <v>91</v>
      </c>
      <c r="G2608" s="1" t="s">
        <v>61</v>
      </c>
      <c r="H2608" s="1" t="s">
        <v>92</v>
      </c>
      <c r="I2608" s="1" t="s">
        <v>16</v>
      </c>
      <c r="J2608" s="1">
        <v>1</v>
      </c>
      <c r="K2608" s="1">
        <v>6</v>
      </c>
      <c r="L2608" s="1" t="s">
        <v>31</v>
      </c>
      <c r="M2608" s="1" t="s">
        <v>18</v>
      </c>
      <c r="N2608" s="1" t="s">
        <v>18</v>
      </c>
      <c r="O2608" s="1">
        <v>3</v>
      </c>
      <c r="P2608" s="1">
        <v>7</v>
      </c>
      <c r="Q2608" s="7" t="s">
        <v>17633</v>
      </c>
      <c r="R2608" s="1" t="s">
        <v>19</v>
      </c>
      <c r="S2608" s="1" t="s">
        <v>20</v>
      </c>
      <c r="T2608" s="1" t="s">
        <v>21</v>
      </c>
      <c r="U2608" s="1" t="s">
        <v>22</v>
      </c>
      <c r="V2608" s="1" t="s">
        <v>24</v>
      </c>
      <c r="W2608" s="1" t="s">
        <v>24</v>
      </c>
      <c r="X2608" s="1">
        <v>2746</v>
      </c>
      <c r="Y2608" s="1" t="s">
        <v>24</v>
      </c>
      <c r="Z2608" s="1" t="s">
        <v>24</v>
      </c>
      <c r="AA2608" s="1" t="s">
        <v>24</v>
      </c>
      <c r="AB2608" s="1" t="s">
        <v>24</v>
      </c>
      <c r="AC2608" s="1" t="s">
        <v>24</v>
      </c>
      <c r="AD2608" s="1" t="s">
        <v>24</v>
      </c>
      <c r="AE2608" s="1" t="s">
        <v>24</v>
      </c>
      <c r="AF2608" s="22" t="s">
        <v>17679</v>
      </c>
    </row>
    <row r="2609" spans="1:32" x14ac:dyDescent="0.2">
      <c r="A2609" s="1">
        <v>19662</v>
      </c>
      <c r="B2609" s="1" t="s">
        <v>8263</v>
      </c>
      <c r="C2609" s="5" t="s">
        <v>0</v>
      </c>
      <c r="D2609" s="1" t="s">
        <v>8264</v>
      </c>
      <c r="E2609" s="1" t="s">
        <v>8265</v>
      </c>
      <c r="F2609" s="1" t="s">
        <v>8266</v>
      </c>
      <c r="G2609" s="1" t="s">
        <v>8266</v>
      </c>
      <c r="H2609" s="1" t="s">
        <v>461</v>
      </c>
      <c r="I2609" s="1" t="s">
        <v>16</v>
      </c>
      <c r="J2609" s="1">
        <v>1</v>
      </c>
      <c r="K2609" s="1">
        <v>6</v>
      </c>
      <c r="L2609" s="1" t="s">
        <v>42</v>
      </c>
      <c r="M2609" s="1" t="s">
        <v>18</v>
      </c>
      <c r="N2609" s="1" t="s">
        <v>18</v>
      </c>
      <c r="O2609" s="1">
        <v>2</v>
      </c>
      <c r="P2609" s="1">
        <v>5</v>
      </c>
      <c r="R2609" s="1" t="s">
        <v>19</v>
      </c>
      <c r="S2609" s="1" t="s">
        <v>20</v>
      </c>
      <c r="T2609" s="1" t="s">
        <v>21</v>
      </c>
      <c r="U2609" s="1" t="s">
        <v>22</v>
      </c>
      <c r="V2609" s="1" t="s">
        <v>24</v>
      </c>
      <c r="W2609" s="1" t="s">
        <v>24</v>
      </c>
      <c r="X2609" s="1">
        <v>2726</v>
      </c>
      <c r="Y2609" s="1">
        <v>2725</v>
      </c>
      <c r="Z2609" s="1" t="s">
        <v>24</v>
      </c>
      <c r="AA2609" s="1" t="s">
        <v>24</v>
      </c>
      <c r="AB2609" s="1" t="s">
        <v>24</v>
      </c>
      <c r="AC2609" s="1" t="s">
        <v>24</v>
      </c>
      <c r="AD2609" s="1" t="s">
        <v>24</v>
      </c>
      <c r="AE2609" s="1" t="s">
        <v>24</v>
      </c>
      <c r="AF2609" s="22"/>
    </row>
    <row r="2610" spans="1:32" x14ac:dyDescent="0.2">
      <c r="A2610" s="1">
        <v>19668</v>
      </c>
      <c r="B2610" s="1" t="s">
        <v>8267</v>
      </c>
      <c r="C2610" s="5" t="s">
        <v>0</v>
      </c>
      <c r="D2610" s="1" t="s">
        <v>8268</v>
      </c>
      <c r="F2610" s="1" t="s">
        <v>8269</v>
      </c>
      <c r="G2610" s="1" t="s">
        <v>8270</v>
      </c>
      <c r="H2610" s="1" t="s">
        <v>69</v>
      </c>
      <c r="I2610" s="1" t="s">
        <v>16</v>
      </c>
      <c r="J2610" s="1">
        <v>1</v>
      </c>
      <c r="K2610" s="1">
        <v>4</v>
      </c>
      <c r="L2610" s="1" t="s">
        <v>42</v>
      </c>
      <c r="M2610" s="1" t="s">
        <v>70</v>
      </c>
      <c r="N2610" s="1" t="s">
        <v>18</v>
      </c>
      <c r="O2610" s="1">
        <v>3</v>
      </c>
      <c r="P2610" s="1">
        <v>4</v>
      </c>
      <c r="R2610" s="1" t="s">
        <v>19</v>
      </c>
      <c r="S2610" s="1" t="s">
        <v>20</v>
      </c>
      <c r="T2610" s="1" t="s">
        <v>21</v>
      </c>
      <c r="U2610" s="1" t="s">
        <v>22</v>
      </c>
      <c r="V2610" s="1" t="s">
        <v>24</v>
      </c>
      <c r="W2610" s="1" t="s">
        <v>24</v>
      </c>
      <c r="X2610" s="1">
        <v>2738</v>
      </c>
      <c r="Y2610" s="1" t="s">
        <v>24</v>
      </c>
      <c r="Z2610" s="1" t="s">
        <v>24</v>
      </c>
      <c r="AA2610" s="1" t="s">
        <v>24</v>
      </c>
      <c r="AB2610" s="1" t="s">
        <v>24</v>
      </c>
      <c r="AC2610" s="1" t="s">
        <v>24</v>
      </c>
      <c r="AD2610" s="1" t="s">
        <v>24</v>
      </c>
      <c r="AE2610" s="1" t="s">
        <v>24</v>
      </c>
      <c r="AF2610" s="22"/>
    </row>
    <row r="2611" spans="1:32" x14ac:dyDescent="0.2">
      <c r="A2611" s="1">
        <v>19675</v>
      </c>
      <c r="B2611" s="1" t="s">
        <v>8271</v>
      </c>
      <c r="C2611" s="5" t="s">
        <v>0</v>
      </c>
      <c r="D2611" s="1" t="s">
        <v>8272</v>
      </c>
      <c r="E2611" s="1" t="s">
        <v>8273</v>
      </c>
      <c r="F2611" s="1" t="s">
        <v>689</v>
      </c>
      <c r="G2611" s="1" t="s">
        <v>311</v>
      </c>
      <c r="H2611" s="1" t="s">
        <v>37</v>
      </c>
      <c r="I2611" s="1" t="s">
        <v>16</v>
      </c>
      <c r="J2611" s="1">
        <v>1</v>
      </c>
      <c r="K2611" s="1">
        <v>10</v>
      </c>
      <c r="L2611" s="1" t="s">
        <v>31</v>
      </c>
      <c r="M2611" s="1" t="s">
        <v>18</v>
      </c>
      <c r="N2611" s="1" t="s">
        <v>18</v>
      </c>
      <c r="O2611" s="1">
        <v>3</v>
      </c>
      <c r="P2611" s="1">
        <v>7</v>
      </c>
      <c r="Q2611" s="7" t="s">
        <v>17633</v>
      </c>
      <c r="R2611" s="1" t="s">
        <v>19</v>
      </c>
      <c r="S2611" s="1" t="s">
        <v>20</v>
      </c>
      <c r="T2611" s="1" t="s">
        <v>21</v>
      </c>
      <c r="U2611" s="1" t="s">
        <v>22</v>
      </c>
      <c r="V2611" s="1" t="s">
        <v>24</v>
      </c>
      <c r="W2611" s="1" t="s">
        <v>24</v>
      </c>
      <c r="X2611" s="1">
        <v>3205</v>
      </c>
      <c r="Y2611" s="1">
        <v>2805</v>
      </c>
      <c r="Z2611" s="1">
        <v>1201</v>
      </c>
      <c r="AA2611" s="1" t="s">
        <v>24</v>
      </c>
      <c r="AB2611" s="1" t="s">
        <v>24</v>
      </c>
      <c r="AC2611" s="1" t="s">
        <v>24</v>
      </c>
      <c r="AD2611" s="1" t="s">
        <v>24</v>
      </c>
      <c r="AE2611" s="1" t="s">
        <v>24</v>
      </c>
      <c r="AF2611" s="22"/>
    </row>
    <row r="2612" spans="1:32" x14ac:dyDescent="0.2">
      <c r="A2612" s="1">
        <v>19679</v>
      </c>
      <c r="B2612" s="1" t="s">
        <v>8274</v>
      </c>
      <c r="C2612" s="5" t="s">
        <v>0</v>
      </c>
      <c r="D2612" s="1" t="s">
        <v>8275</v>
      </c>
      <c r="E2612" s="1" t="s">
        <v>8276</v>
      </c>
      <c r="F2612" s="1" t="s">
        <v>689</v>
      </c>
      <c r="G2612" s="1" t="s">
        <v>311</v>
      </c>
      <c r="H2612" s="1" t="s">
        <v>37</v>
      </c>
      <c r="I2612" s="1" t="s">
        <v>16</v>
      </c>
      <c r="J2612" s="1">
        <v>1</v>
      </c>
      <c r="K2612" s="1">
        <v>6</v>
      </c>
      <c r="L2612" s="1" t="s">
        <v>31</v>
      </c>
      <c r="M2612" s="1" t="s">
        <v>18</v>
      </c>
      <c r="N2612" s="1" t="s">
        <v>18</v>
      </c>
      <c r="O2612" s="1">
        <v>3</v>
      </c>
      <c r="P2612" s="1">
        <v>7</v>
      </c>
      <c r="Q2612" s="7" t="s">
        <v>17633</v>
      </c>
      <c r="R2612" s="1" t="s">
        <v>19</v>
      </c>
      <c r="S2612" s="1" t="s">
        <v>20</v>
      </c>
      <c r="T2612" s="1" t="s">
        <v>21</v>
      </c>
      <c r="U2612" s="1" t="s">
        <v>22</v>
      </c>
      <c r="V2612" s="1" t="s">
        <v>24</v>
      </c>
      <c r="W2612" s="1" t="s">
        <v>24</v>
      </c>
      <c r="X2612" s="1">
        <v>3205</v>
      </c>
      <c r="Y2612" s="1" t="s">
        <v>24</v>
      </c>
      <c r="Z2612" s="1" t="s">
        <v>24</v>
      </c>
      <c r="AA2612" s="1" t="s">
        <v>24</v>
      </c>
      <c r="AB2612" s="1" t="s">
        <v>24</v>
      </c>
      <c r="AC2612" s="1" t="s">
        <v>24</v>
      </c>
      <c r="AD2612" s="1" t="s">
        <v>24</v>
      </c>
      <c r="AE2612" s="1" t="s">
        <v>24</v>
      </c>
      <c r="AF2612" s="22"/>
    </row>
    <row r="2613" spans="1:32" x14ac:dyDescent="0.2">
      <c r="A2613" s="1">
        <v>19680</v>
      </c>
      <c r="B2613" s="1" t="s">
        <v>8277</v>
      </c>
      <c r="C2613" s="5" t="s">
        <v>0</v>
      </c>
      <c r="D2613" s="1" t="s">
        <v>8278</v>
      </c>
      <c r="E2613" s="1" t="s">
        <v>8279</v>
      </c>
      <c r="F2613" s="1" t="s">
        <v>689</v>
      </c>
      <c r="G2613" s="1" t="s">
        <v>311</v>
      </c>
      <c r="H2613" s="1" t="s">
        <v>37</v>
      </c>
      <c r="I2613" s="1" t="s">
        <v>16</v>
      </c>
      <c r="J2613" s="1">
        <v>1</v>
      </c>
      <c r="K2613" s="1">
        <v>8</v>
      </c>
      <c r="L2613" s="1" t="s">
        <v>31</v>
      </c>
      <c r="M2613" s="1" t="s">
        <v>18</v>
      </c>
      <c r="N2613" s="1" t="s">
        <v>18</v>
      </c>
      <c r="O2613" s="1">
        <v>3</v>
      </c>
      <c r="P2613" s="1">
        <v>7</v>
      </c>
      <c r="Q2613" s="7" t="s">
        <v>17633</v>
      </c>
      <c r="R2613" s="1" t="s">
        <v>19</v>
      </c>
      <c r="S2613" s="1" t="s">
        <v>20</v>
      </c>
      <c r="T2613" s="1" t="s">
        <v>21</v>
      </c>
      <c r="U2613" s="1" t="s">
        <v>22</v>
      </c>
      <c r="V2613" s="1" t="s">
        <v>24</v>
      </c>
      <c r="W2613" s="1" t="s">
        <v>24</v>
      </c>
      <c r="X2613" s="1">
        <v>3205</v>
      </c>
      <c r="Y2613" s="1">
        <v>1201</v>
      </c>
      <c r="Z2613" s="1">
        <v>3204</v>
      </c>
      <c r="AA2613" s="1" t="s">
        <v>24</v>
      </c>
      <c r="AB2613" s="1" t="s">
        <v>24</v>
      </c>
      <c r="AC2613" s="1" t="s">
        <v>24</v>
      </c>
      <c r="AD2613" s="1" t="s">
        <v>24</v>
      </c>
      <c r="AE2613" s="1" t="s">
        <v>24</v>
      </c>
      <c r="AF2613" s="22"/>
    </row>
    <row r="2614" spans="1:32" x14ac:dyDescent="0.2">
      <c r="A2614" s="1">
        <v>19683</v>
      </c>
      <c r="B2614" s="1" t="s">
        <v>8280</v>
      </c>
      <c r="C2614" s="5" t="s">
        <v>0</v>
      </c>
      <c r="D2614" s="1" t="s">
        <v>8281</v>
      </c>
      <c r="E2614" s="1" t="s">
        <v>8282</v>
      </c>
      <c r="F2614" s="1" t="s">
        <v>689</v>
      </c>
      <c r="G2614" s="1" t="s">
        <v>311</v>
      </c>
      <c r="H2614" s="1" t="s">
        <v>37</v>
      </c>
      <c r="I2614" s="1" t="s">
        <v>16</v>
      </c>
      <c r="J2614" s="1">
        <v>1</v>
      </c>
      <c r="K2614" s="1">
        <v>10</v>
      </c>
      <c r="L2614" s="1" t="s">
        <v>31</v>
      </c>
      <c r="M2614" s="1" t="s">
        <v>18</v>
      </c>
      <c r="N2614" s="1" t="s">
        <v>18</v>
      </c>
      <c r="O2614" s="1">
        <v>3</v>
      </c>
      <c r="P2614" s="1">
        <v>7</v>
      </c>
      <c r="Q2614" s="7" t="s">
        <v>17633</v>
      </c>
      <c r="R2614" s="1" t="s">
        <v>19</v>
      </c>
      <c r="S2614" s="1" t="s">
        <v>20</v>
      </c>
      <c r="T2614" s="1" t="s">
        <v>21</v>
      </c>
      <c r="U2614" s="1" t="s">
        <v>22</v>
      </c>
      <c r="V2614" s="1" t="s">
        <v>23</v>
      </c>
      <c r="W2614" s="1" t="s">
        <v>24</v>
      </c>
      <c r="X2614" s="1">
        <v>3310</v>
      </c>
      <c r="Y2614" s="1">
        <v>3205</v>
      </c>
      <c r="Z2614" s="1">
        <v>1203</v>
      </c>
      <c r="AA2614" s="1">
        <v>3304</v>
      </c>
      <c r="AB2614" s="1" t="s">
        <v>24</v>
      </c>
      <c r="AC2614" s="1" t="s">
        <v>24</v>
      </c>
      <c r="AD2614" s="1" t="s">
        <v>24</v>
      </c>
      <c r="AE2614" s="1" t="s">
        <v>24</v>
      </c>
      <c r="AF2614" s="22"/>
    </row>
    <row r="2615" spans="1:32" x14ac:dyDescent="0.2">
      <c r="A2615" s="1">
        <v>19687</v>
      </c>
      <c r="B2615" s="1" t="s">
        <v>8283</v>
      </c>
      <c r="C2615" s="5" t="s">
        <v>0</v>
      </c>
      <c r="D2615" s="1" t="s">
        <v>8284</v>
      </c>
      <c r="E2615" s="1" t="s">
        <v>8285</v>
      </c>
      <c r="F2615" s="1" t="s">
        <v>1253</v>
      </c>
      <c r="G2615" s="1" t="s">
        <v>460</v>
      </c>
      <c r="H2615" s="1" t="s">
        <v>461</v>
      </c>
      <c r="I2615" s="1" t="s">
        <v>16</v>
      </c>
      <c r="J2615" s="1">
        <v>1</v>
      </c>
      <c r="K2615" s="1">
        <v>6</v>
      </c>
      <c r="L2615" s="1" t="s">
        <v>42</v>
      </c>
      <c r="M2615" s="1" t="s">
        <v>635</v>
      </c>
      <c r="N2615" s="1" t="s">
        <v>18</v>
      </c>
      <c r="O2615" s="1">
        <v>3</v>
      </c>
      <c r="P2615" s="1">
        <v>5</v>
      </c>
      <c r="R2615" s="1" t="s">
        <v>19</v>
      </c>
      <c r="S2615" s="1" t="s">
        <v>20</v>
      </c>
      <c r="T2615" s="1" t="s">
        <v>21</v>
      </c>
      <c r="U2615" s="1" t="s">
        <v>22</v>
      </c>
      <c r="V2615" s="1" t="s">
        <v>24</v>
      </c>
      <c r="W2615" s="1" t="s">
        <v>24</v>
      </c>
      <c r="X2615" s="1">
        <v>3005</v>
      </c>
      <c r="Y2615" s="1">
        <v>2307</v>
      </c>
      <c r="Z2615" s="1" t="s">
        <v>24</v>
      </c>
      <c r="AA2615" s="1" t="s">
        <v>24</v>
      </c>
      <c r="AB2615" s="1" t="s">
        <v>24</v>
      </c>
      <c r="AC2615" s="1" t="s">
        <v>24</v>
      </c>
      <c r="AD2615" s="1" t="s">
        <v>24</v>
      </c>
      <c r="AE2615" s="1" t="s">
        <v>24</v>
      </c>
      <c r="AF2615" s="22"/>
    </row>
    <row r="2616" spans="1:32" x14ac:dyDescent="0.2">
      <c r="A2616" s="1">
        <v>19692</v>
      </c>
      <c r="B2616" s="1" t="s">
        <v>8286</v>
      </c>
      <c r="C2616" s="5" t="s">
        <v>0</v>
      </c>
      <c r="D2616" s="1" t="s">
        <v>8287</v>
      </c>
      <c r="E2616" s="1" t="s">
        <v>8288</v>
      </c>
      <c r="F2616" s="1" t="s">
        <v>493</v>
      </c>
      <c r="G2616" s="1" t="s">
        <v>98</v>
      </c>
      <c r="H2616" s="1" t="s">
        <v>30</v>
      </c>
      <c r="I2616" s="1" t="s">
        <v>16</v>
      </c>
      <c r="J2616" s="1">
        <v>1</v>
      </c>
      <c r="K2616" s="1">
        <v>9</v>
      </c>
      <c r="L2616" s="1" t="s">
        <v>31</v>
      </c>
      <c r="M2616" s="1" t="s">
        <v>18</v>
      </c>
      <c r="N2616" s="1" t="s">
        <v>18</v>
      </c>
      <c r="O2616" s="1">
        <v>3</v>
      </c>
      <c r="P2616" s="1">
        <v>6</v>
      </c>
      <c r="R2616" s="1" t="s">
        <v>19</v>
      </c>
      <c r="S2616" s="1" t="s">
        <v>20</v>
      </c>
      <c r="T2616" s="1" t="s">
        <v>21</v>
      </c>
      <c r="U2616" s="1" t="s">
        <v>22</v>
      </c>
      <c r="V2616" s="1" t="s">
        <v>23</v>
      </c>
      <c r="W2616" s="1" t="s">
        <v>24</v>
      </c>
      <c r="X2616" s="1">
        <v>2728</v>
      </c>
      <c r="Y2616" s="1">
        <v>2742</v>
      </c>
      <c r="Z2616" s="1">
        <v>2808</v>
      </c>
      <c r="AA2616" s="1" t="s">
        <v>24</v>
      </c>
      <c r="AB2616" s="1" t="s">
        <v>24</v>
      </c>
      <c r="AC2616" s="1" t="s">
        <v>24</v>
      </c>
      <c r="AD2616" s="1" t="s">
        <v>24</v>
      </c>
      <c r="AE2616" s="1" t="s">
        <v>24</v>
      </c>
      <c r="AF2616" s="22"/>
    </row>
    <row r="2617" spans="1:32" x14ac:dyDescent="0.2">
      <c r="A2617" s="1">
        <v>19694</v>
      </c>
      <c r="B2617" s="1" t="s">
        <v>8289</v>
      </c>
      <c r="C2617" s="5" t="s">
        <v>0</v>
      </c>
      <c r="D2617" s="1" t="s">
        <v>8290</v>
      </c>
      <c r="E2617" s="1" t="s">
        <v>8291</v>
      </c>
      <c r="F2617" s="1" t="s">
        <v>109</v>
      </c>
      <c r="G2617" s="1" t="s">
        <v>110</v>
      </c>
      <c r="H2617" s="1" t="s">
        <v>111</v>
      </c>
      <c r="I2617" s="1" t="s">
        <v>16</v>
      </c>
      <c r="J2617" s="1">
        <v>4</v>
      </c>
      <c r="K2617" s="1">
        <v>2</v>
      </c>
      <c r="L2617" s="1" t="s">
        <v>31</v>
      </c>
      <c r="M2617" s="1" t="s">
        <v>18</v>
      </c>
      <c r="N2617" s="1" t="s">
        <v>18</v>
      </c>
      <c r="O2617" s="1">
        <v>3</v>
      </c>
      <c r="P2617" s="1">
        <v>6</v>
      </c>
      <c r="R2617" s="1" t="s">
        <v>19</v>
      </c>
      <c r="S2617" s="1" t="s">
        <v>20</v>
      </c>
      <c r="T2617" s="1" t="s">
        <v>21</v>
      </c>
      <c r="U2617" s="1" t="s">
        <v>22</v>
      </c>
      <c r="V2617" s="1" t="s">
        <v>24</v>
      </c>
      <c r="W2617" s="1" t="s">
        <v>24</v>
      </c>
      <c r="X2617" s="1">
        <v>1305</v>
      </c>
      <c r="Y2617" s="1">
        <v>2402</v>
      </c>
      <c r="Z2617" s="1">
        <v>1312</v>
      </c>
      <c r="AA2617" s="1">
        <v>2404</v>
      </c>
      <c r="AB2617" s="1" t="s">
        <v>24</v>
      </c>
      <c r="AC2617" s="1" t="s">
        <v>24</v>
      </c>
      <c r="AD2617" s="1" t="s">
        <v>24</v>
      </c>
      <c r="AE2617" s="1" t="s">
        <v>24</v>
      </c>
      <c r="AF2617" s="22"/>
    </row>
    <row r="2618" spans="1:32" x14ac:dyDescent="0.2">
      <c r="A2618" s="1">
        <v>19697</v>
      </c>
      <c r="B2618" s="1" t="s">
        <v>8292</v>
      </c>
      <c r="C2618" s="5" t="s">
        <v>0</v>
      </c>
      <c r="D2618" s="1" t="s">
        <v>8293</v>
      </c>
      <c r="F2618" s="1" t="s">
        <v>1100</v>
      </c>
      <c r="G2618" s="1" t="s">
        <v>1100</v>
      </c>
      <c r="H2618" s="1" t="s">
        <v>731</v>
      </c>
      <c r="I2618" s="1" t="s">
        <v>16</v>
      </c>
      <c r="J2618" s="1">
        <v>1</v>
      </c>
      <c r="K2618" s="1">
        <v>4</v>
      </c>
      <c r="L2618" s="1" t="s">
        <v>42</v>
      </c>
      <c r="M2618" s="1" t="s">
        <v>18</v>
      </c>
      <c r="N2618" s="1" t="s">
        <v>18</v>
      </c>
      <c r="O2618" s="1">
        <v>3</v>
      </c>
      <c r="P2618" s="1">
        <v>6</v>
      </c>
      <c r="R2618" s="1" t="s">
        <v>19</v>
      </c>
      <c r="S2618" s="1" t="s">
        <v>20</v>
      </c>
      <c r="T2618" s="1" t="s">
        <v>21</v>
      </c>
      <c r="U2618" s="1" t="s">
        <v>22</v>
      </c>
      <c r="V2618" s="1" t="s">
        <v>23</v>
      </c>
      <c r="W2618" s="1" t="s">
        <v>24</v>
      </c>
      <c r="X2618" s="1">
        <v>2703</v>
      </c>
      <c r="Y2618" s="1">
        <v>2808</v>
      </c>
      <c r="Z2618" s="1" t="s">
        <v>24</v>
      </c>
      <c r="AA2618" s="1" t="s">
        <v>24</v>
      </c>
      <c r="AB2618" s="1" t="s">
        <v>24</v>
      </c>
      <c r="AC2618" s="1" t="s">
        <v>24</v>
      </c>
      <c r="AD2618" s="1" t="s">
        <v>24</v>
      </c>
      <c r="AE2618" s="1" t="s">
        <v>24</v>
      </c>
      <c r="AF2618" s="22"/>
    </row>
    <row r="2619" spans="1:32" x14ac:dyDescent="0.2">
      <c r="A2619" s="1">
        <v>19698</v>
      </c>
      <c r="B2619" s="1" t="s">
        <v>8294</v>
      </c>
      <c r="C2619" s="5" t="s">
        <v>0</v>
      </c>
      <c r="D2619" s="1" t="s">
        <v>8295</v>
      </c>
      <c r="F2619" s="1" t="s">
        <v>8296</v>
      </c>
      <c r="G2619" s="1" t="s">
        <v>8296</v>
      </c>
      <c r="H2619" s="1" t="s">
        <v>731</v>
      </c>
      <c r="I2619" s="1" t="s">
        <v>16</v>
      </c>
      <c r="J2619" s="1">
        <v>1</v>
      </c>
      <c r="K2619" s="1">
        <v>4</v>
      </c>
      <c r="L2619" s="1" t="s">
        <v>42</v>
      </c>
      <c r="M2619" s="1" t="s">
        <v>18</v>
      </c>
      <c r="N2619" s="1" t="s">
        <v>18</v>
      </c>
      <c r="O2619" s="1">
        <v>3</v>
      </c>
      <c r="P2619" s="1">
        <v>6</v>
      </c>
      <c r="R2619" s="1" t="s">
        <v>19</v>
      </c>
      <c r="S2619" s="1" t="s">
        <v>63</v>
      </c>
      <c r="T2619" s="1" t="s">
        <v>21</v>
      </c>
      <c r="U2619" s="1" t="s">
        <v>22</v>
      </c>
      <c r="V2619" s="1" t="s">
        <v>24</v>
      </c>
      <c r="W2619" s="1" t="s">
        <v>24</v>
      </c>
      <c r="X2619" s="1">
        <v>2705</v>
      </c>
      <c r="Y2619" s="1">
        <v>2737</v>
      </c>
      <c r="Z2619" s="1">
        <v>1314</v>
      </c>
      <c r="AA2619" s="1" t="s">
        <v>24</v>
      </c>
      <c r="AB2619" s="1" t="s">
        <v>24</v>
      </c>
      <c r="AC2619" s="1" t="s">
        <v>24</v>
      </c>
      <c r="AD2619" s="1" t="s">
        <v>24</v>
      </c>
      <c r="AE2619" s="1" t="s">
        <v>24</v>
      </c>
      <c r="AF2619" s="22"/>
    </row>
    <row r="2620" spans="1:32" x14ac:dyDescent="0.2">
      <c r="A2620" s="1">
        <v>19699</v>
      </c>
      <c r="B2620" s="1" t="s">
        <v>8297</v>
      </c>
      <c r="C2620" s="5" t="s">
        <v>0</v>
      </c>
      <c r="D2620" s="1" t="s">
        <v>8298</v>
      </c>
      <c r="F2620" s="1" t="s">
        <v>1100</v>
      </c>
      <c r="G2620" s="1" t="s">
        <v>1100</v>
      </c>
      <c r="H2620" s="1" t="s">
        <v>731</v>
      </c>
      <c r="I2620" s="1" t="s">
        <v>16</v>
      </c>
      <c r="J2620" s="1">
        <v>1</v>
      </c>
      <c r="K2620" s="1">
        <v>10</v>
      </c>
      <c r="L2620" s="1" t="s">
        <v>42</v>
      </c>
      <c r="M2620" s="1" t="s">
        <v>105</v>
      </c>
      <c r="N2620" s="1" t="s">
        <v>105</v>
      </c>
      <c r="O2620" s="1">
        <v>3</v>
      </c>
      <c r="P2620" s="1">
        <v>6</v>
      </c>
      <c r="R2620" s="1" t="s">
        <v>19</v>
      </c>
      <c r="S2620" s="1" t="s">
        <v>20</v>
      </c>
      <c r="T2620" s="1" t="s">
        <v>21</v>
      </c>
      <c r="U2620" s="1" t="s">
        <v>22</v>
      </c>
      <c r="V2620" s="1" t="s">
        <v>23</v>
      </c>
      <c r="W2620" s="1" t="s">
        <v>24</v>
      </c>
      <c r="X2620" s="1">
        <v>2735</v>
      </c>
      <c r="Y2620" s="1" t="s">
        <v>24</v>
      </c>
      <c r="Z2620" s="1" t="s">
        <v>24</v>
      </c>
      <c r="AA2620" s="1" t="s">
        <v>24</v>
      </c>
      <c r="AB2620" s="1" t="s">
        <v>24</v>
      </c>
      <c r="AC2620" s="1" t="s">
        <v>24</v>
      </c>
      <c r="AD2620" s="1" t="s">
        <v>24</v>
      </c>
      <c r="AE2620" s="1" t="s">
        <v>24</v>
      </c>
      <c r="AF2620" s="22"/>
    </row>
    <row r="2621" spans="1:32" x14ac:dyDescent="0.2">
      <c r="A2621" s="1">
        <v>19700</v>
      </c>
      <c r="B2621" s="1" t="s">
        <v>8299</v>
      </c>
      <c r="C2621" s="5" t="s">
        <v>0</v>
      </c>
      <c r="D2621" s="1" t="s">
        <v>8300</v>
      </c>
      <c r="E2621" s="1" t="s">
        <v>8301</v>
      </c>
      <c r="F2621" s="1" t="s">
        <v>167</v>
      </c>
      <c r="G2621" s="1" t="s">
        <v>130</v>
      </c>
      <c r="H2621" s="1" t="s">
        <v>168</v>
      </c>
      <c r="I2621" s="1" t="s">
        <v>16</v>
      </c>
      <c r="J2621" s="1">
        <v>1</v>
      </c>
      <c r="K2621" s="1">
        <v>12</v>
      </c>
      <c r="L2621" s="1" t="s">
        <v>31</v>
      </c>
      <c r="M2621" s="1" t="s">
        <v>18</v>
      </c>
      <c r="N2621" s="1" t="s">
        <v>18</v>
      </c>
      <c r="O2621" s="1">
        <v>3</v>
      </c>
      <c r="P2621" s="1">
        <v>7</v>
      </c>
      <c r="Q2621" s="7" t="s">
        <v>17633</v>
      </c>
      <c r="R2621" s="1" t="s">
        <v>19</v>
      </c>
      <c r="S2621" s="1" t="s">
        <v>20</v>
      </c>
      <c r="T2621" s="1" t="s">
        <v>21</v>
      </c>
      <c r="U2621" s="1" t="s">
        <v>22</v>
      </c>
      <c r="V2621" s="1" t="s">
        <v>23</v>
      </c>
      <c r="W2621" s="1" t="s">
        <v>24</v>
      </c>
      <c r="X2621" s="1">
        <v>2741</v>
      </c>
      <c r="Y2621" s="1" t="s">
        <v>24</v>
      </c>
      <c r="Z2621" s="1" t="s">
        <v>24</v>
      </c>
      <c r="AA2621" s="1" t="s">
        <v>24</v>
      </c>
      <c r="AB2621" s="1" t="s">
        <v>24</v>
      </c>
      <c r="AC2621" s="1" t="s">
        <v>24</v>
      </c>
      <c r="AD2621" s="1" t="s">
        <v>24</v>
      </c>
      <c r="AE2621" s="1" t="s">
        <v>24</v>
      </c>
      <c r="AF2621" s="22"/>
    </row>
    <row r="2622" spans="1:32" x14ac:dyDescent="0.2">
      <c r="A2622" s="1">
        <v>19710</v>
      </c>
      <c r="B2622" s="1" t="s">
        <v>8302</v>
      </c>
      <c r="C2622" s="5" t="s">
        <v>0</v>
      </c>
      <c r="D2622" s="1" t="s">
        <v>8303</v>
      </c>
      <c r="E2622" s="1" t="s">
        <v>8304</v>
      </c>
      <c r="F2622" s="1" t="s">
        <v>412</v>
      </c>
      <c r="G2622" s="1" t="s">
        <v>372</v>
      </c>
      <c r="H2622" s="1" t="s">
        <v>168</v>
      </c>
      <c r="I2622" s="1" t="s">
        <v>16</v>
      </c>
      <c r="J2622" s="1">
        <v>1</v>
      </c>
      <c r="K2622" s="1">
        <v>12</v>
      </c>
      <c r="L2622" s="1" t="s">
        <v>31</v>
      </c>
      <c r="M2622" s="1" t="s">
        <v>679</v>
      </c>
      <c r="N2622" s="1" t="s">
        <v>18</v>
      </c>
      <c r="O2622" s="1">
        <v>3</v>
      </c>
      <c r="P2622" s="1">
        <v>7</v>
      </c>
      <c r="Q2622" s="7" t="s">
        <v>17633</v>
      </c>
      <c r="R2622" s="1" t="s">
        <v>19</v>
      </c>
      <c r="S2622" s="1" t="s">
        <v>63</v>
      </c>
      <c r="T2622" s="1" t="s">
        <v>21</v>
      </c>
      <c r="U2622" s="1" t="s">
        <v>22</v>
      </c>
      <c r="V2622" s="1" t="s">
        <v>23</v>
      </c>
      <c r="W2622" s="1" t="s">
        <v>24</v>
      </c>
      <c r="X2622" s="1">
        <v>2741</v>
      </c>
      <c r="Y2622" s="1" t="s">
        <v>24</v>
      </c>
      <c r="Z2622" s="1" t="s">
        <v>24</v>
      </c>
      <c r="AA2622" s="1" t="s">
        <v>24</v>
      </c>
      <c r="AB2622" s="1" t="s">
        <v>24</v>
      </c>
      <c r="AC2622" s="1" t="s">
        <v>24</v>
      </c>
      <c r="AD2622" s="1" t="s">
        <v>24</v>
      </c>
      <c r="AE2622" s="1" t="s">
        <v>24</v>
      </c>
      <c r="AF2622" s="22"/>
    </row>
    <row r="2623" spans="1:32" x14ac:dyDescent="0.2">
      <c r="A2623" s="1">
        <v>19711</v>
      </c>
      <c r="B2623" s="1" t="s">
        <v>8305</v>
      </c>
      <c r="C2623" s="5" t="s">
        <v>0</v>
      </c>
      <c r="D2623" s="1" t="s">
        <v>8306</v>
      </c>
      <c r="F2623" s="1" t="s">
        <v>1801</v>
      </c>
      <c r="G2623" s="1" t="s">
        <v>6022</v>
      </c>
      <c r="H2623" s="1" t="s">
        <v>168</v>
      </c>
      <c r="I2623" s="1" t="s">
        <v>16</v>
      </c>
      <c r="J2623" s="1">
        <v>1</v>
      </c>
      <c r="K2623" s="1">
        <v>52</v>
      </c>
      <c r="L2623" s="1" t="s">
        <v>17</v>
      </c>
      <c r="M2623" s="1" t="s">
        <v>413</v>
      </c>
      <c r="N2623" s="1" t="s">
        <v>679</v>
      </c>
      <c r="O2623" s="1">
        <v>2</v>
      </c>
      <c r="P2623" s="1">
        <v>5</v>
      </c>
      <c r="R2623" s="1" t="s">
        <v>19</v>
      </c>
      <c r="S2623" s="1" t="s">
        <v>20</v>
      </c>
      <c r="T2623" s="1" t="s">
        <v>21</v>
      </c>
      <c r="U2623" s="1" t="s">
        <v>22</v>
      </c>
      <c r="V2623" s="1" t="s">
        <v>24</v>
      </c>
      <c r="W2623" s="1" t="s">
        <v>24</v>
      </c>
      <c r="X2623" s="1">
        <v>2700</v>
      </c>
      <c r="Y2623" s="1" t="s">
        <v>24</v>
      </c>
      <c r="Z2623" s="1" t="s">
        <v>24</v>
      </c>
      <c r="AA2623" s="1" t="s">
        <v>24</v>
      </c>
      <c r="AB2623" s="1" t="s">
        <v>24</v>
      </c>
      <c r="AC2623" s="1" t="s">
        <v>24</v>
      </c>
      <c r="AD2623" s="1" t="s">
        <v>24</v>
      </c>
      <c r="AE2623" s="1" t="s">
        <v>24</v>
      </c>
      <c r="AF2623" s="22" t="s">
        <v>17679</v>
      </c>
    </row>
    <row r="2624" spans="1:32" x14ac:dyDescent="0.2">
      <c r="A2624" s="1">
        <v>19714</v>
      </c>
      <c r="B2624" s="1" t="s">
        <v>8307</v>
      </c>
      <c r="C2624" s="5" t="s">
        <v>0</v>
      </c>
      <c r="D2624" s="1" t="s">
        <v>8308</v>
      </c>
      <c r="E2624" s="1" t="s">
        <v>8309</v>
      </c>
      <c r="F2624" s="1" t="s">
        <v>8040</v>
      </c>
      <c r="G2624" s="1" t="s">
        <v>8041</v>
      </c>
      <c r="H2624" s="1" t="s">
        <v>37</v>
      </c>
      <c r="I2624" s="1" t="s">
        <v>16</v>
      </c>
      <c r="J2624" s="1">
        <v>1</v>
      </c>
      <c r="K2624" s="1">
        <v>4</v>
      </c>
      <c r="L2624" s="1" t="s">
        <v>31</v>
      </c>
      <c r="M2624" s="1" t="s">
        <v>18</v>
      </c>
      <c r="N2624" s="1" t="s">
        <v>18</v>
      </c>
      <c r="O2624" s="1">
        <v>3</v>
      </c>
      <c r="P2624" s="1">
        <v>6</v>
      </c>
      <c r="R2624" s="1" t="s">
        <v>19</v>
      </c>
      <c r="S2624" s="1" t="s">
        <v>20</v>
      </c>
      <c r="T2624" s="1" t="s">
        <v>21</v>
      </c>
      <c r="U2624" s="1" t="s">
        <v>22</v>
      </c>
      <c r="V2624" s="1" t="s">
        <v>24</v>
      </c>
      <c r="W2624" s="1" t="s">
        <v>24</v>
      </c>
      <c r="X2624" s="1">
        <v>1405</v>
      </c>
      <c r="Y2624" s="1">
        <v>1502</v>
      </c>
      <c r="Z2624" s="1" t="s">
        <v>24</v>
      </c>
      <c r="AA2624" s="1" t="s">
        <v>24</v>
      </c>
      <c r="AB2624" s="1" t="s">
        <v>24</v>
      </c>
      <c r="AC2624" s="1" t="s">
        <v>24</v>
      </c>
      <c r="AD2624" s="1" t="s">
        <v>24</v>
      </c>
      <c r="AE2624" s="1" t="s">
        <v>24</v>
      </c>
      <c r="AF2624" s="22"/>
    </row>
    <row r="2625" spans="1:32" x14ac:dyDescent="0.2">
      <c r="A2625" s="1">
        <v>19722</v>
      </c>
      <c r="B2625" s="1" t="s">
        <v>8310</v>
      </c>
      <c r="C2625" s="5" t="s">
        <v>0</v>
      </c>
      <c r="D2625" s="1" t="s">
        <v>8311</v>
      </c>
      <c r="E2625" s="1" t="s">
        <v>7121</v>
      </c>
      <c r="F2625" s="1" t="s">
        <v>3134</v>
      </c>
      <c r="G2625" s="1" t="s">
        <v>3134</v>
      </c>
      <c r="H2625" s="1" t="s">
        <v>249</v>
      </c>
      <c r="I2625" s="1" t="s">
        <v>16</v>
      </c>
      <c r="J2625" s="1">
        <v>1</v>
      </c>
      <c r="K2625" s="1">
        <v>4</v>
      </c>
      <c r="L2625" s="1" t="s">
        <v>42</v>
      </c>
      <c r="M2625" s="1" t="s">
        <v>18</v>
      </c>
      <c r="N2625" s="1" t="s">
        <v>18</v>
      </c>
      <c r="O2625" s="1">
        <v>3</v>
      </c>
      <c r="P2625" s="1">
        <v>6</v>
      </c>
      <c r="R2625" s="1" t="s">
        <v>19</v>
      </c>
      <c r="S2625" s="1" t="s">
        <v>20</v>
      </c>
      <c r="T2625" s="1" t="s">
        <v>21</v>
      </c>
      <c r="U2625" s="1" t="s">
        <v>22</v>
      </c>
      <c r="V2625" s="1" t="s">
        <v>24</v>
      </c>
      <c r="W2625" s="1" t="s">
        <v>24</v>
      </c>
      <c r="X2625" s="1">
        <v>2734</v>
      </c>
      <c r="Y2625" s="1">
        <v>2728</v>
      </c>
      <c r="Z2625" s="1" t="s">
        <v>24</v>
      </c>
      <c r="AA2625" s="1" t="s">
        <v>24</v>
      </c>
      <c r="AB2625" s="1" t="s">
        <v>24</v>
      </c>
      <c r="AC2625" s="1" t="s">
        <v>24</v>
      </c>
      <c r="AD2625" s="1" t="s">
        <v>24</v>
      </c>
      <c r="AE2625" s="1" t="s">
        <v>24</v>
      </c>
      <c r="AF2625" s="22"/>
    </row>
    <row r="2626" spans="1:32" x14ac:dyDescent="0.2">
      <c r="A2626" s="1">
        <v>19726</v>
      </c>
      <c r="B2626" s="1" t="s">
        <v>8312</v>
      </c>
      <c r="C2626" s="5" t="s">
        <v>0</v>
      </c>
      <c r="D2626" s="1" t="s">
        <v>8313</v>
      </c>
      <c r="F2626" s="1" t="s">
        <v>8314</v>
      </c>
      <c r="G2626" s="1" t="s">
        <v>8315</v>
      </c>
      <c r="H2626" s="1" t="s">
        <v>249</v>
      </c>
      <c r="I2626" s="1" t="s">
        <v>16</v>
      </c>
      <c r="J2626" s="1">
        <v>1</v>
      </c>
      <c r="K2626" s="1">
        <v>4</v>
      </c>
      <c r="L2626" s="1" t="s">
        <v>31</v>
      </c>
      <c r="M2626" s="1" t="s">
        <v>250</v>
      </c>
      <c r="N2626" s="1" t="s">
        <v>1463</v>
      </c>
      <c r="O2626" s="1">
        <v>1</v>
      </c>
      <c r="P2626" s="1">
        <v>5</v>
      </c>
      <c r="R2626" s="1" t="s">
        <v>19</v>
      </c>
      <c r="S2626" s="1" t="s">
        <v>20</v>
      </c>
      <c r="T2626" s="1" t="s">
        <v>21</v>
      </c>
      <c r="U2626" s="1" t="s">
        <v>22</v>
      </c>
      <c r="V2626" s="1" t="s">
        <v>24</v>
      </c>
      <c r="W2626" s="1" t="s">
        <v>24</v>
      </c>
      <c r="X2626" s="1">
        <v>2723</v>
      </c>
      <c r="Y2626" s="1">
        <v>2740</v>
      </c>
      <c r="Z2626" s="1" t="s">
        <v>24</v>
      </c>
      <c r="AA2626" s="1" t="s">
        <v>24</v>
      </c>
      <c r="AB2626" s="1" t="s">
        <v>24</v>
      </c>
      <c r="AC2626" s="1" t="s">
        <v>24</v>
      </c>
      <c r="AD2626" s="1" t="s">
        <v>24</v>
      </c>
      <c r="AE2626" s="1" t="s">
        <v>24</v>
      </c>
      <c r="AF2626" s="22"/>
    </row>
    <row r="2627" spans="1:32" x14ac:dyDescent="0.2">
      <c r="A2627" s="1">
        <v>19727</v>
      </c>
      <c r="B2627" s="1" t="s">
        <v>8316</v>
      </c>
      <c r="C2627" s="5" t="s">
        <v>0</v>
      </c>
      <c r="D2627" s="1" t="s">
        <v>8317</v>
      </c>
      <c r="E2627" s="1" t="s">
        <v>8318</v>
      </c>
      <c r="F2627" s="1" t="s">
        <v>8319</v>
      </c>
      <c r="G2627" s="1" t="s">
        <v>8319</v>
      </c>
      <c r="H2627" s="1" t="s">
        <v>69</v>
      </c>
      <c r="I2627" s="1" t="s">
        <v>16</v>
      </c>
      <c r="J2627" s="1">
        <v>1</v>
      </c>
      <c r="K2627" s="1">
        <v>6</v>
      </c>
      <c r="L2627" s="1" t="s">
        <v>42</v>
      </c>
      <c r="M2627" s="1" t="s">
        <v>70</v>
      </c>
      <c r="N2627" s="1" t="s">
        <v>75</v>
      </c>
      <c r="O2627" s="1">
        <v>1</v>
      </c>
      <c r="P2627" s="1">
        <v>5</v>
      </c>
      <c r="R2627" s="1" t="s">
        <v>19</v>
      </c>
      <c r="S2627" s="1" t="s">
        <v>20</v>
      </c>
      <c r="T2627" s="1" t="s">
        <v>21</v>
      </c>
      <c r="U2627" s="1" t="s">
        <v>22</v>
      </c>
      <c r="V2627" s="1" t="s">
        <v>24</v>
      </c>
      <c r="W2627" s="1" t="s">
        <v>24</v>
      </c>
      <c r="X2627" s="1">
        <v>2729</v>
      </c>
      <c r="Y2627" s="1" t="s">
        <v>24</v>
      </c>
      <c r="Z2627" s="1" t="s">
        <v>24</v>
      </c>
      <c r="AA2627" s="1" t="s">
        <v>24</v>
      </c>
      <c r="AB2627" s="1" t="s">
        <v>24</v>
      </c>
      <c r="AC2627" s="1" t="s">
        <v>24</v>
      </c>
      <c r="AD2627" s="1" t="s">
        <v>24</v>
      </c>
      <c r="AE2627" s="1" t="s">
        <v>24</v>
      </c>
      <c r="AF2627" s="22"/>
    </row>
    <row r="2628" spans="1:32" x14ac:dyDescent="0.2">
      <c r="A2628" s="1">
        <v>19730</v>
      </c>
      <c r="B2628" s="1" t="s">
        <v>8320</v>
      </c>
      <c r="C2628" s="5" t="s">
        <v>0</v>
      </c>
      <c r="D2628" s="1" t="s">
        <v>8321</v>
      </c>
      <c r="F2628" s="1" t="s">
        <v>85</v>
      </c>
      <c r="G2628" s="1" t="s">
        <v>61</v>
      </c>
      <c r="H2628" s="1" t="s">
        <v>86</v>
      </c>
      <c r="I2628" s="1" t="s">
        <v>16</v>
      </c>
      <c r="J2628" s="1">
        <v>11</v>
      </c>
      <c r="K2628" s="1">
        <v>1</v>
      </c>
      <c r="L2628" s="1" t="s">
        <v>31</v>
      </c>
      <c r="M2628" s="1" t="s">
        <v>87</v>
      </c>
      <c r="N2628" s="1" t="s">
        <v>87</v>
      </c>
      <c r="O2628" s="1">
        <v>0</v>
      </c>
      <c r="P2628" s="1">
        <v>5</v>
      </c>
      <c r="R2628" s="1" t="s">
        <v>19</v>
      </c>
      <c r="S2628" s="1" t="s">
        <v>20</v>
      </c>
      <c r="T2628" s="1" t="s">
        <v>21</v>
      </c>
      <c r="U2628" s="1" t="s">
        <v>22</v>
      </c>
      <c r="V2628" s="1" t="s">
        <v>24</v>
      </c>
      <c r="W2628" s="1" t="s">
        <v>24</v>
      </c>
      <c r="X2628" s="1">
        <v>3004</v>
      </c>
      <c r="Y2628" s="1">
        <v>2736</v>
      </c>
      <c r="Z2628" s="1" t="s">
        <v>24</v>
      </c>
      <c r="AA2628" s="1" t="s">
        <v>24</v>
      </c>
      <c r="AB2628" s="1" t="s">
        <v>24</v>
      </c>
      <c r="AC2628" s="1" t="s">
        <v>24</v>
      </c>
      <c r="AD2628" s="1" t="s">
        <v>24</v>
      </c>
      <c r="AE2628" s="1" t="s">
        <v>24</v>
      </c>
      <c r="AF2628" s="22"/>
    </row>
    <row r="2629" spans="1:32" x14ac:dyDescent="0.2">
      <c r="A2629" s="1">
        <v>19757</v>
      </c>
      <c r="B2629" s="1" t="s">
        <v>8322</v>
      </c>
      <c r="C2629" s="5" t="s">
        <v>0</v>
      </c>
      <c r="D2629" s="1" t="s">
        <v>8323</v>
      </c>
      <c r="E2629" s="1" t="s">
        <v>8324</v>
      </c>
      <c r="F2629" s="1" t="s">
        <v>555</v>
      </c>
      <c r="G2629" s="1" t="s">
        <v>36</v>
      </c>
      <c r="H2629" s="1" t="s">
        <v>37</v>
      </c>
      <c r="I2629" s="1" t="s">
        <v>16</v>
      </c>
      <c r="J2629" s="1">
        <v>1</v>
      </c>
      <c r="K2629" s="1">
        <v>8</v>
      </c>
      <c r="L2629" s="1" t="s">
        <v>31</v>
      </c>
      <c r="M2629" s="1" t="s">
        <v>18</v>
      </c>
      <c r="N2629" s="1" t="s">
        <v>18</v>
      </c>
      <c r="O2629" s="1">
        <v>3</v>
      </c>
      <c r="P2629" s="1">
        <v>6</v>
      </c>
      <c r="R2629" s="1" t="s">
        <v>19</v>
      </c>
      <c r="S2629" s="1" t="s">
        <v>20</v>
      </c>
      <c r="T2629" s="1" t="s">
        <v>21</v>
      </c>
      <c r="U2629" s="1" t="s">
        <v>22</v>
      </c>
      <c r="V2629" s="1" t="s">
        <v>24</v>
      </c>
      <c r="W2629" s="1" t="s">
        <v>24</v>
      </c>
      <c r="X2629" s="1">
        <v>2715</v>
      </c>
      <c r="Y2629" s="1">
        <v>2721</v>
      </c>
      <c r="Z2629" s="1" t="s">
        <v>24</v>
      </c>
      <c r="AA2629" s="1" t="s">
        <v>24</v>
      </c>
      <c r="AB2629" s="1" t="s">
        <v>24</v>
      </c>
      <c r="AC2629" s="1" t="s">
        <v>24</v>
      </c>
      <c r="AD2629" s="1" t="s">
        <v>24</v>
      </c>
      <c r="AE2629" s="1" t="s">
        <v>24</v>
      </c>
      <c r="AF2629" s="22"/>
    </row>
    <row r="2630" spans="1:32" x14ac:dyDescent="0.2">
      <c r="A2630" s="1">
        <v>19758</v>
      </c>
      <c r="B2630" s="1" t="s">
        <v>8325</v>
      </c>
      <c r="C2630" s="5" t="s">
        <v>0</v>
      </c>
      <c r="D2630" s="1" t="s">
        <v>8326</v>
      </c>
      <c r="E2630" s="1" t="s">
        <v>8327</v>
      </c>
      <c r="F2630" s="1" t="s">
        <v>35</v>
      </c>
      <c r="G2630" s="1" t="s">
        <v>36</v>
      </c>
      <c r="H2630" s="1" t="s">
        <v>37</v>
      </c>
      <c r="I2630" s="1" t="s">
        <v>16</v>
      </c>
      <c r="J2630" s="1">
        <v>1</v>
      </c>
      <c r="K2630" s="1">
        <v>12</v>
      </c>
      <c r="L2630" s="1" t="s">
        <v>31</v>
      </c>
      <c r="M2630" s="1" t="s">
        <v>18</v>
      </c>
      <c r="N2630" s="1" t="s">
        <v>18</v>
      </c>
      <c r="O2630" s="1">
        <v>3</v>
      </c>
      <c r="P2630" s="1">
        <v>7</v>
      </c>
      <c r="Q2630" s="7" t="s">
        <v>17633</v>
      </c>
      <c r="R2630" s="1" t="s">
        <v>62</v>
      </c>
      <c r="S2630" s="1" t="s">
        <v>20</v>
      </c>
      <c r="T2630" s="1" t="s">
        <v>21</v>
      </c>
      <c r="U2630" s="1" t="s">
        <v>22</v>
      </c>
      <c r="V2630" s="1" t="s">
        <v>24</v>
      </c>
      <c r="W2630" s="1" t="s">
        <v>24</v>
      </c>
      <c r="X2630" s="1">
        <v>2404</v>
      </c>
      <c r="Y2630" s="1">
        <v>2403</v>
      </c>
      <c r="Z2630" s="1">
        <v>2406</v>
      </c>
      <c r="AA2630" s="1" t="s">
        <v>24</v>
      </c>
      <c r="AB2630" s="1" t="s">
        <v>24</v>
      </c>
      <c r="AC2630" s="1" t="s">
        <v>24</v>
      </c>
      <c r="AD2630" s="1" t="s">
        <v>24</v>
      </c>
      <c r="AE2630" s="1" t="s">
        <v>24</v>
      </c>
      <c r="AF2630" s="22"/>
    </row>
    <row r="2631" spans="1:32" x14ac:dyDescent="0.2">
      <c r="A2631" s="1">
        <v>19761</v>
      </c>
      <c r="B2631" s="1" t="s">
        <v>8328</v>
      </c>
      <c r="C2631" s="5" t="s">
        <v>0</v>
      </c>
      <c r="E2631" s="1" t="s">
        <v>8329</v>
      </c>
      <c r="F2631" s="1" t="s">
        <v>1887</v>
      </c>
      <c r="G2631" s="1" t="s">
        <v>254</v>
      </c>
      <c r="H2631" s="1" t="s">
        <v>168</v>
      </c>
      <c r="I2631" s="1" t="s">
        <v>16</v>
      </c>
      <c r="J2631" s="1">
        <v>1</v>
      </c>
      <c r="K2631" s="1">
        <v>2</v>
      </c>
      <c r="L2631" s="1" t="s">
        <v>31</v>
      </c>
      <c r="M2631" s="1" t="s">
        <v>18</v>
      </c>
      <c r="N2631" s="1" t="s">
        <v>18</v>
      </c>
      <c r="O2631" s="1">
        <v>3</v>
      </c>
      <c r="P2631" s="1">
        <v>5</v>
      </c>
      <c r="R2631" s="1" t="s">
        <v>19</v>
      </c>
      <c r="S2631" s="1" t="s">
        <v>63</v>
      </c>
      <c r="T2631" s="1" t="s">
        <v>21</v>
      </c>
      <c r="U2631" s="1" t="s">
        <v>22</v>
      </c>
      <c r="V2631" s="1" t="s">
        <v>24</v>
      </c>
      <c r="W2631" s="1" t="s">
        <v>24</v>
      </c>
      <c r="X2631" s="1">
        <v>2716</v>
      </c>
      <c r="Y2631" s="1">
        <v>1311</v>
      </c>
      <c r="Z2631" s="1" t="s">
        <v>24</v>
      </c>
      <c r="AA2631" s="1" t="s">
        <v>24</v>
      </c>
      <c r="AB2631" s="1" t="s">
        <v>24</v>
      </c>
      <c r="AC2631" s="1" t="s">
        <v>24</v>
      </c>
      <c r="AD2631" s="1" t="s">
        <v>24</v>
      </c>
      <c r="AE2631" s="1" t="s">
        <v>24</v>
      </c>
      <c r="AF2631" s="22"/>
    </row>
    <row r="2632" spans="1:32" x14ac:dyDescent="0.2">
      <c r="A2632" s="1">
        <v>19774</v>
      </c>
      <c r="B2632" s="1" t="s">
        <v>8330</v>
      </c>
      <c r="C2632" s="5" t="s">
        <v>0</v>
      </c>
      <c r="D2632" s="1" t="s">
        <v>8331</v>
      </c>
      <c r="E2632" s="1" t="s">
        <v>8332</v>
      </c>
      <c r="F2632" s="1" t="s">
        <v>6170</v>
      </c>
      <c r="G2632" s="1" t="s">
        <v>6170</v>
      </c>
      <c r="H2632" s="1" t="s">
        <v>30</v>
      </c>
      <c r="I2632" s="1" t="s">
        <v>16</v>
      </c>
      <c r="J2632" s="1">
        <v>2</v>
      </c>
      <c r="K2632" s="1">
        <v>6</v>
      </c>
      <c r="L2632" s="1" t="s">
        <v>42</v>
      </c>
      <c r="M2632" s="1" t="s">
        <v>18</v>
      </c>
      <c r="N2632" s="1" t="s">
        <v>18</v>
      </c>
      <c r="O2632" s="1">
        <v>3</v>
      </c>
      <c r="P2632" s="1">
        <v>6</v>
      </c>
      <c r="R2632" s="1" t="s">
        <v>62</v>
      </c>
      <c r="S2632" s="1" t="s">
        <v>20</v>
      </c>
      <c r="T2632" s="1" t="s">
        <v>21</v>
      </c>
      <c r="U2632" s="1" t="s">
        <v>22</v>
      </c>
      <c r="V2632" s="1" t="s">
        <v>24</v>
      </c>
      <c r="W2632" s="1" t="s">
        <v>24</v>
      </c>
      <c r="X2632" s="1">
        <v>1307</v>
      </c>
      <c r="Y2632" s="1">
        <v>2740</v>
      </c>
      <c r="Z2632" s="1">
        <v>1312</v>
      </c>
      <c r="AA2632" s="1">
        <v>1308</v>
      </c>
      <c r="AB2632" s="1" t="s">
        <v>24</v>
      </c>
      <c r="AC2632" s="1" t="s">
        <v>24</v>
      </c>
      <c r="AD2632" s="1" t="s">
        <v>24</v>
      </c>
      <c r="AE2632" s="1" t="s">
        <v>24</v>
      </c>
      <c r="AF2632" s="22"/>
    </row>
    <row r="2633" spans="1:32" x14ac:dyDescent="0.2">
      <c r="A2633" s="1">
        <v>19803</v>
      </c>
      <c r="B2633" s="1" t="s">
        <v>8333</v>
      </c>
      <c r="C2633" s="5" t="s">
        <v>0</v>
      </c>
      <c r="D2633" s="1" t="s">
        <v>8334</v>
      </c>
      <c r="E2633" s="1" t="s">
        <v>8335</v>
      </c>
      <c r="F2633" s="1" t="s">
        <v>55</v>
      </c>
      <c r="G2633" s="1" t="s">
        <v>56</v>
      </c>
      <c r="H2633" s="1" t="s">
        <v>37</v>
      </c>
      <c r="I2633" s="1" t="s">
        <v>16</v>
      </c>
      <c r="J2633" s="1">
        <v>1</v>
      </c>
      <c r="K2633" s="1">
        <v>12</v>
      </c>
      <c r="L2633" s="1" t="s">
        <v>31</v>
      </c>
      <c r="M2633" s="1" t="s">
        <v>18</v>
      </c>
      <c r="N2633" s="1" t="s">
        <v>18</v>
      </c>
      <c r="O2633" s="1">
        <v>3</v>
      </c>
      <c r="P2633" s="1">
        <v>7</v>
      </c>
      <c r="Q2633" s="7" t="s">
        <v>17633</v>
      </c>
      <c r="R2633" s="1" t="s">
        <v>62</v>
      </c>
      <c r="S2633" s="1" t="s">
        <v>20</v>
      </c>
      <c r="T2633" s="1" t="s">
        <v>21</v>
      </c>
      <c r="U2633" s="1" t="s">
        <v>22</v>
      </c>
      <c r="V2633" s="1" t="s">
        <v>24</v>
      </c>
      <c r="W2633" s="1" t="s">
        <v>24</v>
      </c>
      <c r="X2633" s="1">
        <v>2745</v>
      </c>
      <c r="Y2633" s="1">
        <v>2736</v>
      </c>
      <c r="Z2633" s="1" t="s">
        <v>24</v>
      </c>
      <c r="AA2633" s="1" t="s">
        <v>24</v>
      </c>
      <c r="AB2633" s="1" t="s">
        <v>24</v>
      </c>
      <c r="AC2633" s="1" t="s">
        <v>24</v>
      </c>
      <c r="AD2633" s="1" t="s">
        <v>24</v>
      </c>
      <c r="AE2633" s="1" t="s">
        <v>24</v>
      </c>
      <c r="AF2633" s="22"/>
    </row>
    <row r="2634" spans="1:32" x14ac:dyDescent="0.2">
      <c r="A2634" s="1">
        <v>19806</v>
      </c>
      <c r="B2634" s="1" t="s">
        <v>8336</v>
      </c>
      <c r="C2634" s="5" t="s">
        <v>0</v>
      </c>
      <c r="D2634" s="1" t="s">
        <v>8337</v>
      </c>
      <c r="E2634" s="1" t="s">
        <v>8338</v>
      </c>
      <c r="F2634" s="1" t="s">
        <v>555</v>
      </c>
      <c r="G2634" s="1" t="s">
        <v>36</v>
      </c>
      <c r="H2634" s="1" t="s">
        <v>37</v>
      </c>
      <c r="I2634" s="1" t="s">
        <v>16</v>
      </c>
      <c r="J2634" s="1">
        <v>1</v>
      </c>
      <c r="K2634" s="1">
        <v>12</v>
      </c>
      <c r="L2634" s="1" t="s">
        <v>31</v>
      </c>
      <c r="M2634" s="1" t="s">
        <v>18</v>
      </c>
      <c r="N2634" s="1" t="s">
        <v>18</v>
      </c>
      <c r="O2634" s="1">
        <v>3</v>
      </c>
      <c r="P2634" s="1">
        <v>6</v>
      </c>
      <c r="R2634" s="1" t="s">
        <v>19</v>
      </c>
      <c r="S2634" s="1" t="s">
        <v>20</v>
      </c>
      <c r="T2634" s="1" t="s">
        <v>21</v>
      </c>
      <c r="U2634" s="1" t="s">
        <v>22</v>
      </c>
      <c r="V2634" s="1" t="s">
        <v>24</v>
      </c>
      <c r="W2634" s="1" t="s">
        <v>64</v>
      </c>
      <c r="X2634" s="1">
        <v>1303</v>
      </c>
      <c r="Y2634" s="1">
        <v>1307</v>
      </c>
      <c r="Z2634" s="1">
        <v>1308</v>
      </c>
      <c r="AA2634" s="1">
        <v>1312</v>
      </c>
      <c r="AB2634" s="1">
        <v>1311</v>
      </c>
      <c r="AC2634" s="1" t="s">
        <v>24</v>
      </c>
      <c r="AD2634" s="1" t="s">
        <v>24</v>
      </c>
      <c r="AE2634" s="1" t="s">
        <v>24</v>
      </c>
      <c r="AF2634" s="22"/>
    </row>
    <row r="2635" spans="1:32" x14ac:dyDescent="0.2">
      <c r="A2635" s="1">
        <v>19830</v>
      </c>
      <c r="B2635" s="1" t="s">
        <v>8339</v>
      </c>
      <c r="C2635" s="5" t="s">
        <v>0</v>
      </c>
      <c r="D2635" s="1" t="s">
        <v>8340</v>
      </c>
      <c r="F2635" s="1" t="s">
        <v>8341</v>
      </c>
      <c r="G2635" s="1" t="s">
        <v>8341</v>
      </c>
      <c r="H2635" s="1" t="s">
        <v>37</v>
      </c>
      <c r="I2635" s="1" t="s">
        <v>16</v>
      </c>
      <c r="J2635" s="1">
        <v>1</v>
      </c>
      <c r="K2635" s="1">
        <v>3</v>
      </c>
      <c r="L2635" s="1" t="s">
        <v>42</v>
      </c>
      <c r="M2635" s="1" t="s">
        <v>18</v>
      </c>
      <c r="N2635" s="1" t="s">
        <v>18</v>
      </c>
      <c r="O2635" s="1">
        <v>3</v>
      </c>
      <c r="P2635" s="1">
        <v>6</v>
      </c>
      <c r="R2635" s="1" t="s">
        <v>19</v>
      </c>
      <c r="S2635" s="1" t="s">
        <v>20</v>
      </c>
      <c r="T2635" s="1" t="s">
        <v>21</v>
      </c>
      <c r="U2635" s="1" t="s">
        <v>22</v>
      </c>
      <c r="V2635" s="1" t="s">
        <v>24</v>
      </c>
      <c r="W2635" s="1" t="s">
        <v>24</v>
      </c>
      <c r="X2635" s="1">
        <v>1308</v>
      </c>
      <c r="Y2635" s="1" t="s">
        <v>24</v>
      </c>
      <c r="Z2635" s="1" t="s">
        <v>24</v>
      </c>
      <c r="AA2635" s="1" t="s">
        <v>24</v>
      </c>
      <c r="AB2635" s="1" t="s">
        <v>24</v>
      </c>
      <c r="AC2635" s="1" t="s">
        <v>24</v>
      </c>
      <c r="AD2635" s="1" t="s">
        <v>24</v>
      </c>
      <c r="AE2635" s="1" t="s">
        <v>24</v>
      </c>
      <c r="AF2635" s="22"/>
    </row>
    <row r="2636" spans="1:32" x14ac:dyDescent="0.2">
      <c r="A2636" s="1">
        <v>19850</v>
      </c>
      <c r="B2636" s="1" t="s">
        <v>8342</v>
      </c>
      <c r="C2636" s="5" t="s">
        <v>0</v>
      </c>
      <c r="D2636" s="1" t="s">
        <v>8343</v>
      </c>
      <c r="E2636" s="1" t="s">
        <v>8344</v>
      </c>
      <c r="F2636" s="1" t="s">
        <v>1977</v>
      </c>
      <c r="G2636" s="1" t="s">
        <v>130</v>
      </c>
      <c r="H2636" s="1" t="s">
        <v>899</v>
      </c>
      <c r="I2636" s="1" t="s">
        <v>16</v>
      </c>
      <c r="J2636" s="1">
        <v>1</v>
      </c>
      <c r="K2636" s="1">
        <v>4</v>
      </c>
      <c r="L2636" s="1" t="s">
        <v>31</v>
      </c>
      <c r="M2636" s="1" t="s">
        <v>18</v>
      </c>
      <c r="N2636" s="1" t="s">
        <v>18</v>
      </c>
      <c r="O2636" s="1">
        <v>3</v>
      </c>
      <c r="P2636" s="1">
        <v>6</v>
      </c>
      <c r="R2636" s="1" t="s">
        <v>19</v>
      </c>
      <c r="S2636" s="1" t="s">
        <v>20</v>
      </c>
      <c r="T2636" s="1" t="s">
        <v>21</v>
      </c>
      <c r="U2636" s="1" t="s">
        <v>22</v>
      </c>
      <c r="V2636" s="1" t="s">
        <v>24</v>
      </c>
      <c r="W2636" s="1" t="s">
        <v>24</v>
      </c>
      <c r="X2636" s="1">
        <v>2720</v>
      </c>
      <c r="Y2636" s="1" t="s">
        <v>24</v>
      </c>
      <c r="Z2636" s="1" t="s">
        <v>24</v>
      </c>
      <c r="AA2636" s="1" t="s">
        <v>24</v>
      </c>
      <c r="AB2636" s="1" t="s">
        <v>24</v>
      </c>
      <c r="AC2636" s="1" t="s">
        <v>24</v>
      </c>
      <c r="AD2636" s="1" t="s">
        <v>24</v>
      </c>
      <c r="AE2636" s="1" t="s">
        <v>24</v>
      </c>
      <c r="AF2636" s="22"/>
    </row>
    <row r="2637" spans="1:32" x14ac:dyDescent="0.2">
      <c r="A2637" s="1">
        <v>19852</v>
      </c>
      <c r="B2637" s="1" t="s">
        <v>8345</v>
      </c>
      <c r="C2637" s="5" t="s">
        <v>0</v>
      </c>
      <c r="D2637" s="1" t="s">
        <v>8346</v>
      </c>
      <c r="F2637" s="1" t="s">
        <v>8345</v>
      </c>
      <c r="G2637" s="1" t="s">
        <v>8345</v>
      </c>
      <c r="H2637" s="1" t="s">
        <v>2672</v>
      </c>
      <c r="I2637" s="1" t="s">
        <v>16</v>
      </c>
      <c r="J2637" s="1">
        <v>1</v>
      </c>
      <c r="K2637" s="1">
        <v>12</v>
      </c>
      <c r="L2637" s="1" t="s">
        <v>17</v>
      </c>
      <c r="M2637" s="1" t="s">
        <v>18</v>
      </c>
      <c r="N2637" s="1" t="s">
        <v>18</v>
      </c>
      <c r="O2637" s="1">
        <v>2</v>
      </c>
      <c r="P2637" s="1">
        <v>5</v>
      </c>
      <c r="R2637" s="1" t="s">
        <v>19</v>
      </c>
      <c r="S2637" s="1" t="s">
        <v>20</v>
      </c>
      <c r="T2637" s="1" t="s">
        <v>21</v>
      </c>
      <c r="U2637" s="1" t="s">
        <v>22</v>
      </c>
      <c r="V2637" s="1" t="s">
        <v>24</v>
      </c>
      <c r="W2637" s="1" t="s">
        <v>24</v>
      </c>
      <c r="X2637" s="1">
        <v>2700</v>
      </c>
      <c r="Y2637" s="1" t="s">
        <v>24</v>
      </c>
      <c r="Z2637" s="1" t="s">
        <v>24</v>
      </c>
      <c r="AA2637" s="1" t="s">
        <v>24</v>
      </c>
      <c r="AB2637" s="1" t="s">
        <v>24</v>
      </c>
      <c r="AC2637" s="1" t="s">
        <v>24</v>
      </c>
      <c r="AD2637" s="1" t="s">
        <v>24</v>
      </c>
      <c r="AE2637" s="1" t="s">
        <v>24</v>
      </c>
      <c r="AF2637" s="22"/>
    </row>
    <row r="2638" spans="1:32" x14ac:dyDescent="0.2">
      <c r="A2638" s="1">
        <v>19854</v>
      </c>
      <c r="B2638" s="1" t="s">
        <v>8347</v>
      </c>
      <c r="C2638" s="5" t="s">
        <v>0</v>
      </c>
      <c r="D2638" s="1" t="s">
        <v>8348</v>
      </c>
      <c r="E2638" s="1" t="s">
        <v>8349</v>
      </c>
      <c r="F2638" s="1" t="s">
        <v>198</v>
      </c>
      <c r="G2638" s="1" t="s">
        <v>130</v>
      </c>
      <c r="H2638" s="1" t="s">
        <v>86</v>
      </c>
      <c r="I2638" s="1" t="s">
        <v>16</v>
      </c>
      <c r="J2638" s="1">
        <v>1</v>
      </c>
      <c r="K2638" s="1">
        <v>10</v>
      </c>
      <c r="L2638" s="1" t="s">
        <v>31</v>
      </c>
      <c r="M2638" s="1" t="s">
        <v>18</v>
      </c>
      <c r="N2638" s="1" t="s">
        <v>18</v>
      </c>
      <c r="O2638" s="1">
        <v>3</v>
      </c>
      <c r="P2638" s="1">
        <v>7</v>
      </c>
      <c r="Q2638" s="7" t="s">
        <v>17633</v>
      </c>
      <c r="R2638" s="1" t="s">
        <v>19</v>
      </c>
      <c r="S2638" s="1" t="s">
        <v>20</v>
      </c>
      <c r="T2638" s="1" t="s">
        <v>21</v>
      </c>
      <c r="U2638" s="1" t="s">
        <v>22</v>
      </c>
      <c r="V2638" s="1" t="s">
        <v>23</v>
      </c>
      <c r="W2638" s="1" t="s">
        <v>24</v>
      </c>
      <c r="X2638" s="1">
        <v>2701</v>
      </c>
      <c r="Y2638" s="1">
        <v>2916</v>
      </c>
      <c r="Z2638" s="1">
        <v>2717</v>
      </c>
      <c r="AA2638" s="1" t="s">
        <v>24</v>
      </c>
      <c r="AB2638" s="1" t="s">
        <v>24</v>
      </c>
      <c r="AC2638" s="1" t="s">
        <v>24</v>
      </c>
      <c r="AD2638" s="1" t="s">
        <v>24</v>
      </c>
      <c r="AE2638" s="1" t="s">
        <v>24</v>
      </c>
      <c r="AF2638" s="22"/>
    </row>
    <row r="2639" spans="1:32" x14ac:dyDescent="0.2">
      <c r="A2639" s="1">
        <v>19939</v>
      </c>
      <c r="B2639" s="1" t="s">
        <v>8350</v>
      </c>
      <c r="C2639" s="5" t="s">
        <v>0</v>
      </c>
      <c r="D2639" s="1" t="s">
        <v>8351</v>
      </c>
      <c r="F2639" s="1" t="s">
        <v>412</v>
      </c>
      <c r="G2639" s="1" t="s">
        <v>372</v>
      </c>
      <c r="H2639" s="1" t="s">
        <v>168</v>
      </c>
      <c r="I2639" s="1" t="s">
        <v>16</v>
      </c>
      <c r="J2639" s="1">
        <v>0</v>
      </c>
      <c r="K2639" s="1">
        <v>0</v>
      </c>
      <c r="L2639" s="1" t="s">
        <v>31</v>
      </c>
      <c r="M2639" s="1" t="s">
        <v>413</v>
      </c>
      <c r="N2639" s="1" t="s">
        <v>18</v>
      </c>
      <c r="O2639" s="1">
        <v>2</v>
      </c>
      <c r="P2639" s="1">
        <v>6</v>
      </c>
      <c r="R2639" s="1" t="s">
        <v>19</v>
      </c>
      <c r="S2639" s="1" t="s">
        <v>63</v>
      </c>
      <c r="T2639" s="1" t="s">
        <v>21</v>
      </c>
      <c r="U2639" s="1" t="s">
        <v>22</v>
      </c>
      <c r="V2639" s="1" t="s">
        <v>23</v>
      </c>
      <c r="W2639" s="1" t="s">
        <v>24</v>
      </c>
      <c r="X2639" s="1">
        <v>2741</v>
      </c>
      <c r="Y2639" s="1" t="s">
        <v>24</v>
      </c>
      <c r="Z2639" s="1" t="s">
        <v>24</v>
      </c>
      <c r="AA2639" s="1" t="s">
        <v>24</v>
      </c>
      <c r="AB2639" s="1" t="s">
        <v>24</v>
      </c>
      <c r="AC2639" s="1" t="s">
        <v>24</v>
      </c>
      <c r="AD2639" s="1" t="s">
        <v>24</v>
      </c>
      <c r="AE2639" s="1" t="s">
        <v>24</v>
      </c>
      <c r="AF2639" s="22"/>
    </row>
    <row r="2640" spans="1:32" x14ac:dyDescent="0.2">
      <c r="A2640" s="1">
        <v>19983</v>
      </c>
      <c r="B2640" s="1" t="s">
        <v>8352</v>
      </c>
      <c r="C2640" s="5" t="s">
        <v>0</v>
      </c>
      <c r="D2640" s="1" t="s">
        <v>8353</v>
      </c>
      <c r="E2640" s="1" t="s">
        <v>8354</v>
      </c>
      <c r="F2640" s="1" t="s">
        <v>175</v>
      </c>
      <c r="G2640" s="1" t="s">
        <v>61</v>
      </c>
      <c r="H2640" s="1" t="s">
        <v>116</v>
      </c>
      <c r="I2640" s="1" t="s">
        <v>16</v>
      </c>
      <c r="J2640" s="1">
        <v>1</v>
      </c>
      <c r="K2640" s="1">
        <v>10</v>
      </c>
      <c r="L2640" s="1" t="s">
        <v>31</v>
      </c>
      <c r="M2640" s="1" t="s">
        <v>117</v>
      </c>
      <c r="N2640" s="1" t="s">
        <v>18</v>
      </c>
      <c r="O2640" s="1">
        <v>2</v>
      </c>
      <c r="P2640" s="1">
        <v>5</v>
      </c>
      <c r="R2640" s="1" t="s">
        <v>19</v>
      </c>
      <c r="S2640" s="1" t="s">
        <v>20</v>
      </c>
      <c r="T2640" s="1" t="s">
        <v>21</v>
      </c>
      <c r="U2640" s="1" t="s">
        <v>22</v>
      </c>
      <c r="V2640" s="1" t="s">
        <v>23</v>
      </c>
      <c r="W2640" s="1" t="s">
        <v>24</v>
      </c>
      <c r="X2640" s="1">
        <v>1310</v>
      </c>
      <c r="Y2640" s="1">
        <v>2712</v>
      </c>
      <c r="Z2640" s="1" t="s">
        <v>24</v>
      </c>
      <c r="AA2640" s="1" t="s">
        <v>24</v>
      </c>
      <c r="AB2640" s="1" t="s">
        <v>24</v>
      </c>
      <c r="AC2640" s="1" t="s">
        <v>24</v>
      </c>
      <c r="AD2640" s="1" t="s">
        <v>24</v>
      </c>
      <c r="AE2640" s="1" t="s">
        <v>24</v>
      </c>
      <c r="AF2640" s="22"/>
    </row>
    <row r="2641" spans="1:32" x14ac:dyDescent="0.2">
      <c r="A2641" s="1">
        <v>19985</v>
      </c>
      <c r="B2641" s="1" t="s">
        <v>8355</v>
      </c>
      <c r="C2641" s="5" t="s">
        <v>0</v>
      </c>
      <c r="D2641" s="1" t="s">
        <v>8356</v>
      </c>
      <c r="E2641" s="1" t="s">
        <v>8357</v>
      </c>
      <c r="F2641" s="1" t="s">
        <v>8358</v>
      </c>
      <c r="G2641" s="1" t="s">
        <v>460</v>
      </c>
      <c r="H2641" s="1" t="s">
        <v>461</v>
      </c>
      <c r="I2641" s="1" t="s">
        <v>16</v>
      </c>
      <c r="J2641" s="1">
        <v>1</v>
      </c>
      <c r="K2641" s="1">
        <v>4</v>
      </c>
      <c r="L2641" s="1" t="s">
        <v>42</v>
      </c>
      <c r="M2641" s="1" t="s">
        <v>18</v>
      </c>
      <c r="N2641" s="1" t="s">
        <v>18</v>
      </c>
      <c r="O2641" s="1">
        <v>2</v>
      </c>
      <c r="P2641" s="1">
        <v>5</v>
      </c>
      <c r="R2641" s="1" t="s">
        <v>19</v>
      </c>
      <c r="S2641" s="1" t="s">
        <v>20</v>
      </c>
      <c r="T2641" s="1" t="s">
        <v>21</v>
      </c>
      <c r="U2641" s="1" t="s">
        <v>22</v>
      </c>
      <c r="V2641" s="1" t="s">
        <v>24</v>
      </c>
      <c r="W2641" s="1" t="s">
        <v>24</v>
      </c>
      <c r="X2641" s="1">
        <v>1300</v>
      </c>
      <c r="Y2641" s="1">
        <v>2700</v>
      </c>
      <c r="Z2641" s="1" t="s">
        <v>24</v>
      </c>
      <c r="AA2641" s="1" t="s">
        <v>24</v>
      </c>
      <c r="AB2641" s="1" t="s">
        <v>24</v>
      </c>
      <c r="AC2641" s="1" t="s">
        <v>24</v>
      </c>
      <c r="AD2641" s="1" t="s">
        <v>24</v>
      </c>
      <c r="AE2641" s="1" t="s">
        <v>24</v>
      </c>
      <c r="AF2641" s="22"/>
    </row>
    <row r="2642" spans="1:32" x14ac:dyDescent="0.2">
      <c r="A2642" s="1">
        <v>19989</v>
      </c>
      <c r="B2642" s="1" t="s">
        <v>8359</v>
      </c>
      <c r="C2642" s="5" t="s">
        <v>0</v>
      </c>
      <c r="D2642" s="1" t="s">
        <v>8360</v>
      </c>
      <c r="F2642" s="1" t="s">
        <v>8361</v>
      </c>
      <c r="G2642" s="1" t="s">
        <v>8362</v>
      </c>
      <c r="H2642" s="1" t="s">
        <v>168</v>
      </c>
      <c r="I2642" s="1" t="s">
        <v>16</v>
      </c>
      <c r="J2642" s="1">
        <v>1</v>
      </c>
      <c r="K2642" s="1">
        <v>4</v>
      </c>
      <c r="L2642" s="1" t="s">
        <v>42</v>
      </c>
      <c r="M2642" s="1" t="s">
        <v>413</v>
      </c>
      <c r="N2642" s="1" t="s">
        <v>242</v>
      </c>
      <c r="O2642" s="1">
        <v>2</v>
      </c>
      <c r="P2642" s="1">
        <v>5</v>
      </c>
      <c r="R2642" s="1" t="s">
        <v>19</v>
      </c>
      <c r="S2642" s="1" t="s">
        <v>20</v>
      </c>
      <c r="T2642" s="1" t="s">
        <v>21</v>
      </c>
      <c r="U2642" s="1" t="s">
        <v>22</v>
      </c>
      <c r="V2642" s="1" t="s">
        <v>24</v>
      </c>
      <c r="W2642" s="1" t="s">
        <v>24</v>
      </c>
      <c r="X2642" s="1">
        <v>2738</v>
      </c>
      <c r="Y2642" s="1">
        <v>3203</v>
      </c>
      <c r="Z2642" s="1">
        <v>3202</v>
      </c>
      <c r="AA2642" s="1" t="s">
        <v>24</v>
      </c>
      <c r="AB2642" s="1" t="s">
        <v>24</v>
      </c>
      <c r="AC2642" s="1" t="s">
        <v>24</v>
      </c>
      <c r="AD2642" s="1" t="s">
        <v>24</v>
      </c>
      <c r="AE2642" s="1" t="s">
        <v>24</v>
      </c>
      <c r="AF2642" s="22"/>
    </row>
    <row r="2643" spans="1:32" x14ac:dyDescent="0.2">
      <c r="A2643" s="1">
        <v>20019</v>
      </c>
      <c r="B2643" s="5" t="s">
        <v>8363</v>
      </c>
      <c r="C2643" s="5" t="s">
        <v>50553</v>
      </c>
      <c r="D2643" s="1" t="s">
        <v>8364</v>
      </c>
      <c r="F2643" s="1" t="s">
        <v>17628</v>
      </c>
      <c r="G2643" s="1" t="s">
        <v>130</v>
      </c>
      <c r="H2643" s="1" t="s">
        <v>92</v>
      </c>
      <c r="I2643" s="1" t="s">
        <v>16</v>
      </c>
      <c r="J2643" s="1">
        <v>1</v>
      </c>
      <c r="K2643" s="1">
        <v>4</v>
      </c>
      <c r="L2643" s="1" t="s">
        <v>31</v>
      </c>
      <c r="M2643" s="1" t="s">
        <v>18</v>
      </c>
      <c r="N2643" s="5" t="s">
        <v>18</v>
      </c>
      <c r="O2643" s="5">
        <v>3</v>
      </c>
      <c r="P2643" s="5">
        <v>7</v>
      </c>
      <c r="Q2643" s="5" t="s">
        <v>17633</v>
      </c>
      <c r="R2643" s="5" t="s">
        <v>19</v>
      </c>
      <c r="S2643" s="1" t="s">
        <v>20</v>
      </c>
      <c r="T2643" s="5" t="s">
        <v>21</v>
      </c>
      <c r="U2643" s="5"/>
      <c r="V2643" s="5"/>
      <c r="W2643" s="5"/>
      <c r="X2643" s="5">
        <v>1304</v>
      </c>
      <c r="Y2643" s="1">
        <v>2741</v>
      </c>
      <c r="AF2643" s="22" t="s">
        <v>17679</v>
      </c>
    </row>
    <row r="2644" spans="1:32" x14ac:dyDescent="0.2">
      <c r="A2644" s="1">
        <v>20086</v>
      </c>
      <c r="B2644" s="1" t="s">
        <v>8365</v>
      </c>
      <c r="C2644" s="5" t="s">
        <v>0</v>
      </c>
      <c r="D2644" s="1" t="s">
        <v>8366</v>
      </c>
      <c r="E2644" s="1" t="s">
        <v>8367</v>
      </c>
      <c r="F2644" s="1" t="s">
        <v>320</v>
      </c>
      <c r="G2644" s="1" t="s">
        <v>36</v>
      </c>
      <c r="H2644" s="1" t="s">
        <v>30</v>
      </c>
      <c r="I2644" s="1" t="s">
        <v>16</v>
      </c>
      <c r="J2644" s="1">
        <v>4</v>
      </c>
      <c r="K2644" s="1">
        <v>1</v>
      </c>
      <c r="L2644" s="1" t="s">
        <v>31</v>
      </c>
      <c r="M2644" s="1" t="s">
        <v>18</v>
      </c>
      <c r="N2644" s="1" t="s">
        <v>18</v>
      </c>
      <c r="O2644" s="1">
        <v>3</v>
      </c>
      <c r="P2644" s="1">
        <v>8</v>
      </c>
      <c r="Q2644" s="7" t="s">
        <v>17633</v>
      </c>
      <c r="R2644" s="1" t="s">
        <v>62</v>
      </c>
      <c r="S2644" s="1" t="s">
        <v>20</v>
      </c>
      <c r="T2644" s="1" t="s">
        <v>21</v>
      </c>
      <c r="U2644" s="1" t="s">
        <v>22</v>
      </c>
      <c r="V2644" s="1" t="s">
        <v>24</v>
      </c>
      <c r="W2644" s="1" t="s">
        <v>24</v>
      </c>
      <c r="X2644" s="1">
        <v>2716</v>
      </c>
      <c r="Y2644" s="1">
        <v>1311</v>
      </c>
      <c r="Z2644" s="1" t="s">
        <v>24</v>
      </c>
      <c r="AA2644" s="1" t="s">
        <v>24</v>
      </c>
      <c r="AB2644" s="1" t="s">
        <v>24</v>
      </c>
      <c r="AC2644" s="1" t="s">
        <v>24</v>
      </c>
      <c r="AD2644" s="1" t="s">
        <v>24</v>
      </c>
      <c r="AE2644" s="1" t="s">
        <v>24</v>
      </c>
      <c r="AF2644" s="22"/>
    </row>
    <row r="2645" spans="1:32" x14ac:dyDescent="0.2">
      <c r="A2645" s="1">
        <v>20087</v>
      </c>
      <c r="B2645" s="1" t="s">
        <v>8368</v>
      </c>
      <c r="C2645" s="5" t="s">
        <v>0</v>
      </c>
      <c r="D2645" s="1" t="s">
        <v>8369</v>
      </c>
      <c r="E2645" s="1" t="s">
        <v>8370</v>
      </c>
      <c r="F2645" s="1" t="s">
        <v>2299</v>
      </c>
      <c r="G2645" s="1" t="s">
        <v>2300</v>
      </c>
      <c r="H2645" s="1" t="s">
        <v>37</v>
      </c>
      <c r="I2645" s="1" t="s">
        <v>16</v>
      </c>
      <c r="J2645" s="1">
        <v>1</v>
      </c>
      <c r="K2645" s="1">
        <v>6</v>
      </c>
      <c r="L2645" s="1" t="s">
        <v>31</v>
      </c>
      <c r="M2645" s="1" t="s">
        <v>18</v>
      </c>
      <c r="N2645" s="1" t="s">
        <v>18</v>
      </c>
      <c r="O2645" s="1">
        <v>2</v>
      </c>
      <c r="P2645" s="1">
        <v>6</v>
      </c>
      <c r="R2645" s="1" t="s">
        <v>19</v>
      </c>
      <c r="S2645" s="1" t="s">
        <v>63</v>
      </c>
      <c r="T2645" s="1" t="s">
        <v>21</v>
      </c>
      <c r="U2645" s="1" t="s">
        <v>22</v>
      </c>
      <c r="V2645" s="1" t="s">
        <v>24</v>
      </c>
      <c r="W2645" s="1" t="s">
        <v>24</v>
      </c>
      <c r="X2645" s="1">
        <v>2740</v>
      </c>
      <c r="Y2645" s="1" t="s">
        <v>24</v>
      </c>
      <c r="Z2645" s="1" t="s">
        <v>24</v>
      </c>
      <c r="AA2645" s="1" t="s">
        <v>24</v>
      </c>
      <c r="AB2645" s="1" t="s">
        <v>24</v>
      </c>
      <c r="AC2645" s="1" t="s">
        <v>24</v>
      </c>
      <c r="AD2645" s="1" t="s">
        <v>24</v>
      </c>
      <c r="AE2645" s="1" t="s">
        <v>24</v>
      </c>
      <c r="AF2645" s="22"/>
    </row>
    <row r="2646" spans="1:32" x14ac:dyDescent="0.2">
      <c r="A2646" s="1">
        <v>20140</v>
      </c>
      <c r="B2646" s="1" t="s">
        <v>8371</v>
      </c>
      <c r="C2646" s="5" t="s">
        <v>0</v>
      </c>
      <c r="D2646" s="1" t="s">
        <v>8372</v>
      </c>
      <c r="F2646" s="1" t="s">
        <v>2341</v>
      </c>
      <c r="G2646" s="1" t="s">
        <v>2341</v>
      </c>
      <c r="H2646" s="1" t="s">
        <v>37</v>
      </c>
      <c r="I2646" s="1" t="s">
        <v>16</v>
      </c>
      <c r="J2646" s="1">
        <v>1</v>
      </c>
      <c r="K2646" s="1">
        <v>6</v>
      </c>
      <c r="L2646" s="1" t="s">
        <v>42</v>
      </c>
      <c r="M2646" s="1" t="s">
        <v>18</v>
      </c>
      <c r="N2646" s="1" t="s">
        <v>18</v>
      </c>
      <c r="O2646" s="1">
        <v>3</v>
      </c>
      <c r="P2646" s="1">
        <v>8</v>
      </c>
      <c r="Q2646" s="7" t="s">
        <v>17633</v>
      </c>
      <c r="R2646" s="1" t="s">
        <v>62</v>
      </c>
      <c r="S2646" s="1" t="s">
        <v>20</v>
      </c>
      <c r="T2646" s="1" t="s">
        <v>21</v>
      </c>
      <c r="U2646" s="1" t="s">
        <v>22</v>
      </c>
      <c r="V2646" s="1" t="s">
        <v>24</v>
      </c>
      <c r="W2646" s="1" t="s">
        <v>24</v>
      </c>
      <c r="X2646" s="1">
        <v>2404</v>
      </c>
      <c r="Y2646" s="1">
        <v>1105</v>
      </c>
      <c r="Z2646" s="1" t="s">
        <v>24</v>
      </c>
      <c r="AA2646" s="1" t="s">
        <v>24</v>
      </c>
      <c r="AB2646" s="1" t="s">
        <v>24</v>
      </c>
      <c r="AC2646" s="1" t="s">
        <v>24</v>
      </c>
      <c r="AD2646" s="1" t="s">
        <v>24</v>
      </c>
      <c r="AE2646" s="1" t="s">
        <v>24</v>
      </c>
      <c r="AF2646" s="22"/>
    </row>
    <row r="2647" spans="1:32" x14ac:dyDescent="0.2">
      <c r="A2647" s="1">
        <v>20156</v>
      </c>
      <c r="B2647" s="1" t="s">
        <v>8373</v>
      </c>
      <c r="C2647" s="5" t="s">
        <v>0</v>
      </c>
      <c r="D2647" s="1" t="s">
        <v>8374</v>
      </c>
      <c r="E2647" s="1" t="s">
        <v>8375</v>
      </c>
      <c r="F2647" s="1" t="s">
        <v>751</v>
      </c>
      <c r="G2647" s="1" t="s">
        <v>36</v>
      </c>
      <c r="H2647" s="1" t="s">
        <v>37</v>
      </c>
      <c r="I2647" s="1" t="s">
        <v>16</v>
      </c>
      <c r="J2647" s="1">
        <v>1</v>
      </c>
      <c r="K2647" s="1">
        <v>12</v>
      </c>
      <c r="L2647" s="1" t="s">
        <v>31</v>
      </c>
      <c r="M2647" s="1" t="s">
        <v>18</v>
      </c>
      <c r="N2647" s="1" t="s">
        <v>18</v>
      </c>
      <c r="O2647" s="1">
        <v>3</v>
      </c>
      <c r="P2647" s="1">
        <v>7</v>
      </c>
      <c r="Q2647" s="7" t="s">
        <v>17633</v>
      </c>
      <c r="R2647" s="1" t="s">
        <v>62</v>
      </c>
      <c r="S2647" s="1" t="s">
        <v>20</v>
      </c>
      <c r="T2647" s="1" t="s">
        <v>21</v>
      </c>
      <c r="U2647" s="1" t="s">
        <v>22</v>
      </c>
      <c r="V2647" s="1" t="s">
        <v>24</v>
      </c>
      <c r="W2647" s="1" t="s">
        <v>24</v>
      </c>
      <c r="X2647" s="1">
        <v>2746</v>
      </c>
      <c r="Y2647" s="1">
        <v>2747</v>
      </c>
      <c r="Z2647" s="1">
        <v>2721</v>
      </c>
      <c r="AA2647" s="1" t="s">
        <v>24</v>
      </c>
      <c r="AB2647" s="1" t="s">
        <v>24</v>
      </c>
      <c r="AC2647" s="1" t="s">
        <v>24</v>
      </c>
      <c r="AD2647" s="1" t="s">
        <v>24</v>
      </c>
      <c r="AE2647" s="1" t="s">
        <v>24</v>
      </c>
      <c r="AF2647" s="22"/>
    </row>
    <row r="2648" spans="1:32" x14ac:dyDescent="0.2">
      <c r="A2648" s="1">
        <v>20157</v>
      </c>
      <c r="B2648" s="1" t="s">
        <v>8376</v>
      </c>
      <c r="C2648" s="5" t="s">
        <v>0</v>
      </c>
      <c r="D2648" s="1" t="s">
        <v>8377</v>
      </c>
      <c r="E2648" s="1" t="s">
        <v>8378</v>
      </c>
      <c r="F2648" s="1" t="s">
        <v>60</v>
      </c>
      <c r="G2648" s="1" t="s">
        <v>61</v>
      </c>
      <c r="H2648" s="1" t="s">
        <v>30</v>
      </c>
      <c r="I2648" s="1" t="s">
        <v>16</v>
      </c>
      <c r="J2648" s="1">
        <v>3</v>
      </c>
      <c r="K2648" s="1">
        <v>4</v>
      </c>
      <c r="L2648" s="1" t="s">
        <v>31</v>
      </c>
      <c r="M2648" s="1" t="s">
        <v>18</v>
      </c>
      <c r="N2648" s="1" t="s">
        <v>18</v>
      </c>
      <c r="O2648" s="1">
        <v>3</v>
      </c>
      <c r="P2648" s="1">
        <v>7</v>
      </c>
      <c r="Q2648" s="7" t="s">
        <v>17633</v>
      </c>
      <c r="R2648" s="1" t="s">
        <v>62</v>
      </c>
      <c r="S2648" s="1" t="s">
        <v>20</v>
      </c>
      <c r="T2648" s="1" t="s">
        <v>21</v>
      </c>
      <c r="U2648" s="1" t="s">
        <v>22</v>
      </c>
      <c r="V2648" s="1" t="s">
        <v>24</v>
      </c>
      <c r="W2648" s="1" t="s">
        <v>24</v>
      </c>
      <c r="X2648" s="1">
        <v>1312</v>
      </c>
      <c r="Y2648" s="1">
        <v>1300</v>
      </c>
      <c r="Z2648" s="1" t="s">
        <v>24</v>
      </c>
      <c r="AA2648" s="1" t="s">
        <v>24</v>
      </c>
      <c r="AB2648" s="1" t="s">
        <v>24</v>
      </c>
      <c r="AC2648" s="1" t="s">
        <v>24</v>
      </c>
      <c r="AD2648" s="1" t="s">
        <v>24</v>
      </c>
      <c r="AE2648" s="1" t="s">
        <v>24</v>
      </c>
      <c r="AF2648" s="22"/>
    </row>
    <row r="2649" spans="1:32" x14ac:dyDescent="0.2">
      <c r="A2649" s="1">
        <v>20176</v>
      </c>
      <c r="B2649" s="1" t="s">
        <v>8379</v>
      </c>
      <c r="C2649" s="5" t="s">
        <v>0</v>
      </c>
      <c r="D2649" s="1" t="s">
        <v>8380</v>
      </c>
      <c r="E2649" s="1" t="s">
        <v>8381</v>
      </c>
      <c r="F2649" s="1" t="s">
        <v>320</v>
      </c>
      <c r="G2649" s="1" t="s">
        <v>36</v>
      </c>
      <c r="H2649" s="1" t="s">
        <v>30</v>
      </c>
      <c r="I2649" s="1" t="s">
        <v>16</v>
      </c>
      <c r="J2649" s="1">
        <v>3</v>
      </c>
      <c r="K2649" s="1">
        <v>4</v>
      </c>
      <c r="L2649" s="1" t="s">
        <v>31</v>
      </c>
      <c r="M2649" s="1" t="s">
        <v>18</v>
      </c>
      <c r="N2649" s="1" t="s">
        <v>18</v>
      </c>
      <c r="O2649" s="1">
        <v>3</v>
      </c>
      <c r="P2649" s="1">
        <v>7</v>
      </c>
      <c r="Q2649" s="7" t="s">
        <v>17633</v>
      </c>
      <c r="R2649" s="1" t="s">
        <v>19</v>
      </c>
      <c r="S2649" s="1" t="s">
        <v>20</v>
      </c>
      <c r="T2649" s="1" t="s">
        <v>21</v>
      </c>
      <c r="U2649" s="1" t="s">
        <v>22</v>
      </c>
      <c r="V2649" s="1" t="s">
        <v>24</v>
      </c>
      <c r="W2649" s="1" t="s">
        <v>24</v>
      </c>
      <c r="X2649" s="1">
        <v>1310</v>
      </c>
      <c r="Y2649" s="1">
        <v>1307</v>
      </c>
      <c r="Z2649" s="1">
        <v>1311</v>
      </c>
      <c r="AA2649" s="1" t="s">
        <v>24</v>
      </c>
      <c r="AB2649" s="1" t="s">
        <v>24</v>
      </c>
      <c r="AC2649" s="1" t="s">
        <v>24</v>
      </c>
      <c r="AD2649" s="1" t="s">
        <v>24</v>
      </c>
      <c r="AE2649" s="1" t="s">
        <v>24</v>
      </c>
      <c r="AF2649" s="22"/>
    </row>
    <row r="2650" spans="1:32" x14ac:dyDescent="0.2">
      <c r="A2650" s="1">
        <v>20201</v>
      </c>
      <c r="B2650" s="1" t="s">
        <v>8382</v>
      </c>
      <c r="C2650" s="5" t="s">
        <v>0</v>
      </c>
      <c r="D2650" s="1" t="s">
        <v>8383</v>
      </c>
      <c r="F2650" s="1" t="s">
        <v>8384</v>
      </c>
      <c r="G2650" s="1" t="s">
        <v>8385</v>
      </c>
      <c r="H2650" s="1" t="s">
        <v>30</v>
      </c>
      <c r="I2650" s="1" t="s">
        <v>16</v>
      </c>
      <c r="J2650" s="1">
        <v>1</v>
      </c>
      <c r="K2650" s="1">
        <v>6</v>
      </c>
      <c r="L2650" s="1" t="s">
        <v>42</v>
      </c>
      <c r="M2650" s="1" t="s">
        <v>18</v>
      </c>
      <c r="N2650" s="1" t="s">
        <v>18</v>
      </c>
      <c r="O2650" s="1">
        <v>2</v>
      </c>
      <c r="P2650" s="1">
        <v>6</v>
      </c>
      <c r="R2650" s="1" t="s">
        <v>19</v>
      </c>
      <c r="S2650" s="1" t="s">
        <v>20</v>
      </c>
      <c r="T2650" s="1" t="s">
        <v>21</v>
      </c>
      <c r="U2650" s="1" t="s">
        <v>22</v>
      </c>
      <c r="V2650" s="1" t="s">
        <v>24</v>
      </c>
      <c r="W2650" s="1" t="s">
        <v>24</v>
      </c>
      <c r="X2650" s="1">
        <v>1300</v>
      </c>
      <c r="Y2650" s="1">
        <v>3400</v>
      </c>
      <c r="Z2650" s="1" t="s">
        <v>24</v>
      </c>
      <c r="AA2650" s="1" t="s">
        <v>24</v>
      </c>
      <c r="AB2650" s="1" t="s">
        <v>24</v>
      </c>
      <c r="AC2650" s="1" t="s">
        <v>24</v>
      </c>
      <c r="AD2650" s="1" t="s">
        <v>24</v>
      </c>
      <c r="AE2650" s="1" t="s">
        <v>24</v>
      </c>
      <c r="AF2650" s="22"/>
    </row>
    <row r="2651" spans="1:32" x14ac:dyDescent="0.2">
      <c r="A2651" s="1">
        <v>20221</v>
      </c>
      <c r="B2651" s="1" t="s">
        <v>8386</v>
      </c>
      <c r="C2651" s="5" t="s">
        <v>0</v>
      </c>
      <c r="D2651" s="1" t="s">
        <v>8387</v>
      </c>
      <c r="E2651" s="1" t="s">
        <v>8388</v>
      </c>
      <c r="F2651" s="1" t="s">
        <v>91</v>
      </c>
      <c r="G2651" s="1" t="s">
        <v>61</v>
      </c>
      <c r="H2651" s="1" t="s">
        <v>92</v>
      </c>
      <c r="I2651" s="1" t="s">
        <v>16</v>
      </c>
      <c r="J2651" s="1">
        <v>1</v>
      </c>
      <c r="K2651" s="1">
        <v>12</v>
      </c>
      <c r="L2651" s="1" t="s">
        <v>31</v>
      </c>
      <c r="M2651" s="1" t="s">
        <v>18</v>
      </c>
      <c r="N2651" s="1" t="s">
        <v>18</v>
      </c>
      <c r="O2651" s="1">
        <v>3</v>
      </c>
      <c r="P2651" s="1">
        <v>7</v>
      </c>
      <c r="Q2651" s="7" t="s">
        <v>17633</v>
      </c>
      <c r="R2651" s="1" t="s">
        <v>19</v>
      </c>
      <c r="S2651" s="1" t="s">
        <v>20</v>
      </c>
      <c r="T2651" s="1" t="s">
        <v>21</v>
      </c>
      <c r="U2651" s="1" t="s">
        <v>22</v>
      </c>
      <c r="V2651" s="1" t="s">
        <v>24</v>
      </c>
      <c r="W2651" s="1" t="s">
        <v>24</v>
      </c>
      <c r="X2651" s="1">
        <v>2715</v>
      </c>
      <c r="Y2651" s="1">
        <v>2721</v>
      </c>
      <c r="Z2651" s="1" t="s">
        <v>24</v>
      </c>
      <c r="AA2651" s="1" t="s">
        <v>24</v>
      </c>
      <c r="AB2651" s="1" t="s">
        <v>24</v>
      </c>
      <c r="AC2651" s="1" t="s">
        <v>24</v>
      </c>
      <c r="AD2651" s="1" t="s">
        <v>24</v>
      </c>
      <c r="AE2651" s="1" t="s">
        <v>24</v>
      </c>
      <c r="AF2651" s="22"/>
    </row>
    <row r="2652" spans="1:32" x14ac:dyDescent="0.2">
      <c r="A2652" s="1">
        <v>20227</v>
      </c>
      <c r="B2652" s="1" t="s">
        <v>8389</v>
      </c>
      <c r="C2652" s="5" t="s">
        <v>0</v>
      </c>
      <c r="D2652" s="1" t="s">
        <v>8390</v>
      </c>
      <c r="E2652" s="1" t="s">
        <v>8391</v>
      </c>
      <c r="F2652" s="1" t="s">
        <v>85</v>
      </c>
      <c r="G2652" s="1" t="s">
        <v>61</v>
      </c>
      <c r="H2652" s="1" t="s">
        <v>86</v>
      </c>
      <c r="I2652" s="1" t="s">
        <v>16</v>
      </c>
      <c r="J2652" s="1">
        <v>1</v>
      </c>
      <c r="K2652" s="1">
        <v>6</v>
      </c>
      <c r="L2652" s="1" t="s">
        <v>31</v>
      </c>
      <c r="M2652" s="1" t="s">
        <v>18</v>
      </c>
      <c r="N2652" s="1" t="s">
        <v>18</v>
      </c>
      <c r="O2652" s="1">
        <v>3</v>
      </c>
      <c r="P2652" s="1">
        <v>6</v>
      </c>
      <c r="R2652" s="1" t="s">
        <v>19</v>
      </c>
      <c r="S2652" s="1" t="s">
        <v>20</v>
      </c>
      <c r="T2652" s="1" t="s">
        <v>21</v>
      </c>
      <c r="U2652" s="1" t="s">
        <v>22</v>
      </c>
      <c r="V2652" s="1" t="s">
        <v>23</v>
      </c>
      <c r="W2652" s="1" t="s">
        <v>24</v>
      </c>
      <c r="X2652" s="1">
        <v>2745</v>
      </c>
      <c r="Y2652" s="1" t="s">
        <v>24</v>
      </c>
      <c r="Z2652" s="1" t="s">
        <v>24</v>
      </c>
      <c r="AA2652" s="1" t="s">
        <v>24</v>
      </c>
      <c r="AB2652" s="1" t="s">
        <v>24</v>
      </c>
      <c r="AC2652" s="1" t="s">
        <v>24</v>
      </c>
      <c r="AD2652" s="1" t="s">
        <v>24</v>
      </c>
      <c r="AE2652" s="1" t="s">
        <v>24</v>
      </c>
      <c r="AF2652" s="22"/>
    </row>
    <row r="2653" spans="1:32" x14ac:dyDescent="0.2">
      <c r="A2653" s="1">
        <v>20228</v>
      </c>
      <c r="B2653" s="1" t="s">
        <v>8392</v>
      </c>
      <c r="C2653" s="5" t="s">
        <v>0</v>
      </c>
      <c r="D2653" s="1" t="s">
        <v>8393</v>
      </c>
      <c r="E2653" s="1" t="s">
        <v>8394</v>
      </c>
      <c r="F2653" s="1" t="s">
        <v>669</v>
      </c>
      <c r="G2653" s="1" t="s">
        <v>311</v>
      </c>
      <c r="H2653" s="1" t="s">
        <v>30</v>
      </c>
      <c r="I2653" s="1" t="s">
        <v>16</v>
      </c>
      <c r="J2653" s="1">
        <v>1</v>
      </c>
      <c r="K2653" s="1">
        <v>12</v>
      </c>
      <c r="L2653" s="1" t="s">
        <v>31</v>
      </c>
      <c r="M2653" s="1" t="s">
        <v>18</v>
      </c>
      <c r="N2653" s="1" t="s">
        <v>242</v>
      </c>
      <c r="O2653" s="1">
        <v>3</v>
      </c>
      <c r="P2653" s="1">
        <v>6</v>
      </c>
      <c r="R2653" s="1" t="s">
        <v>19</v>
      </c>
      <c r="S2653" s="1" t="s">
        <v>20</v>
      </c>
      <c r="T2653" s="1" t="s">
        <v>21</v>
      </c>
      <c r="U2653" s="1" t="s">
        <v>22</v>
      </c>
      <c r="V2653" s="1" t="s">
        <v>24</v>
      </c>
      <c r="W2653" s="1" t="s">
        <v>64</v>
      </c>
      <c r="X2653" s="1">
        <v>1311</v>
      </c>
      <c r="Y2653" s="1">
        <v>1303</v>
      </c>
      <c r="Z2653" s="1">
        <v>1313</v>
      </c>
      <c r="AA2653" s="1" t="s">
        <v>24</v>
      </c>
      <c r="AB2653" s="1" t="s">
        <v>24</v>
      </c>
      <c r="AC2653" s="1" t="s">
        <v>24</v>
      </c>
      <c r="AD2653" s="1" t="s">
        <v>24</v>
      </c>
      <c r="AE2653" s="1" t="s">
        <v>24</v>
      </c>
      <c r="AF2653" s="22"/>
    </row>
    <row r="2654" spans="1:32" x14ac:dyDescent="0.2">
      <c r="A2654" s="1">
        <v>20229</v>
      </c>
      <c r="B2654" s="1" t="s">
        <v>8395</v>
      </c>
      <c r="C2654" s="5" t="s">
        <v>0</v>
      </c>
      <c r="D2654" s="1" t="s">
        <v>8396</v>
      </c>
      <c r="E2654" s="1" t="s">
        <v>8397</v>
      </c>
      <c r="F2654" s="1" t="s">
        <v>241</v>
      </c>
      <c r="G2654" s="1" t="s">
        <v>61</v>
      </c>
      <c r="H2654" s="1" t="s">
        <v>168</v>
      </c>
      <c r="I2654" s="1" t="s">
        <v>16</v>
      </c>
      <c r="J2654" s="1">
        <v>1</v>
      </c>
      <c r="K2654" s="1">
        <v>4</v>
      </c>
      <c r="L2654" s="1" t="s">
        <v>31</v>
      </c>
      <c r="M2654" s="1" t="s">
        <v>413</v>
      </c>
      <c r="N2654" s="1" t="s">
        <v>242</v>
      </c>
      <c r="O2654" s="1">
        <v>2</v>
      </c>
      <c r="P2654" s="1">
        <v>5</v>
      </c>
      <c r="R2654" s="1" t="s">
        <v>19</v>
      </c>
      <c r="S2654" s="1" t="s">
        <v>20</v>
      </c>
      <c r="T2654" s="1" t="s">
        <v>21</v>
      </c>
      <c r="U2654" s="1" t="s">
        <v>22</v>
      </c>
      <c r="V2654" s="1" t="s">
        <v>24</v>
      </c>
      <c r="W2654" s="1" t="s">
        <v>24</v>
      </c>
      <c r="X2654" s="1">
        <v>2728</v>
      </c>
      <c r="Y2654" s="1">
        <v>2737</v>
      </c>
      <c r="Z2654" s="1">
        <v>2734</v>
      </c>
      <c r="AA2654" s="1" t="s">
        <v>24</v>
      </c>
      <c r="AB2654" s="1" t="s">
        <v>24</v>
      </c>
      <c r="AC2654" s="1" t="s">
        <v>24</v>
      </c>
      <c r="AD2654" s="1" t="s">
        <v>24</v>
      </c>
      <c r="AE2654" s="1" t="s">
        <v>24</v>
      </c>
      <c r="AF2654" s="22"/>
    </row>
    <row r="2655" spans="1:32" x14ac:dyDescent="0.2">
      <c r="A2655" s="1">
        <v>20234</v>
      </c>
      <c r="B2655" s="1" t="s">
        <v>8398</v>
      </c>
      <c r="C2655" s="5" t="s">
        <v>0</v>
      </c>
      <c r="D2655" s="1" t="s">
        <v>8399</v>
      </c>
      <c r="F2655" s="1" t="s">
        <v>8400</v>
      </c>
      <c r="G2655" s="1" t="s">
        <v>8401</v>
      </c>
      <c r="H2655" s="1" t="s">
        <v>116</v>
      </c>
      <c r="I2655" s="1" t="s">
        <v>16</v>
      </c>
      <c r="J2655" s="1">
        <v>1</v>
      </c>
      <c r="K2655" s="1">
        <v>1</v>
      </c>
      <c r="L2655" s="1" t="s">
        <v>42</v>
      </c>
      <c r="M2655" s="1" t="s">
        <v>117</v>
      </c>
      <c r="N2655" s="1" t="s">
        <v>118</v>
      </c>
      <c r="O2655" s="1">
        <v>1</v>
      </c>
      <c r="P2655" s="1">
        <v>5</v>
      </c>
      <c r="R2655" s="1" t="s">
        <v>19</v>
      </c>
      <c r="S2655" s="1" t="s">
        <v>63</v>
      </c>
      <c r="T2655" s="1" t="s">
        <v>21</v>
      </c>
      <c r="U2655" s="1" t="s">
        <v>22</v>
      </c>
      <c r="V2655" s="1" t="s">
        <v>24</v>
      </c>
      <c r="W2655" s="1" t="s">
        <v>24</v>
      </c>
      <c r="X2655" s="1">
        <v>2738</v>
      </c>
      <c r="Y2655" s="1" t="s">
        <v>24</v>
      </c>
      <c r="Z2655" s="1" t="s">
        <v>24</v>
      </c>
      <c r="AA2655" s="1" t="s">
        <v>24</v>
      </c>
      <c r="AB2655" s="1" t="s">
        <v>24</v>
      </c>
      <c r="AC2655" s="1" t="s">
        <v>24</v>
      </c>
      <c r="AD2655" s="1" t="s">
        <v>24</v>
      </c>
      <c r="AE2655" s="1" t="s">
        <v>24</v>
      </c>
      <c r="AF2655" s="22"/>
    </row>
    <row r="2656" spans="1:32" x14ac:dyDescent="0.2">
      <c r="A2656" s="1">
        <v>20235</v>
      </c>
      <c r="B2656" s="1" t="s">
        <v>8402</v>
      </c>
      <c r="C2656" s="5" t="s">
        <v>0</v>
      </c>
      <c r="D2656" s="1" t="s">
        <v>8403</v>
      </c>
      <c r="F2656" s="1" t="s">
        <v>437</v>
      </c>
      <c r="G2656" s="1" t="s">
        <v>437</v>
      </c>
      <c r="H2656" s="1" t="s">
        <v>168</v>
      </c>
      <c r="I2656" s="1" t="s">
        <v>16</v>
      </c>
      <c r="J2656" s="1">
        <v>1</v>
      </c>
      <c r="K2656" s="1">
        <v>4</v>
      </c>
      <c r="L2656" s="1" t="s">
        <v>42</v>
      </c>
      <c r="M2656" s="1" t="s">
        <v>413</v>
      </c>
      <c r="N2656" s="1" t="s">
        <v>242</v>
      </c>
      <c r="O2656" s="1">
        <v>2</v>
      </c>
      <c r="P2656" s="1">
        <v>5</v>
      </c>
      <c r="R2656" s="1" t="s">
        <v>19</v>
      </c>
      <c r="S2656" s="1" t="s">
        <v>20</v>
      </c>
      <c r="T2656" s="1" t="s">
        <v>21</v>
      </c>
      <c r="U2656" s="1" t="s">
        <v>22</v>
      </c>
      <c r="V2656" s="1" t="s">
        <v>24</v>
      </c>
      <c r="W2656" s="1" t="s">
        <v>24</v>
      </c>
      <c r="X2656" s="1">
        <v>2739</v>
      </c>
      <c r="Y2656" s="1">
        <v>2708</v>
      </c>
      <c r="Z2656" s="1" t="s">
        <v>24</v>
      </c>
      <c r="AA2656" s="1" t="s">
        <v>24</v>
      </c>
      <c r="AB2656" s="1" t="s">
        <v>24</v>
      </c>
      <c r="AC2656" s="1" t="s">
        <v>24</v>
      </c>
      <c r="AD2656" s="1" t="s">
        <v>24</v>
      </c>
      <c r="AE2656" s="1" t="s">
        <v>24</v>
      </c>
      <c r="AF2656" s="22"/>
    </row>
    <row r="2657" spans="1:32" x14ac:dyDescent="0.2">
      <c r="A2657" s="1">
        <v>20236</v>
      </c>
      <c r="B2657" s="1" t="s">
        <v>8404</v>
      </c>
      <c r="C2657" s="5" t="s">
        <v>0</v>
      </c>
      <c r="D2657" s="1" t="s">
        <v>8405</v>
      </c>
      <c r="E2657" s="1" t="s">
        <v>8406</v>
      </c>
      <c r="F2657" s="1" t="s">
        <v>1479</v>
      </c>
      <c r="G2657" s="1" t="s">
        <v>61</v>
      </c>
      <c r="H2657" s="1" t="s">
        <v>168</v>
      </c>
      <c r="I2657" s="1" t="s">
        <v>16</v>
      </c>
      <c r="J2657" s="1">
        <v>1</v>
      </c>
      <c r="K2657" s="1">
        <v>8</v>
      </c>
      <c r="L2657" s="1" t="s">
        <v>31</v>
      </c>
      <c r="M2657" s="1" t="s">
        <v>18</v>
      </c>
      <c r="N2657" s="1" t="s">
        <v>18</v>
      </c>
      <c r="O2657" s="1">
        <v>3</v>
      </c>
      <c r="P2657" s="1">
        <v>6</v>
      </c>
      <c r="R2657" s="1" t="s">
        <v>19</v>
      </c>
      <c r="S2657" s="1" t="s">
        <v>20</v>
      </c>
      <c r="T2657" s="1" t="s">
        <v>21</v>
      </c>
      <c r="U2657" s="1" t="s">
        <v>22</v>
      </c>
      <c r="V2657" s="1" t="s">
        <v>24</v>
      </c>
      <c r="W2657" s="1" t="s">
        <v>24</v>
      </c>
      <c r="X2657" s="1">
        <v>2404</v>
      </c>
      <c r="Y2657" s="1">
        <v>2725</v>
      </c>
      <c r="Z2657" s="1">
        <v>2726</v>
      </c>
      <c r="AA2657" s="1" t="s">
        <v>24</v>
      </c>
      <c r="AB2657" s="1" t="s">
        <v>24</v>
      </c>
      <c r="AC2657" s="1" t="s">
        <v>24</v>
      </c>
      <c r="AD2657" s="1" t="s">
        <v>24</v>
      </c>
      <c r="AE2657" s="1" t="s">
        <v>24</v>
      </c>
      <c r="AF2657" s="22"/>
    </row>
    <row r="2658" spans="1:32" x14ac:dyDescent="0.2">
      <c r="A2658" s="1">
        <v>20237</v>
      </c>
      <c r="B2658" s="1" t="s">
        <v>8407</v>
      </c>
      <c r="C2658" s="5" t="s">
        <v>0</v>
      </c>
      <c r="D2658" s="1" t="s">
        <v>8408</v>
      </c>
      <c r="E2658" s="1" t="s">
        <v>8409</v>
      </c>
      <c r="F2658" s="1" t="s">
        <v>85</v>
      </c>
      <c r="G2658" s="1" t="s">
        <v>61</v>
      </c>
      <c r="H2658" s="1" t="s">
        <v>86</v>
      </c>
      <c r="I2658" s="1" t="s">
        <v>16</v>
      </c>
      <c r="J2658" s="1">
        <v>1</v>
      </c>
      <c r="K2658" s="1">
        <v>6</v>
      </c>
      <c r="L2658" s="1" t="s">
        <v>31</v>
      </c>
      <c r="M2658" s="1" t="s">
        <v>87</v>
      </c>
      <c r="N2658" s="1" t="s">
        <v>18</v>
      </c>
      <c r="O2658" s="1">
        <v>2</v>
      </c>
      <c r="P2658" s="1">
        <v>6</v>
      </c>
      <c r="R2658" s="1" t="s">
        <v>19</v>
      </c>
      <c r="S2658" s="1" t="s">
        <v>20</v>
      </c>
      <c r="T2658" s="1" t="s">
        <v>21</v>
      </c>
      <c r="U2658" s="1" t="s">
        <v>22</v>
      </c>
      <c r="V2658" s="1" t="s">
        <v>24</v>
      </c>
      <c r="W2658" s="1" t="s">
        <v>24</v>
      </c>
      <c r="X2658" s="1">
        <v>2746</v>
      </c>
      <c r="Y2658" s="1">
        <v>2732</v>
      </c>
      <c r="Z2658" s="1" t="s">
        <v>24</v>
      </c>
      <c r="AA2658" s="1" t="s">
        <v>24</v>
      </c>
      <c r="AB2658" s="1" t="s">
        <v>24</v>
      </c>
      <c r="AC2658" s="1" t="s">
        <v>24</v>
      </c>
      <c r="AD2658" s="1" t="s">
        <v>24</v>
      </c>
      <c r="AE2658" s="1" t="s">
        <v>24</v>
      </c>
      <c r="AF2658" s="22"/>
    </row>
    <row r="2659" spans="1:32" x14ac:dyDescent="0.2">
      <c r="A2659" s="1">
        <v>20239</v>
      </c>
      <c r="B2659" s="1" t="s">
        <v>8410</v>
      </c>
      <c r="C2659" s="5" t="s">
        <v>0</v>
      </c>
      <c r="D2659" s="1" t="s">
        <v>8411</v>
      </c>
      <c r="E2659" s="1" t="s">
        <v>8412</v>
      </c>
      <c r="F2659" s="1" t="s">
        <v>85</v>
      </c>
      <c r="G2659" s="1" t="s">
        <v>61</v>
      </c>
      <c r="H2659" s="1" t="s">
        <v>86</v>
      </c>
      <c r="I2659" s="1" t="s">
        <v>16</v>
      </c>
      <c r="J2659" s="1">
        <v>1</v>
      </c>
      <c r="K2659" s="1">
        <v>12</v>
      </c>
      <c r="L2659" s="1" t="s">
        <v>31</v>
      </c>
      <c r="M2659" s="1" t="s">
        <v>87</v>
      </c>
      <c r="N2659" s="1" t="s">
        <v>87</v>
      </c>
      <c r="O2659" s="1">
        <v>2</v>
      </c>
      <c r="P2659" s="1">
        <v>5</v>
      </c>
      <c r="R2659" s="1" t="s">
        <v>19</v>
      </c>
      <c r="S2659" s="1" t="s">
        <v>20</v>
      </c>
      <c r="T2659" s="1" t="s">
        <v>21</v>
      </c>
      <c r="U2659" s="1" t="s">
        <v>22</v>
      </c>
      <c r="V2659" s="1" t="s">
        <v>23</v>
      </c>
      <c r="W2659" s="1" t="s">
        <v>24</v>
      </c>
      <c r="X2659" s="1">
        <v>2729</v>
      </c>
      <c r="Y2659" s="1">
        <v>2743</v>
      </c>
      <c r="Z2659" s="1" t="s">
        <v>24</v>
      </c>
      <c r="AA2659" s="1" t="s">
        <v>24</v>
      </c>
      <c r="AB2659" s="1" t="s">
        <v>24</v>
      </c>
      <c r="AC2659" s="1" t="s">
        <v>24</v>
      </c>
      <c r="AD2659" s="1" t="s">
        <v>24</v>
      </c>
      <c r="AE2659" s="1" t="s">
        <v>24</v>
      </c>
      <c r="AF2659" s="22"/>
    </row>
    <row r="2660" spans="1:32" x14ac:dyDescent="0.2">
      <c r="A2660" s="1">
        <v>20254</v>
      </c>
      <c r="B2660" s="1" t="s">
        <v>8413</v>
      </c>
      <c r="C2660" s="5" t="s">
        <v>0</v>
      </c>
      <c r="D2660" s="1" t="s">
        <v>8414</v>
      </c>
      <c r="E2660" s="1" t="s">
        <v>8415</v>
      </c>
      <c r="F2660" s="1" t="s">
        <v>28</v>
      </c>
      <c r="G2660" s="1" t="s">
        <v>29</v>
      </c>
      <c r="H2660" s="1" t="s">
        <v>30</v>
      </c>
      <c r="I2660" s="1" t="s">
        <v>16</v>
      </c>
      <c r="J2660" s="1">
        <v>3</v>
      </c>
      <c r="K2660" s="1">
        <v>5</v>
      </c>
      <c r="L2660" s="1" t="s">
        <v>31</v>
      </c>
      <c r="M2660" s="1" t="s">
        <v>18</v>
      </c>
      <c r="N2660" s="1" t="s">
        <v>18</v>
      </c>
      <c r="O2660" s="1">
        <v>3</v>
      </c>
      <c r="P2660" s="1">
        <v>7</v>
      </c>
      <c r="Q2660" s="7" t="s">
        <v>17633</v>
      </c>
      <c r="R2660" s="1" t="s">
        <v>62</v>
      </c>
      <c r="S2660" s="1" t="s">
        <v>20</v>
      </c>
      <c r="T2660" s="1" t="s">
        <v>21</v>
      </c>
      <c r="U2660" s="1" t="s">
        <v>22</v>
      </c>
      <c r="V2660" s="1" t="s">
        <v>24</v>
      </c>
      <c r="W2660" s="1" t="s">
        <v>24</v>
      </c>
      <c r="X2660" s="1">
        <v>2725</v>
      </c>
      <c r="Y2660" s="1">
        <v>2736</v>
      </c>
      <c r="Z2660" s="1" t="s">
        <v>24</v>
      </c>
      <c r="AA2660" s="1" t="s">
        <v>24</v>
      </c>
      <c r="AB2660" s="1" t="s">
        <v>24</v>
      </c>
      <c r="AC2660" s="1" t="s">
        <v>24</v>
      </c>
      <c r="AD2660" s="1" t="s">
        <v>24</v>
      </c>
      <c r="AE2660" s="1" t="s">
        <v>24</v>
      </c>
      <c r="AF2660" s="22"/>
    </row>
    <row r="2661" spans="1:32" x14ac:dyDescent="0.2">
      <c r="A2661" s="1">
        <v>20255</v>
      </c>
      <c r="B2661" s="1" t="s">
        <v>8416</v>
      </c>
      <c r="C2661" s="5" t="s">
        <v>0</v>
      </c>
      <c r="D2661" s="1" t="s">
        <v>8417</v>
      </c>
      <c r="F2661" s="1" t="s">
        <v>8418</v>
      </c>
      <c r="G2661" s="1" t="s">
        <v>8419</v>
      </c>
      <c r="H2661" s="1" t="s">
        <v>1007</v>
      </c>
      <c r="I2661" s="1" t="s">
        <v>16</v>
      </c>
      <c r="J2661" s="1">
        <v>1</v>
      </c>
      <c r="K2661" s="1">
        <v>36</v>
      </c>
      <c r="L2661" s="1" t="s">
        <v>42</v>
      </c>
      <c r="M2661" s="1" t="s">
        <v>1008</v>
      </c>
      <c r="N2661" s="1" t="s">
        <v>1009</v>
      </c>
      <c r="O2661" s="1">
        <v>1</v>
      </c>
      <c r="P2661" s="1">
        <v>5</v>
      </c>
      <c r="R2661" s="1" t="s">
        <v>19</v>
      </c>
      <c r="S2661" s="1" t="s">
        <v>20</v>
      </c>
      <c r="T2661" s="1" t="s">
        <v>21</v>
      </c>
      <c r="U2661" s="1" t="s">
        <v>22</v>
      </c>
      <c r="V2661" s="1" t="s">
        <v>24</v>
      </c>
      <c r="W2661" s="1" t="s">
        <v>24</v>
      </c>
      <c r="X2661" s="1">
        <v>2715</v>
      </c>
      <c r="Y2661" s="1" t="s">
        <v>24</v>
      </c>
      <c r="Z2661" s="1" t="s">
        <v>24</v>
      </c>
      <c r="AA2661" s="1" t="s">
        <v>24</v>
      </c>
      <c r="AB2661" s="1" t="s">
        <v>24</v>
      </c>
      <c r="AC2661" s="1" t="s">
        <v>24</v>
      </c>
      <c r="AD2661" s="1" t="s">
        <v>24</v>
      </c>
      <c r="AE2661" s="1" t="s">
        <v>24</v>
      </c>
      <c r="AF2661" s="22"/>
    </row>
    <row r="2662" spans="1:32" x14ac:dyDescent="0.2">
      <c r="A2662" s="1">
        <v>20257</v>
      </c>
      <c r="B2662" s="1" t="s">
        <v>8420</v>
      </c>
      <c r="C2662" s="5" t="s">
        <v>0</v>
      </c>
      <c r="D2662" s="1" t="s">
        <v>8421</v>
      </c>
      <c r="E2662" s="1" t="s">
        <v>8422</v>
      </c>
      <c r="F2662" s="1" t="s">
        <v>315</v>
      </c>
      <c r="G2662" s="1" t="s">
        <v>316</v>
      </c>
      <c r="H2662" s="1" t="s">
        <v>461</v>
      </c>
      <c r="I2662" s="1" t="s">
        <v>16</v>
      </c>
      <c r="J2662" s="1">
        <v>1</v>
      </c>
      <c r="K2662" s="1">
        <v>12</v>
      </c>
      <c r="L2662" s="1" t="s">
        <v>31</v>
      </c>
      <c r="M2662" s="1" t="s">
        <v>18</v>
      </c>
      <c r="N2662" s="1" t="s">
        <v>18</v>
      </c>
      <c r="O2662" s="1">
        <v>3</v>
      </c>
      <c r="P2662" s="1">
        <v>6</v>
      </c>
      <c r="R2662" s="1" t="s">
        <v>62</v>
      </c>
      <c r="S2662" s="1" t="s">
        <v>20</v>
      </c>
      <c r="T2662" s="1" t="s">
        <v>21</v>
      </c>
      <c r="U2662" s="1" t="s">
        <v>22</v>
      </c>
      <c r="V2662" s="1" t="s">
        <v>24</v>
      </c>
      <c r="W2662" s="1" t="s">
        <v>24</v>
      </c>
      <c r="X2662" s="1">
        <v>2724</v>
      </c>
      <c r="Y2662" s="1">
        <v>1314</v>
      </c>
      <c r="Z2662" s="1">
        <v>2705</v>
      </c>
      <c r="AA2662" s="1" t="s">
        <v>24</v>
      </c>
      <c r="AB2662" s="1" t="s">
        <v>24</v>
      </c>
      <c r="AC2662" s="1" t="s">
        <v>24</v>
      </c>
      <c r="AD2662" s="1" t="s">
        <v>24</v>
      </c>
      <c r="AE2662" s="1" t="s">
        <v>24</v>
      </c>
      <c r="AF2662" s="22" t="s">
        <v>17670</v>
      </c>
    </row>
    <row r="2663" spans="1:32" x14ac:dyDescent="0.2">
      <c r="A2663" s="1">
        <v>20259</v>
      </c>
      <c r="B2663" s="1" t="s">
        <v>8423</v>
      </c>
      <c r="C2663" s="5" t="s">
        <v>0</v>
      </c>
      <c r="D2663" s="1" t="s">
        <v>8424</v>
      </c>
      <c r="E2663" s="1" t="s">
        <v>8425</v>
      </c>
      <c r="F2663" s="1" t="s">
        <v>8426</v>
      </c>
      <c r="G2663" s="1" t="s">
        <v>4793</v>
      </c>
      <c r="H2663" s="1" t="s">
        <v>30</v>
      </c>
      <c r="I2663" s="1" t="s">
        <v>16</v>
      </c>
      <c r="J2663" s="1">
        <v>1</v>
      </c>
      <c r="K2663" s="1">
        <v>6</v>
      </c>
      <c r="L2663" s="1" t="s">
        <v>42</v>
      </c>
      <c r="M2663" s="1" t="s">
        <v>18</v>
      </c>
      <c r="N2663" s="1" t="s">
        <v>18</v>
      </c>
      <c r="O2663" s="1">
        <v>3</v>
      </c>
      <c r="P2663" s="1">
        <v>7</v>
      </c>
      <c r="Q2663" s="7" t="s">
        <v>17633</v>
      </c>
      <c r="R2663" s="1" t="s">
        <v>19</v>
      </c>
      <c r="S2663" s="1" t="s">
        <v>20</v>
      </c>
      <c r="T2663" s="1" t="s">
        <v>21</v>
      </c>
      <c r="U2663" s="1" t="s">
        <v>22</v>
      </c>
      <c r="V2663" s="1" t="s">
        <v>23</v>
      </c>
      <c r="W2663" s="1" t="s">
        <v>24</v>
      </c>
      <c r="X2663" s="1">
        <v>2705</v>
      </c>
      <c r="Y2663" s="1">
        <v>2741</v>
      </c>
      <c r="Z2663" s="1" t="s">
        <v>24</v>
      </c>
      <c r="AA2663" s="1" t="s">
        <v>24</v>
      </c>
      <c r="AB2663" s="1" t="s">
        <v>24</v>
      </c>
      <c r="AC2663" s="1" t="s">
        <v>24</v>
      </c>
      <c r="AD2663" s="1" t="s">
        <v>24</v>
      </c>
      <c r="AE2663" s="1" t="s">
        <v>24</v>
      </c>
      <c r="AF2663" s="22"/>
    </row>
    <row r="2664" spans="1:32" x14ac:dyDescent="0.2">
      <c r="A2664" s="1">
        <v>20260</v>
      </c>
      <c r="B2664" s="1" t="s">
        <v>8427</v>
      </c>
      <c r="C2664" s="5" t="s">
        <v>0</v>
      </c>
      <c r="D2664" s="1" t="s">
        <v>8428</v>
      </c>
      <c r="F2664" s="1" t="s">
        <v>8429</v>
      </c>
      <c r="G2664" s="1" t="s">
        <v>8429</v>
      </c>
      <c r="H2664" s="1" t="s">
        <v>69</v>
      </c>
      <c r="I2664" s="1" t="s">
        <v>16</v>
      </c>
      <c r="J2664" s="1">
        <v>1</v>
      </c>
      <c r="K2664" s="1">
        <v>1</v>
      </c>
      <c r="L2664" s="1" t="s">
        <v>42</v>
      </c>
      <c r="M2664" s="1" t="s">
        <v>75</v>
      </c>
      <c r="N2664" s="1" t="s">
        <v>75</v>
      </c>
      <c r="O2664" s="1">
        <v>1</v>
      </c>
      <c r="P2664" s="1">
        <v>4</v>
      </c>
      <c r="R2664" s="1" t="s">
        <v>19</v>
      </c>
      <c r="S2664" s="1" t="s">
        <v>63</v>
      </c>
      <c r="T2664" s="1" t="s">
        <v>21</v>
      </c>
      <c r="U2664" s="1" t="s">
        <v>22</v>
      </c>
      <c r="V2664" s="1" t="s">
        <v>24</v>
      </c>
      <c r="W2664" s="1" t="s">
        <v>24</v>
      </c>
      <c r="X2664" s="1">
        <v>1300</v>
      </c>
      <c r="Y2664" s="1">
        <v>2700</v>
      </c>
      <c r="Z2664" s="1" t="s">
        <v>24</v>
      </c>
      <c r="AA2664" s="1" t="s">
        <v>24</v>
      </c>
      <c r="AB2664" s="1" t="s">
        <v>24</v>
      </c>
      <c r="AC2664" s="1" t="s">
        <v>24</v>
      </c>
      <c r="AD2664" s="1" t="s">
        <v>24</v>
      </c>
      <c r="AE2664" s="1" t="s">
        <v>24</v>
      </c>
      <c r="AF2664" s="22"/>
    </row>
    <row r="2665" spans="1:32" x14ac:dyDescent="0.2">
      <c r="A2665" s="1">
        <v>20272</v>
      </c>
      <c r="B2665" s="1" t="s">
        <v>8430</v>
      </c>
      <c r="C2665" s="5" t="s">
        <v>0</v>
      </c>
      <c r="D2665" s="1" t="s">
        <v>8431</v>
      </c>
      <c r="E2665" s="1" t="s">
        <v>8432</v>
      </c>
      <c r="F2665" s="1" t="s">
        <v>2299</v>
      </c>
      <c r="G2665" s="1" t="s">
        <v>2300</v>
      </c>
      <c r="H2665" s="1" t="s">
        <v>37</v>
      </c>
      <c r="I2665" s="1" t="s">
        <v>16</v>
      </c>
      <c r="J2665" s="1">
        <v>1</v>
      </c>
      <c r="K2665" s="1">
        <v>6</v>
      </c>
      <c r="L2665" s="1" t="s">
        <v>31</v>
      </c>
      <c r="M2665" s="1" t="s">
        <v>18</v>
      </c>
      <c r="N2665" s="1" t="s">
        <v>18</v>
      </c>
      <c r="O2665" s="1">
        <v>3</v>
      </c>
      <c r="P2665" s="1">
        <v>6</v>
      </c>
      <c r="R2665" s="1" t="s">
        <v>62</v>
      </c>
      <c r="S2665" s="1" t="s">
        <v>63</v>
      </c>
      <c r="T2665" s="1" t="s">
        <v>21</v>
      </c>
      <c r="U2665" s="1" t="s">
        <v>22</v>
      </c>
      <c r="V2665" s="1" t="s">
        <v>23</v>
      </c>
      <c r="W2665" s="1" t="s">
        <v>24</v>
      </c>
      <c r="X2665" s="1">
        <v>1306</v>
      </c>
      <c r="Y2665" s="1">
        <v>2730</v>
      </c>
      <c r="Z2665" s="1" t="s">
        <v>24</v>
      </c>
      <c r="AA2665" s="1" t="s">
        <v>24</v>
      </c>
      <c r="AB2665" s="1" t="s">
        <v>24</v>
      </c>
      <c r="AC2665" s="1" t="s">
        <v>24</v>
      </c>
      <c r="AD2665" s="1" t="s">
        <v>24</v>
      </c>
      <c r="AE2665" s="1" t="s">
        <v>24</v>
      </c>
      <c r="AF2665" s="22"/>
    </row>
    <row r="2666" spans="1:32" x14ac:dyDescent="0.2">
      <c r="A2666" s="1">
        <v>20273</v>
      </c>
      <c r="B2666" s="1" t="s">
        <v>8433</v>
      </c>
      <c r="C2666" s="5" t="s">
        <v>0</v>
      </c>
      <c r="D2666" s="1" t="s">
        <v>8434</v>
      </c>
      <c r="E2666" s="1" t="s">
        <v>8435</v>
      </c>
      <c r="F2666" s="1" t="s">
        <v>315</v>
      </c>
      <c r="G2666" s="1" t="s">
        <v>316</v>
      </c>
      <c r="H2666" s="1" t="s">
        <v>37</v>
      </c>
      <c r="I2666" s="1" t="s">
        <v>16</v>
      </c>
      <c r="J2666" s="1">
        <v>1</v>
      </c>
      <c r="K2666" s="1">
        <v>8</v>
      </c>
      <c r="L2666" s="1" t="s">
        <v>31</v>
      </c>
      <c r="M2666" s="1" t="s">
        <v>18</v>
      </c>
      <c r="N2666" s="1" t="s">
        <v>18</v>
      </c>
      <c r="O2666" s="1">
        <v>3</v>
      </c>
      <c r="P2666" s="1">
        <v>7</v>
      </c>
      <c r="Q2666" s="7" t="s">
        <v>17633</v>
      </c>
      <c r="R2666" s="1" t="s">
        <v>62</v>
      </c>
      <c r="S2666" s="1" t="s">
        <v>20</v>
      </c>
      <c r="T2666" s="1" t="s">
        <v>21</v>
      </c>
      <c r="U2666" s="1" t="s">
        <v>22</v>
      </c>
      <c r="V2666" s="1" t="s">
        <v>24</v>
      </c>
      <c r="W2666" s="1" t="s">
        <v>24</v>
      </c>
      <c r="X2666" s="1">
        <v>2716</v>
      </c>
      <c r="Y2666" s="1">
        <v>2403</v>
      </c>
      <c r="Z2666" s="1">
        <v>1311</v>
      </c>
      <c r="AA2666" s="1" t="s">
        <v>24</v>
      </c>
      <c r="AB2666" s="1" t="s">
        <v>24</v>
      </c>
      <c r="AC2666" s="1" t="s">
        <v>24</v>
      </c>
      <c r="AD2666" s="1" t="s">
        <v>24</v>
      </c>
      <c r="AE2666" s="1" t="s">
        <v>24</v>
      </c>
      <c r="AF2666" s="22"/>
    </row>
    <row r="2667" spans="1:32" x14ac:dyDescent="0.2">
      <c r="A2667" s="1">
        <v>20274</v>
      </c>
      <c r="B2667" s="1" t="s">
        <v>8436</v>
      </c>
      <c r="C2667" s="5" t="s">
        <v>0</v>
      </c>
      <c r="D2667" s="1" t="s">
        <v>8437</v>
      </c>
      <c r="E2667" s="1" t="s">
        <v>8438</v>
      </c>
      <c r="F2667" s="1" t="s">
        <v>291</v>
      </c>
      <c r="G2667" s="1" t="s">
        <v>292</v>
      </c>
      <c r="H2667" s="1" t="s">
        <v>37</v>
      </c>
      <c r="I2667" s="1" t="s">
        <v>16</v>
      </c>
      <c r="J2667" s="1">
        <v>1</v>
      </c>
      <c r="K2667" s="1">
        <v>18</v>
      </c>
      <c r="L2667" s="1" t="s">
        <v>31</v>
      </c>
      <c r="M2667" s="1" t="s">
        <v>18</v>
      </c>
      <c r="N2667" s="1" t="s">
        <v>18</v>
      </c>
      <c r="O2667" s="1">
        <v>3</v>
      </c>
      <c r="P2667" s="1">
        <v>6</v>
      </c>
      <c r="R2667" s="1" t="s">
        <v>19</v>
      </c>
      <c r="S2667" s="1" t="s">
        <v>20</v>
      </c>
      <c r="T2667" s="1" t="s">
        <v>21</v>
      </c>
      <c r="U2667" s="1" t="s">
        <v>22</v>
      </c>
      <c r="V2667" s="1" t="s">
        <v>24</v>
      </c>
      <c r="W2667" s="1" t="s">
        <v>24</v>
      </c>
      <c r="X2667" s="1">
        <v>2736</v>
      </c>
      <c r="Y2667" s="1">
        <v>3004</v>
      </c>
      <c r="Z2667" s="1" t="s">
        <v>24</v>
      </c>
      <c r="AA2667" s="1" t="s">
        <v>24</v>
      </c>
      <c r="AB2667" s="1" t="s">
        <v>24</v>
      </c>
      <c r="AC2667" s="1" t="s">
        <v>24</v>
      </c>
      <c r="AD2667" s="1" t="s">
        <v>24</v>
      </c>
      <c r="AE2667" s="1" t="s">
        <v>24</v>
      </c>
      <c r="AF2667" s="22"/>
    </row>
    <row r="2668" spans="1:32" x14ac:dyDescent="0.2">
      <c r="A2668" s="1">
        <v>20275</v>
      </c>
      <c r="B2668" s="1" t="s">
        <v>8439</v>
      </c>
      <c r="C2668" s="5" t="s">
        <v>0</v>
      </c>
      <c r="D2668" s="1" t="s">
        <v>8440</v>
      </c>
      <c r="E2668" s="1" t="s">
        <v>8441</v>
      </c>
      <c r="F2668" s="1" t="s">
        <v>8442</v>
      </c>
      <c r="G2668" s="1" t="s">
        <v>8443</v>
      </c>
      <c r="H2668" s="1" t="s">
        <v>37</v>
      </c>
      <c r="I2668" s="1" t="s">
        <v>16</v>
      </c>
      <c r="J2668" s="1">
        <v>1</v>
      </c>
      <c r="K2668" s="1">
        <v>16</v>
      </c>
      <c r="L2668" s="1" t="s">
        <v>31</v>
      </c>
      <c r="M2668" s="1" t="s">
        <v>18</v>
      </c>
      <c r="N2668" s="1" t="s">
        <v>18</v>
      </c>
      <c r="O2668" s="1">
        <v>3</v>
      </c>
      <c r="P2668" s="1">
        <v>6</v>
      </c>
      <c r="R2668" s="1" t="s">
        <v>62</v>
      </c>
      <c r="S2668" s="1" t="s">
        <v>20</v>
      </c>
      <c r="T2668" s="1" t="s">
        <v>21</v>
      </c>
      <c r="U2668" s="1" t="s">
        <v>22</v>
      </c>
      <c r="V2668" s="1" t="s">
        <v>24</v>
      </c>
      <c r="W2668" s="1" t="s">
        <v>24</v>
      </c>
      <c r="X2668" s="1">
        <v>3004</v>
      </c>
      <c r="Y2668" s="1">
        <v>1311</v>
      </c>
      <c r="Z2668" s="1">
        <v>1313</v>
      </c>
      <c r="AA2668" s="1" t="s">
        <v>24</v>
      </c>
      <c r="AB2668" s="1" t="s">
        <v>24</v>
      </c>
      <c r="AC2668" s="1" t="s">
        <v>24</v>
      </c>
      <c r="AD2668" s="1" t="s">
        <v>24</v>
      </c>
      <c r="AE2668" s="1" t="s">
        <v>24</v>
      </c>
      <c r="AF2668" s="22"/>
    </row>
    <row r="2669" spans="1:32" x14ac:dyDescent="0.2">
      <c r="A2669" s="1">
        <v>20278</v>
      </c>
      <c r="B2669" s="1" t="s">
        <v>8444</v>
      </c>
      <c r="C2669" s="5" t="s">
        <v>0</v>
      </c>
      <c r="D2669" s="1" t="s">
        <v>8445</v>
      </c>
      <c r="E2669" s="1" t="s">
        <v>8446</v>
      </c>
      <c r="F2669" s="1" t="s">
        <v>190</v>
      </c>
      <c r="G2669" s="1" t="s">
        <v>130</v>
      </c>
      <c r="H2669" s="1" t="s">
        <v>30</v>
      </c>
      <c r="I2669" s="1" t="s">
        <v>16</v>
      </c>
      <c r="J2669" s="1">
        <v>1</v>
      </c>
      <c r="K2669" s="1">
        <v>4</v>
      </c>
      <c r="L2669" s="1" t="s">
        <v>31</v>
      </c>
      <c r="M2669" s="1" t="s">
        <v>18</v>
      </c>
      <c r="N2669" s="1" t="s">
        <v>18</v>
      </c>
      <c r="O2669" s="1">
        <v>3</v>
      </c>
      <c r="P2669" s="1">
        <v>7</v>
      </c>
      <c r="Q2669" s="7" t="s">
        <v>17633</v>
      </c>
      <c r="R2669" s="1" t="s">
        <v>19</v>
      </c>
      <c r="S2669" s="1" t="s">
        <v>20</v>
      </c>
      <c r="T2669" s="1" t="s">
        <v>21</v>
      </c>
      <c r="U2669" s="1" t="s">
        <v>22</v>
      </c>
      <c r="V2669" s="1" t="s">
        <v>24</v>
      </c>
      <c r="W2669" s="1" t="s">
        <v>24</v>
      </c>
      <c r="X2669" s="1">
        <v>1310</v>
      </c>
      <c r="Y2669" s="1">
        <v>2712</v>
      </c>
      <c r="Z2669" s="1" t="s">
        <v>24</v>
      </c>
      <c r="AA2669" s="1" t="s">
        <v>24</v>
      </c>
      <c r="AB2669" s="1" t="s">
        <v>24</v>
      </c>
      <c r="AC2669" s="1" t="s">
        <v>24</v>
      </c>
      <c r="AD2669" s="1" t="s">
        <v>24</v>
      </c>
      <c r="AE2669" s="1" t="s">
        <v>24</v>
      </c>
      <c r="AF2669" s="22"/>
    </row>
    <row r="2670" spans="1:32" x14ac:dyDescent="0.2">
      <c r="A2670" s="1">
        <v>20279</v>
      </c>
      <c r="B2670" s="1" t="s">
        <v>8447</v>
      </c>
      <c r="C2670" s="5" t="s">
        <v>0</v>
      </c>
      <c r="D2670" s="1" t="s">
        <v>8448</v>
      </c>
      <c r="E2670" s="1" t="s">
        <v>8449</v>
      </c>
      <c r="F2670" s="1" t="s">
        <v>190</v>
      </c>
      <c r="G2670" s="1" t="s">
        <v>130</v>
      </c>
      <c r="H2670" s="1" t="s">
        <v>30</v>
      </c>
      <c r="I2670" s="1" t="s">
        <v>16</v>
      </c>
      <c r="J2670" s="1">
        <v>1</v>
      </c>
      <c r="K2670" s="1">
        <v>6</v>
      </c>
      <c r="L2670" s="1" t="s">
        <v>31</v>
      </c>
      <c r="M2670" s="1" t="s">
        <v>18</v>
      </c>
      <c r="N2670" s="1" t="s">
        <v>18</v>
      </c>
      <c r="O2670" s="1">
        <v>3</v>
      </c>
      <c r="P2670" s="1">
        <v>7</v>
      </c>
      <c r="Q2670" s="7" t="s">
        <v>17633</v>
      </c>
      <c r="R2670" s="1" t="s">
        <v>19</v>
      </c>
      <c r="S2670" s="1" t="s">
        <v>20</v>
      </c>
      <c r="T2670" s="1" t="s">
        <v>21</v>
      </c>
      <c r="U2670" s="1" t="s">
        <v>22</v>
      </c>
      <c r="V2670" s="1" t="s">
        <v>23</v>
      </c>
      <c r="W2670" s="1" t="s">
        <v>24</v>
      </c>
      <c r="X2670" s="1">
        <v>2204</v>
      </c>
      <c r="Y2670" s="1">
        <v>1312</v>
      </c>
      <c r="Z2670" s="1" t="s">
        <v>24</v>
      </c>
      <c r="AA2670" s="1" t="s">
        <v>24</v>
      </c>
      <c r="AB2670" s="1" t="s">
        <v>24</v>
      </c>
      <c r="AC2670" s="1" t="s">
        <v>24</v>
      </c>
      <c r="AD2670" s="1" t="s">
        <v>24</v>
      </c>
      <c r="AE2670" s="1" t="s">
        <v>24</v>
      </c>
      <c r="AF2670" s="22"/>
    </row>
    <row r="2671" spans="1:32" x14ac:dyDescent="0.2">
      <c r="A2671" s="1">
        <v>20282</v>
      </c>
      <c r="B2671" s="1" t="s">
        <v>8450</v>
      </c>
      <c r="C2671" s="5" t="s">
        <v>0</v>
      </c>
      <c r="D2671" s="1" t="s">
        <v>8451</v>
      </c>
      <c r="E2671" s="1" t="s">
        <v>8452</v>
      </c>
      <c r="F2671" s="1" t="s">
        <v>190</v>
      </c>
      <c r="G2671" s="1" t="s">
        <v>130</v>
      </c>
      <c r="H2671" s="1" t="s">
        <v>30</v>
      </c>
      <c r="I2671" s="1" t="s">
        <v>16</v>
      </c>
      <c r="J2671" s="1">
        <v>1</v>
      </c>
      <c r="K2671" s="1">
        <v>8</v>
      </c>
      <c r="L2671" s="1" t="s">
        <v>31</v>
      </c>
      <c r="M2671" s="1" t="s">
        <v>18</v>
      </c>
      <c r="N2671" s="1" t="s">
        <v>18</v>
      </c>
      <c r="O2671" s="1">
        <v>3</v>
      </c>
      <c r="P2671" s="1">
        <v>7</v>
      </c>
      <c r="Q2671" s="7" t="s">
        <v>17633</v>
      </c>
      <c r="R2671" s="1" t="s">
        <v>19</v>
      </c>
      <c r="S2671" s="1" t="s">
        <v>20</v>
      </c>
      <c r="T2671" s="1" t="s">
        <v>21</v>
      </c>
      <c r="U2671" s="1" t="s">
        <v>22</v>
      </c>
      <c r="V2671" s="1" t="s">
        <v>24</v>
      </c>
      <c r="W2671" s="1" t="s">
        <v>24</v>
      </c>
      <c r="X2671" s="1">
        <v>2800</v>
      </c>
      <c r="Y2671" s="1">
        <v>3005</v>
      </c>
      <c r="Z2671" s="1" t="s">
        <v>24</v>
      </c>
      <c r="AA2671" s="1" t="s">
        <v>24</v>
      </c>
      <c r="AB2671" s="1" t="s">
        <v>24</v>
      </c>
      <c r="AC2671" s="1" t="s">
        <v>24</v>
      </c>
      <c r="AD2671" s="1" t="s">
        <v>24</v>
      </c>
      <c r="AE2671" s="1" t="s">
        <v>24</v>
      </c>
      <c r="AF2671" s="22"/>
    </row>
    <row r="2672" spans="1:32" x14ac:dyDescent="0.2">
      <c r="A2672" s="1">
        <v>20285</v>
      </c>
      <c r="B2672" s="1" t="s">
        <v>8453</v>
      </c>
      <c r="C2672" s="5" t="s">
        <v>0</v>
      </c>
      <c r="D2672" s="1" t="s">
        <v>8454</v>
      </c>
      <c r="F2672" s="1" t="s">
        <v>8455</v>
      </c>
      <c r="G2672" s="1" t="s">
        <v>8455</v>
      </c>
      <c r="H2672" s="1" t="s">
        <v>37</v>
      </c>
      <c r="I2672" s="1" t="s">
        <v>16</v>
      </c>
      <c r="J2672" s="1">
        <v>1</v>
      </c>
      <c r="K2672" s="1">
        <v>2</v>
      </c>
      <c r="L2672" s="1" t="s">
        <v>42</v>
      </c>
      <c r="M2672" s="1" t="s">
        <v>18</v>
      </c>
      <c r="N2672" s="1" t="s">
        <v>18</v>
      </c>
      <c r="O2672" s="1">
        <v>3</v>
      </c>
      <c r="P2672" s="1">
        <v>6</v>
      </c>
      <c r="R2672" s="1" t="s">
        <v>19</v>
      </c>
      <c r="S2672" s="1" t="s">
        <v>20</v>
      </c>
      <c r="T2672" s="1" t="s">
        <v>21</v>
      </c>
      <c r="U2672" s="1" t="s">
        <v>22</v>
      </c>
      <c r="V2672" s="1" t="s">
        <v>24</v>
      </c>
      <c r="W2672" s="1" t="s">
        <v>24</v>
      </c>
      <c r="X2672" s="1">
        <v>1312</v>
      </c>
      <c r="Y2672" s="1">
        <v>2404</v>
      </c>
      <c r="Z2672" s="1">
        <v>2726</v>
      </c>
      <c r="AA2672" s="1" t="s">
        <v>24</v>
      </c>
      <c r="AB2672" s="1" t="s">
        <v>24</v>
      </c>
      <c r="AC2672" s="1" t="s">
        <v>24</v>
      </c>
      <c r="AD2672" s="1" t="s">
        <v>24</v>
      </c>
      <c r="AE2672" s="1" t="s">
        <v>24</v>
      </c>
      <c r="AF2672" s="22"/>
    </row>
    <row r="2673" spans="1:32" x14ac:dyDescent="0.2">
      <c r="A2673" s="1">
        <v>20288</v>
      </c>
      <c r="B2673" s="1" t="s">
        <v>8456</v>
      </c>
      <c r="C2673" s="5" t="s">
        <v>0</v>
      </c>
      <c r="D2673" s="1" t="s">
        <v>8457</v>
      </c>
      <c r="E2673" s="1" t="s">
        <v>8458</v>
      </c>
      <c r="F2673" s="1" t="s">
        <v>8459</v>
      </c>
      <c r="G2673" s="1" t="s">
        <v>8459</v>
      </c>
      <c r="H2673" s="1" t="s">
        <v>264</v>
      </c>
      <c r="I2673" s="1" t="s">
        <v>16</v>
      </c>
      <c r="J2673" s="1">
        <v>1</v>
      </c>
      <c r="K2673" s="1">
        <v>12</v>
      </c>
      <c r="L2673" s="1" t="s">
        <v>17</v>
      </c>
      <c r="M2673" s="1" t="s">
        <v>18</v>
      </c>
      <c r="N2673" s="1" t="s">
        <v>18</v>
      </c>
      <c r="O2673" s="1">
        <v>1</v>
      </c>
      <c r="P2673" s="1">
        <v>6</v>
      </c>
      <c r="R2673" s="1" t="s">
        <v>19</v>
      </c>
      <c r="S2673" s="1" t="s">
        <v>20</v>
      </c>
      <c r="T2673" s="1" t="s">
        <v>21</v>
      </c>
      <c r="U2673" s="1" t="s">
        <v>22</v>
      </c>
      <c r="V2673" s="1" t="s">
        <v>24</v>
      </c>
      <c r="W2673" s="1" t="s">
        <v>24</v>
      </c>
      <c r="X2673" s="1">
        <v>2700</v>
      </c>
      <c r="Y2673" s="1" t="s">
        <v>24</v>
      </c>
      <c r="Z2673" s="1" t="s">
        <v>24</v>
      </c>
      <c r="AA2673" s="1" t="s">
        <v>24</v>
      </c>
      <c r="AB2673" s="1" t="s">
        <v>24</v>
      </c>
      <c r="AC2673" s="1" t="s">
        <v>24</v>
      </c>
      <c r="AD2673" s="1" t="s">
        <v>24</v>
      </c>
      <c r="AE2673" s="1" t="s">
        <v>24</v>
      </c>
      <c r="AF2673" s="22"/>
    </row>
    <row r="2674" spans="1:32" x14ac:dyDescent="0.2">
      <c r="A2674" s="1">
        <v>20294</v>
      </c>
      <c r="B2674" s="1" t="s">
        <v>8460</v>
      </c>
      <c r="C2674" s="5" t="s">
        <v>0</v>
      </c>
      <c r="D2674" s="1" t="s">
        <v>8461</v>
      </c>
      <c r="E2674" s="1" t="s">
        <v>8462</v>
      </c>
      <c r="F2674" s="1" t="s">
        <v>50</v>
      </c>
      <c r="G2674" s="1" t="s">
        <v>36</v>
      </c>
      <c r="H2674" s="1" t="s">
        <v>51</v>
      </c>
      <c r="I2674" s="1" t="s">
        <v>16</v>
      </c>
      <c r="J2674" s="1">
        <v>1</v>
      </c>
      <c r="K2674" s="1">
        <v>8</v>
      </c>
      <c r="L2674" s="1" t="s">
        <v>31</v>
      </c>
      <c r="M2674" s="1" t="s">
        <v>18</v>
      </c>
      <c r="N2674" s="1" t="s">
        <v>18</v>
      </c>
      <c r="O2674" s="1">
        <v>3</v>
      </c>
      <c r="P2674" s="1">
        <v>7</v>
      </c>
      <c r="Q2674" s="7" t="s">
        <v>17633</v>
      </c>
      <c r="R2674" s="1" t="s">
        <v>62</v>
      </c>
      <c r="S2674" s="1" t="s">
        <v>20</v>
      </c>
      <c r="T2674" s="1" t="s">
        <v>21</v>
      </c>
      <c r="U2674" s="1" t="s">
        <v>22</v>
      </c>
      <c r="V2674" s="1" t="s">
        <v>24</v>
      </c>
      <c r="W2674" s="1" t="s">
        <v>24</v>
      </c>
      <c r="X2674" s="1">
        <v>2738</v>
      </c>
      <c r="Y2674" s="1">
        <v>2803</v>
      </c>
      <c r="Z2674" s="1" t="s">
        <v>24</v>
      </c>
      <c r="AA2674" s="1" t="s">
        <v>24</v>
      </c>
      <c r="AB2674" s="1" t="s">
        <v>24</v>
      </c>
      <c r="AC2674" s="1" t="s">
        <v>24</v>
      </c>
      <c r="AD2674" s="1" t="s">
        <v>24</v>
      </c>
      <c r="AE2674" s="1" t="s">
        <v>24</v>
      </c>
      <c r="AF2674" s="22"/>
    </row>
    <row r="2675" spans="1:32" x14ac:dyDescent="0.2">
      <c r="A2675" s="1">
        <v>20295</v>
      </c>
      <c r="B2675" s="1" t="s">
        <v>8463</v>
      </c>
      <c r="C2675" s="5" t="s">
        <v>0</v>
      </c>
      <c r="D2675" s="1" t="s">
        <v>8464</v>
      </c>
      <c r="E2675" s="1" t="s">
        <v>8465</v>
      </c>
      <c r="F2675" s="1" t="s">
        <v>8463</v>
      </c>
      <c r="G2675" s="1" t="s">
        <v>80</v>
      </c>
      <c r="H2675" s="1" t="s">
        <v>30</v>
      </c>
      <c r="I2675" s="1" t="s">
        <v>16</v>
      </c>
      <c r="J2675" s="1">
        <v>1</v>
      </c>
      <c r="K2675" s="1">
        <v>6</v>
      </c>
      <c r="L2675" s="1" t="s">
        <v>31</v>
      </c>
      <c r="M2675" s="1" t="s">
        <v>18</v>
      </c>
      <c r="N2675" s="1" t="s">
        <v>18</v>
      </c>
      <c r="O2675" s="1">
        <v>3</v>
      </c>
      <c r="P2675" s="1">
        <v>6</v>
      </c>
      <c r="R2675" s="1" t="s">
        <v>19</v>
      </c>
      <c r="S2675" s="1" t="s">
        <v>20</v>
      </c>
      <c r="T2675" s="1" t="s">
        <v>21</v>
      </c>
      <c r="U2675" s="1" t="s">
        <v>22</v>
      </c>
      <c r="V2675" s="1" t="s">
        <v>24</v>
      </c>
      <c r="W2675" s="1" t="s">
        <v>24</v>
      </c>
      <c r="X2675" s="1">
        <v>1310</v>
      </c>
      <c r="Y2675" s="1">
        <v>2712</v>
      </c>
      <c r="Z2675" s="1" t="s">
        <v>24</v>
      </c>
      <c r="AA2675" s="1" t="s">
        <v>24</v>
      </c>
      <c r="AB2675" s="1" t="s">
        <v>24</v>
      </c>
      <c r="AC2675" s="1" t="s">
        <v>24</v>
      </c>
      <c r="AD2675" s="1" t="s">
        <v>24</v>
      </c>
      <c r="AE2675" s="1" t="s">
        <v>24</v>
      </c>
      <c r="AF2675" s="22"/>
    </row>
    <row r="2676" spans="1:32" x14ac:dyDescent="0.2">
      <c r="A2676" s="1">
        <v>20299</v>
      </c>
      <c r="B2676" s="1" t="s">
        <v>8466</v>
      </c>
      <c r="C2676" s="5" t="s">
        <v>0</v>
      </c>
      <c r="D2676" s="1" t="s">
        <v>8467</v>
      </c>
      <c r="E2676" s="1" t="s">
        <v>8468</v>
      </c>
      <c r="F2676" s="1" t="s">
        <v>272</v>
      </c>
      <c r="G2676" s="1" t="s">
        <v>61</v>
      </c>
      <c r="H2676" s="1" t="s">
        <v>30</v>
      </c>
      <c r="I2676" s="1" t="s">
        <v>16</v>
      </c>
      <c r="J2676" s="1">
        <v>1</v>
      </c>
      <c r="K2676" s="1">
        <v>6</v>
      </c>
      <c r="L2676" s="1" t="s">
        <v>31</v>
      </c>
      <c r="M2676" s="1" t="s">
        <v>18</v>
      </c>
      <c r="N2676" s="1" t="s">
        <v>18</v>
      </c>
      <c r="O2676" s="1">
        <v>3</v>
      </c>
      <c r="P2676" s="1">
        <v>6</v>
      </c>
      <c r="R2676" s="1" t="s">
        <v>19</v>
      </c>
      <c r="S2676" s="1" t="s">
        <v>20</v>
      </c>
      <c r="T2676" s="1" t="s">
        <v>21</v>
      </c>
      <c r="U2676" s="1" t="s">
        <v>22</v>
      </c>
      <c r="V2676" s="1" t="s">
        <v>23</v>
      </c>
      <c r="W2676" s="1" t="s">
        <v>24</v>
      </c>
      <c r="X2676" s="1">
        <v>2700</v>
      </c>
      <c r="Y2676" s="1">
        <v>2900</v>
      </c>
      <c r="Z2676" s="1">
        <v>2719</v>
      </c>
      <c r="AA2676" s="1" t="s">
        <v>24</v>
      </c>
      <c r="AB2676" s="1" t="s">
        <v>24</v>
      </c>
      <c r="AC2676" s="1" t="s">
        <v>24</v>
      </c>
      <c r="AD2676" s="1" t="s">
        <v>24</v>
      </c>
      <c r="AE2676" s="1" t="s">
        <v>24</v>
      </c>
      <c r="AF2676" s="22"/>
    </row>
    <row r="2677" spans="1:32" x14ac:dyDescent="0.2">
      <c r="A2677" s="1">
        <v>20302</v>
      </c>
      <c r="B2677" s="1" t="s">
        <v>8469</v>
      </c>
      <c r="C2677" s="5" t="s">
        <v>0</v>
      </c>
      <c r="D2677" s="1" t="s">
        <v>8470</v>
      </c>
      <c r="E2677" s="1" t="s">
        <v>8471</v>
      </c>
      <c r="F2677" s="1" t="s">
        <v>97</v>
      </c>
      <c r="G2677" s="1" t="s">
        <v>98</v>
      </c>
      <c r="H2677" s="1" t="s">
        <v>37</v>
      </c>
      <c r="I2677" s="1" t="s">
        <v>16</v>
      </c>
      <c r="J2677" s="1">
        <v>1</v>
      </c>
      <c r="K2677" s="1">
        <v>4</v>
      </c>
      <c r="L2677" s="1" t="s">
        <v>31</v>
      </c>
      <c r="M2677" s="1" t="s">
        <v>18</v>
      </c>
      <c r="N2677" s="1" t="s">
        <v>18</v>
      </c>
      <c r="O2677" s="1">
        <v>3</v>
      </c>
      <c r="P2677" s="1">
        <v>7</v>
      </c>
      <c r="Q2677" s="7" t="s">
        <v>17633</v>
      </c>
      <c r="R2677" s="1" t="s">
        <v>19</v>
      </c>
      <c r="S2677" s="1" t="s">
        <v>20</v>
      </c>
      <c r="T2677" s="1" t="s">
        <v>21</v>
      </c>
      <c r="U2677" s="1" t="s">
        <v>22</v>
      </c>
      <c r="V2677" s="1" t="s">
        <v>23</v>
      </c>
      <c r="W2677" s="1" t="s">
        <v>24</v>
      </c>
      <c r="X2677" s="1">
        <v>2736</v>
      </c>
      <c r="Y2677" s="1">
        <v>2730</v>
      </c>
      <c r="Z2677" s="1" t="s">
        <v>24</v>
      </c>
      <c r="AA2677" s="1" t="s">
        <v>24</v>
      </c>
      <c r="AB2677" s="1" t="s">
        <v>24</v>
      </c>
      <c r="AC2677" s="1" t="s">
        <v>24</v>
      </c>
      <c r="AD2677" s="1" t="s">
        <v>24</v>
      </c>
      <c r="AE2677" s="1" t="s">
        <v>24</v>
      </c>
      <c r="AF2677" s="22"/>
    </row>
    <row r="2678" spans="1:32" x14ac:dyDescent="0.2">
      <c r="A2678" s="1">
        <v>20303</v>
      </c>
      <c r="B2678" s="1" t="s">
        <v>8472</v>
      </c>
      <c r="C2678" s="5" t="s">
        <v>0</v>
      </c>
      <c r="D2678" s="1" t="s">
        <v>8473</v>
      </c>
      <c r="E2678" s="1" t="s">
        <v>8474</v>
      </c>
      <c r="F2678" s="1" t="s">
        <v>50</v>
      </c>
      <c r="G2678" s="1" t="s">
        <v>36</v>
      </c>
      <c r="H2678" s="1" t="s">
        <v>51</v>
      </c>
      <c r="I2678" s="1" t="s">
        <v>16</v>
      </c>
      <c r="J2678" s="1">
        <v>1</v>
      </c>
      <c r="K2678" s="1">
        <v>12</v>
      </c>
      <c r="L2678" s="1" t="s">
        <v>31</v>
      </c>
      <c r="M2678" s="1" t="s">
        <v>18</v>
      </c>
      <c r="N2678" s="1" t="s">
        <v>18</v>
      </c>
      <c r="O2678" s="1">
        <v>3</v>
      </c>
      <c r="P2678" s="1">
        <v>7</v>
      </c>
      <c r="Q2678" s="7" t="s">
        <v>17633</v>
      </c>
      <c r="R2678" s="1" t="s">
        <v>62</v>
      </c>
      <c r="S2678" s="1" t="s">
        <v>20</v>
      </c>
      <c r="T2678" s="1" t="s">
        <v>21</v>
      </c>
      <c r="U2678" s="1" t="s">
        <v>22</v>
      </c>
      <c r="V2678" s="1" t="s">
        <v>24</v>
      </c>
      <c r="W2678" s="1" t="s">
        <v>24</v>
      </c>
      <c r="X2678" s="1">
        <v>1303</v>
      </c>
      <c r="Y2678" s="1">
        <v>1307</v>
      </c>
      <c r="Z2678" s="1">
        <v>1315</v>
      </c>
      <c r="AA2678" s="1">
        <v>1312</v>
      </c>
      <c r="AB2678" s="1">
        <v>1311</v>
      </c>
      <c r="AC2678" s="1" t="s">
        <v>24</v>
      </c>
      <c r="AD2678" s="1" t="s">
        <v>24</v>
      </c>
      <c r="AE2678" s="1" t="s">
        <v>24</v>
      </c>
      <c r="AF2678" s="22"/>
    </row>
    <row r="2679" spans="1:32" x14ac:dyDescent="0.2">
      <c r="A2679" s="1">
        <v>20304</v>
      </c>
      <c r="B2679" s="1" t="s">
        <v>8475</v>
      </c>
      <c r="C2679" s="5" t="s">
        <v>0</v>
      </c>
      <c r="D2679" s="1" t="s">
        <v>8476</v>
      </c>
      <c r="E2679" s="1" t="s">
        <v>8477</v>
      </c>
      <c r="F2679" s="1" t="s">
        <v>724</v>
      </c>
      <c r="G2679" s="1" t="s">
        <v>725</v>
      </c>
      <c r="H2679" s="1" t="s">
        <v>37</v>
      </c>
      <c r="I2679" s="1" t="s">
        <v>16</v>
      </c>
      <c r="J2679" s="1">
        <v>1</v>
      </c>
      <c r="K2679" s="1">
        <v>6</v>
      </c>
      <c r="L2679" s="1" t="s">
        <v>31</v>
      </c>
      <c r="M2679" s="1" t="s">
        <v>18</v>
      </c>
      <c r="N2679" s="1" t="s">
        <v>18</v>
      </c>
      <c r="O2679" s="1">
        <v>3</v>
      </c>
      <c r="P2679" s="1">
        <v>6</v>
      </c>
      <c r="R2679" s="1" t="s">
        <v>19</v>
      </c>
      <c r="S2679" s="1" t="s">
        <v>20</v>
      </c>
      <c r="T2679" s="1" t="s">
        <v>21</v>
      </c>
      <c r="U2679" s="1" t="s">
        <v>22</v>
      </c>
      <c r="V2679" s="1" t="s">
        <v>24</v>
      </c>
      <c r="W2679" s="1" t="s">
        <v>24</v>
      </c>
      <c r="X2679" s="1">
        <v>2705</v>
      </c>
      <c r="Y2679" s="1">
        <v>2735</v>
      </c>
      <c r="Z2679" s="1" t="s">
        <v>24</v>
      </c>
      <c r="AA2679" s="1" t="s">
        <v>24</v>
      </c>
      <c r="AB2679" s="1" t="s">
        <v>24</v>
      </c>
      <c r="AC2679" s="1" t="s">
        <v>24</v>
      </c>
      <c r="AD2679" s="1" t="s">
        <v>24</v>
      </c>
      <c r="AE2679" s="1" t="s">
        <v>24</v>
      </c>
      <c r="AF2679" s="22"/>
    </row>
    <row r="2680" spans="1:32" x14ac:dyDescent="0.2">
      <c r="A2680" s="1">
        <v>20306</v>
      </c>
      <c r="B2680" s="1" t="s">
        <v>8478</v>
      </c>
      <c r="C2680" s="5" t="s">
        <v>0</v>
      </c>
      <c r="D2680" s="1" t="s">
        <v>8479</v>
      </c>
      <c r="E2680" s="1" t="s">
        <v>8480</v>
      </c>
      <c r="F2680" s="1" t="s">
        <v>724</v>
      </c>
      <c r="G2680" s="1" t="s">
        <v>725</v>
      </c>
      <c r="H2680" s="1" t="s">
        <v>37</v>
      </c>
      <c r="I2680" s="1" t="s">
        <v>16</v>
      </c>
      <c r="J2680" s="1">
        <v>1</v>
      </c>
      <c r="K2680" s="1">
        <v>4</v>
      </c>
      <c r="L2680" s="1" t="s">
        <v>31</v>
      </c>
      <c r="M2680" s="1" t="s">
        <v>18</v>
      </c>
      <c r="N2680" s="1" t="s">
        <v>18</v>
      </c>
      <c r="O2680" s="1">
        <v>3</v>
      </c>
      <c r="P2680" s="1">
        <v>6</v>
      </c>
      <c r="R2680" s="1" t="s">
        <v>19</v>
      </c>
      <c r="S2680" s="1" t="s">
        <v>20</v>
      </c>
      <c r="T2680" s="1" t="s">
        <v>21</v>
      </c>
      <c r="U2680" s="1" t="s">
        <v>22</v>
      </c>
      <c r="V2680" s="1" t="s">
        <v>23</v>
      </c>
      <c r="W2680" s="1" t="s">
        <v>24</v>
      </c>
      <c r="X2680" s="1">
        <v>2741</v>
      </c>
      <c r="Y2680" s="1">
        <v>2730</v>
      </c>
      <c r="Z2680" s="1" t="s">
        <v>24</v>
      </c>
      <c r="AA2680" s="1" t="s">
        <v>24</v>
      </c>
      <c r="AB2680" s="1" t="s">
        <v>24</v>
      </c>
      <c r="AC2680" s="1" t="s">
        <v>24</v>
      </c>
      <c r="AD2680" s="1" t="s">
        <v>24</v>
      </c>
      <c r="AE2680" s="1" t="s">
        <v>24</v>
      </c>
      <c r="AF2680" s="22"/>
    </row>
    <row r="2681" spans="1:32" x14ac:dyDescent="0.2">
      <c r="A2681" s="1">
        <v>20311</v>
      </c>
      <c r="B2681" s="1" t="s">
        <v>8481</v>
      </c>
      <c r="C2681" s="5" t="s">
        <v>0</v>
      </c>
      <c r="E2681" s="1" t="s">
        <v>8482</v>
      </c>
      <c r="F2681" s="1" t="s">
        <v>91</v>
      </c>
      <c r="G2681" s="1" t="s">
        <v>61</v>
      </c>
      <c r="H2681" s="1" t="s">
        <v>92</v>
      </c>
      <c r="I2681" s="1" t="s">
        <v>16</v>
      </c>
      <c r="J2681" s="1">
        <v>1</v>
      </c>
      <c r="K2681" s="1">
        <v>4</v>
      </c>
      <c r="L2681" s="1" t="s">
        <v>31</v>
      </c>
      <c r="M2681" s="1" t="s">
        <v>18</v>
      </c>
      <c r="N2681" s="1" t="s">
        <v>18</v>
      </c>
      <c r="O2681" s="1">
        <v>3</v>
      </c>
      <c r="P2681" s="1">
        <v>7</v>
      </c>
      <c r="Q2681" s="7" t="s">
        <v>17633</v>
      </c>
      <c r="R2681" s="1" t="s">
        <v>19</v>
      </c>
      <c r="S2681" s="1" t="s">
        <v>20</v>
      </c>
      <c r="T2681" s="1" t="s">
        <v>21</v>
      </c>
      <c r="U2681" s="1" t="s">
        <v>22</v>
      </c>
      <c r="V2681" s="1" t="s">
        <v>24</v>
      </c>
      <c r="W2681" s="1" t="s">
        <v>24</v>
      </c>
      <c r="X2681" s="1">
        <v>1702</v>
      </c>
      <c r="Y2681" s="1">
        <v>2805</v>
      </c>
      <c r="Z2681" s="1">
        <v>3205</v>
      </c>
      <c r="AA2681" s="1" t="s">
        <v>24</v>
      </c>
      <c r="AB2681" s="1" t="s">
        <v>24</v>
      </c>
      <c r="AC2681" s="1" t="s">
        <v>24</v>
      </c>
      <c r="AD2681" s="1" t="s">
        <v>24</v>
      </c>
      <c r="AE2681" s="1" t="s">
        <v>24</v>
      </c>
      <c r="AF2681" s="22"/>
    </row>
    <row r="2682" spans="1:32" x14ac:dyDescent="0.2">
      <c r="A2682" s="1">
        <v>20312</v>
      </c>
      <c r="B2682" s="1" t="s">
        <v>8483</v>
      </c>
      <c r="C2682" s="5" t="s">
        <v>0</v>
      </c>
      <c r="D2682" s="1" t="s">
        <v>8484</v>
      </c>
      <c r="E2682" s="1" t="s">
        <v>8485</v>
      </c>
      <c r="F2682" s="1" t="s">
        <v>4337</v>
      </c>
      <c r="G2682" s="1" t="s">
        <v>4338</v>
      </c>
      <c r="H2682" s="1" t="s">
        <v>30</v>
      </c>
      <c r="I2682" s="1" t="s">
        <v>16</v>
      </c>
      <c r="J2682" s="1">
        <v>1</v>
      </c>
      <c r="K2682" s="1">
        <v>4</v>
      </c>
      <c r="L2682" s="1" t="s">
        <v>31</v>
      </c>
      <c r="M2682" s="1" t="s">
        <v>18</v>
      </c>
      <c r="N2682" s="1" t="s">
        <v>18</v>
      </c>
      <c r="O2682" s="1">
        <v>3</v>
      </c>
      <c r="P2682" s="1">
        <v>7</v>
      </c>
      <c r="Q2682" s="7" t="s">
        <v>17633</v>
      </c>
      <c r="R2682" s="1" t="s">
        <v>19</v>
      </c>
      <c r="S2682" s="1" t="s">
        <v>20</v>
      </c>
      <c r="T2682" s="1" t="s">
        <v>21</v>
      </c>
      <c r="U2682" s="1" t="s">
        <v>22</v>
      </c>
      <c r="V2682" s="1" t="s">
        <v>24</v>
      </c>
      <c r="W2682" s="1" t="s">
        <v>24</v>
      </c>
      <c r="X2682" s="1">
        <v>2746</v>
      </c>
      <c r="Y2682" s="1">
        <v>2725</v>
      </c>
      <c r="Z2682" s="1">
        <v>2726</v>
      </c>
      <c r="AA2682" s="1" t="s">
        <v>24</v>
      </c>
      <c r="AB2682" s="1" t="s">
        <v>24</v>
      </c>
      <c r="AC2682" s="1" t="s">
        <v>24</v>
      </c>
      <c r="AD2682" s="1" t="s">
        <v>24</v>
      </c>
      <c r="AE2682" s="1" t="s">
        <v>24</v>
      </c>
      <c r="AF2682" s="22"/>
    </row>
    <row r="2683" spans="1:32" x14ac:dyDescent="0.2">
      <c r="A2683" s="1">
        <v>20313</v>
      </c>
      <c r="B2683" s="1" t="s">
        <v>8486</v>
      </c>
      <c r="C2683" s="5" t="s">
        <v>0</v>
      </c>
      <c r="D2683" s="1" t="s">
        <v>8487</v>
      </c>
      <c r="E2683" s="1" t="s">
        <v>8488</v>
      </c>
      <c r="F2683" s="1" t="s">
        <v>618</v>
      </c>
      <c r="G2683" s="1" t="s">
        <v>619</v>
      </c>
      <c r="H2683" s="1" t="s">
        <v>30</v>
      </c>
      <c r="I2683" s="1" t="s">
        <v>112</v>
      </c>
      <c r="J2683" s="1">
        <v>1</v>
      </c>
      <c r="K2683" s="1">
        <v>1</v>
      </c>
      <c r="L2683" s="1" t="s">
        <v>31</v>
      </c>
      <c r="M2683" s="1" t="s">
        <v>18</v>
      </c>
      <c r="N2683" s="1" t="s">
        <v>18</v>
      </c>
      <c r="O2683" s="1">
        <v>3</v>
      </c>
      <c r="P2683" s="1">
        <v>6</v>
      </c>
      <c r="R2683" s="1" t="s">
        <v>62</v>
      </c>
      <c r="S2683" s="1" t="s">
        <v>20</v>
      </c>
      <c r="T2683" s="1" t="s">
        <v>21</v>
      </c>
      <c r="U2683" s="1" t="s">
        <v>22</v>
      </c>
      <c r="V2683" s="1" t="s">
        <v>24</v>
      </c>
      <c r="W2683" s="1" t="s">
        <v>24</v>
      </c>
      <c r="X2683" s="1">
        <v>2701</v>
      </c>
      <c r="Y2683" s="1">
        <v>2204</v>
      </c>
      <c r="Z2683" s="1" t="s">
        <v>24</v>
      </c>
      <c r="AA2683" s="1" t="s">
        <v>24</v>
      </c>
      <c r="AB2683" s="1" t="s">
        <v>24</v>
      </c>
      <c r="AC2683" s="1" t="s">
        <v>24</v>
      </c>
      <c r="AD2683" s="1" t="s">
        <v>24</v>
      </c>
      <c r="AE2683" s="1" t="s">
        <v>24</v>
      </c>
      <c r="AF2683" s="22"/>
    </row>
    <row r="2684" spans="1:32" x14ac:dyDescent="0.2">
      <c r="A2684" s="1">
        <v>20322</v>
      </c>
      <c r="B2684" s="1" t="s">
        <v>8489</v>
      </c>
      <c r="C2684" s="5" t="s">
        <v>0</v>
      </c>
      <c r="D2684" s="1" t="s">
        <v>8490</v>
      </c>
      <c r="F2684" s="1" t="s">
        <v>8491</v>
      </c>
      <c r="G2684" s="1" t="s">
        <v>8491</v>
      </c>
      <c r="H2684" s="1" t="s">
        <v>899</v>
      </c>
      <c r="I2684" s="1" t="s">
        <v>16</v>
      </c>
      <c r="J2684" s="1">
        <v>1</v>
      </c>
      <c r="K2684" s="1">
        <v>4</v>
      </c>
      <c r="L2684" s="1" t="s">
        <v>17</v>
      </c>
      <c r="M2684" s="1" t="s">
        <v>18</v>
      </c>
      <c r="N2684" s="1" t="s">
        <v>18</v>
      </c>
      <c r="O2684" s="1">
        <v>2</v>
      </c>
      <c r="P2684" s="1">
        <v>6</v>
      </c>
      <c r="R2684" s="1" t="s">
        <v>19</v>
      </c>
      <c r="S2684" s="1" t="s">
        <v>20</v>
      </c>
      <c r="T2684" s="1" t="s">
        <v>21</v>
      </c>
      <c r="U2684" s="1" t="s">
        <v>22</v>
      </c>
      <c r="V2684" s="1" t="s">
        <v>23</v>
      </c>
      <c r="W2684" s="1" t="s">
        <v>24</v>
      </c>
      <c r="X2684" s="1">
        <v>2735</v>
      </c>
      <c r="Y2684" s="1">
        <v>2729</v>
      </c>
      <c r="Z2684" s="1" t="s">
        <v>24</v>
      </c>
      <c r="AA2684" s="1" t="s">
        <v>24</v>
      </c>
      <c r="AB2684" s="1" t="s">
        <v>24</v>
      </c>
      <c r="AC2684" s="1" t="s">
        <v>24</v>
      </c>
      <c r="AD2684" s="1" t="s">
        <v>24</v>
      </c>
      <c r="AE2684" s="1" t="s">
        <v>24</v>
      </c>
      <c r="AF2684" s="22"/>
    </row>
    <row r="2685" spans="1:32" x14ac:dyDescent="0.2">
      <c r="A2685" s="1">
        <v>20327</v>
      </c>
      <c r="B2685" s="1" t="s">
        <v>8492</v>
      </c>
      <c r="C2685" s="5" t="s">
        <v>0</v>
      </c>
      <c r="D2685" s="1" t="s">
        <v>8493</v>
      </c>
      <c r="E2685" s="1" t="s">
        <v>8494</v>
      </c>
      <c r="F2685" s="1" t="s">
        <v>8495</v>
      </c>
      <c r="G2685" s="1" t="s">
        <v>8495</v>
      </c>
      <c r="H2685" s="1" t="s">
        <v>30</v>
      </c>
      <c r="I2685" s="1" t="s">
        <v>16</v>
      </c>
      <c r="J2685" s="1">
        <v>1</v>
      </c>
      <c r="K2685" s="1">
        <v>6</v>
      </c>
      <c r="L2685" s="1" t="s">
        <v>42</v>
      </c>
      <c r="M2685" s="1" t="s">
        <v>18</v>
      </c>
      <c r="N2685" s="1" t="s">
        <v>18</v>
      </c>
      <c r="O2685" s="1">
        <v>3</v>
      </c>
      <c r="P2685" s="1">
        <v>7</v>
      </c>
      <c r="Q2685" s="7" t="s">
        <v>17633</v>
      </c>
      <c r="R2685" s="1" t="s">
        <v>19</v>
      </c>
      <c r="S2685" s="1" t="s">
        <v>20</v>
      </c>
      <c r="T2685" s="1" t="s">
        <v>21</v>
      </c>
      <c r="U2685" s="1" t="s">
        <v>22</v>
      </c>
      <c r="V2685" s="1" t="s">
        <v>24</v>
      </c>
      <c r="W2685" s="1" t="s">
        <v>24</v>
      </c>
      <c r="X2685" s="1">
        <v>2705</v>
      </c>
      <c r="Y2685" s="1">
        <v>2746</v>
      </c>
      <c r="Z2685" s="1" t="s">
        <v>24</v>
      </c>
      <c r="AA2685" s="1" t="s">
        <v>24</v>
      </c>
      <c r="AB2685" s="1" t="s">
        <v>24</v>
      </c>
      <c r="AC2685" s="1" t="s">
        <v>24</v>
      </c>
      <c r="AD2685" s="1" t="s">
        <v>24</v>
      </c>
      <c r="AE2685" s="1" t="s">
        <v>24</v>
      </c>
      <c r="AF2685" s="22"/>
    </row>
    <row r="2686" spans="1:32" x14ac:dyDescent="0.2">
      <c r="A2686" s="1">
        <v>20328</v>
      </c>
      <c r="B2686" s="1" t="s">
        <v>8496</v>
      </c>
      <c r="C2686" s="5" t="s">
        <v>0</v>
      </c>
      <c r="D2686" s="1" t="s">
        <v>8497</v>
      </c>
      <c r="F2686" s="1" t="s">
        <v>8498</v>
      </c>
      <c r="G2686" s="1" t="s">
        <v>8498</v>
      </c>
      <c r="H2686" s="1" t="s">
        <v>30</v>
      </c>
      <c r="I2686" s="1" t="s">
        <v>16</v>
      </c>
      <c r="J2686" s="1">
        <v>1</v>
      </c>
      <c r="K2686" s="1">
        <v>6</v>
      </c>
      <c r="L2686" s="1" t="s">
        <v>42</v>
      </c>
      <c r="M2686" s="1" t="s">
        <v>18</v>
      </c>
      <c r="N2686" s="1" t="s">
        <v>18</v>
      </c>
      <c r="O2686" s="1">
        <v>3</v>
      </c>
      <c r="P2686" s="1">
        <v>6</v>
      </c>
      <c r="R2686" s="1" t="s">
        <v>19</v>
      </c>
      <c r="S2686" s="1" t="s">
        <v>20</v>
      </c>
      <c r="T2686" s="1" t="s">
        <v>21</v>
      </c>
      <c r="U2686" s="1" t="s">
        <v>22</v>
      </c>
      <c r="V2686" s="1" t="s">
        <v>23</v>
      </c>
      <c r="W2686" s="1" t="s">
        <v>24</v>
      </c>
      <c r="X2686" s="1">
        <v>2703</v>
      </c>
      <c r="Y2686" s="1" t="s">
        <v>24</v>
      </c>
      <c r="Z2686" s="1" t="s">
        <v>24</v>
      </c>
      <c r="AA2686" s="1" t="s">
        <v>24</v>
      </c>
      <c r="AB2686" s="1" t="s">
        <v>24</v>
      </c>
      <c r="AC2686" s="1" t="s">
        <v>24</v>
      </c>
      <c r="AD2686" s="1" t="s">
        <v>24</v>
      </c>
      <c r="AE2686" s="1" t="s">
        <v>24</v>
      </c>
      <c r="AF2686" s="22"/>
    </row>
    <row r="2687" spans="1:32" x14ac:dyDescent="0.2">
      <c r="A2687" s="1">
        <v>20329</v>
      </c>
      <c r="B2687" s="1" t="s">
        <v>8499</v>
      </c>
      <c r="C2687" s="5" t="s">
        <v>0</v>
      </c>
      <c r="D2687" s="1" t="s">
        <v>8500</v>
      </c>
      <c r="E2687" s="1" t="s">
        <v>8501</v>
      </c>
      <c r="F2687" s="1" t="s">
        <v>60</v>
      </c>
      <c r="G2687" s="1" t="s">
        <v>61</v>
      </c>
      <c r="H2687" s="1" t="s">
        <v>30</v>
      </c>
      <c r="I2687" s="1" t="s">
        <v>16</v>
      </c>
      <c r="J2687" s="1">
        <v>3</v>
      </c>
      <c r="K2687" s="1">
        <v>4</v>
      </c>
      <c r="L2687" s="1" t="s">
        <v>31</v>
      </c>
      <c r="M2687" s="1" t="s">
        <v>18</v>
      </c>
      <c r="N2687" s="1" t="s">
        <v>18</v>
      </c>
      <c r="O2687" s="1">
        <v>3</v>
      </c>
      <c r="P2687" s="1">
        <v>6</v>
      </c>
      <c r="R2687" s="1" t="s">
        <v>19</v>
      </c>
      <c r="S2687" s="1" t="s">
        <v>63</v>
      </c>
      <c r="T2687" s="1" t="s">
        <v>21</v>
      </c>
      <c r="U2687" s="1" t="s">
        <v>22</v>
      </c>
      <c r="V2687" s="1" t="s">
        <v>24</v>
      </c>
      <c r="W2687" s="1" t="s">
        <v>24</v>
      </c>
      <c r="X2687" s="1">
        <v>2728</v>
      </c>
      <c r="Y2687" s="1">
        <v>2802</v>
      </c>
      <c r="Z2687" s="1">
        <v>2808</v>
      </c>
      <c r="AA2687" s="1" t="s">
        <v>24</v>
      </c>
      <c r="AB2687" s="1" t="s">
        <v>24</v>
      </c>
      <c r="AC2687" s="1" t="s">
        <v>24</v>
      </c>
      <c r="AD2687" s="1" t="s">
        <v>24</v>
      </c>
      <c r="AE2687" s="1" t="s">
        <v>24</v>
      </c>
      <c r="AF2687" s="22"/>
    </row>
    <row r="2688" spans="1:32" x14ac:dyDescent="0.2">
      <c r="A2688" s="1">
        <v>20330</v>
      </c>
      <c r="B2688" s="1" t="s">
        <v>8502</v>
      </c>
      <c r="C2688" s="5" t="s">
        <v>0</v>
      </c>
      <c r="D2688" s="1" t="s">
        <v>8503</v>
      </c>
      <c r="E2688" s="1" t="s">
        <v>8504</v>
      </c>
      <c r="F2688" s="1" t="s">
        <v>315</v>
      </c>
      <c r="G2688" s="1" t="s">
        <v>316</v>
      </c>
      <c r="H2688" s="1" t="s">
        <v>37</v>
      </c>
      <c r="I2688" s="1" t="s">
        <v>16</v>
      </c>
      <c r="J2688" s="1">
        <v>2</v>
      </c>
      <c r="K2688" s="1">
        <v>6</v>
      </c>
      <c r="L2688" s="1" t="s">
        <v>31</v>
      </c>
      <c r="M2688" s="1" t="s">
        <v>18</v>
      </c>
      <c r="N2688" s="1" t="s">
        <v>18</v>
      </c>
      <c r="O2688" s="1">
        <v>3</v>
      </c>
      <c r="P2688" s="1">
        <v>6</v>
      </c>
      <c r="R2688" s="1" t="s">
        <v>62</v>
      </c>
      <c r="S2688" s="1" t="s">
        <v>20</v>
      </c>
      <c r="T2688" s="1" t="s">
        <v>21</v>
      </c>
      <c r="U2688" s="1" t="s">
        <v>22</v>
      </c>
      <c r="V2688" s="1" t="s">
        <v>24</v>
      </c>
      <c r="W2688" s="1" t="s">
        <v>24</v>
      </c>
      <c r="X2688" s="1">
        <v>1312</v>
      </c>
      <c r="Y2688" s="1">
        <v>1313</v>
      </c>
      <c r="Z2688" s="1">
        <v>1311</v>
      </c>
      <c r="AA2688" s="1">
        <v>3002</v>
      </c>
      <c r="AB2688" s="1">
        <v>3004</v>
      </c>
      <c r="AC2688" s="1" t="s">
        <v>24</v>
      </c>
      <c r="AD2688" s="1" t="s">
        <v>24</v>
      </c>
      <c r="AE2688" s="1" t="s">
        <v>24</v>
      </c>
      <c r="AF2688" s="22"/>
    </row>
    <row r="2689" spans="1:32" x14ac:dyDescent="0.2">
      <c r="A2689" s="1">
        <v>20331</v>
      </c>
      <c r="B2689" s="1" t="s">
        <v>8505</v>
      </c>
      <c r="C2689" s="5" t="s">
        <v>0</v>
      </c>
      <c r="D2689" s="1" t="s">
        <v>8506</v>
      </c>
      <c r="E2689" s="1" t="s">
        <v>8507</v>
      </c>
      <c r="F2689" s="1" t="s">
        <v>60</v>
      </c>
      <c r="G2689" s="1" t="s">
        <v>61</v>
      </c>
      <c r="H2689" s="1" t="s">
        <v>30</v>
      </c>
      <c r="I2689" s="1" t="s">
        <v>16</v>
      </c>
      <c r="J2689" s="1">
        <v>1</v>
      </c>
      <c r="K2689" s="1">
        <v>4</v>
      </c>
      <c r="L2689" s="1" t="s">
        <v>31</v>
      </c>
      <c r="M2689" s="1" t="s">
        <v>18</v>
      </c>
      <c r="N2689" s="1" t="s">
        <v>18</v>
      </c>
      <c r="O2689" s="1">
        <v>3</v>
      </c>
      <c r="P2689" s="1">
        <v>6</v>
      </c>
      <c r="R2689" s="1" t="s">
        <v>19</v>
      </c>
      <c r="S2689" s="1" t="s">
        <v>63</v>
      </c>
      <c r="T2689" s="1" t="s">
        <v>21</v>
      </c>
      <c r="U2689" s="1" t="s">
        <v>22</v>
      </c>
      <c r="V2689" s="1" t="s">
        <v>24</v>
      </c>
      <c r="W2689" s="1" t="s">
        <v>24</v>
      </c>
      <c r="X2689" s="1">
        <v>3205</v>
      </c>
      <c r="Y2689" s="1">
        <v>1201</v>
      </c>
      <c r="Z2689" s="1">
        <v>3204</v>
      </c>
      <c r="AA2689" s="1" t="s">
        <v>24</v>
      </c>
      <c r="AB2689" s="1" t="s">
        <v>24</v>
      </c>
      <c r="AC2689" s="1" t="s">
        <v>24</v>
      </c>
      <c r="AD2689" s="1" t="s">
        <v>24</v>
      </c>
      <c r="AE2689" s="1" t="s">
        <v>24</v>
      </c>
      <c r="AF2689" s="22"/>
    </row>
    <row r="2690" spans="1:32" x14ac:dyDescent="0.2">
      <c r="A2690" s="1">
        <v>20333</v>
      </c>
      <c r="B2690" s="1" t="s">
        <v>8508</v>
      </c>
      <c r="C2690" s="5" t="s">
        <v>0</v>
      </c>
      <c r="D2690" s="1" t="s">
        <v>8509</v>
      </c>
      <c r="E2690" s="1" t="s">
        <v>8510</v>
      </c>
      <c r="F2690" s="1" t="s">
        <v>4337</v>
      </c>
      <c r="G2690" s="1" t="s">
        <v>4338</v>
      </c>
      <c r="H2690" s="1" t="s">
        <v>30</v>
      </c>
      <c r="I2690" s="1" t="s">
        <v>16</v>
      </c>
      <c r="J2690" s="1">
        <v>1</v>
      </c>
      <c r="K2690" s="1">
        <v>4</v>
      </c>
      <c r="L2690" s="1" t="s">
        <v>31</v>
      </c>
      <c r="M2690" s="1" t="s">
        <v>18</v>
      </c>
      <c r="N2690" s="1" t="s">
        <v>18</v>
      </c>
      <c r="O2690" s="1">
        <v>3</v>
      </c>
      <c r="P2690" s="1">
        <v>7</v>
      </c>
      <c r="Q2690" s="7" t="s">
        <v>17633</v>
      </c>
      <c r="R2690" s="1" t="s">
        <v>19</v>
      </c>
      <c r="S2690" s="1" t="s">
        <v>20</v>
      </c>
      <c r="T2690" s="1" t="s">
        <v>21</v>
      </c>
      <c r="U2690" s="1" t="s">
        <v>22</v>
      </c>
      <c r="V2690" s="1" t="s">
        <v>24</v>
      </c>
      <c r="W2690" s="1" t="s">
        <v>24</v>
      </c>
      <c r="X2690" s="1">
        <v>2700</v>
      </c>
      <c r="Y2690" s="1">
        <v>1314</v>
      </c>
      <c r="Z2690" s="1">
        <v>2739</v>
      </c>
      <c r="AA2690" s="1" t="s">
        <v>24</v>
      </c>
      <c r="AB2690" s="1" t="s">
        <v>24</v>
      </c>
      <c r="AC2690" s="1" t="s">
        <v>24</v>
      </c>
      <c r="AD2690" s="1" t="s">
        <v>24</v>
      </c>
      <c r="AE2690" s="1" t="s">
        <v>24</v>
      </c>
      <c r="AF2690" s="22"/>
    </row>
    <row r="2691" spans="1:32" x14ac:dyDescent="0.2">
      <c r="A2691" s="1">
        <v>20334</v>
      </c>
      <c r="B2691" s="1" t="s">
        <v>8511</v>
      </c>
      <c r="C2691" s="5" t="s">
        <v>0</v>
      </c>
      <c r="D2691" s="1" t="s">
        <v>8512</v>
      </c>
      <c r="F2691" s="1" t="s">
        <v>3486</v>
      </c>
      <c r="G2691" s="1" t="s">
        <v>3486</v>
      </c>
      <c r="H2691" s="1" t="s">
        <v>249</v>
      </c>
      <c r="I2691" s="1" t="s">
        <v>16</v>
      </c>
      <c r="J2691" s="1">
        <v>1</v>
      </c>
      <c r="K2691" s="1">
        <v>4</v>
      </c>
      <c r="L2691" s="1" t="s">
        <v>17</v>
      </c>
      <c r="M2691" s="1" t="s">
        <v>18</v>
      </c>
      <c r="N2691" s="1" t="s">
        <v>18</v>
      </c>
      <c r="O2691" s="1">
        <v>1</v>
      </c>
      <c r="P2691" s="1">
        <v>5</v>
      </c>
      <c r="R2691" s="1" t="s">
        <v>19</v>
      </c>
      <c r="S2691" s="1" t="s">
        <v>20</v>
      </c>
      <c r="T2691" s="1" t="s">
        <v>21</v>
      </c>
      <c r="U2691" s="1" t="s">
        <v>22</v>
      </c>
      <c r="V2691" s="1" t="s">
        <v>24</v>
      </c>
      <c r="W2691" s="1" t="s">
        <v>24</v>
      </c>
      <c r="X2691" s="1">
        <v>2738</v>
      </c>
      <c r="Y2691" s="1">
        <v>3203</v>
      </c>
      <c r="Z2691" s="1" t="s">
        <v>24</v>
      </c>
      <c r="AA2691" s="1" t="s">
        <v>24</v>
      </c>
      <c r="AB2691" s="1" t="s">
        <v>24</v>
      </c>
      <c r="AC2691" s="1" t="s">
        <v>24</v>
      </c>
      <c r="AD2691" s="1" t="s">
        <v>24</v>
      </c>
      <c r="AE2691" s="1" t="s">
        <v>24</v>
      </c>
      <c r="AF2691" s="22"/>
    </row>
    <row r="2692" spans="1:32" x14ac:dyDescent="0.2">
      <c r="A2692" s="1">
        <v>20335</v>
      </c>
      <c r="B2692" s="1" t="s">
        <v>8513</v>
      </c>
      <c r="C2692" s="5" t="s">
        <v>0</v>
      </c>
      <c r="D2692" s="1" t="s">
        <v>8514</v>
      </c>
      <c r="F2692" s="1" t="s">
        <v>8513</v>
      </c>
      <c r="G2692" s="1" t="s">
        <v>8513</v>
      </c>
      <c r="H2692" s="1" t="s">
        <v>37</v>
      </c>
      <c r="I2692" s="1" t="s">
        <v>16</v>
      </c>
      <c r="J2692" s="1">
        <v>1</v>
      </c>
      <c r="K2692" s="1">
        <v>3</v>
      </c>
      <c r="L2692" s="1" t="s">
        <v>17</v>
      </c>
      <c r="M2692" s="1" t="s">
        <v>18</v>
      </c>
      <c r="N2692" s="1" t="s">
        <v>18</v>
      </c>
      <c r="O2692" s="1">
        <v>0</v>
      </c>
      <c r="P2692" s="1">
        <v>5</v>
      </c>
      <c r="R2692" s="1" t="s">
        <v>19</v>
      </c>
      <c r="S2692" s="1" t="s">
        <v>20</v>
      </c>
      <c r="T2692" s="1" t="s">
        <v>21</v>
      </c>
      <c r="U2692" s="1" t="s">
        <v>22</v>
      </c>
      <c r="V2692" s="1" t="s">
        <v>23</v>
      </c>
      <c r="W2692" s="1" t="s">
        <v>24</v>
      </c>
      <c r="X2692" s="1">
        <v>2707</v>
      </c>
      <c r="Y2692" s="1" t="s">
        <v>24</v>
      </c>
      <c r="Z2692" s="1" t="s">
        <v>24</v>
      </c>
      <c r="AA2692" s="1" t="s">
        <v>24</v>
      </c>
      <c r="AB2692" s="1" t="s">
        <v>24</v>
      </c>
      <c r="AC2692" s="1" t="s">
        <v>24</v>
      </c>
      <c r="AD2692" s="1" t="s">
        <v>24</v>
      </c>
      <c r="AE2692" s="1" t="s">
        <v>24</v>
      </c>
      <c r="AF2692" s="22"/>
    </row>
    <row r="2693" spans="1:32" x14ac:dyDescent="0.2">
      <c r="A2693" s="1">
        <v>20336</v>
      </c>
      <c r="B2693" s="1" t="s">
        <v>8515</v>
      </c>
      <c r="C2693" s="5" t="s">
        <v>0</v>
      </c>
      <c r="D2693" s="1" t="s">
        <v>8516</v>
      </c>
      <c r="F2693" s="1" t="s">
        <v>8515</v>
      </c>
      <c r="G2693" s="1" t="s">
        <v>1066</v>
      </c>
      <c r="H2693" s="1" t="s">
        <v>1007</v>
      </c>
      <c r="I2693" s="1" t="s">
        <v>16</v>
      </c>
      <c r="J2693" s="1">
        <v>1</v>
      </c>
      <c r="K2693" s="1">
        <v>4</v>
      </c>
      <c r="L2693" s="1" t="s">
        <v>17</v>
      </c>
      <c r="M2693" s="1" t="s">
        <v>18</v>
      </c>
      <c r="N2693" s="1" t="s">
        <v>18</v>
      </c>
      <c r="O2693" s="1">
        <v>2</v>
      </c>
      <c r="P2693" s="1">
        <v>5</v>
      </c>
      <c r="R2693" s="1" t="s">
        <v>19</v>
      </c>
      <c r="S2693" s="1" t="s">
        <v>20</v>
      </c>
      <c r="T2693" s="1" t="s">
        <v>21</v>
      </c>
      <c r="U2693" s="1" t="s">
        <v>22</v>
      </c>
      <c r="V2693" s="1" t="s">
        <v>23</v>
      </c>
      <c r="W2693" s="1" t="s">
        <v>24</v>
      </c>
      <c r="X2693" s="1">
        <v>2707</v>
      </c>
      <c r="Y2693" s="1" t="s">
        <v>24</v>
      </c>
      <c r="Z2693" s="1" t="s">
        <v>24</v>
      </c>
      <c r="AA2693" s="1" t="s">
        <v>24</v>
      </c>
      <c r="AB2693" s="1" t="s">
        <v>24</v>
      </c>
      <c r="AC2693" s="1" t="s">
        <v>24</v>
      </c>
      <c r="AD2693" s="1" t="s">
        <v>24</v>
      </c>
      <c r="AE2693" s="1" t="s">
        <v>24</v>
      </c>
      <c r="AF2693" s="22"/>
    </row>
    <row r="2694" spans="1:32" x14ac:dyDescent="0.2">
      <c r="A2694" s="1">
        <v>20337</v>
      </c>
      <c r="B2694" s="1" t="s">
        <v>8517</v>
      </c>
      <c r="C2694" s="5" t="s">
        <v>0</v>
      </c>
      <c r="D2694" s="1" t="s">
        <v>8518</v>
      </c>
      <c r="F2694" s="1" t="s">
        <v>8519</v>
      </c>
      <c r="G2694" s="1" t="s">
        <v>1734</v>
      </c>
      <c r="H2694" s="1" t="s">
        <v>37</v>
      </c>
      <c r="I2694" s="1" t="s">
        <v>16</v>
      </c>
      <c r="J2694" s="1">
        <v>1</v>
      </c>
      <c r="K2694" s="1">
        <v>2</v>
      </c>
      <c r="L2694" s="1" t="s">
        <v>17</v>
      </c>
      <c r="M2694" s="1" t="s">
        <v>18</v>
      </c>
      <c r="N2694" s="1" t="s">
        <v>18</v>
      </c>
      <c r="O2694" s="1">
        <v>1</v>
      </c>
      <c r="P2694" s="1">
        <v>5</v>
      </c>
      <c r="R2694" s="1" t="s">
        <v>19</v>
      </c>
      <c r="S2694" s="1" t="s">
        <v>20</v>
      </c>
      <c r="T2694" s="1" t="s">
        <v>21</v>
      </c>
      <c r="U2694" s="1" t="s">
        <v>22</v>
      </c>
      <c r="V2694" s="1" t="s">
        <v>23</v>
      </c>
      <c r="W2694" s="1" t="s">
        <v>24</v>
      </c>
      <c r="X2694" s="1">
        <v>2707</v>
      </c>
      <c r="Y2694" s="1" t="s">
        <v>24</v>
      </c>
      <c r="Z2694" s="1" t="s">
        <v>24</v>
      </c>
      <c r="AA2694" s="1" t="s">
        <v>24</v>
      </c>
      <c r="AB2694" s="1" t="s">
        <v>24</v>
      </c>
      <c r="AC2694" s="1" t="s">
        <v>24</v>
      </c>
      <c r="AD2694" s="1" t="s">
        <v>24</v>
      </c>
      <c r="AE2694" s="1" t="s">
        <v>24</v>
      </c>
      <c r="AF2694" s="22"/>
    </row>
    <row r="2695" spans="1:32" x14ac:dyDescent="0.2">
      <c r="A2695" s="1">
        <v>20338</v>
      </c>
      <c r="B2695" s="1" t="s">
        <v>8520</v>
      </c>
      <c r="C2695" s="5" t="s">
        <v>0</v>
      </c>
      <c r="D2695" s="1" t="s">
        <v>8521</v>
      </c>
      <c r="E2695" s="1" t="s">
        <v>8522</v>
      </c>
      <c r="F2695" s="1" t="s">
        <v>856</v>
      </c>
      <c r="G2695" s="1" t="s">
        <v>857</v>
      </c>
      <c r="H2695" s="1" t="s">
        <v>37</v>
      </c>
      <c r="I2695" s="1" t="s">
        <v>16</v>
      </c>
      <c r="J2695" s="1">
        <v>1</v>
      </c>
      <c r="K2695" s="1">
        <v>6</v>
      </c>
      <c r="L2695" s="1" t="s">
        <v>42</v>
      </c>
      <c r="M2695" s="1" t="s">
        <v>18</v>
      </c>
      <c r="N2695" s="1" t="s">
        <v>18</v>
      </c>
      <c r="O2695" s="1">
        <v>3</v>
      </c>
      <c r="P2695" s="1">
        <v>7</v>
      </c>
      <c r="Q2695" s="7" t="s">
        <v>17633</v>
      </c>
      <c r="R2695" s="1" t="s">
        <v>19</v>
      </c>
      <c r="S2695" s="1" t="s">
        <v>20</v>
      </c>
      <c r="T2695" s="1" t="s">
        <v>21</v>
      </c>
      <c r="U2695" s="1" t="s">
        <v>22</v>
      </c>
      <c r="V2695" s="1" t="s">
        <v>23</v>
      </c>
      <c r="W2695" s="1" t="s">
        <v>24</v>
      </c>
      <c r="X2695" s="1">
        <v>2701</v>
      </c>
      <c r="Y2695" s="1">
        <v>2916</v>
      </c>
      <c r="Z2695" s="1">
        <v>2800</v>
      </c>
      <c r="AA2695" s="1" t="s">
        <v>24</v>
      </c>
      <c r="AB2695" s="1" t="s">
        <v>24</v>
      </c>
      <c r="AC2695" s="1" t="s">
        <v>24</v>
      </c>
      <c r="AD2695" s="1" t="s">
        <v>24</v>
      </c>
      <c r="AE2695" s="1" t="s">
        <v>24</v>
      </c>
      <c r="AF2695" s="22"/>
    </row>
    <row r="2696" spans="1:32" x14ac:dyDescent="0.2">
      <c r="A2696" s="1">
        <v>20340</v>
      </c>
      <c r="B2696" s="1" t="s">
        <v>8523</v>
      </c>
      <c r="C2696" s="5" t="s">
        <v>0</v>
      </c>
      <c r="D2696" s="1" t="s">
        <v>8524</v>
      </c>
      <c r="E2696" s="1" t="s">
        <v>8525</v>
      </c>
      <c r="F2696" s="1" t="s">
        <v>548</v>
      </c>
      <c r="G2696" s="1" t="s">
        <v>36</v>
      </c>
      <c r="H2696" s="1" t="s">
        <v>30</v>
      </c>
      <c r="I2696" s="1" t="s">
        <v>16</v>
      </c>
      <c r="J2696" s="1">
        <v>1</v>
      </c>
      <c r="K2696" s="1">
        <v>12</v>
      </c>
      <c r="L2696" s="1" t="s">
        <v>31</v>
      </c>
      <c r="M2696" s="1" t="s">
        <v>18</v>
      </c>
      <c r="N2696" s="1" t="s">
        <v>18</v>
      </c>
      <c r="O2696" s="1">
        <v>2</v>
      </c>
      <c r="P2696" s="1">
        <v>7</v>
      </c>
      <c r="Q2696" s="7" t="s">
        <v>17633</v>
      </c>
      <c r="R2696" s="1" t="s">
        <v>19</v>
      </c>
      <c r="S2696" s="1" t="s">
        <v>20</v>
      </c>
      <c r="T2696" s="1" t="s">
        <v>21</v>
      </c>
      <c r="U2696" s="1" t="s">
        <v>22</v>
      </c>
      <c r="V2696" s="1" t="s">
        <v>24</v>
      </c>
      <c r="W2696" s="1" t="s">
        <v>24</v>
      </c>
      <c r="X2696" s="1">
        <v>2724</v>
      </c>
      <c r="Y2696" s="1">
        <v>2705</v>
      </c>
      <c r="Z2696" s="1">
        <v>2712</v>
      </c>
      <c r="AA2696" s="1" t="s">
        <v>24</v>
      </c>
      <c r="AB2696" s="1" t="s">
        <v>24</v>
      </c>
      <c r="AC2696" s="1" t="s">
        <v>24</v>
      </c>
      <c r="AD2696" s="1" t="s">
        <v>24</v>
      </c>
      <c r="AE2696" s="1" t="s">
        <v>24</v>
      </c>
      <c r="AF2696" s="22"/>
    </row>
    <row r="2697" spans="1:32" x14ac:dyDescent="0.2">
      <c r="A2697" s="1">
        <v>20341</v>
      </c>
      <c r="B2697" s="1" t="s">
        <v>8526</v>
      </c>
      <c r="C2697" s="5" t="s">
        <v>0</v>
      </c>
      <c r="D2697" s="1" t="s">
        <v>8527</v>
      </c>
      <c r="F2697" s="1" t="s">
        <v>6797</v>
      </c>
      <c r="G2697" s="1" t="s">
        <v>6797</v>
      </c>
      <c r="H2697" s="1" t="s">
        <v>249</v>
      </c>
      <c r="I2697" s="1" t="s">
        <v>16</v>
      </c>
      <c r="J2697" s="1">
        <v>1</v>
      </c>
      <c r="K2697" s="1">
        <v>4</v>
      </c>
      <c r="L2697" s="1" t="s">
        <v>42</v>
      </c>
      <c r="M2697" s="1" t="s">
        <v>250</v>
      </c>
      <c r="N2697" s="1" t="s">
        <v>1463</v>
      </c>
      <c r="O2697" s="1">
        <v>3</v>
      </c>
      <c r="P2697" s="1">
        <v>5</v>
      </c>
      <c r="R2697" s="1" t="s">
        <v>19</v>
      </c>
      <c r="S2697" s="1" t="s">
        <v>20</v>
      </c>
      <c r="T2697" s="1" t="s">
        <v>21</v>
      </c>
      <c r="U2697" s="1" t="s">
        <v>22</v>
      </c>
      <c r="V2697" s="1" t="s">
        <v>24</v>
      </c>
      <c r="W2697" s="1" t="s">
        <v>24</v>
      </c>
      <c r="X2697" s="1">
        <v>1306</v>
      </c>
      <c r="Y2697" s="1">
        <v>2730</v>
      </c>
      <c r="Z2697" s="1" t="s">
        <v>24</v>
      </c>
      <c r="AA2697" s="1" t="s">
        <v>24</v>
      </c>
      <c r="AB2697" s="1" t="s">
        <v>24</v>
      </c>
      <c r="AC2697" s="1" t="s">
        <v>24</v>
      </c>
      <c r="AD2697" s="1" t="s">
        <v>24</v>
      </c>
      <c r="AE2697" s="1" t="s">
        <v>24</v>
      </c>
      <c r="AF2697" s="22"/>
    </row>
    <row r="2698" spans="1:32" x14ac:dyDescent="0.2">
      <c r="A2698" s="1">
        <v>20346</v>
      </c>
      <c r="B2698" s="1" t="s">
        <v>8528</v>
      </c>
      <c r="C2698" s="5" t="s">
        <v>0</v>
      </c>
      <c r="D2698" s="1" t="s">
        <v>8529</v>
      </c>
      <c r="E2698" s="1" t="s">
        <v>8530</v>
      </c>
      <c r="F2698" s="1" t="s">
        <v>1897</v>
      </c>
      <c r="G2698" s="1" t="s">
        <v>1898</v>
      </c>
      <c r="H2698" s="1" t="s">
        <v>37</v>
      </c>
      <c r="I2698" s="1" t="s">
        <v>16</v>
      </c>
      <c r="J2698" s="1">
        <v>1</v>
      </c>
      <c r="K2698" s="1">
        <v>6</v>
      </c>
      <c r="L2698" s="1" t="s">
        <v>31</v>
      </c>
      <c r="M2698" s="1" t="s">
        <v>18</v>
      </c>
      <c r="N2698" s="1" t="s">
        <v>18</v>
      </c>
      <c r="O2698" s="1">
        <v>3</v>
      </c>
      <c r="P2698" s="1">
        <v>6</v>
      </c>
      <c r="R2698" s="1" t="s">
        <v>19</v>
      </c>
      <c r="S2698" s="1" t="s">
        <v>20</v>
      </c>
      <c r="T2698" s="1" t="s">
        <v>21</v>
      </c>
      <c r="U2698" s="1" t="s">
        <v>22</v>
      </c>
      <c r="V2698" s="1" t="s">
        <v>24</v>
      </c>
      <c r="W2698" s="1" t="s">
        <v>24</v>
      </c>
      <c r="X2698" s="1">
        <v>2748</v>
      </c>
      <c r="Y2698" s="1" t="s">
        <v>24</v>
      </c>
      <c r="Z2698" s="1" t="s">
        <v>24</v>
      </c>
      <c r="AA2698" s="1" t="s">
        <v>24</v>
      </c>
      <c r="AB2698" s="1" t="s">
        <v>24</v>
      </c>
      <c r="AC2698" s="1" t="s">
        <v>24</v>
      </c>
      <c r="AD2698" s="1" t="s">
        <v>24</v>
      </c>
      <c r="AE2698" s="1" t="s">
        <v>24</v>
      </c>
      <c r="AF2698" s="22" t="s">
        <v>17670</v>
      </c>
    </row>
    <row r="2699" spans="1:32" x14ac:dyDescent="0.2">
      <c r="A2699" s="1">
        <v>20367</v>
      </c>
      <c r="B2699" s="1" t="s">
        <v>8531</v>
      </c>
      <c r="C2699" s="5" t="s">
        <v>0</v>
      </c>
      <c r="D2699" s="1" t="s">
        <v>8532</v>
      </c>
      <c r="E2699" s="1" t="s">
        <v>8533</v>
      </c>
      <c r="F2699" s="1" t="s">
        <v>548</v>
      </c>
      <c r="G2699" s="1" t="s">
        <v>36</v>
      </c>
      <c r="H2699" s="1" t="s">
        <v>30</v>
      </c>
      <c r="I2699" s="1" t="s">
        <v>16</v>
      </c>
      <c r="J2699" s="1">
        <v>1</v>
      </c>
      <c r="K2699" s="1">
        <v>12</v>
      </c>
      <c r="L2699" s="1" t="s">
        <v>31</v>
      </c>
      <c r="M2699" s="1" t="s">
        <v>18</v>
      </c>
      <c r="N2699" s="1" t="s">
        <v>18</v>
      </c>
      <c r="O2699" s="1">
        <v>3</v>
      </c>
      <c r="P2699" s="1">
        <v>6</v>
      </c>
      <c r="R2699" s="1" t="s">
        <v>19</v>
      </c>
      <c r="S2699" s="1" t="s">
        <v>20</v>
      </c>
      <c r="T2699" s="1" t="s">
        <v>21</v>
      </c>
      <c r="U2699" s="1" t="s">
        <v>22</v>
      </c>
      <c r="V2699" s="1" t="s">
        <v>23</v>
      </c>
      <c r="W2699" s="1" t="s">
        <v>24</v>
      </c>
      <c r="X2699" s="1">
        <v>2728</v>
      </c>
      <c r="Y2699" s="1">
        <v>2703</v>
      </c>
      <c r="Z2699" s="1" t="s">
        <v>24</v>
      </c>
      <c r="AA2699" s="1" t="s">
        <v>24</v>
      </c>
      <c r="AB2699" s="1" t="s">
        <v>24</v>
      </c>
      <c r="AC2699" s="1" t="s">
        <v>24</v>
      </c>
      <c r="AD2699" s="1" t="s">
        <v>24</v>
      </c>
      <c r="AE2699" s="1" t="s">
        <v>24</v>
      </c>
      <c r="AF2699" s="22"/>
    </row>
    <row r="2700" spans="1:32" x14ac:dyDescent="0.2">
      <c r="A2700" s="1">
        <v>20369</v>
      </c>
      <c r="B2700" s="1" t="s">
        <v>8534</v>
      </c>
      <c r="C2700" s="5" t="s">
        <v>0</v>
      </c>
      <c r="D2700" s="1" t="s">
        <v>8535</v>
      </c>
      <c r="F2700" s="1" t="s">
        <v>8495</v>
      </c>
      <c r="G2700" s="1" t="s">
        <v>8495</v>
      </c>
      <c r="H2700" s="1" t="s">
        <v>30</v>
      </c>
      <c r="I2700" s="1" t="s">
        <v>16</v>
      </c>
      <c r="J2700" s="1">
        <v>1</v>
      </c>
      <c r="K2700" s="1">
        <v>4</v>
      </c>
      <c r="L2700" s="1" t="s">
        <v>42</v>
      </c>
      <c r="M2700" s="1" t="s">
        <v>18</v>
      </c>
      <c r="N2700" s="1" t="s">
        <v>18</v>
      </c>
      <c r="O2700" s="1">
        <v>3</v>
      </c>
      <c r="P2700" s="1">
        <v>6</v>
      </c>
      <c r="R2700" s="1" t="s">
        <v>19</v>
      </c>
      <c r="S2700" s="1" t="s">
        <v>20</v>
      </c>
      <c r="T2700" s="1" t="s">
        <v>21</v>
      </c>
      <c r="U2700" s="1" t="s">
        <v>22</v>
      </c>
      <c r="V2700" s="1" t="s">
        <v>24</v>
      </c>
      <c r="W2700" s="1" t="s">
        <v>24</v>
      </c>
      <c r="X2700" s="1">
        <v>2720</v>
      </c>
      <c r="Y2700" s="1">
        <v>2704</v>
      </c>
      <c r="Z2700" s="1">
        <v>1308</v>
      </c>
      <c r="AA2700" s="1" t="s">
        <v>24</v>
      </c>
      <c r="AB2700" s="1" t="s">
        <v>24</v>
      </c>
      <c r="AC2700" s="1" t="s">
        <v>24</v>
      </c>
      <c r="AD2700" s="1" t="s">
        <v>24</v>
      </c>
      <c r="AE2700" s="1" t="s">
        <v>24</v>
      </c>
      <c r="AF2700" s="22"/>
    </row>
    <row r="2701" spans="1:32" x14ac:dyDescent="0.2">
      <c r="A2701" s="1">
        <v>20370</v>
      </c>
      <c r="B2701" s="1" t="s">
        <v>8536</v>
      </c>
      <c r="C2701" s="5" t="s">
        <v>0</v>
      </c>
      <c r="D2701" s="1" t="s">
        <v>8537</v>
      </c>
      <c r="E2701" s="1" t="s">
        <v>8538</v>
      </c>
      <c r="F2701" s="1" t="s">
        <v>272</v>
      </c>
      <c r="G2701" s="1" t="s">
        <v>61</v>
      </c>
      <c r="H2701" s="1" t="s">
        <v>30</v>
      </c>
      <c r="I2701" s="1" t="s">
        <v>16</v>
      </c>
      <c r="J2701" s="1">
        <v>1</v>
      </c>
      <c r="K2701" s="1">
        <v>12</v>
      </c>
      <c r="L2701" s="1" t="s">
        <v>31</v>
      </c>
      <c r="M2701" s="1" t="s">
        <v>18</v>
      </c>
      <c r="N2701" s="1" t="s">
        <v>18</v>
      </c>
      <c r="O2701" s="1">
        <v>3</v>
      </c>
      <c r="P2701" s="1">
        <v>6</v>
      </c>
      <c r="R2701" s="1" t="s">
        <v>62</v>
      </c>
      <c r="S2701" s="1" t="s">
        <v>20</v>
      </c>
      <c r="T2701" s="1" t="s">
        <v>21</v>
      </c>
      <c r="U2701" s="1" t="s">
        <v>22</v>
      </c>
      <c r="V2701" s="1" t="s">
        <v>24</v>
      </c>
      <c r="W2701" s="1" t="s">
        <v>24</v>
      </c>
      <c r="X2701" s="1">
        <v>2747</v>
      </c>
      <c r="Y2701" s="1">
        <v>2720</v>
      </c>
      <c r="Z2701" s="1" t="s">
        <v>24</v>
      </c>
      <c r="AA2701" s="1" t="s">
        <v>24</v>
      </c>
      <c r="AB2701" s="1" t="s">
        <v>24</v>
      </c>
      <c r="AC2701" s="1" t="s">
        <v>24</v>
      </c>
      <c r="AD2701" s="1" t="s">
        <v>24</v>
      </c>
      <c r="AE2701" s="1" t="s">
        <v>24</v>
      </c>
      <c r="AF2701" s="22"/>
    </row>
    <row r="2702" spans="1:32" x14ac:dyDescent="0.2">
      <c r="A2702" s="1">
        <v>20371</v>
      </c>
      <c r="B2702" s="1" t="s">
        <v>8539</v>
      </c>
      <c r="C2702" s="5" t="s">
        <v>0</v>
      </c>
      <c r="D2702" s="1" t="s">
        <v>8540</v>
      </c>
      <c r="E2702" s="1" t="s">
        <v>8541</v>
      </c>
      <c r="F2702" s="1" t="s">
        <v>217</v>
      </c>
      <c r="G2702" s="1" t="s">
        <v>130</v>
      </c>
      <c r="H2702" s="1" t="s">
        <v>92</v>
      </c>
      <c r="I2702" s="1" t="s">
        <v>16</v>
      </c>
      <c r="J2702" s="1">
        <v>1</v>
      </c>
      <c r="K2702" s="1">
        <v>6</v>
      </c>
      <c r="L2702" s="1" t="s">
        <v>31</v>
      </c>
      <c r="M2702" s="1" t="s">
        <v>18</v>
      </c>
      <c r="N2702" s="1" t="s">
        <v>18</v>
      </c>
      <c r="O2702" s="1">
        <v>3</v>
      </c>
      <c r="P2702" s="1">
        <v>7</v>
      </c>
      <c r="Q2702" s="7" t="s">
        <v>17633</v>
      </c>
      <c r="R2702" s="1" t="s">
        <v>19</v>
      </c>
      <c r="S2702" s="1" t="s">
        <v>20</v>
      </c>
      <c r="T2702" s="1" t="s">
        <v>21</v>
      </c>
      <c r="U2702" s="1" t="s">
        <v>22</v>
      </c>
      <c r="V2702" s="1" t="s">
        <v>23</v>
      </c>
      <c r="W2702" s="1" t="s">
        <v>24</v>
      </c>
      <c r="X2702" s="1">
        <v>2717</v>
      </c>
      <c r="Y2702" s="1">
        <v>2909</v>
      </c>
      <c r="Z2702" s="1">
        <v>1302</v>
      </c>
      <c r="AA2702" s="1" t="s">
        <v>24</v>
      </c>
      <c r="AB2702" s="1" t="s">
        <v>24</v>
      </c>
      <c r="AC2702" s="1" t="s">
        <v>24</v>
      </c>
      <c r="AD2702" s="1" t="s">
        <v>24</v>
      </c>
      <c r="AE2702" s="1" t="s">
        <v>24</v>
      </c>
      <c r="AF2702" s="22"/>
    </row>
    <row r="2703" spans="1:32" x14ac:dyDescent="0.2">
      <c r="A2703" s="1">
        <v>20372</v>
      </c>
      <c r="B2703" s="1" t="s">
        <v>8542</v>
      </c>
      <c r="C2703" s="5" t="s">
        <v>0</v>
      </c>
      <c r="D2703" s="1" t="s">
        <v>8543</v>
      </c>
      <c r="E2703" s="1" t="s">
        <v>8544</v>
      </c>
      <c r="F2703" s="1" t="s">
        <v>190</v>
      </c>
      <c r="G2703" s="1" t="s">
        <v>130</v>
      </c>
      <c r="H2703" s="1" t="s">
        <v>30</v>
      </c>
      <c r="I2703" s="1" t="s">
        <v>16</v>
      </c>
      <c r="J2703" s="1">
        <v>1</v>
      </c>
      <c r="K2703" s="1">
        <v>4</v>
      </c>
      <c r="L2703" s="1" t="s">
        <v>31</v>
      </c>
      <c r="M2703" s="1" t="s">
        <v>18</v>
      </c>
      <c r="N2703" s="1" t="s">
        <v>18</v>
      </c>
      <c r="O2703" s="1">
        <v>3</v>
      </c>
      <c r="P2703" s="1">
        <v>8</v>
      </c>
      <c r="Q2703" s="7" t="s">
        <v>17633</v>
      </c>
      <c r="R2703" s="1" t="s">
        <v>19</v>
      </c>
      <c r="S2703" s="1" t="s">
        <v>20</v>
      </c>
      <c r="T2703" s="1" t="s">
        <v>21</v>
      </c>
      <c r="U2703" s="1" t="s">
        <v>22</v>
      </c>
      <c r="V2703" s="1" t="s">
        <v>23</v>
      </c>
      <c r="W2703" s="1" t="s">
        <v>24</v>
      </c>
      <c r="X2703" s="1">
        <v>3203</v>
      </c>
      <c r="Y2703" s="1" t="s">
        <v>24</v>
      </c>
      <c r="Z2703" s="1" t="s">
        <v>24</v>
      </c>
      <c r="AA2703" s="1" t="s">
        <v>24</v>
      </c>
      <c r="AB2703" s="1" t="s">
        <v>24</v>
      </c>
      <c r="AC2703" s="1" t="s">
        <v>24</v>
      </c>
      <c r="AD2703" s="1" t="s">
        <v>24</v>
      </c>
      <c r="AE2703" s="1" t="s">
        <v>24</v>
      </c>
      <c r="AF2703" s="22"/>
    </row>
    <row r="2704" spans="1:32" x14ac:dyDescent="0.2">
      <c r="A2704" s="1">
        <v>20373</v>
      </c>
      <c r="B2704" s="1" t="s">
        <v>8545</v>
      </c>
      <c r="C2704" s="5" t="s">
        <v>0</v>
      </c>
      <c r="D2704" s="1" t="s">
        <v>8546</v>
      </c>
      <c r="F2704" s="1" t="s">
        <v>8547</v>
      </c>
      <c r="G2704" s="1" t="s">
        <v>8547</v>
      </c>
      <c r="H2704" s="1" t="s">
        <v>264</v>
      </c>
      <c r="I2704" s="1" t="s">
        <v>16</v>
      </c>
      <c r="J2704" s="1">
        <v>1</v>
      </c>
      <c r="K2704" s="1">
        <v>1</v>
      </c>
      <c r="L2704" s="1" t="s">
        <v>42</v>
      </c>
      <c r="M2704" s="1" t="s">
        <v>18</v>
      </c>
      <c r="N2704" s="1" t="s">
        <v>18</v>
      </c>
      <c r="O2704" s="1">
        <v>3</v>
      </c>
      <c r="P2704" s="1">
        <v>7</v>
      </c>
      <c r="Q2704" s="7" t="s">
        <v>17633</v>
      </c>
      <c r="R2704" s="1" t="s">
        <v>19</v>
      </c>
      <c r="S2704" s="1" t="s">
        <v>20</v>
      </c>
      <c r="T2704" s="1" t="s">
        <v>21</v>
      </c>
      <c r="U2704" s="1" t="s">
        <v>22</v>
      </c>
      <c r="V2704" s="1" t="s">
        <v>24</v>
      </c>
      <c r="W2704" s="1" t="s">
        <v>24</v>
      </c>
      <c r="X2704" s="1">
        <v>2308</v>
      </c>
      <c r="Y2704" s="1" t="s">
        <v>24</v>
      </c>
      <c r="Z2704" s="1" t="s">
        <v>24</v>
      </c>
      <c r="AA2704" s="1" t="s">
        <v>24</v>
      </c>
      <c r="AB2704" s="1" t="s">
        <v>24</v>
      </c>
      <c r="AC2704" s="1" t="s">
        <v>24</v>
      </c>
      <c r="AD2704" s="1" t="s">
        <v>24</v>
      </c>
      <c r="AE2704" s="1" t="s">
        <v>24</v>
      </c>
      <c r="AF2704" s="22"/>
    </row>
    <row r="2705" spans="1:32" x14ac:dyDescent="0.2">
      <c r="A2705" s="1">
        <v>20380</v>
      </c>
      <c r="B2705" s="1" t="s">
        <v>8548</v>
      </c>
      <c r="C2705" s="5" t="s">
        <v>0</v>
      </c>
      <c r="D2705" s="1" t="s">
        <v>8549</v>
      </c>
      <c r="E2705" s="1" t="s">
        <v>8550</v>
      </c>
      <c r="F2705" s="1" t="s">
        <v>517</v>
      </c>
      <c r="G2705" s="1" t="s">
        <v>36</v>
      </c>
      <c r="H2705" s="1" t="s">
        <v>30</v>
      </c>
      <c r="I2705" s="1" t="s">
        <v>16</v>
      </c>
      <c r="J2705" s="1">
        <v>1</v>
      </c>
      <c r="K2705" s="1">
        <v>6</v>
      </c>
      <c r="L2705" s="1" t="s">
        <v>31</v>
      </c>
      <c r="M2705" s="1" t="s">
        <v>18</v>
      </c>
      <c r="N2705" s="1" t="s">
        <v>18</v>
      </c>
      <c r="O2705" s="1">
        <v>3</v>
      </c>
      <c r="P2705" s="1">
        <v>6</v>
      </c>
      <c r="R2705" s="1" t="s">
        <v>19</v>
      </c>
      <c r="S2705" s="1" t="s">
        <v>20</v>
      </c>
      <c r="T2705" s="1" t="s">
        <v>21</v>
      </c>
      <c r="U2705" s="1" t="s">
        <v>22</v>
      </c>
      <c r="V2705" s="1" t="s">
        <v>24</v>
      </c>
      <c r="W2705" s="1" t="s">
        <v>24</v>
      </c>
      <c r="X2705" s="1">
        <v>1303</v>
      </c>
      <c r="Y2705" s="1">
        <v>1312</v>
      </c>
      <c r="Z2705" s="1">
        <v>1313</v>
      </c>
      <c r="AA2705" s="1">
        <v>3005</v>
      </c>
      <c r="AB2705" s="1">
        <v>2307</v>
      </c>
      <c r="AC2705" s="1" t="s">
        <v>24</v>
      </c>
      <c r="AD2705" s="1" t="s">
        <v>24</v>
      </c>
      <c r="AE2705" s="1" t="s">
        <v>24</v>
      </c>
      <c r="AF2705" s="22"/>
    </row>
    <row r="2706" spans="1:32" x14ac:dyDescent="0.2">
      <c r="A2706" s="1">
        <v>20419</v>
      </c>
      <c r="B2706" s="1" t="s">
        <v>8551</v>
      </c>
      <c r="C2706" s="5" t="s">
        <v>0</v>
      </c>
      <c r="D2706" s="1" t="s">
        <v>8552</v>
      </c>
      <c r="E2706" s="1" t="s">
        <v>8553</v>
      </c>
      <c r="F2706" s="1" t="s">
        <v>28</v>
      </c>
      <c r="G2706" s="1" t="s">
        <v>29</v>
      </c>
      <c r="H2706" s="1" t="s">
        <v>30</v>
      </c>
      <c r="I2706" s="1" t="s">
        <v>16</v>
      </c>
      <c r="J2706" s="1">
        <v>1</v>
      </c>
      <c r="K2706" s="1">
        <v>6</v>
      </c>
      <c r="L2706" s="1" t="s">
        <v>31</v>
      </c>
      <c r="M2706" s="1" t="s">
        <v>18</v>
      </c>
      <c r="N2706" s="1" t="s">
        <v>18</v>
      </c>
      <c r="O2706" s="1">
        <v>3</v>
      </c>
      <c r="P2706" s="1">
        <v>7</v>
      </c>
      <c r="Q2706" s="7" t="s">
        <v>17633</v>
      </c>
      <c r="R2706" s="1" t="s">
        <v>19</v>
      </c>
      <c r="S2706" s="1" t="s">
        <v>20</v>
      </c>
      <c r="T2706" s="1" t="s">
        <v>21</v>
      </c>
      <c r="U2706" s="1" t="s">
        <v>22</v>
      </c>
      <c r="V2706" s="1" t="s">
        <v>23</v>
      </c>
      <c r="W2706" s="1" t="s">
        <v>24</v>
      </c>
      <c r="X2706" s="1">
        <v>2746</v>
      </c>
      <c r="Y2706" s="1" t="s">
        <v>24</v>
      </c>
      <c r="Z2706" s="1" t="s">
        <v>24</v>
      </c>
      <c r="AA2706" s="1" t="s">
        <v>24</v>
      </c>
      <c r="AB2706" s="1" t="s">
        <v>24</v>
      </c>
      <c r="AC2706" s="1" t="s">
        <v>24</v>
      </c>
      <c r="AD2706" s="1" t="s">
        <v>24</v>
      </c>
      <c r="AE2706" s="1" t="s">
        <v>24</v>
      </c>
      <c r="AF2706" s="22"/>
    </row>
    <row r="2707" spans="1:32" x14ac:dyDescent="0.2">
      <c r="A2707" s="1">
        <v>20442</v>
      </c>
      <c r="B2707" s="1" t="s">
        <v>8554</v>
      </c>
      <c r="C2707" s="5" t="s">
        <v>0</v>
      </c>
      <c r="D2707" s="1" t="s">
        <v>8555</v>
      </c>
      <c r="E2707" s="1" t="s">
        <v>8556</v>
      </c>
      <c r="F2707" s="1" t="s">
        <v>91</v>
      </c>
      <c r="G2707" s="1" t="s">
        <v>61</v>
      </c>
      <c r="H2707" s="1" t="s">
        <v>92</v>
      </c>
      <c r="I2707" s="1" t="s">
        <v>16</v>
      </c>
      <c r="J2707" s="1">
        <v>1</v>
      </c>
      <c r="K2707" s="1">
        <v>6</v>
      </c>
      <c r="L2707" s="1" t="s">
        <v>31</v>
      </c>
      <c r="M2707" s="1" t="s">
        <v>18</v>
      </c>
      <c r="N2707" s="1" t="s">
        <v>18</v>
      </c>
      <c r="O2707" s="1">
        <v>3</v>
      </c>
      <c r="P2707" s="1">
        <v>8</v>
      </c>
      <c r="Q2707" s="7" t="s">
        <v>17633</v>
      </c>
      <c r="R2707" s="1" t="s">
        <v>62</v>
      </c>
      <c r="S2707" s="1" t="s">
        <v>63</v>
      </c>
      <c r="T2707" s="1" t="s">
        <v>21</v>
      </c>
      <c r="U2707" s="1" t="s">
        <v>22</v>
      </c>
      <c r="V2707" s="1" t="s">
        <v>24</v>
      </c>
      <c r="W2707" s="1" t="s">
        <v>24</v>
      </c>
      <c r="X2707" s="1">
        <v>1704</v>
      </c>
      <c r="Y2707" s="1">
        <v>1707</v>
      </c>
      <c r="Z2707" s="1">
        <v>2741</v>
      </c>
      <c r="AA2707" s="1">
        <v>2718</v>
      </c>
      <c r="AB2707" s="1">
        <v>3614</v>
      </c>
      <c r="AC2707" s="1" t="s">
        <v>24</v>
      </c>
      <c r="AD2707" s="1" t="s">
        <v>24</v>
      </c>
      <c r="AE2707" s="1" t="s">
        <v>24</v>
      </c>
      <c r="AF2707" s="22"/>
    </row>
    <row r="2708" spans="1:32" x14ac:dyDescent="0.2">
      <c r="A2708" s="1">
        <v>20446</v>
      </c>
      <c r="B2708" s="1" t="s">
        <v>8557</v>
      </c>
      <c r="C2708" s="5" t="s">
        <v>0</v>
      </c>
      <c r="D2708" s="1" t="s">
        <v>8558</v>
      </c>
      <c r="F2708" s="1" t="s">
        <v>7990</v>
      </c>
      <c r="G2708" s="1" t="s">
        <v>7990</v>
      </c>
      <c r="H2708" s="1" t="s">
        <v>135</v>
      </c>
      <c r="I2708" s="1" t="s">
        <v>16</v>
      </c>
      <c r="J2708" s="1">
        <v>1</v>
      </c>
      <c r="K2708" s="1">
        <v>4</v>
      </c>
      <c r="L2708" s="1" t="s">
        <v>42</v>
      </c>
      <c r="M2708" s="1" t="s">
        <v>1131</v>
      </c>
      <c r="N2708" s="1" t="s">
        <v>5887</v>
      </c>
      <c r="O2708" s="1">
        <v>3</v>
      </c>
      <c r="P2708" s="1">
        <v>5</v>
      </c>
      <c r="R2708" s="1" t="s">
        <v>19</v>
      </c>
      <c r="S2708" s="1" t="s">
        <v>20</v>
      </c>
      <c r="T2708" s="1" t="s">
        <v>21</v>
      </c>
      <c r="U2708" s="1" t="s">
        <v>22</v>
      </c>
      <c r="V2708" s="1" t="s">
        <v>24</v>
      </c>
      <c r="W2708" s="1" t="s">
        <v>24</v>
      </c>
      <c r="X2708" s="1">
        <v>2728</v>
      </c>
      <c r="Y2708" s="1">
        <v>2703</v>
      </c>
      <c r="Z2708" s="1" t="s">
        <v>24</v>
      </c>
      <c r="AA2708" s="1" t="s">
        <v>24</v>
      </c>
      <c r="AB2708" s="1" t="s">
        <v>24</v>
      </c>
      <c r="AC2708" s="1" t="s">
        <v>24</v>
      </c>
      <c r="AD2708" s="1" t="s">
        <v>24</v>
      </c>
      <c r="AE2708" s="1" t="s">
        <v>24</v>
      </c>
      <c r="AF2708" s="22"/>
    </row>
    <row r="2709" spans="1:32" x14ac:dyDescent="0.2">
      <c r="A2709" s="1">
        <v>20451</v>
      </c>
      <c r="B2709" s="1" t="s">
        <v>8559</v>
      </c>
      <c r="C2709" s="5" t="s">
        <v>0</v>
      </c>
      <c r="D2709" s="1" t="s">
        <v>8560</v>
      </c>
      <c r="E2709" s="1" t="s">
        <v>8561</v>
      </c>
      <c r="F2709" s="1" t="s">
        <v>167</v>
      </c>
      <c r="G2709" s="1" t="s">
        <v>130</v>
      </c>
      <c r="H2709" s="1" t="s">
        <v>168</v>
      </c>
      <c r="I2709" s="1" t="s">
        <v>16</v>
      </c>
      <c r="J2709" s="1">
        <v>1</v>
      </c>
      <c r="K2709" s="1">
        <v>4</v>
      </c>
      <c r="L2709" s="1" t="s">
        <v>31</v>
      </c>
      <c r="M2709" s="1" t="s">
        <v>18</v>
      </c>
      <c r="N2709" s="1" t="s">
        <v>18</v>
      </c>
      <c r="O2709" s="1">
        <v>3</v>
      </c>
      <c r="P2709" s="1">
        <v>7</v>
      </c>
      <c r="Q2709" s="7" t="s">
        <v>17633</v>
      </c>
      <c r="R2709" s="1" t="s">
        <v>19</v>
      </c>
      <c r="S2709" s="1" t="s">
        <v>20</v>
      </c>
      <c r="T2709" s="1" t="s">
        <v>21</v>
      </c>
      <c r="U2709" s="1" t="s">
        <v>22</v>
      </c>
      <c r="V2709" s="1" t="s">
        <v>24</v>
      </c>
      <c r="W2709" s="1" t="s">
        <v>24</v>
      </c>
      <c r="X2709" s="1">
        <v>1311</v>
      </c>
      <c r="Y2709" s="1" t="s">
        <v>24</v>
      </c>
      <c r="Z2709" s="1" t="s">
        <v>24</v>
      </c>
      <c r="AA2709" s="1" t="s">
        <v>24</v>
      </c>
      <c r="AB2709" s="1" t="s">
        <v>24</v>
      </c>
      <c r="AC2709" s="1" t="s">
        <v>24</v>
      </c>
      <c r="AD2709" s="1" t="s">
        <v>24</v>
      </c>
      <c r="AE2709" s="1" t="s">
        <v>24</v>
      </c>
      <c r="AF2709" s="22"/>
    </row>
    <row r="2710" spans="1:32" x14ac:dyDescent="0.2">
      <c r="A2710" s="1">
        <v>20453</v>
      </c>
      <c r="B2710" s="1" t="s">
        <v>8562</v>
      </c>
      <c r="C2710" s="5" t="s">
        <v>0</v>
      </c>
      <c r="D2710" s="1" t="s">
        <v>8563</v>
      </c>
      <c r="E2710" s="1" t="s">
        <v>8564</v>
      </c>
      <c r="F2710" s="1" t="s">
        <v>91</v>
      </c>
      <c r="G2710" s="1" t="s">
        <v>61</v>
      </c>
      <c r="H2710" s="1" t="s">
        <v>92</v>
      </c>
      <c r="I2710" s="1" t="s">
        <v>16</v>
      </c>
      <c r="J2710" s="1">
        <v>1</v>
      </c>
      <c r="K2710" s="1">
        <v>4</v>
      </c>
      <c r="L2710" s="1" t="s">
        <v>31</v>
      </c>
      <c r="M2710" s="1" t="s">
        <v>18</v>
      </c>
      <c r="N2710" s="1" t="s">
        <v>18</v>
      </c>
      <c r="O2710" s="1">
        <v>3</v>
      </c>
      <c r="P2710" s="1">
        <v>7</v>
      </c>
      <c r="Q2710" s="7" t="s">
        <v>17633</v>
      </c>
      <c r="R2710" s="1" t="s">
        <v>19</v>
      </c>
      <c r="S2710" s="1" t="s">
        <v>20</v>
      </c>
      <c r="T2710" s="1" t="s">
        <v>21</v>
      </c>
      <c r="U2710" s="1" t="s">
        <v>22</v>
      </c>
      <c r="V2710" s="1" t="s">
        <v>23</v>
      </c>
      <c r="W2710" s="1" t="s">
        <v>24</v>
      </c>
      <c r="X2710" s="1">
        <v>2731</v>
      </c>
      <c r="Y2710" s="1">
        <v>3610</v>
      </c>
      <c r="Z2710" s="1" t="s">
        <v>24</v>
      </c>
      <c r="AA2710" s="1" t="s">
        <v>24</v>
      </c>
      <c r="AB2710" s="1" t="s">
        <v>24</v>
      </c>
      <c r="AC2710" s="1" t="s">
        <v>24</v>
      </c>
      <c r="AD2710" s="1" t="s">
        <v>24</v>
      </c>
      <c r="AE2710" s="1" t="s">
        <v>24</v>
      </c>
      <c r="AF2710" s="22"/>
    </row>
    <row r="2711" spans="1:32" x14ac:dyDescent="0.2">
      <c r="A2711" s="1">
        <v>20454</v>
      </c>
      <c r="B2711" s="1" t="s">
        <v>8565</v>
      </c>
      <c r="C2711" s="5" t="s">
        <v>0</v>
      </c>
      <c r="D2711" s="1" t="s">
        <v>8566</v>
      </c>
      <c r="E2711" s="1" t="s">
        <v>8567</v>
      </c>
      <c r="F2711" s="1" t="s">
        <v>7990</v>
      </c>
      <c r="G2711" s="1" t="s">
        <v>7990</v>
      </c>
      <c r="H2711" s="1" t="s">
        <v>135</v>
      </c>
      <c r="I2711" s="1" t="s">
        <v>16</v>
      </c>
      <c r="J2711" s="1">
        <v>1</v>
      </c>
      <c r="K2711" s="1">
        <v>4</v>
      </c>
      <c r="L2711" s="1" t="s">
        <v>42</v>
      </c>
      <c r="M2711" s="1" t="s">
        <v>5887</v>
      </c>
      <c r="N2711" s="1" t="s">
        <v>1131</v>
      </c>
      <c r="O2711" s="1">
        <v>3</v>
      </c>
      <c r="P2711" s="1">
        <v>5</v>
      </c>
      <c r="R2711" s="1" t="s">
        <v>19</v>
      </c>
      <c r="S2711" s="1" t="s">
        <v>20</v>
      </c>
      <c r="T2711" s="1" t="s">
        <v>21</v>
      </c>
      <c r="U2711" s="1" t="s">
        <v>22</v>
      </c>
      <c r="V2711" s="1" t="s">
        <v>24</v>
      </c>
      <c r="W2711" s="1" t="s">
        <v>24</v>
      </c>
      <c r="X2711" s="1">
        <v>1310</v>
      </c>
      <c r="Y2711" s="1">
        <v>2724</v>
      </c>
      <c r="Z2711" s="1">
        <v>2712</v>
      </c>
      <c r="AA2711" s="1" t="s">
        <v>24</v>
      </c>
      <c r="AB2711" s="1" t="s">
        <v>24</v>
      </c>
      <c r="AC2711" s="1" t="s">
        <v>24</v>
      </c>
      <c r="AD2711" s="1" t="s">
        <v>24</v>
      </c>
      <c r="AE2711" s="1" t="s">
        <v>24</v>
      </c>
      <c r="AF2711" s="22"/>
    </row>
    <row r="2712" spans="1:32" x14ac:dyDescent="0.2">
      <c r="A2712" s="1">
        <v>20455</v>
      </c>
      <c r="B2712" s="1" t="s">
        <v>8568</v>
      </c>
      <c r="C2712" s="5" t="s">
        <v>0</v>
      </c>
      <c r="D2712" s="1" t="s">
        <v>8569</v>
      </c>
      <c r="E2712" s="1" t="s">
        <v>8570</v>
      </c>
      <c r="F2712" s="1" t="s">
        <v>689</v>
      </c>
      <c r="G2712" s="1" t="s">
        <v>311</v>
      </c>
      <c r="H2712" s="1" t="s">
        <v>37</v>
      </c>
      <c r="I2712" s="1" t="s">
        <v>16</v>
      </c>
      <c r="J2712" s="1">
        <v>1</v>
      </c>
      <c r="K2712" s="1">
        <v>8</v>
      </c>
      <c r="L2712" s="1" t="s">
        <v>31</v>
      </c>
      <c r="M2712" s="1" t="s">
        <v>18</v>
      </c>
      <c r="N2712" s="1" t="s">
        <v>18</v>
      </c>
      <c r="O2712" s="1">
        <v>3</v>
      </c>
      <c r="P2712" s="1">
        <v>6</v>
      </c>
      <c r="R2712" s="1" t="s">
        <v>19</v>
      </c>
      <c r="S2712" s="1" t="s">
        <v>20</v>
      </c>
      <c r="T2712" s="1" t="s">
        <v>21</v>
      </c>
      <c r="U2712" s="1" t="s">
        <v>22</v>
      </c>
      <c r="V2712" s="1" t="s">
        <v>23</v>
      </c>
      <c r="W2712" s="1" t="s">
        <v>24</v>
      </c>
      <c r="X2712" s="1">
        <v>2739</v>
      </c>
      <c r="Y2712" s="1" t="s">
        <v>24</v>
      </c>
      <c r="Z2712" s="1" t="s">
        <v>24</v>
      </c>
      <c r="AA2712" s="1" t="s">
        <v>24</v>
      </c>
      <c r="AB2712" s="1" t="s">
        <v>24</v>
      </c>
      <c r="AC2712" s="1" t="s">
        <v>24</v>
      </c>
      <c r="AD2712" s="1" t="s">
        <v>24</v>
      </c>
      <c r="AE2712" s="1" t="s">
        <v>24</v>
      </c>
      <c r="AF2712" s="22"/>
    </row>
    <row r="2713" spans="1:32" x14ac:dyDescent="0.2">
      <c r="A2713" s="1">
        <v>20486</v>
      </c>
      <c r="B2713" s="1" t="s">
        <v>8571</v>
      </c>
      <c r="C2713" s="5" t="s">
        <v>0</v>
      </c>
      <c r="D2713" s="1" t="s">
        <v>8572</v>
      </c>
      <c r="E2713" s="1" t="s">
        <v>8573</v>
      </c>
      <c r="F2713" s="1" t="s">
        <v>91</v>
      </c>
      <c r="G2713" s="1" t="s">
        <v>61</v>
      </c>
      <c r="H2713" s="1" t="s">
        <v>92</v>
      </c>
      <c r="I2713" s="1" t="s">
        <v>16</v>
      </c>
      <c r="J2713" s="1">
        <v>1</v>
      </c>
      <c r="K2713" s="1">
        <v>6</v>
      </c>
      <c r="L2713" s="1" t="s">
        <v>31</v>
      </c>
      <c r="M2713" s="1" t="s">
        <v>18</v>
      </c>
      <c r="N2713" s="1" t="s">
        <v>18</v>
      </c>
      <c r="O2713" s="1">
        <v>3</v>
      </c>
      <c r="P2713" s="1">
        <v>7</v>
      </c>
      <c r="Q2713" s="7" t="s">
        <v>17633</v>
      </c>
      <c r="R2713" s="1" t="s">
        <v>62</v>
      </c>
      <c r="S2713" s="1" t="s">
        <v>20</v>
      </c>
      <c r="T2713" s="1" t="s">
        <v>21</v>
      </c>
      <c r="U2713" s="1" t="s">
        <v>22</v>
      </c>
      <c r="V2713" s="1" t="s">
        <v>24</v>
      </c>
      <c r="W2713" s="1" t="s">
        <v>24</v>
      </c>
      <c r="X2713" s="1">
        <v>2700</v>
      </c>
      <c r="Y2713" s="1" t="s">
        <v>24</v>
      </c>
      <c r="Z2713" s="1" t="s">
        <v>24</v>
      </c>
      <c r="AA2713" s="1" t="s">
        <v>24</v>
      </c>
      <c r="AB2713" s="1" t="s">
        <v>24</v>
      </c>
      <c r="AC2713" s="1" t="s">
        <v>24</v>
      </c>
      <c r="AD2713" s="1" t="s">
        <v>24</v>
      </c>
      <c r="AE2713" s="1" t="s">
        <v>24</v>
      </c>
      <c r="AF2713" s="22"/>
    </row>
    <row r="2714" spans="1:32" x14ac:dyDescent="0.2">
      <c r="A2714" s="1">
        <v>20495</v>
      </c>
      <c r="B2714" s="1" t="s">
        <v>8574</v>
      </c>
      <c r="C2714" s="5" t="s">
        <v>0</v>
      </c>
      <c r="D2714" s="1" t="s">
        <v>8575</v>
      </c>
      <c r="E2714" s="1" t="s">
        <v>8576</v>
      </c>
      <c r="F2714" s="1" t="s">
        <v>217</v>
      </c>
      <c r="G2714" s="1" t="s">
        <v>130</v>
      </c>
      <c r="H2714" s="1" t="s">
        <v>92</v>
      </c>
      <c r="I2714" s="1" t="s">
        <v>16</v>
      </c>
      <c r="J2714" s="1">
        <v>1</v>
      </c>
      <c r="K2714" s="1">
        <v>4</v>
      </c>
      <c r="L2714" s="1" t="s">
        <v>31</v>
      </c>
      <c r="M2714" s="1" t="s">
        <v>18</v>
      </c>
      <c r="N2714" s="1" t="s">
        <v>18</v>
      </c>
      <c r="O2714" s="1">
        <v>3</v>
      </c>
      <c r="P2714" s="1">
        <v>7</v>
      </c>
      <c r="Q2714" s="7" t="s">
        <v>17633</v>
      </c>
      <c r="R2714" s="1" t="s">
        <v>19</v>
      </c>
      <c r="S2714" s="1" t="s">
        <v>20</v>
      </c>
      <c r="T2714" s="1" t="s">
        <v>21</v>
      </c>
      <c r="U2714" s="1" t="s">
        <v>22</v>
      </c>
      <c r="V2714" s="1" t="s">
        <v>23</v>
      </c>
      <c r="W2714" s="1" t="s">
        <v>24</v>
      </c>
      <c r="X2714" s="1">
        <v>2719</v>
      </c>
      <c r="Y2714" s="1">
        <v>2739</v>
      </c>
      <c r="Z2714" s="1" t="s">
        <v>24</v>
      </c>
      <c r="AA2714" s="1" t="s">
        <v>24</v>
      </c>
      <c r="AB2714" s="1" t="s">
        <v>24</v>
      </c>
      <c r="AC2714" s="1" t="s">
        <v>24</v>
      </c>
      <c r="AD2714" s="1" t="s">
        <v>24</v>
      </c>
      <c r="AE2714" s="1" t="s">
        <v>24</v>
      </c>
      <c r="AF2714" s="22"/>
    </row>
    <row r="2715" spans="1:32" x14ac:dyDescent="0.2">
      <c r="A2715" s="1">
        <v>20498</v>
      </c>
      <c r="B2715" s="1" t="s">
        <v>8577</v>
      </c>
      <c r="C2715" s="5" t="s">
        <v>0</v>
      </c>
      <c r="D2715" s="1" t="s">
        <v>8578</v>
      </c>
      <c r="E2715" s="1" t="s">
        <v>8579</v>
      </c>
      <c r="F2715" s="1" t="s">
        <v>689</v>
      </c>
      <c r="G2715" s="1" t="s">
        <v>311</v>
      </c>
      <c r="H2715" s="1" t="s">
        <v>30</v>
      </c>
      <c r="I2715" s="1" t="s">
        <v>16</v>
      </c>
      <c r="J2715" s="1">
        <v>1</v>
      </c>
      <c r="K2715" s="1">
        <v>4</v>
      </c>
      <c r="L2715" s="1" t="s">
        <v>31</v>
      </c>
      <c r="M2715" s="1" t="s">
        <v>18</v>
      </c>
      <c r="N2715" s="1" t="s">
        <v>18</v>
      </c>
      <c r="O2715" s="1">
        <v>3</v>
      </c>
      <c r="P2715" s="1">
        <v>6</v>
      </c>
      <c r="R2715" s="1" t="s">
        <v>19</v>
      </c>
      <c r="S2715" s="1" t="s">
        <v>20</v>
      </c>
      <c r="T2715" s="1" t="s">
        <v>21</v>
      </c>
      <c r="U2715" s="1" t="s">
        <v>22</v>
      </c>
      <c r="V2715" s="1" t="s">
        <v>24</v>
      </c>
      <c r="W2715" s="1" t="s">
        <v>24</v>
      </c>
      <c r="X2715" s="1">
        <v>1103</v>
      </c>
      <c r="Y2715" s="1">
        <v>3400</v>
      </c>
      <c r="Z2715" s="1" t="s">
        <v>24</v>
      </c>
      <c r="AA2715" s="1" t="s">
        <v>24</v>
      </c>
      <c r="AB2715" s="1" t="s">
        <v>24</v>
      </c>
      <c r="AC2715" s="1" t="s">
        <v>24</v>
      </c>
      <c r="AD2715" s="1" t="s">
        <v>24</v>
      </c>
      <c r="AE2715" s="1" t="s">
        <v>24</v>
      </c>
      <c r="AF2715" s="22"/>
    </row>
    <row r="2716" spans="1:32" x14ac:dyDescent="0.2">
      <c r="A2716" s="1">
        <v>20499</v>
      </c>
      <c r="B2716" s="1" t="s">
        <v>8580</v>
      </c>
      <c r="C2716" s="5" t="s">
        <v>0</v>
      </c>
      <c r="D2716" s="1" t="s">
        <v>8581</v>
      </c>
      <c r="E2716" s="1" t="s">
        <v>8582</v>
      </c>
      <c r="F2716" s="1" t="s">
        <v>35</v>
      </c>
      <c r="G2716" s="1" t="s">
        <v>36</v>
      </c>
      <c r="H2716" s="1" t="s">
        <v>37</v>
      </c>
      <c r="I2716" s="1" t="s">
        <v>16</v>
      </c>
      <c r="J2716" s="1">
        <v>2</v>
      </c>
      <c r="K2716" s="1">
        <v>3</v>
      </c>
      <c r="L2716" s="1" t="s">
        <v>31</v>
      </c>
      <c r="M2716" s="1" t="s">
        <v>18</v>
      </c>
      <c r="N2716" s="1" t="s">
        <v>18</v>
      </c>
      <c r="O2716" s="1">
        <v>3</v>
      </c>
      <c r="P2716" s="1">
        <v>6</v>
      </c>
      <c r="R2716" s="1" t="s">
        <v>19</v>
      </c>
      <c r="S2716" s="1" t="s">
        <v>20</v>
      </c>
      <c r="T2716" s="1" t="s">
        <v>21</v>
      </c>
      <c r="U2716" s="1" t="s">
        <v>22</v>
      </c>
      <c r="V2716" s="1" t="s">
        <v>23</v>
      </c>
      <c r="W2716" s="1" t="s">
        <v>24</v>
      </c>
      <c r="X2716" s="1">
        <v>2735</v>
      </c>
      <c r="Y2716" s="1">
        <v>3204</v>
      </c>
      <c r="Z2716" s="1" t="s">
        <v>24</v>
      </c>
      <c r="AA2716" s="1" t="s">
        <v>24</v>
      </c>
      <c r="AB2716" s="1" t="s">
        <v>24</v>
      </c>
      <c r="AC2716" s="1" t="s">
        <v>24</v>
      </c>
      <c r="AD2716" s="1" t="s">
        <v>24</v>
      </c>
      <c r="AE2716" s="1" t="s">
        <v>24</v>
      </c>
      <c r="AF2716" s="22"/>
    </row>
    <row r="2717" spans="1:32" x14ac:dyDescent="0.2">
      <c r="A2717" s="1">
        <v>20500</v>
      </c>
      <c r="B2717" s="1" t="s">
        <v>8583</v>
      </c>
      <c r="C2717" s="5" t="s">
        <v>0</v>
      </c>
      <c r="D2717" s="1" t="s">
        <v>8584</v>
      </c>
      <c r="E2717" s="1" t="s">
        <v>8585</v>
      </c>
      <c r="F2717" s="1" t="s">
        <v>689</v>
      </c>
      <c r="G2717" s="1" t="s">
        <v>311</v>
      </c>
      <c r="H2717" s="1" t="s">
        <v>30</v>
      </c>
      <c r="I2717" s="1" t="s">
        <v>16</v>
      </c>
      <c r="J2717" s="1">
        <v>1</v>
      </c>
      <c r="K2717" s="1">
        <v>4</v>
      </c>
      <c r="L2717" s="1" t="s">
        <v>31</v>
      </c>
      <c r="M2717" s="1" t="s">
        <v>18</v>
      </c>
      <c r="N2717" s="1" t="s">
        <v>18</v>
      </c>
      <c r="O2717" s="1">
        <v>3</v>
      </c>
      <c r="P2717" s="1">
        <v>6</v>
      </c>
      <c r="R2717" s="1" t="s">
        <v>19</v>
      </c>
      <c r="S2717" s="1" t="s">
        <v>20</v>
      </c>
      <c r="T2717" s="1" t="s">
        <v>21</v>
      </c>
      <c r="U2717" s="1" t="s">
        <v>22</v>
      </c>
      <c r="V2717" s="1" t="s">
        <v>24</v>
      </c>
      <c r="W2717" s="1" t="s">
        <v>24</v>
      </c>
      <c r="X2717" s="1">
        <v>2738</v>
      </c>
      <c r="Y2717" s="1">
        <v>3204</v>
      </c>
      <c r="Z2717" s="1">
        <v>3205</v>
      </c>
      <c r="AA2717" s="1" t="s">
        <v>24</v>
      </c>
      <c r="AB2717" s="1" t="s">
        <v>24</v>
      </c>
      <c r="AC2717" s="1" t="s">
        <v>24</v>
      </c>
      <c r="AD2717" s="1" t="s">
        <v>24</v>
      </c>
      <c r="AE2717" s="1" t="s">
        <v>24</v>
      </c>
      <c r="AF2717" s="22"/>
    </row>
    <row r="2718" spans="1:32" x14ac:dyDescent="0.2">
      <c r="A2718" s="1">
        <v>20501</v>
      </c>
      <c r="B2718" s="1" t="s">
        <v>8586</v>
      </c>
      <c r="C2718" s="5" t="s">
        <v>0</v>
      </c>
      <c r="D2718" s="1" t="s">
        <v>8587</v>
      </c>
      <c r="E2718" s="1" t="s">
        <v>8588</v>
      </c>
      <c r="F2718" s="1" t="s">
        <v>540</v>
      </c>
      <c r="G2718" s="1" t="s">
        <v>130</v>
      </c>
      <c r="H2718" s="1" t="s">
        <v>684</v>
      </c>
      <c r="I2718" s="1" t="s">
        <v>16</v>
      </c>
      <c r="J2718" s="1">
        <v>1</v>
      </c>
      <c r="K2718" s="1">
        <v>6</v>
      </c>
      <c r="L2718" s="1" t="s">
        <v>31</v>
      </c>
      <c r="M2718" s="1" t="s">
        <v>18</v>
      </c>
      <c r="N2718" s="1" t="s">
        <v>18</v>
      </c>
      <c r="O2718" s="1">
        <v>3</v>
      </c>
      <c r="P2718" s="1">
        <v>5</v>
      </c>
      <c r="R2718" s="1" t="s">
        <v>19</v>
      </c>
      <c r="S2718" s="1" t="s">
        <v>20</v>
      </c>
      <c r="T2718" s="1" t="s">
        <v>21</v>
      </c>
      <c r="U2718" s="1" t="s">
        <v>22</v>
      </c>
      <c r="V2718" s="1" t="s">
        <v>24</v>
      </c>
      <c r="W2718" s="1" t="s">
        <v>24</v>
      </c>
      <c r="X2718" s="1">
        <v>2728</v>
      </c>
      <c r="Y2718" s="1">
        <v>2738</v>
      </c>
      <c r="Z2718" s="1">
        <v>2708</v>
      </c>
      <c r="AA2718" s="1" t="s">
        <v>24</v>
      </c>
      <c r="AB2718" s="1" t="s">
        <v>24</v>
      </c>
      <c r="AC2718" s="1" t="s">
        <v>24</v>
      </c>
      <c r="AD2718" s="1" t="s">
        <v>24</v>
      </c>
      <c r="AE2718" s="1" t="s">
        <v>24</v>
      </c>
      <c r="AF2718" s="22"/>
    </row>
    <row r="2719" spans="1:32" x14ac:dyDescent="0.2">
      <c r="A2719" s="1">
        <v>20503</v>
      </c>
      <c r="B2719" s="1" t="s">
        <v>8589</v>
      </c>
      <c r="C2719" s="5" t="s">
        <v>0</v>
      </c>
      <c r="D2719" s="1" t="s">
        <v>8590</v>
      </c>
      <c r="E2719" s="1" t="s">
        <v>8591</v>
      </c>
      <c r="F2719" s="1" t="s">
        <v>751</v>
      </c>
      <c r="G2719" s="1" t="s">
        <v>36</v>
      </c>
      <c r="H2719" s="1" t="s">
        <v>37</v>
      </c>
      <c r="I2719" s="1" t="s">
        <v>16</v>
      </c>
      <c r="J2719" s="1">
        <v>1</v>
      </c>
      <c r="K2719" s="1">
        <v>4</v>
      </c>
      <c r="L2719" s="1" t="s">
        <v>31</v>
      </c>
      <c r="M2719" s="1" t="s">
        <v>18</v>
      </c>
      <c r="N2719" s="1" t="s">
        <v>18</v>
      </c>
      <c r="O2719" s="1">
        <v>3</v>
      </c>
      <c r="P2719" s="1">
        <v>6</v>
      </c>
      <c r="R2719" s="1" t="s">
        <v>19</v>
      </c>
      <c r="S2719" s="1" t="s">
        <v>20</v>
      </c>
      <c r="T2719" s="1" t="s">
        <v>21</v>
      </c>
      <c r="U2719" s="1" t="s">
        <v>22</v>
      </c>
      <c r="V2719" s="1" t="s">
        <v>23</v>
      </c>
      <c r="W2719" s="1" t="s">
        <v>24</v>
      </c>
      <c r="X2719" s="1">
        <v>3204</v>
      </c>
      <c r="Y2719" s="1">
        <v>3205</v>
      </c>
      <c r="Z2719" s="1">
        <v>3304</v>
      </c>
      <c r="AA2719" s="1" t="s">
        <v>24</v>
      </c>
      <c r="AB2719" s="1" t="s">
        <v>24</v>
      </c>
      <c r="AC2719" s="1" t="s">
        <v>24</v>
      </c>
      <c r="AD2719" s="1" t="s">
        <v>24</v>
      </c>
      <c r="AE2719" s="1" t="s">
        <v>24</v>
      </c>
      <c r="AF2719" s="22"/>
    </row>
    <row r="2720" spans="1:32" x14ac:dyDescent="0.2">
      <c r="A2720" s="1">
        <v>20517</v>
      </c>
      <c r="B2720" s="1" t="s">
        <v>8592</v>
      </c>
      <c r="C2720" s="5" t="s">
        <v>0</v>
      </c>
      <c r="D2720" s="1" t="s">
        <v>8593</v>
      </c>
      <c r="E2720" s="1" t="s">
        <v>8594</v>
      </c>
      <c r="F2720" s="1" t="s">
        <v>296</v>
      </c>
      <c r="G2720" s="1" t="s">
        <v>36</v>
      </c>
      <c r="H2720" s="1" t="s">
        <v>264</v>
      </c>
      <c r="I2720" s="1" t="s">
        <v>16</v>
      </c>
      <c r="J2720" s="1">
        <v>1</v>
      </c>
      <c r="K2720" s="1">
        <v>9</v>
      </c>
      <c r="L2720" s="1" t="s">
        <v>31</v>
      </c>
      <c r="M2720" s="1" t="s">
        <v>18</v>
      </c>
      <c r="N2720" s="1" t="s">
        <v>18</v>
      </c>
      <c r="O2720" s="1">
        <v>2</v>
      </c>
      <c r="P2720" s="1">
        <v>6</v>
      </c>
      <c r="R2720" s="1" t="s">
        <v>19</v>
      </c>
      <c r="S2720" s="1" t="s">
        <v>20</v>
      </c>
      <c r="T2720" s="1" t="s">
        <v>21</v>
      </c>
      <c r="U2720" s="1" t="s">
        <v>22</v>
      </c>
      <c r="V2720" s="1" t="s">
        <v>24</v>
      </c>
      <c r="W2720" s="1" t="s">
        <v>24</v>
      </c>
      <c r="X2720" s="1">
        <v>2731</v>
      </c>
      <c r="Y2720" s="1" t="s">
        <v>24</v>
      </c>
      <c r="Z2720" s="1" t="s">
        <v>24</v>
      </c>
      <c r="AA2720" s="1" t="s">
        <v>24</v>
      </c>
      <c r="AB2720" s="1" t="s">
        <v>24</v>
      </c>
      <c r="AC2720" s="1" t="s">
        <v>24</v>
      </c>
      <c r="AD2720" s="1" t="s">
        <v>24</v>
      </c>
      <c r="AE2720" s="1" t="s">
        <v>24</v>
      </c>
      <c r="AF2720" s="22"/>
    </row>
    <row r="2721" spans="1:32" x14ac:dyDescent="0.2">
      <c r="A2721" s="1">
        <v>20518</v>
      </c>
      <c r="B2721" s="1" t="s">
        <v>8595</v>
      </c>
      <c r="C2721" s="5" t="s">
        <v>0</v>
      </c>
      <c r="D2721" s="1" t="s">
        <v>8596</v>
      </c>
      <c r="E2721" s="1" t="s">
        <v>8597</v>
      </c>
      <c r="F2721" s="1" t="s">
        <v>28</v>
      </c>
      <c r="G2721" s="1" t="s">
        <v>29</v>
      </c>
      <c r="H2721" s="1" t="s">
        <v>30</v>
      </c>
      <c r="I2721" s="1" t="s">
        <v>16</v>
      </c>
      <c r="J2721" s="1">
        <v>1</v>
      </c>
      <c r="K2721" s="1">
        <v>6</v>
      </c>
      <c r="L2721" s="1" t="s">
        <v>31</v>
      </c>
      <c r="M2721" s="1" t="s">
        <v>18</v>
      </c>
      <c r="N2721" s="1" t="s">
        <v>18</v>
      </c>
      <c r="O2721" s="1">
        <v>3</v>
      </c>
      <c r="P2721" s="1">
        <v>7</v>
      </c>
      <c r="Q2721" s="7" t="s">
        <v>17633</v>
      </c>
      <c r="R2721" s="1" t="s">
        <v>19</v>
      </c>
      <c r="S2721" s="1" t="s">
        <v>20</v>
      </c>
      <c r="T2721" s="1" t="s">
        <v>21</v>
      </c>
      <c r="U2721" s="1" t="s">
        <v>22</v>
      </c>
      <c r="V2721" s="1" t="s">
        <v>23</v>
      </c>
      <c r="W2721" s="1" t="s">
        <v>24</v>
      </c>
      <c r="X2721" s="1">
        <v>1306</v>
      </c>
      <c r="Y2721" s="1">
        <v>2730</v>
      </c>
      <c r="Z2721" s="1" t="s">
        <v>24</v>
      </c>
      <c r="AA2721" s="1" t="s">
        <v>24</v>
      </c>
      <c r="AB2721" s="1" t="s">
        <v>24</v>
      </c>
      <c r="AC2721" s="1" t="s">
        <v>24</v>
      </c>
      <c r="AD2721" s="1" t="s">
        <v>24</v>
      </c>
      <c r="AE2721" s="1" t="s">
        <v>24</v>
      </c>
      <c r="AF2721" s="22"/>
    </row>
    <row r="2722" spans="1:32" x14ac:dyDescent="0.2">
      <c r="A2722" s="1">
        <v>20519</v>
      </c>
      <c r="B2722" s="1" t="s">
        <v>8598</v>
      </c>
      <c r="C2722" s="5" t="s">
        <v>0</v>
      </c>
      <c r="D2722" s="1" t="s">
        <v>8599</v>
      </c>
      <c r="F2722" s="1" t="s">
        <v>8600</v>
      </c>
      <c r="G2722" s="1" t="s">
        <v>8600</v>
      </c>
      <c r="H2722" s="1" t="s">
        <v>2672</v>
      </c>
      <c r="I2722" s="1" t="s">
        <v>16</v>
      </c>
      <c r="J2722" s="1">
        <v>1</v>
      </c>
      <c r="K2722" s="1">
        <v>4</v>
      </c>
      <c r="L2722" s="1" t="s">
        <v>42</v>
      </c>
      <c r="M2722" s="1" t="s">
        <v>18</v>
      </c>
      <c r="N2722" s="1" t="s">
        <v>18</v>
      </c>
      <c r="O2722" s="1">
        <v>0</v>
      </c>
      <c r="P2722" s="1">
        <v>4</v>
      </c>
      <c r="R2722" s="1" t="s">
        <v>19</v>
      </c>
      <c r="S2722" s="1" t="s">
        <v>63</v>
      </c>
      <c r="T2722" s="1" t="s">
        <v>21</v>
      </c>
      <c r="U2722" s="1" t="s">
        <v>22</v>
      </c>
      <c r="V2722" s="1" t="s">
        <v>24</v>
      </c>
      <c r="W2722" s="1" t="s">
        <v>24</v>
      </c>
      <c r="X2722" s="1">
        <v>2700</v>
      </c>
      <c r="Y2722" s="1" t="s">
        <v>24</v>
      </c>
      <c r="Z2722" s="1" t="s">
        <v>24</v>
      </c>
      <c r="AA2722" s="1" t="s">
        <v>24</v>
      </c>
      <c r="AB2722" s="1" t="s">
        <v>24</v>
      </c>
      <c r="AC2722" s="1" t="s">
        <v>24</v>
      </c>
      <c r="AD2722" s="1" t="s">
        <v>24</v>
      </c>
      <c r="AE2722" s="1" t="s">
        <v>24</v>
      </c>
      <c r="AF2722" s="22"/>
    </row>
    <row r="2723" spans="1:32" x14ac:dyDescent="0.2">
      <c r="A2723" s="1">
        <v>20543</v>
      </c>
      <c r="B2723" s="1" t="s">
        <v>8601</v>
      </c>
      <c r="C2723" s="5" t="s">
        <v>0</v>
      </c>
      <c r="D2723" s="1" t="s">
        <v>8602</v>
      </c>
      <c r="E2723" s="1" t="s">
        <v>8603</v>
      </c>
      <c r="F2723" s="1" t="s">
        <v>28</v>
      </c>
      <c r="G2723" s="1" t="s">
        <v>29</v>
      </c>
      <c r="H2723" s="1" t="s">
        <v>30</v>
      </c>
      <c r="I2723" s="1" t="s">
        <v>16</v>
      </c>
      <c r="J2723" s="1">
        <v>1</v>
      </c>
      <c r="K2723" s="1">
        <v>4</v>
      </c>
      <c r="L2723" s="1" t="s">
        <v>31</v>
      </c>
      <c r="M2723" s="1" t="s">
        <v>18</v>
      </c>
      <c r="N2723" s="1" t="s">
        <v>18</v>
      </c>
      <c r="O2723" s="1">
        <v>3</v>
      </c>
      <c r="P2723" s="1">
        <v>7</v>
      </c>
      <c r="Q2723" s="7" t="s">
        <v>17633</v>
      </c>
      <c r="R2723" s="1" t="s">
        <v>19</v>
      </c>
      <c r="S2723" s="1" t="s">
        <v>20</v>
      </c>
      <c r="T2723" s="1" t="s">
        <v>21</v>
      </c>
      <c r="U2723" s="1" t="s">
        <v>22</v>
      </c>
      <c r="V2723" s="1" t="s">
        <v>24</v>
      </c>
      <c r="W2723" s="1" t="s">
        <v>24</v>
      </c>
      <c r="X2723" s="1">
        <v>2728</v>
      </c>
      <c r="Y2723" s="1">
        <v>2808</v>
      </c>
      <c r="Z2723" s="1" t="s">
        <v>24</v>
      </c>
      <c r="AA2723" s="1" t="s">
        <v>24</v>
      </c>
      <c r="AB2723" s="1" t="s">
        <v>24</v>
      </c>
      <c r="AC2723" s="1" t="s">
        <v>24</v>
      </c>
      <c r="AD2723" s="1" t="s">
        <v>24</v>
      </c>
      <c r="AE2723" s="1" t="s">
        <v>24</v>
      </c>
      <c r="AF2723" s="22"/>
    </row>
    <row r="2724" spans="1:32" x14ac:dyDescent="0.2">
      <c r="A2724" s="1">
        <v>20544</v>
      </c>
      <c r="B2724" s="1" t="s">
        <v>8604</v>
      </c>
      <c r="C2724" s="5" t="s">
        <v>0</v>
      </c>
      <c r="D2724" s="1" t="s">
        <v>8605</v>
      </c>
      <c r="E2724" s="1" t="s">
        <v>8606</v>
      </c>
      <c r="F2724" s="1" t="s">
        <v>28</v>
      </c>
      <c r="G2724" s="1" t="s">
        <v>29</v>
      </c>
      <c r="H2724" s="1" t="s">
        <v>30</v>
      </c>
      <c r="I2724" s="1" t="s">
        <v>16</v>
      </c>
      <c r="J2724" s="1">
        <v>1</v>
      </c>
      <c r="K2724" s="1">
        <v>6</v>
      </c>
      <c r="L2724" s="1" t="s">
        <v>31</v>
      </c>
      <c r="M2724" s="1" t="s">
        <v>18</v>
      </c>
      <c r="N2724" s="1" t="s">
        <v>18</v>
      </c>
      <c r="O2724" s="1">
        <v>3</v>
      </c>
      <c r="P2724" s="1">
        <v>6</v>
      </c>
      <c r="R2724" s="1" t="s">
        <v>19</v>
      </c>
      <c r="S2724" s="1" t="s">
        <v>20</v>
      </c>
      <c r="T2724" s="1" t="s">
        <v>21</v>
      </c>
      <c r="U2724" s="1" t="s">
        <v>22</v>
      </c>
      <c r="V2724" s="1" t="s">
        <v>23</v>
      </c>
      <c r="W2724" s="1" t="s">
        <v>24</v>
      </c>
      <c r="X2724" s="1">
        <v>2723</v>
      </c>
      <c r="Y2724" s="1">
        <v>2747</v>
      </c>
      <c r="Z2724" s="1" t="s">
        <v>24</v>
      </c>
      <c r="AA2724" s="1" t="s">
        <v>24</v>
      </c>
      <c r="AB2724" s="1" t="s">
        <v>24</v>
      </c>
      <c r="AC2724" s="1" t="s">
        <v>24</v>
      </c>
      <c r="AD2724" s="1" t="s">
        <v>24</v>
      </c>
      <c r="AE2724" s="1" t="s">
        <v>24</v>
      </c>
      <c r="AF2724" s="22"/>
    </row>
    <row r="2725" spans="1:32" x14ac:dyDescent="0.2">
      <c r="A2725" s="1">
        <v>20545</v>
      </c>
      <c r="B2725" s="1" t="s">
        <v>8607</v>
      </c>
      <c r="C2725" s="5" t="s">
        <v>0</v>
      </c>
      <c r="D2725" s="1" t="s">
        <v>8608</v>
      </c>
      <c r="E2725" s="1" t="s">
        <v>8609</v>
      </c>
      <c r="F2725" s="1" t="s">
        <v>28</v>
      </c>
      <c r="G2725" s="1" t="s">
        <v>29</v>
      </c>
      <c r="H2725" s="1" t="s">
        <v>30</v>
      </c>
      <c r="I2725" s="1" t="s">
        <v>16</v>
      </c>
      <c r="J2725" s="1">
        <v>1</v>
      </c>
      <c r="K2725" s="1">
        <v>4</v>
      </c>
      <c r="L2725" s="1" t="s">
        <v>31</v>
      </c>
      <c r="M2725" s="1" t="s">
        <v>18</v>
      </c>
      <c r="N2725" s="1" t="s">
        <v>18</v>
      </c>
      <c r="O2725" s="1">
        <v>3</v>
      </c>
      <c r="P2725" s="1">
        <v>7</v>
      </c>
      <c r="Q2725" s="7" t="s">
        <v>17633</v>
      </c>
      <c r="R2725" s="1" t="s">
        <v>19</v>
      </c>
      <c r="S2725" s="1" t="s">
        <v>20</v>
      </c>
      <c r="T2725" s="1" t="s">
        <v>21</v>
      </c>
      <c r="U2725" s="1" t="s">
        <v>22</v>
      </c>
      <c r="V2725" s="1" t="s">
        <v>23</v>
      </c>
      <c r="W2725" s="1" t="s">
        <v>24</v>
      </c>
      <c r="X2725" s="1">
        <v>2732</v>
      </c>
      <c r="Y2725" s="1">
        <v>3612</v>
      </c>
      <c r="Z2725" s="1" t="s">
        <v>24</v>
      </c>
      <c r="AA2725" s="1" t="s">
        <v>24</v>
      </c>
      <c r="AB2725" s="1" t="s">
        <v>24</v>
      </c>
      <c r="AC2725" s="1" t="s">
        <v>24</v>
      </c>
      <c r="AD2725" s="1" t="s">
        <v>24</v>
      </c>
      <c r="AE2725" s="1" t="s">
        <v>24</v>
      </c>
      <c r="AF2725" s="22"/>
    </row>
    <row r="2726" spans="1:32" x14ac:dyDescent="0.2">
      <c r="A2726" s="1">
        <v>20546</v>
      </c>
      <c r="B2726" s="1" t="s">
        <v>8610</v>
      </c>
      <c r="C2726" s="5" t="s">
        <v>0</v>
      </c>
      <c r="D2726" s="1" t="s">
        <v>8611</v>
      </c>
      <c r="E2726" s="1" t="s">
        <v>8612</v>
      </c>
      <c r="F2726" s="1" t="s">
        <v>28</v>
      </c>
      <c r="G2726" s="1" t="s">
        <v>29</v>
      </c>
      <c r="H2726" s="1" t="s">
        <v>30</v>
      </c>
      <c r="I2726" s="1" t="s">
        <v>16</v>
      </c>
      <c r="J2726" s="1">
        <v>1</v>
      </c>
      <c r="K2726" s="1">
        <v>12</v>
      </c>
      <c r="L2726" s="1" t="s">
        <v>31</v>
      </c>
      <c r="M2726" s="1" t="s">
        <v>18</v>
      </c>
      <c r="N2726" s="1" t="s">
        <v>18</v>
      </c>
      <c r="O2726" s="1">
        <v>3</v>
      </c>
      <c r="P2726" s="1">
        <v>7</v>
      </c>
      <c r="Q2726" s="7" t="s">
        <v>17633</v>
      </c>
      <c r="R2726" s="1" t="s">
        <v>19</v>
      </c>
      <c r="S2726" s="1" t="s">
        <v>20</v>
      </c>
      <c r="T2726" s="1" t="s">
        <v>21</v>
      </c>
      <c r="U2726" s="1" t="s">
        <v>22</v>
      </c>
      <c r="V2726" s="1" t="s">
        <v>23</v>
      </c>
      <c r="W2726" s="1" t="s">
        <v>24</v>
      </c>
      <c r="X2726" s="1">
        <v>2746</v>
      </c>
      <c r="Y2726" s="1">
        <v>2732</v>
      </c>
      <c r="Z2726" s="1" t="s">
        <v>24</v>
      </c>
      <c r="AA2726" s="1" t="s">
        <v>24</v>
      </c>
      <c r="AB2726" s="1" t="s">
        <v>24</v>
      </c>
      <c r="AC2726" s="1" t="s">
        <v>24</v>
      </c>
      <c r="AD2726" s="1" t="s">
        <v>24</v>
      </c>
      <c r="AE2726" s="1" t="s">
        <v>24</v>
      </c>
      <c r="AF2726" s="22"/>
    </row>
    <row r="2727" spans="1:32" x14ac:dyDescent="0.2">
      <c r="A2727" s="1">
        <v>20551</v>
      </c>
      <c r="B2727" s="1" t="s">
        <v>8613</v>
      </c>
      <c r="C2727" s="5" t="s">
        <v>0</v>
      </c>
      <c r="D2727" s="1" t="s">
        <v>8614</v>
      </c>
      <c r="E2727" s="1" t="s">
        <v>8615</v>
      </c>
      <c r="F2727" s="1" t="s">
        <v>55</v>
      </c>
      <c r="G2727" s="1" t="s">
        <v>56</v>
      </c>
      <c r="H2727" s="1" t="s">
        <v>37</v>
      </c>
      <c r="I2727" s="1" t="s">
        <v>16</v>
      </c>
      <c r="J2727" s="1">
        <v>1</v>
      </c>
      <c r="K2727" s="1">
        <v>6</v>
      </c>
      <c r="L2727" s="1" t="s">
        <v>31</v>
      </c>
      <c r="M2727" s="1" t="s">
        <v>18</v>
      </c>
      <c r="N2727" s="1" t="s">
        <v>18</v>
      </c>
      <c r="O2727" s="1">
        <v>3</v>
      </c>
      <c r="P2727" s="1">
        <v>7</v>
      </c>
      <c r="Q2727" s="7" t="s">
        <v>17633</v>
      </c>
      <c r="R2727" s="1" t="s">
        <v>19</v>
      </c>
      <c r="S2727" s="1" t="s">
        <v>20</v>
      </c>
      <c r="T2727" s="1" t="s">
        <v>21</v>
      </c>
      <c r="U2727" s="1" t="s">
        <v>22</v>
      </c>
      <c r="V2727" s="1" t="s">
        <v>23</v>
      </c>
      <c r="W2727" s="1" t="s">
        <v>24</v>
      </c>
      <c r="X2727" s="1">
        <v>2739</v>
      </c>
      <c r="Y2727" s="1" t="s">
        <v>24</v>
      </c>
      <c r="Z2727" s="1" t="s">
        <v>24</v>
      </c>
      <c r="AA2727" s="1" t="s">
        <v>24</v>
      </c>
      <c r="AB2727" s="1" t="s">
        <v>24</v>
      </c>
      <c r="AC2727" s="1" t="s">
        <v>24</v>
      </c>
      <c r="AD2727" s="1" t="s">
        <v>24</v>
      </c>
      <c r="AE2727" s="1" t="s">
        <v>24</v>
      </c>
      <c r="AF2727" s="22"/>
    </row>
    <row r="2728" spans="1:32" x14ac:dyDescent="0.2">
      <c r="A2728" s="1">
        <v>20581</v>
      </c>
      <c r="B2728" s="1" t="s">
        <v>8616</v>
      </c>
      <c r="C2728" s="5" t="s">
        <v>0</v>
      </c>
      <c r="D2728" s="1" t="s">
        <v>8617</v>
      </c>
      <c r="F2728" s="1" t="s">
        <v>8618</v>
      </c>
      <c r="G2728" s="1" t="s">
        <v>8616</v>
      </c>
      <c r="H2728" s="1" t="s">
        <v>8619</v>
      </c>
      <c r="I2728" s="1" t="s">
        <v>16</v>
      </c>
      <c r="J2728" s="1">
        <v>1</v>
      </c>
      <c r="K2728" s="1">
        <v>12</v>
      </c>
      <c r="L2728" s="1" t="s">
        <v>42</v>
      </c>
      <c r="M2728" s="1" t="s">
        <v>18</v>
      </c>
      <c r="N2728" s="1" t="s">
        <v>18</v>
      </c>
      <c r="O2728" s="1">
        <v>3</v>
      </c>
      <c r="P2728" s="1">
        <v>6</v>
      </c>
      <c r="R2728" s="1" t="s">
        <v>19</v>
      </c>
      <c r="S2728" s="1" t="s">
        <v>20</v>
      </c>
      <c r="T2728" s="1" t="s">
        <v>21</v>
      </c>
      <c r="U2728" s="1" t="s">
        <v>22</v>
      </c>
      <c r="V2728" s="1" t="s">
        <v>24</v>
      </c>
      <c r="W2728" s="1" t="s">
        <v>24</v>
      </c>
      <c r="X2728" s="1">
        <v>2700</v>
      </c>
      <c r="Y2728" s="1" t="s">
        <v>24</v>
      </c>
      <c r="Z2728" s="1" t="s">
        <v>24</v>
      </c>
      <c r="AA2728" s="1" t="s">
        <v>24</v>
      </c>
      <c r="AB2728" s="1" t="s">
        <v>24</v>
      </c>
      <c r="AC2728" s="1" t="s">
        <v>24</v>
      </c>
      <c r="AD2728" s="1" t="s">
        <v>24</v>
      </c>
      <c r="AE2728" s="1" t="s">
        <v>24</v>
      </c>
      <c r="AF2728" s="22"/>
    </row>
    <row r="2729" spans="1:32" x14ac:dyDescent="0.2">
      <c r="A2729" s="1">
        <v>20582</v>
      </c>
      <c r="B2729" s="1" t="s">
        <v>8620</v>
      </c>
      <c r="C2729" s="5" t="s">
        <v>0</v>
      </c>
      <c r="D2729" s="1" t="s">
        <v>8621</v>
      </c>
      <c r="E2729" s="1" t="s">
        <v>8622</v>
      </c>
      <c r="F2729" s="1" t="s">
        <v>2822</v>
      </c>
      <c r="G2729" s="1" t="s">
        <v>61</v>
      </c>
      <c r="H2729" s="1" t="s">
        <v>37</v>
      </c>
      <c r="I2729" s="1" t="s">
        <v>16</v>
      </c>
      <c r="J2729" s="1">
        <v>1</v>
      </c>
      <c r="K2729" s="1">
        <v>12</v>
      </c>
      <c r="L2729" s="1" t="s">
        <v>31</v>
      </c>
      <c r="M2729" s="1" t="s">
        <v>18</v>
      </c>
      <c r="N2729" s="1" t="s">
        <v>18</v>
      </c>
      <c r="O2729" s="1">
        <v>3</v>
      </c>
      <c r="P2729" s="1">
        <v>7</v>
      </c>
      <c r="Q2729" s="7" t="s">
        <v>17633</v>
      </c>
      <c r="R2729" s="1" t="s">
        <v>62</v>
      </c>
      <c r="S2729" s="1" t="s">
        <v>20</v>
      </c>
      <c r="T2729" s="1" t="s">
        <v>21</v>
      </c>
      <c r="U2729" s="1" t="s">
        <v>22</v>
      </c>
      <c r="V2729" s="1" t="s">
        <v>23</v>
      </c>
      <c r="W2729" s="1" t="s">
        <v>24</v>
      </c>
      <c r="X2729" s="1">
        <v>2730</v>
      </c>
      <c r="Y2729" s="1" t="s">
        <v>24</v>
      </c>
      <c r="Z2729" s="1" t="s">
        <v>24</v>
      </c>
      <c r="AA2729" s="1" t="s">
        <v>24</v>
      </c>
      <c r="AB2729" s="1" t="s">
        <v>24</v>
      </c>
      <c r="AC2729" s="1" t="s">
        <v>24</v>
      </c>
      <c r="AD2729" s="1" t="s">
        <v>24</v>
      </c>
      <c r="AE2729" s="1" t="s">
        <v>24</v>
      </c>
      <c r="AF2729" s="22"/>
    </row>
    <row r="2730" spans="1:32" x14ac:dyDescent="0.2">
      <c r="A2730" s="1">
        <v>20585</v>
      </c>
      <c r="B2730" s="1" t="s">
        <v>8623</v>
      </c>
      <c r="C2730" s="5" t="s">
        <v>0</v>
      </c>
      <c r="D2730" s="1" t="s">
        <v>8624</v>
      </c>
      <c r="F2730" s="1" t="s">
        <v>91</v>
      </c>
      <c r="G2730" s="1" t="s">
        <v>61</v>
      </c>
      <c r="H2730" s="1" t="s">
        <v>92</v>
      </c>
      <c r="I2730" s="1" t="s">
        <v>16</v>
      </c>
      <c r="J2730" s="1">
        <v>1</v>
      </c>
      <c r="K2730" s="1">
        <v>4</v>
      </c>
      <c r="L2730" s="1" t="s">
        <v>31</v>
      </c>
      <c r="M2730" s="1" t="s">
        <v>18</v>
      </c>
      <c r="N2730" s="1" t="s">
        <v>18</v>
      </c>
      <c r="O2730" s="1">
        <v>3</v>
      </c>
      <c r="P2730" s="1">
        <v>6</v>
      </c>
      <c r="R2730" s="1" t="s">
        <v>62</v>
      </c>
      <c r="S2730" s="1" t="s">
        <v>20</v>
      </c>
      <c r="T2730" s="1" t="s">
        <v>21</v>
      </c>
      <c r="U2730" s="1" t="s">
        <v>22</v>
      </c>
      <c r="V2730" s="1" t="s">
        <v>24</v>
      </c>
      <c r="W2730" s="1" t="s">
        <v>24</v>
      </c>
      <c r="X2730" s="1">
        <v>1313</v>
      </c>
      <c r="Y2730" s="1">
        <v>2734</v>
      </c>
      <c r="Z2730" s="1" t="s">
        <v>24</v>
      </c>
      <c r="AA2730" s="1" t="s">
        <v>24</v>
      </c>
      <c r="AB2730" s="1" t="s">
        <v>24</v>
      </c>
      <c r="AC2730" s="1" t="s">
        <v>24</v>
      </c>
      <c r="AD2730" s="1" t="s">
        <v>24</v>
      </c>
      <c r="AE2730" s="1" t="s">
        <v>24</v>
      </c>
      <c r="AF2730" s="22" t="s">
        <v>17679</v>
      </c>
    </row>
    <row r="2731" spans="1:32" x14ac:dyDescent="0.2">
      <c r="A2731" s="1">
        <v>20589</v>
      </c>
      <c r="B2731" s="1" t="s">
        <v>8625</v>
      </c>
      <c r="C2731" s="5" t="s">
        <v>0</v>
      </c>
      <c r="D2731" s="1" t="s">
        <v>8626</v>
      </c>
      <c r="E2731" s="1" t="s">
        <v>8627</v>
      </c>
      <c r="F2731" s="1" t="s">
        <v>689</v>
      </c>
      <c r="G2731" s="1" t="s">
        <v>311</v>
      </c>
      <c r="H2731" s="1" t="s">
        <v>30</v>
      </c>
      <c r="I2731" s="1" t="s">
        <v>16</v>
      </c>
      <c r="J2731" s="1">
        <v>1</v>
      </c>
      <c r="K2731" s="1">
        <v>5</v>
      </c>
      <c r="L2731" s="1" t="s">
        <v>31</v>
      </c>
      <c r="M2731" s="1" t="s">
        <v>18</v>
      </c>
      <c r="N2731" s="1" t="s">
        <v>18</v>
      </c>
      <c r="O2731" s="1">
        <v>3</v>
      </c>
      <c r="P2731" s="1">
        <v>6</v>
      </c>
      <c r="R2731" s="1" t="s">
        <v>19</v>
      </c>
      <c r="S2731" s="1" t="s">
        <v>20</v>
      </c>
      <c r="T2731" s="1" t="s">
        <v>21</v>
      </c>
      <c r="U2731" s="1" t="s">
        <v>22</v>
      </c>
      <c r="V2731" s="1" t="s">
        <v>23</v>
      </c>
      <c r="W2731" s="1" t="s">
        <v>24</v>
      </c>
      <c r="X2731" s="1">
        <v>2738</v>
      </c>
      <c r="Y2731" s="1">
        <v>3203</v>
      </c>
      <c r="Z2731" s="1" t="s">
        <v>24</v>
      </c>
      <c r="AA2731" s="1" t="s">
        <v>24</v>
      </c>
      <c r="AB2731" s="1" t="s">
        <v>24</v>
      </c>
      <c r="AC2731" s="1" t="s">
        <v>24</v>
      </c>
      <c r="AD2731" s="1" t="s">
        <v>24</v>
      </c>
      <c r="AE2731" s="1" t="s">
        <v>24</v>
      </c>
      <c r="AF2731" s="22"/>
    </row>
    <row r="2732" spans="1:32" x14ac:dyDescent="0.2">
      <c r="A2732" s="1">
        <v>20602</v>
      </c>
      <c r="B2732" s="1" t="s">
        <v>8628</v>
      </c>
      <c r="C2732" s="5" t="s">
        <v>0</v>
      </c>
      <c r="D2732" s="1" t="s">
        <v>8629</v>
      </c>
      <c r="E2732" s="1" t="s">
        <v>8630</v>
      </c>
      <c r="F2732" s="1" t="s">
        <v>2296</v>
      </c>
      <c r="G2732" s="1" t="s">
        <v>61</v>
      </c>
      <c r="H2732" s="1" t="s">
        <v>30</v>
      </c>
      <c r="I2732" s="1" t="s">
        <v>16</v>
      </c>
      <c r="J2732" s="1">
        <v>1</v>
      </c>
      <c r="K2732" s="1">
        <v>12</v>
      </c>
      <c r="L2732" s="1" t="s">
        <v>31</v>
      </c>
      <c r="M2732" s="1" t="s">
        <v>18</v>
      </c>
      <c r="N2732" s="1" t="s">
        <v>18</v>
      </c>
      <c r="O2732" s="1">
        <v>3</v>
      </c>
      <c r="P2732" s="1">
        <v>6</v>
      </c>
      <c r="R2732" s="1" t="s">
        <v>62</v>
      </c>
      <c r="S2732" s="1" t="s">
        <v>20</v>
      </c>
      <c r="T2732" s="1" t="s">
        <v>21</v>
      </c>
      <c r="U2732" s="1" t="s">
        <v>22</v>
      </c>
      <c r="V2732" s="1" t="s">
        <v>23</v>
      </c>
      <c r="W2732" s="1" t="s">
        <v>24</v>
      </c>
      <c r="X2732" s="1">
        <v>2703</v>
      </c>
      <c r="Y2732" s="1">
        <v>2808</v>
      </c>
      <c r="Z2732" s="1">
        <v>2728</v>
      </c>
      <c r="AA2732" s="1" t="s">
        <v>24</v>
      </c>
      <c r="AB2732" s="1" t="s">
        <v>24</v>
      </c>
      <c r="AC2732" s="1" t="s">
        <v>24</v>
      </c>
      <c r="AD2732" s="1" t="s">
        <v>24</v>
      </c>
      <c r="AE2732" s="1" t="s">
        <v>24</v>
      </c>
      <c r="AF2732" s="22"/>
    </row>
    <row r="2733" spans="1:32" x14ac:dyDescent="0.2">
      <c r="A2733" s="1">
        <v>20604</v>
      </c>
      <c r="B2733" s="1" t="s">
        <v>8631</v>
      </c>
      <c r="C2733" s="5" t="s">
        <v>0</v>
      </c>
      <c r="D2733" s="1" t="s">
        <v>8632</v>
      </c>
      <c r="E2733" s="1" t="s">
        <v>8633</v>
      </c>
      <c r="F2733" s="1" t="s">
        <v>28</v>
      </c>
      <c r="G2733" s="1" t="s">
        <v>29</v>
      </c>
      <c r="H2733" s="1" t="s">
        <v>30</v>
      </c>
      <c r="I2733" s="1" t="s">
        <v>16</v>
      </c>
      <c r="J2733" s="1">
        <v>1</v>
      </c>
      <c r="K2733" s="1">
        <v>6</v>
      </c>
      <c r="L2733" s="1" t="s">
        <v>31</v>
      </c>
      <c r="M2733" s="1" t="s">
        <v>18</v>
      </c>
      <c r="N2733" s="1" t="s">
        <v>18</v>
      </c>
      <c r="O2733" s="1">
        <v>3</v>
      </c>
      <c r="P2733" s="1">
        <v>7</v>
      </c>
      <c r="Q2733" s="7" t="s">
        <v>17633</v>
      </c>
      <c r="R2733" s="1" t="s">
        <v>19</v>
      </c>
      <c r="S2733" s="1" t="s">
        <v>20</v>
      </c>
      <c r="T2733" s="1" t="s">
        <v>21</v>
      </c>
      <c r="U2733" s="1" t="s">
        <v>22</v>
      </c>
      <c r="V2733" s="1" t="s">
        <v>24</v>
      </c>
      <c r="W2733" s="1" t="s">
        <v>24</v>
      </c>
      <c r="X2733" s="1">
        <v>2734</v>
      </c>
      <c r="Y2733" s="1">
        <v>3607</v>
      </c>
      <c r="Z2733" s="1">
        <v>2722</v>
      </c>
      <c r="AA2733" s="1" t="s">
        <v>24</v>
      </c>
      <c r="AB2733" s="1" t="s">
        <v>24</v>
      </c>
      <c r="AC2733" s="1" t="s">
        <v>24</v>
      </c>
      <c r="AD2733" s="1" t="s">
        <v>24</v>
      </c>
      <c r="AE2733" s="1" t="s">
        <v>24</v>
      </c>
      <c r="AF2733" s="22"/>
    </row>
    <row r="2734" spans="1:32" x14ac:dyDescent="0.2">
      <c r="A2734" s="1">
        <v>20607</v>
      </c>
      <c r="B2734" s="1" t="s">
        <v>8634</v>
      </c>
      <c r="C2734" s="5" t="s">
        <v>0</v>
      </c>
      <c r="D2734" s="1" t="s">
        <v>8635</v>
      </c>
      <c r="E2734" s="1" t="s">
        <v>8636</v>
      </c>
      <c r="F2734" s="1" t="s">
        <v>35</v>
      </c>
      <c r="G2734" s="1" t="s">
        <v>36</v>
      </c>
      <c r="H2734" s="1" t="s">
        <v>37</v>
      </c>
      <c r="I2734" s="1" t="s">
        <v>16</v>
      </c>
      <c r="J2734" s="1">
        <v>1</v>
      </c>
      <c r="K2734" s="1">
        <v>6</v>
      </c>
      <c r="L2734" s="1" t="s">
        <v>31</v>
      </c>
      <c r="M2734" s="1" t="s">
        <v>18</v>
      </c>
      <c r="N2734" s="1" t="s">
        <v>18</v>
      </c>
      <c r="O2734" s="1">
        <v>3</v>
      </c>
      <c r="P2734" s="1">
        <v>7</v>
      </c>
      <c r="Q2734" s="7" t="s">
        <v>17633</v>
      </c>
      <c r="R2734" s="1" t="s">
        <v>19</v>
      </c>
      <c r="S2734" s="1" t="s">
        <v>20</v>
      </c>
      <c r="T2734" s="1" t="s">
        <v>21</v>
      </c>
      <c r="U2734" s="1" t="s">
        <v>22</v>
      </c>
      <c r="V2734" s="1" t="s">
        <v>24</v>
      </c>
      <c r="W2734" s="1" t="s">
        <v>24</v>
      </c>
      <c r="X2734" s="1">
        <v>2725</v>
      </c>
      <c r="Y2734" s="1">
        <v>2736</v>
      </c>
      <c r="Z2734" s="1">
        <v>2719</v>
      </c>
      <c r="AA2734" s="1" t="s">
        <v>24</v>
      </c>
      <c r="AB2734" s="1" t="s">
        <v>24</v>
      </c>
      <c r="AC2734" s="1" t="s">
        <v>24</v>
      </c>
      <c r="AD2734" s="1" t="s">
        <v>24</v>
      </c>
      <c r="AE2734" s="1" t="s">
        <v>24</v>
      </c>
      <c r="AF2734" s="22"/>
    </row>
    <row r="2735" spans="1:32" x14ac:dyDescent="0.2">
      <c r="A2735" s="1">
        <v>20614</v>
      </c>
      <c r="B2735" s="1" t="s">
        <v>8637</v>
      </c>
      <c r="C2735" s="5" t="s">
        <v>0</v>
      </c>
      <c r="E2735" s="1" t="s">
        <v>8638</v>
      </c>
      <c r="F2735" s="1" t="s">
        <v>8639</v>
      </c>
      <c r="G2735" s="1" t="s">
        <v>8639</v>
      </c>
      <c r="H2735" s="1" t="s">
        <v>116</v>
      </c>
      <c r="I2735" s="1" t="s">
        <v>16</v>
      </c>
      <c r="J2735" s="1">
        <v>1</v>
      </c>
      <c r="K2735" s="1">
        <v>6</v>
      </c>
      <c r="L2735" s="1" t="s">
        <v>42</v>
      </c>
      <c r="M2735" s="1" t="s">
        <v>117</v>
      </c>
      <c r="N2735" s="1" t="s">
        <v>117</v>
      </c>
      <c r="O2735" s="1">
        <v>3</v>
      </c>
      <c r="P2735" s="1">
        <v>5</v>
      </c>
      <c r="R2735" s="1" t="s">
        <v>19</v>
      </c>
      <c r="S2735" s="1" t="s">
        <v>20</v>
      </c>
      <c r="T2735" s="1" t="s">
        <v>21</v>
      </c>
      <c r="U2735" s="1" t="s">
        <v>22</v>
      </c>
      <c r="V2735" s="1" t="s">
        <v>24</v>
      </c>
      <c r="W2735" s="1" t="s">
        <v>24</v>
      </c>
      <c r="X2735" s="1">
        <v>3003</v>
      </c>
      <c r="Y2735" s="1">
        <v>3004</v>
      </c>
      <c r="Z2735" s="1">
        <v>3611</v>
      </c>
      <c r="AA2735" s="1" t="s">
        <v>24</v>
      </c>
      <c r="AB2735" s="1" t="s">
        <v>24</v>
      </c>
      <c r="AC2735" s="1" t="s">
        <v>24</v>
      </c>
      <c r="AD2735" s="1" t="s">
        <v>24</v>
      </c>
      <c r="AE2735" s="1" t="s">
        <v>24</v>
      </c>
      <c r="AF2735" s="22"/>
    </row>
    <row r="2736" spans="1:32" x14ac:dyDescent="0.2">
      <c r="A2736" s="1">
        <v>20618</v>
      </c>
      <c r="B2736" s="1" t="s">
        <v>8640</v>
      </c>
      <c r="C2736" s="5" t="s">
        <v>0</v>
      </c>
      <c r="D2736" s="1" t="s">
        <v>8641</v>
      </c>
      <c r="E2736" s="1" t="s">
        <v>8642</v>
      </c>
      <c r="F2736" s="1" t="s">
        <v>517</v>
      </c>
      <c r="G2736" s="1" t="s">
        <v>36</v>
      </c>
      <c r="H2736" s="1" t="s">
        <v>30</v>
      </c>
      <c r="I2736" s="1" t="s">
        <v>16</v>
      </c>
      <c r="J2736" s="1">
        <v>1</v>
      </c>
      <c r="K2736" s="1">
        <v>6</v>
      </c>
      <c r="L2736" s="1" t="s">
        <v>31</v>
      </c>
      <c r="M2736" s="1" t="s">
        <v>18</v>
      </c>
      <c r="N2736" s="1" t="s">
        <v>18</v>
      </c>
      <c r="O2736" s="1">
        <v>3</v>
      </c>
      <c r="P2736" s="1">
        <v>7</v>
      </c>
      <c r="Q2736" s="7" t="s">
        <v>17633</v>
      </c>
      <c r="R2736" s="1" t="s">
        <v>19</v>
      </c>
      <c r="S2736" s="1" t="s">
        <v>20</v>
      </c>
      <c r="T2736" s="1" t="s">
        <v>21</v>
      </c>
      <c r="U2736" s="1" t="s">
        <v>22</v>
      </c>
      <c r="V2736" s="1" t="s">
        <v>23</v>
      </c>
      <c r="W2736" s="1" t="s">
        <v>24</v>
      </c>
      <c r="X2736" s="1">
        <v>3204</v>
      </c>
      <c r="Y2736" s="1">
        <v>2738</v>
      </c>
      <c r="Z2736" s="1">
        <v>2735</v>
      </c>
      <c r="AA2736" s="1" t="s">
        <v>24</v>
      </c>
      <c r="AB2736" s="1" t="s">
        <v>24</v>
      </c>
      <c r="AC2736" s="1" t="s">
        <v>24</v>
      </c>
      <c r="AD2736" s="1" t="s">
        <v>24</v>
      </c>
      <c r="AE2736" s="1" t="s">
        <v>24</v>
      </c>
      <c r="AF2736" s="22"/>
    </row>
    <row r="2737" spans="1:32" x14ac:dyDescent="0.2">
      <c r="A2737" s="1">
        <v>20619</v>
      </c>
      <c r="B2737" s="1" t="s">
        <v>8643</v>
      </c>
      <c r="C2737" s="5" t="s">
        <v>0</v>
      </c>
      <c r="D2737" s="1" t="s">
        <v>8644</v>
      </c>
      <c r="E2737" s="1" t="s">
        <v>8645</v>
      </c>
      <c r="F2737" s="1" t="s">
        <v>751</v>
      </c>
      <c r="G2737" s="1" t="s">
        <v>36</v>
      </c>
      <c r="H2737" s="1" t="s">
        <v>37</v>
      </c>
      <c r="I2737" s="1" t="s">
        <v>16</v>
      </c>
      <c r="J2737" s="1">
        <v>1</v>
      </c>
      <c r="K2737" s="1">
        <v>9</v>
      </c>
      <c r="L2737" s="1" t="s">
        <v>31</v>
      </c>
      <c r="M2737" s="1" t="s">
        <v>18</v>
      </c>
      <c r="N2737" s="1" t="s">
        <v>18</v>
      </c>
      <c r="O2737" s="1">
        <v>3</v>
      </c>
      <c r="P2737" s="1">
        <v>7</v>
      </c>
      <c r="Q2737" s="7" t="s">
        <v>17633</v>
      </c>
      <c r="R2737" s="1" t="s">
        <v>19</v>
      </c>
      <c r="S2737" s="1" t="s">
        <v>20</v>
      </c>
      <c r="T2737" s="1" t="s">
        <v>21</v>
      </c>
      <c r="U2737" s="1" t="s">
        <v>22</v>
      </c>
      <c r="V2737" s="1" t="s">
        <v>24</v>
      </c>
      <c r="W2737" s="1" t="s">
        <v>24</v>
      </c>
      <c r="X2737" s="1">
        <v>3205</v>
      </c>
      <c r="Y2737" s="1">
        <v>1201</v>
      </c>
      <c r="Z2737" s="1">
        <v>3204</v>
      </c>
      <c r="AA2737" s="1" t="s">
        <v>24</v>
      </c>
      <c r="AB2737" s="1" t="s">
        <v>24</v>
      </c>
      <c r="AC2737" s="1" t="s">
        <v>24</v>
      </c>
      <c r="AD2737" s="1" t="s">
        <v>24</v>
      </c>
      <c r="AE2737" s="1" t="s">
        <v>24</v>
      </c>
      <c r="AF2737" s="22"/>
    </row>
    <row r="2738" spans="1:32" x14ac:dyDescent="0.2">
      <c r="A2738" s="1">
        <v>20646</v>
      </c>
      <c r="B2738" s="1" t="s">
        <v>8646</v>
      </c>
      <c r="C2738" s="5" t="s">
        <v>0</v>
      </c>
      <c r="D2738" s="1" t="s">
        <v>8647</v>
      </c>
      <c r="E2738" s="1" t="s">
        <v>8648</v>
      </c>
      <c r="F2738" s="1" t="s">
        <v>1278</v>
      </c>
      <c r="G2738" s="1" t="s">
        <v>1279</v>
      </c>
      <c r="H2738" s="1" t="s">
        <v>30</v>
      </c>
      <c r="I2738" s="1" t="s">
        <v>16</v>
      </c>
      <c r="J2738" s="1">
        <v>1</v>
      </c>
      <c r="K2738" s="1">
        <v>6</v>
      </c>
      <c r="L2738" s="1" t="s">
        <v>42</v>
      </c>
      <c r="M2738" s="1" t="s">
        <v>18</v>
      </c>
      <c r="N2738" s="1" t="s">
        <v>18</v>
      </c>
      <c r="O2738" s="1">
        <v>3</v>
      </c>
      <c r="P2738" s="1">
        <v>6</v>
      </c>
      <c r="R2738" s="1" t="s">
        <v>19</v>
      </c>
      <c r="S2738" s="1" t="s">
        <v>20</v>
      </c>
      <c r="T2738" s="1" t="s">
        <v>21</v>
      </c>
      <c r="U2738" s="1" t="s">
        <v>22</v>
      </c>
      <c r="V2738" s="1" t="s">
        <v>24</v>
      </c>
      <c r="W2738" s="1" t="s">
        <v>24</v>
      </c>
      <c r="X2738" s="1">
        <v>2402</v>
      </c>
      <c r="Y2738" s="1">
        <v>3002</v>
      </c>
      <c r="Z2738" s="1">
        <v>3004</v>
      </c>
      <c r="AA2738" s="1" t="s">
        <v>24</v>
      </c>
      <c r="AB2738" s="1" t="s">
        <v>24</v>
      </c>
      <c r="AC2738" s="1" t="s">
        <v>24</v>
      </c>
      <c r="AD2738" s="1" t="s">
        <v>24</v>
      </c>
      <c r="AE2738" s="1" t="s">
        <v>24</v>
      </c>
      <c r="AF2738" s="22"/>
    </row>
    <row r="2739" spans="1:32" x14ac:dyDescent="0.2">
      <c r="A2739" s="1">
        <v>20647</v>
      </c>
      <c r="B2739" s="1" t="s">
        <v>8649</v>
      </c>
      <c r="C2739" s="5" t="s">
        <v>0</v>
      </c>
      <c r="D2739" s="1" t="s">
        <v>8650</v>
      </c>
      <c r="F2739" s="1" t="s">
        <v>1890</v>
      </c>
      <c r="G2739" s="1" t="s">
        <v>1890</v>
      </c>
      <c r="H2739" s="1" t="s">
        <v>684</v>
      </c>
      <c r="I2739" s="1" t="s">
        <v>16</v>
      </c>
      <c r="J2739" s="1">
        <v>1</v>
      </c>
      <c r="K2739" s="1">
        <v>4</v>
      </c>
      <c r="L2739" s="1" t="s">
        <v>42</v>
      </c>
      <c r="M2739" s="1" t="s">
        <v>18</v>
      </c>
      <c r="N2739" s="1" t="s">
        <v>18</v>
      </c>
      <c r="O2739" s="1">
        <v>3</v>
      </c>
      <c r="P2739" s="1">
        <v>6</v>
      </c>
      <c r="R2739" s="1" t="s">
        <v>19</v>
      </c>
      <c r="S2739" s="1" t="s">
        <v>20</v>
      </c>
      <c r="T2739" s="1" t="s">
        <v>21</v>
      </c>
      <c r="U2739" s="1" t="s">
        <v>22</v>
      </c>
      <c r="V2739" s="1" t="s">
        <v>24</v>
      </c>
      <c r="W2739" s="1" t="s">
        <v>24</v>
      </c>
      <c r="X2739" s="1">
        <v>2746</v>
      </c>
      <c r="Y2739" s="1">
        <v>2727</v>
      </c>
      <c r="Z2739" s="1" t="s">
        <v>24</v>
      </c>
      <c r="AA2739" s="1" t="s">
        <v>24</v>
      </c>
      <c r="AB2739" s="1" t="s">
        <v>24</v>
      </c>
      <c r="AC2739" s="1" t="s">
        <v>24</v>
      </c>
      <c r="AD2739" s="1" t="s">
        <v>24</v>
      </c>
      <c r="AE2739" s="1" t="s">
        <v>24</v>
      </c>
      <c r="AF2739" s="22"/>
    </row>
    <row r="2740" spans="1:32" x14ac:dyDescent="0.2">
      <c r="A2740" s="1">
        <v>20652</v>
      </c>
      <c r="B2740" s="1" t="s">
        <v>8651</v>
      </c>
      <c r="C2740" s="5" t="s">
        <v>0</v>
      </c>
      <c r="D2740" s="1" t="s">
        <v>8652</v>
      </c>
      <c r="E2740" s="1" t="s">
        <v>8653</v>
      </c>
      <c r="F2740" s="1" t="s">
        <v>856</v>
      </c>
      <c r="G2740" s="1" t="s">
        <v>857</v>
      </c>
      <c r="H2740" s="1" t="s">
        <v>37</v>
      </c>
      <c r="I2740" s="1" t="s">
        <v>16</v>
      </c>
      <c r="J2740" s="1">
        <v>1</v>
      </c>
      <c r="K2740" s="1">
        <v>6</v>
      </c>
      <c r="L2740" s="1" t="s">
        <v>42</v>
      </c>
      <c r="M2740" s="1" t="s">
        <v>18</v>
      </c>
      <c r="N2740" s="1" t="s">
        <v>18</v>
      </c>
      <c r="O2740" s="1">
        <v>3</v>
      </c>
      <c r="P2740" s="1">
        <v>6</v>
      </c>
      <c r="R2740" s="1" t="s">
        <v>19</v>
      </c>
      <c r="S2740" s="1" t="s">
        <v>20</v>
      </c>
      <c r="T2740" s="1" t="s">
        <v>21</v>
      </c>
      <c r="U2740" s="1" t="s">
        <v>22</v>
      </c>
      <c r="V2740" s="1" t="s">
        <v>23</v>
      </c>
      <c r="W2740" s="1" t="s">
        <v>24</v>
      </c>
      <c r="X2740" s="1">
        <v>2700</v>
      </c>
      <c r="Y2740" s="1">
        <v>2900</v>
      </c>
      <c r="Z2740" s="1" t="s">
        <v>24</v>
      </c>
      <c r="AA2740" s="1" t="s">
        <v>24</v>
      </c>
      <c r="AB2740" s="1" t="s">
        <v>24</v>
      </c>
      <c r="AC2740" s="1" t="s">
        <v>24</v>
      </c>
      <c r="AD2740" s="1" t="s">
        <v>24</v>
      </c>
      <c r="AE2740" s="1" t="s">
        <v>24</v>
      </c>
      <c r="AF2740" s="22"/>
    </row>
    <row r="2741" spans="1:32" x14ac:dyDescent="0.2">
      <c r="A2741" s="1">
        <v>20656</v>
      </c>
      <c r="B2741" s="1" t="s">
        <v>8654</v>
      </c>
      <c r="C2741" s="5" t="s">
        <v>0</v>
      </c>
      <c r="D2741" s="1" t="s">
        <v>8655</v>
      </c>
      <c r="E2741" s="1" t="s">
        <v>8656</v>
      </c>
      <c r="F2741" s="1" t="s">
        <v>1177</v>
      </c>
      <c r="G2741" s="1" t="s">
        <v>61</v>
      </c>
      <c r="H2741" s="1" t="s">
        <v>37</v>
      </c>
      <c r="I2741" s="1" t="s">
        <v>16</v>
      </c>
      <c r="J2741" s="1">
        <v>1</v>
      </c>
      <c r="K2741" s="1">
        <v>4</v>
      </c>
      <c r="L2741" s="1" t="s">
        <v>31</v>
      </c>
      <c r="M2741" s="1" t="s">
        <v>18</v>
      </c>
      <c r="N2741" s="1" t="s">
        <v>18</v>
      </c>
      <c r="O2741" s="1">
        <v>3</v>
      </c>
      <c r="P2741" s="1">
        <v>7</v>
      </c>
      <c r="Q2741" s="7" t="s">
        <v>17633</v>
      </c>
      <c r="R2741" s="1" t="s">
        <v>19</v>
      </c>
      <c r="S2741" s="1" t="s">
        <v>20</v>
      </c>
      <c r="T2741" s="1" t="s">
        <v>21</v>
      </c>
      <c r="U2741" s="1" t="s">
        <v>22</v>
      </c>
      <c r="V2741" s="1" t="s">
        <v>24</v>
      </c>
      <c r="W2741" s="1" t="s">
        <v>24</v>
      </c>
      <c r="X2741" s="1">
        <v>2735</v>
      </c>
      <c r="Y2741" s="1">
        <v>2740</v>
      </c>
      <c r="Z2741" s="1" t="s">
        <v>24</v>
      </c>
      <c r="AA2741" s="1" t="s">
        <v>24</v>
      </c>
      <c r="AB2741" s="1" t="s">
        <v>24</v>
      </c>
      <c r="AC2741" s="1" t="s">
        <v>24</v>
      </c>
      <c r="AD2741" s="1" t="s">
        <v>24</v>
      </c>
      <c r="AE2741" s="1" t="s">
        <v>24</v>
      </c>
      <c r="AF2741" s="22"/>
    </row>
    <row r="2742" spans="1:32" x14ac:dyDescent="0.2">
      <c r="A2742" s="1">
        <v>20664</v>
      </c>
      <c r="B2742" s="1" t="s">
        <v>8657</v>
      </c>
      <c r="C2742" s="5" t="s">
        <v>0</v>
      </c>
      <c r="D2742" s="1" t="s">
        <v>8658</v>
      </c>
      <c r="E2742" s="1" t="s">
        <v>8659</v>
      </c>
      <c r="F2742" s="1" t="s">
        <v>776</v>
      </c>
      <c r="G2742" s="1" t="s">
        <v>777</v>
      </c>
      <c r="H2742" s="1" t="s">
        <v>30</v>
      </c>
      <c r="I2742" s="1" t="s">
        <v>16</v>
      </c>
      <c r="J2742" s="1">
        <v>1</v>
      </c>
      <c r="K2742" s="1">
        <v>12</v>
      </c>
      <c r="L2742" s="1" t="s">
        <v>31</v>
      </c>
      <c r="M2742" s="1" t="s">
        <v>18</v>
      </c>
      <c r="N2742" s="1" t="s">
        <v>18</v>
      </c>
      <c r="O2742" s="1">
        <v>3</v>
      </c>
      <c r="P2742" s="1">
        <v>7</v>
      </c>
      <c r="Q2742" s="7" t="s">
        <v>17633</v>
      </c>
      <c r="R2742" s="1" t="s">
        <v>62</v>
      </c>
      <c r="S2742" s="1" t="s">
        <v>20</v>
      </c>
      <c r="T2742" s="1" t="s">
        <v>21</v>
      </c>
      <c r="U2742" s="1" t="s">
        <v>22</v>
      </c>
      <c r="V2742" s="1" t="s">
        <v>24</v>
      </c>
      <c r="W2742" s="1" t="s">
        <v>64</v>
      </c>
      <c r="X2742" s="1">
        <v>1502</v>
      </c>
      <c r="Y2742" s="1">
        <v>2505</v>
      </c>
      <c r="Z2742" s="1">
        <v>2507</v>
      </c>
      <c r="AA2742" s="1">
        <v>2502</v>
      </c>
      <c r="AB2742" s="1" t="s">
        <v>24</v>
      </c>
      <c r="AC2742" s="1" t="s">
        <v>24</v>
      </c>
      <c r="AD2742" s="1" t="s">
        <v>24</v>
      </c>
      <c r="AE2742" s="1" t="s">
        <v>24</v>
      </c>
      <c r="AF2742" s="22"/>
    </row>
    <row r="2743" spans="1:32" x14ac:dyDescent="0.2">
      <c r="A2743" s="1">
        <v>20665</v>
      </c>
      <c r="B2743" s="1" t="s">
        <v>8660</v>
      </c>
      <c r="C2743" s="5" t="s">
        <v>0</v>
      </c>
      <c r="D2743" s="1" t="s">
        <v>8661</v>
      </c>
      <c r="E2743" s="1" t="s">
        <v>8662</v>
      </c>
      <c r="F2743" s="1" t="s">
        <v>6838</v>
      </c>
      <c r="G2743" s="1" t="s">
        <v>80</v>
      </c>
      <c r="H2743" s="1" t="s">
        <v>30</v>
      </c>
      <c r="I2743" s="1" t="s">
        <v>16</v>
      </c>
      <c r="J2743" s="1">
        <v>1</v>
      </c>
      <c r="K2743" s="1">
        <v>6</v>
      </c>
      <c r="L2743" s="1" t="s">
        <v>31</v>
      </c>
      <c r="M2743" s="1" t="s">
        <v>18</v>
      </c>
      <c r="N2743" s="1" t="s">
        <v>18</v>
      </c>
      <c r="O2743" s="1">
        <v>3</v>
      </c>
      <c r="P2743" s="1">
        <v>7</v>
      </c>
      <c r="Q2743" s="7" t="s">
        <v>17633</v>
      </c>
      <c r="R2743" s="1" t="s">
        <v>19</v>
      </c>
      <c r="S2743" s="1" t="s">
        <v>20</v>
      </c>
      <c r="T2743" s="1" t="s">
        <v>21</v>
      </c>
      <c r="U2743" s="1" t="s">
        <v>22</v>
      </c>
      <c r="V2743" s="1" t="s">
        <v>24</v>
      </c>
      <c r="W2743" s="1" t="s">
        <v>24</v>
      </c>
      <c r="X2743" s="1">
        <v>2725</v>
      </c>
      <c r="Y2743" s="1">
        <v>2736</v>
      </c>
      <c r="Z2743" s="1" t="s">
        <v>24</v>
      </c>
      <c r="AA2743" s="1" t="s">
        <v>24</v>
      </c>
      <c r="AB2743" s="1" t="s">
        <v>24</v>
      </c>
      <c r="AC2743" s="1" t="s">
        <v>24</v>
      </c>
      <c r="AD2743" s="1" t="s">
        <v>24</v>
      </c>
      <c r="AE2743" s="1" t="s">
        <v>24</v>
      </c>
      <c r="AF2743" s="22"/>
    </row>
    <row r="2744" spans="1:32" x14ac:dyDescent="0.2">
      <c r="A2744" s="1">
        <v>20666</v>
      </c>
      <c r="B2744" s="1" t="s">
        <v>8663</v>
      </c>
      <c r="C2744" s="5" t="s">
        <v>0</v>
      </c>
      <c r="D2744" s="1" t="s">
        <v>8664</v>
      </c>
      <c r="F2744" s="1" t="s">
        <v>8663</v>
      </c>
      <c r="G2744" s="1" t="s">
        <v>8663</v>
      </c>
      <c r="H2744" s="1" t="s">
        <v>1523</v>
      </c>
      <c r="I2744" s="1" t="s">
        <v>16</v>
      </c>
      <c r="J2744" s="1">
        <v>1</v>
      </c>
      <c r="K2744" s="1">
        <v>3</v>
      </c>
      <c r="L2744" s="1" t="s">
        <v>42</v>
      </c>
      <c r="M2744" s="1" t="s">
        <v>18</v>
      </c>
      <c r="N2744" s="1" t="s">
        <v>18</v>
      </c>
      <c r="O2744" s="1">
        <v>3</v>
      </c>
      <c r="P2744" s="1">
        <v>6</v>
      </c>
      <c r="R2744" s="1" t="s">
        <v>19</v>
      </c>
      <c r="S2744" s="1" t="s">
        <v>20</v>
      </c>
      <c r="T2744" s="1" t="s">
        <v>21</v>
      </c>
      <c r="U2744" s="1" t="s">
        <v>22</v>
      </c>
      <c r="V2744" s="1" t="s">
        <v>24</v>
      </c>
      <c r="W2744" s="1" t="s">
        <v>24</v>
      </c>
      <c r="X2744" s="1">
        <v>1310</v>
      </c>
      <c r="Y2744" s="1">
        <v>2712</v>
      </c>
      <c r="Z2744" s="1">
        <v>2724</v>
      </c>
      <c r="AA2744" s="1" t="s">
        <v>24</v>
      </c>
      <c r="AB2744" s="1" t="s">
        <v>24</v>
      </c>
      <c r="AC2744" s="1" t="s">
        <v>24</v>
      </c>
      <c r="AD2744" s="1" t="s">
        <v>24</v>
      </c>
      <c r="AE2744" s="1" t="s">
        <v>24</v>
      </c>
      <c r="AF2744" s="22"/>
    </row>
    <row r="2745" spans="1:32" x14ac:dyDescent="0.2">
      <c r="A2745" s="1">
        <v>20667</v>
      </c>
      <c r="B2745" s="1" t="s">
        <v>8665</v>
      </c>
      <c r="C2745" s="5" t="s">
        <v>0</v>
      </c>
      <c r="D2745" s="1" t="s">
        <v>8666</v>
      </c>
      <c r="F2745" s="1" t="s">
        <v>955</v>
      </c>
      <c r="G2745" s="1" t="s">
        <v>955</v>
      </c>
      <c r="H2745" s="1" t="s">
        <v>7640</v>
      </c>
      <c r="I2745" s="1" t="s">
        <v>16</v>
      </c>
      <c r="J2745" s="1">
        <v>1</v>
      </c>
      <c r="K2745" s="1">
        <v>6</v>
      </c>
      <c r="L2745" s="1" t="s">
        <v>42</v>
      </c>
      <c r="M2745" s="1" t="s">
        <v>8667</v>
      </c>
      <c r="N2745" s="1" t="s">
        <v>8667</v>
      </c>
      <c r="O2745" s="1">
        <v>3</v>
      </c>
      <c r="P2745" s="1">
        <v>6</v>
      </c>
      <c r="R2745" s="1" t="s">
        <v>19</v>
      </c>
      <c r="S2745" s="1" t="s">
        <v>20</v>
      </c>
      <c r="T2745" s="1" t="s">
        <v>21</v>
      </c>
      <c r="U2745" s="1" t="s">
        <v>22</v>
      </c>
      <c r="V2745" s="1" t="s">
        <v>23</v>
      </c>
      <c r="W2745" s="1" t="s">
        <v>24</v>
      </c>
      <c r="X2745" s="1">
        <v>2700</v>
      </c>
      <c r="Y2745" s="1" t="s">
        <v>24</v>
      </c>
      <c r="Z2745" s="1" t="s">
        <v>24</v>
      </c>
      <c r="AA2745" s="1" t="s">
        <v>24</v>
      </c>
      <c r="AB2745" s="1" t="s">
        <v>24</v>
      </c>
      <c r="AC2745" s="1" t="s">
        <v>24</v>
      </c>
      <c r="AD2745" s="1" t="s">
        <v>24</v>
      </c>
      <c r="AE2745" s="1" t="s">
        <v>24</v>
      </c>
      <c r="AF2745" s="22"/>
    </row>
    <row r="2746" spans="1:32" x14ac:dyDescent="0.2">
      <c r="A2746" s="1">
        <v>20668</v>
      </c>
      <c r="B2746" s="1" t="s">
        <v>8668</v>
      </c>
      <c r="C2746" s="5" t="s">
        <v>0</v>
      </c>
      <c r="D2746" s="1" t="s">
        <v>8669</v>
      </c>
      <c r="E2746" s="1" t="s">
        <v>8670</v>
      </c>
      <c r="F2746" s="1" t="s">
        <v>831</v>
      </c>
      <c r="G2746" s="1" t="s">
        <v>61</v>
      </c>
      <c r="H2746" s="1" t="s">
        <v>37</v>
      </c>
      <c r="I2746" s="1" t="s">
        <v>16</v>
      </c>
      <c r="J2746" s="1">
        <v>1</v>
      </c>
      <c r="K2746" s="1">
        <v>4</v>
      </c>
      <c r="L2746" s="1" t="s">
        <v>31</v>
      </c>
      <c r="M2746" s="1" t="s">
        <v>18</v>
      </c>
      <c r="N2746" s="1" t="s">
        <v>18</v>
      </c>
      <c r="O2746" s="1">
        <v>3</v>
      </c>
      <c r="P2746" s="1">
        <v>7</v>
      </c>
      <c r="Q2746" s="7" t="s">
        <v>17633</v>
      </c>
      <c r="R2746" s="1" t="s">
        <v>19</v>
      </c>
      <c r="S2746" s="1" t="s">
        <v>20</v>
      </c>
      <c r="T2746" s="1" t="s">
        <v>21</v>
      </c>
      <c r="U2746" s="1" t="s">
        <v>22</v>
      </c>
      <c r="V2746" s="1" t="s">
        <v>23</v>
      </c>
      <c r="W2746" s="1" t="s">
        <v>24</v>
      </c>
      <c r="X2746" s="1">
        <v>2732</v>
      </c>
      <c r="Y2746" s="1">
        <v>3612</v>
      </c>
      <c r="Z2746" s="1" t="s">
        <v>24</v>
      </c>
      <c r="AA2746" s="1" t="s">
        <v>24</v>
      </c>
      <c r="AB2746" s="1" t="s">
        <v>24</v>
      </c>
      <c r="AC2746" s="1" t="s">
        <v>24</v>
      </c>
      <c r="AD2746" s="1" t="s">
        <v>24</v>
      </c>
      <c r="AE2746" s="1" t="s">
        <v>24</v>
      </c>
      <c r="AF2746" s="22"/>
    </row>
    <row r="2747" spans="1:32" x14ac:dyDescent="0.2">
      <c r="A2747" s="1">
        <v>20671</v>
      </c>
      <c r="B2747" s="1" t="s">
        <v>8671</v>
      </c>
      <c r="C2747" s="5" t="s">
        <v>0</v>
      </c>
      <c r="D2747" s="1" t="s">
        <v>8672</v>
      </c>
      <c r="E2747" s="1" t="s">
        <v>8673</v>
      </c>
      <c r="F2747" s="1" t="s">
        <v>689</v>
      </c>
      <c r="G2747" s="1" t="s">
        <v>311</v>
      </c>
      <c r="H2747" s="1" t="s">
        <v>30</v>
      </c>
      <c r="I2747" s="1" t="s">
        <v>16</v>
      </c>
      <c r="J2747" s="1">
        <v>1</v>
      </c>
      <c r="K2747" s="1">
        <v>5</v>
      </c>
      <c r="L2747" s="1" t="s">
        <v>31</v>
      </c>
      <c r="M2747" s="1" t="s">
        <v>18</v>
      </c>
      <c r="N2747" s="1" t="s">
        <v>18</v>
      </c>
      <c r="O2747" s="1">
        <v>3</v>
      </c>
      <c r="P2747" s="1">
        <v>7</v>
      </c>
      <c r="Q2747" s="7" t="s">
        <v>17633</v>
      </c>
      <c r="R2747" s="1" t="s">
        <v>19</v>
      </c>
      <c r="S2747" s="1" t="s">
        <v>20</v>
      </c>
      <c r="T2747" s="1" t="s">
        <v>21</v>
      </c>
      <c r="U2747" s="1" t="s">
        <v>22</v>
      </c>
      <c r="V2747" s="1" t="s">
        <v>23</v>
      </c>
      <c r="W2747" s="1" t="s">
        <v>24</v>
      </c>
      <c r="X2747" s="1">
        <v>2738</v>
      </c>
      <c r="Y2747" s="1">
        <v>3203</v>
      </c>
      <c r="Z2747" s="1" t="s">
        <v>24</v>
      </c>
      <c r="AA2747" s="1" t="s">
        <v>24</v>
      </c>
      <c r="AB2747" s="1" t="s">
        <v>24</v>
      </c>
      <c r="AC2747" s="1" t="s">
        <v>24</v>
      </c>
      <c r="AD2747" s="1" t="s">
        <v>24</v>
      </c>
      <c r="AE2747" s="1" t="s">
        <v>24</v>
      </c>
      <c r="AF2747" s="22"/>
    </row>
    <row r="2748" spans="1:32" x14ac:dyDescent="0.2">
      <c r="A2748" s="1">
        <v>20672</v>
      </c>
      <c r="B2748" s="1" t="s">
        <v>8674</v>
      </c>
      <c r="C2748" s="5" t="s">
        <v>0</v>
      </c>
      <c r="D2748" s="1" t="s">
        <v>8675</v>
      </c>
      <c r="E2748" s="1" t="s">
        <v>8676</v>
      </c>
      <c r="F2748" s="1" t="s">
        <v>689</v>
      </c>
      <c r="G2748" s="1" t="s">
        <v>311</v>
      </c>
      <c r="H2748" s="1" t="s">
        <v>30</v>
      </c>
      <c r="I2748" s="1" t="s">
        <v>16</v>
      </c>
      <c r="J2748" s="1">
        <v>1</v>
      </c>
      <c r="K2748" s="1">
        <v>5</v>
      </c>
      <c r="L2748" s="1" t="s">
        <v>31</v>
      </c>
      <c r="M2748" s="1" t="s">
        <v>18</v>
      </c>
      <c r="N2748" s="1" t="s">
        <v>18</v>
      </c>
      <c r="O2748" s="1">
        <v>3</v>
      </c>
      <c r="P2748" s="1">
        <v>6</v>
      </c>
      <c r="R2748" s="1" t="s">
        <v>19</v>
      </c>
      <c r="S2748" s="1" t="s">
        <v>20</v>
      </c>
      <c r="T2748" s="1" t="s">
        <v>21</v>
      </c>
      <c r="U2748" s="1" t="s">
        <v>22</v>
      </c>
      <c r="V2748" s="1" t="s">
        <v>24</v>
      </c>
      <c r="W2748" s="1" t="s">
        <v>24</v>
      </c>
      <c r="X2748" s="1">
        <v>2734</v>
      </c>
      <c r="Y2748" s="1">
        <v>3202</v>
      </c>
      <c r="Z2748" s="1" t="s">
        <v>24</v>
      </c>
      <c r="AA2748" s="1" t="s">
        <v>24</v>
      </c>
      <c r="AB2748" s="1" t="s">
        <v>24</v>
      </c>
      <c r="AC2748" s="1" t="s">
        <v>24</v>
      </c>
      <c r="AD2748" s="1" t="s">
        <v>24</v>
      </c>
      <c r="AE2748" s="1" t="s">
        <v>24</v>
      </c>
      <c r="AF2748" s="22"/>
    </row>
    <row r="2749" spans="1:32" x14ac:dyDescent="0.2">
      <c r="A2749" s="1">
        <v>20703</v>
      </c>
      <c r="B2749" s="1" t="s">
        <v>8677</v>
      </c>
      <c r="C2749" s="5" t="s">
        <v>0</v>
      </c>
      <c r="D2749" s="1" t="s">
        <v>8678</v>
      </c>
      <c r="F2749" s="1" t="s">
        <v>241</v>
      </c>
      <c r="G2749" s="1" t="s">
        <v>61</v>
      </c>
      <c r="H2749" s="1" t="s">
        <v>168</v>
      </c>
      <c r="I2749" s="1" t="s">
        <v>16</v>
      </c>
      <c r="J2749" s="1">
        <v>1</v>
      </c>
      <c r="K2749" s="1">
        <v>4</v>
      </c>
      <c r="L2749" s="1" t="s">
        <v>31</v>
      </c>
      <c r="M2749" s="1" t="s">
        <v>679</v>
      </c>
      <c r="N2749" s="1" t="s">
        <v>413</v>
      </c>
      <c r="O2749" s="1">
        <v>2</v>
      </c>
      <c r="P2749" s="1">
        <v>5</v>
      </c>
      <c r="R2749" s="1" t="s">
        <v>19</v>
      </c>
      <c r="S2749" s="1" t="s">
        <v>20</v>
      </c>
      <c r="T2749" s="1" t="s">
        <v>21</v>
      </c>
      <c r="U2749" s="1" t="s">
        <v>22</v>
      </c>
      <c r="V2749" s="1" t="s">
        <v>23</v>
      </c>
      <c r="W2749" s="1" t="s">
        <v>24</v>
      </c>
      <c r="X2749" s="1">
        <v>2707</v>
      </c>
      <c r="Y2749" s="1" t="s">
        <v>24</v>
      </c>
      <c r="Z2749" s="1" t="s">
        <v>24</v>
      </c>
      <c r="AA2749" s="1" t="s">
        <v>24</v>
      </c>
      <c r="AB2749" s="1" t="s">
        <v>24</v>
      </c>
      <c r="AC2749" s="1" t="s">
        <v>24</v>
      </c>
      <c r="AD2749" s="1" t="s">
        <v>24</v>
      </c>
      <c r="AE2749" s="1" t="s">
        <v>24</v>
      </c>
      <c r="AF2749" s="22" t="s">
        <v>17679</v>
      </c>
    </row>
    <row r="2750" spans="1:32" x14ac:dyDescent="0.2">
      <c r="A2750" s="1">
        <v>20715</v>
      </c>
      <c r="B2750" s="1" t="s">
        <v>8679</v>
      </c>
      <c r="C2750" s="5" t="s">
        <v>0</v>
      </c>
      <c r="D2750" s="1" t="s">
        <v>8680</v>
      </c>
      <c r="F2750" s="1" t="s">
        <v>6797</v>
      </c>
      <c r="G2750" s="1" t="s">
        <v>6797</v>
      </c>
      <c r="H2750" s="1" t="s">
        <v>249</v>
      </c>
      <c r="I2750" s="1" t="s">
        <v>16</v>
      </c>
      <c r="J2750" s="1">
        <v>1</v>
      </c>
      <c r="K2750" s="1">
        <v>4</v>
      </c>
      <c r="L2750" s="1" t="s">
        <v>42</v>
      </c>
      <c r="M2750" s="1" t="s">
        <v>18</v>
      </c>
      <c r="N2750" s="1" t="s">
        <v>18</v>
      </c>
      <c r="O2750" s="1">
        <v>3</v>
      </c>
      <c r="P2750" s="1">
        <v>6</v>
      </c>
      <c r="R2750" s="1" t="s">
        <v>19</v>
      </c>
      <c r="S2750" s="1" t="s">
        <v>20</v>
      </c>
      <c r="T2750" s="1" t="s">
        <v>21</v>
      </c>
      <c r="U2750" s="1" t="s">
        <v>22</v>
      </c>
      <c r="V2750" s="1" t="s">
        <v>24</v>
      </c>
      <c r="W2750" s="1" t="s">
        <v>24</v>
      </c>
      <c r="X2750" s="1">
        <v>2715</v>
      </c>
      <c r="Y2750" s="1">
        <v>2916</v>
      </c>
      <c r="Z2750" s="1">
        <v>2735</v>
      </c>
      <c r="AA2750" s="1" t="s">
        <v>24</v>
      </c>
      <c r="AB2750" s="1" t="s">
        <v>24</v>
      </c>
      <c r="AC2750" s="1" t="s">
        <v>24</v>
      </c>
      <c r="AD2750" s="1" t="s">
        <v>24</v>
      </c>
      <c r="AE2750" s="1" t="s">
        <v>24</v>
      </c>
      <c r="AF2750" s="22"/>
    </row>
    <row r="2751" spans="1:32" x14ac:dyDescent="0.2">
      <c r="A2751" s="1">
        <v>20717</v>
      </c>
      <c r="B2751" s="1" t="s">
        <v>8681</v>
      </c>
      <c r="C2751" s="5" t="s">
        <v>0</v>
      </c>
      <c r="D2751" s="1" t="s">
        <v>8682</v>
      </c>
      <c r="F2751" s="1" t="s">
        <v>6797</v>
      </c>
      <c r="G2751" s="1" t="s">
        <v>6797</v>
      </c>
      <c r="H2751" s="1" t="s">
        <v>249</v>
      </c>
      <c r="I2751" s="1" t="s">
        <v>16</v>
      </c>
      <c r="J2751" s="1">
        <v>1</v>
      </c>
      <c r="K2751" s="1">
        <v>4</v>
      </c>
      <c r="L2751" s="1" t="s">
        <v>42</v>
      </c>
      <c r="M2751" s="1" t="s">
        <v>18</v>
      </c>
      <c r="N2751" s="1" t="s">
        <v>18</v>
      </c>
      <c r="O2751" s="1">
        <v>3</v>
      </c>
      <c r="P2751" s="1">
        <v>6</v>
      </c>
      <c r="R2751" s="1" t="s">
        <v>19</v>
      </c>
      <c r="S2751" s="1" t="s">
        <v>20</v>
      </c>
      <c r="T2751" s="1" t="s">
        <v>21</v>
      </c>
      <c r="U2751" s="1" t="s">
        <v>22</v>
      </c>
      <c r="V2751" s="1" t="s">
        <v>24</v>
      </c>
      <c r="W2751" s="1" t="s">
        <v>24</v>
      </c>
      <c r="X2751" s="1">
        <v>2705</v>
      </c>
      <c r="Y2751" s="1" t="s">
        <v>24</v>
      </c>
      <c r="Z2751" s="1" t="s">
        <v>24</v>
      </c>
      <c r="AA2751" s="1" t="s">
        <v>24</v>
      </c>
      <c r="AB2751" s="1" t="s">
        <v>24</v>
      </c>
      <c r="AC2751" s="1" t="s">
        <v>24</v>
      </c>
      <c r="AD2751" s="1" t="s">
        <v>24</v>
      </c>
      <c r="AE2751" s="1" t="s">
        <v>24</v>
      </c>
      <c r="AF2751" s="22"/>
    </row>
    <row r="2752" spans="1:32" x14ac:dyDescent="0.2">
      <c r="A2752" s="1">
        <v>20721</v>
      </c>
      <c r="B2752" s="1" t="s">
        <v>8683</v>
      </c>
      <c r="C2752" s="5" t="s">
        <v>0</v>
      </c>
      <c r="D2752" s="1" t="s">
        <v>8684</v>
      </c>
      <c r="E2752" s="1" t="s">
        <v>8685</v>
      </c>
      <c r="F2752" s="1" t="s">
        <v>1260</v>
      </c>
      <c r="G2752" s="1" t="s">
        <v>130</v>
      </c>
      <c r="H2752" s="1" t="s">
        <v>111</v>
      </c>
      <c r="I2752" s="1" t="s">
        <v>16</v>
      </c>
      <c r="J2752" s="1">
        <v>1</v>
      </c>
      <c r="K2752" s="1">
        <v>6</v>
      </c>
      <c r="L2752" s="1" t="s">
        <v>31</v>
      </c>
      <c r="M2752" s="1" t="s">
        <v>18</v>
      </c>
      <c r="N2752" s="1" t="s">
        <v>18</v>
      </c>
      <c r="O2752" s="1">
        <v>3</v>
      </c>
      <c r="P2752" s="1">
        <v>7</v>
      </c>
      <c r="Q2752" s="7" t="s">
        <v>17633</v>
      </c>
      <c r="R2752" s="1" t="s">
        <v>19</v>
      </c>
      <c r="S2752" s="1" t="s">
        <v>20</v>
      </c>
      <c r="T2752" s="1" t="s">
        <v>21</v>
      </c>
      <c r="U2752" s="1" t="s">
        <v>22</v>
      </c>
      <c r="V2752" s="1" t="s">
        <v>24</v>
      </c>
      <c r="W2752" s="1" t="s">
        <v>24</v>
      </c>
      <c r="X2752" s="1">
        <v>2708</v>
      </c>
      <c r="Y2752" s="1" t="s">
        <v>24</v>
      </c>
      <c r="Z2752" s="1" t="s">
        <v>24</v>
      </c>
      <c r="AA2752" s="1" t="s">
        <v>24</v>
      </c>
      <c r="AB2752" s="1" t="s">
        <v>24</v>
      </c>
      <c r="AC2752" s="1" t="s">
        <v>24</v>
      </c>
      <c r="AD2752" s="1" t="s">
        <v>24</v>
      </c>
      <c r="AE2752" s="1" t="s">
        <v>24</v>
      </c>
      <c r="AF2752" s="22"/>
    </row>
    <row r="2753" spans="1:32" x14ac:dyDescent="0.2">
      <c r="A2753" s="1">
        <v>20722</v>
      </c>
      <c r="B2753" s="1" t="s">
        <v>8686</v>
      </c>
      <c r="C2753" s="5" t="s">
        <v>0</v>
      </c>
      <c r="D2753" s="1" t="s">
        <v>8687</v>
      </c>
      <c r="E2753" s="1" t="s">
        <v>8688</v>
      </c>
      <c r="F2753" s="1" t="s">
        <v>841</v>
      </c>
      <c r="G2753" s="1" t="s">
        <v>856</v>
      </c>
      <c r="H2753" s="1" t="s">
        <v>37</v>
      </c>
      <c r="I2753" s="1" t="s">
        <v>16</v>
      </c>
      <c r="J2753" s="1">
        <v>1</v>
      </c>
      <c r="K2753" s="1">
        <v>6</v>
      </c>
      <c r="L2753" s="1" t="s">
        <v>42</v>
      </c>
      <c r="M2753" s="1" t="s">
        <v>18</v>
      </c>
      <c r="N2753" s="1" t="s">
        <v>18</v>
      </c>
      <c r="O2753" s="1">
        <v>3</v>
      </c>
      <c r="P2753" s="1">
        <v>5</v>
      </c>
      <c r="R2753" s="1" t="s">
        <v>19</v>
      </c>
      <c r="S2753" s="1" t="s">
        <v>20</v>
      </c>
      <c r="T2753" s="1" t="s">
        <v>21</v>
      </c>
      <c r="U2753" s="1" t="s">
        <v>22</v>
      </c>
      <c r="V2753" s="1" t="s">
        <v>24</v>
      </c>
      <c r="W2753" s="1" t="s">
        <v>24</v>
      </c>
      <c r="X2753" s="1">
        <v>2738</v>
      </c>
      <c r="Y2753" s="1" t="s">
        <v>24</v>
      </c>
      <c r="Z2753" s="1" t="s">
        <v>24</v>
      </c>
      <c r="AA2753" s="1" t="s">
        <v>24</v>
      </c>
      <c r="AB2753" s="1" t="s">
        <v>24</v>
      </c>
      <c r="AC2753" s="1" t="s">
        <v>24</v>
      </c>
      <c r="AD2753" s="1" t="s">
        <v>24</v>
      </c>
      <c r="AE2753" s="1" t="s">
        <v>24</v>
      </c>
      <c r="AF2753" s="22"/>
    </row>
    <row r="2754" spans="1:32" x14ac:dyDescent="0.2">
      <c r="A2754" s="1">
        <v>20809</v>
      </c>
      <c r="B2754" s="1" t="s">
        <v>8689</v>
      </c>
      <c r="C2754" s="5" t="s">
        <v>0</v>
      </c>
      <c r="D2754" s="1" t="s">
        <v>8690</v>
      </c>
      <c r="E2754" s="1" t="s">
        <v>8691</v>
      </c>
      <c r="F2754" s="1" t="s">
        <v>296</v>
      </c>
      <c r="G2754" s="1" t="s">
        <v>36</v>
      </c>
      <c r="H2754" s="1" t="s">
        <v>37</v>
      </c>
      <c r="I2754" s="1" t="s">
        <v>16</v>
      </c>
      <c r="J2754" s="1">
        <v>1</v>
      </c>
      <c r="K2754" s="1">
        <v>12</v>
      </c>
      <c r="L2754" s="1" t="s">
        <v>31</v>
      </c>
      <c r="M2754" s="1" t="s">
        <v>18</v>
      </c>
      <c r="N2754" s="1" t="s">
        <v>18</v>
      </c>
      <c r="O2754" s="1">
        <v>3</v>
      </c>
      <c r="P2754" s="1">
        <v>7</v>
      </c>
      <c r="Q2754" s="7" t="s">
        <v>17633</v>
      </c>
      <c r="R2754" s="1" t="s">
        <v>62</v>
      </c>
      <c r="S2754" s="1" t="s">
        <v>20</v>
      </c>
      <c r="T2754" s="1" t="s">
        <v>21</v>
      </c>
      <c r="U2754" s="1" t="s">
        <v>22</v>
      </c>
      <c r="V2754" s="1" t="s">
        <v>24</v>
      </c>
      <c r="W2754" s="1" t="s">
        <v>24</v>
      </c>
      <c r="X2754" s="1">
        <v>1311</v>
      </c>
      <c r="Y2754" s="1">
        <v>1312</v>
      </c>
      <c r="Z2754" s="1">
        <v>1303</v>
      </c>
      <c r="AA2754" s="1" t="s">
        <v>24</v>
      </c>
      <c r="AB2754" s="1" t="s">
        <v>24</v>
      </c>
      <c r="AC2754" s="1" t="s">
        <v>24</v>
      </c>
      <c r="AD2754" s="1" t="s">
        <v>24</v>
      </c>
      <c r="AE2754" s="1" t="s">
        <v>24</v>
      </c>
      <c r="AF2754" s="22"/>
    </row>
    <row r="2755" spans="1:32" x14ac:dyDescent="0.2">
      <c r="A2755" s="1">
        <v>20810</v>
      </c>
      <c r="B2755" s="1" t="s">
        <v>8692</v>
      </c>
      <c r="C2755" s="5" t="s">
        <v>0</v>
      </c>
      <c r="D2755" s="1" t="s">
        <v>8693</v>
      </c>
      <c r="E2755" s="1" t="s">
        <v>8694</v>
      </c>
      <c r="F2755" s="1" t="s">
        <v>55</v>
      </c>
      <c r="G2755" s="1" t="s">
        <v>56</v>
      </c>
      <c r="H2755" s="1" t="s">
        <v>37</v>
      </c>
      <c r="I2755" s="1" t="s">
        <v>16</v>
      </c>
      <c r="J2755" s="1">
        <v>1</v>
      </c>
      <c r="K2755" s="1">
        <v>6</v>
      </c>
      <c r="L2755" s="1" t="s">
        <v>31</v>
      </c>
      <c r="M2755" s="1" t="s">
        <v>18</v>
      </c>
      <c r="N2755" s="1" t="s">
        <v>18</v>
      </c>
      <c r="O2755" s="1">
        <v>3</v>
      </c>
      <c r="P2755" s="1">
        <v>7</v>
      </c>
      <c r="Q2755" s="7" t="s">
        <v>17633</v>
      </c>
      <c r="R2755" s="1" t="s">
        <v>19</v>
      </c>
      <c r="S2755" s="1" t="s">
        <v>20</v>
      </c>
      <c r="T2755" s="1" t="s">
        <v>21</v>
      </c>
      <c r="U2755" s="1" t="s">
        <v>22</v>
      </c>
      <c r="V2755" s="1" t="s">
        <v>23</v>
      </c>
      <c r="W2755" s="1" t="s">
        <v>24</v>
      </c>
      <c r="X2755" s="1">
        <v>2705</v>
      </c>
      <c r="Y2755" s="1">
        <v>2737</v>
      </c>
      <c r="Z2755" s="1" t="s">
        <v>24</v>
      </c>
      <c r="AA2755" s="1" t="s">
        <v>24</v>
      </c>
      <c r="AB2755" s="1" t="s">
        <v>24</v>
      </c>
      <c r="AC2755" s="1" t="s">
        <v>24</v>
      </c>
      <c r="AD2755" s="1" t="s">
        <v>24</v>
      </c>
      <c r="AE2755" s="1" t="s">
        <v>24</v>
      </c>
      <c r="AF2755" s="22"/>
    </row>
    <row r="2756" spans="1:32" x14ac:dyDescent="0.2">
      <c r="A2756" s="1">
        <v>20811</v>
      </c>
      <c r="B2756" s="1" t="s">
        <v>8695</v>
      </c>
      <c r="C2756" s="5" t="s">
        <v>0</v>
      </c>
      <c r="D2756" s="1" t="s">
        <v>8696</v>
      </c>
      <c r="E2756" s="1" t="s">
        <v>8697</v>
      </c>
      <c r="F2756" s="1" t="s">
        <v>6405</v>
      </c>
      <c r="G2756" s="1" t="s">
        <v>6406</v>
      </c>
      <c r="H2756" s="1" t="s">
        <v>92</v>
      </c>
      <c r="I2756" s="1" t="s">
        <v>16</v>
      </c>
      <c r="J2756" s="1">
        <v>1</v>
      </c>
      <c r="K2756" s="1">
        <v>8</v>
      </c>
      <c r="L2756" s="1" t="s">
        <v>31</v>
      </c>
      <c r="M2756" s="1" t="s">
        <v>18</v>
      </c>
      <c r="N2756" s="1" t="s">
        <v>18</v>
      </c>
      <c r="O2756" s="1">
        <v>3</v>
      </c>
      <c r="P2756" s="1">
        <v>6</v>
      </c>
      <c r="R2756" s="1" t="s">
        <v>19</v>
      </c>
      <c r="S2756" s="1" t="s">
        <v>20</v>
      </c>
      <c r="T2756" s="1" t="s">
        <v>21</v>
      </c>
      <c r="U2756" s="1" t="s">
        <v>22</v>
      </c>
      <c r="V2756" s="1" t="s">
        <v>24</v>
      </c>
      <c r="W2756" s="1" t="s">
        <v>24</v>
      </c>
      <c r="X2756" s="1">
        <v>3003</v>
      </c>
      <c r="Y2756" s="1">
        <v>1305</v>
      </c>
      <c r="Z2756" s="1" t="s">
        <v>24</v>
      </c>
      <c r="AA2756" s="1" t="s">
        <v>24</v>
      </c>
      <c r="AB2756" s="1" t="s">
        <v>24</v>
      </c>
      <c r="AC2756" s="1" t="s">
        <v>24</v>
      </c>
      <c r="AD2756" s="1" t="s">
        <v>24</v>
      </c>
      <c r="AE2756" s="1" t="s">
        <v>24</v>
      </c>
      <c r="AF2756" s="22"/>
    </row>
    <row r="2757" spans="1:32" x14ac:dyDescent="0.2">
      <c r="A2757" s="1">
        <v>20812</v>
      </c>
      <c r="B2757" s="1" t="s">
        <v>8698</v>
      </c>
      <c r="C2757" s="5" t="s">
        <v>0</v>
      </c>
      <c r="D2757" s="1" t="s">
        <v>8699</v>
      </c>
      <c r="E2757" s="1" t="s">
        <v>8700</v>
      </c>
      <c r="F2757" s="1" t="s">
        <v>6405</v>
      </c>
      <c r="G2757" s="1" t="s">
        <v>6406</v>
      </c>
      <c r="H2757" s="1" t="s">
        <v>92</v>
      </c>
      <c r="I2757" s="1" t="s">
        <v>16</v>
      </c>
      <c r="J2757" s="1">
        <v>1</v>
      </c>
      <c r="K2757" s="1">
        <v>10</v>
      </c>
      <c r="L2757" s="1" t="s">
        <v>31</v>
      </c>
      <c r="M2757" s="1" t="s">
        <v>18</v>
      </c>
      <c r="N2757" s="1" t="s">
        <v>18</v>
      </c>
      <c r="O2757" s="1">
        <v>3</v>
      </c>
      <c r="P2757" s="1">
        <v>6</v>
      </c>
      <c r="R2757" s="1" t="s">
        <v>62</v>
      </c>
      <c r="S2757" s="1" t="s">
        <v>20</v>
      </c>
      <c r="T2757" s="1" t="s">
        <v>21</v>
      </c>
      <c r="U2757" s="1" t="s">
        <v>22</v>
      </c>
      <c r="V2757" s="1" t="s">
        <v>24</v>
      </c>
      <c r="W2757" s="1" t="s">
        <v>24</v>
      </c>
      <c r="X2757" s="1">
        <v>3004</v>
      </c>
      <c r="Y2757" s="1">
        <v>1308</v>
      </c>
      <c r="Z2757" s="1" t="s">
        <v>24</v>
      </c>
      <c r="AA2757" s="1" t="s">
        <v>24</v>
      </c>
      <c r="AB2757" s="1" t="s">
        <v>24</v>
      </c>
      <c r="AC2757" s="1" t="s">
        <v>24</v>
      </c>
      <c r="AD2757" s="1" t="s">
        <v>24</v>
      </c>
      <c r="AE2757" s="1" t="s">
        <v>24</v>
      </c>
      <c r="AF2757" s="22"/>
    </row>
    <row r="2758" spans="1:32" x14ac:dyDescent="0.2">
      <c r="A2758" s="1">
        <v>20813</v>
      </c>
      <c r="B2758" s="1" t="s">
        <v>8701</v>
      </c>
      <c r="C2758" s="5" t="s">
        <v>0</v>
      </c>
      <c r="D2758" s="1" t="s">
        <v>8702</v>
      </c>
      <c r="E2758" s="1" t="s">
        <v>8703</v>
      </c>
      <c r="F2758" s="1" t="s">
        <v>6405</v>
      </c>
      <c r="G2758" s="1" t="s">
        <v>6406</v>
      </c>
      <c r="H2758" s="1" t="s">
        <v>92</v>
      </c>
      <c r="I2758" s="1" t="s">
        <v>16</v>
      </c>
      <c r="J2758" s="1">
        <v>1</v>
      </c>
      <c r="K2758" s="1">
        <v>12</v>
      </c>
      <c r="L2758" s="1" t="s">
        <v>31</v>
      </c>
      <c r="M2758" s="1" t="s">
        <v>18</v>
      </c>
      <c r="N2758" s="1" t="s">
        <v>18</v>
      </c>
      <c r="O2758" s="1">
        <v>3</v>
      </c>
      <c r="P2758" s="1">
        <v>6</v>
      </c>
      <c r="R2758" s="1" t="s">
        <v>62</v>
      </c>
      <c r="S2758" s="1" t="s">
        <v>20</v>
      </c>
      <c r="T2758" s="1" t="s">
        <v>21</v>
      </c>
      <c r="U2758" s="1" t="s">
        <v>22</v>
      </c>
      <c r="V2758" s="1" t="s">
        <v>24</v>
      </c>
      <c r="W2758" s="1" t="s">
        <v>24</v>
      </c>
      <c r="X2758" s="1">
        <v>3002</v>
      </c>
      <c r="Y2758" s="1">
        <v>3004</v>
      </c>
      <c r="Z2758" s="1">
        <v>1308</v>
      </c>
      <c r="AA2758" s="1">
        <v>1313</v>
      </c>
      <c r="AB2758" s="1" t="s">
        <v>24</v>
      </c>
      <c r="AC2758" s="1" t="s">
        <v>24</v>
      </c>
      <c r="AD2758" s="1" t="s">
        <v>24</v>
      </c>
      <c r="AE2758" s="1" t="s">
        <v>24</v>
      </c>
      <c r="AF2758" s="22"/>
    </row>
    <row r="2759" spans="1:32" x14ac:dyDescent="0.2">
      <c r="A2759" s="1">
        <v>20814</v>
      </c>
      <c r="B2759" s="1" t="s">
        <v>8704</v>
      </c>
      <c r="C2759" s="5" t="s">
        <v>0</v>
      </c>
      <c r="D2759" s="1" t="s">
        <v>8705</v>
      </c>
      <c r="E2759" s="1" t="s">
        <v>8706</v>
      </c>
      <c r="F2759" s="1" t="s">
        <v>6405</v>
      </c>
      <c r="G2759" s="1" t="s">
        <v>6406</v>
      </c>
      <c r="H2759" s="1" t="s">
        <v>92</v>
      </c>
      <c r="I2759" s="1" t="s">
        <v>16</v>
      </c>
      <c r="J2759" s="1">
        <v>1</v>
      </c>
      <c r="K2759" s="1">
        <v>8</v>
      </c>
      <c r="L2759" s="1" t="s">
        <v>31</v>
      </c>
      <c r="M2759" s="1" t="s">
        <v>18</v>
      </c>
      <c r="N2759" s="1" t="s">
        <v>18</v>
      </c>
      <c r="O2759" s="1">
        <v>3</v>
      </c>
      <c r="P2759" s="1">
        <v>6</v>
      </c>
      <c r="R2759" s="1" t="s">
        <v>19</v>
      </c>
      <c r="S2759" s="1" t="s">
        <v>20</v>
      </c>
      <c r="T2759" s="1" t="s">
        <v>21</v>
      </c>
      <c r="U2759" s="1" t="s">
        <v>22</v>
      </c>
      <c r="V2759" s="1" t="s">
        <v>24</v>
      </c>
      <c r="W2759" s="1" t="s">
        <v>24</v>
      </c>
      <c r="X2759" s="1">
        <v>1311</v>
      </c>
      <c r="Y2759" s="1">
        <v>2716</v>
      </c>
      <c r="Z2759" s="1" t="s">
        <v>24</v>
      </c>
      <c r="AA2759" s="1" t="s">
        <v>24</v>
      </c>
      <c r="AB2759" s="1" t="s">
        <v>24</v>
      </c>
      <c r="AC2759" s="1" t="s">
        <v>24</v>
      </c>
      <c r="AD2759" s="1" t="s">
        <v>24</v>
      </c>
      <c r="AE2759" s="1" t="s">
        <v>24</v>
      </c>
      <c r="AF2759" s="22"/>
    </row>
    <row r="2760" spans="1:32" x14ac:dyDescent="0.2">
      <c r="A2760" s="1">
        <v>20815</v>
      </c>
      <c r="B2760" s="1" t="s">
        <v>8707</v>
      </c>
      <c r="C2760" s="5" t="s">
        <v>0</v>
      </c>
      <c r="D2760" s="1" t="s">
        <v>8708</v>
      </c>
      <c r="E2760" s="1" t="s">
        <v>8709</v>
      </c>
      <c r="F2760" s="1" t="s">
        <v>6405</v>
      </c>
      <c r="G2760" s="1" t="s">
        <v>6406</v>
      </c>
      <c r="H2760" s="1" t="s">
        <v>92</v>
      </c>
      <c r="I2760" s="1" t="s">
        <v>16</v>
      </c>
      <c r="J2760" s="1">
        <v>1</v>
      </c>
      <c r="K2760" s="1">
        <v>8</v>
      </c>
      <c r="L2760" s="1" t="s">
        <v>31</v>
      </c>
      <c r="M2760" s="1" t="s">
        <v>18</v>
      </c>
      <c r="N2760" s="1" t="s">
        <v>18</v>
      </c>
      <c r="O2760" s="1">
        <v>3</v>
      </c>
      <c r="P2760" s="1">
        <v>6</v>
      </c>
      <c r="R2760" s="1" t="s">
        <v>62</v>
      </c>
      <c r="S2760" s="1" t="s">
        <v>20</v>
      </c>
      <c r="T2760" s="1" t="s">
        <v>21</v>
      </c>
      <c r="U2760" s="1" t="s">
        <v>22</v>
      </c>
      <c r="V2760" s="1" t="s">
        <v>24</v>
      </c>
      <c r="W2760" s="1" t="s">
        <v>24</v>
      </c>
      <c r="X2760" s="1">
        <v>1303</v>
      </c>
      <c r="Y2760" s="1">
        <v>1307</v>
      </c>
      <c r="Z2760" s="1">
        <v>1312</v>
      </c>
      <c r="AA2760" s="1" t="s">
        <v>24</v>
      </c>
      <c r="AB2760" s="1" t="s">
        <v>24</v>
      </c>
      <c r="AC2760" s="1" t="s">
        <v>24</v>
      </c>
      <c r="AD2760" s="1" t="s">
        <v>24</v>
      </c>
      <c r="AE2760" s="1" t="s">
        <v>24</v>
      </c>
      <c r="AF2760" s="22"/>
    </row>
    <row r="2761" spans="1:32" x14ac:dyDescent="0.2">
      <c r="A2761" s="1">
        <v>20836</v>
      </c>
      <c r="B2761" s="1" t="s">
        <v>8710</v>
      </c>
      <c r="C2761" s="5" t="s">
        <v>0</v>
      </c>
      <c r="D2761" s="1" t="s">
        <v>8711</v>
      </c>
      <c r="E2761" s="1" t="s">
        <v>8712</v>
      </c>
      <c r="F2761" s="1" t="s">
        <v>3724</v>
      </c>
      <c r="G2761" s="1" t="s">
        <v>2146</v>
      </c>
      <c r="H2761" s="1" t="s">
        <v>2147</v>
      </c>
      <c r="I2761" s="1" t="s">
        <v>16</v>
      </c>
      <c r="J2761" s="1">
        <v>0</v>
      </c>
      <c r="K2761" s="1">
        <v>0</v>
      </c>
      <c r="L2761" s="1" t="s">
        <v>42</v>
      </c>
      <c r="M2761" s="1" t="s">
        <v>18</v>
      </c>
      <c r="N2761" s="1" t="s">
        <v>18</v>
      </c>
      <c r="O2761" s="1">
        <v>3</v>
      </c>
      <c r="P2761" s="1">
        <v>5</v>
      </c>
      <c r="R2761" s="1" t="s">
        <v>19</v>
      </c>
      <c r="S2761" s="1" t="s">
        <v>20</v>
      </c>
      <c r="T2761" s="1" t="s">
        <v>21</v>
      </c>
      <c r="U2761" s="1" t="s">
        <v>22</v>
      </c>
      <c r="V2761" s="1" t="s">
        <v>24</v>
      </c>
      <c r="W2761" s="1" t="s">
        <v>24</v>
      </c>
      <c r="X2761" s="1">
        <v>2725</v>
      </c>
      <c r="Y2761" s="1" t="s">
        <v>24</v>
      </c>
      <c r="Z2761" s="1" t="s">
        <v>24</v>
      </c>
      <c r="AA2761" s="1" t="s">
        <v>24</v>
      </c>
      <c r="AB2761" s="1" t="s">
        <v>24</v>
      </c>
      <c r="AC2761" s="1" t="s">
        <v>24</v>
      </c>
      <c r="AD2761" s="1" t="s">
        <v>24</v>
      </c>
      <c r="AE2761" s="1" t="s">
        <v>24</v>
      </c>
      <c r="AF2761" s="22"/>
    </row>
    <row r="2762" spans="1:32" x14ac:dyDescent="0.2">
      <c r="A2762" s="1">
        <v>20853</v>
      </c>
      <c r="B2762" s="1" t="s">
        <v>8713</v>
      </c>
      <c r="C2762" s="5" t="s">
        <v>0</v>
      </c>
      <c r="D2762" s="1" t="s">
        <v>8714</v>
      </c>
      <c r="E2762" s="1" t="s">
        <v>8715</v>
      </c>
      <c r="F2762" s="1" t="s">
        <v>50</v>
      </c>
      <c r="G2762" s="1" t="s">
        <v>36</v>
      </c>
      <c r="H2762" s="1" t="s">
        <v>51</v>
      </c>
      <c r="I2762" s="1" t="s">
        <v>16</v>
      </c>
      <c r="J2762" s="1">
        <v>1</v>
      </c>
      <c r="K2762" s="1">
        <v>8</v>
      </c>
      <c r="L2762" s="1" t="s">
        <v>31</v>
      </c>
      <c r="M2762" s="1" t="s">
        <v>18</v>
      </c>
      <c r="N2762" s="1" t="s">
        <v>18</v>
      </c>
      <c r="O2762" s="1">
        <v>3</v>
      </c>
      <c r="P2762" s="1">
        <v>7</v>
      </c>
      <c r="Q2762" s="7" t="s">
        <v>17633</v>
      </c>
      <c r="R2762" s="1" t="s">
        <v>19</v>
      </c>
      <c r="S2762" s="1" t="s">
        <v>20</v>
      </c>
      <c r="T2762" s="1" t="s">
        <v>21</v>
      </c>
      <c r="U2762" s="1" t="s">
        <v>22</v>
      </c>
      <c r="V2762" s="1" t="s">
        <v>24</v>
      </c>
      <c r="W2762" s="1" t="s">
        <v>24</v>
      </c>
      <c r="X2762" s="1">
        <v>2724</v>
      </c>
      <c r="Y2762" s="1">
        <v>2735</v>
      </c>
      <c r="Z2762" s="1">
        <v>2712</v>
      </c>
      <c r="AA2762" s="1" t="s">
        <v>24</v>
      </c>
      <c r="AB2762" s="1" t="s">
        <v>24</v>
      </c>
      <c r="AC2762" s="1" t="s">
        <v>24</v>
      </c>
      <c r="AD2762" s="1" t="s">
        <v>24</v>
      </c>
      <c r="AE2762" s="1" t="s">
        <v>24</v>
      </c>
      <c r="AF2762" s="22"/>
    </row>
    <row r="2763" spans="1:32" x14ac:dyDescent="0.2">
      <c r="A2763" s="1">
        <v>20854</v>
      </c>
      <c r="B2763" s="1" t="s">
        <v>8716</v>
      </c>
      <c r="C2763" s="5" t="s">
        <v>0</v>
      </c>
      <c r="D2763" s="1" t="s">
        <v>8717</v>
      </c>
      <c r="F2763" s="1" t="s">
        <v>955</v>
      </c>
      <c r="G2763" s="1" t="s">
        <v>955</v>
      </c>
      <c r="H2763" s="1" t="s">
        <v>899</v>
      </c>
      <c r="I2763" s="1" t="s">
        <v>16</v>
      </c>
      <c r="J2763" s="1">
        <v>1</v>
      </c>
      <c r="K2763" s="1">
        <v>1</v>
      </c>
      <c r="L2763" s="1" t="s">
        <v>17</v>
      </c>
      <c r="M2763" s="1" t="s">
        <v>18</v>
      </c>
      <c r="N2763" s="1" t="s">
        <v>18</v>
      </c>
      <c r="O2763" s="1">
        <v>3</v>
      </c>
      <c r="P2763" s="1">
        <v>5</v>
      </c>
      <c r="R2763" s="1" t="s">
        <v>19</v>
      </c>
      <c r="S2763" s="1" t="s">
        <v>20</v>
      </c>
      <c r="T2763" s="1" t="s">
        <v>21</v>
      </c>
      <c r="U2763" s="1" t="s">
        <v>22</v>
      </c>
      <c r="V2763" s="1" t="s">
        <v>24</v>
      </c>
      <c r="W2763" s="1" t="s">
        <v>24</v>
      </c>
      <c r="X2763" s="1">
        <v>2725</v>
      </c>
      <c r="Y2763" s="1">
        <v>2406</v>
      </c>
      <c r="Z2763" s="1" t="s">
        <v>24</v>
      </c>
      <c r="AA2763" s="1" t="s">
        <v>24</v>
      </c>
      <c r="AB2763" s="1" t="s">
        <v>24</v>
      </c>
      <c r="AC2763" s="1" t="s">
        <v>24</v>
      </c>
      <c r="AD2763" s="1" t="s">
        <v>24</v>
      </c>
      <c r="AE2763" s="1" t="s">
        <v>24</v>
      </c>
      <c r="AF2763" s="22"/>
    </row>
    <row r="2764" spans="1:32" x14ac:dyDescent="0.2">
      <c r="A2764" s="1">
        <v>20856</v>
      </c>
      <c r="B2764" s="1" t="s">
        <v>8718</v>
      </c>
      <c r="C2764" s="5" t="s">
        <v>0</v>
      </c>
      <c r="D2764" s="1" t="s">
        <v>8719</v>
      </c>
      <c r="F2764" s="1" t="s">
        <v>8720</v>
      </c>
      <c r="G2764" s="1" t="s">
        <v>8720</v>
      </c>
      <c r="H2764" s="1" t="s">
        <v>135</v>
      </c>
      <c r="I2764" s="1" t="s">
        <v>16</v>
      </c>
      <c r="J2764" s="1">
        <v>1</v>
      </c>
      <c r="K2764" s="1">
        <v>6</v>
      </c>
      <c r="L2764" s="1" t="s">
        <v>17</v>
      </c>
      <c r="M2764" s="1" t="s">
        <v>1131</v>
      </c>
      <c r="N2764" s="1" t="s">
        <v>5887</v>
      </c>
      <c r="O2764" s="1">
        <v>3</v>
      </c>
      <c r="P2764" s="1">
        <v>5</v>
      </c>
      <c r="R2764" s="1" t="s">
        <v>19</v>
      </c>
      <c r="S2764" s="1" t="s">
        <v>20</v>
      </c>
      <c r="T2764" s="1" t="s">
        <v>21</v>
      </c>
      <c r="U2764" s="1" t="s">
        <v>22</v>
      </c>
      <c r="V2764" s="1" t="s">
        <v>24</v>
      </c>
      <c r="W2764" s="1" t="s">
        <v>24</v>
      </c>
      <c r="X2764" s="1">
        <v>2726</v>
      </c>
      <c r="Y2764" s="1">
        <v>2725</v>
      </c>
      <c r="Z2764" s="1" t="s">
        <v>24</v>
      </c>
      <c r="AA2764" s="1" t="s">
        <v>24</v>
      </c>
      <c r="AB2764" s="1" t="s">
        <v>24</v>
      </c>
      <c r="AC2764" s="1" t="s">
        <v>24</v>
      </c>
      <c r="AD2764" s="1" t="s">
        <v>24</v>
      </c>
      <c r="AE2764" s="1" t="s">
        <v>24</v>
      </c>
      <c r="AF2764" s="22"/>
    </row>
    <row r="2765" spans="1:32" x14ac:dyDescent="0.2">
      <c r="A2765" s="1">
        <v>20857</v>
      </c>
      <c r="B2765" s="1" t="s">
        <v>8721</v>
      </c>
      <c r="C2765" s="5" t="s">
        <v>0</v>
      </c>
      <c r="D2765" s="1" t="s">
        <v>8722</v>
      </c>
      <c r="F2765" s="1" t="s">
        <v>8723</v>
      </c>
      <c r="G2765" s="1" t="s">
        <v>8723</v>
      </c>
      <c r="H2765" s="1" t="s">
        <v>168</v>
      </c>
      <c r="I2765" s="1" t="s">
        <v>16</v>
      </c>
      <c r="J2765" s="1">
        <v>1</v>
      </c>
      <c r="K2765" s="1">
        <v>6</v>
      </c>
      <c r="L2765" s="1" t="s">
        <v>42</v>
      </c>
      <c r="M2765" s="1" t="s">
        <v>413</v>
      </c>
      <c r="N2765" s="1" t="s">
        <v>679</v>
      </c>
      <c r="O2765" s="1">
        <v>3</v>
      </c>
      <c r="P2765" s="1">
        <v>5</v>
      </c>
      <c r="R2765" s="1" t="s">
        <v>19</v>
      </c>
      <c r="S2765" s="1" t="s">
        <v>20</v>
      </c>
      <c r="T2765" s="1" t="s">
        <v>21</v>
      </c>
      <c r="U2765" s="1" t="s">
        <v>22</v>
      </c>
      <c r="V2765" s="1" t="s">
        <v>23</v>
      </c>
      <c r="W2765" s="1" t="s">
        <v>24</v>
      </c>
      <c r="X2765" s="1">
        <v>2701</v>
      </c>
      <c r="Y2765" s="1">
        <v>2738</v>
      </c>
      <c r="Z2765" s="1" t="s">
        <v>24</v>
      </c>
      <c r="AA2765" s="1" t="s">
        <v>24</v>
      </c>
      <c r="AB2765" s="1" t="s">
        <v>24</v>
      </c>
      <c r="AC2765" s="1" t="s">
        <v>24</v>
      </c>
      <c r="AD2765" s="1" t="s">
        <v>24</v>
      </c>
      <c r="AE2765" s="1" t="s">
        <v>24</v>
      </c>
      <c r="AF2765" s="22"/>
    </row>
    <row r="2766" spans="1:32" x14ac:dyDescent="0.2">
      <c r="A2766" s="1">
        <v>20861</v>
      </c>
      <c r="B2766" s="1" t="s">
        <v>8724</v>
      </c>
      <c r="C2766" s="5" t="s">
        <v>0</v>
      </c>
      <c r="D2766" s="1" t="s">
        <v>8725</v>
      </c>
      <c r="F2766" s="1" t="s">
        <v>175</v>
      </c>
      <c r="G2766" s="1" t="s">
        <v>61</v>
      </c>
      <c r="H2766" s="1" t="s">
        <v>466</v>
      </c>
      <c r="I2766" s="1" t="s">
        <v>16</v>
      </c>
      <c r="J2766" s="1">
        <v>1</v>
      </c>
      <c r="K2766" s="1">
        <v>6</v>
      </c>
      <c r="L2766" s="1" t="s">
        <v>31</v>
      </c>
      <c r="M2766" s="1" t="s">
        <v>70</v>
      </c>
      <c r="N2766" s="1" t="s">
        <v>3659</v>
      </c>
      <c r="O2766" s="1">
        <v>2</v>
      </c>
      <c r="P2766" s="1">
        <v>5</v>
      </c>
      <c r="R2766" s="1" t="s">
        <v>19</v>
      </c>
      <c r="S2766" s="1" t="s">
        <v>20</v>
      </c>
      <c r="T2766" s="1" t="s">
        <v>21</v>
      </c>
      <c r="U2766" s="1" t="s">
        <v>22</v>
      </c>
      <c r="V2766" s="1" t="s">
        <v>24</v>
      </c>
      <c r="W2766" s="1" t="s">
        <v>24</v>
      </c>
      <c r="X2766" s="1">
        <v>2740</v>
      </c>
      <c r="Y2766" s="1" t="s">
        <v>24</v>
      </c>
      <c r="Z2766" s="1" t="s">
        <v>24</v>
      </c>
      <c r="AA2766" s="1" t="s">
        <v>24</v>
      </c>
      <c r="AB2766" s="1" t="s">
        <v>24</v>
      </c>
      <c r="AC2766" s="1" t="s">
        <v>24</v>
      </c>
      <c r="AD2766" s="1" t="s">
        <v>24</v>
      </c>
      <c r="AE2766" s="1" t="s">
        <v>24</v>
      </c>
      <c r="AF2766" s="22"/>
    </row>
    <row r="2767" spans="1:32" x14ac:dyDescent="0.2">
      <c r="A2767" s="1">
        <v>20862</v>
      </c>
      <c r="B2767" s="1" t="s">
        <v>8726</v>
      </c>
      <c r="C2767" s="5" t="s">
        <v>0</v>
      </c>
      <c r="D2767" s="1" t="s">
        <v>8727</v>
      </c>
      <c r="F2767" s="1" t="s">
        <v>8728</v>
      </c>
      <c r="G2767" s="1" t="s">
        <v>1066</v>
      </c>
      <c r="H2767" s="1" t="s">
        <v>1007</v>
      </c>
      <c r="I2767" s="1" t="s">
        <v>16</v>
      </c>
      <c r="J2767" s="1">
        <v>1</v>
      </c>
      <c r="K2767" s="1">
        <v>12</v>
      </c>
      <c r="L2767" s="1" t="s">
        <v>17</v>
      </c>
      <c r="M2767" s="1" t="s">
        <v>1008</v>
      </c>
      <c r="N2767" s="1" t="s">
        <v>4418</v>
      </c>
      <c r="O2767" s="1">
        <v>3</v>
      </c>
      <c r="P2767" s="1">
        <v>5</v>
      </c>
      <c r="R2767" s="1" t="s">
        <v>19</v>
      </c>
      <c r="S2767" s="1" t="s">
        <v>20</v>
      </c>
      <c r="T2767" s="1" t="s">
        <v>21</v>
      </c>
      <c r="U2767" s="1" t="s">
        <v>22</v>
      </c>
      <c r="V2767" s="1" t="s">
        <v>24</v>
      </c>
      <c r="W2767" s="1" t="s">
        <v>24</v>
      </c>
      <c r="X2767" s="1">
        <v>2715</v>
      </c>
      <c r="Y2767" s="1" t="s">
        <v>24</v>
      </c>
      <c r="Z2767" s="1" t="s">
        <v>24</v>
      </c>
      <c r="AA2767" s="1" t="s">
        <v>24</v>
      </c>
      <c r="AB2767" s="1" t="s">
        <v>24</v>
      </c>
      <c r="AC2767" s="1" t="s">
        <v>24</v>
      </c>
      <c r="AD2767" s="1" t="s">
        <v>24</v>
      </c>
      <c r="AE2767" s="1" t="s">
        <v>24</v>
      </c>
      <c r="AF2767" s="22"/>
    </row>
    <row r="2768" spans="1:32" x14ac:dyDescent="0.2">
      <c r="A2768" s="1">
        <v>20864</v>
      </c>
      <c r="B2768" s="1" t="s">
        <v>8729</v>
      </c>
      <c r="C2768" s="5" t="s">
        <v>0</v>
      </c>
      <c r="D2768" s="1" t="s">
        <v>8730</v>
      </c>
      <c r="F2768" s="1" t="s">
        <v>97</v>
      </c>
      <c r="G2768" s="1" t="s">
        <v>98</v>
      </c>
      <c r="H2768" s="1" t="s">
        <v>37</v>
      </c>
      <c r="I2768" s="1" t="s">
        <v>16</v>
      </c>
      <c r="J2768" s="1">
        <v>1</v>
      </c>
      <c r="K2768" s="1">
        <v>4</v>
      </c>
      <c r="L2768" s="1" t="s">
        <v>31</v>
      </c>
      <c r="M2768" s="1" t="s">
        <v>18</v>
      </c>
      <c r="N2768" s="1" t="s">
        <v>18</v>
      </c>
      <c r="O2768" s="1">
        <v>3</v>
      </c>
      <c r="P2768" s="1">
        <v>6</v>
      </c>
      <c r="R2768" s="1" t="s">
        <v>19</v>
      </c>
      <c r="S2768" s="1" t="s">
        <v>20</v>
      </c>
      <c r="T2768" s="1" t="s">
        <v>21</v>
      </c>
      <c r="U2768" s="1" t="s">
        <v>22</v>
      </c>
      <c r="V2768" s="1" t="s">
        <v>23</v>
      </c>
      <c r="W2768" s="1" t="s">
        <v>24</v>
      </c>
      <c r="X2768" s="1">
        <v>2746</v>
      </c>
      <c r="Y2768" s="1">
        <v>2706</v>
      </c>
      <c r="Z2768" s="1">
        <v>2711</v>
      </c>
      <c r="AA2768" s="1" t="s">
        <v>24</v>
      </c>
      <c r="AB2768" s="1" t="s">
        <v>24</v>
      </c>
      <c r="AC2768" s="1" t="s">
        <v>24</v>
      </c>
      <c r="AD2768" s="1" t="s">
        <v>24</v>
      </c>
      <c r="AE2768" s="1" t="s">
        <v>24</v>
      </c>
      <c r="AF2768" s="22" t="s">
        <v>17679</v>
      </c>
    </row>
    <row r="2769" spans="1:32" x14ac:dyDescent="0.2">
      <c r="A2769" s="1">
        <v>20865</v>
      </c>
      <c r="B2769" s="1" t="s">
        <v>8731</v>
      </c>
      <c r="C2769" s="5" t="s">
        <v>0</v>
      </c>
      <c r="D2769" s="1" t="s">
        <v>8732</v>
      </c>
      <c r="F2769" s="1" t="s">
        <v>8733</v>
      </c>
      <c r="G2769" s="1" t="s">
        <v>8733</v>
      </c>
      <c r="H2769" s="1" t="s">
        <v>30</v>
      </c>
      <c r="I2769" s="1" t="s">
        <v>16</v>
      </c>
      <c r="J2769" s="1">
        <v>1</v>
      </c>
      <c r="K2769" s="1">
        <v>4</v>
      </c>
      <c r="L2769" s="1" t="s">
        <v>42</v>
      </c>
      <c r="M2769" s="1" t="s">
        <v>18</v>
      </c>
      <c r="N2769" s="1" t="s">
        <v>18</v>
      </c>
      <c r="O2769" s="1">
        <v>3</v>
      </c>
      <c r="P2769" s="1">
        <v>6</v>
      </c>
      <c r="R2769" s="1" t="s">
        <v>19</v>
      </c>
      <c r="S2769" s="1" t="s">
        <v>20</v>
      </c>
      <c r="T2769" s="1" t="s">
        <v>21</v>
      </c>
      <c r="U2769" s="1" t="s">
        <v>22</v>
      </c>
      <c r="V2769" s="1" t="s">
        <v>23</v>
      </c>
      <c r="W2769" s="1" t="s">
        <v>24</v>
      </c>
      <c r="X2769" s="1">
        <v>2700</v>
      </c>
      <c r="Y2769" s="1" t="s">
        <v>24</v>
      </c>
      <c r="Z2769" s="1" t="s">
        <v>24</v>
      </c>
      <c r="AA2769" s="1" t="s">
        <v>24</v>
      </c>
      <c r="AB2769" s="1" t="s">
        <v>24</v>
      </c>
      <c r="AC2769" s="1" t="s">
        <v>24</v>
      </c>
      <c r="AD2769" s="1" t="s">
        <v>24</v>
      </c>
      <c r="AE2769" s="1" t="s">
        <v>24</v>
      </c>
      <c r="AF2769" s="22"/>
    </row>
    <row r="2770" spans="1:32" x14ac:dyDescent="0.2">
      <c r="A2770" s="1">
        <v>20866</v>
      </c>
      <c r="B2770" s="1" t="s">
        <v>8734</v>
      </c>
      <c r="C2770" s="5" t="s">
        <v>0</v>
      </c>
      <c r="D2770" s="1" t="s">
        <v>8735</v>
      </c>
      <c r="E2770" s="1" t="s">
        <v>8736</v>
      </c>
      <c r="F2770" s="1" t="s">
        <v>315</v>
      </c>
      <c r="G2770" s="1" t="s">
        <v>316</v>
      </c>
      <c r="H2770" s="1" t="s">
        <v>37</v>
      </c>
      <c r="I2770" s="1" t="s">
        <v>16</v>
      </c>
      <c r="J2770" s="1">
        <v>1</v>
      </c>
      <c r="K2770" s="1">
        <v>12</v>
      </c>
      <c r="L2770" s="1" t="s">
        <v>31</v>
      </c>
      <c r="M2770" s="1" t="s">
        <v>18</v>
      </c>
      <c r="N2770" s="1" t="s">
        <v>18</v>
      </c>
      <c r="O2770" s="1">
        <v>3</v>
      </c>
      <c r="P2770" s="1">
        <v>9</v>
      </c>
      <c r="Q2770" s="7" t="s">
        <v>17633</v>
      </c>
      <c r="R2770" s="1" t="s">
        <v>62</v>
      </c>
      <c r="S2770" s="1" t="s">
        <v>20</v>
      </c>
      <c r="T2770" s="1" t="s">
        <v>21</v>
      </c>
      <c r="U2770" s="1" t="s">
        <v>22</v>
      </c>
      <c r="V2770" s="1" t="s">
        <v>24</v>
      </c>
      <c r="W2770" s="1" t="s">
        <v>24</v>
      </c>
      <c r="X2770" s="1">
        <v>2403</v>
      </c>
      <c r="Y2770" s="1" t="s">
        <v>24</v>
      </c>
      <c r="Z2770" s="1" t="s">
        <v>24</v>
      </c>
      <c r="AA2770" s="1" t="s">
        <v>24</v>
      </c>
      <c r="AB2770" s="1" t="s">
        <v>24</v>
      </c>
      <c r="AC2770" s="1" t="s">
        <v>24</v>
      </c>
      <c r="AD2770" s="1" t="s">
        <v>24</v>
      </c>
      <c r="AE2770" s="1" t="s">
        <v>24</v>
      </c>
      <c r="AF2770" s="22"/>
    </row>
    <row r="2771" spans="1:32" x14ac:dyDescent="0.2">
      <c r="A2771" s="1">
        <v>20867</v>
      </c>
      <c r="B2771" s="1" t="s">
        <v>8737</v>
      </c>
      <c r="C2771" s="5" t="s">
        <v>0</v>
      </c>
      <c r="D2771" s="1" t="s">
        <v>8738</v>
      </c>
      <c r="E2771" s="1" t="s">
        <v>8739</v>
      </c>
      <c r="F2771" s="1" t="s">
        <v>97</v>
      </c>
      <c r="G2771" s="1" t="s">
        <v>98</v>
      </c>
      <c r="H2771" s="1" t="s">
        <v>37</v>
      </c>
      <c r="I2771" s="1" t="s">
        <v>16</v>
      </c>
      <c r="J2771" s="1">
        <v>1</v>
      </c>
      <c r="K2771" s="1">
        <v>6</v>
      </c>
      <c r="L2771" s="1" t="s">
        <v>31</v>
      </c>
      <c r="M2771" s="1" t="s">
        <v>18</v>
      </c>
      <c r="N2771" s="1" t="s">
        <v>18</v>
      </c>
      <c r="O2771" s="1">
        <v>3</v>
      </c>
      <c r="P2771" s="1">
        <v>6</v>
      </c>
      <c r="R2771" s="1" t="s">
        <v>19</v>
      </c>
      <c r="S2771" s="1" t="s">
        <v>20</v>
      </c>
      <c r="T2771" s="1" t="s">
        <v>21</v>
      </c>
      <c r="U2771" s="1" t="s">
        <v>22</v>
      </c>
      <c r="V2771" s="1" t="s">
        <v>23</v>
      </c>
      <c r="W2771" s="1" t="s">
        <v>24</v>
      </c>
      <c r="X2771" s="1">
        <v>3204</v>
      </c>
      <c r="Y2771" s="1" t="s">
        <v>24</v>
      </c>
      <c r="Z2771" s="1" t="s">
        <v>24</v>
      </c>
      <c r="AA2771" s="1" t="s">
        <v>24</v>
      </c>
      <c r="AB2771" s="1" t="s">
        <v>24</v>
      </c>
      <c r="AC2771" s="1" t="s">
        <v>24</v>
      </c>
      <c r="AD2771" s="1" t="s">
        <v>24</v>
      </c>
      <c r="AE2771" s="1" t="s">
        <v>24</v>
      </c>
      <c r="AF2771" s="22"/>
    </row>
    <row r="2772" spans="1:32" x14ac:dyDescent="0.2">
      <c r="A2772" s="1">
        <v>20868</v>
      </c>
      <c r="B2772" s="1" t="s">
        <v>8740</v>
      </c>
      <c r="C2772" s="5" t="s">
        <v>0</v>
      </c>
      <c r="D2772" s="1" t="s">
        <v>8741</v>
      </c>
      <c r="E2772" s="1" t="s">
        <v>8742</v>
      </c>
      <c r="F2772" s="1" t="s">
        <v>8743</v>
      </c>
      <c r="G2772" s="1" t="s">
        <v>130</v>
      </c>
      <c r="H2772" s="1" t="s">
        <v>2772</v>
      </c>
      <c r="I2772" s="1" t="s">
        <v>16</v>
      </c>
      <c r="J2772" s="1">
        <v>2</v>
      </c>
      <c r="K2772" s="1">
        <v>3</v>
      </c>
      <c r="L2772" s="1" t="s">
        <v>31</v>
      </c>
      <c r="M2772" s="1" t="s">
        <v>18</v>
      </c>
      <c r="N2772" s="1" t="s">
        <v>18</v>
      </c>
      <c r="O2772" s="1">
        <v>3</v>
      </c>
      <c r="P2772" s="1">
        <v>6</v>
      </c>
      <c r="R2772" s="1" t="s">
        <v>19</v>
      </c>
      <c r="S2772" s="1" t="s">
        <v>20</v>
      </c>
      <c r="T2772" s="1" t="s">
        <v>21</v>
      </c>
      <c r="U2772" s="1" t="s">
        <v>22</v>
      </c>
      <c r="V2772" s="1" t="s">
        <v>24</v>
      </c>
      <c r="W2772" s="1" t="s">
        <v>24</v>
      </c>
      <c r="X2772" s="1">
        <v>1312</v>
      </c>
      <c r="Y2772" s="1">
        <v>1307</v>
      </c>
      <c r="Z2772" s="1" t="s">
        <v>24</v>
      </c>
      <c r="AA2772" s="1" t="s">
        <v>24</v>
      </c>
      <c r="AB2772" s="1" t="s">
        <v>24</v>
      </c>
      <c r="AC2772" s="1" t="s">
        <v>24</v>
      </c>
      <c r="AD2772" s="1" t="s">
        <v>24</v>
      </c>
      <c r="AE2772" s="1" t="s">
        <v>24</v>
      </c>
      <c r="AF2772" s="22"/>
    </row>
    <row r="2773" spans="1:32" x14ac:dyDescent="0.2">
      <c r="A2773" s="1">
        <v>20869</v>
      </c>
      <c r="B2773" s="1" t="s">
        <v>8744</v>
      </c>
      <c r="C2773" s="5" t="s">
        <v>0</v>
      </c>
      <c r="D2773" s="1" t="s">
        <v>8745</v>
      </c>
      <c r="E2773" s="1" t="s">
        <v>8746</v>
      </c>
      <c r="F2773" s="1" t="s">
        <v>1808</v>
      </c>
      <c r="G2773" s="1" t="s">
        <v>130</v>
      </c>
      <c r="H2773" s="1" t="s">
        <v>461</v>
      </c>
      <c r="I2773" s="1" t="s">
        <v>16</v>
      </c>
      <c r="J2773" s="1">
        <v>1</v>
      </c>
      <c r="K2773" s="1">
        <v>4</v>
      </c>
      <c r="L2773" s="1" t="s">
        <v>31</v>
      </c>
      <c r="M2773" s="1" t="s">
        <v>18</v>
      </c>
      <c r="N2773" s="1" t="s">
        <v>18</v>
      </c>
      <c r="O2773" s="1">
        <v>3</v>
      </c>
      <c r="P2773" s="1">
        <v>7</v>
      </c>
      <c r="Q2773" s="7" t="s">
        <v>17633</v>
      </c>
      <c r="R2773" s="1" t="s">
        <v>19</v>
      </c>
      <c r="S2773" s="1" t="s">
        <v>20</v>
      </c>
      <c r="T2773" s="1" t="s">
        <v>21</v>
      </c>
      <c r="U2773" s="1" t="s">
        <v>22</v>
      </c>
      <c r="V2773" s="1" t="s">
        <v>24</v>
      </c>
      <c r="W2773" s="1" t="s">
        <v>24</v>
      </c>
      <c r="X2773" s="1">
        <v>2745</v>
      </c>
      <c r="Y2773" s="1" t="s">
        <v>24</v>
      </c>
      <c r="Z2773" s="1" t="s">
        <v>24</v>
      </c>
      <c r="AA2773" s="1" t="s">
        <v>24</v>
      </c>
      <c r="AB2773" s="1" t="s">
        <v>24</v>
      </c>
      <c r="AC2773" s="1" t="s">
        <v>24</v>
      </c>
      <c r="AD2773" s="1" t="s">
        <v>24</v>
      </c>
      <c r="AE2773" s="1" t="s">
        <v>24</v>
      </c>
      <c r="AF2773" s="22"/>
    </row>
    <row r="2774" spans="1:32" x14ac:dyDescent="0.2">
      <c r="A2774" s="1">
        <v>20873</v>
      </c>
      <c r="B2774" s="1" t="s">
        <v>8747</v>
      </c>
      <c r="C2774" s="5" t="s">
        <v>0</v>
      </c>
      <c r="D2774" s="1" t="s">
        <v>8748</v>
      </c>
      <c r="F2774" s="1" t="s">
        <v>8749</v>
      </c>
      <c r="G2774" s="1" t="s">
        <v>8749</v>
      </c>
      <c r="H2774" s="1" t="s">
        <v>116</v>
      </c>
      <c r="I2774" s="1" t="s">
        <v>16</v>
      </c>
      <c r="J2774" s="1">
        <v>1</v>
      </c>
      <c r="K2774" s="1">
        <v>4</v>
      </c>
      <c r="L2774" s="1" t="s">
        <v>42</v>
      </c>
      <c r="M2774" s="1" t="s">
        <v>226</v>
      </c>
      <c r="N2774" s="1" t="s">
        <v>118</v>
      </c>
      <c r="O2774" s="1">
        <v>3</v>
      </c>
      <c r="P2774" s="1">
        <v>5</v>
      </c>
      <c r="R2774" s="1" t="s">
        <v>19</v>
      </c>
      <c r="S2774" s="1" t="s">
        <v>20</v>
      </c>
      <c r="T2774" s="1" t="s">
        <v>21</v>
      </c>
      <c r="U2774" s="1" t="s">
        <v>22</v>
      </c>
      <c r="V2774" s="1" t="s">
        <v>23</v>
      </c>
      <c r="W2774" s="1" t="s">
        <v>24</v>
      </c>
      <c r="X2774" s="1">
        <v>2726</v>
      </c>
      <c r="Y2774" s="1">
        <v>2713</v>
      </c>
      <c r="Z2774" s="1">
        <v>2739</v>
      </c>
      <c r="AA2774" s="1">
        <v>2725</v>
      </c>
      <c r="AB2774" s="1">
        <v>2736</v>
      </c>
      <c r="AC2774" s="1" t="s">
        <v>24</v>
      </c>
      <c r="AD2774" s="1" t="s">
        <v>24</v>
      </c>
      <c r="AE2774" s="1" t="s">
        <v>24</v>
      </c>
      <c r="AF2774" s="22"/>
    </row>
    <row r="2775" spans="1:32" x14ac:dyDescent="0.2">
      <c r="A2775" s="1">
        <v>20876</v>
      </c>
      <c r="B2775" s="1" t="s">
        <v>8750</v>
      </c>
      <c r="C2775" s="5" t="s">
        <v>0</v>
      </c>
      <c r="D2775" s="1" t="s">
        <v>8751</v>
      </c>
      <c r="F2775" s="1" t="s">
        <v>8752</v>
      </c>
      <c r="G2775" s="1" t="s">
        <v>8752</v>
      </c>
      <c r="H2775" s="1" t="s">
        <v>116</v>
      </c>
      <c r="I2775" s="1" t="s">
        <v>16</v>
      </c>
      <c r="J2775" s="1">
        <v>1</v>
      </c>
      <c r="K2775" s="1">
        <v>4</v>
      </c>
      <c r="L2775" s="1" t="s">
        <v>17</v>
      </c>
      <c r="M2775" s="1" t="s">
        <v>118</v>
      </c>
      <c r="N2775" s="1" t="s">
        <v>118</v>
      </c>
      <c r="O2775" s="1">
        <v>3</v>
      </c>
      <c r="P2775" s="1">
        <v>6</v>
      </c>
      <c r="R2775" s="1" t="s">
        <v>19</v>
      </c>
      <c r="S2775" s="1" t="s">
        <v>20</v>
      </c>
      <c r="T2775" s="1" t="s">
        <v>21</v>
      </c>
      <c r="U2775" s="1" t="s">
        <v>22</v>
      </c>
      <c r="V2775" s="1" t="s">
        <v>23</v>
      </c>
      <c r="W2775" s="1" t="s">
        <v>24</v>
      </c>
      <c r="X2775" s="1">
        <v>2701</v>
      </c>
      <c r="Y2775" s="1">
        <v>2916</v>
      </c>
      <c r="Z2775" s="1" t="s">
        <v>24</v>
      </c>
      <c r="AA2775" s="1" t="s">
        <v>24</v>
      </c>
      <c r="AB2775" s="1" t="s">
        <v>24</v>
      </c>
      <c r="AC2775" s="1" t="s">
        <v>24</v>
      </c>
      <c r="AD2775" s="1" t="s">
        <v>24</v>
      </c>
      <c r="AE2775" s="1" t="s">
        <v>24</v>
      </c>
      <c r="AF2775" s="22"/>
    </row>
    <row r="2776" spans="1:32" x14ac:dyDescent="0.2">
      <c r="A2776" s="1">
        <v>20879</v>
      </c>
      <c r="B2776" s="1" t="s">
        <v>8753</v>
      </c>
      <c r="C2776" s="5" t="s">
        <v>0</v>
      </c>
      <c r="D2776" s="1" t="s">
        <v>8754</v>
      </c>
      <c r="E2776" s="1" t="s">
        <v>8755</v>
      </c>
      <c r="F2776" s="1" t="s">
        <v>91</v>
      </c>
      <c r="G2776" s="1" t="s">
        <v>61</v>
      </c>
      <c r="H2776" s="1" t="s">
        <v>92</v>
      </c>
      <c r="I2776" s="1" t="s">
        <v>16</v>
      </c>
      <c r="J2776" s="1">
        <v>7</v>
      </c>
      <c r="K2776" s="1">
        <v>2</v>
      </c>
      <c r="L2776" s="1" t="s">
        <v>31</v>
      </c>
      <c r="M2776" s="1" t="s">
        <v>18</v>
      </c>
      <c r="N2776" s="1" t="s">
        <v>18</v>
      </c>
      <c r="O2776" s="1">
        <v>3</v>
      </c>
      <c r="P2776" s="1">
        <v>7</v>
      </c>
      <c r="Q2776" s="7" t="s">
        <v>17633</v>
      </c>
      <c r="R2776" s="1" t="s">
        <v>19</v>
      </c>
      <c r="S2776" s="1" t="s">
        <v>20</v>
      </c>
      <c r="T2776" s="1" t="s">
        <v>21</v>
      </c>
      <c r="U2776" s="1" t="s">
        <v>22</v>
      </c>
      <c r="V2776" s="1" t="s">
        <v>24</v>
      </c>
      <c r="W2776" s="1" t="s">
        <v>24</v>
      </c>
      <c r="X2776" s="1">
        <v>2728</v>
      </c>
      <c r="Y2776" s="1">
        <v>2804</v>
      </c>
      <c r="Z2776" s="1">
        <v>2807</v>
      </c>
      <c r="AA2776" s="1" t="s">
        <v>24</v>
      </c>
      <c r="AB2776" s="1" t="s">
        <v>24</v>
      </c>
      <c r="AC2776" s="1" t="s">
        <v>24</v>
      </c>
      <c r="AD2776" s="1" t="s">
        <v>24</v>
      </c>
      <c r="AE2776" s="1" t="s">
        <v>24</v>
      </c>
      <c r="AF2776" s="22"/>
    </row>
    <row r="2777" spans="1:32" x14ac:dyDescent="0.2">
      <c r="A2777" s="1">
        <v>20881</v>
      </c>
      <c r="B2777" s="1" t="s">
        <v>8756</v>
      </c>
      <c r="C2777" s="5" t="s">
        <v>0</v>
      </c>
      <c r="E2777" s="1" t="s">
        <v>8757</v>
      </c>
      <c r="F2777" s="1" t="s">
        <v>2299</v>
      </c>
      <c r="G2777" s="1" t="s">
        <v>2300</v>
      </c>
      <c r="H2777" s="1" t="s">
        <v>37</v>
      </c>
      <c r="I2777" s="1" t="s">
        <v>16</v>
      </c>
      <c r="J2777" s="1">
        <v>1</v>
      </c>
      <c r="K2777" s="1">
        <v>12</v>
      </c>
      <c r="L2777" s="1" t="s">
        <v>31</v>
      </c>
      <c r="M2777" s="1" t="s">
        <v>18</v>
      </c>
      <c r="N2777" s="1" t="s">
        <v>18</v>
      </c>
      <c r="O2777" s="1">
        <v>3</v>
      </c>
      <c r="P2777" s="1">
        <v>6</v>
      </c>
      <c r="R2777" s="1" t="s">
        <v>62</v>
      </c>
      <c r="S2777" s="1" t="s">
        <v>63</v>
      </c>
      <c r="T2777" s="1" t="s">
        <v>21</v>
      </c>
      <c r="U2777" s="1" t="s">
        <v>22</v>
      </c>
      <c r="V2777" s="1" t="s">
        <v>24</v>
      </c>
      <c r="W2777" s="1" t="s">
        <v>24</v>
      </c>
      <c r="X2777" s="1">
        <v>1311</v>
      </c>
      <c r="Y2777" s="1">
        <v>1307</v>
      </c>
      <c r="Z2777" s="1">
        <v>1105</v>
      </c>
      <c r="AA2777" s="1" t="s">
        <v>24</v>
      </c>
      <c r="AB2777" s="1" t="s">
        <v>24</v>
      </c>
      <c r="AC2777" s="1" t="s">
        <v>24</v>
      </c>
      <c r="AD2777" s="1" t="s">
        <v>24</v>
      </c>
      <c r="AE2777" s="1" t="s">
        <v>24</v>
      </c>
      <c r="AF2777" s="22"/>
    </row>
    <row r="2778" spans="1:32" x14ac:dyDescent="0.2">
      <c r="A2778" s="1">
        <v>20887</v>
      </c>
      <c r="B2778" s="1" t="s">
        <v>8758</v>
      </c>
      <c r="C2778" s="5" t="s">
        <v>0</v>
      </c>
      <c r="D2778" s="1" t="s">
        <v>8759</v>
      </c>
      <c r="F2778" s="1" t="s">
        <v>8760</v>
      </c>
      <c r="G2778" s="1" t="s">
        <v>8761</v>
      </c>
      <c r="H2778" s="1" t="s">
        <v>899</v>
      </c>
      <c r="I2778" s="1" t="s">
        <v>16</v>
      </c>
      <c r="J2778" s="1">
        <v>1</v>
      </c>
      <c r="K2778" s="1">
        <v>4</v>
      </c>
      <c r="L2778" s="1" t="s">
        <v>17</v>
      </c>
      <c r="M2778" s="1" t="s">
        <v>18</v>
      </c>
      <c r="N2778" s="1" t="s">
        <v>18</v>
      </c>
      <c r="O2778" s="1">
        <v>3</v>
      </c>
      <c r="P2778" s="1">
        <v>6</v>
      </c>
      <c r="R2778" s="1" t="s">
        <v>19</v>
      </c>
      <c r="S2778" s="1" t="s">
        <v>20</v>
      </c>
      <c r="T2778" s="1" t="s">
        <v>21</v>
      </c>
      <c r="U2778" s="1" t="s">
        <v>22</v>
      </c>
      <c r="V2778" s="1" t="s">
        <v>24</v>
      </c>
      <c r="W2778" s="1" t="s">
        <v>24</v>
      </c>
      <c r="X2778" s="1">
        <v>1305</v>
      </c>
      <c r="Y2778" s="1">
        <v>2402</v>
      </c>
      <c r="Z2778" s="1">
        <v>2404</v>
      </c>
      <c r="AA2778" s="1">
        <v>2300</v>
      </c>
      <c r="AB2778" s="1" t="s">
        <v>24</v>
      </c>
      <c r="AC2778" s="1" t="s">
        <v>24</v>
      </c>
      <c r="AD2778" s="1" t="s">
        <v>24</v>
      </c>
      <c r="AE2778" s="1" t="s">
        <v>24</v>
      </c>
      <c r="AF2778" s="22"/>
    </row>
    <row r="2779" spans="1:32" x14ac:dyDescent="0.2">
      <c r="A2779" s="1">
        <v>20888</v>
      </c>
      <c r="B2779" s="1" t="s">
        <v>8762</v>
      </c>
      <c r="C2779" s="5" t="s">
        <v>0</v>
      </c>
      <c r="D2779" s="1" t="s">
        <v>8763</v>
      </c>
      <c r="E2779" s="1" t="s">
        <v>8764</v>
      </c>
      <c r="F2779" s="1" t="s">
        <v>8765</v>
      </c>
      <c r="G2779" s="1" t="s">
        <v>8765</v>
      </c>
      <c r="H2779" s="1" t="s">
        <v>8766</v>
      </c>
      <c r="I2779" s="1" t="s">
        <v>16</v>
      </c>
      <c r="J2779" s="1">
        <v>1</v>
      </c>
      <c r="K2779" s="1">
        <v>2</v>
      </c>
      <c r="L2779" s="1" t="s">
        <v>42</v>
      </c>
      <c r="M2779" s="1" t="s">
        <v>18</v>
      </c>
      <c r="N2779" s="1" t="s">
        <v>18</v>
      </c>
      <c r="O2779" s="1">
        <v>3</v>
      </c>
      <c r="P2779" s="1">
        <v>6</v>
      </c>
      <c r="R2779" s="1" t="s">
        <v>19</v>
      </c>
      <c r="S2779" s="1" t="s">
        <v>20</v>
      </c>
      <c r="T2779" s="1" t="s">
        <v>21</v>
      </c>
      <c r="U2779" s="1" t="s">
        <v>22</v>
      </c>
      <c r="V2779" s="1" t="s">
        <v>24</v>
      </c>
      <c r="W2779" s="1" t="s">
        <v>24</v>
      </c>
      <c r="X2779" s="1">
        <v>2700</v>
      </c>
      <c r="Y2779" s="1" t="s">
        <v>24</v>
      </c>
      <c r="Z2779" s="1" t="s">
        <v>24</v>
      </c>
      <c r="AA2779" s="1" t="s">
        <v>24</v>
      </c>
      <c r="AB2779" s="1" t="s">
        <v>24</v>
      </c>
      <c r="AC2779" s="1" t="s">
        <v>24</v>
      </c>
      <c r="AD2779" s="1" t="s">
        <v>24</v>
      </c>
      <c r="AE2779" s="1" t="s">
        <v>24</v>
      </c>
      <c r="AF2779" s="22"/>
    </row>
    <row r="2780" spans="1:32" x14ac:dyDescent="0.2">
      <c r="A2780" s="1">
        <v>20894</v>
      </c>
      <c r="B2780" s="1" t="s">
        <v>8767</v>
      </c>
      <c r="C2780" s="5" t="s">
        <v>0</v>
      </c>
      <c r="D2780" s="1" t="s">
        <v>8768</v>
      </c>
      <c r="E2780" s="1" t="s">
        <v>8769</v>
      </c>
      <c r="F2780" s="1" t="s">
        <v>8770</v>
      </c>
      <c r="G2780" s="1" t="s">
        <v>8770</v>
      </c>
      <c r="H2780" s="1" t="s">
        <v>81</v>
      </c>
      <c r="I2780" s="1" t="s">
        <v>16</v>
      </c>
      <c r="J2780" s="1">
        <v>1</v>
      </c>
      <c r="K2780" s="1">
        <v>2</v>
      </c>
      <c r="L2780" s="1" t="s">
        <v>42</v>
      </c>
      <c r="M2780" s="1" t="s">
        <v>18</v>
      </c>
      <c r="N2780" s="1" t="s">
        <v>18</v>
      </c>
      <c r="O2780" s="1">
        <v>3</v>
      </c>
      <c r="P2780" s="1">
        <v>5</v>
      </c>
      <c r="R2780" s="1" t="s">
        <v>19</v>
      </c>
      <c r="S2780" s="1" t="s">
        <v>20</v>
      </c>
      <c r="T2780" s="1" t="s">
        <v>21</v>
      </c>
      <c r="U2780" s="1" t="s">
        <v>22</v>
      </c>
      <c r="V2780" s="1" t="s">
        <v>24</v>
      </c>
      <c r="W2780" s="1" t="s">
        <v>24</v>
      </c>
      <c r="X2780" s="1">
        <v>1300</v>
      </c>
      <c r="Y2780" s="1">
        <v>1100</v>
      </c>
      <c r="Z2780" s="1" t="s">
        <v>24</v>
      </c>
      <c r="AA2780" s="1" t="s">
        <v>24</v>
      </c>
      <c r="AB2780" s="1" t="s">
        <v>24</v>
      </c>
      <c r="AC2780" s="1" t="s">
        <v>24</v>
      </c>
      <c r="AD2780" s="1" t="s">
        <v>24</v>
      </c>
      <c r="AE2780" s="1" t="s">
        <v>24</v>
      </c>
      <c r="AF2780" s="22"/>
    </row>
    <row r="2781" spans="1:32" x14ac:dyDescent="0.2">
      <c r="A2781" s="1">
        <v>20896</v>
      </c>
      <c r="B2781" s="1" t="s">
        <v>8771</v>
      </c>
      <c r="C2781" s="5" t="s">
        <v>0</v>
      </c>
      <c r="D2781" s="1" t="s">
        <v>8772</v>
      </c>
      <c r="E2781" s="1" t="s">
        <v>8773</v>
      </c>
      <c r="F2781" s="1" t="s">
        <v>540</v>
      </c>
      <c r="G2781" s="1" t="s">
        <v>130</v>
      </c>
      <c r="H2781" s="1" t="s">
        <v>684</v>
      </c>
      <c r="I2781" s="1" t="s">
        <v>16</v>
      </c>
      <c r="J2781" s="1">
        <v>1</v>
      </c>
      <c r="K2781" s="1">
        <v>3</v>
      </c>
      <c r="L2781" s="1" t="s">
        <v>31</v>
      </c>
      <c r="M2781" s="1" t="s">
        <v>18</v>
      </c>
      <c r="N2781" s="1" t="s">
        <v>18</v>
      </c>
      <c r="O2781" s="1">
        <v>3</v>
      </c>
      <c r="P2781" s="1">
        <v>7</v>
      </c>
      <c r="Q2781" s="7" t="s">
        <v>17633</v>
      </c>
      <c r="R2781" s="1" t="s">
        <v>19</v>
      </c>
      <c r="S2781" s="1" t="s">
        <v>20</v>
      </c>
      <c r="T2781" s="1" t="s">
        <v>21</v>
      </c>
      <c r="U2781" s="1" t="s">
        <v>22</v>
      </c>
      <c r="V2781" s="1" t="s">
        <v>23</v>
      </c>
      <c r="W2781" s="1" t="s">
        <v>24</v>
      </c>
      <c r="X2781" s="1">
        <v>2703</v>
      </c>
      <c r="Y2781" s="1">
        <v>2728</v>
      </c>
      <c r="Z2781" s="1" t="s">
        <v>24</v>
      </c>
      <c r="AA2781" s="1" t="s">
        <v>24</v>
      </c>
      <c r="AB2781" s="1" t="s">
        <v>24</v>
      </c>
      <c r="AC2781" s="1" t="s">
        <v>24</v>
      </c>
      <c r="AD2781" s="1" t="s">
        <v>24</v>
      </c>
      <c r="AE2781" s="1" t="s">
        <v>24</v>
      </c>
      <c r="AF2781" s="22"/>
    </row>
    <row r="2782" spans="1:32" x14ac:dyDescent="0.2">
      <c r="A2782" s="1">
        <v>20901</v>
      </c>
      <c r="B2782" s="1" t="s">
        <v>8774</v>
      </c>
      <c r="C2782" s="5" t="s">
        <v>0</v>
      </c>
      <c r="D2782" s="1" t="s">
        <v>8775</v>
      </c>
      <c r="F2782" s="1" t="s">
        <v>85</v>
      </c>
      <c r="G2782" s="1" t="s">
        <v>61</v>
      </c>
      <c r="H2782" s="1" t="s">
        <v>86</v>
      </c>
      <c r="I2782" s="1" t="s">
        <v>16</v>
      </c>
      <c r="J2782" s="1">
        <v>1</v>
      </c>
      <c r="K2782" s="1">
        <v>6</v>
      </c>
      <c r="L2782" s="1" t="s">
        <v>31</v>
      </c>
      <c r="M2782" s="1" t="s">
        <v>87</v>
      </c>
      <c r="N2782" s="1" t="s">
        <v>199</v>
      </c>
      <c r="O2782" s="1">
        <v>3</v>
      </c>
      <c r="P2782" s="1">
        <v>5</v>
      </c>
      <c r="R2782" s="1" t="s">
        <v>19</v>
      </c>
      <c r="S2782" s="1" t="s">
        <v>20</v>
      </c>
      <c r="T2782" s="1" t="s">
        <v>21</v>
      </c>
      <c r="U2782" s="1" t="s">
        <v>22</v>
      </c>
      <c r="V2782" s="1" t="s">
        <v>24</v>
      </c>
      <c r="W2782" s="1" t="s">
        <v>24</v>
      </c>
      <c r="X2782" s="1">
        <v>2703</v>
      </c>
      <c r="Y2782" s="1">
        <v>2728</v>
      </c>
      <c r="Z2782" s="1" t="s">
        <v>24</v>
      </c>
      <c r="AA2782" s="1" t="s">
        <v>24</v>
      </c>
      <c r="AB2782" s="1" t="s">
        <v>24</v>
      </c>
      <c r="AC2782" s="1" t="s">
        <v>24</v>
      </c>
      <c r="AD2782" s="1" t="s">
        <v>24</v>
      </c>
      <c r="AE2782" s="1" t="s">
        <v>24</v>
      </c>
      <c r="AF2782" s="22"/>
    </row>
    <row r="2783" spans="1:32" x14ac:dyDescent="0.2">
      <c r="A2783" s="1">
        <v>20902</v>
      </c>
      <c r="B2783" s="1" t="s">
        <v>8776</v>
      </c>
      <c r="C2783" s="5" t="s">
        <v>0</v>
      </c>
      <c r="D2783" s="1" t="s">
        <v>8777</v>
      </c>
      <c r="F2783" s="1" t="s">
        <v>3724</v>
      </c>
      <c r="G2783" s="1" t="s">
        <v>2146</v>
      </c>
      <c r="H2783" s="1" t="s">
        <v>2147</v>
      </c>
      <c r="I2783" s="1" t="s">
        <v>16</v>
      </c>
      <c r="J2783" s="1">
        <v>1</v>
      </c>
      <c r="K2783" s="1">
        <v>3</v>
      </c>
      <c r="L2783" s="1" t="s">
        <v>42</v>
      </c>
      <c r="M2783" s="1" t="s">
        <v>18</v>
      </c>
      <c r="N2783" s="1" t="s">
        <v>18</v>
      </c>
      <c r="O2783" s="1">
        <v>3</v>
      </c>
      <c r="P2783" s="1">
        <v>5</v>
      </c>
      <c r="R2783" s="1" t="s">
        <v>19</v>
      </c>
      <c r="S2783" s="1" t="s">
        <v>20</v>
      </c>
      <c r="T2783" s="1" t="s">
        <v>21</v>
      </c>
      <c r="U2783" s="1" t="s">
        <v>22</v>
      </c>
      <c r="V2783" s="1" t="s">
        <v>24</v>
      </c>
      <c r="W2783" s="1" t="s">
        <v>24</v>
      </c>
      <c r="X2783" s="1">
        <v>2729</v>
      </c>
      <c r="Y2783" s="1" t="s">
        <v>24</v>
      </c>
      <c r="Z2783" s="1" t="s">
        <v>24</v>
      </c>
      <c r="AA2783" s="1" t="s">
        <v>24</v>
      </c>
      <c r="AB2783" s="1" t="s">
        <v>24</v>
      </c>
      <c r="AC2783" s="1" t="s">
        <v>24</v>
      </c>
      <c r="AD2783" s="1" t="s">
        <v>24</v>
      </c>
      <c r="AE2783" s="1" t="s">
        <v>24</v>
      </c>
      <c r="AF2783" s="22"/>
    </row>
    <row r="2784" spans="1:32" x14ac:dyDescent="0.2">
      <c r="A2784" s="1">
        <v>20903</v>
      </c>
      <c r="B2784" s="1" t="s">
        <v>8778</v>
      </c>
      <c r="C2784" s="5" t="s">
        <v>0</v>
      </c>
      <c r="D2784" s="1" t="s">
        <v>8779</v>
      </c>
      <c r="F2784" s="1" t="s">
        <v>3724</v>
      </c>
      <c r="G2784" s="1" t="s">
        <v>2146</v>
      </c>
      <c r="H2784" s="1" t="s">
        <v>2147</v>
      </c>
      <c r="I2784" s="1" t="s">
        <v>16</v>
      </c>
      <c r="J2784" s="1">
        <v>0</v>
      </c>
      <c r="K2784" s="1">
        <v>0</v>
      </c>
      <c r="L2784" s="1" t="s">
        <v>42</v>
      </c>
      <c r="M2784" s="1" t="s">
        <v>18</v>
      </c>
      <c r="N2784" s="1" t="s">
        <v>18</v>
      </c>
      <c r="O2784" s="1">
        <v>3</v>
      </c>
      <c r="P2784" s="1">
        <v>5</v>
      </c>
      <c r="R2784" s="1" t="s">
        <v>19</v>
      </c>
      <c r="S2784" s="1" t="s">
        <v>20</v>
      </c>
      <c r="T2784" s="1" t="s">
        <v>21</v>
      </c>
      <c r="U2784" s="1" t="s">
        <v>22</v>
      </c>
      <c r="V2784" s="1" t="s">
        <v>24</v>
      </c>
      <c r="W2784" s="1" t="s">
        <v>24</v>
      </c>
      <c r="X2784" s="1">
        <v>2724</v>
      </c>
      <c r="Y2784" s="1">
        <v>1310</v>
      </c>
      <c r="Z2784" s="1">
        <v>2712</v>
      </c>
      <c r="AA2784" s="1" t="s">
        <v>24</v>
      </c>
      <c r="AB2784" s="1" t="s">
        <v>24</v>
      </c>
      <c r="AC2784" s="1" t="s">
        <v>24</v>
      </c>
      <c r="AD2784" s="1" t="s">
        <v>24</v>
      </c>
      <c r="AE2784" s="1" t="s">
        <v>24</v>
      </c>
      <c r="AF2784" s="22"/>
    </row>
    <row r="2785" spans="1:32" x14ac:dyDescent="0.2">
      <c r="A2785" s="1">
        <v>20904</v>
      </c>
      <c r="B2785" s="1" t="s">
        <v>8780</v>
      </c>
      <c r="C2785" s="5" t="s">
        <v>0</v>
      </c>
      <c r="D2785" s="1" t="s">
        <v>8781</v>
      </c>
      <c r="F2785" s="1" t="s">
        <v>3724</v>
      </c>
      <c r="G2785" s="1" t="s">
        <v>2146</v>
      </c>
      <c r="H2785" s="1" t="s">
        <v>2147</v>
      </c>
      <c r="I2785" s="1" t="s">
        <v>16</v>
      </c>
      <c r="J2785" s="1">
        <v>1</v>
      </c>
      <c r="K2785" s="1">
        <v>2</v>
      </c>
      <c r="L2785" s="1" t="s">
        <v>42</v>
      </c>
      <c r="M2785" s="1" t="s">
        <v>18</v>
      </c>
      <c r="N2785" s="1" t="s">
        <v>18</v>
      </c>
      <c r="O2785" s="1">
        <v>2</v>
      </c>
      <c r="P2785" s="1">
        <v>6</v>
      </c>
      <c r="R2785" s="1" t="s">
        <v>19</v>
      </c>
      <c r="S2785" s="1" t="s">
        <v>20</v>
      </c>
      <c r="T2785" s="1" t="s">
        <v>21</v>
      </c>
      <c r="U2785" s="1" t="s">
        <v>22</v>
      </c>
      <c r="V2785" s="1" t="s">
        <v>23</v>
      </c>
      <c r="W2785" s="1" t="s">
        <v>24</v>
      </c>
      <c r="X2785" s="1">
        <v>2706</v>
      </c>
      <c r="Y2785" s="1" t="s">
        <v>24</v>
      </c>
      <c r="Z2785" s="1" t="s">
        <v>24</v>
      </c>
      <c r="AA2785" s="1" t="s">
        <v>24</v>
      </c>
      <c r="AB2785" s="1" t="s">
        <v>24</v>
      </c>
      <c r="AC2785" s="1" t="s">
        <v>24</v>
      </c>
      <c r="AD2785" s="1" t="s">
        <v>24</v>
      </c>
      <c r="AE2785" s="1" t="s">
        <v>24</v>
      </c>
      <c r="AF2785" s="22"/>
    </row>
    <row r="2786" spans="1:32" x14ac:dyDescent="0.2">
      <c r="A2786" s="1">
        <v>20905</v>
      </c>
      <c r="B2786" s="1" t="s">
        <v>8782</v>
      </c>
      <c r="C2786" s="5" t="s">
        <v>0</v>
      </c>
      <c r="D2786" s="1" t="s">
        <v>8783</v>
      </c>
      <c r="F2786" s="1" t="s">
        <v>8784</v>
      </c>
      <c r="G2786" s="1" t="s">
        <v>2146</v>
      </c>
      <c r="H2786" s="1" t="s">
        <v>2147</v>
      </c>
      <c r="I2786" s="1" t="s">
        <v>16</v>
      </c>
      <c r="J2786" s="1">
        <v>1</v>
      </c>
      <c r="K2786" s="1">
        <v>3</v>
      </c>
      <c r="L2786" s="1" t="s">
        <v>42</v>
      </c>
      <c r="M2786" s="1" t="s">
        <v>18</v>
      </c>
      <c r="N2786" s="1" t="s">
        <v>18</v>
      </c>
      <c r="O2786" s="1">
        <v>3</v>
      </c>
      <c r="P2786" s="1">
        <v>6</v>
      </c>
      <c r="R2786" s="1" t="s">
        <v>19</v>
      </c>
      <c r="S2786" s="1" t="s">
        <v>20</v>
      </c>
      <c r="T2786" s="1" t="s">
        <v>21</v>
      </c>
      <c r="U2786" s="1" t="s">
        <v>22</v>
      </c>
      <c r="V2786" s="1" t="s">
        <v>23</v>
      </c>
      <c r="W2786" s="1" t="s">
        <v>24</v>
      </c>
      <c r="X2786" s="1">
        <v>2701</v>
      </c>
      <c r="Y2786" s="1">
        <v>2916</v>
      </c>
      <c r="Z2786" s="1" t="s">
        <v>24</v>
      </c>
      <c r="AA2786" s="1" t="s">
        <v>24</v>
      </c>
      <c r="AB2786" s="1" t="s">
        <v>24</v>
      </c>
      <c r="AC2786" s="1" t="s">
        <v>24</v>
      </c>
      <c r="AD2786" s="1" t="s">
        <v>24</v>
      </c>
      <c r="AE2786" s="1" t="s">
        <v>24</v>
      </c>
      <c r="AF2786" s="22"/>
    </row>
    <row r="2787" spans="1:32" x14ac:dyDescent="0.2">
      <c r="A2787" s="1">
        <v>20906</v>
      </c>
      <c r="B2787" s="1" t="s">
        <v>8785</v>
      </c>
      <c r="C2787" s="5" t="s">
        <v>0</v>
      </c>
      <c r="D2787" s="1" t="s">
        <v>8786</v>
      </c>
      <c r="F2787" s="1" t="s">
        <v>8785</v>
      </c>
      <c r="G2787" s="1" t="s">
        <v>8785</v>
      </c>
      <c r="H2787" s="1" t="s">
        <v>899</v>
      </c>
      <c r="I2787" s="1" t="s">
        <v>16</v>
      </c>
      <c r="J2787" s="1">
        <v>1</v>
      </c>
      <c r="K2787" s="1">
        <v>4</v>
      </c>
      <c r="L2787" s="1" t="s">
        <v>42</v>
      </c>
      <c r="M2787" s="1" t="s">
        <v>18</v>
      </c>
      <c r="N2787" s="1" t="s">
        <v>18</v>
      </c>
      <c r="O2787" s="1">
        <v>2</v>
      </c>
      <c r="P2787" s="1">
        <v>5</v>
      </c>
      <c r="R2787" s="1" t="s">
        <v>19</v>
      </c>
      <c r="S2787" s="1" t="s">
        <v>20</v>
      </c>
      <c r="T2787" s="1" t="s">
        <v>21</v>
      </c>
      <c r="U2787" s="1" t="s">
        <v>22</v>
      </c>
      <c r="V2787" s="1" t="s">
        <v>24</v>
      </c>
      <c r="W2787" s="1" t="s">
        <v>24</v>
      </c>
      <c r="X2787" s="1">
        <v>2724</v>
      </c>
      <c r="Y2787" s="1" t="s">
        <v>24</v>
      </c>
      <c r="Z2787" s="1" t="s">
        <v>24</v>
      </c>
      <c r="AA2787" s="1" t="s">
        <v>24</v>
      </c>
      <c r="AB2787" s="1" t="s">
        <v>24</v>
      </c>
      <c r="AC2787" s="1" t="s">
        <v>24</v>
      </c>
      <c r="AD2787" s="1" t="s">
        <v>24</v>
      </c>
      <c r="AE2787" s="1" t="s">
        <v>24</v>
      </c>
      <c r="AF2787" s="22"/>
    </row>
    <row r="2788" spans="1:32" x14ac:dyDescent="0.2">
      <c r="A2788" s="1">
        <v>20912</v>
      </c>
      <c r="B2788" s="1" t="s">
        <v>8787</v>
      </c>
      <c r="C2788" s="5" t="s">
        <v>0</v>
      </c>
      <c r="D2788" s="1" t="s">
        <v>8788</v>
      </c>
      <c r="F2788" s="1" t="s">
        <v>8789</v>
      </c>
      <c r="G2788" s="1" t="s">
        <v>8789</v>
      </c>
      <c r="H2788" s="1" t="s">
        <v>1116</v>
      </c>
      <c r="I2788" s="1" t="s">
        <v>16</v>
      </c>
      <c r="J2788" s="1">
        <v>1</v>
      </c>
      <c r="K2788" s="1">
        <v>4</v>
      </c>
      <c r="L2788" s="1" t="s">
        <v>17</v>
      </c>
      <c r="M2788" s="1" t="s">
        <v>18</v>
      </c>
      <c r="N2788" s="1" t="s">
        <v>18</v>
      </c>
      <c r="O2788" s="1">
        <v>3</v>
      </c>
      <c r="P2788" s="1">
        <v>5</v>
      </c>
      <c r="R2788" s="1" t="s">
        <v>19</v>
      </c>
      <c r="S2788" s="1" t="s">
        <v>20</v>
      </c>
      <c r="T2788" s="1" t="s">
        <v>21</v>
      </c>
      <c r="U2788" s="1" t="s">
        <v>22</v>
      </c>
      <c r="V2788" s="1" t="s">
        <v>24</v>
      </c>
      <c r="W2788" s="1" t="s">
        <v>24</v>
      </c>
      <c r="X2788" s="1">
        <v>2724</v>
      </c>
      <c r="Y2788" s="1" t="s">
        <v>24</v>
      </c>
      <c r="Z2788" s="1" t="s">
        <v>24</v>
      </c>
      <c r="AA2788" s="1" t="s">
        <v>24</v>
      </c>
      <c r="AB2788" s="1" t="s">
        <v>24</v>
      </c>
      <c r="AC2788" s="1" t="s">
        <v>24</v>
      </c>
      <c r="AD2788" s="1" t="s">
        <v>24</v>
      </c>
      <c r="AE2788" s="1" t="s">
        <v>24</v>
      </c>
      <c r="AF2788" s="22"/>
    </row>
    <row r="2789" spans="1:32" x14ac:dyDescent="0.2">
      <c r="A2789" s="1">
        <v>20914</v>
      </c>
      <c r="B2789" s="1" t="s">
        <v>8790</v>
      </c>
      <c r="C2789" s="5" t="s">
        <v>0</v>
      </c>
      <c r="D2789" s="1" t="s">
        <v>8791</v>
      </c>
      <c r="F2789" s="1" t="s">
        <v>8792</v>
      </c>
      <c r="G2789" s="1" t="s">
        <v>8792</v>
      </c>
      <c r="H2789" s="1" t="s">
        <v>1007</v>
      </c>
      <c r="I2789" s="1" t="s">
        <v>16</v>
      </c>
      <c r="J2789" s="1">
        <v>1</v>
      </c>
      <c r="K2789" s="1">
        <v>12</v>
      </c>
      <c r="L2789" s="1" t="s">
        <v>42</v>
      </c>
      <c r="M2789" s="1" t="s">
        <v>1008</v>
      </c>
      <c r="N2789" s="1" t="s">
        <v>4418</v>
      </c>
      <c r="O2789" s="1">
        <v>3</v>
      </c>
      <c r="P2789" s="1">
        <v>5</v>
      </c>
      <c r="R2789" s="1" t="s">
        <v>19</v>
      </c>
      <c r="S2789" s="1" t="s">
        <v>20</v>
      </c>
      <c r="T2789" s="1" t="s">
        <v>21</v>
      </c>
      <c r="U2789" s="1" t="s">
        <v>22</v>
      </c>
      <c r="V2789" s="1" t="s">
        <v>24</v>
      </c>
      <c r="W2789" s="1" t="s">
        <v>24</v>
      </c>
      <c r="X2789" s="1">
        <v>2700</v>
      </c>
      <c r="Y2789" s="1" t="s">
        <v>24</v>
      </c>
      <c r="Z2789" s="1" t="s">
        <v>24</v>
      </c>
      <c r="AA2789" s="1" t="s">
        <v>24</v>
      </c>
      <c r="AB2789" s="1" t="s">
        <v>24</v>
      </c>
      <c r="AC2789" s="1" t="s">
        <v>24</v>
      </c>
      <c r="AD2789" s="1" t="s">
        <v>24</v>
      </c>
      <c r="AE2789" s="1" t="s">
        <v>24</v>
      </c>
      <c r="AF2789" s="22"/>
    </row>
    <row r="2790" spans="1:32" x14ac:dyDescent="0.2">
      <c r="A2790" s="1">
        <v>20925</v>
      </c>
      <c r="B2790" s="1" t="s">
        <v>8793</v>
      </c>
      <c r="C2790" s="5" t="s">
        <v>0</v>
      </c>
      <c r="D2790" s="1" t="s">
        <v>8794</v>
      </c>
      <c r="F2790" s="1" t="s">
        <v>1130</v>
      </c>
      <c r="G2790" s="1" t="s">
        <v>8795</v>
      </c>
      <c r="H2790" s="1" t="s">
        <v>135</v>
      </c>
      <c r="I2790" s="1" t="s">
        <v>16</v>
      </c>
      <c r="J2790" s="1">
        <v>1</v>
      </c>
      <c r="K2790" s="1">
        <v>4</v>
      </c>
      <c r="L2790" s="1" t="s">
        <v>31</v>
      </c>
      <c r="M2790" s="1" t="s">
        <v>1131</v>
      </c>
      <c r="N2790" s="1" t="s">
        <v>5887</v>
      </c>
      <c r="O2790" s="1">
        <v>3</v>
      </c>
      <c r="P2790" s="1">
        <v>5</v>
      </c>
      <c r="R2790" s="1" t="s">
        <v>19</v>
      </c>
      <c r="S2790" s="1" t="s">
        <v>20</v>
      </c>
      <c r="T2790" s="1" t="s">
        <v>21</v>
      </c>
      <c r="U2790" s="1" t="s">
        <v>22</v>
      </c>
      <c r="V2790" s="1" t="s">
        <v>24</v>
      </c>
      <c r="W2790" s="1" t="s">
        <v>24</v>
      </c>
      <c r="X2790" s="1">
        <v>2725</v>
      </c>
      <c r="Y2790" s="1">
        <v>2723</v>
      </c>
      <c r="Z2790" s="1">
        <v>2726</v>
      </c>
      <c r="AA2790" s="1">
        <v>2713</v>
      </c>
      <c r="AB2790" s="1" t="s">
        <v>24</v>
      </c>
      <c r="AC2790" s="1" t="s">
        <v>24</v>
      </c>
      <c r="AD2790" s="1" t="s">
        <v>24</v>
      </c>
      <c r="AE2790" s="1" t="s">
        <v>24</v>
      </c>
      <c r="AF2790" s="22"/>
    </row>
    <row r="2791" spans="1:32" x14ac:dyDescent="0.2">
      <c r="A2791" s="1">
        <v>20926</v>
      </c>
      <c r="B2791" s="1" t="s">
        <v>8796</v>
      </c>
      <c r="C2791" s="5" t="s">
        <v>0</v>
      </c>
      <c r="D2791" s="1" t="s">
        <v>8797</v>
      </c>
      <c r="F2791" s="1" t="s">
        <v>452</v>
      </c>
      <c r="G2791" s="1" t="s">
        <v>452</v>
      </c>
      <c r="H2791" s="1" t="s">
        <v>453</v>
      </c>
      <c r="I2791" s="1" t="s">
        <v>16</v>
      </c>
      <c r="J2791" s="1">
        <v>1</v>
      </c>
      <c r="K2791" s="1">
        <v>4</v>
      </c>
      <c r="L2791" s="1" t="s">
        <v>17</v>
      </c>
      <c r="M2791" s="1" t="s">
        <v>3606</v>
      </c>
      <c r="N2791" s="1" t="s">
        <v>3427</v>
      </c>
      <c r="O2791" s="1">
        <v>3</v>
      </c>
      <c r="P2791" s="1">
        <v>5</v>
      </c>
      <c r="R2791" s="1" t="s">
        <v>19</v>
      </c>
      <c r="S2791" s="1" t="s">
        <v>20</v>
      </c>
      <c r="T2791" s="1" t="s">
        <v>21</v>
      </c>
      <c r="U2791" s="1" t="s">
        <v>22</v>
      </c>
      <c r="V2791" s="1" t="s">
        <v>24</v>
      </c>
      <c r="W2791" s="1" t="s">
        <v>24</v>
      </c>
      <c r="X2791" s="1">
        <v>2720</v>
      </c>
      <c r="Y2791" s="1" t="s">
        <v>24</v>
      </c>
      <c r="Z2791" s="1" t="s">
        <v>24</v>
      </c>
      <c r="AA2791" s="1" t="s">
        <v>24</v>
      </c>
      <c r="AB2791" s="1" t="s">
        <v>24</v>
      </c>
      <c r="AC2791" s="1" t="s">
        <v>24</v>
      </c>
      <c r="AD2791" s="1" t="s">
        <v>24</v>
      </c>
      <c r="AE2791" s="1" t="s">
        <v>24</v>
      </c>
      <c r="AF2791" s="22"/>
    </row>
    <row r="2792" spans="1:32" x14ac:dyDescent="0.2">
      <c r="A2792" s="1">
        <v>20927</v>
      </c>
      <c r="B2792" s="1" t="s">
        <v>8798</v>
      </c>
      <c r="C2792" s="5" t="s">
        <v>0</v>
      </c>
      <c r="D2792" s="1" t="s">
        <v>8799</v>
      </c>
      <c r="F2792" s="1" t="s">
        <v>8800</v>
      </c>
      <c r="G2792" s="1" t="s">
        <v>8801</v>
      </c>
      <c r="H2792" s="1" t="s">
        <v>453</v>
      </c>
      <c r="I2792" s="1" t="s">
        <v>16</v>
      </c>
      <c r="J2792" s="1">
        <v>1</v>
      </c>
      <c r="K2792" s="1">
        <v>4</v>
      </c>
      <c r="L2792" s="1" t="s">
        <v>17</v>
      </c>
      <c r="M2792" s="1" t="s">
        <v>3606</v>
      </c>
      <c r="N2792" s="1" t="s">
        <v>3427</v>
      </c>
      <c r="O2792" s="1">
        <v>3</v>
      </c>
      <c r="P2792" s="1">
        <v>5</v>
      </c>
      <c r="R2792" s="1" t="s">
        <v>19</v>
      </c>
      <c r="S2792" s="1" t="s">
        <v>20</v>
      </c>
      <c r="T2792" s="1" t="s">
        <v>21</v>
      </c>
      <c r="U2792" s="1" t="s">
        <v>22</v>
      </c>
      <c r="V2792" s="1" t="s">
        <v>23</v>
      </c>
      <c r="W2792" s="1" t="s">
        <v>24</v>
      </c>
      <c r="X2792" s="1">
        <v>3003</v>
      </c>
      <c r="Y2792" s="1">
        <v>2736</v>
      </c>
      <c r="Z2792" s="1">
        <v>3611</v>
      </c>
      <c r="AA2792" s="1" t="s">
        <v>24</v>
      </c>
      <c r="AB2792" s="1" t="s">
        <v>24</v>
      </c>
      <c r="AC2792" s="1" t="s">
        <v>24</v>
      </c>
      <c r="AD2792" s="1" t="s">
        <v>24</v>
      </c>
      <c r="AE2792" s="1" t="s">
        <v>24</v>
      </c>
      <c r="AF2792" s="22"/>
    </row>
    <row r="2793" spans="1:32" x14ac:dyDescent="0.2">
      <c r="A2793" s="1">
        <v>20928</v>
      </c>
      <c r="B2793" s="1" t="s">
        <v>8802</v>
      </c>
      <c r="C2793" s="5" t="s">
        <v>0</v>
      </c>
      <c r="D2793" s="1" t="s">
        <v>8803</v>
      </c>
      <c r="F2793" s="1" t="s">
        <v>452</v>
      </c>
      <c r="G2793" s="1" t="s">
        <v>452</v>
      </c>
      <c r="H2793" s="1" t="s">
        <v>453</v>
      </c>
      <c r="I2793" s="1" t="s">
        <v>16</v>
      </c>
      <c r="J2793" s="1">
        <v>1</v>
      </c>
      <c r="K2793" s="1">
        <v>4</v>
      </c>
      <c r="L2793" s="1" t="s">
        <v>17</v>
      </c>
      <c r="M2793" s="1" t="s">
        <v>3606</v>
      </c>
      <c r="N2793" s="1" t="s">
        <v>3427</v>
      </c>
      <c r="O2793" s="1">
        <v>3</v>
      </c>
      <c r="P2793" s="1">
        <v>5</v>
      </c>
      <c r="R2793" s="1" t="s">
        <v>19</v>
      </c>
      <c r="S2793" s="1" t="s">
        <v>20</v>
      </c>
      <c r="T2793" s="1" t="s">
        <v>21</v>
      </c>
      <c r="U2793" s="1" t="s">
        <v>22</v>
      </c>
      <c r="V2793" s="1" t="s">
        <v>24</v>
      </c>
      <c r="W2793" s="1" t="s">
        <v>24</v>
      </c>
      <c r="X2793" s="1">
        <v>2700</v>
      </c>
      <c r="Y2793" s="1" t="s">
        <v>24</v>
      </c>
      <c r="Z2793" s="1" t="s">
        <v>24</v>
      </c>
      <c r="AA2793" s="1" t="s">
        <v>24</v>
      </c>
      <c r="AB2793" s="1" t="s">
        <v>24</v>
      </c>
      <c r="AC2793" s="1" t="s">
        <v>24</v>
      </c>
      <c r="AD2793" s="1" t="s">
        <v>24</v>
      </c>
      <c r="AE2793" s="1" t="s">
        <v>24</v>
      </c>
      <c r="AF2793" s="22"/>
    </row>
    <row r="2794" spans="1:32" x14ac:dyDescent="0.2">
      <c r="A2794" s="1">
        <v>20930</v>
      </c>
      <c r="B2794" s="1" t="s">
        <v>8804</v>
      </c>
      <c r="C2794" s="5" t="s">
        <v>0</v>
      </c>
      <c r="D2794" s="1" t="s">
        <v>8805</v>
      </c>
      <c r="F2794" s="1" t="s">
        <v>452</v>
      </c>
      <c r="G2794" s="1" t="s">
        <v>452</v>
      </c>
      <c r="H2794" s="1" t="s">
        <v>453</v>
      </c>
      <c r="I2794" s="1" t="s">
        <v>16</v>
      </c>
      <c r="J2794" s="1">
        <v>1</v>
      </c>
      <c r="K2794" s="1">
        <v>5</v>
      </c>
      <c r="L2794" s="1" t="s">
        <v>17</v>
      </c>
      <c r="M2794" s="1" t="s">
        <v>3606</v>
      </c>
      <c r="N2794" s="1" t="s">
        <v>3427</v>
      </c>
      <c r="O2794" s="1">
        <v>3</v>
      </c>
      <c r="P2794" s="1">
        <v>5</v>
      </c>
      <c r="R2794" s="1" t="s">
        <v>19</v>
      </c>
      <c r="S2794" s="1" t="s">
        <v>20</v>
      </c>
      <c r="T2794" s="1" t="s">
        <v>21</v>
      </c>
      <c r="U2794" s="1" t="s">
        <v>22</v>
      </c>
      <c r="V2794" s="1" t="s">
        <v>23</v>
      </c>
      <c r="W2794" s="1" t="s">
        <v>24</v>
      </c>
      <c r="X2794" s="1">
        <v>2703</v>
      </c>
      <c r="Y2794" s="1">
        <v>2706</v>
      </c>
      <c r="Z2794" s="1" t="s">
        <v>24</v>
      </c>
      <c r="AA2794" s="1" t="s">
        <v>24</v>
      </c>
      <c r="AB2794" s="1" t="s">
        <v>24</v>
      </c>
      <c r="AC2794" s="1" t="s">
        <v>24</v>
      </c>
      <c r="AD2794" s="1" t="s">
        <v>24</v>
      </c>
      <c r="AE2794" s="1" t="s">
        <v>24</v>
      </c>
      <c r="AF2794" s="22"/>
    </row>
    <row r="2795" spans="1:32" x14ac:dyDescent="0.2">
      <c r="A2795" s="1">
        <v>20932</v>
      </c>
      <c r="B2795" s="1" t="s">
        <v>8806</v>
      </c>
      <c r="C2795" s="5" t="s">
        <v>0</v>
      </c>
      <c r="D2795" s="1" t="s">
        <v>8807</v>
      </c>
      <c r="F2795" s="1" t="s">
        <v>3724</v>
      </c>
      <c r="G2795" s="1" t="s">
        <v>2146</v>
      </c>
      <c r="H2795" s="1" t="s">
        <v>2147</v>
      </c>
      <c r="I2795" s="1" t="s">
        <v>16</v>
      </c>
      <c r="J2795" s="1">
        <v>1</v>
      </c>
      <c r="K2795" s="1">
        <v>4</v>
      </c>
      <c r="L2795" s="1" t="s">
        <v>42</v>
      </c>
      <c r="M2795" s="1" t="s">
        <v>18</v>
      </c>
      <c r="N2795" s="1" t="s">
        <v>18</v>
      </c>
      <c r="O2795" s="1">
        <v>3</v>
      </c>
      <c r="P2795" s="1">
        <v>6</v>
      </c>
      <c r="R2795" s="1" t="s">
        <v>19</v>
      </c>
      <c r="S2795" s="1" t="s">
        <v>20</v>
      </c>
      <c r="T2795" s="1" t="s">
        <v>21</v>
      </c>
      <c r="U2795" s="1" t="s">
        <v>22</v>
      </c>
      <c r="V2795" s="1" t="s">
        <v>24</v>
      </c>
      <c r="W2795" s="1" t="s">
        <v>24</v>
      </c>
      <c r="X2795" s="1">
        <v>2738</v>
      </c>
      <c r="Y2795" s="1" t="s">
        <v>24</v>
      </c>
      <c r="Z2795" s="1" t="s">
        <v>24</v>
      </c>
      <c r="AA2795" s="1" t="s">
        <v>24</v>
      </c>
      <c r="AB2795" s="1" t="s">
        <v>24</v>
      </c>
      <c r="AC2795" s="1" t="s">
        <v>24</v>
      </c>
      <c r="AD2795" s="1" t="s">
        <v>24</v>
      </c>
      <c r="AE2795" s="1" t="s">
        <v>24</v>
      </c>
      <c r="AF2795" s="22"/>
    </row>
    <row r="2796" spans="1:32" x14ac:dyDescent="0.2">
      <c r="A2796" s="1">
        <v>20934</v>
      </c>
      <c r="B2796" s="1" t="s">
        <v>8808</v>
      </c>
      <c r="C2796" s="5" t="s">
        <v>0</v>
      </c>
      <c r="D2796" s="1" t="s">
        <v>8809</v>
      </c>
      <c r="E2796" s="1" t="s">
        <v>8810</v>
      </c>
      <c r="F2796" s="1" t="s">
        <v>91</v>
      </c>
      <c r="G2796" s="1" t="s">
        <v>61</v>
      </c>
      <c r="H2796" s="1" t="s">
        <v>30</v>
      </c>
      <c r="I2796" s="1" t="s">
        <v>16</v>
      </c>
      <c r="J2796" s="1">
        <v>1</v>
      </c>
      <c r="K2796" s="1">
        <v>4</v>
      </c>
      <c r="L2796" s="1" t="s">
        <v>31</v>
      </c>
      <c r="M2796" s="1" t="s">
        <v>18</v>
      </c>
      <c r="N2796" s="1" t="s">
        <v>18</v>
      </c>
      <c r="O2796" s="1">
        <v>3</v>
      </c>
      <c r="P2796" s="1">
        <v>6</v>
      </c>
      <c r="R2796" s="1" t="s">
        <v>19</v>
      </c>
      <c r="S2796" s="1" t="s">
        <v>20</v>
      </c>
      <c r="T2796" s="1" t="s">
        <v>21</v>
      </c>
      <c r="U2796" s="1" t="s">
        <v>22</v>
      </c>
      <c r="V2796" s="1" t="s">
        <v>23</v>
      </c>
      <c r="W2796" s="1" t="s">
        <v>24</v>
      </c>
      <c r="X2796" s="1">
        <v>1306</v>
      </c>
      <c r="Y2796" s="1">
        <v>2730</v>
      </c>
      <c r="Z2796" s="1" t="s">
        <v>24</v>
      </c>
      <c r="AA2796" s="1" t="s">
        <v>24</v>
      </c>
      <c r="AB2796" s="1" t="s">
        <v>24</v>
      </c>
      <c r="AC2796" s="1" t="s">
        <v>24</v>
      </c>
      <c r="AD2796" s="1" t="s">
        <v>24</v>
      </c>
      <c r="AE2796" s="1" t="s">
        <v>24</v>
      </c>
      <c r="AF2796" s="22" t="s">
        <v>17670</v>
      </c>
    </row>
    <row r="2797" spans="1:32" x14ac:dyDescent="0.2">
      <c r="A2797" s="1">
        <v>20935</v>
      </c>
      <c r="B2797" s="1" t="s">
        <v>8811</v>
      </c>
      <c r="C2797" s="5" t="s">
        <v>0</v>
      </c>
      <c r="D2797" s="1" t="s">
        <v>8812</v>
      </c>
      <c r="E2797" s="1" t="s">
        <v>8813</v>
      </c>
      <c r="F2797" s="1" t="s">
        <v>91</v>
      </c>
      <c r="G2797" s="1" t="s">
        <v>61</v>
      </c>
      <c r="H2797" s="1" t="s">
        <v>30</v>
      </c>
      <c r="I2797" s="1" t="s">
        <v>16</v>
      </c>
      <c r="J2797" s="1">
        <v>1</v>
      </c>
      <c r="K2797" s="1">
        <v>6</v>
      </c>
      <c r="L2797" s="1" t="s">
        <v>31</v>
      </c>
      <c r="M2797" s="1" t="s">
        <v>18</v>
      </c>
      <c r="N2797" s="1" t="s">
        <v>18</v>
      </c>
      <c r="O2797" s="1">
        <v>3</v>
      </c>
      <c r="P2797" s="1">
        <v>6</v>
      </c>
      <c r="R2797" s="1" t="s">
        <v>19</v>
      </c>
      <c r="S2797" s="1" t="s">
        <v>20</v>
      </c>
      <c r="T2797" s="1" t="s">
        <v>21</v>
      </c>
      <c r="U2797" s="1" t="s">
        <v>22</v>
      </c>
      <c r="V2797" s="1" t="s">
        <v>23</v>
      </c>
      <c r="W2797" s="1" t="s">
        <v>24</v>
      </c>
      <c r="X2797" s="1">
        <v>1306</v>
      </c>
      <c r="Y2797" s="1">
        <v>2730</v>
      </c>
      <c r="Z2797" s="1">
        <v>2740</v>
      </c>
      <c r="AA2797" s="1" t="s">
        <v>24</v>
      </c>
      <c r="AB2797" s="1" t="s">
        <v>24</v>
      </c>
      <c r="AC2797" s="1" t="s">
        <v>24</v>
      </c>
      <c r="AD2797" s="1" t="s">
        <v>24</v>
      </c>
      <c r="AE2797" s="1" t="s">
        <v>24</v>
      </c>
      <c r="AF2797" s="22" t="s">
        <v>17670</v>
      </c>
    </row>
    <row r="2798" spans="1:32" x14ac:dyDescent="0.2">
      <c r="A2798" s="1">
        <v>20943</v>
      </c>
      <c r="B2798" s="1" t="s">
        <v>8814</v>
      </c>
      <c r="C2798" s="5" t="s">
        <v>0</v>
      </c>
      <c r="D2798" s="1" t="s">
        <v>8815</v>
      </c>
      <c r="E2798" s="1" t="s">
        <v>8816</v>
      </c>
      <c r="F2798" s="1" t="s">
        <v>91</v>
      </c>
      <c r="G2798" s="1" t="s">
        <v>61</v>
      </c>
      <c r="H2798" s="1" t="s">
        <v>92</v>
      </c>
      <c r="I2798" s="1" t="s">
        <v>16</v>
      </c>
      <c r="J2798" s="1">
        <v>3</v>
      </c>
      <c r="K2798" s="1">
        <v>2</v>
      </c>
      <c r="L2798" s="1" t="s">
        <v>31</v>
      </c>
      <c r="M2798" s="1" t="s">
        <v>18</v>
      </c>
      <c r="N2798" s="1" t="s">
        <v>18</v>
      </c>
      <c r="O2798" s="1">
        <v>2</v>
      </c>
      <c r="P2798" s="1">
        <v>6</v>
      </c>
      <c r="R2798" s="1" t="s">
        <v>19</v>
      </c>
      <c r="S2798" s="1" t="s">
        <v>63</v>
      </c>
      <c r="T2798" s="1" t="s">
        <v>21</v>
      </c>
      <c r="U2798" s="1" t="s">
        <v>22</v>
      </c>
      <c r="V2798" s="1" t="s">
        <v>24</v>
      </c>
      <c r="W2798" s="1" t="s">
        <v>24</v>
      </c>
      <c r="X2798" s="1">
        <v>1304</v>
      </c>
      <c r="Y2798" s="1">
        <v>1603</v>
      </c>
      <c r="Z2798" s="1">
        <v>1606</v>
      </c>
      <c r="AA2798" s="1" t="s">
        <v>24</v>
      </c>
      <c r="AB2798" s="1" t="s">
        <v>24</v>
      </c>
      <c r="AC2798" s="1" t="s">
        <v>24</v>
      </c>
      <c r="AD2798" s="1" t="s">
        <v>24</v>
      </c>
      <c r="AE2798" s="1" t="s">
        <v>24</v>
      </c>
      <c r="AF2798" s="22"/>
    </row>
    <row r="2799" spans="1:32" x14ac:dyDescent="0.2">
      <c r="A2799" s="1">
        <v>20944</v>
      </c>
      <c r="B2799" s="1" t="s">
        <v>8817</v>
      </c>
      <c r="C2799" s="5" t="s">
        <v>0</v>
      </c>
      <c r="D2799" s="1" t="s">
        <v>8818</v>
      </c>
      <c r="E2799" s="1" t="s">
        <v>8819</v>
      </c>
      <c r="F2799" s="1" t="s">
        <v>155</v>
      </c>
      <c r="G2799" s="1" t="s">
        <v>61</v>
      </c>
      <c r="H2799" s="1" t="s">
        <v>37</v>
      </c>
      <c r="I2799" s="1" t="s">
        <v>16</v>
      </c>
      <c r="J2799" s="1">
        <v>1</v>
      </c>
      <c r="K2799" s="1">
        <v>4</v>
      </c>
      <c r="L2799" s="1" t="s">
        <v>31</v>
      </c>
      <c r="M2799" s="1" t="s">
        <v>18</v>
      </c>
      <c r="N2799" s="1" t="s">
        <v>18</v>
      </c>
      <c r="O2799" s="1">
        <v>3</v>
      </c>
      <c r="P2799" s="1">
        <v>6</v>
      </c>
      <c r="R2799" s="1" t="s">
        <v>19</v>
      </c>
      <c r="S2799" s="1" t="s">
        <v>20</v>
      </c>
      <c r="T2799" s="1" t="s">
        <v>21</v>
      </c>
      <c r="U2799" s="1" t="s">
        <v>22</v>
      </c>
      <c r="V2799" s="1" t="s">
        <v>24</v>
      </c>
      <c r="W2799" s="1" t="s">
        <v>24</v>
      </c>
      <c r="X2799" s="1">
        <v>1109</v>
      </c>
      <c r="Y2799" s="1">
        <v>1105</v>
      </c>
      <c r="Z2799" s="1">
        <v>1309</v>
      </c>
      <c r="AA2799" s="1" t="s">
        <v>24</v>
      </c>
      <c r="AB2799" s="1" t="s">
        <v>24</v>
      </c>
      <c r="AC2799" s="1" t="s">
        <v>24</v>
      </c>
      <c r="AD2799" s="1" t="s">
        <v>24</v>
      </c>
      <c r="AE2799" s="1" t="s">
        <v>24</v>
      </c>
      <c r="AF2799" s="22"/>
    </row>
    <row r="2800" spans="1:32" x14ac:dyDescent="0.2">
      <c r="A2800" s="1">
        <v>20951</v>
      </c>
      <c r="B2800" s="1" t="s">
        <v>8820</v>
      </c>
      <c r="C2800" s="5" t="s">
        <v>0</v>
      </c>
      <c r="D2800" s="1" t="s">
        <v>8821</v>
      </c>
      <c r="E2800" s="1" t="s">
        <v>8822</v>
      </c>
      <c r="F2800" s="1" t="s">
        <v>155</v>
      </c>
      <c r="G2800" s="1" t="s">
        <v>61</v>
      </c>
      <c r="H2800" s="1" t="s">
        <v>37</v>
      </c>
      <c r="I2800" s="1" t="s">
        <v>16</v>
      </c>
      <c r="J2800" s="1">
        <v>1</v>
      </c>
      <c r="K2800" s="1">
        <v>6</v>
      </c>
      <c r="L2800" s="1" t="s">
        <v>31</v>
      </c>
      <c r="M2800" s="1" t="s">
        <v>18</v>
      </c>
      <c r="N2800" s="1" t="s">
        <v>18</v>
      </c>
      <c r="O2800" s="1">
        <v>3</v>
      </c>
      <c r="P2800" s="1">
        <v>7</v>
      </c>
      <c r="Q2800" s="7" t="s">
        <v>17633</v>
      </c>
      <c r="R2800" s="1" t="s">
        <v>19</v>
      </c>
      <c r="S2800" s="1" t="s">
        <v>20</v>
      </c>
      <c r="T2800" s="1" t="s">
        <v>21</v>
      </c>
      <c r="U2800" s="1" t="s">
        <v>22</v>
      </c>
      <c r="V2800" s="1" t="s">
        <v>24</v>
      </c>
      <c r="W2800" s="1" t="s">
        <v>24</v>
      </c>
      <c r="X2800" s="1">
        <v>2705</v>
      </c>
      <c r="Y2800" s="1">
        <v>2740</v>
      </c>
      <c r="Z2800" s="1" t="s">
        <v>24</v>
      </c>
      <c r="AA2800" s="1" t="s">
        <v>24</v>
      </c>
      <c r="AB2800" s="1" t="s">
        <v>24</v>
      </c>
      <c r="AC2800" s="1" t="s">
        <v>24</v>
      </c>
      <c r="AD2800" s="1" t="s">
        <v>24</v>
      </c>
      <c r="AE2800" s="1" t="s">
        <v>24</v>
      </c>
      <c r="AF2800" s="22"/>
    </row>
    <row r="2801" spans="1:32" x14ac:dyDescent="0.2">
      <c r="A2801" s="1">
        <v>20954</v>
      </c>
      <c r="B2801" s="1" t="s">
        <v>8823</v>
      </c>
      <c r="C2801" s="5" t="s">
        <v>0</v>
      </c>
      <c r="D2801" s="1" t="s">
        <v>8824</v>
      </c>
      <c r="E2801" s="1" t="s">
        <v>8825</v>
      </c>
      <c r="F2801" s="1" t="s">
        <v>1897</v>
      </c>
      <c r="G2801" s="1" t="s">
        <v>1898</v>
      </c>
      <c r="H2801" s="1" t="s">
        <v>899</v>
      </c>
      <c r="I2801" s="1" t="s">
        <v>16</v>
      </c>
      <c r="J2801" s="1">
        <v>1</v>
      </c>
      <c r="K2801" s="1">
        <v>4</v>
      </c>
      <c r="L2801" s="1" t="s">
        <v>31</v>
      </c>
      <c r="M2801" s="1" t="s">
        <v>18</v>
      </c>
      <c r="N2801" s="1" t="s">
        <v>18</v>
      </c>
      <c r="O2801" s="1">
        <v>3</v>
      </c>
      <c r="P2801" s="1">
        <v>6</v>
      </c>
      <c r="R2801" s="1" t="s">
        <v>19</v>
      </c>
      <c r="S2801" s="1" t="s">
        <v>20</v>
      </c>
      <c r="T2801" s="1" t="s">
        <v>21</v>
      </c>
      <c r="U2801" s="1" t="s">
        <v>22</v>
      </c>
      <c r="V2801" s="1" t="s">
        <v>24</v>
      </c>
      <c r="W2801" s="1" t="s">
        <v>24</v>
      </c>
      <c r="X2801" s="1">
        <v>2700</v>
      </c>
      <c r="Y2801" s="1" t="s">
        <v>24</v>
      </c>
      <c r="Z2801" s="1" t="s">
        <v>24</v>
      </c>
      <c r="AA2801" s="1" t="s">
        <v>24</v>
      </c>
      <c r="AB2801" s="1" t="s">
        <v>24</v>
      </c>
      <c r="AC2801" s="1" t="s">
        <v>24</v>
      </c>
      <c r="AD2801" s="1" t="s">
        <v>24</v>
      </c>
      <c r="AE2801" s="1" t="s">
        <v>24</v>
      </c>
      <c r="AF2801" s="22"/>
    </row>
    <row r="2802" spans="1:32" x14ac:dyDescent="0.2">
      <c r="A2802" s="1">
        <v>20975</v>
      </c>
      <c r="B2802" s="1" t="s">
        <v>8826</v>
      </c>
      <c r="C2802" s="5" t="s">
        <v>0</v>
      </c>
      <c r="D2802" s="1" t="s">
        <v>8827</v>
      </c>
      <c r="E2802" s="1" t="s">
        <v>8828</v>
      </c>
      <c r="F2802" s="1" t="s">
        <v>2559</v>
      </c>
      <c r="G2802" s="1" t="s">
        <v>2560</v>
      </c>
      <c r="H2802" s="1" t="s">
        <v>37</v>
      </c>
      <c r="I2802" s="1" t="s">
        <v>16</v>
      </c>
      <c r="J2802" s="1">
        <v>2</v>
      </c>
      <c r="K2802" s="1">
        <v>6</v>
      </c>
      <c r="L2802" s="1" t="s">
        <v>42</v>
      </c>
      <c r="M2802" s="1" t="s">
        <v>18</v>
      </c>
      <c r="N2802" s="1" t="s">
        <v>18</v>
      </c>
      <c r="O2802" s="1">
        <v>3</v>
      </c>
      <c r="P2802" s="1">
        <v>7</v>
      </c>
      <c r="Q2802" s="7" t="s">
        <v>17633</v>
      </c>
      <c r="R2802" s="1" t="s">
        <v>62</v>
      </c>
      <c r="S2802" s="1" t="s">
        <v>63</v>
      </c>
      <c r="T2802" s="1" t="s">
        <v>21</v>
      </c>
      <c r="U2802" s="1" t="s">
        <v>22</v>
      </c>
      <c r="V2802" s="1" t="s">
        <v>24</v>
      </c>
      <c r="W2802" s="1" t="s">
        <v>24</v>
      </c>
      <c r="X2802" s="1">
        <v>2729</v>
      </c>
      <c r="Y2802" s="1">
        <v>2743</v>
      </c>
      <c r="Z2802" s="1">
        <v>2710</v>
      </c>
      <c r="AA2802" s="1">
        <v>1310</v>
      </c>
      <c r="AB2802" s="1">
        <v>1307</v>
      </c>
      <c r="AC2802" s="1" t="s">
        <v>24</v>
      </c>
      <c r="AD2802" s="1" t="s">
        <v>24</v>
      </c>
      <c r="AE2802" s="1" t="s">
        <v>24</v>
      </c>
      <c r="AF2802" s="22"/>
    </row>
    <row r="2803" spans="1:32" x14ac:dyDescent="0.2">
      <c r="A2803" s="1">
        <v>20979</v>
      </c>
      <c r="B2803" s="1" t="s">
        <v>8829</v>
      </c>
      <c r="C2803" s="5" t="s">
        <v>0</v>
      </c>
      <c r="D2803" s="1" t="s">
        <v>8830</v>
      </c>
      <c r="E2803" s="1" t="s">
        <v>8831</v>
      </c>
      <c r="F2803" s="1" t="s">
        <v>8832</v>
      </c>
      <c r="G2803" s="1" t="s">
        <v>8832</v>
      </c>
      <c r="H2803" s="1" t="s">
        <v>37</v>
      </c>
      <c r="I2803" s="1" t="s">
        <v>16</v>
      </c>
      <c r="J2803" s="1">
        <v>1</v>
      </c>
      <c r="K2803" s="1">
        <v>4</v>
      </c>
      <c r="L2803" s="1" t="s">
        <v>42</v>
      </c>
      <c r="M2803" s="1" t="s">
        <v>18</v>
      </c>
      <c r="N2803" s="1" t="s">
        <v>18</v>
      </c>
      <c r="O2803" s="1">
        <v>3</v>
      </c>
      <c r="P2803" s="1">
        <v>6</v>
      </c>
      <c r="R2803" s="1" t="s">
        <v>19</v>
      </c>
      <c r="S2803" s="1" t="s">
        <v>20</v>
      </c>
      <c r="T2803" s="1" t="s">
        <v>21</v>
      </c>
      <c r="U2803" s="1" t="s">
        <v>22</v>
      </c>
      <c r="V2803" s="1" t="s">
        <v>23</v>
      </c>
      <c r="W2803" s="1" t="s">
        <v>24</v>
      </c>
      <c r="X2803" s="1">
        <v>2740</v>
      </c>
      <c r="Y2803" s="1">
        <v>2739</v>
      </c>
      <c r="Z2803" s="1" t="s">
        <v>24</v>
      </c>
      <c r="AA2803" s="1" t="s">
        <v>24</v>
      </c>
      <c r="AB2803" s="1" t="s">
        <v>24</v>
      </c>
      <c r="AC2803" s="1" t="s">
        <v>24</v>
      </c>
      <c r="AD2803" s="1" t="s">
        <v>24</v>
      </c>
      <c r="AE2803" s="1" t="s">
        <v>24</v>
      </c>
      <c r="AF2803" s="22"/>
    </row>
    <row r="2804" spans="1:32" x14ac:dyDescent="0.2">
      <c r="A2804" s="1">
        <v>20980</v>
      </c>
      <c r="B2804" s="1" t="s">
        <v>8833</v>
      </c>
      <c r="C2804" s="5" t="s">
        <v>0</v>
      </c>
      <c r="D2804" s="1" t="s">
        <v>8834</v>
      </c>
      <c r="E2804" s="1" t="s">
        <v>8835</v>
      </c>
      <c r="F2804" s="1" t="s">
        <v>167</v>
      </c>
      <c r="G2804" s="1" t="s">
        <v>130</v>
      </c>
      <c r="H2804" s="1" t="s">
        <v>168</v>
      </c>
      <c r="I2804" s="1" t="s">
        <v>16</v>
      </c>
      <c r="J2804" s="1">
        <v>1</v>
      </c>
      <c r="K2804" s="1">
        <v>6</v>
      </c>
      <c r="L2804" s="1" t="s">
        <v>31</v>
      </c>
      <c r="M2804" s="1" t="s">
        <v>18</v>
      </c>
      <c r="N2804" s="1" t="s">
        <v>18</v>
      </c>
      <c r="O2804" s="1">
        <v>3</v>
      </c>
      <c r="P2804" s="1">
        <v>7</v>
      </c>
      <c r="Q2804" s="7" t="s">
        <v>17633</v>
      </c>
      <c r="R2804" s="1" t="s">
        <v>19</v>
      </c>
      <c r="S2804" s="1" t="s">
        <v>20</v>
      </c>
      <c r="T2804" s="1" t="s">
        <v>21</v>
      </c>
      <c r="U2804" s="1" t="s">
        <v>22</v>
      </c>
      <c r="V2804" s="1" t="s">
        <v>24</v>
      </c>
      <c r="W2804" s="1" t="s">
        <v>24</v>
      </c>
      <c r="X2804" s="1">
        <v>1305</v>
      </c>
      <c r="Y2804" s="1">
        <v>1502</v>
      </c>
      <c r="Z2804" s="1" t="s">
        <v>24</v>
      </c>
      <c r="AA2804" s="1" t="s">
        <v>24</v>
      </c>
      <c r="AB2804" s="1" t="s">
        <v>24</v>
      </c>
      <c r="AC2804" s="1" t="s">
        <v>24</v>
      </c>
      <c r="AD2804" s="1" t="s">
        <v>24</v>
      </c>
      <c r="AE2804" s="1" t="s">
        <v>24</v>
      </c>
      <c r="AF2804" s="22"/>
    </row>
    <row r="2805" spans="1:32" x14ac:dyDescent="0.2">
      <c r="A2805" s="1">
        <v>20985</v>
      </c>
      <c r="B2805" s="1" t="s">
        <v>8836</v>
      </c>
      <c r="C2805" s="5" t="s">
        <v>0</v>
      </c>
      <c r="D2805" s="1" t="s">
        <v>8837</v>
      </c>
      <c r="E2805" s="1" t="s">
        <v>8838</v>
      </c>
      <c r="F2805" s="1" t="s">
        <v>618</v>
      </c>
      <c r="G2805" s="1" t="s">
        <v>619</v>
      </c>
      <c r="H2805" s="1" t="s">
        <v>30</v>
      </c>
      <c r="I2805" s="1" t="s">
        <v>112</v>
      </c>
      <c r="J2805" s="1">
        <v>1</v>
      </c>
      <c r="K2805" s="1">
        <v>1</v>
      </c>
      <c r="L2805" s="1" t="s">
        <v>31</v>
      </c>
      <c r="M2805" s="1" t="s">
        <v>18</v>
      </c>
      <c r="N2805" s="1" t="s">
        <v>18</v>
      </c>
      <c r="O2805" s="1">
        <v>3</v>
      </c>
      <c r="P2805" s="1">
        <v>6</v>
      </c>
      <c r="R2805" s="1" t="s">
        <v>62</v>
      </c>
      <c r="S2805" s="1" t="s">
        <v>20</v>
      </c>
      <c r="T2805" s="1" t="s">
        <v>21</v>
      </c>
      <c r="U2805" s="1" t="s">
        <v>22</v>
      </c>
      <c r="V2805" s="1" t="s">
        <v>24</v>
      </c>
      <c r="W2805" s="1" t="s">
        <v>24</v>
      </c>
      <c r="X2805" s="1">
        <v>2716</v>
      </c>
      <c r="Y2805" s="1">
        <v>1311</v>
      </c>
      <c r="Z2805" s="1">
        <v>1312</v>
      </c>
      <c r="AA2805" s="1" t="s">
        <v>24</v>
      </c>
      <c r="AB2805" s="1" t="s">
        <v>24</v>
      </c>
      <c r="AC2805" s="1" t="s">
        <v>24</v>
      </c>
      <c r="AD2805" s="1" t="s">
        <v>24</v>
      </c>
      <c r="AE2805" s="1" t="s">
        <v>24</v>
      </c>
      <c r="AF2805" s="22"/>
    </row>
    <row r="2806" spans="1:32" x14ac:dyDescent="0.2">
      <c r="A2806" s="1">
        <v>21008</v>
      </c>
      <c r="B2806" s="1" t="s">
        <v>8839</v>
      </c>
      <c r="C2806" s="5" t="s">
        <v>0</v>
      </c>
      <c r="D2806" s="1" t="s">
        <v>8840</v>
      </c>
      <c r="E2806" s="1" t="s">
        <v>8841</v>
      </c>
      <c r="F2806" s="1" t="s">
        <v>35</v>
      </c>
      <c r="G2806" s="1" t="s">
        <v>36</v>
      </c>
      <c r="H2806" s="1" t="s">
        <v>37</v>
      </c>
      <c r="I2806" s="1" t="s">
        <v>16</v>
      </c>
      <c r="J2806" s="1">
        <v>1</v>
      </c>
      <c r="K2806" s="1">
        <v>8</v>
      </c>
      <c r="L2806" s="1" t="s">
        <v>31</v>
      </c>
      <c r="M2806" s="1" t="s">
        <v>18</v>
      </c>
      <c r="N2806" s="1" t="s">
        <v>18</v>
      </c>
      <c r="O2806" s="1">
        <v>3</v>
      </c>
      <c r="P2806" s="1">
        <v>6</v>
      </c>
      <c r="R2806" s="1" t="s">
        <v>19</v>
      </c>
      <c r="S2806" s="1" t="s">
        <v>20</v>
      </c>
      <c r="T2806" s="1" t="s">
        <v>21</v>
      </c>
      <c r="U2806" s="1" t="s">
        <v>22</v>
      </c>
      <c r="V2806" s="1" t="s">
        <v>24</v>
      </c>
      <c r="W2806" s="1" t="s">
        <v>24</v>
      </c>
      <c r="X2806" s="1">
        <v>2402</v>
      </c>
      <c r="Y2806" s="1">
        <v>2404</v>
      </c>
      <c r="Z2806" s="1" t="s">
        <v>24</v>
      </c>
      <c r="AA2806" s="1" t="s">
        <v>24</v>
      </c>
      <c r="AB2806" s="1" t="s">
        <v>24</v>
      </c>
      <c r="AC2806" s="1" t="s">
        <v>24</v>
      </c>
      <c r="AD2806" s="1" t="s">
        <v>24</v>
      </c>
      <c r="AE2806" s="1" t="s">
        <v>24</v>
      </c>
      <c r="AF2806" s="22"/>
    </row>
    <row r="2807" spans="1:32" x14ac:dyDescent="0.2">
      <c r="A2807" s="1">
        <v>21032</v>
      </c>
      <c r="B2807" s="1" t="s">
        <v>8842</v>
      </c>
      <c r="C2807" s="5" t="s">
        <v>0</v>
      </c>
      <c r="D2807" s="1" t="s">
        <v>8843</v>
      </c>
      <c r="E2807" s="1" t="s">
        <v>127</v>
      </c>
      <c r="F2807" s="1" t="s">
        <v>129</v>
      </c>
      <c r="G2807" s="1" t="s">
        <v>130</v>
      </c>
      <c r="H2807" s="1" t="s">
        <v>131</v>
      </c>
      <c r="I2807" s="1" t="s">
        <v>112</v>
      </c>
      <c r="J2807" s="1">
        <v>0</v>
      </c>
      <c r="K2807" s="1">
        <v>0</v>
      </c>
      <c r="L2807" s="1" t="s">
        <v>31</v>
      </c>
      <c r="M2807" s="1" t="s">
        <v>18</v>
      </c>
      <c r="N2807" s="1" t="s">
        <v>18</v>
      </c>
      <c r="O2807" s="1">
        <v>3</v>
      </c>
      <c r="P2807" s="1">
        <v>6</v>
      </c>
      <c r="R2807" s="1" t="s">
        <v>19</v>
      </c>
      <c r="S2807" s="1" t="s">
        <v>20</v>
      </c>
      <c r="T2807" s="1" t="s">
        <v>21</v>
      </c>
      <c r="U2807" s="1" t="s">
        <v>22</v>
      </c>
      <c r="V2807" s="1" t="s">
        <v>24</v>
      </c>
      <c r="W2807" s="1" t="s">
        <v>24</v>
      </c>
      <c r="X2807" s="1">
        <v>2728</v>
      </c>
      <c r="Y2807" s="1">
        <v>2746</v>
      </c>
      <c r="Z2807" s="1" t="s">
        <v>24</v>
      </c>
      <c r="AA2807" s="1" t="s">
        <v>24</v>
      </c>
      <c r="AB2807" s="1" t="s">
        <v>24</v>
      </c>
      <c r="AC2807" s="1" t="s">
        <v>24</v>
      </c>
      <c r="AD2807" s="1" t="s">
        <v>24</v>
      </c>
      <c r="AE2807" s="1" t="s">
        <v>24</v>
      </c>
      <c r="AF2807" s="22" t="s">
        <v>17711</v>
      </c>
    </row>
    <row r="2808" spans="1:32" x14ac:dyDescent="0.2">
      <c r="A2808" s="1">
        <v>21037</v>
      </c>
      <c r="B2808" s="1" t="s">
        <v>8844</v>
      </c>
      <c r="C2808" s="5" t="s">
        <v>0</v>
      </c>
      <c r="D2808" s="1" t="s">
        <v>8845</v>
      </c>
      <c r="E2808" s="1" t="s">
        <v>8846</v>
      </c>
      <c r="F2808" s="1" t="s">
        <v>159</v>
      </c>
      <c r="G2808" s="1" t="s">
        <v>160</v>
      </c>
      <c r="H2808" s="1" t="s">
        <v>37</v>
      </c>
      <c r="I2808" s="1" t="s">
        <v>16</v>
      </c>
      <c r="J2808" s="1">
        <v>1</v>
      </c>
      <c r="K2808" s="1">
        <v>12</v>
      </c>
      <c r="L2808" s="1" t="s">
        <v>42</v>
      </c>
      <c r="M2808" s="1" t="s">
        <v>18</v>
      </c>
      <c r="N2808" s="1" t="s">
        <v>18</v>
      </c>
      <c r="O2808" s="1">
        <v>3</v>
      </c>
      <c r="P2808" s="1">
        <v>7</v>
      </c>
      <c r="Q2808" s="7" t="s">
        <v>17633</v>
      </c>
      <c r="R2808" s="1" t="s">
        <v>19</v>
      </c>
      <c r="S2808" s="1" t="s">
        <v>20</v>
      </c>
      <c r="T2808" s="1" t="s">
        <v>21</v>
      </c>
      <c r="U2808" s="1" t="s">
        <v>22</v>
      </c>
      <c r="V2808" s="1" t="s">
        <v>23</v>
      </c>
      <c r="W2808" s="1" t="s">
        <v>24</v>
      </c>
      <c r="X2808" s="1">
        <v>2706</v>
      </c>
      <c r="Y2808" s="1">
        <v>2711</v>
      </c>
      <c r="Z2808" s="1" t="s">
        <v>24</v>
      </c>
      <c r="AA2808" s="1" t="s">
        <v>24</v>
      </c>
      <c r="AB2808" s="1" t="s">
        <v>24</v>
      </c>
      <c r="AC2808" s="1" t="s">
        <v>24</v>
      </c>
      <c r="AD2808" s="1" t="s">
        <v>24</v>
      </c>
      <c r="AE2808" s="1" t="s">
        <v>24</v>
      </c>
      <c r="AF2808" s="22"/>
    </row>
    <row r="2809" spans="1:32" x14ac:dyDescent="0.2">
      <c r="A2809" s="1">
        <v>21040</v>
      </c>
      <c r="B2809" s="1" t="s">
        <v>8847</v>
      </c>
      <c r="C2809" s="5" t="s">
        <v>0</v>
      </c>
      <c r="D2809" s="1" t="s">
        <v>8848</v>
      </c>
      <c r="E2809" s="1" t="s">
        <v>8849</v>
      </c>
      <c r="F2809" s="1" t="s">
        <v>8850</v>
      </c>
      <c r="G2809" s="1" t="s">
        <v>8850</v>
      </c>
      <c r="H2809" s="1" t="s">
        <v>37</v>
      </c>
      <c r="I2809" s="1" t="s">
        <v>16</v>
      </c>
      <c r="J2809" s="1">
        <v>1</v>
      </c>
      <c r="K2809" s="1">
        <v>6</v>
      </c>
      <c r="L2809" s="1" t="s">
        <v>42</v>
      </c>
      <c r="M2809" s="1" t="s">
        <v>18</v>
      </c>
      <c r="N2809" s="1" t="s">
        <v>18</v>
      </c>
      <c r="O2809" s="1">
        <v>3</v>
      </c>
      <c r="P2809" s="1">
        <v>5</v>
      </c>
      <c r="R2809" s="1" t="s">
        <v>19</v>
      </c>
      <c r="S2809" s="1" t="s">
        <v>20</v>
      </c>
      <c r="T2809" s="1" t="s">
        <v>21</v>
      </c>
      <c r="U2809" s="1" t="s">
        <v>22</v>
      </c>
      <c r="V2809" s="1" t="s">
        <v>24</v>
      </c>
      <c r="W2809" s="1" t="s">
        <v>24</v>
      </c>
      <c r="X2809" s="1">
        <v>2700</v>
      </c>
      <c r="Y2809" s="1" t="s">
        <v>24</v>
      </c>
      <c r="Z2809" s="1" t="s">
        <v>24</v>
      </c>
      <c r="AA2809" s="1" t="s">
        <v>24</v>
      </c>
      <c r="AB2809" s="1" t="s">
        <v>24</v>
      </c>
      <c r="AC2809" s="1" t="s">
        <v>24</v>
      </c>
      <c r="AD2809" s="1" t="s">
        <v>24</v>
      </c>
      <c r="AE2809" s="1" t="s">
        <v>24</v>
      </c>
      <c r="AF2809" s="22"/>
    </row>
    <row r="2810" spans="1:32" x14ac:dyDescent="0.2">
      <c r="A2810" s="1">
        <v>21041</v>
      </c>
      <c r="B2810" s="1" t="s">
        <v>8851</v>
      </c>
      <c r="C2810" s="5" t="s">
        <v>0</v>
      </c>
      <c r="D2810" s="1" t="s">
        <v>8852</v>
      </c>
      <c r="E2810" s="1" t="s">
        <v>8853</v>
      </c>
      <c r="F2810" s="1" t="s">
        <v>3733</v>
      </c>
      <c r="G2810" s="1" t="s">
        <v>3733</v>
      </c>
      <c r="H2810" s="1" t="s">
        <v>111</v>
      </c>
      <c r="I2810" s="1" t="s">
        <v>16</v>
      </c>
      <c r="J2810" s="1">
        <v>1</v>
      </c>
      <c r="K2810" s="1">
        <v>26</v>
      </c>
      <c r="L2810" s="1" t="s">
        <v>42</v>
      </c>
      <c r="M2810" s="1" t="s">
        <v>2795</v>
      </c>
      <c r="N2810" s="1" t="s">
        <v>8854</v>
      </c>
      <c r="O2810" s="1">
        <v>3</v>
      </c>
      <c r="P2810" s="1">
        <v>6</v>
      </c>
      <c r="R2810" s="1" t="s">
        <v>19</v>
      </c>
      <c r="S2810" s="1" t="s">
        <v>63</v>
      </c>
      <c r="T2810" s="1" t="s">
        <v>21</v>
      </c>
      <c r="U2810" s="1" t="s">
        <v>22</v>
      </c>
      <c r="V2810" s="1" t="s">
        <v>24</v>
      </c>
      <c r="W2810" s="1" t="s">
        <v>24</v>
      </c>
      <c r="X2810" s="1">
        <v>2700</v>
      </c>
      <c r="Y2810" s="1" t="s">
        <v>24</v>
      </c>
      <c r="Z2810" s="1" t="s">
        <v>24</v>
      </c>
      <c r="AA2810" s="1" t="s">
        <v>24</v>
      </c>
      <c r="AB2810" s="1" t="s">
        <v>24</v>
      </c>
      <c r="AC2810" s="1" t="s">
        <v>24</v>
      </c>
      <c r="AD2810" s="1" t="s">
        <v>24</v>
      </c>
      <c r="AE2810" s="1" t="s">
        <v>24</v>
      </c>
      <c r="AF2810" s="22"/>
    </row>
    <row r="2811" spans="1:32" x14ac:dyDescent="0.2">
      <c r="A2811" s="1">
        <v>21073</v>
      </c>
      <c r="B2811" s="1" t="s">
        <v>8855</v>
      </c>
      <c r="C2811" s="5" t="s">
        <v>0</v>
      </c>
      <c r="D2811" s="1" t="s">
        <v>8856</v>
      </c>
      <c r="E2811" s="1" t="s">
        <v>8857</v>
      </c>
      <c r="F2811" s="1" t="s">
        <v>155</v>
      </c>
      <c r="G2811" s="1" t="s">
        <v>61</v>
      </c>
      <c r="H2811" s="1" t="s">
        <v>37</v>
      </c>
      <c r="I2811" s="1" t="s">
        <v>16</v>
      </c>
      <c r="J2811" s="1">
        <v>1</v>
      </c>
      <c r="K2811" s="1">
        <v>12</v>
      </c>
      <c r="L2811" s="1" t="s">
        <v>31</v>
      </c>
      <c r="M2811" s="1" t="s">
        <v>18</v>
      </c>
      <c r="N2811" s="1" t="s">
        <v>18</v>
      </c>
      <c r="O2811" s="1">
        <v>2</v>
      </c>
      <c r="P2811" s="1">
        <v>6</v>
      </c>
      <c r="R2811" s="1" t="s">
        <v>62</v>
      </c>
      <c r="S2811" s="1" t="s">
        <v>20</v>
      </c>
      <c r="T2811" s="1" t="s">
        <v>21</v>
      </c>
      <c r="U2811" s="1" t="s">
        <v>22</v>
      </c>
      <c r="V2811" s="1" t="s">
        <v>24</v>
      </c>
      <c r="W2811" s="1" t="s">
        <v>24</v>
      </c>
      <c r="X2811" s="1">
        <v>1312</v>
      </c>
      <c r="Y2811" s="1">
        <v>1313</v>
      </c>
      <c r="Z2811" s="1" t="s">
        <v>24</v>
      </c>
      <c r="AA2811" s="1" t="s">
        <v>24</v>
      </c>
      <c r="AB2811" s="1" t="s">
        <v>24</v>
      </c>
      <c r="AC2811" s="1" t="s">
        <v>24</v>
      </c>
      <c r="AD2811" s="1" t="s">
        <v>24</v>
      </c>
      <c r="AE2811" s="1" t="s">
        <v>24</v>
      </c>
      <c r="AF2811" s="22"/>
    </row>
    <row r="2812" spans="1:32" x14ac:dyDescent="0.2">
      <c r="A2812" s="1">
        <v>21074</v>
      </c>
      <c r="B2812" s="1" t="s">
        <v>8858</v>
      </c>
      <c r="C2812" s="5" t="s">
        <v>0</v>
      </c>
      <c r="D2812" s="1" t="s">
        <v>8859</v>
      </c>
      <c r="E2812" s="1" t="s">
        <v>8860</v>
      </c>
      <c r="F2812" s="1" t="s">
        <v>651</v>
      </c>
      <c r="G2812" s="1" t="s">
        <v>36</v>
      </c>
      <c r="H2812" s="1" t="s">
        <v>168</v>
      </c>
      <c r="I2812" s="1" t="s">
        <v>16</v>
      </c>
      <c r="J2812" s="1">
        <v>1</v>
      </c>
      <c r="K2812" s="1">
        <v>18</v>
      </c>
      <c r="L2812" s="1" t="s">
        <v>31</v>
      </c>
      <c r="M2812" s="1" t="s">
        <v>18</v>
      </c>
      <c r="N2812" s="1" t="s">
        <v>18</v>
      </c>
      <c r="O2812" s="1">
        <v>3</v>
      </c>
      <c r="P2812" s="1">
        <v>7</v>
      </c>
      <c r="Q2812" s="7" t="s">
        <v>17633</v>
      </c>
      <c r="R2812" s="1" t="s">
        <v>19</v>
      </c>
      <c r="S2812" s="1" t="s">
        <v>20</v>
      </c>
      <c r="T2812" s="1" t="s">
        <v>21</v>
      </c>
      <c r="U2812" s="1" t="s">
        <v>22</v>
      </c>
      <c r="V2812" s="1" t="s">
        <v>24</v>
      </c>
      <c r="W2812" s="1" t="s">
        <v>24</v>
      </c>
      <c r="X2812" s="1">
        <v>1602</v>
      </c>
      <c r="Y2812" s="1">
        <v>1506</v>
      </c>
      <c r="Z2812" s="1" t="s">
        <v>24</v>
      </c>
      <c r="AA2812" s="1" t="s">
        <v>24</v>
      </c>
      <c r="AB2812" s="1" t="s">
        <v>24</v>
      </c>
      <c r="AC2812" s="1" t="s">
        <v>24</v>
      </c>
      <c r="AD2812" s="1" t="s">
        <v>24</v>
      </c>
      <c r="AE2812" s="1" t="s">
        <v>24</v>
      </c>
      <c r="AF2812" s="22"/>
    </row>
    <row r="2813" spans="1:32" x14ac:dyDescent="0.2">
      <c r="A2813" s="1">
        <v>21075</v>
      </c>
      <c r="B2813" s="1" t="s">
        <v>8861</v>
      </c>
      <c r="C2813" s="5" t="s">
        <v>0</v>
      </c>
      <c r="D2813" s="1" t="s">
        <v>8862</v>
      </c>
      <c r="E2813" s="1" t="s">
        <v>8863</v>
      </c>
      <c r="F2813" s="1" t="s">
        <v>371</v>
      </c>
      <c r="G2813" s="1" t="s">
        <v>372</v>
      </c>
      <c r="H2813" s="1" t="s">
        <v>30</v>
      </c>
      <c r="I2813" s="1" t="s">
        <v>16</v>
      </c>
      <c r="J2813" s="1">
        <v>1</v>
      </c>
      <c r="K2813" s="1">
        <v>6</v>
      </c>
      <c r="L2813" s="1" t="s">
        <v>31</v>
      </c>
      <c r="M2813" s="1" t="s">
        <v>18</v>
      </c>
      <c r="N2813" s="1" t="s">
        <v>18</v>
      </c>
      <c r="O2813" s="1">
        <v>3</v>
      </c>
      <c r="P2813" s="1">
        <v>6</v>
      </c>
      <c r="R2813" s="1" t="s">
        <v>19</v>
      </c>
      <c r="S2813" s="1" t="s">
        <v>63</v>
      </c>
      <c r="T2813" s="1" t="s">
        <v>21</v>
      </c>
      <c r="U2813" s="1" t="s">
        <v>22</v>
      </c>
      <c r="V2813" s="1" t="s">
        <v>24</v>
      </c>
      <c r="W2813" s="1" t="s">
        <v>24</v>
      </c>
      <c r="X2813" s="1">
        <v>1310</v>
      </c>
      <c r="Y2813" s="1">
        <v>2712</v>
      </c>
      <c r="Z2813" s="1">
        <v>2737</v>
      </c>
      <c r="AA2813" s="1">
        <v>2729</v>
      </c>
      <c r="AB2813" s="1">
        <v>2743</v>
      </c>
      <c r="AC2813" s="1" t="s">
        <v>24</v>
      </c>
      <c r="AD2813" s="1" t="s">
        <v>24</v>
      </c>
      <c r="AE2813" s="1" t="s">
        <v>24</v>
      </c>
      <c r="AF2813" s="22"/>
    </row>
    <row r="2814" spans="1:32" x14ac:dyDescent="0.2">
      <c r="A2814" s="1">
        <v>21216</v>
      </c>
      <c r="B2814" s="1" t="s">
        <v>8864</v>
      </c>
      <c r="C2814" s="5" t="s">
        <v>0</v>
      </c>
      <c r="D2814" s="1" t="s">
        <v>8865</v>
      </c>
      <c r="E2814" s="1" t="s">
        <v>8866</v>
      </c>
      <c r="F2814" s="1" t="s">
        <v>2622</v>
      </c>
      <c r="G2814" s="1" t="s">
        <v>61</v>
      </c>
      <c r="H2814" s="1" t="s">
        <v>69</v>
      </c>
      <c r="I2814" s="1" t="s">
        <v>16</v>
      </c>
      <c r="J2814" s="1">
        <v>1</v>
      </c>
      <c r="K2814" s="1">
        <v>6</v>
      </c>
      <c r="L2814" s="1" t="s">
        <v>31</v>
      </c>
      <c r="M2814" s="1" t="s">
        <v>18</v>
      </c>
      <c r="N2814" s="1" t="s">
        <v>18</v>
      </c>
      <c r="O2814" s="1">
        <v>3</v>
      </c>
      <c r="P2814" s="1">
        <v>5</v>
      </c>
      <c r="R2814" s="1" t="s">
        <v>19</v>
      </c>
      <c r="S2814" s="1" t="s">
        <v>20</v>
      </c>
      <c r="T2814" s="1" t="s">
        <v>21</v>
      </c>
      <c r="U2814" s="1" t="s">
        <v>22</v>
      </c>
      <c r="V2814" s="1" t="s">
        <v>24</v>
      </c>
      <c r="W2814" s="1" t="s">
        <v>24</v>
      </c>
      <c r="X2814" s="1">
        <v>2726</v>
      </c>
      <c r="Y2814" s="1">
        <v>2725</v>
      </c>
      <c r="Z2814" s="1" t="s">
        <v>24</v>
      </c>
      <c r="AA2814" s="1" t="s">
        <v>24</v>
      </c>
      <c r="AB2814" s="1" t="s">
        <v>24</v>
      </c>
      <c r="AC2814" s="1" t="s">
        <v>24</v>
      </c>
      <c r="AD2814" s="1" t="s">
        <v>24</v>
      </c>
      <c r="AE2814" s="1" t="s">
        <v>24</v>
      </c>
      <c r="AF2814" s="22"/>
    </row>
    <row r="2815" spans="1:32" x14ac:dyDescent="0.2">
      <c r="A2815" s="1">
        <v>21403</v>
      </c>
      <c r="B2815" s="1" t="s">
        <v>8867</v>
      </c>
      <c r="C2815" s="5" t="s">
        <v>0</v>
      </c>
      <c r="E2815" s="1" t="s">
        <v>8868</v>
      </c>
      <c r="F2815" s="1" t="s">
        <v>6173</v>
      </c>
      <c r="G2815" s="1" t="s">
        <v>6173</v>
      </c>
      <c r="H2815" s="1" t="s">
        <v>1384</v>
      </c>
      <c r="I2815" s="1" t="s">
        <v>16</v>
      </c>
      <c r="J2815" s="1">
        <v>1</v>
      </c>
      <c r="K2815" s="1">
        <v>8</v>
      </c>
      <c r="L2815" s="1" t="s">
        <v>42</v>
      </c>
      <c r="M2815" s="1" t="s">
        <v>18</v>
      </c>
      <c r="N2815" s="1" t="s">
        <v>3142</v>
      </c>
      <c r="O2815" s="1">
        <v>2</v>
      </c>
      <c r="P2815" s="1">
        <v>6</v>
      </c>
      <c r="R2815" s="1" t="s">
        <v>19</v>
      </c>
      <c r="S2815" s="1" t="s">
        <v>20</v>
      </c>
      <c r="T2815" s="1" t="s">
        <v>21</v>
      </c>
      <c r="U2815" s="1" t="s">
        <v>22</v>
      </c>
      <c r="V2815" s="1" t="s">
        <v>23</v>
      </c>
      <c r="W2815" s="1" t="s">
        <v>24</v>
      </c>
      <c r="X2815" s="1">
        <v>2705</v>
      </c>
      <c r="Y2815" s="1" t="s">
        <v>24</v>
      </c>
      <c r="Z2815" s="1" t="s">
        <v>24</v>
      </c>
      <c r="AA2815" s="1" t="s">
        <v>24</v>
      </c>
      <c r="AB2815" s="1" t="s">
        <v>24</v>
      </c>
      <c r="AC2815" s="1" t="s">
        <v>24</v>
      </c>
      <c r="AD2815" s="1" t="s">
        <v>24</v>
      </c>
      <c r="AE2815" s="1" t="s">
        <v>24</v>
      </c>
      <c r="AF2815" s="22" t="s">
        <v>17714</v>
      </c>
    </row>
    <row r="2816" spans="1:32" x14ac:dyDescent="0.2">
      <c r="A2816" s="1">
        <v>21423</v>
      </c>
      <c r="B2816" s="1" t="s">
        <v>8869</v>
      </c>
      <c r="C2816" s="5" t="s">
        <v>0</v>
      </c>
      <c r="D2816" s="1" t="s">
        <v>8870</v>
      </c>
      <c r="E2816" s="1" t="s">
        <v>8871</v>
      </c>
      <c r="F2816" s="1" t="s">
        <v>8872</v>
      </c>
      <c r="G2816" s="1" t="s">
        <v>8872</v>
      </c>
      <c r="H2816" s="1" t="s">
        <v>92</v>
      </c>
      <c r="I2816" s="1" t="s">
        <v>16</v>
      </c>
      <c r="J2816" s="1">
        <v>1</v>
      </c>
      <c r="K2816" s="1">
        <v>4</v>
      </c>
      <c r="L2816" s="1" t="s">
        <v>42</v>
      </c>
      <c r="M2816" s="1" t="s">
        <v>18</v>
      </c>
      <c r="N2816" s="1" t="s">
        <v>18</v>
      </c>
      <c r="O2816" s="1">
        <v>3</v>
      </c>
      <c r="P2816" s="1">
        <v>7</v>
      </c>
      <c r="Q2816" s="7" t="s">
        <v>17633</v>
      </c>
      <c r="R2816" s="1" t="s">
        <v>19</v>
      </c>
      <c r="S2816" s="1" t="s">
        <v>20</v>
      </c>
      <c r="T2816" s="1" t="s">
        <v>21</v>
      </c>
      <c r="U2816" s="1" t="s">
        <v>22</v>
      </c>
      <c r="V2816" s="1" t="s">
        <v>23</v>
      </c>
      <c r="W2816" s="1" t="s">
        <v>24</v>
      </c>
      <c r="X2816" s="1">
        <v>3003</v>
      </c>
      <c r="Y2816" s="1">
        <v>3304</v>
      </c>
      <c r="Z2816" s="1">
        <v>3611</v>
      </c>
      <c r="AA2816" s="1" t="s">
        <v>24</v>
      </c>
      <c r="AB2816" s="1" t="s">
        <v>24</v>
      </c>
      <c r="AC2816" s="1" t="s">
        <v>24</v>
      </c>
      <c r="AD2816" s="1" t="s">
        <v>24</v>
      </c>
      <c r="AE2816" s="1" t="s">
        <v>24</v>
      </c>
      <c r="AF2816" s="22"/>
    </row>
    <row r="2817" spans="1:32" x14ac:dyDescent="0.2">
      <c r="A2817" s="1">
        <v>21433</v>
      </c>
      <c r="B2817" s="1" t="s">
        <v>8873</v>
      </c>
      <c r="C2817" s="5" t="s">
        <v>0</v>
      </c>
      <c r="D2817" s="1" t="s">
        <v>8874</v>
      </c>
      <c r="F2817" s="1" t="s">
        <v>8875</v>
      </c>
      <c r="G2817" s="1" t="s">
        <v>8876</v>
      </c>
      <c r="H2817" s="1" t="s">
        <v>899</v>
      </c>
      <c r="I2817" s="1" t="s">
        <v>16</v>
      </c>
      <c r="J2817" s="1">
        <v>1</v>
      </c>
      <c r="K2817" s="1">
        <v>2</v>
      </c>
      <c r="L2817" s="1" t="s">
        <v>31</v>
      </c>
      <c r="M2817" s="1" t="s">
        <v>18</v>
      </c>
      <c r="N2817" s="1" t="s">
        <v>18</v>
      </c>
      <c r="O2817" s="1">
        <v>2</v>
      </c>
      <c r="P2817" s="1">
        <v>6</v>
      </c>
      <c r="R2817" s="1" t="s">
        <v>19</v>
      </c>
      <c r="S2817" s="1" t="s">
        <v>20</v>
      </c>
      <c r="T2817" s="1" t="s">
        <v>21</v>
      </c>
      <c r="U2817" s="1" t="s">
        <v>22</v>
      </c>
      <c r="V2817" s="1" t="s">
        <v>24</v>
      </c>
      <c r="W2817" s="1" t="s">
        <v>24</v>
      </c>
      <c r="X2817" s="1">
        <v>3004</v>
      </c>
      <c r="Y2817" s="1" t="s">
        <v>24</v>
      </c>
      <c r="Z2817" s="1" t="s">
        <v>24</v>
      </c>
      <c r="AA2817" s="1" t="s">
        <v>24</v>
      </c>
      <c r="AB2817" s="1" t="s">
        <v>24</v>
      </c>
      <c r="AC2817" s="1" t="s">
        <v>24</v>
      </c>
      <c r="AD2817" s="1" t="s">
        <v>24</v>
      </c>
      <c r="AE2817" s="1" t="s">
        <v>24</v>
      </c>
      <c r="AF2817" s="22"/>
    </row>
    <row r="2818" spans="1:32" x14ac:dyDescent="0.2">
      <c r="A2818" s="1">
        <v>21434</v>
      </c>
      <c r="B2818" s="1" t="s">
        <v>8877</v>
      </c>
      <c r="C2818" s="5" t="s">
        <v>0</v>
      </c>
      <c r="D2818" s="1" t="s">
        <v>8878</v>
      </c>
      <c r="F2818" s="1" t="s">
        <v>35</v>
      </c>
      <c r="G2818" s="1" t="s">
        <v>36</v>
      </c>
      <c r="H2818" s="1" t="s">
        <v>37</v>
      </c>
      <c r="I2818" s="1" t="s">
        <v>16</v>
      </c>
      <c r="J2818" s="1">
        <v>0</v>
      </c>
      <c r="K2818" s="1">
        <v>0</v>
      </c>
      <c r="L2818" s="1" t="s">
        <v>31</v>
      </c>
      <c r="M2818" s="1" t="s">
        <v>18</v>
      </c>
      <c r="N2818" s="1" t="s">
        <v>18</v>
      </c>
      <c r="O2818" s="1">
        <v>3</v>
      </c>
      <c r="P2818" s="1">
        <v>6</v>
      </c>
      <c r="R2818" s="1" t="s">
        <v>19</v>
      </c>
      <c r="S2818" s="1" t="s">
        <v>20</v>
      </c>
      <c r="T2818" s="1" t="s">
        <v>21</v>
      </c>
      <c r="U2818" s="1" t="s">
        <v>22</v>
      </c>
      <c r="V2818" s="1" t="s">
        <v>24</v>
      </c>
      <c r="W2818" s="1" t="s">
        <v>24</v>
      </c>
      <c r="X2818" s="1">
        <v>2700</v>
      </c>
      <c r="Y2818" s="1">
        <v>3304</v>
      </c>
      <c r="Z2818" s="1" t="s">
        <v>24</v>
      </c>
      <c r="AA2818" s="1" t="s">
        <v>24</v>
      </c>
      <c r="AB2818" s="1" t="s">
        <v>24</v>
      </c>
      <c r="AC2818" s="1" t="s">
        <v>24</v>
      </c>
      <c r="AD2818" s="1" t="s">
        <v>24</v>
      </c>
      <c r="AE2818" s="1" t="s">
        <v>24</v>
      </c>
      <c r="AF2818" s="22"/>
    </row>
    <row r="2819" spans="1:32" x14ac:dyDescent="0.2">
      <c r="A2819" s="1">
        <v>21435</v>
      </c>
      <c r="B2819" s="1" t="s">
        <v>8879</v>
      </c>
      <c r="C2819" s="5" t="s">
        <v>0</v>
      </c>
      <c r="D2819" s="1" t="s">
        <v>8880</v>
      </c>
      <c r="E2819" s="1" t="s">
        <v>8881</v>
      </c>
      <c r="F2819" s="1" t="s">
        <v>91</v>
      </c>
      <c r="G2819" s="1" t="s">
        <v>61</v>
      </c>
      <c r="H2819" s="1" t="s">
        <v>92</v>
      </c>
      <c r="I2819" s="1" t="s">
        <v>16</v>
      </c>
      <c r="J2819" s="1">
        <v>1</v>
      </c>
      <c r="K2819" s="1">
        <v>12</v>
      </c>
      <c r="L2819" s="1" t="s">
        <v>31</v>
      </c>
      <c r="M2819" s="1" t="s">
        <v>18</v>
      </c>
      <c r="N2819" s="1" t="s">
        <v>18</v>
      </c>
      <c r="O2819" s="1">
        <v>3</v>
      </c>
      <c r="P2819" s="1">
        <v>7</v>
      </c>
      <c r="Q2819" s="7" t="s">
        <v>17633</v>
      </c>
      <c r="R2819" s="1" t="s">
        <v>19</v>
      </c>
      <c r="S2819" s="1" t="s">
        <v>63</v>
      </c>
      <c r="T2819" s="1" t="s">
        <v>21</v>
      </c>
      <c r="U2819" s="1" t="s">
        <v>22</v>
      </c>
      <c r="V2819" s="1" t="s">
        <v>24</v>
      </c>
      <c r="W2819" s="1" t="s">
        <v>64</v>
      </c>
      <c r="X2819" s="1">
        <v>2403</v>
      </c>
      <c r="Y2819" s="1">
        <v>2723</v>
      </c>
      <c r="Z2819" s="1">
        <v>3004</v>
      </c>
      <c r="AA2819" s="1" t="s">
        <v>24</v>
      </c>
      <c r="AB2819" s="1" t="s">
        <v>24</v>
      </c>
      <c r="AC2819" s="1" t="s">
        <v>24</v>
      </c>
      <c r="AD2819" s="1" t="s">
        <v>24</v>
      </c>
      <c r="AE2819" s="1" t="s">
        <v>24</v>
      </c>
      <c r="AF2819" s="22"/>
    </row>
    <row r="2820" spans="1:32" x14ac:dyDescent="0.2">
      <c r="A2820" s="1">
        <v>21438</v>
      </c>
      <c r="B2820" s="1" t="s">
        <v>8882</v>
      </c>
      <c r="C2820" s="5" t="s">
        <v>0</v>
      </c>
      <c r="D2820" s="1" t="s">
        <v>8883</v>
      </c>
      <c r="E2820" s="1" t="s">
        <v>8884</v>
      </c>
      <c r="F2820" s="1" t="s">
        <v>751</v>
      </c>
      <c r="G2820" s="1" t="s">
        <v>36</v>
      </c>
      <c r="H2820" s="1" t="s">
        <v>37</v>
      </c>
      <c r="I2820" s="1" t="s">
        <v>16</v>
      </c>
      <c r="J2820" s="1">
        <v>1</v>
      </c>
      <c r="K2820" s="1">
        <v>5</v>
      </c>
      <c r="L2820" s="1" t="s">
        <v>31</v>
      </c>
      <c r="M2820" s="1" t="s">
        <v>18</v>
      </c>
      <c r="N2820" s="1" t="s">
        <v>18</v>
      </c>
      <c r="O2820" s="1">
        <v>3</v>
      </c>
      <c r="P2820" s="1">
        <v>6</v>
      </c>
      <c r="R2820" s="1" t="s">
        <v>19</v>
      </c>
      <c r="S2820" s="1" t="s">
        <v>20</v>
      </c>
      <c r="T2820" s="1" t="s">
        <v>21</v>
      </c>
      <c r="U2820" s="1" t="s">
        <v>22</v>
      </c>
      <c r="V2820" s="1" t="s">
        <v>23</v>
      </c>
      <c r="W2820" s="1" t="s">
        <v>24</v>
      </c>
      <c r="X2820" s="1">
        <v>2738</v>
      </c>
      <c r="Y2820" s="1">
        <v>3202</v>
      </c>
      <c r="Z2820" s="1">
        <v>3203</v>
      </c>
      <c r="AA2820" s="1" t="s">
        <v>24</v>
      </c>
      <c r="AB2820" s="1" t="s">
        <v>24</v>
      </c>
      <c r="AC2820" s="1" t="s">
        <v>24</v>
      </c>
      <c r="AD2820" s="1" t="s">
        <v>24</v>
      </c>
      <c r="AE2820" s="1" t="s">
        <v>24</v>
      </c>
      <c r="AF2820" s="22"/>
    </row>
    <row r="2821" spans="1:32" x14ac:dyDescent="0.2">
      <c r="A2821" s="1">
        <v>21446</v>
      </c>
      <c r="B2821" s="1" t="s">
        <v>8885</v>
      </c>
      <c r="C2821" s="5" t="s">
        <v>0</v>
      </c>
      <c r="D2821" s="1" t="s">
        <v>8886</v>
      </c>
      <c r="E2821" s="1" t="s">
        <v>8887</v>
      </c>
      <c r="F2821" s="1" t="s">
        <v>272</v>
      </c>
      <c r="G2821" s="1" t="s">
        <v>61</v>
      </c>
      <c r="H2821" s="1" t="s">
        <v>30</v>
      </c>
      <c r="I2821" s="1" t="s">
        <v>16</v>
      </c>
      <c r="J2821" s="1">
        <v>1</v>
      </c>
      <c r="K2821" s="1">
        <v>1</v>
      </c>
      <c r="L2821" s="1" t="s">
        <v>31</v>
      </c>
      <c r="M2821" s="1" t="s">
        <v>18</v>
      </c>
      <c r="N2821" s="1" t="s">
        <v>18</v>
      </c>
      <c r="O2821" s="1">
        <v>3</v>
      </c>
      <c r="P2821" s="1">
        <v>7</v>
      </c>
      <c r="Q2821" s="7" t="s">
        <v>17633</v>
      </c>
      <c r="R2821" s="1" t="s">
        <v>19</v>
      </c>
      <c r="S2821" s="1" t="s">
        <v>63</v>
      </c>
      <c r="T2821" s="1" t="s">
        <v>21</v>
      </c>
      <c r="U2821" s="1" t="s">
        <v>22</v>
      </c>
      <c r="V2821" s="1" t="s">
        <v>24</v>
      </c>
      <c r="W2821" s="1" t="s">
        <v>64</v>
      </c>
      <c r="X2821" s="1">
        <v>1303</v>
      </c>
      <c r="Y2821" s="1">
        <v>1307</v>
      </c>
      <c r="Z2821" s="1">
        <v>1314</v>
      </c>
      <c r="AA2821" s="1">
        <v>2307</v>
      </c>
      <c r="AB2821" s="1">
        <v>3005</v>
      </c>
      <c r="AC2821" s="1" t="s">
        <v>24</v>
      </c>
      <c r="AD2821" s="1" t="s">
        <v>24</v>
      </c>
      <c r="AE2821" s="1" t="s">
        <v>24</v>
      </c>
      <c r="AF2821" s="22" t="s">
        <v>17666</v>
      </c>
    </row>
    <row r="2822" spans="1:32" x14ac:dyDescent="0.2">
      <c r="A2822" s="1">
        <v>21448</v>
      </c>
      <c r="B2822" s="1" t="s">
        <v>8888</v>
      </c>
      <c r="C2822" s="5" t="s">
        <v>0</v>
      </c>
      <c r="D2822" s="1" t="s">
        <v>8889</v>
      </c>
      <c r="F2822" s="1" t="s">
        <v>8890</v>
      </c>
      <c r="G2822" s="1" t="s">
        <v>8890</v>
      </c>
      <c r="H2822" s="1" t="s">
        <v>684</v>
      </c>
      <c r="I2822" s="1" t="s">
        <v>16</v>
      </c>
      <c r="J2822" s="1">
        <v>1</v>
      </c>
      <c r="K2822" s="1">
        <v>4</v>
      </c>
      <c r="L2822" s="1" t="s">
        <v>42</v>
      </c>
      <c r="M2822" s="1" t="s">
        <v>852</v>
      </c>
      <c r="N2822" s="1" t="s">
        <v>1755</v>
      </c>
      <c r="O2822" s="1">
        <v>2</v>
      </c>
      <c r="P2822" s="1">
        <v>5</v>
      </c>
      <c r="R2822" s="1" t="s">
        <v>19</v>
      </c>
      <c r="S2822" s="1" t="s">
        <v>20</v>
      </c>
      <c r="T2822" s="1" t="s">
        <v>21</v>
      </c>
      <c r="U2822" s="1" t="s">
        <v>22</v>
      </c>
      <c r="V2822" s="1" t="s">
        <v>24</v>
      </c>
      <c r="W2822" s="1" t="s">
        <v>24</v>
      </c>
      <c r="X2822" s="1">
        <v>1310</v>
      </c>
      <c r="Y2822" s="1">
        <v>2724</v>
      </c>
      <c r="Z2822" s="1">
        <v>2712</v>
      </c>
      <c r="AA2822" s="1" t="s">
        <v>24</v>
      </c>
      <c r="AB2822" s="1" t="s">
        <v>24</v>
      </c>
      <c r="AC2822" s="1" t="s">
        <v>24</v>
      </c>
      <c r="AD2822" s="1" t="s">
        <v>24</v>
      </c>
      <c r="AE2822" s="1" t="s">
        <v>24</v>
      </c>
      <c r="AF2822" s="22"/>
    </row>
    <row r="2823" spans="1:32" x14ac:dyDescent="0.2">
      <c r="A2823" s="1">
        <v>21449</v>
      </c>
      <c r="B2823" s="1" t="s">
        <v>8891</v>
      </c>
      <c r="C2823" s="5" t="s">
        <v>0</v>
      </c>
      <c r="D2823" s="1" t="s">
        <v>8892</v>
      </c>
      <c r="E2823" s="1" t="s">
        <v>8893</v>
      </c>
      <c r="F2823" s="1" t="s">
        <v>296</v>
      </c>
      <c r="G2823" s="1" t="s">
        <v>36</v>
      </c>
      <c r="H2823" s="1" t="s">
        <v>264</v>
      </c>
      <c r="I2823" s="1" t="s">
        <v>16</v>
      </c>
      <c r="J2823" s="1">
        <v>1</v>
      </c>
      <c r="K2823" s="1">
        <v>12</v>
      </c>
      <c r="L2823" s="1" t="s">
        <v>31</v>
      </c>
      <c r="M2823" s="1" t="s">
        <v>18</v>
      </c>
      <c r="N2823" s="1" t="s">
        <v>18</v>
      </c>
      <c r="O2823" s="1">
        <v>3</v>
      </c>
      <c r="P2823" s="1">
        <v>7</v>
      </c>
      <c r="Q2823" s="7" t="s">
        <v>17633</v>
      </c>
      <c r="R2823" s="1" t="s">
        <v>19</v>
      </c>
      <c r="S2823" s="1" t="s">
        <v>20</v>
      </c>
      <c r="T2823" s="1" t="s">
        <v>21</v>
      </c>
      <c r="U2823" s="1" t="s">
        <v>22</v>
      </c>
      <c r="V2823" s="1" t="s">
        <v>24</v>
      </c>
      <c r="W2823" s="1" t="s">
        <v>24</v>
      </c>
      <c r="X2823" s="1">
        <v>2724</v>
      </c>
      <c r="Y2823" s="1" t="s">
        <v>24</v>
      </c>
      <c r="Z2823" s="1" t="s">
        <v>24</v>
      </c>
      <c r="AA2823" s="1" t="s">
        <v>24</v>
      </c>
      <c r="AB2823" s="1" t="s">
        <v>24</v>
      </c>
      <c r="AC2823" s="1" t="s">
        <v>24</v>
      </c>
      <c r="AD2823" s="1" t="s">
        <v>24</v>
      </c>
      <c r="AE2823" s="1" t="s">
        <v>24</v>
      </c>
      <c r="AF2823" s="22"/>
    </row>
    <row r="2824" spans="1:32" x14ac:dyDescent="0.2">
      <c r="A2824" s="1">
        <v>21459</v>
      </c>
      <c r="B2824" s="1" t="s">
        <v>8894</v>
      </c>
      <c r="C2824" s="5" t="s">
        <v>0</v>
      </c>
      <c r="D2824" s="1" t="s">
        <v>8895</v>
      </c>
      <c r="E2824" s="1" t="s">
        <v>8896</v>
      </c>
      <c r="F2824" s="1" t="s">
        <v>190</v>
      </c>
      <c r="G2824" s="1" t="s">
        <v>130</v>
      </c>
      <c r="H2824" s="1" t="s">
        <v>30</v>
      </c>
      <c r="I2824" s="1" t="s">
        <v>16</v>
      </c>
      <c r="J2824" s="1">
        <v>1</v>
      </c>
      <c r="K2824" s="1">
        <v>4</v>
      </c>
      <c r="L2824" s="1" t="s">
        <v>31</v>
      </c>
      <c r="M2824" s="1" t="s">
        <v>18</v>
      </c>
      <c r="N2824" s="1" t="s">
        <v>18</v>
      </c>
      <c r="O2824" s="1">
        <v>3</v>
      </c>
      <c r="P2824" s="1">
        <v>7</v>
      </c>
      <c r="Q2824" s="7" t="s">
        <v>17633</v>
      </c>
      <c r="R2824" s="1" t="s">
        <v>19</v>
      </c>
      <c r="S2824" s="1" t="s">
        <v>20</v>
      </c>
      <c r="T2824" s="1" t="s">
        <v>21</v>
      </c>
      <c r="U2824" s="1" t="s">
        <v>22</v>
      </c>
      <c r="V2824" s="1" t="s">
        <v>24</v>
      </c>
      <c r="W2824" s="1" t="s">
        <v>24</v>
      </c>
      <c r="X2824" s="1">
        <v>2733</v>
      </c>
      <c r="Y2824" s="1">
        <v>2809</v>
      </c>
      <c r="Z2824" s="1" t="s">
        <v>24</v>
      </c>
      <c r="AA2824" s="1" t="s">
        <v>24</v>
      </c>
      <c r="AB2824" s="1" t="s">
        <v>24</v>
      </c>
      <c r="AC2824" s="1" t="s">
        <v>24</v>
      </c>
      <c r="AD2824" s="1" t="s">
        <v>24</v>
      </c>
      <c r="AE2824" s="1" t="s">
        <v>24</v>
      </c>
      <c r="AF2824" s="22"/>
    </row>
    <row r="2825" spans="1:32" x14ac:dyDescent="0.2">
      <c r="A2825" s="1">
        <v>21461</v>
      </c>
      <c r="B2825" s="1" t="s">
        <v>8897</v>
      </c>
      <c r="C2825" s="5" t="s">
        <v>0</v>
      </c>
      <c r="D2825" s="1" t="s">
        <v>8898</v>
      </c>
      <c r="E2825" s="1" t="s">
        <v>8899</v>
      </c>
      <c r="F2825" s="1" t="s">
        <v>155</v>
      </c>
      <c r="G2825" s="1" t="s">
        <v>61</v>
      </c>
      <c r="H2825" s="1" t="s">
        <v>37</v>
      </c>
      <c r="I2825" s="1" t="s">
        <v>16</v>
      </c>
      <c r="J2825" s="1">
        <v>1</v>
      </c>
      <c r="K2825" s="1">
        <v>12</v>
      </c>
      <c r="L2825" s="1" t="s">
        <v>31</v>
      </c>
      <c r="M2825" s="1" t="s">
        <v>18</v>
      </c>
      <c r="N2825" s="1" t="s">
        <v>18</v>
      </c>
      <c r="O2825" s="1">
        <v>3</v>
      </c>
      <c r="P2825" s="1">
        <v>6</v>
      </c>
      <c r="R2825" s="1" t="s">
        <v>62</v>
      </c>
      <c r="S2825" s="1" t="s">
        <v>20</v>
      </c>
      <c r="T2825" s="1" t="s">
        <v>21</v>
      </c>
      <c r="U2825" s="1" t="s">
        <v>22</v>
      </c>
      <c r="V2825" s="1" t="s">
        <v>24</v>
      </c>
      <c r="W2825" s="1" t="s">
        <v>24</v>
      </c>
      <c r="X2825" s="1">
        <v>2723</v>
      </c>
      <c r="Y2825" s="1">
        <v>2403</v>
      </c>
      <c r="Z2825" s="1" t="s">
        <v>24</v>
      </c>
      <c r="AA2825" s="1" t="s">
        <v>24</v>
      </c>
      <c r="AB2825" s="1" t="s">
        <v>24</v>
      </c>
      <c r="AC2825" s="1" t="s">
        <v>24</v>
      </c>
      <c r="AD2825" s="1" t="s">
        <v>24</v>
      </c>
      <c r="AE2825" s="1" t="s">
        <v>24</v>
      </c>
      <c r="AF2825" s="22"/>
    </row>
    <row r="2826" spans="1:32" x14ac:dyDescent="0.2">
      <c r="A2826" s="1">
        <v>21462</v>
      </c>
      <c r="B2826" s="1" t="s">
        <v>8900</v>
      </c>
      <c r="C2826" s="5" t="s">
        <v>0</v>
      </c>
      <c r="D2826" s="1" t="s">
        <v>8901</v>
      </c>
      <c r="E2826" s="1" t="s">
        <v>8902</v>
      </c>
      <c r="F2826" s="1" t="s">
        <v>155</v>
      </c>
      <c r="G2826" s="1" t="s">
        <v>61</v>
      </c>
      <c r="H2826" s="1" t="s">
        <v>37</v>
      </c>
      <c r="I2826" s="1" t="s">
        <v>16</v>
      </c>
      <c r="J2826" s="1">
        <v>1</v>
      </c>
      <c r="K2826" s="1">
        <v>12</v>
      </c>
      <c r="L2826" s="1" t="s">
        <v>31</v>
      </c>
      <c r="M2826" s="1" t="s">
        <v>18</v>
      </c>
      <c r="N2826" s="1" t="s">
        <v>18</v>
      </c>
      <c r="O2826" s="1">
        <v>3</v>
      </c>
      <c r="P2826" s="1">
        <v>6</v>
      </c>
      <c r="R2826" s="1" t="s">
        <v>62</v>
      </c>
      <c r="S2826" s="1" t="s">
        <v>20</v>
      </c>
      <c r="T2826" s="1" t="s">
        <v>21</v>
      </c>
      <c r="U2826" s="1" t="s">
        <v>22</v>
      </c>
      <c r="V2826" s="1" t="s">
        <v>24</v>
      </c>
      <c r="W2826" s="1" t="s">
        <v>24</v>
      </c>
      <c r="X2826" s="1">
        <v>2725</v>
      </c>
      <c r="Y2826" s="1">
        <v>2405</v>
      </c>
      <c r="Z2826" s="1" t="s">
        <v>24</v>
      </c>
      <c r="AA2826" s="1" t="s">
        <v>24</v>
      </c>
      <c r="AB2826" s="1" t="s">
        <v>24</v>
      </c>
      <c r="AC2826" s="1" t="s">
        <v>24</v>
      </c>
      <c r="AD2826" s="1" t="s">
        <v>24</v>
      </c>
      <c r="AE2826" s="1" t="s">
        <v>24</v>
      </c>
      <c r="AF2826" s="22"/>
    </row>
    <row r="2827" spans="1:32" x14ac:dyDescent="0.2">
      <c r="A2827" s="1">
        <v>21463</v>
      </c>
      <c r="B2827" s="1" t="s">
        <v>8903</v>
      </c>
      <c r="C2827" s="5" t="s">
        <v>0</v>
      </c>
      <c r="D2827" s="1" t="s">
        <v>8904</v>
      </c>
      <c r="E2827" s="1" t="s">
        <v>8905</v>
      </c>
      <c r="F2827" s="1" t="s">
        <v>190</v>
      </c>
      <c r="G2827" s="1" t="s">
        <v>130</v>
      </c>
      <c r="H2827" s="1" t="s">
        <v>30</v>
      </c>
      <c r="I2827" s="1" t="s">
        <v>16</v>
      </c>
      <c r="J2827" s="1">
        <v>1</v>
      </c>
      <c r="K2827" s="1">
        <v>6</v>
      </c>
      <c r="L2827" s="1" t="s">
        <v>31</v>
      </c>
      <c r="M2827" s="1" t="s">
        <v>18</v>
      </c>
      <c r="N2827" s="1" t="s">
        <v>18</v>
      </c>
      <c r="O2827" s="1">
        <v>3</v>
      </c>
      <c r="P2827" s="1">
        <v>7</v>
      </c>
      <c r="Q2827" s="7" t="s">
        <v>17633</v>
      </c>
      <c r="R2827" s="1" t="s">
        <v>19</v>
      </c>
      <c r="S2827" s="1" t="s">
        <v>20</v>
      </c>
      <c r="T2827" s="1" t="s">
        <v>21</v>
      </c>
      <c r="U2827" s="1" t="s">
        <v>22</v>
      </c>
      <c r="V2827" s="1" t="s">
        <v>24</v>
      </c>
      <c r="W2827" s="1" t="s">
        <v>24</v>
      </c>
      <c r="X2827" s="1">
        <v>3004</v>
      </c>
      <c r="Y2827" s="1" t="s">
        <v>24</v>
      </c>
      <c r="Z2827" s="1" t="s">
        <v>24</v>
      </c>
      <c r="AA2827" s="1" t="s">
        <v>24</v>
      </c>
      <c r="AB2827" s="1" t="s">
        <v>24</v>
      </c>
      <c r="AC2827" s="1" t="s">
        <v>24</v>
      </c>
      <c r="AD2827" s="1" t="s">
        <v>24</v>
      </c>
      <c r="AE2827" s="1" t="s">
        <v>24</v>
      </c>
      <c r="AF2827" s="22"/>
    </row>
    <row r="2828" spans="1:32" x14ac:dyDescent="0.2">
      <c r="A2828" s="1">
        <v>21467</v>
      </c>
      <c r="B2828" s="1" t="s">
        <v>8906</v>
      </c>
      <c r="C2828" s="5" t="s">
        <v>0</v>
      </c>
      <c r="D2828" s="1" t="s">
        <v>8907</v>
      </c>
      <c r="F2828" s="1" t="s">
        <v>4109</v>
      </c>
      <c r="G2828" s="1" t="s">
        <v>4109</v>
      </c>
      <c r="H2828" s="1" t="s">
        <v>37</v>
      </c>
      <c r="I2828" s="1" t="s">
        <v>112</v>
      </c>
      <c r="J2828" s="1">
        <v>1</v>
      </c>
      <c r="K2828" s="1">
        <v>6</v>
      </c>
      <c r="L2828" s="1" t="s">
        <v>42</v>
      </c>
      <c r="M2828" s="1" t="s">
        <v>18</v>
      </c>
      <c r="N2828" s="1" t="s">
        <v>105</v>
      </c>
      <c r="O2828" s="1">
        <v>3</v>
      </c>
      <c r="P2828" s="1">
        <v>6</v>
      </c>
      <c r="R2828" s="1" t="s">
        <v>19</v>
      </c>
      <c r="S2828" s="1" t="s">
        <v>20</v>
      </c>
      <c r="T2828" s="1" t="s">
        <v>21</v>
      </c>
      <c r="U2828" s="1" t="s">
        <v>22</v>
      </c>
      <c r="V2828" s="1" t="s">
        <v>24</v>
      </c>
      <c r="W2828" s="1" t="s">
        <v>24</v>
      </c>
      <c r="X2828" s="1">
        <v>2312</v>
      </c>
      <c r="Y2828" s="1" t="s">
        <v>24</v>
      </c>
      <c r="Z2828" s="1" t="s">
        <v>24</v>
      </c>
      <c r="AA2828" s="1" t="s">
        <v>24</v>
      </c>
      <c r="AB2828" s="1" t="s">
        <v>24</v>
      </c>
      <c r="AC2828" s="1" t="s">
        <v>24</v>
      </c>
      <c r="AD2828" s="1" t="s">
        <v>24</v>
      </c>
      <c r="AE2828" s="1" t="s">
        <v>24</v>
      </c>
      <c r="AF2828" s="22"/>
    </row>
    <row r="2829" spans="1:32" x14ac:dyDescent="0.2">
      <c r="A2829" s="1">
        <v>21470</v>
      </c>
      <c r="B2829" s="1" t="s">
        <v>8908</v>
      </c>
      <c r="C2829" s="5" t="s">
        <v>0</v>
      </c>
      <c r="D2829" s="1" t="s">
        <v>8909</v>
      </c>
      <c r="E2829" s="1" t="s">
        <v>8910</v>
      </c>
      <c r="F2829" s="1" t="s">
        <v>540</v>
      </c>
      <c r="G2829" s="1" t="s">
        <v>130</v>
      </c>
      <c r="H2829" s="1" t="s">
        <v>684</v>
      </c>
      <c r="I2829" s="1" t="s">
        <v>16</v>
      </c>
      <c r="J2829" s="1">
        <v>1</v>
      </c>
      <c r="K2829" s="1">
        <v>4</v>
      </c>
      <c r="L2829" s="1" t="s">
        <v>31</v>
      </c>
      <c r="M2829" s="1" t="s">
        <v>18</v>
      </c>
      <c r="N2829" s="1" t="s">
        <v>18</v>
      </c>
      <c r="O2829" s="1">
        <v>3</v>
      </c>
      <c r="P2829" s="1">
        <v>7</v>
      </c>
      <c r="Q2829" s="7" t="s">
        <v>17633</v>
      </c>
      <c r="R2829" s="1" t="s">
        <v>19</v>
      </c>
      <c r="S2829" s="1" t="s">
        <v>20</v>
      </c>
      <c r="T2829" s="1" t="s">
        <v>21</v>
      </c>
      <c r="U2829" s="1" t="s">
        <v>22</v>
      </c>
      <c r="V2829" s="1" t="s">
        <v>24</v>
      </c>
      <c r="W2829" s="1" t="s">
        <v>24</v>
      </c>
      <c r="X2829" s="1">
        <v>2700</v>
      </c>
      <c r="Y2829" s="1">
        <v>1300</v>
      </c>
      <c r="Z2829" s="1" t="s">
        <v>24</v>
      </c>
      <c r="AA2829" s="1" t="s">
        <v>24</v>
      </c>
      <c r="AB2829" s="1" t="s">
        <v>24</v>
      </c>
      <c r="AC2829" s="1" t="s">
        <v>24</v>
      </c>
      <c r="AD2829" s="1" t="s">
        <v>24</v>
      </c>
      <c r="AE2829" s="1" t="s">
        <v>24</v>
      </c>
      <c r="AF2829" s="22"/>
    </row>
    <row r="2830" spans="1:32" x14ac:dyDescent="0.2">
      <c r="A2830" s="1">
        <v>21471</v>
      </c>
      <c r="B2830" s="1" t="s">
        <v>8911</v>
      </c>
      <c r="C2830" s="5" t="s">
        <v>0</v>
      </c>
      <c r="D2830" s="1" t="s">
        <v>8912</v>
      </c>
      <c r="E2830" s="1" t="s">
        <v>8913</v>
      </c>
      <c r="F2830" s="1" t="s">
        <v>689</v>
      </c>
      <c r="G2830" s="1" t="s">
        <v>311</v>
      </c>
      <c r="H2830" s="1" t="s">
        <v>30</v>
      </c>
      <c r="I2830" s="1" t="s">
        <v>16</v>
      </c>
      <c r="J2830" s="1">
        <v>1</v>
      </c>
      <c r="K2830" s="1">
        <v>4</v>
      </c>
      <c r="L2830" s="1" t="s">
        <v>31</v>
      </c>
      <c r="M2830" s="1" t="s">
        <v>18</v>
      </c>
      <c r="N2830" s="1" t="s">
        <v>18</v>
      </c>
      <c r="O2830" s="1">
        <v>2</v>
      </c>
      <c r="P2830" s="1">
        <v>7</v>
      </c>
      <c r="Q2830" s="7" t="s">
        <v>17633</v>
      </c>
      <c r="R2830" s="1" t="s">
        <v>19</v>
      </c>
      <c r="S2830" s="1" t="s">
        <v>20</v>
      </c>
      <c r="T2830" s="1" t="s">
        <v>21</v>
      </c>
      <c r="U2830" s="1" t="s">
        <v>22</v>
      </c>
      <c r="V2830" s="1" t="s">
        <v>23</v>
      </c>
      <c r="W2830" s="1" t="s">
        <v>24</v>
      </c>
      <c r="X2830" s="1">
        <v>2701</v>
      </c>
      <c r="Y2830" s="1">
        <v>3306</v>
      </c>
      <c r="Z2830" s="1" t="s">
        <v>24</v>
      </c>
      <c r="AA2830" s="1" t="s">
        <v>24</v>
      </c>
      <c r="AB2830" s="1" t="s">
        <v>24</v>
      </c>
      <c r="AC2830" s="1" t="s">
        <v>24</v>
      </c>
      <c r="AD2830" s="1" t="s">
        <v>24</v>
      </c>
      <c r="AE2830" s="1" t="s">
        <v>24</v>
      </c>
      <c r="AF2830" s="22"/>
    </row>
    <row r="2831" spans="1:32" x14ac:dyDescent="0.2">
      <c r="A2831" s="1">
        <v>21474</v>
      </c>
      <c r="B2831" s="1" t="s">
        <v>8914</v>
      </c>
      <c r="C2831" s="5" t="s">
        <v>0</v>
      </c>
      <c r="D2831" s="1" t="s">
        <v>8915</v>
      </c>
      <c r="E2831" s="1" t="s">
        <v>8916</v>
      </c>
      <c r="F2831" s="1" t="s">
        <v>493</v>
      </c>
      <c r="G2831" s="1" t="s">
        <v>98</v>
      </c>
      <c r="H2831" s="1" t="s">
        <v>30</v>
      </c>
      <c r="I2831" s="1" t="s">
        <v>16</v>
      </c>
      <c r="J2831" s="1">
        <v>1</v>
      </c>
      <c r="K2831" s="1">
        <v>6</v>
      </c>
      <c r="L2831" s="1" t="s">
        <v>31</v>
      </c>
      <c r="M2831" s="1" t="s">
        <v>18</v>
      </c>
      <c r="N2831" s="1" t="s">
        <v>18</v>
      </c>
      <c r="O2831" s="1">
        <v>3</v>
      </c>
      <c r="P2831" s="1">
        <v>6</v>
      </c>
      <c r="R2831" s="1" t="s">
        <v>19</v>
      </c>
      <c r="S2831" s="1" t="s">
        <v>20</v>
      </c>
      <c r="T2831" s="1" t="s">
        <v>21</v>
      </c>
      <c r="U2831" s="1" t="s">
        <v>22</v>
      </c>
      <c r="V2831" s="1" t="s">
        <v>23</v>
      </c>
      <c r="W2831" s="1" t="s">
        <v>24</v>
      </c>
      <c r="X2831" s="1">
        <v>2738</v>
      </c>
      <c r="Y2831" s="1">
        <v>2717</v>
      </c>
      <c r="Z2831" s="1">
        <v>3203</v>
      </c>
      <c r="AA2831" s="1" t="s">
        <v>24</v>
      </c>
      <c r="AB2831" s="1" t="s">
        <v>24</v>
      </c>
      <c r="AC2831" s="1" t="s">
        <v>24</v>
      </c>
      <c r="AD2831" s="1" t="s">
        <v>24</v>
      </c>
      <c r="AE2831" s="1" t="s">
        <v>24</v>
      </c>
      <c r="AF2831" s="22"/>
    </row>
    <row r="2832" spans="1:32" x14ac:dyDescent="0.2">
      <c r="A2832" s="1">
        <v>21475</v>
      </c>
      <c r="B2832" s="1" t="s">
        <v>8917</v>
      </c>
      <c r="C2832" s="5" t="s">
        <v>0</v>
      </c>
      <c r="D2832" s="1" t="s">
        <v>8918</v>
      </c>
      <c r="E2832" s="1" t="s">
        <v>8919</v>
      </c>
      <c r="F2832" s="1" t="s">
        <v>167</v>
      </c>
      <c r="G2832" s="1" t="s">
        <v>130</v>
      </c>
      <c r="H2832" s="1" t="s">
        <v>168</v>
      </c>
      <c r="I2832" s="1" t="s">
        <v>16</v>
      </c>
      <c r="J2832" s="1">
        <v>2</v>
      </c>
      <c r="K2832" s="1">
        <v>6</v>
      </c>
      <c r="L2832" s="1" t="s">
        <v>31</v>
      </c>
      <c r="M2832" s="1" t="s">
        <v>18</v>
      </c>
      <c r="N2832" s="1" t="s">
        <v>18</v>
      </c>
      <c r="O2832" s="1">
        <v>3</v>
      </c>
      <c r="P2832" s="1">
        <v>7</v>
      </c>
      <c r="Q2832" s="7" t="s">
        <v>17633</v>
      </c>
      <c r="R2832" s="1" t="s">
        <v>19</v>
      </c>
      <c r="S2832" s="1" t="s">
        <v>20</v>
      </c>
      <c r="T2832" s="1" t="s">
        <v>21</v>
      </c>
      <c r="U2832" s="1" t="s">
        <v>22</v>
      </c>
      <c r="V2832" s="1" t="s">
        <v>24</v>
      </c>
      <c r="W2832" s="1" t="s">
        <v>24</v>
      </c>
      <c r="X2832" s="1">
        <v>1311</v>
      </c>
      <c r="Y2832" s="1">
        <v>1312</v>
      </c>
      <c r="Z2832" s="1" t="s">
        <v>24</v>
      </c>
      <c r="AA2832" s="1" t="s">
        <v>24</v>
      </c>
      <c r="AB2832" s="1" t="s">
        <v>24</v>
      </c>
      <c r="AC2832" s="1" t="s">
        <v>24</v>
      </c>
      <c r="AD2832" s="1" t="s">
        <v>24</v>
      </c>
      <c r="AE2832" s="1" t="s">
        <v>24</v>
      </c>
      <c r="AF2832" s="22"/>
    </row>
    <row r="2833" spans="1:32" x14ac:dyDescent="0.2">
      <c r="A2833" s="1">
        <v>21476</v>
      </c>
      <c r="B2833" s="1" t="s">
        <v>8920</v>
      </c>
      <c r="C2833" s="5" t="s">
        <v>0</v>
      </c>
      <c r="D2833" s="1" t="s">
        <v>8921</v>
      </c>
      <c r="F2833" s="1" t="s">
        <v>60</v>
      </c>
      <c r="G2833" s="1" t="s">
        <v>61</v>
      </c>
      <c r="H2833" s="1" t="s">
        <v>30</v>
      </c>
      <c r="I2833" s="1" t="s">
        <v>16</v>
      </c>
      <c r="J2833" s="1">
        <v>1</v>
      </c>
      <c r="K2833" s="1">
        <v>6</v>
      </c>
      <c r="L2833" s="1" t="s">
        <v>31</v>
      </c>
      <c r="M2833" s="1" t="s">
        <v>18</v>
      </c>
      <c r="N2833" s="1" t="s">
        <v>18</v>
      </c>
      <c r="O2833" s="1">
        <v>3</v>
      </c>
      <c r="P2833" s="1">
        <v>7</v>
      </c>
      <c r="Q2833" s="7" t="s">
        <v>17633</v>
      </c>
      <c r="R2833" s="1" t="s">
        <v>19</v>
      </c>
      <c r="S2833" s="1" t="s">
        <v>20</v>
      </c>
      <c r="T2833" s="1" t="s">
        <v>21</v>
      </c>
      <c r="U2833" s="1" t="s">
        <v>22</v>
      </c>
      <c r="V2833" s="1" t="s">
        <v>23</v>
      </c>
      <c r="W2833" s="1" t="s">
        <v>24</v>
      </c>
      <c r="X2833" s="1">
        <v>1706</v>
      </c>
      <c r="Y2833" s="1">
        <v>2718</v>
      </c>
      <c r="Z2833" s="1" t="s">
        <v>24</v>
      </c>
      <c r="AA2833" s="1" t="s">
        <v>24</v>
      </c>
      <c r="AB2833" s="1" t="s">
        <v>24</v>
      </c>
      <c r="AC2833" s="1" t="s">
        <v>24</v>
      </c>
      <c r="AD2833" s="1" t="s">
        <v>24</v>
      </c>
      <c r="AE2833" s="1" t="s">
        <v>24</v>
      </c>
      <c r="AF2833" s="22"/>
    </row>
    <row r="2834" spans="1:32" x14ac:dyDescent="0.2">
      <c r="A2834" s="1">
        <v>21482</v>
      </c>
      <c r="B2834" s="1" t="s">
        <v>8922</v>
      </c>
      <c r="C2834" s="5" t="s">
        <v>0</v>
      </c>
      <c r="D2834" s="1" t="s">
        <v>8923</v>
      </c>
      <c r="E2834" s="1" t="s">
        <v>8924</v>
      </c>
      <c r="F2834" s="1" t="s">
        <v>831</v>
      </c>
      <c r="G2834" s="1" t="s">
        <v>61</v>
      </c>
      <c r="H2834" s="1" t="s">
        <v>37</v>
      </c>
      <c r="I2834" s="1" t="s">
        <v>16</v>
      </c>
      <c r="J2834" s="1">
        <v>1</v>
      </c>
      <c r="K2834" s="1">
        <v>6</v>
      </c>
      <c r="L2834" s="1" t="s">
        <v>31</v>
      </c>
      <c r="M2834" s="1" t="s">
        <v>18</v>
      </c>
      <c r="N2834" s="1" t="s">
        <v>18</v>
      </c>
      <c r="O2834" s="1">
        <v>3</v>
      </c>
      <c r="P2834" s="1">
        <v>7</v>
      </c>
      <c r="Q2834" s="7" t="s">
        <v>17633</v>
      </c>
      <c r="R2834" s="1" t="s">
        <v>62</v>
      </c>
      <c r="S2834" s="1" t="s">
        <v>20</v>
      </c>
      <c r="T2834" s="1" t="s">
        <v>21</v>
      </c>
      <c r="U2834" s="1" t="s">
        <v>22</v>
      </c>
      <c r="V2834" s="1" t="s">
        <v>24</v>
      </c>
      <c r="W2834" s="1" t="s">
        <v>24</v>
      </c>
      <c r="X2834" s="1">
        <v>2404</v>
      </c>
      <c r="Y2834" s="1">
        <v>2403</v>
      </c>
      <c r="Z2834" s="1">
        <v>2725</v>
      </c>
      <c r="AA2834" s="1">
        <v>2726</v>
      </c>
      <c r="AB2834" s="1" t="s">
        <v>24</v>
      </c>
      <c r="AC2834" s="1" t="s">
        <v>24</v>
      </c>
      <c r="AD2834" s="1" t="s">
        <v>24</v>
      </c>
      <c r="AE2834" s="1" t="s">
        <v>24</v>
      </c>
      <c r="AF2834" s="22"/>
    </row>
    <row r="2835" spans="1:32" x14ac:dyDescent="0.2">
      <c r="A2835" s="1">
        <v>21483</v>
      </c>
      <c r="B2835" s="1" t="s">
        <v>8925</v>
      </c>
      <c r="C2835" s="5" t="s">
        <v>0</v>
      </c>
      <c r="D2835" s="1" t="s">
        <v>8926</v>
      </c>
      <c r="F2835" s="1" t="s">
        <v>8927</v>
      </c>
      <c r="G2835" s="1" t="s">
        <v>8927</v>
      </c>
      <c r="H2835" s="1" t="s">
        <v>878</v>
      </c>
      <c r="I2835" s="1" t="s">
        <v>16</v>
      </c>
      <c r="J2835" s="1">
        <v>1</v>
      </c>
      <c r="K2835" s="1">
        <v>4</v>
      </c>
      <c r="L2835" s="1" t="s">
        <v>42</v>
      </c>
      <c r="M2835" s="1" t="s">
        <v>117</v>
      </c>
      <c r="N2835" s="1" t="s">
        <v>18</v>
      </c>
      <c r="O2835" s="1">
        <v>2</v>
      </c>
      <c r="P2835" s="1">
        <v>5</v>
      </c>
      <c r="R2835" s="1" t="s">
        <v>19</v>
      </c>
      <c r="S2835" s="1" t="s">
        <v>20</v>
      </c>
      <c r="T2835" s="1" t="s">
        <v>21</v>
      </c>
      <c r="U2835" s="1" t="s">
        <v>22</v>
      </c>
      <c r="V2835" s="1" t="s">
        <v>24</v>
      </c>
      <c r="W2835" s="1" t="s">
        <v>24</v>
      </c>
      <c r="X2835" s="1">
        <v>2705</v>
      </c>
      <c r="Y2835" s="1" t="s">
        <v>24</v>
      </c>
      <c r="Z2835" s="1" t="s">
        <v>24</v>
      </c>
      <c r="AA2835" s="1" t="s">
        <v>24</v>
      </c>
      <c r="AB2835" s="1" t="s">
        <v>24</v>
      </c>
      <c r="AC2835" s="1" t="s">
        <v>24</v>
      </c>
      <c r="AD2835" s="1" t="s">
        <v>24</v>
      </c>
      <c r="AE2835" s="1" t="s">
        <v>24</v>
      </c>
      <c r="AF2835" s="22"/>
    </row>
    <row r="2836" spans="1:32" x14ac:dyDescent="0.2">
      <c r="A2836" s="1">
        <v>21493</v>
      </c>
      <c r="B2836" s="1" t="s">
        <v>8928</v>
      </c>
      <c r="C2836" s="5" t="s">
        <v>0</v>
      </c>
      <c r="D2836" s="1" t="s">
        <v>8929</v>
      </c>
      <c r="E2836" s="1" t="s">
        <v>8930</v>
      </c>
      <c r="F2836" s="1" t="s">
        <v>493</v>
      </c>
      <c r="G2836" s="1" t="s">
        <v>98</v>
      </c>
      <c r="H2836" s="1" t="s">
        <v>30</v>
      </c>
      <c r="I2836" s="1" t="s">
        <v>16</v>
      </c>
      <c r="J2836" s="1">
        <v>1</v>
      </c>
      <c r="K2836" s="1">
        <v>11</v>
      </c>
      <c r="L2836" s="1" t="s">
        <v>31</v>
      </c>
      <c r="M2836" s="1" t="s">
        <v>18</v>
      </c>
      <c r="N2836" s="1" t="s">
        <v>18</v>
      </c>
      <c r="O2836" s="1">
        <v>3</v>
      </c>
      <c r="P2836" s="1">
        <v>6</v>
      </c>
      <c r="R2836" s="1" t="s">
        <v>62</v>
      </c>
      <c r="S2836" s="1" t="s">
        <v>20</v>
      </c>
      <c r="T2836" s="1" t="s">
        <v>21</v>
      </c>
      <c r="U2836" s="1" t="s">
        <v>22</v>
      </c>
      <c r="V2836" s="1" t="s">
        <v>24</v>
      </c>
      <c r="W2836" s="1" t="s">
        <v>24</v>
      </c>
      <c r="X2836" s="1">
        <v>1300</v>
      </c>
      <c r="Y2836" s="1" t="s">
        <v>24</v>
      </c>
      <c r="Z2836" s="1" t="s">
        <v>24</v>
      </c>
      <c r="AA2836" s="1" t="s">
        <v>24</v>
      </c>
      <c r="AB2836" s="1" t="s">
        <v>24</v>
      </c>
      <c r="AC2836" s="1" t="s">
        <v>24</v>
      </c>
      <c r="AD2836" s="1" t="s">
        <v>24</v>
      </c>
      <c r="AE2836" s="1" t="s">
        <v>24</v>
      </c>
      <c r="AF2836" s="22"/>
    </row>
    <row r="2837" spans="1:32" x14ac:dyDescent="0.2">
      <c r="A2837" s="1">
        <v>21495</v>
      </c>
      <c r="B2837" s="1" t="s">
        <v>8931</v>
      </c>
      <c r="C2837" s="5" t="s">
        <v>0</v>
      </c>
      <c r="D2837" s="1" t="s">
        <v>8932</v>
      </c>
      <c r="E2837" s="1" t="s">
        <v>8933</v>
      </c>
      <c r="F2837" s="1" t="s">
        <v>1260</v>
      </c>
      <c r="G2837" s="1" t="s">
        <v>130</v>
      </c>
      <c r="H2837" s="1" t="s">
        <v>111</v>
      </c>
      <c r="I2837" s="1" t="s">
        <v>16</v>
      </c>
      <c r="J2837" s="1">
        <v>1</v>
      </c>
      <c r="K2837" s="1">
        <v>6</v>
      </c>
      <c r="L2837" s="1" t="s">
        <v>31</v>
      </c>
      <c r="M2837" s="1" t="s">
        <v>18</v>
      </c>
      <c r="N2837" s="1" t="s">
        <v>18</v>
      </c>
      <c r="O2837" s="1">
        <v>3</v>
      </c>
      <c r="P2837" s="1">
        <v>7</v>
      </c>
      <c r="Q2837" s="7" t="s">
        <v>17633</v>
      </c>
      <c r="R2837" s="1" t="s">
        <v>19</v>
      </c>
      <c r="S2837" s="1" t="s">
        <v>20</v>
      </c>
      <c r="T2837" s="1" t="s">
        <v>21</v>
      </c>
      <c r="U2837" s="1" t="s">
        <v>22</v>
      </c>
      <c r="V2837" s="1" t="s">
        <v>24</v>
      </c>
      <c r="W2837" s="1" t="s">
        <v>24</v>
      </c>
      <c r="X2837" s="1">
        <v>2736</v>
      </c>
      <c r="Y2837" s="1">
        <v>2705</v>
      </c>
      <c r="Z2837" s="1" t="s">
        <v>24</v>
      </c>
      <c r="AA2837" s="1" t="s">
        <v>24</v>
      </c>
      <c r="AB2837" s="1" t="s">
        <v>24</v>
      </c>
      <c r="AC2837" s="1" t="s">
        <v>24</v>
      </c>
      <c r="AD2837" s="1" t="s">
        <v>24</v>
      </c>
      <c r="AE2837" s="1" t="s">
        <v>24</v>
      </c>
      <c r="AF2837" s="22"/>
    </row>
    <row r="2838" spans="1:32" x14ac:dyDescent="0.2">
      <c r="A2838" s="1">
        <v>21498</v>
      </c>
      <c r="B2838" s="1" t="s">
        <v>8934</v>
      </c>
      <c r="C2838" s="5" t="s">
        <v>0</v>
      </c>
      <c r="D2838" s="1" t="s">
        <v>8935</v>
      </c>
      <c r="E2838" s="1" t="s">
        <v>8936</v>
      </c>
      <c r="F2838" s="1" t="s">
        <v>28</v>
      </c>
      <c r="G2838" s="1" t="s">
        <v>29</v>
      </c>
      <c r="H2838" s="1" t="s">
        <v>30</v>
      </c>
      <c r="I2838" s="1" t="s">
        <v>16</v>
      </c>
      <c r="J2838" s="1">
        <v>1</v>
      </c>
      <c r="K2838" s="1">
        <v>6</v>
      </c>
      <c r="L2838" s="1" t="s">
        <v>31</v>
      </c>
      <c r="M2838" s="1" t="s">
        <v>18</v>
      </c>
      <c r="N2838" s="1" t="s">
        <v>18</v>
      </c>
      <c r="O2838" s="1">
        <v>3</v>
      </c>
      <c r="P2838" s="1">
        <v>7</v>
      </c>
      <c r="Q2838" s="7" t="s">
        <v>17633</v>
      </c>
      <c r="R2838" s="1" t="s">
        <v>19</v>
      </c>
      <c r="S2838" s="1" t="s">
        <v>20</v>
      </c>
      <c r="T2838" s="1" t="s">
        <v>21</v>
      </c>
      <c r="U2838" s="1" t="s">
        <v>22</v>
      </c>
      <c r="V2838" s="1" t="s">
        <v>23</v>
      </c>
      <c r="W2838" s="1" t="s">
        <v>24</v>
      </c>
      <c r="X2838" s="1">
        <v>2723</v>
      </c>
      <c r="Y2838" s="1">
        <v>2403</v>
      </c>
      <c r="Z2838" s="1" t="s">
        <v>24</v>
      </c>
      <c r="AA2838" s="1" t="s">
        <v>24</v>
      </c>
      <c r="AB2838" s="1" t="s">
        <v>24</v>
      </c>
      <c r="AC2838" s="1" t="s">
        <v>24</v>
      </c>
      <c r="AD2838" s="1" t="s">
        <v>24</v>
      </c>
      <c r="AE2838" s="1" t="s">
        <v>24</v>
      </c>
      <c r="AF2838" s="22"/>
    </row>
    <row r="2839" spans="1:32" x14ac:dyDescent="0.2">
      <c r="A2839" s="1">
        <v>21505</v>
      </c>
      <c r="B2839" s="1" t="s">
        <v>8937</v>
      </c>
      <c r="C2839" s="5" t="s">
        <v>0</v>
      </c>
      <c r="D2839" s="1" t="s">
        <v>8938</v>
      </c>
      <c r="F2839" s="1" t="s">
        <v>8939</v>
      </c>
      <c r="G2839" s="1" t="s">
        <v>8939</v>
      </c>
      <c r="H2839" s="1" t="s">
        <v>445</v>
      </c>
      <c r="I2839" s="1" t="s">
        <v>16</v>
      </c>
      <c r="J2839" s="1">
        <v>1</v>
      </c>
      <c r="K2839" s="1">
        <v>4</v>
      </c>
      <c r="L2839" s="1" t="s">
        <v>42</v>
      </c>
      <c r="M2839" s="1" t="s">
        <v>18</v>
      </c>
      <c r="N2839" s="1" t="s">
        <v>18</v>
      </c>
      <c r="O2839" s="1">
        <v>3</v>
      </c>
      <c r="P2839" s="1">
        <v>6</v>
      </c>
      <c r="R2839" s="1" t="s">
        <v>19</v>
      </c>
      <c r="S2839" s="1" t="s">
        <v>20</v>
      </c>
      <c r="T2839" s="1" t="s">
        <v>21</v>
      </c>
      <c r="U2839" s="1" t="s">
        <v>22</v>
      </c>
      <c r="V2839" s="1" t="s">
        <v>24</v>
      </c>
      <c r="W2839" s="1" t="s">
        <v>24</v>
      </c>
      <c r="X2839" s="1">
        <v>2712</v>
      </c>
      <c r="Y2839" s="1">
        <v>2732</v>
      </c>
      <c r="Z2839" s="1">
        <v>1314</v>
      </c>
      <c r="AA2839" s="1" t="s">
        <v>24</v>
      </c>
      <c r="AB2839" s="1" t="s">
        <v>24</v>
      </c>
      <c r="AC2839" s="1" t="s">
        <v>24</v>
      </c>
      <c r="AD2839" s="1" t="s">
        <v>24</v>
      </c>
      <c r="AE2839" s="1" t="s">
        <v>24</v>
      </c>
      <c r="AF2839" s="22"/>
    </row>
    <row r="2840" spans="1:32" x14ac:dyDescent="0.2">
      <c r="A2840" s="1">
        <v>21506</v>
      </c>
      <c r="B2840" s="1" t="s">
        <v>8940</v>
      </c>
      <c r="C2840" s="5" t="s">
        <v>0</v>
      </c>
      <c r="D2840" s="1" t="s">
        <v>8941</v>
      </c>
      <c r="E2840" s="1" t="s">
        <v>8942</v>
      </c>
      <c r="F2840" s="1" t="s">
        <v>315</v>
      </c>
      <c r="G2840" s="1" t="s">
        <v>316</v>
      </c>
      <c r="H2840" s="1" t="s">
        <v>37</v>
      </c>
      <c r="I2840" s="1" t="s">
        <v>16</v>
      </c>
      <c r="J2840" s="1">
        <v>1</v>
      </c>
      <c r="K2840" s="1">
        <v>12</v>
      </c>
      <c r="L2840" s="1" t="s">
        <v>31</v>
      </c>
      <c r="M2840" s="1" t="s">
        <v>18</v>
      </c>
      <c r="N2840" s="1" t="s">
        <v>18</v>
      </c>
      <c r="O2840" s="1">
        <v>2</v>
      </c>
      <c r="P2840" s="1">
        <v>7</v>
      </c>
      <c r="Q2840" s="7" t="s">
        <v>17633</v>
      </c>
      <c r="R2840" s="1" t="s">
        <v>62</v>
      </c>
      <c r="S2840" s="1" t="s">
        <v>20</v>
      </c>
      <c r="T2840" s="1" t="s">
        <v>21</v>
      </c>
      <c r="U2840" s="1" t="s">
        <v>22</v>
      </c>
      <c r="V2840" s="1" t="s">
        <v>24</v>
      </c>
      <c r="W2840" s="1" t="s">
        <v>24</v>
      </c>
      <c r="X2840" s="1">
        <v>1312</v>
      </c>
      <c r="Y2840" s="1">
        <v>1307</v>
      </c>
      <c r="Z2840" s="1" t="s">
        <v>24</v>
      </c>
      <c r="AA2840" s="1" t="s">
        <v>24</v>
      </c>
      <c r="AB2840" s="1" t="s">
        <v>24</v>
      </c>
      <c r="AC2840" s="1" t="s">
        <v>24</v>
      </c>
      <c r="AD2840" s="1" t="s">
        <v>24</v>
      </c>
      <c r="AE2840" s="1" t="s">
        <v>24</v>
      </c>
      <c r="AF2840" s="22"/>
    </row>
    <row r="2841" spans="1:32" x14ac:dyDescent="0.2">
      <c r="A2841" s="1">
        <v>21507</v>
      </c>
      <c r="B2841" s="1" t="s">
        <v>8943</v>
      </c>
      <c r="C2841" s="5" t="s">
        <v>0</v>
      </c>
      <c r="D2841" s="1" t="s">
        <v>8944</v>
      </c>
      <c r="E2841" s="1" t="s">
        <v>8945</v>
      </c>
      <c r="F2841" s="1" t="s">
        <v>315</v>
      </c>
      <c r="G2841" s="1" t="s">
        <v>316</v>
      </c>
      <c r="H2841" s="1" t="s">
        <v>37</v>
      </c>
      <c r="I2841" s="1" t="s">
        <v>16</v>
      </c>
      <c r="J2841" s="1">
        <v>1</v>
      </c>
      <c r="K2841" s="1">
        <v>12</v>
      </c>
      <c r="L2841" s="1" t="s">
        <v>31</v>
      </c>
      <c r="M2841" s="1" t="s">
        <v>18</v>
      </c>
      <c r="N2841" s="1" t="s">
        <v>18</v>
      </c>
      <c r="O2841" s="1">
        <v>2</v>
      </c>
      <c r="P2841" s="1">
        <v>7</v>
      </c>
      <c r="Q2841" s="7" t="s">
        <v>17633</v>
      </c>
      <c r="R2841" s="1" t="s">
        <v>62</v>
      </c>
      <c r="S2841" s="1" t="s">
        <v>20</v>
      </c>
      <c r="T2841" s="1" t="s">
        <v>21</v>
      </c>
      <c r="U2841" s="1" t="s">
        <v>22</v>
      </c>
      <c r="V2841" s="1" t="s">
        <v>24</v>
      </c>
      <c r="W2841" s="1" t="s">
        <v>24</v>
      </c>
      <c r="X2841" s="1">
        <v>1311</v>
      </c>
      <c r="Y2841" s="1">
        <v>2716</v>
      </c>
      <c r="Z2841" s="1">
        <v>1312</v>
      </c>
      <c r="AA2841" s="1" t="s">
        <v>24</v>
      </c>
      <c r="AB2841" s="1" t="s">
        <v>24</v>
      </c>
      <c r="AC2841" s="1" t="s">
        <v>24</v>
      </c>
      <c r="AD2841" s="1" t="s">
        <v>24</v>
      </c>
      <c r="AE2841" s="1" t="s">
        <v>24</v>
      </c>
      <c r="AF2841" s="22"/>
    </row>
    <row r="2842" spans="1:32" x14ac:dyDescent="0.2">
      <c r="A2842" s="1">
        <v>21508</v>
      </c>
      <c r="B2842" s="1" t="s">
        <v>8946</v>
      </c>
      <c r="C2842" s="5" t="s">
        <v>0</v>
      </c>
      <c r="D2842" s="1" t="s">
        <v>8947</v>
      </c>
      <c r="E2842" s="1" t="s">
        <v>8948</v>
      </c>
      <c r="F2842" s="1" t="s">
        <v>275</v>
      </c>
      <c r="G2842" s="1" t="s">
        <v>276</v>
      </c>
      <c r="H2842" s="1" t="s">
        <v>46</v>
      </c>
      <c r="I2842" s="1" t="s">
        <v>16</v>
      </c>
      <c r="J2842" s="1">
        <v>1</v>
      </c>
      <c r="K2842" s="1">
        <v>4</v>
      </c>
      <c r="L2842" s="1" t="s">
        <v>31</v>
      </c>
      <c r="M2842" s="1" t="s">
        <v>18</v>
      </c>
      <c r="N2842" s="1" t="s">
        <v>18</v>
      </c>
      <c r="O2842" s="1">
        <v>3</v>
      </c>
      <c r="P2842" s="1">
        <v>6</v>
      </c>
      <c r="R2842" s="1" t="s">
        <v>19</v>
      </c>
      <c r="S2842" s="1" t="s">
        <v>20</v>
      </c>
      <c r="T2842" s="1" t="s">
        <v>21</v>
      </c>
      <c r="U2842" s="1" t="s">
        <v>22</v>
      </c>
      <c r="V2842" s="1" t="s">
        <v>24</v>
      </c>
      <c r="W2842" s="1" t="s">
        <v>24</v>
      </c>
      <c r="X2842" s="1">
        <v>1311</v>
      </c>
      <c r="Y2842" s="1">
        <v>1312</v>
      </c>
      <c r="Z2842" s="1">
        <v>1313</v>
      </c>
      <c r="AA2842" s="1" t="s">
        <v>24</v>
      </c>
      <c r="AB2842" s="1" t="s">
        <v>24</v>
      </c>
      <c r="AC2842" s="1" t="s">
        <v>24</v>
      </c>
      <c r="AD2842" s="1" t="s">
        <v>24</v>
      </c>
      <c r="AE2842" s="1" t="s">
        <v>24</v>
      </c>
      <c r="AF2842" s="22"/>
    </row>
    <row r="2843" spans="1:32" x14ac:dyDescent="0.2">
      <c r="A2843" s="1">
        <v>21511</v>
      </c>
      <c r="B2843" s="1" t="s">
        <v>8949</v>
      </c>
      <c r="C2843" s="5" t="s">
        <v>0</v>
      </c>
      <c r="D2843" s="1" t="s">
        <v>8950</v>
      </c>
      <c r="E2843" s="1" t="s">
        <v>8951</v>
      </c>
      <c r="F2843" s="1" t="s">
        <v>689</v>
      </c>
      <c r="G2843" s="1" t="s">
        <v>311</v>
      </c>
      <c r="H2843" s="1" t="s">
        <v>37</v>
      </c>
      <c r="I2843" s="1" t="s">
        <v>16</v>
      </c>
      <c r="J2843" s="1">
        <v>1</v>
      </c>
      <c r="K2843" s="1">
        <v>4</v>
      </c>
      <c r="L2843" s="1" t="s">
        <v>31</v>
      </c>
      <c r="M2843" s="1" t="s">
        <v>18</v>
      </c>
      <c r="N2843" s="1" t="s">
        <v>18</v>
      </c>
      <c r="O2843" s="1">
        <v>3</v>
      </c>
      <c r="P2843" s="1">
        <v>6</v>
      </c>
      <c r="R2843" s="1" t="s">
        <v>19</v>
      </c>
      <c r="S2843" s="1" t="s">
        <v>20</v>
      </c>
      <c r="T2843" s="1" t="s">
        <v>21</v>
      </c>
      <c r="U2843" s="1" t="s">
        <v>22</v>
      </c>
      <c r="V2843" s="1" t="s">
        <v>23</v>
      </c>
      <c r="W2843" s="1" t="s">
        <v>24</v>
      </c>
      <c r="X2843" s="1">
        <v>2739</v>
      </c>
      <c r="Y2843" s="1" t="s">
        <v>24</v>
      </c>
      <c r="Z2843" s="1" t="s">
        <v>24</v>
      </c>
      <c r="AA2843" s="1" t="s">
        <v>24</v>
      </c>
      <c r="AB2843" s="1" t="s">
        <v>24</v>
      </c>
      <c r="AC2843" s="1" t="s">
        <v>24</v>
      </c>
      <c r="AD2843" s="1" t="s">
        <v>24</v>
      </c>
      <c r="AE2843" s="1" t="s">
        <v>24</v>
      </c>
      <c r="AF2843" s="22"/>
    </row>
    <row r="2844" spans="1:32" x14ac:dyDescent="0.2">
      <c r="A2844" s="1">
        <v>21512</v>
      </c>
      <c r="B2844" s="1" t="s">
        <v>8952</v>
      </c>
      <c r="C2844" s="5" t="s">
        <v>0</v>
      </c>
      <c r="D2844" s="1" t="s">
        <v>8953</v>
      </c>
      <c r="E2844" s="1" t="s">
        <v>8954</v>
      </c>
      <c r="F2844" s="1" t="s">
        <v>167</v>
      </c>
      <c r="G2844" s="1" t="s">
        <v>130</v>
      </c>
      <c r="H2844" s="1" t="s">
        <v>168</v>
      </c>
      <c r="I2844" s="1" t="s">
        <v>16</v>
      </c>
      <c r="J2844" s="1">
        <v>1</v>
      </c>
      <c r="K2844" s="1">
        <v>4</v>
      </c>
      <c r="L2844" s="1" t="s">
        <v>31</v>
      </c>
      <c r="M2844" s="1" t="s">
        <v>18</v>
      </c>
      <c r="N2844" s="1" t="s">
        <v>18</v>
      </c>
      <c r="O2844" s="1">
        <v>3</v>
      </c>
      <c r="P2844" s="1">
        <v>7</v>
      </c>
      <c r="Q2844" s="7" t="s">
        <v>17633</v>
      </c>
      <c r="R2844" s="1" t="s">
        <v>19</v>
      </c>
      <c r="S2844" s="1" t="s">
        <v>20</v>
      </c>
      <c r="T2844" s="1" t="s">
        <v>21</v>
      </c>
      <c r="U2844" s="1" t="s">
        <v>22</v>
      </c>
      <c r="V2844" s="1" t="s">
        <v>24</v>
      </c>
      <c r="W2844" s="1" t="s">
        <v>24</v>
      </c>
      <c r="X2844" s="1">
        <v>2733</v>
      </c>
      <c r="Y2844" s="1">
        <v>2728</v>
      </c>
      <c r="Z2844" s="1" t="s">
        <v>24</v>
      </c>
      <c r="AA2844" s="1" t="s">
        <v>24</v>
      </c>
      <c r="AB2844" s="1" t="s">
        <v>24</v>
      </c>
      <c r="AC2844" s="1" t="s">
        <v>24</v>
      </c>
      <c r="AD2844" s="1" t="s">
        <v>24</v>
      </c>
      <c r="AE2844" s="1" t="s">
        <v>24</v>
      </c>
      <c r="AF2844" s="22"/>
    </row>
    <row r="2845" spans="1:32" x14ac:dyDescent="0.2">
      <c r="A2845" s="1">
        <v>21538</v>
      </c>
      <c r="B2845" s="1" t="s">
        <v>8955</v>
      </c>
      <c r="C2845" s="5" t="s">
        <v>0</v>
      </c>
      <c r="D2845" s="1" t="s">
        <v>8956</v>
      </c>
      <c r="E2845" s="1" t="s">
        <v>8957</v>
      </c>
      <c r="F2845" s="1" t="s">
        <v>540</v>
      </c>
      <c r="G2845" s="1" t="s">
        <v>130</v>
      </c>
      <c r="H2845" s="1" t="s">
        <v>684</v>
      </c>
      <c r="I2845" s="1" t="s">
        <v>16</v>
      </c>
      <c r="J2845" s="1">
        <v>1</v>
      </c>
      <c r="K2845" s="1">
        <v>3</v>
      </c>
      <c r="L2845" s="1" t="s">
        <v>31</v>
      </c>
      <c r="M2845" s="1" t="s">
        <v>18</v>
      </c>
      <c r="N2845" s="1" t="s">
        <v>18</v>
      </c>
      <c r="O2845" s="1">
        <v>3</v>
      </c>
      <c r="P2845" s="1">
        <v>7</v>
      </c>
      <c r="Q2845" s="7" t="s">
        <v>17633</v>
      </c>
      <c r="R2845" s="1" t="s">
        <v>19</v>
      </c>
      <c r="S2845" s="1" t="s">
        <v>20</v>
      </c>
      <c r="T2845" s="1" t="s">
        <v>21</v>
      </c>
      <c r="U2845" s="1" t="s">
        <v>22</v>
      </c>
      <c r="V2845" s="1" t="s">
        <v>23</v>
      </c>
      <c r="W2845" s="1" t="s">
        <v>24</v>
      </c>
      <c r="X2845" s="1">
        <v>2746</v>
      </c>
      <c r="Y2845" s="1">
        <v>2732</v>
      </c>
      <c r="Z2845" s="1" t="s">
        <v>24</v>
      </c>
      <c r="AA2845" s="1" t="s">
        <v>24</v>
      </c>
      <c r="AB2845" s="1" t="s">
        <v>24</v>
      </c>
      <c r="AC2845" s="1" t="s">
        <v>24</v>
      </c>
      <c r="AD2845" s="1" t="s">
        <v>24</v>
      </c>
      <c r="AE2845" s="1" t="s">
        <v>24</v>
      </c>
      <c r="AF2845" s="22"/>
    </row>
    <row r="2846" spans="1:32" x14ac:dyDescent="0.2">
      <c r="A2846" s="1">
        <v>21540</v>
      </c>
      <c r="B2846" s="1" t="s">
        <v>8958</v>
      </c>
      <c r="C2846" s="5" t="s">
        <v>0</v>
      </c>
      <c r="D2846" s="1" t="s">
        <v>8959</v>
      </c>
      <c r="F2846" s="1" t="s">
        <v>1462</v>
      </c>
      <c r="G2846" s="1" t="s">
        <v>1462</v>
      </c>
      <c r="H2846" s="1" t="s">
        <v>249</v>
      </c>
      <c r="I2846" s="1" t="s">
        <v>16</v>
      </c>
      <c r="J2846" s="1">
        <v>1</v>
      </c>
      <c r="K2846" s="1">
        <v>2</v>
      </c>
      <c r="L2846" s="1" t="s">
        <v>42</v>
      </c>
      <c r="M2846" s="1" t="s">
        <v>18</v>
      </c>
      <c r="N2846" s="1" t="s">
        <v>18</v>
      </c>
      <c r="O2846" s="1">
        <v>3</v>
      </c>
      <c r="P2846" s="1">
        <v>6</v>
      </c>
      <c r="R2846" s="1" t="s">
        <v>19</v>
      </c>
      <c r="S2846" s="1" t="s">
        <v>20</v>
      </c>
      <c r="T2846" s="1" t="s">
        <v>21</v>
      </c>
      <c r="U2846" s="1" t="s">
        <v>22</v>
      </c>
      <c r="V2846" s="1" t="s">
        <v>23</v>
      </c>
      <c r="W2846" s="1" t="s">
        <v>24</v>
      </c>
      <c r="X2846" s="1">
        <v>2741</v>
      </c>
      <c r="Y2846" s="1" t="s">
        <v>24</v>
      </c>
      <c r="Z2846" s="1" t="s">
        <v>24</v>
      </c>
      <c r="AA2846" s="1" t="s">
        <v>24</v>
      </c>
      <c r="AB2846" s="1" t="s">
        <v>24</v>
      </c>
      <c r="AC2846" s="1" t="s">
        <v>24</v>
      </c>
      <c r="AD2846" s="1" t="s">
        <v>24</v>
      </c>
      <c r="AE2846" s="1" t="s">
        <v>24</v>
      </c>
      <c r="AF2846" s="22"/>
    </row>
    <row r="2847" spans="1:32" x14ac:dyDescent="0.2">
      <c r="A2847" s="1">
        <v>21541</v>
      </c>
      <c r="B2847" s="1" t="s">
        <v>8960</v>
      </c>
      <c r="C2847" s="5" t="s">
        <v>0</v>
      </c>
      <c r="D2847" s="1" t="s">
        <v>8961</v>
      </c>
      <c r="E2847" s="1" t="s">
        <v>8962</v>
      </c>
      <c r="F2847" s="1" t="s">
        <v>1462</v>
      </c>
      <c r="G2847" s="1" t="s">
        <v>1462</v>
      </c>
      <c r="H2847" s="1" t="s">
        <v>249</v>
      </c>
      <c r="I2847" s="1" t="s">
        <v>16</v>
      </c>
      <c r="J2847" s="1">
        <v>1</v>
      </c>
      <c r="K2847" s="1">
        <v>6</v>
      </c>
      <c r="L2847" s="1" t="s">
        <v>42</v>
      </c>
      <c r="M2847" s="1" t="s">
        <v>1463</v>
      </c>
      <c r="N2847" s="1" t="s">
        <v>1463</v>
      </c>
      <c r="O2847" s="1">
        <v>3</v>
      </c>
      <c r="P2847" s="1">
        <v>5</v>
      </c>
      <c r="R2847" s="1" t="s">
        <v>19</v>
      </c>
      <c r="S2847" s="1" t="s">
        <v>20</v>
      </c>
      <c r="T2847" s="1" t="s">
        <v>21</v>
      </c>
      <c r="U2847" s="1" t="s">
        <v>22</v>
      </c>
      <c r="V2847" s="1" t="s">
        <v>24</v>
      </c>
      <c r="W2847" s="1" t="s">
        <v>24</v>
      </c>
      <c r="X2847" s="1">
        <v>2705</v>
      </c>
      <c r="Y2847" s="1">
        <v>2724</v>
      </c>
      <c r="Z2847" s="1">
        <v>2712</v>
      </c>
      <c r="AA2847" s="1" t="s">
        <v>24</v>
      </c>
      <c r="AB2847" s="1" t="s">
        <v>24</v>
      </c>
      <c r="AC2847" s="1" t="s">
        <v>24</v>
      </c>
      <c r="AD2847" s="1" t="s">
        <v>24</v>
      </c>
      <c r="AE2847" s="1" t="s">
        <v>24</v>
      </c>
      <c r="AF2847" s="22"/>
    </row>
    <row r="2848" spans="1:32" x14ac:dyDescent="0.2">
      <c r="A2848" s="1">
        <v>21542</v>
      </c>
      <c r="B2848" s="1" t="s">
        <v>8963</v>
      </c>
      <c r="C2848" s="5" t="s">
        <v>0</v>
      </c>
      <c r="D2848" s="1" t="s">
        <v>8964</v>
      </c>
      <c r="F2848" s="1" t="s">
        <v>8965</v>
      </c>
      <c r="G2848" s="1" t="s">
        <v>8966</v>
      </c>
      <c r="H2848" s="1" t="s">
        <v>8967</v>
      </c>
      <c r="I2848" s="1" t="s">
        <v>16</v>
      </c>
      <c r="J2848" s="1">
        <v>1</v>
      </c>
      <c r="K2848" s="1">
        <v>4</v>
      </c>
      <c r="L2848" s="1" t="s">
        <v>31</v>
      </c>
      <c r="M2848" s="1" t="s">
        <v>18</v>
      </c>
      <c r="N2848" s="1" t="s">
        <v>18</v>
      </c>
      <c r="O2848" s="1">
        <v>3</v>
      </c>
      <c r="P2848" s="1">
        <v>6</v>
      </c>
      <c r="R2848" s="1" t="s">
        <v>19</v>
      </c>
      <c r="S2848" s="1" t="s">
        <v>20</v>
      </c>
      <c r="T2848" s="1" t="s">
        <v>21</v>
      </c>
      <c r="U2848" s="1" t="s">
        <v>22</v>
      </c>
      <c r="V2848" s="1" t="s">
        <v>23</v>
      </c>
      <c r="W2848" s="1" t="s">
        <v>24</v>
      </c>
      <c r="X2848" s="1">
        <v>2706</v>
      </c>
      <c r="Y2848" s="1" t="s">
        <v>24</v>
      </c>
      <c r="Z2848" s="1" t="s">
        <v>24</v>
      </c>
      <c r="AA2848" s="1" t="s">
        <v>24</v>
      </c>
      <c r="AB2848" s="1" t="s">
        <v>24</v>
      </c>
      <c r="AC2848" s="1" t="s">
        <v>24</v>
      </c>
      <c r="AD2848" s="1" t="s">
        <v>24</v>
      </c>
      <c r="AE2848" s="1" t="s">
        <v>24</v>
      </c>
      <c r="AF2848" s="22"/>
    </row>
    <row r="2849" spans="1:32" x14ac:dyDescent="0.2">
      <c r="A2849" s="1">
        <v>21543</v>
      </c>
      <c r="B2849" s="1" t="s">
        <v>8968</v>
      </c>
      <c r="C2849" s="5" t="s">
        <v>0</v>
      </c>
      <c r="D2849" s="1" t="s">
        <v>8969</v>
      </c>
      <c r="E2849" s="1" t="s">
        <v>8970</v>
      </c>
      <c r="F2849" s="1" t="s">
        <v>2776</v>
      </c>
      <c r="G2849" s="1" t="s">
        <v>61</v>
      </c>
      <c r="H2849" s="1" t="s">
        <v>46</v>
      </c>
      <c r="I2849" s="1" t="s">
        <v>16</v>
      </c>
      <c r="J2849" s="1">
        <v>1</v>
      </c>
      <c r="K2849" s="1">
        <v>2</v>
      </c>
      <c r="L2849" s="1" t="s">
        <v>31</v>
      </c>
      <c r="M2849" s="1" t="s">
        <v>18</v>
      </c>
      <c r="N2849" s="1" t="s">
        <v>18</v>
      </c>
      <c r="O2849" s="1">
        <v>3</v>
      </c>
      <c r="P2849" s="1">
        <v>7</v>
      </c>
      <c r="Q2849" s="7" t="s">
        <v>17633</v>
      </c>
      <c r="R2849" s="1" t="s">
        <v>19</v>
      </c>
      <c r="S2849" s="1" t="s">
        <v>20</v>
      </c>
      <c r="T2849" s="1" t="s">
        <v>21</v>
      </c>
      <c r="U2849" s="1" t="s">
        <v>22</v>
      </c>
      <c r="V2849" s="1" t="s">
        <v>24</v>
      </c>
      <c r="W2849" s="1" t="s">
        <v>24</v>
      </c>
      <c r="X2849" s="1">
        <v>2727</v>
      </c>
      <c r="Y2849" s="1" t="s">
        <v>24</v>
      </c>
      <c r="Z2849" s="1" t="s">
        <v>24</v>
      </c>
      <c r="AA2849" s="1" t="s">
        <v>24</v>
      </c>
      <c r="AB2849" s="1" t="s">
        <v>24</v>
      </c>
      <c r="AC2849" s="1" t="s">
        <v>24</v>
      </c>
      <c r="AD2849" s="1" t="s">
        <v>24</v>
      </c>
      <c r="AE2849" s="1" t="s">
        <v>24</v>
      </c>
      <c r="AF2849" s="22"/>
    </row>
    <row r="2850" spans="1:32" x14ac:dyDescent="0.2">
      <c r="A2850" s="1">
        <v>21545</v>
      </c>
      <c r="B2850" s="1" t="s">
        <v>8971</v>
      </c>
      <c r="C2850" s="5" t="s">
        <v>0</v>
      </c>
      <c r="D2850" s="1" t="s">
        <v>8972</v>
      </c>
      <c r="E2850" s="1" t="s">
        <v>8973</v>
      </c>
      <c r="F2850" s="1" t="s">
        <v>35</v>
      </c>
      <c r="G2850" s="1" t="s">
        <v>36</v>
      </c>
      <c r="H2850" s="1" t="s">
        <v>37</v>
      </c>
      <c r="I2850" s="1" t="s">
        <v>16</v>
      </c>
      <c r="J2850" s="1">
        <v>1</v>
      </c>
      <c r="K2850" s="1">
        <v>6</v>
      </c>
      <c r="L2850" s="1" t="s">
        <v>31</v>
      </c>
      <c r="M2850" s="1" t="s">
        <v>18</v>
      </c>
      <c r="N2850" s="1" t="s">
        <v>18</v>
      </c>
      <c r="O2850" s="1">
        <v>3</v>
      </c>
      <c r="P2850" s="1">
        <v>6</v>
      </c>
      <c r="R2850" s="1" t="s">
        <v>19</v>
      </c>
      <c r="S2850" s="1" t="s">
        <v>20</v>
      </c>
      <c r="T2850" s="1" t="s">
        <v>21</v>
      </c>
      <c r="U2850" s="1" t="s">
        <v>22</v>
      </c>
      <c r="V2850" s="1" t="s">
        <v>24</v>
      </c>
      <c r="W2850" s="1" t="s">
        <v>24</v>
      </c>
      <c r="X2850" s="1">
        <v>2739</v>
      </c>
      <c r="Y2850" s="1">
        <v>2712</v>
      </c>
      <c r="Z2850" s="1" t="s">
        <v>24</v>
      </c>
      <c r="AA2850" s="1" t="s">
        <v>24</v>
      </c>
      <c r="AB2850" s="1" t="s">
        <v>24</v>
      </c>
      <c r="AC2850" s="1" t="s">
        <v>24</v>
      </c>
      <c r="AD2850" s="1" t="s">
        <v>24</v>
      </c>
      <c r="AE2850" s="1" t="s">
        <v>24</v>
      </c>
      <c r="AF2850" s="22"/>
    </row>
    <row r="2851" spans="1:32" x14ac:dyDescent="0.2">
      <c r="A2851" s="1">
        <v>21546</v>
      </c>
      <c r="B2851" s="1" t="s">
        <v>8974</v>
      </c>
      <c r="C2851" s="5" t="s">
        <v>0</v>
      </c>
      <c r="D2851" s="1" t="s">
        <v>8975</v>
      </c>
      <c r="E2851" s="1" t="s">
        <v>8976</v>
      </c>
      <c r="F2851" s="1" t="s">
        <v>315</v>
      </c>
      <c r="G2851" s="1" t="s">
        <v>316</v>
      </c>
      <c r="H2851" s="1" t="s">
        <v>37</v>
      </c>
      <c r="I2851" s="1" t="s">
        <v>16</v>
      </c>
      <c r="J2851" s="1">
        <v>1</v>
      </c>
      <c r="K2851" s="1">
        <v>6</v>
      </c>
      <c r="L2851" s="1" t="s">
        <v>31</v>
      </c>
      <c r="M2851" s="1" t="s">
        <v>18</v>
      </c>
      <c r="N2851" s="1" t="s">
        <v>18</v>
      </c>
      <c r="O2851" s="1">
        <v>3</v>
      </c>
      <c r="P2851" s="1">
        <v>7</v>
      </c>
      <c r="Q2851" s="7" t="s">
        <v>17633</v>
      </c>
      <c r="R2851" s="1" t="s">
        <v>62</v>
      </c>
      <c r="S2851" s="1" t="s">
        <v>20</v>
      </c>
      <c r="T2851" s="1" t="s">
        <v>21</v>
      </c>
      <c r="U2851" s="1" t="s">
        <v>22</v>
      </c>
      <c r="V2851" s="1" t="s">
        <v>24</v>
      </c>
      <c r="W2851" s="1" t="s">
        <v>24</v>
      </c>
      <c r="X2851" s="1">
        <v>3004</v>
      </c>
      <c r="Y2851" s="1">
        <v>1313</v>
      </c>
      <c r="Z2851" s="1">
        <v>1311</v>
      </c>
      <c r="AA2851" s="1" t="s">
        <v>24</v>
      </c>
      <c r="AB2851" s="1" t="s">
        <v>24</v>
      </c>
      <c r="AC2851" s="1" t="s">
        <v>24</v>
      </c>
      <c r="AD2851" s="1" t="s">
        <v>24</v>
      </c>
      <c r="AE2851" s="1" t="s">
        <v>24</v>
      </c>
      <c r="AF2851" s="22"/>
    </row>
    <row r="2852" spans="1:32" x14ac:dyDescent="0.2">
      <c r="A2852" s="1">
        <v>21547</v>
      </c>
      <c r="B2852" s="1" t="s">
        <v>8977</v>
      </c>
      <c r="C2852" s="5" t="s">
        <v>0</v>
      </c>
      <c r="D2852" s="1" t="s">
        <v>8978</v>
      </c>
      <c r="F2852" s="1" t="s">
        <v>3729</v>
      </c>
      <c r="G2852" s="1" t="s">
        <v>3729</v>
      </c>
      <c r="H2852" s="1" t="s">
        <v>3730</v>
      </c>
      <c r="I2852" s="1" t="s">
        <v>16</v>
      </c>
      <c r="J2852" s="1">
        <v>1</v>
      </c>
      <c r="K2852" s="1">
        <v>4</v>
      </c>
      <c r="L2852" s="1" t="s">
        <v>42</v>
      </c>
      <c r="M2852" s="1" t="s">
        <v>18</v>
      </c>
      <c r="N2852" s="1" t="s">
        <v>18</v>
      </c>
      <c r="O2852" s="1">
        <v>3</v>
      </c>
      <c r="P2852" s="1">
        <v>6</v>
      </c>
      <c r="R2852" s="1" t="s">
        <v>19</v>
      </c>
      <c r="S2852" s="1" t="s">
        <v>20</v>
      </c>
      <c r="T2852" s="1" t="s">
        <v>21</v>
      </c>
      <c r="U2852" s="1" t="s">
        <v>22</v>
      </c>
      <c r="V2852" s="1" t="s">
        <v>24</v>
      </c>
      <c r="W2852" s="1" t="s">
        <v>24</v>
      </c>
      <c r="X2852" s="1">
        <v>2728</v>
      </c>
      <c r="Y2852" s="1">
        <v>2738</v>
      </c>
      <c r="Z2852" s="1" t="s">
        <v>24</v>
      </c>
      <c r="AA2852" s="1" t="s">
        <v>24</v>
      </c>
      <c r="AB2852" s="1" t="s">
        <v>24</v>
      </c>
      <c r="AC2852" s="1" t="s">
        <v>24</v>
      </c>
      <c r="AD2852" s="1" t="s">
        <v>24</v>
      </c>
      <c r="AE2852" s="1" t="s">
        <v>24</v>
      </c>
      <c r="AF2852" s="22"/>
    </row>
    <row r="2853" spans="1:32" x14ac:dyDescent="0.2">
      <c r="A2853" s="1">
        <v>21553</v>
      </c>
      <c r="B2853" s="1" t="s">
        <v>8979</v>
      </c>
      <c r="C2853" s="5" t="s">
        <v>0</v>
      </c>
      <c r="D2853" s="1" t="s">
        <v>8980</v>
      </c>
      <c r="E2853" s="1" t="s">
        <v>8981</v>
      </c>
      <c r="F2853" s="1" t="s">
        <v>669</v>
      </c>
      <c r="G2853" s="1" t="s">
        <v>311</v>
      </c>
      <c r="H2853" s="1" t="s">
        <v>30</v>
      </c>
      <c r="I2853" s="1" t="s">
        <v>16</v>
      </c>
      <c r="J2853" s="1">
        <v>1</v>
      </c>
      <c r="K2853" s="1">
        <v>4</v>
      </c>
      <c r="L2853" s="1" t="s">
        <v>31</v>
      </c>
      <c r="M2853" s="1" t="s">
        <v>18</v>
      </c>
      <c r="N2853" s="1" t="s">
        <v>18</v>
      </c>
      <c r="O2853" s="1">
        <v>3</v>
      </c>
      <c r="P2853" s="1">
        <v>7</v>
      </c>
      <c r="Q2853" s="7" t="s">
        <v>17633</v>
      </c>
      <c r="R2853" s="1" t="s">
        <v>19</v>
      </c>
      <c r="S2853" s="1" t="s">
        <v>20</v>
      </c>
      <c r="T2853" s="1" t="s">
        <v>21</v>
      </c>
      <c r="U2853" s="1" t="s">
        <v>22</v>
      </c>
      <c r="V2853" s="1" t="s">
        <v>24</v>
      </c>
      <c r="W2853" s="1" t="s">
        <v>24</v>
      </c>
      <c r="X2853" s="1">
        <v>2403</v>
      </c>
      <c r="Y2853" s="1">
        <v>2723</v>
      </c>
      <c r="Z2853" s="1">
        <v>1308</v>
      </c>
      <c r="AA2853" s="1">
        <v>3607</v>
      </c>
      <c r="AB2853" s="1" t="s">
        <v>24</v>
      </c>
      <c r="AC2853" s="1" t="s">
        <v>24</v>
      </c>
      <c r="AD2853" s="1" t="s">
        <v>24</v>
      </c>
      <c r="AE2853" s="1" t="s">
        <v>24</v>
      </c>
      <c r="AF2853" s="22"/>
    </row>
    <row r="2854" spans="1:32" x14ac:dyDescent="0.2">
      <c r="A2854" s="1">
        <v>21555</v>
      </c>
      <c r="B2854" s="1" t="s">
        <v>8982</v>
      </c>
      <c r="C2854" s="5" t="s">
        <v>0</v>
      </c>
      <c r="D2854" s="1" t="s">
        <v>8983</v>
      </c>
      <c r="F2854" s="1" t="s">
        <v>8984</v>
      </c>
      <c r="G2854" s="1" t="s">
        <v>160</v>
      </c>
      <c r="H2854" s="1" t="s">
        <v>37</v>
      </c>
      <c r="I2854" s="1" t="s">
        <v>16</v>
      </c>
      <c r="J2854" s="1">
        <v>1</v>
      </c>
      <c r="K2854" s="1">
        <v>4</v>
      </c>
      <c r="L2854" s="1" t="s">
        <v>42</v>
      </c>
      <c r="M2854" s="1" t="s">
        <v>18</v>
      </c>
      <c r="N2854" s="1" t="s">
        <v>18</v>
      </c>
      <c r="O2854" s="1">
        <v>3</v>
      </c>
      <c r="P2854" s="1">
        <v>6</v>
      </c>
      <c r="R2854" s="1" t="s">
        <v>19</v>
      </c>
      <c r="S2854" s="1" t="s">
        <v>20</v>
      </c>
      <c r="T2854" s="1" t="s">
        <v>21</v>
      </c>
      <c r="U2854" s="1" t="s">
        <v>22</v>
      </c>
      <c r="V2854" s="1" t="s">
        <v>23</v>
      </c>
      <c r="W2854" s="1" t="s">
        <v>24</v>
      </c>
      <c r="X2854" s="1">
        <v>2729</v>
      </c>
      <c r="Y2854" s="1">
        <v>2743</v>
      </c>
      <c r="Z2854" s="1" t="s">
        <v>24</v>
      </c>
      <c r="AA2854" s="1" t="s">
        <v>24</v>
      </c>
      <c r="AB2854" s="1" t="s">
        <v>24</v>
      </c>
      <c r="AC2854" s="1" t="s">
        <v>24</v>
      </c>
      <c r="AD2854" s="1" t="s">
        <v>24</v>
      </c>
      <c r="AE2854" s="1" t="s">
        <v>24</v>
      </c>
      <c r="AF2854" s="22"/>
    </row>
    <row r="2855" spans="1:32" x14ac:dyDescent="0.2">
      <c r="A2855" s="1">
        <v>21557</v>
      </c>
      <c r="B2855" s="1" t="s">
        <v>8985</v>
      </c>
      <c r="C2855" s="5" t="s">
        <v>0</v>
      </c>
      <c r="D2855" s="1" t="s">
        <v>8986</v>
      </c>
      <c r="F2855" s="1" t="s">
        <v>8341</v>
      </c>
      <c r="G2855" s="1" t="s">
        <v>8341</v>
      </c>
      <c r="H2855" s="1" t="s">
        <v>37</v>
      </c>
      <c r="I2855" s="1" t="s">
        <v>16</v>
      </c>
      <c r="J2855" s="1">
        <v>1</v>
      </c>
      <c r="K2855" s="1">
        <v>3</v>
      </c>
      <c r="L2855" s="1" t="s">
        <v>42</v>
      </c>
      <c r="M2855" s="1" t="s">
        <v>18</v>
      </c>
      <c r="N2855" s="1" t="s">
        <v>18</v>
      </c>
      <c r="O2855" s="1">
        <v>3</v>
      </c>
      <c r="P2855" s="1">
        <v>6</v>
      </c>
      <c r="R2855" s="1" t="s">
        <v>19</v>
      </c>
      <c r="S2855" s="1" t="s">
        <v>20</v>
      </c>
      <c r="T2855" s="1" t="s">
        <v>21</v>
      </c>
      <c r="U2855" s="1" t="s">
        <v>22</v>
      </c>
      <c r="V2855" s="1" t="s">
        <v>23</v>
      </c>
      <c r="W2855" s="1" t="s">
        <v>24</v>
      </c>
      <c r="X2855" s="1">
        <v>2717</v>
      </c>
      <c r="Y2855" s="1">
        <v>2724</v>
      </c>
      <c r="Z2855" s="1">
        <v>2712</v>
      </c>
      <c r="AA2855" s="1" t="s">
        <v>24</v>
      </c>
      <c r="AB2855" s="1" t="s">
        <v>24</v>
      </c>
      <c r="AC2855" s="1" t="s">
        <v>24</v>
      </c>
      <c r="AD2855" s="1" t="s">
        <v>24</v>
      </c>
      <c r="AE2855" s="1" t="s">
        <v>24</v>
      </c>
      <c r="AF2855" s="22"/>
    </row>
    <row r="2856" spans="1:32" x14ac:dyDescent="0.2">
      <c r="A2856" s="1">
        <v>21561</v>
      </c>
      <c r="B2856" s="1" t="s">
        <v>8987</v>
      </c>
      <c r="C2856" s="5" t="s">
        <v>0</v>
      </c>
      <c r="D2856" s="1" t="s">
        <v>8988</v>
      </c>
      <c r="E2856" s="1" t="s">
        <v>8989</v>
      </c>
      <c r="F2856" s="1" t="s">
        <v>35</v>
      </c>
      <c r="G2856" s="1" t="s">
        <v>36</v>
      </c>
      <c r="H2856" s="1" t="s">
        <v>37</v>
      </c>
      <c r="I2856" s="1" t="s">
        <v>16</v>
      </c>
      <c r="J2856" s="1">
        <v>1</v>
      </c>
      <c r="K2856" s="1">
        <v>12</v>
      </c>
      <c r="L2856" s="1" t="s">
        <v>31</v>
      </c>
      <c r="M2856" s="1" t="s">
        <v>18</v>
      </c>
      <c r="N2856" s="1" t="s">
        <v>18</v>
      </c>
      <c r="O2856" s="1">
        <v>3</v>
      </c>
      <c r="P2856" s="1">
        <v>7</v>
      </c>
      <c r="Q2856" s="7" t="s">
        <v>17633</v>
      </c>
      <c r="R2856" s="1" t="s">
        <v>62</v>
      </c>
      <c r="S2856" s="1" t="s">
        <v>20</v>
      </c>
      <c r="T2856" s="1" t="s">
        <v>21</v>
      </c>
      <c r="U2856" s="1" t="s">
        <v>22</v>
      </c>
      <c r="V2856" s="1" t="s">
        <v>24</v>
      </c>
      <c r="W2856" s="1" t="s">
        <v>24</v>
      </c>
      <c r="X2856" s="1">
        <v>2747</v>
      </c>
      <c r="Y2856" s="1">
        <v>2723</v>
      </c>
      <c r="Z2856" s="1">
        <v>2736</v>
      </c>
      <c r="AA2856" s="1" t="s">
        <v>24</v>
      </c>
      <c r="AB2856" s="1" t="s">
        <v>24</v>
      </c>
      <c r="AC2856" s="1" t="s">
        <v>24</v>
      </c>
      <c r="AD2856" s="1" t="s">
        <v>24</v>
      </c>
      <c r="AE2856" s="1" t="s">
        <v>24</v>
      </c>
      <c r="AF2856" s="22"/>
    </row>
    <row r="2857" spans="1:32" x14ac:dyDescent="0.2">
      <c r="A2857" s="1">
        <v>21562</v>
      </c>
      <c r="B2857" s="1" t="s">
        <v>8990</v>
      </c>
      <c r="C2857" s="5" t="s">
        <v>0</v>
      </c>
      <c r="D2857" s="1" t="s">
        <v>8991</v>
      </c>
      <c r="E2857" s="1" t="s">
        <v>8992</v>
      </c>
      <c r="F2857" s="1" t="s">
        <v>6405</v>
      </c>
      <c r="G2857" s="1" t="s">
        <v>6406</v>
      </c>
      <c r="H2857" s="1" t="s">
        <v>92</v>
      </c>
      <c r="I2857" s="1" t="s">
        <v>16</v>
      </c>
      <c r="J2857" s="1">
        <v>1</v>
      </c>
      <c r="K2857" s="1">
        <v>8</v>
      </c>
      <c r="L2857" s="1" t="s">
        <v>31</v>
      </c>
      <c r="M2857" s="1" t="s">
        <v>18</v>
      </c>
      <c r="N2857" s="1" t="s">
        <v>18</v>
      </c>
      <c r="O2857" s="1">
        <v>3</v>
      </c>
      <c r="P2857" s="1">
        <v>5</v>
      </c>
      <c r="R2857" s="1" t="s">
        <v>62</v>
      </c>
      <c r="S2857" s="1" t="s">
        <v>20</v>
      </c>
      <c r="T2857" s="1" t="s">
        <v>21</v>
      </c>
      <c r="U2857" s="1" t="s">
        <v>22</v>
      </c>
      <c r="V2857" s="1" t="s">
        <v>24</v>
      </c>
      <c r="W2857" s="1" t="s">
        <v>24</v>
      </c>
      <c r="X2857" s="1">
        <v>1303</v>
      </c>
      <c r="Y2857" s="1">
        <v>1312</v>
      </c>
      <c r="Z2857" s="1">
        <v>1313</v>
      </c>
      <c r="AA2857" s="1" t="s">
        <v>24</v>
      </c>
      <c r="AB2857" s="1" t="s">
        <v>24</v>
      </c>
      <c r="AC2857" s="1" t="s">
        <v>24</v>
      </c>
      <c r="AD2857" s="1" t="s">
        <v>24</v>
      </c>
      <c r="AE2857" s="1" t="s">
        <v>24</v>
      </c>
      <c r="AF2857" s="22"/>
    </row>
    <row r="2858" spans="1:32" x14ac:dyDescent="0.2">
      <c r="A2858" s="1">
        <v>21564</v>
      </c>
      <c r="B2858" s="1" t="s">
        <v>8993</v>
      </c>
      <c r="C2858" s="5" t="s">
        <v>0</v>
      </c>
      <c r="D2858" s="1" t="s">
        <v>8994</v>
      </c>
      <c r="E2858" s="1" t="s">
        <v>8995</v>
      </c>
      <c r="F2858" s="1" t="s">
        <v>91</v>
      </c>
      <c r="G2858" s="1" t="s">
        <v>61</v>
      </c>
      <c r="H2858" s="1" t="s">
        <v>92</v>
      </c>
      <c r="I2858" s="1" t="s">
        <v>16</v>
      </c>
      <c r="J2858" s="1">
        <v>1</v>
      </c>
      <c r="K2858" s="1">
        <v>6</v>
      </c>
      <c r="L2858" s="1" t="s">
        <v>31</v>
      </c>
      <c r="M2858" s="1" t="s">
        <v>18</v>
      </c>
      <c r="N2858" s="1" t="s">
        <v>18</v>
      </c>
      <c r="O2858" s="1">
        <v>3</v>
      </c>
      <c r="P2858" s="1">
        <v>7</v>
      </c>
      <c r="Q2858" s="7" t="s">
        <v>17633</v>
      </c>
      <c r="R2858" s="1" t="s">
        <v>19</v>
      </c>
      <c r="S2858" s="1" t="s">
        <v>63</v>
      </c>
      <c r="T2858" s="1" t="s">
        <v>21</v>
      </c>
      <c r="U2858" s="1" t="s">
        <v>22</v>
      </c>
      <c r="V2858" s="1" t="s">
        <v>24</v>
      </c>
      <c r="W2858" s="1" t="s">
        <v>24</v>
      </c>
      <c r="X2858" s="1">
        <v>1307</v>
      </c>
      <c r="Y2858" s="1">
        <v>1312</v>
      </c>
      <c r="Z2858" s="1">
        <v>1313</v>
      </c>
      <c r="AA2858" s="1" t="s">
        <v>24</v>
      </c>
      <c r="AB2858" s="1" t="s">
        <v>24</v>
      </c>
      <c r="AC2858" s="1" t="s">
        <v>24</v>
      </c>
      <c r="AD2858" s="1" t="s">
        <v>24</v>
      </c>
      <c r="AE2858" s="1" t="s">
        <v>24</v>
      </c>
      <c r="AF2858" s="22"/>
    </row>
    <row r="2859" spans="1:32" x14ac:dyDescent="0.2">
      <c r="A2859" s="1">
        <v>21565</v>
      </c>
      <c r="B2859" s="1" t="s">
        <v>8996</v>
      </c>
      <c r="C2859" s="5" t="s">
        <v>0</v>
      </c>
      <c r="D2859" s="1" t="s">
        <v>8997</v>
      </c>
      <c r="F2859" s="1" t="s">
        <v>7990</v>
      </c>
      <c r="G2859" s="1" t="s">
        <v>7990</v>
      </c>
      <c r="H2859" s="1" t="s">
        <v>135</v>
      </c>
      <c r="I2859" s="1" t="s">
        <v>16</v>
      </c>
      <c r="J2859" s="1">
        <v>1</v>
      </c>
      <c r="K2859" s="1">
        <v>4</v>
      </c>
      <c r="L2859" s="1" t="s">
        <v>42</v>
      </c>
      <c r="M2859" s="1" t="s">
        <v>1131</v>
      </c>
      <c r="N2859" s="1" t="s">
        <v>5887</v>
      </c>
      <c r="O2859" s="1">
        <v>2</v>
      </c>
      <c r="P2859" s="1">
        <v>5</v>
      </c>
      <c r="R2859" s="1" t="s">
        <v>19</v>
      </c>
      <c r="S2859" s="1" t="s">
        <v>20</v>
      </c>
      <c r="T2859" s="1" t="s">
        <v>21</v>
      </c>
      <c r="U2859" s="1" t="s">
        <v>22</v>
      </c>
      <c r="V2859" s="1" t="s">
        <v>24</v>
      </c>
      <c r="W2859" s="1" t="s">
        <v>24</v>
      </c>
      <c r="X2859" s="1">
        <v>2723</v>
      </c>
      <c r="Y2859" s="1">
        <v>2403</v>
      </c>
      <c r="Z2859" s="1" t="s">
        <v>24</v>
      </c>
      <c r="AA2859" s="1" t="s">
        <v>24</v>
      </c>
      <c r="AB2859" s="1" t="s">
        <v>24</v>
      </c>
      <c r="AC2859" s="1" t="s">
        <v>24</v>
      </c>
      <c r="AD2859" s="1" t="s">
        <v>24</v>
      </c>
      <c r="AE2859" s="1" t="s">
        <v>24</v>
      </c>
      <c r="AF2859" s="22"/>
    </row>
    <row r="2860" spans="1:32" x14ac:dyDescent="0.2">
      <c r="A2860" s="1">
        <v>21567</v>
      </c>
      <c r="B2860" s="1" t="s">
        <v>8998</v>
      </c>
      <c r="C2860" s="5" t="s">
        <v>0</v>
      </c>
      <c r="D2860" s="1" t="s">
        <v>8999</v>
      </c>
      <c r="F2860" s="1" t="s">
        <v>9000</v>
      </c>
      <c r="G2860" s="1" t="s">
        <v>9000</v>
      </c>
      <c r="H2860" s="1" t="s">
        <v>37</v>
      </c>
      <c r="I2860" s="1" t="s">
        <v>16</v>
      </c>
      <c r="J2860" s="1">
        <v>1</v>
      </c>
      <c r="K2860" s="1">
        <v>4</v>
      </c>
      <c r="L2860" s="1" t="s">
        <v>42</v>
      </c>
      <c r="M2860" s="1" t="s">
        <v>18</v>
      </c>
      <c r="N2860" s="1" t="s">
        <v>18</v>
      </c>
      <c r="O2860" s="1">
        <v>3</v>
      </c>
      <c r="P2860" s="1">
        <v>6</v>
      </c>
      <c r="R2860" s="1" t="s">
        <v>19</v>
      </c>
      <c r="S2860" s="1" t="s">
        <v>20</v>
      </c>
      <c r="T2860" s="1" t="s">
        <v>21</v>
      </c>
      <c r="U2860" s="1" t="s">
        <v>22</v>
      </c>
      <c r="V2860" s="1" t="s">
        <v>24</v>
      </c>
      <c r="W2860" s="1" t="s">
        <v>24</v>
      </c>
      <c r="X2860" s="1">
        <v>1103</v>
      </c>
      <c r="Y2860" s="1">
        <v>3400</v>
      </c>
      <c r="Z2860" s="1">
        <v>1300</v>
      </c>
      <c r="AA2860" s="1" t="s">
        <v>24</v>
      </c>
      <c r="AB2860" s="1" t="s">
        <v>24</v>
      </c>
      <c r="AC2860" s="1" t="s">
        <v>24</v>
      </c>
      <c r="AD2860" s="1" t="s">
        <v>24</v>
      </c>
      <c r="AE2860" s="1" t="s">
        <v>24</v>
      </c>
      <c r="AF2860" s="22"/>
    </row>
    <row r="2861" spans="1:32" x14ac:dyDescent="0.2">
      <c r="A2861" s="1">
        <v>21568</v>
      </c>
      <c r="B2861" s="1" t="s">
        <v>9001</v>
      </c>
      <c r="C2861" s="5" t="s">
        <v>0</v>
      </c>
      <c r="D2861" s="1" t="s">
        <v>9002</v>
      </c>
      <c r="F2861" s="1" t="s">
        <v>9003</v>
      </c>
      <c r="G2861" s="1" t="s">
        <v>9003</v>
      </c>
      <c r="H2861" s="1" t="s">
        <v>184</v>
      </c>
      <c r="I2861" s="1" t="s">
        <v>16</v>
      </c>
      <c r="J2861" s="1">
        <v>1</v>
      </c>
      <c r="K2861" s="1">
        <v>4</v>
      </c>
      <c r="L2861" s="1" t="s">
        <v>42</v>
      </c>
      <c r="M2861" s="1" t="s">
        <v>18</v>
      </c>
      <c r="N2861" s="1" t="s">
        <v>18</v>
      </c>
      <c r="O2861" s="1">
        <v>2</v>
      </c>
      <c r="P2861" s="1">
        <v>6</v>
      </c>
      <c r="R2861" s="1" t="s">
        <v>19</v>
      </c>
      <c r="S2861" s="1" t="s">
        <v>20</v>
      </c>
      <c r="T2861" s="1" t="s">
        <v>21</v>
      </c>
      <c r="U2861" s="1" t="s">
        <v>22</v>
      </c>
      <c r="V2861" s="1" t="s">
        <v>24</v>
      </c>
      <c r="W2861" s="1" t="s">
        <v>24</v>
      </c>
      <c r="X2861" s="1">
        <v>1300</v>
      </c>
      <c r="Y2861" s="1">
        <v>3400</v>
      </c>
      <c r="Z2861" s="1">
        <v>1103</v>
      </c>
      <c r="AA2861" s="1" t="s">
        <v>24</v>
      </c>
      <c r="AB2861" s="1" t="s">
        <v>24</v>
      </c>
      <c r="AC2861" s="1" t="s">
        <v>24</v>
      </c>
      <c r="AD2861" s="1" t="s">
        <v>24</v>
      </c>
      <c r="AE2861" s="1" t="s">
        <v>24</v>
      </c>
      <c r="AF2861" s="22"/>
    </row>
    <row r="2862" spans="1:32" x14ac:dyDescent="0.2">
      <c r="A2862" s="1">
        <v>21573</v>
      </c>
      <c r="B2862" s="1" t="s">
        <v>9004</v>
      </c>
      <c r="C2862" s="5" t="s">
        <v>0</v>
      </c>
      <c r="D2862" s="1" t="s">
        <v>9005</v>
      </c>
      <c r="E2862" s="1" t="s">
        <v>9006</v>
      </c>
      <c r="F2862" s="1" t="s">
        <v>155</v>
      </c>
      <c r="G2862" s="1" t="s">
        <v>61</v>
      </c>
      <c r="H2862" s="1" t="s">
        <v>37</v>
      </c>
      <c r="I2862" s="1" t="s">
        <v>16</v>
      </c>
      <c r="J2862" s="1">
        <v>1</v>
      </c>
      <c r="K2862" s="1">
        <v>4</v>
      </c>
      <c r="L2862" s="1" t="s">
        <v>31</v>
      </c>
      <c r="M2862" s="1" t="s">
        <v>18</v>
      </c>
      <c r="N2862" s="1" t="s">
        <v>18</v>
      </c>
      <c r="O2862" s="1">
        <v>3</v>
      </c>
      <c r="P2862" s="1">
        <v>7</v>
      </c>
      <c r="Q2862" s="7" t="s">
        <v>17633</v>
      </c>
      <c r="R2862" s="1" t="s">
        <v>19</v>
      </c>
      <c r="S2862" s="1" t="s">
        <v>63</v>
      </c>
      <c r="T2862" s="1" t="s">
        <v>21</v>
      </c>
      <c r="U2862" s="1" t="s">
        <v>22</v>
      </c>
      <c r="V2862" s="1" t="s">
        <v>23</v>
      </c>
      <c r="W2862" s="1" t="s">
        <v>24</v>
      </c>
      <c r="X2862" s="1">
        <v>2738</v>
      </c>
      <c r="Y2862" s="1">
        <v>3203</v>
      </c>
      <c r="Z2862" s="1" t="s">
        <v>24</v>
      </c>
      <c r="AA2862" s="1" t="s">
        <v>24</v>
      </c>
      <c r="AB2862" s="1" t="s">
        <v>24</v>
      </c>
      <c r="AC2862" s="1" t="s">
        <v>24</v>
      </c>
      <c r="AD2862" s="1" t="s">
        <v>24</v>
      </c>
      <c r="AE2862" s="1" t="s">
        <v>24</v>
      </c>
      <c r="AF2862" s="22"/>
    </row>
    <row r="2863" spans="1:32" x14ac:dyDescent="0.2">
      <c r="A2863" s="1">
        <v>21599</v>
      </c>
      <c r="B2863" s="1" t="s">
        <v>9007</v>
      </c>
      <c r="C2863" s="5" t="s">
        <v>0</v>
      </c>
      <c r="D2863" s="1" t="s">
        <v>9008</v>
      </c>
      <c r="E2863" s="1" t="s">
        <v>9009</v>
      </c>
      <c r="F2863" s="1" t="s">
        <v>493</v>
      </c>
      <c r="G2863" s="1" t="s">
        <v>98</v>
      </c>
      <c r="H2863" s="1" t="s">
        <v>30</v>
      </c>
      <c r="I2863" s="1" t="s">
        <v>16</v>
      </c>
      <c r="J2863" s="1">
        <v>1</v>
      </c>
      <c r="K2863" s="1">
        <v>6</v>
      </c>
      <c r="L2863" s="1" t="s">
        <v>31</v>
      </c>
      <c r="M2863" s="1" t="s">
        <v>18</v>
      </c>
      <c r="N2863" s="1" t="s">
        <v>18</v>
      </c>
      <c r="O2863" s="1">
        <v>3</v>
      </c>
      <c r="P2863" s="1">
        <v>7</v>
      </c>
      <c r="Q2863" s="7" t="s">
        <v>17633</v>
      </c>
      <c r="R2863" s="1" t="s">
        <v>19</v>
      </c>
      <c r="S2863" s="1" t="s">
        <v>20</v>
      </c>
      <c r="T2863" s="1" t="s">
        <v>21</v>
      </c>
      <c r="U2863" s="1" t="s">
        <v>22</v>
      </c>
      <c r="V2863" s="1" t="s">
        <v>23</v>
      </c>
      <c r="W2863" s="1" t="s">
        <v>24</v>
      </c>
      <c r="X2863" s="1">
        <v>2746</v>
      </c>
      <c r="Y2863" s="1" t="s">
        <v>24</v>
      </c>
      <c r="Z2863" s="1" t="s">
        <v>24</v>
      </c>
      <c r="AA2863" s="1" t="s">
        <v>24</v>
      </c>
      <c r="AB2863" s="1" t="s">
        <v>24</v>
      </c>
      <c r="AC2863" s="1" t="s">
        <v>24</v>
      </c>
      <c r="AD2863" s="1" t="s">
        <v>24</v>
      </c>
      <c r="AE2863" s="1" t="s">
        <v>24</v>
      </c>
      <c r="AF2863" s="22"/>
    </row>
    <row r="2864" spans="1:32" x14ac:dyDescent="0.2">
      <c r="A2864" s="1">
        <v>21627</v>
      </c>
      <c r="B2864" s="1" t="s">
        <v>9010</v>
      </c>
      <c r="C2864" s="5" t="s">
        <v>0</v>
      </c>
      <c r="D2864" s="1" t="s">
        <v>9011</v>
      </c>
      <c r="E2864" s="1" t="s">
        <v>9012</v>
      </c>
      <c r="F2864" s="1" t="s">
        <v>1177</v>
      </c>
      <c r="G2864" s="1" t="s">
        <v>61</v>
      </c>
      <c r="H2864" s="1" t="s">
        <v>37</v>
      </c>
      <c r="I2864" s="1" t="s">
        <v>16</v>
      </c>
      <c r="J2864" s="1">
        <v>1</v>
      </c>
      <c r="K2864" s="1">
        <v>4</v>
      </c>
      <c r="L2864" s="1" t="s">
        <v>31</v>
      </c>
      <c r="M2864" s="1" t="s">
        <v>18</v>
      </c>
      <c r="N2864" s="1" t="s">
        <v>18</v>
      </c>
      <c r="O2864" s="1">
        <v>3</v>
      </c>
      <c r="P2864" s="1">
        <v>6</v>
      </c>
      <c r="R2864" s="1" t="s">
        <v>19</v>
      </c>
      <c r="S2864" s="1" t="s">
        <v>20</v>
      </c>
      <c r="T2864" s="1" t="s">
        <v>21</v>
      </c>
      <c r="U2864" s="1" t="s">
        <v>22</v>
      </c>
      <c r="V2864" s="1" t="s">
        <v>23</v>
      </c>
      <c r="W2864" s="1" t="s">
        <v>24</v>
      </c>
      <c r="X2864" s="1">
        <v>2711</v>
      </c>
      <c r="Y2864" s="1">
        <v>2735</v>
      </c>
      <c r="Z2864" s="1" t="s">
        <v>24</v>
      </c>
      <c r="AA2864" s="1" t="s">
        <v>24</v>
      </c>
      <c r="AB2864" s="1" t="s">
        <v>24</v>
      </c>
      <c r="AC2864" s="1" t="s">
        <v>24</v>
      </c>
      <c r="AD2864" s="1" t="s">
        <v>24</v>
      </c>
      <c r="AE2864" s="1" t="s">
        <v>24</v>
      </c>
      <c r="AF2864" s="22"/>
    </row>
    <row r="2865" spans="1:32" x14ac:dyDescent="0.2">
      <c r="A2865" s="1">
        <v>21631</v>
      </c>
      <c r="B2865" s="1" t="s">
        <v>9013</v>
      </c>
      <c r="C2865" s="5" t="s">
        <v>0</v>
      </c>
      <c r="D2865" s="1" t="s">
        <v>9014</v>
      </c>
      <c r="E2865" s="1" t="s">
        <v>9015</v>
      </c>
      <c r="F2865" s="1" t="s">
        <v>303</v>
      </c>
      <c r="G2865" s="1" t="s">
        <v>61</v>
      </c>
      <c r="H2865" s="1" t="s">
        <v>30</v>
      </c>
      <c r="I2865" s="1" t="s">
        <v>16</v>
      </c>
      <c r="J2865" s="1">
        <v>1</v>
      </c>
      <c r="K2865" s="1">
        <v>4</v>
      </c>
      <c r="L2865" s="1" t="s">
        <v>31</v>
      </c>
      <c r="M2865" s="1" t="s">
        <v>18</v>
      </c>
      <c r="N2865" s="1" t="s">
        <v>18</v>
      </c>
      <c r="O2865" s="1">
        <v>2</v>
      </c>
      <c r="P2865" s="1">
        <v>6</v>
      </c>
      <c r="R2865" s="1" t="s">
        <v>19</v>
      </c>
      <c r="S2865" s="1" t="s">
        <v>20</v>
      </c>
      <c r="T2865" s="1" t="s">
        <v>21</v>
      </c>
      <c r="U2865" s="1" t="s">
        <v>22</v>
      </c>
      <c r="V2865" s="1" t="s">
        <v>24</v>
      </c>
      <c r="W2865" s="1" t="s">
        <v>24</v>
      </c>
      <c r="X2865" s="1">
        <v>2746</v>
      </c>
      <c r="Y2865" s="1" t="s">
        <v>24</v>
      </c>
      <c r="Z2865" s="1" t="s">
        <v>24</v>
      </c>
      <c r="AA2865" s="1" t="s">
        <v>24</v>
      </c>
      <c r="AB2865" s="1" t="s">
        <v>24</v>
      </c>
      <c r="AC2865" s="1" t="s">
        <v>24</v>
      </c>
      <c r="AD2865" s="1" t="s">
        <v>24</v>
      </c>
      <c r="AE2865" s="1" t="s">
        <v>24</v>
      </c>
      <c r="AF2865" s="22"/>
    </row>
    <row r="2866" spans="1:32" x14ac:dyDescent="0.2">
      <c r="A2866" s="1">
        <v>21647</v>
      </c>
      <c r="B2866" s="1" t="s">
        <v>9016</v>
      </c>
      <c r="C2866" s="5" t="s">
        <v>0</v>
      </c>
      <c r="D2866" s="1" t="s">
        <v>9017</v>
      </c>
      <c r="E2866" s="1" t="s">
        <v>9018</v>
      </c>
      <c r="F2866" s="1" t="s">
        <v>303</v>
      </c>
      <c r="G2866" s="1" t="s">
        <v>61</v>
      </c>
      <c r="H2866" s="1" t="s">
        <v>30</v>
      </c>
      <c r="I2866" s="1" t="s">
        <v>16</v>
      </c>
      <c r="J2866" s="1">
        <v>1</v>
      </c>
      <c r="K2866" s="1">
        <v>4</v>
      </c>
      <c r="L2866" s="1" t="s">
        <v>31</v>
      </c>
      <c r="M2866" s="1" t="s">
        <v>18</v>
      </c>
      <c r="N2866" s="1" t="s">
        <v>18</v>
      </c>
      <c r="O2866" s="1">
        <v>3</v>
      </c>
      <c r="P2866" s="1">
        <v>7</v>
      </c>
      <c r="Q2866" s="7" t="s">
        <v>17633</v>
      </c>
      <c r="R2866" s="1" t="s">
        <v>19</v>
      </c>
      <c r="S2866" s="1" t="s">
        <v>20</v>
      </c>
      <c r="T2866" s="1" t="s">
        <v>21</v>
      </c>
      <c r="U2866" s="1" t="s">
        <v>22</v>
      </c>
      <c r="V2866" s="1" t="s">
        <v>23</v>
      </c>
      <c r="W2866" s="1" t="s">
        <v>24</v>
      </c>
      <c r="X2866" s="1">
        <v>2732</v>
      </c>
      <c r="Y2866" s="1">
        <v>2746</v>
      </c>
      <c r="Z2866" s="1" t="s">
        <v>24</v>
      </c>
      <c r="AA2866" s="1" t="s">
        <v>24</v>
      </c>
      <c r="AB2866" s="1" t="s">
        <v>24</v>
      </c>
      <c r="AC2866" s="1" t="s">
        <v>24</v>
      </c>
      <c r="AD2866" s="1" t="s">
        <v>24</v>
      </c>
      <c r="AE2866" s="1" t="s">
        <v>24</v>
      </c>
      <c r="AF2866" s="22"/>
    </row>
    <row r="2867" spans="1:32" x14ac:dyDescent="0.2">
      <c r="A2867" s="1">
        <v>21652</v>
      </c>
      <c r="B2867" s="1" t="s">
        <v>9019</v>
      </c>
      <c r="C2867" s="5" t="s">
        <v>0</v>
      </c>
      <c r="D2867" s="1" t="s">
        <v>9020</v>
      </c>
      <c r="E2867" s="1" t="s">
        <v>9021</v>
      </c>
      <c r="F2867" s="1" t="s">
        <v>303</v>
      </c>
      <c r="G2867" s="1" t="s">
        <v>61</v>
      </c>
      <c r="H2867" s="1" t="s">
        <v>30</v>
      </c>
      <c r="I2867" s="1" t="s">
        <v>16</v>
      </c>
      <c r="J2867" s="1">
        <v>1</v>
      </c>
      <c r="K2867" s="1">
        <v>4</v>
      </c>
      <c r="L2867" s="1" t="s">
        <v>31</v>
      </c>
      <c r="M2867" s="1" t="s">
        <v>18</v>
      </c>
      <c r="N2867" s="1" t="s">
        <v>18</v>
      </c>
      <c r="O2867" s="1">
        <v>3</v>
      </c>
      <c r="P2867" s="1">
        <v>7</v>
      </c>
      <c r="Q2867" s="7" t="s">
        <v>17633</v>
      </c>
      <c r="R2867" s="1" t="s">
        <v>19</v>
      </c>
      <c r="S2867" s="1" t="s">
        <v>20</v>
      </c>
      <c r="T2867" s="1" t="s">
        <v>21</v>
      </c>
      <c r="U2867" s="1" t="s">
        <v>22</v>
      </c>
      <c r="V2867" s="1" t="s">
        <v>23</v>
      </c>
      <c r="W2867" s="1" t="s">
        <v>24</v>
      </c>
      <c r="X2867" s="1">
        <v>2732</v>
      </c>
      <c r="Y2867" s="1">
        <v>2746</v>
      </c>
      <c r="Z2867" s="1" t="s">
        <v>24</v>
      </c>
      <c r="AA2867" s="1" t="s">
        <v>24</v>
      </c>
      <c r="AB2867" s="1" t="s">
        <v>24</v>
      </c>
      <c r="AC2867" s="1" t="s">
        <v>24</v>
      </c>
      <c r="AD2867" s="1" t="s">
        <v>24</v>
      </c>
      <c r="AE2867" s="1" t="s">
        <v>24</v>
      </c>
      <c r="AF2867" s="22"/>
    </row>
    <row r="2868" spans="1:32" x14ac:dyDescent="0.2">
      <c r="A2868" s="1">
        <v>21655</v>
      </c>
      <c r="B2868" s="1" t="s">
        <v>9022</v>
      </c>
      <c r="C2868" s="5" t="s">
        <v>0</v>
      </c>
      <c r="D2868" s="1" t="s">
        <v>9023</v>
      </c>
      <c r="E2868" s="1" t="s">
        <v>9024</v>
      </c>
      <c r="F2868" s="1" t="s">
        <v>303</v>
      </c>
      <c r="G2868" s="1" t="s">
        <v>61</v>
      </c>
      <c r="H2868" s="1" t="s">
        <v>30</v>
      </c>
      <c r="I2868" s="1" t="s">
        <v>16</v>
      </c>
      <c r="J2868" s="1">
        <v>1</v>
      </c>
      <c r="K2868" s="1">
        <v>4</v>
      </c>
      <c r="L2868" s="1" t="s">
        <v>31</v>
      </c>
      <c r="M2868" s="1" t="s">
        <v>18</v>
      </c>
      <c r="N2868" s="1" t="s">
        <v>18</v>
      </c>
      <c r="O2868" s="1">
        <v>3</v>
      </c>
      <c r="P2868" s="1">
        <v>7</v>
      </c>
      <c r="Q2868" s="7" t="s">
        <v>17633</v>
      </c>
      <c r="R2868" s="1" t="s">
        <v>19</v>
      </c>
      <c r="S2868" s="1" t="s">
        <v>20</v>
      </c>
      <c r="T2868" s="1" t="s">
        <v>21</v>
      </c>
      <c r="U2868" s="1" t="s">
        <v>22</v>
      </c>
      <c r="V2868" s="1" t="s">
        <v>24</v>
      </c>
      <c r="W2868" s="1" t="s">
        <v>24</v>
      </c>
      <c r="X2868" s="1">
        <v>2705</v>
      </c>
      <c r="Y2868" s="1">
        <v>2746</v>
      </c>
      <c r="Z2868" s="1">
        <v>2740</v>
      </c>
      <c r="AA2868" s="1" t="s">
        <v>24</v>
      </c>
      <c r="AB2868" s="1" t="s">
        <v>24</v>
      </c>
      <c r="AC2868" s="1" t="s">
        <v>24</v>
      </c>
      <c r="AD2868" s="1" t="s">
        <v>24</v>
      </c>
      <c r="AE2868" s="1" t="s">
        <v>24</v>
      </c>
      <c r="AF2868" s="22"/>
    </row>
    <row r="2869" spans="1:32" x14ac:dyDescent="0.2">
      <c r="A2869" s="1">
        <v>21666</v>
      </c>
      <c r="B2869" s="1" t="s">
        <v>9025</v>
      </c>
      <c r="C2869" s="5" t="s">
        <v>0</v>
      </c>
      <c r="D2869" s="1" t="s">
        <v>9026</v>
      </c>
      <c r="E2869" s="1" t="s">
        <v>9027</v>
      </c>
      <c r="F2869" s="1" t="s">
        <v>303</v>
      </c>
      <c r="G2869" s="1" t="s">
        <v>61</v>
      </c>
      <c r="H2869" s="1" t="s">
        <v>30</v>
      </c>
      <c r="I2869" s="1" t="s">
        <v>16</v>
      </c>
      <c r="J2869" s="1">
        <v>1</v>
      </c>
      <c r="K2869" s="1">
        <v>1</v>
      </c>
      <c r="L2869" s="1" t="s">
        <v>31</v>
      </c>
      <c r="M2869" s="1" t="s">
        <v>18</v>
      </c>
      <c r="N2869" s="1" t="s">
        <v>18</v>
      </c>
      <c r="O2869" s="1">
        <v>3</v>
      </c>
      <c r="P2869" s="1">
        <v>6</v>
      </c>
      <c r="R2869" s="1" t="s">
        <v>19</v>
      </c>
      <c r="S2869" s="1" t="s">
        <v>20</v>
      </c>
      <c r="T2869" s="1" t="s">
        <v>21</v>
      </c>
      <c r="U2869" s="1" t="s">
        <v>22</v>
      </c>
      <c r="V2869" s="1" t="s">
        <v>24</v>
      </c>
      <c r="W2869" s="1" t="s">
        <v>24</v>
      </c>
      <c r="X2869" s="1">
        <v>2705</v>
      </c>
      <c r="Y2869" s="1">
        <v>2735</v>
      </c>
      <c r="Z2869" s="1">
        <v>2746</v>
      </c>
      <c r="AA2869" s="1" t="s">
        <v>24</v>
      </c>
      <c r="AB2869" s="1" t="s">
        <v>24</v>
      </c>
      <c r="AC2869" s="1" t="s">
        <v>24</v>
      </c>
      <c r="AD2869" s="1" t="s">
        <v>24</v>
      </c>
      <c r="AE2869" s="1" t="s">
        <v>24</v>
      </c>
      <c r="AF2869" s="22"/>
    </row>
    <row r="2870" spans="1:32" x14ac:dyDescent="0.2">
      <c r="A2870" s="1">
        <v>21667</v>
      </c>
      <c r="B2870" s="1" t="s">
        <v>9028</v>
      </c>
      <c r="C2870" s="5" t="s">
        <v>0</v>
      </c>
      <c r="D2870" s="1" t="s">
        <v>9029</v>
      </c>
      <c r="E2870" s="1" t="s">
        <v>9030</v>
      </c>
      <c r="F2870" s="1" t="s">
        <v>303</v>
      </c>
      <c r="G2870" s="1" t="s">
        <v>61</v>
      </c>
      <c r="H2870" s="1" t="s">
        <v>30</v>
      </c>
      <c r="I2870" s="1" t="s">
        <v>16</v>
      </c>
      <c r="J2870" s="1">
        <v>1</v>
      </c>
      <c r="K2870" s="1">
        <v>4</v>
      </c>
      <c r="L2870" s="1" t="s">
        <v>31</v>
      </c>
      <c r="M2870" s="1" t="s">
        <v>18</v>
      </c>
      <c r="N2870" s="1" t="s">
        <v>18</v>
      </c>
      <c r="O2870" s="1">
        <v>3</v>
      </c>
      <c r="P2870" s="1">
        <v>6</v>
      </c>
      <c r="R2870" s="1" t="s">
        <v>19</v>
      </c>
      <c r="S2870" s="1" t="s">
        <v>63</v>
      </c>
      <c r="T2870" s="1" t="s">
        <v>21</v>
      </c>
      <c r="U2870" s="1" t="s">
        <v>22</v>
      </c>
      <c r="V2870" s="1" t="s">
        <v>24</v>
      </c>
      <c r="W2870" s="1" t="s">
        <v>24</v>
      </c>
      <c r="X2870" s="1">
        <v>2715</v>
      </c>
      <c r="Y2870" s="1">
        <v>2741</v>
      </c>
      <c r="Z2870" s="1" t="s">
        <v>24</v>
      </c>
      <c r="AA2870" s="1" t="s">
        <v>24</v>
      </c>
      <c r="AB2870" s="1" t="s">
        <v>24</v>
      </c>
      <c r="AC2870" s="1" t="s">
        <v>24</v>
      </c>
      <c r="AD2870" s="1" t="s">
        <v>24</v>
      </c>
      <c r="AE2870" s="1" t="s">
        <v>24</v>
      </c>
      <c r="AF2870" s="22"/>
    </row>
    <row r="2871" spans="1:32" x14ac:dyDescent="0.2">
      <c r="A2871" s="1">
        <v>21685</v>
      </c>
      <c r="B2871" s="1" t="s">
        <v>9031</v>
      </c>
      <c r="C2871" s="5" t="s">
        <v>0</v>
      </c>
      <c r="D2871" s="1" t="s">
        <v>9032</v>
      </c>
      <c r="E2871" s="1" t="s">
        <v>9033</v>
      </c>
      <c r="F2871" s="1" t="s">
        <v>291</v>
      </c>
      <c r="G2871" s="1" t="s">
        <v>292</v>
      </c>
      <c r="H2871" s="1" t="s">
        <v>37</v>
      </c>
      <c r="I2871" s="1" t="s">
        <v>16</v>
      </c>
      <c r="J2871" s="1">
        <v>1</v>
      </c>
      <c r="K2871" s="1">
        <v>12</v>
      </c>
      <c r="L2871" s="1" t="s">
        <v>31</v>
      </c>
      <c r="M2871" s="1" t="s">
        <v>18</v>
      </c>
      <c r="N2871" s="1" t="s">
        <v>18</v>
      </c>
      <c r="O2871" s="1">
        <v>3</v>
      </c>
      <c r="P2871" s="1">
        <v>6</v>
      </c>
      <c r="R2871" s="1" t="s">
        <v>19</v>
      </c>
      <c r="S2871" s="1" t="s">
        <v>20</v>
      </c>
      <c r="T2871" s="1" t="s">
        <v>21</v>
      </c>
      <c r="U2871" s="1" t="s">
        <v>22</v>
      </c>
      <c r="V2871" s="1" t="s">
        <v>24</v>
      </c>
      <c r="W2871" s="1" t="s">
        <v>24</v>
      </c>
      <c r="X2871" s="1">
        <v>3002</v>
      </c>
      <c r="Y2871" s="1">
        <v>3004</v>
      </c>
      <c r="Z2871" s="1">
        <v>1308</v>
      </c>
      <c r="AA2871" s="1">
        <v>1313</v>
      </c>
      <c r="AB2871" s="1" t="s">
        <v>24</v>
      </c>
      <c r="AC2871" s="1" t="s">
        <v>24</v>
      </c>
      <c r="AD2871" s="1" t="s">
        <v>24</v>
      </c>
      <c r="AE2871" s="1" t="s">
        <v>24</v>
      </c>
      <c r="AF2871" s="22"/>
    </row>
    <row r="2872" spans="1:32" x14ac:dyDescent="0.2">
      <c r="A2872" s="1">
        <v>21686</v>
      </c>
      <c r="B2872" s="1" t="s">
        <v>9034</v>
      </c>
      <c r="C2872" s="5" t="s">
        <v>0</v>
      </c>
      <c r="D2872" s="1" t="s">
        <v>9035</v>
      </c>
      <c r="F2872" s="1" t="s">
        <v>291</v>
      </c>
      <c r="G2872" s="1" t="s">
        <v>292</v>
      </c>
      <c r="H2872" s="1" t="s">
        <v>37</v>
      </c>
      <c r="I2872" s="1" t="s">
        <v>16</v>
      </c>
      <c r="J2872" s="1">
        <v>1</v>
      </c>
      <c r="K2872" s="1">
        <v>12</v>
      </c>
      <c r="L2872" s="1" t="s">
        <v>31</v>
      </c>
      <c r="M2872" s="1" t="s">
        <v>18</v>
      </c>
      <c r="N2872" s="1" t="s">
        <v>18</v>
      </c>
      <c r="O2872" s="1">
        <v>3</v>
      </c>
      <c r="P2872" s="1">
        <v>6</v>
      </c>
      <c r="R2872" s="1" t="s">
        <v>19</v>
      </c>
      <c r="S2872" s="1" t="s">
        <v>20</v>
      </c>
      <c r="T2872" s="1" t="s">
        <v>21</v>
      </c>
      <c r="U2872" s="1" t="s">
        <v>22</v>
      </c>
      <c r="V2872" s="1" t="s">
        <v>24</v>
      </c>
      <c r="W2872" s="1" t="s">
        <v>24</v>
      </c>
      <c r="X2872" s="1">
        <v>3004</v>
      </c>
      <c r="Y2872" s="1">
        <v>1308</v>
      </c>
      <c r="Z2872" s="1">
        <v>3002</v>
      </c>
      <c r="AA2872" s="1" t="s">
        <v>24</v>
      </c>
      <c r="AB2872" s="1" t="s">
        <v>24</v>
      </c>
      <c r="AC2872" s="1" t="s">
        <v>24</v>
      </c>
      <c r="AD2872" s="1" t="s">
        <v>24</v>
      </c>
      <c r="AE2872" s="1" t="s">
        <v>24</v>
      </c>
      <c r="AF2872" s="22" t="s">
        <v>17679</v>
      </c>
    </row>
    <row r="2873" spans="1:32" x14ac:dyDescent="0.2">
      <c r="A2873" s="1">
        <v>21687</v>
      </c>
      <c r="B2873" s="1" t="s">
        <v>9036</v>
      </c>
      <c r="C2873" s="5" t="s">
        <v>0</v>
      </c>
      <c r="D2873" s="1" t="s">
        <v>9037</v>
      </c>
      <c r="E2873" s="1" t="s">
        <v>9038</v>
      </c>
      <c r="F2873" s="1" t="s">
        <v>9039</v>
      </c>
      <c r="G2873" s="1" t="s">
        <v>292</v>
      </c>
      <c r="H2873" s="1" t="s">
        <v>37</v>
      </c>
      <c r="I2873" s="1" t="s">
        <v>16</v>
      </c>
      <c r="J2873" s="1">
        <v>1</v>
      </c>
      <c r="K2873" s="1">
        <v>12</v>
      </c>
      <c r="L2873" s="1" t="s">
        <v>31</v>
      </c>
      <c r="M2873" s="1" t="s">
        <v>18</v>
      </c>
      <c r="N2873" s="1" t="s">
        <v>18</v>
      </c>
      <c r="O2873" s="1">
        <v>3</v>
      </c>
      <c r="P2873" s="1">
        <v>6</v>
      </c>
      <c r="R2873" s="1" t="s">
        <v>19</v>
      </c>
      <c r="S2873" s="1" t="s">
        <v>20</v>
      </c>
      <c r="T2873" s="1" t="s">
        <v>21</v>
      </c>
      <c r="U2873" s="1" t="s">
        <v>22</v>
      </c>
      <c r="V2873" s="1" t="s">
        <v>24</v>
      </c>
      <c r="W2873" s="1" t="s">
        <v>24</v>
      </c>
      <c r="X2873" s="1">
        <v>2736</v>
      </c>
      <c r="Y2873" s="1">
        <v>2730</v>
      </c>
      <c r="Z2873" s="1" t="s">
        <v>24</v>
      </c>
      <c r="AA2873" s="1" t="s">
        <v>24</v>
      </c>
      <c r="AB2873" s="1" t="s">
        <v>24</v>
      </c>
      <c r="AC2873" s="1" t="s">
        <v>24</v>
      </c>
      <c r="AD2873" s="1" t="s">
        <v>24</v>
      </c>
      <c r="AE2873" s="1" t="s">
        <v>24</v>
      </c>
      <c r="AF2873" s="22"/>
    </row>
    <row r="2874" spans="1:32" x14ac:dyDescent="0.2">
      <c r="A2874" s="1">
        <v>21688</v>
      </c>
      <c r="B2874" s="1" t="s">
        <v>9040</v>
      </c>
      <c r="C2874" s="5" t="s">
        <v>0</v>
      </c>
      <c r="D2874" s="1" t="s">
        <v>9041</v>
      </c>
      <c r="E2874" s="1" t="s">
        <v>9042</v>
      </c>
      <c r="F2874" s="1" t="s">
        <v>9039</v>
      </c>
      <c r="G2874" s="1" t="s">
        <v>292</v>
      </c>
      <c r="H2874" s="1" t="s">
        <v>37</v>
      </c>
      <c r="I2874" s="1" t="s">
        <v>16</v>
      </c>
      <c r="J2874" s="1">
        <v>1</v>
      </c>
      <c r="K2874" s="1">
        <v>8</v>
      </c>
      <c r="L2874" s="1" t="s">
        <v>31</v>
      </c>
      <c r="M2874" s="1" t="s">
        <v>18</v>
      </c>
      <c r="N2874" s="1" t="s">
        <v>18</v>
      </c>
      <c r="O2874" s="1">
        <v>3</v>
      </c>
      <c r="P2874" s="1">
        <v>6</v>
      </c>
      <c r="R2874" s="1" t="s">
        <v>19</v>
      </c>
      <c r="S2874" s="1" t="s">
        <v>20</v>
      </c>
      <c r="T2874" s="1" t="s">
        <v>21</v>
      </c>
      <c r="U2874" s="1" t="s">
        <v>22</v>
      </c>
      <c r="V2874" s="1" t="s">
        <v>24</v>
      </c>
      <c r="W2874" s="1" t="s">
        <v>24</v>
      </c>
      <c r="X2874" s="1">
        <v>1313</v>
      </c>
      <c r="Y2874" s="1">
        <v>1312</v>
      </c>
      <c r="Z2874" s="1">
        <v>1311</v>
      </c>
      <c r="AA2874" s="1">
        <v>2734</v>
      </c>
      <c r="AB2874" s="1" t="s">
        <v>24</v>
      </c>
      <c r="AC2874" s="1" t="s">
        <v>24</v>
      </c>
      <c r="AD2874" s="1" t="s">
        <v>24</v>
      </c>
      <c r="AE2874" s="1" t="s">
        <v>24</v>
      </c>
      <c r="AF2874" s="22"/>
    </row>
    <row r="2875" spans="1:32" x14ac:dyDescent="0.2">
      <c r="A2875" s="1">
        <v>21689</v>
      </c>
      <c r="B2875" s="1" t="s">
        <v>9043</v>
      </c>
      <c r="C2875" s="5" t="s">
        <v>0</v>
      </c>
      <c r="D2875" s="1" t="s">
        <v>9044</v>
      </c>
      <c r="E2875" s="1" t="s">
        <v>9045</v>
      </c>
      <c r="F2875" s="1" t="s">
        <v>6405</v>
      </c>
      <c r="G2875" s="1" t="s">
        <v>6406</v>
      </c>
      <c r="H2875" s="1" t="s">
        <v>92</v>
      </c>
      <c r="I2875" s="1" t="s">
        <v>16</v>
      </c>
      <c r="J2875" s="1">
        <v>1</v>
      </c>
      <c r="K2875" s="1">
        <v>8</v>
      </c>
      <c r="L2875" s="1" t="s">
        <v>31</v>
      </c>
      <c r="M2875" s="1" t="s">
        <v>18</v>
      </c>
      <c r="N2875" s="1" t="s">
        <v>18</v>
      </c>
      <c r="O2875" s="1">
        <v>3</v>
      </c>
      <c r="P2875" s="1">
        <v>6</v>
      </c>
      <c r="R2875" s="1" t="s">
        <v>19</v>
      </c>
      <c r="S2875" s="1" t="s">
        <v>20</v>
      </c>
      <c r="T2875" s="1" t="s">
        <v>21</v>
      </c>
      <c r="U2875" s="1" t="s">
        <v>22</v>
      </c>
      <c r="V2875" s="1" t="s">
        <v>24</v>
      </c>
      <c r="W2875" s="1" t="s">
        <v>24</v>
      </c>
      <c r="X2875" s="1">
        <v>3002</v>
      </c>
      <c r="Y2875" s="1">
        <v>3004</v>
      </c>
      <c r="Z2875" s="1">
        <v>1306</v>
      </c>
      <c r="AA2875" s="1" t="s">
        <v>24</v>
      </c>
      <c r="AB2875" s="1" t="s">
        <v>24</v>
      </c>
      <c r="AC2875" s="1" t="s">
        <v>24</v>
      </c>
      <c r="AD2875" s="1" t="s">
        <v>24</v>
      </c>
      <c r="AE2875" s="1" t="s">
        <v>24</v>
      </c>
      <c r="AF2875" s="22"/>
    </row>
    <row r="2876" spans="1:32" x14ac:dyDescent="0.2">
      <c r="A2876" s="1">
        <v>21694</v>
      </c>
      <c r="B2876" s="1" t="s">
        <v>9046</v>
      </c>
      <c r="C2876" s="5" t="s">
        <v>0</v>
      </c>
      <c r="D2876" s="1" t="s">
        <v>9047</v>
      </c>
      <c r="E2876" s="1" t="s">
        <v>9048</v>
      </c>
      <c r="F2876" s="1" t="s">
        <v>1260</v>
      </c>
      <c r="G2876" s="1" t="s">
        <v>130</v>
      </c>
      <c r="H2876" s="1" t="s">
        <v>111</v>
      </c>
      <c r="I2876" s="1" t="s">
        <v>16</v>
      </c>
      <c r="J2876" s="1">
        <v>1</v>
      </c>
      <c r="K2876" s="1">
        <v>2</v>
      </c>
      <c r="L2876" s="1" t="s">
        <v>31</v>
      </c>
      <c r="M2876" s="1" t="s">
        <v>18</v>
      </c>
      <c r="N2876" s="1" t="s">
        <v>18</v>
      </c>
      <c r="O2876" s="1">
        <v>3</v>
      </c>
      <c r="P2876" s="1">
        <v>6</v>
      </c>
      <c r="R2876" s="1" t="s">
        <v>19</v>
      </c>
      <c r="S2876" s="1" t="s">
        <v>20</v>
      </c>
      <c r="T2876" s="1" t="s">
        <v>21</v>
      </c>
      <c r="U2876" s="1" t="s">
        <v>22</v>
      </c>
      <c r="V2876" s="1" t="s">
        <v>23</v>
      </c>
      <c r="W2876" s="1" t="s">
        <v>24</v>
      </c>
      <c r="X2876" s="1">
        <v>2736</v>
      </c>
      <c r="Y2876" s="1">
        <v>2719</v>
      </c>
      <c r="Z2876" s="1" t="s">
        <v>24</v>
      </c>
      <c r="AA2876" s="1" t="s">
        <v>24</v>
      </c>
      <c r="AB2876" s="1" t="s">
        <v>24</v>
      </c>
      <c r="AC2876" s="1" t="s">
        <v>24</v>
      </c>
      <c r="AD2876" s="1" t="s">
        <v>24</v>
      </c>
      <c r="AE2876" s="1" t="s">
        <v>24</v>
      </c>
      <c r="AF2876" s="22"/>
    </row>
    <row r="2877" spans="1:32" x14ac:dyDescent="0.2">
      <c r="A2877" s="1">
        <v>21695</v>
      </c>
      <c r="B2877" s="1" t="s">
        <v>9049</v>
      </c>
      <c r="C2877" s="5" t="s">
        <v>0</v>
      </c>
      <c r="D2877" s="1" t="s">
        <v>9050</v>
      </c>
      <c r="F2877" s="1" t="s">
        <v>6910</v>
      </c>
      <c r="G2877" s="1" t="s">
        <v>683</v>
      </c>
      <c r="H2877" s="1" t="s">
        <v>684</v>
      </c>
      <c r="I2877" s="1" t="s">
        <v>16</v>
      </c>
      <c r="J2877" s="1">
        <v>1</v>
      </c>
      <c r="K2877" s="1">
        <v>4</v>
      </c>
      <c r="L2877" s="1" t="s">
        <v>31</v>
      </c>
      <c r="M2877" s="1" t="s">
        <v>1755</v>
      </c>
      <c r="N2877" s="1" t="s">
        <v>1755</v>
      </c>
      <c r="O2877" s="1">
        <v>3</v>
      </c>
      <c r="P2877" s="1">
        <v>6</v>
      </c>
      <c r="R2877" s="1" t="s">
        <v>19</v>
      </c>
      <c r="S2877" s="1" t="s">
        <v>20</v>
      </c>
      <c r="T2877" s="1" t="s">
        <v>21</v>
      </c>
      <c r="U2877" s="1" t="s">
        <v>22</v>
      </c>
      <c r="V2877" s="1" t="s">
        <v>24</v>
      </c>
      <c r="W2877" s="1" t="s">
        <v>24</v>
      </c>
      <c r="X2877" s="1">
        <v>2730</v>
      </c>
      <c r="Y2877" s="1" t="s">
        <v>24</v>
      </c>
      <c r="Z2877" s="1" t="s">
        <v>24</v>
      </c>
      <c r="AA2877" s="1" t="s">
        <v>24</v>
      </c>
      <c r="AB2877" s="1" t="s">
        <v>24</v>
      </c>
      <c r="AC2877" s="1" t="s">
        <v>24</v>
      </c>
      <c r="AD2877" s="1" t="s">
        <v>24</v>
      </c>
      <c r="AE2877" s="1" t="s">
        <v>24</v>
      </c>
      <c r="AF2877" s="22"/>
    </row>
    <row r="2878" spans="1:32" x14ac:dyDescent="0.2">
      <c r="A2878" s="1">
        <v>21697</v>
      </c>
      <c r="B2878" s="1" t="s">
        <v>9051</v>
      </c>
      <c r="C2878" s="5" t="s">
        <v>0</v>
      </c>
      <c r="D2878" s="1" t="s">
        <v>9052</v>
      </c>
      <c r="F2878" s="1" t="s">
        <v>6910</v>
      </c>
      <c r="G2878" s="1" t="s">
        <v>683</v>
      </c>
      <c r="H2878" s="1" t="s">
        <v>684</v>
      </c>
      <c r="I2878" s="1" t="s">
        <v>16</v>
      </c>
      <c r="J2878" s="1">
        <v>1</v>
      </c>
      <c r="K2878" s="1">
        <v>4</v>
      </c>
      <c r="L2878" s="1" t="s">
        <v>31</v>
      </c>
      <c r="M2878" s="1" t="s">
        <v>852</v>
      </c>
      <c r="N2878" s="1" t="s">
        <v>685</v>
      </c>
      <c r="O2878" s="1">
        <v>2</v>
      </c>
      <c r="P2878" s="1">
        <v>5</v>
      </c>
      <c r="R2878" s="1" t="s">
        <v>19</v>
      </c>
      <c r="S2878" s="1" t="s">
        <v>20</v>
      </c>
      <c r="T2878" s="1" t="s">
        <v>21</v>
      </c>
      <c r="U2878" s="1" t="s">
        <v>22</v>
      </c>
      <c r="V2878" s="1" t="s">
        <v>23</v>
      </c>
      <c r="W2878" s="1" t="s">
        <v>24</v>
      </c>
      <c r="X2878" s="1">
        <v>1106</v>
      </c>
      <c r="Y2878" s="1">
        <v>2916</v>
      </c>
      <c r="Z2878" s="1" t="s">
        <v>24</v>
      </c>
      <c r="AA2878" s="1" t="s">
        <v>24</v>
      </c>
      <c r="AB2878" s="1" t="s">
        <v>24</v>
      </c>
      <c r="AC2878" s="1" t="s">
        <v>24</v>
      </c>
      <c r="AD2878" s="1" t="s">
        <v>24</v>
      </c>
      <c r="AE2878" s="1" t="s">
        <v>24</v>
      </c>
      <c r="AF2878" s="22"/>
    </row>
    <row r="2879" spans="1:32" x14ac:dyDescent="0.2">
      <c r="A2879" s="1">
        <v>21698</v>
      </c>
      <c r="B2879" s="1" t="s">
        <v>9053</v>
      </c>
      <c r="C2879" s="5" t="s">
        <v>0</v>
      </c>
      <c r="D2879" s="1" t="s">
        <v>9054</v>
      </c>
      <c r="E2879" s="1" t="s">
        <v>9055</v>
      </c>
      <c r="F2879" s="1" t="s">
        <v>109</v>
      </c>
      <c r="G2879" s="1" t="s">
        <v>110</v>
      </c>
      <c r="H2879" s="1" t="s">
        <v>111</v>
      </c>
      <c r="I2879" s="1" t="s">
        <v>16</v>
      </c>
      <c r="J2879" s="1">
        <v>1</v>
      </c>
      <c r="K2879" s="1">
        <v>6</v>
      </c>
      <c r="L2879" s="1" t="s">
        <v>31</v>
      </c>
      <c r="M2879" s="1" t="s">
        <v>413</v>
      </c>
      <c r="N2879" s="1" t="s">
        <v>679</v>
      </c>
      <c r="O2879" s="1">
        <v>3</v>
      </c>
      <c r="P2879" s="1">
        <v>5</v>
      </c>
      <c r="R2879" s="1" t="s">
        <v>19</v>
      </c>
      <c r="S2879" s="1" t="s">
        <v>20</v>
      </c>
      <c r="T2879" s="1" t="s">
        <v>21</v>
      </c>
      <c r="U2879" s="1" t="s">
        <v>22</v>
      </c>
      <c r="V2879" s="1" t="s">
        <v>23</v>
      </c>
      <c r="W2879" s="1" t="s">
        <v>24</v>
      </c>
      <c r="X2879" s="1">
        <v>2707</v>
      </c>
      <c r="Y2879" s="1" t="s">
        <v>24</v>
      </c>
      <c r="Z2879" s="1" t="s">
        <v>24</v>
      </c>
      <c r="AA2879" s="1" t="s">
        <v>24</v>
      </c>
      <c r="AB2879" s="1" t="s">
        <v>24</v>
      </c>
      <c r="AC2879" s="1" t="s">
        <v>24</v>
      </c>
      <c r="AD2879" s="1" t="s">
        <v>24</v>
      </c>
      <c r="AE2879" s="1" t="s">
        <v>24</v>
      </c>
      <c r="AF2879" s="22"/>
    </row>
    <row r="2880" spans="1:32" x14ac:dyDescent="0.2">
      <c r="A2880" s="1">
        <v>21700</v>
      </c>
      <c r="B2880" s="1" t="s">
        <v>9056</v>
      </c>
      <c r="C2880" s="5" t="s">
        <v>0</v>
      </c>
      <c r="D2880" s="1" t="s">
        <v>9057</v>
      </c>
      <c r="E2880" s="1" t="s">
        <v>9058</v>
      </c>
      <c r="F2880" s="1" t="s">
        <v>689</v>
      </c>
      <c r="G2880" s="1" t="s">
        <v>311</v>
      </c>
      <c r="H2880" s="1" t="s">
        <v>37</v>
      </c>
      <c r="I2880" s="1" t="s">
        <v>16</v>
      </c>
      <c r="J2880" s="1">
        <v>1</v>
      </c>
      <c r="K2880" s="1">
        <v>4</v>
      </c>
      <c r="L2880" s="1" t="s">
        <v>31</v>
      </c>
      <c r="M2880" s="1" t="s">
        <v>18</v>
      </c>
      <c r="N2880" s="1" t="s">
        <v>18</v>
      </c>
      <c r="O2880" s="1">
        <v>3</v>
      </c>
      <c r="P2880" s="1">
        <v>7</v>
      </c>
      <c r="Q2880" s="7" t="s">
        <v>17633</v>
      </c>
      <c r="R2880" s="1" t="s">
        <v>19</v>
      </c>
      <c r="S2880" s="1" t="s">
        <v>20</v>
      </c>
      <c r="T2880" s="1" t="s">
        <v>21</v>
      </c>
      <c r="U2880" s="1" t="s">
        <v>22</v>
      </c>
      <c r="V2880" s="1" t="s">
        <v>23</v>
      </c>
      <c r="W2880" s="1" t="s">
        <v>24</v>
      </c>
      <c r="X2880" s="1">
        <v>2738</v>
      </c>
      <c r="Y2880" s="1">
        <v>3203</v>
      </c>
      <c r="Z2880" s="1">
        <v>3204</v>
      </c>
      <c r="AA2880" s="1" t="s">
        <v>24</v>
      </c>
      <c r="AB2880" s="1" t="s">
        <v>24</v>
      </c>
      <c r="AC2880" s="1" t="s">
        <v>24</v>
      </c>
      <c r="AD2880" s="1" t="s">
        <v>24</v>
      </c>
      <c r="AE2880" s="1" t="s">
        <v>24</v>
      </c>
      <c r="AF2880" s="22"/>
    </row>
    <row r="2881" spans="1:32" x14ac:dyDescent="0.2">
      <c r="A2881" s="1">
        <v>21704</v>
      </c>
      <c r="B2881" s="1" t="s">
        <v>9059</v>
      </c>
      <c r="C2881" s="5" t="s">
        <v>0</v>
      </c>
      <c r="D2881" s="1" t="s">
        <v>9060</v>
      </c>
      <c r="E2881" s="1" t="s">
        <v>9061</v>
      </c>
      <c r="F2881" s="1" t="s">
        <v>651</v>
      </c>
      <c r="G2881" s="1" t="s">
        <v>36</v>
      </c>
      <c r="H2881" s="1" t="s">
        <v>168</v>
      </c>
      <c r="I2881" s="1" t="s">
        <v>16</v>
      </c>
      <c r="J2881" s="1">
        <v>1</v>
      </c>
      <c r="K2881" s="1">
        <v>12</v>
      </c>
      <c r="L2881" s="1" t="s">
        <v>31</v>
      </c>
      <c r="M2881" s="1" t="s">
        <v>18</v>
      </c>
      <c r="N2881" s="1" t="s">
        <v>18</v>
      </c>
      <c r="O2881" s="1">
        <v>3</v>
      </c>
      <c r="P2881" s="1">
        <v>6</v>
      </c>
      <c r="R2881" s="1" t="s">
        <v>19</v>
      </c>
      <c r="S2881" s="1" t="s">
        <v>20</v>
      </c>
      <c r="T2881" s="1" t="s">
        <v>21</v>
      </c>
      <c r="U2881" s="1" t="s">
        <v>22</v>
      </c>
      <c r="V2881" s="1" t="s">
        <v>24</v>
      </c>
      <c r="W2881" s="1" t="s">
        <v>64</v>
      </c>
      <c r="X2881" s="1">
        <v>1305</v>
      </c>
      <c r="Y2881" s="1">
        <v>1502</v>
      </c>
      <c r="Z2881" s="1">
        <v>2502</v>
      </c>
      <c r="AA2881" s="1">
        <v>2507</v>
      </c>
      <c r="AB2881" s="1">
        <v>2505</v>
      </c>
      <c r="AC2881" s="1" t="s">
        <v>24</v>
      </c>
      <c r="AD2881" s="1" t="s">
        <v>24</v>
      </c>
      <c r="AE2881" s="1" t="s">
        <v>24</v>
      </c>
      <c r="AF2881" s="22"/>
    </row>
    <row r="2882" spans="1:32" x14ac:dyDescent="0.2">
      <c r="A2882" s="1">
        <v>21705</v>
      </c>
      <c r="B2882" s="1" t="s">
        <v>9062</v>
      </c>
      <c r="C2882" s="5" t="s">
        <v>0</v>
      </c>
      <c r="D2882" s="1" t="s">
        <v>9063</v>
      </c>
      <c r="E2882" s="1" t="s">
        <v>9064</v>
      </c>
      <c r="F2882" s="1" t="s">
        <v>651</v>
      </c>
      <c r="G2882" s="1" t="s">
        <v>36</v>
      </c>
      <c r="H2882" s="1" t="s">
        <v>168</v>
      </c>
      <c r="I2882" s="1" t="s">
        <v>16</v>
      </c>
      <c r="J2882" s="1">
        <v>1</v>
      </c>
      <c r="K2882" s="1">
        <v>12</v>
      </c>
      <c r="L2882" s="1" t="s">
        <v>31</v>
      </c>
      <c r="M2882" s="1" t="s">
        <v>18</v>
      </c>
      <c r="N2882" s="1" t="s">
        <v>18</v>
      </c>
      <c r="O2882" s="1">
        <v>3</v>
      </c>
      <c r="P2882" s="1">
        <v>7</v>
      </c>
      <c r="Q2882" s="7" t="s">
        <v>17633</v>
      </c>
      <c r="R2882" s="1" t="s">
        <v>62</v>
      </c>
      <c r="S2882" s="1" t="s">
        <v>20</v>
      </c>
      <c r="T2882" s="1" t="s">
        <v>21</v>
      </c>
      <c r="U2882" s="1" t="s">
        <v>22</v>
      </c>
      <c r="V2882" s="1" t="s">
        <v>24</v>
      </c>
      <c r="W2882" s="1" t="s">
        <v>64</v>
      </c>
      <c r="X2882" s="1">
        <v>1303</v>
      </c>
      <c r="Y2882" s="1">
        <v>1605</v>
      </c>
      <c r="Z2882" s="1">
        <v>1313</v>
      </c>
      <c r="AA2882" s="1">
        <v>1312</v>
      </c>
      <c r="AB2882" s="1" t="s">
        <v>24</v>
      </c>
      <c r="AC2882" s="1" t="s">
        <v>24</v>
      </c>
      <c r="AD2882" s="1" t="s">
        <v>24</v>
      </c>
      <c r="AE2882" s="1" t="s">
        <v>24</v>
      </c>
      <c r="AF2882" s="22"/>
    </row>
    <row r="2883" spans="1:32" x14ac:dyDescent="0.2">
      <c r="A2883" s="1">
        <v>21709</v>
      </c>
      <c r="B2883" s="1" t="s">
        <v>9065</v>
      </c>
      <c r="C2883" s="5" t="s">
        <v>0</v>
      </c>
      <c r="D2883" s="1" t="s">
        <v>9066</v>
      </c>
      <c r="E2883" s="1" t="s">
        <v>9067</v>
      </c>
      <c r="F2883" s="1" t="s">
        <v>190</v>
      </c>
      <c r="G2883" s="1" t="s">
        <v>130</v>
      </c>
      <c r="H2883" s="1" t="s">
        <v>30</v>
      </c>
      <c r="I2883" s="1" t="s">
        <v>16</v>
      </c>
      <c r="J2883" s="1">
        <v>1</v>
      </c>
      <c r="K2883" s="1">
        <v>6</v>
      </c>
      <c r="L2883" s="1" t="s">
        <v>31</v>
      </c>
      <c r="M2883" s="1" t="s">
        <v>18</v>
      </c>
      <c r="N2883" s="1" t="s">
        <v>18</v>
      </c>
      <c r="O2883" s="1">
        <v>3</v>
      </c>
      <c r="P2883" s="1">
        <v>7</v>
      </c>
      <c r="Q2883" s="7" t="s">
        <v>17633</v>
      </c>
      <c r="R2883" s="1" t="s">
        <v>19</v>
      </c>
      <c r="S2883" s="1" t="s">
        <v>20</v>
      </c>
      <c r="T2883" s="1" t="s">
        <v>21</v>
      </c>
      <c r="U2883" s="1" t="s">
        <v>22</v>
      </c>
      <c r="V2883" s="1" t="s">
        <v>23</v>
      </c>
      <c r="W2883" s="1" t="s">
        <v>24</v>
      </c>
      <c r="X2883" s="1">
        <v>1306</v>
      </c>
      <c r="Y2883" s="1">
        <v>2730</v>
      </c>
      <c r="Z2883" s="1">
        <v>2741</v>
      </c>
      <c r="AA2883" s="1" t="s">
        <v>24</v>
      </c>
      <c r="AB2883" s="1" t="s">
        <v>24</v>
      </c>
      <c r="AC2883" s="1" t="s">
        <v>24</v>
      </c>
      <c r="AD2883" s="1" t="s">
        <v>24</v>
      </c>
      <c r="AE2883" s="1" t="s">
        <v>24</v>
      </c>
      <c r="AF2883" s="22"/>
    </row>
    <row r="2884" spans="1:32" x14ac:dyDescent="0.2">
      <c r="A2884" s="1">
        <v>21710</v>
      </c>
      <c r="B2884" s="1" t="s">
        <v>9068</v>
      </c>
      <c r="C2884" s="5" t="s">
        <v>0</v>
      </c>
      <c r="D2884" s="1" t="s">
        <v>9069</v>
      </c>
      <c r="E2884" s="1" t="s">
        <v>9070</v>
      </c>
      <c r="F2884" s="1" t="s">
        <v>155</v>
      </c>
      <c r="G2884" s="1" t="s">
        <v>61</v>
      </c>
      <c r="H2884" s="1" t="s">
        <v>37</v>
      </c>
      <c r="I2884" s="1" t="s">
        <v>16</v>
      </c>
      <c r="J2884" s="1">
        <v>1</v>
      </c>
      <c r="K2884" s="1">
        <v>6</v>
      </c>
      <c r="L2884" s="1" t="s">
        <v>31</v>
      </c>
      <c r="M2884" s="1" t="s">
        <v>18</v>
      </c>
      <c r="N2884" s="1" t="s">
        <v>18</v>
      </c>
      <c r="O2884" s="1">
        <v>3</v>
      </c>
      <c r="P2884" s="1">
        <v>7</v>
      </c>
      <c r="Q2884" s="7" t="s">
        <v>17633</v>
      </c>
      <c r="R2884" s="1" t="s">
        <v>62</v>
      </c>
      <c r="S2884" s="1" t="s">
        <v>63</v>
      </c>
      <c r="T2884" s="1" t="s">
        <v>21</v>
      </c>
      <c r="U2884" s="1" t="s">
        <v>22</v>
      </c>
      <c r="V2884" s="1" t="s">
        <v>24</v>
      </c>
      <c r="W2884" s="1" t="s">
        <v>64</v>
      </c>
      <c r="X2884" s="1">
        <v>3002</v>
      </c>
      <c r="Y2884" s="1">
        <v>3004</v>
      </c>
      <c r="Z2884" s="1" t="s">
        <v>24</v>
      </c>
      <c r="AA2884" s="1" t="s">
        <v>24</v>
      </c>
      <c r="AB2884" s="1" t="s">
        <v>24</v>
      </c>
      <c r="AC2884" s="1" t="s">
        <v>24</v>
      </c>
      <c r="AD2884" s="1" t="s">
        <v>24</v>
      </c>
      <c r="AE2884" s="1" t="s">
        <v>24</v>
      </c>
      <c r="AF2884" s="22"/>
    </row>
    <row r="2885" spans="1:32" x14ac:dyDescent="0.2">
      <c r="A2885" s="1">
        <v>21711</v>
      </c>
      <c r="B2885" s="1" t="s">
        <v>9071</v>
      </c>
      <c r="C2885" s="5" t="s">
        <v>0</v>
      </c>
      <c r="D2885" s="1" t="s">
        <v>9072</v>
      </c>
      <c r="E2885" s="1" t="s">
        <v>9073</v>
      </c>
      <c r="F2885" s="1" t="s">
        <v>324</v>
      </c>
      <c r="G2885" s="1" t="s">
        <v>61</v>
      </c>
      <c r="H2885" s="1" t="s">
        <v>30</v>
      </c>
      <c r="I2885" s="1" t="s">
        <v>16</v>
      </c>
      <c r="J2885" s="1">
        <v>2</v>
      </c>
      <c r="K2885" s="1">
        <v>6</v>
      </c>
      <c r="L2885" s="1" t="s">
        <v>31</v>
      </c>
      <c r="M2885" s="1" t="s">
        <v>18</v>
      </c>
      <c r="N2885" s="1" t="s">
        <v>18</v>
      </c>
      <c r="O2885" s="1">
        <v>3</v>
      </c>
      <c r="P2885" s="1">
        <v>7</v>
      </c>
      <c r="Q2885" s="7" t="s">
        <v>17633</v>
      </c>
      <c r="R2885" s="1" t="s">
        <v>62</v>
      </c>
      <c r="S2885" s="1" t="s">
        <v>20</v>
      </c>
      <c r="T2885" s="1" t="s">
        <v>21</v>
      </c>
      <c r="U2885" s="1" t="s">
        <v>22</v>
      </c>
      <c r="V2885" s="1" t="s">
        <v>24</v>
      </c>
      <c r="W2885" s="1" t="s">
        <v>24</v>
      </c>
      <c r="X2885" s="1">
        <v>1309</v>
      </c>
      <c r="Y2885" s="1" t="s">
        <v>24</v>
      </c>
      <c r="Z2885" s="1" t="s">
        <v>24</v>
      </c>
      <c r="AA2885" s="1" t="s">
        <v>24</v>
      </c>
      <c r="AB2885" s="1" t="s">
        <v>24</v>
      </c>
      <c r="AC2885" s="1" t="s">
        <v>24</v>
      </c>
      <c r="AD2885" s="1" t="s">
        <v>24</v>
      </c>
      <c r="AE2885" s="1" t="s">
        <v>24</v>
      </c>
      <c r="AF2885" s="22"/>
    </row>
    <row r="2886" spans="1:32" x14ac:dyDescent="0.2">
      <c r="A2886" s="1">
        <v>21712</v>
      </c>
      <c r="B2886" s="1" t="s">
        <v>9074</v>
      </c>
      <c r="C2886" s="5" t="s">
        <v>0</v>
      </c>
      <c r="D2886" s="1" t="s">
        <v>9075</v>
      </c>
      <c r="E2886" s="1" t="s">
        <v>9076</v>
      </c>
      <c r="F2886" s="1" t="s">
        <v>155</v>
      </c>
      <c r="G2886" s="1" t="s">
        <v>61</v>
      </c>
      <c r="H2886" s="1" t="s">
        <v>37</v>
      </c>
      <c r="I2886" s="1" t="s">
        <v>16</v>
      </c>
      <c r="J2886" s="1">
        <v>1</v>
      </c>
      <c r="K2886" s="1">
        <v>8</v>
      </c>
      <c r="L2886" s="1" t="s">
        <v>31</v>
      </c>
      <c r="M2886" s="1" t="s">
        <v>18</v>
      </c>
      <c r="N2886" s="1" t="s">
        <v>18</v>
      </c>
      <c r="O2886" s="1">
        <v>3</v>
      </c>
      <c r="P2886" s="1">
        <v>7</v>
      </c>
      <c r="Q2886" s="7" t="s">
        <v>17633</v>
      </c>
      <c r="R2886" s="1" t="s">
        <v>19</v>
      </c>
      <c r="S2886" s="1" t="s">
        <v>63</v>
      </c>
      <c r="T2886" s="1" t="s">
        <v>21</v>
      </c>
      <c r="U2886" s="1" t="s">
        <v>22</v>
      </c>
      <c r="V2886" s="1" t="s">
        <v>24</v>
      </c>
      <c r="W2886" s="1" t="s">
        <v>24</v>
      </c>
      <c r="X2886" s="1">
        <v>2308</v>
      </c>
      <c r="Y2886" s="1">
        <v>3305</v>
      </c>
      <c r="Z2886" s="1" t="s">
        <v>24</v>
      </c>
      <c r="AA2886" s="1" t="s">
        <v>24</v>
      </c>
      <c r="AB2886" s="1" t="s">
        <v>24</v>
      </c>
      <c r="AC2886" s="1" t="s">
        <v>24</v>
      </c>
      <c r="AD2886" s="1" t="s">
        <v>24</v>
      </c>
      <c r="AE2886" s="1" t="s">
        <v>24</v>
      </c>
      <c r="AF2886" s="22"/>
    </row>
    <row r="2887" spans="1:32" x14ac:dyDescent="0.2">
      <c r="A2887" s="1">
        <v>21713</v>
      </c>
      <c r="B2887" s="1" t="s">
        <v>9077</v>
      </c>
      <c r="C2887" s="5" t="s">
        <v>0</v>
      </c>
      <c r="D2887" s="1" t="s">
        <v>9078</v>
      </c>
      <c r="E2887" s="1" t="s">
        <v>9079</v>
      </c>
      <c r="F2887" s="1" t="s">
        <v>55</v>
      </c>
      <c r="G2887" s="1" t="s">
        <v>56</v>
      </c>
      <c r="H2887" s="1" t="s">
        <v>37</v>
      </c>
      <c r="I2887" s="1" t="s">
        <v>16</v>
      </c>
      <c r="J2887" s="1">
        <v>1</v>
      </c>
      <c r="K2887" s="1">
        <v>12</v>
      </c>
      <c r="L2887" s="1" t="s">
        <v>31</v>
      </c>
      <c r="M2887" s="1" t="s">
        <v>18</v>
      </c>
      <c r="N2887" s="1" t="s">
        <v>18</v>
      </c>
      <c r="O2887" s="1">
        <v>3</v>
      </c>
      <c r="P2887" s="1">
        <v>6</v>
      </c>
      <c r="R2887" s="1" t="s">
        <v>62</v>
      </c>
      <c r="S2887" s="1" t="s">
        <v>20</v>
      </c>
      <c r="T2887" s="1" t="s">
        <v>21</v>
      </c>
      <c r="U2887" s="1" t="s">
        <v>22</v>
      </c>
      <c r="V2887" s="1" t="s">
        <v>24</v>
      </c>
      <c r="W2887" s="1" t="s">
        <v>24</v>
      </c>
      <c r="X2887" s="1">
        <v>1306</v>
      </c>
      <c r="Y2887" s="1">
        <v>2730</v>
      </c>
      <c r="Z2887" s="1">
        <v>2728</v>
      </c>
      <c r="AA2887" s="1" t="s">
        <v>24</v>
      </c>
      <c r="AB2887" s="1" t="s">
        <v>24</v>
      </c>
      <c r="AC2887" s="1" t="s">
        <v>24</v>
      </c>
      <c r="AD2887" s="1" t="s">
        <v>24</v>
      </c>
      <c r="AE2887" s="1" t="s">
        <v>24</v>
      </c>
      <c r="AF2887" s="22"/>
    </row>
    <row r="2888" spans="1:32" x14ac:dyDescent="0.2">
      <c r="A2888" s="1">
        <v>21716</v>
      </c>
      <c r="B2888" s="1" t="s">
        <v>9080</v>
      </c>
      <c r="C2888" s="5" t="s">
        <v>0</v>
      </c>
      <c r="D2888" s="1" t="s">
        <v>9081</v>
      </c>
      <c r="E2888" s="1" t="s">
        <v>9082</v>
      </c>
      <c r="F2888" s="1" t="s">
        <v>2822</v>
      </c>
      <c r="G2888" s="1" t="s">
        <v>61</v>
      </c>
      <c r="H2888" s="1" t="s">
        <v>37</v>
      </c>
      <c r="I2888" s="1" t="s">
        <v>16</v>
      </c>
      <c r="J2888" s="1">
        <v>1</v>
      </c>
      <c r="K2888" s="1">
        <v>12</v>
      </c>
      <c r="L2888" s="1" t="s">
        <v>31</v>
      </c>
      <c r="M2888" s="1" t="s">
        <v>18</v>
      </c>
      <c r="N2888" s="1" t="s">
        <v>18</v>
      </c>
      <c r="O2888" s="1">
        <v>3</v>
      </c>
      <c r="P2888" s="1">
        <v>7</v>
      </c>
      <c r="Q2888" s="7" t="s">
        <v>17633</v>
      </c>
      <c r="R2888" s="1" t="s">
        <v>62</v>
      </c>
      <c r="S2888" s="1" t="s">
        <v>20</v>
      </c>
      <c r="T2888" s="1" t="s">
        <v>21</v>
      </c>
      <c r="U2888" s="1" t="s">
        <v>22</v>
      </c>
      <c r="V2888" s="1" t="s">
        <v>24</v>
      </c>
      <c r="W2888" s="1" t="s">
        <v>24</v>
      </c>
      <c r="X2888" s="1">
        <v>2725</v>
      </c>
      <c r="Y2888" s="1" t="s">
        <v>24</v>
      </c>
      <c r="Z2888" s="1" t="s">
        <v>24</v>
      </c>
      <c r="AA2888" s="1" t="s">
        <v>24</v>
      </c>
      <c r="AB2888" s="1" t="s">
        <v>24</v>
      </c>
      <c r="AC2888" s="1" t="s">
        <v>24</v>
      </c>
      <c r="AD2888" s="1" t="s">
        <v>24</v>
      </c>
      <c r="AE2888" s="1" t="s">
        <v>24</v>
      </c>
      <c r="AF2888" s="22"/>
    </row>
    <row r="2889" spans="1:32" x14ac:dyDescent="0.2">
      <c r="A2889" s="1">
        <v>21720</v>
      </c>
      <c r="B2889" s="1" t="s">
        <v>9083</v>
      </c>
      <c r="C2889" s="5" t="s">
        <v>0</v>
      </c>
      <c r="D2889" s="1" t="s">
        <v>9084</v>
      </c>
      <c r="E2889" s="1" t="s">
        <v>9085</v>
      </c>
      <c r="F2889" s="1" t="s">
        <v>91</v>
      </c>
      <c r="G2889" s="1" t="s">
        <v>61</v>
      </c>
      <c r="H2889" s="1" t="s">
        <v>111</v>
      </c>
      <c r="I2889" s="1" t="s">
        <v>16</v>
      </c>
      <c r="J2889" s="1">
        <v>1</v>
      </c>
      <c r="K2889" s="1">
        <v>6</v>
      </c>
      <c r="L2889" s="1" t="s">
        <v>31</v>
      </c>
      <c r="M2889" s="1" t="s">
        <v>18</v>
      </c>
      <c r="N2889" s="1" t="s">
        <v>18</v>
      </c>
      <c r="O2889" s="1">
        <v>3</v>
      </c>
      <c r="P2889" s="1">
        <v>7</v>
      </c>
      <c r="Q2889" s="7" t="s">
        <v>17633</v>
      </c>
      <c r="R2889" s="1" t="s">
        <v>19</v>
      </c>
      <c r="S2889" s="1" t="s">
        <v>20</v>
      </c>
      <c r="T2889" s="1" t="s">
        <v>21</v>
      </c>
      <c r="U2889" s="1" t="s">
        <v>22</v>
      </c>
      <c r="V2889" s="1" t="s">
        <v>24</v>
      </c>
      <c r="W2889" s="1" t="s">
        <v>24</v>
      </c>
      <c r="X2889" s="1">
        <v>1310</v>
      </c>
      <c r="Y2889" s="1">
        <v>2712</v>
      </c>
      <c r="Z2889" s="1">
        <v>2721</v>
      </c>
      <c r="AA2889" s="1" t="s">
        <v>24</v>
      </c>
      <c r="AB2889" s="1" t="s">
        <v>24</v>
      </c>
      <c r="AC2889" s="1" t="s">
        <v>24</v>
      </c>
      <c r="AD2889" s="1" t="s">
        <v>24</v>
      </c>
      <c r="AE2889" s="1" t="s">
        <v>24</v>
      </c>
      <c r="AF2889" s="22" t="s">
        <v>17670</v>
      </c>
    </row>
    <row r="2890" spans="1:32" x14ac:dyDescent="0.2">
      <c r="A2890" s="1">
        <v>21722</v>
      </c>
      <c r="B2890" s="1" t="s">
        <v>9086</v>
      </c>
      <c r="C2890" s="5" t="s">
        <v>0</v>
      </c>
      <c r="D2890" s="1" t="s">
        <v>9087</v>
      </c>
      <c r="F2890" s="1" t="s">
        <v>9088</v>
      </c>
      <c r="G2890" s="1" t="s">
        <v>9088</v>
      </c>
      <c r="H2890" s="1" t="s">
        <v>453</v>
      </c>
      <c r="I2890" s="1" t="s">
        <v>16</v>
      </c>
      <c r="J2890" s="1">
        <v>1</v>
      </c>
      <c r="K2890" s="1">
        <v>4</v>
      </c>
      <c r="L2890" s="1" t="s">
        <v>17</v>
      </c>
      <c r="M2890" s="1" t="s">
        <v>18</v>
      </c>
      <c r="N2890" s="1" t="s">
        <v>18</v>
      </c>
      <c r="O2890" s="1">
        <v>3</v>
      </c>
      <c r="P2890" s="1">
        <v>5</v>
      </c>
      <c r="R2890" s="1" t="s">
        <v>19</v>
      </c>
      <c r="S2890" s="1" t="s">
        <v>20</v>
      </c>
      <c r="T2890" s="1" t="s">
        <v>21</v>
      </c>
      <c r="U2890" s="1" t="s">
        <v>22</v>
      </c>
      <c r="V2890" s="1" t="s">
        <v>24</v>
      </c>
      <c r="W2890" s="1" t="s">
        <v>24</v>
      </c>
      <c r="X2890" s="1">
        <v>2403</v>
      </c>
      <c r="Y2890" s="1">
        <v>2723</v>
      </c>
      <c r="Z2890" s="1" t="s">
        <v>24</v>
      </c>
      <c r="AA2890" s="1" t="s">
        <v>24</v>
      </c>
      <c r="AB2890" s="1" t="s">
        <v>24</v>
      </c>
      <c r="AC2890" s="1" t="s">
        <v>24</v>
      </c>
      <c r="AD2890" s="1" t="s">
        <v>24</v>
      </c>
      <c r="AE2890" s="1" t="s">
        <v>24</v>
      </c>
      <c r="AF2890" s="22"/>
    </row>
    <row r="2891" spans="1:32" x14ac:dyDescent="0.2">
      <c r="A2891" s="1">
        <v>21723</v>
      </c>
      <c r="B2891" s="1" t="s">
        <v>9089</v>
      </c>
      <c r="C2891" s="5" t="s">
        <v>0</v>
      </c>
      <c r="D2891" s="1" t="s">
        <v>9090</v>
      </c>
      <c r="F2891" s="1" t="s">
        <v>9091</v>
      </c>
      <c r="G2891" s="1" t="s">
        <v>9091</v>
      </c>
      <c r="H2891" s="1" t="s">
        <v>2772</v>
      </c>
      <c r="I2891" s="1" t="s">
        <v>16</v>
      </c>
      <c r="J2891" s="1">
        <v>1</v>
      </c>
      <c r="K2891" s="1">
        <v>4</v>
      </c>
      <c r="L2891" s="1" t="s">
        <v>42</v>
      </c>
      <c r="M2891" s="1" t="s">
        <v>4976</v>
      </c>
      <c r="N2891" s="1" t="s">
        <v>4976</v>
      </c>
      <c r="O2891" s="1">
        <v>3</v>
      </c>
      <c r="P2891" s="1">
        <v>6</v>
      </c>
      <c r="R2891" s="1" t="s">
        <v>19</v>
      </c>
      <c r="S2891" s="1" t="s">
        <v>20</v>
      </c>
      <c r="T2891" s="1" t="s">
        <v>21</v>
      </c>
      <c r="U2891" s="1" t="s">
        <v>22</v>
      </c>
      <c r="V2891" s="1" t="s">
        <v>24</v>
      </c>
      <c r="W2891" s="1" t="s">
        <v>24</v>
      </c>
      <c r="X2891" s="1">
        <v>2404</v>
      </c>
      <c r="Y2891" s="1">
        <v>2406</v>
      </c>
      <c r="Z2891" s="1">
        <v>2403</v>
      </c>
      <c r="AA2891" s="1" t="s">
        <v>24</v>
      </c>
      <c r="AB2891" s="1" t="s">
        <v>24</v>
      </c>
      <c r="AC2891" s="1" t="s">
        <v>24</v>
      </c>
      <c r="AD2891" s="1" t="s">
        <v>24</v>
      </c>
      <c r="AE2891" s="1" t="s">
        <v>24</v>
      </c>
      <c r="AF2891" s="22"/>
    </row>
    <row r="2892" spans="1:32" x14ac:dyDescent="0.2">
      <c r="A2892" s="1">
        <v>21724</v>
      </c>
      <c r="B2892" s="1" t="s">
        <v>9092</v>
      </c>
      <c r="C2892" s="5" t="s">
        <v>0</v>
      </c>
      <c r="D2892" s="1" t="s">
        <v>9093</v>
      </c>
      <c r="E2892" s="1" t="s">
        <v>9094</v>
      </c>
      <c r="F2892" s="1" t="s">
        <v>91</v>
      </c>
      <c r="G2892" s="1" t="s">
        <v>61</v>
      </c>
      <c r="H2892" s="1" t="s">
        <v>92</v>
      </c>
      <c r="I2892" s="1" t="s">
        <v>16</v>
      </c>
      <c r="J2892" s="1">
        <v>1</v>
      </c>
      <c r="K2892" s="1">
        <v>6</v>
      </c>
      <c r="L2892" s="1" t="s">
        <v>31</v>
      </c>
      <c r="M2892" s="1" t="s">
        <v>18</v>
      </c>
      <c r="N2892" s="1" t="s">
        <v>18</v>
      </c>
      <c r="O2892" s="1">
        <v>3</v>
      </c>
      <c r="P2892" s="1">
        <v>7</v>
      </c>
      <c r="Q2892" s="7" t="s">
        <v>17633</v>
      </c>
      <c r="R2892" s="1" t="s">
        <v>19</v>
      </c>
      <c r="S2892" s="1" t="s">
        <v>63</v>
      </c>
      <c r="T2892" s="1" t="s">
        <v>21</v>
      </c>
      <c r="U2892" s="1" t="s">
        <v>22</v>
      </c>
      <c r="V2892" s="1" t="s">
        <v>24</v>
      </c>
      <c r="W2892" s="1" t="s">
        <v>24</v>
      </c>
      <c r="X2892" s="1">
        <v>1105</v>
      </c>
      <c r="Y2892" s="1">
        <v>1311</v>
      </c>
      <c r="Z2892" s="1">
        <v>1312</v>
      </c>
      <c r="AA2892" s="1">
        <v>2404</v>
      </c>
      <c r="AB2892" s="1">
        <v>2725</v>
      </c>
      <c r="AC2892" s="1">
        <v>2726</v>
      </c>
      <c r="AD2892" s="1" t="s">
        <v>24</v>
      </c>
      <c r="AE2892" s="1" t="s">
        <v>24</v>
      </c>
      <c r="AF2892" s="22"/>
    </row>
    <row r="2893" spans="1:32" x14ac:dyDescent="0.2">
      <c r="A2893" s="1">
        <v>21725</v>
      </c>
      <c r="B2893" s="1" t="s">
        <v>9095</v>
      </c>
      <c r="C2893" s="5" t="s">
        <v>0</v>
      </c>
      <c r="D2893" s="1" t="s">
        <v>9096</v>
      </c>
      <c r="E2893" s="1" t="s">
        <v>9097</v>
      </c>
      <c r="F2893" s="1" t="s">
        <v>9098</v>
      </c>
      <c r="G2893" s="1" t="s">
        <v>9098</v>
      </c>
      <c r="H2893" s="1" t="s">
        <v>1384</v>
      </c>
      <c r="I2893" s="1" t="s">
        <v>16</v>
      </c>
      <c r="J2893" s="1">
        <v>1</v>
      </c>
      <c r="K2893" s="1">
        <v>4</v>
      </c>
      <c r="L2893" s="1" t="s">
        <v>42</v>
      </c>
      <c r="M2893" s="1" t="s">
        <v>1385</v>
      </c>
      <c r="N2893" s="1" t="s">
        <v>3142</v>
      </c>
      <c r="O2893" s="1">
        <v>3</v>
      </c>
      <c r="P2893" s="1">
        <v>6</v>
      </c>
      <c r="R2893" s="1" t="s">
        <v>19</v>
      </c>
      <c r="S2893" s="1" t="s">
        <v>20</v>
      </c>
      <c r="T2893" s="1" t="s">
        <v>21</v>
      </c>
      <c r="U2893" s="1" t="s">
        <v>22</v>
      </c>
      <c r="V2893" s="1" t="s">
        <v>24</v>
      </c>
      <c r="W2893" s="1" t="s">
        <v>24</v>
      </c>
      <c r="X2893" s="1">
        <v>2736</v>
      </c>
      <c r="Y2893" s="1">
        <v>2738</v>
      </c>
      <c r="Z2893" s="1" t="s">
        <v>24</v>
      </c>
      <c r="AA2893" s="1" t="s">
        <v>24</v>
      </c>
      <c r="AB2893" s="1" t="s">
        <v>24</v>
      </c>
      <c r="AC2893" s="1" t="s">
        <v>24</v>
      </c>
      <c r="AD2893" s="1" t="s">
        <v>24</v>
      </c>
      <c r="AE2893" s="1" t="s">
        <v>24</v>
      </c>
      <c r="AF2893" s="22"/>
    </row>
    <row r="2894" spans="1:32" x14ac:dyDescent="0.2">
      <c r="A2894" s="1">
        <v>21726</v>
      </c>
      <c r="B2894" s="1" t="s">
        <v>9099</v>
      </c>
      <c r="C2894" s="5" t="s">
        <v>0</v>
      </c>
      <c r="D2894" s="1" t="s">
        <v>9100</v>
      </c>
      <c r="F2894" s="1" t="s">
        <v>3486</v>
      </c>
      <c r="G2894" s="1" t="s">
        <v>3486</v>
      </c>
      <c r="H2894" s="1" t="s">
        <v>249</v>
      </c>
      <c r="I2894" s="1" t="s">
        <v>16</v>
      </c>
      <c r="J2894" s="1">
        <v>1</v>
      </c>
      <c r="K2894" s="1">
        <v>4</v>
      </c>
      <c r="L2894" s="1" t="s">
        <v>17</v>
      </c>
      <c r="M2894" s="1" t="s">
        <v>250</v>
      </c>
      <c r="N2894" s="1" t="s">
        <v>1463</v>
      </c>
      <c r="O2894" s="1">
        <v>0</v>
      </c>
      <c r="P2894" s="1">
        <v>5</v>
      </c>
      <c r="R2894" s="1" t="s">
        <v>19</v>
      </c>
      <c r="S2894" s="1" t="s">
        <v>20</v>
      </c>
      <c r="T2894" s="1" t="s">
        <v>21</v>
      </c>
      <c r="U2894" s="1" t="s">
        <v>22</v>
      </c>
      <c r="V2894" s="1" t="s">
        <v>24</v>
      </c>
      <c r="W2894" s="1" t="s">
        <v>24</v>
      </c>
      <c r="X2894" s="1">
        <v>2738</v>
      </c>
      <c r="Y2894" s="1">
        <v>3203</v>
      </c>
      <c r="Z2894" s="1" t="s">
        <v>24</v>
      </c>
      <c r="AA2894" s="1" t="s">
        <v>24</v>
      </c>
      <c r="AB2894" s="1" t="s">
        <v>24</v>
      </c>
      <c r="AC2894" s="1" t="s">
        <v>24</v>
      </c>
      <c r="AD2894" s="1" t="s">
        <v>24</v>
      </c>
      <c r="AE2894" s="1" t="s">
        <v>24</v>
      </c>
      <c r="AF2894" s="22"/>
    </row>
    <row r="2895" spans="1:32" x14ac:dyDescent="0.2">
      <c r="A2895" s="1">
        <v>21728</v>
      </c>
      <c r="B2895" s="1" t="s">
        <v>9101</v>
      </c>
      <c r="C2895" s="5" t="s">
        <v>0</v>
      </c>
      <c r="D2895" s="1" t="s">
        <v>9102</v>
      </c>
      <c r="F2895" s="1" t="s">
        <v>1890</v>
      </c>
      <c r="G2895" s="1" t="s">
        <v>1890</v>
      </c>
      <c r="H2895" s="1" t="s">
        <v>684</v>
      </c>
      <c r="I2895" s="1" t="s">
        <v>16</v>
      </c>
      <c r="J2895" s="1">
        <v>1</v>
      </c>
      <c r="K2895" s="1">
        <v>2</v>
      </c>
      <c r="L2895" s="1" t="s">
        <v>17</v>
      </c>
      <c r="M2895" s="1" t="s">
        <v>852</v>
      </c>
      <c r="N2895" s="1" t="s">
        <v>685</v>
      </c>
      <c r="O2895" s="1">
        <v>3</v>
      </c>
      <c r="P2895" s="1">
        <v>5</v>
      </c>
      <c r="R2895" s="1" t="s">
        <v>19</v>
      </c>
      <c r="S2895" s="1" t="s">
        <v>20</v>
      </c>
      <c r="T2895" s="1" t="s">
        <v>21</v>
      </c>
      <c r="U2895" s="1" t="s">
        <v>22</v>
      </c>
      <c r="V2895" s="1" t="s">
        <v>23</v>
      </c>
      <c r="W2895" s="1" t="s">
        <v>24</v>
      </c>
      <c r="X2895" s="1">
        <v>2717</v>
      </c>
      <c r="Y2895" s="1" t="s">
        <v>24</v>
      </c>
      <c r="Z2895" s="1" t="s">
        <v>24</v>
      </c>
      <c r="AA2895" s="1" t="s">
        <v>24</v>
      </c>
      <c r="AB2895" s="1" t="s">
        <v>24</v>
      </c>
      <c r="AC2895" s="1" t="s">
        <v>24</v>
      </c>
      <c r="AD2895" s="1" t="s">
        <v>24</v>
      </c>
      <c r="AE2895" s="1" t="s">
        <v>24</v>
      </c>
      <c r="AF2895" s="22"/>
    </row>
    <row r="2896" spans="1:32" x14ac:dyDescent="0.2">
      <c r="A2896" s="1">
        <v>21729</v>
      </c>
      <c r="B2896" s="1" t="s">
        <v>9103</v>
      </c>
      <c r="C2896" s="5" t="s">
        <v>0</v>
      </c>
      <c r="D2896" s="1" t="s">
        <v>9104</v>
      </c>
      <c r="F2896" s="1" t="s">
        <v>9105</v>
      </c>
      <c r="G2896" s="1" t="s">
        <v>9105</v>
      </c>
      <c r="H2896" s="1" t="s">
        <v>116</v>
      </c>
      <c r="I2896" s="1" t="s">
        <v>16</v>
      </c>
      <c r="J2896" s="1">
        <v>1</v>
      </c>
      <c r="K2896" s="1">
        <v>6</v>
      </c>
      <c r="L2896" s="1" t="s">
        <v>42</v>
      </c>
      <c r="M2896" s="1" t="s">
        <v>117</v>
      </c>
      <c r="N2896" s="1" t="s">
        <v>118</v>
      </c>
      <c r="O2896" s="1">
        <v>2</v>
      </c>
      <c r="P2896" s="1">
        <v>5</v>
      </c>
      <c r="R2896" s="1" t="s">
        <v>19</v>
      </c>
      <c r="S2896" s="1" t="s">
        <v>20</v>
      </c>
      <c r="T2896" s="1" t="s">
        <v>21</v>
      </c>
      <c r="U2896" s="1" t="s">
        <v>22</v>
      </c>
      <c r="V2896" s="1" t="s">
        <v>24</v>
      </c>
      <c r="W2896" s="1" t="s">
        <v>24</v>
      </c>
      <c r="X2896" s="1">
        <v>2729</v>
      </c>
      <c r="Y2896" s="1">
        <v>2743</v>
      </c>
      <c r="Z2896" s="1" t="s">
        <v>24</v>
      </c>
      <c r="AA2896" s="1" t="s">
        <v>24</v>
      </c>
      <c r="AB2896" s="1" t="s">
        <v>24</v>
      </c>
      <c r="AC2896" s="1" t="s">
        <v>24</v>
      </c>
      <c r="AD2896" s="1" t="s">
        <v>24</v>
      </c>
      <c r="AE2896" s="1" t="s">
        <v>24</v>
      </c>
      <c r="AF2896" s="22"/>
    </row>
    <row r="2897" spans="1:32" x14ac:dyDescent="0.2">
      <c r="A2897" s="1">
        <v>21731</v>
      </c>
      <c r="B2897" s="1" t="s">
        <v>9106</v>
      </c>
      <c r="C2897" s="5" t="s">
        <v>0</v>
      </c>
      <c r="D2897" s="1" t="s">
        <v>9107</v>
      </c>
      <c r="E2897" s="1" t="s">
        <v>9108</v>
      </c>
      <c r="F2897" s="1" t="s">
        <v>651</v>
      </c>
      <c r="G2897" s="1" t="s">
        <v>36</v>
      </c>
      <c r="H2897" s="1" t="s">
        <v>168</v>
      </c>
      <c r="I2897" s="1" t="s">
        <v>16</v>
      </c>
      <c r="J2897" s="1">
        <v>1</v>
      </c>
      <c r="K2897" s="1">
        <v>24</v>
      </c>
      <c r="L2897" s="1" t="s">
        <v>31</v>
      </c>
      <c r="M2897" s="1" t="s">
        <v>18</v>
      </c>
      <c r="N2897" s="1" t="s">
        <v>18</v>
      </c>
      <c r="O2897" s="1">
        <v>3</v>
      </c>
      <c r="P2897" s="1">
        <v>7</v>
      </c>
      <c r="Q2897" s="7" t="s">
        <v>17633</v>
      </c>
      <c r="R2897" s="1" t="s">
        <v>62</v>
      </c>
      <c r="S2897" s="1" t="s">
        <v>20</v>
      </c>
      <c r="T2897" s="1" t="s">
        <v>21</v>
      </c>
      <c r="U2897" s="1" t="s">
        <v>22</v>
      </c>
      <c r="V2897" s="1" t="s">
        <v>24</v>
      </c>
      <c r="W2897" s="1" t="s">
        <v>24</v>
      </c>
      <c r="X2897" s="1">
        <v>1312</v>
      </c>
      <c r="Y2897" s="1">
        <v>1303</v>
      </c>
      <c r="Z2897" s="1" t="s">
        <v>24</v>
      </c>
      <c r="AA2897" s="1" t="s">
        <v>24</v>
      </c>
      <c r="AB2897" s="1" t="s">
        <v>24</v>
      </c>
      <c r="AC2897" s="1" t="s">
        <v>24</v>
      </c>
      <c r="AD2897" s="1" t="s">
        <v>24</v>
      </c>
      <c r="AE2897" s="1" t="s">
        <v>24</v>
      </c>
      <c r="AF2897" s="22"/>
    </row>
    <row r="2898" spans="1:32" x14ac:dyDescent="0.2">
      <c r="A2898" s="1">
        <v>21739</v>
      </c>
      <c r="B2898" s="1" t="s">
        <v>9109</v>
      </c>
      <c r="C2898" s="5" t="s">
        <v>0</v>
      </c>
      <c r="D2898" s="1" t="s">
        <v>9110</v>
      </c>
      <c r="E2898" s="1" t="s">
        <v>9111</v>
      </c>
      <c r="F2898" s="1" t="s">
        <v>217</v>
      </c>
      <c r="G2898" s="1" t="s">
        <v>130</v>
      </c>
      <c r="H2898" s="1" t="s">
        <v>92</v>
      </c>
      <c r="I2898" s="1" t="s">
        <v>16</v>
      </c>
      <c r="J2898" s="1">
        <v>1</v>
      </c>
      <c r="K2898" s="1">
        <v>4</v>
      </c>
      <c r="L2898" s="1" t="s">
        <v>31</v>
      </c>
      <c r="M2898" s="1" t="s">
        <v>18</v>
      </c>
      <c r="N2898" s="1" t="s">
        <v>18</v>
      </c>
      <c r="O2898" s="1">
        <v>3</v>
      </c>
      <c r="P2898" s="1">
        <v>7</v>
      </c>
      <c r="Q2898" s="7" t="s">
        <v>17633</v>
      </c>
      <c r="R2898" s="1" t="s">
        <v>19</v>
      </c>
      <c r="S2898" s="1" t="s">
        <v>20</v>
      </c>
      <c r="T2898" s="1" t="s">
        <v>21</v>
      </c>
      <c r="U2898" s="1" t="s">
        <v>22</v>
      </c>
      <c r="V2898" s="1" t="s">
        <v>24</v>
      </c>
      <c r="W2898" s="1" t="s">
        <v>24</v>
      </c>
      <c r="X2898" s="1">
        <v>1306</v>
      </c>
      <c r="Y2898" s="1">
        <v>1311</v>
      </c>
      <c r="Z2898" s="1">
        <v>2730</v>
      </c>
      <c r="AA2898" s="1">
        <v>2716</v>
      </c>
      <c r="AB2898" s="1" t="s">
        <v>24</v>
      </c>
      <c r="AC2898" s="1" t="s">
        <v>24</v>
      </c>
      <c r="AD2898" s="1" t="s">
        <v>24</v>
      </c>
      <c r="AE2898" s="1" t="s">
        <v>24</v>
      </c>
      <c r="AF2898" s="22"/>
    </row>
    <row r="2899" spans="1:32" x14ac:dyDescent="0.2">
      <c r="A2899" s="1">
        <v>21740</v>
      </c>
      <c r="B2899" s="1" t="s">
        <v>9112</v>
      </c>
      <c r="C2899" s="5" t="s">
        <v>0</v>
      </c>
      <c r="D2899" s="1" t="s">
        <v>9113</v>
      </c>
      <c r="E2899" s="1" t="s">
        <v>9114</v>
      </c>
      <c r="F2899" s="1" t="s">
        <v>91</v>
      </c>
      <c r="G2899" s="1" t="s">
        <v>61</v>
      </c>
      <c r="H2899" s="1" t="s">
        <v>30</v>
      </c>
      <c r="I2899" s="1" t="s">
        <v>16</v>
      </c>
      <c r="J2899" s="1">
        <v>1</v>
      </c>
      <c r="K2899" s="1">
        <v>4</v>
      </c>
      <c r="L2899" s="1" t="s">
        <v>31</v>
      </c>
      <c r="M2899" s="1" t="s">
        <v>18</v>
      </c>
      <c r="N2899" s="1" t="s">
        <v>18</v>
      </c>
      <c r="O2899" s="1">
        <v>3</v>
      </c>
      <c r="P2899" s="1">
        <v>6</v>
      </c>
      <c r="R2899" s="1" t="s">
        <v>19</v>
      </c>
      <c r="S2899" s="1" t="s">
        <v>20</v>
      </c>
      <c r="T2899" s="1" t="s">
        <v>21</v>
      </c>
      <c r="U2899" s="1" t="s">
        <v>22</v>
      </c>
      <c r="V2899" s="1" t="s">
        <v>23</v>
      </c>
      <c r="W2899" s="1" t="s">
        <v>24</v>
      </c>
      <c r="X2899" s="1">
        <v>2730</v>
      </c>
      <c r="Y2899" s="1">
        <v>2715</v>
      </c>
      <c r="Z2899" s="1" t="s">
        <v>24</v>
      </c>
      <c r="AA2899" s="1" t="s">
        <v>24</v>
      </c>
      <c r="AB2899" s="1" t="s">
        <v>24</v>
      </c>
      <c r="AC2899" s="1" t="s">
        <v>24</v>
      </c>
      <c r="AD2899" s="1" t="s">
        <v>24</v>
      </c>
      <c r="AE2899" s="1" t="s">
        <v>24</v>
      </c>
      <c r="AF2899" s="22" t="s">
        <v>17670</v>
      </c>
    </row>
    <row r="2900" spans="1:32" x14ac:dyDescent="0.2">
      <c r="A2900" s="1">
        <v>21742</v>
      </c>
      <c r="B2900" s="1" t="s">
        <v>9115</v>
      </c>
      <c r="C2900" s="5" t="s">
        <v>0</v>
      </c>
      <c r="D2900" s="1" t="s">
        <v>9116</v>
      </c>
      <c r="F2900" s="1" t="s">
        <v>9117</v>
      </c>
      <c r="G2900" s="1" t="s">
        <v>9117</v>
      </c>
      <c r="H2900" s="1" t="s">
        <v>30</v>
      </c>
      <c r="I2900" s="1" t="s">
        <v>16</v>
      </c>
      <c r="J2900" s="1">
        <v>1</v>
      </c>
      <c r="K2900" s="1">
        <v>4</v>
      </c>
      <c r="L2900" s="1" t="s">
        <v>42</v>
      </c>
      <c r="M2900" s="1" t="s">
        <v>18</v>
      </c>
      <c r="N2900" s="1" t="s">
        <v>18</v>
      </c>
      <c r="O2900" s="1">
        <v>3</v>
      </c>
      <c r="P2900" s="1">
        <v>6</v>
      </c>
      <c r="R2900" s="1" t="s">
        <v>19</v>
      </c>
      <c r="S2900" s="1" t="s">
        <v>20</v>
      </c>
      <c r="T2900" s="1" t="s">
        <v>21</v>
      </c>
      <c r="U2900" s="1" t="s">
        <v>22</v>
      </c>
      <c r="V2900" s="1" t="s">
        <v>23</v>
      </c>
      <c r="W2900" s="1" t="s">
        <v>24</v>
      </c>
      <c r="X2900" s="1">
        <v>2713</v>
      </c>
      <c r="Y2900" s="1">
        <v>2700</v>
      </c>
      <c r="Z2900" s="1" t="s">
        <v>24</v>
      </c>
      <c r="AA2900" s="1" t="s">
        <v>24</v>
      </c>
      <c r="AB2900" s="1" t="s">
        <v>24</v>
      </c>
      <c r="AC2900" s="1" t="s">
        <v>24</v>
      </c>
      <c r="AD2900" s="1" t="s">
        <v>24</v>
      </c>
      <c r="AE2900" s="1" t="s">
        <v>24</v>
      </c>
      <c r="AF2900" s="22"/>
    </row>
    <row r="2901" spans="1:32" x14ac:dyDescent="0.2">
      <c r="A2901" s="1">
        <v>21745</v>
      </c>
      <c r="B2901" s="1" t="s">
        <v>9118</v>
      </c>
      <c r="C2901" s="5" t="s">
        <v>0</v>
      </c>
      <c r="D2901" s="1" t="s">
        <v>9119</v>
      </c>
      <c r="E2901" s="1" t="s">
        <v>9120</v>
      </c>
      <c r="F2901" s="1" t="s">
        <v>97</v>
      </c>
      <c r="G2901" s="1" t="s">
        <v>98</v>
      </c>
      <c r="H2901" s="1" t="s">
        <v>37</v>
      </c>
      <c r="I2901" s="1" t="s">
        <v>16</v>
      </c>
      <c r="J2901" s="1">
        <v>1</v>
      </c>
      <c r="K2901" s="1">
        <v>4</v>
      </c>
      <c r="L2901" s="1" t="s">
        <v>31</v>
      </c>
      <c r="M2901" s="1" t="s">
        <v>18</v>
      </c>
      <c r="N2901" s="1" t="s">
        <v>18</v>
      </c>
      <c r="O2901" s="1">
        <v>3</v>
      </c>
      <c r="P2901" s="1">
        <v>6</v>
      </c>
      <c r="R2901" s="1" t="s">
        <v>19</v>
      </c>
      <c r="S2901" s="1" t="s">
        <v>20</v>
      </c>
      <c r="T2901" s="1" t="s">
        <v>21</v>
      </c>
      <c r="U2901" s="1" t="s">
        <v>22</v>
      </c>
      <c r="V2901" s="1" t="s">
        <v>24</v>
      </c>
      <c r="W2901" s="1" t="s">
        <v>24</v>
      </c>
      <c r="X2901" s="1">
        <v>2724</v>
      </c>
      <c r="Y2901" s="1">
        <v>1310</v>
      </c>
      <c r="Z2901" s="1" t="s">
        <v>24</v>
      </c>
      <c r="AA2901" s="1" t="s">
        <v>24</v>
      </c>
      <c r="AB2901" s="1" t="s">
        <v>24</v>
      </c>
      <c r="AC2901" s="1" t="s">
        <v>24</v>
      </c>
      <c r="AD2901" s="1" t="s">
        <v>24</v>
      </c>
      <c r="AE2901" s="1" t="s">
        <v>24</v>
      </c>
      <c r="AF2901" s="22"/>
    </row>
    <row r="2902" spans="1:32" x14ac:dyDescent="0.2">
      <c r="A2902" s="1">
        <v>21746</v>
      </c>
      <c r="B2902" s="1" t="s">
        <v>9121</v>
      </c>
      <c r="C2902" s="5" t="s">
        <v>0</v>
      </c>
      <c r="D2902" s="1" t="s">
        <v>9122</v>
      </c>
      <c r="F2902" s="1" t="s">
        <v>9123</v>
      </c>
      <c r="G2902" s="1" t="s">
        <v>9124</v>
      </c>
      <c r="H2902" s="1" t="s">
        <v>9125</v>
      </c>
      <c r="I2902" s="1" t="s">
        <v>16</v>
      </c>
      <c r="J2902" s="1">
        <v>1</v>
      </c>
      <c r="K2902" s="1">
        <v>4</v>
      </c>
      <c r="L2902" s="1" t="s">
        <v>31</v>
      </c>
      <c r="M2902" s="1" t="s">
        <v>9126</v>
      </c>
      <c r="N2902" s="1" t="s">
        <v>9127</v>
      </c>
      <c r="O2902" s="1">
        <v>3</v>
      </c>
      <c r="P2902" s="1">
        <v>5</v>
      </c>
      <c r="R2902" s="1" t="s">
        <v>19</v>
      </c>
      <c r="S2902" s="1" t="s">
        <v>20</v>
      </c>
      <c r="T2902" s="1" t="s">
        <v>21</v>
      </c>
      <c r="U2902" s="1" t="s">
        <v>22</v>
      </c>
      <c r="V2902" s="1" t="s">
        <v>24</v>
      </c>
      <c r="W2902" s="1" t="s">
        <v>24</v>
      </c>
      <c r="X2902" s="1">
        <v>2700</v>
      </c>
      <c r="Y2902" s="1" t="s">
        <v>24</v>
      </c>
      <c r="Z2902" s="1" t="s">
        <v>24</v>
      </c>
      <c r="AA2902" s="1" t="s">
        <v>24</v>
      </c>
      <c r="AB2902" s="1" t="s">
        <v>24</v>
      </c>
      <c r="AC2902" s="1" t="s">
        <v>24</v>
      </c>
      <c r="AD2902" s="1" t="s">
        <v>24</v>
      </c>
      <c r="AE2902" s="1" t="s">
        <v>24</v>
      </c>
      <c r="AF2902" s="22"/>
    </row>
    <row r="2903" spans="1:32" x14ac:dyDescent="0.2">
      <c r="A2903" s="1">
        <v>21747</v>
      </c>
      <c r="B2903" s="1" t="s">
        <v>9128</v>
      </c>
      <c r="C2903" s="5" t="s">
        <v>0</v>
      </c>
      <c r="D2903" s="1" t="s">
        <v>9129</v>
      </c>
      <c r="F2903" s="1" t="s">
        <v>9128</v>
      </c>
      <c r="G2903" s="1" t="s">
        <v>9128</v>
      </c>
      <c r="H2903" s="1" t="s">
        <v>1384</v>
      </c>
      <c r="I2903" s="1" t="s">
        <v>16</v>
      </c>
      <c r="J2903" s="1">
        <v>1</v>
      </c>
      <c r="K2903" s="1">
        <v>4</v>
      </c>
      <c r="L2903" s="1" t="s">
        <v>17</v>
      </c>
      <c r="M2903" s="1" t="s">
        <v>1385</v>
      </c>
      <c r="N2903" s="1" t="s">
        <v>3142</v>
      </c>
      <c r="O2903" s="1">
        <v>2</v>
      </c>
      <c r="P2903" s="1">
        <v>5</v>
      </c>
      <c r="R2903" s="1" t="s">
        <v>19</v>
      </c>
      <c r="S2903" s="1" t="s">
        <v>20</v>
      </c>
      <c r="T2903" s="1" t="s">
        <v>21</v>
      </c>
      <c r="U2903" s="1" t="s">
        <v>22</v>
      </c>
      <c r="V2903" s="1" t="s">
        <v>23</v>
      </c>
      <c r="W2903" s="1" t="s">
        <v>24</v>
      </c>
      <c r="X2903" s="1">
        <v>2703</v>
      </c>
      <c r="Y2903" s="1" t="s">
        <v>24</v>
      </c>
      <c r="Z2903" s="1" t="s">
        <v>24</v>
      </c>
      <c r="AA2903" s="1" t="s">
        <v>24</v>
      </c>
      <c r="AB2903" s="1" t="s">
        <v>24</v>
      </c>
      <c r="AC2903" s="1" t="s">
        <v>24</v>
      </c>
      <c r="AD2903" s="1" t="s">
        <v>24</v>
      </c>
      <c r="AE2903" s="1" t="s">
        <v>24</v>
      </c>
      <c r="AF2903" s="22"/>
    </row>
    <row r="2904" spans="1:32" x14ac:dyDescent="0.2">
      <c r="A2904" s="1">
        <v>21749</v>
      </c>
      <c r="B2904" s="1" t="s">
        <v>9130</v>
      </c>
      <c r="C2904" s="5" t="s">
        <v>0</v>
      </c>
      <c r="D2904" s="1" t="s">
        <v>9131</v>
      </c>
      <c r="E2904" s="1" t="s">
        <v>9132</v>
      </c>
      <c r="F2904" s="1" t="s">
        <v>9133</v>
      </c>
      <c r="G2904" s="1" t="s">
        <v>9133</v>
      </c>
      <c r="H2904" s="1" t="s">
        <v>1957</v>
      </c>
      <c r="I2904" s="1" t="s">
        <v>16</v>
      </c>
      <c r="J2904" s="1">
        <v>1</v>
      </c>
      <c r="K2904" s="1">
        <v>12</v>
      </c>
      <c r="L2904" s="1" t="s">
        <v>42</v>
      </c>
      <c r="M2904" s="1" t="s">
        <v>18</v>
      </c>
      <c r="N2904" s="1" t="s">
        <v>18</v>
      </c>
      <c r="O2904" s="1">
        <v>3</v>
      </c>
      <c r="P2904" s="1">
        <v>6</v>
      </c>
      <c r="R2904" s="1" t="s">
        <v>19</v>
      </c>
      <c r="S2904" s="1" t="s">
        <v>20</v>
      </c>
      <c r="T2904" s="1" t="s">
        <v>21</v>
      </c>
      <c r="U2904" s="1" t="s">
        <v>22</v>
      </c>
      <c r="V2904" s="1" t="s">
        <v>24</v>
      </c>
      <c r="W2904" s="1" t="s">
        <v>24</v>
      </c>
      <c r="X2904" s="1">
        <v>2700</v>
      </c>
      <c r="Y2904" s="1" t="s">
        <v>24</v>
      </c>
      <c r="Z2904" s="1" t="s">
        <v>24</v>
      </c>
      <c r="AA2904" s="1" t="s">
        <v>24</v>
      </c>
      <c r="AB2904" s="1" t="s">
        <v>24</v>
      </c>
      <c r="AC2904" s="1" t="s">
        <v>24</v>
      </c>
      <c r="AD2904" s="1" t="s">
        <v>24</v>
      </c>
      <c r="AE2904" s="1" t="s">
        <v>24</v>
      </c>
      <c r="AF2904" s="22"/>
    </row>
    <row r="2905" spans="1:32" x14ac:dyDescent="0.2">
      <c r="A2905" s="1">
        <v>21791</v>
      </c>
      <c r="B2905" s="1" t="s">
        <v>9134</v>
      </c>
      <c r="C2905" s="5" t="s">
        <v>0</v>
      </c>
      <c r="D2905" s="1" t="s">
        <v>9135</v>
      </c>
      <c r="E2905" s="1" t="s">
        <v>9136</v>
      </c>
      <c r="F2905" s="1" t="s">
        <v>91</v>
      </c>
      <c r="G2905" s="1" t="s">
        <v>61</v>
      </c>
      <c r="H2905" s="1" t="s">
        <v>92</v>
      </c>
      <c r="I2905" s="1" t="s">
        <v>16</v>
      </c>
      <c r="J2905" s="1">
        <v>1</v>
      </c>
      <c r="K2905" s="1">
        <v>4</v>
      </c>
      <c r="L2905" s="1" t="s">
        <v>31</v>
      </c>
      <c r="M2905" s="1" t="s">
        <v>18</v>
      </c>
      <c r="N2905" s="1" t="s">
        <v>18</v>
      </c>
      <c r="O2905" s="1">
        <v>3</v>
      </c>
      <c r="P2905" s="1">
        <v>6</v>
      </c>
      <c r="R2905" s="1" t="s">
        <v>19</v>
      </c>
      <c r="S2905" s="1" t="s">
        <v>20</v>
      </c>
      <c r="T2905" s="1" t="s">
        <v>21</v>
      </c>
      <c r="U2905" s="1" t="s">
        <v>22</v>
      </c>
      <c r="V2905" s="1" t="s">
        <v>24</v>
      </c>
      <c r="W2905" s="1" t="s">
        <v>24</v>
      </c>
      <c r="X2905" s="1">
        <v>2740</v>
      </c>
      <c r="Y2905" s="1">
        <v>2735</v>
      </c>
      <c r="Z2905" s="1" t="s">
        <v>24</v>
      </c>
      <c r="AA2905" s="1" t="s">
        <v>24</v>
      </c>
      <c r="AB2905" s="1" t="s">
        <v>24</v>
      </c>
      <c r="AC2905" s="1" t="s">
        <v>24</v>
      </c>
      <c r="AD2905" s="1" t="s">
        <v>24</v>
      </c>
      <c r="AE2905" s="1" t="s">
        <v>24</v>
      </c>
      <c r="AF2905" s="22"/>
    </row>
    <row r="2906" spans="1:32" x14ac:dyDescent="0.2">
      <c r="A2906" s="1">
        <v>21829</v>
      </c>
      <c r="B2906" s="1" t="s">
        <v>9137</v>
      </c>
      <c r="C2906" s="5" t="s">
        <v>0</v>
      </c>
      <c r="D2906" s="1" t="s">
        <v>9138</v>
      </c>
      <c r="E2906" s="1" t="s">
        <v>9139</v>
      </c>
      <c r="F2906" s="1" t="s">
        <v>9140</v>
      </c>
      <c r="G2906" s="1" t="s">
        <v>36</v>
      </c>
      <c r="H2906" s="1" t="s">
        <v>30</v>
      </c>
      <c r="I2906" s="1" t="s">
        <v>16</v>
      </c>
      <c r="J2906" s="1">
        <v>1</v>
      </c>
      <c r="K2906" s="1">
        <v>6</v>
      </c>
      <c r="L2906" s="1" t="s">
        <v>31</v>
      </c>
      <c r="M2906" s="1" t="s">
        <v>18</v>
      </c>
      <c r="N2906" s="1" t="s">
        <v>18</v>
      </c>
      <c r="O2906" s="1">
        <v>3</v>
      </c>
      <c r="P2906" s="1">
        <v>7</v>
      </c>
      <c r="Q2906" s="7" t="s">
        <v>17633</v>
      </c>
      <c r="R2906" s="1" t="s">
        <v>19</v>
      </c>
      <c r="S2906" s="1" t="s">
        <v>20</v>
      </c>
      <c r="T2906" s="1" t="s">
        <v>21</v>
      </c>
      <c r="U2906" s="1" t="s">
        <v>22</v>
      </c>
      <c r="V2906" s="1" t="s">
        <v>23</v>
      </c>
      <c r="W2906" s="1" t="s">
        <v>24</v>
      </c>
      <c r="X2906" s="1">
        <v>2729</v>
      </c>
      <c r="Y2906" s="1">
        <v>2913</v>
      </c>
      <c r="Z2906" s="1" t="s">
        <v>24</v>
      </c>
      <c r="AA2906" s="1" t="s">
        <v>24</v>
      </c>
      <c r="AB2906" s="1" t="s">
        <v>24</v>
      </c>
      <c r="AC2906" s="1" t="s">
        <v>24</v>
      </c>
      <c r="AD2906" s="1" t="s">
        <v>24</v>
      </c>
      <c r="AE2906" s="1" t="s">
        <v>24</v>
      </c>
      <c r="AF2906" s="22"/>
    </row>
    <row r="2907" spans="1:32" x14ac:dyDescent="0.2">
      <c r="A2907" s="1">
        <v>21834</v>
      </c>
      <c r="B2907" s="1" t="s">
        <v>9141</v>
      </c>
      <c r="C2907" s="5" t="s">
        <v>0</v>
      </c>
      <c r="D2907" s="1" t="s">
        <v>9142</v>
      </c>
      <c r="E2907" s="1" t="s">
        <v>9143</v>
      </c>
      <c r="F2907" s="1" t="s">
        <v>155</v>
      </c>
      <c r="G2907" s="1" t="s">
        <v>61</v>
      </c>
      <c r="H2907" s="1" t="s">
        <v>37</v>
      </c>
      <c r="I2907" s="1" t="s">
        <v>16</v>
      </c>
      <c r="J2907" s="1">
        <v>1</v>
      </c>
      <c r="K2907" s="1">
        <v>6</v>
      </c>
      <c r="L2907" s="1" t="s">
        <v>31</v>
      </c>
      <c r="M2907" s="1" t="s">
        <v>18</v>
      </c>
      <c r="N2907" s="1" t="s">
        <v>18</v>
      </c>
      <c r="O2907" s="1">
        <v>3</v>
      </c>
      <c r="P2907" s="1">
        <v>7</v>
      </c>
      <c r="Q2907" s="7" t="s">
        <v>17633</v>
      </c>
      <c r="R2907" s="1" t="s">
        <v>19</v>
      </c>
      <c r="S2907" s="1" t="s">
        <v>63</v>
      </c>
      <c r="T2907" s="1" t="s">
        <v>21</v>
      </c>
      <c r="U2907" s="1" t="s">
        <v>22</v>
      </c>
      <c r="V2907" s="1" t="s">
        <v>24</v>
      </c>
      <c r="W2907" s="1" t="s">
        <v>24</v>
      </c>
      <c r="X2907" s="1">
        <v>3310</v>
      </c>
      <c r="Y2907" s="1">
        <v>2805</v>
      </c>
      <c r="Z2907" s="1">
        <v>3205</v>
      </c>
      <c r="AA2907" s="1">
        <v>1201</v>
      </c>
      <c r="AB2907" s="1" t="s">
        <v>24</v>
      </c>
      <c r="AC2907" s="1" t="s">
        <v>24</v>
      </c>
      <c r="AD2907" s="1" t="s">
        <v>24</v>
      </c>
      <c r="AE2907" s="1" t="s">
        <v>24</v>
      </c>
      <c r="AF2907" s="22"/>
    </row>
    <row r="2908" spans="1:32" x14ac:dyDescent="0.2">
      <c r="A2908" s="1">
        <v>21882</v>
      </c>
      <c r="B2908" s="1" t="s">
        <v>9144</v>
      </c>
      <c r="C2908" s="5" t="s">
        <v>0</v>
      </c>
      <c r="D2908" s="1" t="s">
        <v>9145</v>
      </c>
      <c r="E2908" s="1" t="s">
        <v>9146</v>
      </c>
      <c r="F2908" s="1" t="s">
        <v>272</v>
      </c>
      <c r="G2908" s="1" t="s">
        <v>61</v>
      </c>
      <c r="H2908" s="1" t="s">
        <v>30</v>
      </c>
      <c r="I2908" s="1" t="s">
        <v>16</v>
      </c>
      <c r="J2908" s="1">
        <v>1</v>
      </c>
      <c r="K2908" s="1">
        <v>12</v>
      </c>
      <c r="L2908" s="1" t="s">
        <v>31</v>
      </c>
      <c r="M2908" s="1" t="s">
        <v>18</v>
      </c>
      <c r="N2908" s="1" t="s">
        <v>18</v>
      </c>
      <c r="O2908" s="1">
        <v>2</v>
      </c>
      <c r="P2908" s="1">
        <v>7</v>
      </c>
      <c r="Q2908" s="7" t="s">
        <v>17633</v>
      </c>
      <c r="R2908" s="1" t="s">
        <v>19</v>
      </c>
      <c r="S2908" s="1" t="s">
        <v>20</v>
      </c>
      <c r="T2908" s="1" t="s">
        <v>21</v>
      </c>
      <c r="U2908" s="1" t="s">
        <v>22</v>
      </c>
      <c r="V2908" s="1" t="s">
        <v>24</v>
      </c>
      <c r="W2908" s="1" t="s">
        <v>24</v>
      </c>
      <c r="X2908" s="1">
        <v>2728</v>
      </c>
      <c r="Y2908" s="1">
        <v>2746</v>
      </c>
      <c r="Z2908" s="1" t="s">
        <v>24</v>
      </c>
      <c r="AA2908" s="1" t="s">
        <v>24</v>
      </c>
      <c r="AB2908" s="1" t="s">
        <v>24</v>
      </c>
      <c r="AC2908" s="1" t="s">
        <v>24</v>
      </c>
      <c r="AD2908" s="1" t="s">
        <v>24</v>
      </c>
      <c r="AE2908" s="1" t="s">
        <v>24</v>
      </c>
      <c r="AF2908" s="22"/>
    </row>
    <row r="2909" spans="1:32" x14ac:dyDescent="0.2">
      <c r="A2909" s="1">
        <v>21899</v>
      </c>
      <c r="B2909" s="1" t="s">
        <v>9147</v>
      </c>
      <c r="C2909" s="5" t="s">
        <v>0</v>
      </c>
      <c r="D2909" s="1" t="s">
        <v>9148</v>
      </c>
      <c r="E2909" s="1" t="s">
        <v>9149</v>
      </c>
      <c r="F2909" s="1" t="s">
        <v>493</v>
      </c>
      <c r="G2909" s="1" t="s">
        <v>98</v>
      </c>
      <c r="H2909" s="1" t="s">
        <v>30</v>
      </c>
      <c r="I2909" s="1" t="s">
        <v>16</v>
      </c>
      <c r="J2909" s="1">
        <v>1</v>
      </c>
      <c r="K2909" s="1">
        <v>6</v>
      </c>
      <c r="L2909" s="1" t="s">
        <v>31</v>
      </c>
      <c r="M2909" s="1" t="s">
        <v>18</v>
      </c>
      <c r="N2909" s="1" t="s">
        <v>18</v>
      </c>
      <c r="O2909" s="1">
        <v>3</v>
      </c>
      <c r="P2909" s="1">
        <v>7</v>
      </c>
      <c r="Q2909" s="7" t="s">
        <v>17633</v>
      </c>
      <c r="R2909" s="1" t="s">
        <v>19</v>
      </c>
      <c r="S2909" s="1" t="s">
        <v>20</v>
      </c>
      <c r="T2909" s="1" t="s">
        <v>21</v>
      </c>
      <c r="U2909" s="1" t="s">
        <v>22</v>
      </c>
      <c r="V2909" s="1" t="s">
        <v>23</v>
      </c>
      <c r="W2909" s="1" t="s">
        <v>24</v>
      </c>
      <c r="X2909" s="1">
        <v>2707</v>
      </c>
      <c r="Y2909" s="1">
        <v>2730</v>
      </c>
      <c r="Z2909" s="1" t="s">
        <v>24</v>
      </c>
      <c r="AA2909" s="1" t="s">
        <v>24</v>
      </c>
      <c r="AB2909" s="1" t="s">
        <v>24</v>
      </c>
      <c r="AC2909" s="1" t="s">
        <v>24</v>
      </c>
      <c r="AD2909" s="1" t="s">
        <v>24</v>
      </c>
      <c r="AE2909" s="1" t="s">
        <v>24</v>
      </c>
      <c r="AF2909" s="22"/>
    </row>
    <row r="2910" spans="1:32" x14ac:dyDescent="0.2">
      <c r="A2910" s="1">
        <v>21940</v>
      </c>
      <c r="B2910" s="1" t="s">
        <v>9150</v>
      </c>
      <c r="C2910" s="5" t="s">
        <v>0</v>
      </c>
      <c r="D2910" s="1" t="s">
        <v>9151</v>
      </c>
      <c r="E2910" s="1" t="s">
        <v>9152</v>
      </c>
      <c r="F2910" s="1" t="s">
        <v>217</v>
      </c>
      <c r="G2910" s="1" t="s">
        <v>130</v>
      </c>
      <c r="H2910" s="1" t="s">
        <v>92</v>
      </c>
      <c r="I2910" s="1" t="s">
        <v>16</v>
      </c>
      <c r="J2910" s="1">
        <v>1</v>
      </c>
      <c r="K2910" s="1">
        <v>6</v>
      </c>
      <c r="L2910" s="1" t="s">
        <v>31</v>
      </c>
      <c r="M2910" s="1" t="s">
        <v>18</v>
      </c>
      <c r="N2910" s="1" t="s">
        <v>18</v>
      </c>
      <c r="O2910" s="1">
        <v>3</v>
      </c>
      <c r="P2910" s="1">
        <v>6</v>
      </c>
      <c r="R2910" s="1" t="s">
        <v>19</v>
      </c>
      <c r="S2910" s="1" t="s">
        <v>20</v>
      </c>
      <c r="T2910" s="1" t="s">
        <v>21</v>
      </c>
      <c r="U2910" s="1" t="s">
        <v>22</v>
      </c>
      <c r="V2910" s="1" t="s">
        <v>23</v>
      </c>
      <c r="W2910" s="1" t="s">
        <v>24</v>
      </c>
      <c r="X2910" s="1">
        <v>2741</v>
      </c>
      <c r="Y2910" s="1">
        <v>2705</v>
      </c>
      <c r="Z2910" s="1" t="s">
        <v>24</v>
      </c>
      <c r="AA2910" s="1" t="s">
        <v>24</v>
      </c>
      <c r="AB2910" s="1" t="s">
        <v>24</v>
      </c>
      <c r="AC2910" s="1" t="s">
        <v>24</v>
      </c>
      <c r="AD2910" s="1" t="s">
        <v>24</v>
      </c>
      <c r="AE2910" s="1" t="s">
        <v>24</v>
      </c>
      <c r="AF2910" s="22"/>
    </row>
    <row r="2911" spans="1:32" x14ac:dyDescent="0.2">
      <c r="A2911" s="1">
        <v>21941</v>
      </c>
      <c r="B2911" s="1" t="s">
        <v>9153</v>
      </c>
      <c r="C2911" s="5" t="s">
        <v>0</v>
      </c>
      <c r="D2911" s="1" t="s">
        <v>9154</v>
      </c>
      <c r="E2911" s="1" t="s">
        <v>9155</v>
      </c>
      <c r="F2911" s="1" t="s">
        <v>155</v>
      </c>
      <c r="G2911" s="1" t="s">
        <v>61</v>
      </c>
      <c r="H2911" s="1" t="s">
        <v>37</v>
      </c>
      <c r="I2911" s="1" t="s">
        <v>16</v>
      </c>
      <c r="J2911" s="1">
        <v>2</v>
      </c>
      <c r="K2911" s="1">
        <v>3</v>
      </c>
      <c r="L2911" s="1" t="s">
        <v>31</v>
      </c>
      <c r="M2911" s="1" t="s">
        <v>18</v>
      </c>
      <c r="N2911" s="1" t="s">
        <v>18</v>
      </c>
      <c r="O2911" s="1">
        <v>3</v>
      </c>
      <c r="P2911" s="1">
        <v>6</v>
      </c>
      <c r="R2911" s="1" t="s">
        <v>19</v>
      </c>
      <c r="S2911" s="1" t="s">
        <v>20</v>
      </c>
      <c r="T2911" s="1" t="s">
        <v>21</v>
      </c>
      <c r="U2911" s="1" t="s">
        <v>22</v>
      </c>
      <c r="V2911" s="1" t="s">
        <v>24</v>
      </c>
      <c r="W2911" s="1" t="s">
        <v>24</v>
      </c>
      <c r="X2911" s="1">
        <v>2720</v>
      </c>
      <c r="Y2911" s="1" t="s">
        <v>24</v>
      </c>
      <c r="Z2911" s="1" t="s">
        <v>24</v>
      </c>
      <c r="AA2911" s="1" t="s">
        <v>24</v>
      </c>
      <c r="AB2911" s="1" t="s">
        <v>24</v>
      </c>
      <c r="AC2911" s="1" t="s">
        <v>24</v>
      </c>
      <c r="AD2911" s="1" t="s">
        <v>24</v>
      </c>
      <c r="AE2911" s="1" t="s">
        <v>24</v>
      </c>
      <c r="AF2911" s="22"/>
    </row>
    <row r="2912" spans="1:32" x14ac:dyDescent="0.2">
      <c r="A2912" s="1">
        <v>21963</v>
      </c>
      <c r="B2912" s="1" t="s">
        <v>9156</v>
      </c>
      <c r="C2912" s="5" t="s">
        <v>0</v>
      </c>
      <c r="D2912" s="1" t="s">
        <v>9157</v>
      </c>
      <c r="E2912" s="1" t="s">
        <v>9158</v>
      </c>
      <c r="F2912" s="1" t="s">
        <v>217</v>
      </c>
      <c r="G2912" s="1" t="s">
        <v>130</v>
      </c>
      <c r="H2912" s="1" t="s">
        <v>92</v>
      </c>
      <c r="I2912" s="1" t="s">
        <v>16</v>
      </c>
      <c r="J2912" s="1">
        <v>1</v>
      </c>
      <c r="K2912" s="1">
        <v>4</v>
      </c>
      <c r="L2912" s="1" t="s">
        <v>31</v>
      </c>
      <c r="M2912" s="1" t="s">
        <v>18</v>
      </c>
      <c r="N2912" s="1" t="s">
        <v>18</v>
      </c>
      <c r="O2912" s="1">
        <v>3</v>
      </c>
      <c r="P2912" s="1">
        <v>7</v>
      </c>
      <c r="Q2912" s="7" t="s">
        <v>17633</v>
      </c>
      <c r="R2912" s="1" t="s">
        <v>19</v>
      </c>
      <c r="S2912" s="1" t="s">
        <v>20</v>
      </c>
      <c r="T2912" s="1" t="s">
        <v>21</v>
      </c>
      <c r="U2912" s="1" t="s">
        <v>22</v>
      </c>
      <c r="V2912" s="1" t="s">
        <v>24</v>
      </c>
      <c r="W2912" s="1" t="s">
        <v>24</v>
      </c>
      <c r="X2912" s="1">
        <v>1311</v>
      </c>
      <c r="Y2912" s="1">
        <v>1315</v>
      </c>
      <c r="Z2912" s="1">
        <v>1303</v>
      </c>
      <c r="AA2912" s="1" t="s">
        <v>24</v>
      </c>
      <c r="AB2912" s="1" t="s">
        <v>24</v>
      </c>
      <c r="AC2912" s="1" t="s">
        <v>24</v>
      </c>
      <c r="AD2912" s="1" t="s">
        <v>24</v>
      </c>
      <c r="AE2912" s="1" t="s">
        <v>24</v>
      </c>
      <c r="AF2912" s="22"/>
    </row>
    <row r="2913" spans="1:32" x14ac:dyDescent="0.2">
      <c r="A2913" s="1">
        <v>21964</v>
      </c>
      <c r="B2913" s="1" t="s">
        <v>9159</v>
      </c>
      <c r="C2913" s="5" t="s">
        <v>0</v>
      </c>
      <c r="D2913" s="1" t="s">
        <v>9160</v>
      </c>
      <c r="E2913" s="1" t="s">
        <v>9161</v>
      </c>
      <c r="F2913" s="1" t="s">
        <v>217</v>
      </c>
      <c r="G2913" s="1" t="s">
        <v>130</v>
      </c>
      <c r="H2913" s="1" t="s">
        <v>92</v>
      </c>
      <c r="I2913" s="1" t="s">
        <v>16</v>
      </c>
      <c r="J2913" s="1">
        <v>1</v>
      </c>
      <c r="K2913" s="1">
        <v>4</v>
      </c>
      <c r="L2913" s="1" t="s">
        <v>31</v>
      </c>
      <c r="M2913" s="1" t="s">
        <v>18</v>
      </c>
      <c r="N2913" s="1" t="s">
        <v>18</v>
      </c>
      <c r="O2913" s="1">
        <v>0</v>
      </c>
      <c r="P2913" s="1">
        <v>6</v>
      </c>
      <c r="R2913" s="1" t="s">
        <v>19</v>
      </c>
      <c r="S2913" s="1" t="s">
        <v>20</v>
      </c>
      <c r="T2913" s="1" t="s">
        <v>21</v>
      </c>
      <c r="U2913" s="1" t="s">
        <v>22</v>
      </c>
      <c r="V2913" s="1" t="s">
        <v>24</v>
      </c>
      <c r="W2913" s="1" t="s">
        <v>24</v>
      </c>
      <c r="X2913" s="1">
        <v>1310</v>
      </c>
      <c r="Y2913" s="1">
        <v>2712</v>
      </c>
      <c r="Z2913" s="1" t="s">
        <v>24</v>
      </c>
      <c r="AA2913" s="1" t="s">
        <v>24</v>
      </c>
      <c r="AB2913" s="1" t="s">
        <v>24</v>
      </c>
      <c r="AC2913" s="1" t="s">
        <v>24</v>
      </c>
      <c r="AD2913" s="1" t="s">
        <v>24</v>
      </c>
      <c r="AE2913" s="1" t="s">
        <v>24</v>
      </c>
      <c r="AF2913" s="22"/>
    </row>
    <row r="2914" spans="1:32" x14ac:dyDescent="0.2">
      <c r="A2914" s="1">
        <v>21965</v>
      </c>
      <c r="B2914" s="1" t="s">
        <v>9162</v>
      </c>
      <c r="C2914" s="5" t="s">
        <v>0</v>
      </c>
      <c r="D2914" s="1" t="s">
        <v>9163</v>
      </c>
      <c r="E2914" s="1" t="s">
        <v>9164</v>
      </c>
      <c r="F2914" s="1" t="s">
        <v>9039</v>
      </c>
      <c r="G2914" s="1" t="s">
        <v>292</v>
      </c>
      <c r="H2914" s="1" t="s">
        <v>37</v>
      </c>
      <c r="I2914" s="1" t="s">
        <v>16</v>
      </c>
      <c r="J2914" s="1">
        <v>1</v>
      </c>
      <c r="K2914" s="1">
        <v>6</v>
      </c>
      <c r="L2914" s="1" t="s">
        <v>31</v>
      </c>
      <c r="M2914" s="1" t="s">
        <v>18</v>
      </c>
      <c r="N2914" s="1" t="s">
        <v>18</v>
      </c>
      <c r="O2914" s="1">
        <v>3</v>
      </c>
      <c r="P2914" s="1">
        <v>6</v>
      </c>
      <c r="R2914" s="1" t="s">
        <v>19</v>
      </c>
      <c r="S2914" s="1" t="s">
        <v>20</v>
      </c>
      <c r="T2914" s="1" t="s">
        <v>21</v>
      </c>
      <c r="U2914" s="1" t="s">
        <v>22</v>
      </c>
      <c r="V2914" s="1" t="s">
        <v>24</v>
      </c>
      <c r="W2914" s="1" t="s">
        <v>24</v>
      </c>
      <c r="X2914" s="1">
        <v>2728</v>
      </c>
      <c r="Y2914" s="1">
        <v>2800</v>
      </c>
      <c r="Z2914" s="1">
        <v>2736</v>
      </c>
      <c r="AA2914" s="1" t="s">
        <v>24</v>
      </c>
      <c r="AB2914" s="1" t="s">
        <v>24</v>
      </c>
      <c r="AC2914" s="1" t="s">
        <v>24</v>
      </c>
      <c r="AD2914" s="1" t="s">
        <v>24</v>
      </c>
      <c r="AE2914" s="1" t="s">
        <v>24</v>
      </c>
      <c r="AF2914" s="22"/>
    </row>
    <row r="2915" spans="1:32" x14ac:dyDescent="0.2">
      <c r="A2915" s="1">
        <v>21966</v>
      </c>
      <c r="B2915" s="1" t="s">
        <v>9165</v>
      </c>
      <c r="C2915" s="5" t="s">
        <v>0</v>
      </c>
      <c r="D2915" s="1" t="s">
        <v>9166</v>
      </c>
      <c r="E2915" s="1" t="s">
        <v>9167</v>
      </c>
      <c r="F2915" s="1" t="s">
        <v>9039</v>
      </c>
      <c r="G2915" s="1" t="s">
        <v>292</v>
      </c>
      <c r="H2915" s="1" t="s">
        <v>37</v>
      </c>
      <c r="I2915" s="1" t="s">
        <v>16</v>
      </c>
      <c r="J2915" s="1">
        <v>1</v>
      </c>
      <c r="K2915" s="1">
        <v>6</v>
      </c>
      <c r="L2915" s="1" t="s">
        <v>31</v>
      </c>
      <c r="M2915" s="1" t="s">
        <v>18</v>
      </c>
      <c r="N2915" s="1" t="s">
        <v>18</v>
      </c>
      <c r="O2915" s="1">
        <v>3</v>
      </c>
      <c r="P2915" s="1">
        <v>6</v>
      </c>
      <c r="R2915" s="1" t="s">
        <v>19</v>
      </c>
      <c r="S2915" s="1" t="s">
        <v>20</v>
      </c>
      <c r="T2915" s="1" t="s">
        <v>21</v>
      </c>
      <c r="U2915" s="1" t="s">
        <v>22</v>
      </c>
      <c r="V2915" s="1" t="s">
        <v>23</v>
      </c>
      <c r="W2915" s="1" t="s">
        <v>24</v>
      </c>
      <c r="X2915" s="1">
        <v>2736</v>
      </c>
      <c r="Y2915" s="1">
        <v>2719</v>
      </c>
      <c r="Z2915" s="1" t="s">
        <v>24</v>
      </c>
      <c r="AA2915" s="1" t="s">
        <v>24</v>
      </c>
      <c r="AB2915" s="1" t="s">
        <v>24</v>
      </c>
      <c r="AC2915" s="1" t="s">
        <v>24</v>
      </c>
      <c r="AD2915" s="1" t="s">
        <v>24</v>
      </c>
      <c r="AE2915" s="1" t="s">
        <v>24</v>
      </c>
      <c r="AF2915" s="22"/>
    </row>
    <row r="2916" spans="1:32" x14ac:dyDescent="0.2">
      <c r="A2916" s="1">
        <v>21967</v>
      </c>
      <c r="B2916" s="1" t="s">
        <v>9168</v>
      </c>
      <c r="C2916" s="5" t="s">
        <v>0</v>
      </c>
      <c r="D2916" s="1" t="s">
        <v>9169</v>
      </c>
      <c r="F2916" s="1" t="s">
        <v>9170</v>
      </c>
      <c r="G2916" s="1" t="s">
        <v>9170</v>
      </c>
      <c r="H2916" s="1" t="s">
        <v>30</v>
      </c>
      <c r="I2916" s="1" t="s">
        <v>16</v>
      </c>
      <c r="J2916" s="1">
        <v>1</v>
      </c>
      <c r="K2916" s="1">
        <v>4</v>
      </c>
      <c r="L2916" s="1" t="s">
        <v>42</v>
      </c>
      <c r="M2916" s="1" t="s">
        <v>18</v>
      </c>
      <c r="N2916" s="1" t="s">
        <v>18</v>
      </c>
      <c r="O2916" s="1">
        <v>2</v>
      </c>
      <c r="P2916" s="1">
        <v>6</v>
      </c>
      <c r="R2916" s="1" t="s">
        <v>19</v>
      </c>
      <c r="S2916" s="1" t="s">
        <v>20</v>
      </c>
      <c r="T2916" s="1" t="s">
        <v>21</v>
      </c>
      <c r="U2916" s="1" t="s">
        <v>22</v>
      </c>
      <c r="V2916" s="1" t="s">
        <v>24</v>
      </c>
      <c r="W2916" s="1" t="s">
        <v>24</v>
      </c>
      <c r="X2916" s="1">
        <v>2705</v>
      </c>
      <c r="Y2916" s="1" t="s">
        <v>24</v>
      </c>
      <c r="Z2916" s="1" t="s">
        <v>24</v>
      </c>
      <c r="AA2916" s="1" t="s">
        <v>24</v>
      </c>
      <c r="AB2916" s="1" t="s">
        <v>24</v>
      </c>
      <c r="AC2916" s="1" t="s">
        <v>24</v>
      </c>
      <c r="AD2916" s="1" t="s">
        <v>24</v>
      </c>
      <c r="AE2916" s="1" t="s">
        <v>24</v>
      </c>
      <c r="AF2916" s="22"/>
    </row>
    <row r="2917" spans="1:32" x14ac:dyDescent="0.2">
      <c r="A2917" s="1">
        <v>21970</v>
      </c>
      <c r="B2917" s="1" t="s">
        <v>9171</v>
      </c>
      <c r="C2917" s="5" t="s">
        <v>0</v>
      </c>
      <c r="D2917" s="1" t="s">
        <v>9172</v>
      </c>
      <c r="F2917" s="1" t="s">
        <v>9173</v>
      </c>
      <c r="G2917" s="1" t="s">
        <v>9173</v>
      </c>
      <c r="H2917" s="1" t="s">
        <v>233</v>
      </c>
      <c r="I2917" s="1" t="s">
        <v>16</v>
      </c>
      <c r="J2917" s="1">
        <v>1</v>
      </c>
      <c r="K2917" s="1">
        <v>2</v>
      </c>
      <c r="L2917" s="1" t="s">
        <v>42</v>
      </c>
      <c r="M2917" s="1" t="s">
        <v>226</v>
      </c>
      <c r="N2917" s="1" t="s">
        <v>226</v>
      </c>
      <c r="O2917" s="1">
        <v>3</v>
      </c>
      <c r="P2917" s="1">
        <v>6</v>
      </c>
      <c r="R2917" s="1" t="s">
        <v>19</v>
      </c>
      <c r="S2917" s="1" t="s">
        <v>20</v>
      </c>
      <c r="T2917" s="1" t="s">
        <v>21</v>
      </c>
      <c r="U2917" s="1" t="s">
        <v>22</v>
      </c>
      <c r="V2917" s="1" t="s">
        <v>24</v>
      </c>
      <c r="W2917" s="1" t="s">
        <v>24</v>
      </c>
      <c r="X2917" s="1">
        <v>2716</v>
      </c>
      <c r="Y2917" s="1">
        <v>1311</v>
      </c>
      <c r="Z2917" s="1">
        <v>1305</v>
      </c>
      <c r="AA2917" s="1">
        <v>2402</v>
      </c>
      <c r="AB2917" s="1" t="s">
        <v>24</v>
      </c>
      <c r="AC2917" s="1" t="s">
        <v>24</v>
      </c>
      <c r="AD2917" s="1" t="s">
        <v>24</v>
      </c>
      <c r="AE2917" s="1" t="s">
        <v>24</v>
      </c>
      <c r="AF2917" s="22"/>
    </row>
    <row r="2918" spans="1:32" x14ac:dyDescent="0.2">
      <c r="A2918" s="1">
        <v>21973</v>
      </c>
      <c r="B2918" s="1" t="s">
        <v>9174</v>
      </c>
      <c r="C2918" s="5" t="s">
        <v>0</v>
      </c>
      <c r="D2918" s="1" t="s">
        <v>9175</v>
      </c>
      <c r="F2918" s="1" t="s">
        <v>9176</v>
      </c>
      <c r="G2918" s="1" t="s">
        <v>9176</v>
      </c>
      <c r="H2918" s="1" t="s">
        <v>37</v>
      </c>
      <c r="I2918" s="1" t="s">
        <v>16</v>
      </c>
      <c r="J2918" s="1">
        <v>1</v>
      </c>
      <c r="K2918" s="1">
        <v>4</v>
      </c>
      <c r="L2918" s="1" t="s">
        <v>42</v>
      </c>
      <c r="M2918" s="1" t="s">
        <v>18</v>
      </c>
      <c r="N2918" s="1" t="s">
        <v>18</v>
      </c>
      <c r="O2918" s="1">
        <v>0</v>
      </c>
      <c r="P2918" s="1">
        <v>5</v>
      </c>
      <c r="R2918" s="1" t="s">
        <v>19</v>
      </c>
      <c r="S2918" s="1" t="s">
        <v>20</v>
      </c>
      <c r="T2918" s="1" t="s">
        <v>21</v>
      </c>
      <c r="U2918" s="1" t="s">
        <v>22</v>
      </c>
      <c r="V2918" s="1" t="s">
        <v>24</v>
      </c>
      <c r="W2918" s="1" t="s">
        <v>24</v>
      </c>
      <c r="X2918" s="1">
        <v>3003</v>
      </c>
      <c r="Y2918" s="1" t="s">
        <v>24</v>
      </c>
      <c r="Z2918" s="1" t="s">
        <v>24</v>
      </c>
      <c r="AA2918" s="1" t="s">
        <v>24</v>
      </c>
      <c r="AB2918" s="1" t="s">
        <v>24</v>
      </c>
      <c r="AC2918" s="1" t="s">
        <v>24</v>
      </c>
      <c r="AD2918" s="1" t="s">
        <v>24</v>
      </c>
      <c r="AE2918" s="1" t="s">
        <v>24</v>
      </c>
      <c r="AF2918" s="22"/>
    </row>
    <row r="2919" spans="1:32" x14ac:dyDescent="0.2">
      <c r="A2919" s="1">
        <v>21975</v>
      </c>
      <c r="B2919" s="1" t="s">
        <v>9177</v>
      </c>
      <c r="C2919" s="5" t="s">
        <v>0</v>
      </c>
      <c r="D2919" s="1" t="s">
        <v>9178</v>
      </c>
      <c r="F2919" s="1" t="s">
        <v>9179</v>
      </c>
      <c r="G2919" s="1" t="s">
        <v>9179</v>
      </c>
      <c r="H2919" s="1" t="s">
        <v>30</v>
      </c>
      <c r="I2919" s="1" t="s">
        <v>16</v>
      </c>
      <c r="J2919" s="1">
        <v>1</v>
      </c>
      <c r="K2919" s="1">
        <v>6</v>
      </c>
      <c r="L2919" s="1" t="s">
        <v>42</v>
      </c>
      <c r="M2919" s="1" t="s">
        <v>18</v>
      </c>
      <c r="N2919" s="1" t="s">
        <v>18</v>
      </c>
      <c r="O2919" s="1">
        <v>1</v>
      </c>
      <c r="P2919" s="1">
        <v>5</v>
      </c>
      <c r="R2919" s="1" t="s">
        <v>19</v>
      </c>
      <c r="S2919" s="1" t="s">
        <v>20</v>
      </c>
      <c r="T2919" s="1" t="s">
        <v>21</v>
      </c>
      <c r="U2919" s="1" t="s">
        <v>22</v>
      </c>
      <c r="V2919" s="1" t="s">
        <v>24</v>
      </c>
      <c r="W2919" s="1" t="s">
        <v>24</v>
      </c>
      <c r="X2919" s="1">
        <v>3003</v>
      </c>
      <c r="Y2919" s="1" t="s">
        <v>24</v>
      </c>
      <c r="Z2919" s="1" t="s">
        <v>24</v>
      </c>
      <c r="AA2919" s="1" t="s">
        <v>24</v>
      </c>
      <c r="AB2919" s="1" t="s">
        <v>24</v>
      </c>
      <c r="AC2919" s="1" t="s">
        <v>24</v>
      </c>
      <c r="AD2919" s="1" t="s">
        <v>24</v>
      </c>
      <c r="AE2919" s="1" t="s">
        <v>24</v>
      </c>
      <c r="AF2919" s="22"/>
    </row>
    <row r="2920" spans="1:32" x14ac:dyDescent="0.2">
      <c r="A2920" s="1">
        <v>21978</v>
      </c>
      <c r="B2920" s="1" t="s">
        <v>9180</v>
      </c>
      <c r="C2920" s="5" t="s">
        <v>0</v>
      </c>
      <c r="D2920" s="1" t="s">
        <v>9181</v>
      </c>
      <c r="E2920" s="1" t="s">
        <v>9182</v>
      </c>
      <c r="F2920" s="1" t="s">
        <v>7866</v>
      </c>
      <c r="G2920" s="1" t="s">
        <v>7866</v>
      </c>
      <c r="H2920" s="1" t="s">
        <v>131</v>
      </c>
      <c r="I2920" s="1" t="s">
        <v>16</v>
      </c>
      <c r="J2920" s="1">
        <v>1</v>
      </c>
      <c r="K2920" s="1">
        <v>4</v>
      </c>
      <c r="L2920" s="1" t="s">
        <v>42</v>
      </c>
      <c r="M2920" s="1" t="s">
        <v>413</v>
      </c>
      <c r="N2920" s="1" t="s">
        <v>679</v>
      </c>
      <c r="O2920" s="1">
        <v>3</v>
      </c>
      <c r="P2920" s="1">
        <v>5</v>
      </c>
      <c r="R2920" s="1" t="s">
        <v>19</v>
      </c>
      <c r="S2920" s="1" t="s">
        <v>20</v>
      </c>
      <c r="T2920" s="1" t="s">
        <v>21</v>
      </c>
      <c r="U2920" s="1" t="s">
        <v>22</v>
      </c>
      <c r="V2920" s="1" t="s">
        <v>24</v>
      </c>
      <c r="W2920" s="1" t="s">
        <v>24</v>
      </c>
      <c r="X2920" s="1">
        <v>2738</v>
      </c>
      <c r="Y2920" s="1">
        <v>2728</v>
      </c>
      <c r="Z2920" s="1">
        <v>2746</v>
      </c>
      <c r="AA2920" s="1" t="s">
        <v>24</v>
      </c>
      <c r="AB2920" s="1" t="s">
        <v>24</v>
      </c>
      <c r="AC2920" s="1" t="s">
        <v>24</v>
      </c>
      <c r="AD2920" s="1" t="s">
        <v>24</v>
      </c>
      <c r="AE2920" s="1" t="s">
        <v>24</v>
      </c>
      <c r="AF2920" s="22"/>
    </row>
    <row r="2921" spans="1:32" x14ac:dyDescent="0.2">
      <c r="A2921" s="1">
        <v>21993</v>
      </c>
      <c r="B2921" s="1" t="s">
        <v>9183</v>
      </c>
      <c r="C2921" s="5" t="s">
        <v>0</v>
      </c>
      <c r="D2921" s="1" t="s">
        <v>9184</v>
      </c>
      <c r="F2921" s="1" t="s">
        <v>8720</v>
      </c>
      <c r="G2921" s="1" t="s">
        <v>8720</v>
      </c>
      <c r="H2921" s="1" t="s">
        <v>135</v>
      </c>
      <c r="I2921" s="1" t="s">
        <v>16</v>
      </c>
      <c r="J2921" s="1">
        <v>1</v>
      </c>
      <c r="K2921" s="1">
        <v>4</v>
      </c>
      <c r="L2921" s="1" t="s">
        <v>17</v>
      </c>
      <c r="M2921" s="1" t="s">
        <v>5887</v>
      </c>
      <c r="N2921" s="1" t="s">
        <v>5887</v>
      </c>
      <c r="O2921" s="1">
        <v>3</v>
      </c>
      <c r="P2921" s="1">
        <v>5</v>
      </c>
      <c r="R2921" s="1" t="s">
        <v>19</v>
      </c>
      <c r="S2921" s="1" t="s">
        <v>20</v>
      </c>
      <c r="T2921" s="1" t="s">
        <v>21</v>
      </c>
      <c r="U2921" s="1" t="s">
        <v>22</v>
      </c>
      <c r="V2921" s="1" t="s">
        <v>24</v>
      </c>
      <c r="W2921" s="1" t="s">
        <v>24</v>
      </c>
      <c r="X2921" s="1">
        <v>2712</v>
      </c>
      <c r="Y2921" s="1">
        <v>2732</v>
      </c>
      <c r="Z2921" s="1" t="s">
        <v>24</v>
      </c>
      <c r="AA2921" s="1" t="s">
        <v>24</v>
      </c>
      <c r="AB2921" s="1" t="s">
        <v>24</v>
      </c>
      <c r="AC2921" s="1" t="s">
        <v>24</v>
      </c>
      <c r="AD2921" s="1" t="s">
        <v>24</v>
      </c>
      <c r="AE2921" s="1" t="s">
        <v>24</v>
      </c>
      <c r="AF2921" s="22"/>
    </row>
    <row r="2922" spans="1:32" x14ac:dyDescent="0.2">
      <c r="A2922" s="1">
        <v>21999</v>
      </c>
      <c r="B2922" s="1" t="s">
        <v>9185</v>
      </c>
      <c r="C2922" s="5" t="s">
        <v>0</v>
      </c>
      <c r="D2922" s="1" t="s">
        <v>9186</v>
      </c>
      <c r="F2922" s="1" t="s">
        <v>9187</v>
      </c>
      <c r="G2922" s="1" t="s">
        <v>9187</v>
      </c>
      <c r="H2922" s="1" t="s">
        <v>1384</v>
      </c>
      <c r="I2922" s="1" t="s">
        <v>16</v>
      </c>
      <c r="J2922" s="1">
        <v>1</v>
      </c>
      <c r="K2922" s="1">
        <v>4</v>
      </c>
      <c r="L2922" s="1" t="s">
        <v>42</v>
      </c>
      <c r="M2922" s="1" t="s">
        <v>18</v>
      </c>
      <c r="N2922" s="1" t="s">
        <v>18</v>
      </c>
      <c r="O2922" s="1">
        <v>3</v>
      </c>
      <c r="P2922" s="1">
        <v>6</v>
      </c>
      <c r="R2922" s="1" t="s">
        <v>19</v>
      </c>
      <c r="S2922" s="1" t="s">
        <v>20</v>
      </c>
      <c r="T2922" s="1" t="s">
        <v>21</v>
      </c>
      <c r="U2922" s="1" t="s">
        <v>22</v>
      </c>
      <c r="V2922" s="1" t="s">
        <v>23</v>
      </c>
      <c r="W2922" s="1" t="s">
        <v>24</v>
      </c>
      <c r="X2922" s="1">
        <v>2700</v>
      </c>
      <c r="Y2922" s="1" t="s">
        <v>24</v>
      </c>
      <c r="Z2922" s="1" t="s">
        <v>24</v>
      </c>
      <c r="AA2922" s="1" t="s">
        <v>24</v>
      </c>
      <c r="AB2922" s="1" t="s">
        <v>24</v>
      </c>
      <c r="AC2922" s="1" t="s">
        <v>24</v>
      </c>
      <c r="AD2922" s="1" t="s">
        <v>24</v>
      </c>
      <c r="AE2922" s="1" t="s">
        <v>24</v>
      </c>
      <c r="AF2922" s="22"/>
    </row>
    <row r="2923" spans="1:32" x14ac:dyDescent="0.2">
      <c r="A2923" s="1">
        <v>22000</v>
      </c>
      <c r="B2923" s="1" t="s">
        <v>9188</v>
      </c>
      <c r="C2923" s="5" t="s">
        <v>0</v>
      </c>
      <c r="D2923" s="1" t="s">
        <v>9189</v>
      </c>
      <c r="E2923" s="1" t="s">
        <v>9190</v>
      </c>
      <c r="F2923" s="1" t="s">
        <v>2299</v>
      </c>
      <c r="G2923" s="1" t="s">
        <v>2300</v>
      </c>
      <c r="H2923" s="1" t="s">
        <v>37</v>
      </c>
      <c r="I2923" s="1" t="s">
        <v>16</v>
      </c>
      <c r="J2923" s="1">
        <v>1</v>
      </c>
      <c r="K2923" s="1">
        <v>4</v>
      </c>
      <c r="L2923" s="1" t="s">
        <v>31</v>
      </c>
      <c r="M2923" s="1" t="s">
        <v>18</v>
      </c>
      <c r="N2923" s="1" t="s">
        <v>18</v>
      </c>
      <c r="O2923" s="1">
        <v>3</v>
      </c>
      <c r="P2923" s="1">
        <v>6</v>
      </c>
      <c r="R2923" s="1" t="s">
        <v>19</v>
      </c>
      <c r="S2923" s="1" t="s">
        <v>63</v>
      </c>
      <c r="T2923" s="1" t="s">
        <v>21</v>
      </c>
      <c r="U2923" s="1" t="s">
        <v>22</v>
      </c>
      <c r="V2923" s="1" t="s">
        <v>24</v>
      </c>
      <c r="W2923" s="1" t="s">
        <v>24</v>
      </c>
      <c r="X2923" s="1">
        <v>3002</v>
      </c>
      <c r="Y2923" s="1">
        <v>3004</v>
      </c>
      <c r="Z2923" s="1" t="s">
        <v>24</v>
      </c>
      <c r="AA2923" s="1" t="s">
        <v>24</v>
      </c>
      <c r="AB2923" s="1" t="s">
        <v>24</v>
      </c>
      <c r="AC2923" s="1" t="s">
        <v>24</v>
      </c>
      <c r="AD2923" s="1" t="s">
        <v>24</v>
      </c>
      <c r="AE2923" s="1" t="s">
        <v>24</v>
      </c>
      <c r="AF2923" s="22"/>
    </row>
    <row r="2924" spans="1:32" x14ac:dyDescent="0.2">
      <c r="A2924" s="1">
        <v>22004</v>
      </c>
      <c r="B2924" s="1" t="s">
        <v>9191</v>
      </c>
      <c r="C2924" s="5" t="s">
        <v>0</v>
      </c>
      <c r="D2924" s="1" t="s">
        <v>9192</v>
      </c>
      <c r="E2924" s="1" t="s">
        <v>9193</v>
      </c>
      <c r="F2924" s="1" t="s">
        <v>1683</v>
      </c>
      <c r="G2924" s="1" t="s">
        <v>61</v>
      </c>
      <c r="H2924" s="1" t="s">
        <v>116</v>
      </c>
      <c r="I2924" s="1" t="s">
        <v>16</v>
      </c>
      <c r="J2924" s="1">
        <v>1</v>
      </c>
      <c r="K2924" s="1">
        <v>4</v>
      </c>
      <c r="L2924" s="1" t="s">
        <v>31</v>
      </c>
      <c r="M2924" s="1" t="s">
        <v>117</v>
      </c>
      <c r="N2924" s="1" t="s">
        <v>226</v>
      </c>
      <c r="O2924" s="1">
        <v>0</v>
      </c>
      <c r="P2924" s="1">
        <v>5</v>
      </c>
      <c r="R2924" s="1" t="s">
        <v>19</v>
      </c>
      <c r="S2924" s="1" t="s">
        <v>20</v>
      </c>
      <c r="T2924" s="1" t="s">
        <v>21</v>
      </c>
      <c r="U2924" s="1" t="s">
        <v>22</v>
      </c>
      <c r="V2924" s="1" t="s">
        <v>24</v>
      </c>
      <c r="W2924" s="1" t="s">
        <v>24</v>
      </c>
      <c r="X2924" s="1">
        <v>2745</v>
      </c>
      <c r="Y2924" s="1" t="s">
        <v>24</v>
      </c>
      <c r="Z2924" s="1" t="s">
        <v>24</v>
      </c>
      <c r="AA2924" s="1" t="s">
        <v>24</v>
      </c>
      <c r="AB2924" s="1" t="s">
        <v>24</v>
      </c>
      <c r="AC2924" s="1" t="s">
        <v>24</v>
      </c>
      <c r="AD2924" s="1" t="s">
        <v>24</v>
      </c>
      <c r="AE2924" s="1" t="s">
        <v>24</v>
      </c>
      <c r="AF2924" s="22"/>
    </row>
    <row r="2925" spans="1:32" x14ac:dyDescent="0.2">
      <c r="A2925" s="1">
        <v>22012</v>
      </c>
      <c r="B2925" s="1" t="s">
        <v>9194</v>
      </c>
      <c r="C2925" s="5" t="s">
        <v>0</v>
      </c>
      <c r="D2925" s="1" t="s">
        <v>9195</v>
      </c>
      <c r="F2925" s="1" t="s">
        <v>9196</v>
      </c>
      <c r="G2925" s="1" t="s">
        <v>9196</v>
      </c>
      <c r="H2925" s="1" t="s">
        <v>1384</v>
      </c>
      <c r="I2925" s="1" t="s">
        <v>16</v>
      </c>
      <c r="J2925" s="1">
        <v>1</v>
      </c>
      <c r="K2925" s="1">
        <v>3</v>
      </c>
      <c r="L2925" s="1" t="s">
        <v>17</v>
      </c>
      <c r="M2925" s="1" t="s">
        <v>3142</v>
      </c>
      <c r="N2925" s="1" t="s">
        <v>3142</v>
      </c>
      <c r="O2925" s="1">
        <v>3</v>
      </c>
      <c r="P2925" s="1">
        <v>6</v>
      </c>
      <c r="R2925" s="1" t="s">
        <v>19</v>
      </c>
      <c r="S2925" s="1" t="s">
        <v>20</v>
      </c>
      <c r="T2925" s="1" t="s">
        <v>21</v>
      </c>
      <c r="U2925" s="1" t="s">
        <v>22</v>
      </c>
      <c r="V2925" s="1" t="s">
        <v>23</v>
      </c>
      <c r="W2925" s="1" t="s">
        <v>24</v>
      </c>
      <c r="X2925" s="1">
        <v>2732</v>
      </c>
      <c r="Y2925" s="1">
        <v>2742</v>
      </c>
      <c r="Z2925" s="1">
        <v>3612</v>
      </c>
      <c r="AA2925" s="1" t="s">
        <v>24</v>
      </c>
      <c r="AB2925" s="1" t="s">
        <v>24</v>
      </c>
      <c r="AC2925" s="1" t="s">
        <v>24</v>
      </c>
      <c r="AD2925" s="1" t="s">
        <v>24</v>
      </c>
      <c r="AE2925" s="1" t="s">
        <v>24</v>
      </c>
      <c r="AF2925" s="22"/>
    </row>
    <row r="2926" spans="1:32" x14ac:dyDescent="0.2">
      <c r="A2926" s="1">
        <v>22014</v>
      </c>
      <c r="B2926" s="1" t="s">
        <v>9197</v>
      </c>
      <c r="C2926" s="5" t="s">
        <v>0</v>
      </c>
      <c r="D2926" s="1" t="s">
        <v>9198</v>
      </c>
      <c r="F2926" s="1" t="s">
        <v>9199</v>
      </c>
      <c r="G2926" s="1" t="s">
        <v>9199</v>
      </c>
      <c r="H2926" s="1" t="s">
        <v>1957</v>
      </c>
      <c r="I2926" s="1" t="s">
        <v>16</v>
      </c>
      <c r="J2926" s="1">
        <v>1</v>
      </c>
      <c r="K2926" s="1">
        <v>4</v>
      </c>
      <c r="L2926" s="1" t="s">
        <v>42</v>
      </c>
      <c r="M2926" s="1" t="s">
        <v>18</v>
      </c>
      <c r="N2926" s="1" t="s">
        <v>18</v>
      </c>
      <c r="O2926" s="1">
        <v>3</v>
      </c>
      <c r="P2926" s="1">
        <v>6</v>
      </c>
      <c r="R2926" s="1" t="s">
        <v>19</v>
      </c>
      <c r="S2926" s="1" t="s">
        <v>63</v>
      </c>
      <c r="T2926" s="1" t="s">
        <v>21</v>
      </c>
      <c r="U2926" s="1" t="s">
        <v>22</v>
      </c>
      <c r="V2926" s="1" t="s">
        <v>24</v>
      </c>
      <c r="W2926" s="1" t="s">
        <v>24</v>
      </c>
      <c r="X2926" s="1">
        <v>1308</v>
      </c>
      <c r="Y2926" s="1">
        <v>2704</v>
      </c>
      <c r="Z2926" s="1">
        <v>1300</v>
      </c>
      <c r="AA2926" s="1" t="s">
        <v>24</v>
      </c>
      <c r="AB2926" s="1" t="s">
        <v>24</v>
      </c>
      <c r="AC2926" s="1" t="s">
        <v>24</v>
      </c>
      <c r="AD2926" s="1" t="s">
        <v>24</v>
      </c>
      <c r="AE2926" s="1" t="s">
        <v>24</v>
      </c>
      <c r="AF2926" s="22"/>
    </row>
    <row r="2927" spans="1:32" x14ac:dyDescent="0.2">
      <c r="A2927" s="1">
        <v>22016</v>
      </c>
      <c r="B2927" s="1" t="s">
        <v>9200</v>
      </c>
      <c r="C2927" s="5" t="s">
        <v>0</v>
      </c>
      <c r="D2927" s="1" t="s">
        <v>9201</v>
      </c>
      <c r="E2927" s="1" t="s">
        <v>9202</v>
      </c>
      <c r="F2927" s="1" t="s">
        <v>91</v>
      </c>
      <c r="G2927" s="1" t="s">
        <v>61</v>
      </c>
      <c r="H2927" s="1" t="s">
        <v>92</v>
      </c>
      <c r="I2927" s="1" t="s">
        <v>16</v>
      </c>
      <c r="J2927" s="1">
        <v>1</v>
      </c>
      <c r="K2927" s="1">
        <v>6</v>
      </c>
      <c r="L2927" s="1" t="s">
        <v>31</v>
      </c>
      <c r="M2927" s="1" t="s">
        <v>18</v>
      </c>
      <c r="N2927" s="1" t="s">
        <v>18</v>
      </c>
      <c r="O2927" s="1">
        <v>3</v>
      </c>
      <c r="P2927" s="1">
        <v>7</v>
      </c>
      <c r="Q2927" s="7" t="s">
        <v>17633</v>
      </c>
      <c r="R2927" s="1" t="s">
        <v>19</v>
      </c>
      <c r="S2927" s="1" t="s">
        <v>63</v>
      </c>
      <c r="T2927" s="1" t="s">
        <v>21</v>
      </c>
      <c r="U2927" s="1" t="s">
        <v>22</v>
      </c>
      <c r="V2927" s="1" t="s">
        <v>24</v>
      </c>
      <c r="W2927" s="1" t="s">
        <v>24</v>
      </c>
      <c r="X2927" s="1">
        <v>1311</v>
      </c>
      <c r="Y2927" s="1">
        <v>1312</v>
      </c>
      <c r="Z2927" s="1">
        <v>1309</v>
      </c>
      <c r="AA2927" s="1" t="s">
        <v>24</v>
      </c>
      <c r="AB2927" s="1" t="s">
        <v>24</v>
      </c>
      <c r="AC2927" s="1" t="s">
        <v>24</v>
      </c>
      <c r="AD2927" s="1" t="s">
        <v>24</v>
      </c>
      <c r="AE2927" s="1" t="s">
        <v>24</v>
      </c>
      <c r="AF2927" s="22"/>
    </row>
    <row r="2928" spans="1:32" x14ac:dyDescent="0.2">
      <c r="A2928" s="1">
        <v>22017</v>
      </c>
      <c r="B2928" s="1" t="s">
        <v>9203</v>
      </c>
      <c r="C2928" s="5" t="s">
        <v>0</v>
      </c>
      <c r="D2928" s="1" t="s">
        <v>9204</v>
      </c>
      <c r="F2928" s="1" t="s">
        <v>9205</v>
      </c>
      <c r="G2928" s="1" t="s">
        <v>5622</v>
      </c>
      <c r="H2928" s="1" t="s">
        <v>428</v>
      </c>
      <c r="I2928" s="1" t="s">
        <v>16</v>
      </c>
      <c r="J2928" s="1">
        <v>1</v>
      </c>
      <c r="K2928" s="1">
        <v>4</v>
      </c>
      <c r="L2928" s="1" t="s">
        <v>42</v>
      </c>
      <c r="M2928" s="1" t="s">
        <v>255</v>
      </c>
      <c r="N2928" s="1" t="s">
        <v>9206</v>
      </c>
      <c r="O2928" s="1">
        <v>3</v>
      </c>
      <c r="P2928" s="1">
        <v>5</v>
      </c>
      <c r="R2928" s="1" t="s">
        <v>19</v>
      </c>
      <c r="S2928" s="1" t="s">
        <v>20</v>
      </c>
      <c r="T2928" s="1" t="s">
        <v>21</v>
      </c>
      <c r="U2928" s="1" t="s">
        <v>22</v>
      </c>
      <c r="V2928" s="1" t="s">
        <v>24</v>
      </c>
      <c r="W2928" s="1" t="s">
        <v>24</v>
      </c>
      <c r="X2928" s="1">
        <v>2726</v>
      </c>
      <c r="Y2928" s="1">
        <v>2725</v>
      </c>
      <c r="Z2928" s="1">
        <v>2713</v>
      </c>
      <c r="AA2928" s="1" t="s">
        <v>24</v>
      </c>
      <c r="AB2928" s="1" t="s">
        <v>24</v>
      </c>
      <c r="AC2928" s="1" t="s">
        <v>24</v>
      </c>
      <c r="AD2928" s="1" t="s">
        <v>24</v>
      </c>
      <c r="AE2928" s="1" t="s">
        <v>24</v>
      </c>
      <c r="AF2928" s="22"/>
    </row>
    <row r="2929" spans="1:32" x14ac:dyDescent="0.2">
      <c r="A2929" s="1">
        <v>22018</v>
      </c>
      <c r="B2929" s="1" t="s">
        <v>9207</v>
      </c>
      <c r="C2929" s="5" t="s">
        <v>0</v>
      </c>
      <c r="D2929" s="1" t="s">
        <v>9208</v>
      </c>
      <c r="F2929" s="1" t="s">
        <v>9209</v>
      </c>
      <c r="G2929" s="1" t="s">
        <v>9209</v>
      </c>
      <c r="H2929" s="1" t="s">
        <v>2772</v>
      </c>
      <c r="I2929" s="1" t="s">
        <v>16</v>
      </c>
      <c r="J2929" s="1">
        <v>1</v>
      </c>
      <c r="K2929" s="1">
        <v>4</v>
      </c>
      <c r="L2929" s="1" t="s">
        <v>17</v>
      </c>
      <c r="M2929" s="1" t="s">
        <v>6208</v>
      </c>
      <c r="N2929" s="1" t="s">
        <v>4976</v>
      </c>
      <c r="O2929" s="1">
        <v>3</v>
      </c>
      <c r="P2929" s="1">
        <v>5</v>
      </c>
      <c r="R2929" s="1" t="s">
        <v>19</v>
      </c>
      <c r="S2929" s="1" t="s">
        <v>20</v>
      </c>
      <c r="T2929" s="1" t="s">
        <v>21</v>
      </c>
      <c r="U2929" s="1" t="s">
        <v>22</v>
      </c>
      <c r="V2929" s="1" t="s">
        <v>24</v>
      </c>
      <c r="W2929" s="1" t="s">
        <v>24</v>
      </c>
      <c r="X2929" s="1">
        <v>2725</v>
      </c>
      <c r="Y2929" s="1" t="s">
        <v>24</v>
      </c>
      <c r="Z2929" s="1" t="s">
        <v>24</v>
      </c>
      <c r="AA2929" s="1" t="s">
        <v>24</v>
      </c>
      <c r="AB2929" s="1" t="s">
        <v>24</v>
      </c>
      <c r="AC2929" s="1" t="s">
        <v>24</v>
      </c>
      <c r="AD2929" s="1" t="s">
        <v>24</v>
      </c>
      <c r="AE2929" s="1" t="s">
        <v>24</v>
      </c>
      <c r="AF2929" s="22"/>
    </row>
    <row r="2930" spans="1:32" x14ac:dyDescent="0.2">
      <c r="A2930" s="1">
        <v>22019</v>
      </c>
      <c r="B2930" s="1" t="s">
        <v>9210</v>
      </c>
      <c r="C2930" s="5" t="s">
        <v>0</v>
      </c>
      <c r="D2930" s="1" t="s">
        <v>9211</v>
      </c>
      <c r="E2930" s="1" t="s">
        <v>9212</v>
      </c>
      <c r="F2930" s="1" t="s">
        <v>9210</v>
      </c>
      <c r="G2930" s="1" t="s">
        <v>9210</v>
      </c>
      <c r="H2930" s="1" t="s">
        <v>1007</v>
      </c>
      <c r="I2930" s="1" t="s">
        <v>16</v>
      </c>
      <c r="J2930" s="1">
        <v>1</v>
      </c>
      <c r="K2930" s="1">
        <v>12</v>
      </c>
      <c r="L2930" s="1" t="s">
        <v>42</v>
      </c>
      <c r="M2930" s="1" t="s">
        <v>1008</v>
      </c>
      <c r="N2930" s="1" t="s">
        <v>4418</v>
      </c>
      <c r="O2930" s="1">
        <v>3</v>
      </c>
      <c r="P2930" s="1">
        <v>5</v>
      </c>
      <c r="R2930" s="1" t="s">
        <v>19</v>
      </c>
      <c r="S2930" s="1" t="s">
        <v>20</v>
      </c>
      <c r="T2930" s="1" t="s">
        <v>21</v>
      </c>
      <c r="U2930" s="1" t="s">
        <v>22</v>
      </c>
      <c r="V2930" s="1" t="s">
        <v>24</v>
      </c>
      <c r="W2930" s="1" t="s">
        <v>24</v>
      </c>
      <c r="X2930" s="1">
        <v>2740</v>
      </c>
      <c r="Y2930" s="1">
        <v>2730</v>
      </c>
      <c r="Z2930" s="1">
        <v>1306</v>
      </c>
      <c r="AA2930" s="1" t="s">
        <v>24</v>
      </c>
      <c r="AB2930" s="1" t="s">
        <v>24</v>
      </c>
      <c r="AC2930" s="1" t="s">
        <v>24</v>
      </c>
      <c r="AD2930" s="1" t="s">
        <v>24</v>
      </c>
      <c r="AE2930" s="1" t="s">
        <v>24</v>
      </c>
      <c r="AF2930" s="22"/>
    </row>
    <row r="2931" spans="1:32" x14ac:dyDescent="0.2">
      <c r="A2931" s="1">
        <v>22034</v>
      </c>
      <c r="B2931" s="1" t="s">
        <v>9213</v>
      </c>
      <c r="C2931" s="5" t="s">
        <v>0</v>
      </c>
      <c r="D2931" s="1" t="s">
        <v>9214</v>
      </c>
      <c r="F2931" s="1" t="s">
        <v>9215</v>
      </c>
      <c r="G2931" s="1" t="s">
        <v>9215</v>
      </c>
      <c r="H2931" s="1" t="s">
        <v>684</v>
      </c>
      <c r="I2931" s="1" t="s">
        <v>16</v>
      </c>
      <c r="J2931" s="1">
        <v>1</v>
      </c>
      <c r="K2931" s="1">
        <v>12</v>
      </c>
      <c r="L2931" s="1" t="s">
        <v>17</v>
      </c>
      <c r="M2931" s="1" t="s">
        <v>18</v>
      </c>
      <c r="N2931" s="1" t="s">
        <v>18</v>
      </c>
      <c r="O2931" s="1">
        <v>3</v>
      </c>
      <c r="P2931" s="1">
        <v>6</v>
      </c>
      <c r="R2931" s="1" t="s">
        <v>19</v>
      </c>
      <c r="S2931" s="1" t="s">
        <v>20</v>
      </c>
      <c r="T2931" s="1" t="s">
        <v>21</v>
      </c>
      <c r="U2931" s="1" t="s">
        <v>22</v>
      </c>
      <c r="V2931" s="1" t="s">
        <v>24</v>
      </c>
      <c r="W2931" s="1" t="s">
        <v>24</v>
      </c>
      <c r="X2931" s="1">
        <v>2700</v>
      </c>
      <c r="Y2931" s="1" t="s">
        <v>24</v>
      </c>
      <c r="Z2931" s="1" t="s">
        <v>24</v>
      </c>
      <c r="AA2931" s="1" t="s">
        <v>24</v>
      </c>
      <c r="AB2931" s="1" t="s">
        <v>24</v>
      </c>
      <c r="AC2931" s="1" t="s">
        <v>24</v>
      </c>
      <c r="AD2931" s="1" t="s">
        <v>24</v>
      </c>
      <c r="AE2931" s="1" t="s">
        <v>24</v>
      </c>
      <c r="AF2931" s="22"/>
    </row>
    <row r="2932" spans="1:32" x14ac:dyDescent="0.2">
      <c r="A2932" s="1">
        <v>22096</v>
      </c>
      <c r="B2932" s="1" t="s">
        <v>9216</v>
      </c>
      <c r="C2932" s="5" t="s">
        <v>0</v>
      </c>
      <c r="D2932" s="1" t="s">
        <v>9217</v>
      </c>
      <c r="E2932" s="1" t="s">
        <v>9218</v>
      </c>
      <c r="F2932" s="1" t="s">
        <v>5124</v>
      </c>
      <c r="G2932" s="1" t="s">
        <v>5125</v>
      </c>
      <c r="H2932" s="1" t="s">
        <v>264</v>
      </c>
      <c r="I2932" s="1" t="s">
        <v>16</v>
      </c>
      <c r="J2932" s="1">
        <v>1</v>
      </c>
      <c r="K2932" s="1">
        <v>3</v>
      </c>
      <c r="L2932" s="1" t="s">
        <v>31</v>
      </c>
      <c r="M2932" s="1" t="s">
        <v>18</v>
      </c>
      <c r="N2932" s="1" t="s">
        <v>18</v>
      </c>
      <c r="O2932" s="1">
        <v>3</v>
      </c>
      <c r="P2932" s="1">
        <v>6</v>
      </c>
      <c r="R2932" s="1" t="s">
        <v>19</v>
      </c>
      <c r="S2932" s="1" t="s">
        <v>20</v>
      </c>
      <c r="T2932" s="1" t="s">
        <v>21</v>
      </c>
      <c r="U2932" s="1" t="s">
        <v>22</v>
      </c>
      <c r="V2932" s="1" t="s">
        <v>23</v>
      </c>
      <c r="W2932" s="1" t="s">
        <v>24</v>
      </c>
      <c r="X2932" s="1">
        <v>2739</v>
      </c>
      <c r="Y2932" s="1">
        <v>2719</v>
      </c>
      <c r="Z2932" s="1" t="s">
        <v>24</v>
      </c>
      <c r="AA2932" s="1" t="s">
        <v>24</v>
      </c>
      <c r="AB2932" s="1" t="s">
        <v>24</v>
      </c>
      <c r="AC2932" s="1" t="s">
        <v>24</v>
      </c>
      <c r="AD2932" s="1" t="s">
        <v>24</v>
      </c>
      <c r="AE2932" s="1" t="s">
        <v>24</v>
      </c>
      <c r="AF2932" s="22"/>
    </row>
    <row r="2933" spans="1:32" x14ac:dyDescent="0.2">
      <c r="A2933" s="1">
        <v>22099</v>
      </c>
      <c r="B2933" s="1" t="s">
        <v>9219</v>
      </c>
      <c r="C2933" s="5" t="s">
        <v>0</v>
      </c>
      <c r="D2933" s="1" t="s">
        <v>9220</v>
      </c>
      <c r="F2933" s="1" t="s">
        <v>291</v>
      </c>
      <c r="G2933" s="1" t="s">
        <v>292</v>
      </c>
      <c r="H2933" s="1" t="s">
        <v>37</v>
      </c>
      <c r="I2933" s="1" t="s">
        <v>16</v>
      </c>
      <c r="J2933" s="1">
        <v>1</v>
      </c>
      <c r="K2933" s="1">
        <v>4</v>
      </c>
      <c r="L2933" s="1" t="s">
        <v>31</v>
      </c>
      <c r="M2933" s="1" t="s">
        <v>18</v>
      </c>
      <c r="N2933" s="1" t="s">
        <v>18</v>
      </c>
      <c r="O2933" s="1">
        <v>3</v>
      </c>
      <c r="P2933" s="1">
        <v>6</v>
      </c>
      <c r="R2933" s="1" t="s">
        <v>19</v>
      </c>
      <c r="S2933" s="1" t="s">
        <v>20</v>
      </c>
      <c r="T2933" s="1" t="s">
        <v>21</v>
      </c>
      <c r="U2933" s="1" t="s">
        <v>22</v>
      </c>
      <c r="V2933" s="1" t="s">
        <v>24</v>
      </c>
      <c r="W2933" s="1" t="s">
        <v>24</v>
      </c>
      <c r="X2933" s="1">
        <v>3004</v>
      </c>
      <c r="Y2933" s="1">
        <v>2736</v>
      </c>
      <c r="Z2933" s="1" t="s">
        <v>24</v>
      </c>
      <c r="AA2933" s="1" t="s">
        <v>24</v>
      </c>
      <c r="AB2933" s="1" t="s">
        <v>24</v>
      </c>
      <c r="AC2933" s="1" t="s">
        <v>24</v>
      </c>
      <c r="AD2933" s="1" t="s">
        <v>24</v>
      </c>
      <c r="AE2933" s="1" t="s">
        <v>24</v>
      </c>
      <c r="AF2933" s="22" t="s">
        <v>17679</v>
      </c>
    </row>
    <row r="2934" spans="1:32" x14ac:dyDescent="0.2">
      <c r="A2934" s="1">
        <v>22100</v>
      </c>
      <c r="B2934" s="1" t="s">
        <v>9221</v>
      </c>
      <c r="C2934" s="5" t="s">
        <v>0</v>
      </c>
      <c r="D2934" s="1" t="s">
        <v>9222</v>
      </c>
      <c r="F2934" s="1" t="s">
        <v>9223</v>
      </c>
      <c r="G2934" s="1" t="s">
        <v>9223</v>
      </c>
      <c r="H2934" s="1" t="s">
        <v>1116</v>
      </c>
      <c r="I2934" s="1" t="s">
        <v>16</v>
      </c>
      <c r="J2934" s="1">
        <v>1</v>
      </c>
      <c r="K2934" s="1">
        <v>6</v>
      </c>
      <c r="L2934" s="1" t="s">
        <v>42</v>
      </c>
      <c r="M2934" s="1" t="s">
        <v>1009</v>
      </c>
      <c r="N2934" s="1" t="s">
        <v>1009</v>
      </c>
      <c r="O2934" s="1">
        <v>2</v>
      </c>
      <c r="P2934" s="1">
        <v>5</v>
      </c>
      <c r="R2934" s="1" t="s">
        <v>19</v>
      </c>
      <c r="S2934" s="1" t="s">
        <v>20</v>
      </c>
      <c r="T2934" s="1" t="s">
        <v>21</v>
      </c>
      <c r="U2934" s="1" t="s">
        <v>22</v>
      </c>
      <c r="V2934" s="1" t="s">
        <v>23</v>
      </c>
      <c r="W2934" s="1" t="s">
        <v>24</v>
      </c>
      <c r="X2934" s="1">
        <v>2204</v>
      </c>
      <c r="Y2934" s="1">
        <v>2700</v>
      </c>
      <c r="Z2934" s="1" t="s">
        <v>24</v>
      </c>
      <c r="AA2934" s="1" t="s">
        <v>24</v>
      </c>
      <c r="AB2934" s="1" t="s">
        <v>24</v>
      </c>
      <c r="AC2934" s="1" t="s">
        <v>24</v>
      </c>
      <c r="AD2934" s="1" t="s">
        <v>24</v>
      </c>
      <c r="AE2934" s="1" t="s">
        <v>24</v>
      </c>
      <c r="AF2934" s="22"/>
    </row>
    <row r="2935" spans="1:32" x14ac:dyDescent="0.2">
      <c r="A2935" s="1">
        <v>22124</v>
      </c>
      <c r="B2935" s="1" t="s">
        <v>9224</v>
      </c>
      <c r="C2935" s="5" t="s">
        <v>0</v>
      </c>
      <c r="D2935" s="1" t="s">
        <v>9225</v>
      </c>
      <c r="E2935" s="1" t="s">
        <v>9226</v>
      </c>
      <c r="F2935" s="1" t="s">
        <v>91</v>
      </c>
      <c r="G2935" s="1" t="s">
        <v>61</v>
      </c>
      <c r="H2935" s="1" t="s">
        <v>92</v>
      </c>
      <c r="I2935" s="1" t="s">
        <v>16</v>
      </c>
      <c r="J2935" s="1">
        <v>16</v>
      </c>
      <c r="K2935" s="1">
        <v>2</v>
      </c>
      <c r="L2935" s="1" t="s">
        <v>31</v>
      </c>
      <c r="M2935" s="1" t="s">
        <v>18</v>
      </c>
      <c r="N2935" s="1" t="s">
        <v>18</v>
      </c>
      <c r="O2935" s="1">
        <v>3</v>
      </c>
      <c r="P2935" s="1">
        <v>7</v>
      </c>
      <c r="Q2935" s="7" t="s">
        <v>17633</v>
      </c>
      <c r="R2935" s="1" t="s">
        <v>19</v>
      </c>
      <c r="S2935" s="1" t="s">
        <v>63</v>
      </c>
      <c r="T2935" s="1" t="s">
        <v>21</v>
      </c>
      <c r="U2935" s="1" t="s">
        <v>22</v>
      </c>
      <c r="V2935" s="1" t="s">
        <v>24</v>
      </c>
      <c r="W2935" s="1" t="s">
        <v>24</v>
      </c>
      <c r="X2935" s="1">
        <v>1303</v>
      </c>
      <c r="Y2935" s="1">
        <v>1602</v>
      </c>
      <c r="Z2935" s="1">
        <v>1307</v>
      </c>
      <c r="AA2935" s="1">
        <v>1308</v>
      </c>
      <c r="AB2935" s="1" t="s">
        <v>24</v>
      </c>
      <c r="AC2935" s="1" t="s">
        <v>24</v>
      </c>
      <c r="AD2935" s="1" t="s">
        <v>24</v>
      </c>
      <c r="AE2935" s="1" t="s">
        <v>24</v>
      </c>
      <c r="AF2935" s="22"/>
    </row>
    <row r="2936" spans="1:32" x14ac:dyDescent="0.2">
      <c r="A2936" s="1">
        <v>22200</v>
      </c>
      <c r="B2936" s="1" t="s">
        <v>9227</v>
      </c>
      <c r="C2936" s="5" t="s">
        <v>0</v>
      </c>
      <c r="D2936" s="1" t="s">
        <v>9228</v>
      </c>
      <c r="E2936" s="1" t="s">
        <v>9229</v>
      </c>
      <c r="F2936" s="1" t="s">
        <v>291</v>
      </c>
      <c r="G2936" s="1" t="s">
        <v>292</v>
      </c>
      <c r="H2936" s="1" t="s">
        <v>37</v>
      </c>
      <c r="I2936" s="1" t="s">
        <v>16</v>
      </c>
      <c r="J2936" s="1">
        <v>1</v>
      </c>
      <c r="K2936" s="1">
        <v>4</v>
      </c>
      <c r="L2936" s="1" t="s">
        <v>31</v>
      </c>
      <c r="M2936" s="1" t="s">
        <v>18</v>
      </c>
      <c r="N2936" s="1" t="s">
        <v>18</v>
      </c>
      <c r="O2936" s="1">
        <v>3</v>
      </c>
      <c r="P2936" s="1">
        <v>7</v>
      </c>
      <c r="Q2936" s="7" t="s">
        <v>17633</v>
      </c>
      <c r="R2936" s="1" t="s">
        <v>19</v>
      </c>
      <c r="S2936" s="1" t="s">
        <v>20</v>
      </c>
      <c r="T2936" s="1" t="s">
        <v>21</v>
      </c>
      <c r="U2936" s="1" t="s">
        <v>22</v>
      </c>
      <c r="V2936" s="1" t="s">
        <v>23</v>
      </c>
      <c r="W2936" s="1" t="s">
        <v>24</v>
      </c>
      <c r="X2936" s="1">
        <v>2746</v>
      </c>
      <c r="Y2936" s="1">
        <v>2708</v>
      </c>
      <c r="Z2936" s="1" t="s">
        <v>24</v>
      </c>
      <c r="AA2936" s="1" t="s">
        <v>24</v>
      </c>
      <c r="AB2936" s="1" t="s">
        <v>24</v>
      </c>
      <c r="AC2936" s="1" t="s">
        <v>24</v>
      </c>
      <c r="AD2936" s="1" t="s">
        <v>24</v>
      </c>
      <c r="AE2936" s="1" t="s">
        <v>24</v>
      </c>
      <c r="AF2936" s="22"/>
    </row>
    <row r="2937" spans="1:32" x14ac:dyDescent="0.2">
      <c r="A2937" s="1">
        <v>22208</v>
      </c>
      <c r="B2937" s="1" t="s">
        <v>9230</v>
      </c>
      <c r="C2937" s="5" t="s">
        <v>0</v>
      </c>
      <c r="E2937" s="1" t="s">
        <v>9231</v>
      </c>
      <c r="F2937" s="1" t="s">
        <v>2299</v>
      </c>
      <c r="G2937" s="1" t="s">
        <v>2300</v>
      </c>
      <c r="H2937" s="1" t="s">
        <v>37</v>
      </c>
      <c r="I2937" s="1" t="s">
        <v>16</v>
      </c>
      <c r="J2937" s="1">
        <v>1</v>
      </c>
      <c r="K2937" s="1">
        <v>1</v>
      </c>
      <c r="L2937" s="1" t="s">
        <v>31</v>
      </c>
      <c r="M2937" s="1" t="s">
        <v>18</v>
      </c>
      <c r="N2937" s="1" t="s">
        <v>18</v>
      </c>
      <c r="O2937" s="1">
        <v>3</v>
      </c>
      <c r="P2937" s="1">
        <v>6</v>
      </c>
      <c r="R2937" s="1" t="s">
        <v>19</v>
      </c>
      <c r="S2937" s="1" t="s">
        <v>63</v>
      </c>
      <c r="T2937" s="1" t="s">
        <v>21</v>
      </c>
      <c r="U2937" s="1" t="s">
        <v>22</v>
      </c>
      <c r="V2937" s="1" t="s">
        <v>24</v>
      </c>
      <c r="W2937" s="1" t="s">
        <v>24</v>
      </c>
      <c r="X2937" s="1">
        <v>1300</v>
      </c>
      <c r="Y2937" s="1" t="s">
        <v>24</v>
      </c>
      <c r="Z2937" s="1" t="s">
        <v>24</v>
      </c>
      <c r="AA2937" s="1" t="s">
        <v>24</v>
      </c>
      <c r="AB2937" s="1" t="s">
        <v>24</v>
      </c>
      <c r="AC2937" s="1" t="s">
        <v>24</v>
      </c>
      <c r="AD2937" s="1" t="s">
        <v>24</v>
      </c>
      <c r="AE2937" s="1" t="s">
        <v>24</v>
      </c>
      <c r="AF2937" s="22"/>
    </row>
    <row r="2938" spans="1:32" x14ac:dyDescent="0.2">
      <c r="A2938" s="1">
        <v>22212</v>
      </c>
      <c r="B2938" s="1" t="s">
        <v>9232</v>
      </c>
      <c r="C2938" s="5" t="s">
        <v>0</v>
      </c>
      <c r="D2938" s="1" t="s">
        <v>9233</v>
      </c>
      <c r="E2938" s="1" t="s">
        <v>9234</v>
      </c>
      <c r="F2938" s="1" t="s">
        <v>167</v>
      </c>
      <c r="G2938" s="1" t="s">
        <v>130</v>
      </c>
      <c r="H2938" s="1" t="s">
        <v>168</v>
      </c>
      <c r="I2938" s="1" t="s">
        <v>16</v>
      </c>
      <c r="J2938" s="1">
        <v>1</v>
      </c>
      <c r="K2938" s="1">
        <v>12</v>
      </c>
      <c r="L2938" s="1" t="s">
        <v>31</v>
      </c>
      <c r="M2938" s="1" t="s">
        <v>18</v>
      </c>
      <c r="N2938" s="1" t="s">
        <v>18</v>
      </c>
      <c r="O2938" s="1">
        <v>3</v>
      </c>
      <c r="P2938" s="1">
        <v>7</v>
      </c>
      <c r="Q2938" s="7" t="s">
        <v>17633</v>
      </c>
      <c r="R2938" s="1" t="s">
        <v>19</v>
      </c>
      <c r="S2938" s="1" t="s">
        <v>20</v>
      </c>
      <c r="T2938" s="1" t="s">
        <v>21</v>
      </c>
      <c r="U2938" s="1" t="s">
        <v>22</v>
      </c>
      <c r="V2938" s="1" t="s">
        <v>24</v>
      </c>
      <c r="W2938" s="1" t="s">
        <v>24</v>
      </c>
      <c r="X2938" s="1">
        <v>1606</v>
      </c>
      <c r="Y2938" s="1">
        <v>1706</v>
      </c>
      <c r="Z2938" s="1">
        <v>1703</v>
      </c>
      <c r="AA2938" s="1">
        <v>1503</v>
      </c>
      <c r="AB2938" s="1">
        <v>1605</v>
      </c>
      <c r="AC2938" s="1">
        <v>1604</v>
      </c>
      <c r="AD2938" s="1" t="s">
        <v>24</v>
      </c>
      <c r="AE2938" s="1" t="s">
        <v>24</v>
      </c>
      <c r="AF2938" s="22"/>
    </row>
    <row r="2939" spans="1:32" x14ac:dyDescent="0.2">
      <c r="A2939" s="1">
        <v>22216</v>
      </c>
      <c r="B2939" s="1" t="s">
        <v>9235</v>
      </c>
      <c r="C2939" s="5" t="s">
        <v>0</v>
      </c>
      <c r="E2939" s="1" t="s">
        <v>9236</v>
      </c>
      <c r="F2939" s="1" t="s">
        <v>9237</v>
      </c>
      <c r="G2939" s="1" t="s">
        <v>9237</v>
      </c>
      <c r="H2939" s="1" t="s">
        <v>731</v>
      </c>
      <c r="I2939" s="1" t="s">
        <v>16</v>
      </c>
      <c r="J2939" s="1">
        <v>1</v>
      </c>
      <c r="K2939" s="1">
        <v>3</v>
      </c>
      <c r="L2939" s="1" t="s">
        <v>42</v>
      </c>
      <c r="M2939" s="1" t="s">
        <v>18</v>
      </c>
      <c r="N2939" s="1" t="s">
        <v>18</v>
      </c>
      <c r="O2939" s="1">
        <v>3</v>
      </c>
      <c r="P2939" s="1">
        <v>6</v>
      </c>
      <c r="R2939" s="1" t="s">
        <v>19</v>
      </c>
      <c r="S2939" s="1" t="s">
        <v>63</v>
      </c>
      <c r="T2939" s="1" t="s">
        <v>21</v>
      </c>
      <c r="U2939" s="1" t="s">
        <v>22</v>
      </c>
      <c r="V2939" s="1" t="s">
        <v>23</v>
      </c>
      <c r="W2939" s="1" t="s">
        <v>24</v>
      </c>
      <c r="X2939" s="1">
        <v>3003</v>
      </c>
      <c r="Y2939" s="1">
        <v>3004</v>
      </c>
      <c r="Z2939" s="1" t="s">
        <v>24</v>
      </c>
      <c r="AA2939" s="1" t="s">
        <v>24</v>
      </c>
      <c r="AB2939" s="1" t="s">
        <v>24</v>
      </c>
      <c r="AC2939" s="1" t="s">
        <v>24</v>
      </c>
      <c r="AD2939" s="1" t="s">
        <v>24</v>
      </c>
      <c r="AE2939" s="1" t="s">
        <v>24</v>
      </c>
      <c r="AF2939" s="22"/>
    </row>
    <row r="2940" spans="1:32" x14ac:dyDescent="0.2">
      <c r="A2940" s="1">
        <v>22217</v>
      </c>
      <c r="B2940" s="1" t="s">
        <v>9238</v>
      </c>
      <c r="C2940" s="5" t="s">
        <v>0</v>
      </c>
      <c r="E2940" s="1" t="s">
        <v>9239</v>
      </c>
      <c r="F2940" s="1" t="s">
        <v>9240</v>
      </c>
      <c r="G2940" s="1" t="s">
        <v>9240</v>
      </c>
      <c r="H2940" s="1" t="s">
        <v>168</v>
      </c>
      <c r="I2940" s="1" t="s">
        <v>16</v>
      </c>
      <c r="J2940" s="1">
        <v>1</v>
      </c>
      <c r="K2940" s="1">
        <v>4</v>
      </c>
      <c r="L2940" s="1" t="s">
        <v>42</v>
      </c>
      <c r="M2940" s="1" t="s">
        <v>18</v>
      </c>
      <c r="N2940" s="1" t="s">
        <v>18</v>
      </c>
      <c r="O2940" s="1">
        <v>3</v>
      </c>
      <c r="P2940" s="1">
        <v>6</v>
      </c>
      <c r="R2940" s="1" t="s">
        <v>19</v>
      </c>
      <c r="S2940" s="1" t="s">
        <v>63</v>
      </c>
      <c r="T2940" s="1" t="s">
        <v>21</v>
      </c>
      <c r="U2940" s="1" t="s">
        <v>22</v>
      </c>
      <c r="V2940" s="1" t="s">
        <v>24</v>
      </c>
      <c r="W2940" s="1" t="s">
        <v>24</v>
      </c>
      <c r="X2940" s="1">
        <v>2738</v>
      </c>
      <c r="Y2940" s="1" t="s">
        <v>24</v>
      </c>
      <c r="Z2940" s="1" t="s">
        <v>24</v>
      </c>
      <c r="AA2940" s="1" t="s">
        <v>24</v>
      </c>
      <c r="AB2940" s="1" t="s">
        <v>24</v>
      </c>
      <c r="AC2940" s="1" t="s">
        <v>24</v>
      </c>
      <c r="AD2940" s="1" t="s">
        <v>24</v>
      </c>
      <c r="AE2940" s="1" t="s">
        <v>24</v>
      </c>
      <c r="AF2940" s="22"/>
    </row>
    <row r="2941" spans="1:32" x14ac:dyDescent="0.2">
      <c r="A2941" s="1">
        <v>22222</v>
      </c>
      <c r="B2941" s="1" t="s">
        <v>9241</v>
      </c>
      <c r="C2941" s="5" t="s">
        <v>0</v>
      </c>
      <c r="D2941" s="1" t="s">
        <v>9242</v>
      </c>
      <c r="F2941" s="1" t="s">
        <v>9243</v>
      </c>
      <c r="G2941" s="1" t="s">
        <v>9243</v>
      </c>
      <c r="H2941" s="1" t="s">
        <v>684</v>
      </c>
      <c r="I2941" s="1" t="s">
        <v>16</v>
      </c>
      <c r="J2941" s="1">
        <v>1</v>
      </c>
      <c r="K2941" s="1">
        <v>6</v>
      </c>
      <c r="L2941" s="1" t="s">
        <v>42</v>
      </c>
      <c r="M2941" s="1" t="s">
        <v>18</v>
      </c>
      <c r="N2941" s="1" t="s">
        <v>18</v>
      </c>
      <c r="O2941" s="1">
        <v>3</v>
      </c>
      <c r="P2941" s="1">
        <v>6</v>
      </c>
      <c r="R2941" s="1" t="s">
        <v>19</v>
      </c>
      <c r="S2941" s="1" t="s">
        <v>20</v>
      </c>
      <c r="T2941" s="1" t="s">
        <v>21</v>
      </c>
      <c r="U2941" s="1" t="s">
        <v>22</v>
      </c>
      <c r="V2941" s="1" t="s">
        <v>24</v>
      </c>
      <c r="W2941" s="1" t="s">
        <v>24</v>
      </c>
      <c r="X2941" s="1">
        <v>1310</v>
      </c>
      <c r="Y2941" s="1">
        <v>2712</v>
      </c>
      <c r="Z2941" s="1">
        <v>2721</v>
      </c>
      <c r="AA2941" s="1" t="s">
        <v>24</v>
      </c>
      <c r="AB2941" s="1" t="s">
        <v>24</v>
      </c>
      <c r="AC2941" s="1" t="s">
        <v>24</v>
      </c>
      <c r="AD2941" s="1" t="s">
        <v>24</v>
      </c>
      <c r="AE2941" s="1" t="s">
        <v>24</v>
      </c>
      <c r="AF2941" s="22"/>
    </row>
    <row r="2942" spans="1:32" x14ac:dyDescent="0.2">
      <c r="A2942" s="1">
        <v>22223</v>
      </c>
      <c r="B2942" s="1" t="s">
        <v>9244</v>
      </c>
      <c r="C2942" s="5" t="s">
        <v>0</v>
      </c>
      <c r="E2942" s="1" t="s">
        <v>9245</v>
      </c>
      <c r="F2942" s="1" t="s">
        <v>9244</v>
      </c>
      <c r="G2942" s="1" t="s">
        <v>9244</v>
      </c>
      <c r="H2942" s="1" t="s">
        <v>30</v>
      </c>
      <c r="I2942" s="1" t="s">
        <v>16</v>
      </c>
      <c r="J2942" s="1">
        <v>1</v>
      </c>
      <c r="K2942" s="1">
        <v>1</v>
      </c>
      <c r="L2942" s="1" t="s">
        <v>42</v>
      </c>
      <c r="M2942" s="1" t="s">
        <v>18</v>
      </c>
      <c r="N2942" s="1" t="s">
        <v>18</v>
      </c>
      <c r="O2942" s="1">
        <v>3</v>
      </c>
      <c r="P2942" s="1">
        <v>7</v>
      </c>
      <c r="Q2942" s="7" t="s">
        <v>17633</v>
      </c>
      <c r="R2942" s="1" t="s">
        <v>19</v>
      </c>
      <c r="S2942" s="1" t="s">
        <v>63</v>
      </c>
      <c r="T2942" s="1" t="s">
        <v>21</v>
      </c>
      <c r="U2942" s="1" t="s">
        <v>22</v>
      </c>
      <c r="V2942" s="1" t="s">
        <v>24</v>
      </c>
      <c r="W2942" s="1" t="s">
        <v>24</v>
      </c>
      <c r="X2942" s="1">
        <v>2731</v>
      </c>
      <c r="Y2942" s="1" t="s">
        <v>24</v>
      </c>
      <c r="Z2942" s="1" t="s">
        <v>24</v>
      </c>
      <c r="AA2942" s="1" t="s">
        <v>24</v>
      </c>
      <c r="AB2942" s="1" t="s">
        <v>24</v>
      </c>
      <c r="AC2942" s="1" t="s">
        <v>24</v>
      </c>
      <c r="AD2942" s="1" t="s">
        <v>24</v>
      </c>
      <c r="AE2942" s="1" t="s">
        <v>24</v>
      </c>
      <c r="AF2942" s="22"/>
    </row>
    <row r="2943" spans="1:32" x14ac:dyDescent="0.2">
      <c r="A2943" s="1">
        <v>22447</v>
      </c>
      <c r="B2943" s="1" t="s">
        <v>9246</v>
      </c>
      <c r="C2943" s="5" t="s">
        <v>0</v>
      </c>
      <c r="D2943" s="1" t="s">
        <v>9247</v>
      </c>
      <c r="E2943" s="1" t="s">
        <v>9248</v>
      </c>
      <c r="F2943" s="1" t="s">
        <v>6914</v>
      </c>
      <c r="G2943" s="1" t="s">
        <v>6915</v>
      </c>
      <c r="H2943" s="1" t="s">
        <v>37</v>
      </c>
      <c r="I2943" s="1" t="s">
        <v>16</v>
      </c>
      <c r="J2943" s="1">
        <v>1</v>
      </c>
      <c r="K2943" s="1">
        <v>12</v>
      </c>
      <c r="L2943" s="1" t="s">
        <v>31</v>
      </c>
      <c r="M2943" s="1" t="s">
        <v>18</v>
      </c>
      <c r="N2943" s="1" t="s">
        <v>18</v>
      </c>
      <c r="O2943" s="1">
        <v>3</v>
      </c>
      <c r="P2943" s="1">
        <v>7</v>
      </c>
      <c r="Q2943" s="7" t="s">
        <v>17633</v>
      </c>
      <c r="R2943" s="1" t="s">
        <v>62</v>
      </c>
      <c r="S2943" s="1" t="s">
        <v>20</v>
      </c>
      <c r="T2943" s="1" t="s">
        <v>21</v>
      </c>
      <c r="U2943" s="1" t="s">
        <v>22</v>
      </c>
      <c r="V2943" s="1" t="s">
        <v>24</v>
      </c>
      <c r="W2943" s="1" t="s">
        <v>64</v>
      </c>
      <c r="X2943" s="1">
        <v>1303</v>
      </c>
      <c r="Y2943" s="1">
        <v>1600</v>
      </c>
      <c r="Z2943" s="1">
        <v>1502</v>
      </c>
      <c r="AA2943" s="1">
        <v>2204</v>
      </c>
      <c r="AB2943" s="1" t="s">
        <v>24</v>
      </c>
      <c r="AC2943" s="1" t="s">
        <v>24</v>
      </c>
      <c r="AD2943" s="1" t="s">
        <v>24</v>
      </c>
      <c r="AE2943" s="1" t="s">
        <v>24</v>
      </c>
      <c r="AF2943" s="22"/>
    </row>
    <row r="2944" spans="1:32" x14ac:dyDescent="0.2">
      <c r="A2944" s="1">
        <v>22542</v>
      </c>
      <c r="B2944" s="1" t="s">
        <v>9249</v>
      </c>
      <c r="C2944" s="5" t="s">
        <v>0</v>
      </c>
      <c r="D2944" s="1" t="s">
        <v>9250</v>
      </c>
      <c r="E2944" s="1" t="s">
        <v>9251</v>
      </c>
      <c r="F2944" s="1" t="s">
        <v>91</v>
      </c>
      <c r="G2944" s="1" t="s">
        <v>61</v>
      </c>
      <c r="H2944" s="1" t="s">
        <v>92</v>
      </c>
      <c r="I2944" s="1" t="s">
        <v>16</v>
      </c>
      <c r="J2944" s="1">
        <v>1</v>
      </c>
      <c r="K2944" s="1">
        <v>12</v>
      </c>
      <c r="L2944" s="1" t="s">
        <v>31</v>
      </c>
      <c r="M2944" s="1" t="s">
        <v>18</v>
      </c>
      <c r="N2944" s="1" t="s">
        <v>18</v>
      </c>
      <c r="O2944" s="1">
        <v>3</v>
      </c>
      <c r="P2944" s="1">
        <v>7</v>
      </c>
      <c r="Q2944" s="7" t="s">
        <v>17633</v>
      </c>
      <c r="R2944" s="1" t="s">
        <v>62</v>
      </c>
      <c r="S2944" s="1" t="s">
        <v>63</v>
      </c>
      <c r="T2944" s="1" t="s">
        <v>21</v>
      </c>
      <c r="U2944" s="1" t="s">
        <v>22</v>
      </c>
      <c r="V2944" s="1" t="s">
        <v>24</v>
      </c>
      <c r="W2944" s="1" t="s">
        <v>24</v>
      </c>
      <c r="X2944" s="1">
        <v>1303</v>
      </c>
      <c r="Y2944" s="1">
        <v>1312</v>
      </c>
      <c r="Z2944" s="1">
        <v>1307</v>
      </c>
      <c r="AA2944" s="1" t="s">
        <v>24</v>
      </c>
      <c r="AB2944" s="1" t="s">
        <v>24</v>
      </c>
      <c r="AC2944" s="1" t="s">
        <v>24</v>
      </c>
      <c r="AD2944" s="1" t="s">
        <v>24</v>
      </c>
      <c r="AE2944" s="1" t="s">
        <v>24</v>
      </c>
      <c r="AF2944" s="22"/>
    </row>
    <row r="2945" spans="1:32" x14ac:dyDescent="0.2">
      <c r="A2945" s="1">
        <v>22583</v>
      </c>
      <c r="B2945" s="1" t="s">
        <v>9252</v>
      </c>
      <c r="C2945" s="5" t="s">
        <v>0</v>
      </c>
      <c r="D2945" s="1" t="s">
        <v>9253</v>
      </c>
      <c r="E2945" s="1" t="s">
        <v>9254</v>
      </c>
      <c r="F2945" s="1" t="s">
        <v>9255</v>
      </c>
      <c r="G2945" s="1" t="s">
        <v>460</v>
      </c>
      <c r="H2945" s="1" t="s">
        <v>461</v>
      </c>
      <c r="I2945" s="1" t="s">
        <v>16</v>
      </c>
      <c r="J2945" s="1">
        <v>1</v>
      </c>
      <c r="K2945" s="1">
        <v>12</v>
      </c>
      <c r="L2945" s="1" t="s">
        <v>42</v>
      </c>
      <c r="M2945" s="1" t="s">
        <v>18</v>
      </c>
      <c r="N2945" s="1" t="s">
        <v>18</v>
      </c>
      <c r="O2945" s="1">
        <v>3</v>
      </c>
      <c r="P2945" s="1">
        <v>6</v>
      </c>
      <c r="R2945" s="1" t="s">
        <v>19</v>
      </c>
      <c r="S2945" s="1" t="s">
        <v>20</v>
      </c>
      <c r="T2945" s="1" t="s">
        <v>21</v>
      </c>
      <c r="U2945" s="1" t="s">
        <v>22</v>
      </c>
      <c r="V2945" s="1" t="s">
        <v>24</v>
      </c>
      <c r="W2945" s="1" t="s">
        <v>24</v>
      </c>
      <c r="X2945" s="1">
        <v>2705</v>
      </c>
      <c r="Y2945" s="1" t="s">
        <v>24</v>
      </c>
      <c r="Z2945" s="1" t="s">
        <v>24</v>
      </c>
      <c r="AA2945" s="1" t="s">
        <v>24</v>
      </c>
      <c r="AB2945" s="1" t="s">
        <v>24</v>
      </c>
      <c r="AC2945" s="1" t="s">
        <v>24</v>
      </c>
      <c r="AD2945" s="1" t="s">
        <v>24</v>
      </c>
      <c r="AE2945" s="1" t="s">
        <v>24</v>
      </c>
      <c r="AF2945" s="22"/>
    </row>
    <row r="2946" spans="1:32" x14ac:dyDescent="0.2">
      <c r="A2946" s="1">
        <v>22615</v>
      </c>
      <c r="B2946" s="1" t="s">
        <v>9256</v>
      </c>
      <c r="C2946" s="5" t="s">
        <v>0</v>
      </c>
      <c r="D2946" s="1" t="s">
        <v>9257</v>
      </c>
      <c r="E2946" s="1" t="s">
        <v>9258</v>
      </c>
      <c r="F2946" s="1" t="s">
        <v>35</v>
      </c>
      <c r="G2946" s="1" t="s">
        <v>36</v>
      </c>
      <c r="H2946" s="1" t="s">
        <v>37</v>
      </c>
      <c r="I2946" s="1" t="s">
        <v>16</v>
      </c>
      <c r="J2946" s="1">
        <v>1</v>
      </c>
      <c r="K2946" s="1">
        <v>6</v>
      </c>
      <c r="L2946" s="1" t="s">
        <v>31</v>
      </c>
      <c r="M2946" s="1" t="s">
        <v>18</v>
      </c>
      <c r="N2946" s="1" t="s">
        <v>18</v>
      </c>
      <c r="O2946" s="1">
        <v>3</v>
      </c>
      <c r="P2946" s="1">
        <v>7</v>
      </c>
      <c r="Q2946" s="7" t="s">
        <v>17633</v>
      </c>
      <c r="R2946" s="1" t="s">
        <v>19</v>
      </c>
      <c r="S2946" s="1" t="s">
        <v>20</v>
      </c>
      <c r="T2946" s="1" t="s">
        <v>21</v>
      </c>
      <c r="U2946" s="1" t="s">
        <v>22</v>
      </c>
      <c r="V2946" s="1" t="s">
        <v>23</v>
      </c>
      <c r="W2946" s="1" t="s">
        <v>24</v>
      </c>
      <c r="X2946" s="1">
        <v>1314</v>
      </c>
      <c r="Y2946" s="1">
        <v>2737</v>
      </c>
      <c r="Z2946" s="1" t="s">
        <v>24</v>
      </c>
      <c r="AA2946" s="1" t="s">
        <v>24</v>
      </c>
      <c r="AB2946" s="1" t="s">
        <v>24</v>
      </c>
      <c r="AC2946" s="1" t="s">
        <v>24</v>
      </c>
      <c r="AD2946" s="1" t="s">
        <v>24</v>
      </c>
      <c r="AE2946" s="1" t="s">
        <v>24</v>
      </c>
      <c r="AF2946" s="22"/>
    </row>
    <row r="2947" spans="1:32" x14ac:dyDescent="0.2">
      <c r="A2947" s="1">
        <v>22630</v>
      </c>
      <c r="B2947" s="1" t="s">
        <v>9259</v>
      </c>
      <c r="C2947" s="5" t="s">
        <v>0</v>
      </c>
      <c r="D2947" s="1" t="s">
        <v>9260</v>
      </c>
      <c r="E2947" s="1" t="s">
        <v>9261</v>
      </c>
      <c r="F2947" s="1" t="s">
        <v>198</v>
      </c>
      <c r="G2947" s="1" t="s">
        <v>130</v>
      </c>
      <c r="H2947" s="1" t="s">
        <v>86</v>
      </c>
      <c r="I2947" s="1" t="s">
        <v>16</v>
      </c>
      <c r="J2947" s="1">
        <v>1</v>
      </c>
      <c r="K2947" s="1">
        <v>6</v>
      </c>
      <c r="L2947" s="1" t="s">
        <v>31</v>
      </c>
      <c r="M2947" s="1" t="s">
        <v>87</v>
      </c>
      <c r="N2947" s="1" t="s">
        <v>199</v>
      </c>
      <c r="O2947" s="1">
        <v>3</v>
      </c>
      <c r="P2947" s="1">
        <v>6</v>
      </c>
      <c r="R2947" s="1" t="s">
        <v>19</v>
      </c>
      <c r="S2947" s="1" t="s">
        <v>20</v>
      </c>
      <c r="T2947" s="1" t="s">
        <v>21</v>
      </c>
      <c r="U2947" s="1" t="s">
        <v>22</v>
      </c>
      <c r="V2947" s="1" t="s">
        <v>23</v>
      </c>
      <c r="W2947" s="1" t="s">
        <v>24</v>
      </c>
      <c r="X2947" s="1">
        <v>2711</v>
      </c>
      <c r="Y2947" s="1">
        <v>2907</v>
      </c>
      <c r="Z2947" s="1" t="s">
        <v>24</v>
      </c>
      <c r="AA2947" s="1" t="s">
        <v>24</v>
      </c>
      <c r="AB2947" s="1" t="s">
        <v>24</v>
      </c>
      <c r="AC2947" s="1" t="s">
        <v>24</v>
      </c>
      <c r="AD2947" s="1" t="s">
        <v>24</v>
      </c>
      <c r="AE2947" s="1" t="s">
        <v>24</v>
      </c>
      <c r="AF2947" s="22"/>
    </row>
    <row r="2948" spans="1:32" x14ac:dyDescent="0.2">
      <c r="A2948" s="1">
        <v>22649</v>
      </c>
      <c r="B2948" s="1" t="s">
        <v>9262</v>
      </c>
      <c r="C2948" s="5" t="s">
        <v>0</v>
      </c>
      <c r="D2948" s="1" t="s">
        <v>9263</v>
      </c>
      <c r="E2948" s="1" t="s">
        <v>9264</v>
      </c>
      <c r="F2948" s="1" t="s">
        <v>129</v>
      </c>
      <c r="G2948" s="1" t="s">
        <v>130</v>
      </c>
      <c r="H2948" s="1" t="s">
        <v>131</v>
      </c>
      <c r="I2948" s="1" t="s">
        <v>16</v>
      </c>
      <c r="J2948" s="1">
        <v>1</v>
      </c>
      <c r="K2948" s="1">
        <v>6</v>
      </c>
      <c r="L2948" s="1" t="s">
        <v>31</v>
      </c>
      <c r="M2948" s="1" t="s">
        <v>679</v>
      </c>
      <c r="N2948" s="1" t="s">
        <v>242</v>
      </c>
      <c r="O2948" s="1">
        <v>3</v>
      </c>
      <c r="P2948" s="1">
        <v>6</v>
      </c>
      <c r="R2948" s="1" t="s">
        <v>19</v>
      </c>
      <c r="S2948" s="1" t="s">
        <v>20</v>
      </c>
      <c r="T2948" s="1" t="s">
        <v>21</v>
      </c>
      <c r="U2948" s="1" t="s">
        <v>22</v>
      </c>
      <c r="V2948" s="1" t="s">
        <v>24</v>
      </c>
      <c r="W2948" s="1" t="s">
        <v>24</v>
      </c>
      <c r="X2948" s="1">
        <v>2746</v>
      </c>
      <c r="Y2948" s="1" t="s">
        <v>24</v>
      </c>
      <c r="Z2948" s="1" t="s">
        <v>24</v>
      </c>
      <c r="AA2948" s="1" t="s">
        <v>24</v>
      </c>
      <c r="AB2948" s="1" t="s">
        <v>24</v>
      </c>
      <c r="AC2948" s="1" t="s">
        <v>24</v>
      </c>
      <c r="AD2948" s="1" t="s">
        <v>24</v>
      </c>
      <c r="AE2948" s="1" t="s">
        <v>24</v>
      </c>
      <c r="AF2948" s="22"/>
    </row>
    <row r="2949" spans="1:32" x14ac:dyDescent="0.2">
      <c r="A2949" s="1">
        <v>22670</v>
      </c>
      <c r="B2949" s="1" t="s">
        <v>9265</v>
      </c>
      <c r="C2949" s="5" t="s">
        <v>0</v>
      </c>
      <c r="D2949" s="1" t="s">
        <v>9266</v>
      </c>
      <c r="E2949" s="1" t="s">
        <v>9267</v>
      </c>
      <c r="F2949" s="1" t="s">
        <v>91</v>
      </c>
      <c r="G2949" s="1" t="s">
        <v>61</v>
      </c>
      <c r="H2949" s="1" t="s">
        <v>92</v>
      </c>
      <c r="I2949" s="1" t="s">
        <v>16</v>
      </c>
      <c r="J2949" s="1">
        <v>5</v>
      </c>
      <c r="K2949" s="1">
        <v>3</v>
      </c>
      <c r="L2949" s="1" t="s">
        <v>31</v>
      </c>
      <c r="M2949" s="1" t="s">
        <v>18</v>
      </c>
      <c r="N2949" s="1" t="s">
        <v>18</v>
      </c>
      <c r="O2949" s="1">
        <v>3</v>
      </c>
      <c r="P2949" s="1">
        <v>7</v>
      </c>
      <c r="Q2949" s="7" t="s">
        <v>17633</v>
      </c>
      <c r="R2949" s="1" t="s">
        <v>19</v>
      </c>
      <c r="S2949" s="1" t="s">
        <v>63</v>
      </c>
      <c r="T2949" s="1" t="s">
        <v>21</v>
      </c>
      <c r="U2949" s="1" t="s">
        <v>22</v>
      </c>
      <c r="V2949" s="1" t="s">
        <v>24</v>
      </c>
      <c r="W2949" s="1" t="s">
        <v>24</v>
      </c>
      <c r="X2949" s="1">
        <v>1314</v>
      </c>
      <c r="Y2949" s="1">
        <v>2740</v>
      </c>
      <c r="Z2949" s="1">
        <v>2800</v>
      </c>
      <c r="AA2949" s="1" t="s">
        <v>24</v>
      </c>
      <c r="AB2949" s="1" t="s">
        <v>24</v>
      </c>
      <c r="AC2949" s="1" t="s">
        <v>24</v>
      </c>
      <c r="AD2949" s="1" t="s">
        <v>24</v>
      </c>
      <c r="AE2949" s="1" t="s">
        <v>24</v>
      </c>
      <c r="AF2949" s="22"/>
    </row>
    <row r="2950" spans="1:32" x14ac:dyDescent="0.2">
      <c r="A2950" s="1">
        <v>23057</v>
      </c>
      <c r="B2950" s="1" t="s">
        <v>9268</v>
      </c>
      <c r="C2950" s="5" t="s">
        <v>0</v>
      </c>
      <c r="D2950" s="1" t="s">
        <v>9269</v>
      </c>
      <c r="E2950" s="1" t="s">
        <v>9270</v>
      </c>
      <c r="F2950" s="1" t="s">
        <v>291</v>
      </c>
      <c r="G2950" s="1" t="s">
        <v>292</v>
      </c>
      <c r="H2950" s="1" t="s">
        <v>37</v>
      </c>
      <c r="I2950" s="1" t="s">
        <v>16</v>
      </c>
      <c r="J2950" s="1">
        <v>1</v>
      </c>
      <c r="K2950" s="1">
        <v>6</v>
      </c>
      <c r="L2950" s="1" t="s">
        <v>31</v>
      </c>
      <c r="M2950" s="1" t="s">
        <v>18</v>
      </c>
      <c r="N2950" s="1" t="s">
        <v>18</v>
      </c>
      <c r="O2950" s="1">
        <v>3</v>
      </c>
      <c r="P2950" s="1">
        <v>7</v>
      </c>
      <c r="Q2950" s="7" t="s">
        <v>17633</v>
      </c>
      <c r="R2950" s="1" t="s">
        <v>19</v>
      </c>
      <c r="S2950" s="1" t="s">
        <v>20</v>
      </c>
      <c r="T2950" s="1" t="s">
        <v>21</v>
      </c>
      <c r="U2950" s="1" t="s">
        <v>22</v>
      </c>
      <c r="V2950" s="1" t="s">
        <v>24</v>
      </c>
      <c r="W2950" s="1" t="s">
        <v>64</v>
      </c>
      <c r="X2950" s="1">
        <v>3002</v>
      </c>
      <c r="Y2950" s="1">
        <v>3004</v>
      </c>
      <c r="Z2950" s="1" t="s">
        <v>24</v>
      </c>
      <c r="AA2950" s="1" t="s">
        <v>24</v>
      </c>
      <c r="AB2950" s="1" t="s">
        <v>24</v>
      </c>
      <c r="AC2950" s="1" t="s">
        <v>24</v>
      </c>
      <c r="AD2950" s="1" t="s">
        <v>24</v>
      </c>
      <c r="AE2950" s="1" t="s">
        <v>24</v>
      </c>
      <c r="AF2950" s="22"/>
    </row>
    <row r="2951" spans="1:32" x14ac:dyDescent="0.2">
      <c r="A2951" s="1">
        <v>23095</v>
      </c>
      <c r="B2951" s="1" t="s">
        <v>9271</v>
      </c>
      <c r="C2951" s="5" t="s">
        <v>0</v>
      </c>
      <c r="D2951" s="1" t="s">
        <v>9272</v>
      </c>
      <c r="E2951" s="1" t="s">
        <v>9273</v>
      </c>
      <c r="F2951" s="1" t="s">
        <v>356</v>
      </c>
      <c r="G2951" s="1" t="s">
        <v>357</v>
      </c>
      <c r="H2951" s="1" t="s">
        <v>30</v>
      </c>
      <c r="I2951" s="1" t="s">
        <v>16</v>
      </c>
      <c r="J2951" s="1">
        <v>1</v>
      </c>
      <c r="K2951" s="1">
        <v>4</v>
      </c>
      <c r="L2951" s="1" t="s">
        <v>31</v>
      </c>
      <c r="M2951" s="1" t="s">
        <v>18</v>
      </c>
      <c r="N2951" s="1" t="s">
        <v>18</v>
      </c>
      <c r="O2951" s="1">
        <v>3</v>
      </c>
      <c r="P2951" s="1">
        <v>6</v>
      </c>
      <c r="R2951" s="1" t="s">
        <v>19</v>
      </c>
      <c r="S2951" s="1" t="s">
        <v>20</v>
      </c>
      <c r="T2951" s="1" t="s">
        <v>21</v>
      </c>
      <c r="U2951" s="1" t="s">
        <v>22</v>
      </c>
      <c r="V2951" s="1" t="s">
        <v>23</v>
      </c>
      <c r="W2951" s="1" t="s">
        <v>24</v>
      </c>
      <c r="X2951" s="1">
        <v>3200</v>
      </c>
      <c r="Y2951" s="1" t="s">
        <v>24</v>
      </c>
      <c r="Z2951" s="1" t="s">
        <v>24</v>
      </c>
      <c r="AA2951" s="1" t="s">
        <v>24</v>
      </c>
      <c r="AB2951" s="1" t="s">
        <v>24</v>
      </c>
      <c r="AC2951" s="1" t="s">
        <v>24</v>
      </c>
      <c r="AD2951" s="1" t="s">
        <v>24</v>
      </c>
      <c r="AE2951" s="1" t="s">
        <v>24</v>
      </c>
      <c r="AF2951" s="22"/>
    </row>
    <row r="2952" spans="1:32" x14ac:dyDescent="0.2">
      <c r="A2952" s="1">
        <v>23199</v>
      </c>
      <c r="B2952" s="1" t="s">
        <v>9274</v>
      </c>
      <c r="C2952" s="5" t="s">
        <v>0</v>
      </c>
      <c r="D2952" s="1" t="s">
        <v>9275</v>
      </c>
      <c r="F2952" s="1" t="s">
        <v>9276</v>
      </c>
      <c r="G2952" s="1" t="s">
        <v>9277</v>
      </c>
      <c r="H2952" s="1" t="s">
        <v>1007</v>
      </c>
      <c r="I2952" s="1" t="s">
        <v>16</v>
      </c>
      <c r="J2952" s="1">
        <v>1</v>
      </c>
      <c r="K2952" s="1">
        <v>6</v>
      </c>
      <c r="L2952" s="1" t="s">
        <v>31</v>
      </c>
      <c r="M2952" s="1" t="s">
        <v>18</v>
      </c>
      <c r="N2952" s="1" t="s">
        <v>18</v>
      </c>
      <c r="O2952" s="1">
        <v>2</v>
      </c>
      <c r="P2952" s="1">
        <v>6</v>
      </c>
      <c r="R2952" s="1" t="s">
        <v>19</v>
      </c>
      <c r="S2952" s="1" t="s">
        <v>20</v>
      </c>
      <c r="T2952" s="1" t="s">
        <v>21</v>
      </c>
      <c r="U2952" s="1" t="s">
        <v>22</v>
      </c>
      <c r="V2952" s="1" t="s">
        <v>24</v>
      </c>
      <c r="W2952" s="1" t="s">
        <v>24</v>
      </c>
      <c r="X2952" s="1">
        <v>2715</v>
      </c>
      <c r="Y2952" s="1">
        <v>2721</v>
      </c>
      <c r="Z2952" s="1" t="s">
        <v>24</v>
      </c>
      <c r="AA2952" s="1" t="s">
        <v>24</v>
      </c>
      <c r="AB2952" s="1" t="s">
        <v>24</v>
      </c>
      <c r="AC2952" s="1" t="s">
        <v>24</v>
      </c>
      <c r="AD2952" s="1" t="s">
        <v>24</v>
      </c>
      <c r="AE2952" s="1" t="s">
        <v>24</v>
      </c>
      <c r="AF2952" s="22"/>
    </row>
    <row r="2953" spans="1:32" x14ac:dyDescent="0.2">
      <c r="A2953" s="1">
        <v>23249</v>
      </c>
      <c r="B2953" s="1" t="s">
        <v>9278</v>
      </c>
      <c r="C2953" s="5" t="s">
        <v>0</v>
      </c>
      <c r="D2953" s="1" t="s">
        <v>9279</v>
      </c>
      <c r="F2953" s="1" t="s">
        <v>91</v>
      </c>
      <c r="G2953" s="1" t="s">
        <v>61</v>
      </c>
      <c r="H2953" s="1" t="s">
        <v>92</v>
      </c>
      <c r="I2953" s="1" t="s">
        <v>16</v>
      </c>
      <c r="J2953" s="1">
        <v>1</v>
      </c>
      <c r="K2953" s="1">
        <v>6</v>
      </c>
      <c r="L2953" s="1" t="s">
        <v>31</v>
      </c>
      <c r="M2953" s="1" t="s">
        <v>18</v>
      </c>
      <c r="N2953" s="1" t="s">
        <v>18</v>
      </c>
      <c r="O2953" s="1">
        <v>3</v>
      </c>
      <c r="P2953" s="1">
        <v>6</v>
      </c>
      <c r="R2953" s="1" t="s">
        <v>19</v>
      </c>
      <c r="S2953" s="1" t="s">
        <v>20</v>
      </c>
      <c r="T2953" s="1" t="s">
        <v>21</v>
      </c>
      <c r="U2953" s="1" t="s">
        <v>22</v>
      </c>
      <c r="V2953" s="1" t="s">
        <v>23</v>
      </c>
      <c r="W2953" s="1" t="s">
        <v>24</v>
      </c>
      <c r="X2953" s="1">
        <v>2746</v>
      </c>
      <c r="Y2953" s="1">
        <v>2732</v>
      </c>
      <c r="Z2953" s="1" t="s">
        <v>24</v>
      </c>
      <c r="AA2953" s="1" t="s">
        <v>24</v>
      </c>
      <c r="AB2953" s="1" t="s">
        <v>24</v>
      </c>
      <c r="AC2953" s="1" t="s">
        <v>24</v>
      </c>
      <c r="AD2953" s="1" t="s">
        <v>24</v>
      </c>
      <c r="AE2953" s="1" t="s">
        <v>24</v>
      </c>
      <c r="AF2953" s="22"/>
    </row>
    <row r="2954" spans="1:32" x14ac:dyDescent="0.2">
      <c r="A2954" s="1">
        <v>23426</v>
      </c>
      <c r="B2954" s="1" t="s">
        <v>9280</v>
      </c>
      <c r="C2954" s="5" t="s">
        <v>0</v>
      </c>
      <c r="D2954" s="1" t="s">
        <v>9281</v>
      </c>
      <c r="F2954" s="1" t="s">
        <v>7990</v>
      </c>
      <c r="G2954" s="1" t="s">
        <v>7990</v>
      </c>
      <c r="H2954" s="1" t="s">
        <v>135</v>
      </c>
      <c r="I2954" s="1" t="s">
        <v>16</v>
      </c>
      <c r="J2954" s="1">
        <v>1</v>
      </c>
      <c r="K2954" s="1">
        <v>4</v>
      </c>
      <c r="L2954" s="1" t="s">
        <v>42</v>
      </c>
      <c r="M2954" s="1" t="s">
        <v>1131</v>
      </c>
      <c r="N2954" s="1" t="s">
        <v>5887</v>
      </c>
      <c r="O2954" s="1">
        <v>2</v>
      </c>
      <c r="P2954" s="1">
        <v>5</v>
      </c>
      <c r="R2954" s="1" t="s">
        <v>19</v>
      </c>
      <c r="S2954" s="1" t="s">
        <v>20</v>
      </c>
      <c r="T2954" s="1" t="s">
        <v>21</v>
      </c>
      <c r="U2954" s="1" t="s">
        <v>22</v>
      </c>
      <c r="V2954" s="1" t="s">
        <v>24</v>
      </c>
      <c r="W2954" s="1" t="s">
        <v>24</v>
      </c>
      <c r="X2954" s="1">
        <v>2727</v>
      </c>
      <c r="Y2954" s="1" t="s">
        <v>24</v>
      </c>
      <c r="Z2954" s="1" t="s">
        <v>24</v>
      </c>
      <c r="AA2954" s="1" t="s">
        <v>24</v>
      </c>
      <c r="AB2954" s="1" t="s">
        <v>24</v>
      </c>
      <c r="AC2954" s="1" t="s">
        <v>24</v>
      </c>
      <c r="AD2954" s="1" t="s">
        <v>24</v>
      </c>
      <c r="AE2954" s="1" t="s">
        <v>24</v>
      </c>
      <c r="AF2954" s="22"/>
    </row>
    <row r="2955" spans="1:32" x14ac:dyDescent="0.2">
      <c r="A2955" s="1">
        <v>23550</v>
      </c>
      <c r="B2955" s="1" t="s">
        <v>9282</v>
      </c>
      <c r="C2955" s="5" t="s">
        <v>0</v>
      </c>
      <c r="D2955" s="1" t="s">
        <v>9283</v>
      </c>
      <c r="E2955" s="1" t="s">
        <v>9284</v>
      </c>
      <c r="F2955" s="1" t="s">
        <v>315</v>
      </c>
      <c r="G2955" s="1" t="s">
        <v>316</v>
      </c>
      <c r="H2955" s="1" t="s">
        <v>37</v>
      </c>
      <c r="I2955" s="1" t="s">
        <v>16</v>
      </c>
      <c r="J2955" s="1">
        <v>1</v>
      </c>
      <c r="K2955" s="1">
        <v>12</v>
      </c>
      <c r="L2955" s="1" t="s">
        <v>31</v>
      </c>
      <c r="M2955" s="1" t="s">
        <v>18</v>
      </c>
      <c r="N2955" s="1" t="s">
        <v>18</v>
      </c>
      <c r="O2955" s="1">
        <v>3</v>
      </c>
      <c r="P2955" s="1">
        <v>7</v>
      </c>
      <c r="Q2955" s="7" t="s">
        <v>17633</v>
      </c>
      <c r="R2955" s="1" t="s">
        <v>62</v>
      </c>
      <c r="S2955" s="1" t="s">
        <v>20</v>
      </c>
      <c r="T2955" s="1" t="s">
        <v>21</v>
      </c>
      <c r="U2955" s="1" t="s">
        <v>22</v>
      </c>
      <c r="V2955" s="1" t="s">
        <v>24</v>
      </c>
      <c r="W2955" s="1" t="s">
        <v>24</v>
      </c>
      <c r="X2955" s="1">
        <v>3002</v>
      </c>
      <c r="Y2955" s="1">
        <v>3004</v>
      </c>
      <c r="Z2955" s="1" t="s">
        <v>24</v>
      </c>
      <c r="AA2955" s="1" t="s">
        <v>24</v>
      </c>
      <c r="AB2955" s="1" t="s">
        <v>24</v>
      </c>
      <c r="AC2955" s="1" t="s">
        <v>24</v>
      </c>
      <c r="AD2955" s="1" t="s">
        <v>24</v>
      </c>
      <c r="AE2955" s="1" t="s">
        <v>24</v>
      </c>
      <c r="AF2955" s="22"/>
    </row>
    <row r="2956" spans="1:32" x14ac:dyDescent="0.2">
      <c r="A2956" s="1">
        <v>23552</v>
      </c>
      <c r="B2956" s="1" t="s">
        <v>9285</v>
      </c>
      <c r="C2956" s="5" t="s">
        <v>0</v>
      </c>
      <c r="D2956" s="1" t="s">
        <v>9286</v>
      </c>
      <c r="E2956" s="1" t="s">
        <v>9287</v>
      </c>
      <c r="F2956" s="1" t="s">
        <v>315</v>
      </c>
      <c r="G2956" s="1" t="s">
        <v>316</v>
      </c>
      <c r="H2956" s="1" t="s">
        <v>37</v>
      </c>
      <c r="I2956" s="1" t="s">
        <v>16</v>
      </c>
      <c r="J2956" s="1">
        <v>1</v>
      </c>
      <c r="K2956" s="1">
        <v>12</v>
      </c>
      <c r="L2956" s="1" t="s">
        <v>31</v>
      </c>
      <c r="M2956" s="1" t="s">
        <v>18</v>
      </c>
      <c r="N2956" s="1" t="s">
        <v>18</v>
      </c>
      <c r="O2956" s="1">
        <v>2</v>
      </c>
      <c r="P2956" s="1">
        <v>7</v>
      </c>
      <c r="Q2956" s="7" t="s">
        <v>17633</v>
      </c>
      <c r="R2956" s="1" t="s">
        <v>62</v>
      </c>
      <c r="S2956" s="1" t="s">
        <v>20</v>
      </c>
      <c r="T2956" s="1" t="s">
        <v>21</v>
      </c>
      <c r="U2956" s="1" t="s">
        <v>22</v>
      </c>
      <c r="V2956" s="1" t="s">
        <v>24</v>
      </c>
      <c r="W2956" s="1" t="s">
        <v>24</v>
      </c>
      <c r="X2956" s="1">
        <v>1306</v>
      </c>
      <c r="Y2956" s="1">
        <v>2730</v>
      </c>
      <c r="Z2956" s="1" t="s">
        <v>24</v>
      </c>
      <c r="AA2956" s="1" t="s">
        <v>24</v>
      </c>
      <c r="AB2956" s="1" t="s">
        <v>24</v>
      </c>
      <c r="AC2956" s="1" t="s">
        <v>24</v>
      </c>
      <c r="AD2956" s="1" t="s">
        <v>24</v>
      </c>
      <c r="AE2956" s="1" t="s">
        <v>24</v>
      </c>
      <c r="AF2956" s="22"/>
    </row>
    <row r="2957" spans="1:32" x14ac:dyDescent="0.2">
      <c r="A2957" s="1">
        <v>23553</v>
      </c>
      <c r="B2957" s="1" t="s">
        <v>9288</v>
      </c>
      <c r="C2957" s="5" t="s">
        <v>0</v>
      </c>
      <c r="D2957" s="1" t="s">
        <v>9289</v>
      </c>
      <c r="E2957" s="1" t="s">
        <v>9290</v>
      </c>
      <c r="F2957" s="1" t="s">
        <v>315</v>
      </c>
      <c r="G2957" s="1" t="s">
        <v>316</v>
      </c>
      <c r="H2957" s="1" t="s">
        <v>37</v>
      </c>
      <c r="I2957" s="1" t="s">
        <v>16</v>
      </c>
      <c r="J2957" s="1">
        <v>1</v>
      </c>
      <c r="K2957" s="1">
        <v>12</v>
      </c>
      <c r="L2957" s="1" t="s">
        <v>31</v>
      </c>
      <c r="M2957" s="1" t="s">
        <v>18</v>
      </c>
      <c r="N2957" s="1" t="s">
        <v>18</v>
      </c>
      <c r="O2957" s="1">
        <v>2</v>
      </c>
      <c r="P2957" s="1">
        <v>7</v>
      </c>
      <c r="Q2957" s="7" t="s">
        <v>17633</v>
      </c>
      <c r="R2957" s="1" t="s">
        <v>62</v>
      </c>
      <c r="S2957" s="1" t="s">
        <v>20</v>
      </c>
      <c r="T2957" s="1" t="s">
        <v>21</v>
      </c>
      <c r="U2957" s="1" t="s">
        <v>22</v>
      </c>
      <c r="V2957" s="1" t="s">
        <v>24</v>
      </c>
      <c r="W2957" s="1" t="s">
        <v>24</v>
      </c>
      <c r="X2957" s="1">
        <v>2403</v>
      </c>
      <c r="Y2957" s="1" t="s">
        <v>24</v>
      </c>
      <c r="Z2957" s="1" t="s">
        <v>24</v>
      </c>
      <c r="AA2957" s="1" t="s">
        <v>24</v>
      </c>
      <c r="AB2957" s="1" t="s">
        <v>24</v>
      </c>
      <c r="AC2957" s="1" t="s">
        <v>24</v>
      </c>
      <c r="AD2957" s="1" t="s">
        <v>24</v>
      </c>
      <c r="AE2957" s="1" t="s">
        <v>24</v>
      </c>
      <c r="AF2957" s="22"/>
    </row>
    <row r="2958" spans="1:32" x14ac:dyDescent="0.2">
      <c r="A2958" s="1">
        <v>23554</v>
      </c>
      <c r="B2958" s="1" t="s">
        <v>9291</v>
      </c>
      <c r="C2958" s="5" t="s">
        <v>0</v>
      </c>
      <c r="D2958" s="1" t="s">
        <v>9292</v>
      </c>
      <c r="E2958" s="1" t="s">
        <v>9293</v>
      </c>
      <c r="F2958" s="1" t="s">
        <v>315</v>
      </c>
      <c r="G2958" s="1" t="s">
        <v>316</v>
      </c>
      <c r="H2958" s="1" t="s">
        <v>37</v>
      </c>
      <c r="I2958" s="1" t="s">
        <v>16</v>
      </c>
      <c r="J2958" s="1">
        <v>1</v>
      </c>
      <c r="K2958" s="1">
        <v>12</v>
      </c>
      <c r="L2958" s="1" t="s">
        <v>31</v>
      </c>
      <c r="M2958" s="1" t="s">
        <v>18</v>
      </c>
      <c r="N2958" s="1" t="s">
        <v>18</v>
      </c>
      <c r="O2958" s="1">
        <v>2</v>
      </c>
      <c r="P2958" s="1">
        <v>7</v>
      </c>
      <c r="Q2958" s="7" t="s">
        <v>17633</v>
      </c>
      <c r="R2958" s="1" t="s">
        <v>62</v>
      </c>
      <c r="S2958" s="1" t="s">
        <v>20</v>
      </c>
      <c r="T2958" s="1" t="s">
        <v>21</v>
      </c>
      <c r="U2958" s="1" t="s">
        <v>22</v>
      </c>
      <c r="V2958" s="1" t="s">
        <v>24</v>
      </c>
      <c r="W2958" s="1" t="s">
        <v>24</v>
      </c>
      <c r="X2958" s="1">
        <v>2800</v>
      </c>
      <c r="Y2958" s="1" t="s">
        <v>24</v>
      </c>
      <c r="Z2958" s="1" t="s">
        <v>24</v>
      </c>
      <c r="AA2958" s="1" t="s">
        <v>24</v>
      </c>
      <c r="AB2958" s="1" t="s">
        <v>24</v>
      </c>
      <c r="AC2958" s="1" t="s">
        <v>24</v>
      </c>
      <c r="AD2958" s="1" t="s">
        <v>24</v>
      </c>
      <c r="AE2958" s="1" t="s">
        <v>24</v>
      </c>
      <c r="AF2958" s="22"/>
    </row>
    <row r="2959" spans="1:32" x14ac:dyDescent="0.2">
      <c r="A2959" s="1">
        <v>23555</v>
      </c>
      <c r="B2959" s="1" t="s">
        <v>9294</v>
      </c>
      <c r="C2959" s="5" t="s">
        <v>0</v>
      </c>
      <c r="D2959" s="1" t="s">
        <v>9295</v>
      </c>
      <c r="E2959" s="1" t="s">
        <v>9296</v>
      </c>
      <c r="F2959" s="1" t="s">
        <v>940</v>
      </c>
      <c r="G2959" s="1" t="s">
        <v>130</v>
      </c>
      <c r="H2959" s="1" t="s">
        <v>30</v>
      </c>
      <c r="I2959" s="1" t="s">
        <v>16</v>
      </c>
      <c r="J2959" s="1">
        <v>1</v>
      </c>
      <c r="K2959" s="1">
        <v>4</v>
      </c>
      <c r="L2959" s="1" t="s">
        <v>31</v>
      </c>
      <c r="M2959" s="1" t="s">
        <v>18</v>
      </c>
      <c r="N2959" s="1" t="s">
        <v>18</v>
      </c>
      <c r="O2959" s="1">
        <v>3</v>
      </c>
      <c r="P2959" s="1">
        <v>7</v>
      </c>
      <c r="Q2959" s="7" t="s">
        <v>17633</v>
      </c>
      <c r="R2959" s="1" t="s">
        <v>62</v>
      </c>
      <c r="S2959" s="1" t="s">
        <v>20</v>
      </c>
      <c r="T2959" s="1" t="s">
        <v>21</v>
      </c>
      <c r="U2959" s="1" t="s">
        <v>22</v>
      </c>
      <c r="V2959" s="1" t="s">
        <v>24</v>
      </c>
      <c r="W2959" s="1" t="s">
        <v>24</v>
      </c>
      <c r="X2959" s="1">
        <v>2804</v>
      </c>
      <c r="Y2959" s="1">
        <v>1313</v>
      </c>
      <c r="Z2959" s="1">
        <v>2808</v>
      </c>
      <c r="AA2959" s="1" t="s">
        <v>24</v>
      </c>
      <c r="AB2959" s="1" t="s">
        <v>24</v>
      </c>
      <c r="AC2959" s="1" t="s">
        <v>24</v>
      </c>
      <c r="AD2959" s="1" t="s">
        <v>24</v>
      </c>
      <c r="AE2959" s="1" t="s">
        <v>24</v>
      </c>
      <c r="AF2959" s="22"/>
    </row>
    <row r="2960" spans="1:32" x14ac:dyDescent="0.2">
      <c r="A2960" s="1">
        <v>23556</v>
      </c>
      <c r="B2960" s="1" t="s">
        <v>9297</v>
      </c>
      <c r="C2960" s="5" t="s">
        <v>0</v>
      </c>
      <c r="D2960" s="1" t="s">
        <v>9298</v>
      </c>
      <c r="E2960" s="1" t="s">
        <v>9299</v>
      </c>
      <c r="F2960" s="1" t="s">
        <v>940</v>
      </c>
      <c r="G2960" s="1" t="s">
        <v>130</v>
      </c>
      <c r="H2960" s="1" t="s">
        <v>30</v>
      </c>
      <c r="I2960" s="1" t="s">
        <v>16</v>
      </c>
      <c r="J2960" s="1">
        <v>1</v>
      </c>
      <c r="K2960" s="1">
        <v>4</v>
      </c>
      <c r="L2960" s="1" t="s">
        <v>31</v>
      </c>
      <c r="M2960" s="1" t="s">
        <v>18</v>
      </c>
      <c r="N2960" s="1" t="s">
        <v>18</v>
      </c>
      <c r="O2960" s="1">
        <v>3</v>
      </c>
      <c r="P2960" s="1">
        <v>7</v>
      </c>
      <c r="Q2960" s="7" t="s">
        <v>17633</v>
      </c>
      <c r="R2960" s="1" t="s">
        <v>19</v>
      </c>
      <c r="S2960" s="1" t="s">
        <v>20</v>
      </c>
      <c r="T2960" s="1" t="s">
        <v>21</v>
      </c>
      <c r="U2960" s="1" t="s">
        <v>22</v>
      </c>
      <c r="V2960" s="1" t="s">
        <v>24</v>
      </c>
      <c r="W2960" s="1" t="s">
        <v>24</v>
      </c>
      <c r="X2960" s="1">
        <v>3005</v>
      </c>
      <c r="Y2960" s="1">
        <v>2705</v>
      </c>
      <c r="Z2960" s="1">
        <v>1312</v>
      </c>
      <c r="AA2960" s="1" t="s">
        <v>24</v>
      </c>
      <c r="AB2960" s="1" t="s">
        <v>24</v>
      </c>
      <c r="AC2960" s="1" t="s">
        <v>24</v>
      </c>
      <c r="AD2960" s="1" t="s">
        <v>24</v>
      </c>
      <c r="AE2960" s="1" t="s">
        <v>24</v>
      </c>
      <c r="AF2960" s="22"/>
    </row>
    <row r="2961" spans="1:32" x14ac:dyDescent="0.2">
      <c r="A2961" s="1">
        <v>23557</v>
      </c>
      <c r="B2961" s="1" t="s">
        <v>9300</v>
      </c>
      <c r="C2961" s="5" t="s">
        <v>0</v>
      </c>
      <c r="D2961" s="1" t="s">
        <v>9301</v>
      </c>
      <c r="E2961" s="1" t="s">
        <v>9302</v>
      </c>
      <c r="F2961" s="1" t="s">
        <v>940</v>
      </c>
      <c r="G2961" s="1" t="s">
        <v>130</v>
      </c>
      <c r="H2961" s="1" t="s">
        <v>30</v>
      </c>
      <c r="I2961" s="1" t="s">
        <v>16</v>
      </c>
      <c r="J2961" s="1">
        <v>1</v>
      </c>
      <c r="K2961" s="1">
        <v>4</v>
      </c>
      <c r="L2961" s="1" t="s">
        <v>31</v>
      </c>
      <c r="M2961" s="1" t="s">
        <v>18</v>
      </c>
      <c r="N2961" s="1" t="s">
        <v>18</v>
      </c>
      <c r="O2961" s="1">
        <v>2</v>
      </c>
      <c r="P2961" s="1">
        <v>6</v>
      </c>
      <c r="R2961" s="1" t="s">
        <v>19</v>
      </c>
      <c r="S2961" s="1" t="s">
        <v>20</v>
      </c>
      <c r="T2961" s="1" t="s">
        <v>21</v>
      </c>
      <c r="U2961" s="1" t="s">
        <v>22</v>
      </c>
      <c r="V2961" s="1" t="s">
        <v>24</v>
      </c>
      <c r="W2961" s="1" t="s">
        <v>24</v>
      </c>
      <c r="X2961" s="1">
        <v>1310</v>
      </c>
      <c r="Y2961" s="1">
        <v>2712</v>
      </c>
      <c r="Z2961" s="1">
        <v>2732</v>
      </c>
      <c r="AA2961" s="1" t="s">
        <v>24</v>
      </c>
      <c r="AB2961" s="1" t="s">
        <v>24</v>
      </c>
      <c r="AC2961" s="1" t="s">
        <v>24</v>
      </c>
      <c r="AD2961" s="1" t="s">
        <v>24</v>
      </c>
      <c r="AE2961" s="1" t="s">
        <v>24</v>
      </c>
      <c r="AF2961" s="22"/>
    </row>
    <row r="2962" spans="1:32" x14ac:dyDescent="0.2">
      <c r="A2962" s="1">
        <v>23558</v>
      </c>
      <c r="B2962" s="1" t="s">
        <v>9303</v>
      </c>
      <c r="C2962" s="5" t="s">
        <v>0</v>
      </c>
      <c r="D2962" s="1" t="s">
        <v>9304</v>
      </c>
      <c r="E2962" s="1" t="s">
        <v>9305</v>
      </c>
      <c r="F2962" s="1" t="s">
        <v>324</v>
      </c>
      <c r="G2962" s="1" t="s">
        <v>61</v>
      </c>
      <c r="H2962" s="1" t="s">
        <v>30</v>
      </c>
      <c r="I2962" s="1" t="s">
        <v>16</v>
      </c>
      <c r="J2962" s="1">
        <v>2</v>
      </c>
      <c r="K2962" s="1">
        <v>6</v>
      </c>
      <c r="L2962" s="1" t="s">
        <v>31</v>
      </c>
      <c r="M2962" s="1" t="s">
        <v>18</v>
      </c>
      <c r="N2962" s="1" t="s">
        <v>18</v>
      </c>
      <c r="O2962" s="1">
        <v>3</v>
      </c>
      <c r="P2962" s="1">
        <v>7</v>
      </c>
      <c r="Q2962" s="7" t="s">
        <v>17633</v>
      </c>
      <c r="R2962" s="1" t="s">
        <v>62</v>
      </c>
      <c r="S2962" s="1" t="s">
        <v>20</v>
      </c>
      <c r="T2962" s="1" t="s">
        <v>21</v>
      </c>
      <c r="U2962" s="1" t="s">
        <v>22</v>
      </c>
      <c r="V2962" s="1" t="s">
        <v>24</v>
      </c>
      <c r="W2962" s="1" t="s">
        <v>24</v>
      </c>
      <c r="X2962" s="1">
        <v>1306</v>
      </c>
      <c r="Y2962" s="1">
        <v>1307</v>
      </c>
      <c r="Z2962" s="1">
        <v>2730</v>
      </c>
      <c r="AA2962" s="1" t="s">
        <v>24</v>
      </c>
      <c r="AB2962" s="1" t="s">
        <v>24</v>
      </c>
      <c r="AC2962" s="1" t="s">
        <v>24</v>
      </c>
      <c r="AD2962" s="1" t="s">
        <v>24</v>
      </c>
      <c r="AE2962" s="1" t="s">
        <v>24</v>
      </c>
      <c r="AF2962" s="22"/>
    </row>
    <row r="2963" spans="1:32" x14ac:dyDescent="0.2">
      <c r="A2963" s="1">
        <v>23559</v>
      </c>
      <c r="B2963" s="1" t="s">
        <v>9306</v>
      </c>
      <c r="C2963" s="5" t="s">
        <v>0</v>
      </c>
      <c r="D2963" s="1" t="s">
        <v>9307</v>
      </c>
      <c r="E2963" s="1" t="s">
        <v>9308</v>
      </c>
      <c r="F2963" s="1" t="s">
        <v>190</v>
      </c>
      <c r="G2963" s="1" t="s">
        <v>130</v>
      </c>
      <c r="H2963" s="1" t="s">
        <v>30</v>
      </c>
      <c r="I2963" s="1" t="s">
        <v>16</v>
      </c>
      <c r="J2963" s="1">
        <v>1</v>
      </c>
      <c r="K2963" s="1">
        <v>4</v>
      </c>
      <c r="L2963" s="1" t="s">
        <v>31</v>
      </c>
      <c r="M2963" s="1" t="s">
        <v>18</v>
      </c>
      <c r="N2963" s="1" t="s">
        <v>18</v>
      </c>
      <c r="O2963" s="1">
        <v>3</v>
      </c>
      <c r="P2963" s="1">
        <v>7</v>
      </c>
      <c r="Q2963" s="7" t="s">
        <v>17633</v>
      </c>
      <c r="R2963" s="1" t="s">
        <v>19</v>
      </c>
      <c r="S2963" s="1" t="s">
        <v>20</v>
      </c>
      <c r="T2963" s="1" t="s">
        <v>21</v>
      </c>
      <c r="U2963" s="1" t="s">
        <v>22</v>
      </c>
      <c r="V2963" s="1" t="s">
        <v>24</v>
      </c>
      <c r="W2963" s="1" t="s">
        <v>24</v>
      </c>
      <c r="X2963" s="1">
        <v>2808</v>
      </c>
      <c r="Y2963" s="1">
        <v>2728</v>
      </c>
      <c r="Z2963" s="1" t="s">
        <v>24</v>
      </c>
      <c r="AA2963" s="1" t="s">
        <v>24</v>
      </c>
      <c r="AB2963" s="1" t="s">
        <v>24</v>
      </c>
      <c r="AC2963" s="1" t="s">
        <v>24</v>
      </c>
      <c r="AD2963" s="1" t="s">
        <v>24</v>
      </c>
      <c r="AE2963" s="1" t="s">
        <v>24</v>
      </c>
      <c r="AF2963" s="22"/>
    </row>
    <row r="2964" spans="1:32" x14ac:dyDescent="0.2">
      <c r="A2964" s="1">
        <v>23560</v>
      </c>
      <c r="B2964" s="1" t="s">
        <v>9309</v>
      </c>
      <c r="C2964" s="5" t="s">
        <v>0</v>
      </c>
      <c r="D2964" s="1" t="s">
        <v>9310</v>
      </c>
      <c r="E2964" s="1" t="s">
        <v>9311</v>
      </c>
      <c r="F2964" s="1" t="s">
        <v>35</v>
      </c>
      <c r="G2964" s="1" t="s">
        <v>36</v>
      </c>
      <c r="H2964" s="1" t="s">
        <v>37</v>
      </c>
      <c r="I2964" s="1" t="s">
        <v>16</v>
      </c>
      <c r="J2964" s="1">
        <v>1</v>
      </c>
      <c r="K2964" s="1">
        <v>8</v>
      </c>
      <c r="L2964" s="1" t="s">
        <v>31</v>
      </c>
      <c r="M2964" s="1" t="s">
        <v>18</v>
      </c>
      <c r="N2964" s="1" t="s">
        <v>18</v>
      </c>
      <c r="O2964" s="1">
        <v>3</v>
      </c>
      <c r="P2964" s="1">
        <v>7</v>
      </c>
      <c r="Q2964" s="7" t="s">
        <v>17633</v>
      </c>
      <c r="R2964" s="1" t="s">
        <v>62</v>
      </c>
      <c r="S2964" s="1" t="s">
        <v>20</v>
      </c>
      <c r="T2964" s="1" t="s">
        <v>21</v>
      </c>
      <c r="U2964" s="1" t="s">
        <v>22</v>
      </c>
      <c r="V2964" s="1" t="s">
        <v>24</v>
      </c>
      <c r="W2964" s="1" t="s">
        <v>24</v>
      </c>
      <c r="X2964" s="1">
        <v>2802</v>
      </c>
      <c r="Y2964" s="1">
        <v>1311</v>
      </c>
      <c r="Z2964" s="1">
        <v>2808</v>
      </c>
      <c r="AA2964" s="1" t="s">
        <v>24</v>
      </c>
      <c r="AB2964" s="1" t="s">
        <v>24</v>
      </c>
      <c r="AC2964" s="1" t="s">
        <v>24</v>
      </c>
      <c r="AD2964" s="1" t="s">
        <v>24</v>
      </c>
      <c r="AE2964" s="1" t="s">
        <v>24</v>
      </c>
      <c r="AF2964" s="22"/>
    </row>
    <row r="2965" spans="1:32" x14ac:dyDescent="0.2">
      <c r="A2965" s="1">
        <v>23563</v>
      </c>
      <c r="B2965" s="1" t="s">
        <v>9312</v>
      </c>
      <c r="C2965" s="5" t="s">
        <v>0</v>
      </c>
      <c r="D2965" s="1" t="s">
        <v>9313</v>
      </c>
      <c r="F2965" s="1" t="s">
        <v>9314</v>
      </c>
      <c r="G2965" s="1" t="s">
        <v>9314</v>
      </c>
      <c r="H2965" s="1" t="s">
        <v>30</v>
      </c>
      <c r="I2965" s="1" t="s">
        <v>16</v>
      </c>
      <c r="J2965" s="1">
        <v>1</v>
      </c>
      <c r="K2965" s="1">
        <v>6</v>
      </c>
      <c r="L2965" s="1" t="s">
        <v>42</v>
      </c>
      <c r="M2965" s="1" t="s">
        <v>18</v>
      </c>
      <c r="N2965" s="1" t="s">
        <v>18</v>
      </c>
      <c r="O2965" s="1">
        <v>3</v>
      </c>
      <c r="P2965" s="1">
        <v>6</v>
      </c>
      <c r="R2965" s="1" t="s">
        <v>19</v>
      </c>
      <c r="S2965" s="1" t="s">
        <v>20</v>
      </c>
      <c r="T2965" s="1" t="s">
        <v>21</v>
      </c>
      <c r="U2965" s="1" t="s">
        <v>22</v>
      </c>
      <c r="V2965" s="1" t="s">
        <v>23</v>
      </c>
      <c r="W2965" s="1" t="s">
        <v>24</v>
      </c>
      <c r="X2965" s="1">
        <v>1306</v>
      </c>
      <c r="Y2965" s="1">
        <v>2730</v>
      </c>
      <c r="Z2965" s="1" t="s">
        <v>24</v>
      </c>
      <c r="AA2965" s="1" t="s">
        <v>24</v>
      </c>
      <c r="AB2965" s="1" t="s">
        <v>24</v>
      </c>
      <c r="AC2965" s="1" t="s">
        <v>24</v>
      </c>
      <c r="AD2965" s="1" t="s">
        <v>24</v>
      </c>
      <c r="AE2965" s="1" t="s">
        <v>24</v>
      </c>
      <c r="AF2965" s="22"/>
    </row>
    <row r="2966" spans="1:32" x14ac:dyDescent="0.2">
      <c r="A2966" s="1">
        <v>23565</v>
      </c>
      <c r="B2966" s="1" t="s">
        <v>9315</v>
      </c>
      <c r="C2966" s="5" t="s">
        <v>0</v>
      </c>
      <c r="D2966" s="1" t="s">
        <v>9316</v>
      </c>
      <c r="E2966" s="1" t="s">
        <v>9317</v>
      </c>
      <c r="F2966" s="1" t="s">
        <v>97</v>
      </c>
      <c r="G2966" s="1" t="s">
        <v>98</v>
      </c>
      <c r="H2966" s="1" t="s">
        <v>37</v>
      </c>
      <c r="I2966" s="1" t="s">
        <v>16</v>
      </c>
      <c r="J2966" s="1">
        <v>1</v>
      </c>
      <c r="K2966" s="1">
        <v>6</v>
      </c>
      <c r="L2966" s="1" t="s">
        <v>31</v>
      </c>
      <c r="M2966" s="1" t="s">
        <v>18</v>
      </c>
      <c r="N2966" s="1" t="s">
        <v>18</v>
      </c>
      <c r="O2966" s="1">
        <v>3</v>
      </c>
      <c r="P2966" s="1">
        <v>6</v>
      </c>
      <c r="R2966" s="1" t="s">
        <v>19</v>
      </c>
      <c r="S2966" s="1" t="s">
        <v>20</v>
      </c>
      <c r="T2966" s="1" t="s">
        <v>21</v>
      </c>
      <c r="U2966" s="1" t="s">
        <v>22</v>
      </c>
      <c r="V2966" s="1" t="s">
        <v>23</v>
      </c>
      <c r="W2966" s="1" t="s">
        <v>24</v>
      </c>
      <c r="X2966" s="1">
        <v>2724</v>
      </c>
      <c r="Y2966" s="1">
        <v>2705</v>
      </c>
      <c r="Z2966" s="1">
        <v>2712</v>
      </c>
      <c r="AA2966" s="1" t="s">
        <v>24</v>
      </c>
      <c r="AB2966" s="1" t="s">
        <v>24</v>
      </c>
      <c r="AC2966" s="1" t="s">
        <v>24</v>
      </c>
      <c r="AD2966" s="1" t="s">
        <v>24</v>
      </c>
      <c r="AE2966" s="1" t="s">
        <v>24</v>
      </c>
      <c r="AF2966" s="22"/>
    </row>
    <row r="2967" spans="1:32" x14ac:dyDescent="0.2">
      <c r="A2967" s="1">
        <v>23566</v>
      </c>
      <c r="B2967" s="1" t="s">
        <v>9318</v>
      </c>
      <c r="C2967" s="5" t="s">
        <v>0</v>
      </c>
      <c r="D2967" s="1" t="s">
        <v>9319</v>
      </c>
      <c r="E2967" s="1" t="s">
        <v>9320</v>
      </c>
      <c r="F2967" s="1" t="s">
        <v>155</v>
      </c>
      <c r="G2967" s="1" t="s">
        <v>61</v>
      </c>
      <c r="H2967" s="1" t="s">
        <v>37</v>
      </c>
      <c r="I2967" s="1" t="s">
        <v>16</v>
      </c>
      <c r="J2967" s="1">
        <v>2</v>
      </c>
      <c r="K2967" s="1">
        <v>7</v>
      </c>
      <c r="L2967" s="1" t="s">
        <v>31</v>
      </c>
      <c r="M2967" s="1" t="s">
        <v>18</v>
      </c>
      <c r="N2967" s="1" t="s">
        <v>18</v>
      </c>
      <c r="O2967" s="1">
        <v>3</v>
      </c>
      <c r="P2967" s="1">
        <v>6</v>
      </c>
      <c r="R2967" s="1" t="s">
        <v>19</v>
      </c>
      <c r="S2967" s="1" t="s">
        <v>20</v>
      </c>
      <c r="T2967" s="1" t="s">
        <v>21</v>
      </c>
      <c r="U2967" s="1" t="s">
        <v>22</v>
      </c>
      <c r="V2967" s="1" t="s">
        <v>23</v>
      </c>
      <c r="W2967" s="1" t="s">
        <v>24</v>
      </c>
      <c r="X2967" s="1">
        <v>2743</v>
      </c>
      <c r="Y2967" s="1">
        <v>1309</v>
      </c>
      <c r="Z2967" s="1" t="s">
        <v>24</v>
      </c>
      <c r="AA2967" s="1" t="s">
        <v>24</v>
      </c>
      <c r="AB2967" s="1" t="s">
        <v>24</v>
      </c>
      <c r="AC2967" s="1" t="s">
        <v>24</v>
      </c>
      <c r="AD2967" s="1" t="s">
        <v>24</v>
      </c>
      <c r="AE2967" s="1" t="s">
        <v>24</v>
      </c>
      <c r="AF2967" s="22"/>
    </row>
    <row r="2968" spans="1:32" x14ac:dyDescent="0.2">
      <c r="A2968" s="1">
        <v>23570</v>
      </c>
      <c r="B2968" s="1" t="s">
        <v>9321</v>
      </c>
      <c r="C2968" s="5" t="s">
        <v>0</v>
      </c>
      <c r="D2968" s="1" t="s">
        <v>9322</v>
      </c>
      <c r="E2968" s="1" t="s">
        <v>9323</v>
      </c>
      <c r="F2968" s="1" t="s">
        <v>9324</v>
      </c>
      <c r="G2968" s="1" t="s">
        <v>9324</v>
      </c>
      <c r="H2968" s="1" t="s">
        <v>899</v>
      </c>
      <c r="I2968" s="1" t="s">
        <v>16</v>
      </c>
      <c r="J2968" s="1">
        <v>1</v>
      </c>
      <c r="K2968" s="1">
        <v>4</v>
      </c>
      <c r="L2968" s="1" t="s">
        <v>42</v>
      </c>
      <c r="M2968" s="1" t="s">
        <v>18</v>
      </c>
      <c r="N2968" s="1" t="s">
        <v>18</v>
      </c>
      <c r="O2968" s="1">
        <v>3</v>
      </c>
      <c r="P2968" s="1">
        <v>6</v>
      </c>
      <c r="R2968" s="1" t="s">
        <v>19</v>
      </c>
      <c r="S2968" s="1" t="s">
        <v>20</v>
      </c>
      <c r="T2968" s="1" t="s">
        <v>21</v>
      </c>
      <c r="U2968" s="1" t="s">
        <v>22</v>
      </c>
      <c r="V2968" s="1" t="s">
        <v>24</v>
      </c>
      <c r="W2968" s="1" t="s">
        <v>24</v>
      </c>
      <c r="X2968" s="1">
        <v>1305</v>
      </c>
      <c r="Y2968" s="1">
        <v>1502</v>
      </c>
      <c r="Z2968" s="1">
        <v>2402</v>
      </c>
      <c r="AA2968" s="1">
        <v>1110</v>
      </c>
      <c r="AB2968" s="1" t="s">
        <v>24</v>
      </c>
      <c r="AC2968" s="1" t="s">
        <v>24</v>
      </c>
      <c r="AD2968" s="1" t="s">
        <v>24</v>
      </c>
      <c r="AE2968" s="1" t="s">
        <v>24</v>
      </c>
      <c r="AF2968" s="22"/>
    </row>
    <row r="2969" spans="1:32" x14ac:dyDescent="0.2">
      <c r="A2969" s="1">
        <v>23571</v>
      </c>
      <c r="B2969" s="1" t="s">
        <v>9325</v>
      </c>
      <c r="C2969" s="5" t="s">
        <v>0</v>
      </c>
      <c r="D2969" s="1" t="s">
        <v>9326</v>
      </c>
      <c r="E2969" s="1" t="s">
        <v>9327</v>
      </c>
      <c r="F2969" s="1" t="s">
        <v>9039</v>
      </c>
      <c r="G2969" s="1" t="s">
        <v>292</v>
      </c>
      <c r="H2969" s="1" t="s">
        <v>37</v>
      </c>
      <c r="I2969" s="1" t="s">
        <v>16</v>
      </c>
      <c r="J2969" s="1">
        <v>1</v>
      </c>
      <c r="K2969" s="1">
        <v>6</v>
      </c>
      <c r="L2969" s="1" t="s">
        <v>31</v>
      </c>
      <c r="M2969" s="1" t="s">
        <v>18</v>
      </c>
      <c r="N2969" s="1" t="s">
        <v>18</v>
      </c>
      <c r="O2969" s="1">
        <v>3</v>
      </c>
      <c r="P2969" s="1">
        <v>7</v>
      </c>
      <c r="Q2969" s="7" t="s">
        <v>17633</v>
      </c>
      <c r="R2969" s="1" t="s">
        <v>19</v>
      </c>
      <c r="S2969" s="1" t="s">
        <v>20</v>
      </c>
      <c r="T2969" s="1" t="s">
        <v>21</v>
      </c>
      <c r="U2969" s="1" t="s">
        <v>22</v>
      </c>
      <c r="V2969" s="1" t="s">
        <v>24</v>
      </c>
      <c r="W2969" s="1" t="s">
        <v>24</v>
      </c>
      <c r="X2969" s="1">
        <v>2403</v>
      </c>
      <c r="Y2969" s="1">
        <v>3002</v>
      </c>
      <c r="Z2969" s="1">
        <v>3004</v>
      </c>
      <c r="AA2969" s="1">
        <v>1313</v>
      </c>
      <c r="AB2969" s="1" t="s">
        <v>24</v>
      </c>
      <c r="AC2969" s="1" t="s">
        <v>24</v>
      </c>
      <c r="AD2969" s="1" t="s">
        <v>24</v>
      </c>
      <c r="AE2969" s="1" t="s">
        <v>24</v>
      </c>
      <c r="AF2969" s="22"/>
    </row>
    <row r="2970" spans="1:32" x14ac:dyDescent="0.2">
      <c r="A2970" s="1">
        <v>23579</v>
      </c>
      <c r="B2970" s="1" t="s">
        <v>9328</v>
      </c>
      <c r="C2970" s="5" t="s">
        <v>0</v>
      </c>
      <c r="D2970" s="1" t="s">
        <v>9329</v>
      </c>
      <c r="F2970" s="1" t="s">
        <v>9330</v>
      </c>
      <c r="G2970" s="1" t="s">
        <v>9330</v>
      </c>
      <c r="H2970" s="1" t="s">
        <v>684</v>
      </c>
      <c r="I2970" s="1" t="s">
        <v>16</v>
      </c>
      <c r="J2970" s="1">
        <v>1</v>
      </c>
      <c r="K2970" s="1">
        <v>4</v>
      </c>
      <c r="L2970" s="1" t="s">
        <v>17</v>
      </c>
      <c r="M2970" s="1" t="s">
        <v>18</v>
      </c>
      <c r="N2970" s="1" t="s">
        <v>18</v>
      </c>
      <c r="O2970" s="1">
        <v>3</v>
      </c>
      <c r="P2970" s="1">
        <v>5</v>
      </c>
      <c r="R2970" s="1" t="s">
        <v>19</v>
      </c>
      <c r="S2970" s="1" t="s">
        <v>20</v>
      </c>
      <c r="T2970" s="1" t="s">
        <v>21</v>
      </c>
      <c r="U2970" s="1" t="s">
        <v>22</v>
      </c>
      <c r="V2970" s="1" t="s">
        <v>23</v>
      </c>
      <c r="W2970" s="1" t="s">
        <v>24</v>
      </c>
      <c r="X2970" s="1">
        <v>2705</v>
      </c>
      <c r="Y2970" s="1">
        <v>2737</v>
      </c>
      <c r="Z2970" s="1" t="s">
        <v>24</v>
      </c>
      <c r="AA2970" s="1" t="s">
        <v>24</v>
      </c>
      <c r="AB2970" s="1" t="s">
        <v>24</v>
      </c>
      <c r="AC2970" s="1" t="s">
        <v>24</v>
      </c>
      <c r="AD2970" s="1" t="s">
        <v>24</v>
      </c>
      <c r="AE2970" s="1" t="s">
        <v>24</v>
      </c>
      <c r="AF2970" s="22"/>
    </row>
    <row r="2971" spans="1:32" x14ac:dyDescent="0.2">
      <c r="A2971" s="1">
        <v>23582</v>
      </c>
      <c r="B2971" s="1" t="s">
        <v>9331</v>
      </c>
      <c r="C2971" s="5" t="s">
        <v>0</v>
      </c>
      <c r="D2971" s="1" t="s">
        <v>9332</v>
      </c>
      <c r="E2971" s="1" t="s">
        <v>9333</v>
      </c>
      <c r="F2971" s="1" t="s">
        <v>493</v>
      </c>
      <c r="G2971" s="1" t="s">
        <v>98</v>
      </c>
      <c r="H2971" s="1" t="s">
        <v>30</v>
      </c>
      <c r="I2971" s="1" t="s">
        <v>16</v>
      </c>
      <c r="J2971" s="1">
        <v>1</v>
      </c>
      <c r="K2971" s="1">
        <v>6</v>
      </c>
      <c r="L2971" s="1" t="s">
        <v>31</v>
      </c>
      <c r="M2971" s="1" t="s">
        <v>18</v>
      </c>
      <c r="N2971" s="1" t="s">
        <v>18</v>
      </c>
      <c r="O2971" s="1">
        <v>3</v>
      </c>
      <c r="P2971" s="1">
        <v>6</v>
      </c>
      <c r="R2971" s="1" t="s">
        <v>19</v>
      </c>
      <c r="S2971" s="1" t="s">
        <v>20</v>
      </c>
      <c r="T2971" s="1" t="s">
        <v>21</v>
      </c>
      <c r="U2971" s="1" t="s">
        <v>22</v>
      </c>
      <c r="V2971" s="1" t="s">
        <v>23</v>
      </c>
      <c r="W2971" s="1" t="s">
        <v>24</v>
      </c>
      <c r="X2971" s="1">
        <v>2701</v>
      </c>
      <c r="Y2971" s="1">
        <v>2916</v>
      </c>
      <c r="Z2971" s="1" t="s">
        <v>24</v>
      </c>
      <c r="AA2971" s="1" t="s">
        <v>24</v>
      </c>
      <c r="AB2971" s="1" t="s">
        <v>24</v>
      </c>
      <c r="AC2971" s="1" t="s">
        <v>24</v>
      </c>
      <c r="AD2971" s="1" t="s">
        <v>24</v>
      </c>
      <c r="AE2971" s="1" t="s">
        <v>24</v>
      </c>
      <c r="AF2971" s="22"/>
    </row>
    <row r="2972" spans="1:32" x14ac:dyDescent="0.2">
      <c r="A2972" s="1">
        <v>23584</v>
      </c>
      <c r="B2972" s="1" t="s">
        <v>9334</v>
      </c>
      <c r="C2972" s="5" t="s">
        <v>0</v>
      </c>
      <c r="D2972" s="1" t="s">
        <v>9335</v>
      </c>
      <c r="E2972" s="1" t="s">
        <v>9336</v>
      </c>
      <c r="F2972" s="1" t="s">
        <v>8040</v>
      </c>
      <c r="G2972" s="1" t="s">
        <v>8041</v>
      </c>
      <c r="H2972" s="1" t="s">
        <v>37</v>
      </c>
      <c r="I2972" s="1" t="s">
        <v>16</v>
      </c>
      <c r="J2972" s="1">
        <v>1</v>
      </c>
      <c r="K2972" s="1">
        <v>6</v>
      </c>
      <c r="L2972" s="1" t="s">
        <v>31</v>
      </c>
      <c r="M2972" s="1" t="s">
        <v>18</v>
      </c>
      <c r="N2972" s="1" t="s">
        <v>18</v>
      </c>
      <c r="O2972" s="1">
        <v>3</v>
      </c>
      <c r="P2972" s="1">
        <v>6</v>
      </c>
      <c r="R2972" s="1" t="s">
        <v>19</v>
      </c>
      <c r="S2972" s="1" t="s">
        <v>20</v>
      </c>
      <c r="T2972" s="1" t="s">
        <v>21</v>
      </c>
      <c r="U2972" s="1" t="s">
        <v>22</v>
      </c>
      <c r="V2972" s="1" t="s">
        <v>23</v>
      </c>
      <c r="W2972" s="1" t="s">
        <v>24</v>
      </c>
      <c r="X2972" s="1">
        <v>2718</v>
      </c>
      <c r="Y2972" s="1">
        <v>2911</v>
      </c>
      <c r="Z2972" s="1" t="s">
        <v>24</v>
      </c>
      <c r="AA2972" s="1" t="s">
        <v>24</v>
      </c>
      <c r="AB2972" s="1" t="s">
        <v>24</v>
      </c>
      <c r="AC2972" s="1" t="s">
        <v>24</v>
      </c>
      <c r="AD2972" s="1" t="s">
        <v>24</v>
      </c>
      <c r="AE2972" s="1" t="s">
        <v>24</v>
      </c>
      <c r="AF2972" s="22"/>
    </row>
    <row r="2973" spans="1:32" x14ac:dyDescent="0.2">
      <c r="A2973" s="1">
        <v>23588</v>
      </c>
      <c r="B2973" s="1" t="s">
        <v>9337</v>
      </c>
      <c r="C2973" s="5" t="s">
        <v>0</v>
      </c>
      <c r="D2973" s="1" t="s">
        <v>9338</v>
      </c>
      <c r="E2973" s="1" t="s">
        <v>9339</v>
      </c>
      <c r="F2973" s="1" t="s">
        <v>8040</v>
      </c>
      <c r="G2973" s="1" t="s">
        <v>8041</v>
      </c>
      <c r="H2973" s="1" t="s">
        <v>111</v>
      </c>
      <c r="I2973" s="1" t="s">
        <v>16</v>
      </c>
      <c r="J2973" s="1">
        <v>1</v>
      </c>
      <c r="K2973" s="1">
        <v>4</v>
      </c>
      <c r="L2973" s="1" t="s">
        <v>31</v>
      </c>
      <c r="M2973" s="1" t="s">
        <v>18</v>
      </c>
      <c r="N2973" s="1" t="s">
        <v>18</v>
      </c>
      <c r="O2973" s="1">
        <v>3</v>
      </c>
      <c r="P2973" s="1">
        <v>6</v>
      </c>
      <c r="R2973" s="1" t="s">
        <v>19</v>
      </c>
      <c r="S2973" s="1" t="s">
        <v>20</v>
      </c>
      <c r="T2973" s="1" t="s">
        <v>21</v>
      </c>
      <c r="U2973" s="1" t="s">
        <v>22</v>
      </c>
      <c r="V2973" s="1" t="s">
        <v>23</v>
      </c>
      <c r="W2973" s="1" t="s">
        <v>24</v>
      </c>
      <c r="X2973" s="1">
        <v>2711</v>
      </c>
      <c r="Y2973" s="1" t="s">
        <v>24</v>
      </c>
      <c r="Z2973" s="1" t="s">
        <v>24</v>
      </c>
      <c r="AA2973" s="1" t="s">
        <v>24</v>
      </c>
      <c r="AB2973" s="1" t="s">
        <v>24</v>
      </c>
      <c r="AC2973" s="1" t="s">
        <v>24</v>
      </c>
      <c r="AD2973" s="1" t="s">
        <v>24</v>
      </c>
      <c r="AE2973" s="1" t="s">
        <v>24</v>
      </c>
      <c r="AF2973" s="22"/>
    </row>
    <row r="2974" spans="1:32" x14ac:dyDescent="0.2">
      <c r="A2974" s="1">
        <v>23682</v>
      </c>
      <c r="B2974" s="1" t="s">
        <v>9340</v>
      </c>
      <c r="C2974" s="5" t="s">
        <v>0</v>
      </c>
      <c r="D2974" s="1" t="s">
        <v>9341</v>
      </c>
      <c r="E2974" s="1" t="s">
        <v>9342</v>
      </c>
      <c r="F2974" s="1" t="s">
        <v>85</v>
      </c>
      <c r="G2974" s="1" t="s">
        <v>61</v>
      </c>
      <c r="H2974" s="1" t="s">
        <v>86</v>
      </c>
      <c r="I2974" s="1" t="s">
        <v>16</v>
      </c>
      <c r="J2974" s="1">
        <v>1</v>
      </c>
      <c r="K2974" s="1">
        <v>12</v>
      </c>
      <c r="L2974" s="1" t="s">
        <v>31</v>
      </c>
      <c r="M2974" s="1" t="s">
        <v>199</v>
      </c>
      <c r="N2974" s="1" t="s">
        <v>18</v>
      </c>
      <c r="O2974" s="1">
        <v>2</v>
      </c>
      <c r="P2974" s="1">
        <v>5</v>
      </c>
      <c r="R2974" s="1" t="s">
        <v>19</v>
      </c>
      <c r="S2974" s="1" t="s">
        <v>20</v>
      </c>
      <c r="T2974" s="1" t="s">
        <v>21</v>
      </c>
      <c r="U2974" s="1" t="s">
        <v>22</v>
      </c>
      <c r="V2974" s="1" t="s">
        <v>24</v>
      </c>
      <c r="W2974" s="1" t="s">
        <v>24</v>
      </c>
      <c r="X2974" s="1">
        <v>1100</v>
      </c>
      <c r="Y2974" s="1">
        <v>1300</v>
      </c>
      <c r="Z2974" s="1">
        <v>2400</v>
      </c>
      <c r="AA2974" s="1">
        <v>2700</v>
      </c>
      <c r="AB2974" s="1" t="s">
        <v>24</v>
      </c>
      <c r="AC2974" s="1" t="s">
        <v>24</v>
      </c>
      <c r="AD2974" s="1" t="s">
        <v>24</v>
      </c>
      <c r="AE2974" s="1" t="s">
        <v>24</v>
      </c>
      <c r="AF2974" s="22"/>
    </row>
    <row r="2975" spans="1:32" x14ac:dyDescent="0.2">
      <c r="A2975" s="1">
        <v>23701</v>
      </c>
      <c r="B2975" s="1" t="s">
        <v>9343</v>
      </c>
      <c r="C2975" s="5" t="s">
        <v>0</v>
      </c>
      <c r="D2975" s="1" t="s">
        <v>9344</v>
      </c>
      <c r="E2975" s="1" t="s">
        <v>9345</v>
      </c>
      <c r="F2975" s="1" t="s">
        <v>291</v>
      </c>
      <c r="G2975" s="1" t="s">
        <v>292</v>
      </c>
      <c r="H2975" s="1" t="s">
        <v>37</v>
      </c>
      <c r="I2975" s="1" t="s">
        <v>16</v>
      </c>
      <c r="J2975" s="1">
        <v>1</v>
      </c>
      <c r="K2975" s="1">
        <v>18</v>
      </c>
      <c r="L2975" s="1" t="s">
        <v>31</v>
      </c>
      <c r="M2975" s="1" t="s">
        <v>18</v>
      </c>
      <c r="N2975" s="1" t="s">
        <v>18</v>
      </c>
      <c r="O2975" s="1">
        <v>3</v>
      </c>
      <c r="P2975" s="1">
        <v>7</v>
      </c>
      <c r="Q2975" s="7" t="s">
        <v>17633</v>
      </c>
      <c r="R2975" s="1" t="s">
        <v>19</v>
      </c>
      <c r="S2975" s="1" t="s">
        <v>20</v>
      </c>
      <c r="T2975" s="1" t="s">
        <v>21</v>
      </c>
      <c r="U2975" s="1" t="s">
        <v>22</v>
      </c>
      <c r="V2975" s="1" t="s">
        <v>23</v>
      </c>
      <c r="W2975" s="1" t="s">
        <v>24</v>
      </c>
      <c r="X2975" s="1">
        <v>2735</v>
      </c>
      <c r="Y2975" s="1">
        <v>2729</v>
      </c>
      <c r="Z2975" s="1" t="s">
        <v>24</v>
      </c>
      <c r="AA2975" s="1" t="s">
        <v>24</v>
      </c>
      <c r="AB2975" s="1" t="s">
        <v>24</v>
      </c>
      <c r="AC2975" s="1" t="s">
        <v>24</v>
      </c>
      <c r="AD2975" s="1" t="s">
        <v>24</v>
      </c>
      <c r="AE2975" s="1" t="s">
        <v>24</v>
      </c>
      <c r="AF2975" s="22"/>
    </row>
    <row r="2976" spans="1:32" x14ac:dyDescent="0.2">
      <c r="A2976" s="1">
        <v>23702</v>
      </c>
      <c r="B2976" s="1" t="s">
        <v>9346</v>
      </c>
      <c r="C2976" s="5" t="s">
        <v>0</v>
      </c>
      <c r="D2976" s="1" t="s">
        <v>9347</v>
      </c>
      <c r="E2976" s="1" t="s">
        <v>9348</v>
      </c>
      <c r="F2976" s="1" t="s">
        <v>35</v>
      </c>
      <c r="G2976" s="1" t="s">
        <v>36</v>
      </c>
      <c r="H2976" s="1" t="s">
        <v>37</v>
      </c>
      <c r="I2976" s="1" t="s">
        <v>16</v>
      </c>
      <c r="J2976" s="1">
        <v>1</v>
      </c>
      <c r="K2976" s="1">
        <v>12</v>
      </c>
      <c r="L2976" s="1" t="s">
        <v>31</v>
      </c>
      <c r="M2976" s="1" t="s">
        <v>18</v>
      </c>
      <c r="N2976" s="1" t="s">
        <v>18</v>
      </c>
      <c r="O2976" s="1">
        <v>3</v>
      </c>
      <c r="P2976" s="1">
        <v>8</v>
      </c>
      <c r="Q2976" s="7" t="s">
        <v>17633</v>
      </c>
      <c r="R2976" s="1" t="s">
        <v>19</v>
      </c>
      <c r="S2976" s="1" t="s">
        <v>20</v>
      </c>
      <c r="T2976" s="1" t="s">
        <v>21</v>
      </c>
      <c r="U2976" s="1" t="s">
        <v>22</v>
      </c>
      <c r="V2976" s="1" t="s">
        <v>23</v>
      </c>
      <c r="W2976" s="1" t="s">
        <v>24</v>
      </c>
      <c r="X2976" s="1">
        <v>2729</v>
      </c>
      <c r="Y2976" s="1" t="s">
        <v>24</v>
      </c>
      <c r="Z2976" s="1" t="s">
        <v>24</v>
      </c>
      <c r="AA2976" s="1" t="s">
        <v>24</v>
      </c>
      <c r="AB2976" s="1" t="s">
        <v>24</v>
      </c>
      <c r="AC2976" s="1" t="s">
        <v>24</v>
      </c>
      <c r="AD2976" s="1" t="s">
        <v>24</v>
      </c>
      <c r="AE2976" s="1" t="s">
        <v>24</v>
      </c>
      <c r="AF2976" s="22"/>
    </row>
    <row r="2977" spans="1:32" x14ac:dyDescent="0.2">
      <c r="A2977" s="1">
        <v>23715</v>
      </c>
      <c r="B2977" s="1" t="s">
        <v>9349</v>
      </c>
      <c r="C2977" s="5" t="s">
        <v>0</v>
      </c>
      <c r="D2977" s="1" t="s">
        <v>9350</v>
      </c>
      <c r="E2977" s="1" t="s">
        <v>9351</v>
      </c>
      <c r="F2977" s="1" t="s">
        <v>291</v>
      </c>
      <c r="G2977" s="1" t="s">
        <v>292</v>
      </c>
      <c r="H2977" s="1" t="s">
        <v>37</v>
      </c>
      <c r="I2977" s="1" t="s">
        <v>16</v>
      </c>
      <c r="J2977" s="1">
        <v>1</v>
      </c>
      <c r="K2977" s="1">
        <v>6</v>
      </c>
      <c r="L2977" s="1" t="s">
        <v>31</v>
      </c>
      <c r="M2977" s="1" t="s">
        <v>18</v>
      </c>
      <c r="N2977" s="1" t="s">
        <v>18</v>
      </c>
      <c r="O2977" s="1">
        <v>3</v>
      </c>
      <c r="P2977" s="1">
        <v>7</v>
      </c>
      <c r="Q2977" s="7" t="s">
        <v>17633</v>
      </c>
      <c r="R2977" s="1" t="s">
        <v>19</v>
      </c>
      <c r="S2977" s="1" t="s">
        <v>20</v>
      </c>
      <c r="T2977" s="1" t="s">
        <v>21</v>
      </c>
      <c r="U2977" s="1" t="s">
        <v>22</v>
      </c>
      <c r="V2977" s="1" t="s">
        <v>24</v>
      </c>
      <c r="W2977" s="1" t="s">
        <v>24</v>
      </c>
      <c r="X2977" s="1">
        <v>1307</v>
      </c>
      <c r="Y2977" s="1">
        <v>1308</v>
      </c>
      <c r="Z2977" s="1" t="s">
        <v>24</v>
      </c>
      <c r="AA2977" s="1" t="s">
        <v>24</v>
      </c>
      <c r="AB2977" s="1" t="s">
        <v>24</v>
      </c>
      <c r="AC2977" s="1" t="s">
        <v>24</v>
      </c>
      <c r="AD2977" s="1" t="s">
        <v>24</v>
      </c>
      <c r="AE2977" s="1" t="s">
        <v>24</v>
      </c>
      <c r="AF2977" s="22"/>
    </row>
    <row r="2978" spans="1:32" x14ac:dyDescent="0.2">
      <c r="A2978" s="1">
        <v>23733</v>
      </c>
      <c r="B2978" s="1" t="s">
        <v>9352</v>
      </c>
      <c r="C2978" s="5" t="s">
        <v>0</v>
      </c>
      <c r="D2978" s="1" t="s">
        <v>9353</v>
      </c>
      <c r="E2978" s="1" t="s">
        <v>9354</v>
      </c>
      <c r="F2978" s="1" t="s">
        <v>856</v>
      </c>
      <c r="G2978" s="1" t="s">
        <v>857</v>
      </c>
      <c r="H2978" s="1" t="s">
        <v>37</v>
      </c>
      <c r="I2978" s="1" t="s">
        <v>16</v>
      </c>
      <c r="J2978" s="1">
        <v>1</v>
      </c>
      <c r="K2978" s="1">
        <v>4</v>
      </c>
      <c r="L2978" s="1" t="s">
        <v>42</v>
      </c>
      <c r="M2978" s="1" t="s">
        <v>18</v>
      </c>
      <c r="N2978" s="1" t="s">
        <v>18</v>
      </c>
      <c r="O2978" s="1">
        <v>3</v>
      </c>
      <c r="P2978" s="1">
        <v>6</v>
      </c>
      <c r="R2978" s="1" t="s">
        <v>19</v>
      </c>
      <c r="S2978" s="1" t="s">
        <v>20</v>
      </c>
      <c r="T2978" s="1" t="s">
        <v>21</v>
      </c>
      <c r="U2978" s="1" t="s">
        <v>22</v>
      </c>
      <c r="V2978" s="1" t="s">
        <v>23</v>
      </c>
      <c r="W2978" s="1" t="s">
        <v>24</v>
      </c>
      <c r="X2978" s="1">
        <v>2728</v>
      </c>
      <c r="Y2978" s="1" t="s">
        <v>24</v>
      </c>
      <c r="Z2978" s="1" t="s">
        <v>24</v>
      </c>
      <c r="AA2978" s="1" t="s">
        <v>24</v>
      </c>
      <c r="AB2978" s="1" t="s">
        <v>24</v>
      </c>
      <c r="AC2978" s="1" t="s">
        <v>24</v>
      </c>
      <c r="AD2978" s="1" t="s">
        <v>24</v>
      </c>
      <c r="AE2978" s="1" t="s">
        <v>24</v>
      </c>
      <c r="AF2978" s="22"/>
    </row>
    <row r="2979" spans="1:32" x14ac:dyDescent="0.2">
      <c r="A2979" s="1">
        <v>23735</v>
      </c>
      <c r="B2979" s="1" t="s">
        <v>9355</v>
      </c>
      <c r="C2979" s="5" t="s">
        <v>0</v>
      </c>
      <c r="D2979" s="1" t="s">
        <v>9356</v>
      </c>
      <c r="E2979" s="1" t="s">
        <v>9357</v>
      </c>
      <c r="F2979" s="1" t="s">
        <v>272</v>
      </c>
      <c r="G2979" s="1" t="s">
        <v>61</v>
      </c>
      <c r="H2979" s="1" t="s">
        <v>30</v>
      </c>
      <c r="I2979" s="1" t="s">
        <v>16</v>
      </c>
      <c r="J2979" s="1">
        <v>1</v>
      </c>
      <c r="K2979" s="1">
        <v>4</v>
      </c>
      <c r="L2979" s="1" t="s">
        <v>31</v>
      </c>
      <c r="M2979" s="1" t="s">
        <v>18</v>
      </c>
      <c r="N2979" s="1" t="s">
        <v>18</v>
      </c>
      <c r="O2979" s="1">
        <v>3</v>
      </c>
      <c r="P2979" s="1">
        <v>7</v>
      </c>
      <c r="Q2979" s="7" t="s">
        <v>17633</v>
      </c>
      <c r="R2979" s="1" t="s">
        <v>19</v>
      </c>
      <c r="S2979" s="1" t="s">
        <v>20</v>
      </c>
      <c r="T2979" s="1" t="s">
        <v>21</v>
      </c>
      <c r="U2979" s="1" t="s">
        <v>22</v>
      </c>
      <c r="V2979" s="1" t="s">
        <v>23</v>
      </c>
      <c r="W2979" s="1" t="s">
        <v>24</v>
      </c>
      <c r="X2979" s="1">
        <v>2730</v>
      </c>
      <c r="Y2979" s="1">
        <v>2741</v>
      </c>
      <c r="Z2979" s="1" t="s">
        <v>24</v>
      </c>
      <c r="AA2979" s="1" t="s">
        <v>24</v>
      </c>
      <c r="AB2979" s="1" t="s">
        <v>24</v>
      </c>
      <c r="AC2979" s="1" t="s">
        <v>24</v>
      </c>
      <c r="AD2979" s="1" t="s">
        <v>24</v>
      </c>
      <c r="AE2979" s="1" t="s">
        <v>24</v>
      </c>
      <c r="AF2979" s="22"/>
    </row>
    <row r="2980" spans="1:32" x14ac:dyDescent="0.2">
      <c r="A2980" s="1">
        <v>23736</v>
      </c>
      <c r="B2980" s="1" t="s">
        <v>9358</v>
      </c>
      <c r="C2980" s="5" t="s">
        <v>0</v>
      </c>
      <c r="D2980" s="1" t="s">
        <v>9359</v>
      </c>
      <c r="F2980" s="1" t="s">
        <v>91</v>
      </c>
      <c r="G2980" s="1" t="s">
        <v>61</v>
      </c>
      <c r="H2980" s="1" t="s">
        <v>731</v>
      </c>
      <c r="I2980" s="1" t="s">
        <v>16</v>
      </c>
      <c r="J2980" s="1">
        <v>1</v>
      </c>
      <c r="K2980" s="1">
        <v>4</v>
      </c>
      <c r="L2980" s="1" t="s">
        <v>31</v>
      </c>
      <c r="M2980" s="1" t="s">
        <v>18</v>
      </c>
      <c r="N2980" s="1" t="s">
        <v>18</v>
      </c>
      <c r="O2980" s="1">
        <v>3</v>
      </c>
      <c r="P2980" s="1">
        <v>6</v>
      </c>
      <c r="R2980" s="1" t="s">
        <v>19</v>
      </c>
      <c r="S2980" s="1" t="s">
        <v>20</v>
      </c>
      <c r="T2980" s="1" t="s">
        <v>21</v>
      </c>
      <c r="U2980" s="1" t="s">
        <v>22</v>
      </c>
      <c r="V2980" s="1" t="s">
        <v>23</v>
      </c>
      <c r="W2980" s="1" t="s">
        <v>24</v>
      </c>
      <c r="X2980" s="1">
        <v>2724</v>
      </c>
      <c r="Y2980" s="1">
        <v>1310</v>
      </c>
      <c r="Z2980" s="1">
        <v>2712</v>
      </c>
      <c r="AA2980" s="1" t="s">
        <v>24</v>
      </c>
      <c r="AB2980" s="1" t="s">
        <v>24</v>
      </c>
      <c r="AC2980" s="1" t="s">
        <v>24</v>
      </c>
      <c r="AD2980" s="1" t="s">
        <v>24</v>
      </c>
      <c r="AE2980" s="1" t="s">
        <v>24</v>
      </c>
      <c r="AF2980" s="22" t="s">
        <v>17674</v>
      </c>
    </row>
    <row r="2981" spans="1:32" x14ac:dyDescent="0.2">
      <c r="A2981" s="1">
        <v>23737</v>
      </c>
      <c r="B2981" s="1" t="s">
        <v>9360</v>
      </c>
      <c r="C2981" s="5" t="s">
        <v>0</v>
      </c>
      <c r="D2981" s="1" t="s">
        <v>9361</v>
      </c>
      <c r="F2981" s="1" t="s">
        <v>9362</v>
      </c>
      <c r="G2981" s="1" t="s">
        <v>9363</v>
      </c>
      <c r="H2981" s="1" t="s">
        <v>1660</v>
      </c>
      <c r="I2981" s="1" t="s">
        <v>16</v>
      </c>
      <c r="J2981" s="1">
        <v>1</v>
      </c>
      <c r="K2981" s="1">
        <v>4</v>
      </c>
      <c r="L2981" s="1" t="s">
        <v>17</v>
      </c>
      <c r="M2981" s="1" t="s">
        <v>199</v>
      </c>
      <c r="N2981" s="1" t="s">
        <v>105</v>
      </c>
      <c r="O2981" s="1">
        <v>3</v>
      </c>
      <c r="P2981" s="1">
        <v>6</v>
      </c>
      <c r="R2981" s="1" t="s">
        <v>19</v>
      </c>
      <c r="S2981" s="1" t="s">
        <v>20</v>
      </c>
      <c r="T2981" s="1" t="s">
        <v>21</v>
      </c>
      <c r="U2981" s="1" t="s">
        <v>22</v>
      </c>
      <c r="V2981" s="1" t="s">
        <v>24</v>
      </c>
      <c r="W2981" s="1" t="s">
        <v>24</v>
      </c>
      <c r="X2981" s="1">
        <v>2700</v>
      </c>
      <c r="Y2981" s="1" t="s">
        <v>24</v>
      </c>
      <c r="Z2981" s="1" t="s">
        <v>24</v>
      </c>
      <c r="AA2981" s="1" t="s">
        <v>24</v>
      </c>
      <c r="AB2981" s="1" t="s">
        <v>24</v>
      </c>
      <c r="AC2981" s="1" t="s">
        <v>24</v>
      </c>
      <c r="AD2981" s="1" t="s">
        <v>24</v>
      </c>
      <c r="AE2981" s="1" t="s">
        <v>24</v>
      </c>
      <c r="AF2981" s="22"/>
    </row>
    <row r="2982" spans="1:32" x14ac:dyDescent="0.2">
      <c r="A2982" s="1">
        <v>23738</v>
      </c>
      <c r="B2982" s="1" t="s">
        <v>9364</v>
      </c>
      <c r="C2982" s="5" t="s">
        <v>0</v>
      </c>
      <c r="D2982" s="1" t="s">
        <v>9365</v>
      </c>
      <c r="E2982" s="1" t="s">
        <v>9366</v>
      </c>
      <c r="F2982" s="1" t="s">
        <v>776</v>
      </c>
      <c r="G2982" s="1" t="s">
        <v>777</v>
      </c>
      <c r="H2982" s="1" t="s">
        <v>30</v>
      </c>
      <c r="I2982" s="1" t="s">
        <v>16</v>
      </c>
      <c r="J2982" s="1">
        <v>1</v>
      </c>
      <c r="K2982" s="1">
        <v>12</v>
      </c>
      <c r="L2982" s="1" t="s">
        <v>31</v>
      </c>
      <c r="M2982" s="1" t="s">
        <v>18</v>
      </c>
      <c r="N2982" s="1" t="s">
        <v>18</v>
      </c>
      <c r="O2982" s="1">
        <v>3</v>
      </c>
      <c r="P2982" s="1">
        <v>7</v>
      </c>
      <c r="Q2982" s="7" t="s">
        <v>17633</v>
      </c>
      <c r="R2982" s="1" t="s">
        <v>62</v>
      </c>
      <c r="S2982" s="1" t="s">
        <v>20</v>
      </c>
      <c r="T2982" s="1" t="s">
        <v>21</v>
      </c>
      <c r="U2982" s="1" t="s">
        <v>22</v>
      </c>
      <c r="V2982" s="1" t="s">
        <v>24</v>
      </c>
      <c r="W2982" s="1" t="s">
        <v>24</v>
      </c>
      <c r="X2982" s="1">
        <v>1303</v>
      </c>
      <c r="Y2982" s="1">
        <v>1600</v>
      </c>
      <c r="Z2982" s="1" t="s">
        <v>24</v>
      </c>
      <c r="AA2982" s="1" t="s">
        <v>24</v>
      </c>
      <c r="AB2982" s="1" t="s">
        <v>24</v>
      </c>
      <c r="AC2982" s="1" t="s">
        <v>24</v>
      </c>
      <c r="AD2982" s="1" t="s">
        <v>24</v>
      </c>
      <c r="AE2982" s="1" t="s">
        <v>24</v>
      </c>
      <c r="AF2982" s="22"/>
    </row>
    <row r="2983" spans="1:32" x14ac:dyDescent="0.2">
      <c r="A2983" s="1">
        <v>23740</v>
      </c>
      <c r="B2983" s="1" t="s">
        <v>9367</v>
      </c>
      <c r="C2983" s="5" t="s">
        <v>0</v>
      </c>
      <c r="D2983" s="1" t="s">
        <v>9368</v>
      </c>
      <c r="F2983" s="1" t="s">
        <v>9369</v>
      </c>
      <c r="G2983" s="1" t="s">
        <v>9369</v>
      </c>
      <c r="H2983" s="1" t="s">
        <v>684</v>
      </c>
      <c r="I2983" s="1" t="s">
        <v>16</v>
      </c>
      <c r="J2983" s="1">
        <v>1</v>
      </c>
      <c r="K2983" s="1">
        <v>1</v>
      </c>
      <c r="L2983" s="1" t="s">
        <v>42</v>
      </c>
      <c r="M2983" s="1" t="s">
        <v>9370</v>
      </c>
      <c r="N2983" s="1" t="s">
        <v>685</v>
      </c>
      <c r="O2983" s="1">
        <v>2</v>
      </c>
      <c r="P2983" s="1">
        <v>6</v>
      </c>
      <c r="R2983" s="1" t="s">
        <v>19</v>
      </c>
      <c r="S2983" s="1" t="s">
        <v>20</v>
      </c>
      <c r="T2983" s="1" t="s">
        <v>21</v>
      </c>
      <c r="U2983" s="1" t="s">
        <v>22</v>
      </c>
      <c r="V2983" s="1" t="s">
        <v>24</v>
      </c>
      <c r="W2983" s="1" t="s">
        <v>24</v>
      </c>
      <c r="X2983" s="1">
        <v>2700</v>
      </c>
      <c r="Y2983" s="1" t="s">
        <v>24</v>
      </c>
      <c r="Z2983" s="1" t="s">
        <v>24</v>
      </c>
      <c r="AA2983" s="1" t="s">
        <v>24</v>
      </c>
      <c r="AB2983" s="1" t="s">
        <v>24</v>
      </c>
      <c r="AC2983" s="1" t="s">
        <v>24</v>
      </c>
      <c r="AD2983" s="1" t="s">
        <v>24</v>
      </c>
      <c r="AE2983" s="1" t="s">
        <v>24</v>
      </c>
      <c r="AF2983" s="22"/>
    </row>
    <row r="2984" spans="1:32" x14ac:dyDescent="0.2">
      <c r="A2984" s="1">
        <v>23741</v>
      </c>
      <c r="B2984" s="1" t="s">
        <v>9371</v>
      </c>
      <c r="C2984" s="5" t="s">
        <v>0</v>
      </c>
      <c r="D2984" s="1" t="s">
        <v>9372</v>
      </c>
      <c r="E2984" s="1" t="s">
        <v>9373</v>
      </c>
      <c r="F2984" s="1" t="s">
        <v>28</v>
      </c>
      <c r="G2984" s="1" t="s">
        <v>29</v>
      </c>
      <c r="H2984" s="1" t="s">
        <v>30</v>
      </c>
      <c r="I2984" s="1" t="s">
        <v>16</v>
      </c>
      <c r="J2984" s="1">
        <v>2</v>
      </c>
      <c r="K2984" s="1">
        <v>6</v>
      </c>
      <c r="L2984" s="1" t="s">
        <v>31</v>
      </c>
      <c r="M2984" s="1" t="s">
        <v>18</v>
      </c>
      <c r="N2984" s="1" t="s">
        <v>18</v>
      </c>
      <c r="O2984" s="1">
        <v>3</v>
      </c>
      <c r="P2984" s="1">
        <v>6</v>
      </c>
      <c r="R2984" s="1" t="s">
        <v>62</v>
      </c>
      <c r="S2984" s="1" t="s">
        <v>20</v>
      </c>
      <c r="T2984" s="1" t="s">
        <v>21</v>
      </c>
      <c r="U2984" s="1" t="s">
        <v>22</v>
      </c>
      <c r="V2984" s="1" t="s">
        <v>23</v>
      </c>
      <c r="W2984" s="1" t="s">
        <v>24</v>
      </c>
      <c r="X2984" s="1">
        <v>2706</v>
      </c>
      <c r="Y2984" s="1">
        <v>2711</v>
      </c>
      <c r="Z2984" s="1" t="s">
        <v>24</v>
      </c>
      <c r="AA2984" s="1" t="s">
        <v>24</v>
      </c>
      <c r="AB2984" s="1" t="s">
        <v>24</v>
      </c>
      <c r="AC2984" s="1" t="s">
        <v>24</v>
      </c>
      <c r="AD2984" s="1" t="s">
        <v>24</v>
      </c>
      <c r="AE2984" s="1" t="s">
        <v>24</v>
      </c>
      <c r="AF2984" s="22"/>
    </row>
    <row r="2985" spans="1:32" x14ac:dyDescent="0.2">
      <c r="A2985" s="1">
        <v>23742</v>
      </c>
      <c r="B2985" s="1" t="s">
        <v>9374</v>
      </c>
      <c r="C2985" s="5" t="s">
        <v>0</v>
      </c>
      <c r="D2985" s="1" t="s">
        <v>9375</v>
      </c>
      <c r="F2985" s="1" t="s">
        <v>9374</v>
      </c>
      <c r="G2985" s="1" t="s">
        <v>9374</v>
      </c>
      <c r="H2985" s="1" t="s">
        <v>8248</v>
      </c>
      <c r="I2985" s="1" t="s">
        <v>16</v>
      </c>
      <c r="J2985" s="1">
        <v>1</v>
      </c>
      <c r="K2985" s="1">
        <v>6</v>
      </c>
      <c r="L2985" s="1" t="s">
        <v>42</v>
      </c>
      <c r="M2985" s="1" t="s">
        <v>18</v>
      </c>
      <c r="N2985" s="1" t="s">
        <v>18</v>
      </c>
      <c r="O2985" s="1">
        <v>3</v>
      </c>
      <c r="P2985" s="1">
        <v>5</v>
      </c>
      <c r="R2985" s="1" t="s">
        <v>19</v>
      </c>
      <c r="S2985" s="1" t="s">
        <v>20</v>
      </c>
      <c r="T2985" s="1" t="s">
        <v>21</v>
      </c>
      <c r="U2985" s="1" t="s">
        <v>22</v>
      </c>
      <c r="V2985" s="1" t="s">
        <v>24</v>
      </c>
      <c r="W2985" s="1" t="s">
        <v>24</v>
      </c>
      <c r="X2985" s="1">
        <v>2700</v>
      </c>
      <c r="Y2985" s="1" t="s">
        <v>24</v>
      </c>
      <c r="Z2985" s="1" t="s">
        <v>24</v>
      </c>
      <c r="AA2985" s="1" t="s">
        <v>24</v>
      </c>
      <c r="AB2985" s="1" t="s">
        <v>24</v>
      </c>
      <c r="AC2985" s="1" t="s">
        <v>24</v>
      </c>
      <c r="AD2985" s="1" t="s">
        <v>24</v>
      </c>
      <c r="AE2985" s="1" t="s">
        <v>24</v>
      </c>
      <c r="AF2985" s="22"/>
    </row>
    <row r="2986" spans="1:32" x14ac:dyDescent="0.2">
      <c r="A2986" s="1">
        <v>23744</v>
      </c>
      <c r="B2986" s="1" t="s">
        <v>9376</v>
      </c>
      <c r="C2986" s="5" t="s">
        <v>0</v>
      </c>
      <c r="D2986" s="1" t="s">
        <v>9377</v>
      </c>
      <c r="F2986" s="1" t="s">
        <v>948</v>
      </c>
      <c r="G2986" s="1" t="s">
        <v>948</v>
      </c>
      <c r="H2986" s="1" t="s">
        <v>86</v>
      </c>
      <c r="I2986" s="1" t="s">
        <v>16</v>
      </c>
      <c r="J2986" s="1">
        <v>1</v>
      </c>
      <c r="K2986" s="1">
        <v>6</v>
      </c>
      <c r="L2986" s="1" t="s">
        <v>42</v>
      </c>
      <c r="M2986" s="1" t="s">
        <v>87</v>
      </c>
      <c r="N2986" s="1" t="s">
        <v>105</v>
      </c>
      <c r="O2986" s="1">
        <v>3</v>
      </c>
      <c r="P2986" s="1">
        <v>6</v>
      </c>
      <c r="R2986" s="1" t="s">
        <v>19</v>
      </c>
      <c r="S2986" s="1" t="s">
        <v>20</v>
      </c>
      <c r="T2986" s="1" t="s">
        <v>21</v>
      </c>
      <c r="U2986" s="1" t="s">
        <v>22</v>
      </c>
      <c r="V2986" s="1" t="s">
        <v>24</v>
      </c>
      <c r="W2986" s="1" t="s">
        <v>24</v>
      </c>
      <c r="X2986" s="1">
        <v>2739</v>
      </c>
      <c r="Y2986" s="1">
        <v>2307</v>
      </c>
      <c r="Z2986" s="1" t="s">
        <v>24</v>
      </c>
      <c r="AA2986" s="1" t="s">
        <v>24</v>
      </c>
      <c r="AB2986" s="1" t="s">
        <v>24</v>
      </c>
      <c r="AC2986" s="1" t="s">
        <v>24</v>
      </c>
      <c r="AD2986" s="1" t="s">
        <v>24</v>
      </c>
      <c r="AE2986" s="1" t="s">
        <v>24</v>
      </c>
      <c r="AF2986" s="22"/>
    </row>
    <row r="2987" spans="1:32" x14ac:dyDescent="0.2">
      <c r="A2987" s="1">
        <v>23745</v>
      </c>
      <c r="B2987" s="1" t="s">
        <v>9378</v>
      </c>
      <c r="C2987" s="5" t="s">
        <v>0</v>
      </c>
      <c r="D2987" s="1" t="s">
        <v>9379</v>
      </c>
      <c r="E2987" s="1" t="s">
        <v>9380</v>
      </c>
      <c r="F2987" s="1" t="s">
        <v>55</v>
      </c>
      <c r="G2987" s="1" t="s">
        <v>56</v>
      </c>
      <c r="H2987" s="1" t="s">
        <v>37</v>
      </c>
      <c r="I2987" s="1" t="s">
        <v>16</v>
      </c>
      <c r="J2987" s="1">
        <v>0</v>
      </c>
      <c r="K2987" s="1">
        <v>0</v>
      </c>
      <c r="L2987" s="1" t="s">
        <v>31</v>
      </c>
      <c r="M2987" s="1" t="s">
        <v>18</v>
      </c>
      <c r="N2987" s="1" t="s">
        <v>18</v>
      </c>
      <c r="O2987" s="1">
        <v>0</v>
      </c>
      <c r="P2987" s="1">
        <v>7</v>
      </c>
      <c r="Q2987" s="7" t="s">
        <v>17633</v>
      </c>
      <c r="R2987" s="1" t="s">
        <v>19</v>
      </c>
      <c r="S2987" s="1" t="s">
        <v>20</v>
      </c>
      <c r="T2987" s="1" t="s">
        <v>21</v>
      </c>
      <c r="U2987" s="1" t="s">
        <v>22</v>
      </c>
      <c r="V2987" s="1" t="s">
        <v>24</v>
      </c>
      <c r="W2987" s="1" t="s">
        <v>24</v>
      </c>
      <c r="X2987" s="1">
        <v>2729</v>
      </c>
      <c r="Y2987" s="1">
        <v>2743</v>
      </c>
      <c r="Z2987" s="1" t="s">
        <v>24</v>
      </c>
      <c r="AA2987" s="1" t="s">
        <v>24</v>
      </c>
      <c r="AB2987" s="1" t="s">
        <v>24</v>
      </c>
      <c r="AC2987" s="1" t="s">
        <v>24</v>
      </c>
      <c r="AD2987" s="1" t="s">
        <v>24</v>
      </c>
      <c r="AE2987" s="1" t="s">
        <v>24</v>
      </c>
      <c r="AF2987" s="22"/>
    </row>
    <row r="2988" spans="1:32" x14ac:dyDescent="0.2">
      <c r="A2988" s="1">
        <v>23748</v>
      </c>
      <c r="B2988" s="1" t="s">
        <v>9381</v>
      </c>
      <c r="C2988" s="5" t="s">
        <v>0</v>
      </c>
      <c r="D2988" s="1" t="s">
        <v>9382</v>
      </c>
      <c r="E2988" s="1" t="s">
        <v>9383</v>
      </c>
      <c r="F2988" s="1" t="s">
        <v>217</v>
      </c>
      <c r="G2988" s="1" t="s">
        <v>130</v>
      </c>
      <c r="H2988" s="1" t="s">
        <v>92</v>
      </c>
      <c r="I2988" s="1" t="s">
        <v>16</v>
      </c>
      <c r="J2988" s="1">
        <v>1</v>
      </c>
      <c r="K2988" s="1">
        <v>3</v>
      </c>
      <c r="L2988" s="1" t="s">
        <v>31</v>
      </c>
      <c r="M2988" s="1" t="s">
        <v>18</v>
      </c>
      <c r="N2988" s="1" t="s">
        <v>18</v>
      </c>
      <c r="O2988" s="1">
        <v>3</v>
      </c>
      <c r="P2988" s="1">
        <v>7</v>
      </c>
      <c r="Q2988" s="7" t="s">
        <v>17633</v>
      </c>
      <c r="R2988" s="1" t="s">
        <v>19</v>
      </c>
      <c r="S2988" s="1" t="s">
        <v>20</v>
      </c>
      <c r="T2988" s="1" t="s">
        <v>21</v>
      </c>
      <c r="U2988" s="1" t="s">
        <v>22</v>
      </c>
      <c r="V2988" s="1" t="s">
        <v>24</v>
      </c>
      <c r="W2988" s="1" t="s">
        <v>24</v>
      </c>
      <c r="X2988" s="1">
        <v>1110</v>
      </c>
      <c r="Y2988" s="1">
        <v>1305</v>
      </c>
      <c r="Z2988" s="1" t="s">
        <v>24</v>
      </c>
      <c r="AA2988" s="1" t="s">
        <v>24</v>
      </c>
      <c r="AB2988" s="1" t="s">
        <v>24</v>
      </c>
      <c r="AC2988" s="1" t="s">
        <v>24</v>
      </c>
      <c r="AD2988" s="1" t="s">
        <v>24</v>
      </c>
      <c r="AE2988" s="1" t="s">
        <v>24</v>
      </c>
      <c r="AF2988" s="22"/>
    </row>
    <row r="2989" spans="1:32" x14ac:dyDescent="0.2">
      <c r="A2989" s="1">
        <v>23749</v>
      </c>
      <c r="B2989" s="1" t="s">
        <v>9384</v>
      </c>
      <c r="C2989" s="5" t="s">
        <v>0</v>
      </c>
      <c r="D2989" s="1" t="s">
        <v>9385</v>
      </c>
      <c r="F2989" s="1" t="s">
        <v>9386</v>
      </c>
      <c r="G2989" s="1" t="s">
        <v>9386</v>
      </c>
      <c r="H2989" s="1" t="s">
        <v>37</v>
      </c>
      <c r="I2989" s="1" t="s">
        <v>16</v>
      </c>
      <c r="J2989" s="1">
        <v>1</v>
      </c>
      <c r="K2989" s="1">
        <v>4</v>
      </c>
      <c r="L2989" s="1" t="s">
        <v>42</v>
      </c>
      <c r="M2989" s="1" t="s">
        <v>18</v>
      </c>
      <c r="N2989" s="1" t="s">
        <v>18</v>
      </c>
      <c r="O2989" s="1">
        <v>3</v>
      </c>
      <c r="P2989" s="1">
        <v>6</v>
      </c>
      <c r="R2989" s="1" t="s">
        <v>19</v>
      </c>
      <c r="S2989" s="1" t="s">
        <v>20</v>
      </c>
      <c r="T2989" s="1" t="s">
        <v>21</v>
      </c>
      <c r="U2989" s="1" t="s">
        <v>22</v>
      </c>
      <c r="V2989" s="1" t="s">
        <v>24</v>
      </c>
      <c r="W2989" s="1" t="s">
        <v>24</v>
      </c>
      <c r="X2989" s="1">
        <v>2700</v>
      </c>
      <c r="Y2989" s="1" t="s">
        <v>24</v>
      </c>
      <c r="Z2989" s="1" t="s">
        <v>24</v>
      </c>
      <c r="AA2989" s="1" t="s">
        <v>24</v>
      </c>
      <c r="AB2989" s="1" t="s">
        <v>24</v>
      </c>
      <c r="AC2989" s="1" t="s">
        <v>24</v>
      </c>
      <c r="AD2989" s="1" t="s">
        <v>24</v>
      </c>
      <c r="AE2989" s="1" t="s">
        <v>24</v>
      </c>
      <c r="AF2989" s="22"/>
    </row>
    <row r="2990" spans="1:32" x14ac:dyDescent="0.2">
      <c r="A2990" s="1">
        <v>23750</v>
      </c>
      <c r="B2990" s="1" t="s">
        <v>9387</v>
      </c>
      <c r="C2990" s="5" t="s">
        <v>0</v>
      </c>
      <c r="D2990" s="1" t="s">
        <v>9388</v>
      </c>
      <c r="F2990" s="1" t="s">
        <v>7404</v>
      </c>
      <c r="G2990" s="1" t="s">
        <v>7404</v>
      </c>
      <c r="H2990" s="1" t="s">
        <v>86</v>
      </c>
      <c r="I2990" s="1" t="s">
        <v>16</v>
      </c>
      <c r="J2990" s="1">
        <v>1</v>
      </c>
      <c r="K2990" s="1">
        <v>4</v>
      </c>
      <c r="L2990" s="1" t="s">
        <v>42</v>
      </c>
      <c r="M2990" s="1" t="s">
        <v>18</v>
      </c>
      <c r="N2990" s="1" t="s">
        <v>18</v>
      </c>
      <c r="O2990" s="1">
        <v>3</v>
      </c>
      <c r="P2990" s="1">
        <v>5</v>
      </c>
      <c r="R2990" s="1" t="s">
        <v>19</v>
      </c>
      <c r="S2990" s="1" t="s">
        <v>20</v>
      </c>
      <c r="T2990" s="1" t="s">
        <v>21</v>
      </c>
      <c r="U2990" s="1" t="s">
        <v>22</v>
      </c>
      <c r="V2990" s="1" t="s">
        <v>24</v>
      </c>
      <c r="W2990" s="1" t="s">
        <v>24</v>
      </c>
      <c r="X2990" s="1">
        <v>2705</v>
      </c>
      <c r="Y2990" s="1" t="s">
        <v>24</v>
      </c>
      <c r="Z2990" s="1" t="s">
        <v>24</v>
      </c>
      <c r="AA2990" s="1" t="s">
        <v>24</v>
      </c>
      <c r="AB2990" s="1" t="s">
        <v>24</v>
      </c>
      <c r="AC2990" s="1" t="s">
        <v>24</v>
      </c>
      <c r="AD2990" s="1" t="s">
        <v>24</v>
      </c>
      <c r="AE2990" s="1" t="s">
        <v>24</v>
      </c>
      <c r="AF2990" s="22"/>
    </row>
    <row r="2991" spans="1:32" x14ac:dyDescent="0.2">
      <c r="A2991" s="1">
        <v>23751</v>
      </c>
      <c r="B2991" s="1" t="s">
        <v>9389</v>
      </c>
      <c r="C2991" s="5" t="s">
        <v>0</v>
      </c>
      <c r="D2991" s="1" t="s">
        <v>9390</v>
      </c>
      <c r="F2991" s="1" t="s">
        <v>7404</v>
      </c>
      <c r="G2991" s="1" t="s">
        <v>7404</v>
      </c>
      <c r="H2991" s="1" t="s">
        <v>86</v>
      </c>
      <c r="I2991" s="1" t="s">
        <v>16</v>
      </c>
      <c r="J2991" s="1">
        <v>1</v>
      </c>
      <c r="K2991" s="1">
        <v>4</v>
      </c>
      <c r="L2991" s="1" t="s">
        <v>42</v>
      </c>
      <c r="M2991" s="1" t="s">
        <v>18</v>
      </c>
      <c r="N2991" s="1" t="s">
        <v>105</v>
      </c>
      <c r="O2991" s="1">
        <v>3</v>
      </c>
      <c r="P2991" s="1">
        <v>6</v>
      </c>
      <c r="R2991" s="1" t="s">
        <v>19</v>
      </c>
      <c r="S2991" s="1" t="s">
        <v>20</v>
      </c>
      <c r="T2991" s="1" t="s">
        <v>21</v>
      </c>
      <c r="U2991" s="1" t="s">
        <v>22</v>
      </c>
      <c r="V2991" s="1" t="s">
        <v>24</v>
      </c>
      <c r="W2991" s="1" t="s">
        <v>24</v>
      </c>
      <c r="X2991" s="1">
        <v>2738</v>
      </c>
      <c r="Y2991" s="1">
        <v>2803</v>
      </c>
      <c r="Z2991" s="1" t="s">
        <v>24</v>
      </c>
      <c r="AA2991" s="1" t="s">
        <v>24</v>
      </c>
      <c r="AB2991" s="1" t="s">
        <v>24</v>
      </c>
      <c r="AC2991" s="1" t="s">
        <v>24</v>
      </c>
      <c r="AD2991" s="1" t="s">
        <v>24</v>
      </c>
      <c r="AE2991" s="1" t="s">
        <v>24</v>
      </c>
      <c r="AF2991" s="22"/>
    </row>
    <row r="2992" spans="1:32" x14ac:dyDescent="0.2">
      <c r="A2992" s="1">
        <v>23752</v>
      </c>
      <c r="B2992" s="1" t="s">
        <v>9391</v>
      </c>
      <c r="C2992" s="5" t="s">
        <v>0</v>
      </c>
      <c r="E2992" s="1" t="s">
        <v>9392</v>
      </c>
      <c r="F2992" s="1" t="s">
        <v>2299</v>
      </c>
      <c r="G2992" s="1" t="s">
        <v>2300</v>
      </c>
      <c r="H2992" s="1" t="s">
        <v>37</v>
      </c>
      <c r="I2992" s="1" t="s">
        <v>16</v>
      </c>
      <c r="J2992" s="1">
        <v>1</v>
      </c>
      <c r="K2992" s="1">
        <v>10</v>
      </c>
      <c r="L2992" s="1" t="s">
        <v>31</v>
      </c>
      <c r="M2992" s="1" t="s">
        <v>18</v>
      </c>
      <c r="N2992" s="1" t="s">
        <v>18</v>
      </c>
      <c r="O2992" s="1">
        <v>3</v>
      </c>
      <c r="P2992" s="1">
        <v>7</v>
      </c>
      <c r="Q2992" s="7" t="s">
        <v>17633</v>
      </c>
      <c r="R2992" s="1" t="s">
        <v>19</v>
      </c>
      <c r="S2992" s="1" t="s">
        <v>63</v>
      </c>
      <c r="T2992" s="1" t="s">
        <v>21</v>
      </c>
      <c r="U2992" s="1" t="s">
        <v>22</v>
      </c>
      <c r="V2992" s="1" t="s">
        <v>24</v>
      </c>
      <c r="W2992" s="1" t="s">
        <v>24</v>
      </c>
      <c r="X2992" s="1">
        <v>1300</v>
      </c>
      <c r="Y2992" s="1">
        <v>1100</v>
      </c>
      <c r="Z2992" s="1" t="s">
        <v>24</v>
      </c>
      <c r="AA2992" s="1" t="s">
        <v>24</v>
      </c>
      <c r="AB2992" s="1" t="s">
        <v>24</v>
      </c>
      <c r="AC2992" s="1" t="s">
        <v>24</v>
      </c>
      <c r="AD2992" s="1" t="s">
        <v>24</v>
      </c>
      <c r="AE2992" s="1" t="s">
        <v>24</v>
      </c>
      <c r="AF2992" s="22"/>
    </row>
    <row r="2993" spans="1:32" x14ac:dyDescent="0.2">
      <c r="A2993" s="1">
        <v>23753</v>
      </c>
      <c r="B2993" s="1" t="s">
        <v>9393</v>
      </c>
      <c r="C2993" s="5" t="s">
        <v>0</v>
      </c>
      <c r="D2993" s="1" t="s">
        <v>9394</v>
      </c>
      <c r="E2993" s="1" t="s">
        <v>9395</v>
      </c>
      <c r="F2993" s="1" t="s">
        <v>367</v>
      </c>
      <c r="G2993" s="1" t="s">
        <v>367</v>
      </c>
      <c r="H2993" s="1" t="s">
        <v>30</v>
      </c>
      <c r="I2993" s="1" t="s">
        <v>16</v>
      </c>
      <c r="J2993" s="1">
        <v>4</v>
      </c>
      <c r="K2993" s="1">
        <v>3</v>
      </c>
      <c r="L2993" s="1" t="s">
        <v>42</v>
      </c>
      <c r="M2993" s="1" t="s">
        <v>18</v>
      </c>
      <c r="N2993" s="1" t="s">
        <v>18</v>
      </c>
      <c r="O2993" s="1">
        <v>3</v>
      </c>
      <c r="P2993" s="1">
        <v>7</v>
      </c>
      <c r="Q2993" s="7" t="s">
        <v>17633</v>
      </c>
      <c r="R2993" s="1" t="s">
        <v>62</v>
      </c>
      <c r="S2993" s="1" t="s">
        <v>20</v>
      </c>
      <c r="T2993" s="1" t="s">
        <v>21</v>
      </c>
      <c r="U2993" s="1" t="s">
        <v>22</v>
      </c>
      <c r="V2993" s="1" t="s">
        <v>24</v>
      </c>
      <c r="W2993" s="1" t="s">
        <v>24</v>
      </c>
      <c r="X2993" s="1">
        <v>1314</v>
      </c>
      <c r="Y2993" s="1">
        <v>1311</v>
      </c>
      <c r="Z2993" s="1" t="s">
        <v>24</v>
      </c>
      <c r="AA2993" s="1" t="s">
        <v>24</v>
      </c>
      <c r="AB2993" s="1" t="s">
        <v>24</v>
      </c>
      <c r="AC2993" s="1" t="s">
        <v>24</v>
      </c>
      <c r="AD2993" s="1" t="s">
        <v>24</v>
      </c>
      <c r="AE2993" s="1" t="s">
        <v>24</v>
      </c>
      <c r="AF2993" s="22"/>
    </row>
    <row r="2994" spans="1:32" x14ac:dyDescent="0.2">
      <c r="A2994" s="1">
        <v>23760</v>
      </c>
      <c r="B2994" s="1" t="s">
        <v>9396</v>
      </c>
      <c r="C2994" s="5" t="s">
        <v>0</v>
      </c>
      <c r="D2994" s="1" t="s">
        <v>9397</v>
      </c>
      <c r="F2994" s="1" t="s">
        <v>9396</v>
      </c>
      <c r="G2994" s="1" t="s">
        <v>9396</v>
      </c>
      <c r="H2994" s="1" t="s">
        <v>30</v>
      </c>
      <c r="I2994" s="1" t="s">
        <v>16</v>
      </c>
      <c r="J2994" s="1">
        <v>1</v>
      </c>
      <c r="K2994" s="1">
        <v>4</v>
      </c>
      <c r="L2994" s="1" t="s">
        <v>42</v>
      </c>
      <c r="M2994" s="1" t="s">
        <v>18</v>
      </c>
      <c r="N2994" s="1" t="s">
        <v>18</v>
      </c>
      <c r="O2994" s="1">
        <v>3</v>
      </c>
      <c r="P2994" s="1">
        <v>6</v>
      </c>
      <c r="R2994" s="1" t="s">
        <v>19</v>
      </c>
      <c r="S2994" s="1" t="s">
        <v>20</v>
      </c>
      <c r="T2994" s="1" t="s">
        <v>21</v>
      </c>
      <c r="U2994" s="1" t="s">
        <v>22</v>
      </c>
      <c r="V2994" s="1" t="s">
        <v>23</v>
      </c>
      <c r="W2994" s="1" t="s">
        <v>24</v>
      </c>
      <c r="X2994" s="1">
        <v>2700</v>
      </c>
      <c r="Y2994" s="1">
        <v>2736</v>
      </c>
      <c r="Z2994" s="1">
        <v>3004</v>
      </c>
      <c r="AA2994" s="1" t="s">
        <v>24</v>
      </c>
      <c r="AB2994" s="1" t="s">
        <v>24</v>
      </c>
      <c r="AC2994" s="1" t="s">
        <v>24</v>
      </c>
      <c r="AD2994" s="1" t="s">
        <v>24</v>
      </c>
      <c r="AE2994" s="1" t="s">
        <v>24</v>
      </c>
      <c r="AF2994" s="22"/>
    </row>
    <row r="2995" spans="1:32" x14ac:dyDescent="0.2">
      <c r="A2995" s="1">
        <v>23768</v>
      </c>
      <c r="B2995" s="1" t="s">
        <v>9398</v>
      </c>
      <c r="C2995" s="5" t="s">
        <v>0</v>
      </c>
      <c r="D2995" s="1" t="s">
        <v>9399</v>
      </c>
      <c r="F2995" s="1" t="s">
        <v>28</v>
      </c>
      <c r="G2995" s="1" t="s">
        <v>29</v>
      </c>
      <c r="H2995" s="1" t="s">
        <v>30</v>
      </c>
      <c r="I2995" s="1" t="s">
        <v>16</v>
      </c>
      <c r="J2995" s="1">
        <v>1</v>
      </c>
      <c r="K2995" s="1">
        <v>4</v>
      </c>
      <c r="L2995" s="1" t="s">
        <v>31</v>
      </c>
      <c r="M2995" s="1" t="s">
        <v>18</v>
      </c>
      <c r="N2995" s="1" t="s">
        <v>18</v>
      </c>
      <c r="O2995" s="1">
        <v>3</v>
      </c>
      <c r="P2995" s="1">
        <v>7</v>
      </c>
      <c r="Q2995" s="7" t="s">
        <v>17633</v>
      </c>
      <c r="R2995" s="1" t="s">
        <v>19</v>
      </c>
      <c r="S2995" s="1" t="s">
        <v>20</v>
      </c>
      <c r="T2995" s="1" t="s">
        <v>21</v>
      </c>
      <c r="U2995" s="1" t="s">
        <v>22</v>
      </c>
      <c r="V2995" s="1" t="s">
        <v>23</v>
      </c>
      <c r="W2995" s="1" t="s">
        <v>24</v>
      </c>
      <c r="X2995" s="1">
        <v>2701</v>
      </c>
      <c r="Y2995" s="1">
        <v>2738</v>
      </c>
      <c r="Z2995" s="1" t="s">
        <v>24</v>
      </c>
      <c r="AA2995" s="1" t="s">
        <v>24</v>
      </c>
      <c r="AB2995" s="1" t="s">
        <v>24</v>
      </c>
      <c r="AC2995" s="1" t="s">
        <v>24</v>
      </c>
      <c r="AD2995" s="1" t="s">
        <v>24</v>
      </c>
      <c r="AE2995" s="1" t="s">
        <v>24</v>
      </c>
      <c r="AF2995" s="22"/>
    </row>
    <row r="2996" spans="1:32" x14ac:dyDescent="0.2">
      <c r="A2996" s="1">
        <v>23770</v>
      </c>
      <c r="B2996" s="1" t="s">
        <v>9400</v>
      </c>
      <c r="C2996" s="5" t="s">
        <v>0</v>
      </c>
      <c r="D2996" s="1" t="s">
        <v>9401</v>
      </c>
      <c r="E2996" s="1" t="s">
        <v>9402</v>
      </c>
      <c r="F2996" s="1" t="s">
        <v>689</v>
      </c>
      <c r="G2996" s="1" t="s">
        <v>311</v>
      </c>
      <c r="H2996" s="1" t="s">
        <v>37</v>
      </c>
      <c r="I2996" s="1" t="s">
        <v>16</v>
      </c>
      <c r="J2996" s="1">
        <v>1</v>
      </c>
      <c r="K2996" s="1">
        <v>4</v>
      </c>
      <c r="L2996" s="1" t="s">
        <v>31</v>
      </c>
      <c r="M2996" s="1" t="s">
        <v>18</v>
      </c>
      <c r="N2996" s="1" t="s">
        <v>18</v>
      </c>
      <c r="O2996" s="1">
        <v>3</v>
      </c>
      <c r="P2996" s="1">
        <v>7</v>
      </c>
      <c r="Q2996" s="7" t="s">
        <v>17633</v>
      </c>
      <c r="R2996" s="1" t="s">
        <v>19</v>
      </c>
      <c r="S2996" s="1" t="s">
        <v>20</v>
      </c>
      <c r="T2996" s="1" t="s">
        <v>21</v>
      </c>
      <c r="U2996" s="1" t="s">
        <v>22</v>
      </c>
      <c r="V2996" s="1" t="s">
        <v>24</v>
      </c>
      <c r="W2996" s="1" t="s">
        <v>24</v>
      </c>
      <c r="X2996" s="1">
        <v>2738</v>
      </c>
      <c r="Y2996" s="1">
        <v>3203</v>
      </c>
      <c r="Z2996" s="1" t="s">
        <v>24</v>
      </c>
      <c r="AA2996" s="1" t="s">
        <v>24</v>
      </c>
      <c r="AB2996" s="1" t="s">
        <v>24</v>
      </c>
      <c r="AC2996" s="1" t="s">
        <v>24</v>
      </c>
      <c r="AD2996" s="1" t="s">
        <v>24</v>
      </c>
      <c r="AE2996" s="1" t="s">
        <v>24</v>
      </c>
      <c r="AF2996" s="22"/>
    </row>
    <row r="2997" spans="1:32" x14ac:dyDescent="0.2">
      <c r="A2997" s="1">
        <v>23772</v>
      </c>
      <c r="B2997" s="1" t="s">
        <v>9403</v>
      </c>
      <c r="C2997" s="5" t="s">
        <v>0</v>
      </c>
      <c r="D2997" s="1" t="s">
        <v>9404</v>
      </c>
      <c r="F2997" s="1" t="s">
        <v>9405</v>
      </c>
      <c r="G2997" s="1" t="s">
        <v>9405</v>
      </c>
      <c r="H2997" s="1" t="s">
        <v>168</v>
      </c>
      <c r="I2997" s="1" t="s">
        <v>16</v>
      </c>
      <c r="J2997" s="1">
        <v>1</v>
      </c>
      <c r="K2997" s="1">
        <v>6</v>
      </c>
      <c r="L2997" s="1" t="s">
        <v>17</v>
      </c>
      <c r="M2997" s="1" t="s">
        <v>413</v>
      </c>
      <c r="N2997" s="1" t="s">
        <v>413</v>
      </c>
      <c r="O2997" s="1">
        <v>2</v>
      </c>
      <c r="P2997" s="1">
        <v>5</v>
      </c>
      <c r="R2997" s="1" t="s">
        <v>19</v>
      </c>
      <c r="S2997" s="1" t="s">
        <v>20</v>
      </c>
      <c r="T2997" s="1" t="s">
        <v>21</v>
      </c>
      <c r="U2997" s="1" t="s">
        <v>22</v>
      </c>
      <c r="V2997" s="1" t="s">
        <v>24</v>
      </c>
      <c r="W2997" s="1" t="s">
        <v>24</v>
      </c>
      <c r="X2997" s="1">
        <v>2708</v>
      </c>
      <c r="Y2997" s="1" t="s">
        <v>24</v>
      </c>
      <c r="Z2997" s="1" t="s">
        <v>24</v>
      </c>
      <c r="AA2997" s="1" t="s">
        <v>24</v>
      </c>
      <c r="AB2997" s="1" t="s">
        <v>24</v>
      </c>
      <c r="AC2997" s="1" t="s">
        <v>24</v>
      </c>
      <c r="AD2997" s="1" t="s">
        <v>24</v>
      </c>
      <c r="AE2997" s="1" t="s">
        <v>24</v>
      </c>
      <c r="AF2997" s="22"/>
    </row>
    <row r="2998" spans="1:32" x14ac:dyDescent="0.2">
      <c r="A2998" s="1">
        <v>23774</v>
      </c>
      <c r="B2998" s="1" t="s">
        <v>9406</v>
      </c>
      <c r="C2998" s="5" t="s">
        <v>0</v>
      </c>
      <c r="D2998" s="1" t="s">
        <v>9407</v>
      </c>
      <c r="F2998" s="1" t="s">
        <v>9408</v>
      </c>
      <c r="G2998" s="1" t="s">
        <v>9408</v>
      </c>
      <c r="H2998" s="1" t="s">
        <v>1384</v>
      </c>
      <c r="I2998" s="1" t="s">
        <v>16</v>
      </c>
      <c r="J2998" s="1">
        <v>1</v>
      </c>
      <c r="K2998" s="1">
        <v>4</v>
      </c>
      <c r="L2998" s="1" t="s">
        <v>42</v>
      </c>
      <c r="M2998" s="1" t="s">
        <v>9409</v>
      </c>
      <c r="N2998" s="1" t="s">
        <v>9409</v>
      </c>
      <c r="O2998" s="1">
        <v>3</v>
      </c>
      <c r="P2998" s="1">
        <v>6</v>
      </c>
      <c r="R2998" s="1" t="s">
        <v>19</v>
      </c>
      <c r="S2998" s="1" t="s">
        <v>20</v>
      </c>
      <c r="T2998" s="1" t="s">
        <v>21</v>
      </c>
      <c r="U2998" s="1" t="s">
        <v>22</v>
      </c>
      <c r="V2998" s="1" t="s">
        <v>23</v>
      </c>
      <c r="W2998" s="1" t="s">
        <v>24</v>
      </c>
      <c r="X2998" s="1">
        <v>2742</v>
      </c>
      <c r="Y2998" s="1">
        <v>3612</v>
      </c>
      <c r="Z2998" s="1" t="s">
        <v>24</v>
      </c>
      <c r="AA2998" s="1" t="s">
        <v>24</v>
      </c>
      <c r="AB2998" s="1" t="s">
        <v>24</v>
      </c>
      <c r="AC2998" s="1" t="s">
        <v>24</v>
      </c>
      <c r="AD2998" s="1" t="s">
        <v>24</v>
      </c>
      <c r="AE2998" s="1" t="s">
        <v>24</v>
      </c>
      <c r="AF2998" s="22"/>
    </row>
    <row r="2999" spans="1:32" x14ac:dyDescent="0.2">
      <c r="A2999" s="1">
        <v>23775</v>
      </c>
      <c r="B2999" s="1" t="s">
        <v>9410</v>
      </c>
      <c r="C2999" s="5" t="s">
        <v>0</v>
      </c>
      <c r="D2999" s="1" t="s">
        <v>9411</v>
      </c>
      <c r="E2999" s="1" t="s">
        <v>9412</v>
      </c>
      <c r="F2999" s="1" t="s">
        <v>9410</v>
      </c>
      <c r="G2999" s="1" t="s">
        <v>9413</v>
      </c>
      <c r="H2999" s="1" t="s">
        <v>899</v>
      </c>
      <c r="I2999" s="1" t="s">
        <v>16</v>
      </c>
      <c r="J2999" s="1">
        <v>1</v>
      </c>
      <c r="K2999" s="1">
        <v>4</v>
      </c>
      <c r="L2999" s="1" t="s">
        <v>42</v>
      </c>
      <c r="M2999" s="1" t="s">
        <v>18</v>
      </c>
      <c r="N2999" s="1" t="s">
        <v>18</v>
      </c>
      <c r="O2999" s="1">
        <v>3</v>
      </c>
      <c r="P2999" s="1">
        <v>6</v>
      </c>
      <c r="R2999" s="1" t="s">
        <v>19</v>
      </c>
      <c r="S2999" s="1" t="s">
        <v>20</v>
      </c>
      <c r="T2999" s="1" t="s">
        <v>21</v>
      </c>
      <c r="U2999" s="1" t="s">
        <v>22</v>
      </c>
      <c r="V2999" s="1" t="s">
        <v>24</v>
      </c>
      <c r="W2999" s="1" t="s">
        <v>24</v>
      </c>
      <c r="X2999" s="1">
        <v>2739</v>
      </c>
      <c r="Y2999" s="1">
        <v>2310</v>
      </c>
      <c r="Z2999" s="1">
        <v>2303</v>
      </c>
      <c r="AA2999" s="1" t="s">
        <v>24</v>
      </c>
      <c r="AB2999" s="1" t="s">
        <v>24</v>
      </c>
      <c r="AC2999" s="1" t="s">
        <v>24</v>
      </c>
      <c r="AD2999" s="1" t="s">
        <v>24</v>
      </c>
      <c r="AE2999" s="1" t="s">
        <v>24</v>
      </c>
      <c r="AF2999" s="22"/>
    </row>
    <row r="3000" spans="1:32" x14ac:dyDescent="0.2">
      <c r="A3000" s="1">
        <v>23777</v>
      </c>
      <c r="B3000" s="1" t="s">
        <v>9414</v>
      </c>
      <c r="C3000" s="5" t="s">
        <v>0</v>
      </c>
      <c r="D3000" s="1" t="s">
        <v>9415</v>
      </c>
      <c r="E3000" s="1" t="s">
        <v>9416</v>
      </c>
      <c r="F3000" s="1" t="s">
        <v>91</v>
      </c>
      <c r="G3000" s="1" t="s">
        <v>61</v>
      </c>
      <c r="H3000" s="1" t="s">
        <v>92</v>
      </c>
      <c r="I3000" s="1" t="s">
        <v>16</v>
      </c>
      <c r="J3000" s="1">
        <v>1</v>
      </c>
      <c r="K3000" s="1">
        <v>8</v>
      </c>
      <c r="L3000" s="1" t="s">
        <v>31</v>
      </c>
      <c r="M3000" s="1" t="s">
        <v>18</v>
      </c>
      <c r="N3000" s="1" t="s">
        <v>18</v>
      </c>
      <c r="O3000" s="1">
        <v>3</v>
      </c>
      <c r="P3000" s="1">
        <v>6</v>
      </c>
      <c r="R3000" s="1" t="s">
        <v>62</v>
      </c>
      <c r="S3000" s="1" t="s">
        <v>20</v>
      </c>
      <c r="T3000" s="1" t="s">
        <v>21</v>
      </c>
      <c r="U3000" s="1" t="s">
        <v>22</v>
      </c>
      <c r="V3000" s="1" t="s">
        <v>24</v>
      </c>
      <c r="W3000" s="1" t="s">
        <v>24</v>
      </c>
      <c r="X3000" s="1">
        <v>2403</v>
      </c>
      <c r="Y3000" s="1">
        <v>2723</v>
      </c>
      <c r="Z3000" s="1" t="s">
        <v>24</v>
      </c>
      <c r="AA3000" s="1" t="s">
        <v>24</v>
      </c>
      <c r="AB3000" s="1" t="s">
        <v>24</v>
      </c>
      <c r="AC3000" s="1" t="s">
        <v>24</v>
      </c>
      <c r="AD3000" s="1" t="s">
        <v>24</v>
      </c>
      <c r="AE3000" s="1" t="s">
        <v>24</v>
      </c>
      <c r="AF3000" s="22"/>
    </row>
    <row r="3001" spans="1:32" x14ac:dyDescent="0.2">
      <c r="A3001" s="1">
        <v>23778</v>
      </c>
      <c r="B3001" s="1" t="s">
        <v>9417</v>
      </c>
      <c r="C3001" s="5" t="s">
        <v>0</v>
      </c>
      <c r="D3001" s="1" t="s">
        <v>9418</v>
      </c>
      <c r="E3001" s="1" t="s">
        <v>9419</v>
      </c>
      <c r="F3001" s="1" t="s">
        <v>221</v>
      </c>
      <c r="G3001" s="1" t="s">
        <v>61</v>
      </c>
      <c r="H3001" s="1" t="s">
        <v>222</v>
      </c>
      <c r="I3001" s="1" t="s">
        <v>16</v>
      </c>
      <c r="J3001" s="1">
        <v>1</v>
      </c>
      <c r="K3001" s="1">
        <v>4</v>
      </c>
      <c r="L3001" s="1" t="s">
        <v>31</v>
      </c>
      <c r="M3001" s="1" t="s">
        <v>18</v>
      </c>
      <c r="N3001" s="1" t="s">
        <v>18</v>
      </c>
      <c r="O3001" s="1">
        <v>3</v>
      </c>
      <c r="P3001" s="1">
        <v>6</v>
      </c>
      <c r="R3001" s="1" t="s">
        <v>62</v>
      </c>
      <c r="S3001" s="1" t="s">
        <v>63</v>
      </c>
      <c r="T3001" s="1" t="s">
        <v>21</v>
      </c>
      <c r="U3001" s="1" t="s">
        <v>22</v>
      </c>
      <c r="V3001" s="1" t="s">
        <v>24</v>
      </c>
      <c r="W3001" s="1" t="s">
        <v>24</v>
      </c>
      <c r="X3001" s="1">
        <v>1302</v>
      </c>
      <c r="Y3001" s="1">
        <v>1303</v>
      </c>
      <c r="Z3001" s="1">
        <v>1305</v>
      </c>
      <c r="AA3001" s="1">
        <v>1312</v>
      </c>
      <c r="AB3001" s="1">
        <v>2808</v>
      </c>
      <c r="AC3001" s="1" t="s">
        <v>24</v>
      </c>
      <c r="AD3001" s="1" t="s">
        <v>24</v>
      </c>
      <c r="AE3001" s="1" t="s">
        <v>24</v>
      </c>
      <c r="AF3001" s="22"/>
    </row>
    <row r="3002" spans="1:32" x14ac:dyDescent="0.2">
      <c r="A3002" s="1">
        <v>23779</v>
      </c>
      <c r="B3002" s="1" t="s">
        <v>9420</v>
      </c>
      <c r="C3002" s="5" t="s">
        <v>0</v>
      </c>
      <c r="D3002" s="1" t="s">
        <v>9421</v>
      </c>
      <c r="E3002" s="1" t="s">
        <v>9422</v>
      </c>
      <c r="F3002" s="1" t="s">
        <v>194</v>
      </c>
      <c r="G3002" s="1" t="s">
        <v>61</v>
      </c>
      <c r="H3002" s="1" t="s">
        <v>30</v>
      </c>
      <c r="I3002" s="1" t="s">
        <v>16</v>
      </c>
      <c r="J3002" s="1">
        <v>1</v>
      </c>
      <c r="K3002" s="1">
        <v>6</v>
      </c>
      <c r="L3002" s="1" t="s">
        <v>31</v>
      </c>
      <c r="M3002" s="1" t="s">
        <v>18</v>
      </c>
      <c r="N3002" s="1" t="s">
        <v>18</v>
      </c>
      <c r="O3002" s="1">
        <v>3</v>
      </c>
      <c r="P3002" s="1">
        <v>7</v>
      </c>
      <c r="Q3002" s="7" t="s">
        <v>17633</v>
      </c>
      <c r="R3002" s="1" t="s">
        <v>19</v>
      </c>
      <c r="S3002" s="1" t="s">
        <v>20</v>
      </c>
      <c r="T3002" s="1" t="s">
        <v>21</v>
      </c>
      <c r="U3002" s="1" t="s">
        <v>22</v>
      </c>
      <c r="V3002" s="1" t="s">
        <v>24</v>
      </c>
      <c r="W3002" s="1" t="s">
        <v>24</v>
      </c>
      <c r="X3002" s="1">
        <v>2732</v>
      </c>
      <c r="Y3002" s="1">
        <v>2746</v>
      </c>
      <c r="Z3002" s="1" t="s">
        <v>24</v>
      </c>
      <c r="AA3002" s="1" t="s">
        <v>24</v>
      </c>
      <c r="AB3002" s="1" t="s">
        <v>24</v>
      </c>
      <c r="AC3002" s="1" t="s">
        <v>24</v>
      </c>
      <c r="AD3002" s="1" t="s">
        <v>24</v>
      </c>
      <c r="AE3002" s="1" t="s">
        <v>24</v>
      </c>
      <c r="AF3002" s="22"/>
    </row>
    <row r="3003" spans="1:32" x14ac:dyDescent="0.2">
      <c r="A3003" s="1">
        <v>23780</v>
      </c>
      <c r="B3003" s="1" t="s">
        <v>9423</v>
      </c>
      <c r="C3003" s="5" t="s">
        <v>0</v>
      </c>
      <c r="D3003" s="1" t="s">
        <v>9424</v>
      </c>
      <c r="E3003" s="1" t="s">
        <v>9425</v>
      </c>
      <c r="F3003" s="1" t="s">
        <v>493</v>
      </c>
      <c r="G3003" s="1" t="s">
        <v>98</v>
      </c>
      <c r="H3003" s="1" t="s">
        <v>30</v>
      </c>
      <c r="I3003" s="1" t="s">
        <v>16</v>
      </c>
      <c r="J3003" s="1">
        <v>1</v>
      </c>
      <c r="K3003" s="1">
        <v>6</v>
      </c>
      <c r="L3003" s="1" t="s">
        <v>31</v>
      </c>
      <c r="M3003" s="1" t="s">
        <v>18</v>
      </c>
      <c r="N3003" s="1" t="s">
        <v>18</v>
      </c>
      <c r="O3003" s="1">
        <v>3</v>
      </c>
      <c r="P3003" s="1">
        <v>7</v>
      </c>
      <c r="Q3003" s="7" t="s">
        <v>17633</v>
      </c>
      <c r="R3003" s="1" t="s">
        <v>19</v>
      </c>
      <c r="S3003" s="1" t="s">
        <v>20</v>
      </c>
      <c r="T3003" s="1" t="s">
        <v>21</v>
      </c>
      <c r="U3003" s="1" t="s">
        <v>22</v>
      </c>
      <c r="V3003" s="1" t="s">
        <v>23</v>
      </c>
      <c r="W3003" s="1" t="s">
        <v>24</v>
      </c>
      <c r="X3003" s="1">
        <v>2705</v>
      </c>
      <c r="Y3003" s="1">
        <v>2902</v>
      </c>
      <c r="Z3003" s="1">
        <v>2914</v>
      </c>
      <c r="AA3003" s="1" t="s">
        <v>24</v>
      </c>
      <c r="AB3003" s="1" t="s">
        <v>24</v>
      </c>
      <c r="AC3003" s="1" t="s">
        <v>24</v>
      </c>
      <c r="AD3003" s="1" t="s">
        <v>24</v>
      </c>
      <c r="AE3003" s="1" t="s">
        <v>24</v>
      </c>
      <c r="AF3003" s="22"/>
    </row>
    <row r="3004" spans="1:32" x14ac:dyDescent="0.2">
      <c r="A3004" s="1">
        <v>23785</v>
      </c>
      <c r="B3004" s="1" t="s">
        <v>9426</v>
      </c>
      <c r="C3004" s="5" t="s">
        <v>0</v>
      </c>
      <c r="D3004" s="1" t="s">
        <v>9427</v>
      </c>
      <c r="F3004" s="1" t="s">
        <v>9428</v>
      </c>
      <c r="G3004" s="1" t="s">
        <v>9428</v>
      </c>
      <c r="H3004" s="1" t="s">
        <v>147</v>
      </c>
      <c r="I3004" s="1" t="s">
        <v>16</v>
      </c>
      <c r="J3004" s="1">
        <v>1</v>
      </c>
      <c r="K3004" s="1">
        <v>3</v>
      </c>
      <c r="L3004" s="1" t="s">
        <v>42</v>
      </c>
      <c r="M3004" s="1" t="s">
        <v>117</v>
      </c>
      <c r="N3004" s="1" t="s">
        <v>118</v>
      </c>
      <c r="O3004" s="1">
        <v>2</v>
      </c>
      <c r="P3004" s="1">
        <v>6</v>
      </c>
      <c r="R3004" s="1" t="s">
        <v>19</v>
      </c>
      <c r="S3004" s="1" t="s">
        <v>20</v>
      </c>
      <c r="T3004" s="1" t="s">
        <v>21</v>
      </c>
      <c r="U3004" s="1" t="s">
        <v>22</v>
      </c>
      <c r="V3004" s="1" t="s">
        <v>23</v>
      </c>
      <c r="W3004" s="1" t="s">
        <v>24</v>
      </c>
      <c r="X3004" s="1">
        <v>2700</v>
      </c>
      <c r="Y3004" s="1" t="s">
        <v>24</v>
      </c>
      <c r="Z3004" s="1" t="s">
        <v>24</v>
      </c>
      <c r="AA3004" s="1" t="s">
        <v>24</v>
      </c>
      <c r="AB3004" s="1" t="s">
        <v>24</v>
      </c>
      <c r="AC3004" s="1" t="s">
        <v>24</v>
      </c>
      <c r="AD3004" s="1" t="s">
        <v>24</v>
      </c>
      <c r="AE3004" s="1" t="s">
        <v>24</v>
      </c>
      <c r="AF3004" s="22"/>
    </row>
    <row r="3005" spans="1:32" x14ac:dyDescent="0.2">
      <c r="A3005" s="1">
        <v>23792</v>
      </c>
      <c r="B3005" s="1" t="s">
        <v>9429</v>
      </c>
      <c r="C3005" s="5" t="s">
        <v>0</v>
      </c>
      <c r="D3005" s="1" t="s">
        <v>9430</v>
      </c>
      <c r="F3005" s="1" t="s">
        <v>9431</v>
      </c>
      <c r="G3005" s="1" t="s">
        <v>9431</v>
      </c>
      <c r="H3005" s="1" t="s">
        <v>30</v>
      </c>
      <c r="I3005" s="1" t="s">
        <v>16</v>
      </c>
      <c r="J3005" s="1">
        <v>1</v>
      </c>
      <c r="K3005" s="1">
        <v>12</v>
      </c>
      <c r="L3005" s="1" t="s">
        <v>42</v>
      </c>
      <c r="M3005" s="1" t="s">
        <v>18</v>
      </c>
      <c r="N3005" s="1" t="s">
        <v>18</v>
      </c>
      <c r="O3005" s="1">
        <v>3</v>
      </c>
      <c r="P3005" s="1">
        <v>6</v>
      </c>
      <c r="R3005" s="1" t="s">
        <v>19</v>
      </c>
      <c r="S3005" s="1" t="s">
        <v>20</v>
      </c>
      <c r="T3005" s="1" t="s">
        <v>21</v>
      </c>
      <c r="U3005" s="1" t="s">
        <v>22</v>
      </c>
      <c r="V3005" s="1" t="s">
        <v>23</v>
      </c>
      <c r="W3005" s="1" t="s">
        <v>24</v>
      </c>
      <c r="X3005" s="1">
        <v>2736</v>
      </c>
      <c r="Y3005" s="1" t="s">
        <v>24</v>
      </c>
      <c r="Z3005" s="1" t="s">
        <v>24</v>
      </c>
      <c r="AA3005" s="1" t="s">
        <v>24</v>
      </c>
      <c r="AB3005" s="1" t="s">
        <v>24</v>
      </c>
      <c r="AC3005" s="1" t="s">
        <v>24</v>
      </c>
      <c r="AD3005" s="1" t="s">
        <v>24</v>
      </c>
      <c r="AE3005" s="1" t="s">
        <v>24</v>
      </c>
      <c r="AF3005" s="22"/>
    </row>
    <row r="3006" spans="1:32" x14ac:dyDescent="0.2">
      <c r="A3006" s="1">
        <v>23796</v>
      </c>
      <c r="B3006" s="1" t="s">
        <v>9432</v>
      </c>
      <c r="C3006" s="5" t="s">
        <v>0</v>
      </c>
      <c r="D3006" s="1" t="s">
        <v>9433</v>
      </c>
      <c r="E3006" s="1" t="s">
        <v>9434</v>
      </c>
      <c r="F3006" s="1" t="s">
        <v>493</v>
      </c>
      <c r="G3006" s="1" t="s">
        <v>98</v>
      </c>
      <c r="H3006" s="1" t="s">
        <v>30</v>
      </c>
      <c r="I3006" s="1" t="s">
        <v>16</v>
      </c>
      <c r="J3006" s="1">
        <v>1</v>
      </c>
      <c r="K3006" s="1">
        <v>6</v>
      </c>
      <c r="L3006" s="1" t="s">
        <v>31</v>
      </c>
      <c r="M3006" s="1" t="s">
        <v>18</v>
      </c>
      <c r="N3006" s="1" t="s">
        <v>18</v>
      </c>
      <c r="O3006" s="1">
        <v>3</v>
      </c>
      <c r="P3006" s="1">
        <v>6</v>
      </c>
      <c r="R3006" s="1" t="s">
        <v>19</v>
      </c>
      <c r="S3006" s="1" t="s">
        <v>20</v>
      </c>
      <c r="T3006" s="1" t="s">
        <v>21</v>
      </c>
      <c r="U3006" s="1" t="s">
        <v>22</v>
      </c>
      <c r="V3006" s="1" t="s">
        <v>24</v>
      </c>
      <c r="W3006" s="1" t="s">
        <v>24</v>
      </c>
      <c r="X3006" s="1">
        <v>2705</v>
      </c>
      <c r="Y3006" s="1">
        <v>2746</v>
      </c>
      <c r="Z3006" s="1" t="s">
        <v>24</v>
      </c>
      <c r="AA3006" s="1" t="s">
        <v>24</v>
      </c>
      <c r="AB3006" s="1" t="s">
        <v>24</v>
      </c>
      <c r="AC3006" s="1" t="s">
        <v>24</v>
      </c>
      <c r="AD3006" s="1" t="s">
        <v>24</v>
      </c>
      <c r="AE3006" s="1" t="s">
        <v>24</v>
      </c>
      <c r="AF3006" s="22"/>
    </row>
    <row r="3007" spans="1:32" x14ac:dyDescent="0.2">
      <c r="A3007" s="1">
        <v>23797</v>
      </c>
      <c r="B3007" s="1" t="s">
        <v>9435</v>
      </c>
      <c r="C3007" s="5" t="s">
        <v>0</v>
      </c>
      <c r="D3007" s="1" t="s">
        <v>9436</v>
      </c>
      <c r="E3007" s="1" t="s">
        <v>9437</v>
      </c>
      <c r="F3007" s="1" t="s">
        <v>194</v>
      </c>
      <c r="G3007" s="1" t="s">
        <v>61</v>
      </c>
      <c r="H3007" s="1" t="s">
        <v>30</v>
      </c>
      <c r="I3007" s="1" t="s">
        <v>16</v>
      </c>
      <c r="J3007" s="1">
        <v>1</v>
      </c>
      <c r="K3007" s="1">
        <v>10</v>
      </c>
      <c r="L3007" s="1" t="s">
        <v>31</v>
      </c>
      <c r="M3007" s="1" t="s">
        <v>18</v>
      </c>
      <c r="N3007" s="1" t="s">
        <v>18</v>
      </c>
      <c r="O3007" s="1">
        <v>0</v>
      </c>
      <c r="P3007" s="1">
        <v>6</v>
      </c>
      <c r="R3007" s="1" t="s">
        <v>19</v>
      </c>
      <c r="S3007" s="1" t="s">
        <v>20</v>
      </c>
      <c r="T3007" s="1" t="s">
        <v>21</v>
      </c>
      <c r="U3007" s="1" t="s">
        <v>22</v>
      </c>
      <c r="V3007" s="1" t="s">
        <v>23</v>
      </c>
      <c r="W3007" s="1" t="s">
        <v>24</v>
      </c>
      <c r="X3007" s="1">
        <v>2735</v>
      </c>
      <c r="Y3007" s="1" t="s">
        <v>24</v>
      </c>
      <c r="Z3007" s="1" t="s">
        <v>24</v>
      </c>
      <c r="AA3007" s="1" t="s">
        <v>24</v>
      </c>
      <c r="AB3007" s="1" t="s">
        <v>24</v>
      </c>
      <c r="AC3007" s="1" t="s">
        <v>24</v>
      </c>
      <c r="AD3007" s="1" t="s">
        <v>24</v>
      </c>
      <c r="AE3007" s="1" t="s">
        <v>24</v>
      </c>
      <c r="AF3007" s="22"/>
    </row>
    <row r="3008" spans="1:32" x14ac:dyDescent="0.2">
      <c r="A3008" s="1">
        <v>23798</v>
      </c>
      <c r="B3008" s="1" t="s">
        <v>9438</v>
      </c>
      <c r="C3008" s="5" t="s">
        <v>0</v>
      </c>
      <c r="D3008" s="1" t="s">
        <v>9439</v>
      </c>
      <c r="E3008" s="1" t="s">
        <v>9440</v>
      </c>
      <c r="F3008" s="1" t="s">
        <v>4337</v>
      </c>
      <c r="G3008" s="1" t="s">
        <v>4338</v>
      </c>
      <c r="H3008" s="1" t="s">
        <v>30</v>
      </c>
      <c r="I3008" s="1" t="s">
        <v>16</v>
      </c>
      <c r="J3008" s="1">
        <v>1</v>
      </c>
      <c r="K3008" s="1">
        <v>4</v>
      </c>
      <c r="L3008" s="1" t="s">
        <v>31</v>
      </c>
      <c r="M3008" s="1" t="s">
        <v>18</v>
      </c>
      <c r="N3008" s="1" t="s">
        <v>18</v>
      </c>
      <c r="O3008" s="1">
        <v>3</v>
      </c>
      <c r="P3008" s="1">
        <v>7</v>
      </c>
      <c r="Q3008" s="7" t="s">
        <v>17633</v>
      </c>
      <c r="R3008" s="1" t="s">
        <v>19</v>
      </c>
      <c r="S3008" s="1" t="s">
        <v>20</v>
      </c>
      <c r="T3008" s="1" t="s">
        <v>21</v>
      </c>
      <c r="U3008" s="1" t="s">
        <v>22</v>
      </c>
      <c r="V3008" s="1" t="s">
        <v>24</v>
      </c>
      <c r="W3008" s="1" t="s">
        <v>24</v>
      </c>
      <c r="X3008" s="1">
        <v>1305</v>
      </c>
      <c r="Y3008" s="1">
        <v>1303</v>
      </c>
      <c r="Z3008" s="1">
        <v>1311</v>
      </c>
      <c r="AA3008" s="1">
        <v>1312</v>
      </c>
      <c r="AB3008" s="1">
        <v>1313</v>
      </c>
      <c r="AC3008" s="1" t="s">
        <v>24</v>
      </c>
      <c r="AD3008" s="1" t="s">
        <v>24</v>
      </c>
      <c r="AE3008" s="1" t="s">
        <v>24</v>
      </c>
      <c r="AF3008" s="22"/>
    </row>
    <row r="3009" spans="1:32" x14ac:dyDescent="0.2">
      <c r="A3009" s="1">
        <v>23800</v>
      </c>
      <c r="B3009" s="1" t="s">
        <v>9441</v>
      </c>
      <c r="C3009" s="5" t="s">
        <v>0</v>
      </c>
      <c r="D3009" s="1" t="s">
        <v>9442</v>
      </c>
      <c r="E3009" s="1" t="s">
        <v>9443</v>
      </c>
      <c r="F3009" s="1" t="s">
        <v>28</v>
      </c>
      <c r="G3009" s="1" t="s">
        <v>29</v>
      </c>
      <c r="H3009" s="1" t="s">
        <v>30</v>
      </c>
      <c r="I3009" s="1" t="s">
        <v>16</v>
      </c>
      <c r="J3009" s="1">
        <v>1</v>
      </c>
      <c r="K3009" s="1">
        <v>8</v>
      </c>
      <c r="L3009" s="1" t="s">
        <v>31</v>
      </c>
      <c r="M3009" s="1" t="s">
        <v>18</v>
      </c>
      <c r="N3009" s="1" t="s">
        <v>18</v>
      </c>
      <c r="O3009" s="1">
        <v>3</v>
      </c>
      <c r="P3009" s="1">
        <v>7</v>
      </c>
      <c r="Q3009" s="7" t="s">
        <v>17633</v>
      </c>
      <c r="R3009" s="1" t="s">
        <v>19</v>
      </c>
      <c r="S3009" s="1" t="s">
        <v>20</v>
      </c>
      <c r="T3009" s="1" t="s">
        <v>21</v>
      </c>
      <c r="U3009" s="1" t="s">
        <v>22</v>
      </c>
      <c r="V3009" s="1" t="s">
        <v>24</v>
      </c>
      <c r="W3009" s="1" t="s">
        <v>24</v>
      </c>
      <c r="X3009" s="1">
        <v>2728</v>
      </c>
      <c r="Y3009" s="1">
        <v>2746</v>
      </c>
      <c r="Z3009" s="1">
        <v>2732</v>
      </c>
      <c r="AA3009" s="1" t="s">
        <v>24</v>
      </c>
      <c r="AB3009" s="1" t="s">
        <v>24</v>
      </c>
      <c r="AC3009" s="1" t="s">
        <v>24</v>
      </c>
      <c r="AD3009" s="1" t="s">
        <v>24</v>
      </c>
      <c r="AE3009" s="1" t="s">
        <v>24</v>
      </c>
      <c r="AF3009" s="22"/>
    </row>
    <row r="3010" spans="1:32" x14ac:dyDescent="0.2">
      <c r="A3010" s="1">
        <v>23836</v>
      </c>
      <c r="B3010" s="1" t="s">
        <v>9444</v>
      </c>
      <c r="C3010" s="5" t="s">
        <v>0</v>
      </c>
      <c r="D3010" s="1" t="s">
        <v>9445</v>
      </c>
      <c r="E3010" s="1" t="s">
        <v>9446</v>
      </c>
      <c r="F3010" s="1" t="s">
        <v>6159</v>
      </c>
      <c r="G3010" s="1" t="s">
        <v>6159</v>
      </c>
      <c r="H3010" s="1" t="s">
        <v>168</v>
      </c>
      <c r="I3010" s="1" t="s">
        <v>16</v>
      </c>
      <c r="J3010" s="1">
        <v>1</v>
      </c>
      <c r="K3010" s="1">
        <v>4</v>
      </c>
      <c r="L3010" s="1" t="s">
        <v>42</v>
      </c>
      <c r="M3010" s="1" t="s">
        <v>242</v>
      </c>
      <c r="N3010" s="1" t="s">
        <v>242</v>
      </c>
      <c r="O3010" s="1">
        <v>2</v>
      </c>
      <c r="P3010" s="1">
        <v>5</v>
      </c>
      <c r="R3010" s="1" t="s">
        <v>19</v>
      </c>
      <c r="S3010" s="1" t="s">
        <v>20</v>
      </c>
      <c r="T3010" s="1" t="s">
        <v>21</v>
      </c>
      <c r="U3010" s="1" t="s">
        <v>22</v>
      </c>
      <c r="V3010" s="1" t="s">
        <v>24</v>
      </c>
      <c r="W3010" s="1" t="s">
        <v>24</v>
      </c>
      <c r="X3010" s="1">
        <v>3607</v>
      </c>
      <c r="Y3010" s="1">
        <v>3004</v>
      </c>
      <c r="Z3010" s="1" t="s">
        <v>24</v>
      </c>
      <c r="AA3010" s="1" t="s">
        <v>24</v>
      </c>
      <c r="AB3010" s="1" t="s">
        <v>24</v>
      </c>
      <c r="AC3010" s="1" t="s">
        <v>24</v>
      </c>
      <c r="AD3010" s="1" t="s">
        <v>24</v>
      </c>
      <c r="AE3010" s="1" t="s">
        <v>24</v>
      </c>
      <c r="AF3010" s="22"/>
    </row>
    <row r="3011" spans="1:32" x14ac:dyDescent="0.2">
      <c r="A3011" s="1">
        <v>23838</v>
      </c>
      <c r="B3011" s="1" t="s">
        <v>9447</v>
      </c>
      <c r="C3011" s="5" t="s">
        <v>0</v>
      </c>
      <c r="D3011" s="1" t="s">
        <v>9448</v>
      </c>
      <c r="F3011" s="1" t="s">
        <v>9449</v>
      </c>
      <c r="G3011" s="1" t="s">
        <v>460</v>
      </c>
      <c r="H3011" s="1" t="s">
        <v>461</v>
      </c>
      <c r="I3011" s="1" t="s">
        <v>16</v>
      </c>
      <c r="J3011" s="1">
        <v>1</v>
      </c>
      <c r="K3011" s="1">
        <v>5</v>
      </c>
      <c r="L3011" s="1" t="s">
        <v>42</v>
      </c>
      <c r="M3011" s="1" t="s">
        <v>18</v>
      </c>
      <c r="N3011" s="1" t="s">
        <v>18</v>
      </c>
      <c r="O3011" s="1">
        <v>3</v>
      </c>
      <c r="P3011" s="1">
        <v>6</v>
      </c>
      <c r="R3011" s="1" t="s">
        <v>19</v>
      </c>
      <c r="S3011" s="1" t="s">
        <v>20</v>
      </c>
      <c r="T3011" s="1" t="s">
        <v>21</v>
      </c>
      <c r="U3011" s="1" t="s">
        <v>22</v>
      </c>
      <c r="V3011" s="1" t="s">
        <v>24</v>
      </c>
      <c r="W3011" s="1" t="s">
        <v>24</v>
      </c>
      <c r="X3011" s="1">
        <v>1103</v>
      </c>
      <c r="Y3011" s="1">
        <v>3400</v>
      </c>
      <c r="Z3011" s="1">
        <v>1300</v>
      </c>
      <c r="AA3011" s="1" t="s">
        <v>24</v>
      </c>
      <c r="AB3011" s="1" t="s">
        <v>24</v>
      </c>
      <c r="AC3011" s="1" t="s">
        <v>24</v>
      </c>
      <c r="AD3011" s="1" t="s">
        <v>24</v>
      </c>
      <c r="AE3011" s="1" t="s">
        <v>24</v>
      </c>
      <c r="AF3011" s="22"/>
    </row>
    <row r="3012" spans="1:32" x14ac:dyDescent="0.2">
      <c r="A3012" s="1">
        <v>23840</v>
      </c>
      <c r="B3012" s="1" t="s">
        <v>9450</v>
      </c>
      <c r="C3012" s="5" t="s">
        <v>0</v>
      </c>
      <c r="D3012" s="1" t="s">
        <v>9451</v>
      </c>
      <c r="F3012" s="1" t="s">
        <v>2688</v>
      </c>
      <c r="G3012" s="1" t="s">
        <v>2688</v>
      </c>
      <c r="H3012" s="1" t="s">
        <v>30</v>
      </c>
      <c r="I3012" s="1" t="s">
        <v>16</v>
      </c>
      <c r="J3012" s="1">
        <v>1</v>
      </c>
      <c r="K3012" s="1">
        <v>4</v>
      </c>
      <c r="L3012" s="1" t="s">
        <v>42</v>
      </c>
      <c r="M3012" s="1" t="s">
        <v>18</v>
      </c>
      <c r="N3012" s="1" t="s">
        <v>18</v>
      </c>
      <c r="O3012" s="1">
        <v>3</v>
      </c>
      <c r="P3012" s="1">
        <v>6</v>
      </c>
      <c r="R3012" s="1" t="s">
        <v>19</v>
      </c>
      <c r="S3012" s="1" t="s">
        <v>20</v>
      </c>
      <c r="T3012" s="1" t="s">
        <v>21</v>
      </c>
      <c r="U3012" s="1" t="s">
        <v>22</v>
      </c>
      <c r="V3012" s="1" t="s">
        <v>23</v>
      </c>
      <c r="W3012" s="1" t="s">
        <v>24</v>
      </c>
      <c r="X3012" s="1">
        <v>3609</v>
      </c>
      <c r="Y3012" s="1" t="s">
        <v>24</v>
      </c>
      <c r="Z3012" s="1" t="s">
        <v>24</v>
      </c>
      <c r="AA3012" s="1" t="s">
        <v>24</v>
      </c>
      <c r="AB3012" s="1" t="s">
        <v>24</v>
      </c>
      <c r="AC3012" s="1" t="s">
        <v>24</v>
      </c>
      <c r="AD3012" s="1" t="s">
        <v>24</v>
      </c>
      <c r="AE3012" s="1" t="s">
        <v>24</v>
      </c>
      <c r="AF3012" s="22" t="s">
        <v>17679</v>
      </c>
    </row>
    <row r="3013" spans="1:32" x14ac:dyDescent="0.2">
      <c r="A3013" s="1">
        <v>23843</v>
      </c>
      <c r="B3013" s="1" t="s">
        <v>9452</v>
      </c>
      <c r="C3013" s="5" t="s">
        <v>0</v>
      </c>
      <c r="D3013" s="1" t="s">
        <v>9453</v>
      </c>
      <c r="E3013" s="1" t="s">
        <v>9454</v>
      </c>
      <c r="F3013" s="1" t="s">
        <v>831</v>
      </c>
      <c r="G3013" s="1" t="s">
        <v>61</v>
      </c>
      <c r="H3013" s="1" t="s">
        <v>37</v>
      </c>
      <c r="I3013" s="1" t="s">
        <v>16</v>
      </c>
      <c r="J3013" s="1">
        <v>1</v>
      </c>
      <c r="K3013" s="1">
        <v>4</v>
      </c>
      <c r="L3013" s="1" t="s">
        <v>31</v>
      </c>
      <c r="M3013" s="1" t="s">
        <v>18</v>
      </c>
      <c r="N3013" s="1" t="s">
        <v>18</v>
      </c>
      <c r="O3013" s="1">
        <v>3</v>
      </c>
      <c r="P3013" s="1">
        <v>6</v>
      </c>
      <c r="R3013" s="1" t="s">
        <v>19</v>
      </c>
      <c r="S3013" s="1" t="s">
        <v>20</v>
      </c>
      <c r="T3013" s="1" t="s">
        <v>21</v>
      </c>
      <c r="U3013" s="1" t="s">
        <v>22</v>
      </c>
      <c r="V3013" s="1" t="s">
        <v>23</v>
      </c>
      <c r="W3013" s="1" t="s">
        <v>24</v>
      </c>
      <c r="X3013" s="1">
        <v>2707</v>
      </c>
      <c r="Y3013" s="1" t="s">
        <v>24</v>
      </c>
      <c r="Z3013" s="1" t="s">
        <v>24</v>
      </c>
      <c r="AA3013" s="1" t="s">
        <v>24</v>
      </c>
      <c r="AB3013" s="1" t="s">
        <v>24</v>
      </c>
      <c r="AC3013" s="1" t="s">
        <v>24</v>
      </c>
      <c r="AD3013" s="1" t="s">
        <v>24</v>
      </c>
      <c r="AE3013" s="1" t="s">
        <v>24</v>
      </c>
      <c r="AF3013" s="22"/>
    </row>
    <row r="3014" spans="1:32" x14ac:dyDescent="0.2">
      <c r="A3014" s="1">
        <v>23845</v>
      </c>
      <c r="B3014" s="1" t="s">
        <v>9455</v>
      </c>
      <c r="C3014" s="5" t="s">
        <v>0</v>
      </c>
      <c r="D3014" s="1" t="s">
        <v>9456</v>
      </c>
      <c r="E3014" s="1" t="s">
        <v>9457</v>
      </c>
      <c r="F3014" s="1" t="s">
        <v>291</v>
      </c>
      <c r="G3014" s="1" t="s">
        <v>292</v>
      </c>
      <c r="H3014" s="1" t="s">
        <v>37</v>
      </c>
      <c r="I3014" s="1" t="s">
        <v>16</v>
      </c>
      <c r="J3014" s="1">
        <v>1</v>
      </c>
      <c r="K3014" s="1">
        <v>9</v>
      </c>
      <c r="L3014" s="1" t="s">
        <v>31</v>
      </c>
      <c r="M3014" s="1" t="s">
        <v>18</v>
      </c>
      <c r="N3014" s="1" t="s">
        <v>18</v>
      </c>
      <c r="O3014" s="1">
        <v>3</v>
      </c>
      <c r="P3014" s="1">
        <v>7</v>
      </c>
      <c r="Q3014" s="7" t="s">
        <v>17633</v>
      </c>
      <c r="R3014" s="1" t="s">
        <v>19</v>
      </c>
      <c r="S3014" s="1" t="s">
        <v>20</v>
      </c>
      <c r="T3014" s="1" t="s">
        <v>21</v>
      </c>
      <c r="U3014" s="1" t="s">
        <v>22</v>
      </c>
      <c r="V3014" s="1" t="s">
        <v>24</v>
      </c>
      <c r="W3014" s="1" t="s">
        <v>24</v>
      </c>
      <c r="X3014" s="1">
        <v>3005</v>
      </c>
      <c r="Y3014" s="1">
        <v>2307</v>
      </c>
      <c r="Z3014" s="1" t="s">
        <v>24</v>
      </c>
      <c r="AA3014" s="1" t="s">
        <v>24</v>
      </c>
      <c r="AB3014" s="1" t="s">
        <v>24</v>
      </c>
      <c r="AC3014" s="1" t="s">
        <v>24</v>
      </c>
      <c r="AD3014" s="1" t="s">
        <v>24</v>
      </c>
      <c r="AE3014" s="1" t="s">
        <v>24</v>
      </c>
      <c r="AF3014" s="22"/>
    </row>
    <row r="3015" spans="1:32" x14ac:dyDescent="0.2">
      <c r="A3015" s="1">
        <v>23846</v>
      </c>
      <c r="B3015" s="1" t="s">
        <v>9458</v>
      </c>
      <c r="C3015" s="5" t="s">
        <v>0</v>
      </c>
      <c r="D3015" s="1" t="s">
        <v>9459</v>
      </c>
      <c r="F3015" s="1" t="s">
        <v>9460</v>
      </c>
      <c r="G3015" s="1" t="s">
        <v>9461</v>
      </c>
      <c r="H3015" s="1" t="s">
        <v>264</v>
      </c>
      <c r="I3015" s="1" t="s">
        <v>16</v>
      </c>
      <c r="J3015" s="1">
        <v>1</v>
      </c>
      <c r="K3015" s="1">
        <v>4</v>
      </c>
      <c r="L3015" s="1" t="s">
        <v>31</v>
      </c>
      <c r="M3015" s="1" t="s">
        <v>18</v>
      </c>
      <c r="N3015" s="1" t="s">
        <v>18</v>
      </c>
      <c r="O3015" s="1">
        <v>3</v>
      </c>
      <c r="P3015" s="1">
        <v>5</v>
      </c>
      <c r="R3015" s="1" t="s">
        <v>19</v>
      </c>
      <c r="S3015" s="1" t="s">
        <v>20</v>
      </c>
      <c r="T3015" s="1" t="s">
        <v>21</v>
      </c>
      <c r="U3015" s="1" t="s">
        <v>22</v>
      </c>
      <c r="V3015" s="1" t="s">
        <v>23</v>
      </c>
      <c r="W3015" s="1" t="s">
        <v>24</v>
      </c>
      <c r="X3015" s="1">
        <v>2736</v>
      </c>
      <c r="Y3015" s="1">
        <v>3611</v>
      </c>
      <c r="Z3015" s="1" t="s">
        <v>24</v>
      </c>
      <c r="AA3015" s="1" t="s">
        <v>24</v>
      </c>
      <c r="AB3015" s="1" t="s">
        <v>24</v>
      </c>
      <c r="AC3015" s="1" t="s">
        <v>24</v>
      </c>
      <c r="AD3015" s="1" t="s">
        <v>24</v>
      </c>
      <c r="AE3015" s="1" t="s">
        <v>24</v>
      </c>
      <c r="AF3015" s="22"/>
    </row>
    <row r="3016" spans="1:32" x14ac:dyDescent="0.2">
      <c r="A3016" s="1">
        <v>23847</v>
      </c>
      <c r="B3016" s="1" t="s">
        <v>9462</v>
      </c>
      <c r="C3016" s="5" t="s">
        <v>0</v>
      </c>
      <c r="D3016" s="1" t="s">
        <v>9463</v>
      </c>
      <c r="E3016" s="1" t="s">
        <v>9464</v>
      </c>
      <c r="F3016" s="1" t="s">
        <v>689</v>
      </c>
      <c r="G3016" s="1" t="s">
        <v>311</v>
      </c>
      <c r="H3016" s="1" t="s">
        <v>37</v>
      </c>
      <c r="I3016" s="1" t="s">
        <v>16</v>
      </c>
      <c r="J3016" s="1">
        <v>1</v>
      </c>
      <c r="K3016" s="1">
        <v>6</v>
      </c>
      <c r="L3016" s="1" t="s">
        <v>31</v>
      </c>
      <c r="M3016" s="1" t="s">
        <v>18</v>
      </c>
      <c r="N3016" s="1" t="s">
        <v>18</v>
      </c>
      <c r="O3016" s="1">
        <v>3</v>
      </c>
      <c r="P3016" s="1">
        <v>7</v>
      </c>
      <c r="Q3016" s="7" t="s">
        <v>17633</v>
      </c>
      <c r="R3016" s="1" t="s">
        <v>19</v>
      </c>
      <c r="S3016" s="1" t="s">
        <v>20</v>
      </c>
      <c r="T3016" s="1" t="s">
        <v>21</v>
      </c>
      <c r="U3016" s="1" t="s">
        <v>22</v>
      </c>
      <c r="V3016" s="1" t="s">
        <v>23</v>
      </c>
      <c r="W3016" s="1" t="s">
        <v>24</v>
      </c>
      <c r="X3016" s="1">
        <v>2738</v>
      </c>
      <c r="Y3016" s="1">
        <v>3203</v>
      </c>
      <c r="Z3016" s="1" t="s">
        <v>24</v>
      </c>
      <c r="AA3016" s="1" t="s">
        <v>24</v>
      </c>
      <c r="AB3016" s="1" t="s">
        <v>24</v>
      </c>
      <c r="AC3016" s="1" t="s">
        <v>24</v>
      </c>
      <c r="AD3016" s="1" t="s">
        <v>24</v>
      </c>
      <c r="AE3016" s="1" t="s">
        <v>24</v>
      </c>
      <c r="AF3016" s="22"/>
    </row>
    <row r="3017" spans="1:32" x14ac:dyDescent="0.2">
      <c r="A3017" s="1">
        <v>23849</v>
      </c>
      <c r="B3017" s="1" t="s">
        <v>9465</v>
      </c>
      <c r="C3017" s="5" t="s">
        <v>0</v>
      </c>
      <c r="D3017" s="1" t="s">
        <v>9466</v>
      </c>
      <c r="E3017" s="1" t="s">
        <v>9467</v>
      </c>
      <c r="F3017" s="1" t="s">
        <v>291</v>
      </c>
      <c r="G3017" s="1" t="s">
        <v>292</v>
      </c>
      <c r="H3017" s="1" t="s">
        <v>30</v>
      </c>
      <c r="I3017" s="1" t="s">
        <v>16</v>
      </c>
      <c r="J3017" s="1">
        <v>1</v>
      </c>
      <c r="K3017" s="1">
        <v>4</v>
      </c>
      <c r="L3017" s="1" t="s">
        <v>31</v>
      </c>
      <c r="M3017" s="1" t="s">
        <v>18</v>
      </c>
      <c r="N3017" s="1" t="s">
        <v>18</v>
      </c>
      <c r="O3017" s="1">
        <v>3</v>
      </c>
      <c r="P3017" s="1">
        <v>6</v>
      </c>
      <c r="R3017" s="1" t="s">
        <v>19</v>
      </c>
      <c r="S3017" s="1" t="s">
        <v>20</v>
      </c>
      <c r="T3017" s="1" t="s">
        <v>21</v>
      </c>
      <c r="U3017" s="1" t="s">
        <v>22</v>
      </c>
      <c r="V3017" s="1" t="s">
        <v>23</v>
      </c>
      <c r="W3017" s="1" t="s">
        <v>24</v>
      </c>
      <c r="X3017" s="1">
        <v>2703</v>
      </c>
      <c r="Y3017" s="1">
        <v>2736</v>
      </c>
      <c r="Z3017" s="1" t="s">
        <v>24</v>
      </c>
      <c r="AA3017" s="1" t="s">
        <v>24</v>
      </c>
      <c r="AB3017" s="1" t="s">
        <v>24</v>
      </c>
      <c r="AC3017" s="1" t="s">
        <v>24</v>
      </c>
      <c r="AD3017" s="1" t="s">
        <v>24</v>
      </c>
      <c r="AE3017" s="1" t="s">
        <v>24</v>
      </c>
      <c r="AF3017" s="22"/>
    </row>
    <row r="3018" spans="1:32" x14ac:dyDescent="0.2">
      <c r="A3018" s="1">
        <v>23850</v>
      </c>
      <c r="B3018" s="1" t="s">
        <v>9468</v>
      </c>
      <c r="C3018" s="5" t="s">
        <v>0</v>
      </c>
      <c r="D3018" s="1" t="s">
        <v>9469</v>
      </c>
      <c r="E3018" s="1" t="s">
        <v>9470</v>
      </c>
      <c r="F3018" s="1" t="s">
        <v>6280</v>
      </c>
      <c r="G3018" s="1" t="s">
        <v>6280</v>
      </c>
      <c r="H3018" s="1" t="s">
        <v>30</v>
      </c>
      <c r="I3018" s="1" t="s">
        <v>16</v>
      </c>
      <c r="J3018" s="1">
        <v>1</v>
      </c>
      <c r="K3018" s="1">
        <v>6</v>
      </c>
      <c r="L3018" s="1" t="s">
        <v>42</v>
      </c>
      <c r="M3018" s="1" t="s">
        <v>18</v>
      </c>
      <c r="N3018" s="1" t="s">
        <v>18</v>
      </c>
      <c r="O3018" s="1">
        <v>3</v>
      </c>
      <c r="P3018" s="1">
        <v>6</v>
      </c>
      <c r="R3018" s="1" t="s">
        <v>19</v>
      </c>
      <c r="S3018" s="1" t="s">
        <v>20</v>
      </c>
      <c r="T3018" s="1" t="s">
        <v>21</v>
      </c>
      <c r="U3018" s="1" t="s">
        <v>22</v>
      </c>
      <c r="V3018" s="1" t="s">
        <v>23</v>
      </c>
      <c r="W3018" s="1" t="s">
        <v>24</v>
      </c>
      <c r="X3018" s="1">
        <v>2701</v>
      </c>
      <c r="Y3018" s="1">
        <v>2916</v>
      </c>
      <c r="Z3018" s="1">
        <v>2732</v>
      </c>
      <c r="AA3018" s="1" t="s">
        <v>24</v>
      </c>
      <c r="AB3018" s="1" t="s">
        <v>24</v>
      </c>
      <c r="AC3018" s="1" t="s">
        <v>24</v>
      </c>
      <c r="AD3018" s="1" t="s">
        <v>24</v>
      </c>
      <c r="AE3018" s="1" t="s">
        <v>24</v>
      </c>
      <c r="AF3018" s="22"/>
    </row>
    <row r="3019" spans="1:32" x14ac:dyDescent="0.2">
      <c r="A3019" s="1">
        <v>23853</v>
      </c>
      <c r="B3019" s="1" t="s">
        <v>9471</v>
      </c>
      <c r="C3019" s="5" t="s">
        <v>0</v>
      </c>
      <c r="D3019" s="1" t="s">
        <v>9472</v>
      </c>
      <c r="F3019" s="1" t="s">
        <v>9473</v>
      </c>
      <c r="G3019" s="1" t="s">
        <v>9473</v>
      </c>
      <c r="H3019" s="1" t="s">
        <v>461</v>
      </c>
      <c r="I3019" s="1" t="s">
        <v>16</v>
      </c>
      <c r="J3019" s="1">
        <v>1</v>
      </c>
      <c r="K3019" s="1">
        <v>6</v>
      </c>
      <c r="L3019" s="1" t="s">
        <v>17</v>
      </c>
      <c r="M3019" s="1" t="s">
        <v>1735</v>
      </c>
      <c r="N3019" s="1" t="s">
        <v>18</v>
      </c>
      <c r="O3019" s="1">
        <v>2</v>
      </c>
      <c r="P3019" s="1">
        <v>5</v>
      </c>
      <c r="R3019" s="1" t="s">
        <v>19</v>
      </c>
      <c r="S3019" s="1" t="s">
        <v>20</v>
      </c>
      <c r="T3019" s="1" t="s">
        <v>21</v>
      </c>
      <c r="U3019" s="1" t="s">
        <v>22</v>
      </c>
      <c r="V3019" s="1" t="s">
        <v>24</v>
      </c>
      <c r="W3019" s="1" t="s">
        <v>24</v>
      </c>
      <c r="X3019" s="1">
        <v>2708</v>
      </c>
      <c r="Y3019" s="1">
        <v>2725</v>
      </c>
      <c r="Z3019" s="1" t="s">
        <v>24</v>
      </c>
      <c r="AA3019" s="1" t="s">
        <v>24</v>
      </c>
      <c r="AB3019" s="1" t="s">
        <v>24</v>
      </c>
      <c r="AC3019" s="1" t="s">
        <v>24</v>
      </c>
      <c r="AD3019" s="1" t="s">
        <v>24</v>
      </c>
      <c r="AE3019" s="1" t="s">
        <v>24</v>
      </c>
      <c r="AF3019" s="22"/>
    </row>
    <row r="3020" spans="1:32" x14ac:dyDescent="0.2">
      <c r="A3020" s="1">
        <v>23854</v>
      </c>
      <c r="B3020" s="1" t="s">
        <v>9474</v>
      </c>
      <c r="C3020" s="5" t="s">
        <v>0</v>
      </c>
      <c r="D3020" s="1" t="s">
        <v>9475</v>
      </c>
      <c r="F3020" s="1" t="s">
        <v>8749</v>
      </c>
      <c r="G3020" s="1" t="s">
        <v>8749</v>
      </c>
      <c r="H3020" s="1" t="s">
        <v>116</v>
      </c>
      <c r="I3020" s="1" t="s">
        <v>16</v>
      </c>
      <c r="J3020" s="1">
        <v>1</v>
      </c>
      <c r="K3020" s="1">
        <v>4</v>
      </c>
      <c r="L3020" s="1" t="s">
        <v>42</v>
      </c>
      <c r="M3020" s="1" t="s">
        <v>117</v>
      </c>
      <c r="N3020" s="1" t="s">
        <v>117</v>
      </c>
      <c r="O3020" s="1">
        <v>1</v>
      </c>
      <c r="P3020" s="1">
        <v>5</v>
      </c>
      <c r="R3020" s="1" t="s">
        <v>19</v>
      </c>
      <c r="S3020" s="1" t="s">
        <v>20</v>
      </c>
      <c r="T3020" s="1" t="s">
        <v>21</v>
      </c>
      <c r="U3020" s="1" t="s">
        <v>22</v>
      </c>
      <c r="V3020" s="1" t="s">
        <v>24</v>
      </c>
      <c r="W3020" s="1" t="s">
        <v>24</v>
      </c>
      <c r="X3020" s="1">
        <v>2729</v>
      </c>
      <c r="Y3020" s="1" t="s">
        <v>24</v>
      </c>
      <c r="Z3020" s="1" t="s">
        <v>24</v>
      </c>
      <c r="AA3020" s="1" t="s">
        <v>24</v>
      </c>
      <c r="AB3020" s="1" t="s">
        <v>24</v>
      </c>
      <c r="AC3020" s="1" t="s">
        <v>24</v>
      </c>
      <c r="AD3020" s="1" t="s">
        <v>24</v>
      </c>
      <c r="AE3020" s="1" t="s">
        <v>24</v>
      </c>
      <c r="AF3020" s="22"/>
    </row>
    <row r="3021" spans="1:32" x14ac:dyDescent="0.2">
      <c r="A3021" s="1">
        <v>23867</v>
      </c>
      <c r="B3021" s="1" t="s">
        <v>9476</v>
      </c>
      <c r="C3021" s="5" t="s">
        <v>0</v>
      </c>
      <c r="D3021" s="1" t="s">
        <v>9477</v>
      </c>
      <c r="F3021" s="1" t="s">
        <v>9478</v>
      </c>
      <c r="G3021" s="1" t="s">
        <v>9478</v>
      </c>
      <c r="H3021" s="1" t="s">
        <v>461</v>
      </c>
      <c r="I3021" s="1" t="s">
        <v>16</v>
      </c>
      <c r="J3021" s="1">
        <v>1</v>
      </c>
      <c r="K3021" s="1">
        <v>6</v>
      </c>
      <c r="L3021" s="1" t="s">
        <v>17</v>
      </c>
      <c r="M3021" s="1" t="s">
        <v>18</v>
      </c>
      <c r="N3021" s="1" t="s">
        <v>18</v>
      </c>
      <c r="O3021" s="1">
        <v>3</v>
      </c>
      <c r="P3021" s="1">
        <v>5</v>
      </c>
      <c r="R3021" s="1" t="s">
        <v>19</v>
      </c>
      <c r="S3021" s="1" t="s">
        <v>20</v>
      </c>
      <c r="T3021" s="1" t="s">
        <v>21</v>
      </c>
      <c r="U3021" s="1" t="s">
        <v>22</v>
      </c>
      <c r="V3021" s="1" t="s">
        <v>24</v>
      </c>
      <c r="W3021" s="1" t="s">
        <v>24</v>
      </c>
      <c r="X3021" s="1">
        <v>2738</v>
      </c>
      <c r="Y3021" s="1">
        <v>3203</v>
      </c>
      <c r="Z3021" s="1">
        <v>2736</v>
      </c>
      <c r="AA3021" s="1">
        <v>3004</v>
      </c>
      <c r="AB3021" s="1" t="s">
        <v>24</v>
      </c>
      <c r="AC3021" s="1" t="s">
        <v>24</v>
      </c>
      <c r="AD3021" s="1" t="s">
        <v>24</v>
      </c>
      <c r="AE3021" s="1" t="s">
        <v>24</v>
      </c>
      <c r="AF3021" s="22"/>
    </row>
    <row r="3022" spans="1:32" x14ac:dyDescent="0.2">
      <c r="A3022" s="1">
        <v>23878</v>
      </c>
      <c r="B3022" s="1" t="s">
        <v>9479</v>
      </c>
      <c r="C3022" s="5" t="s">
        <v>0</v>
      </c>
      <c r="D3022" s="1" t="s">
        <v>9480</v>
      </c>
      <c r="E3022" s="1" t="s">
        <v>9481</v>
      </c>
      <c r="F3022" s="1" t="s">
        <v>2299</v>
      </c>
      <c r="G3022" s="1" t="s">
        <v>2300</v>
      </c>
      <c r="H3022" s="1" t="s">
        <v>37</v>
      </c>
      <c r="I3022" s="1" t="s">
        <v>16</v>
      </c>
      <c r="J3022" s="1">
        <v>1</v>
      </c>
      <c r="K3022" s="1">
        <v>6</v>
      </c>
      <c r="L3022" s="1" t="s">
        <v>31</v>
      </c>
      <c r="M3022" s="1" t="s">
        <v>18</v>
      </c>
      <c r="N3022" s="1" t="s">
        <v>18</v>
      </c>
      <c r="O3022" s="1">
        <v>2</v>
      </c>
      <c r="P3022" s="1">
        <v>6</v>
      </c>
      <c r="R3022" s="1" t="s">
        <v>19</v>
      </c>
      <c r="S3022" s="1" t="s">
        <v>63</v>
      </c>
      <c r="T3022" s="1" t="s">
        <v>21</v>
      </c>
      <c r="U3022" s="1" t="s">
        <v>22</v>
      </c>
      <c r="V3022" s="1" t="s">
        <v>24</v>
      </c>
      <c r="W3022" s="1" t="s">
        <v>24</v>
      </c>
      <c r="X3022" s="1">
        <v>2735</v>
      </c>
      <c r="Y3022" s="1" t="s">
        <v>24</v>
      </c>
      <c r="Z3022" s="1" t="s">
        <v>24</v>
      </c>
      <c r="AA3022" s="1" t="s">
        <v>24</v>
      </c>
      <c r="AB3022" s="1" t="s">
        <v>24</v>
      </c>
      <c r="AC3022" s="1" t="s">
        <v>24</v>
      </c>
      <c r="AD3022" s="1" t="s">
        <v>24</v>
      </c>
      <c r="AE3022" s="1" t="s">
        <v>24</v>
      </c>
      <c r="AF3022" s="22"/>
    </row>
    <row r="3023" spans="1:32" x14ac:dyDescent="0.2">
      <c r="A3023" s="1">
        <v>23896</v>
      </c>
      <c r="B3023" s="1" t="s">
        <v>9482</v>
      </c>
      <c r="C3023" s="5" t="s">
        <v>0</v>
      </c>
      <c r="D3023" s="1" t="s">
        <v>9483</v>
      </c>
      <c r="E3023" s="1" t="s">
        <v>9484</v>
      </c>
      <c r="F3023" s="1" t="s">
        <v>91</v>
      </c>
      <c r="G3023" s="1" t="s">
        <v>61</v>
      </c>
      <c r="H3023" s="1" t="s">
        <v>92</v>
      </c>
      <c r="I3023" s="1" t="s">
        <v>16</v>
      </c>
      <c r="J3023" s="1">
        <v>0</v>
      </c>
      <c r="K3023" s="1">
        <v>0</v>
      </c>
      <c r="L3023" s="1" t="s">
        <v>31</v>
      </c>
      <c r="M3023" s="1" t="s">
        <v>18</v>
      </c>
      <c r="N3023" s="1" t="s">
        <v>18</v>
      </c>
      <c r="O3023" s="1">
        <v>3</v>
      </c>
      <c r="P3023" s="1">
        <v>7</v>
      </c>
      <c r="Q3023" s="7" t="s">
        <v>17633</v>
      </c>
      <c r="R3023" s="1" t="s">
        <v>62</v>
      </c>
      <c r="S3023" s="1" t="s">
        <v>20</v>
      </c>
      <c r="T3023" s="1" t="s">
        <v>21</v>
      </c>
      <c r="U3023" s="1" t="s">
        <v>22</v>
      </c>
      <c r="V3023" s="1" t="s">
        <v>24</v>
      </c>
      <c r="W3023" s="1" t="s">
        <v>24</v>
      </c>
      <c r="X3023" s="1">
        <v>2748</v>
      </c>
      <c r="Y3023" s="1" t="s">
        <v>24</v>
      </c>
      <c r="Z3023" s="1" t="s">
        <v>24</v>
      </c>
      <c r="AA3023" s="1" t="s">
        <v>24</v>
      </c>
      <c r="AB3023" s="1" t="s">
        <v>24</v>
      </c>
      <c r="AC3023" s="1" t="s">
        <v>24</v>
      </c>
      <c r="AD3023" s="1" t="s">
        <v>24</v>
      </c>
      <c r="AE3023" s="1" t="s">
        <v>24</v>
      </c>
      <c r="AF3023" s="22"/>
    </row>
    <row r="3024" spans="1:32" x14ac:dyDescent="0.2">
      <c r="A3024" s="1">
        <v>23917</v>
      </c>
      <c r="B3024" s="1" t="s">
        <v>9485</v>
      </c>
      <c r="C3024" s="5" t="s">
        <v>0</v>
      </c>
      <c r="D3024" s="1" t="s">
        <v>9486</v>
      </c>
      <c r="E3024" s="1" t="s">
        <v>9487</v>
      </c>
      <c r="F3024" s="1" t="s">
        <v>1945</v>
      </c>
      <c r="G3024" s="1" t="s">
        <v>80</v>
      </c>
      <c r="H3024" s="1" t="s">
        <v>30</v>
      </c>
      <c r="I3024" s="1" t="s">
        <v>16</v>
      </c>
      <c r="J3024" s="1">
        <v>1</v>
      </c>
      <c r="K3024" s="1">
        <v>2</v>
      </c>
      <c r="L3024" s="1" t="s">
        <v>31</v>
      </c>
      <c r="M3024" s="1" t="s">
        <v>18</v>
      </c>
      <c r="N3024" s="1" t="s">
        <v>18</v>
      </c>
      <c r="O3024" s="1">
        <v>3</v>
      </c>
      <c r="P3024" s="1">
        <v>6</v>
      </c>
      <c r="R3024" s="1" t="s">
        <v>19</v>
      </c>
      <c r="S3024" s="1" t="s">
        <v>20</v>
      </c>
      <c r="T3024" s="1" t="s">
        <v>21</v>
      </c>
      <c r="U3024" s="1" t="s">
        <v>22</v>
      </c>
      <c r="V3024" s="1" t="s">
        <v>23</v>
      </c>
      <c r="W3024" s="1" t="s">
        <v>24</v>
      </c>
      <c r="X3024" s="1">
        <v>1302</v>
      </c>
      <c r="Y3024" s="1">
        <v>2717</v>
      </c>
      <c r="Z3024" s="1" t="s">
        <v>24</v>
      </c>
      <c r="AA3024" s="1" t="s">
        <v>24</v>
      </c>
      <c r="AB3024" s="1" t="s">
        <v>24</v>
      </c>
      <c r="AC3024" s="1" t="s">
        <v>24</v>
      </c>
      <c r="AD3024" s="1" t="s">
        <v>24</v>
      </c>
      <c r="AE3024" s="1" t="s">
        <v>24</v>
      </c>
      <c r="AF3024" s="22"/>
    </row>
    <row r="3025" spans="1:32" x14ac:dyDescent="0.2">
      <c r="A3025" s="1">
        <v>23919</v>
      </c>
      <c r="B3025" s="1" t="s">
        <v>9488</v>
      </c>
      <c r="C3025" s="5" t="s">
        <v>0</v>
      </c>
      <c r="D3025" s="1" t="s">
        <v>9489</v>
      </c>
      <c r="F3025" s="1" t="s">
        <v>9490</v>
      </c>
      <c r="G3025" s="1" t="s">
        <v>9490</v>
      </c>
      <c r="H3025" s="1" t="s">
        <v>86</v>
      </c>
      <c r="I3025" s="1" t="s">
        <v>112</v>
      </c>
      <c r="J3025" s="1">
        <v>0</v>
      </c>
      <c r="K3025" s="1">
        <v>0</v>
      </c>
      <c r="L3025" s="1" t="s">
        <v>42</v>
      </c>
      <c r="M3025" s="1" t="s">
        <v>18</v>
      </c>
      <c r="N3025" s="1" t="s">
        <v>18</v>
      </c>
      <c r="O3025" s="1">
        <v>3</v>
      </c>
      <c r="P3025" s="1">
        <v>5</v>
      </c>
      <c r="R3025" s="1" t="s">
        <v>19</v>
      </c>
      <c r="S3025" s="1" t="s">
        <v>20</v>
      </c>
      <c r="T3025" s="1" t="s">
        <v>21</v>
      </c>
      <c r="U3025" s="1" t="s">
        <v>22</v>
      </c>
      <c r="V3025" s="1" t="s">
        <v>23</v>
      </c>
      <c r="W3025" s="1" t="s">
        <v>24</v>
      </c>
      <c r="X3025" s="1">
        <v>2717</v>
      </c>
      <c r="Y3025" s="1">
        <v>1302</v>
      </c>
      <c r="Z3025" s="1">
        <v>3206</v>
      </c>
      <c r="AA3025" s="1">
        <v>2803</v>
      </c>
      <c r="AB3025" s="1" t="s">
        <v>24</v>
      </c>
      <c r="AC3025" s="1" t="s">
        <v>24</v>
      </c>
      <c r="AD3025" s="1" t="s">
        <v>24</v>
      </c>
      <c r="AE3025" s="1" t="s">
        <v>24</v>
      </c>
      <c r="AF3025" s="22"/>
    </row>
    <row r="3026" spans="1:32" x14ac:dyDescent="0.2">
      <c r="A3026" s="1">
        <v>23928</v>
      </c>
      <c r="B3026" s="1" t="s">
        <v>9491</v>
      </c>
      <c r="C3026" s="5" t="s">
        <v>0</v>
      </c>
      <c r="D3026" s="1" t="s">
        <v>9492</v>
      </c>
      <c r="F3026" s="1" t="s">
        <v>9493</v>
      </c>
      <c r="G3026" s="1" t="s">
        <v>9493</v>
      </c>
      <c r="H3026" s="1" t="s">
        <v>4724</v>
      </c>
      <c r="I3026" s="1" t="s">
        <v>16</v>
      </c>
      <c r="J3026" s="1">
        <v>0</v>
      </c>
      <c r="K3026" s="1">
        <v>0</v>
      </c>
      <c r="L3026" s="1" t="s">
        <v>17</v>
      </c>
      <c r="M3026" s="1" t="s">
        <v>226</v>
      </c>
      <c r="N3026" s="1" t="s">
        <v>18</v>
      </c>
      <c r="O3026" s="1">
        <v>2</v>
      </c>
      <c r="P3026" s="1">
        <v>6</v>
      </c>
      <c r="R3026" s="1" t="s">
        <v>19</v>
      </c>
      <c r="S3026" s="1" t="s">
        <v>20</v>
      </c>
      <c r="T3026" s="1" t="s">
        <v>21</v>
      </c>
      <c r="U3026" s="1" t="s">
        <v>22</v>
      </c>
      <c r="V3026" s="1" t="s">
        <v>24</v>
      </c>
      <c r="W3026" s="1" t="s">
        <v>24</v>
      </c>
      <c r="X3026" s="1">
        <v>2735</v>
      </c>
      <c r="Y3026" s="1" t="s">
        <v>24</v>
      </c>
      <c r="Z3026" s="1" t="s">
        <v>24</v>
      </c>
      <c r="AA3026" s="1" t="s">
        <v>24</v>
      </c>
      <c r="AB3026" s="1" t="s">
        <v>24</v>
      </c>
      <c r="AC3026" s="1" t="s">
        <v>24</v>
      </c>
      <c r="AD3026" s="1" t="s">
        <v>24</v>
      </c>
      <c r="AE3026" s="1" t="s">
        <v>24</v>
      </c>
      <c r="AF3026" s="22"/>
    </row>
    <row r="3027" spans="1:32" x14ac:dyDescent="0.2">
      <c r="A3027" s="1">
        <v>23933</v>
      </c>
      <c r="B3027" s="1" t="s">
        <v>9494</v>
      </c>
      <c r="C3027" s="5" t="s">
        <v>0</v>
      </c>
      <c r="D3027" s="1" t="s">
        <v>9495</v>
      </c>
      <c r="E3027" s="1" t="s">
        <v>9496</v>
      </c>
      <c r="F3027" s="1" t="s">
        <v>9386</v>
      </c>
      <c r="G3027" s="1" t="s">
        <v>9386</v>
      </c>
      <c r="H3027" s="1" t="s">
        <v>37</v>
      </c>
      <c r="I3027" s="1" t="s">
        <v>16</v>
      </c>
      <c r="J3027" s="1">
        <v>1</v>
      </c>
      <c r="K3027" s="1">
        <v>3</v>
      </c>
      <c r="L3027" s="1" t="s">
        <v>42</v>
      </c>
      <c r="M3027" s="1" t="s">
        <v>18</v>
      </c>
      <c r="N3027" s="1" t="s">
        <v>18</v>
      </c>
      <c r="O3027" s="1">
        <v>3</v>
      </c>
      <c r="P3027" s="1">
        <v>6</v>
      </c>
      <c r="R3027" s="1" t="s">
        <v>19</v>
      </c>
      <c r="S3027" s="1" t="s">
        <v>20</v>
      </c>
      <c r="T3027" s="1" t="s">
        <v>21</v>
      </c>
      <c r="U3027" s="1" t="s">
        <v>22</v>
      </c>
      <c r="V3027" s="1" t="s">
        <v>24</v>
      </c>
      <c r="W3027" s="1" t="s">
        <v>24</v>
      </c>
      <c r="X3027" s="1">
        <v>2714</v>
      </c>
      <c r="Y3027" s="1" t="s">
        <v>24</v>
      </c>
      <c r="Z3027" s="1" t="s">
        <v>24</v>
      </c>
      <c r="AA3027" s="1" t="s">
        <v>24</v>
      </c>
      <c r="AB3027" s="1" t="s">
        <v>24</v>
      </c>
      <c r="AC3027" s="1" t="s">
        <v>24</v>
      </c>
      <c r="AD3027" s="1" t="s">
        <v>24</v>
      </c>
      <c r="AE3027" s="1" t="s">
        <v>24</v>
      </c>
      <c r="AF3027" s="22"/>
    </row>
    <row r="3028" spans="1:32" x14ac:dyDescent="0.2">
      <c r="A3028" s="1">
        <v>23935</v>
      </c>
      <c r="B3028" s="1" t="s">
        <v>9497</v>
      </c>
      <c r="C3028" s="5" t="s">
        <v>0</v>
      </c>
      <c r="D3028" s="1" t="s">
        <v>9498</v>
      </c>
      <c r="E3028" s="1" t="s">
        <v>9499</v>
      </c>
      <c r="F3028" s="1" t="s">
        <v>55</v>
      </c>
      <c r="G3028" s="1" t="s">
        <v>56</v>
      </c>
      <c r="H3028" s="1" t="s">
        <v>37</v>
      </c>
      <c r="I3028" s="1" t="s">
        <v>16</v>
      </c>
      <c r="J3028" s="1">
        <v>1</v>
      </c>
      <c r="K3028" s="1">
        <v>4</v>
      </c>
      <c r="L3028" s="1" t="s">
        <v>31</v>
      </c>
      <c r="M3028" s="1" t="s">
        <v>18</v>
      </c>
      <c r="N3028" s="1" t="s">
        <v>18</v>
      </c>
      <c r="O3028" s="1">
        <v>3</v>
      </c>
      <c r="P3028" s="1">
        <v>7</v>
      </c>
      <c r="Q3028" s="7" t="s">
        <v>17633</v>
      </c>
      <c r="R3028" s="1" t="s">
        <v>19</v>
      </c>
      <c r="S3028" s="1" t="s">
        <v>20</v>
      </c>
      <c r="T3028" s="1" t="s">
        <v>21</v>
      </c>
      <c r="U3028" s="1" t="s">
        <v>22</v>
      </c>
      <c r="V3028" s="1" t="s">
        <v>23</v>
      </c>
      <c r="W3028" s="1" t="s">
        <v>24</v>
      </c>
      <c r="X3028" s="1">
        <v>2705</v>
      </c>
      <c r="Y3028" s="1">
        <v>2740</v>
      </c>
      <c r="Z3028" s="1">
        <v>2746</v>
      </c>
      <c r="AA3028" s="1" t="s">
        <v>24</v>
      </c>
      <c r="AB3028" s="1" t="s">
        <v>24</v>
      </c>
      <c r="AC3028" s="1" t="s">
        <v>24</v>
      </c>
      <c r="AD3028" s="1" t="s">
        <v>24</v>
      </c>
      <c r="AE3028" s="1" t="s">
        <v>24</v>
      </c>
      <c r="AF3028" s="22"/>
    </row>
    <row r="3029" spans="1:32" x14ac:dyDescent="0.2">
      <c r="A3029" s="1">
        <v>23936</v>
      </c>
      <c r="B3029" s="1" t="s">
        <v>9500</v>
      </c>
      <c r="C3029" s="5" t="s">
        <v>0</v>
      </c>
      <c r="D3029" s="1" t="s">
        <v>9501</v>
      </c>
      <c r="E3029" s="1" t="s">
        <v>9502</v>
      </c>
      <c r="F3029" s="1" t="s">
        <v>28</v>
      </c>
      <c r="G3029" s="1" t="s">
        <v>29</v>
      </c>
      <c r="H3029" s="1" t="s">
        <v>30</v>
      </c>
      <c r="I3029" s="1" t="s">
        <v>16</v>
      </c>
      <c r="J3029" s="1">
        <v>1</v>
      </c>
      <c r="K3029" s="1">
        <v>4</v>
      </c>
      <c r="L3029" s="1" t="s">
        <v>31</v>
      </c>
      <c r="M3029" s="1" t="s">
        <v>18</v>
      </c>
      <c r="N3029" s="1" t="s">
        <v>18</v>
      </c>
      <c r="O3029" s="1">
        <v>3</v>
      </c>
      <c r="P3029" s="1">
        <v>7</v>
      </c>
      <c r="Q3029" s="7" t="s">
        <v>17633</v>
      </c>
      <c r="R3029" s="1" t="s">
        <v>19</v>
      </c>
      <c r="S3029" s="1" t="s">
        <v>20</v>
      </c>
      <c r="T3029" s="1" t="s">
        <v>21</v>
      </c>
      <c r="U3029" s="1" t="s">
        <v>22</v>
      </c>
      <c r="V3029" s="1" t="s">
        <v>24</v>
      </c>
      <c r="W3029" s="1" t="s">
        <v>24</v>
      </c>
      <c r="X3029" s="1">
        <v>2746</v>
      </c>
      <c r="Y3029" s="1" t="s">
        <v>24</v>
      </c>
      <c r="Z3029" s="1" t="s">
        <v>24</v>
      </c>
      <c r="AA3029" s="1" t="s">
        <v>24</v>
      </c>
      <c r="AB3029" s="1" t="s">
        <v>24</v>
      </c>
      <c r="AC3029" s="1" t="s">
        <v>24</v>
      </c>
      <c r="AD3029" s="1" t="s">
        <v>24</v>
      </c>
      <c r="AE3029" s="1" t="s">
        <v>24</v>
      </c>
      <c r="AF3029" s="22"/>
    </row>
    <row r="3030" spans="1:32" x14ac:dyDescent="0.2">
      <c r="A3030" s="1">
        <v>23937</v>
      </c>
      <c r="B3030" s="1" t="s">
        <v>9503</v>
      </c>
      <c r="C3030" s="5" t="s">
        <v>0</v>
      </c>
      <c r="D3030" s="1" t="s">
        <v>9504</v>
      </c>
      <c r="F3030" s="1" t="s">
        <v>9505</v>
      </c>
      <c r="G3030" s="1" t="s">
        <v>9505</v>
      </c>
      <c r="H3030" s="1" t="s">
        <v>899</v>
      </c>
      <c r="I3030" s="1" t="s">
        <v>16</v>
      </c>
      <c r="J3030" s="1">
        <v>1</v>
      </c>
      <c r="K3030" s="1">
        <v>3</v>
      </c>
      <c r="L3030" s="1" t="s">
        <v>42</v>
      </c>
      <c r="M3030" s="1" t="s">
        <v>18</v>
      </c>
      <c r="N3030" s="1" t="s">
        <v>18</v>
      </c>
      <c r="O3030" s="1">
        <v>3</v>
      </c>
      <c r="P3030" s="1">
        <v>6</v>
      </c>
      <c r="R3030" s="1" t="s">
        <v>19</v>
      </c>
      <c r="S3030" s="1" t="s">
        <v>20</v>
      </c>
      <c r="T3030" s="1" t="s">
        <v>21</v>
      </c>
      <c r="U3030" s="1" t="s">
        <v>22</v>
      </c>
      <c r="V3030" s="1" t="s">
        <v>24</v>
      </c>
      <c r="W3030" s="1" t="s">
        <v>24</v>
      </c>
      <c r="X3030" s="1">
        <v>2700</v>
      </c>
      <c r="Y3030" s="1" t="s">
        <v>24</v>
      </c>
      <c r="Z3030" s="1" t="s">
        <v>24</v>
      </c>
      <c r="AA3030" s="1" t="s">
        <v>24</v>
      </c>
      <c r="AB3030" s="1" t="s">
        <v>24</v>
      </c>
      <c r="AC3030" s="1" t="s">
        <v>24</v>
      </c>
      <c r="AD3030" s="1" t="s">
        <v>24</v>
      </c>
      <c r="AE3030" s="1" t="s">
        <v>24</v>
      </c>
      <c r="AF3030" s="22"/>
    </row>
    <row r="3031" spans="1:32" x14ac:dyDescent="0.2">
      <c r="A3031" s="1">
        <v>23938</v>
      </c>
      <c r="B3031" s="1" t="s">
        <v>9506</v>
      </c>
      <c r="C3031" s="5" t="s">
        <v>0</v>
      </c>
      <c r="D3031" s="1" t="s">
        <v>9507</v>
      </c>
      <c r="F3031" s="1" t="s">
        <v>248</v>
      </c>
      <c r="G3031" s="1" t="s">
        <v>61</v>
      </c>
      <c r="H3031" s="1" t="s">
        <v>249</v>
      </c>
      <c r="I3031" s="1" t="s">
        <v>16</v>
      </c>
      <c r="J3031" s="1">
        <v>1</v>
      </c>
      <c r="K3031" s="1">
        <v>6</v>
      </c>
      <c r="L3031" s="1" t="s">
        <v>31</v>
      </c>
      <c r="M3031" s="1" t="s">
        <v>3290</v>
      </c>
      <c r="N3031" s="1" t="s">
        <v>3290</v>
      </c>
      <c r="O3031" s="1">
        <v>3</v>
      </c>
      <c r="P3031" s="1">
        <v>6</v>
      </c>
      <c r="R3031" s="1" t="s">
        <v>19</v>
      </c>
      <c r="S3031" s="1" t="s">
        <v>20</v>
      </c>
      <c r="T3031" s="1" t="s">
        <v>21</v>
      </c>
      <c r="U3031" s="1" t="s">
        <v>22</v>
      </c>
      <c r="V3031" s="1" t="s">
        <v>23</v>
      </c>
      <c r="W3031" s="1" t="s">
        <v>24</v>
      </c>
      <c r="X3031" s="1">
        <v>1306</v>
      </c>
      <c r="Y3031" s="1">
        <v>2730</v>
      </c>
      <c r="Z3031" s="1">
        <v>2741</v>
      </c>
      <c r="AA3031" s="1" t="s">
        <v>24</v>
      </c>
      <c r="AB3031" s="1" t="s">
        <v>24</v>
      </c>
      <c r="AC3031" s="1" t="s">
        <v>24</v>
      </c>
      <c r="AD3031" s="1" t="s">
        <v>24</v>
      </c>
      <c r="AE3031" s="1" t="s">
        <v>24</v>
      </c>
      <c r="AF3031" s="22"/>
    </row>
    <row r="3032" spans="1:32" x14ac:dyDescent="0.2">
      <c r="A3032" s="1">
        <v>23940</v>
      </c>
      <c r="B3032" s="1" t="s">
        <v>9508</v>
      </c>
      <c r="C3032" s="5" t="s">
        <v>0</v>
      </c>
      <c r="D3032" s="1" t="s">
        <v>9509</v>
      </c>
      <c r="E3032" s="1" t="s">
        <v>9510</v>
      </c>
      <c r="F3032" s="1" t="s">
        <v>28</v>
      </c>
      <c r="G3032" s="1" t="s">
        <v>29</v>
      </c>
      <c r="H3032" s="1" t="s">
        <v>30</v>
      </c>
      <c r="I3032" s="1" t="s">
        <v>16</v>
      </c>
      <c r="J3032" s="1">
        <v>1</v>
      </c>
      <c r="K3032" s="1">
        <v>4</v>
      </c>
      <c r="L3032" s="1" t="s">
        <v>31</v>
      </c>
      <c r="M3032" s="1" t="s">
        <v>18</v>
      </c>
      <c r="N3032" s="1" t="s">
        <v>18</v>
      </c>
      <c r="O3032" s="1">
        <v>2</v>
      </c>
      <c r="P3032" s="1">
        <v>7</v>
      </c>
      <c r="Q3032" s="7" t="s">
        <v>17633</v>
      </c>
      <c r="R3032" s="1" t="s">
        <v>19</v>
      </c>
      <c r="S3032" s="1" t="s">
        <v>20</v>
      </c>
      <c r="T3032" s="1" t="s">
        <v>21</v>
      </c>
      <c r="U3032" s="1" t="s">
        <v>22</v>
      </c>
      <c r="V3032" s="1" t="s">
        <v>24</v>
      </c>
      <c r="W3032" s="1" t="s">
        <v>24</v>
      </c>
      <c r="X3032" s="1">
        <v>2705</v>
      </c>
      <c r="Y3032" s="1" t="s">
        <v>24</v>
      </c>
      <c r="Z3032" s="1" t="s">
        <v>24</v>
      </c>
      <c r="AA3032" s="1" t="s">
        <v>24</v>
      </c>
      <c r="AB3032" s="1" t="s">
        <v>24</v>
      </c>
      <c r="AC3032" s="1" t="s">
        <v>24</v>
      </c>
      <c r="AD3032" s="1" t="s">
        <v>24</v>
      </c>
      <c r="AE3032" s="1" t="s">
        <v>24</v>
      </c>
      <c r="AF3032" s="22"/>
    </row>
    <row r="3033" spans="1:32" x14ac:dyDescent="0.2">
      <c r="A3033" s="1">
        <v>23941</v>
      </c>
      <c r="B3033" s="1" t="s">
        <v>9511</v>
      </c>
      <c r="C3033" s="5" t="s">
        <v>0</v>
      </c>
      <c r="D3033" s="1" t="s">
        <v>9512</v>
      </c>
      <c r="E3033" s="1" t="s">
        <v>9513</v>
      </c>
      <c r="F3033" s="1" t="s">
        <v>2822</v>
      </c>
      <c r="G3033" s="1" t="s">
        <v>61</v>
      </c>
      <c r="H3033" s="1" t="s">
        <v>37</v>
      </c>
      <c r="I3033" s="1" t="s">
        <v>16</v>
      </c>
      <c r="J3033" s="1">
        <v>1</v>
      </c>
      <c r="K3033" s="1">
        <v>12</v>
      </c>
      <c r="L3033" s="1" t="s">
        <v>31</v>
      </c>
      <c r="M3033" s="1" t="s">
        <v>18</v>
      </c>
      <c r="N3033" s="1" t="s">
        <v>18</v>
      </c>
      <c r="O3033" s="1">
        <v>3</v>
      </c>
      <c r="P3033" s="1">
        <v>7</v>
      </c>
      <c r="Q3033" s="7" t="s">
        <v>17633</v>
      </c>
      <c r="R3033" s="1" t="s">
        <v>62</v>
      </c>
      <c r="S3033" s="1" t="s">
        <v>20</v>
      </c>
      <c r="T3033" s="1" t="s">
        <v>21</v>
      </c>
      <c r="U3033" s="1" t="s">
        <v>22</v>
      </c>
      <c r="V3033" s="1" t="s">
        <v>24</v>
      </c>
      <c r="W3033" s="1" t="s">
        <v>24</v>
      </c>
      <c r="X3033" s="1">
        <v>2728</v>
      </c>
      <c r="Y3033" s="1" t="s">
        <v>24</v>
      </c>
      <c r="Z3033" s="1" t="s">
        <v>24</v>
      </c>
      <c r="AA3033" s="1" t="s">
        <v>24</v>
      </c>
      <c r="AB3033" s="1" t="s">
        <v>24</v>
      </c>
      <c r="AC3033" s="1" t="s">
        <v>24</v>
      </c>
      <c r="AD3033" s="1" t="s">
        <v>24</v>
      </c>
      <c r="AE3033" s="1" t="s">
        <v>24</v>
      </c>
      <c r="AF3033" s="22"/>
    </row>
    <row r="3034" spans="1:32" x14ac:dyDescent="0.2">
      <c r="A3034" s="1">
        <v>23942</v>
      </c>
      <c r="B3034" s="1" t="s">
        <v>9514</v>
      </c>
      <c r="C3034" s="5" t="s">
        <v>0</v>
      </c>
      <c r="D3034" s="1" t="s">
        <v>9515</v>
      </c>
      <c r="E3034" s="1" t="s">
        <v>9516</v>
      </c>
      <c r="F3034" s="1" t="s">
        <v>194</v>
      </c>
      <c r="G3034" s="1" t="s">
        <v>61</v>
      </c>
      <c r="H3034" s="1" t="s">
        <v>30</v>
      </c>
      <c r="I3034" s="1" t="s">
        <v>16</v>
      </c>
      <c r="J3034" s="1">
        <v>1</v>
      </c>
      <c r="K3034" s="1">
        <v>6</v>
      </c>
      <c r="L3034" s="1" t="s">
        <v>31</v>
      </c>
      <c r="M3034" s="1" t="s">
        <v>18</v>
      </c>
      <c r="N3034" s="1" t="s">
        <v>18</v>
      </c>
      <c r="O3034" s="1">
        <v>3</v>
      </c>
      <c r="P3034" s="1">
        <v>7</v>
      </c>
      <c r="Q3034" s="7" t="s">
        <v>17633</v>
      </c>
      <c r="R3034" s="1" t="s">
        <v>19</v>
      </c>
      <c r="S3034" s="1" t="s">
        <v>20</v>
      </c>
      <c r="T3034" s="1" t="s">
        <v>21</v>
      </c>
      <c r="U3034" s="1" t="s">
        <v>22</v>
      </c>
      <c r="V3034" s="1" t="s">
        <v>24</v>
      </c>
      <c r="W3034" s="1" t="s">
        <v>24</v>
      </c>
      <c r="X3034" s="1">
        <v>2731</v>
      </c>
      <c r="Y3034" s="1">
        <v>2735</v>
      </c>
      <c r="Z3034" s="1" t="s">
        <v>24</v>
      </c>
      <c r="AA3034" s="1" t="s">
        <v>24</v>
      </c>
      <c r="AB3034" s="1" t="s">
        <v>24</v>
      </c>
      <c r="AC3034" s="1" t="s">
        <v>24</v>
      </c>
      <c r="AD3034" s="1" t="s">
        <v>24</v>
      </c>
      <c r="AE3034" s="1" t="s">
        <v>24</v>
      </c>
      <c r="AF3034" s="22"/>
    </row>
    <row r="3035" spans="1:32" x14ac:dyDescent="0.2">
      <c r="A3035" s="1">
        <v>23945</v>
      </c>
      <c r="B3035" s="1" t="s">
        <v>9517</v>
      </c>
      <c r="C3035" s="5" t="s">
        <v>0</v>
      </c>
      <c r="D3035" s="1" t="s">
        <v>9518</v>
      </c>
      <c r="E3035" s="1" t="s">
        <v>9519</v>
      </c>
      <c r="F3035" s="1" t="s">
        <v>1808</v>
      </c>
      <c r="G3035" s="1" t="s">
        <v>130</v>
      </c>
      <c r="H3035" s="1" t="s">
        <v>461</v>
      </c>
      <c r="I3035" s="1" t="s">
        <v>16</v>
      </c>
      <c r="J3035" s="1">
        <v>1</v>
      </c>
      <c r="K3035" s="1">
        <v>4</v>
      </c>
      <c r="L3035" s="1" t="s">
        <v>31</v>
      </c>
      <c r="M3035" s="1" t="s">
        <v>18</v>
      </c>
      <c r="N3035" s="1" t="s">
        <v>18</v>
      </c>
      <c r="O3035" s="1">
        <v>3</v>
      </c>
      <c r="P3035" s="1">
        <v>7</v>
      </c>
      <c r="Q3035" s="7" t="s">
        <v>17633</v>
      </c>
      <c r="R3035" s="1" t="s">
        <v>19</v>
      </c>
      <c r="S3035" s="1" t="s">
        <v>20</v>
      </c>
      <c r="T3035" s="1" t="s">
        <v>21</v>
      </c>
      <c r="U3035" s="1" t="s">
        <v>22</v>
      </c>
      <c r="V3035" s="1" t="s">
        <v>24</v>
      </c>
      <c r="W3035" s="1" t="s">
        <v>24</v>
      </c>
      <c r="X3035" s="1">
        <v>2702</v>
      </c>
      <c r="Y3035" s="1" t="s">
        <v>24</v>
      </c>
      <c r="Z3035" s="1" t="s">
        <v>24</v>
      </c>
      <c r="AA3035" s="1" t="s">
        <v>24</v>
      </c>
      <c r="AB3035" s="1" t="s">
        <v>24</v>
      </c>
      <c r="AC3035" s="1" t="s">
        <v>24</v>
      </c>
      <c r="AD3035" s="1" t="s">
        <v>24</v>
      </c>
      <c r="AE3035" s="1" t="s">
        <v>24</v>
      </c>
      <c r="AF3035" s="22"/>
    </row>
    <row r="3036" spans="1:32" x14ac:dyDescent="0.2">
      <c r="A3036" s="1">
        <v>23972</v>
      </c>
      <c r="B3036" s="1" t="s">
        <v>9520</v>
      </c>
      <c r="C3036" s="5" t="s">
        <v>0</v>
      </c>
      <c r="D3036" s="1" t="s">
        <v>9521</v>
      </c>
      <c r="F3036" s="1" t="s">
        <v>5420</v>
      </c>
      <c r="G3036" s="1" t="s">
        <v>5523</v>
      </c>
      <c r="H3036" s="1" t="s">
        <v>1384</v>
      </c>
      <c r="I3036" s="1" t="s">
        <v>16</v>
      </c>
      <c r="J3036" s="1">
        <v>1</v>
      </c>
      <c r="K3036" s="1">
        <v>4</v>
      </c>
      <c r="L3036" s="1" t="s">
        <v>17</v>
      </c>
      <c r="M3036" s="1" t="s">
        <v>18</v>
      </c>
      <c r="N3036" s="1" t="s">
        <v>18</v>
      </c>
      <c r="O3036" s="1">
        <v>2</v>
      </c>
      <c r="P3036" s="1">
        <v>5</v>
      </c>
      <c r="R3036" s="1" t="s">
        <v>19</v>
      </c>
      <c r="S3036" s="1" t="s">
        <v>20</v>
      </c>
      <c r="T3036" s="1" t="s">
        <v>21</v>
      </c>
      <c r="U3036" s="1" t="s">
        <v>22</v>
      </c>
      <c r="V3036" s="1" t="s">
        <v>23</v>
      </c>
      <c r="W3036" s="1" t="s">
        <v>24</v>
      </c>
      <c r="X3036" s="1">
        <v>2703</v>
      </c>
      <c r="Y3036" s="1" t="s">
        <v>24</v>
      </c>
      <c r="Z3036" s="1" t="s">
        <v>24</v>
      </c>
      <c r="AA3036" s="1" t="s">
        <v>24</v>
      </c>
      <c r="AB3036" s="1" t="s">
        <v>24</v>
      </c>
      <c r="AC3036" s="1" t="s">
        <v>24</v>
      </c>
      <c r="AD3036" s="1" t="s">
        <v>24</v>
      </c>
      <c r="AE3036" s="1" t="s">
        <v>24</v>
      </c>
      <c r="AF3036" s="22"/>
    </row>
    <row r="3037" spans="1:32" x14ac:dyDescent="0.2">
      <c r="A3037" s="1">
        <v>23978</v>
      </c>
      <c r="B3037" s="1" t="s">
        <v>9522</v>
      </c>
      <c r="C3037" s="5" t="s">
        <v>0</v>
      </c>
      <c r="D3037" s="1" t="s">
        <v>9523</v>
      </c>
      <c r="E3037" s="1" t="s">
        <v>9524</v>
      </c>
      <c r="F3037" s="1" t="s">
        <v>9525</v>
      </c>
      <c r="G3037" s="1" t="s">
        <v>61</v>
      </c>
      <c r="H3037" s="1" t="s">
        <v>7640</v>
      </c>
      <c r="I3037" s="1" t="s">
        <v>16</v>
      </c>
      <c r="J3037" s="1">
        <v>1</v>
      </c>
      <c r="K3037" s="1">
        <v>4</v>
      </c>
      <c r="L3037" s="1" t="s">
        <v>31</v>
      </c>
      <c r="M3037" s="1" t="s">
        <v>18</v>
      </c>
      <c r="N3037" s="1" t="s">
        <v>18</v>
      </c>
      <c r="O3037" s="1">
        <v>3</v>
      </c>
      <c r="P3037" s="1">
        <v>6</v>
      </c>
      <c r="R3037" s="1" t="s">
        <v>19</v>
      </c>
      <c r="S3037" s="1" t="s">
        <v>20</v>
      </c>
      <c r="T3037" s="1" t="s">
        <v>21</v>
      </c>
      <c r="U3037" s="1" t="s">
        <v>22</v>
      </c>
      <c r="V3037" s="1" t="s">
        <v>23</v>
      </c>
      <c r="W3037" s="1" t="s">
        <v>24</v>
      </c>
      <c r="X3037" s="1">
        <v>2703</v>
      </c>
      <c r="Y3037" s="1" t="s">
        <v>24</v>
      </c>
      <c r="Z3037" s="1" t="s">
        <v>24</v>
      </c>
      <c r="AA3037" s="1" t="s">
        <v>24</v>
      </c>
      <c r="AB3037" s="1" t="s">
        <v>24</v>
      </c>
      <c r="AC3037" s="1" t="s">
        <v>24</v>
      </c>
      <c r="AD3037" s="1" t="s">
        <v>24</v>
      </c>
      <c r="AE3037" s="1" t="s">
        <v>24</v>
      </c>
      <c r="AF3037" s="22"/>
    </row>
    <row r="3038" spans="1:32" x14ac:dyDescent="0.2">
      <c r="A3038" s="1">
        <v>24002</v>
      </c>
      <c r="B3038" s="1" t="s">
        <v>9526</v>
      </c>
      <c r="C3038" s="5" t="s">
        <v>0</v>
      </c>
      <c r="D3038" s="1" t="s">
        <v>9527</v>
      </c>
      <c r="F3038" s="1" t="s">
        <v>9528</v>
      </c>
      <c r="G3038" s="1" t="s">
        <v>9528</v>
      </c>
      <c r="H3038" s="1" t="s">
        <v>30</v>
      </c>
      <c r="I3038" s="1" t="s">
        <v>16</v>
      </c>
      <c r="J3038" s="1">
        <v>0</v>
      </c>
      <c r="K3038" s="1">
        <v>0</v>
      </c>
      <c r="L3038" s="1" t="s">
        <v>42</v>
      </c>
      <c r="M3038" s="1" t="s">
        <v>18</v>
      </c>
      <c r="N3038" s="1" t="s">
        <v>18</v>
      </c>
      <c r="O3038" s="1">
        <v>2</v>
      </c>
      <c r="P3038" s="1">
        <v>5</v>
      </c>
      <c r="R3038" s="1" t="s">
        <v>19</v>
      </c>
      <c r="S3038" s="1" t="s">
        <v>20</v>
      </c>
      <c r="T3038" s="1" t="s">
        <v>21</v>
      </c>
      <c r="U3038" s="1" t="s">
        <v>22</v>
      </c>
      <c r="V3038" s="1" t="s">
        <v>24</v>
      </c>
      <c r="W3038" s="1" t="s">
        <v>24</v>
      </c>
      <c r="X3038" s="1">
        <v>1300</v>
      </c>
      <c r="Y3038" s="1">
        <v>3400</v>
      </c>
      <c r="Z3038" s="1" t="s">
        <v>24</v>
      </c>
      <c r="AA3038" s="1" t="s">
        <v>24</v>
      </c>
      <c r="AB3038" s="1" t="s">
        <v>24</v>
      </c>
      <c r="AC3038" s="1" t="s">
        <v>24</v>
      </c>
      <c r="AD3038" s="1" t="s">
        <v>24</v>
      </c>
      <c r="AE3038" s="1" t="s">
        <v>24</v>
      </c>
      <c r="AF3038" s="22"/>
    </row>
    <row r="3039" spans="1:32" x14ac:dyDescent="0.2">
      <c r="A3039" s="1">
        <v>24003</v>
      </c>
      <c r="B3039" s="1" t="s">
        <v>9529</v>
      </c>
      <c r="C3039" s="5" t="s">
        <v>0</v>
      </c>
      <c r="D3039" s="1" t="s">
        <v>9530</v>
      </c>
      <c r="E3039" s="1" t="s">
        <v>9531</v>
      </c>
      <c r="F3039" s="1" t="s">
        <v>28</v>
      </c>
      <c r="G3039" s="1" t="s">
        <v>29</v>
      </c>
      <c r="H3039" s="1" t="s">
        <v>30</v>
      </c>
      <c r="I3039" s="1" t="s">
        <v>16</v>
      </c>
      <c r="J3039" s="1">
        <v>1</v>
      </c>
      <c r="K3039" s="1">
        <v>6</v>
      </c>
      <c r="L3039" s="1" t="s">
        <v>31</v>
      </c>
      <c r="M3039" s="1" t="s">
        <v>18</v>
      </c>
      <c r="N3039" s="1" t="s">
        <v>18</v>
      </c>
      <c r="O3039" s="1">
        <v>3</v>
      </c>
      <c r="P3039" s="1">
        <v>7</v>
      </c>
      <c r="Q3039" s="7" t="s">
        <v>17633</v>
      </c>
      <c r="R3039" s="1" t="s">
        <v>19</v>
      </c>
      <c r="S3039" s="1" t="s">
        <v>20</v>
      </c>
      <c r="T3039" s="1" t="s">
        <v>21</v>
      </c>
      <c r="U3039" s="1" t="s">
        <v>22</v>
      </c>
      <c r="V3039" s="1" t="s">
        <v>23</v>
      </c>
      <c r="W3039" s="1" t="s">
        <v>24</v>
      </c>
      <c r="X3039" s="1">
        <v>2900</v>
      </c>
      <c r="Y3039" s="1" t="s">
        <v>24</v>
      </c>
      <c r="Z3039" s="1" t="s">
        <v>24</v>
      </c>
      <c r="AA3039" s="1" t="s">
        <v>24</v>
      </c>
      <c r="AB3039" s="1" t="s">
        <v>24</v>
      </c>
      <c r="AC3039" s="1" t="s">
        <v>24</v>
      </c>
      <c r="AD3039" s="1" t="s">
        <v>24</v>
      </c>
      <c r="AE3039" s="1" t="s">
        <v>24</v>
      </c>
      <c r="AF3039" s="22"/>
    </row>
    <row r="3040" spans="1:32" x14ac:dyDescent="0.2">
      <c r="A3040" s="1">
        <v>24005</v>
      </c>
      <c r="B3040" s="1" t="s">
        <v>9532</v>
      </c>
      <c r="C3040" s="5" t="s">
        <v>0</v>
      </c>
      <c r="D3040" s="1" t="s">
        <v>9533</v>
      </c>
      <c r="E3040" s="1" t="s">
        <v>9534</v>
      </c>
      <c r="F3040" s="1" t="s">
        <v>85</v>
      </c>
      <c r="G3040" s="1" t="s">
        <v>61</v>
      </c>
      <c r="H3040" s="1" t="s">
        <v>86</v>
      </c>
      <c r="I3040" s="1" t="s">
        <v>16</v>
      </c>
      <c r="J3040" s="1">
        <v>1</v>
      </c>
      <c r="K3040" s="1">
        <v>4</v>
      </c>
      <c r="L3040" s="1" t="s">
        <v>31</v>
      </c>
      <c r="M3040" s="1" t="s">
        <v>87</v>
      </c>
      <c r="N3040" s="1" t="s">
        <v>199</v>
      </c>
      <c r="O3040" s="1">
        <v>3</v>
      </c>
      <c r="P3040" s="1">
        <v>6</v>
      </c>
      <c r="R3040" s="1" t="s">
        <v>19</v>
      </c>
      <c r="S3040" s="1" t="s">
        <v>20</v>
      </c>
      <c r="T3040" s="1" t="s">
        <v>21</v>
      </c>
      <c r="U3040" s="1" t="s">
        <v>22</v>
      </c>
      <c r="V3040" s="1" t="s">
        <v>23</v>
      </c>
      <c r="W3040" s="1" t="s">
        <v>24</v>
      </c>
      <c r="X3040" s="1">
        <v>2746</v>
      </c>
      <c r="Y3040" s="1">
        <v>2732</v>
      </c>
      <c r="Z3040" s="1">
        <v>2742</v>
      </c>
      <c r="AA3040" s="1" t="s">
        <v>24</v>
      </c>
      <c r="AB3040" s="1" t="s">
        <v>24</v>
      </c>
      <c r="AC3040" s="1" t="s">
        <v>24</v>
      </c>
      <c r="AD3040" s="1" t="s">
        <v>24</v>
      </c>
      <c r="AE3040" s="1" t="s">
        <v>24</v>
      </c>
      <c r="AF3040" s="22"/>
    </row>
    <row r="3041" spans="1:32" x14ac:dyDescent="0.2">
      <c r="A3041" s="1">
        <v>24014</v>
      </c>
      <c r="B3041" s="1" t="s">
        <v>9535</v>
      </c>
      <c r="C3041" s="5" t="s">
        <v>0</v>
      </c>
      <c r="D3041" s="1" t="s">
        <v>9536</v>
      </c>
      <c r="E3041" s="1" t="s">
        <v>9537</v>
      </c>
      <c r="F3041" s="1" t="s">
        <v>291</v>
      </c>
      <c r="G3041" s="1" t="s">
        <v>292</v>
      </c>
      <c r="H3041" s="1" t="s">
        <v>30</v>
      </c>
      <c r="I3041" s="1" t="s">
        <v>16</v>
      </c>
      <c r="J3041" s="1">
        <v>1</v>
      </c>
      <c r="K3041" s="1">
        <v>6</v>
      </c>
      <c r="L3041" s="1" t="s">
        <v>31</v>
      </c>
      <c r="M3041" s="1" t="s">
        <v>18</v>
      </c>
      <c r="N3041" s="1" t="s">
        <v>18</v>
      </c>
      <c r="O3041" s="1">
        <v>3</v>
      </c>
      <c r="P3041" s="1">
        <v>6</v>
      </c>
      <c r="R3041" s="1" t="s">
        <v>19</v>
      </c>
      <c r="S3041" s="1" t="s">
        <v>20</v>
      </c>
      <c r="T3041" s="1" t="s">
        <v>21</v>
      </c>
      <c r="U3041" s="1" t="s">
        <v>22</v>
      </c>
      <c r="V3041" s="1" t="s">
        <v>24</v>
      </c>
      <c r="W3041" s="1" t="s">
        <v>64</v>
      </c>
      <c r="X3041" s="1">
        <v>1303</v>
      </c>
      <c r="Y3041" s="1">
        <v>1307</v>
      </c>
      <c r="Z3041" s="1">
        <v>1312</v>
      </c>
      <c r="AA3041" s="1" t="s">
        <v>24</v>
      </c>
      <c r="AB3041" s="1" t="s">
        <v>24</v>
      </c>
      <c r="AC3041" s="1" t="s">
        <v>24</v>
      </c>
      <c r="AD3041" s="1" t="s">
        <v>24</v>
      </c>
      <c r="AE3041" s="1" t="s">
        <v>24</v>
      </c>
      <c r="AF3041" s="22"/>
    </row>
    <row r="3042" spans="1:32" x14ac:dyDescent="0.2">
      <c r="A3042" s="1">
        <v>24020</v>
      </c>
      <c r="B3042" s="1" t="s">
        <v>9538</v>
      </c>
      <c r="C3042" s="5" t="s">
        <v>0</v>
      </c>
      <c r="D3042" s="1" t="s">
        <v>9539</v>
      </c>
      <c r="E3042" s="1" t="s">
        <v>9540</v>
      </c>
      <c r="F3042" s="1" t="s">
        <v>35</v>
      </c>
      <c r="G3042" s="1" t="s">
        <v>36</v>
      </c>
      <c r="H3042" s="1" t="s">
        <v>37</v>
      </c>
      <c r="I3042" s="1" t="s">
        <v>16</v>
      </c>
      <c r="J3042" s="1">
        <v>1</v>
      </c>
      <c r="K3042" s="1">
        <v>4</v>
      </c>
      <c r="L3042" s="1" t="s">
        <v>31</v>
      </c>
      <c r="M3042" s="1" t="s">
        <v>18</v>
      </c>
      <c r="N3042" s="1" t="s">
        <v>18</v>
      </c>
      <c r="O3042" s="1">
        <v>3</v>
      </c>
      <c r="P3042" s="1">
        <v>6</v>
      </c>
      <c r="R3042" s="1" t="s">
        <v>19</v>
      </c>
      <c r="S3042" s="1" t="s">
        <v>20</v>
      </c>
      <c r="T3042" s="1" t="s">
        <v>21</v>
      </c>
      <c r="U3042" s="1" t="s">
        <v>22</v>
      </c>
      <c r="V3042" s="1" t="s">
        <v>24</v>
      </c>
      <c r="W3042" s="1" t="s">
        <v>24</v>
      </c>
      <c r="X3042" s="1">
        <v>3004</v>
      </c>
      <c r="Y3042" s="1" t="s">
        <v>24</v>
      </c>
      <c r="Z3042" s="1" t="s">
        <v>24</v>
      </c>
      <c r="AA3042" s="1" t="s">
        <v>24</v>
      </c>
      <c r="AB3042" s="1" t="s">
        <v>24</v>
      </c>
      <c r="AC3042" s="1" t="s">
        <v>24</v>
      </c>
      <c r="AD3042" s="1" t="s">
        <v>24</v>
      </c>
      <c r="AE3042" s="1" t="s">
        <v>24</v>
      </c>
      <c r="AF3042" s="22"/>
    </row>
    <row r="3043" spans="1:32" x14ac:dyDescent="0.2">
      <c r="A3043" s="1">
        <v>24044</v>
      </c>
      <c r="B3043" s="1" t="s">
        <v>9541</v>
      </c>
      <c r="C3043" s="5" t="s">
        <v>0</v>
      </c>
      <c r="D3043" s="1" t="s">
        <v>9542</v>
      </c>
      <c r="E3043" s="1" t="s">
        <v>9543</v>
      </c>
      <c r="F3043" s="1" t="s">
        <v>35</v>
      </c>
      <c r="G3043" s="1" t="s">
        <v>36</v>
      </c>
      <c r="H3043" s="1" t="s">
        <v>37</v>
      </c>
      <c r="I3043" s="1" t="s">
        <v>16</v>
      </c>
      <c r="J3043" s="1">
        <v>1</v>
      </c>
      <c r="K3043" s="1">
        <v>12</v>
      </c>
      <c r="L3043" s="1" t="s">
        <v>31</v>
      </c>
      <c r="M3043" s="1" t="s">
        <v>413</v>
      </c>
      <c r="N3043" s="1" t="s">
        <v>242</v>
      </c>
      <c r="O3043" s="1">
        <v>3</v>
      </c>
      <c r="P3043" s="1">
        <v>6</v>
      </c>
      <c r="R3043" s="1" t="s">
        <v>19</v>
      </c>
      <c r="S3043" s="1" t="s">
        <v>20</v>
      </c>
      <c r="T3043" s="1" t="s">
        <v>21</v>
      </c>
      <c r="U3043" s="1" t="s">
        <v>22</v>
      </c>
      <c r="V3043" s="1" t="s">
        <v>24</v>
      </c>
      <c r="W3043" s="1" t="s">
        <v>24</v>
      </c>
      <c r="X3043" s="1">
        <v>2708</v>
      </c>
      <c r="Y3043" s="1" t="s">
        <v>24</v>
      </c>
      <c r="Z3043" s="1" t="s">
        <v>24</v>
      </c>
      <c r="AA3043" s="1" t="s">
        <v>24</v>
      </c>
      <c r="AB3043" s="1" t="s">
        <v>24</v>
      </c>
      <c r="AC3043" s="1" t="s">
        <v>24</v>
      </c>
      <c r="AD3043" s="1" t="s">
        <v>24</v>
      </c>
      <c r="AE3043" s="1" t="s">
        <v>24</v>
      </c>
      <c r="AF3043" s="22"/>
    </row>
    <row r="3044" spans="1:32" x14ac:dyDescent="0.2">
      <c r="A3044" s="1">
        <v>24047</v>
      </c>
      <c r="B3044" s="1" t="s">
        <v>9544</v>
      </c>
      <c r="C3044" s="5" t="s">
        <v>0</v>
      </c>
      <c r="D3044" s="1" t="s">
        <v>9545</v>
      </c>
      <c r="E3044" s="1" t="s">
        <v>9546</v>
      </c>
      <c r="F3044" s="1" t="s">
        <v>303</v>
      </c>
      <c r="G3044" s="1" t="s">
        <v>61</v>
      </c>
      <c r="H3044" s="1" t="s">
        <v>30</v>
      </c>
      <c r="I3044" s="1" t="s">
        <v>16</v>
      </c>
      <c r="J3044" s="1">
        <v>1</v>
      </c>
      <c r="K3044" s="1">
        <v>12</v>
      </c>
      <c r="L3044" s="1" t="s">
        <v>31</v>
      </c>
      <c r="M3044" s="1" t="s">
        <v>18</v>
      </c>
      <c r="N3044" s="1" t="s">
        <v>18</v>
      </c>
      <c r="O3044" s="1">
        <v>3</v>
      </c>
      <c r="P3044" s="1">
        <v>6</v>
      </c>
      <c r="R3044" s="1" t="s">
        <v>19</v>
      </c>
      <c r="S3044" s="1" t="s">
        <v>20</v>
      </c>
      <c r="T3044" s="1" t="s">
        <v>21</v>
      </c>
      <c r="U3044" s="1" t="s">
        <v>22</v>
      </c>
      <c r="V3044" s="1" t="s">
        <v>23</v>
      </c>
      <c r="W3044" s="1" t="s">
        <v>24</v>
      </c>
      <c r="X3044" s="1">
        <v>2732</v>
      </c>
      <c r="Y3044" s="1" t="s">
        <v>24</v>
      </c>
      <c r="Z3044" s="1" t="s">
        <v>24</v>
      </c>
      <c r="AA3044" s="1" t="s">
        <v>24</v>
      </c>
      <c r="AB3044" s="1" t="s">
        <v>24</v>
      </c>
      <c r="AC3044" s="1" t="s">
        <v>24</v>
      </c>
      <c r="AD3044" s="1" t="s">
        <v>24</v>
      </c>
      <c r="AE3044" s="1" t="s">
        <v>24</v>
      </c>
      <c r="AF3044" s="22"/>
    </row>
    <row r="3045" spans="1:32" x14ac:dyDescent="0.2">
      <c r="A3045" s="1">
        <v>24048</v>
      </c>
      <c r="B3045" s="1" t="s">
        <v>9547</v>
      </c>
      <c r="C3045" s="5" t="s">
        <v>0</v>
      </c>
      <c r="D3045" s="1" t="s">
        <v>9548</v>
      </c>
      <c r="E3045" s="1" t="s">
        <v>9549</v>
      </c>
      <c r="F3045" s="1" t="s">
        <v>167</v>
      </c>
      <c r="G3045" s="1" t="s">
        <v>130</v>
      </c>
      <c r="H3045" s="1" t="s">
        <v>168</v>
      </c>
      <c r="I3045" s="1" t="s">
        <v>16</v>
      </c>
      <c r="J3045" s="1">
        <v>1</v>
      </c>
      <c r="K3045" s="1">
        <v>4</v>
      </c>
      <c r="L3045" s="1" t="s">
        <v>31</v>
      </c>
      <c r="M3045" s="1" t="s">
        <v>9550</v>
      </c>
      <c r="N3045" s="1" t="s">
        <v>2292</v>
      </c>
      <c r="O3045" s="1">
        <v>0</v>
      </c>
      <c r="P3045" s="1">
        <v>7</v>
      </c>
      <c r="Q3045" s="7" t="s">
        <v>17633</v>
      </c>
      <c r="R3045" s="1" t="s">
        <v>19</v>
      </c>
      <c r="S3045" s="1" t="s">
        <v>20</v>
      </c>
      <c r="T3045" s="1" t="s">
        <v>21</v>
      </c>
      <c r="U3045" s="1" t="s">
        <v>22</v>
      </c>
      <c r="V3045" s="1" t="s">
        <v>23</v>
      </c>
      <c r="W3045" s="1" t="s">
        <v>24</v>
      </c>
      <c r="X3045" s="1">
        <v>2719</v>
      </c>
      <c r="Y3045" s="1">
        <v>2001</v>
      </c>
      <c r="Z3045" s="1" t="s">
        <v>24</v>
      </c>
      <c r="AA3045" s="1" t="s">
        <v>24</v>
      </c>
      <c r="AB3045" s="1" t="s">
        <v>24</v>
      </c>
      <c r="AC3045" s="1" t="s">
        <v>24</v>
      </c>
      <c r="AD3045" s="1" t="s">
        <v>24</v>
      </c>
      <c r="AE3045" s="1" t="s">
        <v>24</v>
      </c>
      <c r="AF3045" s="22"/>
    </row>
    <row r="3046" spans="1:32" x14ac:dyDescent="0.2">
      <c r="A3046" s="1">
        <v>24057</v>
      </c>
      <c r="B3046" s="1" t="s">
        <v>9551</v>
      </c>
      <c r="C3046" s="5" t="s">
        <v>0</v>
      </c>
      <c r="D3046" s="1" t="s">
        <v>9552</v>
      </c>
      <c r="E3046" s="1" t="s">
        <v>9553</v>
      </c>
      <c r="F3046" s="1" t="s">
        <v>167</v>
      </c>
      <c r="G3046" s="1" t="s">
        <v>130</v>
      </c>
      <c r="H3046" s="1" t="s">
        <v>168</v>
      </c>
      <c r="I3046" s="1" t="s">
        <v>16</v>
      </c>
      <c r="J3046" s="1">
        <v>1</v>
      </c>
      <c r="K3046" s="1">
        <v>12</v>
      </c>
      <c r="L3046" s="1" t="s">
        <v>31</v>
      </c>
      <c r="M3046" s="1" t="s">
        <v>18</v>
      </c>
      <c r="N3046" s="1" t="s">
        <v>18</v>
      </c>
      <c r="O3046" s="1">
        <v>3</v>
      </c>
      <c r="P3046" s="1">
        <v>6</v>
      </c>
      <c r="R3046" s="1" t="s">
        <v>62</v>
      </c>
      <c r="S3046" s="1" t="s">
        <v>20</v>
      </c>
      <c r="T3046" s="1" t="s">
        <v>21</v>
      </c>
      <c r="U3046" s="1" t="s">
        <v>22</v>
      </c>
      <c r="V3046" s="1" t="s">
        <v>23</v>
      </c>
      <c r="W3046" s="1" t="s">
        <v>24</v>
      </c>
      <c r="X3046" s="1">
        <v>2741</v>
      </c>
      <c r="Y3046" s="1" t="s">
        <v>24</v>
      </c>
      <c r="Z3046" s="1" t="s">
        <v>24</v>
      </c>
      <c r="AA3046" s="1" t="s">
        <v>24</v>
      </c>
      <c r="AB3046" s="1" t="s">
        <v>24</v>
      </c>
      <c r="AC3046" s="1" t="s">
        <v>24</v>
      </c>
      <c r="AD3046" s="1" t="s">
        <v>24</v>
      </c>
      <c r="AE3046" s="1" t="s">
        <v>24</v>
      </c>
      <c r="AF3046" s="22"/>
    </row>
    <row r="3047" spans="1:32" x14ac:dyDescent="0.2">
      <c r="A3047" s="1">
        <v>24087</v>
      </c>
      <c r="B3047" s="1" t="s">
        <v>9554</v>
      </c>
      <c r="C3047" s="5" t="s">
        <v>0</v>
      </c>
      <c r="D3047" s="1" t="s">
        <v>9555</v>
      </c>
      <c r="E3047" s="1" t="s">
        <v>9556</v>
      </c>
      <c r="F3047" s="1" t="s">
        <v>651</v>
      </c>
      <c r="G3047" s="1" t="s">
        <v>36</v>
      </c>
      <c r="H3047" s="1" t="s">
        <v>168</v>
      </c>
      <c r="I3047" s="1" t="s">
        <v>16</v>
      </c>
      <c r="J3047" s="1">
        <v>1</v>
      </c>
      <c r="K3047" s="1">
        <v>6</v>
      </c>
      <c r="L3047" s="1" t="s">
        <v>31</v>
      </c>
      <c r="M3047" s="1" t="s">
        <v>18</v>
      </c>
      <c r="N3047" s="1" t="s">
        <v>18</v>
      </c>
      <c r="O3047" s="1">
        <v>3</v>
      </c>
      <c r="P3047" s="1">
        <v>6</v>
      </c>
      <c r="R3047" s="1" t="s">
        <v>19</v>
      </c>
      <c r="S3047" s="1" t="s">
        <v>20</v>
      </c>
      <c r="T3047" s="1" t="s">
        <v>21</v>
      </c>
      <c r="U3047" s="1" t="s">
        <v>22</v>
      </c>
      <c r="V3047" s="1" t="s">
        <v>24</v>
      </c>
      <c r="W3047" s="1" t="s">
        <v>24</v>
      </c>
      <c r="X3047" s="1">
        <v>1305</v>
      </c>
      <c r="Y3047" s="1">
        <v>2305</v>
      </c>
      <c r="Z3047" s="1">
        <v>1502</v>
      </c>
      <c r="AA3047" s="1" t="s">
        <v>24</v>
      </c>
      <c r="AB3047" s="1" t="s">
        <v>24</v>
      </c>
      <c r="AC3047" s="1" t="s">
        <v>24</v>
      </c>
      <c r="AD3047" s="1" t="s">
        <v>24</v>
      </c>
      <c r="AE3047" s="1" t="s">
        <v>24</v>
      </c>
      <c r="AF3047" s="22"/>
    </row>
    <row r="3048" spans="1:32" x14ac:dyDescent="0.2">
      <c r="A3048" s="1">
        <v>24104</v>
      </c>
      <c r="B3048" s="1" t="s">
        <v>9557</v>
      </c>
      <c r="C3048" s="5" t="s">
        <v>0</v>
      </c>
      <c r="D3048" s="1" t="s">
        <v>9558</v>
      </c>
      <c r="E3048" s="1" t="s">
        <v>9559</v>
      </c>
      <c r="F3048" s="1" t="s">
        <v>1224</v>
      </c>
      <c r="G3048" s="1" t="s">
        <v>1224</v>
      </c>
      <c r="H3048" s="1" t="s">
        <v>30</v>
      </c>
      <c r="I3048" s="1" t="s">
        <v>16</v>
      </c>
      <c r="J3048" s="1">
        <v>1</v>
      </c>
      <c r="K3048" s="1">
        <v>12</v>
      </c>
      <c r="L3048" s="1" t="s">
        <v>42</v>
      </c>
      <c r="M3048" s="1" t="s">
        <v>18</v>
      </c>
      <c r="N3048" s="1" t="s">
        <v>18</v>
      </c>
      <c r="O3048" s="1">
        <v>3</v>
      </c>
      <c r="P3048" s="1">
        <v>7</v>
      </c>
      <c r="Q3048" s="7" t="s">
        <v>17633</v>
      </c>
      <c r="R3048" s="1" t="s">
        <v>62</v>
      </c>
      <c r="S3048" s="1" t="s">
        <v>20</v>
      </c>
      <c r="T3048" s="1" t="s">
        <v>21</v>
      </c>
      <c r="U3048" s="1" t="s">
        <v>22</v>
      </c>
      <c r="V3048" s="1" t="s">
        <v>24</v>
      </c>
      <c r="W3048" s="1" t="s">
        <v>24</v>
      </c>
      <c r="X3048" s="1">
        <v>1312</v>
      </c>
      <c r="Y3048" s="1">
        <v>1306</v>
      </c>
      <c r="Z3048" s="1">
        <v>2730</v>
      </c>
      <c r="AA3048" s="1" t="s">
        <v>24</v>
      </c>
      <c r="AB3048" s="1" t="s">
        <v>24</v>
      </c>
      <c r="AC3048" s="1" t="s">
        <v>24</v>
      </c>
      <c r="AD3048" s="1" t="s">
        <v>24</v>
      </c>
      <c r="AE3048" s="1" t="s">
        <v>24</v>
      </c>
      <c r="AF3048" s="22"/>
    </row>
    <row r="3049" spans="1:32" x14ac:dyDescent="0.2">
      <c r="A3049" s="1">
        <v>24105</v>
      </c>
      <c r="B3049" s="1" t="s">
        <v>9560</v>
      </c>
      <c r="C3049" s="5" t="s">
        <v>0</v>
      </c>
      <c r="D3049" s="1" t="s">
        <v>9561</v>
      </c>
      <c r="E3049" s="1" t="s">
        <v>9562</v>
      </c>
      <c r="F3049" s="1" t="s">
        <v>4828</v>
      </c>
      <c r="G3049" s="1" t="s">
        <v>6746</v>
      </c>
      <c r="H3049" s="1" t="s">
        <v>30</v>
      </c>
      <c r="I3049" s="1" t="s">
        <v>5001</v>
      </c>
      <c r="J3049" s="1">
        <v>1</v>
      </c>
      <c r="K3049" s="1">
        <v>12</v>
      </c>
      <c r="L3049" s="1" t="s">
        <v>31</v>
      </c>
      <c r="M3049" s="1" t="s">
        <v>18</v>
      </c>
      <c r="N3049" s="1" t="s">
        <v>18</v>
      </c>
      <c r="O3049" s="1">
        <v>0</v>
      </c>
      <c r="P3049" s="1">
        <v>6</v>
      </c>
      <c r="R3049" s="1" t="s">
        <v>19</v>
      </c>
      <c r="S3049" s="1" t="s">
        <v>20</v>
      </c>
      <c r="T3049" s="1" t="s">
        <v>21</v>
      </c>
      <c r="U3049" s="1" t="s">
        <v>22</v>
      </c>
      <c r="V3049" s="1" t="s">
        <v>24</v>
      </c>
      <c r="W3049" s="1" t="s">
        <v>24</v>
      </c>
      <c r="X3049" s="1">
        <v>3003</v>
      </c>
      <c r="Y3049" s="1">
        <v>1305</v>
      </c>
      <c r="Z3049" s="1" t="s">
        <v>24</v>
      </c>
      <c r="AA3049" s="1" t="s">
        <v>24</v>
      </c>
      <c r="AB3049" s="1" t="s">
        <v>24</v>
      </c>
      <c r="AC3049" s="1" t="s">
        <v>24</v>
      </c>
      <c r="AD3049" s="1" t="s">
        <v>24</v>
      </c>
      <c r="AE3049" s="1" t="s">
        <v>24</v>
      </c>
      <c r="AF3049" s="22"/>
    </row>
    <row r="3050" spans="1:32" x14ac:dyDescent="0.2">
      <c r="A3050" s="1">
        <v>24107</v>
      </c>
      <c r="B3050" s="1" t="s">
        <v>9563</v>
      </c>
      <c r="C3050" s="5" t="s">
        <v>0</v>
      </c>
      <c r="D3050" s="1" t="s">
        <v>9564</v>
      </c>
      <c r="E3050" s="1" t="s">
        <v>9565</v>
      </c>
      <c r="F3050" s="1" t="s">
        <v>4337</v>
      </c>
      <c r="G3050" s="1" t="s">
        <v>4338</v>
      </c>
      <c r="H3050" s="1" t="s">
        <v>30</v>
      </c>
      <c r="I3050" s="1" t="s">
        <v>16</v>
      </c>
      <c r="J3050" s="1">
        <v>1</v>
      </c>
      <c r="K3050" s="1">
        <v>10</v>
      </c>
      <c r="L3050" s="1" t="s">
        <v>31</v>
      </c>
      <c r="M3050" s="1" t="s">
        <v>18</v>
      </c>
      <c r="N3050" s="1" t="s">
        <v>18</v>
      </c>
      <c r="O3050" s="1">
        <v>3</v>
      </c>
      <c r="P3050" s="1">
        <v>7</v>
      </c>
      <c r="Q3050" s="7" t="s">
        <v>17633</v>
      </c>
      <c r="R3050" s="1" t="s">
        <v>19</v>
      </c>
      <c r="S3050" s="1" t="s">
        <v>20</v>
      </c>
      <c r="T3050" s="1" t="s">
        <v>21</v>
      </c>
      <c r="U3050" s="1" t="s">
        <v>22</v>
      </c>
      <c r="V3050" s="1" t="s">
        <v>23</v>
      </c>
      <c r="W3050" s="1" t="s">
        <v>24</v>
      </c>
      <c r="X3050" s="1">
        <v>2700</v>
      </c>
      <c r="Y3050" s="1" t="s">
        <v>24</v>
      </c>
      <c r="Z3050" s="1" t="s">
        <v>24</v>
      </c>
      <c r="AA3050" s="1" t="s">
        <v>24</v>
      </c>
      <c r="AB3050" s="1" t="s">
        <v>24</v>
      </c>
      <c r="AC3050" s="1" t="s">
        <v>24</v>
      </c>
      <c r="AD3050" s="1" t="s">
        <v>24</v>
      </c>
      <c r="AE3050" s="1" t="s">
        <v>24</v>
      </c>
      <c r="AF3050" s="22"/>
    </row>
    <row r="3051" spans="1:32" x14ac:dyDescent="0.2">
      <c r="A3051" s="1">
        <v>24120</v>
      </c>
      <c r="B3051" s="1" t="s">
        <v>9566</v>
      </c>
      <c r="C3051" s="5" t="s">
        <v>0</v>
      </c>
      <c r="D3051" s="1" t="s">
        <v>9567</v>
      </c>
      <c r="E3051" s="1" t="s">
        <v>9568</v>
      </c>
      <c r="F3051" s="1" t="s">
        <v>272</v>
      </c>
      <c r="G3051" s="1" t="s">
        <v>61</v>
      </c>
      <c r="H3051" s="1" t="s">
        <v>30</v>
      </c>
      <c r="I3051" s="1" t="s">
        <v>16</v>
      </c>
      <c r="J3051" s="1">
        <v>2</v>
      </c>
      <c r="K3051" s="1">
        <v>6</v>
      </c>
      <c r="L3051" s="1" t="s">
        <v>31</v>
      </c>
      <c r="M3051" s="1" t="s">
        <v>18</v>
      </c>
      <c r="N3051" s="1" t="s">
        <v>18</v>
      </c>
      <c r="O3051" s="1">
        <v>3</v>
      </c>
      <c r="P3051" s="1">
        <v>7</v>
      </c>
      <c r="Q3051" s="7" t="s">
        <v>17633</v>
      </c>
      <c r="R3051" s="1" t="s">
        <v>19</v>
      </c>
      <c r="S3051" s="1" t="s">
        <v>20</v>
      </c>
      <c r="T3051" s="1" t="s">
        <v>21</v>
      </c>
      <c r="U3051" s="1" t="s">
        <v>22</v>
      </c>
      <c r="V3051" s="1" t="s">
        <v>24</v>
      </c>
      <c r="W3051" s="1" t="s">
        <v>24</v>
      </c>
      <c r="X3051" s="1">
        <v>3004</v>
      </c>
      <c r="Y3051" s="1">
        <v>1313</v>
      </c>
      <c r="Z3051" s="1">
        <v>1314</v>
      </c>
      <c r="AA3051" s="1" t="s">
        <v>24</v>
      </c>
      <c r="AB3051" s="1" t="s">
        <v>24</v>
      </c>
      <c r="AC3051" s="1" t="s">
        <v>24</v>
      </c>
      <c r="AD3051" s="1" t="s">
        <v>24</v>
      </c>
      <c r="AE3051" s="1" t="s">
        <v>24</v>
      </c>
      <c r="AF3051" s="22"/>
    </row>
    <row r="3052" spans="1:32" x14ac:dyDescent="0.2">
      <c r="A3052" s="1">
        <v>24122</v>
      </c>
      <c r="B3052" s="1" t="s">
        <v>9569</v>
      </c>
      <c r="C3052" s="5" t="s">
        <v>0</v>
      </c>
      <c r="D3052" s="1" t="s">
        <v>9570</v>
      </c>
      <c r="F3052" s="1" t="s">
        <v>1711</v>
      </c>
      <c r="G3052" s="1" t="s">
        <v>1711</v>
      </c>
      <c r="H3052" s="1" t="s">
        <v>684</v>
      </c>
      <c r="I3052" s="1" t="s">
        <v>16</v>
      </c>
      <c r="J3052" s="1">
        <v>1</v>
      </c>
      <c r="K3052" s="1">
        <v>4</v>
      </c>
      <c r="L3052" s="1" t="s">
        <v>17</v>
      </c>
      <c r="M3052" s="1" t="s">
        <v>685</v>
      </c>
      <c r="N3052" s="1" t="s">
        <v>852</v>
      </c>
      <c r="O3052" s="1">
        <v>3</v>
      </c>
      <c r="P3052" s="1">
        <v>5</v>
      </c>
      <c r="R3052" s="1" t="s">
        <v>19</v>
      </c>
      <c r="S3052" s="1" t="s">
        <v>20</v>
      </c>
      <c r="T3052" s="1" t="s">
        <v>21</v>
      </c>
      <c r="U3052" s="1" t="s">
        <v>22</v>
      </c>
      <c r="V3052" s="1" t="s">
        <v>24</v>
      </c>
      <c r="W3052" s="1" t="s">
        <v>24</v>
      </c>
      <c r="X3052" s="1">
        <v>2738</v>
      </c>
      <c r="Y3052" s="1">
        <v>3203</v>
      </c>
      <c r="Z3052" s="1" t="s">
        <v>24</v>
      </c>
      <c r="AA3052" s="1" t="s">
        <v>24</v>
      </c>
      <c r="AB3052" s="1" t="s">
        <v>24</v>
      </c>
      <c r="AC3052" s="1" t="s">
        <v>24</v>
      </c>
      <c r="AD3052" s="1" t="s">
        <v>24</v>
      </c>
      <c r="AE3052" s="1" t="s">
        <v>24</v>
      </c>
      <c r="AF3052" s="22"/>
    </row>
    <row r="3053" spans="1:32" x14ac:dyDescent="0.2">
      <c r="A3053" s="1">
        <v>24202</v>
      </c>
      <c r="B3053" s="1" t="s">
        <v>9571</v>
      </c>
      <c r="C3053" s="5" t="s">
        <v>0</v>
      </c>
      <c r="D3053" s="1" t="s">
        <v>9572</v>
      </c>
      <c r="F3053" s="1" t="s">
        <v>9573</v>
      </c>
      <c r="G3053" s="1" t="s">
        <v>9573</v>
      </c>
      <c r="H3053" s="1" t="s">
        <v>684</v>
      </c>
      <c r="I3053" s="1" t="s">
        <v>16</v>
      </c>
      <c r="J3053" s="1">
        <v>1</v>
      </c>
      <c r="K3053" s="1">
        <v>4</v>
      </c>
      <c r="L3053" s="1" t="s">
        <v>42</v>
      </c>
      <c r="M3053" s="1" t="s">
        <v>1755</v>
      </c>
      <c r="N3053" s="1" t="s">
        <v>1755</v>
      </c>
      <c r="O3053" s="1">
        <v>3</v>
      </c>
      <c r="P3053" s="1">
        <v>6</v>
      </c>
      <c r="R3053" s="1" t="s">
        <v>19</v>
      </c>
      <c r="S3053" s="1" t="s">
        <v>20</v>
      </c>
      <c r="T3053" s="1" t="s">
        <v>21</v>
      </c>
      <c r="U3053" s="1" t="s">
        <v>22</v>
      </c>
      <c r="V3053" s="1" t="s">
        <v>24</v>
      </c>
      <c r="W3053" s="1" t="s">
        <v>24</v>
      </c>
      <c r="X3053" s="1">
        <v>2705</v>
      </c>
      <c r="Y3053" s="1" t="s">
        <v>24</v>
      </c>
      <c r="Z3053" s="1" t="s">
        <v>24</v>
      </c>
      <c r="AA3053" s="1" t="s">
        <v>24</v>
      </c>
      <c r="AB3053" s="1" t="s">
        <v>24</v>
      </c>
      <c r="AC3053" s="1" t="s">
        <v>24</v>
      </c>
      <c r="AD3053" s="1" t="s">
        <v>24</v>
      </c>
      <c r="AE3053" s="1" t="s">
        <v>24</v>
      </c>
      <c r="AF3053" s="22"/>
    </row>
    <row r="3054" spans="1:32" x14ac:dyDescent="0.2">
      <c r="A3054" s="1">
        <v>24223</v>
      </c>
      <c r="B3054" s="1" t="s">
        <v>9574</v>
      </c>
      <c r="C3054" s="5" t="s">
        <v>0</v>
      </c>
      <c r="D3054" s="1" t="s">
        <v>9575</v>
      </c>
      <c r="E3054" s="1" t="s">
        <v>9576</v>
      </c>
      <c r="F3054" s="1" t="s">
        <v>175</v>
      </c>
      <c r="G3054" s="1" t="s">
        <v>61</v>
      </c>
      <c r="H3054" s="1" t="s">
        <v>116</v>
      </c>
      <c r="I3054" s="1" t="s">
        <v>16</v>
      </c>
      <c r="J3054" s="1">
        <v>2</v>
      </c>
      <c r="K3054" s="1">
        <v>6</v>
      </c>
      <c r="L3054" s="1" t="s">
        <v>31</v>
      </c>
      <c r="M3054" s="1" t="s">
        <v>117</v>
      </c>
      <c r="N3054" s="1" t="s">
        <v>117</v>
      </c>
      <c r="O3054" s="1">
        <v>2</v>
      </c>
      <c r="P3054" s="1">
        <v>5</v>
      </c>
      <c r="R3054" s="1" t="s">
        <v>19</v>
      </c>
      <c r="S3054" s="1" t="s">
        <v>20</v>
      </c>
      <c r="T3054" s="1" t="s">
        <v>21</v>
      </c>
      <c r="U3054" s="1" t="s">
        <v>22</v>
      </c>
      <c r="V3054" s="1" t="s">
        <v>24</v>
      </c>
      <c r="W3054" s="1" t="s">
        <v>24</v>
      </c>
      <c r="X3054" s="1">
        <v>2735</v>
      </c>
      <c r="Y3054" s="1" t="s">
        <v>24</v>
      </c>
      <c r="Z3054" s="1" t="s">
        <v>24</v>
      </c>
      <c r="AA3054" s="1" t="s">
        <v>24</v>
      </c>
      <c r="AB3054" s="1" t="s">
        <v>24</v>
      </c>
      <c r="AC3054" s="1" t="s">
        <v>24</v>
      </c>
      <c r="AD3054" s="1" t="s">
        <v>24</v>
      </c>
      <c r="AE3054" s="1" t="s">
        <v>24</v>
      </c>
      <c r="AF3054" s="22"/>
    </row>
    <row r="3055" spans="1:32" x14ac:dyDescent="0.2">
      <c r="A3055" s="1">
        <v>24225</v>
      </c>
      <c r="B3055" s="1" t="s">
        <v>9577</v>
      </c>
      <c r="C3055" s="5" t="s">
        <v>0</v>
      </c>
      <c r="D3055" s="1" t="s">
        <v>9578</v>
      </c>
      <c r="F3055" s="1" t="s">
        <v>1130</v>
      </c>
      <c r="G3055" s="1" t="s">
        <v>6289</v>
      </c>
      <c r="H3055" s="1" t="s">
        <v>135</v>
      </c>
      <c r="I3055" s="1" t="s">
        <v>16</v>
      </c>
      <c r="J3055" s="1">
        <v>1</v>
      </c>
      <c r="K3055" s="1">
        <v>4</v>
      </c>
      <c r="L3055" s="1" t="s">
        <v>31</v>
      </c>
      <c r="M3055" s="1" t="s">
        <v>1131</v>
      </c>
      <c r="N3055" s="1" t="s">
        <v>5887</v>
      </c>
      <c r="O3055" s="1">
        <v>3</v>
      </c>
      <c r="P3055" s="1">
        <v>5</v>
      </c>
      <c r="R3055" s="1" t="s">
        <v>19</v>
      </c>
      <c r="S3055" s="1" t="s">
        <v>20</v>
      </c>
      <c r="T3055" s="1" t="s">
        <v>21</v>
      </c>
      <c r="U3055" s="1" t="s">
        <v>22</v>
      </c>
      <c r="V3055" s="1" t="s">
        <v>24</v>
      </c>
      <c r="W3055" s="1" t="s">
        <v>24</v>
      </c>
      <c r="X3055" s="1">
        <v>2720</v>
      </c>
      <c r="Y3055" s="1" t="s">
        <v>24</v>
      </c>
      <c r="Z3055" s="1" t="s">
        <v>24</v>
      </c>
      <c r="AA3055" s="1" t="s">
        <v>24</v>
      </c>
      <c r="AB3055" s="1" t="s">
        <v>24</v>
      </c>
      <c r="AC3055" s="1" t="s">
        <v>24</v>
      </c>
      <c r="AD3055" s="1" t="s">
        <v>24</v>
      </c>
      <c r="AE3055" s="1" t="s">
        <v>24</v>
      </c>
      <c r="AF3055" s="22"/>
    </row>
    <row r="3056" spans="1:32" x14ac:dyDescent="0.2">
      <c r="A3056" s="1">
        <v>24226</v>
      </c>
      <c r="B3056" s="1" t="s">
        <v>9579</v>
      </c>
      <c r="C3056" s="5" t="s">
        <v>0</v>
      </c>
      <c r="D3056" s="1" t="s">
        <v>9580</v>
      </c>
      <c r="E3056" s="1" t="s">
        <v>9581</v>
      </c>
      <c r="F3056" s="1" t="s">
        <v>35</v>
      </c>
      <c r="G3056" s="1" t="s">
        <v>36</v>
      </c>
      <c r="H3056" s="1" t="s">
        <v>37</v>
      </c>
      <c r="I3056" s="1" t="s">
        <v>16</v>
      </c>
      <c r="J3056" s="1">
        <v>1</v>
      </c>
      <c r="K3056" s="1">
        <v>12</v>
      </c>
      <c r="L3056" s="1" t="s">
        <v>31</v>
      </c>
      <c r="M3056" s="1" t="s">
        <v>18</v>
      </c>
      <c r="N3056" s="1" t="s">
        <v>18</v>
      </c>
      <c r="O3056" s="1">
        <v>3</v>
      </c>
      <c r="P3056" s="1">
        <v>7</v>
      </c>
      <c r="Q3056" s="7" t="s">
        <v>17633</v>
      </c>
      <c r="R3056" s="1" t="s">
        <v>62</v>
      </c>
      <c r="S3056" s="1" t="s">
        <v>20</v>
      </c>
      <c r="T3056" s="1" t="s">
        <v>21</v>
      </c>
      <c r="U3056" s="1" t="s">
        <v>22</v>
      </c>
      <c r="V3056" s="1" t="s">
        <v>24</v>
      </c>
      <c r="W3056" s="1" t="s">
        <v>24</v>
      </c>
      <c r="X3056" s="1">
        <v>1306</v>
      </c>
      <c r="Y3056" s="1">
        <v>2730</v>
      </c>
      <c r="Z3056" s="1" t="s">
        <v>24</v>
      </c>
      <c r="AA3056" s="1" t="s">
        <v>24</v>
      </c>
      <c r="AB3056" s="1" t="s">
        <v>24</v>
      </c>
      <c r="AC3056" s="1" t="s">
        <v>24</v>
      </c>
      <c r="AD3056" s="1" t="s">
        <v>24</v>
      </c>
      <c r="AE3056" s="1" t="s">
        <v>24</v>
      </c>
      <c r="AF3056" s="22"/>
    </row>
    <row r="3057" spans="1:32" x14ac:dyDescent="0.2">
      <c r="A3057" s="1">
        <v>24227</v>
      </c>
      <c r="B3057" s="1" t="s">
        <v>9582</v>
      </c>
      <c r="C3057" s="5" t="s">
        <v>0</v>
      </c>
      <c r="D3057" s="1" t="s">
        <v>9583</v>
      </c>
      <c r="F3057" s="1" t="s">
        <v>9584</v>
      </c>
      <c r="G3057" s="1" t="s">
        <v>1066</v>
      </c>
      <c r="H3057" s="1" t="s">
        <v>1007</v>
      </c>
      <c r="I3057" s="1" t="s">
        <v>16</v>
      </c>
      <c r="J3057" s="1">
        <v>1</v>
      </c>
      <c r="K3057" s="1">
        <v>6</v>
      </c>
      <c r="L3057" s="1" t="s">
        <v>17</v>
      </c>
      <c r="M3057" s="1" t="s">
        <v>1008</v>
      </c>
      <c r="N3057" s="1" t="s">
        <v>18</v>
      </c>
      <c r="O3057" s="1">
        <v>2</v>
      </c>
      <c r="P3057" s="1">
        <v>5</v>
      </c>
      <c r="R3057" s="1" t="s">
        <v>19</v>
      </c>
      <c r="S3057" s="1" t="s">
        <v>20</v>
      </c>
      <c r="T3057" s="1" t="s">
        <v>21</v>
      </c>
      <c r="U3057" s="1" t="s">
        <v>22</v>
      </c>
      <c r="V3057" s="1" t="s">
        <v>24</v>
      </c>
      <c r="W3057" s="1" t="s">
        <v>24</v>
      </c>
      <c r="X3057" s="1">
        <v>2700</v>
      </c>
      <c r="Y3057" s="1">
        <v>1308</v>
      </c>
      <c r="Z3057" s="1" t="s">
        <v>24</v>
      </c>
      <c r="AA3057" s="1" t="s">
        <v>24</v>
      </c>
      <c r="AB3057" s="1" t="s">
        <v>24</v>
      </c>
      <c r="AC3057" s="1" t="s">
        <v>24</v>
      </c>
      <c r="AD3057" s="1" t="s">
        <v>24</v>
      </c>
      <c r="AE3057" s="1" t="s">
        <v>24</v>
      </c>
      <c r="AF3057" s="22"/>
    </row>
    <row r="3058" spans="1:32" x14ac:dyDescent="0.2">
      <c r="A3058" s="1">
        <v>24256</v>
      </c>
      <c r="B3058" s="1" t="s">
        <v>9585</v>
      </c>
      <c r="C3058" s="5" t="s">
        <v>0</v>
      </c>
      <c r="D3058" s="1" t="s">
        <v>9586</v>
      </c>
      <c r="F3058" s="1" t="s">
        <v>6910</v>
      </c>
      <c r="G3058" s="1" t="s">
        <v>683</v>
      </c>
      <c r="H3058" s="1" t="s">
        <v>684</v>
      </c>
      <c r="I3058" s="1" t="s">
        <v>16</v>
      </c>
      <c r="J3058" s="1">
        <v>1</v>
      </c>
      <c r="K3058" s="1">
        <v>10</v>
      </c>
      <c r="L3058" s="1" t="s">
        <v>31</v>
      </c>
      <c r="M3058" s="1" t="s">
        <v>87</v>
      </c>
      <c r="N3058" s="1" t="s">
        <v>18</v>
      </c>
      <c r="O3058" s="1">
        <v>2</v>
      </c>
      <c r="P3058" s="1">
        <v>5</v>
      </c>
      <c r="R3058" s="1" t="s">
        <v>19</v>
      </c>
      <c r="S3058" s="1" t="s">
        <v>20</v>
      </c>
      <c r="T3058" s="1" t="s">
        <v>21</v>
      </c>
      <c r="U3058" s="1" t="s">
        <v>22</v>
      </c>
      <c r="V3058" s="1" t="s">
        <v>24</v>
      </c>
      <c r="W3058" s="1" t="s">
        <v>24</v>
      </c>
      <c r="X3058" s="1">
        <v>2723</v>
      </c>
      <c r="Y3058" s="1" t="s">
        <v>24</v>
      </c>
      <c r="Z3058" s="1" t="s">
        <v>24</v>
      </c>
      <c r="AA3058" s="1" t="s">
        <v>24</v>
      </c>
      <c r="AB3058" s="1" t="s">
        <v>24</v>
      </c>
      <c r="AC3058" s="1" t="s">
        <v>24</v>
      </c>
      <c r="AD3058" s="1" t="s">
        <v>24</v>
      </c>
      <c r="AE3058" s="1" t="s">
        <v>24</v>
      </c>
      <c r="AF3058" s="22"/>
    </row>
    <row r="3059" spans="1:32" x14ac:dyDescent="0.2">
      <c r="A3059" s="1">
        <v>24265</v>
      </c>
      <c r="B3059" s="1" t="s">
        <v>9587</v>
      </c>
      <c r="C3059" s="5" t="s">
        <v>0</v>
      </c>
      <c r="D3059" s="1" t="s">
        <v>9588</v>
      </c>
      <c r="E3059" s="1" t="s">
        <v>9589</v>
      </c>
      <c r="F3059" s="1" t="s">
        <v>310</v>
      </c>
      <c r="G3059" s="1" t="s">
        <v>311</v>
      </c>
      <c r="H3059" s="1" t="s">
        <v>37</v>
      </c>
      <c r="I3059" s="1" t="s">
        <v>16</v>
      </c>
      <c r="J3059" s="1">
        <v>1</v>
      </c>
      <c r="K3059" s="1">
        <v>24</v>
      </c>
      <c r="L3059" s="1" t="s">
        <v>31</v>
      </c>
      <c r="M3059" s="1" t="s">
        <v>18</v>
      </c>
      <c r="N3059" s="1" t="s">
        <v>18</v>
      </c>
      <c r="O3059" s="1">
        <v>2</v>
      </c>
      <c r="P3059" s="1">
        <v>6</v>
      </c>
      <c r="R3059" s="1" t="s">
        <v>19</v>
      </c>
      <c r="S3059" s="1" t="s">
        <v>20</v>
      </c>
      <c r="T3059" s="1" t="s">
        <v>21</v>
      </c>
      <c r="U3059" s="1" t="s">
        <v>22</v>
      </c>
      <c r="V3059" s="1" t="s">
        <v>24</v>
      </c>
      <c r="W3059" s="1" t="s">
        <v>64</v>
      </c>
      <c r="X3059" s="1">
        <v>1110</v>
      </c>
      <c r="Y3059" s="1">
        <v>1303</v>
      </c>
      <c r="Z3059" s="1">
        <v>1602</v>
      </c>
      <c r="AA3059" s="1">
        <v>1605</v>
      </c>
      <c r="AB3059" s="1" t="s">
        <v>24</v>
      </c>
      <c r="AC3059" s="1" t="s">
        <v>24</v>
      </c>
      <c r="AD3059" s="1" t="s">
        <v>24</v>
      </c>
      <c r="AE3059" s="1" t="s">
        <v>24</v>
      </c>
      <c r="AF3059" s="22"/>
    </row>
    <row r="3060" spans="1:32" x14ac:dyDescent="0.2">
      <c r="A3060" s="1">
        <v>24270</v>
      </c>
      <c r="B3060" s="1" t="s">
        <v>9590</v>
      </c>
      <c r="C3060" s="5" t="s">
        <v>0</v>
      </c>
      <c r="D3060" s="1" t="s">
        <v>9591</v>
      </c>
      <c r="E3060" s="1" t="s">
        <v>9592</v>
      </c>
      <c r="F3060" s="1" t="s">
        <v>3220</v>
      </c>
      <c r="G3060" s="1" t="s">
        <v>460</v>
      </c>
      <c r="H3060" s="1" t="s">
        <v>461</v>
      </c>
      <c r="I3060" s="1" t="s">
        <v>16</v>
      </c>
      <c r="J3060" s="1">
        <v>3</v>
      </c>
      <c r="K3060" s="1">
        <v>4</v>
      </c>
      <c r="L3060" s="1" t="s">
        <v>42</v>
      </c>
      <c r="M3060" s="1" t="s">
        <v>18</v>
      </c>
      <c r="N3060" s="1" t="s">
        <v>18</v>
      </c>
      <c r="O3060" s="1">
        <v>3</v>
      </c>
      <c r="P3060" s="1">
        <v>6</v>
      </c>
      <c r="R3060" s="1" t="s">
        <v>19</v>
      </c>
      <c r="S3060" s="1" t="s">
        <v>20</v>
      </c>
      <c r="T3060" s="1" t="s">
        <v>21</v>
      </c>
      <c r="U3060" s="1" t="s">
        <v>22</v>
      </c>
      <c r="V3060" s="1" t="s">
        <v>24</v>
      </c>
      <c r="W3060" s="1" t="s">
        <v>64</v>
      </c>
      <c r="X3060" s="1">
        <v>3004</v>
      </c>
      <c r="Y3060" s="1">
        <v>1313</v>
      </c>
      <c r="Z3060" s="1" t="s">
        <v>24</v>
      </c>
      <c r="AA3060" s="1" t="s">
        <v>24</v>
      </c>
      <c r="AB3060" s="1" t="s">
        <v>24</v>
      </c>
      <c r="AC3060" s="1" t="s">
        <v>24</v>
      </c>
      <c r="AD3060" s="1" t="s">
        <v>24</v>
      </c>
      <c r="AE3060" s="1" t="s">
        <v>24</v>
      </c>
      <c r="AF3060" s="22"/>
    </row>
    <row r="3061" spans="1:32" x14ac:dyDescent="0.2">
      <c r="A3061" s="1">
        <v>24342</v>
      </c>
      <c r="B3061" s="1" t="s">
        <v>9593</v>
      </c>
      <c r="C3061" s="5" t="s">
        <v>0</v>
      </c>
      <c r="D3061" s="1" t="s">
        <v>9594</v>
      </c>
      <c r="E3061" s="1" t="s">
        <v>9595</v>
      </c>
      <c r="F3061" s="1" t="s">
        <v>9596</v>
      </c>
      <c r="G3061" s="1" t="s">
        <v>130</v>
      </c>
      <c r="H3061" s="1" t="s">
        <v>4064</v>
      </c>
      <c r="I3061" s="1" t="s">
        <v>16</v>
      </c>
      <c r="J3061" s="1">
        <v>1</v>
      </c>
      <c r="K3061" s="1">
        <v>12</v>
      </c>
      <c r="L3061" s="1" t="s">
        <v>31</v>
      </c>
      <c r="M3061" s="1" t="s">
        <v>18</v>
      </c>
      <c r="N3061" s="1" t="s">
        <v>18</v>
      </c>
      <c r="O3061" s="1">
        <v>3</v>
      </c>
      <c r="P3061" s="1">
        <v>7</v>
      </c>
      <c r="Q3061" s="7" t="s">
        <v>17633</v>
      </c>
      <c r="R3061" s="1" t="s">
        <v>19</v>
      </c>
      <c r="S3061" s="1" t="s">
        <v>20</v>
      </c>
      <c r="T3061" s="1" t="s">
        <v>21</v>
      </c>
      <c r="U3061" s="1" t="s">
        <v>22</v>
      </c>
      <c r="V3061" s="1" t="s">
        <v>24</v>
      </c>
      <c r="W3061" s="1" t="s">
        <v>24</v>
      </c>
      <c r="X3061" s="1">
        <v>1311</v>
      </c>
      <c r="Y3061" s="1" t="s">
        <v>24</v>
      </c>
      <c r="Z3061" s="1" t="s">
        <v>24</v>
      </c>
      <c r="AA3061" s="1" t="s">
        <v>24</v>
      </c>
      <c r="AB3061" s="1" t="s">
        <v>24</v>
      </c>
      <c r="AC3061" s="1" t="s">
        <v>24</v>
      </c>
      <c r="AD3061" s="1" t="s">
        <v>24</v>
      </c>
      <c r="AE3061" s="1" t="s">
        <v>24</v>
      </c>
      <c r="AF3061" s="22"/>
    </row>
    <row r="3062" spans="1:32" x14ac:dyDescent="0.2">
      <c r="A3062" s="1">
        <v>24356</v>
      </c>
      <c r="B3062" s="1" t="s">
        <v>9597</v>
      </c>
      <c r="C3062" s="5" t="s">
        <v>0</v>
      </c>
      <c r="D3062" s="1" t="s">
        <v>9598</v>
      </c>
      <c r="E3062" s="1" t="s">
        <v>9599</v>
      </c>
      <c r="F3062" s="1" t="s">
        <v>217</v>
      </c>
      <c r="G3062" s="1" t="s">
        <v>130</v>
      </c>
      <c r="H3062" s="1" t="s">
        <v>92</v>
      </c>
      <c r="I3062" s="1" t="s">
        <v>16</v>
      </c>
      <c r="J3062" s="1">
        <v>1</v>
      </c>
      <c r="K3062" s="1">
        <v>8</v>
      </c>
      <c r="L3062" s="1" t="s">
        <v>31</v>
      </c>
      <c r="M3062" s="1" t="s">
        <v>18</v>
      </c>
      <c r="N3062" s="1" t="s">
        <v>18</v>
      </c>
      <c r="O3062" s="1">
        <v>3</v>
      </c>
      <c r="P3062" s="1">
        <v>7</v>
      </c>
      <c r="Q3062" s="7" t="s">
        <v>17633</v>
      </c>
      <c r="R3062" s="1" t="s">
        <v>19</v>
      </c>
      <c r="S3062" s="1" t="s">
        <v>63</v>
      </c>
      <c r="T3062" s="1" t="s">
        <v>21</v>
      </c>
      <c r="U3062" s="1" t="s">
        <v>22</v>
      </c>
      <c r="V3062" s="1" t="s">
        <v>24</v>
      </c>
      <c r="W3062" s="1" t="s">
        <v>24</v>
      </c>
      <c r="X3062" s="1">
        <v>3107</v>
      </c>
      <c r="Y3062" s="1">
        <v>3104</v>
      </c>
      <c r="Z3062" s="1">
        <v>2611</v>
      </c>
      <c r="AA3062" s="1">
        <v>1600</v>
      </c>
      <c r="AB3062" s="1">
        <v>2500</v>
      </c>
      <c r="AC3062" s="1">
        <v>1502</v>
      </c>
      <c r="AD3062" s="1" t="s">
        <v>24</v>
      </c>
      <c r="AE3062" s="1" t="s">
        <v>24</v>
      </c>
      <c r="AF3062" s="22"/>
    </row>
    <row r="3063" spans="1:32" x14ac:dyDescent="0.2">
      <c r="A3063" s="1">
        <v>24546</v>
      </c>
      <c r="B3063" s="1" t="s">
        <v>9600</v>
      </c>
      <c r="C3063" s="5" t="s">
        <v>0</v>
      </c>
      <c r="D3063" s="1" t="s">
        <v>9601</v>
      </c>
      <c r="F3063" s="1" t="s">
        <v>9602</v>
      </c>
      <c r="G3063" s="1" t="s">
        <v>9603</v>
      </c>
      <c r="H3063" s="1" t="s">
        <v>4064</v>
      </c>
      <c r="I3063" s="1" t="s">
        <v>16</v>
      </c>
      <c r="J3063" s="1">
        <v>1</v>
      </c>
      <c r="K3063" s="1">
        <v>12</v>
      </c>
      <c r="L3063" s="1" t="s">
        <v>42</v>
      </c>
      <c r="M3063" s="1" t="s">
        <v>4065</v>
      </c>
      <c r="N3063" s="1" t="s">
        <v>9604</v>
      </c>
      <c r="O3063" s="1">
        <v>3</v>
      </c>
      <c r="P3063" s="1">
        <v>5</v>
      </c>
      <c r="R3063" s="1" t="s">
        <v>19</v>
      </c>
      <c r="S3063" s="1" t="s">
        <v>20</v>
      </c>
      <c r="T3063" s="1" t="s">
        <v>21</v>
      </c>
      <c r="U3063" s="1" t="s">
        <v>22</v>
      </c>
      <c r="V3063" s="1" t="s">
        <v>24</v>
      </c>
      <c r="W3063" s="1" t="s">
        <v>24</v>
      </c>
      <c r="X3063" s="1">
        <v>2738</v>
      </c>
      <c r="Y3063" s="1">
        <v>2728</v>
      </c>
      <c r="Z3063" s="1" t="s">
        <v>24</v>
      </c>
      <c r="AA3063" s="1" t="s">
        <v>24</v>
      </c>
      <c r="AB3063" s="1" t="s">
        <v>24</v>
      </c>
      <c r="AC3063" s="1" t="s">
        <v>24</v>
      </c>
      <c r="AD3063" s="1" t="s">
        <v>24</v>
      </c>
      <c r="AE3063" s="1" t="s">
        <v>24</v>
      </c>
      <c r="AF3063" s="22"/>
    </row>
    <row r="3064" spans="1:32" x14ac:dyDescent="0.2">
      <c r="A3064" s="1">
        <v>24553</v>
      </c>
      <c r="B3064" s="1" t="s">
        <v>9605</v>
      </c>
      <c r="C3064" s="5" t="s">
        <v>0</v>
      </c>
      <c r="D3064" s="1" t="s">
        <v>9606</v>
      </c>
      <c r="E3064" s="1" t="s">
        <v>9607</v>
      </c>
      <c r="F3064" s="1" t="s">
        <v>2299</v>
      </c>
      <c r="G3064" s="1" t="s">
        <v>2300</v>
      </c>
      <c r="H3064" s="1" t="s">
        <v>37</v>
      </c>
      <c r="I3064" s="1" t="s">
        <v>16</v>
      </c>
      <c r="J3064" s="1">
        <v>1</v>
      </c>
      <c r="K3064" s="1">
        <v>4</v>
      </c>
      <c r="L3064" s="1" t="s">
        <v>31</v>
      </c>
      <c r="M3064" s="1" t="s">
        <v>18</v>
      </c>
      <c r="N3064" s="1" t="s">
        <v>18</v>
      </c>
      <c r="O3064" s="1">
        <v>3</v>
      </c>
      <c r="P3064" s="1">
        <v>6</v>
      </c>
      <c r="R3064" s="1" t="s">
        <v>62</v>
      </c>
      <c r="S3064" s="1" t="s">
        <v>63</v>
      </c>
      <c r="T3064" s="1" t="s">
        <v>21</v>
      </c>
      <c r="U3064" s="1" t="s">
        <v>22</v>
      </c>
      <c r="V3064" s="1" t="s">
        <v>24</v>
      </c>
      <c r="W3064" s="1" t="s">
        <v>24</v>
      </c>
      <c r="X3064" s="1">
        <v>2745</v>
      </c>
      <c r="Y3064" s="1">
        <v>2403</v>
      </c>
      <c r="Z3064" s="1">
        <v>2723</v>
      </c>
      <c r="AA3064" s="1" t="s">
        <v>24</v>
      </c>
      <c r="AB3064" s="1" t="s">
        <v>24</v>
      </c>
      <c r="AC3064" s="1" t="s">
        <v>24</v>
      </c>
      <c r="AD3064" s="1" t="s">
        <v>24</v>
      </c>
      <c r="AE3064" s="1" t="s">
        <v>24</v>
      </c>
      <c r="AF3064" s="22"/>
    </row>
    <row r="3065" spans="1:32" x14ac:dyDescent="0.2">
      <c r="A3065" s="1">
        <v>24594</v>
      </c>
      <c r="B3065" s="1" t="s">
        <v>9608</v>
      </c>
      <c r="C3065" s="5" t="s">
        <v>0</v>
      </c>
      <c r="D3065" s="1" t="s">
        <v>9609</v>
      </c>
      <c r="F3065" s="1" t="s">
        <v>9610</v>
      </c>
      <c r="G3065" s="1" t="s">
        <v>9610</v>
      </c>
      <c r="H3065" s="1" t="s">
        <v>2772</v>
      </c>
      <c r="I3065" s="1" t="s">
        <v>16</v>
      </c>
      <c r="J3065" s="1">
        <v>1</v>
      </c>
      <c r="K3065" s="1">
        <v>6</v>
      </c>
      <c r="L3065" s="1" t="s">
        <v>42</v>
      </c>
      <c r="M3065" s="1" t="s">
        <v>18</v>
      </c>
      <c r="N3065" s="1" t="s">
        <v>18</v>
      </c>
      <c r="O3065" s="1">
        <v>3</v>
      </c>
      <c r="P3065" s="1">
        <v>6</v>
      </c>
      <c r="R3065" s="1" t="s">
        <v>19</v>
      </c>
      <c r="S3065" s="1" t="s">
        <v>20</v>
      </c>
      <c r="T3065" s="1" t="s">
        <v>21</v>
      </c>
      <c r="U3065" s="1" t="s">
        <v>22</v>
      </c>
      <c r="V3065" s="1" t="s">
        <v>23</v>
      </c>
      <c r="W3065" s="1" t="s">
        <v>24</v>
      </c>
      <c r="X3065" s="1">
        <v>2741</v>
      </c>
      <c r="Y3065" s="1" t="s">
        <v>24</v>
      </c>
      <c r="Z3065" s="1" t="s">
        <v>24</v>
      </c>
      <c r="AA3065" s="1" t="s">
        <v>24</v>
      </c>
      <c r="AB3065" s="1" t="s">
        <v>24</v>
      </c>
      <c r="AC3065" s="1" t="s">
        <v>24</v>
      </c>
      <c r="AD3065" s="1" t="s">
        <v>24</v>
      </c>
      <c r="AE3065" s="1" t="s">
        <v>24</v>
      </c>
      <c r="AF3065" s="22"/>
    </row>
    <row r="3066" spans="1:32" x14ac:dyDescent="0.2">
      <c r="A3066" s="1">
        <v>24682</v>
      </c>
      <c r="B3066" s="1" t="s">
        <v>9611</v>
      </c>
      <c r="C3066" s="5" t="s">
        <v>0</v>
      </c>
      <c r="E3066" s="1" t="s">
        <v>9612</v>
      </c>
      <c r="F3066" s="1" t="s">
        <v>2299</v>
      </c>
      <c r="G3066" s="1" t="s">
        <v>2300</v>
      </c>
      <c r="H3066" s="1" t="s">
        <v>37</v>
      </c>
      <c r="I3066" s="1" t="s">
        <v>16</v>
      </c>
      <c r="J3066" s="1">
        <v>1</v>
      </c>
      <c r="K3066" s="1">
        <v>1</v>
      </c>
      <c r="L3066" s="1" t="s">
        <v>31</v>
      </c>
      <c r="M3066" s="1" t="s">
        <v>18</v>
      </c>
      <c r="N3066" s="1" t="s">
        <v>18</v>
      </c>
      <c r="O3066" s="1">
        <v>3</v>
      </c>
      <c r="P3066" s="1">
        <v>6</v>
      </c>
      <c r="R3066" s="1" t="s">
        <v>19</v>
      </c>
      <c r="S3066" s="1" t="s">
        <v>63</v>
      </c>
      <c r="T3066" s="1" t="s">
        <v>21</v>
      </c>
      <c r="U3066" s="1" t="s">
        <v>22</v>
      </c>
      <c r="V3066" s="1" t="s">
        <v>24</v>
      </c>
      <c r="W3066" s="1" t="s">
        <v>24</v>
      </c>
      <c r="X3066" s="1">
        <v>1307</v>
      </c>
      <c r="Y3066" s="1" t="s">
        <v>24</v>
      </c>
      <c r="Z3066" s="1" t="s">
        <v>24</v>
      </c>
      <c r="AA3066" s="1" t="s">
        <v>24</v>
      </c>
      <c r="AB3066" s="1" t="s">
        <v>24</v>
      </c>
      <c r="AC3066" s="1" t="s">
        <v>24</v>
      </c>
      <c r="AD3066" s="1" t="s">
        <v>24</v>
      </c>
      <c r="AE3066" s="1" t="s">
        <v>24</v>
      </c>
      <c r="AF3066" s="22"/>
    </row>
    <row r="3067" spans="1:32" x14ac:dyDescent="0.2">
      <c r="A3067" s="1">
        <v>24683</v>
      </c>
      <c r="B3067" s="1" t="s">
        <v>9613</v>
      </c>
      <c r="C3067" s="5" t="s">
        <v>0</v>
      </c>
      <c r="E3067" s="1" t="s">
        <v>9614</v>
      </c>
      <c r="F3067" s="1" t="s">
        <v>2299</v>
      </c>
      <c r="G3067" s="1" t="s">
        <v>2300</v>
      </c>
      <c r="H3067" s="1" t="s">
        <v>37</v>
      </c>
      <c r="I3067" s="1" t="s">
        <v>16</v>
      </c>
      <c r="J3067" s="1">
        <v>1</v>
      </c>
      <c r="K3067" s="1">
        <v>1</v>
      </c>
      <c r="L3067" s="1" t="s">
        <v>31</v>
      </c>
      <c r="M3067" s="1" t="s">
        <v>18</v>
      </c>
      <c r="N3067" s="1" t="s">
        <v>18</v>
      </c>
      <c r="O3067" s="1">
        <v>3</v>
      </c>
      <c r="P3067" s="1">
        <v>6</v>
      </c>
      <c r="R3067" s="1" t="s">
        <v>19</v>
      </c>
      <c r="S3067" s="1" t="s">
        <v>63</v>
      </c>
      <c r="T3067" s="1" t="s">
        <v>21</v>
      </c>
      <c r="U3067" s="1" t="s">
        <v>22</v>
      </c>
      <c r="V3067" s="1" t="s">
        <v>24</v>
      </c>
      <c r="W3067" s="1" t="s">
        <v>24</v>
      </c>
      <c r="X3067" s="1">
        <v>2725</v>
      </c>
      <c r="Y3067" s="1" t="s">
        <v>24</v>
      </c>
      <c r="Z3067" s="1" t="s">
        <v>24</v>
      </c>
      <c r="AA3067" s="1" t="s">
        <v>24</v>
      </c>
      <c r="AB3067" s="1" t="s">
        <v>24</v>
      </c>
      <c r="AC3067" s="1" t="s">
        <v>24</v>
      </c>
      <c r="AD3067" s="1" t="s">
        <v>24</v>
      </c>
      <c r="AE3067" s="1" t="s">
        <v>24</v>
      </c>
      <c r="AF3067" s="22"/>
    </row>
    <row r="3068" spans="1:32" x14ac:dyDescent="0.2">
      <c r="A3068" s="1">
        <v>24706</v>
      </c>
      <c r="B3068" s="1" t="s">
        <v>9615</v>
      </c>
      <c r="C3068" s="5" t="s">
        <v>0</v>
      </c>
      <c r="D3068" s="1" t="s">
        <v>9616</v>
      </c>
      <c r="F3068" s="1" t="s">
        <v>2688</v>
      </c>
      <c r="G3068" s="1" t="s">
        <v>2688</v>
      </c>
      <c r="H3068" s="1" t="s">
        <v>30</v>
      </c>
      <c r="I3068" s="1" t="s">
        <v>16</v>
      </c>
      <c r="J3068" s="1">
        <v>1</v>
      </c>
      <c r="K3068" s="1">
        <v>6</v>
      </c>
      <c r="L3068" s="1" t="s">
        <v>42</v>
      </c>
      <c r="M3068" s="1" t="s">
        <v>18</v>
      </c>
      <c r="N3068" s="1" t="s">
        <v>18</v>
      </c>
      <c r="O3068" s="1">
        <v>3</v>
      </c>
      <c r="P3068" s="1">
        <v>7</v>
      </c>
      <c r="Q3068" s="7" t="s">
        <v>17633</v>
      </c>
      <c r="R3068" s="1" t="s">
        <v>19</v>
      </c>
      <c r="S3068" s="1" t="s">
        <v>20</v>
      </c>
      <c r="T3068" s="1" t="s">
        <v>21</v>
      </c>
      <c r="U3068" s="1" t="s">
        <v>22</v>
      </c>
      <c r="V3068" s="1" t="s">
        <v>23</v>
      </c>
      <c r="W3068" s="1" t="s">
        <v>24</v>
      </c>
      <c r="X3068" s="1">
        <v>2731</v>
      </c>
      <c r="Y3068" s="1">
        <v>2746</v>
      </c>
      <c r="Z3068" s="1" t="s">
        <v>24</v>
      </c>
      <c r="AA3068" s="1" t="s">
        <v>24</v>
      </c>
      <c r="AB3068" s="1" t="s">
        <v>24</v>
      </c>
      <c r="AC3068" s="1" t="s">
        <v>24</v>
      </c>
      <c r="AD3068" s="1" t="s">
        <v>24</v>
      </c>
      <c r="AE3068" s="1" t="s">
        <v>24</v>
      </c>
      <c r="AF3068" s="22" t="s">
        <v>17679</v>
      </c>
    </row>
    <row r="3069" spans="1:32" x14ac:dyDescent="0.2">
      <c r="A3069" s="1">
        <v>24720</v>
      </c>
      <c r="B3069" s="1" t="s">
        <v>9617</v>
      </c>
      <c r="C3069" s="5" t="s">
        <v>0</v>
      </c>
      <c r="D3069" s="1" t="s">
        <v>9618</v>
      </c>
      <c r="F3069" s="1" t="s">
        <v>91</v>
      </c>
      <c r="G3069" s="1" t="s">
        <v>61</v>
      </c>
      <c r="H3069" s="1" t="s">
        <v>92</v>
      </c>
      <c r="I3069" s="1" t="s">
        <v>16</v>
      </c>
      <c r="J3069" s="1">
        <v>1</v>
      </c>
      <c r="K3069" s="1">
        <v>6</v>
      </c>
      <c r="L3069" s="1" t="s">
        <v>31</v>
      </c>
      <c r="M3069" s="1" t="s">
        <v>18</v>
      </c>
      <c r="N3069" s="1" t="s">
        <v>18</v>
      </c>
      <c r="O3069" s="1">
        <v>3</v>
      </c>
      <c r="P3069" s="1">
        <v>7</v>
      </c>
      <c r="Q3069" s="7" t="s">
        <v>17633</v>
      </c>
      <c r="R3069" s="1" t="s">
        <v>19</v>
      </c>
      <c r="S3069" s="1" t="s">
        <v>20</v>
      </c>
      <c r="T3069" s="1" t="s">
        <v>21</v>
      </c>
      <c r="U3069" s="1" t="s">
        <v>22</v>
      </c>
      <c r="V3069" s="1" t="s">
        <v>23</v>
      </c>
      <c r="W3069" s="1" t="s">
        <v>24</v>
      </c>
      <c r="X3069" s="1">
        <v>2701</v>
      </c>
      <c r="Y3069" s="1">
        <v>2916</v>
      </c>
      <c r="Z3069" s="1">
        <v>2712</v>
      </c>
      <c r="AA3069" s="1">
        <v>2705</v>
      </c>
      <c r="AB3069" s="1" t="s">
        <v>24</v>
      </c>
      <c r="AC3069" s="1" t="s">
        <v>24</v>
      </c>
      <c r="AD3069" s="1" t="s">
        <v>24</v>
      </c>
      <c r="AE3069" s="1" t="s">
        <v>24</v>
      </c>
      <c r="AF3069" s="22" t="s">
        <v>17679</v>
      </c>
    </row>
    <row r="3070" spans="1:32" x14ac:dyDescent="0.2">
      <c r="A3070" s="1">
        <v>24734</v>
      </c>
      <c r="B3070" s="1" t="s">
        <v>9619</v>
      </c>
      <c r="C3070" s="5" t="s">
        <v>0</v>
      </c>
      <c r="D3070" s="1" t="s">
        <v>9620</v>
      </c>
      <c r="F3070" s="1" t="s">
        <v>9621</v>
      </c>
      <c r="G3070" s="1" t="s">
        <v>1066</v>
      </c>
      <c r="H3070" s="1" t="s">
        <v>1007</v>
      </c>
      <c r="I3070" s="1" t="s">
        <v>16</v>
      </c>
      <c r="J3070" s="1">
        <v>1</v>
      </c>
      <c r="K3070" s="1">
        <v>24</v>
      </c>
      <c r="L3070" s="1" t="s">
        <v>17</v>
      </c>
      <c r="M3070" s="1" t="s">
        <v>1008</v>
      </c>
      <c r="N3070" s="1" t="s">
        <v>4418</v>
      </c>
      <c r="O3070" s="1">
        <v>3</v>
      </c>
      <c r="P3070" s="1">
        <v>5</v>
      </c>
      <c r="R3070" s="1" t="s">
        <v>19</v>
      </c>
      <c r="S3070" s="1" t="s">
        <v>20</v>
      </c>
      <c r="T3070" s="1" t="s">
        <v>21</v>
      </c>
      <c r="U3070" s="1" t="s">
        <v>22</v>
      </c>
      <c r="V3070" s="1" t="s">
        <v>24</v>
      </c>
      <c r="W3070" s="1" t="s">
        <v>24</v>
      </c>
      <c r="X3070" s="1">
        <v>2707</v>
      </c>
      <c r="Y3070" s="1">
        <v>2736</v>
      </c>
      <c r="Z3070" s="1">
        <v>3000</v>
      </c>
      <c r="AA3070" s="1" t="s">
        <v>24</v>
      </c>
      <c r="AB3070" s="1" t="s">
        <v>24</v>
      </c>
      <c r="AC3070" s="1" t="s">
        <v>24</v>
      </c>
      <c r="AD3070" s="1" t="s">
        <v>24</v>
      </c>
      <c r="AE3070" s="1" t="s">
        <v>24</v>
      </c>
      <c r="AF3070" s="22"/>
    </row>
    <row r="3071" spans="1:32" x14ac:dyDescent="0.2">
      <c r="A3071" s="1">
        <v>24753</v>
      </c>
      <c r="B3071" s="1" t="s">
        <v>9622</v>
      </c>
      <c r="C3071" s="5" t="s">
        <v>0</v>
      </c>
      <c r="D3071" s="1" t="s">
        <v>9623</v>
      </c>
      <c r="E3071" s="1" t="s">
        <v>9624</v>
      </c>
      <c r="F3071" s="1" t="s">
        <v>79</v>
      </c>
      <c r="G3071" s="1" t="s">
        <v>80</v>
      </c>
      <c r="H3071" s="1" t="s">
        <v>81</v>
      </c>
      <c r="I3071" s="1" t="s">
        <v>16</v>
      </c>
      <c r="J3071" s="1">
        <v>1</v>
      </c>
      <c r="K3071" s="1">
        <v>4</v>
      </c>
      <c r="L3071" s="1" t="s">
        <v>31</v>
      </c>
      <c r="M3071" s="1" t="s">
        <v>18</v>
      </c>
      <c r="N3071" s="1" t="s">
        <v>18</v>
      </c>
      <c r="O3071" s="1">
        <v>3</v>
      </c>
      <c r="P3071" s="1">
        <v>6</v>
      </c>
      <c r="R3071" s="1" t="s">
        <v>19</v>
      </c>
      <c r="S3071" s="1" t="s">
        <v>20</v>
      </c>
      <c r="T3071" s="1" t="s">
        <v>21</v>
      </c>
      <c r="U3071" s="1" t="s">
        <v>22</v>
      </c>
      <c r="V3071" s="1" t="s">
        <v>24</v>
      </c>
      <c r="W3071" s="1" t="s">
        <v>24</v>
      </c>
      <c r="X3071" s="1">
        <v>2400</v>
      </c>
      <c r="Y3071" s="1">
        <v>2700</v>
      </c>
      <c r="Z3071" s="1" t="s">
        <v>24</v>
      </c>
      <c r="AA3071" s="1" t="s">
        <v>24</v>
      </c>
      <c r="AB3071" s="1" t="s">
        <v>24</v>
      </c>
      <c r="AC3071" s="1" t="s">
        <v>24</v>
      </c>
      <c r="AD3071" s="1" t="s">
        <v>24</v>
      </c>
      <c r="AE3071" s="1" t="s">
        <v>24</v>
      </c>
      <c r="AF3071" s="22"/>
    </row>
    <row r="3072" spans="1:32" x14ac:dyDescent="0.2">
      <c r="A3072" s="1">
        <v>24758</v>
      </c>
      <c r="B3072" s="1" t="s">
        <v>9625</v>
      </c>
      <c r="C3072" s="5" t="s">
        <v>0</v>
      </c>
      <c r="D3072" s="1" t="s">
        <v>9626</v>
      </c>
      <c r="F3072" s="1" t="s">
        <v>4062</v>
      </c>
      <c r="G3072" s="1" t="s">
        <v>4063</v>
      </c>
      <c r="H3072" s="1" t="s">
        <v>4064</v>
      </c>
      <c r="I3072" s="1" t="s">
        <v>16</v>
      </c>
      <c r="J3072" s="1">
        <v>1</v>
      </c>
      <c r="K3072" s="1">
        <v>12</v>
      </c>
      <c r="L3072" s="1" t="s">
        <v>17</v>
      </c>
      <c r="M3072" s="1" t="s">
        <v>9604</v>
      </c>
      <c r="N3072" s="1" t="s">
        <v>4065</v>
      </c>
      <c r="O3072" s="1">
        <v>3</v>
      </c>
      <c r="P3072" s="1">
        <v>5</v>
      </c>
      <c r="R3072" s="1" t="s">
        <v>19</v>
      </c>
      <c r="S3072" s="1" t="s">
        <v>20</v>
      </c>
      <c r="T3072" s="1" t="s">
        <v>21</v>
      </c>
      <c r="U3072" s="1" t="s">
        <v>22</v>
      </c>
      <c r="V3072" s="1" t="s">
        <v>24</v>
      </c>
      <c r="W3072" s="1" t="s">
        <v>24</v>
      </c>
      <c r="X3072" s="1">
        <v>3004</v>
      </c>
      <c r="Y3072" s="1">
        <v>3005</v>
      </c>
      <c r="Z3072" s="1" t="s">
        <v>24</v>
      </c>
      <c r="AA3072" s="1" t="s">
        <v>24</v>
      </c>
      <c r="AB3072" s="1" t="s">
        <v>24</v>
      </c>
      <c r="AC3072" s="1" t="s">
        <v>24</v>
      </c>
      <c r="AD3072" s="1" t="s">
        <v>24</v>
      </c>
      <c r="AE3072" s="1" t="s">
        <v>24</v>
      </c>
      <c r="AF3072" s="22"/>
    </row>
    <row r="3073" spans="1:32" x14ac:dyDescent="0.2">
      <c r="A3073" s="1">
        <v>24774</v>
      </c>
      <c r="B3073" s="1" t="s">
        <v>9627</v>
      </c>
      <c r="C3073" s="5" t="s">
        <v>0</v>
      </c>
      <c r="D3073" s="1" t="s">
        <v>9628</v>
      </c>
      <c r="F3073" s="1" t="s">
        <v>167</v>
      </c>
      <c r="G3073" s="1" t="s">
        <v>130</v>
      </c>
      <c r="H3073" s="1" t="s">
        <v>168</v>
      </c>
      <c r="I3073" s="1" t="s">
        <v>16</v>
      </c>
      <c r="J3073" s="1">
        <v>1</v>
      </c>
      <c r="K3073" s="1">
        <v>4</v>
      </c>
      <c r="L3073" s="1" t="s">
        <v>31</v>
      </c>
      <c r="M3073" s="1" t="s">
        <v>18</v>
      </c>
      <c r="N3073" s="1" t="s">
        <v>18</v>
      </c>
      <c r="O3073" s="1">
        <v>1</v>
      </c>
      <c r="P3073" s="1">
        <v>1</v>
      </c>
      <c r="R3073" s="1" t="s">
        <v>19</v>
      </c>
      <c r="S3073" s="1" t="s">
        <v>20</v>
      </c>
      <c r="T3073" s="1" t="s">
        <v>21</v>
      </c>
      <c r="U3073" s="1" t="s">
        <v>22</v>
      </c>
      <c r="V3073" s="1" t="s">
        <v>24</v>
      </c>
      <c r="W3073" s="1" t="s">
        <v>24</v>
      </c>
      <c r="X3073" s="1">
        <v>1311</v>
      </c>
      <c r="Y3073" s="1" t="s">
        <v>24</v>
      </c>
      <c r="Z3073" s="1" t="s">
        <v>24</v>
      </c>
      <c r="AA3073" s="1" t="s">
        <v>24</v>
      </c>
      <c r="AB3073" s="1" t="s">
        <v>24</v>
      </c>
      <c r="AC3073" s="1" t="s">
        <v>24</v>
      </c>
      <c r="AD3073" s="1" t="s">
        <v>24</v>
      </c>
      <c r="AE3073" s="1" t="s">
        <v>24</v>
      </c>
      <c r="AF3073" s="22" t="s">
        <v>17679</v>
      </c>
    </row>
    <row r="3074" spans="1:32" x14ac:dyDescent="0.2">
      <c r="A3074" s="1">
        <v>24802</v>
      </c>
      <c r="B3074" s="1" t="s">
        <v>9629</v>
      </c>
      <c r="C3074" s="5" t="s">
        <v>0</v>
      </c>
      <c r="D3074" s="1" t="s">
        <v>9630</v>
      </c>
      <c r="E3074" s="1" t="s">
        <v>9631</v>
      </c>
      <c r="F3074" s="1" t="s">
        <v>948</v>
      </c>
      <c r="G3074" s="1" t="s">
        <v>948</v>
      </c>
      <c r="H3074" s="1" t="s">
        <v>86</v>
      </c>
      <c r="I3074" s="1" t="s">
        <v>16</v>
      </c>
      <c r="J3074" s="1">
        <v>1</v>
      </c>
      <c r="K3074" s="1">
        <v>4</v>
      </c>
      <c r="L3074" s="1" t="s">
        <v>42</v>
      </c>
      <c r="M3074" s="1" t="s">
        <v>18</v>
      </c>
      <c r="N3074" s="1" t="s">
        <v>18</v>
      </c>
      <c r="O3074" s="1">
        <v>1</v>
      </c>
      <c r="P3074" s="1">
        <v>1</v>
      </c>
      <c r="R3074" s="1" t="s">
        <v>19</v>
      </c>
      <c r="S3074" s="1" t="s">
        <v>20</v>
      </c>
      <c r="T3074" s="1" t="s">
        <v>21</v>
      </c>
      <c r="U3074" s="1" t="s">
        <v>22</v>
      </c>
      <c r="V3074" s="1" t="s">
        <v>24</v>
      </c>
      <c r="W3074" s="1" t="s">
        <v>24</v>
      </c>
      <c r="X3074" s="1">
        <v>1303</v>
      </c>
      <c r="Y3074" s="1">
        <v>1308</v>
      </c>
      <c r="Z3074" s="1">
        <v>1312</v>
      </c>
      <c r="AA3074" s="1" t="s">
        <v>24</v>
      </c>
      <c r="AB3074" s="1" t="s">
        <v>24</v>
      </c>
      <c r="AC3074" s="1" t="s">
        <v>24</v>
      </c>
      <c r="AD3074" s="1" t="s">
        <v>24</v>
      </c>
      <c r="AE3074" s="1" t="s">
        <v>24</v>
      </c>
      <c r="AF3074" s="22"/>
    </row>
    <row r="3075" spans="1:32" x14ac:dyDescent="0.2">
      <c r="A3075" s="1">
        <v>24856</v>
      </c>
      <c r="B3075" s="1" t="s">
        <v>9632</v>
      </c>
      <c r="C3075" s="5" t="s">
        <v>0</v>
      </c>
      <c r="D3075" s="1" t="s">
        <v>9633</v>
      </c>
      <c r="E3075" s="1" t="s">
        <v>9634</v>
      </c>
      <c r="F3075" s="1" t="s">
        <v>109</v>
      </c>
      <c r="G3075" s="1" t="s">
        <v>110</v>
      </c>
      <c r="H3075" s="1" t="s">
        <v>111</v>
      </c>
      <c r="I3075" s="1" t="s">
        <v>112</v>
      </c>
      <c r="J3075" s="1">
        <v>0</v>
      </c>
      <c r="K3075" s="1">
        <v>0</v>
      </c>
      <c r="L3075" s="1" t="s">
        <v>31</v>
      </c>
      <c r="M3075" s="1" t="s">
        <v>18</v>
      </c>
      <c r="N3075" s="1" t="s">
        <v>18</v>
      </c>
      <c r="O3075" s="1">
        <v>2</v>
      </c>
      <c r="P3075" s="1">
        <v>7</v>
      </c>
      <c r="Q3075" s="7" t="s">
        <v>17633</v>
      </c>
      <c r="R3075" s="1" t="s">
        <v>19</v>
      </c>
      <c r="S3075" s="1" t="s">
        <v>20</v>
      </c>
      <c r="T3075" s="1" t="s">
        <v>21</v>
      </c>
      <c r="U3075" s="1" t="s">
        <v>22</v>
      </c>
      <c r="V3075" s="1" t="s">
        <v>24</v>
      </c>
      <c r="W3075" s="1" t="s">
        <v>24</v>
      </c>
      <c r="X3075" s="1">
        <v>2723</v>
      </c>
      <c r="Y3075" s="1">
        <v>2403</v>
      </c>
      <c r="Z3075" s="1" t="s">
        <v>24</v>
      </c>
      <c r="AA3075" s="1" t="s">
        <v>24</v>
      </c>
      <c r="AB3075" s="1" t="s">
        <v>24</v>
      </c>
      <c r="AC3075" s="1" t="s">
        <v>24</v>
      </c>
      <c r="AD3075" s="1" t="s">
        <v>24</v>
      </c>
      <c r="AE3075" s="1" t="s">
        <v>24</v>
      </c>
      <c r="AF3075" s="22"/>
    </row>
    <row r="3076" spans="1:32" x14ac:dyDescent="0.2">
      <c r="A3076" s="1">
        <v>24919</v>
      </c>
      <c r="B3076" s="1" t="s">
        <v>9635</v>
      </c>
      <c r="C3076" s="5" t="s">
        <v>0</v>
      </c>
      <c r="E3076" s="1" t="s">
        <v>9636</v>
      </c>
      <c r="F3076" s="1" t="s">
        <v>2299</v>
      </c>
      <c r="G3076" s="1" t="s">
        <v>2300</v>
      </c>
      <c r="H3076" s="1" t="s">
        <v>37</v>
      </c>
      <c r="I3076" s="1" t="s">
        <v>16</v>
      </c>
      <c r="J3076" s="1">
        <v>1</v>
      </c>
      <c r="K3076" s="1">
        <v>1</v>
      </c>
      <c r="L3076" s="1" t="s">
        <v>31</v>
      </c>
      <c r="M3076" s="1" t="s">
        <v>18</v>
      </c>
      <c r="N3076" s="1" t="s">
        <v>18</v>
      </c>
      <c r="O3076" s="1">
        <v>3</v>
      </c>
      <c r="P3076" s="1">
        <v>6</v>
      </c>
      <c r="R3076" s="1" t="s">
        <v>19</v>
      </c>
      <c r="S3076" s="1" t="s">
        <v>63</v>
      </c>
      <c r="T3076" s="1" t="s">
        <v>21</v>
      </c>
      <c r="U3076" s="1" t="s">
        <v>22</v>
      </c>
      <c r="V3076" s="1" t="s">
        <v>23</v>
      </c>
      <c r="W3076" s="1" t="s">
        <v>24</v>
      </c>
      <c r="X3076" s="1">
        <v>2700</v>
      </c>
      <c r="Y3076" s="1" t="s">
        <v>24</v>
      </c>
      <c r="Z3076" s="1" t="s">
        <v>24</v>
      </c>
      <c r="AA3076" s="1" t="s">
        <v>24</v>
      </c>
      <c r="AB3076" s="1" t="s">
        <v>24</v>
      </c>
      <c r="AC3076" s="1" t="s">
        <v>24</v>
      </c>
      <c r="AD3076" s="1" t="s">
        <v>24</v>
      </c>
      <c r="AE3076" s="1" t="s">
        <v>24</v>
      </c>
      <c r="AF3076" s="22"/>
    </row>
    <row r="3077" spans="1:32" x14ac:dyDescent="0.2">
      <c r="A3077" s="1">
        <v>24922</v>
      </c>
      <c r="B3077" s="1" t="s">
        <v>9637</v>
      </c>
      <c r="C3077" s="5" t="s">
        <v>0</v>
      </c>
      <c r="E3077" s="1" t="s">
        <v>9638</v>
      </c>
      <c r="F3077" s="1" t="s">
        <v>2299</v>
      </c>
      <c r="G3077" s="1" t="s">
        <v>2300</v>
      </c>
      <c r="H3077" s="1" t="s">
        <v>37</v>
      </c>
      <c r="I3077" s="1" t="s">
        <v>16</v>
      </c>
      <c r="J3077" s="1">
        <v>1</v>
      </c>
      <c r="K3077" s="1">
        <v>1</v>
      </c>
      <c r="L3077" s="1" t="s">
        <v>31</v>
      </c>
      <c r="M3077" s="1" t="s">
        <v>18</v>
      </c>
      <c r="N3077" s="1" t="s">
        <v>18</v>
      </c>
      <c r="O3077" s="1">
        <v>3</v>
      </c>
      <c r="P3077" s="1">
        <v>6</v>
      </c>
      <c r="R3077" s="1" t="s">
        <v>19</v>
      </c>
      <c r="S3077" s="1" t="s">
        <v>63</v>
      </c>
      <c r="T3077" s="1" t="s">
        <v>21</v>
      </c>
      <c r="U3077" s="1" t="s">
        <v>22</v>
      </c>
      <c r="V3077" s="1" t="s">
        <v>24</v>
      </c>
      <c r="W3077" s="1" t="s">
        <v>24</v>
      </c>
      <c r="X3077" s="1">
        <v>1303</v>
      </c>
      <c r="Y3077" s="1">
        <v>1312</v>
      </c>
      <c r="Z3077" s="1" t="s">
        <v>24</v>
      </c>
      <c r="AA3077" s="1" t="s">
        <v>24</v>
      </c>
      <c r="AB3077" s="1" t="s">
        <v>24</v>
      </c>
      <c r="AC3077" s="1" t="s">
        <v>24</v>
      </c>
      <c r="AD3077" s="1" t="s">
        <v>24</v>
      </c>
      <c r="AE3077" s="1" t="s">
        <v>24</v>
      </c>
      <c r="AF3077" s="22"/>
    </row>
    <row r="3078" spans="1:32" x14ac:dyDescent="0.2">
      <c r="A3078" s="1">
        <v>24923</v>
      </c>
      <c r="B3078" s="1" t="s">
        <v>9639</v>
      </c>
      <c r="C3078" s="5" t="s">
        <v>0</v>
      </c>
      <c r="E3078" s="1" t="s">
        <v>9640</v>
      </c>
      <c r="F3078" s="1" t="s">
        <v>2299</v>
      </c>
      <c r="G3078" s="1" t="s">
        <v>2300</v>
      </c>
      <c r="H3078" s="1" t="s">
        <v>37</v>
      </c>
      <c r="I3078" s="1" t="s">
        <v>16</v>
      </c>
      <c r="J3078" s="1">
        <v>1</v>
      </c>
      <c r="K3078" s="1">
        <v>1</v>
      </c>
      <c r="L3078" s="1" t="s">
        <v>31</v>
      </c>
      <c r="M3078" s="1" t="s">
        <v>18</v>
      </c>
      <c r="N3078" s="1" t="s">
        <v>18</v>
      </c>
      <c r="O3078" s="1">
        <v>3</v>
      </c>
      <c r="P3078" s="1">
        <v>6</v>
      </c>
      <c r="R3078" s="1" t="s">
        <v>19</v>
      </c>
      <c r="S3078" s="1" t="s">
        <v>63</v>
      </c>
      <c r="T3078" s="1" t="s">
        <v>21</v>
      </c>
      <c r="U3078" s="1" t="s">
        <v>22</v>
      </c>
      <c r="V3078" s="1" t="s">
        <v>24</v>
      </c>
      <c r="W3078" s="1" t="s">
        <v>24</v>
      </c>
      <c r="X3078" s="1">
        <v>3002</v>
      </c>
      <c r="Y3078" s="1">
        <v>1313</v>
      </c>
      <c r="Z3078" s="1" t="s">
        <v>24</v>
      </c>
      <c r="AA3078" s="1" t="s">
        <v>24</v>
      </c>
      <c r="AB3078" s="1" t="s">
        <v>24</v>
      </c>
      <c r="AC3078" s="1" t="s">
        <v>24</v>
      </c>
      <c r="AD3078" s="1" t="s">
        <v>24</v>
      </c>
      <c r="AE3078" s="1" t="s">
        <v>24</v>
      </c>
      <c r="AF3078" s="22"/>
    </row>
    <row r="3079" spans="1:32" x14ac:dyDescent="0.2">
      <c r="A3079" s="1">
        <v>24926</v>
      </c>
      <c r="B3079" s="1" t="s">
        <v>9641</v>
      </c>
      <c r="C3079" s="5" t="s">
        <v>0</v>
      </c>
      <c r="E3079" s="1" t="s">
        <v>9642</v>
      </c>
      <c r="F3079" s="1" t="s">
        <v>2299</v>
      </c>
      <c r="G3079" s="1" t="s">
        <v>2300</v>
      </c>
      <c r="H3079" s="1" t="s">
        <v>37</v>
      </c>
      <c r="I3079" s="1" t="s">
        <v>16</v>
      </c>
      <c r="J3079" s="1">
        <v>1</v>
      </c>
      <c r="K3079" s="1">
        <v>1</v>
      </c>
      <c r="L3079" s="1" t="s">
        <v>31</v>
      </c>
      <c r="M3079" s="1" t="s">
        <v>18</v>
      </c>
      <c r="N3079" s="1" t="s">
        <v>18</v>
      </c>
      <c r="O3079" s="1">
        <v>3</v>
      </c>
      <c r="P3079" s="1">
        <v>6</v>
      </c>
      <c r="R3079" s="1" t="s">
        <v>19</v>
      </c>
      <c r="S3079" s="1" t="s">
        <v>63</v>
      </c>
      <c r="T3079" s="1" t="s">
        <v>21</v>
      </c>
      <c r="U3079" s="1" t="s">
        <v>22</v>
      </c>
      <c r="V3079" s="1" t="s">
        <v>24</v>
      </c>
      <c r="W3079" s="1" t="s">
        <v>24</v>
      </c>
      <c r="X3079" s="1">
        <v>2733</v>
      </c>
      <c r="Y3079" s="1" t="s">
        <v>24</v>
      </c>
      <c r="Z3079" s="1" t="s">
        <v>24</v>
      </c>
      <c r="AA3079" s="1" t="s">
        <v>24</v>
      </c>
      <c r="AB3079" s="1" t="s">
        <v>24</v>
      </c>
      <c r="AC3079" s="1" t="s">
        <v>24</v>
      </c>
      <c r="AD3079" s="1" t="s">
        <v>24</v>
      </c>
      <c r="AE3079" s="1" t="s">
        <v>24</v>
      </c>
      <c r="AF3079" s="22"/>
    </row>
    <row r="3080" spans="1:32" x14ac:dyDescent="0.2">
      <c r="A3080" s="1">
        <v>24932</v>
      </c>
      <c r="B3080" s="1" t="s">
        <v>9643</v>
      </c>
      <c r="C3080" s="5" t="s">
        <v>0</v>
      </c>
      <c r="E3080" s="1" t="s">
        <v>9644</v>
      </c>
      <c r="F3080" s="1" t="s">
        <v>2299</v>
      </c>
      <c r="G3080" s="1" t="s">
        <v>2300</v>
      </c>
      <c r="H3080" s="1" t="s">
        <v>37</v>
      </c>
      <c r="I3080" s="1" t="s">
        <v>16</v>
      </c>
      <c r="J3080" s="1">
        <v>1</v>
      </c>
      <c r="K3080" s="1">
        <v>1</v>
      </c>
      <c r="L3080" s="1" t="s">
        <v>31</v>
      </c>
      <c r="M3080" s="1" t="s">
        <v>18</v>
      </c>
      <c r="N3080" s="1" t="s">
        <v>18</v>
      </c>
      <c r="O3080" s="1">
        <v>3</v>
      </c>
      <c r="P3080" s="1">
        <v>6</v>
      </c>
      <c r="R3080" s="1" t="s">
        <v>19</v>
      </c>
      <c r="S3080" s="1" t="s">
        <v>63</v>
      </c>
      <c r="T3080" s="1" t="s">
        <v>21</v>
      </c>
      <c r="U3080" s="1" t="s">
        <v>22</v>
      </c>
      <c r="V3080" s="1" t="s">
        <v>23</v>
      </c>
      <c r="W3080" s="1" t="s">
        <v>24</v>
      </c>
      <c r="X3080" s="1">
        <v>2739</v>
      </c>
      <c r="Y3080" s="1" t="s">
        <v>24</v>
      </c>
      <c r="Z3080" s="1" t="s">
        <v>24</v>
      </c>
      <c r="AA3080" s="1" t="s">
        <v>24</v>
      </c>
      <c r="AB3080" s="1" t="s">
        <v>24</v>
      </c>
      <c r="AC3080" s="1" t="s">
        <v>24</v>
      </c>
      <c r="AD3080" s="1" t="s">
        <v>24</v>
      </c>
      <c r="AE3080" s="1" t="s">
        <v>24</v>
      </c>
      <c r="AF3080" s="22"/>
    </row>
    <row r="3081" spans="1:32" x14ac:dyDescent="0.2">
      <c r="A3081" s="1">
        <v>24935</v>
      </c>
      <c r="B3081" s="1" t="s">
        <v>9645</v>
      </c>
      <c r="C3081" s="5" t="s">
        <v>0</v>
      </c>
      <c r="E3081" s="1" t="s">
        <v>9646</v>
      </c>
      <c r="F3081" s="1" t="s">
        <v>2299</v>
      </c>
      <c r="G3081" s="1" t="s">
        <v>2300</v>
      </c>
      <c r="H3081" s="1" t="s">
        <v>37</v>
      </c>
      <c r="I3081" s="1" t="s">
        <v>16</v>
      </c>
      <c r="J3081" s="1">
        <v>1</v>
      </c>
      <c r="K3081" s="1">
        <v>1</v>
      </c>
      <c r="L3081" s="1" t="s">
        <v>31</v>
      </c>
      <c r="M3081" s="1" t="s">
        <v>18</v>
      </c>
      <c r="N3081" s="1" t="s">
        <v>18</v>
      </c>
      <c r="O3081" s="1">
        <v>3</v>
      </c>
      <c r="P3081" s="1">
        <v>6</v>
      </c>
      <c r="R3081" s="1" t="s">
        <v>62</v>
      </c>
      <c r="S3081" s="1" t="s">
        <v>63</v>
      </c>
      <c r="T3081" s="1" t="s">
        <v>21</v>
      </c>
      <c r="U3081" s="1" t="s">
        <v>22</v>
      </c>
      <c r="V3081" s="1" t="s">
        <v>24</v>
      </c>
      <c r="W3081" s="1" t="s">
        <v>24</v>
      </c>
      <c r="X3081" s="1">
        <v>1315</v>
      </c>
      <c r="Y3081" s="1" t="s">
        <v>24</v>
      </c>
      <c r="Z3081" s="1" t="s">
        <v>24</v>
      </c>
      <c r="AA3081" s="1" t="s">
        <v>24</v>
      </c>
      <c r="AB3081" s="1" t="s">
        <v>24</v>
      </c>
      <c r="AC3081" s="1" t="s">
        <v>24</v>
      </c>
      <c r="AD3081" s="1" t="s">
        <v>24</v>
      </c>
      <c r="AE3081" s="1" t="s">
        <v>24</v>
      </c>
      <c r="AF3081" s="22"/>
    </row>
    <row r="3082" spans="1:32" x14ac:dyDescent="0.2">
      <c r="A3082" s="1">
        <v>24938</v>
      </c>
      <c r="B3082" s="1" t="s">
        <v>9647</v>
      </c>
      <c r="C3082" s="5" t="s">
        <v>0</v>
      </c>
      <c r="E3082" s="1" t="s">
        <v>9648</v>
      </c>
      <c r="F3082" s="1" t="s">
        <v>2299</v>
      </c>
      <c r="G3082" s="1" t="s">
        <v>2300</v>
      </c>
      <c r="H3082" s="1" t="s">
        <v>37</v>
      </c>
      <c r="I3082" s="1" t="s">
        <v>16</v>
      </c>
      <c r="J3082" s="1">
        <v>1</v>
      </c>
      <c r="K3082" s="1">
        <v>1</v>
      </c>
      <c r="L3082" s="1" t="s">
        <v>31</v>
      </c>
      <c r="M3082" s="1" t="s">
        <v>18</v>
      </c>
      <c r="N3082" s="1" t="s">
        <v>18</v>
      </c>
      <c r="O3082" s="1">
        <v>3</v>
      </c>
      <c r="P3082" s="1">
        <v>6</v>
      </c>
      <c r="R3082" s="1" t="s">
        <v>19</v>
      </c>
      <c r="S3082" s="1" t="s">
        <v>63</v>
      </c>
      <c r="T3082" s="1" t="s">
        <v>21</v>
      </c>
      <c r="U3082" s="1" t="s">
        <v>22</v>
      </c>
      <c r="V3082" s="1" t="s">
        <v>24</v>
      </c>
      <c r="W3082" s="1" t="s">
        <v>24</v>
      </c>
      <c r="X3082" s="1">
        <v>2748</v>
      </c>
      <c r="Y3082" s="1">
        <v>2743</v>
      </c>
      <c r="Z3082" s="1" t="s">
        <v>24</v>
      </c>
      <c r="AA3082" s="1" t="s">
        <v>24</v>
      </c>
      <c r="AB3082" s="1" t="s">
        <v>24</v>
      </c>
      <c r="AC3082" s="1" t="s">
        <v>24</v>
      </c>
      <c r="AD3082" s="1" t="s">
        <v>24</v>
      </c>
      <c r="AE3082" s="1" t="s">
        <v>24</v>
      </c>
      <c r="AF3082" s="22"/>
    </row>
    <row r="3083" spans="1:32" x14ac:dyDescent="0.2">
      <c r="A3083" s="1">
        <v>24945</v>
      </c>
      <c r="B3083" s="1" t="s">
        <v>9649</v>
      </c>
      <c r="C3083" s="5" t="s">
        <v>0</v>
      </c>
      <c r="E3083" s="1" t="s">
        <v>9650</v>
      </c>
      <c r="F3083" s="1" t="s">
        <v>2299</v>
      </c>
      <c r="G3083" s="1" t="s">
        <v>2300</v>
      </c>
      <c r="H3083" s="1" t="s">
        <v>37</v>
      </c>
      <c r="I3083" s="1" t="s">
        <v>16</v>
      </c>
      <c r="J3083" s="1">
        <v>1</v>
      </c>
      <c r="K3083" s="1">
        <v>1</v>
      </c>
      <c r="L3083" s="1" t="s">
        <v>31</v>
      </c>
      <c r="M3083" s="1" t="s">
        <v>18</v>
      </c>
      <c r="N3083" s="1" t="s">
        <v>18</v>
      </c>
      <c r="O3083" s="1">
        <v>3</v>
      </c>
      <c r="P3083" s="1">
        <v>6</v>
      </c>
      <c r="R3083" s="1" t="s">
        <v>19</v>
      </c>
      <c r="S3083" s="1" t="s">
        <v>63</v>
      </c>
      <c r="T3083" s="1" t="s">
        <v>21</v>
      </c>
      <c r="U3083" s="1" t="s">
        <v>22</v>
      </c>
      <c r="V3083" s="1" t="s">
        <v>24</v>
      </c>
      <c r="W3083" s="1" t="s">
        <v>24</v>
      </c>
      <c r="X3083" s="1">
        <v>2726</v>
      </c>
      <c r="Y3083" s="1">
        <v>2404</v>
      </c>
      <c r="Z3083" s="1" t="s">
        <v>24</v>
      </c>
      <c r="AA3083" s="1" t="s">
        <v>24</v>
      </c>
      <c r="AB3083" s="1" t="s">
        <v>24</v>
      </c>
      <c r="AC3083" s="1" t="s">
        <v>24</v>
      </c>
      <c r="AD3083" s="1" t="s">
        <v>24</v>
      </c>
      <c r="AE3083" s="1" t="s">
        <v>24</v>
      </c>
      <c r="AF3083" s="22"/>
    </row>
    <row r="3084" spans="1:32" x14ac:dyDescent="0.2">
      <c r="A3084" s="1">
        <v>24946</v>
      </c>
      <c r="B3084" s="1" t="s">
        <v>9651</v>
      </c>
      <c r="C3084" s="5" t="s">
        <v>0</v>
      </c>
      <c r="E3084" s="1" t="s">
        <v>9652</v>
      </c>
      <c r="F3084" s="1" t="s">
        <v>2299</v>
      </c>
      <c r="G3084" s="1" t="s">
        <v>2300</v>
      </c>
      <c r="H3084" s="1" t="s">
        <v>37</v>
      </c>
      <c r="I3084" s="1" t="s">
        <v>16</v>
      </c>
      <c r="J3084" s="1">
        <v>1</v>
      </c>
      <c r="K3084" s="1">
        <v>1</v>
      </c>
      <c r="L3084" s="1" t="s">
        <v>31</v>
      </c>
      <c r="M3084" s="1" t="s">
        <v>18</v>
      </c>
      <c r="N3084" s="1" t="s">
        <v>18</v>
      </c>
      <c r="O3084" s="1">
        <v>3</v>
      </c>
      <c r="P3084" s="1">
        <v>6</v>
      </c>
      <c r="R3084" s="1" t="s">
        <v>19</v>
      </c>
      <c r="S3084" s="1" t="s">
        <v>63</v>
      </c>
      <c r="T3084" s="1" t="s">
        <v>21</v>
      </c>
      <c r="U3084" s="1" t="s">
        <v>22</v>
      </c>
      <c r="V3084" s="1" t="s">
        <v>24</v>
      </c>
      <c r="W3084" s="1" t="s">
        <v>24</v>
      </c>
      <c r="X3084" s="1">
        <v>2732</v>
      </c>
      <c r="Y3084" s="1">
        <v>2745</v>
      </c>
      <c r="Z3084" s="1" t="s">
        <v>24</v>
      </c>
      <c r="AA3084" s="1" t="s">
        <v>24</v>
      </c>
      <c r="AB3084" s="1" t="s">
        <v>24</v>
      </c>
      <c r="AC3084" s="1" t="s">
        <v>24</v>
      </c>
      <c r="AD3084" s="1" t="s">
        <v>24</v>
      </c>
      <c r="AE3084" s="1" t="s">
        <v>24</v>
      </c>
      <c r="AF3084" s="22"/>
    </row>
    <row r="3085" spans="1:32" x14ac:dyDescent="0.2">
      <c r="A3085" s="1">
        <v>24947</v>
      </c>
      <c r="B3085" s="1" t="s">
        <v>9653</v>
      </c>
      <c r="C3085" s="5" t="s">
        <v>0</v>
      </c>
      <c r="E3085" s="1" t="s">
        <v>9654</v>
      </c>
      <c r="F3085" s="1" t="s">
        <v>2299</v>
      </c>
      <c r="G3085" s="1" t="s">
        <v>2300</v>
      </c>
      <c r="H3085" s="1" t="s">
        <v>37</v>
      </c>
      <c r="I3085" s="1" t="s">
        <v>16</v>
      </c>
      <c r="J3085" s="1">
        <v>1</v>
      </c>
      <c r="K3085" s="1">
        <v>1</v>
      </c>
      <c r="L3085" s="1" t="s">
        <v>31</v>
      </c>
      <c r="M3085" s="1" t="s">
        <v>18</v>
      </c>
      <c r="N3085" s="1" t="s">
        <v>18</v>
      </c>
      <c r="O3085" s="1">
        <v>3</v>
      </c>
      <c r="P3085" s="1">
        <v>6</v>
      </c>
      <c r="R3085" s="1" t="s">
        <v>19</v>
      </c>
      <c r="S3085" s="1" t="s">
        <v>63</v>
      </c>
      <c r="T3085" s="1" t="s">
        <v>21</v>
      </c>
      <c r="U3085" s="1" t="s">
        <v>22</v>
      </c>
      <c r="V3085" s="1" t="s">
        <v>24</v>
      </c>
      <c r="W3085" s="1" t="s">
        <v>24</v>
      </c>
      <c r="X3085" s="1">
        <v>2727</v>
      </c>
      <c r="Y3085" s="1" t="s">
        <v>24</v>
      </c>
      <c r="Z3085" s="1" t="s">
        <v>24</v>
      </c>
      <c r="AA3085" s="1" t="s">
        <v>24</v>
      </c>
      <c r="AB3085" s="1" t="s">
        <v>24</v>
      </c>
      <c r="AC3085" s="1" t="s">
        <v>24</v>
      </c>
      <c r="AD3085" s="1" t="s">
        <v>24</v>
      </c>
      <c r="AE3085" s="1" t="s">
        <v>24</v>
      </c>
      <c r="AF3085" s="22"/>
    </row>
    <row r="3086" spans="1:32" x14ac:dyDescent="0.2">
      <c r="A3086" s="1">
        <v>24950</v>
      </c>
      <c r="B3086" s="1" t="s">
        <v>9655</v>
      </c>
      <c r="C3086" s="5" t="s">
        <v>0</v>
      </c>
      <c r="E3086" s="1" t="s">
        <v>9656</v>
      </c>
      <c r="F3086" s="1" t="s">
        <v>2299</v>
      </c>
      <c r="G3086" s="1" t="s">
        <v>2300</v>
      </c>
      <c r="H3086" s="1" t="s">
        <v>37</v>
      </c>
      <c r="I3086" s="1" t="s">
        <v>16</v>
      </c>
      <c r="J3086" s="1">
        <v>1</v>
      </c>
      <c r="K3086" s="1">
        <v>1</v>
      </c>
      <c r="L3086" s="1" t="s">
        <v>31</v>
      </c>
      <c r="M3086" s="1" t="s">
        <v>18</v>
      </c>
      <c r="N3086" s="1" t="s">
        <v>18</v>
      </c>
      <c r="O3086" s="1">
        <v>3</v>
      </c>
      <c r="P3086" s="1">
        <v>7</v>
      </c>
      <c r="Q3086" s="7" t="s">
        <v>17633</v>
      </c>
      <c r="R3086" s="1" t="s">
        <v>19</v>
      </c>
      <c r="S3086" s="1" t="s">
        <v>63</v>
      </c>
      <c r="T3086" s="1" t="s">
        <v>21</v>
      </c>
      <c r="U3086" s="1" t="s">
        <v>22</v>
      </c>
      <c r="V3086" s="1" t="s">
        <v>24</v>
      </c>
      <c r="W3086" s="1" t="s">
        <v>24</v>
      </c>
      <c r="X3086" s="1">
        <v>2307</v>
      </c>
      <c r="Y3086" s="1">
        <v>2739</v>
      </c>
      <c r="Z3086" s="1" t="s">
        <v>24</v>
      </c>
      <c r="AA3086" s="1" t="s">
        <v>24</v>
      </c>
      <c r="AB3086" s="1" t="s">
        <v>24</v>
      </c>
      <c r="AC3086" s="1" t="s">
        <v>24</v>
      </c>
      <c r="AD3086" s="1" t="s">
        <v>24</v>
      </c>
      <c r="AE3086" s="1" t="s">
        <v>24</v>
      </c>
      <c r="AF3086" s="22"/>
    </row>
    <row r="3087" spans="1:32" x14ac:dyDescent="0.2">
      <c r="A3087" s="1">
        <v>24951</v>
      </c>
      <c r="B3087" s="1" t="s">
        <v>9657</v>
      </c>
      <c r="C3087" s="5" t="s">
        <v>0</v>
      </c>
      <c r="E3087" s="1" t="s">
        <v>9658</v>
      </c>
      <c r="F3087" s="1" t="s">
        <v>2299</v>
      </c>
      <c r="G3087" s="1" t="s">
        <v>2300</v>
      </c>
      <c r="H3087" s="1" t="s">
        <v>37</v>
      </c>
      <c r="I3087" s="1" t="s">
        <v>16</v>
      </c>
      <c r="J3087" s="1">
        <v>1</v>
      </c>
      <c r="K3087" s="1">
        <v>1</v>
      </c>
      <c r="L3087" s="1" t="s">
        <v>31</v>
      </c>
      <c r="M3087" s="1" t="s">
        <v>18</v>
      </c>
      <c r="N3087" s="1" t="s">
        <v>18</v>
      </c>
      <c r="O3087" s="1">
        <v>3</v>
      </c>
      <c r="P3087" s="1">
        <v>7</v>
      </c>
      <c r="Q3087" s="7" t="s">
        <v>17633</v>
      </c>
      <c r="R3087" s="1" t="s">
        <v>19</v>
      </c>
      <c r="S3087" s="1" t="s">
        <v>63</v>
      </c>
      <c r="T3087" s="1" t="s">
        <v>21</v>
      </c>
      <c r="U3087" s="1" t="s">
        <v>22</v>
      </c>
      <c r="V3087" s="1" t="s">
        <v>23</v>
      </c>
      <c r="W3087" s="1" t="s">
        <v>24</v>
      </c>
      <c r="X3087" s="1">
        <v>2719</v>
      </c>
      <c r="Y3087" s="1">
        <v>2739</v>
      </c>
      <c r="Z3087" s="1" t="s">
        <v>24</v>
      </c>
      <c r="AA3087" s="1" t="s">
        <v>24</v>
      </c>
      <c r="AB3087" s="1" t="s">
        <v>24</v>
      </c>
      <c r="AC3087" s="1" t="s">
        <v>24</v>
      </c>
      <c r="AD3087" s="1" t="s">
        <v>24</v>
      </c>
      <c r="AE3087" s="1" t="s">
        <v>24</v>
      </c>
      <c r="AF3087" s="22"/>
    </row>
    <row r="3088" spans="1:32" x14ac:dyDescent="0.2">
      <c r="A3088" s="1">
        <v>24954</v>
      </c>
      <c r="B3088" s="1" t="s">
        <v>9659</v>
      </c>
      <c r="C3088" s="5" t="s">
        <v>0</v>
      </c>
      <c r="E3088" s="1" t="s">
        <v>9660</v>
      </c>
      <c r="F3088" s="1" t="s">
        <v>2299</v>
      </c>
      <c r="G3088" s="1" t="s">
        <v>2300</v>
      </c>
      <c r="H3088" s="1" t="s">
        <v>37</v>
      </c>
      <c r="I3088" s="1" t="s">
        <v>16</v>
      </c>
      <c r="J3088" s="1">
        <v>1</v>
      </c>
      <c r="K3088" s="1">
        <v>1</v>
      </c>
      <c r="L3088" s="1" t="s">
        <v>31</v>
      </c>
      <c r="M3088" s="1" t="s">
        <v>18</v>
      </c>
      <c r="N3088" s="1" t="s">
        <v>18</v>
      </c>
      <c r="O3088" s="1">
        <v>3</v>
      </c>
      <c r="P3088" s="1">
        <v>6</v>
      </c>
      <c r="R3088" s="1" t="s">
        <v>19</v>
      </c>
      <c r="S3088" s="1" t="s">
        <v>63</v>
      </c>
      <c r="T3088" s="1" t="s">
        <v>21</v>
      </c>
      <c r="U3088" s="1" t="s">
        <v>22</v>
      </c>
      <c r="V3088" s="1" t="s">
        <v>24</v>
      </c>
      <c r="W3088" s="1" t="s">
        <v>24</v>
      </c>
      <c r="X3088" s="1">
        <v>2700</v>
      </c>
      <c r="Y3088" s="1">
        <v>3000</v>
      </c>
      <c r="Z3088" s="1">
        <v>1300</v>
      </c>
      <c r="AA3088" s="1" t="s">
        <v>24</v>
      </c>
      <c r="AB3088" s="1" t="s">
        <v>24</v>
      </c>
      <c r="AC3088" s="1" t="s">
        <v>24</v>
      </c>
      <c r="AD3088" s="1" t="s">
        <v>24</v>
      </c>
      <c r="AE3088" s="1" t="s">
        <v>24</v>
      </c>
      <c r="AF3088" s="22"/>
    </row>
    <row r="3089" spans="1:32" x14ac:dyDescent="0.2">
      <c r="A3089" s="1">
        <v>24955</v>
      </c>
      <c r="B3089" s="1" t="s">
        <v>9661</v>
      </c>
      <c r="C3089" s="5" t="s">
        <v>0</v>
      </c>
      <c r="E3089" s="1" t="s">
        <v>9662</v>
      </c>
      <c r="F3089" s="1" t="s">
        <v>2299</v>
      </c>
      <c r="G3089" s="1" t="s">
        <v>2300</v>
      </c>
      <c r="H3089" s="1" t="s">
        <v>37</v>
      </c>
      <c r="I3089" s="1" t="s">
        <v>16</v>
      </c>
      <c r="J3089" s="1">
        <v>1</v>
      </c>
      <c r="K3089" s="1">
        <v>1</v>
      </c>
      <c r="L3089" s="1" t="s">
        <v>31</v>
      </c>
      <c r="M3089" s="1" t="s">
        <v>18</v>
      </c>
      <c r="N3089" s="1" t="s">
        <v>18</v>
      </c>
      <c r="O3089" s="1">
        <v>3</v>
      </c>
      <c r="P3089" s="1">
        <v>6</v>
      </c>
      <c r="R3089" s="1" t="s">
        <v>19</v>
      </c>
      <c r="S3089" s="1" t="s">
        <v>63</v>
      </c>
      <c r="T3089" s="1" t="s">
        <v>21</v>
      </c>
      <c r="U3089" s="1" t="s">
        <v>22</v>
      </c>
      <c r="V3089" s="1" t="s">
        <v>24</v>
      </c>
      <c r="W3089" s="1" t="s">
        <v>24</v>
      </c>
      <c r="X3089" s="1">
        <v>1308</v>
      </c>
      <c r="Y3089" s="1">
        <v>2704</v>
      </c>
      <c r="Z3089" s="1">
        <v>2712</v>
      </c>
      <c r="AA3089" s="1">
        <v>1310</v>
      </c>
      <c r="AB3089" s="1" t="s">
        <v>24</v>
      </c>
      <c r="AC3089" s="1" t="s">
        <v>24</v>
      </c>
      <c r="AD3089" s="1" t="s">
        <v>24</v>
      </c>
      <c r="AE3089" s="1" t="s">
        <v>24</v>
      </c>
      <c r="AF3089" s="22"/>
    </row>
    <row r="3090" spans="1:32" x14ac:dyDescent="0.2">
      <c r="A3090" s="1">
        <v>24956</v>
      </c>
      <c r="B3090" s="1" t="s">
        <v>9663</v>
      </c>
      <c r="C3090" s="5" t="s">
        <v>0</v>
      </c>
      <c r="E3090" s="1" t="s">
        <v>9664</v>
      </c>
      <c r="F3090" s="1" t="s">
        <v>2299</v>
      </c>
      <c r="G3090" s="1" t="s">
        <v>2300</v>
      </c>
      <c r="H3090" s="1" t="s">
        <v>37</v>
      </c>
      <c r="I3090" s="1" t="s">
        <v>16</v>
      </c>
      <c r="J3090" s="1">
        <v>1</v>
      </c>
      <c r="K3090" s="1">
        <v>1</v>
      </c>
      <c r="L3090" s="1" t="s">
        <v>31</v>
      </c>
      <c r="M3090" s="1" t="s">
        <v>18</v>
      </c>
      <c r="N3090" s="1" t="s">
        <v>18</v>
      </c>
      <c r="O3090" s="1">
        <v>3</v>
      </c>
      <c r="P3090" s="1">
        <v>6</v>
      </c>
      <c r="R3090" s="1" t="s">
        <v>19</v>
      </c>
      <c r="S3090" s="1" t="s">
        <v>63</v>
      </c>
      <c r="T3090" s="1" t="s">
        <v>21</v>
      </c>
      <c r="U3090" s="1" t="s">
        <v>22</v>
      </c>
      <c r="V3090" s="1" t="s">
        <v>24</v>
      </c>
      <c r="W3090" s="1" t="s">
        <v>24</v>
      </c>
      <c r="X3090" s="1">
        <v>2725</v>
      </c>
      <c r="Y3090" s="1">
        <v>2405</v>
      </c>
      <c r="Z3090" s="1" t="s">
        <v>24</v>
      </c>
      <c r="AA3090" s="1" t="s">
        <v>24</v>
      </c>
      <c r="AB3090" s="1" t="s">
        <v>24</v>
      </c>
      <c r="AC3090" s="1" t="s">
        <v>24</v>
      </c>
      <c r="AD3090" s="1" t="s">
        <v>24</v>
      </c>
      <c r="AE3090" s="1" t="s">
        <v>24</v>
      </c>
      <c r="AF3090" s="22"/>
    </row>
    <row r="3091" spans="1:32" x14ac:dyDescent="0.2">
      <c r="A3091" s="1">
        <v>24957</v>
      </c>
      <c r="B3091" s="1" t="s">
        <v>9665</v>
      </c>
      <c r="C3091" s="5" t="s">
        <v>0</v>
      </c>
      <c r="E3091" s="1" t="s">
        <v>9666</v>
      </c>
      <c r="F3091" s="1" t="s">
        <v>2299</v>
      </c>
      <c r="G3091" s="1" t="s">
        <v>2300</v>
      </c>
      <c r="H3091" s="1" t="s">
        <v>37</v>
      </c>
      <c r="I3091" s="1" t="s">
        <v>16</v>
      </c>
      <c r="J3091" s="1">
        <v>1</v>
      </c>
      <c r="K3091" s="1">
        <v>1</v>
      </c>
      <c r="L3091" s="1" t="s">
        <v>31</v>
      </c>
      <c r="M3091" s="1" t="s">
        <v>18</v>
      </c>
      <c r="N3091" s="1" t="s">
        <v>18</v>
      </c>
      <c r="O3091" s="1">
        <v>3</v>
      </c>
      <c r="P3091" s="1">
        <v>6</v>
      </c>
      <c r="R3091" s="1" t="s">
        <v>19</v>
      </c>
      <c r="S3091" s="1" t="s">
        <v>63</v>
      </c>
      <c r="T3091" s="1" t="s">
        <v>21</v>
      </c>
      <c r="U3091" s="1" t="s">
        <v>22</v>
      </c>
      <c r="V3091" s="1" t="s">
        <v>23</v>
      </c>
      <c r="W3091" s="1" t="s">
        <v>24</v>
      </c>
      <c r="X3091" s="1">
        <v>2701</v>
      </c>
      <c r="Y3091" s="1">
        <v>2916</v>
      </c>
      <c r="Z3091" s="1" t="s">
        <v>24</v>
      </c>
      <c r="AA3091" s="1" t="s">
        <v>24</v>
      </c>
      <c r="AB3091" s="1" t="s">
        <v>24</v>
      </c>
      <c r="AC3091" s="1" t="s">
        <v>24</v>
      </c>
      <c r="AD3091" s="1" t="s">
        <v>24</v>
      </c>
      <c r="AE3091" s="1" t="s">
        <v>24</v>
      </c>
      <c r="AF3091" s="22"/>
    </row>
    <row r="3092" spans="1:32" x14ac:dyDescent="0.2">
      <c r="A3092" s="1">
        <v>24958</v>
      </c>
      <c r="B3092" s="1" t="s">
        <v>9667</v>
      </c>
      <c r="C3092" s="5" t="s">
        <v>0</v>
      </c>
      <c r="E3092" s="1" t="s">
        <v>9668</v>
      </c>
      <c r="F3092" s="1" t="s">
        <v>2299</v>
      </c>
      <c r="G3092" s="1" t="s">
        <v>2300</v>
      </c>
      <c r="H3092" s="1" t="s">
        <v>37</v>
      </c>
      <c r="I3092" s="1" t="s">
        <v>16</v>
      </c>
      <c r="J3092" s="1">
        <v>1</v>
      </c>
      <c r="K3092" s="1">
        <v>1</v>
      </c>
      <c r="L3092" s="1" t="s">
        <v>31</v>
      </c>
      <c r="M3092" s="1" t="s">
        <v>18</v>
      </c>
      <c r="N3092" s="1" t="s">
        <v>18</v>
      </c>
      <c r="O3092" s="1">
        <v>3</v>
      </c>
      <c r="P3092" s="1">
        <v>6</v>
      </c>
      <c r="R3092" s="1" t="s">
        <v>19</v>
      </c>
      <c r="S3092" s="1" t="s">
        <v>63</v>
      </c>
      <c r="T3092" s="1" t="s">
        <v>21</v>
      </c>
      <c r="U3092" s="1" t="s">
        <v>22</v>
      </c>
      <c r="V3092" s="1" t="s">
        <v>23</v>
      </c>
      <c r="W3092" s="1" t="s">
        <v>24</v>
      </c>
      <c r="X3092" s="1">
        <v>2705</v>
      </c>
      <c r="Y3092" s="1">
        <v>2741</v>
      </c>
      <c r="Z3092" s="1" t="s">
        <v>24</v>
      </c>
      <c r="AA3092" s="1" t="s">
        <v>24</v>
      </c>
      <c r="AB3092" s="1" t="s">
        <v>24</v>
      </c>
      <c r="AC3092" s="1" t="s">
        <v>24</v>
      </c>
      <c r="AD3092" s="1" t="s">
        <v>24</v>
      </c>
      <c r="AE3092" s="1" t="s">
        <v>24</v>
      </c>
      <c r="AF3092" s="22"/>
    </row>
    <row r="3093" spans="1:32" x14ac:dyDescent="0.2">
      <c r="A3093" s="1">
        <v>24961</v>
      </c>
      <c r="B3093" s="1" t="s">
        <v>9669</v>
      </c>
      <c r="C3093" s="5" t="s">
        <v>0</v>
      </c>
      <c r="E3093" s="1" t="s">
        <v>9670</v>
      </c>
      <c r="F3093" s="1" t="s">
        <v>2299</v>
      </c>
      <c r="G3093" s="1" t="s">
        <v>2300</v>
      </c>
      <c r="H3093" s="1" t="s">
        <v>37</v>
      </c>
      <c r="I3093" s="1" t="s">
        <v>16</v>
      </c>
      <c r="J3093" s="1">
        <v>1</v>
      </c>
      <c r="K3093" s="1">
        <v>1</v>
      </c>
      <c r="L3093" s="1" t="s">
        <v>31</v>
      </c>
      <c r="M3093" s="1" t="s">
        <v>18</v>
      </c>
      <c r="N3093" s="1" t="s">
        <v>18</v>
      </c>
      <c r="O3093" s="1">
        <v>3</v>
      </c>
      <c r="P3093" s="1">
        <v>6</v>
      </c>
      <c r="R3093" s="1" t="s">
        <v>19</v>
      </c>
      <c r="S3093" s="1" t="s">
        <v>63</v>
      </c>
      <c r="T3093" s="1" t="s">
        <v>21</v>
      </c>
      <c r="U3093" s="1" t="s">
        <v>22</v>
      </c>
      <c r="V3093" s="1" t="s">
        <v>23</v>
      </c>
      <c r="W3093" s="1" t="s">
        <v>24</v>
      </c>
      <c r="X3093" s="1">
        <v>2707</v>
      </c>
      <c r="Y3093" s="1" t="s">
        <v>24</v>
      </c>
      <c r="Z3093" s="1" t="s">
        <v>24</v>
      </c>
      <c r="AA3093" s="1" t="s">
        <v>24</v>
      </c>
      <c r="AB3093" s="1" t="s">
        <v>24</v>
      </c>
      <c r="AC3093" s="1" t="s">
        <v>24</v>
      </c>
      <c r="AD3093" s="1" t="s">
        <v>24</v>
      </c>
      <c r="AE3093" s="1" t="s">
        <v>24</v>
      </c>
      <c r="AF3093" s="22"/>
    </row>
    <row r="3094" spans="1:32" x14ac:dyDescent="0.2">
      <c r="A3094" s="1">
        <v>24962</v>
      </c>
      <c r="B3094" s="1" t="s">
        <v>9671</v>
      </c>
      <c r="C3094" s="5" t="s">
        <v>0</v>
      </c>
      <c r="E3094" s="1" t="s">
        <v>9672</v>
      </c>
      <c r="F3094" s="1" t="s">
        <v>2299</v>
      </c>
      <c r="G3094" s="1" t="s">
        <v>2300</v>
      </c>
      <c r="H3094" s="1" t="s">
        <v>37</v>
      </c>
      <c r="I3094" s="1" t="s">
        <v>16</v>
      </c>
      <c r="J3094" s="1">
        <v>1</v>
      </c>
      <c r="K3094" s="1">
        <v>1</v>
      </c>
      <c r="L3094" s="1" t="s">
        <v>31</v>
      </c>
      <c r="M3094" s="1" t="s">
        <v>18</v>
      </c>
      <c r="N3094" s="1" t="s">
        <v>18</v>
      </c>
      <c r="O3094" s="1">
        <v>3</v>
      </c>
      <c r="P3094" s="1">
        <v>6</v>
      </c>
      <c r="R3094" s="1" t="s">
        <v>19</v>
      </c>
      <c r="S3094" s="1" t="s">
        <v>63</v>
      </c>
      <c r="T3094" s="1" t="s">
        <v>21</v>
      </c>
      <c r="U3094" s="1" t="s">
        <v>22</v>
      </c>
      <c r="V3094" s="1" t="s">
        <v>24</v>
      </c>
      <c r="W3094" s="1" t="s">
        <v>24</v>
      </c>
      <c r="X3094" s="1">
        <v>2708</v>
      </c>
      <c r="Y3094" s="1" t="s">
        <v>24</v>
      </c>
      <c r="Z3094" s="1" t="s">
        <v>24</v>
      </c>
      <c r="AA3094" s="1" t="s">
        <v>24</v>
      </c>
      <c r="AB3094" s="1" t="s">
        <v>24</v>
      </c>
      <c r="AC3094" s="1" t="s">
        <v>24</v>
      </c>
      <c r="AD3094" s="1" t="s">
        <v>24</v>
      </c>
      <c r="AE3094" s="1" t="s">
        <v>24</v>
      </c>
      <c r="AF3094" s="22"/>
    </row>
    <row r="3095" spans="1:32" x14ac:dyDescent="0.2">
      <c r="A3095" s="1">
        <v>24963</v>
      </c>
      <c r="B3095" s="1" t="s">
        <v>9673</v>
      </c>
      <c r="C3095" s="5" t="s">
        <v>0</v>
      </c>
      <c r="E3095" s="1" t="s">
        <v>9674</v>
      </c>
      <c r="F3095" s="1" t="s">
        <v>2299</v>
      </c>
      <c r="G3095" s="1" t="s">
        <v>2300</v>
      </c>
      <c r="H3095" s="1" t="s">
        <v>37</v>
      </c>
      <c r="I3095" s="1" t="s">
        <v>16</v>
      </c>
      <c r="J3095" s="1">
        <v>1</v>
      </c>
      <c r="K3095" s="1">
        <v>1</v>
      </c>
      <c r="L3095" s="1" t="s">
        <v>31</v>
      </c>
      <c r="M3095" s="1" t="s">
        <v>18</v>
      </c>
      <c r="N3095" s="1" t="s">
        <v>18</v>
      </c>
      <c r="O3095" s="1">
        <v>3</v>
      </c>
      <c r="P3095" s="1">
        <v>6</v>
      </c>
      <c r="R3095" s="1" t="s">
        <v>19</v>
      </c>
      <c r="S3095" s="1" t="s">
        <v>63</v>
      </c>
      <c r="T3095" s="1" t="s">
        <v>21</v>
      </c>
      <c r="U3095" s="1" t="s">
        <v>22</v>
      </c>
      <c r="V3095" s="1" t="s">
        <v>23</v>
      </c>
      <c r="W3095" s="1" t="s">
        <v>24</v>
      </c>
      <c r="X3095" s="1">
        <v>2711</v>
      </c>
      <c r="Y3095" s="1" t="s">
        <v>24</v>
      </c>
      <c r="Z3095" s="1" t="s">
        <v>24</v>
      </c>
      <c r="AA3095" s="1" t="s">
        <v>24</v>
      </c>
      <c r="AB3095" s="1" t="s">
        <v>24</v>
      </c>
      <c r="AC3095" s="1" t="s">
        <v>24</v>
      </c>
      <c r="AD3095" s="1" t="s">
        <v>24</v>
      </c>
      <c r="AE3095" s="1" t="s">
        <v>24</v>
      </c>
      <c r="AF3095" s="22"/>
    </row>
    <row r="3096" spans="1:32" x14ac:dyDescent="0.2">
      <c r="A3096" s="1">
        <v>24964</v>
      </c>
      <c r="B3096" s="1" t="s">
        <v>9675</v>
      </c>
      <c r="C3096" s="5" t="s">
        <v>0</v>
      </c>
      <c r="E3096" s="1" t="s">
        <v>9676</v>
      </c>
      <c r="F3096" s="1" t="s">
        <v>2299</v>
      </c>
      <c r="G3096" s="1" t="s">
        <v>2300</v>
      </c>
      <c r="H3096" s="1" t="s">
        <v>37</v>
      </c>
      <c r="I3096" s="1" t="s">
        <v>16</v>
      </c>
      <c r="J3096" s="1">
        <v>1</v>
      </c>
      <c r="K3096" s="1">
        <v>1</v>
      </c>
      <c r="L3096" s="1" t="s">
        <v>31</v>
      </c>
      <c r="M3096" s="1" t="s">
        <v>18</v>
      </c>
      <c r="N3096" s="1" t="s">
        <v>18</v>
      </c>
      <c r="O3096" s="1">
        <v>3</v>
      </c>
      <c r="P3096" s="1">
        <v>6</v>
      </c>
      <c r="R3096" s="1" t="s">
        <v>19</v>
      </c>
      <c r="S3096" s="1" t="s">
        <v>63</v>
      </c>
      <c r="T3096" s="1" t="s">
        <v>21</v>
      </c>
      <c r="U3096" s="1" t="s">
        <v>22</v>
      </c>
      <c r="V3096" s="1" t="s">
        <v>24</v>
      </c>
      <c r="W3096" s="1" t="s">
        <v>24</v>
      </c>
      <c r="X3096" s="1">
        <v>2712</v>
      </c>
      <c r="Y3096" s="1" t="s">
        <v>24</v>
      </c>
      <c r="Z3096" s="1" t="s">
        <v>24</v>
      </c>
      <c r="AA3096" s="1" t="s">
        <v>24</v>
      </c>
      <c r="AB3096" s="1" t="s">
        <v>24</v>
      </c>
      <c r="AC3096" s="1" t="s">
        <v>24</v>
      </c>
      <c r="AD3096" s="1" t="s">
        <v>24</v>
      </c>
      <c r="AE3096" s="1" t="s">
        <v>24</v>
      </c>
      <c r="AF3096" s="22"/>
    </row>
    <row r="3097" spans="1:32" x14ac:dyDescent="0.2">
      <c r="A3097" s="1">
        <v>24965</v>
      </c>
      <c r="B3097" s="1" t="s">
        <v>9677</v>
      </c>
      <c r="C3097" s="5" t="s">
        <v>0</v>
      </c>
      <c r="E3097" s="1" t="s">
        <v>9678</v>
      </c>
      <c r="F3097" s="1" t="s">
        <v>2299</v>
      </c>
      <c r="G3097" s="1" t="s">
        <v>2300</v>
      </c>
      <c r="H3097" s="1" t="s">
        <v>37</v>
      </c>
      <c r="I3097" s="1" t="s">
        <v>16</v>
      </c>
      <c r="J3097" s="1">
        <v>1</v>
      </c>
      <c r="K3097" s="1">
        <v>1</v>
      </c>
      <c r="L3097" s="1" t="s">
        <v>31</v>
      </c>
      <c r="M3097" s="1" t="s">
        <v>18</v>
      </c>
      <c r="N3097" s="1" t="s">
        <v>18</v>
      </c>
      <c r="O3097" s="1">
        <v>3</v>
      </c>
      <c r="P3097" s="1">
        <v>6</v>
      </c>
      <c r="R3097" s="1" t="s">
        <v>19</v>
      </c>
      <c r="S3097" s="1" t="s">
        <v>63</v>
      </c>
      <c r="T3097" s="1" t="s">
        <v>21</v>
      </c>
      <c r="U3097" s="1" t="s">
        <v>22</v>
      </c>
      <c r="V3097" s="1" t="s">
        <v>24</v>
      </c>
      <c r="W3097" s="1" t="s">
        <v>24</v>
      </c>
      <c r="X3097" s="1">
        <v>2715</v>
      </c>
      <c r="Y3097" s="1" t="s">
        <v>24</v>
      </c>
      <c r="Z3097" s="1" t="s">
        <v>24</v>
      </c>
      <c r="AA3097" s="1" t="s">
        <v>24</v>
      </c>
      <c r="AB3097" s="1" t="s">
        <v>24</v>
      </c>
      <c r="AC3097" s="1" t="s">
        <v>24</v>
      </c>
      <c r="AD3097" s="1" t="s">
        <v>24</v>
      </c>
      <c r="AE3097" s="1" t="s">
        <v>24</v>
      </c>
      <c r="AF3097" s="22"/>
    </row>
    <row r="3098" spans="1:32" x14ac:dyDescent="0.2">
      <c r="A3098" s="1">
        <v>24966</v>
      </c>
      <c r="B3098" s="1" t="s">
        <v>9679</v>
      </c>
      <c r="C3098" s="5" t="s">
        <v>0</v>
      </c>
      <c r="E3098" s="1" t="s">
        <v>9680</v>
      </c>
      <c r="F3098" s="1" t="s">
        <v>2299</v>
      </c>
      <c r="G3098" s="1" t="s">
        <v>2300</v>
      </c>
      <c r="H3098" s="1" t="s">
        <v>37</v>
      </c>
      <c r="I3098" s="1" t="s">
        <v>16</v>
      </c>
      <c r="J3098" s="1">
        <v>1</v>
      </c>
      <c r="K3098" s="1">
        <v>1</v>
      </c>
      <c r="L3098" s="1" t="s">
        <v>31</v>
      </c>
      <c r="M3098" s="1" t="s">
        <v>18</v>
      </c>
      <c r="N3098" s="1" t="s">
        <v>18</v>
      </c>
      <c r="O3098" s="1">
        <v>3</v>
      </c>
      <c r="P3098" s="1">
        <v>6</v>
      </c>
      <c r="R3098" s="1" t="s">
        <v>19</v>
      </c>
      <c r="S3098" s="1" t="s">
        <v>63</v>
      </c>
      <c r="T3098" s="1" t="s">
        <v>21</v>
      </c>
      <c r="U3098" s="1" t="s">
        <v>22</v>
      </c>
      <c r="V3098" s="1" t="s">
        <v>24</v>
      </c>
      <c r="W3098" s="1" t="s">
        <v>24</v>
      </c>
      <c r="X3098" s="1">
        <v>1311</v>
      </c>
      <c r="Y3098" s="1">
        <v>2716</v>
      </c>
      <c r="Z3098" s="1" t="s">
        <v>24</v>
      </c>
      <c r="AA3098" s="1" t="s">
        <v>24</v>
      </c>
      <c r="AB3098" s="1" t="s">
        <v>24</v>
      </c>
      <c r="AC3098" s="1" t="s">
        <v>24</v>
      </c>
      <c r="AD3098" s="1" t="s">
        <v>24</v>
      </c>
      <c r="AE3098" s="1" t="s">
        <v>24</v>
      </c>
      <c r="AF3098" s="22"/>
    </row>
    <row r="3099" spans="1:32" x14ac:dyDescent="0.2">
      <c r="A3099" s="1">
        <v>24967</v>
      </c>
      <c r="B3099" s="1" t="s">
        <v>9681</v>
      </c>
      <c r="C3099" s="5" t="s">
        <v>0</v>
      </c>
      <c r="E3099" s="1" t="s">
        <v>9682</v>
      </c>
      <c r="F3099" s="1" t="s">
        <v>2299</v>
      </c>
      <c r="G3099" s="1" t="s">
        <v>2300</v>
      </c>
      <c r="H3099" s="1" t="s">
        <v>37</v>
      </c>
      <c r="I3099" s="1" t="s">
        <v>16</v>
      </c>
      <c r="J3099" s="1">
        <v>1</v>
      </c>
      <c r="K3099" s="1">
        <v>1</v>
      </c>
      <c r="L3099" s="1" t="s">
        <v>31</v>
      </c>
      <c r="M3099" s="1" t="s">
        <v>18</v>
      </c>
      <c r="N3099" s="1" t="s">
        <v>18</v>
      </c>
      <c r="O3099" s="1">
        <v>3</v>
      </c>
      <c r="P3099" s="1">
        <v>6</v>
      </c>
      <c r="R3099" s="1" t="s">
        <v>62</v>
      </c>
      <c r="S3099" s="1" t="s">
        <v>63</v>
      </c>
      <c r="T3099" s="1" t="s">
        <v>21</v>
      </c>
      <c r="U3099" s="1" t="s">
        <v>22</v>
      </c>
      <c r="V3099" s="1" t="s">
        <v>24</v>
      </c>
      <c r="W3099" s="1" t="s">
        <v>24</v>
      </c>
      <c r="X3099" s="1">
        <v>1305</v>
      </c>
      <c r="Y3099" s="1">
        <v>1311</v>
      </c>
      <c r="Z3099" s="1" t="s">
        <v>24</v>
      </c>
      <c r="AA3099" s="1" t="s">
        <v>24</v>
      </c>
      <c r="AB3099" s="1" t="s">
        <v>24</v>
      </c>
      <c r="AC3099" s="1" t="s">
        <v>24</v>
      </c>
      <c r="AD3099" s="1" t="s">
        <v>24</v>
      </c>
      <c r="AE3099" s="1" t="s">
        <v>24</v>
      </c>
      <c r="AF3099" s="22"/>
    </row>
    <row r="3100" spans="1:32" x14ac:dyDescent="0.2">
      <c r="A3100" s="1">
        <v>24968</v>
      </c>
      <c r="B3100" s="1" t="s">
        <v>9683</v>
      </c>
      <c r="C3100" s="5" t="s">
        <v>0</v>
      </c>
      <c r="E3100" s="1" t="s">
        <v>9684</v>
      </c>
      <c r="F3100" s="1" t="s">
        <v>2299</v>
      </c>
      <c r="G3100" s="1" t="s">
        <v>2300</v>
      </c>
      <c r="H3100" s="1" t="s">
        <v>37</v>
      </c>
      <c r="I3100" s="1" t="s">
        <v>16</v>
      </c>
      <c r="J3100" s="1">
        <v>1</v>
      </c>
      <c r="K3100" s="1">
        <v>1</v>
      </c>
      <c r="L3100" s="1" t="s">
        <v>31</v>
      </c>
      <c r="M3100" s="1" t="s">
        <v>18</v>
      </c>
      <c r="N3100" s="1" t="s">
        <v>18</v>
      </c>
      <c r="O3100" s="1">
        <v>3</v>
      </c>
      <c r="P3100" s="1">
        <v>6</v>
      </c>
      <c r="R3100" s="1" t="s">
        <v>19</v>
      </c>
      <c r="S3100" s="1" t="s">
        <v>63</v>
      </c>
      <c r="T3100" s="1" t="s">
        <v>21</v>
      </c>
      <c r="U3100" s="1" t="s">
        <v>22</v>
      </c>
      <c r="V3100" s="1" t="s">
        <v>24</v>
      </c>
      <c r="W3100" s="1" t="s">
        <v>24</v>
      </c>
      <c r="X3100" s="1">
        <v>2403</v>
      </c>
      <c r="Y3100" s="1" t="s">
        <v>24</v>
      </c>
      <c r="Z3100" s="1" t="s">
        <v>24</v>
      </c>
      <c r="AA3100" s="1" t="s">
        <v>24</v>
      </c>
      <c r="AB3100" s="1" t="s">
        <v>24</v>
      </c>
      <c r="AC3100" s="1" t="s">
        <v>24</v>
      </c>
      <c r="AD3100" s="1" t="s">
        <v>24</v>
      </c>
      <c r="AE3100" s="1" t="s">
        <v>24</v>
      </c>
      <c r="AF3100" s="22"/>
    </row>
    <row r="3101" spans="1:32" x14ac:dyDescent="0.2">
      <c r="A3101" s="1">
        <v>24969</v>
      </c>
      <c r="B3101" s="1" t="s">
        <v>9685</v>
      </c>
      <c r="C3101" s="5" t="s">
        <v>0</v>
      </c>
      <c r="E3101" s="1" t="s">
        <v>9686</v>
      </c>
      <c r="F3101" s="1" t="s">
        <v>2299</v>
      </c>
      <c r="G3101" s="1" t="s">
        <v>2300</v>
      </c>
      <c r="H3101" s="1" t="s">
        <v>37</v>
      </c>
      <c r="I3101" s="1" t="s">
        <v>16</v>
      </c>
      <c r="J3101" s="1">
        <v>1</v>
      </c>
      <c r="K3101" s="1">
        <v>1</v>
      </c>
      <c r="L3101" s="1" t="s">
        <v>31</v>
      </c>
      <c r="M3101" s="1" t="s">
        <v>18</v>
      </c>
      <c r="N3101" s="1" t="s">
        <v>18</v>
      </c>
      <c r="O3101" s="1">
        <v>3</v>
      </c>
      <c r="P3101" s="1">
        <v>6</v>
      </c>
      <c r="R3101" s="1" t="s">
        <v>19</v>
      </c>
      <c r="S3101" s="1" t="s">
        <v>63</v>
      </c>
      <c r="T3101" s="1" t="s">
        <v>21</v>
      </c>
      <c r="U3101" s="1" t="s">
        <v>22</v>
      </c>
      <c r="V3101" s="1" t="s">
        <v>24</v>
      </c>
      <c r="W3101" s="1" t="s">
        <v>24</v>
      </c>
      <c r="X3101" s="1">
        <v>2716</v>
      </c>
      <c r="Y3101" s="1">
        <v>1311</v>
      </c>
      <c r="Z3101" s="1" t="s">
        <v>24</v>
      </c>
      <c r="AA3101" s="1" t="s">
        <v>24</v>
      </c>
      <c r="AB3101" s="1" t="s">
        <v>24</v>
      </c>
      <c r="AC3101" s="1" t="s">
        <v>24</v>
      </c>
      <c r="AD3101" s="1" t="s">
        <v>24</v>
      </c>
      <c r="AE3101" s="1" t="s">
        <v>24</v>
      </c>
      <c r="AF3101" s="22"/>
    </row>
    <row r="3102" spans="1:32" x14ac:dyDescent="0.2">
      <c r="A3102" s="1">
        <v>24971</v>
      </c>
      <c r="B3102" s="1" t="s">
        <v>9687</v>
      </c>
      <c r="C3102" s="5" t="s">
        <v>0</v>
      </c>
      <c r="E3102" s="1" t="s">
        <v>9688</v>
      </c>
      <c r="F3102" s="1" t="s">
        <v>2299</v>
      </c>
      <c r="G3102" s="1" t="s">
        <v>2300</v>
      </c>
      <c r="H3102" s="1" t="s">
        <v>37</v>
      </c>
      <c r="I3102" s="1" t="s">
        <v>16</v>
      </c>
      <c r="J3102" s="1">
        <v>1</v>
      </c>
      <c r="K3102" s="1">
        <v>1</v>
      </c>
      <c r="L3102" s="1" t="s">
        <v>31</v>
      </c>
      <c r="M3102" s="1" t="s">
        <v>18</v>
      </c>
      <c r="N3102" s="1" t="s">
        <v>18</v>
      </c>
      <c r="O3102" s="1">
        <v>3</v>
      </c>
      <c r="P3102" s="1">
        <v>6</v>
      </c>
      <c r="R3102" s="1" t="s">
        <v>62</v>
      </c>
      <c r="S3102" s="1" t="s">
        <v>63</v>
      </c>
      <c r="T3102" s="1" t="s">
        <v>21</v>
      </c>
      <c r="U3102" s="1" t="s">
        <v>22</v>
      </c>
      <c r="V3102" s="1" t="s">
        <v>24</v>
      </c>
      <c r="W3102" s="1" t="s">
        <v>24</v>
      </c>
      <c r="X3102" s="1">
        <v>1312</v>
      </c>
      <c r="Y3102" s="1" t="s">
        <v>24</v>
      </c>
      <c r="Z3102" s="1" t="s">
        <v>24</v>
      </c>
      <c r="AA3102" s="1" t="s">
        <v>24</v>
      </c>
      <c r="AB3102" s="1" t="s">
        <v>24</v>
      </c>
      <c r="AC3102" s="1" t="s">
        <v>24</v>
      </c>
      <c r="AD3102" s="1" t="s">
        <v>24</v>
      </c>
      <c r="AE3102" s="1" t="s">
        <v>24</v>
      </c>
      <c r="AF3102" s="22"/>
    </row>
    <row r="3103" spans="1:32" x14ac:dyDescent="0.2">
      <c r="A3103" s="1">
        <v>24972</v>
      </c>
      <c r="B3103" s="1" t="s">
        <v>9689</v>
      </c>
      <c r="C3103" s="5" t="s">
        <v>0</v>
      </c>
      <c r="E3103" s="1" t="s">
        <v>9690</v>
      </c>
      <c r="F3103" s="1" t="s">
        <v>2299</v>
      </c>
      <c r="G3103" s="1" t="s">
        <v>2300</v>
      </c>
      <c r="H3103" s="1" t="s">
        <v>37</v>
      </c>
      <c r="I3103" s="1" t="s">
        <v>16</v>
      </c>
      <c r="J3103" s="1">
        <v>1</v>
      </c>
      <c r="K3103" s="1">
        <v>1</v>
      </c>
      <c r="L3103" s="1" t="s">
        <v>31</v>
      </c>
      <c r="M3103" s="1" t="s">
        <v>18</v>
      </c>
      <c r="N3103" s="1" t="s">
        <v>18</v>
      </c>
      <c r="O3103" s="1">
        <v>3</v>
      </c>
      <c r="P3103" s="1">
        <v>6</v>
      </c>
      <c r="R3103" s="1" t="s">
        <v>19</v>
      </c>
      <c r="S3103" s="1" t="s">
        <v>63</v>
      </c>
      <c r="T3103" s="1" t="s">
        <v>21</v>
      </c>
      <c r="U3103" s="1" t="s">
        <v>22</v>
      </c>
      <c r="V3103" s="1" t="s">
        <v>24</v>
      </c>
      <c r="W3103" s="1" t="s">
        <v>24</v>
      </c>
      <c r="X3103" s="1">
        <v>2728</v>
      </c>
      <c r="Y3103" s="1" t="s">
        <v>24</v>
      </c>
      <c r="Z3103" s="1" t="s">
        <v>24</v>
      </c>
      <c r="AA3103" s="1" t="s">
        <v>24</v>
      </c>
      <c r="AB3103" s="1" t="s">
        <v>24</v>
      </c>
      <c r="AC3103" s="1" t="s">
        <v>24</v>
      </c>
      <c r="AD3103" s="1" t="s">
        <v>24</v>
      </c>
      <c r="AE3103" s="1" t="s">
        <v>24</v>
      </c>
      <c r="AF3103" s="22"/>
    </row>
    <row r="3104" spans="1:32" x14ac:dyDescent="0.2">
      <c r="A3104" s="1">
        <v>24973</v>
      </c>
      <c r="B3104" s="1" t="s">
        <v>9691</v>
      </c>
      <c r="C3104" s="5" t="s">
        <v>0</v>
      </c>
      <c r="E3104" s="1" t="s">
        <v>9692</v>
      </c>
      <c r="F3104" s="1" t="s">
        <v>2299</v>
      </c>
      <c r="G3104" s="1" t="s">
        <v>2300</v>
      </c>
      <c r="H3104" s="1" t="s">
        <v>37</v>
      </c>
      <c r="I3104" s="1" t="s">
        <v>16</v>
      </c>
      <c r="J3104" s="1">
        <v>1</v>
      </c>
      <c r="K3104" s="1">
        <v>1</v>
      </c>
      <c r="L3104" s="1" t="s">
        <v>31</v>
      </c>
      <c r="M3104" s="1" t="s">
        <v>18</v>
      </c>
      <c r="N3104" s="1" t="s">
        <v>18</v>
      </c>
      <c r="O3104" s="1">
        <v>3</v>
      </c>
      <c r="P3104" s="1">
        <v>6</v>
      </c>
      <c r="R3104" s="1" t="s">
        <v>62</v>
      </c>
      <c r="S3104" s="1" t="s">
        <v>63</v>
      </c>
      <c r="T3104" s="1" t="s">
        <v>21</v>
      </c>
      <c r="U3104" s="1" t="s">
        <v>22</v>
      </c>
      <c r="V3104" s="1" t="s">
        <v>24</v>
      </c>
      <c r="W3104" s="1" t="s">
        <v>24</v>
      </c>
      <c r="X3104" s="1">
        <v>2804</v>
      </c>
      <c r="Y3104" s="1">
        <v>2800</v>
      </c>
      <c r="Z3104" s="1" t="s">
        <v>24</v>
      </c>
      <c r="AA3104" s="1" t="s">
        <v>24</v>
      </c>
      <c r="AB3104" s="1" t="s">
        <v>24</v>
      </c>
      <c r="AC3104" s="1" t="s">
        <v>24</v>
      </c>
      <c r="AD3104" s="1" t="s">
        <v>24</v>
      </c>
      <c r="AE3104" s="1" t="s">
        <v>24</v>
      </c>
      <c r="AF3104" s="22"/>
    </row>
    <row r="3105" spans="1:32" x14ac:dyDescent="0.2">
      <c r="A3105" s="1">
        <v>24974</v>
      </c>
      <c r="B3105" s="1" t="s">
        <v>9693</v>
      </c>
      <c r="C3105" s="5" t="s">
        <v>0</v>
      </c>
      <c r="E3105" s="1" t="s">
        <v>9694</v>
      </c>
      <c r="F3105" s="1" t="s">
        <v>2299</v>
      </c>
      <c r="G3105" s="1" t="s">
        <v>2300</v>
      </c>
      <c r="H3105" s="1" t="s">
        <v>37</v>
      </c>
      <c r="I3105" s="1" t="s">
        <v>16</v>
      </c>
      <c r="J3105" s="1">
        <v>1</v>
      </c>
      <c r="K3105" s="1">
        <v>1</v>
      </c>
      <c r="L3105" s="1" t="s">
        <v>31</v>
      </c>
      <c r="M3105" s="1" t="s">
        <v>18</v>
      </c>
      <c r="N3105" s="1" t="s">
        <v>18</v>
      </c>
      <c r="O3105" s="1">
        <v>3</v>
      </c>
      <c r="P3105" s="1">
        <v>6</v>
      </c>
      <c r="R3105" s="1" t="s">
        <v>19</v>
      </c>
      <c r="S3105" s="1" t="s">
        <v>63</v>
      </c>
      <c r="T3105" s="1" t="s">
        <v>21</v>
      </c>
      <c r="U3105" s="1" t="s">
        <v>22</v>
      </c>
      <c r="V3105" s="1" t="s">
        <v>24</v>
      </c>
      <c r="W3105" s="1" t="s">
        <v>24</v>
      </c>
      <c r="X3105" s="1">
        <v>2735</v>
      </c>
      <c r="Y3105" s="1" t="s">
        <v>24</v>
      </c>
      <c r="Z3105" s="1" t="s">
        <v>24</v>
      </c>
      <c r="AA3105" s="1" t="s">
        <v>24</v>
      </c>
      <c r="AB3105" s="1" t="s">
        <v>24</v>
      </c>
      <c r="AC3105" s="1" t="s">
        <v>24</v>
      </c>
      <c r="AD3105" s="1" t="s">
        <v>24</v>
      </c>
      <c r="AE3105" s="1" t="s">
        <v>24</v>
      </c>
      <c r="AF3105" s="22"/>
    </row>
    <row r="3106" spans="1:32" x14ac:dyDescent="0.2">
      <c r="A3106" s="1">
        <v>24976</v>
      </c>
      <c r="B3106" s="1" t="s">
        <v>9695</v>
      </c>
      <c r="C3106" s="5" t="s">
        <v>0</v>
      </c>
      <c r="E3106" s="1" t="s">
        <v>9696</v>
      </c>
      <c r="F3106" s="1" t="s">
        <v>2299</v>
      </c>
      <c r="G3106" s="1" t="s">
        <v>2300</v>
      </c>
      <c r="H3106" s="1" t="s">
        <v>37</v>
      </c>
      <c r="I3106" s="1" t="s">
        <v>16</v>
      </c>
      <c r="J3106" s="1">
        <v>1</v>
      </c>
      <c r="K3106" s="1">
        <v>1</v>
      </c>
      <c r="L3106" s="1" t="s">
        <v>31</v>
      </c>
      <c r="M3106" s="1" t="s">
        <v>18</v>
      </c>
      <c r="N3106" s="1" t="s">
        <v>18</v>
      </c>
      <c r="O3106" s="1">
        <v>3</v>
      </c>
      <c r="P3106" s="1">
        <v>6</v>
      </c>
      <c r="R3106" s="1" t="s">
        <v>19</v>
      </c>
      <c r="S3106" s="1" t="s">
        <v>63</v>
      </c>
      <c r="T3106" s="1" t="s">
        <v>21</v>
      </c>
      <c r="U3106" s="1" t="s">
        <v>22</v>
      </c>
      <c r="V3106" s="1" t="s">
        <v>23</v>
      </c>
      <c r="W3106" s="1" t="s">
        <v>24</v>
      </c>
      <c r="X3106" s="1">
        <v>2729</v>
      </c>
      <c r="Y3106" s="1" t="s">
        <v>24</v>
      </c>
      <c r="Z3106" s="1" t="s">
        <v>24</v>
      </c>
      <c r="AA3106" s="1" t="s">
        <v>24</v>
      </c>
      <c r="AB3106" s="1" t="s">
        <v>24</v>
      </c>
      <c r="AC3106" s="1" t="s">
        <v>24</v>
      </c>
      <c r="AD3106" s="1" t="s">
        <v>24</v>
      </c>
      <c r="AE3106" s="1" t="s">
        <v>24</v>
      </c>
      <c r="AF3106" s="22"/>
    </row>
    <row r="3107" spans="1:32" x14ac:dyDescent="0.2">
      <c r="A3107" s="1">
        <v>24977</v>
      </c>
      <c r="B3107" s="1" t="s">
        <v>9697</v>
      </c>
      <c r="C3107" s="5" t="s">
        <v>0</v>
      </c>
      <c r="E3107" s="1" t="s">
        <v>9698</v>
      </c>
      <c r="F3107" s="1" t="s">
        <v>2299</v>
      </c>
      <c r="G3107" s="1" t="s">
        <v>2300</v>
      </c>
      <c r="H3107" s="1" t="s">
        <v>37</v>
      </c>
      <c r="I3107" s="1" t="s">
        <v>16</v>
      </c>
      <c r="J3107" s="1">
        <v>1</v>
      </c>
      <c r="K3107" s="1">
        <v>1</v>
      </c>
      <c r="L3107" s="1" t="s">
        <v>31</v>
      </c>
      <c r="M3107" s="1" t="s">
        <v>18</v>
      </c>
      <c r="N3107" s="1" t="s">
        <v>18</v>
      </c>
      <c r="O3107" s="1">
        <v>3</v>
      </c>
      <c r="P3107" s="1">
        <v>6</v>
      </c>
      <c r="R3107" s="1" t="s">
        <v>19</v>
      </c>
      <c r="S3107" s="1" t="s">
        <v>63</v>
      </c>
      <c r="T3107" s="1" t="s">
        <v>21</v>
      </c>
      <c r="U3107" s="1" t="s">
        <v>22</v>
      </c>
      <c r="V3107" s="1" t="s">
        <v>24</v>
      </c>
      <c r="W3107" s="1" t="s">
        <v>24</v>
      </c>
      <c r="X3107" s="1">
        <v>2738</v>
      </c>
      <c r="Y3107" s="1" t="s">
        <v>24</v>
      </c>
      <c r="Z3107" s="1" t="s">
        <v>24</v>
      </c>
      <c r="AA3107" s="1" t="s">
        <v>24</v>
      </c>
      <c r="AB3107" s="1" t="s">
        <v>24</v>
      </c>
      <c r="AC3107" s="1" t="s">
        <v>24</v>
      </c>
      <c r="AD3107" s="1" t="s">
        <v>24</v>
      </c>
      <c r="AE3107" s="1" t="s">
        <v>24</v>
      </c>
      <c r="AF3107" s="22"/>
    </row>
    <row r="3108" spans="1:32" x14ac:dyDescent="0.2">
      <c r="A3108" s="1">
        <v>24978</v>
      </c>
      <c r="B3108" s="1" t="s">
        <v>9699</v>
      </c>
      <c r="C3108" s="5" t="s">
        <v>0</v>
      </c>
      <c r="E3108" s="1" t="s">
        <v>9700</v>
      </c>
      <c r="F3108" s="1" t="s">
        <v>2299</v>
      </c>
      <c r="G3108" s="1" t="s">
        <v>2300</v>
      </c>
      <c r="H3108" s="1" t="s">
        <v>37</v>
      </c>
      <c r="I3108" s="1" t="s">
        <v>16</v>
      </c>
      <c r="J3108" s="1">
        <v>1</v>
      </c>
      <c r="K3108" s="1">
        <v>1</v>
      </c>
      <c r="L3108" s="1" t="s">
        <v>31</v>
      </c>
      <c r="M3108" s="1" t="s">
        <v>18</v>
      </c>
      <c r="N3108" s="1" t="s">
        <v>18</v>
      </c>
      <c r="O3108" s="1">
        <v>3</v>
      </c>
      <c r="P3108" s="1">
        <v>6</v>
      </c>
      <c r="R3108" s="1" t="s">
        <v>19</v>
      </c>
      <c r="S3108" s="1" t="s">
        <v>63</v>
      </c>
      <c r="T3108" s="1" t="s">
        <v>21</v>
      </c>
      <c r="U3108" s="1" t="s">
        <v>22</v>
      </c>
      <c r="V3108" s="1" t="s">
        <v>24</v>
      </c>
      <c r="W3108" s="1" t="s">
        <v>24</v>
      </c>
      <c r="X3108" s="1">
        <v>2740</v>
      </c>
      <c r="Y3108" s="1" t="s">
        <v>24</v>
      </c>
      <c r="Z3108" s="1" t="s">
        <v>24</v>
      </c>
      <c r="AA3108" s="1" t="s">
        <v>24</v>
      </c>
      <c r="AB3108" s="1" t="s">
        <v>24</v>
      </c>
      <c r="AC3108" s="1" t="s">
        <v>24</v>
      </c>
      <c r="AD3108" s="1" t="s">
        <v>24</v>
      </c>
      <c r="AE3108" s="1" t="s">
        <v>24</v>
      </c>
      <c r="AF3108" s="22"/>
    </row>
    <row r="3109" spans="1:32" x14ac:dyDescent="0.2">
      <c r="A3109" s="1">
        <v>24979</v>
      </c>
      <c r="B3109" s="1" t="s">
        <v>9701</v>
      </c>
      <c r="C3109" s="5" t="s">
        <v>0</v>
      </c>
      <c r="E3109" s="1" t="s">
        <v>9702</v>
      </c>
      <c r="F3109" s="1" t="s">
        <v>2299</v>
      </c>
      <c r="G3109" s="1" t="s">
        <v>2300</v>
      </c>
      <c r="H3109" s="1" t="s">
        <v>37</v>
      </c>
      <c r="I3109" s="1" t="s">
        <v>16</v>
      </c>
      <c r="J3109" s="1">
        <v>1</v>
      </c>
      <c r="K3109" s="1">
        <v>1</v>
      </c>
      <c r="L3109" s="1" t="s">
        <v>31</v>
      </c>
      <c r="M3109" s="1" t="s">
        <v>18</v>
      </c>
      <c r="N3109" s="1" t="s">
        <v>18</v>
      </c>
      <c r="O3109" s="1">
        <v>3</v>
      </c>
      <c r="P3109" s="1">
        <v>6</v>
      </c>
      <c r="R3109" s="1" t="s">
        <v>19</v>
      </c>
      <c r="S3109" s="1" t="s">
        <v>63</v>
      </c>
      <c r="T3109" s="1" t="s">
        <v>21</v>
      </c>
      <c r="U3109" s="1" t="s">
        <v>22</v>
      </c>
      <c r="V3109" s="1" t="s">
        <v>23</v>
      </c>
      <c r="W3109" s="1" t="s">
        <v>24</v>
      </c>
      <c r="X3109" s="1">
        <v>2700</v>
      </c>
      <c r="Y3109" s="1">
        <v>2729</v>
      </c>
      <c r="Z3109" s="1">
        <v>2743</v>
      </c>
      <c r="AA3109" s="1" t="s">
        <v>24</v>
      </c>
      <c r="AB3109" s="1" t="s">
        <v>24</v>
      </c>
      <c r="AC3109" s="1" t="s">
        <v>24</v>
      </c>
      <c r="AD3109" s="1" t="s">
        <v>24</v>
      </c>
      <c r="AE3109" s="1" t="s">
        <v>24</v>
      </c>
      <c r="AF3109" s="22"/>
    </row>
    <row r="3110" spans="1:32" x14ac:dyDescent="0.2">
      <c r="A3110" s="1">
        <v>24980</v>
      </c>
      <c r="B3110" s="1" t="s">
        <v>9703</v>
      </c>
      <c r="C3110" s="5" t="s">
        <v>0</v>
      </c>
      <c r="E3110" s="1" t="s">
        <v>9704</v>
      </c>
      <c r="F3110" s="1" t="s">
        <v>2299</v>
      </c>
      <c r="G3110" s="1" t="s">
        <v>2300</v>
      </c>
      <c r="H3110" s="1" t="s">
        <v>37</v>
      </c>
      <c r="I3110" s="1" t="s">
        <v>16</v>
      </c>
      <c r="J3110" s="1">
        <v>1</v>
      </c>
      <c r="K3110" s="1">
        <v>1</v>
      </c>
      <c r="L3110" s="1" t="s">
        <v>31</v>
      </c>
      <c r="M3110" s="1" t="s">
        <v>18</v>
      </c>
      <c r="N3110" s="1" t="s">
        <v>18</v>
      </c>
      <c r="O3110" s="1">
        <v>3</v>
      </c>
      <c r="P3110" s="1">
        <v>6</v>
      </c>
      <c r="R3110" s="1" t="s">
        <v>19</v>
      </c>
      <c r="S3110" s="1" t="s">
        <v>63</v>
      </c>
      <c r="T3110" s="1" t="s">
        <v>21</v>
      </c>
      <c r="U3110" s="1" t="s">
        <v>22</v>
      </c>
      <c r="V3110" s="1" t="s">
        <v>24</v>
      </c>
      <c r="W3110" s="1" t="s">
        <v>24</v>
      </c>
      <c r="X3110" s="1">
        <v>1306</v>
      </c>
      <c r="Y3110" s="1">
        <v>2730</v>
      </c>
      <c r="Z3110" s="1">
        <v>1311</v>
      </c>
      <c r="AA3110" s="1" t="s">
        <v>24</v>
      </c>
      <c r="AB3110" s="1" t="s">
        <v>24</v>
      </c>
      <c r="AC3110" s="1" t="s">
        <v>24</v>
      </c>
      <c r="AD3110" s="1" t="s">
        <v>24</v>
      </c>
      <c r="AE3110" s="1" t="s">
        <v>24</v>
      </c>
      <c r="AF3110" s="22"/>
    </row>
    <row r="3111" spans="1:32" x14ac:dyDescent="0.2">
      <c r="A3111" s="1">
        <v>24981</v>
      </c>
      <c r="B3111" s="1" t="s">
        <v>9705</v>
      </c>
      <c r="C3111" s="5" t="s">
        <v>0</v>
      </c>
      <c r="E3111" s="1" t="s">
        <v>9706</v>
      </c>
      <c r="F3111" s="1" t="s">
        <v>2299</v>
      </c>
      <c r="G3111" s="1" t="s">
        <v>2300</v>
      </c>
      <c r="H3111" s="1" t="s">
        <v>37</v>
      </c>
      <c r="I3111" s="1" t="s">
        <v>16</v>
      </c>
      <c r="J3111" s="1">
        <v>1</v>
      </c>
      <c r="K3111" s="1">
        <v>1</v>
      </c>
      <c r="L3111" s="1" t="s">
        <v>31</v>
      </c>
      <c r="M3111" s="1" t="s">
        <v>18</v>
      </c>
      <c r="N3111" s="1" t="s">
        <v>18</v>
      </c>
      <c r="O3111" s="1">
        <v>3</v>
      </c>
      <c r="P3111" s="1">
        <v>6</v>
      </c>
      <c r="R3111" s="1" t="s">
        <v>19</v>
      </c>
      <c r="S3111" s="1" t="s">
        <v>63</v>
      </c>
      <c r="T3111" s="1" t="s">
        <v>21</v>
      </c>
      <c r="U3111" s="1" t="s">
        <v>22</v>
      </c>
      <c r="V3111" s="1" t="s">
        <v>24</v>
      </c>
      <c r="W3111" s="1" t="s">
        <v>24</v>
      </c>
      <c r="X3111" s="1">
        <v>2705</v>
      </c>
      <c r="Y3111" s="1">
        <v>2712</v>
      </c>
      <c r="Z3111" s="1" t="s">
        <v>24</v>
      </c>
      <c r="AA3111" s="1" t="s">
        <v>24</v>
      </c>
      <c r="AB3111" s="1" t="s">
        <v>24</v>
      </c>
      <c r="AC3111" s="1" t="s">
        <v>24</v>
      </c>
      <c r="AD3111" s="1" t="s">
        <v>24</v>
      </c>
      <c r="AE3111" s="1" t="s">
        <v>24</v>
      </c>
      <c r="AF3111" s="22"/>
    </row>
    <row r="3112" spans="1:32" x14ac:dyDescent="0.2">
      <c r="A3112" s="1">
        <v>24984</v>
      </c>
      <c r="B3112" s="1" t="s">
        <v>9707</v>
      </c>
      <c r="C3112" s="5" t="s">
        <v>0</v>
      </c>
      <c r="E3112" s="1" t="s">
        <v>9708</v>
      </c>
      <c r="F3112" s="1" t="s">
        <v>2299</v>
      </c>
      <c r="G3112" s="1" t="s">
        <v>2300</v>
      </c>
      <c r="H3112" s="1" t="s">
        <v>37</v>
      </c>
      <c r="I3112" s="1" t="s">
        <v>16</v>
      </c>
      <c r="J3112" s="1">
        <v>1</v>
      </c>
      <c r="K3112" s="1">
        <v>1</v>
      </c>
      <c r="L3112" s="1" t="s">
        <v>31</v>
      </c>
      <c r="M3112" s="1" t="s">
        <v>18</v>
      </c>
      <c r="N3112" s="1" t="s">
        <v>18</v>
      </c>
      <c r="O3112" s="1">
        <v>3</v>
      </c>
      <c r="P3112" s="1">
        <v>6</v>
      </c>
      <c r="R3112" s="1" t="s">
        <v>19</v>
      </c>
      <c r="S3112" s="1" t="s">
        <v>63</v>
      </c>
      <c r="T3112" s="1" t="s">
        <v>21</v>
      </c>
      <c r="U3112" s="1" t="s">
        <v>22</v>
      </c>
      <c r="V3112" s="1" t="s">
        <v>23</v>
      </c>
      <c r="W3112" s="1" t="s">
        <v>24</v>
      </c>
      <c r="X3112" s="1">
        <v>2703</v>
      </c>
      <c r="Y3112" s="1" t="s">
        <v>24</v>
      </c>
      <c r="Z3112" s="1" t="s">
        <v>24</v>
      </c>
      <c r="AA3112" s="1" t="s">
        <v>24</v>
      </c>
      <c r="AB3112" s="1" t="s">
        <v>24</v>
      </c>
      <c r="AC3112" s="1" t="s">
        <v>24</v>
      </c>
      <c r="AD3112" s="1" t="s">
        <v>24</v>
      </c>
      <c r="AE3112" s="1" t="s">
        <v>24</v>
      </c>
      <c r="AF3112" s="22"/>
    </row>
    <row r="3113" spans="1:32" x14ac:dyDescent="0.2">
      <c r="A3113" s="1">
        <v>24986</v>
      </c>
      <c r="B3113" s="1" t="s">
        <v>9709</v>
      </c>
      <c r="C3113" s="5" t="s">
        <v>0</v>
      </c>
      <c r="E3113" s="1" t="s">
        <v>9710</v>
      </c>
      <c r="F3113" s="1" t="s">
        <v>2299</v>
      </c>
      <c r="G3113" s="1" t="s">
        <v>2300</v>
      </c>
      <c r="H3113" s="1" t="s">
        <v>37</v>
      </c>
      <c r="I3113" s="1" t="s">
        <v>16</v>
      </c>
      <c r="J3113" s="1">
        <v>1</v>
      </c>
      <c r="K3113" s="1">
        <v>1</v>
      </c>
      <c r="L3113" s="1" t="s">
        <v>31</v>
      </c>
      <c r="M3113" s="1" t="s">
        <v>18</v>
      </c>
      <c r="N3113" s="1" t="s">
        <v>18</v>
      </c>
      <c r="O3113" s="1">
        <v>3</v>
      </c>
      <c r="P3113" s="1">
        <v>6</v>
      </c>
      <c r="R3113" s="1" t="s">
        <v>62</v>
      </c>
      <c r="S3113" s="1" t="s">
        <v>63</v>
      </c>
      <c r="T3113" s="1" t="s">
        <v>21</v>
      </c>
      <c r="U3113" s="1" t="s">
        <v>22</v>
      </c>
      <c r="V3113" s="1" t="s">
        <v>24</v>
      </c>
      <c r="W3113" s="1" t="s">
        <v>24</v>
      </c>
      <c r="X3113" s="1">
        <v>1305</v>
      </c>
      <c r="Y3113" s="1" t="s">
        <v>24</v>
      </c>
      <c r="Z3113" s="1" t="s">
        <v>24</v>
      </c>
      <c r="AA3113" s="1" t="s">
        <v>24</v>
      </c>
      <c r="AB3113" s="1" t="s">
        <v>24</v>
      </c>
      <c r="AC3113" s="1" t="s">
        <v>24</v>
      </c>
      <c r="AD3113" s="1" t="s">
        <v>24</v>
      </c>
      <c r="AE3113" s="1" t="s">
        <v>24</v>
      </c>
      <c r="AF3113" s="22"/>
    </row>
    <row r="3114" spans="1:32" x14ac:dyDescent="0.2">
      <c r="A3114" s="1">
        <v>24987</v>
      </c>
      <c r="B3114" s="1" t="s">
        <v>9711</v>
      </c>
      <c r="C3114" s="5" t="s">
        <v>0</v>
      </c>
      <c r="E3114" s="1" t="s">
        <v>9712</v>
      </c>
      <c r="F3114" s="1" t="s">
        <v>2299</v>
      </c>
      <c r="G3114" s="1" t="s">
        <v>2300</v>
      </c>
      <c r="H3114" s="1" t="s">
        <v>37</v>
      </c>
      <c r="I3114" s="1" t="s">
        <v>16</v>
      </c>
      <c r="J3114" s="1">
        <v>1</v>
      </c>
      <c r="K3114" s="1">
        <v>1</v>
      </c>
      <c r="L3114" s="1" t="s">
        <v>31</v>
      </c>
      <c r="M3114" s="1" t="s">
        <v>18</v>
      </c>
      <c r="N3114" s="1" t="s">
        <v>18</v>
      </c>
      <c r="O3114" s="1">
        <v>3</v>
      </c>
      <c r="P3114" s="1">
        <v>6</v>
      </c>
      <c r="R3114" s="1" t="s">
        <v>19</v>
      </c>
      <c r="S3114" s="1" t="s">
        <v>63</v>
      </c>
      <c r="T3114" s="1" t="s">
        <v>21</v>
      </c>
      <c r="U3114" s="1" t="s">
        <v>22</v>
      </c>
      <c r="V3114" s="1" t="s">
        <v>24</v>
      </c>
      <c r="W3114" s="1" t="s">
        <v>24</v>
      </c>
      <c r="X3114" s="1">
        <v>2720</v>
      </c>
      <c r="Y3114" s="1">
        <v>1312</v>
      </c>
      <c r="Z3114" s="1" t="s">
        <v>24</v>
      </c>
      <c r="AA3114" s="1" t="s">
        <v>24</v>
      </c>
      <c r="AB3114" s="1" t="s">
        <v>24</v>
      </c>
      <c r="AC3114" s="1" t="s">
        <v>24</v>
      </c>
      <c r="AD3114" s="1" t="s">
        <v>24</v>
      </c>
      <c r="AE3114" s="1" t="s">
        <v>24</v>
      </c>
      <c r="AF3114" s="22"/>
    </row>
    <row r="3115" spans="1:32" x14ac:dyDescent="0.2">
      <c r="A3115" s="1">
        <v>24988</v>
      </c>
      <c r="B3115" s="1" t="s">
        <v>9713</v>
      </c>
      <c r="C3115" s="5" t="s">
        <v>0</v>
      </c>
      <c r="E3115" s="1" t="s">
        <v>9714</v>
      </c>
      <c r="F3115" s="1" t="s">
        <v>2299</v>
      </c>
      <c r="G3115" s="1" t="s">
        <v>2300</v>
      </c>
      <c r="H3115" s="1" t="s">
        <v>37</v>
      </c>
      <c r="I3115" s="1" t="s">
        <v>16</v>
      </c>
      <c r="J3115" s="1">
        <v>1</v>
      </c>
      <c r="K3115" s="1">
        <v>1</v>
      </c>
      <c r="L3115" s="1" t="s">
        <v>31</v>
      </c>
      <c r="M3115" s="1" t="s">
        <v>18</v>
      </c>
      <c r="N3115" s="1" t="s">
        <v>18</v>
      </c>
      <c r="O3115" s="1">
        <v>3</v>
      </c>
      <c r="P3115" s="1">
        <v>6</v>
      </c>
      <c r="R3115" s="1" t="s">
        <v>19</v>
      </c>
      <c r="S3115" s="1" t="s">
        <v>63</v>
      </c>
      <c r="T3115" s="1" t="s">
        <v>21</v>
      </c>
      <c r="U3115" s="1" t="s">
        <v>22</v>
      </c>
      <c r="V3115" s="1" t="s">
        <v>24</v>
      </c>
      <c r="W3115" s="1" t="s">
        <v>24</v>
      </c>
      <c r="X3115" s="1">
        <v>2730</v>
      </c>
      <c r="Y3115" s="1">
        <v>1306</v>
      </c>
      <c r="Z3115" s="1">
        <v>1311</v>
      </c>
      <c r="AA3115" s="1" t="s">
        <v>24</v>
      </c>
      <c r="AB3115" s="1" t="s">
        <v>24</v>
      </c>
      <c r="AC3115" s="1" t="s">
        <v>24</v>
      </c>
      <c r="AD3115" s="1" t="s">
        <v>24</v>
      </c>
      <c r="AE3115" s="1" t="s">
        <v>24</v>
      </c>
      <c r="AF3115" s="22"/>
    </row>
    <row r="3116" spans="1:32" x14ac:dyDescent="0.2">
      <c r="A3116" s="1">
        <v>24989</v>
      </c>
      <c r="B3116" s="1" t="s">
        <v>9715</v>
      </c>
      <c r="C3116" s="5" t="s">
        <v>0</v>
      </c>
      <c r="D3116" s="1" t="s">
        <v>9716</v>
      </c>
      <c r="E3116" s="1" t="s">
        <v>9717</v>
      </c>
      <c r="F3116" s="1" t="s">
        <v>9718</v>
      </c>
      <c r="G3116" s="1" t="s">
        <v>130</v>
      </c>
      <c r="H3116" s="1" t="s">
        <v>30</v>
      </c>
      <c r="I3116" s="1" t="s">
        <v>16</v>
      </c>
      <c r="J3116" s="1">
        <v>1</v>
      </c>
      <c r="K3116" s="1">
        <v>6</v>
      </c>
      <c r="L3116" s="1" t="s">
        <v>31</v>
      </c>
      <c r="M3116" s="1" t="s">
        <v>18</v>
      </c>
      <c r="N3116" s="1" t="s">
        <v>18</v>
      </c>
      <c r="O3116" s="1">
        <v>3</v>
      </c>
      <c r="P3116" s="1">
        <v>6</v>
      </c>
      <c r="R3116" s="1" t="s">
        <v>19</v>
      </c>
      <c r="S3116" s="1" t="s">
        <v>63</v>
      </c>
      <c r="T3116" s="1" t="s">
        <v>21</v>
      </c>
      <c r="U3116" s="1" t="s">
        <v>22</v>
      </c>
      <c r="V3116" s="1" t="s">
        <v>24</v>
      </c>
      <c r="W3116" s="1" t="s">
        <v>24</v>
      </c>
      <c r="X3116" s="1">
        <v>2728</v>
      </c>
      <c r="Y3116" s="1">
        <v>2800</v>
      </c>
      <c r="Z3116" s="1" t="s">
        <v>24</v>
      </c>
      <c r="AA3116" s="1" t="s">
        <v>24</v>
      </c>
      <c r="AB3116" s="1" t="s">
        <v>24</v>
      </c>
      <c r="AC3116" s="1" t="s">
        <v>24</v>
      </c>
      <c r="AD3116" s="1" t="s">
        <v>24</v>
      </c>
      <c r="AE3116" s="1" t="s">
        <v>24</v>
      </c>
      <c r="AF3116" s="22"/>
    </row>
    <row r="3117" spans="1:32" x14ac:dyDescent="0.2">
      <c r="A3117" s="1">
        <v>24990</v>
      </c>
      <c r="B3117" s="1" t="s">
        <v>9719</v>
      </c>
      <c r="C3117" s="5" t="s">
        <v>0</v>
      </c>
      <c r="D3117" s="1" t="s">
        <v>9720</v>
      </c>
      <c r="E3117" s="1" t="s">
        <v>9721</v>
      </c>
      <c r="F3117" s="1" t="s">
        <v>9718</v>
      </c>
      <c r="G3117" s="1" t="s">
        <v>130</v>
      </c>
      <c r="H3117" s="1" t="s">
        <v>30</v>
      </c>
      <c r="I3117" s="1" t="s">
        <v>16</v>
      </c>
      <c r="J3117" s="1">
        <v>1</v>
      </c>
      <c r="K3117" s="1">
        <v>6</v>
      </c>
      <c r="L3117" s="1" t="s">
        <v>31</v>
      </c>
      <c r="M3117" s="1" t="s">
        <v>18</v>
      </c>
      <c r="N3117" s="1" t="s">
        <v>18</v>
      </c>
      <c r="O3117" s="1">
        <v>3</v>
      </c>
      <c r="P3117" s="1">
        <v>6</v>
      </c>
      <c r="R3117" s="1" t="s">
        <v>19</v>
      </c>
      <c r="S3117" s="1" t="s">
        <v>20</v>
      </c>
      <c r="T3117" s="1" t="s">
        <v>21</v>
      </c>
      <c r="U3117" s="1" t="s">
        <v>22</v>
      </c>
      <c r="V3117" s="1" t="s">
        <v>24</v>
      </c>
      <c r="W3117" s="1" t="s">
        <v>24</v>
      </c>
      <c r="X3117" s="1">
        <v>2723</v>
      </c>
      <c r="Y3117" s="1">
        <v>2740</v>
      </c>
      <c r="Z3117" s="1" t="s">
        <v>24</v>
      </c>
      <c r="AA3117" s="1" t="s">
        <v>24</v>
      </c>
      <c r="AB3117" s="1" t="s">
        <v>24</v>
      </c>
      <c r="AC3117" s="1" t="s">
        <v>24</v>
      </c>
      <c r="AD3117" s="1" t="s">
        <v>24</v>
      </c>
      <c r="AE3117" s="1" t="s">
        <v>24</v>
      </c>
      <c r="AF3117" s="22"/>
    </row>
    <row r="3118" spans="1:32" x14ac:dyDescent="0.2">
      <c r="A3118" s="1">
        <v>24991</v>
      </c>
      <c r="B3118" s="1" t="s">
        <v>9722</v>
      </c>
      <c r="C3118" s="5" t="s">
        <v>0</v>
      </c>
      <c r="D3118" s="1" t="s">
        <v>9723</v>
      </c>
      <c r="E3118" s="1" t="s">
        <v>9724</v>
      </c>
      <c r="F3118" s="1" t="s">
        <v>9718</v>
      </c>
      <c r="G3118" s="1" t="s">
        <v>130</v>
      </c>
      <c r="H3118" s="1" t="s">
        <v>30</v>
      </c>
      <c r="I3118" s="1" t="s">
        <v>16</v>
      </c>
      <c r="J3118" s="1">
        <v>1</v>
      </c>
      <c r="K3118" s="1">
        <v>12</v>
      </c>
      <c r="L3118" s="1" t="s">
        <v>31</v>
      </c>
      <c r="M3118" s="1" t="s">
        <v>18</v>
      </c>
      <c r="N3118" s="1" t="s">
        <v>18</v>
      </c>
      <c r="O3118" s="1">
        <v>3</v>
      </c>
      <c r="P3118" s="1">
        <v>6</v>
      </c>
      <c r="R3118" s="1" t="s">
        <v>19</v>
      </c>
      <c r="S3118" s="1" t="s">
        <v>63</v>
      </c>
      <c r="T3118" s="1" t="s">
        <v>21</v>
      </c>
      <c r="U3118" s="1" t="s">
        <v>22</v>
      </c>
      <c r="V3118" s="1" t="s">
        <v>23</v>
      </c>
      <c r="W3118" s="1" t="s">
        <v>24</v>
      </c>
      <c r="X3118" s="1">
        <v>2705</v>
      </c>
      <c r="Y3118" s="1" t="s">
        <v>24</v>
      </c>
      <c r="Z3118" s="1" t="s">
        <v>24</v>
      </c>
      <c r="AA3118" s="1" t="s">
        <v>24</v>
      </c>
      <c r="AB3118" s="1" t="s">
        <v>24</v>
      </c>
      <c r="AC3118" s="1" t="s">
        <v>24</v>
      </c>
      <c r="AD3118" s="1" t="s">
        <v>24</v>
      </c>
      <c r="AE3118" s="1" t="s">
        <v>24</v>
      </c>
      <c r="AF3118" s="22"/>
    </row>
    <row r="3119" spans="1:32" x14ac:dyDescent="0.2">
      <c r="A3119" s="1">
        <v>24993</v>
      </c>
      <c r="B3119" s="1" t="s">
        <v>9725</v>
      </c>
      <c r="C3119" s="5" t="s">
        <v>0</v>
      </c>
      <c r="D3119" s="1" t="s">
        <v>9726</v>
      </c>
      <c r="E3119" s="1" t="s">
        <v>9727</v>
      </c>
      <c r="F3119" s="1" t="s">
        <v>9718</v>
      </c>
      <c r="G3119" s="1" t="s">
        <v>130</v>
      </c>
      <c r="H3119" s="1" t="s">
        <v>30</v>
      </c>
      <c r="I3119" s="1" t="s">
        <v>16</v>
      </c>
      <c r="J3119" s="1">
        <v>1</v>
      </c>
      <c r="K3119" s="1">
        <v>6</v>
      </c>
      <c r="L3119" s="1" t="s">
        <v>31</v>
      </c>
      <c r="M3119" s="1" t="s">
        <v>18</v>
      </c>
      <c r="N3119" s="1" t="s">
        <v>18</v>
      </c>
      <c r="O3119" s="1">
        <v>3</v>
      </c>
      <c r="P3119" s="1">
        <v>6</v>
      </c>
      <c r="R3119" s="1" t="s">
        <v>19</v>
      </c>
      <c r="S3119" s="1" t="s">
        <v>63</v>
      </c>
      <c r="T3119" s="1" t="s">
        <v>21</v>
      </c>
      <c r="U3119" s="1" t="s">
        <v>22</v>
      </c>
      <c r="V3119" s="1" t="s">
        <v>23</v>
      </c>
      <c r="W3119" s="1" t="s">
        <v>24</v>
      </c>
      <c r="X3119" s="1">
        <v>2705</v>
      </c>
      <c r="Y3119" s="1" t="s">
        <v>24</v>
      </c>
      <c r="Z3119" s="1" t="s">
        <v>24</v>
      </c>
      <c r="AA3119" s="1" t="s">
        <v>24</v>
      </c>
      <c r="AB3119" s="1" t="s">
        <v>24</v>
      </c>
      <c r="AC3119" s="1" t="s">
        <v>24</v>
      </c>
      <c r="AD3119" s="1" t="s">
        <v>24</v>
      </c>
      <c r="AE3119" s="1" t="s">
        <v>24</v>
      </c>
      <c r="AF3119" s="22"/>
    </row>
    <row r="3120" spans="1:32" x14ac:dyDescent="0.2">
      <c r="A3120" s="1">
        <v>24994</v>
      </c>
      <c r="B3120" s="1" t="s">
        <v>9728</v>
      </c>
      <c r="C3120" s="5" t="s">
        <v>0</v>
      </c>
      <c r="D3120" s="1" t="s">
        <v>9729</v>
      </c>
      <c r="E3120" s="1" t="s">
        <v>9730</v>
      </c>
      <c r="F3120" s="1" t="s">
        <v>9718</v>
      </c>
      <c r="G3120" s="1" t="s">
        <v>130</v>
      </c>
      <c r="H3120" s="1" t="s">
        <v>30</v>
      </c>
      <c r="I3120" s="1" t="s">
        <v>16</v>
      </c>
      <c r="J3120" s="1">
        <v>1</v>
      </c>
      <c r="K3120" s="1">
        <v>6</v>
      </c>
      <c r="L3120" s="1" t="s">
        <v>31</v>
      </c>
      <c r="M3120" s="1" t="s">
        <v>18</v>
      </c>
      <c r="N3120" s="1" t="s">
        <v>18</v>
      </c>
      <c r="O3120" s="1">
        <v>3</v>
      </c>
      <c r="P3120" s="1">
        <v>6</v>
      </c>
      <c r="R3120" s="1" t="s">
        <v>19</v>
      </c>
      <c r="S3120" s="1" t="s">
        <v>20</v>
      </c>
      <c r="T3120" s="1" t="s">
        <v>21</v>
      </c>
      <c r="U3120" s="1" t="s">
        <v>22</v>
      </c>
      <c r="V3120" s="1" t="s">
        <v>24</v>
      </c>
      <c r="W3120" s="1" t="s">
        <v>24</v>
      </c>
      <c r="X3120" s="1">
        <v>2712</v>
      </c>
      <c r="Y3120" s="1">
        <v>2724</v>
      </c>
      <c r="Z3120" s="1" t="s">
        <v>24</v>
      </c>
      <c r="AA3120" s="1" t="s">
        <v>24</v>
      </c>
      <c r="AB3120" s="1" t="s">
        <v>24</v>
      </c>
      <c r="AC3120" s="1" t="s">
        <v>24</v>
      </c>
      <c r="AD3120" s="1" t="s">
        <v>24</v>
      </c>
      <c r="AE3120" s="1" t="s">
        <v>24</v>
      </c>
      <c r="AF3120" s="22"/>
    </row>
    <row r="3121" spans="1:32" x14ac:dyDescent="0.2">
      <c r="A3121" s="1">
        <v>24995</v>
      </c>
      <c r="B3121" s="1" t="s">
        <v>9731</v>
      </c>
      <c r="C3121" s="5" t="s">
        <v>0</v>
      </c>
      <c r="D3121" s="1" t="s">
        <v>9732</v>
      </c>
      <c r="E3121" s="1" t="s">
        <v>9733</v>
      </c>
      <c r="F3121" s="1" t="s">
        <v>9718</v>
      </c>
      <c r="G3121" s="1" t="s">
        <v>130</v>
      </c>
      <c r="H3121" s="1" t="s">
        <v>30</v>
      </c>
      <c r="I3121" s="1" t="s">
        <v>16</v>
      </c>
      <c r="J3121" s="1">
        <v>1</v>
      </c>
      <c r="K3121" s="1">
        <v>6</v>
      </c>
      <c r="L3121" s="1" t="s">
        <v>31</v>
      </c>
      <c r="M3121" s="1" t="s">
        <v>18</v>
      </c>
      <c r="N3121" s="1" t="s">
        <v>18</v>
      </c>
      <c r="O3121" s="1">
        <v>3</v>
      </c>
      <c r="P3121" s="1">
        <v>6</v>
      </c>
      <c r="R3121" s="1" t="s">
        <v>19</v>
      </c>
      <c r="S3121" s="1" t="s">
        <v>63</v>
      </c>
      <c r="T3121" s="1" t="s">
        <v>21</v>
      </c>
      <c r="U3121" s="1" t="s">
        <v>22</v>
      </c>
      <c r="V3121" s="1" t="s">
        <v>24</v>
      </c>
      <c r="W3121" s="1" t="s">
        <v>24</v>
      </c>
      <c r="X3121" s="1">
        <v>2715</v>
      </c>
      <c r="Y3121" s="1" t="s">
        <v>24</v>
      </c>
      <c r="Z3121" s="1" t="s">
        <v>24</v>
      </c>
      <c r="AA3121" s="1" t="s">
        <v>24</v>
      </c>
      <c r="AB3121" s="1" t="s">
        <v>24</v>
      </c>
      <c r="AC3121" s="1" t="s">
        <v>24</v>
      </c>
      <c r="AD3121" s="1" t="s">
        <v>24</v>
      </c>
      <c r="AE3121" s="1" t="s">
        <v>24</v>
      </c>
      <c r="AF3121" s="22"/>
    </row>
    <row r="3122" spans="1:32" x14ac:dyDescent="0.2">
      <c r="A3122" s="1">
        <v>24996</v>
      </c>
      <c r="B3122" s="1" t="s">
        <v>9734</v>
      </c>
      <c r="C3122" s="5" t="s">
        <v>0</v>
      </c>
      <c r="D3122" s="1" t="s">
        <v>9735</v>
      </c>
      <c r="E3122" s="1" t="s">
        <v>9736</v>
      </c>
      <c r="F3122" s="1" t="s">
        <v>9718</v>
      </c>
      <c r="G3122" s="1" t="s">
        <v>130</v>
      </c>
      <c r="H3122" s="1" t="s">
        <v>30</v>
      </c>
      <c r="I3122" s="1" t="s">
        <v>16</v>
      </c>
      <c r="J3122" s="1">
        <v>1</v>
      </c>
      <c r="K3122" s="1">
        <v>6</v>
      </c>
      <c r="L3122" s="1" t="s">
        <v>31</v>
      </c>
      <c r="M3122" s="1" t="s">
        <v>18</v>
      </c>
      <c r="N3122" s="1" t="s">
        <v>18</v>
      </c>
      <c r="O3122" s="1">
        <v>3</v>
      </c>
      <c r="P3122" s="1">
        <v>6</v>
      </c>
      <c r="R3122" s="1" t="s">
        <v>19</v>
      </c>
      <c r="S3122" s="1" t="s">
        <v>20</v>
      </c>
      <c r="T3122" s="1" t="s">
        <v>21</v>
      </c>
      <c r="U3122" s="1" t="s">
        <v>22</v>
      </c>
      <c r="V3122" s="1" t="s">
        <v>24</v>
      </c>
      <c r="W3122" s="1" t="s">
        <v>24</v>
      </c>
      <c r="X3122" s="1">
        <v>2724</v>
      </c>
      <c r="Y3122" s="1" t="s">
        <v>24</v>
      </c>
      <c r="Z3122" s="1" t="s">
        <v>24</v>
      </c>
      <c r="AA3122" s="1" t="s">
        <v>24</v>
      </c>
      <c r="AB3122" s="1" t="s">
        <v>24</v>
      </c>
      <c r="AC3122" s="1" t="s">
        <v>24</v>
      </c>
      <c r="AD3122" s="1" t="s">
        <v>24</v>
      </c>
      <c r="AE3122" s="1" t="s">
        <v>24</v>
      </c>
      <c r="AF3122" s="22"/>
    </row>
    <row r="3123" spans="1:32" x14ac:dyDescent="0.2">
      <c r="A3123" s="1">
        <v>24997</v>
      </c>
      <c r="B3123" s="1" t="s">
        <v>9737</v>
      </c>
      <c r="C3123" s="5" t="s">
        <v>0</v>
      </c>
      <c r="D3123" s="1" t="s">
        <v>9738</v>
      </c>
      <c r="E3123" s="1" t="s">
        <v>9739</v>
      </c>
      <c r="F3123" s="1" t="s">
        <v>9718</v>
      </c>
      <c r="G3123" s="1" t="s">
        <v>130</v>
      </c>
      <c r="H3123" s="1" t="s">
        <v>37</v>
      </c>
      <c r="I3123" s="1" t="s">
        <v>16</v>
      </c>
      <c r="J3123" s="1">
        <v>1</v>
      </c>
      <c r="K3123" s="1">
        <v>6</v>
      </c>
      <c r="L3123" s="1" t="s">
        <v>31</v>
      </c>
      <c r="M3123" s="1" t="s">
        <v>18</v>
      </c>
      <c r="N3123" s="1" t="s">
        <v>18</v>
      </c>
      <c r="O3123" s="1">
        <v>3</v>
      </c>
      <c r="P3123" s="1">
        <v>6</v>
      </c>
      <c r="R3123" s="1" t="s">
        <v>19</v>
      </c>
      <c r="S3123" s="1" t="s">
        <v>20</v>
      </c>
      <c r="T3123" s="1" t="s">
        <v>21</v>
      </c>
      <c r="U3123" s="1" t="s">
        <v>22</v>
      </c>
      <c r="V3123" s="1" t="s">
        <v>24</v>
      </c>
      <c r="W3123" s="1" t="s">
        <v>24</v>
      </c>
      <c r="X3123" s="1">
        <v>2725</v>
      </c>
      <c r="Y3123" s="1" t="s">
        <v>24</v>
      </c>
      <c r="Z3123" s="1" t="s">
        <v>24</v>
      </c>
      <c r="AA3123" s="1" t="s">
        <v>24</v>
      </c>
      <c r="AB3123" s="1" t="s">
        <v>24</v>
      </c>
      <c r="AC3123" s="1" t="s">
        <v>24</v>
      </c>
      <c r="AD3123" s="1" t="s">
        <v>24</v>
      </c>
      <c r="AE3123" s="1" t="s">
        <v>24</v>
      </c>
      <c r="AF3123" s="22" t="s">
        <v>17670</v>
      </c>
    </row>
    <row r="3124" spans="1:32" x14ac:dyDescent="0.2">
      <c r="A3124" s="1">
        <v>24999</v>
      </c>
      <c r="B3124" s="1" t="s">
        <v>9740</v>
      </c>
      <c r="C3124" s="5" t="s">
        <v>0</v>
      </c>
      <c r="D3124" s="1" t="s">
        <v>9741</v>
      </c>
      <c r="E3124" s="1" t="s">
        <v>9742</v>
      </c>
      <c r="F3124" s="1" t="s">
        <v>9718</v>
      </c>
      <c r="G3124" s="1" t="s">
        <v>130</v>
      </c>
      <c r="H3124" s="1" t="s">
        <v>30</v>
      </c>
      <c r="I3124" s="1" t="s">
        <v>16</v>
      </c>
      <c r="J3124" s="1">
        <v>1</v>
      </c>
      <c r="K3124" s="1">
        <v>6</v>
      </c>
      <c r="L3124" s="1" t="s">
        <v>31</v>
      </c>
      <c r="M3124" s="1" t="s">
        <v>18</v>
      </c>
      <c r="N3124" s="1" t="s">
        <v>18</v>
      </c>
      <c r="O3124" s="1">
        <v>3</v>
      </c>
      <c r="P3124" s="1">
        <v>6</v>
      </c>
      <c r="R3124" s="1" t="s">
        <v>19</v>
      </c>
      <c r="S3124" s="1" t="s">
        <v>20</v>
      </c>
      <c r="T3124" s="1" t="s">
        <v>21</v>
      </c>
      <c r="U3124" s="1" t="s">
        <v>22</v>
      </c>
      <c r="V3124" s="1" t="s">
        <v>24</v>
      </c>
      <c r="W3124" s="1" t="s">
        <v>24</v>
      </c>
      <c r="X3124" s="1">
        <v>2730</v>
      </c>
      <c r="Y3124" s="1" t="s">
        <v>24</v>
      </c>
      <c r="Z3124" s="1" t="s">
        <v>24</v>
      </c>
      <c r="AA3124" s="1" t="s">
        <v>24</v>
      </c>
      <c r="AB3124" s="1" t="s">
        <v>24</v>
      </c>
      <c r="AC3124" s="1" t="s">
        <v>24</v>
      </c>
      <c r="AD3124" s="1" t="s">
        <v>24</v>
      </c>
      <c r="AE3124" s="1" t="s">
        <v>24</v>
      </c>
      <c r="AF3124" s="22"/>
    </row>
    <row r="3125" spans="1:32" x14ac:dyDescent="0.2">
      <c r="A3125" s="1">
        <v>25000</v>
      </c>
      <c r="B3125" s="1" t="s">
        <v>9743</v>
      </c>
      <c r="C3125" s="5" t="s">
        <v>0</v>
      </c>
      <c r="D3125" s="1" t="s">
        <v>9744</v>
      </c>
      <c r="E3125" s="1" t="s">
        <v>9745</v>
      </c>
      <c r="F3125" s="1" t="s">
        <v>9718</v>
      </c>
      <c r="G3125" s="1" t="s">
        <v>130</v>
      </c>
      <c r="H3125" s="1" t="s">
        <v>30</v>
      </c>
      <c r="I3125" s="1" t="s">
        <v>16</v>
      </c>
      <c r="J3125" s="1">
        <v>1</v>
      </c>
      <c r="K3125" s="1">
        <v>6</v>
      </c>
      <c r="L3125" s="1" t="s">
        <v>31</v>
      </c>
      <c r="M3125" s="1" t="s">
        <v>18</v>
      </c>
      <c r="N3125" s="1" t="s">
        <v>18</v>
      </c>
      <c r="O3125" s="1">
        <v>3</v>
      </c>
      <c r="P3125" s="1">
        <v>6</v>
      </c>
      <c r="R3125" s="1" t="s">
        <v>19</v>
      </c>
      <c r="S3125" s="1" t="s">
        <v>63</v>
      </c>
      <c r="T3125" s="1" t="s">
        <v>21</v>
      </c>
      <c r="U3125" s="1" t="s">
        <v>22</v>
      </c>
      <c r="V3125" s="1" t="s">
        <v>23</v>
      </c>
      <c r="W3125" s="1" t="s">
        <v>24</v>
      </c>
      <c r="X3125" s="1">
        <v>2728</v>
      </c>
      <c r="Y3125" s="1">
        <v>2703</v>
      </c>
      <c r="Z3125" s="1" t="s">
        <v>24</v>
      </c>
      <c r="AA3125" s="1" t="s">
        <v>24</v>
      </c>
      <c r="AB3125" s="1" t="s">
        <v>24</v>
      </c>
      <c r="AC3125" s="1" t="s">
        <v>24</v>
      </c>
      <c r="AD3125" s="1" t="s">
        <v>24</v>
      </c>
      <c r="AE3125" s="1" t="s">
        <v>24</v>
      </c>
      <c r="AF3125" s="22"/>
    </row>
    <row r="3126" spans="1:32" x14ac:dyDescent="0.2">
      <c r="A3126" s="1">
        <v>25001</v>
      </c>
      <c r="B3126" s="1" t="s">
        <v>9746</v>
      </c>
      <c r="C3126" s="5" t="s">
        <v>0</v>
      </c>
      <c r="D3126" s="1" t="s">
        <v>9747</v>
      </c>
      <c r="E3126" s="1" t="s">
        <v>9748</v>
      </c>
      <c r="F3126" s="1" t="s">
        <v>9718</v>
      </c>
      <c r="G3126" s="1" t="s">
        <v>130</v>
      </c>
      <c r="H3126" s="1" t="s">
        <v>30</v>
      </c>
      <c r="I3126" s="1" t="s">
        <v>16</v>
      </c>
      <c r="J3126" s="1">
        <v>1</v>
      </c>
      <c r="K3126" s="1">
        <v>6</v>
      </c>
      <c r="L3126" s="1" t="s">
        <v>31</v>
      </c>
      <c r="M3126" s="1" t="s">
        <v>18</v>
      </c>
      <c r="N3126" s="1" t="s">
        <v>18</v>
      </c>
      <c r="O3126" s="1">
        <v>3</v>
      </c>
      <c r="P3126" s="1">
        <v>6</v>
      </c>
      <c r="R3126" s="1" t="s">
        <v>19</v>
      </c>
      <c r="S3126" s="1" t="s">
        <v>63</v>
      </c>
      <c r="T3126" s="1" t="s">
        <v>21</v>
      </c>
      <c r="U3126" s="1" t="s">
        <v>22</v>
      </c>
      <c r="V3126" s="1" t="s">
        <v>23</v>
      </c>
      <c r="W3126" s="1" t="s">
        <v>24</v>
      </c>
      <c r="X3126" s="1">
        <v>2738</v>
      </c>
      <c r="Y3126" s="1" t="s">
        <v>24</v>
      </c>
      <c r="Z3126" s="1" t="s">
        <v>24</v>
      </c>
      <c r="AA3126" s="1" t="s">
        <v>24</v>
      </c>
      <c r="AB3126" s="1" t="s">
        <v>24</v>
      </c>
      <c r="AC3126" s="1" t="s">
        <v>24</v>
      </c>
      <c r="AD3126" s="1" t="s">
        <v>24</v>
      </c>
      <c r="AE3126" s="1" t="s">
        <v>24</v>
      </c>
      <c r="AF3126" s="22"/>
    </row>
    <row r="3127" spans="1:32" x14ac:dyDescent="0.2">
      <c r="A3127" s="1">
        <v>25004</v>
      </c>
      <c r="B3127" s="1" t="s">
        <v>9749</v>
      </c>
      <c r="C3127" s="5" t="s">
        <v>0</v>
      </c>
      <c r="D3127" s="1" t="s">
        <v>9750</v>
      </c>
      <c r="E3127" s="1" t="s">
        <v>9751</v>
      </c>
      <c r="F3127" s="1" t="s">
        <v>1897</v>
      </c>
      <c r="G3127" s="1" t="s">
        <v>1898</v>
      </c>
      <c r="H3127" s="1" t="s">
        <v>899</v>
      </c>
      <c r="I3127" s="1" t="s">
        <v>16</v>
      </c>
      <c r="J3127" s="1">
        <v>1</v>
      </c>
      <c r="K3127" s="1">
        <v>4</v>
      </c>
      <c r="L3127" s="1" t="s">
        <v>31</v>
      </c>
      <c r="M3127" s="1" t="s">
        <v>18</v>
      </c>
      <c r="N3127" s="1" t="s">
        <v>18</v>
      </c>
      <c r="O3127" s="1">
        <v>3</v>
      </c>
      <c r="P3127" s="1">
        <v>6</v>
      </c>
      <c r="R3127" s="1" t="s">
        <v>19</v>
      </c>
      <c r="S3127" s="1" t="s">
        <v>63</v>
      </c>
      <c r="T3127" s="1" t="s">
        <v>21</v>
      </c>
      <c r="U3127" s="1" t="s">
        <v>22</v>
      </c>
      <c r="V3127" s="1" t="s">
        <v>24</v>
      </c>
      <c r="W3127" s="1" t="s">
        <v>24</v>
      </c>
      <c r="X3127" s="1">
        <v>1306</v>
      </c>
      <c r="Y3127" s="1">
        <v>2307</v>
      </c>
      <c r="Z3127" s="1">
        <v>2730</v>
      </c>
      <c r="AA3127" s="1" t="s">
        <v>24</v>
      </c>
      <c r="AB3127" s="1" t="s">
        <v>24</v>
      </c>
      <c r="AC3127" s="1" t="s">
        <v>24</v>
      </c>
      <c r="AD3127" s="1" t="s">
        <v>24</v>
      </c>
      <c r="AE3127" s="1" t="s">
        <v>24</v>
      </c>
      <c r="AF3127" s="22"/>
    </row>
    <row r="3128" spans="1:32" x14ac:dyDescent="0.2">
      <c r="A3128" s="1">
        <v>25005</v>
      </c>
      <c r="B3128" s="1" t="s">
        <v>9752</v>
      </c>
      <c r="C3128" s="5" t="s">
        <v>0</v>
      </c>
      <c r="E3128" s="1" t="s">
        <v>9753</v>
      </c>
      <c r="F3128" s="1" t="s">
        <v>2299</v>
      </c>
      <c r="G3128" s="1" t="s">
        <v>2300</v>
      </c>
      <c r="H3128" s="1" t="s">
        <v>37</v>
      </c>
      <c r="I3128" s="1" t="s">
        <v>16</v>
      </c>
      <c r="J3128" s="1">
        <v>1</v>
      </c>
      <c r="K3128" s="1">
        <v>1</v>
      </c>
      <c r="L3128" s="1" t="s">
        <v>31</v>
      </c>
      <c r="M3128" s="1" t="s">
        <v>18</v>
      </c>
      <c r="N3128" s="1" t="s">
        <v>18</v>
      </c>
      <c r="O3128" s="1">
        <v>3</v>
      </c>
      <c r="P3128" s="1">
        <v>6</v>
      </c>
      <c r="R3128" s="1" t="s">
        <v>19</v>
      </c>
      <c r="S3128" s="1" t="s">
        <v>63</v>
      </c>
      <c r="T3128" s="1" t="s">
        <v>21</v>
      </c>
      <c r="U3128" s="1" t="s">
        <v>22</v>
      </c>
      <c r="V3128" s="1" t="s">
        <v>24</v>
      </c>
      <c r="W3128" s="1" t="s">
        <v>24</v>
      </c>
      <c r="X3128" s="1">
        <v>1313</v>
      </c>
      <c r="Y3128" s="1">
        <v>1502</v>
      </c>
      <c r="Z3128" s="1">
        <v>2204</v>
      </c>
      <c r="AA3128" s="1">
        <v>2402</v>
      </c>
      <c r="AB3128" s="1">
        <v>2701</v>
      </c>
      <c r="AC3128" s="1">
        <v>3003</v>
      </c>
      <c r="AD3128" s="1" t="s">
        <v>24</v>
      </c>
      <c r="AE3128" s="1" t="s">
        <v>24</v>
      </c>
      <c r="AF3128" s="22"/>
    </row>
    <row r="3129" spans="1:32" x14ac:dyDescent="0.2">
      <c r="A3129" s="1">
        <v>25008</v>
      </c>
      <c r="B3129" s="1" t="s">
        <v>9754</v>
      </c>
      <c r="C3129" s="5" t="s">
        <v>0</v>
      </c>
      <c r="E3129" s="1" t="s">
        <v>9755</v>
      </c>
      <c r="F3129" s="1" t="s">
        <v>2299</v>
      </c>
      <c r="G3129" s="1" t="s">
        <v>2300</v>
      </c>
      <c r="H3129" s="1" t="s">
        <v>37</v>
      </c>
      <c r="I3129" s="1" t="s">
        <v>16</v>
      </c>
      <c r="J3129" s="1">
        <v>1</v>
      </c>
      <c r="K3129" s="1">
        <v>1</v>
      </c>
      <c r="L3129" s="1" t="s">
        <v>31</v>
      </c>
      <c r="M3129" s="1" t="s">
        <v>18</v>
      </c>
      <c r="N3129" s="1" t="s">
        <v>18</v>
      </c>
      <c r="O3129" s="1">
        <v>3</v>
      </c>
      <c r="P3129" s="1">
        <v>6</v>
      </c>
      <c r="R3129" s="1" t="s">
        <v>19</v>
      </c>
      <c r="S3129" s="1" t="s">
        <v>63</v>
      </c>
      <c r="T3129" s="1" t="s">
        <v>21</v>
      </c>
      <c r="U3129" s="1" t="s">
        <v>22</v>
      </c>
      <c r="V3129" s="1" t="s">
        <v>24</v>
      </c>
      <c r="W3129" s="1" t="s">
        <v>24</v>
      </c>
      <c r="X3129" s="1">
        <v>1305</v>
      </c>
      <c r="Y3129" s="1">
        <v>1502</v>
      </c>
      <c r="Z3129" s="1">
        <v>2402</v>
      </c>
      <c r="AA3129" s="1" t="s">
        <v>24</v>
      </c>
      <c r="AB3129" s="1" t="s">
        <v>24</v>
      </c>
      <c r="AC3129" s="1" t="s">
        <v>24</v>
      </c>
      <c r="AD3129" s="1" t="s">
        <v>24</v>
      </c>
      <c r="AE3129" s="1" t="s">
        <v>24</v>
      </c>
      <c r="AF3129" s="22"/>
    </row>
    <row r="3130" spans="1:32" x14ac:dyDescent="0.2">
      <c r="A3130" s="1">
        <v>25009</v>
      </c>
      <c r="B3130" s="1" t="s">
        <v>9756</v>
      </c>
      <c r="C3130" s="5" t="s">
        <v>0</v>
      </c>
      <c r="E3130" s="1" t="s">
        <v>9757</v>
      </c>
      <c r="F3130" s="1" t="s">
        <v>2299</v>
      </c>
      <c r="G3130" s="1" t="s">
        <v>2300</v>
      </c>
      <c r="H3130" s="1" t="s">
        <v>37</v>
      </c>
      <c r="I3130" s="1" t="s">
        <v>16</v>
      </c>
      <c r="J3130" s="1">
        <v>1</v>
      </c>
      <c r="K3130" s="1">
        <v>1</v>
      </c>
      <c r="L3130" s="1" t="s">
        <v>31</v>
      </c>
      <c r="M3130" s="1" t="s">
        <v>18</v>
      </c>
      <c r="N3130" s="1" t="s">
        <v>18</v>
      </c>
      <c r="O3130" s="1">
        <v>3</v>
      </c>
      <c r="P3130" s="1">
        <v>6</v>
      </c>
      <c r="R3130" s="1" t="s">
        <v>19</v>
      </c>
      <c r="S3130" s="1" t="s">
        <v>63</v>
      </c>
      <c r="T3130" s="1" t="s">
        <v>21</v>
      </c>
      <c r="U3130" s="1" t="s">
        <v>22</v>
      </c>
      <c r="V3130" s="1" t="s">
        <v>24</v>
      </c>
      <c r="W3130" s="1" t="s">
        <v>24</v>
      </c>
      <c r="X3130" s="1">
        <v>1306</v>
      </c>
      <c r="Y3130" s="1">
        <v>1313</v>
      </c>
      <c r="Z3130" s="1">
        <v>2730</v>
      </c>
      <c r="AA3130" s="1" t="s">
        <v>24</v>
      </c>
      <c r="AB3130" s="1" t="s">
        <v>24</v>
      </c>
      <c r="AC3130" s="1" t="s">
        <v>24</v>
      </c>
      <c r="AD3130" s="1" t="s">
        <v>24</v>
      </c>
      <c r="AE3130" s="1" t="s">
        <v>24</v>
      </c>
      <c r="AF3130" s="22"/>
    </row>
    <row r="3131" spans="1:32" x14ac:dyDescent="0.2">
      <c r="A3131" s="1">
        <v>25010</v>
      </c>
      <c r="B3131" s="1" t="s">
        <v>9758</v>
      </c>
      <c r="C3131" s="5" t="s">
        <v>0</v>
      </c>
      <c r="E3131" s="1" t="s">
        <v>9759</v>
      </c>
      <c r="F3131" s="1" t="s">
        <v>2299</v>
      </c>
      <c r="G3131" s="1" t="s">
        <v>2300</v>
      </c>
      <c r="H3131" s="1" t="s">
        <v>37</v>
      </c>
      <c r="I3131" s="1" t="s">
        <v>16</v>
      </c>
      <c r="J3131" s="1">
        <v>1</v>
      </c>
      <c r="K3131" s="1">
        <v>1</v>
      </c>
      <c r="L3131" s="1" t="s">
        <v>31</v>
      </c>
      <c r="M3131" s="1" t="s">
        <v>18</v>
      </c>
      <c r="N3131" s="1" t="s">
        <v>18</v>
      </c>
      <c r="O3131" s="1">
        <v>3</v>
      </c>
      <c r="P3131" s="1">
        <v>6</v>
      </c>
      <c r="R3131" s="1" t="s">
        <v>19</v>
      </c>
      <c r="S3131" s="1" t="s">
        <v>63</v>
      </c>
      <c r="T3131" s="1" t="s">
        <v>21</v>
      </c>
      <c r="U3131" s="1" t="s">
        <v>22</v>
      </c>
      <c r="V3131" s="1" t="s">
        <v>24</v>
      </c>
      <c r="W3131" s="1" t="s">
        <v>24</v>
      </c>
      <c r="X3131" s="1">
        <v>1303</v>
      </c>
      <c r="Y3131" s="1">
        <v>1312</v>
      </c>
      <c r="Z3131" s="1" t="s">
        <v>24</v>
      </c>
      <c r="AA3131" s="1" t="s">
        <v>24</v>
      </c>
      <c r="AB3131" s="1" t="s">
        <v>24</v>
      </c>
      <c r="AC3131" s="1" t="s">
        <v>24</v>
      </c>
      <c r="AD3131" s="1" t="s">
        <v>24</v>
      </c>
      <c r="AE3131" s="1" t="s">
        <v>24</v>
      </c>
      <c r="AF3131" s="22"/>
    </row>
    <row r="3132" spans="1:32" x14ac:dyDescent="0.2">
      <c r="A3132" s="1">
        <v>25011</v>
      </c>
      <c r="B3132" s="1" t="s">
        <v>9760</v>
      </c>
      <c r="C3132" s="5" t="s">
        <v>0</v>
      </c>
      <c r="E3132" s="1" t="s">
        <v>9761</v>
      </c>
      <c r="F3132" s="1" t="s">
        <v>9762</v>
      </c>
      <c r="G3132" s="1" t="s">
        <v>9763</v>
      </c>
      <c r="H3132" s="1" t="s">
        <v>899</v>
      </c>
      <c r="I3132" s="1" t="s">
        <v>16</v>
      </c>
      <c r="J3132" s="1">
        <v>1</v>
      </c>
      <c r="K3132" s="1">
        <v>4</v>
      </c>
      <c r="L3132" s="1" t="s">
        <v>42</v>
      </c>
      <c r="M3132" s="1" t="s">
        <v>18</v>
      </c>
      <c r="N3132" s="1" t="s">
        <v>18</v>
      </c>
      <c r="O3132" s="1">
        <v>3</v>
      </c>
      <c r="P3132" s="1">
        <v>6</v>
      </c>
      <c r="R3132" s="1" t="s">
        <v>19</v>
      </c>
      <c r="S3132" s="1" t="s">
        <v>20</v>
      </c>
      <c r="T3132" s="1" t="s">
        <v>21</v>
      </c>
      <c r="U3132" s="1" t="s">
        <v>22</v>
      </c>
      <c r="V3132" s="1" t="s">
        <v>23</v>
      </c>
      <c r="W3132" s="1" t="s">
        <v>24</v>
      </c>
      <c r="X3132" s="1">
        <v>2705</v>
      </c>
      <c r="Y3132" s="1">
        <v>2737</v>
      </c>
      <c r="Z3132" s="1" t="s">
        <v>24</v>
      </c>
      <c r="AA3132" s="1" t="s">
        <v>24</v>
      </c>
      <c r="AB3132" s="1" t="s">
        <v>24</v>
      </c>
      <c r="AC3132" s="1" t="s">
        <v>24</v>
      </c>
      <c r="AD3132" s="1" t="s">
        <v>24</v>
      </c>
      <c r="AE3132" s="1" t="s">
        <v>24</v>
      </c>
      <c r="AF3132" s="22"/>
    </row>
    <row r="3133" spans="1:32" x14ac:dyDescent="0.2">
      <c r="A3133" s="1">
        <v>25012</v>
      </c>
      <c r="B3133" s="1" t="s">
        <v>9764</v>
      </c>
      <c r="C3133" s="5" t="s">
        <v>0</v>
      </c>
      <c r="E3133" s="1" t="s">
        <v>9765</v>
      </c>
      <c r="F3133" s="1" t="s">
        <v>2299</v>
      </c>
      <c r="G3133" s="1" t="s">
        <v>2300</v>
      </c>
      <c r="H3133" s="1" t="s">
        <v>37</v>
      </c>
      <c r="I3133" s="1" t="s">
        <v>16</v>
      </c>
      <c r="J3133" s="1">
        <v>1</v>
      </c>
      <c r="K3133" s="1">
        <v>1</v>
      </c>
      <c r="L3133" s="1" t="s">
        <v>31</v>
      </c>
      <c r="M3133" s="1" t="s">
        <v>18</v>
      </c>
      <c r="N3133" s="1" t="s">
        <v>18</v>
      </c>
      <c r="O3133" s="1">
        <v>3</v>
      </c>
      <c r="P3133" s="1">
        <v>6</v>
      </c>
      <c r="R3133" s="1" t="s">
        <v>19</v>
      </c>
      <c r="S3133" s="1" t="s">
        <v>63</v>
      </c>
      <c r="T3133" s="1" t="s">
        <v>21</v>
      </c>
      <c r="U3133" s="1" t="s">
        <v>22</v>
      </c>
      <c r="V3133" s="1" t="s">
        <v>24</v>
      </c>
      <c r="W3133" s="1" t="s">
        <v>24</v>
      </c>
      <c r="X3133" s="1">
        <v>2726</v>
      </c>
      <c r="Y3133" s="1">
        <v>2725</v>
      </c>
      <c r="Z3133" s="1" t="s">
        <v>24</v>
      </c>
      <c r="AA3133" s="1" t="s">
        <v>24</v>
      </c>
      <c r="AB3133" s="1" t="s">
        <v>24</v>
      </c>
      <c r="AC3133" s="1" t="s">
        <v>24</v>
      </c>
      <c r="AD3133" s="1" t="s">
        <v>24</v>
      </c>
      <c r="AE3133" s="1" t="s">
        <v>24</v>
      </c>
      <c r="AF3133" s="22"/>
    </row>
    <row r="3134" spans="1:32" x14ac:dyDescent="0.2">
      <c r="A3134" s="1">
        <v>25014</v>
      </c>
      <c r="B3134" s="5" t="s">
        <v>9766</v>
      </c>
      <c r="C3134" s="5" t="s">
        <v>50553</v>
      </c>
      <c r="E3134" s="1" t="s">
        <v>9767</v>
      </c>
      <c r="F3134" s="1" t="s">
        <v>2299</v>
      </c>
      <c r="G3134" s="1" t="s">
        <v>2300</v>
      </c>
      <c r="H3134" s="1" t="s">
        <v>37</v>
      </c>
      <c r="I3134" s="1" t="s">
        <v>16</v>
      </c>
      <c r="J3134" s="1">
        <v>1</v>
      </c>
      <c r="K3134" s="1">
        <v>1</v>
      </c>
      <c r="L3134" s="1" t="s">
        <v>31</v>
      </c>
      <c r="M3134" s="1" t="s">
        <v>18</v>
      </c>
      <c r="N3134" s="5" t="s">
        <v>18</v>
      </c>
      <c r="O3134" s="5">
        <v>3</v>
      </c>
      <c r="P3134" s="5">
        <v>7</v>
      </c>
      <c r="Q3134" s="5" t="s">
        <v>17633</v>
      </c>
      <c r="R3134" s="5" t="s">
        <v>19</v>
      </c>
      <c r="S3134" s="1" t="s">
        <v>63</v>
      </c>
      <c r="T3134" s="1" t="s">
        <v>21</v>
      </c>
      <c r="X3134" s="5">
        <v>2204</v>
      </c>
      <c r="Y3134" s="1">
        <v>2502</v>
      </c>
      <c r="Z3134" s="1">
        <v>2741</v>
      </c>
      <c r="AA3134" s="1">
        <v>3614</v>
      </c>
      <c r="AF3134" s="22"/>
    </row>
    <row r="3135" spans="1:32" x14ac:dyDescent="0.2">
      <c r="A3135" s="1">
        <v>25046</v>
      </c>
      <c r="B3135" s="1" t="s">
        <v>9768</v>
      </c>
      <c r="C3135" s="5" t="s">
        <v>0</v>
      </c>
      <c r="E3135" s="1" t="s">
        <v>9769</v>
      </c>
      <c r="F3135" s="1" t="s">
        <v>2299</v>
      </c>
      <c r="G3135" s="1" t="s">
        <v>2300</v>
      </c>
      <c r="H3135" s="1" t="s">
        <v>37</v>
      </c>
      <c r="I3135" s="1" t="s">
        <v>16</v>
      </c>
      <c r="J3135" s="1">
        <v>1</v>
      </c>
      <c r="K3135" s="1">
        <v>1</v>
      </c>
      <c r="L3135" s="1" t="s">
        <v>31</v>
      </c>
      <c r="M3135" s="1" t="s">
        <v>18</v>
      </c>
      <c r="N3135" s="1" t="s">
        <v>18</v>
      </c>
      <c r="O3135" s="1">
        <v>3</v>
      </c>
      <c r="P3135" s="1">
        <v>6</v>
      </c>
      <c r="R3135" s="1" t="s">
        <v>19</v>
      </c>
      <c r="S3135" s="1" t="s">
        <v>63</v>
      </c>
      <c r="T3135" s="1" t="s">
        <v>21</v>
      </c>
      <c r="U3135" s="1" t="s">
        <v>22</v>
      </c>
      <c r="V3135" s="1" t="s">
        <v>24</v>
      </c>
      <c r="W3135" s="1" t="s">
        <v>24</v>
      </c>
      <c r="X3135" s="1">
        <v>2734</v>
      </c>
      <c r="Y3135" s="1">
        <v>2722</v>
      </c>
      <c r="Z3135" s="1" t="s">
        <v>24</v>
      </c>
      <c r="AA3135" s="1" t="s">
        <v>24</v>
      </c>
      <c r="AB3135" s="1" t="s">
        <v>24</v>
      </c>
      <c r="AC3135" s="1" t="s">
        <v>24</v>
      </c>
      <c r="AD3135" s="1" t="s">
        <v>24</v>
      </c>
      <c r="AE3135" s="1" t="s">
        <v>24</v>
      </c>
      <c r="AF3135" s="22"/>
    </row>
    <row r="3136" spans="1:32" x14ac:dyDescent="0.2">
      <c r="A3136" s="1">
        <v>25047</v>
      </c>
      <c r="B3136" s="1" t="s">
        <v>9770</v>
      </c>
      <c r="C3136" s="5" t="s">
        <v>0</v>
      </c>
      <c r="D3136" s="1" t="s">
        <v>9771</v>
      </c>
      <c r="F3136" s="1" t="s">
        <v>724</v>
      </c>
      <c r="G3136" s="1" t="s">
        <v>725</v>
      </c>
      <c r="H3136" s="1" t="s">
        <v>37</v>
      </c>
      <c r="I3136" s="1" t="s">
        <v>16</v>
      </c>
      <c r="J3136" s="1">
        <v>0</v>
      </c>
      <c r="K3136" s="1">
        <v>0</v>
      </c>
      <c r="L3136" s="1" t="s">
        <v>31</v>
      </c>
      <c r="M3136" s="1" t="s">
        <v>18</v>
      </c>
      <c r="N3136" s="1" t="s">
        <v>18</v>
      </c>
      <c r="O3136" s="1">
        <v>3</v>
      </c>
      <c r="P3136" s="1">
        <v>7</v>
      </c>
      <c r="Q3136" s="7" t="s">
        <v>17633</v>
      </c>
      <c r="R3136" s="1" t="s">
        <v>19</v>
      </c>
      <c r="S3136" s="1" t="s">
        <v>20</v>
      </c>
      <c r="T3136" s="1" t="s">
        <v>21</v>
      </c>
      <c r="U3136" s="1" t="s">
        <v>22</v>
      </c>
      <c r="V3136" s="1" t="s">
        <v>24</v>
      </c>
      <c r="W3136" s="1" t="s">
        <v>24</v>
      </c>
      <c r="X3136" s="1">
        <v>1312</v>
      </c>
      <c r="Y3136" s="1">
        <v>1313</v>
      </c>
      <c r="Z3136" s="1" t="s">
        <v>24</v>
      </c>
      <c r="AA3136" s="1" t="s">
        <v>24</v>
      </c>
      <c r="AB3136" s="1" t="s">
        <v>24</v>
      </c>
      <c r="AC3136" s="1" t="s">
        <v>24</v>
      </c>
      <c r="AD3136" s="1" t="s">
        <v>24</v>
      </c>
      <c r="AE3136" s="1" t="s">
        <v>24</v>
      </c>
      <c r="AF3136" s="22"/>
    </row>
    <row r="3137" spans="1:32" x14ac:dyDescent="0.2">
      <c r="A3137" s="1">
        <v>25049</v>
      </c>
      <c r="B3137" s="1" t="s">
        <v>9772</v>
      </c>
      <c r="C3137" s="5" t="s">
        <v>0</v>
      </c>
      <c r="D3137" s="1" t="s">
        <v>9773</v>
      </c>
      <c r="F3137" s="1" t="s">
        <v>9774</v>
      </c>
      <c r="G3137" s="1" t="s">
        <v>9774</v>
      </c>
      <c r="H3137" s="1" t="s">
        <v>30</v>
      </c>
      <c r="I3137" s="1" t="s">
        <v>16</v>
      </c>
      <c r="J3137" s="1">
        <v>1</v>
      </c>
      <c r="K3137" s="1">
        <v>1</v>
      </c>
      <c r="L3137" s="1" t="s">
        <v>42</v>
      </c>
      <c r="M3137" s="1" t="s">
        <v>18</v>
      </c>
      <c r="N3137" s="1" t="s">
        <v>18</v>
      </c>
      <c r="O3137" s="1">
        <v>3</v>
      </c>
      <c r="P3137" s="1">
        <v>6</v>
      </c>
      <c r="R3137" s="1" t="s">
        <v>19</v>
      </c>
      <c r="S3137" s="1" t="s">
        <v>63</v>
      </c>
      <c r="T3137" s="1" t="s">
        <v>21</v>
      </c>
      <c r="U3137" s="1" t="s">
        <v>22</v>
      </c>
      <c r="V3137" s="1" t="s">
        <v>24</v>
      </c>
      <c r="W3137" s="1" t="s">
        <v>24</v>
      </c>
      <c r="X3137" s="1">
        <v>2700</v>
      </c>
      <c r="Y3137" s="1" t="s">
        <v>24</v>
      </c>
      <c r="Z3137" s="1" t="s">
        <v>24</v>
      </c>
      <c r="AA3137" s="1" t="s">
        <v>24</v>
      </c>
      <c r="AB3137" s="1" t="s">
        <v>24</v>
      </c>
      <c r="AC3137" s="1" t="s">
        <v>24</v>
      </c>
      <c r="AD3137" s="1" t="s">
        <v>24</v>
      </c>
      <c r="AE3137" s="1" t="s">
        <v>24</v>
      </c>
      <c r="AF3137" s="22"/>
    </row>
    <row r="3138" spans="1:32" x14ac:dyDescent="0.2">
      <c r="A3138" s="1">
        <v>25050</v>
      </c>
      <c r="B3138" s="1" t="s">
        <v>9775</v>
      </c>
      <c r="C3138" s="5" t="s">
        <v>0</v>
      </c>
      <c r="E3138" s="1" t="s">
        <v>9776</v>
      </c>
      <c r="F3138" s="1" t="s">
        <v>9777</v>
      </c>
      <c r="G3138" s="1" t="s">
        <v>9777</v>
      </c>
      <c r="H3138" s="1" t="s">
        <v>37</v>
      </c>
      <c r="I3138" s="1" t="s">
        <v>16</v>
      </c>
      <c r="J3138" s="1">
        <v>1</v>
      </c>
      <c r="K3138" s="1">
        <v>1</v>
      </c>
      <c r="L3138" s="1" t="s">
        <v>42</v>
      </c>
      <c r="M3138" s="1" t="s">
        <v>18</v>
      </c>
      <c r="N3138" s="1" t="s">
        <v>18</v>
      </c>
      <c r="O3138" s="1">
        <v>3</v>
      </c>
      <c r="P3138" s="1">
        <v>6</v>
      </c>
      <c r="R3138" s="1" t="s">
        <v>19</v>
      </c>
      <c r="S3138" s="1" t="s">
        <v>63</v>
      </c>
      <c r="T3138" s="1" t="s">
        <v>21</v>
      </c>
      <c r="U3138" s="1" t="s">
        <v>22</v>
      </c>
      <c r="V3138" s="1" t="s">
        <v>23</v>
      </c>
      <c r="W3138" s="1" t="s">
        <v>24</v>
      </c>
      <c r="X3138" s="1">
        <v>2746</v>
      </c>
      <c r="Y3138" s="1">
        <v>2914</v>
      </c>
      <c r="Z3138" s="1">
        <v>2708</v>
      </c>
      <c r="AA3138" s="1" t="s">
        <v>24</v>
      </c>
      <c r="AB3138" s="1" t="s">
        <v>24</v>
      </c>
      <c r="AC3138" s="1" t="s">
        <v>24</v>
      </c>
      <c r="AD3138" s="1" t="s">
        <v>24</v>
      </c>
      <c r="AE3138" s="1" t="s">
        <v>24</v>
      </c>
      <c r="AF3138" s="22"/>
    </row>
    <row r="3139" spans="1:32" x14ac:dyDescent="0.2">
      <c r="A3139" s="1">
        <v>25131</v>
      </c>
      <c r="B3139" s="1" t="s">
        <v>9778</v>
      </c>
      <c r="C3139" s="5" t="s">
        <v>0</v>
      </c>
      <c r="D3139" s="1" t="s">
        <v>9779</v>
      </c>
      <c r="E3139" s="1" t="s">
        <v>9780</v>
      </c>
      <c r="F3139" s="1" t="s">
        <v>6405</v>
      </c>
      <c r="G3139" s="1" t="s">
        <v>6406</v>
      </c>
      <c r="H3139" s="1" t="s">
        <v>92</v>
      </c>
      <c r="I3139" s="1" t="s">
        <v>16</v>
      </c>
      <c r="J3139" s="1">
        <v>1</v>
      </c>
      <c r="K3139" s="1">
        <v>8</v>
      </c>
      <c r="L3139" s="1" t="s">
        <v>31</v>
      </c>
      <c r="M3139" s="1" t="s">
        <v>18</v>
      </c>
      <c r="N3139" s="1" t="s">
        <v>18</v>
      </c>
      <c r="O3139" s="1">
        <v>3</v>
      </c>
      <c r="P3139" s="1">
        <v>5</v>
      </c>
      <c r="R3139" s="1" t="s">
        <v>62</v>
      </c>
      <c r="S3139" s="1" t="s">
        <v>20</v>
      </c>
      <c r="T3139" s="1" t="s">
        <v>21</v>
      </c>
      <c r="U3139" s="1" t="s">
        <v>22</v>
      </c>
      <c r="V3139" s="1" t="s">
        <v>24</v>
      </c>
      <c r="W3139" s="1" t="s">
        <v>24</v>
      </c>
      <c r="X3139" s="1">
        <v>2725</v>
      </c>
      <c r="Y3139" s="1">
        <v>2406</v>
      </c>
      <c r="Z3139" s="1" t="s">
        <v>24</v>
      </c>
      <c r="AA3139" s="1" t="s">
        <v>24</v>
      </c>
      <c r="AB3139" s="1" t="s">
        <v>24</v>
      </c>
      <c r="AC3139" s="1" t="s">
        <v>24</v>
      </c>
      <c r="AD3139" s="1" t="s">
        <v>24</v>
      </c>
      <c r="AE3139" s="1" t="s">
        <v>24</v>
      </c>
      <c r="AF3139" s="22"/>
    </row>
    <row r="3140" spans="1:32" x14ac:dyDescent="0.2">
      <c r="A3140" s="1">
        <v>25132</v>
      </c>
      <c r="B3140" s="1" t="s">
        <v>9781</v>
      </c>
      <c r="C3140" s="5" t="s">
        <v>0</v>
      </c>
      <c r="D3140" s="1" t="s">
        <v>9782</v>
      </c>
      <c r="E3140" s="1" t="s">
        <v>9783</v>
      </c>
      <c r="F3140" s="1" t="s">
        <v>6405</v>
      </c>
      <c r="G3140" s="1" t="s">
        <v>6406</v>
      </c>
      <c r="H3140" s="1" t="s">
        <v>92</v>
      </c>
      <c r="I3140" s="1" t="s">
        <v>16</v>
      </c>
      <c r="J3140" s="1">
        <v>1</v>
      </c>
      <c r="K3140" s="1">
        <v>4</v>
      </c>
      <c r="L3140" s="1" t="s">
        <v>31</v>
      </c>
      <c r="M3140" s="1" t="s">
        <v>18</v>
      </c>
      <c r="N3140" s="1" t="s">
        <v>18</v>
      </c>
      <c r="O3140" s="1">
        <v>3</v>
      </c>
      <c r="P3140" s="1">
        <v>5</v>
      </c>
      <c r="R3140" s="1" t="s">
        <v>19</v>
      </c>
      <c r="S3140" s="1" t="s">
        <v>20</v>
      </c>
      <c r="T3140" s="1" t="s">
        <v>21</v>
      </c>
      <c r="U3140" s="1" t="s">
        <v>22</v>
      </c>
      <c r="V3140" s="1" t="s">
        <v>24</v>
      </c>
      <c r="W3140" s="1" t="s">
        <v>24</v>
      </c>
      <c r="X3140" s="1">
        <v>2705</v>
      </c>
      <c r="Y3140" s="1">
        <v>3004</v>
      </c>
      <c r="Z3140" s="1" t="s">
        <v>24</v>
      </c>
      <c r="AA3140" s="1" t="s">
        <v>24</v>
      </c>
      <c r="AB3140" s="1" t="s">
        <v>24</v>
      </c>
      <c r="AC3140" s="1" t="s">
        <v>24</v>
      </c>
      <c r="AD3140" s="1" t="s">
        <v>24</v>
      </c>
      <c r="AE3140" s="1" t="s">
        <v>24</v>
      </c>
      <c r="AF3140" s="22"/>
    </row>
    <row r="3141" spans="1:32" x14ac:dyDescent="0.2">
      <c r="A3141" s="1">
        <v>25133</v>
      </c>
      <c r="B3141" s="1" t="s">
        <v>9784</v>
      </c>
      <c r="C3141" s="5" t="s">
        <v>0</v>
      </c>
      <c r="D3141" s="1" t="s">
        <v>9785</v>
      </c>
      <c r="E3141" s="1" t="s">
        <v>9786</v>
      </c>
      <c r="F3141" s="1" t="s">
        <v>6405</v>
      </c>
      <c r="G3141" s="1" t="s">
        <v>6406</v>
      </c>
      <c r="H3141" s="1" t="s">
        <v>92</v>
      </c>
      <c r="I3141" s="1" t="s">
        <v>16</v>
      </c>
      <c r="J3141" s="1">
        <v>1</v>
      </c>
      <c r="K3141" s="1">
        <v>4</v>
      </c>
      <c r="L3141" s="1" t="s">
        <v>31</v>
      </c>
      <c r="M3141" s="1" t="s">
        <v>18</v>
      </c>
      <c r="N3141" s="1" t="s">
        <v>18</v>
      </c>
      <c r="O3141" s="1">
        <v>3</v>
      </c>
      <c r="P3141" s="1">
        <v>5</v>
      </c>
      <c r="R3141" s="1" t="s">
        <v>19</v>
      </c>
      <c r="S3141" s="1" t="s">
        <v>20</v>
      </c>
      <c r="T3141" s="1" t="s">
        <v>21</v>
      </c>
      <c r="U3141" s="1" t="s">
        <v>22</v>
      </c>
      <c r="V3141" s="1" t="s">
        <v>24</v>
      </c>
      <c r="W3141" s="1" t="s">
        <v>24</v>
      </c>
      <c r="X3141" s="1">
        <v>2728</v>
      </c>
      <c r="Y3141" s="1">
        <v>2736</v>
      </c>
      <c r="Z3141" s="1">
        <v>3004</v>
      </c>
      <c r="AA3141" s="1">
        <v>2808</v>
      </c>
      <c r="AB3141" s="1">
        <v>2738</v>
      </c>
      <c r="AC3141" s="1" t="s">
        <v>24</v>
      </c>
      <c r="AD3141" s="1" t="s">
        <v>24</v>
      </c>
      <c r="AE3141" s="1" t="s">
        <v>24</v>
      </c>
      <c r="AF3141" s="22"/>
    </row>
    <row r="3142" spans="1:32" x14ac:dyDescent="0.2">
      <c r="A3142" s="1">
        <v>25138</v>
      </c>
      <c r="B3142" s="1" t="s">
        <v>9787</v>
      </c>
      <c r="C3142" s="5" t="s">
        <v>0</v>
      </c>
      <c r="D3142" s="1" t="s">
        <v>9788</v>
      </c>
      <c r="E3142" s="1" t="s">
        <v>9789</v>
      </c>
      <c r="F3142" s="1" t="s">
        <v>6405</v>
      </c>
      <c r="G3142" s="1" t="s">
        <v>6406</v>
      </c>
      <c r="H3142" s="1" t="s">
        <v>92</v>
      </c>
      <c r="I3142" s="1" t="s">
        <v>16</v>
      </c>
      <c r="J3142" s="1">
        <v>1</v>
      </c>
      <c r="K3142" s="1">
        <v>18</v>
      </c>
      <c r="L3142" s="1" t="s">
        <v>31</v>
      </c>
      <c r="M3142" s="1" t="s">
        <v>18</v>
      </c>
      <c r="N3142" s="1" t="s">
        <v>18</v>
      </c>
      <c r="O3142" s="1">
        <v>3</v>
      </c>
      <c r="P3142" s="1">
        <v>5</v>
      </c>
      <c r="R3142" s="1" t="s">
        <v>62</v>
      </c>
      <c r="S3142" s="1" t="s">
        <v>20</v>
      </c>
      <c r="T3142" s="1" t="s">
        <v>21</v>
      </c>
      <c r="U3142" s="1" t="s">
        <v>22</v>
      </c>
      <c r="V3142" s="1" t="s">
        <v>24</v>
      </c>
      <c r="W3142" s="1" t="s">
        <v>24</v>
      </c>
      <c r="X3142" s="1">
        <v>3002</v>
      </c>
      <c r="Y3142" s="1" t="s">
        <v>24</v>
      </c>
      <c r="Z3142" s="1" t="s">
        <v>24</v>
      </c>
      <c r="AA3142" s="1" t="s">
        <v>24</v>
      </c>
      <c r="AB3142" s="1" t="s">
        <v>24</v>
      </c>
      <c r="AC3142" s="1" t="s">
        <v>24</v>
      </c>
      <c r="AD3142" s="1" t="s">
        <v>24</v>
      </c>
      <c r="AE3142" s="1" t="s">
        <v>24</v>
      </c>
      <c r="AF3142" s="22"/>
    </row>
    <row r="3143" spans="1:32" x14ac:dyDescent="0.2">
      <c r="A3143" s="1">
        <v>25139</v>
      </c>
      <c r="B3143" s="1" t="s">
        <v>9790</v>
      </c>
      <c r="C3143" s="5" t="s">
        <v>0</v>
      </c>
      <c r="D3143" s="1" t="s">
        <v>9791</v>
      </c>
      <c r="E3143" s="1" t="s">
        <v>9792</v>
      </c>
      <c r="F3143" s="1" t="s">
        <v>6405</v>
      </c>
      <c r="G3143" s="1" t="s">
        <v>6406</v>
      </c>
      <c r="H3143" s="1" t="s">
        <v>92</v>
      </c>
      <c r="I3143" s="1" t="s">
        <v>16</v>
      </c>
      <c r="J3143" s="1">
        <v>1</v>
      </c>
      <c r="K3143" s="1">
        <v>14</v>
      </c>
      <c r="L3143" s="1" t="s">
        <v>31</v>
      </c>
      <c r="M3143" s="1" t="s">
        <v>18</v>
      </c>
      <c r="N3143" s="1" t="s">
        <v>18</v>
      </c>
      <c r="O3143" s="1">
        <v>3</v>
      </c>
      <c r="P3143" s="1">
        <v>5</v>
      </c>
      <c r="R3143" s="1" t="s">
        <v>19</v>
      </c>
      <c r="S3143" s="1" t="s">
        <v>20</v>
      </c>
      <c r="T3143" s="1" t="s">
        <v>21</v>
      </c>
      <c r="U3143" s="1" t="s">
        <v>22</v>
      </c>
      <c r="V3143" s="1" t="s">
        <v>24</v>
      </c>
      <c r="W3143" s="1" t="s">
        <v>24</v>
      </c>
      <c r="X3143" s="1">
        <v>3004</v>
      </c>
      <c r="Y3143" s="1">
        <v>3002</v>
      </c>
      <c r="Z3143" s="1" t="s">
        <v>24</v>
      </c>
      <c r="AA3143" s="1" t="s">
        <v>24</v>
      </c>
      <c r="AB3143" s="1" t="s">
        <v>24</v>
      </c>
      <c r="AC3143" s="1" t="s">
        <v>24</v>
      </c>
      <c r="AD3143" s="1" t="s">
        <v>24</v>
      </c>
      <c r="AE3143" s="1" t="s">
        <v>24</v>
      </c>
      <c r="AF3143" s="22"/>
    </row>
    <row r="3144" spans="1:32" x14ac:dyDescent="0.2">
      <c r="A3144" s="1">
        <v>25140</v>
      </c>
      <c r="B3144" s="1" t="s">
        <v>9793</v>
      </c>
      <c r="C3144" s="5" t="s">
        <v>0</v>
      </c>
      <c r="D3144" s="1" t="s">
        <v>9794</v>
      </c>
      <c r="E3144" s="1" t="s">
        <v>9795</v>
      </c>
      <c r="F3144" s="1" t="s">
        <v>6405</v>
      </c>
      <c r="G3144" s="1" t="s">
        <v>6406</v>
      </c>
      <c r="H3144" s="1" t="s">
        <v>92</v>
      </c>
      <c r="I3144" s="1" t="s">
        <v>16</v>
      </c>
      <c r="J3144" s="1">
        <v>1</v>
      </c>
      <c r="K3144" s="1">
        <v>6</v>
      </c>
      <c r="L3144" s="1" t="s">
        <v>31</v>
      </c>
      <c r="M3144" s="1" t="s">
        <v>18</v>
      </c>
      <c r="N3144" s="1" t="s">
        <v>18</v>
      </c>
      <c r="O3144" s="1">
        <v>3</v>
      </c>
      <c r="P3144" s="1">
        <v>5</v>
      </c>
      <c r="R3144" s="1" t="s">
        <v>19</v>
      </c>
      <c r="S3144" s="1" t="s">
        <v>20</v>
      </c>
      <c r="T3144" s="1" t="s">
        <v>21</v>
      </c>
      <c r="U3144" s="1" t="s">
        <v>22</v>
      </c>
      <c r="V3144" s="1" t="s">
        <v>24</v>
      </c>
      <c r="W3144" s="1" t="s">
        <v>24</v>
      </c>
      <c r="X3144" s="1">
        <v>1311</v>
      </c>
      <c r="Y3144" s="1">
        <v>1312</v>
      </c>
      <c r="Z3144" s="1">
        <v>1313</v>
      </c>
      <c r="AA3144" s="1">
        <v>2716</v>
      </c>
      <c r="AB3144" s="1">
        <v>3002</v>
      </c>
      <c r="AC3144" s="1" t="s">
        <v>24</v>
      </c>
      <c r="AD3144" s="1" t="s">
        <v>24</v>
      </c>
      <c r="AE3144" s="1" t="s">
        <v>24</v>
      </c>
      <c r="AF3144" s="22"/>
    </row>
    <row r="3145" spans="1:32" x14ac:dyDescent="0.2">
      <c r="A3145" s="1">
        <v>25148</v>
      </c>
      <c r="B3145" s="1" t="s">
        <v>9796</v>
      </c>
      <c r="C3145" s="5" t="s">
        <v>0</v>
      </c>
      <c r="D3145" s="1" t="s">
        <v>9797</v>
      </c>
      <c r="E3145" s="1" t="s">
        <v>9798</v>
      </c>
      <c r="F3145" s="1" t="s">
        <v>517</v>
      </c>
      <c r="G3145" s="1" t="s">
        <v>36</v>
      </c>
      <c r="H3145" s="1" t="s">
        <v>30</v>
      </c>
      <c r="I3145" s="1" t="s">
        <v>16</v>
      </c>
      <c r="J3145" s="1">
        <v>4</v>
      </c>
      <c r="K3145" s="1">
        <v>4</v>
      </c>
      <c r="L3145" s="1" t="s">
        <v>31</v>
      </c>
      <c r="M3145" s="1" t="s">
        <v>18</v>
      </c>
      <c r="N3145" s="1" t="s">
        <v>18</v>
      </c>
      <c r="O3145" s="1">
        <v>3</v>
      </c>
      <c r="P3145" s="1">
        <v>6</v>
      </c>
      <c r="R3145" s="1" t="s">
        <v>62</v>
      </c>
      <c r="S3145" s="1" t="s">
        <v>20</v>
      </c>
      <c r="T3145" s="1" t="s">
        <v>21</v>
      </c>
      <c r="U3145" s="1" t="s">
        <v>22</v>
      </c>
      <c r="V3145" s="1" t="s">
        <v>23</v>
      </c>
      <c r="W3145" s="1" t="s">
        <v>24</v>
      </c>
      <c r="X3145" s="1">
        <v>2204</v>
      </c>
      <c r="Y3145" s="1">
        <v>2502</v>
      </c>
      <c r="Z3145" s="1">
        <v>2503</v>
      </c>
      <c r="AA3145" s="1">
        <v>2506</v>
      </c>
      <c r="AB3145" s="1" t="s">
        <v>24</v>
      </c>
      <c r="AC3145" s="1" t="s">
        <v>24</v>
      </c>
      <c r="AD3145" s="1" t="s">
        <v>24</v>
      </c>
      <c r="AE3145" s="1" t="s">
        <v>24</v>
      </c>
      <c r="AF3145" s="22"/>
    </row>
    <row r="3146" spans="1:32" x14ac:dyDescent="0.2">
      <c r="A3146" s="1">
        <v>25149</v>
      </c>
      <c r="B3146" s="1" t="s">
        <v>9799</v>
      </c>
      <c r="C3146" s="5" t="s">
        <v>0</v>
      </c>
      <c r="D3146" s="1" t="s">
        <v>9800</v>
      </c>
      <c r="E3146" s="1" t="s">
        <v>9801</v>
      </c>
      <c r="F3146" s="1" t="s">
        <v>517</v>
      </c>
      <c r="G3146" s="1" t="s">
        <v>36</v>
      </c>
      <c r="H3146" s="1" t="s">
        <v>30</v>
      </c>
      <c r="I3146" s="1" t="s">
        <v>16</v>
      </c>
      <c r="J3146" s="1">
        <v>4</v>
      </c>
      <c r="K3146" s="1">
        <v>2</v>
      </c>
      <c r="L3146" s="1" t="s">
        <v>31</v>
      </c>
      <c r="M3146" s="1" t="s">
        <v>18</v>
      </c>
      <c r="N3146" s="1" t="s">
        <v>18</v>
      </c>
      <c r="O3146" s="1">
        <v>3</v>
      </c>
      <c r="P3146" s="1">
        <v>6</v>
      </c>
      <c r="R3146" s="1" t="s">
        <v>19</v>
      </c>
      <c r="S3146" s="1" t="s">
        <v>20</v>
      </c>
      <c r="T3146" s="1" t="s">
        <v>21</v>
      </c>
      <c r="U3146" s="1" t="s">
        <v>22</v>
      </c>
      <c r="V3146" s="1" t="s">
        <v>23</v>
      </c>
      <c r="W3146" s="1" t="s">
        <v>24</v>
      </c>
      <c r="X3146" s="1">
        <v>2204</v>
      </c>
      <c r="Y3146" s="1">
        <v>2502</v>
      </c>
      <c r="Z3146" s="1" t="s">
        <v>24</v>
      </c>
      <c r="AA3146" s="1" t="s">
        <v>24</v>
      </c>
      <c r="AB3146" s="1" t="s">
        <v>24</v>
      </c>
      <c r="AC3146" s="1" t="s">
        <v>24</v>
      </c>
      <c r="AD3146" s="1" t="s">
        <v>24</v>
      </c>
      <c r="AE3146" s="1" t="s">
        <v>24</v>
      </c>
      <c r="AF3146" s="22"/>
    </row>
    <row r="3147" spans="1:32" x14ac:dyDescent="0.2">
      <c r="A3147" s="1">
        <v>25152</v>
      </c>
      <c r="B3147" s="1" t="s">
        <v>9802</v>
      </c>
      <c r="C3147" s="5" t="s">
        <v>0</v>
      </c>
      <c r="D3147" s="1" t="s">
        <v>9803</v>
      </c>
      <c r="E3147" s="1" t="s">
        <v>9804</v>
      </c>
      <c r="F3147" s="1" t="s">
        <v>155</v>
      </c>
      <c r="G3147" s="1" t="s">
        <v>61</v>
      </c>
      <c r="H3147" s="1" t="s">
        <v>37</v>
      </c>
      <c r="I3147" s="1" t="s">
        <v>16</v>
      </c>
      <c r="J3147" s="1">
        <v>1</v>
      </c>
      <c r="K3147" s="1">
        <v>12</v>
      </c>
      <c r="L3147" s="1" t="s">
        <v>31</v>
      </c>
      <c r="M3147" s="1" t="s">
        <v>4418</v>
      </c>
      <c r="N3147" s="1" t="s">
        <v>18</v>
      </c>
      <c r="O3147" s="1">
        <v>3</v>
      </c>
      <c r="P3147" s="1">
        <v>5</v>
      </c>
      <c r="R3147" s="1" t="s">
        <v>19</v>
      </c>
      <c r="S3147" s="1" t="s">
        <v>20</v>
      </c>
      <c r="T3147" s="1" t="s">
        <v>21</v>
      </c>
      <c r="U3147" s="1" t="s">
        <v>22</v>
      </c>
      <c r="V3147" s="1" t="s">
        <v>24</v>
      </c>
      <c r="W3147" s="1" t="s">
        <v>24</v>
      </c>
      <c r="X3147" s="1">
        <v>2700</v>
      </c>
      <c r="Y3147" s="1" t="s">
        <v>24</v>
      </c>
      <c r="Z3147" s="1" t="s">
        <v>24</v>
      </c>
      <c r="AA3147" s="1" t="s">
        <v>24</v>
      </c>
      <c r="AB3147" s="1" t="s">
        <v>24</v>
      </c>
      <c r="AC3147" s="1" t="s">
        <v>24</v>
      </c>
      <c r="AD3147" s="1" t="s">
        <v>24</v>
      </c>
      <c r="AE3147" s="1" t="s">
        <v>24</v>
      </c>
      <c r="AF3147" s="22"/>
    </row>
    <row r="3148" spans="1:32" x14ac:dyDescent="0.2">
      <c r="A3148" s="1">
        <v>25163</v>
      </c>
      <c r="B3148" s="1" t="s">
        <v>9805</v>
      </c>
      <c r="C3148" s="5" t="s">
        <v>0</v>
      </c>
      <c r="D3148" s="1" t="s">
        <v>9806</v>
      </c>
      <c r="E3148" s="1" t="s">
        <v>9807</v>
      </c>
      <c r="F3148" s="1" t="s">
        <v>28</v>
      </c>
      <c r="G3148" s="1" t="s">
        <v>29</v>
      </c>
      <c r="H3148" s="1" t="s">
        <v>30</v>
      </c>
      <c r="I3148" s="1" t="s">
        <v>16</v>
      </c>
      <c r="J3148" s="1">
        <v>1</v>
      </c>
      <c r="K3148" s="1">
        <v>4</v>
      </c>
      <c r="L3148" s="1" t="s">
        <v>31</v>
      </c>
      <c r="M3148" s="1" t="s">
        <v>18</v>
      </c>
      <c r="N3148" s="1" t="s">
        <v>18</v>
      </c>
      <c r="O3148" s="1">
        <v>3</v>
      </c>
      <c r="P3148" s="1">
        <v>7</v>
      </c>
      <c r="Q3148" s="7" t="s">
        <v>17633</v>
      </c>
      <c r="R3148" s="1" t="s">
        <v>19</v>
      </c>
      <c r="S3148" s="1" t="s">
        <v>20</v>
      </c>
      <c r="T3148" s="1" t="s">
        <v>21</v>
      </c>
      <c r="U3148" s="1" t="s">
        <v>22</v>
      </c>
      <c r="V3148" s="1" t="s">
        <v>24</v>
      </c>
      <c r="W3148" s="1" t="s">
        <v>24</v>
      </c>
      <c r="X3148" s="1">
        <v>3206</v>
      </c>
      <c r="Y3148" s="1">
        <v>2738</v>
      </c>
      <c r="Z3148" s="1">
        <v>2805</v>
      </c>
      <c r="AA3148" s="1" t="s">
        <v>24</v>
      </c>
      <c r="AB3148" s="1" t="s">
        <v>24</v>
      </c>
      <c r="AC3148" s="1" t="s">
        <v>24</v>
      </c>
      <c r="AD3148" s="1" t="s">
        <v>24</v>
      </c>
      <c r="AE3148" s="1" t="s">
        <v>24</v>
      </c>
      <c r="AF3148" s="22"/>
    </row>
    <row r="3149" spans="1:32" x14ac:dyDescent="0.2">
      <c r="A3149" s="1">
        <v>25164</v>
      </c>
      <c r="B3149" s="1" t="s">
        <v>9808</v>
      </c>
      <c r="C3149" s="5" t="s">
        <v>0</v>
      </c>
      <c r="D3149" s="1" t="s">
        <v>9809</v>
      </c>
      <c r="E3149" s="1" t="s">
        <v>9810</v>
      </c>
      <c r="F3149" s="1" t="s">
        <v>35</v>
      </c>
      <c r="G3149" s="1" t="s">
        <v>36</v>
      </c>
      <c r="H3149" s="1" t="s">
        <v>37</v>
      </c>
      <c r="I3149" s="1" t="s">
        <v>16</v>
      </c>
      <c r="J3149" s="1">
        <v>1</v>
      </c>
      <c r="K3149" s="1">
        <v>10</v>
      </c>
      <c r="L3149" s="1" t="s">
        <v>31</v>
      </c>
      <c r="M3149" s="1" t="s">
        <v>18</v>
      </c>
      <c r="N3149" s="1" t="s">
        <v>18</v>
      </c>
      <c r="O3149" s="1">
        <v>3</v>
      </c>
      <c r="P3149" s="1">
        <v>6</v>
      </c>
      <c r="R3149" s="1" t="s">
        <v>19</v>
      </c>
      <c r="S3149" s="1" t="s">
        <v>20</v>
      </c>
      <c r="T3149" s="1" t="s">
        <v>21</v>
      </c>
      <c r="U3149" s="1" t="s">
        <v>22</v>
      </c>
      <c r="V3149" s="1" t="s">
        <v>24</v>
      </c>
      <c r="W3149" s="1" t="s">
        <v>24</v>
      </c>
      <c r="X3149" s="1">
        <v>2721</v>
      </c>
      <c r="Y3149" s="1" t="s">
        <v>24</v>
      </c>
      <c r="Z3149" s="1" t="s">
        <v>24</v>
      </c>
      <c r="AA3149" s="1" t="s">
        <v>24</v>
      </c>
      <c r="AB3149" s="1" t="s">
        <v>24</v>
      </c>
      <c r="AC3149" s="1" t="s">
        <v>24</v>
      </c>
      <c r="AD3149" s="1" t="s">
        <v>24</v>
      </c>
      <c r="AE3149" s="1" t="s">
        <v>24</v>
      </c>
      <c r="AF3149" s="22"/>
    </row>
    <row r="3150" spans="1:32" x14ac:dyDescent="0.2">
      <c r="A3150" s="1">
        <v>25165</v>
      </c>
      <c r="B3150" s="1" t="s">
        <v>9811</v>
      </c>
      <c r="C3150" s="5" t="s">
        <v>0</v>
      </c>
      <c r="D3150" s="1" t="s">
        <v>9812</v>
      </c>
      <c r="F3150" s="1" t="s">
        <v>9813</v>
      </c>
      <c r="G3150" s="1" t="s">
        <v>9813</v>
      </c>
      <c r="H3150" s="1" t="s">
        <v>92</v>
      </c>
      <c r="I3150" s="1" t="s">
        <v>16</v>
      </c>
      <c r="J3150" s="1">
        <v>1</v>
      </c>
      <c r="K3150" s="1">
        <v>4</v>
      </c>
      <c r="L3150" s="1" t="s">
        <v>42</v>
      </c>
      <c r="M3150" s="1" t="s">
        <v>1646</v>
      </c>
      <c r="N3150" s="1" t="s">
        <v>4357</v>
      </c>
      <c r="O3150" s="1">
        <v>3</v>
      </c>
      <c r="P3150" s="1">
        <v>6</v>
      </c>
      <c r="R3150" s="1" t="s">
        <v>19</v>
      </c>
      <c r="S3150" s="1" t="s">
        <v>20</v>
      </c>
      <c r="T3150" s="1" t="s">
        <v>21</v>
      </c>
      <c r="U3150" s="1" t="s">
        <v>22</v>
      </c>
      <c r="V3150" s="1" t="s">
        <v>24</v>
      </c>
      <c r="W3150" s="1" t="s">
        <v>24</v>
      </c>
      <c r="X3150" s="1">
        <v>1308</v>
      </c>
      <c r="Y3150" s="1">
        <v>2704</v>
      </c>
      <c r="Z3150" s="1" t="s">
        <v>24</v>
      </c>
      <c r="AA3150" s="1" t="s">
        <v>24</v>
      </c>
      <c r="AB3150" s="1" t="s">
        <v>24</v>
      </c>
      <c r="AC3150" s="1" t="s">
        <v>24</v>
      </c>
      <c r="AD3150" s="1" t="s">
        <v>24</v>
      </c>
      <c r="AE3150" s="1" t="s">
        <v>24</v>
      </c>
      <c r="AF3150" s="22"/>
    </row>
    <row r="3151" spans="1:32" x14ac:dyDescent="0.2">
      <c r="A3151" s="1">
        <v>25166</v>
      </c>
      <c r="B3151" s="1" t="s">
        <v>9814</v>
      </c>
      <c r="C3151" s="5" t="s">
        <v>0</v>
      </c>
      <c r="D3151" s="1" t="s">
        <v>9815</v>
      </c>
      <c r="F3151" s="1" t="s">
        <v>1130</v>
      </c>
      <c r="G3151" s="1" t="s">
        <v>6289</v>
      </c>
      <c r="H3151" s="1" t="s">
        <v>135</v>
      </c>
      <c r="I3151" s="1" t="s">
        <v>16</v>
      </c>
      <c r="J3151" s="1">
        <v>1</v>
      </c>
      <c r="K3151" s="1">
        <v>6</v>
      </c>
      <c r="L3151" s="1" t="s">
        <v>31</v>
      </c>
      <c r="M3151" s="1" t="s">
        <v>1131</v>
      </c>
      <c r="N3151" s="1" t="s">
        <v>5887</v>
      </c>
      <c r="O3151" s="1">
        <v>1</v>
      </c>
      <c r="P3151" s="1">
        <v>5</v>
      </c>
      <c r="R3151" s="1" t="s">
        <v>19</v>
      </c>
      <c r="S3151" s="1" t="s">
        <v>20</v>
      </c>
      <c r="T3151" s="1" t="s">
        <v>21</v>
      </c>
      <c r="U3151" s="1" t="s">
        <v>22</v>
      </c>
      <c r="V3151" s="1" t="s">
        <v>23</v>
      </c>
      <c r="W3151" s="1" t="s">
        <v>24</v>
      </c>
      <c r="X3151" s="1">
        <v>2703</v>
      </c>
      <c r="Y3151" s="1">
        <v>2706</v>
      </c>
      <c r="Z3151" s="1" t="s">
        <v>24</v>
      </c>
      <c r="AA3151" s="1" t="s">
        <v>24</v>
      </c>
      <c r="AB3151" s="1" t="s">
        <v>24</v>
      </c>
      <c r="AC3151" s="1" t="s">
        <v>24</v>
      </c>
      <c r="AD3151" s="1" t="s">
        <v>24</v>
      </c>
      <c r="AE3151" s="1" t="s">
        <v>24</v>
      </c>
      <c r="AF3151" s="22"/>
    </row>
    <row r="3152" spans="1:32" x14ac:dyDescent="0.2">
      <c r="A3152" s="1">
        <v>25167</v>
      </c>
      <c r="B3152" s="1" t="s">
        <v>9816</v>
      </c>
      <c r="C3152" s="5" t="s">
        <v>0</v>
      </c>
      <c r="D3152" s="1" t="s">
        <v>9817</v>
      </c>
      <c r="F3152" s="1" t="s">
        <v>303</v>
      </c>
      <c r="G3152" s="1" t="s">
        <v>61</v>
      </c>
      <c r="H3152" s="1" t="s">
        <v>30</v>
      </c>
      <c r="I3152" s="1" t="s">
        <v>16</v>
      </c>
      <c r="J3152" s="1">
        <v>1</v>
      </c>
      <c r="K3152" s="1">
        <v>12</v>
      </c>
      <c r="L3152" s="1" t="s">
        <v>31</v>
      </c>
      <c r="M3152" s="1" t="s">
        <v>18</v>
      </c>
      <c r="N3152" s="1" t="s">
        <v>18</v>
      </c>
      <c r="O3152" s="1">
        <v>0</v>
      </c>
      <c r="P3152" s="1">
        <v>6</v>
      </c>
      <c r="R3152" s="1" t="s">
        <v>19</v>
      </c>
      <c r="S3152" s="1" t="s">
        <v>20</v>
      </c>
      <c r="T3152" s="1" t="s">
        <v>21</v>
      </c>
      <c r="U3152" s="1" t="s">
        <v>22</v>
      </c>
      <c r="V3152" s="1" t="s">
        <v>24</v>
      </c>
      <c r="W3152" s="1" t="s">
        <v>24</v>
      </c>
      <c r="X3152" s="1">
        <v>2715</v>
      </c>
      <c r="Y3152" s="1">
        <v>2721</v>
      </c>
      <c r="Z3152" s="1" t="s">
        <v>24</v>
      </c>
      <c r="AA3152" s="1" t="s">
        <v>24</v>
      </c>
      <c r="AB3152" s="1" t="s">
        <v>24</v>
      </c>
      <c r="AC3152" s="1" t="s">
        <v>24</v>
      </c>
      <c r="AD3152" s="1" t="s">
        <v>24</v>
      </c>
      <c r="AE3152" s="1" t="s">
        <v>24</v>
      </c>
      <c r="AF3152" s="22" t="s">
        <v>17679</v>
      </c>
    </row>
    <row r="3153" spans="1:32" x14ac:dyDescent="0.2">
      <c r="A3153" s="1">
        <v>25175</v>
      </c>
      <c r="B3153" s="1" t="s">
        <v>9818</v>
      </c>
      <c r="C3153" s="5" t="s">
        <v>0</v>
      </c>
      <c r="D3153" s="1" t="s">
        <v>9819</v>
      </c>
      <c r="F3153" s="1" t="s">
        <v>9820</v>
      </c>
      <c r="G3153" s="1" t="s">
        <v>9820</v>
      </c>
      <c r="H3153" s="1" t="s">
        <v>461</v>
      </c>
      <c r="I3153" s="1" t="s">
        <v>16</v>
      </c>
      <c r="J3153" s="1">
        <v>1</v>
      </c>
      <c r="K3153" s="1">
        <v>1</v>
      </c>
      <c r="L3153" s="1" t="s">
        <v>42</v>
      </c>
      <c r="M3153" s="1" t="s">
        <v>18</v>
      </c>
      <c r="N3153" s="1" t="s">
        <v>18</v>
      </c>
      <c r="O3153" s="1">
        <v>2</v>
      </c>
      <c r="P3153" s="1">
        <v>4</v>
      </c>
      <c r="R3153" s="1" t="s">
        <v>19</v>
      </c>
      <c r="S3153" s="1" t="s">
        <v>63</v>
      </c>
      <c r="T3153" s="1" t="s">
        <v>21</v>
      </c>
      <c r="U3153" s="1" t="s">
        <v>22</v>
      </c>
      <c r="V3153" s="1" t="s">
        <v>24</v>
      </c>
      <c r="W3153" s="1" t="s">
        <v>24</v>
      </c>
      <c r="X3153" s="1">
        <v>1300</v>
      </c>
      <c r="Y3153" s="1">
        <v>2700</v>
      </c>
      <c r="Z3153" s="1" t="s">
        <v>24</v>
      </c>
      <c r="AA3153" s="1" t="s">
        <v>24</v>
      </c>
      <c r="AB3153" s="1" t="s">
        <v>24</v>
      </c>
      <c r="AC3153" s="1" t="s">
        <v>24</v>
      </c>
      <c r="AD3153" s="1" t="s">
        <v>24</v>
      </c>
      <c r="AE3153" s="1" t="s">
        <v>24</v>
      </c>
      <c r="AF3153" s="22"/>
    </row>
    <row r="3154" spans="1:32" x14ac:dyDescent="0.2">
      <c r="A3154" s="1">
        <v>25192</v>
      </c>
      <c r="B3154" s="1" t="s">
        <v>9821</v>
      </c>
      <c r="C3154" s="5" t="s">
        <v>0</v>
      </c>
      <c r="D3154" s="1" t="s">
        <v>9822</v>
      </c>
      <c r="E3154" s="1" t="s">
        <v>9823</v>
      </c>
      <c r="F3154" s="1" t="s">
        <v>320</v>
      </c>
      <c r="G3154" s="1" t="s">
        <v>36</v>
      </c>
      <c r="H3154" s="1" t="s">
        <v>30</v>
      </c>
      <c r="I3154" s="1" t="s">
        <v>16</v>
      </c>
      <c r="J3154" s="1">
        <v>1</v>
      </c>
      <c r="K3154" s="1">
        <v>12</v>
      </c>
      <c r="L3154" s="1" t="s">
        <v>31</v>
      </c>
      <c r="M3154" s="1" t="s">
        <v>18</v>
      </c>
      <c r="N3154" s="1" t="s">
        <v>18</v>
      </c>
      <c r="O3154" s="1">
        <v>3</v>
      </c>
      <c r="P3154" s="1">
        <v>7</v>
      </c>
      <c r="Q3154" s="7" t="s">
        <v>17633</v>
      </c>
      <c r="R3154" s="1" t="s">
        <v>19</v>
      </c>
      <c r="S3154" s="1" t="s">
        <v>20</v>
      </c>
      <c r="T3154" s="1" t="s">
        <v>21</v>
      </c>
      <c r="U3154" s="1" t="s">
        <v>22</v>
      </c>
      <c r="V3154" s="1" t="s">
        <v>24</v>
      </c>
      <c r="W3154" s="1" t="s">
        <v>24</v>
      </c>
      <c r="X3154" s="1">
        <v>1309</v>
      </c>
      <c r="Y3154" s="1">
        <v>2735</v>
      </c>
      <c r="Z3154" s="1">
        <v>2710</v>
      </c>
      <c r="AA3154" s="1" t="s">
        <v>24</v>
      </c>
      <c r="AB3154" s="1" t="s">
        <v>24</v>
      </c>
      <c r="AC3154" s="1" t="s">
        <v>24</v>
      </c>
      <c r="AD3154" s="1" t="s">
        <v>24</v>
      </c>
      <c r="AE3154" s="1" t="s">
        <v>24</v>
      </c>
      <c r="AF3154" s="22"/>
    </row>
    <row r="3155" spans="1:32" x14ac:dyDescent="0.2">
      <c r="A3155" s="1">
        <v>25193</v>
      </c>
      <c r="B3155" s="1" t="s">
        <v>9824</v>
      </c>
      <c r="C3155" s="5" t="s">
        <v>0</v>
      </c>
      <c r="D3155" s="1" t="s">
        <v>9825</v>
      </c>
      <c r="E3155" s="1" t="s">
        <v>9826</v>
      </c>
      <c r="F3155" s="1" t="s">
        <v>320</v>
      </c>
      <c r="G3155" s="1" t="s">
        <v>36</v>
      </c>
      <c r="H3155" s="1" t="s">
        <v>30</v>
      </c>
      <c r="I3155" s="1" t="s">
        <v>16</v>
      </c>
      <c r="J3155" s="1">
        <v>1</v>
      </c>
      <c r="K3155" s="1">
        <v>6</v>
      </c>
      <c r="L3155" s="1" t="s">
        <v>31</v>
      </c>
      <c r="M3155" s="1" t="s">
        <v>18</v>
      </c>
      <c r="N3155" s="1" t="s">
        <v>18</v>
      </c>
      <c r="O3155" s="1">
        <v>3</v>
      </c>
      <c r="P3155" s="1">
        <v>7</v>
      </c>
      <c r="Q3155" s="7" t="s">
        <v>17633</v>
      </c>
      <c r="R3155" s="1" t="s">
        <v>19</v>
      </c>
      <c r="S3155" s="1" t="s">
        <v>20</v>
      </c>
      <c r="T3155" s="1" t="s">
        <v>21</v>
      </c>
      <c r="U3155" s="1" t="s">
        <v>22</v>
      </c>
      <c r="V3155" s="1" t="s">
        <v>24</v>
      </c>
      <c r="W3155" s="1" t="s">
        <v>24</v>
      </c>
      <c r="X3155" s="1">
        <v>1309</v>
      </c>
      <c r="Y3155" s="1">
        <v>2710</v>
      </c>
      <c r="Z3155" s="1">
        <v>3005</v>
      </c>
      <c r="AA3155" s="1">
        <v>2307</v>
      </c>
      <c r="AB3155" s="1" t="s">
        <v>24</v>
      </c>
      <c r="AC3155" s="1" t="s">
        <v>24</v>
      </c>
      <c r="AD3155" s="1" t="s">
        <v>24</v>
      </c>
      <c r="AE3155" s="1" t="s">
        <v>24</v>
      </c>
      <c r="AF3155" s="22"/>
    </row>
    <row r="3156" spans="1:32" x14ac:dyDescent="0.2">
      <c r="A3156" s="1">
        <v>25194</v>
      </c>
      <c r="B3156" s="1" t="s">
        <v>9827</v>
      </c>
      <c r="C3156" s="5" t="s">
        <v>0</v>
      </c>
      <c r="D3156" s="1" t="s">
        <v>9828</v>
      </c>
      <c r="E3156" s="1" t="s">
        <v>9829</v>
      </c>
      <c r="F3156" s="1" t="s">
        <v>320</v>
      </c>
      <c r="G3156" s="1" t="s">
        <v>36</v>
      </c>
      <c r="H3156" s="1" t="s">
        <v>30</v>
      </c>
      <c r="I3156" s="1" t="s">
        <v>16</v>
      </c>
      <c r="J3156" s="1">
        <v>1</v>
      </c>
      <c r="K3156" s="1">
        <v>4</v>
      </c>
      <c r="L3156" s="1" t="s">
        <v>31</v>
      </c>
      <c r="M3156" s="1" t="s">
        <v>18</v>
      </c>
      <c r="N3156" s="1" t="s">
        <v>18</v>
      </c>
      <c r="O3156" s="1">
        <v>3</v>
      </c>
      <c r="P3156" s="1">
        <v>7</v>
      </c>
      <c r="Q3156" s="7" t="s">
        <v>17633</v>
      </c>
      <c r="R3156" s="1" t="s">
        <v>19</v>
      </c>
      <c r="S3156" s="1" t="s">
        <v>20</v>
      </c>
      <c r="T3156" s="1" t="s">
        <v>21</v>
      </c>
      <c r="U3156" s="1" t="s">
        <v>22</v>
      </c>
      <c r="V3156" s="1" t="s">
        <v>24</v>
      </c>
      <c r="W3156" s="1" t="s">
        <v>24</v>
      </c>
      <c r="X3156" s="1">
        <v>2710</v>
      </c>
      <c r="Y3156" s="1">
        <v>1309</v>
      </c>
      <c r="Z3156" s="1" t="s">
        <v>24</v>
      </c>
      <c r="AA3156" s="1" t="s">
        <v>24</v>
      </c>
      <c r="AB3156" s="1" t="s">
        <v>24</v>
      </c>
      <c r="AC3156" s="1" t="s">
        <v>24</v>
      </c>
      <c r="AD3156" s="1" t="s">
        <v>24</v>
      </c>
      <c r="AE3156" s="1" t="s">
        <v>24</v>
      </c>
      <c r="AF3156" s="22"/>
    </row>
    <row r="3157" spans="1:32" x14ac:dyDescent="0.2">
      <c r="A3157" s="1">
        <v>25195</v>
      </c>
      <c r="B3157" s="1" t="s">
        <v>9830</v>
      </c>
      <c r="C3157" s="5" t="s">
        <v>0</v>
      </c>
      <c r="D3157" s="1" t="s">
        <v>9831</v>
      </c>
      <c r="F3157" s="1" t="s">
        <v>7610</v>
      </c>
      <c r="G3157" s="1" t="s">
        <v>7611</v>
      </c>
      <c r="H3157" s="1" t="s">
        <v>2772</v>
      </c>
      <c r="I3157" s="1" t="s">
        <v>16</v>
      </c>
      <c r="J3157" s="1">
        <v>1</v>
      </c>
      <c r="K3157" s="1">
        <v>4</v>
      </c>
      <c r="L3157" s="1" t="s">
        <v>17</v>
      </c>
      <c r="M3157" s="1" t="s">
        <v>6208</v>
      </c>
      <c r="N3157" s="1" t="s">
        <v>4976</v>
      </c>
      <c r="O3157" s="1">
        <v>3</v>
      </c>
      <c r="P3157" s="1">
        <v>5</v>
      </c>
      <c r="R3157" s="1" t="s">
        <v>19</v>
      </c>
      <c r="S3157" s="1" t="s">
        <v>20</v>
      </c>
      <c r="T3157" s="1" t="s">
        <v>21</v>
      </c>
      <c r="U3157" s="1" t="s">
        <v>22</v>
      </c>
      <c r="V3157" s="1" t="s">
        <v>24</v>
      </c>
      <c r="W3157" s="1" t="s">
        <v>24</v>
      </c>
      <c r="X3157" s="1">
        <v>1305</v>
      </c>
      <c r="Y3157" s="1">
        <v>2402</v>
      </c>
      <c r="Z3157" s="1">
        <v>2404</v>
      </c>
      <c r="AA3157" s="1" t="s">
        <v>24</v>
      </c>
      <c r="AB3157" s="1" t="s">
        <v>24</v>
      </c>
      <c r="AC3157" s="1" t="s">
        <v>24</v>
      </c>
      <c r="AD3157" s="1" t="s">
        <v>24</v>
      </c>
      <c r="AE3157" s="1" t="s">
        <v>24</v>
      </c>
      <c r="AF3157" s="22"/>
    </row>
    <row r="3158" spans="1:32" x14ac:dyDescent="0.2">
      <c r="A3158" s="1">
        <v>25196</v>
      </c>
      <c r="B3158" s="1" t="s">
        <v>9832</v>
      </c>
      <c r="C3158" s="5" t="s">
        <v>0</v>
      </c>
      <c r="D3158" s="1" t="s">
        <v>9833</v>
      </c>
      <c r="F3158" s="1" t="s">
        <v>9834</v>
      </c>
      <c r="G3158" s="1" t="s">
        <v>9834</v>
      </c>
      <c r="H3158" s="1" t="s">
        <v>1384</v>
      </c>
      <c r="I3158" s="1" t="s">
        <v>16</v>
      </c>
      <c r="J3158" s="1">
        <v>1</v>
      </c>
      <c r="K3158" s="1">
        <v>3</v>
      </c>
      <c r="L3158" s="1" t="s">
        <v>17</v>
      </c>
      <c r="M3158" s="1" t="s">
        <v>1385</v>
      </c>
      <c r="N3158" s="1" t="s">
        <v>9409</v>
      </c>
      <c r="O3158" s="1">
        <v>2</v>
      </c>
      <c r="P3158" s="1">
        <v>5</v>
      </c>
      <c r="R3158" s="1" t="s">
        <v>19</v>
      </c>
      <c r="S3158" s="1" t="s">
        <v>20</v>
      </c>
      <c r="T3158" s="1" t="s">
        <v>21</v>
      </c>
      <c r="U3158" s="1" t="s">
        <v>22</v>
      </c>
      <c r="V3158" s="1" t="s">
        <v>24</v>
      </c>
      <c r="W3158" s="1" t="s">
        <v>24</v>
      </c>
      <c r="X3158" s="1">
        <v>2705</v>
      </c>
      <c r="Y3158" s="1">
        <v>2728</v>
      </c>
      <c r="Z3158" s="1" t="s">
        <v>24</v>
      </c>
      <c r="AA3158" s="1" t="s">
        <v>24</v>
      </c>
      <c r="AB3158" s="1" t="s">
        <v>24</v>
      </c>
      <c r="AC3158" s="1" t="s">
        <v>24</v>
      </c>
      <c r="AD3158" s="1" t="s">
        <v>24</v>
      </c>
      <c r="AE3158" s="1" t="s">
        <v>24</v>
      </c>
      <c r="AF3158" s="22"/>
    </row>
    <row r="3159" spans="1:32" x14ac:dyDescent="0.2">
      <c r="A3159" s="1">
        <v>25197</v>
      </c>
      <c r="B3159" s="1" t="s">
        <v>9835</v>
      </c>
      <c r="C3159" s="5" t="s">
        <v>0</v>
      </c>
      <c r="D3159" s="1" t="s">
        <v>9836</v>
      </c>
      <c r="E3159" s="1" t="s">
        <v>9837</v>
      </c>
      <c r="F3159" s="1" t="s">
        <v>4337</v>
      </c>
      <c r="G3159" s="1" t="s">
        <v>4338</v>
      </c>
      <c r="H3159" s="1" t="s">
        <v>30</v>
      </c>
      <c r="I3159" s="1" t="s">
        <v>16</v>
      </c>
      <c r="J3159" s="1">
        <v>1</v>
      </c>
      <c r="K3159" s="1">
        <v>10</v>
      </c>
      <c r="L3159" s="1" t="s">
        <v>31</v>
      </c>
      <c r="M3159" s="1" t="s">
        <v>18</v>
      </c>
      <c r="N3159" s="1" t="s">
        <v>18</v>
      </c>
      <c r="O3159" s="1">
        <v>3</v>
      </c>
      <c r="P3159" s="1">
        <v>6</v>
      </c>
      <c r="R3159" s="1" t="s">
        <v>19</v>
      </c>
      <c r="S3159" s="1" t="s">
        <v>20</v>
      </c>
      <c r="T3159" s="1" t="s">
        <v>21</v>
      </c>
      <c r="U3159" s="1" t="s">
        <v>22</v>
      </c>
      <c r="V3159" s="1" t="s">
        <v>24</v>
      </c>
      <c r="W3159" s="1" t="s">
        <v>64</v>
      </c>
      <c r="X3159" s="1">
        <v>3002</v>
      </c>
      <c r="Y3159" s="1">
        <v>1313</v>
      </c>
      <c r="Z3159" s="1" t="s">
        <v>24</v>
      </c>
      <c r="AA3159" s="1" t="s">
        <v>24</v>
      </c>
      <c r="AB3159" s="1" t="s">
        <v>24</v>
      </c>
      <c r="AC3159" s="1" t="s">
        <v>24</v>
      </c>
      <c r="AD3159" s="1" t="s">
        <v>24</v>
      </c>
      <c r="AE3159" s="1" t="s">
        <v>24</v>
      </c>
      <c r="AF3159" s="22"/>
    </row>
    <row r="3160" spans="1:32" x14ac:dyDescent="0.2">
      <c r="A3160" s="1">
        <v>25200</v>
      </c>
      <c r="B3160" s="1" t="s">
        <v>9838</v>
      </c>
      <c r="C3160" s="5" t="s">
        <v>0</v>
      </c>
      <c r="D3160" s="1" t="s">
        <v>9839</v>
      </c>
      <c r="E3160" s="1" t="s">
        <v>9840</v>
      </c>
      <c r="F3160" s="1" t="s">
        <v>320</v>
      </c>
      <c r="G3160" s="1" t="s">
        <v>36</v>
      </c>
      <c r="H3160" s="1" t="s">
        <v>30</v>
      </c>
      <c r="I3160" s="1" t="s">
        <v>16</v>
      </c>
      <c r="J3160" s="1">
        <v>6</v>
      </c>
      <c r="K3160" s="1">
        <v>1</v>
      </c>
      <c r="L3160" s="1" t="s">
        <v>31</v>
      </c>
      <c r="M3160" s="1" t="s">
        <v>18</v>
      </c>
      <c r="N3160" s="1" t="s">
        <v>18</v>
      </c>
      <c r="O3160" s="1">
        <v>3</v>
      </c>
      <c r="P3160" s="1">
        <v>7</v>
      </c>
      <c r="Q3160" s="7" t="s">
        <v>17633</v>
      </c>
      <c r="R3160" s="1" t="s">
        <v>19</v>
      </c>
      <c r="S3160" s="1" t="s">
        <v>20</v>
      </c>
      <c r="T3160" s="1" t="s">
        <v>21</v>
      </c>
      <c r="U3160" s="1" t="s">
        <v>22</v>
      </c>
      <c r="V3160" s="1" t="s">
        <v>24</v>
      </c>
      <c r="W3160" s="1" t="s">
        <v>24</v>
      </c>
      <c r="X3160" s="1">
        <v>1307</v>
      </c>
      <c r="Y3160" s="1">
        <v>2722</v>
      </c>
      <c r="Z3160" s="1">
        <v>2734</v>
      </c>
      <c r="AA3160" s="1" t="s">
        <v>24</v>
      </c>
      <c r="AB3160" s="1" t="s">
        <v>24</v>
      </c>
      <c r="AC3160" s="1" t="s">
        <v>24</v>
      </c>
      <c r="AD3160" s="1" t="s">
        <v>24</v>
      </c>
      <c r="AE3160" s="1" t="s">
        <v>24</v>
      </c>
      <c r="AF3160" s="22"/>
    </row>
    <row r="3161" spans="1:32" x14ac:dyDescent="0.2">
      <c r="A3161" s="1">
        <v>25212</v>
      </c>
      <c r="B3161" s="1" t="s">
        <v>9841</v>
      </c>
      <c r="C3161" s="5" t="s">
        <v>0</v>
      </c>
      <c r="D3161" s="1" t="s">
        <v>9842</v>
      </c>
      <c r="E3161" s="1" t="s">
        <v>9843</v>
      </c>
      <c r="F3161" s="1" t="s">
        <v>4337</v>
      </c>
      <c r="G3161" s="1" t="s">
        <v>4338</v>
      </c>
      <c r="H3161" s="1" t="s">
        <v>30</v>
      </c>
      <c r="I3161" s="1" t="s">
        <v>16</v>
      </c>
      <c r="J3161" s="1">
        <v>1</v>
      </c>
      <c r="K3161" s="1">
        <v>4</v>
      </c>
      <c r="L3161" s="1" t="s">
        <v>31</v>
      </c>
      <c r="M3161" s="1" t="s">
        <v>18</v>
      </c>
      <c r="N3161" s="1" t="s">
        <v>18</v>
      </c>
      <c r="O3161" s="1">
        <v>3</v>
      </c>
      <c r="P3161" s="1">
        <v>7</v>
      </c>
      <c r="Q3161" s="7" t="s">
        <v>17633</v>
      </c>
      <c r="R3161" s="1" t="s">
        <v>19</v>
      </c>
      <c r="S3161" s="1" t="s">
        <v>20</v>
      </c>
      <c r="T3161" s="1" t="s">
        <v>21</v>
      </c>
      <c r="U3161" s="1" t="s">
        <v>22</v>
      </c>
      <c r="V3161" s="1" t="s">
        <v>24</v>
      </c>
      <c r="W3161" s="1" t="s">
        <v>24</v>
      </c>
      <c r="X3161" s="1">
        <v>2705</v>
      </c>
      <c r="Y3161" s="1" t="s">
        <v>24</v>
      </c>
      <c r="Z3161" s="1" t="s">
        <v>24</v>
      </c>
      <c r="AA3161" s="1" t="s">
        <v>24</v>
      </c>
      <c r="AB3161" s="1" t="s">
        <v>24</v>
      </c>
      <c r="AC3161" s="1" t="s">
        <v>24</v>
      </c>
      <c r="AD3161" s="1" t="s">
        <v>24</v>
      </c>
      <c r="AE3161" s="1" t="s">
        <v>24</v>
      </c>
      <c r="AF3161" s="22"/>
    </row>
    <row r="3162" spans="1:32" x14ac:dyDescent="0.2">
      <c r="A3162" s="1">
        <v>25218</v>
      </c>
      <c r="B3162" s="1" t="s">
        <v>9844</v>
      </c>
      <c r="C3162" s="5" t="s">
        <v>0</v>
      </c>
      <c r="D3162" s="1" t="s">
        <v>9845</v>
      </c>
      <c r="E3162" s="1" t="s">
        <v>9846</v>
      </c>
      <c r="F3162" s="1" t="s">
        <v>1808</v>
      </c>
      <c r="G3162" s="1" t="s">
        <v>130</v>
      </c>
      <c r="H3162" s="1" t="s">
        <v>461</v>
      </c>
      <c r="I3162" s="1" t="s">
        <v>16</v>
      </c>
      <c r="J3162" s="1">
        <v>1</v>
      </c>
      <c r="K3162" s="1">
        <v>4</v>
      </c>
      <c r="L3162" s="1" t="s">
        <v>31</v>
      </c>
      <c r="M3162" s="1" t="s">
        <v>18</v>
      </c>
      <c r="N3162" s="1" t="s">
        <v>18</v>
      </c>
      <c r="O3162" s="1">
        <v>3</v>
      </c>
      <c r="P3162" s="1">
        <v>7</v>
      </c>
      <c r="Q3162" s="7" t="s">
        <v>17633</v>
      </c>
      <c r="R3162" s="1" t="s">
        <v>19</v>
      </c>
      <c r="S3162" s="1" t="s">
        <v>20</v>
      </c>
      <c r="T3162" s="1" t="s">
        <v>21</v>
      </c>
      <c r="U3162" s="1" t="s">
        <v>22</v>
      </c>
      <c r="V3162" s="1" t="s">
        <v>24</v>
      </c>
      <c r="W3162" s="1" t="s">
        <v>24</v>
      </c>
      <c r="X3162" s="1">
        <v>2743</v>
      </c>
      <c r="Y3162" s="1">
        <v>1307</v>
      </c>
      <c r="Z3162" s="1" t="s">
        <v>24</v>
      </c>
      <c r="AA3162" s="1" t="s">
        <v>24</v>
      </c>
      <c r="AB3162" s="1" t="s">
        <v>24</v>
      </c>
      <c r="AC3162" s="1" t="s">
        <v>24</v>
      </c>
      <c r="AD3162" s="1" t="s">
        <v>24</v>
      </c>
      <c r="AE3162" s="1" t="s">
        <v>24</v>
      </c>
      <c r="AF3162" s="22"/>
    </row>
    <row r="3163" spans="1:32" x14ac:dyDescent="0.2">
      <c r="A3163" s="1">
        <v>25220</v>
      </c>
      <c r="B3163" s="1" t="s">
        <v>9847</v>
      </c>
      <c r="C3163" s="5" t="s">
        <v>0</v>
      </c>
      <c r="D3163" s="1" t="s">
        <v>9848</v>
      </c>
      <c r="E3163" s="1" t="s">
        <v>9849</v>
      </c>
      <c r="F3163" s="1" t="s">
        <v>689</v>
      </c>
      <c r="G3163" s="1" t="s">
        <v>311</v>
      </c>
      <c r="H3163" s="1" t="s">
        <v>37</v>
      </c>
      <c r="I3163" s="1" t="s">
        <v>16</v>
      </c>
      <c r="J3163" s="1">
        <v>1</v>
      </c>
      <c r="K3163" s="1">
        <v>4</v>
      </c>
      <c r="L3163" s="1" t="s">
        <v>31</v>
      </c>
      <c r="M3163" s="1" t="s">
        <v>18</v>
      </c>
      <c r="N3163" s="1" t="s">
        <v>18</v>
      </c>
      <c r="O3163" s="1">
        <v>3</v>
      </c>
      <c r="P3163" s="1">
        <v>6</v>
      </c>
      <c r="R3163" s="1" t="s">
        <v>19</v>
      </c>
      <c r="S3163" s="1" t="s">
        <v>20</v>
      </c>
      <c r="T3163" s="1" t="s">
        <v>21</v>
      </c>
      <c r="U3163" s="1" t="s">
        <v>22</v>
      </c>
      <c r="V3163" s="1" t="s">
        <v>23</v>
      </c>
      <c r="W3163" s="1" t="s">
        <v>24</v>
      </c>
      <c r="X3163" s="1">
        <v>2725</v>
      </c>
      <c r="Y3163" s="1">
        <v>2739</v>
      </c>
      <c r="Z3163" s="1">
        <v>2406</v>
      </c>
      <c r="AA3163" s="1" t="s">
        <v>24</v>
      </c>
      <c r="AB3163" s="1" t="s">
        <v>24</v>
      </c>
      <c r="AC3163" s="1" t="s">
        <v>24</v>
      </c>
      <c r="AD3163" s="1" t="s">
        <v>24</v>
      </c>
      <c r="AE3163" s="1" t="s">
        <v>24</v>
      </c>
      <c r="AF3163" s="22"/>
    </row>
    <row r="3164" spans="1:32" x14ac:dyDescent="0.2">
      <c r="A3164" s="1">
        <v>25221</v>
      </c>
      <c r="B3164" s="1" t="s">
        <v>9850</v>
      </c>
      <c r="C3164" s="5" t="s">
        <v>0</v>
      </c>
      <c r="D3164" s="1" t="s">
        <v>9851</v>
      </c>
      <c r="E3164" s="1" t="s">
        <v>9852</v>
      </c>
      <c r="F3164" s="1" t="s">
        <v>91</v>
      </c>
      <c r="G3164" s="1" t="s">
        <v>61</v>
      </c>
      <c r="H3164" s="1" t="s">
        <v>92</v>
      </c>
      <c r="I3164" s="1" t="s">
        <v>112</v>
      </c>
      <c r="J3164" s="1">
        <v>1</v>
      </c>
      <c r="K3164" s="1">
        <v>1</v>
      </c>
      <c r="L3164" s="1" t="s">
        <v>31</v>
      </c>
      <c r="M3164" s="1" t="s">
        <v>18</v>
      </c>
      <c r="N3164" s="1" t="s">
        <v>18</v>
      </c>
      <c r="O3164" s="1">
        <v>3</v>
      </c>
      <c r="P3164" s="1">
        <v>6</v>
      </c>
      <c r="R3164" s="1" t="s">
        <v>19</v>
      </c>
      <c r="S3164" s="1" t="s">
        <v>20</v>
      </c>
      <c r="T3164" s="1" t="s">
        <v>21</v>
      </c>
      <c r="U3164" s="1" t="s">
        <v>22</v>
      </c>
      <c r="V3164" s="1" t="s">
        <v>24</v>
      </c>
      <c r="W3164" s="1" t="s">
        <v>24</v>
      </c>
      <c r="X3164" s="1">
        <v>1305</v>
      </c>
      <c r="Y3164" s="1">
        <v>2402</v>
      </c>
      <c r="Z3164" s="1">
        <v>1313</v>
      </c>
      <c r="AA3164" s="1">
        <v>2739</v>
      </c>
      <c r="AB3164" s="1" t="s">
        <v>24</v>
      </c>
      <c r="AC3164" s="1" t="s">
        <v>24</v>
      </c>
      <c r="AD3164" s="1" t="s">
        <v>24</v>
      </c>
      <c r="AE3164" s="1" t="s">
        <v>24</v>
      </c>
      <c r="AF3164" s="22"/>
    </row>
    <row r="3165" spans="1:32" x14ac:dyDescent="0.2">
      <c r="A3165" s="1">
        <v>25222</v>
      </c>
      <c r="B3165" s="1" t="s">
        <v>9853</v>
      </c>
      <c r="C3165" s="5" t="s">
        <v>0</v>
      </c>
      <c r="D3165" s="1" t="s">
        <v>9854</v>
      </c>
      <c r="E3165" s="1" t="s">
        <v>9855</v>
      </c>
      <c r="F3165" s="1" t="s">
        <v>970</v>
      </c>
      <c r="G3165" s="1" t="s">
        <v>36</v>
      </c>
      <c r="H3165" s="1" t="s">
        <v>30</v>
      </c>
      <c r="I3165" s="1" t="s">
        <v>16</v>
      </c>
      <c r="J3165" s="1">
        <v>1</v>
      </c>
      <c r="K3165" s="1">
        <v>4</v>
      </c>
      <c r="L3165" s="1" t="s">
        <v>31</v>
      </c>
      <c r="M3165" s="1" t="s">
        <v>18</v>
      </c>
      <c r="N3165" s="1" t="s">
        <v>18</v>
      </c>
      <c r="O3165" s="1">
        <v>3</v>
      </c>
      <c r="P3165" s="1">
        <v>6</v>
      </c>
      <c r="R3165" s="1" t="s">
        <v>19</v>
      </c>
      <c r="S3165" s="1" t="s">
        <v>20</v>
      </c>
      <c r="T3165" s="1" t="s">
        <v>21</v>
      </c>
      <c r="U3165" s="1" t="s">
        <v>22</v>
      </c>
      <c r="V3165" s="1" t="s">
        <v>23</v>
      </c>
      <c r="W3165" s="1" t="s">
        <v>24</v>
      </c>
      <c r="X3165" s="1">
        <v>2707</v>
      </c>
      <c r="Y3165" s="1" t="s">
        <v>24</v>
      </c>
      <c r="Z3165" s="1" t="s">
        <v>24</v>
      </c>
      <c r="AA3165" s="1" t="s">
        <v>24</v>
      </c>
      <c r="AB3165" s="1" t="s">
        <v>24</v>
      </c>
      <c r="AC3165" s="1" t="s">
        <v>24</v>
      </c>
      <c r="AD3165" s="1" t="s">
        <v>24</v>
      </c>
      <c r="AE3165" s="1" t="s">
        <v>24</v>
      </c>
      <c r="AF3165" s="22"/>
    </row>
    <row r="3166" spans="1:32" x14ac:dyDescent="0.2">
      <c r="A3166" s="1">
        <v>25224</v>
      </c>
      <c r="B3166" s="1" t="s">
        <v>9856</v>
      </c>
      <c r="C3166" s="5" t="s">
        <v>0</v>
      </c>
      <c r="D3166" s="1" t="s">
        <v>9857</v>
      </c>
      <c r="F3166" s="1" t="s">
        <v>9858</v>
      </c>
      <c r="G3166" s="1" t="s">
        <v>6983</v>
      </c>
      <c r="H3166" s="1" t="s">
        <v>249</v>
      </c>
      <c r="I3166" s="1" t="s">
        <v>16</v>
      </c>
      <c r="J3166" s="1">
        <v>1</v>
      </c>
      <c r="K3166" s="1">
        <v>4</v>
      </c>
      <c r="L3166" s="1" t="s">
        <v>42</v>
      </c>
      <c r="M3166" s="1" t="s">
        <v>3290</v>
      </c>
      <c r="N3166" s="1" t="s">
        <v>3290</v>
      </c>
      <c r="O3166" s="1">
        <v>3</v>
      </c>
      <c r="P3166" s="1">
        <v>6</v>
      </c>
      <c r="R3166" s="1" t="s">
        <v>19</v>
      </c>
      <c r="S3166" s="1" t="s">
        <v>20</v>
      </c>
      <c r="T3166" s="1" t="s">
        <v>21</v>
      </c>
      <c r="U3166" s="1" t="s">
        <v>22</v>
      </c>
      <c r="V3166" s="1" t="s">
        <v>23</v>
      </c>
      <c r="W3166" s="1" t="s">
        <v>24</v>
      </c>
      <c r="X3166" s="1">
        <v>2741</v>
      </c>
      <c r="Y3166" s="1" t="s">
        <v>24</v>
      </c>
      <c r="Z3166" s="1" t="s">
        <v>24</v>
      </c>
      <c r="AA3166" s="1" t="s">
        <v>24</v>
      </c>
      <c r="AB3166" s="1" t="s">
        <v>24</v>
      </c>
      <c r="AC3166" s="1" t="s">
        <v>24</v>
      </c>
      <c r="AD3166" s="1" t="s">
        <v>24</v>
      </c>
      <c r="AE3166" s="1" t="s">
        <v>24</v>
      </c>
      <c r="AF3166" s="22"/>
    </row>
    <row r="3167" spans="1:32" x14ac:dyDescent="0.2">
      <c r="A3167" s="1">
        <v>25234</v>
      </c>
      <c r="B3167" s="1" t="s">
        <v>9859</v>
      </c>
      <c r="C3167" s="5" t="s">
        <v>0</v>
      </c>
      <c r="D3167" s="1" t="s">
        <v>9860</v>
      </c>
      <c r="E3167" s="1" t="s">
        <v>9861</v>
      </c>
      <c r="F3167" s="1" t="s">
        <v>1801</v>
      </c>
      <c r="G3167" s="1" t="s">
        <v>130</v>
      </c>
      <c r="H3167" s="1" t="s">
        <v>168</v>
      </c>
      <c r="I3167" s="1" t="s">
        <v>16</v>
      </c>
      <c r="J3167" s="1">
        <v>1</v>
      </c>
      <c r="K3167" s="1">
        <v>6</v>
      </c>
      <c r="L3167" s="1" t="s">
        <v>31</v>
      </c>
      <c r="M3167" s="1" t="s">
        <v>242</v>
      </c>
      <c r="N3167" s="1" t="s">
        <v>18</v>
      </c>
      <c r="O3167" s="1">
        <v>3</v>
      </c>
      <c r="P3167" s="1">
        <v>7</v>
      </c>
      <c r="Q3167" s="7" t="s">
        <v>17633</v>
      </c>
      <c r="R3167" s="1" t="s">
        <v>19</v>
      </c>
      <c r="S3167" s="1" t="s">
        <v>20</v>
      </c>
      <c r="T3167" s="1" t="s">
        <v>21</v>
      </c>
      <c r="U3167" s="1" t="s">
        <v>22</v>
      </c>
      <c r="V3167" s="1" t="s">
        <v>23</v>
      </c>
      <c r="W3167" s="1" t="s">
        <v>24</v>
      </c>
      <c r="X3167" s="1">
        <v>2746</v>
      </c>
      <c r="Y3167" s="1">
        <v>2732</v>
      </c>
      <c r="Z3167" s="1" t="s">
        <v>24</v>
      </c>
      <c r="AA3167" s="1" t="s">
        <v>24</v>
      </c>
      <c r="AB3167" s="1" t="s">
        <v>24</v>
      </c>
      <c r="AC3167" s="1" t="s">
        <v>24</v>
      </c>
      <c r="AD3167" s="1" t="s">
        <v>24</v>
      </c>
      <c r="AE3167" s="1" t="s">
        <v>24</v>
      </c>
      <c r="AF3167" s="22"/>
    </row>
    <row r="3168" spans="1:32" x14ac:dyDescent="0.2">
      <c r="A3168" s="1">
        <v>25236</v>
      </c>
      <c r="B3168" s="1" t="s">
        <v>9862</v>
      </c>
      <c r="C3168" s="5" t="s">
        <v>0</v>
      </c>
      <c r="D3168" s="1" t="s">
        <v>9863</v>
      </c>
      <c r="F3168" s="1" t="s">
        <v>9864</v>
      </c>
      <c r="G3168" s="1" t="s">
        <v>9864</v>
      </c>
      <c r="H3168" s="1" t="s">
        <v>899</v>
      </c>
      <c r="I3168" s="1" t="s">
        <v>16</v>
      </c>
      <c r="J3168" s="1">
        <v>1</v>
      </c>
      <c r="K3168" s="1">
        <v>1</v>
      </c>
      <c r="L3168" s="1" t="s">
        <v>17</v>
      </c>
      <c r="M3168" s="1" t="s">
        <v>18</v>
      </c>
      <c r="N3168" s="1" t="s">
        <v>18</v>
      </c>
      <c r="O3168" s="1">
        <v>3</v>
      </c>
      <c r="P3168" s="1">
        <v>5</v>
      </c>
      <c r="R3168" s="1" t="s">
        <v>19</v>
      </c>
      <c r="S3168" s="1" t="s">
        <v>20</v>
      </c>
      <c r="T3168" s="1" t="s">
        <v>21</v>
      </c>
      <c r="U3168" s="1" t="s">
        <v>22</v>
      </c>
      <c r="V3168" s="1" t="s">
        <v>24</v>
      </c>
      <c r="W3168" s="1" t="s">
        <v>24</v>
      </c>
      <c r="X3168" s="1">
        <v>2707</v>
      </c>
      <c r="Y3168" s="1">
        <v>3004</v>
      </c>
      <c r="Z3168" s="1" t="s">
        <v>24</v>
      </c>
      <c r="AA3168" s="1" t="s">
        <v>24</v>
      </c>
      <c r="AB3168" s="1" t="s">
        <v>24</v>
      </c>
      <c r="AC3168" s="1" t="s">
        <v>24</v>
      </c>
      <c r="AD3168" s="1" t="s">
        <v>24</v>
      </c>
      <c r="AE3168" s="1" t="s">
        <v>24</v>
      </c>
      <c r="AF3168" s="22"/>
    </row>
    <row r="3169" spans="1:32" x14ac:dyDescent="0.2">
      <c r="A3169" s="1">
        <v>25237</v>
      </c>
      <c r="B3169" s="1" t="s">
        <v>9865</v>
      </c>
      <c r="C3169" s="5" t="s">
        <v>0</v>
      </c>
      <c r="D3169" s="1" t="s">
        <v>9866</v>
      </c>
      <c r="F3169" s="1" t="s">
        <v>4643</v>
      </c>
      <c r="G3169" s="1" t="s">
        <v>4644</v>
      </c>
      <c r="H3169" s="1" t="s">
        <v>684</v>
      </c>
      <c r="I3169" s="1" t="s">
        <v>16</v>
      </c>
      <c r="J3169" s="1">
        <v>1</v>
      </c>
      <c r="K3169" s="1">
        <v>3</v>
      </c>
      <c r="L3169" s="1" t="s">
        <v>17</v>
      </c>
      <c r="M3169" s="1" t="s">
        <v>18</v>
      </c>
      <c r="N3169" s="1" t="s">
        <v>18</v>
      </c>
      <c r="O3169" s="1">
        <v>3</v>
      </c>
      <c r="P3169" s="1">
        <v>5</v>
      </c>
      <c r="R3169" s="1" t="s">
        <v>19</v>
      </c>
      <c r="S3169" s="1" t="s">
        <v>20</v>
      </c>
      <c r="T3169" s="1" t="s">
        <v>21</v>
      </c>
      <c r="U3169" s="1" t="s">
        <v>22</v>
      </c>
      <c r="V3169" s="1" t="s">
        <v>24</v>
      </c>
      <c r="W3169" s="1" t="s">
        <v>24</v>
      </c>
      <c r="X3169" s="1">
        <v>2403</v>
      </c>
      <c r="Y3169" s="1">
        <v>2723</v>
      </c>
      <c r="Z3169" s="1" t="s">
        <v>24</v>
      </c>
      <c r="AA3169" s="1" t="s">
        <v>24</v>
      </c>
      <c r="AB3169" s="1" t="s">
        <v>24</v>
      </c>
      <c r="AC3169" s="1" t="s">
        <v>24</v>
      </c>
      <c r="AD3169" s="1" t="s">
        <v>24</v>
      </c>
      <c r="AE3169" s="1" t="s">
        <v>24</v>
      </c>
      <c r="AF3169" s="22"/>
    </row>
    <row r="3170" spans="1:32" x14ac:dyDescent="0.2">
      <c r="A3170" s="1">
        <v>25239</v>
      </c>
      <c r="B3170" s="1" t="s">
        <v>9867</v>
      </c>
      <c r="C3170" s="5" t="s">
        <v>0</v>
      </c>
      <c r="D3170" s="1" t="s">
        <v>9868</v>
      </c>
      <c r="E3170" s="1" t="s">
        <v>9869</v>
      </c>
      <c r="F3170" s="1" t="s">
        <v>2154</v>
      </c>
      <c r="G3170" s="1" t="s">
        <v>2155</v>
      </c>
      <c r="H3170" s="1" t="s">
        <v>30</v>
      </c>
      <c r="I3170" s="1" t="s">
        <v>16</v>
      </c>
      <c r="J3170" s="1">
        <v>1</v>
      </c>
      <c r="K3170" s="1">
        <v>12</v>
      </c>
      <c r="L3170" s="1" t="s">
        <v>42</v>
      </c>
      <c r="M3170" s="1" t="s">
        <v>18</v>
      </c>
      <c r="N3170" s="1" t="s">
        <v>18</v>
      </c>
      <c r="O3170" s="1">
        <v>3</v>
      </c>
      <c r="P3170" s="1">
        <v>7</v>
      </c>
      <c r="Q3170" s="7" t="s">
        <v>17633</v>
      </c>
      <c r="R3170" s="1" t="s">
        <v>62</v>
      </c>
      <c r="S3170" s="1" t="s">
        <v>20</v>
      </c>
      <c r="T3170" s="1" t="s">
        <v>21</v>
      </c>
      <c r="U3170" s="1" t="s">
        <v>22</v>
      </c>
      <c r="V3170" s="1" t="s">
        <v>24</v>
      </c>
      <c r="W3170" s="1" t="s">
        <v>24</v>
      </c>
      <c r="X3170" s="1">
        <v>1303</v>
      </c>
      <c r="Y3170" s="1">
        <v>1312</v>
      </c>
      <c r="Z3170" s="1">
        <v>1602</v>
      </c>
      <c r="AA3170" s="1" t="s">
        <v>24</v>
      </c>
      <c r="AB3170" s="1" t="s">
        <v>24</v>
      </c>
      <c r="AC3170" s="1" t="s">
        <v>24</v>
      </c>
      <c r="AD3170" s="1" t="s">
        <v>24</v>
      </c>
      <c r="AE3170" s="1" t="s">
        <v>24</v>
      </c>
      <c r="AF3170" s="22"/>
    </row>
    <row r="3171" spans="1:32" x14ac:dyDescent="0.2">
      <c r="A3171" s="1">
        <v>25247</v>
      </c>
      <c r="B3171" s="1" t="s">
        <v>9870</v>
      </c>
      <c r="C3171" s="5" t="s">
        <v>0</v>
      </c>
      <c r="D3171" s="1" t="s">
        <v>9871</v>
      </c>
      <c r="E3171" s="1" t="s">
        <v>9872</v>
      </c>
      <c r="F3171" s="1" t="s">
        <v>9873</v>
      </c>
      <c r="G3171" s="1" t="s">
        <v>9873</v>
      </c>
      <c r="H3171" s="1" t="s">
        <v>37</v>
      </c>
      <c r="I3171" s="1" t="s">
        <v>16</v>
      </c>
      <c r="J3171" s="1">
        <v>1</v>
      </c>
      <c r="K3171" s="1">
        <v>4</v>
      </c>
      <c r="L3171" s="1" t="s">
        <v>42</v>
      </c>
      <c r="M3171" s="1" t="s">
        <v>18</v>
      </c>
      <c r="N3171" s="1" t="s">
        <v>18</v>
      </c>
      <c r="O3171" s="1">
        <v>3</v>
      </c>
      <c r="P3171" s="1">
        <v>6</v>
      </c>
      <c r="R3171" s="1" t="s">
        <v>19</v>
      </c>
      <c r="S3171" s="1" t="s">
        <v>20</v>
      </c>
      <c r="T3171" s="1" t="s">
        <v>21</v>
      </c>
      <c r="U3171" s="1" t="s">
        <v>22</v>
      </c>
      <c r="V3171" s="1" t="s">
        <v>24</v>
      </c>
      <c r="W3171" s="1" t="s">
        <v>24</v>
      </c>
      <c r="X3171" s="1">
        <v>1305</v>
      </c>
      <c r="Y3171" s="1">
        <v>1405</v>
      </c>
      <c r="Z3171" s="1">
        <v>2002</v>
      </c>
      <c r="AA3171" s="1" t="s">
        <v>24</v>
      </c>
      <c r="AB3171" s="1" t="s">
        <v>24</v>
      </c>
      <c r="AC3171" s="1" t="s">
        <v>24</v>
      </c>
      <c r="AD3171" s="1" t="s">
        <v>24</v>
      </c>
      <c r="AE3171" s="1" t="s">
        <v>24</v>
      </c>
      <c r="AF3171" s="22"/>
    </row>
    <row r="3172" spans="1:32" x14ac:dyDescent="0.2">
      <c r="A3172" s="1">
        <v>25259</v>
      </c>
      <c r="B3172" s="1" t="s">
        <v>9874</v>
      </c>
      <c r="C3172" s="5" t="s">
        <v>0</v>
      </c>
      <c r="D3172" s="1" t="s">
        <v>9875</v>
      </c>
      <c r="E3172" s="1" t="s">
        <v>9876</v>
      </c>
      <c r="F3172" s="1" t="s">
        <v>109</v>
      </c>
      <c r="G3172" s="1" t="s">
        <v>110</v>
      </c>
      <c r="H3172" s="1" t="s">
        <v>111</v>
      </c>
      <c r="I3172" s="1" t="s">
        <v>16</v>
      </c>
      <c r="J3172" s="1">
        <v>1</v>
      </c>
      <c r="K3172" s="1">
        <v>6</v>
      </c>
      <c r="L3172" s="1" t="s">
        <v>31</v>
      </c>
      <c r="M3172" s="1" t="s">
        <v>18</v>
      </c>
      <c r="N3172" s="1" t="s">
        <v>18</v>
      </c>
      <c r="O3172" s="1">
        <v>2</v>
      </c>
      <c r="P3172" s="1">
        <v>6</v>
      </c>
      <c r="R3172" s="1" t="s">
        <v>19</v>
      </c>
      <c r="S3172" s="1" t="s">
        <v>20</v>
      </c>
      <c r="T3172" s="1" t="s">
        <v>21</v>
      </c>
      <c r="U3172" s="1" t="s">
        <v>22</v>
      </c>
      <c r="V3172" s="1" t="s">
        <v>24</v>
      </c>
      <c r="W3172" s="1" t="s">
        <v>24</v>
      </c>
      <c r="X3172" s="1">
        <v>2720</v>
      </c>
      <c r="Y3172" s="1">
        <v>2723</v>
      </c>
      <c r="Z3172" s="1" t="s">
        <v>24</v>
      </c>
      <c r="AA3172" s="1" t="s">
        <v>24</v>
      </c>
      <c r="AB3172" s="1" t="s">
        <v>24</v>
      </c>
      <c r="AC3172" s="1" t="s">
        <v>24</v>
      </c>
      <c r="AD3172" s="1" t="s">
        <v>24</v>
      </c>
      <c r="AE3172" s="1" t="s">
        <v>24</v>
      </c>
      <c r="AF3172" s="22"/>
    </row>
    <row r="3173" spans="1:32" x14ac:dyDescent="0.2">
      <c r="A3173" s="1">
        <v>25261</v>
      </c>
      <c r="B3173" s="1" t="s">
        <v>9877</v>
      </c>
      <c r="C3173" s="5" t="s">
        <v>0</v>
      </c>
      <c r="D3173" s="1" t="s">
        <v>9878</v>
      </c>
      <c r="F3173" s="1" t="s">
        <v>9879</v>
      </c>
      <c r="G3173" s="1" t="s">
        <v>9879</v>
      </c>
      <c r="H3173" s="1" t="s">
        <v>30</v>
      </c>
      <c r="I3173" s="1" t="s">
        <v>16</v>
      </c>
      <c r="J3173" s="1">
        <v>1</v>
      </c>
      <c r="K3173" s="1">
        <v>4</v>
      </c>
      <c r="L3173" s="1" t="s">
        <v>17</v>
      </c>
      <c r="M3173" s="1" t="s">
        <v>18</v>
      </c>
      <c r="N3173" s="1" t="s">
        <v>18</v>
      </c>
      <c r="O3173" s="1">
        <v>3</v>
      </c>
      <c r="P3173" s="1">
        <v>6</v>
      </c>
      <c r="R3173" s="1" t="s">
        <v>19</v>
      </c>
      <c r="S3173" s="1" t="s">
        <v>20</v>
      </c>
      <c r="T3173" s="1" t="s">
        <v>21</v>
      </c>
      <c r="U3173" s="1" t="s">
        <v>22</v>
      </c>
      <c r="V3173" s="1" t="s">
        <v>23</v>
      </c>
      <c r="W3173" s="1" t="s">
        <v>24</v>
      </c>
      <c r="X3173" s="1">
        <v>2701</v>
      </c>
      <c r="Y3173" s="1">
        <v>2916</v>
      </c>
      <c r="Z3173" s="1" t="s">
        <v>24</v>
      </c>
      <c r="AA3173" s="1" t="s">
        <v>24</v>
      </c>
      <c r="AB3173" s="1" t="s">
        <v>24</v>
      </c>
      <c r="AC3173" s="1" t="s">
        <v>24</v>
      </c>
      <c r="AD3173" s="1" t="s">
        <v>24</v>
      </c>
      <c r="AE3173" s="1" t="s">
        <v>24</v>
      </c>
      <c r="AF3173" s="22"/>
    </row>
    <row r="3174" spans="1:32" x14ac:dyDescent="0.2">
      <c r="A3174" s="1">
        <v>25265</v>
      </c>
      <c r="B3174" s="1" t="s">
        <v>9880</v>
      </c>
      <c r="C3174" s="5" t="s">
        <v>0</v>
      </c>
      <c r="D3174" s="1" t="s">
        <v>9881</v>
      </c>
      <c r="E3174" s="1" t="s">
        <v>9882</v>
      </c>
      <c r="F3174" s="1" t="s">
        <v>1224</v>
      </c>
      <c r="G3174" s="1" t="s">
        <v>1224</v>
      </c>
      <c r="H3174" s="1" t="s">
        <v>30</v>
      </c>
      <c r="I3174" s="1" t="s">
        <v>16</v>
      </c>
      <c r="J3174" s="1">
        <v>1</v>
      </c>
      <c r="K3174" s="1">
        <v>12</v>
      </c>
      <c r="L3174" s="1" t="s">
        <v>42</v>
      </c>
      <c r="M3174" s="1" t="s">
        <v>18</v>
      </c>
      <c r="N3174" s="1" t="s">
        <v>18</v>
      </c>
      <c r="O3174" s="1">
        <v>3</v>
      </c>
      <c r="P3174" s="1">
        <v>7</v>
      </c>
      <c r="Q3174" s="7" t="s">
        <v>17633</v>
      </c>
      <c r="R3174" s="1" t="s">
        <v>62</v>
      </c>
      <c r="S3174" s="1" t="s">
        <v>20</v>
      </c>
      <c r="T3174" s="1" t="s">
        <v>21</v>
      </c>
      <c r="U3174" s="1" t="s">
        <v>22</v>
      </c>
      <c r="V3174" s="1" t="s">
        <v>24</v>
      </c>
      <c r="W3174" s="1" t="s">
        <v>64</v>
      </c>
      <c r="X3174" s="1">
        <v>2730</v>
      </c>
      <c r="Y3174" s="1">
        <v>1306</v>
      </c>
      <c r="Z3174" s="1" t="s">
        <v>24</v>
      </c>
      <c r="AA3174" s="1" t="s">
        <v>24</v>
      </c>
      <c r="AB3174" s="1" t="s">
        <v>24</v>
      </c>
      <c r="AC3174" s="1" t="s">
        <v>24</v>
      </c>
      <c r="AD3174" s="1" t="s">
        <v>24</v>
      </c>
      <c r="AE3174" s="1" t="s">
        <v>24</v>
      </c>
      <c r="AF3174" s="22"/>
    </row>
    <row r="3175" spans="1:32" x14ac:dyDescent="0.2">
      <c r="A3175" s="1">
        <v>25266</v>
      </c>
      <c r="B3175" s="1" t="s">
        <v>9883</v>
      </c>
      <c r="C3175" s="5" t="s">
        <v>0</v>
      </c>
      <c r="D3175" s="1" t="s">
        <v>9884</v>
      </c>
      <c r="E3175" s="1" t="s">
        <v>9885</v>
      </c>
      <c r="F3175" s="1" t="s">
        <v>109</v>
      </c>
      <c r="G3175" s="1" t="s">
        <v>110</v>
      </c>
      <c r="H3175" s="1" t="s">
        <v>111</v>
      </c>
      <c r="I3175" s="1" t="s">
        <v>16</v>
      </c>
      <c r="J3175" s="1">
        <v>1</v>
      </c>
      <c r="K3175" s="1">
        <v>4</v>
      </c>
      <c r="L3175" s="1" t="s">
        <v>31</v>
      </c>
      <c r="M3175" s="1" t="s">
        <v>18</v>
      </c>
      <c r="N3175" s="1" t="s">
        <v>18</v>
      </c>
      <c r="O3175" s="1">
        <v>3</v>
      </c>
      <c r="P3175" s="1">
        <v>6</v>
      </c>
      <c r="R3175" s="1" t="s">
        <v>19</v>
      </c>
      <c r="S3175" s="1" t="s">
        <v>20</v>
      </c>
      <c r="T3175" s="1" t="s">
        <v>21</v>
      </c>
      <c r="U3175" s="1" t="s">
        <v>22</v>
      </c>
      <c r="V3175" s="1" t="s">
        <v>24</v>
      </c>
      <c r="W3175" s="1" t="s">
        <v>24</v>
      </c>
      <c r="X3175" s="1">
        <v>2804</v>
      </c>
      <c r="Y3175" s="1">
        <v>2808</v>
      </c>
      <c r="Z3175" s="1">
        <v>2806</v>
      </c>
      <c r="AA3175" s="1" t="s">
        <v>24</v>
      </c>
      <c r="AB3175" s="1" t="s">
        <v>24</v>
      </c>
      <c r="AC3175" s="1" t="s">
        <v>24</v>
      </c>
      <c r="AD3175" s="1" t="s">
        <v>24</v>
      </c>
      <c r="AE3175" s="1" t="s">
        <v>24</v>
      </c>
      <c r="AF3175" s="22"/>
    </row>
    <row r="3176" spans="1:32" x14ac:dyDescent="0.2">
      <c r="A3176" s="1">
        <v>25267</v>
      </c>
      <c r="B3176" s="1" t="s">
        <v>9886</v>
      </c>
      <c r="C3176" s="5" t="s">
        <v>0</v>
      </c>
      <c r="D3176" s="1" t="s">
        <v>9887</v>
      </c>
      <c r="E3176" s="1" t="s">
        <v>9888</v>
      </c>
      <c r="F3176" s="1" t="s">
        <v>35</v>
      </c>
      <c r="G3176" s="1" t="s">
        <v>36</v>
      </c>
      <c r="H3176" s="1" t="s">
        <v>37</v>
      </c>
      <c r="I3176" s="1" t="s">
        <v>16</v>
      </c>
      <c r="J3176" s="1">
        <v>1</v>
      </c>
      <c r="K3176" s="1">
        <v>12</v>
      </c>
      <c r="L3176" s="1" t="s">
        <v>31</v>
      </c>
      <c r="M3176" s="1" t="s">
        <v>18</v>
      </c>
      <c r="N3176" s="1" t="s">
        <v>18</v>
      </c>
      <c r="O3176" s="1">
        <v>3</v>
      </c>
      <c r="P3176" s="1">
        <v>7</v>
      </c>
      <c r="Q3176" s="7" t="s">
        <v>17633</v>
      </c>
      <c r="R3176" s="1" t="s">
        <v>62</v>
      </c>
      <c r="S3176" s="1" t="s">
        <v>20</v>
      </c>
      <c r="T3176" s="1" t="s">
        <v>21</v>
      </c>
      <c r="U3176" s="1" t="s">
        <v>22</v>
      </c>
      <c r="V3176" s="1" t="s">
        <v>24</v>
      </c>
      <c r="W3176" s="1" t="s">
        <v>24</v>
      </c>
      <c r="X3176" s="1">
        <v>2720</v>
      </c>
      <c r="Y3176" s="1" t="s">
        <v>24</v>
      </c>
      <c r="Z3176" s="1" t="s">
        <v>24</v>
      </c>
      <c r="AA3176" s="1" t="s">
        <v>24</v>
      </c>
      <c r="AB3176" s="1" t="s">
        <v>24</v>
      </c>
      <c r="AC3176" s="1" t="s">
        <v>24</v>
      </c>
      <c r="AD3176" s="1" t="s">
        <v>24</v>
      </c>
      <c r="AE3176" s="1" t="s">
        <v>24</v>
      </c>
      <c r="AF3176" s="22"/>
    </row>
    <row r="3177" spans="1:32" x14ac:dyDescent="0.2">
      <c r="A3177" s="1">
        <v>25270</v>
      </c>
      <c r="B3177" s="1" t="s">
        <v>9889</v>
      </c>
      <c r="C3177" s="5" t="s">
        <v>0</v>
      </c>
      <c r="D3177" s="1" t="s">
        <v>9890</v>
      </c>
      <c r="F3177" s="1" t="s">
        <v>1711</v>
      </c>
      <c r="G3177" s="1" t="s">
        <v>1711</v>
      </c>
      <c r="H3177" s="1" t="s">
        <v>684</v>
      </c>
      <c r="I3177" s="1" t="s">
        <v>16</v>
      </c>
      <c r="J3177" s="1">
        <v>1</v>
      </c>
      <c r="K3177" s="1">
        <v>4</v>
      </c>
      <c r="L3177" s="1" t="s">
        <v>42</v>
      </c>
      <c r="M3177" s="1" t="s">
        <v>18</v>
      </c>
      <c r="N3177" s="1" t="s">
        <v>18</v>
      </c>
      <c r="O3177" s="1">
        <v>3</v>
      </c>
      <c r="P3177" s="1">
        <v>7</v>
      </c>
      <c r="Q3177" s="7" t="s">
        <v>17633</v>
      </c>
      <c r="R3177" s="1" t="s">
        <v>19</v>
      </c>
      <c r="S3177" s="1" t="s">
        <v>20</v>
      </c>
      <c r="T3177" s="1" t="s">
        <v>21</v>
      </c>
      <c r="U3177" s="1" t="s">
        <v>22</v>
      </c>
      <c r="V3177" s="1" t="s">
        <v>23</v>
      </c>
      <c r="W3177" s="1" t="s">
        <v>24</v>
      </c>
      <c r="X3177" s="1">
        <v>2701</v>
      </c>
      <c r="Y3177" s="1">
        <v>2738</v>
      </c>
      <c r="Z3177" s="1" t="s">
        <v>24</v>
      </c>
      <c r="AA3177" s="1" t="s">
        <v>24</v>
      </c>
      <c r="AB3177" s="1" t="s">
        <v>24</v>
      </c>
      <c r="AC3177" s="1" t="s">
        <v>24</v>
      </c>
      <c r="AD3177" s="1" t="s">
        <v>24</v>
      </c>
      <c r="AE3177" s="1" t="s">
        <v>24</v>
      </c>
      <c r="AF3177" s="22"/>
    </row>
    <row r="3178" spans="1:32" x14ac:dyDescent="0.2">
      <c r="A3178" s="1">
        <v>25296</v>
      </c>
      <c r="B3178" s="1" t="s">
        <v>9891</v>
      </c>
      <c r="C3178" s="5" t="s">
        <v>0</v>
      </c>
      <c r="D3178" s="1" t="s">
        <v>9892</v>
      </c>
      <c r="E3178" s="1" t="s">
        <v>9893</v>
      </c>
      <c r="F3178" s="1" t="s">
        <v>28</v>
      </c>
      <c r="G3178" s="1" t="s">
        <v>29</v>
      </c>
      <c r="H3178" s="1" t="s">
        <v>30</v>
      </c>
      <c r="I3178" s="1" t="s">
        <v>16</v>
      </c>
      <c r="J3178" s="1">
        <v>1</v>
      </c>
      <c r="K3178" s="1">
        <v>6</v>
      </c>
      <c r="L3178" s="1" t="s">
        <v>31</v>
      </c>
      <c r="M3178" s="1" t="s">
        <v>18</v>
      </c>
      <c r="N3178" s="1" t="s">
        <v>18</v>
      </c>
      <c r="O3178" s="1">
        <v>3</v>
      </c>
      <c r="P3178" s="1">
        <v>7</v>
      </c>
      <c r="Q3178" s="7" t="s">
        <v>17633</v>
      </c>
      <c r="R3178" s="1" t="s">
        <v>19</v>
      </c>
      <c r="S3178" s="1" t="s">
        <v>20</v>
      </c>
      <c r="T3178" s="1" t="s">
        <v>21</v>
      </c>
      <c r="U3178" s="1" t="s">
        <v>22</v>
      </c>
      <c r="V3178" s="1" t="s">
        <v>24</v>
      </c>
      <c r="W3178" s="1" t="s">
        <v>24</v>
      </c>
      <c r="X3178" s="1">
        <v>2731</v>
      </c>
      <c r="Y3178" s="1" t="s">
        <v>24</v>
      </c>
      <c r="Z3178" s="1" t="s">
        <v>24</v>
      </c>
      <c r="AA3178" s="1" t="s">
        <v>24</v>
      </c>
      <c r="AB3178" s="1" t="s">
        <v>24</v>
      </c>
      <c r="AC3178" s="1" t="s">
        <v>24</v>
      </c>
      <c r="AD3178" s="1" t="s">
        <v>24</v>
      </c>
      <c r="AE3178" s="1" t="s">
        <v>24</v>
      </c>
      <c r="AF3178" s="22"/>
    </row>
    <row r="3179" spans="1:32" x14ac:dyDescent="0.2">
      <c r="A3179" s="1">
        <v>25317</v>
      </c>
      <c r="B3179" s="1" t="s">
        <v>9894</v>
      </c>
      <c r="C3179" s="5" t="s">
        <v>0</v>
      </c>
      <c r="D3179" s="1" t="s">
        <v>9895</v>
      </c>
      <c r="E3179" s="1" t="s">
        <v>9896</v>
      </c>
      <c r="F3179" s="1" t="s">
        <v>109</v>
      </c>
      <c r="G3179" s="1" t="s">
        <v>110</v>
      </c>
      <c r="H3179" s="1" t="s">
        <v>111</v>
      </c>
      <c r="I3179" s="1" t="s">
        <v>16</v>
      </c>
      <c r="J3179" s="1">
        <v>4</v>
      </c>
      <c r="K3179" s="1">
        <v>4</v>
      </c>
      <c r="L3179" s="1" t="s">
        <v>31</v>
      </c>
      <c r="M3179" s="1" t="s">
        <v>93</v>
      </c>
      <c r="N3179" s="1" t="s">
        <v>18</v>
      </c>
      <c r="O3179" s="1">
        <v>3</v>
      </c>
      <c r="P3179" s="1">
        <v>7</v>
      </c>
      <c r="Q3179" s="7" t="s">
        <v>17633</v>
      </c>
      <c r="R3179" s="1" t="s">
        <v>19</v>
      </c>
      <c r="S3179" s="1" t="s">
        <v>20</v>
      </c>
      <c r="T3179" s="1" t="s">
        <v>21</v>
      </c>
      <c r="U3179" s="1" t="s">
        <v>22</v>
      </c>
      <c r="V3179" s="1" t="s">
        <v>24</v>
      </c>
      <c r="W3179" s="1" t="s">
        <v>24</v>
      </c>
      <c r="X3179" s="1">
        <v>1311</v>
      </c>
      <c r="Y3179" s="1">
        <v>2716</v>
      </c>
      <c r="Z3179" s="1">
        <v>1312</v>
      </c>
      <c r="AA3179" s="1" t="s">
        <v>24</v>
      </c>
      <c r="AB3179" s="1" t="s">
        <v>24</v>
      </c>
      <c r="AC3179" s="1" t="s">
        <v>24</v>
      </c>
      <c r="AD3179" s="1" t="s">
        <v>24</v>
      </c>
      <c r="AE3179" s="1" t="s">
        <v>24</v>
      </c>
      <c r="AF3179" s="22"/>
    </row>
    <row r="3180" spans="1:32" x14ac:dyDescent="0.2">
      <c r="A3180" s="1">
        <v>25318</v>
      </c>
      <c r="B3180" s="1" t="s">
        <v>9897</v>
      </c>
      <c r="C3180" s="5" t="s">
        <v>0</v>
      </c>
      <c r="D3180" s="1" t="s">
        <v>9898</v>
      </c>
      <c r="E3180" s="1" t="s">
        <v>9899</v>
      </c>
      <c r="F3180" s="1" t="s">
        <v>9900</v>
      </c>
      <c r="G3180" s="1" t="s">
        <v>9900</v>
      </c>
      <c r="H3180" s="1" t="s">
        <v>69</v>
      </c>
      <c r="I3180" s="1" t="s">
        <v>16</v>
      </c>
      <c r="J3180" s="1">
        <v>1</v>
      </c>
      <c r="K3180" s="1">
        <v>4</v>
      </c>
      <c r="L3180" s="1" t="s">
        <v>42</v>
      </c>
      <c r="M3180" s="1" t="s">
        <v>75</v>
      </c>
      <c r="N3180" s="1" t="s">
        <v>3659</v>
      </c>
      <c r="O3180" s="1">
        <v>3</v>
      </c>
      <c r="P3180" s="1">
        <v>5</v>
      </c>
      <c r="R3180" s="1" t="s">
        <v>19</v>
      </c>
      <c r="S3180" s="1" t="s">
        <v>63</v>
      </c>
      <c r="T3180" s="1" t="s">
        <v>21</v>
      </c>
      <c r="U3180" s="1" t="s">
        <v>22</v>
      </c>
      <c r="V3180" s="1" t="s">
        <v>24</v>
      </c>
      <c r="W3180" s="1" t="s">
        <v>24</v>
      </c>
      <c r="X3180" s="1">
        <v>2705</v>
      </c>
      <c r="Y3180" s="1" t="s">
        <v>24</v>
      </c>
      <c r="Z3180" s="1" t="s">
        <v>24</v>
      </c>
      <c r="AA3180" s="1" t="s">
        <v>24</v>
      </c>
      <c r="AB3180" s="1" t="s">
        <v>24</v>
      </c>
      <c r="AC3180" s="1" t="s">
        <v>24</v>
      </c>
      <c r="AD3180" s="1" t="s">
        <v>24</v>
      </c>
      <c r="AE3180" s="1" t="s">
        <v>24</v>
      </c>
      <c r="AF3180" s="22"/>
    </row>
    <row r="3181" spans="1:32" x14ac:dyDescent="0.2">
      <c r="A3181" s="1">
        <v>25319</v>
      </c>
      <c r="B3181" s="1" t="s">
        <v>9901</v>
      </c>
      <c r="C3181" s="5" t="s">
        <v>0</v>
      </c>
      <c r="D3181" s="1" t="s">
        <v>9902</v>
      </c>
      <c r="E3181" s="1" t="s">
        <v>9903</v>
      </c>
      <c r="F3181" s="1" t="s">
        <v>920</v>
      </c>
      <c r="G3181" s="1" t="s">
        <v>921</v>
      </c>
      <c r="H3181" s="1" t="s">
        <v>92</v>
      </c>
      <c r="I3181" s="1" t="s">
        <v>16</v>
      </c>
      <c r="J3181" s="1">
        <v>1</v>
      </c>
      <c r="K3181" s="1">
        <v>4</v>
      </c>
      <c r="L3181" s="1" t="s">
        <v>31</v>
      </c>
      <c r="M3181" s="1" t="s">
        <v>18</v>
      </c>
      <c r="N3181" s="1" t="s">
        <v>18</v>
      </c>
      <c r="O3181" s="1">
        <v>0</v>
      </c>
      <c r="P3181" s="1">
        <v>6</v>
      </c>
      <c r="R3181" s="1" t="s">
        <v>19</v>
      </c>
      <c r="S3181" s="1" t="s">
        <v>20</v>
      </c>
      <c r="T3181" s="1" t="s">
        <v>21</v>
      </c>
      <c r="U3181" s="1" t="s">
        <v>22</v>
      </c>
      <c r="V3181" s="1" t="s">
        <v>24</v>
      </c>
      <c r="W3181" s="1" t="s">
        <v>24</v>
      </c>
      <c r="X3181" s="1">
        <v>2735</v>
      </c>
      <c r="Y3181" s="1" t="s">
        <v>24</v>
      </c>
      <c r="Z3181" s="1" t="s">
        <v>24</v>
      </c>
      <c r="AA3181" s="1" t="s">
        <v>24</v>
      </c>
      <c r="AB3181" s="1" t="s">
        <v>24</v>
      </c>
      <c r="AC3181" s="1" t="s">
        <v>24</v>
      </c>
      <c r="AD3181" s="1" t="s">
        <v>24</v>
      </c>
      <c r="AE3181" s="1" t="s">
        <v>24</v>
      </c>
      <c r="AF3181" s="22"/>
    </row>
    <row r="3182" spans="1:32" x14ac:dyDescent="0.2">
      <c r="A3182" s="1">
        <v>25320</v>
      </c>
      <c r="B3182" s="1" t="s">
        <v>9904</v>
      </c>
      <c r="C3182" s="5" t="s">
        <v>0</v>
      </c>
      <c r="D3182" s="1" t="s">
        <v>9905</v>
      </c>
      <c r="E3182" s="1" t="s">
        <v>9906</v>
      </c>
      <c r="F3182" s="1" t="s">
        <v>4337</v>
      </c>
      <c r="G3182" s="1" t="s">
        <v>4338</v>
      </c>
      <c r="H3182" s="1" t="s">
        <v>30</v>
      </c>
      <c r="I3182" s="1" t="s">
        <v>16</v>
      </c>
      <c r="J3182" s="1">
        <v>1</v>
      </c>
      <c r="K3182" s="1">
        <v>4</v>
      </c>
      <c r="L3182" s="1" t="s">
        <v>31</v>
      </c>
      <c r="M3182" s="1" t="s">
        <v>18</v>
      </c>
      <c r="N3182" s="1" t="s">
        <v>18</v>
      </c>
      <c r="O3182" s="1">
        <v>3</v>
      </c>
      <c r="P3182" s="1">
        <v>7</v>
      </c>
      <c r="Q3182" s="7" t="s">
        <v>17633</v>
      </c>
      <c r="R3182" s="1" t="s">
        <v>19</v>
      </c>
      <c r="S3182" s="1" t="s">
        <v>20</v>
      </c>
      <c r="T3182" s="1" t="s">
        <v>21</v>
      </c>
      <c r="U3182" s="1" t="s">
        <v>22</v>
      </c>
      <c r="V3182" s="1" t="s">
        <v>24</v>
      </c>
      <c r="W3182" s="1" t="s">
        <v>24</v>
      </c>
      <c r="X3182" s="1">
        <v>2725</v>
      </c>
      <c r="Y3182" s="1">
        <v>2404</v>
      </c>
      <c r="Z3182" s="1">
        <v>2406</v>
      </c>
      <c r="AA3182" s="1" t="s">
        <v>24</v>
      </c>
      <c r="AB3182" s="1" t="s">
        <v>24</v>
      </c>
      <c r="AC3182" s="1" t="s">
        <v>24</v>
      </c>
      <c r="AD3182" s="1" t="s">
        <v>24</v>
      </c>
      <c r="AE3182" s="1" t="s">
        <v>24</v>
      </c>
      <c r="AF3182" s="22"/>
    </row>
    <row r="3183" spans="1:32" x14ac:dyDescent="0.2">
      <c r="A3183" s="1">
        <v>25321</v>
      </c>
      <c r="B3183" s="1" t="s">
        <v>9907</v>
      </c>
      <c r="C3183" s="5" t="s">
        <v>0</v>
      </c>
      <c r="D3183" s="1" t="s">
        <v>9908</v>
      </c>
      <c r="E3183" s="1" t="s">
        <v>9909</v>
      </c>
      <c r="F3183" s="1" t="s">
        <v>4337</v>
      </c>
      <c r="G3183" s="1" t="s">
        <v>4338</v>
      </c>
      <c r="H3183" s="1" t="s">
        <v>30</v>
      </c>
      <c r="I3183" s="1" t="s">
        <v>16</v>
      </c>
      <c r="J3183" s="1">
        <v>1</v>
      </c>
      <c r="K3183" s="1">
        <v>4</v>
      </c>
      <c r="L3183" s="1" t="s">
        <v>31</v>
      </c>
      <c r="M3183" s="1" t="s">
        <v>18</v>
      </c>
      <c r="N3183" s="1" t="s">
        <v>18</v>
      </c>
      <c r="O3183" s="1">
        <v>3</v>
      </c>
      <c r="P3183" s="1">
        <v>7</v>
      </c>
      <c r="Q3183" s="7" t="s">
        <v>17633</v>
      </c>
      <c r="R3183" s="1" t="s">
        <v>19</v>
      </c>
      <c r="S3183" s="1" t="s">
        <v>20</v>
      </c>
      <c r="T3183" s="1" t="s">
        <v>21</v>
      </c>
      <c r="U3183" s="1" t="s">
        <v>22</v>
      </c>
      <c r="V3183" s="1" t="s">
        <v>23</v>
      </c>
      <c r="W3183" s="1" t="s">
        <v>24</v>
      </c>
      <c r="X3183" s="1">
        <v>2712</v>
      </c>
      <c r="Y3183" s="1">
        <v>2724</v>
      </c>
      <c r="Z3183" s="1" t="s">
        <v>24</v>
      </c>
      <c r="AA3183" s="1" t="s">
        <v>24</v>
      </c>
      <c r="AB3183" s="1" t="s">
        <v>24</v>
      </c>
      <c r="AC3183" s="1" t="s">
        <v>24</v>
      </c>
      <c r="AD3183" s="1" t="s">
        <v>24</v>
      </c>
      <c r="AE3183" s="1" t="s">
        <v>24</v>
      </c>
      <c r="AF3183" s="22"/>
    </row>
    <row r="3184" spans="1:32" x14ac:dyDescent="0.2">
      <c r="A3184" s="1">
        <v>25324</v>
      </c>
      <c r="B3184" s="1" t="s">
        <v>9910</v>
      </c>
      <c r="C3184" s="5" t="s">
        <v>0</v>
      </c>
      <c r="D3184" s="1" t="s">
        <v>9911</v>
      </c>
      <c r="E3184" s="1" t="s">
        <v>9912</v>
      </c>
      <c r="F3184" s="1" t="s">
        <v>9039</v>
      </c>
      <c r="G3184" s="1" t="s">
        <v>292</v>
      </c>
      <c r="H3184" s="1" t="s">
        <v>37</v>
      </c>
      <c r="I3184" s="1" t="s">
        <v>16</v>
      </c>
      <c r="J3184" s="1">
        <v>1</v>
      </c>
      <c r="K3184" s="1">
        <v>6</v>
      </c>
      <c r="L3184" s="1" t="s">
        <v>31</v>
      </c>
      <c r="M3184" s="1" t="s">
        <v>18</v>
      </c>
      <c r="N3184" s="1" t="s">
        <v>18</v>
      </c>
      <c r="O3184" s="1">
        <v>3</v>
      </c>
      <c r="P3184" s="1">
        <v>6</v>
      </c>
      <c r="R3184" s="1" t="s">
        <v>19</v>
      </c>
      <c r="S3184" s="1" t="s">
        <v>20</v>
      </c>
      <c r="T3184" s="1" t="s">
        <v>21</v>
      </c>
      <c r="U3184" s="1" t="s">
        <v>22</v>
      </c>
      <c r="V3184" s="1" t="s">
        <v>24</v>
      </c>
      <c r="W3184" s="1" t="s">
        <v>24</v>
      </c>
      <c r="X3184" s="1">
        <v>2725</v>
      </c>
      <c r="Y3184" s="1">
        <v>2726</v>
      </c>
      <c r="Z3184" s="1">
        <v>2404</v>
      </c>
      <c r="AA3184" s="1">
        <v>2406</v>
      </c>
      <c r="AB3184" s="1" t="s">
        <v>24</v>
      </c>
      <c r="AC3184" s="1" t="s">
        <v>24</v>
      </c>
      <c r="AD3184" s="1" t="s">
        <v>24</v>
      </c>
      <c r="AE3184" s="1" t="s">
        <v>24</v>
      </c>
      <c r="AF3184" s="22"/>
    </row>
    <row r="3185" spans="1:32" x14ac:dyDescent="0.2">
      <c r="A3185" s="1">
        <v>25325</v>
      </c>
      <c r="B3185" s="1" t="s">
        <v>9913</v>
      </c>
      <c r="C3185" s="5" t="s">
        <v>0</v>
      </c>
      <c r="D3185" s="1" t="s">
        <v>9914</v>
      </c>
      <c r="E3185" s="1" t="s">
        <v>9915</v>
      </c>
      <c r="F3185" s="1" t="s">
        <v>9039</v>
      </c>
      <c r="G3185" s="1" t="s">
        <v>292</v>
      </c>
      <c r="H3185" s="1" t="s">
        <v>37</v>
      </c>
      <c r="I3185" s="1" t="s">
        <v>16</v>
      </c>
      <c r="J3185" s="1">
        <v>1</v>
      </c>
      <c r="K3185" s="1">
        <v>12</v>
      </c>
      <c r="L3185" s="1" t="s">
        <v>31</v>
      </c>
      <c r="M3185" s="1" t="s">
        <v>18</v>
      </c>
      <c r="N3185" s="1" t="s">
        <v>18</v>
      </c>
      <c r="O3185" s="1">
        <v>3</v>
      </c>
      <c r="P3185" s="1">
        <v>6</v>
      </c>
      <c r="R3185" s="1" t="s">
        <v>19</v>
      </c>
      <c r="S3185" s="1" t="s">
        <v>20</v>
      </c>
      <c r="T3185" s="1" t="s">
        <v>21</v>
      </c>
      <c r="U3185" s="1" t="s">
        <v>22</v>
      </c>
      <c r="V3185" s="1" t="s">
        <v>23</v>
      </c>
      <c r="W3185" s="1" t="s">
        <v>24</v>
      </c>
      <c r="X3185" s="1">
        <v>2705</v>
      </c>
      <c r="Y3185" s="1">
        <v>2724</v>
      </c>
      <c r="Z3185" s="1" t="s">
        <v>24</v>
      </c>
      <c r="AA3185" s="1" t="s">
        <v>24</v>
      </c>
      <c r="AB3185" s="1" t="s">
        <v>24</v>
      </c>
      <c r="AC3185" s="1" t="s">
        <v>24</v>
      </c>
      <c r="AD3185" s="1" t="s">
        <v>24</v>
      </c>
      <c r="AE3185" s="1" t="s">
        <v>24</v>
      </c>
      <c r="AF3185" s="22"/>
    </row>
    <row r="3186" spans="1:32" x14ac:dyDescent="0.2">
      <c r="A3186" s="1">
        <v>25328</v>
      </c>
      <c r="B3186" s="1" t="s">
        <v>9916</v>
      </c>
      <c r="C3186" s="5" t="s">
        <v>0</v>
      </c>
      <c r="D3186" s="1" t="s">
        <v>9917</v>
      </c>
      <c r="E3186" s="1" t="s">
        <v>9918</v>
      </c>
      <c r="F3186" s="1" t="s">
        <v>296</v>
      </c>
      <c r="G3186" s="1" t="s">
        <v>36</v>
      </c>
      <c r="H3186" s="1" t="s">
        <v>264</v>
      </c>
      <c r="I3186" s="1" t="s">
        <v>16</v>
      </c>
      <c r="J3186" s="1">
        <v>1</v>
      </c>
      <c r="K3186" s="1">
        <v>4</v>
      </c>
      <c r="L3186" s="1" t="s">
        <v>31</v>
      </c>
      <c r="M3186" s="1" t="s">
        <v>18</v>
      </c>
      <c r="N3186" s="1" t="s">
        <v>18</v>
      </c>
      <c r="O3186" s="1">
        <v>3</v>
      </c>
      <c r="P3186" s="1">
        <v>7</v>
      </c>
      <c r="Q3186" s="7" t="s">
        <v>17633</v>
      </c>
      <c r="R3186" s="1" t="s">
        <v>19</v>
      </c>
      <c r="S3186" s="1" t="s">
        <v>20</v>
      </c>
      <c r="T3186" s="1" t="s">
        <v>21</v>
      </c>
      <c r="U3186" s="1" t="s">
        <v>22</v>
      </c>
      <c r="V3186" s="1" t="s">
        <v>23</v>
      </c>
      <c r="W3186" s="1" t="s">
        <v>24</v>
      </c>
      <c r="X3186" s="1">
        <v>2717</v>
      </c>
      <c r="Y3186" s="1">
        <v>2909</v>
      </c>
      <c r="Z3186" s="1">
        <v>3306</v>
      </c>
      <c r="AA3186" s="1" t="s">
        <v>24</v>
      </c>
      <c r="AB3186" s="1" t="s">
        <v>24</v>
      </c>
      <c r="AC3186" s="1" t="s">
        <v>24</v>
      </c>
      <c r="AD3186" s="1" t="s">
        <v>24</v>
      </c>
      <c r="AE3186" s="1" t="s">
        <v>24</v>
      </c>
      <c r="AF3186" s="22"/>
    </row>
    <row r="3187" spans="1:32" x14ac:dyDescent="0.2">
      <c r="A3187" s="1">
        <v>25331</v>
      </c>
      <c r="B3187" s="1" t="s">
        <v>9919</v>
      </c>
      <c r="C3187" s="5" t="s">
        <v>0</v>
      </c>
      <c r="D3187" s="1" t="s">
        <v>9920</v>
      </c>
      <c r="F3187" s="1" t="s">
        <v>9176</v>
      </c>
      <c r="G3187" s="1" t="s">
        <v>9176</v>
      </c>
      <c r="H3187" s="1" t="s">
        <v>37</v>
      </c>
      <c r="I3187" s="1" t="s">
        <v>16</v>
      </c>
      <c r="J3187" s="1">
        <v>1</v>
      </c>
      <c r="K3187" s="1">
        <v>4</v>
      </c>
      <c r="L3187" s="1" t="s">
        <v>42</v>
      </c>
      <c r="M3187" s="1" t="s">
        <v>18</v>
      </c>
      <c r="N3187" s="1" t="s">
        <v>18</v>
      </c>
      <c r="O3187" s="1">
        <v>2</v>
      </c>
      <c r="P3187" s="1">
        <v>5</v>
      </c>
      <c r="R3187" s="1" t="s">
        <v>19</v>
      </c>
      <c r="S3187" s="1" t="s">
        <v>20</v>
      </c>
      <c r="T3187" s="1" t="s">
        <v>21</v>
      </c>
      <c r="U3187" s="1" t="s">
        <v>22</v>
      </c>
      <c r="V3187" s="1" t="s">
        <v>24</v>
      </c>
      <c r="W3187" s="1" t="s">
        <v>24</v>
      </c>
      <c r="X3187" s="1">
        <v>3003</v>
      </c>
      <c r="Y3187" s="1" t="s">
        <v>24</v>
      </c>
      <c r="Z3187" s="1" t="s">
        <v>24</v>
      </c>
      <c r="AA3187" s="1" t="s">
        <v>24</v>
      </c>
      <c r="AB3187" s="1" t="s">
        <v>24</v>
      </c>
      <c r="AC3187" s="1" t="s">
        <v>24</v>
      </c>
      <c r="AD3187" s="1" t="s">
        <v>24</v>
      </c>
      <c r="AE3187" s="1" t="s">
        <v>24</v>
      </c>
      <c r="AF3187" s="22"/>
    </row>
    <row r="3188" spans="1:32" x14ac:dyDescent="0.2">
      <c r="A3188" s="1">
        <v>25334</v>
      </c>
      <c r="B3188" s="1" t="s">
        <v>9921</v>
      </c>
      <c r="C3188" s="5" t="s">
        <v>0</v>
      </c>
      <c r="D3188" s="1" t="s">
        <v>9922</v>
      </c>
      <c r="E3188" s="1" t="s">
        <v>9923</v>
      </c>
      <c r="F3188" s="1" t="s">
        <v>167</v>
      </c>
      <c r="G3188" s="1" t="s">
        <v>130</v>
      </c>
      <c r="H3188" s="1" t="s">
        <v>168</v>
      </c>
      <c r="I3188" s="1" t="s">
        <v>16</v>
      </c>
      <c r="J3188" s="1">
        <v>1</v>
      </c>
      <c r="K3188" s="1">
        <v>4</v>
      </c>
      <c r="L3188" s="1" t="s">
        <v>31</v>
      </c>
      <c r="M3188" s="1" t="s">
        <v>18</v>
      </c>
      <c r="N3188" s="1" t="s">
        <v>18</v>
      </c>
      <c r="O3188" s="1">
        <v>3</v>
      </c>
      <c r="P3188" s="1">
        <v>7</v>
      </c>
      <c r="Q3188" s="7" t="s">
        <v>17633</v>
      </c>
      <c r="R3188" s="1" t="s">
        <v>19</v>
      </c>
      <c r="S3188" s="1" t="s">
        <v>20</v>
      </c>
      <c r="T3188" s="1" t="s">
        <v>21</v>
      </c>
      <c r="U3188" s="1" t="s">
        <v>22</v>
      </c>
      <c r="V3188" s="1" t="s">
        <v>24</v>
      </c>
      <c r="W3188" s="1" t="s">
        <v>24</v>
      </c>
      <c r="X3188" s="1">
        <v>1305</v>
      </c>
      <c r="Y3188" s="1">
        <v>2210</v>
      </c>
      <c r="Z3188" s="1">
        <v>2611</v>
      </c>
      <c r="AA3188" s="1" t="s">
        <v>24</v>
      </c>
      <c r="AB3188" s="1" t="s">
        <v>24</v>
      </c>
      <c r="AC3188" s="1" t="s">
        <v>24</v>
      </c>
      <c r="AD3188" s="1" t="s">
        <v>24</v>
      </c>
      <c r="AE3188" s="1" t="s">
        <v>24</v>
      </c>
      <c r="AF3188" s="22"/>
    </row>
    <row r="3189" spans="1:32" x14ac:dyDescent="0.2">
      <c r="A3189" s="1">
        <v>25337</v>
      </c>
      <c r="B3189" s="1" t="s">
        <v>9924</v>
      </c>
      <c r="C3189" s="5" t="s">
        <v>0</v>
      </c>
      <c r="D3189" s="1" t="s">
        <v>9925</v>
      </c>
      <c r="F3189" s="1" t="s">
        <v>4109</v>
      </c>
      <c r="G3189" s="1" t="s">
        <v>4109</v>
      </c>
      <c r="H3189" s="1" t="s">
        <v>37</v>
      </c>
      <c r="I3189" s="1" t="s">
        <v>16</v>
      </c>
      <c r="J3189" s="1">
        <v>1</v>
      </c>
      <c r="K3189" s="1">
        <v>4</v>
      </c>
      <c r="L3189" s="1" t="s">
        <v>42</v>
      </c>
      <c r="M3189" s="1" t="s">
        <v>18</v>
      </c>
      <c r="N3189" s="1" t="s">
        <v>18</v>
      </c>
      <c r="O3189" s="1">
        <v>3</v>
      </c>
      <c r="P3189" s="1">
        <v>6</v>
      </c>
      <c r="R3189" s="1" t="s">
        <v>19</v>
      </c>
      <c r="S3189" s="1" t="s">
        <v>20</v>
      </c>
      <c r="T3189" s="1" t="s">
        <v>21</v>
      </c>
      <c r="U3189" s="1" t="s">
        <v>22</v>
      </c>
      <c r="V3189" s="1" t="s">
        <v>24</v>
      </c>
      <c r="W3189" s="1" t="s">
        <v>24</v>
      </c>
      <c r="X3189" s="1">
        <v>2312</v>
      </c>
      <c r="Y3189" s="1">
        <v>2311</v>
      </c>
      <c r="Z3189" s="1">
        <v>2725</v>
      </c>
      <c r="AA3189" s="1">
        <v>2726</v>
      </c>
      <c r="AB3189" s="1">
        <v>2739</v>
      </c>
      <c r="AC3189" s="1" t="s">
        <v>24</v>
      </c>
      <c r="AD3189" s="1" t="s">
        <v>24</v>
      </c>
      <c r="AE3189" s="1" t="s">
        <v>24</v>
      </c>
      <c r="AF3189" s="22"/>
    </row>
    <row r="3190" spans="1:32" x14ac:dyDescent="0.2">
      <c r="A3190" s="1">
        <v>25344</v>
      </c>
      <c r="B3190" s="1" t="s">
        <v>9926</v>
      </c>
      <c r="C3190" s="5" t="s">
        <v>0</v>
      </c>
      <c r="D3190" s="1" t="s">
        <v>9927</v>
      </c>
      <c r="E3190" s="1" t="s">
        <v>9928</v>
      </c>
      <c r="F3190" s="1" t="s">
        <v>8040</v>
      </c>
      <c r="G3190" s="1" t="s">
        <v>8041</v>
      </c>
      <c r="H3190" s="1" t="s">
        <v>111</v>
      </c>
      <c r="I3190" s="1" t="s">
        <v>16</v>
      </c>
      <c r="J3190" s="1">
        <v>1</v>
      </c>
      <c r="K3190" s="1">
        <v>4</v>
      </c>
      <c r="L3190" s="1" t="s">
        <v>31</v>
      </c>
      <c r="M3190" s="1" t="s">
        <v>18</v>
      </c>
      <c r="N3190" s="1" t="s">
        <v>18</v>
      </c>
      <c r="O3190" s="1">
        <v>3</v>
      </c>
      <c r="P3190" s="1">
        <v>6</v>
      </c>
      <c r="R3190" s="1" t="s">
        <v>19</v>
      </c>
      <c r="S3190" s="1" t="s">
        <v>20</v>
      </c>
      <c r="T3190" s="1" t="s">
        <v>21</v>
      </c>
      <c r="U3190" s="1" t="s">
        <v>22</v>
      </c>
      <c r="V3190" s="1" t="s">
        <v>24</v>
      </c>
      <c r="W3190" s="1" t="s">
        <v>24</v>
      </c>
      <c r="X3190" s="1">
        <v>2739</v>
      </c>
      <c r="Y3190" s="1">
        <v>2307</v>
      </c>
      <c r="Z3190" s="1" t="s">
        <v>24</v>
      </c>
      <c r="AA3190" s="1" t="s">
        <v>24</v>
      </c>
      <c r="AB3190" s="1" t="s">
        <v>24</v>
      </c>
      <c r="AC3190" s="1" t="s">
        <v>24</v>
      </c>
      <c r="AD3190" s="1" t="s">
        <v>24</v>
      </c>
      <c r="AE3190" s="1" t="s">
        <v>24</v>
      </c>
      <c r="AF3190" s="22"/>
    </row>
    <row r="3191" spans="1:32" x14ac:dyDescent="0.2">
      <c r="A3191" s="1">
        <v>25345</v>
      </c>
      <c r="B3191" s="1" t="s">
        <v>9929</v>
      </c>
      <c r="C3191" s="5" t="s">
        <v>0</v>
      </c>
      <c r="D3191" s="1" t="s">
        <v>9930</v>
      </c>
      <c r="E3191" s="1" t="s">
        <v>9931</v>
      </c>
      <c r="F3191" s="1" t="s">
        <v>548</v>
      </c>
      <c r="G3191" s="1" t="s">
        <v>36</v>
      </c>
      <c r="H3191" s="1" t="s">
        <v>30</v>
      </c>
      <c r="I3191" s="1" t="s">
        <v>16</v>
      </c>
      <c r="J3191" s="1">
        <v>1</v>
      </c>
      <c r="K3191" s="1">
        <v>4</v>
      </c>
      <c r="L3191" s="1" t="s">
        <v>31</v>
      </c>
      <c r="M3191" s="1" t="s">
        <v>18</v>
      </c>
      <c r="N3191" s="1" t="s">
        <v>18</v>
      </c>
      <c r="O3191" s="1">
        <v>3</v>
      </c>
      <c r="P3191" s="1">
        <v>6</v>
      </c>
      <c r="R3191" s="1" t="s">
        <v>19</v>
      </c>
      <c r="S3191" s="1" t="s">
        <v>20</v>
      </c>
      <c r="T3191" s="1" t="s">
        <v>21</v>
      </c>
      <c r="U3191" s="1" t="s">
        <v>22</v>
      </c>
      <c r="V3191" s="1" t="s">
        <v>24</v>
      </c>
      <c r="W3191" s="1" t="s">
        <v>24</v>
      </c>
      <c r="X3191" s="1">
        <v>2720</v>
      </c>
      <c r="Y3191" s="1">
        <v>2727</v>
      </c>
      <c r="Z3191" s="1" t="s">
        <v>24</v>
      </c>
      <c r="AA3191" s="1" t="s">
        <v>24</v>
      </c>
      <c r="AB3191" s="1" t="s">
        <v>24</v>
      </c>
      <c r="AC3191" s="1" t="s">
        <v>24</v>
      </c>
      <c r="AD3191" s="1" t="s">
        <v>24</v>
      </c>
      <c r="AE3191" s="1" t="s">
        <v>24</v>
      </c>
      <c r="AF3191" s="22"/>
    </row>
    <row r="3192" spans="1:32" x14ac:dyDescent="0.2">
      <c r="A3192" s="1">
        <v>25346</v>
      </c>
      <c r="B3192" s="1" t="s">
        <v>9932</v>
      </c>
      <c r="C3192" s="5" t="s">
        <v>0</v>
      </c>
      <c r="D3192" s="1" t="s">
        <v>9933</v>
      </c>
      <c r="E3192" s="1" t="s">
        <v>9934</v>
      </c>
      <c r="F3192" s="1" t="s">
        <v>35</v>
      </c>
      <c r="G3192" s="1" t="s">
        <v>36</v>
      </c>
      <c r="H3192" s="1" t="s">
        <v>37</v>
      </c>
      <c r="I3192" s="1" t="s">
        <v>16</v>
      </c>
      <c r="J3192" s="1">
        <v>1</v>
      </c>
      <c r="K3192" s="1">
        <v>6</v>
      </c>
      <c r="L3192" s="1" t="s">
        <v>31</v>
      </c>
      <c r="M3192" s="1" t="s">
        <v>18</v>
      </c>
      <c r="N3192" s="1" t="s">
        <v>18</v>
      </c>
      <c r="O3192" s="1">
        <v>3</v>
      </c>
      <c r="P3192" s="1">
        <v>7</v>
      </c>
      <c r="Q3192" s="7" t="s">
        <v>17633</v>
      </c>
      <c r="R3192" s="1" t="s">
        <v>62</v>
      </c>
      <c r="S3192" s="1" t="s">
        <v>20</v>
      </c>
      <c r="T3192" s="1" t="s">
        <v>21</v>
      </c>
      <c r="U3192" s="1" t="s">
        <v>22</v>
      </c>
      <c r="V3192" s="1" t="s">
        <v>24</v>
      </c>
      <c r="W3192" s="1" t="s">
        <v>24</v>
      </c>
      <c r="X3192" s="1">
        <v>1307</v>
      </c>
      <c r="Y3192" s="1">
        <v>1302</v>
      </c>
      <c r="Z3192" s="1" t="s">
        <v>24</v>
      </c>
      <c r="AA3192" s="1" t="s">
        <v>24</v>
      </c>
      <c r="AB3192" s="1" t="s">
        <v>24</v>
      </c>
      <c r="AC3192" s="1" t="s">
        <v>24</v>
      </c>
      <c r="AD3192" s="1" t="s">
        <v>24</v>
      </c>
      <c r="AE3192" s="1" t="s">
        <v>24</v>
      </c>
      <c r="AF3192" s="22"/>
    </row>
    <row r="3193" spans="1:32" x14ac:dyDescent="0.2">
      <c r="A3193" s="1">
        <v>25347</v>
      </c>
      <c r="B3193" s="1" t="s">
        <v>9935</v>
      </c>
      <c r="C3193" s="5" t="s">
        <v>0</v>
      </c>
      <c r="D3193" s="1" t="s">
        <v>9936</v>
      </c>
      <c r="E3193" s="1" t="s">
        <v>9937</v>
      </c>
      <c r="F3193" s="1" t="s">
        <v>296</v>
      </c>
      <c r="G3193" s="1" t="s">
        <v>36</v>
      </c>
      <c r="H3193" s="1" t="s">
        <v>264</v>
      </c>
      <c r="I3193" s="1" t="s">
        <v>16</v>
      </c>
      <c r="J3193" s="1">
        <v>1</v>
      </c>
      <c r="K3193" s="1">
        <v>4</v>
      </c>
      <c r="L3193" s="1" t="s">
        <v>31</v>
      </c>
      <c r="M3193" s="1" t="s">
        <v>18</v>
      </c>
      <c r="N3193" s="1" t="s">
        <v>18</v>
      </c>
      <c r="O3193" s="1">
        <v>3</v>
      </c>
      <c r="P3193" s="1">
        <v>7</v>
      </c>
      <c r="Q3193" s="7" t="s">
        <v>17633</v>
      </c>
      <c r="R3193" s="1" t="s">
        <v>19</v>
      </c>
      <c r="S3193" s="1" t="s">
        <v>20</v>
      </c>
      <c r="T3193" s="1" t="s">
        <v>21</v>
      </c>
      <c r="U3193" s="1" t="s">
        <v>22</v>
      </c>
      <c r="V3193" s="1" t="s">
        <v>24</v>
      </c>
      <c r="W3193" s="1" t="s">
        <v>24</v>
      </c>
      <c r="X3193" s="1">
        <v>1314</v>
      </c>
      <c r="Y3193" s="1">
        <v>2737</v>
      </c>
      <c r="Z3193" s="1">
        <v>2808</v>
      </c>
      <c r="AA3193" s="1">
        <v>3206</v>
      </c>
      <c r="AB3193" s="1" t="s">
        <v>24</v>
      </c>
      <c r="AC3193" s="1" t="s">
        <v>24</v>
      </c>
      <c r="AD3193" s="1" t="s">
        <v>24</v>
      </c>
      <c r="AE3193" s="1" t="s">
        <v>24</v>
      </c>
      <c r="AF3193" s="22"/>
    </row>
    <row r="3194" spans="1:32" x14ac:dyDescent="0.2">
      <c r="A3194" s="1">
        <v>25348</v>
      </c>
      <c r="B3194" s="1" t="s">
        <v>9938</v>
      </c>
      <c r="C3194" s="5" t="s">
        <v>0</v>
      </c>
      <c r="D3194" s="1" t="s">
        <v>9939</v>
      </c>
      <c r="E3194" s="1" t="s">
        <v>9940</v>
      </c>
      <c r="F3194" s="1" t="s">
        <v>296</v>
      </c>
      <c r="G3194" s="1" t="s">
        <v>36</v>
      </c>
      <c r="H3194" s="1" t="s">
        <v>264</v>
      </c>
      <c r="I3194" s="1" t="s">
        <v>16</v>
      </c>
      <c r="J3194" s="1">
        <v>1</v>
      </c>
      <c r="K3194" s="1">
        <v>4</v>
      </c>
      <c r="L3194" s="1" t="s">
        <v>31</v>
      </c>
      <c r="M3194" s="1" t="s">
        <v>18</v>
      </c>
      <c r="N3194" s="1" t="s">
        <v>18</v>
      </c>
      <c r="O3194" s="1">
        <v>3</v>
      </c>
      <c r="P3194" s="1">
        <v>7</v>
      </c>
      <c r="Q3194" s="7" t="s">
        <v>17633</v>
      </c>
      <c r="R3194" s="1" t="s">
        <v>19</v>
      </c>
      <c r="S3194" s="1" t="s">
        <v>20</v>
      </c>
      <c r="T3194" s="1" t="s">
        <v>21</v>
      </c>
      <c r="U3194" s="1" t="s">
        <v>22</v>
      </c>
      <c r="V3194" s="1" t="s">
        <v>23</v>
      </c>
      <c r="W3194" s="1" t="s">
        <v>24</v>
      </c>
      <c r="X3194" s="1">
        <v>2717</v>
      </c>
      <c r="Y3194" s="1">
        <v>2738</v>
      </c>
      <c r="Z3194" s="1">
        <v>2909</v>
      </c>
      <c r="AA3194" s="1" t="s">
        <v>24</v>
      </c>
      <c r="AB3194" s="1" t="s">
        <v>24</v>
      </c>
      <c r="AC3194" s="1" t="s">
        <v>24</v>
      </c>
      <c r="AD3194" s="1" t="s">
        <v>24</v>
      </c>
      <c r="AE3194" s="1" t="s">
        <v>24</v>
      </c>
      <c r="AF3194" s="22"/>
    </row>
    <row r="3195" spans="1:32" x14ac:dyDescent="0.2">
      <c r="A3195" s="1">
        <v>25349</v>
      </c>
      <c r="B3195" s="1" t="s">
        <v>9941</v>
      </c>
      <c r="C3195" s="5" t="s">
        <v>0</v>
      </c>
      <c r="D3195" s="1" t="s">
        <v>9942</v>
      </c>
      <c r="E3195" s="1" t="s">
        <v>9943</v>
      </c>
      <c r="F3195" s="1" t="s">
        <v>275</v>
      </c>
      <c r="G3195" s="1" t="s">
        <v>276</v>
      </c>
      <c r="H3195" s="1" t="s">
        <v>46</v>
      </c>
      <c r="I3195" s="1" t="s">
        <v>16</v>
      </c>
      <c r="J3195" s="1">
        <v>1</v>
      </c>
      <c r="K3195" s="1">
        <v>4</v>
      </c>
      <c r="L3195" s="1" t="s">
        <v>31</v>
      </c>
      <c r="M3195" s="1" t="s">
        <v>18</v>
      </c>
      <c r="N3195" s="1" t="s">
        <v>18</v>
      </c>
      <c r="O3195" s="1">
        <v>3</v>
      </c>
      <c r="P3195" s="1">
        <v>6</v>
      </c>
      <c r="R3195" s="1" t="s">
        <v>19</v>
      </c>
      <c r="S3195" s="1" t="s">
        <v>20</v>
      </c>
      <c r="T3195" s="1" t="s">
        <v>21</v>
      </c>
      <c r="U3195" s="1" t="s">
        <v>22</v>
      </c>
      <c r="V3195" s="1" t="s">
        <v>24</v>
      </c>
      <c r="W3195" s="1" t="s">
        <v>24</v>
      </c>
      <c r="X3195" s="1">
        <v>2800</v>
      </c>
      <c r="Y3195" s="1" t="s">
        <v>24</v>
      </c>
      <c r="Z3195" s="1" t="s">
        <v>24</v>
      </c>
      <c r="AA3195" s="1" t="s">
        <v>24</v>
      </c>
      <c r="AB3195" s="1" t="s">
        <v>24</v>
      </c>
      <c r="AC3195" s="1" t="s">
        <v>24</v>
      </c>
      <c r="AD3195" s="1" t="s">
        <v>24</v>
      </c>
      <c r="AE3195" s="1" t="s">
        <v>24</v>
      </c>
      <c r="AF3195" s="22"/>
    </row>
    <row r="3196" spans="1:32" x14ac:dyDescent="0.2">
      <c r="A3196" s="1">
        <v>25354</v>
      </c>
      <c r="B3196" s="1" t="s">
        <v>9944</v>
      </c>
      <c r="C3196" s="5" t="s">
        <v>0</v>
      </c>
      <c r="D3196" s="1" t="s">
        <v>9945</v>
      </c>
      <c r="E3196" s="1" t="s">
        <v>9946</v>
      </c>
      <c r="F3196" s="1" t="s">
        <v>2776</v>
      </c>
      <c r="G3196" s="1" t="s">
        <v>61</v>
      </c>
      <c r="H3196" s="1" t="s">
        <v>46</v>
      </c>
      <c r="I3196" s="1" t="s">
        <v>16</v>
      </c>
      <c r="J3196" s="1">
        <v>1</v>
      </c>
      <c r="K3196" s="1">
        <v>1</v>
      </c>
      <c r="L3196" s="1" t="s">
        <v>31</v>
      </c>
      <c r="M3196" s="1" t="s">
        <v>18</v>
      </c>
      <c r="N3196" s="1" t="s">
        <v>18</v>
      </c>
      <c r="O3196" s="1">
        <v>3</v>
      </c>
      <c r="P3196" s="1">
        <v>7</v>
      </c>
      <c r="Q3196" s="7" t="s">
        <v>17633</v>
      </c>
      <c r="R3196" s="1" t="s">
        <v>19</v>
      </c>
      <c r="S3196" s="1" t="s">
        <v>20</v>
      </c>
      <c r="T3196" s="1" t="s">
        <v>21</v>
      </c>
      <c r="U3196" s="1" t="s">
        <v>22</v>
      </c>
      <c r="V3196" s="1" t="s">
        <v>23</v>
      </c>
      <c r="W3196" s="1" t="s">
        <v>24</v>
      </c>
      <c r="X3196" s="1">
        <v>3609</v>
      </c>
      <c r="Y3196" s="1" t="s">
        <v>24</v>
      </c>
      <c r="Z3196" s="1" t="s">
        <v>24</v>
      </c>
      <c r="AA3196" s="1" t="s">
        <v>24</v>
      </c>
      <c r="AB3196" s="1" t="s">
        <v>24</v>
      </c>
      <c r="AC3196" s="1" t="s">
        <v>24</v>
      </c>
      <c r="AD3196" s="1" t="s">
        <v>24</v>
      </c>
      <c r="AE3196" s="1" t="s">
        <v>24</v>
      </c>
      <c r="AF3196" s="22"/>
    </row>
    <row r="3197" spans="1:32" x14ac:dyDescent="0.2">
      <c r="A3197" s="1">
        <v>25358</v>
      </c>
      <c r="B3197" s="1" t="s">
        <v>9947</v>
      </c>
      <c r="C3197" s="5" t="s">
        <v>0</v>
      </c>
      <c r="D3197" s="1" t="s">
        <v>9948</v>
      </c>
      <c r="E3197" s="1" t="s">
        <v>9949</v>
      </c>
      <c r="F3197" s="1" t="s">
        <v>6173</v>
      </c>
      <c r="G3197" s="1" t="s">
        <v>6173</v>
      </c>
      <c r="H3197" s="1" t="s">
        <v>1384</v>
      </c>
      <c r="I3197" s="1" t="s">
        <v>16</v>
      </c>
      <c r="J3197" s="1">
        <v>1</v>
      </c>
      <c r="K3197" s="1">
        <v>4</v>
      </c>
      <c r="L3197" s="1" t="s">
        <v>42</v>
      </c>
      <c r="M3197" s="1" t="s">
        <v>9409</v>
      </c>
      <c r="N3197" s="1" t="s">
        <v>9409</v>
      </c>
      <c r="O3197" s="1">
        <v>3</v>
      </c>
      <c r="P3197" s="1">
        <v>6</v>
      </c>
      <c r="R3197" s="1" t="s">
        <v>19</v>
      </c>
      <c r="S3197" s="1" t="s">
        <v>20</v>
      </c>
      <c r="T3197" s="1" t="s">
        <v>21</v>
      </c>
      <c r="U3197" s="1" t="s">
        <v>22</v>
      </c>
      <c r="V3197" s="1" t="s">
        <v>24</v>
      </c>
      <c r="W3197" s="1" t="s">
        <v>24</v>
      </c>
      <c r="X3197" s="1">
        <v>2729</v>
      </c>
      <c r="Y3197" s="1" t="s">
        <v>24</v>
      </c>
      <c r="Z3197" s="1" t="s">
        <v>24</v>
      </c>
      <c r="AA3197" s="1" t="s">
        <v>24</v>
      </c>
      <c r="AB3197" s="1" t="s">
        <v>24</v>
      </c>
      <c r="AC3197" s="1" t="s">
        <v>24</v>
      </c>
      <c r="AD3197" s="1" t="s">
        <v>24</v>
      </c>
      <c r="AE3197" s="1" t="s">
        <v>24</v>
      </c>
      <c r="AF3197" s="22"/>
    </row>
    <row r="3198" spans="1:32" x14ac:dyDescent="0.2">
      <c r="A3198" s="1">
        <v>25361</v>
      </c>
      <c r="B3198" s="1" t="s">
        <v>9950</v>
      </c>
      <c r="C3198" s="5" t="s">
        <v>0</v>
      </c>
      <c r="D3198" s="1" t="s">
        <v>9951</v>
      </c>
      <c r="F3198" s="1" t="s">
        <v>9952</v>
      </c>
      <c r="G3198" s="1" t="s">
        <v>9952</v>
      </c>
      <c r="H3198" s="1" t="s">
        <v>445</v>
      </c>
      <c r="I3198" s="1" t="s">
        <v>16</v>
      </c>
      <c r="J3198" s="1">
        <v>1</v>
      </c>
      <c r="K3198" s="1">
        <v>3</v>
      </c>
      <c r="L3198" s="1" t="s">
        <v>17</v>
      </c>
      <c r="M3198" s="1" t="s">
        <v>9953</v>
      </c>
      <c r="N3198" s="1" t="s">
        <v>9953</v>
      </c>
      <c r="O3198" s="1">
        <v>3</v>
      </c>
      <c r="P3198" s="1">
        <v>6</v>
      </c>
      <c r="R3198" s="1" t="s">
        <v>19</v>
      </c>
      <c r="S3198" s="1" t="s">
        <v>20</v>
      </c>
      <c r="T3198" s="1" t="s">
        <v>21</v>
      </c>
      <c r="U3198" s="1" t="s">
        <v>22</v>
      </c>
      <c r="V3198" s="1" t="s">
        <v>24</v>
      </c>
      <c r="W3198" s="1" t="s">
        <v>24</v>
      </c>
      <c r="X3198" s="1">
        <v>2741</v>
      </c>
      <c r="Y3198" s="1" t="s">
        <v>24</v>
      </c>
      <c r="Z3198" s="1" t="s">
        <v>24</v>
      </c>
      <c r="AA3198" s="1" t="s">
        <v>24</v>
      </c>
      <c r="AB3198" s="1" t="s">
        <v>24</v>
      </c>
      <c r="AC3198" s="1" t="s">
        <v>24</v>
      </c>
      <c r="AD3198" s="1" t="s">
        <v>24</v>
      </c>
      <c r="AE3198" s="1" t="s">
        <v>24</v>
      </c>
      <c r="AF3198" s="22"/>
    </row>
    <row r="3199" spans="1:32" x14ac:dyDescent="0.2">
      <c r="A3199" s="1">
        <v>25363</v>
      </c>
      <c r="B3199" s="1" t="s">
        <v>9954</v>
      </c>
      <c r="C3199" s="5" t="s">
        <v>0</v>
      </c>
      <c r="D3199" s="1" t="s">
        <v>9955</v>
      </c>
      <c r="E3199" s="1" t="s">
        <v>9956</v>
      </c>
      <c r="F3199" s="1" t="s">
        <v>9957</v>
      </c>
      <c r="G3199" s="1" t="s">
        <v>9957</v>
      </c>
      <c r="H3199" s="1" t="s">
        <v>1384</v>
      </c>
      <c r="I3199" s="1" t="s">
        <v>16</v>
      </c>
      <c r="J3199" s="1">
        <v>1</v>
      </c>
      <c r="K3199" s="1">
        <v>1</v>
      </c>
      <c r="L3199" s="1" t="s">
        <v>42</v>
      </c>
      <c r="M3199" s="1" t="s">
        <v>18</v>
      </c>
      <c r="N3199" s="1" t="s">
        <v>18</v>
      </c>
      <c r="O3199" s="1">
        <v>3</v>
      </c>
      <c r="P3199" s="1">
        <v>6</v>
      </c>
      <c r="R3199" s="1" t="s">
        <v>19</v>
      </c>
      <c r="S3199" s="1" t="s">
        <v>63</v>
      </c>
      <c r="T3199" s="1" t="s">
        <v>21</v>
      </c>
      <c r="U3199" s="1" t="s">
        <v>22</v>
      </c>
      <c r="V3199" s="1" t="s">
        <v>24</v>
      </c>
      <c r="W3199" s="1" t="s">
        <v>24</v>
      </c>
      <c r="X3199" s="1">
        <v>2728</v>
      </c>
      <c r="Y3199" s="1">
        <v>2702</v>
      </c>
      <c r="Z3199" s="1" t="s">
        <v>24</v>
      </c>
      <c r="AA3199" s="1" t="s">
        <v>24</v>
      </c>
      <c r="AB3199" s="1" t="s">
        <v>24</v>
      </c>
      <c r="AC3199" s="1" t="s">
        <v>24</v>
      </c>
      <c r="AD3199" s="1" t="s">
        <v>24</v>
      </c>
      <c r="AE3199" s="1" t="s">
        <v>24</v>
      </c>
      <c r="AF3199" s="22"/>
    </row>
    <row r="3200" spans="1:32" x14ac:dyDescent="0.2">
      <c r="A3200" s="1">
        <v>25364</v>
      </c>
      <c r="B3200" s="1" t="s">
        <v>9958</v>
      </c>
      <c r="C3200" s="5" t="s">
        <v>0</v>
      </c>
      <c r="D3200" s="1" t="s">
        <v>9959</v>
      </c>
      <c r="E3200" s="1" t="s">
        <v>9960</v>
      </c>
      <c r="F3200" s="1" t="s">
        <v>1260</v>
      </c>
      <c r="G3200" s="1" t="s">
        <v>130</v>
      </c>
      <c r="H3200" s="1" t="s">
        <v>111</v>
      </c>
      <c r="I3200" s="1" t="s">
        <v>16</v>
      </c>
      <c r="J3200" s="1">
        <v>1</v>
      </c>
      <c r="K3200" s="1">
        <v>4</v>
      </c>
      <c r="L3200" s="1" t="s">
        <v>31</v>
      </c>
      <c r="M3200" s="1" t="s">
        <v>18</v>
      </c>
      <c r="N3200" s="1" t="s">
        <v>18</v>
      </c>
      <c r="O3200" s="1">
        <v>3</v>
      </c>
      <c r="P3200" s="1">
        <v>6</v>
      </c>
      <c r="R3200" s="1" t="s">
        <v>19</v>
      </c>
      <c r="S3200" s="1" t="s">
        <v>20</v>
      </c>
      <c r="T3200" s="1" t="s">
        <v>21</v>
      </c>
      <c r="U3200" s="1" t="s">
        <v>22</v>
      </c>
      <c r="V3200" s="1" t="s">
        <v>23</v>
      </c>
      <c r="W3200" s="1" t="s">
        <v>24</v>
      </c>
      <c r="X3200" s="1">
        <v>2738</v>
      </c>
      <c r="Y3200" s="1">
        <v>3203</v>
      </c>
      <c r="Z3200" s="1" t="s">
        <v>24</v>
      </c>
      <c r="AA3200" s="1" t="s">
        <v>24</v>
      </c>
      <c r="AB3200" s="1" t="s">
        <v>24</v>
      </c>
      <c r="AC3200" s="1" t="s">
        <v>24</v>
      </c>
      <c r="AD3200" s="1" t="s">
        <v>24</v>
      </c>
      <c r="AE3200" s="1" t="s">
        <v>24</v>
      </c>
      <c r="AF3200" s="22"/>
    </row>
    <row r="3201" spans="1:32" x14ac:dyDescent="0.2">
      <c r="A3201" s="1">
        <v>25366</v>
      </c>
      <c r="B3201" s="1" t="s">
        <v>9961</v>
      </c>
      <c r="C3201" s="5" t="s">
        <v>0</v>
      </c>
      <c r="D3201" s="1" t="s">
        <v>9962</v>
      </c>
      <c r="E3201" s="1" t="s">
        <v>9963</v>
      </c>
      <c r="F3201" s="1" t="s">
        <v>190</v>
      </c>
      <c r="G3201" s="1" t="s">
        <v>130</v>
      </c>
      <c r="H3201" s="1" t="s">
        <v>30</v>
      </c>
      <c r="I3201" s="1" t="s">
        <v>16</v>
      </c>
      <c r="J3201" s="1">
        <v>1</v>
      </c>
      <c r="K3201" s="1">
        <v>4</v>
      </c>
      <c r="L3201" s="1" t="s">
        <v>31</v>
      </c>
      <c r="M3201" s="1" t="s">
        <v>18</v>
      </c>
      <c r="N3201" s="1" t="s">
        <v>18</v>
      </c>
      <c r="O3201" s="1">
        <v>3</v>
      </c>
      <c r="P3201" s="1">
        <v>5</v>
      </c>
      <c r="R3201" s="1" t="s">
        <v>19</v>
      </c>
      <c r="S3201" s="1" t="s">
        <v>20</v>
      </c>
      <c r="T3201" s="1" t="s">
        <v>21</v>
      </c>
      <c r="U3201" s="1" t="s">
        <v>22</v>
      </c>
      <c r="V3201" s="1" t="s">
        <v>24</v>
      </c>
      <c r="W3201" s="1" t="s">
        <v>24</v>
      </c>
      <c r="X3201" s="1">
        <v>2730</v>
      </c>
      <c r="Y3201" s="1">
        <v>2736</v>
      </c>
      <c r="Z3201" s="1" t="s">
        <v>24</v>
      </c>
      <c r="AA3201" s="1" t="s">
        <v>24</v>
      </c>
      <c r="AB3201" s="1" t="s">
        <v>24</v>
      </c>
      <c r="AC3201" s="1" t="s">
        <v>24</v>
      </c>
      <c r="AD3201" s="1" t="s">
        <v>24</v>
      </c>
      <c r="AE3201" s="1" t="s">
        <v>24</v>
      </c>
      <c r="AF3201" s="22"/>
    </row>
    <row r="3202" spans="1:32" x14ac:dyDescent="0.2">
      <c r="A3202" s="1">
        <v>25369</v>
      </c>
      <c r="B3202" s="1" t="s">
        <v>9964</v>
      </c>
      <c r="C3202" s="5" t="s">
        <v>0</v>
      </c>
      <c r="D3202" s="1" t="s">
        <v>9965</v>
      </c>
      <c r="E3202" s="1" t="s">
        <v>9966</v>
      </c>
      <c r="F3202" s="1" t="s">
        <v>9967</v>
      </c>
      <c r="G3202" s="1" t="s">
        <v>130</v>
      </c>
      <c r="H3202" s="1" t="s">
        <v>37</v>
      </c>
      <c r="I3202" s="1" t="s">
        <v>16</v>
      </c>
      <c r="J3202" s="1">
        <v>1</v>
      </c>
      <c r="K3202" s="1">
        <v>6</v>
      </c>
      <c r="L3202" s="1" t="s">
        <v>31</v>
      </c>
      <c r="M3202" s="1" t="s">
        <v>18</v>
      </c>
      <c r="N3202" s="1" t="s">
        <v>18</v>
      </c>
      <c r="O3202" s="1">
        <v>3</v>
      </c>
      <c r="P3202" s="1">
        <v>5</v>
      </c>
      <c r="R3202" s="1" t="s">
        <v>19</v>
      </c>
      <c r="S3202" s="1" t="s">
        <v>20</v>
      </c>
      <c r="T3202" s="1" t="s">
        <v>21</v>
      </c>
      <c r="U3202" s="1" t="s">
        <v>22</v>
      </c>
      <c r="V3202" s="1" t="s">
        <v>24</v>
      </c>
      <c r="W3202" s="1" t="s">
        <v>24</v>
      </c>
      <c r="X3202" s="1">
        <v>2728</v>
      </c>
      <c r="Y3202" s="1" t="s">
        <v>24</v>
      </c>
      <c r="Z3202" s="1" t="s">
        <v>24</v>
      </c>
      <c r="AA3202" s="1" t="s">
        <v>24</v>
      </c>
      <c r="AB3202" s="1" t="s">
        <v>24</v>
      </c>
      <c r="AC3202" s="1" t="s">
        <v>24</v>
      </c>
      <c r="AD3202" s="1" t="s">
        <v>24</v>
      </c>
      <c r="AE3202" s="1" t="s">
        <v>24</v>
      </c>
      <c r="AF3202" s="22" t="s">
        <v>17670</v>
      </c>
    </row>
    <row r="3203" spans="1:32" x14ac:dyDescent="0.2">
      <c r="A3203" s="1">
        <v>25370</v>
      </c>
      <c r="B3203" s="1" t="s">
        <v>9968</v>
      </c>
      <c r="C3203" s="5" t="s">
        <v>0</v>
      </c>
      <c r="D3203" s="1" t="s">
        <v>9969</v>
      </c>
      <c r="E3203" s="1" t="s">
        <v>9970</v>
      </c>
      <c r="F3203" s="1" t="s">
        <v>9967</v>
      </c>
      <c r="G3203" s="1" t="s">
        <v>130</v>
      </c>
      <c r="H3203" s="1" t="s">
        <v>37</v>
      </c>
      <c r="I3203" s="1" t="s">
        <v>16</v>
      </c>
      <c r="J3203" s="1">
        <v>1</v>
      </c>
      <c r="K3203" s="1">
        <v>6</v>
      </c>
      <c r="L3203" s="1" t="s">
        <v>31</v>
      </c>
      <c r="M3203" s="1" t="s">
        <v>18</v>
      </c>
      <c r="N3203" s="1" t="s">
        <v>18</v>
      </c>
      <c r="O3203" s="1">
        <v>3</v>
      </c>
      <c r="P3203" s="1">
        <v>5</v>
      </c>
      <c r="R3203" s="1" t="s">
        <v>19</v>
      </c>
      <c r="S3203" s="1" t="s">
        <v>20</v>
      </c>
      <c r="T3203" s="1" t="s">
        <v>21</v>
      </c>
      <c r="U3203" s="1" t="s">
        <v>22</v>
      </c>
      <c r="V3203" s="1" t="s">
        <v>24</v>
      </c>
      <c r="W3203" s="1" t="s">
        <v>24</v>
      </c>
      <c r="X3203" s="1">
        <v>2705</v>
      </c>
      <c r="Y3203" s="1" t="s">
        <v>24</v>
      </c>
      <c r="Z3203" s="1" t="s">
        <v>24</v>
      </c>
      <c r="AA3203" s="1" t="s">
        <v>24</v>
      </c>
      <c r="AB3203" s="1" t="s">
        <v>24</v>
      </c>
      <c r="AC3203" s="1" t="s">
        <v>24</v>
      </c>
      <c r="AD3203" s="1" t="s">
        <v>24</v>
      </c>
      <c r="AE3203" s="1" t="s">
        <v>24</v>
      </c>
      <c r="AF3203" s="22" t="s">
        <v>17670</v>
      </c>
    </row>
    <row r="3204" spans="1:32" x14ac:dyDescent="0.2">
      <c r="A3204" s="1">
        <v>25372</v>
      </c>
      <c r="B3204" s="1" t="s">
        <v>9971</v>
      </c>
      <c r="C3204" s="5" t="s">
        <v>0</v>
      </c>
      <c r="D3204" s="1" t="s">
        <v>9972</v>
      </c>
      <c r="E3204" s="1" t="s">
        <v>9973</v>
      </c>
      <c r="F3204" s="1" t="s">
        <v>9974</v>
      </c>
      <c r="G3204" s="1" t="s">
        <v>61</v>
      </c>
      <c r="H3204" s="1" t="s">
        <v>30</v>
      </c>
      <c r="I3204" s="1" t="s">
        <v>16</v>
      </c>
      <c r="J3204" s="1">
        <v>1</v>
      </c>
      <c r="K3204" s="1">
        <v>6</v>
      </c>
      <c r="L3204" s="1" t="s">
        <v>31</v>
      </c>
      <c r="M3204" s="1" t="s">
        <v>18</v>
      </c>
      <c r="N3204" s="1" t="s">
        <v>18</v>
      </c>
      <c r="O3204" s="1">
        <v>3</v>
      </c>
      <c r="P3204" s="1">
        <v>6</v>
      </c>
      <c r="R3204" s="1" t="s">
        <v>19</v>
      </c>
      <c r="S3204" s="1" t="s">
        <v>20</v>
      </c>
      <c r="T3204" s="1" t="s">
        <v>21</v>
      </c>
      <c r="U3204" s="1" t="s">
        <v>22</v>
      </c>
      <c r="V3204" s="1" t="s">
        <v>23</v>
      </c>
      <c r="W3204" s="1" t="s">
        <v>24</v>
      </c>
      <c r="X3204" s="1">
        <v>2730</v>
      </c>
      <c r="Y3204" s="1">
        <v>2736</v>
      </c>
      <c r="Z3204" s="1" t="s">
        <v>24</v>
      </c>
      <c r="AA3204" s="1" t="s">
        <v>24</v>
      </c>
      <c r="AB3204" s="1" t="s">
        <v>24</v>
      </c>
      <c r="AC3204" s="1" t="s">
        <v>24</v>
      </c>
      <c r="AD3204" s="1" t="s">
        <v>24</v>
      </c>
      <c r="AE3204" s="1" t="s">
        <v>24</v>
      </c>
      <c r="AF3204" s="22"/>
    </row>
    <row r="3205" spans="1:32" x14ac:dyDescent="0.2">
      <c r="A3205" s="1">
        <v>25373</v>
      </c>
      <c r="B3205" s="1" t="s">
        <v>9975</v>
      </c>
      <c r="C3205" s="5" t="s">
        <v>0</v>
      </c>
      <c r="D3205" s="1" t="s">
        <v>9976</v>
      </c>
      <c r="F3205" s="1" t="s">
        <v>6442</v>
      </c>
      <c r="G3205" s="1" t="s">
        <v>460</v>
      </c>
      <c r="H3205" s="1" t="s">
        <v>30</v>
      </c>
      <c r="I3205" s="1" t="s">
        <v>16</v>
      </c>
      <c r="J3205" s="1">
        <v>1</v>
      </c>
      <c r="K3205" s="1">
        <v>2</v>
      </c>
      <c r="L3205" s="1" t="s">
        <v>42</v>
      </c>
      <c r="M3205" s="1" t="s">
        <v>18</v>
      </c>
      <c r="N3205" s="1" t="s">
        <v>18</v>
      </c>
      <c r="O3205" s="1">
        <v>3</v>
      </c>
      <c r="P3205" s="1">
        <v>6</v>
      </c>
      <c r="R3205" s="1" t="s">
        <v>19</v>
      </c>
      <c r="S3205" s="1" t="s">
        <v>20</v>
      </c>
      <c r="T3205" s="1" t="s">
        <v>21</v>
      </c>
      <c r="U3205" s="1" t="s">
        <v>22</v>
      </c>
      <c r="V3205" s="1" t="s">
        <v>24</v>
      </c>
      <c r="W3205" s="1" t="s">
        <v>24</v>
      </c>
      <c r="X3205" s="1">
        <v>1306</v>
      </c>
      <c r="Y3205" s="1">
        <v>2730</v>
      </c>
      <c r="Z3205" s="1">
        <v>2736</v>
      </c>
      <c r="AA3205" s="1" t="s">
        <v>24</v>
      </c>
      <c r="AB3205" s="1" t="s">
        <v>24</v>
      </c>
      <c r="AC3205" s="1" t="s">
        <v>24</v>
      </c>
      <c r="AD3205" s="1" t="s">
        <v>24</v>
      </c>
      <c r="AE3205" s="1" t="s">
        <v>24</v>
      </c>
      <c r="AF3205" s="22"/>
    </row>
    <row r="3206" spans="1:32" x14ac:dyDescent="0.2">
      <c r="A3206" s="1">
        <v>25375</v>
      </c>
      <c r="B3206" s="1" t="s">
        <v>9977</v>
      </c>
      <c r="C3206" s="5" t="s">
        <v>0</v>
      </c>
      <c r="D3206" s="1" t="s">
        <v>9978</v>
      </c>
      <c r="F3206" s="1" t="s">
        <v>7346</v>
      </c>
      <c r="G3206" s="1" t="s">
        <v>7346</v>
      </c>
      <c r="H3206" s="1" t="s">
        <v>30</v>
      </c>
      <c r="I3206" s="1" t="s">
        <v>16</v>
      </c>
      <c r="J3206" s="1">
        <v>1</v>
      </c>
      <c r="K3206" s="1">
        <v>6</v>
      </c>
      <c r="L3206" s="1" t="s">
        <v>42</v>
      </c>
      <c r="M3206" s="1" t="s">
        <v>18</v>
      </c>
      <c r="N3206" s="1" t="s">
        <v>18</v>
      </c>
      <c r="O3206" s="1">
        <v>3</v>
      </c>
      <c r="P3206" s="1">
        <v>6</v>
      </c>
      <c r="R3206" s="1" t="s">
        <v>19</v>
      </c>
      <c r="S3206" s="1" t="s">
        <v>20</v>
      </c>
      <c r="T3206" s="1" t="s">
        <v>21</v>
      </c>
      <c r="U3206" s="1" t="s">
        <v>22</v>
      </c>
      <c r="V3206" s="1" t="s">
        <v>23</v>
      </c>
      <c r="W3206" s="1" t="s">
        <v>24</v>
      </c>
      <c r="X3206" s="1">
        <v>2711</v>
      </c>
      <c r="Y3206" s="1" t="s">
        <v>24</v>
      </c>
      <c r="Z3206" s="1" t="s">
        <v>24</v>
      </c>
      <c r="AA3206" s="1" t="s">
        <v>24</v>
      </c>
      <c r="AB3206" s="1" t="s">
        <v>24</v>
      </c>
      <c r="AC3206" s="1" t="s">
        <v>24</v>
      </c>
      <c r="AD3206" s="1" t="s">
        <v>24</v>
      </c>
      <c r="AE3206" s="1" t="s">
        <v>24</v>
      </c>
      <c r="AF3206" s="22" t="s">
        <v>17674</v>
      </c>
    </row>
    <row r="3207" spans="1:32" x14ac:dyDescent="0.2">
      <c r="A3207" s="1">
        <v>25376</v>
      </c>
      <c r="B3207" s="1" t="s">
        <v>9979</v>
      </c>
      <c r="C3207" s="5" t="s">
        <v>0</v>
      </c>
      <c r="D3207" s="1" t="s">
        <v>9980</v>
      </c>
      <c r="F3207" s="1" t="s">
        <v>9981</v>
      </c>
      <c r="G3207" s="1" t="s">
        <v>9981</v>
      </c>
      <c r="H3207" s="1" t="s">
        <v>1384</v>
      </c>
      <c r="I3207" s="1" t="s">
        <v>16</v>
      </c>
      <c r="J3207" s="1">
        <v>1</v>
      </c>
      <c r="K3207" s="1">
        <v>4</v>
      </c>
      <c r="L3207" s="1" t="s">
        <v>42</v>
      </c>
      <c r="M3207" s="1" t="s">
        <v>9409</v>
      </c>
      <c r="N3207" s="1" t="s">
        <v>9409</v>
      </c>
      <c r="O3207" s="1">
        <v>3</v>
      </c>
      <c r="P3207" s="1">
        <v>6</v>
      </c>
      <c r="R3207" s="1" t="s">
        <v>19</v>
      </c>
      <c r="S3207" s="1" t="s">
        <v>20</v>
      </c>
      <c r="T3207" s="1" t="s">
        <v>21</v>
      </c>
      <c r="U3207" s="1" t="s">
        <v>22</v>
      </c>
      <c r="V3207" s="1" t="s">
        <v>23</v>
      </c>
      <c r="W3207" s="1" t="s">
        <v>24</v>
      </c>
      <c r="X3207" s="1">
        <v>2703</v>
      </c>
      <c r="Y3207" s="1">
        <v>2711</v>
      </c>
      <c r="Z3207" s="1">
        <v>2746</v>
      </c>
      <c r="AA3207" s="1" t="s">
        <v>24</v>
      </c>
      <c r="AB3207" s="1" t="s">
        <v>24</v>
      </c>
      <c r="AC3207" s="1" t="s">
        <v>24</v>
      </c>
      <c r="AD3207" s="1" t="s">
        <v>24</v>
      </c>
      <c r="AE3207" s="1" t="s">
        <v>24</v>
      </c>
      <c r="AF3207" s="22"/>
    </row>
    <row r="3208" spans="1:32" x14ac:dyDescent="0.2">
      <c r="A3208" s="1">
        <v>25379</v>
      </c>
      <c r="B3208" s="1" t="s">
        <v>9982</v>
      </c>
      <c r="C3208" s="5" t="s">
        <v>0</v>
      </c>
      <c r="E3208" s="1" t="s">
        <v>9983</v>
      </c>
      <c r="F3208" s="1" t="s">
        <v>9984</v>
      </c>
      <c r="G3208" s="1" t="s">
        <v>61</v>
      </c>
      <c r="H3208" s="1" t="s">
        <v>1007</v>
      </c>
      <c r="I3208" s="1" t="s">
        <v>16</v>
      </c>
      <c r="J3208" s="1">
        <v>1</v>
      </c>
      <c r="K3208" s="1">
        <v>6</v>
      </c>
      <c r="L3208" s="1" t="s">
        <v>31</v>
      </c>
      <c r="M3208" s="1" t="s">
        <v>1009</v>
      </c>
      <c r="N3208" s="1" t="s">
        <v>1009</v>
      </c>
      <c r="O3208" s="1">
        <v>3</v>
      </c>
      <c r="P3208" s="1">
        <v>5</v>
      </c>
      <c r="R3208" s="1" t="s">
        <v>19</v>
      </c>
      <c r="S3208" s="1" t="s">
        <v>20</v>
      </c>
      <c r="T3208" s="1" t="s">
        <v>21</v>
      </c>
      <c r="U3208" s="1" t="s">
        <v>22</v>
      </c>
      <c r="V3208" s="1" t="s">
        <v>23</v>
      </c>
      <c r="W3208" s="1" t="s">
        <v>24</v>
      </c>
      <c r="X3208" s="1">
        <v>2707</v>
      </c>
      <c r="Y3208" s="1">
        <v>3002</v>
      </c>
      <c r="Z3208" s="1" t="s">
        <v>24</v>
      </c>
      <c r="AA3208" s="1" t="s">
        <v>24</v>
      </c>
      <c r="AB3208" s="1" t="s">
        <v>24</v>
      </c>
      <c r="AC3208" s="1" t="s">
        <v>24</v>
      </c>
      <c r="AD3208" s="1" t="s">
        <v>24</v>
      </c>
      <c r="AE3208" s="1" t="s">
        <v>24</v>
      </c>
      <c r="AF3208" s="22"/>
    </row>
    <row r="3209" spans="1:32" x14ac:dyDescent="0.2">
      <c r="A3209" s="1">
        <v>25380</v>
      </c>
      <c r="B3209" s="1" t="s">
        <v>9985</v>
      </c>
      <c r="C3209" s="5" t="s">
        <v>0</v>
      </c>
      <c r="D3209" s="1" t="s">
        <v>9986</v>
      </c>
      <c r="E3209" s="1" t="s">
        <v>9987</v>
      </c>
      <c r="F3209" s="1" t="s">
        <v>155</v>
      </c>
      <c r="G3209" s="1" t="s">
        <v>61</v>
      </c>
      <c r="H3209" s="1" t="s">
        <v>37</v>
      </c>
      <c r="I3209" s="1" t="s">
        <v>16</v>
      </c>
      <c r="J3209" s="1">
        <v>1</v>
      </c>
      <c r="K3209" s="1">
        <v>4</v>
      </c>
      <c r="L3209" s="1" t="s">
        <v>31</v>
      </c>
      <c r="M3209" s="1" t="s">
        <v>1009</v>
      </c>
      <c r="N3209" s="1" t="s">
        <v>1009</v>
      </c>
      <c r="O3209" s="1">
        <v>3</v>
      </c>
      <c r="P3209" s="1">
        <v>6</v>
      </c>
      <c r="R3209" s="1" t="s">
        <v>19</v>
      </c>
      <c r="S3209" s="1" t="s">
        <v>20</v>
      </c>
      <c r="T3209" s="1" t="s">
        <v>21</v>
      </c>
      <c r="U3209" s="1" t="s">
        <v>22</v>
      </c>
      <c r="V3209" s="1" t="s">
        <v>24</v>
      </c>
      <c r="W3209" s="1" t="s">
        <v>24</v>
      </c>
      <c r="X3209" s="1">
        <v>2708</v>
      </c>
      <c r="Y3209" s="1" t="s">
        <v>24</v>
      </c>
      <c r="Z3209" s="1" t="s">
        <v>24</v>
      </c>
      <c r="AA3209" s="1" t="s">
        <v>24</v>
      </c>
      <c r="AB3209" s="1" t="s">
        <v>24</v>
      </c>
      <c r="AC3209" s="1" t="s">
        <v>24</v>
      </c>
      <c r="AD3209" s="1" t="s">
        <v>24</v>
      </c>
      <c r="AE3209" s="1" t="s">
        <v>24</v>
      </c>
      <c r="AF3209" s="22"/>
    </row>
    <row r="3210" spans="1:32" x14ac:dyDescent="0.2">
      <c r="A3210" s="1">
        <v>25381</v>
      </c>
      <c r="B3210" s="1" t="s">
        <v>9988</v>
      </c>
      <c r="C3210" s="5" t="s">
        <v>0</v>
      </c>
      <c r="D3210" s="1" t="s">
        <v>9989</v>
      </c>
      <c r="F3210" s="1" t="s">
        <v>9990</v>
      </c>
      <c r="G3210" s="1" t="s">
        <v>1066</v>
      </c>
      <c r="H3210" s="1" t="s">
        <v>1007</v>
      </c>
      <c r="I3210" s="1" t="s">
        <v>16</v>
      </c>
      <c r="J3210" s="1">
        <v>1</v>
      </c>
      <c r="K3210" s="1">
        <v>24</v>
      </c>
      <c r="L3210" s="1" t="s">
        <v>17</v>
      </c>
      <c r="M3210" s="1" t="s">
        <v>1008</v>
      </c>
      <c r="N3210" s="1" t="s">
        <v>1009</v>
      </c>
      <c r="O3210" s="1">
        <v>3</v>
      </c>
      <c r="P3210" s="1">
        <v>5</v>
      </c>
      <c r="R3210" s="1" t="s">
        <v>19</v>
      </c>
      <c r="S3210" s="1" t="s">
        <v>20</v>
      </c>
      <c r="T3210" s="1" t="s">
        <v>21</v>
      </c>
      <c r="U3210" s="1" t="s">
        <v>22</v>
      </c>
      <c r="V3210" s="1" t="s">
        <v>24</v>
      </c>
      <c r="W3210" s="1" t="s">
        <v>24</v>
      </c>
      <c r="X3210" s="1">
        <v>2730</v>
      </c>
      <c r="Y3210" s="1" t="s">
        <v>24</v>
      </c>
      <c r="Z3210" s="1" t="s">
        <v>24</v>
      </c>
      <c r="AA3210" s="1" t="s">
        <v>24</v>
      </c>
      <c r="AB3210" s="1" t="s">
        <v>24</v>
      </c>
      <c r="AC3210" s="1" t="s">
        <v>24</v>
      </c>
      <c r="AD3210" s="1" t="s">
        <v>24</v>
      </c>
      <c r="AE3210" s="1" t="s">
        <v>24</v>
      </c>
      <c r="AF3210" s="22"/>
    </row>
    <row r="3211" spans="1:32" x14ac:dyDescent="0.2">
      <c r="A3211" s="1">
        <v>25382</v>
      </c>
      <c r="B3211" s="1" t="s">
        <v>9991</v>
      </c>
      <c r="C3211" s="5" t="s">
        <v>0</v>
      </c>
      <c r="D3211" s="1" t="s">
        <v>9992</v>
      </c>
      <c r="F3211" s="1" t="s">
        <v>9993</v>
      </c>
      <c r="G3211" s="1" t="s">
        <v>9994</v>
      </c>
      <c r="H3211" s="1" t="s">
        <v>1007</v>
      </c>
      <c r="I3211" s="1" t="s">
        <v>16</v>
      </c>
      <c r="J3211" s="1">
        <v>1</v>
      </c>
      <c r="K3211" s="1">
        <v>12</v>
      </c>
      <c r="L3211" s="1" t="s">
        <v>17</v>
      </c>
      <c r="M3211" s="1" t="s">
        <v>1008</v>
      </c>
      <c r="N3211" s="1" t="s">
        <v>4418</v>
      </c>
      <c r="O3211" s="1">
        <v>3</v>
      </c>
      <c r="P3211" s="1">
        <v>5</v>
      </c>
      <c r="R3211" s="1" t="s">
        <v>19</v>
      </c>
      <c r="S3211" s="1" t="s">
        <v>20</v>
      </c>
      <c r="T3211" s="1" t="s">
        <v>21</v>
      </c>
      <c r="U3211" s="1" t="s">
        <v>22</v>
      </c>
      <c r="V3211" s="1" t="s">
        <v>24</v>
      </c>
      <c r="W3211" s="1" t="s">
        <v>24</v>
      </c>
      <c r="X3211" s="1">
        <v>2706</v>
      </c>
      <c r="Y3211" s="1" t="s">
        <v>24</v>
      </c>
      <c r="Z3211" s="1" t="s">
        <v>24</v>
      </c>
      <c r="AA3211" s="1" t="s">
        <v>24</v>
      </c>
      <c r="AB3211" s="1" t="s">
        <v>24</v>
      </c>
      <c r="AC3211" s="1" t="s">
        <v>24</v>
      </c>
      <c r="AD3211" s="1" t="s">
        <v>24</v>
      </c>
      <c r="AE3211" s="1" t="s">
        <v>24</v>
      </c>
      <c r="AF3211" s="22"/>
    </row>
    <row r="3212" spans="1:32" x14ac:dyDescent="0.2">
      <c r="A3212" s="1">
        <v>25383</v>
      </c>
      <c r="B3212" s="1" t="s">
        <v>9995</v>
      </c>
      <c r="C3212" s="5" t="s">
        <v>0</v>
      </c>
      <c r="D3212" s="1" t="s">
        <v>9996</v>
      </c>
      <c r="E3212" s="1" t="s">
        <v>9997</v>
      </c>
      <c r="F3212" s="1" t="s">
        <v>9995</v>
      </c>
      <c r="G3212" s="1" t="s">
        <v>9995</v>
      </c>
      <c r="H3212" s="1" t="s">
        <v>2988</v>
      </c>
      <c r="I3212" s="1" t="s">
        <v>16</v>
      </c>
      <c r="J3212" s="1">
        <v>1</v>
      </c>
      <c r="K3212" s="1">
        <v>4</v>
      </c>
      <c r="L3212" s="1" t="s">
        <v>42</v>
      </c>
      <c r="M3212" s="1" t="s">
        <v>18</v>
      </c>
      <c r="N3212" s="1" t="s">
        <v>18</v>
      </c>
      <c r="O3212" s="1">
        <v>3</v>
      </c>
      <c r="P3212" s="1">
        <v>6</v>
      </c>
      <c r="R3212" s="1" t="s">
        <v>19</v>
      </c>
      <c r="S3212" s="1" t="s">
        <v>20</v>
      </c>
      <c r="T3212" s="1" t="s">
        <v>21</v>
      </c>
      <c r="U3212" s="1" t="s">
        <v>22</v>
      </c>
      <c r="V3212" s="1" t="s">
        <v>24</v>
      </c>
      <c r="W3212" s="1" t="s">
        <v>24</v>
      </c>
      <c r="X3212" s="1">
        <v>2700</v>
      </c>
      <c r="Y3212" s="1" t="s">
        <v>24</v>
      </c>
      <c r="Z3212" s="1" t="s">
        <v>24</v>
      </c>
      <c r="AA3212" s="1" t="s">
        <v>24</v>
      </c>
      <c r="AB3212" s="1" t="s">
        <v>24</v>
      </c>
      <c r="AC3212" s="1" t="s">
        <v>24</v>
      </c>
      <c r="AD3212" s="1" t="s">
        <v>24</v>
      </c>
      <c r="AE3212" s="1" t="s">
        <v>24</v>
      </c>
      <c r="AF3212" s="22"/>
    </row>
    <row r="3213" spans="1:32" x14ac:dyDescent="0.2">
      <c r="A3213" s="1">
        <v>25393</v>
      </c>
      <c r="B3213" s="1" t="s">
        <v>9998</v>
      </c>
      <c r="C3213" s="5" t="s">
        <v>0</v>
      </c>
      <c r="D3213" s="1" t="s">
        <v>9999</v>
      </c>
      <c r="F3213" s="1" t="s">
        <v>10000</v>
      </c>
      <c r="G3213" s="1" t="s">
        <v>10000</v>
      </c>
      <c r="H3213" s="1" t="s">
        <v>86</v>
      </c>
      <c r="I3213" s="1" t="s">
        <v>16</v>
      </c>
      <c r="J3213" s="1">
        <v>1</v>
      </c>
      <c r="K3213" s="1">
        <v>6</v>
      </c>
      <c r="L3213" s="1" t="s">
        <v>17</v>
      </c>
      <c r="M3213" s="1" t="s">
        <v>87</v>
      </c>
      <c r="N3213" s="1" t="s">
        <v>87</v>
      </c>
      <c r="O3213" s="1">
        <v>0</v>
      </c>
      <c r="P3213" s="1">
        <v>5</v>
      </c>
      <c r="R3213" s="1" t="s">
        <v>19</v>
      </c>
      <c r="S3213" s="1" t="s">
        <v>20</v>
      </c>
      <c r="T3213" s="1" t="s">
        <v>21</v>
      </c>
      <c r="U3213" s="1" t="s">
        <v>22</v>
      </c>
      <c r="V3213" s="1" t="s">
        <v>23</v>
      </c>
      <c r="W3213" s="1" t="s">
        <v>24</v>
      </c>
      <c r="X3213" s="1">
        <v>2707</v>
      </c>
      <c r="Y3213" s="1" t="s">
        <v>24</v>
      </c>
      <c r="Z3213" s="1" t="s">
        <v>24</v>
      </c>
      <c r="AA3213" s="1" t="s">
        <v>24</v>
      </c>
      <c r="AB3213" s="1" t="s">
        <v>24</v>
      </c>
      <c r="AC3213" s="1" t="s">
        <v>24</v>
      </c>
      <c r="AD3213" s="1" t="s">
        <v>24</v>
      </c>
      <c r="AE3213" s="1" t="s">
        <v>24</v>
      </c>
      <c r="AF3213" s="22"/>
    </row>
    <row r="3214" spans="1:32" x14ac:dyDescent="0.2">
      <c r="A3214" s="1">
        <v>25397</v>
      </c>
      <c r="B3214" s="1" t="s">
        <v>10001</v>
      </c>
      <c r="C3214" s="5" t="s">
        <v>0</v>
      </c>
      <c r="D3214" s="1" t="s">
        <v>10002</v>
      </c>
      <c r="E3214" s="1" t="s">
        <v>10003</v>
      </c>
      <c r="F3214" s="1" t="s">
        <v>673</v>
      </c>
      <c r="G3214" s="1" t="s">
        <v>61</v>
      </c>
      <c r="H3214" s="1" t="s">
        <v>30</v>
      </c>
      <c r="I3214" s="1" t="s">
        <v>16</v>
      </c>
      <c r="J3214" s="1">
        <v>1</v>
      </c>
      <c r="K3214" s="1">
        <v>6</v>
      </c>
      <c r="L3214" s="1" t="s">
        <v>31</v>
      </c>
      <c r="M3214" s="1" t="s">
        <v>18</v>
      </c>
      <c r="N3214" s="1" t="s">
        <v>18</v>
      </c>
      <c r="O3214" s="1">
        <v>2</v>
      </c>
      <c r="P3214" s="1">
        <v>7</v>
      </c>
      <c r="Q3214" s="7" t="s">
        <v>17633</v>
      </c>
      <c r="R3214" s="1" t="s">
        <v>19</v>
      </c>
      <c r="S3214" s="1" t="s">
        <v>20</v>
      </c>
      <c r="T3214" s="1" t="s">
        <v>21</v>
      </c>
      <c r="U3214" s="1" t="s">
        <v>22</v>
      </c>
      <c r="V3214" s="1" t="s">
        <v>23</v>
      </c>
      <c r="W3214" s="1" t="s">
        <v>24</v>
      </c>
      <c r="X3214" s="1">
        <v>2725</v>
      </c>
      <c r="Y3214" s="1">
        <v>2739</v>
      </c>
      <c r="Z3214" s="1" t="s">
        <v>24</v>
      </c>
      <c r="AA3214" s="1" t="s">
        <v>24</v>
      </c>
      <c r="AB3214" s="1" t="s">
        <v>24</v>
      </c>
      <c r="AC3214" s="1" t="s">
        <v>24</v>
      </c>
      <c r="AD3214" s="1" t="s">
        <v>24</v>
      </c>
      <c r="AE3214" s="1" t="s">
        <v>24</v>
      </c>
      <c r="AF3214" s="22"/>
    </row>
    <row r="3215" spans="1:32" x14ac:dyDescent="0.2">
      <c r="A3215" s="1">
        <v>25399</v>
      </c>
      <c r="B3215" s="1" t="s">
        <v>10004</v>
      </c>
      <c r="C3215" s="5" t="s">
        <v>0</v>
      </c>
      <c r="D3215" s="1" t="s">
        <v>10005</v>
      </c>
      <c r="E3215" s="1" t="s">
        <v>10006</v>
      </c>
      <c r="F3215" s="1" t="s">
        <v>91</v>
      </c>
      <c r="G3215" s="1" t="s">
        <v>61</v>
      </c>
      <c r="H3215" s="1" t="s">
        <v>92</v>
      </c>
      <c r="I3215" s="1" t="s">
        <v>16</v>
      </c>
      <c r="J3215" s="1">
        <v>1</v>
      </c>
      <c r="K3215" s="1">
        <v>3</v>
      </c>
      <c r="L3215" s="1" t="s">
        <v>31</v>
      </c>
      <c r="M3215" s="1" t="s">
        <v>18</v>
      </c>
      <c r="N3215" s="1" t="s">
        <v>18</v>
      </c>
      <c r="O3215" s="1">
        <v>3</v>
      </c>
      <c r="P3215" s="1">
        <v>6</v>
      </c>
      <c r="R3215" s="1" t="s">
        <v>19</v>
      </c>
      <c r="S3215" s="1" t="s">
        <v>20</v>
      </c>
      <c r="T3215" s="1" t="s">
        <v>21</v>
      </c>
      <c r="U3215" s="1" t="s">
        <v>22</v>
      </c>
      <c r="V3215" s="1" t="s">
        <v>24</v>
      </c>
      <c r="W3215" s="1" t="s">
        <v>24</v>
      </c>
      <c r="X3215" s="1">
        <v>3306</v>
      </c>
      <c r="Y3215" s="1" t="s">
        <v>24</v>
      </c>
      <c r="Z3215" s="1" t="s">
        <v>24</v>
      </c>
      <c r="AA3215" s="1" t="s">
        <v>24</v>
      </c>
      <c r="AB3215" s="1" t="s">
        <v>24</v>
      </c>
      <c r="AC3215" s="1" t="s">
        <v>24</v>
      </c>
      <c r="AD3215" s="1" t="s">
        <v>24</v>
      </c>
      <c r="AE3215" s="1" t="s">
        <v>24</v>
      </c>
      <c r="AF3215" s="22"/>
    </row>
    <row r="3216" spans="1:32" x14ac:dyDescent="0.2">
      <c r="A3216" s="1">
        <v>25401</v>
      </c>
      <c r="B3216" s="1" t="s">
        <v>10007</v>
      </c>
      <c r="C3216" s="5" t="s">
        <v>0</v>
      </c>
      <c r="D3216" s="1" t="s">
        <v>10008</v>
      </c>
      <c r="E3216" s="1" t="s">
        <v>10009</v>
      </c>
      <c r="F3216" s="1" t="s">
        <v>751</v>
      </c>
      <c r="G3216" s="1" t="s">
        <v>36</v>
      </c>
      <c r="H3216" s="1" t="s">
        <v>37</v>
      </c>
      <c r="I3216" s="1" t="s">
        <v>16</v>
      </c>
      <c r="J3216" s="1">
        <v>1</v>
      </c>
      <c r="K3216" s="1">
        <v>4</v>
      </c>
      <c r="L3216" s="1" t="s">
        <v>31</v>
      </c>
      <c r="M3216" s="1" t="s">
        <v>18</v>
      </c>
      <c r="N3216" s="1" t="s">
        <v>18</v>
      </c>
      <c r="O3216" s="1">
        <v>3</v>
      </c>
      <c r="P3216" s="1">
        <v>6</v>
      </c>
      <c r="R3216" s="1" t="s">
        <v>19</v>
      </c>
      <c r="S3216" s="1" t="s">
        <v>20</v>
      </c>
      <c r="T3216" s="1" t="s">
        <v>21</v>
      </c>
      <c r="U3216" s="1" t="s">
        <v>22</v>
      </c>
      <c r="V3216" s="1" t="s">
        <v>24</v>
      </c>
      <c r="W3216" s="1" t="s">
        <v>24</v>
      </c>
      <c r="X3216" s="1">
        <v>2736</v>
      </c>
      <c r="Y3216" s="1">
        <v>2613</v>
      </c>
      <c r="Z3216" s="1">
        <v>3004</v>
      </c>
      <c r="AA3216" s="1" t="s">
        <v>24</v>
      </c>
      <c r="AB3216" s="1" t="s">
        <v>24</v>
      </c>
      <c r="AC3216" s="1" t="s">
        <v>24</v>
      </c>
      <c r="AD3216" s="1" t="s">
        <v>24</v>
      </c>
      <c r="AE3216" s="1" t="s">
        <v>24</v>
      </c>
      <c r="AF3216" s="22"/>
    </row>
    <row r="3217" spans="1:32" x14ac:dyDescent="0.2">
      <c r="A3217" s="1">
        <v>25407</v>
      </c>
      <c r="B3217" s="1" t="s">
        <v>10010</v>
      </c>
      <c r="C3217" s="5" t="s">
        <v>0</v>
      </c>
      <c r="D3217" s="1" t="s">
        <v>10011</v>
      </c>
      <c r="E3217" s="1" t="s">
        <v>10012</v>
      </c>
      <c r="F3217" s="1" t="s">
        <v>2234</v>
      </c>
      <c r="G3217" s="1" t="s">
        <v>2234</v>
      </c>
      <c r="H3217" s="1" t="s">
        <v>30</v>
      </c>
      <c r="I3217" s="1" t="s">
        <v>16</v>
      </c>
      <c r="J3217" s="1">
        <v>1</v>
      </c>
      <c r="K3217" s="1">
        <v>6</v>
      </c>
      <c r="L3217" s="1" t="s">
        <v>42</v>
      </c>
      <c r="M3217" s="1" t="s">
        <v>18</v>
      </c>
      <c r="N3217" s="1" t="s">
        <v>18</v>
      </c>
      <c r="O3217" s="1">
        <v>3</v>
      </c>
      <c r="P3217" s="1">
        <v>6</v>
      </c>
      <c r="R3217" s="1" t="s">
        <v>19</v>
      </c>
      <c r="S3217" s="1" t="s">
        <v>20</v>
      </c>
      <c r="T3217" s="1" t="s">
        <v>21</v>
      </c>
      <c r="U3217" s="1" t="s">
        <v>22</v>
      </c>
      <c r="V3217" s="1" t="s">
        <v>23</v>
      </c>
      <c r="W3217" s="1" t="s">
        <v>24</v>
      </c>
      <c r="X3217" s="1">
        <v>2738</v>
      </c>
      <c r="Y3217" s="1" t="s">
        <v>24</v>
      </c>
      <c r="Z3217" s="1" t="s">
        <v>24</v>
      </c>
      <c r="AA3217" s="1" t="s">
        <v>24</v>
      </c>
      <c r="AB3217" s="1" t="s">
        <v>24</v>
      </c>
      <c r="AC3217" s="1" t="s">
        <v>24</v>
      </c>
      <c r="AD3217" s="1" t="s">
        <v>24</v>
      </c>
      <c r="AE3217" s="1" t="s">
        <v>24</v>
      </c>
      <c r="AF3217" s="22"/>
    </row>
    <row r="3218" spans="1:32" x14ac:dyDescent="0.2">
      <c r="A3218" s="1">
        <v>25410</v>
      </c>
      <c r="B3218" s="1" t="s">
        <v>10013</v>
      </c>
      <c r="C3218" s="5" t="s">
        <v>0</v>
      </c>
      <c r="D3218" s="1" t="s">
        <v>10014</v>
      </c>
      <c r="F3218" s="1" t="s">
        <v>10015</v>
      </c>
      <c r="G3218" s="1" t="s">
        <v>10015</v>
      </c>
      <c r="H3218" s="1" t="s">
        <v>6895</v>
      </c>
      <c r="I3218" s="1" t="s">
        <v>16</v>
      </c>
      <c r="J3218" s="1">
        <v>1</v>
      </c>
      <c r="K3218" s="1">
        <v>6</v>
      </c>
      <c r="L3218" s="1" t="s">
        <v>42</v>
      </c>
      <c r="M3218" s="1" t="s">
        <v>18</v>
      </c>
      <c r="N3218" s="1" t="s">
        <v>18</v>
      </c>
      <c r="O3218" s="1">
        <v>3</v>
      </c>
      <c r="P3218" s="1">
        <v>6</v>
      </c>
      <c r="R3218" s="1" t="s">
        <v>19</v>
      </c>
      <c r="S3218" s="1" t="s">
        <v>20</v>
      </c>
      <c r="T3218" s="1" t="s">
        <v>21</v>
      </c>
      <c r="U3218" s="1" t="s">
        <v>22</v>
      </c>
      <c r="V3218" s="1" t="s">
        <v>23</v>
      </c>
      <c r="W3218" s="1" t="s">
        <v>24</v>
      </c>
      <c r="X3218" s="1">
        <v>2711</v>
      </c>
      <c r="Y3218" s="1" t="s">
        <v>24</v>
      </c>
      <c r="Z3218" s="1" t="s">
        <v>24</v>
      </c>
      <c r="AA3218" s="1" t="s">
        <v>24</v>
      </c>
      <c r="AB3218" s="1" t="s">
        <v>24</v>
      </c>
      <c r="AC3218" s="1" t="s">
        <v>24</v>
      </c>
      <c r="AD3218" s="1" t="s">
        <v>24</v>
      </c>
      <c r="AE3218" s="1" t="s">
        <v>24</v>
      </c>
      <c r="AF3218" s="22"/>
    </row>
    <row r="3219" spans="1:32" x14ac:dyDescent="0.2">
      <c r="A3219" s="1">
        <v>25411</v>
      </c>
      <c r="B3219" s="1" t="s">
        <v>10016</v>
      </c>
      <c r="C3219" s="5" t="s">
        <v>0</v>
      </c>
      <c r="D3219" s="1" t="s">
        <v>10017</v>
      </c>
      <c r="F3219" s="1" t="s">
        <v>10015</v>
      </c>
      <c r="G3219" s="1" t="s">
        <v>10015</v>
      </c>
      <c r="H3219" s="1" t="s">
        <v>6895</v>
      </c>
      <c r="I3219" s="1" t="s">
        <v>16</v>
      </c>
      <c r="J3219" s="1">
        <v>1</v>
      </c>
      <c r="K3219" s="1">
        <v>4</v>
      </c>
      <c r="L3219" s="1" t="s">
        <v>42</v>
      </c>
      <c r="M3219" s="1" t="s">
        <v>18</v>
      </c>
      <c r="N3219" s="1" t="s">
        <v>18</v>
      </c>
      <c r="O3219" s="1">
        <v>2</v>
      </c>
      <c r="P3219" s="1">
        <v>6</v>
      </c>
      <c r="R3219" s="1" t="s">
        <v>19</v>
      </c>
      <c r="S3219" s="1" t="s">
        <v>20</v>
      </c>
      <c r="T3219" s="1" t="s">
        <v>21</v>
      </c>
      <c r="U3219" s="1" t="s">
        <v>22</v>
      </c>
      <c r="V3219" s="1" t="s">
        <v>24</v>
      </c>
      <c r="W3219" s="1" t="s">
        <v>24</v>
      </c>
      <c r="X3219" s="1">
        <v>2735</v>
      </c>
      <c r="Y3219" s="1" t="s">
        <v>24</v>
      </c>
      <c r="Z3219" s="1" t="s">
        <v>24</v>
      </c>
      <c r="AA3219" s="1" t="s">
        <v>24</v>
      </c>
      <c r="AB3219" s="1" t="s">
        <v>24</v>
      </c>
      <c r="AC3219" s="1" t="s">
        <v>24</v>
      </c>
      <c r="AD3219" s="1" t="s">
        <v>24</v>
      </c>
      <c r="AE3219" s="1" t="s">
        <v>24</v>
      </c>
      <c r="AF3219" s="22"/>
    </row>
    <row r="3220" spans="1:32" x14ac:dyDescent="0.2">
      <c r="A3220" s="1">
        <v>25412</v>
      </c>
      <c r="B3220" s="1" t="s">
        <v>10018</v>
      </c>
      <c r="C3220" s="5" t="s">
        <v>0</v>
      </c>
      <c r="D3220" s="1" t="s">
        <v>10019</v>
      </c>
      <c r="E3220" s="1" t="s">
        <v>10020</v>
      </c>
      <c r="F3220" s="1" t="s">
        <v>291</v>
      </c>
      <c r="G3220" s="1" t="s">
        <v>292</v>
      </c>
      <c r="H3220" s="1" t="s">
        <v>37</v>
      </c>
      <c r="I3220" s="1" t="s">
        <v>16</v>
      </c>
      <c r="J3220" s="1">
        <v>1</v>
      </c>
      <c r="K3220" s="1">
        <v>6</v>
      </c>
      <c r="L3220" s="1" t="s">
        <v>31</v>
      </c>
      <c r="M3220" s="1" t="s">
        <v>18</v>
      </c>
      <c r="N3220" s="1" t="s">
        <v>18</v>
      </c>
      <c r="O3220" s="1">
        <v>2</v>
      </c>
      <c r="P3220" s="1">
        <v>6</v>
      </c>
      <c r="R3220" s="1" t="s">
        <v>19</v>
      </c>
      <c r="S3220" s="1" t="s">
        <v>20</v>
      </c>
      <c r="T3220" s="1" t="s">
        <v>21</v>
      </c>
      <c r="U3220" s="1" t="s">
        <v>22</v>
      </c>
      <c r="V3220" s="1" t="s">
        <v>24</v>
      </c>
      <c r="W3220" s="1" t="s">
        <v>24</v>
      </c>
      <c r="X3220" s="1">
        <v>2736</v>
      </c>
      <c r="Y3220" s="1" t="s">
        <v>24</v>
      </c>
      <c r="Z3220" s="1" t="s">
        <v>24</v>
      </c>
      <c r="AA3220" s="1" t="s">
        <v>24</v>
      </c>
      <c r="AB3220" s="1" t="s">
        <v>24</v>
      </c>
      <c r="AC3220" s="1" t="s">
        <v>24</v>
      </c>
      <c r="AD3220" s="1" t="s">
        <v>24</v>
      </c>
      <c r="AE3220" s="1" t="s">
        <v>24</v>
      </c>
      <c r="AF3220" s="22"/>
    </row>
    <row r="3221" spans="1:32" x14ac:dyDescent="0.2">
      <c r="A3221" s="1">
        <v>25424</v>
      </c>
      <c r="B3221" s="1" t="s">
        <v>10021</v>
      </c>
      <c r="C3221" s="5" t="s">
        <v>0</v>
      </c>
      <c r="D3221" s="1" t="s">
        <v>10022</v>
      </c>
      <c r="E3221" s="1" t="s">
        <v>10023</v>
      </c>
      <c r="F3221" s="1" t="s">
        <v>1260</v>
      </c>
      <c r="G3221" s="1" t="s">
        <v>130</v>
      </c>
      <c r="H3221" s="1" t="s">
        <v>111</v>
      </c>
      <c r="I3221" s="1" t="s">
        <v>16</v>
      </c>
      <c r="J3221" s="1">
        <v>1</v>
      </c>
      <c r="K3221" s="1">
        <v>4</v>
      </c>
      <c r="L3221" s="1" t="s">
        <v>31</v>
      </c>
      <c r="M3221" s="1" t="s">
        <v>18</v>
      </c>
      <c r="N3221" s="1" t="s">
        <v>18</v>
      </c>
      <c r="O3221" s="1">
        <v>3</v>
      </c>
      <c r="P3221" s="1">
        <v>6</v>
      </c>
      <c r="R3221" s="1" t="s">
        <v>19</v>
      </c>
      <c r="S3221" s="1" t="s">
        <v>20</v>
      </c>
      <c r="T3221" s="1" t="s">
        <v>21</v>
      </c>
      <c r="U3221" s="1" t="s">
        <v>22</v>
      </c>
      <c r="V3221" s="1" t="s">
        <v>23</v>
      </c>
      <c r="W3221" s="1" t="s">
        <v>24</v>
      </c>
      <c r="X3221" s="1">
        <v>2002</v>
      </c>
      <c r="Y3221" s="1">
        <v>2719</v>
      </c>
      <c r="Z3221" s="1" t="s">
        <v>24</v>
      </c>
      <c r="AA3221" s="1" t="s">
        <v>24</v>
      </c>
      <c r="AB3221" s="1" t="s">
        <v>24</v>
      </c>
      <c r="AC3221" s="1" t="s">
        <v>24</v>
      </c>
      <c r="AD3221" s="1" t="s">
        <v>24</v>
      </c>
      <c r="AE3221" s="1" t="s">
        <v>24</v>
      </c>
      <c r="AF3221" s="22"/>
    </row>
    <row r="3222" spans="1:32" x14ac:dyDescent="0.2">
      <c r="A3222" s="1">
        <v>25426</v>
      </c>
      <c r="B3222" s="1" t="s">
        <v>10024</v>
      </c>
      <c r="C3222" s="5" t="s">
        <v>0</v>
      </c>
      <c r="D3222" s="1" t="s">
        <v>10025</v>
      </c>
      <c r="E3222" s="1" t="s">
        <v>10026</v>
      </c>
      <c r="F3222" s="1" t="s">
        <v>10027</v>
      </c>
      <c r="G3222" s="1" t="s">
        <v>10027</v>
      </c>
      <c r="H3222" s="1" t="s">
        <v>1957</v>
      </c>
      <c r="I3222" s="1" t="s">
        <v>16</v>
      </c>
      <c r="J3222" s="1">
        <v>1</v>
      </c>
      <c r="K3222" s="1">
        <v>4</v>
      </c>
      <c r="L3222" s="1" t="s">
        <v>42</v>
      </c>
      <c r="M3222" s="1" t="s">
        <v>18</v>
      </c>
      <c r="N3222" s="1" t="s">
        <v>18</v>
      </c>
      <c r="O3222" s="1">
        <v>3</v>
      </c>
      <c r="P3222" s="1">
        <v>6</v>
      </c>
      <c r="R3222" s="1" t="s">
        <v>19</v>
      </c>
      <c r="S3222" s="1" t="s">
        <v>20</v>
      </c>
      <c r="T3222" s="1" t="s">
        <v>21</v>
      </c>
      <c r="U3222" s="1" t="s">
        <v>22</v>
      </c>
      <c r="V3222" s="1" t="s">
        <v>24</v>
      </c>
      <c r="W3222" s="1" t="s">
        <v>24</v>
      </c>
      <c r="X3222" s="1">
        <v>2741</v>
      </c>
      <c r="Y3222" s="1">
        <v>3614</v>
      </c>
      <c r="Z3222" s="1" t="s">
        <v>24</v>
      </c>
      <c r="AA3222" s="1" t="s">
        <v>24</v>
      </c>
      <c r="AB3222" s="1" t="s">
        <v>24</v>
      </c>
      <c r="AC3222" s="1" t="s">
        <v>24</v>
      </c>
      <c r="AD3222" s="1" t="s">
        <v>24</v>
      </c>
      <c r="AE3222" s="1" t="s">
        <v>24</v>
      </c>
      <c r="AF3222" s="22" t="s">
        <v>17717</v>
      </c>
    </row>
    <row r="3223" spans="1:32" x14ac:dyDescent="0.2">
      <c r="A3223" s="1">
        <v>25446</v>
      </c>
      <c r="B3223" s="1" t="s">
        <v>10028</v>
      </c>
      <c r="C3223" s="5" t="s">
        <v>0</v>
      </c>
      <c r="D3223" s="1" t="s">
        <v>10029</v>
      </c>
      <c r="F3223" s="1" t="s">
        <v>10030</v>
      </c>
      <c r="G3223" s="1" t="s">
        <v>10030</v>
      </c>
      <c r="H3223" s="1" t="s">
        <v>249</v>
      </c>
      <c r="I3223" s="1" t="s">
        <v>16</v>
      </c>
      <c r="J3223" s="1">
        <v>1</v>
      </c>
      <c r="K3223" s="1">
        <v>4</v>
      </c>
      <c r="L3223" s="1" t="s">
        <v>42</v>
      </c>
      <c r="M3223" s="1" t="s">
        <v>18</v>
      </c>
      <c r="N3223" s="1" t="s">
        <v>18</v>
      </c>
      <c r="O3223" s="1">
        <v>3</v>
      </c>
      <c r="P3223" s="1">
        <v>6</v>
      </c>
      <c r="R3223" s="1" t="s">
        <v>19</v>
      </c>
      <c r="S3223" s="1" t="s">
        <v>20</v>
      </c>
      <c r="T3223" s="1" t="s">
        <v>21</v>
      </c>
      <c r="U3223" s="1" t="s">
        <v>22</v>
      </c>
      <c r="V3223" s="1" t="s">
        <v>24</v>
      </c>
      <c r="W3223" s="1" t="s">
        <v>24</v>
      </c>
      <c r="X3223" s="1">
        <v>3206</v>
      </c>
      <c r="Y3223" s="1">
        <v>3202</v>
      </c>
      <c r="Z3223" s="1" t="s">
        <v>24</v>
      </c>
      <c r="AA3223" s="1" t="s">
        <v>24</v>
      </c>
      <c r="AB3223" s="1" t="s">
        <v>24</v>
      </c>
      <c r="AC3223" s="1" t="s">
        <v>24</v>
      </c>
      <c r="AD3223" s="1" t="s">
        <v>24</v>
      </c>
      <c r="AE3223" s="1" t="s">
        <v>24</v>
      </c>
      <c r="AF3223" s="22"/>
    </row>
    <row r="3224" spans="1:32" x14ac:dyDescent="0.2">
      <c r="A3224" s="1">
        <v>25450</v>
      </c>
      <c r="B3224" s="1" t="s">
        <v>10031</v>
      </c>
      <c r="C3224" s="5" t="s">
        <v>0</v>
      </c>
      <c r="D3224" s="1" t="s">
        <v>10032</v>
      </c>
      <c r="F3224" s="1" t="s">
        <v>10033</v>
      </c>
      <c r="G3224" s="1" t="s">
        <v>10033</v>
      </c>
      <c r="H3224" s="1" t="s">
        <v>1116</v>
      </c>
      <c r="I3224" s="1" t="s">
        <v>16</v>
      </c>
      <c r="J3224" s="1">
        <v>1</v>
      </c>
      <c r="K3224" s="1">
        <v>6</v>
      </c>
      <c r="L3224" s="1" t="s">
        <v>42</v>
      </c>
      <c r="M3224" s="1" t="s">
        <v>18</v>
      </c>
      <c r="N3224" s="1" t="s">
        <v>18</v>
      </c>
      <c r="O3224" s="1">
        <v>3</v>
      </c>
      <c r="P3224" s="1">
        <v>6</v>
      </c>
      <c r="R3224" s="1" t="s">
        <v>19</v>
      </c>
      <c r="S3224" s="1" t="s">
        <v>20</v>
      </c>
      <c r="T3224" s="1" t="s">
        <v>21</v>
      </c>
      <c r="U3224" s="1" t="s">
        <v>22</v>
      </c>
      <c r="V3224" s="1" t="s">
        <v>24</v>
      </c>
      <c r="W3224" s="1" t="s">
        <v>24</v>
      </c>
      <c r="X3224" s="1">
        <v>2700</v>
      </c>
      <c r="Y3224" s="1" t="s">
        <v>24</v>
      </c>
      <c r="Z3224" s="1" t="s">
        <v>24</v>
      </c>
      <c r="AA3224" s="1" t="s">
        <v>24</v>
      </c>
      <c r="AB3224" s="1" t="s">
        <v>24</v>
      </c>
      <c r="AC3224" s="1" t="s">
        <v>24</v>
      </c>
      <c r="AD3224" s="1" t="s">
        <v>24</v>
      </c>
      <c r="AE3224" s="1" t="s">
        <v>24</v>
      </c>
      <c r="AF3224" s="22"/>
    </row>
    <row r="3225" spans="1:32" x14ac:dyDescent="0.2">
      <c r="A3225" s="1">
        <v>25451</v>
      </c>
      <c r="B3225" s="1" t="s">
        <v>10034</v>
      </c>
      <c r="C3225" s="5" t="s">
        <v>0</v>
      </c>
      <c r="D3225" s="1" t="s">
        <v>10035</v>
      </c>
      <c r="E3225" s="1" t="s">
        <v>10036</v>
      </c>
      <c r="F3225" s="1" t="s">
        <v>1897</v>
      </c>
      <c r="G3225" s="1" t="s">
        <v>1898</v>
      </c>
      <c r="H3225" s="1" t="s">
        <v>899</v>
      </c>
      <c r="I3225" s="1" t="s">
        <v>16</v>
      </c>
      <c r="J3225" s="1">
        <v>1</v>
      </c>
      <c r="K3225" s="1">
        <v>4</v>
      </c>
      <c r="L3225" s="1" t="s">
        <v>31</v>
      </c>
      <c r="M3225" s="1" t="s">
        <v>18</v>
      </c>
      <c r="N3225" s="1" t="s">
        <v>18</v>
      </c>
      <c r="O3225" s="1">
        <v>3</v>
      </c>
      <c r="P3225" s="1">
        <v>6</v>
      </c>
      <c r="R3225" s="1" t="s">
        <v>19</v>
      </c>
      <c r="S3225" s="1" t="s">
        <v>20</v>
      </c>
      <c r="T3225" s="1" t="s">
        <v>21</v>
      </c>
      <c r="U3225" s="1" t="s">
        <v>22</v>
      </c>
      <c r="V3225" s="1" t="s">
        <v>23</v>
      </c>
      <c r="W3225" s="1" t="s">
        <v>24</v>
      </c>
      <c r="X3225" s="1">
        <v>2706</v>
      </c>
      <c r="Y3225" s="1" t="s">
        <v>24</v>
      </c>
      <c r="Z3225" s="1" t="s">
        <v>24</v>
      </c>
      <c r="AA3225" s="1" t="s">
        <v>24</v>
      </c>
      <c r="AB3225" s="1" t="s">
        <v>24</v>
      </c>
      <c r="AC3225" s="1" t="s">
        <v>24</v>
      </c>
      <c r="AD3225" s="1" t="s">
        <v>24</v>
      </c>
      <c r="AE3225" s="1" t="s">
        <v>24</v>
      </c>
      <c r="AF3225" s="22"/>
    </row>
    <row r="3226" spans="1:32" x14ac:dyDescent="0.2">
      <c r="A3226" s="1">
        <v>25453</v>
      </c>
      <c r="B3226" s="1" t="s">
        <v>10037</v>
      </c>
      <c r="C3226" s="5" t="s">
        <v>0</v>
      </c>
      <c r="D3226" s="1" t="s">
        <v>10038</v>
      </c>
      <c r="E3226" s="1" t="s">
        <v>10039</v>
      </c>
      <c r="F3226" s="1" t="s">
        <v>1897</v>
      </c>
      <c r="G3226" s="1" t="s">
        <v>1898</v>
      </c>
      <c r="H3226" s="1" t="s">
        <v>899</v>
      </c>
      <c r="I3226" s="1" t="s">
        <v>16</v>
      </c>
      <c r="J3226" s="1">
        <v>1</v>
      </c>
      <c r="K3226" s="1">
        <v>3</v>
      </c>
      <c r="L3226" s="1" t="s">
        <v>31</v>
      </c>
      <c r="M3226" s="1" t="s">
        <v>18</v>
      </c>
      <c r="N3226" s="1" t="s">
        <v>18</v>
      </c>
      <c r="O3226" s="1">
        <v>3</v>
      </c>
      <c r="P3226" s="1">
        <v>6</v>
      </c>
      <c r="R3226" s="1" t="s">
        <v>19</v>
      </c>
      <c r="S3226" s="1" t="s">
        <v>20</v>
      </c>
      <c r="T3226" s="1" t="s">
        <v>21</v>
      </c>
      <c r="U3226" s="1" t="s">
        <v>22</v>
      </c>
      <c r="V3226" s="1" t="s">
        <v>24</v>
      </c>
      <c r="W3226" s="1" t="s">
        <v>24</v>
      </c>
      <c r="X3226" s="1">
        <v>1311</v>
      </c>
      <c r="Y3226" s="1">
        <v>2716</v>
      </c>
      <c r="Z3226" s="1" t="s">
        <v>24</v>
      </c>
      <c r="AA3226" s="1" t="s">
        <v>24</v>
      </c>
      <c r="AB3226" s="1" t="s">
        <v>24</v>
      </c>
      <c r="AC3226" s="1" t="s">
        <v>24</v>
      </c>
      <c r="AD3226" s="1" t="s">
        <v>24</v>
      </c>
      <c r="AE3226" s="1" t="s">
        <v>24</v>
      </c>
      <c r="AF3226" s="22"/>
    </row>
    <row r="3227" spans="1:32" x14ac:dyDescent="0.2">
      <c r="A3227" s="1">
        <v>25459</v>
      </c>
      <c r="B3227" s="1" t="s">
        <v>10040</v>
      </c>
      <c r="C3227" s="5" t="s">
        <v>0</v>
      </c>
      <c r="D3227" s="1" t="s">
        <v>10041</v>
      </c>
      <c r="E3227" s="1" t="s">
        <v>10042</v>
      </c>
      <c r="F3227" s="1" t="s">
        <v>10043</v>
      </c>
      <c r="G3227" s="1" t="s">
        <v>10044</v>
      </c>
      <c r="H3227" s="1" t="s">
        <v>37</v>
      </c>
      <c r="I3227" s="1" t="s">
        <v>16</v>
      </c>
      <c r="J3227" s="1">
        <v>1</v>
      </c>
      <c r="K3227" s="1">
        <v>4</v>
      </c>
      <c r="L3227" s="1" t="s">
        <v>31</v>
      </c>
      <c r="M3227" s="1" t="s">
        <v>18</v>
      </c>
      <c r="N3227" s="1" t="s">
        <v>18</v>
      </c>
      <c r="O3227" s="1">
        <v>3</v>
      </c>
      <c r="P3227" s="1">
        <v>7</v>
      </c>
      <c r="Q3227" s="7" t="s">
        <v>17633</v>
      </c>
      <c r="R3227" s="1" t="s">
        <v>19</v>
      </c>
      <c r="S3227" s="1" t="s">
        <v>20</v>
      </c>
      <c r="T3227" s="1" t="s">
        <v>21</v>
      </c>
      <c r="U3227" s="1" t="s">
        <v>22</v>
      </c>
      <c r="V3227" s="1" t="s">
        <v>23</v>
      </c>
      <c r="W3227" s="1" t="s">
        <v>24</v>
      </c>
      <c r="X3227" s="1">
        <v>2719</v>
      </c>
      <c r="Y3227" s="1" t="s">
        <v>24</v>
      </c>
      <c r="Z3227" s="1" t="s">
        <v>24</v>
      </c>
      <c r="AA3227" s="1" t="s">
        <v>24</v>
      </c>
      <c r="AB3227" s="1" t="s">
        <v>24</v>
      </c>
      <c r="AC3227" s="1" t="s">
        <v>24</v>
      </c>
      <c r="AD3227" s="1" t="s">
        <v>24</v>
      </c>
      <c r="AE3227" s="1" t="s">
        <v>24</v>
      </c>
      <c r="AF3227" s="22"/>
    </row>
    <row r="3228" spans="1:32" x14ac:dyDescent="0.2">
      <c r="A3228" s="1">
        <v>25467</v>
      </c>
      <c r="B3228" s="1" t="s">
        <v>10045</v>
      </c>
      <c r="C3228" s="5" t="s">
        <v>0</v>
      </c>
      <c r="D3228" s="1" t="s">
        <v>10046</v>
      </c>
      <c r="E3228" s="1" t="s">
        <v>10047</v>
      </c>
      <c r="F3228" s="1" t="s">
        <v>217</v>
      </c>
      <c r="G3228" s="1" t="s">
        <v>130</v>
      </c>
      <c r="H3228" s="1" t="s">
        <v>92</v>
      </c>
      <c r="I3228" s="1" t="s">
        <v>16</v>
      </c>
      <c r="J3228" s="1">
        <v>1</v>
      </c>
      <c r="K3228" s="1">
        <v>4</v>
      </c>
      <c r="L3228" s="1" t="s">
        <v>31</v>
      </c>
      <c r="M3228" s="1" t="s">
        <v>18</v>
      </c>
      <c r="N3228" s="1" t="s">
        <v>18</v>
      </c>
      <c r="O3228" s="1">
        <v>3</v>
      </c>
      <c r="P3228" s="1">
        <v>6</v>
      </c>
      <c r="R3228" s="1" t="s">
        <v>19</v>
      </c>
      <c r="S3228" s="1" t="s">
        <v>20</v>
      </c>
      <c r="T3228" s="1" t="s">
        <v>21</v>
      </c>
      <c r="U3228" s="1" t="s">
        <v>22</v>
      </c>
      <c r="V3228" s="1" t="s">
        <v>24</v>
      </c>
      <c r="W3228" s="1" t="s">
        <v>24</v>
      </c>
      <c r="X3228" s="1">
        <v>1706</v>
      </c>
      <c r="Y3228" s="1" t="s">
        <v>24</v>
      </c>
      <c r="Z3228" s="1" t="s">
        <v>24</v>
      </c>
      <c r="AA3228" s="1" t="s">
        <v>24</v>
      </c>
      <c r="AB3228" s="1" t="s">
        <v>24</v>
      </c>
      <c r="AC3228" s="1" t="s">
        <v>24</v>
      </c>
      <c r="AD3228" s="1" t="s">
        <v>24</v>
      </c>
      <c r="AE3228" s="1" t="s">
        <v>24</v>
      </c>
      <c r="AF3228" s="22"/>
    </row>
    <row r="3229" spans="1:32" x14ac:dyDescent="0.2">
      <c r="A3229" s="1">
        <v>25468</v>
      </c>
      <c r="B3229" s="1" t="s">
        <v>10048</v>
      </c>
      <c r="C3229" s="5" t="s">
        <v>0</v>
      </c>
      <c r="D3229" s="1" t="s">
        <v>10049</v>
      </c>
      <c r="E3229" s="1" t="s">
        <v>10050</v>
      </c>
      <c r="F3229" s="1" t="s">
        <v>548</v>
      </c>
      <c r="G3229" s="1" t="s">
        <v>36</v>
      </c>
      <c r="H3229" s="1" t="s">
        <v>30</v>
      </c>
      <c r="I3229" s="1" t="s">
        <v>16</v>
      </c>
      <c r="J3229" s="1">
        <v>1</v>
      </c>
      <c r="K3229" s="1">
        <v>6</v>
      </c>
      <c r="L3229" s="1" t="s">
        <v>31</v>
      </c>
      <c r="M3229" s="1" t="s">
        <v>18</v>
      </c>
      <c r="N3229" s="1" t="s">
        <v>18</v>
      </c>
      <c r="O3229" s="1">
        <v>3</v>
      </c>
      <c r="P3229" s="1">
        <v>6</v>
      </c>
      <c r="R3229" s="1" t="s">
        <v>19</v>
      </c>
      <c r="S3229" s="1" t="s">
        <v>20</v>
      </c>
      <c r="T3229" s="1" t="s">
        <v>21</v>
      </c>
      <c r="U3229" s="1" t="s">
        <v>22</v>
      </c>
      <c r="V3229" s="1" t="s">
        <v>23</v>
      </c>
      <c r="W3229" s="1" t="s">
        <v>24</v>
      </c>
      <c r="X3229" s="1">
        <v>2703</v>
      </c>
      <c r="Y3229" s="1" t="s">
        <v>24</v>
      </c>
      <c r="Z3229" s="1" t="s">
        <v>24</v>
      </c>
      <c r="AA3229" s="1" t="s">
        <v>24</v>
      </c>
      <c r="AB3229" s="1" t="s">
        <v>24</v>
      </c>
      <c r="AC3229" s="1" t="s">
        <v>24</v>
      </c>
      <c r="AD3229" s="1" t="s">
        <v>24</v>
      </c>
      <c r="AE3229" s="1" t="s">
        <v>24</v>
      </c>
      <c r="AF3229" s="22"/>
    </row>
    <row r="3230" spans="1:32" x14ac:dyDescent="0.2">
      <c r="A3230" s="1">
        <v>25486</v>
      </c>
      <c r="B3230" s="1" t="s">
        <v>10051</v>
      </c>
      <c r="C3230" s="5" t="s">
        <v>0</v>
      </c>
      <c r="D3230" s="1" t="s">
        <v>10052</v>
      </c>
      <c r="F3230" s="1" t="s">
        <v>10053</v>
      </c>
      <c r="G3230" s="1" t="s">
        <v>10053</v>
      </c>
      <c r="H3230" s="1" t="s">
        <v>1007</v>
      </c>
      <c r="I3230" s="1" t="s">
        <v>16</v>
      </c>
      <c r="J3230" s="1">
        <v>1</v>
      </c>
      <c r="K3230" s="1">
        <v>4</v>
      </c>
      <c r="L3230" s="1" t="s">
        <v>17</v>
      </c>
      <c r="M3230" s="1" t="s">
        <v>4418</v>
      </c>
      <c r="N3230" s="1" t="s">
        <v>1009</v>
      </c>
      <c r="O3230" s="1">
        <v>2</v>
      </c>
      <c r="P3230" s="1">
        <v>5</v>
      </c>
      <c r="R3230" s="1" t="s">
        <v>19</v>
      </c>
      <c r="S3230" s="1" t="s">
        <v>20</v>
      </c>
      <c r="T3230" s="1" t="s">
        <v>21</v>
      </c>
      <c r="U3230" s="1" t="s">
        <v>22</v>
      </c>
      <c r="V3230" s="1" t="s">
        <v>24</v>
      </c>
      <c r="W3230" s="1" t="s">
        <v>24</v>
      </c>
      <c r="X3230" s="1">
        <v>3002</v>
      </c>
      <c r="Y3230" s="1">
        <v>3003</v>
      </c>
      <c r="Z3230" s="1">
        <v>3004</v>
      </c>
      <c r="AA3230" s="1" t="s">
        <v>24</v>
      </c>
      <c r="AB3230" s="1" t="s">
        <v>24</v>
      </c>
      <c r="AC3230" s="1" t="s">
        <v>24</v>
      </c>
      <c r="AD3230" s="1" t="s">
        <v>24</v>
      </c>
      <c r="AE3230" s="1" t="s">
        <v>24</v>
      </c>
      <c r="AF3230" s="22"/>
    </row>
    <row r="3231" spans="1:32" x14ac:dyDescent="0.2">
      <c r="A3231" s="1">
        <v>25522</v>
      </c>
      <c r="B3231" s="1" t="s">
        <v>10054</v>
      </c>
      <c r="C3231" s="5" t="s">
        <v>0</v>
      </c>
      <c r="D3231" s="1" t="s">
        <v>10055</v>
      </c>
      <c r="E3231" s="1" t="s">
        <v>10056</v>
      </c>
      <c r="F3231" s="1" t="s">
        <v>91</v>
      </c>
      <c r="G3231" s="1" t="s">
        <v>61</v>
      </c>
      <c r="H3231" s="1" t="s">
        <v>92</v>
      </c>
      <c r="I3231" s="1" t="s">
        <v>16</v>
      </c>
      <c r="J3231" s="1">
        <v>1</v>
      </c>
      <c r="K3231" s="1">
        <v>12</v>
      </c>
      <c r="L3231" s="1" t="s">
        <v>31</v>
      </c>
      <c r="M3231" s="1" t="s">
        <v>18</v>
      </c>
      <c r="N3231" s="1" t="s">
        <v>18</v>
      </c>
      <c r="O3231" s="1">
        <v>3</v>
      </c>
      <c r="P3231" s="1">
        <v>8</v>
      </c>
      <c r="Q3231" s="7" t="s">
        <v>17633</v>
      </c>
      <c r="R3231" s="1" t="s">
        <v>62</v>
      </c>
      <c r="S3231" s="1" t="s">
        <v>63</v>
      </c>
      <c r="T3231" s="1" t="s">
        <v>21</v>
      </c>
      <c r="U3231" s="1" t="s">
        <v>22</v>
      </c>
      <c r="V3231" s="1" t="s">
        <v>24</v>
      </c>
      <c r="W3231" s="1" t="s">
        <v>64</v>
      </c>
      <c r="X3231" s="1">
        <v>1303</v>
      </c>
      <c r="Y3231" s="1">
        <v>1304</v>
      </c>
      <c r="Z3231" s="1">
        <v>1602</v>
      </c>
      <c r="AA3231" s="1">
        <v>1312</v>
      </c>
      <c r="AB3231" s="1" t="s">
        <v>24</v>
      </c>
      <c r="AC3231" s="1" t="s">
        <v>24</v>
      </c>
      <c r="AD3231" s="1" t="s">
        <v>24</v>
      </c>
      <c r="AE3231" s="1" t="s">
        <v>24</v>
      </c>
      <c r="AF3231" s="22"/>
    </row>
    <row r="3232" spans="1:32" x14ac:dyDescent="0.2">
      <c r="A3232" s="1">
        <v>25574</v>
      </c>
      <c r="B3232" s="1" t="s">
        <v>10057</v>
      </c>
      <c r="C3232" s="5" t="s">
        <v>0</v>
      </c>
      <c r="D3232" s="1" t="s">
        <v>10058</v>
      </c>
      <c r="E3232" s="1" t="s">
        <v>10059</v>
      </c>
      <c r="F3232" s="1" t="s">
        <v>1683</v>
      </c>
      <c r="G3232" s="1" t="s">
        <v>61</v>
      </c>
      <c r="H3232" s="1" t="s">
        <v>116</v>
      </c>
      <c r="I3232" s="1" t="s">
        <v>16</v>
      </c>
      <c r="J3232" s="1">
        <v>3</v>
      </c>
      <c r="K3232" s="1">
        <v>12</v>
      </c>
      <c r="L3232" s="1" t="s">
        <v>31</v>
      </c>
      <c r="M3232" s="1" t="s">
        <v>117</v>
      </c>
      <c r="N3232" s="1" t="s">
        <v>117</v>
      </c>
      <c r="O3232" s="1">
        <v>2</v>
      </c>
      <c r="P3232" s="1">
        <v>6</v>
      </c>
      <c r="R3232" s="1" t="s">
        <v>19</v>
      </c>
      <c r="S3232" s="1" t="s">
        <v>20</v>
      </c>
      <c r="T3232" s="1" t="s">
        <v>21</v>
      </c>
      <c r="U3232" s="1" t="s">
        <v>22</v>
      </c>
      <c r="V3232" s="1" t="s">
        <v>24</v>
      </c>
      <c r="W3232" s="1" t="s">
        <v>24</v>
      </c>
      <c r="X3232" s="1">
        <v>2700</v>
      </c>
      <c r="Y3232" s="1" t="s">
        <v>24</v>
      </c>
      <c r="Z3232" s="1" t="s">
        <v>24</v>
      </c>
      <c r="AA3232" s="1" t="s">
        <v>24</v>
      </c>
      <c r="AB3232" s="1" t="s">
        <v>24</v>
      </c>
      <c r="AC3232" s="1" t="s">
        <v>24</v>
      </c>
      <c r="AD3232" s="1" t="s">
        <v>24</v>
      </c>
      <c r="AE3232" s="1" t="s">
        <v>24</v>
      </c>
      <c r="AF3232" s="22"/>
    </row>
    <row r="3233" spans="1:32" x14ac:dyDescent="0.2">
      <c r="A3233" s="1">
        <v>25575</v>
      </c>
      <c r="B3233" s="1" t="s">
        <v>10060</v>
      </c>
      <c r="C3233" s="5" t="s">
        <v>0</v>
      </c>
      <c r="D3233" s="1" t="s">
        <v>10061</v>
      </c>
      <c r="E3233" s="1" t="s">
        <v>10062</v>
      </c>
      <c r="F3233" s="1" t="s">
        <v>10063</v>
      </c>
      <c r="G3233" s="1" t="s">
        <v>10063</v>
      </c>
      <c r="H3233" s="1" t="s">
        <v>116</v>
      </c>
      <c r="I3233" s="1" t="s">
        <v>16</v>
      </c>
      <c r="J3233" s="1">
        <v>1</v>
      </c>
      <c r="K3233" s="1">
        <v>4</v>
      </c>
      <c r="L3233" s="1" t="s">
        <v>42</v>
      </c>
      <c r="M3233" s="1" t="s">
        <v>117</v>
      </c>
      <c r="N3233" s="1" t="s">
        <v>226</v>
      </c>
      <c r="O3233" s="1">
        <v>2</v>
      </c>
      <c r="P3233" s="1">
        <v>6</v>
      </c>
      <c r="R3233" s="1" t="s">
        <v>19</v>
      </c>
      <c r="S3233" s="1" t="s">
        <v>20</v>
      </c>
      <c r="T3233" s="1" t="s">
        <v>21</v>
      </c>
      <c r="U3233" s="1" t="s">
        <v>22</v>
      </c>
      <c r="V3233" s="1" t="s">
        <v>24</v>
      </c>
      <c r="W3233" s="1" t="s">
        <v>24</v>
      </c>
      <c r="X3233" s="1">
        <v>2740</v>
      </c>
      <c r="Y3233" s="1" t="s">
        <v>24</v>
      </c>
      <c r="Z3233" s="1" t="s">
        <v>24</v>
      </c>
      <c r="AA3233" s="1" t="s">
        <v>24</v>
      </c>
      <c r="AB3233" s="1" t="s">
        <v>24</v>
      </c>
      <c r="AC3233" s="1" t="s">
        <v>24</v>
      </c>
      <c r="AD3233" s="1" t="s">
        <v>24</v>
      </c>
      <c r="AE3233" s="1" t="s">
        <v>24</v>
      </c>
      <c r="AF3233" s="22"/>
    </row>
    <row r="3234" spans="1:32" x14ac:dyDescent="0.2">
      <c r="A3234" s="1">
        <v>25576</v>
      </c>
      <c r="B3234" s="1" t="s">
        <v>10064</v>
      </c>
      <c r="C3234" s="5" t="s">
        <v>0</v>
      </c>
      <c r="D3234" s="1" t="s">
        <v>10065</v>
      </c>
      <c r="E3234" s="1" t="s">
        <v>10066</v>
      </c>
      <c r="F3234" s="1" t="s">
        <v>221</v>
      </c>
      <c r="G3234" s="1" t="s">
        <v>61</v>
      </c>
      <c r="H3234" s="1" t="s">
        <v>222</v>
      </c>
      <c r="I3234" s="1" t="s">
        <v>16</v>
      </c>
      <c r="J3234" s="1">
        <v>0</v>
      </c>
      <c r="K3234" s="1">
        <v>0</v>
      </c>
      <c r="L3234" s="1" t="s">
        <v>31</v>
      </c>
      <c r="M3234" s="1" t="s">
        <v>18</v>
      </c>
      <c r="N3234" s="1" t="s">
        <v>18</v>
      </c>
      <c r="O3234" s="1">
        <v>3</v>
      </c>
      <c r="P3234" s="1">
        <v>8</v>
      </c>
      <c r="Q3234" s="7" t="s">
        <v>17633</v>
      </c>
      <c r="R3234" s="1" t="s">
        <v>62</v>
      </c>
      <c r="S3234" s="1" t="s">
        <v>20</v>
      </c>
      <c r="T3234" s="1" t="s">
        <v>21</v>
      </c>
      <c r="U3234" s="1" t="s">
        <v>22</v>
      </c>
      <c r="V3234" s="1" t="s">
        <v>24</v>
      </c>
      <c r="W3234" s="1" t="s">
        <v>24</v>
      </c>
      <c r="X3234" s="1">
        <v>2705</v>
      </c>
      <c r="Y3234" s="1">
        <v>2724</v>
      </c>
      <c r="Z3234" s="1" t="s">
        <v>24</v>
      </c>
      <c r="AA3234" s="1" t="s">
        <v>24</v>
      </c>
      <c r="AB3234" s="1" t="s">
        <v>24</v>
      </c>
      <c r="AC3234" s="1" t="s">
        <v>24</v>
      </c>
      <c r="AD3234" s="1" t="s">
        <v>24</v>
      </c>
      <c r="AE3234" s="1" t="s">
        <v>24</v>
      </c>
      <c r="AF3234" s="22"/>
    </row>
    <row r="3235" spans="1:32" x14ac:dyDescent="0.2">
      <c r="A3235" s="1">
        <v>25611</v>
      </c>
      <c r="B3235" s="1" t="s">
        <v>10067</v>
      </c>
      <c r="C3235" s="5" t="s">
        <v>0</v>
      </c>
      <c r="D3235" s="1" t="s">
        <v>10068</v>
      </c>
      <c r="E3235" s="1" t="s">
        <v>10069</v>
      </c>
      <c r="F3235" s="1" t="s">
        <v>320</v>
      </c>
      <c r="G3235" s="1" t="s">
        <v>36</v>
      </c>
      <c r="H3235" s="1" t="s">
        <v>30</v>
      </c>
      <c r="I3235" s="1" t="s">
        <v>16</v>
      </c>
      <c r="J3235" s="1">
        <v>2</v>
      </c>
      <c r="K3235" s="1">
        <v>7</v>
      </c>
      <c r="L3235" s="1" t="s">
        <v>31</v>
      </c>
      <c r="M3235" s="1" t="s">
        <v>18</v>
      </c>
      <c r="N3235" s="1" t="s">
        <v>18</v>
      </c>
      <c r="O3235" s="1">
        <v>3</v>
      </c>
      <c r="P3235" s="1">
        <v>7</v>
      </c>
      <c r="Q3235" s="7" t="s">
        <v>17633</v>
      </c>
      <c r="R3235" s="1" t="s">
        <v>19</v>
      </c>
      <c r="S3235" s="1" t="s">
        <v>20</v>
      </c>
      <c r="T3235" s="1" t="s">
        <v>21</v>
      </c>
      <c r="U3235" s="1" t="s">
        <v>22</v>
      </c>
      <c r="V3235" s="1" t="s">
        <v>24</v>
      </c>
      <c r="W3235" s="1" t="s">
        <v>24</v>
      </c>
      <c r="X3235" s="1">
        <v>2730</v>
      </c>
      <c r="Y3235" s="1">
        <v>2735</v>
      </c>
      <c r="Z3235" s="1">
        <v>2720</v>
      </c>
      <c r="AA3235" s="1" t="s">
        <v>24</v>
      </c>
      <c r="AB3235" s="1" t="s">
        <v>24</v>
      </c>
      <c r="AC3235" s="1" t="s">
        <v>24</v>
      </c>
      <c r="AD3235" s="1" t="s">
        <v>24</v>
      </c>
      <c r="AE3235" s="1" t="s">
        <v>24</v>
      </c>
      <c r="AF3235" s="22"/>
    </row>
    <row r="3236" spans="1:32" x14ac:dyDescent="0.2">
      <c r="A3236" s="1">
        <v>25612</v>
      </c>
      <c r="B3236" s="1" t="s">
        <v>10070</v>
      </c>
      <c r="C3236" s="5" t="s">
        <v>0</v>
      </c>
      <c r="D3236" s="1" t="s">
        <v>10071</v>
      </c>
      <c r="E3236" s="1" t="s">
        <v>10072</v>
      </c>
      <c r="F3236" s="1" t="s">
        <v>10070</v>
      </c>
      <c r="G3236" s="1" t="s">
        <v>10070</v>
      </c>
      <c r="H3236" s="1" t="s">
        <v>899</v>
      </c>
      <c r="I3236" s="1" t="s">
        <v>16</v>
      </c>
      <c r="J3236" s="1">
        <v>1</v>
      </c>
      <c r="K3236" s="1">
        <v>2</v>
      </c>
      <c r="L3236" s="1" t="s">
        <v>42</v>
      </c>
      <c r="M3236" s="1" t="s">
        <v>18</v>
      </c>
      <c r="N3236" s="1" t="s">
        <v>18</v>
      </c>
      <c r="O3236" s="1">
        <v>3</v>
      </c>
      <c r="P3236" s="1">
        <v>6</v>
      </c>
      <c r="R3236" s="1" t="s">
        <v>19</v>
      </c>
      <c r="S3236" s="1" t="s">
        <v>20</v>
      </c>
      <c r="T3236" s="1" t="s">
        <v>21</v>
      </c>
      <c r="U3236" s="1" t="s">
        <v>22</v>
      </c>
      <c r="V3236" s="1" t="s">
        <v>24</v>
      </c>
      <c r="W3236" s="1" t="s">
        <v>24</v>
      </c>
      <c r="X3236" s="1">
        <v>3005</v>
      </c>
      <c r="Y3236" s="1">
        <v>2734</v>
      </c>
      <c r="Z3236" s="1" t="s">
        <v>24</v>
      </c>
      <c r="AA3236" s="1" t="s">
        <v>24</v>
      </c>
      <c r="AB3236" s="1" t="s">
        <v>24</v>
      </c>
      <c r="AC3236" s="1" t="s">
        <v>24</v>
      </c>
      <c r="AD3236" s="1" t="s">
        <v>24</v>
      </c>
      <c r="AE3236" s="1" t="s">
        <v>24</v>
      </c>
      <c r="AF3236" s="22"/>
    </row>
    <row r="3237" spans="1:32" x14ac:dyDescent="0.2">
      <c r="A3237" s="1">
        <v>25614</v>
      </c>
      <c r="B3237" s="1" t="s">
        <v>10073</v>
      </c>
      <c r="C3237" s="5" t="s">
        <v>0</v>
      </c>
      <c r="D3237" s="1" t="s">
        <v>10074</v>
      </c>
      <c r="E3237" s="1" t="s">
        <v>10075</v>
      </c>
      <c r="F3237" s="1" t="s">
        <v>1708</v>
      </c>
      <c r="G3237" s="1" t="s">
        <v>1708</v>
      </c>
      <c r="H3237" s="1" t="s">
        <v>684</v>
      </c>
      <c r="I3237" s="1" t="s">
        <v>16</v>
      </c>
      <c r="J3237" s="1">
        <v>1</v>
      </c>
      <c r="K3237" s="1">
        <v>4</v>
      </c>
      <c r="L3237" s="1" t="s">
        <v>17</v>
      </c>
      <c r="M3237" s="1" t="s">
        <v>852</v>
      </c>
      <c r="N3237" s="1" t="s">
        <v>1755</v>
      </c>
      <c r="O3237" s="1">
        <v>3</v>
      </c>
      <c r="P3237" s="1">
        <v>6</v>
      </c>
      <c r="R3237" s="1" t="s">
        <v>19</v>
      </c>
      <c r="S3237" s="1" t="s">
        <v>20</v>
      </c>
      <c r="T3237" s="1" t="s">
        <v>21</v>
      </c>
      <c r="U3237" s="1" t="s">
        <v>22</v>
      </c>
      <c r="V3237" s="1" t="s">
        <v>24</v>
      </c>
      <c r="W3237" s="1" t="s">
        <v>24</v>
      </c>
      <c r="X3237" s="1">
        <v>2712</v>
      </c>
      <c r="Y3237" s="1">
        <v>2724</v>
      </c>
      <c r="Z3237" s="1">
        <v>1310</v>
      </c>
      <c r="AA3237" s="1" t="s">
        <v>24</v>
      </c>
      <c r="AB3237" s="1" t="s">
        <v>24</v>
      </c>
      <c r="AC3237" s="1" t="s">
        <v>24</v>
      </c>
      <c r="AD3237" s="1" t="s">
        <v>24</v>
      </c>
      <c r="AE3237" s="1" t="s">
        <v>24</v>
      </c>
      <c r="AF3237" s="22"/>
    </row>
    <row r="3238" spans="1:32" x14ac:dyDescent="0.2">
      <c r="A3238" s="1">
        <v>25628</v>
      </c>
      <c r="B3238" s="1" t="s">
        <v>10076</v>
      </c>
      <c r="C3238" s="5" t="s">
        <v>0</v>
      </c>
      <c r="D3238" s="1" t="s">
        <v>10077</v>
      </c>
      <c r="E3238" s="1" t="s">
        <v>10078</v>
      </c>
      <c r="F3238" s="1" t="s">
        <v>315</v>
      </c>
      <c r="G3238" s="1" t="s">
        <v>316</v>
      </c>
      <c r="H3238" s="1" t="s">
        <v>37</v>
      </c>
      <c r="I3238" s="1" t="s">
        <v>16</v>
      </c>
      <c r="J3238" s="1">
        <v>1</v>
      </c>
      <c r="K3238" s="1">
        <v>12</v>
      </c>
      <c r="L3238" s="1" t="s">
        <v>31</v>
      </c>
      <c r="M3238" s="1" t="s">
        <v>18</v>
      </c>
      <c r="N3238" s="1" t="s">
        <v>18</v>
      </c>
      <c r="O3238" s="1">
        <v>2</v>
      </c>
      <c r="P3238" s="1">
        <v>7</v>
      </c>
      <c r="Q3238" s="7" t="s">
        <v>17633</v>
      </c>
      <c r="R3238" s="1" t="s">
        <v>62</v>
      </c>
      <c r="S3238" s="1" t="s">
        <v>20</v>
      </c>
      <c r="T3238" s="1" t="s">
        <v>21</v>
      </c>
      <c r="U3238" s="1" t="s">
        <v>22</v>
      </c>
      <c r="V3238" s="1" t="s">
        <v>24</v>
      </c>
      <c r="W3238" s="1" t="s">
        <v>24</v>
      </c>
      <c r="X3238" s="1">
        <v>2400</v>
      </c>
      <c r="Y3238" s="1" t="s">
        <v>24</v>
      </c>
      <c r="Z3238" s="1" t="s">
        <v>24</v>
      </c>
      <c r="AA3238" s="1" t="s">
        <v>24</v>
      </c>
      <c r="AB3238" s="1" t="s">
        <v>24</v>
      </c>
      <c r="AC3238" s="1" t="s">
        <v>24</v>
      </c>
      <c r="AD3238" s="1" t="s">
        <v>24</v>
      </c>
      <c r="AE3238" s="1" t="s">
        <v>24</v>
      </c>
      <c r="AF3238" s="22"/>
    </row>
    <row r="3239" spans="1:32" x14ac:dyDescent="0.2">
      <c r="A3239" s="1">
        <v>25629</v>
      </c>
      <c r="B3239" s="1" t="s">
        <v>10079</v>
      </c>
      <c r="C3239" s="5" t="s">
        <v>0</v>
      </c>
      <c r="D3239" s="1" t="s">
        <v>10080</v>
      </c>
      <c r="E3239" s="1" t="s">
        <v>10081</v>
      </c>
      <c r="F3239" s="1" t="s">
        <v>1189</v>
      </c>
      <c r="G3239" s="1" t="s">
        <v>61</v>
      </c>
      <c r="H3239" s="1" t="s">
        <v>30</v>
      </c>
      <c r="I3239" s="1" t="s">
        <v>16</v>
      </c>
      <c r="J3239" s="1">
        <v>1</v>
      </c>
      <c r="K3239" s="1">
        <v>4</v>
      </c>
      <c r="L3239" s="1" t="s">
        <v>31</v>
      </c>
      <c r="M3239" s="1" t="s">
        <v>18</v>
      </c>
      <c r="N3239" s="1" t="s">
        <v>18</v>
      </c>
      <c r="O3239" s="1">
        <v>3</v>
      </c>
      <c r="P3239" s="1">
        <v>7</v>
      </c>
      <c r="Q3239" s="7" t="s">
        <v>17633</v>
      </c>
      <c r="R3239" s="1" t="s">
        <v>19</v>
      </c>
      <c r="S3239" s="1" t="s">
        <v>20</v>
      </c>
      <c r="T3239" s="1" t="s">
        <v>21</v>
      </c>
      <c r="U3239" s="1" t="s">
        <v>22</v>
      </c>
      <c r="V3239" s="1" t="s">
        <v>23</v>
      </c>
      <c r="W3239" s="1" t="s">
        <v>24</v>
      </c>
      <c r="X3239" s="1">
        <v>2736</v>
      </c>
      <c r="Y3239" s="1">
        <v>2717</v>
      </c>
      <c r="Z3239" s="1" t="s">
        <v>24</v>
      </c>
      <c r="AA3239" s="1" t="s">
        <v>24</v>
      </c>
      <c r="AB3239" s="1" t="s">
        <v>24</v>
      </c>
      <c r="AC3239" s="1" t="s">
        <v>24</v>
      </c>
      <c r="AD3239" s="1" t="s">
        <v>24</v>
      </c>
      <c r="AE3239" s="1" t="s">
        <v>24</v>
      </c>
      <c r="AF3239" s="22"/>
    </row>
    <row r="3240" spans="1:32" x14ac:dyDescent="0.2">
      <c r="A3240" s="1">
        <v>25650</v>
      </c>
      <c r="B3240" s="1" t="s">
        <v>10082</v>
      </c>
      <c r="C3240" s="5" t="s">
        <v>0</v>
      </c>
      <c r="D3240" s="1" t="s">
        <v>10083</v>
      </c>
      <c r="E3240" s="1" t="s">
        <v>10084</v>
      </c>
      <c r="F3240" s="1" t="s">
        <v>155</v>
      </c>
      <c r="G3240" s="1" t="s">
        <v>61</v>
      </c>
      <c r="H3240" s="1" t="s">
        <v>37</v>
      </c>
      <c r="I3240" s="1" t="s">
        <v>16</v>
      </c>
      <c r="J3240" s="1">
        <v>1</v>
      </c>
      <c r="K3240" s="1">
        <v>8</v>
      </c>
      <c r="L3240" s="1" t="s">
        <v>31</v>
      </c>
      <c r="M3240" s="1" t="s">
        <v>18</v>
      </c>
      <c r="N3240" s="1" t="s">
        <v>18</v>
      </c>
      <c r="O3240" s="1">
        <v>1</v>
      </c>
      <c r="P3240" s="1">
        <v>7</v>
      </c>
      <c r="Q3240" s="7" t="s">
        <v>17633</v>
      </c>
      <c r="R3240" s="1" t="s">
        <v>19</v>
      </c>
      <c r="S3240" s="1" t="s">
        <v>20</v>
      </c>
      <c r="T3240" s="1" t="s">
        <v>21</v>
      </c>
      <c r="U3240" s="1" t="s">
        <v>22</v>
      </c>
      <c r="V3240" s="1" t="s">
        <v>23</v>
      </c>
      <c r="W3240" s="1" t="s">
        <v>24</v>
      </c>
      <c r="X3240" s="1">
        <v>2746</v>
      </c>
      <c r="Y3240" s="1" t="s">
        <v>24</v>
      </c>
      <c r="Z3240" s="1" t="s">
        <v>24</v>
      </c>
      <c r="AA3240" s="1" t="s">
        <v>24</v>
      </c>
      <c r="AB3240" s="1" t="s">
        <v>24</v>
      </c>
      <c r="AC3240" s="1" t="s">
        <v>24</v>
      </c>
      <c r="AD3240" s="1" t="s">
        <v>24</v>
      </c>
      <c r="AE3240" s="1" t="s">
        <v>24</v>
      </c>
      <c r="AF3240" s="22"/>
    </row>
    <row r="3241" spans="1:32" x14ac:dyDescent="0.2">
      <c r="A3241" s="1">
        <v>25654</v>
      </c>
      <c r="B3241" s="1" t="s">
        <v>10085</v>
      </c>
      <c r="C3241" s="5" t="s">
        <v>0</v>
      </c>
      <c r="E3241" s="1" t="s">
        <v>10086</v>
      </c>
      <c r="F3241" s="1" t="s">
        <v>2299</v>
      </c>
      <c r="G3241" s="1" t="s">
        <v>2300</v>
      </c>
      <c r="H3241" s="1" t="s">
        <v>37</v>
      </c>
      <c r="I3241" s="1" t="s">
        <v>16</v>
      </c>
      <c r="J3241" s="1">
        <v>1</v>
      </c>
      <c r="K3241" s="1">
        <v>1</v>
      </c>
      <c r="L3241" s="1" t="s">
        <v>31</v>
      </c>
      <c r="M3241" s="1" t="s">
        <v>18</v>
      </c>
      <c r="N3241" s="1" t="s">
        <v>18</v>
      </c>
      <c r="O3241" s="1">
        <v>3</v>
      </c>
      <c r="P3241" s="1">
        <v>7</v>
      </c>
      <c r="Q3241" s="7" t="s">
        <v>17633</v>
      </c>
      <c r="R3241" s="1" t="s">
        <v>19</v>
      </c>
      <c r="S3241" s="1" t="s">
        <v>63</v>
      </c>
      <c r="T3241" s="1" t="s">
        <v>21</v>
      </c>
      <c r="U3241" s="1" t="s">
        <v>22</v>
      </c>
      <c r="V3241" s="1" t="s">
        <v>24</v>
      </c>
      <c r="W3241" s="1" t="s">
        <v>24</v>
      </c>
      <c r="X3241" s="1">
        <v>2705</v>
      </c>
      <c r="Y3241" s="1" t="s">
        <v>24</v>
      </c>
      <c r="Z3241" s="1" t="s">
        <v>24</v>
      </c>
      <c r="AA3241" s="1" t="s">
        <v>24</v>
      </c>
      <c r="AB3241" s="1" t="s">
        <v>24</v>
      </c>
      <c r="AC3241" s="1" t="s">
        <v>24</v>
      </c>
      <c r="AD3241" s="1" t="s">
        <v>24</v>
      </c>
      <c r="AE3241" s="1" t="s">
        <v>24</v>
      </c>
      <c r="AF3241" s="22"/>
    </row>
    <row r="3242" spans="1:32" x14ac:dyDescent="0.2">
      <c r="A3242" s="1">
        <v>25685</v>
      </c>
      <c r="B3242" s="1" t="s">
        <v>10087</v>
      </c>
      <c r="C3242" s="5" t="s">
        <v>0</v>
      </c>
      <c r="E3242" s="1" t="s">
        <v>10088</v>
      </c>
      <c r="F3242" s="1" t="s">
        <v>10087</v>
      </c>
      <c r="G3242" s="1" t="s">
        <v>10087</v>
      </c>
      <c r="H3242" s="1" t="s">
        <v>3585</v>
      </c>
      <c r="I3242" s="1" t="s">
        <v>16</v>
      </c>
      <c r="J3242" s="1">
        <v>1</v>
      </c>
      <c r="K3242" s="1">
        <v>3</v>
      </c>
      <c r="L3242" s="1" t="s">
        <v>42</v>
      </c>
      <c r="M3242" s="1" t="s">
        <v>18</v>
      </c>
      <c r="N3242" s="1" t="s">
        <v>18</v>
      </c>
      <c r="O3242" s="1">
        <v>3</v>
      </c>
      <c r="P3242" s="1">
        <v>6</v>
      </c>
      <c r="R3242" s="1" t="s">
        <v>19</v>
      </c>
      <c r="S3242" s="1" t="s">
        <v>20</v>
      </c>
      <c r="T3242" s="1" t="s">
        <v>21</v>
      </c>
      <c r="U3242" s="1" t="s">
        <v>22</v>
      </c>
      <c r="V3242" s="1" t="s">
        <v>24</v>
      </c>
      <c r="W3242" s="1" t="s">
        <v>24</v>
      </c>
      <c r="X3242" s="1">
        <v>1305</v>
      </c>
      <c r="Y3242" s="1">
        <v>2402</v>
      </c>
      <c r="Z3242" s="1" t="s">
        <v>24</v>
      </c>
      <c r="AA3242" s="1" t="s">
        <v>24</v>
      </c>
      <c r="AB3242" s="1" t="s">
        <v>24</v>
      </c>
      <c r="AC3242" s="1" t="s">
        <v>24</v>
      </c>
      <c r="AD3242" s="1" t="s">
        <v>24</v>
      </c>
      <c r="AE3242" s="1" t="s">
        <v>24</v>
      </c>
      <c r="AF3242" s="22"/>
    </row>
    <row r="3243" spans="1:32" x14ac:dyDescent="0.2">
      <c r="A3243" s="1">
        <v>25722</v>
      </c>
      <c r="B3243" s="1" t="s">
        <v>10089</v>
      </c>
      <c r="C3243" s="5" t="s">
        <v>0</v>
      </c>
      <c r="D3243" s="1" t="s">
        <v>10090</v>
      </c>
      <c r="E3243" s="1" t="s">
        <v>10091</v>
      </c>
      <c r="F3243" s="1" t="s">
        <v>10092</v>
      </c>
      <c r="G3243" s="1" t="s">
        <v>10093</v>
      </c>
      <c r="H3243" s="1" t="s">
        <v>168</v>
      </c>
      <c r="I3243" s="1" t="s">
        <v>16</v>
      </c>
      <c r="J3243" s="1">
        <v>1</v>
      </c>
      <c r="K3243" s="1">
        <v>6</v>
      </c>
      <c r="L3243" s="1" t="s">
        <v>31</v>
      </c>
      <c r="M3243" s="1" t="s">
        <v>242</v>
      </c>
      <c r="N3243" s="1" t="s">
        <v>242</v>
      </c>
      <c r="O3243" s="1">
        <v>3</v>
      </c>
      <c r="P3243" s="1">
        <v>5</v>
      </c>
      <c r="R3243" s="1" t="s">
        <v>19</v>
      </c>
      <c r="S3243" s="1" t="s">
        <v>20</v>
      </c>
      <c r="T3243" s="1" t="s">
        <v>21</v>
      </c>
      <c r="U3243" s="1" t="s">
        <v>22</v>
      </c>
      <c r="V3243" s="1" t="s">
        <v>24</v>
      </c>
      <c r="W3243" s="1" t="s">
        <v>24</v>
      </c>
      <c r="X3243" s="1">
        <v>2701</v>
      </c>
      <c r="Y3243" s="1">
        <v>2705</v>
      </c>
      <c r="Z3243" s="1">
        <v>3601</v>
      </c>
      <c r="AA3243" s="1" t="s">
        <v>24</v>
      </c>
      <c r="AB3243" s="1" t="s">
        <v>24</v>
      </c>
      <c r="AC3243" s="1" t="s">
        <v>24</v>
      </c>
      <c r="AD3243" s="1" t="s">
        <v>24</v>
      </c>
      <c r="AE3243" s="1" t="s">
        <v>24</v>
      </c>
      <c r="AF3243" s="22"/>
    </row>
    <row r="3244" spans="1:32" x14ac:dyDescent="0.2">
      <c r="A3244" s="1">
        <v>25753</v>
      </c>
      <c r="B3244" s="1" t="s">
        <v>10094</v>
      </c>
      <c r="C3244" s="5" t="s">
        <v>0</v>
      </c>
      <c r="D3244" s="1" t="s">
        <v>10095</v>
      </c>
      <c r="E3244" s="1" t="s">
        <v>10096</v>
      </c>
      <c r="F3244" s="1" t="s">
        <v>109</v>
      </c>
      <c r="G3244" s="1" t="s">
        <v>110</v>
      </c>
      <c r="H3244" s="1" t="s">
        <v>111</v>
      </c>
      <c r="I3244" s="1" t="s">
        <v>16</v>
      </c>
      <c r="J3244" s="1">
        <v>1</v>
      </c>
      <c r="K3244" s="1">
        <v>6</v>
      </c>
      <c r="L3244" s="1" t="s">
        <v>31</v>
      </c>
      <c r="M3244" s="1" t="s">
        <v>18</v>
      </c>
      <c r="N3244" s="1" t="s">
        <v>18</v>
      </c>
      <c r="O3244" s="1">
        <v>2</v>
      </c>
      <c r="P3244" s="1">
        <v>7</v>
      </c>
      <c r="Q3244" s="7" t="s">
        <v>17633</v>
      </c>
      <c r="R3244" s="1" t="s">
        <v>19</v>
      </c>
      <c r="S3244" s="1" t="s">
        <v>20</v>
      </c>
      <c r="T3244" s="1" t="s">
        <v>21</v>
      </c>
      <c r="U3244" s="1" t="s">
        <v>22</v>
      </c>
      <c r="V3244" s="1" t="s">
        <v>24</v>
      </c>
      <c r="W3244" s="1" t="s">
        <v>24</v>
      </c>
      <c r="X3244" s="1">
        <v>3004</v>
      </c>
      <c r="Y3244" s="1">
        <v>1314</v>
      </c>
      <c r="Z3244" s="1">
        <v>2708</v>
      </c>
      <c r="AA3244" s="1" t="s">
        <v>24</v>
      </c>
      <c r="AB3244" s="1" t="s">
        <v>24</v>
      </c>
      <c r="AC3244" s="1" t="s">
        <v>24</v>
      </c>
      <c r="AD3244" s="1" t="s">
        <v>24</v>
      </c>
      <c r="AE3244" s="1" t="s">
        <v>24</v>
      </c>
      <c r="AF3244" s="22"/>
    </row>
    <row r="3245" spans="1:32" x14ac:dyDescent="0.2">
      <c r="A3245" s="1">
        <v>25772</v>
      </c>
      <c r="B3245" s="1" t="s">
        <v>10097</v>
      </c>
      <c r="C3245" s="5" t="s">
        <v>0</v>
      </c>
      <c r="D3245" s="1" t="s">
        <v>10098</v>
      </c>
      <c r="E3245" s="1" t="s">
        <v>10099</v>
      </c>
      <c r="F3245" s="1" t="s">
        <v>60</v>
      </c>
      <c r="G3245" s="1" t="s">
        <v>61</v>
      </c>
      <c r="H3245" s="1" t="s">
        <v>30</v>
      </c>
      <c r="I3245" s="1" t="s">
        <v>16</v>
      </c>
      <c r="J3245" s="1">
        <v>1</v>
      </c>
      <c r="K3245" s="1">
        <v>4</v>
      </c>
      <c r="L3245" s="1" t="s">
        <v>31</v>
      </c>
      <c r="M3245" s="1" t="s">
        <v>18</v>
      </c>
      <c r="N3245" s="1" t="s">
        <v>18</v>
      </c>
      <c r="O3245" s="1">
        <v>0</v>
      </c>
      <c r="P3245" s="1">
        <v>6</v>
      </c>
      <c r="R3245" s="1" t="s">
        <v>19</v>
      </c>
      <c r="S3245" s="1" t="s">
        <v>20</v>
      </c>
      <c r="T3245" s="1" t="s">
        <v>21</v>
      </c>
      <c r="U3245" s="1" t="s">
        <v>22</v>
      </c>
      <c r="V3245" s="1" t="s">
        <v>24</v>
      </c>
      <c r="W3245" s="1" t="s">
        <v>24</v>
      </c>
      <c r="X3245" s="1">
        <v>2746</v>
      </c>
      <c r="Y3245" s="1">
        <v>2730</v>
      </c>
      <c r="Z3245" s="1" t="s">
        <v>24</v>
      </c>
      <c r="AA3245" s="1" t="s">
        <v>24</v>
      </c>
      <c r="AB3245" s="1" t="s">
        <v>24</v>
      </c>
      <c r="AC3245" s="1" t="s">
        <v>24</v>
      </c>
      <c r="AD3245" s="1" t="s">
        <v>24</v>
      </c>
      <c r="AE3245" s="1" t="s">
        <v>24</v>
      </c>
      <c r="AF3245" s="22"/>
    </row>
    <row r="3246" spans="1:32" x14ac:dyDescent="0.2">
      <c r="A3246" s="1">
        <v>25784</v>
      </c>
      <c r="B3246" s="1" t="s">
        <v>10100</v>
      </c>
      <c r="C3246" s="5" t="s">
        <v>0</v>
      </c>
      <c r="D3246" s="1" t="s">
        <v>10101</v>
      </c>
      <c r="E3246" s="1" t="s">
        <v>10102</v>
      </c>
      <c r="F3246" s="1" t="s">
        <v>241</v>
      </c>
      <c r="G3246" s="1" t="s">
        <v>61</v>
      </c>
      <c r="H3246" s="1" t="s">
        <v>168</v>
      </c>
      <c r="I3246" s="1" t="s">
        <v>16</v>
      </c>
      <c r="J3246" s="1">
        <v>1</v>
      </c>
      <c r="K3246" s="1">
        <v>4</v>
      </c>
      <c r="L3246" s="1" t="s">
        <v>31</v>
      </c>
      <c r="M3246" s="1" t="s">
        <v>413</v>
      </c>
      <c r="N3246" s="1" t="s">
        <v>413</v>
      </c>
      <c r="O3246" s="1">
        <v>1</v>
      </c>
      <c r="P3246" s="1">
        <v>1</v>
      </c>
      <c r="R3246" s="1" t="s">
        <v>19</v>
      </c>
      <c r="S3246" s="1" t="s">
        <v>20</v>
      </c>
      <c r="T3246" s="1" t="s">
        <v>21</v>
      </c>
      <c r="U3246" s="1" t="s">
        <v>22</v>
      </c>
      <c r="V3246" s="1" t="s">
        <v>23</v>
      </c>
      <c r="W3246" s="1" t="s">
        <v>24</v>
      </c>
      <c r="X3246" s="1">
        <v>2739</v>
      </c>
      <c r="Y3246" s="1" t="s">
        <v>24</v>
      </c>
      <c r="Z3246" s="1" t="s">
        <v>24</v>
      </c>
      <c r="AA3246" s="1" t="s">
        <v>24</v>
      </c>
      <c r="AB3246" s="1" t="s">
        <v>24</v>
      </c>
      <c r="AC3246" s="1" t="s">
        <v>24</v>
      </c>
      <c r="AD3246" s="1" t="s">
        <v>24</v>
      </c>
      <c r="AE3246" s="1" t="s">
        <v>24</v>
      </c>
      <c r="AF3246" s="22"/>
    </row>
    <row r="3247" spans="1:32" x14ac:dyDescent="0.2">
      <c r="A3247" s="1">
        <v>25785</v>
      </c>
      <c r="B3247" s="1" t="s">
        <v>10103</v>
      </c>
      <c r="C3247" s="5" t="s">
        <v>0</v>
      </c>
      <c r="D3247" s="1" t="s">
        <v>10104</v>
      </c>
      <c r="E3247" s="1" t="s">
        <v>10105</v>
      </c>
      <c r="F3247" s="1" t="s">
        <v>241</v>
      </c>
      <c r="G3247" s="1" t="s">
        <v>61</v>
      </c>
      <c r="H3247" s="1" t="s">
        <v>168</v>
      </c>
      <c r="I3247" s="1" t="s">
        <v>16</v>
      </c>
      <c r="J3247" s="1">
        <v>1</v>
      </c>
      <c r="K3247" s="1">
        <v>4</v>
      </c>
      <c r="L3247" s="1" t="s">
        <v>31</v>
      </c>
      <c r="M3247" s="1" t="s">
        <v>413</v>
      </c>
      <c r="N3247" s="1" t="s">
        <v>242</v>
      </c>
      <c r="O3247" s="1">
        <v>1</v>
      </c>
      <c r="P3247" s="1">
        <v>1</v>
      </c>
      <c r="R3247" s="1" t="s">
        <v>19</v>
      </c>
      <c r="S3247" s="1" t="s">
        <v>20</v>
      </c>
      <c r="T3247" s="1" t="s">
        <v>21</v>
      </c>
      <c r="U3247" s="1" t="s">
        <v>22</v>
      </c>
      <c r="V3247" s="1" t="s">
        <v>23</v>
      </c>
      <c r="W3247" s="1" t="s">
        <v>24</v>
      </c>
      <c r="X3247" s="1">
        <v>3612</v>
      </c>
      <c r="Y3247" s="1">
        <v>2732</v>
      </c>
      <c r="Z3247" s="1" t="s">
        <v>24</v>
      </c>
      <c r="AA3247" s="1" t="s">
        <v>24</v>
      </c>
      <c r="AB3247" s="1" t="s">
        <v>24</v>
      </c>
      <c r="AC3247" s="1" t="s">
        <v>24</v>
      </c>
      <c r="AD3247" s="1" t="s">
        <v>24</v>
      </c>
      <c r="AE3247" s="1" t="s">
        <v>24</v>
      </c>
      <c r="AF3247" s="22"/>
    </row>
    <row r="3248" spans="1:32" x14ac:dyDescent="0.2">
      <c r="A3248" s="1">
        <v>25819</v>
      </c>
      <c r="B3248" s="1" t="s">
        <v>10106</v>
      </c>
      <c r="C3248" s="5" t="s">
        <v>0</v>
      </c>
      <c r="D3248" s="1" t="s">
        <v>10107</v>
      </c>
      <c r="E3248" s="1" t="s">
        <v>10108</v>
      </c>
      <c r="F3248" s="1" t="s">
        <v>91</v>
      </c>
      <c r="G3248" s="1" t="s">
        <v>61</v>
      </c>
      <c r="H3248" s="1" t="s">
        <v>92</v>
      </c>
      <c r="I3248" s="1" t="s">
        <v>16</v>
      </c>
      <c r="J3248" s="1">
        <v>1</v>
      </c>
      <c r="K3248" s="1">
        <v>12</v>
      </c>
      <c r="L3248" s="1" t="s">
        <v>31</v>
      </c>
      <c r="M3248" s="1" t="s">
        <v>18</v>
      </c>
      <c r="N3248" s="1" t="s">
        <v>18</v>
      </c>
      <c r="O3248" s="1">
        <v>3</v>
      </c>
      <c r="P3248" s="1">
        <v>7</v>
      </c>
      <c r="Q3248" s="7" t="s">
        <v>17633</v>
      </c>
      <c r="R3248" s="1" t="s">
        <v>19</v>
      </c>
      <c r="S3248" s="1" t="s">
        <v>20</v>
      </c>
      <c r="T3248" s="1" t="s">
        <v>21</v>
      </c>
      <c r="U3248" s="1" t="s">
        <v>22</v>
      </c>
      <c r="V3248" s="1" t="s">
        <v>23</v>
      </c>
      <c r="W3248" s="1" t="s">
        <v>24</v>
      </c>
      <c r="X3248" s="1">
        <v>2705</v>
      </c>
      <c r="Y3248" s="1">
        <v>2737</v>
      </c>
      <c r="Z3248" s="1" t="s">
        <v>24</v>
      </c>
      <c r="AA3248" s="1" t="s">
        <v>24</v>
      </c>
      <c r="AB3248" s="1" t="s">
        <v>24</v>
      </c>
      <c r="AC3248" s="1" t="s">
        <v>24</v>
      </c>
      <c r="AD3248" s="1" t="s">
        <v>24</v>
      </c>
      <c r="AE3248" s="1" t="s">
        <v>24</v>
      </c>
      <c r="AF3248" s="22"/>
    </row>
    <row r="3249" spans="1:32" x14ac:dyDescent="0.2">
      <c r="A3249" s="1">
        <v>25853</v>
      </c>
      <c r="B3249" s="1" t="s">
        <v>10109</v>
      </c>
      <c r="C3249" s="5" t="s">
        <v>0</v>
      </c>
      <c r="D3249" s="1" t="s">
        <v>10110</v>
      </c>
      <c r="F3249" s="1" t="s">
        <v>1801</v>
      </c>
      <c r="G3249" s="1" t="s">
        <v>130</v>
      </c>
      <c r="H3249" s="1" t="s">
        <v>168</v>
      </c>
      <c r="I3249" s="1" t="s">
        <v>16</v>
      </c>
      <c r="J3249" s="1">
        <v>0</v>
      </c>
      <c r="K3249" s="1">
        <v>0</v>
      </c>
      <c r="L3249" s="1" t="s">
        <v>31</v>
      </c>
      <c r="M3249" s="1" t="s">
        <v>18</v>
      </c>
      <c r="N3249" s="1" t="s">
        <v>18</v>
      </c>
      <c r="O3249" s="1">
        <v>3</v>
      </c>
      <c r="P3249" s="1">
        <v>6</v>
      </c>
      <c r="R3249" s="1" t="s">
        <v>19</v>
      </c>
      <c r="S3249" s="1" t="s">
        <v>20</v>
      </c>
      <c r="T3249" s="1" t="s">
        <v>21</v>
      </c>
      <c r="U3249" s="1" t="s">
        <v>22</v>
      </c>
      <c r="V3249" s="1" t="s">
        <v>24</v>
      </c>
      <c r="W3249" s="1" t="s">
        <v>24</v>
      </c>
      <c r="X3249" s="1">
        <v>2725</v>
      </c>
      <c r="Y3249" s="1" t="s">
        <v>24</v>
      </c>
      <c r="Z3249" s="1" t="s">
        <v>24</v>
      </c>
      <c r="AA3249" s="1" t="s">
        <v>24</v>
      </c>
      <c r="AB3249" s="1" t="s">
        <v>24</v>
      </c>
      <c r="AC3249" s="1" t="s">
        <v>24</v>
      </c>
      <c r="AD3249" s="1" t="s">
        <v>24</v>
      </c>
      <c r="AE3249" s="1" t="s">
        <v>24</v>
      </c>
      <c r="AF3249" s="22"/>
    </row>
    <row r="3250" spans="1:32" x14ac:dyDescent="0.2">
      <c r="A3250" s="1">
        <v>25953</v>
      </c>
      <c r="B3250" s="1" t="s">
        <v>10111</v>
      </c>
      <c r="C3250" s="5" t="s">
        <v>0</v>
      </c>
      <c r="D3250" s="1" t="s">
        <v>10112</v>
      </c>
      <c r="F3250" s="1" t="s">
        <v>5828</v>
      </c>
      <c r="G3250" s="1" t="s">
        <v>5622</v>
      </c>
      <c r="H3250" s="1" t="s">
        <v>428</v>
      </c>
      <c r="I3250" s="1" t="s">
        <v>16</v>
      </c>
      <c r="J3250" s="1">
        <v>1</v>
      </c>
      <c r="K3250" s="1">
        <v>4</v>
      </c>
      <c r="L3250" s="1" t="s">
        <v>42</v>
      </c>
      <c r="M3250" s="1" t="s">
        <v>2835</v>
      </c>
      <c r="N3250" s="1" t="s">
        <v>2835</v>
      </c>
      <c r="O3250" s="1">
        <v>3</v>
      </c>
      <c r="P3250" s="1">
        <v>4</v>
      </c>
      <c r="R3250" s="1" t="s">
        <v>19</v>
      </c>
      <c r="S3250" s="1" t="s">
        <v>20</v>
      </c>
      <c r="T3250" s="1" t="s">
        <v>21</v>
      </c>
      <c r="U3250" s="1" t="s">
        <v>22</v>
      </c>
      <c r="V3250" s="1" t="s">
        <v>24</v>
      </c>
      <c r="W3250" s="1" t="s">
        <v>24</v>
      </c>
      <c r="X3250" s="1">
        <v>2729</v>
      </c>
      <c r="Y3250" s="1">
        <v>2735</v>
      </c>
      <c r="Z3250" s="1" t="s">
        <v>24</v>
      </c>
      <c r="AA3250" s="1" t="s">
        <v>24</v>
      </c>
      <c r="AB3250" s="1" t="s">
        <v>24</v>
      </c>
      <c r="AC3250" s="1" t="s">
        <v>24</v>
      </c>
      <c r="AD3250" s="1" t="s">
        <v>24</v>
      </c>
      <c r="AE3250" s="1" t="s">
        <v>24</v>
      </c>
      <c r="AF3250" s="22"/>
    </row>
    <row r="3251" spans="1:32" x14ac:dyDescent="0.2">
      <c r="A3251" s="1">
        <v>25957</v>
      </c>
      <c r="B3251" s="1" t="s">
        <v>10113</v>
      </c>
      <c r="C3251" s="5" t="s">
        <v>0</v>
      </c>
      <c r="D3251" s="1" t="s">
        <v>10114</v>
      </c>
      <c r="E3251" s="1" t="s">
        <v>10115</v>
      </c>
      <c r="F3251" s="1" t="s">
        <v>315</v>
      </c>
      <c r="G3251" s="1" t="s">
        <v>316</v>
      </c>
      <c r="H3251" s="1" t="s">
        <v>30</v>
      </c>
      <c r="I3251" s="1" t="s">
        <v>16</v>
      </c>
      <c r="J3251" s="1">
        <v>1</v>
      </c>
      <c r="K3251" s="1">
        <v>12</v>
      </c>
      <c r="L3251" s="1" t="s">
        <v>31</v>
      </c>
      <c r="M3251" s="1" t="s">
        <v>18</v>
      </c>
      <c r="N3251" s="1" t="s">
        <v>18</v>
      </c>
      <c r="O3251" s="1">
        <v>3</v>
      </c>
      <c r="P3251" s="1">
        <v>9</v>
      </c>
      <c r="Q3251" s="7" t="s">
        <v>17633</v>
      </c>
      <c r="R3251" s="1" t="s">
        <v>62</v>
      </c>
      <c r="S3251" s="1" t="s">
        <v>20</v>
      </c>
      <c r="T3251" s="1" t="s">
        <v>21</v>
      </c>
      <c r="U3251" s="1" t="s">
        <v>22</v>
      </c>
      <c r="V3251" s="1" t="s">
        <v>24</v>
      </c>
      <c r="W3251" s="1" t="s">
        <v>24</v>
      </c>
      <c r="X3251" s="1">
        <v>1315</v>
      </c>
      <c r="Y3251" s="1">
        <v>1312</v>
      </c>
      <c r="Z3251" s="1" t="s">
        <v>24</v>
      </c>
      <c r="AA3251" s="1" t="s">
        <v>24</v>
      </c>
      <c r="AB3251" s="1" t="s">
        <v>24</v>
      </c>
      <c r="AC3251" s="1" t="s">
        <v>24</v>
      </c>
      <c r="AD3251" s="1" t="s">
        <v>24</v>
      </c>
      <c r="AE3251" s="1" t="s">
        <v>24</v>
      </c>
      <c r="AF3251" s="22"/>
    </row>
    <row r="3252" spans="1:32" x14ac:dyDescent="0.2">
      <c r="A3252" s="1">
        <v>25960</v>
      </c>
      <c r="B3252" s="1" t="s">
        <v>10116</v>
      </c>
      <c r="C3252" s="5" t="s">
        <v>0</v>
      </c>
      <c r="D3252" s="1" t="s">
        <v>10117</v>
      </c>
      <c r="E3252" s="1" t="s">
        <v>10118</v>
      </c>
      <c r="F3252" s="1" t="s">
        <v>7414</v>
      </c>
      <c r="G3252" s="1" t="s">
        <v>61</v>
      </c>
      <c r="H3252" s="1" t="s">
        <v>37</v>
      </c>
      <c r="I3252" s="1" t="s">
        <v>16</v>
      </c>
      <c r="J3252" s="1">
        <v>1</v>
      </c>
      <c r="K3252" s="1">
        <v>6</v>
      </c>
      <c r="L3252" s="1" t="s">
        <v>31</v>
      </c>
      <c r="M3252" s="1" t="s">
        <v>18</v>
      </c>
      <c r="N3252" s="1" t="s">
        <v>18</v>
      </c>
      <c r="O3252" s="1">
        <v>3</v>
      </c>
      <c r="P3252" s="1">
        <v>6</v>
      </c>
      <c r="R3252" s="1" t="s">
        <v>19</v>
      </c>
      <c r="S3252" s="1" t="s">
        <v>20</v>
      </c>
      <c r="T3252" s="1" t="s">
        <v>21</v>
      </c>
      <c r="U3252" s="1" t="s">
        <v>22</v>
      </c>
      <c r="V3252" s="1" t="s">
        <v>24</v>
      </c>
      <c r="W3252" s="1" t="s">
        <v>24</v>
      </c>
      <c r="X3252" s="1">
        <v>2715</v>
      </c>
      <c r="Y3252" s="1" t="s">
        <v>24</v>
      </c>
      <c r="Z3252" s="1" t="s">
        <v>24</v>
      </c>
      <c r="AA3252" s="1" t="s">
        <v>24</v>
      </c>
      <c r="AB3252" s="1" t="s">
        <v>24</v>
      </c>
      <c r="AC3252" s="1" t="s">
        <v>24</v>
      </c>
      <c r="AD3252" s="1" t="s">
        <v>24</v>
      </c>
      <c r="AE3252" s="1" t="s">
        <v>24</v>
      </c>
      <c r="AF3252" s="22"/>
    </row>
    <row r="3253" spans="1:32" x14ac:dyDescent="0.2">
      <c r="A3253" s="1">
        <v>25961</v>
      </c>
      <c r="B3253" s="1" t="s">
        <v>10119</v>
      </c>
      <c r="C3253" s="5" t="s">
        <v>0</v>
      </c>
      <c r="D3253" s="1" t="s">
        <v>10120</v>
      </c>
      <c r="E3253" s="1" t="s">
        <v>10121</v>
      </c>
      <c r="F3253" s="1" t="s">
        <v>7414</v>
      </c>
      <c r="G3253" s="1" t="s">
        <v>61</v>
      </c>
      <c r="H3253" s="1" t="s">
        <v>37</v>
      </c>
      <c r="I3253" s="1" t="s">
        <v>16</v>
      </c>
      <c r="J3253" s="1">
        <v>1</v>
      </c>
      <c r="K3253" s="1">
        <v>4</v>
      </c>
      <c r="L3253" s="1" t="s">
        <v>31</v>
      </c>
      <c r="M3253" s="1" t="s">
        <v>18</v>
      </c>
      <c r="N3253" s="1" t="s">
        <v>18</v>
      </c>
      <c r="O3253" s="1">
        <v>3</v>
      </c>
      <c r="P3253" s="1">
        <v>6</v>
      </c>
      <c r="R3253" s="1" t="s">
        <v>19</v>
      </c>
      <c r="S3253" s="1" t="s">
        <v>20</v>
      </c>
      <c r="T3253" s="1" t="s">
        <v>21</v>
      </c>
      <c r="U3253" s="1" t="s">
        <v>22</v>
      </c>
      <c r="V3253" s="1" t="s">
        <v>24</v>
      </c>
      <c r="W3253" s="1" t="s">
        <v>24</v>
      </c>
      <c r="X3253" s="1">
        <v>1310</v>
      </c>
      <c r="Y3253" s="1">
        <v>2712</v>
      </c>
      <c r="Z3253" s="1" t="s">
        <v>24</v>
      </c>
      <c r="AA3253" s="1" t="s">
        <v>24</v>
      </c>
      <c r="AB3253" s="1" t="s">
        <v>24</v>
      </c>
      <c r="AC3253" s="1" t="s">
        <v>24</v>
      </c>
      <c r="AD3253" s="1" t="s">
        <v>24</v>
      </c>
      <c r="AE3253" s="1" t="s">
        <v>24</v>
      </c>
      <c r="AF3253" s="22"/>
    </row>
    <row r="3254" spans="1:32" x14ac:dyDescent="0.2">
      <c r="A3254" s="1">
        <v>25962</v>
      </c>
      <c r="B3254" s="1" t="s">
        <v>10122</v>
      </c>
      <c r="C3254" s="5" t="s">
        <v>0</v>
      </c>
      <c r="D3254" s="1" t="s">
        <v>10123</v>
      </c>
      <c r="E3254" s="1" t="s">
        <v>10124</v>
      </c>
      <c r="F3254" s="1" t="s">
        <v>7414</v>
      </c>
      <c r="G3254" s="1" t="s">
        <v>61</v>
      </c>
      <c r="H3254" s="1" t="s">
        <v>37</v>
      </c>
      <c r="I3254" s="1" t="s">
        <v>16</v>
      </c>
      <c r="J3254" s="1">
        <v>1</v>
      </c>
      <c r="K3254" s="1">
        <v>4</v>
      </c>
      <c r="L3254" s="1" t="s">
        <v>31</v>
      </c>
      <c r="M3254" s="1" t="s">
        <v>18</v>
      </c>
      <c r="N3254" s="1" t="s">
        <v>18</v>
      </c>
      <c r="O3254" s="1">
        <v>3</v>
      </c>
      <c r="P3254" s="1">
        <v>7</v>
      </c>
      <c r="Q3254" s="7" t="s">
        <v>17633</v>
      </c>
      <c r="R3254" s="1" t="s">
        <v>19</v>
      </c>
      <c r="S3254" s="1" t="s">
        <v>20</v>
      </c>
      <c r="T3254" s="1" t="s">
        <v>21</v>
      </c>
      <c r="U3254" s="1" t="s">
        <v>22</v>
      </c>
      <c r="V3254" s="1" t="s">
        <v>24</v>
      </c>
      <c r="W3254" s="1" t="s">
        <v>24</v>
      </c>
      <c r="X3254" s="1">
        <v>2730</v>
      </c>
      <c r="Y3254" s="1">
        <v>1308</v>
      </c>
      <c r="Z3254" s="1" t="s">
        <v>24</v>
      </c>
      <c r="AA3254" s="1" t="s">
        <v>24</v>
      </c>
      <c r="AB3254" s="1" t="s">
        <v>24</v>
      </c>
      <c r="AC3254" s="1" t="s">
        <v>24</v>
      </c>
      <c r="AD3254" s="1" t="s">
        <v>24</v>
      </c>
      <c r="AE3254" s="1" t="s">
        <v>24</v>
      </c>
      <c r="AF3254" s="22"/>
    </row>
    <row r="3255" spans="1:32" x14ac:dyDescent="0.2">
      <c r="A3255" s="1">
        <v>25963</v>
      </c>
      <c r="B3255" s="1" t="s">
        <v>10125</v>
      </c>
      <c r="C3255" s="5" t="s">
        <v>0</v>
      </c>
      <c r="D3255" s="1" t="s">
        <v>10126</v>
      </c>
      <c r="E3255" s="1" t="s">
        <v>10127</v>
      </c>
      <c r="F3255" s="1" t="s">
        <v>7414</v>
      </c>
      <c r="G3255" s="1" t="s">
        <v>61</v>
      </c>
      <c r="H3255" s="1" t="s">
        <v>37</v>
      </c>
      <c r="I3255" s="1" t="s">
        <v>16</v>
      </c>
      <c r="J3255" s="1">
        <v>1</v>
      </c>
      <c r="K3255" s="1">
        <v>4</v>
      </c>
      <c r="L3255" s="1" t="s">
        <v>31</v>
      </c>
      <c r="M3255" s="1" t="s">
        <v>18</v>
      </c>
      <c r="N3255" s="1" t="s">
        <v>18</v>
      </c>
      <c r="O3255" s="1">
        <v>2</v>
      </c>
      <c r="P3255" s="1">
        <v>7</v>
      </c>
      <c r="Q3255" s="7" t="s">
        <v>17633</v>
      </c>
      <c r="R3255" s="1" t="s">
        <v>19</v>
      </c>
      <c r="S3255" s="1" t="s">
        <v>20</v>
      </c>
      <c r="T3255" s="1" t="s">
        <v>21</v>
      </c>
      <c r="U3255" s="1" t="s">
        <v>22</v>
      </c>
      <c r="V3255" s="1" t="s">
        <v>24</v>
      </c>
      <c r="W3255" s="1" t="s">
        <v>24</v>
      </c>
      <c r="X3255" s="1">
        <v>2703</v>
      </c>
      <c r="Y3255" s="1" t="s">
        <v>24</v>
      </c>
      <c r="Z3255" s="1" t="s">
        <v>24</v>
      </c>
      <c r="AA3255" s="1" t="s">
        <v>24</v>
      </c>
      <c r="AB3255" s="1" t="s">
        <v>24</v>
      </c>
      <c r="AC3255" s="1" t="s">
        <v>24</v>
      </c>
      <c r="AD3255" s="1" t="s">
        <v>24</v>
      </c>
      <c r="AE3255" s="1" t="s">
        <v>24</v>
      </c>
      <c r="AF3255" s="22"/>
    </row>
    <row r="3256" spans="1:32" x14ac:dyDescent="0.2">
      <c r="A3256" s="1">
        <v>25964</v>
      </c>
      <c r="B3256" s="1" t="s">
        <v>10128</v>
      </c>
      <c r="C3256" s="5" t="s">
        <v>0</v>
      </c>
      <c r="D3256" s="1" t="s">
        <v>10129</v>
      </c>
      <c r="E3256" s="1" t="s">
        <v>10130</v>
      </c>
      <c r="F3256" s="1" t="s">
        <v>7414</v>
      </c>
      <c r="G3256" s="1" t="s">
        <v>61</v>
      </c>
      <c r="H3256" s="1" t="s">
        <v>37</v>
      </c>
      <c r="I3256" s="1" t="s">
        <v>16</v>
      </c>
      <c r="J3256" s="1">
        <v>1</v>
      </c>
      <c r="K3256" s="1">
        <v>6</v>
      </c>
      <c r="L3256" s="1" t="s">
        <v>31</v>
      </c>
      <c r="M3256" s="1" t="s">
        <v>18</v>
      </c>
      <c r="N3256" s="1" t="s">
        <v>18</v>
      </c>
      <c r="O3256" s="1">
        <v>3</v>
      </c>
      <c r="P3256" s="1">
        <v>7</v>
      </c>
      <c r="Q3256" s="7" t="s">
        <v>17633</v>
      </c>
      <c r="R3256" s="1" t="s">
        <v>19</v>
      </c>
      <c r="S3256" s="1" t="s">
        <v>20</v>
      </c>
      <c r="T3256" s="1" t="s">
        <v>21</v>
      </c>
      <c r="U3256" s="1" t="s">
        <v>22</v>
      </c>
      <c r="V3256" s="1" t="s">
        <v>23</v>
      </c>
      <c r="W3256" s="1" t="s">
        <v>24</v>
      </c>
      <c r="X3256" s="1">
        <v>2745</v>
      </c>
      <c r="Y3256" s="1" t="s">
        <v>24</v>
      </c>
      <c r="Z3256" s="1" t="s">
        <v>24</v>
      </c>
      <c r="AA3256" s="1" t="s">
        <v>24</v>
      </c>
      <c r="AB3256" s="1" t="s">
        <v>24</v>
      </c>
      <c r="AC3256" s="1" t="s">
        <v>24</v>
      </c>
      <c r="AD3256" s="1" t="s">
        <v>24</v>
      </c>
      <c r="AE3256" s="1" t="s">
        <v>24</v>
      </c>
      <c r="AF3256" s="22"/>
    </row>
    <row r="3257" spans="1:32" x14ac:dyDescent="0.2">
      <c r="A3257" s="1">
        <v>25965</v>
      </c>
      <c r="B3257" s="1" t="s">
        <v>10131</v>
      </c>
      <c r="C3257" s="5" t="s">
        <v>0</v>
      </c>
      <c r="D3257" s="1" t="s">
        <v>10132</v>
      </c>
      <c r="F3257" s="1" t="s">
        <v>10133</v>
      </c>
      <c r="G3257" s="1" t="s">
        <v>10134</v>
      </c>
      <c r="H3257" s="1" t="s">
        <v>92</v>
      </c>
      <c r="I3257" s="1" t="s">
        <v>16</v>
      </c>
      <c r="J3257" s="1">
        <v>1</v>
      </c>
      <c r="K3257" s="1">
        <v>10</v>
      </c>
      <c r="L3257" s="1" t="s">
        <v>31</v>
      </c>
      <c r="M3257" s="1" t="s">
        <v>1646</v>
      </c>
      <c r="N3257" s="1" t="s">
        <v>1646</v>
      </c>
      <c r="O3257" s="1">
        <v>0</v>
      </c>
      <c r="P3257" s="1">
        <v>6</v>
      </c>
      <c r="R3257" s="1" t="s">
        <v>19</v>
      </c>
      <c r="S3257" s="1" t="s">
        <v>20</v>
      </c>
      <c r="T3257" s="1" t="s">
        <v>21</v>
      </c>
      <c r="U3257" s="1" t="s">
        <v>22</v>
      </c>
      <c r="V3257" s="1" t="s">
        <v>24</v>
      </c>
      <c r="W3257" s="1" t="s">
        <v>24</v>
      </c>
      <c r="X3257" s="1">
        <v>2706</v>
      </c>
      <c r="Y3257" s="1">
        <v>2725</v>
      </c>
      <c r="Z3257" s="1" t="s">
        <v>24</v>
      </c>
      <c r="AA3257" s="1" t="s">
        <v>24</v>
      </c>
      <c r="AB3257" s="1" t="s">
        <v>24</v>
      </c>
      <c r="AC3257" s="1" t="s">
        <v>24</v>
      </c>
      <c r="AD3257" s="1" t="s">
        <v>24</v>
      </c>
      <c r="AE3257" s="1" t="s">
        <v>24</v>
      </c>
      <c r="AF3257" s="22"/>
    </row>
    <row r="3258" spans="1:32" x14ac:dyDescent="0.2">
      <c r="A3258" s="1">
        <v>25966</v>
      </c>
      <c r="B3258" s="1" t="s">
        <v>10135</v>
      </c>
      <c r="C3258" s="5" t="s">
        <v>0</v>
      </c>
      <c r="D3258" s="1" t="s">
        <v>10136</v>
      </c>
      <c r="E3258" s="1" t="s">
        <v>10137</v>
      </c>
      <c r="F3258" s="1" t="s">
        <v>7414</v>
      </c>
      <c r="G3258" s="1" t="s">
        <v>61</v>
      </c>
      <c r="H3258" s="1" t="s">
        <v>37</v>
      </c>
      <c r="I3258" s="1" t="s">
        <v>16</v>
      </c>
      <c r="J3258" s="1">
        <v>1</v>
      </c>
      <c r="K3258" s="1">
        <v>6</v>
      </c>
      <c r="L3258" s="1" t="s">
        <v>31</v>
      </c>
      <c r="M3258" s="1" t="s">
        <v>18</v>
      </c>
      <c r="N3258" s="1" t="s">
        <v>18</v>
      </c>
      <c r="O3258" s="1">
        <v>2</v>
      </c>
      <c r="P3258" s="1">
        <v>7</v>
      </c>
      <c r="Q3258" s="7" t="s">
        <v>17633</v>
      </c>
      <c r="R3258" s="1" t="s">
        <v>19</v>
      </c>
      <c r="S3258" s="1" t="s">
        <v>20</v>
      </c>
      <c r="T3258" s="1" t="s">
        <v>21</v>
      </c>
      <c r="U3258" s="1" t="s">
        <v>22</v>
      </c>
      <c r="V3258" s="1" t="s">
        <v>24</v>
      </c>
      <c r="W3258" s="1" t="s">
        <v>24</v>
      </c>
      <c r="X3258" s="1">
        <v>2729</v>
      </c>
      <c r="Y3258" s="1" t="s">
        <v>24</v>
      </c>
      <c r="Z3258" s="1" t="s">
        <v>24</v>
      </c>
      <c r="AA3258" s="1" t="s">
        <v>24</v>
      </c>
      <c r="AB3258" s="1" t="s">
        <v>24</v>
      </c>
      <c r="AC3258" s="1" t="s">
        <v>24</v>
      </c>
      <c r="AD3258" s="1" t="s">
        <v>24</v>
      </c>
      <c r="AE3258" s="1" t="s">
        <v>24</v>
      </c>
      <c r="AF3258" s="22"/>
    </row>
    <row r="3259" spans="1:32" x14ac:dyDescent="0.2">
      <c r="A3259" s="1">
        <v>25994</v>
      </c>
      <c r="B3259" s="1" t="s">
        <v>10138</v>
      </c>
      <c r="C3259" s="5" t="s">
        <v>0</v>
      </c>
      <c r="D3259" s="1" t="s">
        <v>10139</v>
      </c>
      <c r="F3259" s="1" t="s">
        <v>10138</v>
      </c>
      <c r="G3259" s="1" t="s">
        <v>10138</v>
      </c>
      <c r="H3259" s="1" t="s">
        <v>30</v>
      </c>
      <c r="I3259" s="1" t="s">
        <v>16</v>
      </c>
      <c r="J3259" s="1">
        <v>0</v>
      </c>
      <c r="K3259" s="1">
        <v>0</v>
      </c>
      <c r="L3259" s="1" t="s">
        <v>42</v>
      </c>
      <c r="M3259" s="1" t="s">
        <v>18</v>
      </c>
      <c r="N3259" s="1" t="s">
        <v>18</v>
      </c>
      <c r="O3259" s="1">
        <v>3</v>
      </c>
      <c r="P3259" s="1">
        <v>6</v>
      </c>
      <c r="R3259" s="1" t="s">
        <v>19</v>
      </c>
      <c r="S3259" s="1" t="s">
        <v>20</v>
      </c>
      <c r="T3259" s="1" t="s">
        <v>21</v>
      </c>
      <c r="U3259" s="1" t="s">
        <v>22</v>
      </c>
      <c r="V3259" s="1" t="s">
        <v>24</v>
      </c>
      <c r="W3259" s="1" t="s">
        <v>24</v>
      </c>
      <c r="X3259" s="1">
        <v>2708</v>
      </c>
      <c r="Y3259" s="1" t="s">
        <v>24</v>
      </c>
      <c r="Z3259" s="1" t="s">
        <v>24</v>
      </c>
      <c r="AA3259" s="1" t="s">
        <v>24</v>
      </c>
      <c r="AB3259" s="1" t="s">
        <v>24</v>
      </c>
      <c r="AC3259" s="1" t="s">
        <v>24</v>
      </c>
      <c r="AD3259" s="1" t="s">
        <v>24</v>
      </c>
      <c r="AE3259" s="1" t="s">
        <v>24</v>
      </c>
      <c r="AF3259" s="22"/>
    </row>
    <row r="3260" spans="1:32" x14ac:dyDescent="0.2">
      <c r="A3260" s="1">
        <v>26035</v>
      </c>
      <c r="B3260" s="1" t="s">
        <v>10140</v>
      </c>
      <c r="C3260" s="5" t="s">
        <v>0</v>
      </c>
      <c r="D3260" s="1" t="s">
        <v>10141</v>
      </c>
      <c r="E3260" s="1" t="s">
        <v>10142</v>
      </c>
      <c r="F3260" s="1" t="s">
        <v>4152</v>
      </c>
      <c r="G3260" s="1" t="s">
        <v>4152</v>
      </c>
      <c r="H3260" s="1" t="s">
        <v>111</v>
      </c>
      <c r="I3260" s="1" t="s">
        <v>16</v>
      </c>
      <c r="J3260" s="1">
        <v>1</v>
      </c>
      <c r="K3260" s="1">
        <v>12</v>
      </c>
      <c r="L3260" s="1" t="s">
        <v>42</v>
      </c>
      <c r="M3260" s="1" t="s">
        <v>18</v>
      </c>
      <c r="N3260" s="1" t="s">
        <v>18</v>
      </c>
      <c r="O3260" s="1">
        <v>3</v>
      </c>
      <c r="P3260" s="1">
        <v>6</v>
      </c>
      <c r="R3260" s="1" t="s">
        <v>19</v>
      </c>
      <c r="S3260" s="1" t="s">
        <v>63</v>
      </c>
      <c r="T3260" s="1" t="s">
        <v>21</v>
      </c>
      <c r="U3260" s="1" t="s">
        <v>22</v>
      </c>
      <c r="V3260" s="1" t="s">
        <v>24</v>
      </c>
      <c r="W3260" s="1" t="s">
        <v>24</v>
      </c>
      <c r="X3260" s="1">
        <v>1606</v>
      </c>
      <c r="Y3260" s="1">
        <v>1605</v>
      </c>
      <c r="Z3260" s="1">
        <v>1607</v>
      </c>
      <c r="AA3260" s="1">
        <v>1604</v>
      </c>
      <c r="AB3260" s="1">
        <v>1503</v>
      </c>
      <c r="AC3260" s="1">
        <v>1312</v>
      </c>
      <c r="AD3260" s="1">
        <v>1706</v>
      </c>
      <c r="AE3260" s="1" t="s">
        <v>24</v>
      </c>
      <c r="AF3260" s="22"/>
    </row>
    <row r="3261" spans="1:32" x14ac:dyDescent="0.2">
      <c r="A3261" s="1">
        <v>26036</v>
      </c>
      <c r="B3261" s="1" t="s">
        <v>10143</v>
      </c>
      <c r="C3261" s="5" t="s">
        <v>0</v>
      </c>
      <c r="D3261" s="1" t="s">
        <v>10144</v>
      </c>
      <c r="F3261" s="1" t="s">
        <v>4002</v>
      </c>
      <c r="G3261" s="1" t="s">
        <v>4002</v>
      </c>
      <c r="H3261" s="1" t="s">
        <v>30</v>
      </c>
      <c r="I3261" s="1" t="s">
        <v>16</v>
      </c>
      <c r="J3261" s="1">
        <v>0</v>
      </c>
      <c r="K3261" s="1">
        <v>0</v>
      </c>
      <c r="L3261" s="1" t="s">
        <v>42</v>
      </c>
      <c r="M3261" s="1" t="s">
        <v>18</v>
      </c>
      <c r="N3261" s="1" t="s">
        <v>18</v>
      </c>
      <c r="O3261" s="1">
        <v>3</v>
      </c>
      <c r="P3261" s="1">
        <v>6</v>
      </c>
      <c r="R3261" s="1" t="s">
        <v>19</v>
      </c>
      <c r="S3261" s="1" t="s">
        <v>63</v>
      </c>
      <c r="T3261" s="1" t="s">
        <v>21</v>
      </c>
      <c r="U3261" s="1" t="s">
        <v>22</v>
      </c>
      <c r="V3261" s="1" t="s">
        <v>24</v>
      </c>
      <c r="W3261" s="1" t="s">
        <v>24</v>
      </c>
      <c r="X3261" s="1">
        <v>1306</v>
      </c>
      <c r="Y3261" s="1">
        <v>2403</v>
      </c>
      <c r="Z3261" s="1" t="s">
        <v>24</v>
      </c>
      <c r="AA3261" s="1" t="s">
        <v>24</v>
      </c>
      <c r="AB3261" s="1" t="s">
        <v>24</v>
      </c>
      <c r="AC3261" s="1" t="s">
        <v>24</v>
      </c>
      <c r="AD3261" s="1" t="s">
        <v>24</v>
      </c>
      <c r="AE3261" s="1" t="s">
        <v>24</v>
      </c>
      <c r="AF3261" s="22"/>
    </row>
    <row r="3262" spans="1:32" x14ac:dyDescent="0.2">
      <c r="A3262" s="1">
        <v>26044</v>
      </c>
      <c r="B3262" s="1" t="s">
        <v>10145</v>
      </c>
      <c r="C3262" s="5" t="s">
        <v>0</v>
      </c>
      <c r="D3262" s="1" t="s">
        <v>10146</v>
      </c>
      <c r="E3262" s="1" t="s">
        <v>10147</v>
      </c>
      <c r="F3262" s="1" t="s">
        <v>55</v>
      </c>
      <c r="G3262" s="1" t="s">
        <v>56</v>
      </c>
      <c r="H3262" s="1" t="s">
        <v>37</v>
      </c>
      <c r="I3262" s="1" t="s">
        <v>16</v>
      </c>
      <c r="J3262" s="1">
        <v>1</v>
      </c>
      <c r="K3262" s="1">
        <v>12</v>
      </c>
      <c r="L3262" s="1" t="s">
        <v>31</v>
      </c>
      <c r="M3262" s="1" t="s">
        <v>18</v>
      </c>
      <c r="N3262" s="1" t="s">
        <v>18</v>
      </c>
      <c r="O3262" s="1">
        <v>3</v>
      </c>
      <c r="P3262" s="1">
        <v>8</v>
      </c>
      <c r="Q3262" s="7" t="s">
        <v>17633</v>
      </c>
      <c r="R3262" s="1" t="s">
        <v>19</v>
      </c>
      <c r="S3262" s="1" t="s">
        <v>20</v>
      </c>
      <c r="T3262" s="1" t="s">
        <v>21</v>
      </c>
      <c r="U3262" s="1" t="s">
        <v>22</v>
      </c>
      <c r="V3262" s="1" t="s">
        <v>24</v>
      </c>
      <c r="W3262" s="1" t="s">
        <v>24</v>
      </c>
      <c r="X3262" s="1">
        <v>1303</v>
      </c>
      <c r="Y3262" s="1">
        <v>1305</v>
      </c>
      <c r="Z3262" s="1">
        <v>1502</v>
      </c>
      <c r="AA3262" s="1">
        <v>1312</v>
      </c>
      <c r="AB3262" s="1" t="s">
        <v>24</v>
      </c>
      <c r="AC3262" s="1" t="s">
        <v>24</v>
      </c>
      <c r="AD3262" s="1" t="s">
        <v>24</v>
      </c>
      <c r="AE3262" s="1" t="s">
        <v>24</v>
      </c>
      <c r="AF3262" s="22"/>
    </row>
    <row r="3263" spans="1:32" x14ac:dyDescent="0.2">
      <c r="A3263" s="1">
        <v>26056</v>
      </c>
      <c r="B3263" s="1" t="s">
        <v>10148</v>
      </c>
      <c r="C3263" s="5" t="s">
        <v>0</v>
      </c>
      <c r="D3263" s="1" t="s">
        <v>10149</v>
      </c>
      <c r="F3263" s="1" t="s">
        <v>10150</v>
      </c>
      <c r="G3263" s="1" t="s">
        <v>10150</v>
      </c>
      <c r="H3263" s="1" t="s">
        <v>111</v>
      </c>
      <c r="I3263" s="1" t="s">
        <v>16</v>
      </c>
      <c r="J3263" s="1">
        <v>1</v>
      </c>
      <c r="K3263" s="1">
        <v>2</v>
      </c>
      <c r="L3263" s="1" t="s">
        <v>42</v>
      </c>
      <c r="M3263" s="1" t="s">
        <v>18</v>
      </c>
      <c r="N3263" s="1" t="s">
        <v>18</v>
      </c>
      <c r="O3263" s="1">
        <v>3</v>
      </c>
      <c r="P3263" s="1">
        <v>6</v>
      </c>
      <c r="R3263" s="1" t="s">
        <v>19</v>
      </c>
      <c r="S3263" s="1" t="s">
        <v>63</v>
      </c>
      <c r="T3263" s="1" t="s">
        <v>21</v>
      </c>
      <c r="U3263" s="1" t="s">
        <v>22</v>
      </c>
      <c r="V3263" s="1" t="s">
        <v>24</v>
      </c>
      <c r="W3263" s="1" t="s">
        <v>24</v>
      </c>
      <c r="X3263" s="1">
        <v>1303</v>
      </c>
      <c r="Y3263" s="1">
        <v>1307</v>
      </c>
      <c r="Z3263" s="1">
        <v>1502</v>
      </c>
      <c r="AA3263" s="1">
        <v>2204</v>
      </c>
      <c r="AB3263" s="1">
        <v>2502</v>
      </c>
      <c r="AC3263" s="1" t="s">
        <v>24</v>
      </c>
      <c r="AD3263" s="1" t="s">
        <v>24</v>
      </c>
      <c r="AE3263" s="1" t="s">
        <v>24</v>
      </c>
      <c r="AF3263" s="22"/>
    </row>
    <row r="3264" spans="1:32" x14ac:dyDescent="0.2">
      <c r="A3264" s="1">
        <v>26079</v>
      </c>
      <c r="B3264" s="1" t="s">
        <v>10151</v>
      </c>
      <c r="C3264" s="5" t="s">
        <v>0</v>
      </c>
      <c r="D3264" s="1" t="s">
        <v>10152</v>
      </c>
      <c r="E3264" s="1" t="s">
        <v>10153</v>
      </c>
      <c r="F3264" s="1" t="s">
        <v>272</v>
      </c>
      <c r="G3264" s="1" t="s">
        <v>61</v>
      </c>
      <c r="H3264" s="1" t="s">
        <v>30</v>
      </c>
      <c r="I3264" s="1" t="s">
        <v>16</v>
      </c>
      <c r="J3264" s="1">
        <v>1</v>
      </c>
      <c r="K3264" s="1">
        <v>6</v>
      </c>
      <c r="L3264" s="1" t="s">
        <v>31</v>
      </c>
      <c r="M3264" s="1" t="s">
        <v>18</v>
      </c>
      <c r="N3264" s="1" t="s">
        <v>18</v>
      </c>
      <c r="O3264" s="1">
        <v>3</v>
      </c>
      <c r="P3264" s="1">
        <v>7</v>
      </c>
      <c r="Q3264" s="7" t="s">
        <v>17633</v>
      </c>
      <c r="R3264" s="1" t="s">
        <v>19</v>
      </c>
      <c r="S3264" s="1" t="s">
        <v>20</v>
      </c>
      <c r="T3264" s="1" t="s">
        <v>21</v>
      </c>
      <c r="U3264" s="1" t="s">
        <v>22</v>
      </c>
      <c r="V3264" s="1" t="s">
        <v>24</v>
      </c>
      <c r="W3264" s="1" t="s">
        <v>24</v>
      </c>
      <c r="X3264" s="1">
        <v>2730</v>
      </c>
      <c r="Y3264" s="1">
        <v>2748</v>
      </c>
      <c r="Z3264" s="1" t="s">
        <v>24</v>
      </c>
      <c r="AA3264" s="1" t="s">
        <v>24</v>
      </c>
      <c r="AB3264" s="1" t="s">
        <v>24</v>
      </c>
      <c r="AC3264" s="1" t="s">
        <v>24</v>
      </c>
      <c r="AD3264" s="1" t="s">
        <v>24</v>
      </c>
      <c r="AE3264" s="1" t="s">
        <v>24</v>
      </c>
      <c r="AF3264" s="22"/>
    </row>
    <row r="3265" spans="1:32" x14ac:dyDescent="0.2">
      <c r="A3265" s="1">
        <v>26096</v>
      </c>
      <c r="B3265" s="1" t="s">
        <v>10154</v>
      </c>
      <c r="C3265" s="5" t="s">
        <v>0</v>
      </c>
      <c r="E3265" s="1" t="s">
        <v>10155</v>
      </c>
      <c r="F3265" s="1" t="s">
        <v>10156</v>
      </c>
      <c r="G3265" s="1" t="s">
        <v>10156</v>
      </c>
      <c r="H3265" s="1" t="s">
        <v>69</v>
      </c>
      <c r="I3265" s="1" t="s">
        <v>16</v>
      </c>
      <c r="J3265" s="1">
        <v>1</v>
      </c>
      <c r="K3265" s="1">
        <v>4</v>
      </c>
      <c r="L3265" s="1" t="s">
        <v>42</v>
      </c>
      <c r="M3265" s="1" t="s">
        <v>18</v>
      </c>
      <c r="N3265" s="1" t="s">
        <v>18</v>
      </c>
      <c r="O3265" s="1">
        <v>3</v>
      </c>
      <c r="P3265" s="1">
        <v>6</v>
      </c>
      <c r="R3265" s="1" t="s">
        <v>19</v>
      </c>
      <c r="S3265" s="1" t="s">
        <v>63</v>
      </c>
      <c r="T3265" s="1" t="s">
        <v>21</v>
      </c>
      <c r="U3265" s="1" t="s">
        <v>22</v>
      </c>
      <c r="V3265" s="1" t="s">
        <v>24</v>
      </c>
      <c r="W3265" s="1" t="s">
        <v>24</v>
      </c>
      <c r="X3265" s="1">
        <v>1311</v>
      </c>
      <c r="Y3265" s="1">
        <v>1312</v>
      </c>
      <c r="Z3265" s="1" t="s">
        <v>24</v>
      </c>
      <c r="AA3265" s="1" t="s">
        <v>24</v>
      </c>
      <c r="AB3265" s="1" t="s">
        <v>24</v>
      </c>
      <c r="AC3265" s="1" t="s">
        <v>24</v>
      </c>
      <c r="AD3265" s="1" t="s">
        <v>24</v>
      </c>
      <c r="AE3265" s="1" t="s">
        <v>24</v>
      </c>
      <c r="AF3265" s="22"/>
    </row>
    <row r="3266" spans="1:32" x14ac:dyDescent="0.2">
      <c r="A3266" s="1">
        <v>26110</v>
      </c>
      <c r="B3266" s="1" t="s">
        <v>10157</v>
      </c>
      <c r="C3266" s="5" t="s">
        <v>0</v>
      </c>
      <c r="D3266" s="1" t="s">
        <v>10158</v>
      </c>
      <c r="E3266" s="1" t="s">
        <v>10159</v>
      </c>
      <c r="F3266" s="1" t="s">
        <v>155</v>
      </c>
      <c r="G3266" s="1" t="s">
        <v>61</v>
      </c>
      <c r="H3266" s="1" t="s">
        <v>37</v>
      </c>
      <c r="I3266" s="1" t="s">
        <v>16</v>
      </c>
      <c r="J3266" s="1">
        <v>0</v>
      </c>
      <c r="K3266" s="1">
        <v>0</v>
      </c>
      <c r="L3266" s="1" t="s">
        <v>31</v>
      </c>
      <c r="M3266" s="1" t="s">
        <v>18</v>
      </c>
      <c r="N3266" s="1" t="s">
        <v>18</v>
      </c>
      <c r="O3266" s="1">
        <v>3</v>
      </c>
      <c r="P3266" s="1">
        <v>7</v>
      </c>
      <c r="Q3266" s="7" t="s">
        <v>17633</v>
      </c>
      <c r="R3266" s="1" t="s">
        <v>62</v>
      </c>
      <c r="S3266" s="1" t="s">
        <v>20</v>
      </c>
      <c r="T3266" s="1" t="s">
        <v>21</v>
      </c>
      <c r="U3266" s="1" t="s">
        <v>22</v>
      </c>
      <c r="V3266" s="1" t="s">
        <v>24</v>
      </c>
      <c r="W3266" s="1" t="s">
        <v>24</v>
      </c>
      <c r="X3266" s="1">
        <v>1306</v>
      </c>
      <c r="Y3266" s="1">
        <v>2730</v>
      </c>
      <c r="Z3266" s="1" t="s">
        <v>24</v>
      </c>
      <c r="AA3266" s="1" t="s">
        <v>24</v>
      </c>
      <c r="AB3266" s="1" t="s">
        <v>24</v>
      </c>
      <c r="AC3266" s="1" t="s">
        <v>24</v>
      </c>
      <c r="AD3266" s="1" t="s">
        <v>24</v>
      </c>
      <c r="AE3266" s="1" t="s">
        <v>24</v>
      </c>
      <c r="AF3266" s="22"/>
    </row>
    <row r="3267" spans="1:32" x14ac:dyDescent="0.2">
      <c r="A3267" s="1">
        <v>26148</v>
      </c>
      <c r="B3267" s="1" t="s">
        <v>10160</v>
      </c>
      <c r="C3267" s="5" t="s">
        <v>0</v>
      </c>
      <c r="D3267" s="1" t="s">
        <v>10161</v>
      </c>
      <c r="E3267" s="1" t="s">
        <v>10162</v>
      </c>
      <c r="F3267" s="1" t="s">
        <v>303</v>
      </c>
      <c r="G3267" s="1" t="s">
        <v>61</v>
      </c>
      <c r="H3267" s="1" t="s">
        <v>30</v>
      </c>
      <c r="I3267" s="1" t="s">
        <v>16</v>
      </c>
      <c r="J3267" s="1">
        <v>1</v>
      </c>
      <c r="K3267" s="1">
        <v>4</v>
      </c>
      <c r="L3267" s="1" t="s">
        <v>31</v>
      </c>
      <c r="M3267" s="1" t="s">
        <v>18</v>
      </c>
      <c r="N3267" s="1" t="s">
        <v>18</v>
      </c>
      <c r="O3267" s="1">
        <v>3</v>
      </c>
      <c r="P3267" s="1">
        <v>7</v>
      </c>
      <c r="Q3267" s="7" t="s">
        <v>17633</v>
      </c>
      <c r="R3267" s="1" t="s">
        <v>19</v>
      </c>
      <c r="S3267" s="1" t="s">
        <v>20</v>
      </c>
      <c r="T3267" s="1" t="s">
        <v>21</v>
      </c>
      <c r="U3267" s="1" t="s">
        <v>22</v>
      </c>
      <c r="V3267" s="1" t="s">
        <v>23</v>
      </c>
      <c r="W3267" s="1" t="s">
        <v>24</v>
      </c>
      <c r="X3267" s="1">
        <v>2727</v>
      </c>
      <c r="Y3267" s="1" t="s">
        <v>24</v>
      </c>
      <c r="Z3267" s="1" t="s">
        <v>24</v>
      </c>
      <c r="AA3267" s="1" t="s">
        <v>24</v>
      </c>
      <c r="AB3267" s="1" t="s">
        <v>24</v>
      </c>
      <c r="AC3267" s="1" t="s">
        <v>24</v>
      </c>
      <c r="AD3267" s="1" t="s">
        <v>24</v>
      </c>
      <c r="AE3267" s="1" t="s">
        <v>24</v>
      </c>
      <c r="AF3267" s="22"/>
    </row>
    <row r="3268" spans="1:32" x14ac:dyDescent="0.2">
      <c r="A3268" s="1">
        <v>26194</v>
      </c>
      <c r="B3268" s="1" t="s">
        <v>10163</v>
      </c>
      <c r="C3268" s="5" t="s">
        <v>0</v>
      </c>
      <c r="E3268" s="1" t="s">
        <v>10164</v>
      </c>
      <c r="F3268" s="1" t="s">
        <v>109</v>
      </c>
      <c r="G3268" s="1" t="s">
        <v>110</v>
      </c>
      <c r="H3268" s="1" t="s">
        <v>111</v>
      </c>
      <c r="I3268" s="1" t="s">
        <v>16</v>
      </c>
      <c r="J3268" s="1">
        <v>3</v>
      </c>
      <c r="K3268" s="1">
        <v>4</v>
      </c>
      <c r="L3268" s="1" t="s">
        <v>31</v>
      </c>
      <c r="M3268" s="1" t="s">
        <v>18</v>
      </c>
      <c r="N3268" s="1" t="s">
        <v>18</v>
      </c>
      <c r="O3268" s="1">
        <v>3</v>
      </c>
      <c r="P3268" s="1">
        <v>7</v>
      </c>
      <c r="Q3268" s="7" t="s">
        <v>17633</v>
      </c>
      <c r="R3268" s="1" t="s">
        <v>19</v>
      </c>
      <c r="S3268" s="1" t="s">
        <v>20</v>
      </c>
      <c r="T3268" s="1" t="s">
        <v>21</v>
      </c>
      <c r="U3268" s="1" t="s">
        <v>22</v>
      </c>
      <c r="V3268" s="1" t="s">
        <v>24</v>
      </c>
      <c r="W3268" s="1" t="s">
        <v>24</v>
      </c>
      <c r="X3268" s="1">
        <v>2727</v>
      </c>
      <c r="Y3268" s="1" t="s">
        <v>24</v>
      </c>
      <c r="Z3268" s="1" t="s">
        <v>24</v>
      </c>
      <c r="AA3268" s="1" t="s">
        <v>24</v>
      </c>
      <c r="AB3268" s="1" t="s">
        <v>24</v>
      </c>
      <c r="AC3268" s="1" t="s">
        <v>24</v>
      </c>
      <c r="AD3268" s="1" t="s">
        <v>24</v>
      </c>
      <c r="AE3268" s="1" t="s">
        <v>24</v>
      </c>
      <c r="AF3268" s="22"/>
    </row>
    <row r="3269" spans="1:32" x14ac:dyDescent="0.2">
      <c r="A3269" s="1">
        <v>26196</v>
      </c>
      <c r="B3269" s="1" t="s">
        <v>10165</v>
      </c>
      <c r="C3269" s="5" t="s">
        <v>0</v>
      </c>
      <c r="E3269" s="1" t="s">
        <v>10166</v>
      </c>
      <c r="F3269" s="1" t="s">
        <v>109</v>
      </c>
      <c r="G3269" s="1" t="s">
        <v>110</v>
      </c>
      <c r="H3269" s="1" t="s">
        <v>111</v>
      </c>
      <c r="I3269" s="1" t="s">
        <v>16</v>
      </c>
      <c r="J3269" s="1">
        <v>3</v>
      </c>
      <c r="K3269" s="1">
        <v>4</v>
      </c>
      <c r="L3269" s="1" t="s">
        <v>31</v>
      </c>
      <c r="M3269" s="1" t="s">
        <v>18</v>
      </c>
      <c r="N3269" s="1" t="s">
        <v>18</v>
      </c>
      <c r="O3269" s="1">
        <v>3</v>
      </c>
      <c r="P3269" s="1">
        <v>7</v>
      </c>
      <c r="Q3269" s="7" t="s">
        <v>17633</v>
      </c>
      <c r="R3269" s="1" t="s">
        <v>19</v>
      </c>
      <c r="S3269" s="1" t="s">
        <v>20</v>
      </c>
      <c r="T3269" s="1" t="s">
        <v>21</v>
      </c>
      <c r="U3269" s="1" t="s">
        <v>22</v>
      </c>
      <c r="V3269" s="1" t="s">
        <v>24</v>
      </c>
      <c r="W3269" s="1" t="s">
        <v>24</v>
      </c>
      <c r="X3269" s="1">
        <v>1314</v>
      </c>
      <c r="Y3269" s="1">
        <v>2727</v>
      </c>
      <c r="Z3269" s="1">
        <v>2737</v>
      </c>
      <c r="AA3269" s="1" t="s">
        <v>24</v>
      </c>
      <c r="AB3269" s="1" t="s">
        <v>24</v>
      </c>
      <c r="AC3269" s="1" t="s">
        <v>24</v>
      </c>
      <c r="AD3269" s="1" t="s">
        <v>24</v>
      </c>
      <c r="AE3269" s="1" t="s">
        <v>24</v>
      </c>
      <c r="AF3269" s="22"/>
    </row>
    <row r="3270" spans="1:32" x14ac:dyDescent="0.2">
      <c r="A3270" s="1">
        <v>26197</v>
      </c>
      <c r="B3270" s="1" t="s">
        <v>10167</v>
      </c>
      <c r="C3270" s="5" t="s">
        <v>0</v>
      </c>
      <c r="E3270" s="1" t="s">
        <v>10168</v>
      </c>
      <c r="F3270" s="1" t="s">
        <v>109</v>
      </c>
      <c r="G3270" s="1" t="s">
        <v>110</v>
      </c>
      <c r="H3270" s="1" t="s">
        <v>111</v>
      </c>
      <c r="I3270" s="1" t="s">
        <v>16</v>
      </c>
      <c r="J3270" s="1">
        <v>3</v>
      </c>
      <c r="K3270" s="1">
        <v>4</v>
      </c>
      <c r="L3270" s="1" t="s">
        <v>31</v>
      </c>
      <c r="M3270" s="1" t="s">
        <v>18</v>
      </c>
      <c r="N3270" s="1" t="s">
        <v>18</v>
      </c>
      <c r="O3270" s="1">
        <v>3</v>
      </c>
      <c r="P3270" s="1">
        <v>7</v>
      </c>
      <c r="Q3270" s="7" t="s">
        <v>17633</v>
      </c>
      <c r="R3270" s="1" t="s">
        <v>19</v>
      </c>
      <c r="S3270" s="1" t="s">
        <v>20</v>
      </c>
      <c r="T3270" s="1" t="s">
        <v>21</v>
      </c>
      <c r="U3270" s="1" t="s">
        <v>22</v>
      </c>
      <c r="V3270" s="1" t="s">
        <v>24</v>
      </c>
      <c r="W3270" s="1" t="s">
        <v>24</v>
      </c>
      <c r="X3270" s="1">
        <v>2727</v>
      </c>
      <c r="Y3270" s="1">
        <v>1314</v>
      </c>
      <c r="Z3270" s="1">
        <v>1311</v>
      </c>
      <c r="AA3270" s="1" t="s">
        <v>24</v>
      </c>
      <c r="AB3270" s="1" t="s">
        <v>24</v>
      </c>
      <c r="AC3270" s="1" t="s">
        <v>24</v>
      </c>
      <c r="AD3270" s="1" t="s">
        <v>24</v>
      </c>
      <c r="AE3270" s="1" t="s">
        <v>24</v>
      </c>
      <c r="AF3270" s="22"/>
    </row>
    <row r="3271" spans="1:32" x14ac:dyDescent="0.2">
      <c r="A3271" s="1">
        <v>26249</v>
      </c>
      <c r="B3271" s="1" t="s">
        <v>10169</v>
      </c>
      <c r="C3271" s="5" t="s">
        <v>0</v>
      </c>
      <c r="D3271" s="1" t="s">
        <v>10170</v>
      </c>
      <c r="E3271" s="1" t="s">
        <v>10171</v>
      </c>
      <c r="F3271" s="1" t="s">
        <v>493</v>
      </c>
      <c r="G3271" s="1" t="s">
        <v>98</v>
      </c>
      <c r="H3271" s="1" t="s">
        <v>30</v>
      </c>
      <c r="I3271" s="1" t="s">
        <v>16</v>
      </c>
      <c r="J3271" s="1">
        <v>1</v>
      </c>
      <c r="K3271" s="1">
        <v>4</v>
      </c>
      <c r="L3271" s="1" t="s">
        <v>31</v>
      </c>
      <c r="M3271" s="1" t="s">
        <v>18</v>
      </c>
      <c r="N3271" s="1" t="s">
        <v>18</v>
      </c>
      <c r="O3271" s="1">
        <v>3</v>
      </c>
      <c r="P3271" s="1">
        <v>7</v>
      </c>
      <c r="Q3271" s="7" t="s">
        <v>17633</v>
      </c>
      <c r="R3271" s="1" t="s">
        <v>19</v>
      </c>
      <c r="S3271" s="1" t="s">
        <v>20</v>
      </c>
      <c r="T3271" s="1" t="s">
        <v>21</v>
      </c>
      <c r="U3271" s="1" t="s">
        <v>22</v>
      </c>
      <c r="V3271" s="1" t="s">
        <v>24</v>
      </c>
      <c r="W3271" s="1" t="s">
        <v>24</v>
      </c>
      <c r="X3271" s="1">
        <v>2728</v>
      </c>
      <c r="Y3271" s="1">
        <v>2808</v>
      </c>
      <c r="Z3271" s="1" t="s">
        <v>24</v>
      </c>
      <c r="AA3271" s="1" t="s">
        <v>24</v>
      </c>
      <c r="AB3271" s="1" t="s">
        <v>24</v>
      </c>
      <c r="AC3271" s="1" t="s">
        <v>24</v>
      </c>
      <c r="AD3271" s="1" t="s">
        <v>24</v>
      </c>
      <c r="AE3271" s="1" t="s">
        <v>24</v>
      </c>
      <c r="AF3271" s="22"/>
    </row>
    <row r="3272" spans="1:32" x14ac:dyDescent="0.2">
      <c r="A3272" s="1">
        <v>26250</v>
      </c>
      <c r="B3272" s="1" t="s">
        <v>10172</v>
      </c>
      <c r="C3272" s="5" t="s">
        <v>0</v>
      </c>
      <c r="D3272" s="1" t="s">
        <v>10173</v>
      </c>
      <c r="E3272" s="1" t="s">
        <v>10174</v>
      </c>
      <c r="F3272" s="1" t="s">
        <v>35</v>
      </c>
      <c r="G3272" s="1" t="s">
        <v>36</v>
      </c>
      <c r="H3272" s="1" t="s">
        <v>37</v>
      </c>
      <c r="I3272" s="1" t="s">
        <v>16</v>
      </c>
      <c r="J3272" s="1">
        <v>2</v>
      </c>
      <c r="K3272" s="1">
        <v>6</v>
      </c>
      <c r="L3272" s="1" t="s">
        <v>31</v>
      </c>
      <c r="M3272" s="1" t="s">
        <v>18</v>
      </c>
      <c r="N3272" s="1" t="s">
        <v>18</v>
      </c>
      <c r="O3272" s="1">
        <v>3</v>
      </c>
      <c r="P3272" s="1">
        <v>7</v>
      </c>
      <c r="Q3272" s="7" t="s">
        <v>17633</v>
      </c>
      <c r="R3272" s="1" t="s">
        <v>19</v>
      </c>
      <c r="S3272" s="1" t="s">
        <v>20</v>
      </c>
      <c r="T3272" s="1" t="s">
        <v>21</v>
      </c>
      <c r="U3272" s="1" t="s">
        <v>22</v>
      </c>
      <c r="V3272" s="1" t="s">
        <v>24</v>
      </c>
      <c r="W3272" s="1" t="s">
        <v>24</v>
      </c>
      <c r="X3272" s="1">
        <v>3004</v>
      </c>
      <c r="Y3272" s="1">
        <v>3005</v>
      </c>
      <c r="Z3272" s="1" t="s">
        <v>24</v>
      </c>
      <c r="AA3272" s="1" t="s">
        <v>24</v>
      </c>
      <c r="AB3272" s="1" t="s">
        <v>24</v>
      </c>
      <c r="AC3272" s="1" t="s">
        <v>24</v>
      </c>
      <c r="AD3272" s="1" t="s">
        <v>24</v>
      </c>
      <c r="AE3272" s="1" t="s">
        <v>24</v>
      </c>
      <c r="AF3272" s="22"/>
    </row>
    <row r="3273" spans="1:32" x14ac:dyDescent="0.2">
      <c r="A3273" s="1">
        <v>26251</v>
      </c>
      <c r="B3273" s="1" t="s">
        <v>10175</v>
      </c>
      <c r="C3273" s="5" t="s">
        <v>0</v>
      </c>
      <c r="D3273" s="1" t="s">
        <v>10176</v>
      </c>
      <c r="F3273" s="1" t="s">
        <v>5571</v>
      </c>
      <c r="G3273" s="1" t="s">
        <v>5571</v>
      </c>
      <c r="H3273" s="1" t="s">
        <v>86</v>
      </c>
      <c r="I3273" s="1" t="s">
        <v>16</v>
      </c>
      <c r="J3273" s="1">
        <v>1</v>
      </c>
      <c r="K3273" s="1">
        <v>6</v>
      </c>
      <c r="L3273" s="1" t="s">
        <v>17</v>
      </c>
      <c r="M3273" s="1" t="s">
        <v>18</v>
      </c>
      <c r="N3273" s="1" t="s">
        <v>18</v>
      </c>
      <c r="O3273" s="1">
        <v>3</v>
      </c>
      <c r="P3273" s="1">
        <v>6</v>
      </c>
      <c r="R3273" s="1" t="s">
        <v>19</v>
      </c>
      <c r="S3273" s="1" t="s">
        <v>20</v>
      </c>
      <c r="T3273" s="1" t="s">
        <v>21</v>
      </c>
      <c r="U3273" s="1" t="s">
        <v>22</v>
      </c>
      <c r="V3273" s="1" t="s">
        <v>24</v>
      </c>
      <c r="W3273" s="1" t="s">
        <v>24</v>
      </c>
      <c r="X3273" s="1">
        <v>3003</v>
      </c>
      <c r="Y3273" s="1" t="s">
        <v>24</v>
      </c>
      <c r="Z3273" s="1" t="s">
        <v>24</v>
      </c>
      <c r="AA3273" s="1" t="s">
        <v>24</v>
      </c>
      <c r="AB3273" s="1" t="s">
        <v>24</v>
      </c>
      <c r="AC3273" s="1" t="s">
        <v>24</v>
      </c>
      <c r="AD3273" s="1" t="s">
        <v>24</v>
      </c>
      <c r="AE3273" s="1" t="s">
        <v>24</v>
      </c>
      <c r="AF3273" s="22"/>
    </row>
    <row r="3274" spans="1:32" x14ac:dyDescent="0.2">
      <c r="A3274" s="1">
        <v>26260</v>
      </c>
      <c r="B3274" s="1" t="s">
        <v>10177</v>
      </c>
      <c r="C3274" s="5" t="s">
        <v>0</v>
      </c>
      <c r="D3274" s="1" t="s">
        <v>10178</v>
      </c>
      <c r="E3274" s="1" t="s">
        <v>10179</v>
      </c>
      <c r="F3274" s="1" t="s">
        <v>412</v>
      </c>
      <c r="G3274" s="1" t="s">
        <v>372</v>
      </c>
      <c r="H3274" s="1" t="s">
        <v>168</v>
      </c>
      <c r="I3274" s="1" t="s">
        <v>16</v>
      </c>
      <c r="J3274" s="1">
        <v>0</v>
      </c>
      <c r="K3274" s="1">
        <v>0</v>
      </c>
      <c r="L3274" s="1" t="s">
        <v>31</v>
      </c>
      <c r="M3274" s="1" t="s">
        <v>413</v>
      </c>
      <c r="N3274" s="1" t="s">
        <v>679</v>
      </c>
      <c r="O3274" s="1">
        <v>3</v>
      </c>
      <c r="P3274" s="1">
        <v>6</v>
      </c>
      <c r="R3274" s="1" t="s">
        <v>19</v>
      </c>
      <c r="S3274" s="1" t="s">
        <v>63</v>
      </c>
      <c r="T3274" s="1" t="s">
        <v>21</v>
      </c>
      <c r="U3274" s="1" t="s">
        <v>22</v>
      </c>
      <c r="V3274" s="1" t="s">
        <v>23</v>
      </c>
      <c r="W3274" s="1" t="s">
        <v>24</v>
      </c>
      <c r="X3274" s="1">
        <v>2739</v>
      </c>
      <c r="Y3274" s="1" t="s">
        <v>24</v>
      </c>
      <c r="Z3274" s="1" t="s">
        <v>24</v>
      </c>
      <c r="AA3274" s="1" t="s">
        <v>24</v>
      </c>
      <c r="AB3274" s="1" t="s">
        <v>24</v>
      </c>
      <c r="AC3274" s="1" t="s">
        <v>24</v>
      </c>
      <c r="AD3274" s="1" t="s">
        <v>24</v>
      </c>
      <c r="AE3274" s="1" t="s">
        <v>24</v>
      </c>
      <c r="AF3274" s="22"/>
    </row>
    <row r="3275" spans="1:32" x14ac:dyDescent="0.2">
      <c r="A3275" s="1">
        <v>26261</v>
      </c>
      <c r="B3275" s="1" t="s">
        <v>10180</v>
      </c>
      <c r="C3275" s="5" t="s">
        <v>0</v>
      </c>
      <c r="D3275" s="1" t="s">
        <v>10181</v>
      </c>
      <c r="F3275" s="1" t="s">
        <v>1801</v>
      </c>
      <c r="G3275" s="1" t="s">
        <v>6022</v>
      </c>
      <c r="H3275" s="1" t="s">
        <v>168</v>
      </c>
      <c r="I3275" s="1" t="s">
        <v>16</v>
      </c>
      <c r="J3275" s="1">
        <v>0</v>
      </c>
      <c r="K3275" s="1">
        <v>0</v>
      </c>
      <c r="L3275" s="1" t="s">
        <v>17</v>
      </c>
      <c r="M3275" s="1" t="s">
        <v>413</v>
      </c>
      <c r="N3275" s="1" t="s">
        <v>413</v>
      </c>
      <c r="O3275" s="1">
        <v>3</v>
      </c>
      <c r="P3275" s="1">
        <v>6</v>
      </c>
      <c r="R3275" s="1" t="s">
        <v>19</v>
      </c>
      <c r="S3275" s="1" t="s">
        <v>20</v>
      </c>
      <c r="T3275" s="1" t="s">
        <v>21</v>
      </c>
      <c r="U3275" s="1" t="s">
        <v>22</v>
      </c>
      <c r="V3275" s="1" t="s">
        <v>24</v>
      </c>
      <c r="W3275" s="1" t="s">
        <v>24</v>
      </c>
      <c r="X3275" s="1">
        <v>2705</v>
      </c>
      <c r="Y3275" s="1" t="s">
        <v>24</v>
      </c>
      <c r="Z3275" s="1" t="s">
        <v>24</v>
      </c>
      <c r="AA3275" s="1" t="s">
        <v>24</v>
      </c>
      <c r="AB3275" s="1" t="s">
        <v>24</v>
      </c>
      <c r="AC3275" s="1" t="s">
        <v>24</v>
      </c>
      <c r="AD3275" s="1" t="s">
        <v>24</v>
      </c>
      <c r="AE3275" s="1" t="s">
        <v>24</v>
      </c>
      <c r="AF3275" s="22"/>
    </row>
    <row r="3276" spans="1:32" x14ac:dyDescent="0.2">
      <c r="A3276" s="1">
        <v>26267</v>
      </c>
      <c r="B3276" s="1" t="s">
        <v>10182</v>
      </c>
      <c r="C3276" s="5" t="s">
        <v>0</v>
      </c>
      <c r="D3276" s="1" t="s">
        <v>10183</v>
      </c>
      <c r="F3276" s="1" t="s">
        <v>10184</v>
      </c>
      <c r="G3276" s="1" t="s">
        <v>10184</v>
      </c>
      <c r="H3276" s="1" t="s">
        <v>30</v>
      </c>
      <c r="I3276" s="1" t="s">
        <v>16</v>
      </c>
      <c r="J3276" s="1">
        <v>1</v>
      </c>
      <c r="K3276" s="1">
        <v>6</v>
      </c>
      <c r="L3276" s="1" t="s">
        <v>42</v>
      </c>
      <c r="M3276" s="1" t="s">
        <v>18</v>
      </c>
      <c r="N3276" s="1" t="s">
        <v>18</v>
      </c>
      <c r="O3276" s="1">
        <v>2</v>
      </c>
      <c r="P3276" s="1">
        <v>5</v>
      </c>
      <c r="R3276" s="1" t="s">
        <v>19</v>
      </c>
      <c r="S3276" s="1" t="s">
        <v>20</v>
      </c>
      <c r="T3276" s="1" t="s">
        <v>21</v>
      </c>
      <c r="U3276" s="1" t="s">
        <v>22</v>
      </c>
      <c r="V3276" s="1" t="s">
        <v>23</v>
      </c>
      <c r="W3276" s="1" t="s">
        <v>24</v>
      </c>
      <c r="X3276" s="1">
        <v>2703</v>
      </c>
      <c r="Y3276" s="1">
        <v>2914</v>
      </c>
      <c r="Z3276" s="1">
        <v>2902</v>
      </c>
      <c r="AA3276" s="1" t="s">
        <v>24</v>
      </c>
      <c r="AB3276" s="1" t="s">
        <v>24</v>
      </c>
      <c r="AC3276" s="1" t="s">
        <v>24</v>
      </c>
      <c r="AD3276" s="1" t="s">
        <v>24</v>
      </c>
      <c r="AE3276" s="1" t="s">
        <v>24</v>
      </c>
      <c r="AF3276" s="22"/>
    </row>
    <row r="3277" spans="1:32" x14ac:dyDescent="0.2">
      <c r="A3277" s="1">
        <v>26287</v>
      </c>
      <c r="B3277" s="1" t="s">
        <v>10185</v>
      </c>
      <c r="C3277" s="5" t="s">
        <v>0</v>
      </c>
      <c r="D3277" s="1" t="s">
        <v>10186</v>
      </c>
      <c r="E3277" s="1" t="s">
        <v>10187</v>
      </c>
      <c r="F3277" s="1" t="s">
        <v>109</v>
      </c>
      <c r="G3277" s="1" t="s">
        <v>110</v>
      </c>
      <c r="H3277" s="1" t="s">
        <v>111</v>
      </c>
      <c r="I3277" s="1" t="s">
        <v>16</v>
      </c>
      <c r="J3277" s="1">
        <v>1</v>
      </c>
      <c r="K3277" s="1">
        <v>6</v>
      </c>
      <c r="L3277" s="1" t="s">
        <v>31</v>
      </c>
      <c r="M3277" s="1" t="s">
        <v>18</v>
      </c>
      <c r="N3277" s="1" t="s">
        <v>18</v>
      </c>
      <c r="O3277" s="1">
        <v>3</v>
      </c>
      <c r="P3277" s="1">
        <v>7</v>
      </c>
      <c r="Q3277" s="7" t="s">
        <v>17633</v>
      </c>
      <c r="R3277" s="1" t="s">
        <v>19</v>
      </c>
      <c r="S3277" s="1" t="s">
        <v>20</v>
      </c>
      <c r="T3277" s="1" t="s">
        <v>21</v>
      </c>
      <c r="U3277" s="1" t="s">
        <v>22</v>
      </c>
      <c r="V3277" s="1" t="s">
        <v>24</v>
      </c>
      <c r="W3277" s="1" t="s">
        <v>24</v>
      </c>
      <c r="X3277" s="1">
        <v>2728</v>
      </c>
      <c r="Y3277" s="1">
        <v>2808</v>
      </c>
      <c r="Z3277" s="1" t="s">
        <v>24</v>
      </c>
      <c r="AA3277" s="1" t="s">
        <v>24</v>
      </c>
      <c r="AB3277" s="1" t="s">
        <v>24</v>
      </c>
      <c r="AC3277" s="1" t="s">
        <v>24</v>
      </c>
      <c r="AD3277" s="1" t="s">
        <v>24</v>
      </c>
      <c r="AE3277" s="1" t="s">
        <v>24</v>
      </c>
      <c r="AF3277" s="22"/>
    </row>
    <row r="3278" spans="1:32" x14ac:dyDescent="0.2">
      <c r="A3278" s="1">
        <v>26305</v>
      </c>
      <c r="B3278" s="1" t="s">
        <v>10188</v>
      </c>
      <c r="C3278" s="5" t="s">
        <v>0</v>
      </c>
      <c r="D3278" s="1" t="s">
        <v>10189</v>
      </c>
      <c r="E3278" s="1" t="s">
        <v>10190</v>
      </c>
      <c r="F3278" s="1" t="s">
        <v>10191</v>
      </c>
      <c r="G3278" s="1" t="s">
        <v>10192</v>
      </c>
      <c r="H3278" s="1" t="s">
        <v>30</v>
      </c>
      <c r="I3278" s="1" t="s">
        <v>16</v>
      </c>
      <c r="J3278" s="1">
        <v>1</v>
      </c>
      <c r="K3278" s="1">
        <v>12</v>
      </c>
      <c r="L3278" s="1" t="s">
        <v>42</v>
      </c>
      <c r="M3278" s="1" t="s">
        <v>18</v>
      </c>
      <c r="N3278" s="1" t="s">
        <v>18</v>
      </c>
      <c r="O3278" s="1">
        <v>3</v>
      </c>
      <c r="P3278" s="1">
        <v>6</v>
      </c>
      <c r="R3278" s="1" t="s">
        <v>62</v>
      </c>
      <c r="S3278" s="1" t="s">
        <v>20</v>
      </c>
      <c r="T3278" s="1" t="s">
        <v>21</v>
      </c>
      <c r="U3278" s="1" t="s">
        <v>22</v>
      </c>
      <c r="V3278" s="1" t="s">
        <v>24</v>
      </c>
      <c r="W3278" s="1" t="s">
        <v>24</v>
      </c>
      <c r="X3278" s="1">
        <v>1100</v>
      </c>
      <c r="Y3278" s="1">
        <v>1300</v>
      </c>
      <c r="Z3278" s="1">
        <v>2400</v>
      </c>
      <c r="AA3278" s="1">
        <v>2800</v>
      </c>
      <c r="AB3278" s="1" t="s">
        <v>24</v>
      </c>
      <c r="AC3278" s="1" t="s">
        <v>24</v>
      </c>
      <c r="AD3278" s="1" t="s">
        <v>24</v>
      </c>
      <c r="AE3278" s="1" t="s">
        <v>24</v>
      </c>
      <c r="AF3278" s="22"/>
    </row>
    <row r="3279" spans="1:32" x14ac:dyDescent="0.2">
      <c r="A3279" s="1">
        <v>26306</v>
      </c>
      <c r="B3279" s="1" t="s">
        <v>10193</v>
      </c>
      <c r="C3279" s="5" t="s">
        <v>0</v>
      </c>
      <c r="D3279" s="1" t="s">
        <v>10194</v>
      </c>
      <c r="E3279" s="1" t="s">
        <v>10195</v>
      </c>
      <c r="F3279" s="1" t="s">
        <v>296</v>
      </c>
      <c r="G3279" s="1" t="s">
        <v>36</v>
      </c>
      <c r="H3279" s="1" t="s">
        <v>264</v>
      </c>
      <c r="I3279" s="1" t="s">
        <v>16</v>
      </c>
      <c r="J3279" s="1">
        <v>1</v>
      </c>
      <c r="K3279" s="1">
        <v>6</v>
      </c>
      <c r="L3279" s="1" t="s">
        <v>31</v>
      </c>
      <c r="M3279" s="1" t="s">
        <v>18</v>
      </c>
      <c r="N3279" s="1" t="s">
        <v>18</v>
      </c>
      <c r="O3279" s="1">
        <v>3</v>
      </c>
      <c r="P3279" s="1">
        <v>7</v>
      </c>
      <c r="Q3279" s="7" t="s">
        <v>17633</v>
      </c>
      <c r="R3279" s="1" t="s">
        <v>19</v>
      </c>
      <c r="S3279" s="1" t="s">
        <v>20</v>
      </c>
      <c r="T3279" s="1" t="s">
        <v>21</v>
      </c>
      <c r="U3279" s="1" t="s">
        <v>22</v>
      </c>
      <c r="V3279" s="1" t="s">
        <v>23</v>
      </c>
      <c r="W3279" s="1" t="s">
        <v>24</v>
      </c>
      <c r="X3279" s="1">
        <v>2711</v>
      </c>
      <c r="Y3279" s="1" t="s">
        <v>24</v>
      </c>
      <c r="Z3279" s="1" t="s">
        <v>24</v>
      </c>
      <c r="AA3279" s="1" t="s">
        <v>24</v>
      </c>
      <c r="AB3279" s="1" t="s">
        <v>24</v>
      </c>
      <c r="AC3279" s="1" t="s">
        <v>24</v>
      </c>
      <c r="AD3279" s="1" t="s">
        <v>24</v>
      </c>
      <c r="AE3279" s="1" t="s">
        <v>24</v>
      </c>
      <c r="AF3279" s="22"/>
    </row>
    <row r="3280" spans="1:32" x14ac:dyDescent="0.2">
      <c r="A3280" s="1">
        <v>26308</v>
      </c>
      <c r="B3280" s="1" t="s">
        <v>10196</v>
      </c>
      <c r="C3280" s="5" t="s">
        <v>0</v>
      </c>
      <c r="D3280" s="1" t="s">
        <v>10197</v>
      </c>
      <c r="F3280" s="1" t="s">
        <v>10198</v>
      </c>
      <c r="G3280" s="1" t="s">
        <v>10199</v>
      </c>
      <c r="H3280" s="1" t="s">
        <v>899</v>
      </c>
      <c r="I3280" s="1" t="s">
        <v>16</v>
      </c>
      <c r="J3280" s="1">
        <v>1</v>
      </c>
      <c r="K3280" s="1">
        <v>4</v>
      </c>
      <c r="L3280" s="1" t="s">
        <v>42</v>
      </c>
      <c r="M3280" s="1" t="s">
        <v>18</v>
      </c>
      <c r="N3280" s="1" t="s">
        <v>18</v>
      </c>
      <c r="O3280" s="1">
        <v>2</v>
      </c>
      <c r="P3280" s="1">
        <v>5</v>
      </c>
      <c r="R3280" s="1" t="s">
        <v>19</v>
      </c>
      <c r="S3280" s="1" t="s">
        <v>20</v>
      </c>
      <c r="T3280" s="1" t="s">
        <v>21</v>
      </c>
      <c r="U3280" s="1" t="s">
        <v>22</v>
      </c>
      <c r="V3280" s="1" t="s">
        <v>24</v>
      </c>
      <c r="W3280" s="1" t="s">
        <v>24</v>
      </c>
      <c r="X3280" s="1">
        <v>2725</v>
      </c>
      <c r="Y3280" s="1">
        <v>2405</v>
      </c>
      <c r="Z3280" s="1" t="s">
        <v>24</v>
      </c>
      <c r="AA3280" s="1" t="s">
        <v>24</v>
      </c>
      <c r="AB3280" s="1" t="s">
        <v>24</v>
      </c>
      <c r="AC3280" s="1" t="s">
        <v>24</v>
      </c>
      <c r="AD3280" s="1" t="s">
        <v>24</v>
      </c>
      <c r="AE3280" s="1" t="s">
        <v>24</v>
      </c>
      <c r="AF3280" s="22"/>
    </row>
    <row r="3281" spans="1:32" x14ac:dyDescent="0.2">
      <c r="A3281" s="1">
        <v>26311</v>
      </c>
      <c r="B3281" s="1" t="s">
        <v>10200</v>
      </c>
      <c r="C3281" s="5" t="s">
        <v>0</v>
      </c>
      <c r="D3281" s="1" t="s">
        <v>10201</v>
      </c>
      <c r="E3281" s="1" t="s">
        <v>10202</v>
      </c>
      <c r="F3281" s="1" t="s">
        <v>4337</v>
      </c>
      <c r="G3281" s="1" t="s">
        <v>4338</v>
      </c>
      <c r="H3281" s="1" t="s">
        <v>30</v>
      </c>
      <c r="I3281" s="1" t="s">
        <v>16</v>
      </c>
      <c r="J3281" s="1">
        <v>1</v>
      </c>
      <c r="K3281" s="1">
        <v>24</v>
      </c>
      <c r="L3281" s="1" t="s">
        <v>31</v>
      </c>
      <c r="M3281" s="1" t="s">
        <v>18</v>
      </c>
      <c r="N3281" s="1" t="s">
        <v>18</v>
      </c>
      <c r="O3281" s="1">
        <v>3</v>
      </c>
      <c r="P3281" s="1">
        <v>7</v>
      </c>
      <c r="Q3281" s="7" t="s">
        <v>17633</v>
      </c>
      <c r="R3281" s="1" t="s">
        <v>19</v>
      </c>
      <c r="S3281" s="1" t="s">
        <v>20</v>
      </c>
      <c r="T3281" s="1" t="s">
        <v>21</v>
      </c>
      <c r="U3281" s="1" t="s">
        <v>22</v>
      </c>
      <c r="V3281" s="1" t="s">
        <v>24</v>
      </c>
      <c r="W3281" s="1" t="s">
        <v>24</v>
      </c>
      <c r="X3281" s="1">
        <v>1307</v>
      </c>
      <c r="Y3281" s="1">
        <v>1309</v>
      </c>
      <c r="Z3281" s="1">
        <v>2720</v>
      </c>
      <c r="AA3281" s="1" t="s">
        <v>24</v>
      </c>
      <c r="AB3281" s="1" t="s">
        <v>24</v>
      </c>
      <c r="AC3281" s="1" t="s">
        <v>24</v>
      </c>
      <c r="AD3281" s="1" t="s">
        <v>24</v>
      </c>
      <c r="AE3281" s="1" t="s">
        <v>24</v>
      </c>
      <c r="AF3281" s="22"/>
    </row>
    <row r="3282" spans="1:32" x14ac:dyDescent="0.2">
      <c r="A3282" s="1">
        <v>26384</v>
      </c>
      <c r="B3282" s="1" t="s">
        <v>10203</v>
      </c>
      <c r="C3282" s="5" t="s">
        <v>0</v>
      </c>
      <c r="D3282" s="1" t="s">
        <v>9572</v>
      </c>
      <c r="F3282" s="1" t="s">
        <v>10204</v>
      </c>
      <c r="G3282" s="1" t="s">
        <v>10205</v>
      </c>
      <c r="H3282" s="1" t="s">
        <v>684</v>
      </c>
      <c r="I3282" s="1" t="s">
        <v>16</v>
      </c>
      <c r="J3282" s="1">
        <v>1</v>
      </c>
      <c r="K3282" s="1">
        <v>4</v>
      </c>
      <c r="L3282" s="1" t="s">
        <v>42</v>
      </c>
      <c r="M3282" s="1" t="s">
        <v>18</v>
      </c>
      <c r="N3282" s="1" t="s">
        <v>18</v>
      </c>
      <c r="O3282" s="1">
        <v>3</v>
      </c>
      <c r="P3282" s="1">
        <v>6</v>
      </c>
      <c r="R3282" s="1" t="s">
        <v>19</v>
      </c>
      <c r="S3282" s="1" t="s">
        <v>20</v>
      </c>
      <c r="T3282" s="1" t="s">
        <v>21</v>
      </c>
      <c r="U3282" s="1" t="s">
        <v>22</v>
      </c>
      <c r="V3282" s="1" t="s">
        <v>24</v>
      </c>
      <c r="W3282" s="1" t="s">
        <v>24</v>
      </c>
      <c r="X3282" s="1">
        <v>2740</v>
      </c>
      <c r="Y3282" s="1" t="s">
        <v>24</v>
      </c>
      <c r="Z3282" s="1" t="s">
        <v>24</v>
      </c>
      <c r="AA3282" s="1" t="s">
        <v>24</v>
      </c>
      <c r="AB3282" s="1" t="s">
        <v>24</v>
      </c>
      <c r="AC3282" s="1" t="s">
        <v>24</v>
      </c>
      <c r="AD3282" s="1" t="s">
        <v>24</v>
      </c>
      <c r="AE3282" s="1" t="s">
        <v>24</v>
      </c>
      <c r="AF3282" s="22"/>
    </row>
    <row r="3283" spans="1:32" x14ac:dyDescent="0.2">
      <c r="A3283" s="1">
        <v>26392</v>
      </c>
      <c r="B3283" s="1" t="s">
        <v>10206</v>
      </c>
      <c r="C3283" s="5" t="s">
        <v>0</v>
      </c>
      <c r="D3283" s="1" t="s">
        <v>10207</v>
      </c>
      <c r="E3283" s="1" t="s">
        <v>10208</v>
      </c>
      <c r="F3283" s="1" t="s">
        <v>190</v>
      </c>
      <c r="G3283" s="1" t="s">
        <v>130</v>
      </c>
      <c r="H3283" s="1" t="s">
        <v>30</v>
      </c>
      <c r="I3283" s="1" t="s">
        <v>16</v>
      </c>
      <c r="J3283" s="1">
        <v>1</v>
      </c>
      <c r="K3283" s="1">
        <v>8</v>
      </c>
      <c r="L3283" s="1" t="s">
        <v>31</v>
      </c>
      <c r="M3283" s="1" t="s">
        <v>18</v>
      </c>
      <c r="N3283" s="1" t="s">
        <v>18</v>
      </c>
      <c r="O3283" s="1">
        <v>3</v>
      </c>
      <c r="P3283" s="1">
        <v>6</v>
      </c>
      <c r="R3283" s="1" t="s">
        <v>19</v>
      </c>
      <c r="S3283" s="1" t="s">
        <v>20</v>
      </c>
      <c r="T3283" s="1" t="s">
        <v>21</v>
      </c>
      <c r="U3283" s="1" t="s">
        <v>22</v>
      </c>
      <c r="V3283" s="1" t="s">
        <v>24</v>
      </c>
      <c r="W3283" s="1" t="s">
        <v>24</v>
      </c>
      <c r="X3283" s="1">
        <v>1303</v>
      </c>
      <c r="Y3283" s="1">
        <v>1602</v>
      </c>
      <c r="Z3283" s="1">
        <v>1605</v>
      </c>
      <c r="AA3283" s="1">
        <v>1502</v>
      </c>
      <c r="AB3283" s="1" t="s">
        <v>24</v>
      </c>
      <c r="AC3283" s="1" t="s">
        <v>24</v>
      </c>
      <c r="AD3283" s="1" t="s">
        <v>24</v>
      </c>
      <c r="AE3283" s="1" t="s">
        <v>24</v>
      </c>
      <c r="AF3283" s="22"/>
    </row>
    <row r="3284" spans="1:32" x14ac:dyDescent="0.2">
      <c r="A3284" s="1">
        <v>26393</v>
      </c>
      <c r="B3284" s="1" t="s">
        <v>10209</v>
      </c>
      <c r="C3284" s="5" t="s">
        <v>0</v>
      </c>
      <c r="D3284" s="1" t="s">
        <v>10210</v>
      </c>
      <c r="E3284" s="1" t="s">
        <v>10211</v>
      </c>
      <c r="F3284" s="1" t="s">
        <v>217</v>
      </c>
      <c r="G3284" s="1" t="s">
        <v>130</v>
      </c>
      <c r="H3284" s="1" t="s">
        <v>92</v>
      </c>
      <c r="I3284" s="1" t="s">
        <v>16</v>
      </c>
      <c r="J3284" s="1">
        <v>1</v>
      </c>
      <c r="K3284" s="1">
        <v>6</v>
      </c>
      <c r="L3284" s="1" t="s">
        <v>31</v>
      </c>
      <c r="M3284" s="1" t="s">
        <v>18</v>
      </c>
      <c r="N3284" s="1" t="s">
        <v>18</v>
      </c>
      <c r="O3284" s="1">
        <v>3</v>
      </c>
      <c r="P3284" s="1">
        <v>7</v>
      </c>
      <c r="Q3284" s="7" t="s">
        <v>17633</v>
      </c>
      <c r="R3284" s="1" t="s">
        <v>19</v>
      </c>
      <c r="S3284" s="1" t="s">
        <v>20</v>
      </c>
      <c r="T3284" s="1" t="s">
        <v>21</v>
      </c>
      <c r="U3284" s="1" t="s">
        <v>22</v>
      </c>
      <c r="V3284" s="1" t="s">
        <v>24</v>
      </c>
      <c r="W3284" s="1" t="s">
        <v>24</v>
      </c>
      <c r="X3284" s="1">
        <v>1307</v>
      </c>
      <c r="Y3284" s="1">
        <v>2722</v>
      </c>
      <c r="Z3284" s="1">
        <v>1314</v>
      </c>
      <c r="AA3284" s="1" t="s">
        <v>24</v>
      </c>
      <c r="AB3284" s="1" t="s">
        <v>24</v>
      </c>
      <c r="AC3284" s="1" t="s">
        <v>24</v>
      </c>
      <c r="AD3284" s="1" t="s">
        <v>24</v>
      </c>
      <c r="AE3284" s="1" t="s">
        <v>24</v>
      </c>
      <c r="AF3284" s="22"/>
    </row>
    <row r="3285" spans="1:32" x14ac:dyDescent="0.2">
      <c r="A3285" s="1">
        <v>26400</v>
      </c>
      <c r="B3285" s="1" t="s">
        <v>10212</v>
      </c>
      <c r="C3285" s="5" t="s">
        <v>0</v>
      </c>
      <c r="D3285" s="1" t="s">
        <v>10213</v>
      </c>
      <c r="E3285" s="1" t="s">
        <v>10214</v>
      </c>
      <c r="F3285" s="1" t="s">
        <v>91</v>
      </c>
      <c r="G3285" s="1" t="s">
        <v>61</v>
      </c>
      <c r="H3285" s="1" t="s">
        <v>92</v>
      </c>
      <c r="I3285" s="1" t="s">
        <v>16</v>
      </c>
      <c r="J3285" s="1">
        <v>1</v>
      </c>
      <c r="K3285" s="1">
        <v>4</v>
      </c>
      <c r="L3285" s="1" t="s">
        <v>31</v>
      </c>
      <c r="M3285" s="1" t="s">
        <v>18</v>
      </c>
      <c r="N3285" s="1" t="s">
        <v>18</v>
      </c>
      <c r="O3285" s="1">
        <v>0</v>
      </c>
      <c r="P3285" s="1">
        <v>6</v>
      </c>
      <c r="R3285" s="1" t="s">
        <v>19</v>
      </c>
      <c r="S3285" s="1" t="s">
        <v>20</v>
      </c>
      <c r="T3285" s="1" t="s">
        <v>21</v>
      </c>
      <c r="U3285" s="1" t="s">
        <v>22</v>
      </c>
      <c r="V3285" s="1" t="s">
        <v>23</v>
      </c>
      <c r="W3285" s="1" t="s">
        <v>24</v>
      </c>
      <c r="X3285" s="1">
        <v>2701</v>
      </c>
      <c r="Y3285" s="1" t="s">
        <v>24</v>
      </c>
      <c r="Z3285" s="1" t="s">
        <v>24</v>
      </c>
      <c r="AA3285" s="1" t="s">
        <v>24</v>
      </c>
      <c r="AB3285" s="1" t="s">
        <v>24</v>
      </c>
      <c r="AC3285" s="1" t="s">
        <v>24</v>
      </c>
      <c r="AD3285" s="1" t="s">
        <v>24</v>
      </c>
      <c r="AE3285" s="1" t="s">
        <v>24</v>
      </c>
      <c r="AF3285" s="22"/>
    </row>
    <row r="3286" spans="1:32" x14ac:dyDescent="0.2">
      <c r="A3286" s="1">
        <v>26437</v>
      </c>
      <c r="B3286" s="1" t="s">
        <v>10215</v>
      </c>
      <c r="C3286" s="5" t="s">
        <v>0</v>
      </c>
      <c r="D3286" s="1" t="s">
        <v>10216</v>
      </c>
      <c r="E3286" s="1" t="s">
        <v>10217</v>
      </c>
      <c r="F3286" s="1" t="s">
        <v>1260</v>
      </c>
      <c r="G3286" s="1" t="s">
        <v>130</v>
      </c>
      <c r="H3286" s="1" t="s">
        <v>111</v>
      </c>
      <c r="I3286" s="1" t="s">
        <v>16</v>
      </c>
      <c r="J3286" s="1">
        <v>1</v>
      </c>
      <c r="K3286" s="1">
        <v>6</v>
      </c>
      <c r="L3286" s="1" t="s">
        <v>31</v>
      </c>
      <c r="M3286" s="1" t="s">
        <v>18</v>
      </c>
      <c r="N3286" s="1" t="s">
        <v>18</v>
      </c>
      <c r="O3286" s="1">
        <v>3</v>
      </c>
      <c r="P3286" s="1">
        <v>7</v>
      </c>
      <c r="Q3286" s="7" t="s">
        <v>17633</v>
      </c>
      <c r="R3286" s="1" t="s">
        <v>19</v>
      </c>
      <c r="S3286" s="1" t="s">
        <v>20</v>
      </c>
      <c r="T3286" s="1" t="s">
        <v>21</v>
      </c>
      <c r="U3286" s="1" t="s">
        <v>22</v>
      </c>
      <c r="V3286" s="1" t="s">
        <v>24</v>
      </c>
      <c r="W3286" s="1" t="s">
        <v>24</v>
      </c>
      <c r="X3286" s="1">
        <v>2735</v>
      </c>
      <c r="Y3286" s="1">
        <v>2736</v>
      </c>
      <c r="Z3286" s="1" t="s">
        <v>24</v>
      </c>
      <c r="AA3286" s="1" t="s">
        <v>24</v>
      </c>
      <c r="AB3286" s="1" t="s">
        <v>24</v>
      </c>
      <c r="AC3286" s="1" t="s">
        <v>24</v>
      </c>
      <c r="AD3286" s="1" t="s">
        <v>24</v>
      </c>
      <c r="AE3286" s="1" t="s">
        <v>24</v>
      </c>
      <c r="AF3286" s="22"/>
    </row>
    <row r="3287" spans="1:32" x14ac:dyDescent="0.2">
      <c r="A3287" s="1">
        <v>26466</v>
      </c>
      <c r="B3287" s="1" t="s">
        <v>10218</v>
      </c>
      <c r="C3287" s="5" t="s">
        <v>0</v>
      </c>
      <c r="D3287" s="1" t="s">
        <v>10219</v>
      </c>
      <c r="F3287" s="1" t="s">
        <v>1708</v>
      </c>
      <c r="G3287" s="1" t="s">
        <v>1708</v>
      </c>
      <c r="H3287" s="1" t="s">
        <v>684</v>
      </c>
      <c r="I3287" s="1" t="s">
        <v>16</v>
      </c>
      <c r="J3287" s="1">
        <v>1</v>
      </c>
      <c r="K3287" s="1">
        <v>4</v>
      </c>
      <c r="L3287" s="1" t="s">
        <v>17</v>
      </c>
      <c r="M3287" s="1" t="s">
        <v>1755</v>
      </c>
      <c r="N3287" s="1" t="s">
        <v>18</v>
      </c>
      <c r="O3287" s="1">
        <v>3</v>
      </c>
      <c r="P3287" s="1">
        <v>6</v>
      </c>
      <c r="R3287" s="1" t="s">
        <v>19</v>
      </c>
      <c r="S3287" s="1" t="s">
        <v>20</v>
      </c>
      <c r="T3287" s="1" t="s">
        <v>21</v>
      </c>
      <c r="U3287" s="1" t="s">
        <v>22</v>
      </c>
      <c r="V3287" s="1" t="s">
        <v>24</v>
      </c>
      <c r="W3287" s="1" t="s">
        <v>24</v>
      </c>
      <c r="X3287" s="1">
        <v>2705</v>
      </c>
      <c r="Y3287" s="1">
        <v>2746</v>
      </c>
      <c r="Z3287" s="1" t="s">
        <v>24</v>
      </c>
      <c r="AA3287" s="1" t="s">
        <v>24</v>
      </c>
      <c r="AB3287" s="1" t="s">
        <v>24</v>
      </c>
      <c r="AC3287" s="1" t="s">
        <v>24</v>
      </c>
      <c r="AD3287" s="1" t="s">
        <v>24</v>
      </c>
      <c r="AE3287" s="1" t="s">
        <v>24</v>
      </c>
      <c r="AF3287" s="22"/>
    </row>
    <row r="3288" spans="1:32" x14ac:dyDescent="0.2">
      <c r="A3288" s="1">
        <v>26493</v>
      </c>
      <c r="B3288" s="1" t="s">
        <v>10220</v>
      </c>
      <c r="C3288" s="5" t="s">
        <v>0</v>
      </c>
      <c r="D3288" s="1" t="s">
        <v>10221</v>
      </c>
      <c r="E3288" s="1" t="s">
        <v>10222</v>
      </c>
      <c r="F3288" s="1" t="s">
        <v>10223</v>
      </c>
      <c r="G3288" s="1" t="s">
        <v>10224</v>
      </c>
      <c r="H3288" s="1" t="s">
        <v>37</v>
      </c>
      <c r="I3288" s="1" t="s">
        <v>16</v>
      </c>
      <c r="J3288" s="1">
        <v>1</v>
      </c>
      <c r="K3288" s="1">
        <v>4</v>
      </c>
      <c r="L3288" s="1" t="s">
        <v>42</v>
      </c>
      <c r="M3288" s="1" t="s">
        <v>18</v>
      </c>
      <c r="N3288" s="1" t="s">
        <v>18</v>
      </c>
      <c r="O3288" s="1">
        <v>3</v>
      </c>
      <c r="P3288" s="1">
        <v>7</v>
      </c>
      <c r="Q3288" s="7" t="s">
        <v>17633</v>
      </c>
      <c r="R3288" s="1" t="s">
        <v>19</v>
      </c>
      <c r="S3288" s="1" t="s">
        <v>63</v>
      </c>
      <c r="T3288" s="1" t="s">
        <v>21</v>
      </c>
      <c r="U3288" s="1" t="s">
        <v>22</v>
      </c>
      <c r="V3288" s="1" t="s">
        <v>24</v>
      </c>
      <c r="W3288" s="1" t="s">
        <v>24</v>
      </c>
      <c r="X3288" s="1">
        <v>2204</v>
      </c>
      <c r="Y3288" s="1">
        <v>2804</v>
      </c>
      <c r="Z3288" s="1" t="s">
        <v>24</v>
      </c>
      <c r="AA3288" s="1" t="s">
        <v>24</v>
      </c>
      <c r="AB3288" s="1" t="s">
        <v>24</v>
      </c>
      <c r="AC3288" s="1" t="s">
        <v>24</v>
      </c>
      <c r="AD3288" s="1" t="s">
        <v>24</v>
      </c>
      <c r="AE3288" s="1" t="s">
        <v>24</v>
      </c>
      <c r="AF3288" s="22"/>
    </row>
    <row r="3289" spans="1:32" x14ac:dyDescent="0.2">
      <c r="A3289" s="1">
        <v>26517</v>
      </c>
      <c r="B3289" s="1" t="s">
        <v>10225</v>
      </c>
      <c r="C3289" s="5" t="s">
        <v>0</v>
      </c>
      <c r="D3289" s="1" t="s">
        <v>10226</v>
      </c>
      <c r="E3289" s="1" t="s">
        <v>10227</v>
      </c>
      <c r="F3289" s="1" t="s">
        <v>548</v>
      </c>
      <c r="G3289" s="1" t="s">
        <v>36</v>
      </c>
      <c r="H3289" s="1" t="s">
        <v>30</v>
      </c>
      <c r="I3289" s="1" t="s">
        <v>16</v>
      </c>
      <c r="J3289" s="1">
        <v>1</v>
      </c>
      <c r="K3289" s="1">
        <v>6</v>
      </c>
      <c r="L3289" s="1" t="s">
        <v>31</v>
      </c>
      <c r="M3289" s="1" t="s">
        <v>18</v>
      </c>
      <c r="N3289" s="1" t="s">
        <v>18</v>
      </c>
      <c r="O3289" s="1">
        <v>3</v>
      </c>
      <c r="P3289" s="1">
        <v>7</v>
      </c>
      <c r="Q3289" s="7" t="s">
        <v>17633</v>
      </c>
      <c r="R3289" s="1" t="s">
        <v>19</v>
      </c>
      <c r="S3289" s="1" t="s">
        <v>20</v>
      </c>
      <c r="T3289" s="1" t="s">
        <v>21</v>
      </c>
      <c r="U3289" s="1" t="s">
        <v>22</v>
      </c>
      <c r="V3289" s="1" t="s">
        <v>24</v>
      </c>
      <c r="W3289" s="1" t="s">
        <v>24</v>
      </c>
      <c r="X3289" s="1">
        <v>2720</v>
      </c>
      <c r="Y3289" s="1">
        <v>2727</v>
      </c>
      <c r="Z3289" s="1" t="s">
        <v>24</v>
      </c>
      <c r="AA3289" s="1" t="s">
        <v>24</v>
      </c>
      <c r="AB3289" s="1" t="s">
        <v>24</v>
      </c>
      <c r="AC3289" s="1" t="s">
        <v>24</v>
      </c>
      <c r="AD3289" s="1" t="s">
        <v>24</v>
      </c>
      <c r="AE3289" s="1" t="s">
        <v>24</v>
      </c>
      <c r="AF3289" s="22"/>
    </row>
    <row r="3290" spans="1:32" x14ac:dyDescent="0.2">
      <c r="A3290" s="1">
        <v>26518</v>
      </c>
      <c r="B3290" s="1" t="s">
        <v>10228</v>
      </c>
      <c r="C3290" s="5" t="s">
        <v>0</v>
      </c>
      <c r="D3290" s="1" t="s">
        <v>10229</v>
      </c>
      <c r="E3290" s="1" t="s">
        <v>10230</v>
      </c>
      <c r="F3290" s="1" t="s">
        <v>28</v>
      </c>
      <c r="G3290" s="1" t="s">
        <v>29</v>
      </c>
      <c r="H3290" s="1" t="s">
        <v>30</v>
      </c>
      <c r="I3290" s="1" t="s">
        <v>16</v>
      </c>
      <c r="J3290" s="1">
        <v>1</v>
      </c>
      <c r="K3290" s="1">
        <v>6</v>
      </c>
      <c r="L3290" s="1" t="s">
        <v>31</v>
      </c>
      <c r="M3290" s="1" t="s">
        <v>18</v>
      </c>
      <c r="N3290" s="1" t="s">
        <v>18</v>
      </c>
      <c r="O3290" s="1">
        <v>3</v>
      </c>
      <c r="P3290" s="1">
        <v>7</v>
      </c>
      <c r="Q3290" s="7" t="s">
        <v>17633</v>
      </c>
      <c r="R3290" s="1" t="s">
        <v>19</v>
      </c>
      <c r="S3290" s="1" t="s">
        <v>20</v>
      </c>
      <c r="T3290" s="1" t="s">
        <v>21</v>
      </c>
      <c r="U3290" s="1" t="s">
        <v>22</v>
      </c>
      <c r="V3290" s="1" t="s">
        <v>24</v>
      </c>
      <c r="W3290" s="1" t="s">
        <v>24</v>
      </c>
      <c r="X3290" s="1">
        <v>2708</v>
      </c>
      <c r="Y3290" s="1">
        <v>2723</v>
      </c>
      <c r="Z3290" s="1" t="s">
        <v>24</v>
      </c>
      <c r="AA3290" s="1" t="s">
        <v>24</v>
      </c>
      <c r="AB3290" s="1" t="s">
        <v>24</v>
      </c>
      <c r="AC3290" s="1" t="s">
        <v>24</v>
      </c>
      <c r="AD3290" s="1" t="s">
        <v>24</v>
      </c>
      <c r="AE3290" s="1" t="s">
        <v>24</v>
      </c>
      <c r="AF3290" s="22"/>
    </row>
    <row r="3291" spans="1:32" x14ac:dyDescent="0.2">
      <c r="A3291" s="1">
        <v>26520</v>
      </c>
      <c r="B3291" s="1" t="s">
        <v>10231</v>
      </c>
      <c r="C3291" s="5" t="s">
        <v>0</v>
      </c>
      <c r="D3291" s="1" t="s">
        <v>10232</v>
      </c>
      <c r="E3291" s="1" t="s">
        <v>10233</v>
      </c>
      <c r="F3291" s="1" t="s">
        <v>167</v>
      </c>
      <c r="G3291" s="1" t="s">
        <v>130</v>
      </c>
      <c r="H3291" s="1" t="s">
        <v>168</v>
      </c>
      <c r="I3291" s="1" t="s">
        <v>16</v>
      </c>
      <c r="J3291" s="1">
        <v>1</v>
      </c>
      <c r="K3291" s="1">
        <v>4</v>
      </c>
      <c r="L3291" s="1" t="s">
        <v>31</v>
      </c>
      <c r="M3291" s="1" t="s">
        <v>679</v>
      </c>
      <c r="N3291" s="1" t="s">
        <v>679</v>
      </c>
      <c r="O3291" s="1">
        <v>3</v>
      </c>
      <c r="P3291" s="1">
        <v>5</v>
      </c>
      <c r="R3291" s="1" t="s">
        <v>19</v>
      </c>
      <c r="S3291" s="1" t="s">
        <v>20</v>
      </c>
      <c r="T3291" s="1" t="s">
        <v>21</v>
      </c>
      <c r="U3291" s="1" t="s">
        <v>22</v>
      </c>
      <c r="V3291" s="1" t="s">
        <v>23</v>
      </c>
      <c r="W3291" s="1" t="s">
        <v>24</v>
      </c>
      <c r="X3291" s="1">
        <v>2739</v>
      </c>
      <c r="Y3291" s="1" t="s">
        <v>24</v>
      </c>
      <c r="Z3291" s="1" t="s">
        <v>24</v>
      </c>
      <c r="AA3291" s="1" t="s">
        <v>24</v>
      </c>
      <c r="AB3291" s="1" t="s">
        <v>24</v>
      </c>
      <c r="AC3291" s="1" t="s">
        <v>24</v>
      </c>
      <c r="AD3291" s="1" t="s">
        <v>24</v>
      </c>
      <c r="AE3291" s="1" t="s">
        <v>24</v>
      </c>
      <c r="AF3291" s="22"/>
    </row>
    <row r="3292" spans="1:32" x14ac:dyDescent="0.2">
      <c r="A3292" s="1">
        <v>26529</v>
      </c>
      <c r="B3292" s="1" t="s">
        <v>10234</v>
      </c>
      <c r="C3292" s="5" t="s">
        <v>0</v>
      </c>
      <c r="D3292" s="1" t="s">
        <v>10235</v>
      </c>
      <c r="F3292" s="1" t="s">
        <v>3442</v>
      </c>
      <c r="G3292" s="1" t="s">
        <v>3442</v>
      </c>
      <c r="H3292" s="1" t="s">
        <v>249</v>
      </c>
      <c r="I3292" s="1" t="s">
        <v>16</v>
      </c>
      <c r="J3292" s="1">
        <v>1</v>
      </c>
      <c r="K3292" s="1">
        <v>4</v>
      </c>
      <c r="L3292" s="1" t="s">
        <v>42</v>
      </c>
      <c r="M3292" s="1" t="s">
        <v>18</v>
      </c>
      <c r="N3292" s="1" t="s">
        <v>18</v>
      </c>
      <c r="O3292" s="1">
        <v>1</v>
      </c>
      <c r="P3292" s="1">
        <v>6</v>
      </c>
      <c r="R3292" s="1" t="s">
        <v>19</v>
      </c>
      <c r="S3292" s="1" t="s">
        <v>20</v>
      </c>
      <c r="T3292" s="1" t="s">
        <v>21</v>
      </c>
      <c r="U3292" s="1" t="s">
        <v>22</v>
      </c>
      <c r="V3292" s="1" t="s">
        <v>24</v>
      </c>
      <c r="W3292" s="1" t="s">
        <v>24</v>
      </c>
      <c r="X3292" s="1">
        <v>2402</v>
      </c>
      <c r="Y3292" s="1">
        <v>2404</v>
      </c>
      <c r="Z3292" s="1">
        <v>2726</v>
      </c>
      <c r="AA3292" s="1" t="s">
        <v>24</v>
      </c>
      <c r="AB3292" s="1" t="s">
        <v>24</v>
      </c>
      <c r="AC3292" s="1" t="s">
        <v>24</v>
      </c>
      <c r="AD3292" s="1" t="s">
        <v>24</v>
      </c>
      <c r="AE3292" s="1" t="s">
        <v>24</v>
      </c>
      <c r="AF3292" s="22"/>
    </row>
    <row r="3293" spans="1:32" x14ac:dyDescent="0.2">
      <c r="A3293" s="1">
        <v>26535</v>
      </c>
      <c r="B3293" s="1" t="s">
        <v>10236</v>
      </c>
      <c r="C3293" s="5" t="s">
        <v>0</v>
      </c>
      <c r="D3293" s="1" t="s">
        <v>10237</v>
      </c>
      <c r="E3293" s="1" t="s">
        <v>10238</v>
      </c>
      <c r="F3293" s="1" t="s">
        <v>97</v>
      </c>
      <c r="G3293" s="1" t="s">
        <v>98</v>
      </c>
      <c r="H3293" s="1" t="s">
        <v>37</v>
      </c>
      <c r="I3293" s="1" t="s">
        <v>16</v>
      </c>
      <c r="J3293" s="1">
        <v>1</v>
      </c>
      <c r="K3293" s="1">
        <v>6</v>
      </c>
      <c r="L3293" s="1" t="s">
        <v>31</v>
      </c>
      <c r="M3293" s="1" t="s">
        <v>18</v>
      </c>
      <c r="N3293" s="1" t="s">
        <v>18</v>
      </c>
      <c r="O3293" s="1">
        <v>3</v>
      </c>
      <c r="P3293" s="1">
        <v>7</v>
      </c>
      <c r="Q3293" s="7" t="s">
        <v>17633</v>
      </c>
      <c r="R3293" s="1" t="s">
        <v>19</v>
      </c>
      <c r="S3293" s="1" t="s">
        <v>20</v>
      </c>
      <c r="T3293" s="1" t="s">
        <v>21</v>
      </c>
      <c r="U3293" s="1" t="s">
        <v>22</v>
      </c>
      <c r="V3293" s="1" t="s">
        <v>24</v>
      </c>
      <c r="W3293" s="1" t="s">
        <v>24</v>
      </c>
      <c r="X3293" s="1">
        <v>2705</v>
      </c>
      <c r="Y3293" s="1">
        <v>2741</v>
      </c>
      <c r="Z3293" s="1">
        <v>2746</v>
      </c>
      <c r="AA3293" s="1" t="s">
        <v>24</v>
      </c>
      <c r="AB3293" s="1" t="s">
        <v>24</v>
      </c>
      <c r="AC3293" s="1" t="s">
        <v>24</v>
      </c>
      <c r="AD3293" s="1" t="s">
        <v>24</v>
      </c>
      <c r="AE3293" s="1" t="s">
        <v>24</v>
      </c>
      <c r="AF3293" s="22"/>
    </row>
    <row r="3294" spans="1:32" x14ac:dyDescent="0.2">
      <c r="A3294" s="1">
        <v>26542</v>
      </c>
      <c r="B3294" s="1" t="s">
        <v>10239</v>
      </c>
      <c r="C3294" s="5" t="s">
        <v>0</v>
      </c>
      <c r="D3294" s="1" t="s">
        <v>10240</v>
      </c>
      <c r="E3294" s="1" t="s">
        <v>10241</v>
      </c>
      <c r="F3294" s="1" t="s">
        <v>159</v>
      </c>
      <c r="G3294" s="1" t="s">
        <v>160</v>
      </c>
      <c r="H3294" s="1" t="s">
        <v>37</v>
      </c>
      <c r="I3294" s="1" t="s">
        <v>16</v>
      </c>
      <c r="J3294" s="1">
        <v>1</v>
      </c>
      <c r="K3294" s="1">
        <v>6</v>
      </c>
      <c r="L3294" s="1" t="s">
        <v>42</v>
      </c>
      <c r="M3294" s="1" t="s">
        <v>18</v>
      </c>
      <c r="N3294" s="1" t="s">
        <v>18</v>
      </c>
      <c r="O3294" s="1">
        <v>3</v>
      </c>
      <c r="P3294" s="1">
        <v>7</v>
      </c>
      <c r="Q3294" s="7" t="s">
        <v>17633</v>
      </c>
      <c r="R3294" s="1" t="s">
        <v>19</v>
      </c>
      <c r="S3294" s="1" t="s">
        <v>20</v>
      </c>
      <c r="T3294" s="1" t="s">
        <v>21</v>
      </c>
      <c r="U3294" s="1" t="s">
        <v>22</v>
      </c>
      <c r="V3294" s="1" t="s">
        <v>23</v>
      </c>
      <c r="W3294" s="1" t="s">
        <v>24</v>
      </c>
      <c r="X3294" s="1">
        <v>2735</v>
      </c>
      <c r="Y3294" s="1" t="s">
        <v>24</v>
      </c>
      <c r="Z3294" s="1" t="s">
        <v>24</v>
      </c>
      <c r="AA3294" s="1" t="s">
        <v>24</v>
      </c>
      <c r="AB3294" s="1" t="s">
        <v>24</v>
      </c>
      <c r="AC3294" s="1" t="s">
        <v>24</v>
      </c>
      <c r="AD3294" s="1" t="s">
        <v>24</v>
      </c>
      <c r="AE3294" s="1" t="s">
        <v>24</v>
      </c>
      <c r="AF3294" s="22"/>
    </row>
    <row r="3295" spans="1:32" x14ac:dyDescent="0.2">
      <c r="A3295" s="1">
        <v>26543</v>
      </c>
      <c r="B3295" s="1" t="s">
        <v>10242</v>
      </c>
      <c r="C3295" s="5" t="s">
        <v>0</v>
      </c>
      <c r="E3295" s="1" t="s">
        <v>10243</v>
      </c>
      <c r="F3295" s="1" t="s">
        <v>190</v>
      </c>
      <c r="G3295" s="1" t="s">
        <v>130</v>
      </c>
      <c r="H3295" s="1" t="s">
        <v>30</v>
      </c>
      <c r="I3295" s="1" t="s">
        <v>16</v>
      </c>
      <c r="J3295" s="1">
        <v>1</v>
      </c>
      <c r="K3295" s="1">
        <v>4</v>
      </c>
      <c r="L3295" s="1" t="s">
        <v>31</v>
      </c>
      <c r="M3295" s="1" t="s">
        <v>18</v>
      </c>
      <c r="N3295" s="1" t="s">
        <v>18</v>
      </c>
      <c r="O3295" s="1">
        <v>3</v>
      </c>
      <c r="P3295" s="1">
        <v>7</v>
      </c>
      <c r="Q3295" s="7" t="s">
        <v>17633</v>
      </c>
      <c r="R3295" s="1" t="s">
        <v>19</v>
      </c>
      <c r="S3295" s="1" t="s">
        <v>20</v>
      </c>
      <c r="T3295" s="1" t="s">
        <v>21</v>
      </c>
      <c r="U3295" s="1" t="s">
        <v>22</v>
      </c>
      <c r="V3295" s="1" t="s">
        <v>24</v>
      </c>
      <c r="W3295" s="1" t="s">
        <v>24</v>
      </c>
      <c r="X3295" s="1">
        <v>3003</v>
      </c>
      <c r="Y3295" s="1" t="s">
        <v>24</v>
      </c>
      <c r="Z3295" s="1" t="s">
        <v>24</v>
      </c>
      <c r="AA3295" s="1" t="s">
        <v>24</v>
      </c>
      <c r="AB3295" s="1" t="s">
        <v>24</v>
      </c>
      <c r="AC3295" s="1" t="s">
        <v>24</v>
      </c>
      <c r="AD3295" s="1" t="s">
        <v>24</v>
      </c>
      <c r="AE3295" s="1" t="s">
        <v>24</v>
      </c>
      <c r="AF3295" s="22"/>
    </row>
    <row r="3296" spans="1:32" x14ac:dyDescent="0.2">
      <c r="A3296" s="1">
        <v>26546</v>
      </c>
      <c r="B3296" s="1" t="s">
        <v>10244</v>
      </c>
      <c r="C3296" s="5" t="s">
        <v>0</v>
      </c>
      <c r="D3296" s="1" t="s">
        <v>10245</v>
      </c>
      <c r="F3296" s="1" t="s">
        <v>10246</v>
      </c>
      <c r="G3296" s="1" t="s">
        <v>460</v>
      </c>
      <c r="H3296" s="1" t="s">
        <v>461</v>
      </c>
      <c r="I3296" s="1" t="s">
        <v>16</v>
      </c>
      <c r="J3296" s="1">
        <v>1</v>
      </c>
      <c r="K3296" s="1">
        <v>4</v>
      </c>
      <c r="L3296" s="1" t="s">
        <v>42</v>
      </c>
      <c r="M3296" s="1" t="s">
        <v>18</v>
      </c>
      <c r="N3296" s="1" t="s">
        <v>18</v>
      </c>
      <c r="O3296" s="1">
        <v>3</v>
      </c>
      <c r="P3296" s="1">
        <v>6</v>
      </c>
      <c r="R3296" s="1" t="s">
        <v>19</v>
      </c>
      <c r="S3296" s="1" t="s">
        <v>20</v>
      </c>
      <c r="T3296" s="1" t="s">
        <v>21</v>
      </c>
      <c r="U3296" s="1" t="s">
        <v>22</v>
      </c>
      <c r="V3296" s="1" t="s">
        <v>24</v>
      </c>
      <c r="W3296" s="1" t="s">
        <v>24</v>
      </c>
      <c r="X3296" s="1">
        <v>2734</v>
      </c>
      <c r="Y3296" s="1">
        <v>3005</v>
      </c>
      <c r="Z3296" s="1" t="s">
        <v>24</v>
      </c>
      <c r="AA3296" s="1" t="s">
        <v>24</v>
      </c>
      <c r="AB3296" s="1" t="s">
        <v>24</v>
      </c>
      <c r="AC3296" s="1" t="s">
        <v>24</v>
      </c>
      <c r="AD3296" s="1" t="s">
        <v>24</v>
      </c>
      <c r="AE3296" s="1" t="s">
        <v>24</v>
      </c>
      <c r="AF3296" s="22"/>
    </row>
    <row r="3297" spans="1:32" x14ac:dyDescent="0.2">
      <c r="A3297" s="1">
        <v>26550</v>
      </c>
      <c r="B3297" s="1" t="s">
        <v>10247</v>
      </c>
      <c r="C3297" s="5" t="s">
        <v>0</v>
      </c>
      <c r="D3297" s="1" t="s">
        <v>10248</v>
      </c>
      <c r="E3297" s="1" t="s">
        <v>10249</v>
      </c>
      <c r="F3297" s="1" t="s">
        <v>1897</v>
      </c>
      <c r="G3297" s="1" t="s">
        <v>1898</v>
      </c>
      <c r="H3297" s="1" t="s">
        <v>899</v>
      </c>
      <c r="I3297" s="1" t="s">
        <v>16</v>
      </c>
      <c r="J3297" s="1">
        <v>1</v>
      </c>
      <c r="K3297" s="1">
        <v>4</v>
      </c>
      <c r="L3297" s="1" t="s">
        <v>31</v>
      </c>
      <c r="M3297" s="1" t="s">
        <v>18</v>
      </c>
      <c r="N3297" s="1" t="s">
        <v>18</v>
      </c>
      <c r="O3297" s="1">
        <v>1</v>
      </c>
      <c r="P3297" s="1">
        <v>1</v>
      </c>
      <c r="R3297" s="1" t="s">
        <v>19</v>
      </c>
      <c r="S3297" s="1" t="s">
        <v>20</v>
      </c>
      <c r="T3297" s="1" t="s">
        <v>21</v>
      </c>
      <c r="U3297" s="1" t="s">
        <v>22</v>
      </c>
      <c r="V3297" s="1" t="s">
        <v>24</v>
      </c>
      <c r="W3297" s="1" t="s">
        <v>24</v>
      </c>
      <c r="X3297" s="1">
        <v>2746</v>
      </c>
      <c r="Y3297" s="1" t="s">
        <v>24</v>
      </c>
      <c r="Z3297" s="1" t="s">
        <v>24</v>
      </c>
      <c r="AA3297" s="1" t="s">
        <v>24</v>
      </c>
      <c r="AB3297" s="1" t="s">
        <v>24</v>
      </c>
      <c r="AC3297" s="1" t="s">
        <v>24</v>
      </c>
      <c r="AD3297" s="1" t="s">
        <v>24</v>
      </c>
      <c r="AE3297" s="1" t="s">
        <v>24</v>
      </c>
      <c r="AF3297" s="22"/>
    </row>
    <row r="3298" spans="1:32" x14ac:dyDescent="0.2">
      <c r="A3298" s="1">
        <v>26558</v>
      </c>
      <c r="B3298" s="1" t="s">
        <v>10250</v>
      </c>
      <c r="C3298" s="5" t="s">
        <v>0</v>
      </c>
      <c r="E3298" s="1" t="s">
        <v>10251</v>
      </c>
      <c r="F3298" s="1" t="s">
        <v>2299</v>
      </c>
      <c r="G3298" s="1" t="s">
        <v>2300</v>
      </c>
      <c r="H3298" s="1" t="s">
        <v>37</v>
      </c>
      <c r="I3298" s="1" t="s">
        <v>16</v>
      </c>
      <c r="J3298" s="1">
        <v>1</v>
      </c>
      <c r="K3298" s="1">
        <v>1</v>
      </c>
      <c r="L3298" s="1" t="s">
        <v>31</v>
      </c>
      <c r="M3298" s="1" t="s">
        <v>18</v>
      </c>
      <c r="N3298" s="1" t="s">
        <v>18</v>
      </c>
      <c r="O3298" s="1">
        <v>3</v>
      </c>
      <c r="P3298" s="1">
        <v>6</v>
      </c>
      <c r="R3298" s="1" t="s">
        <v>19</v>
      </c>
      <c r="S3298" s="1" t="s">
        <v>63</v>
      </c>
      <c r="T3298" s="1" t="s">
        <v>21</v>
      </c>
      <c r="U3298" s="1" t="s">
        <v>22</v>
      </c>
      <c r="V3298" s="1" t="s">
        <v>24</v>
      </c>
      <c r="W3298" s="1" t="s">
        <v>24</v>
      </c>
      <c r="X3298" s="1">
        <v>2700</v>
      </c>
      <c r="Y3298" s="1" t="s">
        <v>24</v>
      </c>
      <c r="Z3298" s="1" t="s">
        <v>24</v>
      </c>
      <c r="AA3298" s="1" t="s">
        <v>24</v>
      </c>
      <c r="AB3298" s="1" t="s">
        <v>24</v>
      </c>
      <c r="AC3298" s="1" t="s">
        <v>24</v>
      </c>
      <c r="AD3298" s="1" t="s">
        <v>24</v>
      </c>
      <c r="AE3298" s="1" t="s">
        <v>24</v>
      </c>
      <c r="AF3298" s="22"/>
    </row>
    <row r="3299" spans="1:32" x14ac:dyDescent="0.2">
      <c r="A3299" s="1">
        <v>26560</v>
      </c>
      <c r="B3299" s="1" t="s">
        <v>10252</v>
      </c>
      <c r="C3299" s="5" t="s">
        <v>0</v>
      </c>
      <c r="E3299" s="1" t="s">
        <v>10253</v>
      </c>
      <c r="F3299" s="1" t="s">
        <v>2299</v>
      </c>
      <c r="G3299" s="1" t="s">
        <v>2300</v>
      </c>
      <c r="H3299" s="1" t="s">
        <v>37</v>
      </c>
      <c r="I3299" s="1" t="s">
        <v>16</v>
      </c>
      <c r="J3299" s="1">
        <v>1</v>
      </c>
      <c r="K3299" s="1">
        <v>1</v>
      </c>
      <c r="L3299" s="1" t="s">
        <v>31</v>
      </c>
      <c r="M3299" s="1" t="s">
        <v>18</v>
      </c>
      <c r="N3299" s="1" t="s">
        <v>18</v>
      </c>
      <c r="O3299" s="1">
        <v>3</v>
      </c>
      <c r="P3299" s="1">
        <v>6</v>
      </c>
      <c r="R3299" s="1" t="s">
        <v>19</v>
      </c>
      <c r="S3299" s="1" t="s">
        <v>63</v>
      </c>
      <c r="T3299" s="1" t="s">
        <v>21</v>
      </c>
      <c r="U3299" s="1" t="s">
        <v>22</v>
      </c>
      <c r="V3299" s="1" t="s">
        <v>24</v>
      </c>
      <c r="W3299" s="1" t="s">
        <v>24</v>
      </c>
      <c r="X3299" s="1">
        <v>2723</v>
      </c>
      <c r="Y3299" s="1">
        <v>2403</v>
      </c>
      <c r="Z3299" s="1">
        <v>1312</v>
      </c>
      <c r="AA3299" s="1" t="s">
        <v>24</v>
      </c>
      <c r="AB3299" s="1" t="s">
        <v>24</v>
      </c>
      <c r="AC3299" s="1" t="s">
        <v>24</v>
      </c>
      <c r="AD3299" s="1" t="s">
        <v>24</v>
      </c>
      <c r="AE3299" s="1" t="s">
        <v>24</v>
      </c>
      <c r="AF3299" s="22"/>
    </row>
    <row r="3300" spans="1:32" x14ac:dyDescent="0.2">
      <c r="A3300" s="1">
        <v>26561</v>
      </c>
      <c r="B3300" s="1" t="s">
        <v>10254</v>
      </c>
      <c r="C3300" s="5" t="s">
        <v>0</v>
      </c>
      <c r="E3300" s="1" t="s">
        <v>10255</v>
      </c>
      <c r="F3300" s="1" t="s">
        <v>2299</v>
      </c>
      <c r="G3300" s="1" t="s">
        <v>2300</v>
      </c>
      <c r="H3300" s="1" t="s">
        <v>37</v>
      </c>
      <c r="I3300" s="1" t="s">
        <v>16</v>
      </c>
      <c r="J3300" s="1">
        <v>1</v>
      </c>
      <c r="K3300" s="1">
        <v>1</v>
      </c>
      <c r="L3300" s="1" t="s">
        <v>31</v>
      </c>
      <c r="M3300" s="1" t="s">
        <v>18</v>
      </c>
      <c r="N3300" s="1" t="s">
        <v>18</v>
      </c>
      <c r="O3300" s="1">
        <v>3</v>
      </c>
      <c r="P3300" s="1">
        <v>6</v>
      </c>
      <c r="R3300" s="1" t="s">
        <v>19</v>
      </c>
      <c r="S3300" s="1" t="s">
        <v>63</v>
      </c>
      <c r="T3300" s="1" t="s">
        <v>21</v>
      </c>
      <c r="U3300" s="1" t="s">
        <v>22</v>
      </c>
      <c r="V3300" s="1" t="s">
        <v>23</v>
      </c>
      <c r="W3300" s="1" t="s">
        <v>24</v>
      </c>
      <c r="X3300" s="1">
        <v>2719</v>
      </c>
      <c r="Y3300" s="1" t="s">
        <v>24</v>
      </c>
      <c r="Z3300" s="1" t="s">
        <v>24</v>
      </c>
      <c r="AA3300" s="1" t="s">
        <v>24</v>
      </c>
      <c r="AB3300" s="1" t="s">
        <v>24</v>
      </c>
      <c r="AC3300" s="1" t="s">
        <v>24</v>
      </c>
      <c r="AD3300" s="1" t="s">
        <v>24</v>
      </c>
      <c r="AE3300" s="1" t="s">
        <v>24</v>
      </c>
      <c r="AF3300" s="22"/>
    </row>
    <row r="3301" spans="1:32" x14ac:dyDescent="0.2">
      <c r="A3301" s="1">
        <v>26562</v>
      </c>
      <c r="B3301" s="1" t="s">
        <v>10256</v>
      </c>
      <c r="C3301" s="5" t="s">
        <v>0</v>
      </c>
      <c r="E3301" s="1" t="s">
        <v>10257</v>
      </c>
      <c r="F3301" s="1" t="s">
        <v>2299</v>
      </c>
      <c r="G3301" s="1" t="s">
        <v>2300</v>
      </c>
      <c r="H3301" s="1" t="s">
        <v>37</v>
      </c>
      <c r="I3301" s="1" t="s">
        <v>16</v>
      </c>
      <c r="J3301" s="1">
        <v>1</v>
      </c>
      <c r="K3301" s="1">
        <v>1</v>
      </c>
      <c r="L3301" s="1" t="s">
        <v>31</v>
      </c>
      <c r="M3301" s="1" t="s">
        <v>18</v>
      </c>
      <c r="N3301" s="1" t="s">
        <v>18</v>
      </c>
      <c r="O3301" s="1">
        <v>3</v>
      </c>
      <c r="P3301" s="1">
        <v>6</v>
      </c>
      <c r="R3301" s="1" t="s">
        <v>19</v>
      </c>
      <c r="S3301" s="1" t="s">
        <v>63</v>
      </c>
      <c r="T3301" s="1" t="s">
        <v>21</v>
      </c>
      <c r="U3301" s="1" t="s">
        <v>22</v>
      </c>
      <c r="V3301" s="1" t="s">
        <v>24</v>
      </c>
      <c r="W3301" s="1" t="s">
        <v>24</v>
      </c>
      <c r="X3301" s="1">
        <v>1305</v>
      </c>
      <c r="Y3301" s="1">
        <v>1313</v>
      </c>
      <c r="Z3301" s="1">
        <v>2403</v>
      </c>
      <c r="AA3301" s="1">
        <v>2723</v>
      </c>
      <c r="AB3301" s="1" t="s">
        <v>24</v>
      </c>
      <c r="AC3301" s="1" t="s">
        <v>24</v>
      </c>
      <c r="AD3301" s="1" t="s">
        <v>24</v>
      </c>
      <c r="AE3301" s="1" t="s">
        <v>24</v>
      </c>
      <c r="AF3301" s="22"/>
    </row>
    <row r="3302" spans="1:32" x14ac:dyDescent="0.2">
      <c r="A3302" s="1">
        <v>26563</v>
      </c>
      <c r="B3302" s="1" t="s">
        <v>10258</v>
      </c>
      <c r="C3302" s="5" t="s">
        <v>0</v>
      </c>
      <c r="E3302" s="1" t="s">
        <v>10259</v>
      </c>
      <c r="F3302" s="1" t="s">
        <v>2299</v>
      </c>
      <c r="G3302" s="1" t="s">
        <v>2300</v>
      </c>
      <c r="H3302" s="1" t="s">
        <v>37</v>
      </c>
      <c r="I3302" s="1" t="s">
        <v>16</v>
      </c>
      <c r="J3302" s="1">
        <v>1</v>
      </c>
      <c r="K3302" s="1">
        <v>1</v>
      </c>
      <c r="L3302" s="1" t="s">
        <v>31</v>
      </c>
      <c r="M3302" s="1" t="s">
        <v>18</v>
      </c>
      <c r="N3302" s="1" t="s">
        <v>18</v>
      </c>
      <c r="O3302" s="1">
        <v>3</v>
      </c>
      <c r="P3302" s="1">
        <v>6</v>
      </c>
      <c r="R3302" s="1" t="s">
        <v>19</v>
      </c>
      <c r="S3302" s="1" t="s">
        <v>63</v>
      </c>
      <c r="T3302" s="1" t="s">
        <v>21</v>
      </c>
      <c r="U3302" s="1" t="s">
        <v>22</v>
      </c>
      <c r="V3302" s="1" t="s">
        <v>23</v>
      </c>
      <c r="W3302" s="1" t="s">
        <v>24</v>
      </c>
      <c r="X3302" s="1">
        <v>2701</v>
      </c>
      <c r="Y3302" s="1">
        <v>2738</v>
      </c>
      <c r="Z3302" s="1">
        <v>2739</v>
      </c>
      <c r="AA3302" s="1" t="s">
        <v>24</v>
      </c>
      <c r="AB3302" s="1" t="s">
        <v>24</v>
      </c>
      <c r="AC3302" s="1" t="s">
        <v>24</v>
      </c>
      <c r="AD3302" s="1" t="s">
        <v>24</v>
      </c>
      <c r="AE3302" s="1" t="s">
        <v>24</v>
      </c>
      <c r="AF3302" s="22"/>
    </row>
    <row r="3303" spans="1:32" x14ac:dyDescent="0.2">
      <c r="A3303" s="1">
        <v>26566</v>
      </c>
      <c r="B3303" s="1" t="s">
        <v>10260</v>
      </c>
      <c r="C3303" s="5" t="s">
        <v>0</v>
      </c>
      <c r="E3303" s="1" t="s">
        <v>10261</v>
      </c>
      <c r="F3303" s="1" t="s">
        <v>2299</v>
      </c>
      <c r="G3303" s="1" t="s">
        <v>2300</v>
      </c>
      <c r="H3303" s="1" t="s">
        <v>37</v>
      </c>
      <c r="I3303" s="1" t="s">
        <v>16</v>
      </c>
      <c r="J3303" s="1">
        <v>1</v>
      </c>
      <c r="K3303" s="1">
        <v>1</v>
      </c>
      <c r="L3303" s="1" t="s">
        <v>31</v>
      </c>
      <c r="M3303" s="1" t="s">
        <v>18</v>
      </c>
      <c r="N3303" s="1" t="s">
        <v>18</v>
      </c>
      <c r="O3303" s="1">
        <v>3</v>
      </c>
      <c r="P3303" s="1">
        <v>6</v>
      </c>
      <c r="R3303" s="1" t="s">
        <v>19</v>
      </c>
      <c r="S3303" s="1" t="s">
        <v>63</v>
      </c>
      <c r="T3303" s="1" t="s">
        <v>21</v>
      </c>
      <c r="U3303" s="1" t="s">
        <v>22</v>
      </c>
      <c r="V3303" s="1" t="s">
        <v>23</v>
      </c>
      <c r="W3303" s="1" t="s">
        <v>24</v>
      </c>
      <c r="X3303" s="1">
        <v>2739</v>
      </c>
      <c r="Y3303" s="1" t="s">
        <v>24</v>
      </c>
      <c r="Z3303" s="1" t="s">
        <v>24</v>
      </c>
      <c r="AA3303" s="1" t="s">
        <v>24</v>
      </c>
      <c r="AB3303" s="1" t="s">
        <v>24</v>
      </c>
      <c r="AC3303" s="1" t="s">
        <v>24</v>
      </c>
      <c r="AD3303" s="1" t="s">
        <v>24</v>
      </c>
      <c r="AE3303" s="1" t="s">
        <v>24</v>
      </c>
      <c r="AF3303" s="22"/>
    </row>
    <row r="3304" spans="1:32" x14ac:dyDescent="0.2">
      <c r="A3304" s="1">
        <v>26567</v>
      </c>
      <c r="B3304" s="1" t="s">
        <v>10262</v>
      </c>
      <c r="C3304" s="5" t="s">
        <v>0</v>
      </c>
      <c r="E3304" s="1" t="s">
        <v>10263</v>
      </c>
      <c r="F3304" s="1" t="s">
        <v>2299</v>
      </c>
      <c r="G3304" s="1" t="s">
        <v>2300</v>
      </c>
      <c r="H3304" s="1" t="s">
        <v>37</v>
      </c>
      <c r="I3304" s="1" t="s">
        <v>16</v>
      </c>
      <c r="J3304" s="1">
        <v>1</v>
      </c>
      <c r="K3304" s="1">
        <v>1</v>
      </c>
      <c r="L3304" s="1" t="s">
        <v>31</v>
      </c>
      <c r="M3304" s="1" t="s">
        <v>18</v>
      </c>
      <c r="N3304" s="1" t="s">
        <v>18</v>
      </c>
      <c r="O3304" s="1">
        <v>3</v>
      </c>
      <c r="P3304" s="1">
        <v>6</v>
      </c>
      <c r="R3304" s="1" t="s">
        <v>19</v>
      </c>
      <c r="S3304" s="1" t="s">
        <v>63</v>
      </c>
      <c r="T3304" s="1" t="s">
        <v>21</v>
      </c>
      <c r="U3304" s="1" t="s">
        <v>22</v>
      </c>
      <c r="V3304" s="1" t="s">
        <v>23</v>
      </c>
      <c r="W3304" s="1" t="s">
        <v>24</v>
      </c>
      <c r="X3304" s="1">
        <v>2719</v>
      </c>
      <c r="Y3304" s="1" t="s">
        <v>24</v>
      </c>
      <c r="Z3304" s="1" t="s">
        <v>24</v>
      </c>
      <c r="AA3304" s="1" t="s">
        <v>24</v>
      </c>
      <c r="AB3304" s="1" t="s">
        <v>24</v>
      </c>
      <c r="AC3304" s="1" t="s">
        <v>24</v>
      </c>
      <c r="AD3304" s="1" t="s">
        <v>24</v>
      </c>
      <c r="AE3304" s="1" t="s">
        <v>24</v>
      </c>
      <c r="AF3304" s="22"/>
    </row>
    <row r="3305" spans="1:32" x14ac:dyDescent="0.2">
      <c r="A3305" s="1">
        <v>26571</v>
      </c>
      <c r="B3305" s="1" t="s">
        <v>10264</v>
      </c>
      <c r="C3305" s="5" t="s">
        <v>0</v>
      </c>
      <c r="E3305" s="1" t="s">
        <v>10265</v>
      </c>
      <c r="F3305" s="1" t="s">
        <v>2299</v>
      </c>
      <c r="G3305" s="1" t="s">
        <v>2300</v>
      </c>
      <c r="H3305" s="1" t="s">
        <v>37</v>
      </c>
      <c r="I3305" s="1" t="s">
        <v>16</v>
      </c>
      <c r="J3305" s="1">
        <v>1</v>
      </c>
      <c r="K3305" s="1">
        <v>1</v>
      </c>
      <c r="L3305" s="1" t="s">
        <v>31</v>
      </c>
      <c r="M3305" s="1" t="s">
        <v>18</v>
      </c>
      <c r="N3305" s="1" t="s">
        <v>18</v>
      </c>
      <c r="O3305" s="1">
        <v>3</v>
      </c>
      <c r="P3305" s="1">
        <v>6</v>
      </c>
      <c r="R3305" s="1" t="s">
        <v>19</v>
      </c>
      <c r="S3305" s="1" t="s">
        <v>63</v>
      </c>
      <c r="T3305" s="1" t="s">
        <v>21</v>
      </c>
      <c r="U3305" s="1" t="s">
        <v>22</v>
      </c>
      <c r="V3305" s="1" t="s">
        <v>23</v>
      </c>
      <c r="W3305" s="1" t="s">
        <v>24</v>
      </c>
      <c r="X3305" s="1">
        <v>2701</v>
      </c>
      <c r="Y3305" s="1">
        <v>2916</v>
      </c>
      <c r="Z3305" s="1">
        <v>3612</v>
      </c>
      <c r="AA3305" s="1" t="s">
        <v>24</v>
      </c>
      <c r="AB3305" s="1" t="s">
        <v>24</v>
      </c>
      <c r="AC3305" s="1" t="s">
        <v>24</v>
      </c>
      <c r="AD3305" s="1" t="s">
        <v>24</v>
      </c>
      <c r="AE3305" s="1" t="s">
        <v>24</v>
      </c>
      <c r="AF3305" s="22"/>
    </row>
    <row r="3306" spans="1:32" x14ac:dyDescent="0.2">
      <c r="A3306" s="1">
        <v>26573</v>
      </c>
      <c r="B3306" s="1" t="s">
        <v>10266</v>
      </c>
      <c r="C3306" s="5" t="s">
        <v>0</v>
      </c>
      <c r="E3306" s="1" t="s">
        <v>10267</v>
      </c>
      <c r="F3306" s="1" t="s">
        <v>2299</v>
      </c>
      <c r="G3306" s="1" t="s">
        <v>2300</v>
      </c>
      <c r="H3306" s="1" t="s">
        <v>37</v>
      </c>
      <c r="I3306" s="1" t="s">
        <v>16</v>
      </c>
      <c r="J3306" s="1">
        <v>1</v>
      </c>
      <c r="K3306" s="1">
        <v>1</v>
      </c>
      <c r="L3306" s="1" t="s">
        <v>31</v>
      </c>
      <c r="M3306" s="1" t="s">
        <v>18</v>
      </c>
      <c r="N3306" s="1" t="s">
        <v>18</v>
      </c>
      <c r="O3306" s="1">
        <v>3</v>
      </c>
      <c r="P3306" s="1">
        <v>6</v>
      </c>
      <c r="R3306" s="1" t="s">
        <v>19</v>
      </c>
      <c r="S3306" s="1" t="s">
        <v>63</v>
      </c>
      <c r="T3306" s="1" t="s">
        <v>21</v>
      </c>
      <c r="U3306" s="1" t="s">
        <v>22</v>
      </c>
      <c r="V3306" s="1" t="s">
        <v>24</v>
      </c>
      <c r="W3306" s="1" t="s">
        <v>24</v>
      </c>
      <c r="X3306" s="1">
        <v>1314</v>
      </c>
      <c r="Y3306" s="1">
        <v>2807</v>
      </c>
      <c r="Z3306" s="1" t="s">
        <v>24</v>
      </c>
      <c r="AA3306" s="1" t="s">
        <v>24</v>
      </c>
      <c r="AB3306" s="1" t="s">
        <v>24</v>
      </c>
      <c r="AC3306" s="1" t="s">
        <v>24</v>
      </c>
      <c r="AD3306" s="1" t="s">
        <v>24</v>
      </c>
      <c r="AE3306" s="1" t="s">
        <v>24</v>
      </c>
      <c r="AF3306" s="22"/>
    </row>
    <row r="3307" spans="1:32" x14ac:dyDescent="0.2">
      <c r="A3307" s="1">
        <v>26583</v>
      </c>
      <c r="B3307" s="1" t="s">
        <v>10268</v>
      </c>
      <c r="C3307" s="5" t="s">
        <v>0</v>
      </c>
      <c r="E3307" s="1" t="s">
        <v>10269</v>
      </c>
      <c r="F3307" s="1" t="s">
        <v>2299</v>
      </c>
      <c r="G3307" s="1" t="s">
        <v>2300</v>
      </c>
      <c r="H3307" s="1" t="s">
        <v>37</v>
      </c>
      <c r="I3307" s="1" t="s">
        <v>16</v>
      </c>
      <c r="J3307" s="1">
        <v>1</v>
      </c>
      <c r="K3307" s="1">
        <v>1</v>
      </c>
      <c r="L3307" s="1" t="s">
        <v>31</v>
      </c>
      <c r="M3307" s="1" t="s">
        <v>18</v>
      </c>
      <c r="N3307" s="1" t="s">
        <v>18</v>
      </c>
      <c r="O3307" s="1">
        <v>3</v>
      </c>
      <c r="P3307" s="1">
        <v>6</v>
      </c>
      <c r="R3307" s="1" t="s">
        <v>19</v>
      </c>
      <c r="S3307" s="1" t="s">
        <v>63</v>
      </c>
      <c r="T3307" s="1" t="s">
        <v>21</v>
      </c>
      <c r="U3307" s="1" t="s">
        <v>22</v>
      </c>
      <c r="V3307" s="1" t="s">
        <v>24</v>
      </c>
      <c r="W3307" s="1" t="s">
        <v>24</v>
      </c>
      <c r="X3307" s="1">
        <v>2804</v>
      </c>
      <c r="Y3307" s="1">
        <v>2808</v>
      </c>
      <c r="Z3307" s="1">
        <v>2403</v>
      </c>
      <c r="AA3307" s="1">
        <v>2800</v>
      </c>
      <c r="AB3307" s="1" t="s">
        <v>24</v>
      </c>
      <c r="AC3307" s="1" t="s">
        <v>24</v>
      </c>
      <c r="AD3307" s="1" t="s">
        <v>24</v>
      </c>
      <c r="AE3307" s="1" t="s">
        <v>24</v>
      </c>
      <c r="AF3307" s="22"/>
    </row>
    <row r="3308" spans="1:32" x14ac:dyDescent="0.2">
      <c r="A3308" s="1">
        <v>26584</v>
      </c>
      <c r="B3308" s="1" t="s">
        <v>10270</v>
      </c>
      <c r="C3308" s="5" t="s">
        <v>0</v>
      </c>
      <c r="E3308" s="1" t="s">
        <v>10271</v>
      </c>
      <c r="F3308" s="1" t="s">
        <v>2299</v>
      </c>
      <c r="G3308" s="1" t="s">
        <v>2300</v>
      </c>
      <c r="H3308" s="1" t="s">
        <v>37</v>
      </c>
      <c r="I3308" s="1" t="s">
        <v>16</v>
      </c>
      <c r="J3308" s="1">
        <v>1</v>
      </c>
      <c r="K3308" s="1">
        <v>1</v>
      </c>
      <c r="L3308" s="1" t="s">
        <v>31</v>
      </c>
      <c r="M3308" s="1" t="s">
        <v>18</v>
      </c>
      <c r="N3308" s="1" t="s">
        <v>18</v>
      </c>
      <c r="O3308" s="1">
        <v>3</v>
      </c>
      <c r="P3308" s="1">
        <v>6</v>
      </c>
      <c r="R3308" s="1" t="s">
        <v>19</v>
      </c>
      <c r="S3308" s="1" t="s">
        <v>63</v>
      </c>
      <c r="T3308" s="1" t="s">
        <v>21</v>
      </c>
      <c r="U3308" s="1" t="s">
        <v>22</v>
      </c>
      <c r="V3308" s="1" t="s">
        <v>23</v>
      </c>
      <c r="W3308" s="1" t="s">
        <v>24</v>
      </c>
      <c r="X3308" s="1">
        <v>1300</v>
      </c>
      <c r="Y3308" s="1">
        <v>2700</v>
      </c>
      <c r="Z3308" s="1" t="s">
        <v>24</v>
      </c>
      <c r="AA3308" s="1" t="s">
        <v>24</v>
      </c>
      <c r="AB3308" s="1" t="s">
        <v>24</v>
      </c>
      <c r="AC3308" s="1" t="s">
        <v>24</v>
      </c>
      <c r="AD3308" s="1" t="s">
        <v>24</v>
      </c>
      <c r="AE3308" s="1" t="s">
        <v>24</v>
      </c>
      <c r="AF3308" s="22"/>
    </row>
    <row r="3309" spans="1:32" x14ac:dyDescent="0.2">
      <c r="A3309" s="1">
        <v>26586</v>
      </c>
      <c r="B3309" s="1" t="s">
        <v>10272</v>
      </c>
      <c r="C3309" s="5" t="s">
        <v>0</v>
      </c>
      <c r="E3309" s="1" t="s">
        <v>10273</v>
      </c>
      <c r="F3309" s="1" t="s">
        <v>2299</v>
      </c>
      <c r="G3309" s="1" t="s">
        <v>2300</v>
      </c>
      <c r="H3309" s="1" t="s">
        <v>37</v>
      </c>
      <c r="I3309" s="1" t="s">
        <v>16</v>
      </c>
      <c r="J3309" s="1">
        <v>1</v>
      </c>
      <c r="K3309" s="1">
        <v>1</v>
      </c>
      <c r="L3309" s="1" t="s">
        <v>31</v>
      </c>
      <c r="M3309" s="1" t="s">
        <v>18</v>
      </c>
      <c r="N3309" s="1" t="s">
        <v>18</v>
      </c>
      <c r="O3309" s="1">
        <v>3</v>
      </c>
      <c r="P3309" s="1">
        <v>7</v>
      </c>
      <c r="Q3309" s="7" t="s">
        <v>17633</v>
      </c>
      <c r="R3309" s="1" t="s">
        <v>19</v>
      </c>
      <c r="S3309" s="1" t="s">
        <v>63</v>
      </c>
      <c r="T3309" s="1" t="s">
        <v>21</v>
      </c>
      <c r="U3309" s="1" t="s">
        <v>22</v>
      </c>
      <c r="V3309" s="1" t="s">
        <v>23</v>
      </c>
      <c r="W3309" s="1" t="s">
        <v>24</v>
      </c>
      <c r="X3309" s="1">
        <v>2739</v>
      </c>
      <c r="Y3309" s="1">
        <v>2713</v>
      </c>
      <c r="Z3309" s="1" t="s">
        <v>24</v>
      </c>
      <c r="AA3309" s="1" t="s">
        <v>24</v>
      </c>
      <c r="AB3309" s="1" t="s">
        <v>24</v>
      </c>
      <c r="AC3309" s="1" t="s">
        <v>24</v>
      </c>
      <c r="AD3309" s="1" t="s">
        <v>24</v>
      </c>
      <c r="AE3309" s="1" t="s">
        <v>24</v>
      </c>
      <c r="AF3309" s="22"/>
    </row>
    <row r="3310" spans="1:32" x14ac:dyDescent="0.2">
      <c r="A3310" s="1">
        <v>26587</v>
      </c>
      <c r="B3310" s="1" t="s">
        <v>10274</v>
      </c>
      <c r="C3310" s="5" t="s">
        <v>0</v>
      </c>
      <c r="E3310" s="1" t="s">
        <v>10275</v>
      </c>
      <c r="F3310" s="1" t="s">
        <v>2299</v>
      </c>
      <c r="G3310" s="1" t="s">
        <v>2300</v>
      </c>
      <c r="H3310" s="1" t="s">
        <v>37</v>
      </c>
      <c r="I3310" s="1" t="s">
        <v>16</v>
      </c>
      <c r="J3310" s="1">
        <v>1</v>
      </c>
      <c r="K3310" s="1">
        <v>1</v>
      </c>
      <c r="L3310" s="1" t="s">
        <v>31</v>
      </c>
      <c r="M3310" s="1" t="s">
        <v>18</v>
      </c>
      <c r="N3310" s="1" t="s">
        <v>18</v>
      </c>
      <c r="O3310" s="1">
        <v>3</v>
      </c>
      <c r="P3310" s="1">
        <v>6</v>
      </c>
      <c r="R3310" s="1" t="s">
        <v>19</v>
      </c>
      <c r="S3310" s="1" t="s">
        <v>63</v>
      </c>
      <c r="T3310" s="1" t="s">
        <v>21</v>
      </c>
      <c r="U3310" s="1" t="s">
        <v>22</v>
      </c>
      <c r="V3310" s="1" t="s">
        <v>24</v>
      </c>
      <c r="W3310" s="1" t="s">
        <v>24</v>
      </c>
      <c r="X3310" s="1">
        <v>1309</v>
      </c>
      <c r="Y3310" s="1">
        <v>1310</v>
      </c>
      <c r="Z3310" s="1">
        <v>2743</v>
      </c>
      <c r="AA3310" s="1" t="s">
        <v>24</v>
      </c>
      <c r="AB3310" s="1" t="s">
        <v>24</v>
      </c>
      <c r="AC3310" s="1" t="s">
        <v>24</v>
      </c>
      <c r="AD3310" s="1" t="s">
        <v>24</v>
      </c>
      <c r="AE3310" s="1" t="s">
        <v>24</v>
      </c>
      <c r="AF3310" s="22"/>
    </row>
    <row r="3311" spans="1:32" x14ac:dyDescent="0.2">
      <c r="A3311" s="1">
        <v>26588</v>
      </c>
      <c r="B3311" s="1" t="s">
        <v>10276</v>
      </c>
      <c r="C3311" s="5" t="s">
        <v>0</v>
      </c>
      <c r="E3311" s="1" t="s">
        <v>10277</v>
      </c>
      <c r="F3311" s="1" t="s">
        <v>2299</v>
      </c>
      <c r="G3311" s="1" t="s">
        <v>2300</v>
      </c>
      <c r="H3311" s="1" t="s">
        <v>37</v>
      </c>
      <c r="I3311" s="1" t="s">
        <v>16</v>
      </c>
      <c r="J3311" s="1">
        <v>1</v>
      </c>
      <c r="K3311" s="1">
        <v>1</v>
      </c>
      <c r="L3311" s="1" t="s">
        <v>31</v>
      </c>
      <c r="M3311" s="1" t="s">
        <v>18</v>
      </c>
      <c r="N3311" s="1" t="s">
        <v>18</v>
      </c>
      <c r="O3311" s="1">
        <v>3</v>
      </c>
      <c r="P3311" s="1">
        <v>6</v>
      </c>
      <c r="R3311" s="1" t="s">
        <v>19</v>
      </c>
      <c r="S3311" s="1" t="s">
        <v>63</v>
      </c>
      <c r="T3311" s="1" t="s">
        <v>21</v>
      </c>
      <c r="U3311" s="1" t="s">
        <v>22</v>
      </c>
      <c r="V3311" s="1" t="s">
        <v>24</v>
      </c>
      <c r="W3311" s="1" t="s">
        <v>24</v>
      </c>
      <c r="X3311" s="1">
        <v>2406</v>
      </c>
      <c r="Y3311" s="1">
        <v>2725</v>
      </c>
      <c r="Z3311" s="1" t="s">
        <v>24</v>
      </c>
      <c r="AA3311" s="1" t="s">
        <v>24</v>
      </c>
      <c r="AB3311" s="1" t="s">
        <v>24</v>
      </c>
      <c r="AC3311" s="1" t="s">
        <v>24</v>
      </c>
      <c r="AD3311" s="1" t="s">
        <v>24</v>
      </c>
      <c r="AE3311" s="1" t="s">
        <v>24</v>
      </c>
      <c r="AF3311" s="22"/>
    </row>
    <row r="3312" spans="1:32" x14ac:dyDescent="0.2">
      <c r="A3312" s="1">
        <v>26589</v>
      </c>
      <c r="B3312" s="1" t="s">
        <v>10278</v>
      </c>
      <c r="C3312" s="5" t="s">
        <v>0</v>
      </c>
      <c r="E3312" s="1" t="s">
        <v>10279</v>
      </c>
      <c r="F3312" s="1" t="s">
        <v>2299</v>
      </c>
      <c r="G3312" s="1" t="s">
        <v>2300</v>
      </c>
      <c r="H3312" s="1" t="s">
        <v>37</v>
      </c>
      <c r="I3312" s="1" t="s">
        <v>16</v>
      </c>
      <c r="J3312" s="1">
        <v>1</v>
      </c>
      <c r="K3312" s="1">
        <v>1</v>
      </c>
      <c r="L3312" s="1" t="s">
        <v>31</v>
      </c>
      <c r="M3312" s="1" t="s">
        <v>18</v>
      </c>
      <c r="N3312" s="1" t="s">
        <v>18</v>
      </c>
      <c r="O3312" s="1">
        <v>3</v>
      </c>
      <c r="P3312" s="1">
        <v>6</v>
      </c>
      <c r="R3312" s="1" t="s">
        <v>19</v>
      </c>
      <c r="S3312" s="1" t="s">
        <v>63</v>
      </c>
      <c r="T3312" s="1" t="s">
        <v>21</v>
      </c>
      <c r="U3312" s="1" t="s">
        <v>22</v>
      </c>
      <c r="V3312" s="1" t="s">
        <v>24</v>
      </c>
      <c r="W3312" s="1" t="s">
        <v>24</v>
      </c>
      <c r="X3312" s="1">
        <v>2720</v>
      </c>
      <c r="Y3312" s="1" t="s">
        <v>24</v>
      </c>
      <c r="Z3312" s="1" t="s">
        <v>24</v>
      </c>
      <c r="AA3312" s="1" t="s">
        <v>24</v>
      </c>
      <c r="AB3312" s="1" t="s">
        <v>24</v>
      </c>
      <c r="AC3312" s="1" t="s">
        <v>24</v>
      </c>
      <c r="AD3312" s="1" t="s">
        <v>24</v>
      </c>
      <c r="AE3312" s="1" t="s">
        <v>24</v>
      </c>
      <c r="AF3312" s="22"/>
    </row>
    <row r="3313" spans="1:32" x14ac:dyDescent="0.2">
      <c r="A3313" s="1">
        <v>26590</v>
      </c>
      <c r="B3313" s="1" t="s">
        <v>10280</v>
      </c>
      <c r="C3313" s="5" t="s">
        <v>0</v>
      </c>
      <c r="E3313" s="1" t="s">
        <v>10281</v>
      </c>
      <c r="F3313" s="1" t="s">
        <v>2299</v>
      </c>
      <c r="G3313" s="1" t="s">
        <v>2300</v>
      </c>
      <c r="H3313" s="1" t="s">
        <v>37</v>
      </c>
      <c r="I3313" s="1" t="s">
        <v>16</v>
      </c>
      <c r="J3313" s="1">
        <v>1</v>
      </c>
      <c r="K3313" s="1">
        <v>1</v>
      </c>
      <c r="L3313" s="1" t="s">
        <v>31</v>
      </c>
      <c r="M3313" s="1" t="s">
        <v>18</v>
      </c>
      <c r="N3313" s="1" t="s">
        <v>18</v>
      </c>
      <c r="O3313" s="1">
        <v>3</v>
      </c>
      <c r="P3313" s="1">
        <v>6</v>
      </c>
      <c r="R3313" s="1" t="s">
        <v>19</v>
      </c>
      <c r="S3313" s="1" t="s">
        <v>63</v>
      </c>
      <c r="T3313" s="1" t="s">
        <v>21</v>
      </c>
      <c r="U3313" s="1" t="s">
        <v>22</v>
      </c>
      <c r="V3313" s="1" t="s">
        <v>23</v>
      </c>
      <c r="W3313" s="1" t="s">
        <v>24</v>
      </c>
      <c r="X3313" s="1">
        <v>2730</v>
      </c>
      <c r="Y3313" s="1">
        <v>2746</v>
      </c>
      <c r="Z3313" s="1" t="s">
        <v>24</v>
      </c>
      <c r="AA3313" s="1" t="s">
        <v>24</v>
      </c>
      <c r="AB3313" s="1" t="s">
        <v>24</v>
      </c>
      <c r="AC3313" s="1" t="s">
        <v>24</v>
      </c>
      <c r="AD3313" s="1" t="s">
        <v>24</v>
      </c>
      <c r="AE3313" s="1" t="s">
        <v>24</v>
      </c>
      <c r="AF3313" s="22"/>
    </row>
    <row r="3314" spans="1:32" x14ac:dyDescent="0.2">
      <c r="A3314" s="1">
        <v>26618</v>
      </c>
      <c r="B3314" s="1" t="s">
        <v>10282</v>
      </c>
      <c r="C3314" s="5" t="s">
        <v>0</v>
      </c>
      <c r="E3314" s="1" t="s">
        <v>10283</v>
      </c>
      <c r="F3314" s="1" t="s">
        <v>1887</v>
      </c>
      <c r="G3314" s="1" t="s">
        <v>254</v>
      </c>
      <c r="H3314" s="1" t="s">
        <v>168</v>
      </c>
      <c r="I3314" s="1" t="s">
        <v>16</v>
      </c>
      <c r="J3314" s="1">
        <v>1</v>
      </c>
      <c r="K3314" s="1">
        <v>1</v>
      </c>
      <c r="L3314" s="1" t="s">
        <v>31</v>
      </c>
      <c r="M3314" s="1" t="s">
        <v>18</v>
      </c>
      <c r="N3314" s="1" t="s">
        <v>18</v>
      </c>
      <c r="O3314" s="1">
        <v>3</v>
      </c>
      <c r="P3314" s="1">
        <v>6</v>
      </c>
      <c r="R3314" s="1" t="s">
        <v>19</v>
      </c>
      <c r="S3314" s="1" t="s">
        <v>20</v>
      </c>
      <c r="T3314" s="1" t="s">
        <v>21</v>
      </c>
      <c r="U3314" s="1" t="s">
        <v>22</v>
      </c>
      <c r="V3314" s="1" t="s">
        <v>24</v>
      </c>
      <c r="W3314" s="1" t="s">
        <v>24</v>
      </c>
      <c r="X3314" s="1">
        <v>1311</v>
      </c>
      <c r="Y3314" s="1">
        <v>1312</v>
      </c>
      <c r="Z3314" s="1">
        <v>2613</v>
      </c>
      <c r="AA3314" s="1">
        <v>2605</v>
      </c>
      <c r="AB3314" s="1" t="s">
        <v>24</v>
      </c>
      <c r="AC3314" s="1" t="s">
        <v>24</v>
      </c>
      <c r="AD3314" s="1" t="s">
        <v>24</v>
      </c>
      <c r="AE3314" s="1" t="s">
        <v>24</v>
      </c>
      <c r="AF3314" s="22"/>
    </row>
    <row r="3315" spans="1:32" x14ac:dyDescent="0.2">
      <c r="A3315" s="1">
        <v>26654</v>
      </c>
      <c r="B3315" s="1" t="s">
        <v>10284</v>
      </c>
      <c r="C3315" s="5" t="s">
        <v>0</v>
      </c>
      <c r="D3315" s="1" t="s">
        <v>10285</v>
      </c>
      <c r="F3315" s="1" t="s">
        <v>6366</v>
      </c>
      <c r="G3315" s="1" t="s">
        <v>6366</v>
      </c>
      <c r="H3315" s="1" t="s">
        <v>899</v>
      </c>
      <c r="I3315" s="1" t="s">
        <v>16</v>
      </c>
      <c r="J3315" s="1">
        <v>0</v>
      </c>
      <c r="K3315" s="1">
        <v>0</v>
      </c>
      <c r="L3315" s="1" t="s">
        <v>42</v>
      </c>
      <c r="M3315" s="1" t="s">
        <v>18</v>
      </c>
      <c r="N3315" s="1" t="s">
        <v>18</v>
      </c>
      <c r="O3315" s="1">
        <v>3</v>
      </c>
      <c r="P3315" s="1">
        <v>6</v>
      </c>
      <c r="R3315" s="1" t="s">
        <v>19</v>
      </c>
      <c r="S3315" s="1" t="s">
        <v>20</v>
      </c>
      <c r="T3315" s="1" t="s">
        <v>21</v>
      </c>
      <c r="U3315" s="1" t="s">
        <v>22</v>
      </c>
      <c r="V3315" s="1" t="s">
        <v>24</v>
      </c>
      <c r="W3315" s="1" t="s">
        <v>24</v>
      </c>
      <c r="X3315" s="1">
        <v>1300</v>
      </c>
      <c r="Y3315" s="1">
        <v>2700</v>
      </c>
      <c r="Z3315" s="1" t="s">
        <v>24</v>
      </c>
      <c r="AA3315" s="1" t="s">
        <v>24</v>
      </c>
      <c r="AB3315" s="1" t="s">
        <v>24</v>
      </c>
      <c r="AC3315" s="1" t="s">
        <v>24</v>
      </c>
      <c r="AD3315" s="1" t="s">
        <v>24</v>
      </c>
      <c r="AE3315" s="1" t="s">
        <v>24</v>
      </c>
      <c r="AF3315" s="22"/>
    </row>
    <row r="3316" spans="1:32" x14ac:dyDescent="0.2">
      <c r="A3316" s="1">
        <v>26655</v>
      </c>
      <c r="B3316" s="1" t="s">
        <v>10286</v>
      </c>
      <c r="C3316" s="5" t="s">
        <v>0</v>
      </c>
      <c r="D3316" s="1" t="s">
        <v>10287</v>
      </c>
      <c r="E3316" s="1" t="s">
        <v>10288</v>
      </c>
      <c r="F3316" s="1" t="s">
        <v>6113</v>
      </c>
      <c r="G3316" s="1" t="s">
        <v>61</v>
      </c>
      <c r="H3316" s="1" t="s">
        <v>1116</v>
      </c>
      <c r="I3316" s="1" t="s">
        <v>16</v>
      </c>
      <c r="J3316" s="1">
        <v>1</v>
      </c>
      <c r="K3316" s="1">
        <v>4</v>
      </c>
      <c r="L3316" s="1" t="s">
        <v>31</v>
      </c>
      <c r="M3316" s="1" t="s">
        <v>18</v>
      </c>
      <c r="N3316" s="1" t="s">
        <v>18</v>
      </c>
      <c r="O3316" s="1">
        <v>2</v>
      </c>
      <c r="P3316" s="1">
        <v>6</v>
      </c>
      <c r="R3316" s="1" t="s">
        <v>19</v>
      </c>
      <c r="S3316" s="1" t="s">
        <v>20</v>
      </c>
      <c r="T3316" s="1" t="s">
        <v>21</v>
      </c>
      <c r="U3316" s="1" t="s">
        <v>22</v>
      </c>
      <c r="V3316" s="1" t="s">
        <v>23</v>
      </c>
      <c r="W3316" s="1" t="s">
        <v>24</v>
      </c>
      <c r="X3316" s="1">
        <v>2703</v>
      </c>
      <c r="Y3316" s="1" t="s">
        <v>24</v>
      </c>
      <c r="Z3316" s="1" t="s">
        <v>24</v>
      </c>
      <c r="AA3316" s="1" t="s">
        <v>24</v>
      </c>
      <c r="AB3316" s="1" t="s">
        <v>24</v>
      </c>
      <c r="AC3316" s="1" t="s">
        <v>24</v>
      </c>
      <c r="AD3316" s="1" t="s">
        <v>24</v>
      </c>
      <c r="AE3316" s="1" t="s">
        <v>24</v>
      </c>
      <c r="AF3316" s="22"/>
    </row>
    <row r="3317" spans="1:32" x14ac:dyDescent="0.2">
      <c r="A3317" s="1">
        <v>26656</v>
      </c>
      <c r="B3317" s="1" t="s">
        <v>10289</v>
      </c>
      <c r="C3317" s="5" t="s">
        <v>0</v>
      </c>
      <c r="D3317" s="1" t="s">
        <v>10290</v>
      </c>
      <c r="F3317" s="1" t="s">
        <v>303</v>
      </c>
      <c r="G3317" s="1" t="s">
        <v>61</v>
      </c>
      <c r="H3317" s="1" t="s">
        <v>30</v>
      </c>
      <c r="I3317" s="1" t="s">
        <v>16</v>
      </c>
      <c r="J3317" s="1">
        <v>1</v>
      </c>
      <c r="K3317" s="1">
        <v>4</v>
      </c>
      <c r="L3317" s="1" t="s">
        <v>31</v>
      </c>
      <c r="M3317" s="1" t="s">
        <v>18</v>
      </c>
      <c r="N3317" s="1" t="s">
        <v>18</v>
      </c>
      <c r="O3317" s="1">
        <v>3</v>
      </c>
      <c r="P3317" s="1">
        <v>7</v>
      </c>
      <c r="Q3317" s="7" t="s">
        <v>17633</v>
      </c>
      <c r="R3317" s="1" t="s">
        <v>19</v>
      </c>
      <c r="S3317" s="1" t="s">
        <v>20</v>
      </c>
      <c r="T3317" s="1" t="s">
        <v>21</v>
      </c>
      <c r="U3317" s="1" t="s">
        <v>22</v>
      </c>
      <c r="V3317" s="1" t="s">
        <v>24</v>
      </c>
      <c r="W3317" s="1" t="s">
        <v>24</v>
      </c>
      <c r="X3317" s="1">
        <v>2740</v>
      </c>
      <c r="Y3317" s="1">
        <v>2746</v>
      </c>
      <c r="Z3317" s="1" t="s">
        <v>24</v>
      </c>
      <c r="AA3317" s="1" t="s">
        <v>24</v>
      </c>
      <c r="AB3317" s="1" t="s">
        <v>24</v>
      </c>
      <c r="AC3317" s="1" t="s">
        <v>24</v>
      </c>
      <c r="AD3317" s="1" t="s">
        <v>24</v>
      </c>
      <c r="AE3317" s="1" t="s">
        <v>24</v>
      </c>
      <c r="AF3317" s="22" t="s">
        <v>17679</v>
      </c>
    </row>
    <row r="3318" spans="1:32" x14ac:dyDescent="0.2">
      <c r="A3318" s="1">
        <v>26660</v>
      </c>
      <c r="B3318" s="1" t="s">
        <v>10291</v>
      </c>
      <c r="C3318" s="5" t="s">
        <v>0</v>
      </c>
      <c r="D3318" s="1" t="s">
        <v>10292</v>
      </c>
      <c r="F3318" s="1" t="s">
        <v>1708</v>
      </c>
      <c r="G3318" s="1" t="s">
        <v>1708</v>
      </c>
      <c r="H3318" s="1" t="s">
        <v>684</v>
      </c>
      <c r="I3318" s="1" t="s">
        <v>16</v>
      </c>
      <c r="J3318" s="1">
        <v>1</v>
      </c>
      <c r="K3318" s="1">
        <v>4</v>
      </c>
      <c r="L3318" s="1" t="s">
        <v>17</v>
      </c>
      <c r="M3318" s="1" t="s">
        <v>18</v>
      </c>
      <c r="N3318" s="1" t="s">
        <v>18</v>
      </c>
      <c r="O3318" s="1">
        <v>3</v>
      </c>
      <c r="P3318" s="1">
        <v>6</v>
      </c>
      <c r="R3318" s="1" t="s">
        <v>19</v>
      </c>
      <c r="S3318" s="1" t="s">
        <v>20</v>
      </c>
      <c r="T3318" s="1" t="s">
        <v>21</v>
      </c>
      <c r="U3318" s="1" t="s">
        <v>22</v>
      </c>
      <c r="V3318" s="1" t="s">
        <v>23</v>
      </c>
      <c r="W3318" s="1" t="s">
        <v>24</v>
      </c>
      <c r="X3318" s="1">
        <v>2741</v>
      </c>
      <c r="Y3318" s="1" t="s">
        <v>24</v>
      </c>
      <c r="Z3318" s="1" t="s">
        <v>24</v>
      </c>
      <c r="AA3318" s="1" t="s">
        <v>24</v>
      </c>
      <c r="AB3318" s="1" t="s">
        <v>24</v>
      </c>
      <c r="AC3318" s="1" t="s">
        <v>24</v>
      </c>
      <c r="AD3318" s="1" t="s">
        <v>24</v>
      </c>
      <c r="AE3318" s="1" t="s">
        <v>24</v>
      </c>
      <c r="AF3318" s="22"/>
    </row>
    <row r="3319" spans="1:32" x14ac:dyDescent="0.2">
      <c r="A3319" s="1">
        <v>26723</v>
      </c>
      <c r="B3319" s="1" t="s">
        <v>10293</v>
      </c>
      <c r="C3319" s="5" t="s">
        <v>0</v>
      </c>
      <c r="D3319" s="1" t="s">
        <v>10294</v>
      </c>
      <c r="E3319" s="1" t="s">
        <v>10295</v>
      </c>
      <c r="F3319" s="1" t="s">
        <v>7866</v>
      </c>
      <c r="G3319" s="1" t="s">
        <v>7866</v>
      </c>
      <c r="H3319" s="1" t="s">
        <v>131</v>
      </c>
      <c r="I3319" s="1" t="s">
        <v>16</v>
      </c>
      <c r="J3319" s="1">
        <v>1</v>
      </c>
      <c r="K3319" s="1">
        <v>4</v>
      </c>
      <c r="L3319" s="1" t="s">
        <v>42</v>
      </c>
      <c r="M3319" s="1" t="s">
        <v>413</v>
      </c>
      <c r="N3319" s="1" t="s">
        <v>679</v>
      </c>
      <c r="O3319" s="1">
        <v>3</v>
      </c>
      <c r="P3319" s="1">
        <v>6</v>
      </c>
      <c r="R3319" s="1" t="s">
        <v>19</v>
      </c>
      <c r="S3319" s="1" t="s">
        <v>20</v>
      </c>
      <c r="T3319" s="1" t="s">
        <v>21</v>
      </c>
      <c r="U3319" s="1" t="s">
        <v>22</v>
      </c>
      <c r="V3319" s="1" t="s">
        <v>24</v>
      </c>
      <c r="W3319" s="1" t="s">
        <v>24</v>
      </c>
      <c r="X3319" s="1">
        <v>2729</v>
      </c>
      <c r="Y3319" s="1">
        <v>2743</v>
      </c>
      <c r="Z3319" s="1">
        <v>2712</v>
      </c>
      <c r="AA3319" s="1" t="s">
        <v>24</v>
      </c>
      <c r="AB3319" s="1" t="s">
        <v>24</v>
      </c>
      <c r="AC3319" s="1" t="s">
        <v>24</v>
      </c>
      <c r="AD3319" s="1" t="s">
        <v>24</v>
      </c>
      <c r="AE3319" s="1" t="s">
        <v>24</v>
      </c>
      <c r="AF3319" s="22"/>
    </row>
    <row r="3320" spans="1:32" x14ac:dyDescent="0.2">
      <c r="A3320" s="1">
        <v>26733</v>
      </c>
      <c r="B3320" s="1" t="s">
        <v>10296</v>
      </c>
      <c r="C3320" s="5" t="s">
        <v>0</v>
      </c>
      <c r="D3320" s="1" t="s">
        <v>10297</v>
      </c>
      <c r="E3320" s="1" t="s">
        <v>10298</v>
      </c>
      <c r="F3320" s="1" t="s">
        <v>167</v>
      </c>
      <c r="G3320" s="1" t="s">
        <v>130</v>
      </c>
      <c r="H3320" s="1" t="s">
        <v>168</v>
      </c>
      <c r="I3320" s="1" t="s">
        <v>16</v>
      </c>
      <c r="J3320" s="1">
        <v>0</v>
      </c>
      <c r="K3320" s="1">
        <v>0</v>
      </c>
      <c r="L3320" s="1" t="s">
        <v>31</v>
      </c>
      <c r="M3320" s="1" t="s">
        <v>18</v>
      </c>
      <c r="N3320" s="1" t="s">
        <v>18</v>
      </c>
      <c r="O3320" s="1">
        <v>3</v>
      </c>
      <c r="P3320" s="1">
        <v>7</v>
      </c>
      <c r="Q3320" s="7" t="s">
        <v>17633</v>
      </c>
      <c r="R3320" s="1" t="s">
        <v>19</v>
      </c>
      <c r="S3320" s="1" t="s">
        <v>20</v>
      </c>
      <c r="T3320" s="1" t="s">
        <v>21</v>
      </c>
      <c r="U3320" s="1" t="s">
        <v>22</v>
      </c>
      <c r="V3320" s="1" t="s">
        <v>23</v>
      </c>
      <c r="W3320" s="1" t="s">
        <v>24</v>
      </c>
      <c r="X3320" s="1">
        <v>2741</v>
      </c>
      <c r="Y3320" s="1" t="s">
        <v>24</v>
      </c>
      <c r="Z3320" s="1" t="s">
        <v>24</v>
      </c>
      <c r="AA3320" s="1" t="s">
        <v>24</v>
      </c>
      <c r="AB3320" s="1" t="s">
        <v>24</v>
      </c>
      <c r="AC3320" s="1" t="s">
        <v>24</v>
      </c>
      <c r="AD3320" s="1" t="s">
        <v>24</v>
      </c>
      <c r="AE3320" s="1" t="s">
        <v>24</v>
      </c>
      <c r="AF3320" s="22"/>
    </row>
    <row r="3321" spans="1:32" x14ac:dyDescent="0.2">
      <c r="A3321" s="1">
        <v>26734</v>
      </c>
      <c r="B3321" s="1" t="s">
        <v>10299</v>
      </c>
      <c r="C3321" s="5" t="s">
        <v>0</v>
      </c>
      <c r="D3321" s="1" t="s">
        <v>10300</v>
      </c>
      <c r="E3321" s="1" t="s">
        <v>10301</v>
      </c>
      <c r="F3321" s="1" t="s">
        <v>4337</v>
      </c>
      <c r="G3321" s="1" t="s">
        <v>4338</v>
      </c>
      <c r="H3321" s="1" t="s">
        <v>30</v>
      </c>
      <c r="I3321" s="1" t="s">
        <v>16</v>
      </c>
      <c r="J3321" s="1">
        <v>1</v>
      </c>
      <c r="K3321" s="1">
        <v>6</v>
      </c>
      <c r="L3321" s="1" t="s">
        <v>31</v>
      </c>
      <c r="M3321" s="1" t="s">
        <v>18</v>
      </c>
      <c r="N3321" s="1" t="s">
        <v>18</v>
      </c>
      <c r="O3321" s="1">
        <v>3</v>
      </c>
      <c r="P3321" s="1">
        <v>7</v>
      </c>
      <c r="Q3321" s="7" t="s">
        <v>17633</v>
      </c>
      <c r="R3321" s="1" t="s">
        <v>62</v>
      </c>
      <c r="S3321" s="1" t="s">
        <v>20</v>
      </c>
      <c r="T3321" s="1" t="s">
        <v>21</v>
      </c>
      <c r="U3321" s="1" t="s">
        <v>22</v>
      </c>
      <c r="V3321" s="1" t="s">
        <v>23</v>
      </c>
      <c r="W3321" s="1" t="s">
        <v>24</v>
      </c>
      <c r="X3321" s="1">
        <v>1302</v>
      </c>
      <c r="Y3321" s="1">
        <v>2717</v>
      </c>
      <c r="Z3321" s="1" t="s">
        <v>24</v>
      </c>
      <c r="AA3321" s="1" t="s">
        <v>24</v>
      </c>
      <c r="AB3321" s="1" t="s">
        <v>24</v>
      </c>
      <c r="AC3321" s="1" t="s">
        <v>24</v>
      </c>
      <c r="AD3321" s="1" t="s">
        <v>24</v>
      </c>
      <c r="AE3321" s="1" t="s">
        <v>24</v>
      </c>
      <c r="AF3321" s="22"/>
    </row>
    <row r="3322" spans="1:32" x14ac:dyDescent="0.2">
      <c r="A3322" s="1">
        <v>27337</v>
      </c>
      <c r="B3322" s="1" t="s">
        <v>10302</v>
      </c>
      <c r="C3322" s="5" t="s">
        <v>0</v>
      </c>
      <c r="D3322" s="1" t="s">
        <v>10303</v>
      </c>
      <c r="E3322" s="1" t="s">
        <v>10304</v>
      </c>
      <c r="F3322" s="1" t="s">
        <v>776</v>
      </c>
      <c r="G3322" s="1" t="s">
        <v>777</v>
      </c>
      <c r="H3322" s="1" t="s">
        <v>30</v>
      </c>
      <c r="I3322" s="1" t="s">
        <v>16</v>
      </c>
      <c r="J3322" s="1">
        <v>1</v>
      </c>
      <c r="K3322" s="1">
        <v>12</v>
      </c>
      <c r="L3322" s="1" t="s">
        <v>31</v>
      </c>
      <c r="M3322" s="1" t="s">
        <v>18</v>
      </c>
      <c r="N3322" s="1" t="s">
        <v>18</v>
      </c>
      <c r="O3322" s="1">
        <v>3</v>
      </c>
      <c r="P3322" s="1">
        <v>7</v>
      </c>
      <c r="Q3322" s="7" t="s">
        <v>17633</v>
      </c>
      <c r="R3322" s="1" t="s">
        <v>19</v>
      </c>
      <c r="S3322" s="1" t="s">
        <v>20</v>
      </c>
      <c r="T3322" s="1" t="s">
        <v>21</v>
      </c>
      <c r="U3322" s="1" t="s">
        <v>22</v>
      </c>
      <c r="V3322" s="1" t="s">
        <v>24</v>
      </c>
      <c r="W3322" s="1" t="s">
        <v>64</v>
      </c>
      <c r="X3322" s="1">
        <v>3003</v>
      </c>
      <c r="Y3322" s="1">
        <v>1313</v>
      </c>
      <c r="Z3322" s="1">
        <v>3002</v>
      </c>
      <c r="AA3322" s="1" t="s">
        <v>24</v>
      </c>
      <c r="AB3322" s="1" t="s">
        <v>24</v>
      </c>
      <c r="AC3322" s="1" t="s">
        <v>24</v>
      </c>
      <c r="AD3322" s="1" t="s">
        <v>24</v>
      </c>
      <c r="AE3322" s="1" t="s">
        <v>24</v>
      </c>
      <c r="AF3322" s="22"/>
    </row>
    <row r="3323" spans="1:32" x14ac:dyDescent="0.2">
      <c r="A3323" s="1">
        <v>27338</v>
      </c>
      <c r="B3323" s="1" t="s">
        <v>10305</v>
      </c>
      <c r="C3323" s="5" t="s">
        <v>0</v>
      </c>
      <c r="D3323" s="1" t="s">
        <v>10306</v>
      </c>
      <c r="F3323" s="1" t="s">
        <v>10307</v>
      </c>
      <c r="G3323" s="1" t="s">
        <v>10307</v>
      </c>
      <c r="H3323" s="1" t="s">
        <v>684</v>
      </c>
      <c r="I3323" s="1" t="s">
        <v>16</v>
      </c>
      <c r="J3323" s="1">
        <v>1</v>
      </c>
      <c r="K3323" s="1">
        <v>4</v>
      </c>
      <c r="L3323" s="1" t="s">
        <v>42</v>
      </c>
      <c r="M3323" s="1" t="s">
        <v>852</v>
      </c>
      <c r="N3323" s="1" t="s">
        <v>685</v>
      </c>
      <c r="O3323" s="1">
        <v>2</v>
      </c>
      <c r="P3323" s="1">
        <v>5</v>
      </c>
      <c r="R3323" s="1" t="s">
        <v>19</v>
      </c>
      <c r="S3323" s="1" t="s">
        <v>20</v>
      </c>
      <c r="T3323" s="1" t="s">
        <v>21</v>
      </c>
      <c r="U3323" s="1" t="s">
        <v>22</v>
      </c>
      <c r="V3323" s="1" t="s">
        <v>24</v>
      </c>
      <c r="W3323" s="1" t="s">
        <v>24</v>
      </c>
      <c r="X3323" s="1">
        <v>2724</v>
      </c>
      <c r="Y3323" s="1">
        <v>2736</v>
      </c>
      <c r="Z3323" s="1" t="s">
        <v>24</v>
      </c>
      <c r="AA3323" s="1" t="s">
        <v>24</v>
      </c>
      <c r="AB3323" s="1" t="s">
        <v>24</v>
      </c>
      <c r="AC3323" s="1" t="s">
        <v>24</v>
      </c>
      <c r="AD3323" s="1" t="s">
        <v>24</v>
      </c>
      <c r="AE3323" s="1" t="s">
        <v>24</v>
      </c>
      <c r="AF3323" s="22"/>
    </row>
    <row r="3324" spans="1:32" x14ac:dyDescent="0.2">
      <c r="A3324" s="1">
        <v>27340</v>
      </c>
      <c r="B3324" s="1" t="s">
        <v>10308</v>
      </c>
      <c r="C3324" s="5" t="s">
        <v>0</v>
      </c>
      <c r="D3324" s="1" t="s">
        <v>10309</v>
      </c>
      <c r="E3324" s="1" t="s">
        <v>10310</v>
      </c>
      <c r="F3324" s="1" t="s">
        <v>10311</v>
      </c>
      <c r="G3324" s="1" t="s">
        <v>10311</v>
      </c>
      <c r="H3324" s="1" t="s">
        <v>2772</v>
      </c>
      <c r="I3324" s="1" t="s">
        <v>16</v>
      </c>
      <c r="J3324" s="1">
        <v>1</v>
      </c>
      <c r="K3324" s="1">
        <v>3</v>
      </c>
      <c r="L3324" s="1" t="s">
        <v>42</v>
      </c>
      <c r="M3324" s="1" t="s">
        <v>18</v>
      </c>
      <c r="N3324" s="1" t="s">
        <v>18</v>
      </c>
      <c r="O3324" s="1">
        <v>3</v>
      </c>
      <c r="P3324" s="1">
        <v>6</v>
      </c>
      <c r="R3324" s="1" t="s">
        <v>19</v>
      </c>
      <c r="S3324" s="1" t="s">
        <v>20</v>
      </c>
      <c r="T3324" s="1" t="s">
        <v>21</v>
      </c>
      <c r="U3324" s="1" t="s">
        <v>22</v>
      </c>
      <c r="V3324" s="1" t="s">
        <v>24</v>
      </c>
      <c r="W3324" s="1" t="s">
        <v>24</v>
      </c>
      <c r="X3324" s="1">
        <v>2802</v>
      </c>
      <c r="Y3324" s="1">
        <v>2736</v>
      </c>
      <c r="Z3324" s="1">
        <v>2738</v>
      </c>
      <c r="AA3324" s="1" t="s">
        <v>24</v>
      </c>
      <c r="AB3324" s="1" t="s">
        <v>24</v>
      </c>
      <c r="AC3324" s="1" t="s">
        <v>24</v>
      </c>
      <c r="AD3324" s="1" t="s">
        <v>24</v>
      </c>
      <c r="AE3324" s="1" t="s">
        <v>24</v>
      </c>
      <c r="AF3324" s="22"/>
    </row>
    <row r="3325" spans="1:32" x14ac:dyDescent="0.2">
      <c r="A3325" s="1">
        <v>27341</v>
      </c>
      <c r="B3325" s="1" t="s">
        <v>10312</v>
      </c>
      <c r="C3325" s="5" t="s">
        <v>0</v>
      </c>
      <c r="D3325" s="1" t="s">
        <v>10313</v>
      </c>
      <c r="E3325" s="1" t="s">
        <v>10314</v>
      </c>
      <c r="F3325" s="1" t="s">
        <v>10315</v>
      </c>
      <c r="G3325" s="1" t="s">
        <v>61</v>
      </c>
      <c r="H3325" s="1" t="s">
        <v>1007</v>
      </c>
      <c r="I3325" s="1" t="s">
        <v>16</v>
      </c>
      <c r="J3325" s="1">
        <v>1</v>
      </c>
      <c r="K3325" s="1">
        <v>4</v>
      </c>
      <c r="L3325" s="1" t="s">
        <v>31</v>
      </c>
      <c r="M3325" s="1" t="s">
        <v>18</v>
      </c>
      <c r="N3325" s="1" t="s">
        <v>18</v>
      </c>
      <c r="O3325" s="1">
        <v>3</v>
      </c>
      <c r="P3325" s="1">
        <v>6</v>
      </c>
      <c r="R3325" s="1" t="s">
        <v>19</v>
      </c>
      <c r="S3325" s="1" t="s">
        <v>20</v>
      </c>
      <c r="T3325" s="1" t="s">
        <v>21</v>
      </c>
      <c r="U3325" s="1" t="s">
        <v>22</v>
      </c>
      <c r="V3325" s="1" t="s">
        <v>24</v>
      </c>
      <c r="W3325" s="1" t="s">
        <v>24</v>
      </c>
      <c r="X3325" s="1">
        <v>1311</v>
      </c>
      <c r="Y3325" s="1">
        <v>1312</v>
      </c>
      <c r="Z3325" s="1">
        <v>1303</v>
      </c>
      <c r="AA3325" s="1">
        <v>2605</v>
      </c>
      <c r="AB3325" s="1" t="s">
        <v>24</v>
      </c>
      <c r="AC3325" s="1" t="s">
        <v>24</v>
      </c>
      <c r="AD3325" s="1" t="s">
        <v>24</v>
      </c>
      <c r="AE3325" s="1" t="s">
        <v>24</v>
      </c>
      <c r="AF3325" s="22"/>
    </row>
    <row r="3326" spans="1:32" x14ac:dyDescent="0.2">
      <c r="A3326" s="1">
        <v>27344</v>
      </c>
      <c r="B3326" s="1" t="s">
        <v>10316</v>
      </c>
      <c r="C3326" s="5" t="s">
        <v>0</v>
      </c>
      <c r="D3326" s="1" t="s">
        <v>10317</v>
      </c>
      <c r="E3326" s="1" t="s">
        <v>10318</v>
      </c>
      <c r="F3326" s="1" t="s">
        <v>536</v>
      </c>
      <c r="G3326" s="1" t="s">
        <v>536</v>
      </c>
      <c r="H3326" s="1" t="s">
        <v>445</v>
      </c>
      <c r="I3326" s="1" t="s">
        <v>16</v>
      </c>
      <c r="J3326" s="1">
        <v>1</v>
      </c>
      <c r="K3326" s="1">
        <v>6</v>
      </c>
      <c r="L3326" s="1" t="s">
        <v>42</v>
      </c>
      <c r="M3326" s="1" t="s">
        <v>18</v>
      </c>
      <c r="N3326" s="1" t="s">
        <v>18</v>
      </c>
      <c r="O3326" s="1">
        <v>3</v>
      </c>
      <c r="P3326" s="1">
        <v>6</v>
      </c>
      <c r="R3326" s="1" t="s">
        <v>19</v>
      </c>
      <c r="S3326" s="1" t="s">
        <v>20</v>
      </c>
      <c r="T3326" s="1" t="s">
        <v>21</v>
      </c>
      <c r="U3326" s="1" t="s">
        <v>22</v>
      </c>
      <c r="V3326" s="1" t="s">
        <v>24</v>
      </c>
      <c r="W3326" s="1" t="s">
        <v>24</v>
      </c>
      <c r="X3326" s="1">
        <v>1311</v>
      </c>
      <c r="Y3326" s="1">
        <v>1312</v>
      </c>
      <c r="Z3326" s="1">
        <v>1306</v>
      </c>
      <c r="AA3326" s="1">
        <v>1303</v>
      </c>
      <c r="AB3326" s="1" t="s">
        <v>24</v>
      </c>
      <c r="AC3326" s="1" t="s">
        <v>24</v>
      </c>
      <c r="AD3326" s="1" t="s">
        <v>24</v>
      </c>
      <c r="AE3326" s="1" t="s">
        <v>24</v>
      </c>
      <c r="AF3326" s="22"/>
    </row>
    <row r="3327" spans="1:32" x14ac:dyDescent="0.2">
      <c r="A3327" s="1">
        <v>27346</v>
      </c>
      <c r="B3327" s="1" t="s">
        <v>10319</v>
      </c>
      <c r="C3327" s="5" t="s">
        <v>0</v>
      </c>
      <c r="D3327" s="1" t="s">
        <v>10320</v>
      </c>
      <c r="E3327" s="1" t="s">
        <v>10321</v>
      </c>
      <c r="F3327" s="1" t="s">
        <v>2299</v>
      </c>
      <c r="G3327" s="1" t="s">
        <v>2300</v>
      </c>
      <c r="H3327" s="1" t="s">
        <v>37</v>
      </c>
      <c r="I3327" s="1" t="s">
        <v>16</v>
      </c>
      <c r="J3327" s="1">
        <v>1</v>
      </c>
      <c r="K3327" s="1">
        <v>1</v>
      </c>
      <c r="L3327" s="1" t="s">
        <v>31</v>
      </c>
      <c r="M3327" s="1" t="s">
        <v>18</v>
      </c>
      <c r="N3327" s="1" t="s">
        <v>18</v>
      </c>
      <c r="O3327" s="1">
        <v>3</v>
      </c>
      <c r="P3327" s="1">
        <v>7</v>
      </c>
      <c r="Q3327" s="7" t="s">
        <v>17633</v>
      </c>
      <c r="R3327" s="1" t="s">
        <v>19</v>
      </c>
      <c r="S3327" s="1" t="s">
        <v>63</v>
      </c>
      <c r="T3327" s="1" t="s">
        <v>21</v>
      </c>
      <c r="U3327" s="1" t="s">
        <v>22</v>
      </c>
      <c r="V3327" s="1" t="s">
        <v>24</v>
      </c>
      <c r="W3327" s="1" t="s">
        <v>24</v>
      </c>
      <c r="X3327" s="1">
        <v>1312</v>
      </c>
      <c r="Y3327" s="1">
        <v>1313</v>
      </c>
      <c r="Z3327" s="1">
        <v>1308</v>
      </c>
      <c r="AA3327" s="1" t="s">
        <v>24</v>
      </c>
      <c r="AB3327" s="1" t="s">
        <v>24</v>
      </c>
      <c r="AC3327" s="1" t="s">
        <v>24</v>
      </c>
      <c r="AD3327" s="1" t="s">
        <v>24</v>
      </c>
      <c r="AE3327" s="1" t="s">
        <v>24</v>
      </c>
      <c r="AF3327" s="22"/>
    </row>
    <row r="3328" spans="1:32" x14ac:dyDescent="0.2">
      <c r="A3328" s="1">
        <v>27347</v>
      </c>
      <c r="B3328" s="1" t="s">
        <v>10322</v>
      </c>
      <c r="C3328" s="5" t="s">
        <v>0</v>
      </c>
      <c r="D3328" s="1" t="s">
        <v>10323</v>
      </c>
      <c r="E3328" s="1" t="s">
        <v>10324</v>
      </c>
      <c r="F3328" s="1" t="s">
        <v>2299</v>
      </c>
      <c r="G3328" s="1" t="s">
        <v>2300</v>
      </c>
      <c r="H3328" s="1" t="s">
        <v>37</v>
      </c>
      <c r="I3328" s="1" t="s">
        <v>16</v>
      </c>
      <c r="J3328" s="1">
        <v>1</v>
      </c>
      <c r="K3328" s="1">
        <v>4</v>
      </c>
      <c r="L3328" s="1" t="s">
        <v>31</v>
      </c>
      <c r="M3328" s="1" t="s">
        <v>18</v>
      </c>
      <c r="N3328" s="1" t="s">
        <v>18</v>
      </c>
      <c r="O3328" s="1">
        <v>2</v>
      </c>
      <c r="P3328" s="1">
        <v>6</v>
      </c>
      <c r="R3328" s="1" t="s">
        <v>19</v>
      </c>
      <c r="S3328" s="1" t="s">
        <v>63</v>
      </c>
      <c r="T3328" s="1" t="s">
        <v>21</v>
      </c>
      <c r="U3328" s="1" t="s">
        <v>22</v>
      </c>
      <c r="V3328" s="1" t="s">
        <v>24</v>
      </c>
      <c r="W3328" s="1" t="s">
        <v>24</v>
      </c>
      <c r="X3328" s="1">
        <v>2730</v>
      </c>
      <c r="Y3328" s="1">
        <v>2716</v>
      </c>
      <c r="Z3328" s="1" t="s">
        <v>24</v>
      </c>
      <c r="AA3328" s="1" t="s">
        <v>24</v>
      </c>
      <c r="AB3328" s="1" t="s">
        <v>24</v>
      </c>
      <c r="AC3328" s="1" t="s">
        <v>24</v>
      </c>
      <c r="AD3328" s="1" t="s">
        <v>24</v>
      </c>
      <c r="AE3328" s="1" t="s">
        <v>24</v>
      </c>
      <c r="AF3328" s="22"/>
    </row>
    <row r="3329" spans="1:32" x14ac:dyDescent="0.2">
      <c r="A3329" s="1">
        <v>27348</v>
      </c>
      <c r="B3329" s="1" t="s">
        <v>10325</v>
      </c>
      <c r="C3329" s="5" t="s">
        <v>0</v>
      </c>
      <c r="D3329" s="1" t="s">
        <v>10326</v>
      </c>
      <c r="E3329" s="1" t="s">
        <v>10327</v>
      </c>
      <c r="F3329" s="1" t="s">
        <v>10328</v>
      </c>
      <c r="G3329" s="1" t="s">
        <v>10328</v>
      </c>
      <c r="H3329" s="1" t="s">
        <v>30</v>
      </c>
      <c r="I3329" s="1" t="s">
        <v>16</v>
      </c>
      <c r="J3329" s="1">
        <v>1</v>
      </c>
      <c r="K3329" s="1">
        <v>12</v>
      </c>
      <c r="L3329" s="1" t="s">
        <v>42</v>
      </c>
      <c r="M3329" s="1" t="s">
        <v>18</v>
      </c>
      <c r="N3329" s="1" t="s">
        <v>18</v>
      </c>
      <c r="O3329" s="1">
        <v>3</v>
      </c>
      <c r="P3329" s="1">
        <v>6</v>
      </c>
      <c r="R3329" s="1" t="s">
        <v>19</v>
      </c>
      <c r="S3329" s="1" t="s">
        <v>20</v>
      </c>
      <c r="T3329" s="1" t="s">
        <v>21</v>
      </c>
      <c r="U3329" s="1" t="s">
        <v>22</v>
      </c>
      <c r="V3329" s="1" t="s">
        <v>23</v>
      </c>
      <c r="W3329" s="1" t="s">
        <v>24</v>
      </c>
      <c r="X3329" s="1">
        <v>2730</v>
      </c>
      <c r="Y3329" s="1" t="s">
        <v>24</v>
      </c>
      <c r="Z3329" s="1" t="s">
        <v>24</v>
      </c>
      <c r="AA3329" s="1" t="s">
        <v>24</v>
      </c>
      <c r="AB3329" s="1" t="s">
        <v>24</v>
      </c>
      <c r="AC3329" s="1" t="s">
        <v>24</v>
      </c>
      <c r="AD3329" s="1" t="s">
        <v>24</v>
      </c>
      <c r="AE3329" s="1" t="s">
        <v>24</v>
      </c>
      <c r="AF3329" s="22"/>
    </row>
    <row r="3330" spans="1:32" x14ac:dyDescent="0.2">
      <c r="A3330" s="1">
        <v>27349</v>
      </c>
      <c r="B3330" s="1" t="s">
        <v>10329</v>
      </c>
      <c r="C3330" s="5" t="s">
        <v>0</v>
      </c>
      <c r="D3330" s="1" t="s">
        <v>10330</v>
      </c>
      <c r="E3330" s="1" t="s">
        <v>10331</v>
      </c>
      <c r="F3330" s="1" t="s">
        <v>10332</v>
      </c>
      <c r="G3330" s="1" t="s">
        <v>10332</v>
      </c>
      <c r="H3330" s="1" t="s">
        <v>30</v>
      </c>
      <c r="I3330" s="1" t="s">
        <v>16</v>
      </c>
      <c r="J3330" s="1">
        <v>1</v>
      </c>
      <c r="K3330" s="1">
        <v>24</v>
      </c>
      <c r="L3330" s="1" t="s">
        <v>42</v>
      </c>
      <c r="M3330" s="1" t="s">
        <v>18</v>
      </c>
      <c r="N3330" s="1" t="s">
        <v>18</v>
      </c>
      <c r="O3330" s="1">
        <v>3</v>
      </c>
      <c r="P3330" s="1">
        <v>6</v>
      </c>
      <c r="R3330" s="1" t="s">
        <v>62</v>
      </c>
      <c r="S3330" s="1" t="s">
        <v>63</v>
      </c>
      <c r="T3330" s="1" t="s">
        <v>21</v>
      </c>
      <c r="U3330" s="1" t="s">
        <v>22</v>
      </c>
      <c r="V3330" s="1" t="s">
        <v>24</v>
      </c>
      <c r="W3330" s="1" t="s">
        <v>24</v>
      </c>
      <c r="X3330" s="1">
        <v>1306</v>
      </c>
      <c r="Y3330" s="1">
        <v>2730</v>
      </c>
      <c r="Z3330" s="1">
        <v>1313</v>
      </c>
      <c r="AA3330" s="1">
        <v>3004</v>
      </c>
      <c r="AB3330" s="1" t="s">
        <v>24</v>
      </c>
      <c r="AC3330" s="1" t="s">
        <v>24</v>
      </c>
      <c r="AD3330" s="1" t="s">
        <v>24</v>
      </c>
      <c r="AE3330" s="1" t="s">
        <v>24</v>
      </c>
      <c r="AF3330" s="22"/>
    </row>
    <row r="3331" spans="1:32" x14ac:dyDescent="0.2">
      <c r="A3331" s="1">
        <v>27350</v>
      </c>
      <c r="B3331" s="1" t="s">
        <v>10333</v>
      </c>
      <c r="C3331" s="5" t="s">
        <v>0</v>
      </c>
      <c r="D3331" s="1" t="s">
        <v>10334</v>
      </c>
      <c r="E3331" s="1" t="s">
        <v>10335</v>
      </c>
      <c r="F3331" s="1" t="s">
        <v>1716</v>
      </c>
      <c r="G3331" s="1" t="s">
        <v>1716</v>
      </c>
      <c r="H3331" s="1" t="s">
        <v>684</v>
      </c>
      <c r="I3331" s="1" t="s">
        <v>16</v>
      </c>
      <c r="J3331" s="1">
        <v>1</v>
      </c>
      <c r="K3331" s="1">
        <v>3</v>
      </c>
      <c r="L3331" s="1" t="s">
        <v>42</v>
      </c>
      <c r="M3331" s="1" t="s">
        <v>18</v>
      </c>
      <c r="N3331" s="1" t="s">
        <v>18</v>
      </c>
      <c r="O3331" s="1">
        <v>3</v>
      </c>
      <c r="P3331" s="1">
        <v>5</v>
      </c>
      <c r="R3331" s="1" t="s">
        <v>19</v>
      </c>
      <c r="S3331" s="1" t="s">
        <v>20</v>
      </c>
      <c r="T3331" s="1" t="s">
        <v>21</v>
      </c>
      <c r="U3331" s="1" t="s">
        <v>22</v>
      </c>
      <c r="V3331" s="1" t="s">
        <v>24</v>
      </c>
      <c r="W3331" s="1" t="s">
        <v>24</v>
      </c>
      <c r="X3331" s="1">
        <v>2712</v>
      </c>
      <c r="Y3331" s="1">
        <v>2724</v>
      </c>
      <c r="Z3331" s="1" t="s">
        <v>24</v>
      </c>
      <c r="AA3331" s="1" t="s">
        <v>24</v>
      </c>
      <c r="AB3331" s="1" t="s">
        <v>24</v>
      </c>
      <c r="AC3331" s="1" t="s">
        <v>24</v>
      </c>
      <c r="AD3331" s="1" t="s">
        <v>24</v>
      </c>
      <c r="AE3331" s="1" t="s">
        <v>24</v>
      </c>
      <c r="AF3331" s="22"/>
    </row>
    <row r="3332" spans="1:32" x14ac:dyDescent="0.2">
      <c r="A3332" s="1">
        <v>27351</v>
      </c>
      <c r="B3332" s="1" t="s">
        <v>10336</v>
      </c>
      <c r="C3332" s="5" t="s">
        <v>0</v>
      </c>
      <c r="D3332" s="1" t="s">
        <v>10337</v>
      </c>
      <c r="E3332" s="1" t="s">
        <v>10338</v>
      </c>
      <c r="F3332" s="1" t="s">
        <v>493</v>
      </c>
      <c r="G3332" s="1" t="s">
        <v>98</v>
      </c>
      <c r="H3332" s="1" t="s">
        <v>30</v>
      </c>
      <c r="I3332" s="1" t="s">
        <v>16</v>
      </c>
      <c r="J3332" s="1">
        <v>1</v>
      </c>
      <c r="K3332" s="1">
        <v>4</v>
      </c>
      <c r="L3332" s="1" t="s">
        <v>31</v>
      </c>
      <c r="M3332" s="1" t="s">
        <v>18</v>
      </c>
      <c r="N3332" s="1" t="s">
        <v>18</v>
      </c>
      <c r="O3332" s="1">
        <v>3</v>
      </c>
      <c r="P3332" s="1">
        <v>6</v>
      </c>
      <c r="R3332" s="1" t="s">
        <v>19</v>
      </c>
      <c r="S3332" s="1" t="s">
        <v>20</v>
      </c>
      <c r="T3332" s="1" t="s">
        <v>21</v>
      </c>
      <c r="U3332" s="1" t="s">
        <v>22</v>
      </c>
      <c r="V3332" s="1" t="s">
        <v>24</v>
      </c>
      <c r="W3332" s="1" t="s">
        <v>24</v>
      </c>
      <c r="X3332" s="1">
        <v>2738</v>
      </c>
      <c r="Y3332" s="1">
        <v>3203</v>
      </c>
      <c r="Z3332" s="1" t="s">
        <v>24</v>
      </c>
      <c r="AA3332" s="1" t="s">
        <v>24</v>
      </c>
      <c r="AB3332" s="1" t="s">
        <v>24</v>
      </c>
      <c r="AC3332" s="1" t="s">
        <v>24</v>
      </c>
      <c r="AD3332" s="1" t="s">
        <v>24</v>
      </c>
      <c r="AE3332" s="1" t="s">
        <v>24</v>
      </c>
      <c r="AF3332" s="22"/>
    </row>
    <row r="3333" spans="1:32" x14ac:dyDescent="0.2">
      <c r="A3333" s="1">
        <v>27352</v>
      </c>
      <c r="B3333" s="1" t="s">
        <v>10339</v>
      </c>
      <c r="C3333" s="5" t="s">
        <v>0</v>
      </c>
      <c r="D3333" s="1" t="s">
        <v>10340</v>
      </c>
      <c r="E3333" s="1" t="s">
        <v>10341</v>
      </c>
      <c r="F3333" s="1" t="s">
        <v>3093</v>
      </c>
      <c r="G3333" s="1" t="s">
        <v>3093</v>
      </c>
      <c r="H3333" s="1" t="s">
        <v>92</v>
      </c>
      <c r="I3333" s="1" t="s">
        <v>16</v>
      </c>
      <c r="J3333" s="1">
        <v>1</v>
      </c>
      <c r="K3333" s="1">
        <v>12</v>
      </c>
      <c r="L3333" s="1" t="s">
        <v>42</v>
      </c>
      <c r="M3333" s="1" t="s">
        <v>18</v>
      </c>
      <c r="N3333" s="1" t="s">
        <v>18</v>
      </c>
      <c r="O3333" s="1">
        <v>3</v>
      </c>
      <c r="P3333" s="1">
        <v>6</v>
      </c>
      <c r="R3333" s="1" t="s">
        <v>19</v>
      </c>
      <c r="S3333" s="1" t="s">
        <v>20</v>
      </c>
      <c r="T3333" s="1" t="s">
        <v>21</v>
      </c>
      <c r="U3333" s="1" t="s">
        <v>22</v>
      </c>
      <c r="V3333" s="1" t="s">
        <v>24</v>
      </c>
      <c r="W3333" s="1" t="s">
        <v>24</v>
      </c>
      <c r="X3333" s="1">
        <v>2705</v>
      </c>
      <c r="Y3333" s="1" t="s">
        <v>24</v>
      </c>
      <c r="Z3333" s="1" t="s">
        <v>24</v>
      </c>
      <c r="AA3333" s="1" t="s">
        <v>24</v>
      </c>
      <c r="AB3333" s="1" t="s">
        <v>24</v>
      </c>
      <c r="AC3333" s="1" t="s">
        <v>24</v>
      </c>
      <c r="AD3333" s="1" t="s">
        <v>24</v>
      </c>
      <c r="AE3333" s="1" t="s">
        <v>24</v>
      </c>
      <c r="AF3333" s="22"/>
    </row>
    <row r="3334" spans="1:32" x14ac:dyDescent="0.2">
      <c r="A3334" s="1">
        <v>27353</v>
      </c>
      <c r="B3334" s="1" t="s">
        <v>10342</v>
      </c>
      <c r="C3334" s="5" t="s">
        <v>0</v>
      </c>
      <c r="D3334" s="1" t="s">
        <v>10343</v>
      </c>
      <c r="E3334" s="1" t="s">
        <v>10344</v>
      </c>
      <c r="F3334" s="1" t="s">
        <v>4337</v>
      </c>
      <c r="G3334" s="1" t="s">
        <v>4338</v>
      </c>
      <c r="H3334" s="1" t="s">
        <v>30</v>
      </c>
      <c r="I3334" s="1" t="s">
        <v>16</v>
      </c>
      <c r="J3334" s="1">
        <v>1</v>
      </c>
      <c r="K3334" s="1">
        <v>4</v>
      </c>
      <c r="L3334" s="1" t="s">
        <v>31</v>
      </c>
      <c r="M3334" s="1" t="s">
        <v>18</v>
      </c>
      <c r="N3334" s="1" t="s">
        <v>18</v>
      </c>
      <c r="O3334" s="1">
        <v>3</v>
      </c>
      <c r="P3334" s="1">
        <v>7</v>
      </c>
      <c r="Q3334" s="7" t="s">
        <v>17633</v>
      </c>
      <c r="R3334" s="1" t="s">
        <v>19</v>
      </c>
      <c r="S3334" s="1" t="s">
        <v>20</v>
      </c>
      <c r="T3334" s="1" t="s">
        <v>21</v>
      </c>
      <c r="U3334" s="1" t="s">
        <v>22</v>
      </c>
      <c r="V3334" s="1" t="s">
        <v>23</v>
      </c>
      <c r="W3334" s="1" t="s">
        <v>24</v>
      </c>
      <c r="X3334" s="1">
        <v>2404</v>
      </c>
      <c r="Y3334" s="1">
        <v>2402</v>
      </c>
      <c r="Z3334" s="1">
        <v>1106</v>
      </c>
      <c r="AA3334" s="1">
        <v>1103</v>
      </c>
      <c r="AB3334" s="1" t="s">
        <v>24</v>
      </c>
      <c r="AC3334" s="1" t="s">
        <v>24</v>
      </c>
      <c r="AD3334" s="1" t="s">
        <v>24</v>
      </c>
      <c r="AE3334" s="1" t="s">
        <v>24</v>
      </c>
      <c r="AF3334" s="22"/>
    </row>
    <row r="3335" spans="1:32" x14ac:dyDescent="0.2">
      <c r="A3335" s="1">
        <v>27354</v>
      </c>
      <c r="B3335" s="1" t="s">
        <v>10345</v>
      </c>
      <c r="C3335" s="5" t="s">
        <v>0</v>
      </c>
      <c r="D3335" s="1" t="s">
        <v>10346</v>
      </c>
      <c r="E3335" s="1" t="s">
        <v>10347</v>
      </c>
      <c r="F3335" s="1" t="s">
        <v>493</v>
      </c>
      <c r="G3335" s="1" t="s">
        <v>98</v>
      </c>
      <c r="H3335" s="1" t="s">
        <v>30</v>
      </c>
      <c r="I3335" s="1" t="s">
        <v>16</v>
      </c>
      <c r="J3335" s="1">
        <v>1</v>
      </c>
      <c r="K3335" s="1">
        <v>4</v>
      </c>
      <c r="L3335" s="1" t="s">
        <v>31</v>
      </c>
      <c r="M3335" s="1" t="s">
        <v>18</v>
      </c>
      <c r="N3335" s="1" t="s">
        <v>18</v>
      </c>
      <c r="O3335" s="1">
        <v>3</v>
      </c>
      <c r="P3335" s="1">
        <v>7</v>
      </c>
      <c r="Q3335" s="7" t="s">
        <v>17633</v>
      </c>
      <c r="R3335" s="1" t="s">
        <v>19</v>
      </c>
      <c r="S3335" s="1" t="s">
        <v>20</v>
      </c>
      <c r="T3335" s="1" t="s">
        <v>21</v>
      </c>
      <c r="U3335" s="1" t="s">
        <v>22</v>
      </c>
      <c r="V3335" s="1" t="s">
        <v>23</v>
      </c>
      <c r="W3335" s="1" t="s">
        <v>24</v>
      </c>
      <c r="X3335" s="1">
        <v>2746</v>
      </c>
      <c r="Y3335" s="1" t="s">
        <v>24</v>
      </c>
      <c r="Z3335" s="1" t="s">
        <v>24</v>
      </c>
      <c r="AA3335" s="1" t="s">
        <v>24</v>
      </c>
      <c r="AB3335" s="1" t="s">
        <v>24</v>
      </c>
      <c r="AC3335" s="1" t="s">
        <v>24</v>
      </c>
      <c r="AD3335" s="1" t="s">
        <v>24</v>
      </c>
      <c r="AE3335" s="1" t="s">
        <v>24</v>
      </c>
      <c r="AF3335" s="22"/>
    </row>
    <row r="3336" spans="1:32" x14ac:dyDescent="0.2">
      <c r="A3336" s="1">
        <v>27356</v>
      </c>
      <c r="B3336" s="1" t="s">
        <v>10348</v>
      </c>
      <c r="C3336" s="5" t="s">
        <v>0</v>
      </c>
      <c r="D3336" s="1" t="s">
        <v>10349</v>
      </c>
      <c r="F3336" s="1" t="s">
        <v>10350</v>
      </c>
      <c r="G3336" s="1" t="s">
        <v>10350</v>
      </c>
      <c r="H3336" s="1" t="s">
        <v>1384</v>
      </c>
      <c r="I3336" s="1" t="s">
        <v>16</v>
      </c>
      <c r="J3336" s="1">
        <v>1</v>
      </c>
      <c r="K3336" s="1">
        <v>4</v>
      </c>
      <c r="L3336" s="1" t="s">
        <v>42</v>
      </c>
      <c r="M3336" s="1" t="s">
        <v>18</v>
      </c>
      <c r="N3336" s="1" t="s">
        <v>18</v>
      </c>
      <c r="O3336" s="1">
        <v>3</v>
      </c>
      <c r="P3336" s="1">
        <v>6</v>
      </c>
      <c r="R3336" s="1" t="s">
        <v>19</v>
      </c>
      <c r="S3336" s="1" t="s">
        <v>20</v>
      </c>
      <c r="T3336" s="1" t="s">
        <v>21</v>
      </c>
      <c r="U3336" s="1" t="s">
        <v>22</v>
      </c>
      <c r="V3336" s="1" t="s">
        <v>24</v>
      </c>
      <c r="W3336" s="1" t="s">
        <v>24</v>
      </c>
      <c r="X3336" s="1">
        <v>2700</v>
      </c>
      <c r="Y3336" s="1" t="s">
        <v>24</v>
      </c>
      <c r="Z3336" s="1" t="s">
        <v>24</v>
      </c>
      <c r="AA3336" s="1" t="s">
        <v>24</v>
      </c>
      <c r="AB3336" s="1" t="s">
        <v>24</v>
      </c>
      <c r="AC3336" s="1" t="s">
        <v>24</v>
      </c>
      <c r="AD3336" s="1" t="s">
        <v>24</v>
      </c>
      <c r="AE3336" s="1" t="s">
        <v>24</v>
      </c>
      <c r="AF3336" s="22"/>
    </row>
    <row r="3337" spans="1:32" x14ac:dyDescent="0.2">
      <c r="A3337" s="1">
        <v>27357</v>
      </c>
      <c r="B3337" s="1" t="s">
        <v>10351</v>
      </c>
      <c r="C3337" s="5" t="s">
        <v>0</v>
      </c>
      <c r="D3337" s="1" t="s">
        <v>10352</v>
      </c>
      <c r="E3337" s="1" t="s">
        <v>10353</v>
      </c>
      <c r="F3337" s="1" t="s">
        <v>10354</v>
      </c>
      <c r="G3337" s="1" t="s">
        <v>130</v>
      </c>
      <c r="H3337" s="1" t="s">
        <v>1007</v>
      </c>
      <c r="I3337" s="1" t="s">
        <v>16</v>
      </c>
      <c r="J3337" s="1">
        <v>1</v>
      </c>
      <c r="K3337" s="1">
        <v>6</v>
      </c>
      <c r="L3337" s="1" t="s">
        <v>31</v>
      </c>
      <c r="M3337" s="1" t="s">
        <v>18</v>
      </c>
      <c r="N3337" s="1" t="s">
        <v>18</v>
      </c>
      <c r="O3337" s="1">
        <v>3</v>
      </c>
      <c r="P3337" s="1">
        <v>7</v>
      </c>
      <c r="Q3337" s="7" t="s">
        <v>17633</v>
      </c>
      <c r="R3337" s="1" t="s">
        <v>19</v>
      </c>
      <c r="S3337" s="1" t="s">
        <v>20</v>
      </c>
      <c r="T3337" s="1" t="s">
        <v>21</v>
      </c>
      <c r="U3337" s="1" t="s">
        <v>22</v>
      </c>
      <c r="V3337" s="1" t="s">
        <v>23</v>
      </c>
      <c r="W3337" s="1" t="s">
        <v>24</v>
      </c>
      <c r="X3337" s="1">
        <v>2707</v>
      </c>
      <c r="Y3337" s="1">
        <v>2736</v>
      </c>
      <c r="Z3337" s="1" t="s">
        <v>24</v>
      </c>
      <c r="AA3337" s="1" t="s">
        <v>24</v>
      </c>
      <c r="AB3337" s="1" t="s">
        <v>24</v>
      </c>
      <c r="AC3337" s="1" t="s">
        <v>24</v>
      </c>
      <c r="AD3337" s="1" t="s">
        <v>24</v>
      </c>
      <c r="AE3337" s="1" t="s">
        <v>24</v>
      </c>
      <c r="AF3337" s="22"/>
    </row>
    <row r="3338" spans="1:32" x14ac:dyDescent="0.2">
      <c r="A3338" s="1">
        <v>27358</v>
      </c>
      <c r="B3338" s="1" t="s">
        <v>10355</v>
      </c>
      <c r="C3338" s="5" t="s">
        <v>0</v>
      </c>
      <c r="D3338" s="1" t="s">
        <v>10356</v>
      </c>
      <c r="F3338" s="1" t="s">
        <v>10357</v>
      </c>
      <c r="G3338" s="1" t="s">
        <v>10357</v>
      </c>
      <c r="H3338" s="1" t="s">
        <v>1007</v>
      </c>
      <c r="I3338" s="1" t="s">
        <v>16</v>
      </c>
      <c r="J3338" s="1">
        <v>1</v>
      </c>
      <c r="K3338" s="1">
        <v>12</v>
      </c>
      <c r="L3338" s="1" t="s">
        <v>42</v>
      </c>
      <c r="M3338" s="1" t="s">
        <v>1008</v>
      </c>
      <c r="N3338" s="1" t="s">
        <v>4418</v>
      </c>
      <c r="O3338" s="1">
        <v>3</v>
      </c>
      <c r="P3338" s="1">
        <v>6</v>
      </c>
      <c r="R3338" s="1" t="s">
        <v>19</v>
      </c>
      <c r="S3338" s="1" t="s">
        <v>63</v>
      </c>
      <c r="T3338" s="1" t="s">
        <v>21</v>
      </c>
      <c r="U3338" s="1" t="s">
        <v>22</v>
      </c>
      <c r="V3338" s="1" t="s">
        <v>24</v>
      </c>
      <c r="W3338" s="1" t="s">
        <v>24</v>
      </c>
      <c r="X3338" s="1">
        <v>2700</v>
      </c>
      <c r="Y3338" s="1" t="s">
        <v>24</v>
      </c>
      <c r="Z3338" s="1" t="s">
        <v>24</v>
      </c>
      <c r="AA3338" s="1" t="s">
        <v>24</v>
      </c>
      <c r="AB3338" s="1" t="s">
        <v>24</v>
      </c>
      <c r="AC3338" s="1" t="s">
        <v>24</v>
      </c>
      <c r="AD3338" s="1" t="s">
        <v>24</v>
      </c>
      <c r="AE3338" s="1" t="s">
        <v>24</v>
      </c>
      <c r="AF3338" s="22"/>
    </row>
    <row r="3339" spans="1:32" x14ac:dyDescent="0.2">
      <c r="A3339" s="1">
        <v>27362</v>
      </c>
      <c r="B3339" s="1" t="s">
        <v>10358</v>
      </c>
      <c r="C3339" s="5" t="s">
        <v>0</v>
      </c>
      <c r="D3339" s="1" t="s">
        <v>10359</v>
      </c>
      <c r="E3339" s="1" t="s">
        <v>10360</v>
      </c>
      <c r="F3339" s="1" t="s">
        <v>155</v>
      </c>
      <c r="G3339" s="1" t="s">
        <v>61</v>
      </c>
      <c r="H3339" s="1" t="s">
        <v>37</v>
      </c>
      <c r="I3339" s="1" t="s">
        <v>16</v>
      </c>
      <c r="J3339" s="1">
        <v>1</v>
      </c>
      <c r="K3339" s="1">
        <v>4</v>
      </c>
      <c r="L3339" s="1" t="s">
        <v>31</v>
      </c>
      <c r="M3339" s="1" t="s">
        <v>18</v>
      </c>
      <c r="N3339" s="1" t="s">
        <v>18</v>
      </c>
      <c r="O3339" s="1">
        <v>3</v>
      </c>
      <c r="P3339" s="1">
        <v>6</v>
      </c>
      <c r="R3339" s="1" t="s">
        <v>19</v>
      </c>
      <c r="S3339" s="1" t="s">
        <v>20</v>
      </c>
      <c r="T3339" s="1" t="s">
        <v>21</v>
      </c>
      <c r="U3339" s="1" t="s">
        <v>22</v>
      </c>
      <c r="V3339" s="1" t="s">
        <v>23</v>
      </c>
      <c r="W3339" s="1" t="s">
        <v>24</v>
      </c>
      <c r="X3339" s="1">
        <v>2707</v>
      </c>
      <c r="Y3339" s="1" t="s">
        <v>24</v>
      </c>
      <c r="Z3339" s="1" t="s">
        <v>24</v>
      </c>
      <c r="AA3339" s="1" t="s">
        <v>24</v>
      </c>
      <c r="AB3339" s="1" t="s">
        <v>24</v>
      </c>
      <c r="AC3339" s="1" t="s">
        <v>24</v>
      </c>
      <c r="AD3339" s="1" t="s">
        <v>24</v>
      </c>
      <c r="AE3339" s="1" t="s">
        <v>24</v>
      </c>
      <c r="AF3339" s="22"/>
    </row>
    <row r="3340" spans="1:32" x14ac:dyDescent="0.2">
      <c r="A3340" s="1">
        <v>27363</v>
      </c>
      <c r="B3340" s="1" t="s">
        <v>10361</v>
      </c>
      <c r="C3340" s="5" t="s">
        <v>0</v>
      </c>
      <c r="D3340" s="1" t="s">
        <v>10362</v>
      </c>
      <c r="E3340" s="1" t="s">
        <v>10363</v>
      </c>
      <c r="F3340" s="1" t="s">
        <v>920</v>
      </c>
      <c r="G3340" s="1" t="s">
        <v>921</v>
      </c>
      <c r="H3340" s="1" t="s">
        <v>92</v>
      </c>
      <c r="I3340" s="1" t="s">
        <v>16</v>
      </c>
      <c r="J3340" s="1">
        <v>1</v>
      </c>
      <c r="K3340" s="1">
        <v>4</v>
      </c>
      <c r="L3340" s="1" t="s">
        <v>31</v>
      </c>
      <c r="M3340" s="1" t="s">
        <v>18</v>
      </c>
      <c r="N3340" s="1" t="s">
        <v>18</v>
      </c>
      <c r="O3340" s="1">
        <v>3</v>
      </c>
      <c r="P3340" s="1">
        <v>6</v>
      </c>
      <c r="R3340" s="1" t="s">
        <v>19</v>
      </c>
      <c r="S3340" s="1" t="s">
        <v>20</v>
      </c>
      <c r="T3340" s="1" t="s">
        <v>21</v>
      </c>
      <c r="U3340" s="1" t="s">
        <v>22</v>
      </c>
      <c r="V3340" s="1" t="s">
        <v>24</v>
      </c>
      <c r="W3340" s="1" t="s">
        <v>24</v>
      </c>
      <c r="X3340" s="1">
        <v>2735</v>
      </c>
      <c r="Y3340" s="1">
        <v>2728</v>
      </c>
      <c r="Z3340" s="1" t="s">
        <v>24</v>
      </c>
      <c r="AA3340" s="1" t="s">
        <v>24</v>
      </c>
      <c r="AB3340" s="1" t="s">
        <v>24</v>
      </c>
      <c r="AC3340" s="1" t="s">
        <v>24</v>
      </c>
      <c r="AD3340" s="1" t="s">
        <v>24</v>
      </c>
      <c r="AE3340" s="1" t="s">
        <v>24</v>
      </c>
      <c r="AF3340" s="22"/>
    </row>
    <row r="3341" spans="1:32" x14ac:dyDescent="0.2">
      <c r="A3341" s="1">
        <v>27364</v>
      </c>
      <c r="B3341" s="1" t="s">
        <v>10364</v>
      </c>
      <c r="C3341" s="5" t="s">
        <v>0</v>
      </c>
      <c r="D3341" s="1" t="s">
        <v>10365</v>
      </c>
      <c r="F3341" s="1" t="s">
        <v>10366</v>
      </c>
      <c r="G3341" s="1" t="s">
        <v>10366</v>
      </c>
      <c r="H3341" s="1" t="s">
        <v>8619</v>
      </c>
      <c r="I3341" s="1" t="s">
        <v>16</v>
      </c>
      <c r="J3341" s="1">
        <v>1</v>
      </c>
      <c r="K3341" s="1">
        <v>4</v>
      </c>
      <c r="L3341" s="1" t="s">
        <v>17</v>
      </c>
      <c r="M3341" s="1" t="s">
        <v>18</v>
      </c>
      <c r="N3341" s="1" t="s">
        <v>18</v>
      </c>
      <c r="O3341" s="1">
        <v>3</v>
      </c>
      <c r="P3341" s="1">
        <v>6</v>
      </c>
      <c r="R3341" s="1" t="s">
        <v>19</v>
      </c>
      <c r="S3341" s="1" t="s">
        <v>20</v>
      </c>
      <c r="T3341" s="1" t="s">
        <v>21</v>
      </c>
      <c r="U3341" s="1" t="s">
        <v>22</v>
      </c>
      <c r="V3341" s="1" t="s">
        <v>24</v>
      </c>
      <c r="W3341" s="1" t="s">
        <v>24</v>
      </c>
      <c r="X3341" s="1">
        <v>2735</v>
      </c>
      <c r="Y3341" s="1">
        <v>2712</v>
      </c>
      <c r="Z3341" s="1" t="s">
        <v>24</v>
      </c>
      <c r="AA3341" s="1" t="s">
        <v>24</v>
      </c>
      <c r="AB3341" s="1" t="s">
        <v>24</v>
      </c>
      <c r="AC3341" s="1" t="s">
        <v>24</v>
      </c>
      <c r="AD3341" s="1" t="s">
        <v>24</v>
      </c>
      <c r="AE3341" s="1" t="s">
        <v>24</v>
      </c>
      <c r="AF3341" s="22"/>
    </row>
    <row r="3342" spans="1:32" x14ac:dyDescent="0.2">
      <c r="A3342" s="1">
        <v>27365</v>
      </c>
      <c r="B3342" s="1" t="s">
        <v>10367</v>
      </c>
      <c r="C3342" s="5" t="s">
        <v>0</v>
      </c>
      <c r="D3342" s="1" t="s">
        <v>10368</v>
      </c>
      <c r="E3342" s="1" t="s">
        <v>10369</v>
      </c>
      <c r="F3342" s="1" t="s">
        <v>689</v>
      </c>
      <c r="G3342" s="1" t="s">
        <v>311</v>
      </c>
      <c r="H3342" s="1" t="s">
        <v>37</v>
      </c>
      <c r="I3342" s="1" t="s">
        <v>16</v>
      </c>
      <c r="J3342" s="1">
        <v>1</v>
      </c>
      <c r="K3342" s="1">
        <v>2</v>
      </c>
      <c r="L3342" s="1" t="s">
        <v>31</v>
      </c>
      <c r="M3342" s="1" t="s">
        <v>18</v>
      </c>
      <c r="N3342" s="1" t="s">
        <v>18</v>
      </c>
      <c r="O3342" s="1">
        <v>3</v>
      </c>
      <c r="P3342" s="1">
        <v>6</v>
      </c>
      <c r="R3342" s="1" t="s">
        <v>19</v>
      </c>
      <c r="S3342" s="1" t="s">
        <v>20</v>
      </c>
      <c r="T3342" s="1" t="s">
        <v>21</v>
      </c>
      <c r="U3342" s="1" t="s">
        <v>22</v>
      </c>
      <c r="V3342" s="1" t="s">
        <v>23</v>
      </c>
      <c r="W3342" s="1" t="s">
        <v>24</v>
      </c>
      <c r="X3342" s="1">
        <v>2735</v>
      </c>
      <c r="Y3342" s="1">
        <v>2738</v>
      </c>
      <c r="Z3342" s="1">
        <v>3204</v>
      </c>
      <c r="AA3342" s="1">
        <v>3203</v>
      </c>
      <c r="AB3342" s="1" t="s">
        <v>24</v>
      </c>
      <c r="AC3342" s="1" t="s">
        <v>24</v>
      </c>
      <c r="AD3342" s="1" t="s">
        <v>24</v>
      </c>
      <c r="AE3342" s="1" t="s">
        <v>24</v>
      </c>
      <c r="AF3342" s="22"/>
    </row>
    <row r="3343" spans="1:32" x14ac:dyDescent="0.2">
      <c r="A3343" s="1">
        <v>27366</v>
      </c>
      <c r="B3343" s="1" t="s">
        <v>10370</v>
      </c>
      <c r="C3343" s="5" t="s">
        <v>0</v>
      </c>
      <c r="D3343" s="1" t="s">
        <v>10371</v>
      </c>
      <c r="E3343" s="1" t="s">
        <v>10372</v>
      </c>
      <c r="F3343" s="1" t="s">
        <v>10332</v>
      </c>
      <c r="G3343" s="1" t="s">
        <v>10332</v>
      </c>
      <c r="H3343" s="1" t="s">
        <v>30</v>
      </c>
      <c r="I3343" s="1" t="s">
        <v>16</v>
      </c>
      <c r="J3343" s="1">
        <v>1</v>
      </c>
      <c r="K3343" s="1">
        <v>24</v>
      </c>
      <c r="L3343" s="1" t="s">
        <v>42</v>
      </c>
      <c r="M3343" s="1" t="s">
        <v>18</v>
      </c>
      <c r="N3343" s="1" t="s">
        <v>18</v>
      </c>
      <c r="O3343" s="1">
        <v>3</v>
      </c>
      <c r="P3343" s="1">
        <v>6</v>
      </c>
      <c r="R3343" s="1" t="s">
        <v>19</v>
      </c>
      <c r="S3343" s="1" t="s">
        <v>63</v>
      </c>
      <c r="T3343" s="1" t="s">
        <v>21</v>
      </c>
      <c r="U3343" s="1" t="s">
        <v>22</v>
      </c>
      <c r="V3343" s="1" t="s">
        <v>24</v>
      </c>
      <c r="W3343" s="1" t="s">
        <v>24</v>
      </c>
      <c r="X3343" s="1">
        <v>1307</v>
      </c>
      <c r="Y3343" s="1">
        <v>1312</v>
      </c>
      <c r="Z3343" s="1">
        <v>1309</v>
      </c>
      <c r="AA3343" s="1" t="s">
        <v>24</v>
      </c>
      <c r="AB3343" s="1" t="s">
        <v>24</v>
      </c>
      <c r="AC3343" s="1" t="s">
        <v>24</v>
      </c>
      <c r="AD3343" s="1" t="s">
        <v>24</v>
      </c>
      <c r="AE3343" s="1" t="s">
        <v>24</v>
      </c>
      <c r="AF3343" s="22"/>
    </row>
    <row r="3344" spans="1:32" x14ac:dyDescent="0.2">
      <c r="A3344" s="1">
        <v>27368</v>
      </c>
      <c r="B3344" s="1" t="s">
        <v>10373</v>
      </c>
      <c r="C3344" s="5" t="s">
        <v>0</v>
      </c>
      <c r="D3344" s="1" t="s">
        <v>10374</v>
      </c>
      <c r="E3344" s="1" t="s">
        <v>10375</v>
      </c>
      <c r="F3344" s="1" t="s">
        <v>10332</v>
      </c>
      <c r="G3344" s="1" t="s">
        <v>10332</v>
      </c>
      <c r="H3344" s="1" t="s">
        <v>30</v>
      </c>
      <c r="I3344" s="1" t="s">
        <v>16</v>
      </c>
      <c r="J3344" s="1">
        <v>1</v>
      </c>
      <c r="K3344" s="1">
        <v>4</v>
      </c>
      <c r="L3344" s="1" t="s">
        <v>42</v>
      </c>
      <c r="M3344" s="1" t="s">
        <v>18</v>
      </c>
      <c r="N3344" s="1" t="s">
        <v>18</v>
      </c>
      <c r="O3344" s="1">
        <v>3</v>
      </c>
      <c r="P3344" s="1">
        <v>6</v>
      </c>
      <c r="R3344" s="1" t="s">
        <v>19</v>
      </c>
      <c r="S3344" s="1" t="s">
        <v>63</v>
      </c>
      <c r="T3344" s="1" t="s">
        <v>21</v>
      </c>
      <c r="U3344" s="1" t="s">
        <v>22</v>
      </c>
      <c r="V3344" s="1" t="s">
        <v>24</v>
      </c>
      <c r="W3344" s="1" t="s">
        <v>24</v>
      </c>
      <c r="X3344" s="1">
        <v>1309</v>
      </c>
      <c r="Y3344" s="1">
        <v>2710</v>
      </c>
      <c r="Z3344" s="1">
        <v>2747</v>
      </c>
      <c r="AA3344" s="1">
        <v>2204</v>
      </c>
      <c r="AB3344" s="1" t="s">
        <v>24</v>
      </c>
      <c r="AC3344" s="1" t="s">
        <v>24</v>
      </c>
      <c r="AD3344" s="1" t="s">
        <v>24</v>
      </c>
      <c r="AE3344" s="1" t="s">
        <v>24</v>
      </c>
      <c r="AF3344" s="22"/>
    </row>
    <row r="3345" spans="1:32" x14ac:dyDescent="0.2">
      <c r="A3345" s="1">
        <v>27369</v>
      </c>
      <c r="B3345" s="1" t="s">
        <v>10376</v>
      </c>
      <c r="C3345" s="5" t="s">
        <v>0</v>
      </c>
      <c r="D3345" s="1" t="s">
        <v>10377</v>
      </c>
      <c r="E3345" s="1" t="s">
        <v>10378</v>
      </c>
      <c r="F3345" s="1" t="s">
        <v>10332</v>
      </c>
      <c r="G3345" s="1" t="s">
        <v>10332</v>
      </c>
      <c r="H3345" s="1" t="s">
        <v>30</v>
      </c>
      <c r="I3345" s="1" t="s">
        <v>16</v>
      </c>
      <c r="J3345" s="1">
        <v>1</v>
      </c>
      <c r="K3345" s="1">
        <v>12</v>
      </c>
      <c r="L3345" s="1" t="s">
        <v>42</v>
      </c>
      <c r="M3345" s="1" t="s">
        <v>18</v>
      </c>
      <c r="N3345" s="1" t="s">
        <v>18</v>
      </c>
      <c r="O3345" s="1">
        <v>3</v>
      </c>
      <c r="P3345" s="1">
        <v>6</v>
      </c>
      <c r="R3345" s="1" t="s">
        <v>19</v>
      </c>
      <c r="S3345" s="1" t="s">
        <v>63</v>
      </c>
      <c r="T3345" s="1" t="s">
        <v>21</v>
      </c>
      <c r="U3345" s="1" t="s">
        <v>22</v>
      </c>
      <c r="V3345" s="1" t="s">
        <v>24</v>
      </c>
      <c r="W3345" s="1" t="s">
        <v>24</v>
      </c>
      <c r="X3345" s="1">
        <v>1312</v>
      </c>
      <c r="Y3345" s="1">
        <v>1307</v>
      </c>
      <c r="Z3345" s="1" t="s">
        <v>24</v>
      </c>
      <c r="AA3345" s="1" t="s">
        <v>24</v>
      </c>
      <c r="AB3345" s="1" t="s">
        <v>24</v>
      </c>
      <c r="AC3345" s="1" t="s">
        <v>24</v>
      </c>
      <c r="AD3345" s="1" t="s">
        <v>24</v>
      </c>
      <c r="AE3345" s="1" t="s">
        <v>24</v>
      </c>
      <c r="AF3345" s="22"/>
    </row>
    <row r="3346" spans="1:32" x14ac:dyDescent="0.2">
      <c r="A3346" s="1">
        <v>27370</v>
      </c>
      <c r="B3346" s="1" t="s">
        <v>10379</v>
      </c>
      <c r="C3346" s="5" t="s">
        <v>0</v>
      </c>
      <c r="D3346" s="1" t="s">
        <v>10380</v>
      </c>
      <c r="E3346" s="1" t="s">
        <v>10381</v>
      </c>
      <c r="F3346" s="1" t="s">
        <v>28</v>
      </c>
      <c r="G3346" s="1" t="s">
        <v>29</v>
      </c>
      <c r="H3346" s="1" t="s">
        <v>30</v>
      </c>
      <c r="I3346" s="1" t="s">
        <v>16</v>
      </c>
      <c r="J3346" s="1">
        <v>1</v>
      </c>
      <c r="K3346" s="1">
        <v>6</v>
      </c>
      <c r="L3346" s="1" t="s">
        <v>31</v>
      </c>
      <c r="M3346" s="1" t="s">
        <v>18</v>
      </c>
      <c r="N3346" s="1" t="s">
        <v>18</v>
      </c>
      <c r="O3346" s="1">
        <v>3</v>
      </c>
      <c r="P3346" s="1">
        <v>7</v>
      </c>
      <c r="Q3346" s="7" t="s">
        <v>17633</v>
      </c>
      <c r="R3346" s="1" t="s">
        <v>19</v>
      </c>
      <c r="S3346" s="1" t="s">
        <v>20</v>
      </c>
      <c r="T3346" s="1" t="s">
        <v>21</v>
      </c>
      <c r="U3346" s="1" t="s">
        <v>22</v>
      </c>
      <c r="V3346" s="1" t="s">
        <v>24</v>
      </c>
      <c r="W3346" s="1" t="s">
        <v>24</v>
      </c>
      <c r="X3346" s="1">
        <v>2734</v>
      </c>
      <c r="Y3346" s="1">
        <v>2702</v>
      </c>
      <c r="Z3346" s="1" t="s">
        <v>24</v>
      </c>
      <c r="AA3346" s="1" t="s">
        <v>24</v>
      </c>
      <c r="AB3346" s="1" t="s">
        <v>24</v>
      </c>
      <c r="AC3346" s="1" t="s">
        <v>24</v>
      </c>
      <c r="AD3346" s="1" t="s">
        <v>24</v>
      </c>
      <c r="AE3346" s="1" t="s">
        <v>24</v>
      </c>
      <c r="AF3346" s="22"/>
    </row>
    <row r="3347" spans="1:32" x14ac:dyDescent="0.2">
      <c r="A3347" s="1">
        <v>27375</v>
      </c>
      <c r="B3347" s="1" t="s">
        <v>10382</v>
      </c>
      <c r="C3347" s="5" t="s">
        <v>0</v>
      </c>
      <c r="D3347" s="1" t="s">
        <v>10383</v>
      </c>
      <c r="E3347" s="1" t="s">
        <v>10384</v>
      </c>
      <c r="F3347" s="1" t="s">
        <v>35</v>
      </c>
      <c r="G3347" s="1" t="s">
        <v>36</v>
      </c>
      <c r="H3347" s="1" t="s">
        <v>37</v>
      </c>
      <c r="I3347" s="1" t="s">
        <v>16</v>
      </c>
      <c r="J3347" s="1">
        <v>1</v>
      </c>
      <c r="K3347" s="1">
        <v>4</v>
      </c>
      <c r="L3347" s="1" t="s">
        <v>31</v>
      </c>
      <c r="M3347" s="1" t="s">
        <v>18</v>
      </c>
      <c r="N3347" s="1" t="s">
        <v>18</v>
      </c>
      <c r="O3347" s="1">
        <v>3</v>
      </c>
      <c r="P3347" s="1">
        <v>7</v>
      </c>
      <c r="Q3347" s="7" t="s">
        <v>17633</v>
      </c>
      <c r="R3347" s="1" t="s">
        <v>19</v>
      </c>
      <c r="S3347" s="1" t="s">
        <v>20</v>
      </c>
      <c r="T3347" s="1" t="s">
        <v>21</v>
      </c>
      <c r="U3347" s="1" t="s">
        <v>22</v>
      </c>
      <c r="V3347" s="1" t="s">
        <v>23</v>
      </c>
      <c r="W3347" s="1" t="s">
        <v>24</v>
      </c>
      <c r="X3347" s="1">
        <v>2746</v>
      </c>
      <c r="Y3347" s="1">
        <v>2708</v>
      </c>
      <c r="Z3347" s="1" t="s">
        <v>24</v>
      </c>
      <c r="AA3347" s="1" t="s">
        <v>24</v>
      </c>
      <c r="AB3347" s="1" t="s">
        <v>24</v>
      </c>
      <c r="AC3347" s="1" t="s">
        <v>24</v>
      </c>
      <c r="AD3347" s="1" t="s">
        <v>24</v>
      </c>
      <c r="AE3347" s="1" t="s">
        <v>24</v>
      </c>
      <c r="AF3347" s="22"/>
    </row>
    <row r="3348" spans="1:32" x14ac:dyDescent="0.2">
      <c r="A3348" s="1">
        <v>27376</v>
      </c>
      <c r="B3348" s="1" t="s">
        <v>10385</v>
      </c>
      <c r="C3348" s="5" t="s">
        <v>0</v>
      </c>
      <c r="D3348" s="1" t="s">
        <v>10386</v>
      </c>
      <c r="E3348" s="1" t="s">
        <v>10387</v>
      </c>
      <c r="F3348" s="1" t="s">
        <v>356</v>
      </c>
      <c r="G3348" s="1" t="s">
        <v>357</v>
      </c>
      <c r="H3348" s="1" t="s">
        <v>30</v>
      </c>
      <c r="I3348" s="1" t="s">
        <v>16</v>
      </c>
      <c r="J3348" s="1">
        <v>1</v>
      </c>
      <c r="K3348" s="1">
        <v>4</v>
      </c>
      <c r="L3348" s="1" t="s">
        <v>31</v>
      </c>
      <c r="M3348" s="1" t="s">
        <v>18</v>
      </c>
      <c r="N3348" s="1" t="s">
        <v>18</v>
      </c>
      <c r="O3348" s="1">
        <v>3</v>
      </c>
      <c r="P3348" s="1">
        <v>6</v>
      </c>
      <c r="R3348" s="1" t="s">
        <v>19</v>
      </c>
      <c r="S3348" s="1" t="s">
        <v>20</v>
      </c>
      <c r="T3348" s="1" t="s">
        <v>21</v>
      </c>
      <c r="U3348" s="1" t="s">
        <v>22</v>
      </c>
      <c r="V3348" s="1" t="s">
        <v>24</v>
      </c>
      <c r="W3348" s="1" t="s">
        <v>24</v>
      </c>
      <c r="X3348" s="1">
        <v>2738</v>
      </c>
      <c r="Y3348" s="1">
        <v>3203</v>
      </c>
      <c r="Z3348" s="1" t="s">
        <v>24</v>
      </c>
      <c r="AA3348" s="1" t="s">
        <v>24</v>
      </c>
      <c r="AB3348" s="1" t="s">
        <v>24</v>
      </c>
      <c r="AC3348" s="1" t="s">
        <v>24</v>
      </c>
      <c r="AD3348" s="1" t="s">
        <v>24</v>
      </c>
      <c r="AE3348" s="1" t="s">
        <v>24</v>
      </c>
      <c r="AF3348" s="22"/>
    </row>
    <row r="3349" spans="1:32" x14ac:dyDescent="0.2">
      <c r="A3349" s="1">
        <v>27378</v>
      </c>
      <c r="B3349" s="1" t="s">
        <v>10388</v>
      </c>
      <c r="C3349" s="5" t="s">
        <v>0</v>
      </c>
      <c r="D3349" s="1" t="s">
        <v>10389</v>
      </c>
      <c r="F3349" s="1" t="s">
        <v>10390</v>
      </c>
      <c r="G3349" s="1" t="s">
        <v>10390</v>
      </c>
      <c r="H3349" s="1" t="s">
        <v>1957</v>
      </c>
      <c r="I3349" s="1" t="s">
        <v>16</v>
      </c>
      <c r="J3349" s="1">
        <v>1</v>
      </c>
      <c r="K3349" s="1">
        <v>6</v>
      </c>
      <c r="L3349" s="1" t="s">
        <v>42</v>
      </c>
      <c r="M3349" s="1" t="s">
        <v>10391</v>
      </c>
      <c r="N3349" s="1" t="s">
        <v>10392</v>
      </c>
      <c r="O3349" s="1">
        <v>2</v>
      </c>
      <c r="P3349" s="1">
        <v>5</v>
      </c>
      <c r="R3349" s="1" t="s">
        <v>19</v>
      </c>
      <c r="S3349" s="1" t="s">
        <v>20</v>
      </c>
      <c r="T3349" s="1" t="s">
        <v>21</v>
      </c>
      <c r="U3349" s="1" t="s">
        <v>22</v>
      </c>
      <c r="V3349" s="1" t="s">
        <v>24</v>
      </c>
      <c r="W3349" s="1" t="s">
        <v>24</v>
      </c>
      <c r="X3349" s="1">
        <v>3004</v>
      </c>
      <c r="Y3349" s="1">
        <v>2707</v>
      </c>
      <c r="Z3349" s="1" t="s">
        <v>24</v>
      </c>
      <c r="AA3349" s="1" t="s">
        <v>24</v>
      </c>
      <c r="AB3349" s="1" t="s">
        <v>24</v>
      </c>
      <c r="AC3349" s="1" t="s">
        <v>24</v>
      </c>
      <c r="AD3349" s="1" t="s">
        <v>24</v>
      </c>
      <c r="AE3349" s="1" t="s">
        <v>24</v>
      </c>
      <c r="AF3349" s="22"/>
    </row>
    <row r="3350" spans="1:32" x14ac:dyDescent="0.2">
      <c r="A3350" s="1">
        <v>27380</v>
      </c>
      <c r="B3350" s="1" t="s">
        <v>10393</v>
      </c>
      <c r="C3350" s="5" t="s">
        <v>0</v>
      </c>
      <c r="D3350" s="1" t="s">
        <v>10394</v>
      </c>
      <c r="F3350" s="1" t="s">
        <v>291</v>
      </c>
      <c r="G3350" s="1" t="s">
        <v>292</v>
      </c>
      <c r="H3350" s="1" t="s">
        <v>30</v>
      </c>
      <c r="I3350" s="1" t="s">
        <v>16</v>
      </c>
      <c r="J3350" s="1">
        <v>1</v>
      </c>
      <c r="K3350" s="1">
        <v>4</v>
      </c>
      <c r="L3350" s="1" t="s">
        <v>31</v>
      </c>
      <c r="M3350" s="1" t="s">
        <v>18</v>
      </c>
      <c r="N3350" s="1" t="s">
        <v>18</v>
      </c>
      <c r="O3350" s="1">
        <v>3</v>
      </c>
      <c r="P3350" s="1">
        <v>7</v>
      </c>
      <c r="Q3350" s="7" t="s">
        <v>17633</v>
      </c>
      <c r="R3350" s="1" t="s">
        <v>19</v>
      </c>
      <c r="S3350" s="1" t="s">
        <v>20</v>
      </c>
      <c r="T3350" s="1" t="s">
        <v>21</v>
      </c>
      <c r="U3350" s="1" t="s">
        <v>22</v>
      </c>
      <c r="V3350" s="1" t="s">
        <v>23</v>
      </c>
      <c r="W3350" s="1" t="s">
        <v>24</v>
      </c>
      <c r="X3350" s="1">
        <v>3005</v>
      </c>
      <c r="Y3350" s="1">
        <v>2403</v>
      </c>
      <c r="Z3350" s="1" t="s">
        <v>24</v>
      </c>
      <c r="AA3350" s="1" t="s">
        <v>24</v>
      </c>
      <c r="AB3350" s="1" t="s">
        <v>24</v>
      </c>
      <c r="AC3350" s="1" t="s">
        <v>24</v>
      </c>
      <c r="AD3350" s="1" t="s">
        <v>24</v>
      </c>
      <c r="AE3350" s="1" t="s">
        <v>24</v>
      </c>
      <c r="AF3350" s="22" t="s">
        <v>17679</v>
      </c>
    </row>
    <row r="3351" spans="1:32" x14ac:dyDescent="0.2">
      <c r="A3351" s="1">
        <v>27381</v>
      </c>
      <c r="B3351" s="1" t="s">
        <v>10395</v>
      </c>
      <c r="C3351" s="5" t="s">
        <v>0</v>
      </c>
      <c r="D3351" s="1" t="s">
        <v>10396</v>
      </c>
      <c r="E3351" s="1" t="s">
        <v>10397</v>
      </c>
      <c r="F3351" s="1" t="s">
        <v>291</v>
      </c>
      <c r="G3351" s="1" t="s">
        <v>292</v>
      </c>
      <c r="H3351" s="1" t="s">
        <v>30</v>
      </c>
      <c r="I3351" s="1" t="s">
        <v>16</v>
      </c>
      <c r="J3351" s="1">
        <v>1</v>
      </c>
      <c r="K3351" s="1">
        <v>4</v>
      </c>
      <c r="L3351" s="1" t="s">
        <v>31</v>
      </c>
      <c r="M3351" s="1" t="s">
        <v>18</v>
      </c>
      <c r="N3351" s="1" t="s">
        <v>18</v>
      </c>
      <c r="O3351" s="1">
        <v>3</v>
      </c>
      <c r="P3351" s="1">
        <v>7</v>
      </c>
      <c r="Q3351" s="7" t="s">
        <v>17633</v>
      </c>
      <c r="R3351" s="1" t="s">
        <v>19</v>
      </c>
      <c r="S3351" s="1" t="s">
        <v>20</v>
      </c>
      <c r="T3351" s="1" t="s">
        <v>21</v>
      </c>
      <c r="U3351" s="1" t="s">
        <v>22</v>
      </c>
      <c r="V3351" s="1" t="s">
        <v>24</v>
      </c>
      <c r="W3351" s="1" t="s">
        <v>24</v>
      </c>
      <c r="X3351" s="1">
        <v>2740</v>
      </c>
      <c r="Y3351" s="1" t="s">
        <v>24</v>
      </c>
      <c r="Z3351" s="1" t="s">
        <v>24</v>
      </c>
      <c r="AA3351" s="1" t="s">
        <v>24</v>
      </c>
      <c r="AB3351" s="1" t="s">
        <v>24</v>
      </c>
      <c r="AC3351" s="1" t="s">
        <v>24</v>
      </c>
      <c r="AD3351" s="1" t="s">
        <v>24</v>
      </c>
      <c r="AE3351" s="1" t="s">
        <v>24</v>
      </c>
      <c r="AF3351" s="22"/>
    </row>
    <row r="3352" spans="1:32" x14ac:dyDescent="0.2">
      <c r="A3352" s="1">
        <v>27382</v>
      </c>
      <c r="B3352" s="1" t="s">
        <v>10398</v>
      </c>
      <c r="C3352" s="5" t="s">
        <v>0</v>
      </c>
      <c r="D3352" s="1" t="s">
        <v>10399</v>
      </c>
      <c r="E3352" s="1" t="s">
        <v>10400</v>
      </c>
      <c r="F3352" s="1" t="s">
        <v>1412</v>
      </c>
      <c r="G3352" s="1" t="s">
        <v>1413</v>
      </c>
      <c r="H3352" s="1" t="s">
        <v>30</v>
      </c>
      <c r="I3352" s="1" t="s">
        <v>16</v>
      </c>
      <c r="J3352" s="1">
        <v>1</v>
      </c>
      <c r="K3352" s="1">
        <v>3</v>
      </c>
      <c r="L3352" s="1" t="s">
        <v>31</v>
      </c>
      <c r="M3352" s="1" t="s">
        <v>18</v>
      </c>
      <c r="N3352" s="1" t="s">
        <v>18</v>
      </c>
      <c r="O3352" s="1">
        <v>3</v>
      </c>
      <c r="P3352" s="1">
        <v>7</v>
      </c>
      <c r="Q3352" s="7" t="s">
        <v>17633</v>
      </c>
      <c r="R3352" s="1" t="s">
        <v>19</v>
      </c>
      <c r="S3352" s="1" t="s">
        <v>63</v>
      </c>
      <c r="T3352" s="1" t="s">
        <v>21</v>
      </c>
      <c r="U3352" s="1" t="s">
        <v>22</v>
      </c>
      <c r="V3352" s="1" t="s">
        <v>23</v>
      </c>
      <c r="W3352" s="1" t="s">
        <v>24</v>
      </c>
      <c r="X3352" s="1">
        <v>2707</v>
      </c>
      <c r="Y3352" s="1" t="s">
        <v>24</v>
      </c>
      <c r="Z3352" s="1" t="s">
        <v>24</v>
      </c>
      <c r="AA3352" s="1" t="s">
        <v>24</v>
      </c>
      <c r="AB3352" s="1" t="s">
        <v>24</v>
      </c>
      <c r="AC3352" s="1" t="s">
        <v>24</v>
      </c>
      <c r="AD3352" s="1" t="s">
        <v>24</v>
      </c>
      <c r="AE3352" s="1" t="s">
        <v>24</v>
      </c>
      <c r="AF3352" s="22"/>
    </row>
    <row r="3353" spans="1:32" x14ac:dyDescent="0.2">
      <c r="A3353" s="1">
        <v>27384</v>
      </c>
      <c r="B3353" s="1" t="s">
        <v>10401</v>
      </c>
      <c r="C3353" s="5" t="s">
        <v>0</v>
      </c>
      <c r="D3353" s="1" t="s">
        <v>10402</v>
      </c>
      <c r="E3353" s="1" t="s">
        <v>10403</v>
      </c>
      <c r="F3353" s="1" t="s">
        <v>6405</v>
      </c>
      <c r="G3353" s="1" t="s">
        <v>6406</v>
      </c>
      <c r="H3353" s="1" t="s">
        <v>92</v>
      </c>
      <c r="I3353" s="1" t="s">
        <v>16</v>
      </c>
      <c r="J3353" s="1">
        <v>1</v>
      </c>
      <c r="K3353" s="1">
        <v>4</v>
      </c>
      <c r="L3353" s="1" t="s">
        <v>31</v>
      </c>
      <c r="M3353" s="1" t="s">
        <v>18</v>
      </c>
      <c r="N3353" s="1" t="s">
        <v>18</v>
      </c>
      <c r="O3353" s="1">
        <v>2</v>
      </c>
      <c r="P3353" s="1">
        <v>7</v>
      </c>
      <c r="Q3353" s="7" t="s">
        <v>17633</v>
      </c>
      <c r="R3353" s="1" t="s">
        <v>19</v>
      </c>
      <c r="S3353" s="1" t="s">
        <v>20</v>
      </c>
      <c r="T3353" s="1" t="s">
        <v>21</v>
      </c>
      <c r="U3353" s="1" t="s">
        <v>22</v>
      </c>
      <c r="V3353" s="1" t="s">
        <v>24</v>
      </c>
      <c r="W3353" s="1" t="s">
        <v>24</v>
      </c>
      <c r="X3353" s="1">
        <v>3002</v>
      </c>
      <c r="Y3353" s="1" t="s">
        <v>24</v>
      </c>
      <c r="Z3353" s="1" t="s">
        <v>24</v>
      </c>
      <c r="AA3353" s="1" t="s">
        <v>24</v>
      </c>
      <c r="AB3353" s="1" t="s">
        <v>24</v>
      </c>
      <c r="AC3353" s="1" t="s">
        <v>24</v>
      </c>
      <c r="AD3353" s="1" t="s">
        <v>24</v>
      </c>
      <c r="AE3353" s="1" t="s">
        <v>24</v>
      </c>
      <c r="AF3353" s="22"/>
    </row>
    <row r="3354" spans="1:32" x14ac:dyDescent="0.2">
      <c r="A3354" s="1">
        <v>27385</v>
      </c>
      <c r="B3354" s="1" t="s">
        <v>10404</v>
      </c>
      <c r="C3354" s="5" t="s">
        <v>0</v>
      </c>
      <c r="D3354" s="1" t="s">
        <v>10405</v>
      </c>
      <c r="F3354" s="1" t="s">
        <v>6405</v>
      </c>
      <c r="G3354" s="1" t="s">
        <v>6406</v>
      </c>
      <c r="H3354" s="1" t="s">
        <v>92</v>
      </c>
      <c r="I3354" s="1" t="s">
        <v>16</v>
      </c>
      <c r="J3354" s="1">
        <v>1</v>
      </c>
      <c r="K3354" s="1">
        <v>4</v>
      </c>
      <c r="L3354" s="1" t="s">
        <v>31</v>
      </c>
      <c r="M3354" s="1" t="s">
        <v>18</v>
      </c>
      <c r="N3354" s="1" t="s">
        <v>18</v>
      </c>
      <c r="O3354" s="1">
        <v>2</v>
      </c>
      <c r="P3354" s="1">
        <v>7</v>
      </c>
      <c r="Q3354" s="7" t="s">
        <v>17633</v>
      </c>
      <c r="R3354" s="1" t="s">
        <v>19</v>
      </c>
      <c r="S3354" s="1" t="s">
        <v>20</v>
      </c>
      <c r="T3354" s="1" t="s">
        <v>21</v>
      </c>
      <c r="U3354" s="1" t="s">
        <v>22</v>
      </c>
      <c r="V3354" s="1" t="s">
        <v>24</v>
      </c>
      <c r="W3354" s="1" t="s">
        <v>24</v>
      </c>
      <c r="X3354" s="1">
        <v>1303</v>
      </c>
      <c r="Y3354" s="1">
        <v>1312</v>
      </c>
      <c r="Z3354" s="1" t="s">
        <v>24</v>
      </c>
      <c r="AA3354" s="1" t="s">
        <v>24</v>
      </c>
      <c r="AB3354" s="1" t="s">
        <v>24</v>
      </c>
      <c r="AC3354" s="1" t="s">
        <v>24</v>
      </c>
      <c r="AD3354" s="1" t="s">
        <v>24</v>
      </c>
      <c r="AE3354" s="1" t="s">
        <v>24</v>
      </c>
      <c r="AF3354" s="22"/>
    </row>
    <row r="3355" spans="1:32" x14ac:dyDescent="0.2">
      <c r="A3355" s="1">
        <v>27386</v>
      </c>
      <c r="B3355" s="1" t="s">
        <v>10406</v>
      </c>
      <c r="C3355" s="5" t="s">
        <v>0</v>
      </c>
      <c r="D3355" s="1" t="s">
        <v>10407</v>
      </c>
      <c r="E3355" s="1" t="s">
        <v>10408</v>
      </c>
      <c r="F3355" s="1" t="s">
        <v>6405</v>
      </c>
      <c r="G3355" s="1" t="s">
        <v>6406</v>
      </c>
      <c r="H3355" s="1" t="s">
        <v>92</v>
      </c>
      <c r="I3355" s="1" t="s">
        <v>16</v>
      </c>
      <c r="J3355" s="1">
        <v>1</v>
      </c>
      <c r="K3355" s="1">
        <v>4</v>
      </c>
      <c r="L3355" s="1" t="s">
        <v>31</v>
      </c>
      <c r="M3355" s="1" t="s">
        <v>18</v>
      </c>
      <c r="N3355" s="1" t="s">
        <v>18</v>
      </c>
      <c r="O3355" s="1">
        <v>2</v>
      </c>
      <c r="P3355" s="1">
        <v>7</v>
      </c>
      <c r="Q3355" s="7" t="s">
        <v>17633</v>
      </c>
      <c r="R3355" s="1" t="s">
        <v>19</v>
      </c>
      <c r="S3355" s="1" t="s">
        <v>20</v>
      </c>
      <c r="T3355" s="1" t="s">
        <v>21</v>
      </c>
      <c r="U3355" s="1" t="s">
        <v>22</v>
      </c>
      <c r="V3355" s="1" t="s">
        <v>24</v>
      </c>
      <c r="W3355" s="1" t="s">
        <v>24</v>
      </c>
      <c r="X3355" s="1">
        <v>3003</v>
      </c>
      <c r="Y3355" s="1" t="s">
        <v>24</v>
      </c>
      <c r="Z3355" s="1" t="s">
        <v>24</v>
      </c>
      <c r="AA3355" s="1" t="s">
        <v>24</v>
      </c>
      <c r="AB3355" s="1" t="s">
        <v>24</v>
      </c>
      <c r="AC3355" s="1" t="s">
        <v>24</v>
      </c>
      <c r="AD3355" s="1" t="s">
        <v>24</v>
      </c>
      <c r="AE3355" s="1" t="s">
        <v>24</v>
      </c>
      <c r="AF3355" s="22"/>
    </row>
    <row r="3356" spans="1:32" x14ac:dyDescent="0.2">
      <c r="A3356" s="1">
        <v>27387</v>
      </c>
      <c r="B3356" s="1" t="s">
        <v>10409</v>
      </c>
      <c r="C3356" s="5" t="s">
        <v>0</v>
      </c>
      <c r="D3356" s="1" t="s">
        <v>10410</v>
      </c>
      <c r="E3356" s="1" t="s">
        <v>10411</v>
      </c>
      <c r="F3356" s="1" t="s">
        <v>6405</v>
      </c>
      <c r="G3356" s="1" t="s">
        <v>6406</v>
      </c>
      <c r="H3356" s="1" t="s">
        <v>92</v>
      </c>
      <c r="I3356" s="1" t="s">
        <v>16</v>
      </c>
      <c r="J3356" s="1">
        <v>1</v>
      </c>
      <c r="K3356" s="1">
        <v>10</v>
      </c>
      <c r="L3356" s="1" t="s">
        <v>31</v>
      </c>
      <c r="M3356" s="1" t="s">
        <v>18</v>
      </c>
      <c r="N3356" s="1" t="s">
        <v>18</v>
      </c>
      <c r="O3356" s="1">
        <v>2</v>
      </c>
      <c r="P3356" s="1">
        <v>7</v>
      </c>
      <c r="Q3356" s="7" t="s">
        <v>17633</v>
      </c>
      <c r="R3356" s="1" t="s">
        <v>19</v>
      </c>
      <c r="S3356" s="1" t="s">
        <v>20</v>
      </c>
      <c r="T3356" s="1" t="s">
        <v>21</v>
      </c>
      <c r="U3356" s="1" t="s">
        <v>22</v>
      </c>
      <c r="V3356" s="1" t="s">
        <v>24</v>
      </c>
      <c r="W3356" s="1" t="s">
        <v>64</v>
      </c>
      <c r="X3356" s="1">
        <v>3003</v>
      </c>
      <c r="Y3356" s="1">
        <v>3002</v>
      </c>
      <c r="Z3356" s="1">
        <v>1313</v>
      </c>
      <c r="AA3356" s="1" t="s">
        <v>24</v>
      </c>
      <c r="AB3356" s="1" t="s">
        <v>24</v>
      </c>
      <c r="AC3356" s="1" t="s">
        <v>24</v>
      </c>
      <c r="AD3356" s="1" t="s">
        <v>24</v>
      </c>
      <c r="AE3356" s="1" t="s">
        <v>24</v>
      </c>
      <c r="AF3356" s="22"/>
    </row>
    <row r="3357" spans="1:32" x14ac:dyDescent="0.2">
      <c r="A3357" s="1">
        <v>27388</v>
      </c>
      <c r="B3357" s="1" t="s">
        <v>10412</v>
      </c>
      <c r="C3357" s="5" t="s">
        <v>0</v>
      </c>
      <c r="D3357" s="1" t="s">
        <v>10413</v>
      </c>
      <c r="E3357" s="1" t="s">
        <v>10414</v>
      </c>
      <c r="F3357" s="1" t="s">
        <v>6405</v>
      </c>
      <c r="G3357" s="1" t="s">
        <v>6406</v>
      </c>
      <c r="H3357" s="1" t="s">
        <v>92</v>
      </c>
      <c r="I3357" s="1" t="s">
        <v>16</v>
      </c>
      <c r="J3357" s="1">
        <v>1</v>
      </c>
      <c r="K3357" s="1">
        <v>4</v>
      </c>
      <c r="L3357" s="1" t="s">
        <v>31</v>
      </c>
      <c r="M3357" s="1" t="s">
        <v>18</v>
      </c>
      <c r="N3357" s="1" t="s">
        <v>18</v>
      </c>
      <c r="O3357" s="1">
        <v>3</v>
      </c>
      <c r="P3357" s="1">
        <v>7</v>
      </c>
      <c r="Q3357" s="7" t="s">
        <v>17633</v>
      </c>
      <c r="R3357" s="1" t="s">
        <v>19</v>
      </c>
      <c r="S3357" s="1" t="s">
        <v>20</v>
      </c>
      <c r="T3357" s="1" t="s">
        <v>21</v>
      </c>
      <c r="U3357" s="1" t="s">
        <v>22</v>
      </c>
      <c r="V3357" s="1" t="s">
        <v>24</v>
      </c>
      <c r="W3357" s="1" t="s">
        <v>24</v>
      </c>
      <c r="X3357" s="1">
        <v>2808</v>
      </c>
      <c r="Y3357" s="1">
        <v>2806</v>
      </c>
      <c r="Z3357" s="1">
        <v>2804</v>
      </c>
      <c r="AA3357" s="1" t="s">
        <v>24</v>
      </c>
      <c r="AB3357" s="1" t="s">
        <v>24</v>
      </c>
      <c r="AC3357" s="1" t="s">
        <v>24</v>
      </c>
      <c r="AD3357" s="1" t="s">
        <v>24</v>
      </c>
      <c r="AE3357" s="1" t="s">
        <v>24</v>
      </c>
      <c r="AF3357" s="22"/>
    </row>
    <row r="3358" spans="1:32" x14ac:dyDescent="0.2">
      <c r="A3358" s="1">
        <v>27389</v>
      </c>
      <c r="B3358" s="1" t="s">
        <v>10415</v>
      </c>
      <c r="C3358" s="5" t="s">
        <v>0</v>
      </c>
      <c r="D3358" s="1" t="s">
        <v>10416</v>
      </c>
      <c r="E3358" s="1" t="s">
        <v>10417</v>
      </c>
      <c r="F3358" s="1" t="s">
        <v>6405</v>
      </c>
      <c r="G3358" s="1" t="s">
        <v>6406</v>
      </c>
      <c r="H3358" s="1" t="s">
        <v>92</v>
      </c>
      <c r="I3358" s="1" t="s">
        <v>16</v>
      </c>
      <c r="J3358" s="1">
        <v>1</v>
      </c>
      <c r="K3358" s="1">
        <v>6</v>
      </c>
      <c r="L3358" s="1" t="s">
        <v>31</v>
      </c>
      <c r="M3358" s="1" t="s">
        <v>18</v>
      </c>
      <c r="N3358" s="1" t="s">
        <v>18</v>
      </c>
      <c r="O3358" s="1">
        <v>3</v>
      </c>
      <c r="P3358" s="1">
        <v>7</v>
      </c>
      <c r="Q3358" s="7" t="s">
        <v>17633</v>
      </c>
      <c r="R3358" s="1" t="s">
        <v>19</v>
      </c>
      <c r="S3358" s="1" t="s">
        <v>20</v>
      </c>
      <c r="T3358" s="1" t="s">
        <v>21</v>
      </c>
      <c r="U3358" s="1" t="s">
        <v>22</v>
      </c>
      <c r="V3358" s="1" t="s">
        <v>23</v>
      </c>
      <c r="W3358" s="1" t="s">
        <v>24</v>
      </c>
      <c r="X3358" s="1">
        <v>2808</v>
      </c>
      <c r="Y3358" s="1">
        <v>2728</v>
      </c>
      <c r="Z3358" s="1" t="s">
        <v>24</v>
      </c>
      <c r="AA3358" s="1" t="s">
        <v>24</v>
      </c>
      <c r="AB3358" s="1" t="s">
        <v>24</v>
      </c>
      <c r="AC3358" s="1" t="s">
        <v>24</v>
      </c>
      <c r="AD3358" s="1" t="s">
        <v>24</v>
      </c>
      <c r="AE3358" s="1" t="s">
        <v>24</v>
      </c>
      <c r="AF3358" s="22"/>
    </row>
    <row r="3359" spans="1:32" x14ac:dyDescent="0.2">
      <c r="A3359" s="1">
        <v>27395</v>
      </c>
      <c r="B3359" s="1" t="s">
        <v>10418</v>
      </c>
      <c r="C3359" s="5" t="s">
        <v>0</v>
      </c>
      <c r="D3359" s="1" t="s">
        <v>10419</v>
      </c>
      <c r="E3359" s="1" t="s">
        <v>10420</v>
      </c>
      <c r="F3359" s="1" t="s">
        <v>724</v>
      </c>
      <c r="G3359" s="1" t="s">
        <v>725</v>
      </c>
      <c r="H3359" s="1" t="s">
        <v>37</v>
      </c>
      <c r="I3359" s="1" t="s">
        <v>16</v>
      </c>
      <c r="J3359" s="1">
        <v>1</v>
      </c>
      <c r="K3359" s="1">
        <v>4</v>
      </c>
      <c r="L3359" s="1" t="s">
        <v>31</v>
      </c>
      <c r="M3359" s="1" t="s">
        <v>18</v>
      </c>
      <c r="N3359" s="1" t="s">
        <v>18</v>
      </c>
      <c r="O3359" s="1">
        <v>3</v>
      </c>
      <c r="P3359" s="1">
        <v>7</v>
      </c>
      <c r="Q3359" s="7" t="s">
        <v>17633</v>
      </c>
      <c r="R3359" s="1" t="s">
        <v>19</v>
      </c>
      <c r="S3359" s="1" t="s">
        <v>20</v>
      </c>
      <c r="T3359" s="1" t="s">
        <v>21</v>
      </c>
      <c r="U3359" s="1" t="s">
        <v>22</v>
      </c>
      <c r="V3359" s="1" t="s">
        <v>24</v>
      </c>
      <c r="W3359" s="1" t="s">
        <v>24</v>
      </c>
      <c r="X3359" s="1">
        <v>1307</v>
      </c>
      <c r="Y3359" s="1">
        <v>2804</v>
      </c>
      <c r="Z3359" s="1" t="s">
        <v>24</v>
      </c>
      <c r="AA3359" s="1" t="s">
        <v>24</v>
      </c>
      <c r="AB3359" s="1" t="s">
        <v>24</v>
      </c>
      <c r="AC3359" s="1" t="s">
        <v>24</v>
      </c>
      <c r="AD3359" s="1" t="s">
        <v>24</v>
      </c>
      <c r="AE3359" s="1" t="s">
        <v>24</v>
      </c>
      <c r="AF3359" s="22"/>
    </row>
    <row r="3360" spans="1:32" x14ac:dyDescent="0.2">
      <c r="A3360" s="1">
        <v>27396</v>
      </c>
      <c r="B3360" s="1" t="s">
        <v>10421</v>
      </c>
      <c r="C3360" s="5" t="s">
        <v>0</v>
      </c>
      <c r="D3360" s="1" t="s">
        <v>10422</v>
      </c>
      <c r="E3360" s="1" t="s">
        <v>10423</v>
      </c>
      <c r="F3360" s="1" t="s">
        <v>940</v>
      </c>
      <c r="G3360" s="1" t="s">
        <v>130</v>
      </c>
      <c r="H3360" s="1" t="s">
        <v>30</v>
      </c>
      <c r="I3360" s="1" t="s">
        <v>16</v>
      </c>
      <c r="J3360" s="1">
        <v>2</v>
      </c>
      <c r="K3360" s="1">
        <v>3</v>
      </c>
      <c r="L3360" s="1" t="s">
        <v>31</v>
      </c>
      <c r="M3360" s="1" t="s">
        <v>18</v>
      </c>
      <c r="N3360" s="1" t="s">
        <v>18</v>
      </c>
      <c r="O3360" s="1">
        <v>3</v>
      </c>
      <c r="P3360" s="1">
        <v>7</v>
      </c>
      <c r="Q3360" s="7" t="s">
        <v>17633</v>
      </c>
      <c r="R3360" s="1" t="s">
        <v>19</v>
      </c>
      <c r="S3360" s="1" t="s">
        <v>20</v>
      </c>
      <c r="T3360" s="1" t="s">
        <v>21</v>
      </c>
      <c r="U3360" s="1" t="s">
        <v>22</v>
      </c>
      <c r="V3360" s="1" t="s">
        <v>23</v>
      </c>
      <c r="W3360" s="1" t="s">
        <v>24</v>
      </c>
      <c r="X3360" s="1">
        <v>2728</v>
      </c>
      <c r="Y3360" s="1">
        <v>2706</v>
      </c>
      <c r="Z3360" s="1" t="s">
        <v>24</v>
      </c>
      <c r="AA3360" s="1" t="s">
        <v>24</v>
      </c>
      <c r="AB3360" s="1" t="s">
        <v>24</v>
      </c>
      <c r="AC3360" s="1" t="s">
        <v>24</v>
      </c>
      <c r="AD3360" s="1" t="s">
        <v>24</v>
      </c>
      <c r="AE3360" s="1" t="s">
        <v>24</v>
      </c>
      <c r="AF3360" s="22"/>
    </row>
    <row r="3361" spans="1:32" x14ac:dyDescent="0.2">
      <c r="A3361" s="1">
        <v>27398</v>
      </c>
      <c r="B3361" s="1" t="s">
        <v>10424</v>
      </c>
      <c r="C3361" s="5" t="s">
        <v>0</v>
      </c>
      <c r="D3361" s="1" t="s">
        <v>10425</v>
      </c>
      <c r="F3361" s="1" t="s">
        <v>1389</v>
      </c>
      <c r="G3361" s="1" t="s">
        <v>1389</v>
      </c>
      <c r="H3361" s="1" t="s">
        <v>30</v>
      </c>
      <c r="I3361" s="1" t="s">
        <v>16</v>
      </c>
      <c r="J3361" s="1">
        <v>1</v>
      </c>
      <c r="K3361" s="1">
        <v>4</v>
      </c>
      <c r="L3361" s="1" t="s">
        <v>42</v>
      </c>
      <c r="M3361" s="1" t="s">
        <v>18</v>
      </c>
      <c r="N3361" s="1" t="s">
        <v>18</v>
      </c>
      <c r="O3361" s="1">
        <v>2</v>
      </c>
      <c r="P3361" s="1">
        <v>6</v>
      </c>
      <c r="R3361" s="1" t="s">
        <v>19</v>
      </c>
      <c r="S3361" s="1" t="s">
        <v>20</v>
      </c>
      <c r="T3361" s="1" t="s">
        <v>21</v>
      </c>
      <c r="U3361" s="1" t="s">
        <v>22</v>
      </c>
      <c r="V3361" s="1" t="s">
        <v>23</v>
      </c>
      <c r="W3361" s="1" t="s">
        <v>24</v>
      </c>
      <c r="X3361" s="1">
        <v>2712</v>
      </c>
      <c r="Y3361" s="1">
        <v>2724</v>
      </c>
      <c r="Z3361" s="1" t="s">
        <v>24</v>
      </c>
      <c r="AA3361" s="1" t="s">
        <v>24</v>
      </c>
      <c r="AB3361" s="1" t="s">
        <v>24</v>
      </c>
      <c r="AC3361" s="1" t="s">
        <v>24</v>
      </c>
      <c r="AD3361" s="1" t="s">
        <v>24</v>
      </c>
      <c r="AE3361" s="1" t="s">
        <v>24</v>
      </c>
      <c r="AF3361" s="22"/>
    </row>
    <row r="3362" spans="1:32" x14ac:dyDescent="0.2">
      <c r="A3362" s="1">
        <v>27399</v>
      </c>
      <c r="B3362" s="1" t="s">
        <v>10426</v>
      </c>
      <c r="C3362" s="5" t="s">
        <v>0</v>
      </c>
      <c r="D3362" s="1" t="s">
        <v>10427</v>
      </c>
      <c r="E3362" s="1" t="s">
        <v>10428</v>
      </c>
      <c r="F3362" s="1" t="s">
        <v>1389</v>
      </c>
      <c r="G3362" s="1" t="s">
        <v>1389</v>
      </c>
      <c r="H3362" s="1" t="s">
        <v>30</v>
      </c>
      <c r="I3362" s="1" t="s">
        <v>16</v>
      </c>
      <c r="J3362" s="1">
        <v>1</v>
      </c>
      <c r="K3362" s="1">
        <v>4</v>
      </c>
      <c r="L3362" s="1" t="s">
        <v>42</v>
      </c>
      <c r="M3362" s="1" t="s">
        <v>18</v>
      </c>
      <c r="N3362" s="1" t="s">
        <v>18</v>
      </c>
      <c r="O3362" s="1">
        <v>2</v>
      </c>
      <c r="P3362" s="1">
        <v>6</v>
      </c>
      <c r="R3362" s="1" t="s">
        <v>19</v>
      </c>
      <c r="S3362" s="1" t="s">
        <v>20</v>
      </c>
      <c r="T3362" s="1" t="s">
        <v>21</v>
      </c>
      <c r="U3362" s="1" t="s">
        <v>22</v>
      </c>
      <c r="V3362" s="1" t="s">
        <v>23</v>
      </c>
      <c r="W3362" s="1" t="s">
        <v>24</v>
      </c>
      <c r="X3362" s="1">
        <v>2712</v>
      </c>
      <c r="Y3362" s="1">
        <v>2724</v>
      </c>
      <c r="Z3362" s="1" t="s">
        <v>24</v>
      </c>
      <c r="AA3362" s="1" t="s">
        <v>24</v>
      </c>
      <c r="AB3362" s="1" t="s">
        <v>24</v>
      </c>
      <c r="AC3362" s="1" t="s">
        <v>24</v>
      </c>
      <c r="AD3362" s="1" t="s">
        <v>24</v>
      </c>
      <c r="AE3362" s="1" t="s">
        <v>24</v>
      </c>
      <c r="AF3362" s="22"/>
    </row>
    <row r="3363" spans="1:32" x14ac:dyDescent="0.2">
      <c r="A3363" s="1">
        <v>27404</v>
      </c>
      <c r="B3363" s="1" t="s">
        <v>10429</v>
      </c>
      <c r="C3363" s="5" t="s">
        <v>0</v>
      </c>
      <c r="D3363" s="1" t="s">
        <v>10430</v>
      </c>
      <c r="E3363" s="1" t="s">
        <v>10431</v>
      </c>
      <c r="F3363" s="1" t="s">
        <v>9039</v>
      </c>
      <c r="G3363" s="1" t="s">
        <v>292</v>
      </c>
      <c r="H3363" s="1" t="s">
        <v>37</v>
      </c>
      <c r="I3363" s="1" t="s">
        <v>16</v>
      </c>
      <c r="J3363" s="1">
        <v>1</v>
      </c>
      <c r="K3363" s="1">
        <v>6</v>
      </c>
      <c r="L3363" s="1" t="s">
        <v>31</v>
      </c>
      <c r="M3363" s="1" t="s">
        <v>18</v>
      </c>
      <c r="N3363" s="1" t="s">
        <v>18</v>
      </c>
      <c r="O3363" s="1">
        <v>3</v>
      </c>
      <c r="P3363" s="1">
        <v>6</v>
      </c>
      <c r="R3363" s="1" t="s">
        <v>19</v>
      </c>
      <c r="S3363" s="1" t="s">
        <v>20</v>
      </c>
      <c r="T3363" s="1" t="s">
        <v>21</v>
      </c>
      <c r="U3363" s="1" t="s">
        <v>22</v>
      </c>
      <c r="V3363" s="1" t="s">
        <v>24</v>
      </c>
      <c r="W3363" s="1" t="s">
        <v>24</v>
      </c>
      <c r="X3363" s="1">
        <v>1312</v>
      </c>
      <c r="Y3363" s="1">
        <v>1303</v>
      </c>
      <c r="Z3363" s="1" t="s">
        <v>24</v>
      </c>
      <c r="AA3363" s="1" t="s">
        <v>24</v>
      </c>
      <c r="AB3363" s="1" t="s">
        <v>24</v>
      </c>
      <c r="AC3363" s="1" t="s">
        <v>24</v>
      </c>
      <c r="AD3363" s="1" t="s">
        <v>24</v>
      </c>
      <c r="AE3363" s="1" t="s">
        <v>24</v>
      </c>
      <c r="AF3363" s="22"/>
    </row>
    <row r="3364" spans="1:32" x14ac:dyDescent="0.2">
      <c r="A3364" s="1">
        <v>27405</v>
      </c>
      <c r="B3364" s="1" t="s">
        <v>10432</v>
      </c>
      <c r="C3364" s="5" t="s">
        <v>0</v>
      </c>
      <c r="D3364" s="1" t="s">
        <v>10433</v>
      </c>
      <c r="E3364" s="1" t="s">
        <v>10434</v>
      </c>
      <c r="F3364" s="1" t="s">
        <v>91</v>
      </c>
      <c r="G3364" s="1" t="s">
        <v>61</v>
      </c>
      <c r="H3364" s="1" t="s">
        <v>92</v>
      </c>
      <c r="I3364" s="1" t="s">
        <v>16</v>
      </c>
      <c r="J3364" s="1">
        <v>1</v>
      </c>
      <c r="K3364" s="1">
        <v>4</v>
      </c>
      <c r="L3364" s="1" t="s">
        <v>31</v>
      </c>
      <c r="M3364" s="1" t="s">
        <v>18</v>
      </c>
      <c r="N3364" s="1" t="s">
        <v>18</v>
      </c>
      <c r="O3364" s="1">
        <v>3</v>
      </c>
      <c r="P3364" s="1">
        <v>7</v>
      </c>
      <c r="Q3364" s="7" t="s">
        <v>17633</v>
      </c>
      <c r="R3364" s="1" t="s">
        <v>19</v>
      </c>
      <c r="S3364" s="1" t="s">
        <v>20</v>
      </c>
      <c r="T3364" s="1" t="s">
        <v>21</v>
      </c>
      <c r="U3364" s="1" t="s">
        <v>22</v>
      </c>
      <c r="V3364" s="1" t="s">
        <v>23</v>
      </c>
      <c r="W3364" s="1" t="s">
        <v>24</v>
      </c>
      <c r="X3364" s="1">
        <v>1304</v>
      </c>
      <c r="Y3364" s="1">
        <v>2730</v>
      </c>
      <c r="Z3364" s="1">
        <v>2708</v>
      </c>
      <c r="AA3364" s="1">
        <v>2736</v>
      </c>
      <c r="AB3364" s="1" t="s">
        <v>24</v>
      </c>
      <c r="AC3364" s="1" t="s">
        <v>24</v>
      </c>
      <c r="AD3364" s="1" t="s">
        <v>24</v>
      </c>
      <c r="AE3364" s="1" t="s">
        <v>24</v>
      </c>
      <c r="AF3364" s="22"/>
    </row>
    <row r="3365" spans="1:32" x14ac:dyDescent="0.2">
      <c r="A3365" s="1">
        <v>27407</v>
      </c>
      <c r="B3365" s="1" t="s">
        <v>10435</v>
      </c>
      <c r="C3365" s="5" t="s">
        <v>0</v>
      </c>
      <c r="D3365" s="1" t="s">
        <v>10436</v>
      </c>
      <c r="F3365" s="1" t="s">
        <v>3134</v>
      </c>
      <c r="G3365" s="1" t="s">
        <v>3134</v>
      </c>
      <c r="H3365" s="1" t="s">
        <v>249</v>
      </c>
      <c r="I3365" s="1" t="s">
        <v>16</v>
      </c>
      <c r="J3365" s="1">
        <v>1</v>
      </c>
      <c r="K3365" s="1">
        <v>6</v>
      </c>
      <c r="L3365" s="1" t="s">
        <v>42</v>
      </c>
      <c r="M3365" s="1" t="s">
        <v>250</v>
      </c>
      <c r="N3365" s="1" t="s">
        <v>1463</v>
      </c>
      <c r="O3365" s="1">
        <v>3</v>
      </c>
      <c r="P3365" s="1">
        <v>5</v>
      </c>
      <c r="R3365" s="1" t="s">
        <v>19</v>
      </c>
      <c r="S3365" s="1" t="s">
        <v>20</v>
      </c>
      <c r="T3365" s="1" t="s">
        <v>21</v>
      </c>
      <c r="U3365" s="1" t="s">
        <v>22</v>
      </c>
      <c r="V3365" s="1" t="s">
        <v>24</v>
      </c>
      <c r="W3365" s="1" t="s">
        <v>24</v>
      </c>
      <c r="X3365" s="1">
        <v>2708</v>
      </c>
      <c r="Y3365" s="1">
        <v>2723</v>
      </c>
      <c r="Z3365" s="1" t="s">
        <v>24</v>
      </c>
      <c r="AA3365" s="1" t="s">
        <v>24</v>
      </c>
      <c r="AB3365" s="1" t="s">
        <v>24</v>
      </c>
      <c r="AC3365" s="1" t="s">
        <v>24</v>
      </c>
      <c r="AD3365" s="1" t="s">
        <v>24</v>
      </c>
      <c r="AE3365" s="1" t="s">
        <v>24</v>
      </c>
      <c r="AF3365" s="22"/>
    </row>
    <row r="3366" spans="1:32" x14ac:dyDescent="0.2">
      <c r="A3366" s="1">
        <v>27408</v>
      </c>
      <c r="B3366" s="1" t="s">
        <v>10437</v>
      </c>
      <c r="C3366" s="5" t="s">
        <v>0</v>
      </c>
      <c r="D3366" s="1" t="s">
        <v>10438</v>
      </c>
      <c r="E3366" s="1" t="s">
        <v>10439</v>
      </c>
      <c r="F3366" s="1" t="s">
        <v>91</v>
      </c>
      <c r="G3366" s="1" t="s">
        <v>61</v>
      </c>
      <c r="H3366" s="1" t="s">
        <v>92</v>
      </c>
      <c r="I3366" s="1" t="s">
        <v>16</v>
      </c>
      <c r="J3366" s="1">
        <v>1</v>
      </c>
      <c r="K3366" s="1">
        <v>12</v>
      </c>
      <c r="L3366" s="1" t="s">
        <v>31</v>
      </c>
      <c r="M3366" s="1" t="s">
        <v>18</v>
      </c>
      <c r="N3366" s="1" t="s">
        <v>18</v>
      </c>
      <c r="O3366" s="1">
        <v>3</v>
      </c>
      <c r="P3366" s="1">
        <v>6</v>
      </c>
      <c r="R3366" s="1" t="s">
        <v>19</v>
      </c>
      <c r="S3366" s="1" t="s">
        <v>20</v>
      </c>
      <c r="T3366" s="1" t="s">
        <v>21</v>
      </c>
      <c r="U3366" s="1" t="s">
        <v>22</v>
      </c>
      <c r="V3366" s="1" t="s">
        <v>23</v>
      </c>
      <c r="W3366" s="1" t="s">
        <v>24</v>
      </c>
      <c r="X3366" s="1">
        <v>2741</v>
      </c>
      <c r="Y3366" s="1" t="s">
        <v>24</v>
      </c>
      <c r="Z3366" s="1" t="s">
        <v>24</v>
      </c>
      <c r="AA3366" s="1" t="s">
        <v>24</v>
      </c>
      <c r="AB3366" s="1" t="s">
        <v>24</v>
      </c>
      <c r="AC3366" s="1" t="s">
        <v>24</v>
      </c>
      <c r="AD3366" s="1" t="s">
        <v>24</v>
      </c>
      <c r="AE3366" s="1" t="s">
        <v>24</v>
      </c>
      <c r="AF3366" s="22"/>
    </row>
    <row r="3367" spans="1:32" x14ac:dyDescent="0.2">
      <c r="A3367" s="1">
        <v>27409</v>
      </c>
      <c r="B3367" s="1" t="s">
        <v>10440</v>
      </c>
      <c r="C3367" s="5" t="s">
        <v>0</v>
      </c>
      <c r="D3367" s="1" t="s">
        <v>10441</v>
      </c>
      <c r="E3367" s="1" t="s">
        <v>10442</v>
      </c>
      <c r="F3367" s="1" t="s">
        <v>3134</v>
      </c>
      <c r="G3367" s="1" t="s">
        <v>3134</v>
      </c>
      <c r="H3367" s="1" t="s">
        <v>249</v>
      </c>
      <c r="I3367" s="1" t="s">
        <v>16</v>
      </c>
      <c r="J3367" s="1">
        <v>1</v>
      </c>
      <c r="K3367" s="1">
        <v>6</v>
      </c>
      <c r="L3367" s="1" t="s">
        <v>42</v>
      </c>
      <c r="M3367" s="1" t="s">
        <v>250</v>
      </c>
      <c r="N3367" s="1" t="s">
        <v>1463</v>
      </c>
      <c r="O3367" s="1">
        <v>3</v>
      </c>
      <c r="P3367" s="1">
        <v>5</v>
      </c>
      <c r="R3367" s="1" t="s">
        <v>19</v>
      </c>
      <c r="S3367" s="1" t="s">
        <v>20</v>
      </c>
      <c r="T3367" s="1" t="s">
        <v>21</v>
      </c>
      <c r="U3367" s="1" t="s">
        <v>22</v>
      </c>
      <c r="V3367" s="1" t="s">
        <v>24</v>
      </c>
      <c r="W3367" s="1" t="s">
        <v>24</v>
      </c>
      <c r="X3367" s="1">
        <v>2729</v>
      </c>
      <c r="Y3367" s="1">
        <v>2712</v>
      </c>
      <c r="Z3367" s="1" t="s">
        <v>24</v>
      </c>
      <c r="AA3367" s="1" t="s">
        <v>24</v>
      </c>
      <c r="AB3367" s="1" t="s">
        <v>24</v>
      </c>
      <c r="AC3367" s="1" t="s">
        <v>24</v>
      </c>
      <c r="AD3367" s="1" t="s">
        <v>24</v>
      </c>
      <c r="AE3367" s="1" t="s">
        <v>24</v>
      </c>
      <c r="AF3367" s="22"/>
    </row>
    <row r="3368" spans="1:32" x14ac:dyDescent="0.2">
      <c r="A3368" s="1">
        <v>27411</v>
      </c>
      <c r="B3368" s="1" t="s">
        <v>10443</v>
      </c>
      <c r="C3368" s="5" t="s">
        <v>0</v>
      </c>
      <c r="D3368" s="1" t="s">
        <v>10444</v>
      </c>
      <c r="F3368" s="1" t="s">
        <v>3134</v>
      </c>
      <c r="G3368" s="1" t="s">
        <v>3134</v>
      </c>
      <c r="H3368" s="1" t="s">
        <v>249</v>
      </c>
      <c r="I3368" s="1" t="s">
        <v>16</v>
      </c>
      <c r="J3368" s="1">
        <v>1</v>
      </c>
      <c r="K3368" s="1">
        <v>6</v>
      </c>
      <c r="L3368" s="1" t="s">
        <v>42</v>
      </c>
      <c r="M3368" s="1" t="s">
        <v>250</v>
      </c>
      <c r="N3368" s="1" t="s">
        <v>1463</v>
      </c>
      <c r="O3368" s="1">
        <v>3</v>
      </c>
      <c r="P3368" s="1">
        <v>5</v>
      </c>
      <c r="R3368" s="1" t="s">
        <v>19</v>
      </c>
      <c r="S3368" s="1" t="s">
        <v>20</v>
      </c>
      <c r="T3368" s="1" t="s">
        <v>21</v>
      </c>
      <c r="U3368" s="1" t="s">
        <v>22</v>
      </c>
      <c r="V3368" s="1" t="s">
        <v>24</v>
      </c>
      <c r="W3368" s="1" t="s">
        <v>24</v>
      </c>
      <c r="X3368" s="1">
        <v>2730</v>
      </c>
      <c r="Y3368" s="1">
        <v>2741</v>
      </c>
      <c r="Z3368" s="1" t="s">
        <v>24</v>
      </c>
      <c r="AA3368" s="1" t="s">
        <v>24</v>
      </c>
      <c r="AB3368" s="1" t="s">
        <v>24</v>
      </c>
      <c r="AC3368" s="1" t="s">
        <v>24</v>
      </c>
      <c r="AD3368" s="1" t="s">
        <v>24</v>
      </c>
      <c r="AE3368" s="1" t="s">
        <v>24</v>
      </c>
      <c r="AF3368" s="22"/>
    </row>
    <row r="3369" spans="1:32" x14ac:dyDescent="0.2">
      <c r="A3369" s="1">
        <v>27412</v>
      </c>
      <c r="B3369" s="1" t="s">
        <v>6273</v>
      </c>
      <c r="C3369" s="5" t="s">
        <v>0</v>
      </c>
      <c r="D3369" s="1" t="s">
        <v>10445</v>
      </c>
      <c r="F3369" s="1" t="s">
        <v>6273</v>
      </c>
      <c r="G3369" s="1" t="s">
        <v>6273</v>
      </c>
      <c r="H3369" s="1" t="s">
        <v>1384</v>
      </c>
      <c r="I3369" s="1" t="s">
        <v>16</v>
      </c>
      <c r="J3369" s="1">
        <v>1</v>
      </c>
      <c r="K3369" s="1">
        <v>6</v>
      </c>
      <c r="L3369" s="1" t="s">
        <v>42</v>
      </c>
      <c r="M3369" s="1" t="s">
        <v>3142</v>
      </c>
      <c r="N3369" s="1" t="s">
        <v>3142</v>
      </c>
      <c r="O3369" s="1">
        <v>3</v>
      </c>
      <c r="P3369" s="1">
        <v>6</v>
      </c>
      <c r="R3369" s="1" t="s">
        <v>19</v>
      </c>
      <c r="S3369" s="1" t="s">
        <v>20</v>
      </c>
      <c r="T3369" s="1" t="s">
        <v>21</v>
      </c>
      <c r="U3369" s="1" t="s">
        <v>22</v>
      </c>
      <c r="V3369" s="1" t="s">
        <v>24</v>
      </c>
      <c r="W3369" s="1" t="s">
        <v>24</v>
      </c>
      <c r="X3369" s="1">
        <v>2700</v>
      </c>
      <c r="Y3369" s="1" t="s">
        <v>24</v>
      </c>
      <c r="Z3369" s="1" t="s">
        <v>24</v>
      </c>
      <c r="AA3369" s="1" t="s">
        <v>24</v>
      </c>
      <c r="AB3369" s="1" t="s">
        <v>24</v>
      </c>
      <c r="AC3369" s="1" t="s">
        <v>24</v>
      </c>
      <c r="AD3369" s="1" t="s">
        <v>24</v>
      </c>
      <c r="AE3369" s="1" t="s">
        <v>24</v>
      </c>
      <c r="AF3369" s="22"/>
    </row>
    <row r="3370" spans="1:32" x14ac:dyDescent="0.2">
      <c r="A3370" s="1">
        <v>27413</v>
      </c>
      <c r="B3370" s="1" t="s">
        <v>10446</v>
      </c>
      <c r="C3370" s="5" t="s">
        <v>0</v>
      </c>
      <c r="D3370" s="1" t="s">
        <v>10447</v>
      </c>
      <c r="F3370" s="1" t="s">
        <v>6797</v>
      </c>
      <c r="G3370" s="1" t="s">
        <v>6797</v>
      </c>
      <c r="H3370" s="1" t="s">
        <v>249</v>
      </c>
      <c r="I3370" s="1" t="s">
        <v>16</v>
      </c>
      <c r="J3370" s="1">
        <v>1</v>
      </c>
      <c r="K3370" s="1">
        <v>4</v>
      </c>
      <c r="L3370" s="1" t="s">
        <v>42</v>
      </c>
      <c r="M3370" s="1" t="s">
        <v>1463</v>
      </c>
      <c r="N3370" s="1" t="s">
        <v>1463</v>
      </c>
      <c r="O3370" s="1">
        <v>2</v>
      </c>
      <c r="P3370" s="1">
        <v>5</v>
      </c>
      <c r="R3370" s="1" t="s">
        <v>19</v>
      </c>
      <c r="S3370" s="1" t="s">
        <v>20</v>
      </c>
      <c r="T3370" s="1" t="s">
        <v>21</v>
      </c>
      <c r="U3370" s="1" t="s">
        <v>22</v>
      </c>
      <c r="V3370" s="1" t="s">
        <v>24</v>
      </c>
      <c r="W3370" s="1" t="s">
        <v>24</v>
      </c>
      <c r="X3370" s="1">
        <v>2708</v>
      </c>
      <c r="Y3370" s="1" t="s">
        <v>24</v>
      </c>
      <c r="Z3370" s="1" t="s">
        <v>24</v>
      </c>
      <c r="AA3370" s="1" t="s">
        <v>24</v>
      </c>
      <c r="AB3370" s="1" t="s">
        <v>24</v>
      </c>
      <c r="AC3370" s="1" t="s">
        <v>24</v>
      </c>
      <c r="AD3370" s="1" t="s">
        <v>24</v>
      </c>
      <c r="AE3370" s="1" t="s">
        <v>24</v>
      </c>
      <c r="AF3370" s="22"/>
    </row>
    <row r="3371" spans="1:32" x14ac:dyDescent="0.2">
      <c r="A3371" s="1">
        <v>27414</v>
      </c>
      <c r="B3371" s="1" t="s">
        <v>10448</v>
      </c>
      <c r="C3371" s="5" t="s">
        <v>0</v>
      </c>
      <c r="D3371" s="1" t="s">
        <v>10449</v>
      </c>
      <c r="F3371" s="1" t="s">
        <v>91</v>
      </c>
      <c r="G3371" s="1" t="s">
        <v>61</v>
      </c>
      <c r="H3371" s="1" t="s">
        <v>30</v>
      </c>
      <c r="I3371" s="1" t="s">
        <v>16</v>
      </c>
      <c r="J3371" s="1">
        <v>1</v>
      </c>
      <c r="K3371" s="1">
        <v>4</v>
      </c>
      <c r="L3371" s="1" t="s">
        <v>31</v>
      </c>
      <c r="M3371" s="1" t="s">
        <v>18</v>
      </c>
      <c r="N3371" s="1" t="s">
        <v>18</v>
      </c>
      <c r="O3371" s="1">
        <v>3</v>
      </c>
      <c r="P3371" s="1">
        <v>6</v>
      </c>
      <c r="R3371" s="1" t="s">
        <v>19</v>
      </c>
      <c r="S3371" s="1" t="s">
        <v>20</v>
      </c>
      <c r="T3371" s="1" t="s">
        <v>21</v>
      </c>
      <c r="U3371" s="1" t="s">
        <v>22</v>
      </c>
      <c r="V3371" s="1" t="s">
        <v>24</v>
      </c>
      <c r="W3371" s="1" t="s">
        <v>24</v>
      </c>
      <c r="X3371" s="1">
        <v>2731</v>
      </c>
      <c r="Y3371" s="1" t="s">
        <v>24</v>
      </c>
      <c r="Z3371" s="1" t="s">
        <v>24</v>
      </c>
      <c r="AA3371" s="1" t="s">
        <v>24</v>
      </c>
      <c r="AB3371" s="1" t="s">
        <v>24</v>
      </c>
      <c r="AC3371" s="1" t="s">
        <v>24</v>
      </c>
      <c r="AD3371" s="1" t="s">
        <v>24</v>
      </c>
      <c r="AE3371" s="1" t="s">
        <v>24</v>
      </c>
      <c r="AF3371" s="22" t="s">
        <v>17674</v>
      </c>
    </row>
    <row r="3372" spans="1:32" x14ac:dyDescent="0.2">
      <c r="A3372" s="1">
        <v>27415</v>
      </c>
      <c r="B3372" s="1" t="s">
        <v>10450</v>
      </c>
      <c r="C3372" s="5" t="s">
        <v>0</v>
      </c>
      <c r="D3372" s="1" t="s">
        <v>10451</v>
      </c>
      <c r="E3372" s="1" t="s">
        <v>10452</v>
      </c>
      <c r="F3372" s="1" t="s">
        <v>7866</v>
      </c>
      <c r="G3372" s="1" t="s">
        <v>7866</v>
      </c>
      <c r="H3372" s="1" t="s">
        <v>131</v>
      </c>
      <c r="I3372" s="1" t="s">
        <v>16</v>
      </c>
      <c r="J3372" s="1">
        <v>1</v>
      </c>
      <c r="K3372" s="1">
        <v>4</v>
      </c>
      <c r="L3372" s="1" t="s">
        <v>42</v>
      </c>
      <c r="M3372" s="1" t="s">
        <v>413</v>
      </c>
      <c r="N3372" s="1" t="s">
        <v>679</v>
      </c>
      <c r="O3372" s="1">
        <v>3</v>
      </c>
      <c r="P3372" s="1">
        <v>5</v>
      </c>
      <c r="R3372" s="1" t="s">
        <v>19</v>
      </c>
      <c r="S3372" s="1" t="s">
        <v>20</v>
      </c>
      <c r="T3372" s="1" t="s">
        <v>21</v>
      </c>
      <c r="U3372" s="1" t="s">
        <v>22</v>
      </c>
      <c r="V3372" s="1" t="s">
        <v>24</v>
      </c>
      <c r="W3372" s="1" t="s">
        <v>24</v>
      </c>
      <c r="X3372" s="1">
        <v>2705</v>
      </c>
      <c r="Y3372" s="1" t="s">
        <v>24</v>
      </c>
      <c r="Z3372" s="1" t="s">
        <v>24</v>
      </c>
      <c r="AA3372" s="1" t="s">
        <v>24</v>
      </c>
      <c r="AB3372" s="1" t="s">
        <v>24</v>
      </c>
      <c r="AC3372" s="1" t="s">
        <v>24</v>
      </c>
      <c r="AD3372" s="1" t="s">
        <v>24</v>
      </c>
      <c r="AE3372" s="1" t="s">
        <v>24</v>
      </c>
      <c r="AF3372" s="22"/>
    </row>
    <row r="3373" spans="1:32" x14ac:dyDescent="0.2">
      <c r="A3373" s="1">
        <v>27418</v>
      </c>
      <c r="B3373" s="1" t="s">
        <v>10453</v>
      </c>
      <c r="C3373" s="5" t="s">
        <v>0</v>
      </c>
      <c r="D3373" s="1" t="s">
        <v>10454</v>
      </c>
      <c r="F3373" s="1" t="s">
        <v>10455</v>
      </c>
      <c r="G3373" s="1" t="s">
        <v>10455</v>
      </c>
      <c r="H3373" s="1" t="s">
        <v>37</v>
      </c>
      <c r="I3373" s="1" t="s">
        <v>16</v>
      </c>
      <c r="J3373" s="1">
        <v>1</v>
      </c>
      <c r="K3373" s="1">
        <v>4</v>
      </c>
      <c r="L3373" s="1" t="s">
        <v>17</v>
      </c>
      <c r="M3373" s="1" t="s">
        <v>18</v>
      </c>
      <c r="N3373" s="1" t="s">
        <v>18</v>
      </c>
      <c r="O3373" s="1">
        <v>1</v>
      </c>
      <c r="P3373" s="1">
        <v>5</v>
      </c>
      <c r="R3373" s="1" t="s">
        <v>19</v>
      </c>
      <c r="S3373" s="1" t="s">
        <v>20</v>
      </c>
      <c r="T3373" s="1" t="s">
        <v>21</v>
      </c>
      <c r="U3373" s="1" t="s">
        <v>22</v>
      </c>
      <c r="V3373" s="1" t="s">
        <v>24</v>
      </c>
      <c r="W3373" s="1" t="s">
        <v>24</v>
      </c>
      <c r="X3373" s="1">
        <v>3002</v>
      </c>
      <c r="Y3373" s="1" t="s">
        <v>24</v>
      </c>
      <c r="Z3373" s="1" t="s">
        <v>24</v>
      </c>
      <c r="AA3373" s="1" t="s">
        <v>24</v>
      </c>
      <c r="AB3373" s="1" t="s">
        <v>24</v>
      </c>
      <c r="AC3373" s="1" t="s">
        <v>24</v>
      </c>
      <c r="AD3373" s="1" t="s">
        <v>24</v>
      </c>
      <c r="AE3373" s="1" t="s">
        <v>24</v>
      </c>
      <c r="AF3373" s="22"/>
    </row>
    <row r="3374" spans="1:32" x14ac:dyDescent="0.2">
      <c r="A3374" s="1">
        <v>27419</v>
      </c>
      <c r="B3374" s="1" t="s">
        <v>10456</v>
      </c>
      <c r="C3374" s="5" t="s">
        <v>0</v>
      </c>
      <c r="D3374" s="1" t="s">
        <v>10457</v>
      </c>
      <c r="F3374" s="1" t="s">
        <v>248</v>
      </c>
      <c r="G3374" s="1" t="s">
        <v>61</v>
      </c>
      <c r="H3374" s="1" t="s">
        <v>249</v>
      </c>
      <c r="I3374" s="1" t="s">
        <v>16</v>
      </c>
      <c r="J3374" s="1">
        <v>1</v>
      </c>
      <c r="K3374" s="1">
        <v>4</v>
      </c>
      <c r="L3374" s="1" t="s">
        <v>31</v>
      </c>
      <c r="M3374" s="1" t="s">
        <v>18</v>
      </c>
      <c r="N3374" s="1" t="s">
        <v>18</v>
      </c>
      <c r="O3374" s="1">
        <v>2</v>
      </c>
      <c r="P3374" s="1">
        <v>6</v>
      </c>
      <c r="R3374" s="1" t="s">
        <v>19</v>
      </c>
      <c r="S3374" s="1" t="s">
        <v>20</v>
      </c>
      <c r="T3374" s="1" t="s">
        <v>21</v>
      </c>
      <c r="U3374" s="1" t="s">
        <v>22</v>
      </c>
      <c r="V3374" s="1" t="s">
        <v>24</v>
      </c>
      <c r="W3374" s="1" t="s">
        <v>24</v>
      </c>
      <c r="X3374" s="1">
        <v>2725</v>
      </c>
      <c r="Y3374" s="1">
        <v>2713</v>
      </c>
      <c r="Z3374" s="1" t="s">
        <v>24</v>
      </c>
      <c r="AA3374" s="1" t="s">
        <v>24</v>
      </c>
      <c r="AB3374" s="1" t="s">
        <v>24</v>
      </c>
      <c r="AC3374" s="1" t="s">
        <v>24</v>
      </c>
      <c r="AD3374" s="1" t="s">
        <v>24</v>
      </c>
      <c r="AE3374" s="1" t="s">
        <v>24</v>
      </c>
      <c r="AF3374" s="22"/>
    </row>
    <row r="3375" spans="1:32" x14ac:dyDescent="0.2">
      <c r="A3375" s="1">
        <v>27424</v>
      </c>
      <c r="B3375" s="1" t="s">
        <v>10458</v>
      </c>
      <c r="C3375" s="5" t="s">
        <v>0</v>
      </c>
      <c r="D3375" s="1" t="s">
        <v>10459</v>
      </c>
      <c r="E3375" s="1" t="s">
        <v>10460</v>
      </c>
      <c r="F3375" s="1" t="s">
        <v>28</v>
      </c>
      <c r="G3375" s="1" t="s">
        <v>29</v>
      </c>
      <c r="H3375" s="1" t="s">
        <v>30</v>
      </c>
      <c r="I3375" s="1" t="s">
        <v>16</v>
      </c>
      <c r="J3375" s="1">
        <v>1</v>
      </c>
      <c r="K3375" s="1">
        <v>6</v>
      </c>
      <c r="L3375" s="1" t="s">
        <v>31</v>
      </c>
      <c r="M3375" s="1" t="s">
        <v>18</v>
      </c>
      <c r="N3375" s="1" t="s">
        <v>18</v>
      </c>
      <c r="O3375" s="1">
        <v>3</v>
      </c>
      <c r="P3375" s="1">
        <v>7</v>
      </c>
      <c r="Q3375" s="7" t="s">
        <v>17633</v>
      </c>
      <c r="R3375" s="1" t="s">
        <v>19</v>
      </c>
      <c r="S3375" s="1" t="s">
        <v>20</v>
      </c>
      <c r="T3375" s="1" t="s">
        <v>21</v>
      </c>
      <c r="U3375" s="1" t="s">
        <v>22</v>
      </c>
      <c r="V3375" s="1" t="s">
        <v>23</v>
      </c>
      <c r="W3375" s="1" t="s">
        <v>24</v>
      </c>
      <c r="X3375" s="1">
        <v>2735</v>
      </c>
      <c r="Y3375" s="1">
        <v>2706</v>
      </c>
      <c r="Z3375" s="1" t="s">
        <v>24</v>
      </c>
      <c r="AA3375" s="1" t="s">
        <v>24</v>
      </c>
      <c r="AB3375" s="1" t="s">
        <v>24</v>
      </c>
      <c r="AC3375" s="1" t="s">
        <v>24</v>
      </c>
      <c r="AD3375" s="1" t="s">
        <v>24</v>
      </c>
      <c r="AE3375" s="1" t="s">
        <v>24</v>
      </c>
      <c r="AF3375" s="22"/>
    </row>
    <row r="3376" spans="1:32" x14ac:dyDescent="0.2">
      <c r="A3376" s="1">
        <v>27427</v>
      </c>
      <c r="B3376" s="1" t="s">
        <v>10461</v>
      </c>
      <c r="C3376" s="5" t="s">
        <v>0</v>
      </c>
      <c r="D3376" s="1" t="s">
        <v>10462</v>
      </c>
      <c r="E3376" s="1" t="s">
        <v>10463</v>
      </c>
      <c r="F3376" s="1" t="s">
        <v>10464</v>
      </c>
      <c r="G3376" s="1" t="s">
        <v>10464</v>
      </c>
      <c r="H3376" s="1" t="s">
        <v>1957</v>
      </c>
      <c r="I3376" s="1" t="s">
        <v>16</v>
      </c>
      <c r="J3376" s="1">
        <v>1</v>
      </c>
      <c r="K3376" s="1">
        <v>12</v>
      </c>
      <c r="L3376" s="1" t="s">
        <v>42</v>
      </c>
      <c r="M3376" s="1" t="s">
        <v>18</v>
      </c>
      <c r="N3376" s="1" t="s">
        <v>18</v>
      </c>
      <c r="O3376" s="1">
        <v>3</v>
      </c>
      <c r="P3376" s="1">
        <v>6</v>
      </c>
      <c r="R3376" s="1" t="s">
        <v>19</v>
      </c>
      <c r="S3376" s="1" t="s">
        <v>20</v>
      </c>
      <c r="T3376" s="1" t="s">
        <v>21</v>
      </c>
      <c r="U3376" s="1" t="s">
        <v>22</v>
      </c>
      <c r="V3376" s="1" t="s">
        <v>24</v>
      </c>
      <c r="W3376" s="1" t="s">
        <v>24</v>
      </c>
      <c r="X3376" s="1">
        <v>2700</v>
      </c>
      <c r="Y3376" s="1" t="s">
        <v>24</v>
      </c>
      <c r="Z3376" s="1" t="s">
        <v>24</v>
      </c>
      <c r="AA3376" s="1" t="s">
        <v>24</v>
      </c>
      <c r="AB3376" s="1" t="s">
        <v>24</v>
      </c>
      <c r="AC3376" s="1" t="s">
        <v>24</v>
      </c>
      <c r="AD3376" s="1" t="s">
        <v>24</v>
      </c>
      <c r="AE3376" s="1" t="s">
        <v>24</v>
      </c>
      <c r="AF3376" s="22"/>
    </row>
    <row r="3377" spans="1:32" x14ac:dyDescent="0.2">
      <c r="A3377" s="1">
        <v>27429</v>
      </c>
      <c r="B3377" s="1" t="s">
        <v>10465</v>
      </c>
      <c r="C3377" s="5" t="s">
        <v>0</v>
      </c>
      <c r="D3377" s="1" t="s">
        <v>10466</v>
      </c>
      <c r="E3377" s="1" t="s">
        <v>10467</v>
      </c>
      <c r="F3377" s="1" t="s">
        <v>7866</v>
      </c>
      <c r="G3377" s="1" t="s">
        <v>7866</v>
      </c>
      <c r="H3377" s="1" t="s">
        <v>131</v>
      </c>
      <c r="I3377" s="1" t="s">
        <v>16</v>
      </c>
      <c r="J3377" s="1">
        <v>1</v>
      </c>
      <c r="K3377" s="1">
        <v>4</v>
      </c>
      <c r="L3377" s="1" t="s">
        <v>42</v>
      </c>
      <c r="M3377" s="1" t="s">
        <v>413</v>
      </c>
      <c r="N3377" s="1" t="s">
        <v>413</v>
      </c>
      <c r="O3377" s="1">
        <v>3</v>
      </c>
      <c r="P3377" s="1">
        <v>5</v>
      </c>
      <c r="R3377" s="1" t="s">
        <v>19</v>
      </c>
      <c r="S3377" s="1" t="s">
        <v>20</v>
      </c>
      <c r="T3377" s="1" t="s">
        <v>21</v>
      </c>
      <c r="U3377" s="1" t="s">
        <v>22</v>
      </c>
      <c r="V3377" s="1" t="s">
        <v>24</v>
      </c>
      <c r="W3377" s="1" t="s">
        <v>24</v>
      </c>
      <c r="X3377" s="1">
        <v>2715</v>
      </c>
      <c r="Y3377" s="1">
        <v>2721</v>
      </c>
      <c r="Z3377" s="1" t="s">
        <v>24</v>
      </c>
      <c r="AA3377" s="1" t="s">
        <v>24</v>
      </c>
      <c r="AB3377" s="1" t="s">
        <v>24</v>
      </c>
      <c r="AC3377" s="1" t="s">
        <v>24</v>
      </c>
      <c r="AD3377" s="1" t="s">
        <v>24</v>
      </c>
      <c r="AE3377" s="1" t="s">
        <v>24</v>
      </c>
      <c r="AF3377" s="22"/>
    </row>
    <row r="3378" spans="1:32" x14ac:dyDescent="0.2">
      <c r="A3378" s="1">
        <v>27430</v>
      </c>
      <c r="B3378" s="1" t="s">
        <v>10468</v>
      </c>
      <c r="C3378" s="5" t="s">
        <v>0</v>
      </c>
      <c r="D3378" s="1" t="s">
        <v>10469</v>
      </c>
      <c r="E3378" s="1" t="s">
        <v>10470</v>
      </c>
      <c r="F3378" s="1" t="s">
        <v>35</v>
      </c>
      <c r="G3378" s="1" t="s">
        <v>36</v>
      </c>
      <c r="H3378" s="1" t="s">
        <v>37</v>
      </c>
      <c r="I3378" s="1" t="s">
        <v>16</v>
      </c>
      <c r="J3378" s="1">
        <v>1</v>
      </c>
      <c r="K3378" s="1">
        <v>12</v>
      </c>
      <c r="L3378" s="1" t="s">
        <v>31</v>
      </c>
      <c r="M3378" s="1" t="s">
        <v>18</v>
      </c>
      <c r="N3378" s="1" t="s">
        <v>18</v>
      </c>
      <c r="O3378" s="1">
        <v>3</v>
      </c>
      <c r="P3378" s="1">
        <v>7</v>
      </c>
      <c r="Q3378" s="7" t="s">
        <v>17633</v>
      </c>
      <c r="R3378" s="1" t="s">
        <v>19</v>
      </c>
      <c r="S3378" s="1" t="s">
        <v>20</v>
      </c>
      <c r="T3378" s="1" t="s">
        <v>21</v>
      </c>
      <c r="U3378" s="1" t="s">
        <v>22</v>
      </c>
      <c r="V3378" s="1" t="s">
        <v>24</v>
      </c>
      <c r="W3378" s="1" t="s">
        <v>24</v>
      </c>
      <c r="X3378" s="1">
        <v>2748</v>
      </c>
      <c r="Y3378" s="1">
        <v>2729</v>
      </c>
      <c r="Z3378" s="1">
        <v>2743</v>
      </c>
      <c r="AA3378" s="1" t="s">
        <v>24</v>
      </c>
      <c r="AB3378" s="1" t="s">
        <v>24</v>
      </c>
      <c r="AC3378" s="1" t="s">
        <v>24</v>
      </c>
      <c r="AD3378" s="1" t="s">
        <v>24</v>
      </c>
      <c r="AE3378" s="1" t="s">
        <v>24</v>
      </c>
      <c r="AF3378" s="22"/>
    </row>
    <row r="3379" spans="1:32" x14ac:dyDescent="0.2">
      <c r="A3379" s="1">
        <v>27431</v>
      </c>
      <c r="B3379" s="1" t="s">
        <v>10471</v>
      </c>
      <c r="C3379" s="5" t="s">
        <v>0</v>
      </c>
      <c r="D3379" s="1" t="s">
        <v>10472</v>
      </c>
      <c r="E3379" s="1" t="s">
        <v>10473</v>
      </c>
      <c r="F3379" s="1" t="s">
        <v>2299</v>
      </c>
      <c r="G3379" s="1" t="s">
        <v>2300</v>
      </c>
      <c r="H3379" s="1" t="s">
        <v>168</v>
      </c>
      <c r="I3379" s="1" t="s">
        <v>16</v>
      </c>
      <c r="J3379" s="1">
        <v>1</v>
      </c>
      <c r="K3379" s="1">
        <v>12</v>
      </c>
      <c r="L3379" s="1" t="s">
        <v>31</v>
      </c>
      <c r="M3379" s="1" t="s">
        <v>18</v>
      </c>
      <c r="N3379" s="1" t="s">
        <v>18</v>
      </c>
      <c r="O3379" s="1">
        <v>3</v>
      </c>
      <c r="P3379" s="1">
        <v>5</v>
      </c>
      <c r="R3379" s="1" t="s">
        <v>19</v>
      </c>
      <c r="S3379" s="1" t="s">
        <v>63</v>
      </c>
      <c r="T3379" s="1" t="s">
        <v>21</v>
      </c>
      <c r="U3379" s="1" t="s">
        <v>22</v>
      </c>
      <c r="V3379" s="1" t="s">
        <v>24</v>
      </c>
      <c r="W3379" s="1" t="s">
        <v>24</v>
      </c>
      <c r="X3379" s="1">
        <v>2700</v>
      </c>
      <c r="Y3379" s="1" t="s">
        <v>24</v>
      </c>
      <c r="Z3379" s="1" t="s">
        <v>24</v>
      </c>
      <c r="AA3379" s="1" t="s">
        <v>24</v>
      </c>
      <c r="AB3379" s="1" t="s">
        <v>24</v>
      </c>
      <c r="AC3379" s="1" t="s">
        <v>24</v>
      </c>
      <c r="AD3379" s="1" t="s">
        <v>24</v>
      </c>
      <c r="AE3379" s="1" t="s">
        <v>24</v>
      </c>
      <c r="AF3379" s="22" t="s">
        <v>17670</v>
      </c>
    </row>
    <row r="3380" spans="1:32" x14ac:dyDescent="0.2">
      <c r="A3380" s="1">
        <v>27433</v>
      </c>
      <c r="B3380" s="1" t="s">
        <v>10474</v>
      </c>
      <c r="C3380" s="5" t="s">
        <v>0</v>
      </c>
      <c r="D3380" s="1" t="s">
        <v>10475</v>
      </c>
      <c r="E3380" s="1" t="s">
        <v>10476</v>
      </c>
      <c r="F3380" s="1" t="s">
        <v>1462</v>
      </c>
      <c r="G3380" s="1" t="s">
        <v>1462</v>
      </c>
      <c r="H3380" s="1" t="s">
        <v>249</v>
      </c>
      <c r="I3380" s="1" t="s">
        <v>16</v>
      </c>
      <c r="J3380" s="1">
        <v>1</v>
      </c>
      <c r="K3380" s="1">
        <v>2</v>
      </c>
      <c r="L3380" s="1" t="s">
        <v>42</v>
      </c>
      <c r="M3380" s="1" t="s">
        <v>250</v>
      </c>
      <c r="N3380" s="1" t="s">
        <v>3290</v>
      </c>
      <c r="O3380" s="1">
        <v>3</v>
      </c>
      <c r="P3380" s="1">
        <v>5</v>
      </c>
      <c r="R3380" s="1" t="s">
        <v>19</v>
      </c>
      <c r="S3380" s="1" t="s">
        <v>20</v>
      </c>
      <c r="T3380" s="1" t="s">
        <v>21</v>
      </c>
      <c r="U3380" s="1" t="s">
        <v>22</v>
      </c>
      <c r="V3380" s="1" t="s">
        <v>24</v>
      </c>
      <c r="W3380" s="1" t="s">
        <v>24</v>
      </c>
      <c r="X3380" s="1">
        <v>2748</v>
      </c>
      <c r="Y3380" s="1">
        <v>2729</v>
      </c>
      <c r="Z3380" s="1">
        <v>2712</v>
      </c>
      <c r="AA3380" s="1" t="s">
        <v>24</v>
      </c>
      <c r="AB3380" s="1" t="s">
        <v>24</v>
      </c>
      <c r="AC3380" s="1" t="s">
        <v>24</v>
      </c>
      <c r="AD3380" s="1" t="s">
        <v>24</v>
      </c>
      <c r="AE3380" s="1" t="s">
        <v>24</v>
      </c>
      <c r="AF3380" s="22"/>
    </row>
    <row r="3381" spans="1:32" x14ac:dyDescent="0.2">
      <c r="A3381" s="1">
        <v>27436</v>
      </c>
      <c r="B3381" s="1" t="s">
        <v>10477</v>
      </c>
      <c r="C3381" s="5" t="s">
        <v>0</v>
      </c>
      <c r="D3381" s="1" t="s">
        <v>10478</v>
      </c>
      <c r="E3381" s="1" t="s">
        <v>10479</v>
      </c>
      <c r="F3381" s="1" t="s">
        <v>10480</v>
      </c>
      <c r="G3381" s="1" t="s">
        <v>10480</v>
      </c>
      <c r="H3381" s="1" t="s">
        <v>2672</v>
      </c>
      <c r="I3381" s="1" t="s">
        <v>16</v>
      </c>
      <c r="J3381" s="1">
        <v>1</v>
      </c>
      <c r="K3381" s="1">
        <v>4</v>
      </c>
      <c r="L3381" s="1" t="s">
        <v>42</v>
      </c>
      <c r="M3381" s="1" t="s">
        <v>18</v>
      </c>
      <c r="N3381" s="1" t="s">
        <v>18</v>
      </c>
      <c r="O3381" s="1">
        <v>3</v>
      </c>
      <c r="P3381" s="1">
        <v>6</v>
      </c>
      <c r="R3381" s="1" t="s">
        <v>19</v>
      </c>
      <c r="S3381" s="1" t="s">
        <v>20</v>
      </c>
      <c r="T3381" s="1" t="s">
        <v>21</v>
      </c>
      <c r="U3381" s="1" t="s">
        <v>22</v>
      </c>
      <c r="V3381" s="1" t="s">
        <v>24</v>
      </c>
      <c r="W3381" s="1" t="s">
        <v>24</v>
      </c>
      <c r="X3381" s="1">
        <v>2700</v>
      </c>
      <c r="Y3381" s="1" t="s">
        <v>24</v>
      </c>
      <c r="Z3381" s="1" t="s">
        <v>24</v>
      </c>
      <c r="AA3381" s="1" t="s">
        <v>24</v>
      </c>
      <c r="AB3381" s="1" t="s">
        <v>24</v>
      </c>
      <c r="AC3381" s="1" t="s">
        <v>24</v>
      </c>
      <c r="AD3381" s="1" t="s">
        <v>24</v>
      </c>
      <c r="AE3381" s="1" t="s">
        <v>24</v>
      </c>
      <c r="AF3381" s="22"/>
    </row>
    <row r="3382" spans="1:32" x14ac:dyDescent="0.2">
      <c r="A3382" s="1">
        <v>27438</v>
      </c>
      <c r="B3382" s="1" t="s">
        <v>10481</v>
      </c>
      <c r="C3382" s="5" t="s">
        <v>0</v>
      </c>
      <c r="D3382" s="1" t="s">
        <v>10482</v>
      </c>
      <c r="F3382" s="1" t="s">
        <v>10483</v>
      </c>
      <c r="G3382" s="1" t="s">
        <v>10483</v>
      </c>
      <c r="H3382" s="1" t="s">
        <v>249</v>
      </c>
      <c r="I3382" s="1" t="s">
        <v>16</v>
      </c>
      <c r="J3382" s="1">
        <v>1</v>
      </c>
      <c r="K3382" s="1">
        <v>4</v>
      </c>
      <c r="L3382" s="1" t="s">
        <v>17</v>
      </c>
      <c r="M3382" s="1" t="s">
        <v>3290</v>
      </c>
      <c r="N3382" s="1" t="s">
        <v>3290</v>
      </c>
      <c r="O3382" s="1">
        <v>3</v>
      </c>
      <c r="P3382" s="1">
        <v>6</v>
      </c>
      <c r="R3382" s="1" t="s">
        <v>19</v>
      </c>
      <c r="S3382" s="1" t="s">
        <v>20</v>
      </c>
      <c r="T3382" s="1" t="s">
        <v>21</v>
      </c>
      <c r="U3382" s="1" t="s">
        <v>22</v>
      </c>
      <c r="V3382" s="1" t="s">
        <v>23</v>
      </c>
      <c r="W3382" s="1" t="s">
        <v>24</v>
      </c>
      <c r="X3382" s="1">
        <v>3612</v>
      </c>
      <c r="Y3382" s="1" t="s">
        <v>24</v>
      </c>
      <c r="Z3382" s="1" t="s">
        <v>24</v>
      </c>
      <c r="AA3382" s="1" t="s">
        <v>24</v>
      </c>
      <c r="AB3382" s="1" t="s">
        <v>24</v>
      </c>
      <c r="AC3382" s="1" t="s">
        <v>24</v>
      </c>
      <c r="AD3382" s="1" t="s">
        <v>24</v>
      </c>
      <c r="AE3382" s="1" t="s">
        <v>24</v>
      </c>
      <c r="AF3382" s="22"/>
    </row>
    <row r="3383" spans="1:32" x14ac:dyDescent="0.2">
      <c r="A3383" s="1">
        <v>27440</v>
      </c>
      <c r="B3383" s="1" t="s">
        <v>10484</v>
      </c>
      <c r="C3383" s="5" t="s">
        <v>0</v>
      </c>
      <c r="D3383" s="1" t="s">
        <v>10485</v>
      </c>
      <c r="E3383" s="1" t="s">
        <v>10486</v>
      </c>
      <c r="F3383" s="1" t="s">
        <v>10487</v>
      </c>
      <c r="G3383" s="1" t="s">
        <v>311</v>
      </c>
      <c r="H3383" s="1" t="s">
        <v>37</v>
      </c>
      <c r="I3383" s="1" t="s">
        <v>16</v>
      </c>
      <c r="J3383" s="1">
        <v>1</v>
      </c>
      <c r="K3383" s="1">
        <v>2</v>
      </c>
      <c r="L3383" s="1" t="s">
        <v>31</v>
      </c>
      <c r="M3383" s="1" t="s">
        <v>18</v>
      </c>
      <c r="N3383" s="1" t="s">
        <v>18</v>
      </c>
      <c r="O3383" s="1">
        <v>3</v>
      </c>
      <c r="P3383" s="1">
        <v>6</v>
      </c>
      <c r="R3383" s="1" t="s">
        <v>19</v>
      </c>
      <c r="S3383" s="1" t="s">
        <v>20</v>
      </c>
      <c r="T3383" s="1" t="s">
        <v>21</v>
      </c>
      <c r="U3383" s="1" t="s">
        <v>22</v>
      </c>
      <c r="V3383" s="1" t="s">
        <v>24</v>
      </c>
      <c r="W3383" s="1" t="s">
        <v>24</v>
      </c>
      <c r="X3383" s="1">
        <v>2738</v>
      </c>
      <c r="Y3383" s="1">
        <v>3203</v>
      </c>
      <c r="Z3383" s="1" t="s">
        <v>24</v>
      </c>
      <c r="AA3383" s="1" t="s">
        <v>24</v>
      </c>
      <c r="AB3383" s="1" t="s">
        <v>24</v>
      </c>
      <c r="AC3383" s="1" t="s">
        <v>24</v>
      </c>
      <c r="AD3383" s="1" t="s">
        <v>24</v>
      </c>
      <c r="AE3383" s="1" t="s">
        <v>24</v>
      </c>
      <c r="AF3383" s="22" t="s">
        <v>17670</v>
      </c>
    </row>
    <row r="3384" spans="1:32" x14ac:dyDescent="0.2">
      <c r="A3384" s="1">
        <v>27441</v>
      </c>
      <c r="B3384" s="1" t="s">
        <v>10488</v>
      </c>
      <c r="C3384" s="5" t="s">
        <v>0</v>
      </c>
      <c r="D3384" s="1" t="s">
        <v>10489</v>
      </c>
      <c r="E3384" s="1" t="s">
        <v>10490</v>
      </c>
      <c r="F3384" s="1" t="s">
        <v>1897</v>
      </c>
      <c r="G3384" s="1" t="s">
        <v>1898</v>
      </c>
      <c r="H3384" s="1" t="s">
        <v>899</v>
      </c>
      <c r="I3384" s="1" t="s">
        <v>16</v>
      </c>
      <c r="J3384" s="1">
        <v>1</v>
      </c>
      <c r="K3384" s="1">
        <v>2</v>
      </c>
      <c r="L3384" s="1" t="s">
        <v>31</v>
      </c>
      <c r="M3384" s="1" t="s">
        <v>18</v>
      </c>
      <c r="N3384" s="1" t="s">
        <v>18</v>
      </c>
      <c r="O3384" s="1">
        <v>3</v>
      </c>
      <c r="P3384" s="1">
        <v>6</v>
      </c>
      <c r="R3384" s="1" t="s">
        <v>19</v>
      </c>
      <c r="S3384" s="1" t="s">
        <v>20</v>
      </c>
      <c r="T3384" s="1" t="s">
        <v>21</v>
      </c>
      <c r="U3384" s="1" t="s">
        <v>22</v>
      </c>
      <c r="V3384" s="1" t="s">
        <v>24</v>
      </c>
      <c r="W3384" s="1" t="s">
        <v>24</v>
      </c>
      <c r="X3384" s="1">
        <v>3005</v>
      </c>
      <c r="Y3384" s="1">
        <v>2307</v>
      </c>
      <c r="Z3384" s="1" t="s">
        <v>24</v>
      </c>
      <c r="AA3384" s="1" t="s">
        <v>24</v>
      </c>
      <c r="AB3384" s="1" t="s">
        <v>24</v>
      </c>
      <c r="AC3384" s="1" t="s">
        <v>24</v>
      </c>
      <c r="AD3384" s="1" t="s">
        <v>24</v>
      </c>
      <c r="AE3384" s="1" t="s">
        <v>24</v>
      </c>
      <c r="AF3384" s="22"/>
    </row>
    <row r="3385" spans="1:32" x14ac:dyDescent="0.2">
      <c r="A3385" s="1">
        <v>27442</v>
      </c>
      <c r="B3385" s="1" t="s">
        <v>10491</v>
      </c>
      <c r="C3385" s="5" t="s">
        <v>0</v>
      </c>
      <c r="D3385" s="1" t="s">
        <v>10492</v>
      </c>
      <c r="F3385" s="1" t="s">
        <v>10491</v>
      </c>
      <c r="G3385" s="1" t="s">
        <v>10491</v>
      </c>
      <c r="H3385" s="1" t="s">
        <v>1116</v>
      </c>
      <c r="I3385" s="1" t="s">
        <v>16</v>
      </c>
      <c r="J3385" s="1">
        <v>1</v>
      </c>
      <c r="K3385" s="1">
        <v>4</v>
      </c>
      <c r="L3385" s="1" t="s">
        <v>17</v>
      </c>
      <c r="M3385" s="1" t="s">
        <v>1009</v>
      </c>
      <c r="N3385" s="1" t="s">
        <v>1009</v>
      </c>
      <c r="O3385" s="1">
        <v>3</v>
      </c>
      <c r="P3385" s="1">
        <v>6</v>
      </c>
      <c r="R3385" s="1" t="s">
        <v>19</v>
      </c>
      <c r="S3385" s="1" t="s">
        <v>20</v>
      </c>
      <c r="T3385" s="1" t="s">
        <v>21</v>
      </c>
      <c r="U3385" s="1" t="s">
        <v>22</v>
      </c>
      <c r="V3385" s="1" t="s">
        <v>24</v>
      </c>
      <c r="W3385" s="1" t="s">
        <v>24</v>
      </c>
      <c r="X3385" s="1">
        <v>2700</v>
      </c>
      <c r="Y3385" s="1" t="s">
        <v>24</v>
      </c>
      <c r="Z3385" s="1" t="s">
        <v>24</v>
      </c>
      <c r="AA3385" s="1" t="s">
        <v>24</v>
      </c>
      <c r="AB3385" s="1" t="s">
        <v>24</v>
      </c>
      <c r="AC3385" s="1" t="s">
        <v>24</v>
      </c>
      <c r="AD3385" s="1" t="s">
        <v>24</v>
      </c>
      <c r="AE3385" s="1" t="s">
        <v>24</v>
      </c>
      <c r="AF3385" s="22"/>
    </row>
    <row r="3386" spans="1:32" x14ac:dyDescent="0.2">
      <c r="A3386" s="1">
        <v>27443</v>
      </c>
      <c r="B3386" s="1" t="s">
        <v>10493</v>
      </c>
      <c r="C3386" s="5" t="s">
        <v>0</v>
      </c>
      <c r="D3386" s="1" t="s">
        <v>10494</v>
      </c>
      <c r="F3386" s="1" t="s">
        <v>10495</v>
      </c>
      <c r="G3386" s="1" t="s">
        <v>10495</v>
      </c>
      <c r="H3386" s="1" t="s">
        <v>461</v>
      </c>
      <c r="I3386" s="1" t="s">
        <v>16</v>
      </c>
      <c r="J3386" s="1">
        <v>1</v>
      </c>
      <c r="K3386" s="1">
        <v>6</v>
      </c>
      <c r="L3386" s="1" t="s">
        <v>42</v>
      </c>
      <c r="M3386" s="1" t="s">
        <v>18</v>
      </c>
      <c r="N3386" s="1" t="s">
        <v>18</v>
      </c>
      <c r="O3386" s="1">
        <v>3</v>
      </c>
      <c r="P3386" s="1">
        <v>5</v>
      </c>
      <c r="R3386" s="1" t="s">
        <v>19</v>
      </c>
      <c r="S3386" s="1" t="s">
        <v>20</v>
      </c>
      <c r="T3386" s="1" t="s">
        <v>21</v>
      </c>
      <c r="U3386" s="1" t="s">
        <v>22</v>
      </c>
      <c r="V3386" s="1" t="s">
        <v>24</v>
      </c>
      <c r="W3386" s="1" t="s">
        <v>24</v>
      </c>
      <c r="X3386" s="1">
        <v>2700</v>
      </c>
      <c r="Y3386" s="1" t="s">
        <v>24</v>
      </c>
      <c r="Z3386" s="1" t="s">
        <v>24</v>
      </c>
      <c r="AA3386" s="1" t="s">
        <v>24</v>
      </c>
      <c r="AB3386" s="1" t="s">
        <v>24</v>
      </c>
      <c r="AC3386" s="1" t="s">
        <v>24</v>
      </c>
      <c r="AD3386" s="1" t="s">
        <v>24</v>
      </c>
      <c r="AE3386" s="1" t="s">
        <v>24</v>
      </c>
      <c r="AF3386" s="22"/>
    </row>
    <row r="3387" spans="1:32" x14ac:dyDescent="0.2">
      <c r="A3387" s="1">
        <v>27446</v>
      </c>
      <c r="B3387" s="1" t="s">
        <v>10496</v>
      </c>
      <c r="C3387" s="5" t="s">
        <v>0</v>
      </c>
      <c r="D3387" s="1" t="s">
        <v>10497</v>
      </c>
      <c r="F3387" s="1" t="s">
        <v>10498</v>
      </c>
      <c r="G3387" s="1" t="s">
        <v>10498</v>
      </c>
      <c r="H3387" s="1" t="s">
        <v>116</v>
      </c>
      <c r="I3387" s="1" t="s">
        <v>16</v>
      </c>
      <c r="J3387" s="1">
        <v>1</v>
      </c>
      <c r="K3387" s="1">
        <v>6</v>
      </c>
      <c r="L3387" s="1" t="s">
        <v>17</v>
      </c>
      <c r="M3387" s="1" t="s">
        <v>117</v>
      </c>
      <c r="N3387" s="1" t="s">
        <v>117</v>
      </c>
      <c r="O3387" s="1">
        <v>3</v>
      </c>
      <c r="P3387" s="1">
        <v>5</v>
      </c>
      <c r="R3387" s="1" t="s">
        <v>19</v>
      </c>
      <c r="S3387" s="1" t="s">
        <v>20</v>
      </c>
      <c r="T3387" s="1" t="s">
        <v>21</v>
      </c>
      <c r="U3387" s="1" t="s">
        <v>22</v>
      </c>
      <c r="V3387" s="1" t="s">
        <v>24</v>
      </c>
      <c r="W3387" s="1" t="s">
        <v>24</v>
      </c>
      <c r="X3387" s="1">
        <v>2712</v>
      </c>
      <c r="Y3387" s="1">
        <v>2724</v>
      </c>
      <c r="Z3387" s="1" t="s">
        <v>24</v>
      </c>
      <c r="AA3387" s="1" t="s">
        <v>24</v>
      </c>
      <c r="AB3387" s="1" t="s">
        <v>24</v>
      </c>
      <c r="AC3387" s="1" t="s">
        <v>24</v>
      </c>
      <c r="AD3387" s="1" t="s">
        <v>24</v>
      </c>
      <c r="AE3387" s="1" t="s">
        <v>24</v>
      </c>
      <c r="AF3387" s="22"/>
    </row>
    <row r="3388" spans="1:32" x14ac:dyDescent="0.2">
      <c r="A3388" s="1">
        <v>27447</v>
      </c>
      <c r="B3388" s="1" t="s">
        <v>10499</v>
      </c>
      <c r="C3388" s="5" t="s">
        <v>0</v>
      </c>
      <c r="D3388" s="1" t="s">
        <v>10500</v>
      </c>
      <c r="F3388" s="1" t="s">
        <v>1065</v>
      </c>
      <c r="G3388" s="1" t="s">
        <v>1065</v>
      </c>
      <c r="H3388" s="1" t="s">
        <v>1007</v>
      </c>
      <c r="I3388" s="1" t="s">
        <v>16</v>
      </c>
      <c r="J3388" s="1">
        <v>1</v>
      </c>
      <c r="K3388" s="1">
        <v>6</v>
      </c>
      <c r="L3388" s="1" t="s">
        <v>17</v>
      </c>
      <c r="M3388" s="1" t="s">
        <v>1008</v>
      </c>
      <c r="N3388" s="1" t="s">
        <v>1009</v>
      </c>
      <c r="O3388" s="1">
        <v>3</v>
      </c>
      <c r="P3388" s="1">
        <v>5</v>
      </c>
      <c r="R3388" s="1" t="s">
        <v>19</v>
      </c>
      <c r="S3388" s="1" t="s">
        <v>20</v>
      </c>
      <c r="T3388" s="1" t="s">
        <v>21</v>
      </c>
      <c r="U3388" s="1" t="s">
        <v>22</v>
      </c>
      <c r="V3388" s="1" t="s">
        <v>24</v>
      </c>
      <c r="W3388" s="1" t="s">
        <v>24</v>
      </c>
      <c r="X3388" s="1">
        <v>2739</v>
      </c>
      <c r="Y3388" s="1">
        <v>2726</v>
      </c>
      <c r="Z3388" s="1" t="s">
        <v>24</v>
      </c>
      <c r="AA3388" s="1" t="s">
        <v>24</v>
      </c>
      <c r="AB3388" s="1" t="s">
        <v>24</v>
      </c>
      <c r="AC3388" s="1" t="s">
        <v>24</v>
      </c>
      <c r="AD3388" s="1" t="s">
        <v>24</v>
      </c>
      <c r="AE3388" s="1" t="s">
        <v>24</v>
      </c>
      <c r="AF3388" s="22"/>
    </row>
    <row r="3389" spans="1:32" x14ac:dyDescent="0.2">
      <c r="A3389" s="1">
        <v>27448</v>
      </c>
      <c r="B3389" s="1" t="s">
        <v>10501</v>
      </c>
      <c r="C3389" s="5" t="s">
        <v>0</v>
      </c>
      <c r="D3389" s="1" t="s">
        <v>10502</v>
      </c>
      <c r="F3389" s="1" t="s">
        <v>10503</v>
      </c>
      <c r="G3389" s="1" t="s">
        <v>10503</v>
      </c>
      <c r="H3389" s="1" t="s">
        <v>1007</v>
      </c>
      <c r="I3389" s="1" t="s">
        <v>16</v>
      </c>
      <c r="J3389" s="1">
        <v>1</v>
      </c>
      <c r="K3389" s="1">
        <v>6</v>
      </c>
      <c r="L3389" s="1" t="s">
        <v>17</v>
      </c>
      <c r="M3389" s="1" t="s">
        <v>1008</v>
      </c>
      <c r="N3389" s="1" t="s">
        <v>1009</v>
      </c>
      <c r="O3389" s="1">
        <v>3</v>
      </c>
      <c r="P3389" s="1">
        <v>5</v>
      </c>
      <c r="R3389" s="1" t="s">
        <v>19</v>
      </c>
      <c r="S3389" s="1" t="s">
        <v>20</v>
      </c>
      <c r="T3389" s="1" t="s">
        <v>21</v>
      </c>
      <c r="U3389" s="1" t="s">
        <v>22</v>
      </c>
      <c r="V3389" s="1" t="s">
        <v>24</v>
      </c>
      <c r="W3389" s="1" t="s">
        <v>24</v>
      </c>
      <c r="X3389" s="1">
        <v>3004</v>
      </c>
      <c r="Y3389" s="1" t="s">
        <v>24</v>
      </c>
      <c r="Z3389" s="1" t="s">
        <v>24</v>
      </c>
      <c r="AA3389" s="1" t="s">
        <v>24</v>
      </c>
      <c r="AB3389" s="1" t="s">
        <v>24</v>
      </c>
      <c r="AC3389" s="1" t="s">
        <v>24</v>
      </c>
      <c r="AD3389" s="1" t="s">
        <v>24</v>
      </c>
      <c r="AE3389" s="1" t="s">
        <v>24</v>
      </c>
      <c r="AF3389" s="22"/>
    </row>
    <row r="3390" spans="1:32" x14ac:dyDescent="0.2">
      <c r="A3390" s="1">
        <v>27452</v>
      </c>
      <c r="B3390" s="1" t="s">
        <v>10504</v>
      </c>
      <c r="C3390" s="5" t="s">
        <v>0</v>
      </c>
      <c r="D3390" s="1" t="s">
        <v>10505</v>
      </c>
      <c r="F3390" s="1" t="s">
        <v>10506</v>
      </c>
      <c r="G3390" s="1" t="s">
        <v>10506</v>
      </c>
      <c r="H3390" s="1" t="s">
        <v>10507</v>
      </c>
      <c r="I3390" s="1" t="s">
        <v>16</v>
      </c>
      <c r="J3390" s="1">
        <v>0</v>
      </c>
      <c r="K3390" s="1">
        <v>0</v>
      </c>
      <c r="L3390" s="1" t="s">
        <v>42</v>
      </c>
      <c r="M3390" s="1" t="s">
        <v>10508</v>
      </c>
      <c r="N3390" s="1" t="s">
        <v>10508</v>
      </c>
      <c r="O3390" s="1">
        <v>3</v>
      </c>
      <c r="P3390" s="1">
        <v>6</v>
      </c>
      <c r="R3390" s="1" t="s">
        <v>19</v>
      </c>
      <c r="S3390" s="1" t="s">
        <v>20</v>
      </c>
      <c r="T3390" s="1" t="s">
        <v>21</v>
      </c>
      <c r="U3390" s="1" t="s">
        <v>22</v>
      </c>
      <c r="V3390" s="1" t="s">
        <v>24</v>
      </c>
      <c r="W3390" s="1" t="s">
        <v>24</v>
      </c>
      <c r="X3390" s="1">
        <v>2713</v>
      </c>
      <c r="Y3390" s="1" t="s">
        <v>24</v>
      </c>
      <c r="Z3390" s="1" t="s">
        <v>24</v>
      </c>
      <c r="AA3390" s="1" t="s">
        <v>24</v>
      </c>
      <c r="AB3390" s="1" t="s">
        <v>24</v>
      </c>
      <c r="AC3390" s="1" t="s">
        <v>24</v>
      </c>
      <c r="AD3390" s="1" t="s">
        <v>24</v>
      </c>
      <c r="AE3390" s="1" t="s">
        <v>24</v>
      </c>
      <c r="AF3390" s="22"/>
    </row>
    <row r="3391" spans="1:32" x14ac:dyDescent="0.2">
      <c r="A3391" s="1">
        <v>27454</v>
      </c>
      <c r="B3391" s="1" t="s">
        <v>10509</v>
      </c>
      <c r="C3391" s="5" t="s">
        <v>0</v>
      </c>
      <c r="D3391" s="1" t="s">
        <v>10510</v>
      </c>
      <c r="F3391" s="1" t="s">
        <v>10511</v>
      </c>
      <c r="G3391" s="1" t="s">
        <v>10511</v>
      </c>
      <c r="H3391" s="1" t="s">
        <v>899</v>
      </c>
      <c r="I3391" s="1" t="s">
        <v>16</v>
      </c>
      <c r="J3391" s="1">
        <v>1</v>
      </c>
      <c r="K3391" s="1">
        <v>4</v>
      </c>
      <c r="L3391" s="1" t="s">
        <v>42</v>
      </c>
      <c r="M3391" s="1" t="s">
        <v>18</v>
      </c>
      <c r="N3391" s="1" t="s">
        <v>18</v>
      </c>
      <c r="O3391" s="1">
        <v>2</v>
      </c>
      <c r="P3391" s="1">
        <v>5</v>
      </c>
      <c r="R3391" s="1" t="s">
        <v>19</v>
      </c>
      <c r="S3391" s="1" t="s">
        <v>63</v>
      </c>
      <c r="T3391" s="1" t="s">
        <v>21</v>
      </c>
      <c r="U3391" s="1" t="s">
        <v>22</v>
      </c>
      <c r="V3391" s="1" t="s">
        <v>24</v>
      </c>
      <c r="W3391" s="1" t="s">
        <v>24</v>
      </c>
      <c r="X3391" s="1">
        <v>2700</v>
      </c>
      <c r="Y3391" s="1" t="s">
        <v>24</v>
      </c>
      <c r="Z3391" s="1" t="s">
        <v>24</v>
      </c>
      <c r="AA3391" s="1" t="s">
        <v>24</v>
      </c>
      <c r="AB3391" s="1" t="s">
        <v>24</v>
      </c>
      <c r="AC3391" s="1" t="s">
        <v>24</v>
      </c>
      <c r="AD3391" s="1" t="s">
        <v>24</v>
      </c>
      <c r="AE3391" s="1" t="s">
        <v>24</v>
      </c>
      <c r="AF3391" s="22"/>
    </row>
    <row r="3392" spans="1:32" x14ac:dyDescent="0.2">
      <c r="A3392" s="1">
        <v>27455</v>
      </c>
      <c r="B3392" s="1" t="s">
        <v>10512</v>
      </c>
      <c r="C3392" s="5" t="s">
        <v>0</v>
      </c>
      <c r="D3392" s="1" t="s">
        <v>10513</v>
      </c>
      <c r="F3392" s="1" t="s">
        <v>10514</v>
      </c>
      <c r="G3392" s="1" t="s">
        <v>10515</v>
      </c>
      <c r="H3392" s="1" t="s">
        <v>233</v>
      </c>
      <c r="I3392" s="1" t="s">
        <v>16</v>
      </c>
      <c r="J3392" s="1">
        <v>1</v>
      </c>
      <c r="K3392" s="1">
        <v>4</v>
      </c>
      <c r="L3392" s="1" t="s">
        <v>31</v>
      </c>
      <c r="M3392" s="1" t="s">
        <v>117</v>
      </c>
      <c r="N3392" s="1" t="s">
        <v>118</v>
      </c>
      <c r="O3392" s="1">
        <v>3</v>
      </c>
      <c r="P3392" s="1">
        <v>6</v>
      </c>
      <c r="R3392" s="1" t="s">
        <v>19</v>
      </c>
      <c r="S3392" s="1" t="s">
        <v>20</v>
      </c>
      <c r="T3392" s="1" t="s">
        <v>21</v>
      </c>
      <c r="U3392" s="1" t="s">
        <v>22</v>
      </c>
      <c r="V3392" s="1" t="s">
        <v>24</v>
      </c>
      <c r="W3392" s="1" t="s">
        <v>24</v>
      </c>
      <c r="X3392" s="1">
        <v>2727</v>
      </c>
      <c r="Y3392" s="1">
        <v>2747</v>
      </c>
      <c r="Z3392" s="1" t="s">
        <v>24</v>
      </c>
      <c r="AA3392" s="1" t="s">
        <v>24</v>
      </c>
      <c r="AB3392" s="1" t="s">
        <v>24</v>
      </c>
      <c r="AC3392" s="1" t="s">
        <v>24</v>
      </c>
      <c r="AD3392" s="1" t="s">
        <v>24</v>
      </c>
      <c r="AE3392" s="1" t="s">
        <v>24</v>
      </c>
      <c r="AF3392" s="22"/>
    </row>
    <row r="3393" spans="1:32" x14ac:dyDescent="0.2">
      <c r="A3393" s="1">
        <v>27456</v>
      </c>
      <c r="B3393" s="1" t="s">
        <v>10516</v>
      </c>
      <c r="C3393" s="5" t="s">
        <v>0</v>
      </c>
      <c r="D3393" s="1" t="s">
        <v>10517</v>
      </c>
      <c r="F3393" s="1" t="s">
        <v>9974</v>
      </c>
      <c r="G3393" s="1" t="s">
        <v>9974</v>
      </c>
      <c r="H3393" s="1" t="s">
        <v>30</v>
      </c>
      <c r="I3393" s="1" t="s">
        <v>16</v>
      </c>
      <c r="J3393" s="1">
        <v>1</v>
      </c>
      <c r="K3393" s="1">
        <v>1</v>
      </c>
      <c r="L3393" s="1" t="s">
        <v>17</v>
      </c>
      <c r="M3393" s="1" t="s">
        <v>18</v>
      </c>
      <c r="N3393" s="1" t="s">
        <v>18</v>
      </c>
      <c r="O3393" s="1">
        <v>0</v>
      </c>
      <c r="P3393" s="1">
        <v>5</v>
      </c>
      <c r="R3393" s="1" t="s">
        <v>19</v>
      </c>
      <c r="S3393" s="1" t="s">
        <v>20</v>
      </c>
      <c r="T3393" s="1" t="s">
        <v>21</v>
      </c>
      <c r="U3393" s="1" t="s">
        <v>22</v>
      </c>
      <c r="V3393" s="1" t="s">
        <v>24</v>
      </c>
      <c r="W3393" s="1" t="s">
        <v>24</v>
      </c>
      <c r="X3393" s="1">
        <v>2730</v>
      </c>
      <c r="Y3393" s="1">
        <v>2720</v>
      </c>
      <c r="Z3393" s="1" t="s">
        <v>24</v>
      </c>
      <c r="AA3393" s="1" t="s">
        <v>24</v>
      </c>
      <c r="AB3393" s="1" t="s">
        <v>24</v>
      </c>
      <c r="AC3393" s="1" t="s">
        <v>24</v>
      </c>
      <c r="AD3393" s="1" t="s">
        <v>24</v>
      </c>
      <c r="AE3393" s="1" t="s">
        <v>24</v>
      </c>
      <c r="AF3393" s="22"/>
    </row>
    <row r="3394" spans="1:32" x14ac:dyDescent="0.2">
      <c r="A3394" s="1">
        <v>27457</v>
      </c>
      <c r="B3394" s="1" t="s">
        <v>10518</v>
      </c>
      <c r="C3394" s="5" t="s">
        <v>0</v>
      </c>
      <c r="D3394" s="1" t="s">
        <v>10519</v>
      </c>
      <c r="E3394" s="1" t="s">
        <v>10520</v>
      </c>
      <c r="F3394" s="1" t="s">
        <v>6173</v>
      </c>
      <c r="G3394" s="1" t="s">
        <v>6173</v>
      </c>
      <c r="H3394" s="1" t="s">
        <v>1384</v>
      </c>
      <c r="I3394" s="1" t="s">
        <v>16</v>
      </c>
      <c r="J3394" s="1">
        <v>1</v>
      </c>
      <c r="K3394" s="1">
        <v>6</v>
      </c>
      <c r="L3394" s="1" t="s">
        <v>42</v>
      </c>
      <c r="M3394" s="1" t="s">
        <v>18</v>
      </c>
      <c r="N3394" s="1" t="s">
        <v>18</v>
      </c>
      <c r="O3394" s="1">
        <v>3</v>
      </c>
      <c r="P3394" s="1">
        <v>5</v>
      </c>
      <c r="R3394" s="1" t="s">
        <v>19</v>
      </c>
      <c r="S3394" s="1" t="s">
        <v>20</v>
      </c>
      <c r="T3394" s="1" t="s">
        <v>21</v>
      </c>
      <c r="U3394" s="1" t="s">
        <v>22</v>
      </c>
      <c r="V3394" s="1" t="s">
        <v>23</v>
      </c>
      <c r="W3394" s="1" t="s">
        <v>24</v>
      </c>
      <c r="X3394" s="1">
        <v>2741</v>
      </c>
      <c r="Y3394" s="1">
        <v>2705</v>
      </c>
      <c r="Z3394" s="1" t="s">
        <v>24</v>
      </c>
      <c r="AA3394" s="1" t="s">
        <v>24</v>
      </c>
      <c r="AB3394" s="1" t="s">
        <v>24</v>
      </c>
      <c r="AC3394" s="1" t="s">
        <v>24</v>
      </c>
      <c r="AD3394" s="1" t="s">
        <v>24</v>
      </c>
      <c r="AE3394" s="1" t="s">
        <v>24</v>
      </c>
      <c r="AF3394" s="22"/>
    </row>
    <row r="3395" spans="1:32" x14ac:dyDescent="0.2">
      <c r="A3395" s="1">
        <v>27458</v>
      </c>
      <c r="B3395" s="1" t="s">
        <v>10521</v>
      </c>
      <c r="C3395" s="5" t="s">
        <v>0</v>
      </c>
      <c r="D3395" s="1" t="s">
        <v>10522</v>
      </c>
      <c r="E3395" s="1" t="s">
        <v>10523</v>
      </c>
      <c r="F3395" s="1" t="s">
        <v>155</v>
      </c>
      <c r="G3395" s="1" t="s">
        <v>61</v>
      </c>
      <c r="H3395" s="1" t="s">
        <v>37</v>
      </c>
      <c r="I3395" s="1" t="s">
        <v>16</v>
      </c>
      <c r="J3395" s="1">
        <v>1</v>
      </c>
      <c r="K3395" s="1">
        <v>4</v>
      </c>
      <c r="L3395" s="1" t="s">
        <v>31</v>
      </c>
      <c r="M3395" s="1" t="s">
        <v>18</v>
      </c>
      <c r="N3395" s="1" t="s">
        <v>18</v>
      </c>
      <c r="O3395" s="1">
        <v>3</v>
      </c>
      <c r="P3395" s="1">
        <v>5</v>
      </c>
      <c r="R3395" s="1" t="s">
        <v>19</v>
      </c>
      <c r="S3395" s="1" t="s">
        <v>20</v>
      </c>
      <c r="T3395" s="1" t="s">
        <v>21</v>
      </c>
      <c r="U3395" s="1" t="s">
        <v>22</v>
      </c>
      <c r="V3395" s="1" t="s">
        <v>24</v>
      </c>
      <c r="W3395" s="1" t="s">
        <v>24</v>
      </c>
      <c r="X3395" s="1">
        <v>2729</v>
      </c>
      <c r="Y3395" s="1" t="s">
        <v>24</v>
      </c>
      <c r="Z3395" s="1" t="s">
        <v>24</v>
      </c>
      <c r="AA3395" s="1" t="s">
        <v>24</v>
      </c>
      <c r="AB3395" s="1" t="s">
        <v>24</v>
      </c>
      <c r="AC3395" s="1" t="s">
        <v>24</v>
      </c>
      <c r="AD3395" s="1" t="s">
        <v>24</v>
      </c>
      <c r="AE3395" s="1" t="s">
        <v>24</v>
      </c>
      <c r="AF3395" s="22"/>
    </row>
    <row r="3396" spans="1:32" x14ac:dyDescent="0.2">
      <c r="A3396" s="1">
        <v>27461</v>
      </c>
      <c r="B3396" s="1" t="s">
        <v>10524</v>
      </c>
      <c r="C3396" s="5" t="s">
        <v>0</v>
      </c>
      <c r="D3396" s="1" t="s">
        <v>10525</v>
      </c>
      <c r="F3396" s="1" t="s">
        <v>10526</v>
      </c>
      <c r="G3396" s="1" t="s">
        <v>10526</v>
      </c>
      <c r="H3396" s="1" t="s">
        <v>10527</v>
      </c>
      <c r="I3396" s="1" t="s">
        <v>16</v>
      </c>
      <c r="J3396" s="1">
        <v>1</v>
      </c>
      <c r="K3396" s="1">
        <v>4</v>
      </c>
      <c r="L3396" s="1" t="s">
        <v>42</v>
      </c>
      <c r="M3396" s="1" t="s">
        <v>18</v>
      </c>
      <c r="N3396" s="1" t="s">
        <v>18</v>
      </c>
      <c r="O3396" s="1">
        <v>3</v>
      </c>
      <c r="P3396" s="1">
        <v>6</v>
      </c>
      <c r="R3396" s="1" t="s">
        <v>19</v>
      </c>
      <c r="S3396" s="1" t="s">
        <v>20</v>
      </c>
      <c r="T3396" s="1" t="s">
        <v>21</v>
      </c>
      <c r="U3396" s="1" t="s">
        <v>22</v>
      </c>
      <c r="V3396" s="1" t="s">
        <v>24</v>
      </c>
      <c r="W3396" s="1" t="s">
        <v>24</v>
      </c>
      <c r="X3396" s="1">
        <v>2700</v>
      </c>
      <c r="Y3396" s="1" t="s">
        <v>24</v>
      </c>
      <c r="Z3396" s="1" t="s">
        <v>24</v>
      </c>
      <c r="AA3396" s="1" t="s">
        <v>24</v>
      </c>
      <c r="AB3396" s="1" t="s">
        <v>24</v>
      </c>
      <c r="AC3396" s="1" t="s">
        <v>24</v>
      </c>
      <c r="AD3396" s="1" t="s">
        <v>24</v>
      </c>
      <c r="AE3396" s="1" t="s">
        <v>24</v>
      </c>
      <c r="AF3396" s="22"/>
    </row>
    <row r="3397" spans="1:32" x14ac:dyDescent="0.2">
      <c r="A3397" s="1">
        <v>27464</v>
      </c>
      <c r="B3397" s="1" t="s">
        <v>10528</v>
      </c>
      <c r="C3397" s="5" t="s">
        <v>0</v>
      </c>
      <c r="D3397" s="1" t="s">
        <v>10529</v>
      </c>
      <c r="F3397" s="1" t="s">
        <v>10530</v>
      </c>
      <c r="G3397" s="1" t="s">
        <v>10530</v>
      </c>
      <c r="H3397" s="1" t="s">
        <v>1007</v>
      </c>
      <c r="I3397" s="1" t="s">
        <v>16</v>
      </c>
      <c r="J3397" s="1">
        <v>1</v>
      </c>
      <c r="K3397" s="1">
        <v>12</v>
      </c>
      <c r="L3397" s="1" t="s">
        <v>42</v>
      </c>
      <c r="M3397" s="1" t="s">
        <v>4418</v>
      </c>
      <c r="N3397" s="1" t="s">
        <v>4418</v>
      </c>
      <c r="O3397" s="1">
        <v>3</v>
      </c>
      <c r="P3397" s="1">
        <v>5</v>
      </c>
      <c r="R3397" s="1" t="s">
        <v>19</v>
      </c>
      <c r="S3397" s="1" t="s">
        <v>20</v>
      </c>
      <c r="T3397" s="1" t="s">
        <v>21</v>
      </c>
      <c r="U3397" s="1" t="s">
        <v>22</v>
      </c>
      <c r="V3397" s="1" t="s">
        <v>24</v>
      </c>
      <c r="W3397" s="1" t="s">
        <v>24</v>
      </c>
      <c r="X3397" s="1">
        <v>2735</v>
      </c>
      <c r="Y3397" s="1" t="s">
        <v>24</v>
      </c>
      <c r="Z3397" s="1" t="s">
        <v>24</v>
      </c>
      <c r="AA3397" s="1" t="s">
        <v>24</v>
      </c>
      <c r="AB3397" s="1" t="s">
        <v>24</v>
      </c>
      <c r="AC3397" s="1" t="s">
        <v>24</v>
      </c>
      <c r="AD3397" s="1" t="s">
        <v>24</v>
      </c>
      <c r="AE3397" s="1" t="s">
        <v>24</v>
      </c>
      <c r="AF3397" s="22"/>
    </row>
    <row r="3398" spans="1:32" x14ac:dyDescent="0.2">
      <c r="A3398" s="1">
        <v>27467</v>
      </c>
      <c r="B3398" s="1" t="s">
        <v>10531</v>
      </c>
      <c r="C3398" s="5" t="s">
        <v>0</v>
      </c>
      <c r="D3398" s="1" t="s">
        <v>10532</v>
      </c>
      <c r="F3398" s="1" t="s">
        <v>570</v>
      </c>
      <c r="G3398" s="1" t="s">
        <v>1734</v>
      </c>
      <c r="H3398" s="1" t="s">
        <v>116</v>
      </c>
      <c r="I3398" s="1" t="s">
        <v>16</v>
      </c>
      <c r="J3398" s="1">
        <v>1</v>
      </c>
      <c r="K3398" s="1">
        <v>4</v>
      </c>
      <c r="L3398" s="1" t="s">
        <v>17</v>
      </c>
      <c r="M3398" s="1" t="s">
        <v>117</v>
      </c>
      <c r="N3398" s="1" t="s">
        <v>226</v>
      </c>
      <c r="O3398" s="1">
        <v>3</v>
      </c>
      <c r="P3398" s="1">
        <v>5</v>
      </c>
      <c r="R3398" s="1" t="s">
        <v>19</v>
      </c>
      <c r="S3398" s="1" t="s">
        <v>20</v>
      </c>
      <c r="T3398" s="1" t="s">
        <v>21</v>
      </c>
      <c r="U3398" s="1" t="s">
        <v>22</v>
      </c>
      <c r="V3398" s="1" t="s">
        <v>23</v>
      </c>
      <c r="W3398" s="1" t="s">
        <v>24</v>
      </c>
      <c r="X3398" s="1">
        <v>2729</v>
      </c>
      <c r="Y3398" s="1" t="s">
        <v>24</v>
      </c>
      <c r="Z3398" s="1" t="s">
        <v>24</v>
      </c>
      <c r="AA3398" s="1" t="s">
        <v>24</v>
      </c>
      <c r="AB3398" s="1" t="s">
        <v>24</v>
      </c>
      <c r="AC3398" s="1" t="s">
        <v>24</v>
      </c>
      <c r="AD3398" s="1" t="s">
        <v>24</v>
      </c>
      <c r="AE3398" s="1" t="s">
        <v>24</v>
      </c>
      <c r="AF3398" s="22"/>
    </row>
    <row r="3399" spans="1:32" x14ac:dyDescent="0.2">
      <c r="A3399" s="1">
        <v>27468</v>
      </c>
      <c r="B3399" s="1" t="s">
        <v>10533</v>
      </c>
      <c r="C3399" s="5" t="s">
        <v>0</v>
      </c>
      <c r="D3399" s="1" t="s">
        <v>10534</v>
      </c>
      <c r="F3399" s="1" t="s">
        <v>570</v>
      </c>
      <c r="G3399" s="1" t="s">
        <v>1734</v>
      </c>
      <c r="H3399" s="1" t="s">
        <v>116</v>
      </c>
      <c r="I3399" s="1" t="s">
        <v>16</v>
      </c>
      <c r="J3399" s="1">
        <v>1</v>
      </c>
      <c r="K3399" s="1">
        <v>10</v>
      </c>
      <c r="L3399" s="1" t="s">
        <v>17</v>
      </c>
      <c r="M3399" s="1" t="s">
        <v>117</v>
      </c>
      <c r="N3399" s="1" t="s">
        <v>118</v>
      </c>
      <c r="O3399" s="1">
        <v>3</v>
      </c>
      <c r="P3399" s="1">
        <v>5</v>
      </c>
      <c r="R3399" s="1" t="s">
        <v>19</v>
      </c>
      <c r="S3399" s="1" t="s">
        <v>20</v>
      </c>
      <c r="T3399" s="1" t="s">
        <v>21</v>
      </c>
      <c r="U3399" s="1" t="s">
        <v>22</v>
      </c>
      <c r="V3399" s="1" t="s">
        <v>23</v>
      </c>
      <c r="W3399" s="1" t="s">
        <v>24</v>
      </c>
      <c r="X3399" s="1">
        <v>3003</v>
      </c>
      <c r="Y3399" s="1">
        <v>3004</v>
      </c>
      <c r="Z3399" s="1">
        <v>2736</v>
      </c>
      <c r="AA3399" s="1" t="s">
        <v>24</v>
      </c>
      <c r="AB3399" s="1" t="s">
        <v>24</v>
      </c>
      <c r="AC3399" s="1" t="s">
        <v>24</v>
      </c>
      <c r="AD3399" s="1" t="s">
        <v>24</v>
      </c>
      <c r="AE3399" s="1" t="s">
        <v>24</v>
      </c>
      <c r="AF3399" s="22"/>
    </row>
    <row r="3400" spans="1:32" x14ac:dyDescent="0.2">
      <c r="A3400" s="1">
        <v>27469</v>
      </c>
      <c r="B3400" s="1" t="s">
        <v>10535</v>
      </c>
      <c r="C3400" s="5" t="s">
        <v>0</v>
      </c>
      <c r="D3400" s="1" t="s">
        <v>10536</v>
      </c>
      <c r="F3400" s="1" t="s">
        <v>6159</v>
      </c>
      <c r="G3400" s="1" t="s">
        <v>6159</v>
      </c>
      <c r="H3400" s="1" t="s">
        <v>168</v>
      </c>
      <c r="I3400" s="1" t="s">
        <v>16</v>
      </c>
      <c r="J3400" s="1">
        <v>1</v>
      </c>
      <c r="K3400" s="1">
        <v>4</v>
      </c>
      <c r="L3400" s="1" t="s">
        <v>17</v>
      </c>
      <c r="M3400" s="1" t="s">
        <v>413</v>
      </c>
      <c r="N3400" s="1" t="s">
        <v>679</v>
      </c>
      <c r="O3400" s="1">
        <v>3</v>
      </c>
      <c r="P3400" s="1">
        <v>5</v>
      </c>
      <c r="R3400" s="1" t="s">
        <v>19</v>
      </c>
      <c r="S3400" s="1" t="s">
        <v>20</v>
      </c>
      <c r="T3400" s="1" t="s">
        <v>21</v>
      </c>
      <c r="U3400" s="1" t="s">
        <v>22</v>
      </c>
      <c r="V3400" s="1" t="s">
        <v>24</v>
      </c>
      <c r="W3400" s="1" t="s">
        <v>24</v>
      </c>
      <c r="X3400" s="1">
        <v>2808</v>
      </c>
      <c r="Y3400" s="1">
        <v>2728</v>
      </c>
      <c r="Z3400" s="1" t="s">
        <v>24</v>
      </c>
      <c r="AA3400" s="1" t="s">
        <v>24</v>
      </c>
      <c r="AB3400" s="1" t="s">
        <v>24</v>
      </c>
      <c r="AC3400" s="1" t="s">
        <v>24</v>
      </c>
      <c r="AD3400" s="1" t="s">
        <v>24</v>
      </c>
      <c r="AE3400" s="1" t="s">
        <v>24</v>
      </c>
      <c r="AF3400" s="22"/>
    </row>
    <row r="3401" spans="1:32" x14ac:dyDescent="0.2">
      <c r="A3401" s="1">
        <v>27470</v>
      </c>
      <c r="B3401" s="1" t="s">
        <v>10537</v>
      </c>
      <c r="C3401" s="5" t="s">
        <v>0</v>
      </c>
      <c r="D3401" s="1" t="s">
        <v>10538</v>
      </c>
      <c r="E3401" s="1" t="s">
        <v>10539</v>
      </c>
      <c r="F3401" s="1" t="s">
        <v>35</v>
      </c>
      <c r="G3401" s="1" t="s">
        <v>36</v>
      </c>
      <c r="H3401" s="1" t="s">
        <v>37</v>
      </c>
      <c r="I3401" s="1" t="s">
        <v>16</v>
      </c>
      <c r="J3401" s="1">
        <v>1</v>
      </c>
      <c r="K3401" s="1">
        <v>4</v>
      </c>
      <c r="L3401" s="1" t="s">
        <v>31</v>
      </c>
      <c r="M3401" s="1" t="s">
        <v>18</v>
      </c>
      <c r="N3401" s="1" t="s">
        <v>18</v>
      </c>
      <c r="O3401" s="1">
        <v>3</v>
      </c>
      <c r="P3401" s="1">
        <v>7</v>
      </c>
      <c r="Q3401" s="7" t="s">
        <v>17633</v>
      </c>
      <c r="R3401" s="1" t="s">
        <v>19</v>
      </c>
      <c r="S3401" s="1" t="s">
        <v>20</v>
      </c>
      <c r="T3401" s="1" t="s">
        <v>21</v>
      </c>
      <c r="U3401" s="1" t="s">
        <v>22</v>
      </c>
      <c r="V3401" s="1" t="s">
        <v>23</v>
      </c>
      <c r="W3401" s="1" t="s">
        <v>24</v>
      </c>
      <c r="X3401" s="1">
        <v>2739</v>
      </c>
      <c r="Y3401" s="1">
        <v>2729</v>
      </c>
      <c r="Z3401" s="1">
        <v>2735</v>
      </c>
      <c r="AA3401" s="1">
        <v>2916</v>
      </c>
      <c r="AB3401" s="1" t="s">
        <v>24</v>
      </c>
      <c r="AC3401" s="1" t="s">
        <v>24</v>
      </c>
      <c r="AD3401" s="1" t="s">
        <v>24</v>
      </c>
      <c r="AE3401" s="1" t="s">
        <v>24</v>
      </c>
      <c r="AF3401" s="22"/>
    </row>
    <row r="3402" spans="1:32" x14ac:dyDescent="0.2">
      <c r="A3402" s="1">
        <v>27471</v>
      </c>
      <c r="B3402" s="1" t="s">
        <v>10540</v>
      </c>
      <c r="C3402" s="5" t="s">
        <v>0</v>
      </c>
      <c r="D3402" s="1" t="s">
        <v>10541</v>
      </c>
      <c r="E3402" s="1" t="s">
        <v>10542</v>
      </c>
      <c r="F3402" s="1" t="s">
        <v>291</v>
      </c>
      <c r="G3402" s="1" t="s">
        <v>292</v>
      </c>
      <c r="H3402" s="1" t="s">
        <v>37</v>
      </c>
      <c r="I3402" s="1" t="s">
        <v>16</v>
      </c>
      <c r="J3402" s="1">
        <v>1</v>
      </c>
      <c r="K3402" s="1">
        <v>12</v>
      </c>
      <c r="L3402" s="1" t="s">
        <v>31</v>
      </c>
      <c r="M3402" s="1" t="s">
        <v>18</v>
      </c>
      <c r="N3402" s="1" t="s">
        <v>18</v>
      </c>
      <c r="O3402" s="1">
        <v>3</v>
      </c>
      <c r="P3402" s="1">
        <v>6</v>
      </c>
      <c r="R3402" s="1" t="s">
        <v>19</v>
      </c>
      <c r="S3402" s="1" t="s">
        <v>20</v>
      </c>
      <c r="T3402" s="1" t="s">
        <v>21</v>
      </c>
      <c r="U3402" s="1" t="s">
        <v>22</v>
      </c>
      <c r="V3402" s="1" t="s">
        <v>24</v>
      </c>
      <c r="W3402" s="1" t="s">
        <v>24</v>
      </c>
      <c r="X3402" s="1">
        <v>3003</v>
      </c>
      <c r="Y3402" s="1" t="s">
        <v>24</v>
      </c>
      <c r="Z3402" s="1" t="s">
        <v>24</v>
      </c>
      <c r="AA3402" s="1" t="s">
        <v>24</v>
      </c>
      <c r="AB3402" s="1" t="s">
        <v>24</v>
      </c>
      <c r="AC3402" s="1" t="s">
        <v>24</v>
      </c>
      <c r="AD3402" s="1" t="s">
        <v>24</v>
      </c>
      <c r="AE3402" s="1" t="s">
        <v>24</v>
      </c>
      <c r="AF3402" s="22"/>
    </row>
    <row r="3403" spans="1:32" x14ac:dyDescent="0.2">
      <c r="A3403" s="1">
        <v>27472</v>
      </c>
      <c r="B3403" s="1" t="s">
        <v>10543</v>
      </c>
      <c r="C3403" s="5" t="s">
        <v>0</v>
      </c>
      <c r="D3403" s="1" t="s">
        <v>10544</v>
      </c>
      <c r="E3403" s="1" t="s">
        <v>10545</v>
      </c>
      <c r="F3403" s="1" t="s">
        <v>272</v>
      </c>
      <c r="G3403" s="1" t="s">
        <v>61</v>
      </c>
      <c r="H3403" s="1" t="s">
        <v>30</v>
      </c>
      <c r="I3403" s="1" t="s">
        <v>16</v>
      </c>
      <c r="J3403" s="1">
        <v>1</v>
      </c>
      <c r="K3403" s="1">
        <v>4</v>
      </c>
      <c r="L3403" s="1" t="s">
        <v>31</v>
      </c>
      <c r="M3403" s="1" t="s">
        <v>18</v>
      </c>
      <c r="N3403" s="1" t="s">
        <v>18</v>
      </c>
      <c r="O3403" s="1">
        <v>3</v>
      </c>
      <c r="P3403" s="1">
        <v>7</v>
      </c>
      <c r="Q3403" s="7" t="s">
        <v>17633</v>
      </c>
      <c r="R3403" s="1" t="s">
        <v>19</v>
      </c>
      <c r="S3403" s="1" t="s">
        <v>20</v>
      </c>
      <c r="T3403" s="1" t="s">
        <v>21</v>
      </c>
      <c r="U3403" s="1" t="s">
        <v>22</v>
      </c>
      <c r="V3403" s="1" t="s">
        <v>23</v>
      </c>
      <c r="W3403" s="1" t="s">
        <v>24</v>
      </c>
      <c r="X3403" s="1">
        <v>2902</v>
      </c>
      <c r="Y3403" s="1">
        <v>3614</v>
      </c>
      <c r="Z3403" s="1" t="s">
        <v>24</v>
      </c>
      <c r="AA3403" s="1" t="s">
        <v>24</v>
      </c>
      <c r="AB3403" s="1" t="s">
        <v>24</v>
      </c>
      <c r="AC3403" s="1" t="s">
        <v>24</v>
      </c>
      <c r="AD3403" s="1" t="s">
        <v>24</v>
      </c>
      <c r="AE3403" s="1" t="s">
        <v>24</v>
      </c>
      <c r="AF3403" s="22"/>
    </row>
    <row r="3404" spans="1:32" x14ac:dyDescent="0.2">
      <c r="A3404" s="1">
        <v>27473</v>
      </c>
      <c r="B3404" s="1" t="s">
        <v>10546</v>
      </c>
      <c r="C3404" s="5" t="s">
        <v>0</v>
      </c>
      <c r="D3404" s="1" t="s">
        <v>10547</v>
      </c>
      <c r="E3404" s="1" t="s">
        <v>10548</v>
      </c>
      <c r="F3404" s="1" t="s">
        <v>167</v>
      </c>
      <c r="G3404" s="1" t="s">
        <v>130</v>
      </c>
      <c r="H3404" s="1" t="s">
        <v>168</v>
      </c>
      <c r="I3404" s="1" t="s">
        <v>16</v>
      </c>
      <c r="J3404" s="1">
        <v>1</v>
      </c>
      <c r="K3404" s="1">
        <v>4</v>
      </c>
      <c r="L3404" s="1" t="s">
        <v>31</v>
      </c>
      <c r="M3404" s="1" t="s">
        <v>413</v>
      </c>
      <c r="N3404" s="1" t="s">
        <v>679</v>
      </c>
      <c r="O3404" s="1">
        <v>3</v>
      </c>
      <c r="P3404" s="1">
        <v>5</v>
      </c>
      <c r="R3404" s="1" t="s">
        <v>19</v>
      </c>
      <c r="S3404" s="1" t="s">
        <v>20</v>
      </c>
      <c r="T3404" s="1" t="s">
        <v>21</v>
      </c>
      <c r="U3404" s="1" t="s">
        <v>22</v>
      </c>
      <c r="V3404" s="1" t="s">
        <v>24</v>
      </c>
      <c r="W3404" s="1" t="s">
        <v>24</v>
      </c>
      <c r="X3404" s="1">
        <v>2729</v>
      </c>
      <c r="Y3404" s="1">
        <v>2712</v>
      </c>
      <c r="Z3404" s="1">
        <v>2743</v>
      </c>
      <c r="AA3404" s="1">
        <v>2735</v>
      </c>
      <c r="AB3404" s="1" t="s">
        <v>24</v>
      </c>
      <c r="AC3404" s="1" t="s">
        <v>24</v>
      </c>
      <c r="AD3404" s="1" t="s">
        <v>24</v>
      </c>
      <c r="AE3404" s="1" t="s">
        <v>24</v>
      </c>
      <c r="AF3404" s="22"/>
    </row>
    <row r="3405" spans="1:32" x14ac:dyDescent="0.2">
      <c r="A3405" s="1">
        <v>27474</v>
      </c>
      <c r="B3405" s="1" t="s">
        <v>10549</v>
      </c>
      <c r="C3405" s="5" t="s">
        <v>0</v>
      </c>
      <c r="D3405" s="1" t="s">
        <v>10550</v>
      </c>
      <c r="E3405" s="1" t="s">
        <v>10551</v>
      </c>
      <c r="F3405" s="1" t="s">
        <v>315</v>
      </c>
      <c r="G3405" s="1" t="s">
        <v>316</v>
      </c>
      <c r="H3405" s="1" t="s">
        <v>37</v>
      </c>
      <c r="I3405" s="1" t="s">
        <v>16</v>
      </c>
      <c r="J3405" s="1">
        <v>1</v>
      </c>
      <c r="K3405" s="1">
        <v>12</v>
      </c>
      <c r="L3405" s="1" t="s">
        <v>31</v>
      </c>
      <c r="M3405" s="1" t="s">
        <v>18</v>
      </c>
      <c r="N3405" s="1" t="s">
        <v>18</v>
      </c>
      <c r="O3405" s="1">
        <v>3</v>
      </c>
      <c r="P3405" s="1">
        <v>7</v>
      </c>
      <c r="Q3405" s="7" t="s">
        <v>17633</v>
      </c>
      <c r="R3405" s="1" t="s">
        <v>62</v>
      </c>
      <c r="S3405" s="1" t="s">
        <v>20</v>
      </c>
      <c r="T3405" s="1" t="s">
        <v>21</v>
      </c>
      <c r="U3405" s="1" t="s">
        <v>22</v>
      </c>
      <c r="V3405" s="1" t="s">
        <v>24</v>
      </c>
      <c r="W3405" s="1" t="s">
        <v>24</v>
      </c>
      <c r="X3405" s="1">
        <v>1305</v>
      </c>
      <c r="Y3405" s="1">
        <v>1312</v>
      </c>
      <c r="Z3405" s="1">
        <v>1303</v>
      </c>
      <c r="AA3405" s="1">
        <v>1307</v>
      </c>
      <c r="AB3405" s="1" t="s">
        <v>24</v>
      </c>
      <c r="AC3405" s="1" t="s">
        <v>24</v>
      </c>
      <c r="AD3405" s="1" t="s">
        <v>24</v>
      </c>
      <c r="AE3405" s="1" t="s">
        <v>24</v>
      </c>
      <c r="AF3405" s="22"/>
    </row>
    <row r="3406" spans="1:32" x14ac:dyDescent="0.2">
      <c r="A3406" s="1">
        <v>27475</v>
      </c>
      <c r="B3406" s="1" t="s">
        <v>10552</v>
      </c>
      <c r="C3406" s="5" t="s">
        <v>0</v>
      </c>
      <c r="D3406" s="1" t="s">
        <v>10553</v>
      </c>
      <c r="E3406" s="1" t="s">
        <v>10554</v>
      </c>
      <c r="F3406" s="1" t="s">
        <v>10191</v>
      </c>
      <c r="G3406" s="1" t="s">
        <v>10192</v>
      </c>
      <c r="H3406" s="1" t="s">
        <v>30</v>
      </c>
      <c r="I3406" s="1" t="s">
        <v>16</v>
      </c>
      <c r="J3406" s="1">
        <v>1</v>
      </c>
      <c r="K3406" s="1">
        <v>12</v>
      </c>
      <c r="L3406" s="1" t="s">
        <v>42</v>
      </c>
      <c r="M3406" s="1" t="s">
        <v>18</v>
      </c>
      <c r="N3406" s="1" t="s">
        <v>18</v>
      </c>
      <c r="O3406" s="1">
        <v>3</v>
      </c>
      <c r="P3406" s="1">
        <v>6</v>
      </c>
      <c r="R3406" s="1" t="s">
        <v>62</v>
      </c>
      <c r="S3406" s="1" t="s">
        <v>20</v>
      </c>
      <c r="T3406" s="1" t="s">
        <v>21</v>
      </c>
      <c r="U3406" s="1" t="s">
        <v>22</v>
      </c>
      <c r="V3406" s="1" t="s">
        <v>24</v>
      </c>
      <c r="W3406" s="1" t="s">
        <v>24</v>
      </c>
      <c r="X3406" s="1">
        <v>2700</v>
      </c>
      <c r="Y3406" s="1" t="s">
        <v>24</v>
      </c>
      <c r="Z3406" s="1" t="s">
        <v>24</v>
      </c>
      <c r="AA3406" s="1" t="s">
        <v>24</v>
      </c>
      <c r="AB3406" s="1" t="s">
        <v>24</v>
      </c>
      <c r="AC3406" s="1" t="s">
        <v>24</v>
      </c>
      <c r="AD3406" s="1" t="s">
        <v>24</v>
      </c>
      <c r="AE3406" s="1" t="s">
        <v>24</v>
      </c>
      <c r="AF3406" s="22"/>
    </row>
    <row r="3407" spans="1:32" x14ac:dyDescent="0.2">
      <c r="A3407" s="1">
        <v>27477</v>
      </c>
      <c r="B3407" s="1" t="s">
        <v>10555</v>
      </c>
      <c r="C3407" s="5" t="s">
        <v>0</v>
      </c>
      <c r="D3407" s="1" t="s">
        <v>10556</v>
      </c>
      <c r="F3407" s="1" t="s">
        <v>8784</v>
      </c>
      <c r="G3407" s="1" t="s">
        <v>2146</v>
      </c>
      <c r="H3407" s="1" t="s">
        <v>2147</v>
      </c>
      <c r="I3407" s="1" t="s">
        <v>16</v>
      </c>
      <c r="J3407" s="1">
        <v>1</v>
      </c>
      <c r="K3407" s="1">
        <v>6</v>
      </c>
      <c r="L3407" s="1" t="s">
        <v>42</v>
      </c>
      <c r="M3407" s="1" t="s">
        <v>18</v>
      </c>
      <c r="N3407" s="1" t="s">
        <v>18</v>
      </c>
      <c r="O3407" s="1">
        <v>3</v>
      </c>
      <c r="P3407" s="1">
        <v>6</v>
      </c>
      <c r="R3407" s="1" t="s">
        <v>19</v>
      </c>
      <c r="S3407" s="1" t="s">
        <v>20</v>
      </c>
      <c r="T3407" s="1" t="s">
        <v>21</v>
      </c>
      <c r="U3407" s="1" t="s">
        <v>22</v>
      </c>
      <c r="V3407" s="1" t="s">
        <v>23</v>
      </c>
      <c r="W3407" s="1" t="s">
        <v>24</v>
      </c>
      <c r="X3407" s="1">
        <v>2739</v>
      </c>
      <c r="Y3407" s="1" t="s">
        <v>24</v>
      </c>
      <c r="Z3407" s="1" t="s">
        <v>24</v>
      </c>
      <c r="AA3407" s="1" t="s">
        <v>24</v>
      </c>
      <c r="AB3407" s="1" t="s">
        <v>24</v>
      </c>
      <c r="AC3407" s="1" t="s">
        <v>24</v>
      </c>
      <c r="AD3407" s="1" t="s">
        <v>24</v>
      </c>
      <c r="AE3407" s="1" t="s">
        <v>24</v>
      </c>
      <c r="AF3407" s="22"/>
    </row>
    <row r="3408" spans="1:32" x14ac:dyDescent="0.2">
      <c r="A3408" s="1">
        <v>27478</v>
      </c>
      <c r="B3408" s="1" t="s">
        <v>10557</v>
      </c>
      <c r="C3408" s="5" t="s">
        <v>0</v>
      </c>
      <c r="D3408" s="1" t="s">
        <v>10558</v>
      </c>
      <c r="E3408" s="1" t="s">
        <v>10559</v>
      </c>
      <c r="F3408" s="1" t="s">
        <v>97</v>
      </c>
      <c r="G3408" s="1" t="s">
        <v>98</v>
      </c>
      <c r="H3408" s="1" t="s">
        <v>37</v>
      </c>
      <c r="I3408" s="1" t="s">
        <v>16</v>
      </c>
      <c r="J3408" s="1">
        <v>1</v>
      </c>
      <c r="K3408" s="1">
        <v>4</v>
      </c>
      <c r="L3408" s="1" t="s">
        <v>31</v>
      </c>
      <c r="M3408" s="1" t="s">
        <v>18</v>
      </c>
      <c r="N3408" s="1" t="s">
        <v>18</v>
      </c>
      <c r="O3408" s="1">
        <v>3</v>
      </c>
      <c r="P3408" s="1">
        <v>7</v>
      </c>
      <c r="Q3408" s="7" t="s">
        <v>17633</v>
      </c>
      <c r="R3408" s="1" t="s">
        <v>19</v>
      </c>
      <c r="S3408" s="1" t="s">
        <v>20</v>
      </c>
      <c r="T3408" s="1" t="s">
        <v>21</v>
      </c>
      <c r="U3408" s="1" t="s">
        <v>22</v>
      </c>
      <c r="V3408" s="1" t="s">
        <v>24</v>
      </c>
      <c r="W3408" s="1" t="s">
        <v>24</v>
      </c>
      <c r="X3408" s="1">
        <v>2740</v>
      </c>
      <c r="Y3408" s="1" t="s">
        <v>24</v>
      </c>
      <c r="Z3408" s="1" t="s">
        <v>24</v>
      </c>
      <c r="AA3408" s="1" t="s">
        <v>24</v>
      </c>
      <c r="AB3408" s="1" t="s">
        <v>24</v>
      </c>
      <c r="AC3408" s="1" t="s">
        <v>24</v>
      </c>
      <c r="AD3408" s="1" t="s">
        <v>24</v>
      </c>
      <c r="AE3408" s="1" t="s">
        <v>24</v>
      </c>
      <c r="AF3408" s="22"/>
    </row>
    <row r="3409" spans="1:32" x14ac:dyDescent="0.2">
      <c r="A3409" s="1">
        <v>27479</v>
      </c>
      <c r="B3409" s="1" t="s">
        <v>10560</v>
      </c>
      <c r="C3409" s="5" t="s">
        <v>0</v>
      </c>
      <c r="D3409" s="1" t="s">
        <v>10561</v>
      </c>
      <c r="E3409" s="1" t="s">
        <v>10562</v>
      </c>
      <c r="F3409" s="1" t="s">
        <v>9039</v>
      </c>
      <c r="G3409" s="1" t="s">
        <v>292</v>
      </c>
      <c r="H3409" s="1" t="s">
        <v>37</v>
      </c>
      <c r="I3409" s="1" t="s">
        <v>16</v>
      </c>
      <c r="J3409" s="1">
        <v>1</v>
      </c>
      <c r="K3409" s="1">
        <v>6</v>
      </c>
      <c r="L3409" s="1" t="s">
        <v>31</v>
      </c>
      <c r="M3409" s="1" t="s">
        <v>18</v>
      </c>
      <c r="N3409" s="1" t="s">
        <v>18</v>
      </c>
      <c r="O3409" s="1">
        <v>3</v>
      </c>
      <c r="P3409" s="1">
        <v>6</v>
      </c>
      <c r="R3409" s="1" t="s">
        <v>19</v>
      </c>
      <c r="S3409" s="1" t="s">
        <v>20</v>
      </c>
      <c r="T3409" s="1" t="s">
        <v>21</v>
      </c>
      <c r="U3409" s="1" t="s">
        <v>22</v>
      </c>
      <c r="V3409" s="1" t="s">
        <v>23</v>
      </c>
      <c r="W3409" s="1" t="s">
        <v>24</v>
      </c>
      <c r="X3409" s="1">
        <v>2746</v>
      </c>
      <c r="Y3409" s="1">
        <v>2204</v>
      </c>
      <c r="Z3409" s="1" t="s">
        <v>24</v>
      </c>
      <c r="AA3409" s="1" t="s">
        <v>24</v>
      </c>
      <c r="AB3409" s="1" t="s">
        <v>24</v>
      </c>
      <c r="AC3409" s="1" t="s">
        <v>24</v>
      </c>
      <c r="AD3409" s="1" t="s">
        <v>24</v>
      </c>
      <c r="AE3409" s="1" t="s">
        <v>24</v>
      </c>
      <c r="AF3409" s="22"/>
    </row>
    <row r="3410" spans="1:32" x14ac:dyDescent="0.2">
      <c r="A3410" s="1">
        <v>27480</v>
      </c>
      <c r="B3410" s="1" t="s">
        <v>10563</v>
      </c>
      <c r="C3410" s="5" t="s">
        <v>0</v>
      </c>
      <c r="D3410" s="1" t="s">
        <v>10564</v>
      </c>
      <c r="E3410" s="1" t="s">
        <v>10565</v>
      </c>
      <c r="F3410" s="1" t="s">
        <v>97</v>
      </c>
      <c r="G3410" s="1" t="s">
        <v>98</v>
      </c>
      <c r="H3410" s="1" t="s">
        <v>37</v>
      </c>
      <c r="I3410" s="1" t="s">
        <v>16</v>
      </c>
      <c r="J3410" s="1">
        <v>1</v>
      </c>
      <c r="K3410" s="1">
        <v>6</v>
      </c>
      <c r="L3410" s="1" t="s">
        <v>31</v>
      </c>
      <c r="M3410" s="1" t="s">
        <v>18</v>
      </c>
      <c r="N3410" s="1" t="s">
        <v>18</v>
      </c>
      <c r="O3410" s="1">
        <v>3</v>
      </c>
      <c r="P3410" s="1">
        <v>7</v>
      </c>
      <c r="Q3410" s="7" t="s">
        <v>17633</v>
      </c>
      <c r="R3410" s="1" t="s">
        <v>19</v>
      </c>
      <c r="S3410" s="1" t="s">
        <v>20</v>
      </c>
      <c r="T3410" s="1" t="s">
        <v>21</v>
      </c>
      <c r="U3410" s="1" t="s">
        <v>22</v>
      </c>
      <c r="V3410" s="1" t="s">
        <v>24</v>
      </c>
      <c r="W3410" s="1" t="s">
        <v>24</v>
      </c>
      <c r="X3410" s="1">
        <v>2700</v>
      </c>
      <c r="Y3410" s="1">
        <v>3004</v>
      </c>
      <c r="Z3410" s="1" t="s">
        <v>24</v>
      </c>
      <c r="AA3410" s="1" t="s">
        <v>24</v>
      </c>
      <c r="AB3410" s="1" t="s">
        <v>24</v>
      </c>
      <c r="AC3410" s="1" t="s">
        <v>24</v>
      </c>
      <c r="AD3410" s="1" t="s">
        <v>24</v>
      </c>
      <c r="AE3410" s="1" t="s">
        <v>24</v>
      </c>
      <c r="AF3410" s="22"/>
    </row>
    <row r="3411" spans="1:32" x14ac:dyDescent="0.2">
      <c r="A3411" s="1">
        <v>27481</v>
      </c>
      <c r="B3411" s="1" t="s">
        <v>10566</v>
      </c>
      <c r="C3411" s="5" t="s">
        <v>0</v>
      </c>
      <c r="E3411" s="1" t="s">
        <v>10567</v>
      </c>
      <c r="F3411" s="1" t="s">
        <v>155</v>
      </c>
      <c r="G3411" s="1" t="s">
        <v>61</v>
      </c>
      <c r="H3411" s="1" t="s">
        <v>37</v>
      </c>
      <c r="I3411" s="1" t="s">
        <v>16</v>
      </c>
      <c r="J3411" s="1">
        <v>1</v>
      </c>
      <c r="K3411" s="1">
        <v>4</v>
      </c>
      <c r="L3411" s="1" t="s">
        <v>31</v>
      </c>
      <c r="M3411" s="1" t="s">
        <v>18</v>
      </c>
      <c r="N3411" s="1" t="s">
        <v>18</v>
      </c>
      <c r="O3411" s="1">
        <v>3</v>
      </c>
      <c r="P3411" s="1">
        <v>6</v>
      </c>
      <c r="R3411" s="1" t="s">
        <v>19</v>
      </c>
      <c r="S3411" s="1" t="s">
        <v>20</v>
      </c>
      <c r="T3411" s="1" t="s">
        <v>21</v>
      </c>
      <c r="U3411" s="1" t="s">
        <v>22</v>
      </c>
      <c r="V3411" s="1" t="s">
        <v>24</v>
      </c>
      <c r="W3411" s="1" t="s">
        <v>24</v>
      </c>
      <c r="X3411" s="1">
        <v>3002</v>
      </c>
      <c r="Y3411" s="1">
        <v>1313</v>
      </c>
      <c r="Z3411" s="1" t="s">
        <v>24</v>
      </c>
      <c r="AA3411" s="1" t="s">
        <v>24</v>
      </c>
      <c r="AB3411" s="1" t="s">
        <v>24</v>
      </c>
      <c r="AC3411" s="1" t="s">
        <v>24</v>
      </c>
      <c r="AD3411" s="1" t="s">
        <v>24</v>
      </c>
      <c r="AE3411" s="1" t="s">
        <v>24</v>
      </c>
      <c r="AF3411" s="22"/>
    </row>
    <row r="3412" spans="1:32" x14ac:dyDescent="0.2">
      <c r="A3412" s="1">
        <v>27482</v>
      </c>
      <c r="B3412" s="1" t="s">
        <v>10568</v>
      </c>
      <c r="C3412" s="5" t="s">
        <v>0</v>
      </c>
      <c r="E3412" s="1" t="s">
        <v>10569</v>
      </c>
      <c r="F3412" s="1" t="s">
        <v>155</v>
      </c>
      <c r="G3412" s="1" t="s">
        <v>61</v>
      </c>
      <c r="H3412" s="1" t="s">
        <v>37</v>
      </c>
      <c r="I3412" s="1" t="s">
        <v>16</v>
      </c>
      <c r="J3412" s="1">
        <v>1</v>
      </c>
      <c r="K3412" s="1">
        <v>4</v>
      </c>
      <c r="L3412" s="1" t="s">
        <v>31</v>
      </c>
      <c r="M3412" s="1" t="s">
        <v>18</v>
      </c>
      <c r="N3412" s="1" t="s">
        <v>18</v>
      </c>
      <c r="O3412" s="1">
        <v>3</v>
      </c>
      <c r="P3412" s="1">
        <v>6</v>
      </c>
      <c r="R3412" s="1" t="s">
        <v>19</v>
      </c>
      <c r="S3412" s="1" t="s">
        <v>20</v>
      </c>
      <c r="T3412" s="1" t="s">
        <v>21</v>
      </c>
      <c r="U3412" s="1" t="s">
        <v>22</v>
      </c>
      <c r="V3412" s="1" t="s">
        <v>24</v>
      </c>
      <c r="W3412" s="1" t="s">
        <v>24</v>
      </c>
      <c r="X3412" s="1">
        <v>3002</v>
      </c>
      <c r="Y3412" s="1">
        <v>1313</v>
      </c>
      <c r="Z3412" s="1" t="s">
        <v>24</v>
      </c>
      <c r="AA3412" s="1" t="s">
        <v>24</v>
      </c>
      <c r="AB3412" s="1" t="s">
        <v>24</v>
      </c>
      <c r="AC3412" s="1" t="s">
        <v>24</v>
      </c>
      <c r="AD3412" s="1" t="s">
        <v>24</v>
      </c>
      <c r="AE3412" s="1" t="s">
        <v>24</v>
      </c>
      <c r="AF3412" s="22"/>
    </row>
    <row r="3413" spans="1:32" x14ac:dyDescent="0.2">
      <c r="A3413" s="1">
        <v>27484</v>
      </c>
      <c r="B3413" s="1" t="s">
        <v>10570</v>
      </c>
      <c r="C3413" s="5" t="s">
        <v>0</v>
      </c>
      <c r="E3413" s="1" t="s">
        <v>10571</v>
      </c>
      <c r="F3413" s="1" t="s">
        <v>155</v>
      </c>
      <c r="G3413" s="1" t="s">
        <v>61</v>
      </c>
      <c r="H3413" s="1" t="s">
        <v>37</v>
      </c>
      <c r="I3413" s="1" t="s">
        <v>16</v>
      </c>
      <c r="J3413" s="1">
        <v>1</v>
      </c>
      <c r="K3413" s="1">
        <v>4</v>
      </c>
      <c r="L3413" s="1" t="s">
        <v>31</v>
      </c>
      <c r="M3413" s="1" t="s">
        <v>18</v>
      </c>
      <c r="N3413" s="1" t="s">
        <v>18</v>
      </c>
      <c r="O3413" s="1">
        <v>3</v>
      </c>
      <c r="P3413" s="1">
        <v>6</v>
      </c>
      <c r="R3413" s="1" t="s">
        <v>19</v>
      </c>
      <c r="S3413" s="1" t="s">
        <v>20</v>
      </c>
      <c r="T3413" s="1" t="s">
        <v>21</v>
      </c>
      <c r="U3413" s="1" t="s">
        <v>22</v>
      </c>
      <c r="V3413" s="1" t="s">
        <v>24</v>
      </c>
      <c r="W3413" s="1" t="s">
        <v>24</v>
      </c>
      <c r="X3413" s="1">
        <v>3002</v>
      </c>
      <c r="Y3413" s="1">
        <v>1305</v>
      </c>
      <c r="Z3413" s="1">
        <v>1313</v>
      </c>
      <c r="AA3413" s="1" t="s">
        <v>24</v>
      </c>
      <c r="AB3413" s="1" t="s">
        <v>24</v>
      </c>
      <c r="AC3413" s="1" t="s">
        <v>24</v>
      </c>
      <c r="AD3413" s="1" t="s">
        <v>24</v>
      </c>
      <c r="AE3413" s="1" t="s">
        <v>24</v>
      </c>
      <c r="AF3413" s="22"/>
    </row>
    <row r="3414" spans="1:32" x14ac:dyDescent="0.2">
      <c r="A3414" s="1">
        <v>27485</v>
      </c>
      <c r="B3414" s="1" t="s">
        <v>10572</v>
      </c>
      <c r="C3414" s="5" t="s">
        <v>0</v>
      </c>
      <c r="E3414" s="1" t="s">
        <v>10573</v>
      </c>
      <c r="F3414" s="1" t="s">
        <v>155</v>
      </c>
      <c r="G3414" s="1" t="s">
        <v>61</v>
      </c>
      <c r="H3414" s="1" t="s">
        <v>37</v>
      </c>
      <c r="I3414" s="1" t="s">
        <v>16</v>
      </c>
      <c r="J3414" s="1">
        <v>1</v>
      </c>
      <c r="K3414" s="1">
        <v>4</v>
      </c>
      <c r="L3414" s="1" t="s">
        <v>31</v>
      </c>
      <c r="M3414" s="1" t="s">
        <v>18</v>
      </c>
      <c r="N3414" s="1" t="s">
        <v>18</v>
      </c>
      <c r="O3414" s="1">
        <v>3</v>
      </c>
      <c r="P3414" s="1">
        <v>6</v>
      </c>
      <c r="R3414" s="1" t="s">
        <v>19</v>
      </c>
      <c r="S3414" s="1" t="s">
        <v>20</v>
      </c>
      <c r="T3414" s="1" t="s">
        <v>21</v>
      </c>
      <c r="U3414" s="1" t="s">
        <v>22</v>
      </c>
      <c r="V3414" s="1" t="s">
        <v>24</v>
      </c>
      <c r="W3414" s="1" t="s">
        <v>24</v>
      </c>
      <c r="X3414" s="1">
        <v>3002</v>
      </c>
      <c r="Y3414" s="1">
        <v>3004</v>
      </c>
      <c r="Z3414" s="1">
        <v>1313</v>
      </c>
      <c r="AA3414" s="1" t="s">
        <v>24</v>
      </c>
      <c r="AB3414" s="1" t="s">
        <v>24</v>
      </c>
      <c r="AC3414" s="1" t="s">
        <v>24</v>
      </c>
      <c r="AD3414" s="1" t="s">
        <v>24</v>
      </c>
      <c r="AE3414" s="1" t="s">
        <v>24</v>
      </c>
      <c r="AF3414" s="22"/>
    </row>
    <row r="3415" spans="1:32" x14ac:dyDescent="0.2">
      <c r="A3415" s="1">
        <v>27486</v>
      </c>
      <c r="B3415" s="1" t="s">
        <v>10574</v>
      </c>
      <c r="C3415" s="5" t="s">
        <v>0</v>
      </c>
      <c r="D3415" s="1" t="s">
        <v>10575</v>
      </c>
      <c r="F3415" s="1" t="s">
        <v>10576</v>
      </c>
      <c r="G3415" s="1" t="s">
        <v>10576</v>
      </c>
      <c r="H3415" s="1" t="s">
        <v>466</v>
      </c>
      <c r="I3415" s="1" t="s">
        <v>16</v>
      </c>
      <c r="J3415" s="1">
        <v>1</v>
      </c>
      <c r="K3415" s="1">
        <v>2</v>
      </c>
      <c r="L3415" s="1" t="s">
        <v>42</v>
      </c>
      <c r="M3415" s="1" t="s">
        <v>70</v>
      </c>
      <c r="N3415" s="1" t="s">
        <v>75</v>
      </c>
      <c r="O3415" s="1">
        <v>3</v>
      </c>
      <c r="P3415" s="1">
        <v>6</v>
      </c>
      <c r="R3415" s="1" t="s">
        <v>19</v>
      </c>
      <c r="S3415" s="1" t="s">
        <v>20</v>
      </c>
      <c r="T3415" s="1" t="s">
        <v>21</v>
      </c>
      <c r="U3415" s="1" t="s">
        <v>22</v>
      </c>
      <c r="V3415" s="1" t="s">
        <v>24</v>
      </c>
      <c r="W3415" s="1" t="s">
        <v>24</v>
      </c>
      <c r="X3415" s="1">
        <v>2728</v>
      </c>
      <c r="Y3415" s="1">
        <v>2804</v>
      </c>
      <c r="Z3415" s="1" t="s">
        <v>24</v>
      </c>
      <c r="AA3415" s="1" t="s">
        <v>24</v>
      </c>
      <c r="AB3415" s="1" t="s">
        <v>24</v>
      </c>
      <c r="AC3415" s="1" t="s">
        <v>24</v>
      </c>
      <c r="AD3415" s="1" t="s">
        <v>24</v>
      </c>
      <c r="AE3415" s="1" t="s">
        <v>24</v>
      </c>
      <c r="AF3415" s="22"/>
    </row>
    <row r="3416" spans="1:32" x14ac:dyDescent="0.2">
      <c r="A3416" s="1">
        <v>27487</v>
      </c>
      <c r="B3416" s="1" t="s">
        <v>10577</v>
      </c>
      <c r="C3416" s="5" t="s">
        <v>0</v>
      </c>
      <c r="D3416" s="1" t="s">
        <v>10578</v>
      </c>
      <c r="E3416" s="1" t="s">
        <v>10579</v>
      </c>
      <c r="F3416" s="1" t="s">
        <v>1260</v>
      </c>
      <c r="G3416" s="1" t="s">
        <v>130</v>
      </c>
      <c r="H3416" s="1" t="s">
        <v>111</v>
      </c>
      <c r="I3416" s="1" t="s">
        <v>16</v>
      </c>
      <c r="J3416" s="1">
        <v>1</v>
      </c>
      <c r="K3416" s="1">
        <v>4</v>
      </c>
      <c r="L3416" s="1" t="s">
        <v>31</v>
      </c>
      <c r="M3416" s="1" t="s">
        <v>18</v>
      </c>
      <c r="N3416" s="1" t="s">
        <v>18</v>
      </c>
      <c r="O3416" s="1">
        <v>3</v>
      </c>
      <c r="P3416" s="1">
        <v>7</v>
      </c>
      <c r="Q3416" s="7" t="s">
        <v>17633</v>
      </c>
      <c r="R3416" s="1" t="s">
        <v>19</v>
      </c>
      <c r="S3416" s="1" t="s">
        <v>20</v>
      </c>
      <c r="T3416" s="1" t="s">
        <v>21</v>
      </c>
      <c r="U3416" s="1" t="s">
        <v>22</v>
      </c>
      <c r="V3416" s="1" t="s">
        <v>24</v>
      </c>
      <c r="W3416" s="1" t="s">
        <v>24</v>
      </c>
      <c r="X3416" s="1">
        <v>2705</v>
      </c>
      <c r="Y3416" s="1">
        <v>2724</v>
      </c>
      <c r="Z3416" s="1" t="s">
        <v>24</v>
      </c>
      <c r="AA3416" s="1" t="s">
        <v>24</v>
      </c>
      <c r="AB3416" s="1" t="s">
        <v>24</v>
      </c>
      <c r="AC3416" s="1" t="s">
        <v>24</v>
      </c>
      <c r="AD3416" s="1" t="s">
        <v>24</v>
      </c>
      <c r="AE3416" s="1" t="s">
        <v>24</v>
      </c>
      <c r="AF3416" s="22"/>
    </row>
    <row r="3417" spans="1:32" x14ac:dyDescent="0.2">
      <c r="A3417" s="1">
        <v>27488</v>
      </c>
      <c r="B3417" s="1" t="s">
        <v>10580</v>
      </c>
      <c r="C3417" s="5" t="s">
        <v>0</v>
      </c>
      <c r="D3417" s="1" t="s">
        <v>10581</v>
      </c>
      <c r="E3417" s="1" t="s">
        <v>10582</v>
      </c>
      <c r="F3417" s="1" t="s">
        <v>1808</v>
      </c>
      <c r="G3417" s="1" t="s">
        <v>130</v>
      </c>
      <c r="H3417" s="1" t="s">
        <v>461</v>
      </c>
      <c r="I3417" s="1" t="s">
        <v>16</v>
      </c>
      <c r="J3417" s="1">
        <v>1</v>
      </c>
      <c r="K3417" s="1">
        <v>4</v>
      </c>
      <c r="L3417" s="1" t="s">
        <v>31</v>
      </c>
      <c r="M3417" s="1" t="s">
        <v>18</v>
      </c>
      <c r="N3417" s="1" t="s">
        <v>18</v>
      </c>
      <c r="O3417" s="1">
        <v>3</v>
      </c>
      <c r="P3417" s="1">
        <v>7</v>
      </c>
      <c r="Q3417" s="7" t="s">
        <v>17633</v>
      </c>
      <c r="R3417" s="1" t="s">
        <v>19</v>
      </c>
      <c r="S3417" s="1" t="s">
        <v>20</v>
      </c>
      <c r="T3417" s="1" t="s">
        <v>21</v>
      </c>
      <c r="U3417" s="1" t="s">
        <v>22</v>
      </c>
      <c r="V3417" s="1" t="s">
        <v>24</v>
      </c>
      <c r="W3417" s="1" t="s">
        <v>24</v>
      </c>
      <c r="X3417" s="1">
        <v>2715</v>
      </c>
      <c r="Y3417" s="1" t="s">
        <v>24</v>
      </c>
      <c r="Z3417" s="1" t="s">
        <v>24</v>
      </c>
      <c r="AA3417" s="1" t="s">
        <v>24</v>
      </c>
      <c r="AB3417" s="1" t="s">
        <v>24</v>
      </c>
      <c r="AC3417" s="1" t="s">
        <v>24</v>
      </c>
      <c r="AD3417" s="1" t="s">
        <v>24</v>
      </c>
      <c r="AE3417" s="1" t="s">
        <v>24</v>
      </c>
      <c r="AF3417" s="22"/>
    </row>
    <row r="3418" spans="1:32" x14ac:dyDescent="0.2">
      <c r="A3418" s="1">
        <v>27490</v>
      </c>
      <c r="B3418" s="1" t="s">
        <v>10583</v>
      </c>
      <c r="C3418" s="5" t="s">
        <v>0</v>
      </c>
      <c r="D3418" s="1" t="s">
        <v>10584</v>
      </c>
      <c r="E3418" s="1" t="s">
        <v>10585</v>
      </c>
      <c r="F3418" s="1" t="s">
        <v>167</v>
      </c>
      <c r="G3418" s="1" t="s">
        <v>130</v>
      </c>
      <c r="H3418" s="1" t="s">
        <v>168</v>
      </c>
      <c r="I3418" s="1" t="s">
        <v>16</v>
      </c>
      <c r="J3418" s="1">
        <v>1</v>
      </c>
      <c r="K3418" s="1">
        <v>4</v>
      </c>
      <c r="L3418" s="1" t="s">
        <v>31</v>
      </c>
      <c r="M3418" s="1" t="s">
        <v>18</v>
      </c>
      <c r="N3418" s="1" t="s">
        <v>18</v>
      </c>
      <c r="O3418" s="1">
        <v>3</v>
      </c>
      <c r="P3418" s="1">
        <v>7</v>
      </c>
      <c r="Q3418" s="7" t="s">
        <v>17633</v>
      </c>
      <c r="R3418" s="1" t="s">
        <v>19</v>
      </c>
      <c r="S3418" s="1" t="s">
        <v>20</v>
      </c>
      <c r="T3418" s="1" t="s">
        <v>21</v>
      </c>
      <c r="U3418" s="1" t="s">
        <v>22</v>
      </c>
      <c r="V3418" s="1" t="s">
        <v>24</v>
      </c>
      <c r="W3418" s="1" t="s">
        <v>24</v>
      </c>
      <c r="X3418" s="1">
        <v>2805</v>
      </c>
      <c r="Y3418" s="1">
        <v>3205</v>
      </c>
      <c r="Z3418" s="1">
        <v>1702</v>
      </c>
      <c r="AA3418" s="1" t="s">
        <v>24</v>
      </c>
      <c r="AB3418" s="1" t="s">
        <v>24</v>
      </c>
      <c r="AC3418" s="1" t="s">
        <v>24</v>
      </c>
      <c r="AD3418" s="1" t="s">
        <v>24</v>
      </c>
      <c r="AE3418" s="1" t="s">
        <v>24</v>
      </c>
      <c r="AF3418" s="22"/>
    </row>
    <row r="3419" spans="1:32" x14ac:dyDescent="0.2">
      <c r="A3419" s="1">
        <v>27491</v>
      </c>
      <c r="B3419" s="1" t="s">
        <v>10586</v>
      </c>
      <c r="C3419" s="5" t="s">
        <v>0</v>
      </c>
      <c r="D3419" s="1" t="s">
        <v>10587</v>
      </c>
      <c r="E3419" s="1" t="s">
        <v>10588</v>
      </c>
      <c r="F3419" s="1" t="s">
        <v>167</v>
      </c>
      <c r="G3419" s="1" t="s">
        <v>130</v>
      </c>
      <c r="H3419" s="1" t="s">
        <v>168</v>
      </c>
      <c r="I3419" s="1" t="s">
        <v>16</v>
      </c>
      <c r="J3419" s="1">
        <v>1</v>
      </c>
      <c r="K3419" s="1">
        <v>4</v>
      </c>
      <c r="L3419" s="1" t="s">
        <v>31</v>
      </c>
      <c r="M3419" s="1" t="s">
        <v>18</v>
      </c>
      <c r="N3419" s="1" t="s">
        <v>18</v>
      </c>
      <c r="O3419" s="1">
        <v>3</v>
      </c>
      <c r="P3419" s="1">
        <v>6</v>
      </c>
      <c r="R3419" s="1" t="s">
        <v>19</v>
      </c>
      <c r="S3419" s="1" t="s">
        <v>20</v>
      </c>
      <c r="T3419" s="1" t="s">
        <v>21</v>
      </c>
      <c r="U3419" s="1" t="s">
        <v>22</v>
      </c>
      <c r="V3419" s="1" t="s">
        <v>23</v>
      </c>
      <c r="W3419" s="1" t="s">
        <v>24</v>
      </c>
      <c r="X3419" s="1">
        <v>2729</v>
      </c>
      <c r="Y3419" s="1">
        <v>2746</v>
      </c>
      <c r="Z3419" s="1" t="s">
        <v>24</v>
      </c>
      <c r="AA3419" s="1" t="s">
        <v>24</v>
      </c>
      <c r="AB3419" s="1" t="s">
        <v>24</v>
      </c>
      <c r="AC3419" s="1" t="s">
        <v>24</v>
      </c>
      <c r="AD3419" s="1" t="s">
        <v>24</v>
      </c>
      <c r="AE3419" s="1" t="s">
        <v>24</v>
      </c>
      <c r="AF3419" s="22"/>
    </row>
    <row r="3420" spans="1:32" x14ac:dyDescent="0.2">
      <c r="A3420" s="1">
        <v>27493</v>
      </c>
      <c r="B3420" s="1" t="s">
        <v>10589</v>
      </c>
      <c r="C3420" s="5" t="s">
        <v>0</v>
      </c>
      <c r="D3420" s="1" t="s">
        <v>10590</v>
      </c>
      <c r="E3420" s="1" t="s">
        <v>10591</v>
      </c>
      <c r="F3420" s="1" t="s">
        <v>198</v>
      </c>
      <c r="G3420" s="1" t="s">
        <v>130</v>
      </c>
      <c r="H3420" s="1" t="s">
        <v>86</v>
      </c>
      <c r="I3420" s="1" t="s">
        <v>16</v>
      </c>
      <c r="J3420" s="1">
        <v>1</v>
      </c>
      <c r="K3420" s="1">
        <v>6</v>
      </c>
      <c r="L3420" s="1" t="s">
        <v>31</v>
      </c>
      <c r="M3420" s="1" t="s">
        <v>87</v>
      </c>
      <c r="N3420" s="1" t="s">
        <v>87</v>
      </c>
      <c r="O3420" s="1">
        <v>0</v>
      </c>
      <c r="P3420" s="1">
        <v>5</v>
      </c>
      <c r="R3420" s="1" t="s">
        <v>19</v>
      </c>
      <c r="S3420" s="1" t="s">
        <v>20</v>
      </c>
      <c r="T3420" s="1" t="s">
        <v>21</v>
      </c>
      <c r="U3420" s="1" t="s">
        <v>22</v>
      </c>
      <c r="V3420" s="1" t="s">
        <v>23</v>
      </c>
      <c r="W3420" s="1" t="s">
        <v>24</v>
      </c>
      <c r="X3420" s="1">
        <v>3004</v>
      </c>
      <c r="Y3420" s="1">
        <v>2707</v>
      </c>
      <c r="Z3420" s="1" t="s">
        <v>24</v>
      </c>
      <c r="AA3420" s="1" t="s">
        <v>24</v>
      </c>
      <c r="AB3420" s="1" t="s">
        <v>24</v>
      </c>
      <c r="AC3420" s="1" t="s">
        <v>24</v>
      </c>
      <c r="AD3420" s="1" t="s">
        <v>24</v>
      </c>
      <c r="AE3420" s="1" t="s">
        <v>24</v>
      </c>
      <c r="AF3420" s="22"/>
    </row>
    <row r="3421" spans="1:32" x14ac:dyDescent="0.2">
      <c r="A3421" s="1">
        <v>27494</v>
      </c>
      <c r="B3421" s="1" t="s">
        <v>10592</v>
      </c>
      <c r="C3421" s="5" t="s">
        <v>0</v>
      </c>
      <c r="D3421" s="1" t="s">
        <v>10593</v>
      </c>
      <c r="F3421" s="1" t="s">
        <v>272</v>
      </c>
      <c r="G3421" s="1" t="s">
        <v>61</v>
      </c>
      <c r="H3421" s="1" t="s">
        <v>30</v>
      </c>
      <c r="I3421" s="1" t="s">
        <v>16</v>
      </c>
      <c r="J3421" s="1">
        <v>1</v>
      </c>
      <c r="K3421" s="1">
        <v>12</v>
      </c>
      <c r="L3421" s="1" t="s">
        <v>31</v>
      </c>
      <c r="M3421" s="1" t="s">
        <v>18</v>
      </c>
      <c r="N3421" s="1" t="s">
        <v>18</v>
      </c>
      <c r="O3421" s="1">
        <v>2</v>
      </c>
      <c r="P3421" s="1">
        <v>6</v>
      </c>
      <c r="R3421" s="1" t="s">
        <v>19</v>
      </c>
      <c r="S3421" s="1" t="s">
        <v>20</v>
      </c>
      <c r="T3421" s="1" t="s">
        <v>21</v>
      </c>
      <c r="U3421" s="1" t="s">
        <v>22</v>
      </c>
      <c r="V3421" s="1" t="s">
        <v>23</v>
      </c>
      <c r="W3421" s="1" t="s">
        <v>24</v>
      </c>
      <c r="X3421" s="1">
        <v>2730</v>
      </c>
      <c r="Y3421" s="1">
        <v>2720</v>
      </c>
      <c r="Z3421" s="1" t="s">
        <v>24</v>
      </c>
      <c r="AA3421" s="1" t="s">
        <v>24</v>
      </c>
      <c r="AB3421" s="1" t="s">
        <v>24</v>
      </c>
      <c r="AC3421" s="1" t="s">
        <v>24</v>
      </c>
      <c r="AD3421" s="1" t="s">
        <v>24</v>
      </c>
      <c r="AE3421" s="1" t="s">
        <v>24</v>
      </c>
      <c r="AF3421" s="22"/>
    </row>
    <row r="3422" spans="1:32" x14ac:dyDescent="0.2">
      <c r="A3422" s="1">
        <v>27495</v>
      </c>
      <c r="B3422" s="1" t="s">
        <v>10594</v>
      </c>
      <c r="C3422" s="5" t="s">
        <v>0</v>
      </c>
      <c r="D3422" s="1" t="s">
        <v>10595</v>
      </c>
      <c r="E3422" s="1" t="s">
        <v>10596</v>
      </c>
      <c r="F3422" s="1" t="s">
        <v>1189</v>
      </c>
      <c r="G3422" s="1" t="s">
        <v>61</v>
      </c>
      <c r="H3422" s="1" t="s">
        <v>30</v>
      </c>
      <c r="I3422" s="1" t="s">
        <v>16</v>
      </c>
      <c r="J3422" s="1">
        <v>1</v>
      </c>
      <c r="K3422" s="1">
        <v>4</v>
      </c>
      <c r="L3422" s="1" t="s">
        <v>31</v>
      </c>
      <c r="M3422" s="1" t="s">
        <v>18</v>
      </c>
      <c r="N3422" s="1" t="s">
        <v>18</v>
      </c>
      <c r="O3422" s="1">
        <v>3</v>
      </c>
      <c r="P3422" s="1">
        <v>7</v>
      </c>
      <c r="Q3422" s="7" t="s">
        <v>17633</v>
      </c>
      <c r="R3422" s="1" t="s">
        <v>19</v>
      </c>
      <c r="S3422" s="1" t="s">
        <v>20</v>
      </c>
      <c r="T3422" s="1" t="s">
        <v>21</v>
      </c>
      <c r="U3422" s="1" t="s">
        <v>22</v>
      </c>
      <c r="V3422" s="1" t="s">
        <v>23</v>
      </c>
      <c r="W3422" s="1" t="s">
        <v>24</v>
      </c>
      <c r="X3422" s="1">
        <v>2700</v>
      </c>
      <c r="Y3422" s="1">
        <v>3318</v>
      </c>
      <c r="Z3422" s="1" t="s">
        <v>24</v>
      </c>
      <c r="AA3422" s="1" t="s">
        <v>24</v>
      </c>
      <c r="AB3422" s="1" t="s">
        <v>24</v>
      </c>
      <c r="AC3422" s="1" t="s">
        <v>24</v>
      </c>
      <c r="AD3422" s="1" t="s">
        <v>24</v>
      </c>
      <c r="AE3422" s="1" t="s">
        <v>24</v>
      </c>
      <c r="AF3422" s="22"/>
    </row>
    <row r="3423" spans="1:32" x14ac:dyDescent="0.2">
      <c r="A3423" s="1">
        <v>27498</v>
      </c>
      <c r="B3423" s="1" t="s">
        <v>10597</v>
      </c>
      <c r="C3423" s="5" t="s">
        <v>0</v>
      </c>
      <c r="D3423" s="1" t="s">
        <v>10598</v>
      </c>
      <c r="E3423" s="1" t="s">
        <v>10599</v>
      </c>
      <c r="F3423" s="1" t="s">
        <v>97</v>
      </c>
      <c r="G3423" s="1" t="s">
        <v>98</v>
      </c>
      <c r="H3423" s="1" t="s">
        <v>37</v>
      </c>
      <c r="I3423" s="1" t="s">
        <v>16</v>
      </c>
      <c r="J3423" s="1">
        <v>1</v>
      </c>
      <c r="K3423" s="1">
        <v>4</v>
      </c>
      <c r="L3423" s="1" t="s">
        <v>31</v>
      </c>
      <c r="M3423" s="1" t="s">
        <v>18</v>
      </c>
      <c r="N3423" s="1" t="s">
        <v>18</v>
      </c>
      <c r="O3423" s="1">
        <v>3</v>
      </c>
      <c r="P3423" s="1">
        <v>6</v>
      </c>
      <c r="R3423" s="1" t="s">
        <v>19</v>
      </c>
      <c r="S3423" s="1" t="s">
        <v>20</v>
      </c>
      <c r="T3423" s="1" t="s">
        <v>21</v>
      </c>
      <c r="U3423" s="1" t="s">
        <v>22</v>
      </c>
      <c r="V3423" s="1" t="s">
        <v>24</v>
      </c>
      <c r="W3423" s="1" t="s">
        <v>24</v>
      </c>
      <c r="X3423" s="1">
        <v>3003</v>
      </c>
      <c r="Y3423" s="1" t="s">
        <v>24</v>
      </c>
      <c r="Z3423" s="1" t="s">
        <v>24</v>
      </c>
      <c r="AA3423" s="1" t="s">
        <v>24</v>
      </c>
      <c r="AB3423" s="1" t="s">
        <v>24</v>
      </c>
      <c r="AC3423" s="1" t="s">
        <v>24</v>
      </c>
      <c r="AD3423" s="1" t="s">
        <v>24</v>
      </c>
      <c r="AE3423" s="1" t="s">
        <v>24</v>
      </c>
      <c r="AF3423" s="22"/>
    </row>
    <row r="3424" spans="1:32" x14ac:dyDescent="0.2">
      <c r="A3424" s="1">
        <v>27499</v>
      </c>
      <c r="B3424" s="1" t="s">
        <v>10600</v>
      </c>
      <c r="C3424" s="5" t="s">
        <v>0</v>
      </c>
      <c r="D3424" s="1" t="s">
        <v>10601</v>
      </c>
      <c r="E3424" s="1" t="s">
        <v>10602</v>
      </c>
      <c r="F3424" s="1" t="s">
        <v>2299</v>
      </c>
      <c r="G3424" s="1" t="s">
        <v>2300</v>
      </c>
      <c r="H3424" s="1" t="s">
        <v>37</v>
      </c>
      <c r="I3424" s="1" t="s">
        <v>16</v>
      </c>
      <c r="J3424" s="1">
        <v>1</v>
      </c>
      <c r="K3424" s="1">
        <v>6</v>
      </c>
      <c r="L3424" s="1" t="s">
        <v>31</v>
      </c>
      <c r="M3424" s="1" t="s">
        <v>18</v>
      </c>
      <c r="N3424" s="1" t="s">
        <v>18</v>
      </c>
      <c r="O3424" s="1">
        <v>3</v>
      </c>
      <c r="P3424" s="1">
        <v>6</v>
      </c>
      <c r="R3424" s="1" t="s">
        <v>19</v>
      </c>
      <c r="S3424" s="1" t="s">
        <v>20</v>
      </c>
      <c r="T3424" s="1" t="s">
        <v>21</v>
      </c>
      <c r="U3424" s="1" t="s">
        <v>22</v>
      </c>
      <c r="V3424" s="1" t="s">
        <v>24</v>
      </c>
      <c r="W3424" s="1" t="s">
        <v>24</v>
      </c>
      <c r="X3424" s="1">
        <v>3002</v>
      </c>
      <c r="Y3424" s="1">
        <v>1311</v>
      </c>
      <c r="Z3424" s="1">
        <v>1312</v>
      </c>
      <c r="AA3424" s="1">
        <v>1313</v>
      </c>
      <c r="AB3424" s="1" t="s">
        <v>24</v>
      </c>
      <c r="AC3424" s="1" t="s">
        <v>24</v>
      </c>
      <c r="AD3424" s="1" t="s">
        <v>24</v>
      </c>
      <c r="AE3424" s="1" t="s">
        <v>24</v>
      </c>
      <c r="AF3424" s="22"/>
    </row>
    <row r="3425" spans="1:32" x14ac:dyDescent="0.2">
      <c r="A3425" s="1">
        <v>27502</v>
      </c>
      <c r="B3425" s="1" t="s">
        <v>10603</v>
      </c>
      <c r="C3425" s="5" t="s">
        <v>0</v>
      </c>
      <c r="D3425" s="1" t="s">
        <v>10604</v>
      </c>
      <c r="E3425" s="1" t="s">
        <v>10605</v>
      </c>
      <c r="F3425" s="1" t="s">
        <v>97</v>
      </c>
      <c r="G3425" s="1" t="s">
        <v>98</v>
      </c>
      <c r="H3425" s="1" t="s">
        <v>37</v>
      </c>
      <c r="I3425" s="1" t="s">
        <v>16</v>
      </c>
      <c r="J3425" s="1">
        <v>1</v>
      </c>
      <c r="K3425" s="1">
        <v>6</v>
      </c>
      <c r="L3425" s="1" t="s">
        <v>31</v>
      </c>
      <c r="M3425" s="1" t="s">
        <v>18</v>
      </c>
      <c r="N3425" s="1" t="s">
        <v>18</v>
      </c>
      <c r="O3425" s="1">
        <v>2</v>
      </c>
      <c r="P3425" s="1">
        <v>6</v>
      </c>
      <c r="R3425" s="1" t="s">
        <v>19</v>
      </c>
      <c r="S3425" s="1" t="s">
        <v>20</v>
      </c>
      <c r="T3425" s="1" t="s">
        <v>21</v>
      </c>
      <c r="U3425" s="1" t="s">
        <v>22</v>
      </c>
      <c r="V3425" s="1" t="s">
        <v>24</v>
      </c>
      <c r="W3425" s="1" t="s">
        <v>24</v>
      </c>
      <c r="X3425" s="1">
        <v>2712</v>
      </c>
      <c r="Y3425" s="1">
        <v>2724</v>
      </c>
      <c r="Z3425" s="1">
        <v>2705</v>
      </c>
      <c r="AA3425" s="1" t="s">
        <v>24</v>
      </c>
      <c r="AB3425" s="1" t="s">
        <v>24</v>
      </c>
      <c r="AC3425" s="1" t="s">
        <v>24</v>
      </c>
      <c r="AD3425" s="1" t="s">
        <v>24</v>
      </c>
      <c r="AE3425" s="1" t="s">
        <v>24</v>
      </c>
      <c r="AF3425" s="22"/>
    </row>
    <row r="3426" spans="1:32" x14ac:dyDescent="0.2">
      <c r="A3426" s="1">
        <v>27507</v>
      </c>
      <c r="B3426" s="1" t="s">
        <v>10606</v>
      </c>
      <c r="C3426" s="5" t="s">
        <v>0</v>
      </c>
      <c r="D3426" s="1" t="s">
        <v>10607</v>
      </c>
      <c r="F3426" s="1" t="s">
        <v>10608</v>
      </c>
      <c r="G3426" s="1" t="s">
        <v>10608</v>
      </c>
      <c r="H3426" s="1" t="s">
        <v>264</v>
      </c>
      <c r="I3426" s="1" t="s">
        <v>16</v>
      </c>
      <c r="J3426" s="1">
        <v>1</v>
      </c>
      <c r="K3426" s="1">
        <v>3</v>
      </c>
      <c r="L3426" s="1" t="s">
        <v>42</v>
      </c>
      <c r="M3426" s="1" t="s">
        <v>18</v>
      </c>
      <c r="N3426" s="1" t="s">
        <v>18</v>
      </c>
      <c r="O3426" s="1">
        <v>3</v>
      </c>
      <c r="P3426" s="1">
        <v>6</v>
      </c>
      <c r="R3426" s="1" t="s">
        <v>19</v>
      </c>
      <c r="S3426" s="1" t="s">
        <v>63</v>
      </c>
      <c r="T3426" s="1" t="s">
        <v>21</v>
      </c>
      <c r="U3426" s="1" t="s">
        <v>22</v>
      </c>
      <c r="V3426" s="1" t="s">
        <v>23</v>
      </c>
      <c r="W3426" s="1" t="s">
        <v>24</v>
      </c>
      <c r="X3426" s="1">
        <v>2700</v>
      </c>
      <c r="Y3426" s="1" t="s">
        <v>24</v>
      </c>
      <c r="Z3426" s="1" t="s">
        <v>24</v>
      </c>
      <c r="AA3426" s="1" t="s">
        <v>24</v>
      </c>
      <c r="AB3426" s="1" t="s">
        <v>24</v>
      </c>
      <c r="AC3426" s="1" t="s">
        <v>24</v>
      </c>
      <c r="AD3426" s="1" t="s">
        <v>24</v>
      </c>
      <c r="AE3426" s="1" t="s">
        <v>24</v>
      </c>
      <c r="AF3426" s="22"/>
    </row>
    <row r="3427" spans="1:32" x14ac:dyDescent="0.2">
      <c r="A3427" s="1">
        <v>27509</v>
      </c>
      <c r="B3427" s="1" t="s">
        <v>10609</v>
      </c>
      <c r="C3427" s="5" t="s">
        <v>0</v>
      </c>
      <c r="D3427" s="1" t="s">
        <v>10610</v>
      </c>
      <c r="F3427" s="1" t="s">
        <v>10611</v>
      </c>
      <c r="G3427" s="1" t="s">
        <v>1734</v>
      </c>
      <c r="H3427" s="1" t="s">
        <v>249</v>
      </c>
      <c r="I3427" s="1" t="s">
        <v>16</v>
      </c>
      <c r="J3427" s="1">
        <v>1</v>
      </c>
      <c r="K3427" s="1">
        <v>4</v>
      </c>
      <c r="L3427" s="1" t="s">
        <v>17</v>
      </c>
      <c r="M3427" s="1" t="s">
        <v>3290</v>
      </c>
      <c r="N3427" s="1" t="s">
        <v>3290</v>
      </c>
      <c r="O3427" s="1">
        <v>3</v>
      </c>
      <c r="P3427" s="1">
        <v>6</v>
      </c>
      <c r="R3427" s="1" t="s">
        <v>19</v>
      </c>
      <c r="S3427" s="1" t="s">
        <v>20</v>
      </c>
      <c r="T3427" s="1" t="s">
        <v>21</v>
      </c>
      <c r="U3427" s="1" t="s">
        <v>22</v>
      </c>
      <c r="V3427" s="1" t="s">
        <v>23</v>
      </c>
      <c r="W3427" s="1" t="s">
        <v>24</v>
      </c>
      <c r="X3427" s="1">
        <v>2742</v>
      </c>
      <c r="Y3427" s="1" t="s">
        <v>24</v>
      </c>
      <c r="Z3427" s="1" t="s">
        <v>24</v>
      </c>
      <c r="AA3427" s="1" t="s">
        <v>24</v>
      </c>
      <c r="AB3427" s="1" t="s">
        <v>24</v>
      </c>
      <c r="AC3427" s="1" t="s">
        <v>24</v>
      </c>
      <c r="AD3427" s="1" t="s">
        <v>24</v>
      </c>
      <c r="AE3427" s="1" t="s">
        <v>24</v>
      </c>
      <c r="AF3427" s="22"/>
    </row>
    <row r="3428" spans="1:32" x14ac:dyDescent="0.2">
      <c r="A3428" s="1">
        <v>27511</v>
      </c>
      <c r="B3428" s="1" t="s">
        <v>10612</v>
      </c>
      <c r="C3428" s="5" t="s">
        <v>0</v>
      </c>
      <c r="D3428" s="1" t="s">
        <v>10613</v>
      </c>
      <c r="E3428" s="1" t="s">
        <v>10614</v>
      </c>
      <c r="F3428" s="1" t="s">
        <v>689</v>
      </c>
      <c r="G3428" s="1" t="s">
        <v>311</v>
      </c>
      <c r="H3428" s="1" t="s">
        <v>30</v>
      </c>
      <c r="I3428" s="1" t="s">
        <v>16</v>
      </c>
      <c r="J3428" s="1">
        <v>1</v>
      </c>
      <c r="K3428" s="1">
        <v>4</v>
      </c>
      <c r="L3428" s="1" t="s">
        <v>31</v>
      </c>
      <c r="M3428" s="1" t="s">
        <v>18</v>
      </c>
      <c r="N3428" s="1" t="s">
        <v>18</v>
      </c>
      <c r="O3428" s="1">
        <v>2</v>
      </c>
      <c r="P3428" s="1">
        <v>6</v>
      </c>
      <c r="R3428" s="1" t="s">
        <v>19</v>
      </c>
      <c r="S3428" s="1" t="s">
        <v>20</v>
      </c>
      <c r="T3428" s="1" t="s">
        <v>21</v>
      </c>
      <c r="U3428" s="1" t="s">
        <v>22</v>
      </c>
      <c r="V3428" s="1" t="s">
        <v>24</v>
      </c>
      <c r="W3428" s="1" t="s">
        <v>24</v>
      </c>
      <c r="X3428" s="1">
        <v>2738</v>
      </c>
      <c r="Y3428" s="1" t="s">
        <v>24</v>
      </c>
      <c r="Z3428" s="1" t="s">
        <v>24</v>
      </c>
      <c r="AA3428" s="1" t="s">
        <v>24</v>
      </c>
      <c r="AB3428" s="1" t="s">
        <v>24</v>
      </c>
      <c r="AC3428" s="1" t="s">
        <v>24</v>
      </c>
      <c r="AD3428" s="1" t="s">
        <v>24</v>
      </c>
      <c r="AE3428" s="1" t="s">
        <v>24</v>
      </c>
      <c r="AF3428" s="22"/>
    </row>
    <row r="3429" spans="1:32" x14ac:dyDescent="0.2">
      <c r="A3429" s="1">
        <v>27512</v>
      </c>
      <c r="B3429" s="1" t="s">
        <v>10615</v>
      </c>
      <c r="C3429" s="5" t="s">
        <v>0</v>
      </c>
      <c r="D3429" s="1" t="s">
        <v>10616</v>
      </c>
      <c r="E3429" s="1" t="s">
        <v>10617</v>
      </c>
      <c r="F3429" s="1" t="s">
        <v>291</v>
      </c>
      <c r="G3429" s="1" t="s">
        <v>292</v>
      </c>
      <c r="H3429" s="1" t="s">
        <v>37</v>
      </c>
      <c r="I3429" s="1" t="s">
        <v>16</v>
      </c>
      <c r="J3429" s="1">
        <v>1</v>
      </c>
      <c r="K3429" s="1">
        <v>5</v>
      </c>
      <c r="L3429" s="1" t="s">
        <v>31</v>
      </c>
      <c r="M3429" s="1" t="s">
        <v>18</v>
      </c>
      <c r="N3429" s="1" t="s">
        <v>18</v>
      </c>
      <c r="O3429" s="1">
        <v>3</v>
      </c>
      <c r="P3429" s="1">
        <v>6</v>
      </c>
      <c r="R3429" s="1" t="s">
        <v>62</v>
      </c>
      <c r="S3429" s="1" t="s">
        <v>20</v>
      </c>
      <c r="T3429" s="1" t="s">
        <v>21</v>
      </c>
      <c r="U3429" s="1" t="s">
        <v>22</v>
      </c>
      <c r="V3429" s="1" t="s">
        <v>24</v>
      </c>
      <c r="W3429" s="1" t="s">
        <v>24</v>
      </c>
      <c r="X3429" s="1">
        <v>2803</v>
      </c>
      <c r="Y3429" s="1">
        <v>2738</v>
      </c>
      <c r="Z3429" s="1" t="s">
        <v>24</v>
      </c>
      <c r="AA3429" s="1" t="s">
        <v>24</v>
      </c>
      <c r="AB3429" s="1" t="s">
        <v>24</v>
      </c>
      <c r="AC3429" s="1" t="s">
        <v>24</v>
      </c>
      <c r="AD3429" s="1" t="s">
        <v>24</v>
      </c>
      <c r="AE3429" s="1" t="s">
        <v>24</v>
      </c>
      <c r="AF3429" s="22"/>
    </row>
    <row r="3430" spans="1:32" x14ac:dyDescent="0.2">
      <c r="A3430" s="1">
        <v>27514</v>
      </c>
      <c r="B3430" s="1" t="s">
        <v>10618</v>
      </c>
      <c r="C3430" s="5" t="s">
        <v>0</v>
      </c>
      <c r="E3430" s="1" t="s">
        <v>10619</v>
      </c>
      <c r="F3430" s="1" t="s">
        <v>4152</v>
      </c>
      <c r="G3430" s="1" t="s">
        <v>4152</v>
      </c>
      <c r="H3430" s="1" t="s">
        <v>111</v>
      </c>
      <c r="I3430" s="1" t="s">
        <v>16</v>
      </c>
      <c r="J3430" s="1">
        <v>1</v>
      </c>
      <c r="K3430" s="1">
        <v>4</v>
      </c>
      <c r="L3430" s="1" t="s">
        <v>42</v>
      </c>
      <c r="M3430" s="1" t="s">
        <v>18</v>
      </c>
      <c r="N3430" s="1" t="s">
        <v>18</v>
      </c>
      <c r="O3430" s="1">
        <v>3</v>
      </c>
      <c r="P3430" s="1">
        <v>6</v>
      </c>
      <c r="R3430" s="1" t="s">
        <v>19</v>
      </c>
      <c r="S3430" s="1" t="s">
        <v>20</v>
      </c>
      <c r="T3430" s="1" t="s">
        <v>21</v>
      </c>
      <c r="U3430" s="1" t="s">
        <v>22</v>
      </c>
      <c r="V3430" s="1" t="s">
        <v>24</v>
      </c>
      <c r="W3430" s="1" t="s">
        <v>64</v>
      </c>
      <c r="X3430" s="1">
        <v>3002</v>
      </c>
      <c r="Y3430" s="1" t="s">
        <v>24</v>
      </c>
      <c r="Z3430" s="1" t="s">
        <v>24</v>
      </c>
      <c r="AA3430" s="1" t="s">
        <v>24</v>
      </c>
      <c r="AB3430" s="1" t="s">
        <v>24</v>
      </c>
      <c r="AC3430" s="1" t="s">
        <v>24</v>
      </c>
      <c r="AD3430" s="1" t="s">
        <v>24</v>
      </c>
      <c r="AE3430" s="1" t="s">
        <v>24</v>
      </c>
      <c r="AF3430" s="22"/>
    </row>
    <row r="3431" spans="1:32" x14ac:dyDescent="0.2">
      <c r="A3431" s="1">
        <v>27516</v>
      </c>
      <c r="B3431" s="1" t="s">
        <v>10620</v>
      </c>
      <c r="C3431" s="5" t="s">
        <v>0</v>
      </c>
      <c r="E3431" s="1" t="s">
        <v>10621</v>
      </c>
      <c r="F3431" s="1" t="s">
        <v>4152</v>
      </c>
      <c r="G3431" s="1" t="s">
        <v>4152</v>
      </c>
      <c r="H3431" s="1" t="s">
        <v>111</v>
      </c>
      <c r="I3431" s="1" t="s">
        <v>16</v>
      </c>
      <c r="J3431" s="1">
        <v>1</v>
      </c>
      <c r="K3431" s="1">
        <v>4</v>
      </c>
      <c r="L3431" s="1" t="s">
        <v>42</v>
      </c>
      <c r="M3431" s="1" t="s">
        <v>18</v>
      </c>
      <c r="N3431" s="1" t="s">
        <v>18</v>
      </c>
      <c r="O3431" s="1">
        <v>3</v>
      </c>
      <c r="P3431" s="1">
        <v>6</v>
      </c>
      <c r="R3431" s="1" t="s">
        <v>19</v>
      </c>
      <c r="S3431" s="1" t="s">
        <v>63</v>
      </c>
      <c r="T3431" s="1" t="s">
        <v>21</v>
      </c>
      <c r="U3431" s="1" t="s">
        <v>22</v>
      </c>
      <c r="V3431" s="1" t="s">
        <v>24</v>
      </c>
      <c r="W3431" s="1" t="s">
        <v>24</v>
      </c>
      <c r="X3431" s="1">
        <v>1313</v>
      </c>
      <c r="Y3431" s="1">
        <v>3003</v>
      </c>
      <c r="Z3431" s="1" t="s">
        <v>24</v>
      </c>
      <c r="AA3431" s="1" t="s">
        <v>24</v>
      </c>
      <c r="AB3431" s="1" t="s">
        <v>24</v>
      </c>
      <c r="AC3431" s="1" t="s">
        <v>24</v>
      </c>
      <c r="AD3431" s="1" t="s">
        <v>24</v>
      </c>
      <c r="AE3431" s="1" t="s">
        <v>24</v>
      </c>
      <c r="AF3431" s="22"/>
    </row>
    <row r="3432" spans="1:32" x14ac:dyDescent="0.2">
      <c r="A3432" s="1">
        <v>27518</v>
      </c>
      <c r="B3432" s="1" t="s">
        <v>10622</v>
      </c>
      <c r="C3432" s="5" t="s">
        <v>0</v>
      </c>
      <c r="D3432" s="1" t="s">
        <v>10623</v>
      </c>
      <c r="E3432" s="1" t="s">
        <v>10624</v>
      </c>
      <c r="F3432" s="1" t="s">
        <v>4152</v>
      </c>
      <c r="G3432" s="1" t="s">
        <v>4152</v>
      </c>
      <c r="H3432" s="1" t="s">
        <v>111</v>
      </c>
      <c r="I3432" s="1" t="s">
        <v>16</v>
      </c>
      <c r="J3432" s="1">
        <v>1</v>
      </c>
      <c r="K3432" s="1">
        <v>4</v>
      </c>
      <c r="L3432" s="1" t="s">
        <v>42</v>
      </c>
      <c r="M3432" s="1" t="s">
        <v>18</v>
      </c>
      <c r="N3432" s="1" t="s">
        <v>18</v>
      </c>
      <c r="O3432" s="1">
        <v>3</v>
      </c>
      <c r="P3432" s="1">
        <v>6</v>
      </c>
      <c r="R3432" s="1" t="s">
        <v>19</v>
      </c>
      <c r="S3432" s="1" t="s">
        <v>63</v>
      </c>
      <c r="T3432" s="1" t="s">
        <v>21</v>
      </c>
      <c r="U3432" s="1" t="s">
        <v>22</v>
      </c>
      <c r="V3432" s="1" t="s">
        <v>24</v>
      </c>
      <c r="W3432" s="1" t="s">
        <v>24</v>
      </c>
      <c r="X3432" s="1">
        <v>2739</v>
      </c>
      <c r="Y3432" s="1">
        <v>2307</v>
      </c>
      <c r="Z3432" s="1" t="s">
        <v>24</v>
      </c>
      <c r="AA3432" s="1" t="s">
        <v>24</v>
      </c>
      <c r="AB3432" s="1" t="s">
        <v>24</v>
      </c>
      <c r="AC3432" s="1" t="s">
        <v>24</v>
      </c>
      <c r="AD3432" s="1" t="s">
        <v>24</v>
      </c>
      <c r="AE3432" s="1" t="s">
        <v>24</v>
      </c>
      <c r="AF3432" s="22"/>
    </row>
    <row r="3433" spans="1:32" x14ac:dyDescent="0.2">
      <c r="A3433" s="1">
        <v>27521</v>
      </c>
      <c r="B3433" s="1" t="s">
        <v>10625</v>
      </c>
      <c r="C3433" s="5" t="s">
        <v>0</v>
      </c>
      <c r="D3433" s="1" t="s">
        <v>10626</v>
      </c>
      <c r="E3433" s="1" t="s">
        <v>10627</v>
      </c>
      <c r="F3433" s="1" t="s">
        <v>912</v>
      </c>
      <c r="G3433" s="1" t="s">
        <v>130</v>
      </c>
      <c r="H3433" s="1" t="s">
        <v>168</v>
      </c>
      <c r="I3433" s="1" t="s">
        <v>16</v>
      </c>
      <c r="J3433" s="1">
        <v>1</v>
      </c>
      <c r="K3433" s="1">
        <v>4</v>
      </c>
      <c r="L3433" s="1" t="s">
        <v>31</v>
      </c>
      <c r="M3433" s="1" t="s">
        <v>413</v>
      </c>
      <c r="N3433" s="1" t="s">
        <v>679</v>
      </c>
      <c r="O3433" s="1">
        <v>3</v>
      </c>
      <c r="P3433" s="1">
        <v>5</v>
      </c>
      <c r="R3433" s="1" t="s">
        <v>19</v>
      </c>
      <c r="S3433" s="1" t="s">
        <v>20</v>
      </c>
      <c r="T3433" s="1" t="s">
        <v>21</v>
      </c>
      <c r="U3433" s="1" t="s">
        <v>22</v>
      </c>
      <c r="V3433" s="1" t="s">
        <v>24</v>
      </c>
      <c r="W3433" s="1" t="s">
        <v>24</v>
      </c>
      <c r="X3433" s="1">
        <v>2728</v>
      </c>
      <c r="Y3433" s="1">
        <v>2735</v>
      </c>
      <c r="Z3433" s="1" t="s">
        <v>24</v>
      </c>
      <c r="AA3433" s="1" t="s">
        <v>24</v>
      </c>
      <c r="AB3433" s="1" t="s">
        <v>24</v>
      </c>
      <c r="AC3433" s="1" t="s">
        <v>24</v>
      </c>
      <c r="AD3433" s="1" t="s">
        <v>24</v>
      </c>
      <c r="AE3433" s="1" t="s">
        <v>24</v>
      </c>
      <c r="AF3433" s="22"/>
    </row>
    <row r="3434" spans="1:32" x14ac:dyDescent="0.2">
      <c r="A3434" s="1">
        <v>27522</v>
      </c>
      <c r="B3434" s="1" t="s">
        <v>10628</v>
      </c>
      <c r="C3434" s="5" t="s">
        <v>0</v>
      </c>
      <c r="D3434" s="1" t="s">
        <v>10629</v>
      </c>
      <c r="E3434" s="1" t="s">
        <v>10630</v>
      </c>
      <c r="F3434" s="1" t="s">
        <v>6159</v>
      </c>
      <c r="G3434" s="1" t="s">
        <v>61</v>
      </c>
      <c r="H3434" s="1" t="s">
        <v>168</v>
      </c>
      <c r="I3434" s="1" t="s">
        <v>16</v>
      </c>
      <c r="J3434" s="1">
        <v>1</v>
      </c>
      <c r="K3434" s="1">
        <v>4</v>
      </c>
      <c r="L3434" s="1" t="s">
        <v>31</v>
      </c>
      <c r="M3434" s="1" t="s">
        <v>413</v>
      </c>
      <c r="N3434" s="1" t="s">
        <v>679</v>
      </c>
      <c r="O3434" s="1">
        <v>1</v>
      </c>
      <c r="P3434" s="1">
        <v>1</v>
      </c>
      <c r="R3434" s="1" t="s">
        <v>19</v>
      </c>
      <c r="S3434" s="1" t="s">
        <v>20</v>
      </c>
      <c r="T3434" s="1" t="s">
        <v>21</v>
      </c>
      <c r="U3434" s="1" t="s">
        <v>22</v>
      </c>
      <c r="V3434" s="1" t="s">
        <v>23</v>
      </c>
      <c r="W3434" s="1" t="s">
        <v>24</v>
      </c>
      <c r="X3434" s="1">
        <v>2732</v>
      </c>
      <c r="Y3434" s="1" t="s">
        <v>24</v>
      </c>
      <c r="Z3434" s="1" t="s">
        <v>24</v>
      </c>
      <c r="AA3434" s="1" t="s">
        <v>24</v>
      </c>
      <c r="AB3434" s="1" t="s">
        <v>24</v>
      </c>
      <c r="AC3434" s="1" t="s">
        <v>24</v>
      </c>
      <c r="AD3434" s="1" t="s">
        <v>24</v>
      </c>
      <c r="AE3434" s="1" t="s">
        <v>24</v>
      </c>
      <c r="AF3434" s="22"/>
    </row>
    <row r="3435" spans="1:32" x14ac:dyDescent="0.2">
      <c r="A3435" s="1">
        <v>27524</v>
      </c>
      <c r="B3435" s="1" t="s">
        <v>10631</v>
      </c>
      <c r="C3435" s="5" t="s">
        <v>0</v>
      </c>
      <c r="D3435" s="1" t="s">
        <v>10632</v>
      </c>
      <c r="E3435" s="1" t="s">
        <v>10633</v>
      </c>
      <c r="F3435" s="1" t="s">
        <v>1897</v>
      </c>
      <c r="G3435" s="1" t="s">
        <v>1898</v>
      </c>
      <c r="H3435" s="1" t="s">
        <v>899</v>
      </c>
      <c r="I3435" s="1" t="s">
        <v>16</v>
      </c>
      <c r="J3435" s="1">
        <v>1</v>
      </c>
      <c r="K3435" s="1">
        <v>4</v>
      </c>
      <c r="L3435" s="1" t="s">
        <v>31</v>
      </c>
      <c r="M3435" s="1" t="s">
        <v>18</v>
      </c>
      <c r="N3435" s="1" t="s">
        <v>18</v>
      </c>
      <c r="O3435" s="1">
        <v>3</v>
      </c>
      <c r="P3435" s="1">
        <v>6</v>
      </c>
      <c r="R3435" s="1" t="s">
        <v>19</v>
      </c>
      <c r="S3435" s="1" t="s">
        <v>20</v>
      </c>
      <c r="T3435" s="1" t="s">
        <v>21</v>
      </c>
      <c r="U3435" s="1" t="s">
        <v>22</v>
      </c>
      <c r="V3435" s="1" t="s">
        <v>23</v>
      </c>
      <c r="W3435" s="1" t="s">
        <v>24</v>
      </c>
      <c r="X3435" s="1">
        <v>2700</v>
      </c>
      <c r="Y3435" s="1" t="s">
        <v>24</v>
      </c>
      <c r="Z3435" s="1" t="s">
        <v>24</v>
      </c>
      <c r="AA3435" s="1" t="s">
        <v>24</v>
      </c>
      <c r="AB3435" s="1" t="s">
        <v>24</v>
      </c>
      <c r="AC3435" s="1" t="s">
        <v>24</v>
      </c>
      <c r="AD3435" s="1" t="s">
        <v>24</v>
      </c>
      <c r="AE3435" s="1" t="s">
        <v>24</v>
      </c>
      <c r="AF3435" s="22"/>
    </row>
    <row r="3436" spans="1:32" x14ac:dyDescent="0.2">
      <c r="A3436" s="1">
        <v>27525</v>
      </c>
      <c r="B3436" s="1" t="s">
        <v>10634</v>
      </c>
      <c r="C3436" s="5" t="s">
        <v>0</v>
      </c>
      <c r="D3436" s="1" t="s">
        <v>10635</v>
      </c>
      <c r="F3436" s="1" t="s">
        <v>10636</v>
      </c>
      <c r="G3436" s="1" t="s">
        <v>10636</v>
      </c>
      <c r="H3436" s="1" t="s">
        <v>10637</v>
      </c>
      <c r="I3436" s="1" t="s">
        <v>16</v>
      </c>
      <c r="J3436" s="1">
        <v>1</v>
      </c>
      <c r="K3436" s="1">
        <v>4</v>
      </c>
      <c r="L3436" s="1" t="s">
        <v>42</v>
      </c>
      <c r="M3436" s="1" t="s">
        <v>18</v>
      </c>
      <c r="N3436" s="1" t="s">
        <v>18</v>
      </c>
      <c r="O3436" s="1">
        <v>3</v>
      </c>
      <c r="P3436" s="1">
        <v>6</v>
      </c>
      <c r="R3436" s="1" t="s">
        <v>19</v>
      </c>
      <c r="S3436" s="1" t="s">
        <v>20</v>
      </c>
      <c r="T3436" s="1" t="s">
        <v>21</v>
      </c>
      <c r="U3436" s="1" t="s">
        <v>22</v>
      </c>
      <c r="V3436" s="1" t="s">
        <v>24</v>
      </c>
      <c r="W3436" s="1" t="s">
        <v>24</v>
      </c>
      <c r="X3436" s="1">
        <v>2700</v>
      </c>
      <c r="Y3436" s="1" t="s">
        <v>24</v>
      </c>
      <c r="Z3436" s="1" t="s">
        <v>24</v>
      </c>
      <c r="AA3436" s="1" t="s">
        <v>24</v>
      </c>
      <c r="AB3436" s="1" t="s">
        <v>24</v>
      </c>
      <c r="AC3436" s="1" t="s">
        <v>24</v>
      </c>
      <c r="AD3436" s="1" t="s">
        <v>24</v>
      </c>
      <c r="AE3436" s="1" t="s">
        <v>24</v>
      </c>
      <c r="AF3436" s="22"/>
    </row>
    <row r="3437" spans="1:32" x14ac:dyDescent="0.2">
      <c r="A3437" s="1">
        <v>27530</v>
      </c>
      <c r="B3437" s="1" t="s">
        <v>10638</v>
      </c>
      <c r="C3437" s="5" t="s">
        <v>0</v>
      </c>
      <c r="D3437" s="1" t="s">
        <v>10639</v>
      </c>
      <c r="F3437" s="1" t="s">
        <v>6693</v>
      </c>
      <c r="G3437" s="1" t="s">
        <v>6694</v>
      </c>
      <c r="H3437" s="1" t="s">
        <v>684</v>
      </c>
      <c r="I3437" s="1" t="s">
        <v>16</v>
      </c>
      <c r="J3437" s="1">
        <v>1</v>
      </c>
      <c r="K3437" s="1">
        <v>3</v>
      </c>
      <c r="L3437" s="1" t="s">
        <v>31</v>
      </c>
      <c r="M3437" s="1" t="s">
        <v>852</v>
      </c>
      <c r="N3437" s="1" t="s">
        <v>685</v>
      </c>
      <c r="O3437" s="1">
        <v>3</v>
      </c>
      <c r="P3437" s="1">
        <v>5</v>
      </c>
      <c r="R3437" s="1" t="s">
        <v>19</v>
      </c>
      <c r="S3437" s="1" t="s">
        <v>20</v>
      </c>
      <c r="T3437" s="1" t="s">
        <v>21</v>
      </c>
      <c r="U3437" s="1" t="s">
        <v>22</v>
      </c>
      <c r="V3437" s="1" t="s">
        <v>24</v>
      </c>
      <c r="W3437" s="1" t="s">
        <v>24</v>
      </c>
      <c r="X3437" s="1">
        <v>2735</v>
      </c>
      <c r="Y3437" s="1" t="s">
        <v>24</v>
      </c>
      <c r="Z3437" s="1" t="s">
        <v>24</v>
      </c>
      <c r="AA3437" s="1" t="s">
        <v>24</v>
      </c>
      <c r="AB3437" s="1" t="s">
        <v>24</v>
      </c>
      <c r="AC3437" s="1" t="s">
        <v>24</v>
      </c>
      <c r="AD3437" s="1" t="s">
        <v>24</v>
      </c>
      <c r="AE3437" s="1" t="s">
        <v>24</v>
      </c>
      <c r="AF3437" s="22"/>
    </row>
    <row r="3438" spans="1:32" x14ac:dyDescent="0.2">
      <c r="A3438" s="1">
        <v>27531</v>
      </c>
      <c r="B3438" s="1" t="s">
        <v>10640</v>
      </c>
      <c r="C3438" s="5" t="s">
        <v>0</v>
      </c>
      <c r="D3438" s="1" t="s">
        <v>10641</v>
      </c>
      <c r="F3438" s="1" t="s">
        <v>10498</v>
      </c>
      <c r="G3438" s="1" t="s">
        <v>10498</v>
      </c>
      <c r="H3438" s="1" t="s">
        <v>116</v>
      </c>
      <c r="I3438" s="1" t="s">
        <v>16</v>
      </c>
      <c r="J3438" s="1">
        <v>1</v>
      </c>
      <c r="K3438" s="1">
        <v>4</v>
      </c>
      <c r="L3438" s="1" t="s">
        <v>42</v>
      </c>
      <c r="M3438" s="1" t="s">
        <v>852</v>
      </c>
      <c r="N3438" s="1" t="s">
        <v>685</v>
      </c>
      <c r="O3438" s="1">
        <v>3</v>
      </c>
      <c r="P3438" s="1">
        <v>5</v>
      </c>
      <c r="R3438" s="1" t="s">
        <v>19</v>
      </c>
      <c r="S3438" s="1" t="s">
        <v>20</v>
      </c>
      <c r="T3438" s="1" t="s">
        <v>21</v>
      </c>
      <c r="U3438" s="1" t="s">
        <v>22</v>
      </c>
      <c r="V3438" s="1" t="s">
        <v>23</v>
      </c>
      <c r="W3438" s="1" t="s">
        <v>24</v>
      </c>
      <c r="X3438" s="1">
        <v>2717</v>
      </c>
      <c r="Y3438" s="1" t="s">
        <v>24</v>
      </c>
      <c r="Z3438" s="1" t="s">
        <v>24</v>
      </c>
      <c r="AA3438" s="1" t="s">
        <v>24</v>
      </c>
      <c r="AB3438" s="1" t="s">
        <v>24</v>
      </c>
      <c r="AC3438" s="1" t="s">
        <v>24</v>
      </c>
      <c r="AD3438" s="1" t="s">
        <v>24</v>
      </c>
      <c r="AE3438" s="1" t="s">
        <v>24</v>
      </c>
      <c r="AF3438" s="22"/>
    </row>
    <row r="3439" spans="1:32" x14ac:dyDescent="0.2">
      <c r="A3439" s="1">
        <v>27534</v>
      </c>
      <c r="B3439" s="1" t="s">
        <v>10642</v>
      </c>
      <c r="C3439" s="5" t="s">
        <v>0</v>
      </c>
      <c r="D3439" s="1" t="s">
        <v>10643</v>
      </c>
      <c r="E3439" s="1" t="s">
        <v>10644</v>
      </c>
      <c r="F3439" s="1" t="s">
        <v>651</v>
      </c>
      <c r="G3439" s="1" t="s">
        <v>36</v>
      </c>
      <c r="H3439" s="1" t="s">
        <v>168</v>
      </c>
      <c r="I3439" s="1" t="s">
        <v>16</v>
      </c>
      <c r="J3439" s="1">
        <v>1</v>
      </c>
      <c r="K3439" s="1">
        <v>12</v>
      </c>
      <c r="L3439" s="1" t="s">
        <v>31</v>
      </c>
      <c r="M3439" s="1" t="s">
        <v>18</v>
      </c>
      <c r="N3439" s="1" t="s">
        <v>18</v>
      </c>
      <c r="O3439" s="1">
        <v>3</v>
      </c>
      <c r="P3439" s="1">
        <v>6</v>
      </c>
      <c r="R3439" s="1" t="s">
        <v>19</v>
      </c>
      <c r="S3439" s="1" t="s">
        <v>20</v>
      </c>
      <c r="T3439" s="1" t="s">
        <v>21</v>
      </c>
      <c r="U3439" s="1" t="s">
        <v>22</v>
      </c>
      <c r="V3439" s="1" t="s">
        <v>24</v>
      </c>
      <c r="W3439" s="1" t="s">
        <v>64</v>
      </c>
      <c r="X3439" s="1">
        <v>1303</v>
      </c>
      <c r="Y3439" s="1">
        <v>1600</v>
      </c>
      <c r="Z3439" s="1">
        <v>1502</v>
      </c>
      <c r="AA3439" s="1">
        <v>1312</v>
      </c>
      <c r="AB3439" s="1">
        <v>1313</v>
      </c>
      <c r="AC3439" s="1" t="s">
        <v>24</v>
      </c>
      <c r="AD3439" s="1" t="s">
        <v>24</v>
      </c>
      <c r="AE3439" s="1" t="s">
        <v>24</v>
      </c>
      <c r="AF3439" s="22"/>
    </row>
    <row r="3440" spans="1:32" x14ac:dyDescent="0.2">
      <c r="A3440" s="1">
        <v>27538</v>
      </c>
      <c r="B3440" s="1" t="s">
        <v>10645</v>
      </c>
      <c r="C3440" s="5" t="s">
        <v>0</v>
      </c>
      <c r="D3440" s="1" t="s">
        <v>10646</v>
      </c>
      <c r="F3440" s="1" t="s">
        <v>10647</v>
      </c>
      <c r="G3440" s="1" t="s">
        <v>10647</v>
      </c>
      <c r="H3440" s="1" t="s">
        <v>30</v>
      </c>
      <c r="I3440" s="1" t="s">
        <v>16</v>
      </c>
      <c r="J3440" s="1">
        <v>1</v>
      </c>
      <c r="K3440" s="1">
        <v>12</v>
      </c>
      <c r="L3440" s="1" t="s">
        <v>42</v>
      </c>
      <c r="M3440" s="1" t="s">
        <v>18</v>
      </c>
      <c r="N3440" s="1" t="s">
        <v>18</v>
      </c>
      <c r="O3440" s="1">
        <v>2</v>
      </c>
      <c r="P3440" s="1">
        <v>6</v>
      </c>
      <c r="R3440" s="1" t="s">
        <v>19</v>
      </c>
      <c r="S3440" s="1" t="s">
        <v>20</v>
      </c>
      <c r="T3440" s="1" t="s">
        <v>21</v>
      </c>
      <c r="U3440" s="1" t="s">
        <v>22</v>
      </c>
      <c r="V3440" s="1" t="s">
        <v>24</v>
      </c>
      <c r="W3440" s="1" t="s">
        <v>24</v>
      </c>
      <c r="X3440" s="1">
        <v>2730</v>
      </c>
      <c r="Y3440" s="1">
        <v>2720</v>
      </c>
      <c r="Z3440" s="1" t="s">
        <v>24</v>
      </c>
      <c r="AA3440" s="1" t="s">
        <v>24</v>
      </c>
      <c r="AB3440" s="1" t="s">
        <v>24</v>
      </c>
      <c r="AC3440" s="1" t="s">
        <v>24</v>
      </c>
      <c r="AD3440" s="1" t="s">
        <v>24</v>
      </c>
      <c r="AE3440" s="1" t="s">
        <v>24</v>
      </c>
      <c r="AF3440" s="22"/>
    </row>
    <row r="3441" spans="1:32" x14ac:dyDescent="0.2">
      <c r="A3441" s="1">
        <v>27543</v>
      </c>
      <c r="B3441" s="1" t="s">
        <v>10648</v>
      </c>
      <c r="C3441" s="5" t="s">
        <v>0</v>
      </c>
      <c r="D3441" s="1" t="s">
        <v>10649</v>
      </c>
      <c r="F3441" s="1" t="s">
        <v>10650</v>
      </c>
      <c r="G3441" s="1" t="s">
        <v>10651</v>
      </c>
      <c r="H3441" s="1" t="s">
        <v>899</v>
      </c>
      <c r="I3441" s="1" t="s">
        <v>16</v>
      </c>
      <c r="J3441" s="1">
        <v>1</v>
      </c>
      <c r="K3441" s="1">
        <v>2</v>
      </c>
      <c r="L3441" s="1" t="s">
        <v>17</v>
      </c>
      <c r="M3441" s="1" t="s">
        <v>18</v>
      </c>
      <c r="N3441" s="1" t="s">
        <v>18</v>
      </c>
      <c r="O3441" s="1">
        <v>3</v>
      </c>
      <c r="P3441" s="1">
        <v>5</v>
      </c>
      <c r="R3441" s="1" t="s">
        <v>19</v>
      </c>
      <c r="S3441" s="1" t="s">
        <v>20</v>
      </c>
      <c r="T3441" s="1" t="s">
        <v>21</v>
      </c>
      <c r="U3441" s="1" t="s">
        <v>22</v>
      </c>
      <c r="V3441" s="1" t="s">
        <v>24</v>
      </c>
      <c r="W3441" s="1" t="s">
        <v>24</v>
      </c>
      <c r="X3441" s="1">
        <v>1305</v>
      </c>
      <c r="Y3441" s="1">
        <v>1102</v>
      </c>
      <c r="Z3441" s="1">
        <v>3002</v>
      </c>
      <c r="AA3441" s="1" t="s">
        <v>24</v>
      </c>
      <c r="AB3441" s="1" t="s">
        <v>24</v>
      </c>
      <c r="AC3441" s="1" t="s">
        <v>24</v>
      </c>
      <c r="AD3441" s="1" t="s">
        <v>24</v>
      </c>
      <c r="AE3441" s="1" t="s">
        <v>24</v>
      </c>
      <c r="AF3441" s="22"/>
    </row>
    <row r="3442" spans="1:32" x14ac:dyDescent="0.2">
      <c r="A3442" s="1">
        <v>27547</v>
      </c>
      <c r="B3442" s="1" t="s">
        <v>10652</v>
      </c>
      <c r="C3442" s="5" t="s">
        <v>0</v>
      </c>
      <c r="D3442" s="1" t="s">
        <v>10653</v>
      </c>
      <c r="E3442" s="1" t="s">
        <v>10654</v>
      </c>
      <c r="F3442" s="1" t="s">
        <v>10655</v>
      </c>
      <c r="G3442" s="1" t="s">
        <v>254</v>
      </c>
      <c r="H3442" s="1" t="s">
        <v>168</v>
      </c>
      <c r="I3442" s="1" t="s">
        <v>16</v>
      </c>
      <c r="J3442" s="1">
        <v>1</v>
      </c>
      <c r="K3442" s="1">
        <v>4</v>
      </c>
      <c r="L3442" s="1" t="s">
        <v>31</v>
      </c>
      <c r="M3442" s="1" t="s">
        <v>18</v>
      </c>
      <c r="N3442" s="1" t="s">
        <v>18</v>
      </c>
      <c r="O3442" s="1">
        <v>3</v>
      </c>
      <c r="P3442" s="1">
        <v>6</v>
      </c>
      <c r="R3442" s="1" t="s">
        <v>19</v>
      </c>
      <c r="S3442" s="1" t="s">
        <v>20</v>
      </c>
      <c r="T3442" s="1" t="s">
        <v>21</v>
      </c>
      <c r="U3442" s="1" t="s">
        <v>22</v>
      </c>
      <c r="V3442" s="1" t="s">
        <v>24</v>
      </c>
      <c r="W3442" s="1" t="s">
        <v>24</v>
      </c>
      <c r="X3442" s="1">
        <v>1100</v>
      </c>
      <c r="Y3442" s="1">
        <v>1300</v>
      </c>
      <c r="Z3442" s="1">
        <v>2700</v>
      </c>
      <c r="AA3442" s="1">
        <v>2800</v>
      </c>
      <c r="AB3442" s="1">
        <v>3000</v>
      </c>
      <c r="AC3442" s="1" t="s">
        <v>24</v>
      </c>
      <c r="AD3442" s="1" t="s">
        <v>24</v>
      </c>
      <c r="AE3442" s="1" t="s">
        <v>24</v>
      </c>
      <c r="AF3442" s="22"/>
    </row>
    <row r="3443" spans="1:32" x14ac:dyDescent="0.2">
      <c r="A3443" s="1">
        <v>27548</v>
      </c>
      <c r="B3443" s="1" t="s">
        <v>10656</v>
      </c>
      <c r="C3443" s="5" t="s">
        <v>0</v>
      </c>
      <c r="D3443" s="1" t="s">
        <v>10657</v>
      </c>
      <c r="F3443" s="1" t="s">
        <v>5851</v>
      </c>
      <c r="G3443" s="1" t="s">
        <v>10658</v>
      </c>
      <c r="H3443" s="1" t="s">
        <v>4080</v>
      </c>
      <c r="I3443" s="1" t="s">
        <v>16</v>
      </c>
      <c r="J3443" s="1">
        <v>1</v>
      </c>
      <c r="K3443" s="1">
        <v>2</v>
      </c>
      <c r="L3443" s="1" t="s">
        <v>17</v>
      </c>
      <c r="M3443" s="1" t="s">
        <v>10659</v>
      </c>
      <c r="N3443" s="1" t="s">
        <v>4082</v>
      </c>
      <c r="O3443" s="1">
        <v>2</v>
      </c>
      <c r="P3443" s="1">
        <v>5</v>
      </c>
      <c r="R3443" s="1" t="s">
        <v>19</v>
      </c>
      <c r="S3443" s="1" t="s">
        <v>20</v>
      </c>
      <c r="T3443" s="1" t="s">
        <v>21</v>
      </c>
      <c r="U3443" s="1" t="s">
        <v>22</v>
      </c>
      <c r="V3443" s="1" t="s">
        <v>23</v>
      </c>
      <c r="W3443" s="1" t="s">
        <v>24</v>
      </c>
      <c r="X3443" s="1">
        <v>2741</v>
      </c>
      <c r="Y3443" s="1" t="s">
        <v>24</v>
      </c>
      <c r="Z3443" s="1" t="s">
        <v>24</v>
      </c>
      <c r="AA3443" s="1" t="s">
        <v>24</v>
      </c>
      <c r="AB3443" s="1" t="s">
        <v>24</v>
      </c>
      <c r="AC3443" s="1" t="s">
        <v>24</v>
      </c>
      <c r="AD3443" s="1" t="s">
        <v>24</v>
      </c>
      <c r="AE3443" s="1" t="s">
        <v>24</v>
      </c>
      <c r="AF3443" s="22"/>
    </row>
    <row r="3444" spans="1:32" x14ac:dyDescent="0.2">
      <c r="A3444" s="1">
        <v>27549</v>
      </c>
      <c r="B3444" s="1" t="s">
        <v>10660</v>
      </c>
      <c r="C3444" s="5" t="s">
        <v>0</v>
      </c>
      <c r="D3444" s="1" t="s">
        <v>10661</v>
      </c>
      <c r="E3444" s="1" t="s">
        <v>10662</v>
      </c>
      <c r="F3444" s="1" t="s">
        <v>6280</v>
      </c>
      <c r="G3444" s="1" t="s">
        <v>6280</v>
      </c>
      <c r="H3444" s="1" t="s">
        <v>30</v>
      </c>
      <c r="I3444" s="1" t="s">
        <v>16</v>
      </c>
      <c r="J3444" s="1">
        <v>1</v>
      </c>
      <c r="K3444" s="1">
        <v>4</v>
      </c>
      <c r="L3444" s="1" t="s">
        <v>42</v>
      </c>
      <c r="M3444" s="1" t="s">
        <v>18</v>
      </c>
      <c r="N3444" s="1" t="s">
        <v>18</v>
      </c>
      <c r="O3444" s="1">
        <v>3</v>
      </c>
      <c r="P3444" s="1">
        <v>5</v>
      </c>
      <c r="R3444" s="1" t="s">
        <v>19</v>
      </c>
      <c r="S3444" s="1" t="s">
        <v>20</v>
      </c>
      <c r="T3444" s="1" t="s">
        <v>21</v>
      </c>
      <c r="U3444" s="1" t="s">
        <v>22</v>
      </c>
      <c r="V3444" s="1" t="s">
        <v>23</v>
      </c>
      <c r="W3444" s="1" t="s">
        <v>24</v>
      </c>
      <c r="X3444" s="1">
        <v>2728</v>
      </c>
      <c r="Y3444" s="1">
        <v>2737</v>
      </c>
      <c r="Z3444" s="1">
        <v>3612</v>
      </c>
      <c r="AA3444" s="1" t="s">
        <v>24</v>
      </c>
      <c r="AB3444" s="1" t="s">
        <v>24</v>
      </c>
      <c r="AC3444" s="1" t="s">
        <v>24</v>
      </c>
      <c r="AD3444" s="1" t="s">
        <v>24</v>
      </c>
      <c r="AE3444" s="1" t="s">
        <v>24</v>
      </c>
      <c r="AF3444" s="22"/>
    </row>
    <row r="3445" spans="1:32" x14ac:dyDescent="0.2">
      <c r="A3445" s="1">
        <v>27551</v>
      </c>
      <c r="B3445" s="1" t="s">
        <v>10663</v>
      </c>
      <c r="C3445" s="5" t="s">
        <v>0</v>
      </c>
      <c r="D3445" s="1" t="s">
        <v>10664</v>
      </c>
      <c r="E3445" s="1" t="s">
        <v>10665</v>
      </c>
      <c r="F3445" s="1" t="s">
        <v>10666</v>
      </c>
      <c r="G3445" s="1" t="s">
        <v>10666</v>
      </c>
      <c r="H3445" s="1" t="s">
        <v>2772</v>
      </c>
      <c r="I3445" s="1" t="s">
        <v>16</v>
      </c>
      <c r="J3445" s="1">
        <v>1</v>
      </c>
      <c r="K3445" s="1">
        <v>12</v>
      </c>
      <c r="L3445" s="1" t="s">
        <v>42</v>
      </c>
      <c r="M3445" s="1" t="s">
        <v>6208</v>
      </c>
      <c r="N3445" s="1" t="s">
        <v>4976</v>
      </c>
      <c r="O3445" s="1">
        <v>3</v>
      </c>
      <c r="P3445" s="1">
        <v>6</v>
      </c>
      <c r="R3445" s="1" t="s">
        <v>19</v>
      </c>
      <c r="S3445" s="1" t="s">
        <v>20</v>
      </c>
      <c r="T3445" s="1" t="s">
        <v>21</v>
      </c>
      <c r="U3445" s="1" t="s">
        <v>22</v>
      </c>
      <c r="V3445" s="1" t="s">
        <v>24</v>
      </c>
      <c r="W3445" s="1" t="s">
        <v>24</v>
      </c>
      <c r="X3445" s="1">
        <v>2748</v>
      </c>
      <c r="Y3445" s="1" t="s">
        <v>24</v>
      </c>
      <c r="Z3445" s="1" t="s">
        <v>24</v>
      </c>
      <c r="AA3445" s="1" t="s">
        <v>24</v>
      </c>
      <c r="AB3445" s="1" t="s">
        <v>24</v>
      </c>
      <c r="AC3445" s="1" t="s">
        <v>24</v>
      </c>
      <c r="AD3445" s="1" t="s">
        <v>24</v>
      </c>
      <c r="AE3445" s="1" t="s">
        <v>24</v>
      </c>
      <c r="AF3445" s="22"/>
    </row>
    <row r="3446" spans="1:32" x14ac:dyDescent="0.2">
      <c r="A3446" s="1">
        <v>27553</v>
      </c>
      <c r="B3446" s="1" t="s">
        <v>10667</v>
      </c>
      <c r="C3446" s="5" t="s">
        <v>0</v>
      </c>
      <c r="D3446" s="1" t="s">
        <v>10668</v>
      </c>
      <c r="F3446" s="1" t="s">
        <v>1065</v>
      </c>
      <c r="G3446" s="1" t="s">
        <v>1066</v>
      </c>
      <c r="H3446" s="1" t="s">
        <v>1007</v>
      </c>
      <c r="I3446" s="1" t="s">
        <v>16</v>
      </c>
      <c r="J3446" s="1">
        <v>1</v>
      </c>
      <c r="K3446" s="1">
        <v>24</v>
      </c>
      <c r="L3446" s="1" t="s">
        <v>17</v>
      </c>
      <c r="M3446" s="1" t="s">
        <v>1008</v>
      </c>
      <c r="N3446" s="1" t="s">
        <v>4418</v>
      </c>
      <c r="O3446" s="1">
        <v>3</v>
      </c>
      <c r="P3446" s="1">
        <v>5</v>
      </c>
      <c r="R3446" s="1" t="s">
        <v>19</v>
      </c>
      <c r="S3446" s="1" t="s">
        <v>20</v>
      </c>
      <c r="T3446" s="1" t="s">
        <v>21</v>
      </c>
      <c r="U3446" s="1" t="s">
        <v>22</v>
      </c>
      <c r="V3446" s="1" t="s">
        <v>24</v>
      </c>
      <c r="W3446" s="1" t="s">
        <v>24</v>
      </c>
      <c r="X3446" s="1">
        <v>2700</v>
      </c>
      <c r="Y3446" s="1" t="s">
        <v>24</v>
      </c>
      <c r="Z3446" s="1" t="s">
        <v>24</v>
      </c>
      <c r="AA3446" s="1" t="s">
        <v>24</v>
      </c>
      <c r="AB3446" s="1" t="s">
        <v>24</v>
      </c>
      <c r="AC3446" s="1" t="s">
        <v>24</v>
      </c>
      <c r="AD3446" s="1" t="s">
        <v>24</v>
      </c>
      <c r="AE3446" s="1" t="s">
        <v>24</v>
      </c>
      <c r="AF3446" s="22"/>
    </row>
    <row r="3447" spans="1:32" x14ac:dyDescent="0.2">
      <c r="A3447" s="1">
        <v>27554</v>
      </c>
      <c r="B3447" s="1" t="s">
        <v>10669</v>
      </c>
      <c r="C3447" s="5" t="s">
        <v>0</v>
      </c>
      <c r="D3447" s="1" t="s">
        <v>10670</v>
      </c>
      <c r="E3447" s="1" t="s">
        <v>10671</v>
      </c>
      <c r="F3447" s="1" t="s">
        <v>10672</v>
      </c>
      <c r="G3447" s="1" t="s">
        <v>130</v>
      </c>
      <c r="H3447" s="1" t="s">
        <v>2772</v>
      </c>
      <c r="I3447" s="1" t="s">
        <v>16</v>
      </c>
      <c r="J3447" s="1">
        <v>1</v>
      </c>
      <c r="K3447" s="1">
        <v>6</v>
      </c>
      <c r="L3447" s="1" t="s">
        <v>31</v>
      </c>
      <c r="M3447" s="1" t="s">
        <v>18</v>
      </c>
      <c r="N3447" s="1" t="s">
        <v>18</v>
      </c>
      <c r="O3447" s="1">
        <v>3</v>
      </c>
      <c r="P3447" s="1">
        <v>6</v>
      </c>
      <c r="R3447" s="1" t="s">
        <v>19</v>
      </c>
      <c r="S3447" s="1" t="s">
        <v>20</v>
      </c>
      <c r="T3447" s="1" t="s">
        <v>21</v>
      </c>
      <c r="U3447" s="1" t="s">
        <v>22</v>
      </c>
      <c r="V3447" s="1" t="s">
        <v>24</v>
      </c>
      <c r="W3447" s="1" t="s">
        <v>24</v>
      </c>
      <c r="X3447" s="1">
        <v>1305</v>
      </c>
      <c r="Y3447" s="1">
        <v>2402</v>
      </c>
      <c r="Z3447" s="1">
        <v>2204</v>
      </c>
      <c r="AA3447" s="1">
        <v>1502</v>
      </c>
      <c r="AB3447" s="1" t="s">
        <v>24</v>
      </c>
      <c r="AC3447" s="1" t="s">
        <v>24</v>
      </c>
      <c r="AD3447" s="1" t="s">
        <v>24</v>
      </c>
      <c r="AE3447" s="1" t="s">
        <v>24</v>
      </c>
      <c r="AF3447" s="22"/>
    </row>
    <row r="3448" spans="1:32" x14ac:dyDescent="0.2">
      <c r="A3448" s="1">
        <v>27561</v>
      </c>
      <c r="B3448" s="1" t="s">
        <v>10673</v>
      </c>
      <c r="C3448" s="5" t="s">
        <v>0</v>
      </c>
      <c r="E3448" s="1" t="s">
        <v>10674</v>
      </c>
      <c r="F3448" s="1" t="s">
        <v>2299</v>
      </c>
      <c r="G3448" s="1" t="s">
        <v>2300</v>
      </c>
      <c r="H3448" s="1" t="s">
        <v>37</v>
      </c>
      <c r="I3448" s="1" t="s">
        <v>16</v>
      </c>
      <c r="J3448" s="1">
        <v>1</v>
      </c>
      <c r="K3448" s="1">
        <v>1</v>
      </c>
      <c r="L3448" s="1" t="s">
        <v>31</v>
      </c>
      <c r="M3448" s="1" t="s">
        <v>18</v>
      </c>
      <c r="N3448" s="1" t="s">
        <v>18</v>
      </c>
      <c r="O3448" s="1">
        <v>3</v>
      </c>
      <c r="P3448" s="1">
        <v>6</v>
      </c>
      <c r="R3448" s="1" t="s">
        <v>19</v>
      </c>
      <c r="S3448" s="1" t="s">
        <v>63</v>
      </c>
      <c r="T3448" s="1" t="s">
        <v>21</v>
      </c>
      <c r="U3448" s="1" t="s">
        <v>22</v>
      </c>
      <c r="V3448" s="1" t="s">
        <v>24</v>
      </c>
      <c r="W3448" s="1" t="s">
        <v>24</v>
      </c>
      <c r="X3448" s="1">
        <v>1307</v>
      </c>
      <c r="Y3448" s="1">
        <v>1308</v>
      </c>
      <c r="Z3448" s="1" t="s">
        <v>24</v>
      </c>
      <c r="AA3448" s="1" t="s">
        <v>24</v>
      </c>
      <c r="AB3448" s="1" t="s">
        <v>24</v>
      </c>
      <c r="AC3448" s="1" t="s">
        <v>24</v>
      </c>
      <c r="AD3448" s="1" t="s">
        <v>24</v>
      </c>
      <c r="AE3448" s="1" t="s">
        <v>24</v>
      </c>
      <c r="AF3448" s="22"/>
    </row>
    <row r="3449" spans="1:32" x14ac:dyDescent="0.2">
      <c r="A3449" s="1">
        <v>27562</v>
      </c>
      <c r="B3449" s="5" t="s">
        <v>10675</v>
      </c>
      <c r="C3449" s="5" t="s">
        <v>50553</v>
      </c>
      <c r="E3449" s="1" t="s">
        <v>10676</v>
      </c>
      <c r="F3449" s="1" t="s">
        <v>2299</v>
      </c>
      <c r="G3449" s="1" t="s">
        <v>2300</v>
      </c>
      <c r="H3449" s="1" t="s">
        <v>37</v>
      </c>
      <c r="I3449" s="1" t="s">
        <v>16</v>
      </c>
      <c r="J3449" s="1">
        <v>1</v>
      </c>
      <c r="K3449" s="1">
        <v>1</v>
      </c>
      <c r="L3449" s="1" t="s">
        <v>31</v>
      </c>
      <c r="M3449" s="1" t="s">
        <v>18</v>
      </c>
      <c r="N3449" s="5" t="s">
        <v>18</v>
      </c>
      <c r="O3449" s="5">
        <v>3</v>
      </c>
      <c r="P3449" s="5">
        <v>7</v>
      </c>
      <c r="Q3449" s="5" t="s">
        <v>17633</v>
      </c>
      <c r="R3449" s="5" t="s">
        <v>19</v>
      </c>
      <c r="S3449" s="1" t="s">
        <v>63</v>
      </c>
      <c r="T3449" s="1" t="s">
        <v>21</v>
      </c>
      <c r="X3449" s="1">
        <v>2718</v>
      </c>
      <c r="Y3449" s="1">
        <v>2742</v>
      </c>
      <c r="AF3449" s="22"/>
    </row>
    <row r="3450" spans="1:32" x14ac:dyDescent="0.2">
      <c r="A3450" s="1">
        <v>27563</v>
      </c>
      <c r="B3450" s="1" t="s">
        <v>10677</v>
      </c>
      <c r="C3450" s="5" t="s">
        <v>0</v>
      </c>
      <c r="E3450" s="1" t="s">
        <v>10678</v>
      </c>
      <c r="F3450" s="1" t="s">
        <v>2299</v>
      </c>
      <c r="G3450" s="1" t="s">
        <v>2300</v>
      </c>
      <c r="H3450" s="1" t="s">
        <v>37</v>
      </c>
      <c r="I3450" s="1" t="s">
        <v>16</v>
      </c>
      <c r="J3450" s="1">
        <v>1</v>
      </c>
      <c r="K3450" s="1">
        <v>1</v>
      </c>
      <c r="L3450" s="1" t="s">
        <v>31</v>
      </c>
      <c r="M3450" s="1" t="s">
        <v>18</v>
      </c>
      <c r="N3450" s="1" t="s">
        <v>18</v>
      </c>
      <c r="O3450" s="1">
        <v>3</v>
      </c>
      <c r="P3450" s="1">
        <v>6</v>
      </c>
      <c r="R3450" s="1" t="s">
        <v>19</v>
      </c>
      <c r="S3450" s="1" t="s">
        <v>63</v>
      </c>
      <c r="T3450" s="1" t="s">
        <v>21</v>
      </c>
      <c r="U3450" s="1" t="s">
        <v>22</v>
      </c>
      <c r="V3450" s="1" t="s">
        <v>23</v>
      </c>
      <c r="W3450" s="1" t="s">
        <v>24</v>
      </c>
      <c r="X3450" s="1">
        <v>2701</v>
      </c>
      <c r="Y3450" s="1">
        <v>2916</v>
      </c>
      <c r="Z3450" s="1">
        <v>2712</v>
      </c>
      <c r="AA3450" s="1" t="s">
        <v>24</v>
      </c>
      <c r="AB3450" s="1" t="s">
        <v>24</v>
      </c>
      <c r="AC3450" s="1" t="s">
        <v>24</v>
      </c>
      <c r="AD3450" s="1" t="s">
        <v>24</v>
      </c>
      <c r="AE3450" s="1" t="s">
        <v>24</v>
      </c>
      <c r="AF3450" s="22"/>
    </row>
    <row r="3451" spans="1:32" x14ac:dyDescent="0.2">
      <c r="A3451" s="1">
        <v>27565</v>
      </c>
      <c r="B3451" s="1" t="s">
        <v>10679</v>
      </c>
      <c r="C3451" s="5" t="s">
        <v>0</v>
      </c>
      <c r="E3451" s="1" t="s">
        <v>10680</v>
      </c>
      <c r="F3451" s="1" t="s">
        <v>2299</v>
      </c>
      <c r="G3451" s="1" t="s">
        <v>2300</v>
      </c>
      <c r="H3451" s="1" t="s">
        <v>37</v>
      </c>
      <c r="I3451" s="1" t="s">
        <v>16</v>
      </c>
      <c r="J3451" s="1">
        <v>1</v>
      </c>
      <c r="K3451" s="1">
        <v>1</v>
      </c>
      <c r="L3451" s="1" t="s">
        <v>31</v>
      </c>
      <c r="M3451" s="1" t="s">
        <v>18</v>
      </c>
      <c r="N3451" s="1" t="s">
        <v>18</v>
      </c>
      <c r="O3451" s="1">
        <v>3</v>
      </c>
      <c r="P3451" s="1">
        <v>6</v>
      </c>
      <c r="R3451" s="1" t="s">
        <v>19</v>
      </c>
      <c r="S3451" s="1" t="s">
        <v>63</v>
      </c>
      <c r="T3451" s="1" t="s">
        <v>21</v>
      </c>
      <c r="U3451" s="1" t="s">
        <v>22</v>
      </c>
      <c r="V3451" s="1" t="s">
        <v>23</v>
      </c>
      <c r="W3451" s="1" t="s">
        <v>24</v>
      </c>
      <c r="X3451" s="1">
        <v>2729</v>
      </c>
      <c r="Y3451" s="1">
        <v>2743</v>
      </c>
      <c r="Z3451" s="1" t="s">
        <v>24</v>
      </c>
      <c r="AA3451" s="1" t="s">
        <v>24</v>
      </c>
      <c r="AB3451" s="1" t="s">
        <v>24</v>
      </c>
      <c r="AC3451" s="1" t="s">
        <v>24</v>
      </c>
      <c r="AD3451" s="1" t="s">
        <v>24</v>
      </c>
      <c r="AE3451" s="1" t="s">
        <v>24</v>
      </c>
      <c r="AF3451" s="22"/>
    </row>
    <row r="3452" spans="1:32" x14ac:dyDescent="0.2">
      <c r="A3452" s="1">
        <v>27570</v>
      </c>
      <c r="B3452" s="1" t="s">
        <v>10681</v>
      </c>
      <c r="C3452" s="5" t="s">
        <v>0</v>
      </c>
      <c r="E3452" s="1" t="s">
        <v>10682</v>
      </c>
      <c r="F3452" s="1" t="s">
        <v>2299</v>
      </c>
      <c r="G3452" s="1" t="s">
        <v>2300</v>
      </c>
      <c r="H3452" s="1" t="s">
        <v>37</v>
      </c>
      <c r="I3452" s="1" t="s">
        <v>16</v>
      </c>
      <c r="J3452" s="1">
        <v>1</v>
      </c>
      <c r="K3452" s="1">
        <v>1</v>
      </c>
      <c r="L3452" s="1" t="s">
        <v>31</v>
      </c>
      <c r="M3452" s="1" t="s">
        <v>18</v>
      </c>
      <c r="N3452" s="1" t="s">
        <v>18</v>
      </c>
      <c r="O3452" s="1">
        <v>3</v>
      </c>
      <c r="P3452" s="1">
        <v>6</v>
      </c>
      <c r="R3452" s="1" t="s">
        <v>19</v>
      </c>
      <c r="S3452" s="1" t="s">
        <v>63</v>
      </c>
      <c r="T3452" s="1" t="s">
        <v>21</v>
      </c>
      <c r="U3452" s="1" t="s">
        <v>22</v>
      </c>
      <c r="V3452" s="1" t="s">
        <v>24</v>
      </c>
      <c r="W3452" s="1" t="s">
        <v>24</v>
      </c>
      <c r="X3452" s="1">
        <v>2406</v>
      </c>
      <c r="Y3452" s="1">
        <v>2725</v>
      </c>
      <c r="Z3452" s="1" t="s">
        <v>24</v>
      </c>
      <c r="AA3452" s="1" t="s">
        <v>24</v>
      </c>
      <c r="AB3452" s="1" t="s">
        <v>24</v>
      </c>
      <c r="AC3452" s="1" t="s">
        <v>24</v>
      </c>
      <c r="AD3452" s="1" t="s">
        <v>24</v>
      </c>
      <c r="AE3452" s="1" t="s">
        <v>24</v>
      </c>
      <c r="AF3452" s="22"/>
    </row>
    <row r="3453" spans="1:32" x14ac:dyDescent="0.2">
      <c r="A3453" s="1">
        <v>27575</v>
      </c>
      <c r="B3453" s="1" t="s">
        <v>10683</v>
      </c>
      <c r="C3453" s="5" t="s">
        <v>0</v>
      </c>
      <c r="D3453" s="1" t="s">
        <v>10684</v>
      </c>
      <c r="E3453" s="1" t="s">
        <v>10685</v>
      </c>
      <c r="F3453" s="1" t="s">
        <v>1897</v>
      </c>
      <c r="G3453" s="1" t="s">
        <v>1898</v>
      </c>
      <c r="H3453" s="1" t="s">
        <v>899</v>
      </c>
      <c r="I3453" s="1" t="s">
        <v>16</v>
      </c>
      <c r="J3453" s="1">
        <v>1</v>
      </c>
      <c r="K3453" s="1">
        <v>4</v>
      </c>
      <c r="L3453" s="1" t="s">
        <v>31</v>
      </c>
      <c r="M3453" s="1" t="s">
        <v>18</v>
      </c>
      <c r="N3453" s="1" t="s">
        <v>18</v>
      </c>
      <c r="O3453" s="1">
        <v>3</v>
      </c>
      <c r="P3453" s="1">
        <v>6</v>
      </c>
      <c r="R3453" s="1" t="s">
        <v>19</v>
      </c>
      <c r="S3453" s="1" t="s">
        <v>63</v>
      </c>
      <c r="T3453" s="1" t="s">
        <v>21</v>
      </c>
      <c r="U3453" s="1" t="s">
        <v>22</v>
      </c>
      <c r="V3453" s="1" t="s">
        <v>24</v>
      </c>
      <c r="W3453" s="1" t="s">
        <v>24</v>
      </c>
      <c r="X3453" s="1">
        <v>2734</v>
      </c>
      <c r="Y3453" s="1" t="s">
        <v>24</v>
      </c>
      <c r="Z3453" s="1" t="s">
        <v>24</v>
      </c>
      <c r="AA3453" s="1" t="s">
        <v>24</v>
      </c>
      <c r="AB3453" s="1" t="s">
        <v>24</v>
      </c>
      <c r="AC3453" s="1" t="s">
        <v>24</v>
      </c>
      <c r="AD3453" s="1" t="s">
        <v>24</v>
      </c>
      <c r="AE3453" s="1" t="s">
        <v>24</v>
      </c>
      <c r="AF3453" s="22"/>
    </row>
    <row r="3454" spans="1:32" x14ac:dyDescent="0.2">
      <c r="A3454" s="1">
        <v>27578</v>
      </c>
      <c r="B3454" s="1" t="s">
        <v>10686</v>
      </c>
      <c r="C3454" s="5" t="s">
        <v>0</v>
      </c>
      <c r="E3454" s="1" t="s">
        <v>10687</v>
      </c>
      <c r="F3454" s="1" t="s">
        <v>2299</v>
      </c>
      <c r="G3454" s="1" t="s">
        <v>2300</v>
      </c>
      <c r="H3454" s="1" t="s">
        <v>37</v>
      </c>
      <c r="I3454" s="1" t="s">
        <v>16</v>
      </c>
      <c r="J3454" s="1">
        <v>1</v>
      </c>
      <c r="K3454" s="1">
        <v>1</v>
      </c>
      <c r="L3454" s="1" t="s">
        <v>31</v>
      </c>
      <c r="M3454" s="1" t="s">
        <v>18</v>
      </c>
      <c r="N3454" s="1" t="s">
        <v>18</v>
      </c>
      <c r="O3454" s="1">
        <v>3</v>
      </c>
      <c r="P3454" s="1">
        <v>6</v>
      </c>
      <c r="R3454" s="1" t="s">
        <v>19</v>
      </c>
      <c r="S3454" s="1" t="s">
        <v>63</v>
      </c>
      <c r="T3454" s="1" t="s">
        <v>21</v>
      </c>
      <c r="U3454" s="1" t="s">
        <v>22</v>
      </c>
      <c r="V3454" s="1" t="s">
        <v>24</v>
      </c>
      <c r="W3454" s="1" t="s">
        <v>24</v>
      </c>
      <c r="X3454" s="1">
        <v>2713</v>
      </c>
      <c r="Y3454" s="1" t="s">
        <v>24</v>
      </c>
      <c r="Z3454" s="1" t="s">
        <v>24</v>
      </c>
      <c r="AA3454" s="1" t="s">
        <v>24</v>
      </c>
      <c r="AB3454" s="1" t="s">
        <v>24</v>
      </c>
      <c r="AC3454" s="1" t="s">
        <v>24</v>
      </c>
      <c r="AD3454" s="1" t="s">
        <v>24</v>
      </c>
      <c r="AE3454" s="1" t="s">
        <v>24</v>
      </c>
      <c r="AF3454" s="22"/>
    </row>
    <row r="3455" spans="1:32" x14ac:dyDescent="0.2">
      <c r="A3455" s="1">
        <v>27581</v>
      </c>
      <c r="B3455" s="1" t="s">
        <v>10688</v>
      </c>
      <c r="C3455" s="5" t="s">
        <v>0</v>
      </c>
      <c r="E3455" s="1" t="s">
        <v>10689</v>
      </c>
      <c r="F3455" s="1" t="s">
        <v>2299</v>
      </c>
      <c r="G3455" s="1" t="s">
        <v>2300</v>
      </c>
      <c r="H3455" s="1" t="s">
        <v>37</v>
      </c>
      <c r="I3455" s="1" t="s">
        <v>16</v>
      </c>
      <c r="J3455" s="1">
        <v>1</v>
      </c>
      <c r="K3455" s="1">
        <v>1</v>
      </c>
      <c r="L3455" s="1" t="s">
        <v>31</v>
      </c>
      <c r="M3455" s="1" t="s">
        <v>18</v>
      </c>
      <c r="N3455" s="1" t="s">
        <v>18</v>
      </c>
      <c r="O3455" s="1">
        <v>3</v>
      </c>
      <c r="P3455" s="1">
        <v>6</v>
      </c>
      <c r="R3455" s="1" t="s">
        <v>19</v>
      </c>
      <c r="S3455" s="1" t="s">
        <v>63</v>
      </c>
      <c r="T3455" s="1" t="s">
        <v>21</v>
      </c>
      <c r="U3455" s="1" t="s">
        <v>22</v>
      </c>
      <c r="V3455" s="1" t="s">
        <v>24</v>
      </c>
      <c r="W3455" s="1" t="s">
        <v>24</v>
      </c>
      <c r="X3455" s="1">
        <v>2713</v>
      </c>
      <c r="Y3455" s="1" t="s">
        <v>24</v>
      </c>
      <c r="Z3455" s="1" t="s">
        <v>24</v>
      </c>
      <c r="AA3455" s="1" t="s">
        <v>24</v>
      </c>
      <c r="AB3455" s="1" t="s">
        <v>24</v>
      </c>
      <c r="AC3455" s="1" t="s">
        <v>24</v>
      </c>
      <c r="AD3455" s="1" t="s">
        <v>24</v>
      </c>
      <c r="AE3455" s="1" t="s">
        <v>24</v>
      </c>
      <c r="AF3455" s="22"/>
    </row>
    <row r="3456" spans="1:32" x14ac:dyDescent="0.2">
      <c r="A3456" s="1">
        <v>27585</v>
      </c>
      <c r="B3456" s="1" t="s">
        <v>10690</v>
      </c>
      <c r="C3456" s="5" t="s">
        <v>0</v>
      </c>
      <c r="D3456" s="1" t="s">
        <v>10691</v>
      </c>
      <c r="F3456" s="1" t="s">
        <v>10692</v>
      </c>
      <c r="G3456" s="1" t="s">
        <v>10692</v>
      </c>
      <c r="H3456" s="1" t="s">
        <v>222</v>
      </c>
      <c r="I3456" s="1" t="s">
        <v>16</v>
      </c>
      <c r="J3456" s="1">
        <v>1</v>
      </c>
      <c r="K3456" s="1">
        <v>1</v>
      </c>
      <c r="L3456" s="1" t="s">
        <v>42</v>
      </c>
      <c r="M3456" s="1" t="s">
        <v>18</v>
      </c>
      <c r="N3456" s="1" t="s">
        <v>18</v>
      </c>
      <c r="O3456" s="1">
        <v>3</v>
      </c>
      <c r="P3456" s="1">
        <v>6</v>
      </c>
      <c r="R3456" s="1" t="s">
        <v>19</v>
      </c>
      <c r="S3456" s="1" t="s">
        <v>63</v>
      </c>
      <c r="T3456" s="1" t="s">
        <v>21</v>
      </c>
      <c r="U3456" s="1" t="s">
        <v>22</v>
      </c>
      <c r="V3456" s="1" t="s">
        <v>24</v>
      </c>
      <c r="W3456" s="1" t="s">
        <v>24</v>
      </c>
      <c r="X3456" s="1">
        <v>2729</v>
      </c>
      <c r="Y3456" s="1">
        <v>1309</v>
      </c>
      <c r="Z3456" s="1">
        <v>2743</v>
      </c>
      <c r="AA3456" s="1" t="s">
        <v>24</v>
      </c>
      <c r="AB3456" s="1" t="s">
        <v>24</v>
      </c>
      <c r="AC3456" s="1" t="s">
        <v>24</v>
      </c>
      <c r="AD3456" s="1" t="s">
        <v>24</v>
      </c>
      <c r="AE3456" s="1" t="s">
        <v>24</v>
      </c>
      <c r="AF3456" s="22"/>
    </row>
    <row r="3457" spans="1:32" x14ac:dyDescent="0.2">
      <c r="A3457" s="1">
        <v>27714</v>
      </c>
      <c r="B3457" s="1" t="s">
        <v>10693</v>
      </c>
      <c r="C3457" s="5" t="s">
        <v>0</v>
      </c>
      <c r="D3457" s="1" t="s">
        <v>10694</v>
      </c>
      <c r="E3457" s="1" t="s">
        <v>10695</v>
      </c>
      <c r="F3457" s="1" t="s">
        <v>217</v>
      </c>
      <c r="G3457" s="1" t="s">
        <v>130</v>
      </c>
      <c r="H3457" s="1" t="s">
        <v>92</v>
      </c>
      <c r="I3457" s="1" t="s">
        <v>16</v>
      </c>
      <c r="J3457" s="1">
        <v>1</v>
      </c>
      <c r="K3457" s="1">
        <v>4</v>
      </c>
      <c r="L3457" s="1" t="s">
        <v>31</v>
      </c>
      <c r="M3457" s="1" t="s">
        <v>18</v>
      </c>
      <c r="N3457" s="1" t="s">
        <v>18</v>
      </c>
      <c r="O3457" s="1">
        <v>1</v>
      </c>
      <c r="P3457" s="1">
        <v>1</v>
      </c>
      <c r="R3457" s="1" t="s">
        <v>19</v>
      </c>
      <c r="S3457" s="1" t="s">
        <v>20</v>
      </c>
      <c r="T3457" s="1" t="s">
        <v>21</v>
      </c>
      <c r="U3457" s="1" t="s">
        <v>22</v>
      </c>
      <c r="V3457" s="1" t="s">
        <v>24</v>
      </c>
      <c r="W3457" s="1" t="s">
        <v>24</v>
      </c>
      <c r="X3457" s="1">
        <v>1307</v>
      </c>
      <c r="Y3457" s="1">
        <v>1312</v>
      </c>
      <c r="Z3457" s="1">
        <v>2804</v>
      </c>
      <c r="AA3457" s="1" t="s">
        <v>24</v>
      </c>
      <c r="AB3457" s="1" t="s">
        <v>24</v>
      </c>
      <c r="AC3457" s="1" t="s">
        <v>24</v>
      </c>
      <c r="AD3457" s="1" t="s">
        <v>24</v>
      </c>
      <c r="AE3457" s="1" t="s">
        <v>24</v>
      </c>
      <c r="AF3457" s="22"/>
    </row>
    <row r="3458" spans="1:32" x14ac:dyDescent="0.2">
      <c r="A3458" s="1">
        <v>27747</v>
      </c>
      <c r="B3458" s="1" t="s">
        <v>10696</v>
      </c>
      <c r="C3458" s="5" t="s">
        <v>0</v>
      </c>
      <c r="D3458" s="1" t="s">
        <v>10697</v>
      </c>
      <c r="E3458" s="1" t="s">
        <v>10698</v>
      </c>
      <c r="F3458" s="1" t="s">
        <v>190</v>
      </c>
      <c r="G3458" s="1" t="s">
        <v>130</v>
      </c>
      <c r="H3458" s="1" t="s">
        <v>30</v>
      </c>
      <c r="I3458" s="1" t="s">
        <v>16</v>
      </c>
      <c r="J3458" s="1">
        <v>1</v>
      </c>
      <c r="K3458" s="1">
        <v>6</v>
      </c>
      <c r="L3458" s="1" t="s">
        <v>31</v>
      </c>
      <c r="M3458" s="1" t="s">
        <v>18</v>
      </c>
      <c r="N3458" s="1" t="s">
        <v>18</v>
      </c>
      <c r="O3458" s="1">
        <v>1</v>
      </c>
      <c r="P3458" s="1">
        <v>1</v>
      </c>
      <c r="R3458" s="1" t="s">
        <v>19</v>
      </c>
      <c r="S3458" s="1" t="s">
        <v>20</v>
      </c>
      <c r="T3458" s="1" t="s">
        <v>21</v>
      </c>
      <c r="U3458" s="1" t="s">
        <v>22</v>
      </c>
      <c r="V3458" s="1" t="s">
        <v>24</v>
      </c>
      <c r="W3458" s="1" t="s">
        <v>24</v>
      </c>
      <c r="X3458" s="1">
        <v>1303</v>
      </c>
      <c r="Y3458" s="1">
        <v>1308</v>
      </c>
      <c r="Z3458" s="1">
        <v>2712</v>
      </c>
      <c r="AA3458" s="1" t="s">
        <v>24</v>
      </c>
      <c r="AB3458" s="1" t="s">
        <v>24</v>
      </c>
      <c r="AC3458" s="1" t="s">
        <v>24</v>
      </c>
      <c r="AD3458" s="1" t="s">
        <v>24</v>
      </c>
      <c r="AE3458" s="1" t="s">
        <v>24</v>
      </c>
      <c r="AF3458" s="22"/>
    </row>
    <row r="3459" spans="1:32" x14ac:dyDescent="0.2">
      <c r="A3459" s="1">
        <v>27758</v>
      </c>
      <c r="B3459" s="1" t="s">
        <v>10699</v>
      </c>
      <c r="C3459" s="5" t="s">
        <v>0</v>
      </c>
      <c r="D3459" s="1" t="s">
        <v>10700</v>
      </c>
      <c r="E3459" s="1" t="s">
        <v>10701</v>
      </c>
      <c r="F3459" s="1" t="s">
        <v>167</v>
      </c>
      <c r="G3459" s="1" t="s">
        <v>130</v>
      </c>
      <c r="H3459" s="1" t="s">
        <v>168</v>
      </c>
      <c r="I3459" s="1" t="s">
        <v>16</v>
      </c>
      <c r="J3459" s="1">
        <v>1</v>
      </c>
      <c r="K3459" s="1">
        <v>6</v>
      </c>
      <c r="L3459" s="1" t="s">
        <v>31</v>
      </c>
      <c r="M3459" s="1" t="s">
        <v>18</v>
      </c>
      <c r="N3459" s="1" t="s">
        <v>18</v>
      </c>
      <c r="O3459" s="1">
        <v>3</v>
      </c>
      <c r="P3459" s="1">
        <v>6</v>
      </c>
      <c r="R3459" s="1" t="s">
        <v>19</v>
      </c>
      <c r="S3459" s="1" t="s">
        <v>20</v>
      </c>
      <c r="T3459" s="1" t="s">
        <v>21</v>
      </c>
      <c r="U3459" s="1" t="s">
        <v>22</v>
      </c>
      <c r="V3459" s="1" t="s">
        <v>24</v>
      </c>
      <c r="W3459" s="1" t="s">
        <v>24</v>
      </c>
      <c r="X3459" s="1">
        <v>2730</v>
      </c>
      <c r="Y3459" s="1" t="s">
        <v>24</v>
      </c>
      <c r="Z3459" s="1" t="s">
        <v>24</v>
      </c>
      <c r="AA3459" s="1" t="s">
        <v>24</v>
      </c>
      <c r="AB3459" s="1" t="s">
        <v>24</v>
      </c>
      <c r="AC3459" s="1" t="s">
        <v>24</v>
      </c>
      <c r="AD3459" s="1" t="s">
        <v>24</v>
      </c>
      <c r="AE3459" s="1" t="s">
        <v>24</v>
      </c>
      <c r="AF3459" s="22"/>
    </row>
    <row r="3460" spans="1:32" x14ac:dyDescent="0.2">
      <c r="A3460" s="1">
        <v>27779</v>
      </c>
      <c r="B3460" s="1" t="s">
        <v>10702</v>
      </c>
      <c r="C3460" s="5" t="s">
        <v>0</v>
      </c>
      <c r="D3460" s="1" t="s">
        <v>10703</v>
      </c>
      <c r="E3460" s="1" t="s">
        <v>10704</v>
      </c>
      <c r="F3460" s="1" t="s">
        <v>167</v>
      </c>
      <c r="G3460" s="1" t="s">
        <v>130</v>
      </c>
      <c r="H3460" s="1" t="s">
        <v>168</v>
      </c>
      <c r="I3460" s="1" t="s">
        <v>16</v>
      </c>
      <c r="J3460" s="1">
        <v>1</v>
      </c>
      <c r="K3460" s="1">
        <v>8</v>
      </c>
      <c r="L3460" s="1" t="s">
        <v>31</v>
      </c>
      <c r="M3460" s="1" t="s">
        <v>413</v>
      </c>
      <c r="N3460" s="1" t="s">
        <v>679</v>
      </c>
      <c r="O3460" s="1">
        <v>3</v>
      </c>
      <c r="P3460" s="1">
        <v>6</v>
      </c>
      <c r="R3460" s="1" t="s">
        <v>19</v>
      </c>
      <c r="S3460" s="1" t="s">
        <v>20</v>
      </c>
      <c r="T3460" s="1" t="s">
        <v>21</v>
      </c>
      <c r="U3460" s="1" t="s">
        <v>22</v>
      </c>
      <c r="V3460" s="1" t="s">
        <v>23</v>
      </c>
      <c r="W3460" s="1" t="s">
        <v>24</v>
      </c>
      <c r="X3460" s="1">
        <v>2711</v>
      </c>
      <c r="Y3460" s="1" t="s">
        <v>24</v>
      </c>
      <c r="Z3460" s="1" t="s">
        <v>24</v>
      </c>
      <c r="AA3460" s="1" t="s">
        <v>24</v>
      </c>
      <c r="AB3460" s="1" t="s">
        <v>24</v>
      </c>
      <c r="AC3460" s="1" t="s">
        <v>24</v>
      </c>
      <c r="AD3460" s="1" t="s">
        <v>24</v>
      </c>
      <c r="AE3460" s="1" t="s">
        <v>24</v>
      </c>
      <c r="AF3460" s="22"/>
    </row>
    <row r="3461" spans="1:32" x14ac:dyDescent="0.2">
      <c r="A3461" s="1">
        <v>27780</v>
      </c>
      <c r="B3461" s="1" t="s">
        <v>10705</v>
      </c>
      <c r="C3461" s="5" t="s">
        <v>0</v>
      </c>
      <c r="D3461" s="1" t="s">
        <v>10706</v>
      </c>
      <c r="E3461" s="1" t="s">
        <v>10707</v>
      </c>
      <c r="F3461" s="1" t="s">
        <v>167</v>
      </c>
      <c r="G3461" s="1" t="s">
        <v>130</v>
      </c>
      <c r="H3461" s="1" t="s">
        <v>168</v>
      </c>
      <c r="I3461" s="1" t="s">
        <v>16</v>
      </c>
      <c r="J3461" s="1">
        <v>1</v>
      </c>
      <c r="K3461" s="1">
        <v>6</v>
      </c>
      <c r="L3461" s="1" t="s">
        <v>31</v>
      </c>
      <c r="M3461" s="1" t="s">
        <v>413</v>
      </c>
      <c r="N3461" s="1" t="s">
        <v>242</v>
      </c>
      <c r="O3461" s="1">
        <v>3</v>
      </c>
      <c r="P3461" s="1">
        <v>6</v>
      </c>
      <c r="R3461" s="1" t="s">
        <v>19</v>
      </c>
      <c r="S3461" s="1" t="s">
        <v>20</v>
      </c>
      <c r="T3461" s="1" t="s">
        <v>21</v>
      </c>
      <c r="U3461" s="1" t="s">
        <v>22</v>
      </c>
      <c r="V3461" s="1" t="s">
        <v>24</v>
      </c>
      <c r="W3461" s="1" t="s">
        <v>24</v>
      </c>
      <c r="X3461" s="1">
        <v>2740</v>
      </c>
      <c r="Y3461" s="1" t="s">
        <v>24</v>
      </c>
      <c r="Z3461" s="1" t="s">
        <v>24</v>
      </c>
      <c r="AA3461" s="1" t="s">
        <v>24</v>
      </c>
      <c r="AB3461" s="1" t="s">
        <v>24</v>
      </c>
      <c r="AC3461" s="1" t="s">
        <v>24</v>
      </c>
      <c r="AD3461" s="1" t="s">
        <v>24</v>
      </c>
      <c r="AE3461" s="1" t="s">
        <v>24</v>
      </c>
      <c r="AF3461" s="22"/>
    </row>
    <row r="3462" spans="1:32" x14ac:dyDescent="0.2">
      <c r="A3462" s="1">
        <v>27831</v>
      </c>
      <c r="B3462" s="1" t="s">
        <v>10708</v>
      </c>
      <c r="C3462" s="5" t="s">
        <v>0</v>
      </c>
      <c r="D3462" s="1" t="s">
        <v>10709</v>
      </c>
      <c r="E3462" s="1" t="s">
        <v>10710</v>
      </c>
      <c r="F3462" s="1" t="s">
        <v>1177</v>
      </c>
      <c r="G3462" s="1" t="s">
        <v>61</v>
      </c>
      <c r="H3462" s="1" t="s">
        <v>37</v>
      </c>
      <c r="I3462" s="1" t="s">
        <v>16</v>
      </c>
      <c r="J3462" s="1">
        <v>1</v>
      </c>
      <c r="K3462" s="1">
        <v>6</v>
      </c>
      <c r="L3462" s="1" t="s">
        <v>31</v>
      </c>
      <c r="M3462" s="1" t="s">
        <v>18</v>
      </c>
      <c r="N3462" s="1" t="s">
        <v>18</v>
      </c>
      <c r="O3462" s="1">
        <v>3</v>
      </c>
      <c r="P3462" s="1">
        <v>6</v>
      </c>
      <c r="R3462" s="1" t="s">
        <v>19</v>
      </c>
      <c r="S3462" s="1" t="s">
        <v>20</v>
      </c>
      <c r="T3462" s="1" t="s">
        <v>21</v>
      </c>
      <c r="U3462" s="1" t="s">
        <v>22</v>
      </c>
      <c r="V3462" s="1" t="s">
        <v>23</v>
      </c>
      <c r="W3462" s="1" t="s">
        <v>24</v>
      </c>
      <c r="X3462" s="1">
        <v>2735</v>
      </c>
      <c r="Y3462" s="1" t="s">
        <v>24</v>
      </c>
      <c r="Z3462" s="1" t="s">
        <v>24</v>
      </c>
      <c r="AA3462" s="1" t="s">
        <v>24</v>
      </c>
      <c r="AB3462" s="1" t="s">
        <v>24</v>
      </c>
      <c r="AC3462" s="1" t="s">
        <v>24</v>
      </c>
      <c r="AD3462" s="1" t="s">
        <v>24</v>
      </c>
      <c r="AE3462" s="1" t="s">
        <v>24</v>
      </c>
      <c r="AF3462" s="22"/>
    </row>
    <row r="3463" spans="1:32" x14ac:dyDescent="0.2">
      <c r="A3463" s="1">
        <v>27871</v>
      </c>
      <c r="B3463" s="1" t="s">
        <v>10711</v>
      </c>
      <c r="C3463" s="5" t="s">
        <v>0</v>
      </c>
      <c r="D3463" s="1" t="s">
        <v>10712</v>
      </c>
      <c r="E3463" s="1" t="s">
        <v>10713</v>
      </c>
      <c r="F3463" s="1" t="s">
        <v>35</v>
      </c>
      <c r="G3463" s="1" t="s">
        <v>36</v>
      </c>
      <c r="H3463" s="1" t="s">
        <v>37</v>
      </c>
      <c r="I3463" s="1" t="s">
        <v>16</v>
      </c>
      <c r="J3463" s="1">
        <v>1</v>
      </c>
      <c r="K3463" s="1">
        <v>24</v>
      </c>
      <c r="L3463" s="1" t="s">
        <v>31</v>
      </c>
      <c r="M3463" s="1" t="s">
        <v>18</v>
      </c>
      <c r="N3463" s="1" t="s">
        <v>18</v>
      </c>
      <c r="O3463" s="1">
        <v>3</v>
      </c>
      <c r="P3463" s="1">
        <v>8</v>
      </c>
      <c r="Q3463" s="7" t="s">
        <v>17633</v>
      </c>
      <c r="R3463" s="1" t="s">
        <v>19</v>
      </c>
      <c r="S3463" s="1" t="s">
        <v>20</v>
      </c>
      <c r="T3463" s="1" t="s">
        <v>21</v>
      </c>
      <c r="U3463" s="1" t="s">
        <v>22</v>
      </c>
      <c r="V3463" s="1" t="s">
        <v>24</v>
      </c>
      <c r="W3463" s="1" t="s">
        <v>64</v>
      </c>
      <c r="X3463" s="1">
        <v>1303</v>
      </c>
      <c r="Y3463" s="1">
        <v>1307</v>
      </c>
      <c r="Z3463" s="1">
        <v>1312</v>
      </c>
      <c r="AA3463" s="1" t="s">
        <v>24</v>
      </c>
      <c r="AB3463" s="1" t="s">
        <v>24</v>
      </c>
      <c r="AC3463" s="1" t="s">
        <v>24</v>
      </c>
      <c r="AD3463" s="1" t="s">
        <v>24</v>
      </c>
      <c r="AE3463" s="1" t="s">
        <v>24</v>
      </c>
      <c r="AF3463" s="22"/>
    </row>
    <row r="3464" spans="1:32" x14ac:dyDescent="0.2">
      <c r="A3464" s="1">
        <v>27879</v>
      </c>
      <c r="B3464" s="1" t="s">
        <v>10714</v>
      </c>
      <c r="C3464" s="5" t="s">
        <v>0</v>
      </c>
      <c r="D3464" s="1" t="s">
        <v>10715</v>
      </c>
      <c r="E3464" s="1" t="s">
        <v>10716</v>
      </c>
      <c r="F3464" s="1" t="s">
        <v>831</v>
      </c>
      <c r="G3464" s="1" t="s">
        <v>61</v>
      </c>
      <c r="H3464" s="1" t="s">
        <v>37</v>
      </c>
      <c r="I3464" s="1" t="s">
        <v>16</v>
      </c>
      <c r="J3464" s="1">
        <v>0</v>
      </c>
      <c r="K3464" s="1">
        <v>0</v>
      </c>
      <c r="L3464" s="1" t="s">
        <v>31</v>
      </c>
      <c r="M3464" s="1" t="s">
        <v>18</v>
      </c>
      <c r="N3464" s="1" t="s">
        <v>18</v>
      </c>
      <c r="O3464" s="1">
        <v>3</v>
      </c>
      <c r="P3464" s="1">
        <v>5</v>
      </c>
      <c r="R3464" s="1" t="s">
        <v>19</v>
      </c>
      <c r="S3464" s="1" t="s">
        <v>20</v>
      </c>
      <c r="T3464" s="1" t="s">
        <v>21</v>
      </c>
      <c r="U3464" s="1" t="s">
        <v>22</v>
      </c>
      <c r="V3464" s="1" t="s">
        <v>23</v>
      </c>
      <c r="W3464" s="1" t="s">
        <v>24</v>
      </c>
      <c r="X3464" s="1">
        <v>2701</v>
      </c>
      <c r="Y3464" s="1">
        <v>2916</v>
      </c>
      <c r="Z3464" s="1">
        <v>2706</v>
      </c>
      <c r="AA3464" s="1" t="s">
        <v>24</v>
      </c>
      <c r="AB3464" s="1" t="s">
        <v>24</v>
      </c>
      <c r="AC3464" s="1" t="s">
        <v>24</v>
      </c>
      <c r="AD3464" s="1" t="s">
        <v>24</v>
      </c>
      <c r="AE3464" s="1" t="s">
        <v>24</v>
      </c>
      <c r="AF3464" s="22"/>
    </row>
    <row r="3465" spans="1:32" x14ac:dyDescent="0.2">
      <c r="A3465" s="1">
        <v>27920</v>
      </c>
      <c r="B3465" s="1" t="s">
        <v>10717</v>
      </c>
      <c r="C3465" s="5" t="s">
        <v>0</v>
      </c>
      <c r="D3465" s="1" t="s">
        <v>10718</v>
      </c>
      <c r="F3465" s="1" t="s">
        <v>10719</v>
      </c>
      <c r="G3465" s="1" t="s">
        <v>10720</v>
      </c>
      <c r="H3465" s="1" t="s">
        <v>428</v>
      </c>
      <c r="I3465" s="1" t="s">
        <v>16</v>
      </c>
      <c r="J3465" s="1">
        <v>0</v>
      </c>
      <c r="K3465" s="1">
        <v>0</v>
      </c>
      <c r="L3465" s="1" t="s">
        <v>17</v>
      </c>
      <c r="M3465" s="1" t="s">
        <v>2835</v>
      </c>
      <c r="N3465" s="1" t="s">
        <v>2835</v>
      </c>
      <c r="O3465" s="1">
        <v>2</v>
      </c>
      <c r="P3465" s="1">
        <v>4</v>
      </c>
      <c r="R3465" s="1" t="s">
        <v>19</v>
      </c>
      <c r="S3465" s="1" t="s">
        <v>20</v>
      </c>
      <c r="T3465" s="1" t="s">
        <v>21</v>
      </c>
      <c r="U3465" s="1" t="s">
        <v>22</v>
      </c>
      <c r="V3465" s="1" t="s">
        <v>24</v>
      </c>
      <c r="W3465" s="1" t="s">
        <v>24</v>
      </c>
      <c r="X3465" s="1">
        <v>2700</v>
      </c>
      <c r="Y3465" s="1" t="s">
        <v>24</v>
      </c>
      <c r="Z3465" s="1" t="s">
        <v>24</v>
      </c>
      <c r="AA3465" s="1" t="s">
        <v>24</v>
      </c>
      <c r="AB3465" s="1" t="s">
        <v>24</v>
      </c>
      <c r="AC3465" s="1" t="s">
        <v>24</v>
      </c>
      <c r="AD3465" s="1" t="s">
        <v>24</v>
      </c>
      <c r="AE3465" s="1" t="s">
        <v>24</v>
      </c>
      <c r="AF3465" s="22"/>
    </row>
    <row r="3466" spans="1:32" x14ac:dyDescent="0.2">
      <c r="A3466" s="1">
        <v>27959</v>
      </c>
      <c r="B3466" s="1" t="s">
        <v>10721</v>
      </c>
      <c r="C3466" s="5" t="s">
        <v>0</v>
      </c>
      <c r="D3466" s="1" t="s">
        <v>10722</v>
      </c>
      <c r="E3466" s="1" t="s">
        <v>10723</v>
      </c>
      <c r="F3466" s="1" t="s">
        <v>35</v>
      </c>
      <c r="G3466" s="1" t="s">
        <v>36</v>
      </c>
      <c r="H3466" s="1" t="s">
        <v>37</v>
      </c>
      <c r="I3466" s="1" t="s">
        <v>16</v>
      </c>
      <c r="J3466" s="1">
        <v>1</v>
      </c>
      <c r="K3466" s="1">
        <v>6</v>
      </c>
      <c r="L3466" s="1" t="s">
        <v>31</v>
      </c>
      <c r="M3466" s="1" t="s">
        <v>18</v>
      </c>
      <c r="N3466" s="1" t="s">
        <v>18</v>
      </c>
      <c r="O3466" s="1">
        <v>3</v>
      </c>
      <c r="P3466" s="1">
        <v>7</v>
      </c>
      <c r="Q3466" s="7" t="s">
        <v>17633</v>
      </c>
      <c r="R3466" s="1" t="s">
        <v>19</v>
      </c>
      <c r="S3466" s="1" t="s">
        <v>20</v>
      </c>
      <c r="T3466" s="1" t="s">
        <v>21</v>
      </c>
      <c r="U3466" s="1" t="s">
        <v>22</v>
      </c>
      <c r="V3466" s="1" t="s">
        <v>24</v>
      </c>
      <c r="W3466" s="1" t="s">
        <v>24</v>
      </c>
      <c r="X3466" s="1">
        <v>1311</v>
      </c>
      <c r="Y3466" s="1">
        <v>1312</v>
      </c>
      <c r="Z3466" s="1">
        <v>2403</v>
      </c>
      <c r="AA3466" s="1">
        <v>2716</v>
      </c>
      <c r="AB3466" s="1" t="s">
        <v>24</v>
      </c>
      <c r="AC3466" s="1" t="s">
        <v>24</v>
      </c>
      <c r="AD3466" s="1" t="s">
        <v>24</v>
      </c>
      <c r="AE3466" s="1" t="s">
        <v>24</v>
      </c>
      <c r="AF3466" s="22"/>
    </row>
    <row r="3467" spans="1:32" x14ac:dyDescent="0.2">
      <c r="A3467" s="1">
        <v>27979</v>
      </c>
      <c r="B3467" s="1" t="s">
        <v>10724</v>
      </c>
      <c r="C3467" s="5" t="s">
        <v>0</v>
      </c>
      <c r="D3467" s="1" t="s">
        <v>10725</v>
      </c>
      <c r="E3467" s="1" t="s">
        <v>10726</v>
      </c>
      <c r="F3467" s="1" t="s">
        <v>291</v>
      </c>
      <c r="G3467" s="1" t="s">
        <v>292</v>
      </c>
      <c r="H3467" s="1" t="s">
        <v>37</v>
      </c>
      <c r="I3467" s="1" t="s">
        <v>16</v>
      </c>
      <c r="J3467" s="1">
        <v>1</v>
      </c>
      <c r="K3467" s="1">
        <v>6</v>
      </c>
      <c r="L3467" s="1" t="s">
        <v>31</v>
      </c>
      <c r="M3467" s="1" t="s">
        <v>18</v>
      </c>
      <c r="N3467" s="1" t="s">
        <v>18</v>
      </c>
      <c r="O3467" s="1">
        <v>3</v>
      </c>
      <c r="P3467" s="1">
        <v>7</v>
      </c>
      <c r="Q3467" s="7" t="s">
        <v>17633</v>
      </c>
      <c r="R3467" s="1" t="s">
        <v>19</v>
      </c>
      <c r="S3467" s="1" t="s">
        <v>20</v>
      </c>
      <c r="T3467" s="1" t="s">
        <v>21</v>
      </c>
      <c r="U3467" s="1" t="s">
        <v>22</v>
      </c>
      <c r="V3467" s="1" t="s">
        <v>24</v>
      </c>
      <c r="W3467" s="1" t="s">
        <v>24</v>
      </c>
      <c r="X3467" s="1">
        <v>2734</v>
      </c>
      <c r="Y3467" s="1">
        <v>2735</v>
      </c>
      <c r="Z3467" s="1" t="s">
        <v>24</v>
      </c>
      <c r="AA3467" s="1" t="s">
        <v>24</v>
      </c>
      <c r="AB3467" s="1" t="s">
        <v>24</v>
      </c>
      <c r="AC3467" s="1" t="s">
        <v>24</v>
      </c>
      <c r="AD3467" s="1" t="s">
        <v>24</v>
      </c>
      <c r="AE3467" s="1" t="s">
        <v>24</v>
      </c>
      <c r="AF3467" s="22"/>
    </row>
    <row r="3468" spans="1:32" x14ac:dyDescent="0.2">
      <c r="A3468" s="1">
        <v>28013</v>
      </c>
      <c r="B3468" s="1" t="s">
        <v>10727</v>
      </c>
      <c r="C3468" s="5" t="s">
        <v>0</v>
      </c>
      <c r="D3468" s="1" t="s">
        <v>10728</v>
      </c>
      <c r="F3468" s="1" t="s">
        <v>10729</v>
      </c>
      <c r="G3468" s="1" t="s">
        <v>1734</v>
      </c>
      <c r="H3468" s="1" t="s">
        <v>30</v>
      </c>
      <c r="I3468" s="1" t="s">
        <v>16</v>
      </c>
      <c r="J3468" s="1">
        <v>1</v>
      </c>
      <c r="K3468" s="1">
        <v>4</v>
      </c>
      <c r="L3468" s="1" t="s">
        <v>17</v>
      </c>
      <c r="M3468" s="1" t="s">
        <v>18</v>
      </c>
      <c r="N3468" s="1" t="s">
        <v>18</v>
      </c>
      <c r="O3468" s="1">
        <v>3</v>
      </c>
      <c r="P3468" s="1">
        <v>7</v>
      </c>
      <c r="Q3468" s="7" t="s">
        <v>17633</v>
      </c>
      <c r="R3468" s="1" t="s">
        <v>19</v>
      </c>
      <c r="S3468" s="1" t="s">
        <v>20</v>
      </c>
      <c r="T3468" s="1" t="s">
        <v>21</v>
      </c>
      <c r="U3468" s="1" t="s">
        <v>22</v>
      </c>
      <c r="V3468" s="1" t="s">
        <v>23</v>
      </c>
      <c r="W3468" s="1" t="s">
        <v>24</v>
      </c>
      <c r="X3468" s="1">
        <v>2705</v>
      </c>
      <c r="Y3468" s="1">
        <v>2741</v>
      </c>
      <c r="Z3468" s="1" t="s">
        <v>24</v>
      </c>
      <c r="AA3468" s="1" t="s">
        <v>24</v>
      </c>
      <c r="AB3468" s="1" t="s">
        <v>24</v>
      </c>
      <c r="AC3468" s="1" t="s">
        <v>24</v>
      </c>
      <c r="AD3468" s="1" t="s">
        <v>24</v>
      </c>
      <c r="AE3468" s="1" t="s">
        <v>24</v>
      </c>
      <c r="AF3468" s="22"/>
    </row>
    <row r="3469" spans="1:32" x14ac:dyDescent="0.2">
      <c r="A3469" s="1">
        <v>28014</v>
      </c>
      <c r="B3469" s="1" t="s">
        <v>10730</v>
      </c>
      <c r="C3469" s="5" t="s">
        <v>0</v>
      </c>
      <c r="E3469" s="1" t="s">
        <v>10731</v>
      </c>
      <c r="F3469" s="1" t="s">
        <v>2299</v>
      </c>
      <c r="G3469" s="1" t="s">
        <v>2300</v>
      </c>
      <c r="H3469" s="1" t="s">
        <v>37</v>
      </c>
      <c r="I3469" s="1" t="s">
        <v>16</v>
      </c>
      <c r="J3469" s="1">
        <v>1</v>
      </c>
      <c r="K3469" s="1">
        <v>1</v>
      </c>
      <c r="L3469" s="1" t="s">
        <v>31</v>
      </c>
      <c r="M3469" s="1" t="s">
        <v>18</v>
      </c>
      <c r="N3469" s="1" t="s">
        <v>18</v>
      </c>
      <c r="O3469" s="1">
        <v>3</v>
      </c>
      <c r="P3469" s="1">
        <v>6</v>
      </c>
      <c r="R3469" s="1" t="s">
        <v>19</v>
      </c>
      <c r="S3469" s="1" t="s">
        <v>63</v>
      </c>
      <c r="T3469" s="1" t="s">
        <v>21</v>
      </c>
      <c r="U3469" s="1" t="s">
        <v>22</v>
      </c>
      <c r="V3469" s="1" t="s">
        <v>24</v>
      </c>
      <c r="W3469" s="1" t="s">
        <v>24</v>
      </c>
      <c r="X3469" s="1">
        <v>2738</v>
      </c>
      <c r="Y3469" s="1" t="s">
        <v>24</v>
      </c>
      <c r="Z3469" s="1" t="s">
        <v>24</v>
      </c>
      <c r="AA3469" s="1" t="s">
        <v>24</v>
      </c>
      <c r="AB3469" s="1" t="s">
        <v>24</v>
      </c>
      <c r="AC3469" s="1" t="s">
        <v>24</v>
      </c>
      <c r="AD3469" s="1" t="s">
        <v>24</v>
      </c>
      <c r="AE3469" s="1" t="s">
        <v>24</v>
      </c>
      <c r="AF3469" s="22"/>
    </row>
    <row r="3470" spans="1:32" x14ac:dyDescent="0.2">
      <c r="A3470" s="1">
        <v>28054</v>
      </c>
      <c r="B3470" s="1" t="s">
        <v>10732</v>
      </c>
      <c r="C3470" s="5" t="s">
        <v>0</v>
      </c>
      <c r="D3470" s="1" t="s">
        <v>10733</v>
      </c>
      <c r="E3470" s="1" t="s">
        <v>10734</v>
      </c>
      <c r="F3470" s="1" t="s">
        <v>493</v>
      </c>
      <c r="G3470" s="1" t="s">
        <v>98</v>
      </c>
      <c r="H3470" s="1" t="s">
        <v>30</v>
      </c>
      <c r="I3470" s="1" t="s">
        <v>16</v>
      </c>
      <c r="J3470" s="1">
        <v>1</v>
      </c>
      <c r="K3470" s="1">
        <v>6</v>
      </c>
      <c r="L3470" s="1" t="s">
        <v>31</v>
      </c>
      <c r="M3470" s="1" t="s">
        <v>18</v>
      </c>
      <c r="N3470" s="1" t="s">
        <v>18</v>
      </c>
      <c r="O3470" s="1">
        <v>3</v>
      </c>
      <c r="P3470" s="1">
        <v>6</v>
      </c>
      <c r="R3470" s="1" t="s">
        <v>19</v>
      </c>
      <c r="S3470" s="1" t="s">
        <v>20</v>
      </c>
      <c r="T3470" s="1" t="s">
        <v>21</v>
      </c>
      <c r="U3470" s="1" t="s">
        <v>22</v>
      </c>
      <c r="V3470" s="1" t="s">
        <v>24</v>
      </c>
      <c r="W3470" s="1" t="s">
        <v>24</v>
      </c>
      <c r="X3470" s="1">
        <v>2746</v>
      </c>
      <c r="Y3470" s="1" t="s">
        <v>24</v>
      </c>
      <c r="Z3470" s="1" t="s">
        <v>24</v>
      </c>
      <c r="AA3470" s="1" t="s">
        <v>24</v>
      </c>
      <c r="AB3470" s="1" t="s">
        <v>24</v>
      </c>
      <c r="AC3470" s="1" t="s">
        <v>24</v>
      </c>
      <c r="AD3470" s="1" t="s">
        <v>24</v>
      </c>
      <c r="AE3470" s="1" t="s">
        <v>24</v>
      </c>
      <c r="AF3470" s="22"/>
    </row>
    <row r="3471" spans="1:32" x14ac:dyDescent="0.2">
      <c r="A3471" s="1">
        <v>28143</v>
      </c>
      <c r="B3471" s="1" t="s">
        <v>10735</v>
      </c>
      <c r="C3471" s="5" t="s">
        <v>0</v>
      </c>
      <c r="D3471" s="1" t="s">
        <v>10736</v>
      </c>
      <c r="E3471" s="1" t="s">
        <v>10737</v>
      </c>
      <c r="F3471" s="1" t="s">
        <v>10735</v>
      </c>
      <c r="G3471" s="1" t="s">
        <v>10735</v>
      </c>
      <c r="H3471" s="1" t="s">
        <v>116</v>
      </c>
      <c r="I3471" s="1" t="s">
        <v>16</v>
      </c>
      <c r="J3471" s="1">
        <v>1</v>
      </c>
      <c r="K3471" s="1">
        <v>6</v>
      </c>
      <c r="L3471" s="1" t="s">
        <v>42</v>
      </c>
      <c r="M3471" s="1" t="s">
        <v>117</v>
      </c>
      <c r="N3471" s="1" t="s">
        <v>226</v>
      </c>
      <c r="O3471" s="1">
        <v>3</v>
      </c>
      <c r="P3471" s="1">
        <v>6</v>
      </c>
      <c r="R3471" s="1" t="s">
        <v>19</v>
      </c>
      <c r="S3471" s="1" t="s">
        <v>20</v>
      </c>
      <c r="T3471" s="1" t="s">
        <v>21</v>
      </c>
      <c r="U3471" s="1" t="s">
        <v>22</v>
      </c>
      <c r="V3471" s="1" t="s">
        <v>23</v>
      </c>
      <c r="W3471" s="1" t="s">
        <v>24</v>
      </c>
      <c r="X3471" s="1">
        <v>3500</v>
      </c>
      <c r="Y3471" s="1">
        <v>2733</v>
      </c>
      <c r="Z3471" s="1">
        <v>2746</v>
      </c>
      <c r="AA3471" s="1" t="s">
        <v>24</v>
      </c>
      <c r="AB3471" s="1" t="s">
        <v>24</v>
      </c>
      <c r="AC3471" s="1" t="s">
        <v>24</v>
      </c>
      <c r="AD3471" s="1" t="s">
        <v>24</v>
      </c>
      <c r="AE3471" s="1" t="s">
        <v>24</v>
      </c>
      <c r="AF3471" s="22"/>
    </row>
    <row r="3472" spans="1:32" x14ac:dyDescent="0.2">
      <c r="A3472" s="1">
        <v>28170</v>
      </c>
      <c r="B3472" s="1" t="s">
        <v>10738</v>
      </c>
      <c r="C3472" s="5" t="s">
        <v>0</v>
      </c>
      <c r="D3472" s="1" t="s">
        <v>10739</v>
      </c>
      <c r="F3472" s="1" t="s">
        <v>724</v>
      </c>
      <c r="G3472" s="1" t="s">
        <v>725</v>
      </c>
      <c r="H3472" s="1" t="s">
        <v>264</v>
      </c>
      <c r="I3472" s="1" t="s">
        <v>16</v>
      </c>
      <c r="J3472" s="1">
        <v>1</v>
      </c>
      <c r="K3472" s="1">
        <v>6</v>
      </c>
      <c r="L3472" s="1" t="s">
        <v>31</v>
      </c>
      <c r="M3472" s="1" t="s">
        <v>18</v>
      </c>
      <c r="N3472" s="1" t="s">
        <v>18</v>
      </c>
      <c r="O3472" s="1">
        <v>3</v>
      </c>
      <c r="P3472" s="1">
        <v>7</v>
      </c>
      <c r="Q3472" s="7" t="s">
        <v>17633</v>
      </c>
      <c r="R3472" s="1" t="s">
        <v>19</v>
      </c>
      <c r="S3472" s="1" t="s">
        <v>20</v>
      </c>
      <c r="T3472" s="1" t="s">
        <v>21</v>
      </c>
      <c r="U3472" s="1" t="s">
        <v>22</v>
      </c>
      <c r="V3472" s="1" t="s">
        <v>24</v>
      </c>
      <c r="W3472" s="1" t="s">
        <v>24</v>
      </c>
      <c r="X3472" s="1">
        <v>2716</v>
      </c>
      <c r="Y3472" s="1">
        <v>2729</v>
      </c>
      <c r="Z3472" s="1">
        <v>2735</v>
      </c>
      <c r="AA3472" s="1" t="s">
        <v>24</v>
      </c>
      <c r="AB3472" s="1" t="s">
        <v>24</v>
      </c>
      <c r="AC3472" s="1" t="s">
        <v>24</v>
      </c>
      <c r="AD3472" s="1" t="s">
        <v>24</v>
      </c>
      <c r="AE3472" s="1" t="s">
        <v>24</v>
      </c>
      <c r="AF3472" s="22" t="s">
        <v>17674</v>
      </c>
    </row>
    <row r="3473" spans="1:32" x14ac:dyDescent="0.2">
      <c r="A3473" s="1">
        <v>28182</v>
      </c>
      <c r="B3473" s="1" t="s">
        <v>10740</v>
      </c>
      <c r="C3473" s="5" t="s">
        <v>0</v>
      </c>
      <c r="D3473" s="1" t="s">
        <v>10741</v>
      </c>
      <c r="E3473" s="1" t="s">
        <v>10742</v>
      </c>
      <c r="F3473" s="1" t="s">
        <v>97</v>
      </c>
      <c r="G3473" s="1" t="s">
        <v>98</v>
      </c>
      <c r="H3473" s="1" t="s">
        <v>37</v>
      </c>
      <c r="I3473" s="1" t="s">
        <v>16</v>
      </c>
      <c r="J3473" s="1">
        <v>1</v>
      </c>
      <c r="K3473" s="1">
        <v>4</v>
      </c>
      <c r="L3473" s="1" t="s">
        <v>31</v>
      </c>
      <c r="M3473" s="1" t="s">
        <v>18</v>
      </c>
      <c r="N3473" s="1" t="s">
        <v>18</v>
      </c>
      <c r="O3473" s="1">
        <v>3</v>
      </c>
      <c r="P3473" s="1">
        <v>7</v>
      </c>
      <c r="Q3473" s="7" t="s">
        <v>17633</v>
      </c>
      <c r="R3473" s="1" t="s">
        <v>19</v>
      </c>
      <c r="S3473" s="1" t="s">
        <v>20</v>
      </c>
      <c r="T3473" s="1" t="s">
        <v>21</v>
      </c>
      <c r="U3473" s="1" t="s">
        <v>22</v>
      </c>
      <c r="V3473" s="1" t="s">
        <v>23</v>
      </c>
      <c r="W3473" s="1" t="s">
        <v>24</v>
      </c>
      <c r="X3473" s="1">
        <v>2738</v>
      </c>
      <c r="Y3473" s="1">
        <v>3601</v>
      </c>
      <c r="Z3473" s="1" t="s">
        <v>24</v>
      </c>
      <c r="AA3473" s="1" t="s">
        <v>24</v>
      </c>
      <c r="AB3473" s="1" t="s">
        <v>24</v>
      </c>
      <c r="AC3473" s="1" t="s">
        <v>24</v>
      </c>
      <c r="AD3473" s="1" t="s">
        <v>24</v>
      </c>
      <c r="AE3473" s="1" t="s">
        <v>24</v>
      </c>
      <c r="AF3473" s="22"/>
    </row>
    <row r="3474" spans="1:32" x14ac:dyDescent="0.2">
      <c r="A3474" s="1">
        <v>28206</v>
      </c>
      <c r="B3474" s="1" t="s">
        <v>10743</v>
      </c>
      <c r="C3474" s="5" t="s">
        <v>0</v>
      </c>
      <c r="D3474" s="1" t="s">
        <v>10744</v>
      </c>
      <c r="E3474" s="1" t="s">
        <v>10745</v>
      </c>
      <c r="F3474" s="1" t="s">
        <v>35</v>
      </c>
      <c r="G3474" s="1" t="s">
        <v>36</v>
      </c>
      <c r="H3474" s="1" t="s">
        <v>37</v>
      </c>
      <c r="I3474" s="1" t="s">
        <v>16</v>
      </c>
      <c r="J3474" s="1">
        <v>1</v>
      </c>
      <c r="K3474" s="1">
        <v>6</v>
      </c>
      <c r="L3474" s="1" t="s">
        <v>31</v>
      </c>
      <c r="M3474" s="1" t="s">
        <v>18</v>
      </c>
      <c r="N3474" s="1" t="s">
        <v>18</v>
      </c>
      <c r="O3474" s="1">
        <v>3</v>
      </c>
      <c r="P3474" s="1">
        <v>7</v>
      </c>
      <c r="Q3474" s="7" t="s">
        <v>17633</v>
      </c>
      <c r="R3474" s="1" t="s">
        <v>19</v>
      </c>
      <c r="S3474" s="1" t="s">
        <v>20</v>
      </c>
      <c r="T3474" s="1" t="s">
        <v>21</v>
      </c>
      <c r="U3474" s="1" t="s">
        <v>22</v>
      </c>
      <c r="V3474" s="1" t="s">
        <v>24</v>
      </c>
      <c r="W3474" s="1" t="s">
        <v>24</v>
      </c>
      <c r="X3474" s="1">
        <v>2733</v>
      </c>
      <c r="Y3474" s="1" t="s">
        <v>24</v>
      </c>
      <c r="Z3474" s="1" t="s">
        <v>24</v>
      </c>
      <c r="AA3474" s="1" t="s">
        <v>24</v>
      </c>
      <c r="AB3474" s="1" t="s">
        <v>24</v>
      </c>
      <c r="AC3474" s="1" t="s">
        <v>24</v>
      </c>
      <c r="AD3474" s="1" t="s">
        <v>24</v>
      </c>
      <c r="AE3474" s="1" t="s">
        <v>24</v>
      </c>
      <c r="AF3474" s="22"/>
    </row>
    <row r="3475" spans="1:32" x14ac:dyDescent="0.2">
      <c r="A3475" s="1">
        <v>28208</v>
      </c>
      <c r="B3475" s="1" t="s">
        <v>10746</v>
      </c>
      <c r="C3475" s="5" t="s">
        <v>0</v>
      </c>
      <c r="D3475" s="1" t="s">
        <v>10747</v>
      </c>
      <c r="E3475" s="1" t="s">
        <v>10748</v>
      </c>
      <c r="F3475" s="1" t="s">
        <v>28</v>
      </c>
      <c r="G3475" s="1" t="s">
        <v>29</v>
      </c>
      <c r="H3475" s="1" t="s">
        <v>37</v>
      </c>
      <c r="I3475" s="1" t="s">
        <v>16</v>
      </c>
      <c r="J3475" s="1">
        <v>1</v>
      </c>
      <c r="K3475" s="1">
        <v>12</v>
      </c>
      <c r="L3475" s="1" t="s">
        <v>31</v>
      </c>
      <c r="M3475" s="1" t="s">
        <v>18</v>
      </c>
      <c r="N3475" s="1" t="s">
        <v>18</v>
      </c>
      <c r="O3475" s="1">
        <v>3</v>
      </c>
      <c r="P3475" s="1">
        <v>7</v>
      </c>
      <c r="Q3475" s="7" t="s">
        <v>17633</v>
      </c>
      <c r="R3475" s="1" t="s">
        <v>62</v>
      </c>
      <c r="S3475" s="1" t="s">
        <v>20</v>
      </c>
      <c r="T3475" s="1" t="s">
        <v>21</v>
      </c>
      <c r="U3475" s="1" t="s">
        <v>22</v>
      </c>
      <c r="V3475" s="1" t="s">
        <v>24</v>
      </c>
      <c r="W3475" s="1" t="s">
        <v>24</v>
      </c>
      <c r="X3475" s="1">
        <v>1311</v>
      </c>
      <c r="Y3475" s="1">
        <v>1312</v>
      </c>
      <c r="Z3475" s="1">
        <v>1313</v>
      </c>
      <c r="AA3475" s="1">
        <v>2716</v>
      </c>
      <c r="AB3475" s="1" t="s">
        <v>24</v>
      </c>
      <c r="AC3475" s="1" t="s">
        <v>24</v>
      </c>
      <c r="AD3475" s="1" t="s">
        <v>24</v>
      </c>
      <c r="AE3475" s="1" t="s">
        <v>24</v>
      </c>
      <c r="AF3475" s="22"/>
    </row>
    <row r="3476" spans="1:32" x14ac:dyDescent="0.2">
      <c r="A3476" s="1">
        <v>28231</v>
      </c>
      <c r="B3476" s="1" t="s">
        <v>10749</v>
      </c>
      <c r="C3476" s="5" t="s">
        <v>0</v>
      </c>
      <c r="D3476" s="1" t="s">
        <v>10750</v>
      </c>
      <c r="F3476" s="1" t="s">
        <v>10751</v>
      </c>
      <c r="G3476" s="1" t="s">
        <v>10751</v>
      </c>
      <c r="H3476" s="1" t="s">
        <v>249</v>
      </c>
      <c r="I3476" s="1" t="s">
        <v>16</v>
      </c>
      <c r="J3476" s="1">
        <v>1</v>
      </c>
      <c r="K3476" s="1">
        <v>6</v>
      </c>
      <c r="L3476" s="1" t="s">
        <v>42</v>
      </c>
      <c r="M3476" s="1" t="s">
        <v>18</v>
      </c>
      <c r="N3476" s="1" t="s">
        <v>18</v>
      </c>
      <c r="O3476" s="1">
        <v>2</v>
      </c>
      <c r="P3476" s="1">
        <v>6</v>
      </c>
      <c r="R3476" s="1" t="s">
        <v>19</v>
      </c>
      <c r="S3476" s="1" t="s">
        <v>63</v>
      </c>
      <c r="T3476" s="1" t="s">
        <v>21</v>
      </c>
      <c r="U3476" s="1" t="s">
        <v>22</v>
      </c>
      <c r="V3476" s="1" t="s">
        <v>24</v>
      </c>
      <c r="W3476" s="1" t="s">
        <v>64</v>
      </c>
      <c r="X3476" s="1">
        <v>3004</v>
      </c>
      <c r="Y3476" s="1" t="s">
        <v>24</v>
      </c>
      <c r="Z3476" s="1" t="s">
        <v>24</v>
      </c>
      <c r="AA3476" s="1" t="s">
        <v>24</v>
      </c>
      <c r="AB3476" s="1" t="s">
        <v>24</v>
      </c>
      <c r="AC3476" s="1" t="s">
        <v>24</v>
      </c>
      <c r="AD3476" s="1" t="s">
        <v>24</v>
      </c>
      <c r="AE3476" s="1" t="s">
        <v>24</v>
      </c>
      <c r="AF3476" s="22"/>
    </row>
    <row r="3477" spans="1:32" x14ac:dyDescent="0.2">
      <c r="A3477" s="1">
        <v>28235</v>
      </c>
      <c r="B3477" s="1" t="s">
        <v>10752</v>
      </c>
      <c r="C3477" s="5" t="s">
        <v>0</v>
      </c>
      <c r="D3477" s="1" t="s">
        <v>10753</v>
      </c>
      <c r="E3477" s="1" t="s">
        <v>10754</v>
      </c>
      <c r="F3477" s="1" t="s">
        <v>272</v>
      </c>
      <c r="G3477" s="1" t="s">
        <v>61</v>
      </c>
      <c r="H3477" s="1" t="s">
        <v>30</v>
      </c>
      <c r="I3477" s="1" t="s">
        <v>16</v>
      </c>
      <c r="J3477" s="1">
        <v>1</v>
      </c>
      <c r="K3477" s="1">
        <v>4</v>
      </c>
      <c r="L3477" s="1" t="s">
        <v>31</v>
      </c>
      <c r="M3477" s="1" t="s">
        <v>18</v>
      </c>
      <c r="N3477" s="1" t="s">
        <v>18</v>
      </c>
      <c r="O3477" s="1">
        <v>3</v>
      </c>
      <c r="P3477" s="1">
        <v>7</v>
      </c>
      <c r="Q3477" s="7" t="s">
        <v>17633</v>
      </c>
      <c r="R3477" s="1" t="s">
        <v>19</v>
      </c>
      <c r="S3477" s="1" t="s">
        <v>20</v>
      </c>
      <c r="T3477" s="1" t="s">
        <v>21</v>
      </c>
      <c r="U3477" s="1" t="s">
        <v>22</v>
      </c>
      <c r="V3477" s="1" t="s">
        <v>23</v>
      </c>
      <c r="W3477" s="1" t="s">
        <v>24</v>
      </c>
      <c r="X3477" s="1">
        <v>2705</v>
      </c>
      <c r="Y3477" s="1" t="s">
        <v>24</v>
      </c>
      <c r="Z3477" s="1" t="s">
        <v>24</v>
      </c>
      <c r="AA3477" s="1" t="s">
        <v>24</v>
      </c>
      <c r="AB3477" s="1" t="s">
        <v>24</v>
      </c>
      <c r="AC3477" s="1" t="s">
        <v>24</v>
      </c>
      <c r="AD3477" s="1" t="s">
        <v>24</v>
      </c>
      <c r="AE3477" s="1" t="s">
        <v>24</v>
      </c>
      <c r="AF3477" s="22"/>
    </row>
    <row r="3478" spans="1:32" x14ac:dyDescent="0.2">
      <c r="A3478" s="1">
        <v>28243</v>
      </c>
      <c r="B3478" s="1" t="s">
        <v>10755</v>
      </c>
      <c r="C3478" s="5" t="s">
        <v>0</v>
      </c>
      <c r="D3478" s="1" t="s">
        <v>10756</v>
      </c>
      <c r="E3478" s="1" t="s">
        <v>10757</v>
      </c>
      <c r="F3478" s="1" t="s">
        <v>85</v>
      </c>
      <c r="G3478" s="1" t="s">
        <v>61</v>
      </c>
      <c r="H3478" s="1" t="s">
        <v>86</v>
      </c>
      <c r="I3478" s="1" t="s">
        <v>16</v>
      </c>
      <c r="J3478" s="1">
        <v>1</v>
      </c>
      <c r="K3478" s="1">
        <v>6</v>
      </c>
      <c r="L3478" s="1" t="s">
        <v>31</v>
      </c>
      <c r="M3478" s="1" t="s">
        <v>18</v>
      </c>
      <c r="N3478" s="1" t="s">
        <v>18</v>
      </c>
      <c r="O3478" s="1">
        <v>2</v>
      </c>
      <c r="P3478" s="1">
        <v>6</v>
      </c>
      <c r="R3478" s="1" t="s">
        <v>19</v>
      </c>
      <c r="S3478" s="1" t="s">
        <v>20</v>
      </c>
      <c r="T3478" s="1" t="s">
        <v>21</v>
      </c>
      <c r="U3478" s="1" t="s">
        <v>22</v>
      </c>
      <c r="V3478" s="1" t="s">
        <v>24</v>
      </c>
      <c r="W3478" s="1" t="s">
        <v>24</v>
      </c>
      <c r="X3478" s="1">
        <v>1311</v>
      </c>
      <c r="Y3478" s="1">
        <v>2716</v>
      </c>
      <c r="Z3478" s="1" t="s">
        <v>24</v>
      </c>
      <c r="AA3478" s="1" t="s">
        <v>24</v>
      </c>
      <c r="AB3478" s="1" t="s">
        <v>24</v>
      </c>
      <c r="AC3478" s="1" t="s">
        <v>24</v>
      </c>
      <c r="AD3478" s="1" t="s">
        <v>24</v>
      </c>
      <c r="AE3478" s="1" t="s">
        <v>24</v>
      </c>
      <c r="AF3478" s="22"/>
    </row>
    <row r="3479" spans="1:32" x14ac:dyDescent="0.2">
      <c r="A3479" s="1">
        <v>28248</v>
      </c>
      <c r="B3479" s="1" t="s">
        <v>10758</v>
      </c>
      <c r="C3479" s="5" t="s">
        <v>0</v>
      </c>
      <c r="D3479" s="1" t="s">
        <v>10759</v>
      </c>
      <c r="E3479" s="1" t="s">
        <v>10760</v>
      </c>
      <c r="F3479" s="1" t="s">
        <v>272</v>
      </c>
      <c r="G3479" s="1" t="s">
        <v>61</v>
      </c>
      <c r="H3479" s="1" t="s">
        <v>30</v>
      </c>
      <c r="I3479" s="1" t="s">
        <v>16</v>
      </c>
      <c r="J3479" s="1">
        <v>1</v>
      </c>
      <c r="K3479" s="1">
        <v>6</v>
      </c>
      <c r="L3479" s="1" t="s">
        <v>31</v>
      </c>
      <c r="M3479" s="1" t="s">
        <v>18</v>
      </c>
      <c r="N3479" s="1" t="s">
        <v>18</v>
      </c>
      <c r="O3479" s="1">
        <v>3</v>
      </c>
      <c r="P3479" s="1">
        <v>6</v>
      </c>
      <c r="R3479" s="1" t="s">
        <v>19</v>
      </c>
      <c r="S3479" s="1" t="s">
        <v>63</v>
      </c>
      <c r="T3479" s="1" t="s">
        <v>21</v>
      </c>
      <c r="U3479" s="1" t="s">
        <v>22</v>
      </c>
      <c r="V3479" s="1" t="s">
        <v>24</v>
      </c>
      <c r="W3479" s="1" t="s">
        <v>24</v>
      </c>
      <c r="X3479" s="1">
        <v>2736</v>
      </c>
      <c r="Y3479" s="1">
        <v>2700</v>
      </c>
      <c r="Z3479" s="1" t="s">
        <v>24</v>
      </c>
      <c r="AA3479" s="1" t="s">
        <v>24</v>
      </c>
      <c r="AB3479" s="1" t="s">
        <v>24</v>
      </c>
      <c r="AC3479" s="1" t="s">
        <v>24</v>
      </c>
      <c r="AD3479" s="1" t="s">
        <v>24</v>
      </c>
      <c r="AE3479" s="1" t="s">
        <v>24</v>
      </c>
      <c r="AF3479" s="22"/>
    </row>
    <row r="3480" spans="1:32" x14ac:dyDescent="0.2">
      <c r="A3480" s="1">
        <v>28251</v>
      </c>
      <c r="B3480" s="1" t="s">
        <v>10761</v>
      </c>
      <c r="C3480" s="5" t="s">
        <v>0</v>
      </c>
      <c r="D3480" s="1" t="s">
        <v>10762</v>
      </c>
      <c r="E3480" s="1" t="s">
        <v>10763</v>
      </c>
      <c r="F3480" s="1" t="s">
        <v>940</v>
      </c>
      <c r="G3480" s="1" t="s">
        <v>130</v>
      </c>
      <c r="H3480" s="1" t="s">
        <v>30</v>
      </c>
      <c r="I3480" s="1" t="s">
        <v>16</v>
      </c>
      <c r="J3480" s="1">
        <v>1</v>
      </c>
      <c r="K3480" s="1">
        <v>4</v>
      </c>
      <c r="L3480" s="1" t="s">
        <v>31</v>
      </c>
      <c r="M3480" s="1" t="s">
        <v>18</v>
      </c>
      <c r="N3480" s="1" t="s">
        <v>18</v>
      </c>
      <c r="O3480" s="1">
        <v>3</v>
      </c>
      <c r="P3480" s="1">
        <v>7</v>
      </c>
      <c r="Q3480" s="7" t="s">
        <v>17633</v>
      </c>
      <c r="R3480" s="1" t="s">
        <v>19</v>
      </c>
      <c r="S3480" s="1" t="s">
        <v>20</v>
      </c>
      <c r="T3480" s="1" t="s">
        <v>21</v>
      </c>
      <c r="U3480" s="1" t="s">
        <v>22</v>
      </c>
      <c r="V3480" s="1" t="s">
        <v>24</v>
      </c>
      <c r="W3480" s="1" t="s">
        <v>24</v>
      </c>
      <c r="X3480" s="1">
        <v>2204</v>
      </c>
      <c r="Y3480" s="1">
        <v>1312</v>
      </c>
      <c r="Z3480" s="1">
        <v>1502</v>
      </c>
      <c r="AA3480" s="1" t="s">
        <v>24</v>
      </c>
      <c r="AB3480" s="1" t="s">
        <v>24</v>
      </c>
      <c r="AC3480" s="1" t="s">
        <v>24</v>
      </c>
      <c r="AD3480" s="1" t="s">
        <v>24</v>
      </c>
      <c r="AE3480" s="1" t="s">
        <v>24</v>
      </c>
      <c r="AF3480" s="22"/>
    </row>
    <row r="3481" spans="1:32" x14ac:dyDescent="0.2">
      <c r="A3481" s="1">
        <v>28267</v>
      </c>
      <c r="B3481" s="1" t="s">
        <v>10764</v>
      </c>
      <c r="C3481" s="5" t="s">
        <v>0</v>
      </c>
      <c r="D3481" s="1" t="s">
        <v>10765</v>
      </c>
      <c r="E3481" s="1" t="s">
        <v>10766</v>
      </c>
      <c r="F3481" s="1" t="s">
        <v>1897</v>
      </c>
      <c r="G3481" s="1" t="s">
        <v>1898</v>
      </c>
      <c r="H3481" s="1" t="s">
        <v>899</v>
      </c>
      <c r="I3481" s="1" t="s">
        <v>16</v>
      </c>
      <c r="J3481" s="1">
        <v>1</v>
      </c>
      <c r="K3481" s="1">
        <v>4</v>
      </c>
      <c r="L3481" s="1" t="s">
        <v>31</v>
      </c>
      <c r="M3481" s="1" t="s">
        <v>18</v>
      </c>
      <c r="N3481" s="1" t="s">
        <v>18</v>
      </c>
      <c r="O3481" s="1">
        <v>2</v>
      </c>
      <c r="P3481" s="1">
        <v>6</v>
      </c>
      <c r="R3481" s="1" t="s">
        <v>19</v>
      </c>
      <c r="S3481" s="1" t="s">
        <v>20</v>
      </c>
      <c r="T3481" s="1" t="s">
        <v>21</v>
      </c>
      <c r="U3481" s="1" t="s">
        <v>22</v>
      </c>
      <c r="V3481" s="1" t="s">
        <v>23</v>
      </c>
      <c r="W3481" s="1" t="s">
        <v>24</v>
      </c>
      <c r="X3481" s="1">
        <v>2730</v>
      </c>
      <c r="Y3481" s="1">
        <v>2741</v>
      </c>
      <c r="Z3481" s="1" t="s">
        <v>24</v>
      </c>
      <c r="AA3481" s="1" t="s">
        <v>24</v>
      </c>
      <c r="AB3481" s="1" t="s">
        <v>24</v>
      </c>
      <c r="AC3481" s="1" t="s">
        <v>24</v>
      </c>
      <c r="AD3481" s="1" t="s">
        <v>24</v>
      </c>
      <c r="AE3481" s="1" t="s">
        <v>24</v>
      </c>
      <c r="AF3481" s="22"/>
    </row>
    <row r="3482" spans="1:32" x14ac:dyDescent="0.2">
      <c r="A3482" s="1">
        <v>28301</v>
      </c>
      <c r="B3482" s="1" t="s">
        <v>10767</v>
      </c>
      <c r="C3482" s="5" t="s">
        <v>0</v>
      </c>
      <c r="D3482" s="1" t="s">
        <v>10768</v>
      </c>
      <c r="E3482" s="1" t="s">
        <v>10769</v>
      </c>
      <c r="F3482" s="1" t="s">
        <v>291</v>
      </c>
      <c r="G3482" s="1" t="s">
        <v>292</v>
      </c>
      <c r="H3482" s="1" t="s">
        <v>37</v>
      </c>
      <c r="I3482" s="1" t="s">
        <v>16</v>
      </c>
      <c r="J3482" s="1">
        <v>1</v>
      </c>
      <c r="K3482" s="1">
        <v>6</v>
      </c>
      <c r="L3482" s="1" t="s">
        <v>31</v>
      </c>
      <c r="M3482" s="1" t="s">
        <v>18</v>
      </c>
      <c r="N3482" s="1" t="s">
        <v>18</v>
      </c>
      <c r="O3482" s="1">
        <v>3</v>
      </c>
      <c r="P3482" s="1">
        <v>6</v>
      </c>
      <c r="R3482" s="1" t="s">
        <v>19</v>
      </c>
      <c r="S3482" s="1" t="s">
        <v>20</v>
      </c>
      <c r="T3482" s="1" t="s">
        <v>21</v>
      </c>
      <c r="U3482" s="1" t="s">
        <v>22</v>
      </c>
      <c r="V3482" s="1" t="s">
        <v>23</v>
      </c>
      <c r="W3482" s="1" t="s">
        <v>24</v>
      </c>
      <c r="X3482" s="1">
        <v>2732</v>
      </c>
      <c r="Y3482" s="1" t="s">
        <v>24</v>
      </c>
      <c r="Z3482" s="1" t="s">
        <v>24</v>
      </c>
      <c r="AA3482" s="1" t="s">
        <v>24</v>
      </c>
      <c r="AB3482" s="1" t="s">
        <v>24</v>
      </c>
      <c r="AC3482" s="1" t="s">
        <v>24</v>
      </c>
      <c r="AD3482" s="1" t="s">
        <v>24</v>
      </c>
      <c r="AE3482" s="1" t="s">
        <v>24</v>
      </c>
      <c r="AF3482" s="22"/>
    </row>
    <row r="3483" spans="1:32" x14ac:dyDescent="0.2">
      <c r="A3483" s="1">
        <v>28313</v>
      </c>
      <c r="B3483" s="1" t="s">
        <v>10770</v>
      </c>
      <c r="C3483" s="5" t="s">
        <v>0</v>
      </c>
      <c r="D3483" s="1" t="s">
        <v>10771</v>
      </c>
      <c r="E3483" s="1" t="s">
        <v>10772</v>
      </c>
      <c r="F3483" s="1" t="s">
        <v>291</v>
      </c>
      <c r="G3483" s="1" t="s">
        <v>292</v>
      </c>
      <c r="H3483" s="1" t="s">
        <v>30</v>
      </c>
      <c r="I3483" s="1" t="s">
        <v>16</v>
      </c>
      <c r="J3483" s="1">
        <v>1</v>
      </c>
      <c r="K3483" s="1">
        <v>8</v>
      </c>
      <c r="L3483" s="1" t="s">
        <v>31</v>
      </c>
      <c r="M3483" s="1" t="s">
        <v>18</v>
      </c>
      <c r="N3483" s="1" t="s">
        <v>18</v>
      </c>
      <c r="O3483" s="1">
        <v>3</v>
      </c>
      <c r="P3483" s="1">
        <v>6</v>
      </c>
      <c r="R3483" s="1" t="s">
        <v>19</v>
      </c>
      <c r="S3483" s="1" t="s">
        <v>20</v>
      </c>
      <c r="T3483" s="1" t="s">
        <v>21</v>
      </c>
      <c r="U3483" s="1" t="s">
        <v>22</v>
      </c>
      <c r="V3483" s="1" t="s">
        <v>24</v>
      </c>
      <c r="W3483" s="1" t="s">
        <v>24</v>
      </c>
      <c r="X3483" s="1">
        <v>3005</v>
      </c>
      <c r="Y3483" s="1" t="s">
        <v>24</v>
      </c>
      <c r="Z3483" s="1" t="s">
        <v>24</v>
      </c>
      <c r="AA3483" s="1" t="s">
        <v>24</v>
      </c>
      <c r="AB3483" s="1" t="s">
        <v>24</v>
      </c>
      <c r="AC3483" s="1" t="s">
        <v>24</v>
      </c>
      <c r="AD3483" s="1" t="s">
        <v>24</v>
      </c>
      <c r="AE3483" s="1" t="s">
        <v>24</v>
      </c>
      <c r="AF3483" s="22"/>
    </row>
    <row r="3484" spans="1:32" x14ac:dyDescent="0.2">
      <c r="A3484" s="1">
        <v>28314</v>
      </c>
      <c r="B3484" s="1" t="s">
        <v>10773</v>
      </c>
      <c r="C3484" s="5" t="s">
        <v>0</v>
      </c>
      <c r="D3484" s="1" t="s">
        <v>10774</v>
      </c>
      <c r="E3484" s="1" t="s">
        <v>10775</v>
      </c>
      <c r="F3484" s="1" t="s">
        <v>291</v>
      </c>
      <c r="G3484" s="1" t="s">
        <v>292</v>
      </c>
      <c r="H3484" s="1" t="s">
        <v>30</v>
      </c>
      <c r="I3484" s="1" t="s">
        <v>16</v>
      </c>
      <c r="J3484" s="1">
        <v>1</v>
      </c>
      <c r="K3484" s="1">
        <v>4</v>
      </c>
      <c r="L3484" s="1" t="s">
        <v>31</v>
      </c>
      <c r="M3484" s="1" t="s">
        <v>18</v>
      </c>
      <c r="N3484" s="1" t="s">
        <v>18</v>
      </c>
      <c r="O3484" s="1">
        <v>3</v>
      </c>
      <c r="P3484" s="1">
        <v>6</v>
      </c>
      <c r="R3484" s="1" t="s">
        <v>19</v>
      </c>
      <c r="S3484" s="1" t="s">
        <v>20</v>
      </c>
      <c r="T3484" s="1" t="s">
        <v>21</v>
      </c>
      <c r="U3484" s="1" t="s">
        <v>22</v>
      </c>
      <c r="V3484" s="1" t="s">
        <v>24</v>
      </c>
      <c r="W3484" s="1" t="s">
        <v>24</v>
      </c>
      <c r="X3484" s="1">
        <v>3005</v>
      </c>
      <c r="Y3484" s="1" t="s">
        <v>24</v>
      </c>
      <c r="Z3484" s="1" t="s">
        <v>24</v>
      </c>
      <c r="AA3484" s="1" t="s">
        <v>24</v>
      </c>
      <c r="AB3484" s="1" t="s">
        <v>24</v>
      </c>
      <c r="AC3484" s="1" t="s">
        <v>24</v>
      </c>
      <c r="AD3484" s="1" t="s">
        <v>24</v>
      </c>
      <c r="AE3484" s="1" t="s">
        <v>24</v>
      </c>
      <c r="AF3484" s="22"/>
    </row>
    <row r="3485" spans="1:32" x14ac:dyDescent="0.2">
      <c r="A3485" s="1">
        <v>28315</v>
      </c>
      <c r="B3485" s="1" t="s">
        <v>10776</v>
      </c>
      <c r="C3485" s="5" t="s">
        <v>0</v>
      </c>
      <c r="D3485" s="1" t="s">
        <v>10777</v>
      </c>
      <c r="E3485" s="1" t="s">
        <v>10778</v>
      </c>
      <c r="F3485" s="1" t="s">
        <v>291</v>
      </c>
      <c r="G3485" s="1" t="s">
        <v>292</v>
      </c>
      <c r="H3485" s="1" t="s">
        <v>30</v>
      </c>
      <c r="I3485" s="1" t="s">
        <v>16</v>
      </c>
      <c r="J3485" s="1">
        <v>1</v>
      </c>
      <c r="K3485" s="1">
        <v>4</v>
      </c>
      <c r="L3485" s="1" t="s">
        <v>31</v>
      </c>
      <c r="M3485" s="1" t="s">
        <v>18</v>
      </c>
      <c r="N3485" s="1" t="s">
        <v>18</v>
      </c>
      <c r="O3485" s="1">
        <v>3</v>
      </c>
      <c r="P3485" s="1">
        <v>6</v>
      </c>
      <c r="R3485" s="1" t="s">
        <v>19</v>
      </c>
      <c r="S3485" s="1" t="s">
        <v>20</v>
      </c>
      <c r="T3485" s="1" t="s">
        <v>21</v>
      </c>
      <c r="U3485" s="1" t="s">
        <v>22</v>
      </c>
      <c r="V3485" s="1" t="s">
        <v>24</v>
      </c>
      <c r="W3485" s="1" t="s">
        <v>24</v>
      </c>
      <c r="X3485" s="1">
        <v>3005</v>
      </c>
      <c r="Y3485" s="1" t="s">
        <v>24</v>
      </c>
      <c r="Z3485" s="1" t="s">
        <v>24</v>
      </c>
      <c r="AA3485" s="1" t="s">
        <v>24</v>
      </c>
      <c r="AB3485" s="1" t="s">
        <v>24</v>
      </c>
      <c r="AC3485" s="1" t="s">
        <v>24</v>
      </c>
      <c r="AD3485" s="1" t="s">
        <v>24</v>
      </c>
      <c r="AE3485" s="1" t="s">
        <v>24</v>
      </c>
      <c r="AF3485" s="22"/>
    </row>
    <row r="3486" spans="1:32" x14ac:dyDescent="0.2">
      <c r="A3486" s="1">
        <v>28331</v>
      </c>
      <c r="B3486" s="1" t="s">
        <v>10779</v>
      </c>
      <c r="C3486" s="5" t="s">
        <v>0</v>
      </c>
      <c r="D3486" s="1" t="s">
        <v>10780</v>
      </c>
      <c r="E3486" s="1" t="s">
        <v>10781</v>
      </c>
      <c r="F3486" s="1" t="s">
        <v>91</v>
      </c>
      <c r="G3486" s="1" t="s">
        <v>61</v>
      </c>
      <c r="H3486" s="1" t="s">
        <v>92</v>
      </c>
      <c r="I3486" s="1" t="s">
        <v>16</v>
      </c>
      <c r="J3486" s="1">
        <v>1</v>
      </c>
      <c r="K3486" s="1">
        <v>6</v>
      </c>
      <c r="L3486" s="1" t="s">
        <v>31</v>
      </c>
      <c r="M3486" s="1" t="s">
        <v>18</v>
      </c>
      <c r="N3486" s="1" t="s">
        <v>18</v>
      </c>
      <c r="O3486" s="1">
        <v>3</v>
      </c>
      <c r="P3486" s="1">
        <v>6</v>
      </c>
      <c r="R3486" s="1" t="s">
        <v>19</v>
      </c>
      <c r="S3486" s="1" t="s">
        <v>20</v>
      </c>
      <c r="T3486" s="1" t="s">
        <v>21</v>
      </c>
      <c r="U3486" s="1" t="s">
        <v>22</v>
      </c>
      <c r="V3486" s="1" t="s">
        <v>23</v>
      </c>
      <c r="W3486" s="1" t="s">
        <v>24</v>
      </c>
      <c r="X3486" s="1">
        <v>2729</v>
      </c>
      <c r="Y3486" s="1" t="s">
        <v>24</v>
      </c>
      <c r="Z3486" s="1" t="s">
        <v>24</v>
      </c>
      <c r="AA3486" s="1" t="s">
        <v>24</v>
      </c>
      <c r="AB3486" s="1" t="s">
        <v>24</v>
      </c>
      <c r="AC3486" s="1" t="s">
        <v>24</v>
      </c>
      <c r="AD3486" s="1" t="s">
        <v>24</v>
      </c>
      <c r="AE3486" s="1" t="s">
        <v>24</v>
      </c>
      <c r="AF3486" s="22"/>
    </row>
    <row r="3487" spans="1:32" x14ac:dyDescent="0.2">
      <c r="A3487" s="1">
        <v>28359</v>
      </c>
      <c r="B3487" s="1" t="s">
        <v>10782</v>
      </c>
      <c r="C3487" s="5" t="s">
        <v>0</v>
      </c>
      <c r="D3487" s="1" t="s">
        <v>10783</v>
      </c>
      <c r="E3487" s="1" t="s">
        <v>10784</v>
      </c>
      <c r="F3487" s="1" t="s">
        <v>28</v>
      </c>
      <c r="G3487" s="1" t="s">
        <v>29</v>
      </c>
      <c r="H3487" s="1" t="s">
        <v>30</v>
      </c>
      <c r="I3487" s="1" t="s">
        <v>16</v>
      </c>
      <c r="J3487" s="1">
        <v>1</v>
      </c>
      <c r="K3487" s="1">
        <v>4</v>
      </c>
      <c r="L3487" s="1" t="s">
        <v>31</v>
      </c>
      <c r="M3487" s="1" t="s">
        <v>18</v>
      </c>
      <c r="N3487" s="1" t="s">
        <v>18</v>
      </c>
      <c r="O3487" s="1">
        <v>1</v>
      </c>
      <c r="P3487" s="1">
        <v>7</v>
      </c>
      <c r="Q3487" s="7" t="s">
        <v>17633</v>
      </c>
      <c r="R3487" s="1" t="s">
        <v>19</v>
      </c>
      <c r="S3487" s="1" t="s">
        <v>20</v>
      </c>
      <c r="T3487" s="1" t="s">
        <v>21</v>
      </c>
      <c r="U3487" s="1" t="s">
        <v>22</v>
      </c>
      <c r="V3487" s="1" t="s">
        <v>23</v>
      </c>
      <c r="W3487" s="1" t="s">
        <v>24</v>
      </c>
      <c r="X3487" s="1">
        <v>2731</v>
      </c>
      <c r="Y3487" s="1" t="s">
        <v>24</v>
      </c>
      <c r="Z3487" s="1" t="s">
        <v>24</v>
      </c>
      <c r="AA3487" s="1" t="s">
        <v>24</v>
      </c>
      <c r="AB3487" s="1" t="s">
        <v>24</v>
      </c>
      <c r="AC3487" s="1" t="s">
        <v>24</v>
      </c>
      <c r="AD3487" s="1" t="s">
        <v>24</v>
      </c>
      <c r="AE3487" s="1" t="s">
        <v>24</v>
      </c>
      <c r="AF3487" s="22"/>
    </row>
    <row r="3488" spans="1:32" x14ac:dyDescent="0.2">
      <c r="A3488" s="1">
        <v>28366</v>
      </c>
      <c r="B3488" s="1" t="s">
        <v>10785</v>
      </c>
      <c r="C3488" s="5" t="s">
        <v>0</v>
      </c>
      <c r="D3488" s="1" t="s">
        <v>10786</v>
      </c>
      <c r="F3488" s="1" t="s">
        <v>10015</v>
      </c>
      <c r="G3488" s="1" t="s">
        <v>10015</v>
      </c>
      <c r="H3488" s="1" t="s">
        <v>6895</v>
      </c>
      <c r="I3488" s="1" t="s">
        <v>16</v>
      </c>
      <c r="J3488" s="1">
        <v>1</v>
      </c>
      <c r="K3488" s="1">
        <v>4</v>
      </c>
      <c r="L3488" s="1" t="s">
        <v>42</v>
      </c>
      <c r="M3488" s="1" t="s">
        <v>18</v>
      </c>
      <c r="N3488" s="1" t="s">
        <v>18</v>
      </c>
      <c r="O3488" s="1">
        <v>3</v>
      </c>
      <c r="P3488" s="1">
        <v>6</v>
      </c>
      <c r="R3488" s="1" t="s">
        <v>19</v>
      </c>
      <c r="S3488" s="1" t="s">
        <v>20</v>
      </c>
      <c r="T3488" s="1" t="s">
        <v>21</v>
      </c>
      <c r="U3488" s="1" t="s">
        <v>22</v>
      </c>
      <c r="V3488" s="1" t="s">
        <v>24</v>
      </c>
      <c r="W3488" s="1" t="s">
        <v>24</v>
      </c>
      <c r="X3488" s="1">
        <v>2708</v>
      </c>
      <c r="Y3488" s="1" t="s">
        <v>24</v>
      </c>
      <c r="Z3488" s="1" t="s">
        <v>24</v>
      </c>
      <c r="AA3488" s="1" t="s">
        <v>24</v>
      </c>
      <c r="AB3488" s="1" t="s">
        <v>24</v>
      </c>
      <c r="AC3488" s="1" t="s">
        <v>24</v>
      </c>
      <c r="AD3488" s="1" t="s">
        <v>24</v>
      </c>
      <c r="AE3488" s="1" t="s">
        <v>24</v>
      </c>
      <c r="AF3488" s="22"/>
    </row>
    <row r="3489" spans="1:32" x14ac:dyDescent="0.2">
      <c r="A3489" s="1">
        <v>28412</v>
      </c>
      <c r="B3489" s="1" t="s">
        <v>10787</v>
      </c>
      <c r="C3489" s="5" t="s">
        <v>0</v>
      </c>
      <c r="D3489" s="1" t="s">
        <v>10788</v>
      </c>
      <c r="E3489" s="1" t="s">
        <v>10789</v>
      </c>
      <c r="F3489" s="1" t="s">
        <v>35</v>
      </c>
      <c r="G3489" s="1" t="s">
        <v>36</v>
      </c>
      <c r="H3489" s="1" t="s">
        <v>37</v>
      </c>
      <c r="I3489" s="1" t="s">
        <v>16</v>
      </c>
      <c r="J3489" s="1">
        <v>1</v>
      </c>
      <c r="K3489" s="1">
        <v>4</v>
      </c>
      <c r="L3489" s="1" t="s">
        <v>31</v>
      </c>
      <c r="M3489" s="1" t="s">
        <v>18</v>
      </c>
      <c r="N3489" s="1" t="s">
        <v>18</v>
      </c>
      <c r="O3489" s="1">
        <v>3</v>
      </c>
      <c r="P3489" s="1">
        <v>7</v>
      </c>
      <c r="Q3489" s="7" t="s">
        <v>17633</v>
      </c>
      <c r="R3489" s="1" t="s">
        <v>19</v>
      </c>
      <c r="S3489" s="1" t="s">
        <v>20</v>
      </c>
      <c r="T3489" s="1" t="s">
        <v>21</v>
      </c>
      <c r="U3489" s="1" t="s">
        <v>22</v>
      </c>
      <c r="V3489" s="1" t="s">
        <v>24</v>
      </c>
      <c r="W3489" s="1" t="s">
        <v>24</v>
      </c>
      <c r="X3489" s="1">
        <v>2746</v>
      </c>
      <c r="Y3489" s="1" t="s">
        <v>24</v>
      </c>
      <c r="Z3489" s="1" t="s">
        <v>24</v>
      </c>
      <c r="AA3489" s="1" t="s">
        <v>24</v>
      </c>
      <c r="AB3489" s="1" t="s">
        <v>24</v>
      </c>
      <c r="AC3489" s="1" t="s">
        <v>24</v>
      </c>
      <c r="AD3489" s="1" t="s">
        <v>24</v>
      </c>
      <c r="AE3489" s="1" t="s">
        <v>24</v>
      </c>
      <c r="AF3489" s="22"/>
    </row>
    <row r="3490" spans="1:32" x14ac:dyDescent="0.2">
      <c r="A3490" s="1">
        <v>28437</v>
      </c>
      <c r="B3490" s="1" t="s">
        <v>10790</v>
      </c>
      <c r="C3490" s="5" t="s">
        <v>0</v>
      </c>
      <c r="D3490" s="1" t="s">
        <v>10791</v>
      </c>
      <c r="E3490" s="1" t="s">
        <v>10792</v>
      </c>
      <c r="F3490" s="1" t="s">
        <v>940</v>
      </c>
      <c r="G3490" s="1" t="s">
        <v>130</v>
      </c>
      <c r="H3490" s="1" t="s">
        <v>30</v>
      </c>
      <c r="I3490" s="1" t="s">
        <v>16</v>
      </c>
      <c r="J3490" s="1">
        <v>8</v>
      </c>
      <c r="K3490" s="1">
        <v>3</v>
      </c>
      <c r="L3490" s="1" t="s">
        <v>31</v>
      </c>
      <c r="M3490" s="1" t="s">
        <v>18</v>
      </c>
      <c r="N3490" s="1" t="s">
        <v>18</v>
      </c>
      <c r="O3490" s="1">
        <v>3</v>
      </c>
      <c r="P3490" s="1">
        <v>6</v>
      </c>
      <c r="R3490" s="1" t="s">
        <v>19</v>
      </c>
      <c r="S3490" s="1" t="s">
        <v>20</v>
      </c>
      <c r="T3490" s="1" t="s">
        <v>21</v>
      </c>
      <c r="U3490" s="1" t="s">
        <v>22</v>
      </c>
      <c r="V3490" s="1" t="s">
        <v>24</v>
      </c>
      <c r="W3490" s="1" t="s">
        <v>24</v>
      </c>
      <c r="X3490" s="1">
        <v>1303</v>
      </c>
      <c r="Y3490" s="1">
        <v>1305</v>
      </c>
      <c r="Z3490" s="1">
        <v>1502</v>
      </c>
      <c r="AA3490" s="1">
        <v>2402</v>
      </c>
      <c r="AB3490" s="1">
        <v>1312</v>
      </c>
      <c r="AC3490" s="1" t="s">
        <v>24</v>
      </c>
      <c r="AD3490" s="1" t="s">
        <v>24</v>
      </c>
      <c r="AE3490" s="1" t="s">
        <v>24</v>
      </c>
      <c r="AF3490" s="22"/>
    </row>
    <row r="3491" spans="1:32" x14ac:dyDescent="0.2">
      <c r="A3491" s="1">
        <v>28438</v>
      </c>
      <c r="B3491" s="1" t="s">
        <v>10793</v>
      </c>
      <c r="C3491" s="5" t="s">
        <v>0</v>
      </c>
      <c r="D3491" s="1" t="s">
        <v>10794</v>
      </c>
      <c r="E3491" s="1" t="s">
        <v>10795</v>
      </c>
      <c r="F3491" s="1" t="s">
        <v>940</v>
      </c>
      <c r="G3491" s="1" t="s">
        <v>130</v>
      </c>
      <c r="H3491" s="1" t="s">
        <v>30</v>
      </c>
      <c r="I3491" s="1" t="s">
        <v>16</v>
      </c>
      <c r="J3491" s="1">
        <v>3</v>
      </c>
      <c r="K3491" s="1">
        <v>3</v>
      </c>
      <c r="L3491" s="1" t="s">
        <v>31</v>
      </c>
      <c r="M3491" s="1" t="s">
        <v>18</v>
      </c>
      <c r="N3491" s="1" t="s">
        <v>18</v>
      </c>
      <c r="O3491" s="1">
        <v>3</v>
      </c>
      <c r="P3491" s="1">
        <v>6</v>
      </c>
      <c r="R3491" s="1" t="s">
        <v>19</v>
      </c>
      <c r="S3491" s="1" t="s">
        <v>20</v>
      </c>
      <c r="T3491" s="1" t="s">
        <v>21</v>
      </c>
      <c r="U3491" s="1" t="s">
        <v>22</v>
      </c>
      <c r="V3491" s="1" t="s">
        <v>24</v>
      </c>
      <c r="W3491" s="1" t="s">
        <v>24</v>
      </c>
      <c r="X3491" s="1">
        <v>1303</v>
      </c>
      <c r="Y3491" s="1">
        <v>1305</v>
      </c>
      <c r="Z3491" s="1">
        <v>1312</v>
      </c>
      <c r="AA3491" s="1">
        <v>1502</v>
      </c>
      <c r="AB3491" s="1">
        <v>2402</v>
      </c>
      <c r="AC3491" s="1" t="s">
        <v>24</v>
      </c>
      <c r="AD3491" s="1" t="s">
        <v>24</v>
      </c>
      <c r="AE3491" s="1" t="s">
        <v>24</v>
      </c>
      <c r="AF3491" s="22"/>
    </row>
    <row r="3492" spans="1:32" x14ac:dyDescent="0.2">
      <c r="A3492" s="1">
        <v>28471</v>
      </c>
      <c r="B3492" s="1" t="s">
        <v>10796</v>
      </c>
      <c r="C3492" s="5" t="s">
        <v>0</v>
      </c>
      <c r="D3492" s="1" t="s">
        <v>10797</v>
      </c>
      <c r="E3492" s="1" t="s">
        <v>10798</v>
      </c>
      <c r="F3492" s="1" t="s">
        <v>35</v>
      </c>
      <c r="G3492" s="1" t="s">
        <v>36</v>
      </c>
      <c r="H3492" s="1" t="s">
        <v>37</v>
      </c>
      <c r="I3492" s="1" t="s">
        <v>16</v>
      </c>
      <c r="J3492" s="1">
        <v>1</v>
      </c>
      <c r="K3492" s="1">
        <v>4</v>
      </c>
      <c r="L3492" s="1" t="s">
        <v>31</v>
      </c>
      <c r="M3492" s="1" t="s">
        <v>18</v>
      </c>
      <c r="N3492" s="1" t="s">
        <v>18</v>
      </c>
      <c r="O3492" s="1">
        <v>3</v>
      </c>
      <c r="P3492" s="1">
        <v>7</v>
      </c>
      <c r="Q3492" s="7" t="s">
        <v>17633</v>
      </c>
      <c r="R3492" s="1" t="s">
        <v>19</v>
      </c>
      <c r="S3492" s="1" t="s">
        <v>20</v>
      </c>
      <c r="T3492" s="1" t="s">
        <v>21</v>
      </c>
      <c r="U3492" s="1" t="s">
        <v>22</v>
      </c>
      <c r="V3492" s="1" t="s">
        <v>24</v>
      </c>
      <c r="W3492" s="1" t="s">
        <v>24</v>
      </c>
      <c r="X3492" s="1">
        <v>2735</v>
      </c>
      <c r="Y3492" s="1">
        <v>2738</v>
      </c>
      <c r="Z3492" s="1" t="s">
        <v>24</v>
      </c>
      <c r="AA3492" s="1" t="s">
        <v>24</v>
      </c>
      <c r="AB3492" s="1" t="s">
        <v>24</v>
      </c>
      <c r="AC3492" s="1" t="s">
        <v>24</v>
      </c>
      <c r="AD3492" s="1" t="s">
        <v>24</v>
      </c>
      <c r="AE3492" s="1" t="s">
        <v>24</v>
      </c>
      <c r="AF3492" s="22"/>
    </row>
    <row r="3493" spans="1:32" x14ac:dyDescent="0.2">
      <c r="A3493" s="1">
        <v>28472</v>
      </c>
      <c r="B3493" s="1" t="s">
        <v>10799</v>
      </c>
      <c r="C3493" s="5" t="s">
        <v>0</v>
      </c>
      <c r="D3493" s="1" t="s">
        <v>10800</v>
      </c>
      <c r="E3493" s="1" t="s">
        <v>10801</v>
      </c>
      <c r="F3493" s="1" t="s">
        <v>217</v>
      </c>
      <c r="G3493" s="1" t="s">
        <v>130</v>
      </c>
      <c r="H3493" s="1" t="s">
        <v>92</v>
      </c>
      <c r="I3493" s="1" t="s">
        <v>16</v>
      </c>
      <c r="J3493" s="1">
        <v>1</v>
      </c>
      <c r="K3493" s="1">
        <v>4</v>
      </c>
      <c r="L3493" s="1" t="s">
        <v>31</v>
      </c>
      <c r="M3493" s="1" t="s">
        <v>18</v>
      </c>
      <c r="N3493" s="1" t="s">
        <v>18</v>
      </c>
      <c r="O3493" s="1">
        <v>3</v>
      </c>
      <c r="P3493" s="1">
        <v>6</v>
      </c>
      <c r="R3493" s="1" t="s">
        <v>19</v>
      </c>
      <c r="S3493" s="1" t="s">
        <v>20</v>
      </c>
      <c r="T3493" s="1" t="s">
        <v>21</v>
      </c>
      <c r="U3493" s="1" t="s">
        <v>22</v>
      </c>
      <c r="V3493" s="1" t="s">
        <v>24</v>
      </c>
      <c r="W3493" s="1" t="s">
        <v>64</v>
      </c>
      <c r="X3493" s="1">
        <v>1303</v>
      </c>
      <c r="Y3493" s="1">
        <v>1502</v>
      </c>
      <c r="Z3493" s="1">
        <v>1313</v>
      </c>
      <c r="AA3493" s="1">
        <v>3002</v>
      </c>
      <c r="AB3493" s="1">
        <v>1602</v>
      </c>
      <c r="AC3493" s="1" t="s">
        <v>24</v>
      </c>
      <c r="AD3493" s="1" t="s">
        <v>24</v>
      </c>
      <c r="AE3493" s="1" t="s">
        <v>24</v>
      </c>
      <c r="AF3493" s="22"/>
    </row>
    <row r="3494" spans="1:32" x14ac:dyDescent="0.2">
      <c r="A3494" s="1">
        <v>28507</v>
      </c>
      <c r="B3494" s="1" t="s">
        <v>10802</v>
      </c>
      <c r="C3494" s="5" t="s">
        <v>0</v>
      </c>
      <c r="D3494" s="1" t="s">
        <v>10803</v>
      </c>
      <c r="F3494" s="1" t="s">
        <v>10804</v>
      </c>
      <c r="G3494" s="1" t="s">
        <v>10805</v>
      </c>
      <c r="H3494" s="1" t="s">
        <v>684</v>
      </c>
      <c r="I3494" s="1" t="s">
        <v>16</v>
      </c>
      <c r="J3494" s="1">
        <v>1</v>
      </c>
      <c r="K3494" s="1">
        <v>4</v>
      </c>
      <c r="L3494" s="1" t="s">
        <v>42</v>
      </c>
      <c r="M3494" s="1" t="s">
        <v>852</v>
      </c>
      <c r="N3494" s="1" t="s">
        <v>1755</v>
      </c>
      <c r="O3494" s="1">
        <v>3</v>
      </c>
      <c r="P3494" s="1">
        <v>5</v>
      </c>
      <c r="R3494" s="1" t="s">
        <v>19</v>
      </c>
      <c r="S3494" s="1" t="s">
        <v>20</v>
      </c>
      <c r="T3494" s="1" t="s">
        <v>21</v>
      </c>
      <c r="U3494" s="1" t="s">
        <v>22</v>
      </c>
      <c r="V3494" s="1" t="s">
        <v>24</v>
      </c>
      <c r="W3494" s="1" t="s">
        <v>24</v>
      </c>
      <c r="X3494" s="1">
        <v>2708</v>
      </c>
      <c r="Y3494" s="1">
        <v>2723</v>
      </c>
      <c r="Z3494" s="1" t="s">
        <v>24</v>
      </c>
      <c r="AA3494" s="1" t="s">
        <v>24</v>
      </c>
      <c r="AB3494" s="1" t="s">
        <v>24</v>
      </c>
      <c r="AC3494" s="1" t="s">
        <v>24</v>
      </c>
      <c r="AD3494" s="1" t="s">
        <v>24</v>
      </c>
      <c r="AE3494" s="1" t="s">
        <v>24</v>
      </c>
      <c r="AF3494" s="22"/>
    </row>
    <row r="3495" spans="1:32" x14ac:dyDescent="0.2">
      <c r="A3495" s="1">
        <v>28513</v>
      </c>
      <c r="B3495" s="1" t="s">
        <v>10806</v>
      </c>
      <c r="C3495" s="5" t="s">
        <v>0</v>
      </c>
      <c r="D3495" s="1" t="s">
        <v>10807</v>
      </c>
      <c r="E3495" s="1" t="s">
        <v>10808</v>
      </c>
      <c r="F3495" s="1" t="s">
        <v>412</v>
      </c>
      <c r="G3495" s="1" t="s">
        <v>372</v>
      </c>
      <c r="H3495" s="1" t="s">
        <v>168</v>
      </c>
      <c r="I3495" s="1" t="s">
        <v>16</v>
      </c>
      <c r="J3495" s="1">
        <v>0</v>
      </c>
      <c r="K3495" s="1">
        <v>0</v>
      </c>
      <c r="L3495" s="1" t="s">
        <v>31</v>
      </c>
      <c r="M3495" s="1" t="s">
        <v>413</v>
      </c>
      <c r="N3495" s="1" t="s">
        <v>18</v>
      </c>
      <c r="O3495" s="1">
        <v>2</v>
      </c>
      <c r="P3495" s="1">
        <v>5</v>
      </c>
      <c r="R3495" s="1" t="s">
        <v>19</v>
      </c>
      <c r="S3495" s="1" t="s">
        <v>63</v>
      </c>
      <c r="T3495" s="1" t="s">
        <v>21</v>
      </c>
      <c r="U3495" s="1" t="s">
        <v>22</v>
      </c>
      <c r="V3495" s="1" t="s">
        <v>24</v>
      </c>
      <c r="W3495" s="1" t="s">
        <v>24</v>
      </c>
      <c r="X3495" s="1">
        <v>2728</v>
      </c>
      <c r="Y3495" s="1" t="s">
        <v>24</v>
      </c>
      <c r="Z3495" s="1" t="s">
        <v>24</v>
      </c>
      <c r="AA3495" s="1" t="s">
        <v>24</v>
      </c>
      <c r="AB3495" s="1" t="s">
        <v>24</v>
      </c>
      <c r="AC3495" s="1" t="s">
        <v>24</v>
      </c>
      <c r="AD3495" s="1" t="s">
        <v>24</v>
      </c>
      <c r="AE3495" s="1" t="s">
        <v>24</v>
      </c>
      <c r="AF3495" s="22"/>
    </row>
    <row r="3496" spans="1:32" x14ac:dyDescent="0.2">
      <c r="A3496" s="1">
        <v>28534</v>
      </c>
      <c r="B3496" s="1" t="s">
        <v>10809</v>
      </c>
      <c r="C3496" s="5" t="s">
        <v>0</v>
      </c>
      <c r="D3496" s="1" t="s">
        <v>10810</v>
      </c>
      <c r="F3496" s="1" t="s">
        <v>412</v>
      </c>
      <c r="G3496" s="1" t="s">
        <v>412</v>
      </c>
      <c r="H3496" s="1" t="s">
        <v>168</v>
      </c>
      <c r="I3496" s="1" t="s">
        <v>16</v>
      </c>
      <c r="J3496" s="1">
        <v>0</v>
      </c>
      <c r="K3496" s="1">
        <v>0</v>
      </c>
      <c r="L3496" s="1" t="s">
        <v>17</v>
      </c>
      <c r="M3496" s="1" t="s">
        <v>413</v>
      </c>
      <c r="N3496" s="1" t="s">
        <v>413</v>
      </c>
      <c r="O3496" s="1">
        <v>2</v>
      </c>
      <c r="P3496" s="1">
        <v>6</v>
      </c>
      <c r="R3496" s="1" t="s">
        <v>19</v>
      </c>
      <c r="S3496" s="1" t="s">
        <v>20</v>
      </c>
      <c r="T3496" s="1" t="s">
        <v>21</v>
      </c>
      <c r="U3496" s="1" t="s">
        <v>22</v>
      </c>
      <c r="V3496" s="1" t="s">
        <v>24</v>
      </c>
      <c r="W3496" s="1" t="s">
        <v>24</v>
      </c>
      <c r="X3496" s="1">
        <v>2705</v>
      </c>
      <c r="Y3496" s="1" t="s">
        <v>24</v>
      </c>
      <c r="Z3496" s="1" t="s">
        <v>24</v>
      </c>
      <c r="AA3496" s="1" t="s">
        <v>24</v>
      </c>
      <c r="AB3496" s="1" t="s">
        <v>24</v>
      </c>
      <c r="AC3496" s="1" t="s">
        <v>24</v>
      </c>
      <c r="AD3496" s="1" t="s">
        <v>24</v>
      </c>
      <c r="AE3496" s="1" t="s">
        <v>24</v>
      </c>
      <c r="AF3496" s="22"/>
    </row>
    <row r="3497" spans="1:32" x14ac:dyDescent="0.2">
      <c r="A3497" s="1">
        <v>28582</v>
      </c>
      <c r="B3497" s="1" t="s">
        <v>10811</v>
      </c>
      <c r="C3497" s="5" t="s">
        <v>0</v>
      </c>
      <c r="D3497" s="1" t="s">
        <v>10812</v>
      </c>
      <c r="E3497" s="1" t="s">
        <v>10813</v>
      </c>
      <c r="F3497" s="1" t="s">
        <v>412</v>
      </c>
      <c r="G3497" s="1" t="s">
        <v>372</v>
      </c>
      <c r="H3497" s="1" t="s">
        <v>168</v>
      </c>
      <c r="I3497" s="1" t="s">
        <v>16</v>
      </c>
      <c r="J3497" s="1">
        <v>0</v>
      </c>
      <c r="K3497" s="1">
        <v>0</v>
      </c>
      <c r="L3497" s="1" t="s">
        <v>31</v>
      </c>
      <c r="M3497" s="1" t="s">
        <v>242</v>
      </c>
      <c r="N3497" s="1" t="s">
        <v>18</v>
      </c>
      <c r="O3497" s="1">
        <v>3</v>
      </c>
      <c r="P3497" s="1">
        <v>6</v>
      </c>
      <c r="R3497" s="1" t="s">
        <v>19</v>
      </c>
      <c r="S3497" s="1" t="s">
        <v>63</v>
      </c>
      <c r="T3497" s="1" t="s">
        <v>21</v>
      </c>
      <c r="U3497" s="1" t="s">
        <v>22</v>
      </c>
      <c r="V3497" s="1" t="s">
        <v>23</v>
      </c>
      <c r="W3497" s="1" t="s">
        <v>24</v>
      </c>
      <c r="X3497" s="1">
        <v>2729</v>
      </c>
      <c r="Y3497" s="1">
        <v>2735</v>
      </c>
      <c r="Z3497" s="1">
        <v>2913</v>
      </c>
      <c r="AA3497" s="1" t="s">
        <v>24</v>
      </c>
      <c r="AB3497" s="1" t="s">
        <v>24</v>
      </c>
      <c r="AC3497" s="1" t="s">
        <v>24</v>
      </c>
      <c r="AD3497" s="1" t="s">
        <v>24</v>
      </c>
      <c r="AE3497" s="1" t="s">
        <v>24</v>
      </c>
      <c r="AF3497" s="22"/>
    </row>
    <row r="3498" spans="1:32" x14ac:dyDescent="0.2">
      <c r="A3498" s="1">
        <v>28614</v>
      </c>
      <c r="B3498" s="1" t="s">
        <v>10814</v>
      </c>
      <c r="C3498" s="5" t="s">
        <v>0</v>
      </c>
      <c r="D3498" s="1" t="s">
        <v>10815</v>
      </c>
      <c r="E3498" s="1" t="s">
        <v>10816</v>
      </c>
      <c r="F3498" s="1" t="s">
        <v>91</v>
      </c>
      <c r="G3498" s="1" t="s">
        <v>61</v>
      </c>
      <c r="H3498" s="1" t="s">
        <v>92</v>
      </c>
      <c r="I3498" s="1" t="s">
        <v>112</v>
      </c>
      <c r="J3498" s="1">
        <v>0</v>
      </c>
      <c r="K3498" s="1">
        <v>0</v>
      </c>
      <c r="L3498" s="1" t="s">
        <v>31</v>
      </c>
      <c r="M3498" s="1" t="s">
        <v>18</v>
      </c>
      <c r="N3498" s="1" t="s">
        <v>18</v>
      </c>
      <c r="O3498" s="1">
        <v>3</v>
      </c>
      <c r="P3498" s="1">
        <v>6</v>
      </c>
      <c r="R3498" s="1" t="s">
        <v>19</v>
      </c>
      <c r="S3498" s="1" t="s">
        <v>20</v>
      </c>
      <c r="T3498" s="1" t="s">
        <v>21</v>
      </c>
      <c r="U3498" s="1" t="s">
        <v>22</v>
      </c>
      <c r="V3498" s="1" t="s">
        <v>24</v>
      </c>
      <c r="W3498" s="1" t="s">
        <v>24</v>
      </c>
      <c r="X3498" s="1">
        <v>1307</v>
      </c>
      <c r="Y3498" s="1">
        <v>1309</v>
      </c>
      <c r="Z3498" s="1" t="s">
        <v>24</v>
      </c>
      <c r="AA3498" s="1" t="s">
        <v>24</v>
      </c>
      <c r="AB3498" s="1" t="s">
        <v>24</v>
      </c>
      <c r="AC3498" s="1" t="s">
        <v>24</v>
      </c>
      <c r="AD3498" s="1" t="s">
        <v>24</v>
      </c>
      <c r="AE3498" s="1" t="s">
        <v>24</v>
      </c>
      <c r="AF3498" s="22"/>
    </row>
    <row r="3499" spans="1:32" x14ac:dyDescent="0.2">
      <c r="A3499" s="1">
        <v>28626</v>
      </c>
      <c r="B3499" s="1" t="s">
        <v>10817</v>
      </c>
      <c r="C3499" s="5" t="s">
        <v>0</v>
      </c>
      <c r="D3499" s="1" t="s">
        <v>10818</v>
      </c>
      <c r="F3499" s="1" t="s">
        <v>1100</v>
      </c>
      <c r="G3499" s="1" t="s">
        <v>1100</v>
      </c>
      <c r="H3499" s="1" t="s">
        <v>731</v>
      </c>
      <c r="I3499" s="1" t="s">
        <v>16</v>
      </c>
      <c r="J3499" s="1">
        <v>1</v>
      </c>
      <c r="K3499" s="1">
        <v>4</v>
      </c>
      <c r="L3499" s="1" t="s">
        <v>42</v>
      </c>
      <c r="M3499" s="1" t="s">
        <v>18</v>
      </c>
      <c r="N3499" s="1" t="s">
        <v>18</v>
      </c>
      <c r="O3499" s="1">
        <v>3</v>
      </c>
      <c r="P3499" s="1">
        <v>6</v>
      </c>
      <c r="R3499" s="1" t="s">
        <v>19</v>
      </c>
      <c r="S3499" s="1" t="s">
        <v>20</v>
      </c>
      <c r="T3499" s="1" t="s">
        <v>21</v>
      </c>
      <c r="U3499" s="1" t="s">
        <v>22</v>
      </c>
      <c r="V3499" s="1" t="s">
        <v>24</v>
      </c>
      <c r="W3499" s="1" t="s">
        <v>24</v>
      </c>
      <c r="X3499" s="1">
        <v>2726</v>
      </c>
      <c r="Y3499" s="1">
        <v>2725</v>
      </c>
      <c r="Z3499" s="1" t="s">
        <v>24</v>
      </c>
      <c r="AA3499" s="1" t="s">
        <v>24</v>
      </c>
      <c r="AB3499" s="1" t="s">
        <v>24</v>
      </c>
      <c r="AC3499" s="1" t="s">
        <v>24</v>
      </c>
      <c r="AD3499" s="1" t="s">
        <v>24</v>
      </c>
      <c r="AE3499" s="1" t="s">
        <v>24</v>
      </c>
      <c r="AF3499" s="22"/>
    </row>
    <row r="3500" spans="1:32" x14ac:dyDescent="0.2">
      <c r="A3500" s="1">
        <v>28627</v>
      </c>
      <c r="B3500" s="1" t="s">
        <v>10819</v>
      </c>
      <c r="C3500" s="5" t="s">
        <v>0</v>
      </c>
      <c r="D3500" s="1" t="s">
        <v>10820</v>
      </c>
      <c r="E3500" s="1" t="s">
        <v>10821</v>
      </c>
      <c r="F3500" s="1" t="s">
        <v>85</v>
      </c>
      <c r="G3500" s="1" t="s">
        <v>61</v>
      </c>
      <c r="H3500" s="1" t="s">
        <v>86</v>
      </c>
      <c r="I3500" s="1" t="s">
        <v>16</v>
      </c>
      <c r="J3500" s="1">
        <v>1</v>
      </c>
      <c r="K3500" s="1">
        <v>7</v>
      </c>
      <c r="L3500" s="1" t="s">
        <v>31</v>
      </c>
      <c r="M3500" s="1" t="s">
        <v>87</v>
      </c>
      <c r="N3500" s="1" t="s">
        <v>87</v>
      </c>
      <c r="O3500" s="1">
        <v>3</v>
      </c>
      <c r="P3500" s="1">
        <v>5</v>
      </c>
      <c r="R3500" s="1" t="s">
        <v>19</v>
      </c>
      <c r="S3500" s="1" t="s">
        <v>20</v>
      </c>
      <c r="T3500" s="1" t="s">
        <v>21</v>
      </c>
      <c r="U3500" s="1" t="s">
        <v>22</v>
      </c>
      <c r="V3500" s="1" t="s">
        <v>24</v>
      </c>
      <c r="W3500" s="1" t="s">
        <v>24</v>
      </c>
      <c r="X3500" s="1">
        <v>2727</v>
      </c>
      <c r="Y3500" s="1" t="s">
        <v>24</v>
      </c>
      <c r="Z3500" s="1" t="s">
        <v>24</v>
      </c>
      <c r="AA3500" s="1" t="s">
        <v>24</v>
      </c>
      <c r="AB3500" s="1" t="s">
        <v>24</v>
      </c>
      <c r="AC3500" s="1" t="s">
        <v>24</v>
      </c>
      <c r="AD3500" s="1" t="s">
        <v>24</v>
      </c>
      <c r="AE3500" s="1" t="s">
        <v>24</v>
      </c>
      <c r="AF3500" s="22"/>
    </row>
    <row r="3501" spans="1:32" x14ac:dyDescent="0.2">
      <c r="A3501" s="1">
        <v>28659</v>
      </c>
      <c r="B3501" s="1" t="s">
        <v>10822</v>
      </c>
      <c r="C3501" s="5" t="s">
        <v>0</v>
      </c>
      <c r="D3501" s="1" t="s">
        <v>10823</v>
      </c>
      <c r="E3501" s="1" t="s">
        <v>10824</v>
      </c>
      <c r="F3501" s="1" t="s">
        <v>60</v>
      </c>
      <c r="G3501" s="1" t="s">
        <v>61</v>
      </c>
      <c r="H3501" s="1" t="s">
        <v>30</v>
      </c>
      <c r="I3501" s="1" t="s">
        <v>112</v>
      </c>
      <c r="J3501" s="1">
        <v>0</v>
      </c>
      <c r="K3501" s="1">
        <v>0</v>
      </c>
      <c r="L3501" s="1" t="s">
        <v>31</v>
      </c>
      <c r="M3501" s="1" t="s">
        <v>18</v>
      </c>
      <c r="N3501" s="1" t="s">
        <v>18</v>
      </c>
      <c r="O3501" s="1">
        <v>3</v>
      </c>
      <c r="P3501" s="1">
        <v>7</v>
      </c>
      <c r="Q3501" s="7" t="s">
        <v>17633</v>
      </c>
      <c r="R3501" s="1" t="s">
        <v>19</v>
      </c>
      <c r="S3501" s="1" t="s">
        <v>20</v>
      </c>
      <c r="T3501" s="1" t="s">
        <v>21</v>
      </c>
      <c r="U3501" s="1" t="s">
        <v>22</v>
      </c>
      <c r="V3501" s="1" t="s">
        <v>24</v>
      </c>
      <c r="W3501" s="1" t="s">
        <v>24</v>
      </c>
      <c r="X3501" s="1">
        <v>3004</v>
      </c>
      <c r="Y3501" s="1" t="s">
        <v>24</v>
      </c>
      <c r="Z3501" s="1" t="s">
        <v>24</v>
      </c>
      <c r="AA3501" s="1" t="s">
        <v>24</v>
      </c>
      <c r="AB3501" s="1" t="s">
        <v>24</v>
      </c>
      <c r="AC3501" s="1" t="s">
        <v>24</v>
      </c>
      <c r="AD3501" s="1" t="s">
        <v>24</v>
      </c>
      <c r="AE3501" s="1" t="s">
        <v>24</v>
      </c>
      <c r="AF3501" s="22"/>
    </row>
    <row r="3502" spans="1:32" x14ac:dyDescent="0.2">
      <c r="A3502" s="1">
        <v>28679</v>
      </c>
      <c r="B3502" s="1" t="s">
        <v>10825</v>
      </c>
      <c r="C3502" s="5" t="s">
        <v>0</v>
      </c>
      <c r="D3502" s="1" t="s">
        <v>10826</v>
      </c>
      <c r="F3502" s="1" t="s">
        <v>60</v>
      </c>
      <c r="G3502" s="1" t="s">
        <v>61</v>
      </c>
      <c r="H3502" s="1" t="s">
        <v>30</v>
      </c>
      <c r="I3502" s="1" t="s">
        <v>112</v>
      </c>
      <c r="J3502" s="1">
        <v>0</v>
      </c>
      <c r="K3502" s="1">
        <v>0</v>
      </c>
      <c r="L3502" s="1" t="s">
        <v>31</v>
      </c>
      <c r="M3502" s="1" t="s">
        <v>18</v>
      </c>
      <c r="N3502" s="1" t="s">
        <v>18</v>
      </c>
      <c r="O3502" s="1">
        <v>3</v>
      </c>
      <c r="P3502" s="1">
        <v>7</v>
      </c>
      <c r="Q3502" s="7" t="s">
        <v>17633</v>
      </c>
      <c r="R3502" s="1" t="s">
        <v>19</v>
      </c>
      <c r="S3502" s="1" t="s">
        <v>20</v>
      </c>
      <c r="T3502" s="1" t="s">
        <v>21</v>
      </c>
      <c r="U3502" s="1" t="s">
        <v>22</v>
      </c>
      <c r="V3502" s="1" t="s">
        <v>24</v>
      </c>
      <c r="W3502" s="1" t="s">
        <v>24</v>
      </c>
      <c r="X3502" s="1">
        <v>1303</v>
      </c>
      <c r="Y3502" s="1">
        <v>1605</v>
      </c>
      <c r="Z3502" s="1" t="s">
        <v>24</v>
      </c>
      <c r="AA3502" s="1" t="s">
        <v>24</v>
      </c>
      <c r="AB3502" s="1" t="s">
        <v>24</v>
      </c>
      <c r="AC3502" s="1" t="s">
        <v>24</v>
      </c>
      <c r="AD3502" s="1" t="s">
        <v>24</v>
      </c>
      <c r="AE3502" s="1" t="s">
        <v>24</v>
      </c>
      <c r="AF3502" s="22"/>
    </row>
    <row r="3503" spans="1:32" x14ac:dyDescent="0.2">
      <c r="A3503" s="1">
        <v>28692</v>
      </c>
      <c r="B3503" s="1" t="s">
        <v>10827</v>
      </c>
      <c r="C3503" s="5" t="s">
        <v>0</v>
      </c>
      <c r="D3503" s="1" t="s">
        <v>10828</v>
      </c>
      <c r="E3503" s="1" t="s">
        <v>10829</v>
      </c>
      <c r="F3503" s="1" t="s">
        <v>109</v>
      </c>
      <c r="G3503" s="1" t="s">
        <v>110</v>
      </c>
      <c r="H3503" s="1" t="s">
        <v>111</v>
      </c>
      <c r="I3503" s="1" t="s">
        <v>112</v>
      </c>
      <c r="J3503" s="1">
        <v>0</v>
      </c>
      <c r="K3503" s="1">
        <v>0</v>
      </c>
      <c r="L3503" s="1" t="s">
        <v>31</v>
      </c>
      <c r="M3503" s="1" t="s">
        <v>18</v>
      </c>
      <c r="N3503" s="1" t="s">
        <v>18</v>
      </c>
      <c r="O3503" s="1">
        <v>3</v>
      </c>
      <c r="P3503" s="1">
        <v>7</v>
      </c>
      <c r="Q3503" s="7" t="s">
        <v>17633</v>
      </c>
      <c r="R3503" s="1" t="s">
        <v>19</v>
      </c>
      <c r="S3503" s="1" t="s">
        <v>20</v>
      </c>
      <c r="T3503" s="1" t="s">
        <v>21</v>
      </c>
      <c r="U3503" s="1" t="s">
        <v>22</v>
      </c>
      <c r="V3503" s="1" t="s">
        <v>24</v>
      </c>
      <c r="W3503" s="1" t="s">
        <v>24</v>
      </c>
      <c r="X3503" s="1">
        <v>3004</v>
      </c>
      <c r="Y3503" s="1">
        <v>2502</v>
      </c>
      <c r="Z3503" s="1">
        <v>2403</v>
      </c>
      <c r="AA3503" s="1" t="s">
        <v>24</v>
      </c>
      <c r="AB3503" s="1" t="s">
        <v>24</v>
      </c>
      <c r="AC3503" s="1" t="s">
        <v>24</v>
      </c>
      <c r="AD3503" s="1" t="s">
        <v>24</v>
      </c>
      <c r="AE3503" s="1" t="s">
        <v>24</v>
      </c>
      <c r="AF3503" s="22"/>
    </row>
    <row r="3504" spans="1:32" x14ac:dyDescent="0.2">
      <c r="A3504" s="1">
        <v>28696</v>
      </c>
      <c r="B3504" s="1" t="s">
        <v>10830</v>
      </c>
      <c r="C3504" s="5" t="s">
        <v>0</v>
      </c>
      <c r="D3504" s="1" t="s">
        <v>10831</v>
      </c>
      <c r="E3504" s="1" t="s">
        <v>10832</v>
      </c>
      <c r="F3504" s="1" t="s">
        <v>109</v>
      </c>
      <c r="G3504" s="1" t="s">
        <v>110</v>
      </c>
      <c r="H3504" s="1" t="s">
        <v>111</v>
      </c>
      <c r="I3504" s="1" t="s">
        <v>112</v>
      </c>
      <c r="J3504" s="1">
        <v>0</v>
      </c>
      <c r="K3504" s="1">
        <v>0</v>
      </c>
      <c r="L3504" s="1" t="s">
        <v>31</v>
      </c>
      <c r="M3504" s="1" t="s">
        <v>18</v>
      </c>
      <c r="N3504" s="1" t="s">
        <v>18</v>
      </c>
      <c r="O3504" s="1">
        <v>3</v>
      </c>
      <c r="P3504" s="1">
        <v>7</v>
      </c>
      <c r="Q3504" s="7" t="s">
        <v>17633</v>
      </c>
      <c r="R3504" s="1" t="s">
        <v>19</v>
      </c>
      <c r="S3504" s="1" t="s">
        <v>20</v>
      </c>
      <c r="T3504" s="1" t="s">
        <v>21</v>
      </c>
      <c r="U3504" s="1" t="s">
        <v>22</v>
      </c>
      <c r="V3504" s="1" t="s">
        <v>24</v>
      </c>
      <c r="W3504" s="1" t="s">
        <v>24</v>
      </c>
      <c r="X3504" s="1">
        <v>2715</v>
      </c>
      <c r="Y3504" s="1" t="s">
        <v>24</v>
      </c>
      <c r="Z3504" s="1" t="s">
        <v>24</v>
      </c>
      <c r="AA3504" s="1" t="s">
        <v>24</v>
      </c>
      <c r="AB3504" s="1" t="s">
        <v>24</v>
      </c>
      <c r="AC3504" s="1" t="s">
        <v>24</v>
      </c>
      <c r="AD3504" s="1" t="s">
        <v>24</v>
      </c>
      <c r="AE3504" s="1" t="s">
        <v>24</v>
      </c>
      <c r="AF3504" s="22"/>
    </row>
    <row r="3505" spans="1:32" x14ac:dyDescent="0.2">
      <c r="A3505" s="1">
        <v>28697</v>
      </c>
      <c r="B3505" s="1" t="s">
        <v>10833</v>
      </c>
      <c r="C3505" s="5" t="s">
        <v>0</v>
      </c>
      <c r="D3505" s="1" t="s">
        <v>10834</v>
      </c>
      <c r="E3505" s="1" t="s">
        <v>10835</v>
      </c>
      <c r="F3505" s="1" t="s">
        <v>109</v>
      </c>
      <c r="G3505" s="1" t="s">
        <v>110</v>
      </c>
      <c r="H3505" s="1" t="s">
        <v>111</v>
      </c>
      <c r="I3505" s="1" t="s">
        <v>112</v>
      </c>
      <c r="J3505" s="1">
        <v>0</v>
      </c>
      <c r="K3505" s="1">
        <v>0</v>
      </c>
      <c r="L3505" s="1" t="s">
        <v>31</v>
      </c>
      <c r="M3505" s="1" t="s">
        <v>18</v>
      </c>
      <c r="N3505" s="1" t="s">
        <v>18</v>
      </c>
      <c r="O3505" s="1">
        <v>3</v>
      </c>
      <c r="P3505" s="1">
        <v>7</v>
      </c>
      <c r="Q3505" s="7" t="s">
        <v>17633</v>
      </c>
      <c r="R3505" s="1" t="s">
        <v>19</v>
      </c>
      <c r="S3505" s="1" t="s">
        <v>20</v>
      </c>
      <c r="T3505" s="1" t="s">
        <v>21</v>
      </c>
      <c r="U3505" s="1" t="s">
        <v>22</v>
      </c>
      <c r="V3505" s="1" t="s">
        <v>24</v>
      </c>
      <c r="W3505" s="1" t="s">
        <v>24</v>
      </c>
      <c r="X3505" s="1">
        <v>1310</v>
      </c>
      <c r="Y3505" s="1">
        <v>2712</v>
      </c>
      <c r="Z3505" s="1" t="s">
        <v>24</v>
      </c>
      <c r="AA3505" s="1" t="s">
        <v>24</v>
      </c>
      <c r="AB3505" s="1" t="s">
        <v>24</v>
      </c>
      <c r="AC3505" s="1" t="s">
        <v>24</v>
      </c>
      <c r="AD3505" s="1" t="s">
        <v>24</v>
      </c>
      <c r="AE3505" s="1" t="s">
        <v>24</v>
      </c>
      <c r="AF3505" s="22"/>
    </row>
    <row r="3506" spans="1:32" x14ac:dyDescent="0.2">
      <c r="A3506" s="1">
        <v>28698</v>
      </c>
      <c r="B3506" s="1" t="s">
        <v>10836</v>
      </c>
      <c r="C3506" s="5" t="s">
        <v>0</v>
      </c>
      <c r="D3506" s="1" t="s">
        <v>10837</v>
      </c>
      <c r="E3506" s="1" t="s">
        <v>10838</v>
      </c>
      <c r="F3506" s="1" t="s">
        <v>109</v>
      </c>
      <c r="G3506" s="1" t="s">
        <v>110</v>
      </c>
      <c r="H3506" s="1" t="s">
        <v>111</v>
      </c>
      <c r="I3506" s="1" t="s">
        <v>112</v>
      </c>
      <c r="J3506" s="1">
        <v>0</v>
      </c>
      <c r="K3506" s="1">
        <v>0</v>
      </c>
      <c r="L3506" s="1" t="s">
        <v>31</v>
      </c>
      <c r="M3506" s="1" t="s">
        <v>18</v>
      </c>
      <c r="N3506" s="1" t="s">
        <v>18</v>
      </c>
      <c r="O3506" s="1">
        <v>3</v>
      </c>
      <c r="P3506" s="1">
        <v>7</v>
      </c>
      <c r="Q3506" s="7" t="s">
        <v>17633</v>
      </c>
      <c r="R3506" s="1" t="s">
        <v>19</v>
      </c>
      <c r="S3506" s="1" t="s">
        <v>20</v>
      </c>
      <c r="T3506" s="1" t="s">
        <v>21</v>
      </c>
      <c r="U3506" s="1" t="s">
        <v>22</v>
      </c>
      <c r="V3506" s="1" t="s">
        <v>23</v>
      </c>
      <c r="W3506" s="1" t="s">
        <v>24</v>
      </c>
      <c r="X3506" s="1">
        <v>2730</v>
      </c>
      <c r="Y3506" s="1">
        <v>2741</v>
      </c>
      <c r="Z3506" s="1" t="s">
        <v>24</v>
      </c>
      <c r="AA3506" s="1" t="s">
        <v>24</v>
      </c>
      <c r="AB3506" s="1" t="s">
        <v>24</v>
      </c>
      <c r="AC3506" s="1" t="s">
        <v>24</v>
      </c>
      <c r="AD3506" s="1" t="s">
        <v>24</v>
      </c>
      <c r="AE3506" s="1" t="s">
        <v>24</v>
      </c>
      <c r="AF3506" s="22"/>
    </row>
    <row r="3507" spans="1:32" x14ac:dyDescent="0.2">
      <c r="A3507" s="1">
        <v>28720</v>
      </c>
      <c r="B3507" s="1" t="s">
        <v>10839</v>
      </c>
      <c r="C3507" s="5" t="s">
        <v>0</v>
      </c>
      <c r="D3507" s="1" t="s">
        <v>10840</v>
      </c>
      <c r="F3507" s="1" t="s">
        <v>60</v>
      </c>
      <c r="G3507" s="1" t="s">
        <v>61</v>
      </c>
      <c r="H3507" s="1" t="s">
        <v>30</v>
      </c>
      <c r="I3507" s="1" t="s">
        <v>112</v>
      </c>
      <c r="J3507" s="1">
        <v>1</v>
      </c>
      <c r="K3507" s="1">
        <v>1</v>
      </c>
      <c r="L3507" s="1" t="s">
        <v>31</v>
      </c>
      <c r="M3507" s="1" t="s">
        <v>18</v>
      </c>
      <c r="N3507" s="1" t="s">
        <v>18</v>
      </c>
      <c r="O3507" s="1">
        <v>3</v>
      </c>
      <c r="P3507" s="1">
        <v>7</v>
      </c>
      <c r="Q3507" s="7" t="s">
        <v>17633</v>
      </c>
      <c r="R3507" s="1" t="s">
        <v>19</v>
      </c>
      <c r="S3507" s="1" t="s">
        <v>20</v>
      </c>
      <c r="T3507" s="1" t="s">
        <v>21</v>
      </c>
      <c r="U3507" s="1" t="s">
        <v>22</v>
      </c>
      <c r="V3507" s="1" t="s">
        <v>23</v>
      </c>
      <c r="W3507" s="1" t="s">
        <v>24</v>
      </c>
      <c r="X3507" s="1">
        <v>1313</v>
      </c>
      <c r="Y3507" s="1">
        <v>3004</v>
      </c>
      <c r="Z3507" s="1">
        <v>3003</v>
      </c>
      <c r="AA3507" s="1" t="s">
        <v>24</v>
      </c>
      <c r="AB3507" s="1" t="s">
        <v>24</v>
      </c>
      <c r="AC3507" s="1" t="s">
        <v>24</v>
      </c>
      <c r="AD3507" s="1" t="s">
        <v>24</v>
      </c>
      <c r="AE3507" s="1" t="s">
        <v>24</v>
      </c>
      <c r="AF3507" s="22"/>
    </row>
    <row r="3508" spans="1:32" x14ac:dyDescent="0.2">
      <c r="A3508" s="1">
        <v>28723</v>
      </c>
      <c r="B3508" s="1" t="s">
        <v>10841</v>
      </c>
      <c r="C3508" s="5" t="s">
        <v>0</v>
      </c>
      <c r="D3508" s="1" t="s">
        <v>10842</v>
      </c>
      <c r="E3508" s="1" t="s">
        <v>10843</v>
      </c>
      <c r="F3508" s="1" t="s">
        <v>91</v>
      </c>
      <c r="G3508" s="1" t="s">
        <v>61</v>
      </c>
      <c r="H3508" s="1" t="s">
        <v>92</v>
      </c>
      <c r="I3508" s="1" t="s">
        <v>112</v>
      </c>
      <c r="J3508" s="1">
        <v>0</v>
      </c>
      <c r="K3508" s="1">
        <v>0</v>
      </c>
      <c r="L3508" s="1" t="s">
        <v>31</v>
      </c>
      <c r="M3508" s="1" t="s">
        <v>18</v>
      </c>
      <c r="N3508" s="1" t="s">
        <v>18</v>
      </c>
      <c r="O3508" s="1">
        <v>3</v>
      </c>
      <c r="P3508" s="1">
        <v>7</v>
      </c>
      <c r="Q3508" s="7" t="s">
        <v>17633</v>
      </c>
      <c r="R3508" s="1" t="s">
        <v>19</v>
      </c>
      <c r="S3508" s="1" t="s">
        <v>20</v>
      </c>
      <c r="T3508" s="1" t="s">
        <v>21</v>
      </c>
      <c r="U3508" s="1" t="s">
        <v>22</v>
      </c>
      <c r="V3508" s="1" t="s">
        <v>24</v>
      </c>
      <c r="W3508" s="1" t="s">
        <v>24</v>
      </c>
      <c r="X3508" s="1">
        <v>1313</v>
      </c>
      <c r="Y3508" s="1">
        <v>3004</v>
      </c>
      <c r="Z3508" s="1" t="s">
        <v>24</v>
      </c>
      <c r="AA3508" s="1" t="s">
        <v>24</v>
      </c>
      <c r="AB3508" s="1" t="s">
        <v>24</v>
      </c>
      <c r="AC3508" s="1" t="s">
        <v>24</v>
      </c>
      <c r="AD3508" s="1" t="s">
        <v>24</v>
      </c>
      <c r="AE3508" s="1" t="s">
        <v>24</v>
      </c>
      <c r="AF3508" s="22"/>
    </row>
    <row r="3509" spans="1:32" x14ac:dyDescent="0.2">
      <c r="A3509" s="1">
        <v>28728</v>
      </c>
      <c r="B3509" s="1" t="s">
        <v>10844</v>
      </c>
      <c r="C3509" s="5" t="s">
        <v>0</v>
      </c>
      <c r="D3509" s="1" t="s">
        <v>10845</v>
      </c>
      <c r="E3509" s="1" t="s">
        <v>10846</v>
      </c>
      <c r="F3509" s="1" t="s">
        <v>10847</v>
      </c>
      <c r="G3509" s="1" t="s">
        <v>10847</v>
      </c>
      <c r="H3509" s="1" t="s">
        <v>69</v>
      </c>
      <c r="I3509" s="1" t="s">
        <v>16</v>
      </c>
      <c r="J3509" s="1">
        <v>1</v>
      </c>
      <c r="K3509" s="1">
        <v>4</v>
      </c>
      <c r="L3509" s="1" t="s">
        <v>42</v>
      </c>
      <c r="M3509" s="1" t="s">
        <v>3659</v>
      </c>
      <c r="N3509" s="1" t="s">
        <v>3659</v>
      </c>
      <c r="O3509" s="1">
        <v>3</v>
      </c>
      <c r="P3509" s="1">
        <v>6</v>
      </c>
      <c r="R3509" s="1" t="s">
        <v>19</v>
      </c>
      <c r="S3509" s="1" t="s">
        <v>63</v>
      </c>
      <c r="T3509" s="1" t="s">
        <v>21</v>
      </c>
      <c r="U3509" s="1" t="s">
        <v>22</v>
      </c>
      <c r="V3509" s="1" t="s">
        <v>24</v>
      </c>
      <c r="W3509" s="1" t="s">
        <v>24</v>
      </c>
      <c r="X3509" s="1">
        <v>1100</v>
      </c>
      <c r="Y3509" s="1">
        <v>1300</v>
      </c>
      <c r="Z3509" s="1" t="s">
        <v>24</v>
      </c>
      <c r="AA3509" s="1" t="s">
        <v>24</v>
      </c>
      <c r="AB3509" s="1" t="s">
        <v>24</v>
      </c>
      <c r="AC3509" s="1" t="s">
        <v>24</v>
      </c>
      <c r="AD3509" s="1" t="s">
        <v>24</v>
      </c>
      <c r="AE3509" s="1" t="s">
        <v>24</v>
      </c>
      <c r="AF3509" s="22"/>
    </row>
    <row r="3510" spans="1:32" x14ac:dyDescent="0.2">
      <c r="A3510" s="1">
        <v>28729</v>
      </c>
      <c r="B3510" s="1" t="s">
        <v>10848</v>
      </c>
      <c r="C3510" s="5" t="s">
        <v>0</v>
      </c>
      <c r="D3510" s="1" t="s">
        <v>10849</v>
      </c>
      <c r="E3510" s="1" t="s">
        <v>10850</v>
      </c>
      <c r="F3510" s="1" t="s">
        <v>10847</v>
      </c>
      <c r="G3510" s="1" t="s">
        <v>10847</v>
      </c>
      <c r="H3510" s="1" t="s">
        <v>69</v>
      </c>
      <c r="I3510" s="1" t="s">
        <v>16</v>
      </c>
      <c r="J3510" s="1">
        <v>1</v>
      </c>
      <c r="K3510" s="1">
        <v>2</v>
      </c>
      <c r="L3510" s="1" t="s">
        <v>42</v>
      </c>
      <c r="M3510" s="1" t="s">
        <v>3659</v>
      </c>
      <c r="N3510" s="1" t="s">
        <v>3659</v>
      </c>
      <c r="O3510" s="1">
        <v>3</v>
      </c>
      <c r="P3510" s="1">
        <v>6</v>
      </c>
      <c r="R3510" s="1" t="s">
        <v>19</v>
      </c>
      <c r="S3510" s="1" t="s">
        <v>20</v>
      </c>
      <c r="T3510" s="1" t="s">
        <v>21</v>
      </c>
      <c r="U3510" s="1" t="s">
        <v>22</v>
      </c>
      <c r="V3510" s="1" t="s">
        <v>24</v>
      </c>
      <c r="W3510" s="1" t="s">
        <v>24</v>
      </c>
      <c r="X3510" s="1">
        <v>2700</v>
      </c>
      <c r="Y3510" s="1">
        <v>1300</v>
      </c>
      <c r="Z3510" s="1" t="s">
        <v>24</v>
      </c>
      <c r="AA3510" s="1" t="s">
        <v>24</v>
      </c>
      <c r="AB3510" s="1" t="s">
        <v>24</v>
      </c>
      <c r="AC3510" s="1" t="s">
        <v>24</v>
      </c>
      <c r="AD3510" s="1" t="s">
        <v>24</v>
      </c>
      <c r="AE3510" s="1" t="s">
        <v>24</v>
      </c>
      <c r="AF3510" s="22"/>
    </row>
    <row r="3511" spans="1:32" x14ac:dyDescent="0.2">
      <c r="A3511" s="1">
        <v>28758</v>
      </c>
      <c r="B3511" s="1" t="s">
        <v>10851</v>
      </c>
      <c r="C3511" s="5" t="s">
        <v>0</v>
      </c>
      <c r="D3511" s="1" t="s">
        <v>10852</v>
      </c>
      <c r="E3511" s="1" t="s">
        <v>10853</v>
      </c>
      <c r="F3511" s="1" t="s">
        <v>8341</v>
      </c>
      <c r="G3511" s="1" t="s">
        <v>8341</v>
      </c>
      <c r="H3511" s="1" t="s">
        <v>37</v>
      </c>
      <c r="I3511" s="1" t="s">
        <v>16</v>
      </c>
      <c r="J3511" s="1">
        <v>1</v>
      </c>
      <c r="K3511" s="1">
        <v>4</v>
      </c>
      <c r="L3511" s="1" t="s">
        <v>42</v>
      </c>
      <c r="M3511" s="1" t="s">
        <v>18</v>
      </c>
      <c r="N3511" s="1" t="s">
        <v>18</v>
      </c>
      <c r="O3511" s="1">
        <v>1</v>
      </c>
      <c r="P3511" s="1">
        <v>6</v>
      </c>
      <c r="R3511" s="1" t="s">
        <v>19</v>
      </c>
      <c r="S3511" s="1" t="s">
        <v>20</v>
      </c>
      <c r="T3511" s="1" t="s">
        <v>21</v>
      </c>
      <c r="U3511" s="1" t="s">
        <v>22</v>
      </c>
      <c r="V3511" s="1" t="s">
        <v>23</v>
      </c>
      <c r="W3511" s="1" t="s">
        <v>24</v>
      </c>
      <c r="X3511" s="1">
        <v>2711</v>
      </c>
      <c r="Y3511" s="1">
        <v>2706</v>
      </c>
      <c r="Z3511" s="1">
        <v>2724</v>
      </c>
      <c r="AA3511" s="1" t="s">
        <v>24</v>
      </c>
      <c r="AB3511" s="1" t="s">
        <v>24</v>
      </c>
      <c r="AC3511" s="1" t="s">
        <v>24</v>
      </c>
      <c r="AD3511" s="1" t="s">
        <v>24</v>
      </c>
      <c r="AE3511" s="1" t="s">
        <v>24</v>
      </c>
      <c r="AF3511" s="22"/>
    </row>
    <row r="3512" spans="1:32" x14ac:dyDescent="0.2">
      <c r="A3512" s="1">
        <v>28771</v>
      </c>
      <c r="B3512" s="1" t="s">
        <v>10854</v>
      </c>
      <c r="C3512" s="5" t="s">
        <v>0</v>
      </c>
      <c r="D3512" s="1" t="s">
        <v>10855</v>
      </c>
      <c r="E3512" s="1" t="s">
        <v>10856</v>
      </c>
      <c r="F3512" s="1" t="s">
        <v>751</v>
      </c>
      <c r="G3512" s="1" t="s">
        <v>36</v>
      </c>
      <c r="H3512" s="1" t="s">
        <v>37</v>
      </c>
      <c r="I3512" s="1" t="s">
        <v>16</v>
      </c>
      <c r="J3512" s="1">
        <v>0</v>
      </c>
      <c r="K3512" s="1">
        <v>0</v>
      </c>
      <c r="L3512" s="1" t="s">
        <v>31</v>
      </c>
      <c r="M3512" s="1" t="s">
        <v>18</v>
      </c>
      <c r="N3512" s="1" t="s">
        <v>18</v>
      </c>
      <c r="O3512" s="1">
        <v>3</v>
      </c>
      <c r="P3512" s="1">
        <v>7</v>
      </c>
      <c r="Q3512" s="7" t="s">
        <v>17633</v>
      </c>
      <c r="R3512" s="1" t="s">
        <v>19</v>
      </c>
      <c r="S3512" s="1" t="s">
        <v>20</v>
      </c>
      <c r="T3512" s="1" t="s">
        <v>21</v>
      </c>
      <c r="U3512" s="1" t="s">
        <v>22</v>
      </c>
      <c r="V3512" s="1" t="s">
        <v>23</v>
      </c>
      <c r="W3512" s="1" t="s">
        <v>24</v>
      </c>
      <c r="X3512" s="1">
        <v>2705</v>
      </c>
      <c r="Y3512" s="1" t="s">
        <v>24</v>
      </c>
      <c r="Z3512" s="1" t="s">
        <v>24</v>
      </c>
      <c r="AA3512" s="1" t="s">
        <v>24</v>
      </c>
      <c r="AB3512" s="1" t="s">
        <v>24</v>
      </c>
      <c r="AC3512" s="1" t="s">
        <v>24</v>
      </c>
      <c r="AD3512" s="1" t="s">
        <v>24</v>
      </c>
      <c r="AE3512" s="1" t="s">
        <v>24</v>
      </c>
      <c r="AF3512" s="22"/>
    </row>
    <row r="3513" spans="1:32" x14ac:dyDescent="0.2">
      <c r="A3513" s="1">
        <v>28799</v>
      </c>
      <c r="B3513" s="1" t="s">
        <v>10857</v>
      </c>
      <c r="C3513" s="5" t="s">
        <v>0</v>
      </c>
      <c r="D3513" s="1" t="s">
        <v>10858</v>
      </c>
      <c r="E3513" s="1" t="s">
        <v>10859</v>
      </c>
      <c r="F3513" s="1" t="s">
        <v>4289</v>
      </c>
      <c r="G3513" s="1" t="s">
        <v>4290</v>
      </c>
      <c r="H3513" s="1" t="s">
        <v>30</v>
      </c>
      <c r="I3513" s="1" t="s">
        <v>16</v>
      </c>
      <c r="J3513" s="1">
        <v>1</v>
      </c>
      <c r="K3513" s="1">
        <v>3</v>
      </c>
      <c r="L3513" s="1" t="s">
        <v>31</v>
      </c>
      <c r="M3513" s="1" t="s">
        <v>18</v>
      </c>
      <c r="N3513" s="1" t="s">
        <v>18</v>
      </c>
      <c r="O3513" s="1">
        <v>3</v>
      </c>
      <c r="P3513" s="1">
        <v>7</v>
      </c>
      <c r="Q3513" s="7" t="s">
        <v>17633</v>
      </c>
      <c r="R3513" s="1" t="s">
        <v>19</v>
      </c>
      <c r="S3513" s="1" t="s">
        <v>20</v>
      </c>
      <c r="T3513" s="1" t="s">
        <v>21</v>
      </c>
      <c r="U3513" s="1" t="s">
        <v>22</v>
      </c>
      <c r="V3513" s="1" t="s">
        <v>23</v>
      </c>
      <c r="W3513" s="1" t="s">
        <v>24</v>
      </c>
      <c r="X3513" s="1">
        <v>2738</v>
      </c>
      <c r="Y3513" s="1">
        <v>3203</v>
      </c>
      <c r="Z3513" s="1" t="s">
        <v>24</v>
      </c>
      <c r="AA3513" s="1" t="s">
        <v>24</v>
      </c>
      <c r="AB3513" s="1" t="s">
        <v>24</v>
      </c>
      <c r="AC3513" s="1" t="s">
        <v>24</v>
      </c>
      <c r="AD3513" s="1" t="s">
        <v>24</v>
      </c>
      <c r="AE3513" s="1" t="s">
        <v>24</v>
      </c>
      <c r="AF3513" s="22"/>
    </row>
    <row r="3514" spans="1:32" x14ac:dyDescent="0.2">
      <c r="A3514" s="1">
        <v>28800</v>
      </c>
      <c r="B3514" s="1" t="s">
        <v>10860</v>
      </c>
      <c r="C3514" s="5" t="s">
        <v>0</v>
      </c>
      <c r="D3514" s="1" t="s">
        <v>10861</v>
      </c>
      <c r="E3514" s="1" t="s">
        <v>10862</v>
      </c>
      <c r="F3514" s="1" t="s">
        <v>109</v>
      </c>
      <c r="G3514" s="1" t="s">
        <v>110</v>
      </c>
      <c r="H3514" s="1" t="s">
        <v>111</v>
      </c>
      <c r="I3514" s="1" t="s">
        <v>112</v>
      </c>
      <c r="J3514" s="1">
        <v>0</v>
      </c>
      <c r="K3514" s="1">
        <v>0</v>
      </c>
      <c r="L3514" s="1" t="s">
        <v>31</v>
      </c>
      <c r="M3514" s="1" t="s">
        <v>18</v>
      </c>
      <c r="N3514" s="1" t="s">
        <v>18</v>
      </c>
      <c r="O3514" s="1">
        <v>3</v>
      </c>
      <c r="P3514" s="1">
        <v>7</v>
      </c>
      <c r="Q3514" s="7" t="s">
        <v>17633</v>
      </c>
      <c r="R3514" s="1" t="s">
        <v>19</v>
      </c>
      <c r="S3514" s="1" t="s">
        <v>20</v>
      </c>
      <c r="T3514" s="1" t="s">
        <v>21</v>
      </c>
      <c r="U3514" s="1" t="s">
        <v>22</v>
      </c>
      <c r="V3514" s="1" t="s">
        <v>24</v>
      </c>
      <c r="W3514" s="1" t="s">
        <v>24</v>
      </c>
      <c r="X3514" s="1">
        <v>2708</v>
      </c>
      <c r="Y3514" s="1" t="s">
        <v>24</v>
      </c>
      <c r="Z3514" s="1" t="s">
        <v>24</v>
      </c>
      <c r="AA3514" s="1" t="s">
        <v>24</v>
      </c>
      <c r="AB3514" s="1" t="s">
        <v>24</v>
      </c>
      <c r="AC3514" s="1" t="s">
        <v>24</v>
      </c>
      <c r="AD3514" s="1" t="s">
        <v>24</v>
      </c>
      <c r="AE3514" s="1" t="s">
        <v>24</v>
      </c>
      <c r="AF3514" s="22"/>
    </row>
    <row r="3515" spans="1:32" x14ac:dyDescent="0.2">
      <c r="A3515" s="1">
        <v>28824</v>
      </c>
      <c r="B3515" s="1" t="s">
        <v>10863</v>
      </c>
      <c r="C3515" s="5" t="s">
        <v>0</v>
      </c>
      <c r="D3515" s="1" t="s">
        <v>10864</v>
      </c>
      <c r="F3515" s="1" t="s">
        <v>10865</v>
      </c>
      <c r="G3515" s="1" t="s">
        <v>10866</v>
      </c>
      <c r="H3515" s="1" t="s">
        <v>3228</v>
      </c>
      <c r="I3515" s="1" t="s">
        <v>16</v>
      </c>
      <c r="J3515" s="1">
        <v>1</v>
      </c>
      <c r="K3515" s="1">
        <v>4</v>
      </c>
      <c r="L3515" s="1" t="s">
        <v>42</v>
      </c>
      <c r="M3515" s="1" t="s">
        <v>18</v>
      </c>
      <c r="N3515" s="1" t="s">
        <v>18</v>
      </c>
      <c r="O3515" s="1">
        <v>3</v>
      </c>
      <c r="P3515" s="1">
        <v>6</v>
      </c>
      <c r="R3515" s="1" t="s">
        <v>19</v>
      </c>
      <c r="S3515" s="1" t="s">
        <v>63</v>
      </c>
      <c r="T3515" s="1" t="s">
        <v>21</v>
      </c>
      <c r="U3515" s="1" t="s">
        <v>22</v>
      </c>
      <c r="V3515" s="1" t="s">
        <v>23</v>
      </c>
      <c r="W3515" s="1" t="s">
        <v>24</v>
      </c>
      <c r="X3515" s="1">
        <v>2739</v>
      </c>
      <c r="Y3515" s="1" t="s">
        <v>24</v>
      </c>
      <c r="Z3515" s="1" t="s">
        <v>24</v>
      </c>
      <c r="AA3515" s="1" t="s">
        <v>24</v>
      </c>
      <c r="AB3515" s="1" t="s">
        <v>24</v>
      </c>
      <c r="AC3515" s="1" t="s">
        <v>24</v>
      </c>
      <c r="AD3515" s="1" t="s">
        <v>24</v>
      </c>
      <c r="AE3515" s="1" t="s">
        <v>24</v>
      </c>
      <c r="AF3515" s="22"/>
    </row>
    <row r="3516" spans="1:32" x14ac:dyDescent="0.2">
      <c r="A3516" s="1">
        <v>28854</v>
      </c>
      <c r="B3516" s="1" t="s">
        <v>10867</v>
      </c>
      <c r="C3516" s="5" t="s">
        <v>0</v>
      </c>
      <c r="D3516" s="1" t="s">
        <v>10868</v>
      </c>
      <c r="E3516" s="1" t="s">
        <v>10869</v>
      </c>
      <c r="F3516" s="1" t="s">
        <v>493</v>
      </c>
      <c r="G3516" s="1" t="s">
        <v>98</v>
      </c>
      <c r="H3516" s="1" t="s">
        <v>731</v>
      </c>
      <c r="I3516" s="1" t="s">
        <v>16</v>
      </c>
      <c r="J3516" s="1">
        <v>1</v>
      </c>
      <c r="K3516" s="1">
        <v>6</v>
      </c>
      <c r="L3516" s="1" t="s">
        <v>31</v>
      </c>
      <c r="M3516" s="1" t="s">
        <v>199</v>
      </c>
      <c r="N3516" s="1" t="s">
        <v>18</v>
      </c>
      <c r="O3516" s="1">
        <v>0</v>
      </c>
      <c r="P3516" s="1">
        <v>6</v>
      </c>
      <c r="R3516" s="1" t="s">
        <v>19</v>
      </c>
      <c r="S3516" s="1" t="s">
        <v>20</v>
      </c>
      <c r="T3516" s="1" t="s">
        <v>21</v>
      </c>
      <c r="U3516" s="1" t="s">
        <v>22</v>
      </c>
      <c r="V3516" s="1" t="s">
        <v>24</v>
      </c>
      <c r="W3516" s="1" t="s">
        <v>24</v>
      </c>
      <c r="X3516" s="1">
        <v>3003</v>
      </c>
      <c r="Y3516" s="1" t="s">
        <v>24</v>
      </c>
      <c r="Z3516" s="1" t="s">
        <v>24</v>
      </c>
      <c r="AA3516" s="1" t="s">
        <v>24</v>
      </c>
      <c r="AB3516" s="1" t="s">
        <v>24</v>
      </c>
      <c r="AC3516" s="1" t="s">
        <v>24</v>
      </c>
      <c r="AD3516" s="1" t="s">
        <v>24</v>
      </c>
      <c r="AE3516" s="1" t="s">
        <v>24</v>
      </c>
      <c r="AF3516" s="22" t="s">
        <v>17670</v>
      </c>
    </row>
    <row r="3517" spans="1:32" x14ac:dyDescent="0.2">
      <c r="A3517" s="1">
        <v>28858</v>
      </c>
      <c r="B3517" s="1" t="s">
        <v>10870</v>
      </c>
      <c r="C3517" s="5" t="s">
        <v>0</v>
      </c>
      <c r="D3517" s="1" t="s">
        <v>10871</v>
      </c>
      <c r="E3517" s="1" t="s">
        <v>10872</v>
      </c>
      <c r="F3517" s="1" t="s">
        <v>109</v>
      </c>
      <c r="G3517" s="1" t="s">
        <v>110</v>
      </c>
      <c r="H3517" s="1" t="s">
        <v>111</v>
      </c>
      <c r="I3517" s="1" t="s">
        <v>16</v>
      </c>
      <c r="J3517" s="1">
        <v>1</v>
      </c>
      <c r="K3517" s="1">
        <v>6</v>
      </c>
      <c r="L3517" s="1" t="s">
        <v>31</v>
      </c>
      <c r="M3517" s="1" t="s">
        <v>18</v>
      </c>
      <c r="N3517" s="1" t="s">
        <v>18</v>
      </c>
      <c r="O3517" s="1">
        <v>3</v>
      </c>
      <c r="P3517" s="1">
        <v>7</v>
      </c>
      <c r="Q3517" s="7" t="s">
        <v>17633</v>
      </c>
      <c r="R3517" s="1" t="s">
        <v>19</v>
      </c>
      <c r="S3517" s="1" t="s">
        <v>20</v>
      </c>
      <c r="T3517" s="1" t="s">
        <v>21</v>
      </c>
      <c r="U3517" s="1" t="s">
        <v>22</v>
      </c>
      <c r="V3517" s="1" t="s">
        <v>24</v>
      </c>
      <c r="W3517" s="1" t="s">
        <v>24</v>
      </c>
      <c r="X3517" s="1">
        <v>2746</v>
      </c>
      <c r="Y3517" s="1">
        <v>2730</v>
      </c>
      <c r="Z3517" s="1" t="s">
        <v>24</v>
      </c>
      <c r="AA3517" s="1" t="s">
        <v>24</v>
      </c>
      <c r="AB3517" s="1" t="s">
        <v>24</v>
      </c>
      <c r="AC3517" s="1" t="s">
        <v>24</v>
      </c>
      <c r="AD3517" s="1" t="s">
        <v>24</v>
      </c>
      <c r="AE3517" s="1" t="s">
        <v>24</v>
      </c>
      <c r="AF3517" s="22"/>
    </row>
    <row r="3518" spans="1:32" x14ac:dyDescent="0.2">
      <c r="A3518" s="1">
        <v>28979</v>
      </c>
      <c r="B3518" s="1" t="s">
        <v>10873</v>
      </c>
      <c r="C3518" s="5" t="s">
        <v>0</v>
      </c>
      <c r="D3518" s="1" t="s">
        <v>10874</v>
      </c>
      <c r="E3518" s="1" t="s">
        <v>10875</v>
      </c>
      <c r="F3518" s="1" t="s">
        <v>91</v>
      </c>
      <c r="G3518" s="1" t="s">
        <v>61</v>
      </c>
      <c r="H3518" s="1" t="s">
        <v>92</v>
      </c>
      <c r="I3518" s="1" t="s">
        <v>16</v>
      </c>
      <c r="J3518" s="1">
        <v>1</v>
      </c>
      <c r="K3518" s="1">
        <v>6</v>
      </c>
      <c r="L3518" s="1" t="s">
        <v>31</v>
      </c>
      <c r="M3518" s="1" t="s">
        <v>18</v>
      </c>
      <c r="N3518" s="1" t="s">
        <v>18</v>
      </c>
      <c r="O3518" s="1">
        <v>3</v>
      </c>
      <c r="P3518" s="1">
        <v>5</v>
      </c>
      <c r="R3518" s="1" t="s">
        <v>19</v>
      </c>
      <c r="S3518" s="1" t="s">
        <v>20</v>
      </c>
      <c r="T3518" s="1" t="s">
        <v>21</v>
      </c>
      <c r="U3518" s="1" t="s">
        <v>22</v>
      </c>
      <c r="V3518" s="1" t="s">
        <v>24</v>
      </c>
      <c r="W3518" s="1" t="s">
        <v>64</v>
      </c>
      <c r="X3518" s="1">
        <v>1305</v>
      </c>
      <c r="Y3518" s="1">
        <v>1502</v>
      </c>
      <c r="Z3518" s="1">
        <v>2204</v>
      </c>
      <c r="AA3518" s="1">
        <v>2500</v>
      </c>
      <c r="AB3518" s="1">
        <v>2701</v>
      </c>
      <c r="AC3518" s="1">
        <v>3003</v>
      </c>
      <c r="AD3518" s="1" t="s">
        <v>24</v>
      </c>
      <c r="AE3518" s="1" t="s">
        <v>24</v>
      </c>
      <c r="AF3518" s="22"/>
    </row>
    <row r="3519" spans="1:32" x14ac:dyDescent="0.2">
      <c r="A3519" s="1">
        <v>28994</v>
      </c>
      <c r="B3519" s="1" t="s">
        <v>10876</v>
      </c>
      <c r="C3519" s="5" t="s">
        <v>0</v>
      </c>
      <c r="D3519" s="1" t="s">
        <v>10877</v>
      </c>
      <c r="E3519" s="1" t="s">
        <v>10878</v>
      </c>
      <c r="F3519" s="1" t="s">
        <v>6405</v>
      </c>
      <c r="G3519" s="1" t="s">
        <v>6406</v>
      </c>
      <c r="H3519" s="1" t="s">
        <v>92</v>
      </c>
      <c r="I3519" s="1" t="s">
        <v>16</v>
      </c>
      <c r="J3519" s="1">
        <v>1</v>
      </c>
      <c r="K3519" s="1">
        <v>4</v>
      </c>
      <c r="L3519" s="1" t="s">
        <v>31</v>
      </c>
      <c r="M3519" s="1" t="s">
        <v>18</v>
      </c>
      <c r="N3519" s="1" t="s">
        <v>18</v>
      </c>
      <c r="O3519" s="1">
        <v>3</v>
      </c>
      <c r="P3519" s="1">
        <v>7</v>
      </c>
      <c r="Q3519" s="7" t="s">
        <v>17633</v>
      </c>
      <c r="R3519" s="1" t="s">
        <v>19</v>
      </c>
      <c r="S3519" s="1" t="s">
        <v>20</v>
      </c>
      <c r="T3519" s="1" t="s">
        <v>21</v>
      </c>
      <c r="U3519" s="1" t="s">
        <v>22</v>
      </c>
      <c r="V3519" s="1" t="s">
        <v>24</v>
      </c>
      <c r="W3519" s="1" t="s">
        <v>24</v>
      </c>
      <c r="X3519" s="1">
        <v>1305</v>
      </c>
      <c r="Y3519" s="1">
        <v>1502</v>
      </c>
      <c r="Z3519" s="1">
        <v>2204</v>
      </c>
      <c r="AA3519" s="1">
        <v>2701</v>
      </c>
      <c r="AB3519" s="1">
        <v>3003</v>
      </c>
      <c r="AC3519" s="1" t="s">
        <v>24</v>
      </c>
      <c r="AD3519" s="1" t="s">
        <v>24</v>
      </c>
      <c r="AE3519" s="1" t="s">
        <v>24</v>
      </c>
      <c r="AF3519" s="22"/>
    </row>
    <row r="3520" spans="1:32" x14ac:dyDescent="0.2">
      <c r="A3520" s="1">
        <v>28997</v>
      </c>
      <c r="B3520" s="1" t="s">
        <v>10879</v>
      </c>
      <c r="C3520" s="5" t="s">
        <v>0</v>
      </c>
      <c r="D3520" s="1" t="s">
        <v>10880</v>
      </c>
      <c r="E3520" s="1" t="s">
        <v>10881</v>
      </c>
      <c r="F3520" s="1" t="s">
        <v>272</v>
      </c>
      <c r="G3520" s="1" t="s">
        <v>61</v>
      </c>
      <c r="H3520" s="1" t="s">
        <v>30</v>
      </c>
      <c r="I3520" s="1" t="s">
        <v>16</v>
      </c>
      <c r="J3520" s="1">
        <v>1</v>
      </c>
      <c r="K3520" s="1">
        <v>4</v>
      </c>
      <c r="L3520" s="1" t="s">
        <v>31</v>
      </c>
      <c r="M3520" s="1" t="s">
        <v>18</v>
      </c>
      <c r="N3520" s="1" t="s">
        <v>18</v>
      </c>
      <c r="O3520" s="1">
        <v>3</v>
      </c>
      <c r="P3520" s="1">
        <v>6</v>
      </c>
      <c r="R3520" s="1" t="s">
        <v>19</v>
      </c>
      <c r="S3520" s="1" t="s">
        <v>20</v>
      </c>
      <c r="T3520" s="1" t="s">
        <v>21</v>
      </c>
      <c r="U3520" s="1" t="s">
        <v>22</v>
      </c>
      <c r="V3520" s="1" t="s">
        <v>24</v>
      </c>
      <c r="W3520" s="1" t="s">
        <v>24</v>
      </c>
      <c r="X3520" s="1">
        <v>1313</v>
      </c>
      <c r="Y3520" s="1">
        <v>1502</v>
      </c>
      <c r="Z3520" s="1">
        <v>2204</v>
      </c>
      <c r="AA3520" s="1">
        <v>2500</v>
      </c>
      <c r="AB3520" s="1">
        <v>2701</v>
      </c>
      <c r="AC3520" s="1">
        <v>3003</v>
      </c>
      <c r="AD3520" s="1" t="s">
        <v>24</v>
      </c>
      <c r="AE3520" s="1" t="s">
        <v>24</v>
      </c>
      <c r="AF3520" s="22"/>
    </row>
    <row r="3521" spans="1:32" x14ac:dyDescent="0.2">
      <c r="A3521" s="1">
        <v>29060</v>
      </c>
      <c r="B3521" s="1" t="s">
        <v>10882</v>
      </c>
      <c r="C3521" s="5" t="s">
        <v>0</v>
      </c>
      <c r="D3521" s="1" t="s">
        <v>10883</v>
      </c>
      <c r="E3521" s="1" t="s">
        <v>10884</v>
      </c>
      <c r="F3521" s="1" t="s">
        <v>6405</v>
      </c>
      <c r="G3521" s="1" t="s">
        <v>6406</v>
      </c>
      <c r="H3521" s="1" t="s">
        <v>92</v>
      </c>
      <c r="I3521" s="1" t="s">
        <v>16</v>
      </c>
      <c r="J3521" s="1">
        <v>1</v>
      </c>
      <c r="K3521" s="1">
        <v>10</v>
      </c>
      <c r="L3521" s="1" t="s">
        <v>31</v>
      </c>
      <c r="M3521" s="1" t="s">
        <v>18</v>
      </c>
      <c r="N3521" s="1" t="s">
        <v>18</v>
      </c>
      <c r="O3521" s="1">
        <v>3</v>
      </c>
      <c r="P3521" s="1">
        <v>5</v>
      </c>
      <c r="R3521" s="1" t="s">
        <v>19</v>
      </c>
      <c r="S3521" s="1" t="s">
        <v>20</v>
      </c>
      <c r="T3521" s="1" t="s">
        <v>21</v>
      </c>
      <c r="U3521" s="1" t="s">
        <v>22</v>
      </c>
      <c r="V3521" s="1" t="s">
        <v>24</v>
      </c>
      <c r="W3521" s="1" t="s">
        <v>24</v>
      </c>
      <c r="X3521" s="1">
        <v>1306</v>
      </c>
      <c r="Y3521" s="1">
        <v>1313</v>
      </c>
      <c r="Z3521" s="1">
        <v>3004</v>
      </c>
      <c r="AA3521" s="1" t="s">
        <v>24</v>
      </c>
      <c r="AB3521" s="1" t="s">
        <v>24</v>
      </c>
      <c r="AC3521" s="1" t="s">
        <v>24</v>
      </c>
      <c r="AD3521" s="1" t="s">
        <v>24</v>
      </c>
      <c r="AE3521" s="1" t="s">
        <v>24</v>
      </c>
      <c r="AF3521" s="22"/>
    </row>
    <row r="3522" spans="1:32" x14ac:dyDescent="0.2">
      <c r="A3522" s="1">
        <v>29070</v>
      </c>
      <c r="B3522" s="1" t="s">
        <v>10885</v>
      </c>
      <c r="C3522" s="5" t="s">
        <v>0</v>
      </c>
      <c r="D3522" s="1" t="s">
        <v>10886</v>
      </c>
      <c r="E3522" s="1" t="s">
        <v>10887</v>
      </c>
      <c r="F3522" s="1" t="s">
        <v>6405</v>
      </c>
      <c r="G3522" s="1" t="s">
        <v>6406</v>
      </c>
      <c r="H3522" s="1" t="s">
        <v>92</v>
      </c>
      <c r="I3522" s="1" t="s">
        <v>16</v>
      </c>
      <c r="J3522" s="1">
        <v>1</v>
      </c>
      <c r="K3522" s="1">
        <v>4</v>
      </c>
      <c r="L3522" s="1" t="s">
        <v>31</v>
      </c>
      <c r="M3522" s="1" t="s">
        <v>18</v>
      </c>
      <c r="N3522" s="1" t="s">
        <v>18</v>
      </c>
      <c r="O3522" s="1">
        <v>3</v>
      </c>
      <c r="P3522" s="1">
        <v>5</v>
      </c>
      <c r="R3522" s="1" t="s">
        <v>19</v>
      </c>
      <c r="S3522" s="1" t="s">
        <v>20</v>
      </c>
      <c r="T3522" s="1" t="s">
        <v>21</v>
      </c>
      <c r="U3522" s="1" t="s">
        <v>22</v>
      </c>
      <c r="V3522" s="1" t="s">
        <v>24</v>
      </c>
      <c r="W3522" s="1" t="s">
        <v>24</v>
      </c>
      <c r="X3522" s="1">
        <v>2705</v>
      </c>
      <c r="Y3522" s="1">
        <v>2720</v>
      </c>
      <c r="Z3522" s="1">
        <v>3004</v>
      </c>
      <c r="AA3522" s="1" t="s">
        <v>24</v>
      </c>
      <c r="AB3522" s="1" t="s">
        <v>24</v>
      </c>
      <c r="AC3522" s="1" t="s">
        <v>24</v>
      </c>
      <c r="AD3522" s="1" t="s">
        <v>24</v>
      </c>
      <c r="AE3522" s="1" t="s">
        <v>24</v>
      </c>
      <c r="AF3522" s="22"/>
    </row>
    <row r="3523" spans="1:32" x14ac:dyDescent="0.2">
      <c r="A3523" s="1">
        <v>29071</v>
      </c>
      <c r="B3523" s="1" t="s">
        <v>10888</v>
      </c>
      <c r="C3523" s="5" t="s">
        <v>0</v>
      </c>
      <c r="D3523" s="1" t="s">
        <v>10889</v>
      </c>
      <c r="E3523" s="1" t="s">
        <v>10890</v>
      </c>
      <c r="F3523" s="1" t="s">
        <v>6405</v>
      </c>
      <c r="G3523" s="1" t="s">
        <v>6406</v>
      </c>
      <c r="H3523" s="1" t="s">
        <v>92</v>
      </c>
      <c r="I3523" s="1" t="s">
        <v>16</v>
      </c>
      <c r="J3523" s="1">
        <v>1</v>
      </c>
      <c r="K3523" s="1">
        <v>4</v>
      </c>
      <c r="L3523" s="1" t="s">
        <v>31</v>
      </c>
      <c r="M3523" s="1" t="s">
        <v>18</v>
      </c>
      <c r="N3523" s="1" t="s">
        <v>18</v>
      </c>
      <c r="O3523" s="1">
        <v>3</v>
      </c>
      <c r="P3523" s="1">
        <v>5</v>
      </c>
      <c r="R3523" s="1" t="s">
        <v>19</v>
      </c>
      <c r="S3523" s="1" t="s">
        <v>20</v>
      </c>
      <c r="T3523" s="1" t="s">
        <v>21</v>
      </c>
      <c r="U3523" s="1" t="s">
        <v>22</v>
      </c>
      <c r="V3523" s="1" t="s">
        <v>24</v>
      </c>
      <c r="W3523" s="1" t="s">
        <v>24</v>
      </c>
      <c r="X3523" s="1">
        <v>2712</v>
      </c>
      <c r="Y3523" s="1">
        <v>2723</v>
      </c>
      <c r="Z3523" s="1" t="s">
        <v>24</v>
      </c>
      <c r="AA3523" s="1" t="s">
        <v>24</v>
      </c>
      <c r="AB3523" s="1" t="s">
        <v>24</v>
      </c>
      <c r="AC3523" s="1" t="s">
        <v>24</v>
      </c>
      <c r="AD3523" s="1" t="s">
        <v>24</v>
      </c>
      <c r="AE3523" s="1" t="s">
        <v>24</v>
      </c>
      <c r="AF3523" s="22"/>
    </row>
    <row r="3524" spans="1:32" x14ac:dyDescent="0.2">
      <c r="A3524" s="1">
        <v>29072</v>
      </c>
      <c r="B3524" s="1" t="s">
        <v>10891</v>
      </c>
      <c r="C3524" s="5" t="s">
        <v>0</v>
      </c>
      <c r="D3524" s="1" t="s">
        <v>10892</v>
      </c>
      <c r="F3524" s="1" t="s">
        <v>6405</v>
      </c>
      <c r="G3524" s="1" t="s">
        <v>6406</v>
      </c>
      <c r="H3524" s="1" t="s">
        <v>92</v>
      </c>
      <c r="I3524" s="1" t="s">
        <v>16</v>
      </c>
      <c r="J3524" s="1">
        <v>1</v>
      </c>
      <c r="K3524" s="1">
        <v>4</v>
      </c>
      <c r="L3524" s="1" t="s">
        <v>31</v>
      </c>
      <c r="M3524" s="1" t="s">
        <v>18</v>
      </c>
      <c r="N3524" s="1" t="s">
        <v>18</v>
      </c>
      <c r="O3524" s="1">
        <v>3</v>
      </c>
      <c r="P3524" s="1">
        <v>6</v>
      </c>
      <c r="R3524" s="1" t="s">
        <v>19</v>
      </c>
      <c r="S3524" s="1" t="s">
        <v>20</v>
      </c>
      <c r="T3524" s="1" t="s">
        <v>21</v>
      </c>
      <c r="U3524" s="1" t="s">
        <v>22</v>
      </c>
      <c r="V3524" s="1" t="s">
        <v>24</v>
      </c>
      <c r="W3524" s="1" t="s">
        <v>24</v>
      </c>
      <c r="X3524" s="1">
        <v>1313</v>
      </c>
      <c r="Y3524" s="1">
        <v>2705</v>
      </c>
      <c r="Z3524" s="1">
        <v>2720</v>
      </c>
      <c r="AA3524" s="1">
        <v>3004</v>
      </c>
      <c r="AB3524" s="1" t="s">
        <v>24</v>
      </c>
      <c r="AC3524" s="1" t="s">
        <v>24</v>
      </c>
      <c r="AD3524" s="1" t="s">
        <v>24</v>
      </c>
      <c r="AE3524" s="1" t="s">
        <v>24</v>
      </c>
      <c r="AF3524" s="22"/>
    </row>
    <row r="3525" spans="1:32" x14ac:dyDescent="0.2">
      <c r="A3525" s="1">
        <v>29073</v>
      </c>
      <c r="B3525" s="1" t="s">
        <v>10893</v>
      </c>
      <c r="C3525" s="5" t="s">
        <v>0</v>
      </c>
      <c r="D3525" s="1" t="s">
        <v>10894</v>
      </c>
      <c r="F3525" s="1" t="s">
        <v>6405</v>
      </c>
      <c r="G3525" s="1" t="s">
        <v>6406</v>
      </c>
      <c r="H3525" s="1" t="s">
        <v>92</v>
      </c>
      <c r="I3525" s="1" t="s">
        <v>16</v>
      </c>
      <c r="J3525" s="1">
        <v>1</v>
      </c>
      <c r="K3525" s="1">
        <v>5</v>
      </c>
      <c r="L3525" s="1" t="s">
        <v>31</v>
      </c>
      <c r="M3525" s="1" t="s">
        <v>18</v>
      </c>
      <c r="N3525" s="1" t="s">
        <v>18</v>
      </c>
      <c r="O3525" s="1">
        <v>3</v>
      </c>
      <c r="P3525" s="1">
        <v>5</v>
      </c>
      <c r="R3525" s="1" t="s">
        <v>19</v>
      </c>
      <c r="S3525" s="1" t="s">
        <v>20</v>
      </c>
      <c r="T3525" s="1" t="s">
        <v>21</v>
      </c>
      <c r="U3525" s="1" t="s">
        <v>22</v>
      </c>
      <c r="V3525" s="1" t="s">
        <v>24</v>
      </c>
      <c r="W3525" s="1" t="s">
        <v>24</v>
      </c>
      <c r="X3525" s="1">
        <v>2403</v>
      </c>
      <c r="Y3525" s="1">
        <v>2723</v>
      </c>
      <c r="Z3525" s="1">
        <v>3004</v>
      </c>
      <c r="AA3525" s="1" t="s">
        <v>24</v>
      </c>
      <c r="AB3525" s="1" t="s">
        <v>24</v>
      </c>
      <c r="AC3525" s="1" t="s">
        <v>24</v>
      </c>
      <c r="AD3525" s="1" t="s">
        <v>24</v>
      </c>
      <c r="AE3525" s="1" t="s">
        <v>24</v>
      </c>
      <c r="AF3525" s="22"/>
    </row>
    <row r="3526" spans="1:32" x14ac:dyDescent="0.2">
      <c r="A3526" s="1">
        <v>29074</v>
      </c>
      <c r="B3526" s="1" t="s">
        <v>10895</v>
      </c>
      <c r="C3526" s="5" t="s">
        <v>0</v>
      </c>
      <c r="D3526" s="1" t="s">
        <v>10896</v>
      </c>
      <c r="E3526" s="1" t="s">
        <v>10897</v>
      </c>
      <c r="F3526" s="1" t="s">
        <v>6405</v>
      </c>
      <c r="G3526" s="1" t="s">
        <v>6406</v>
      </c>
      <c r="H3526" s="1" t="s">
        <v>92</v>
      </c>
      <c r="I3526" s="1" t="s">
        <v>16</v>
      </c>
      <c r="J3526" s="1">
        <v>1</v>
      </c>
      <c r="K3526" s="1">
        <v>8</v>
      </c>
      <c r="L3526" s="1" t="s">
        <v>31</v>
      </c>
      <c r="M3526" s="1" t="s">
        <v>18</v>
      </c>
      <c r="N3526" s="1" t="s">
        <v>18</v>
      </c>
      <c r="O3526" s="1">
        <v>3</v>
      </c>
      <c r="P3526" s="1">
        <v>5</v>
      </c>
      <c r="R3526" s="1" t="s">
        <v>19</v>
      </c>
      <c r="S3526" s="1" t="s">
        <v>20</v>
      </c>
      <c r="T3526" s="1" t="s">
        <v>21</v>
      </c>
      <c r="U3526" s="1" t="s">
        <v>22</v>
      </c>
      <c r="V3526" s="1" t="s">
        <v>24</v>
      </c>
      <c r="W3526" s="1" t="s">
        <v>24</v>
      </c>
      <c r="X3526" s="1">
        <v>2800</v>
      </c>
      <c r="Y3526" s="1">
        <v>3004</v>
      </c>
      <c r="Z3526" s="1" t="s">
        <v>24</v>
      </c>
      <c r="AA3526" s="1" t="s">
        <v>24</v>
      </c>
      <c r="AB3526" s="1" t="s">
        <v>24</v>
      </c>
      <c r="AC3526" s="1" t="s">
        <v>24</v>
      </c>
      <c r="AD3526" s="1" t="s">
        <v>24</v>
      </c>
      <c r="AE3526" s="1" t="s">
        <v>24</v>
      </c>
      <c r="AF3526" s="22"/>
    </row>
    <row r="3527" spans="1:32" x14ac:dyDescent="0.2">
      <c r="A3527" s="1">
        <v>29077</v>
      </c>
      <c r="B3527" s="1" t="s">
        <v>10898</v>
      </c>
      <c r="C3527" s="5" t="s">
        <v>0</v>
      </c>
      <c r="D3527" s="1" t="s">
        <v>10899</v>
      </c>
      <c r="E3527" s="1" t="s">
        <v>10900</v>
      </c>
      <c r="F3527" s="1" t="s">
        <v>28</v>
      </c>
      <c r="G3527" s="1" t="s">
        <v>29</v>
      </c>
      <c r="H3527" s="1" t="s">
        <v>30</v>
      </c>
      <c r="I3527" s="1" t="s">
        <v>16</v>
      </c>
      <c r="J3527" s="1">
        <v>1</v>
      </c>
      <c r="K3527" s="1">
        <v>12</v>
      </c>
      <c r="L3527" s="1" t="s">
        <v>31</v>
      </c>
      <c r="M3527" s="1" t="s">
        <v>18</v>
      </c>
      <c r="N3527" s="1" t="s">
        <v>18</v>
      </c>
      <c r="O3527" s="1">
        <v>3</v>
      </c>
      <c r="P3527" s="1">
        <v>5</v>
      </c>
      <c r="R3527" s="1" t="s">
        <v>19</v>
      </c>
      <c r="S3527" s="1" t="s">
        <v>20</v>
      </c>
      <c r="T3527" s="1" t="s">
        <v>21</v>
      </c>
      <c r="U3527" s="1" t="s">
        <v>22</v>
      </c>
      <c r="V3527" s="1" t="s">
        <v>24</v>
      </c>
      <c r="W3527" s="1" t="s">
        <v>24</v>
      </c>
      <c r="X3527" s="1">
        <v>2705</v>
      </c>
      <c r="Y3527" s="1" t="s">
        <v>24</v>
      </c>
      <c r="Z3527" s="1" t="s">
        <v>24</v>
      </c>
      <c r="AA3527" s="1" t="s">
        <v>24</v>
      </c>
      <c r="AB3527" s="1" t="s">
        <v>24</v>
      </c>
      <c r="AC3527" s="1" t="s">
        <v>24</v>
      </c>
      <c r="AD3527" s="1" t="s">
        <v>24</v>
      </c>
      <c r="AE3527" s="1" t="s">
        <v>24</v>
      </c>
      <c r="AF3527" s="22"/>
    </row>
    <row r="3528" spans="1:32" x14ac:dyDescent="0.2">
      <c r="A3528" s="1">
        <v>29078</v>
      </c>
      <c r="B3528" s="1" t="s">
        <v>10901</v>
      </c>
      <c r="C3528" s="5" t="s">
        <v>0</v>
      </c>
      <c r="D3528" s="1" t="s">
        <v>10902</v>
      </c>
      <c r="E3528" s="1" t="s">
        <v>10903</v>
      </c>
      <c r="F3528" s="1" t="s">
        <v>3695</v>
      </c>
      <c r="G3528" s="1" t="s">
        <v>3695</v>
      </c>
      <c r="H3528" s="1" t="s">
        <v>684</v>
      </c>
      <c r="I3528" s="1" t="s">
        <v>16</v>
      </c>
      <c r="J3528" s="1">
        <v>1</v>
      </c>
      <c r="K3528" s="1">
        <v>12</v>
      </c>
      <c r="L3528" s="1" t="s">
        <v>42</v>
      </c>
      <c r="M3528" s="1" t="s">
        <v>685</v>
      </c>
      <c r="N3528" s="1" t="s">
        <v>685</v>
      </c>
      <c r="O3528" s="1">
        <v>3</v>
      </c>
      <c r="P3528" s="1">
        <v>5</v>
      </c>
      <c r="R3528" s="1" t="s">
        <v>19</v>
      </c>
      <c r="S3528" s="1" t="s">
        <v>20</v>
      </c>
      <c r="T3528" s="1" t="s">
        <v>21</v>
      </c>
      <c r="U3528" s="1" t="s">
        <v>22</v>
      </c>
      <c r="V3528" s="1" t="s">
        <v>24</v>
      </c>
      <c r="W3528" s="1" t="s">
        <v>24</v>
      </c>
      <c r="X3528" s="1">
        <v>2705</v>
      </c>
      <c r="Y3528" s="1" t="s">
        <v>24</v>
      </c>
      <c r="Z3528" s="1" t="s">
        <v>24</v>
      </c>
      <c r="AA3528" s="1" t="s">
        <v>24</v>
      </c>
      <c r="AB3528" s="1" t="s">
        <v>24</v>
      </c>
      <c r="AC3528" s="1" t="s">
        <v>24</v>
      </c>
      <c r="AD3528" s="1" t="s">
        <v>24</v>
      </c>
      <c r="AE3528" s="1" t="s">
        <v>24</v>
      </c>
      <c r="AF3528" s="22"/>
    </row>
    <row r="3529" spans="1:32" x14ac:dyDescent="0.2">
      <c r="A3529" s="1">
        <v>29118</v>
      </c>
      <c r="B3529" s="1" t="s">
        <v>10904</v>
      </c>
      <c r="C3529" s="5" t="s">
        <v>0</v>
      </c>
      <c r="D3529" s="1" t="s">
        <v>10905</v>
      </c>
      <c r="E3529" s="1" t="s">
        <v>10906</v>
      </c>
      <c r="F3529" s="1" t="s">
        <v>912</v>
      </c>
      <c r="G3529" s="1" t="s">
        <v>130</v>
      </c>
      <c r="H3529" s="1" t="s">
        <v>168</v>
      </c>
      <c r="I3529" s="1" t="s">
        <v>16</v>
      </c>
      <c r="J3529" s="1">
        <v>1</v>
      </c>
      <c r="K3529" s="1">
        <v>12</v>
      </c>
      <c r="L3529" s="1" t="s">
        <v>31</v>
      </c>
      <c r="M3529" s="1" t="s">
        <v>18</v>
      </c>
      <c r="N3529" s="1" t="s">
        <v>18</v>
      </c>
      <c r="O3529" s="1">
        <v>2</v>
      </c>
      <c r="P3529" s="1">
        <v>6</v>
      </c>
      <c r="R3529" s="1" t="s">
        <v>19</v>
      </c>
      <c r="S3529" s="1" t="s">
        <v>20</v>
      </c>
      <c r="T3529" s="1" t="s">
        <v>21</v>
      </c>
      <c r="U3529" s="1" t="s">
        <v>22</v>
      </c>
      <c r="V3529" s="1" t="s">
        <v>24</v>
      </c>
      <c r="W3529" s="1" t="s">
        <v>24</v>
      </c>
      <c r="X3529" s="1">
        <v>2705</v>
      </c>
      <c r="Y3529" s="1" t="s">
        <v>24</v>
      </c>
      <c r="Z3529" s="1" t="s">
        <v>24</v>
      </c>
      <c r="AA3529" s="1" t="s">
        <v>24</v>
      </c>
      <c r="AB3529" s="1" t="s">
        <v>24</v>
      </c>
      <c r="AC3529" s="1" t="s">
        <v>24</v>
      </c>
      <c r="AD3529" s="1" t="s">
        <v>24</v>
      </c>
      <c r="AE3529" s="1" t="s">
        <v>24</v>
      </c>
      <c r="AF3529" s="22"/>
    </row>
    <row r="3530" spans="1:32" x14ac:dyDescent="0.2">
      <c r="A3530" s="1">
        <v>29125</v>
      </c>
      <c r="B3530" s="1" t="s">
        <v>10907</v>
      </c>
      <c r="C3530" s="5" t="s">
        <v>0</v>
      </c>
      <c r="D3530" s="1" t="s">
        <v>10908</v>
      </c>
      <c r="E3530" s="1" t="s">
        <v>10909</v>
      </c>
      <c r="F3530" s="1" t="s">
        <v>6405</v>
      </c>
      <c r="G3530" s="1" t="s">
        <v>6406</v>
      </c>
      <c r="H3530" s="1" t="s">
        <v>92</v>
      </c>
      <c r="I3530" s="1" t="s">
        <v>16</v>
      </c>
      <c r="J3530" s="1">
        <v>1</v>
      </c>
      <c r="K3530" s="1">
        <v>4</v>
      </c>
      <c r="L3530" s="1" t="s">
        <v>31</v>
      </c>
      <c r="M3530" s="1" t="s">
        <v>18</v>
      </c>
      <c r="N3530" s="1" t="s">
        <v>18</v>
      </c>
      <c r="O3530" s="1">
        <v>3</v>
      </c>
      <c r="P3530" s="1">
        <v>5</v>
      </c>
      <c r="R3530" s="1" t="s">
        <v>19</v>
      </c>
      <c r="S3530" s="1" t="s">
        <v>20</v>
      </c>
      <c r="T3530" s="1" t="s">
        <v>21</v>
      </c>
      <c r="U3530" s="1" t="s">
        <v>22</v>
      </c>
      <c r="V3530" s="1" t="s">
        <v>24</v>
      </c>
      <c r="W3530" s="1" t="s">
        <v>24</v>
      </c>
      <c r="X3530" s="1">
        <v>2712</v>
      </c>
      <c r="Y3530" s="1">
        <v>2723</v>
      </c>
      <c r="Z3530" s="1">
        <v>3004</v>
      </c>
      <c r="AA3530" s="1" t="s">
        <v>24</v>
      </c>
      <c r="AB3530" s="1" t="s">
        <v>24</v>
      </c>
      <c r="AC3530" s="1" t="s">
        <v>24</v>
      </c>
      <c r="AD3530" s="1" t="s">
        <v>24</v>
      </c>
      <c r="AE3530" s="1" t="s">
        <v>24</v>
      </c>
      <c r="AF3530" s="22"/>
    </row>
    <row r="3531" spans="1:32" x14ac:dyDescent="0.2">
      <c r="A3531" s="1">
        <v>29126</v>
      </c>
      <c r="B3531" s="1" t="s">
        <v>10910</v>
      </c>
      <c r="C3531" s="5" t="s">
        <v>0</v>
      </c>
      <c r="D3531" s="1" t="s">
        <v>10911</v>
      </c>
      <c r="E3531" s="1" t="s">
        <v>10912</v>
      </c>
      <c r="F3531" s="1" t="s">
        <v>6405</v>
      </c>
      <c r="G3531" s="1" t="s">
        <v>6406</v>
      </c>
      <c r="H3531" s="1" t="s">
        <v>92</v>
      </c>
      <c r="I3531" s="1" t="s">
        <v>16</v>
      </c>
      <c r="J3531" s="1">
        <v>1</v>
      </c>
      <c r="K3531" s="1">
        <v>4</v>
      </c>
      <c r="L3531" s="1" t="s">
        <v>31</v>
      </c>
      <c r="M3531" s="1" t="s">
        <v>18</v>
      </c>
      <c r="N3531" s="1" t="s">
        <v>18</v>
      </c>
      <c r="O3531" s="1">
        <v>3</v>
      </c>
      <c r="P3531" s="1">
        <v>5</v>
      </c>
      <c r="R3531" s="1" t="s">
        <v>19</v>
      </c>
      <c r="S3531" s="1" t="s">
        <v>20</v>
      </c>
      <c r="T3531" s="1" t="s">
        <v>21</v>
      </c>
      <c r="U3531" s="1" t="s">
        <v>22</v>
      </c>
      <c r="V3531" s="1" t="s">
        <v>24</v>
      </c>
      <c r="W3531" s="1" t="s">
        <v>24</v>
      </c>
      <c r="X3531" s="1">
        <v>2403</v>
      </c>
      <c r="Y3531" s="1">
        <v>2723</v>
      </c>
      <c r="Z3531" s="1">
        <v>3004</v>
      </c>
      <c r="AA3531" s="1" t="s">
        <v>24</v>
      </c>
      <c r="AB3531" s="1" t="s">
        <v>24</v>
      </c>
      <c r="AC3531" s="1" t="s">
        <v>24</v>
      </c>
      <c r="AD3531" s="1" t="s">
        <v>24</v>
      </c>
      <c r="AE3531" s="1" t="s">
        <v>24</v>
      </c>
      <c r="AF3531" s="22"/>
    </row>
    <row r="3532" spans="1:32" x14ac:dyDescent="0.2">
      <c r="A3532" s="1">
        <v>29127</v>
      </c>
      <c r="B3532" s="1" t="s">
        <v>10913</v>
      </c>
      <c r="C3532" s="5" t="s">
        <v>0</v>
      </c>
      <c r="D3532" s="1" t="s">
        <v>10914</v>
      </c>
      <c r="E3532" s="1" t="s">
        <v>10915</v>
      </c>
      <c r="F3532" s="1" t="s">
        <v>6405</v>
      </c>
      <c r="G3532" s="1" t="s">
        <v>6406</v>
      </c>
      <c r="H3532" s="1" t="s">
        <v>92</v>
      </c>
      <c r="I3532" s="1" t="s">
        <v>16</v>
      </c>
      <c r="J3532" s="1">
        <v>1</v>
      </c>
      <c r="K3532" s="1">
        <v>5</v>
      </c>
      <c r="L3532" s="1" t="s">
        <v>31</v>
      </c>
      <c r="M3532" s="1" t="s">
        <v>18</v>
      </c>
      <c r="N3532" s="1" t="s">
        <v>18</v>
      </c>
      <c r="O3532" s="1">
        <v>3</v>
      </c>
      <c r="P3532" s="1">
        <v>6</v>
      </c>
      <c r="R3532" s="1" t="s">
        <v>19</v>
      </c>
      <c r="S3532" s="1" t="s">
        <v>20</v>
      </c>
      <c r="T3532" s="1" t="s">
        <v>21</v>
      </c>
      <c r="U3532" s="1" t="s">
        <v>22</v>
      </c>
      <c r="V3532" s="1" t="s">
        <v>24</v>
      </c>
      <c r="W3532" s="1" t="s">
        <v>24</v>
      </c>
      <c r="X3532" s="1">
        <v>1313</v>
      </c>
      <c r="Y3532" s="1">
        <v>2726</v>
      </c>
      <c r="Z3532" s="1">
        <v>3004</v>
      </c>
      <c r="AA3532" s="1" t="s">
        <v>24</v>
      </c>
      <c r="AB3532" s="1" t="s">
        <v>24</v>
      </c>
      <c r="AC3532" s="1" t="s">
        <v>24</v>
      </c>
      <c r="AD3532" s="1" t="s">
        <v>24</v>
      </c>
      <c r="AE3532" s="1" t="s">
        <v>24</v>
      </c>
      <c r="AF3532" s="22"/>
    </row>
    <row r="3533" spans="1:32" x14ac:dyDescent="0.2">
      <c r="A3533" s="1">
        <v>29128</v>
      </c>
      <c r="B3533" s="1" t="s">
        <v>10916</v>
      </c>
      <c r="C3533" s="5" t="s">
        <v>0</v>
      </c>
      <c r="D3533" s="1" t="s">
        <v>10917</v>
      </c>
      <c r="E3533" s="1" t="s">
        <v>10918</v>
      </c>
      <c r="F3533" s="1" t="s">
        <v>6405</v>
      </c>
      <c r="G3533" s="1" t="s">
        <v>6406</v>
      </c>
      <c r="H3533" s="1" t="s">
        <v>92</v>
      </c>
      <c r="I3533" s="1" t="s">
        <v>16</v>
      </c>
      <c r="J3533" s="1">
        <v>1</v>
      </c>
      <c r="K3533" s="1">
        <v>4</v>
      </c>
      <c r="L3533" s="1" t="s">
        <v>31</v>
      </c>
      <c r="M3533" s="1" t="s">
        <v>18</v>
      </c>
      <c r="N3533" s="1" t="s">
        <v>18</v>
      </c>
      <c r="O3533" s="1">
        <v>3</v>
      </c>
      <c r="P3533" s="1">
        <v>6</v>
      </c>
      <c r="R3533" s="1" t="s">
        <v>19</v>
      </c>
      <c r="S3533" s="1" t="s">
        <v>20</v>
      </c>
      <c r="T3533" s="1" t="s">
        <v>21</v>
      </c>
      <c r="U3533" s="1" t="s">
        <v>22</v>
      </c>
      <c r="V3533" s="1" t="s">
        <v>24</v>
      </c>
      <c r="W3533" s="1" t="s">
        <v>24</v>
      </c>
      <c r="X3533" s="1">
        <v>1313</v>
      </c>
      <c r="Y3533" s="1">
        <v>2800</v>
      </c>
      <c r="Z3533" s="1">
        <v>3206</v>
      </c>
      <c r="AA3533" s="1" t="s">
        <v>24</v>
      </c>
      <c r="AB3533" s="1" t="s">
        <v>24</v>
      </c>
      <c r="AC3533" s="1" t="s">
        <v>24</v>
      </c>
      <c r="AD3533" s="1" t="s">
        <v>24</v>
      </c>
      <c r="AE3533" s="1" t="s">
        <v>24</v>
      </c>
      <c r="AF3533" s="22"/>
    </row>
    <row r="3534" spans="1:32" x14ac:dyDescent="0.2">
      <c r="A3534" s="1">
        <v>29225</v>
      </c>
      <c r="B3534" s="1" t="s">
        <v>10919</v>
      </c>
      <c r="C3534" s="5" t="s">
        <v>0</v>
      </c>
      <c r="D3534" s="1" t="s">
        <v>10920</v>
      </c>
      <c r="E3534" s="1" t="s">
        <v>10921</v>
      </c>
      <c r="F3534" s="1" t="s">
        <v>1260</v>
      </c>
      <c r="G3534" s="1" t="s">
        <v>130</v>
      </c>
      <c r="H3534" s="1" t="s">
        <v>111</v>
      </c>
      <c r="I3534" s="1" t="s">
        <v>16</v>
      </c>
      <c r="J3534" s="1">
        <v>1</v>
      </c>
      <c r="K3534" s="1">
        <v>6</v>
      </c>
      <c r="L3534" s="1" t="s">
        <v>31</v>
      </c>
      <c r="M3534" s="1" t="s">
        <v>18</v>
      </c>
      <c r="N3534" s="1" t="s">
        <v>18</v>
      </c>
      <c r="O3534" s="1">
        <v>3</v>
      </c>
      <c r="P3534" s="1">
        <v>7</v>
      </c>
      <c r="Q3534" s="7" t="s">
        <v>17633</v>
      </c>
      <c r="R3534" s="1" t="s">
        <v>19</v>
      </c>
      <c r="S3534" s="1" t="s">
        <v>20</v>
      </c>
      <c r="T3534" s="1" t="s">
        <v>21</v>
      </c>
      <c r="U3534" s="1" t="s">
        <v>22</v>
      </c>
      <c r="V3534" s="1" t="s">
        <v>24</v>
      </c>
      <c r="W3534" s="1" t="s">
        <v>24</v>
      </c>
      <c r="X3534" s="1">
        <v>1311</v>
      </c>
      <c r="Y3534" s="1">
        <v>1313</v>
      </c>
      <c r="Z3534" s="1">
        <v>2700</v>
      </c>
      <c r="AA3534" s="1">
        <v>3004</v>
      </c>
      <c r="AB3534" s="1" t="s">
        <v>24</v>
      </c>
      <c r="AC3534" s="1" t="s">
        <v>24</v>
      </c>
      <c r="AD3534" s="1" t="s">
        <v>24</v>
      </c>
      <c r="AE3534" s="1" t="s">
        <v>24</v>
      </c>
      <c r="AF3534" s="22"/>
    </row>
    <row r="3535" spans="1:32" x14ac:dyDescent="0.2">
      <c r="A3535" s="1">
        <v>29240</v>
      </c>
      <c r="B3535" s="1" t="s">
        <v>10922</v>
      </c>
      <c r="C3535" s="5" t="s">
        <v>0</v>
      </c>
      <c r="D3535" s="1" t="s">
        <v>10923</v>
      </c>
      <c r="E3535" s="1" t="s">
        <v>10924</v>
      </c>
      <c r="F3535" s="1" t="s">
        <v>3591</v>
      </c>
      <c r="G3535" s="1" t="s">
        <v>3592</v>
      </c>
      <c r="H3535" s="1" t="s">
        <v>3593</v>
      </c>
      <c r="I3535" s="1" t="s">
        <v>16</v>
      </c>
      <c r="J3535" s="1">
        <v>1</v>
      </c>
      <c r="K3535" s="1">
        <v>4</v>
      </c>
      <c r="L3535" s="1" t="s">
        <v>42</v>
      </c>
      <c r="M3535" s="1" t="s">
        <v>117</v>
      </c>
      <c r="N3535" s="1" t="s">
        <v>226</v>
      </c>
      <c r="O3535" s="1">
        <v>3</v>
      </c>
      <c r="P3535" s="1">
        <v>5</v>
      </c>
      <c r="R3535" s="1" t="s">
        <v>19</v>
      </c>
      <c r="S3535" s="1" t="s">
        <v>20</v>
      </c>
      <c r="T3535" s="1" t="s">
        <v>21</v>
      </c>
      <c r="U3535" s="1" t="s">
        <v>22</v>
      </c>
      <c r="V3535" s="1" t="s">
        <v>24</v>
      </c>
      <c r="W3535" s="1" t="s">
        <v>24</v>
      </c>
      <c r="X3535" s="1">
        <v>2720</v>
      </c>
      <c r="Y3535" s="1">
        <v>2403</v>
      </c>
      <c r="Z3535" s="1">
        <v>2723</v>
      </c>
      <c r="AA3535" s="1" t="s">
        <v>24</v>
      </c>
      <c r="AB3535" s="1" t="s">
        <v>24</v>
      </c>
      <c r="AC3535" s="1" t="s">
        <v>24</v>
      </c>
      <c r="AD3535" s="1" t="s">
        <v>24</v>
      </c>
      <c r="AE3535" s="1" t="s">
        <v>24</v>
      </c>
      <c r="AF3535" s="22"/>
    </row>
    <row r="3536" spans="1:32" x14ac:dyDescent="0.2">
      <c r="A3536" s="1">
        <v>29418</v>
      </c>
      <c r="B3536" s="1" t="s">
        <v>10925</v>
      </c>
      <c r="C3536" s="5" t="s">
        <v>0</v>
      </c>
      <c r="D3536" s="1" t="s">
        <v>10926</v>
      </c>
      <c r="F3536" s="1" t="s">
        <v>85</v>
      </c>
      <c r="G3536" s="1" t="s">
        <v>61</v>
      </c>
      <c r="H3536" s="1" t="s">
        <v>86</v>
      </c>
      <c r="I3536" s="1" t="s">
        <v>16</v>
      </c>
      <c r="J3536" s="1">
        <v>1</v>
      </c>
      <c r="K3536" s="1">
        <v>12</v>
      </c>
      <c r="L3536" s="1" t="s">
        <v>31</v>
      </c>
      <c r="M3536" s="1" t="s">
        <v>87</v>
      </c>
      <c r="N3536" s="1" t="s">
        <v>87</v>
      </c>
      <c r="O3536" s="1">
        <v>1</v>
      </c>
      <c r="P3536" s="1">
        <v>1</v>
      </c>
      <c r="R3536" s="1" t="s">
        <v>19</v>
      </c>
      <c r="S3536" s="1" t="s">
        <v>20</v>
      </c>
      <c r="T3536" s="1" t="s">
        <v>21</v>
      </c>
      <c r="U3536" s="1" t="s">
        <v>22</v>
      </c>
      <c r="V3536" s="1" t="s">
        <v>24</v>
      </c>
      <c r="W3536" s="1" t="s">
        <v>24</v>
      </c>
      <c r="X3536" s="1">
        <v>2742</v>
      </c>
      <c r="Y3536" s="1">
        <v>3612</v>
      </c>
      <c r="Z3536" s="1" t="s">
        <v>24</v>
      </c>
      <c r="AA3536" s="1" t="s">
        <v>24</v>
      </c>
      <c r="AB3536" s="1" t="s">
        <v>24</v>
      </c>
      <c r="AC3536" s="1" t="s">
        <v>24</v>
      </c>
      <c r="AD3536" s="1" t="s">
        <v>24</v>
      </c>
      <c r="AE3536" s="1" t="s">
        <v>24</v>
      </c>
      <c r="AF3536" s="22"/>
    </row>
    <row r="3537" spans="1:32" x14ac:dyDescent="0.2">
      <c r="A3537" s="1">
        <v>29476</v>
      </c>
      <c r="B3537" s="1" t="s">
        <v>10927</v>
      </c>
      <c r="C3537" s="5" t="s">
        <v>0</v>
      </c>
      <c r="D3537" s="1" t="s">
        <v>10928</v>
      </c>
      <c r="E3537" s="1" t="s">
        <v>10929</v>
      </c>
      <c r="F3537" s="1" t="s">
        <v>2299</v>
      </c>
      <c r="G3537" s="1" t="s">
        <v>2300</v>
      </c>
      <c r="H3537" s="1" t="s">
        <v>69</v>
      </c>
      <c r="I3537" s="1" t="s">
        <v>16</v>
      </c>
      <c r="J3537" s="1">
        <v>1</v>
      </c>
      <c r="K3537" s="1">
        <v>3</v>
      </c>
      <c r="L3537" s="1" t="s">
        <v>31</v>
      </c>
      <c r="M3537" s="1" t="s">
        <v>18</v>
      </c>
      <c r="N3537" s="1" t="s">
        <v>18</v>
      </c>
      <c r="O3537" s="1">
        <v>3</v>
      </c>
      <c r="P3537" s="1">
        <v>6</v>
      </c>
      <c r="R3537" s="1" t="s">
        <v>19</v>
      </c>
      <c r="S3537" s="1" t="s">
        <v>63</v>
      </c>
      <c r="T3537" s="1" t="s">
        <v>21</v>
      </c>
      <c r="U3537" s="1" t="s">
        <v>22</v>
      </c>
      <c r="V3537" s="1" t="s">
        <v>24</v>
      </c>
      <c r="W3537" s="1" t="s">
        <v>24</v>
      </c>
      <c r="X3537" s="1">
        <v>3005</v>
      </c>
      <c r="Y3537" s="1">
        <v>1103</v>
      </c>
      <c r="Z3537" s="1">
        <v>2725</v>
      </c>
      <c r="AA3537" s="1">
        <v>2405</v>
      </c>
      <c r="AB3537" s="1" t="s">
        <v>24</v>
      </c>
      <c r="AC3537" s="1" t="s">
        <v>24</v>
      </c>
      <c r="AD3537" s="1" t="s">
        <v>24</v>
      </c>
      <c r="AE3537" s="1" t="s">
        <v>24</v>
      </c>
      <c r="AF3537" s="22" t="s">
        <v>17670</v>
      </c>
    </row>
    <row r="3538" spans="1:32" x14ac:dyDescent="0.2">
      <c r="A3538" s="1">
        <v>29582</v>
      </c>
      <c r="B3538" s="1" t="s">
        <v>10930</v>
      </c>
      <c r="C3538" s="5" t="s">
        <v>0</v>
      </c>
      <c r="E3538" s="1" t="s">
        <v>10931</v>
      </c>
      <c r="F3538" s="1" t="s">
        <v>10932</v>
      </c>
      <c r="G3538" s="1" t="s">
        <v>10932</v>
      </c>
      <c r="H3538" s="1" t="s">
        <v>116</v>
      </c>
      <c r="I3538" s="1" t="s">
        <v>16</v>
      </c>
      <c r="J3538" s="1">
        <v>1</v>
      </c>
      <c r="K3538" s="1">
        <v>6</v>
      </c>
      <c r="L3538" s="1" t="s">
        <v>42</v>
      </c>
      <c r="M3538" s="1" t="s">
        <v>117</v>
      </c>
      <c r="N3538" s="1" t="s">
        <v>118</v>
      </c>
      <c r="O3538" s="1">
        <v>3</v>
      </c>
      <c r="P3538" s="1">
        <v>5</v>
      </c>
      <c r="R3538" s="1" t="s">
        <v>19</v>
      </c>
      <c r="S3538" s="1" t="s">
        <v>63</v>
      </c>
      <c r="T3538" s="1" t="s">
        <v>21</v>
      </c>
      <c r="U3538" s="1" t="s">
        <v>22</v>
      </c>
      <c r="V3538" s="1" t="s">
        <v>24</v>
      </c>
      <c r="W3538" s="1" t="s">
        <v>24</v>
      </c>
      <c r="X3538" s="1">
        <v>2700</v>
      </c>
      <c r="Y3538" s="1" t="s">
        <v>24</v>
      </c>
      <c r="Z3538" s="1" t="s">
        <v>24</v>
      </c>
      <c r="AA3538" s="1" t="s">
        <v>24</v>
      </c>
      <c r="AB3538" s="1" t="s">
        <v>24</v>
      </c>
      <c r="AC3538" s="1" t="s">
        <v>24</v>
      </c>
      <c r="AD3538" s="1" t="s">
        <v>24</v>
      </c>
      <c r="AE3538" s="1" t="s">
        <v>24</v>
      </c>
      <c r="AF3538" s="22"/>
    </row>
    <row r="3539" spans="1:32" x14ac:dyDescent="0.2">
      <c r="A3539" s="1">
        <v>29583</v>
      </c>
      <c r="B3539" s="1" t="s">
        <v>10933</v>
      </c>
      <c r="C3539" s="5" t="s">
        <v>0</v>
      </c>
      <c r="E3539" s="1" t="s">
        <v>10934</v>
      </c>
      <c r="F3539" s="1" t="s">
        <v>10935</v>
      </c>
      <c r="G3539" s="1" t="s">
        <v>10936</v>
      </c>
      <c r="H3539" s="1" t="s">
        <v>8248</v>
      </c>
      <c r="I3539" s="1" t="s">
        <v>16</v>
      </c>
      <c r="J3539" s="1">
        <v>1</v>
      </c>
      <c r="K3539" s="1">
        <v>4</v>
      </c>
      <c r="L3539" s="1" t="s">
        <v>42</v>
      </c>
      <c r="M3539" s="1" t="s">
        <v>18</v>
      </c>
      <c r="N3539" s="1" t="s">
        <v>18</v>
      </c>
      <c r="O3539" s="1">
        <v>3</v>
      </c>
      <c r="P3539" s="1">
        <v>5</v>
      </c>
      <c r="R3539" s="1" t="s">
        <v>19</v>
      </c>
      <c r="S3539" s="1" t="s">
        <v>63</v>
      </c>
      <c r="T3539" s="1" t="s">
        <v>21</v>
      </c>
      <c r="U3539" s="1" t="s">
        <v>22</v>
      </c>
      <c r="V3539" s="1" t="s">
        <v>24</v>
      </c>
      <c r="W3539" s="1" t="s">
        <v>24</v>
      </c>
      <c r="X3539" s="1">
        <v>2707</v>
      </c>
      <c r="Y3539" s="1">
        <v>3002</v>
      </c>
      <c r="Z3539" s="1" t="s">
        <v>24</v>
      </c>
      <c r="AA3539" s="1" t="s">
        <v>24</v>
      </c>
      <c r="AB3539" s="1" t="s">
        <v>24</v>
      </c>
      <c r="AC3539" s="1" t="s">
        <v>24</v>
      </c>
      <c r="AD3539" s="1" t="s">
        <v>24</v>
      </c>
      <c r="AE3539" s="1" t="s">
        <v>24</v>
      </c>
      <c r="AF3539" s="22"/>
    </row>
    <row r="3540" spans="1:32" x14ac:dyDescent="0.2">
      <c r="A3540" s="1">
        <v>29584</v>
      </c>
      <c r="B3540" s="1" t="s">
        <v>10937</v>
      </c>
      <c r="C3540" s="5" t="s">
        <v>0</v>
      </c>
      <c r="D3540" s="1" t="s">
        <v>10938</v>
      </c>
      <c r="E3540" s="1" t="s">
        <v>10939</v>
      </c>
      <c r="F3540" s="1" t="s">
        <v>10940</v>
      </c>
      <c r="G3540" s="1" t="s">
        <v>10940</v>
      </c>
      <c r="H3540" s="1" t="s">
        <v>30</v>
      </c>
      <c r="I3540" s="1" t="s">
        <v>16</v>
      </c>
      <c r="J3540" s="1">
        <v>1</v>
      </c>
      <c r="K3540" s="1">
        <v>11</v>
      </c>
      <c r="L3540" s="1" t="s">
        <v>42</v>
      </c>
      <c r="M3540" s="1" t="s">
        <v>18</v>
      </c>
      <c r="N3540" s="1" t="s">
        <v>18</v>
      </c>
      <c r="O3540" s="1">
        <v>3</v>
      </c>
      <c r="P3540" s="1">
        <v>6</v>
      </c>
      <c r="R3540" s="1" t="s">
        <v>19</v>
      </c>
      <c r="S3540" s="1" t="s">
        <v>20</v>
      </c>
      <c r="T3540" s="1" t="s">
        <v>21</v>
      </c>
      <c r="U3540" s="1" t="s">
        <v>22</v>
      </c>
      <c r="V3540" s="1" t="s">
        <v>23</v>
      </c>
      <c r="W3540" s="1" t="s">
        <v>24</v>
      </c>
      <c r="X3540" s="1">
        <v>2728</v>
      </c>
      <c r="Y3540" s="1">
        <v>2740</v>
      </c>
      <c r="Z3540" s="1">
        <v>2808</v>
      </c>
      <c r="AA3540" s="1" t="s">
        <v>24</v>
      </c>
      <c r="AB3540" s="1" t="s">
        <v>24</v>
      </c>
      <c r="AC3540" s="1" t="s">
        <v>24</v>
      </c>
      <c r="AD3540" s="1" t="s">
        <v>24</v>
      </c>
      <c r="AE3540" s="1" t="s">
        <v>24</v>
      </c>
      <c r="AF3540" s="22"/>
    </row>
    <row r="3541" spans="1:32" x14ac:dyDescent="0.2">
      <c r="A3541" s="1">
        <v>29585</v>
      </c>
      <c r="B3541" s="1" t="s">
        <v>10941</v>
      </c>
      <c r="C3541" s="5" t="s">
        <v>0</v>
      </c>
      <c r="D3541" s="1" t="s">
        <v>10942</v>
      </c>
      <c r="E3541" s="1" t="s">
        <v>10943</v>
      </c>
      <c r="F3541" s="1" t="s">
        <v>10944</v>
      </c>
      <c r="G3541" s="1" t="s">
        <v>1734</v>
      </c>
      <c r="H3541" s="1" t="s">
        <v>30</v>
      </c>
      <c r="I3541" s="1" t="s">
        <v>16</v>
      </c>
      <c r="J3541" s="1">
        <v>1</v>
      </c>
      <c r="K3541" s="1">
        <v>6</v>
      </c>
      <c r="L3541" s="1" t="s">
        <v>42</v>
      </c>
      <c r="M3541" s="1" t="s">
        <v>18</v>
      </c>
      <c r="N3541" s="1" t="s">
        <v>18</v>
      </c>
      <c r="O3541" s="1">
        <v>3</v>
      </c>
      <c r="P3541" s="1">
        <v>6</v>
      </c>
      <c r="R3541" s="1" t="s">
        <v>19</v>
      </c>
      <c r="S3541" s="1" t="s">
        <v>20</v>
      </c>
      <c r="T3541" s="1" t="s">
        <v>21</v>
      </c>
      <c r="U3541" s="1" t="s">
        <v>22</v>
      </c>
      <c r="V3541" s="1" t="s">
        <v>23</v>
      </c>
      <c r="W3541" s="1" t="s">
        <v>24</v>
      </c>
      <c r="X3541" s="1">
        <v>3611</v>
      </c>
      <c r="Y3541" s="1">
        <v>3004</v>
      </c>
      <c r="Z3541" s="1">
        <v>2920</v>
      </c>
      <c r="AA3541" s="1" t="s">
        <v>24</v>
      </c>
      <c r="AB3541" s="1" t="s">
        <v>24</v>
      </c>
      <c r="AC3541" s="1" t="s">
        <v>24</v>
      </c>
      <c r="AD3541" s="1" t="s">
        <v>24</v>
      </c>
      <c r="AE3541" s="1" t="s">
        <v>24</v>
      </c>
      <c r="AF3541" s="22"/>
    </row>
    <row r="3542" spans="1:32" x14ac:dyDescent="0.2">
      <c r="A3542" s="1">
        <v>29586</v>
      </c>
      <c r="B3542" s="1" t="s">
        <v>10945</v>
      </c>
      <c r="C3542" s="5" t="s">
        <v>0</v>
      </c>
      <c r="D3542" s="1" t="s">
        <v>10946</v>
      </c>
      <c r="F3542" s="1" t="s">
        <v>10947</v>
      </c>
      <c r="G3542" s="1" t="s">
        <v>10947</v>
      </c>
      <c r="H3542" s="1" t="s">
        <v>1384</v>
      </c>
      <c r="I3542" s="1" t="s">
        <v>16</v>
      </c>
      <c r="J3542" s="1">
        <v>1</v>
      </c>
      <c r="K3542" s="1">
        <v>4</v>
      </c>
      <c r="L3542" s="1" t="s">
        <v>42</v>
      </c>
      <c r="M3542" s="1" t="s">
        <v>1385</v>
      </c>
      <c r="N3542" s="1" t="s">
        <v>3142</v>
      </c>
      <c r="O3542" s="1">
        <v>2</v>
      </c>
      <c r="P3542" s="1">
        <v>5</v>
      </c>
      <c r="R3542" s="1" t="s">
        <v>19</v>
      </c>
      <c r="S3542" s="1" t="s">
        <v>63</v>
      </c>
      <c r="T3542" s="1" t="s">
        <v>21</v>
      </c>
      <c r="U3542" s="1" t="s">
        <v>22</v>
      </c>
      <c r="V3542" s="1" t="s">
        <v>24</v>
      </c>
      <c r="W3542" s="1" t="s">
        <v>24</v>
      </c>
      <c r="X3542" s="1">
        <v>2738</v>
      </c>
      <c r="Y3542" s="1">
        <v>2921</v>
      </c>
      <c r="Z3542" s="1" t="s">
        <v>24</v>
      </c>
      <c r="AA3542" s="1" t="s">
        <v>24</v>
      </c>
      <c r="AB3542" s="1" t="s">
        <v>24</v>
      </c>
      <c r="AC3542" s="1" t="s">
        <v>24</v>
      </c>
      <c r="AD3542" s="1" t="s">
        <v>24</v>
      </c>
      <c r="AE3542" s="1" t="s">
        <v>24</v>
      </c>
      <c r="AF3542" s="22"/>
    </row>
    <row r="3543" spans="1:32" x14ac:dyDescent="0.2">
      <c r="A3543" s="1">
        <v>29587</v>
      </c>
      <c r="B3543" s="1" t="s">
        <v>10948</v>
      </c>
      <c r="C3543" s="5" t="s">
        <v>0</v>
      </c>
      <c r="D3543" s="1" t="s">
        <v>10949</v>
      </c>
      <c r="E3543" s="1" t="s">
        <v>10950</v>
      </c>
      <c r="F3543" s="1" t="s">
        <v>618</v>
      </c>
      <c r="G3543" s="1" t="s">
        <v>619</v>
      </c>
      <c r="H3543" s="1" t="s">
        <v>30</v>
      </c>
      <c r="I3543" s="1" t="s">
        <v>112</v>
      </c>
      <c r="J3543" s="1">
        <v>1</v>
      </c>
      <c r="K3543" s="1">
        <v>1</v>
      </c>
      <c r="L3543" s="1" t="s">
        <v>31</v>
      </c>
      <c r="M3543" s="1" t="s">
        <v>18</v>
      </c>
      <c r="N3543" s="1" t="s">
        <v>18</v>
      </c>
      <c r="O3543" s="1">
        <v>3</v>
      </c>
      <c r="P3543" s="1">
        <v>6</v>
      </c>
      <c r="R3543" s="1" t="s">
        <v>19</v>
      </c>
      <c r="S3543" s="1" t="s">
        <v>20</v>
      </c>
      <c r="T3543" s="1" t="s">
        <v>21</v>
      </c>
      <c r="U3543" s="1" t="s">
        <v>22</v>
      </c>
      <c r="V3543" s="1" t="s">
        <v>23</v>
      </c>
      <c r="W3543" s="1" t="s">
        <v>24</v>
      </c>
      <c r="X3543" s="1">
        <v>2738</v>
      </c>
      <c r="Y3543" s="1">
        <v>3203</v>
      </c>
      <c r="Z3543" s="1" t="s">
        <v>24</v>
      </c>
      <c r="AA3543" s="1" t="s">
        <v>24</v>
      </c>
      <c r="AB3543" s="1" t="s">
        <v>24</v>
      </c>
      <c r="AC3543" s="1" t="s">
        <v>24</v>
      </c>
      <c r="AD3543" s="1" t="s">
        <v>24</v>
      </c>
      <c r="AE3543" s="1" t="s">
        <v>24</v>
      </c>
      <c r="AF3543" s="22"/>
    </row>
    <row r="3544" spans="1:32" x14ac:dyDescent="0.2">
      <c r="A3544" s="1">
        <v>29588</v>
      </c>
      <c r="B3544" s="1" t="s">
        <v>10951</v>
      </c>
      <c r="C3544" s="5" t="s">
        <v>0</v>
      </c>
      <c r="D3544" s="1" t="s">
        <v>10952</v>
      </c>
      <c r="E3544" s="1" t="s">
        <v>10953</v>
      </c>
      <c r="F3544" s="1" t="s">
        <v>618</v>
      </c>
      <c r="G3544" s="1" t="s">
        <v>619</v>
      </c>
      <c r="H3544" s="1" t="s">
        <v>30</v>
      </c>
      <c r="I3544" s="1" t="s">
        <v>112</v>
      </c>
      <c r="J3544" s="1">
        <v>1</v>
      </c>
      <c r="K3544" s="1">
        <v>1</v>
      </c>
      <c r="L3544" s="1" t="s">
        <v>31</v>
      </c>
      <c r="M3544" s="1" t="s">
        <v>18</v>
      </c>
      <c r="N3544" s="1" t="s">
        <v>18</v>
      </c>
      <c r="O3544" s="1">
        <v>3</v>
      </c>
      <c r="P3544" s="1">
        <v>7</v>
      </c>
      <c r="Q3544" s="7" t="s">
        <v>17633</v>
      </c>
      <c r="R3544" s="1" t="s">
        <v>19</v>
      </c>
      <c r="S3544" s="1" t="s">
        <v>20</v>
      </c>
      <c r="T3544" s="1" t="s">
        <v>21</v>
      </c>
      <c r="U3544" s="1" t="s">
        <v>22</v>
      </c>
      <c r="V3544" s="1" t="s">
        <v>24</v>
      </c>
      <c r="W3544" s="1" t="s">
        <v>24</v>
      </c>
      <c r="X3544" s="1">
        <v>1110</v>
      </c>
      <c r="Y3544" s="1" t="s">
        <v>24</v>
      </c>
      <c r="Z3544" s="1" t="s">
        <v>24</v>
      </c>
      <c r="AA3544" s="1" t="s">
        <v>24</v>
      </c>
      <c r="AB3544" s="1" t="s">
        <v>24</v>
      </c>
      <c r="AC3544" s="1" t="s">
        <v>24</v>
      </c>
      <c r="AD3544" s="1" t="s">
        <v>24</v>
      </c>
      <c r="AE3544" s="1" t="s">
        <v>24</v>
      </c>
      <c r="AF3544" s="22"/>
    </row>
    <row r="3545" spans="1:32" x14ac:dyDescent="0.2">
      <c r="A3545" s="1">
        <v>29590</v>
      </c>
      <c r="B3545" s="1" t="s">
        <v>10954</v>
      </c>
      <c r="C3545" s="5" t="s">
        <v>0</v>
      </c>
      <c r="D3545" s="1" t="s">
        <v>10955</v>
      </c>
      <c r="E3545" s="1" t="s">
        <v>10956</v>
      </c>
      <c r="F3545" s="1" t="s">
        <v>291</v>
      </c>
      <c r="G3545" s="1" t="s">
        <v>292</v>
      </c>
      <c r="H3545" s="1" t="s">
        <v>37</v>
      </c>
      <c r="I3545" s="1" t="s">
        <v>16</v>
      </c>
      <c r="J3545" s="1">
        <v>1</v>
      </c>
      <c r="K3545" s="1">
        <v>12</v>
      </c>
      <c r="L3545" s="1" t="s">
        <v>31</v>
      </c>
      <c r="M3545" s="1" t="s">
        <v>18</v>
      </c>
      <c r="N3545" s="1" t="s">
        <v>18</v>
      </c>
      <c r="O3545" s="1">
        <v>3</v>
      </c>
      <c r="P3545" s="1">
        <v>6</v>
      </c>
      <c r="R3545" s="1" t="s">
        <v>19</v>
      </c>
      <c r="S3545" s="1" t="s">
        <v>20</v>
      </c>
      <c r="T3545" s="1" t="s">
        <v>21</v>
      </c>
      <c r="U3545" s="1" t="s">
        <v>22</v>
      </c>
      <c r="V3545" s="1" t="s">
        <v>24</v>
      </c>
      <c r="W3545" s="1" t="s">
        <v>24</v>
      </c>
      <c r="X3545" s="1">
        <v>3005</v>
      </c>
      <c r="Y3545" s="1">
        <v>3004</v>
      </c>
      <c r="Z3545" s="1" t="s">
        <v>24</v>
      </c>
      <c r="AA3545" s="1" t="s">
        <v>24</v>
      </c>
      <c r="AB3545" s="1" t="s">
        <v>24</v>
      </c>
      <c r="AC3545" s="1" t="s">
        <v>24</v>
      </c>
      <c r="AD3545" s="1" t="s">
        <v>24</v>
      </c>
      <c r="AE3545" s="1" t="s">
        <v>24</v>
      </c>
      <c r="AF3545" s="22"/>
    </row>
    <row r="3546" spans="1:32" x14ac:dyDescent="0.2">
      <c r="A3546" s="1">
        <v>29591</v>
      </c>
      <c r="B3546" s="1" t="s">
        <v>10957</v>
      </c>
      <c r="C3546" s="5" t="s">
        <v>0</v>
      </c>
      <c r="D3546" s="1" t="s">
        <v>10958</v>
      </c>
      <c r="F3546" s="1" t="s">
        <v>10959</v>
      </c>
      <c r="G3546" s="1" t="s">
        <v>10959</v>
      </c>
      <c r="H3546" s="1" t="s">
        <v>2672</v>
      </c>
      <c r="I3546" s="1" t="s">
        <v>16</v>
      </c>
      <c r="J3546" s="1">
        <v>1</v>
      </c>
      <c r="K3546" s="1">
        <v>6</v>
      </c>
      <c r="L3546" s="1" t="s">
        <v>42</v>
      </c>
      <c r="M3546" s="1" t="s">
        <v>18</v>
      </c>
      <c r="N3546" s="1" t="s">
        <v>18</v>
      </c>
      <c r="O3546" s="1">
        <v>3</v>
      </c>
      <c r="P3546" s="1">
        <v>6</v>
      </c>
      <c r="R3546" s="1" t="s">
        <v>19</v>
      </c>
      <c r="S3546" s="1" t="s">
        <v>63</v>
      </c>
      <c r="T3546" s="1" t="s">
        <v>21</v>
      </c>
      <c r="U3546" s="1" t="s">
        <v>22</v>
      </c>
      <c r="V3546" s="1" t="s">
        <v>24</v>
      </c>
      <c r="W3546" s="1" t="s">
        <v>24</v>
      </c>
      <c r="X3546" s="1">
        <v>1106</v>
      </c>
      <c r="Y3546" s="1">
        <v>2916</v>
      </c>
      <c r="Z3546" s="1">
        <v>2739</v>
      </c>
      <c r="AA3546" s="1" t="s">
        <v>24</v>
      </c>
      <c r="AB3546" s="1" t="s">
        <v>24</v>
      </c>
      <c r="AC3546" s="1" t="s">
        <v>24</v>
      </c>
      <c r="AD3546" s="1" t="s">
        <v>24</v>
      </c>
      <c r="AE3546" s="1" t="s">
        <v>24</v>
      </c>
      <c r="AF3546" s="22"/>
    </row>
    <row r="3547" spans="1:32" x14ac:dyDescent="0.2">
      <c r="A3547" s="1">
        <v>29592</v>
      </c>
      <c r="B3547" s="1" t="s">
        <v>10960</v>
      </c>
      <c r="C3547" s="5" t="s">
        <v>0</v>
      </c>
      <c r="D3547" s="1" t="s">
        <v>10961</v>
      </c>
      <c r="E3547" s="1" t="s">
        <v>10962</v>
      </c>
      <c r="F3547" s="1" t="s">
        <v>10959</v>
      </c>
      <c r="G3547" s="1" t="s">
        <v>10959</v>
      </c>
      <c r="H3547" s="1" t="s">
        <v>2672</v>
      </c>
      <c r="I3547" s="1" t="s">
        <v>16</v>
      </c>
      <c r="J3547" s="1">
        <v>1</v>
      </c>
      <c r="K3547" s="1">
        <v>2</v>
      </c>
      <c r="L3547" s="1" t="s">
        <v>42</v>
      </c>
      <c r="M3547" s="1" t="s">
        <v>18</v>
      </c>
      <c r="N3547" s="1" t="s">
        <v>18</v>
      </c>
      <c r="O3547" s="1">
        <v>3</v>
      </c>
      <c r="P3547" s="1">
        <v>6</v>
      </c>
      <c r="R3547" s="1" t="s">
        <v>19</v>
      </c>
      <c r="S3547" s="1" t="s">
        <v>63</v>
      </c>
      <c r="T3547" s="1" t="s">
        <v>21</v>
      </c>
      <c r="U3547" s="1" t="s">
        <v>22</v>
      </c>
      <c r="V3547" s="1" t="s">
        <v>24</v>
      </c>
      <c r="W3547" s="1" t="s">
        <v>24</v>
      </c>
      <c r="X3547" s="1">
        <v>1306</v>
      </c>
      <c r="Y3547" s="1">
        <v>2730</v>
      </c>
      <c r="Z3547" s="1" t="s">
        <v>24</v>
      </c>
      <c r="AA3547" s="1" t="s">
        <v>24</v>
      </c>
      <c r="AB3547" s="1" t="s">
        <v>24</v>
      </c>
      <c r="AC3547" s="1" t="s">
        <v>24</v>
      </c>
      <c r="AD3547" s="1" t="s">
        <v>24</v>
      </c>
      <c r="AE3547" s="1" t="s">
        <v>24</v>
      </c>
      <c r="AF3547" s="22"/>
    </row>
    <row r="3548" spans="1:32" x14ac:dyDescent="0.2">
      <c r="A3548" s="1">
        <v>29593</v>
      </c>
      <c r="B3548" s="1" t="s">
        <v>10963</v>
      </c>
      <c r="C3548" s="5" t="s">
        <v>0</v>
      </c>
      <c r="D3548" s="1" t="s">
        <v>10964</v>
      </c>
      <c r="E3548" s="1" t="s">
        <v>10965</v>
      </c>
      <c r="F3548" s="1" t="s">
        <v>10959</v>
      </c>
      <c r="G3548" s="1" t="s">
        <v>10959</v>
      </c>
      <c r="H3548" s="1" t="s">
        <v>2672</v>
      </c>
      <c r="I3548" s="1" t="s">
        <v>16</v>
      </c>
      <c r="J3548" s="1">
        <v>1</v>
      </c>
      <c r="K3548" s="1">
        <v>6</v>
      </c>
      <c r="L3548" s="1" t="s">
        <v>42</v>
      </c>
      <c r="M3548" s="1" t="s">
        <v>18</v>
      </c>
      <c r="N3548" s="1" t="s">
        <v>18</v>
      </c>
      <c r="O3548" s="1">
        <v>3</v>
      </c>
      <c r="P3548" s="1">
        <v>6</v>
      </c>
      <c r="R3548" s="1" t="s">
        <v>19</v>
      </c>
      <c r="S3548" s="1" t="s">
        <v>20</v>
      </c>
      <c r="T3548" s="1" t="s">
        <v>21</v>
      </c>
      <c r="U3548" s="1" t="s">
        <v>22</v>
      </c>
      <c r="V3548" s="1" t="s">
        <v>24</v>
      </c>
      <c r="W3548" s="1" t="s">
        <v>24</v>
      </c>
      <c r="X3548" s="1">
        <v>3004</v>
      </c>
      <c r="Y3548" s="1" t="s">
        <v>24</v>
      </c>
      <c r="Z3548" s="1" t="s">
        <v>24</v>
      </c>
      <c r="AA3548" s="1" t="s">
        <v>24</v>
      </c>
      <c r="AB3548" s="1" t="s">
        <v>24</v>
      </c>
      <c r="AC3548" s="1" t="s">
        <v>24</v>
      </c>
      <c r="AD3548" s="1" t="s">
        <v>24</v>
      </c>
      <c r="AE3548" s="1" t="s">
        <v>24</v>
      </c>
      <c r="AF3548" s="22"/>
    </row>
    <row r="3549" spans="1:32" x14ac:dyDescent="0.2">
      <c r="A3549" s="1">
        <v>29594</v>
      </c>
      <c r="B3549" s="1" t="s">
        <v>10966</v>
      </c>
      <c r="C3549" s="5" t="s">
        <v>0</v>
      </c>
      <c r="D3549" s="1" t="s">
        <v>10967</v>
      </c>
      <c r="E3549" s="1" t="s">
        <v>10968</v>
      </c>
      <c r="F3549" s="1" t="s">
        <v>10959</v>
      </c>
      <c r="G3549" s="1" t="s">
        <v>10959</v>
      </c>
      <c r="H3549" s="1" t="s">
        <v>2672</v>
      </c>
      <c r="I3549" s="1" t="s">
        <v>16</v>
      </c>
      <c r="J3549" s="1">
        <v>1</v>
      </c>
      <c r="K3549" s="1">
        <v>8</v>
      </c>
      <c r="L3549" s="1" t="s">
        <v>42</v>
      </c>
      <c r="M3549" s="1" t="s">
        <v>18</v>
      </c>
      <c r="N3549" s="1" t="s">
        <v>18</v>
      </c>
      <c r="O3549" s="1">
        <v>3</v>
      </c>
      <c r="P3549" s="1">
        <v>6</v>
      </c>
      <c r="R3549" s="1" t="s">
        <v>19</v>
      </c>
      <c r="S3549" s="1" t="s">
        <v>20</v>
      </c>
      <c r="T3549" s="1" t="s">
        <v>21</v>
      </c>
      <c r="U3549" s="1" t="s">
        <v>22</v>
      </c>
      <c r="V3549" s="1" t="s">
        <v>24</v>
      </c>
      <c r="W3549" s="1" t="s">
        <v>24</v>
      </c>
      <c r="X3549" s="1">
        <v>1307</v>
      </c>
      <c r="Y3549" s="1">
        <v>1313</v>
      </c>
      <c r="Z3549" s="1" t="s">
        <v>24</v>
      </c>
      <c r="AA3549" s="1" t="s">
        <v>24</v>
      </c>
      <c r="AB3549" s="1" t="s">
        <v>24</v>
      </c>
      <c r="AC3549" s="1" t="s">
        <v>24</v>
      </c>
      <c r="AD3549" s="1" t="s">
        <v>24</v>
      </c>
      <c r="AE3549" s="1" t="s">
        <v>24</v>
      </c>
      <c r="AF3549" s="22"/>
    </row>
    <row r="3550" spans="1:32" x14ac:dyDescent="0.2">
      <c r="A3550" s="1">
        <v>29595</v>
      </c>
      <c r="B3550" s="1" t="s">
        <v>10969</v>
      </c>
      <c r="C3550" s="5" t="s">
        <v>0</v>
      </c>
      <c r="D3550" s="1" t="s">
        <v>10970</v>
      </c>
      <c r="F3550" s="1" t="s">
        <v>10959</v>
      </c>
      <c r="G3550" s="1" t="s">
        <v>10959</v>
      </c>
      <c r="H3550" s="1" t="s">
        <v>2672</v>
      </c>
      <c r="I3550" s="1" t="s">
        <v>16</v>
      </c>
      <c r="J3550" s="1">
        <v>1</v>
      </c>
      <c r="K3550" s="1">
        <v>4</v>
      </c>
      <c r="L3550" s="1" t="s">
        <v>42</v>
      </c>
      <c r="M3550" s="1" t="s">
        <v>18</v>
      </c>
      <c r="N3550" s="1" t="s">
        <v>18</v>
      </c>
      <c r="O3550" s="1">
        <v>3</v>
      </c>
      <c r="P3550" s="1">
        <v>6</v>
      </c>
      <c r="R3550" s="1" t="s">
        <v>19</v>
      </c>
      <c r="S3550" s="1" t="s">
        <v>20</v>
      </c>
      <c r="T3550" s="1" t="s">
        <v>21</v>
      </c>
      <c r="U3550" s="1" t="s">
        <v>22</v>
      </c>
      <c r="V3550" s="1" t="s">
        <v>24</v>
      </c>
      <c r="W3550" s="1" t="s">
        <v>24</v>
      </c>
      <c r="X3550" s="1">
        <v>2406</v>
      </c>
      <c r="Y3550" s="1" t="s">
        <v>24</v>
      </c>
      <c r="Z3550" s="1" t="s">
        <v>24</v>
      </c>
      <c r="AA3550" s="1" t="s">
        <v>24</v>
      </c>
      <c r="AB3550" s="1" t="s">
        <v>24</v>
      </c>
      <c r="AC3550" s="1" t="s">
        <v>24</v>
      </c>
      <c r="AD3550" s="1" t="s">
        <v>24</v>
      </c>
      <c r="AE3550" s="1" t="s">
        <v>24</v>
      </c>
      <c r="AF3550" s="22"/>
    </row>
    <row r="3551" spans="1:32" x14ac:dyDescent="0.2">
      <c r="A3551" s="1">
        <v>29606</v>
      </c>
      <c r="B3551" s="1" t="s">
        <v>10971</v>
      </c>
      <c r="C3551" s="5" t="s">
        <v>0</v>
      </c>
      <c r="D3551" s="1" t="s">
        <v>10972</v>
      </c>
      <c r="F3551" s="1" t="s">
        <v>10973</v>
      </c>
      <c r="G3551" s="1" t="s">
        <v>10973</v>
      </c>
      <c r="H3551" s="1" t="s">
        <v>1384</v>
      </c>
      <c r="I3551" s="1" t="s">
        <v>16</v>
      </c>
      <c r="J3551" s="1">
        <v>1</v>
      </c>
      <c r="K3551" s="1">
        <v>4</v>
      </c>
      <c r="L3551" s="1" t="s">
        <v>42</v>
      </c>
      <c r="M3551" s="1" t="s">
        <v>18</v>
      </c>
      <c r="N3551" s="1" t="s">
        <v>18</v>
      </c>
      <c r="O3551" s="1">
        <v>3</v>
      </c>
      <c r="P3551" s="1">
        <v>6</v>
      </c>
      <c r="R3551" s="1" t="s">
        <v>19</v>
      </c>
      <c r="S3551" s="1" t="s">
        <v>20</v>
      </c>
      <c r="T3551" s="1" t="s">
        <v>21</v>
      </c>
      <c r="U3551" s="1" t="s">
        <v>22</v>
      </c>
      <c r="V3551" s="1" t="s">
        <v>24</v>
      </c>
      <c r="W3551" s="1" t="s">
        <v>24</v>
      </c>
      <c r="X3551" s="1">
        <v>2747</v>
      </c>
      <c r="Y3551" s="1" t="s">
        <v>24</v>
      </c>
      <c r="Z3551" s="1" t="s">
        <v>24</v>
      </c>
      <c r="AA3551" s="1" t="s">
        <v>24</v>
      </c>
      <c r="AB3551" s="1" t="s">
        <v>24</v>
      </c>
      <c r="AC3551" s="1" t="s">
        <v>24</v>
      </c>
      <c r="AD3551" s="1" t="s">
        <v>24</v>
      </c>
      <c r="AE3551" s="1" t="s">
        <v>24</v>
      </c>
      <c r="AF3551" s="22"/>
    </row>
    <row r="3552" spans="1:32" x14ac:dyDescent="0.2">
      <c r="A3552" s="1">
        <v>29607</v>
      </c>
      <c r="B3552" s="1" t="s">
        <v>10974</v>
      </c>
      <c r="C3552" s="5" t="s">
        <v>0</v>
      </c>
      <c r="D3552" s="1" t="s">
        <v>10975</v>
      </c>
      <c r="E3552" s="1" t="s">
        <v>10976</v>
      </c>
      <c r="F3552" s="1" t="s">
        <v>6405</v>
      </c>
      <c r="G3552" s="1" t="s">
        <v>6406</v>
      </c>
      <c r="H3552" s="1" t="s">
        <v>92</v>
      </c>
      <c r="I3552" s="1" t="s">
        <v>16</v>
      </c>
      <c r="J3552" s="1">
        <v>1</v>
      </c>
      <c r="K3552" s="1">
        <v>4</v>
      </c>
      <c r="L3552" s="1" t="s">
        <v>31</v>
      </c>
      <c r="M3552" s="1" t="s">
        <v>18</v>
      </c>
      <c r="N3552" s="1" t="s">
        <v>18</v>
      </c>
      <c r="O3552" s="1">
        <v>3</v>
      </c>
      <c r="P3552" s="1">
        <v>7</v>
      </c>
      <c r="Q3552" s="7" t="s">
        <v>17633</v>
      </c>
      <c r="R3552" s="1" t="s">
        <v>19</v>
      </c>
      <c r="S3552" s="1" t="s">
        <v>20</v>
      </c>
      <c r="T3552" s="1" t="s">
        <v>21</v>
      </c>
      <c r="U3552" s="1" t="s">
        <v>22</v>
      </c>
      <c r="V3552" s="1" t="s">
        <v>24</v>
      </c>
      <c r="W3552" s="1" t="s">
        <v>24</v>
      </c>
      <c r="X3552" s="1">
        <v>2730</v>
      </c>
      <c r="Y3552" s="1">
        <v>1306</v>
      </c>
      <c r="Z3552" s="1">
        <v>1313</v>
      </c>
      <c r="AA3552" s="1" t="s">
        <v>24</v>
      </c>
      <c r="AB3552" s="1" t="s">
        <v>24</v>
      </c>
      <c r="AC3552" s="1" t="s">
        <v>24</v>
      </c>
      <c r="AD3552" s="1" t="s">
        <v>24</v>
      </c>
      <c r="AE3552" s="1" t="s">
        <v>24</v>
      </c>
      <c r="AF3552" s="22"/>
    </row>
    <row r="3553" spans="1:32" x14ac:dyDescent="0.2">
      <c r="A3553" s="1">
        <v>29608</v>
      </c>
      <c r="B3553" s="1" t="s">
        <v>10977</v>
      </c>
      <c r="C3553" s="5" t="s">
        <v>0</v>
      </c>
      <c r="D3553" s="1" t="s">
        <v>10978</v>
      </c>
      <c r="E3553" s="1" t="s">
        <v>10979</v>
      </c>
      <c r="F3553" s="1" t="s">
        <v>6405</v>
      </c>
      <c r="G3553" s="1" t="s">
        <v>6406</v>
      </c>
      <c r="H3553" s="1" t="s">
        <v>92</v>
      </c>
      <c r="I3553" s="1" t="s">
        <v>16</v>
      </c>
      <c r="J3553" s="1">
        <v>1</v>
      </c>
      <c r="K3553" s="1">
        <v>4</v>
      </c>
      <c r="L3553" s="1" t="s">
        <v>31</v>
      </c>
      <c r="M3553" s="1" t="s">
        <v>18</v>
      </c>
      <c r="N3553" s="1" t="s">
        <v>18</v>
      </c>
      <c r="O3553" s="1">
        <v>3</v>
      </c>
      <c r="P3553" s="1">
        <v>7</v>
      </c>
      <c r="Q3553" s="7" t="s">
        <v>17633</v>
      </c>
      <c r="R3553" s="1" t="s">
        <v>19</v>
      </c>
      <c r="S3553" s="1" t="s">
        <v>20</v>
      </c>
      <c r="T3553" s="1" t="s">
        <v>21</v>
      </c>
      <c r="U3553" s="1" t="s">
        <v>22</v>
      </c>
      <c r="V3553" s="1" t="s">
        <v>24</v>
      </c>
      <c r="W3553" s="1" t="s">
        <v>24</v>
      </c>
      <c r="X3553" s="1">
        <v>2705</v>
      </c>
      <c r="Y3553" s="1" t="s">
        <v>24</v>
      </c>
      <c r="Z3553" s="1" t="s">
        <v>24</v>
      </c>
      <c r="AA3553" s="1" t="s">
        <v>24</v>
      </c>
      <c r="AB3553" s="1" t="s">
        <v>24</v>
      </c>
      <c r="AC3553" s="1" t="s">
        <v>24</v>
      </c>
      <c r="AD3553" s="1" t="s">
        <v>24</v>
      </c>
      <c r="AE3553" s="1" t="s">
        <v>24</v>
      </c>
      <c r="AF3553" s="22"/>
    </row>
    <row r="3554" spans="1:32" x14ac:dyDescent="0.2">
      <c r="A3554" s="1">
        <v>29609</v>
      </c>
      <c r="B3554" s="1" t="s">
        <v>10980</v>
      </c>
      <c r="C3554" s="5" t="s">
        <v>0</v>
      </c>
      <c r="D3554" s="1" t="s">
        <v>10981</v>
      </c>
      <c r="E3554" s="1" t="s">
        <v>10982</v>
      </c>
      <c r="F3554" s="1" t="s">
        <v>6405</v>
      </c>
      <c r="G3554" s="1" t="s">
        <v>6406</v>
      </c>
      <c r="H3554" s="1" t="s">
        <v>92</v>
      </c>
      <c r="I3554" s="1" t="s">
        <v>16</v>
      </c>
      <c r="J3554" s="1">
        <v>1</v>
      </c>
      <c r="K3554" s="1">
        <v>4</v>
      </c>
      <c r="L3554" s="1" t="s">
        <v>31</v>
      </c>
      <c r="M3554" s="1" t="s">
        <v>18</v>
      </c>
      <c r="N3554" s="1" t="s">
        <v>18</v>
      </c>
      <c r="O3554" s="1">
        <v>3</v>
      </c>
      <c r="P3554" s="1">
        <v>6</v>
      </c>
      <c r="R3554" s="1" t="s">
        <v>19</v>
      </c>
      <c r="S3554" s="1" t="s">
        <v>20</v>
      </c>
      <c r="T3554" s="1" t="s">
        <v>21</v>
      </c>
      <c r="U3554" s="1" t="s">
        <v>22</v>
      </c>
      <c r="V3554" s="1" t="s">
        <v>24</v>
      </c>
      <c r="W3554" s="1" t="s">
        <v>24</v>
      </c>
      <c r="X3554" s="1">
        <v>3002</v>
      </c>
      <c r="Y3554" s="1">
        <v>1313</v>
      </c>
      <c r="Z3554" s="1" t="s">
        <v>24</v>
      </c>
      <c r="AA3554" s="1" t="s">
        <v>24</v>
      </c>
      <c r="AB3554" s="1" t="s">
        <v>24</v>
      </c>
      <c r="AC3554" s="1" t="s">
        <v>24</v>
      </c>
      <c r="AD3554" s="1" t="s">
        <v>24</v>
      </c>
      <c r="AE3554" s="1" t="s">
        <v>24</v>
      </c>
      <c r="AF3554" s="22"/>
    </row>
    <row r="3555" spans="1:32" x14ac:dyDescent="0.2">
      <c r="A3555" s="1">
        <v>29610</v>
      </c>
      <c r="B3555" s="1" t="s">
        <v>10983</v>
      </c>
      <c r="C3555" s="5" t="s">
        <v>0</v>
      </c>
      <c r="D3555" s="1" t="s">
        <v>10984</v>
      </c>
      <c r="E3555" s="1" t="s">
        <v>10985</v>
      </c>
      <c r="F3555" s="1" t="s">
        <v>6405</v>
      </c>
      <c r="G3555" s="1" t="s">
        <v>6406</v>
      </c>
      <c r="H3555" s="1" t="s">
        <v>92</v>
      </c>
      <c r="I3555" s="1" t="s">
        <v>16</v>
      </c>
      <c r="J3555" s="1">
        <v>1</v>
      </c>
      <c r="K3555" s="1">
        <v>4</v>
      </c>
      <c r="L3555" s="1" t="s">
        <v>31</v>
      </c>
      <c r="M3555" s="1" t="s">
        <v>18</v>
      </c>
      <c r="N3555" s="1" t="s">
        <v>18</v>
      </c>
      <c r="O3555" s="1">
        <v>3</v>
      </c>
      <c r="P3555" s="1">
        <v>7</v>
      </c>
      <c r="Q3555" s="7" t="s">
        <v>17633</v>
      </c>
      <c r="R3555" s="1" t="s">
        <v>19</v>
      </c>
      <c r="S3555" s="1" t="s">
        <v>20</v>
      </c>
      <c r="T3555" s="1" t="s">
        <v>21</v>
      </c>
      <c r="U3555" s="1" t="s">
        <v>22</v>
      </c>
      <c r="V3555" s="1" t="s">
        <v>23</v>
      </c>
      <c r="W3555" s="1" t="s">
        <v>24</v>
      </c>
      <c r="X3555" s="1">
        <v>2712</v>
      </c>
      <c r="Y3555" s="1">
        <v>1310</v>
      </c>
      <c r="Z3555" s="1" t="s">
        <v>24</v>
      </c>
      <c r="AA3555" s="1" t="s">
        <v>24</v>
      </c>
      <c r="AB3555" s="1" t="s">
        <v>24</v>
      </c>
      <c r="AC3555" s="1" t="s">
        <v>24</v>
      </c>
      <c r="AD3555" s="1" t="s">
        <v>24</v>
      </c>
      <c r="AE3555" s="1" t="s">
        <v>24</v>
      </c>
      <c r="AF3555" s="22"/>
    </row>
    <row r="3556" spans="1:32" x14ac:dyDescent="0.2">
      <c r="A3556" s="1">
        <v>29611</v>
      </c>
      <c r="B3556" s="1" t="s">
        <v>10986</v>
      </c>
      <c r="C3556" s="5" t="s">
        <v>0</v>
      </c>
      <c r="D3556" s="1" t="s">
        <v>10987</v>
      </c>
      <c r="E3556" s="1" t="s">
        <v>10988</v>
      </c>
      <c r="F3556" s="1" t="s">
        <v>6405</v>
      </c>
      <c r="G3556" s="1" t="s">
        <v>6406</v>
      </c>
      <c r="H3556" s="1" t="s">
        <v>92</v>
      </c>
      <c r="I3556" s="1" t="s">
        <v>16</v>
      </c>
      <c r="J3556" s="1">
        <v>1</v>
      </c>
      <c r="K3556" s="1">
        <v>4</v>
      </c>
      <c r="L3556" s="1" t="s">
        <v>31</v>
      </c>
      <c r="M3556" s="1" t="s">
        <v>18</v>
      </c>
      <c r="N3556" s="1" t="s">
        <v>18</v>
      </c>
      <c r="O3556" s="1">
        <v>3</v>
      </c>
      <c r="P3556" s="1">
        <v>6</v>
      </c>
      <c r="R3556" s="1" t="s">
        <v>19</v>
      </c>
      <c r="S3556" s="1" t="s">
        <v>20</v>
      </c>
      <c r="T3556" s="1" t="s">
        <v>21</v>
      </c>
      <c r="U3556" s="1" t="s">
        <v>22</v>
      </c>
      <c r="V3556" s="1" t="s">
        <v>24</v>
      </c>
      <c r="W3556" s="1" t="s">
        <v>24</v>
      </c>
      <c r="X3556" s="1">
        <v>1303</v>
      </c>
      <c r="Y3556" s="1">
        <v>1313</v>
      </c>
      <c r="Z3556" s="1">
        <v>3002</v>
      </c>
      <c r="AA3556" s="1" t="s">
        <v>24</v>
      </c>
      <c r="AB3556" s="1" t="s">
        <v>24</v>
      </c>
      <c r="AC3556" s="1" t="s">
        <v>24</v>
      </c>
      <c r="AD3556" s="1" t="s">
        <v>24</v>
      </c>
      <c r="AE3556" s="1" t="s">
        <v>24</v>
      </c>
      <c r="AF3556" s="22"/>
    </row>
    <row r="3557" spans="1:32" x14ac:dyDescent="0.2">
      <c r="A3557" s="1">
        <v>29612</v>
      </c>
      <c r="B3557" s="1" t="s">
        <v>10989</v>
      </c>
      <c r="C3557" s="5" t="s">
        <v>0</v>
      </c>
      <c r="D3557" s="1" t="s">
        <v>10990</v>
      </c>
      <c r="E3557" s="1" t="s">
        <v>10991</v>
      </c>
      <c r="F3557" s="1" t="s">
        <v>6405</v>
      </c>
      <c r="G3557" s="1" t="s">
        <v>6406</v>
      </c>
      <c r="H3557" s="1" t="s">
        <v>92</v>
      </c>
      <c r="I3557" s="1" t="s">
        <v>16</v>
      </c>
      <c r="J3557" s="1">
        <v>1</v>
      </c>
      <c r="K3557" s="1">
        <v>4</v>
      </c>
      <c r="L3557" s="1" t="s">
        <v>31</v>
      </c>
      <c r="M3557" s="1" t="s">
        <v>18</v>
      </c>
      <c r="N3557" s="1" t="s">
        <v>18</v>
      </c>
      <c r="O3557" s="1">
        <v>3</v>
      </c>
      <c r="P3557" s="1">
        <v>7</v>
      </c>
      <c r="Q3557" s="7" t="s">
        <v>17633</v>
      </c>
      <c r="R3557" s="1" t="s">
        <v>19</v>
      </c>
      <c r="S3557" s="1" t="s">
        <v>20</v>
      </c>
      <c r="T3557" s="1" t="s">
        <v>21</v>
      </c>
      <c r="U3557" s="1" t="s">
        <v>22</v>
      </c>
      <c r="V3557" s="1" t="s">
        <v>24</v>
      </c>
      <c r="W3557" s="1" t="s">
        <v>24</v>
      </c>
      <c r="X3557" s="1">
        <v>2724</v>
      </c>
      <c r="Y3557" s="1" t="s">
        <v>24</v>
      </c>
      <c r="Z3557" s="1" t="s">
        <v>24</v>
      </c>
      <c r="AA3557" s="1" t="s">
        <v>24</v>
      </c>
      <c r="AB3557" s="1" t="s">
        <v>24</v>
      </c>
      <c r="AC3557" s="1" t="s">
        <v>24</v>
      </c>
      <c r="AD3557" s="1" t="s">
        <v>24</v>
      </c>
      <c r="AE3557" s="1" t="s">
        <v>24</v>
      </c>
      <c r="AF3557" s="22"/>
    </row>
    <row r="3558" spans="1:32" x14ac:dyDescent="0.2">
      <c r="A3558" s="1">
        <v>29613</v>
      </c>
      <c r="B3558" s="1" t="s">
        <v>10992</v>
      </c>
      <c r="C3558" s="5" t="s">
        <v>0</v>
      </c>
      <c r="D3558" s="1" t="s">
        <v>10993</v>
      </c>
      <c r="E3558" s="1" t="s">
        <v>10991</v>
      </c>
      <c r="F3558" s="1" t="s">
        <v>6405</v>
      </c>
      <c r="G3558" s="1" t="s">
        <v>6406</v>
      </c>
      <c r="H3558" s="1" t="s">
        <v>92</v>
      </c>
      <c r="I3558" s="1" t="s">
        <v>16</v>
      </c>
      <c r="J3558" s="1">
        <v>1</v>
      </c>
      <c r="K3558" s="1">
        <v>4</v>
      </c>
      <c r="L3558" s="1" t="s">
        <v>31</v>
      </c>
      <c r="M3558" s="1" t="s">
        <v>18</v>
      </c>
      <c r="N3558" s="1" t="s">
        <v>18</v>
      </c>
      <c r="O3558" s="1">
        <v>3</v>
      </c>
      <c r="P3558" s="1">
        <v>7</v>
      </c>
      <c r="Q3558" s="7" t="s">
        <v>17633</v>
      </c>
      <c r="R3558" s="1" t="s">
        <v>19</v>
      </c>
      <c r="S3558" s="1" t="s">
        <v>20</v>
      </c>
      <c r="T3558" s="1" t="s">
        <v>21</v>
      </c>
      <c r="U3558" s="1" t="s">
        <v>22</v>
      </c>
      <c r="V3558" s="1" t="s">
        <v>24</v>
      </c>
      <c r="W3558" s="1" t="s">
        <v>24</v>
      </c>
      <c r="X3558" s="1">
        <v>2741</v>
      </c>
      <c r="Y3558" s="1" t="s">
        <v>24</v>
      </c>
      <c r="Z3558" s="1" t="s">
        <v>24</v>
      </c>
      <c r="AA3558" s="1" t="s">
        <v>24</v>
      </c>
      <c r="AB3558" s="1" t="s">
        <v>24</v>
      </c>
      <c r="AC3558" s="1" t="s">
        <v>24</v>
      </c>
      <c r="AD3558" s="1" t="s">
        <v>24</v>
      </c>
      <c r="AE3558" s="1" t="s">
        <v>24</v>
      </c>
      <c r="AF3558" s="22"/>
    </row>
    <row r="3559" spans="1:32" x14ac:dyDescent="0.2">
      <c r="A3559" s="1">
        <v>29614</v>
      </c>
      <c r="B3559" s="1" t="s">
        <v>10994</v>
      </c>
      <c r="C3559" s="5" t="s">
        <v>0</v>
      </c>
      <c r="D3559" s="1" t="s">
        <v>10995</v>
      </c>
      <c r="E3559" s="1" t="s">
        <v>10996</v>
      </c>
      <c r="F3559" s="1" t="s">
        <v>6405</v>
      </c>
      <c r="G3559" s="1" t="s">
        <v>6406</v>
      </c>
      <c r="H3559" s="1" t="s">
        <v>92</v>
      </c>
      <c r="I3559" s="1" t="s">
        <v>16</v>
      </c>
      <c r="J3559" s="1">
        <v>1</v>
      </c>
      <c r="K3559" s="1">
        <v>4</v>
      </c>
      <c r="L3559" s="1" t="s">
        <v>31</v>
      </c>
      <c r="M3559" s="1" t="s">
        <v>18</v>
      </c>
      <c r="N3559" s="1" t="s">
        <v>18</v>
      </c>
      <c r="O3559" s="1">
        <v>3</v>
      </c>
      <c r="P3559" s="1">
        <v>7</v>
      </c>
      <c r="Q3559" s="7" t="s">
        <v>17633</v>
      </c>
      <c r="R3559" s="1" t="s">
        <v>19</v>
      </c>
      <c r="S3559" s="1" t="s">
        <v>20</v>
      </c>
      <c r="T3559" s="1" t="s">
        <v>21</v>
      </c>
      <c r="U3559" s="1" t="s">
        <v>22</v>
      </c>
      <c r="V3559" s="1" t="s">
        <v>24</v>
      </c>
      <c r="W3559" s="1" t="s">
        <v>24</v>
      </c>
      <c r="X3559" s="1">
        <v>2403</v>
      </c>
      <c r="Y3559" s="1">
        <v>2723</v>
      </c>
      <c r="Z3559" s="1" t="s">
        <v>24</v>
      </c>
      <c r="AA3559" s="1" t="s">
        <v>24</v>
      </c>
      <c r="AB3559" s="1" t="s">
        <v>24</v>
      </c>
      <c r="AC3559" s="1" t="s">
        <v>24</v>
      </c>
      <c r="AD3559" s="1" t="s">
        <v>24</v>
      </c>
      <c r="AE3559" s="1" t="s">
        <v>24</v>
      </c>
      <c r="AF3559" s="22"/>
    </row>
    <row r="3560" spans="1:32" x14ac:dyDescent="0.2">
      <c r="A3560" s="1">
        <v>29615</v>
      </c>
      <c r="B3560" s="1" t="s">
        <v>10997</v>
      </c>
      <c r="C3560" s="5" t="s">
        <v>0</v>
      </c>
      <c r="D3560" s="1" t="s">
        <v>10998</v>
      </c>
      <c r="E3560" s="1" t="s">
        <v>10999</v>
      </c>
      <c r="F3560" s="1" t="s">
        <v>6405</v>
      </c>
      <c r="G3560" s="1" t="s">
        <v>6406</v>
      </c>
      <c r="H3560" s="1" t="s">
        <v>92</v>
      </c>
      <c r="I3560" s="1" t="s">
        <v>16</v>
      </c>
      <c r="J3560" s="1">
        <v>1</v>
      </c>
      <c r="K3560" s="1">
        <v>4</v>
      </c>
      <c r="L3560" s="1" t="s">
        <v>31</v>
      </c>
      <c r="M3560" s="1" t="s">
        <v>18</v>
      </c>
      <c r="N3560" s="1" t="s">
        <v>18</v>
      </c>
      <c r="O3560" s="1">
        <v>3</v>
      </c>
      <c r="P3560" s="1">
        <v>7</v>
      </c>
      <c r="Q3560" s="7" t="s">
        <v>17633</v>
      </c>
      <c r="R3560" s="1" t="s">
        <v>19</v>
      </c>
      <c r="S3560" s="1" t="s">
        <v>20</v>
      </c>
      <c r="T3560" s="1" t="s">
        <v>21</v>
      </c>
      <c r="U3560" s="1" t="s">
        <v>22</v>
      </c>
      <c r="V3560" s="1" t="s">
        <v>24</v>
      </c>
      <c r="W3560" s="1" t="s">
        <v>24</v>
      </c>
      <c r="X3560" s="1">
        <v>2916</v>
      </c>
      <c r="Y3560" s="1">
        <v>2739</v>
      </c>
      <c r="Z3560" s="1">
        <v>1106</v>
      </c>
      <c r="AA3560" s="1" t="s">
        <v>24</v>
      </c>
      <c r="AB3560" s="1" t="s">
        <v>24</v>
      </c>
      <c r="AC3560" s="1" t="s">
        <v>24</v>
      </c>
      <c r="AD3560" s="1" t="s">
        <v>24</v>
      </c>
      <c r="AE3560" s="1" t="s">
        <v>24</v>
      </c>
      <c r="AF3560" s="22"/>
    </row>
    <row r="3561" spans="1:32" x14ac:dyDescent="0.2">
      <c r="A3561" s="1">
        <v>29616</v>
      </c>
      <c r="B3561" s="1" t="s">
        <v>11000</v>
      </c>
      <c r="C3561" s="5" t="s">
        <v>0</v>
      </c>
      <c r="D3561" s="1" t="s">
        <v>11001</v>
      </c>
      <c r="E3561" s="1" t="s">
        <v>11002</v>
      </c>
      <c r="F3561" s="1" t="s">
        <v>6405</v>
      </c>
      <c r="G3561" s="1" t="s">
        <v>6406</v>
      </c>
      <c r="H3561" s="1" t="s">
        <v>92</v>
      </c>
      <c r="I3561" s="1" t="s">
        <v>16</v>
      </c>
      <c r="J3561" s="1">
        <v>1</v>
      </c>
      <c r="K3561" s="1">
        <v>4</v>
      </c>
      <c r="L3561" s="1" t="s">
        <v>31</v>
      </c>
      <c r="M3561" s="1" t="s">
        <v>18</v>
      </c>
      <c r="N3561" s="1" t="s">
        <v>18</v>
      </c>
      <c r="O3561" s="1">
        <v>3</v>
      </c>
      <c r="P3561" s="1">
        <v>7</v>
      </c>
      <c r="Q3561" s="7" t="s">
        <v>17633</v>
      </c>
      <c r="R3561" s="1" t="s">
        <v>19</v>
      </c>
      <c r="S3561" s="1" t="s">
        <v>20</v>
      </c>
      <c r="T3561" s="1" t="s">
        <v>21</v>
      </c>
      <c r="U3561" s="1" t="s">
        <v>22</v>
      </c>
      <c r="V3561" s="1" t="s">
        <v>24</v>
      </c>
      <c r="W3561" s="1" t="s">
        <v>24</v>
      </c>
      <c r="X3561" s="1">
        <v>2735</v>
      </c>
      <c r="Y3561" s="1" t="s">
        <v>24</v>
      </c>
      <c r="Z3561" s="1" t="s">
        <v>24</v>
      </c>
      <c r="AA3561" s="1" t="s">
        <v>24</v>
      </c>
      <c r="AB3561" s="1" t="s">
        <v>24</v>
      </c>
      <c r="AC3561" s="1" t="s">
        <v>24</v>
      </c>
      <c r="AD3561" s="1" t="s">
        <v>24</v>
      </c>
      <c r="AE3561" s="1" t="s">
        <v>24</v>
      </c>
      <c r="AF3561" s="22"/>
    </row>
    <row r="3562" spans="1:32" x14ac:dyDescent="0.2">
      <c r="A3562" s="1">
        <v>29617</v>
      </c>
      <c r="B3562" s="1" t="s">
        <v>11003</v>
      </c>
      <c r="C3562" s="5" t="s">
        <v>0</v>
      </c>
      <c r="D3562" s="1" t="s">
        <v>11004</v>
      </c>
      <c r="E3562" s="1" t="s">
        <v>11005</v>
      </c>
      <c r="F3562" s="1" t="s">
        <v>6405</v>
      </c>
      <c r="G3562" s="1" t="s">
        <v>6406</v>
      </c>
      <c r="H3562" s="1" t="s">
        <v>92</v>
      </c>
      <c r="I3562" s="1" t="s">
        <v>16</v>
      </c>
      <c r="J3562" s="1">
        <v>1</v>
      </c>
      <c r="K3562" s="1">
        <v>4</v>
      </c>
      <c r="L3562" s="1" t="s">
        <v>31</v>
      </c>
      <c r="M3562" s="1" t="s">
        <v>18</v>
      </c>
      <c r="N3562" s="1" t="s">
        <v>18</v>
      </c>
      <c r="O3562" s="1">
        <v>3</v>
      </c>
      <c r="P3562" s="1">
        <v>7</v>
      </c>
      <c r="Q3562" s="7" t="s">
        <v>17633</v>
      </c>
      <c r="R3562" s="1" t="s">
        <v>19</v>
      </c>
      <c r="S3562" s="1" t="s">
        <v>20</v>
      </c>
      <c r="T3562" s="1" t="s">
        <v>21</v>
      </c>
      <c r="U3562" s="1" t="s">
        <v>22</v>
      </c>
      <c r="V3562" s="1" t="s">
        <v>24</v>
      </c>
      <c r="W3562" s="1" t="s">
        <v>24</v>
      </c>
      <c r="X3562" s="1">
        <v>3003</v>
      </c>
      <c r="Y3562" s="1">
        <v>1313</v>
      </c>
      <c r="Z3562" s="1">
        <v>1303</v>
      </c>
      <c r="AA3562" s="1">
        <v>1304</v>
      </c>
      <c r="AB3562" s="1" t="s">
        <v>24</v>
      </c>
      <c r="AC3562" s="1" t="s">
        <v>24</v>
      </c>
      <c r="AD3562" s="1" t="s">
        <v>24</v>
      </c>
      <c r="AE3562" s="1" t="s">
        <v>24</v>
      </c>
      <c r="AF3562" s="22"/>
    </row>
    <row r="3563" spans="1:32" x14ac:dyDescent="0.2">
      <c r="A3563" s="1">
        <v>29618</v>
      </c>
      <c r="B3563" s="1" t="s">
        <v>11006</v>
      </c>
      <c r="C3563" s="5" t="s">
        <v>0</v>
      </c>
      <c r="D3563" s="1" t="s">
        <v>11007</v>
      </c>
      <c r="E3563" s="1" t="s">
        <v>11008</v>
      </c>
      <c r="F3563" s="1" t="s">
        <v>6405</v>
      </c>
      <c r="G3563" s="1" t="s">
        <v>6406</v>
      </c>
      <c r="H3563" s="1" t="s">
        <v>92</v>
      </c>
      <c r="I3563" s="1" t="s">
        <v>16</v>
      </c>
      <c r="J3563" s="1">
        <v>1</v>
      </c>
      <c r="K3563" s="1">
        <v>4</v>
      </c>
      <c r="L3563" s="1" t="s">
        <v>31</v>
      </c>
      <c r="M3563" s="1" t="s">
        <v>18</v>
      </c>
      <c r="N3563" s="1" t="s">
        <v>18</v>
      </c>
      <c r="O3563" s="1">
        <v>3</v>
      </c>
      <c r="P3563" s="1">
        <v>7</v>
      </c>
      <c r="Q3563" s="7" t="s">
        <v>17633</v>
      </c>
      <c r="R3563" s="1" t="s">
        <v>19</v>
      </c>
      <c r="S3563" s="1" t="s">
        <v>20</v>
      </c>
      <c r="T3563" s="1" t="s">
        <v>21</v>
      </c>
      <c r="U3563" s="1" t="s">
        <v>22</v>
      </c>
      <c r="V3563" s="1" t="s">
        <v>24</v>
      </c>
      <c r="W3563" s="1" t="s">
        <v>24</v>
      </c>
      <c r="X3563" s="1">
        <v>2738</v>
      </c>
      <c r="Y3563" s="1" t="s">
        <v>24</v>
      </c>
      <c r="Z3563" s="1" t="s">
        <v>24</v>
      </c>
      <c r="AA3563" s="1" t="s">
        <v>24</v>
      </c>
      <c r="AB3563" s="1" t="s">
        <v>24</v>
      </c>
      <c r="AC3563" s="1" t="s">
        <v>24</v>
      </c>
      <c r="AD3563" s="1" t="s">
        <v>24</v>
      </c>
      <c r="AE3563" s="1" t="s">
        <v>24</v>
      </c>
      <c r="AF3563" s="22"/>
    </row>
    <row r="3564" spans="1:32" x14ac:dyDescent="0.2">
      <c r="A3564" s="1">
        <v>29619</v>
      </c>
      <c r="B3564" s="1" t="s">
        <v>11009</v>
      </c>
      <c r="C3564" s="5" t="s">
        <v>0</v>
      </c>
      <c r="D3564" s="1" t="s">
        <v>11010</v>
      </c>
      <c r="E3564" s="1" t="s">
        <v>11011</v>
      </c>
      <c r="F3564" s="1" t="s">
        <v>6405</v>
      </c>
      <c r="G3564" s="1" t="s">
        <v>6406</v>
      </c>
      <c r="H3564" s="1" t="s">
        <v>92</v>
      </c>
      <c r="I3564" s="1" t="s">
        <v>16</v>
      </c>
      <c r="J3564" s="1">
        <v>1</v>
      </c>
      <c r="K3564" s="1">
        <v>4</v>
      </c>
      <c r="L3564" s="1" t="s">
        <v>31</v>
      </c>
      <c r="M3564" s="1" t="s">
        <v>18</v>
      </c>
      <c r="N3564" s="1" t="s">
        <v>18</v>
      </c>
      <c r="O3564" s="1">
        <v>3</v>
      </c>
      <c r="P3564" s="1">
        <v>7</v>
      </c>
      <c r="Q3564" s="7" t="s">
        <v>17633</v>
      </c>
      <c r="R3564" s="1" t="s">
        <v>19</v>
      </c>
      <c r="S3564" s="1" t="s">
        <v>20</v>
      </c>
      <c r="T3564" s="1" t="s">
        <v>21</v>
      </c>
      <c r="U3564" s="1" t="s">
        <v>22</v>
      </c>
      <c r="V3564" s="1" t="s">
        <v>24</v>
      </c>
      <c r="W3564" s="1" t="s">
        <v>24</v>
      </c>
      <c r="X3564" s="1">
        <v>2740</v>
      </c>
      <c r="Y3564" s="1" t="s">
        <v>24</v>
      </c>
      <c r="Z3564" s="1" t="s">
        <v>24</v>
      </c>
      <c r="AA3564" s="1" t="s">
        <v>24</v>
      </c>
      <c r="AB3564" s="1" t="s">
        <v>24</v>
      </c>
      <c r="AC3564" s="1" t="s">
        <v>24</v>
      </c>
      <c r="AD3564" s="1" t="s">
        <v>24</v>
      </c>
      <c r="AE3564" s="1" t="s">
        <v>24</v>
      </c>
      <c r="AF3564" s="22"/>
    </row>
    <row r="3565" spans="1:32" x14ac:dyDescent="0.2">
      <c r="A3565" s="1">
        <v>29620</v>
      </c>
      <c r="B3565" s="1" t="s">
        <v>11012</v>
      </c>
      <c r="C3565" s="5" t="s">
        <v>0</v>
      </c>
      <c r="D3565" s="1" t="s">
        <v>11013</v>
      </c>
      <c r="E3565" s="1" t="s">
        <v>11014</v>
      </c>
      <c r="F3565" s="1" t="s">
        <v>6405</v>
      </c>
      <c r="G3565" s="1" t="s">
        <v>6406</v>
      </c>
      <c r="H3565" s="1" t="s">
        <v>92</v>
      </c>
      <c r="I3565" s="1" t="s">
        <v>16</v>
      </c>
      <c r="J3565" s="1">
        <v>1</v>
      </c>
      <c r="K3565" s="1">
        <v>3</v>
      </c>
      <c r="L3565" s="1" t="s">
        <v>31</v>
      </c>
      <c r="M3565" s="1" t="s">
        <v>18</v>
      </c>
      <c r="N3565" s="1" t="s">
        <v>18</v>
      </c>
      <c r="O3565" s="1">
        <v>3</v>
      </c>
      <c r="P3565" s="1">
        <v>7</v>
      </c>
      <c r="Q3565" s="7" t="s">
        <v>17633</v>
      </c>
      <c r="R3565" s="1" t="s">
        <v>19</v>
      </c>
      <c r="S3565" s="1" t="s">
        <v>20</v>
      </c>
      <c r="T3565" s="1" t="s">
        <v>21</v>
      </c>
      <c r="U3565" s="1" t="s">
        <v>22</v>
      </c>
      <c r="V3565" s="1" t="s">
        <v>24</v>
      </c>
      <c r="W3565" s="1" t="s">
        <v>24</v>
      </c>
      <c r="X3565" s="1">
        <v>2745</v>
      </c>
      <c r="Y3565" s="1" t="s">
        <v>24</v>
      </c>
      <c r="Z3565" s="1" t="s">
        <v>24</v>
      </c>
      <c r="AA3565" s="1" t="s">
        <v>24</v>
      </c>
      <c r="AB3565" s="1" t="s">
        <v>24</v>
      </c>
      <c r="AC3565" s="1" t="s">
        <v>24</v>
      </c>
      <c r="AD3565" s="1" t="s">
        <v>24</v>
      </c>
      <c r="AE3565" s="1" t="s">
        <v>24</v>
      </c>
      <c r="AF3565" s="22"/>
    </row>
    <row r="3566" spans="1:32" x14ac:dyDescent="0.2">
      <c r="A3566" s="1">
        <v>29621</v>
      </c>
      <c r="B3566" s="1" t="s">
        <v>11015</v>
      </c>
      <c r="C3566" s="5" t="s">
        <v>0</v>
      </c>
      <c r="D3566" s="1" t="s">
        <v>11016</v>
      </c>
      <c r="E3566" s="1" t="s">
        <v>11017</v>
      </c>
      <c r="F3566" s="1" t="s">
        <v>6405</v>
      </c>
      <c r="G3566" s="1" t="s">
        <v>6406</v>
      </c>
      <c r="H3566" s="1" t="s">
        <v>92</v>
      </c>
      <c r="I3566" s="1" t="s">
        <v>16</v>
      </c>
      <c r="J3566" s="1">
        <v>1</v>
      </c>
      <c r="K3566" s="1">
        <v>4</v>
      </c>
      <c r="L3566" s="1" t="s">
        <v>31</v>
      </c>
      <c r="M3566" s="1" t="s">
        <v>18</v>
      </c>
      <c r="N3566" s="1" t="s">
        <v>18</v>
      </c>
      <c r="O3566" s="1">
        <v>3</v>
      </c>
      <c r="P3566" s="1">
        <v>7</v>
      </c>
      <c r="Q3566" s="7" t="s">
        <v>17633</v>
      </c>
      <c r="R3566" s="1" t="s">
        <v>19</v>
      </c>
      <c r="S3566" s="1" t="s">
        <v>20</v>
      </c>
      <c r="T3566" s="1" t="s">
        <v>21</v>
      </c>
      <c r="U3566" s="1" t="s">
        <v>22</v>
      </c>
      <c r="V3566" s="1" t="s">
        <v>24</v>
      </c>
      <c r="W3566" s="1" t="s">
        <v>24</v>
      </c>
      <c r="X3566" s="1">
        <v>2729</v>
      </c>
      <c r="Y3566" s="1" t="s">
        <v>24</v>
      </c>
      <c r="Z3566" s="1" t="s">
        <v>24</v>
      </c>
      <c r="AA3566" s="1" t="s">
        <v>24</v>
      </c>
      <c r="AB3566" s="1" t="s">
        <v>24</v>
      </c>
      <c r="AC3566" s="1" t="s">
        <v>24</v>
      </c>
      <c r="AD3566" s="1" t="s">
        <v>24</v>
      </c>
      <c r="AE3566" s="1" t="s">
        <v>24</v>
      </c>
      <c r="AF3566" s="22"/>
    </row>
    <row r="3567" spans="1:32" x14ac:dyDescent="0.2">
      <c r="A3567" s="1">
        <v>29622</v>
      </c>
      <c r="B3567" s="1" t="s">
        <v>11018</v>
      </c>
      <c r="C3567" s="5" t="s">
        <v>0</v>
      </c>
      <c r="D3567" s="1" t="s">
        <v>11019</v>
      </c>
      <c r="E3567" s="1" t="s">
        <v>11020</v>
      </c>
      <c r="F3567" s="1" t="s">
        <v>6405</v>
      </c>
      <c r="G3567" s="1" t="s">
        <v>6406</v>
      </c>
      <c r="H3567" s="1" t="s">
        <v>92</v>
      </c>
      <c r="I3567" s="1" t="s">
        <v>16</v>
      </c>
      <c r="J3567" s="1">
        <v>1</v>
      </c>
      <c r="K3567" s="1">
        <v>6</v>
      </c>
      <c r="L3567" s="1" t="s">
        <v>31</v>
      </c>
      <c r="M3567" s="1" t="s">
        <v>18</v>
      </c>
      <c r="N3567" s="1" t="s">
        <v>18</v>
      </c>
      <c r="O3567" s="1">
        <v>3</v>
      </c>
      <c r="P3567" s="1">
        <v>7</v>
      </c>
      <c r="Q3567" s="7" t="s">
        <v>17633</v>
      </c>
      <c r="R3567" s="1" t="s">
        <v>19</v>
      </c>
      <c r="S3567" s="1" t="s">
        <v>20</v>
      </c>
      <c r="T3567" s="1" t="s">
        <v>21</v>
      </c>
      <c r="U3567" s="1" t="s">
        <v>22</v>
      </c>
      <c r="V3567" s="1" t="s">
        <v>24</v>
      </c>
      <c r="W3567" s="1" t="s">
        <v>64</v>
      </c>
      <c r="X3567" s="1">
        <v>3002</v>
      </c>
      <c r="Y3567" s="1" t="s">
        <v>24</v>
      </c>
      <c r="Z3567" s="1" t="s">
        <v>24</v>
      </c>
      <c r="AA3567" s="1" t="s">
        <v>24</v>
      </c>
      <c r="AB3567" s="1" t="s">
        <v>24</v>
      </c>
      <c r="AC3567" s="1" t="s">
        <v>24</v>
      </c>
      <c r="AD3567" s="1" t="s">
        <v>24</v>
      </c>
      <c r="AE3567" s="1" t="s">
        <v>24</v>
      </c>
      <c r="AF3567" s="22"/>
    </row>
    <row r="3568" spans="1:32" x14ac:dyDescent="0.2">
      <c r="A3568" s="1">
        <v>29623</v>
      </c>
      <c r="B3568" s="1" t="s">
        <v>11021</v>
      </c>
      <c r="C3568" s="5" t="s">
        <v>0</v>
      </c>
      <c r="D3568" s="1" t="s">
        <v>11022</v>
      </c>
      <c r="F3568" s="1" t="s">
        <v>6405</v>
      </c>
      <c r="G3568" s="1" t="s">
        <v>6406</v>
      </c>
      <c r="H3568" s="1" t="s">
        <v>92</v>
      </c>
      <c r="I3568" s="1" t="s">
        <v>112</v>
      </c>
      <c r="J3568" s="1">
        <v>0</v>
      </c>
      <c r="K3568" s="1">
        <v>0</v>
      </c>
      <c r="L3568" s="1" t="s">
        <v>31</v>
      </c>
      <c r="M3568" s="1" t="s">
        <v>18</v>
      </c>
      <c r="N3568" s="1" t="s">
        <v>18</v>
      </c>
      <c r="O3568" s="1">
        <v>2</v>
      </c>
      <c r="P3568" s="1">
        <v>7</v>
      </c>
      <c r="Q3568" s="7" t="s">
        <v>17633</v>
      </c>
      <c r="R3568" s="1" t="s">
        <v>19</v>
      </c>
      <c r="S3568" s="1" t="s">
        <v>20</v>
      </c>
      <c r="T3568" s="1" t="s">
        <v>21</v>
      </c>
      <c r="U3568" s="1" t="s">
        <v>22</v>
      </c>
      <c r="V3568" s="1" t="s">
        <v>24</v>
      </c>
      <c r="W3568" s="1" t="s">
        <v>24</v>
      </c>
      <c r="X3568" s="1">
        <v>3003</v>
      </c>
      <c r="Y3568" s="1">
        <v>3002</v>
      </c>
      <c r="Z3568" s="1">
        <v>1313</v>
      </c>
      <c r="AA3568" s="1" t="s">
        <v>24</v>
      </c>
      <c r="AB3568" s="1" t="s">
        <v>24</v>
      </c>
      <c r="AC3568" s="1" t="s">
        <v>24</v>
      </c>
      <c r="AD3568" s="1" t="s">
        <v>24</v>
      </c>
      <c r="AE3568" s="1" t="s">
        <v>24</v>
      </c>
      <c r="AF3568" s="22"/>
    </row>
    <row r="3569" spans="1:32" x14ac:dyDescent="0.2">
      <c r="A3569" s="1">
        <v>29624</v>
      </c>
      <c r="B3569" s="1" t="s">
        <v>11023</v>
      </c>
      <c r="C3569" s="5" t="s">
        <v>0</v>
      </c>
      <c r="D3569" s="1" t="s">
        <v>11022</v>
      </c>
      <c r="F3569" s="1" t="s">
        <v>6405</v>
      </c>
      <c r="G3569" s="1" t="s">
        <v>6406</v>
      </c>
      <c r="H3569" s="1" t="s">
        <v>92</v>
      </c>
      <c r="I3569" s="1" t="s">
        <v>112</v>
      </c>
      <c r="J3569" s="1">
        <v>0</v>
      </c>
      <c r="K3569" s="1">
        <v>0</v>
      </c>
      <c r="L3569" s="1" t="s">
        <v>31</v>
      </c>
      <c r="M3569" s="1" t="s">
        <v>18</v>
      </c>
      <c r="N3569" s="1" t="s">
        <v>18</v>
      </c>
      <c r="O3569" s="1">
        <v>2</v>
      </c>
      <c r="P3569" s="1">
        <v>7</v>
      </c>
      <c r="Q3569" s="7" t="s">
        <v>17633</v>
      </c>
      <c r="R3569" s="1" t="s">
        <v>19</v>
      </c>
      <c r="S3569" s="1" t="s">
        <v>20</v>
      </c>
      <c r="T3569" s="1" t="s">
        <v>21</v>
      </c>
      <c r="U3569" s="1" t="s">
        <v>22</v>
      </c>
      <c r="V3569" s="1" t="s">
        <v>24</v>
      </c>
      <c r="W3569" s="1" t="s">
        <v>24</v>
      </c>
      <c r="X3569" s="1">
        <v>1605</v>
      </c>
      <c r="Y3569" s="1">
        <v>1313</v>
      </c>
      <c r="Z3569" s="1">
        <v>3002</v>
      </c>
      <c r="AA3569" s="1" t="s">
        <v>24</v>
      </c>
      <c r="AB3569" s="1" t="s">
        <v>24</v>
      </c>
      <c r="AC3569" s="1" t="s">
        <v>24</v>
      </c>
      <c r="AD3569" s="1" t="s">
        <v>24</v>
      </c>
      <c r="AE3569" s="1" t="s">
        <v>24</v>
      </c>
      <c r="AF3569" s="22"/>
    </row>
    <row r="3570" spans="1:32" x14ac:dyDescent="0.2">
      <c r="A3570" s="1">
        <v>29625</v>
      </c>
      <c r="B3570" s="1" t="s">
        <v>11024</v>
      </c>
      <c r="C3570" s="5" t="s">
        <v>0</v>
      </c>
      <c r="E3570" s="1" t="s">
        <v>11025</v>
      </c>
      <c r="F3570" s="1" t="s">
        <v>1887</v>
      </c>
      <c r="G3570" s="1" t="s">
        <v>254</v>
      </c>
      <c r="H3570" s="1" t="s">
        <v>168</v>
      </c>
      <c r="I3570" s="1" t="s">
        <v>16</v>
      </c>
      <c r="J3570" s="1">
        <v>1</v>
      </c>
      <c r="K3570" s="1">
        <v>1</v>
      </c>
      <c r="L3570" s="1" t="s">
        <v>31</v>
      </c>
      <c r="M3570" s="1" t="s">
        <v>18</v>
      </c>
      <c r="N3570" s="1" t="s">
        <v>18</v>
      </c>
      <c r="O3570" s="1">
        <v>3</v>
      </c>
      <c r="P3570" s="1">
        <v>6</v>
      </c>
      <c r="R3570" s="1" t="s">
        <v>19</v>
      </c>
      <c r="S3570" s="1" t="s">
        <v>20</v>
      </c>
      <c r="T3570" s="1" t="s">
        <v>21</v>
      </c>
      <c r="U3570" s="1" t="s">
        <v>22</v>
      </c>
      <c r="V3570" s="1" t="s">
        <v>24</v>
      </c>
      <c r="W3570" s="1" t="s">
        <v>24</v>
      </c>
      <c r="X3570" s="1">
        <v>2707</v>
      </c>
      <c r="Y3570" s="1" t="s">
        <v>24</v>
      </c>
      <c r="Z3570" s="1" t="s">
        <v>24</v>
      </c>
      <c r="AA3570" s="1" t="s">
        <v>24</v>
      </c>
      <c r="AB3570" s="1" t="s">
        <v>24</v>
      </c>
      <c r="AC3570" s="1" t="s">
        <v>24</v>
      </c>
      <c r="AD3570" s="1" t="s">
        <v>24</v>
      </c>
      <c r="AE3570" s="1" t="s">
        <v>24</v>
      </c>
      <c r="AF3570" s="22"/>
    </row>
    <row r="3571" spans="1:32" x14ac:dyDescent="0.2">
      <c r="A3571" s="1">
        <v>29626</v>
      </c>
      <c r="B3571" s="1" t="s">
        <v>11026</v>
      </c>
      <c r="C3571" s="5" t="s">
        <v>0</v>
      </c>
      <c r="E3571" s="1" t="s">
        <v>11027</v>
      </c>
      <c r="F3571" s="1" t="s">
        <v>1887</v>
      </c>
      <c r="G3571" s="1" t="s">
        <v>254</v>
      </c>
      <c r="H3571" s="1" t="s">
        <v>168</v>
      </c>
      <c r="I3571" s="1" t="s">
        <v>16</v>
      </c>
      <c r="J3571" s="1">
        <v>1</v>
      </c>
      <c r="K3571" s="1">
        <v>1</v>
      </c>
      <c r="L3571" s="1" t="s">
        <v>31</v>
      </c>
      <c r="M3571" s="1" t="s">
        <v>18</v>
      </c>
      <c r="N3571" s="1" t="s">
        <v>18</v>
      </c>
      <c r="O3571" s="1">
        <v>3</v>
      </c>
      <c r="P3571" s="1">
        <v>6</v>
      </c>
      <c r="R3571" s="1" t="s">
        <v>19</v>
      </c>
      <c r="S3571" s="1" t="s">
        <v>20</v>
      </c>
      <c r="T3571" s="1" t="s">
        <v>21</v>
      </c>
      <c r="U3571" s="1" t="s">
        <v>22</v>
      </c>
      <c r="V3571" s="1" t="s">
        <v>24</v>
      </c>
      <c r="W3571" s="1" t="s">
        <v>24</v>
      </c>
      <c r="X3571" s="1">
        <v>2700</v>
      </c>
      <c r="Y3571" s="1">
        <v>1804</v>
      </c>
      <c r="Z3571" s="1">
        <v>2613</v>
      </c>
      <c r="AA3571" s="1" t="s">
        <v>24</v>
      </c>
      <c r="AB3571" s="1" t="s">
        <v>24</v>
      </c>
      <c r="AC3571" s="1" t="s">
        <v>24</v>
      </c>
      <c r="AD3571" s="1" t="s">
        <v>24</v>
      </c>
      <c r="AE3571" s="1" t="s">
        <v>24</v>
      </c>
      <c r="AF3571" s="22"/>
    </row>
    <row r="3572" spans="1:32" x14ac:dyDescent="0.2">
      <c r="A3572" s="1">
        <v>29629</v>
      </c>
      <c r="B3572" s="1" t="s">
        <v>11028</v>
      </c>
      <c r="C3572" s="5" t="s">
        <v>0</v>
      </c>
      <c r="E3572" s="1" t="s">
        <v>11029</v>
      </c>
      <c r="F3572" s="1" t="s">
        <v>2299</v>
      </c>
      <c r="G3572" s="1" t="s">
        <v>2300</v>
      </c>
      <c r="H3572" s="1" t="s">
        <v>37</v>
      </c>
      <c r="I3572" s="1" t="s">
        <v>16</v>
      </c>
      <c r="J3572" s="1">
        <v>1</v>
      </c>
      <c r="K3572" s="1">
        <v>1</v>
      </c>
      <c r="L3572" s="1" t="s">
        <v>31</v>
      </c>
      <c r="M3572" s="1" t="s">
        <v>18</v>
      </c>
      <c r="N3572" s="1" t="s">
        <v>18</v>
      </c>
      <c r="O3572" s="1">
        <v>3</v>
      </c>
      <c r="P3572" s="1">
        <v>7</v>
      </c>
      <c r="Q3572" s="7" t="s">
        <v>17633</v>
      </c>
      <c r="R3572" s="1" t="s">
        <v>19</v>
      </c>
      <c r="S3572" s="1" t="s">
        <v>63</v>
      </c>
      <c r="T3572" s="1" t="s">
        <v>21</v>
      </c>
      <c r="U3572" s="1" t="s">
        <v>22</v>
      </c>
      <c r="V3572" s="1" t="s">
        <v>24</v>
      </c>
      <c r="W3572" s="1" t="s">
        <v>24</v>
      </c>
      <c r="X3572" s="1">
        <v>2406</v>
      </c>
      <c r="Y3572" s="1">
        <v>1313</v>
      </c>
      <c r="Z3572" s="1">
        <v>2736</v>
      </c>
      <c r="AA3572" s="1" t="s">
        <v>24</v>
      </c>
      <c r="AB3572" s="1" t="s">
        <v>24</v>
      </c>
      <c r="AC3572" s="1" t="s">
        <v>24</v>
      </c>
      <c r="AD3572" s="1" t="s">
        <v>24</v>
      </c>
      <c r="AE3572" s="1" t="s">
        <v>24</v>
      </c>
      <c r="AF3572" s="22"/>
    </row>
    <row r="3573" spans="1:32" x14ac:dyDescent="0.2">
      <c r="A3573" s="1">
        <v>29631</v>
      </c>
      <c r="B3573" s="1" t="s">
        <v>11030</v>
      </c>
      <c r="C3573" s="5" t="s">
        <v>0</v>
      </c>
      <c r="E3573" s="1" t="s">
        <v>11031</v>
      </c>
      <c r="F3573" s="1" t="s">
        <v>2299</v>
      </c>
      <c r="G3573" s="1" t="s">
        <v>2300</v>
      </c>
      <c r="H3573" s="1" t="s">
        <v>37</v>
      </c>
      <c r="I3573" s="1" t="s">
        <v>16</v>
      </c>
      <c r="J3573" s="1">
        <v>1</v>
      </c>
      <c r="K3573" s="1">
        <v>1</v>
      </c>
      <c r="L3573" s="1" t="s">
        <v>31</v>
      </c>
      <c r="M3573" s="1" t="s">
        <v>18</v>
      </c>
      <c r="N3573" s="1" t="s">
        <v>18</v>
      </c>
      <c r="O3573" s="1">
        <v>3</v>
      </c>
      <c r="P3573" s="1">
        <v>7</v>
      </c>
      <c r="Q3573" s="7" t="s">
        <v>17633</v>
      </c>
      <c r="R3573" s="1" t="s">
        <v>19</v>
      </c>
      <c r="S3573" s="1" t="s">
        <v>63</v>
      </c>
      <c r="T3573" s="1" t="s">
        <v>21</v>
      </c>
      <c r="U3573" s="1" t="s">
        <v>22</v>
      </c>
      <c r="V3573" s="1" t="s">
        <v>24</v>
      </c>
      <c r="W3573" s="1" t="s">
        <v>24</v>
      </c>
      <c r="X3573" s="1">
        <v>2802</v>
      </c>
      <c r="Y3573" s="1">
        <v>2803</v>
      </c>
      <c r="Z3573" s="1">
        <v>2805</v>
      </c>
      <c r="AA3573" s="1" t="s">
        <v>24</v>
      </c>
      <c r="AB3573" s="1" t="s">
        <v>24</v>
      </c>
      <c r="AC3573" s="1" t="s">
        <v>24</v>
      </c>
      <c r="AD3573" s="1" t="s">
        <v>24</v>
      </c>
      <c r="AE3573" s="1" t="s">
        <v>24</v>
      </c>
      <c r="AF3573" s="22"/>
    </row>
    <row r="3574" spans="1:32" x14ac:dyDescent="0.2">
      <c r="A3574" s="1">
        <v>29634</v>
      </c>
      <c r="B3574" s="1" t="s">
        <v>11032</v>
      </c>
      <c r="C3574" s="5" t="s">
        <v>0</v>
      </c>
      <c r="E3574" s="1" t="s">
        <v>11033</v>
      </c>
      <c r="F3574" s="1" t="s">
        <v>6405</v>
      </c>
      <c r="G3574" s="1" t="s">
        <v>6406</v>
      </c>
      <c r="H3574" s="1" t="s">
        <v>92</v>
      </c>
      <c r="I3574" s="1" t="s">
        <v>16</v>
      </c>
      <c r="J3574" s="1">
        <v>1</v>
      </c>
      <c r="K3574" s="1">
        <v>1</v>
      </c>
      <c r="L3574" s="1" t="s">
        <v>31</v>
      </c>
      <c r="M3574" s="1" t="s">
        <v>18</v>
      </c>
      <c r="N3574" s="1" t="s">
        <v>18</v>
      </c>
      <c r="O3574" s="1">
        <v>3</v>
      </c>
      <c r="P3574" s="1">
        <v>6</v>
      </c>
      <c r="R3574" s="1" t="s">
        <v>19</v>
      </c>
      <c r="S3574" s="1" t="s">
        <v>63</v>
      </c>
      <c r="T3574" s="1" t="s">
        <v>21</v>
      </c>
      <c r="U3574" s="1" t="s">
        <v>22</v>
      </c>
      <c r="V3574" s="1" t="s">
        <v>24</v>
      </c>
      <c r="W3574" s="1" t="s">
        <v>24</v>
      </c>
      <c r="X3574" s="1">
        <v>2738</v>
      </c>
      <c r="Y3574" s="1">
        <v>2713</v>
      </c>
      <c r="Z3574" s="1" t="s">
        <v>24</v>
      </c>
      <c r="AA3574" s="1" t="s">
        <v>24</v>
      </c>
      <c r="AB3574" s="1" t="s">
        <v>24</v>
      </c>
      <c r="AC3574" s="1" t="s">
        <v>24</v>
      </c>
      <c r="AD3574" s="1" t="s">
        <v>24</v>
      </c>
      <c r="AE3574" s="1" t="s">
        <v>24</v>
      </c>
      <c r="AF3574" s="22"/>
    </row>
    <row r="3575" spans="1:32" x14ac:dyDescent="0.2">
      <c r="A3575" s="1">
        <v>29635</v>
      </c>
      <c r="B3575" s="1" t="s">
        <v>11034</v>
      </c>
      <c r="C3575" s="5" t="s">
        <v>0</v>
      </c>
      <c r="E3575" s="1" t="s">
        <v>11035</v>
      </c>
      <c r="F3575" s="1" t="s">
        <v>2299</v>
      </c>
      <c r="G3575" s="1" t="s">
        <v>2300</v>
      </c>
      <c r="H3575" s="1" t="s">
        <v>37</v>
      </c>
      <c r="I3575" s="1" t="s">
        <v>16</v>
      </c>
      <c r="J3575" s="1">
        <v>1</v>
      </c>
      <c r="K3575" s="1">
        <v>1</v>
      </c>
      <c r="L3575" s="1" t="s">
        <v>31</v>
      </c>
      <c r="M3575" s="1" t="s">
        <v>18</v>
      </c>
      <c r="N3575" s="1" t="s">
        <v>18</v>
      </c>
      <c r="O3575" s="1">
        <v>3</v>
      </c>
      <c r="P3575" s="1">
        <v>7</v>
      </c>
      <c r="Q3575" s="7" t="s">
        <v>17633</v>
      </c>
      <c r="R3575" s="1" t="s">
        <v>19</v>
      </c>
      <c r="S3575" s="1" t="s">
        <v>63</v>
      </c>
      <c r="T3575" s="1" t="s">
        <v>21</v>
      </c>
      <c r="U3575" s="1" t="s">
        <v>22</v>
      </c>
      <c r="V3575" s="1" t="s">
        <v>23</v>
      </c>
      <c r="W3575" s="1" t="s">
        <v>24</v>
      </c>
      <c r="X3575" s="1">
        <v>2719</v>
      </c>
      <c r="Y3575" s="1">
        <v>2739</v>
      </c>
      <c r="Z3575" s="1" t="s">
        <v>24</v>
      </c>
      <c r="AA3575" s="1" t="s">
        <v>24</v>
      </c>
      <c r="AB3575" s="1" t="s">
        <v>24</v>
      </c>
      <c r="AC3575" s="1" t="s">
        <v>24</v>
      </c>
      <c r="AD3575" s="1" t="s">
        <v>24</v>
      </c>
      <c r="AE3575" s="1" t="s">
        <v>24</v>
      </c>
      <c r="AF3575" s="22"/>
    </row>
    <row r="3576" spans="1:32" x14ac:dyDescent="0.2">
      <c r="A3576" s="1">
        <v>29636</v>
      </c>
      <c r="B3576" s="1" t="s">
        <v>11036</v>
      </c>
      <c r="C3576" s="5" t="s">
        <v>0</v>
      </c>
      <c r="E3576" s="1" t="s">
        <v>11037</v>
      </c>
      <c r="F3576" s="1" t="s">
        <v>2299</v>
      </c>
      <c r="G3576" s="1" t="s">
        <v>2300</v>
      </c>
      <c r="H3576" s="1" t="s">
        <v>37</v>
      </c>
      <c r="I3576" s="1" t="s">
        <v>16</v>
      </c>
      <c r="J3576" s="1">
        <v>1</v>
      </c>
      <c r="K3576" s="1">
        <v>1</v>
      </c>
      <c r="L3576" s="1" t="s">
        <v>31</v>
      </c>
      <c r="M3576" s="1" t="s">
        <v>18</v>
      </c>
      <c r="N3576" s="1" t="s">
        <v>18</v>
      </c>
      <c r="O3576" s="1">
        <v>3</v>
      </c>
      <c r="P3576" s="1">
        <v>7</v>
      </c>
      <c r="Q3576" s="7" t="s">
        <v>17633</v>
      </c>
      <c r="R3576" s="1" t="s">
        <v>19</v>
      </c>
      <c r="S3576" s="1" t="s">
        <v>63</v>
      </c>
      <c r="T3576" s="1" t="s">
        <v>21</v>
      </c>
      <c r="U3576" s="1" t="s">
        <v>22</v>
      </c>
      <c r="V3576" s="1" t="s">
        <v>24</v>
      </c>
      <c r="W3576" s="1" t="s">
        <v>24</v>
      </c>
      <c r="X3576" s="1">
        <v>2403</v>
      </c>
      <c r="Y3576" s="1">
        <v>1302</v>
      </c>
      <c r="Z3576" s="1" t="s">
        <v>24</v>
      </c>
      <c r="AA3576" s="1" t="s">
        <v>24</v>
      </c>
      <c r="AB3576" s="1" t="s">
        <v>24</v>
      </c>
      <c r="AC3576" s="1" t="s">
        <v>24</v>
      </c>
      <c r="AD3576" s="1" t="s">
        <v>24</v>
      </c>
      <c r="AE3576" s="1" t="s">
        <v>24</v>
      </c>
      <c r="AF3576" s="22"/>
    </row>
    <row r="3577" spans="1:32" x14ac:dyDescent="0.2">
      <c r="A3577" s="1">
        <v>29637</v>
      </c>
      <c r="B3577" s="1" t="s">
        <v>11038</v>
      </c>
      <c r="C3577" s="5" t="s">
        <v>0</v>
      </c>
      <c r="E3577" s="1" t="s">
        <v>11039</v>
      </c>
      <c r="F3577" s="1" t="s">
        <v>2299</v>
      </c>
      <c r="G3577" s="1" t="s">
        <v>2300</v>
      </c>
      <c r="H3577" s="1" t="s">
        <v>37</v>
      </c>
      <c r="I3577" s="1" t="s">
        <v>16</v>
      </c>
      <c r="J3577" s="1">
        <v>1</v>
      </c>
      <c r="K3577" s="1">
        <v>1</v>
      </c>
      <c r="L3577" s="1" t="s">
        <v>31</v>
      </c>
      <c r="M3577" s="1" t="s">
        <v>18</v>
      </c>
      <c r="N3577" s="1" t="s">
        <v>18</v>
      </c>
      <c r="O3577" s="1">
        <v>3</v>
      </c>
      <c r="P3577" s="1">
        <v>7</v>
      </c>
      <c r="Q3577" s="7" t="s">
        <v>17633</v>
      </c>
      <c r="R3577" s="1" t="s">
        <v>19</v>
      </c>
      <c r="S3577" s="1" t="s">
        <v>63</v>
      </c>
      <c r="T3577" s="1" t="s">
        <v>21</v>
      </c>
      <c r="U3577" s="1" t="s">
        <v>22</v>
      </c>
      <c r="V3577" s="1" t="s">
        <v>24</v>
      </c>
      <c r="W3577" s="1" t="s">
        <v>24</v>
      </c>
      <c r="X3577" s="1">
        <v>2703</v>
      </c>
      <c r="Y3577" s="1">
        <v>1313</v>
      </c>
      <c r="Z3577" s="1">
        <v>2804</v>
      </c>
      <c r="AA3577" s="1" t="s">
        <v>24</v>
      </c>
      <c r="AB3577" s="1" t="s">
        <v>24</v>
      </c>
      <c r="AC3577" s="1" t="s">
        <v>24</v>
      </c>
      <c r="AD3577" s="1" t="s">
        <v>24</v>
      </c>
      <c r="AE3577" s="1" t="s">
        <v>24</v>
      </c>
      <c r="AF3577" s="22"/>
    </row>
    <row r="3578" spans="1:32" x14ac:dyDescent="0.2">
      <c r="A3578" s="1">
        <v>29638</v>
      </c>
      <c r="B3578" s="1" t="s">
        <v>11040</v>
      </c>
      <c r="C3578" s="5" t="s">
        <v>0</v>
      </c>
      <c r="E3578" s="1" t="s">
        <v>11041</v>
      </c>
      <c r="F3578" s="1" t="s">
        <v>2299</v>
      </c>
      <c r="G3578" s="1" t="s">
        <v>2300</v>
      </c>
      <c r="H3578" s="1" t="s">
        <v>168</v>
      </c>
      <c r="I3578" s="1" t="s">
        <v>16</v>
      </c>
      <c r="J3578" s="1">
        <v>1</v>
      </c>
      <c r="K3578" s="1">
        <v>1</v>
      </c>
      <c r="L3578" s="1" t="s">
        <v>31</v>
      </c>
      <c r="M3578" s="1" t="s">
        <v>18</v>
      </c>
      <c r="N3578" s="1" t="s">
        <v>18</v>
      </c>
      <c r="O3578" s="1">
        <v>3</v>
      </c>
      <c r="P3578" s="1">
        <v>7</v>
      </c>
      <c r="Q3578" s="7" t="s">
        <v>17633</v>
      </c>
      <c r="R3578" s="1" t="s">
        <v>19</v>
      </c>
      <c r="S3578" s="1" t="s">
        <v>63</v>
      </c>
      <c r="T3578" s="1" t="s">
        <v>21</v>
      </c>
      <c r="U3578" s="1" t="s">
        <v>22</v>
      </c>
      <c r="V3578" s="1" t="s">
        <v>24</v>
      </c>
      <c r="W3578" s="1" t="s">
        <v>24</v>
      </c>
      <c r="X3578" s="1">
        <v>1307</v>
      </c>
      <c r="Y3578" s="1">
        <v>1312</v>
      </c>
      <c r="Z3578" s="1">
        <v>1303</v>
      </c>
      <c r="AA3578" s="1" t="s">
        <v>24</v>
      </c>
      <c r="AB3578" s="1" t="s">
        <v>24</v>
      </c>
      <c r="AC3578" s="1" t="s">
        <v>24</v>
      </c>
      <c r="AD3578" s="1" t="s">
        <v>24</v>
      </c>
      <c r="AE3578" s="1" t="s">
        <v>24</v>
      </c>
      <c r="AF3578" s="22" t="s">
        <v>17670</v>
      </c>
    </row>
    <row r="3579" spans="1:32" x14ac:dyDescent="0.2">
      <c r="A3579" s="1">
        <v>29639</v>
      </c>
      <c r="B3579" s="1" t="s">
        <v>11042</v>
      </c>
      <c r="C3579" s="5" t="s">
        <v>0</v>
      </c>
      <c r="E3579" s="1" t="s">
        <v>11043</v>
      </c>
      <c r="F3579" s="1" t="s">
        <v>2299</v>
      </c>
      <c r="G3579" s="1" t="s">
        <v>2300</v>
      </c>
      <c r="H3579" s="1" t="s">
        <v>37</v>
      </c>
      <c r="I3579" s="1" t="s">
        <v>16</v>
      </c>
      <c r="J3579" s="1">
        <v>1</v>
      </c>
      <c r="K3579" s="1">
        <v>1</v>
      </c>
      <c r="L3579" s="1" t="s">
        <v>31</v>
      </c>
      <c r="M3579" s="1" t="s">
        <v>18</v>
      </c>
      <c r="N3579" s="1" t="s">
        <v>18</v>
      </c>
      <c r="O3579" s="1">
        <v>3</v>
      </c>
      <c r="P3579" s="1">
        <v>7</v>
      </c>
      <c r="Q3579" s="7" t="s">
        <v>17633</v>
      </c>
      <c r="R3579" s="1" t="s">
        <v>19</v>
      </c>
      <c r="S3579" s="1" t="s">
        <v>63</v>
      </c>
      <c r="T3579" s="1" t="s">
        <v>21</v>
      </c>
      <c r="U3579" s="1" t="s">
        <v>22</v>
      </c>
      <c r="V3579" s="1" t="s">
        <v>24</v>
      </c>
      <c r="W3579" s="1" t="s">
        <v>24</v>
      </c>
      <c r="X3579" s="1">
        <v>2307</v>
      </c>
      <c r="Y3579" s="1">
        <v>3005</v>
      </c>
      <c r="Z3579" s="1" t="s">
        <v>24</v>
      </c>
      <c r="AA3579" s="1" t="s">
        <v>24</v>
      </c>
      <c r="AB3579" s="1" t="s">
        <v>24</v>
      </c>
      <c r="AC3579" s="1" t="s">
        <v>24</v>
      </c>
      <c r="AD3579" s="1" t="s">
        <v>24</v>
      </c>
      <c r="AE3579" s="1" t="s">
        <v>24</v>
      </c>
      <c r="AF3579" s="22"/>
    </row>
    <row r="3580" spans="1:32" x14ac:dyDescent="0.2">
      <c r="A3580" s="1">
        <v>29642</v>
      </c>
      <c r="B3580" s="1" t="s">
        <v>11044</v>
      </c>
      <c r="C3580" s="5" t="s">
        <v>0</v>
      </c>
      <c r="D3580" s="1" t="s">
        <v>11045</v>
      </c>
      <c r="E3580" s="1" t="s">
        <v>11046</v>
      </c>
      <c r="F3580" s="1" t="s">
        <v>35</v>
      </c>
      <c r="G3580" s="1" t="s">
        <v>36</v>
      </c>
      <c r="H3580" s="1" t="s">
        <v>37</v>
      </c>
      <c r="I3580" s="1" t="s">
        <v>16</v>
      </c>
      <c r="J3580" s="1">
        <v>1</v>
      </c>
      <c r="K3580" s="1">
        <v>4</v>
      </c>
      <c r="L3580" s="1" t="s">
        <v>31</v>
      </c>
      <c r="M3580" s="1" t="s">
        <v>18</v>
      </c>
      <c r="N3580" s="1" t="s">
        <v>18</v>
      </c>
      <c r="O3580" s="1">
        <v>3</v>
      </c>
      <c r="P3580" s="1">
        <v>7</v>
      </c>
      <c r="Q3580" s="7" t="s">
        <v>17633</v>
      </c>
      <c r="R3580" s="1" t="s">
        <v>19</v>
      </c>
      <c r="S3580" s="1" t="s">
        <v>20</v>
      </c>
      <c r="T3580" s="1" t="s">
        <v>21</v>
      </c>
      <c r="U3580" s="1" t="s">
        <v>22</v>
      </c>
      <c r="V3580" s="1" t="s">
        <v>23</v>
      </c>
      <c r="W3580" s="1" t="s">
        <v>24</v>
      </c>
      <c r="X3580" s="1">
        <v>2808</v>
      </c>
      <c r="Y3580" s="1" t="s">
        <v>24</v>
      </c>
      <c r="Z3580" s="1" t="s">
        <v>24</v>
      </c>
      <c r="AA3580" s="1" t="s">
        <v>24</v>
      </c>
      <c r="AB3580" s="1" t="s">
        <v>24</v>
      </c>
      <c r="AC3580" s="1" t="s">
        <v>24</v>
      </c>
      <c r="AD3580" s="1" t="s">
        <v>24</v>
      </c>
      <c r="AE3580" s="1" t="s">
        <v>24</v>
      </c>
      <c r="AF3580" s="22"/>
    </row>
    <row r="3581" spans="1:32" x14ac:dyDescent="0.2">
      <c r="A3581" s="1">
        <v>29643</v>
      </c>
      <c r="B3581" s="1" t="s">
        <v>11047</v>
      </c>
      <c r="C3581" s="5" t="s">
        <v>0</v>
      </c>
      <c r="D3581" s="1" t="s">
        <v>11048</v>
      </c>
      <c r="E3581" s="1" t="s">
        <v>11049</v>
      </c>
      <c r="F3581" s="1" t="s">
        <v>35</v>
      </c>
      <c r="G3581" s="1" t="s">
        <v>36</v>
      </c>
      <c r="H3581" s="1" t="s">
        <v>37</v>
      </c>
      <c r="I3581" s="1" t="s">
        <v>16</v>
      </c>
      <c r="J3581" s="1">
        <v>1</v>
      </c>
      <c r="K3581" s="1">
        <v>6</v>
      </c>
      <c r="L3581" s="1" t="s">
        <v>31</v>
      </c>
      <c r="M3581" s="1" t="s">
        <v>18</v>
      </c>
      <c r="N3581" s="1" t="s">
        <v>18</v>
      </c>
      <c r="O3581" s="1">
        <v>3</v>
      </c>
      <c r="P3581" s="1">
        <v>7</v>
      </c>
      <c r="Q3581" s="7" t="s">
        <v>17633</v>
      </c>
      <c r="R3581" s="1" t="s">
        <v>19</v>
      </c>
      <c r="S3581" s="1" t="s">
        <v>20</v>
      </c>
      <c r="T3581" s="1" t="s">
        <v>21</v>
      </c>
      <c r="U3581" s="1" t="s">
        <v>22</v>
      </c>
      <c r="V3581" s="1" t="s">
        <v>23</v>
      </c>
      <c r="W3581" s="1" t="s">
        <v>24</v>
      </c>
      <c r="X3581" s="1">
        <v>2705</v>
      </c>
      <c r="Y3581" s="1">
        <v>2735</v>
      </c>
      <c r="Z3581" s="1">
        <v>2746</v>
      </c>
      <c r="AA3581" s="1">
        <v>2741</v>
      </c>
      <c r="AB3581" s="1" t="s">
        <v>24</v>
      </c>
      <c r="AC3581" s="1" t="s">
        <v>24</v>
      </c>
      <c r="AD3581" s="1" t="s">
        <v>24</v>
      </c>
      <c r="AE3581" s="1" t="s">
        <v>24</v>
      </c>
      <c r="AF3581" s="22"/>
    </row>
    <row r="3582" spans="1:32" x14ac:dyDescent="0.2">
      <c r="A3582" s="1">
        <v>29644</v>
      </c>
      <c r="B3582" s="1" t="s">
        <v>11050</v>
      </c>
      <c r="C3582" s="5" t="s">
        <v>0</v>
      </c>
      <c r="D3582" s="1" t="s">
        <v>11051</v>
      </c>
      <c r="E3582" s="1" t="s">
        <v>11052</v>
      </c>
      <c r="F3582" s="1" t="s">
        <v>35</v>
      </c>
      <c r="G3582" s="1" t="s">
        <v>36</v>
      </c>
      <c r="H3582" s="1" t="s">
        <v>37</v>
      </c>
      <c r="I3582" s="1" t="s">
        <v>16</v>
      </c>
      <c r="J3582" s="1">
        <v>1</v>
      </c>
      <c r="K3582" s="1">
        <v>4</v>
      </c>
      <c r="L3582" s="1" t="s">
        <v>31</v>
      </c>
      <c r="M3582" s="1" t="s">
        <v>18</v>
      </c>
      <c r="N3582" s="1" t="s">
        <v>18</v>
      </c>
      <c r="O3582" s="1">
        <v>3</v>
      </c>
      <c r="P3582" s="1">
        <v>7</v>
      </c>
      <c r="Q3582" s="7" t="s">
        <v>17633</v>
      </c>
      <c r="R3582" s="1" t="s">
        <v>19</v>
      </c>
      <c r="S3582" s="1" t="s">
        <v>20</v>
      </c>
      <c r="T3582" s="1" t="s">
        <v>21</v>
      </c>
      <c r="U3582" s="1" t="s">
        <v>22</v>
      </c>
      <c r="V3582" s="1" t="s">
        <v>23</v>
      </c>
      <c r="W3582" s="1" t="s">
        <v>24</v>
      </c>
      <c r="X3582" s="1">
        <v>2730</v>
      </c>
      <c r="Y3582" s="1" t="s">
        <v>24</v>
      </c>
      <c r="Z3582" s="1" t="s">
        <v>24</v>
      </c>
      <c r="AA3582" s="1" t="s">
        <v>24</v>
      </c>
      <c r="AB3582" s="1" t="s">
        <v>24</v>
      </c>
      <c r="AC3582" s="1" t="s">
        <v>24</v>
      </c>
      <c r="AD3582" s="1" t="s">
        <v>24</v>
      </c>
      <c r="AE3582" s="1" t="s">
        <v>24</v>
      </c>
      <c r="AF3582" s="22"/>
    </row>
    <row r="3583" spans="1:32" x14ac:dyDescent="0.2">
      <c r="A3583" s="1">
        <v>29645</v>
      </c>
      <c r="B3583" s="1" t="s">
        <v>11053</v>
      </c>
      <c r="C3583" s="5" t="s">
        <v>0</v>
      </c>
      <c r="D3583" s="1" t="s">
        <v>11054</v>
      </c>
      <c r="E3583" s="1" t="s">
        <v>11055</v>
      </c>
      <c r="F3583" s="1" t="s">
        <v>35</v>
      </c>
      <c r="G3583" s="1" t="s">
        <v>36</v>
      </c>
      <c r="H3583" s="1" t="s">
        <v>37</v>
      </c>
      <c r="I3583" s="1" t="s">
        <v>16</v>
      </c>
      <c r="J3583" s="1">
        <v>1</v>
      </c>
      <c r="K3583" s="1">
        <v>4</v>
      </c>
      <c r="L3583" s="1" t="s">
        <v>31</v>
      </c>
      <c r="M3583" s="1" t="s">
        <v>18</v>
      </c>
      <c r="N3583" s="1" t="s">
        <v>18</v>
      </c>
      <c r="O3583" s="1">
        <v>3</v>
      </c>
      <c r="P3583" s="1">
        <v>7</v>
      </c>
      <c r="Q3583" s="7" t="s">
        <v>17633</v>
      </c>
      <c r="R3583" s="1" t="s">
        <v>19</v>
      </c>
      <c r="S3583" s="1" t="s">
        <v>20</v>
      </c>
      <c r="T3583" s="1" t="s">
        <v>21</v>
      </c>
      <c r="U3583" s="1" t="s">
        <v>22</v>
      </c>
      <c r="V3583" s="1" t="s">
        <v>24</v>
      </c>
      <c r="W3583" s="1" t="s">
        <v>24</v>
      </c>
      <c r="X3583" s="1">
        <v>2708</v>
      </c>
      <c r="Y3583" s="1" t="s">
        <v>24</v>
      </c>
      <c r="Z3583" s="1" t="s">
        <v>24</v>
      </c>
      <c r="AA3583" s="1" t="s">
        <v>24</v>
      </c>
      <c r="AB3583" s="1" t="s">
        <v>24</v>
      </c>
      <c r="AC3583" s="1" t="s">
        <v>24</v>
      </c>
      <c r="AD3583" s="1" t="s">
        <v>24</v>
      </c>
      <c r="AE3583" s="1" t="s">
        <v>24</v>
      </c>
      <c r="AF3583" s="22"/>
    </row>
    <row r="3584" spans="1:32" x14ac:dyDescent="0.2">
      <c r="A3584" s="1">
        <v>29648</v>
      </c>
      <c r="B3584" s="1" t="s">
        <v>11056</v>
      </c>
      <c r="C3584" s="5" t="s">
        <v>0</v>
      </c>
      <c r="E3584" s="1" t="s">
        <v>11057</v>
      </c>
      <c r="F3584" s="1" t="s">
        <v>724</v>
      </c>
      <c r="G3584" s="1" t="s">
        <v>725</v>
      </c>
      <c r="H3584" s="1" t="s">
        <v>37</v>
      </c>
      <c r="I3584" s="1" t="s">
        <v>16</v>
      </c>
      <c r="J3584" s="1">
        <v>1</v>
      </c>
      <c r="K3584" s="1">
        <v>12</v>
      </c>
      <c r="L3584" s="1" t="s">
        <v>31</v>
      </c>
      <c r="M3584" s="1" t="s">
        <v>18</v>
      </c>
      <c r="N3584" s="1" t="s">
        <v>18</v>
      </c>
      <c r="O3584" s="1">
        <v>3</v>
      </c>
      <c r="P3584" s="1">
        <v>7</v>
      </c>
      <c r="Q3584" s="7" t="s">
        <v>17633</v>
      </c>
      <c r="R3584" s="1" t="s">
        <v>19</v>
      </c>
      <c r="S3584" s="1" t="s">
        <v>20</v>
      </c>
      <c r="T3584" s="1" t="s">
        <v>21</v>
      </c>
      <c r="U3584" s="1" t="s">
        <v>22</v>
      </c>
      <c r="V3584" s="1" t="s">
        <v>24</v>
      </c>
      <c r="W3584" s="1" t="s">
        <v>24</v>
      </c>
      <c r="X3584" s="1">
        <v>2730</v>
      </c>
      <c r="Y3584" s="1">
        <v>2917</v>
      </c>
      <c r="Z3584" s="1">
        <v>1306</v>
      </c>
      <c r="AA3584" s="1" t="s">
        <v>24</v>
      </c>
      <c r="AB3584" s="1" t="s">
        <v>24</v>
      </c>
      <c r="AC3584" s="1" t="s">
        <v>24</v>
      </c>
      <c r="AD3584" s="1" t="s">
        <v>24</v>
      </c>
      <c r="AE3584" s="1" t="s">
        <v>24</v>
      </c>
      <c r="AF3584" s="22"/>
    </row>
    <row r="3585" spans="1:32" x14ac:dyDescent="0.2">
      <c r="A3585" s="1">
        <v>29649</v>
      </c>
      <c r="B3585" s="1" t="s">
        <v>11058</v>
      </c>
      <c r="C3585" s="5" t="s">
        <v>0</v>
      </c>
      <c r="D3585" s="1" t="s">
        <v>11059</v>
      </c>
      <c r="F3585" s="1" t="s">
        <v>11060</v>
      </c>
      <c r="G3585" s="1" t="s">
        <v>11060</v>
      </c>
      <c r="H3585" s="1" t="s">
        <v>731</v>
      </c>
      <c r="I3585" s="1" t="s">
        <v>16</v>
      </c>
      <c r="J3585" s="1">
        <v>1</v>
      </c>
      <c r="K3585" s="1">
        <v>4</v>
      </c>
      <c r="L3585" s="1" t="s">
        <v>42</v>
      </c>
      <c r="M3585" s="1" t="s">
        <v>18</v>
      </c>
      <c r="N3585" s="1" t="s">
        <v>18</v>
      </c>
      <c r="O3585" s="1">
        <v>3</v>
      </c>
      <c r="P3585" s="1">
        <v>6</v>
      </c>
      <c r="R3585" s="1" t="s">
        <v>19</v>
      </c>
      <c r="S3585" s="1" t="s">
        <v>20</v>
      </c>
      <c r="T3585" s="1" t="s">
        <v>21</v>
      </c>
      <c r="U3585" s="1" t="s">
        <v>22</v>
      </c>
      <c r="V3585" s="1" t="s">
        <v>24</v>
      </c>
      <c r="W3585" s="1" t="s">
        <v>24</v>
      </c>
      <c r="X3585" s="1">
        <v>2738</v>
      </c>
      <c r="Y3585" s="1">
        <v>2735</v>
      </c>
      <c r="Z3585" s="1" t="s">
        <v>24</v>
      </c>
      <c r="AA3585" s="1" t="s">
        <v>24</v>
      </c>
      <c r="AB3585" s="1" t="s">
        <v>24</v>
      </c>
      <c r="AC3585" s="1" t="s">
        <v>24</v>
      </c>
      <c r="AD3585" s="1" t="s">
        <v>24</v>
      </c>
      <c r="AE3585" s="1" t="s">
        <v>24</v>
      </c>
      <c r="AF3585" s="22"/>
    </row>
    <row r="3586" spans="1:32" x14ac:dyDescent="0.2">
      <c r="A3586" s="1">
        <v>29651</v>
      </c>
      <c r="B3586" s="1" t="s">
        <v>11061</v>
      </c>
      <c r="C3586" s="5" t="s">
        <v>0</v>
      </c>
      <c r="D3586" s="1" t="s">
        <v>11062</v>
      </c>
      <c r="E3586" s="1" t="s">
        <v>11063</v>
      </c>
      <c r="F3586" s="1" t="s">
        <v>324</v>
      </c>
      <c r="G3586" s="1" t="s">
        <v>61</v>
      </c>
      <c r="H3586" s="1" t="s">
        <v>30</v>
      </c>
      <c r="I3586" s="1" t="s">
        <v>16</v>
      </c>
      <c r="J3586" s="1">
        <v>2</v>
      </c>
      <c r="K3586" s="1">
        <v>6</v>
      </c>
      <c r="L3586" s="1" t="s">
        <v>31</v>
      </c>
      <c r="M3586" s="1" t="s">
        <v>18</v>
      </c>
      <c r="N3586" s="1" t="s">
        <v>18</v>
      </c>
      <c r="O3586" s="1">
        <v>3</v>
      </c>
      <c r="P3586" s="1">
        <v>7</v>
      </c>
      <c r="Q3586" s="7" t="s">
        <v>17633</v>
      </c>
      <c r="R3586" s="1" t="s">
        <v>19</v>
      </c>
      <c r="S3586" s="1" t="s">
        <v>20</v>
      </c>
      <c r="T3586" s="1" t="s">
        <v>21</v>
      </c>
      <c r="U3586" s="1" t="s">
        <v>22</v>
      </c>
      <c r="V3586" s="1" t="s">
        <v>24</v>
      </c>
      <c r="W3586" s="1" t="s">
        <v>24</v>
      </c>
      <c r="X3586" s="1">
        <v>1307</v>
      </c>
      <c r="Y3586" s="1">
        <v>1312</v>
      </c>
      <c r="Z3586" s="1">
        <v>1314</v>
      </c>
      <c r="AA3586" s="1" t="s">
        <v>24</v>
      </c>
      <c r="AB3586" s="1" t="s">
        <v>24</v>
      </c>
      <c r="AC3586" s="1" t="s">
        <v>24</v>
      </c>
      <c r="AD3586" s="1" t="s">
        <v>24</v>
      </c>
      <c r="AE3586" s="1" t="s">
        <v>24</v>
      </c>
      <c r="AF3586" s="22"/>
    </row>
    <row r="3587" spans="1:32" x14ac:dyDescent="0.2">
      <c r="A3587" s="1">
        <v>29652</v>
      </c>
      <c r="B3587" s="1" t="s">
        <v>11064</v>
      </c>
      <c r="C3587" s="5" t="s">
        <v>0</v>
      </c>
      <c r="D3587" s="1" t="s">
        <v>11065</v>
      </c>
      <c r="F3587" s="1" t="s">
        <v>1006</v>
      </c>
      <c r="G3587" s="1" t="s">
        <v>11066</v>
      </c>
      <c r="H3587" s="1" t="s">
        <v>1007</v>
      </c>
      <c r="I3587" s="1" t="s">
        <v>16</v>
      </c>
      <c r="J3587" s="1">
        <v>1</v>
      </c>
      <c r="K3587" s="1">
        <v>6</v>
      </c>
      <c r="L3587" s="1" t="s">
        <v>17</v>
      </c>
      <c r="M3587" s="1" t="s">
        <v>1008</v>
      </c>
      <c r="N3587" s="1" t="s">
        <v>4418</v>
      </c>
      <c r="O3587" s="1">
        <v>3</v>
      </c>
      <c r="P3587" s="1">
        <v>5</v>
      </c>
      <c r="R3587" s="1" t="s">
        <v>19</v>
      </c>
      <c r="S3587" s="1" t="s">
        <v>20</v>
      </c>
      <c r="T3587" s="1" t="s">
        <v>21</v>
      </c>
      <c r="U3587" s="1" t="s">
        <v>22</v>
      </c>
      <c r="V3587" s="1" t="s">
        <v>24</v>
      </c>
      <c r="W3587" s="1" t="s">
        <v>24</v>
      </c>
      <c r="X3587" s="1">
        <v>2700</v>
      </c>
      <c r="Y3587" s="1" t="s">
        <v>24</v>
      </c>
      <c r="Z3587" s="1" t="s">
        <v>24</v>
      </c>
      <c r="AA3587" s="1" t="s">
        <v>24</v>
      </c>
      <c r="AB3587" s="1" t="s">
        <v>24</v>
      </c>
      <c r="AC3587" s="1" t="s">
        <v>24</v>
      </c>
      <c r="AD3587" s="1" t="s">
        <v>24</v>
      </c>
      <c r="AE3587" s="1" t="s">
        <v>24</v>
      </c>
      <c r="AF3587" s="22"/>
    </row>
    <row r="3588" spans="1:32" x14ac:dyDescent="0.2">
      <c r="A3588" s="1">
        <v>29655</v>
      </c>
      <c r="B3588" s="1" t="s">
        <v>11067</v>
      </c>
      <c r="C3588" s="5" t="s">
        <v>0</v>
      </c>
      <c r="D3588" s="1" t="s">
        <v>11068</v>
      </c>
      <c r="F3588" s="1" t="s">
        <v>11069</v>
      </c>
      <c r="G3588" s="1" t="s">
        <v>11069</v>
      </c>
      <c r="H3588" s="1" t="s">
        <v>1007</v>
      </c>
      <c r="I3588" s="1" t="s">
        <v>16</v>
      </c>
      <c r="J3588" s="1">
        <v>1</v>
      </c>
      <c r="K3588" s="1">
        <v>12</v>
      </c>
      <c r="L3588" s="1" t="s">
        <v>17</v>
      </c>
      <c r="M3588" s="1" t="s">
        <v>1008</v>
      </c>
      <c r="N3588" s="1" t="s">
        <v>4418</v>
      </c>
      <c r="O3588" s="1">
        <v>3</v>
      </c>
      <c r="P3588" s="1">
        <v>5</v>
      </c>
      <c r="R3588" s="1" t="s">
        <v>19</v>
      </c>
      <c r="S3588" s="1" t="s">
        <v>20</v>
      </c>
      <c r="T3588" s="1" t="s">
        <v>21</v>
      </c>
      <c r="U3588" s="1" t="s">
        <v>22</v>
      </c>
      <c r="V3588" s="1" t="s">
        <v>24</v>
      </c>
      <c r="W3588" s="1" t="s">
        <v>24</v>
      </c>
      <c r="X3588" s="1">
        <v>2705</v>
      </c>
      <c r="Y3588" s="1">
        <v>2728</v>
      </c>
      <c r="Z3588" s="1">
        <v>2741</v>
      </c>
      <c r="AA3588" s="1" t="s">
        <v>24</v>
      </c>
      <c r="AB3588" s="1" t="s">
        <v>24</v>
      </c>
      <c r="AC3588" s="1" t="s">
        <v>24</v>
      </c>
      <c r="AD3588" s="1" t="s">
        <v>24</v>
      </c>
      <c r="AE3588" s="1" t="s">
        <v>24</v>
      </c>
      <c r="AF3588" s="22"/>
    </row>
    <row r="3589" spans="1:32" x14ac:dyDescent="0.2">
      <c r="A3589" s="1">
        <v>29656</v>
      </c>
      <c r="B3589" s="1" t="s">
        <v>11070</v>
      </c>
      <c r="C3589" s="5" t="s">
        <v>0</v>
      </c>
      <c r="D3589" s="1" t="s">
        <v>11071</v>
      </c>
      <c r="F3589" s="1" t="s">
        <v>1065</v>
      </c>
      <c r="G3589" s="1" t="s">
        <v>11066</v>
      </c>
      <c r="H3589" s="1" t="s">
        <v>1007</v>
      </c>
      <c r="I3589" s="1" t="s">
        <v>16</v>
      </c>
      <c r="J3589" s="1">
        <v>1</v>
      </c>
      <c r="K3589" s="1">
        <v>6</v>
      </c>
      <c r="L3589" s="1" t="s">
        <v>17</v>
      </c>
      <c r="M3589" s="1" t="s">
        <v>1008</v>
      </c>
      <c r="N3589" s="1" t="s">
        <v>4418</v>
      </c>
      <c r="O3589" s="1">
        <v>3</v>
      </c>
      <c r="P3589" s="1">
        <v>5</v>
      </c>
      <c r="R3589" s="1" t="s">
        <v>19</v>
      </c>
      <c r="S3589" s="1" t="s">
        <v>20</v>
      </c>
      <c r="T3589" s="1" t="s">
        <v>21</v>
      </c>
      <c r="U3589" s="1" t="s">
        <v>22</v>
      </c>
      <c r="V3589" s="1" t="s">
        <v>24</v>
      </c>
      <c r="W3589" s="1" t="s">
        <v>24</v>
      </c>
      <c r="X3589" s="1">
        <v>2702</v>
      </c>
      <c r="Y3589" s="1">
        <v>2722</v>
      </c>
      <c r="Z3589" s="1">
        <v>1315</v>
      </c>
      <c r="AA3589" s="1">
        <v>2710</v>
      </c>
      <c r="AB3589" s="1" t="s">
        <v>24</v>
      </c>
      <c r="AC3589" s="1" t="s">
        <v>24</v>
      </c>
      <c r="AD3589" s="1" t="s">
        <v>24</v>
      </c>
      <c r="AE3589" s="1" t="s">
        <v>24</v>
      </c>
      <c r="AF3589" s="22"/>
    </row>
    <row r="3590" spans="1:32" x14ac:dyDescent="0.2">
      <c r="A3590" s="1">
        <v>29659</v>
      </c>
      <c r="B3590" s="1" t="s">
        <v>11072</v>
      </c>
      <c r="C3590" s="5" t="s">
        <v>0</v>
      </c>
      <c r="D3590" s="1" t="s">
        <v>11073</v>
      </c>
      <c r="E3590" s="1" t="s">
        <v>11074</v>
      </c>
      <c r="F3590" s="1" t="s">
        <v>11075</v>
      </c>
      <c r="G3590" s="1" t="s">
        <v>11075</v>
      </c>
      <c r="H3590" s="1" t="s">
        <v>233</v>
      </c>
      <c r="I3590" s="1" t="s">
        <v>16</v>
      </c>
      <c r="J3590" s="1">
        <v>1</v>
      </c>
      <c r="K3590" s="1">
        <v>3</v>
      </c>
      <c r="L3590" s="1" t="s">
        <v>42</v>
      </c>
      <c r="M3590" s="1" t="s">
        <v>117</v>
      </c>
      <c r="N3590" s="1" t="s">
        <v>118</v>
      </c>
      <c r="O3590" s="1">
        <v>3</v>
      </c>
      <c r="P3590" s="1">
        <v>5</v>
      </c>
      <c r="R3590" s="1" t="s">
        <v>19</v>
      </c>
      <c r="S3590" s="1" t="s">
        <v>20</v>
      </c>
      <c r="T3590" s="1" t="s">
        <v>21</v>
      </c>
      <c r="U3590" s="1" t="s">
        <v>22</v>
      </c>
      <c r="V3590" s="1" t="s">
        <v>24</v>
      </c>
      <c r="W3590" s="1" t="s">
        <v>24</v>
      </c>
      <c r="X3590" s="1">
        <v>2700</v>
      </c>
      <c r="Y3590" s="1" t="s">
        <v>24</v>
      </c>
      <c r="Z3590" s="1" t="s">
        <v>24</v>
      </c>
      <c r="AA3590" s="1" t="s">
        <v>24</v>
      </c>
      <c r="AB3590" s="1" t="s">
        <v>24</v>
      </c>
      <c r="AC3590" s="1" t="s">
        <v>24</v>
      </c>
      <c r="AD3590" s="1" t="s">
        <v>24</v>
      </c>
      <c r="AE3590" s="1" t="s">
        <v>24</v>
      </c>
      <c r="AF3590" s="22"/>
    </row>
    <row r="3591" spans="1:32" x14ac:dyDescent="0.2">
      <c r="A3591" s="1">
        <v>29662</v>
      </c>
      <c r="B3591" s="1" t="s">
        <v>11076</v>
      </c>
      <c r="C3591" s="5" t="s">
        <v>0</v>
      </c>
      <c r="D3591" s="1" t="s">
        <v>11077</v>
      </c>
      <c r="F3591" s="1" t="s">
        <v>11078</v>
      </c>
      <c r="G3591" s="1" t="s">
        <v>11079</v>
      </c>
      <c r="H3591" s="1" t="s">
        <v>3228</v>
      </c>
      <c r="I3591" s="1" t="s">
        <v>16</v>
      </c>
      <c r="J3591" s="1">
        <v>1</v>
      </c>
      <c r="K3591" s="1">
        <v>1</v>
      </c>
      <c r="L3591" s="1" t="s">
        <v>42</v>
      </c>
      <c r="M3591" s="1" t="s">
        <v>18</v>
      </c>
      <c r="N3591" s="1" t="s">
        <v>18</v>
      </c>
      <c r="O3591" s="1">
        <v>3</v>
      </c>
      <c r="P3591" s="1">
        <v>6</v>
      </c>
      <c r="R3591" s="1" t="s">
        <v>19</v>
      </c>
      <c r="S3591" s="1" t="s">
        <v>63</v>
      </c>
      <c r="T3591" s="1" t="s">
        <v>21</v>
      </c>
      <c r="U3591" s="1" t="s">
        <v>22</v>
      </c>
      <c r="V3591" s="1" t="s">
        <v>24</v>
      </c>
      <c r="W3591" s="1" t="s">
        <v>24</v>
      </c>
      <c r="X3591" s="1">
        <v>2700</v>
      </c>
      <c r="Y3591" s="1">
        <v>3004</v>
      </c>
      <c r="Z3591" s="1">
        <v>2744</v>
      </c>
      <c r="AA3591" s="1" t="s">
        <v>24</v>
      </c>
      <c r="AB3591" s="1" t="s">
        <v>24</v>
      </c>
      <c r="AC3591" s="1" t="s">
        <v>24</v>
      </c>
      <c r="AD3591" s="1" t="s">
        <v>24</v>
      </c>
      <c r="AE3591" s="1" t="s">
        <v>24</v>
      </c>
      <c r="AF3591" s="22" t="s">
        <v>17682</v>
      </c>
    </row>
    <row r="3592" spans="1:32" x14ac:dyDescent="0.2">
      <c r="A3592" s="1">
        <v>29663</v>
      </c>
      <c r="B3592" s="1" t="s">
        <v>11080</v>
      </c>
      <c r="C3592" s="5" t="s">
        <v>0</v>
      </c>
      <c r="D3592" s="1" t="s">
        <v>11081</v>
      </c>
      <c r="E3592" s="1" t="s">
        <v>11082</v>
      </c>
      <c r="F3592" s="1" t="s">
        <v>11083</v>
      </c>
      <c r="G3592" s="1" t="s">
        <v>11083</v>
      </c>
      <c r="H3592" s="1" t="s">
        <v>4724</v>
      </c>
      <c r="I3592" s="1" t="s">
        <v>16</v>
      </c>
      <c r="J3592" s="1">
        <v>1</v>
      </c>
      <c r="K3592" s="1">
        <v>4</v>
      </c>
      <c r="L3592" s="1" t="s">
        <v>42</v>
      </c>
      <c r="M3592" s="1" t="s">
        <v>117</v>
      </c>
      <c r="N3592" s="1" t="s">
        <v>118</v>
      </c>
      <c r="O3592" s="1">
        <v>3</v>
      </c>
      <c r="P3592" s="1">
        <v>5</v>
      </c>
      <c r="R3592" s="1" t="s">
        <v>19</v>
      </c>
      <c r="S3592" s="1" t="s">
        <v>20</v>
      </c>
      <c r="T3592" s="1" t="s">
        <v>21</v>
      </c>
      <c r="U3592" s="1" t="s">
        <v>22</v>
      </c>
      <c r="V3592" s="1" t="s">
        <v>24</v>
      </c>
      <c r="W3592" s="1" t="s">
        <v>24</v>
      </c>
      <c r="X3592" s="1">
        <v>2700</v>
      </c>
      <c r="Y3592" s="1" t="s">
        <v>24</v>
      </c>
      <c r="Z3592" s="1" t="s">
        <v>24</v>
      </c>
      <c r="AA3592" s="1" t="s">
        <v>24</v>
      </c>
      <c r="AB3592" s="1" t="s">
        <v>24</v>
      </c>
      <c r="AC3592" s="1" t="s">
        <v>24</v>
      </c>
      <c r="AD3592" s="1" t="s">
        <v>24</v>
      </c>
      <c r="AE3592" s="1" t="s">
        <v>24</v>
      </c>
      <c r="AF3592" s="22"/>
    </row>
    <row r="3593" spans="1:32" x14ac:dyDescent="0.2">
      <c r="A3593" s="1">
        <v>29664</v>
      </c>
      <c r="B3593" s="1" t="s">
        <v>11084</v>
      </c>
      <c r="C3593" s="5" t="s">
        <v>0</v>
      </c>
      <c r="D3593" s="1" t="s">
        <v>11085</v>
      </c>
      <c r="E3593" s="1" t="s">
        <v>11086</v>
      </c>
      <c r="F3593" s="1" t="s">
        <v>11087</v>
      </c>
      <c r="G3593" s="1" t="s">
        <v>11087</v>
      </c>
      <c r="H3593" s="1" t="s">
        <v>37</v>
      </c>
      <c r="I3593" s="1" t="s">
        <v>16</v>
      </c>
      <c r="J3593" s="1">
        <v>1</v>
      </c>
      <c r="K3593" s="1">
        <v>1</v>
      </c>
      <c r="L3593" s="1" t="s">
        <v>42</v>
      </c>
      <c r="M3593" s="1" t="s">
        <v>18</v>
      </c>
      <c r="N3593" s="1" t="s">
        <v>18</v>
      </c>
      <c r="O3593" s="1">
        <v>3</v>
      </c>
      <c r="P3593" s="1">
        <v>6</v>
      </c>
      <c r="R3593" s="1" t="s">
        <v>19</v>
      </c>
      <c r="S3593" s="1" t="s">
        <v>63</v>
      </c>
      <c r="T3593" s="1" t="s">
        <v>21</v>
      </c>
      <c r="U3593" s="1" t="s">
        <v>22</v>
      </c>
      <c r="V3593" s="1" t="s">
        <v>24</v>
      </c>
      <c r="W3593" s="1" t="s">
        <v>24</v>
      </c>
      <c r="X3593" s="1">
        <v>3004</v>
      </c>
      <c r="Y3593" s="1">
        <v>1313</v>
      </c>
      <c r="Z3593" s="1" t="s">
        <v>24</v>
      </c>
      <c r="AA3593" s="1" t="s">
        <v>24</v>
      </c>
      <c r="AB3593" s="1" t="s">
        <v>24</v>
      </c>
      <c r="AC3593" s="1" t="s">
        <v>24</v>
      </c>
      <c r="AD3593" s="1" t="s">
        <v>24</v>
      </c>
      <c r="AE3593" s="1" t="s">
        <v>24</v>
      </c>
      <c r="AF3593" s="22"/>
    </row>
    <row r="3594" spans="1:32" x14ac:dyDescent="0.2">
      <c r="A3594" s="1">
        <v>29666</v>
      </c>
      <c r="B3594" s="1" t="s">
        <v>11088</v>
      </c>
      <c r="C3594" s="5" t="s">
        <v>0</v>
      </c>
      <c r="D3594" s="1" t="s">
        <v>11089</v>
      </c>
      <c r="E3594" s="1" t="s">
        <v>11090</v>
      </c>
      <c r="F3594" s="1" t="s">
        <v>5124</v>
      </c>
      <c r="G3594" s="1" t="s">
        <v>5125</v>
      </c>
      <c r="H3594" s="1" t="s">
        <v>264</v>
      </c>
      <c r="I3594" s="1" t="s">
        <v>16</v>
      </c>
      <c r="J3594" s="1">
        <v>1</v>
      </c>
      <c r="K3594" s="1">
        <v>4</v>
      </c>
      <c r="L3594" s="1" t="s">
        <v>31</v>
      </c>
      <c r="M3594" s="1" t="s">
        <v>18</v>
      </c>
      <c r="N3594" s="1" t="s">
        <v>18</v>
      </c>
      <c r="O3594" s="1">
        <v>3</v>
      </c>
      <c r="P3594" s="1">
        <v>6</v>
      </c>
      <c r="R3594" s="1" t="s">
        <v>19</v>
      </c>
      <c r="S3594" s="1" t="s">
        <v>20</v>
      </c>
      <c r="T3594" s="1" t="s">
        <v>21</v>
      </c>
      <c r="U3594" s="1" t="s">
        <v>22</v>
      </c>
      <c r="V3594" s="1" t="s">
        <v>24</v>
      </c>
      <c r="W3594" s="1" t="s">
        <v>24</v>
      </c>
      <c r="X3594" s="1">
        <v>2725</v>
      </c>
      <c r="Y3594" s="1">
        <v>2739</v>
      </c>
      <c r="Z3594" s="1" t="s">
        <v>24</v>
      </c>
      <c r="AA3594" s="1" t="s">
        <v>24</v>
      </c>
      <c r="AB3594" s="1" t="s">
        <v>24</v>
      </c>
      <c r="AC3594" s="1" t="s">
        <v>24</v>
      </c>
      <c r="AD3594" s="1" t="s">
        <v>24</v>
      </c>
      <c r="AE3594" s="1" t="s">
        <v>24</v>
      </c>
      <c r="AF3594" s="22"/>
    </row>
    <row r="3595" spans="1:32" x14ac:dyDescent="0.2">
      <c r="A3595" s="1">
        <v>29667</v>
      </c>
      <c r="B3595" s="1" t="s">
        <v>11091</v>
      </c>
      <c r="C3595" s="5" t="s">
        <v>0</v>
      </c>
      <c r="D3595" s="1" t="s">
        <v>11092</v>
      </c>
      <c r="E3595" s="1" t="s">
        <v>11093</v>
      </c>
      <c r="F3595" s="1" t="s">
        <v>9967</v>
      </c>
      <c r="G3595" s="1" t="s">
        <v>130</v>
      </c>
      <c r="H3595" s="1" t="s">
        <v>30</v>
      </c>
      <c r="I3595" s="1" t="s">
        <v>16</v>
      </c>
      <c r="J3595" s="1">
        <v>1</v>
      </c>
      <c r="K3595" s="1">
        <v>4</v>
      </c>
      <c r="L3595" s="1" t="s">
        <v>31</v>
      </c>
      <c r="M3595" s="1" t="s">
        <v>18</v>
      </c>
      <c r="N3595" s="1" t="s">
        <v>18</v>
      </c>
      <c r="O3595" s="1">
        <v>3</v>
      </c>
      <c r="P3595" s="1">
        <v>5</v>
      </c>
      <c r="R3595" s="1" t="s">
        <v>19</v>
      </c>
      <c r="S3595" s="1" t="s">
        <v>20</v>
      </c>
      <c r="T3595" s="1" t="s">
        <v>21</v>
      </c>
      <c r="U3595" s="1" t="s">
        <v>22</v>
      </c>
      <c r="V3595" s="1" t="s">
        <v>24</v>
      </c>
      <c r="W3595" s="1" t="s">
        <v>24</v>
      </c>
      <c r="X3595" s="1">
        <v>2705</v>
      </c>
      <c r="Y3595" s="1">
        <v>2737</v>
      </c>
      <c r="Z3595" s="1">
        <v>2711</v>
      </c>
      <c r="AA3595" s="1" t="s">
        <v>24</v>
      </c>
      <c r="AB3595" s="1" t="s">
        <v>24</v>
      </c>
      <c r="AC3595" s="1" t="s">
        <v>24</v>
      </c>
      <c r="AD3595" s="1" t="s">
        <v>24</v>
      </c>
      <c r="AE3595" s="1" t="s">
        <v>24</v>
      </c>
      <c r="AF3595" s="22"/>
    </row>
    <row r="3596" spans="1:32" x14ac:dyDescent="0.2">
      <c r="A3596" s="1">
        <v>29668</v>
      </c>
      <c r="B3596" s="1" t="s">
        <v>11094</v>
      </c>
      <c r="C3596" s="5" t="s">
        <v>0</v>
      </c>
      <c r="D3596" s="1" t="s">
        <v>11095</v>
      </c>
      <c r="E3596" s="1" t="s">
        <v>11096</v>
      </c>
      <c r="F3596" s="1" t="s">
        <v>9718</v>
      </c>
      <c r="G3596" s="1" t="s">
        <v>130</v>
      </c>
      <c r="H3596" s="1" t="s">
        <v>30</v>
      </c>
      <c r="I3596" s="1" t="s">
        <v>16</v>
      </c>
      <c r="J3596" s="1">
        <v>1</v>
      </c>
      <c r="K3596" s="1">
        <v>4</v>
      </c>
      <c r="L3596" s="1" t="s">
        <v>31</v>
      </c>
      <c r="M3596" s="1" t="s">
        <v>18</v>
      </c>
      <c r="N3596" s="1" t="s">
        <v>18</v>
      </c>
      <c r="O3596" s="1">
        <v>3</v>
      </c>
      <c r="P3596" s="1">
        <v>5</v>
      </c>
      <c r="R3596" s="1" t="s">
        <v>19</v>
      </c>
      <c r="S3596" s="1" t="s">
        <v>20</v>
      </c>
      <c r="T3596" s="1" t="s">
        <v>21</v>
      </c>
      <c r="U3596" s="1" t="s">
        <v>22</v>
      </c>
      <c r="V3596" s="1" t="s">
        <v>24</v>
      </c>
      <c r="W3596" s="1" t="s">
        <v>24</v>
      </c>
      <c r="X3596" s="1">
        <v>2721</v>
      </c>
      <c r="Y3596" s="1">
        <v>2406</v>
      </c>
      <c r="Z3596" s="1" t="s">
        <v>24</v>
      </c>
      <c r="AA3596" s="1" t="s">
        <v>24</v>
      </c>
      <c r="AB3596" s="1" t="s">
        <v>24</v>
      </c>
      <c r="AC3596" s="1" t="s">
        <v>24</v>
      </c>
      <c r="AD3596" s="1" t="s">
        <v>24</v>
      </c>
      <c r="AE3596" s="1" t="s">
        <v>24</v>
      </c>
      <c r="AF3596" s="22"/>
    </row>
    <row r="3597" spans="1:32" x14ac:dyDescent="0.2">
      <c r="A3597" s="1">
        <v>29670</v>
      </c>
      <c r="B3597" s="1" t="s">
        <v>11097</v>
      </c>
      <c r="C3597" s="5" t="s">
        <v>0</v>
      </c>
      <c r="D3597" s="1" t="s">
        <v>11098</v>
      </c>
      <c r="E3597" s="1" t="s">
        <v>11099</v>
      </c>
      <c r="F3597" s="1" t="s">
        <v>9718</v>
      </c>
      <c r="G3597" s="1" t="s">
        <v>130</v>
      </c>
      <c r="H3597" s="1" t="s">
        <v>30</v>
      </c>
      <c r="I3597" s="1" t="s">
        <v>16</v>
      </c>
      <c r="J3597" s="1">
        <v>1</v>
      </c>
      <c r="K3597" s="1">
        <v>4</v>
      </c>
      <c r="L3597" s="1" t="s">
        <v>31</v>
      </c>
      <c r="M3597" s="1" t="s">
        <v>18</v>
      </c>
      <c r="N3597" s="1" t="s">
        <v>18</v>
      </c>
      <c r="O3597" s="1">
        <v>3</v>
      </c>
      <c r="P3597" s="1">
        <v>5</v>
      </c>
      <c r="R3597" s="1" t="s">
        <v>19</v>
      </c>
      <c r="S3597" s="1" t="s">
        <v>20</v>
      </c>
      <c r="T3597" s="1" t="s">
        <v>21</v>
      </c>
      <c r="U3597" s="1" t="s">
        <v>22</v>
      </c>
      <c r="V3597" s="1" t="s">
        <v>24</v>
      </c>
      <c r="W3597" s="1" t="s">
        <v>24</v>
      </c>
      <c r="X3597" s="1">
        <v>2406</v>
      </c>
      <c r="Y3597" s="1">
        <v>2725</v>
      </c>
      <c r="Z3597" s="1" t="s">
        <v>24</v>
      </c>
      <c r="AA3597" s="1" t="s">
        <v>24</v>
      </c>
      <c r="AB3597" s="1" t="s">
        <v>24</v>
      </c>
      <c r="AC3597" s="1" t="s">
        <v>24</v>
      </c>
      <c r="AD3597" s="1" t="s">
        <v>24</v>
      </c>
      <c r="AE3597" s="1" t="s">
        <v>24</v>
      </c>
      <c r="AF3597" s="22"/>
    </row>
    <row r="3598" spans="1:32" x14ac:dyDescent="0.2">
      <c r="A3598" s="1">
        <v>29671</v>
      </c>
      <c r="B3598" s="1" t="s">
        <v>11100</v>
      </c>
      <c r="C3598" s="5" t="s">
        <v>0</v>
      </c>
      <c r="D3598" s="1" t="s">
        <v>11101</v>
      </c>
      <c r="E3598" s="1" t="s">
        <v>11102</v>
      </c>
      <c r="F3598" s="1" t="s">
        <v>9718</v>
      </c>
      <c r="G3598" s="1" t="s">
        <v>130</v>
      </c>
      <c r="H3598" s="1" t="s">
        <v>30</v>
      </c>
      <c r="I3598" s="1" t="s">
        <v>16</v>
      </c>
      <c r="J3598" s="1">
        <v>1</v>
      </c>
      <c r="K3598" s="1">
        <v>4</v>
      </c>
      <c r="L3598" s="1" t="s">
        <v>31</v>
      </c>
      <c r="M3598" s="1" t="s">
        <v>18</v>
      </c>
      <c r="N3598" s="1" t="s">
        <v>18</v>
      </c>
      <c r="O3598" s="1">
        <v>3</v>
      </c>
      <c r="P3598" s="1">
        <v>5</v>
      </c>
      <c r="R3598" s="1" t="s">
        <v>19</v>
      </c>
      <c r="S3598" s="1" t="s">
        <v>20</v>
      </c>
      <c r="T3598" s="1" t="s">
        <v>21</v>
      </c>
      <c r="U3598" s="1" t="s">
        <v>22</v>
      </c>
      <c r="V3598" s="1" t="s">
        <v>24</v>
      </c>
      <c r="W3598" s="1" t="s">
        <v>24</v>
      </c>
      <c r="X3598" s="1">
        <v>2712</v>
      </c>
      <c r="Y3598" s="1" t="s">
        <v>24</v>
      </c>
      <c r="Z3598" s="1" t="s">
        <v>24</v>
      </c>
      <c r="AA3598" s="1" t="s">
        <v>24</v>
      </c>
      <c r="AB3598" s="1" t="s">
        <v>24</v>
      </c>
      <c r="AC3598" s="1" t="s">
        <v>24</v>
      </c>
      <c r="AD3598" s="1" t="s">
        <v>24</v>
      </c>
      <c r="AE3598" s="1" t="s">
        <v>24</v>
      </c>
      <c r="AF3598" s="22"/>
    </row>
    <row r="3599" spans="1:32" x14ac:dyDescent="0.2">
      <c r="A3599" s="1">
        <v>29672</v>
      </c>
      <c r="B3599" s="1" t="s">
        <v>11103</v>
      </c>
      <c r="C3599" s="5" t="s">
        <v>0</v>
      </c>
      <c r="D3599" s="1" t="s">
        <v>11104</v>
      </c>
      <c r="E3599" s="1" t="s">
        <v>11105</v>
      </c>
      <c r="F3599" s="1" t="s">
        <v>9718</v>
      </c>
      <c r="G3599" s="1" t="s">
        <v>130</v>
      </c>
      <c r="H3599" s="1" t="s">
        <v>30</v>
      </c>
      <c r="I3599" s="1" t="s">
        <v>16</v>
      </c>
      <c r="J3599" s="1">
        <v>1</v>
      </c>
      <c r="K3599" s="1">
        <v>4</v>
      </c>
      <c r="L3599" s="1" t="s">
        <v>31</v>
      </c>
      <c r="M3599" s="1" t="s">
        <v>18</v>
      </c>
      <c r="N3599" s="1" t="s">
        <v>18</v>
      </c>
      <c r="O3599" s="1">
        <v>3</v>
      </c>
      <c r="P3599" s="1">
        <v>5</v>
      </c>
      <c r="R3599" s="1" t="s">
        <v>19</v>
      </c>
      <c r="S3599" s="1" t="s">
        <v>20</v>
      </c>
      <c r="T3599" s="1" t="s">
        <v>21</v>
      </c>
      <c r="U3599" s="1" t="s">
        <v>22</v>
      </c>
      <c r="V3599" s="1" t="s">
        <v>24</v>
      </c>
      <c r="W3599" s="1" t="s">
        <v>24</v>
      </c>
      <c r="X3599" s="1">
        <v>2748</v>
      </c>
      <c r="Y3599" s="1" t="s">
        <v>24</v>
      </c>
      <c r="Z3599" s="1" t="s">
        <v>24</v>
      </c>
      <c r="AA3599" s="1" t="s">
        <v>24</v>
      </c>
      <c r="AB3599" s="1" t="s">
        <v>24</v>
      </c>
      <c r="AC3599" s="1" t="s">
        <v>24</v>
      </c>
      <c r="AD3599" s="1" t="s">
        <v>24</v>
      </c>
      <c r="AE3599" s="1" t="s">
        <v>24</v>
      </c>
      <c r="AF3599" s="22"/>
    </row>
    <row r="3600" spans="1:32" x14ac:dyDescent="0.2">
      <c r="A3600" s="1">
        <v>29674</v>
      </c>
      <c r="B3600" s="1" t="s">
        <v>11106</v>
      </c>
      <c r="C3600" s="5" t="s">
        <v>0</v>
      </c>
      <c r="D3600" s="1" t="s">
        <v>11107</v>
      </c>
      <c r="E3600" s="1" t="s">
        <v>11108</v>
      </c>
      <c r="F3600" s="1" t="s">
        <v>9718</v>
      </c>
      <c r="G3600" s="1" t="s">
        <v>130</v>
      </c>
      <c r="H3600" s="1" t="s">
        <v>30</v>
      </c>
      <c r="I3600" s="1" t="s">
        <v>16</v>
      </c>
      <c r="J3600" s="1">
        <v>1</v>
      </c>
      <c r="K3600" s="1">
        <v>6</v>
      </c>
      <c r="L3600" s="1" t="s">
        <v>31</v>
      </c>
      <c r="M3600" s="1" t="s">
        <v>18</v>
      </c>
      <c r="N3600" s="1" t="s">
        <v>18</v>
      </c>
      <c r="O3600" s="1">
        <v>3</v>
      </c>
      <c r="P3600" s="1">
        <v>5</v>
      </c>
      <c r="R3600" s="1" t="s">
        <v>19</v>
      </c>
      <c r="S3600" s="1" t="s">
        <v>63</v>
      </c>
      <c r="T3600" s="1" t="s">
        <v>21</v>
      </c>
      <c r="U3600" s="1" t="s">
        <v>22</v>
      </c>
      <c r="V3600" s="1" t="s">
        <v>24</v>
      </c>
      <c r="W3600" s="1" t="s">
        <v>24</v>
      </c>
      <c r="X3600" s="1">
        <v>2745</v>
      </c>
      <c r="Y3600" s="1" t="s">
        <v>24</v>
      </c>
      <c r="Z3600" s="1" t="s">
        <v>24</v>
      </c>
      <c r="AA3600" s="1" t="s">
        <v>24</v>
      </c>
      <c r="AB3600" s="1" t="s">
        <v>24</v>
      </c>
      <c r="AC3600" s="1" t="s">
        <v>24</v>
      </c>
      <c r="AD3600" s="1" t="s">
        <v>24</v>
      </c>
      <c r="AE3600" s="1" t="s">
        <v>24</v>
      </c>
      <c r="AF3600" s="22"/>
    </row>
    <row r="3601" spans="1:32" x14ac:dyDescent="0.2">
      <c r="A3601" s="1">
        <v>29676</v>
      </c>
      <c r="B3601" s="1" t="s">
        <v>11109</v>
      </c>
      <c r="C3601" s="5" t="s">
        <v>0</v>
      </c>
      <c r="D3601" s="1" t="s">
        <v>11110</v>
      </c>
      <c r="E3601" s="1" t="s">
        <v>11111</v>
      </c>
      <c r="F3601" s="1" t="s">
        <v>28</v>
      </c>
      <c r="G3601" s="1" t="s">
        <v>29</v>
      </c>
      <c r="H3601" s="1" t="s">
        <v>30</v>
      </c>
      <c r="I3601" s="1" t="s">
        <v>16</v>
      </c>
      <c r="J3601" s="1">
        <v>1</v>
      </c>
      <c r="K3601" s="1">
        <v>6</v>
      </c>
      <c r="L3601" s="1" t="s">
        <v>31</v>
      </c>
      <c r="M3601" s="1" t="s">
        <v>18</v>
      </c>
      <c r="N3601" s="1" t="s">
        <v>18</v>
      </c>
      <c r="O3601" s="1">
        <v>3</v>
      </c>
      <c r="P3601" s="1">
        <v>5</v>
      </c>
      <c r="R3601" s="1" t="s">
        <v>19</v>
      </c>
      <c r="S3601" s="1" t="s">
        <v>20</v>
      </c>
      <c r="T3601" s="1" t="s">
        <v>21</v>
      </c>
      <c r="U3601" s="1" t="s">
        <v>22</v>
      </c>
      <c r="V3601" s="1" t="s">
        <v>23</v>
      </c>
      <c r="W3601" s="1" t="s">
        <v>24</v>
      </c>
      <c r="X3601" s="1">
        <v>2732</v>
      </c>
      <c r="Y3601" s="1">
        <v>2739</v>
      </c>
      <c r="Z3601" s="1" t="s">
        <v>24</v>
      </c>
      <c r="AA3601" s="1" t="s">
        <v>24</v>
      </c>
      <c r="AB3601" s="1" t="s">
        <v>24</v>
      </c>
      <c r="AC3601" s="1" t="s">
        <v>24</v>
      </c>
      <c r="AD3601" s="1" t="s">
        <v>24</v>
      </c>
      <c r="AE3601" s="1" t="s">
        <v>24</v>
      </c>
      <c r="AF3601" s="22"/>
    </row>
    <row r="3602" spans="1:32" x14ac:dyDescent="0.2">
      <c r="A3602" s="1">
        <v>29677</v>
      </c>
      <c r="B3602" s="1" t="s">
        <v>11112</v>
      </c>
      <c r="C3602" s="5" t="s">
        <v>0</v>
      </c>
      <c r="D3602" s="1" t="s">
        <v>11113</v>
      </c>
      <c r="E3602" s="1" t="s">
        <v>11114</v>
      </c>
      <c r="F3602" s="1" t="s">
        <v>9718</v>
      </c>
      <c r="G3602" s="1" t="s">
        <v>130</v>
      </c>
      <c r="H3602" s="1" t="s">
        <v>30</v>
      </c>
      <c r="I3602" s="1" t="s">
        <v>16</v>
      </c>
      <c r="J3602" s="1">
        <v>1</v>
      </c>
      <c r="K3602" s="1">
        <v>6</v>
      </c>
      <c r="L3602" s="1" t="s">
        <v>31</v>
      </c>
      <c r="M3602" s="1" t="s">
        <v>18</v>
      </c>
      <c r="N3602" s="1" t="s">
        <v>18</v>
      </c>
      <c r="O3602" s="1">
        <v>3</v>
      </c>
      <c r="P3602" s="1">
        <v>5</v>
      </c>
      <c r="R3602" s="1" t="s">
        <v>19</v>
      </c>
      <c r="S3602" s="1" t="s">
        <v>20</v>
      </c>
      <c r="T3602" s="1" t="s">
        <v>21</v>
      </c>
      <c r="U3602" s="1" t="s">
        <v>22</v>
      </c>
      <c r="V3602" s="1" t="s">
        <v>24</v>
      </c>
      <c r="W3602" s="1" t="s">
        <v>24</v>
      </c>
      <c r="X3602" s="1">
        <v>2748</v>
      </c>
      <c r="Y3602" s="1" t="s">
        <v>24</v>
      </c>
      <c r="Z3602" s="1" t="s">
        <v>24</v>
      </c>
      <c r="AA3602" s="1" t="s">
        <v>24</v>
      </c>
      <c r="AB3602" s="1" t="s">
        <v>24</v>
      </c>
      <c r="AC3602" s="1" t="s">
        <v>24</v>
      </c>
      <c r="AD3602" s="1" t="s">
        <v>24</v>
      </c>
      <c r="AE3602" s="1" t="s">
        <v>24</v>
      </c>
      <c r="AF3602" s="22"/>
    </row>
    <row r="3603" spans="1:32" x14ac:dyDescent="0.2">
      <c r="A3603" s="1">
        <v>29678</v>
      </c>
      <c r="B3603" s="1" t="s">
        <v>11115</v>
      </c>
      <c r="C3603" s="5" t="s">
        <v>0</v>
      </c>
      <c r="D3603" s="1" t="s">
        <v>11116</v>
      </c>
      <c r="E3603" s="1" t="s">
        <v>11117</v>
      </c>
      <c r="F3603" s="1" t="s">
        <v>11079</v>
      </c>
      <c r="G3603" s="1" t="s">
        <v>11079</v>
      </c>
      <c r="H3603" s="1" t="s">
        <v>3228</v>
      </c>
      <c r="I3603" s="1" t="s">
        <v>16</v>
      </c>
      <c r="J3603" s="1">
        <v>1</v>
      </c>
      <c r="K3603" s="1">
        <v>1</v>
      </c>
      <c r="L3603" s="1" t="s">
        <v>42</v>
      </c>
      <c r="M3603" s="1" t="s">
        <v>18</v>
      </c>
      <c r="N3603" s="1" t="s">
        <v>18</v>
      </c>
      <c r="O3603" s="1">
        <v>3</v>
      </c>
      <c r="P3603" s="1">
        <v>6</v>
      </c>
      <c r="R3603" s="1" t="s">
        <v>19</v>
      </c>
      <c r="S3603" s="1" t="s">
        <v>63</v>
      </c>
      <c r="T3603" s="1" t="s">
        <v>21</v>
      </c>
      <c r="U3603" s="1" t="s">
        <v>22</v>
      </c>
      <c r="V3603" s="1" t="s">
        <v>24</v>
      </c>
      <c r="W3603" s="1" t="s">
        <v>24</v>
      </c>
      <c r="X3603" s="1">
        <v>2738</v>
      </c>
      <c r="Y3603" s="1">
        <v>2803</v>
      </c>
      <c r="Z3603" s="1" t="s">
        <v>24</v>
      </c>
      <c r="AA3603" s="1" t="s">
        <v>24</v>
      </c>
      <c r="AB3603" s="1" t="s">
        <v>24</v>
      </c>
      <c r="AC3603" s="1" t="s">
        <v>24</v>
      </c>
      <c r="AD3603" s="1" t="s">
        <v>24</v>
      </c>
      <c r="AE3603" s="1" t="s">
        <v>24</v>
      </c>
      <c r="AF3603" s="22"/>
    </row>
    <row r="3604" spans="1:32" x14ac:dyDescent="0.2">
      <c r="A3604" s="1">
        <v>29679</v>
      </c>
      <c r="B3604" s="1" t="s">
        <v>11118</v>
      </c>
      <c r="C3604" s="5" t="s">
        <v>0</v>
      </c>
      <c r="D3604" s="1" t="s">
        <v>11119</v>
      </c>
      <c r="E3604" s="1" t="s">
        <v>11120</v>
      </c>
      <c r="F3604" s="1" t="s">
        <v>11079</v>
      </c>
      <c r="G3604" s="1" t="s">
        <v>11079</v>
      </c>
      <c r="H3604" s="1" t="s">
        <v>3228</v>
      </c>
      <c r="I3604" s="1" t="s">
        <v>16</v>
      </c>
      <c r="J3604" s="1">
        <v>1</v>
      </c>
      <c r="K3604" s="1">
        <v>1</v>
      </c>
      <c r="L3604" s="1" t="s">
        <v>42</v>
      </c>
      <c r="M3604" s="1" t="s">
        <v>18</v>
      </c>
      <c r="N3604" s="1" t="s">
        <v>18</v>
      </c>
      <c r="O3604" s="1">
        <v>3</v>
      </c>
      <c r="P3604" s="1">
        <v>6</v>
      </c>
      <c r="R3604" s="1" t="s">
        <v>19</v>
      </c>
      <c r="S3604" s="1" t="s">
        <v>20</v>
      </c>
      <c r="T3604" s="1" t="s">
        <v>21</v>
      </c>
      <c r="U3604" s="1" t="s">
        <v>22</v>
      </c>
      <c r="V3604" s="1" t="s">
        <v>24</v>
      </c>
      <c r="W3604" s="1" t="s">
        <v>24</v>
      </c>
      <c r="X3604" s="1">
        <v>2736</v>
      </c>
      <c r="Y3604" s="1">
        <v>2700</v>
      </c>
      <c r="Z3604" s="1">
        <v>3000</v>
      </c>
      <c r="AA3604" s="1">
        <v>3311</v>
      </c>
      <c r="AB3604" s="1">
        <v>1504</v>
      </c>
      <c r="AC3604" s="1" t="s">
        <v>24</v>
      </c>
      <c r="AD3604" s="1" t="s">
        <v>24</v>
      </c>
      <c r="AE3604" s="1" t="s">
        <v>24</v>
      </c>
      <c r="AF3604" s="22"/>
    </row>
    <row r="3605" spans="1:32" x14ac:dyDescent="0.2">
      <c r="A3605" s="1">
        <v>29680</v>
      </c>
      <c r="B3605" s="1" t="s">
        <v>11121</v>
      </c>
      <c r="C3605" s="5" t="s">
        <v>0</v>
      </c>
      <c r="D3605" s="1" t="s">
        <v>11122</v>
      </c>
      <c r="E3605" s="1" t="s">
        <v>11123</v>
      </c>
      <c r="F3605" s="1" t="s">
        <v>11079</v>
      </c>
      <c r="G3605" s="1" t="s">
        <v>11079</v>
      </c>
      <c r="H3605" s="1" t="s">
        <v>3228</v>
      </c>
      <c r="I3605" s="1" t="s">
        <v>16</v>
      </c>
      <c r="J3605" s="1">
        <v>1</v>
      </c>
      <c r="K3605" s="1">
        <v>1</v>
      </c>
      <c r="L3605" s="1" t="s">
        <v>42</v>
      </c>
      <c r="M3605" s="1" t="s">
        <v>18</v>
      </c>
      <c r="N3605" s="1" t="s">
        <v>18</v>
      </c>
      <c r="O3605" s="1">
        <v>3</v>
      </c>
      <c r="P3605" s="1">
        <v>6</v>
      </c>
      <c r="R3605" s="1" t="s">
        <v>19</v>
      </c>
      <c r="S3605" s="1" t="s">
        <v>20</v>
      </c>
      <c r="T3605" s="1" t="s">
        <v>21</v>
      </c>
      <c r="U3605" s="1" t="s">
        <v>22</v>
      </c>
      <c r="V3605" s="1" t="s">
        <v>23</v>
      </c>
      <c r="W3605" s="1" t="s">
        <v>24</v>
      </c>
      <c r="X3605" s="1">
        <v>2705</v>
      </c>
      <c r="Y3605" s="1">
        <v>2736</v>
      </c>
      <c r="Z3605" s="1">
        <v>2739</v>
      </c>
      <c r="AA3605" s="1">
        <v>2720</v>
      </c>
      <c r="AB3605" s="1">
        <v>2712</v>
      </c>
      <c r="AC3605" s="1" t="s">
        <v>24</v>
      </c>
      <c r="AD3605" s="1" t="s">
        <v>24</v>
      </c>
      <c r="AE3605" s="1" t="s">
        <v>24</v>
      </c>
      <c r="AF3605" s="22"/>
    </row>
    <row r="3606" spans="1:32" x14ac:dyDescent="0.2">
      <c r="A3606" s="1">
        <v>29682</v>
      </c>
      <c r="B3606" s="1" t="s">
        <v>11124</v>
      </c>
      <c r="C3606" s="5" t="s">
        <v>0</v>
      </c>
      <c r="D3606" s="1" t="s">
        <v>11125</v>
      </c>
      <c r="E3606" s="1" t="s">
        <v>11126</v>
      </c>
      <c r="F3606" s="1" t="s">
        <v>540</v>
      </c>
      <c r="G3606" s="1" t="s">
        <v>130</v>
      </c>
      <c r="H3606" s="1" t="s">
        <v>684</v>
      </c>
      <c r="I3606" s="1" t="s">
        <v>16</v>
      </c>
      <c r="J3606" s="1">
        <v>1</v>
      </c>
      <c r="K3606" s="1">
        <v>12</v>
      </c>
      <c r="L3606" s="1" t="s">
        <v>31</v>
      </c>
      <c r="M3606" s="1" t="s">
        <v>117</v>
      </c>
      <c r="N3606" s="1" t="s">
        <v>118</v>
      </c>
      <c r="O3606" s="1">
        <v>3</v>
      </c>
      <c r="P3606" s="1">
        <v>5</v>
      </c>
      <c r="R3606" s="1" t="s">
        <v>19</v>
      </c>
      <c r="S3606" s="1" t="s">
        <v>20</v>
      </c>
      <c r="T3606" s="1" t="s">
        <v>21</v>
      </c>
      <c r="U3606" s="1" t="s">
        <v>22</v>
      </c>
      <c r="V3606" s="1" t="s">
        <v>24</v>
      </c>
      <c r="W3606" s="1" t="s">
        <v>24</v>
      </c>
      <c r="X3606" s="1">
        <v>2730</v>
      </c>
      <c r="Y3606" s="1">
        <v>1306</v>
      </c>
      <c r="Z3606" s="1" t="s">
        <v>24</v>
      </c>
      <c r="AA3606" s="1" t="s">
        <v>24</v>
      </c>
      <c r="AB3606" s="1" t="s">
        <v>24</v>
      </c>
      <c r="AC3606" s="1" t="s">
        <v>24</v>
      </c>
      <c r="AD3606" s="1" t="s">
        <v>24</v>
      </c>
      <c r="AE3606" s="1" t="s">
        <v>24</v>
      </c>
      <c r="AF3606" s="22"/>
    </row>
    <row r="3607" spans="1:32" x14ac:dyDescent="0.2">
      <c r="A3607" s="1">
        <v>29683</v>
      </c>
      <c r="B3607" s="1" t="s">
        <v>11127</v>
      </c>
      <c r="C3607" s="5" t="s">
        <v>0</v>
      </c>
      <c r="D3607" s="1" t="s">
        <v>11128</v>
      </c>
      <c r="E3607" s="1" t="s">
        <v>11129</v>
      </c>
      <c r="F3607" s="1" t="s">
        <v>1683</v>
      </c>
      <c r="G3607" s="1" t="s">
        <v>61</v>
      </c>
      <c r="H3607" s="1" t="s">
        <v>116</v>
      </c>
      <c r="I3607" s="1" t="s">
        <v>16</v>
      </c>
      <c r="J3607" s="1">
        <v>1</v>
      </c>
      <c r="K3607" s="1">
        <v>6</v>
      </c>
      <c r="L3607" s="1" t="s">
        <v>31</v>
      </c>
      <c r="M3607" s="1" t="s">
        <v>117</v>
      </c>
      <c r="N3607" s="1" t="s">
        <v>118</v>
      </c>
      <c r="O3607" s="1">
        <v>3</v>
      </c>
      <c r="P3607" s="1">
        <v>5</v>
      </c>
      <c r="R3607" s="1" t="s">
        <v>19</v>
      </c>
      <c r="S3607" s="1" t="s">
        <v>20</v>
      </c>
      <c r="T3607" s="1" t="s">
        <v>21</v>
      </c>
      <c r="U3607" s="1" t="s">
        <v>22</v>
      </c>
      <c r="V3607" s="1" t="s">
        <v>24</v>
      </c>
      <c r="W3607" s="1" t="s">
        <v>24</v>
      </c>
      <c r="X3607" s="1">
        <v>2745</v>
      </c>
      <c r="Y3607" s="1" t="s">
        <v>24</v>
      </c>
      <c r="Z3607" s="1" t="s">
        <v>24</v>
      </c>
      <c r="AA3607" s="1" t="s">
        <v>24</v>
      </c>
      <c r="AB3607" s="1" t="s">
        <v>24</v>
      </c>
      <c r="AC3607" s="1" t="s">
        <v>24</v>
      </c>
      <c r="AD3607" s="1" t="s">
        <v>24</v>
      </c>
      <c r="AE3607" s="1" t="s">
        <v>24</v>
      </c>
      <c r="AF3607" s="22"/>
    </row>
    <row r="3608" spans="1:32" x14ac:dyDescent="0.2">
      <c r="A3608" s="1">
        <v>29686</v>
      </c>
      <c r="B3608" s="1" t="s">
        <v>11130</v>
      </c>
      <c r="C3608" s="5" t="s">
        <v>0</v>
      </c>
      <c r="D3608" s="1" t="s">
        <v>11131</v>
      </c>
      <c r="F3608" s="1" t="s">
        <v>11132</v>
      </c>
      <c r="G3608" s="1" t="s">
        <v>1066</v>
      </c>
      <c r="H3608" s="1" t="s">
        <v>1007</v>
      </c>
      <c r="I3608" s="1" t="s">
        <v>16</v>
      </c>
      <c r="J3608" s="1">
        <v>1</v>
      </c>
      <c r="K3608" s="1">
        <v>6</v>
      </c>
      <c r="L3608" s="1" t="s">
        <v>17</v>
      </c>
      <c r="M3608" s="1" t="s">
        <v>1008</v>
      </c>
      <c r="N3608" s="1" t="s">
        <v>4418</v>
      </c>
      <c r="O3608" s="1">
        <v>3</v>
      </c>
      <c r="P3608" s="1">
        <v>5</v>
      </c>
      <c r="R3608" s="1" t="s">
        <v>19</v>
      </c>
      <c r="S3608" s="1" t="s">
        <v>20</v>
      </c>
      <c r="T3608" s="1" t="s">
        <v>21</v>
      </c>
      <c r="U3608" s="1" t="s">
        <v>22</v>
      </c>
      <c r="V3608" s="1" t="s">
        <v>24</v>
      </c>
      <c r="W3608" s="1" t="s">
        <v>24</v>
      </c>
      <c r="X3608" s="1">
        <v>2741</v>
      </c>
      <c r="Y3608" s="1" t="s">
        <v>24</v>
      </c>
      <c r="Z3608" s="1" t="s">
        <v>24</v>
      </c>
      <c r="AA3608" s="1" t="s">
        <v>24</v>
      </c>
      <c r="AB3608" s="1" t="s">
        <v>24</v>
      </c>
      <c r="AC3608" s="1" t="s">
        <v>24</v>
      </c>
      <c r="AD3608" s="1" t="s">
        <v>24</v>
      </c>
      <c r="AE3608" s="1" t="s">
        <v>24</v>
      </c>
      <c r="AF3608" s="22"/>
    </row>
    <row r="3609" spans="1:32" x14ac:dyDescent="0.2">
      <c r="A3609" s="1">
        <v>29687</v>
      </c>
      <c r="B3609" s="1" t="s">
        <v>11133</v>
      </c>
      <c r="C3609" s="5" t="s">
        <v>0</v>
      </c>
      <c r="D3609" s="1" t="s">
        <v>11134</v>
      </c>
      <c r="F3609" s="1" t="s">
        <v>11135</v>
      </c>
      <c r="G3609" s="1" t="s">
        <v>1066</v>
      </c>
      <c r="H3609" s="1" t="s">
        <v>1007</v>
      </c>
      <c r="I3609" s="1" t="s">
        <v>16</v>
      </c>
      <c r="J3609" s="1">
        <v>1</v>
      </c>
      <c r="K3609" s="1">
        <v>12</v>
      </c>
      <c r="L3609" s="1" t="s">
        <v>17</v>
      </c>
      <c r="M3609" s="1" t="s">
        <v>1008</v>
      </c>
      <c r="N3609" s="1" t="s">
        <v>4418</v>
      </c>
      <c r="O3609" s="1">
        <v>3</v>
      </c>
      <c r="P3609" s="1">
        <v>5</v>
      </c>
      <c r="R3609" s="1" t="s">
        <v>19</v>
      </c>
      <c r="S3609" s="1" t="s">
        <v>20</v>
      </c>
      <c r="T3609" s="1" t="s">
        <v>21</v>
      </c>
      <c r="U3609" s="1" t="s">
        <v>22</v>
      </c>
      <c r="V3609" s="1" t="s">
        <v>24</v>
      </c>
      <c r="W3609" s="1" t="s">
        <v>24</v>
      </c>
      <c r="X3609" s="1">
        <v>2741</v>
      </c>
      <c r="Y3609" s="1">
        <v>2737</v>
      </c>
      <c r="Z3609" s="1" t="s">
        <v>24</v>
      </c>
      <c r="AA3609" s="1" t="s">
        <v>24</v>
      </c>
      <c r="AB3609" s="1" t="s">
        <v>24</v>
      </c>
      <c r="AC3609" s="1" t="s">
        <v>24</v>
      </c>
      <c r="AD3609" s="1" t="s">
        <v>24</v>
      </c>
      <c r="AE3609" s="1" t="s">
        <v>24</v>
      </c>
      <c r="AF3609" s="22"/>
    </row>
    <row r="3610" spans="1:32" x14ac:dyDescent="0.2">
      <c r="A3610" s="1">
        <v>29688</v>
      </c>
      <c r="B3610" s="1" t="s">
        <v>11136</v>
      </c>
      <c r="C3610" s="5" t="s">
        <v>0</v>
      </c>
      <c r="D3610" s="1" t="s">
        <v>11137</v>
      </c>
      <c r="F3610" s="1" t="s">
        <v>11138</v>
      </c>
      <c r="G3610" s="1" t="s">
        <v>11139</v>
      </c>
      <c r="H3610" s="1" t="s">
        <v>1007</v>
      </c>
      <c r="I3610" s="1" t="s">
        <v>16</v>
      </c>
      <c r="J3610" s="1">
        <v>1</v>
      </c>
      <c r="K3610" s="1">
        <v>12</v>
      </c>
      <c r="L3610" s="1" t="s">
        <v>42</v>
      </c>
      <c r="M3610" s="1" t="s">
        <v>1008</v>
      </c>
      <c r="N3610" s="1" t="s">
        <v>4418</v>
      </c>
      <c r="O3610" s="1">
        <v>3</v>
      </c>
      <c r="P3610" s="1">
        <v>5</v>
      </c>
      <c r="R3610" s="1" t="s">
        <v>19</v>
      </c>
      <c r="S3610" s="1" t="s">
        <v>20</v>
      </c>
      <c r="T3610" s="1" t="s">
        <v>21</v>
      </c>
      <c r="U3610" s="1" t="s">
        <v>22</v>
      </c>
      <c r="V3610" s="1" t="s">
        <v>24</v>
      </c>
      <c r="W3610" s="1" t="s">
        <v>24</v>
      </c>
      <c r="X3610" s="1">
        <v>2707</v>
      </c>
      <c r="Y3610" s="1" t="s">
        <v>24</v>
      </c>
      <c r="Z3610" s="1" t="s">
        <v>24</v>
      </c>
      <c r="AA3610" s="1" t="s">
        <v>24</v>
      </c>
      <c r="AB3610" s="1" t="s">
        <v>24</v>
      </c>
      <c r="AC3610" s="1" t="s">
        <v>24</v>
      </c>
      <c r="AD3610" s="1" t="s">
        <v>24</v>
      </c>
      <c r="AE3610" s="1" t="s">
        <v>24</v>
      </c>
      <c r="AF3610" s="22"/>
    </row>
    <row r="3611" spans="1:32" x14ac:dyDescent="0.2">
      <c r="A3611" s="1">
        <v>29690</v>
      </c>
      <c r="B3611" s="1" t="s">
        <v>11140</v>
      </c>
      <c r="C3611" s="5" t="s">
        <v>0</v>
      </c>
      <c r="D3611" s="1" t="s">
        <v>11141</v>
      </c>
      <c r="F3611" s="1" t="s">
        <v>11142</v>
      </c>
      <c r="G3611" s="1" t="s">
        <v>11143</v>
      </c>
      <c r="H3611" s="1" t="s">
        <v>1007</v>
      </c>
      <c r="I3611" s="1" t="s">
        <v>16</v>
      </c>
      <c r="J3611" s="1">
        <v>1</v>
      </c>
      <c r="K3611" s="1">
        <v>6</v>
      </c>
      <c r="L3611" s="1" t="s">
        <v>42</v>
      </c>
      <c r="M3611" s="1" t="s">
        <v>1008</v>
      </c>
      <c r="N3611" s="1" t="s">
        <v>4418</v>
      </c>
      <c r="O3611" s="1">
        <v>3</v>
      </c>
      <c r="P3611" s="1">
        <v>5</v>
      </c>
      <c r="R3611" s="1" t="s">
        <v>19</v>
      </c>
      <c r="S3611" s="1" t="s">
        <v>20</v>
      </c>
      <c r="T3611" s="1" t="s">
        <v>21</v>
      </c>
      <c r="U3611" s="1" t="s">
        <v>22</v>
      </c>
      <c r="V3611" s="1" t="s">
        <v>24</v>
      </c>
      <c r="W3611" s="1" t="s">
        <v>24</v>
      </c>
      <c r="X3611" s="1">
        <v>2725</v>
      </c>
      <c r="Y3611" s="1">
        <v>2736</v>
      </c>
      <c r="Z3611" s="1">
        <v>2726</v>
      </c>
      <c r="AA3611" s="1" t="s">
        <v>24</v>
      </c>
      <c r="AB3611" s="1" t="s">
        <v>24</v>
      </c>
      <c r="AC3611" s="1" t="s">
        <v>24</v>
      </c>
      <c r="AD3611" s="1" t="s">
        <v>24</v>
      </c>
      <c r="AE3611" s="1" t="s">
        <v>24</v>
      </c>
      <c r="AF3611" s="22"/>
    </row>
    <row r="3612" spans="1:32" x14ac:dyDescent="0.2">
      <c r="A3612" s="1">
        <v>29691</v>
      </c>
      <c r="B3612" s="1" t="s">
        <v>11144</v>
      </c>
      <c r="C3612" s="5" t="s">
        <v>0</v>
      </c>
      <c r="D3612" s="1" t="s">
        <v>11145</v>
      </c>
      <c r="F3612" s="1" t="s">
        <v>11146</v>
      </c>
      <c r="G3612" s="1" t="s">
        <v>1066</v>
      </c>
      <c r="H3612" s="1" t="s">
        <v>1007</v>
      </c>
      <c r="I3612" s="1" t="s">
        <v>16</v>
      </c>
      <c r="J3612" s="1">
        <v>1</v>
      </c>
      <c r="K3612" s="1">
        <v>12</v>
      </c>
      <c r="L3612" s="1" t="s">
        <v>17</v>
      </c>
      <c r="M3612" s="1" t="s">
        <v>1008</v>
      </c>
      <c r="N3612" s="1" t="s">
        <v>4418</v>
      </c>
      <c r="O3612" s="1">
        <v>3</v>
      </c>
      <c r="P3612" s="1">
        <v>5</v>
      </c>
      <c r="R3612" s="1" t="s">
        <v>19</v>
      </c>
      <c r="S3612" s="1" t="s">
        <v>20</v>
      </c>
      <c r="T3612" s="1" t="s">
        <v>21</v>
      </c>
      <c r="U3612" s="1" t="s">
        <v>22</v>
      </c>
      <c r="V3612" s="1" t="s">
        <v>24</v>
      </c>
      <c r="W3612" s="1" t="s">
        <v>24</v>
      </c>
      <c r="X3612" s="1">
        <v>3003</v>
      </c>
      <c r="Y3612" s="1">
        <v>3002</v>
      </c>
      <c r="Z3612" s="1">
        <v>2736</v>
      </c>
      <c r="AA3612" s="1">
        <v>2707</v>
      </c>
      <c r="AB3612" s="1" t="s">
        <v>24</v>
      </c>
      <c r="AC3612" s="1" t="s">
        <v>24</v>
      </c>
      <c r="AD3612" s="1" t="s">
        <v>24</v>
      </c>
      <c r="AE3612" s="1" t="s">
        <v>24</v>
      </c>
      <c r="AF3612" s="22"/>
    </row>
    <row r="3613" spans="1:32" x14ac:dyDescent="0.2">
      <c r="A3613" s="1">
        <v>29692</v>
      </c>
      <c r="B3613" s="1" t="s">
        <v>11147</v>
      </c>
      <c r="C3613" s="5" t="s">
        <v>0</v>
      </c>
      <c r="D3613" s="1" t="s">
        <v>11148</v>
      </c>
      <c r="F3613" s="1" t="s">
        <v>11149</v>
      </c>
      <c r="G3613" s="1" t="s">
        <v>1066</v>
      </c>
      <c r="H3613" s="1" t="s">
        <v>1007</v>
      </c>
      <c r="I3613" s="1" t="s">
        <v>16</v>
      </c>
      <c r="J3613" s="1">
        <v>1</v>
      </c>
      <c r="K3613" s="1">
        <v>6</v>
      </c>
      <c r="L3613" s="1" t="s">
        <v>17</v>
      </c>
      <c r="M3613" s="1" t="s">
        <v>1008</v>
      </c>
      <c r="N3613" s="1" t="s">
        <v>4418</v>
      </c>
      <c r="O3613" s="1">
        <v>3</v>
      </c>
      <c r="P3613" s="1">
        <v>5</v>
      </c>
      <c r="R3613" s="1" t="s">
        <v>19</v>
      </c>
      <c r="S3613" s="1" t="s">
        <v>20</v>
      </c>
      <c r="T3613" s="1" t="s">
        <v>21</v>
      </c>
      <c r="U3613" s="1" t="s">
        <v>22</v>
      </c>
      <c r="V3613" s="1" t="s">
        <v>24</v>
      </c>
      <c r="W3613" s="1" t="s">
        <v>24</v>
      </c>
      <c r="X3613" s="1">
        <v>2916</v>
      </c>
      <c r="Y3613" s="1" t="s">
        <v>24</v>
      </c>
      <c r="Z3613" s="1" t="s">
        <v>24</v>
      </c>
      <c r="AA3613" s="1" t="s">
        <v>24</v>
      </c>
      <c r="AB3613" s="1" t="s">
        <v>24</v>
      </c>
      <c r="AC3613" s="1" t="s">
        <v>24</v>
      </c>
      <c r="AD3613" s="1" t="s">
        <v>24</v>
      </c>
      <c r="AE3613" s="1" t="s">
        <v>24</v>
      </c>
      <c r="AF3613" s="22"/>
    </row>
    <row r="3614" spans="1:32" x14ac:dyDescent="0.2">
      <c r="A3614" s="1">
        <v>29693</v>
      </c>
      <c r="B3614" s="1" t="s">
        <v>11150</v>
      </c>
      <c r="C3614" s="5" t="s">
        <v>0</v>
      </c>
      <c r="D3614" s="1" t="s">
        <v>11151</v>
      </c>
      <c r="F3614" s="1" t="s">
        <v>6693</v>
      </c>
      <c r="G3614" s="1" t="s">
        <v>6694</v>
      </c>
      <c r="H3614" s="1" t="s">
        <v>684</v>
      </c>
      <c r="I3614" s="1" t="s">
        <v>16</v>
      </c>
      <c r="J3614" s="1">
        <v>1</v>
      </c>
      <c r="K3614" s="1">
        <v>3</v>
      </c>
      <c r="L3614" s="1" t="s">
        <v>31</v>
      </c>
      <c r="M3614" s="1" t="s">
        <v>685</v>
      </c>
      <c r="N3614" s="1" t="s">
        <v>685</v>
      </c>
      <c r="O3614" s="1">
        <v>3</v>
      </c>
      <c r="P3614" s="1">
        <v>5</v>
      </c>
      <c r="R3614" s="1" t="s">
        <v>19</v>
      </c>
      <c r="S3614" s="1" t="s">
        <v>20</v>
      </c>
      <c r="T3614" s="1" t="s">
        <v>21</v>
      </c>
      <c r="U3614" s="1" t="s">
        <v>22</v>
      </c>
      <c r="V3614" s="1" t="s">
        <v>24</v>
      </c>
      <c r="W3614" s="1" t="s">
        <v>24</v>
      </c>
      <c r="X3614" s="1">
        <v>2708</v>
      </c>
      <c r="Y3614" s="1" t="s">
        <v>24</v>
      </c>
      <c r="Z3614" s="1" t="s">
        <v>24</v>
      </c>
      <c r="AA3614" s="1" t="s">
        <v>24</v>
      </c>
      <c r="AB3614" s="1" t="s">
        <v>24</v>
      </c>
      <c r="AC3614" s="1" t="s">
        <v>24</v>
      </c>
      <c r="AD3614" s="1" t="s">
        <v>24</v>
      </c>
      <c r="AE3614" s="1" t="s">
        <v>24</v>
      </c>
      <c r="AF3614" s="22"/>
    </row>
    <row r="3615" spans="1:32" x14ac:dyDescent="0.2">
      <c r="A3615" s="1">
        <v>29696</v>
      </c>
      <c r="B3615" s="1" t="s">
        <v>11152</v>
      </c>
      <c r="C3615" s="5" t="s">
        <v>0</v>
      </c>
      <c r="D3615" s="1" t="s">
        <v>11153</v>
      </c>
      <c r="E3615" s="1" t="s">
        <v>11154</v>
      </c>
      <c r="F3615" s="1" t="s">
        <v>91</v>
      </c>
      <c r="G3615" s="1" t="s">
        <v>61</v>
      </c>
      <c r="H3615" s="1" t="s">
        <v>92</v>
      </c>
      <c r="I3615" s="1" t="s">
        <v>16</v>
      </c>
      <c r="J3615" s="1">
        <v>1</v>
      </c>
      <c r="K3615" s="1">
        <v>2</v>
      </c>
      <c r="L3615" s="1" t="s">
        <v>31</v>
      </c>
      <c r="M3615" s="1" t="s">
        <v>18</v>
      </c>
      <c r="N3615" s="1" t="s">
        <v>18</v>
      </c>
      <c r="O3615" s="1">
        <v>3</v>
      </c>
      <c r="P3615" s="1">
        <v>7</v>
      </c>
      <c r="Q3615" s="7" t="s">
        <v>17633</v>
      </c>
      <c r="R3615" s="1" t="s">
        <v>19</v>
      </c>
      <c r="S3615" s="1" t="s">
        <v>20</v>
      </c>
      <c r="T3615" s="1" t="s">
        <v>21</v>
      </c>
      <c r="U3615" s="1" t="s">
        <v>22</v>
      </c>
      <c r="V3615" s="1" t="s">
        <v>24</v>
      </c>
      <c r="W3615" s="1" t="s">
        <v>24</v>
      </c>
      <c r="X3615" s="1">
        <v>3400</v>
      </c>
      <c r="Y3615" s="1">
        <v>1314</v>
      </c>
      <c r="Z3615" s="1" t="s">
        <v>24</v>
      </c>
      <c r="AA3615" s="1" t="s">
        <v>24</v>
      </c>
      <c r="AB3615" s="1" t="s">
        <v>24</v>
      </c>
      <c r="AC3615" s="1" t="s">
        <v>24</v>
      </c>
      <c r="AD3615" s="1" t="s">
        <v>24</v>
      </c>
      <c r="AE3615" s="1" t="s">
        <v>24</v>
      </c>
      <c r="AF3615" s="22"/>
    </row>
    <row r="3616" spans="1:32" x14ac:dyDescent="0.2">
      <c r="A3616" s="1">
        <v>29698</v>
      </c>
      <c r="B3616" s="1" t="s">
        <v>11155</v>
      </c>
      <c r="C3616" s="5" t="s">
        <v>0</v>
      </c>
      <c r="D3616" s="1" t="s">
        <v>11156</v>
      </c>
      <c r="E3616" s="1" t="s">
        <v>11157</v>
      </c>
      <c r="F3616" s="1" t="s">
        <v>155</v>
      </c>
      <c r="G3616" s="1" t="s">
        <v>61</v>
      </c>
      <c r="H3616" s="1" t="s">
        <v>37</v>
      </c>
      <c r="I3616" s="1" t="s">
        <v>16</v>
      </c>
      <c r="J3616" s="1">
        <v>1</v>
      </c>
      <c r="K3616" s="1">
        <v>4</v>
      </c>
      <c r="L3616" s="1" t="s">
        <v>31</v>
      </c>
      <c r="M3616" s="1" t="s">
        <v>18</v>
      </c>
      <c r="N3616" s="1" t="s">
        <v>18</v>
      </c>
      <c r="O3616" s="1">
        <v>3</v>
      </c>
      <c r="P3616" s="1">
        <v>7</v>
      </c>
      <c r="Q3616" s="7" t="s">
        <v>17633</v>
      </c>
      <c r="R3616" s="1" t="s">
        <v>19</v>
      </c>
      <c r="S3616" s="1" t="s">
        <v>63</v>
      </c>
      <c r="T3616" s="1" t="s">
        <v>21</v>
      </c>
      <c r="U3616" s="1" t="s">
        <v>22</v>
      </c>
      <c r="V3616" s="1" t="s">
        <v>24</v>
      </c>
      <c r="W3616" s="1" t="s">
        <v>24</v>
      </c>
      <c r="X3616" s="1">
        <v>2718</v>
      </c>
      <c r="Y3616" s="1">
        <v>1711</v>
      </c>
      <c r="Z3616" s="1" t="s">
        <v>24</v>
      </c>
      <c r="AA3616" s="1" t="s">
        <v>24</v>
      </c>
      <c r="AB3616" s="1" t="s">
        <v>24</v>
      </c>
      <c r="AC3616" s="1" t="s">
        <v>24</v>
      </c>
      <c r="AD3616" s="1" t="s">
        <v>24</v>
      </c>
      <c r="AE3616" s="1" t="s">
        <v>24</v>
      </c>
      <c r="AF3616" s="22"/>
    </row>
    <row r="3617" spans="1:32" x14ac:dyDescent="0.2">
      <c r="A3617" s="1">
        <v>29699</v>
      </c>
      <c r="B3617" s="1" t="s">
        <v>11158</v>
      </c>
      <c r="C3617" s="5" t="s">
        <v>0</v>
      </c>
      <c r="D3617" s="1" t="s">
        <v>11159</v>
      </c>
      <c r="E3617" s="1" t="s">
        <v>11160</v>
      </c>
      <c r="F3617" s="1" t="s">
        <v>272</v>
      </c>
      <c r="G3617" s="1" t="s">
        <v>61</v>
      </c>
      <c r="H3617" s="1" t="s">
        <v>30</v>
      </c>
      <c r="I3617" s="1" t="s">
        <v>16</v>
      </c>
      <c r="J3617" s="1">
        <v>1</v>
      </c>
      <c r="K3617" s="1">
        <v>6</v>
      </c>
      <c r="L3617" s="1" t="s">
        <v>31</v>
      </c>
      <c r="M3617" s="1" t="s">
        <v>18</v>
      </c>
      <c r="N3617" s="1" t="s">
        <v>18</v>
      </c>
      <c r="O3617" s="1">
        <v>3</v>
      </c>
      <c r="P3617" s="1">
        <v>7</v>
      </c>
      <c r="Q3617" s="7" t="s">
        <v>17633</v>
      </c>
      <c r="R3617" s="1" t="s">
        <v>19</v>
      </c>
      <c r="S3617" s="1" t="s">
        <v>20</v>
      </c>
      <c r="T3617" s="1" t="s">
        <v>21</v>
      </c>
      <c r="U3617" s="1" t="s">
        <v>22</v>
      </c>
      <c r="V3617" s="1" t="s">
        <v>24</v>
      </c>
      <c r="W3617" s="1" t="s">
        <v>24</v>
      </c>
      <c r="X3617" s="1">
        <v>2746</v>
      </c>
      <c r="Y3617" s="1" t="s">
        <v>24</v>
      </c>
      <c r="Z3617" s="1" t="s">
        <v>24</v>
      </c>
      <c r="AA3617" s="1" t="s">
        <v>24</v>
      </c>
      <c r="AB3617" s="1" t="s">
        <v>24</v>
      </c>
      <c r="AC3617" s="1" t="s">
        <v>24</v>
      </c>
      <c r="AD3617" s="1" t="s">
        <v>24</v>
      </c>
      <c r="AE3617" s="1" t="s">
        <v>24</v>
      </c>
      <c r="AF3617" s="22"/>
    </row>
    <row r="3618" spans="1:32" x14ac:dyDescent="0.2">
      <c r="A3618" s="1">
        <v>29700</v>
      </c>
      <c r="B3618" s="1" t="s">
        <v>11161</v>
      </c>
      <c r="C3618" s="5" t="s">
        <v>0</v>
      </c>
      <c r="D3618" s="1" t="s">
        <v>11162</v>
      </c>
      <c r="E3618" s="1" t="s">
        <v>11163</v>
      </c>
      <c r="F3618" s="1" t="s">
        <v>272</v>
      </c>
      <c r="G3618" s="1" t="s">
        <v>61</v>
      </c>
      <c r="H3618" s="1" t="s">
        <v>30</v>
      </c>
      <c r="I3618" s="1" t="s">
        <v>16</v>
      </c>
      <c r="J3618" s="1">
        <v>1</v>
      </c>
      <c r="K3618" s="1">
        <v>6</v>
      </c>
      <c r="L3618" s="1" t="s">
        <v>31</v>
      </c>
      <c r="M3618" s="1" t="s">
        <v>18</v>
      </c>
      <c r="N3618" s="1" t="s">
        <v>18</v>
      </c>
      <c r="O3618" s="1">
        <v>3</v>
      </c>
      <c r="P3618" s="1">
        <v>7</v>
      </c>
      <c r="Q3618" s="7" t="s">
        <v>17633</v>
      </c>
      <c r="R3618" s="1" t="s">
        <v>19</v>
      </c>
      <c r="S3618" s="1" t="s">
        <v>20</v>
      </c>
      <c r="T3618" s="1" t="s">
        <v>21</v>
      </c>
      <c r="U3618" s="1" t="s">
        <v>22</v>
      </c>
      <c r="V3618" s="1" t="s">
        <v>23</v>
      </c>
      <c r="W3618" s="1" t="s">
        <v>24</v>
      </c>
      <c r="X3618" s="1">
        <v>2707</v>
      </c>
      <c r="Y3618" s="1">
        <v>3602</v>
      </c>
      <c r="Z3618" s="1">
        <v>2603</v>
      </c>
      <c r="AA3618" s="1">
        <v>2900</v>
      </c>
      <c r="AB3618" s="1" t="s">
        <v>24</v>
      </c>
      <c r="AC3618" s="1" t="s">
        <v>24</v>
      </c>
      <c r="AD3618" s="1" t="s">
        <v>24</v>
      </c>
      <c r="AE3618" s="1" t="s">
        <v>24</v>
      </c>
      <c r="AF3618" s="22"/>
    </row>
    <row r="3619" spans="1:32" x14ac:dyDescent="0.2">
      <c r="A3619" s="1">
        <v>29701</v>
      </c>
      <c r="B3619" s="1" t="s">
        <v>11164</v>
      </c>
      <c r="C3619" s="5" t="s">
        <v>0</v>
      </c>
      <c r="D3619" s="1" t="s">
        <v>11165</v>
      </c>
      <c r="E3619" s="1" t="s">
        <v>11166</v>
      </c>
      <c r="F3619" s="1" t="s">
        <v>272</v>
      </c>
      <c r="G3619" s="1" t="s">
        <v>61</v>
      </c>
      <c r="H3619" s="1" t="s">
        <v>30</v>
      </c>
      <c r="I3619" s="1" t="s">
        <v>16</v>
      </c>
      <c r="J3619" s="1">
        <v>1</v>
      </c>
      <c r="K3619" s="1">
        <v>6</v>
      </c>
      <c r="L3619" s="1" t="s">
        <v>31</v>
      </c>
      <c r="M3619" s="1" t="s">
        <v>18</v>
      </c>
      <c r="N3619" s="1" t="s">
        <v>18</v>
      </c>
      <c r="O3619" s="1">
        <v>3</v>
      </c>
      <c r="P3619" s="1">
        <v>7</v>
      </c>
      <c r="Q3619" s="7" t="s">
        <v>17633</v>
      </c>
      <c r="R3619" s="1" t="s">
        <v>19</v>
      </c>
      <c r="S3619" s="1" t="s">
        <v>20</v>
      </c>
      <c r="T3619" s="1" t="s">
        <v>21</v>
      </c>
      <c r="U3619" s="1" t="s">
        <v>22</v>
      </c>
      <c r="V3619" s="1" t="s">
        <v>23</v>
      </c>
      <c r="W3619" s="1" t="s">
        <v>24</v>
      </c>
      <c r="X3619" s="1">
        <v>2728</v>
      </c>
      <c r="Y3619" s="1">
        <v>2806</v>
      </c>
      <c r="Z3619" s="1">
        <v>2804</v>
      </c>
      <c r="AA3619" s="1">
        <v>2738</v>
      </c>
      <c r="AB3619" s="1">
        <v>2717</v>
      </c>
      <c r="AC3619" s="1">
        <v>2713</v>
      </c>
      <c r="AD3619" s="1">
        <v>2719</v>
      </c>
      <c r="AE3619" s="1" t="s">
        <v>24</v>
      </c>
      <c r="AF3619" s="22"/>
    </row>
    <row r="3620" spans="1:32" x14ac:dyDescent="0.2">
      <c r="A3620" s="1">
        <v>29702</v>
      </c>
      <c r="B3620" s="1" t="s">
        <v>11167</v>
      </c>
      <c r="C3620" s="5" t="s">
        <v>0</v>
      </c>
      <c r="D3620" s="1" t="s">
        <v>11168</v>
      </c>
      <c r="E3620" s="1" t="s">
        <v>11169</v>
      </c>
      <c r="F3620" s="1" t="s">
        <v>272</v>
      </c>
      <c r="G3620" s="1" t="s">
        <v>61</v>
      </c>
      <c r="H3620" s="1" t="s">
        <v>30</v>
      </c>
      <c r="I3620" s="1" t="s">
        <v>16</v>
      </c>
      <c r="J3620" s="1">
        <v>1</v>
      </c>
      <c r="K3620" s="1">
        <v>4</v>
      </c>
      <c r="L3620" s="1" t="s">
        <v>31</v>
      </c>
      <c r="M3620" s="1" t="s">
        <v>18</v>
      </c>
      <c r="N3620" s="1" t="s">
        <v>18</v>
      </c>
      <c r="O3620" s="1">
        <v>3</v>
      </c>
      <c r="P3620" s="1">
        <v>7</v>
      </c>
      <c r="Q3620" s="7" t="s">
        <v>17633</v>
      </c>
      <c r="R3620" s="1" t="s">
        <v>19</v>
      </c>
      <c r="S3620" s="1" t="s">
        <v>63</v>
      </c>
      <c r="T3620" s="1" t="s">
        <v>21</v>
      </c>
      <c r="U3620" s="1" t="s">
        <v>22</v>
      </c>
      <c r="V3620" s="1" t="s">
        <v>24</v>
      </c>
      <c r="W3620" s="1" t="s">
        <v>24</v>
      </c>
      <c r="X3620" s="1">
        <v>1303</v>
      </c>
      <c r="Y3620" s="1">
        <v>1311</v>
      </c>
      <c r="Z3620" s="1">
        <v>1312</v>
      </c>
      <c r="AA3620" s="1">
        <v>1314</v>
      </c>
      <c r="AB3620" s="1" t="s">
        <v>24</v>
      </c>
      <c r="AC3620" s="1" t="s">
        <v>24</v>
      </c>
      <c r="AD3620" s="1" t="s">
        <v>24</v>
      </c>
      <c r="AE3620" s="1" t="s">
        <v>24</v>
      </c>
      <c r="AF3620" s="22"/>
    </row>
    <row r="3621" spans="1:32" x14ac:dyDescent="0.2">
      <c r="A3621" s="1">
        <v>29703</v>
      </c>
      <c r="B3621" s="1" t="s">
        <v>11170</v>
      </c>
      <c r="C3621" s="5" t="s">
        <v>0</v>
      </c>
      <c r="D3621" s="1" t="s">
        <v>11171</v>
      </c>
      <c r="E3621" s="1" t="s">
        <v>11172</v>
      </c>
      <c r="F3621" s="1" t="s">
        <v>155</v>
      </c>
      <c r="G3621" s="1" t="s">
        <v>61</v>
      </c>
      <c r="H3621" s="1" t="s">
        <v>37</v>
      </c>
      <c r="I3621" s="1" t="s">
        <v>16</v>
      </c>
      <c r="J3621" s="1">
        <v>1</v>
      </c>
      <c r="K3621" s="1">
        <v>6</v>
      </c>
      <c r="L3621" s="1" t="s">
        <v>31</v>
      </c>
      <c r="M3621" s="1" t="s">
        <v>18</v>
      </c>
      <c r="N3621" s="1" t="s">
        <v>18</v>
      </c>
      <c r="O3621" s="1">
        <v>3</v>
      </c>
      <c r="P3621" s="1">
        <v>7</v>
      </c>
      <c r="Q3621" s="7" t="s">
        <v>17633</v>
      </c>
      <c r="R3621" s="1" t="s">
        <v>19</v>
      </c>
      <c r="S3621" s="1" t="s">
        <v>20</v>
      </c>
      <c r="T3621" s="1" t="s">
        <v>21</v>
      </c>
      <c r="U3621" s="1" t="s">
        <v>22</v>
      </c>
      <c r="V3621" s="1" t="s">
        <v>23</v>
      </c>
      <c r="W3621" s="1" t="s">
        <v>24</v>
      </c>
      <c r="X3621" s="1">
        <v>2748</v>
      </c>
      <c r="Y3621" s="1">
        <v>2735</v>
      </c>
      <c r="Z3621" s="1" t="s">
        <v>24</v>
      </c>
      <c r="AA3621" s="1" t="s">
        <v>24</v>
      </c>
      <c r="AB3621" s="1" t="s">
        <v>24</v>
      </c>
      <c r="AC3621" s="1" t="s">
        <v>24</v>
      </c>
      <c r="AD3621" s="1" t="s">
        <v>24</v>
      </c>
      <c r="AE3621" s="1" t="s">
        <v>24</v>
      </c>
      <c r="AF3621" s="22"/>
    </row>
    <row r="3622" spans="1:32" x14ac:dyDescent="0.2">
      <c r="A3622" s="1">
        <v>29704</v>
      </c>
      <c r="B3622" s="1" t="s">
        <v>11173</v>
      </c>
      <c r="C3622" s="5" t="s">
        <v>0</v>
      </c>
      <c r="D3622" s="1" t="s">
        <v>11174</v>
      </c>
      <c r="E3622" s="1" t="s">
        <v>11175</v>
      </c>
      <c r="F3622" s="1" t="s">
        <v>155</v>
      </c>
      <c r="G3622" s="1" t="s">
        <v>61</v>
      </c>
      <c r="H3622" s="1" t="s">
        <v>37</v>
      </c>
      <c r="I3622" s="1" t="s">
        <v>16</v>
      </c>
      <c r="J3622" s="1">
        <v>1</v>
      </c>
      <c r="K3622" s="1">
        <v>12</v>
      </c>
      <c r="L3622" s="1" t="s">
        <v>31</v>
      </c>
      <c r="M3622" s="1" t="s">
        <v>18</v>
      </c>
      <c r="N3622" s="1" t="s">
        <v>18</v>
      </c>
      <c r="O3622" s="1">
        <v>3</v>
      </c>
      <c r="P3622" s="1">
        <v>7</v>
      </c>
      <c r="Q3622" s="7" t="s">
        <v>17633</v>
      </c>
      <c r="R3622" s="1" t="s">
        <v>19</v>
      </c>
      <c r="S3622" s="1" t="s">
        <v>20</v>
      </c>
      <c r="T3622" s="1" t="s">
        <v>21</v>
      </c>
      <c r="U3622" s="1" t="s">
        <v>22</v>
      </c>
      <c r="V3622" s="1" t="s">
        <v>24</v>
      </c>
      <c r="W3622" s="1" t="s">
        <v>24</v>
      </c>
      <c r="X3622" s="1">
        <v>2502</v>
      </c>
      <c r="Y3622" s="1">
        <v>2204</v>
      </c>
      <c r="Z3622" s="1">
        <v>1305</v>
      </c>
      <c r="AA3622" s="1">
        <v>1303</v>
      </c>
      <c r="AB3622" s="1">
        <v>1312</v>
      </c>
      <c r="AC3622" s="1" t="s">
        <v>24</v>
      </c>
      <c r="AD3622" s="1" t="s">
        <v>24</v>
      </c>
      <c r="AE3622" s="1" t="s">
        <v>24</v>
      </c>
      <c r="AF3622" s="22"/>
    </row>
    <row r="3623" spans="1:32" x14ac:dyDescent="0.2">
      <c r="A3623" s="1">
        <v>29707</v>
      </c>
      <c r="B3623" s="1" t="s">
        <v>11176</v>
      </c>
      <c r="C3623" s="5" t="s">
        <v>0</v>
      </c>
      <c r="D3623" s="1" t="s">
        <v>11177</v>
      </c>
      <c r="F3623" s="1" t="s">
        <v>11178</v>
      </c>
      <c r="G3623" s="1" t="s">
        <v>11178</v>
      </c>
      <c r="H3623" s="1" t="s">
        <v>1384</v>
      </c>
      <c r="I3623" s="1" t="s">
        <v>16</v>
      </c>
      <c r="J3623" s="1">
        <v>1</v>
      </c>
      <c r="K3623" s="1">
        <v>2</v>
      </c>
      <c r="L3623" s="1" t="s">
        <v>17</v>
      </c>
      <c r="M3623" s="1" t="s">
        <v>18</v>
      </c>
      <c r="N3623" s="1" t="s">
        <v>3142</v>
      </c>
      <c r="O3623" s="1">
        <v>2</v>
      </c>
      <c r="P3623" s="1">
        <v>6</v>
      </c>
      <c r="R3623" s="1" t="s">
        <v>19</v>
      </c>
      <c r="S3623" s="1" t="s">
        <v>20</v>
      </c>
      <c r="T3623" s="1" t="s">
        <v>21</v>
      </c>
      <c r="U3623" s="1" t="s">
        <v>22</v>
      </c>
      <c r="V3623" s="1" t="s">
        <v>24</v>
      </c>
      <c r="W3623" s="1" t="s">
        <v>24</v>
      </c>
      <c r="X3623" s="1">
        <v>3003</v>
      </c>
      <c r="Y3623" s="1">
        <v>3611</v>
      </c>
      <c r="Z3623" s="1" t="s">
        <v>24</v>
      </c>
      <c r="AA3623" s="1" t="s">
        <v>24</v>
      </c>
      <c r="AB3623" s="1" t="s">
        <v>24</v>
      </c>
      <c r="AC3623" s="1" t="s">
        <v>24</v>
      </c>
      <c r="AD3623" s="1" t="s">
        <v>24</v>
      </c>
      <c r="AE3623" s="1" t="s">
        <v>24</v>
      </c>
      <c r="AF3623" s="22"/>
    </row>
    <row r="3624" spans="1:32" x14ac:dyDescent="0.2">
      <c r="A3624" s="1">
        <v>29708</v>
      </c>
      <c r="B3624" s="1" t="s">
        <v>11179</v>
      </c>
      <c r="C3624" s="5" t="s">
        <v>0</v>
      </c>
      <c r="D3624" s="1" t="s">
        <v>11180</v>
      </c>
      <c r="F3624" s="1" t="s">
        <v>11179</v>
      </c>
      <c r="G3624" s="1" t="s">
        <v>11181</v>
      </c>
      <c r="H3624" s="1" t="s">
        <v>249</v>
      </c>
      <c r="I3624" s="1" t="s">
        <v>16</v>
      </c>
      <c r="J3624" s="1">
        <v>1</v>
      </c>
      <c r="K3624" s="1">
        <v>4</v>
      </c>
      <c r="L3624" s="1" t="s">
        <v>31</v>
      </c>
      <c r="M3624" s="1" t="s">
        <v>250</v>
      </c>
      <c r="N3624" s="1" t="s">
        <v>1463</v>
      </c>
      <c r="O3624" s="1">
        <v>3</v>
      </c>
      <c r="P3624" s="1">
        <v>6</v>
      </c>
      <c r="R3624" s="1" t="s">
        <v>19</v>
      </c>
      <c r="S3624" s="1" t="s">
        <v>20</v>
      </c>
      <c r="T3624" s="1" t="s">
        <v>21</v>
      </c>
      <c r="U3624" s="1" t="s">
        <v>22</v>
      </c>
      <c r="V3624" s="1" t="s">
        <v>24</v>
      </c>
      <c r="W3624" s="1" t="s">
        <v>24</v>
      </c>
      <c r="X3624" s="1">
        <v>2717</v>
      </c>
      <c r="Y3624" s="1">
        <v>2738</v>
      </c>
      <c r="Z3624" s="1" t="s">
        <v>24</v>
      </c>
      <c r="AA3624" s="1" t="s">
        <v>24</v>
      </c>
      <c r="AB3624" s="1" t="s">
        <v>24</v>
      </c>
      <c r="AC3624" s="1" t="s">
        <v>24</v>
      </c>
      <c r="AD3624" s="1" t="s">
        <v>24</v>
      </c>
      <c r="AE3624" s="1" t="s">
        <v>24</v>
      </c>
      <c r="AF3624" s="22"/>
    </row>
    <row r="3625" spans="1:32" x14ac:dyDescent="0.2">
      <c r="A3625" s="1">
        <v>29709</v>
      </c>
      <c r="B3625" s="1" t="s">
        <v>11182</v>
      </c>
      <c r="C3625" s="5" t="s">
        <v>0</v>
      </c>
      <c r="D3625" s="1" t="s">
        <v>11183</v>
      </c>
      <c r="E3625" s="1" t="s">
        <v>11184</v>
      </c>
      <c r="F3625" s="1" t="s">
        <v>9039</v>
      </c>
      <c r="G3625" s="1" t="s">
        <v>292</v>
      </c>
      <c r="H3625" s="1" t="s">
        <v>37</v>
      </c>
      <c r="I3625" s="1" t="s">
        <v>16</v>
      </c>
      <c r="J3625" s="1">
        <v>1</v>
      </c>
      <c r="K3625" s="1">
        <v>6</v>
      </c>
      <c r="L3625" s="1" t="s">
        <v>31</v>
      </c>
      <c r="M3625" s="1" t="s">
        <v>18</v>
      </c>
      <c r="N3625" s="1" t="s">
        <v>18</v>
      </c>
      <c r="O3625" s="1">
        <v>3</v>
      </c>
      <c r="P3625" s="1">
        <v>5</v>
      </c>
      <c r="R3625" s="1" t="s">
        <v>19</v>
      </c>
      <c r="S3625" s="1" t="s">
        <v>20</v>
      </c>
      <c r="T3625" s="1" t="s">
        <v>21</v>
      </c>
      <c r="U3625" s="1" t="s">
        <v>22</v>
      </c>
      <c r="V3625" s="1" t="s">
        <v>24</v>
      </c>
      <c r="W3625" s="1" t="s">
        <v>24</v>
      </c>
      <c r="X3625" s="1">
        <v>2723</v>
      </c>
      <c r="Y3625" s="1">
        <v>2403</v>
      </c>
      <c r="Z3625" s="1" t="s">
        <v>24</v>
      </c>
      <c r="AA3625" s="1" t="s">
        <v>24</v>
      </c>
      <c r="AB3625" s="1" t="s">
        <v>24</v>
      </c>
      <c r="AC3625" s="1" t="s">
        <v>24</v>
      </c>
      <c r="AD3625" s="1" t="s">
        <v>24</v>
      </c>
      <c r="AE3625" s="1" t="s">
        <v>24</v>
      </c>
      <c r="AF3625" s="22"/>
    </row>
    <row r="3626" spans="1:32" x14ac:dyDescent="0.2">
      <c r="A3626" s="1">
        <v>29710</v>
      </c>
      <c r="B3626" s="1" t="s">
        <v>11185</v>
      </c>
      <c r="C3626" s="5" t="s">
        <v>0</v>
      </c>
      <c r="D3626" s="1" t="s">
        <v>11186</v>
      </c>
      <c r="E3626" s="1" t="s">
        <v>11187</v>
      </c>
      <c r="F3626" s="1" t="s">
        <v>8442</v>
      </c>
      <c r="G3626" s="1" t="s">
        <v>8443</v>
      </c>
      <c r="H3626" s="1" t="s">
        <v>37</v>
      </c>
      <c r="I3626" s="1" t="s">
        <v>16</v>
      </c>
      <c r="J3626" s="1">
        <v>1</v>
      </c>
      <c r="K3626" s="1">
        <v>6</v>
      </c>
      <c r="L3626" s="1" t="s">
        <v>31</v>
      </c>
      <c r="M3626" s="1" t="s">
        <v>18</v>
      </c>
      <c r="N3626" s="1" t="s">
        <v>18</v>
      </c>
      <c r="O3626" s="1">
        <v>3</v>
      </c>
      <c r="P3626" s="1">
        <v>7</v>
      </c>
      <c r="Q3626" s="7" t="s">
        <v>17633</v>
      </c>
      <c r="R3626" s="1" t="s">
        <v>19</v>
      </c>
      <c r="S3626" s="1" t="s">
        <v>20</v>
      </c>
      <c r="T3626" s="1" t="s">
        <v>21</v>
      </c>
      <c r="U3626" s="1" t="s">
        <v>22</v>
      </c>
      <c r="V3626" s="1" t="s">
        <v>24</v>
      </c>
      <c r="W3626" s="1" t="s">
        <v>24</v>
      </c>
      <c r="X3626" s="1">
        <v>2730</v>
      </c>
      <c r="Y3626" s="1">
        <v>1306</v>
      </c>
      <c r="Z3626" s="1" t="s">
        <v>24</v>
      </c>
      <c r="AA3626" s="1" t="s">
        <v>24</v>
      </c>
      <c r="AB3626" s="1" t="s">
        <v>24</v>
      </c>
      <c r="AC3626" s="1" t="s">
        <v>24</v>
      </c>
      <c r="AD3626" s="1" t="s">
        <v>24</v>
      </c>
      <c r="AE3626" s="1" t="s">
        <v>24</v>
      </c>
      <c r="AF3626" s="22"/>
    </row>
    <row r="3627" spans="1:32" x14ac:dyDescent="0.2">
      <c r="A3627" s="1">
        <v>29711</v>
      </c>
      <c r="B3627" s="1" t="s">
        <v>11188</v>
      </c>
      <c r="C3627" s="5" t="s">
        <v>0</v>
      </c>
      <c r="D3627" s="1" t="s">
        <v>11189</v>
      </c>
      <c r="E3627" s="1" t="s">
        <v>11190</v>
      </c>
      <c r="F3627" s="1" t="s">
        <v>8442</v>
      </c>
      <c r="G3627" s="1" t="s">
        <v>8443</v>
      </c>
      <c r="H3627" s="1" t="s">
        <v>37</v>
      </c>
      <c r="I3627" s="1" t="s">
        <v>16</v>
      </c>
      <c r="J3627" s="1">
        <v>1</v>
      </c>
      <c r="K3627" s="1">
        <v>4</v>
      </c>
      <c r="L3627" s="1" t="s">
        <v>31</v>
      </c>
      <c r="M3627" s="1" t="s">
        <v>18</v>
      </c>
      <c r="N3627" s="1" t="s">
        <v>18</v>
      </c>
      <c r="O3627" s="1">
        <v>3</v>
      </c>
      <c r="P3627" s="1">
        <v>7</v>
      </c>
      <c r="Q3627" s="7" t="s">
        <v>17633</v>
      </c>
      <c r="R3627" s="1" t="s">
        <v>19</v>
      </c>
      <c r="S3627" s="1" t="s">
        <v>20</v>
      </c>
      <c r="T3627" s="1" t="s">
        <v>21</v>
      </c>
      <c r="U3627" s="1" t="s">
        <v>22</v>
      </c>
      <c r="V3627" s="1" t="s">
        <v>24</v>
      </c>
      <c r="W3627" s="1" t="s">
        <v>24</v>
      </c>
      <c r="X3627" s="1">
        <v>1313</v>
      </c>
      <c r="Y3627" s="1">
        <v>3004</v>
      </c>
      <c r="Z3627" s="1">
        <v>2700</v>
      </c>
      <c r="AA3627" s="1" t="s">
        <v>24</v>
      </c>
      <c r="AB3627" s="1" t="s">
        <v>24</v>
      </c>
      <c r="AC3627" s="1" t="s">
        <v>24</v>
      </c>
      <c r="AD3627" s="1" t="s">
        <v>24</v>
      </c>
      <c r="AE3627" s="1" t="s">
        <v>24</v>
      </c>
      <c r="AF3627" s="22"/>
    </row>
    <row r="3628" spans="1:32" x14ac:dyDescent="0.2">
      <c r="A3628" s="1">
        <v>29712</v>
      </c>
      <c r="B3628" s="1" t="s">
        <v>11191</v>
      </c>
      <c r="C3628" s="5" t="s">
        <v>0</v>
      </c>
      <c r="D3628" s="1" t="s">
        <v>11192</v>
      </c>
      <c r="E3628" s="1" t="s">
        <v>11193</v>
      </c>
      <c r="F3628" s="1" t="s">
        <v>8442</v>
      </c>
      <c r="G3628" s="1" t="s">
        <v>8443</v>
      </c>
      <c r="H3628" s="1" t="s">
        <v>37</v>
      </c>
      <c r="I3628" s="1" t="s">
        <v>16</v>
      </c>
      <c r="J3628" s="1">
        <v>1</v>
      </c>
      <c r="K3628" s="1">
        <v>6</v>
      </c>
      <c r="L3628" s="1" t="s">
        <v>31</v>
      </c>
      <c r="M3628" s="1" t="s">
        <v>18</v>
      </c>
      <c r="N3628" s="1" t="s">
        <v>18</v>
      </c>
      <c r="O3628" s="1">
        <v>3</v>
      </c>
      <c r="P3628" s="1">
        <v>7</v>
      </c>
      <c r="Q3628" s="7" t="s">
        <v>17633</v>
      </c>
      <c r="R3628" s="1" t="s">
        <v>19</v>
      </c>
      <c r="S3628" s="1" t="s">
        <v>20</v>
      </c>
      <c r="T3628" s="1" t="s">
        <v>21</v>
      </c>
      <c r="U3628" s="1" t="s">
        <v>22</v>
      </c>
      <c r="V3628" s="1" t="s">
        <v>24</v>
      </c>
      <c r="W3628" s="1" t="s">
        <v>24</v>
      </c>
      <c r="X3628" s="1">
        <v>2705</v>
      </c>
      <c r="Y3628" s="1">
        <v>1313</v>
      </c>
      <c r="Z3628" s="1" t="s">
        <v>24</v>
      </c>
      <c r="AA3628" s="1" t="s">
        <v>24</v>
      </c>
      <c r="AB3628" s="1" t="s">
        <v>24</v>
      </c>
      <c r="AC3628" s="1" t="s">
        <v>24</v>
      </c>
      <c r="AD3628" s="1" t="s">
        <v>24</v>
      </c>
      <c r="AE3628" s="1" t="s">
        <v>24</v>
      </c>
      <c r="AF3628" s="22"/>
    </row>
    <row r="3629" spans="1:32" x14ac:dyDescent="0.2">
      <c r="A3629" s="1">
        <v>29713</v>
      </c>
      <c r="B3629" s="1" t="s">
        <v>11194</v>
      </c>
      <c r="C3629" s="5" t="s">
        <v>0</v>
      </c>
      <c r="D3629" s="1" t="s">
        <v>11195</v>
      </c>
      <c r="E3629" s="1" t="s">
        <v>11196</v>
      </c>
      <c r="F3629" s="1" t="s">
        <v>8442</v>
      </c>
      <c r="G3629" s="1" t="s">
        <v>8443</v>
      </c>
      <c r="H3629" s="1" t="s">
        <v>37</v>
      </c>
      <c r="I3629" s="1" t="s">
        <v>16</v>
      </c>
      <c r="J3629" s="1">
        <v>1</v>
      </c>
      <c r="K3629" s="1">
        <v>4</v>
      </c>
      <c r="L3629" s="1" t="s">
        <v>31</v>
      </c>
      <c r="M3629" s="1" t="s">
        <v>18</v>
      </c>
      <c r="N3629" s="1" t="s">
        <v>18</v>
      </c>
      <c r="O3629" s="1">
        <v>3</v>
      </c>
      <c r="P3629" s="1">
        <v>6</v>
      </c>
      <c r="R3629" s="1" t="s">
        <v>19</v>
      </c>
      <c r="S3629" s="1" t="s">
        <v>20</v>
      </c>
      <c r="T3629" s="1" t="s">
        <v>21</v>
      </c>
      <c r="U3629" s="1" t="s">
        <v>22</v>
      </c>
      <c r="V3629" s="1" t="s">
        <v>24</v>
      </c>
      <c r="W3629" s="1" t="s">
        <v>24</v>
      </c>
      <c r="X3629" s="1">
        <v>2717</v>
      </c>
      <c r="Y3629" s="1">
        <v>2700</v>
      </c>
      <c r="Z3629" s="1" t="s">
        <v>24</v>
      </c>
      <c r="AA3629" s="1" t="s">
        <v>24</v>
      </c>
      <c r="AB3629" s="1" t="s">
        <v>24</v>
      </c>
      <c r="AC3629" s="1" t="s">
        <v>24</v>
      </c>
      <c r="AD3629" s="1" t="s">
        <v>24</v>
      </c>
      <c r="AE3629" s="1" t="s">
        <v>24</v>
      </c>
      <c r="AF3629" s="22"/>
    </row>
    <row r="3630" spans="1:32" x14ac:dyDescent="0.2">
      <c r="A3630" s="1">
        <v>29714</v>
      </c>
      <c r="B3630" s="1" t="s">
        <v>11197</v>
      </c>
      <c r="C3630" s="5" t="s">
        <v>0</v>
      </c>
      <c r="D3630" s="1" t="s">
        <v>11198</v>
      </c>
      <c r="E3630" s="1" t="s">
        <v>11199</v>
      </c>
      <c r="F3630" s="1" t="s">
        <v>8442</v>
      </c>
      <c r="G3630" s="1" t="s">
        <v>8443</v>
      </c>
      <c r="H3630" s="1" t="s">
        <v>37</v>
      </c>
      <c r="I3630" s="1" t="s">
        <v>16</v>
      </c>
      <c r="J3630" s="1">
        <v>1</v>
      </c>
      <c r="K3630" s="1">
        <v>4</v>
      </c>
      <c r="L3630" s="1" t="s">
        <v>31</v>
      </c>
      <c r="M3630" s="1" t="s">
        <v>18</v>
      </c>
      <c r="N3630" s="1" t="s">
        <v>18</v>
      </c>
      <c r="O3630" s="1">
        <v>3</v>
      </c>
      <c r="P3630" s="1">
        <v>6</v>
      </c>
      <c r="R3630" s="1" t="s">
        <v>19</v>
      </c>
      <c r="S3630" s="1" t="s">
        <v>20</v>
      </c>
      <c r="T3630" s="1" t="s">
        <v>21</v>
      </c>
      <c r="U3630" s="1" t="s">
        <v>22</v>
      </c>
      <c r="V3630" s="1" t="s">
        <v>23</v>
      </c>
      <c r="W3630" s="1" t="s">
        <v>24</v>
      </c>
      <c r="X3630" s="1">
        <v>2700</v>
      </c>
      <c r="Y3630" s="1" t="s">
        <v>24</v>
      </c>
      <c r="Z3630" s="1" t="s">
        <v>24</v>
      </c>
      <c r="AA3630" s="1" t="s">
        <v>24</v>
      </c>
      <c r="AB3630" s="1" t="s">
        <v>24</v>
      </c>
      <c r="AC3630" s="1" t="s">
        <v>24</v>
      </c>
      <c r="AD3630" s="1" t="s">
        <v>24</v>
      </c>
      <c r="AE3630" s="1" t="s">
        <v>24</v>
      </c>
      <c r="AF3630" s="22"/>
    </row>
    <row r="3631" spans="1:32" x14ac:dyDescent="0.2">
      <c r="A3631" s="1">
        <v>29715</v>
      </c>
      <c r="B3631" s="1" t="s">
        <v>11200</v>
      </c>
      <c r="C3631" s="5" t="s">
        <v>0</v>
      </c>
      <c r="D3631" s="1" t="s">
        <v>11201</v>
      </c>
      <c r="F3631" s="1" t="s">
        <v>11202</v>
      </c>
      <c r="G3631" s="1" t="s">
        <v>11202</v>
      </c>
      <c r="H3631" s="1" t="s">
        <v>30</v>
      </c>
      <c r="I3631" s="1" t="s">
        <v>16</v>
      </c>
      <c r="J3631" s="1">
        <v>1</v>
      </c>
      <c r="K3631" s="1">
        <v>12</v>
      </c>
      <c r="L3631" s="1" t="s">
        <v>42</v>
      </c>
      <c r="M3631" s="1" t="s">
        <v>18</v>
      </c>
      <c r="N3631" s="1" t="s">
        <v>18</v>
      </c>
      <c r="O3631" s="1">
        <v>2</v>
      </c>
      <c r="P3631" s="1">
        <v>6</v>
      </c>
      <c r="R3631" s="1" t="s">
        <v>19</v>
      </c>
      <c r="S3631" s="1" t="s">
        <v>20</v>
      </c>
      <c r="T3631" s="1" t="s">
        <v>21</v>
      </c>
      <c r="U3631" s="1" t="s">
        <v>22</v>
      </c>
      <c r="V3631" s="1" t="s">
        <v>24</v>
      </c>
      <c r="W3631" s="1" t="s">
        <v>24</v>
      </c>
      <c r="X3631" s="1">
        <v>2715</v>
      </c>
      <c r="Y3631" s="1">
        <v>2721</v>
      </c>
      <c r="Z3631" s="1" t="s">
        <v>24</v>
      </c>
      <c r="AA3631" s="1" t="s">
        <v>24</v>
      </c>
      <c r="AB3631" s="1" t="s">
        <v>24</v>
      </c>
      <c r="AC3631" s="1" t="s">
        <v>24</v>
      </c>
      <c r="AD3631" s="1" t="s">
        <v>24</v>
      </c>
      <c r="AE3631" s="1" t="s">
        <v>24</v>
      </c>
      <c r="AF3631" s="22"/>
    </row>
    <row r="3632" spans="1:32" x14ac:dyDescent="0.2">
      <c r="A3632" s="1">
        <v>29716</v>
      </c>
      <c r="B3632" s="1" t="s">
        <v>11203</v>
      </c>
      <c r="C3632" s="5" t="s">
        <v>0</v>
      </c>
      <c r="D3632" s="1" t="s">
        <v>11204</v>
      </c>
      <c r="E3632" s="1" t="s">
        <v>11205</v>
      </c>
      <c r="F3632" s="1" t="s">
        <v>11206</v>
      </c>
      <c r="G3632" s="1" t="s">
        <v>11206</v>
      </c>
      <c r="H3632" s="1" t="s">
        <v>1384</v>
      </c>
      <c r="I3632" s="1" t="s">
        <v>16</v>
      </c>
      <c r="J3632" s="1">
        <v>1</v>
      </c>
      <c r="K3632" s="1">
        <v>4</v>
      </c>
      <c r="L3632" s="1" t="s">
        <v>42</v>
      </c>
      <c r="M3632" s="1" t="s">
        <v>1385</v>
      </c>
      <c r="N3632" s="1" t="s">
        <v>3142</v>
      </c>
      <c r="O3632" s="1">
        <v>3</v>
      </c>
      <c r="P3632" s="1">
        <v>5</v>
      </c>
      <c r="R3632" s="1" t="s">
        <v>19</v>
      </c>
      <c r="S3632" s="1" t="s">
        <v>20</v>
      </c>
      <c r="T3632" s="1" t="s">
        <v>21</v>
      </c>
      <c r="U3632" s="1" t="s">
        <v>22</v>
      </c>
      <c r="V3632" s="1" t="s">
        <v>24</v>
      </c>
      <c r="W3632" s="1" t="s">
        <v>24</v>
      </c>
      <c r="X3632" s="1">
        <v>2717</v>
      </c>
      <c r="Y3632" s="1" t="s">
        <v>24</v>
      </c>
      <c r="Z3632" s="1" t="s">
        <v>24</v>
      </c>
      <c r="AA3632" s="1" t="s">
        <v>24</v>
      </c>
      <c r="AB3632" s="1" t="s">
        <v>24</v>
      </c>
      <c r="AC3632" s="1" t="s">
        <v>24</v>
      </c>
      <c r="AD3632" s="1" t="s">
        <v>24</v>
      </c>
      <c r="AE3632" s="1" t="s">
        <v>24</v>
      </c>
      <c r="AF3632" s="22"/>
    </row>
    <row r="3633" spans="1:32" x14ac:dyDescent="0.2">
      <c r="A3633" s="1">
        <v>29717</v>
      </c>
      <c r="B3633" s="1" t="s">
        <v>11207</v>
      </c>
      <c r="C3633" s="5" t="s">
        <v>0</v>
      </c>
      <c r="D3633" s="1" t="s">
        <v>11208</v>
      </c>
      <c r="F3633" s="1" t="s">
        <v>11209</v>
      </c>
      <c r="G3633" s="1" t="s">
        <v>11210</v>
      </c>
      <c r="H3633" s="1" t="s">
        <v>684</v>
      </c>
      <c r="I3633" s="1" t="s">
        <v>16</v>
      </c>
      <c r="J3633" s="1">
        <v>1</v>
      </c>
      <c r="K3633" s="1">
        <v>6</v>
      </c>
      <c r="L3633" s="1" t="s">
        <v>42</v>
      </c>
      <c r="M3633" s="1" t="s">
        <v>18</v>
      </c>
      <c r="N3633" s="1" t="s">
        <v>18</v>
      </c>
      <c r="O3633" s="1">
        <v>3</v>
      </c>
      <c r="P3633" s="1">
        <v>6</v>
      </c>
      <c r="R3633" s="1" t="s">
        <v>19</v>
      </c>
      <c r="S3633" s="1" t="s">
        <v>63</v>
      </c>
      <c r="T3633" s="1" t="s">
        <v>21</v>
      </c>
      <c r="U3633" s="1" t="s">
        <v>22</v>
      </c>
      <c r="V3633" s="1" t="s">
        <v>24</v>
      </c>
      <c r="W3633" s="1" t="s">
        <v>24</v>
      </c>
      <c r="X3633" s="1">
        <v>2738</v>
      </c>
      <c r="Y3633" s="1" t="s">
        <v>24</v>
      </c>
      <c r="Z3633" s="1" t="s">
        <v>24</v>
      </c>
      <c r="AA3633" s="1" t="s">
        <v>24</v>
      </c>
      <c r="AB3633" s="1" t="s">
        <v>24</v>
      </c>
      <c r="AC3633" s="1" t="s">
        <v>24</v>
      </c>
      <c r="AD3633" s="1" t="s">
        <v>24</v>
      </c>
      <c r="AE3633" s="1" t="s">
        <v>24</v>
      </c>
      <c r="AF3633" s="22"/>
    </row>
    <row r="3634" spans="1:32" x14ac:dyDescent="0.2">
      <c r="A3634" s="1">
        <v>29719</v>
      </c>
      <c r="B3634" s="1" t="s">
        <v>11211</v>
      </c>
      <c r="C3634" s="5" t="s">
        <v>0</v>
      </c>
      <c r="E3634" s="1" t="s">
        <v>11212</v>
      </c>
      <c r="F3634" s="1" t="s">
        <v>11213</v>
      </c>
      <c r="G3634" s="1" t="s">
        <v>11213</v>
      </c>
      <c r="H3634" s="1" t="s">
        <v>116</v>
      </c>
      <c r="I3634" s="1" t="s">
        <v>16</v>
      </c>
      <c r="J3634" s="1">
        <v>1</v>
      </c>
      <c r="K3634" s="1">
        <v>4</v>
      </c>
      <c r="L3634" s="1" t="s">
        <v>42</v>
      </c>
      <c r="M3634" s="1" t="s">
        <v>117</v>
      </c>
      <c r="N3634" s="1" t="s">
        <v>118</v>
      </c>
      <c r="O3634" s="1">
        <v>2</v>
      </c>
      <c r="P3634" s="1">
        <v>5</v>
      </c>
      <c r="R3634" s="1" t="s">
        <v>19</v>
      </c>
      <c r="S3634" s="1" t="s">
        <v>20</v>
      </c>
      <c r="T3634" s="1" t="s">
        <v>21</v>
      </c>
      <c r="U3634" s="1" t="s">
        <v>22</v>
      </c>
      <c r="V3634" s="1" t="s">
        <v>24</v>
      </c>
      <c r="W3634" s="1" t="s">
        <v>24</v>
      </c>
      <c r="X3634" s="1">
        <v>3003</v>
      </c>
      <c r="Y3634" s="1" t="s">
        <v>24</v>
      </c>
      <c r="Z3634" s="1" t="s">
        <v>24</v>
      </c>
      <c r="AA3634" s="1" t="s">
        <v>24</v>
      </c>
      <c r="AB3634" s="1" t="s">
        <v>24</v>
      </c>
      <c r="AC3634" s="1" t="s">
        <v>24</v>
      </c>
      <c r="AD3634" s="1" t="s">
        <v>24</v>
      </c>
      <c r="AE3634" s="1" t="s">
        <v>24</v>
      </c>
      <c r="AF3634" s="22"/>
    </row>
    <row r="3635" spans="1:32" x14ac:dyDescent="0.2">
      <c r="A3635" s="1">
        <v>29720</v>
      </c>
      <c r="B3635" s="1" t="s">
        <v>11214</v>
      </c>
      <c r="C3635" s="5" t="s">
        <v>0</v>
      </c>
      <c r="D3635" s="1" t="s">
        <v>11215</v>
      </c>
      <c r="E3635" s="1" t="s">
        <v>11216</v>
      </c>
      <c r="F3635" s="1" t="s">
        <v>8182</v>
      </c>
      <c r="G3635" s="1" t="s">
        <v>7846</v>
      </c>
      <c r="H3635" s="1" t="s">
        <v>30</v>
      </c>
      <c r="I3635" s="1" t="s">
        <v>16</v>
      </c>
      <c r="J3635" s="1">
        <v>1</v>
      </c>
      <c r="K3635" s="1">
        <v>6</v>
      </c>
      <c r="L3635" s="1" t="s">
        <v>31</v>
      </c>
      <c r="M3635" s="1" t="s">
        <v>18</v>
      </c>
      <c r="N3635" s="1" t="s">
        <v>18</v>
      </c>
      <c r="O3635" s="1">
        <v>3</v>
      </c>
      <c r="P3635" s="1">
        <v>6</v>
      </c>
      <c r="R3635" s="1" t="s">
        <v>19</v>
      </c>
      <c r="S3635" s="1" t="s">
        <v>20</v>
      </c>
      <c r="T3635" s="1" t="s">
        <v>21</v>
      </c>
      <c r="U3635" s="1" t="s">
        <v>22</v>
      </c>
      <c r="V3635" s="1" t="s">
        <v>24</v>
      </c>
      <c r="W3635" s="1" t="s">
        <v>24</v>
      </c>
      <c r="X3635" s="1">
        <v>2705</v>
      </c>
      <c r="Y3635" s="1" t="s">
        <v>24</v>
      </c>
      <c r="Z3635" s="1" t="s">
        <v>24</v>
      </c>
      <c r="AA3635" s="1" t="s">
        <v>24</v>
      </c>
      <c r="AB3635" s="1" t="s">
        <v>24</v>
      </c>
      <c r="AC3635" s="1" t="s">
        <v>24</v>
      </c>
      <c r="AD3635" s="1" t="s">
        <v>24</v>
      </c>
      <c r="AE3635" s="1" t="s">
        <v>24</v>
      </c>
      <c r="AF3635" s="22"/>
    </row>
    <row r="3636" spans="1:32" x14ac:dyDescent="0.2">
      <c r="A3636" s="1">
        <v>29723</v>
      </c>
      <c r="B3636" s="1" t="s">
        <v>11217</v>
      </c>
      <c r="C3636" s="5" t="s">
        <v>0</v>
      </c>
      <c r="D3636" s="1" t="s">
        <v>11218</v>
      </c>
      <c r="F3636" s="1" t="s">
        <v>11219</v>
      </c>
      <c r="G3636" s="1" t="s">
        <v>11219</v>
      </c>
      <c r="H3636" s="1" t="s">
        <v>899</v>
      </c>
      <c r="I3636" s="1" t="s">
        <v>16</v>
      </c>
      <c r="J3636" s="1">
        <v>1</v>
      </c>
      <c r="K3636" s="1">
        <v>3</v>
      </c>
      <c r="L3636" s="1" t="s">
        <v>42</v>
      </c>
      <c r="M3636" s="1" t="s">
        <v>18</v>
      </c>
      <c r="N3636" s="1" t="s">
        <v>18</v>
      </c>
      <c r="O3636" s="1">
        <v>3</v>
      </c>
      <c r="P3636" s="1">
        <v>6</v>
      </c>
      <c r="R3636" s="1" t="s">
        <v>19</v>
      </c>
      <c r="S3636" s="1" t="s">
        <v>20</v>
      </c>
      <c r="T3636" s="1" t="s">
        <v>21</v>
      </c>
      <c r="U3636" s="1" t="s">
        <v>22</v>
      </c>
      <c r="V3636" s="1" t="s">
        <v>24</v>
      </c>
      <c r="W3636" s="1" t="s">
        <v>24</v>
      </c>
      <c r="X3636" s="1">
        <v>2735</v>
      </c>
      <c r="Y3636" s="1">
        <v>2738</v>
      </c>
      <c r="Z3636" s="1" t="s">
        <v>24</v>
      </c>
      <c r="AA3636" s="1" t="s">
        <v>24</v>
      </c>
      <c r="AB3636" s="1" t="s">
        <v>24</v>
      </c>
      <c r="AC3636" s="1" t="s">
        <v>24</v>
      </c>
      <c r="AD3636" s="1" t="s">
        <v>24</v>
      </c>
      <c r="AE3636" s="1" t="s">
        <v>24</v>
      </c>
      <c r="AF3636" s="22"/>
    </row>
    <row r="3637" spans="1:32" x14ac:dyDescent="0.2">
      <c r="A3637" s="1">
        <v>29724</v>
      </c>
      <c r="B3637" s="1" t="s">
        <v>11220</v>
      </c>
      <c r="C3637" s="5" t="s">
        <v>0</v>
      </c>
      <c r="D3637" s="1" t="s">
        <v>11221</v>
      </c>
      <c r="F3637" s="1" t="s">
        <v>6433</v>
      </c>
      <c r="G3637" s="1" t="s">
        <v>6433</v>
      </c>
      <c r="H3637" s="1" t="s">
        <v>1007</v>
      </c>
      <c r="I3637" s="1" t="s">
        <v>16</v>
      </c>
      <c r="J3637" s="1">
        <v>1</v>
      </c>
      <c r="K3637" s="1">
        <v>4</v>
      </c>
      <c r="L3637" s="1" t="s">
        <v>42</v>
      </c>
      <c r="M3637" s="1" t="s">
        <v>1008</v>
      </c>
      <c r="N3637" s="1" t="s">
        <v>4418</v>
      </c>
      <c r="O3637" s="1">
        <v>3</v>
      </c>
      <c r="P3637" s="1">
        <v>6</v>
      </c>
      <c r="R3637" s="1" t="s">
        <v>19</v>
      </c>
      <c r="S3637" s="1" t="s">
        <v>20</v>
      </c>
      <c r="T3637" s="1" t="s">
        <v>21</v>
      </c>
      <c r="U3637" s="1" t="s">
        <v>22</v>
      </c>
      <c r="V3637" s="1" t="s">
        <v>24</v>
      </c>
      <c r="W3637" s="1" t="s">
        <v>24</v>
      </c>
      <c r="X3637" s="1">
        <v>2705</v>
      </c>
      <c r="Y3637" s="1">
        <v>2717</v>
      </c>
      <c r="Z3637" s="1" t="s">
        <v>24</v>
      </c>
      <c r="AA3637" s="1" t="s">
        <v>24</v>
      </c>
      <c r="AB3637" s="1" t="s">
        <v>24</v>
      </c>
      <c r="AC3637" s="1" t="s">
        <v>24</v>
      </c>
      <c r="AD3637" s="1" t="s">
        <v>24</v>
      </c>
      <c r="AE3637" s="1" t="s">
        <v>24</v>
      </c>
      <c r="AF3637" s="22"/>
    </row>
    <row r="3638" spans="1:32" x14ac:dyDescent="0.2">
      <c r="A3638" s="1">
        <v>29727</v>
      </c>
      <c r="B3638" s="1" t="s">
        <v>11222</v>
      </c>
      <c r="C3638" s="5" t="s">
        <v>0</v>
      </c>
      <c r="D3638" s="1" t="s">
        <v>11223</v>
      </c>
      <c r="E3638" s="1" t="s">
        <v>11224</v>
      </c>
      <c r="F3638" s="1" t="s">
        <v>11222</v>
      </c>
      <c r="G3638" s="1" t="s">
        <v>11222</v>
      </c>
      <c r="H3638" s="1" t="s">
        <v>1957</v>
      </c>
      <c r="I3638" s="1" t="s">
        <v>16</v>
      </c>
      <c r="J3638" s="1">
        <v>1</v>
      </c>
      <c r="K3638" s="1">
        <v>4</v>
      </c>
      <c r="L3638" s="1" t="s">
        <v>42</v>
      </c>
      <c r="M3638" s="1" t="s">
        <v>18</v>
      </c>
      <c r="N3638" s="1" t="s">
        <v>18</v>
      </c>
      <c r="O3638" s="1">
        <v>3</v>
      </c>
      <c r="P3638" s="1">
        <v>6</v>
      </c>
      <c r="R3638" s="1" t="s">
        <v>19</v>
      </c>
      <c r="S3638" s="1" t="s">
        <v>20</v>
      </c>
      <c r="T3638" s="1" t="s">
        <v>21</v>
      </c>
      <c r="U3638" s="1" t="s">
        <v>22</v>
      </c>
      <c r="V3638" s="1" t="s">
        <v>24</v>
      </c>
      <c r="W3638" s="1" t="s">
        <v>24</v>
      </c>
      <c r="X3638" s="1">
        <v>2723</v>
      </c>
      <c r="Y3638" s="1" t="s">
        <v>24</v>
      </c>
      <c r="Z3638" s="1" t="s">
        <v>24</v>
      </c>
      <c r="AA3638" s="1" t="s">
        <v>24</v>
      </c>
      <c r="AB3638" s="1" t="s">
        <v>24</v>
      </c>
      <c r="AC3638" s="1" t="s">
        <v>24</v>
      </c>
      <c r="AD3638" s="1" t="s">
        <v>24</v>
      </c>
      <c r="AE3638" s="1" t="s">
        <v>24</v>
      </c>
      <c r="AF3638" s="22"/>
    </row>
    <row r="3639" spans="1:32" x14ac:dyDescent="0.2">
      <c r="A3639" s="1">
        <v>29729</v>
      </c>
      <c r="B3639" s="1" t="s">
        <v>11225</v>
      </c>
      <c r="C3639" s="5" t="s">
        <v>0</v>
      </c>
      <c r="D3639" s="1" t="s">
        <v>11226</v>
      </c>
      <c r="F3639" s="1" t="s">
        <v>11227</v>
      </c>
      <c r="G3639" s="1" t="s">
        <v>11227</v>
      </c>
      <c r="H3639" s="1" t="s">
        <v>2672</v>
      </c>
      <c r="I3639" s="1" t="s">
        <v>16</v>
      </c>
      <c r="J3639" s="1">
        <v>1</v>
      </c>
      <c r="K3639" s="1">
        <v>3</v>
      </c>
      <c r="L3639" s="1" t="s">
        <v>42</v>
      </c>
      <c r="M3639" s="1" t="s">
        <v>18</v>
      </c>
      <c r="N3639" s="1" t="s">
        <v>18</v>
      </c>
      <c r="O3639" s="1">
        <v>3</v>
      </c>
      <c r="P3639" s="1">
        <v>6</v>
      </c>
      <c r="R3639" s="1" t="s">
        <v>19</v>
      </c>
      <c r="S3639" s="1" t="s">
        <v>20</v>
      </c>
      <c r="T3639" s="1" t="s">
        <v>21</v>
      </c>
      <c r="U3639" s="1" t="s">
        <v>22</v>
      </c>
      <c r="V3639" s="1" t="s">
        <v>24</v>
      </c>
      <c r="W3639" s="1" t="s">
        <v>24</v>
      </c>
      <c r="X3639" s="1">
        <v>2700</v>
      </c>
      <c r="Y3639" s="1" t="s">
        <v>24</v>
      </c>
      <c r="Z3639" s="1" t="s">
        <v>24</v>
      </c>
      <c r="AA3639" s="1" t="s">
        <v>24</v>
      </c>
      <c r="AB3639" s="1" t="s">
        <v>24</v>
      </c>
      <c r="AC3639" s="1" t="s">
        <v>24</v>
      </c>
      <c r="AD3639" s="1" t="s">
        <v>24</v>
      </c>
      <c r="AE3639" s="1" t="s">
        <v>24</v>
      </c>
      <c r="AF3639" s="22"/>
    </row>
    <row r="3640" spans="1:32" x14ac:dyDescent="0.2">
      <c r="A3640" s="1">
        <v>29730</v>
      </c>
      <c r="B3640" s="1" t="s">
        <v>11228</v>
      </c>
      <c r="C3640" s="5" t="s">
        <v>0</v>
      </c>
      <c r="D3640" s="1" t="s">
        <v>11229</v>
      </c>
      <c r="E3640" s="1" t="s">
        <v>11230</v>
      </c>
      <c r="F3640" s="1" t="s">
        <v>751</v>
      </c>
      <c r="G3640" s="1" t="s">
        <v>36</v>
      </c>
      <c r="H3640" s="1" t="s">
        <v>37</v>
      </c>
      <c r="I3640" s="1" t="s">
        <v>16</v>
      </c>
      <c r="J3640" s="1">
        <v>1</v>
      </c>
      <c r="K3640" s="1">
        <v>4</v>
      </c>
      <c r="L3640" s="1" t="s">
        <v>31</v>
      </c>
      <c r="M3640" s="1" t="s">
        <v>18</v>
      </c>
      <c r="N3640" s="1" t="s">
        <v>18</v>
      </c>
      <c r="O3640" s="1">
        <v>3</v>
      </c>
      <c r="P3640" s="1">
        <v>6</v>
      </c>
      <c r="R3640" s="1" t="s">
        <v>19</v>
      </c>
      <c r="S3640" s="1" t="s">
        <v>20</v>
      </c>
      <c r="T3640" s="1" t="s">
        <v>21</v>
      </c>
      <c r="U3640" s="1" t="s">
        <v>22</v>
      </c>
      <c r="V3640" s="1" t="s">
        <v>23</v>
      </c>
      <c r="W3640" s="1" t="s">
        <v>24</v>
      </c>
      <c r="X3640" s="1">
        <v>1706</v>
      </c>
      <c r="Y3640" s="1">
        <v>1304</v>
      </c>
      <c r="Z3640" s="1">
        <v>2746</v>
      </c>
      <c r="AA3640" s="1" t="s">
        <v>24</v>
      </c>
      <c r="AB3640" s="1" t="s">
        <v>24</v>
      </c>
      <c r="AC3640" s="1" t="s">
        <v>24</v>
      </c>
      <c r="AD3640" s="1" t="s">
        <v>24</v>
      </c>
      <c r="AE3640" s="1" t="s">
        <v>24</v>
      </c>
      <c r="AF3640" s="22"/>
    </row>
    <row r="3641" spans="1:32" x14ac:dyDescent="0.2">
      <c r="A3641" s="1">
        <v>29732</v>
      </c>
      <c r="B3641" s="1" t="s">
        <v>11231</v>
      </c>
      <c r="C3641" s="5" t="s">
        <v>0</v>
      </c>
      <c r="D3641" s="1" t="s">
        <v>11232</v>
      </c>
      <c r="E3641" s="1" t="s">
        <v>11233</v>
      </c>
      <c r="F3641" s="1" t="s">
        <v>11234</v>
      </c>
      <c r="G3641" s="1" t="s">
        <v>11234</v>
      </c>
      <c r="H3641" s="1" t="s">
        <v>10527</v>
      </c>
      <c r="I3641" s="1" t="s">
        <v>16</v>
      </c>
      <c r="J3641" s="1">
        <v>1</v>
      </c>
      <c r="K3641" s="1">
        <v>4</v>
      </c>
      <c r="L3641" s="1" t="s">
        <v>42</v>
      </c>
      <c r="M3641" s="1" t="s">
        <v>18</v>
      </c>
      <c r="N3641" s="1" t="s">
        <v>18</v>
      </c>
      <c r="O3641" s="1">
        <v>3</v>
      </c>
      <c r="P3641" s="1">
        <v>6</v>
      </c>
      <c r="R3641" s="1" t="s">
        <v>19</v>
      </c>
      <c r="S3641" s="1" t="s">
        <v>20</v>
      </c>
      <c r="T3641" s="1" t="s">
        <v>21</v>
      </c>
      <c r="U3641" s="1" t="s">
        <v>22</v>
      </c>
      <c r="V3641" s="1" t="s">
        <v>24</v>
      </c>
      <c r="W3641" s="1" t="s">
        <v>24</v>
      </c>
      <c r="X3641" s="1">
        <v>2700</v>
      </c>
      <c r="Y3641" s="1" t="s">
        <v>24</v>
      </c>
      <c r="Z3641" s="1" t="s">
        <v>24</v>
      </c>
      <c r="AA3641" s="1" t="s">
        <v>24</v>
      </c>
      <c r="AB3641" s="1" t="s">
        <v>24</v>
      </c>
      <c r="AC3641" s="1" t="s">
        <v>24</v>
      </c>
      <c r="AD3641" s="1" t="s">
        <v>24</v>
      </c>
      <c r="AE3641" s="1" t="s">
        <v>24</v>
      </c>
      <c r="AF3641" s="22"/>
    </row>
    <row r="3642" spans="1:32" x14ac:dyDescent="0.2">
      <c r="A3642" s="1">
        <v>29733</v>
      </c>
      <c r="B3642" s="1" t="s">
        <v>11235</v>
      </c>
      <c r="C3642" s="5" t="s">
        <v>0</v>
      </c>
      <c r="D3642" s="1" t="s">
        <v>11236</v>
      </c>
      <c r="E3642" s="1" t="s">
        <v>11237</v>
      </c>
      <c r="F3642" s="1" t="s">
        <v>11238</v>
      </c>
      <c r="G3642" s="1" t="s">
        <v>11238</v>
      </c>
      <c r="H3642" s="1" t="s">
        <v>2772</v>
      </c>
      <c r="I3642" s="1" t="s">
        <v>16</v>
      </c>
      <c r="J3642" s="1">
        <v>1</v>
      </c>
      <c r="K3642" s="1">
        <v>12</v>
      </c>
      <c r="L3642" s="1" t="s">
        <v>17</v>
      </c>
      <c r="M3642" s="1" t="s">
        <v>18</v>
      </c>
      <c r="N3642" s="1" t="s">
        <v>18</v>
      </c>
      <c r="O3642" s="1">
        <v>3</v>
      </c>
      <c r="P3642" s="1">
        <v>6</v>
      </c>
      <c r="R3642" s="1" t="s">
        <v>19</v>
      </c>
      <c r="S3642" s="1" t="s">
        <v>20</v>
      </c>
      <c r="T3642" s="1" t="s">
        <v>21</v>
      </c>
      <c r="U3642" s="1" t="s">
        <v>22</v>
      </c>
      <c r="V3642" s="1" t="s">
        <v>24</v>
      </c>
      <c r="W3642" s="1" t="s">
        <v>24</v>
      </c>
      <c r="X3642" s="1">
        <v>2705</v>
      </c>
      <c r="Y3642" s="1">
        <v>2724</v>
      </c>
      <c r="Z3642" s="1" t="s">
        <v>24</v>
      </c>
      <c r="AA3642" s="1" t="s">
        <v>24</v>
      </c>
      <c r="AB3642" s="1" t="s">
        <v>24</v>
      </c>
      <c r="AC3642" s="1" t="s">
        <v>24</v>
      </c>
      <c r="AD3642" s="1" t="s">
        <v>24</v>
      </c>
      <c r="AE3642" s="1" t="s">
        <v>24</v>
      </c>
      <c r="AF3642" s="22"/>
    </row>
    <row r="3643" spans="1:32" x14ac:dyDescent="0.2">
      <c r="A3643" s="1">
        <v>29734</v>
      </c>
      <c r="B3643" s="1" t="s">
        <v>11239</v>
      </c>
      <c r="C3643" s="5" t="s">
        <v>0</v>
      </c>
      <c r="D3643" s="1" t="s">
        <v>11240</v>
      </c>
      <c r="E3643" s="1" t="s">
        <v>11241</v>
      </c>
      <c r="F3643" s="1" t="s">
        <v>11242</v>
      </c>
      <c r="G3643" s="1" t="s">
        <v>11242</v>
      </c>
      <c r="H3643" s="1" t="s">
        <v>2772</v>
      </c>
      <c r="I3643" s="1" t="s">
        <v>16</v>
      </c>
      <c r="J3643" s="1">
        <v>1</v>
      </c>
      <c r="K3643" s="1">
        <v>1</v>
      </c>
      <c r="L3643" s="1" t="s">
        <v>42</v>
      </c>
      <c r="M3643" s="1" t="s">
        <v>18</v>
      </c>
      <c r="N3643" s="1" t="s">
        <v>18</v>
      </c>
      <c r="O3643" s="1">
        <v>3</v>
      </c>
      <c r="P3643" s="1">
        <v>6</v>
      </c>
      <c r="R3643" s="1" t="s">
        <v>19</v>
      </c>
      <c r="S3643" s="1" t="s">
        <v>20</v>
      </c>
      <c r="T3643" s="1" t="s">
        <v>21</v>
      </c>
      <c r="U3643" s="1" t="s">
        <v>22</v>
      </c>
      <c r="V3643" s="1" t="s">
        <v>24</v>
      </c>
      <c r="W3643" s="1" t="s">
        <v>24</v>
      </c>
      <c r="X3643" s="1">
        <v>2705</v>
      </c>
      <c r="Y3643" s="1">
        <v>2724</v>
      </c>
      <c r="Z3643" s="1">
        <v>1314</v>
      </c>
      <c r="AA3643" s="1" t="s">
        <v>24</v>
      </c>
      <c r="AB3643" s="1" t="s">
        <v>24</v>
      </c>
      <c r="AC3643" s="1" t="s">
        <v>24</v>
      </c>
      <c r="AD3643" s="1" t="s">
        <v>24</v>
      </c>
      <c r="AE3643" s="1" t="s">
        <v>24</v>
      </c>
      <c r="AF3643" s="22"/>
    </row>
    <row r="3644" spans="1:32" x14ac:dyDescent="0.2">
      <c r="A3644" s="1">
        <v>29735</v>
      </c>
      <c r="B3644" s="1" t="s">
        <v>11243</v>
      </c>
      <c r="C3644" s="5" t="s">
        <v>0</v>
      </c>
      <c r="D3644" s="1" t="s">
        <v>11244</v>
      </c>
      <c r="F3644" s="1" t="s">
        <v>7404</v>
      </c>
      <c r="G3644" s="1" t="s">
        <v>11245</v>
      </c>
      <c r="H3644" s="1" t="s">
        <v>86</v>
      </c>
      <c r="I3644" s="1" t="s">
        <v>16</v>
      </c>
      <c r="J3644" s="1">
        <v>1</v>
      </c>
      <c r="K3644" s="1">
        <v>3</v>
      </c>
      <c r="L3644" s="1" t="s">
        <v>42</v>
      </c>
      <c r="M3644" s="1" t="s">
        <v>18</v>
      </c>
      <c r="N3644" s="1" t="s">
        <v>18</v>
      </c>
      <c r="O3644" s="1">
        <v>3</v>
      </c>
      <c r="P3644" s="1">
        <v>7</v>
      </c>
      <c r="Q3644" s="7" t="s">
        <v>17633</v>
      </c>
      <c r="R3644" s="1" t="s">
        <v>19</v>
      </c>
      <c r="S3644" s="1" t="s">
        <v>20</v>
      </c>
      <c r="T3644" s="1" t="s">
        <v>21</v>
      </c>
      <c r="U3644" s="1" t="s">
        <v>22</v>
      </c>
      <c r="V3644" s="1" t="s">
        <v>24</v>
      </c>
      <c r="W3644" s="1" t="s">
        <v>24</v>
      </c>
      <c r="X3644" s="1">
        <v>2705</v>
      </c>
      <c r="Y3644" s="1">
        <v>2712</v>
      </c>
      <c r="Z3644" s="1" t="s">
        <v>24</v>
      </c>
      <c r="AA3644" s="1" t="s">
        <v>24</v>
      </c>
      <c r="AB3644" s="1" t="s">
        <v>24</v>
      </c>
      <c r="AC3644" s="1" t="s">
        <v>24</v>
      </c>
      <c r="AD3644" s="1" t="s">
        <v>24</v>
      </c>
      <c r="AE3644" s="1" t="s">
        <v>24</v>
      </c>
      <c r="AF3644" s="22"/>
    </row>
    <row r="3645" spans="1:32" x14ac:dyDescent="0.2">
      <c r="A3645" s="1">
        <v>29737</v>
      </c>
      <c r="B3645" s="1" t="s">
        <v>11246</v>
      </c>
      <c r="C3645" s="5" t="s">
        <v>0</v>
      </c>
      <c r="D3645" s="1" t="s">
        <v>11247</v>
      </c>
      <c r="E3645" s="1" t="s">
        <v>11248</v>
      </c>
      <c r="F3645" s="1" t="s">
        <v>10332</v>
      </c>
      <c r="G3645" s="1" t="s">
        <v>10332</v>
      </c>
      <c r="H3645" s="1" t="s">
        <v>30</v>
      </c>
      <c r="I3645" s="1" t="s">
        <v>16</v>
      </c>
      <c r="J3645" s="1">
        <v>1</v>
      </c>
      <c r="K3645" s="1">
        <v>8</v>
      </c>
      <c r="L3645" s="1" t="s">
        <v>42</v>
      </c>
      <c r="M3645" s="1" t="s">
        <v>18</v>
      </c>
      <c r="N3645" s="1" t="s">
        <v>18</v>
      </c>
      <c r="O3645" s="1">
        <v>3</v>
      </c>
      <c r="P3645" s="1">
        <v>6</v>
      </c>
      <c r="R3645" s="1" t="s">
        <v>19</v>
      </c>
      <c r="S3645" s="1" t="s">
        <v>63</v>
      </c>
      <c r="T3645" s="1" t="s">
        <v>21</v>
      </c>
      <c r="U3645" s="1" t="s">
        <v>22</v>
      </c>
      <c r="V3645" s="1" t="s">
        <v>24</v>
      </c>
      <c r="W3645" s="1" t="s">
        <v>24</v>
      </c>
      <c r="X3645" s="1">
        <v>1307</v>
      </c>
      <c r="Y3645" s="1">
        <v>1312</v>
      </c>
      <c r="Z3645" s="1" t="s">
        <v>24</v>
      </c>
      <c r="AA3645" s="1" t="s">
        <v>24</v>
      </c>
      <c r="AB3645" s="1" t="s">
        <v>24</v>
      </c>
      <c r="AC3645" s="1" t="s">
        <v>24</v>
      </c>
      <c r="AD3645" s="1" t="s">
        <v>24</v>
      </c>
      <c r="AE3645" s="1" t="s">
        <v>24</v>
      </c>
      <c r="AF3645" s="22"/>
    </row>
    <row r="3646" spans="1:32" x14ac:dyDescent="0.2">
      <c r="A3646" s="1">
        <v>29738</v>
      </c>
      <c r="B3646" s="1" t="s">
        <v>11249</v>
      </c>
      <c r="C3646" s="5" t="s">
        <v>0</v>
      </c>
      <c r="E3646" s="1" t="s">
        <v>11250</v>
      </c>
      <c r="F3646" s="1" t="s">
        <v>11251</v>
      </c>
      <c r="G3646" s="1" t="s">
        <v>11251</v>
      </c>
      <c r="H3646" s="1" t="s">
        <v>3228</v>
      </c>
      <c r="I3646" s="1" t="s">
        <v>16</v>
      </c>
      <c r="J3646" s="1">
        <v>1</v>
      </c>
      <c r="K3646" s="1">
        <v>1</v>
      </c>
      <c r="L3646" s="1" t="s">
        <v>42</v>
      </c>
      <c r="M3646" s="1" t="s">
        <v>18</v>
      </c>
      <c r="N3646" s="1" t="s">
        <v>18</v>
      </c>
      <c r="O3646" s="1">
        <v>3</v>
      </c>
      <c r="P3646" s="1">
        <v>6</v>
      </c>
      <c r="R3646" s="1" t="s">
        <v>19</v>
      </c>
      <c r="S3646" s="1" t="s">
        <v>63</v>
      </c>
      <c r="T3646" s="1" t="s">
        <v>21</v>
      </c>
      <c r="U3646" s="1" t="s">
        <v>22</v>
      </c>
      <c r="V3646" s="1" t="s">
        <v>24</v>
      </c>
      <c r="W3646" s="1" t="s">
        <v>24</v>
      </c>
      <c r="X3646" s="1">
        <v>1306</v>
      </c>
      <c r="Y3646" s="1">
        <v>2730</v>
      </c>
      <c r="Z3646" s="1" t="s">
        <v>24</v>
      </c>
      <c r="AA3646" s="1" t="s">
        <v>24</v>
      </c>
      <c r="AB3646" s="1" t="s">
        <v>24</v>
      </c>
      <c r="AC3646" s="1" t="s">
        <v>24</v>
      </c>
      <c r="AD3646" s="1" t="s">
        <v>24</v>
      </c>
      <c r="AE3646" s="1" t="s">
        <v>24</v>
      </c>
      <c r="AF3646" s="22"/>
    </row>
    <row r="3647" spans="1:32" x14ac:dyDescent="0.2">
      <c r="A3647" s="1">
        <v>29740</v>
      </c>
      <c r="B3647" s="1" t="s">
        <v>11252</v>
      </c>
      <c r="C3647" s="5" t="s">
        <v>0</v>
      </c>
      <c r="D3647" s="1" t="s">
        <v>11253</v>
      </c>
      <c r="E3647" s="1" t="s">
        <v>11254</v>
      </c>
      <c r="F3647" s="1" t="s">
        <v>28</v>
      </c>
      <c r="G3647" s="1" t="s">
        <v>29</v>
      </c>
      <c r="H3647" s="1" t="s">
        <v>30</v>
      </c>
      <c r="I3647" s="1" t="s">
        <v>16</v>
      </c>
      <c r="J3647" s="1">
        <v>1</v>
      </c>
      <c r="K3647" s="1">
        <v>6</v>
      </c>
      <c r="L3647" s="1" t="s">
        <v>31</v>
      </c>
      <c r="M3647" s="1" t="s">
        <v>18</v>
      </c>
      <c r="N3647" s="1" t="s">
        <v>18</v>
      </c>
      <c r="O3647" s="1">
        <v>3</v>
      </c>
      <c r="P3647" s="1">
        <v>7</v>
      </c>
      <c r="Q3647" s="7" t="s">
        <v>17633</v>
      </c>
      <c r="R3647" s="1" t="s">
        <v>19</v>
      </c>
      <c r="S3647" s="1" t="s">
        <v>20</v>
      </c>
      <c r="T3647" s="1" t="s">
        <v>21</v>
      </c>
      <c r="U3647" s="1" t="s">
        <v>22</v>
      </c>
      <c r="V3647" s="1" t="s">
        <v>24</v>
      </c>
      <c r="W3647" s="1" t="s">
        <v>24</v>
      </c>
      <c r="X3647" s="1">
        <v>2734</v>
      </c>
      <c r="Y3647" s="1" t="s">
        <v>24</v>
      </c>
      <c r="Z3647" s="1" t="s">
        <v>24</v>
      </c>
      <c r="AA3647" s="1" t="s">
        <v>24</v>
      </c>
      <c r="AB3647" s="1" t="s">
        <v>24</v>
      </c>
      <c r="AC3647" s="1" t="s">
        <v>24</v>
      </c>
      <c r="AD3647" s="1" t="s">
        <v>24</v>
      </c>
      <c r="AE3647" s="1" t="s">
        <v>24</v>
      </c>
      <c r="AF3647" s="22"/>
    </row>
    <row r="3648" spans="1:32" x14ac:dyDescent="0.2">
      <c r="A3648" s="1">
        <v>29741</v>
      </c>
      <c r="B3648" s="1" t="s">
        <v>11255</v>
      </c>
      <c r="C3648" s="5" t="s">
        <v>0</v>
      </c>
      <c r="D3648" s="1" t="s">
        <v>11256</v>
      </c>
      <c r="E3648" s="1" t="s">
        <v>11257</v>
      </c>
      <c r="F3648" s="1" t="s">
        <v>28</v>
      </c>
      <c r="G3648" s="1" t="s">
        <v>29</v>
      </c>
      <c r="H3648" s="1" t="s">
        <v>30</v>
      </c>
      <c r="I3648" s="1" t="s">
        <v>16</v>
      </c>
      <c r="J3648" s="1">
        <v>1</v>
      </c>
      <c r="K3648" s="1">
        <v>4</v>
      </c>
      <c r="L3648" s="1" t="s">
        <v>31</v>
      </c>
      <c r="M3648" s="1" t="s">
        <v>18</v>
      </c>
      <c r="N3648" s="1" t="s">
        <v>18</v>
      </c>
      <c r="O3648" s="1">
        <v>3</v>
      </c>
      <c r="P3648" s="1">
        <v>7</v>
      </c>
      <c r="Q3648" s="7" t="s">
        <v>17633</v>
      </c>
      <c r="R3648" s="1" t="s">
        <v>19</v>
      </c>
      <c r="S3648" s="1" t="s">
        <v>20</v>
      </c>
      <c r="T3648" s="1" t="s">
        <v>21</v>
      </c>
      <c r="U3648" s="1" t="s">
        <v>22</v>
      </c>
      <c r="V3648" s="1" t="s">
        <v>24</v>
      </c>
      <c r="W3648" s="1" t="s">
        <v>24</v>
      </c>
      <c r="X3648" s="1">
        <v>2732</v>
      </c>
      <c r="Y3648" s="1">
        <v>2746</v>
      </c>
      <c r="Z3648" s="1" t="s">
        <v>24</v>
      </c>
      <c r="AA3648" s="1" t="s">
        <v>24</v>
      </c>
      <c r="AB3648" s="1" t="s">
        <v>24</v>
      </c>
      <c r="AC3648" s="1" t="s">
        <v>24</v>
      </c>
      <c r="AD3648" s="1" t="s">
        <v>24</v>
      </c>
      <c r="AE3648" s="1" t="s">
        <v>24</v>
      </c>
      <c r="AF3648" s="22"/>
    </row>
    <row r="3649" spans="1:32" x14ac:dyDescent="0.2">
      <c r="A3649" s="1">
        <v>29742</v>
      </c>
      <c r="B3649" s="1" t="s">
        <v>11258</v>
      </c>
      <c r="C3649" s="5" t="s">
        <v>0</v>
      </c>
      <c r="D3649" s="1" t="s">
        <v>11259</v>
      </c>
      <c r="E3649" s="1" t="s">
        <v>11260</v>
      </c>
      <c r="F3649" s="1" t="s">
        <v>28</v>
      </c>
      <c r="G3649" s="1" t="s">
        <v>29</v>
      </c>
      <c r="H3649" s="1" t="s">
        <v>30</v>
      </c>
      <c r="I3649" s="1" t="s">
        <v>16</v>
      </c>
      <c r="J3649" s="1">
        <v>1</v>
      </c>
      <c r="K3649" s="1">
        <v>4</v>
      </c>
      <c r="L3649" s="1" t="s">
        <v>31</v>
      </c>
      <c r="M3649" s="1" t="s">
        <v>18</v>
      </c>
      <c r="N3649" s="1" t="s">
        <v>18</v>
      </c>
      <c r="O3649" s="1">
        <v>3</v>
      </c>
      <c r="P3649" s="1">
        <v>7</v>
      </c>
      <c r="Q3649" s="7" t="s">
        <v>17633</v>
      </c>
      <c r="R3649" s="1" t="s">
        <v>19</v>
      </c>
      <c r="S3649" s="1" t="s">
        <v>20</v>
      </c>
      <c r="T3649" s="1" t="s">
        <v>21</v>
      </c>
      <c r="U3649" s="1" t="s">
        <v>22</v>
      </c>
      <c r="V3649" s="1" t="s">
        <v>24</v>
      </c>
      <c r="W3649" s="1" t="s">
        <v>24</v>
      </c>
      <c r="X3649" s="1">
        <v>2732</v>
      </c>
      <c r="Y3649" s="1" t="s">
        <v>24</v>
      </c>
      <c r="Z3649" s="1" t="s">
        <v>24</v>
      </c>
      <c r="AA3649" s="1" t="s">
        <v>24</v>
      </c>
      <c r="AB3649" s="1" t="s">
        <v>24</v>
      </c>
      <c r="AC3649" s="1" t="s">
        <v>24</v>
      </c>
      <c r="AD3649" s="1" t="s">
        <v>24</v>
      </c>
      <c r="AE3649" s="1" t="s">
        <v>24</v>
      </c>
      <c r="AF3649" s="22"/>
    </row>
    <row r="3650" spans="1:32" x14ac:dyDescent="0.2">
      <c r="A3650" s="1">
        <v>29743</v>
      </c>
      <c r="B3650" s="1" t="s">
        <v>11261</v>
      </c>
      <c r="C3650" s="5" t="s">
        <v>0</v>
      </c>
      <c r="D3650" s="1" t="s">
        <v>11262</v>
      </c>
      <c r="E3650" s="1" t="s">
        <v>11263</v>
      </c>
      <c r="F3650" s="1" t="s">
        <v>28</v>
      </c>
      <c r="G3650" s="1" t="s">
        <v>29</v>
      </c>
      <c r="H3650" s="1" t="s">
        <v>30</v>
      </c>
      <c r="I3650" s="1" t="s">
        <v>16</v>
      </c>
      <c r="J3650" s="1">
        <v>1</v>
      </c>
      <c r="K3650" s="1">
        <v>6</v>
      </c>
      <c r="L3650" s="1" t="s">
        <v>31</v>
      </c>
      <c r="M3650" s="1" t="s">
        <v>18</v>
      </c>
      <c r="N3650" s="1" t="s">
        <v>18</v>
      </c>
      <c r="O3650" s="1">
        <v>3</v>
      </c>
      <c r="P3650" s="1">
        <v>7</v>
      </c>
      <c r="Q3650" s="7" t="s">
        <v>17633</v>
      </c>
      <c r="R3650" s="1" t="s">
        <v>19</v>
      </c>
      <c r="S3650" s="1" t="s">
        <v>20</v>
      </c>
      <c r="T3650" s="1" t="s">
        <v>21</v>
      </c>
      <c r="U3650" s="1" t="s">
        <v>22</v>
      </c>
      <c r="V3650" s="1" t="s">
        <v>24</v>
      </c>
      <c r="W3650" s="1" t="s">
        <v>24</v>
      </c>
      <c r="X3650" s="1">
        <v>2711</v>
      </c>
      <c r="Y3650" s="1" t="s">
        <v>24</v>
      </c>
      <c r="Z3650" s="1" t="s">
        <v>24</v>
      </c>
      <c r="AA3650" s="1" t="s">
        <v>24</v>
      </c>
      <c r="AB3650" s="1" t="s">
        <v>24</v>
      </c>
      <c r="AC3650" s="1" t="s">
        <v>24</v>
      </c>
      <c r="AD3650" s="1" t="s">
        <v>24</v>
      </c>
      <c r="AE3650" s="1" t="s">
        <v>24</v>
      </c>
      <c r="AF3650" s="22"/>
    </row>
    <row r="3651" spans="1:32" x14ac:dyDescent="0.2">
      <c r="A3651" s="1">
        <v>29744</v>
      </c>
      <c r="B3651" s="1" t="s">
        <v>11264</v>
      </c>
      <c r="C3651" s="5" t="s">
        <v>0</v>
      </c>
      <c r="D3651" s="1" t="s">
        <v>11265</v>
      </c>
      <c r="E3651" s="1" t="s">
        <v>11266</v>
      </c>
      <c r="F3651" s="1" t="s">
        <v>28</v>
      </c>
      <c r="G3651" s="1" t="s">
        <v>29</v>
      </c>
      <c r="H3651" s="1" t="s">
        <v>30</v>
      </c>
      <c r="I3651" s="1" t="s">
        <v>16</v>
      </c>
      <c r="J3651" s="1">
        <v>1</v>
      </c>
      <c r="K3651" s="1">
        <v>4</v>
      </c>
      <c r="L3651" s="1" t="s">
        <v>31</v>
      </c>
      <c r="M3651" s="1" t="s">
        <v>18</v>
      </c>
      <c r="N3651" s="1" t="s">
        <v>18</v>
      </c>
      <c r="O3651" s="1">
        <v>3</v>
      </c>
      <c r="P3651" s="1">
        <v>7</v>
      </c>
      <c r="Q3651" s="7" t="s">
        <v>17633</v>
      </c>
      <c r="R3651" s="1" t="s">
        <v>19</v>
      </c>
      <c r="S3651" s="1" t="s">
        <v>20</v>
      </c>
      <c r="T3651" s="1" t="s">
        <v>21</v>
      </c>
      <c r="U3651" s="1" t="s">
        <v>22</v>
      </c>
      <c r="V3651" s="1" t="s">
        <v>24</v>
      </c>
      <c r="W3651" s="1" t="s">
        <v>24</v>
      </c>
      <c r="X3651" s="1">
        <v>2916</v>
      </c>
      <c r="Y3651" s="1" t="s">
        <v>24</v>
      </c>
      <c r="Z3651" s="1" t="s">
        <v>24</v>
      </c>
      <c r="AA3651" s="1" t="s">
        <v>24</v>
      </c>
      <c r="AB3651" s="1" t="s">
        <v>24</v>
      </c>
      <c r="AC3651" s="1" t="s">
        <v>24</v>
      </c>
      <c r="AD3651" s="1" t="s">
        <v>24</v>
      </c>
      <c r="AE3651" s="1" t="s">
        <v>24</v>
      </c>
      <c r="AF3651" s="22"/>
    </row>
    <row r="3652" spans="1:32" x14ac:dyDescent="0.2">
      <c r="A3652" s="1">
        <v>29745</v>
      </c>
      <c r="B3652" s="1" t="s">
        <v>11267</v>
      </c>
      <c r="C3652" s="5" t="s">
        <v>0</v>
      </c>
      <c r="D3652" s="1" t="s">
        <v>11268</v>
      </c>
      <c r="E3652" s="1" t="s">
        <v>11269</v>
      </c>
      <c r="F3652" s="1" t="s">
        <v>28</v>
      </c>
      <c r="G3652" s="1" t="s">
        <v>29</v>
      </c>
      <c r="H3652" s="1" t="s">
        <v>30</v>
      </c>
      <c r="I3652" s="1" t="s">
        <v>16</v>
      </c>
      <c r="J3652" s="1">
        <v>1</v>
      </c>
      <c r="K3652" s="1">
        <v>6</v>
      </c>
      <c r="L3652" s="1" t="s">
        <v>31</v>
      </c>
      <c r="M3652" s="1" t="s">
        <v>18</v>
      </c>
      <c r="N3652" s="1" t="s">
        <v>18</v>
      </c>
      <c r="O3652" s="1">
        <v>3</v>
      </c>
      <c r="P3652" s="1">
        <v>6</v>
      </c>
      <c r="R3652" s="1" t="s">
        <v>19</v>
      </c>
      <c r="S3652" s="1" t="s">
        <v>20</v>
      </c>
      <c r="T3652" s="1" t="s">
        <v>21</v>
      </c>
      <c r="U3652" s="1" t="s">
        <v>22</v>
      </c>
      <c r="V3652" s="1" t="s">
        <v>23</v>
      </c>
      <c r="W3652" s="1" t="s">
        <v>24</v>
      </c>
      <c r="X3652" s="1">
        <v>2728</v>
      </c>
      <c r="Y3652" s="1">
        <v>2716</v>
      </c>
      <c r="Z3652" s="1" t="s">
        <v>24</v>
      </c>
      <c r="AA3652" s="1" t="s">
        <v>24</v>
      </c>
      <c r="AB3652" s="1" t="s">
        <v>24</v>
      </c>
      <c r="AC3652" s="1" t="s">
        <v>24</v>
      </c>
      <c r="AD3652" s="1" t="s">
        <v>24</v>
      </c>
      <c r="AE3652" s="1" t="s">
        <v>24</v>
      </c>
      <c r="AF3652" s="22"/>
    </row>
    <row r="3653" spans="1:32" x14ac:dyDescent="0.2">
      <c r="A3653" s="1">
        <v>29746</v>
      </c>
      <c r="B3653" s="1" t="s">
        <v>11270</v>
      </c>
      <c r="C3653" s="5" t="s">
        <v>0</v>
      </c>
      <c r="D3653" s="1" t="s">
        <v>11271</v>
      </c>
      <c r="E3653" s="1" t="s">
        <v>11272</v>
      </c>
      <c r="F3653" s="1" t="s">
        <v>11273</v>
      </c>
      <c r="G3653" s="1" t="s">
        <v>11274</v>
      </c>
      <c r="H3653" s="1" t="s">
        <v>445</v>
      </c>
      <c r="I3653" s="1" t="s">
        <v>16</v>
      </c>
      <c r="J3653" s="1">
        <v>1</v>
      </c>
      <c r="K3653" s="1">
        <v>4</v>
      </c>
      <c r="L3653" s="1" t="s">
        <v>42</v>
      </c>
      <c r="M3653" s="1" t="s">
        <v>18</v>
      </c>
      <c r="N3653" s="1" t="s">
        <v>18</v>
      </c>
      <c r="O3653" s="1">
        <v>3</v>
      </c>
      <c r="P3653" s="1">
        <v>5</v>
      </c>
      <c r="R3653" s="1" t="s">
        <v>19</v>
      </c>
      <c r="S3653" s="1" t="s">
        <v>20</v>
      </c>
      <c r="T3653" s="1" t="s">
        <v>21</v>
      </c>
      <c r="U3653" s="1" t="s">
        <v>22</v>
      </c>
      <c r="V3653" s="1" t="s">
        <v>24</v>
      </c>
      <c r="W3653" s="1" t="s">
        <v>24</v>
      </c>
      <c r="X3653" s="1">
        <v>2700</v>
      </c>
      <c r="Y3653" s="1" t="s">
        <v>24</v>
      </c>
      <c r="Z3653" s="1" t="s">
        <v>24</v>
      </c>
      <c r="AA3653" s="1" t="s">
        <v>24</v>
      </c>
      <c r="AB3653" s="1" t="s">
        <v>24</v>
      </c>
      <c r="AC3653" s="1" t="s">
        <v>24</v>
      </c>
      <c r="AD3653" s="1" t="s">
        <v>24</v>
      </c>
      <c r="AE3653" s="1" t="s">
        <v>24</v>
      </c>
      <c r="AF3653" s="22"/>
    </row>
    <row r="3654" spans="1:32" x14ac:dyDescent="0.2">
      <c r="A3654" s="1">
        <v>29747</v>
      </c>
      <c r="B3654" s="1" t="s">
        <v>11275</v>
      </c>
      <c r="C3654" s="5" t="s">
        <v>0</v>
      </c>
      <c r="D3654" s="1" t="s">
        <v>11276</v>
      </c>
      <c r="E3654" s="1" t="s">
        <v>11277</v>
      </c>
      <c r="F3654" s="1" t="s">
        <v>97</v>
      </c>
      <c r="G3654" s="1" t="s">
        <v>98</v>
      </c>
      <c r="H3654" s="1" t="s">
        <v>37</v>
      </c>
      <c r="I3654" s="1" t="s">
        <v>16</v>
      </c>
      <c r="J3654" s="1">
        <v>1</v>
      </c>
      <c r="K3654" s="1">
        <v>4</v>
      </c>
      <c r="L3654" s="1" t="s">
        <v>31</v>
      </c>
      <c r="M3654" s="1" t="s">
        <v>18</v>
      </c>
      <c r="N3654" s="1" t="s">
        <v>18</v>
      </c>
      <c r="O3654" s="1">
        <v>3</v>
      </c>
      <c r="P3654" s="1">
        <v>6</v>
      </c>
      <c r="R3654" s="1" t="s">
        <v>19</v>
      </c>
      <c r="S3654" s="1" t="s">
        <v>20</v>
      </c>
      <c r="T3654" s="1" t="s">
        <v>21</v>
      </c>
      <c r="U3654" s="1" t="s">
        <v>22</v>
      </c>
      <c r="V3654" s="1" t="s">
        <v>23</v>
      </c>
      <c r="W3654" s="1" t="s">
        <v>24</v>
      </c>
      <c r="X3654" s="1">
        <v>2700</v>
      </c>
      <c r="Y3654" s="1">
        <v>2719</v>
      </c>
      <c r="Z3654" s="1" t="s">
        <v>24</v>
      </c>
      <c r="AA3654" s="1" t="s">
        <v>24</v>
      </c>
      <c r="AB3654" s="1" t="s">
        <v>24</v>
      </c>
      <c r="AC3654" s="1" t="s">
        <v>24</v>
      </c>
      <c r="AD3654" s="1" t="s">
        <v>24</v>
      </c>
      <c r="AE3654" s="1" t="s">
        <v>24</v>
      </c>
      <c r="AF3654" s="22"/>
    </row>
    <row r="3655" spans="1:32" x14ac:dyDescent="0.2">
      <c r="A3655" s="1">
        <v>29748</v>
      </c>
      <c r="B3655" s="1" t="s">
        <v>11278</v>
      </c>
      <c r="C3655" s="5" t="s">
        <v>0</v>
      </c>
      <c r="D3655" s="1" t="s">
        <v>11279</v>
      </c>
      <c r="E3655" s="1" t="s">
        <v>11280</v>
      </c>
      <c r="F3655" s="1" t="s">
        <v>11281</v>
      </c>
      <c r="G3655" s="1" t="s">
        <v>11281</v>
      </c>
      <c r="H3655" s="1" t="s">
        <v>30</v>
      </c>
      <c r="I3655" s="1" t="s">
        <v>16</v>
      </c>
      <c r="J3655" s="1">
        <v>1</v>
      </c>
      <c r="K3655" s="1">
        <v>4</v>
      </c>
      <c r="L3655" s="1" t="s">
        <v>42</v>
      </c>
      <c r="M3655" s="1" t="s">
        <v>18</v>
      </c>
      <c r="N3655" s="1" t="s">
        <v>18</v>
      </c>
      <c r="O3655" s="1">
        <v>3</v>
      </c>
      <c r="P3655" s="1">
        <v>6</v>
      </c>
      <c r="R3655" s="1" t="s">
        <v>19</v>
      </c>
      <c r="S3655" s="1" t="s">
        <v>20</v>
      </c>
      <c r="T3655" s="1" t="s">
        <v>21</v>
      </c>
      <c r="U3655" s="1" t="s">
        <v>22</v>
      </c>
      <c r="V3655" s="1" t="s">
        <v>23</v>
      </c>
      <c r="W3655" s="1" t="s">
        <v>24</v>
      </c>
      <c r="X3655" s="1">
        <v>2700</v>
      </c>
      <c r="Y3655" s="1">
        <v>2905</v>
      </c>
      <c r="Z3655" s="1" t="s">
        <v>24</v>
      </c>
      <c r="AA3655" s="1" t="s">
        <v>24</v>
      </c>
      <c r="AB3655" s="1" t="s">
        <v>24</v>
      </c>
      <c r="AC3655" s="1" t="s">
        <v>24</v>
      </c>
      <c r="AD3655" s="1" t="s">
        <v>24</v>
      </c>
      <c r="AE3655" s="1" t="s">
        <v>24</v>
      </c>
      <c r="AF3655" s="22"/>
    </row>
    <row r="3656" spans="1:32" x14ac:dyDescent="0.2">
      <c r="A3656" s="1">
        <v>29750</v>
      </c>
      <c r="B3656" s="1" t="s">
        <v>11282</v>
      </c>
      <c r="C3656" s="5" t="s">
        <v>0</v>
      </c>
      <c r="D3656" s="1" t="s">
        <v>11283</v>
      </c>
      <c r="F3656" s="1" t="s">
        <v>85</v>
      </c>
      <c r="G3656" s="1" t="s">
        <v>61</v>
      </c>
      <c r="H3656" s="1" t="s">
        <v>86</v>
      </c>
      <c r="I3656" s="1" t="s">
        <v>16</v>
      </c>
      <c r="J3656" s="1">
        <v>1</v>
      </c>
      <c r="K3656" s="1">
        <v>4</v>
      </c>
      <c r="L3656" s="1" t="s">
        <v>31</v>
      </c>
      <c r="M3656" s="1" t="s">
        <v>87</v>
      </c>
      <c r="N3656" s="1" t="s">
        <v>199</v>
      </c>
      <c r="O3656" s="1">
        <v>3</v>
      </c>
      <c r="P3656" s="1">
        <v>6</v>
      </c>
      <c r="R3656" s="1" t="s">
        <v>19</v>
      </c>
      <c r="S3656" s="1" t="s">
        <v>20</v>
      </c>
      <c r="T3656" s="1" t="s">
        <v>21</v>
      </c>
      <c r="U3656" s="1" t="s">
        <v>22</v>
      </c>
      <c r="V3656" s="1" t="s">
        <v>24</v>
      </c>
      <c r="W3656" s="1" t="s">
        <v>24</v>
      </c>
      <c r="X3656" s="1">
        <v>2702</v>
      </c>
      <c r="Y3656" s="1" t="s">
        <v>24</v>
      </c>
      <c r="Z3656" s="1" t="s">
        <v>24</v>
      </c>
      <c r="AA3656" s="1" t="s">
        <v>24</v>
      </c>
      <c r="AB3656" s="1" t="s">
        <v>24</v>
      </c>
      <c r="AC3656" s="1" t="s">
        <v>24</v>
      </c>
      <c r="AD3656" s="1" t="s">
        <v>24</v>
      </c>
      <c r="AE3656" s="1" t="s">
        <v>24</v>
      </c>
      <c r="AF3656" s="22"/>
    </row>
    <row r="3657" spans="1:32" x14ac:dyDescent="0.2">
      <c r="A3657" s="1">
        <v>29751</v>
      </c>
      <c r="B3657" s="1" t="s">
        <v>11284</v>
      </c>
      <c r="C3657" s="5" t="s">
        <v>0</v>
      </c>
      <c r="D3657" s="1" t="s">
        <v>11285</v>
      </c>
      <c r="E3657" s="1" t="s">
        <v>11286</v>
      </c>
      <c r="F3657" s="1" t="s">
        <v>11287</v>
      </c>
      <c r="G3657" s="1" t="s">
        <v>11287</v>
      </c>
      <c r="H3657" s="1" t="s">
        <v>11288</v>
      </c>
      <c r="I3657" s="1" t="s">
        <v>16</v>
      </c>
      <c r="J3657" s="1">
        <v>1</v>
      </c>
      <c r="K3657" s="1">
        <v>2</v>
      </c>
      <c r="L3657" s="1" t="s">
        <v>42</v>
      </c>
      <c r="M3657" s="1" t="s">
        <v>11289</v>
      </c>
      <c r="N3657" s="1" t="s">
        <v>11290</v>
      </c>
      <c r="O3657" s="1">
        <v>3</v>
      </c>
      <c r="P3657" s="1">
        <v>5</v>
      </c>
      <c r="R3657" s="1" t="s">
        <v>19</v>
      </c>
      <c r="S3657" s="1" t="s">
        <v>20</v>
      </c>
      <c r="T3657" s="1" t="s">
        <v>21</v>
      </c>
      <c r="U3657" s="1" t="s">
        <v>22</v>
      </c>
      <c r="V3657" s="1" t="s">
        <v>24</v>
      </c>
      <c r="W3657" s="1" t="s">
        <v>24</v>
      </c>
      <c r="X3657" s="1">
        <v>2700</v>
      </c>
      <c r="Y3657" s="1" t="s">
        <v>24</v>
      </c>
      <c r="Z3657" s="1" t="s">
        <v>24</v>
      </c>
      <c r="AA3657" s="1" t="s">
        <v>24</v>
      </c>
      <c r="AB3657" s="1" t="s">
        <v>24</v>
      </c>
      <c r="AC3657" s="1" t="s">
        <v>24</v>
      </c>
      <c r="AD3657" s="1" t="s">
        <v>24</v>
      </c>
      <c r="AE3657" s="1" t="s">
        <v>24</v>
      </c>
      <c r="AF3657" s="22"/>
    </row>
    <row r="3658" spans="1:32" x14ac:dyDescent="0.2">
      <c r="A3658" s="1">
        <v>29752</v>
      </c>
      <c r="B3658" s="1" t="s">
        <v>11291</v>
      </c>
      <c r="C3658" s="5" t="s">
        <v>0</v>
      </c>
      <c r="D3658" s="1" t="s">
        <v>11292</v>
      </c>
      <c r="F3658" s="1" t="s">
        <v>11293</v>
      </c>
      <c r="G3658" s="1" t="s">
        <v>11294</v>
      </c>
      <c r="H3658" s="1" t="s">
        <v>249</v>
      </c>
      <c r="I3658" s="1" t="s">
        <v>16</v>
      </c>
      <c r="J3658" s="1">
        <v>1</v>
      </c>
      <c r="K3658" s="1">
        <v>4</v>
      </c>
      <c r="L3658" s="1" t="s">
        <v>31</v>
      </c>
      <c r="M3658" s="1" t="s">
        <v>1463</v>
      </c>
      <c r="N3658" s="1" t="s">
        <v>1463</v>
      </c>
      <c r="O3658" s="1">
        <v>3</v>
      </c>
      <c r="P3658" s="1">
        <v>5</v>
      </c>
      <c r="R3658" s="1" t="s">
        <v>19</v>
      </c>
      <c r="S3658" s="1" t="s">
        <v>20</v>
      </c>
      <c r="T3658" s="1" t="s">
        <v>21</v>
      </c>
      <c r="U3658" s="1" t="s">
        <v>22</v>
      </c>
      <c r="V3658" s="1" t="s">
        <v>24</v>
      </c>
      <c r="W3658" s="1" t="s">
        <v>24</v>
      </c>
      <c r="X3658" s="1">
        <v>2728</v>
      </c>
      <c r="Y3658" s="1" t="s">
        <v>24</v>
      </c>
      <c r="Z3658" s="1" t="s">
        <v>24</v>
      </c>
      <c r="AA3658" s="1" t="s">
        <v>24</v>
      </c>
      <c r="AB3658" s="1" t="s">
        <v>24</v>
      </c>
      <c r="AC3658" s="1" t="s">
        <v>24</v>
      </c>
      <c r="AD3658" s="1" t="s">
        <v>24</v>
      </c>
      <c r="AE3658" s="1" t="s">
        <v>24</v>
      </c>
      <c r="AF3658" s="22"/>
    </row>
    <row r="3659" spans="1:32" x14ac:dyDescent="0.2">
      <c r="A3659" s="1">
        <v>29754</v>
      </c>
      <c r="B3659" s="1" t="s">
        <v>11295</v>
      </c>
      <c r="C3659" s="5" t="s">
        <v>0</v>
      </c>
      <c r="D3659" s="1" t="s">
        <v>11296</v>
      </c>
      <c r="F3659" s="1" t="s">
        <v>11293</v>
      </c>
      <c r="G3659" s="1" t="s">
        <v>11294</v>
      </c>
      <c r="H3659" s="1" t="s">
        <v>249</v>
      </c>
      <c r="I3659" s="1" t="s">
        <v>16</v>
      </c>
      <c r="J3659" s="1">
        <v>1</v>
      </c>
      <c r="K3659" s="1">
        <v>4</v>
      </c>
      <c r="L3659" s="1" t="s">
        <v>31</v>
      </c>
      <c r="M3659" s="1" t="s">
        <v>1463</v>
      </c>
      <c r="N3659" s="1" t="s">
        <v>1463</v>
      </c>
      <c r="O3659" s="1">
        <v>3</v>
      </c>
      <c r="P3659" s="1">
        <v>5</v>
      </c>
      <c r="R3659" s="1" t="s">
        <v>19</v>
      </c>
      <c r="S3659" s="1" t="s">
        <v>20</v>
      </c>
      <c r="T3659" s="1" t="s">
        <v>21</v>
      </c>
      <c r="U3659" s="1" t="s">
        <v>22</v>
      </c>
      <c r="V3659" s="1" t="s">
        <v>24</v>
      </c>
      <c r="W3659" s="1" t="s">
        <v>24</v>
      </c>
      <c r="X3659" s="1">
        <v>2735</v>
      </c>
      <c r="Y3659" s="1">
        <v>2714</v>
      </c>
      <c r="Z3659" s="1" t="s">
        <v>24</v>
      </c>
      <c r="AA3659" s="1" t="s">
        <v>24</v>
      </c>
      <c r="AB3659" s="1" t="s">
        <v>24</v>
      </c>
      <c r="AC3659" s="1" t="s">
        <v>24</v>
      </c>
      <c r="AD3659" s="1" t="s">
        <v>24</v>
      </c>
      <c r="AE3659" s="1" t="s">
        <v>24</v>
      </c>
      <c r="AF3659" s="22"/>
    </row>
    <row r="3660" spans="1:32" x14ac:dyDescent="0.2">
      <c r="A3660" s="1">
        <v>29756</v>
      </c>
      <c r="B3660" s="1" t="s">
        <v>11297</v>
      </c>
      <c r="C3660" s="5" t="s">
        <v>0</v>
      </c>
      <c r="D3660" s="1" t="s">
        <v>11298</v>
      </c>
      <c r="F3660" s="1" t="s">
        <v>11293</v>
      </c>
      <c r="G3660" s="1" t="s">
        <v>11294</v>
      </c>
      <c r="H3660" s="1" t="s">
        <v>249</v>
      </c>
      <c r="I3660" s="1" t="s">
        <v>16</v>
      </c>
      <c r="J3660" s="1">
        <v>1</v>
      </c>
      <c r="K3660" s="1">
        <v>4</v>
      </c>
      <c r="L3660" s="1" t="s">
        <v>31</v>
      </c>
      <c r="M3660" s="1" t="s">
        <v>1463</v>
      </c>
      <c r="N3660" s="1" t="s">
        <v>1463</v>
      </c>
      <c r="O3660" s="1">
        <v>3</v>
      </c>
      <c r="P3660" s="1">
        <v>6</v>
      </c>
      <c r="R3660" s="1" t="s">
        <v>19</v>
      </c>
      <c r="S3660" s="1" t="s">
        <v>20</v>
      </c>
      <c r="T3660" s="1" t="s">
        <v>21</v>
      </c>
      <c r="U3660" s="1" t="s">
        <v>22</v>
      </c>
      <c r="V3660" s="1" t="s">
        <v>24</v>
      </c>
      <c r="W3660" s="1" t="s">
        <v>24</v>
      </c>
      <c r="X3660" s="1">
        <v>2738</v>
      </c>
      <c r="Y3660" s="1">
        <v>3203</v>
      </c>
      <c r="Z3660" s="1" t="s">
        <v>24</v>
      </c>
      <c r="AA3660" s="1" t="s">
        <v>24</v>
      </c>
      <c r="AB3660" s="1" t="s">
        <v>24</v>
      </c>
      <c r="AC3660" s="1" t="s">
        <v>24</v>
      </c>
      <c r="AD3660" s="1" t="s">
        <v>24</v>
      </c>
      <c r="AE3660" s="1" t="s">
        <v>24</v>
      </c>
      <c r="AF3660" s="22"/>
    </row>
    <row r="3661" spans="1:32" x14ac:dyDescent="0.2">
      <c r="A3661" s="1">
        <v>29764</v>
      </c>
      <c r="B3661" s="1" t="s">
        <v>11299</v>
      </c>
      <c r="C3661" s="5" t="s">
        <v>0</v>
      </c>
      <c r="D3661" s="1" t="s">
        <v>11300</v>
      </c>
      <c r="E3661" s="1" t="s">
        <v>11301</v>
      </c>
      <c r="F3661" s="1" t="s">
        <v>1897</v>
      </c>
      <c r="G3661" s="1" t="s">
        <v>1898</v>
      </c>
      <c r="H3661" s="1" t="s">
        <v>899</v>
      </c>
      <c r="I3661" s="1" t="s">
        <v>16</v>
      </c>
      <c r="J3661" s="1">
        <v>1</v>
      </c>
      <c r="K3661" s="1">
        <v>3</v>
      </c>
      <c r="L3661" s="1" t="s">
        <v>31</v>
      </c>
      <c r="M3661" s="1" t="s">
        <v>18</v>
      </c>
      <c r="N3661" s="1" t="s">
        <v>18</v>
      </c>
      <c r="O3661" s="1">
        <v>3</v>
      </c>
      <c r="P3661" s="1">
        <v>6</v>
      </c>
      <c r="R3661" s="1" t="s">
        <v>19</v>
      </c>
      <c r="S3661" s="1" t="s">
        <v>20</v>
      </c>
      <c r="T3661" s="1" t="s">
        <v>21</v>
      </c>
      <c r="U3661" s="1" t="s">
        <v>22</v>
      </c>
      <c r="V3661" s="1" t="s">
        <v>24</v>
      </c>
      <c r="W3661" s="1" t="s">
        <v>24</v>
      </c>
      <c r="X3661" s="1">
        <v>2735</v>
      </c>
      <c r="Y3661" s="1">
        <v>2800</v>
      </c>
      <c r="Z3661" s="1" t="s">
        <v>24</v>
      </c>
      <c r="AA3661" s="1" t="s">
        <v>24</v>
      </c>
      <c r="AB3661" s="1" t="s">
        <v>24</v>
      </c>
      <c r="AC3661" s="1" t="s">
        <v>24</v>
      </c>
      <c r="AD3661" s="1" t="s">
        <v>24</v>
      </c>
      <c r="AE3661" s="1" t="s">
        <v>24</v>
      </c>
      <c r="AF3661" s="22"/>
    </row>
    <row r="3662" spans="1:32" x14ac:dyDescent="0.2">
      <c r="A3662" s="1">
        <v>29765</v>
      </c>
      <c r="B3662" s="1" t="s">
        <v>11302</v>
      </c>
      <c r="C3662" s="5" t="s">
        <v>0</v>
      </c>
      <c r="D3662" s="1" t="s">
        <v>11303</v>
      </c>
      <c r="E3662" s="1" t="s">
        <v>11304</v>
      </c>
      <c r="F3662" s="1" t="s">
        <v>11305</v>
      </c>
      <c r="G3662" s="1" t="s">
        <v>80</v>
      </c>
      <c r="H3662" s="1" t="s">
        <v>30</v>
      </c>
      <c r="I3662" s="1" t="s">
        <v>16</v>
      </c>
      <c r="J3662" s="1">
        <v>1</v>
      </c>
      <c r="K3662" s="1">
        <v>3</v>
      </c>
      <c r="L3662" s="1" t="s">
        <v>31</v>
      </c>
      <c r="M3662" s="1" t="s">
        <v>18</v>
      </c>
      <c r="N3662" s="1" t="s">
        <v>18</v>
      </c>
      <c r="O3662" s="1">
        <v>3</v>
      </c>
      <c r="P3662" s="1">
        <v>7</v>
      </c>
      <c r="Q3662" s="7" t="s">
        <v>17633</v>
      </c>
      <c r="R3662" s="1" t="s">
        <v>19</v>
      </c>
      <c r="S3662" s="1" t="s">
        <v>20</v>
      </c>
      <c r="T3662" s="1" t="s">
        <v>21</v>
      </c>
      <c r="U3662" s="1" t="s">
        <v>22</v>
      </c>
      <c r="V3662" s="1" t="s">
        <v>23</v>
      </c>
      <c r="W3662" s="1" t="s">
        <v>24</v>
      </c>
      <c r="X3662" s="1">
        <v>2739</v>
      </c>
      <c r="Y3662" s="1" t="s">
        <v>24</v>
      </c>
      <c r="Z3662" s="1" t="s">
        <v>24</v>
      </c>
      <c r="AA3662" s="1" t="s">
        <v>24</v>
      </c>
      <c r="AB3662" s="1" t="s">
        <v>24</v>
      </c>
      <c r="AC3662" s="1" t="s">
        <v>24</v>
      </c>
      <c r="AD3662" s="1" t="s">
        <v>24</v>
      </c>
      <c r="AE3662" s="1" t="s">
        <v>24</v>
      </c>
      <c r="AF3662" s="22"/>
    </row>
    <row r="3663" spans="1:32" x14ac:dyDescent="0.2">
      <c r="A3663" s="1">
        <v>29766</v>
      </c>
      <c r="B3663" s="1" t="s">
        <v>11306</v>
      </c>
      <c r="C3663" s="5" t="s">
        <v>0</v>
      </c>
      <c r="D3663" s="1" t="s">
        <v>11307</v>
      </c>
      <c r="F3663" s="1" t="s">
        <v>11308</v>
      </c>
      <c r="G3663" s="1" t="s">
        <v>11308</v>
      </c>
      <c r="H3663" s="1" t="s">
        <v>878</v>
      </c>
      <c r="I3663" s="1" t="s">
        <v>16</v>
      </c>
      <c r="J3663" s="1">
        <v>1</v>
      </c>
      <c r="K3663" s="1">
        <v>4</v>
      </c>
      <c r="L3663" s="1" t="s">
        <v>42</v>
      </c>
      <c r="M3663" s="1" t="s">
        <v>18</v>
      </c>
      <c r="N3663" s="1" t="s">
        <v>18</v>
      </c>
      <c r="O3663" s="1">
        <v>3</v>
      </c>
      <c r="P3663" s="1">
        <v>6</v>
      </c>
      <c r="R3663" s="1" t="s">
        <v>19</v>
      </c>
      <c r="S3663" s="1" t="s">
        <v>20</v>
      </c>
      <c r="T3663" s="1" t="s">
        <v>21</v>
      </c>
      <c r="U3663" s="1" t="s">
        <v>22</v>
      </c>
      <c r="V3663" s="1" t="s">
        <v>24</v>
      </c>
      <c r="W3663" s="1" t="s">
        <v>24</v>
      </c>
      <c r="X3663" s="1">
        <v>2721</v>
      </c>
      <c r="Y3663" s="1" t="s">
        <v>24</v>
      </c>
      <c r="Z3663" s="1" t="s">
        <v>24</v>
      </c>
      <c r="AA3663" s="1" t="s">
        <v>24</v>
      </c>
      <c r="AB3663" s="1" t="s">
        <v>24</v>
      </c>
      <c r="AC3663" s="1" t="s">
        <v>24</v>
      </c>
      <c r="AD3663" s="1" t="s">
        <v>24</v>
      </c>
      <c r="AE3663" s="1" t="s">
        <v>24</v>
      </c>
      <c r="AF3663" s="22"/>
    </row>
    <row r="3664" spans="1:32" x14ac:dyDescent="0.2">
      <c r="A3664" s="1">
        <v>29769</v>
      </c>
      <c r="B3664" s="1" t="s">
        <v>11309</v>
      </c>
      <c r="C3664" s="5" t="s">
        <v>0</v>
      </c>
      <c r="D3664" s="1" t="s">
        <v>11310</v>
      </c>
      <c r="E3664" s="1" t="s">
        <v>11311</v>
      </c>
      <c r="F3664" s="1" t="s">
        <v>194</v>
      </c>
      <c r="G3664" s="1" t="s">
        <v>61</v>
      </c>
      <c r="H3664" s="1" t="s">
        <v>30</v>
      </c>
      <c r="I3664" s="1" t="s">
        <v>16</v>
      </c>
      <c r="J3664" s="1">
        <v>1</v>
      </c>
      <c r="K3664" s="1">
        <v>4</v>
      </c>
      <c r="L3664" s="1" t="s">
        <v>31</v>
      </c>
      <c r="M3664" s="1" t="s">
        <v>18</v>
      </c>
      <c r="N3664" s="1" t="s">
        <v>18</v>
      </c>
      <c r="O3664" s="1">
        <v>3</v>
      </c>
      <c r="P3664" s="1">
        <v>6</v>
      </c>
      <c r="R3664" s="1" t="s">
        <v>19</v>
      </c>
      <c r="S3664" s="1" t="s">
        <v>20</v>
      </c>
      <c r="T3664" s="1" t="s">
        <v>21</v>
      </c>
      <c r="U3664" s="1" t="s">
        <v>22</v>
      </c>
      <c r="V3664" s="1" t="s">
        <v>24</v>
      </c>
      <c r="W3664" s="1" t="s">
        <v>24</v>
      </c>
      <c r="X3664" s="1">
        <v>2714</v>
      </c>
      <c r="Y3664" s="1" t="s">
        <v>24</v>
      </c>
      <c r="Z3664" s="1" t="s">
        <v>24</v>
      </c>
      <c r="AA3664" s="1" t="s">
        <v>24</v>
      </c>
      <c r="AB3664" s="1" t="s">
        <v>24</v>
      </c>
      <c r="AC3664" s="1" t="s">
        <v>24</v>
      </c>
      <c r="AD3664" s="1" t="s">
        <v>24</v>
      </c>
      <c r="AE3664" s="1" t="s">
        <v>24</v>
      </c>
      <c r="AF3664" s="22"/>
    </row>
    <row r="3665" spans="1:32" x14ac:dyDescent="0.2">
      <c r="A3665" s="1">
        <v>29771</v>
      </c>
      <c r="B3665" s="1" t="s">
        <v>11312</v>
      </c>
      <c r="C3665" s="5" t="s">
        <v>0</v>
      </c>
      <c r="E3665" s="1" t="s">
        <v>11313</v>
      </c>
      <c r="F3665" s="1" t="s">
        <v>296</v>
      </c>
      <c r="G3665" s="1" t="s">
        <v>36</v>
      </c>
      <c r="H3665" s="1" t="s">
        <v>37</v>
      </c>
      <c r="I3665" s="1" t="s">
        <v>16</v>
      </c>
      <c r="J3665" s="1">
        <v>1</v>
      </c>
      <c r="K3665" s="1">
        <v>1</v>
      </c>
      <c r="L3665" s="1" t="s">
        <v>31</v>
      </c>
      <c r="M3665" s="1" t="s">
        <v>18</v>
      </c>
      <c r="N3665" s="1" t="s">
        <v>18</v>
      </c>
      <c r="O3665" s="1">
        <v>3</v>
      </c>
      <c r="P3665" s="1">
        <v>7</v>
      </c>
      <c r="Q3665" s="7" t="s">
        <v>17633</v>
      </c>
      <c r="R3665" s="1" t="s">
        <v>19</v>
      </c>
      <c r="S3665" s="1" t="s">
        <v>63</v>
      </c>
      <c r="T3665" s="1" t="s">
        <v>21</v>
      </c>
      <c r="U3665" s="1" t="s">
        <v>22</v>
      </c>
      <c r="V3665" s="1" t="s">
        <v>24</v>
      </c>
      <c r="W3665" s="1" t="s">
        <v>24</v>
      </c>
      <c r="X3665" s="1">
        <v>2604</v>
      </c>
      <c r="Y3665" s="1">
        <v>1710</v>
      </c>
      <c r="Z3665" s="1">
        <v>1703</v>
      </c>
      <c r="AA3665" s="1">
        <v>1100</v>
      </c>
      <c r="AB3665" s="1">
        <v>1300</v>
      </c>
      <c r="AC3665" s="1">
        <v>2400</v>
      </c>
      <c r="AD3665" s="1">
        <v>2700</v>
      </c>
      <c r="AE3665" s="1" t="s">
        <v>24</v>
      </c>
      <c r="AF3665" s="22"/>
    </row>
    <row r="3666" spans="1:32" x14ac:dyDescent="0.2">
      <c r="A3666" s="1">
        <v>29776</v>
      </c>
      <c r="B3666" s="1" t="s">
        <v>11314</v>
      </c>
      <c r="C3666" s="5" t="s">
        <v>0</v>
      </c>
      <c r="D3666" s="1" t="s">
        <v>11315</v>
      </c>
      <c r="E3666" s="1" t="s">
        <v>11316</v>
      </c>
      <c r="F3666" s="1" t="s">
        <v>315</v>
      </c>
      <c r="G3666" s="1" t="s">
        <v>316</v>
      </c>
      <c r="H3666" s="1" t="s">
        <v>37</v>
      </c>
      <c r="I3666" s="1" t="s">
        <v>16</v>
      </c>
      <c r="J3666" s="1">
        <v>1</v>
      </c>
      <c r="K3666" s="1">
        <v>12</v>
      </c>
      <c r="L3666" s="1" t="s">
        <v>31</v>
      </c>
      <c r="M3666" s="1" t="s">
        <v>18</v>
      </c>
      <c r="N3666" s="1" t="s">
        <v>18</v>
      </c>
      <c r="O3666" s="1">
        <v>3</v>
      </c>
      <c r="P3666" s="1">
        <v>7</v>
      </c>
      <c r="Q3666" s="7" t="s">
        <v>17633</v>
      </c>
      <c r="R3666" s="1" t="s">
        <v>19</v>
      </c>
      <c r="S3666" s="1" t="s">
        <v>20</v>
      </c>
      <c r="T3666" s="1" t="s">
        <v>21</v>
      </c>
      <c r="U3666" s="1" t="s">
        <v>22</v>
      </c>
      <c r="V3666" s="1" t="s">
        <v>24</v>
      </c>
      <c r="W3666" s="1" t="s">
        <v>64</v>
      </c>
      <c r="X3666" s="1">
        <v>1307</v>
      </c>
      <c r="Y3666" s="1">
        <v>1312</v>
      </c>
      <c r="Z3666" s="1" t="s">
        <v>24</v>
      </c>
      <c r="AA3666" s="1" t="s">
        <v>24</v>
      </c>
      <c r="AB3666" s="1" t="s">
        <v>24</v>
      </c>
      <c r="AC3666" s="1" t="s">
        <v>24</v>
      </c>
      <c r="AD3666" s="1" t="s">
        <v>24</v>
      </c>
      <c r="AE3666" s="1" t="s">
        <v>24</v>
      </c>
      <c r="AF3666" s="22"/>
    </row>
    <row r="3667" spans="1:32" x14ac:dyDescent="0.2">
      <c r="A3667" s="1">
        <v>29778</v>
      </c>
      <c r="B3667" s="1" t="s">
        <v>11317</v>
      </c>
      <c r="C3667" s="5" t="s">
        <v>0</v>
      </c>
      <c r="D3667" s="1" t="s">
        <v>11318</v>
      </c>
      <c r="F3667" s="1" t="s">
        <v>11319</v>
      </c>
      <c r="G3667" s="1" t="s">
        <v>11319</v>
      </c>
      <c r="H3667" s="1" t="s">
        <v>1384</v>
      </c>
      <c r="I3667" s="1" t="s">
        <v>16</v>
      </c>
      <c r="J3667" s="1">
        <v>1</v>
      </c>
      <c r="K3667" s="1">
        <v>3</v>
      </c>
      <c r="L3667" s="1" t="s">
        <v>42</v>
      </c>
      <c r="M3667" s="1" t="s">
        <v>1385</v>
      </c>
      <c r="N3667" s="1" t="s">
        <v>3142</v>
      </c>
      <c r="O3667" s="1">
        <v>3</v>
      </c>
      <c r="P3667" s="1">
        <v>5</v>
      </c>
      <c r="R3667" s="1" t="s">
        <v>19</v>
      </c>
      <c r="S3667" s="1" t="s">
        <v>20</v>
      </c>
      <c r="T3667" s="1" t="s">
        <v>21</v>
      </c>
      <c r="U3667" s="1" t="s">
        <v>22</v>
      </c>
      <c r="V3667" s="1" t="s">
        <v>24</v>
      </c>
      <c r="W3667" s="1" t="s">
        <v>24</v>
      </c>
      <c r="X3667" s="1">
        <v>2700</v>
      </c>
      <c r="Y3667" s="1" t="s">
        <v>24</v>
      </c>
      <c r="Z3667" s="1" t="s">
        <v>24</v>
      </c>
      <c r="AA3667" s="1" t="s">
        <v>24</v>
      </c>
      <c r="AB3667" s="1" t="s">
        <v>24</v>
      </c>
      <c r="AC3667" s="1" t="s">
        <v>24</v>
      </c>
      <c r="AD3667" s="1" t="s">
        <v>24</v>
      </c>
      <c r="AE3667" s="1" t="s">
        <v>24</v>
      </c>
      <c r="AF3667" s="22"/>
    </row>
    <row r="3668" spans="1:32" x14ac:dyDescent="0.2">
      <c r="A3668" s="1">
        <v>29779</v>
      </c>
      <c r="B3668" s="1" t="s">
        <v>11320</v>
      </c>
      <c r="C3668" s="5" t="s">
        <v>0</v>
      </c>
      <c r="D3668" s="1" t="s">
        <v>11321</v>
      </c>
      <c r="F3668" s="1" t="s">
        <v>11322</v>
      </c>
      <c r="G3668" s="1" t="s">
        <v>11323</v>
      </c>
      <c r="H3668" s="1" t="s">
        <v>3730</v>
      </c>
      <c r="I3668" s="1" t="s">
        <v>16</v>
      </c>
      <c r="J3668" s="1">
        <v>1</v>
      </c>
      <c r="K3668" s="1">
        <v>2</v>
      </c>
      <c r="L3668" s="1" t="s">
        <v>31</v>
      </c>
      <c r="M3668" s="1" t="s">
        <v>18</v>
      </c>
      <c r="N3668" s="1" t="s">
        <v>18</v>
      </c>
      <c r="O3668" s="1">
        <v>3</v>
      </c>
      <c r="P3668" s="1">
        <v>6</v>
      </c>
      <c r="R3668" s="1" t="s">
        <v>19</v>
      </c>
      <c r="S3668" s="1" t="s">
        <v>20</v>
      </c>
      <c r="T3668" s="1" t="s">
        <v>21</v>
      </c>
      <c r="U3668" s="1" t="s">
        <v>22</v>
      </c>
      <c r="V3668" s="1" t="s">
        <v>24</v>
      </c>
      <c r="W3668" s="1" t="s">
        <v>24</v>
      </c>
      <c r="X3668" s="1">
        <v>2728</v>
      </c>
      <c r="Y3668" s="1" t="s">
        <v>24</v>
      </c>
      <c r="Z3668" s="1" t="s">
        <v>24</v>
      </c>
      <c r="AA3668" s="1" t="s">
        <v>24</v>
      </c>
      <c r="AB3668" s="1" t="s">
        <v>24</v>
      </c>
      <c r="AC3668" s="1" t="s">
        <v>24</v>
      </c>
      <c r="AD3668" s="1" t="s">
        <v>24</v>
      </c>
      <c r="AE3668" s="1" t="s">
        <v>24</v>
      </c>
      <c r="AF3668" s="22"/>
    </row>
    <row r="3669" spans="1:32" x14ac:dyDescent="0.2">
      <c r="A3669" s="1">
        <v>29782</v>
      </c>
      <c r="B3669" s="1" t="s">
        <v>11324</v>
      </c>
      <c r="C3669" s="5" t="s">
        <v>0</v>
      </c>
      <c r="D3669" s="1" t="s">
        <v>11325</v>
      </c>
      <c r="E3669" s="1" t="s">
        <v>11326</v>
      </c>
      <c r="F3669" s="1" t="s">
        <v>10191</v>
      </c>
      <c r="G3669" s="1" t="s">
        <v>10192</v>
      </c>
      <c r="H3669" s="1" t="s">
        <v>30</v>
      </c>
      <c r="I3669" s="1" t="s">
        <v>16</v>
      </c>
      <c r="J3669" s="1">
        <v>1</v>
      </c>
      <c r="K3669" s="1">
        <v>12</v>
      </c>
      <c r="L3669" s="1" t="s">
        <v>42</v>
      </c>
      <c r="M3669" s="1" t="s">
        <v>18</v>
      </c>
      <c r="N3669" s="1" t="s">
        <v>18</v>
      </c>
      <c r="O3669" s="1">
        <v>3</v>
      </c>
      <c r="P3669" s="1">
        <v>6</v>
      </c>
      <c r="R3669" s="1" t="s">
        <v>19</v>
      </c>
      <c r="S3669" s="1" t="s">
        <v>20</v>
      </c>
      <c r="T3669" s="1" t="s">
        <v>21</v>
      </c>
      <c r="U3669" s="1" t="s">
        <v>22</v>
      </c>
      <c r="V3669" s="1" t="s">
        <v>24</v>
      </c>
      <c r="W3669" s="1" t="s">
        <v>24</v>
      </c>
      <c r="X3669" s="1">
        <v>1703</v>
      </c>
      <c r="Y3669" s="1">
        <v>2611</v>
      </c>
      <c r="Z3669" s="1">
        <v>1105</v>
      </c>
      <c r="AA3669" s="1">
        <v>1311</v>
      </c>
      <c r="AB3669" s="1">
        <v>1312</v>
      </c>
      <c r="AC3669" s="1">
        <v>2303</v>
      </c>
      <c r="AD3669" s="1">
        <v>2804</v>
      </c>
      <c r="AE3669" s="1" t="s">
        <v>24</v>
      </c>
      <c r="AF3669" s="22"/>
    </row>
    <row r="3670" spans="1:32" x14ac:dyDescent="0.2">
      <c r="A3670" s="1">
        <v>29783</v>
      </c>
      <c r="B3670" s="1" t="s">
        <v>11327</v>
      </c>
      <c r="C3670" s="5" t="s">
        <v>0</v>
      </c>
      <c r="D3670" s="1" t="s">
        <v>11328</v>
      </c>
      <c r="E3670" s="1" t="s">
        <v>11329</v>
      </c>
      <c r="F3670" s="1" t="s">
        <v>10191</v>
      </c>
      <c r="G3670" s="1" t="s">
        <v>10192</v>
      </c>
      <c r="H3670" s="1" t="s">
        <v>30</v>
      </c>
      <c r="I3670" s="1" t="s">
        <v>16</v>
      </c>
      <c r="J3670" s="1">
        <v>1</v>
      </c>
      <c r="K3670" s="1">
        <v>12</v>
      </c>
      <c r="L3670" s="1" t="s">
        <v>42</v>
      </c>
      <c r="M3670" s="1" t="s">
        <v>18</v>
      </c>
      <c r="N3670" s="1" t="s">
        <v>18</v>
      </c>
      <c r="O3670" s="1">
        <v>3</v>
      </c>
      <c r="P3670" s="1">
        <v>6</v>
      </c>
      <c r="R3670" s="1" t="s">
        <v>19</v>
      </c>
      <c r="S3670" s="1" t="s">
        <v>20</v>
      </c>
      <c r="T3670" s="1" t="s">
        <v>21</v>
      </c>
      <c r="U3670" s="1" t="s">
        <v>22</v>
      </c>
      <c r="V3670" s="1" t="s">
        <v>24</v>
      </c>
      <c r="W3670" s="1" t="s">
        <v>24</v>
      </c>
      <c r="X3670" s="1">
        <v>1311</v>
      </c>
      <c r="Y3670" s="1">
        <v>1312</v>
      </c>
      <c r="Z3670" s="1">
        <v>1105</v>
      </c>
      <c r="AA3670" s="1">
        <v>1306</v>
      </c>
      <c r="AB3670" s="1">
        <v>2716</v>
      </c>
      <c r="AC3670" s="1" t="s">
        <v>24</v>
      </c>
      <c r="AD3670" s="1" t="s">
        <v>24</v>
      </c>
      <c r="AE3670" s="1" t="s">
        <v>24</v>
      </c>
      <c r="AF3670" s="22"/>
    </row>
    <row r="3671" spans="1:32" x14ac:dyDescent="0.2">
      <c r="A3671" s="1">
        <v>29784</v>
      </c>
      <c r="B3671" s="1" t="s">
        <v>11330</v>
      </c>
      <c r="C3671" s="5" t="s">
        <v>0</v>
      </c>
      <c r="D3671" s="1" t="s">
        <v>11331</v>
      </c>
      <c r="E3671" s="1" t="s">
        <v>11332</v>
      </c>
      <c r="F3671" s="1" t="s">
        <v>10191</v>
      </c>
      <c r="G3671" s="1" t="s">
        <v>10192</v>
      </c>
      <c r="H3671" s="1" t="s">
        <v>30</v>
      </c>
      <c r="I3671" s="1" t="s">
        <v>16</v>
      </c>
      <c r="J3671" s="1">
        <v>1</v>
      </c>
      <c r="K3671" s="1">
        <v>12</v>
      </c>
      <c r="L3671" s="1" t="s">
        <v>42</v>
      </c>
      <c r="M3671" s="1" t="s">
        <v>18</v>
      </c>
      <c r="N3671" s="1" t="s">
        <v>18</v>
      </c>
      <c r="O3671" s="1">
        <v>3</v>
      </c>
      <c r="P3671" s="1">
        <v>6</v>
      </c>
      <c r="R3671" s="1" t="s">
        <v>19</v>
      </c>
      <c r="S3671" s="1" t="s">
        <v>20</v>
      </c>
      <c r="T3671" s="1" t="s">
        <v>21</v>
      </c>
      <c r="U3671" s="1" t="s">
        <v>22</v>
      </c>
      <c r="V3671" s="1" t="s">
        <v>24</v>
      </c>
      <c r="W3671" s="1" t="s">
        <v>24</v>
      </c>
      <c r="X3671" s="1">
        <v>2404</v>
      </c>
      <c r="Y3671" s="1">
        <v>2405</v>
      </c>
      <c r="Z3671" s="1">
        <v>2406</v>
      </c>
      <c r="AA3671" s="1">
        <v>2403</v>
      </c>
      <c r="AB3671" s="1">
        <v>1311</v>
      </c>
      <c r="AC3671" s="1">
        <v>1312</v>
      </c>
      <c r="AD3671" s="1" t="s">
        <v>24</v>
      </c>
      <c r="AE3671" s="1" t="s">
        <v>24</v>
      </c>
      <c r="AF3671" s="22"/>
    </row>
    <row r="3672" spans="1:32" x14ac:dyDescent="0.2">
      <c r="A3672" s="1">
        <v>29785</v>
      </c>
      <c r="B3672" s="1" t="s">
        <v>11333</v>
      </c>
      <c r="C3672" s="5" t="s">
        <v>0</v>
      </c>
      <c r="D3672" s="1" t="s">
        <v>11334</v>
      </c>
      <c r="E3672" s="1" t="s">
        <v>11335</v>
      </c>
      <c r="F3672" s="1" t="s">
        <v>1383</v>
      </c>
      <c r="G3672" s="1" t="s">
        <v>1383</v>
      </c>
      <c r="H3672" s="1" t="s">
        <v>1384</v>
      </c>
      <c r="I3672" s="1" t="s">
        <v>16</v>
      </c>
      <c r="J3672" s="1">
        <v>1</v>
      </c>
      <c r="K3672" s="1">
        <v>4</v>
      </c>
      <c r="L3672" s="1" t="s">
        <v>42</v>
      </c>
      <c r="M3672" s="1" t="s">
        <v>1385</v>
      </c>
      <c r="N3672" s="1" t="s">
        <v>3142</v>
      </c>
      <c r="O3672" s="1">
        <v>2</v>
      </c>
      <c r="P3672" s="1">
        <v>5</v>
      </c>
      <c r="R3672" s="1" t="s">
        <v>19</v>
      </c>
      <c r="S3672" s="1" t="s">
        <v>20</v>
      </c>
      <c r="T3672" s="1" t="s">
        <v>21</v>
      </c>
      <c r="U3672" s="1" t="s">
        <v>22</v>
      </c>
      <c r="V3672" s="1" t="s">
        <v>24</v>
      </c>
      <c r="W3672" s="1" t="s">
        <v>24</v>
      </c>
      <c r="X3672" s="1">
        <v>2803</v>
      </c>
      <c r="Y3672" s="1">
        <v>2738</v>
      </c>
      <c r="Z3672" s="1">
        <v>2728</v>
      </c>
      <c r="AA3672" s="1" t="s">
        <v>24</v>
      </c>
      <c r="AB3672" s="1" t="s">
        <v>24</v>
      </c>
      <c r="AC3672" s="1" t="s">
        <v>24</v>
      </c>
      <c r="AD3672" s="1" t="s">
        <v>24</v>
      </c>
      <c r="AE3672" s="1" t="s">
        <v>24</v>
      </c>
      <c r="AF3672" s="22"/>
    </row>
    <row r="3673" spans="1:32" x14ac:dyDescent="0.2">
      <c r="A3673" s="1">
        <v>29789</v>
      </c>
      <c r="B3673" s="1" t="s">
        <v>11336</v>
      </c>
      <c r="C3673" s="5" t="s">
        <v>0</v>
      </c>
      <c r="D3673" s="1" t="s">
        <v>11337</v>
      </c>
      <c r="F3673" s="1" t="s">
        <v>9133</v>
      </c>
      <c r="G3673" s="1" t="s">
        <v>9133</v>
      </c>
      <c r="H3673" s="1" t="s">
        <v>1957</v>
      </c>
      <c r="I3673" s="1" t="s">
        <v>16</v>
      </c>
      <c r="J3673" s="1">
        <v>1</v>
      </c>
      <c r="K3673" s="1">
        <v>2</v>
      </c>
      <c r="L3673" s="1" t="s">
        <v>42</v>
      </c>
      <c r="M3673" s="1" t="s">
        <v>18</v>
      </c>
      <c r="N3673" s="1" t="s">
        <v>18</v>
      </c>
      <c r="O3673" s="1">
        <v>3</v>
      </c>
      <c r="P3673" s="1">
        <v>6</v>
      </c>
      <c r="R3673" s="1" t="s">
        <v>19</v>
      </c>
      <c r="S3673" s="1" t="s">
        <v>20</v>
      </c>
      <c r="T3673" s="1" t="s">
        <v>21</v>
      </c>
      <c r="U3673" s="1" t="s">
        <v>22</v>
      </c>
      <c r="V3673" s="1" t="s">
        <v>24</v>
      </c>
      <c r="W3673" s="1" t="s">
        <v>24</v>
      </c>
      <c r="X3673" s="1">
        <v>3004</v>
      </c>
      <c r="Y3673" s="1" t="s">
        <v>24</v>
      </c>
      <c r="Z3673" s="1" t="s">
        <v>24</v>
      </c>
      <c r="AA3673" s="1" t="s">
        <v>24</v>
      </c>
      <c r="AB3673" s="1" t="s">
        <v>24</v>
      </c>
      <c r="AC3673" s="1" t="s">
        <v>24</v>
      </c>
      <c r="AD3673" s="1" t="s">
        <v>24</v>
      </c>
      <c r="AE3673" s="1" t="s">
        <v>24</v>
      </c>
      <c r="AF3673" s="22"/>
    </row>
    <row r="3674" spans="1:32" x14ac:dyDescent="0.2">
      <c r="A3674" s="1">
        <v>29790</v>
      </c>
      <c r="B3674" s="1" t="s">
        <v>11338</v>
      </c>
      <c r="C3674" s="5" t="s">
        <v>0</v>
      </c>
      <c r="D3674" s="1" t="s">
        <v>11339</v>
      </c>
      <c r="F3674" s="1" t="s">
        <v>11340</v>
      </c>
      <c r="G3674" s="1" t="s">
        <v>11341</v>
      </c>
      <c r="H3674" s="1" t="s">
        <v>899</v>
      </c>
      <c r="I3674" s="1" t="s">
        <v>16</v>
      </c>
      <c r="J3674" s="1">
        <v>1</v>
      </c>
      <c r="K3674" s="1">
        <v>2</v>
      </c>
      <c r="L3674" s="1" t="s">
        <v>31</v>
      </c>
      <c r="M3674" s="1" t="s">
        <v>18</v>
      </c>
      <c r="N3674" s="1" t="s">
        <v>18</v>
      </c>
      <c r="O3674" s="1">
        <v>3</v>
      </c>
      <c r="P3674" s="1">
        <v>5</v>
      </c>
      <c r="R3674" s="1" t="s">
        <v>19</v>
      </c>
      <c r="S3674" s="1" t="s">
        <v>20</v>
      </c>
      <c r="T3674" s="1" t="s">
        <v>21</v>
      </c>
      <c r="U3674" s="1" t="s">
        <v>22</v>
      </c>
      <c r="V3674" s="1" t="s">
        <v>24</v>
      </c>
      <c r="W3674" s="1" t="s">
        <v>24</v>
      </c>
      <c r="X3674" s="1">
        <v>2736</v>
      </c>
      <c r="Y3674" s="1">
        <v>3004</v>
      </c>
      <c r="Z3674" s="1" t="s">
        <v>24</v>
      </c>
      <c r="AA3674" s="1" t="s">
        <v>24</v>
      </c>
      <c r="AB3674" s="1" t="s">
        <v>24</v>
      </c>
      <c r="AC3674" s="1" t="s">
        <v>24</v>
      </c>
      <c r="AD3674" s="1" t="s">
        <v>24</v>
      </c>
      <c r="AE3674" s="1" t="s">
        <v>24</v>
      </c>
      <c r="AF3674" s="22"/>
    </row>
    <row r="3675" spans="1:32" x14ac:dyDescent="0.2">
      <c r="A3675" s="1">
        <v>29791</v>
      </c>
      <c r="B3675" s="1" t="s">
        <v>11342</v>
      </c>
      <c r="C3675" s="5" t="s">
        <v>0</v>
      </c>
      <c r="D3675" s="1" t="s">
        <v>11343</v>
      </c>
      <c r="F3675" s="1" t="s">
        <v>11340</v>
      </c>
      <c r="G3675" s="1" t="s">
        <v>11341</v>
      </c>
      <c r="H3675" s="1" t="s">
        <v>899</v>
      </c>
      <c r="I3675" s="1" t="s">
        <v>16</v>
      </c>
      <c r="J3675" s="1">
        <v>1</v>
      </c>
      <c r="K3675" s="1">
        <v>1</v>
      </c>
      <c r="L3675" s="1" t="s">
        <v>31</v>
      </c>
      <c r="M3675" s="1" t="s">
        <v>18</v>
      </c>
      <c r="N3675" s="1" t="s">
        <v>18</v>
      </c>
      <c r="O3675" s="1">
        <v>3</v>
      </c>
      <c r="P3675" s="1">
        <v>5</v>
      </c>
      <c r="R3675" s="1" t="s">
        <v>19</v>
      </c>
      <c r="S3675" s="1" t="s">
        <v>20</v>
      </c>
      <c r="T3675" s="1" t="s">
        <v>21</v>
      </c>
      <c r="U3675" s="1" t="s">
        <v>22</v>
      </c>
      <c r="V3675" s="1" t="s">
        <v>24</v>
      </c>
      <c r="W3675" s="1" t="s">
        <v>24</v>
      </c>
      <c r="X3675" s="1">
        <v>1303</v>
      </c>
      <c r="Y3675" s="1">
        <v>1312</v>
      </c>
      <c r="Z3675" s="1" t="s">
        <v>24</v>
      </c>
      <c r="AA3675" s="1" t="s">
        <v>24</v>
      </c>
      <c r="AB3675" s="1" t="s">
        <v>24</v>
      </c>
      <c r="AC3675" s="1" t="s">
        <v>24</v>
      </c>
      <c r="AD3675" s="1" t="s">
        <v>24</v>
      </c>
      <c r="AE3675" s="1" t="s">
        <v>24</v>
      </c>
      <c r="AF3675" s="22"/>
    </row>
    <row r="3676" spans="1:32" x14ac:dyDescent="0.2">
      <c r="A3676" s="1">
        <v>29793</v>
      </c>
      <c r="B3676" s="1" t="s">
        <v>11344</v>
      </c>
      <c r="C3676" s="5" t="s">
        <v>0</v>
      </c>
      <c r="D3676" s="1" t="s">
        <v>11345</v>
      </c>
      <c r="F3676" s="1" t="s">
        <v>11340</v>
      </c>
      <c r="G3676" s="1" t="s">
        <v>11340</v>
      </c>
      <c r="H3676" s="1" t="s">
        <v>899</v>
      </c>
      <c r="I3676" s="1" t="s">
        <v>16</v>
      </c>
      <c r="J3676" s="1">
        <v>1</v>
      </c>
      <c r="K3676" s="1">
        <v>1</v>
      </c>
      <c r="L3676" s="1" t="s">
        <v>17</v>
      </c>
      <c r="M3676" s="1" t="s">
        <v>18</v>
      </c>
      <c r="N3676" s="1" t="s">
        <v>18</v>
      </c>
      <c r="O3676" s="1">
        <v>3</v>
      </c>
      <c r="P3676" s="1">
        <v>5</v>
      </c>
      <c r="R3676" s="1" t="s">
        <v>19</v>
      </c>
      <c r="S3676" s="1" t="s">
        <v>20</v>
      </c>
      <c r="T3676" s="1" t="s">
        <v>21</v>
      </c>
      <c r="U3676" s="1" t="s">
        <v>22</v>
      </c>
      <c r="V3676" s="1" t="s">
        <v>24</v>
      </c>
      <c r="W3676" s="1" t="s">
        <v>24</v>
      </c>
      <c r="X3676" s="1">
        <v>3005</v>
      </c>
      <c r="Y3676" s="1">
        <v>2307</v>
      </c>
      <c r="Z3676" s="1" t="s">
        <v>24</v>
      </c>
      <c r="AA3676" s="1" t="s">
        <v>24</v>
      </c>
      <c r="AB3676" s="1" t="s">
        <v>24</v>
      </c>
      <c r="AC3676" s="1" t="s">
        <v>24</v>
      </c>
      <c r="AD3676" s="1" t="s">
        <v>24</v>
      </c>
      <c r="AE3676" s="1" t="s">
        <v>24</v>
      </c>
      <c r="AF3676" s="22"/>
    </row>
    <row r="3677" spans="1:32" x14ac:dyDescent="0.2">
      <c r="A3677" s="1">
        <v>29794</v>
      </c>
      <c r="B3677" s="1" t="s">
        <v>11346</v>
      </c>
      <c r="C3677" s="5" t="s">
        <v>0</v>
      </c>
      <c r="D3677" s="1" t="s">
        <v>11347</v>
      </c>
      <c r="F3677" s="1" t="s">
        <v>11340</v>
      </c>
      <c r="G3677" s="1" t="s">
        <v>11340</v>
      </c>
      <c r="H3677" s="1" t="s">
        <v>899</v>
      </c>
      <c r="I3677" s="1" t="s">
        <v>16</v>
      </c>
      <c r="J3677" s="1">
        <v>1</v>
      </c>
      <c r="K3677" s="1">
        <v>1</v>
      </c>
      <c r="L3677" s="1" t="s">
        <v>17</v>
      </c>
      <c r="M3677" s="1" t="s">
        <v>18</v>
      </c>
      <c r="N3677" s="1" t="s">
        <v>18</v>
      </c>
      <c r="O3677" s="1">
        <v>3</v>
      </c>
      <c r="P3677" s="1">
        <v>5</v>
      </c>
      <c r="R3677" s="1" t="s">
        <v>19</v>
      </c>
      <c r="S3677" s="1" t="s">
        <v>20</v>
      </c>
      <c r="T3677" s="1" t="s">
        <v>21</v>
      </c>
      <c r="U3677" s="1" t="s">
        <v>22</v>
      </c>
      <c r="V3677" s="1" t="s">
        <v>24</v>
      </c>
      <c r="W3677" s="1" t="s">
        <v>24</v>
      </c>
      <c r="X3677" s="1">
        <v>2403</v>
      </c>
      <c r="Y3677" s="1">
        <v>2723</v>
      </c>
      <c r="Z3677" s="1" t="s">
        <v>24</v>
      </c>
      <c r="AA3677" s="1" t="s">
        <v>24</v>
      </c>
      <c r="AB3677" s="1" t="s">
        <v>24</v>
      </c>
      <c r="AC3677" s="1" t="s">
        <v>24</v>
      </c>
      <c r="AD3677" s="1" t="s">
        <v>24</v>
      </c>
      <c r="AE3677" s="1" t="s">
        <v>24</v>
      </c>
      <c r="AF3677" s="22"/>
    </row>
    <row r="3678" spans="1:32" x14ac:dyDescent="0.2">
      <c r="A3678" s="1">
        <v>29795</v>
      </c>
      <c r="B3678" s="1" t="s">
        <v>11348</v>
      </c>
      <c r="C3678" s="5" t="s">
        <v>0</v>
      </c>
      <c r="D3678" s="1" t="s">
        <v>11349</v>
      </c>
      <c r="E3678" s="1" t="s">
        <v>11350</v>
      </c>
      <c r="F3678" s="1" t="s">
        <v>689</v>
      </c>
      <c r="G3678" s="1" t="s">
        <v>311</v>
      </c>
      <c r="H3678" s="1" t="s">
        <v>30</v>
      </c>
      <c r="I3678" s="1" t="s">
        <v>16</v>
      </c>
      <c r="J3678" s="1">
        <v>1</v>
      </c>
      <c r="K3678" s="1">
        <v>4</v>
      </c>
      <c r="L3678" s="1" t="s">
        <v>31</v>
      </c>
      <c r="M3678" s="1" t="s">
        <v>18</v>
      </c>
      <c r="N3678" s="1" t="s">
        <v>18</v>
      </c>
      <c r="O3678" s="1">
        <v>3</v>
      </c>
      <c r="P3678" s="1">
        <v>7</v>
      </c>
      <c r="Q3678" s="7" t="s">
        <v>17633</v>
      </c>
      <c r="R3678" s="1" t="s">
        <v>19</v>
      </c>
      <c r="S3678" s="1" t="s">
        <v>20</v>
      </c>
      <c r="T3678" s="1" t="s">
        <v>21</v>
      </c>
      <c r="U3678" s="1" t="s">
        <v>22</v>
      </c>
      <c r="V3678" s="1" t="s">
        <v>24</v>
      </c>
      <c r="W3678" s="1" t="s">
        <v>24</v>
      </c>
      <c r="X3678" s="1">
        <v>2738</v>
      </c>
      <c r="Y3678" s="1">
        <v>2742</v>
      </c>
      <c r="Z3678" s="1" t="s">
        <v>24</v>
      </c>
      <c r="AA3678" s="1" t="s">
        <v>24</v>
      </c>
      <c r="AB3678" s="1" t="s">
        <v>24</v>
      </c>
      <c r="AC3678" s="1" t="s">
        <v>24</v>
      </c>
      <c r="AD3678" s="1" t="s">
        <v>24</v>
      </c>
      <c r="AE3678" s="1" t="s">
        <v>24</v>
      </c>
      <c r="AF3678" s="22"/>
    </row>
    <row r="3679" spans="1:32" x14ac:dyDescent="0.2">
      <c r="A3679" s="1">
        <v>29796</v>
      </c>
      <c r="B3679" s="1" t="s">
        <v>11351</v>
      </c>
      <c r="C3679" s="5" t="s">
        <v>0</v>
      </c>
      <c r="D3679" s="1" t="s">
        <v>11352</v>
      </c>
      <c r="E3679" s="1" t="s">
        <v>11353</v>
      </c>
      <c r="F3679" s="1" t="s">
        <v>11354</v>
      </c>
      <c r="G3679" s="1" t="s">
        <v>11355</v>
      </c>
      <c r="H3679" s="1" t="s">
        <v>37</v>
      </c>
      <c r="I3679" s="1" t="s">
        <v>16</v>
      </c>
      <c r="J3679" s="1">
        <v>1</v>
      </c>
      <c r="K3679" s="1">
        <v>6</v>
      </c>
      <c r="L3679" s="1" t="s">
        <v>42</v>
      </c>
      <c r="M3679" s="1" t="s">
        <v>18</v>
      </c>
      <c r="N3679" s="1" t="s">
        <v>18</v>
      </c>
      <c r="O3679" s="1">
        <v>3</v>
      </c>
      <c r="P3679" s="1">
        <v>6</v>
      </c>
      <c r="R3679" s="1" t="s">
        <v>19</v>
      </c>
      <c r="S3679" s="1" t="s">
        <v>20</v>
      </c>
      <c r="T3679" s="1" t="s">
        <v>21</v>
      </c>
      <c r="U3679" s="1" t="s">
        <v>22</v>
      </c>
      <c r="V3679" s="1" t="s">
        <v>24</v>
      </c>
      <c r="W3679" s="1" t="s">
        <v>24</v>
      </c>
      <c r="X3679" s="1">
        <v>1304</v>
      </c>
      <c r="Y3679" s="1">
        <v>1305</v>
      </c>
      <c r="Z3679" s="1">
        <v>1502</v>
      </c>
      <c r="AA3679" s="1">
        <v>2204</v>
      </c>
      <c r="AB3679" s="1">
        <v>2502</v>
      </c>
      <c r="AC3679" s="1">
        <v>1303</v>
      </c>
      <c r="AD3679" s="1" t="s">
        <v>24</v>
      </c>
      <c r="AE3679" s="1" t="s">
        <v>24</v>
      </c>
      <c r="AF3679" s="22"/>
    </row>
    <row r="3680" spans="1:32" x14ac:dyDescent="0.2">
      <c r="A3680" s="1">
        <v>29802</v>
      </c>
      <c r="B3680" s="1" t="s">
        <v>11356</v>
      </c>
      <c r="C3680" s="5" t="s">
        <v>0</v>
      </c>
      <c r="D3680" s="1" t="s">
        <v>11357</v>
      </c>
      <c r="F3680" s="1" t="s">
        <v>11358</v>
      </c>
      <c r="G3680" s="1" t="s">
        <v>11358</v>
      </c>
      <c r="H3680" s="1" t="s">
        <v>1957</v>
      </c>
      <c r="I3680" s="1" t="s">
        <v>16</v>
      </c>
      <c r="J3680" s="1">
        <v>1</v>
      </c>
      <c r="K3680" s="1">
        <v>4</v>
      </c>
      <c r="L3680" s="1" t="s">
        <v>42</v>
      </c>
      <c r="M3680" s="1" t="s">
        <v>10391</v>
      </c>
      <c r="N3680" s="1" t="s">
        <v>10392</v>
      </c>
      <c r="O3680" s="1">
        <v>3</v>
      </c>
      <c r="P3680" s="1">
        <v>5</v>
      </c>
      <c r="R3680" s="1" t="s">
        <v>19</v>
      </c>
      <c r="S3680" s="1" t="s">
        <v>20</v>
      </c>
      <c r="T3680" s="1" t="s">
        <v>21</v>
      </c>
      <c r="U3680" s="1" t="s">
        <v>22</v>
      </c>
      <c r="V3680" s="1" t="s">
        <v>24</v>
      </c>
      <c r="W3680" s="1" t="s">
        <v>24</v>
      </c>
      <c r="X3680" s="1">
        <v>2700</v>
      </c>
      <c r="Y3680" s="1" t="s">
        <v>24</v>
      </c>
      <c r="Z3680" s="1" t="s">
        <v>24</v>
      </c>
      <c r="AA3680" s="1" t="s">
        <v>24</v>
      </c>
      <c r="AB3680" s="1" t="s">
        <v>24</v>
      </c>
      <c r="AC3680" s="1" t="s">
        <v>24</v>
      </c>
      <c r="AD3680" s="1" t="s">
        <v>24</v>
      </c>
      <c r="AE3680" s="1" t="s">
        <v>24</v>
      </c>
      <c r="AF3680" s="22"/>
    </row>
    <row r="3681" spans="1:32" x14ac:dyDescent="0.2">
      <c r="A3681" s="1">
        <v>29803</v>
      </c>
      <c r="B3681" s="1" t="s">
        <v>11359</v>
      </c>
      <c r="C3681" s="5" t="s">
        <v>0</v>
      </c>
      <c r="D3681" s="1" t="s">
        <v>11360</v>
      </c>
      <c r="F3681" s="1" t="s">
        <v>11361</v>
      </c>
      <c r="G3681" s="1" t="s">
        <v>11362</v>
      </c>
      <c r="H3681" s="1" t="s">
        <v>1007</v>
      </c>
      <c r="I3681" s="1" t="s">
        <v>16</v>
      </c>
      <c r="J3681" s="1">
        <v>1</v>
      </c>
      <c r="K3681" s="1">
        <v>12</v>
      </c>
      <c r="L3681" s="1" t="s">
        <v>31</v>
      </c>
      <c r="M3681" s="1" t="s">
        <v>1008</v>
      </c>
      <c r="N3681" s="1" t="s">
        <v>4418</v>
      </c>
      <c r="O3681" s="1">
        <v>3</v>
      </c>
      <c r="P3681" s="1">
        <v>5</v>
      </c>
      <c r="R3681" s="1" t="s">
        <v>19</v>
      </c>
      <c r="S3681" s="1" t="s">
        <v>20</v>
      </c>
      <c r="T3681" s="1" t="s">
        <v>21</v>
      </c>
      <c r="U3681" s="1" t="s">
        <v>22</v>
      </c>
      <c r="V3681" s="1" t="s">
        <v>24</v>
      </c>
      <c r="W3681" s="1" t="s">
        <v>24</v>
      </c>
      <c r="X3681" s="1">
        <v>2748</v>
      </c>
      <c r="Y3681" s="1">
        <v>2702</v>
      </c>
      <c r="Z3681" s="1">
        <v>2737</v>
      </c>
      <c r="AA3681" s="1" t="s">
        <v>24</v>
      </c>
      <c r="AB3681" s="1" t="s">
        <v>24</v>
      </c>
      <c r="AC3681" s="1" t="s">
        <v>24</v>
      </c>
      <c r="AD3681" s="1" t="s">
        <v>24</v>
      </c>
      <c r="AE3681" s="1" t="s">
        <v>24</v>
      </c>
      <c r="AF3681" s="22"/>
    </row>
    <row r="3682" spans="1:32" x14ac:dyDescent="0.2">
      <c r="A3682" s="1">
        <v>29804</v>
      </c>
      <c r="B3682" s="1" t="s">
        <v>11363</v>
      </c>
      <c r="C3682" s="5" t="s">
        <v>0</v>
      </c>
      <c r="D3682" s="1" t="s">
        <v>11364</v>
      </c>
      <c r="E3682" s="1" t="s">
        <v>11365</v>
      </c>
      <c r="F3682" s="1" t="s">
        <v>1956</v>
      </c>
      <c r="G3682" s="1" t="s">
        <v>11366</v>
      </c>
      <c r="H3682" s="1" t="s">
        <v>1957</v>
      </c>
      <c r="I3682" s="1" t="s">
        <v>16</v>
      </c>
      <c r="J3682" s="1">
        <v>1</v>
      </c>
      <c r="K3682" s="1">
        <v>4</v>
      </c>
      <c r="L3682" s="1" t="s">
        <v>31</v>
      </c>
      <c r="M3682" s="1" t="s">
        <v>18</v>
      </c>
      <c r="N3682" s="1" t="s">
        <v>18</v>
      </c>
      <c r="O3682" s="1">
        <v>3</v>
      </c>
      <c r="P3682" s="1">
        <v>6</v>
      </c>
      <c r="R3682" s="1" t="s">
        <v>19</v>
      </c>
      <c r="S3682" s="1" t="s">
        <v>20</v>
      </c>
      <c r="T3682" s="1" t="s">
        <v>21</v>
      </c>
      <c r="U3682" s="1" t="s">
        <v>22</v>
      </c>
      <c r="V3682" s="1" t="s">
        <v>24</v>
      </c>
      <c r="W3682" s="1" t="s">
        <v>24</v>
      </c>
      <c r="X3682" s="1">
        <v>2403</v>
      </c>
      <c r="Y3682" s="1">
        <v>2723</v>
      </c>
      <c r="Z3682" s="1" t="s">
        <v>24</v>
      </c>
      <c r="AA3682" s="1" t="s">
        <v>24</v>
      </c>
      <c r="AB3682" s="1" t="s">
        <v>24</v>
      </c>
      <c r="AC3682" s="1" t="s">
        <v>24</v>
      </c>
      <c r="AD3682" s="1" t="s">
        <v>24</v>
      </c>
      <c r="AE3682" s="1" t="s">
        <v>24</v>
      </c>
      <c r="AF3682" s="22" t="s">
        <v>17715</v>
      </c>
    </row>
    <row r="3683" spans="1:32" x14ac:dyDescent="0.2">
      <c r="A3683" s="1">
        <v>29805</v>
      </c>
      <c r="B3683" s="1" t="s">
        <v>11367</v>
      </c>
      <c r="C3683" s="5" t="s">
        <v>0</v>
      </c>
      <c r="D3683" s="1" t="s">
        <v>11368</v>
      </c>
      <c r="F3683" s="1" t="s">
        <v>11369</v>
      </c>
      <c r="G3683" s="1" t="s">
        <v>11369</v>
      </c>
      <c r="H3683" s="1" t="s">
        <v>233</v>
      </c>
      <c r="I3683" s="1" t="s">
        <v>16</v>
      </c>
      <c r="J3683" s="1">
        <v>1</v>
      </c>
      <c r="K3683" s="1">
        <v>6</v>
      </c>
      <c r="L3683" s="1" t="s">
        <v>17</v>
      </c>
      <c r="M3683" s="1" t="s">
        <v>117</v>
      </c>
      <c r="N3683" s="1" t="s">
        <v>117</v>
      </c>
      <c r="O3683" s="1">
        <v>3</v>
      </c>
      <c r="P3683" s="1">
        <v>5</v>
      </c>
      <c r="R3683" s="1" t="s">
        <v>19</v>
      </c>
      <c r="S3683" s="1" t="s">
        <v>20</v>
      </c>
      <c r="T3683" s="1" t="s">
        <v>21</v>
      </c>
      <c r="U3683" s="1" t="s">
        <v>22</v>
      </c>
      <c r="V3683" s="1" t="s">
        <v>24</v>
      </c>
      <c r="W3683" s="1" t="s">
        <v>24</v>
      </c>
      <c r="X3683" s="1">
        <v>2700</v>
      </c>
      <c r="Y3683" s="1" t="s">
        <v>24</v>
      </c>
      <c r="Z3683" s="1" t="s">
        <v>24</v>
      </c>
      <c r="AA3683" s="1" t="s">
        <v>24</v>
      </c>
      <c r="AB3683" s="1" t="s">
        <v>24</v>
      </c>
      <c r="AC3683" s="1" t="s">
        <v>24</v>
      </c>
      <c r="AD3683" s="1" t="s">
        <v>24</v>
      </c>
      <c r="AE3683" s="1" t="s">
        <v>24</v>
      </c>
      <c r="AF3683" s="22"/>
    </row>
    <row r="3684" spans="1:32" x14ac:dyDescent="0.2">
      <c r="A3684" s="1">
        <v>29806</v>
      </c>
      <c r="B3684" s="1" t="s">
        <v>11370</v>
      </c>
      <c r="C3684" s="5" t="s">
        <v>0</v>
      </c>
      <c r="D3684" s="1" t="s">
        <v>11371</v>
      </c>
      <c r="E3684" s="1" t="s">
        <v>11372</v>
      </c>
      <c r="F3684" s="1" t="s">
        <v>11373</v>
      </c>
      <c r="G3684" s="1" t="s">
        <v>68</v>
      </c>
      <c r="H3684" s="1" t="s">
        <v>69</v>
      </c>
      <c r="I3684" s="1" t="s">
        <v>16</v>
      </c>
      <c r="J3684" s="1">
        <v>1</v>
      </c>
      <c r="K3684" s="1">
        <v>6</v>
      </c>
      <c r="L3684" s="1" t="s">
        <v>42</v>
      </c>
      <c r="M3684" s="1" t="s">
        <v>70</v>
      </c>
      <c r="N3684" s="1" t="s">
        <v>75</v>
      </c>
      <c r="O3684" s="1">
        <v>3</v>
      </c>
      <c r="P3684" s="1">
        <v>6</v>
      </c>
      <c r="R3684" s="1" t="s">
        <v>19</v>
      </c>
      <c r="S3684" s="1" t="s">
        <v>20</v>
      </c>
      <c r="T3684" s="1" t="s">
        <v>21</v>
      </c>
      <c r="U3684" s="1" t="s">
        <v>22</v>
      </c>
      <c r="V3684" s="1" t="s">
        <v>24</v>
      </c>
      <c r="W3684" s="1" t="s">
        <v>24</v>
      </c>
      <c r="X3684" s="1">
        <v>2746</v>
      </c>
      <c r="Y3684" s="1" t="s">
        <v>24</v>
      </c>
      <c r="Z3684" s="1" t="s">
        <v>24</v>
      </c>
      <c r="AA3684" s="1" t="s">
        <v>24</v>
      </c>
      <c r="AB3684" s="1" t="s">
        <v>24</v>
      </c>
      <c r="AC3684" s="1" t="s">
        <v>24</v>
      </c>
      <c r="AD3684" s="1" t="s">
        <v>24</v>
      </c>
      <c r="AE3684" s="1" t="s">
        <v>24</v>
      </c>
      <c r="AF3684" s="22"/>
    </row>
    <row r="3685" spans="1:32" x14ac:dyDescent="0.2">
      <c r="A3685" s="1">
        <v>29810</v>
      </c>
      <c r="B3685" s="1" t="s">
        <v>11374</v>
      </c>
      <c r="C3685" s="5" t="s">
        <v>0</v>
      </c>
      <c r="D3685" s="1" t="s">
        <v>11375</v>
      </c>
      <c r="E3685" s="1" t="s">
        <v>11376</v>
      </c>
      <c r="F3685" s="1" t="s">
        <v>291</v>
      </c>
      <c r="G3685" s="1" t="s">
        <v>292</v>
      </c>
      <c r="H3685" s="1" t="s">
        <v>37</v>
      </c>
      <c r="I3685" s="1" t="s">
        <v>16</v>
      </c>
      <c r="J3685" s="1">
        <v>1</v>
      </c>
      <c r="K3685" s="1">
        <v>4</v>
      </c>
      <c r="L3685" s="1" t="s">
        <v>31</v>
      </c>
      <c r="M3685" s="1" t="s">
        <v>18</v>
      </c>
      <c r="N3685" s="1" t="s">
        <v>18</v>
      </c>
      <c r="O3685" s="1">
        <v>3</v>
      </c>
      <c r="P3685" s="1">
        <v>7</v>
      </c>
      <c r="Q3685" s="7" t="s">
        <v>17633</v>
      </c>
      <c r="R3685" s="1" t="s">
        <v>19</v>
      </c>
      <c r="S3685" s="1" t="s">
        <v>20</v>
      </c>
      <c r="T3685" s="1" t="s">
        <v>21</v>
      </c>
      <c r="U3685" s="1" t="s">
        <v>22</v>
      </c>
      <c r="V3685" s="1" t="s">
        <v>24</v>
      </c>
      <c r="W3685" s="1" t="s">
        <v>24</v>
      </c>
      <c r="X3685" s="1">
        <v>2204</v>
      </c>
      <c r="Y3685" s="1">
        <v>3005</v>
      </c>
      <c r="Z3685" s="1" t="s">
        <v>24</v>
      </c>
      <c r="AA3685" s="1" t="s">
        <v>24</v>
      </c>
      <c r="AB3685" s="1" t="s">
        <v>24</v>
      </c>
      <c r="AC3685" s="1" t="s">
        <v>24</v>
      </c>
      <c r="AD3685" s="1" t="s">
        <v>24</v>
      </c>
      <c r="AE3685" s="1" t="s">
        <v>24</v>
      </c>
      <c r="AF3685" s="22"/>
    </row>
    <row r="3686" spans="1:32" x14ac:dyDescent="0.2">
      <c r="A3686" s="1">
        <v>29813</v>
      </c>
      <c r="B3686" s="1" t="s">
        <v>11377</v>
      </c>
      <c r="C3686" s="5" t="s">
        <v>0</v>
      </c>
      <c r="D3686" s="1" t="s">
        <v>11378</v>
      </c>
      <c r="E3686" s="1" t="s">
        <v>11379</v>
      </c>
      <c r="F3686" s="1" t="s">
        <v>4553</v>
      </c>
      <c r="G3686" s="1" t="s">
        <v>4553</v>
      </c>
      <c r="H3686" s="1" t="s">
        <v>1957</v>
      </c>
      <c r="I3686" s="1" t="s">
        <v>16</v>
      </c>
      <c r="J3686" s="1">
        <v>1</v>
      </c>
      <c r="K3686" s="1">
        <v>2</v>
      </c>
      <c r="L3686" s="1" t="s">
        <v>42</v>
      </c>
      <c r="M3686" s="1" t="s">
        <v>10391</v>
      </c>
      <c r="N3686" s="1" t="s">
        <v>10392</v>
      </c>
      <c r="O3686" s="1">
        <v>3</v>
      </c>
      <c r="P3686" s="1">
        <v>6</v>
      </c>
      <c r="R3686" s="1" t="s">
        <v>19</v>
      </c>
      <c r="S3686" s="1" t="s">
        <v>20</v>
      </c>
      <c r="T3686" s="1" t="s">
        <v>21</v>
      </c>
      <c r="U3686" s="1" t="s">
        <v>22</v>
      </c>
      <c r="V3686" s="1" t="s">
        <v>24</v>
      </c>
      <c r="W3686" s="1" t="s">
        <v>24</v>
      </c>
      <c r="X3686" s="1">
        <v>2741</v>
      </c>
      <c r="Y3686" s="1" t="s">
        <v>24</v>
      </c>
      <c r="Z3686" s="1" t="s">
        <v>24</v>
      </c>
      <c r="AA3686" s="1" t="s">
        <v>24</v>
      </c>
      <c r="AB3686" s="1" t="s">
        <v>24</v>
      </c>
      <c r="AC3686" s="1" t="s">
        <v>24</v>
      </c>
      <c r="AD3686" s="1" t="s">
        <v>24</v>
      </c>
      <c r="AE3686" s="1" t="s">
        <v>24</v>
      </c>
      <c r="AF3686" s="22"/>
    </row>
    <row r="3687" spans="1:32" x14ac:dyDescent="0.2">
      <c r="A3687" s="1">
        <v>29814</v>
      </c>
      <c r="B3687" s="1" t="s">
        <v>11380</v>
      </c>
      <c r="C3687" s="5" t="s">
        <v>0</v>
      </c>
      <c r="D3687" s="1" t="s">
        <v>11381</v>
      </c>
      <c r="E3687" s="1" t="s">
        <v>11382</v>
      </c>
      <c r="F3687" s="1" t="s">
        <v>3134</v>
      </c>
      <c r="G3687" s="1" t="s">
        <v>3134</v>
      </c>
      <c r="H3687" s="1" t="s">
        <v>249</v>
      </c>
      <c r="I3687" s="1" t="s">
        <v>16</v>
      </c>
      <c r="J3687" s="1">
        <v>1</v>
      </c>
      <c r="K3687" s="1">
        <v>4</v>
      </c>
      <c r="L3687" s="1" t="s">
        <v>42</v>
      </c>
      <c r="M3687" s="1" t="s">
        <v>18</v>
      </c>
      <c r="N3687" s="1" t="s">
        <v>18</v>
      </c>
      <c r="O3687" s="1">
        <v>3</v>
      </c>
      <c r="P3687" s="1">
        <v>6</v>
      </c>
      <c r="R3687" s="1" t="s">
        <v>19</v>
      </c>
      <c r="S3687" s="1" t="s">
        <v>20</v>
      </c>
      <c r="T3687" s="1" t="s">
        <v>21</v>
      </c>
      <c r="U3687" s="1" t="s">
        <v>22</v>
      </c>
      <c r="V3687" s="1" t="s">
        <v>24</v>
      </c>
      <c r="W3687" s="1" t="s">
        <v>24</v>
      </c>
      <c r="X3687" s="1">
        <v>2700</v>
      </c>
      <c r="Y3687" s="1" t="s">
        <v>24</v>
      </c>
      <c r="Z3687" s="1" t="s">
        <v>24</v>
      </c>
      <c r="AA3687" s="1" t="s">
        <v>24</v>
      </c>
      <c r="AB3687" s="1" t="s">
        <v>24</v>
      </c>
      <c r="AC3687" s="1" t="s">
        <v>24</v>
      </c>
      <c r="AD3687" s="1" t="s">
        <v>24</v>
      </c>
      <c r="AE3687" s="1" t="s">
        <v>24</v>
      </c>
      <c r="AF3687" s="22"/>
    </row>
    <row r="3688" spans="1:32" x14ac:dyDescent="0.2">
      <c r="A3688" s="1">
        <v>29815</v>
      </c>
      <c r="B3688" s="1" t="s">
        <v>11383</v>
      </c>
      <c r="C3688" s="5" t="s">
        <v>0</v>
      </c>
      <c r="D3688" s="1" t="s">
        <v>11384</v>
      </c>
      <c r="F3688" s="1" t="s">
        <v>3134</v>
      </c>
      <c r="G3688" s="1" t="s">
        <v>3134</v>
      </c>
      <c r="H3688" s="1" t="s">
        <v>249</v>
      </c>
      <c r="I3688" s="1" t="s">
        <v>16</v>
      </c>
      <c r="J3688" s="1">
        <v>1</v>
      </c>
      <c r="K3688" s="1">
        <v>6</v>
      </c>
      <c r="L3688" s="1" t="s">
        <v>42</v>
      </c>
      <c r="M3688" s="1" t="s">
        <v>250</v>
      </c>
      <c r="N3688" s="1" t="s">
        <v>1463</v>
      </c>
      <c r="O3688" s="1">
        <v>3</v>
      </c>
      <c r="P3688" s="1">
        <v>5</v>
      </c>
      <c r="R3688" s="1" t="s">
        <v>19</v>
      </c>
      <c r="S3688" s="1" t="s">
        <v>20</v>
      </c>
      <c r="T3688" s="1" t="s">
        <v>21</v>
      </c>
      <c r="U3688" s="1" t="s">
        <v>22</v>
      </c>
      <c r="V3688" s="1" t="s">
        <v>24</v>
      </c>
      <c r="W3688" s="1" t="s">
        <v>24</v>
      </c>
      <c r="X3688" s="1">
        <v>2729</v>
      </c>
      <c r="Y3688" s="1" t="s">
        <v>24</v>
      </c>
      <c r="Z3688" s="1" t="s">
        <v>24</v>
      </c>
      <c r="AA3688" s="1" t="s">
        <v>24</v>
      </c>
      <c r="AB3688" s="1" t="s">
        <v>24</v>
      </c>
      <c r="AC3688" s="1" t="s">
        <v>24</v>
      </c>
      <c r="AD3688" s="1" t="s">
        <v>24</v>
      </c>
      <c r="AE3688" s="1" t="s">
        <v>24</v>
      </c>
      <c r="AF3688" s="22"/>
    </row>
    <row r="3689" spans="1:32" x14ac:dyDescent="0.2">
      <c r="A3689" s="1">
        <v>29816</v>
      </c>
      <c r="B3689" s="1" t="s">
        <v>11385</v>
      </c>
      <c r="C3689" s="5" t="s">
        <v>0</v>
      </c>
      <c r="E3689" s="1" t="s">
        <v>11386</v>
      </c>
      <c r="F3689" s="1" t="s">
        <v>11385</v>
      </c>
      <c r="G3689" s="1" t="s">
        <v>1413</v>
      </c>
      <c r="H3689" s="1" t="s">
        <v>37</v>
      </c>
      <c r="I3689" s="1" t="s">
        <v>16</v>
      </c>
      <c r="J3689" s="1">
        <v>1</v>
      </c>
      <c r="K3689" s="1">
        <v>1</v>
      </c>
      <c r="L3689" s="1" t="s">
        <v>31</v>
      </c>
      <c r="M3689" s="1" t="s">
        <v>18</v>
      </c>
      <c r="N3689" s="1" t="s">
        <v>18</v>
      </c>
      <c r="O3689" s="1">
        <v>3</v>
      </c>
      <c r="P3689" s="1">
        <v>6</v>
      </c>
      <c r="R3689" s="1" t="s">
        <v>19</v>
      </c>
      <c r="S3689" s="1" t="s">
        <v>63</v>
      </c>
      <c r="T3689" s="1" t="s">
        <v>21</v>
      </c>
      <c r="U3689" s="1" t="s">
        <v>22</v>
      </c>
      <c r="V3689" s="1" t="s">
        <v>24</v>
      </c>
      <c r="W3689" s="1" t="s">
        <v>24</v>
      </c>
      <c r="X3689" s="1">
        <v>1300</v>
      </c>
      <c r="Y3689" s="1">
        <v>2300</v>
      </c>
      <c r="Z3689" s="1">
        <v>2700</v>
      </c>
      <c r="AA3689" s="1" t="s">
        <v>24</v>
      </c>
      <c r="AB3689" s="1" t="s">
        <v>24</v>
      </c>
      <c r="AC3689" s="1" t="s">
        <v>24</v>
      </c>
      <c r="AD3689" s="1" t="s">
        <v>24</v>
      </c>
      <c r="AE3689" s="1" t="s">
        <v>24</v>
      </c>
      <c r="AF3689" s="22"/>
    </row>
    <row r="3690" spans="1:32" x14ac:dyDescent="0.2">
      <c r="A3690" s="1">
        <v>29817</v>
      </c>
      <c r="B3690" s="1" t="s">
        <v>11387</v>
      </c>
      <c r="C3690" s="5" t="s">
        <v>0</v>
      </c>
      <c r="D3690" s="1" t="s">
        <v>11388</v>
      </c>
      <c r="F3690" s="1" t="s">
        <v>11389</v>
      </c>
      <c r="G3690" s="1" t="s">
        <v>1066</v>
      </c>
      <c r="H3690" s="1" t="s">
        <v>1007</v>
      </c>
      <c r="I3690" s="1" t="s">
        <v>16</v>
      </c>
      <c r="J3690" s="1">
        <v>1</v>
      </c>
      <c r="K3690" s="1">
        <v>6</v>
      </c>
      <c r="L3690" s="1" t="s">
        <v>17</v>
      </c>
      <c r="M3690" s="1" t="s">
        <v>1008</v>
      </c>
      <c r="N3690" s="1" t="s">
        <v>4418</v>
      </c>
      <c r="O3690" s="1">
        <v>3</v>
      </c>
      <c r="P3690" s="1">
        <v>5</v>
      </c>
      <c r="R3690" s="1" t="s">
        <v>19</v>
      </c>
      <c r="S3690" s="1" t="s">
        <v>20</v>
      </c>
      <c r="T3690" s="1" t="s">
        <v>21</v>
      </c>
      <c r="U3690" s="1" t="s">
        <v>22</v>
      </c>
      <c r="V3690" s="1" t="s">
        <v>24</v>
      </c>
      <c r="W3690" s="1" t="s">
        <v>24</v>
      </c>
      <c r="X3690" s="1">
        <v>2728</v>
      </c>
      <c r="Y3690" s="1">
        <v>2808</v>
      </c>
      <c r="Z3690" s="1" t="s">
        <v>24</v>
      </c>
      <c r="AA3690" s="1" t="s">
        <v>24</v>
      </c>
      <c r="AB3690" s="1" t="s">
        <v>24</v>
      </c>
      <c r="AC3690" s="1" t="s">
        <v>24</v>
      </c>
      <c r="AD3690" s="1" t="s">
        <v>24</v>
      </c>
      <c r="AE3690" s="1" t="s">
        <v>24</v>
      </c>
      <c r="AF3690" s="22"/>
    </row>
    <row r="3691" spans="1:32" x14ac:dyDescent="0.2">
      <c r="A3691" s="1">
        <v>29818</v>
      </c>
      <c r="B3691" s="1" t="s">
        <v>11390</v>
      </c>
      <c r="C3691" s="5" t="s">
        <v>0</v>
      </c>
      <c r="D3691" s="1" t="s">
        <v>11391</v>
      </c>
      <c r="E3691" s="1" t="s">
        <v>11392</v>
      </c>
      <c r="F3691" s="1" t="s">
        <v>11393</v>
      </c>
      <c r="G3691" s="1" t="s">
        <v>11393</v>
      </c>
      <c r="H3691" s="1" t="s">
        <v>1384</v>
      </c>
      <c r="I3691" s="1" t="s">
        <v>16</v>
      </c>
      <c r="J3691" s="1">
        <v>1</v>
      </c>
      <c r="K3691" s="1">
        <v>4</v>
      </c>
      <c r="L3691" s="1" t="s">
        <v>42</v>
      </c>
      <c r="M3691" s="1" t="s">
        <v>1385</v>
      </c>
      <c r="N3691" s="1" t="s">
        <v>3142</v>
      </c>
      <c r="O3691" s="1">
        <v>3</v>
      </c>
      <c r="P3691" s="1">
        <v>5</v>
      </c>
      <c r="R3691" s="1" t="s">
        <v>19</v>
      </c>
      <c r="S3691" s="1" t="s">
        <v>20</v>
      </c>
      <c r="T3691" s="1" t="s">
        <v>21</v>
      </c>
      <c r="U3691" s="1" t="s">
        <v>22</v>
      </c>
      <c r="V3691" s="1" t="s">
        <v>24</v>
      </c>
      <c r="W3691" s="1" t="s">
        <v>24</v>
      </c>
      <c r="X3691" s="1">
        <v>2735</v>
      </c>
      <c r="Y3691" s="1" t="s">
        <v>24</v>
      </c>
      <c r="Z3691" s="1" t="s">
        <v>24</v>
      </c>
      <c r="AA3691" s="1" t="s">
        <v>24</v>
      </c>
      <c r="AB3691" s="1" t="s">
        <v>24</v>
      </c>
      <c r="AC3691" s="1" t="s">
        <v>24</v>
      </c>
      <c r="AD3691" s="1" t="s">
        <v>24</v>
      </c>
      <c r="AE3691" s="1" t="s">
        <v>24</v>
      </c>
      <c r="AF3691" s="22"/>
    </row>
    <row r="3692" spans="1:32" x14ac:dyDescent="0.2">
      <c r="A3692" s="1">
        <v>29819</v>
      </c>
      <c r="B3692" s="1" t="s">
        <v>11394</v>
      </c>
      <c r="C3692" s="5" t="s">
        <v>0</v>
      </c>
      <c r="D3692" s="1" t="s">
        <v>11395</v>
      </c>
      <c r="F3692" s="1" t="s">
        <v>11396</v>
      </c>
      <c r="G3692" s="1" t="s">
        <v>11394</v>
      </c>
      <c r="H3692" s="1" t="s">
        <v>1384</v>
      </c>
      <c r="I3692" s="1" t="s">
        <v>16</v>
      </c>
      <c r="J3692" s="1">
        <v>1</v>
      </c>
      <c r="K3692" s="1">
        <v>3</v>
      </c>
      <c r="L3692" s="1" t="s">
        <v>42</v>
      </c>
      <c r="M3692" s="1" t="s">
        <v>18</v>
      </c>
      <c r="N3692" s="1" t="s">
        <v>3142</v>
      </c>
      <c r="O3692" s="1">
        <v>3</v>
      </c>
      <c r="P3692" s="1">
        <v>5</v>
      </c>
      <c r="R3692" s="1" t="s">
        <v>19</v>
      </c>
      <c r="S3692" s="1" t="s">
        <v>20</v>
      </c>
      <c r="T3692" s="1" t="s">
        <v>21</v>
      </c>
      <c r="U3692" s="1" t="s">
        <v>22</v>
      </c>
      <c r="V3692" s="1" t="s">
        <v>24</v>
      </c>
      <c r="W3692" s="1" t="s">
        <v>24</v>
      </c>
      <c r="X3692" s="1">
        <v>3003</v>
      </c>
      <c r="Y3692" s="1">
        <v>1313</v>
      </c>
      <c r="Z3692" s="1" t="s">
        <v>24</v>
      </c>
      <c r="AA3692" s="1" t="s">
        <v>24</v>
      </c>
      <c r="AB3692" s="1" t="s">
        <v>24</v>
      </c>
      <c r="AC3692" s="1" t="s">
        <v>24</v>
      </c>
      <c r="AD3692" s="1" t="s">
        <v>24</v>
      </c>
      <c r="AE3692" s="1" t="s">
        <v>24</v>
      </c>
      <c r="AF3692" s="22"/>
    </row>
    <row r="3693" spans="1:32" x14ac:dyDescent="0.2">
      <c r="A3693" s="1">
        <v>29820</v>
      </c>
      <c r="B3693" s="1" t="s">
        <v>11397</v>
      </c>
      <c r="C3693" s="5" t="s">
        <v>0</v>
      </c>
      <c r="D3693" s="1" t="s">
        <v>11398</v>
      </c>
      <c r="F3693" s="1" t="s">
        <v>7518</v>
      </c>
      <c r="G3693" s="1" t="s">
        <v>7518</v>
      </c>
      <c r="H3693" s="1" t="s">
        <v>1384</v>
      </c>
      <c r="I3693" s="1" t="s">
        <v>16</v>
      </c>
      <c r="J3693" s="1">
        <v>1</v>
      </c>
      <c r="K3693" s="1">
        <v>4</v>
      </c>
      <c r="L3693" s="1" t="s">
        <v>42</v>
      </c>
      <c r="M3693" s="1" t="s">
        <v>1385</v>
      </c>
      <c r="N3693" s="1" t="s">
        <v>3142</v>
      </c>
      <c r="O3693" s="1">
        <v>3</v>
      </c>
      <c r="P3693" s="1">
        <v>6</v>
      </c>
      <c r="R3693" s="1" t="s">
        <v>19</v>
      </c>
      <c r="S3693" s="1" t="s">
        <v>20</v>
      </c>
      <c r="T3693" s="1" t="s">
        <v>21</v>
      </c>
      <c r="U3693" s="1" t="s">
        <v>22</v>
      </c>
      <c r="V3693" s="1" t="s">
        <v>24</v>
      </c>
      <c r="W3693" s="1" t="s">
        <v>24</v>
      </c>
      <c r="X3693" s="1">
        <v>2740</v>
      </c>
      <c r="Y3693" s="1">
        <v>2746</v>
      </c>
      <c r="Z3693" s="1">
        <v>2706</v>
      </c>
      <c r="AA3693" s="1" t="s">
        <v>24</v>
      </c>
      <c r="AB3693" s="1" t="s">
        <v>24</v>
      </c>
      <c r="AC3693" s="1" t="s">
        <v>24</v>
      </c>
      <c r="AD3693" s="1" t="s">
        <v>24</v>
      </c>
      <c r="AE3693" s="1" t="s">
        <v>24</v>
      </c>
      <c r="AF3693" s="22"/>
    </row>
    <row r="3694" spans="1:32" x14ac:dyDescent="0.2">
      <c r="A3694" s="1">
        <v>29825</v>
      </c>
      <c r="B3694" s="1" t="s">
        <v>11399</v>
      </c>
      <c r="C3694" s="5" t="s">
        <v>0</v>
      </c>
      <c r="D3694" s="1" t="s">
        <v>11400</v>
      </c>
      <c r="F3694" s="1" t="s">
        <v>272</v>
      </c>
      <c r="G3694" s="1" t="s">
        <v>61</v>
      </c>
      <c r="H3694" s="1" t="s">
        <v>30</v>
      </c>
      <c r="I3694" s="1" t="s">
        <v>16</v>
      </c>
      <c r="J3694" s="1">
        <v>1</v>
      </c>
      <c r="K3694" s="1">
        <v>4</v>
      </c>
      <c r="L3694" s="1" t="s">
        <v>31</v>
      </c>
      <c r="M3694" s="1" t="s">
        <v>18</v>
      </c>
      <c r="N3694" s="1" t="s">
        <v>18</v>
      </c>
      <c r="O3694" s="1">
        <v>3</v>
      </c>
      <c r="P3694" s="1">
        <v>6</v>
      </c>
      <c r="R3694" s="1" t="s">
        <v>19</v>
      </c>
      <c r="S3694" s="1" t="s">
        <v>20</v>
      </c>
      <c r="T3694" s="1" t="s">
        <v>21</v>
      </c>
      <c r="U3694" s="1" t="s">
        <v>22</v>
      </c>
      <c r="V3694" s="1" t="s">
        <v>24</v>
      </c>
      <c r="W3694" s="1" t="s">
        <v>24</v>
      </c>
      <c r="X3694" s="1">
        <v>2705</v>
      </c>
      <c r="Y3694" s="1" t="s">
        <v>24</v>
      </c>
      <c r="Z3694" s="1" t="s">
        <v>24</v>
      </c>
      <c r="AA3694" s="1" t="s">
        <v>24</v>
      </c>
      <c r="AB3694" s="1" t="s">
        <v>24</v>
      </c>
      <c r="AC3694" s="1" t="s">
        <v>24</v>
      </c>
      <c r="AD3694" s="1" t="s">
        <v>24</v>
      </c>
      <c r="AE3694" s="1" t="s">
        <v>24</v>
      </c>
      <c r="AF3694" s="22"/>
    </row>
    <row r="3695" spans="1:32" x14ac:dyDescent="0.2">
      <c r="A3695" s="1">
        <v>29828</v>
      </c>
      <c r="B3695" s="1" t="s">
        <v>11401</v>
      </c>
      <c r="C3695" s="5" t="s">
        <v>0</v>
      </c>
      <c r="D3695" s="1" t="s">
        <v>11402</v>
      </c>
      <c r="E3695" s="1" t="s">
        <v>11403</v>
      </c>
      <c r="F3695" s="1" t="s">
        <v>11404</v>
      </c>
      <c r="G3695" s="1" t="s">
        <v>11404</v>
      </c>
      <c r="H3695" s="1" t="s">
        <v>3880</v>
      </c>
      <c r="I3695" s="1" t="s">
        <v>16</v>
      </c>
      <c r="J3695" s="1">
        <v>1</v>
      </c>
      <c r="K3695" s="1">
        <v>4</v>
      </c>
      <c r="L3695" s="1" t="s">
        <v>42</v>
      </c>
      <c r="M3695" s="1" t="s">
        <v>18</v>
      </c>
      <c r="N3695" s="1" t="s">
        <v>18</v>
      </c>
      <c r="O3695" s="1">
        <v>3</v>
      </c>
      <c r="P3695" s="1">
        <v>6</v>
      </c>
      <c r="R3695" s="1" t="s">
        <v>19</v>
      </c>
      <c r="S3695" s="1" t="s">
        <v>20</v>
      </c>
      <c r="T3695" s="1" t="s">
        <v>21</v>
      </c>
      <c r="U3695" s="1" t="s">
        <v>22</v>
      </c>
      <c r="V3695" s="1" t="s">
        <v>24</v>
      </c>
      <c r="W3695" s="1" t="s">
        <v>24</v>
      </c>
      <c r="X3695" s="1">
        <v>1106</v>
      </c>
      <c r="Y3695" s="1">
        <v>1101</v>
      </c>
      <c r="Z3695" s="1">
        <v>2300</v>
      </c>
      <c r="AA3695" s="1" t="s">
        <v>24</v>
      </c>
      <c r="AB3695" s="1" t="s">
        <v>24</v>
      </c>
      <c r="AC3695" s="1" t="s">
        <v>24</v>
      </c>
      <c r="AD3695" s="1" t="s">
        <v>24</v>
      </c>
      <c r="AE3695" s="1" t="s">
        <v>24</v>
      </c>
      <c r="AF3695" s="22"/>
    </row>
    <row r="3696" spans="1:32" x14ac:dyDescent="0.2">
      <c r="A3696" s="1">
        <v>29829</v>
      </c>
      <c r="B3696" s="1" t="s">
        <v>11405</v>
      </c>
      <c r="C3696" s="5" t="s">
        <v>0</v>
      </c>
      <c r="D3696" s="1" t="s">
        <v>11406</v>
      </c>
      <c r="F3696" s="1" t="s">
        <v>11405</v>
      </c>
      <c r="G3696" s="1" t="s">
        <v>11405</v>
      </c>
      <c r="H3696" s="1" t="s">
        <v>37</v>
      </c>
      <c r="I3696" s="1" t="s">
        <v>16</v>
      </c>
      <c r="J3696" s="1">
        <v>1</v>
      </c>
      <c r="K3696" s="1">
        <v>4</v>
      </c>
      <c r="L3696" s="1" t="s">
        <v>17</v>
      </c>
      <c r="M3696" s="1" t="s">
        <v>18</v>
      </c>
      <c r="N3696" s="1" t="s">
        <v>18</v>
      </c>
      <c r="O3696" s="1">
        <v>3</v>
      </c>
      <c r="P3696" s="1">
        <v>5</v>
      </c>
      <c r="R3696" s="1" t="s">
        <v>19</v>
      </c>
      <c r="S3696" s="1" t="s">
        <v>20</v>
      </c>
      <c r="T3696" s="1" t="s">
        <v>21</v>
      </c>
      <c r="U3696" s="1" t="s">
        <v>22</v>
      </c>
      <c r="V3696" s="1" t="s">
        <v>24</v>
      </c>
      <c r="W3696" s="1" t="s">
        <v>24</v>
      </c>
      <c r="X3696" s="1">
        <v>2708</v>
      </c>
      <c r="Y3696" s="1" t="s">
        <v>24</v>
      </c>
      <c r="Z3696" s="1" t="s">
        <v>24</v>
      </c>
      <c r="AA3696" s="1" t="s">
        <v>24</v>
      </c>
      <c r="AB3696" s="1" t="s">
        <v>24</v>
      </c>
      <c r="AC3696" s="1" t="s">
        <v>24</v>
      </c>
      <c r="AD3696" s="1" t="s">
        <v>24</v>
      </c>
      <c r="AE3696" s="1" t="s">
        <v>24</v>
      </c>
      <c r="AF3696" s="22"/>
    </row>
    <row r="3697" spans="1:32" x14ac:dyDescent="0.2">
      <c r="A3697" s="1">
        <v>29830</v>
      </c>
      <c r="B3697" s="1" t="s">
        <v>11407</v>
      </c>
      <c r="C3697" s="5" t="s">
        <v>0</v>
      </c>
      <c r="D3697" s="1" t="s">
        <v>11408</v>
      </c>
      <c r="F3697" s="1" t="s">
        <v>11409</v>
      </c>
      <c r="G3697" s="1" t="s">
        <v>11409</v>
      </c>
      <c r="H3697" s="1" t="s">
        <v>249</v>
      </c>
      <c r="I3697" s="1" t="s">
        <v>16</v>
      </c>
      <c r="J3697" s="1">
        <v>1</v>
      </c>
      <c r="K3697" s="1">
        <v>4</v>
      </c>
      <c r="L3697" s="1" t="s">
        <v>42</v>
      </c>
      <c r="M3697" s="1" t="s">
        <v>18</v>
      </c>
      <c r="N3697" s="1" t="s">
        <v>18</v>
      </c>
      <c r="O3697" s="1">
        <v>3</v>
      </c>
      <c r="P3697" s="1">
        <v>5</v>
      </c>
      <c r="R3697" s="1" t="s">
        <v>19</v>
      </c>
      <c r="S3697" s="1" t="s">
        <v>20</v>
      </c>
      <c r="T3697" s="1" t="s">
        <v>21</v>
      </c>
      <c r="U3697" s="1" t="s">
        <v>22</v>
      </c>
      <c r="V3697" s="1" t="s">
        <v>24</v>
      </c>
      <c r="W3697" s="1" t="s">
        <v>24</v>
      </c>
      <c r="X3697" s="1">
        <v>2700</v>
      </c>
      <c r="Y3697" s="1" t="s">
        <v>24</v>
      </c>
      <c r="Z3697" s="1" t="s">
        <v>24</v>
      </c>
      <c r="AA3697" s="1" t="s">
        <v>24</v>
      </c>
      <c r="AB3697" s="1" t="s">
        <v>24</v>
      </c>
      <c r="AC3697" s="1" t="s">
        <v>24</v>
      </c>
      <c r="AD3697" s="1" t="s">
        <v>24</v>
      </c>
      <c r="AE3697" s="1" t="s">
        <v>24</v>
      </c>
      <c r="AF3697" s="22"/>
    </row>
    <row r="3698" spans="1:32" x14ac:dyDescent="0.2">
      <c r="A3698" s="1">
        <v>29833</v>
      </c>
      <c r="B3698" s="1" t="s">
        <v>11410</v>
      </c>
      <c r="C3698" s="5" t="s">
        <v>0</v>
      </c>
      <c r="D3698" s="1" t="s">
        <v>11411</v>
      </c>
      <c r="E3698" s="1" t="s">
        <v>11412</v>
      </c>
      <c r="F3698" s="1" t="s">
        <v>10959</v>
      </c>
      <c r="G3698" s="1" t="s">
        <v>10959</v>
      </c>
      <c r="H3698" s="1" t="s">
        <v>2672</v>
      </c>
      <c r="I3698" s="1" t="s">
        <v>16</v>
      </c>
      <c r="J3698" s="1">
        <v>1</v>
      </c>
      <c r="K3698" s="1">
        <v>8</v>
      </c>
      <c r="L3698" s="1" t="s">
        <v>42</v>
      </c>
      <c r="M3698" s="1" t="s">
        <v>18</v>
      </c>
      <c r="N3698" s="1" t="s">
        <v>18</v>
      </c>
      <c r="O3698" s="1">
        <v>3</v>
      </c>
      <c r="P3698" s="1">
        <v>6</v>
      </c>
      <c r="R3698" s="1" t="s">
        <v>19</v>
      </c>
      <c r="S3698" s="1" t="s">
        <v>20</v>
      </c>
      <c r="T3698" s="1" t="s">
        <v>21</v>
      </c>
      <c r="U3698" s="1" t="s">
        <v>22</v>
      </c>
      <c r="V3698" s="1" t="s">
        <v>24</v>
      </c>
      <c r="W3698" s="1" t="s">
        <v>24</v>
      </c>
      <c r="X3698" s="1">
        <v>2700</v>
      </c>
      <c r="Y3698" s="1" t="s">
        <v>24</v>
      </c>
      <c r="Z3698" s="1" t="s">
        <v>24</v>
      </c>
      <c r="AA3698" s="1" t="s">
        <v>24</v>
      </c>
      <c r="AB3698" s="1" t="s">
        <v>24</v>
      </c>
      <c r="AC3698" s="1" t="s">
        <v>24</v>
      </c>
      <c r="AD3698" s="1" t="s">
        <v>24</v>
      </c>
      <c r="AE3698" s="1" t="s">
        <v>24</v>
      </c>
      <c r="AF3698" s="22"/>
    </row>
    <row r="3699" spans="1:32" x14ac:dyDescent="0.2">
      <c r="A3699" s="1">
        <v>29839</v>
      </c>
      <c r="B3699" s="1" t="s">
        <v>11413</v>
      </c>
      <c r="C3699" s="5" t="s">
        <v>0</v>
      </c>
      <c r="D3699" s="1" t="s">
        <v>11414</v>
      </c>
      <c r="F3699" s="1" t="s">
        <v>1065</v>
      </c>
      <c r="G3699" s="1" t="s">
        <v>1066</v>
      </c>
      <c r="H3699" s="1" t="s">
        <v>1007</v>
      </c>
      <c r="I3699" s="1" t="s">
        <v>16</v>
      </c>
      <c r="J3699" s="1">
        <v>1</v>
      </c>
      <c r="K3699" s="1">
        <v>12</v>
      </c>
      <c r="L3699" s="1" t="s">
        <v>17</v>
      </c>
      <c r="M3699" s="1" t="s">
        <v>1008</v>
      </c>
      <c r="N3699" s="1" t="s">
        <v>4418</v>
      </c>
      <c r="O3699" s="1">
        <v>3</v>
      </c>
      <c r="P3699" s="1">
        <v>5</v>
      </c>
      <c r="R3699" s="1" t="s">
        <v>19</v>
      </c>
      <c r="S3699" s="1" t="s">
        <v>20</v>
      </c>
      <c r="T3699" s="1" t="s">
        <v>21</v>
      </c>
      <c r="U3699" s="1" t="s">
        <v>22</v>
      </c>
      <c r="V3699" s="1" t="s">
        <v>24</v>
      </c>
      <c r="W3699" s="1" t="s">
        <v>24</v>
      </c>
      <c r="X3699" s="1">
        <v>2741</v>
      </c>
      <c r="Y3699" s="1" t="s">
        <v>24</v>
      </c>
      <c r="Z3699" s="1" t="s">
        <v>24</v>
      </c>
      <c r="AA3699" s="1" t="s">
        <v>24</v>
      </c>
      <c r="AB3699" s="1" t="s">
        <v>24</v>
      </c>
      <c r="AC3699" s="1" t="s">
        <v>24</v>
      </c>
      <c r="AD3699" s="1" t="s">
        <v>24</v>
      </c>
      <c r="AE3699" s="1" t="s">
        <v>24</v>
      </c>
      <c r="AF3699" s="22"/>
    </row>
    <row r="3700" spans="1:32" x14ac:dyDescent="0.2">
      <c r="A3700" s="1">
        <v>29841</v>
      </c>
      <c r="B3700" s="1" t="s">
        <v>11415</v>
      </c>
      <c r="C3700" s="5" t="s">
        <v>0</v>
      </c>
      <c r="D3700" s="1" t="s">
        <v>11416</v>
      </c>
      <c r="E3700" s="1" t="s">
        <v>11417</v>
      </c>
      <c r="F3700" s="1" t="s">
        <v>10223</v>
      </c>
      <c r="G3700" s="1" t="s">
        <v>10224</v>
      </c>
      <c r="H3700" s="1" t="s">
        <v>37</v>
      </c>
      <c r="I3700" s="1" t="s">
        <v>16</v>
      </c>
      <c r="J3700" s="1">
        <v>1</v>
      </c>
      <c r="K3700" s="1">
        <v>4</v>
      </c>
      <c r="L3700" s="1" t="s">
        <v>42</v>
      </c>
      <c r="M3700" s="1" t="s">
        <v>18</v>
      </c>
      <c r="N3700" s="1" t="s">
        <v>18</v>
      </c>
      <c r="O3700" s="1">
        <v>3</v>
      </c>
      <c r="P3700" s="1">
        <v>6</v>
      </c>
      <c r="R3700" s="1" t="s">
        <v>19</v>
      </c>
      <c r="S3700" s="1" t="s">
        <v>63</v>
      </c>
      <c r="T3700" s="1" t="s">
        <v>21</v>
      </c>
      <c r="U3700" s="1" t="s">
        <v>22</v>
      </c>
      <c r="V3700" s="1" t="s">
        <v>23</v>
      </c>
      <c r="W3700" s="1" t="s">
        <v>24</v>
      </c>
      <c r="X3700" s="1">
        <v>1601</v>
      </c>
      <c r="Y3700" s="1">
        <v>1403</v>
      </c>
      <c r="Z3700" s="1">
        <v>2211</v>
      </c>
      <c r="AA3700" s="1" t="s">
        <v>24</v>
      </c>
      <c r="AB3700" s="1" t="s">
        <v>24</v>
      </c>
      <c r="AC3700" s="1" t="s">
        <v>24</v>
      </c>
      <c r="AD3700" s="1" t="s">
        <v>24</v>
      </c>
      <c r="AE3700" s="1" t="s">
        <v>24</v>
      </c>
      <c r="AF3700" s="22"/>
    </row>
    <row r="3701" spans="1:32" x14ac:dyDescent="0.2">
      <c r="A3701" s="1">
        <v>29842</v>
      </c>
      <c r="B3701" s="1" t="s">
        <v>11418</v>
      </c>
      <c r="C3701" s="5" t="s">
        <v>0</v>
      </c>
      <c r="D3701" s="1" t="s">
        <v>11419</v>
      </c>
      <c r="F3701" s="1" t="s">
        <v>11420</v>
      </c>
      <c r="G3701" s="1" t="s">
        <v>11420</v>
      </c>
      <c r="H3701" s="1" t="s">
        <v>1007</v>
      </c>
      <c r="I3701" s="1" t="s">
        <v>16</v>
      </c>
      <c r="J3701" s="1">
        <v>1</v>
      </c>
      <c r="K3701" s="1">
        <v>12</v>
      </c>
      <c r="L3701" s="1" t="s">
        <v>17</v>
      </c>
      <c r="M3701" s="1" t="s">
        <v>1008</v>
      </c>
      <c r="N3701" s="1" t="s">
        <v>4418</v>
      </c>
      <c r="O3701" s="1">
        <v>3</v>
      </c>
      <c r="P3701" s="1">
        <v>5</v>
      </c>
      <c r="R3701" s="1" t="s">
        <v>19</v>
      </c>
      <c r="S3701" s="1" t="s">
        <v>20</v>
      </c>
      <c r="T3701" s="1" t="s">
        <v>21</v>
      </c>
      <c r="U3701" s="1" t="s">
        <v>22</v>
      </c>
      <c r="V3701" s="1" t="s">
        <v>24</v>
      </c>
      <c r="W3701" s="1" t="s">
        <v>24</v>
      </c>
      <c r="X3701" s="1">
        <v>2741</v>
      </c>
      <c r="Y3701" s="1" t="s">
        <v>24</v>
      </c>
      <c r="Z3701" s="1" t="s">
        <v>24</v>
      </c>
      <c r="AA3701" s="1" t="s">
        <v>24</v>
      </c>
      <c r="AB3701" s="1" t="s">
        <v>24</v>
      </c>
      <c r="AC3701" s="1" t="s">
        <v>24</v>
      </c>
      <c r="AD3701" s="1" t="s">
        <v>24</v>
      </c>
      <c r="AE3701" s="1" t="s">
        <v>24</v>
      </c>
      <c r="AF3701" s="22"/>
    </row>
    <row r="3702" spans="1:32" x14ac:dyDescent="0.2">
      <c r="A3702" s="1">
        <v>29843</v>
      </c>
      <c r="B3702" s="1" t="s">
        <v>11421</v>
      </c>
      <c r="C3702" s="5" t="s">
        <v>0</v>
      </c>
      <c r="D3702" s="1" t="s">
        <v>11422</v>
      </c>
      <c r="F3702" s="1" t="s">
        <v>11423</v>
      </c>
      <c r="G3702" s="1" t="s">
        <v>11066</v>
      </c>
      <c r="H3702" s="1" t="s">
        <v>1007</v>
      </c>
      <c r="I3702" s="1" t="s">
        <v>16</v>
      </c>
      <c r="J3702" s="1">
        <v>1</v>
      </c>
      <c r="K3702" s="1">
        <v>12</v>
      </c>
      <c r="L3702" s="1" t="s">
        <v>17</v>
      </c>
      <c r="M3702" s="1" t="s">
        <v>1008</v>
      </c>
      <c r="N3702" s="1" t="s">
        <v>4418</v>
      </c>
      <c r="O3702" s="1">
        <v>3</v>
      </c>
      <c r="P3702" s="1">
        <v>5</v>
      </c>
      <c r="R3702" s="1" t="s">
        <v>19</v>
      </c>
      <c r="S3702" s="1" t="s">
        <v>20</v>
      </c>
      <c r="T3702" s="1" t="s">
        <v>21</v>
      </c>
      <c r="U3702" s="1" t="s">
        <v>22</v>
      </c>
      <c r="V3702" s="1" t="s">
        <v>24</v>
      </c>
      <c r="W3702" s="1" t="s">
        <v>24</v>
      </c>
      <c r="X3702" s="1">
        <v>2708</v>
      </c>
      <c r="Y3702" s="1" t="s">
        <v>24</v>
      </c>
      <c r="Z3702" s="1" t="s">
        <v>24</v>
      </c>
      <c r="AA3702" s="1" t="s">
        <v>24</v>
      </c>
      <c r="AB3702" s="1" t="s">
        <v>24</v>
      </c>
      <c r="AC3702" s="1" t="s">
        <v>24</v>
      </c>
      <c r="AD3702" s="1" t="s">
        <v>24</v>
      </c>
      <c r="AE3702" s="1" t="s">
        <v>24</v>
      </c>
      <c r="AF3702" s="22"/>
    </row>
    <row r="3703" spans="1:32" x14ac:dyDescent="0.2">
      <c r="A3703" s="1">
        <v>29844</v>
      </c>
      <c r="B3703" s="1" t="s">
        <v>11424</v>
      </c>
      <c r="C3703" s="5" t="s">
        <v>0</v>
      </c>
      <c r="D3703" s="1" t="s">
        <v>11425</v>
      </c>
      <c r="E3703" s="1" t="s">
        <v>11426</v>
      </c>
      <c r="F3703" s="1" t="s">
        <v>11427</v>
      </c>
      <c r="G3703" s="1" t="s">
        <v>11427</v>
      </c>
      <c r="H3703" s="1" t="s">
        <v>2772</v>
      </c>
      <c r="I3703" s="1" t="s">
        <v>16</v>
      </c>
      <c r="J3703" s="1">
        <v>1</v>
      </c>
      <c r="K3703" s="1">
        <v>4</v>
      </c>
      <c r="L3703" s="1" t="s">
        <v>42</v>
      </c>
      <c r="M3703" s="1" t="s">
        <v>18</v>
      </c>
      <c r="N3703" s="1" t="s">
        <v>18</v>
      </c>
      <c r="O3703" s="1">
        <v>3</v>
      </c>
      <c r="P3703" s="1">
        <v>5</v>
      </c>
      <c r="R3703" s="1" t="s">
        <v>19</v>
      </c>
      <c r="S3703" s="1" t="s">
        <v>20</v>
      </c>
      <c r="T3703" s="1" t="s">
        <v>21</v>
      </c>
      <c r="U3703" s="1" t="s">
        <v>22</v>
      </c>
      <c r="V3703" s="1" t="s">
        <v>24</v>
      </c>
      <c r="W3703" s="1" t="s">
        <v>24</v>
      </c>
      <c r="X3703" s="1">
        <v>2738</v>
      </c>
      <c r="Y3703" s="1">
        <v>2803</v>
      </c>
      <c r="Z3703" s="1" t="s">
        <v>24</v>
      </c>
      <c r="AA3703" s="1" t="s">
        <v>24</v>
      </c>
      <c r="AB3703" s="1" t="s">
        <v>24</v>
      </c>
      <c r="AC3703" s="1" t="s">
        <v>24</v>
      </c>
      <c r="AD3703" s="1" t="s">
        <v>24</v>
      </c>
      <c r="AE3703" s="1" t="s">
        <v>24</v>
      </c>
      <c r="AF3703" s="22"/>
    </row>
    <row r="3704" spans="1:32" x14ac:dyDescent="0.2">
      <c r="A3704" s="1">
        <v>29845</v>
      </c>
      <c r="B3704" s="1" t="s">
        <v>11428</v>
      </c>
      <c r="C3704" s="5" t="s">
        <v>0</v>
      </c>
      <c r="D3704" s="1" t="s">
        <v>11429</v>
      </c>
      <c r="E3704" s="1" t="s">
        <v>11430</v>
      </c>
      <c r="F3704" s="1" t="s">
        <v>28</v>
      </c>
      <c r="G3704" s="1" t="s">
        <v>29</v>
      </c>
      <c r="H3704" s="1" t="s">
        <v>30</v>
      </c>
      <c r="I3704" s="1" t="s">
        <v>16</v>
      </c>
      <c r="J3704" s="1">
        <v>1</v>
      </c>
      <c r="K3704" s="1">
        <v>4</v>
      </c>
      <c r="L3704" s="1" t="s">
        <v>31</v>
      </c>
      <c r="M3704" s="1" t="s">
        <v>18</v>
      </c>
      <c r="N3704" s="1" t="s">
        <v>18</v>
      </c>
      <c r="O3704" s="1">
        <v>3</v>
      </c>
      <c r="P3704" s="1">
        <v>7</v>
      </c>
      <c r="Q3704" s="7" t="s">
        <v>17633</v>
      </c>
      <c r="R3704" s="1" t="s">
        <v>19</v>
      </c>
      <c r="S3704" s="1" t="s">
        <v>20</v>
      </c>
      <c r="T3704" s="1" t="s">
        <v>21</v>
      </c>
      <c r="U3704" s="1" t="s">
        <v>22</v>
      </c>
      <c r="V3704" s="1" t="s">
        <v>24</v>
      </c>
      <c r="W3704" s="1" t="s">
        <v>24</v>
      </c>
      <c r="X3704" s="1">
        <v>2731</v>
      </c>
      <c r="Y3704" s="1" t="s">
        <v>24</v>
      </c>
      <c r="Z3704" s="1" t="s">
        <v>24</v>
      </c>
      <c r="AA3704" s="1" t="s">
        <v>24</v>
      </c>
      <c r="AB3704" s="1" t="s">
        <v>24</v>
      </c>
      <c r="AC3704" s="1" t="s">
        <v>24</v>
      </c>
      <c r="AD3704" s="1" t="s">
        <v>24</v>
      </c>
      <c r="AE3704" s="1" t="s">
        <v>24</v>
      </c>
      <c r="AF3704" s="22"/>
    </row>
    <row r="3705" spans="1:32" x14ac:dyDescent="0.2">
      <c r="A3705" s="1">
        <v>30023</v>
      </c>
      <c r="B3705" s="1" t="s">
        <v>11431</v>
      </c>
      <c r="C3705" s="5" t="s">
        <v>0</v>
      </c>
      <c r="D3705" s="1" t="s">
        <v>11432</v>
      </c>
      <c r="E3705" s="1" t="s">
        <v>11433</v>
      </c>
      <c r="F3705" s="1" t="s">
        <v>441</v>
      </c>
      <c r="G3705" s="1" t="s">
        <v>441</v>
      </c>
      <c r="H3705" s="1" t="s">
        <v>30</v>
      </c>
      <c r="I3705" s="1" t="s">
        <v>16</v>
      </c>
      <c r="J3705" s="1">
        <v>1</v>
      </c>
      <c r="K3705" s="1">
        <v>12</v>
      </c>
      <c r="L3705" s="1" t="s">
        <v>42</v>
      </c>
      <c r="M3705" s="1" t="s">
        <v>18</v>
      </c>
      <c r="N3705" s="1" t="s">
        <v>18</v>
      </c>
      <c r="O3705" s="1">
        <v>3</v>
      </c>
      <c r="P3705" s="1">
        <v>7</v>
      </c>
      <c r="Q3705" s="7" t="s">
        <v>17633</v>
      </c>
      <c r="R3705" s="1" t="s">
        <v>19</v>
      </c>
      <c r="S3705" s="1" t="s">
        <v>20</v>
      </c>
      <c r="T3705" s="1" t="s">
        <v>21</v>
      </c>
      <c r="U3705" s="1" t="s">
        <v>22</v>
      </c>
      <c r="V3705" s="1" t="s">
        <v>24</v>
      </c>
      <c r="W3705" s="1" t="s">
        <v>24</v>
      </c>
      <c r="X3705" s="1">
        <v>1308</v>
      </c>
      <c r="Y3705" s="1">
        <v>2403</v>
      </c>
      <c r="Z3705" s="1">
        <v>2723</v>
      </c>
      <c r="AA3705" s="1">
        <v>2726</v>
      </c>
      <c r="AB3705" s="1" t="s">
        <v>24</v>
      </c>
      <c r="AC3705" s="1" t="s">
        <v>24</v>
      </c>
      <c r="AD3705" s="1" t="s">
        <v>24</v>
      </c>
      <c r="AE3705" s="1" t="s">
        <v>24</v>
      </c>
      <c r="AF3705" s="22"/>
    </row>
    <row r="3706" spans="1:32" x14ac:dyDescent="0.2">
      <c r="A3706" s="1">
        <v>30030</v>
      </c>
      <c r="B3706" s="1" t="s">
        <v>11434</v>
      </c>
      <c r="C3706" s="5" t="s">
        <v>0</v>
      </c>
      <c r="D3706" s="1" t="s">
        <v>11435</v>
      </c>
      <c r="E3706" s="1" t="s">
        <v>11436</v>
      </c>
      <c r="F3706" s="1" t="s">
        <v>11437</v>
      </c>
      <c r="G3706" s="1" t="s">
        <v>460</v>
      </c>
      <c r="H3706" s="1" t="s">
        <v>461</v>
      </c>
      <c r="I3706" s="1" t="s">
        <v>16</v>
      </c>
      <c r="J3706" s="1">
        <v>1</v>
      </c>
      <c r="K3706" s="1">
        <v>6</v>
      </c>
      <c r="L3706" s="1" t="s">
        <v>42</v>
      </c>
      <c r="M3706" s="1" t="s">
        <v>18</v>
      </c>
      <c r="N3706" s="1" t="s">
        <v>18</v>
      </c>
      <c r="O3706" s="1">
        <v>3</v>
      </c>
      <c r="P3706" s="1">
        <v>7</v>
      </c>
      <c r="Q3706" s="7" t="s">
        <v>17633</v>
      </c>
      <c r="R3706" s="1" t="s">
        <v>19</v>
      </c>
      <c r="S3706" s="1" t="s">
        <v>20</v>
      </c>
      <c r="T3706" s="1" t="s">
        <v>21</v>
      </c>
      <c r="U3706" s="1" t="s">
        <v>22</v>
      </c>
      <c r="V3706" s="1" t="s">
        <v>24</v>
      </c>
      <c r="W3706" s="1" t="s">
        <v>24</v>
      </c>
      <c r="X3706" s="1">
        <v>2705</v>
      </c>
      <c r="Y3706" s="1" t="s">
        <v>24</v>
      </c>
      <c r="Z3706" s="1" t="s">
        <v>24</v>
      </c>
      <c r="AA3706" s="1" t="s">
        <v>24</v>
      </c>
      <c r="AB3706" s="1" t="s">
        <v>24</v>
      </c>
      <c r="AC3706" s="1" t="s">
        <v>24</v>
      </c>
      <c r="AD3706" s="1" t="s">
        <v>24</v>
      </c>
      <c r="AE3706" s="1" t="s">
        <v>24</v>
      </c>
      <c r="AF3706" s="22"/>
    </row>
    <row r="3707" spans="1:32" x14ac:dyDescent="0.2">
      <c r="A3707" s="1">
        <v>30035</v>
      </c>
      <c r="B3707" s="1" t="s">
        <v>11438</v>
      </c>
      <c r="C3707" s="5" t="s">
        <v>0</v>
      </c>
      <c r="D3707" s="1" t="s">
        <v>11439</v>
      </c>
      <c r="F3707" s="1" t="s">
        <v>190</v>
      </c>
      <c r="G3707" s="1" t="s">
        <v>130</v>
      </c>
      <c r="H3707" s="1" t="s">
        <v>30</v>
      </c>
      <c r="I3707" s="1" t="s">
        <v>16</v>
      </c>
      <c r="J3707" s="1">
        <v>1</v>
      </c>
      <c r="K3707" s="1">
        <v>4</v>
      </c>
      <c r="L3707" s="1" t="s">
        <v>31</v>
      </c>
      <c r="M3707" s="1" t="s">
        <v>18</v>
      </c>
      <c r="N3707" s="1" t="s">
        <v>18</v>
      </c>
      <c r="O3707" s="1">
        <v>3</v>
      </c>
      <c r="P3707" s="1">
        <v>6</v>
      </c>
      <c r="R3707" s="1" t="s">
        <v>19</v>
      </c>
      <c r="S3707" s="1" t="s">
        <v>20</v>
      </c>
      <c r="T3707" s="1" t="s">
        <v>21</v>
      </c>
      <c r="U3707" s="1" t="s">
        <v>22</v>
      </c>
      <c r="V3707" s="1" t="s">
        <v>24</v>
      </c>
      <c r="W3707" s="1" t="s">
        <v>24</v>
      </c>
      <c r="X3707" s="1">
        <v>3003</v>
      </c>
      <c r="Y3707" s="1" t="s">
        <v>24</v>
      </c>
      <c r="Z3707" s="1" t="s">
        <v>24</v>
      </c>
      <c r="AA3707" s="1" t="s">
        <v>24</v>
      </c>
      <c r="AB3707" s="1" t="s">
        <v>24</v>
      </c>
      <c r="AC3707" s="1" t="s">
        <v>24</v>
      </c>
      <c r="AD3707" s="1" t="s">
        <v>24</v>
      </c>
      <c r="AE3707" s="1" t="s">
        <v>24</v>
      </c>
      <c r="AF3707" s="22" t="s">
        <v>17678</v>
      </c>
    </row>
    <row r="3708" spans="1:32" x14ac:dyDescent="0.2">
      <c r="A3708" s="1">
        <v>30037</v>
      </c>
      <c r="B3708" s="1" t="s">
        <v>11440</v>
      </c>
      <c r="C3708" s="5" t="s">
        <v>0</v>
      </c>
      <c r="D3708" s="1" t="s">
        <v>11441</v>
      </c>
      <c r="E3708" s="1" t="s">
        <v>11442</v>
      </c>
      <c r="F3708" s="1" t="s">
        <v>91</v>
      </c>
      <c r="G3708" s="1" t="s">
        <v>61</v>
      </c>
      <c r="H3708" s="1" t="s">
        <v>30</v>
      </c>
      <c r="I3708" s="1" t="s">
        <v>16</v>
      </c>
      <c r="J3708" s="1">
        <v>1</v>
      </c>
      <c r="K3708" s="1">
        <v>4</v>
      </c>
      <c r="L3708" s="1" t="s">
        <v>31</v>
      </c>
      <c r="M3708" s="1" t="s">
        <v>18</v>
      </c>
      <c r="N3708" s="1" t="s">
        <v>18</v>
      </c>
      <c r="O3708" s="1">
        <v>3</v>
      </c>
      <c r="P3708" s="1">
        <v>6</v>
      </c>
      <c r="R3708" s="1" t="s">
        <v>19</v>
      </c>
      <c r="S3708" s="1" t="s">
        <v>20</v>
      </c>
      <c r="T3708" s="1" t="s">
        <v>21</v>
      </c>
      <c r="U3708" s="1" t="s">
        <v>22</v>
      </c>
      <c r="V3708" s="1" t="s">
        <v>24</v>
      </c>
      <c r="W3708" s="1" t="s">
        <v>24</v>
      </c>
      <c r="X3708" s="1">
        <v>2730</v>
      </c>
      <c r="Y3708" s="1">
        <v>2748</v>
      </c>
      <c r="Z3708" s="1" t="s">
        <v>24</v>
      </c>
      <c r="AA3708" s="1" t="s">
        <v>24</v>
      </c>
      <c r="AB3708" s="1" t="s">
        <v>24</v>
      </c>
      <c r="AC3708" s="1" t="s">
        <v>24</v>
      </c>
      <c r="AD3708" s="1" t="s">
        <v>24</v>
      </c>
      <c r="AE3708" s="1" t="s">
        <v>24</v>
      </c>
      <c r="AF3708" s="22" t="s">
        <v>17670</v>
      </c>
    </row>
    <row r="3709" spans="1:32" x14ac:dyDescent="0.2">
      <c r="A3709" s="1">
        <v>30060</v>
      </c>
      <c r="B3709" s="1" t="s">
        <v>11443</v>
      </c>
      <c r="C3709" s="5" t="s">
        <v>0</v>
      </c>
      <c r="D3709" s="1" t="s">
        <v>11444</v>
      </c>
      <c r="E3709" s="1" t="s">
        <v>11445</v>
      </c>
      <c r="F3709" s="1" t="s">
        <v>751</v>
      </c>
      <c r="G3709" s="1" t="s">
        <v>36</v>
      </c>
      <c r="H3709" s="1" t="s">
        <v>37</v>
      </c>
      <c r="I3709" s="1" t="s">
        <v>16</v>
      </c>
      <c r="J3709" s="1">
        <v>1</v>
      </c>
      <c r="K3709" s="1">
        <v>12</v>
      </c>
      <c r="L3709" s="1" t="s">
        <v>31</v>
      </c>
      <c r="M3709" s="1" t="s">
        <v>18</v>
      </c>
      <c r="N3709" s="1" t="s">
        <v>18</v>
      </c>
      <c r="O3709" s="1">
        <v>3</v>
      </c>
      <c r="P3709" s="1">
        <v>7</v>
      </c>
      <c r="Q3709" s="7" t="s">
        <v>17633</v>
      </c>
      <c r="R3709" s="1" t="s">
        <v>19</v>
      </c>
      <c r="S3709" s="1" t="s">
        <v>20</v>
      </c>
      <c r="T3709" s="1" t="s">
        <v>21</v>
      </c>
      <c r="U3709" s="1" t="s">
        <v>22</v>
      </c>
      <c r="V3709" s="1" t="s">
        <v>24</v>
      </c>
      <c r="W3709" s="1" t="s">
        <v>64</v>
      </c>
      <c r="X3709" s="1">
        <v>3000</v>
      </c>
      <c r="Y3709" s="1">
        <v>1605</v>
      </c>
      <c r="Z3709" s="1">
        <v>1313</v>
      </c>
      <c r="AA3709" s="1" t="s">
        <v>24</v>
      </c>
      <c r="AB3709" s="1" t="s">
        <v>24</v>
      </c>
      <c r="AC3709" s="1" t="s">
        <v>24</v>
      </c>
      <c r="AD3709" s="1" t="s">
        <v>24</v>
      </c>
      <c r="AE3709" s="1" t="s">
        <v>24</v>
      </c>
      <c r="AF3709" s="22"/>
    </row>
    <row r="3710" spans="1:32" x14ac:dyDescent="0.2">
      <c r="A3710" s="1">
        <v>30122</v>
      </c>
      <c r="B3710" s="1" t="s">
        <v>11446</v>
      </c>
      <c r="C3710" s="5" t="s">
        <v>0</v>
      </c>
      <c r="D3710" s="1" t="s">
        <v>11447</v>
      </c>
      <c r="E3710" s="1" t="s">
        <v>11448</v>
      </c>
      <c r="F3710" s="1" t="s">
        <v>831</v>
      </c>
      <c r="G3710" s="1" t="s">
        <v>61</v>
      </c>
      <c r="H3710" s="1" t="s">
        <v>37</v>
      </c>
      <c r="I3710" s="1" t="s">
        <v>16</v>
      </c>
      <c r="J3710" s="1">
        <v>1</v>
      </c>
      <c r="K3710" s="1">
        <v>12</v>
      </c>
      <c r="L3710" s="1" t="s">
        <v>31</v>
      </c>
      <c r="M3710" s="1" t="s">
        <v>18</v>
      </c>
      <c r="N3710" s="1" t="s">
        <v>18</v>
      </c>
      <c r="O3710" s="1">
        <v>3</v>
      </c>
      <c r="P3710" s="1">
        <v>7</v>
      </c>
      <c r="Q3710" s="7" t="s">
        <v>17633</v>
      </c>
      <c r="R3710" s="1" t="s">
        <v>19</v>
      </c>
      <c r="S3710" s="1" t="s">
        <v>20</v>
      </c>
      <c r="T3710" s="1" t="s">
        <v>21</v>
      </c>
      <c r="U3710" s="1" t="s">
        <v>22</v>
      </c>
      <c r="V3710" s="1" t="s">
        <v>24</v>
      </c>
      <c r="W3710" s="1" t="s">
        <v>24</v>
      </c>
      <c r="X3710" s="1">
        <v>2746</v>
      </c>
      <c r="Y3710" s="1" t="s">
        <v>24</v>
      </c>
      <c r="Z3710" s="1" t="s">
        <v>24</v>
      </c>
      <c r="AA3710" s="1" t="s">
        <v>24</v>
      </c>
      <c r="AB3710" s="1" t="s">
        <v>24</v>
      </c>
      <c r="AC3710" s="1" t="s">
        <v>24</v>
      </c>
      <c r="AD3710" s="1" t="s">
        <v>24</v>
      </c>
      <c r="AE3710" s="1" t="s">
        <v>24</v>
      </c>
      <c r="AF3710" s="22"/>
    </row>
    <row r="3711" spans="1:32" x14ac:dyDescent="0.2">
      <c r="A3711" s="1">
        <v>30127</v>
      </c>
      <c r="B3711" s="1" t="s">
        <v>11449</v>
      </c>
      <c r="C3711" s="5" t="s">
        <v>0</v>
      </c>
      <c r="D3711" s="1" t="s">
        <v>11450</v>
      </c>
      <c r="E3711" s="1" t="s">
        <v>11451</v>
      </c>
      <c r="F3711" s="1" t="s">
        <v>167</v>
      </c>
      <c r="G3711" s="1" t="s">
        <v>130</v>
      </c>
      <c r="H3711" s="1" t="s">
        <v>168</v>
      </c>
      <c r="I3711" s="1" t="s">
        <v>16</v>
      </c>
      <c r="J3711" s="1">
        <v>1</v>
      </c>
      <c r="K3711" s="1">
        <v>1</v>
      </c>
      <c r="L3711" s="1" t="s">
        <v>31</v>
      </c>
      <c r="M3711" s="1" t="s">
        <v>18</v>
      </c>
      <c r="N3711" s="1" t="s">
        <v>18</v>
      </c>
      <c r="O3711" s="1">
        <v>1</v>
      </c>
      <c r="P3711" s="1">
        <v>1</v>
      </c>
      <c r="R3711" s="1" t="s">
        <v>19</v>
      </c>
      <c r="S3711" s="1" t="s">
        <v>63</v>
      </c>
      <c r="T3711" s="1" t="s">
        <v>21</v>
      </c>
      <c r="U3711" s="1" t="s">
        <v>22</v>
      </c>
      <c r="V3711" s="1" t="s">
        <v>23</v>
      </c>
      <c r="W3711" s="1" t="s">
        <v>24</v>
      </c>
      <c r="X3711" s="1">
        <v>2700</v>
      </c>
      <c r="Y3711" s="1">
        <v>1700</v>
      </c>
      <c r="Z3711" s="1">
        <v>1711</v>
      </c>
      <c r="AA3711" s="1">
        <v>2613</v>
      </c>
      <c r="AB3711" s="1">
        <v>1000</v>
      </c>
      <c r="AC3711" s="1" t="s">
        <v>24</v>
      </c>
      <c r="AD3711" s="1" t="s">
        <v>24</v>
      </c>
      <c r="AE3711" s="1" t="s">
        <v>24</v>
      </c>
      <c r="AF3711" s="22"/>
    </row>
    <row r="3712" spans="1:32" x14ac:dyDescent="0.2">
      <c r="A3712" s="1">
        <v>30129</v>
      </c>
      <c r="B3712" s="1" t="s">
        <v>11452</v>
      </c>
      <c r="C3712" s="5" t="s">
        <v>0</v>
      </c>
      <c r="D3712" s="1" t="s">
        <v>11453</v>
      </c>
      <c r="E3712" s="1" t="s">
        <v>11454</v>
      </c>
      <c r="F3712" s="1" t="s">
        <v>1412</v>
      </c>
      <c r="G3712" s="1" t="s">
        <v>1413</v>
      </c>
      <c r="H3712" s="1" t="s">
        <v>30</v>
      </c>
      <c r="I3712" s="1" t="s">
        <v>16</v>
      </c>
      <c r="J3712" s="1">
        <v>1</v>
      </c>
      <c r="K3712" s="1">
        <v>4</v>
      </c>
      <c r="L3712" s="1" t="s">
        <v>31</v>
      </c>
      <c r="M3712" s="1" t="s">
        <v>18</v>
      </c>
      <c r="N3712" s="1" t="s">
        <v>18</v>
      </c>
      <c r="O3712" s="1">
        <v>2</v>
      </c>
      <c r="P3712" s="1">
        <v>6</v>
      </c>
      <c r="R3712" s="1" t="s">
        <v>19</v>
      </c>
      <c r="S3712" s="1" t="s">
        <v>63</v>
      </c>
      <c r="T3712" s="1" t="s">
        <v>21</v>
      </c>
      <c r="U3712" s="1" t="s">
        <v>22</v>
      </c>
      <c r="V3712" s="1" t="s">
        <v>24</v>
      </c>
      <c r="W3712" s="1" t="s">
        <v>24</v>
      </c>
      <c r="X3712" s="1">
        <v>2741</v>
      </c>
      <c r="Y3712" s="1" t="s">
        <v>24</v>
      </c>
      <c r="Z3712" s="1" t="s">
        <v>24</v>
      </c>
      <c r="AA3712" s="1" t="s">
        <v>24</v>
      </c>
      <c r="AB3712" s="1" t="s">
        <v>24</v>
      </c>
      <c r="AC3712" s="1" t="s">
        <v>24</v>
      </c>
      <c r="AD3712" s="1" t="s">
        <v>24</v>
      </c>
      <c r="AE3712" s="1" t="s">
        <v>24</v>
      </c>
      <c r="AF3712" s="22"/>
    </row>
    <row r="3713" spans="1:32" x14ac:dyDescent="0.2">
      <c r="A3713" s="1">
        <v>30132</v>
      </c>
      <c r="B3713" s="1" t="s">
        <v>11455</v>
      </c>
      <c r="C3713" s="5" t="s">
        <v>0</v>
      </c>
      <c r="D3713" s="1" t="s">
        <v>11456</v>
      </c>
      <c r="E3713" s="1" t="s">
        <v>11457</v>
      </c>
      <c r="F3713" s="1" t="s">
        <v>1412</v>
      </c>
      <c r="G3713" s="1" t="s">
        <v>1413</v>
      </c>
      <c r="H3713" s="1" t="s">
        <v>30</v>
      </c>
      <c r="I3713" s="1" t="s">
        <v>16</v>
      </c>
      <c r="J3713" s="1">
        <v>1</v>
      </c>
      <c r="K3713" s="1">
        <v>4</v>
      </c>
      <c r="L3713" s="1" t="s">
        <v>31</v>
      </c>
      <c r="M3713" s="1" t="s">
        <v>18</v>
      </c>
      <c r="N3713" s="1" t="s">
        <v>18</v>
      </c>
      <c r="O3713" s="1">
        <v>3</v>
      </c>
      <c r="P3713" s="1">
        <v>6</v>
      </c>
      <c r="R3713" s="1" t="s">
        <v>19</v>
      </c>
      <c r="S3713" s="1" t="s">
        <v>63</v>
      </c>
      <c r="T3713" s="1" t="s">
        <v>21</v>
      </c>
      <c r="U3713" s="1" t="s">
        <v>22</v>
      </c>
      <c r="V3713" s="1" t="s">
        <v>24</v>
      </c>
      <c r="W3713" s="1" t="s">
        <v>24</v>
      </c>
      <c r="X3713" s="1">
        <v>2736</v>
      </c>
      <c r="Y3713" s="1">
        <v>3002</v>
      </c>
      <c r="Z3713" s="1" t="s">
        <v>24</v>
      </c>
      <c r="AA3713" s="1" t="s">
        <v>24</v>
      </c>
      <c r="AB3713" s="1" t="s">
        <v>24</v>
      </c>
      <c r="AC3713" s="1" t="s">
        <v>24</v>
      </c>
      <c r="AD3713" s="1" t="s">
        <v>24</v>
      </c>
      <c r="AE3713" s="1" t="s">
        <v>24</v>
      </c>
      <c r="AF3713" s="22"/>
    </row>
    <row r="3714" spans="1:32" x14ac:dyDescent="0.2">
      <c r="A3714" s="1">
        <v>30147</v>
      </c>
      <c r="B3714" s="1" t="s">
        <v>11458</v>
      </c>
      <c r="C3714" s="5" t="s">
        <v>0</v>
      </c>
      <c r="D3714" s="1" t="s">
        <v>11459</v>
      </c>
      <c r="F3714" s="1" t="s">
        <v>11460</v>
      </c>
      <c r="G3714" s="1" t="s">
        <v>11461</v>
      </c>
      <c r="H3714" s="1" t="s">
        <v>116</v>
      </c>
      <c r="I3714" s="1" t="s">
        <v>16</v>
      </c>
      <c r="J3714" s="1">
        <v>1</v>
      </c>
      <c r="K3714" s="1">
        <v>2</v>
      </c>
      <c r="L3714" s="1" t="s">
        <v>17</v>
      </c>
      <c r="M3714" s="1" t="s">
        <v>117</v>
      </c>
      <c r="N3714" s="1" t="s">
        <v>18</v>
      </c>
      <c r="O3714" s="1">
        <v>1</v>
      </c>
      <c r="P3714" s="1">
        <v>5</v>
      </c>
      <c r="R3714" s="1" t="s">
        <v>19</v>
      </c>
      <c r="S3714" s="1" t="s">
        <v>20</v>
      </c>
      <c r="T3714" s="1" t="s">
        <v>21</v>
      </c>
      <c r="U3714" s="1" t="s">
        <v>22</v>
      </c>
      <c r="V3714" s="1" t="s">
        <v>24</v>
      </c>
      <c r="W3714" s="1" t="s">
        <v>24</v>
      </c>
      <c r="X3714" s="1">
        <v>2728</v>
      </c>
      <c r="Y3714" s="1" t="s">
        <v>24</v>
      </c>
      <c r="Z3714" s="1" t="s">
        <v>24</v>
      </c>
      <c r="AA3714" s="1" t="s">
        <v>24</v>
      </c>
      <c r="AB3714" s="1" t="s">
        <v>24</v>
      </c>
      <c r="AC3714" s="1" t="s">
        <v>24</v>
      </c>
      <c r="AD3714" s="1" t="s">
        <v>24</v>
      </c>
      <c r="AE3714" s="1" t="s">
        <v>24</v>
      </c>
      <c r="AF3714" s="22"/>
    </row>
    <row r="3715" spans="1:32" x14ac:dyDescent="0.2">
      <c r="A3715" s="1">
        <v>30164</v>
      </c>
      <c r="B3715" s="1" t="s">
        <v>11462</v>
      </c>
      <c r="C3715" s="5" t="s">
        <v>0</v>
      </c>
      <c r="D3715" s="1" t="s">
        <v>11463</v>
      </c>
      <c r="E3715" s="1" t="s">
        <v>11464</v>
      </c>
      <c r="F3715" s="1" t="s">
        <v>35</v>
      </c>
      <c r="G3715" s="1" t="s">
        <v>36</v>
      </c>
      <c r="H3715" s="1" t="s">
        <v>37</v>
      </c>
      <c r="I3715" s="1" t="s">
        <v>16</v>
      </c>
      <c r="J3715" s="1">
        <v>3</v>
      </c>
      <c r="K3715" s="1">
        <v>4</v>
      </c>
      <c r="L3715" s="1" t="s">
        <v>31</v>
      </c>
      <c r="M3715" s="1" t="s">
        <v>18</v>
      </c>
      <c r="N3715" s="1" t="s">
        <v>18</v>
      </c>
      <c r="O3715" s="1">
        <v>3</v>
      </c>
      <c r="P3715" s="1">
        <v>7</v>
      </c>
      <c r="Q3715" s="7" t="s">
        <v>17633</v>
      </c>
      <c r="R3715" s="1" t="s">
        <v>62</v>
      </c>
      <c r="S3715" s="1" t="s">
        <v>20</v>
      </c>
      <c r="T3715" s="1" t="s">
        <v>21</v>
      </c>
      <c r="U3715" s="1" t="s">
        <v>22</v>
      </c>
      <c r="V3715" s="1" t="s">
        <v>24</v>
      </c>
      <c r="W3715" s="1" t="s">
        <v>24</v>
      </c>
      <c r="X3715" s="1">
        <v>1314</v>
      </c>
      <c r="Y3715" s="1" t="s">
        <v>24</v>
      </c>
      <c r="Z3715" s="1" t="s">
        <v>24</v>
      </c>
      <c r="AA3715" s="1" t="s">
        <v>24</v>
      </c>
      <c r="AB3715" s="1" t="s">
        <v>24</v>
      </c>
      <c r="AC3715" s="1" t="s">
        <v>24</v>
      </c>
      <c r="AD3715" s="1" t="s">
        <v>24</v>
      </c>
      <c r="AE3715" s="1" t="s">
        <v>24</v>
      </c>
      <c r="AF3715" s="22"/>
    </row>
    <row r="3716" spans="1:32" x14ac:dyDescent="0.2">
      <c r="A3716" s="1">
        <v>30165</v>
      </c>
      <c r="B3716" s="1" t="s">
        <v>11465</v>
      </c>
      <c r="C3716" s="5" t="s">
        <v>0</v>
      </c>
      <c r="D3716" s="1" t="s">
        <v>11466</v>
      </c>
      <c r="E3716" s="1" t="s">
        <v>11467</v>
      </c>
      <c r="F3716" s="1" t="s">
        <v>35</v>
      </c>
      <c r="G3716" s="1" t="s">
        <v>36</v>
      </c>
      <c r="H3716" s="1" t="s">
        <v>37</v>
      </c>
      <c r="I3716" s="1" t="s">
        <v>16</v>
      </c>
      <c r="J3716" s="1">
        <v>2</v>
      </c>
      <c r="K3716" s="1">
        <v>6</v>
      </c>
      <c r="L3716" s="1" t="s">
        <v>31</v>
      </c>
      <c r="M3716" s="1" t="s">
        <v>18</v>
      </c>
      <c r="N3716" s="1" t="s">
        <v>18</v>
      </c>
      <c r="O3716" s="1">
        <v>3</v>
      </c>
      <c r="P3716" s="1">
        <v>7</v>
      </c>
      <c r="Q3716" s="7" t="s">
        <v>17633</v>
      </c>
      <c r="R3716" s="1" t="s">
        <v>19</v>
      </c>
      <c r="S3716" s="1" t="s">
        <v>20</v>
      </c>
      <c r="T3716" s="1" t="s">
        <v>21</v>
      </c>
      <c r="U3716" s="1" t="s">
        <v>22</v>
      </c>
      <c r="V3716" s="1" t="s">
        <v>24</v>
      </c>
      <c r="W3716" s="1" t="s">
        <v>64</v>
      </c>
      <c r="X3716" s="1">
        <v>1303</v>
      </c>
      <c r="Y3716" s="1">
        <v>1313</v>
      </c>
      <c r="Z3716" s="1" t="s">
        <v>24</v>
      </c>
      <c r="AA3716" s="1" t="s">
        <v>24</v>
      </c>
      <c r="AB3716" s="1" t="s">
        <v>24</v>
      </c>
      <c r="AC3716" s="1" t="s">
        <v>24</v>
      </c>
      <c r="AD3716" s="1" t="s">
        <v>24</v>
      </c>
      <c r="AE3716" s="1" t="s">
        <v>24</v>
      </c>
      <c r="AF3716" s="22"/>
    </row>
    <row r="3717" spans="1:32" x14ac:dyDescent="0.2">
      <c r="A3717" s="1">
        <v>30219</v>
      </c>
      <c r="B3717" s="1" t="s">
        <v>11468</v>
      </c>
      <c r="C3717" s="5" t="s">
        <v>0</v>
      </c>
      <c r="D3717" s="1" t="s">
        <v>11469</v>
      </c>
      <c r="E3717" s="1" t="s">
        <v>11470</v>
      </c>
      <c r="F3717" s="1" t="s">
        <v>167</v>
      </c>
      <c r="G3717" s="1" t="s">
        <v>130</v>
      </c>
      <c r="H3717" s="1" t="s">
        <v>168</v>
      </c>
      <c r="I3717" s="1" t="s">
        <v>16</v>
      </c>
      <c r="J3717" s="1">
        <v>1</v>
      </c>
      <c r="K3717" s="1">
        <v>4</v>
      </c>
      <c r="L3717" s="1" t="s">
        <v>31</v>
      </c>
      <c r="M3717" s="1" t="s">
        <v>18</v>
      </c>
      <c r="N3717" s="1" t="s">
        <v>18</v>
      </c>
      <c r="O3717" s="1">
        <v>2</v>
      </c>
      <c r="P3717" s="1">
        <v>7</v>
      </c>
      <c r="Q3717" s="7" t="s">
        <v>17633</v>
      </c>
      <c r="R3717" s="1" t="s">
        <v>19</v>
      </c>
      <c r="S3717" s="1" t="s">
        <v>20</v>
      </c>
      <c r="T3717" s="1" t="s">
        <v>21</v>
      </c>
      <c r="U3717" s="1" t="s">
        <v>22</v>
      </c>
      <c r="V3717" s="1" t="s">
        <v>24</v>
      </c>
      <c r="W3717" s="1" t="s">
        <v>24</v>
      </c>
      <c r="X3717" s="1">
        <v>2700</v>
      </c>
      <c r="Y3717" s="1" t="s">
        <v>24</v>
      </c>
      <c r="Z3717" s="1" t="s">
        <v>24</v>
      </c>
      <c r="AA3717" s="1" t="s">
        <v>24</v>
      </c>
      <c r="AB3717" s="1" t="s">
        <v>24</v>
      </c>
      <c r="AC3717" s="1" t="s">
        <v>24</v>
      </c>
      <c r="AD3717" s="1" t="s">
        <v>24</v>
      </c>
      <c r="AE3717" s="1" t="s">
        <v>24</v>
      </c>
      <c r="AF3717" s="22"/>
    </row>
    <row r="3718" spans="1:32" x14ac:dyDescent="0.2">
      <c r="A3718" s="1">
        <v>30225</v>
      </c>
      <c r="B3718" s="1" t="s">
        <v>11471</v>
      </c>
      <c r="C3718" s="5" t="s">
        <v>0</v>
      </c>
      <c r="D3718" s="1" t="s">
        <v>11472</v>
      </c>
      <c r="E3718" s="1" t="s">
        <v>11473</v>
      </c>
      <c r="F3718" s="1" t="s">
        <v>167</v>
      </c>
      <c r="G3718" s="1" t="s">
        <v>130</v>
      </c>
      <c r="H3718" s="1" t="s">
        <v>168</v>
      </c>
      <c r="I3718" s="1" t="s">
        <v>16</v>
      </c>
      <c r="J3718" s="1">
        <v>1</v>
      </c>
      <c r="K3718" s="1">
        <v>8</v>
      </c>
      <c r="L3718" s="1" t="s">
        <v>31</v>
      </c>
      <c r="M3718" s="1" t="s">
        <v>413</v>
      </c>
      <c r="N3718" s="1" t="s">
        <v>679</v>
      </c>
      <c r="O3718" s="1">
        <v>3</v>
      </c>
      <c r="P3718" s="1">
        <v>6</v>
      </c>
      <c r="R3718" s="1" t="s">
        <v>19</v>
      </c>
      <c r="S3718" s="1" t="s">
        <v>20</v>
      </c>
      <c r="T3718" s="1" t="s">
        <v>21</v>
      </c>
      <c r="U3718" s="1" t="s">
        <v>22</v>
      </c>
      <c r="V3718" s="1" t="s">
        <v>24</v>
      </c>
      <c r="W3718" s="1" t="s">
        <v>24</v>
      </c>
      <c r="X3718" s="1">
        <v>2712</v>
      </c>
      <c r="Y3718" s="1" t="s">
        <v>24</v>
      </c>
      <c r="Z3718" s="1" t="s">
        <v>24</v>
      </c>
      <c r="AA3718" s="1" t="s">
        <v>24</v>
      </c>
      <c r="AB3718" s="1" t="s">
        <v>24</v>
      </c>
      <c r="AC3718" s="1" t="s">
        <v>24</v>
      </c>
      <c r="AD3718" s="1" t="s">
        <v>24</v>
      </c>
      <c r="AE3718" s="1" t="s">
        <v>24</v>
      </c>
      <c r="AF3718" s="22"/>
    </row>
    <row r="3719" spans="1:32" x14ac:dyDescent="0.2">
      <c r="A3719" s="1">
        <v>30244</v>
      </c>
      <c r="B3719" s="1" t="s">
        <v>11474</v>
      </c>
      <c r="C3719" s="5" t="s">
        <v>0</v>
      </c>
      <c r="D3719" s="1" t="s">
        <v>11475</v>
      </c>
      <c r="E3719" s="1" t="s">
        <v>11476</v>
      </c>
      <c r="F3719" s="1" t="s">
        <v>167</v>
      </c>
      <c r="G3719" s="1" t="s">
        <v>130</v>
      </c>
      <c r="H3719" s="1" t="s">
        <v>168</v>
      </c>
      <c r="I3719" s="1" t="s">
        <v>16</v>
      </c>
      <c r="J3719" s="1">
        <v>1</v>
      </c>
      <c r="K3719" s="1">
        <v>6</v>
      </c>
      <c r="L3719" s="1" t="s">
        <v>31</v>
      </c>
      <c r="M3719" s="1" t="s">
        <v>413</v>
      </c>
      <c r="N3719" s="1" t="s">
        <v>679</v>
      </c>
      <c r="O3719" s="1">
        <v>3</v>
      </c>
      <c r="P3719" s="1">
        <v>6</v>
      </c>
      <c r="R3719" s="1" t="s">
        <v>19</v>
      </c>
      <c r="S3719" s="1" t="s">
        <v>20</v>
      </c>
      <c r="T3719" s="1" t="s">
        <v>21</v>
      </c>
      <c r="U3719" s="1" t="s">
        <v>22</v>
      </c>
      <c r="V3719" s="1" t="s">
        <v>24</v>
      </c>
      <c r="W3719" s="1" t="s">
        <v>24</v>
      </c>
      <c r="X3719" s="1">
        <v>2715</v>
      </c>
      <c r="Y3719" s="1" t="s">
        <v>24</v>
      </c>
      <c r="Z3719" s="1" t="s">
        <v>24</v>
      </c>
      <c r="AA3719" s="1" t="s">
        <v>24</v>
      </c>
      <c r="AB3719" s="1" t="s">
        <v>24</v>
      </c>
      <c r="AC3719" s="1" t="s">
        <v>24</v>
      </c>
      <c r="AD3719" s="1" t="s">
        <v>24</v>
      </c>
      <c r="AE3719" s="1" t="s">
        <v>24</v>
      </c>
      <c r="AF3719" s="22"/>
    </row>
    <row r="3720" spans="1:32" x14ac:dyDescent="0.2">
      <c r="A3720" s="1">
        <v>30262</v>
      </c>
      <c r="B3720" s="1" t="s">
        <v>11477</v>
      </c>
      <c r="C3720" s="5" t="s">
        <v>0</v>
      </c>
      <c r="D3720" s="1" t="s">
        <v>11478</v>
      </c>
      <c r="E3720" s="1" t="s">
        <v>11479</v>
      </c>
      <c r="F3720" s="1" t="s">
        <v>190</v>
      </c>
      <c r="G3720" s="1" t="s">
        <v>130</v>
      </c>
      <c r="H3720" s="1" t="s">
        <v>30</v>
      </c>
      <c r="I3720" s="1" t="s">
        <v>16</v>
      </c>
      <c r="J3720" s="1">
        <v>1</v>
      </c>
      <c r="K3720" s="1">
        <v>4</v>
      </c>
      <c r="L3720" s="1" t="s">
        <v>31</v>
      </c>
      <c r="M3720" s="1" t="s">
        <v>18</v>
      </c>
      <c r="N3720" s="1" t="s">
        <v>18</v>
      </c>
      <c r="O3720" s="1">
        <v>3</v>
      </c>
      <c r="P3720" s="1">
        <v>7</v>
      </c>
      <c r="Q3720" s="7" t="s">
        <v>17633</v>
      </c>
      <c r="R3720" s="1" t="s">
        <v>19</v>
      </c>
      <c r="S3720" s="1" t="s">
        <v>20</v>
      </c>
      <c r="T3720" s="1" t="s">
        <v>21</v>
      </c>
      <c r="U3720" s="1" t="s">
        <v>22</v>
      </c>
      <c r="V3720" s="1" t="s">
        <v>24</v>
      </c>
      <c r="W3720" s="1" t="s">
        <v>24</v>
      </c>
      <c r="X3720" s="1">
        <v>3004</v>
      </c>
      <c r="Y3720" s="1">
        <v>2723</v>
      </c>
      <c r="Z3720" s="1">
        <v>2403</v>
      </c>
      <c r="AA3720" s="1">
        <v>2801</v>
      </c>
      <c r="AB3720" s="1" t="s">
        <v>24</v>
      </c>
      <c r="AC3720" s="1" t="s">
        <v>24</v>
      </c>
      <c r="AD3720" s="1" t="s">
        <v>24</v>
      </c>
      <c r="AE3720" s="1" t="s">
        <v>24</v>
      </c>
      <c r="AF3720" s="22"/>
    </row>
    <row r="3721" spans="1:32" x14ac:dyDescent="0.2">
      <c r="A3721" s="1">
        <v>30272</v>
      </c>
      <c r="B3721" s="1" t="s">
        <v>11480</v>
      </c>
      <c r="C3721" s="5" t="s">
        <v>0</v>
      </c>
      <c r="D3721" s="1" t="s">
        <v>11481</v>
      </c>
      <c r="E3721" s="1" t="s">
        <v>11482</v>
      </c>
      <c r="F3721" s="1" t="s">
        <v>167</v>
      </c>
      <c r="G3721" s="1" t="s">
        <v>130</v>
      </c>
      <c r="H3721" s="1" t="s">
        <v>168</v>
      </c>
      <c r="I3721" s="1" t="s">
        <v>16</v>
      </c>
      <c r="J3721" s="1">
        <v>1</v>
      </c>
      <c r="K3721" s="1">
        <v>6</v>
      </c>
      <c r="L3721" s="1" t="s">
        <v>31</v>
      </c>
      <c r="M3721" s="1" t="s">
        <v>413</v>
      </c>
      <c r="N3721" s="1" t="s">
        <v>242</v>
      </c>
      <c r="O3721" s="1">
        <v>3</v>
      </c>
      <c r="P3721" s="1">
        <v>6</v>
      </c>
      <c r="R3721" s="1" t="s">
        <v>19</v>
      </c>
      <c r="S3721" s="1" t="s">
        <v>20</v>
      </c>
      <c r="T3721" s="1" t="s">
        <v>21</v>
      </c>
      <c r="U3721" s="1" t="s">
        <v>22</v>
      </c>
      <c r="V3721" s="1" t="s">
        <v>24</v>
      </c>
      <c r="W3721" s="1" t="s">
        <v>24</v>
      </c>
      <c r="X3721" s="1">
        <v>2727</v>
      </c>
      <c r="Y3721" s="1" t="s">
        <v>24</v>
      </c>
      <c r="Z3721" s="1" t="s">
        <v>24</v>
      </c>
      <c r="AA3721" s="1" t="s">
        <v>24</v>
      </c>
      <c r="AB3721" s="1" t="s">
        <v>24</v>
      </c>
      <c r="AC3721" s="1" t="s">
        <v>24</v>
      </c>
      <c r="AD3721" s="1" t="s">
        <v>24</v>
      </c>
      <c r="AE3721" s="1" t="s">
        <v>24</v>
      </c>
      <c r="AF3721" s="22"/>
    </row>
    <row r="3722" spans="1:32" x14ac:dyDescent="0.2">
      <c r="A3722" s="1">
        <v>30284</v>
      </c>
      <c r="B3722" s="1" t="s">
        <v>11483</v>
      </c>
      <c r="C3722" s="5" t="s">
        <v>0</v>
      </c>
      <c r="D3722" s="1" t="s">
        <v>11484</v>
      </c>
      <c r="E3722" s="1" t="s">
        <v>11485</v>
      </c>
      <c r="F3722" s="1" t="s">
        <v>198</v>
      </c>
      <c r="G3722" s="1" t="s">
        <v>130</v>
      </c>
      <c r="H3722" s="1" t="s">
        <v>86</v>
      </c>
      <c r="I3722" s="1" t="s">
        <v>16</v>
      </c>
      <c r="J3722" s="1">
        <v>1</v>
      </c>
      <c r="K3722" s="1">
        <v>4</v>
      </c>
      <c r="L3722" s="1" t="s">
        <v>31</v>
      </c>
      <c r="M3722" s="1" t="s">
        <v>18</v>
      </c>
      <c r="N3722" s="1" t="s">
        <v>18</v>
      </c>
      <c r="O3722" s="1">
        <v>3</v>
      </c>
      <c r="P3722" s="1">
        <v>7</v>
      </c>
      <c r="Q3722" s="7" t="s">
        <v>17633</v>
      </c>
      <c r="R3722" s="1" t="s">
        <v>19</v>
      </c>
      <c r="S3722" s="1" t="s">
        <v>20</v>
      </c>
      <c r="T3722" s="1" t="s">
        <v>21</v>
      </c>
      <c r="U3722" s="1" t="s">
        <v>22</v>
      </c>
      <c r="V3722" s="1" t="s">
        <v>24</v>
      </c>
      <c r="W3722" s="1" t="s">
        <v>24</v>
      </c>
      <c r="X3722" s="1">
        <v>2730</v>
      </c>
      <c r="Y3722" s="1">
        <v>1306</v>
      </c>
      <c r="Z3722" s="1">
        <v>2736</v>
      </c>
      <c r="AA3722" s="1" t="s">
        <v>24</v>
      </c>
      <c r="AB3722" s="1" t="s">
        <v>24</v>
      </c>
      <c r="AC3722" s="1" t="s">
        <v>24</v>
      </c>
      <c r="AD3722" s="1" t="s">
        <v>24</v>
      </c>
      <c r="AE3722" s="1" t="s">
        <v>24</v>
      </c>
      <c r="AF3722" s="22"/>
    </row>
    <row r="3723" spans="1:32" x14ac:dyDescent="0.2">
      <c r="A3723" s="1">
        <v>30327</v>
      </c>
      <c r="B3723" s="1" t="s">
        <v>11486</v>
      </c>
      <c r="C3723" s="5" t="s">
        <v>0</v>
      </c>
      <c r="D3723" s="1" t="s">
        <v>11487</v>
      </c>
      <c r="F3723" s="1" t="s">
        <v>11488</v>
      </c>
      <c r="G3723" s="1" t="s">
        <v>11489</v>
      </c>
      <c r="H3723" s="1" t="s">
        <v>264</v>
      </c>
      <c r="I3723" s="1" t="s">
        <v>16</v>
      </c>
      <c r="J3723" s="1">
        <v>1</v>
      </c>
      <c r="K3723" s="1">
        <v>4</v>
      </c>
      <c r="L3723" s="1" t="s">
        <v>31</v>
      </c>
      <c r="M3723" s="1" t="s">
        <v>18</v>
      </c>
      <c r="N3723" s="1" t="s">
        <v>18</v>
      </c>
      <c r="O3723" s="1">
        <v>2</v>
      </c>
      <c r="P3723" s="1">
        <v>6</v>
      </c>
      <c r="R3723" s="1" t="s">
        <v>19</v>
      </c>
      <c r="S3723" s="1" t="s">
        <v>20</v>
      </c>
      <c r="T3723" s="1" t="s">
        <v>21</v>
      </c>
      <c r="U3723" s="1" t="s">
        <v>22</v>
      </c>
      <c r="V3723" s="1" t="s">
        <v>24</v>
      </c>
      <c r="W3723" s="1" t="s">
        <v>24</v>
      </c>
      <c r="X3723" s="1">
        <v>2739</v>
      </c>
      <c r="Y3723" s="1" t="s">
        <v>24</v>
      </c>
      <c r="Z3723" s="1" t="s">
        <v>24</v>
      </c>
      <c r="AA3723" s="1" t="s">
        <v>24</v>
      </c>
      <c r="AB3723" s="1" t="s">
        <v>24</v>
      </c>
      <c r="AC3723" s="1" t="s">
        <v>24</v>
      </c>
      <c r="AD3723" s="1" t="s">
        <v>24</v>
      </c>
      <c r="AE3723" s="1" t="s">
        <v>24</v>
      </c>
      <c r="AF3723" s="22"/>
    </row>
    <row r="3724" spans="1:32" x14ac:dyDescent="0.2">
      <c r="A3724" s="1">
        <v>30340</v>
      </c>
      <c r="B3724" s="1" t="s">
        <v>11490</v>
      </c>
      <c r="C3724" s="5" t="s">
        <v>0</v>
      </c>
      <c r="D3724" s="1" t="s">
        <v>11491</v>
      </c>
      <c r="F3724" s="1" t="s">
        <v>11492</v>
      </c>
      <c r="G3724" s="1" t="s">
        <v>11493</v>
      </c>
      <c r="H3724" s="1" t="s">
        <v>15</v>
      </c>
      <c r="I3724" s="1" t="s">
        <v>16</v>
      </c>
      <c r="J3724" s="1">
        <v>1</v>
      </c>
      <c r="K3724" s="1">
        <v>4</v>
      </c>
      <c r="L3724" s="1" t="s">
        <v>17</v>
      </c>
      <c r="M3724" s="1" t="s">
        <v>11494</v>
      </c>
      <c r="N3724" s="1" t="s">
        <v>18</v>
      </c>
      <c r="O3724" s="1">
        <v>2</v>
      </c>
      <c r="P3724" s="1">
        <v>6</v>
      </c>
      <c r="R3724" s="1" t="s">
        <v>19</v>
      </c>
      <c r="S3724" s="1" t="s">
        <v>20</v>
      </c>
      <c r="T3724" s="1" t="s">
        <v>21</v>
      </c>
      <c r="U3724" s="1" t="s">
        <v>22</v>
      </c>
      <c r="V3724" s="1" t="s">
        <v>24</v>
      </c>
      <c r="W3724" s="1" t="s">
        <v>24</v>
      </c>
      <c r="X3724" s="1">
        <v>2733</v>
      </c>
      <c r="Y3724" s="1" t="s">
        <v>24</v>
      </c>
      <c r="Z3724" s="1" t="s">
        <v>24</v>
      </c>
      <c r="AA3724" s="1" t="s">
        <v>24</v>
      </c>
      <c r="AB3724" s="1" t="s">
        <v>24</v>
      </c>
      <c r="AC3724" s="1" t="s">
        <v>24</v>
      </c>
      <c r="AD3724" s="1" t="s">
        <v>24</v>
      </c>
      <c r="AE3724" s="1" t="s">
        <v>24</v>
      </c>
      <c r="AF3724" s="22"/>
    </row>
    <row r="3725" spans="1:32" x14ac:dyDescent="0.2">
      <c r="A3725" s="1">
        <v>30358</v>
      </c>
      <c r="B3725" s="1" t="s">
        <v>11495</v>
      </c>
      <c r="C3725" s="5" t="s">
        <v>0</v>
      </c>
      <c r="D3725" s="1" t="s">
        <v>11496</v>
      </c>
      <c r="F3725" s="1" t="s">
        <v>11497</v>
      </c>
      <c r="G3725" s="1" t="s">
        <v>11498</v>
      </c>
      <c r="H3725" s="1" t="s">
        <v>1660</v>
      </c>
      <c r="I3725" s="1" t="s">
        <v>16</v>
      </c>
      <c r="J3725" s="1">
        <v>1</v>
      </c>
      <c r="K3725" s="1">
        <v>4</v>
      </c>
      <c r="L3725" s="1" t="s">
        <v>42</v>
      </c>
      <c r="M3725" s="1" t="s">
        <v>18</v>
      </c>
      <c r="N3725" s="1" t="s">
        <v>18</v>
      </c>
      <c r="O3725" s="1">
        <v>3</v>
      </c>
      <c r="P3725" s="1">
        <v>5</v>
      </c>
      <c r="R3725" s="1" t="s">
        <v>19</v>
      </c>
      <c r="S3725" s="1" t="s">
        <v>20</v>
      </c>
      <c r="T3725" s="1" t="s">
        <v>21</v>
      </c>
      <c r="U3725" s="1" t="s">
        <v>22</v>
      </c>
      <c r="V3725" s="1" t="s">
        <v>24</v>
      </c>
      <c r="W3725" s="1" t="s">
        <v>24</v>
      </c>
      <c r="X3725" s="1">
        <v>2715</v>
      </c>
      <c r="Y3725" s="1" t="s">
        <v>24</v>
      </c>
      <c r="Z3725" s="1" t="s">
        <v>24</v>
      </c>
      <c r="AA3725" s="1" t="s">
        <v>24</v>
      </c>
      <c r="AB3725" s="1" t="s">
        <v>24</v>
      </c>
      <c r="AC3725" s="1" t="s">
        <v>24</v>
      </c>
      <c r="AD3725" s="1" t="s">
        <v>24</v>
      </c>
      <c r="AE3725" s="1" t="s">
        <v>24</v>
      </c>
      <c r="AF3725" s="22"/>
    </row>
    <row r="3726" spans="1:32" x14ac:dyDescent="0.2">
      <c r="A3726" s="1">
        <v>30365</v>
      </c>
      <c r="B3726" s="1" t="s">
        <v>11499</v>
      </c>
      <c r="C3726" s="5" t="s">
        <v>0</v>
      </c>
      <c r="D3726" s="1" t="s">
        <v>11500</v>
      </c>
      <c r="F3726" s="1" t="s">
        <v>11501</v>
      </c>
      <c r="G3726" s="1" t="s">
        <v>11501</v>
      </c>
      <c r="H3726" s="1" t="s">
        <v>1384</v>
      </c>
      <c r="I3726" s="1" t="s">
        <v>16</v>
      </c>
      <c r="J3726" s="1">
        <v>1</v>
      </c>
      <c r="K3726" s="1">
        <v>4</v>
      </c>
      <c r="L3726" s="1" t="s">
        <v>42</v>
      </c>
      <c r="M3726" s="1" t="s">
        <v>9409</v>
      </c>
      <c r="N3726" s="1" t="s">
        <v>9409</v>
      </c>
      <c r="O3726" s="1">
        <v>2</v>
      </c>
      <c r="P3726" s="1">
        <v>6</v>
      </c>
      <c r="R3726" s="1" t="s">
        <v>19</v>
      </c>
      <c r="S3726" s="1" t="s">
        <v>20</v>
      </c>
      <c r="T3726" s="1" t="s">
        <v>21</v>
      </c>
      <c r="U3726" s="1" t="s">
        <v>22</v>
      </c>
      <c r="V3726" s="1" t="s">
        <v>24</v>
      </c>
      <c r="W3726" s="1" t="s">
        <v>24</v>
      </c>
      <c r="X3726" s="1">
        <v>2720</v>
      </c>
      <c r="Y3726" s="1">
        <v>2730</v>
      </c>
      <c r="Z3726" s="1" t="s">
        <v>24</v>
      </c>
      <c r="AA3726" s="1" t="s">
        <v>24</v>
      </c>
      <c r="AB3726" s="1" t="s">
        <v>24</v>
      </c>
      <c r="AC3726" s="1" t="s">
        <v>24</v>
      </c>
      <c r="AD3726" s="1" t="s">
        <v>24</v>
      </c>
      <c r="AE3726" s="1" t="s">
        <v>24</v>
      </c>
      <c r="AF3726" s="22"/>
    </row>
    <row r="3727" spans="1:32" x14ac:dyDescent="0.2">
      <c r="A3727" s="1">
        <v>30381</v>
      </c>
      <c r="B3727" s="1" t="s">
        <v>11502</v>
      </c>
      <c r="C3727" s="5" t="s">
        <v>0</v>
      </c>
      <c r="D3727" s="1" t="s">
        <v>11503</v>
      </c>
      <c r="E3727" s="1" t="s">
        <v>11504</v>
      </c>
      <c r="F3727" s="1" t="s">
        <v>291</v>
      </c>
      <c r="G3727" s="1" t="s">
        <v>292</v>
      </c>
      <c r="H3727" s="1" t="s">
        <v>37</v>
      </c>
      <c r="I3727" s="1" t="s">
        <v>16</v>
      </c>
      <c r="J3727" s="1">
        <v>1</v>
      </c>
      <c r="K3727" s="1">
        <v>4</v>
      </c>
      <c r="L3727" s="1" t="s">
        <v>31</v>
      </c>
      <c r="M3727" s="1" t="s">
        <v>18</v>
      </c>
      <c r="N3727" s="1" t="s">
        <v>18</v>
      </c>
      <c r="O3727" s="1">
        <v>3</v>
      </c>
      <c r="P3727" s="1">
        <v>7</v>
      </c>
      <c r="Q3727" s="7" t="s">
        <v>17633</v>
      </c>
      <c r="R3727" s="1" t="s">
        <v>19</v>
      </c>
      <c r="S3727" s="1" t="s">
        <v>20</v>
      </c>
      <c r="T3727" s="1" t="s">
        <v>21</v>
      </c>
      <c r="U3727" s="1" t="s">
        <v>22</v>
      </c>
      <c r="V3727" s="1" t="s">
        <v>24</v>
      </c>
      <c r="W3727" s="1" t="s">
        <v>24</v>
      </c>
      <c r="X3727" s="1">
        <v>2705</v>
      </c>
      <c r="Y3727" s="1">
        <v>2741</v>
      </c>
      <c r="Z3727" s="1">
        <v>2711</v>
      </c>
      <c r="AA3727" s="1" t="s">
        <v>24</v>
      </c>
      <c r="AB3727" s="1" t="s">
        <v>24</v>
      </c>
      <c r="AC3727" s="1" t="s">
        <v>24</v>
      </c>
      <c r="AD3727" s="1" t="s">
        <v>24</v>
      </c>
      <c r="AE3727" s="1" t="s">
        <v>24</v>
      </c>
      <c r="AF3727" s="22"/>
    </row>
    <row r="3728" spans="1:32" x14ac:dyDescent="0.2">
      <c r="A3728" s="1">
        <v>30408</v>
      </c>
      <c r="B3728" s="1" t="s">
        <v>11505</v>
      </c>
      <c r="C3728" s="5" t="s">
        <v>0</v>
      </c>
      <c r="D3728" s="1" t="s">
        <v>11506</v>
      </c>
      <c r="F3728" s="1" t="s">
        <v>2009</v>
      </c>
      <c r="G3728" s="1" t="s">
        <v>2009</v>
      </c>
      <c r="H3728" s="1" t="s">
        <v>111</v>
      </c>
      <c r="I3728" s="1" t="s">
        <v>16</v>
      </c>
      <c r="J3728" s="1">
        <v>1</v>
      </c>
      <c r="K3728" s="1">
        <v>4</v>
      </c>
      <c r="L3728" s="1" t="s">
        <v>42</v>
      </c>
      <c r="M3728" s="1" t="s">
        <v>413</v>
      </c>
      <c r="N3728" s="1" t="s">
        <v>413</v>
      </c>
      <c r="O3728" s="1">
        <v>3</v>
      </c>
      <c r="P3728" s="1">
        <v>6</v>
      </c>
      <c r="R3728" s="1" t="s">
        <v>19</v>
      </c>
      <c r="S3728" s="1" t="s">
        <v>20</v>
      </c>
      <c r="T3728" s="1" t="s">
        <v>21</v>
      </c>
      <c r="U3728" s="1" t="s">
        <v>22</v>
      </c>
      <c r="V3728" s="1" t="s">
        <v>24</v>
      </c>
      <c r="W3728" s="1" t="s">
        <v>24</v>
      </c>
      <c r="X3728" s="1">
        <v>3203</v>
      </c>
      <c r="Y3728" s="1">
        <v>2738</v>
      </c>
      <c r="Z3728" s="1" t="s">
        <v>24</v>
      </c>
      <c r="AA3728" s="1" t="s">
        <v>24</v>
      </c>
      <c r="AB3728" s="1" t="s">
        <v>24</v>
      </c>
      <c r="AC3728" s="1" t="s">
        <v>24</v>
      </c>
      <c r="AD3728" s="1" t="s">
        <v>24</v>
      </c>
      <c r="AE3728" s="1" t="s">
        <v>24</v>
      </c>
      <c r="AF3728" s="22"/>
    </row>
    <row r="3729" spans="1:32" x14ac:dyDescent="0.2">
      <c r="A3729" s="1">
        <v>30429</v>
      </c>
      <c r="B3729" s="1" t="s">
        <v>11507</v>
      </c>
      <c r="C3729" s="5" t="s">
        <v>0</v>
      </c>
      <c r="D3729" s="1" t="s">
        <v>11508</v>
      </c>
      <c r="F3729" s="1" t="s">
        <v>11509</v>
      </c>
      <c r="G3729" s="1" t="s">
        <v>11510</v>
      </c>
      <c r="H3729" s="1" t="s">
        <v>3880</v>
      </c>
      <c r="I3729" s="1" t="s">
        <v>16</v>
      </c>
      <c r="J3729" s="1">
        <v>0</v>
      </c>
      <c r="K3729" s="1">
        <v>0</v>
      </c>
      <c r="L3729" s="1" t="s">
        <v>42</v>
      </c>
      <c r="M3729" s="1" t="s">
        <v>18</v>
      </c>
      <c r="N3729" s="1" t="s">
        <v>18</v>
      </c>
      <c r="O3729" s="1">
        <v>3</v>
      </c>
      <c r="P3729" s="1">
        <v>7</v>
      </c>
      <c r="Q3729" s="7" t="s">
        <v>17633</v>
      </c>
      <c r="R3729" s="1" t="s">
        <v>19</v>
      </c>
      <c r="S3729" s="1" t="s">
        <v>20</v>
      </c>
      <c r="T3729" s="1" t="s">
        <v>21</v>
      </c>
      <c r="U3729" s="1" t="s">
        <v>22</v>
      </c>
      <c r="V3729" s="1" t="s">
        <v>24</v>
      </c>
      <c r="W3729" s="1" t="s">
        <v>24</v>
      </c>
      <c r="X3729" s="1">
        <v>2307</v>
      </c>
      <c r="Y3729" s="1">
        <v>2739</v>
      </c>
      <c r="Z3729" s="1">
        <v>3005</v>
      </c>
      <c r="AA3729" s="1">
        <v>3305</v>
      </c>
      <c r="AB3729" s="1" t="s">
        <v>24</v>
      </c>
      <c r="AC3729" s="1" t="s">
        <v>24</v>
      </c>
      <c r="AD3729" s="1" t="s">
        <v>24</v>
      </c>
      <c r="AE3729" s="1" t="s">
        <v>24</v>
      </c>
      <c r="AF3729" s="22"/>
    </row>
    <row r="3730" spans="1:32" x14ac:dyDescent="0.2">
      <c r="A3730" s="1">
        <v>30433</v>
      </c>
      <c r="B3730" s="1" t="s">
        <v>11511</v>
      </c>
      <c r="C3730" s="5" t="s">
        <v>0</v>
      </c>
      <c r="E3730" s="1" t="s">
        <v>11512</v>
      </c>
      <c r="F3730" s="1" t="s">
        <v>2299</v>
      </c>
      <c r="G3730" s="1" t="s">
        <v>2300</v>
      </c>
      <c r="H3730" s="1" t="s">
        <v>37</v>
      </c>
      <c r="I3730" s="1" t="s">
        <v>16</v>
      </c>
      <c r="J3730" s="1">
        <v>1</v>
      </c>
      <c r="K3730" s="1">
        <v>6</v>
      </c>
      <c r="L3730" s="1" t="s">
        <v>31</v>
      </c>
      <c r="M3730" s="1" t="s">
        <v>18</v>
      </c>
      <c r="N3730" s="1" t="s">
        <v>18</v>
      </c>
      <c r="O3730" s="1">
        <v>3</v>
      </c>
      <c r="P3730" s="1">
        <v>6</v>
      </c>
      <c r="R3730" s="1" t="s">
        <v>19</v>
      </c>
      <c r="S3730" s="1" t="s">
        <v>63</v>
      </c>
      <c r="T3730" s="1" t="s">
        <v>21</v>
      </c>
      <c r="U3730" s="1" t="s">
        <v>22</v>
      </c>
      <c r="V3730" s="1" t="s">
        <v>24</v>
      </c>
      <c r="W3730" s="1" t="s">
        <v>24</v>
      </c>
      <c r="X3730" s="1">
        <v>2701</v>
      </c>
      <c r="Y3730" s="1">
        <v>2736</v>
      </c>
      <c r="Z3730" s="1" t="s">
        <v>24</v>
      </c>
      <c r="AA3730" s="1" t="s">
        <v>24</v>
      </c>
      <c r="AB3730" s="1" t="s">
        <v>24</v>
      </c>
      <c r="AC3730" s="1" t="s">
        <v>24</v>
      </c>
      <c r="AD3730" s="1" t="s">
        <v>24</v>
      </c>
      <c r="AE3730" s="1" t="s">
        <v>24</v>
      </c>
      <c r="AF3730" s="22"/>
    </row>
    <row r="3731" spans="1:32" x14ac:dyDescent="0.2">
      <c r="A3731" s="1">
        <v>30434</v>
      </c>
      <c r="B3731" s="1" t="s">
        <v>11513</v>
      </c>
      <c r="C3731" s="5" t="s">
        <v>0</v>
      </c>
      <c r="D3731" s="1" t="s">
        <v>11514</v>
      </c>
      <c r="E3731" s="1" t="s">
        <v>11515</v>
      </c>
      <c r="F3731" s="1" t="s">
        <v>11516</v>
      </c>
      <c r="G3731" s="1" t="s">
        <v>11516</v>
      </c>
      <c r="H3731" s="1" t="s">
        <v>30</v>
      </c>
      <c r="I3731" s="1" t="s">
        <v>16</v>
      </c>
      <c r="J3731" s="1">
        <v>1</v>
      </c>
      <c r="K3731" s="1">
        <v>6</v>
      </c>
      <c r="L3731" s="1" t="s">
        <v>42</v>
      </c>
      <c r="M3731" s="1" t="s">
        <v>18</v>
      </c>
      <c r="N3731" s="1" t="s">
        <v>18</v>
      </c>
      <c r="O3731" s="1">
        <v>2</v>
      </c>
      <c r="P3731" s="1">
        <v>6</v>
      </c>
      <c r="R3731" s="1" t="s">
        <v>19</v>
      </c>
      <c r="S3731" s="1" t="s">
        <v>20</v>
      </c>
      <c r="T3731" s="1" t="s">
        <v>21</v>
      </c>
      <c r="U3731" s="1" t="s">
        <v>22</v>
      </c>
      <c r="V3731" s="1" t="s">
        <v>23</v>
      </c>
      <c r="W3731" s="1" t="s">
        <v>24</v>
      </c>
      <c r="X3731" s="1">
        <v>2739</v>
      </c>
      <c r="Y3731" s="1">
        <v>2714</v>
      </c>
      <c r="Z3731" s="1" t="s">
        <v>24</v>
      </c>
      <c r="AA3731" s="1" t="s">
        <v>24</v>
      </c>
      <c r="AB3731" s="1" t="s">
        <v>24</v>
      </c>
      <c r="AC3731" s="1" t="s">
        <v>24</v>
      </c>
      <c r="AD3731" s="1" t="s">
        <v>24</v>
      </c>
      <c r="AE3731" s="1" t="s">
        <v>24</v>
      </c>
      <c r="AF3731" s="22"/>
    </row>
    <row r="3732" spans="1:32" x14ac:dyDescent="0.2">
      <c r="A3732" s="1">
        <v>30440</v>
      </c>
      <c r="B3732" s="1" t="s">
        <v>11517</v>
      </c>
      <c r="C3732" s="5" t="s">
        <v>0</v>
      </c>
      <c r="D3732" s="1" t="s">
        <v>11518</v>
      </c>
      <c r="E3732" s="1" t="s">
        <v>11519</v>
      </c>
      <c r="F3732" s="1" t="s">
        <v>28</v>
      </c>
      <c r="G3732" s="1" t="s">
        <v>29</v>
      </c>
      <c r="H3732" s="1" t="s">
        <v>30</v>
      </c>
      <c r="I3732" s="1" t="s">
        <v>16</v>
      </c>
      <c r="J3732" s="1">
        <v>1</v>
      </c>
      <c r="K3732" s="1">
        <v>6</v>
      </c>
      <c r="L3732" s="1" t="s">
        <v>31</v>
      </c>
      <c r="M3732" s="1" t="s">
        <v>18</v>
      </c>
      <c r="N3732" s="1" t="s">
        <v>18</v>
      </c>
      <c r="O3732" s="1">
        <v>3</v>
      </c>
      <c r="P3732" s="1">
        <v>5</v>
      </c>
      <c r="R3732" s="1" t="s">
        <v>19</v>
      </c>
      <c r="S3732" s="1" t="s">
        <v>20</v>
      </c>
      <c r="T3732" s="1" t="s">
        <v>21</v>
      </c>
      <c r="U3732" s="1" t="s">
        <v>22</v>
      </c>
      <c r="V3732" s="1" t="s">
        <v>23</v>
      </c>
      <c r="W3732" s="1" t="s">
        <v>24</v>
      </c>
      <c r="X3732" s="1">
        <v>2711</v>
      </c>
      <c r="Y3732" s="1">
        <v>2742</v>
      </c>
      <c r="Z3732" s="1">
        <v>2746</v>
      </c>
      <c r="AA3732" s="1" t="s">
        <v>24</v>
      </c>
      <c r="AB3732" s="1" t="s">
        <v>24</v>
      </c>
      <c r="AC3732" s="1" t="s">
        <v>24</v>
      </c>
      <c r="AD3732" s="1" t="s">
        <v>24</v>
      </c>
      <c r="AE3732" s="1" t="s">
        <v>24</v>
      </c>
      <c r="AF3732" s="22"/>
    </row>
    <row r="3733" spans="1:32" x14ac:dyDescent="0.2">
      <c r="A3733" s="1">
        <v>30444</v>
      </c>
      <c r="B3733" s="1" t="s">
        <v>11520</v>
      </c>
      <c r="C3733" s="5" t="s">
        <v>0</v>
      </c>
      <c r="E3733" s="1" t="s">
        <v>11521</v>
      </c>
      <c r="F3733" s="1" t="s">
        <v>221</v>
      </c>
      <c r="G3733" s="1" t="s">
        <v>61</v>
      </c>
      <c r="H3733" s="1" t="s">
        <v>222</v>
      </c>
      <c r="I3733" s="1" t="s">
        <v>16</v>
      </c>
      <c r="J3733" s="1">
        <v>1</v>
      </c>
      <c r="K3733" s="1">
        <v>4</v>
      </c>
      <c r="L3733" s="1" t="s">
        <v>31</v>
      </c>
      <c r="M3733" s="1" t="s">
        <v>18</v>
      </c>
      <c r="N3733" s="1" t="s">
        <v>18</v>
      </c>
      <c r="O3733" s="1">
        <v>3</v>
      </c>
      <c r="P3733" s="1">
        <v>6</v>
      </c>
      <c r="R3733" s="1" t="s">
        <v>19</v>
      </c>
      <c r="S3733" s="1" t="s">
        <v>20</v>
      </c>
      <c r="T3733" s="1" t="s">
        <v>21</v>
      </c>
      <c r="U3733" s="1" t="s">
        <v>22</v>
      </c>
      <c r="V3733" s="1" t="s">
        <v>24</v>
      </c>
      <c r="W3733" s="1" t="s">
        <v>24</v>
      </c>
      <c r="X3733" s="1">
        <v>2733</v>
      </c>
      <c r="Y3733" s="1">
        <v>2735</v>
      </c>
      <c r="Z3733" s="1" t="s">
        <v>24</v>
      </c>
      <c r="AA3733" s="1" t="s">
        <v>24</v>
      </c>
      <c r="AB3733" s="1" t="s">
        <v>24</v>
      </c>
      <c r="AC3733" s="1" t="s">
        <v>24</v>
      </c>
      <c r="AD3733" s="1" t="s">
        <v>24</v>
      </c>
      <c r="AE3733" s="1" t="s">
        <v>24</v>
      </c>
      <c r="AF3733" s="22"/>
    </row>
    <row r="3734" spans="1:32" x14ac:dyDescent="0.2">
      <c r="A3734" s="1">
        <v>30448</v>
      </c>
      <c r="B3734" s="1" t="s">
        <v>11522</v>
      </c>
      <c r="C3734" s="5" t="s">
        <v>0</v>
      </c>
      <c r="D3734" s="1" t="s">
        <v>11523</v>
      </c>
      <c r="F3734" s="1" t="s">
        <v>412</v>
      </c>
      <c r="G3734" s="1" t="s">
        <v>372</v>
      </c>
      <c r="H3734" s="1" t="s">
        <v>168</v>
      </c>
      <c r="I3734" s="1" t="s">
        <v>16</v>
      </c>
      <c r="J3734" s="1">
        <v>0</v>
      </c>
      <c r="K3734" s="1">
        <v>0</v>
      </c>
      <c r="L3734" s="1" t="s">
        <v>31</v>
      </c>
      <c r="M3734" s="1" t="s">
        <v>679</v>
      </c>
      <c r="N3734" s="1" t="s">
        <v>18</v>
      </c>
      <c r="O3734" s="1">
        <v>3</v>
      </c>
      <c r="P3734" s="1">
        <v>7</v>
      </c>
      <c r="Q3734" s="7" t="s">
        <v>17633</v>
      </c>
      <c r="R3734" s="1" t="s">
        <v>19</v>
      </c>
      <c r="S3734" s="1" t="s">
        <v>63</v>
      </c>
      <c r="T3734" s="1" t="s">
        <v>21</v>
      </c>
      <c r="U3734" s="1" t="s">
        <v>22</v>
      </c>
      <c r="V3734" s="1" t="s">
        <v>23</v>
      </c>
      <c r="W3734" s="1" t="s">
        <v>24</v>
      </c>
      <c r="X3734" s="1">
        <v>2741</v>
      </c>
      <c r="Y3734" s="1" t="s">
        <v>24</v>
      </c>
      <c r="Z3734" s="1" t="s">
        <v>24</v>
      </c>
      <c r="AA3734" s="1" t="s">
        <v>24</v>
      </c>
      <c r="AB3734" s="1" t="s">
        <v>24</v>
      </c>
      <c r="AC3734" s="1" t="s">
        <v>24</v>
      </c>
      <c r="AD3734" s="1" t="s">
        <v>24</v>
      </c>
      <c r="AE3734" s="1" t="s">
        <v>24</v>
      </c>
      <c r="AF3734" s="22"/>
    </row>
    <row r="3735" spans="1:32" x14ac:dyDescent="0.2">
      <c r="A3735" s="1">
        <v>30450</v>
      </c>
      <c r="B3735" s="1" t="s">
        <v>11524</v>
      </c>
      <c r="C3735" s="5" t="s">
        <v>0</v>
      </c>
      <c r="D3735" s="1" t="s">
        <v>11525</v>
      </c>
      <c r="F3735" s="1" t="s">
        <v>11526</v>
      </c>
      <c r="G3735" s="1" t="s">
        <v>11524</v>
      </c>
      <c r="H3735" s="1" t="s">
        <v>684</v>
      </c>
      <c r="I3735" s="1" t="s">
        <v>16</v>
      </c>
      <c r="J3735" s="1">
        <v>1</v>
      </c>
      <c r="K3735" s="1">
        <v>4</v>
      </c>
      <c r="L3735" s="1" t="s">
        <v>17</v>
      </c>
      <c r="M3735" s="1" t="s">
        <v>852</v>
      </c>
      <c r="N3735" s="1" t="s">
        <v>685</v>
      </c>
      <c r="O3735" s="1">
        <v>2</v>
      </c>
      <c r="P3735" s="1">
        <v>5</v>
      </c>
      <c r="R3735" s="1" t="s">
        <v>19</v>
      </c>
      <c r="S3735" s="1" t="s">
        <v>20</v>
      </c>
      <c r="T3735" s="1" t="s">
        <v>21</v>
      </c>
      <c r="U3735" s="1" t="s">
        <v>22</v>
      </c>
      <c r="V3735" s="1" t="s">
        <v>24</v>
      </c>
      <c r="W3735" s="1" t="s">
        <v>24</v>
      </c>
      <c r="X3735" s="1">
        <v>2800</v>
      </c>
      <c r="Y3735" s="1">
        <v>2728</v>
      </c>
      <c r="Z3735" s="1" t="s">
        <v>24</v>
      </c>
      <c r="AA3735" s="1" t="s">
        <v>24</v>
      </c>
      <c r="AB3735" s="1" t="s">
        <v>24</v>
      </c>
      <c r="AC3735" s="1" t="s">
        <v>24</v>
      </c>
      <c r="AD3735" s="1" t="s">
        <v>24</v>
      </c>
      <c r="AE3735" s="1" t="s">
        <v>24</v>
      </c>
      <c r="AF3735" s="22"/>
    </row>
    <row r="3736" spans="1:32" x14ac:dyDescent="0.2">
      <c r="A3736" s="1">
        <v>30462</v>
      </c>
      <c r="B3736" s="1" t="s">
        <v>11527</v>
      </c>
      <c r="C3736" s="5" t="s">
        <v>0</v>
      </c>
      <c r="D3736" s="1" t="s">
        <v>11528</v>
      </c>
      <c r="F3736" s="1" t="s">
        <v>8384</v>
      </c>
      <c r="G3736" s="1" t="s">
        <v>8384</v>
      </c>
      <c r="H3736" s="1" t="s">
        <v>30</v>
      </c>
      <c r="I3736" s="1" t="s">
        <v>16</v>
      </c>
      <c r="J3736" s="1">
        <v>1</v>
      </c>
      <c r="K3736" s="1">
        <v>6</v>
      </c>
      <c r="L3736" s="1" t="s">
        <v>42</v>
      </c>
      <c r="M3736" s="1" t="s">
        <v>18</v>
      </c>
      <c r="N3736" s="1" t="s">
        <v>18</v>
      </c>
      <c r="O3736" s="1">
        <v>3</v>
      </c>
      <c r="P3736" s="1">
        <v>6</v>
      </c>
      <c r="R3736" s="1" t="s">
        <v>19</v>
      </c>
      <c r="S3736" s="1" t="s">
        <v>20</v>
      </c>
      <c r="T3736" s="1" t="s">
        <v>21</v>
      </c>
      <c r="U3736" s="1" t="s">
        <v>22</v>
      </c>
      <c r="V3736" s="1" t="s">
        <v>24</v>
      </c>
      <c r="W3736" s="1" t="s">
        <v>24</v>
      </c>
      <c r="X3736" s="1">
        <v>1103</v>
      </c>
      <c r="Y3736" s="1" t="s">
        <v>24</v>
      </c>
      <c r="Z3736" s="1" t="s">
        <v>24</v>
      </c>
      <c r="AA3736" s="1" t="s">
        <v>24</v>
      </c>
      <c r="AB3736" s="1" t="s">
        <v>24</v>
      </c>
      <c r="AC3736" s="1" t="s">
        <v>24</v>
      </c>
      <c r="AD3736" s="1" t="s">
        <v>24</v>
      </c>
      <c r="AE3736" s="1" t="s">
        <v>24</v>
      </c>
      <c r="AF3736" s="22"/>
    </row>
    <row r="3737" spans="1:32" x14ac:dyDescent="0.2">
      <c r="A3737" s="1">
        <v>30463</v>
      </c>
      <c r="B3737" s="1" t="s">
        <v>11529</v>
      </c>
      <c r="C3737" s="5" t="s">
        <v>0</v>
      </c>
      <c r="D3737" s="1" t="s">
        <v>11530</v>
      </c>
      <c r="F3737" s="1" t="s">
        <v>7022</v>
      </c>
      <c r="G3737" s="1" t="s">
        <v>7022</v>
      </c>
      <c r="H3737" s="1" t="s">
        <v>684</v>
      </c>
      <c r="I3737" s="1" t="s">
        <v>16</v>
      </c>
      <c r="J3737" s="1">
        <v>1</v>
      </c>
      <c r="K3737" s="1">
        <v>6</v>
      </c>
      <c r="L3737" s="1" t="s">
        <v>17</v>
      </c>
      <c r="M3737" s="1" t="s">
        <v>18</v>
      </c>
      <c r="N3737" s="1" t="s">
        <v>18</v>
      </c>
      <c r="O3737" s="1">
        <v>3</v>
      </c>
      <c r="P3737" s="1">
        <v>6</v>
      </c>
      <c r="R3737" s="1" t="s">
        <v>19</v>
      </c>
      <c r="S3737" s="1" t="s">
        <v>20</v>
      </c>
      <c r="T3737" s="1" t="s">
        <v>21</v>
      </c>
      <c r="U3737" s="1" t="s">
        <v>22</v>
      </c>
      <c r="V3737" s="1" t="s">
        <v>23</v>
      </c>
      <c r="W3737" s="1" t="s">
        <v>24</v>
      </c>
      <c r="X3737" s="1">
        <v>2728</v>
      </c>
      <c r="Y3737" s="1">
        <v>2741</v>
      </c>
      <c r="Z3737" s="1" t="s">
        <v>24</v>
      </c>
      <c r="AA3737" s="1" t="s">
        <v>24</v>
      </c>
      <c r="AB3737" s="1" t="s">
        <v>24</v>
      </c>
      <c r="AC3737" s="1" t="s">
        <v>24</v>
      </c>
      <c r="AD3737" s="1" t="s">
        <v>24</v>
      </c>
      <c r="AE3737" s="1" t="s">
        <v>24</v>
      </c>
      <c r="AF3737" s="22"/>
    </row>
    <row r="3738" spans="1:32" x14ac:dyDescent="0.2">
      <c r="A3738" s="1">
        <v>30506</v>
      </c>
      <c r="B3738" s="1" t="s">
        <v>11531</v>
      </c>
      <c r="C3738" s="5" t="s">
        <v>0</v>
      </c>
      <c r="D3738" s="1" t="s">
        <v>11532</v>
      </c>
      <c r="E3738" s="1" t="s">
        <v>11533</v>
      </c>
      <c r="F3738" s="1" t="s">
        <v>1412</v>
      </c>
      <c r="G3738" s="1" t="s">
        <v>1413</v>
      </c>
      <c r="H3738" s="1" t="s">
        <v>30</v>
      </c>
      <c r="I3738" s="1" t="s">
        <v>16</v>
      </c>
      <c r="J3738" s="1">
        <v>1</v>
      </c>
      <c r="K3738" s="1">
        <v>4</v>
      </c>
      <c r="L3738" s="1" t="s">
        <v>31</v>
      </c>
      <c r="M3738" s="1" t="s">
        <v>18</v>
      </c>
      <c r="N3738" s="1" t="s">
        <v>18</v>
      </c>
      <c r="O3738" s="1">
        <v>3</v>
      </c>
      <c r="P3738" s="1">
        <v>6</v>
      </c>
      <c r="R3738" s="1" t="s">
        <v>19</v>
      </c>
      <c r="S3738" s="1" t="s">
        <v>63</v>
      </c>
      <c r="T3738" s="1" t="s">
        <v>21</v>
      </c>
      <c r="U3738" s="1" t="s">
        <v>22</v>
      </c>
      <c r="V3738" s="1" t="s">
        <v>24</v>
      </c>
      <c r="W3738" s="1" t="s">
        <v>24</v>
      </c>
      <c r="X3738" s="1">
        <v>2604</v>
      </c>
      <c r="Y3738" s="1">
        <v>2611</v>
      </c>
      <c r="Z3738" s="1">
        <v>1300</v>
      </c>
      <c r="AA3738" s="1">
        <v>2700</v>
      </c>
      <c r="AB3738" s="1">
        <v>2400</v>
      </c>
      <c r="AC3738" s="1" t="s">
        <v>24</v>
      </c>
      <c r="AD3738" s="1" t="s">
        <v>24</v>
      </c>
      <c r="AE3738" s="1" t="s">
        <v>24</v>
      </c>
      <c r="AF3738" s="22"/>
    </row>
    <row r="3739" spans="1:32" x14ac:dyDescent="0.2">
      <c r="A3739" s="1">
        <v>30507</v>
      </c>
      <c r="B3739" s="1" t="s">
        <v>11534</v>
      </c>
      <c r="C3739" s="5" t="s">
        <v>0</v>
      </c>
      <c r="D3739" s="1" t="s">
        <v>11535</v>
      </c>
      <c r="E3739" s="1" t="s">
        <v>11536</v>
      </c>
      <c r="F3739" s="1" t="s">
        <v>669</v>
      </c>
      <c r="G3739" s="1" t="s">
        <v>311</v>
      </c>
      <c r="H3739" s="1" t="s">
        <v>30</v>
      </c>
      <c r="I3739" s="1" t="s">
        <v>16</v>
      </c>
      <c r="J3739" s="1">
        <v>1</v>
      </c>
      <c r="K3739" s="1">
        <v>24</v>
      </c>
      <c r="L3739" s="1" t="s">
        <v>31</v>
      </c>
      <c r="M3739" s="1" t="s">
        <v>18</v>
      </c>
      <c r="N3739" s="1" t="s">
        <v>18</v>
      </c>
      <c r="O3739" s="1">
        <v>3</v>
      </c>
      <c r="P3739" s="1">
        <v>7</v>
      </c>
      <c r="Q3739" s="7" t="s">
        <v>17633</v>
      </c>
      <c r="R3739" s="1" t="s">
        <v>19</v>
      </c>
      <c r="S3739" s="1" t="s">
        <v>20</v>
      </c>
      <c r="T3739" s="1" t="s">
        <v>21</v>
      </c>
      <c r="U3739" s="1" t="s">
        <v>22</v>
      </c>
      <c r="V3739" s="1" t="s">
        <v>24</v>
      </c>
      <c r="W3739" s="1" t="s">
        <v>24</v>
      </c>
      <c r="X3739" s="1">
        <v>2307</v>
      </c>
      <c r="Y3739" s="1">
        <v>3005</v>
      </c>
      <c r="Z3739" s="1" t="s">
        <v>24</v>
      </c>
      <c r="AA3739" s="1" t="s">
        <v>24</v>
      </c>
      <c r="AB3739" s="1" t="s">
        <v>24</v>
      </c>
      <c r="AC3739" s="1" t="s">
        <v>24</v>
      </c>
      <c r="AD3739" s="1" t="s">
        <v>24</v>
      </c>
      <c r="AE3739" s="1" t="s">
        <v>24</v>
      </c>
      <c r="AF3739" s="22"/>
    </row>
    <row r="3740" spans="1:32" x14ac:dyDescent="0.2">
      <c r="A3740" s="1">
        <v>30744</v>
      </c>
      <c r="B3740" s="1" t="s">
        <v>11537</v>
      </c>
      <c r="C3740" s="5" t="s">
        <v>0</v>
      </c>
      <c r="D3740" s="1" t="s">
        <v>11538</v>
      </c>
      <c r="E3740" s="1" t="s">
        <v>11539</v>
      </c>
      <c r="F3740" s="1" t="s">
        <v>11540</v>
      </c>
      <c r="G3740" s="1" t="s">
        <v>11540</v>
      </c>
      <c r="H3740" s="1" t="s">
        <v>1384</v>
      </c>
      <c r="I3740" s="1" t="s">
        <v>16</v>
      </c>
      <c r="J3740" s="1">
        <v>1</v>
      </c>
      <c r="K3740" s="1">
        <v>4</v>
      </c>
      <c r="L3740" s="1" t="s">
        <v>42</v>
      </c>
      <c r="M3740" s="1" t="s">
        <v>18</v>
      </c>
      <c r="N3740" s="1" t="s">
        <v>18</v>
      </c>
      <c r="O3740" s="1">
        <v>3</v>
      </c>
      <c r="P3740" s="1">
        <v>6</v>
      </c>
      <c r="R3740" s="1" t="s">
        <v>19</v>
      </c>
      <c r="S3740" s="1" t="s">
        <v>20</v>
      </c>
      <c r="T3740" s="1" t="s">
        <v>21</v>
      </c>
      <c r="U3740" s="1" t="s">
        <v>22</v>
      </c>
      <c r="V3740" s="1" t="s">
        <v>24</v>
      </c>
      <c r="W3740" s="1" t="s">
        <v>24</v>
      </c>
      <c r="X3740" s="1">
        <v>2720</v>
      </c>
      <c r="Y3740" s="1" t="s">
        <v>24</v>
      </c>
      <c r="Z3740" s="1" t="s">
        <v>24</v>
      </c>
      <c r="AA3740" s="1" t="s">
        <v>24</v>
      </c>
      <c r="AB3740" s="1" t="s">
        <v>24</v>
      </c>
      <c r="AC3740" s="1" t="s">
        <v>24</v>
      </c>
      <c r="AD3740" s="1" t="s">
        <v>24</v>
      </c>
      <c r="AE3740" s="1" t="s">
        <v>24</v>
      </c>
      <c r="AF3740" s="22"/>
    </row>
    <row r="3741" spans="1:32" x14ac:dyDescent="0.2">
      <c r="A3741" s="1">
        <v>30754</v>
      </c>
      <c r="B3741" s="1" t="s">
        <v>11541</v>
      </c>
      <c r="C3741" s="5" t="s">
        <v>0</v>
      </c>
      <c r="D3741" s="1" t="s">
        <v>11542</v>
      </c>
      <c r="F3741" s="1" t="s">
        <v>11543</v>
      </c>
      <c r="G3741" s="1" t="s">
        <v>11544</v>
      </c>
      <c r="H3741" s="1" t="s">
        <v>69</v>
      </c>
      <c r="I3741" s="1" t="s">
        <v>16</v>
      </c>
      <c r="J3741" s="1">
        <v>1</v>
      </c>
      <c r="K3741" s="1">
        <v>4</v>
      </c>
      <c r="L3741" s="1" t="s">
        <v>42</v>
      </c>
      <c r="M3741" s="1" t="s">
        <v>70</v>
      </c>
      <c r="N3741" s="1" t="s">
        <v>75</v>
      </c>
      <c r="O3741" s="1">
        <v>1</v>
      </c>
      <c r="P3741" s="1">
        <v>5</v>
      </c>
      <c r="R3741" s="1" t="s">
        <v>19</v>
      </c>
      <c r="S3741" s="1" t="s">
        <v>20</v>
      </c>
      <c r="T3741" s="1" t="s">
        <v>21</v>
      </c>
      <c r="U3741" s="1" t="s">
        <v>22</v>
      </c>
      <c r="V3741" s="1" t="s">
        <v>24</v>
      </c>
      <c r="W3741" s="1" t="s">
        <v>24</v>
      </c>
      <c r="X3741" s="1">
        <v>3003</v>
      </c>
      <c r="Y3741" s="1" t="s">
        <v>24</v>
      </c>
      <c r="Z3741" s="1" t="s">
        <v>24</v>
      </c>
      <c r="AA3741" s="1" t="s">
        <v>24</v>
      </c>
      <c r="AB3741" s="1" t="s">
        <v>24</v>
      </c>
      <c r="AC3741" s="1" t="s">
        <v>24</v>
      </c>
      <c r="AD3741" s="1" t="s">
        <v>24</v>
      </c>
      <c r="AE3741" s="1" t="s">
        <v>24</v>
      </c>
      <c r="AF3741" s="22"/>
    </row>
    <row r="3742" spans="1:32" x14ac:dyDescent="0.2">
      <c r="A3742" s="1">
        <v>30769</v>
      </c>
      <c r="B3742" s="1" t="s">
        <v>11545</v>
      </c>
      <c r="C3742" s="5" t="s">
        <v>0</v>
      </c>
      <c r="D3742" s="1" t="s">
        <v>11546</v>
      </c>
      <c r="E3742" s="1" t="s">
        <v>11547</v>
      </c>
      <c r="F3742" s="1" t="s">
        <v>4337</v>
      </c>
      <c r="G3742" s="1" t="s">
        <v>4338</v>
      </c>
      <c r="H3742" s="1" t="s">
        <v>30</v>
      </c>
      <c r="I3742" s="1" t="s">
        <v>16</v>
      </c>
      <c r="J3742" s="1">
        <v>1</v>
      </c>
      <c r="K3742" s="1">
        <v>10</v>
      </c>
      <c r="L3742" s="1" t="s">
        <v>31</v>
      </c>
      <c r="M3742" s="1" t="s">
        <v>18</v>
      </c>
      <c r="N3742" s="1" t="s">
        <v>18</v>
      </c>
      <c r="O3742" s="1">
        <v>3</v>
      </c>
      <c r="P3742" s="1">
        <v>7</v>
      </c>
      <c r="Q3742" s="7" t="s">
        <v>17633</v>
      </c>
      <c r="R3742" s="1" t="s">
        <v>19</v>
      </c>
      <c r="S3742" s="1" t="s">
        <v>20</v>
      </c>
      <c r="T3742" s="1" t="s">
        <v>21</v>
      </c>
      <c r="U3742" s="1" t="s">
        <v>22</v>
      </c>
      <c r="V3742" s="1" t="s">
        <v>23</v>
      </c>
      <c r="W3742" s="1" t="s">
        <v>24</v>
      </c>
      <c r="X3742" s="1">
        <v>2746</v>
      </c>
      <c r="Y3742" s="1" t="s">
        <v>24</v>
      </c>
      <c r="Z3742" s="1" t="s">
        <v>24</v>
      </c>
      <c r="AA3742" s="1" t="s">
        <v>24</v>
      </c>
      <c r="AB3742" s="1" t="s">
        <v>24</v>
      </c>
      <c r="AC3742" s="1" t="s">
        <v>24</v>
      </c>
      <c r="AD3742" s="1" t="s">
        <v>24</v>
      </c>
      <c r="AE3742" s="1" t="s">
        <v>24</v>
      </c>
      <c r="AF3742" s="22"/>
    </row>
    <row r="3743" spans="1:32" x14ac:dyDescent="0.2">
      <c r="A3743" s="1">
        <v>30773</v>
      </c>
      <c r="B3743" s="1" t="s">
        <v>11548</v>
      </c>
      <c r="C3743" s="5" t="s">
        <v>0</v>
      </c>
      <c r="D3743" s="1" t="s">
        <v>11549</v>
      </c>
      <c r="E3743" s="1" t="s">
        <v>11550</v>
      </c>
      <c r="F3743" s="1" t="s">
        <v>1897</v>
      </c>
      <c r="G3743" s="1" t="s">
        <v>1898</v>
      </c>
      <c r="H3743" s="1" t="s">
        <v>899</v>
      </c>
      <c r="I3743" s="1" t="s">
        <v>16</v>
      </c>
      <c r="J3743" s="1">
        <v>1</v>
      </c>
      <c r="K3743" s="1">
        <v>4</v>
      </c>
      <c r="L3743" s="1" t="s">
        <v>31</v>
      </c>
      <c r="M3743" s="1" t="s">
        <v>18</v>
      </c>
      <c r="N3743" s="1" t="s">
        <v>18</v>
      </c>
      <c r="O3743" s="1">
        <v>2</v>
      </c>
      <c r="P3743" s="1">
        <v>6</v>
      </c>
      <c r="R3743" s="1" t="s">
        <v>19</v>
      </c>
      <c r="S3743" s="1" t="s">
        <v>20</v>
      </c>
      <c r="T3743" s="1" t="s">
        <v>21</v>
      </c>
      <c r="U3743" s="1" t="s">
        <v>22</v>
      </c>
      <c r="V3743" s="1" t="s">
        <v>24</v>
      </c>
      <c r="W3743" s="1" t="s">
        <v>24</v>
      </c>
      <c r="X3743" s="1">
        <v>2728</v>
      </c>
      <c r="Y3743" s="1" t="s">
        <v>24</v>
      </c>
      <c r="Z3743" s="1" t="s">
        <v>24</v>
      </c>
      <c r="AA3743" s="1" t="s">
        <v>24</v>
      </c>
      <c r="AB3743" s="1" t="s">
        <v>24</v>
      </c>
      <c r="AC3743" s="1" t="s">
        <v>24</v>
      </c>
      <c r="AD3743" s="1" t="s">
        <v>24</v>
      </c>
      <c r="AE3743" s="1" t="s">
        <v>24</v>
      </c>
      <c r="AF3743" s="22"/>
    </row>
    <row r="3744" spans="1:32" x14ac:dyDescent="0.2">
      <c r="A3744" s="1">
        <v>30774</v>
      </c>
      <c r="B3744" s="1" t="s">
        <v>11551</v>
      </c>
      <c r="C3744" s="5" t="s">
        <v>0</v>
      </c>
      <c r="D3744" s="1" t="s">
        <v>11552</v>
      </c>
      <c r="E3744" s="1" t="s">
        <v>11553</v>
      </c>
      <c r="F3744" s="1" t="s">
        <v>1897</v>
      </c>
      <c r="G3744" s="1" t="s">
        <v>1898</v>
      </c>
      <c r="H3744" s="1" t="s">
        <v>899</v>
      </c>
      <c r="I3744" s="1" t="s">
        <v>16</v>
      </c>
      <c r="J3744" s="1">
        <v>1</v>
      </c>
      <c r="K3744" s="1">
        <v>4</v>
      </c>
      <c r="L3744" s="1" t="s">
        <v>31</v>
      </c>
      <c r="M3744" s="1" t="s">
        <v>18</v>
      </c>
      <c r="N3744" s="1" t="s">
        <v>18</v>
      </c>
      <c r="O3744" s="1">
        <v>2</v>
      </c>
      <c r="P3744" s="1">
        <v>6</v>
      </c>
      <c r="R3744" s="1" t="s">
        <v>19</v>
      </c>
      <c r="S3744" s="1" t="s">
        <v>20</v>
      </c>
      <c r="T3744" s="1" t="s">
        <v>21</v>
      </c>
      <c r="U3744" s="1" t="s">
        <v>22</v>
      </c>
      <c r="V3744" s="1" t="s">
        <v>24</v>
      </c>
      <c r="W3744" s="1" t="s">
        <v>24</v>
      </c>
      <c r="X3744" s="1">
        <v>2740</v>
      </c>
      <c r="Y3744" s="1">
        <v>2705</v>
      </c>
      <c r="Z3744" s="1">
        <v>2746</v>
      </c>
      <c r="AA3744" s="1" t="s">
        <v>24</v>
      </c>
      <c r="AB3744" s="1" t="s">
        <v>24</v>
      </c>
      <c r="AC3744" s="1" t="s">
        <v>24</v>
      </c>
      <c r="AD3744" s="1" t="s">
        <v>24</v>
      </c>
      <c r="AE3744" s="1" t="s">
        <v>24</v>
      </c>
      <c r="AF3744" s="22"/>
    </row>
    <row r="3745" spans="1:32" x14ac:dyDescent="0.2">
      <c r="A3745" s="1">
        <v>30775</v>
      </c>
      <c r="B3745" s="1" t="s">
        <v>11554</v>
      </c>
      <c r="C3745" s="5" t="s">
        <v>0</v>
      </c>
      <c r="D3745" s="1" t="s">
        <v>11555</v>
      </c>
      <c r="E3745" s="1" t="s">
        <v>11556</v>
      </c>
      <c r="F3745" s="1" t="s">
        <v>1897</v>
      </c>
      <c r="G3745" s="1" t="s">
        <v>1898</v>
      </c>
      <c r="H3745" s="1" t="s">
        <v>899</v>
      </c>
      <c r="I3745" s="1" t="s">
        <v>16</v>
      </c>
      <c r="J3745" s="1">
        <v>1</v>
      </c>
      <c r="K3745" s="1">
        <v>4</v>
      </c>
      <c r="L3745" s="1" t="s">
        <v>31</v>
      </c>
      <c r="M3745" s="1" t="s">
        <v>18</v>
      </c>
      <c r="N3745" s="1" t="s">
        <v>18</v>
      </c>
      <c r="O3745" s="1">
        <v>2</v>
      </c>
      <c r="P3745" s="1">
        <v>6</v>
      </c>
      <c r="R3745" s="1" t="s">
        <v>19</v>
      </c>
      <c r="S3745" s="1" t="s">
        <v>20</v>
      </c>
      <c r="T3745" s="1" t="s">
        <v>21</v>
      </c>
      <c r="U3745" s="1" t="s">
        <v>22</v>
      </c>
      <c r="V3745" s="1" t="s">
        <v>24</v>
      </c>
      <c r="W3745" s="1" t="s">
        <v>24</v>
      </c>
      <c r="X3745" s="1">
        <v>2708</v>
      </c>
      <c r="Y3745" s="1" t="s">
        <v>24</v>
      </c>
      <c r="Z3745" s="1" t="s">
        <v>24</v>
      </c>
      <c r="AA3745" s="1" t="s">
        <v>24</v>
      </c>
      <c r="AB3745" s="1" t="s">
        <v>24</v>
      </c>
      <c r="AC3745" s="1" t="s">
        <v>24</v>
      </c>
      <c r="AD3745" s="1" t="s">
        <v>24</v>
      </c>
      <c r="AE3745" s="1" t="s">
        <v>24</v>
      </c>
      <c r="AF3745" s="22"/>
    </row>
    <row r="3746" spans="1:32" x14ac:dyDescent="0.2">
      <c r="A3746" s="1">
        <v>30776</v>
      </c>
      <c r="B3746" s="1" t="s">
        <v>11557</v>
      </c>
      <c r="C3746" s="5" t="s">
        <v>0</v>
      </c>
      <c r="D3746" s="1" t="s">
        <v>11558</v>
      </c>
      <c r="E3746" s="1" t="s">
        <v>11559</v>
      </c>
      <c r="F3746" s="1" t="s">
        <v>1897</v>
      </c>
      <c r="G3746" s="1" t="s">
        <v>1898</v>
      </c>
      <c r="H3746" s="1" t="s">
        <v>899</v>
      </c>
      <c r="I3746" s="1" t="s">
        <v>16</v>
      </c>
      <c r="J3746" s="1">
        <v>1</v>
      </c>
      <c r="K3746" s="1">
        <v>4</v>
      </c>
      <c r="L3746" s="1" t="s">
        <v>31</v>
      </c>
      <c r="M3746" s="1" t="s">
        <v>18</v>
      </c>
      <c r="N3746" s="1" t="s">
        <v>18</v>
      </c>
      <c r="O3746" s="1">
        <v>3</v>
      </c>
      <c r="P3746" s="1">
        <v>6</v>
      </c>
      <c r="R3746" s="1" t="s">
        <v>19</v>
      </c>
      <c r="S3746" s="1" t="s">
        <v>20</v>
      </c>
      <c r="T3746" s="1" t="s">
        <v>21</v>
      </c>
      <c r="U3746" s="1" t="s">
        <v>22</v>
      </c>
      <c r="V3746" s="1" t="s">
        <v>24</v>
      </c>
      <c r="W3746" s="1" t="s">
        <v>24</v>
      </c>
      <c r="X3746" s="1">
        <v>2748</v>
      </c>
      <c r="Y3746" s="1" t="s">
        <v>24</v>
      </c>
      <c r="Z3746" s="1" t="s">
        <v>24</v>
      </c>
      <c r="AA3746" s="1" t="s">
        <v>24</v>
      </c>
      <c r="AB3746" s="1" t="s">
        <v>24</v>
      </c>
      <c r="AC3746" s="1" t="s">
        <v>24</v>
      </c>
      <c r="AD3746" s="1" t="s">
        <v>24</v>
      </c>
      <c r="AE3746" s="1" t="s">
        <v>24</v>
      </c>
      <c r="AF3746" s="22"/>
    </row>
    <row r="3747" spans="1:32" x14ac:dyDescent="0.2">
      <c r="A3747" s="1">
        <v>30791</v>
      </c>
      <c r="B3747" s="1" t="s">
        <v>11560</v>
      </c>
      <c r="C3747" s="5" t="s">
        <v>0</v>
      </c>
      <c r="D3747" s="1" t="s">
        <v>11561</v>
      </c>
      <c r="E3747" s="1" t="s">
        <v>11562</v>
      </c>
      <c r="F3747" s="1" t="s">
        <v>1897</v>
      </c>
      <c r="G3747" s="1" t="s">
        <v>1898</v>
      </c>
      <c r="H3747" s="1" t="s">
        <v>899</v>
      </c>
      <c r="I3747" s="1" t="s">
        <v>16</v>
      </c>
      <c r="J3747" s="1">
        <v>1</v>
      </c>
      <c r="K3747" s="1">
        <v>4</v>
      </c>
      <c r="L3747" s="1" t="s">
        <v>31</v>
      </c>
      <c r="M3747" s="1" t="s">
        <v>18</v>
      </c>
      <c r="N3747" s="1" t="s">
        <v>18</v>
      </c>
      <c r="O3747" s="1">
        <v>2</v>
      </c>
      <c r="P3747" s="1">
        <v>6</v>
      </c>
      <c r="R3747" s="1" t="s">
        <v>19</v>
      </c>
      <c r="S3747" s="1" t="s">
        <v>20</v>
      </c>
      <c r="T3747" s="1" t="s">
        <v>21</v>
      </c>
      <c r="U3747" s="1" t="s">
        <v>22</v>
      </c>
      <c r="V3747" s="1" t="s">
        <v>24</v>
      </c>
      <c r="W3747" s="1" t="s">
        <v>24</v>
      </c>
      <c r="X3747" s="1">
        <v>1304</v>
      </c>
      <c r="Y3747" s="1">
        <v>2741</v>
      </c>
      <c r="Z3747" s="1" t="s">
        <v>24</v>
      </c>
      <c r="AA3747" s="1" t="s">
        <v>24</v>
      </c>
      <c r="AB3747" s="1" t="s">
        <v>24</v>
      </c>
      <c r="AC3747" s="1" t="s">
        <v>24</v>
      </c>
      <c r="AD3747" s="1" t="s">
        <v>24</v>
      </c>
      <c r="AE3747" s="1" t="s">
        <v>24</v>
      </c>
      <c r="AF3747" s="22"/>
    </row>
    <row r="3748" spans="1:32" x14ac:dyDescent="0.2">
      <c r="A3748" s="1">
        <v>30794</v>
      </c>
      <c r="B3748" s="1" t="s">
        <v>11563</v>
      </c>
      <c r="C3748" s="5" t="s">
        <v>0</v>
      </c>
      <c r="D3748" s="1" t="s">
        <v>11564</v>
      </c>
      <c r="F3748" s="1" t="s">
        <v>11565</v>
      </c>
      <c r="G3748" s="1" t="s">
        <v>11565</v>
      </c>
      <c r="H3748" s="1" t="s">
        <v>899</v>
      </c>
      <c r="I3748" s="1" t="s">
        <v>16</v>
      </c>
      <c r="J3748" s="1">
        <v>1</v>
      </c>
      <c r="K3748" s="1">
        <v>12</v>
      </c>
      <c r="L3748" s="1" t="s">
        <v>42</v>
      </c>
      <c r="M3748" s="1" t="s">
        <v>18</v>
      </c>
      <c r="N3748" s="1" t="s">
        <v>18</v>
      </c>
      <c r="O3748" s="1">
        <v>0</v>
      </c>
      <c r="P3748" s="1">
        <v>4</v>
      </c>
      <c r="R3748" s="1" t="s">
        <v>19</v>
      </c>
      <c r="S3748" s="1" t="s">
        <v>20</v>
      </c>
      <c r="T3748" s="1" t="s">
        <v>21</v>
      </c>
      <c r="U3748" s="1" t="s">
        <v>22</v>
      </c>
      <c r="V3748" s="1" t="s">
        <v>24</v>
      </c>
      <c r="W3748" s="1" t="s">
        <v>24</v>
      </c>
      <c r="X3748" s="1">
        <v>3000</v>
      </c>
      <c r="Y3748" s="1" t="s">
        <v>24</v>
      </c>
      <c r="Z3748" s="1" t="s">
        <v>24</v>
      </c>
      <c r="AA3748" s="1" t="s">
        <v>24</v>
      </c>
      <c r="AB3748" s="1" t="s">
        <v>24</v>
      </c>
      <c r="AC3748" s="1" t="s">
        <v>24</v>
      </c>
      <c r="AD3748" s="1" t="s">
        <v>24</v>
      </c>
      <c r="AE3748" s="1" t="s">
        <v>24</v>
      </c>
      <c r="AF3748" s="22"/>
    </row>
    <row r="3749" spans="1:32" x14ac:dyDescent="0.2">
      <c r="A3749" s="1">
        <v>30832</v>
      </c>
      <c r="B3749" s="1" t="s">
        <v>11566</v>
      </c>
      <c r="C3749" s="5" t="s">
        <v>0</v>
      </c>
      <c r="D3749" s="1" t="s">
        <v>11567</v>
      </c>
      <c r="E3749" s="1" t="s">
        <v>11568</v>
      </c>
      <c r="F3749" s="1" t="s">
        <v>85</v>
      </c>
      <c r="G3749" s="1" t="s">
        <v>61</v>
      </c>
      <c r="H3749" s="1" t="s">
        <v>86</v>
      </c>
      <c r="I3749" s="1" t="s">
        <v>16</v>
      </c>
      <c r="J3749" s="1">
        <v>1</v>
      </c>
      <c r="K3749" s="1">
        <v>4</v>
      </c>
      <c r="L3749" s="1" t="s">
        <v>31</v>
      </c>
      <c r="M3749" s="1" t="s">
        <v>18</v>
      </c>
      <c r="N3749" s="1" t="s">
        <v>18</v>
      </c>
      <c r="O3749" s="1">
        <v>3</v>
      </c>
      <c r="P3749" s="1">
        <v>5</v>
      </c>
      <c r="R3749" s="1" t="s">
        <v>19</v>
      </c>
      <c r="S3749" s="1" t="s">
        <v>20</v>
      </c>
      <c r="T3749" s="1" t="s">
        <v>21</v>
      </c>
      <c r="U3749" s="1" t="s">
        <v>22</v>
      </c>
      <c r="V3749" s="1" t="s">
        <v>24</v>
      </c>
      <c r="W3749" s="1" t="s">
        <v>24</v>
      </c>
      <c r="X3749" s="1">
        <v>3201</v>
      </c>
      <c r="Y3749" s="1">
        <v>2729</v>
      </c>
      <c r="Z3749" s="1" t="s">
        <v>24</v>
      </c>
      <c r="AA3749" s="1" t="s">
        <v>24</v>
      </c>
      <c r="AB3749" s="1" t="s">
        <v>24</v>
      </c>
      <c r="AC3749" s="1" t="s">
        <v>24</v>
      </c>
      <c r="AD3749" s="1" t="s">
        <v>24</v>
      </c>
      <c r="AE3749" s="1" t="s">
        <v>24</v>
      </c>
      <c r="AF3749" s="22"/>
    </row>
    <row r="3750" spans="1:32" x14ac:dyDescent="0.2">
      <c r="A3750" s="1">
        <v>30833</v>
      </c>
      <c r="B3750" s="1" t="s">
        <v>11569</v>
      </c>
      <c r="C3750" s="5" t="s">
        <v>0</v>
      </c>
      <c r="D3750" s="1" t="s">
        <v>11570</v>
      </c>
      <c r="E3750" s="1" t="s">
        <v>11571</v>
      </c>
      <c r="F3750" s="1" t="s">
        <v>91</v>
      </c>
      <c r="G3750" s="1" t="s">
        <v>61</v>
      </c>
      <c r="H3750" s="1" t="s">
        <v>92</v>
      </c>
      <c r="I3750" s="1" t="s">
        <v>16</v>
      </c>
      <c r="J3750" s="1">
        <v>1</v>
      </c>
      <c r="K3750" s="1">
        <v>4</v>
      </c>
      <c r="L3750" s="1" t="s">
        <v>31</v>
      </c>
      <c r="M3750" s="1" t="s">
        <v>18</v>
      </c>
      <c r="N3750" s="1" t="s">
        <v>18</v>
      </c>
      <c r="O3750" s="1">
        <v>3</v>
      </c>
      <c r="P3750" s="1">
        <v>7</v>
      </c>
      <c r="Q3750" s="7" t="s">
        <v>17633</v>
      </c>
      <c r="R3750" s="1" t="s">
        <v>19</v>
      </c>
      <c r="S3750" s="1" t="s">
        <v>20</v>
      </c>
      <c r="T3750" s="1" t="s">
        <v>21</v>
      </c>
      <c r="U3750" s="1" t="s">
        <v>22</v>
      </c>
      <c r="V3750" s="1" t="s">
        <v>23</v>
      </c>
      <c r="W3750" s="1" t="s">
        <v>24</v>
      </c>
      <c r="X3750" s="1">
        <v>2729</v>
      </c>
      <c r="Y3750" s="1">
        <v>2913</v>
      </c>
      <c r="Z3750" s="1" t="s">
        <v>24</v>
      </c>
      <c r="AA3750" s="1" t="s">
        <v>24</v>
      </c>
      <c r="AB3750" s="1" t="s">
        <v>24</v>
      </c>
      <c r="AC3750" s="1" t="s">
        <v>24</v>
      </c>
      <c r="AD3750" s="1" t="s">
        <v>24</v>
      </c>
      <c r="AE3750" s="1" t="s">
        <v>24</v>
      </c>
      <c r="AF3750" s="22"/>
    </row>
    <row r="3751" spans="1:32" x14ac:dyDescent="0.2">
      <c r="A3751" s="1">
        <v>30839</v>
      </c>
      <c r="B3751" s="1" t="s">
        <v>11572</v>
      </c>
      <c r="C3751" s="5" t="s">
        <v>0</v>
      </c>
      <c r="D3751" s="1" t="s">
        <v>11573</v>
      </c>
      <c r="E3751" s="1" t="s">
        <v>11574</v>
      </c>
      <c r="F3751" s="1" t="s">
        <v>194</v>
      </c>
      <c r="G3751" s="1" t="s">
        <v>61</v>
      </c>
      <c r="H3751" s="1" t="s">
        <v>30</v>
      </c>
      <c r="I3751" s="1" t="s">
        <v>16</v>
      </c>
      <c r="J3751" s="1">
        <v>2</v>
      </c>
      <c r="K3751" s="1">
        <v>6</v>
      </c>
      <c r="L3751" s="1" t="s">
        <v>31</v>
      </c>
      <c r="M3751" s="1" t="s">
        <v>18</v>
      </c>
      <c r="N3751" s="1" t="s">
        <v>18</v>
      </c>
      <c r="O3751" s="1">
        <v>3</v>
      </c>
      <c r="P3751" s="1">
        <v>7</v>
      </c>
      <c r="Q3751" s="7" t="s">
        <v>17633</v>
      </c>
      <c r="R3751" s="1" t="s">
        <v>19</v>
      </c>
      <c r="S3751" s="1" t="s">
        <v>20</v>
      </c>
      <c r="T3751" s="1" t="s">
        <v>21</v>
      </c>
      <c r="U3751" s="1" t="s">
        <v>22</v>
      </c>
      <c r="V3751" s="1" t="s">
        <v>23</v>
      </c>
      <c r="W3751" s="1" t="s">
        <v>24</v>
      </c>
      <c r="X3751" s="1">
        <v>2700</v>
      </c>
      <c r="Y3751" s="1">
        <v>2704</v>
      </c>
      <c r="Z3751" s="1">
        <v>2739</v>
      </c>
      <c r="AA3751" s="1" t="s">
        <v>24</v>
      </c>
      <c r="AB3751" s="1" t="s">
        <v>24</v>
      </c>
      <c r="AC3751" s="1" t="s">
        <v>24</v>
      </c>
      <c r="AD3751" s="1" t="s">
        <v>24</v>
      </c>
      <c r="AE3751" s="1" t="s">
        <v>24</v>
      </c>
      <c r="AF3751" s="22"/>
    </row>
    <row r="3752" spans="1:32" x14ac:dyDescent="0.2">
      <c r="A3752" s="1">
        <v>30910</v>
      </c>
      <c r="B3752" s="1" t="s">
        <v>11575</v>
      </c>
      <c r="C3752" s="5" t="s">
        <v>0</v>
      </c>
      <c r="D3752" s="1" t="s">
        <v>11576</v>
      </c>
      <c r="E3752" s="1" t="s">
        <v>11577</v>
      </c>
      <c r="F3752" s="1" t="s">
        <v>35</v>
      </c>
      <c r="G3752" s="1" t="s">
        <v>36</v>
      </c>
      <c r="H3752" s="1" t="s">
        <v>37</v>
      </c>
      <c r="I3752" s="1" t="s">
        <v>16</v>
      </c>
      <c r="J3752" s="1">
        <v>1</v>
      </c>
      <c r="K3752" s="1">
        <v>12</v>
      </c>
      <c r="L3752" s="1" t="s">
        <v>31</v>
      </c>
      <c r="M3752" s="1" t="s">
        <v>18</v>
      </c>
      <c r="N3752" s="1" t="s">
        <v>18</v>
      </c>
      <c r="O3752" s="1">
        <v>1</v>
      </c>
      <c r="P3752" s="1">
        <v>1</v>
      </c>
      <c r="R3752" s="1" t="s">
        <v>62</v>
      </c>
      <c r="S3752" s="1" t="s">
        <v>20</v>
      </c>
      <c r="T3752" s="1" t="s">
        <v>21</v>
      </c>
      <c r="U3752" s="1" t="s">
        <v>22</v>
      </c>
      <c r="V3752" s="1" t="s">
        <v>23</v>
      </c>
      <c r="W3752" s="1" t="s">
        <v>24</v>
      </c>
      <c r="X3752" s="1">
        <v>1310</v>
      </c>
      <c r="Y3752" s="1">
        <v>2701</v>
      </c>
      <c r="Z3752" s="1">
        <v>2712</v>
      </c>
      <c r="AA3752" s="1">
        <v>2916</v>
      </c>
      <c r="AB3752" s="1" t="s">
        <v>24</v>
      </c>
      <c r="AC3752" s="1" t="s">
        <v>24</v>
      </c>
      <c r="AD3752" s="1" t="s">
        <v>24</v>
      </c>
      <c r="AE3752" s="1" t="s">
        <v>24</v>
      </c>
      <c r="AF3752" s="22"/>
    </row>
    <row r="3753" spans="1:32" x14ac:dyDescent="0.2">
      <c r="A3753" s="1">
        <v>30923</v>
      </c>
      <c r="B3753" s="1" t="s">
        <v>11578</v>
      </c>
      <c r="C3753" s="5" t="s">
        <v>0</v>
      </c>
      <c r="D3753" s="1" t="s">
        <v>11579</v>
      </c>
      <c r="E3753" s="1" t="s">
        <v>11580</v>
      </c>
      <c r="F3753" s="1" t="s">
        <v>9967</v>
      </c>
      <c r="G3753" s="1" t="s">
        <v>130</v>
      </c>
      <c r="H3753" s="1" t="s">
        <v>30</v>
      </c>
      <c r="I3753" s="1" t="s">
        <v>16</v>
      </c>
      <c r="J3753" s="1">
        <v>1</v>
      </c>
      <c r="K3753" s="1">
        <v>4</v>
      </c>
      <c r="L3753" s="1" t="s">
        <v>31</v>
      </c>
      <c r="M3753" s="1" t="s">
        <v>18</v>
      </c>
      <c r="N3753" s="1" t="s">
        <v>18</v>
      </c>
      <c r="O3753" s="1">
        <v>3</v>
      </c>
      <c r="P3753" s="1">
        <v>6</v>
      </c>
      <c r="R3753" s="1" t="s">
        <v>19</v>
      </c>
      <c r="S3753" s="1" t="s">
        <v>20</v>
      </c>
      <c r="T3753" s="1" t="s">
        <v>21</v>
      </c>
      <c r="U3753" s="1" t="s">
        <v>22</v>
      </c>
      <c r="V3753" s="1" t="s">
        <v>24</v>
      </c>
      <c r="W3753" s="1" t="s">
        <v>24</v>
      </c>
      <c r="X3753" s="1">
        <v>2720</v>
      </c>
      <c r="Y3753" s="1">
        <v>2730</v>
      </c>
      <c r="Z3753" s="1">
        <v>1306</v>
      </c>
      <c r="AA3753" s="1" t="s">
        <v>24</v>
      </c>
      <c r="AB3753" s="1" t="s">
        <v>24</v>
      </c>
      <c r="AC3753" s="1" t="s">
        <v>24</v>
      </c>
      <c r="AD3753" s="1" t="s">
        <v>24</v>
      </c>
      <c r="AE3753" s="1" t="s">
        <v>24</v>
      </c>
      <c r="AF3753" s="22"/>
    </row>
    <row r="3754" spans="1:32" x14ac:dyDescent="0.2">
      <c r="A3754" s="1">
        <v>30932</v>
      </c>
      <c r="B3754" s="1" t="s">
        <v>11581</v>
      </c>
      <c r="C3754" s="5" t="s">
        <v>0</v>
      </c>
      <c r="D3754" s="1" t="s">
        <v>11582</v>
      </c>
      <c r="E3754" s="1" t="s">
        <v>11583</v>
      </c>
      <c r="F3754" s="1" t="s">
        <v>35</v>
      </c>
      <c r="G3754" s="1" t="s">
        <v>36</v>
      </c>
      <c r="H3754" s="1" t="s">
        <v>37</v>
      </c>
      <c r="I3754" s="1" t="s">
        <v>16</v>
      </c>
      <c r="J3754" s="1">
        <v>1</v>
      </c>
      <c r="K3754" s="1">
        <v>4</v>
      </c>
      <c r="L3754" s="1" t="s">
        <v>31</v>
      </c>
      <c r="M3754" s="1" t="s">
        <v>18</v>
      </c>
      <c r="N3754" s="1" t="s">
        <v>18</v>
      </c>
      <c r="O3754" s="1">
        <v>3</v>
      </c>
      <c r="P3754" s="1">
        <v>7</v>
      </c>
      <c r="Q3754" s="7" t="s">
        <v>17633</v>
      </c>
      <c r="R3754" s="1" t="s">
        <v>19</v>
      </c>
      <c r="S3754" s="1" t="s">
        <v>20</v>
      </c>
      <c r="T3754" s="1" t="s">
        <v>21</v>
      </c>
      <c r="U3754" s="1" t="s">
        <v>22</v>
      </c>
      <c r="V3754" s="1" t="s">
        <v>24</v>
      </c>
      <c r="W3754" s="1" t="s">
        <v>24</v>
      </c>
      <c r="X3754" s="1">
        <v>2312</v>
      </c>
      <c r="Y3754" s="1">
        <v>2310</v>
      </c>
      <c r="Z3754" s="1">
        <v>2308</v>
      </c>
      <c r="AA3754" s="1">
        <v>2305</v>
      </c>
      <c r="AB3754" s="1" t="s">
        <v>24</v>
      </c>
      <c r="AC3754" s="1" t="s">
        <v>24</v>
      </c>
      <c r="AD3754" s="1" t="s">
        <v>24</v>
      </c>
      <c r="AE3754" s="1" t="s">
        <v>24</v>
      </c>
      <c r="AF3754" s="22"/>
    </row>
    <row r="3755" spans="1:32" x14ac:dyDescent="0.2">
      <c r="A3755" s="1">
        <v>30934</v>
      </c>
      <c r="B3755" s="1" t="s">
        <v>11584</v>
      </c>
      <c r="C3755" s="5" t="s">
        <v>0</v>
      </c>
      <c r="D3755" s="1" t="s">
        <v>11585</v>
      </c>
      <c r="F3755" s="1" t="s">
        <v>7346</v>
      </c>
      <c r="G3755" s="1" t="s">
        <v>7346</v>
      </c>
      <c r="H3755" s="1" t="s">
        <v>731</v>
      </c>
      <c r="I3755" s="1" t="s">
        <v>16</v>
      </c>
      <c r="J3755" s="1">
        <v>1</v>
      </c>
      <c r="K3755" s="1">
        <v>4</v>
      </c>
      <c r="L3755" s="1" t="s">
        <v>42</v>
      </c>
      <c r="M3755" s="1" t="s">
        <v>18</v>
      </c>
      <c r="N3755" s="1" t="s">
        <v>18</v>
      </c>
      <c r="O3755" s="1">
        <v>3</v>
      </c>
      <c r="P3755" s="1">
        <v>6</v>
      </c>
      <c r="R3755" s="1" t="s">
        <v>19</v>
      </c>
      <c r="S3755" s="1" t="s">
        <v>20</v>
      </c>
      <c r="T3755" s="1" t="s">
        <v>21</v>
      </c>
      <c r="U3755" s="1" t="s">
        <v>22</v>
      </c>
      <c r="V3755" s="1" t="s">
        <v>23</v>
      </c>
      <c r="W3755" s="1" t="s">
        <v>24</v>
      </c>
      <c r="X3755" s="1">
        <v>2707</v>
      </c>
      <c r="Y3755" s="1">
        <v>2730</v>
      </c>
      <c r="Z3755" s="1" t="s">
        <v>24</v>
      </c>
      <c r="AA3755" s="1" t="s">
        <v>24</v>
      </c>
      <c r="AB3755" s="1" t="s">
        <v>24</v>
      </c>
      <c r="AC3755" s="1" t="s">
        <v>24</v>
      </c>
      <c r="AD3755" s="1" t="s">
        <v>24</v>
      </c>
      <c r="AE3755" s="1" t="s">
        <v>24</v>
      </c>
      <c r="AF3755" s="22"/>
    </row>
    <row r="3756" spans="1:32" x14ac:dyDescent="0.2">
      <c r="A3756" s="1">
        <v>30943</v>
      </c>
      <c r="B3756" s="1" t="s">
        <v>11586</v>
      </c>
      <c r="C3756" s="5" t="s">
        <v>0</v>
      </c>
      <c r="D3756" s="1" t="s">
        <v>11587</v>
      </c>
      <c r="E3756" s="1" t="s">
        <v>11588</v>
      </c>
      <c r="F3756" s="1" t="s">
        <v>2299</v>
      </c>
      <c r="G3756" s="1" t="s">
        <v>2300</v>
      </c>
      <c r="H3756" s="1" t="s">
        <v>37</v>
      </c>
      <c r="I3756" s="1" t="s">
        <v>16</v>
      </c>
      <c r="J3756" s="1">
        <v>1</v>
      </c>
      <c r="K3756" s="1">
        <v>1</v>
      </c>
      <c r="L3756" s="1" t="s">
        <v>31</v>
      </c>
      <c r="M3756" s="1" t="s">
        <v>18</v>
      </c>
      <c r="N3756" s="1" t="s">
        <v>18</v>
      </c>
      <c r="O3756" s="1">
        <v>3</v>
      </c>
      <c r="P3756" s="1">
        <v>6</v>
      </c>
      <c r="R3756" s="1" t="s">
        <v>19</v>
      </c>
      <c r="S3756" s="1" t="s">
        <v>63</v>
      </c>
      <c r="T3756" s="1" t="s">
        <v>21</v>
      </c>
      <c r="U3756" s="1" t="s">
        <v>22</v>
      </c>
      <c r="V3756" s="1" t="s">
        <v>24</v>
      </c>
      <c r="W3756" s="1" t="s">
        <v>24</v>
      </c>
      <c r="X3756" s="1">
        <v>2723</v>
      </c>
      <c r="Y3756" s="1">
        <v>2740</v>
      </c>
      <c r="Z3756" s="1">
        <v>2403</v>
      </c>
      <c r="AA3756" s="1" t="s">
        <v>24</v>
      </c>
      <c r="AB3756" s="1" t="s">
        <v>24</v>
      </c>
      <c r="AC3756" s="1" t="s">
        <v>24</v>
      </c>
      <c r="AD3756" s="1" t="s">
        <v>24</v>
      </c>
      <c r="AE3756" s="1" t="s">
        <v>24</v>
      </c>
      <c r="AF3756" s="22"/>
    </row>
    <row r="3757" spans="1:32" x14ac:dyDescent="0.2">
      <c r="A3757" s="1">
        <v>30944</v>
      </c>
      <c r="B3757" s="1" t="s">
        <v>11589</v>
      </c>
      <c r="C3757" s="5" t="s">
        <v>0</v>
      </c>
      <c r="D3757" s="1" t="s">
        <v>11590</v>
      </c>
      <c r="E3757" s="1" t="s">
        <v>11591</v>
      </c>
      <c r="F3757" s="1" t="s">
        <v>540</v>
      </c>
      <c r="G3757" s="1" t="s">
        <v>130</v>
      </c>
      <c r="H3757" s="1" t="s">
        <v>684</v>
      </c>
      <c r="I3757" s="1" t="s">
        <v>16</v>
      </c>
      <c r="J3757" s="1">
        <v>1</v>
      </c>
      <c r="K3757" s="1">
        <v>4</v>
      </c>
      <c r="L3757" s="1" t="s">
        <v>31</v>
      </c>
      <c r="M3757" s="1" t="s">
        <v>852</v>
      </c>
      <c r="N3757" s="1" t="s">
        <v>685</v>
      </c>
      <c r="O3757" s="1">
        <v>3</v>
      </c>
      <c r="P3757" s="1">
        <v>6</v>
      </c>
      <c r="R3757" s="1" t="s">
        <v>19</v>
      </c>
      <c r="S3757" s="1" t="s">
        <v>20</v>
      </c>
      <c r="T3757" s="1" t="s">
        <v>21</v>
      </c>
      <c r="U3757" s="1" t="s">
        <v>22</v>
      </c>
      <c r="V3757" s="1" t="s">
        <v>23</v>
      </c>
      <c r="W3757" s="1" t="s">
        <v>24</v>
      </c>
      <c r="X3757" s="1">
        <v>2704</v>
      </c>
      <c r="Y3757" s="1">
        <v>3607</v>
      </c>
      <c r="Z3757" s="1" t="s">
        <v>24</v>
      </c>
      <c r="AA3757" s="1" t="s">
        <v>24</v>
      </c>
      <c r="AB3757" s="1" t="s">
        <v>24</v>
      </c>
      <c r="AC3757" s="1" t="s">
        <v>24</v>
      </c>
      <c r="AD3757" s="1" t="s">
        <v>24</v>
      </c>
      <c r="AE3757" s="1" t="s">
        <v>24</v>
      </c>
      <c r="AF3757" s="22"/>
    </row>
    <row r="3758" spans="1:32" x14ac:dyDescent="0.2">
      <c r="A3758" s="1">
        <v>30945</v>
      </c>
      <c r="B3758" s="1" t="s">
        <v>11592</v>
      </c>
      <c r="C3758" s="5" t="s">
        <v>0</v>
      </c>
      <c r="D3758" s="1" t="s">
        <v>11593</v>
      </c>
      <c r="E3758" s="1" t="s">
        <v>11594</v>
      </c>
      <c r="F3758" s="1" t="s">
        <v>1808</v>
      </c>
      <c r="G3758" s="1" t="s">
        <v>130</v>
      </c>
      <c r="H3758" s="1" t="s">
        <v>461</v>
      </c>
      <c r="I3758" s="1" t="s">
        <v>16</v>
      </c>
      <c r="J3758" s="1">
        <v>1</v>
      </c>
      <c r="K3758" s="1">
        <v>4</v>
      </c>
      <c r="L3758" s="1" t="s">
        <v>31</v>
      </c>
      <c r="M3758" s="1" t="s">
        <v>18</v>
      </c>
      <c r="N3758" s="1" t="s">
        <v>18</v>
      </c>
      <c r="O3758" s="1">
        <v>3</v>
      </c>
      <c r="P3758" s="1">
        <v>7</v>
      </c>
      <c r="Q3758" s="7" t="s">
        <v>17633</v>
      </c>
      <c r="R3758" s="1" t="s">
        <v>19</v>
      </c>
      <c r="S3758" s="1" t="s">
        <v>20</v>
      </c>
      <c r="T3758" s="1" t="s">
        <v>21</v>
      </c>
      <c r="U3758" s="1" t="s">
        <v>22</v>
      </c>
      <c r="V3758" s="1" t="s">
        <v>24</v>
      </c>
      <c r="W3758" s="1" t="s">
        <v>24</v>
      </c>
      <c r="X3758" s="1">
        <v>2734</v>
      </c>
      <c r="Y3758" s="1">
        <v>1312</v>
      </c>
      <c r="Z3758" s="1" t="s">
        <v>24</v>
      </c>
      <c r="AA3758" s="1" t="s">
        <v>24</v>
      </c>
      <c r="AB3758" s="1" t="s">
        <v>24</v>
      </c>
      <c r="AC3758" s="1" t="s">
        <v>24</v>
      </c>
      <c r="AD3758" s="1" t="s">
        <v>24</v>
      </c>
      <c r="AE3758" s="1" t="s">
        <v>24</v>
      </c>
      <c r="AF3758" s="22"/>
    </row>
    <row r="3759" spans="1:32" x14ac:dyDescent="0.2">
      <c r="A3759" s="1">
        <v>30958</v>
      </c>
      <c r="B3759" s="1" t="s">
        <v>11595</v>
      </c>
      <c r="C3759" s="5" t="s">
        <v>0</v>
      </c>
      <c r="D3759" s="1" t="s">
        <v>11596</v>
      </c>
      <c r="E3759" s="1" t="s">
        <v>11597</v>
      </c>
      <c r="F3759" s="1" t="s">
        <v>11598</v>
      </c>
      <c r="G3759" s="1" t="s">
        <v>11598</v>
      </c>
      <c r="H3759" s="1" t="s">
        <v>30</v>
      </c>
      <c r="I3759" s="1" t="s">
        <v>16</v>
      </c>
      <c r="J3759" s="1">
        <v>1</v>
      </c>
      <c r="K3759" s="1">
        <v>1</v>
      </c>
      <c r="L3759" s="1" t="s">
        <v>42</v>
      </c>
      <c r="M3759" s="1" t="s">
        <v>18</v>
      </c>
      <c r="N3759" s="1" t="s">
        <v>18</v>
      </c>
      <c r="O3759" s="1">
        <v>3</v>
      </c>
      <c r="P3759" s="1">
        <v>6</v>
      </c>
      <c r="R3759" s="1" t="s">
        <v>19</v>
      </c>
      <c r="S3759" s="1" t="s">
        <v>63</v>
      </c>
      <c r="T3759" s="1" t="s">
        <v>21</v>
      </c>
      <c r="U3759" s="1" t="s">
        <v>22</v>
      </c>
      <c r="V3759" s="1" t="s">
        <v>24</v>
      </c>
      <c r="W3759" s="1" t="s">
        <v>24</v>
      </c>
      <c r="X3759" s="1">
        <v>2728</v>
      </c>
      <c r="Y3759" s="1">
        <v>2808</v>
      </c>
      <c r="Z3759" s="1" t="s">
        <v>24</v>
      </c>
      <c r="AA3759" s="1" t="s">
        <v>24</v>
      </c>
      <c r="AB3759" s="1" t="s">
        <v>24</v>
      </c>
      <c r="AC3759" s="1" t="s">
        <v>24</v>
      </c>
      <c r="AD3759" s="1" t="s">
        <v>24</v>
      </c>
      <c r="AE3759" s="1" t="s">
        <v>24</v>
      </c>
      <c r="AF3759" s="22"/>
    </row>
    <row r="3760" spans="1:32" x14ac:dyDescent="0.2">
      <c r="A3760" s="1">
        <v>30960</v>
      </c>
      <c r="B3760" s="1" t="s">
        <v>11599</v>
      </c>
      <c r="C3760" s="5" t="s">
        <v>0</v>
      </c>
      <c r="D3760" s="1" t="s">
        <v>11600</v>
      </c>
      <c r="E3760" s="1" t="s">
        <v>11601</v>
      </c>
      <c r="F3760" s="1" t="s">
        <v>1808</v>
      </c>
      <c r="G3760" s="1" t="s">
        <v>130</v>
      </c>
      <c r="H3760" s="1" t="s">
        <v>461</v>
      </c>
      <c r="I3760" s="1" t="s">
        <v>16</v>
      </c>
      <c r="J3760" s="1">
        <v>1</v>
      </c>
      <c r="K3760" s="1">
        <v>2</v>
      </c>
      <c r="L3760" s="1" t="s">
        <v>31</v>
      </c>
      <c r="M3760" s="1" t="s">
        <v>635</v>
      </c>
      <c r="N3760" s="1" t="s">
        <v>635</v>
      </c>
      <c r="O3760" s="1">
        <v>3</v>
      </c>
      <c r="P3760" s="1">
        <v>7</v>
      </c>
      <c r="Q3760" s="7" t="s">
        <v>17633</v>
      </c>
      <c r="R3760" s="1" t="s">
        <v>19</v>
      </c>
      <c r="S3760" s="1" t="s">
        <v>20</v>
      </c>
      <c r="T3760" s="1" t="s">
        <v>21</v>
      </c>
      <c r="U3760" s="1" t="s">
        <v>22</v>
      </c>
      <c r="V3760" s="1" t="s">
        <v>24</v>
      </c>
      <c r="W3760" s="1" t="s">
        <v>24</v>
      </c>
      <c r="X3760" s="1">
        <v>2734</v>
      </c>
      <c r="Y3760" s="1">
        <v>3005</v>
      </c>
      <c r="Z3760" s="1">
        <v>2704</v>
      </c>
      <c r="AA3760" s="1" t="s">
        <v>24</v>
      </c>
      <c r="AB3760" s="1" t="s">
        <v>24</v>
      </c>
      <c r="AC3760" s="1" t="s">
        <v>24</v>
      </c>
      <c r="AD3760" s="1" t="s">
        <v>24</v>
      </c>
      <c r="AE3760" s="1" t="s">
        <v>24</v>
      </c>
      <c r="AF3760" s="22"/>
    </row>
    <row r="3761" spans="1:32" x14ac:dyDescent="0.2">
      <c r="A3761" s="1">
        <v>30972</v>
      </c>
      <c r="B3761" s="1" t="s">
        <v>11602</v>
      </c>
      <c r="C3761" s="5" t="s">
        <v>0</v>
      </c>
      <c r="D3761" s="1" t="s">
        <v>11603</v>
      </c>
      <c r="F3761" s="1" t="s">
        <v>5160</v>
      </c>
      <c r="G3761" s="1" t="s">
        <v>5160</v>
      </c>
      <c r="H3761" s="1" t="s">
        <v>111</v>
      </c>
      <c r="I3761" s="1" t="s">
        <v>16</v>
      </c>
      <c r="J3761" s="1">
        <v>1</v>
      </c>
      <c r="K3761" s="1">
        <v>46</v>
      </c>
      <c r="L3761" s="1" t="s">
        <v>42</v>
      </c>
      <c r="M3761" s="1" t="s">
        <v>87</v>
      </c>
      <c r="N3761" s="1" t="s">
        <v>87</v>
      </c>
      <c r="O3761" s="1">
        <v>2</v>
      </c>
      <c r="P3761" s="1">
        <v>5</v>
      </c>
      <c r="R3761" s="1" t="s">
        <v>19</v>
      </c>
      <c r="S3761" s="1" t="s">
        <v>20</v>
      </c>
      <c r="T3761" s="1" t="s">
        <v>21</v>
      </c>
      <c r="U3761" s="1" t="s">
        <v>22</v>
      </c>
      <c r="V3761" s="1" t="s">
        <v>23</v>
      </c>
      <c r="W3761" s="1" t="s">
        <v>24</v>
      </c>
      <c r="X3761" s="1">
        <v>2700</v>
      </c>
      <c r="Y3761" s="1" t="s">
        <v>24</v>
      </c>
      <c r="Z3761" s="1" t="s">
        <v>24</v>
      </c>
      <c r="AA3761" s="1" t="s">
        <v>24</v>
      </c>
      <c r="AB3761" s="1" t="s">
        <v>24</v>
      </c>
      <c r="AC3761" s="1" t="s">
        <v>24</v>
      </c>
      <c r="AD3761" s="1" t="s">
        <v>24</v>
      </c>
      <c r="AE3761" s="1" t="s">
        <v>24</v>
      </c>
      <c r="AF3761" s="22"/>
    </row>
    <row r="3762" spans="1:32" x14ac:dyDescent="0.2">
      <c r="A3762" s="1">
        <v>30991</v>
      </c>
      <c r="B3762" s="1" t="s">
        <v>11604</v>
      </c>
      <c r="C3762" s="5" t="s">
        <v>0</v>
      </c>
      <c r="D3762" s="1" t="s">
        <v>11605</v>
      </c>
      <c r="F3762" s="1" t="s">
        <v>669</v>
      </c>
      <c r="G3762" s="1" t="s">
        <v>311</v>
      </c>
      <c r="H3762" s="1" t="s">
        <v>30</v>
      </c>
      <c r="I3762" s="1" t="s">
        <v>16</v>
      </c>
      <c r="J3762" s="1">
        <v>1</v>
      </c>
      <c r="K3762" s="1">
        <v>4</v>
      </c>
      <c r="L3762" s="1" t="s">
        <v>31</v>
      </c>
      <c r="M3762" s="1" t="s">
        <v>18</v>
      </c>
      <c r="N3762" s="1" t="s">
        <v>18</v>
      </c>
      <c r="O3762" s="1">
        <v>3</v>
      </c>
      <c r="P3762" s="1">
        <v>7</v>
      </c>
      <c r="Q3762" s="7" t="s">
        <v>17633</v>
      </c>
      <c r="R3762" s="1" t="s">
        <v>19</v>
      </c>
      <c r="S3762" s="1" t="s">
        <v>20</v>
      </c>
      <c r="T3762" s="1" t="s">
        <v>21</v>
      </c>
      <c r="U3762" s="1" t="s">
        <v>22</v>
      </c>
      <c r="V3762" s="1" t="s">
        <v>24</v>
      </c>
      <c r="W3762" s="1" t="s">
        <v>24</v>
      </c>
      <c r="X3762" s="1">
        <v>2300</v>
      </c>
      <c r="Y3762" s="1">
        <v>2307</v>
      </c>
      <c r="Z3762" s="1">
        <v>3005</v>
      </c>
      <c r="AA3762" s="1">
        <v>2739</v>
      </c>
      <c r="AB3762" s="1" t="s">
        <v>24</v>
      </c>
      <c r="AC3762" s="1" t="s">
        <v>24</v>
      </c>
      <c r="AD3762" s="1" t="s">
        <v>24</v>
      </c>
      <c r="AE3762" s="1" t="s">
        <v>24</v>
      </c>
      <c r="AF3762" s="22" t="s">
        <v>17710</v>
      </c>
    </row>
    <row r="3763" spans="1:32" x14ac:dyDescent="0.2">
      <c r="A3763" s="1">
        <v>31084</v>
      </c>
      <c r="B3763" s="1" t="s">
        <v>11606</v>
      </c>
      <c r="C3763" s="5" t="s">
        <v>0</v>
      </c>
      <c r="D3763" s="1" t="s">
        <v>11607</v>
      </c>
      <c r="E3763" s="1" t="s">
        <v>11608</v>
      </c>
      <c r="F3763" s="1" t="s">
        <v>109</v>
      </c>
      <c r="G3763" s="1" t="s">
        <v>110</v>
      </c>
      <c r="H3763" s="1" t="s">
        <v>111</v>
      </c>
      <c r="I3763" s="1" t="s">
        <v>16</v>
      </c>
      <c r="J3763" s="1">
        <v>2</v>
      </c>
      <c r="K3763" s="1">
        <v>4</v>
      </c>
      <c r="L3763" s="1" t="s">
        <v>31</v>
      </c>
      <c r="M3763" s="1" t="s">
        <v>18</v>
      </c>
      <c r="N3763" s="1" t="s">
        <v>18</v>
      </c>
      <c r="O3763" s="1">
        <v>3</v>
      </c>
      <c r="P3763" s="1">
        <v>7</v>
      </c>
      <c r="Q3763" s="7" t="s">
        <v>17633</v>
      </c>
      <c r="R3763" s="1" t="s">
        <v>19</v>
      </c>
      <c r="S3763" s="1" t="s">
        <v>20</v>
      </c>
      <c r="T3763" s="1" t="s">
        <v>21</v>
      </c>
      <c r="U3763" s="1" t="s">
        <v>22</v>
      </c>
      <c r="V3763" s="1" t="s">
        <v>23</v>
      </c>
      <c r="W3763" s="1" t="s">
        <v>24</v>
      </c>
      <c r="X3763" s="1">
        <v>1309</v>
      </c>
      <c r="Y3763" s="1">
        <v>2735</v>
      </c>
      <c r="Z3763" s="1" t="s">
        <v>24</v>
      </c>
      <c r="AA3763" s="1" t="s">
        <v>24</v>
      </c>
      <c r="AB3763" s="1" t="s">
        <v>24</v>
      </c>
      <c r="AC3763" s="1" t="s">
        <v>24</v>
      </c>
      <c r="AD3763" s="1" t="s">
        <v>24</v>
      </c>
      <c r="AE3763" s="1" t="s">
        <v>24</v>
      </c>
      <c r="AF3763" s="22"/>
    </row>
    <row r="3764" spans="1:32" x14ac:dyDescent="0.2">
      <c r="A3764" s="1">
        <v>31107</v>
      </c>
      <c r="B3764" s="1" t="s">
        <v>11609</v>
      </c>
      <c r="C3764" s="5" t="s">
        <v>0</v>
      </c>
      <c r="D3764" s="1" t="s">
        <v>11610</v>
      </c>
      <c r="E3764" s="1" t="s">
        <v>11611</v>
      </c>
      <c r="F3764" s="1" t="s">
        <v>11612</v>
      </c>
      <c r="G3764" s="1" t="s">
        <v>11612</v>
      </c>
      <c r="H3764" s="1" t="s">
        <v>445</v>
      </c>
      <c r="I3764" s="1" t="s">
        <v>16</v>
      </c>
      <c r="J3764" s="1">
        <v>1</v>
      </c>
      <c r="K3764" s="1">
        <v>4</v>
      </c>
      <c r="L3764" s="1" t="s">
        <v>42</v>
      </c>
      <c r="M3764" s="1" t="s">
        <v>9953</v>
      </c>
      <c r="N3764" s="1" t="s">
        <v>6868</v>
      </c>
      <c r="O3764" s="1">
        <v>2</v>
      </c>
      <c r="P3764" s="1">
        <v>5</v>
      </c>
      <c r="R3764" s="1" t="s">
        <v>19</v>
      </c>
      <c r="S3764" s="1" t="s">
        <v>20</v>
      </c>
      <c r="T3764" s="1" t="s">
        <v>21</v>
      </c>
      <c r="U3764" s="1" t="s">
        <v>22</v>
      </c>
      <c r="V3764" s="1" t="s">
        <v>24</v>
      </c>
      <c r="W3764" s="1" t="s">
        <v>24</v>
      </c>
      <c r="X3764" s="1">
        <v>2715</v>
      </c>
      <c r="Y3764" s="1" t="s">
        <v>24</v>
      </c>
      <c r="Z3764" s="1" t="s">
        <v>24</v>
      </c>
      <c r="AA3764" s="1" t="s">
        <v>24</v>
      </c>
      <c r="AB3764" s="1" t="s">
        <v>24</v>
      </c>
      <c r="AC3764" s="1" t="s">
        <v>24</v>
      </c>
      <c r="AD3764" s="1" t="s">
        <v>24</v>
      </c>
      <c r="AE3764" s="1" t="s">
        <v>24</v>
      </c>
      <c r="AF3764" s="22"/>
    </row>
    <row r="3765" spans="1:32" x14ac:dyDescent="0.2">
      <c r="A3765" s="1">
        <v>31113</v>
      </c>
      <c r="B3765" s="1" t="s">
        <v>11613</v>
      </c>
      <c r="C3765" s="5" t="s">
        <v>0</v>
      </c>
      <c r="D3765" s="1" t="s">
        <v>11614</v>
      </c>
      <c r="F3765" s="1" t="s">
        <v>11615</v>
      </c>
      <c r="G3765" s="1" t="s">
        <v>11615</v>
      </c>
      <c r="H3765" s="1" t="s">
        <v>168</v>
      </c>
      <c r="I3765" s="1" t="s">
        <v>16</v>
      </c>
      <c r="J3765" s="1">
        <v>1</v>
      </c>
      <c r="K3765" s="1">
        <v>6</v>
      </c>
      <c r="L3765" s="1" t="s">
        <v>17</v>
      </c>
      <c r="M3765" s="1" t="s">
        <v>413</v>
      </c>
      <c r="N3765" s="1" t="s">
        <v>679</v>
      </c>
      <c r="O3765" s="1">
        <v>3</v>
      </c>
      <c r="P3765" s="1">
        <v>5</v>
      </c>
      <c r="R3765" s="1" t="s">
        <v>19</v>
      </c>
      <c r="S3765" s="1" t="s">
        <v>20</v>
      </c>
      <c r="T3765" s="1" t="s">
        <v>21</v>
      </c>
      <c r="U3765" s="1" t="s">
        <v>22</v>
      </c>
      <c r="V3765" s="1" t="s">
        <v>24</v>
      </c>
      <c r="W3765" s="1" t="s">
        <v>24</v>
      </c>
      <c r="X3765" s="1">
        <v>1310</v>
      </c>
      <c r="Y3765" s="1">
        <v>2712</v>
      </c>
      <c r="Z3765" s="1">
        <v>2724</v>
      </c>
      <c r="AA3765" s="1" t="s">
        <v>24</v>
      </c>
      <c r="AB3765" s="1" t="s">
        <v>24</v>
      </c>
      <c r="AC3765" s="1" t="s">
        <v>24</v>
      </c>
      <c r="AD3765" s="1" t="s">
        <v>24</v>
      </c>
      <c r="AE3765" s="1" t="s">
        <v>24</v>
      </c>
      <c r="AF3765" s="22"/>
    </row>
    <row r="3766" spans="1:32" x14ac:dyDescent="0.2">
      <c r="A3766" s="1">
        <v>31115</v>
      </c>
      <c r="B3766" s="1" t="s">
        <v>11616</v>
      </c>
      <c r="C3766" s="5" t="s">
        <v>0</v>
      </c>
      <c r="D3766" s="1" t="s">
        <v>11617</v>
      </c>
      <c r="E3766" s="1" t="s">
        <v>11618</v>
      </c>
      <c r="F3766" s="1" t="s">
        <v>190</v>
      </c>
      <c r="G3766" s="1" t="s">
        <v>130</v>
      </c>
      <c r="H3766" s="1" t="s">
        <v>30</v>
      </c>
      <c r="I3766" s="1" t="s">
        <v>16</v>
      </c>
      <c r="J3766" s="1">
        <v>1</v>
      </c>
      <c r="K3766" s="1">
        <v>4</v>
      </c>
      <c r="L3766" s="1" t="s">
        <v>31</v>
      </c>
      <c r="M3766" s="1" t="s">
        <v>18</v>
      </c>
      <c r="N3766" s="1" t="s">
        <v>18</v>
      </c>
      <c r="O3766" s="1">
        <v>3</v>
      </c>
      <c r="P3766" s="1">
        <v>7</v>
      </c>
      <c r="Q3766" s="7" t="s">
        <v>17633</v>
      </c>
      <c r="R3766" s="1" t="s">
        <v>19</v>
      </c>
      <c r="S3766" s="1" t="s">
        <v>20</v>
      </c>
      <c r="T3766" s="1" t="s">
        <v>21</v>
      </c>
      <c r="U3766" s="1" t="s">
        <v>22</v>
      </c>
      <c r="V3766" s="1" t="s">
        <v>24</v>
      </c>
      <c r="W3766" s="1" t="s">
        <v>24</v>
      </c>
      <c r="X3766" s="1">
        <v>2736</v>
      </c>
      <c r="Y3766" s="1">
        <v>2728</v>
      </c>
      <c r="Z3766" s="1">
        <v>3004</v>
      </c>
      <c r="AA3766" s="1" t="s">
        <v>24</v>
      </c>
      <c r="AB3766" s="1" t="s">
        <v>24</v>
      </c>
      <c r="AC3766" s="1" t="s">
        <v>24</v>
      </c>
      <c r="AD3766" s="1" t="s">
        <v>24</v>
      </c>
      <c r="AE3766" s="1" t="s">
        <v>24</v>
      </c>
      <c r="AF3766" s="22"/>
    </row>
    <row r="3767" spans="1:32" x14ac:dyDescent="0.2">
      <c r="A3767" s="1">
        <v>31116</v>
      </c>
      <c r="B3767" s="1" t="s">
        <v>11619</v>
      </c>
      <c r="C3767" s="5" t="s">
        <v>0</v>
      </c>
      <c r="D3767" s="1" t="s">
        <v>11620</v>
      </c>
      <c r="E3767" s="1" t="s">
        <v>11621</v>
      </c>
      <c r="F3767" s="1" t="s">
        <v>831</v>
      </c>
      <c r="G3767" s="1" t="s">
        <v>61</v>
      </c>
      <c r="H3767" s="1" t="s">
        <v>37</v>
      </c>
      <c r="I3767" s="1" t="s">
        <v>16</v>
      </c>
      <c r="J3767" s="1">
        <v>1</v>
      </c>
      <c r="K3767" s="1">
        <v>7</v>
      </c>
      <c r="L3767" s="1" t="s">
        <v>31</v>
      </c>
      <c r="M3767" s="1" t="s">
        <v>18</v>
      </c>
      <c r="N3767" s="1" t="s">
        <v>18</v>
      </c>
      <c r="O3767" s="1">
        <v>2</v>
      </c>
      <c r="P3767" s="1">
        <v>6</v>
      </c>
      <c r="R3767" s="1" t="s">
        <v>19</v>
      </c>
      <c r="S3767" s="1" t="s">
        <v>20</v>
      </c>
      <c r="T3767" s="1" t="s">
        <v>21</v>
      </c>
      <c r="U3767" s="1" t="s">
        <v>22</v>
      </c>
      <c r="V3767" s="1" t="s">
        <v>23</v>
      </c>
      <c r="W3767" s="1" t="s">
        <v>24</v>
      </c>
      <c r="X3767" s="1">
        <v>2735</v>
      </c>
      <c r="Y3767" s="1" t="s">
        <v>24</v>
      </c>
      <c r="Z3767" s="1" t="s">
        <v>24</v>
      </c>
      <c r="AA3767" s="1" t="s">
        <v>24</v>
      </c>
      <c r="AB3767" s="1" t="s">
        <v>24</v>
      </c>
      <c r="AC3767" s="1" t="s">
        <v>24</v>
      </c>
      <c r="AD3767" s="1" t="s">
        <v>24</v>
      </c>
      <c r="AE3767" s="1" t="s">
        <v>24</v>
      </c>
      <c r="AF3767" s="22"/>
    </row>
    <row r="3768" spans="1:32" x14ac:dyDescent="0.2">
      <c r="A3768" s="1">
        <v>31189</v>
      </c>
      <c r="B3768" s="1" t="s">
        <v>11622</v>
      </c>
      <c r="C3768" s="5" t="s">
        <v>0</v>
      </c>
      <c r="D3768" s="1" t="s">
        <v>11623</v>
      </c>
      <c r="E3768" s="1" t="s">
        <v>11624</v>
      </c>
      <c r="F3768" s="1" t="s">
        <v>155</v>
      </c>
      <c r="G3768" s="1" t="s">
        <v>61</v>
      </c>
      <c r="H3768" s="1" t="s">
        <v>37</v>
      </c>
      <c r="I3768" s="1" t="s">
        <v>16</v>
      </c>
      <c r="J3768" s="1">
        <v>1</v>
      </c>
      <c r="K3768" s="1">
        <v>4</v>
      </c>
      <c r="L3768" s="1" t="s">
        <v>31</v>
      </c>
      <c r="M3768" s="1" t="s">
        <v>18</v>
      </c>
      <c r="N3768" s="1" t="s">
        <v>18</v>
      </c>
      <c r="O3768" s="1">
        <v>3</v>
      </c>
      <c r="P3768" s="1">
        <v>7</v>
      </c>
      <c r="Q3768" s="7" t="s">
        <v>17633</v>
      </c>
      <c r="R3768" s="1" t="s">
        <v>19</v>
      </c>
      <c r="S3768" s="1" t="s">
        <v>63</v>
      </c>
      <c r="T3768" s="1" t="s">
        <v>21</v>
      </c>
      <c r="U3768" s="1" t="s">
        <v>22</v>
      </c>
      <c r="V3768" s="1" t="s">
        <v>24</v>
      </c>
      <c r="W3768" s="1" t="s">
        <v>24</v>
      </c>
      <c r="X3768" s="1">
        <v>2738</v>
      </c>
      <c r="Y3768" s="1">
        <v>3203</v>
      </c>
      <c r="Z3768" s="1">
        <v>3204</v>
      </c>
      <c r="AA3768" s="1" t="s">
        <v>24</v>
      </c>
      <c r="AB3768" s="1" t="s">
        <v>24</v>
      </c>
      <c r="AC3768" s="1" t="s">
        <v>24</v>
      </c>
      <c r="AD3768" s="1" t="s">
        <v>24</v>
      </c>
      <c r="AE3768" s="1" t="s">
        <v>24</v>
      </c>
      <c r="AF3768" s="22"/>
    </row>
    <row r="3769" spans="1:32" x14ac:dyDescent="0.2">
      <c r="A3769" s="1">
        <v>31194</v>
      </c>
      <c r="B3769" s="1" t="s">
        <v>11625</v>
      </c>
      <c r="C3769" s="5" t="s">
        <v>0</v>
      </c>
      <c r="D3769" s="1" t="s">
        <v>11626</v>
      </c>
      <c r="E3769" s="1" t="s">
        <v>11627</v>
      </c>
      <c r="F3769" s="1" t="s">
        <v>155</v>
      </c>
      <c r="G3769" s="1" t="s">
        <v>61</v>
      </c>
      <c r="H3769" s="1" t="s">
        <v>37</v>
      </c>
      <c r="I3769" s="1" t="s">
        <v>16</v>
      </c>
      <c r="J3769" s="1">
        <v>1</v>
      </c>
      <c r="K3769" s="1">
        <v>12</v>
      </c>
      <c r="L3769" s="1" t="s">
        <v>31</v>
      </c>
      <c r="M3769" s="1" t="s">
        <v>18</v>
      </c>
      <c r="N3769" s="1" t="s">
        <v>18</v>
      </c>
      <c r="O3769" s="1">
        <v>3</v>
      </c>
      <c r="P3769" s="1">
        <v>7</v>
      </c>
      <c r="Q3769" s="7" t="s">
        <v>17633</v>
      </c>
      <c r="R3769" s="1" t="s">
        <v>19</v>
      </c>
      <c r="S3769" s="1" t="s">
        <v>20</v>
      </c>
      <c r="T3769" s="1" t="s">
        <v>21</v>
      </c>
      <c r="U3769" s="1" t="s">
        <v>22</v>
      </c>
      <c r="V3769" s="1" t="s">
        <v>24</v>
      </c>
      <c r="W3769" s="1" t="s">
        <v>24</v>
      </c>
      <c r="X3769" s="1">
        <v>2700</v>
      </c>
      <c r="Y3769" s="1" t="s">
        <v>24</v>
      </c>
      <c r="Z3769" s="1" t="s">
        <v>24</v>
      </c>
      <c r="AA3769" s="1" t="s">
        <v>24</v>
      </c>
      <c r="AB3769" s="1" t="s">
        <v>24</v>
      </c>
      <c r="AC3769" s="1" t="s">
        <v>24</v>
      </c>
      <c r="AD3769" s="1" t="s">
        <v>24</v>
      </c>
      <c r="AE3769" s="1" t="s">
        <v>24</v>
      </c>
      <c r="AF3769" s="22"/>
    </row>
    <row r="3770" spans="1:32" x14ac:dyDescent="0.2">
      <c r="A3770" s="1">
        <v>31195</v>
      </c>
      <c r="B3770" s="1" t="s">
        <v>11628</v>
      </c>
      <c r="C3770" s="5" t="s">
        <v>0</v>
      </c>
      <c r="D3770" s="1" t="s">
        <v>11629</v>
      </c>
      <c r="E3770" s="1" t="s">
        <v>11630</v>
      </c>
      <c r="F3770" s="1" t="s">
        <v>155</v>
      </c>
      <c r="G3770" s="1" t="s">
        <v>61</v>
      </c>
      <c r="H3770" s="1" t="s">
        <v>37</v>
      </c>
      <c r="I3770" s="1" t="s">
        <v>16</v>
      </c>
      <c r="J3770" s="1">
        <v>1</v>
      </c>
      <c r="K3770" s="1">
        <v>12</v>
      </c>
      <c r="L3770" s="1" t="s">
        <v>31</v>
      </c>
      <c r="M3770" s="1" t="s">
        <v>18</v>
      </c>
      <c r="N3770" s="1" t="s">
        <v>18</v>
      </c>
      <c r="O3770" s="1">
        <v>3</v>
      </c>
      <c r="P3770" s="1">
        <v>7</v>
      </c>
      <c r="Q3770" s="7" t="s">
        <v>17633</v>
      </c>
      <c r="R3770" s="1" t="s">
        <v>19</v>
      </c>
      <c r="S3770" s="1" t="s">
        <v>20</v>
      </c>
      <c r="T3770" s="1" t="s">
        <v>21</v>
      </c>
      <c r="U3770" s="1" t="s">
        <v>22</v>
      </c>
      <c r="V3770" s="1" t="s">
        <v>24</v>
      </c>
      <c r="W3770" s="1" t="s">
        <v>24</v>
      </c>
      <c r="X3770" s="1">
        <v>2746</v>
      </c>
      <c r="Y3770" s="1" t="s">
        <v>24</v>
      </c>
      <c r="Z3770" s="1" t="s">
        <v>24</v>
      </c>
      <c r="AA3770" s="1" t="s">
        <v>24</v>
      </c>
      <c r="AB3770" s="1" t="s">
        <v>24</v>
      </c>
      <c r="AC3770" s="1" t="s">
        <v>24</v>
      </c>
      <c r="AD3770" s="1" t="s">
        <v>24</v>
      </c>
      <c r="AE3770" s="1" t="s">
        <v>24</v>
      </c>
      <c r="AF3770" s="22"/>
    </row>
    <row r="3771" spans="1:32" x14ac:dyDescent="0.2">
      <c r="A3771" s="1">
        <v>31228</v>
      </c>
      <c r="B3771" s="1" t="s">
        <v>11631</v>
      </c>
      <c r="C3771" s="5" t="s">
        <v>0</v>
      </c>
      <c r="D3771" s="1" t="s">
        <v>11632</v>
      </c>
      <c r="E3771" s="1" t="s">
        <v>11633</v>
      </c>
      <c r="F3771" s="1" t="s">
        <v>272</v>
      </c>
      <c r="G3771" s="1" t="s">
        <v>61</v>
      </c>
      <c r="H3771" s="1" t="s">
        <v>30</v>
      </c>
      <c r="I3771" s="1" t="s">
        <v>16</v>
      </c>
      <c r="J3771" s="1">
        <v>1</v>
      </c>
      <c r="K3771" s="1">
        <v>6</v>
      </c>
      <c r="L3771" s="1" t="s">
        <v>31</v>
      </c>
      <c r="M3771" s="1" t="s">
        <v>18</v>
      </c>
      <c r="N3771" s="1" t="s">
        <v>18</v>
      </c>
      <c r="O3771" s="1">
        <v>2</v>
      </c>
      <c r="P3771" s="1">
        <v>7</v>
      </c>
      <c r="Q3771" s="7" t="s">
        <v>17633</v>
      </c>
      <c r="R3771" s="1" t="s">
        <v>19</v>
      </c>
      <c r="S3771" s="1" t="s">
        <v>20</v>
      </c>
      <c r="T3771" s="1" t="s">
        <v>21</v>
      </c>
      <c r="U3771" s="1" t="s">
        <v>22</v>
      </c>
      <c r="V3771" s="1" t="s">
        <v>23</v>
      </c>
      <c r="W3771" s="1" t="s">
        <v>24</v>
      </c>
      <c r="X3771" s="1">
        <v>2746</v>
      </c>
      <c r="Y3771" s="1">
        <v>3304</v>
      </c>
      <c r="Z3771" s="1" t="s">
        <v>24</v>
      </c>
      <c r="AA3771" s="1" t="s">
        <v>24</v>
      </c>
      <c r="AB3771" s="1" t="s">
        <v>24</v>
      </c>
      <c r="AC3771" s="1" t="s">
        <v>24</v>
      </c>
      <c r="AD3771" s="1" t="s">
        <v>24</v>
      </c>
      <c r="AE3771" s="1" t="s">
        <v>24</v>
      </c>
      <c r="AF3771" s="22"/>
    </row>
    <row r="3772" spans="1:32" x14ac:dyDescent="0.2">
      <c r="A3772" s="1">
        <v>31229</v>
      </c>
      <c r="B3772" s="1" t="s">
        <v>11634</v>
      </c>
      <c r="C3772" s="5" t="s">
        <v>0</v>
      </c>
      <c r="D3772" s="1" t="s">
        <v>11635</v>
      </c>
      <c r="E3772" s="1" t="s">
        <v>11636</v>
      </c>
      <c r="F3772" s="1" t="s">
        <v>831</v>
      </c>
      <c r="G3772" s="1" t="s">
        <v>61</v>
      </c>
      <c r="H3772" s="1" t="s">
        <v>37</v>
      </c>
      <c r="I3772" s="1" t="s">
        <v>16</v>
      </c>
      <c r="J3772" s="1">
        <v>1</v>
      </c>
      <c r="K3772" s="1">
        <v>6</v>
      </c>
      <c r="L3772" s="1" t="s">
        <v>31</v>
      </c>
      <c r="M3772" s="1" t="s">
        <v>18</v>
      </c>
      <c r="N3772" s="1" t="s">
        <v>18</v>
      </c>
      <c r="O3772" s="1">
        <v>2</v>
      </c>
      <c r="P3772" s="1">
        <v>6</v>
      </c>
      <c r="R3772" s="1" t="s">
        <v>19</v>
      </c>
      <c r="S3772" s="1" t="s">
        <v>63</v>
      </c>
      <c r="T3772" s="1" t="s">
        <v>21</v>
      </c>
      <c r="U3772" s="1" t="s">
        <v>22</v>
      </c>
      <c r="V3772" s="1" t="s">
        <v>23</v>
      </c>
      <c r="W3772" s="1" t="s">
        <v>24</v>
      </c>
      <c r="X3772" s="1">
        <v>2734</v>
      </c>
      <c r="Y3772" s="1">
        <v>3308</v>
      </c>
      <c r="Z3772" s="1" t="s">
        <v>24</v>
      </c>
      <c r="AA3772" s="1" t="s">
        <v>24</v>
      </c>
      <c r="AB3772" s="1" t="s">
        <v>24</v>
      </c>
      <c r="AC3772" s="1" t="s">
        <v>24</v>
      </c>
      <c r="AD3772" s="1" t="s">
        <v>24</v>
      </c>
      <c r="AE3772" s="1" t="s">
        <v>24</v>
      </c>
      <c r="AF3772" s="22"/>
    </row>
    <row r="3773" spans="1:32" x14ac:dyDescent="0.2">
      <c r="A3773" s="1">
        <v>31230</v>
      </c>
      <c r="B3773" s="1" t="s">
        <v>11637</v>
      </c>
      <c r="C3773" s="5" t="s">
        <v>0</v>
      </c>
      <c r="D3773" s="1" t="s">
        <v>11638</v>
      </c>
      <c r="E3773" s="1" t="s">
        <v>11639</v>
      </c>
      <c r="F3773" s="1" t="s">
        <v>831</v>
      </c>
      <c r="G3773" s="1" t="s">
        <v>61</v>
      </c>
      <c r="H3773" s="1" t="s">
        <v>37</v>
      </c>
      <c r="I3773" s="1" t="s">
        <v>16</v>
      </c>
      <c r="J3773" s="1">
        <v>1</v>
      </c>
      <c r="K3773" s="1">
        <v>6</v>
      </c>
      <c r="L3773" s="1" t="s">
        <v>31</v>
      </c>
      <c r="M3773" s="1" t="s">
        <v>18</v>
      </c>
      <c r="N3773" s="1" t="s">
        <v>18</v>
      </c>
      <c r="O3773" s="1">
        <v>3</v>
      </c>
      <c r="P3773" s="1">
        <v>6</v>
      </c>
      <c r="R3773" s="1" t="s">
        <v>19</v>
      </c>
      <c r="S3773" s="1" t="s">
        <v>20</v>
      </c>
      <c r="T3773" s="1" t="s">
        <v>21</v>
      </c>
      <c r="U3773" s="1" t="s">
        <v>22</v>
      </c>
      <c r="V3773" s="1" t="s">
        <v>23</v>
      </c>
      <c r="W3773" s="1" t="s">
        <v>24</v>
      </c>
      <c r="X3773" s="1">
        <v>2729</v>
      </c>
      <c r="Y3773" s="1">
        <v>2743</v>
      </c>
      <c r="Z3773" s="1" t="s">
        <v>24</v>
      </c>
      <c r="AA3773" s="1" t="s">
        <v>24</v>
      </c>
      <c r="AB3773" s="1" t="s">
        <v>24</v>
      </c>
      <c r="AC3773" s="1" t="s">
        <v>24</v>
      </c>
      <c r="AD3773" s="1" t="s">
        <v>24</v>
      </c>
      <c r="AE3773" s="1" t="s">
        <v>24</v>
      </c>
      <c r="AF3773" s="22"/>
    </row>
    <row r="3774" spans="1:32" x14ac:dyDescent="0.2">
      <c r="A3774" s="1">
        <v>31235</v>
      </c>
      <c r="B3774" s="1" t="s">
        <v>11640</v>
      </c>
      <c r="C3774" s="5" t="s">
        <v>0</v>
      </c>
      <c r="D3774" s="1" t="s">
        <v>11641</v>
      </c>
      <c r="E3774" s="1" t="s">
        <v>11642</v>
      </c>
      <c r="F3774" s="1" t="s">
        <v>155</v>
      </c>
      <c r="G3774" s="1" t="s">
        <v>61</v>
      </c>
      <c r="H3774" s="1" t="s">
        <v>37</v>
      </c>
      <c r="I3774" s="1" t="s">
        <v>16</v>
      </c>
      <c r="J3774" s="1">
        <v>1</v>
      </c>
      <c r="K3774" s="1">
        <v>12</v>
      </c>
      <c r="L3774" s="1" t="s">
        <v>31</v>
      </c>
      <c r="M3774" s="1" t="s">
        <v>18</v>
      </c>
      <c r="N3774" s="1" t="s">
        <v>18</v>
      </c>
      <c r="O3774" s="1">
        <v>3</v>
      </c>
      <c r="P3774" s="1">
        <v>7</v>
      </c>
      <c r="Q3774" s="7" t="s">
        <v>17633</v>
      </c>
      <c r="R3774" s="1" t="s">
        <v>19</v>
      </c>
      <c r="S3774" s="1" t="s">
        <v>20</v>
      </c>
      <c r="T3774" s="1" t="s">
        <v>21</v>
      </c>
      <c r="U3774" s="1" t="s">
        <v>22</v>
      </c>
      <c r="V3774" s="1" t="s">
        <v>24</v>
      </c>
      <c r="W3774" s="1" t="s">
        <v>24</v>
      </c>
      <c r="X3774" s="1">
        <v>2703</v>
      </c>
      <c r="Y3774" s="1">
        <v>2706</v>
      </c>
      <c r="Z3774" s="1" t="s">
        <v>24</v>
      </c>
      <c r="AA3774" s="1" t="s">
        <v>24</v>
      </c>
      <c r="AB3774" s="1" t="s">
        <v>24</v>
      </c>
      <c r="AC3774" s="1" t="s">
        <v>24</v>
      </c>
      <c r="AD3774" s="1" t="s">
        <v>24</v>
      </c>
      <c r="AE3774" s="1" t="s">
        <v>24</v>
      </c>
      <c r="AF3774" s="22"/>
    </row>
    <row r="3775" spans="1:32" x14ac:dyDescent="0.2">
      <c r="A3775" s="1">
        <v>31238</v>
      </c>
      <c r="B3775" s="1" t="s">
        <v>11643</v>
      </c>
      <c r="C3775" s="5" t="s">
        <v>0</v>
      </c>
      <c r="D3775" s="1" t="s">
        <v>11644</v>
      </c>
      <c r="E3775" s="1" t="s">
        <v>11645</v>
      </c>
      <c r="F3775" s="1" t="s">
        <v>155</v>
      </c>
      <c r="G3775" s="1" t="s">
        <v>61</v>
      </c>
      <c r="H3775" s="1" t="s">
        <v>37</v>
      </c>
      <c r="I3775" s="1" t="s">
        <v>16</v>
      </c>
      <c r="J3775" s="1">
        <v>1</v>
      </c>
      <c r="K3775" s="1">
        <v>6</v>
      </c>
      <c r="L3775" s="1" t="s">
        <v>31</v>
      </c>
      <c r="M3775" s="1" t="s">
        <v>18</v>
      </c>
      <c r="N3775" s="1" t="s">
        <v>18</v>
      </c>
      <c r="O3775" s="1">
        <v>3</v>
      </c>
      <c r="P3775" s="1">
        <v>7</v>
      </c>
      <c r="Q3775" s="7" t="s">
        <v>17633</v>
      </c>
      <c r="R3775" s="1" t="s">
        <v>19</v>
      </c>
      <c r="S3775" s="1" t="s">
        <v>20</v>
      </c>
      <c r="T3775" s="1" t="s">
        <v>21</v>
      </c>
      <c r="U3775" s="1" t="s">
        <v>22</v>
      </c>
      <c r="V3775" s="1" t="s">
        <v>23</v>
      </c>
      <c r="W3775" s="1" t="s">
        <v>24</v>
      </c>
      <c r="X3775" s="1">
        <v>2705</v>
      </c>
      <c r="Y3775" s="1">
        <v>2712</v>
      </c>
      <c r="Z3775" s="1">
        <v>2724</v>
      </c>
      <c r="AA3775" s="1">
        <v>2916</v>
      </c>
      <c r="AB3775" s="1" t="s">
        <v>24</v>
      </c>
      <c r="AC3775" s="1" t="s">
        <v>24</v>
      </c>
      <c r="AD3775" s="1" t="s">
        <v>24</v>
      </c>
      <c r="AE3775" s="1" t="s">
        <v>24</v>
      </c>
      <c r="AF3775" s="22"/>
    </row>
    <row r="3776" spans="1:32" x14ac:dyDescent="0.2">
      <c r="A3776" s="1">
        <v>31253</v>
      </c>
      <c r="B3776" s="1" t="s">
        <v>11646</v>
      </c>
      <c r="C3776" s="5" t="s">
        <v>0</v>
      </c>
      <c r="D3776" s="1" t="s">
        <v>11647</v>
      </c>
      <c r="E3776" s="1" t="s">
        <v>11648</v>
      </c>
      <c r="F3776" s="1" t="s">
        <v>303</v>
      </c>
      <c r="G3776" s="1" t="s">
        <v>61</v>
      </c>
      <c r="H3776" s="1" t="s">
        <v>30</v>
      </c>
      <c r="I3776" s="1" t="s">
        <v>16</v>
      </c>
      <c r="J3776" s="1">
        <v>1</v>
      </c>
      <c r="K3776" s="1">
        <v>4</v>
      </c>
      <c r="L3776" s="1" t="s">
        <v>31</v>
      </c>
      <c r="M3776" s="1" t="s">
        <v>18</v>
      </c>
      <c r="N3776" s="1" t="s">
        <v>18</v>
      </c>
      <c r="O3776" s="1">
        <v>0</v>
      </c>
      <c r="P3776" s="1">
        <v>6</v>
      </c>
      <c r="R3776" s="1" t="s">
        <v>19</v>
      </c>
      <c r="S3776" s="1" t="s">
        <v>20</v>
      </c>
      <c r="T3776" s="1" t="s">
        <v>21</v>
      </c>
      <c r="U3776" s="1" t="s">
        <v>22</v>
      </c>
      <c r="V3776" s="1" t="s">
        <v>23</v>
      </c>
      <c r="W3776" s="1" t="s">
        <v>24</v>
      </c>
      <c r="X3776" s="1">
        <v>2703</v>
      </c>
      <c r="Y3776" s="1" t="s">
        <v>24</v>
      </c>
      <c r="Z3776" s="1" t="s">
        <v>24</v>
      </c>
      <c r="AA3776" s="1" t="s">
        <v>24</v>
      </c>
      <c r="AB3776" s="1" t="s">
        <v>24</v>
      </c>
      <c r="AC3776" s="1" t="s">
        <v>24</v>
      </c>
      <c r="AD3776" s="1" t="s">
        <v>24</v>
      </c>
      <c r="AE3776" s="1" t="s">
        <v>24</v>
      </c>
      <c r="AF3776" s="22"/>
    </row>
    <row r="3777" spans="1:32" x14ac:dyDescent="0.2">
      <c r="A3777" s="1">
        <v>31363</v>
      </c>
      <c r="B3777" s="1" t="s">
        <v>11649</v>
      </c>
      <c r="C3777" s="5" t="s">
        <v>0</v>
      </c>
      <c r="D3777" s="1" t="s">
        <v>11650</v>
      </c>
      <c r="E3777" s="1" t="s">
        <v>11651</v>
      </c>
      <c r="F3777" s="1" t="s">
        <v>493</v>
      </c>
      <c r="G3777" s="1" t="s">
        <v>98</v>
      </c>
      <c r="H3777" s="1" t="s">
        <v>30</v>
      </c>
      <c r="I3777" s="1" t="s">
        <v>16</v>
      </c>
      <c r="J3777" s="1">
        <v>1</v>
      </c>
      <c r="K3777" s="1">
        <v>8</v>
      </c>
      <c r="L3777" s="1" t="s">
        <v>31</v>
      </c>
      <c r="M3777" s="1" t="s">
        <v>18</v>
      </c>
      <c r="N3777" s="1" t="s">
        <v>18</v>
      </c>
      <c r="O3777" s="1">
        <v>3</v>
      </c>
      <c r="P3777" s="1">
        <v>7</v>
      </c>
      <c r="Q3777" s="7" t="s">
        <v>17633</v>
      </c>
      <c r="R3777" s="1" t="s">
        <v>62</v>
      </c>
      <c r="S3777" s="1" t="s">
        <v>20</v>
      </c>
      <c r="T3777" s="1" t="s">
        <v>21</v>
      </c>
      <c r="U3777" s="1" t="s">
        <v>22</v>
      </c>
      <c r="V3777" s="1" t="s">
        <v>24</v>
      </c>
      <c r="W3777" s="1" t="s">
        <v>24</v>
      </c>
      <c r="X3777" s="1">
        <v>2729</v>
      </c>
      <c r="Y3777" s="1" t="s">
        <v>24</v>
      </c>
      <c r="Z3777" s="1" t="s">
        <v>24</v>
      </c>
      <c r="AA3777" s="1" t="s">
        <v>24</v>
      </c>
      <c r="AB3777" s="1" t="s">
        <v>24</v>
      </c>
      <c r="AC3777" s="1" t="s">
        <v>24</v>
      </c>
      <c r="AD3777" s="1" t="s">
        <v>24</v>
      </c>
      <c r="AE3777" s="1" t="s">
        <v>24</v>
      </c>
      <c r="AF3777" s="22"/>
    </row>
    <row r="3778" spans="1:32" x14ac:dyDescent="0.2">
      <c r="A3778" s="1">
        <v>31368</v>
      </c>
      <c r="B3778" s="1" t="s">
        <v>11652</v>
      </c>
      <c r="C3778" s="5" t="s">
        <v>0</v>
      </c>
      <c r="D3778" s="1" t="s">
        <v>11653</v>
      </c>
      <c r="F3778" s="1" t="s">
        <v>11178</v>
      </c>
      <c r="G3778" s="1" t="s">
        <v>11178</v>
      </c>
      <c r="H3778" s="1" t="s">
        <v>1384</v>
      </c>
      <c r="I3778" s="1" t="s">
        <v>16</v>
      </c>
      <c r="J3778" s="1">
        <v>1</v>
      </c>
      <c r="K3778" s="1">
        <v>4</v>
      </c>
      <c r="L3778" s="1" t="s">
        <v>42</v>
      </c>
      <c r="M3778" s="1" t="s">
        <v>18</v>
      </c>
      <c r="N3778" s="1" t="s">
        <v>18</v>
      </c>
      <c r="O3778" s="1">
        <v>3</v>
      </c>
      <c r="P3778" s="1">
        <v>6</v>
      </c>
      <c r="R3778" s="1" t="s">
        <v>19</v>
      </c>
      <c r="S3778" s="1" t="s">
        <v>20</v>
      </c>
      <c r="T3778" s="1" t="s">
        <v>21</v>
      </c>
      <c r="U3778" s="1" t="s">
        <v>22</v>
      </c>
      <c r="V3778" s="1" t="s">
        <v>24</v>
      </c>
      <c r="W3778" s="1" t="s">
        <v>24</v>
      </c>
      <c r="X3778" s="1">
        <v>3003</v>
      </c>
      <c r="Y3778" s="1" t="s">
        <v>24</v>
      </c>
      <c r="Z3778" s="1" t="s">
        <v>24</v>
      </c>
      <c r="AA3778" s="1" t="s">
        <v>24</v>
      </c>
      <c r="AB3778" s="1" t="s">
        <v>24</v>
      </c>
      <c r="AC3778" s="1" t="s">
        <v>24</v>
      </c>
      <c r="AD3778" s="1" t="s">
        <v>24</v>
      </c>
      <c r="AE3778" s="1" t="s">
        <v>24</v>
      </c>
      <c r="AF3778" s="22"/>
    </row>
    <row r="3779" spans="1:32" x14ac:dyDescent="0.2">
      <c r="A3779" s="1">
        <v>31376</v>
      </c>
      <c r="B3779" s="1" t="s">
        <v>11654</v>
      </c>
      <c r="C3779" s="5" t="s">
        <v>0</v>
      </c>
      <c r="D3779" s="1" t="s">
        <v>11655</v>
      </c>
      <c r="F3779" s="1" t="s">
        <v>11656</v>
      </c>
      <c r="G3779" s="1" t="s">
        <v>11656</v>
      </c>
      <c r="H3779" s="1" t="s">
        <v>30</v>
      </c>
      <c r="I3779" s="1" t="s">
        <v>16</v>
      </c>
      <c r="J3779" s="1">
        <v>1</v>
      </c>
      <c r="K3779" s="1">
        <v>9</v>
      </c>
      <c r="L3779" s="1" t="s">
        <v>42</v>
      </c>
      <c r="M3779" s="1" t="s">
        <v>18</v>
      </c>
      <c r="N3779" s="1" t="s">
        <v>18</v>
      </c>
      <c r="O3779" s="1">
        <v>3</v>
      </c>
      <c r="P3779" s="1">
        <v>6</v>
      </c>
      <c r="R3779" s="1" t="s">
        <v>19</v>
      </c>
      <c r="S3779" s="1" t="s">
        <v>20</v>
      </c>
      <c r="T3779" s="1" t="s">
        <v>21</v>
      </c>
      <c r="U3779" s="1" t="s">
        <v>22</v>
      </c>
      <c r="V3779" s="1" t="s">
        <v>23</v>
      </c>
      <c r="W3779" s="1" t="s">
        <v>24</v>
      </c>
      <c r="X3779" s="1">
        <v>3003</v>
      </c>
      <c r="Y3779" s="1">
        <v>2719</v>
      </c>
      <c r="Z3779" s="1">
        <v>3611</v>
      </c>
      <c r="AA3779" s="1" t="s">
        <v>24</v>
      </c>
      <c r="AB3779" s="1" t="s">
        <v>24</v>
      </c>
      <c r="AC3779" s="1" t="s">
        <v>24</v>
      </c>
      <c r="AD3779" s="1" t="s">
        <v>24</v>
      </c>
      <c r="AE3779" s="1" t="s">
        <v>24</v>
      </c>
      <c r="AF3779" s="22"/>
    </row>
    <row r="3780" spans="1:32" x14ac:dyDescent="0.2">
      <c r="A3780" s="1">
        <v>31409</v>
      </c>
      <c r="B3780" s="1" t="s">
        <v>11657</v>
      </c>
      <c r="C3780" s="5" t="s">
        <v>0</v>
      </c>
      <c r="D3780" s="1" t="s">
        <v>11658</v>
      </c>
      <c r="E3780" s="1" t="s">
        <v>11659</v>
      </c>
      <c r="F3780" s="1" t="s">
        <v>2605</v>
      </c>
      <c r="G3780" s="1" t="s">
        <v>2606</v>
      </c>
      <c r="H3780" s="1" t="s">
        <v>30</v>
      </c>
      <c r="I3780" s="1" t="s">
        <v>16</v>
      </c>
      <c r="J3780" s="1">
        <v>2</v>
      </c>
      <c r="K3780" s="1">
        <v>6</v>
      </c>
      <c r="L3780" s="1" t="s">
        <v>42</v>
      </c>
      <c r="M3780" s="1" t="s">
        <v>18</v>
      </c>
      <c r="N3780" s="1" t="s">
        <v>18</v>
      </c>
      <c r="O3780" s="1">
        <v>3</v>
      </c>
      <c r="P3780" s="1">
        <v>6</v>
      </c>
      <c r="R3780" s="1" t="s">
        <v>19</v>
      </c>
      <c r="S3780" s="1" t="s">
        <v>20</v>
      </c>
      <c r="T3780" s="1" t="s">
        <v>21</v>
      </c>
      <c r="U3780" s="1" t="s">
        <v>22</v>
      </c>
      <c r="V3780" s="1" t="s">
        <v>24</v>
      </c>
      <c r="W3780" s="1" t="s">
        <v>24</v>
      </c>
      <c r="X3780" s="1">
        <v>2728</v>
      </c>
      <c r="Y3780" s="1">
        <v>2746</v>
      </c>
      <c r="Z3780" s="1">
        <v>2808</v>
      </c>
      <c r="AA3780" s="1" t="s">
        <v>24</v>
      </c>
      <c r="AB3780" s="1" t="s">
        <v>24</v>
      </c>
      <c r="AC3780" s="1" t="s">
        <v>24</v>
      </c>
      <c r="AD3780" s="1" t="s">
        <v>24</v>
      </c>
      <c r="AE3780" s="1" t="s">
        <v>24</v>
      </c>
      <c r="AF3780" s="22"/>
    </row>
    <row r="3781" spans="1:32" x14ac:dyDescent="0.2">
      <c r="A3781" s="1">
        <v>31434</v>
      </c>
      <c r="B3781" s="1" t="s">
        <v>11660</v>
      </c>
      <c r="C3781" s="5" t="s">
        <v>0</v>
      </c>
      <c r="E3781" s="1" t="s">
        <v>11661</v>
      </c>
      <c r="F3781" s="1" t="s">
        <v>2299</v>
      </c>
      <c r="G3781" s="1" t="s">
        <v>2300</v>
      </c>
      <c r="H3781" s="1" t="s">
        <v>37</v>
      </c>
      <c r="I3781" s="1" t="s">
        <v>16</v>
      </c>
      <c r="J3781" s="1">
        <v>1</v>
      </c>
      <c r="K3781" s="1">
        <v>1</v>
      </c>
      <c r="L3781" s="1" t="s">
        <v>31</v>
      </c>
      <c r="M3781" s="1" t="s">
        <v>18</v>
      </c>
      <c r="N3781" s="1" t="s">
        <v>18</v>
      </c>
      <c r="O3781" s="1">
        <v>3</v>
      </c>
      <c r="P3781" s="1">
        <v>6</v>
      </c>
      <c r="R3781" s="1" t="s">
        <v>19</v>
      </c>
      <c r="S3781" s="1" t="s">
        <v>63</v>
      </c>
      <c r="T3781" s="1" t="s">
        <v>21</v>
      </c>
      <c r="U3781" s="1" t="s">
        <v>22</v>
      </c>
      <c r="V3781" s="1" t="s">
        <v>23</v>
      </c>
      <c r="W3781" s="1" t="s">
        <v>24</v>
      </c>
      <c r="X3781" s="1">
        <v>2707</v>
      </c>
      <c r="Y3781" s="1">
        <v>3004</v>
      </c>
      <c r="Z3781" s="1" t="s">
        <v>24</v>
      </c>
      <c r="AA3781" s="1" t="s">
        <v>24</v>
      </c>
      <c r="AB3781" s="1" t="s">
        <v>24</v>
      </c>
      <c r="AC3781" s="1" t="s">
        <v>24</v>
      </c>
      <c r="AD3781" s="1" t="s">
        <v>24</v>
      </c>
      <c r="AE3781" s="1" t="s">
        <v>24</v>
      </c>
      <c r="AF3781" s="22"/>
    </row>
    <row r="3782" spans="1:32" x14ac:dyDescent="0.2">
      <c r="A3782" s="1">
        <v>31435</v>
      </c>
      <c r="B3782" s="1" t="s">
        <v>11662</v>
      </c>
      <c r="C3782" s="5" t="s">
        <v>0</v>
      </c>
      <c r="E3782" s="1" t="s">
        <v>11663</v>
      </c>
      <c r="F3782" s="1" t="s">
        <v>2299</v>
      </c>
      <c r="G3782" s="1" t="s">
        <v>2300</v>
      </c>
      <c r="H3782" s="1" t="s">
        <v>37</v>
      </c>
      <c r="I3782" s="1" t="s">
        <v>16</v>
      </c>
      <c r="J3782" s="1">
        <v>1</v>
      </c>
      <c r="K3782" s="1">
        <v>1</v>
      </c>
      <c r="L3782" s="1" t="s">
        <v>31</v>
      </c>
      <c r="M3782" s="1" t="s">
        <v>18</v>
      </c>
      <c r="N3782" s="1" t="s">
        <v>18</v>
      </c>
      <c r="O3782" s="1">
        <v>3</v>
      </c>
      <c r="P3782" s="1">
        <v>7</v>
      </c>
      <c r="Q3782" s="7" t="s">
        <v>17633</v>
      </c>
      <c r="R3782" s="1" t="s">
        <v>19</v>
      </c>
      <c r="S3782" s="1" t="s">
        <v>63</v>
      </c>
      <c r="T3782" s="1" t="s">
        <v>21</v>
      </c>
      <c r="U3782" s="1" t="s">
        <v>22</v>
      </c>
      <c r="V3782" s="1" t="s">
        <v>24</v>
      </c>
      <c r="W3782" s="1" t="s">
        <v>24</v>
      </c>
      <c r="X3782" s="1">
        <v>2733</v>
      </c>
      <c r="Y3782" s="1">
        <v>2740</v>
      </c>
      <c r="Z3782" s="1" t="s">
        <v>24</v>
      </c>
      <c r="AA3782" s="1" t="s">
        <v>24</v>
      </c>
      <c r="AB3782" s="1" t="s">
        <v>24</v>
      </c>
      <c r="AC3782" s="1" t="s">
        <v>24</v>
      </c>
      <c r="AD3782" s="1" t="s">
        <v>24</v>
      </c>
      <c r="AE3782" s="1" t="s">
        <v>24</v>
      </c>
      <c r="AF3782" s="22"/>
    </row>
    <row r="3783" spans="1:32" x14ac:dyDescent="0.2">
      <c r="A3783" s="1">
        <v>31438</v>
      </c>
      <c r="B3783" s="1" t="s">
        <v>11664</v>
      </c>
      <c r="C3783" s="5" t="s">
        <v>0</v>
      </c>
      <c r="E3783" s="1" t="s">
        <v>11665</v>
      </c>
      <c r="F3783" s="1" t="s">
        <v>11666</v>
      </c>
      <c r="G3783" s="1" t="s">
        <v>11666</v>
      </c>
      <c r="H3783" s="1" t="s">
        <v>37</v>
      </c>
      <c r="I3783" s="1" t="s">
        <v>16</v>
      </c>
      <c r="J3783" s="1">
        <v>1</v>
      </c>
      <c r="K3783" s="1">
        <v>3</v>
      </c>
      <c r="L3783" s="1" t="s">
        <v>42</v>
      </c>
      <c r="M3783" s="1" t="s">
        <v>18</v>
      </c>
      <c r="N3783" s="1" t="s">
        <v>18</v>
      </c>
      <c r="O3783" s="1">
        <v>3</v>
      </c>
      <c r="P3783" s="1">
        <v>6</v>
      </c>
      <c r="R3783" s="1" t="s">
        <v>19</v>
      </c>
      <c r="S3783" s="1" t="s">
        <v>20</v>
      </c>
      <c r="T3783" s="1" t="s">
        <v>21</v>
      </c>
      <c r="U3783" s="1" t="s">
        <v>22</v>
      </c>
      <c r="V3783" s="1" t="s">
        <v>24</v>
      </c>
      <c r="W3783" s="1" t="s">
        <v>24</v>
      </c>
      <c r="X3783" s="1">
        <v>2403</v>
      </c>
      <c r="Y3783" s="1">
        <v>1312</v>
      </c>
      <c r="Z3783" s="1">
        <v>1703</v>
      </c>
      <c r="AA3783" s="1">
        <v>2604</v>
      </c>
      <c r="AB3783" s="1">
        <v>1706</v>
      </c>
      <c r="AC3783" s="1" t="s">
        <v>24</v>
      </c>
      <c r="AD3783" s="1" t="s">
        <v>24</v>
      </c>
      <c r="AE3783" s="1" t="s">
        <v>24</v>
      </c>
      <c r="AF3783" s="22" t="s">
        <v>17670</v>
      </c>
    </row>
    <row r="3784" spans="1:32" x14ac:dyDescent="0.2">
      <c r="A3784" s="1">
        <v>31440</v>
      </c>
      <c r="B3784" s="1" t="s">
        <v>11667</v>
      </c>
      <c r="C3784" s="5" t="s">
        <v>0</v>
      </c>
      <c r="E3784" s="1" t="s">
        <v>11668</v>
      </c>
      <c r="F3784" s="1" t="s">
        <v>2299</v>
      </c>
      <c r="G3784" s="1" t="s">
        <v>2300</v>
      </c>
      <c r="H3784" s="1" t="s">
        <v>37</v>
      </c>
      <c r="I3784" s="1" t="s">
        <v>16</v>
      </c>
      <c r="J3784" s="1">
        <v>0</v>
      </c>
      <c r="K3784" s="1">
        <v>0</v>
      </c>
      <c r="L3784" s="1" t="s">
        <v>31</v>
      </c>
      <c r="M3784" s="1" t="s">
        <v>18</v>
      </c>
      <c r="N3784" s="1" t="s">
        <v>18</v>
      </c>
      <c r="O3784" s="1">
        <v>3</v>
      </c>
      <c r="P3784" s="1">
        <v>7</v>
      </c>
      <c r="Q3784" s="7" t="s">
        <v>17633</v>
      </c>
      <c r="R3784" s="1" t="s">
        <v>19</v>
      </c>
      <c r="S3784" s="1" t="s">
        <v>63</v>
      </c>
      <c r="T3784" s="1" t="s">
        <v>21</v>
      </c>
      <c r="U3784" s="1" t="s">
        <v>22</v>
      </c>
      <c r="V3784" s="1" t="s">
        <v>24</v>
      </c>
      <c r="W3784" s="1" t="s">
        <v>24</v>
      </c>
      <c r="X3784" s="1">
        <v>2725</v>
      </c>
      <c r="Y3784" s="1">
        <v>2730</v>
      </c>
      <c r="Z3784" s="1">
        <v>2713</v>
      </c>
      <c r="AA3784" s="1">
        <v>1306</v>
      </c>
      <c r="AB3784" s="1" t="s">
        <v>24</v>
      </c>
      <c r="AC3784" s="1" t="s">
        <v>24</v>
      </c>
      <c r="AD3784" s="1" t="s">
        <v>24</v>
      </c>
      <c r="AE3784" s="1" t="s">
        <v>24</v>
      </c>
      <c r="AF3784" s="22"/>
    </row>
    <row r="3785" spans="1:32" x14ac:dyDescent="0.2">
      <c r="A3785" s="1">
        <v>31443</v>
      </c>
      <c r="B3785" s="1" t="s">
        <v>11669</v>
      </c>
      <c r="C3785" s="5" t="s">
        <v>0</v>
      </c>
      <c r="E3785" s="1" t="s">
        <v>11670</v>
      </c>
      <c r="F3785" s="1" t="s">
        <v>2299</v>
      </c>
      <c r="G3785" s="1" t="s">
        <v>2300</v>
      </c>
      <c r="H3785" s="1" t="s">
        <v>37</v>
      </c>
      <c r="I3785" s="1" t="s">
        <v>16</v>
      </c>
      <c r="J3785" s="1">
        <v>0</v>
      </c>
      <c r="K3785" s="1">
        <v>0</v>
      </c>
      <c r="L3785" s="1" t="s">
        <v>31</v>
      </c>
      <c r="M3785" s="1" t="s">
        <v>18</v>
      </c>
      <c r="N3785" s="1" t="s">
        <v>18</v>
      </c>
      <c r="O3785" s="1">
        <v>3</v>
      </c>
      <c r="P3785" s="1">
        <v>7</v>
      </c>
      <c r="Q3785" s="7" t="s">
        <v>17633</v>
      </c>
      <c r="R3785" s="1" t="s">
        <v>19</v>
      </c>
      <c r="S3785" s="1" t="s">
        <v>63</v>
      </c>
      <c r="T3785" s="1" t="s">
        <v>21</v>
      </c>
      <c r="U3785" s="1" t="s">
        <v>22</v>
      </c>
      <c r="V3785" s="1" t="s">
        <v>24</v>
      </c>
      <c r="W3785" s="1" t="s">
        <v>24</v>
      </c>
      <c r="X3785" s="1">
        <v>2728</v>
      </c>
      <c r="Y3785" s="1">
        <v>2808</v>
      </c>
      <c r="Z3785" s="1" t="s">
        <v>24</v>
      </c>
      <c r="AA3785" s="1" t="s">
        <v>24</v>
      </c>
      <c r="AB3785" s="1" t="s">
        <v>24</v>
      </c>
      <c r="AC3785" s="1" t="s">
        <v>24</v>
      </c>
      <c r="AD3785" s="1" t="s">
        <v>24</v>
      </c>
      <c r="AE3785" s="1" t="s">
        <v>24</v>
      </c>
      <c r="AF3785" s="22"/>
    </row>
    <row r="3786" spans="1:32" x14ac:dyDescent="0.2">
      <c r="A3786" s="1">
        <v>31446</v>
      </c>
      <c r="B3786" s="1" t="s">
        <v>11671</v>
      </c>
      <c r="C3786" s="5" t="s">
        <v>0</v>
      </c>
      <c r="E3786" s="1" t="s">
        <v>11672</v>
      </c>
      <c r="F3786" s="1" t="s">
        <v>2299</v>
      </c>
      <c r="G3786" s="1" t="s">
        <v>2300</v>
      </c>
      <c r="H3786" s="1" t="s">
        <v>37</v>
      </c>
      <c r="I3786" s="1" t="s">
        <v>16</v>
      </c>
      <c r="J3786" s="1">
        <v>0</v>
      </c>
      <c r="K3786" s="1">
        <v>0</v>
      </c>
      <c r="L3786" s="1" t="s">
        <v>31</v>
      </c>
      <c r="M3786" s="1" t="s">
        <v>18</v>
      </c>
      <c r="N3786" s="1" t="s">
        <v>18</v>
      </c>
      <c r="O3786" s="1">
        <v>3</v>
      </c>
      <c r="P3786" s="1">
        <v>7</v>
      </c>
      <c r="Q3786" s="7" t="s">
        <v>17633</v>
      </c>
      <c r="R3786" s="1" t="s">
        <v>19</v>
      </c>
      <c r="S3786" s="1" t="s">
        <v>63</v>
      </c>
      <c r="T3786" s="1" t="s">
        <v>21</v>
      </c>
      <c r="U3786" s="1" t="s">
        <v>22</v>
      </c>
      <c r="V3786" s="1" t="s">
        <v>24</v>
      </c>
      <c r="W3786" s="1" t="s">
        <v>24</v>
      </c>
      <c r="X3786" s="1">
        <v>1307</v>
      </c>
      <c r="Y3786" s="1">
        <v>1303</v>
      </c>
      <c r="Z3786" s="1">
        <v>1312</v>
      </c>
      <c r="AA3786" s="1" t="s">
        <v>24</v>
      </c>
      <c r="AB3786" s="1" t="s">
        <v>24</v>
      </c>
      <c r="AC3786" s="1" t="s">
        <v>24</v>
      </c>
      <c r="AD3786" s="1" t="s">
        <v>24</v>
      </c>
      <c r="AE3786" s="1" t="s">
        <v>24</v>
      </c>
      <c r="AF3786" s="22"/>
    </row>
    <row r="3787" spans="1:32" x14ac:dyDescent="0.2">
      <c r="A3787" s="1">
        <v>31448</v>
      </c>
      <c r="B3787" s="1" t="s">
        <v>11673</v>
      </c>
      <c r="C3787" s="5" t="s">
        <v>0</v>
      </c>
      <c r="E3787" s="1" t="s">
        <v>11674</v>
      </c>
      <c r="F3787" s="1" t="s">
        <v>2299</v>
      </c>
      <c r="G3787" s="1" t="s">
        <v>2300</v>
      </c>
      <c r="H3787" s="1" t="s">
        <v>37</v>
      </c>
      <c r="I3787" s="1" t="s">
        <v>16</v>
      </c>
      <c r="J3787" s="1">
        <v>0</v>
      </c>
      <c r="K3787" s="1">
        <v>0</v>
      </c>
      <c r="L3787" s="1" t="s">
        <v>31</v>
      </c>
      <c r="M3787" s="1" t="s">
        <v>18</v>
      </c>
      <c r="N3787" s="1" t="s">
        <v>18</v>
      </c>
      <c r="O3787" s="1">
        <v>3</v>
      </c>
      <c r="P3787" s="1">
        <v>6</v>
      </c>
      <c r="R3787" s="1" t="s">
        <v>19</v>
      </c>
      <c r="S3787" s="1" t="s">
        <v>63</v>
      </c>
      <c r="T3787" s="1" t="s">
        <v>21</v>
      </c>
      <c r="U3787" s="1" t="s">
        <v>22</v>
      </c>
      <c r="V3787" s="1" t="s">
        <v>24</v>
      </c>
      <c r="W3787" s="1" t="s">
        <v>24</v>
      </c>
      <c r="X3787" s="1">
        <v>2804</v>
      </c>
      <c r="Y3787" s="1">
        <v>2728</v>
      </c>
      <c r="Z3787" s="1">
        <v>1312</v>
      </c>
      <c r="AA3787" s="1" t="s">
        <v>24</v>
      </c>
      <c r="AB3787" s="1" t="s">
        <v>24</v>
      </c>
      <c r="AC3787" s="1" t="s">
        <v>24</v>
      </c>
      <c r="AD3787" s="1" t="s">
        <v>24</v>
      </c>
      <c r="AE3787" s="1" t="s">
        <v>24</v>
      </c>
      <c r="AF3787" s="22"/>
    </row>
    <row r="3788" spans="1:32" x14ac:dyDescent="0.2">
      <c r="A3788" s="1">
        <v>31450</v>
      </c>
      <c r="B3788" s="1" t="s">
        <v>11675</v>
      </c>
      <c r="C3788" s="5" t="s">
        <v>0</v>
      </c>
      <c r="E3788" s="1" t="s">
        <v>11676</v>
      </c>
      <c r="F3788" s="1" t="s">
        <v>2299</v>
      </c>
      <c r="G3788" s="1" t="s">
        <v>2300</v>
      </c>
      <c r="H3788" s="1" t="s">
        <v>37</v>
      </c>
      <c r="I3788" s="1" t="s">
        <v>16</v>
      </c>
      <c r="J3788" s="1">
        <v>0</v>
      </c>
      <c r="K3788" s="1">
        <v>0</v>
      </c>
      <c r="L3788" s="1" t="s">
        <v>31</v>
      </c>
      <c r="M3788" s="1" t="s">
        <v>18</v>
      </c>
      <c r="N3788" s="1" t="s">
        <v>18</v>
      </c>
      <c r="O3788" s="1">
        <v>3</v>
      </c>
      <c r="P3788" s="1">
        <v>7</v>
      </c>
      <c r="Q3788" s="7" t="s">
        <v>17633</v>
      </c>
      <c r="R3788" s="1" t="s">
        <v>19</v>
      </c>
      <c r="S3788" s="1" t="s">
        <v>63</v>
      </c>
      <c r="T3788" s="1" t="s">
        <v>21</v>
      </c>
      <c r="U3788" s="1" t="s">
        <v>22</v>
      </c>
      <c r="V3788" s="1" t="s">
        <v>24</v>
      </c>
      <c r="W3788" s="1" t="s">
        <v>24</v>
      </c>
      <c r="X3788" s="1">
        <v>2806</v>
      </c>
      <c r="Y3788" s="1" t="s">
        <v>24</v>
      </c>
      <c r="Z3788" s="1" t="s">
        <v>24</v>
      </c>
      <c r="AA3788" s="1" t="s">
        <v>24</v>
      </c>
      <c r="AB3788" s="1" t="s">
        <v>24</v>
      </c>
      <c r="AC3788" s="1" t="s">
        <v>24</v>
      </c>
      <c r="AD3788" s="1" t="s">
        <v>24</v>
      </c>
      <c r="AE3788" s="1" t="s">
        <v>24</v>
      </c>
      <c r="AF3788" s="22"/>
    </row>
    <row r="3789" spans="1:32" x14ac:dyDescent="0.2">
      <c r="A3789" s="1">
        <v>31451</v>
      </c>
      <c r="B3789" s="1" t="s">
        <v>11677</v>
      </c>
      <c r="C3789" s="5" t="s">
        <v>0</v>
      </c>
      <c r="E3789" s="1" t="s">
        <v>11678</v>
      </c>
      <c r="F3789" s="1" t="s">
        <v>2299</v>
      </c>
      <c r="G3789" s="1" t="s">
        <v>2300</v>
      </c>
      <c r="H3789" s="1" t="s">
        <v>37</v>
      </c>
      <c r="I3789" s="1" t="s">
        <v>16</v>
      </c>
      <c r="J3789" s="1">
        <v>0</v>
      </c>
      <c r="K3789" s="1">
        <v>0</v>
      </c>
      <c r="L3789" s="1" t="s">
        <v>31</v>
      </c>
      <c r="M3789" s="1" t="s">
        <v>18</v>
      </c>
      <c r="N3789" s="1" t="s">
        <v>18</v>
      </c>
      <c r="O3789" s="1">
        <v>3</v>
      </c>
      <c r="P3789" s="1">
        <v>6</v>
      </c>
      <c r="R3789" s="1" t="s">
        <v>19</v>
      </c>
      <c r="S3789" s="1" t="s">
        <v>63</v>
      </c>
      <c r="T3789" s="1" t="s">
        <v>21</v>
      </c>
      <c r="U3789" s="1" t="s">
        <v>22</v>
      </c>
      <c r="V3789" s="1" t="s">
        <v>23</v>
      </c>
      <c r="W3789" s="1" t="s">
        <v>24</v>
      </c>
      <c r="X3789" s="1">
        <v>2700</v>
      </c>
      <c r="Y3789" s="1">
        <v>2716</v>
      </c>
      <c r="Z3789" s="1">
        <v>2736</v>
      </c>
      <c r="AA3789" s="1" t="s">
        <v>24</v>
      </c>
      <c r="AB3789" s="1" t="s">
        <v>24</v>
      </c>
      <c r="AC3789" s="1" t="s">
        <v>24</v>
      </c>
      <c r="AD3789" s="1" t="s">
        <v>24</v>
      </c>
      <c r="AE3789" s="1" t="s">
        <v>24</v>
      </c>
      <c r="AF3789" s="22"/>
    </row>
    <row r="3790" spans="1:32" x14ac:dyDescent="0.2">
      <c r="A3790" s="1">
        <v>31454</v>
      </c>
      <c r="B3790" s="1" t="s">
        <v>11679</v>
      </c>
      <c r="C3790" s="5" t="s">
        <v>0</v>
      </c>
      <c r="E3790" s="1" t="s">
        <v>11680</v>
      </c>
      <c r="F3790" s="1" t="s">
        <v>2299</v>
      </c>
      <c r="G3790" s="1" t="s">
        <v>2300</v>
      </c>
      <c r="H3790" s="1" t="s">
        <v>37</v>
      </c>
      <c r="I3790" s="1" t="s">
        <v>16</v>
      </c>
      <c r="J3790" s="1">
        <v>0</v>
      </c>
      <c r="K3790" s="1">
        <v>0</v>
      </c>
      <c r="L3790" s="1" t="s">
        <v>31</v>
      </c>
      <c r="M3790" s="1" t="s">
        <v>18</v>
      </c>
      <c r="N3790" s="1" t="s">
        <v>18</v>
      </c>
      <c r="O3790" s="1">
        <v>3</v>
      </c>
      <c r="P3790" s="1">
        <v>6</v>
      </c>
      <c r="R3790" s="1" t="s">
        <v>19</v>
      </c>
      <c r="S3790" s="1" t="s">
        <v>63</v>
      </c>
      <c r="T3790" s="1" t="s">
        <v>21</v>
      </c>
      <c r="U3790" s="1" t="s">
        <v>22</v>
      </c>
      <c r="V3790" s="1" t="s">
        <v>24</v>
      </c>
      <c r="W3790" s="1" t="s">
        <v>24</v>
      </c>
      <c r="X3790" s="1">
        <v>2730</v>
      </c>
      <c r="Y3790" s="1">
        <v>2741</v>
      </c>
      <c r="Z3790" s="1" t="s">
        <v>24</v>
      </c>
      <c r="AA3790" s="1" t="s">
        <v>24</v>
      </c>
      <c r="AB3790" s="1" t="s">
        <v>24</v>
      </c>
      <c r="AC3790" s="1" t="s">
        <v>24</v>
      </c>
      <c r="AD3790" s="1" t="s">
        <v>24</v>
      </c>
      <c r="AE3790" s="1" t="s">
        <v>24</v>
      </c>
      <c r="AF3790" s="22"/>
    </row>
    <row r="3791" spans="1:32" x14ac:dyDescent="0.2">
      <c r="A3791" s="1">
        <v>31455</v>
      </c>
      <c r="B3791" s="1" t="s">
        <v>11681</v>
      </c>
      <c r="C3791" s="5" t="s">
        <v>0</v>
      </c>
      <c r="E3791" s="1" t="s">
        <v>11682</v>
      </c>
      <c r="F3791" s="1" t="s">
        <v>2299</v>
      </c>
      <c r="G3791" s="1" t="s">
        <v>2300</v>
      </c>
      <c r="H3791" s="1" t="s">
        <v>37</v>
      </c>
      <c r="I3791" s="1" t="s">
        <v>16</v>
      </c>
      <c r="J3791" s="1">
        <v>0</v>
      </c>
      <c r="K3791" s="1">
        <v>0</v>
      </c>
      <c r="L3791" s="1" t="s">
        <v>31</v>
      </c>
      <c r="M3791" s="1" t="s">
        <v>18</v>
      </c>
      <c r="N3791" s="1" t="s">
        <v>18</v>
      </c>
      <c r="O3791" s="1">
        <v>3</v>
      </c>
      <c r="P3791" s="1">
        <v>7</v>
      </c>
      <c r="Q3791" s="7" t="s">
        <v>17633</v>
      </c>
      <c r="R3791" s="1" t="s">
        <v>19</v>
      </c>
      <c r="S3791" s="1" t="s">
        <v>63</v>
      </c>
      <c r="T3791" s="1" t="s">
        <v>21</v>
      </c>
      <c r="U3791" s="1" t="s">
        <v>22</v>
      </c>
      <c r="V3791" s="1" t="s">
        <v>24</v>
      </c>
      <c r="W3791" s="1" t="s">
        <v>24</v>
      </c>
      <c r="X3791" s="1">
        <v>2732</v>
      </c>
      <c r="Y3791" s="1" t="s">
        <v>24</v>
      </c>
      <c r="Z3791" s="1" t="s">
        <v>24</v>
      </c>
      <c r="AA3791" s="1" t="s">
        <v>24</v>
      </c>
      <c r="AB3791" s="1" t="s">
        <v>24</v>
      </c>
      <c r="AC3791" s="1" t="s">
        <v>24</v>
      </c>
      <c r="AD3791" s="1" t="s">
        <v>24</v>
      </c>
      <c r="AE3791" s="1" t="s">
        <v>24</v>
      </c>
      <c r="AF3791" s="22"/>
    </row>
    <row r="3792" spans="1:32" x14ac:dyDescent="0.2">
      <c r="A3792" s="1">
        <v>31522</v>
      </c>
      <c r="B3792" s="1" t="s">
        <v>11683</v>
      </c>
      <c r="C3792" s="5" t="s">
        <v>0</v>
      </c>
      <c r="D3792" s="1" t="s">
        <v>11684</v>
      </c>
      <c r="E3792" s="1" t="s">
        <v>11685</v>
      </c>
      <c r="F3792" s="1" t="s">
        <v>155</v>
      </c>
      <c r="G3792" s="1" t="s">
        <v>61</v>
      </c>
      <c r="H3792" s="1" t="s">
        <v>37</v>
      </c>
      <c r="I3792" s="1" t="s">
        <v>16</v>
      </c>
      <c r="J3792" s="1">
        <v>1</v>
      </c>
      <c r="K3792" s="1">
        <v>4</v>
      </c>
      <c r="L3792" s="1" t="s">
        <v>31</v>
      </c>
      <c r="M3792" s="1" t="s">
        <v>18</v>
      </c>
      <c r="N3792" s="1" t="s">
        <v>18</v>
      </c>
      <c r="O3792" s="1">
        <v>3</v>
      </c>
      <c r="P3792" s="1">
        <v>7</v>
      </c>
      <c r="Q3792" s="7" t="s">
        <v>17633</v>
      </c>
      <c r="R3792" s="1" t="s">
        <v>19</v>
      </c>
      <c r="S3792" s="1" t="s">
        <v>20</v>
      </c>
      <c r="T3792" s="1" t="s">
        <v>21</v>
      </c>
      <c r="U3792" s="1" t="s">
        <v>22</v>
      </c>
      <c r="V3792" s="1" t="s">
        <v>23</v>
      </c>
      <c r="W3792" s="1" t="s">
        <v>24</v>
      </c>
      <c r="X3792" s="1">
        <v>2724</v>
      </c>
      <c r="Y3792" s="1">
        <v>2712</v>
      </c>
      <c r="Z3792" s="1">
        <v>2916</v>
      </c>
      <c r="AA3792" s="1" t="s">
        <v>24</v>
      </c>
      <c r="AB3792" s="1" t="s">
        <v>24</v>
      </c>
      <c r="AC3792" s="1" t="s">
        <v>24</v>
      </c>
      <c r="AD3792" s="1" t="s">
        <v>24</v>
      </c>
      <c r="AE3792" s="1" t="s">
        <v>24</v>
      </c>
      <c r="AF3792" s="22"/>
    </row>
    <row r="3793" spans="1:32" x14ac:dyDescent="0.2">
      <c r="A3793" s="1">
        <v>31539</v>
      </c>
      <c r="B3793" s="1" t="s">
        <v>11686</v>
      </c>
      <c r="C3793" s="5" t="s">
        <v>0</v>
      </c>
      <c r="D3793" s="1" t="s">
        <v>11687</v>
      </c>
      <c r="F3793" s="1" t="s">
        <v>11686</v>
      </c>
      <c r="G3793" s="1" t="s">
        <v>11686</v>
      </c>
      <c r="H3793" s="1" t="s">
        <v>445</v>
      </c>
      <c r="I3793" s="1" t="s">
        <v>16</v>
      </c>
      <c r="J3793" s="1">
        <v>1</v>
      </c>
      <c r="K3793" s="1">
        <v>2</v>
      </c>
      <c r="L3793" s="1" t="s">
        <v>42</v>
      </c>
      <c r="M3793" s="1" t="s">
        <v>18</v>
      </c>
      <c r="N3793" s="1" t="s">
        <v>18</v>
      </c>
      <c r="O3793" s="1">
        <v>3</v>
      </c>
      <c r="P3793" s="1">
        <v>6</v>
      </c>
      <c r="R3793" s="1" t="s">
        <v>19</v>
      </c>
      <c r="S3793" s="1" t="s">
        <v>63</v>
      </c>
      <c r="T3793" s="1" t="s">
        <v>21</v>
      </c>
      <c r="U3793" s="1" t="s">
        <v>22</v>
      </c>
      <c r="V3793" s="1" t="s">
        <v>24</v>
      </c>
      <c r="W3793" s="1" t="s">
        <v>24</v>
      </c>
      <c r="X3793" s="1">
        <v>1312</v>
      </c>
      <c r="Y3793" s="1">
        <v>1313</v>
      </c>
      <c r="Z3793" s="1" t="s">
        <v>24</v>
      </c>
      <c r="AA3793" s="1" t="s">
        <v>24</v>
      </c>
      <c r="AB3793" s="1" t="s">
        <v>24</v>
      </c>
      <c r="AC3793" s="1" t="s">
        <v>24</v>
      </c>
      <c r="AD3793" s="1" t="s">
        <v>24</v>
      </c>
      <c r="AE3793" s="1" t="s">
        <v>24</v>
      </c>
      <c r="AF3793" s="22"/>
    </row>
    <row r="3794" spans="1:32" x14ac:dyDescent="0.2">
      <c r="A3794" s="1">
        <v>31543</v>
      </c>
      <c r="B3794" s="1" t="s">
        <v>11688</v>
      </c>
      <c r="C3794" s="5" t="s">
        <v>0</v>
      </c>
      <c r="D3794" s="1" t="s">
        <v>11689</v>
      </c>
      <c r="E3794" s="1" t="s">
        <v>11690</v>
      </c>
      <c r="F3794" s="1" t="s">
        <v>669</v>
      </c>
      <c r="G3794" s="1" t="s">
        <v>311</v>
      </c>
      <c r="H3794" s="1" t="s">
        <v>30</v>
      </c>
      <c r="I3794" s="1" t="s">
        <v>16</v>
      </c>
      <c r="J3794" s="1">
        <v>1</v>
      </c>
      <c r="K3794" s="1">
        <v>4</v>
      </c>
      <c r="L3794" s="1" t="s">
        <v>31</v>
      </c>
      <c r="M3794" s="1" t="s">
        <v>18</v>
      </c>
      <c r="N3794" s="1" t="s">
        <v>18</v>
      </c>
      <c r="O3794" s="1">
        <v>3</v>
      </c>
      <c r="P3794" s="1">
        <v>7</v>
      </c>
      <c r="Q3794" s="7" t="s">
        <v>17633</v>
      </c>
      <c r="R3794" s="1" t="s">
        <v>19</v>
      </c>
      <c r="S3794" s="1" t="s">
        <v>20</v>
      </c>
      <c r="T3794" s="1" t="s">
        <v>21</v>
      </c>
      <c r="U3794" s="1" t="s">
        <v>22</v>
      </c>
      <c r="V3794" s="1" t="s">
        <v>23</v>
      </c>
      <c r="W3794" s="1" t="s">
        <v>24</v>
      </c>
      <c r="X3794" s="1">
        <v>2739</v>
      </c>
      <c r="Y3794" s="1">
        <v>3306</v>
      </c>
      <c r="Z3794" s="1">
        <v>2916</v>
      </c>
      <c r="AA3794" s="1" t="s">
        <v>24</v>
      </c>
      <c r="AB3794" s="1" t="s">
        <v>24</v>
      </c>
      <c r="AC3794" s="1" t="s">
        <v>24</v>
      </c>
      <c r="AD3794" s="1" t="s">
        <v>24</v>
      </c>
      <c r="AE3794" s="1" t="s">
        <v>24</v>
      </c>
      <c r="AF3794" s="22"/>
    </row>
    <row r="3795" spans="1:32" x14ac:dyDescent="0.2">
      <c r="A3795" s="1">
        <v>31568</v>
      </c>
      <c r="B3795" s="1" t="s">
        <v>11691</v>
      </c>
      <c r="C3795" s="5" t="s">
        <v>0</v>
      </c>
      <c r="D3795" s="1" t="s">
        <v>11692</v>
      </c>
      <c r="F3795" s="1" t="s">
        <v>940</v>
      </c>
      <c r="G3795" s="1" t="s">
        <v>130</v>
      </c>
      <c r="H3795" s="1" t="s">
        <v>30</v>
      </c>
      <c r="I3795" s="1" t="s">
        <v>112</v>
      </c>
      <c r="J3795" s="1">
        <v>0</v>
      </c>
      <c r="K3795" s="1">
        <v>0</v>
      </c>
      <c r="L3795" s="1" t="s">
        <v>31</v>
      </c>
      <c r="M3795" s="1" t="s">
        <v>18</v>
      </c>
      <c r="N3795" s="1" t="s">
        <v>18</v>
      </c>
      <c r="O3795" s="1">
        <v>3</v>
      </c>
      <c r="P3795" s="1">
        <v>7</v>
      </c>
      <c r="Q3795" s="7" t="s">
        <v>17633</v>
      </c>
      <c r="R3795" s="1" t="s">
        <v>19</v>
      </c>
      <c r="S3795" s="1" t="s">
        <v>20</v>
      </c>
      <c r="T3795" s="1" t="s">
        <v>21</v>
      </c>
      <c r="U3795" s="1" t="s">
        <v>22</v>
      </c>
      <c r="V3795" s="1" t="s">
        <v>24</v>
      </c>
      <c r="W3795" s="1" t="s">
        <v>24</v>
      </c>
      <c r="X3795" s="1">
        <v>1312</v>
      </c>
      <c r="Y3795" s="1">
        <v>1311</v>
      </c>
      <c r="Z3795" s="1" t="s">
        <v>24</v>
      </c>
      <c r="AA3795" s="1" t="s">
        <v>24</v>
      </c>
      <c r="AB3795" s="1" t="s">
        <v>24</v>
      </c>
      <c r="AC3795" s="1" t="s">
        <v>24</v>
      </c>
      <c r="AD3795" s="1" t="s">
        <v>24</v>
      </c>
      <c r="AE3795" s="1" t="s">
        <v>24</v>
      </c>
      <c r="AF3795" s="22"/>
    </row>
    <row r="3796" spans="1:32" x14ac:dyDescent="0.2">
      <c r="A3796" s="1">
        <v>31580</v>
      </c>
      <c r="B3796" s="1" t="s">
        <v>11693</v>
      </c>
      <c r="C3796" s="5" t="s">
        <v>0</v>
      </c>
      <c r="E3796" s="1" t="s">
        <v>11694</v>
      </c>
      <c r="F3796" s="1" t="s">
        <v>11695</v>
      </c>
      <c r="G3796" s="1" t="s">
        <v>11696</v>
      </c>
      <c r="H3796" s="1" t="s">
        <v>37</v>
      </c>
      <c r="I3796" s="1" t="s">
        <v>16</v>
      </c>
      <c r="J3796" s="1">
        <v>1</v>
      </c>
      <c r="K3796" s="1">
        <v>4</v>
      </c>
      <c r="L3796" s="1" t="s">
        <v>31</v>
      </c>
      <c r="M3796" s="1" t="s">
        <v>18</v>
      </c>
      <c r="N3796" s="1" t="s">
        <v>18</v>
      </c>
      <c r="O3796" s="1">
        <v>3</v>
      </c>
      <c r="P3796" s="1">
        <v>6</v>
      </c>
      <c r="R3796" s="1" t="s">
        <v>19</v>
      </c>
      <c r="S3796" s="1" t="s">
        <v>20</v>
      </c>
      <c r="T3796" s="1" t="s">
        <v>21</v>
      </c>
      <c r="U3796" s="1" t="s">
        <v>22</v>
      </c>
      <c r="V3796" s="1" t="s">
        <v>24</v>
      </c>
      <c r="W3796" s="1" t="s">
        <v>24</v>
      </c>
      <c r="X3796" s="1">
        <v>2500</v>
      </c>
      <c r="Y3796" s="1">
        <v>3104</v>
      </c>
      <c r="Z3796" s="1">
        <v>1502</v>
      </c>
      <c r="AA3796" s="1">
        <v>2204</v>
      </c>
      <c r="AB3796" s="1" t="s">
        <v>24</v>
      </c>
      <c r="AC3796" s="1" t="s">
        <v>24</v>
      </c>
      <c r="AD3796" s="1" t="s">
        <v>24</v>
      </c>
      <c r="AE3796" s="1" t="s">
        <v>24</v>
      </c>
      <c r="AF3796" s="22"/>
    </row>
    <row r="3797" spans="1:32" x14ac:dyDescent="0.2">
      <c r="A3797" s="1">
        <v>31591</v>
      </c>
      <c r="B3797" s="1" t="s">
        <v>11697</v>
      </c>
      <c r="C3797" s="5" t="s">
        <v>0</v>
      </c>
      <c r="D3797" s="1" t="s">
        <v>11698</v>
      </c>
      <c r="E3797" s="1" t="s">
        <v>11699</v>
      </c>
      <c r="F3797" s="1" t="s">
        <v>11700</v>
      </c>
      <c r="G3797" s="1" t="s">
        <v>460</v>
      </c>
      <c r="H3797" s="1" t="s">
        <v>461</v>
      </c>
      <c r="I3797" s="1" t="s">
        <v>16</v>
      </c>
      <c r="J3797" s="1">
        <v>1</v>
      </c>
      <c r="K3797" s="1">
        <v>12</v>
      </c>
      <c r="L3797" s="1" t="s">
        <v>42</v>
      </c>
      <c r="M3797" s="1" t="s">
        <v>18</v>
      </c>
      <c r="N3797" s="1" t="s">
        <v>18</v>
      </c>
      <c r="O3797" s="1">
        <v>3</v>
      </c>
      <c r="P3797" s="1">
        <v>6</v>
      </c>
      <c r="R3797" s="1" t="s">
        <v>19</v>
      </c>
      <c r="S3797" s="1" t="s">
        <v>20</v>
      </c>
      <c r="T3797" s="1" t="s">
        <v>21</v>
      </c>
      <c r="U3797" s="1" t="s">
        <v>22</v>
      </c>
      <c r="V3797" s="1" t="s">
        <v>24</v>
      </c>
      <c r="W3797" s="1" t="s">
        <v>24</v>
      </c>
      <c r="X3797" s="1">
        <v>2705</v>
      </c>
      <c r="Y3797" s="1">
        <v>2724</v>
      </c>
      <c r="Z3797" s="1">
        <v>2704</v>
      </c>
      <c r="AA3797" s="1" t="s">
        <v>24</v>
      </c>
      <c r="AB3797" s="1" t="s">
        <v>24</v>
      </c>
      <c r="AC3797" s="1" t="s">
        <v>24</v>
      </c>
      <c r="AD3797" s="1" t="s">
        <v>24</v>
      </c>
      <c r="AE3797" s="1" t="s">
        <v>24</v>
      </c>
      <c r="AF3797" s="22"/>
    </row>
    <row r="3798" spans="1:32" x14ac:dyDescent="0.2">
      <c r="A3798" s="1">
        <v>31618</v>
      </c>
      <c r="B3798" s="1" t="s">
        <v>11701</v>
      </c>
      <c r="C3798" s="5" t="s">
        <v>0</v>
      </c>
      <c r="D3798" s="1" t="s">
        <v>11702</v>
      </c>
      <c r="E3798" s="1" t="s">
        <v>11703</v>
      </c>
      <c r="F3798" s="1" t="s">
        <v>11704</v>
      </c>
      <c r="G3798" s="1" t="s">
        <v>29</v>
      </c>
      <c r="H3798" s="1" t="s">
        <v>30</v>
      </c>
      <c r="I3798" s="1" t="s">
        <v>16</v>
      </c>
      <c r="J3798" s="1">
        <v>1</v>
      </c>
      <c r="K3798" s="1">
        <v>12</v>
      </c>
      <c r="L3798" s="1" t="s">
        <v>31</v>
      </c>
      <c r="M3798" s="1" t="s">
        <v>18</v>
      </c>
      <c r="N3798" s="1" t="s">
        <v>18</v>
      </c>
      <c r="O3798" s="1">
        <v>3</v>
      </c>
      <c r="P3798" s="1">
        <v>7</v>
      </c>
      <c r="Q3798" s="7" t="s">
        <v>17633</v>
      </c>
      <c r="R3798" s="1" t="s">
        <v>19</v>
      </c>
      <c r="S3798" s="1" t="s">
        <v>20</v>
      </c>
      <c r="T3798" s="1" t="s">
        <v>21</v>
      </c>
      <c r="U3798" s="1" t="s">
        <v>22</v>
      </c>
      <c r="V3798" s="1" t="s">
        <v>24</v>
      </c>
      <c r="W3798" s="1" t="s">
        <v>24</v>
      </c>
      <c r="X3798" s="1">
        <v>2730</v>
      </c>
      <c r="Y3798" s="1">
        <v>2740</v>
      </c>
      <c r="Z3798" s="1" t="s">
        <v>24</v>
      </c>
      <c r="AA3798" s="1" t="s">
        <v>24</v>
      </c>
      <c r="AB3798" s="1" t="s">
        <v>24</v>
      </c>
      <c r="AC3798" s="1" t="s">
        <v>24</v>
      </c>
      <c r="AD3798" s="1" t="s">
        <v>24</v>
      </c>
      <c r="AE3798" s="1" t="s">
        <v>24</v>
      </c>
      <c r="AF3798" s="22"/>
    </row>
    <row r="3799" spans="1:32" x14ac:dyDescent="0.2">
      <c r="A3799" s="1">
        <v>31629</v>
      </c>
      <c r="B3799" s="1" t="s">
        <v>11705</v>
      </c>
      <c r="C3799" s="5" t="s">
        <v>0</v>
      </c>
      <c r="D3799" s="1" t="s">
        <v>11706</v>
      </c>
      <c r="F3799" s="1" t="s">
        <v>4659</v>
      </c>
      <c r="G3799" s="1" t="s">
        <v>61</v>
      </c>
      <c r="H3799" s="1" t="s">
        <v>684</v>
      </c>
      <c r="I3799" s="1" t="s">
        <v>16</v>
      </c>
      <c r="J3799" s="1">
        <v>1</v>
      </c>
      <c r="K3799" s="1">
        <v>10</v>
      </c>
      <c r="L3799" s="1" t="s">
        <v>31</v>
      </c>
      <c r="M3799" s="1" t="s">
        <v>852</v>
      </c>
      <c r="N3799" s="1" t="s">
        <v>852</v>
      </c>
      <c r="O3799" s="1">
        <v>1</v>
      </c>
      <c r="P3799" s="1">
        <v>1</v>
      </c>
      <c r="R3799" s="1" t="s">
        <v>19</v>
      </c>
      <c r="S3799" s="1" t="s">
        <v>20</v>
      </c>
      <c r="T3799" s="1" t="s">
        <v>21</v>
      </c>
      <c r="U3799" s="1" t="s">
        <v>22</v>
      </c>
      <c r="V3799" s="1" t="s">
        <v>24</v>
      </c>
      <c r="W3799" s="1" t="s">
        <v>24</v>
      </c>
      <c r="X3799" s="1">
        <v>3505</v>
      </c>
      <c r="Y3799" s="1">
        <v>3504</v>
      </c>
      <c r="Z3799" s="1" t="s">
        <v>24</v>
      </c>
      <c r="AA3799" s="1" t="s">
        <v>24</v>
      </c>
      <c r="AB3799" s="1" t="s">
        <v>24</v>
      </c>
      <c r="AC3799" s="1" t="s">
        <v>24</v>
      </c>
      <c r="AD3799" s="1" t="s">
        <v>24</v>
      </c>
      <c r="AE3799" s="1" t="s">
        <v>24</v>
      </c>
      <c r="AF3799" s="22"/>
    </row>
    <row r="3800" spans="1:32" x14ac:dyDescent="0.2">
      <c r="A3800" s="1">
        <v>31631</v>
      </c>
      <c r="B3800" s="1" t="s">
        <v>11707</v>
      </c>
      <c r="C3800" s="5" t="s">
        <v>0</v>
      </c>
      <c r="D3800" s="1" t="s">
        <v>11708</v>
      </c>
      <c r="E3800" s="1" t="s">
        <v>11709</v>
      </c>
      <c r="F3800" s="1" t="s">
        <v>6433</v>
      </c>
      <c r="G3800" s="1" t="s">
        <v>130</v>
      </c>
      <c r="H3800" s="1" t="s">
        <v>1007</v>
      </c>
      <c r="I3800" s="1" t="s">
        <v>16</v>
      </c>
      <c r="J3800" s="1">
        <v>1</v>
      </c>
      <c r="K3800" s="1">
        <v>6</v>
      </c>
      <c r="L3800" s="1" t="s">
        <v>31</v>
      </c>
      <c r="M3800" s="1" t="s">
        <v>18</v>
      </c>
      <c r="N3800" s="1" t="s">
        <v>18</v>
      </c>
      <c r="O3800" s="1">
        <v>2</v>
      </c>
      <c r="P3800" s="1">
        <v>5</v>
      </c>
      <c r="R3800" s="1" t="s">
        <v>19</v>
      </c>
      <c r="S3800" s="1" t="s">
        <v>20</v>
      </c>
      <c r="T3800" s="1" t="s">
        <v>21</v>
      </c>
      <c r="U3800" s="1" t="s">
        <v>22</v>
      </c>
      <c r="V3800" s="1" t="s">
        <v>24</v>
      </c>
      <c r="W3800" s="1" t="s">
        <v>24</v>
      </c>
      <c r="X3800" s="1">
        <v>1314</v>
      </c>
      <c r="Y3800" s="1">
        <v>2800</v>
      </c>
      <c r="Z3800" s="1" t="s">
        <v>24</v>
      </c>
      <c r="AA3800" s="1" t="s">
        <v>24</v>
      </c>
      <c r="AB3800" s="1" t="s">
        <v>24</v>
      </c>
      <c r="AC3800" s="1" t="s">
        <v>24</v>
      </c>
      <c r="AD3800" s="1" t="s">
        <v>24</v>
      </c>
      <c r="AE3800" s="1" t="s">
        <v>24</v>
      </c>
      <c r="AF3800" s="22"/>
    </row>
    <row r="3801" spans="1:32" x14ac:dyDescent="0.2">
      <c r="A3801" s="1">
        <v>31698</v>
      </c>
      <c r="B3801" s="1" t="s">
        <v>11710</v>
      </c>
      <c r="C3801" s="5" t="s">
        <v>0</v>
      </c>
      <c r="D3801" s="1" t="s">
        <v>11711</v>
      </c>
      <c r="F3801" s="1" t="s">
        <v>11712</v>
      </c>
      <c r="G3801" s="1" t="s">
        <v>11712</v>
      </c>
      <c r="H3801" s="1" t="s">
        <v>30</v>
      </c>
      <c r="I3801" s="1" t="s">
        <v>16</v>
      </c>
      <c r="J3801" s="1">
        <v>1</v>
      </c>
      <c r="K3801" s="1">
        <v>4</v>
      </c>
      <c r="L3801" s="1" t="s">
        <v>42</v>
      </c>
      <c r="M3801" s="1" t="s">
        <v>18</v>
      </c>
      <c r="N3801" s="1" t="s">
        <v>18</v>
      </c>
      <c r="O3801" s="1">
        <v>2</v>
      </c>
      <c r="P3801" s="1">
        <v>6</v>
      </c>
      <c r="R3801" s="1" t="s">
        <v>19</v>
      </c>
      <c r="S3801" s="1" t="s">
        <v>63</v>
      </c>
      <c r="T3801" s="1" t="s">
        <v>21</v>
      </c>
      <c r="U3801" s="1" t="s">
        <v>22</v>
      </c>
      <c r="V3801" s="1" t="s">
        <v>24</v>
      </c>
      <c r="W3801" s="1" t="s">
        <v>24</v>
      </c>
      <c r="X3801" s="1">
        <v>1303</v>
      </c>
      <c r="Y3801" s="1">
        <v>1305</v>
      </c>
      <c r="Z3801" s="1" t="s">
        <v>24</v>
      </c>
      <c r="AA3801" s="1" t="s">
        <v>24</v>
      </c>
      <c r="AB3801" s="1" t="s">
        <v>24</v>
      </c>
      <c r="AC3801" s="1" t="s">
        <v>24</v>
      </c>
      <c r="AD3801" s="1" t="s">
        <v>24</v>
      </c>
      <c r="AE3801" s="1" t="s">
        <v>24</v>
      </c>
      <c r="AF3801" s="22"/>
    </row>
    <row r="3802" spans="1:32" x14ac:dyDescent="0.2">
      <c r="A3802" s="1">
        <v>31703</v>
      </c>
      <c r="B3802" s="1" t="s">
        <v>11713</v>
      </c>
      <c r="C3802" s="5" t="s">
        <v>0</v>
      </c>
      <c r="D3802" s="1" t="s">
        <v>11714</v>
      </c>
      <c r="F3802" s="1" t="s">
        <v>11712</v>
      </c>
      <c r="G3802" s="1" t="s">
        <v>11712</v>
      </c>
      <c r="H3802" s="1" t="s">
        <v>30</v>
      </c>
      <c r="I3802" s="1" t="s">
        <v>16</v>
      </c>
      <c r="J3802" s="1">
        <v>1</v>
      </c>
      <c r="K3802" s="1">
        <v>4</v>
      </c>
      <c r="L3802" s="1" t="s">
        <v>42</v>
      </c>
      <c r="M3802" s="1" t="s">
        <v>18</v>
      </c>
      <c r="N3802" s="1" t="s">
        <v>18</v>
      </c>
      <c r="O3802" s="1">
        <v>2</v>
      </c>
      <c r="P3802" s="1">
        <v>6</v>
      </c>
      <c r="R3802" s="1" t="s">
        <v>19</v>
      </c>
      <c r="S3802" s="1" t="s">
        <v>63</v>
      </c>
      <c r="T3802" s="1" t="s">
        <v>21</v>
      </c>
      <c r="U3802" s="1" t="s">
        <v>22</v>
      </c>
      <c r="V3802" s="1" t="s">
        <v>24</v>
      </c>
      <c r="W3802" s="1" t="s">
        <v>24</v>
      </c>
      <c r="X3802" s="1">
        <v>2403</v>
      </c>
      <c r="Y3802" s="1">
        <v>2723</v>
      </c>
      <c r="Z3802" s="1" t="s">
        <v>24</v>
      </c>
      <c r="AA3802" s="1" t="s">
        <v>24</v>
      </c>
      <c r="AB3802" s="1" t="s">
        <v>24</v>
      </c>
      <c r="AC3802" s="1" t="s">
        <v>24</v>
      </c>
      <c r="AD3802" s="1" t="s">
        <v>24</v>
      </c>
      <c r="AE3802" s="1" t="s">
        <v>24</v>
      </c>
      <c r="AF3802" s="22"/>
    </row>
    <row r="3803" spans="1:32" x14ac:dyDescent="0.2">
      <c r="A3803" s="1">
        <v>31704</v>
      </c>
      <c r="B3803" s="1" t="s">
        <v>11715</v>
      </c>
      <c r="C3803" s="5" t="s">
        <v>0</v>
      </c>
      <c r="D3803" s="1" t="s">
        <v>11716</v>
      </c>
      <c r="F3803" s="1" t="s">
        <v>11712</v>
      </c>
      <c r="G3803" s="1" t="s">
        <v>11712</v>
      </c>
      <c r="H3803" s="1" t="s">
        <v>30</v>
      </c>
      <c r="I3803" s="1" t="s">
        <v>16</v>
      </c>
      <c r="J3803" s="1">
        <v>1</v>
      </c>
      <c r="K3803" s="1">
        <v>4</v>
      </c>
      <c r="L3803" s="1" t="s">
        <v>42</v>
      </c>
      <c r="M3803" s="1" t="s">
        <v>18</v>
      </c>
      <c r="N3803" s="1" t="s">
        <v>18</v>
      </c>
      <c r="O3803" s="1">
        <v>2</v>
      </c>
      <c r="P3803" s="1">
        <v>6</v>
      </c>
      <c r="R3803" s="1" t="s">
        <v>19</v>
      </c>
      <c r="S3803" s="1" t="s">
        <v>20</v>
      </c>
      <c r="T3803" s="1" t="s">
        <v>21</v>
      </c>
      <c r="U3803" s="1" t="s">
        <v>22</v>
      </c>
      <c r="V3803" s="1" t="s">
        <v>24</v>
      </c>
      <c r="W3803" s="1" t="s">
        <v>24</v>
      </c>
      <c r="X3803" s="1">
        <v>2725</v>
      </c>
      <c r="Y3803" s="1" t="s">
        <v>24</v>
      </c>
      <c r="Z3803" s="1" t="s">
        <v>24</v>
      </c>
      <c r="AA3803" s="1" t="s">
        <v>24</v>
      </c>
      <c r="AB3803" s="1" t="s">
        <v>24</v>
      </c>
      <c r="AC3803" s="1" t="s">
        <v>24</v>
      </c>
      <c r="AD3803" s="1" t="s">
        <v>24</v>
      </c>
      <c r="AE3803" s="1" t="s">
        <v>24</v>
      </c>
      <c r="AF3803" s="22"/>
    </row>
    <row r="3804" spans="1:32" x14ac:dyDescent="0.2">
      <c r="A3804" s="1">
        <v>31705</v>
      </c>
      <c r="B3804" s="1" t="s">
        <v>11717</v>
      </c>
      <c r="C3804" s="5" t="s">
        <v>0</v>
      </c>
      <c r="D3804" s="1" t="s">
        <v>11718</v>
      </c>
      <c r="E3804" s="1" t="s">
        <v>11719</v>
      </c>
      <c r="F3804" s="1" t="s">
        <v>11712</v>
      </c>
      <c r="G3804" s="1" t="s">
        <v>11712</v>
      </c>
      <c r="H3804" s="1" t="s">
        <v>30</v>
      </c>
      <c r="I3804" s="1" t="s">
        <v>16</v>
      </c>
      <c r="J3804" s="1">
        <v>1</v>
      </c>
      <c r="K3804" s="1">
        <v>4</v>
      </c>
      <c r="L3804" s="1" t="s">
        <v>42</v>
      </c>
      <c r="M3804" s="1" t="s">
        <v>18</v>
      </c>
      <c r="N3804" s="1" t="s">
        <v>18</v>
      </c>
      <c r="O3804" s="1">
        <v>2</v>
      </c>
      <c r="P3804" s="1">
        <v>6</v>
      </c>
      <c r="R3804" s="1" t="s">
        <v>19</v>
      </c>
      <c r="S3804" s="1" t="s">
        <v>63</v>
      </c>
      <c r="T3804" s="1" t="s">
        <v>21</v>
      </c>
      <c r="U3804" s="1" t="s">
        <v>22</v>
      </c>
      <c r="V3804" s="1" t="s">
        <v>24</v>
      </c>
      <c r="W3804" s="1" t="s">
        <v>24</v>
      </c>
      <c r="X3804" s="1">
        <v>3000</v>
      </c>
      <c r="Y3804" s="1">
        <v>2736</v>
      </c>
      <c r="Z3804" s="1" t="s">
        <v>24</v>
      </c>
      <c r="AA3804" s="1" t="s">
        <v>24</v>
      </c>
      <c r="AB3804" s="1" t="s">
        <v>24</v>
      </c>
      <c r="AC3804" s="1" t="s">
        <v>24</v>
      </c>
      <c r="AD3804" s="1" t="s">
        <v>24</v>
      </c>
      <c r="AE3804" s="1" t="s">
        <v>24</v>
      </c>
      <c r="AF3804" s="22"/>
    </row>
    <row r="3805" spans="1:32" x14ac:dyDescent="0.2">
      <c r="A3805" s="1">
        <v>31712</v>
      </c>
      <c r="B3805" s="1" t="s">
        <v>11720</v>
      </c>
      <c r="C3805" s="5" t="s">
        <v>0</v>
      </c>
      <c r="D3805" s="1" t="s">
        <v>11721</v>
      </c>
      <c r="F3805" s="1" t="s">
        <v>11722</v>
      </c>
      <c r="G3805" s="1" t="s">
        <v>11722</v>
      </c>
      <c r="H3805" s="1" t="s">
        <v>69</v>
      </c>
      <c r="I3805" s="1" t="s">
        <v>16</v>
      </c>
      <c r="J3805" s="1">
        <v>1</v>
      </c>
      <c r="K3805" s="1">
        <v>6</v>
      </c>
      <c r="L3805" s="1" t="s">
        <v>42</v>
      </c>
      <c r="M3805" s="1" t="s">
        <v>75</v>
      </c>
      <c r="N3805" s="1" t="s">
        <v>75</v>
      </c>
      <c r="O3805" s="1">
        <v>3</v>
      </c>
      <c r="P3805" s="1">
        <v>6</v>
      </c>
      <c r="R3805" s="1" t="s">
        <v>19</v>
      </c>
      <c r="S3805" s="1" t="s">
        <v>20</v>
      </c>
      <c r="T3805" s="1" t="s">
        <v>21</v>
      </c>
      <c r="U3805" s="1" t="s">
        <v>22</v>
      </c>
      <c r="V3805" s="1" t="s">
        <v>24</v>
      </c>
      <c r="W3805" s="1" t="s">
        <v>24</v>
      </c>
      <c r="X3805" s="1">
        <v>3000</v>
      </c>
      <c r="Y3805" s="1" t="s">
        <v>24</v>
      </c>
      <c r="Z3805" s="1" t="s">
        <v>24</v>
      </c>
      <c r="AA3805" s="1" t="s">
        <v>24</v>
      </c>
      <c r="AB3805" s="1" t="s">
        <v>24</v>
      </c>
      <c r="AC3805" s="1" t="s">
        <v>24</v>
      </c>
      <c r="AD3805" s="1" t="s">
        <v>24</v>
      </c>
      <c r="AE3805" s="1" t="s">
        <v>24</v>
      </c>
      <c r="AF3805" s="22"/>
    </row>
    <row r="3806" spans="1:32" x14ac:dyDescent="0.2">
      <c r="A3806" s="1">
        <v>31715</v>
      </c>
      <c r="B3806" s="1" t="s">
        <v>11723</v>
      </c>
      <c r="C3806" s="5" t="s">
        <v>0</v>
      </c>
      <c r="D3806" s="1" t="s">
        <v>11724</v>
      </c>
      <c r="E3806" s="1" t="s">
        <v>11725</v>
      </c>
      <c r="F3806" s="1" t="s">
        <v>190</v>
      </c>
      <c r="G3806" s="1" t="s">
        <v>130</v>
      </c>
      <c r="H3806" s="1" t="s">
        <v>30</v>
      </c>
      <c r="I3806" s="1" t="s">
        <v>16</v>
      </c>
      <c r="J3806" s="1">
        <v>1</v>
      </c>
      <c r="K3806" s="1">
        <v>4</v>
      </c>
      <c r="L3806" s="1" t="s">
        <v>31</v>
      </c>
      <c r="M3806" s="1" t="s">
        <v>18</v>
      </c>
      <c r="N3806" s="1" t="s">
        <v>18</v>
      </c>
      <c r="O3806" s="1">
        <v>3</v>
      </c>
      <c r="P3806" s="1">
        <v>7</v>
      </c>
      <c r="Q3806" s="7" t="s">
        <v>17633</v>
      </c>
      <c r="R3806" s="1" t="s">
        <v>19</v>
      </c>
      <c r="S3806" s="1" t="s">
        <v>20</v>
      </c>
      <c r="T3806" s="1" t="s">
        <v>21</v>
      </c>
      <c r="U3806" s="1" t="s">
        <v>22</v>
      </c>
      <c r="V3806" s="1" t="s">
        <v>24</v>
      </c>
      <c r="W3806" s="1" t="s">
        <v>24</v>
      </c>
      <c r="X3806" s="1">
        <v>2741</v>
      </c>
      <c r="Y3806" s="1">
        <v>2802</v>
      </c>
      <c r="Z3806" s="1">
        <v>2804</v>
      </c>
      <c r="AA3806" s="1">
        <v>2805</v>
      </c>
      <c r="AB3806" s="1">
        <v>2808</v>
      </c>
      <c r="AC3806" s="1">
        <v>2738</v>
      </c>
      <c r="AD3806" s="1">
        <v>2728</v>
      </c>
      <c r="AE3806" s="1" t="s">
        <v>24</v>
      </c>
      <c r="AF3806" s="22"/>
    </row>
    <row r="3807" spans="1:32" x14ac:dyDescent="0.2">
      <c r="A3807" s="1">
        <v>31722</v>
      </c>
      <c r="B3807" s="1" t="s">
        <v>11726</v>
      </c>
      <c r="C3807" s="5" t="s">
        <v>0</v>
      </c>
      <c r="D3807" s="1" t="s">
        <v>11727</v>
      </c>
      <c r="E3807" s="1" t="s">
        <v>11728</v>
      </c>
      <c r="F3807" s="1" t="s">
        <v>217</v>
      </c>
      <c r="G3807" s="1" t="s">
        <v>130</v>
      </c>
      <c r="H3807" s="1" t="s">
        <v>92</v>
      </c>
      <c r="I3807" s="1" t="s">
        <v>16</v>
      </c>
      <c r="J3807" s="1">
        <v>1</v>
      </c>
      <c r="K3807" s="1">
        <v>4</v>
      </c>
      <c r="L3807" s="1" t="s">
        <v>31</v>
      </c>
      <c r="M3807" s="1" t="s">
        <v>18</v>
      </c>
      <c r="N3807" s="1" t="s">
        <v>18</v>
      </c>
      <c r="O3807" s="1">
        <v>3</v>
      </c>
      <c r="P3807" s="1">
        <v>6</v>
      </c>
      <c r="R3807" s="1" t="s">
        <v>19</v>
      </c>
      <c r="S3807" s="1" t="s">
        <v>20</v>
      </c>
      <c r="T3807" s="1" t="s">
        <v>21</v>
      </c>
      <c r="U3807" s="1" t="s">
        <v>22</v>
      </c>
      <c r="V3807" s="1" t="s">
        <v>24</v>
      </c>
      <c r="W3807" s="1" t="s">
        <v>24</v>
      </c>
      <c r="X3807" s="1">
        <v>2805</v>
      </c>
      <c r="Y3807" s="1" t="s">
        <v>24</v>
      </c>
      <c r="Z3807" s="1" t="s">
        <v>24</v>
      </c>
      <c r="AA3807" s="1" t="s">
        <v>24</v>
      </c>
      <c r="AB3807" s="1" t="s">
        <v>24</v>
      </c>
      <c r="AC3807" s="1" t="s">
        <v>24</v>
      </c>
      <c r="AD3807" s="1" t="s">
        <v>24</v>
      </c>
      <c r="AE3807" s="1" t="s">
        <v>24</v>
      </c>
      <c r="AF3807" s="22"/>
    </row>
    <row r="3808" spans="1:32" x14ac:dyDescent="0.2">
      <c r="A3808" s="1">
        <v>31736</v>
      </c>
      <c r="B3808" s="1" t="s">
        <v>11729</v>
      </c>
      <c r="C3808" s="5" t="s">
        <v>0</v>
      </c>
      <c r="D3808" s="1" t="s">
        <v>11730</v>
      </c>
      <c r="E3808" s="1" t="s">
        <v>11731</v>
      </c>
      <c r="F3808" s="1" t="s">
        <v>167</v>
      </c>
      <c r="G3808" s="1" t="s">
        <v>130</v>
      </c>
      <c r="H3808" s="1" t="s">
        <v>168</v>
      </c>
      <c r="I3808" s="1" t="s">
        <v>16</v>
      </c>
      <c r="J3808" s="1">
        <v>1</v>
      </c>
      <c r="K3808" s="1">
        <v>6</v>
      </c>
      <c r="L3808" s="1" t="s">
        <v>31</v>
      </c>
      <c r="M3808" s="1" t="s">
        <v>413</v>
      </c>
      <c r="N3808" s="1" t="s">
        <v>679</v>
      </c>
      <c r="O3808" s="1">
        <v>0</v>
      </c>
      <c r="P3808" s="1">
        <v>6</v>
      </c>
      <c r="R3808" s="1" t="s">
        <v>19</v>
      </c>
      <c r="S3808" s="1" t="s">
        <v>20</v>
      </c>
      <c r="T3808" s="1" t="s">
        <v>21</v>
      </c>
      <c r="U3808" s="1" t="s">
        <v>22</v>
      </c>
      <c r="V3808" s="1" t="s">
        <v>24</v>
      </c>
      <c r="W3808" s="1" t="s">
        <v>24</v>
      </c>
      <c r="X3808" s="1">
        <v>2730</v>
      </c>
      <c r="Y3808" s="1" t="s">
        <v>24</v>
      </c>
      <c r="Z3808" s="1" t="s">
        <v>24</v>
      </c>
      <c r="AA3808" s="1" t="s">
        <v>24</v>
      </c>
      <c r="AB3808" s="1" t="s">
        <v>24</v>
      </c>
      <c r="AC3808" s="1" t="s">
        <v>24</v>
      </c>
      <c r="AD3808" s="1" t="s">
        <v>24</v>
      </c>
      <c r="AE3808" s="1" t="s">
        <v>24</v>
      </c>
      <c r="AF3808" s="22"/>
    </row>
    <row r="3809" spans="1:32" x14ac:dyDescent="0.2">
      <c r="A3809" s="1">
        <v>31754</v>
      </c>
      <c r="B3809" s="1" t="s">
        <v>11732</v>
      </c>
      <c r="C3809" s="5" t="s">
        <v>0</v>
      </c>
      <c r="D3809" s="1" t="s">
        <v>11733</v>
      </c>
      <c r="E3809" s="1" t="s">
        <v>11734</v>
      </c>
      <c r="F3809" s="1" t="s">
        <v>1181</v>
      </c>
      <c r="G3809" s="1" t="s">
        <v>130</v>
      </c>
      <c r="H3809" s="1" t="s">
        <v>37</v>
      </c>
      <c r="I3809" s="1" t="s">
        <v>16</v>
      </c>
      <c r="J3809" s="1">
        <v>1</v>
      </c>
      <c r="K3809" s="1">
        <v>2</v>
      </c>
      <c r="L3809" s="1" t="s">
        <v>31</v>
      </c>
      <c r="M3809" s="1" t="s">
        <v>18</v>
      </c>
      <c r="N3809" s="1" t="s">
        <v>18</v>
      </c>
      <c r="O3809" s="1">
        <v>3</v>
      </c>
      <c r="P3809" s="1">
        <v>7</v>
      </c>
      <c r="Q3809" s="7" t="s">
        <v>17633</v>
      </c>
      <c r="R3809" s="1" t="s">
        <v>19</v>
      </c>
      <c r="S3809" s="1" t="s">
        <v>20</v>
      </c>
      <c r="T3809" s="1" t="s">
        <v>21</v>
      </c>
      <c r="U3809" s="1" t="s">
        <v>22</v>
      </c>
      <c r="V3809" s="1" t="s">
        <v>23</v>
      </c>
      <c r="W3809" s="1" t="s">
        <v>24</v>
      </c>
      <c r="X3809" s="1">
        <v>2732</v>
      </c>
      <c r="Y3809" s="1" t="s">
        <v>24</v>
      </c>
      <c r="Z3809" s="1" t="s">
        <v>24</v>
      </c>
      <c r="AA3809" s="1" t="s">
        <v>24</v>
      </c>
      <c r="AB3809" s="1" t="s">
        <v>24</v>
      </c>
      <c r="AC3809" s="1" t="s">
        <v>24</v>
      </c>
      <c r="AD3809" s="1" t="s">
        <v>24</v>
      </c>
      <c r="AE3809" s="1" t="s">
        <v>24</v>
      </c>
      <c r="AF3809" s="22"/>
    </row>
    <row r="3810" spans="1:32" x14ac:dyDescent="0.2">
      <c r="A3810" s="1">
        <v>31776</v>
      </c>
      <c r="B3810" s="1" t="s">
        <v>11735</v>
      </c>
      <c r="C3810" s="5" t="s">
        <v>0</v>
      </c>
      <c r="D3810" s="1" t="s">
        <v>11736</v>
      </c>
      <c r="E3810" s="1" t="s">
        <v>11737</v>
      </c>
      <c r="F3810" s="1" t="s">
        <v>310</v>
      </c>
      <c r="G3810" s="1" t="s">
        <v>311</v>
      </c>
      <c r="H3810" s="1" t="s">
        <v>37</v>
      </c>
      <c r="I3810" s="1" t="s">
        <v>16</v>
      </c>
      <c r="J3810" s="1">
        <v>1</v>
      </c>
      <c r="K3810" s="1">
        <v>4</v>
      </c>
      <c r="L3810" s="1" t="s">
        <v>31</v>
      </c>
      <c r="M3810" s="1" t="s">
        <v>18</v>
      </c>
      <c r="N3810" s="1" t="s">
        <v>18</v>
      </c>
      <c r="O3810" s="1">
        <v>3</v>
      </c>
      <c r="P3810" s="1">
        <v>7</v>
      </c>
      <c r="Q3810" s="7" t="s">
        <v>17633</v>
      </c>
      <c r="R3810" s="1" t="s">
        <v>19</v>
      </c>
      <c r="S3810" s="1" t="s">
        <v>20</v>
      </c>
      <c r="T3810" s="1" t="s">
        <v>21</v>
      </c>
      <c r="U3810" s="1" t="s">
        <v>22</v>
      </c>
      <c r="V3810" s="1" t="s">
        <v>24</v>
      </c>
      <c r="W3810" s="1" t="s">
        <v>24</v>
      </c>
      <c r="X3810" s="1">
        <v>2738</v>
      </c>
      <c r="Y3810" s="1">
        <v>3203</v>
      </c>
      <c r="Z3810" s="1" t="s">
        <v>24</v>
      </c>
      <c r="AA3810" s="1" t="s">
        <v>24</v>
      </c>
      <c r="AB3810" s="1" t="s">
        <v>24</v>
      </c>
      <c r="AC3810" s="1" t="s">
        <v>24</v>
      </c>
      <c r="AD3810" s="1" t="s">
        <v>24</v>
      </c>
      <c r="AE3810" s="1" t="s">
        <v>24</v>
      </c>
      <c r="AF3810" s="22"/>
    </row>
    <row r="3811" spans="1:32" x14ac:dyDescent="0.2">
      <c r="A3811" s="1">
        <v>31817</v>
      </c>
      <c r="B3811" s="1" t="s">
        <v>11738</v>
      </c>
      <c r="C3811" s="5" t="s">
        <v>0</v>
      </c>
      <c r="D3811" s="1" t="s">
        <v>11739</v>
      </c>
      <c r="E3811" s="1" t="s">
        <v>11740</v>
      </c>
      <c r="F3811" s="1" t="s">
        <v>920</v>
      </c>
      <c r="G3811" s="1" t="s">
        <v>921</v>
      </c>
      <c r="H3811" s="1" t="s">
        <v>92</v>
      </c>
      <c r="I3811" s="1" t="s">
        <v>16</v>
      </c>
      <c r="J3811" s="1">
        <v>1</v>
      </c>
      <c r="K3811" s="1">
        <v>4</v>
      </c>
      <c r="L3811" s="1" t="s">
        <v>31</v>
      </c>
      <c r="M3811" s="1" t="s">
        <v>18</v>
      </c>
      <c r="N3811" s="1" t="s">
        <v>18</v>
      </c>
      <c r="O3811" s="1">
        <v>2</v>
      </c>
      <c r="P3811" s="1">
        <v>7</v>
      </c>
      <c r="Q3811" s="7" t="s">
        <v>17633</v>
      </c>
      <c r="R3811" s="1" t="s">
        <v>19</v>
      </c>
      <c r="S3811" s="1" t="s">
        <v>20</v>
      </c>
      <c r="T3811" s="1" t="s">
        <v>21</v>
      </c>
      <c r="U3811" s="1" t="s">
        <v>22</v>
      </c>
      <c r="V3811" s="1" t="s">
        <v>24</v>
      </c>
      <c r="W3811" s="1" t="s">
        <v>24</v>
      </c>
      <c r="X3811" s="1">
        <v>2204</v>
      </c>
      <c r="Y3811" s="1">
        <v>2701</v>
      </c>
      <c r="Z3811" s="1">
        <v>1305</v>
      </c>
      <c r="AA3811" s="1">
        <v>1502</v>
      </c>
      <c r="AB3811" s="1" t="s">
        <v>24</v>
      </c>
      <c r="AC3811" s="1" t="s">
        <v>24</v>
      </c>
      <c r="AD3811" s="1" t="s">
        <v>24</v>
      </c>
      <c r="AE3811" s="1" t="s">
        <v>24</v>
      </c>
      <c r="AF3811" s="22"/>
    </row>
    <row r="3812" spans="1:32" x14ac:dyDescent="0.2">
      <c r="A3812" s="1">
        <v>31827</v>
      </c>
      <c r="B3812" s="1" t="s">
        <v>11741</v>
      </c>
      <c r="C3812" s="5" t="s">
        <v>0</v>
      </c>
      <c r="D3812" s="1" t="s">
        <v>11742</v>
      </c>
      <c r="E3812" s="1" t="s">
        <v>11743</v>
      </c>
      <c r="F3812" s="1" t="s">
        <v>1897</v>
      </c>
      <c r="G3812" s="1" t="s">
        <v>1898</v>
      </c>
      <c r="H3812" s="1" t="s">
        <v>899</v>
      </c>
      <c r="I3812" s="1" t="s">
        <v>16</v>
      </c>
      <c r="J3812" s="1">
        <v>1</v>
      </c>
      <c r="K3812" s="1">
        <v>4</v>
      </c>
      <c r="L3812" s="1" t="s">
        <v>31</v>
      </c>
      <c r="M3812" s="1" t="s">
        <v>18</v>
      </c>
      <c r="N3812" s="1" t="s">
        <v>18</v>
      </c>
      <c r="O3812" s="1">
        <v>2</v>
      </c>
      <c r="P3812" s="1">
        <v>6</v>
      </c>
      <c r="R3812" s="1" t="s">
        <v>19</v>
      </c>
      <c r="S3812" s="1" t="s">
        <v>20</v>
      </c>
      <c r="T3812" s="1" t="s">
        <v>21</v>
      </c>
      <c r="U3812" s="1" t="s">
        <v>22</v>
      </c>
      <c r="V3812" s="1" t="s">
        <v>24</v>
      </c>
      <c r="W3812" s="1" t="s">
        <v>24</v>
      </c>
      <c r="X3812" s="1">
        <v>2715</v>
      </c>
      <c r="Y3812" s="1" t="s">
        <v>24</v>
      </c>
      <c r="Z3812" s="1" t="s">
        <v>24</v>
      </c>
      <c r="AA3812" s="1" t="s">
        <v>24</v>
      </c>
      <c r="AB3812" s="1" t="s">
        <v>24</v>
      </c>
      <c r="AC3812" s="1" t="s">
        <v>24</v>
      </c>
      <c r="AD3812" s="1" t="s">
        <v>24</v>
      </c>
      <c r="AE3812" s="1" t="s">
        <v>24</v>
      </c>
      <c r="AF3812" s="22"/>
    </row>
    <row r="3813" spans="1:32" x14ac:dyDescent="0.2">
      <c r="A3813" s="1">
        <v>31836</v>
      </c>
      <c r="B3813" s="1" t="s">
        <v>11744</v>
      </c>
      <c r="C3813" s="5" t="s">
        <v>0</v>
      </c>
      <c r="D3813" s="1" t="s">
        <v>11745</v>
      </c>
      <c r="E3813" s="1" t="s">
        <v>11746</v>
      </c>
      <c r="F3813" s="1" t="s">
        <v>315</v>
      </c>
      <c r="G3813" s="1" t="s">
        <v>316</v>
      </c>
      <c r="H3813" s="1" t="s">
        <v>37</v>
      </c>
      <c r="I3813" s="1" t="s">
        <v>16</v>
      </c>
      <c r="J3813" s="1">
        <v>1</v>
      </c>
      <c r="K3813" s="1">
        <v>12</v>
      </c>
      <c r="L3813" s="1" t="s">
        <v>31</v>
      </c>
      <c r="M3813" s="1" t="s">
        <v>18</v>
      </c>
      <c r="N3813" s="1" t="s">
        <v>18</v>
      </c>
      <c r="O3813" s="1">
        <v>3</v>
      </c>
      <c r="P3813" s="1">
        <v>7</v>
      </c>
      <c r="Q3813" s="7" t="s">
        <v>17633</v>
      </c>
      <c r="R3813" s="1" t="s">
        <v>19</v>
      </c>
      <c r="S3813" s="1" t="s">
        <v>20</v>
      </c>
      <c r="T3813" s="1" t="s">
        <v>21</v>
      </c>
      <c r="U3813" s="1" t="s">
        <v>22</v>
      </c>
      <c r="V3813" s="1" t="s">
        <v>24</v>
      </c>
      <c r="W3813" s="1" t="s">
        <v>24</v>
      </c>
      <c r="X3813" s="1">
        <v>1502</v>
      </c>
      <c r="Y3813" s="1">
        <v>2204</v>
      </c>
      <c r="Z3813" s="1">
        <v>2500</v>
      </c>
      <c r="AA3813" s="1">
        <v>2208</v>
      </c>
      <c r="AB3813" s="1">
        <v>3104</v>
      </c>
      <c r="AC3813" s="1">
        <v>3107</v>
      </c>
      <c r="AD3813" s="1" t="s">
        <v>24</v>
      </c>
      <c r="AE3813" s="1" t="s">
        <v>24</v>
      </c>
      <c r="AF3813" s="22"/>
    </row>
    <row r="3814" spans="1:32" x14ac:dyDescent="0.2">
      <c r="A3814" s="1">
        <v>31881</v>
      </c>
      <c r="B3814" s="1" t="s">
        <v>11747</v>
      </c>
      <c r="C3814" s="5" t="s">
        <v>0</v>
      </c>
      <c r="E3814" s="1" t="s">
        <v>11748</v>
      </c>
      <c r="F3814" s="1" t="s">
        <v>2299</v>
      </c>
      <c r="G3814" s="1" t="s">
        <v>2300</v>
      </c>
      <c r="H3814" s="1" t="s">
        <v>37</v>
      </c>
      <c r="I3814" s="1" t="s">
        <v>16</v>
      </c>
      <c r="J3814" s="1">
        <v>0</v>
      </c>
      <c r="K3814" s="1">
        <v>0</v>
      </c>
      <c r="L3814" s="1" t="s">
        <v>31</v>
      </c>
      <c r="M3814" s="1" t="s">
        <v>18</v>
      </c>
      <c r="N3814" s="1" t="s">
        <v>18</v>
      </c>
      <c r="O3814" s="1">
        <v>3</v>
      </c>
      <c r="P3814" s="1">
        <v>6</v>
      </c>
      <c r="R3814" s="1" t="s">
        <v>19</v>
      </c>
      <c r="S3814" s="1" t="s">
        <v>63</v>
      </c>
      <c r="T3814" s="1" t="s">
        <v>21</v>
      </c>
      <c r="U3814" s="1" t="s">
        <v>22</v>
      </c>
      <c r="V3814" s="1" t="s">
        <v>24</v>
      </c>
      <c r="W3814" s="1" t="s">
        <v>24</v>
      </c>
      <c r="X3814" s="1">
        <v>2739</v>
      </c>
      <c r="Y3814" s="1">
        <v>3311</v>
      </c>
      <c r="Z3814" s="1">
        <v>3005</v>
      </c>
      <c r="AA3814" s="1" t="s">
        <v>24</v>
      </c>
      <c r="AB3814" s="1" t="s">
        <v>24</v>
      </c>
      <c r="AC3814" s="1" t="s">
        <v>24</v>
      </c>
      <c r="AD3814" s="1" t="s">
        <v>24</v>
      </c>
      <c r="AE3814" s="1" t="s">
        <v>24</v>
      </c>
      <c r="AF3814" s="22"/>
    </row>
    <row r="3815" spans="1:32" x14ac:dyDescent="0.2">
      <c r="A3815" s="1">
        <v>31890</v>
      </c>
      <c r="B3815" s="1" t="s">
        <v>11749</v>
      </c>
      <c r="C3815" s="5" t="s">
        <v>0</v>
      </c>
      <c r="D3815" s="1" t="s">
        <v>11750</v>
      </c>
      <c r="E3815" s="1" t="s">
        <v>11751</v>
      </c>
      <c r="F3815" s="1" t="s">
        <v>11752</v>
      </c>
      <c r="G3815" s="1" t="s">
        <v>61</v>
      </c>
      <c r="H3815" s="1" t="s">
        <v>1007</v>
      </c>
      <c r="I3815" s="1" t="s">
        <v>16</v>
      </c>
      <c r="J3815" s="1">
        <v>1</v>
      </c>
      <c r="K3815" s="1">
        <v>12</v>
      </c>
      <c r="L3815" s="1" t="s">
        <v>31</v>
      </c>
      <c r="M3815" s="1" t="s">
        <v>1008</v>
      </c>
      <c r="N3815" s="1" t="s">
        <v>4418</v>
      </c>
      <c r="O3815" s="1">
        <v>3</v>
      </c>
      <c r="P3815" s="1">
        <v>6</v>
      </c>
      <c r="R3815" s="1" t="s">
        <v>19</v>
      </c>
      <c r="S3815" s="1" t="s">
        <v>20</v>
      </c>
      <c r="T3815" s="1" t="s">
        <v>21</v>
      </c>
      <c r="U3815" s="1" t="s">
        <v>22</v>
      </c>
      <c r="V3815" s="1" t="s">
        <v>24</v>
      </c>
      <c r="W3815" s="1" t="s">
        <v>24</v>
      </c>
      <c r="X3815" s="1">
        <v>1311</v>
      </c>
      <c r="Y3815" s="1">
        <v>1312</v>
      </c>
      <c r="Z3815" s="1" t="s">
        <v>24</v>
      </c>
      <c r="AA3815" s="1" t="s">
        <v>24</v>
      </c>
      <c r="AB3815" s="1" t="s">
        <v>24</v>
      </c>
      <c r="AC3815" s="1" t="s">
        <v>24</v>
      </c>
      <c r="AD3815" s="1" t="s">
        <v>24</v>
      </c>
      <c r="AE3815" s="1" t="s">
        <v>24</v>
      </c>
      <c r="AF3815" s="22"/>
    </row>
    <row r="3816" spans="1:32" x14ac:dyDescent="0.2">
      <c r="A3816" s="1">
        <v>31907</v>
      </c>
      <c r="B3816" s="1" t="s">
        <v>11753</v>
      </c>
      <c r="C3816" s="5" t="s">
        <v>0</v>
      </c>
      <c r="D3816" s="1" t="s">
        <v>11754</v>
      </c>
      <c r="E3816" s="1" t="s">
        <v>11755</v>
      </c>
      <c r="F3816" s="1" t="s">
        <v>35</v>
      </c>
      <c r="G3816" s="1" t="s">
        <v>36</v>
      </c>
      <c r="H3816" s="1" t="s">
        <v>37</v>
      </c>
      <c r="I3816" s="1" t="s">
        <v>16</v>
      </c>
      <c r="J3816" s="1">
        <v>1</v>
      </c>
      <c r="K3816" s="1">
        <v>8</v>
      </c>
      <c r="L3816" s="1" t="s">
        <v>31</v>
      </c>
      <c r="M3816" s="1" t="s">
        <v>18</v>
      </c>
      <c r="N3816" s="1" t="s">
        <v>18</v>
      </c>
      <c r="O3816" s="1">
        <v>3</v>
      </c>
      <c r="P3816" s="1">
        <v>7</v>
      </c>
      <c r="Q3816" s="7" t="s">
        <v>17633</v>
      </c>
      <c r="R3816" s="1" t="s">
        <v>19</v>
      </c>
      <c r="S3816" s="1" t="s">
        <v>20</v>
      </c>
      <c r="T3816" s="1" t="s">
        <v>21</v>
      </c>
      <c r="U3816" s="1" t="s">
        <v>22</v>
      </c>
      <c r="V3816" s="1" t="s">
        <v>23</v>
      </c>
      <c r="W3816" s="1" t="s">
        <v>24</v>
      </c>
      <c r="X3816" s="1">
        <v>2400</v>
      </c>
      <c r="Y3816" s="1">
        <v>2725</v>
      </c>
      <c r="Z3816" s="1">
        <v>2713</v>
      </c>
      <c r="AA3816" s="1">
        <v>2739</v>
      </c>
      <c r="AB3816" s="1">
        <v>3400</v>
      </c>
      <c r="AC3816" s="1" t="s">
        <v>24</v>
      </c>
      <c r="AD3816" s="1" t="s">
        <v>24</v>
      </c>
      <c r="AE3816" s="1" t="s">
        <v>24</v>
      </c>
      <c r="AF3816" s="22"/>
    </row>
    <row r="3817" spans="1:32" x14ac:dyDescent="0.2">
      <c r="A3817" s="1">
        <v>31915</v>
      </c>
      <c r="B3817" s="1" t="s">
        <v>11756</v>
      </c>
      <c r="C3817" s="5" t="s">
        <v>0</v>
      </c>
      <c r="D3817" s="1" t="s">
        <v>11757</v>
      </c>
      <c r="E3817" s="1" t="s">
        <v>11758</v>
      </c>
      <c r="F3817" s="1" t="s">
        <v>1887</v>
      </c>
      <c r="G3817" s="1" t="s">
        <v>254</v>
      </c>
      <c r="H3817" s="1" t="s">
        <v>168</v>
      </c>
      <c r="I3817" s="1" t="s">
        <v>16</v>
      </c>
      <c r="J3817" s="1">
        <v>1</v>
      </c>
      <c r="K3817" s="1">
        <v>4</v>
      </c>
      <c r="L3817" s="1" t="s">
        <v>31</v>
      </c>
      <c r="M3817" s="1" t="s">
        <v>18</v>
      </c>
      <c r="N3817" s="1" t="s">
        <v>18</v>
      </c>
      <c r="O3817" s="1">
        <v>3</v>
      </c>
      <c r="P3817" s="1">
        <v>6</v>
      </c>
      <c r="R3817" s="1" t="s">
        <v>19</v>
      </c>
      <c r="S3817" s="1" t="s">
        <v>20</v>
      </c>
      <c r="T3817" s="1" t="s">
        <v>21</v>
      </c>
      <c r="U3817" s="1" t="s">
        <v>22</v>
      </c>
      <c r="V3817" s="1" t="s">
        <v>23</v>
      </c>
      <c r="W3817" s="1" t="s">
        <v>24</v>
      </c>
      <c r="X3817" s="1">
        <v>2742</v>
      </c>
      <c r="Y3817" s="1">
        <v>2717</v>
      </c>
      <c r="Z3817" s="1">
        <v>2902</v>
      </c>
      <c r="AA3817" s="1">
        <v>2738</v>
      </c>
      <c r="AB3817" s="1">
        <v>2809</v>
      </c>
      <c r="AC3817" s="1">
        <v>3616</v>
      </c>
      <c r="AD3817" s="1" t="s">
        <v>24</v>
      </c>
      <c r="AE3817" s="1" t="s">
        <v>24</v>
      </c>
      <c r="AF3817" s="22"/>
    </row>
    <row r="3818" spans="1:32" x14ac:dyDescent="0.2">
      <c r="A3818" s="1">
        <v>31917</v>
      </c>
      <c r="B3818" s="1" t="s">
        <v>11759</v>
      </c>
      <c r="C3818" s="5" t="s">
        <v>0</v>
      </c>
      <c r="D3818" s="1" t="s">
        <v>11760</v>
      </c>
      <c r="E3818" s="1" t="s">
        <v>11761</v>
      </c>
      <c r="F3818" s="1" t="s">
        <v>291</v>
      </c>
      <c r="G3818" s="1" t="s">
        <v>292</v>
      </c>
      <c r="H3818" s="1" t="s">
        <v>37</v>
      </c>
      <c r="I3818" s="1" t="s">
        <v>16</v>
      </c>
      <c r="J3818" s="1">
        <v>1</v>
      </c>
      <c r="K3818" s="1">
        <v>4</v>
      </c>
      <c r="L3818" s="1" t="s">
        <v>31</v>
      </c>
      <c r="M3818" s="1" t="s">
        <v>18</v>
      </c>
      <c r="N3818" s="1" t="s">
        <v>18</v>
      </c>
      <c r="O3818" s="1">
        <v>3</v>
      </c>
      <c r="P3818" s="1">
        <v>7</v>
      </c>
      <c r="Q3818" s="7" t="s">
        <v>17633</v>
      </c>
      <c r="R3818" s="1" t="s">
        <v>19</v>
      </c>
      <c r="S3818" s="1" t="s">
        <v>20</v>
      </c>
      <c r="T3818" s="1" t="s">
        <v>21</v>
      </c>
      <c r="U3818" s="1" t="s">
        <v>22</v>
      </c>
      <c r="V3818" s="1" t="s">
        <v>23</v>
      </c>
      <c r="W3818" s="1" t="s">
        <v>24</v>
      </c>
      <c r="X3818" s="1">
        <v>2735</v>
      </c>
      <c r="Y3818" s="1">
        <v>2742</v>
      </c>
      <c r="Z3818" s="1">
        <v>2806</v>
      </c>
      <c r="AA3818" s="1" t="s">
        <v>24</v>
      </c>
      <c r="AB3818" s="1" t="s">
        <v>24</v>
      </c>
      <c r="AC3818" s="1" t="s">
        <v>24</v>
      </c>
      <c r="AD3818" s="1" t="s">
        <v>24</v>
      </c>
      <c r="AE3818" s="1" t="s">
        <v>24</v>
      </c>
      <c r="AF3818" s="22"/>
    </row>
    <row r="3819" spans="1:32" x14ac:dyDescent="0.2">
      <c r="A3819" s="1">
        <v>31928</v>
      </c>
      <c r="B3819" s="1" t="s">
        <v>11762</v>
      </c>
      <c r="C3819" s="5" t="s">
        <v>0</v>
      </c>
      <c r="D3819" s="1" t="s">
        <v>11763</v>
      </c>
      <c r="E3819" s="1" t="s">
        <v>11764</v>
      </c>
      <c r="F3819" s="1" t="s">
        <v>517</v>
      </c>
      <c r="G3819" s="1" t="s">
        <v>36</v>
      </c>
      <c r="H3819" s="1" t="s">
        <v>30</v>
      </c>
      <c r="I3819" s="1" t="s">
        <v>16</v>
      </c>
      <c r="J3819" s="1">
        <v>1</v>
      </c>
      <c r="K3819" s="1">
        <v>12</v>
      </c>
      <c r="L3819" s="1" t="s">
        <v>31</v>
      </c>
      <c r="M3819" s="1" t="s">
        <v>18</v>
      </c>
      <c r="N3819" s="1" t="s">
        <v>18</v>
      </c>
      <c r="O3819" s="1">
        <v>3</v>
      </c>
      <c r="P3819" s="1">
        <v>7</v>
      </c>
      <c r="Q3819" s="7" t="s">
        <v>17633</v>
      </c>
      <c r="R3819" s="1" t="s">
        <v>19</v>
      </c>
      <c r="S3819" s="1" t="s">
        <v>20</v>
      </c>
      <c r="T3819" s="1" t="s">
        <v>21</v>
      </c>
      <c r="U3819" s="1" t="s">
        <v>22</v>
      </c>
      <c r="V3819" s="1" t="s">
        <v>24</v>
      </c>
      <c r="W3819" s="1" t="s">
        <v>24</v>
      </c>
      <c r="X3819" s="1">
        <v>2702</v>
      </c>
      <c r="Y3819" s="1">
        <v>2722</v>
      </c>
      <c r="Z3819" s="1">
        <v>1105</v>
      </c>
      <c r="AA3819" s="1">
        <v>1305</v>
      </c>
      <c r="AB3819" s="1" t="s">
        <v>24</v>
      </c>
      <c r="AC3819" s="1" t="s">
        <v>24</v>
      </c>
      <c r="AD3819" s="1" t="s">
        <v>24</v>
      </c>
      <c r="AE3819" s="1" t="s">
        <v>24</v>
      </c>
      <c r="AF3819" s="22"/>
    </row>
    <row r="3820" spans="1:32" x14ac:dyDescent="0.2">
      <c r="A3820" s="1">
        <v>32014</v>
      </c>
      <c r="B3820" s="1" t="s">
        <v>11765</v>
      </c>
      <c r="C3820" s="5" t="s">
        <v>0</v>
      </c>
      <c r="D3820" s="1" t="s">
        <v>11766</v>
      </c>
      <c r="E3820" s="1" t="s">
        <v>11767</v>
      </c>
      <c r="F3820" s="1" t="s">
        <v>1808</v>
      </c>
      <c r="G3820" s="1" t="s">
        <v>130</v>
      </c>
      <c r="H3820" s="1" t="s">
        <v>461</v>
      </c>
      <c r="I3820" s="1" t="s">
        <v>16</v>
      </c>
      <c r="J3820" s="1">
        <v>1</v>
      </c>
      <c r="K3820" s="1">
        <v>12</v>
      </c>
      <c r="L3820" s="1" t="s">
        <v>31</v>
      </c>
      <c r="M3820" s="1" t="s">
        <v>1097</v>
      </c>
      <c r="N3820" s="1" t="s">
        <v>18</v>
      </c>
      <c r="O3820" s="1">
        <v>1</v>
      </c>
      <c r="P3820" s="1">
        <v>5</v>
      </c>
      <c r="R3820" s="1" t="s">
        <v>19</v>
      </c>
      <c r="S3820" s="1" t="s">
        <v>20</v>
      </c>
      <c r="T3820" s="1" t="s">
        <v>21</v>
      </c>
      <c r="U3820" s="1" t="s">
        <v>22</v>
      </c>
      <c r="V3820" s="1" t="s">
        <v>23</v>
      </c>
      <c r="W3820" s="1" t="s">
        <v>24</v>
      </c>
      <c r="X3820" s="1">
        <v>2705</v>
      </c>
      <c r="Y3820" s="1">
        <v>2746</v>
      </c>
      <c r="Z3820" s="1">
        <v>2740</v>
      </c>
      <c r="AA3820" s="1" t="s">
        <v>24</v>
      </c>
      <c r="AB3820" s="1" t="s">
        <v>24</v>
      </c>
      <c r="AC3820" s="1" t="s">
        <v>24</v>
      </c>
      <c r="AD3820" s="1" t="s">
        <v>24</v>
      </c>
      <c r="AE3820" s="1" t="s">
        <v>24</v>
      </c>
      <c r="AF3820" s="22"/>
    </row>
    <row r="3821" spans="1:32" x14ac:dyDescent="0.2">
      <c r="A3821" s="1">
        <v>32083</v>
      </c>
      <c r="B3821" s="1" t="s">
        <v>11768</v>
      </c>
      <c r="C3821" s="5" t="s">
        <v>0</v>
      </c>
      <c r="D3821" s="1" t="s">
        <v>11769</v>
      </c>
      <c r="E3821" s="1" t="s">
        <v>11770</v>
      </c>
      <c r="F3821" s="1" t="s">
        <v>776</v>
      </c>
      <c r="G3821" s="1" t="s">
        <v>777</v>
      </c>
      <c r="H3821" s="1" t="s">
        <v>30</v>
      </c>
      <c r="I3821" s="1" t="s">
        <v>16</v>
      </c>
      <c r="J3821" s="1">
        <v>1</v>
      </c>
      <c r="K3821" s="1">
        <v>12</v>
      </c>
      <c r="L3821" s="1" t="s">
        <v>31</v>
      </c>
      <c r="M3821" s="1" t="s">
        <v>18</v>
      </c>
      <c r="N3821" s="1" t="s">
        <v>18</v>
      </c>
      <c r="O3821" s="1">
        <v>3</v>
      </c>
      <c r="P3821" s="1">
        <v>7</v>
      </c>
      <c r="Q3821" s="7" t="s">
        <v>17633</v>
      </c>
      <c r="R3821" s="1" t="s">
        <v>19</v>
      </c>
      <c r="S3821" s="1" t="s">
        <v>20</v>
      </c>
      <c r="T3821" s="1" t="s">
        <v>21</v>
      </c>
      <c r="U3821" s="1" t="s">
        <v>22</v>
      </c>
      <c r="V3821" s="1" t="s">
        <v>24</v>
      </c>
      <c r="W3821" s="1" t="s">
        <v>64</v>
      </c>
      <c r="X3821" s="1">
        <v>1303</v>
      </c>
      <c r="Y3821" s="1">
        <v>1313</v>
      </c>
      <c r="Z3821" s="1" t="s">
        <v>24</v>
      </c>
      <c r="AA3821" s="1" t="s">
        <v>24</v>
      </c>
      <c r="AB3821" s="1" t="s">
        <v>24</v>
      </c>
      <c r="AC3821" s="1" t="s">
        <v>24</v>
      </c>
      <c r="AD3821" s="1" t="s">
        <v>24</v>
      </c>
      <c r="AE3821" s="1" t="s">
        <v>24</v>
      </c>
      <c r="AF3821" s="22"/>
    </row>
    <row r="3822" spans="1:32" x14ac:dyDescent="0.2">
      <c r="A3822" s="1">
        <v>32087</v>
      </c>
      <c r="B3822" s="1" t="s">
        <v>11771</v>
      </c>
      <c r="C3822" s="5" t="s">
        <v>0</v>
      </c>
      <c r="D3822" s="1" t="s">
        <v>11772</v>
      </c>
      <c r="F3822" s="1" t="s">
        <v>11773</v>
      </c>
      <c r="G3822" s="1" t="s">
        <v>11774</v>
      </c>
      <c r="H3822" s="1" t="s">
        <v>147</v>
      </c>
      <c r="I3822" s="1" t="s">
        <v>16</v>
      </c>
      <c r="J3822" s="1">
        <v>1</v>
      </c>
      <c r="K3822" s="1">
        <v>4</v>
      </c>
      <c r="L3822" s="1" t="s">
        <v>31</v>
      </c>
      <c r="M3822" s="1" t="s">
        <v>118</v>
      </c>
      <c r="N3822" s="1" t="s">
        <v>118</v>
      </c>
      <c r="O3822" s="1">
        <v>3</v>
      </c>
      <c r="P3822" s="1">
        <v>6</v>
      </c>
      <c r="R3822" s="1" t="s">
        <v>19</v>
      </c>
      <c r="S3822" s="1" t="s">
        <v>20</v>
      </c>
      <c r="T3822" s="1" t="s">
        <v>21</v>
      </c>
      <c r="U3822" s="1" t="s">
        <v>22</v>
      </c>
      <c r="V3822" s="1" t="s">
        <v>24</v>
      </c>
      <c r="W3822" s="1" t="s">
        <v>24</v>
      </c>
      <c r="X3822" s="1">
        <v>2736</v>
      </c>
      <c r="Y3822" s="1">
        <v>3004</v>
      </c>
      <c r="Z3822" s="1" t="s">
        <v>24</v>
      </c>
      <c r="AA3822" s="1" t="s">
        <v>24</v>
      </c>
      <c r="AB3822" s="1" t="s">
        <v>24</v>
      </c>
      <c r="AC3822" s="1" t="s">
        <v>24</v>
      </c>
      <c r="AD3822" s="1" t="s">
        <v>24</v>
      </c>
      <c r="AE3822" s="1" t="s">
        <v>24</v>
      </c>
      <c r="AF3822" s="22"/>
    </row>
    <row r="3823" spans="1:32" x14ac:dyDescent="0.2">
      <c r="A3823" s="1">
        <v>32090</v>
      </c>
      <c r="B3823" s="1" t="s">
        <v>11775</v>
      </c>
      <c r="C3823" s="5" t="s">
        <v>0</v>
      </c>
      <c r="D3823" s="1" t="s">
        <v>11776</v>
      </c>
      <c r="F3823" s="1" t="s">
        <v>275</v>
      </c>
      <c r="G3823" s="1" t="s">
        <v>276</v>
      </c>
      <c r="H3823" s="1" t="s">
        <v>46</v>
      </c>
      <c r="I3823" s="1" t="s">
        <v>16</v>
      </c>
      <c r="J3823" s="1">
        <v>1</v>
      </c>
      <c r="K3823" s="1">
        <v>4</v>
      </c>
      <c r="L3823" s="1" t="s">
        <v>31</v>
      </c>
      <c r="M3823" s="1" t="s">
        <v>18</v>
      </c>
      <c r="N3823" s="1" t="s">
        <v>18</v>
      </c>
      <c r="O3823" s="1">
        <v>3</v>
      </c>
      <c r="P3823" s="1">
        <v>7</v>
      </c>
      <c r="Q3823" s="7" t="s">
        <v>17633</v>
      </c>
      <c r="R3823" s="1" t="s">
        <v>19</v>
      </c>
      <c r="S3823" s="1" t="s">
        <v>20</v>
      </c>
      <c r="T3823" s="1" t="s">
        <v>21</v>
      </c>
      <c r="U3823" s="1" t="s">
        <v>22</v>
      </c>
      <c r="V3823" s="1" t="s">
        <v>24</v>
      </c>
      <c r="W3823" s="1" t="s">
        <v>24</v>
      </c>
      <c r="X3823" s="1">
        <v>1304</v>
      </c>
      <c r="Y3823" s="1">
        <v>1312</v>
      </c>
      <c r="Z3823" s="1">
        <v>1315</v>
      </c>
      <c r="AA3823" s="1" t="s">
        <v>24</v>
      </c>
      <c r="AB3823" s="1" t="s">
        <v>24</v>
      </c>
      <c r="AC3823" s="1" t="s">
        <v>24</v>
      </c>
      <c r="AD3823" s="1" t="s">
        <v>24</v>
      </c>
      <c r="AE3823" s="1" t="s">
        <v>24</v>
      </c>
      <c r="AF3823" s="22"/>
    </row>
    <row r="3824" spans="1:32" x14ac:dyDescent="0.2">
      <c r="A3824" s="1">
        <v>32093</v>
      </c>
      <c r="B3824" s="1" t="s">
        <v>11777</v>
      </c>
      <c r="C3824" s="5" t="s">
        <v>0</v>
      </c>
      <c r="D3824" s="1" t="s">
        <v>11778</v>
      </c>
      <c r="E3824" s="1" t="s">
        <v>11779</v>
      </c>
      <c r="F3824" s="1" t="s">
        <v>651</v>
      </c>
      <c r="G3824" s="1" t="s">
        <v>36</v>
      </c>
      <c r="H3824" s="1" t="s">
        <v>168</v>
      </c>
      <c r="I3824" s="1" t="s">
        <v>16</v>
      </c>
      <c r="J3824" s="1">
        <v>1</v>
      </c>
      <c r="K3824" s="1">
        <v>12</v>
      </c>
      <c r="L3824" s="1" t="s">
        <v>31</v>
      </c>
      <c r="M3824" s="1" t="s">
        <v>18</v>
      </c>
      <c r="N3824" s="1" t="s">
        <v>18</v>
      </c>
      <c r="O3824" s="1">
        <v>3</v>
      </c>
      <c r="P3824" s="1">
        <v>7</v>
      </c>
      <c r="Q3824" s="7" t="s">
        <v>17633</v>
      </c>
      <c r="R3824" s="1" t="s">
        <v>19</v>
      </c>
      <c r="S3824" s="1" t="s">
        <v>20</v>
      </c>
      <c r="T3824" s="1" t="s">
        <v>21</v>
      </c>
      <c r="U3824" s="1" t="s">
        <v>22</v>
      </c>
      <c r="V3824" s="1" t="s">
        <v>24</v>
      </c>
      <c r="W3824" s="1" t="s">
        <v>24</v>
      </c>
      <c r="X3824" s="1">
        <v>2402</v>
      </c>
      <c r="Y3824" s="1">
        <v>1313</v>
      </c>
      <c r="Z3824" s="1" t="s">
        <v>24</v>
      </c>
      <c r="AA3824" s="1" t="s">
        <v>24</v>
      </c>
      <c r="AB3824" s="1" t="s">
        <v>24</v>
      </c>
      <c r="AC3824" s="1" t="s">
        <v>24</v>
      </c>
      <c r="AD3824" s="1" t="s">
        <v>24</v>
      </c>
      <c r="AE3824" s="1" t="s">
        <v>24</v>
      </c>
      <c r="AF3824" s="22"/>
    </row>
    <row r="3825" spans="1:32" x14ac:dyDescent="0.2">
      <c r="A3825" s="1">
        <v>32095</v>
      </c>
      <c r="B3825" s="1" t="s">
        <v>11780</v>
      </c>
      <c r="C3825" s="5" t="s">
        <v>0</v>
      </c>
      <c r="D3825" s="1" t="s">
        <v>11781</v>
      </c>
      <c r="E3825" s="1" t="s">
        <v>11782</v>
      </c>
      <c r="F3825" s="1" t="s">
        <v>4337</v>
      </c>
      <c r="G3825" s="1" t="s">
        <v>4338</v>
      </c>
      <c r="H3825" s="1" t="s">
        <v>30</v>
      </c>
      <c r="I3825" s="1" t="s">
        <v>16</v>
      </c>
      <c r="J3825" s="1">
        <v>1</v>
      </c>
      <c r="K3825" s="1">
        <v>4</v>
      </c>
      <c r="L3825" s="1" t="s">
        <v>31</v>
      </c>
      <c r="M3825" s="1" t="s">
        <v>18</v>
      </c>
      <c r="N3825" s="1" t="s">
        <v>18</v>
      </c>
      <c r="O3825" s="1">
        <v>3</v>
      </c>
      <c r="P3825" s="1">
        <v>7</v>
      </c>
      <c r="Q3825" s="7" t="s">
        <v>17633</v>
      </c>
      <c r="R3825" s="1" t="s">
        <v>19</v>
      </c>
      <c r="S3825" s="1" t="s">
        <v>20</v>
      </c>
      <c r="T3825" s="1" t="s">
        <v>21</v>
      </c>
      <c r="U3825" s="1" t="s">
        <v>22</v>
      </c>
      <c r="V3825" s="1" t="s">
        <v>23</v>
      </c>
      <c r="W3825" s="1" t="s">
        <v>24</v>
      </c>
      <c r="X3825" s="1">
        <v>2729</v>
      </c>
      <c r="Y3825" s="1">
        <v>2913</v>
      </c>
      <c r="Z3825" s="1">
        <v>2919</v>
      </c>
      <c r="AA3825" s="1">
        <v>2719</v>
      </c>
      <c r="AB3825" s="1" t="s">
        <v>24</v>
      </c>
      <c r="AC3825" s="1" t="s">
        <v>24</v>
      </c>
      <c r="AD3825" s="1" t="s">
        <v>24</v>
      </c>
      <c r="AE3825" s="1" t="s">
        <v>24</v>
      </c>
      <c r="AF3825" s="22"/>
    </row>
    <row r="3826" spans="1:32" x14ac:dyDescent="0.2">
      <c r="A3826" s="1">
        <v>32097</v>
      </c>
      <c r="B3826" s="1" t="s">
        <v>11783</v>
      </c>
      <c r="C3826" s="5" t="s">
        <v>0</v>
      </c>
      <c r="D3826" s="1" t="s">
        <v>11784</v>
      </c>
      <c r="F3826" s="1" t="s">
        <v>6609</v>
      </c>
      <c r="G3826" s="1" t="s">
        <v>6609</v>
      </c>
      <c r="H3826" s="1" t="s">
        <v>116</v>
      </c>
      <c r="I3826" s="1" t="s">
        <v>16</v>
      </c>
      <c r="J3826" s="1">
        <v>1</v>
      </c>
      <c r="K3826" s="1">
        <v>4</v>
      </c>
      <c r="L3826" s="1" t="s">
        <v>42</v>
      </c>
      <c r="M3826" s="1" t="s">
        <v>18</v>
      </c>
      <c r="N3826" s="1" t="s">
        <v>18</v>
      </c>
      <c r="O3826" s="1">
        <v>2</v>
      </c>
      <c r="P3826" s="1">
        <v>6</v>
      </c>
      <c r="R3826" s="1" t="s">
        <v>19</v>
      </c>
      <c r="S3826" s="1" t="s">
        <v>20</v>
      </c>
      <c r="T3826" s="1" t="s">
        <v>21</v>
      </c>
      <c r="U3826" s="1" t="s">
        <v>22</v>
      </c>
      <c r="V3826" s="1" t="s">
        <v>24</v>
      </c>
      <c r="W3826" s="1" t="s">
        <v>24</v>
      </c>
      <c r="X3826" s="1">
        <v>2730</v>
      </c>
      <c r="Y3826" s="1">
        <v>2736</v>
      </c>
      <c r="Z3826" s="1" t="s">
        <v>24</v>
      </c>
      <c r="AA3826" s="1" t="s">
        <v>24</v>
      </c>
      <c r="AB3826" s="1" t="s">
        <v>24</v>
      </c>
      <c r="AC3826" s="1" t="s">
        <v>24</v>
      </c>
      <c r="AD3826" s="1" t="s">
        <v>24</v>
      </c>
      <c r="AE3826" s="1" t="s">
        <v>24</v>
      </c>
      <c r="AF3826" s="22"/>
    </row>
    <row r="3827" spans="1:32" x14ac:dyDescent="0.2">
      <c r="A3827" s="1">
        <v>32098</v>
      </c>
      <c r="B3827" s="1" t="s">
        <v>11785</v>
      </c>
      <c r="C3827" s="5" t="s">
        <v>0</v>
      </c>
      <c r="D3827" s="1" t="s">
        <v>11786</v>
      </c>
      <c r="E3827" s="1" t="s">
        <v>11787</v>
      </c>
      <c r="F3827" s="1" t="s">
        <v>920</v>
      </c>
      <c r="G3827" s="1" t="s">
        <v>921</v>
      </c>
      <c r="H3827" s="1" t="s">
        <v>92</v>
      </c>
      <c r="I3827" s="1" t="s">
        <v>16</v>
      </c>
      <c r="J3827" s="1">
        <v>1</v>
      </c>
      <c r="K3827" s="1">
        <v>6</v>
      </c>
      <c r="L3827" s="1" t="s">
        <v>31</v>
      </c>
      <c r="M3827" s="1" t="s">
        <v>18</v>
      </c>
      <c r="N3827" s="1" t="s">
        <v>18</v>
      </c>
      <c r="O3827" s="1">
        <v>3</v>
      </c>
      <c r="P3827" s="1">
        <v>7</v>
      </c>
      <c r="Q3827" s="7" t="s">
        <v>17633</v>
      </c>
      <c r="R3827" s="1" t="s">
        <v>19</v>
      </c>
      <c r="S3827" s="1" t="s">
        <v>20</v>
      </c>
      <c r="T3827" s="1" t="s">
        <v>21</v>
      </c>
      <c r="U3827" s="1" t="s">
        <v>22</v>
      </c>
      <c r="V3827" s="1" t="s">
        <v>24</v>
      </c>
      <c r="W3827" s="1" t="s">
        <v>24</v>
      </c>
      <c r="X3827" s="1">
        <v>1306</v>
      </c>
      <c r="Y3827" s="1">
        <v>2730</v>
      </c>
      <c r="Z3827" s="1">
        <v>1311</v>
      </c>
      <c r="AA3827" s="1" t="s">
        <v>24</v>
      </c>
      <c r="AB3827" s="1" t="s">
        <v>24</v>
      </c>
      <c r="AC3827" s="1" t="s">
        <v>24</v>
      </c>
      <c r="AD3827" s="1" t="s">
        <v>24</v>
      </c>
      <c r="AE3827" s="1" t="s">
        <v>24</v>
      </c>
      <c r="AF3827" s="22"/>
    </row>
    <row r="3828" spans="1:32" x14ac:dyDescent="0.2">
      <c r="A3828" s="1">
        <v>32099</v>
      </c>
      <c r="B3828" s="1" t="s">
        <v>11788</v>
      </c>
      <c r="C3828" s="5" t="s">
        <v>0</v>
      </c>
      <c r="E3828" s="1" t="s">
        <v>11789</v>
      </c>
      <c r="F3828" s="1" t="s">
        <v>11790</v>
      </c>
      <c r="G3828" s="1" t="s">
        <v>11790</v>
      </c>
      <c r="H3828" s="1" t="s">
        <v>37</v>
      </c>
      <c r="I3828" s="1" t="s">
        <v>16</v>
      </c>
      <c r="J3828" s="1">
        <v>1</v>
      </c>
      <c r="K3828" s="1">
        <v>2</v>
      </c>
      <c r="L3828" s="1" t="s">
        <v>42</v>
      </c>
      <c r="M3828" s="1" t="s">
        <v>18</v>
      </c>
      <c r="N3828" s="1" t="s">
        <v>18</v>
      </c>
      <c r="O3828" s="1">
        <v>2</v>
      </c>
      <c r="P3828" s="1">
        <v>6</v>
      </c>
      <c r="R3828" s="1" t="s">
        <v>19</v>
      </c>
      <c r="S3828" s="1" t="s">
        <v>63</v>
      </c>
      <c r="T3828" s="1" t="s">
        <v>21</v>
      </c>
      <c r="U3828" s="1" t="s">
        <v>22</v>
      </c>
      <c r="V3828" s="1" t="s">
        <v>23</v>
      </c>
      <c r="W3828" s="1" t="s">
        <v>24</v>
      </c>
      <c r="X3828" s="1">
        <v>2730</v>
      </c>
      <c r="Y3828" s="1">
        <v>2741</v>
      </c>
      <c r="Z3828" s="1">
        <v>3614</v>
      </c>
      <c r="AA3828" s="1" t="s">
        <v>24</v>
      </c>
      <c r="AB3828" s="1" t="s">
        <v>24</v>
      </c>
      <c r="AC3828" s="1" t="s">
        <v>24</v>
      </c>
      <c r="AD3828" s="1" t="s">
        <v>24</v>
      </c>
      <c r="AE3828" s="1" t="s">
        <v>24</v>
      </c>
      <c r="AF3828" s="22"/>
    </row>
    <row r="3829" spans="1:32" x14ac:dyDescent="0.2">
      <c r="A3829" s="1">
        <v>32101</v>
      </c>
      <c r="B3829" s="1" t="s">
        <v>11791</v>
      </c>
      <c r="C3829" s="5" t="s">
        <v>0</v>
      </c>
      <c r="D3829" s="1" t="s">
        <v>11792</v>
      </c>
      <c r="F3829" s="1" t="s">
        <v>11793</v>
      </c>
      <c r="G3829" s="1" t="s">
        <v>11793</v>
      </c>
      <c r="H3829" s="1" t="s">
        <v>1007</v>
      </c>
      <c r="I3829" s="1" t="s">
        <v>16</v>
      </c>
      <c r="J3829" s="1">
        <v>1</v>
      </c>
      <c r="K3829" s="1">
        <v>6</v>
      </c>
      <c r="L3829" s="1" t="s">
        <v>17</v>
      </c>
      <c r="M3829" s="1" t="s">
        <v>1008</v>
      </c>
      <c r="N3829" s="1" t="s">
        <v>4418</v>
      </c>
      <c r="O3829" s="1">
        <v>2</v>
      </c>
      <c r="P3829" s="1">
        <v>5</v>
      </c>
      <c r="R3829" s="1" t="s">
        <v>19</v>
      </c>
      <c r="S3829" s="1" t="s">
        <v>20</v>
      </c>
      <c r="T3829" s="1" t="s">
        <v>21</v>
      </c>
      <c r="U3829" s="1" t="s">
        <v>22</v>
      </c>
      <c r="V3829" s="1" t="s">
        <v>24</v>
      </c>
      <c r="W3829" s="1" t="s">
        <v>24</v>
      </c>
      <c r="X3829" s="1">
        <v>2402</v>
      </c>
      <c r="Y3829" s="1">
        <v>2403</v>
      </c>
      <c r="Z3829" s="1">
        <v>1305</v>
      </c>
      <c r="AA3829" s="1">
        <v>1303</v>
      </c>
      <c r="AB3829" s="1" t="s">
        <v>24</v>
      </c>
      <c r="AC3829" s="1" t="s">
        <v>24</v>
      </c>
      <c r="AD3829" s="1" t="s">
        <v>24</v>
      </c>
      <c r="AE3829" s="1" t="s">
        <v>24</v>
      </c>
      <c r="AF3829" s="22"/>
    </row>
    <row r="3830" spans="1:32" x14ac:dyDescent="0.2">
      <c r="A3830" s="1">
        <v>32102</v>
      </c>
      <c r="B3830" s="1" t="s">
        <v>11794</v>
      </c>
      <c r="C3830" s="5" t="s">
        <v>0</v>
      </c>
      <c r="D3830" s="1" t="s">
        <v>11795</v>
      </c>
      <c r="F3830" s="1" t="s">
        <v>11796</v>
      </c>
      <c r="G3830" s="1" t="s">
        <v>11796</v>
      </c>
      <c r="H3830" s="1" t="s">
        <v>1007</v>
      </c>
      <c r="I3830" s="1" t="s">
        <v>16</v>
      </c>
      <c r="J3830" s="1">
        <v>1</v>
      </c>
      <c r="K3830" s="1">
        <v>6</v>
      </c>
      <c r="L3830" s="1" t="s">
        <v>17</v>
      </c>
      <c r="M3830" s="1" t="s">
        <v>1008</v>
      </c>
      <c r="N3830" s="1" t="s">
        <v>4418</v>
      </c>
      <c r="O3830" s="1">
        <v>3</v>
      </c>
      <c r="P3830" s="1">
        <v>5</v>
      </c>
      <c r="R3830" s="1" t="s">
        <v>19</v>
      </c>
      <c r="S3830" s="1" t="s">
        <v>20</v>
      </c>
      <c r="T3830" s="1" t="s">
        <v>21</v>
      </c>
      <c r="U3830" s="1" t="s">
        <v>22</v>
      </c>
      <c r="V3830" s="1" t="s">
        <v>23</v>
      </c>
      <c r="W3830" s="1" t="s">
        <v>24</v>
      </c>
      <c r="X3830" s="1">
        <v>2706</v>
      </c>
      <c r="Y3830" s="1">
        <v>2708</v>
      </c>
      <c r="Z3830" s="1" t="s">
        <v>24</v>
      </c>
      <c r="AA3830" s="1" t="s">
        <v>24</v>
      </c>
      <c r="AB3830" s="1" t="s">
        <v>24</v>
      </c>
      <c r="AC3830" s="1" t="s">
        <v>24</v>
      </c>
      <c r="AD3830" s="1" t="s">
        <v>24</v>
      </c>
      <c r="AE3830" s="1" t="s">
        <v>24</v>
      </c>
      <c r="AF3830" s="22"/>
    </row>
    <row r="3831" spans="1:32" x14ac:dyDescent="0.2">
      <c r="A3831" s="1">
        <v>32103</v>
      </c>
      <c r="B3831" s="1" t="s">
        <v>11797</v>
      </c>
      <c r="C3831" s="5" t="s">
        <v>0</v>
      </c>
      <c r="D3831" s="1" t="s">
        <v>11798</v>
      </c>
      <c r="E3831" s="1" t="s">
        <v>11799</v>
      </c>
      <c r="F3831" s="1" t="s">
        <v>175</v>
      </c>
      <c r="G3831" s="1" t="s">
        <v>61</v>
      </c>
      <c r="H3831" s="1" t="s">
        <v>116</v>
      </c>
      <c r="I3831" s="1" t="s">
        <v>16</v>
      </c>
      <c r="J3831" s="1">
        <v>1</v>
      </c>
      <c r="K3831" s="1">
        <v>6</v>
      </c>
      <c r="L3831" s="1" t="s">
        <v>31</v>
      </c>
      <c r="M3831" s="1" t="s">
        <v>117</v>
      </c>
      <c r="N3831" s="1" t="s">
        <v>118</v>
      </c>
      <c r="O3831" s="1">
        <v>2</v>
      </c>
      <c r="P3831" s="1">
        <v>6</v>
      </c>
      <c r="R3831" s="1" t="s">
        <v>19</v>
      </c>
      <c r="S3831" s="1" t="s">
        <v>20</v>
      </c>
      <c r="T3831" s="1" t="s">
        <v>21</v>
      </c>
      <c r="U3831" s="1" t="s">
        <v>22</v>
      </c>
      <c r="V3831" s="1" t="s">
        <v>23</v>
      </c>
      <c r="W3831" s="1" t="s">
        <v>24</v>
      </c>
      <c r="X3831" s="1">
        <v>2705</v>
      </c>
      <c r="Y3831" s="1">
        <v>2736</v>
      </c>
      <c r="Z3831" s="1" t="s">
        <v>24</v>
      </c>
      <c r="AA3831" s="1" t="s">
        <v>24</v>
      </c>
      <c r="AB3831" s="1" t="s">
        <v>24</v>
      </c>
      <c r="AC3831" s="1" t="s">
        <v>24</v>
      </c>
      <c r="AD3831" s="1" t="s">
        <v>24</v>
      </c>
      <c r="AE3831" s="1" t="s">
        <v>24</v>
      </c>
      <c r="AF3831" s="22"/>
    </row>
    <row r="3832" spans="1:32" x14ac:dyDescent="0.2">
      <c r="A3832" s="1">
        <v>32104</v>
      </c>
      <c r="B3832" s="1" t="s">
        <v>11800</v>
      </c>
      <c r="C3832" s="5" t="s">
        <v>0</v>
      </c>
      <c r="D3832" s="1" t="s">
        <v>11801</v>
      </c>
      <c r="F3832" s="1" t="s">
        <v>11800</v>
      </c>
      <c r="G3832" s="1" t="s">
        <v>11800</v>
      </c>
      <c r="H3832" s="1" t="s">
        <v>249</v>
      </c>
      <c r="I3832" s="1" t="s">
        <v>16</v>
      </c>
      <c r="J3832" s="1">
        <v>1</v>
      </c>
      <c r="K3832" s="1">
        <v>4</v>
      </c>
      <c r="L3832" s="1" t="s">
        <v>42</v>
      </c>
      <c r="M3832" s="1" t="s">
        <v>18</v>
      </c>
      <c r="N3832" s="1" t="s">
        <v>18</v>
      </c>
      <c r="O3832" s="1">
        <v>3</v>
      </c>
      <c r="P3832" s="1">
        <v>6</v>
      </c>
      <c r="R3832" s="1" t="s">
        <v>19</v>
      </c>
      <c r="S3832" s="1" t="s">
        <v>63</v>
      </c>
      <c r="T3832" s="1" t="s">
        <v>21</v>
      </c>
      <c r="U3832" s="1" t="s">
        <v>22</v>
      </c>
      <c r="V3832" s="1" t="s">
        <v>24</v>
      </c>
      <c r="W3832" s="1" t="s">
        <v>24</v>
      </c>
      <c r="X3832" s="1">
        <v>2705</v>
      </c>
      <c r="Y3832" s="1">
        <v>2712</v>
      </c>
      <c r="Z3832" s="1">
        <v>2730</v>
      </c>
      <c r="AA3832" s="1">
        <v>1310</v>
      </c>
      <c r="AB3832" s="1">
        <v>1306</v>
      </c>
      <c r="AC3832" s="1" t="s">
        <v>24</v>
      </c>
      <c r="AD3832" s="1" t="s">
        <v>24</v>
      </c>
      <c r="AE3832" s="1" t="s">
        <v>24</v>
      </c>
      <c r="AF3832" s="22"/>
    </row>
    <row r="3833" spans="1:32" x14ac:dyDescent="0.2">
      <c r="A3833" s="1">
        <v>32105</v>
      </c>
      <c r="B3833" s="1" t="s">
        <v>11802</v>
      </c>
      <c r="C3833" s="5" t="s">
        <v>0</v>
      </c>
      <c r="D3833" s="1" t="s">
        <v>11803</v>
      </c>
      <c r="E3833" s="1" t="s">
        <v>11804</v>
      </c>
      <c r="F3833" s="1" t="s">
        <v>751</v>
      </c>
      <c r="G3833" s="1" t="s">
        <v>36</v>
      </c>
      <c r="H3833" s="1" t="s">
        <v>37</v>
      </c>
      <c r="I3833" s="1" t="s">
        <v>16</v>
      </c>
      <c r="J3833" s="1">
        <v>1</v>
      </c>
      <c r="K3833" s="1">
        <v>6</v>
      </c>
      <c r="L3833" s="1" t="s">
        <v>31</v>
      </c>
      <c r="M3833" s="1" t="s">
        <v>18</v>
      </c>
      <c r="N3833" s="1" t="s">
        <v>18</v>
      </c>
      <c r="O3833" s="1">
        <v>3</v>
      </c>
      <c r="P3833" s="1">
        <v>7</v>
      </c>
      <c r="Q3833" s="7" t="s">
        <v>17633</v>
      </c>
      <c r="R3833" s="1" t="s">
        <v>19</v>
      </c>
      <c r="S3833" s="1" t="s">
        <v>20</v>
      </c>
      <c r="T3833" s="1" t="s">
        <v>21</v>
      </c>
      <c r="U3833" s="1" t="s">
        <v>22</v>
      </c>
      <c r="V3833" s="1" t="s">
        <v>24</v>
      </c>
      <c r="W3833" s="1" t="s">
        <v>24</v>
      </c>
      <c r="X3833" s="1">
        <v>2741</v>
      </c>
      <c r="Y3833" s="1" t="s">
        <v>24</v>
      </c>
      <c r="Z3833" s="1" t="s">
        <v>24</v>
      </c>
      <c r="AA3833" s="1" t="s">
        <v>24</v>
      </c>
      <c r="AB3833" s="1" t="s">
        <v>24</v>
      </c>
      <c r="AC3833" s="1" t="s">
        <v>24</v>
      </c>
      <c r="AD3833" s="1" t="s">
        <v>24</v>
      </c>
      <c r="AE3833" s="1" t="s">
        <v>24</v>
      </c>
      <c r="AF3833" s="22"/>
    </row>
    <row r="3834" spans="1:32" x14ac:dyDescent="0.2">
      <c r="A3834" s="1">
        <v>32106</v>
      </c>
      <c r="B3834" s="1" t="s">
        <v>11805</v>
      </c>
      <c r="C3834" s="5" t="s">
        <v>0</v>
      </c>
      <c r="D3834" s="1" t="s">
        <v>11806</v>
      </c>
      <c r="E3834" s="1" t="s">
        <v>11807</v>
      </c>
      <c r="F3834" s="1" t="s">
        <v>6405</v>
      </c>
      <c r="G3834" s="1" t="s">
        <v>6406</v>
      </c>
      <c r="H3834" s="1" t="s">
        <v>92</v>
      </c>
      <c r="I3834" s="1" t="s">
        <v>16</v>
      </c>
      <c r="J3834" s="1">
        <v>1</v>
      </c>
      <c r="K3834" s="1">
        <v>3</v>
      </c>
      <c r="L3834" s="1" t="s">
        <v>31</v>
      </c>
      <c r="M3834" s="1" t="s">
        <v>18</v>
      </c>
      <c r="N3834" s="1" t="s">
        <v>18</v>
      </c>
      <c r="O3834" s="1">
        <v>3</v>
      </c>
      <c r="P3834" s="1">
        <v>7</v>
      </c>
      <c r="Q3834" s="7" t="s">
        <v>17633</v>
      </c>
      <c r="R3834" s="1" t="s">
        <v>19</v>
      </c>
      <c r="S3834" s="1" t="s">
        <v>20</v>
      </c>
      <c r="T3834" s="1" t="s">
        <v>21</v>
      </c>
      <c r="U3834" s="1" t="s">
        <v>22</v>
      </c>
      <c r="V3834" s="1" t="s">
        <v>24</v>
      </c>
      <c r="W3834" s="1" t="s">
        <v>24</v>
      </c>
      <c r="X3834" s="1">
        <v>3000</v>
      </c>
      <c r="Y3834" s="1" t="s">
        <v>24</v>
      </c>
      <c r="Z3834" s="1" t="s">
        <v>24</v>
      </c>
      <c r="AA3834" s="1" t="s">
        <v>24</v>
      </c>
      <c r="AB3834" s="1" t="s">
        <v>24</v>
      </c>
      <c r="AC3834" s="1" t="s">
        <v>24</v>
      </c>
      <c r="AD3834" s="1" t="s">
        <v>24</v>
      </c>
      <c r="AE3834" s="1" t="s">
        <v>24</v>
      </c>
      <c r="AF3834" s="22"/>
    </row>
    <row r="3835" spans="1:32" x14ac:dyDescent="0.2">
      <c r="A3835" s="1">
        <v>32107</v>
      </c>
      <c r="B3835" s="1" t="s">
        <v>11808</v>
      </c>
      <c r="C3835" s="5" t="s">
        <v>0</v>
      </c>
      <c r="D3835" s="1" t="s">
        <v>11809</v>
      </c>
      <c r="F3835" s="1" t="s">
        <v>6405</v>
      </c>
      <c r="G3835" s="1" t="s">
        <v>6406</v>
      </c>
      <c r="H3835" s="1" t="s">
        <v>92</v>
      </c>
      <c r="I3835" s="1" t="s">
        <v>16</v>
      </c>
      <c r="J3835" s="1">
        <v>1</v>
      </c>
      <c r="K3835" s="1">
        <v>3</v>
      </c>
      <c r="L3835" s="1" t="s">
        <v>31</v>
      </c>
      <c r="M3835" s="1" t="s">
        <v>18</v>
      </c>
      <c r="N3835" s="1" t="s">
        <v>18</v>
      </c>
      <c r="O3835" s="1">
        <v>2</v>
      </c>
      <c r="P3835" s="1">
        <v>7</v>
      </c>
      <c r="Q3835" s="7" t="s">
        <v>17633</v>
      </c>
      <c r="R3835" s="1" t="s">
        <v>19</v>
      </c>
      <c r="S3835" s="1" t="s">
        <v>20</v>
      </c>
      <c r="T3835" s="1" t="s">
        <v>21</v>
      </c>
      <c r="U3835" s="1" t="s">
        <v>22</v>
      </c>
      <c r="V3835" s="1" t="s">
        <v>24</v>
      </c>
      <c r="W3835" s="1" t="s">
        <v>24</v>
      </c>
      <c r="X3835" s="1">
        <v>1311</v>
      </c>
      <c r="Y3835" s="1">
        <v>1312</v>
      </c>
      <c r="Z3835" s="1">
        <v>1303</v>
      </c>
      <c r="AA3835" s="1">
        <v>2605</v>
      </c>
      <c r="AB3835" s="1" t="s">
        <v>24</v>
      </c>
      <c r="AC3835" s="1" t="s">
        <v>24</v>
      </c>
      <c r="AD3835" s="1" t="s">
        <v>24</v>
      </c>
      <c r="AE3835" s="1" t="s">
        <v>24</v>
      </c>
      <c r="AF3835" s="22"/>
    </row>
    <row r="3836" spans="1:32" x14ac:dyDescent="0.2">
      <c r="A3836" s="1">
        <v>32108</v>
      </c>
      <c r="B3836" s="1" t="s">
        <v>11810</v>
      </c>
      <c r="C3836" s="5" t="s">
        <v>0</v>
      </c>
      <c r="D3836" s="1" t="s">
        <v>11811</v>
      </c>
      <c r="F3836" s="1" t="s">
        <v>6405</v>
      </c>
      <c r="G3836" s="1" t="s">
        <v>6406</v>
      </c>
      <c r="H3836" s="1" t="s">
        <v>92</v>
      </c>
      <c r="I3836" s="1" t="s">
        <v>16</v>
      </c>
      <c r="J3836" s="1">
        <v>1</v>
      </c>
      <c r="K3836" s="1">
        <v>3</v>
      </c>
      <c r="L3836" s="1" t="s">
        <v>31</v>
      </c>
      <c r="M3836" s="1" t="s">
        <v>18</v>
      </c>
      <c r="N3836" s="1" t="s">
        <v>18</v>
      </c>
      <c r="O3836" s="1">
        <v>2</v>
      </c>
      <c r="P3836" s="1">
        <v>7</v>
      </c>
      <c r="Q3836" s="7" t="s">
        <v>17633</v>
      </c>
      <c r="R3836" s="1" t="s">
        <v>19</v>
      </c>
      <c r="S3836" s="1" t="s">
        <v>20</v>
      </c>
      <c r="T3836" s="1" t="s">
        <v>21</v>
      </c>
      <c r="U3836" s="1" t="s">
        <v>22</v>
      </c>
      <c r="V3836" s="1" t="s">
        <v>24</v>
      </c>
      <c r="W3836" s="1" t="s">
        <v>24</v>
      </c>
      <c r="X3836" s="1">
        <v>2736</v>
      </c>
      <c r="Y3836" s="1">
        <v>3000</v>
      </c>
      <c r="Z3836" s="1" t="s">
        <v>24</v>
      </c>
      <c r="AA3836" s="1" t="s">
        <v>24</v>
      </c>
      <c r="AB3836" s="1" t="s">
        <v>24</v>
      </c>
      <c r="AC3836" s="1" t="s">
        <v>24</v>
      </c>
      <c r="AD3836" s="1" t="s">
        <v>24</v>
      </c>
      <c r="AE3836" s="1" t="s">
        <v>24</v>
      </c>
      <c r="AF3836" s="22"/>
    </row>
    <row r="3837" spans="1:32" x14ac:dyDescent="0.2">
      <c r="A3837" s="1">
        <v>32109</v>
      </c>
      <c r="B3837" s="1" t="s">
        <v>11812</v>
      </c>
      <c r="C3837" s="5" t="s">
        <v>0</v>
      </c>
      <c r="D3837" s="1" t="s">
        <v>11813</v>
      </c>
      <c r="F3837" s="1" t="s">
        <v>6405</v>
      </c>
      <c r="G3837" s="1" t="s">
        <v>6406</v>
      </c>
      <c r="H3837" s="1" t="s">
        <v>92</v>
      </c>
      <c r="I3837" s="1" t="s">
        <v>16</v>
      </c>
      <c r="J3837" s="1">
        <v>1</v>
      </c>
      <c r="K3837" s="1">
        <v>3</v>
      </c>
      <c r="L3837" s="1" t="s">
        <v>31</v>
      </c>
      <c r="M3837" s="1" t="s">
        <v>18</v>
      </c>
      <c r="N3837" s="1" t="s">
        <v>18</v>
      </c>
      <c r="O3837" s="1">
        <v>2</v>
      </c>
      <c r="P3837" s="1">
        <v>7</v>
      </c>
      <c r="Q3837" s="7" t="s">
        <v>17633</v>
      </c>
      <c r="R3837" s="1" t="s">
        <v>19</v>
      </c>
      <c r="S3837" s="1" t="s">
        <v>20</v>
      </c>
      <c r="T3837" s="1" t="s">
        <v>21</v>
      </c>
      <c r="U3837" s="1" t="s">
        <v>22</v>
      </c>
      <c r="V3837" s="1" t="s">
        <v>23</v>
      </c>
      <c r="W3837" s="1" t="s">
        <v>24</v>
      </c>
      <c r="X3837" s="1">
        <v>2736</v>
      </c>
      <c r="Y3837" s="1">
        <v>3005</v>
      </c>
      <c r="Z3837" s="1">
        <v>3004</v>
      </c>
      <c r="AA3837" s="1" t="s">
        <v>24</v>
      </c>
      <c r="AB3837" s="1" t="s">
        <v>24</v>
      </c>
      <c r="AC3837" s="1" t="s">
        <v>24</v>
      </c>
      <c r="AD3837" s="1" t="s">
        <v>24</v>
      </c>
      <c r="AE3837" s="1" t="s">
        <v>24</v>
      </c>
      <c r="AF3837" s="22"/>
    </row>
    <row r="3838" spans="1:32" x14ac:dyDescent="0.2">
      <c r="A3838" s="1">
        <v>32110</v>
      </c>
      <c r="B3838" s="1" t="s">
        <v>11814</v>
      </c>
      <c r="C3838" s="5" t="s">
        <v>0</v>
      </c>
      <c r="D3838" s="1" t="s">
        <v>11815</v>
      </c>
      <c r="E3838" s="1" t="s">
        <v>11816</v>
      </c>
      <c r="F3838" s="1" t="s">
        <v>6405</v>
      </c>
      <c r="G3838" s="1" t="s">
        <v>6406</v>
      </c>
      <c r="H3838" s="1" t="s">
        <v>92</v>
      </c>
      <c r="I3838" s="1" t="s">
        <v>16</v>
      </c>
      <c r="J3838" s="1">
        <v>1</v>
      </c>
      <c r="K3838" s="1">
        <v>3</v>
      </c>
      <c r="L3838" s="1" t="s">
        <v>31</v>
      </c>
      <c r="M3838" s="1" t="s">
        <v>18</v>
      </c>
      <c r="N3838" s="1" t="s">
        <v>18</v>
      </c>
      <c r="O3838" s="1">
        <v>2</v>
      </c>
      <c r="P3838" s="1">
        <v>7</v>
      </c>
      <c r="Q3838" s="7" t="s">
        <v>17633</v>
      </c>
      <c r="R3838" s="1" t="s">
        <v>19</v>
      </c>
      <c r="S3838" s="1" t="s">
        <v>20</v>
      </c>
      <c r="T3838" s="1" t="s">
        <v>21</v>
      </c>
      <c r="U3838" s="1" t="s">
        <v>22</v>
      </c>
      <c r="V3838" s="1" t="s">
        <v>24</v>
      </c>
      <c r="W3838" s="1" t="s">
        <v>24</v>
      </c>
      <c r="X3838" s="1">
        <v>2736</v>
      </c>
      <c r="Y3838" s="1">
        <v>3000</v>
      </c>
      <c r="Z3838" s="1" t="s">
        <v>24</v>
      </c>
      <c r="AA3838" s="1" t="s">
        <v>24</v>
      </c>
      <c r="AB3838" s="1" t="s">
        <v>24</v>
      </c>
      <c r="AC3838" s="1" t="s">
        <v>24</v>
      </c>
      <c r="AD3838" s="1" t="s">
        <v>24</v>
      </c>
      <c r="AE3838" s="1" t="s">
        <v>24</v>
      </c>
      <c r="AF3838" s="22"/>
    </row>
    <row r="3839" spans="1:32" x14ac:dyDescent="0.2">
      <c r="A3839" s="1">
        <v>32111</v>
      </c>
      <c r="B3839" s="1" t="s">
        <v>11817</v>
      </c>
      <c r="C3839" s="5" t="s">
        <v>0</v>
      </c>
      <c r="D3839" s="1" t="s">
        <v>11818</v>
      </c>
      <c r="E3839" s="1" t="s">
        <v>11819</v>
      </c>
      <c r="F3839" s="1" t="s">
        <v>28</v>
      </c>
      <c r="G3839" s="1" t="s">
        <v>29</v>
      </c>
      <c r="H3839" s="1" t="s">
        <v>37</v>
      </c>
      <c r="I3839" s="1" t="s">
        <v>16</v>
      </c>
      <c r="J3839" s="1">
        <v>1</v>
      </c>
      <c r="K3839" s="1">
        <v>6</v>
      </c>
      <c r="L3839" s="1" t="s">
        <v>31</v>
      </c>
      <c r="M3839" s="1" t="s">
        <v>18</v>
      </c>
      <c r="N3839" s="1" t="s">
        <v>18</v>
      </c>
      <c r="O3839" s="1">
        <v>3</v>
      </c>
      <c r="P3839" s="1">
        <v>7</v>
      </c>
      <c r="Q3839" s="7" t="s">
        <v>17633</v>
      </c>
      <c r="R3839" s="1" t="s">
        <v>19</v>
      </c>
      <c r="S3839" s="1" t="s">
        <v>20</v>
      </c>
      <c r="T3839" s="1" t="s">
        <v>21</v>
      </c>
      <c r="U3839" s="1" t="s">
        <v>22</v>
      </c>
      <c r="V3839" s="1" t="s">
        <v>23</v>
      </c>
      <c r="W3839" s="1" t="s">
        <v>24</v>
      </c>
      <c r="X3839" s="1">
        <v>2720</v>
      </c>
      <c r="Y3839" s="1">
        <v>2917</v>
      </c>
      <c r="Z3839" s="1">
        <v>2403</v>
      </c>
      <c r="AA3839" s="1">
        <v>2725</v>
      </c>
      <c r="AB3839" s="1">
        <v>2406</v>
      </c>
      <c r="AC3839" s="1">
        <v>2730</v>
      </c>
      <c r="AD3839" s="1" t="s">
        <v>24</v>
      </c>
      <c r="AE3839" s="1" t="s">
        <v>24</v>
      </c>
      <c r="AF3839" s="22"/>
    </row>
    <row r="3840" spans="1:32" x14ac:dyDescent="0.2">
      <c r="A3840" s="1">
        <v>32113</v>
      </c>
      <c r="B3840" s="1" t="s">
        <v>11820</v>
      </c>
      <c r="C3840" s="5" t="s">
        <v>0</v>
      </c>
      <c r="D3840" s="1" t="s">
        <v>11821</v>
      </c>
      <c r="F3840" s="1" t="s">
        <v>6405</v>
      </c>
      <c r="G3840" s="1" t="s">
        <v>6406</v>
      </c>
      <c r="H3840" s="1" t="s">
        <v>92</v>
      </c>
      <c r="I3840" s="1" t="s">
        <v>16</v>
      </c>
      <c r="J3840" s="1">
        <v>1</v>
      </c>
      <c r="K3840" s="1">
        <v>3</v>
      </c>
      <c r="L3840" s="1" t="s">
        <v>31</v>
      </c>
      <c r="M3840" s="1" t="s">
        <v>18</v>
      </c>
      <c r="N3840" s="1" t="s">
        <v>18</v>
      </c>
      <c r="O3840" s="1">
        <v>2</v>
      </c>
      <c r="P3840" s="1">
        <v>7</v>
      </c>
      <c r="Q3840" s="7" t="s">
        <v>17633</v>
      </c>
      <c r="R3840" s="1" t="s">
        <v>19</v>
      </c>
      <c r="S3840" s="1" t="s">
        <v>20</v>
      </c>
      <c r="T3840" s="1" t="s">
        <v>21</v>
      </c>
      <c r="U3840" s="1" t="s">
        <v>22</v>
      </c>
      <c r="V3840" s="1" t="s">
        <v>24</v>
      </c>
      <c r="W3840" s="1" t="s">
        <v>24</v>
      </c>
      <c r="X3840" s="1">
        <v>1310</v>
      </c>
      <c r="Y3840" s="1">
        <v>2736</v>
      </c>
      <c r="Z3840" s="1" t="s">
        <v>24</v>
      </c>
      <c r="AA3840" s="1" t="s">
        <v>24</v>
      </c>
      <c r="AB3840" s="1" t="s">
        <v>24</v>
      </c>
      <c r="AC3840" s="1" t="s">
        <v>24</v>
      </c>
      <c r="AD3840" s="1" t="s">
        <v>24</v>
      </c>
      <c r="AE3840" s="1" t="s">
        <v>24</v>
      </c>
      <c r="AF3840" s="22"/>
    </row>
    <row r="3841" spans="1:32" x14ac:dyDescent="0.2">
      <c r="A3841" s="1">
        <v>32114</v>
      </c>
      <c r="B3841" s="1" t="s">
        <v>11822</v>
      </c>
      <c r="C3841" s="5" t="s">
        <v>0</v>
      </c>
      <c r="D3841" s="1" t="s">
        <v>11823</v>
      </c>
      <c r="F3841" s="1" t="s">
        <v>6405</v>
      </c>
      <c r="G3841" s="1" t="s">
        <v>6406</v>
      </c>
      <c r="H3841" s="1" t="s">
        <v>92</v>
      </c>
      <c r="I3841" s="1" t="s">
        <v>16</v>
      </c>
      <c r="J3841" s="1">
        <v>1</v>
      </c>
      <c r="K3841" s="1">
        <v>3</v>
      </c>
      <c r="L3841" s="1" t="s">
        <v>31</v>
      </c>
      <c r="M3841" s="1" t="s">
        <v>18</v>
      </c>
      <c r="N3841" s="1" t="s">
        <v>18</v>
      </c>
      <c r="O3841" s="1">
        <v>2</v>
      </c>
      <c r="P3841" s="1">
        <v>7</v>
      </c>
      <c r="Q3841" s="7" t="s">
        <v>17633</v>
      </c>
      <c r="R3841" s="1" t="s">
        <v>19</v>
      </c>
      <c r="S3841" s="1" t="s">
        <v>20</v>
      </c>
      <c r="T3841" s="1" t="s">
        <v>21</v>
      </c>
      <c r="U3841" s="1" t="s">
        <v>22</v>
      </c>
      <c r="V3841" s="1" t="s">
        <v>24</v>
      </c>
      <c r="W3841" s="1" t="s">
        <v>24</v>
      </c>
      <c r="X3841" s="1">
        <v>2701</v>
      </c>
      <c r="Y3841" s="1" t="s">
        <v>24</v>
      </c>
      <c r="Z3841" s="1" t="s">
        <v>24</v>
      </c>
      <c r="AA3841" s="1" t="s">
        <v>24</v>
      </c>
      <c r="AB3841" s="1" t="s">
        <v>24</v>
      </c>
      <c r="AC3841" s="1" t="s">
        <v>24</v>
      </c>
      <c r="AD3841" s="1" t="s">
        <v>24</v>
      </c>
      <c r="AE3841" s="1" t="s">
        <v>24</v>
      </c>
      <c r="AF3841" s="22"/>
    </row>
    <row r="3842" spans="1:32" x14ac:dyDescent="0.2">
      <c r="A3842" s="1">
        <v>32115</v>
      </c>
      <c r="B3842" s="1" t="s">
        <v>11824</v>
      </c>
      <c r="C3842" s="5" t="s">
        <v>0</v>
      </c>
      <c r="D3842" s="1" t="s">
        <v>11825</v>
      </c>
      <c r="E3842" s="1" t="s">
        <v>11826</v>
      </c>
      <c r="F3842" s="1" t="s">
        <v>11827</v>
      </c>
      <c r="G3842" s="1" t="s">
        <v>11827</v>
      </c>
      <c r="H3842" s="1" t="s">
        <v>885</v>
      </c>
      <c r="I3842" s="1" t="s">
        <v>16</v>
      </c>
      <c r="J3842" s="1">
        <v>1</v>
      </c>
      <c r="K3842" s="1">
        <v>2</v>
      </c>
      <c r="L3842" s="1" t="s">
        <v>42</v>
      </c>
      <c r="M3842" s="1" t="s">
        <v>18</v>
      </c>
      <c r="N3842" s="1" t="s">
        <v>18</v>
      </c>
      <c r="O3842" s="1">
        <v>3</v>
      </c>
      <c r="P3842" s="1">
        <v>6</v>
      </c>
      <c r="R3842" s="1" t="s">
        <v>19</v>
      </c>
      <c r="S3842" s="1" t="s">
        <v>20</v>
      </c>
      <c r="T3842" s="1" t="s">
        <v>21</v>
      </c>
      <c r="U3842" s="1" t="s">
        <v>22</v>
      </c>
      <c r="V3842" s="1" t="s">
        <v>24</v>
      </c>
      <c r="W3842" s="1" t="s">
        <v>24</v>
      </c>
      <c r="X3842" s="1">
        <v>3003</v>
      </c>
      <c r="Y3842" s="1">
        <v>2736</v>
      </c>
      <c r="Z3842" s="1" t="s">
        <v>24</v>
      </c>
      <c r="AA3842" s="1" t="s">
        <v>24</v>
      </c>
      <c r="AB3842" s="1" t="s">
        <v>24</v>
      </c>
      <c r="AC3842" s="1" t="s">
        <v>24</v>
      </c>
      <c r="AD3842" s="1" t="s">
        <v>24</v>
      </c>
      <c r="AE3842" s="1" t="s">
        <v>24</v>
      </c>
      <c r="AF3842" s="22"/>
    </row>
    <row r="3843" spans="1:32" x14ac:dyDescent="0.2">
      <c r="A3843" s="1">
        <v>32116</v>
      </c>
      <c r="B3843" s="1" t="s">
        <v>11828</v>
      </c>
      <c r="C3843" s="5" t="s">
        <v>0</v>
      </c>
      <c r="D3843" s="1" t="s">
        <v>11829</v>
      </c>
      <c r="E3843" s="1" t="s">
        <v>11830</v>
      </c>
      <c r="F3843" s="1" t="s">
        <v>412</v>
      </c>
      <c r="G3843" s="1" t="s">
        <v>372</v>
      </c>
      <c r="H3843" s="1" t="s">
        <v>168</v>
      </c>
      <c r="I3843" s="1" t="s">
        <v>16</v>
      </c>
      <c r="J3843" s="1">
        <v>1</v>
      </c>
      <c r="K3843" s="1">
        <v>6</v>
      </c>
      <c r="L3843" s="1" t="s">
        <v>31</v>
      </c>
      <c r="M3843" s="1" t="s">
        <v>413</v>
      </c>
      <c r="N3843" s="1" t="s">
        <v>679</v>
      </c>
      <c r="O3843" s="1">
        <v>3</v>
      </c>
      <c r="P3843" s="1">
        <v>6</v>
      </c>
      <c r="R3843" s="1" t="s">
        <v>19</v>
      </c>
      <c r="S3843" s="1" t="s">
        <v>63</v>
      </c>
      <c r="T3843" s="1" t="s">
        <v>21</v>
      </c>
      <c r="U3843" s="1" t="s">
        <v>22</v>
      </c>
      <c r="V3843" s="1" t="s">
        <v>24</v>
      </c>
      <c r="W3843" s="1" t="s">
        <v>24</v>
      </c>
      <c r="X3843" s="1">
        <v>2712</v>
      </c>
      <c r="Y3843" s="1" t="s">
        <v>24</v>
      </c>
      <c r="Z3843" s="1" t="s">
        <v>24</v>
      </c>
      <c r="AA3843" s="1" t="s">
        <v>24</v>
      </c>
      <c r="AB3843" s="1" t="s">
        <v>24</v>
      </c>
      <c r="AC3843" s="1" t="s">
        <v>24</v>
      </c>
      <c r="AD3843" s="1" t="s">
        <v>24</v>
      </c>
      <c r="AE3843" s="1" t="s">
        <v>24</v>
      </c>
      <c r="AF3843" s="22"/>
    </row>
    <row r="3844" spans="1:32" x14ac:dyDescent="0.2">
      <c r="A3844" s="1">
        <v>32121</v>
      </c>
      <c r="B3844" s="1" t="s">
        <v>11831</v>
      </c>
      <c r="C3844" s="5" t="s">
        <v>0</v>
      </c>
      <c r="D3844" s="1" t="s">
        <v>11832</v>
      </c>
      <c r="E3844" s="1" t="s">
        <v>11833</v>
      </c>
      <c r="F3844" s="1" t="s">
        <v>10332</v>
      </c>
      <c r="G3844" s="1" t="s">
        <v>10332</v>
      </c>
      <c r="H3844" s="1" t="s">
        <v>30</v>
      </c>
      <c r="I3844" s="1" t="s">
        <v>16</v>
      </c>
      <c r="J3844" s="1">
        <v>1</v>
      </c>
      <c r="K3844" s="1">
        <v>4</v>
      </c>
      <c r="L3844" s="1" t="s">
        <v>42</v>
      </c>
      <c r="M3844" s="1" t="s">
        <v>18</v>
      </c>
      <c r="N3844" s="1" t="s">
        <v>18</v>
      </c>
      <c r="O3844" s="1">
        <v>3</v>
      </c>
      <c r="P3844" s="1">
        <v>6</v>
      </c>
      <c r="R3844" s="1" t="s">
        <v>19</v>
      </c>
      <c r="S3844" s="1" t="s">
        <v>63</v>
      </c>
      <c r="T3844" s="1" t="s">
        <v>21</v>
      </c>
      <c r="U3844" s="1" t="s">
        <v>22</v>
      </c>
      <c r="V3844" s="1" t="s">
        <v>24</v>
      </c>
      <c r="W3844" s="1" t="s">
        <v>24</v>
      </c>
      <c r="X3844" s="1">
        <v>1312</v>
      </c>
      <c r="Y3844" s="1">
        <v>1306</v>
      </c>
      <c r="Z3844" s="1" t="s">
        <v>24</v>
      </c>
      <c r="AA3844" s="1" t="s">
        <v>24</v>
      </c>
      <c r="AB3844" s="1" t="s">
        <v>24</v>
      </c>
      <c r="AC3844" s="1" t="s">
        <v>24</v>
      </c>
      <c r="AD3844" s="1" t="s">
        <v>24</v>
      </c>
      <c r="AE3844" s="1" t="s">
        <v>24</v>
      </c>
      <c r="AF3844" s="22"/>
    </row>
    <row r="3845" spans="1:32" x14ac:dyDescent="0.2">
      <c r="A3845" s="1">
        <v>32122</v>
      </c>
      <c r="B3845" s="1" t="s">
        <v>11834</v>
      </c>
      <c r="C3845" s="5" t="s">
        <v>0</v>
      </c>
      <c r="D3845" s="1" t="s">
        <v>11835</v>
      </c>
      <c r="F3845" s="1" t="s">
        <v>9858</v>
      </c>
      <c r="G3845" s="1" t="s">
        <v>6983</v>
      </c>
      <c r="H3845" s="1" t="s">
        <v>249</v>
      </c>
      <c r="I3845" s="1" t="s">
        <v>16</v>
      </c>
      <c r="J3845" s="1">
        <v>1</v>
      </c>
      <c r="K3845" s="1">
        <v>4</v>
      </c>
      <c r="L3845" s="1" t="s">
        <v>42</v>
      </c>
      <c r="M3845" s="1" t="s">
        <v>18</v>
      </c>
      <c r="N3845" s="1" t="s">
        <v>18</v>
      </c>
      <c r="O3845" s="1">
        <v>3</v>
      </c>
      <c r="P3845" s="1">
        <v>6</v>
      </c>
      <c r="R3845" s="1" t="s">
        <v>19</v>
      </c>
      <c r="S3845" s="1" t="s">
        <v>20</v>
      </c>
      <c r="T3845" s="1" t="s">
        <v>21</v>
      </c>
      <c r="U3845" s="1" t="s">
        <v>22</v>
      </c>
      <c r="V3845" s="1" t="s">
        <v>24</v>
      </c>
      <c r="W3845" s="1" t="s">
        <v>24</v>
      </c>
      <c r="X3845" s="1">
        <v>2721</v>
      </c>
      <c r="Y3845" s="1" t="s">
        <v>24</v>
      </c>
      <c r="Z3845" s="1" t="s">
        <v>24</v>
      </c>
      <c r="AA3845" s="1" t="s">
        <v>24</v>
      </c>
      <c r="AB3845" s="1" t="s">
        <v>24</v>
      </c>
      <c r="AC3845" s="1" t="s">
        <v>24</v>
      </c>
      <c r="AD3845" s="1" t="s">
        <v>24</v>
      </c>
      <c r="AE3845" s="1" t="s">
        <v>24</v>
      </c>
      <c r="AF3845" s="22"/>
    </row>
    <row r="3846" spans="1:32" x14ac:dyDescent="0.2">
      <c r="A3846" s="1">
        <v>32123</v>
      </c>
      <c r="B3846" s="1" t="s">
        <v>11836</v>
      </c>
      <c r="C3846" s="5" t="s">
        <v>0</v>
      </c>
      <c r="D3846" s="1" t="s">
        <v>11837</v>
      </c>
      <c r="E3846" s="1" t="s">
        <v>11838</v>
      </c>
      <c r="F3846" s="1" t="s">
        <v>291</v>
      </c>
      <c r="G3846" s="1" t="s">
        <v>292</v>
      </c>
      <c r="H3846" s="1" t="s">
        <v>37</v>
      </c>
      <c r="I3846" s="1" t="s">
        <v>16</v>
      </c>
      <c r="J3846" s="1">
        <v>1</v>
      </c>
      <c r="K3846" s="1">
        <v>12</v>
      </c>
      <c r="L3846" s="1" t="s">
        <v>31</v>
      </c>
      <c r="M3846" s="1" t="s">
        <v>18</v>
      </c>
      <c r="N3846" s="1" t="s">
        <v>18</v>
      </c>
      <c r="O3846" s="1">
        <v>3</v>
      </c>
      <c r="P3846" s="1">
        <v>7</v>
      </c>
      <c r="Q3846" s="7" t="s">
        <v>17633</v>
      </c>
      <c r="R3846" s="1" t="s">
        <v>19</v>
      </c>
      <c r="S3846" s="1" t="s">
        <v>20</v>
      </c>
      <c r="T3846" s="1" t="s">
        <v>21</v>
      </c>
      <c r="U3846" s="1" t="s">
        <v>22</v>
      </c>
      <c r="V3846" s="1" t="s">
        <v>24</v>
      </c>
      <c r="W3846" s="1" t="s">
        <v>24</v>
      </c>
      <c r="X3846" s="1">
        <v>3002</v>
      </c>
      <c r="Y3846" s="1" t="s">
        <v>24</v>
      </c>
      <c r="Z3846" s="1" t="s">
        <v>24</v>
      </c>
      <c r="AA3846" s="1" t="s">
        <v>24</v>
      </c>
      <c r="AB3846" s="1" t="s">
        <v>24</v>
      </c>
      <c r="AC3846" s="1" t="s">
        <v>24</v>
      </c>
      <c r="AD3846" s="1" t="s">
        <v>24</v>
      </c>
      <c r="AE3846" s="1" t="s">
        <v>24</v>
      </c>
      <c r="AF3846" s="22"/>
    </row>
    <row r="3847" spans="1:32" x14ac:dyDescent="0.2">
      <c r="A3847" s="1">
        <v>32124</v>
      </c>
      <c r="B3847" s="1" t="s">
        <v>11839</v>
      </c>
      <c r="C3847" s="5" t="s">
        <v>0</v>
      </c>
      <c r="D3847" s="1" t="s">
        <v>11840</v>
      </c>
      <c r="E3847" s="1" t="s">
        <v>11841</v>
      </c>
      <c r="F3847" s="1" t="s">
        <v>9039</v>
      </c>
      <c r="G3847" s="1" t="s">
        <v>292</v>
      </c>
      <c r="H3847" s="1" t="s">
        <v>37</v>
      </c>
      <c r="I3847" s="1" t="s">
        <v>16</v>
      </c>
      <c r="J3847" s="1">
        <v>1</v>
      </c>
      <c r="K3847" s="1">
        <v>6</v>
      </c>
      <c r="L3847" s="1" t="s">
        <v>31</v>
      </c>
      <c r="M3847" s="1" t="s">
        <v>18</v>
      </c>
      <c r="N3847" s="1" t="s">
        <v>18</v>
      </c>
      <c r="O3847" s="1">
        <v>3</v>
      </c>
      <c r="P3847" s="1">
        <v>7</v>
      </c>
      <c r="Q3847" s="7" t="s">
        <v>17633</v>
      </c>
      <c r="R3847" s="1" t="s">
        <v>19</v>
      </c>
      <c r="S3847" s="1" t="s">
        <v>20</v>
      </c>
      <c r="T3847" s="1" t="s">
        <v>21</v>
      </c>
      <c r="U3847" s="1" t="s">
        <v>22</v>
      </c>
      <c r="V3847" s="1" t="s">
        <v>24</v>
      </c>
      <c r="W3847" s="1" t="s">
        <v>24</v>
      </c>
      <c r="X3847" s="1">
        <v>2708</v>
      </c>
      <c r="Y3847" s="1" t="s">
        <v>24</v>
      </c>
      <c r="Z3847" s="1" t="s">
        <v>24</v>
      </c>
      <c r="AA3847" s="1" t="s">
        <v>24</v>
      </c>
      <c r="AB3847" s="1" t="s">
        <v>24</v>
      </c>
      <c r="AC3847" s="1" t="s">
        <v>24</v>
      </c>
      <c r="AD3847" s="1" t="s">
        <v>24</v>
      </c>
      <c r="AE3847" s="1" t="s">
        <v>24</v>
      </c>
      <c r="AF3847" s="22"/>
    </row>
    <row r="3848" spans="1:32" x14ac:dyDescent="0.2">
      <c r="A3848" s="1">
        <v>32125</v>
      </c>
      <c r="B3848" s="1" t="s">
        <v>11842</v>
      </c>
      <c r="C3848" s="5" t="s">
        <v>0</v>
      </c>
      <c r="D3848" s="1" t="s">
        <v>11843</v>
      </c>
      <c r="E3848" s="1" t="s">
        <v>11844</v>
      </c>
      <c r="F3848" s="1" t="s">
        <v>9039</v>
      </c>
      <c r="G3848" s="1" t="s">
        <v>292</v>
      </c>
      <c r="H3848" s="1" t="s">
        <v>37</v>
      </c>
      <c r="I3848" s="1" t="s">
        <v>16</v>
      </c>
      <c r="J3848" s="1">
        <v>1</v>
      </c>
      <c r="K3848" s="1">
        <v>6</v>
      </c>
      <c r="L3848" s="1" t="s">
        <v>31</v>
      </c>
      <c r="M3848" s="1" t="s">
        <v>18</v>
      </c>
      <c r="N3848" s="1" t="s">
        <v>18</v>
      </c>
      <c r="O3848" s="1">
        <v>3</v>
      </c>
      <c r="P3848" s="1">
        <v>7</v>
      </c>
      <c r="Q3848" s="7" t="s">
        <v>17633</v>
      </c>
      <c r="R3848" s="1" t="s">
        <v>19</v>
      </c>
      <c r="S3848" s="1" t="s">
        <v>20</v>
      </c>
      <c r="T3848" s="1" t="s">
        <v>21</v>
      </c>
      <c r="U3848" s="1" t="s">
        <v>22</v>
      </c>
      <c r="V3848" s="1" t="s">
        <v>24</v>
      </c>
      <c r="W3848" s="1" t="s">
        <v>24</v>
      </c>
      <c r="X3848" s="1">
        <v>2712</v>
      </c>
      <c r="Y3848" s="1" t="s">
        <v>24</v>
      </c>
      <c r="Z3848" s="1" t="s">
        <v>24</v>
      </c>
      <c r="AA3848" s="1" t="s">
        <v>24</v>
      </c>
      <c r="AB3848" s="1" t="s">
        <v>24</v>
      </c>
      <c r="AC3848" s="1" t="s">
        <v>24</v>
      </c>
      <c r="AD3848" s="1" t="s">
        <v>24</v>
      </c>
      <c r="AE3848" s="1" t="s">
        <v>24</v>
      </c>
      <c r="AF3848" s="22"/>
    </row>
    <row r="3849" spans="1:32" x14ac:dyDescent="0.2">
      <c r="A3849" s="1">
        <v>32126</v>
      </c>
      <c r="B3849" s="1" t="s">
        <v>11845</v>
      </c>
      <c r="C3849" s="5" t="s">
        <v>0</v>
      </c>
      <c r="D3849" s="1" t="s">
        <v>11846</v>
      </c>
      <c r="F3849" s="1" t="s">
        <v>1289</v>
      </c>
      <c r="G3849" s="1" t="s">
        <v>1289</v>
      </c>
      <c r="H3849" s="1" t="s">
        <v>684</v>
      </c>
      <c r="I3849" s="1" t="s">
        <v>16</v>
      </c>
      <c r="J3849" s="1">
        <v>1</v>
      </c>
      <c r="K3849" s="1">
        <v>2</v>
      </c>
      <c r="L3849" s="1" t="s">
        <v>17</v>
      </c>
      <c r="M3849" s="1" t="s">
        <v>852</v>
      </c>
      <c r="N3849" s="1" t="s">
        <v>852</v>
      </c>
      <c r="O3849" s="1">
        <v>0</v>
      </c>
      <c r="P3849" s="1">
        <v>5</v>
      </c>
      <c r="R3849" s="1" t="s">
        <v>19</v>
      </c>
      <c r="S3849" s="1" t="s">
        <v>20</v>
      </c>
      <c r="T3849" s="1" t="s">
        <v>21</v>
      </c>
      <c r="U3849" s="1" t="s">
        <v>22</v>
      </c>
      <c r="V3849" s="1" t="s">
        <v>24</v>
      </c>
      <c r="W3849" s="1" t="s">
        <v>24</v>
      </c>
      <c r="X3849" s="1">
        <v>2736</v>
      </c>
      <c r="Y3849" s="1">
        <v>2738</v>
      </c>
      <c r="Z3849" s="1" t="s">
        <v>24</v>
      </c>
      <c r="AA3849" s="1" t="s">
        <v>24</v>
      </c>
      <c r="AB3849" s="1" t="s">
        <v>24</v>
      </c>
      <c r="AC3849" s="1" t="s">
        <v>24</v>
      </c>
      <c r="AD3849" s="1" t="s">
        <v>24</v>
      </c>
      <c r="AE3849" s="1" t="s">
        <v>24</v>
      </c>
      <c r="AF3849" s="22"/>
    </row>
    <row r="3850" spans="1:32" x14ac:dyDescent="0.2">
      <c r="A3850" s="1">
        <v>32133</v>
      </c>
      <c r="B3850" s="1" t="s">
        <v>11847</v>
      </c>
      <c r="C3850" s="5" t="s">
        <v>0</v>
      </c>
      <c r="D3850" s="1" t="s">
        <v>11848</v>
      </c>
      <c r="E3850" s="1" t="s">
        <v>11849</v>
      </c>
      <c r="F3850" s="1" t="s">
        <v>8442</v>
      </c>
      <c r="G3850" s="1" t="s">
        <v>8443</v>
      </c>
      <c r="H3850" s="1" t="s">
        <v>37</v>
      </c>
      <c r="I3850" s="1" t="s">
        <v>16</v>
      </c>
      <c r="J3850" s="1">
        <v>1</v>
      </c>
      <c r="K3850" s="1">
        <v>6</v>
      </c>
      <c r="L3850" s="1" t="s">
        <v>31</v>
      </c>
      <c r="M3850" s="1" t="s">
        <v>18</v>
      </c>
      <c r="N3850" s="1" t="s">
        <v>18</v>
      </c>
      <c r="O3850" s="1">
        <v>3</v>
      </c>
      <c r="P3850" s="1">
        <v>7</v>
      </c>
      <c r="Q3850" s="7" t="s">
        <v>17633</v>
      </c>
      <c r="R3850" s="1" t="s">
        <v>19</v>
      </c>
      <c r="S3850" s="1" t="s">
        <v>20</v>
      </c>
      <c r="T3850" s="1" t="s">
        <v>21</v>
      </c>
      <c r="U3850" s="1" t="s">
        <v>22</v>
      </c>
      <c r="V3850" s="1" t="s">
        <v>24</v>
      </c>
      <c r="W3850" s="1" t="s">
        <v>24</v>
      </c>
      <c r="X3850" s="1">
        <v>2404</v>
      </c>
      <c r="Y3850" s="1">
        <v>2726</v>
      </c>
      <c r="Z3850" s="1" t="s">
        <v>24</v>
      </c>
      <c r="AA3850" s="1" t="s">
        <v>24</v>
      </c>
      <c r="AB3850" s="1" t="s">
        <v>24</v>
      </c>
      <c r="AC3850" s="1" t="s">
        <v>24</v>
      </c>
      <c r="AD3850" s="1" t="s">
        <v>24</v>
      </c>
      <c r="AE3850" s="1" t="s">
        <v>24</v>
      </c>
      <c r="AF3850" s="22"/>
    </row>
    <row r="3851" spans="1:32" x14ac:dyDescent="0.2">
      <c r="A3851" s="1">
        <v>32134</v>
      </c>
      <c r="B3851" s="1" t="s">
        <v>11850</v>
      </c>
      <c r="C3851" s="5" t="s">
        <v>0</v>
      </c>
      <c r="D3851" s="1" t="s">
        <v>11851</v>
      </c>
      <c r="E3851" s="1" t="s">
        <v>11852</v>
      </c>
      <c r="F3851" s="1" t="s">
        <v>8442</v>
      </c>
      <c r="G3851" s="1" t="s">
        <v>8443</v>
      </c>
      <c r="H3851" s="1" t="s">
        <v>37</v>
      </c>
      <c r="I3851" s="1" t="s">
        <v>16</v>
      </c>
      <c r="J3851" s="1">
        <v>1</v>
      </c>
      <c r="K3851" s="1">
        <v>6</v>
      </c>
      <c r="L3851" s="1" t="s">
        <v>31</v>
      </c>
      <c r="M3851" s="1" t="s">
        <v>18</v>
      </c>
      <c r="N3851" s="1" t="s">
        <v>18</v>
      </c>
      <c r="O3851" s="1">
        <v>3</v>
      </c>
      <c r="P3851" s="1">
        <v>7</v>
      </c>
      <c r="Q3851" s="7" t="s">
        <v>17633</v>
      </c>
      <c r="R3851" s="1" t="s">
        <v>19</v>
      </c>
      <c r="S3851" s="1" t="s">
        <v>20</v>
      </c>
      <c r="T3851" s="1" t="s">
        <v>21</v>
      </c>
      <c r="U3851" s="1" t="s">
        <v>22</v>
      </c>
      <c r="V3851" s="1" t="s">
        <v>24</v>
      </c>
      <c r="W3851" s="1" t="s">
        <v>24</v>
      </c>
      <c r="X3851" s="1">
        <v>2808</v>
      </c>
      <c r="Y3851" s="1">
        <v>2728</v>
      </c>
      <c r="Z3851" s="1" t="s">
        <v>24</v>
      </c>
      <c r="AA3851" s="1" t="s">
        <v>24</v>
      </c>
      <c r="AB3851" s="1" t="s">
        <v>24</v>
      </c>
      <c r="AC3851" s="1" t="s">
        <v>24</v>
      </c>
      <c r="AD3851" s="1" t="s">
        <v>24</v>
      </c>
      <c r="AE3851" s="1" t="s">
        <v>24</v>
      </c>
      <c r="AF3851" s="22"/>
    </row>
    <row r="3852" spans="1:32" x14ac:dyDescent="0.2">
      <c r="A3852" s="1">
        <v>32136</v>
      </c>
      <c r="B3852" s="1" t="s">
        <v>11853</v>
      </c>
      <c r="C3852" s="5" t="s">
        <v>0</v>
      </c>
      <c r="D3852" s="1" t="s">
        <v>11854</v>
      </c>
      <c r="E3852" s="1" t="s">
        <v>11855</v>
      </c>
      <c r="F3852" s="1" t="s">
        <v>8442</v>
      </c>
      <c r="G3852" s="1" t="s">
        <v>8443</v>
      </c>
      <c r="H3852" s="1" t="s">
        <v>37</v>
      </c>
      <c r="I3852" s="1" t="s">
        <v>16</v>
      </c>
      <c r="J3852" s="1">
        <v>1</v>
      </c>
      <c r="K3852" s="1">
        <v>6</v>
      </c>
      <c r="L3852" s="1" t="s">
        <v>31</v>
      </c>
      <c r="M3852" s="1" t="s">
        <v>18</v>
      </c>
      <c r="N3852" s="1" t="s">
        <v>18</v>
      </c>
      <c r="O3852" s="1">
        <v>3</v>
      </c>
      <c r="P3852" s="1">
        <v>7</v>
      </c>
      <c r="Q3852" s="7" t="s">
        <v>17633</v>
      </c>
      <c r="R3852" s="1" t="s">
        <v>19</v>
      </c>
      <c r="S3852" s="1" t="s">
        <v>20</v>
      </c>
      <c r="T3852" s="1" t="s">
        <v>21</v>
      </c>
      <c r="U3852" s="1" t="s">
        <v>22</v>
      </c>
      <c r="V3852" s="1" t="s">
        <v>24</v>
      </c>
      <c r="W3852" s="1" t="s">
        <v>24</v>
      </c>
      <c r="X3852" s="1">
        <v>2406</v>
      </c>
      <c r="Y3852" s="1" t="s">
        <v>24</v>
      </c>
      <c r="Z3852" s="1" t="s">
        <v>24</v>
      </c>
      <c r="AA3852" s="1" t="s">
        <v>24</v>
      </c>
      <c r="AB3852" s="1" t="s">
        <v>24</v>
      </c>
      <c r="AC3852" s="1" t="s">
        <v>24</v>
      </c>
      <c r="AD3852" s="1" t="s">
        <v>24</v>
      </c>
      <c r="AE3852" s="1" t="s">
        <v>24</v>
      </c>
      <c r="AF3852" s="22"/>
    </row>
    <row r="3853" spans="1:32" x14ac:dyDescent="0.2">
      <c r="A3853" s="1">
        <v>32138</v>
      </c>
      <c r="B3853" s="1" t="s">
        <v>11856</v>
      </c>
      <c r="C3853" s="5" t="s">
        <v>0</v>
      </c>
      <c r="D3853" s="1" t="s">
        <v>11857</v>
      </c>
      <c r="E3853" s="1" t="s">
        <v>11858</v>
      </c>
      <c r="F3853" s="1" t="s">
        <v>167</v>
      </c>
      <c r="G3853" s="1" t="s">
        <v>130</v>
      </c>
      <c r="H3853" s="1" t="s">
        <v>168</v>
      </c>
      <c r="I3853" s="1" t="s">
        <v>16</v>
      </c>
      <c r="J3853" s="1">
        <v>1</v>
      </c>
      <c r="K3853" s="1">
        <v>4</v>
      </c>
      <c r="L3853" s="1" t="s">
        <v>31</v>
      </c>
      <c r="M3853" s="1" t="s">
        <v>18</v>
      </c>
      <c r="N3853" s="1" t="s">
        <v>18</v>
      </c>
      <c r="O3853" s="1">
        <v>3</v>
      </c>
      <c r="P3853" s="1">
        <v>6</v>
      </c>
      <c r="R3853" s="1" t="s">
        <v>19</v>
      </c>
      <c r="S3853" s="1" t="s">
        <v>20</v>
      </c>
      <c r="T3853" s="1" t="s">
        <v>21</v>
      </c>
      <c r="U3853" s="1" t="s">
        <v>22</v>
      </c>
      <c r="V3853" s="1" t="s">
        <v>24</v>
      </c>
      <c r="W3853" s="1" t="s">
        <v>24</v>
      </c>
      <c r="X3853" s="1">
        <v>2712</v>
      </c>
      <c r="Y3853" s="1">
        <v>1311</v>
      </c>
      <c r="Z3853" s="1" t="s">
        <v>24</v>
      </c>
      <c r="AA3853" s="1" t="s">
        <v>24</v>
      </c>
      <c r="AB3853" s="1" t="s">
        <v>24</v>
      </c>
      <c r="AC3853" s="1" t="s">
        <v>24</v>
      </c>
      <c r="AD3853" s="1" t="s">
        <v>24</v>
      </c>
      <c r="AE3853" s="1" t="s">
        <v>24</v>
      </c>
      <c r="AF3853" s="22"/>
    </row>
    <row r="3854" spans="1:32" x14ac:dyDescent="0.2">
      <c r="A3854" s="1">
        <v>32139</v>
      </c>
      <c r="B3854" s="1" t="s">
        <v>11859</v>
      </c>
      <c r="C3854" s="5" t="s">
        <v>0</v>
      </c>
      <c r="D3854" s="1" t="s">
        <v>11860</v>
      </c>
      <c r="E3854" s="1" t="s">
        <v>11861</v>
      </c>
      <c r="F3854" s="1" t="s">
        <v>109</v>
      </c>
      <c r="G3854" s="1" t="s">
        <v>110</v>
      </c>
      <c r="H3854" s="1" t="s">
        <v>111</v>
      </c>
      <c r="I3854" s="1" t="s">
        <v>112</v>
      </c>
      <c r="J3854" s="1">
        <v>0</v>
      </c>
      <c r="K3854" s="1">
        <v>0</v>
      </c>
      <c r="L3854" s="1" t="s">
        <v>31</v>
      </c>
      <c r="M3854" s="1" t="s">
        <v>18</v>
      </c>
      <c r="N3854" s="1" t="s">
        <v>18</v>
      </c>
      <c r="O3854" s="1">
        <v>3</v>
      </c>
      <c r="P3854" s="1">
        <v>7</v>
      </c>
      <c r="Q3854" s="7" t="s">
        <v>17633</v>
      </c>
      <c r="R3854" s="1" t="s">
        <v>19</v>
      </c>
      <c r="S3854" s="1" t="s">
        <v>20</v>
      </c>
      <c r="T3854" s="1" t="s">
        <v>21</v>
      </c>
      <c r="U3854" s="1" t="s">
        <v>22</v>
      </c>
      <c r="V3854" s="1" t="s">
        <v>24</v>
      </c>
      <c r="W3854" s="1" t="s">
        <v>24</v>
      </c>
      <c r="X3854" s="1">
        <v>1312</v>
      </c>
      <c r="Y3854" s="1">
        <v>1311</v>
      </c>
      <c r="Z3854" s="1">
        <v>1105</v>
      </c>
      <c r="AA3854" s="1" t="s">
        <v>24</v>
      </c>
      <c r="AB3854" s="1" t="s">
        <v>24</v>
      </c>
      <c r="AC3854" s="1" t="s">
        <v>24</v>
      </c>
      <c r="AD3854" s="1" t="s">
        <v>24</v>
      </c>
      <c r="AE3854" s="1" t="s">
        <v>24</v>
      </c>
      <c r="AF3854" s="22"/>
    </row>
    <row r="3855" spans="1:32" x14ac:dyDescent="0.2">
      <c r="A3855" s="1">
        <v>32146</v>
      </c>
      <c r="B3855" s="1" t="s">
        <v>11862</v>
      </c>
      <c r="C3855" s="5" t="s">
        <v>0</v>
      </c>
      <c r="D3855" s="1" t="s">
        <v>11863</v>
      </c>
      <c r="E3855" s="1" t="s">
        <v>11864</v>
      </c>
      <c r="F3855" s="1" t="s">
        <v>689</v>
      </c>
      <c r="G3855" s="1" t="s">
        <v>311</v>
      </c>
      <c r="H3855" s="1" t="s">
        <v>37</v>
      </c>
      <c r="I3855" s="1" t="s">
        <v>16</v>
      </c>
      <c r="J3855" s="1">
        <v>1</v>
      </c>
      <c r="K3855" s="1">
        <v>10</v>
      </c>
      <c r="L3855" s="1" t="s">
        <v>31</v>
      </c>
      <c r="M3855" s="1" t="s">
        <v>18</v>
      </c>
      <c r="N3855" s="1" t="s">
        <v>18</v>
      </c>
      <c r="O3855" s="1">
        <v>3</v>
      </c>
      <c r="P3855" s="1">
        <v>7</v>
      </c>
      <c r="Q3855" s="7" t="s">
        <v>17633</v>
      </c>
      <c r="R3855" s="1" t="s">
        <v>19</v>
      </c>
      <c r="S3855" s="1" t="s">
        <v>20</v>
      </c>
      <c r="T3855" s="1" t="s">
        <v>21</v>
      </c>
      <c r="U3855" s="1" t="s">
        <v>22</v>
      </c>
      <c r="V3855" s="1" t="s">
        <v>23</v>
      </c>
      <c r="W3855" s="1" t="s">
        <v>24</v>
      </c>
      <c r="X3855" s="1">
        <v>2739</v>
      </c>
      <c r="Y3855" s="1" t="s">
        <v>24</v>
      </c>
      <c r="Z3855" s="1" t="s">
        <v>24</v>
      </c>
      <c r="AA3855" s="1" t="s">
        <v>24</v>
      </c>
      <c r="AB3855" s="1" t="s">
        <v>24</v>
      </c>
      <c r="AC3855" s="1" t="s">
        <v>24</v>
      </c>
      <c r="AD3855" s="1" t="s">
        <v>24</v>
      </c>
      <c r="AE3855" s="1" t="s">
        <v>24</v>
      </c>
      <c r="AF3855" s="22"/>
    </row>
    <row r="3856" spans="1:32" x14ac:dyDescent="0.2">
      <c r="A3856" s="1">
        <v>32147</v>
      </c>
      <c r="B3856" s="1" t="s">
        <v>11865</v>
      </c>
      <c r="C3856" s="5" t="s">
        <v>0</v>
      </c>
      <c r="D3856" s="1" t="s">
        <v>11866</v>
      </c>
      <c r="E3856" s="1" t="s">
        <v>11867</v>
      </c>
      <c r="F3856" s="1" t="s">
        <v>724</v>
      </c>
      <c r="G3856" s="1" t="s">
        <v>725</v>
      </c>
      <c r="H3856" s="1" t="s">
        <v>37</v>
      </c>
      <c r="I3856" s="1" t="s">
        <v>16</v>
      </c>
      <c r="J3856" s="1">
        <v>1</v>
      </c>
      <c r="K3856" s="1">
        <v>4</v>
      </c>
      <c r="L3856" s="1" t="s">
        <v>31</v>
      </c>
      <c r="M3856" s="1" t="s">
        <v>18</v>
      </c>
      <c r="N3856" s="1" t="s">
        <v>18</v>
      </c>
      <c r="O3856" s="1">
        <v>3</v>
      </c>
      <c r="P3856" s="1">
        <v>7</v>
      </c>
      <c r="Q3856" s="7" t="s">
        <v>17633</v>
      </c>
      <c r="R3856" s="1" t="s">
        <v>19</v>
      </c>
      <c r="S3856" s="1" t="s">
        <v>20</v>
      </c>
      <c r="T3856" s="1" t="s">
        <v>21</v>
      </c>
      <c r="U3856" s="1" t="s">
        <v>22</v>
      </c>
      <c r="V3856" s="1" t="s">
        <v>23</v>
      </c>
      <c r="W3856" s="1" t="s">
        <v>24</v>
      </c>
      <c r="X3856" s="1">
        <v>2719</v>
      </c>
      <c r="Y3856" s="1" t="s">
        <v>24</v>
      </c>
      <c r="Z3856" s="1" t="s">
        <v>24</v>
      </c>
      <c r="AA3856" s="1" t="s">
        <v>24</v>
      </c>
      <c r="AB3856" s="1" t="s">
        <v>24</v>
      </c>
      <c r="AC3856" s="1" t="s">
        <v>24</v>
      </c>
      <c r="AD3856" s="1" t="s">
        <v>24</v>
      </c>
      <c r="AE3856" s="1" t="s">
        <v>24</v>
      </c>
      <c r="AF3856" s="22"/>
    </row>
    <row r="3857" spans="1:32" x14ac:dyDescent="0.2">
      <c r="A3857" s="1">
        <v>32149</v>
      </c>
      <c r="B3857" s="1" t="s">
        <v>11868</v>
      </c>
      <c r="C3857" s="5" t="s">
        <v>0</v>
      </c>
      <c r="D3857" s="1" t="s">
        <v>11869</v>
      </c>
      <c r="E3857" s="1" t="s">
        <v>11870</v>
      </c>
      <c r="F3857" s="1" t="s">
        <v>1808</v>
      </c>
      <c r="G3857" s="1" t="s">
        <v>130</v>
      </c>
      <c r="H3857" s="1" t="s">
        <v>461</v>
      </c>
      <c r="I3857" s="1" t="s">
        <v>16</v>
      </c>
      <c r="J3857" s="1">
        <v>1</v>
      </c>
      <c r="K3857" s="1">
        <v>4</v>
      </c>
      <c r="L3857" s="1" t="s">
        <v>31</v>
      </c>
      <c r="M3857" s="1" t="s">
        <v>18</v>
      </c>
      <c r="N3857" s="1" t="s">
        <v>18</v>
      </c>
      <c r="O3857" s="1">
        <v>3</v>
      </c>
      <c r="P3857" s="1">
        <v>7</v>
      </c>
      <c r="Q3857" s="7" t="s">
        <v>17633</v>
      </c>
      <c r="R3857" s="1" t="s">
        <v>19</v>
      </c>
      <c r="S3857" s="1" t="s">
        <v>20</v>
      </c>
      <c r="T3857" s="1" t="s">
        <v>21</v>
      </c>
      <c r="U3857" s="1" t="s">
        <v>22</v>
      </c>
      <c r="V3857" s="1" t="s">
        <v>24</v>
      </c>
      <c r="W3857" s="1" t="s">
        <v>24</v>
      </c>
      <c r="X3857" s="1">
        <v>1307</v>
      </c>
      <c r="Y3857" s="1">
        <v>1306</v>
      </c>
      <c r="Z3857" s="1" t="s">
        <v>24</v>
      </c>
      <c r="AA3857" s="1" t="s">
        <v>24</v>
      </c>
      <c r="AB3857" s="1" t="s">
        <v>24</v>
      </c>
      <c r="AC3857" s="1" t="s">
        <v>24</v>
      </c>
      <c r="AD3857" s="1" t="s">
        <v>24</v>
      </c>
      <c r="AE3857" s="1" t="s">
        <v>24</v>
      </c>
      <c r="AF3857" s="22"/>
    </row>
    <row r="3858" spans="1:32" x14ac:dyDescent="0.2">
      <c r="A3858" s="1">
        <v>32157</v>
      </c>
      <c r="B3858" s="1" t="s">
        <v>11871</v>
      </c>
      <c r="C3858" s="5" t="s">
        <v>0</v>
      </c>
      <c r="D3858" s="1" t="s">
        <v>11872</v>
      </c>
      <c r="F3858" s="1" t="s">
        <v>9176</v>
      </c>
      <c r="G3858" s="1" t="s">
        <v>9176</v>
      </c>
      <c r="H3858" s="1" t="s">
        <v>37</v>
      </c>
      <c r="I3858" s="1" t="s">
        <v>5001</v>
      </c>
      <c r="J3858" s="1">
        <v>1</v>
      </c>
      <c r="K3858" s="1">
        <v>4</v>
      </c>
      <c r="L3858" s="1" t="s">
        <v>42</v>
      </c>
      <c r="M3858" s="1" t="s">
        <v>18</v>
      </c>
      <c r="N3858" s="1" t="s">
        <v>18</v>
      </c>
      <c r="O3858" s="1">
        <v>0</v>
      </c>
      <c r="P3858" s="1">
        <v>5</v>
      </c>
      <c r="R3858" s="1" t="s">
        <v>19</v>
      </c>
      <c r="S3858" s="1" t="s">
        <v>20</v>
      </c>
      <c r="T3858" s="1" t="s">
        <v>21</v>
      </c>
      <c r="U3858" s="1" t="s">
        <v>22</v>
      </c>
      <c r="V3858" s="1" t="s">
        <v>24</v>
      </c>
      <c r="W3858" s="1" t="s">
        <v>24</v>
      </c>
      <c r="X3858" s="1">
        <v>3003</v>
      </c>
      <c r="Y3858" s="1" t="s">
        <v>24</v>
      </c>
      <c r="Z3858" s="1" t="s">
        <v>24</v>
      </c>
      <c r="AA3858" s="1" t="s">
        <v>24</v>
      </c>
      <c r="AB3858" s="1" t="s">
        <v>24</v>
      </c>
      <c r="AC3858" s="1" t="s">
        <v>24</v>
      </c>
      <c r="AD3858" s="1" t="s">
        <v>24</v>
      </c>
      <c r="AE3858" s="1" t="s">
        <v>24</v>
      </c>
      <c r="AF3858" s="22"/>
    </row>
    <row r="3859" spans="1:32" x14ac:dyDescent="0.2">
      <c r="A3859" s="1">
        <v>32158</v>
      </c>
      <c r="B3859" s="1" t="s">
        <v>11873</v>
      </c>
      <c r="C3859" s="5" t="s">
        <v>0</v>
      </c>
      <c r="D3859" s="1" t="s">
        <v>11874</v>
      </c>
      <c r="E3859" s="1" t="s">
        <v>11875</v>
      </c>
      <c r="F3859" s="1" t="s">
        <v>28</v>
      </c>
      <c r="G3859" s="1" t="s">
        <v>29</v>
      </c>
      <c r="H3859" s="1" t="s">
        <v>37</v>
      </c>
      <c r="I3859" s="1" t="s">
        <v>16</v>
      </c>
      <c r="J3859" s="1">
        <v>1</v>
      </c>
      <c r="K3859" s="1">
        <v>6</v>
      </c>
      <c r="L3859" s="1" t="s">
        <v>31</v>
      </c>
      <c r="M3859" s="1" t="s">
        <v>18</v>
      </c>
      <c r="N3859" s="1" t="s">
        <v>18</v>
      </c>
      <c r="O3859" s="1">
        <v>3</v>
      </c>
      <c r="P3859" s="1">
        <v>7</v>
      </c>
      <c r="Q3859" s="7" t="s">
        <v>17633</v>
      </c>
      <c r="R3859" s="1" t="s">
        <v>19</v>
      </c>
      <c r="S3859" s="1" t="s">
        <v>20</v>
      </c>
      <c r="T3859" s="1" t="s">
        <v>21</v>
      </c>
      <c r="U3859" s="1" t="s">
        <v>22</v>
      </c>
      <c r="V3859" s="1" t="s">
        <v>24</v>
      </c>
      <c r="W3859" s="1" t="s">
        <v>24</v>
      </c>
      <c r="X3859" s="1">
        <v>2705</v>
      </c>
      <c r="Y3859" s="1">
        <v>2746</v>
      </c>
      <c r="Z3859" s="1" t="s">
        <v>24</v>
      </c>
      <c r="AA3859" s="1" t="s">
        <v>24</v>
      </c>
      <c r="AB3859" s="1" t="s">
        <v>24</v>
      </c>
      <c r="AC3859" s="1" t="s">
        <v>24</v>
      </c>
      <c r="AD3859" s="1" t="s">
        <v>24</v>
      </c>
      <c r="AE3859" s="1" t="s">
        <v>24</v>
      </c>
      <c r="AF3859" s="22"/>
    </row>
    <row r="3860" spans="1:32" x14ac:dyDescent="0.2">
      <c r="A3860" s="1">
        <v>32162</v>
      </c>
      <c r="B3860" s="1" t="s">
        <v>11876</v>
      </c>
      <c r="C3860" s="5" t="s">
        <v>0</v>
      </c>
      <c r="D3860" s="1" t="s">
        <v>11877</v>
      </c>
      <c r="F3860" s="1" t="s">
        <v>11878</v>
      </c>
      <c r="G3860" s="1" t="s">
        <v>11879</v>
      </c>
      <c r="H3860" s="1" t="s">
        <v>30</v>
      </c>
      <c r="I3860" s="1" t="s">
        <v>16</v>
      </c>
      <c r="J3860" s="1">
        <v>1</v>
      </c>
      <c r="K3860" s="1">
        <v>4</v>
      </c>
      <c r="L3860" s="1" t="s">
        <v>31</v>
      </c>
      <c r="M3860" s="1" t="s">
        <v>18</v>
      </c>
      <c r="N3860" s="1" t="s">
        <v>18</v>
      </c>
      <c r="O3860" s="1">
        <v>3</v>
      </c>
      <c r="P3860" s="1">
        <v>6</v>
      </c>
      <c r="R3860" s="1" t="s">
        <v>19</v>
      </c>
      <c r="S3860" s="1" t="s">
        <v>20</v>
      </c>
      <c r="T3860" s="1" t="s">
        <v>21</v>
      </c>
      <c r="U3860" s="1" t="s">
        <v>22</v>
      </c>
      <c r="V3860" s="1" t="s">
        <v>24</v>
      </c>
      <c r="W3860" s="1" t="s">
        <v>24</v>
      </c>
      <c r="X3860" s="1">
        <v>2730</v>
      </c>
      <c r="Y3860" s="1">
        <v>3207</v>
      </c>
      <c r="Z3860" s="1" t="s">
        <v>24</v>
      </c>
      <c r="AA3860" s="1" t="s">
        <v>24</v>
      </c>
      <c r="AB3860" s="1" t="s">
        <v>24</v>
      </c>
      <c r="AC3860" s="1" t="s">
        <v>24</v>
      </c>
      <c r="AD3860" s="1" t="s">
        <v>24</v>
      </c>
      <c r="AE3860" s="1" t="s">
        <v>24</v>
      </c>
      <c r="AF3860" s="22"/>
    </row>
    <row r="3861" spans="1:32" x14ac:dyDescent="0.2">
      <c r="A3861" s="1">
        <v>32164</v>
      </c>
      <c r="B3861" s="1" t="s">
        <v>11880</v>
      </c>
      <c r="C3861" s="5" t="s">
        <v>0</v>
      </c>
      <c r="D3861" s="1" t="s">
        <v>11881</v>
      </c>
      <c r="E3861" s="1" t="s">
        <v>11882</v>
      </c>
      <c r="F3861" s="1" t="s">
        <v>167</v>
      </c>
      <c r="G3861" s="1" t="s">
        <v>130</v>
      </c>
      <c r="H3861" s="1" t="s">
        <v>168</v>
      </c>
      <c r="I3861" s="1" t="s">
        <v>16</v>
      </c>
      <c r="J3861" s="1">
        <v>1</v>
      </c>
      <c r="K3861" s="1">
        <v>6</v>
      </c>
      <c r="L3861" s="1" t="s">
        <v>31</v>
      </c>
      <c r="M3861" s="1" t="s">
        <v>18</v>
      </c>
      <c r="N3861" s="1" t="s">
        <v>18</v>
      </c>
      <c r="O3861" s="1">
        <v>3</v>
      </c>
      <c r="P3861" s="1">
        <v>7</v>
      </c>
      <c r="Q3861" s="7" t="s">
        <v>17633</v>
      </c>
      <c r="R3861" s="1" t="s">
        <v>19</v>
      </c>
      <c r="S3861" s="1" t="s">
        <v>20</v>
      </c>
      <c r="T3861" s="1" t="s">
        <v>21</v>
      </c>
      <c r="U3861" s="1" t="s">
        <v>22</v>
      </c>
      <c r="V3861" s="1" t="s">
        <v>23</v>
      </c>
      <c r="W3861" s="1" t="s">
        <v>24</v>
      </c>
      <c r="X3861" s="1">
        <v>2741</v>
      </c>
      <c r="Y3861" s="1">
        <v>2718</v>
      </c>
      <c r="Z3861" s="1">
        <v>2746</v>
      </c>
      <c r="AA3861" s="1" t="s">
        <v>24</v>
      </c>
      <c r="AB3861" s="1" t="s">
        <v>24</v>
      </c>
      <c r="AC3861" s="1" t="s">
        <v>24</v>
      </c>
      <c r="AD3861" s="1" t="s">
        <v>24</v>
      </c>
      <c r="AE3861" s="1" t="s">
        <v>24</v>
      </c>
      <c r="AF3861" s="22"/>
    </row>
    <row r="3862" spans="1:32" x14ac:dyDescent="0.2">
      <c r="A3862" s="1">
        <v>32165</v>
      </c>
      <c r="B3862" s="1" t="s">
        <v>11883</v>
      </c>
      <c r="C3862" s="5" t="s">
        <v>0</v>
      </c>
      <c r="D3862" s="1" t="s">
        <v>11884</v>
      </c>
      <c r="E3862" s="1" t="s">
        <v>11885</v>
      </c>
      <c r="F3862" s="1" t="s">
        <v>11079</v>
      </c>
      <c r="G3862" s="1" t="s">
        <v>11079</v>
      </c>
      <c r="H3862" s="1" t="s">
        <v>3228</v>
      </c>
      <c r="I3862" s="1" t="s">
        <v>16</v>
      </c>
      <c r="J3862" s="1">
        <v>1</v>
      </c>
      <c r="K3862" s="1">
        <v>1</v>
      </c>
      <c r="L3862" s="1" t="s">
        <v>42</v>
      </c>
      <c r="M3862" s="1" t="s">
        <v>18</v>
      </c>
      <c r="N3862" s="1" t="s">
        <v>18</v>
      </c>
      <c r="O3862" s="1">
        <v>3</v>
      </c>
      <c r="P3862" s="1">
        <v>6</v>
      </c>
      <c r="R3862" s="1" t="s">
        <v>19</v>
      </c>
      <c r="S3862" s="1" t="s">
        <v>63</v>
      </c>
      <c r="T3862" s="1" t="s">
        <v>21</v>
      </c>
      <c r="U3862" s="1" t="s">
        <v>22</v>
      </c>
      <c r="V3862" s="1" t="s">
        <v>24</v>
      </c>
      <c r="W3862" s="1" t="s">
        <v>24</v>
      </c>
      <c r="X3862" s="1">
        <v>2740</v>
      </c>
      <c r="Y3862" s="1">
        <v>2739</v>
      </c>
      <c r="Z3862" s="1">
        <v>2719</v>
      </c>
      <c r="AA3862" s="1" t="s">
        <v>24</v>
      </c>
      <c r="AB3862" s="1" t="s">
        <v>24</v>
      </c>
      <c r="AC3862" s="1" t="s">
        <v>24</v>
      </c>
      <c r="AD3862" s="1" t="s">
        <v>24</v>
      </c>
      <c r="AE3862" s="1" t="s">
        <v>24</v>
      </c>
      <c r="AF3862" s="22"/>
    </row>
    <row r="3863" spans="1:32" x14ac:dyDescent="0.2">
      <c r="A3863" s="1">
        <v>32182</v>
      </c>
      <c r="B3863" s="1" t="s">
        <v>11886</v>
      </c>
      <c r="C3863" s="5" t="s">
        <v>0</v>
      </c>
      <c r="D3863" s="1" t="s">
        <v>11887</v>
      </c>
      <c r="E3863" s="1" t="s">
        <v>11888</v>
      </c>
      <c r="F3863" s="1" t="s">
        <v>11079</v>
      </c>
      <c r="G3863" s="1" t="s">
        <v>11079</v>
      </c>
      <c r="H3863" s="1" t="s">
        <v>3228</v>
      </c>
      <c r="I3863" s="1" t="s">
        <v>16</v>
      </c>
      <c r="J3863" s="1">
        <v>1</v>
      </c>
      <c r="K3863" s="1">
        <v>1</v>
      </c>
      <c r="L3863" s="1" t="s">
        <v>42</v>
      </c>
      <c r="M3863" s="1" t="s">
        <v>18</v>
      </c>
      <c r="N3863" s="1" t="s">
        <v>18</v>
      </c>
      <c r="O3863" s="1">
        <v>3</v>
      </c>
      <c r="P3863" s="1">
        <v>6</v>
      </c>
      <c r="R3863" s="1" t="s">
        <v>19</v>
      </c>
      <c r="S3863" s="1" t="s">
        <v>63</v>
      </c>
      <c r="T3863" s="1" t="s">
        <v>21</v>
      </c>
      <c r="U3863" s="1" t="s">
        <v>22</v>
      </c>
      <c r="V3863" s="1" t="s">
        <v>23</v>
      </c>
      <c r="W3863" s="1" t="s">
        <v>24</v>
      </c>
      <c r="X3863" s="1">
        <v>1304</v>
      </c>
      <c r="Y3863" s="1">
        <v>1502</v>
      </c>
      <c r="Z3863" s="1">
        <v>2502</v>
      </c>
      <c r="AA3863" s="1">
        <v>1605</v>
      </c>
      <c r="AB3863" s="1">
        <v>3002</v>
      </c>
      <c r="AC3863" s="1" t="s">
        <v>24</v>
      </c>
      <c r="AD3863" s="1" t="s">
        <v>24</v>
      </c>
      <c r="AE3863" s="1" t="s">
        <v>24</v>
      </c>
      <c r="AF3863" s="22"/>
    </row>
    <row r="3864" spans="1:32" x14ac:dyDescent="0.2">
      <c r="A3864" s="1">
        <v>32199</v>
      </c>
      <c r="B3864" s="1" t="s">
        <v>11889</v>
      </c>
      <c r="C3864" s="5" t="s">
        <v>0</v>
      </c>
      <c r="D3864" s="1" t="s">
        <v>11890</v>
      </c>
      <c r="E3864" s="1" t="s">
        <v>11891</v>
      </c>
      <c r="F3864" s="1" t="s">
        <v>11889</v>
      </c>
      <c r="G3864" s="1" t="s">
        <v>11889</v>
      </c>
      <c r="H3864" s="1" t="s">
        <v>1957</v>
      </c>
      <c r="I3864" s="1" t="s">
        <v>16</v>
      </c>
      <c r="J3864" s="1">
        <v>1</v>
      </c>
      <c r="K3864" s="1">
        <v>4</v>
      </c>
      <c r="L3864" s="1" t="s">
        <v>42</v>
      </c>
      <c r="M3864" s="1" t="s">
        <v>18</v>
      </c>
      <c r="N3864" s="1" t="s">
        <v>18</v>
      </c>
      <c r="O3864" s="1">
        <v>2</v>
      </c>
      <c r="P3864" s="1">
        <v>6</v>
      </c>
      <c r="R3864" s="1" t="s">
        <v>19</v>
      </c>
      <c r="S3864" s="1" t="s">
        <v>20</v>
      </c>
      <c r="T3864" s="1" t="s">
        <v>21</v>
      </c>
      <c r="U3864" s="1" t="s">
        <v>22</v>
      </c>
      <c r="V3864" s="1" t="s">
        <v>24</v>
      </c>
      <c r="W3864" s="1" t="s">
        <v>24</v>
      </c>
      <c r="X3864" s="1">
        <v>2736</v>
      </c>
      <c r="Y3864" s="1">
        <v>3000</v>
      </c>
      <c r="Z3864" s="1" t="s">
        <v>24</v>
      </c>
      <c r="AA3864" s="1" t="s">
        <v>24</v>
      </c>
      <c r="AB3864" s="1" t="s">
        <v>24</v>
      </c>
      <c r="AC3864" s="1" t="s">
        <v>24</v>
      </c>
      <c r="AD3864" s="1" t="s">
        <v>24</v>
      </c>
      <c r="AE3864" s="1" t="s">
        <v>24</v>
      </c>
      <c r="AF3864" s="22"/>
    </row>
    <row r="3865" spans="1:32" x14ac:dyDescent="0.2">
      <c r="A3865" s="1">
        <v>32203</v>
      </c>
      <c r="B3865" s="1" t="s">
        <v>11892</v>
      </c>
      <c r="C3865" s="5" t="s">
        <v>0</v>
      </c>
      <c r="D3865" s="1" t="s">
        <v>10091</v>
      </c>
      <c r="F3865" s="1" t="s">
        <v>10092</v>
      </c>
      <c r="G3865" s="1" t="s">
        <v>10093</v>
      </c>
      <c r="H3865" s="1" t="s">
        <v>168</v>
      </c>
      <c r="I3865" s="1" t="s">
        <v>16</v>
      </c>
      <c r="J3865" s="1">
        <v>1</v>
      </c>
      <c r="K3865" s="1">
        <v>4</v>
      </c>
      <c r="L3865" s="1" t="s">
        <v>31</v>
      </c>
      <c r="M3865" s="1" t="s">
        <v>679</v>
      </c>
      <c r="N3865" s="1" t="s">
        <v>679</v>
      </c>
      <c r="O3865" s="1">
        <v>2</v>
      </c>
      <c r="P3865" s="1">
        <v>5</v>
      </c>
      <c r="R3865" s="1" t="s">
        <v>19</v>
      </c>
      <c r="S3865" s="1" t="s">
        <v>20</v>
      </c>
      <c r="T3865" s="1" t="s">
        <v>21</v>
      </c>
      <c r="U3865" s="1" t="s">
        <v>22</v>
      </c>
      <c r="V3865" s="1" t="s">
        <v>24</v>
      </c>
      <c r="W3865" s="1" t="s">
        <v>24</v>
      </c>
      <c r="X3865" s="1">
        <v>2736</v>
      </c>
      <c r="Y3865" s="1" t="s">
        <v>24</v>
      </c>
      <c r="Z3865" s="1" t="s">
        <v>24</v>
      </c>
      <c r="AA3865" s="1" t="s">
        <v>24</v>
      </c>
      <c r="AB3865" s="1" t="s">
        <v>24</v>
      </c>
      <c r="AC3865" s="1" t="s">
        <v>24</v>
      </c>
      <c r="AD3865" s="1" t="s">
        <v>24</v>
      </c>
      <c r="AE3865" s="1" t="s">
        <v>24</v>
      </c>
      <c r="AF3865" s="22"/>
    </row>
    <row r="3866" spans="1:32" x14ac:dyDescent="0.2">
      <c r="A3866" s="1">
        <v>32205</v>
      </c>
      <c r="B3866" s="1" t="s">
        <v>11893</v>
      </c>
      <c r="C3866" s="5" t="s">
        <v>0</v>
      </c>
      <c r="D3866" s="1" t="s">
        <v>11894</v>
      </c>
      <c r="E3866" s="1" t="s">
        <v>11895</v>
      </c>
      <c r="F3866" s="1" t="s">
        <v>11896</v>
      </c>
      <c r="G3866" s="1" t="s">
        <v>11896</v>
      </c>
      <c r="H3866" s="1" t="s">
        <v>30</v>
      </c>
      <c r="I3866" s="1" t="s">
        <v>16</v>
      </c>
      <c r="J3866" s="1">
        <v>1</v>
      </c>
      <c r="K3866" s="1">
        <v>6</v>
      </c>
      <c r="L3866" s="1" t="s">
        <v>42</v>
      </c>
      <c r="M3866" s="1" t="s">
        <v>18</v>
      </c>
      <c r="N3866" s="1" t="s">
        <v>18</v>
      </c>
      <c r="O3866" s="1">
        <v>3</v>
      </c>
      <c r="P3866" s="1">
        <v>6</v>
      </c>
      <c r="R3866" s="1" t="s">
        <v>19</v>
      </c>
      <c r="S3866" s="1" t="s">
        <v>20</v>
      </c>
      <c r="T3866" s="1" t="s">
        <v>21</v>
      </c>
      <c r="U3866" s="1" t="s">
        <v>22</v>
      </c>
      <c r="V3866" s="1" t="s">
        <v>24</v>
      </c>
      <c r="W3866" s="1" t="s">
        <v>24</v>
      </c>
      <c r="X3866" s="1">
        <v>2500</v>
      </c>
      <c r="Y3866" s="1">
        <v>1502</v>
      </c>
      <c r="Z3866" s="1">
        <v>2204</v>
      </c>
      <c r="AA3866" s="1">
        <v>2701</v>
      </c>
      <c r="AB3866" s="1">
        <v>3003</v>
      </c>
      <c r="AC3866" s="1" t="s">
        <v>24</v>
      </c>
      <c r="AD3866" s="1" t="s">
        <v>24</v>
      </c>
      <c r="AE3866" s="1" t="s">
        <v>24</v>
      </c>
      <c r="AF3866" s="22"/>
    </row>
    <row r="3867" spans="1:32" x14ac:dyDescent="0.2">
      <c r="A3867" s="1">
        <v>32206</v>
      </c>
      <c r="B3867" s="1" t="s">
        <v>11897</v>
      </c>
      <c r="C3867" s="5" t="s">
        <v>0</v>
      </c>
      <c r="D3867" s="1" t="s">
        <v>11898</v>
      </c>
      <c r="F3867" s="1" t="s">
        <v>11897</v>
      </c>
      <c r="G3867" s="1" t="s">
        <v>11897</v>
      </c>
      <c r="H3867" s="1" t="s">
        <v>1384</v>
      </c>
      <c r="I3867" s="1" t="s">
        <v>16</v>
      </c>
      <c r="J3867" s="1">
        <v>1</v>
      </c>
      <c r="K3867" s="1">
        <v>2</v>
      </c>
      <c r="L3867" s="1" t="s">
        <v>42</v>
      </c>
      <c r="M3867" s="1" t="s">
        <v>18</v>
      </c>
      <c r="N3867" s="1" t="s">
        <v>18</v>
      </c>
      <c r="O3867" s="1">
        <v>3</v>
      </c>
      <c r="P3867" s="1">
        <v>6</v>
      </c>
      <c r="R3867" s="1" t="s">
        <v>19</v>
      </c>
      <c r="S3867" s="1" t="s">
        <v>20</v>
      </c>
      <c r="T3867" s="1" t="s">
        <v>21</v>
      </c>
      <c r="U3867" s="1" t="s">
        <v>22</v>
      </c>
      <c r="V3867" s="1" t="s">
        <v>24</v>
      </c>
      <c r="W3867" s="1" t="s">
        <v>24</v>
      </c>
      <c r="X3867" s="1">
        <v>1307</v>
      </c>
      <c r="Y3867" s="1">
        <v>1311</v>
      </c>
      <c r="Z3867" s="1">
        <v>1312</v>
      </c>
      <c r="AA3867" s="1">
        <v>1306</v>
      </c>
      <c r="AB3867" s="1">
        <v>1308</v>
      </c>
      <c r="AC3867" s="1">
        <v>2404</v>
      </c>
      <c r="AD3867" s="1" t="s">
        <v>24</v>
      </c>
      <c r="AE3867" s="1" t="s">
        <v>24</v>
      </c>
      <c r="AF3867" s="22"/>
    </row>
    <row r="3868" spans="1:32" x14ac:dyDescent="0.2">
      <c r="A3868" s="1">
        <v>32208</v>
      </c>
      <c r="B3868" s="1" t="s">
        <v>11899</v>
      </c>
      <c r="C3868" s="5" t="s">
        <v>0</v>
      </c>
      <c r="D3868" s="1" t="s">
        <v>11900</v>
      </c>
      <c r="F3868" s="1" t="s">
        <v>11901</v>
      </c>
      <c r="G3868" s="1" t="s">
        <v>9994</v>
      </c>
      <c r="H3868" s="1" t="s">
        <v>1007</v>
      </c>
      <c r="I3868" s="1" t="s">
        <v>16</v>
      </c>
      <c r="J3868" s="1">
        <v>1</v>
      </c>
      <c r="K3868" s="1">
        <v>6</v>
      </c>
      <c r="L3868" s="1" t="s">
        <v>17</v>
      </c>
      <c r="M3868" s="1" t="s">
        <v>1008</v>
      </c>
      <c r="N3868" s="1" t="s">
        <v>4418</v>
      </c>
      <c r="O3868" s="1">
        <v>3</v>
      </c>
      <c r="P3868" s="1">
        <v>6</v>
      </c>
      <c r="R3868" s="1" t="s">
        <v>19</v>
      </c>
      <c r="S3868" s="1" t="s">
        <v>20</v>
      </c>
      <c r="T3868" s="1" t="s">
        <v>21</v>
      </c>
      <c r="U3868" s="1" t="s">
        <v>22</v>
      </c>
      <c r="V3868" s="1" t="s">
        <v>24</v>
      </c>
      <c r="W3868" s="1" t="s">
        <v>24</v>
      </c>
      <c r="X3868" s="1">
        <v>1306</v>
      </c>
      <c r="Y3868" s="1">
        <v>2700</v>
      </c>
      <c r="Z3868" s="1" t="s">
        <v>24</v>
      </c>
      <c r="AA3868" s="1" t="s">
        <v>24</v>
      </c>
      <c r="AB3868" s="1" t="s">
        <v>24</v>
      </c>
      <c r="AC3868" s="1" t="s">
        <v>24</v>
      </c>
      <c r="AD3868" s="1" t="s">
        <v>24</v>
      </c>
      <c r="AE3868" s="1" t="s">
        <v>24</v>
      </c>
      <c r="AF3868" s="22"/>
    </row>
    <row r="3869" spans="1:32" x14ac:dyDescent="0.2">
      <c r="A3869" s="1">
        <v>32209</v>
      </c>
      <c r="B3869" s="1" t="s">
        <v>11902</v>
      </c>
      <c r="C3869" s="5" t="s">
        <v>0</v>
      </c>
      <c r="D3869" s="1" t="s">
        <v>11903</v>
      </c>
      <c r="E3869" s="1" t="s">
        <v>11904</v>
      </c>
      <c r="F3869" s="1" t="s">
        <v>310</v>
      </c>
      <c r="G3869" s="1" t="s">
        <v>311</v>
      </c>
      <c r="H3869" s="1" t="s">
        <v>37</v>
      </c>
      <c r="I3869" s="1" t="s">
        <v>16</v>
      </c>
      <c r="J3869" s="1">
        <v>1</v>
      </c>
      <c r="K3869" s="1">
        <v>8</v>
      </c>
      <c r="L3869" s="1" t="s">
        <v>31</v>
      </c>
      <c r="M3869" s="1" t="s">
        <v>18</v>
      </c>
      <c r="N3869" s="1" t="s">
        <v>18</v>
      </c>
      <c r="O3869" s="1">
        <v>3</v>
      </c>
      <c r="P3869" s="1">
        <v>7</v>
      </c>
      <c r="Q3869" s="7" t="s">
        <v>17633</v>
      </c>
      <c r="R3869" s="1" t="s">
        <v>19</v>
      </c>
      <c r="S3869" s="1" t="s">
        <v>20</v>
      </c>
      <c r="T3869" s="1" t="s">
        <v>21</v>
      </c>
      <c r="U3869" s="1" t="s">
        <v>22</v>
      </c>
      <c r="V3869" s="1" t="s">
        <v>24</v>
      </c>
      <c r="W3869" s="1" t="s">
        <v>24</v>
      </c>
      <c r="X3869" s="1">
        <v>2500</v>
      </c>
      <c r="Y3869" s="1">
        <v>1502</v>
      </c>
      <c r="Z3869" s="1">
        <v>2204</v>
      </c>
      <c r="AA3869" s="1" t="s">
        <v>24</v>
      </c>
      <c r="AB3869" s="1" t="s">
        <v>24</v>
      </c>
      <c r="AC3869" s="1" t="s">
        <v>24</v>
      </c>
      <c r="AD3869" s="1" t="s">
        <v>24</v>
      </c>
      <c r="AE3869" s="1" t="s">
        <v>24</v>
      </c>
      <c r="AF3869" s="22"/>
    </row>
    <row r="3870" spans="1:32" x14ac:dyDescent="0.2">
      <c r="A3870" s="1">
        <v>32210</v>
      </c>
      <c r="B3870" s="1" t="s">
        <v>11905</v>
      </c>
      <c r="C3870" s="5" t="s">
        <v>0</v>
      </c>
      <c r="D3870" s="1" t="s">
        <v>11906</v>
      </c>
      <c r="E3870" s="1" t="s">
        <v>11907</v>
      </c>
      <c r="F3870" s="1" t="s">
        <v>517</v>
      </c>
      <c r="G3870" s="1" t="s">
        <v>36</v>
      </c>
      <c r="H3870" s="1" t="s">
        <v>30</v>
      </c>
      <c r="I3870" s="1" t="s">
        <v>16</v>
      </c>
      <c r="J3870" s="1">
        <v>1</v>
      </c>
      <c r="K3870" s="1">
        <v>6</v>
      </c>
      <c r="L3870" s="1" t="s">
        <v>31</v>
      </c>
      <c r="M3870" s="1" t="s">
        <v>18</v>
      </c>
      <c r="N3870" s="1" t="s">
        <v>18</v>
      </c>
      <c r="O3870" s="1">
        <v>3</v>
      </c>
      <c r="P3870" s="1">
        <v>7</v>
      </c>
      <c r="Q3870" s="7" t="s">
        <v>17633</v>
      </c>
      <c r="R3870" s="1" t="s">
        <v>19</v>
      </c>
      <c r="S3870" s="1" t="s">
        <v>20</v>
      </c>
      <c r="T3870" s="1" t="s">
        <v>21</v>
      </c>
      <c r="U3870" s="1" t="s">
        <v>22</v>
      </c>
      <c r="V3870" s="1" t="s">
        <v>23</v>
      </c>
      <c r="W3870" s="1" t="s">
        <v>24</v>
      </c>
      <c r="X3870" s="1">
        <v>2719</v>
      </c>
      <c r="Y3870" s="1">
        <v>2903</v>
      </c>
      <c r="Z3870" s="1">
        <v>2904</v>
      </c>
      <c r="AA3870" s="1">
        <v>2908</v>
      </c>
      <c r="AB3870" s="1">
        <v>2911</v>
      </c>
      <c r="AC3870" s="1" t="s">
        <v>24</v>
      </c>
      <c r="AD3870" s="1" t="s">
        <v>24</v>
      </c>
      <c r="AE3870" s="1" t="s">
        <v>24</v>
      </c>
      <c r="AF3870" s="22"/>
    </row>
    <row r="3871" spans="1:32" x14ac:dyDescent="0.2">
      <c r="A3871" s="1">
        <v>32213</v>
      </c>
      <c r="B3871" s="5" t="s">
        <v>11908</v>
      </c>
      <c r="C3871" s="5" t="s">
        <v>0</v>
      </c>
      <c r="D3871" s="1" t="s">
        <v>11909</v>
      </c>
      <c r="E3871" s="1" t="s">
        <v>11910</v>
      </c>
      <c r="F3871" s="1" t="s">
        <v>11911</v>
      </c>
      <c r="G3871" s="1" t="s">
        <v>11911</v>
      </c>
      <c r="H3871" s="1" t="s">
        <v>2772</v>
      </c>
      <c r="I3871" s="1" t="s">
        <v>16</v>
      </c>
      <c r="J3871" s="5">
        <v>2</v>
      </c>
      <c r="K3871" s="1">
        <v>6</v>
      </c>
      <c r="L3871" s="1" t="s">
        <v>42</v>
      </c>
      <c r="M3871" s="1" t="s">
        <v>18</v>
      </c>
      <c r="N3871" s="5" t="s">
        <v>18</v>
      </c>
      <c r="O3871" s="1">
        <v>3</v>
      </c>
      <c r="P3871" s="1">
        <v>6</v>
      </c>
      <c r="R3871" s="5" t="s">
        <v>19</v>
      </c>
      <c r="S3871" s="1" t="s">
        <v>20</v>
      </c>
      <c r="T3871" s="1" t="s">
        <v>21</v>
      </c>
      <c r="U3871" s="1" t="s">
        <v>22</v>
      </c>
      <c r="V3871" s="1" t="s">
        <v>24</v>
      </c>
      <c r="W3871" s="1" t="s">
        <v>24</v>
      </c>
      <c r="X3871" s="1">
        <v>2800</v>
      </c>
      <c r="Y3871" s="1">
        <v>2746</v>
      </c>
      <c r="Z3871" s="1">
        <v>2728</v>
      </c>
      <c r="AA3871" s="1" t="s">
        <v>24</v>
      </c>
      <c r="AB3871" s="1" t="s">
        <v>24</v>
      </c>
      <c r="AC3871" s="1" t="s">
        <v>24</v>
      </c>
      <c r="AD3871" s="1" t="s">
        <v>24</v>
      </c>
      <c r="AE3871" s="1" t="s">
        <v>24</v>
      </c>
      <c r="AF3871" s="22"/>
    </row>
    <row r="3872" spans="1:32" x14ac:dyDescent="0.2">
      <c r="A3872" s="1">
        <v>32216</v>
      </c>
      <c r="B3872" s="1" t="s">
        <v>11912</v>
      </c>
      <c r="C3872" s="5" t="s">
        <v>0</v>
      </c>
      <c r="D3872" s="1" t="s">
        <v>11913</v>
      </c>
      <c r="E3872" s="1" t="s">
        <v>11914</v>
      </c>
      <c r="F3872" s="1" t="s">
        <v>11915</v>
      </c>
      <c r="G3872" s="1" t="s">
        <v>11915</v>
      </c>
      <c r="H3872" s="1" t="s">
        <v>1384</v>
      </c>
      <c r="I3872" s="1" t="s">
        <v>16</v>
      </c>
      <c r="J3872" s="1">
        <v>1</v>
      </c>
      <c r="K3872" s="1">
        <v>4</v>
      </c>
      <c r="L3872" s="1" t="s">
        <v>42</v>
      </c>
      <c r="M3872" s="1" t="s">
        <v>3142</v>
      </c>
      <c r="N3872" s="1" t="s">
        <v>3142</v>
      </c>
      <c r="O3872" s="1">
        <v>2</v>
      </c>
      <c r="P3872" s="1">
        <v>6</v>
      </c>
      <c r="R3872" s="1" t="s">
        <v>19</v>
      </c>
      <c r="S3872" s="1" t="s">
        <v>20</v>
      </c>
      <c r="T3872" s="1" t="s">
        <v>21</v>
      </c>
      <c r="U3872" s="1" t="s">
        <v>22</v>
      </c>
      <c r="V3872" s="1" t="s">
        <v>24</v>
      </c>
      <c r="W3872" s="1" t="s">
        <v>24</v>
      </c>
      <c r="X3872" s="1">
        <v>2728</v>
      </c>
      <c r="Y3872" s="1">
        <v>2808</v>
      </c>
      <c r="Z3872" s="1" t="s">
        <v>24</v>
      </c>
      <c r="AA3872" s="1" t="s">
        <v>24</v>
      </c>
      <c r="AB3872" s="1" t="s">
        <v>24</v>
      </c>
      <c r="AC3872" s="1" t="s">
        <v>24</v>
      </c>
      <c r="AD3872" s="1" t="s">
        <v>24</v>
      </c>
      <c r="AE3872" s="1" t="s">
        <v>24</v>
      </c>
      <c r="AF3872" s="22"/>
    </row>
    <row r="3873" spans="1:32" x14ac:dyDescent="0.2">
      <c r="A3873" s="1">
        <v>32217</v>
      </c>
      <c r="B3873" s="1" t="s">
        <v>11916</v>
      </c>
      <c r="C3873" s="5" t="s">
        <v>0</v>
      </c>
      <c r="D3873" s="1" t="s">
        <v>11917</v>
      </c>
      <c r="E3873" s="1" t="s">
        <v>11918</v>
      </c>
      <c r="F3873" s="1" t="s">
        <v>109</v>
      </c>
      <c r="G3873" s="1" t="s">
        <v>110</v>
      </c>
      <c r="H3873" s="1" t="s">
        <v>111</v>
      </c>
      <c r="I3873" s="1" t="s">
        <v>16</v>
      </c>
      <c r="J3873" s="1">
        <v>1</v>
      </c>
      <c r="K3873" s="1">
        <v>6</v>
      </c>
      <c r="L3873" s="1" t="s">
        <v>31</v>
      </c>
      <c r="M3873" s="1" t="s">
        <v>18</v>
      </c>
      <c r="N3873" s="1" t="s">
        <v>18</v>
      </c>
      <c r="O3873" s="1">
        <v>3</v>
      </c>
      <c r="P3873" s="1">
        <v>7</v>
      </c>
      <c r="Q3873" s="7" t="s">
        <v>17633</v>
      </c>
      <c r="R3873" s="1" t="s">
        <v>19</v>
      </c>
      <c r="S3873" s="1" t="s">
        <v>20</v>
      </c>
      <c r="T3873" s="1" t="s">
        <v>21</v>
      </c>
      <c r="U3873" s="1" t="s">
        <v>22</v>
      </c>
      <c r="V3873" s="1" t="s">
        <v>24</v>
      </c>
      <c r="W3873" s="1" t="s">
        <v>24</v>
      </c>
      <c r="X3873" s="1">
        <v>2701</v>
      </c>
      <c r="Y3873" s="1">
        <v>1311</v>
      </c>
      <c r="Z3873" s="1">
        <v>1106</v>
      </c>
      <c r="AA3873" s="1" t="s">
        <v>24</v>
      </c>
      <c r="AB3873" s="1" t="s">
        <v>24</v>
      </c>
      <c r="AC3873" s="1" t="s">
        <v>24</v>
      </c>
      <c r="AD3873" s="1" t="s">
        <v>24</v>
      </c>
      <c r="AE3873" s="1" t="s">
        <v>24</v>
      </c>
      <c r="AF3873" s="22"/>
    </row>
    <row r="3874" spans="1:32" x14ac:dyDescent="0.2">
      <c r="A3874" s="1">
        <v>32218</v>
      </c>
      <c r="B3874" s="1" t="s">
        <v>11919</v>
      </c>
      <c r="C3874" s="5" t="s">
        <v>0</v>
      </c>
      <c r="D3874" s="1" t="s">
        <v>11920</v>
      </c>
      <c r="E3874" s="1" t="s">
        <v>11921</v>
      </c>
      <c r="F3874" s="1" t="s">
        <v>2247</v>
      </c>
      <c r="G3874" s="1" t="s">
        <v>2247</v>
      </c>
      <c r="H3874" s="1" t="s">
        <v>30</v>
      </c>
      <c r="I3874" s="1" t="s">
        <v>16</v>
      </c>
      <c r="J3874" s="1">
        <v>1</v>
      </c>
      <c r="K3874" s="1">
        <v>6</v>
      </c>
      <c r="L3874" s="1" t="s">
        <v>42</v>
      </c>
      <c r="M3874" s="1" t="s">
        <v>18</v>
      </c>
      <c r="N3874" s="1" t="s">
        <v>18</v>
      </c>
      <c r="O3874" s="1">
        <v>3</v>
      </c>
      <c r="P3874" s="1">
        <v>6</v>
      </c>
      <c r="R3874" s="1" t="s">
        <v>19</v>
      </c>
      <c r="S3874" s="1" t="s">
        <v>20</v>
      </c>
      <c r="T3874" s="1" t="s">
        <v>21</v>
      </c>
      <c r="U3874" s="1" t="s">
        <v>22</v>
      </c>
      <c r="V3874" s="1" t="s">
        <v>23</v>
      </c>
      <c r="W3874" s="1" t="s">
        <v>24</v>
      </c>
      <c r="X3874" s="1">
        <v>2730</v>
      </c>
      <c r="Y3874" s="1">
        <v>2917</v>
      </c>
      <c r="Z3874" s="1">
        <v>2719</v>
      </c>
      <c r="AA3874" s="1" t="s">
        <v>24</v>
      </c>
      <c r="AB3874" s="1" t="s">
        <v>24</v>
      </c>
      <c r="AC3874" s="1" t="s">
        <v>24</v>
      </c>
      <c r="AD3874" s="1" t="s">
        <v>24</v>
      </c>
      <c r="AE3874" s="1" t="s">
        <v>24</v>
      </c>
      <c r="AF3874" s="22"/>
    </row>
    <row r="3875" spans="1:32" x14ac:dyDescent="0.2">
      <c r="A3875" s="1">
        <v>32219</v>
      </c>
      <c r="B3875" s="1" t="s">
        <v>11922</v>
      </c>
      <c r="C3875" s="5" t="s">
        <v>0</v>
      </c>
      <c r="D3875" s="1" t="s">
        <v>11923</v>
      </c>
      <c r="F3875" s="1" t="s">
        <v>11924</v>
      </c>
      <c r="G3875" s="1" t="s">
        <v>11924</v>
      </c>
      <c r="H3875" s="1" t="s">
        <v>30</v>
      </c>
      <c r="I3875" s="1" t="s">
        <v>16</v>
      </c>
      <c r="J3875" s="1">
        <v>1</v>
      </c>
      <c r="K3875" s="1">
        <v>6</v>
      </c>
      <c r="L3875" s="1" t="s">
        <v>17</v>
      </c>
      <c r="M3875" s="1" t="s">
        <v>18</v>
      </c>
      <c r="N3875" s="1" t="s">
        <v>18</v>
      </c>
      <c r="O3875" s="1">
        <v>3</v>
      </c>
      <c r="P3875" s="1">
        <v>6</v>
      </c>
      <c r="R3875" s="1" t="s">
        <v>19</v>
      </c>
      <c r="S3875" s="1" t="s">
        <v>20</v>
      </c>
      <c r="T3875" s="1" t="s">
        <v>21</v>
      </c>
      <c r="U3875" s="1" t="s">
        <v>22</v>
      </c>
      <c r="V3875" s="1" t="s">
        <v>23</v>
      </c>
      <c r="W3875" s="1" t="s">
        <v>24</v>
      </c>
      <c r="X3875" s="1">
        <v>2736</v>
      </c>
      <c r="Y3875" s="1">
        <v>2703</v>
      </c>
      <c r="Z3875" s="1" t="s">
        <v>24</v>
      </c>
      <c r="AA3875" s="1" t="s">
        <v>24</v>
      </c>
      <c r="AB3875" s="1" t="s">
        <v>24</v>
      </c>
      <c r="AC3875" s="1" t="s">
        <v>24</v>
      </c>
      <c r="AD3875" s="1" t="s">
        <v>24</v>
      </c>
      <c r="AE3875" s="1" t="s">
        <v>24</v>
      </c>
      <c r="AF3875" s="22"/>
    </row>
    <row r="3876" spans="1:32" x14ac:dyDescent="0.2">
      <c r="A3876" s="1">
        <v>32220</v>
      </c>
      <c r="B3876" s="1" t="s">
        <v>11925</v>
      </c>
      <c r="C3876" s="5" t="s">
        <v>0</v>
      </c>
      <c r="D3876" s="1" t="s">
        <v>11926</v>
      </c>
      <c r="E3876" s="1" t="s">
        <v>11927</v>
      </c>
      <c r="F3876" s="1" t="s">
        <v>920</v>
      </c>
      <c r="G3876" s="1" t="s">
        <v>921</v>
      </c>
      <c r="H3876" s="1" t="s">
        <v>92</v>
      </c>
      <c r="I3876" s="1" t="s">
        <v>16</v>
      </c>
      <c r="J3876" s="1">
        <v>1</v>
      </c>
      <c r="K3876" s="1">
        <v>4</v>
      </c>
      <c r="L3876" s="1" t="s">
        <v>31</v>
      </c>
      <c r="M3876" s="1" t="s">
        <v>18</v>
      </c>
      <c r="N3876" s="1" t="s">
        <v>18</v>
      </c>
      <c r="O3876" s="1">
        <v>3</v>
      </c>
      <c r="P3876" s="1">
        <v>7</v>
      </c>
      <c r="Q3876" s="7" t="s">
        <v>17633</v>
      </c>
      <c r="R3876" s="1" t="s">
        <v>19</v>
      </c>
      <c r="S3876" s="1" t="s">
        <v>20</v>
      </c>
      <c r="T3876" s="1" t="s">
        <v>21</v>
      </c>
      <c r="U3876" s="1" t="s">
        <v>22</v>
      </c>
      <c r="V3876" s="1" t="s">
        <v>24</v>
      </c>
      <c r="W3876" s="1" t="s">
        <v>24</v>
      </c>
      <c r="X3876" s="1">
        <v>2735</v>
      </c>
      <c r="Y3876" s="1">
        <v>2725</v>
      </c>
      <c r="Z3876" s="1" t="s">
        <v>24</v>
      </c>
      <c r="AA3876" s="1" t="s">
        <v>24</v>
      </c>
      <c r="AB3876" s="1" t="s">
        <v>24</v>
      </c>
      <c r="AC3876" s="1" t="s">
        <v>24</v>
      </c>
      <c r="AD3876" s="1" t="s">
        <v>24</v>
      </c>
      <c r="AE3876" s="1" t="s">
        <v>24</v>
      </c>
      <c r="AF3876" s="22"/>
    </row>
    <row r="3877" spans="1:32" x14ac:dyDescent="0.2">
      <c r="A3877" s="1">
        <v>32222</v>
      </c>
      <c r="B3877" s="1" t="s">
        <v>11928</v>
      </c>
      <c r="C3877" s="5" t="s">
        <v>0</v>
      </c>
      <c r="D3877" s="1" t="s">
        <v>11929</v>
      </c>
      <c r="E3877" s="1" t="s">
        <v>11930</v>
      </c>
      <c r="F3877" s="1" t="s">
        <v>190</v>
      </c>
      <c r="G3877" s="1" t="s">
        <v>130</v>
      </c>
      <c r="H3877" s="1" t="s">
        <v>30</v>
      </c>
      <c r="I3877" s="1" t="s">
        <v>16</v>
      </c>
      <c r="J3877" s="1">
        <v>1</v>
      </c>
      <c r="K3877" s="1">
        <v>4</v>
      </c>
      <c r="L3877" s="1" t="s">
        <v>31</v>
      </c>
      <c r="M3877" s="1" t="s">
        <v>18</v>
      </c>
      <c r="N3877" s="1" t="s">
        <v>18</v>
      </c>
      <c r="O3877" s="1">
        <v>3</v>
      </c>
      <c r="P3877" s="1">
        <v>7</v>
      </c>
      <c r="Q3877" s="7" t="s">
        <v>17633</v>
      </c>
      <c r="R3877" s="1" t="s">
        <v>19</v>
      </c>
      <c r="S3877" s="1" t="s">
        <v>20</v>
      </c>
      <c r="T3877" s="1" t="s">
        <v>21</v>
      </c>
      <c r="U3877" s="1" t="s">
        <v>22</v>
      </c>
      <c r="V3877" s="1" t="s">
        <v>24</v>
      </c>
      <c r="W3877" s="1" t="s">
        <v>24</v>
      </c>
      <c r="X3877" s="1">
        <v>3002</v>
      </c>
      <c r="Y3877" s="1">
        <v>3003</v>
      </c>
      <c r="Z3877" s="1" t="s">
        <v>24</v>
      </c>
      <c r="AA3877" s="1" t="s">
        <v>24</v>
      </c>
      <c r="AB3877" s="1" t="s">
        <v>24</v>
      </c>
      <c r="AC3877" s="1" t="s">
        <v>24</v>
      </c>
      <c r="AD3877" s="1" t="s">
        <v>24</v>
      </c>
      <c r="AE3877" s="1" t="s">
        <v>24</v>
      </c>
      <c r="AF3877" s="22"/>
    </row>
    <row r="3878" spans="1:32" x14ac:dyDescent="0.2">
      <c r="A3878" s="1">
        <v>32225</v>
      </c>
      <c r="B3878" s="1" t="s">
        <v>11931</v>
      </c>
      <c r="C3878" s="5" t="s">
        <v>0</v>
      </c>
      <c r="D3878" s="1" t="s">
        <v>11932</v>
      </c>
      <c r="F3878" s="1" t="s">
        <v>11878</v>
      </c>
      <c r="G3878" s="1" t="s">
        <v>11879</v>
      </c>
      <c r="H3878" s="1" t="s">
        <v>30</v>
      </c>
      <c r="I3878" s="1" t="s">
        <v>16</v>
      </c>
      <c r="J3878" s="1">
        <v>1</v>
      </c>
      <c r="K3878" s="1">
        <v>4</v>
      </c>
      <c r="L3878" s="1" t="s">
        <v>31</v>
      </c>
      <c r="M3878" s="1" t="s">
        <v>18</v>
      </c>
      <c r="N3878" s="1" t="s">
        <v>18</v>
      </c>
      <c r="O3878" s="1">
        <v>3</v>
      </c>
      <c r="P3878" s="1">
        <v>6</v>
      </c>
      <c r="R3878" s="1" t="s">
        <v>19</v>
      </c>
      <c r="S3878" s="1" t="s">
        <v>20</v>
      </c>
      <c r="T3878" s="1" t="s">
        <v>21</v>
      </c>
      <c r="U3878" s="1" t="s">
        <v>22</v>
      </c>
      <c r="V3878" s="1" t="s">
        <v>24</v>
      </c>
      <c r="W3878" s="1" t="s">
        <v>24</v>
      </c>
      <c r="X3878" s="1">
        <v>1307</v>
      </c>
      <c r="Y3878" s="1">
        <v>1311</v>
      </c>
      <c r="Z3878" s="1">
        <v>1313</v>
      </c>
      <c r="AA3878" s="1">
        <v>2747</v>
      </c>
      <c r="AB3878" s="1" t="s">
        <v>24</v>
      </c>
      <c r="AC3878" s="1" t="s">
        <v>24</v>
      </c>
      <c r="AD3878" s="1" t="s">
        <v>24</v>
      </c>
      <c r="AE3878" s="1" t="s">
        <v>24</v>
      </c>
      <c r="AF3878" s="22"/>
    </row>
    <row r="3879" spans="1:32" x14ac:dyDescent="0.2">
      <c r="A3879" s="1">
        <v>32226</v>
      </c>
      <c r="B3879" s="1" t="s">
        <v>11933</v>
      </c>
      <c r="C3879" s="5" t="s">
        <v>0</v>
      </c>
      <c r="D3879" s="1" t="s">
        <v>11934</v>
      </c>
      <c r="E3879" s="1" t="s">
        <v>11935</v>
      </c>
      <c r="F3879" s="1" t="s">
        <v>11936</v>
      </c>
      <c r="G3879" s="1" t="s">
        <v>11936</v>
      </c>
      <c r="H3879" s="1" t="s">
        <v>1957</v>
      </c>
      <c r="I3879" s="1" t="s">
        <v>16</v>
      </c>
      <c r="J3879" s="1">
        <v>1</v>
      </c>
      <c r="K3879" s="1">
        <v>4</v>
      </c>
      <c r="L3879" s="1" t="s">
        <v>42</v>
      </c>
      <c r="M3879" s="1" t="s">
        <v>18</v>
      </c>
      <c r="N3879" s="1" t="s">
        <v>18</v>
      </c>
      <c r="O3879" s="1">
        <v>3</v>
      </c>
      <c r="P3879" s="1">
        <v>6</v>
      </c>
      <c r="R3879" s="1" t="s">
        <v>19</v>
      </c>
      <c r="S3879" s="1" t="s">
        <v>20</v>
      </c>
      <c r="T3879" s="1" t="s">
        <v>21</v>
      </c>
      <c r="U3879" s="1" t="s">
        <v>22</v>
      </c>
      <c r="V3879" s="1" t="s">
        <v>24</v>
      </c>
      <c r="W3879" s="1" t="s">
        <v>24</v>
      </c>
      <c r="X3879" s="1">
        <v>2705</v>
      </c>
      <c r="Y3879" s="1" t="s">
        <v>24</v>
      </c>
      <c r="Z3879" s="1" t="s">
        <v>24</v>
      </c>
      <c r="AA3879" s="1" t="s">
        <v>24</v>
      </c>
      <c r="AB3879" s="1" t="s">
        <v>24</v>
      </c>
      <c r="AC3879" s="1" t="s">
        <v>24</v>
      </c>
      <c r="AD3879" s="1" t="s">
        <v>24</v>
      </c>
      <c r="AE3879" s="1" t="s">
        <v>24</v>
      </c>
      <c r="AF3879" s="22"/>
    </row>
    <row r="3880" spans="1:32" x14ac:dyDescent="0.2">
      <c r="A3880" s="1">
        <v>32231</v>
      </c>
      <c r="B3880" s="1" t="s">
        <v>11937</v>
      </c>
      <c r="C3880" s="5" t="s">
        <v>0</v>
      </c>
      <c r="D3880" s="1" t="s">
        <v>11938</v>
      </c>
      <c r="E3880" s="1" t="s">
        <v>11939</v>
      </c>
      <c r="F3880" s="1" t="s">
        <v>8442</v>
      </c>
      <c r="G3880" s="1" t="s">
        <v>8443</v>
      </c>
      <c r="H3880" s="1" t="s">
        <v>37</v>
      </c>
      <c r="I3880" s="1" t="s">
        <v>16</v>
      </c>
      <c r="J3880" s="1">
        <v>1</v>
      </c>
      <c r="K3880" s="1">
        <v>6</v>
      </c>
      <c r="L3880" s="1" t="s">
        <v>31</v>
      </c>
      <c r="M3880" s="1" t="s">
        <v>18</v>
      </c>
      <c r="N3880" s="1" t="s">
        <v>18</v>
      </c>
      <c r="O3880" s="1">
        <v>3</v>
      </c>
      <c r="P3880" s="1">
        <v>7</v>
      </c>
      <c r="Q3880" s="7" t="s">
        <v>17633</v>
      </c>
      <c r="R3880" s="1" t="s">
        <v>19</v>
      </c>
      <c r="S3880" s="1" t="s">
        <v>20</v>
      </c>
      <c r="T3880" s="1" t="s">
        <v>21</v>
      </c>
      <c r="U3880" s="1" t="s">
        <v>22</v>
      </c>
      <c r="V3880" s="1" t="s">
        <v>24</v>
      </c>
      <c r="W3880" s="1" t="s">
        <v>24</v>
      </c>
      <c r="X3880" s="1">
        <v>2500</v>
      </c>
      <c r="Y3880" s="1">
        <v>1502</v>
      </c>
      <c r="Z3880" s="1">
        <v>2204</v>
      </c>
      <c r="AA3880" s="1">
        <v>2701</v>
      </c>
      <c r="AB3880" s="1">
        <v>3303</v>
      </c>
      <c r="AC3880" s="1" t="s">
        <v>24</v>
      </c>
      <c r="AD3880" s="1" t="s">
        <v>24</v>
      </c>
      <c r="AE3880" s="1" t="s">
        <v>24</v>
      </c>
      <c r="AF3880" s="22"/>
    </row>
    <row r="3881" spans="1:32" x14ac:dyDescent="0.2">
      <c r="A3881" s="1">
        <v>32233</v>
      </c>
      <c r="B3881" s="1" t="s">
        <v>11940</v>
      </c>
      <c r="C3881" s="5" t="s">
        <v>0</v>
      </c>
      <c r="D3881" s="1" t="s">
        <v>11941</v>
      </c>
      <c r="E3881" s="1" t="s">
        <v>11942</v>
      </c>
      <c r="F3881" s="1" t="s">
        <v>315</v>
      </c>
      <c r="G3881" s="1" t="s">
        <v>316</v>
      </c>
      <c r="H3881" s="1" t="s">
        <v>37</v>
      </c>
      <c r="I3881" s="1" t="s">
        <v>16</v>
      </c>
      <c r="J3881" s="1">
        <v>1</v>
      </c>
      <c r="K3881" s="1">
        <v>12</v>
      </c>
      <c r="L3881" s="1" t="s">
        <v>31</v>
      </c>
      <c r="M3881" s="1" t="s">
        <v>18</v>
      </c>
      <c r="N3881" s="1" t="s">
        <v>18</v>
      </c>
      <c r="O3881" s="1">
        <v>3</v>
      </c>
      <c r="P3881" s="1">
        <v>7</v>
      </c>
      <c r="Q3881" s="7" t="s">
        <v>17633</v>
      </c>
      <c r="R3881" s="1" t="s">
        <v>19</v>
      </c>
      <c r="S3881" s="1" t="s">
        <v>20</v>
      </c>
      <c r="T3881" s="1" t="s">
        <v>21</v>
      </c>
      <c r="U3881" s="1" t="s">
        <v>22</v>
      </c>
      <c r="V3881" s="1" t="s">
        <v>24</v>
      </c>
      <c r="W3881" s="1" t="s">
        <v>24</v>
      </c>
      <c r="X3881" s="1">
        <v>1300</v>
      </c>
      <c r="Y3881" s="1" t="s">
        <v>24</v>
      </c>
      <c r="Z3881" s="1" t="s">
        <v>24</v>
      </c>
      <c r="AA3881" s="1" t="s">
        <v>24</v>
      </c>
      <c r="AB3881" s="1" t="s">
        <v>24</v>
      </c>
      <c r="AC3881" s="1" t="s">
        <v>24</v>
      </c>
      <c r="AD3881" s="1" t="s">
        <v>24</v>
      </c>
      <c r="AE3881" s="1" t="s">
        <v>24</v>
      </c>
      <c r="AF3881" s="22"/>
    </row>
    <row r="3882" spans="1:32" x14ac:dyDescent="0.2">
      <c r="A3882" s="1">
        <v>32234</v>
      </c>
      <c r="B3882" s="1" t="s">
        <v>11943</v>
      </c>
      <c r="C3882" s="5" t="s">
        <v>0</v>
      </c>
      <c r="D3882" s="1" t="s">
        <v>11944</v>
      </c>
      <c r="E3882" s="1" t="s">
        <v>11945</v>
      </c>
      <c r="F3882" s="1" t="s">
        <v>11946</v>
      </c>
      <c r="G3882" s="1" t="s">
        <v>11946</v>
      </c>
      <c r="H3882" s="1" t="s">
        <v>1007</v>
      </c>
      <c r="I3882" s="1" t="s">
        <v>16</v>
      </c>
      <c r="J3882" s="1">
        <v>1</v>
      </c>
      <c r="K3882" s="1">
        <v>21</v>
      </c>
      <c r="L3882" s="1" t="s">
        <v>42</v>
      </c>
      <c r="M3882" s="1" t="s">
        <v>18</v>
      </c>
      <c r="N3882" s="1" t="s">
        <v>18</v>
      </c>
      <c r="O3882" s="1">
        <v>3</v>
      </c>
      <c r="P3882" s="1">
        <v>6</v>
      </c>
      <c r="R3882" s="1" t="s">
        <v>19</v>
      </c>
      <c r="S3882" s="1" t="s">
        <v>20</v>
      </c>
      <c r="T3882" s="1" t="s">
        <v>21</v>
      </c>
      <c r="U3882" s="1" t="s">
        <v>22</v>
      </c>
      <c r="V3882" s="1" t="s">
        <v>24</v>
      </c>
      <c r="W3882" s="1" t="s">
        <v>24</v>
      </c>
      <c r="X3882" s="1">
        <v>2806</v>
      </c>
      <c r="Y3882" s="1" t="s">
        <v>24</v>
      </c>
      <c r="Z3882" s="1" t="s">
        <v>24</v>
      </c>
      <c r="AA3882" s="1" t="s">
        <v>24</v>
      </c>
      <c r="AB3882" s="1" t="s">
        <v>24</v>
      </c>
      <c r="AC3882" s="1" t="s">
        <v>24</v>
      </c>
      <c r="AD3882" s="1" t="s">
        <v>24</v>
      </c>
      <c r="AE3882" s="1" t="s">
        <v>24</v>
      </c>
      <c r="AF3882" s="22"/>
    </row>
    <row r="3883" spans="1:32" x14ac:dyDescent="0.2">
      <c r="A3883" s="1">
        <v>32235</v>
      </c>
      <c r="B3883" s="1" t="s">
        <v>11947</v>
      </c>
      <c r="C3883" s="5" t="s">
        <v>0</v>
      </c>
      <c r="D3883" s="1" t="s">
        <v>11948</v>
      </c>
      <c r="F3883" s="1" t="s">
        <v>11947</v>
      </c>
      <c r="G3883" s="1" t="s">
        <v>11947</v>
      </c>
      <c r="H3883" s="1" t="s">
        <v>1384</v>
      </c>
      <c r="I3883" s="1" t="s">
        <v>16</v>
      </c>
      <c r="J3883" s="1">
        <v>1</v>
      </c>
      <c r="K3883" s="1">
        <v>4</v>
      </c>
      <c r="L3883" s="1" t="s">
        <v>42</v>
      </c>
      <c r="M3883" s="1" t="s">
        <v>3142</v>
      </c>
      <c r="N3883" s="1" t="s">
        <v>3142</v>
      </c>
      <c r="O3883" s="1">
        <v>2</v>
      </c>
      <c r="P3883" s="1">
        <v>6</v>
      </c>
      <c r="R3883" s="1" t="s">
        <v>19</v>
      </c>
      <c r="S3883" s="1" t="s">
        <v>20</v>
      </c>
      <c r="T3883" s="1" t="s">
        <v>21</v>
      </c>
      <c r="U3883" s="1" t="s">
        <v>22</v>
      </c>
      <c r="V3883" s="1" t="s">
        <v>24</v>
      </c>
      <c r="W3883" s="1" t="s">
        <v>24</v>
      </c>
      <c r="X3883" s="1">
        <v>2805</v>
      </c>
      <c r="Y3883" s="1">
        <v>2806</v>
      </c>
      <c r="Z3883" s="1">
        <v>3107</v>
      </c>
      <c r="AA3883" s="1" t="s">
        <v>24</v>
      </c>
      <c r="AB3883" s="1" t="s">
        <v>24</v>
      </c>
      <c r="AC3883" s="1" t="s">
        <v>24</v>
      </c>
      <c r="AD3883" s="1" t="s">
        <v>24</v>
      </c>
      <c r="AE3883" s="1" t="s">
        <v>24</v>
      </c>
      <c r="AF3883" s="22"/>
    </row>
    <row r="3884" spans="1:32" x14ac:dyDescent="0.2">
      <c r="A3884" s="1">
        <v>32236</v>
      </c>
      <c r="B3884" s="1" t="s">
        <v>11949</v>
      </c>
      <c r="C3884" s="5" t="s">
        <v>0</v>
      </c>
      <c r="D3884" s="1" t="s">
        <v>11950</v>
      </c>
      <c r="F3884" s="1" t="s">
        <v>11951</v>
      </c>
      <c r="G3884" s="1" t="s">
        <v>11952</v>
      </c>
      <c r="H3884" s="1" t="s">
        <v>2672</v>
      </c>
      <c r="I3884" s="1" t="s">
        <v>16</v>
      </c>
      <c r="J3884" s="1">
        <v>1</v>
      </c>
      <c r="K3884" s="1">
        <v>4</v>
      </c>
      <c r="L3884" s="1" t="s">
        <v>31</v>
      </c>
      <c r="M3884" s="1" t="s">
        <v>18</v>
      </c>
      <c r="N3884" s="1" t="s">
        <v>18</v>
      </c>
      <c r="O3884" s="1">
        <v>3</v>
      </c>
      <c r="P3884" s="1">
        <v>6</v>
      </c>
      <c r="R3884" s="1" t="s">
        <v>19</v>
      </c>
      <c r="S3884" s="1" t="s">
        <v>20</v>
      </c>
      <c r="T3884" s="1" t="s">
        <v>21</v>
      </c>
      <c r="U3884" s="1" t="s">
        <v>22</v>
      </c>
      <c r="V3884" s="1" t="s">
        <v>24</v>
      </c>
      <c r="W3884" s="1" t="s">
        <v>24</v>
      </c>
      <c r="X3884" s="1">
        <v>2735</v>
      </c>
      <c r="Y3884" s="1" t="s">
        <v>24</v>
      </c>
      <c r="Z3884" s="1" t="s">
        <v>24</v>
      </c>
      <c r="AA3884" s="1" t="s">
        <v>24</v>
      </c>
      <c r="AB3884" s="1" t="s">
        <v>24</v>
      </c>
      <c r="AC3884" s="1" t="s">
        <v>24</v>
      </c>
      <c r="AD3884" s="1" t="s">
        <v>24</v>
      </c>
      <c r="AE3884" s="1" t="s">
        <v>24</v>
      </c>
      <c r="AF3884" s="22"/>
    </row>
    <row r="3885" spans="1:32" x14ac:dyDescent="0.2">
      <c r="A3885" s="1">
        <v>32238</v>
      </c>
      <c r="B3885" s="1" t="s">
        <v>11953</v>
      </c>
      <c r="C3885" s="5" t="s">
        <v>0</v>
      </c>
      <c r="D3885" s="1" t="s">
        <v>11954</v>
      </c>
      <c r="E3885" s="1" t="s">
        <v>11955</v>
      </c>
      <c r="F3885" s="1" t="s">
        <v>493</v>
      </c>
      <c r="G3885" s="1" t="s">
        <v>98</v>
      </c>
      <c r="H3885" s="1" t="s">
        <v>30</v>
      </c>
      <c r="I3885" s="1" t="s">
        <v>16</v>
      </c>
      <c r="J3885" s="1">
        <v>1</v>
      </c>
      <c r="K3885" s="1">
        <v>4</v>
      </c>
      <c r="L3885" s="1" t="s">
        <v>31</v>
      </c>
      <c r="M3885" s="1" t="s">
        <v>18</v>
      </c>
      <c r="N3885" s="1" t="s">
        <v>18</v>
      </c>
      <c r="O3885" s="1">
        <v>3</v>
      </c>
      <c r="P3885" s="1">
        <v>7</v>
      </c>
      <c r="Q3885" s="7" t="s">
        <v>17633</v>
      </c>
      <c r="R3885" s="1" t="s">
        <v>19</v>
      </c>
      <c r="S3885" s="1" t="s">
        <v>20</v>
      </c>
      <c r="T3885" s="1" t="s">
        <v>21</v>
      </c>
      <c r="U3885" s="1" t="s">
        <v>22</v>
      </c>
      <c r="V3885" s="1" t="s">
        <v>24</v>
      </c>
      <c r="W3885" s="1" t="s">
        <v>24</v>
      </c>
      <c r="X3885" s="1">
        <v>2746</v>
      </c>
      <c r="Y3885" s="1">
        <v>2705</v>
      </c>
      <c r="Z3885" s="1" t="s">
        <v>24</v>
      </c>
      <c r="AA3885" s="1" t="s">
        <v>24</v>
      </c>
      <c r="AB3885" s="1" t="s">
        <v>24</v>
      </c>
      <c r="AC3885" s="1" t="s">
        <v>24</v>
      </c>
      <c r="AD3885" s="1" t="s">
        <v>24</v>
      </c>
      <c r="AE3885" s="1" t="s">
        <v>24</v>
      </c>
      <c r="AF3885" s="22"/>
    </row>
    <row r="3886" spans="1:32" x14ac:dyDescent="0.2">
      <c r="A3886" s="1">
        <v>32239</v>
      </c>
      <c r="B3886" s="1" t="s">
        <v>11956</v>
      </c>
      <c r="C3886" s="5" t="s">
        <v>0</v>
      </c>
      <c r="D3886" s="1" t="s">
        <v>11957</v>
      </c>
      <c r="E3886" s="1" t="s">
        <v>11958</v>
      </c>
      <c r="F3886" s="1" t="s">
        <v>303</v>
      </c>
      <c r="G3886" s="1" t="s">
        <v>61</v>
      </c>
      <c r="H3886" s="1" t="s">
        <v>30</v>
      </c>
      <c r="I3886" s="1" t="s">
        <v>16</v>
      </c>
      <c r="J3886" s="1">
        <v>1</v>
      </c>
      <c r="K3886" s="1">
        <v>4</v>
      </c>
      <c r="L3886" s="1" t="s">
        <v>31</v>
      </c>
      <c r="M3886" s="1" t="s">
        <v>18</v>
      </c>
      <c r="N3886" s="1" t="s">
        <v>18</v>
      </c>
      <c r="O3886" s="1">
        <v>0</v>
      </c>
      <c r="P3886" s="1">
        <v>7</v>
      </c>
      <c r="Q3886" s="7" t="s">
        <v>17633</v>
      </c>
      <c r="R3886" s="1" t="s">
        <v>19</v>
      </c>
      <c r="S3886" s="1" t="s">
        <v>20</v>
      </c>
      <c r="T3886" s="1" t="s">
        <v>21</v>
      </c>
      <c r="U3886" s="1" t="s">
        <v>22</v>
      </c>
      <c r="V3886" s="1" t="s">
        <v>24</v>
      </c>
      <c r="W3886" s="1" t="s">
        <v>24</v>
      </c>
      <c r="X3886" s="1">
        <v>2741</v>
      </c>
      <c r="Y3886" s="1">
        <v>3108</v>
      </c>
      <c r="Z3886" s="1" t="s">
        <v>24</v>
      </c>
      <c r="AA3886" s="1" t="s">
        <v>24</v>
      </c>
      <c r="AB3886" s="1" t="s">
        <v>24</v>
      </c>
      <c r="AC3886" s="1" t="s">
        <v>24</v>
      </c>
      <c r="AD3886" s="1" t="s">
        <v>24</v>
      </c>
      <c r="AE3886" s="1" t="s">
        <v>24</v>
      </c>
      <c r="AF3886" s="22"/>
    </row>
    <row r="3887" spans="1:32" x14ac:dyDescent="0.2">
      <c r="A3887" s="1">
        <v>32240</v>
      </c>
      <c r="B3887" s="1" t="s">
        <v>11959</v>
      </c>
      <c r="C3887" s="5" t="s">
        <v>0</v>
      </c>
      <c r="D3887" s="1" t="s">
        <v>11960</v>
      </c>
      <c r="F3887" s="1" t="s">
        <v>5004</v>
      </c>
      <c r="G3887" s="1" t="s">
        <v>1066</v>
      </c>
      <c r="H3887" s="1" t="s">
        <v>1007</v>
      </c>
      <c r="I3887" s="1" t="s">
        <v>16</v>
      </c>
      <c r="J3887" s="1">
        <v>1</v>
      </c>
      <c r="K3887" s="1">
        <v>6</v>
      </c>
      <c r="L3887" s="1" t="s">
        <v>17</v>
      </c>
      <c r="M3887" s="1" t="s">
        <v>1008</v>
      </c>
      <c r="N3887" s="1" t="s">
        <v>4418</v>
      </c>
      <c r="O3887" s="1">
        <v>2</v>
      </c>
      <c r="P3887" s="1">
        <v>6</v>
      </c>
      <c r="R3887" s="1" t="s">
        <v>19</v>
      </c>
      <c r="S3887" s="1" t="s">
        <v>20</v>
      </c>
      <c r="T3887" s="1" t="s">
        <v>21</v>
      </c>
      <c r="U3887" s="1" t="s">
        <v>22</v>
      </c>
      <c r="V3887" s="1" t="s">
        <v>24</v>
      </c>
      <c r="W3887" s="1" t="s">
        <v>24</v>
      </c>
      <c r="X3887" s="1">
        <v>2402</v>
      </c>
      <c r="Y3887" s="1">
        <v>3003</v>
      </c>
      <c r="Z3887" s="1" t="s">
        <v>24</v>
      </c>
      <c r="AA3887" s="1" t="s">
        <v>24</v>
      </c>
      <c r="AB3887" s="1" t="s">
        <v>24</v>
      </c>
      <c r="AC3887" s="1" t="s">
        <v>24</v>
      </c>
      <c r="AD3887" s="1" t="s">
        <v>24</v>
      </c>
      <c r="AE3887" s="1" t="s">
        <v>24</v>
      </c>
      <c r="AF3887" s="22"/>
    </row>
    <row r="3888" spans="1:32" x14ac:dyDescent="0.2">
      <c r="A3888" s="1">
        <v>32241</v>
      </c>
      <c r="B3888" s="1" t="s">
        <v>11961</v>
      </c>
      <c r="C3888" s="5" t="s">
        <v>0</v>
      </c>
      <c r="D3888" s="1" t="s">
        <v>11962</v>
      </c>
      <c r="E3888" s="1" t="s">
        <v>11963</v>
      </c>
      <c r="F3888" s="1" t="s">
        <v>1260</v>
      </c>
      <c r="G3888" s="1" t="s">
        <v>130</v>
      </c>
      <c r="H3888" s="1" t="s">
        <v>111</v>
      </c>
      <c r="I3888" s="1" t="s">
        <v>16</v>
      </c>
      <c r="J3888" s="1">
        <v>1</v>
      </c>
      <c r="K3888" s="1">
        <v>4</v>
      </c>
      <c r="L3888" s="1" t="s">
        <v>31</v>
      </c>
      <c r="M3888" s="1" t="s">
        <v>117</v>
      </c>
      <c r="N3888" s="1" t="s">
        <v>117</v>
      </c>
      <c r="O3888" s="1">
        <v>3</v>
      </c>
      <c r="P3888" s="1">
        <v>7</v>
      </c>
      <c r="Q3888" s="7" t="s">
        <v>17633</v>
      </c>
      <c r="R3888" s="1" t="s">
        <v>19</v>
      </c>
      <c r="S3888" s="1" t="s">
        <v>20</v>
      </c>
      <c r="T3888" s="1" t="s">
        <v>21</v>
      </c>
      <c r="U3888" s="1" t="s">
        <v>22</v>
      </c>
      <c r="V3888" s="1" t="s">
        <v>24</v>
      </c>
      <c r="W3888" s="1" t="s">
        <v>24</v>
      </c>
      <c r="X3888" s="1">
        <v>3001</v>
      </c>
      <c r="Y3888" s="1">
        <v>2719</v>
      </c>
      <c r="Z3888" s="1" t="s">
        <v>24</v>
      </c>
      <c r="AA3888" s="1" t="s">
        <v>24</v>
      </c>
      <c r="AB3888" s="1" t="s">
        <v>24</v>
      </c>
      <c r="AC3888" s="1" t="s">
        <v>24</v>
      </c>
      <c r="AD3888" s="1" t="s">
        <v>24</v>
      </c>
      <c r="AE3888" s="1" t="s">
        <v>24</v>
      </c>
      <c r="AF3888" s="22"/>
    </row>
    <row r="3889" spans="1:32" x14ac:dyDescent="0.2">
      <c r="A3889" s="1">
        <v>32242</v>
      </c>
      <c r="B3889" s="1" t="s">
        <v>11964</v>
      </c>
      <c r="C3889" s="5" t="s">
        <v>0</v>
      </c>
      <c r="D3889" s="1" t="s">
        <v>11965</v>
      </c>
      <c r="E3889" s="1" t="s">
        <v>11966</v>
      </c>
      <c r="F3889" s="1" t="s">
        <v>1897</v>
      </c>
      <c r="G3889" s="1" t="s">
        <v>1898</v>
      </c>
      <c r="H3889" s="1" t="s">
        <v>899</v>
      </c>
      <c r="I3889" s="1" t="s">
        <v>16</v>
      </c>
      <c r="J3889" s="1">
        <v>1</v>
      </c>
      <c r="K3889" s="1">
        <v>4</v>
      </c>
      <c r="L3889" s="1" t="s">
        <v>31</v>
      </c>
      <c r="M3889" s="1" t="s">
        <v>18</v>
      </c>
      <c r="N3889" s="1" t="s">
        <v>18</v>
      </c>
      <c r="O3889" s="1">
        <v>3</v>
      </c>
      <c r="P3889" s="1">
        <v>6</v>
      </c>
      <c r="R3889" s="1" t="s">
        <v>19</v>
      </c>
      <c r="S3889" s="1" t="s">
        <v>20</v>
      </c>
      <c r="T3889" s="1" t="s">
        <v>21</v>
      </c>
      <c r="U3889" s="1" t="s">
        <v>22</v>
      </c>
      <c r="V3889" s="1" t="s">
        <v>24</v>
      </c>
      <c r="W3889" s="1" t="s">
        <v>24</v>
      </c>
      <c r="X3889" s="1">
        <v>3002</v>
      </c>
      <c r="Y3889" s="1">
        <v>3003</v>
      </c>
      <c r="Z3889" s="1" t="s">
        <v>24</v>
      </c>
      <c r="AA3889" s="1" t="s">
        <v>24</v>
      </c>
      <c r="AB3889" s="1" t="s">
        <v>24</v>
      </c>
      <c r="AC3889" s="1" t="s">
        <v>24</v>
      </c>
      <c r="AD3889" s="1" t="s">
        <v>24</v>
      </c>
      <c r="AE3889" s="1" t="s">
        <v>24</v>
      </c>
      <c r="AF3889" s="22"/>
    </row>
    <row r="3890" spans="1:32" x14ac:dyDescent="0.2">
      <c r="A3890" s="1">
        <v>32243</v>
      </c>
      <c r="B3890" s="1" t="s">
        <v>11967</v>
      </c>
      <c r="C3890" s="5" t="s">
        <v>0</v>
      </c>
      <c r="E3890" s="1" t="s">
        <v>11968</v>
      </c>
      <c r="F3890" s="1" t="s">
        <v>11969</v>
      </c>
      <c r="G3890" s="1" t="s">
        <v>11969</v>
      </c>
      <c r="H3890" s="1" t="s">
        <v>684</v>
      </c>
      <c r="I3890" s="1" t="s">
        <v>16</v>
      </c>
      <c r="J3890" s="1">
        <v>1</v>
      </c>
      <c r="K3890" s="1">
        <v>3</v>
      </c>
      <c r="L3890" s="1" t="s">
        <v>42</v>
      </c>
      <c r="M3890" s="1" t="s">
        <v>18</v>
      </c>
      <c r="N3890" s="1" t="s">
        <v>18</v>
      </c>
      <c r="O3890" s="1">
        <v>3</v>
      </c>
      <c r="P3890" s="1">
        <v>6</v>
      </c>
      <c r="R3890" s="1" t="s">
        <v>19</v>
      </c>
      <c r="S3890" s="1" t="s">
        <v>63</v>
      </c>
      <c r="T3890" s="1" t="s">
        <v>21</v>
      </c>
      <c r="U3890" s="1" t="s">
        <v>22</v>
      </c>
      <c r="V3890" s="1" t="s">
        <v>24</v>
      </c>
      <c r="W3890" s="1" t="s">
        <v>24</v>
      </c>
      <c r="X3890" s="1">
        <v>3004</v>
      </c>
      <c r="Y3890" s="1">
        <v>3002</v>
      </c>
      <c r="Z3890" s="1" t="s">
        <v>24</v>
      </c>
      <c r="AA3890" s="1" t="s">
        <v>24</v>
      </c>
      <c r="AB3890" s="1" t="s">
        <v>24</v>
      </c>
      <c r="AC3890" s="1" t="s">
        <v>24</v>
      </c>
      <c r="AD3890" s="1" t="s">
        <v>24</v>
      </c>
      <c r="AE3890" s="1" t="s">
        <v>24</v>
      </c>
      <c r="AF3890" s="22"/>
    </row>
    <row r="3891" spans="1:32" x14ac:dyDescent="0.2">
      <c r="A3891" s="1">
        <v>32246</v>
      </c>
      <c r="B3891" s="1" t="s">
        <v>11970</v>
      </c>
      <c r="C3891" s="5" t="s">
        <v>0</v>
      </c>
      <c r="D3891" s="1" t="s">
        <v>11971</v>
      </c>
      <c r="E3891" s="1" t="s">
        <v>11972</v>
      </c>
      <c r="F3891" s="1" t="s">
        <v>10191</v>
      </c>
      <c r="G3891" s="1" t="s">
        <v>10192</v>
      </c>
      <c r="H3891" s="1" t="s">
        <v>30</v>
      </c>
      <c r="I3891" s="1" t="s">
        <v>16</v>
      </c>
      <c r="J3891" s="1">
        <v>1</v>
      </c>
      <c r="K3891" s="1">
        <v>12</v>
      </c>
      <c r="L3891" s="1" t="s">
        <v>42</v>
      </c>
      <c r="M3891" s="1" t="s">
        <v>18</v>
      </c>
      <c r="N3891" s="1" t="s">
        <v>18</v>
      </c>
      <c r="O3891" s="1">
        <v>3</v>
      </c>
      <c r="P3891" s="1">
        <v>6</v>
      </c>
      <c r="R3891" s="1" t="s">
        <v>19</v>
      </c>
      <c r="S3891" s="1" t="s">
        <v>20</v>
      </c>
      <c r="T3891" s="1" t="s">
        <v>21</v>
      </c>
      <c r="U3891" s="1" t="s">
        <v>22</v>
      </c>
      <c r="V3891" s="1" t="s">
        <v>24</v>
      </c>
      <c r="W3891" s="1" t="s">
        <v>24</v>
      </c>
      <c r="X3891" s="1">
        <v>2725</v>
      </c>
      <c r="Y3891" s="1">
        <v>2739</v>
      </c>
      <c r="Z3891" s="1">
        <v>3000</v>
      </c>
      <c r="AA3891" s="1" t="s">
        <v>24</v>
      </c>
      <c r="AB3891" s="1" t="s">
        <v>24</v>
      </c>
      <c r="AC3891" s="1" t="s">
        <v>24</v>
      </c>
      <c r="AD3891" s="1" t="s">
        <v>24</v>
      </c>
      <c r="AE3891" s="1" t="s">
        <v>24</v>
      </c>
      <c r="AF3891" s="22"/>
    </row>
    <row r="3892" spans="1:32" x14ac:dyDescent="0.2">
      <c r="A3892" s="1">
        <v>32247</v>
      </c>
      <c r="B3892" s="1" t="s">
        <v>11973</v>
      </c>
      <c r="C3892" s="5" t="s">
        <v>0</v>
      </c>
      <c r="D3892" s="1" t="s">
        <v>11974</v>
      </c>
      <c r="F3892" s="1" t="s">
        <v>11975</v>
      </c>
      <c r="G3892" s="1" t="s">
        <v>11975</v>
      </c>
      <c r="H3892" s="1" t="s">
        <v>249</v>
      </c>
      <c r="I3892" s="1" t="s">
        <v>16</v>
      </c>
      <c r="J3892" s="1">
        <v>1</v>
      </c>
      <c r="K3892" s="1">
        <v>4</v>
      </c>
      <c r="L3892" s="1" t="s">
        <v>42</v>
      </c>
      <c r="M3892" s="1" t="s">
        <v>250</v>
      </c>
      <c r="N3892" s="1" t="s">
        <v>1463</v>
      </c>
      <c r="O3892" s="1">
        <v>3</v>
      </c>
      <c r="P3892" s="1">
        <v>5</v>
      </c>
      <c r="R3892" s="1" t="s">
        <v>19</v>
      </c>
      <c r="S3892" s="1" t="s">
        <v>20</v>
      </c>
      <c r="T3892" s="1" t="s">
        <v>21</v>
      </c>
      <c r="U3892" s="1" t="s">
        <v>22</v>
      </c>
      <c r="V3892" s="1" t="s">
        <v>24</v>
      </c>
      <c r="W3892" s="1" t="s">
        <v>24</v>
      </c>
      <c r="X3892" s="1">
        <v>2808</v>
      </c>
      <c r="Y3892" s="1">
        <v>2728</v>
      </c>
      <c r="Z3892" s="1">
        <v>2738</v>
      </c>
      <c r="AA3892" s="1">
        <v>3203</v>
      </c>
      <c r="AB3892" s="1" t="s">
        <v>24</v>
      </c>
      <c r="AC3892" s="1" t="s">
        <v>24</v>
      </c>
      <c r="AD3892" s="1" t="s">
        <v>24</v>
      </c>
      <c r="AE3892" s="1" t="s">
        <v>24</v>
      </c>
      <c r="AF3892" s="22"/>
    </row>
    <row r="3893" spans="1:32" x14ac:dyDescent="0.2">
      <c r="A3893" s="1">
        <v>32248</v>
      </c>
      <c r="B3893" s="1" t="s">
        <v>11976</v>
      </c>
      <c r="C3893" s="5" t="s">
        <v>0</v>
      </c>
      <c r="D3893" s="1" t="s">
        <v>11977</v>
      </c>
      <c r="E3893" s="1" t="s">
        <v>11978</v>
      </c>
      <c r="F3893" s="1" t="s">
        <v>3134</v>
      </c>
      <c r="G3893" s="1" t="s">
        <v>3134</v>
      </c>
      <c r="H3893" s="1" t="s">
        <v>249</v>
      </c>
      <c r="I3893" s="1" t="s">
        <v>16</v>
      </c>
      <c r="J3893" s="1">
        <v>1</v>
      </c>
      <c r="K3893" s="1">
        <v>4</v>
      </c>
      <c r="L3893" s="1" t="s">
        <v>42</v>
      </c>
      <c r="M3893" s="1" t="s">
        <v>250</v>
      </c>
      <c r="N3893" s="1" t="s">
        <v>1463</v>
      </c>
      <c r="O3893" s="1">
        <v>3</v>
      </c>
      <c r="P3893" s="1">
        <v>5</v>
      </c>
      <c r="R3893" s="1" t="s">
        <v>19</v>
      </c>
      <c r="S3893" s="1" t="s">
        <v>20</v>
      </c>
      <c r="T3893" s="1" t="s">
        <v>21</v>
      </c>
      <c r="U3893" s="1" t="s">
        <v>22</v>
      </c>
      <c r="V3893" s="1" t="s">
        <v>24</v>
      </c>
      <c r="W3893" s="1" t="s">
        <v>24</v>
      </c>
      <c r="X3893" s="1">
        <v>2705</v>
      </c>
      <c r="Y3893" s="1" t="s">
        <v>24</v>
      </c>
      <c r="Z3893" s="1" t="s">
        <v>24</v>
      </c>
      <c r="AA3893" s="1" t="s">
        <v>24</v>
      </c>
      <c r="AB3893" s="1" t="s">
        <v>24</v>
      </c>
      <c r="AC3893" s="1" t="s">
        <v>24</v>
      </c>
      <c r="AD3893" s="1" t="s">
        <v>24</v>
      </c>
      <c r="AE3893" s="1" t="s">
        <v>24</v>
      </c>
      <c r="AF3893" s="22"/>
    </row>
    <row r="3894" spans="1:32" x14ac:dyDescent="0.2">
      <c r="A3894" s="1">
        <v>32250</v>
      </c>
      <c r="B3894" s="1" t="s">
        <v>11979</v>
      </c>
      <c r="C3894" s="5" t="s">
        <v>0</v>
      </c>
      <c r="D3894" s="1" t="s">
        <v>11980</v>
      </c>
      <c r="E3894" s="1" t="s">
        <v>11981</v>
      </c>
      <c r="F3894" s="1" t="s">
        <v>724</v>
      </c>
      <c r="G3894" s="1" t="s">
        <v>725</v>
      </c>
      <c r="H3894" s="1" t="s">
        <v>37</v>
      </c>
      <c r="I3894" s="1" t="s">
        <v>16</v>
      </c>
      <c r="J3894" s="1">
        <v>1</v>
      </c>
      <c r="K3894" s="1">
        <v>1</v>
      </c>
      <c r="L3894" s="1" t="s">
        <v>31</v>
      </c>
      <c r="M3894" s="1" t="s">
        <v>18</v>
      </c>
      <c r="N3894" s="1" t="s">
        <v>18</v>
      </c>
      <c r="O3894" s="1">
        <v>3</v>
      </c>
      <c r="P3894" s="1">
        <v>7</v>
      </c>
      <c r="Q3894" s="7" t="s">
        <v>17633</v>
      </c>
      <c r="R3894" s="1" t="s">
        <v>19</v>
      </c>
      <c r="S3894" s="1" t="s">
        <v>20</v>
      </c>
      <c r="T3894" s="1" t="s">
        <v>21</v>
      </c>
      <c r="U3894" s="1" t="s">
        <v>22</v>
      </c>
      <c r="V3894" s="1" t="s">
        <v>24</v>
      </c>
      <c r="W3894" s="1" t="s">
        <v>24</v>
      </c>
      <c r="X3894" s="1">
        <v>2728</v>
      </c>
      <c r="Y3894" s="1">
        <v>2738</v>
      </c>
      <c r="Z3894" s="1">
        <v>2808</v>
      </c>
      <c r="AA3894" s="1" t="s">
        <v>24</v>
      </c>
      <c r="AB3894" s="1" t="s">
        <v>24</v>
      </c>
      <c r="AC3894" s="1" t="s">
        <v>24</v>
      </c>
      <c r="AD3894" s="1" t="s">
        <v>24</v>
      </c>
      <c r="AE3894" s="1" t="s">
        <v>24</v>
      </c>
      <c r="AF3894" s="22"/>
    </row>
    <row r="3895" spans="1:32" x14ac:dyDescent="0.2">
      <c r="A3895" s="1">
        <v>32251</v>
      </c>
      <c r="B3895" s="1" t="s">
        <v>11982</v>
      </c>
      <c r="C3895" s="5" t="s">
        <v>0</v>
      </c>
      <c r="D3895" s="1" t="s">
        <v>11983</v>
      </c>
      <c r="E3895" s="1" t="s">
        <v>11984</v>
      </c>
      <c r="F3895" s="1" t="s">
        <v>3134</v>
      </c>
      <c r="G3895" s="1" t="s">
        <v>3134</v>
      </c>
      <c r="H3895" s="1" t="s">
        <v>249</v>
      </c>
      <c r="I3895" s="1" t="s">
        <v>16</v>
      </c>
      <c r="J3895" s="1">
        <v>1</v>
      </c>
      <c r="K3895" s="1">
        <v>6</v>
      </c>
      <c r="L3895" s="1" t="s">
        <v>42</v>
      </c>
      <c r="M3895" s="1" t="s">
        <v>250</v>
      </c>
      <c r="N3895" s="1" t="s">
        <v>1463</v>
      </c>
      <c r="O3895" s="1">
        <v>3</v>
      </c>
      <c r="P3895" s="1">
        <v>5</v>
      </c>
      <c r="R3895" s="1" t="s">
        <v>19</v>
      </c>
      <c r="S3895" s="1" t="s">
        <v>20</v>
      </c>
      <c r="T3895" s="1" t="s">
        <v>21</v>
      </c>
      <c r="U3895" s="1" t="s">
        <v>22</v>
      </c>
      <c r="V3895" s="1" t="s">
        <v>24</v>
      </c>
      <c r="W3895" s="1" t="s">
        <v>24</v>
      </c>
      <c r="X3895" s="1">
        <v>2715</v>
      </c>
      <c r="Y3895" s="1" t="s">
        <v>24</v>
      </c>
      <c r="Z3895" s="1" t="s">
        <v>24</v>
      </c>
      <c r="AA3895" s="1" t="s">
        <v>24</v>
      </c>
      <c r="AB3895" s="1" t="s">
        <v>24</v>
      </c>
      <c r="AC3895" s="1" t="s">
        <v>24</v>
      </c>
      <c r="AD3895" s="1" t="s">
        <v>24</v>
      </c>
      <c r="AE3895" s="1" t="s">
        <v>24</v>
      </c>
      <c r="AF3895" s="22"/>
    </row>
    <row r="3896" spans="1:32" x14ac:dyDescent="0.2">
      <c r="A3896" s="1">
        <v>32254</v>
      </c>
      <c r="B3896" s="1" t="s">
        <v>11985</v>
      </c>
      <c r="C3896" s="5" t="s">
        <v>0</v>
      </c>
      <c r="D3896" s="1" t="s">
        <v>11986</v>
      </c>
      <c r="F3896" s="1" t="s">
        <v>6405</v>
      </c>
      <c r="G3896" s="1" t="s">
        <v>6406</v>
      </c>
      <c r="H3896" s="1" t="s">
        <v>92</v>
      </c>
      <c r="I3896" s="1" t="s">
        <v>16</v>
      </c>
      <c r="J3896" s="1">
        <v>1</v>
      </c>
      <c r="K3896" s="1">
        <v>3</v>
      </c>
      <c r="L3896" s="1" t="s">
        <v>31</v>
      </c>
      <c r="M3896" s="1" t="s">
        <v>18</v>
      </c>
      <c r="N3896" s="1" t="s">
        <v>18</v>
      </c>
      <c r="O3896" s="1">
        <v>2</v>
      </c>
      <c r="P3896" s="1">
        <v>7</v>
      </c>
      <c r="Q3896" s="7" t="s">
        <v>17633</v>
      </c>
      <c r="R3896" s="1" t="s">
        <v>19</v>
      </c>
      <c r="S3896" s="1" t="s">
        <v>20</v>
      </c>
      <c r="T3896" s="1" t="s">
        <v>21</v>
      </c>
      <c r="U3896" s="1" t="s">
        <v>22</v>
      </c>
      <c r="V3896" s="1" t="s">
        <v>24</v>
      </c>
      <c r="W3896" s="1" t="s">
        <v>24</v>
      </c>
      <c r="X3896" s="1">
        <v>2730</v>
      </c>
      <c r="Y3896" s="1">
        <v>1306</v>
      </c>
      <c r="Z3896" s="1">
        <v>2736</v>
      </c>
      <c r="AA3896" s="1">
        <v>3002</v>
      </c>
      <c r="AB3896" s="1" t="s">
        <v>24</v>
      </c>
      <c r="AC3896" s="1" t="s">
        <v>24</v>
      </c>
      <c r="AD3896" s="1" t="s">
        <v>24</v>
      </c>
      <c r="AE3896" s="1" t="s">
        <v>24</v>
      </c>
      <c r="AF3896" s="22"/>
    </row>
    <row r="3897" spans="1:32" x14ac:dyDescent="0.2">
      <c r="A3897" s="1">
        <v>32255</v>
      </c>
      <c r="B3897" s="1" t="s">
        <v>11987</v>
      </c>
      <c r="C3897" s="5" t="s">
        <v>0</v>
      </c>
      <c r="D3897" s="1" t="s">
        <v>11988</v>
      </c>
      <c r="F3897" s="1" t="s">
        <v>6405</v>
      </c>
      <c r="G3897" s="1" t="s">
        <v>6406</v>
      </c>
      <c r="H3897" s="1" t="s">
        <v>92</v>
      </c>
      <c r="I3897" s="1" t="s">
        <v>16</v>
      </c>
      <c r="J3897" s="1">
        <v>1</v>
      </c>
      <c r="K3897" s="1">
        <v>3</v>
      </c>
      <c r="L3897" s="1" t="s">
        <v>31</v>
      </c>
      <c r="M3897" s="1" t="s">
        <v>18</v>
      </c>
      <c r="N3897" s="1" t="s">
        <v>18</v>
      </c>
      <c r="O3897" s="1">
        <v>2</v>
      </c>
      <c r="P3897" s="1">
        <v>7</v>
      </c>
      <c r="Q3897" s="7" t="s">
        <v>17633</v>
      </c>
      <c r="R3897" s="1" t="s">
        <v>19</v>
      </c>
      <c r="S3897" s="1" t="s">
        <v>20</v>
      </c>
      <c r="T3897" s="1" t="s">
        <v>21</v>
      </c>
      <c r="U3897" s="1" t="s">
        <v>22</v>
      </c>
      <c r="V3897" s="1" t="s">
        <v>24</v>
      </c>
      <c r="W3897" s="1" t="s">
        <v>24</v>
      </c>
      <c r="X3897" s="1">
        <v>2725</v>
      </c>
      <c r="Y3897" s="1">
        <v>2736</v>
      </c>
      <c r="Z3897" s="1">
        <v>3002</v>
      </c>
      <c r="AA3897" s="1" t="s">
        <v>24</v>
      </c>
      <c r="AB3897" s="1" t="s">
        <v>24</v>
      </c>
      <c r="AC3897" s="1" t="s">
        <v>24</v>
      </c>
      <c r="AD3897" s="1" t="s">
        <v>24</v>
      </c>
      <c r="AE3897" s="1" t="s">
        <v>24</v>
      </c>
      <c r="AF3897" s="22"/>
    </row>
    <row r="3898" spans="1:32" x14ac:dyDescent="0.2">
      <c r="A3898" s="1">
        <v>32256</v>
      </c>
      <c r="B3898" s="1" t="s">
        <v>11989</v>
      </c>
      <c r="C3898" s="5" t="s">
        <v>0</v>
      </c>
      <c r="D3898" s="1" t="s">
        <v>11990</v>
      </c>
      <c r="F3898" s="1" t="s">
        <v>6405</v>
      </c>
      <c r="G3898" s="1" t="s">
        <v>6406</v>
      </c>
      <c r="H3898" s="1" t="s">
        <v>92</v>
      </c>
      <c r="I3898" s="1" t="s">
        <v>16</v>
      </c>
      <c r="J3898" s="1">
        <v>1</v>
      </c>
      <c r="K3898" s="1">
        <v>3</v>
      </c>
      <c r="L3898" s="1" t="s">
        <v>31</v>
      </c>
      <c r="M3898" s="1" t="s">
        <v>18</v>
      </c>
      <c r="N3898" s="1" t="s">
        <v>18</v>
      </c>
      <c r="O3898" s="1">
        <v>2</v>
      </c>
      <c r="P3898" s="1">
        <v>7</v>
      </c>
      <c r="Q3898" s="7" t="s">
        <v>17633</v>
      </c>
      <c r="R3898" s="1" t="s">
        <v>19</v>
      </c>
      <c r="S3898" s="1" t="s">
        <v>20</v>
      </c>
      <c r="T3898" s="1" t="s">
        <v>21</v>
      </c>
      <c r="U3898" s="1" t="s">
        <v>22</v>
      </c>
      <c r="V3898" s="1" t="s">
        <v>24</v>
      </c>
      <c r="W3898" s="1" t="s">
        <v>24</v>
      </c>
      <c r="X3898" s="1">
        <v>2705</v>
      </c>
      <c r="Y3898" s="1">
        <v>2736</v>
      </c>
      <c r="Z3898" s="1">
        <v>3002</v>
      </c>
      <c r="AA3898" s="1" t="s">
        <v>24</v>
      </c>
      <c r="AB3898" s="1" t="s">
        <v>24</v>
      </c>
      <c r="AC3898" s="1" t="s">
        <v>24</v>
      </c>
      <c r="AD3898" s="1" t="s">
        <v>24</v>
      </c>
      <c r="AE3898" s="1" t="s">
        <v>24</v>
      </c>
      <c r="AF3898" s="22"/>
    </row>
    <row r="3899" spans="1:32" x14ac:dyDescent="0.2">
      <c r="A3899" s="1">
        <v>32257</v>
      </c>
      <c r="B3899" s="1" t="s">
        <v>11991</v>
      </c>
      <c r="C3899" s="5" t="s">
        <v>0</v>
      </c>
      <c r="D3899" s="1" t="s">
        <v>11992</v>
      </c>
      <c r="F3899" s="1" t="s">
        <v>6405</v>
      </c>
      <c r="G3899" s="1" t="s">
        <v>6406</v>
      </c>
      <c r="H3899" s="1" t="s">
        <v>92</v>
      </c>
      <c r="I3899" s="1" t="s">
        <v>16</v>
      </c>
      <c r="J3899" s="1">
        <v>1</v>
      </c>
      <c r="K3899" s="1">
        <v>3</v>
      </c>
      <c r="L3899" s="1" t="s">
        <v>31</v>
      </c>
      <c r="M3899" s="1" t="s">
        <v>18</v>
      </c>
      <c r="N3899" s="1" t="s">
        <v>18</v>
      </c>
      <c r="O3899" s="1">
        <v>2</v>
      </c>
      <c r="P3899" s="1">
        <v>7</v>
      </c>
      <c r="Q3899" s="7" t="s">
        <v>17633</v>
      </c>
      <c r="R3899" s="1" t="s">
        <v>19</v>
      </c>
      <c r="S3899" s="1" t="s">
        <v>20</v>
      </c>
      <c r="T3899" s="1" t="s">
        <v>21</v>
      </c>
      <c r="U3899" s="1" t="s">
        <v>22</v>
      </c>
      <c r="V3899" s="1" t="s">
        <v>24</v>
      </c>
      <c r="W3899" s="1" t="s">
        <v>24</v>
      </c>
      <c r="X3899" s="1">
        <v>2738</v>
      </c>
      <c r="Y3899" s="1">
        <v>2736</v>
      </c>
      <c r="Z3899" s="1">
        <v>3002</v>
      </c>
      <c r="AA3899" s="1" t="s">
        <v>24</v>
      </c>
      <c r="AB3899" s="1" t="s">
        <v>24</v>
      </c>
      <c r="AC3899" s="1" t="s">
        <v>24</v>
      </c>
      <c r="AD3899" s="1" t="s">
        <v>24</v>
      </c>
      <c r="AE3899" s="1" t="s">
        <v>24</v>
      </c>
      <c r="AF3899" s="22"/>
    </row>
    <row r="3900" spans="1:32" x14ac:dyDescent="0.2">
      <c r="A3900" s="1">
        <v>32258</v>
      </c>
      <c r="B3900" s="1" t="s">
        <v>11993</v>
      </c>
      <c r="C3900" s="5" t="s">
        <v>0</v>
      </c>
      <c r="D3900" s="1" t="s">
        <v>11994</v>
      </c>
      <c r="E3900" s="1" t="s">
        <v>11995</v>
      </c>
      <c r="F3900" s="1" t="s">
        <v>8442</v>
      </c>
      <c r="G3900" s="1" t="s">
        <v>8443</v>
      </c>
      <c r="H3900" s="1" t="s">
        <v>37</v>
      </c>
      <c r="I3900" s="1" t="s">
        <v>16</v>
      </c>
      <c r="J3900" s="1">
        <v>1</v>
      </c>
      <c r="K3900" s="1">
        <v>6</v>
      </c>
      <c r="L3900" s="1" t="s">
        <v>31</v>
      </c>
      <c r="M3900" s="1" t="s">
        <v>18</v>
      </c>
      <c r="N3900" s="1" t="s">
        <v>18</v>
      </c>
      <c r="O3900" s="1">
        <v>3</v>
      </c>
      <c r="P3900" s="1">
        <v>7</v>
      </c>
      <c r="Q3900" s="7" t="s">
        <v>17633</v>
      </c>
      <c r="R3900" s="1" t="s">
        <v>19</v>
      </c>
      <c r="S3900" s="1" t="s">
        <v>20</v>
      </c>
      <c r="T3900" s="1" t="s">
        <v>21</v>
      </c>
      <c r="U3900" s="1" t="s">
        <v>22</v>
      </c>
      <c r="V3900" s="1" t="s">
        <v>23</v>
      </c>
      <c r="W3900" s="1" t="s">
        <v>24</v>
      </c>
      <c r="X3900" s="1">
        <v>2204</v>
      </c>
      <c r="Y3900" s="1">
        <v>2710</v>
      </c>
      <c r="Z3900" s="1" t="s">
        <v>24</v>
      </c>
      <c r="AA3900" s="1" t="s">
        <v>24</v>
      </c>
      <c r="AB3900" s="1" t="s">
        <v>24</v>
      </c>
      <c r="AC3900" s="1" t="s">
        <v>24</v>
      </c>
      <c r="AD3900" s="1" t="s">
        <v>24</v>
      </c>
      <c r="AE3900" s="1" t="s">
        <v>24</v>
      </c>
      <c r="AF3900" s="22"/>
    </row>
    <row r="3901" spans="1:32" x14ac:dyDescent="0.2">
      <c r="A3901" s="1">
        <v>32261</v>
      </c>
      <c r="B3901" s="1" t="s">
        <v>11996</v>
      </c>
      <c r="C3901" s="5" t="s">
        <v>0</v>
      </c>
      <c r="D3901" s="1" t="s">
        <v>11997</v>
      </c>
      <c r="E3901" s="1" t="s">
        <v>11998</v>
      </c>
      <c r="F3901" s="1" t="s">
        <v>11999</v>
      </c>
      <c r="G3901" s="1" t="s">
        <v>11999</v>
      </c>
      <c r="H3901" s="1" t="s">
        <v>168</v>
      </c>
      <c r="I3901" s="1" t="s">
        <v>16</v>
      </c>
      <c r="J3901" s="1">
        <v>1</v>
      </c>
      <c r="K3901" s="1">
        <v>4</v>
      </c>
      <c r="L3901" s="1" t="s">
        <v>42</v>
      </c>
      <c r="M3901" s="1" t="s">
        <v>18</v>
      </c>
      <c r="N3901" s="1" t="s">
        <v>18</v>
      </c>
      <c r="O3901" s="1">
        <v>3</v>
      </c>
      <c r="P3901" s="1">
        <v>6</v>
      </c>
      <c r="R3901" s="1" t="s">
        <v>19</v>
      </c>
      <c r="S3901" s="1" t="s">
        <v>20</v>
      </c>
      <c r="T3901" s="1" t="s">
        <v>21</v>
      </c>
      <c r="U3901" s="1" t="s">
        <v>22</v>
      </c>
      <c r="V3901" s="1" t="s">
        <v>24</v>
      </c>
      <c r="W3901" s="1" t="s">
        <v>24</v>
      </c>
      <c r="X3901" s="1">
        <v>2712</v>
      </c>
      <c r="Y3901" s="1">
        <v>1310</v>
      </c>
      <c r="Z3901" s="1">
        <v>2724</v>
      </c>
      <c r="AA3901" s="1" t="s">
        <v>24</v>
      </c>
      <c r="AB3901" s="1" t="s">
        <v>24</v>
      </c>
      <c r="AC3901" s="1" t="s">
        <v>24</v>
      </c>
      <c r="AD3901" s="1" t="s">
        <v>24</v>
      </c>
      <c r="AE3901" s="1" t="s">
        <v>24</v>
      </c>
      <c r="AF3901" s="22"/>
    </row>
    <row r="3902" spans="1:32" x14ac:dyDescent="0.2">
      <c r="A3902" s="1">
        <v>32262</v>
      </c>
      <c r="B3902" s="1" t="s">
        <v>12000</v>
      </c>
      <c r="C3902" s="5" t="s">
        <v>0</v>
      </c>
      <c r="D3902" s="1" t="s">
        <v>12001</v>
      </c>
      <c r="E3902" s="1" t="s">
        <v>12002</v>
      </c>
      <c r="F3902" s="1" t="s">
        <v>6405</v>
      </c>
      <c r="G3902" s="1" t="s">
        <v>6406</v>
      </c>
      <c r="H3902" s="1" t="s">
        <v>92</v>
      </c>
      <c r="I3902" s="1" t="s">
        <v>16</v>
      </c>
      <c r="J3902" s="1">
        <v>1</v>
      </c>
      <c r="K3902" s="1">
        <v>3</v>
      </c>
      <c r="L3902" s="1" t="s">
        <v>31</v>
      </c>
      <c r="M3902" s="1" t="s">
        <v>18</v>
      </c>
      <c r="N3902" s="1" t="s">
        <v>18</v>
      </c>
      <c r="O3902" s="1">
        <v>3</v>
      </c>
      <c r="P3902" s="1">
        <v>7</v>
      </c>
      <c r="Q3902" s="7" t="s">
        <v>17633</v>
      </c>
      <c r="R3902" s="1" t="s">
        <v>19</v>
      </c>
      <c r="S3902" s="1" t="s">
        <v>20</v>
      </c>
      <c r="T3902" s="1" t="s">
        <v>21</v>
      </c>
      <c r="U3902" s="1" t="s">
        <v>22</v>
      </c>
      <c r="V3902" s="1" t="s">
        <v>23</v>
      </c>
      <c r="W3902" s="1" t="s">
        <v>24</v>
      </c>
      <c r="X3902" s="1">
        <v>2700</v>
      </c>
      <c r="Y3902" s="1">
        <v>3004</v>
      </c>
      <c r="Z3902" s="1" t="s">
        <v>24</v>
      </c>
      <c r="AA3902" s="1" t="s">
        <v>24</v>
      </c>
      <c r="AB3902" s="1" t="s">
        <v>24</v>
      </c>
      <c r="AC3902" s="1" t="s">
        <v>24</v>
      </c>
      <c r="AD3902" s="1" t="s">
        <v>24</v>
      </c>
      <c r="AE3902" s="1" t="s">
        <v>24</v>
      </c>
      <c r="AF3902" s="22"/>
    </row>
    <row r="3903" spans="1:32" x14ac:dyDescent="0.2">
      <c r="A3903" s="1">
        <v>32263</v>
      </c>
      <c r="B3903" s="1" t="s">
        <v>12003</v>
      </c>
      <c r="C3903" s="5" t="s">
        <v>0</v>
      </c>
      <c r="D3903" s="1" t="s">
        <v>12004</v>
      </c>
      <c r="F3903" s="1" t="s">
        <v>11773</v>
      </c>
      <c r="G3903" s="1" t="s">
        <v>11774</v>
      </c>
      <c r="H3903" s="1" t="s">
        <v>147</v>
      </c>
      <c r="I3903" s="1" t="s">
        <v>16</v>
      </c>
      <c r="J3903" s="1">
        <v>1</v>
      </c>
      <c r="K3903" s="1">
        <v>4</v>
      </c>
      <c r="L3903" s="1" t="s">
        <v>31</v>
      </c>
      <c r="M3903" s="1" t="s">
        <v>118</v>
      </c>
      <c r="N3903" s="1" t="s">
        <v>118</v>
      </c>
      <c r="O3903" s="1">
        <v>2</v>
      </c>
      <c r="P3903" s="1">
        <v>6</v>
      </c>
      <c r="R3903" s="1" t="s">
        <v>19</v>
      </c>
      <c r="S3903" s="1" t="s">
        <v>20</v>
      </c>
      <c r="T3903" s="1" t="s">
        <v>21</v>
      </c>
      <c r="U3903" s="1" t="s">
        <v>22</v>
      </c>
      <c r="V3903" s="1" t="s">
        <v>24</v>
      </c>
      <c r="W3903" s="1" t="s">
        <v>24</v>
      </c>
      <c r="X3903" s="1">
        <v>2705</v>
      </c>
      <c r="Y3903" s="1">
        <v>2724</v>
      </c>
      <c r="Z3903" s="1" t="s">
        <v>24</v>
      </c>
      <c r="AA3903" s="1" t="s">
        <v>24</v>
      </c>
      <c r="AB3903" s="1" t="s">
        <v>24</v>
      </c>
      <c r="AC3903" s="1" t="s">
        <v>24</v>
      </c>
      <c r="AD3903" s="1" t="s">
        <v>24</v>
      </c>
      <c r="AE3903" s="1" t="s">
        <v>24</v>
      </c>
      <c r="AF3903" s="22"/>
    </row>
    <row r="3904" spans="1:32" x14ac:dyDescent="0.2">
      <c r="A3904" s="1">
        <v>32270</v>
      </c>
      <c r="B3904" s="1" t="s">
        <v>12005</v>
      </c>
      <c r="C3904" s="5" t="s">
        <v>0</v>
      </c>
      <c r="D3904" s="1" t="s">
        <v>12006</v>
      </c>
      <c r="E3904" s="1" t="s">
        <v>12007</v>
      </c>
      <c r="F3904" s="1" t="s">
        <v>303</v>
      </c>
      <c r="G3904" s="1" t="s">
        <v>61</v>
      </c>
      <c r="H3904" s="1" t="s">
        <v>30</v>
      </c>
      <c r="I3904" s="1" t="s">
        <v>16</v>
      </c>
      <c r="J3904" s="1">
        <v>1</v>
      </c>
      <c r="K3904" s="1">
        <v>4</v>
      </c>
      <c r="L3904" s="1" t="s">
        <v>31</v>
      </c>
      <c r="M3904" s="1" t="s">
        <v>18</v>
      </c>
      <c r="N3904" s="1" t="s">
        <v>18</v>
      </c>
      <c r="O3904" s="1">
        <v>0</v>
      </c>
      <c r="P3904" s="1">
        <v>7</v>
      </c>
      <c r="Q3904" s="7" t="s">
        <v>17633</v>
      </c>
      <c r="R3904" s="1" t="s">
        <v>19</v>
      </c>
      <c r="S3904" s="1" t="s">
        <v>20</v>
      </c>
      <c r="T3904" s="1" t="s">
        <v>21</v>
      </c>
      <c r="U3904" s="1" t="s">
        <v>22</v>
      </c>
      <c r="V3904" s="1" t="s">
        <v>24</v>
      </c>
      <c r="W3904" s="1" t="s">
        <v>24</v>
      </c>
      <c r="X3904" s="1">
        <v>2738</v>
      </c>
      <c r="Y3904" s="1">
        <v>3206</v>
      </c>
      <c r="Z3904" s="1">
        <v>3203</v>
      </c>
      <c r="AA3904" s="1">
        <v>2728</v>
      </c>
      <c r="AB3904" s="1" t="s">
        <v>24</v>
      </c>
      <c r="AC3904" s="1" t="s">
        <v>24</v>
      </c>
      <c r="AD3904" s="1" t="s">
        <v>24</v>
      </c>
      <c r="AE3904" s="1" t="s">
        <v>24</v>
      </c>
      <c r="AF3904" s="22"/>
    </row>
    <row r="3905" spans="1:32" x14ac:dyDescent="0.2">
      <c r="A3905" s="1">
        <v>32274</v>
      </c>
      <c r="B3905" s="1" t="s">
        <v>12008</v>
      </c>
      <c r="C3905" s="5" t="s">
        <v>0</v>
      </c>
      <c r="D3905" s="1" t="s">
        <v>12009</v>
      </c>
      <c r="F3905" s="1" t="s">
        <v>12010</v>
      </c>
      <c r="G3905" s="1" t="s">
        <v>2146</v>
      </c>
      <c r="H3905" s="1" t="s">
        <v>2147</v>
      </c>
      <c r="I3905" s="1" t="s">
        <v>16</v>
      </c>
      <c r="J3905" s="1">
        <v>1</v>
      </c>
      <c r="K3905" s="1">
        <v>3</v>
      </c>
      <c r="L3905" s="1" t="s">
        <v>42</v>
      </c>
      <c r="M3905" s="1" t="s">
        <v>18</v>
      </c>
      <c r="N3905" s="1" t="s">
        <v>18</v>
      </c>
      <c r="O3905" s="1">
        <v>3</v>
      </c>
      <c r="P3905" s="1">
        <v>5</v>
      </c>
      <c r="R3905" s="1" t="s">
        <v>19</v>
      </c>
      <c r="S3905" s="1" t="s">
        <v>20</v>
      </c>
      <c r="T3905" s="1" t="s">
        <v>21</v>
      </c>
      <c r="U3905" s="1" t="s">
        <v>22</v>
      </c>
      <c r="V3905" s="1" t="s">
        <v>24</v>
      </c>
      <c r="W3905" s="1" t="s">
        <v>24</v>
      </c>
      <c r="X3905" s="1">
        <v>2715</v>
      </c>
      <c r="Y3905" s="1">
        <v>2721</v>
      </c>
      <c r="Z3905" s="1" t="s">
        <v>24</v>
      </c>
      <c r="AA3905" s="1" t="s">
        <v>24</v>
      </c>
      <c r="AB3905" s="1" t="s">
        <v>24</v>
      </c>
      <c r="AC3905" s="1" t="s">
        <v>24</v>
      </c>
      <c r="AD3905" s="1" t="s">
        <v>24</v>
      </c>
      <c r="AE3905" s="1" t="s">
        <v>24</v>
      </c>
      <c r="AF3905" s="22"/>
    </row>
    <row r="3906" spans="1:32" x14ac:dyDescent="0.2">
      <c r="A3906" s="1">
        <v>32276</v>
      </c>
      <c r="B3906" s="1" t="s">
        <v>12011</v>
      </c>
      <c r="C3906" s="5" t="s">
        <v>0</v>
      </c>
      <c r="D3906" s="1" t="s">
        <v>12012</v>
      </c>
      <c r="F3906" s="1" t="s">
        <v>12013</v>
      </c>
      <c r="G3906" s="1" t="s">
        <v>12013</v>
      </c>
      <c r="H3906" s="1" t="s">
        <v>1957</v>
      </c>
      <c r="I3906" s="1" t="s">
        <v>16</v>
      </c>
      <c r="J3906" s="1">
        <v>1</v>
      </c>
      <c r="K3906" s="1">
        <v>4</v>
      </c>
      <c r="L3906" s="1" t="s">
        <v>42</v>
      </c>
      <c r="M3906" s="1" t="s">
        <v>18</v>
      </c>
      <c r="N3906" s="1" t="s">
        <v>18</v>
      </c>
      <c r="O3906" s="1">
        <v>3</v>
      </c>
      <c r="P3906" s="1">
        <v>6</v>
      </c>
      <c r="R3906" s="1" t="s">
        <v>19</v>
      </c>
      <c r="S3906" s="1" t="s">
        <v>20</v>
      </c>
      <c r="T3906" s="1" t="s">
        <v>21</v>
      </c>
      <c r="U3906" s="1" t="s">
        <v>22</v>
      </c>
      <c r="V3906" s="1" t="s">
        <v>24</v>
      </c>
      <c r="W3906" s="1" t="s">
        <v>24</v>
      </c>
      <c r="X3906" s="1">
        <v>2740</v>
      </c>
      <c r="Y3906" s="1">
        <v>2706</v>
      </c>
      <c r="Z3906" s="1" t="s">
        <v>24</v>
      </c>
      <c r="AA3906" s="1" t="s">
        <v>24</v>
      </c>
      <c r="AB3906" s="1" t="s">
        <v>24</v>
      </c>
      <c r="AC3906" s="1" t="s">
        <v>24</v>
      </c>
      <c r="AD3906" s="1" t="s">
        <v>24</v>
      </c>
      <c r="AE3906" s="1" t="s">
        <v>24</v>
      </c>
      <c r="AF3906" s="22"/>
    </row>
    <row r="3907" spans="1:32" x14ac:dyDescent="0.2">
      <c r="A3907" s="1">
        <v>32277</v>
      </c>
      <c r="B3907" s="1" t="s">
        <v>12014</v>
      </c>
      <c r="C3907" s="5" t="s">
        <v>0</v>
      </c>
      <c r="D3907" s="1" t="s">
        <v>12015</v>
      </c>
      <c r="E3907" s="1" t="s">
        <v>12016</v>
      </c>
      <c r="F3907" s="1" t="s">
        <v>1683</v>
      </c>
      <c r="G3907" s="1" t="s">
        <v>61</v>
      </c>
      <c r="H3907" s="1" t="s">
        <v>116</v>
      </c>
      <c r="I3907" s="1" t="s">
        <v>16</v>
      </c>
      <c r="J3907" s="1">
        <v>1</v>
      </c>
      <c r="K3907" s="1">
        <v>4</v>
      </c>
      <c r="L3907" s="1" t="s">
        <v>31</v>
      </c>
      <c r="M3907" s="1" t="s">
        <v>117</v>
      </c>
      <c r="N3907" s="1" t="s">
        <v>118</v>
      </c>
      <c r="O3907" s="1">
        <v>2</v>
      </c>
      <c r="P3907" s="1">
        <v>6</v>
      </c>
      <c r="R3907" s="1" t="s">
        <v>19</v>
      </c>
      <c r="S3907" s="1" t="s">
        <v>20</v>
      </c>
      <c r="T3907" s="1" t="s">
        <v>21</v>
      </c>
      <c r="U3907" s="1" t="s">
        <v>22</v>
      </c>
      <c r="V3907" s="1" t="s">
        <v>23</v>
      </c>
      <c r="W3907" s="1" t="s">
        <v>24</v>
      </c>
      <c r="X3907" s="1">
        <v>3004</v>
      </c>
      <c r="Y3907" s="1">
        <v>2738</v>
      </c>
      <c r="Z3907" s="1" t="s">
        <v>24</v>
      </c>
      <c r="AA3907" s="1" t="s">
        <v>24</v>
      </c>
      <c r="AB3907" s="1" t="s">
        <v>24</v>
      </c>
      <c r="AC3907" s="1" t="s">
        <v>24</v>
      </c>
      <c r="AD3907" s="1" t="s">
        <v>24</v>
      </c>
      <c r="AE3907" s="1" t="s">
        <v>24</v>
      </c>
      <c r="AF3907" s="22"/>
    </row>
    <row r="3908" spans="1:32" x14ac:dyDescent="0.2">
      <c r="A3908" s="1">
        <v>32278</v>
      </c>
      <c r="B3908" s="1" t="s">
        <v>12017</v>
      </c>
      <c r="C3908" s="5" t="s">
        <v>0</v>
      </c>
      <c r="D3908" s="1" t="s">
        <v>12018</v>
      </c>
      <c r="F3908" s="1" t="s">
        <v>12019</v>
      </c>
      <c r="G3908" s="1" t="s">
        <v>12019</v>
      </c>
      <c r="H3908" s="1" t="s">
        <v>1007</v>
      </c>
      <c r="I3908" s="1" t="s">
        <v>16</v>
      </c>
      <c r="J3908" s="1">
        <v>1</v>
      </c>
      <c r="K3908" s="1">
        <v>12</v>
      </c>
      <c r="L3908" s="1" t="s">
        <v>31</v>
      </c>
      <c r="M3908" s="1" t="s">
        <v>1008</v>
      </c>
      <c r="N3908" s="1" t="s">
        <v>4418</v>
      </c>
      <c r="O3908" s="1">
        <v>3</v>
      </c>
      <c r="P3908" s="1">
        <v>6</v>
      </c>
      <c r="R3908" s="1" t="s">
        <v>19</v>
      </c>
      <c r="S3908" s="1" t="s">
        <v>20</v>
      </c>
      <c r="T3908" s="1" t="s">
        <v>21</v>
      </c>
      <c r="U3908" s="1" t="s">
        <v>22</v>
      </c>
      <c r="V3908" s="1" t="s">
        <v>24</v>
      </c>
      <c r="W3908" s="1" t="s">
        <v>24</v>
      </c>
      <c r="X3908" s="1">
        <v>1306</v>
      </c>
      <c r="Y3908" s="1">
        <v>2730</v>
      </c>
      <c r="Z3908" s="1">
        <v>2713</v>
      </c>
      <c r="AA3908" s="1" t="s">
        <v>24</v>
      </c>
      <c r="AB3908" s="1" t="s">
        <v>24</v>
      </c>
      <c r="AC3908" s="1" t="s">
        <v>24</v>
      </c>
      <c r="AD3908" s="1" t="s">
        <v>24</v>
      </c>
      <c r="AE3908" s="1" t="s">
        <v>24</v>
      </c>
      <c r="AF3908" s="22"/>
    </row>
    <row r="3909" spans="1:32" x14ac:dyDescent="0.2">
      <c r="A3909" s="1">
        <v>32279</v>
      </c>
      <c r="B3909" s="1" t="s">
        <v>12020</v>
      </c>
      <c r="C3909" s="5" t="s">
        <v>0</v>
      </c>
      <c r="D3909" s="1" t="s">
        <v>12021</v>
      </c>
      <c r="F3909" s="1" t="s">
        <v>12022</v>
      </c>
      <c r="G3909" s="1" t="s">
        <v>12022</v>
      </c>
      <c r="H3909" s="1" t="s">
        <v>1384</v>
      </c>
      <c r="I3909" s="1" t="s">
        <v>16</v>
      </c>
      <c r="J3909" s="1">
        <v>1</v>
      </c>
      <c r="K3909" s="1">
        <v>4</v>
      </c>
      <c r="L3909" s="1" t="s">
        <v>42</v>
      </c>
      <c r="M3909" s="1" t="s">
        <v>1385</v>
      </c>
      <c r="N3909" s="1" t="s">
        <v>3142</v>
      </c>
      <c r="O3909" s="1">
        <v>3</v>
      </c>
      <c r="P3909" s="1">
        <v>5</v>
      </c>
      <c r="R3909" s="1" t="s">
        <v>19</v>
      </c>
      <c r="S3909" s="1" t="s">
        <v>20</v>
      </c>
      <c r="T3909" s="1" t="s">
        <v>21</v>
      </c>
      <c r="U3909" s="1" t="s">
        <v>22</v>
      </c>
      <c r="V3909" s="1" t="s">
        <v>24</v>
      </c>
      <c r="W3909" s="1" t="s">
        <v>24</v>
      </c>
      <c r="X3909" s="1">
        <v>2730</v>
      </c>
      <c r="Y3909" s="1" t="s">
        <v>24</v>
      </c>
      <c r="Z3909" s="1" t="s">
        <v>24</v>
      </c>
      <c r="AA3909" s="1" t="s">
        <v>24</v>
      </c>
      <c r="AB3909" s="1" t="s">
        <v>24</v>
      </c>
      <c r="AC3909" s="1" t="s">
        <v>24</v>
      </c>
      <c r="AD3909" s="1" t="s">
        <v>24</v>
      </c>
      <c r="AE3909" s="1" t="s">
        <v>24</v>
      </c>
      <c r="AF3909" s="22"/>
    </row>
    <row r="3910" spans="1:32" x14ac:dyDescent="0.2">
      <c r="A3910" s="1">
        <v>32280</v>
      </c>
      <c r="B3910" s="1" t="s">
        <v>12023</v>
      </c>
      <c r="C3910" s="5" t="s">
        <v>0</v>
      </c>
      <c r="D3910" s="1" t="s">
        <v>12024</v>
      </c>
      <c r="F3910" s="1" t="s">
        <v>303</v>
      </c>
      <c r="G3910" s="1" t="s">
        <v>61</v>
      </c>
      <c r="H3910" s="1" t="s">
        <v>30</v>
      </c>
      <c r="I3910" s="1" t="s">
        <v>16</v>
      </c>
      <c r="J3910" s="1">
        <v>1</v>
      </c>
      <c r="K3910" s="1">
        <v>4</v>
      </c>
      <c r="L3910" s="1" t="s">
        <v>31</v>
      </c>
      <c r="M3910" s="1" t="s">
        <v>18</v>
      </c>
      <c r="N3910" s="1" t="s">
        <v>18</v>
      </c>
      <c r="O3910" s="1">
        <v>0</v>
      </c>
      <c r="P3910" s="1">
        <v>7</v>
      </c>
      <c r="Q3910" s="7" t="s">
        <v>17633</v>
      </c>
      <c r="R3910" s="1" t="s">
        <v>19</v>
      </c>
      <c r="S3910" s="1" t="s">
        <v>20</v>
      </c>
      <c r="T3910" s="1" t="s">
        <v>21</v>
      </c>
      <c r="U3910" s="1" t="s">
        <v>22</v>
      </c>
      <c r="V3910" s="1" t="s">
        <v>23</v>
      </c>
      <c r="W3910" s="1" t="s">
        <v>24</v>
      </c>
      <c r="X3910" s="1">
        <v>2741</v>
      </c>
      <c r="Y3910" s="1">
        <v>3614</v>
      </c>
      <c r="Z3910" s="1" t="s">
        <v>24</v>
      </c>
      <c r="AA3910" s="1" t="s">
        <v>24</v>
      </c>
      <c r="AB3910" s="1" t="s">
        <v>24</v>
      </c>
      <c r="AC3910" s="1" t="s">
        <v>24</v>
      </c>
      <c r="AD3910" s="1" t="s">
        <v>24</v>
      </c>
      <c r="AE3910" s="1" t="s">
        <v>24</v>
      </c>
      <c r="AF3910" s="22" t="s">
        <v>17679</v>
      </c>
    </row>
    <row r="3911" spans="1:32" x14ac:dyDescent="0.2">
      <c r="A3911" s="1">
        <v>32282</v>
      </c>
      <c r="B3911" s="1" t="s">
        <v>12025</v>
      </c>
      <c r="C3911" s="5" t="s">
        <v>0</v>
      </c>
      <c r="D3911" s="1" t="s">
        <v>12026</v>
      </c>
      <c r="E3911" s="1" t="s">
        <v>12027</v>
      </c>
      <c r="F3911" s="1" t="s">
        <v>1683</v>
      </c>
      <c r="G3911" s="1" t="s">
        <v>61</v>
      </c>
      <c r="H3911" s="1" t="s">
        <v>116</v>
      </c>
      <c r="I3911" s="1" t="s">
        <v>16</v>
      </c>
      <c r="J3911" s="1">
        <v>1</v>
      </c>
      <c r="K3911" s="1">
        <v>4</v>
      </c>
      <c r="L3911" s="1" t="s">
        <v>31</v>
      </c>
      <c r="M3911" s="1" t="s">
        <v>117</v>
      </c>
      <c r="N3911" s="1" t="s">
        <v>118</v>
      </c>
      <c r="O3911" s="1">
        <v>2</v>
      </c>
      <c r="P3911" s="1">
        <v>6</v>
      </c>
      <c r="R3911" s="1" t="s">
        <v>19</v>
      </c>
      <c r="S3911" s="1" t="s">
        <v>20</v>
      </c>
      <c r="T3911" s="1" t="s">
        <v>21</v>
      </c>
      <c r="U3911" s="1" t="s">
        <v>22</v>
      </c>
      <c r="V3911" s="1" t="s">
        <v>24</v>
      </c>
      <c r="W3911" s="1" t="s">
        <v>24</v>
      </c>
      <c r="X3911" s="1">
        <v>2725</v>
      </c>
      <c r="Y3911" s="1">
        <v>2403</v>
      </c>
      <c r="Z3911" s="1" t="s">
        <v>24</v>
      </c>
      <c r="AA3911" s="1" t="s">
        <v>24</v>
      </c>
      <c r="AB3911" s="1" t="s">
        <v>24</v>
      </c>
      <c r="AC3911" s="1" t="s">
        <v>24</v>
      </c>
      <c r="AD3911" s="1" t="s">
        <v>24</v>
      </c>
      <c r="AE3911" s="1" t="s">
        <v>24</v>
      </c>
      <c r="AF3911" s="22"/>
    </row>
    <row r="3912" spans="1:32" x14ac:dyDescent="0.2">
      <c r="A3912" s="1">
        <v>32284</v>
      </c>
      <c r="B3912" s="1" t="s">
        <v>12028</v>
      </c>
      <c r="C3912" s="5" t="s">
        <v>0</v>
      </c>
      <c r="D3912" s="1" t="s">
        <v>12029</v>
      </c>
      <c r="E3912" s="1" t="s">
        <v>11978</v>
      </c>
      <c r="F3912" s="1" t="s">
        <v>3134</v>
      </c>
      <c r="G3912" s="1" t="s">
        <v>3134</v>
      </c>
      <c r="H3912" s="1" t="s">
        <v>249</v>
      </c>
      <c r="I3912" s="1" t="s">
        <v>16</v>
      </c>
      <c r="J3912" s="1">
        <v>1</v>
      </c>
      <c r="K3912" s="1">
        <v>4</v>
      </c>
      <c r="L3912" s="1" t="s">
        <v>42</v>
      </c>
      <c r="M3912" s="1" t="s">
        <v>250</v>
      </c>
      <c r="N3912" s="1" t="s">
        <v>1463</v>
      </c>
      <c r="O3912" s="1">
        <v>3</v>
      </c>
      <c r="P3912" s="1">
        <v>5</v>
      </c>
      <c r="R3912" s="1" t="s">
        <v>19</v>
      </c>
      <c r="S3912" s="1" t="s">
        <v>20</v>
      </c>
      <c r="T3912" s="1" t="s">
        <v>21</v>
      </c>
      <c r="U3912" s="1" t="s">
        <v>22</v>
      </c>
      <c r="V3912" s="1" t="s">
        <v>24</v>
      </c>
      <c r="W3912" s="1" t="s">
        <v>24</v>
      </c>
      <c r="X3912" s="1">
        <v>2746</v>
      </c>
      <c r="Y3912" s="1">
        <v>2715</v>
      </c>
      <c r="Z3912" s="1">
        <v>2729</v>
      </c>
      <c r="AA3912" s="1">
        <v>2748</v>
      </c>
      <c r="AB3912" s="1" t="s">
        <v>24</v>
      </c>
      <c r="AC3912" s="1" t="s">
        <v>24</v>
      </c>
      <c r="AD3912" s="1" t="s">
        <v>24</v>
      </c>
      <c r="AE3912" s="1" t="s">
        <v>24</v>
      </c>
      <c r="AF3912" s="22"/>
    </row>
    <row r="3913" spans="1:32" x14ac:dyDescent="0.2">
      <c r="A3913" s="1">
        <v>32285</v>
      </c>
      <c r="B3913" s="1" t="s">
        <v>12030</v>
      </c>
      <c r="C3913" s="5" t="s">
        <v>0</v>
      </c>
      <c r="D3913" s="1" t="s">
        <v>12031</v>
      </c>
      <c r="F3913" s="1" t="s">
        <v>11878</v>
      </c>
      <c r="G3913" s="1" t="s">
        <v>11879</v>
      </c>
      <c r="H3913" s="1" t="s">
        <v>30</v>
      </c>
      <c r="I3913" s="1" t="s">
        <v>16</v>
      </c>
      <c r="J3913" s="1">
        <v>1</v>
      </c>
      <c r="K3913" s="1">
        <v>4</v>
      </c>
      <c r="L3913" s="1" t="s">
        <v>31</v>
      </c>
      <c r="M3913" s="1" t="s">
        <v>18</v>
      </c>
      <c r="N3913" s="1" t="s">
        <v>18</v>
      </c>
      <c r="O3913" s="1">
        <v>3</v>
      </c>
      <c r="P3913" s="1">
        <v>6</v>
      </c>
      <c r="R3913" s="1" t="s">
        <v>19</v>
      </c>
      <c r="S3913" s="1" t="s">
        <v>20</v>
      </c>
      <c r="T3913" s="1" t="s">
        <v>21</v>
      </c>
      <c r="U3913" s="1" t="s">
        <v>22</v>
      </c>
      <c r="V3913" s="1" t="s">
        <v>24</v>
      </c>
      <c r="W3913" s="1" t="s">
        <v>24</v>
      </c>
      <c r="X3913" s="1">
        <v>2705</v>
      </c>
      <c r="Y3913" s="1" t="s">
        <v>24</v>
      </c>
      <c r="Z3913" s="1" t="s">
        <v>24</v>
      </c>
      <c r="AA3913" s="1" t="s">
        <v>24</v>
      </c>
      <c r="AB3913" s="1" t="s">
        <v>24</v>
      </c>
      <c r="AC3913" s="1" t="s">
        <v>24</v>
      </c>
      <c r="AD3913" s="1" t="s">
        <v>24</v>
      </c>
      <c r="AE3913" s="1" t="s">
        <v>24</v>
      </c>
      <c r="AF3913" s="22"/>
    </row>
    <row r="3914" spans="1:32" x14ac:dyDescent="0.2">
      <c r="A3914" s="1">
        <v>32286</v>
      </c>
      <c r="B3914" s="1" t="s">
        <v>12032</v>
      </c>
      <c r="C3914" s="5" t="s">
        <v>0</v>
      </c>
      <c r="D3914" s="1" t="s">
        <v>12033</v>
      </c>
      <c r="E3914" s="1" t="s">
        <v>12034</v>
      </c>
      <c r="F3914" s="1" t="s">
        <v>12035</v>
      </c>
      <c r="G3914" s="1" t="s">
        <v>130</v>
      </c>
      <c r="H3914" s="1" t="s">
        <v>1007</v>
      </c>
      <c r="I3914" s="1" t="s">
        <v>16</v>
      </c>
      <c r="J3914" s="1">
        <v>1</v>
      </c>
      <c r="K3914" s="1">
        <v>4</v>
      </c>
      <c r="L3914" s="1" t="s">
        <v>31</v>
      </c>
      <c r="M3914" s="1" t="s">
        <v>18</v>
      </c>
      <c r="N3914" s="1" t="s">
        <v>18</v>
      </c>
      <c r="O3914" s="1">
        <v>3</v>
      </c>
      <c r="P3914" s="1">
        <v>6</v>
      </c>
      <c r="R3914" s="1" t="s">
        <v>19</v>
      </c>
      <c r="S3914" s="1" t="s">
        <v>20</v>
      </c>
      <c r="T3914" s="1" t="s">
        <v>21</v>
      </c>
      <c r="U3914" s="1" t="s">
        <v>22</v>
      </c>
      <c r="V3914" s="1" t="s">
        <v>23</v>
      </c>
      <c r="W3914" s="1" t="s">
        <v>24</v>
      </c>
      <c r="X3914" s="1">
        <v>2735</v>
      </c>
      <c r="Y3914" s="1" t="s">
        <v>24</v>
      </c>
      <c r="Z3914" s="1" t="s">
        <v>24</v>
      </c>
      <c r="AA3914" s="1" t="s">
        <v>24</v>
      </c>
      <c r="AB3914" s="1" t="s">
        <v>24</v>
      </c>
      <c r="AC3914" s="1" t="s">
        <v>24</v>
      </c>
      <c r="AD3914" s="1" t="s">
        <v>24</v>
      </c>
      <c r="AE3914" s="1" t="s">
        <v>24</v>
      </c>
      <c r="AF3914" s="22"/>
    </row>
    <row r="3915" spans="1:32" x14ac:dyDescent="0.2">
      <c r="A3915" s="1">
        <v>32287</v>
      </c>
      <c r="B3915" s="1" t="s">
        <v>12036</v>
      </c>
      <c r="C3915" s="5" t="s">
        <v>0</v>
      </c>
      <c r="D3915" s="1" t="s">
        <v>12037</v>
      </c>
      <c r="E3915" s="1" t="s">
        <v>12038</v>
      </c>
      <c r="F3915" s="1" t="s">
        <v>35</v>
      </c>
      <c r="G3915" s="1" t="s">
        <v>36</v>
      </c>
      <c r="H3915" s="1" t="s">
        <v>37</v>
      </c>
      <c r="I3915" s="1" t="s">
        <v>16</v>
      </c>
      <c r="J3915" s="1">
        <v>1</v>
      </c>
      <c r="K3915" s="1">
        <v>3</v>
      </c>
      <c r="L3915" s="1" t="s">
        <v>31</v>
      </c>
      <c r="M3915" s="1" t="s">
        <v>18</v>
      </c>
      <c r="N3915" s="1" t="s">
        <v>18</v>
      </c>
      <c r="O3915" s="1">
        <v>3</v>
      </c>
      <c r="P3915" s="1">
        <v>7</v>
      </c>
      <c r="Q3915" s="7" t="s">
        <v>17633</v>
      </c>
      <c r="R3915" s="1" t="s">
        <v>19</v>
      </c>
      <c r="S3915" s="1" t="s">
        <v>20</v>
      </c>
      <c r="T3915" s="1" t="s">
        <v>21</v>
      </c>
      <c r="U3915" s="1" t="s">
        <v>22</v>
      </c>
      <c r="V3915" s="1" t="s">
        <v>23</v>
      </c>
      <c r="W3915" s="1" t="s">
        <v>24</v>
      </c>
      <c r="X3915" s="1">
        <v>2738</v>
      </c>
      <c r="Y3915" s="1">
        <v>2921</v>
      </c>
      <c r="Z3915" s="1" t="s">
        <v>24</v>
      </c>
      <c r="AA3915" s="1" t="s">
        <v>24</v>
      </c>
      <c r="AB3915" s="1" t="s">
        <v>24</v>
      </c>
      <c r="AC3915" s="1" t="s">
        <v>24</v>
      </c>
      <c r="AD3915" s="1" t="s">
        <v>24</v>
      </c>
      <c r="AE3915" s="1" t="s">
        <v>24</v>
      </c>
      <c r="AF3915" s="22"/>
    </row>
    <row r="3916" spans="1:32" x14ac:dyDescent="0.2">
      <c r="A3916" s="1">
        <v>32290</v>
      </c>
      <c r="B3916" s="1" t="s">
        <v>12039</v>
      </c>
      <c r="C3916" s="5" t="s">
        <v>0</v>
      </c>
      <c r="D3916" s="1" t="s">
        <v>12040</v>
      </c>
      <c r="E3916" s="1" t="s">
        <v>12041</v>
      </c>
      <c r="F3916" s="1" t="s">
        <v>28</v>
      </c>
      <c r="G3916" s="1" t="s">
        <v>29</v>
      </c>
      <c r="H3916" s="1" t="s">
        <v>30</v>
      </c>
      <c r="I3916" s="1" t="s">
        <v>16</v>
      </c>
      <c r="J3916" s="1">
        <v>1</v>
      </c>
      <c r="K3916" s="1">
        <v>6</v>
      </c>
      <c r="L3916" s="1" t="s">
        <v>31</v>
      </c>
      <c r="M3916" s="1" t="s">
        <v>18</v>
      </c>
      <c r="N3916" s="1" t="s">
        <v>18</v>
      </c>
      <c r="O3916" s="1">
        <v>3</v>
      </c>
      <c r="P3916" s="1">
        <v>6</v>
      </c>
      <c r="R3916" s="1" t="s">
        <v>19</v>
      </c>
      <c r="S3916" s="1" t="s">
        <v>20</v>
      </c>
      <c r="T3916" s="1" t="s">
        <v>21</v>
      </c>
      <c r="U3916" s="1" t="s">
        <v>22</v>
      </c>
      <c r="V3916" s="1" t="s">
        <v>23</v>
      </c>
      <c r="W3916" s="1" t="s">
        <v>24</v>
      </c>
      <c r="X3916" s="1">
        <v>1310</v>
      </c>
      <c r="Y3916" s="1">
        <v>2712</v>
      </c>
      <c r="Z3916" s="1">
        <v>2724</v>
      </c>
      <c r="AA3916" s="1">
        <v>2916</v>
      </c>
      <c r="AB3916" s="1" t="s">
        <v>24</v>
      </c>
      <c r="AC3916" s="1" t="s">
        <v>24</v>
      </c>
      <c r="AD3916" s="1" t="s">
        <v>24</v>
      </c>
      <c r="AE3916" s="1" t="s">
        <v>24</v>
      </c>
      <c r="AF3916" s="22"/>
    </row>
    <row r="3917" spans="1:32" x14ac:dyDescent="0.2">
      <c r="A3917" s="1">
        <v>32293</v>
      </c>
      <c r="B3917" s="1" t="s">
        <v>12042</v>
      </c>
      <c r="C3917" s="5" t="s">
        <v>0</v>
      </c>
      <c r="D3917" s="1" t="s">
        <v>12043</v>
      </c>
      <c r="E3917" s="1" t="s">
        <v>12044</v>
      </c>
      <c r="F3917" s="1" t="s">
        <v>28</v>
      </c>
      <c r="G3917" s="1" t="s">
        <v>29</v>
      </c>
      <c r="H3917" s="1" t="s">
        <v>30</v>
      </c>
      <c r="I3917" s="1" t="s">
        <v>16</v>
      </c>
      <c r="J3917" s="1">
        <v>1</v>
      </c>
      <c r="K3917" s="1">
        <v>6</v>
      </c>
      <c r="L3917" s="1" t="s">
        <v>31</v>
      </c>
      <c r="M3917" s="1" t="s">
        <v>18</v>
      </c>
      <c r="N3917" s="1" t="s">
        <v>18</v>
      </c>
      <c r="O3917" s="1">
        <v>3</v>
      </c>
      <c r="P3917" s="1">
        <v>7</v>
      </c>
      <c r="Q3917" s="7" t="s">
        <v>17633</v>
      </c>
      <c r="R3917" s="1" t="s">
        <v>19</v>
      </c>
      <c r="S3917" s="1" t="s">
        <v>20</v>
      </c>
      <c r="T3917" s="1" t="s">
        <v>21</v>
      </c>
      <c r="U3917" s="1" t="s">
        <v>22</v>
      </c>
      <c r="V3917" s="1" t="s">
        <v>23</v>
      </c>
      <c r="W3917" s="1" t="s">
        <v>24</v>
      </c>
      <c r="X3917" s="1">
        <v>2742</v>
      </c>
      <c r="Y3917" s="1">
        <v>2705</v>
      </c>
      <c r="Z3917" s="1">
        <v>2740</v>
      </c>
      <c r="AA3917" s="1" t="s">
        <v>24</v>
      </c>
      <c r="AB3917" s="1" t="s">
        <v>24</v>
      </c>
      <c r="AC3917" s="1" t="s">
        <v>24</v>
      </c>
      <c r="AD3917" s="1" t="s">
        <v>24</v>
      </c>
      <c r="AE3917" s="1" t="s">
        <v>24</v>
      </c>
      <c r="AF3917" s="22"/>
    </row>
    <row r="3918" spans="1:32" x14ac:dyDescent="0.2">
      <c r="A3918" s="1">
        <v>32335</v>
      </c>
      <c r="B3918" s="1" t="s">
        <v>12045</v>
      </c>
      <c r="C3918" s="5" t="s">
        <v>0</v>
      </c>
      <c r="D3918" s="1" t="s">
        <v>12046</v>
      </c>
      <c r="E3918" s="1" t="s">
        <v>12047</v>
      </c>
      <c r="F3918" s="1" t="s">
        <v>1801</v>
      </c>
      <c r="G3918" s="1" t="s">
        <v>130</v>
      </c>
      <c r="H3918" s="1" t="s">
        <v>168</v>
      </c>
      <c r="I3918" s="1" t="s">
        <v>16</v>
      </c>
      <c r="J3918" s="1">
        <v>1</v>
      </c>
      <c r="K3918" s="1">
        <v>4</v>
      </c>
      <c r="L3918" s="1" t="s">
        <v>31</v>
      </c>
      <c r="M3918" s="1" t="s">
        <v>413</v>
      </c>
      <c r="N3918" s="1" t="s">
        <v>413</v>
      </c>
      <c r="O3918" s="1">
        <v>3</v>
      </c>
      <c r="P3918" s="1">
        <v>6</v>
      </c>
      <c r="R3918" s="1" t="s">
        <v>19</v>
      </c>
      <c r="S3918" s="1" t="s">
        <v>20</v>
      </c>
      <c r="T3918" s="1" t="s">
        <v>21</v>
      </c>
      <c r="U3918" s="1" t="s">
        <v>22</v>
      </c>
      <c r="V3918" s="1" t="s">
        <v>23</v>
      </c>
      <c r="W3918" s="1" t="s">
        <v>24</v>
      </c>
      <c r="X3918" s="1">
        <v>2728</v>
      </c>
      <c r="Y3918" s="1">
        <v>2741</v>
      </c>
      <c r="Z3918" s="1" t="s">
        <v>24</v>
      </c>
      <c r="AA3918" s="1" t="s">
        <v>24</v>
      </c>
      <c r="AB3918" s="1" t="s">
        <v>24</v>
      </c>
      <c r="AC3918" s="1" t="s">
        <v>24</v>
      </c>
      <c r="AD3918" s="1" t="s">
        <v>24</v>
      </c>
      <c r="AE3918" s="1" t="s">
        <v>24</v>
      </c>
      <c r="AF3918" s="22"/>
    </row>
    <row r="3919" spans="1:32" x14ac:dyDescent="0.2">
      <c r="A3919" s="1">
        <v>32338</v>
      </c>
      <c r="B3919" s="1" t="s">
        <v>12048</v>
      </c>
      <c r="C3919" s="5" t="s">
        <v>0</v>
      </c>
      <c r="D3919" s="1" t="s">
        <v>12049</v>
      </c>
      <c r="F3919" s="1" t="s">
        <v>10043</v>
      </c>
      <c r="G3919" s="1" t="s">
        <v>10044</v>
      </c>
      <c r="H3919" s="1" t="s">
        <v>37</v>
      </c>
      <c r="I3919" s="1" t="s">
        <v>112</v>
      </c>
      <c r="J3919" s="1">
        <v>0</v>
      </c>
      <c r="K3919" s="1">
        <v>0</v>
      </c>
      <c r="L3919" s="1" t="s">
        <v>31</v>
      </c>
      <c r="M3919" s="1" t="s">
        <v>18</v>
      </c>
      <c r="N3919" s="1" t="s">
        <v>18</v>
      </c>
      <c r="O3919" s="1">
        <v>3</v>
      </c>
      <c r="P3919" s="1">
        <v>7</v>
      </c>
      <c r="Q3919" s="7" t="s">
        <v>17633</v>
      </c>
      <c r="R3919" s="1" t="s">
        <v>19</v>
      </c>
      <c r="S3919" s="1" t="s">
        <v>20</v>
      </c>
      <c r="T3919" s="1" t="s">
        <v>21</v>
      </c>
      <c r="U3919" s="1" t="s">
        <v>22</v>
      </c>
      <c r="V3919" s="1" t="s">
        <v>24</v>
      </c>
      <c r="W3919" s="1" t="s">
        <v>24</v>
      </c>
      <c r="X3919" s="1">
        <v>2719</v>
      </c>
      <c r="Y3919" s="1">
        <v>2739</v>
      </c>
      <c r="Z3919" s="1">
        <v>3306</v>
      </c>
      <c r="AA3919" s="1" t="s">
        <v>24</v>
      </c>
      <c r="AB3919" s="1" t="s">
        <v>24</v>
      </c>
      <c r="AC3919" s="1" t="s">
        <v>24</v>
      </c>
      <c r="AD3919" s="1" t="s">
        <v>24</v>
      </c>
      <c r="AE3919" s="1" t="s">
        <v>24</v>
      </c>
      <c r="AF3919" s="22"/>
    </row>
    <row r="3920" spans="1:32" x14ac:dyDescent="0.2">
      <c r="A3920" s="1">
        <v>32375</v>
      </c>
      <c r="B3920" s="1" t="s">
        <v>12050</v>
      </c>
      <c r="C3920" s="5" t="s">
        <v>0</v>
      </c>
      <c r="D3920" s="1" t="s">
        <v>12051</v>
      </c>
      <c r="E3920" s="1" t="s">
        <v>12052</v>
      </c>
      <c r="F3920" s="1" t="s">
        <v>97</v>
      </c>
      <c r="G3920" s="1" t="s">
        <v>98</v>
      </c>
      <c r="H3920" s="1" t="s">
        <v>37</v>
      </c>
      <c r="I3920" s="1" t="s">
        <v>16</v>
      </c>
      <c r="J3920" s="1">
        <v>1</v>
      </c>
      <c r="K3920" s="1">
        <v>4</v>
      </c>
      <c r="L3920" s="1" t="s">
        <v>31</v>
      </c>
      <c r="M3920" s="1" t="s">
        <v>18</v>
      </c>
      <c r="N3920" s="1" t="s">
        <v>18</v>
      </c>
      <c r="O3920" s="1">
        <v>3</v>
      </c>
      <c r="P3920" s="1">
        <v>6</v>
      </c>
      <c r="R3920" s="1" t="s">
        <v>19</v>
      </c>
      <c r="S3920" s="1" t="s">
        <v>20</v>
      </c>
      <c r="T3920" s="1" t="s">
        <v>21</v>
      </c>
      <c r="U3920" s="1" t="s">
        <v>22</v>
      </c>
      <c r="V3920" s="1" t="s">
        <v>23</v>
      </c>
      <c r="W3920" s="1" t="s">
        <v>24</v>
      </c>
      <c r="X3920" s="1">
        <v>2729</v>
      </c>
      <c r="Y3920" s="1" t="s">
        <v>24</v>
      </c>
      <c r="Z3920" s="1" t="s">
        <v>24</v>
      </c>
      <c r="AA3920" s="1" t="s">
        <v>24</v>
      </c>
      <c r="AB3920" s="1" t="s">
        <v>24</v>
      </c>
      <c r="AC3920" s="1" t="s">
        <v>24</v>
      </c>
      <c r="AD3920" s="1" t="s">
        <v>24</v>
      </c>
      <c r="AE3920" s="1" t="s">
        <v>24</v>
      </c>
      <c r="AF3920" s="22"/>
    </row>
    <row r="3921" spans="1:32" x14ac:dyDescent="0.2">
      <c r="A3921" s="1">
        <v>32379</v>
      </c>
      <c r="B3921" s="1" t="s">
        <v>12053</v>
      </c>
      <c r="C3921" s="5" t="s">
        <v>0</v>
      </c>
      <c r="D3921" s="1" t="s">
        <v>12054</v>
      </c>
      <c r="E3921" s="1" t="s">
        <v>12055</v>
      </c>
      <c r="F3921" s="1" t="s">
        <v>324</v>
      </c>
      <c r="G3921" s="1" t="s">
        <v>61</v>
      </c>
      <c r="H3921" s="1" t="s">
        <v>30</v>
      </c>
      <c r="I3921" s="1" t="s">
        <v>16</v>
      </c>
      <c r="J3921" s="1">
        <v>2</v>
      </c>
      <c r="K3921" s="1">
        <v>6</v>
      </c>
      <c r="L3921" s="1" t="s">
        <v>31</v>
      </c>
      <c r="M3921" s="1" t="s">
        <v>18</v>
      </c>
      <c r="N3921" s="1" t="s">
        <v>18</v>
      </c>
      <c r="O3921" s="1">
        <v>3</v>
      </c>
      <c r="P3921" s="1">
        <v>7</v>
      </c>
      <c r="Q3921" s="7" t="s">
        <v>17633</v>
      </c>
      <c r="R3921" s="1" t="s">
        <v>19</v>
      </c>
      <c r="S3921" s="1" t="s">
        <v>20</v>
      </c>
      <c r="T3921" s="1" t="s">
        <v>21</v>
      </c>
      <c r="U3921" s="1" t="s">
        <v>22</v>
      </c>
      <c r="V3921" s="1" t="s">
        <v>24</v>
      </c>
      <c r="W3921" s="1" t="s">
        <v>24</v>
      </c>
      <c r="X3921" s="1">
        <v>2400</v>
      </c>
      <c r="Y3921" s="1">
        <v>1306</v>
      </c>
      <c r="Z3921" s="1">
        <v>1312</v>
      </c>
      <c r="AA3921" s="1" t="s">
        <v>24</v>
      </c>
      <c r="AB3921" s="1" t="s">
        <v>24</v>
      </c>
      <c r="AC3921" s="1" t="s">
        <v>24</v>
      </c>
      <c r="AD3921" s="1" t="s">
        <v>24</v>
      </c>
      <c r="AE3921" s="1" t="s">
        <v>24</v>
      </c>
      <c r="AF3921" s="22"/>
    </row>
    <row r="3922" spans="1:32" x14ac:dyDescent="0.2">
      <c r="A3922" s="1">
        <v>32380</v>
      </c>
      <c r="B3922" s="1" t="s">
        <v>12056</v>
      </c>
      <c r="C3922" s="5" t="s">
        <v>0</v>
      </c>
      <c r="D3922" s="1" t="s">
        <v>12057</v>
      </c>
      <c r="E3922" s="1" t="s">
        <v>12058</v>
      </c>
      <c r="F3922" s="1" t="s">
        <v>324</v>
      </c>
      <c r="G3922" s="1" t="s">
        <v>61</v>
      </c>
      <c r="H3922" s="1" t="s">
        <v>30</v>
      </c>
      <c r="I3922" s="1" t="s">
        <v>16</v>
      </c>
      <c r="J3922" s="1">
        <v>1</v>
      </c>
      <c r="K3922" s="1">
        <v>12</v>
      </c>
      <c r="L3922" s="1" t="s">
        <v>31</v>
      </c>
      <c r="M3922" s="1" t="s">
        <v>18</v>
      </c>
      <c r="N3922" s="1" t="s">
        <v>18</v>
      </c>
      <c r="O3922" s="1">
        <v>3</v>
      </c>
      <c r="P3922" s="1">
        <v>7</v>
      </c>
      <c r="Q3922" s="7" t="s">
        <v>17633</v>
      </c>
      <c r="R3922" s="1" t="s">
        <v>19</v>
      </c>
      <c r="S3922" s="1" t="s">
        <v>20</v>
      </c>
      <c r="T3922" s="1" t="s">
        <v>21</v>
      </c>
      <c r="U3922" s="1" t="s">
        <v>22</v>
      </c>
      <c r="V3922" s="1" t="s">
        <v>24</v>
      </c>
      <c r="W3922" s="1" t="s">
        <v>24</v>
      </c>
      <c r="X3922" s="1">
        <v>1307</v>
      </c>
      <c r="Y3922" s="1">
        <v>1313</v>
      </c>
      <c r="Z3922" s="1">
        <v>1311</v>
      </c>
      <c r="AA3922" s="1" t="s">
        <v>24</v>
      </c>
      <c r="AB3922" s="1" t="s">
        <v>24</v>
      </c>
      <c r="AC3922" s="1" t="s">
        <v>24</v>
      </c>
      <c r="AD3922" s="1" t="s">
        <v>24</v>
      </c>
      <c r="AE3922" s="1" t="s">
        <v>24</v>
      </c>
      <c r="AF3922" s="22"/>
    </row>
    <row r="3923" spans="1:32" x14ac:dyDescent="0.2">
      <c r="A3923" s="1">
        <v>32381</v>
      </c>
      <c r="B3923" s="1" t="s">
        <v>12059</v>
      </c>
      <c r="C3923" s="5" t="s">
        <v>0</v>
      </c>
      <c r="D3923" s="1" t="s">
        <v>12060</v>
      </c>
      <c r="E3923" s="1" t="s">
        <v>12061</v>
      </c>
      <c r="F3923" s="1" t="s">
        <v>155</v>
      </c>
      <c r="G3923" s="1" t="s">
        <v>61</v>
      </c>
      <c r="H3923" s="1" t="s">
        <v>37</v>
      </c>
      <c r="I3923" s="1" t="s">
        <v>16</v>
      </c>
      <c r="J3923" s="1">
        <v>1</v>
      </c>
      <c r="K3923" s="1">
        <v>4</v>
      </c>
      <c r="L3923" s="1" t="s">
        <v>31</v>
      </c>
      <c r="M3923" s="1" t="s">
        <v>18</v>
      </c>
      <c r="N3923" s="1" t="s">
        <v>18</v>
      </c>
      <c r="O3923" s="1">
        <v>3</v>
      </c>
      <c r="P3923" s="1">
        <v>7</v>
      </c>
      <c r="Q3923" s="7" t="s">
        <v>17633</v>
      </c>
      <c r="R3923" s="1" t="s">
        <v>19</v>
      </c>
      <c r="S3923" s="1" t="s">
        <v>20</v>
      </c>
      <c r="T3923" s="1" t="s">
        <v>21</v>
      </c>
      <c r="U3923" s="1" t="s">
        <v>22</v>
      </c>
      <c r="V3923" s="1" t="s">
        <v>23</v>
      </c>
      <c r="W3923" s="1" t="s">
        <v>24</v>
      </c>
      <c r="X3923" s="1">
        <v>2712</v>
      </c>
      <c r="Y3923" s="1">
        <v>2916</v>
      </c>
      <c r="Z3923" s="1" t="s">
        <v>24</v>
      </c>
      <c r="AA3923" s="1" t="s">
        <v>24</v>
      </c>
      <c r="AB3923" s="1" t="s">
        <v>24</v>
      </c>
      <c r="AC3923" s="1" t="s">
        <v>24</v>
      </c>
      <c r="AD3923" s="1" t="s">
        <v>24</v>
      </c>
      <c r="AE3923" s="1" t="s">
        <v>24</v>
      </c>
      <c r="AF3923" s="22"/>
    </row>
    <row r="3924" spans="1:32" x14ac:dyDescent="0.2">
      <c r="A3924" s="1">
        <v>32383</v>
      </c>
      <c r="B3924" s="1" t="s">
        <v>12062</v>
      </c>
      <c r="C3924" s="5" t="s">
        <v>0</v>
      </c>
      <c r="D3924" s="1" t="s">
        <v>12063</v>
      </c>
      <c r="E3924" s="1" t="s">
        <v>12064</v>
      </c>
      <c r="F3924" s="1" t="s">
        <v>221</v>
      </c>
      <c r="G3924" s="1" t="s">
        <v>61</v>
      </c>
      <c r="H3924" s="1" t="s">
        <v>222</v>
      </c>
      <c r="I3924" s="1" t="s">
        <v>16</v>
      </c>
      <c r="J3924" s="1">
        <v>1</v>
      </c>
      <c r="K3924" s="1">
        <v>6</v>
      </c>
      <c r="L3924" s="1" t="s">
        <v>31</v>
      </c>
      <c r="M3924" s="1" t="s">
        <v>18</v>
      </c>
      <c r="N3924" s="1" t="s">
        <v>18</v>
      </c>
      <c r="O3924" s="1">
        <v>3</v>
      </c>
      <c r="P3924" s="1">
        <v>7</v>
      </c>
      <c r="Q3924" s="7" t="s">
        <v>17633</v>
      </c>
      <c r="R3924" s="1" t="s">
        <v>19</v>
      </c>
      <c r="S3924" s="1" t="s">
        <v>20</v>
      </c>
      <c r="T3924" s="1" t="s">
        <v>21</v>
      </c>
      <c r="U3924" s="1" t="s">
        <v>22</v>
      </c>
      <c r="V3924" s="1" t="s">
        <v>23</v>
      </c>
      <c r="W3924" s="1" t="s">
        <v>24</v>
      </c>
      <c r="X3924" s="1">
        <v>2705</v>
      </c>
      <c r="Y3924" s="1">
        <v>2724</v>
      </c>
      <c r="Z3924" s="1" t="s">
        <v>24</v>
      </c>
      <c r="AA3924" s="1" t="s">
        <v>24</v>
      </c>
      <c r="AB3924" s="1" t="s">
        <v>24</v>
      </c>
      <c r="AC3924" s="1" t="s">
        <v>24</v>
      </c>
      <c r="AD3924" s="1" t="s">
        <v>24</v>
      </c>
      <c r="AE3924" s="1" t="s">
        <v>24</v>
      </c>
      <c r="AF3924" s="22"/>
    </row>
    <row r="3925" spans="1:32" x14ac:dyDescent="0.2">
      <c r="A3925" s="1">
        <v>32384</v>
      </c>
      <c r="B3925" s="1" t="s">
        <v>12065</v>
      </c>
      <c r="C3925" s="5" t="s">
        <v>0</v>
      </c>
      <c r="D3925" s="1" t="s">
        <v>12066</v>
      </c>
      <c r="E3925" s="1" t="s">
        <v>12067</v>
      </c>
      <c r="F3925" s="1" t="s">
        <v>221</v>
      </c>
      <c r="G3925" s="1" t="s">
        <v>61</v>
      </c>
      <c r="H3925" s="1" t="s">
        <v>222</v>
      </c>
      <c r="I3925" s="1" t="s">
        <v>16</v>
      </c>
      <c r="J3925" s="1">
        <v>1</v>
      </c>
      <c r="K3925" s="1">
        <v>4</v>
      </c>
      <c r="L3925" s="1" t="s">
        <v>31</v>
      </c>
      <c r="M3925" s="1" t="s">
        <v>18</v>
      </c>
      <c r="N3925" s="1" t="s">
        <v>18</v>
      </c>
      <c r="O3925" s="1">
        <v>3</v>
      </c>
      <c r="P3925" s="1">
        <v>7</v>
      </c>
      <c r="Q3925" s="7" t="s">
        <v>17633</v>
      </c>
      <c r="R3925" s="1" t="s">
        <v>19</v>
      </c>
      <c r="S3925" s="1" t="s">
        <v>63</v>
      </c>
      <c r="T3925" s="1" t="s">
        <v>21</v>
      </c>
      <c r="U3925" s="1" t="s">
        <v>22</v>
      </c>
      <c r="V3925" s="1" t="s">
        <v>23</v>
      </c>
      <c r="W3925" s="1" t="s">
        <v>24</v>
      </c>
      <c r="X3925" s="1">
        <v>2734</v>
      </c>
      <c r="Y3925" s="1">
        <v>1311</v>
      </c>
      <c r="Z3925" s="1" t="s">
        <v>24</v>
      </c>
      <c r="AA3925" s="1" t="s">
        <v>24</v>
      </c>
      <c r="AB3925" s="1" t="s">
        <v>24</v>
      </c>
      <c r="AC3925" s="1" t="s">
        <v>24</v>
      </c>
      <c r="AD3925" s="1" t="s">
        <v>24</v>
      </c>
      <c r="AE3925" s="1" t="s">
        <v>24</v>
      </c>
      <c r="AF3925" s="22"/>
    </row>
    <row r="3926" spans="1:32" x14ac:dyDescent="0.2">
      <c r="A3926" s="1">
        <v>32385</v>
      </c>
      <c r="B3926" s="1" t="s">
        <v>12068</v>
      </c>
      <c r="C3926" s="5" t="s">
        <v>0</v>
      </c>
      <c r="D3926" s="1" t="s">
        <v>12069</v>
      </c>
      <c r="E3926" s="1" t="s">
        <v>12070</v>
      </c>
      <c r="F3926" s="1" t="s">
        <v>155</v>
      </c>
      <c r="G3926" s="1" t="s">
        <v>61</v>
      </c>
      <c r="H3926" s="1" t="s">
        <v>37</v>
      </c>
      <c r="I3926" s="1" t="s">
        <v>16</v>
      </c>
      <c r="J3926" s="1">
        <v>1</v>
      </c>
      <c r="K3926" s="1">
        <v>4</v>
      </c>
      <c r="L3926" s="1" t="s">
        <v>31</v>
      </c>
      <c r="M3926" s="1" t="s">
        <v>18</v>
      </c>
      <c r="N3926" s="1" t="s">
        <v>18</v>
      </c>
      <c r="O3926" s="1">
        <v>3</v>
      </c>
      <c r="P3926" s="1">
        <v>7</v>
      </c>
      <c r="Q3926" s="7" t="s">
        <v>17633</v>
      </c>
      <c r="R3926" s="1" t="s">
        <v>19</v>
      </c>
      <c r="S3926" s="1" t="s">
        <v>20</v>
      </c>
      <c r="T3926" s="1" t="s">
        <v>21</v>
      </c>
      <c r="U3926" s="1" t="s">
        <v>22</v>
      </c>
      <c r="V3926" s="1" t="s">
        <v>24</v>
      </c>
      <c r="W3926" s="1" t="s">
        <v>24</v>
      </c>
      <c r="X3926" s="1">
        <v>2712</v>
      </c>
      <c r="Y3926" s="1">
        <v>2724</v>
      </c>
      <c r="Z3926" s="1" t="s">
        <v>24</v>
      </c>
      <c r="AA3926" s="1" t="s">
        <v>24</v>
      </c>
      <c r="AB3926" s="1" t="s">
        <v>24</v>
      </c>
      <c r="AC3926" s="1" t="s">
        <v>24</v>
      </c>
      <c r="AD3926" s="1" t="s">
        <v>24</v>
      </c>
      <c r="AE3926" s="1" t="s">
        <v>24</v>
      </c>
      <c r="AF3926" s="22"/>
    </row>
    <row r="3927" spans="1:32" x14ac:dyDescent="0.2">
      <c r="A3927" s="1">
        <v>32479</v>
      </c>
      <c r="B3927" s="1" t="s">
        <v>12071</v>
      </c>
      <c r="C3927" s="5" t="s">
        <v>0</v>
      </c>
      <c r="D3927" s="1" t="s">
        <v>12072</v>
      </c>
      <c r="F3927" s="1" t="s">
        <v>248</v>
      </c>
      <c r="G3927" s="1" t="s">
        <v>248</v>
      </c>
      <c r="H3927" s="1" t="s">
        <v>249</v>
      </c>
      <c r="I3927" s="1" t="s">
        <v>16</v>
      </c>
      <c r="J3927" s="1">
        <v>1</v>
      </c>
      <c r="K3927" s="1">
        <v>4</v>
      </c>
      <c r="L3927" s="1" t="s">
        <v>17</v>
      </c>
      <c r="M3927" s="1" t="s">
        <v>250</v>
      </c>
      <c r="N3927" s="1" t="s">
        <v>1463</v>
      </c>
      <c r="O3927" s="1">
        <v>2</v>
      </c>
      <c r="P3927" s="1">
        <v>6</v>
      </c>
      <c r="R3927" s="1" t="s">
        <v>19</v>
      </c>
      <c r="S3927" s="1" t="s">
        <v>20</v>
      </c>
      <c r="T3927" s="1" t="s">
        <v>21</v>
      </c>
      <c r="U3927" s="1" t="s">
        <v>22</v>
      </c>
      <c r="V3927" s="1" t="s">
        <v>24</v>
      </c>
      <c r="W3927" s="1" t="s">
        <v>24</v>
      </c>
      <c r="X3927" s="1">
        <v>2738</v>
      </c>
      <c r="Y3927" s="1" t="s">
        <v>24</v>
      </c>
      <c r="Z3927" s="1" t="s">
        <v>24</v>
      </c>
      <c r="AA3927" s="1" t="s">
        <v>24</v>
      </c>
      <c r="AB3927" s="1" t="s">
        <v>24</v>
      </c>
      <c r="AC3927" s="1" t="s">
        <v>24</v>
      </c>
      <c r="AD3927" s="1" t="s">
        <v>24</v>
      </c>
      <c r="AE3927" s="1" t="s">
        <v>24</v>
      </c>
      <c r="AF3927" s="22"/>
    </row>
    <row r="3928" spans="1:32" x14ac:dyDescent="0.2">
      <c r="A3928" s="1">
        <v>32492</v>
      </c>
      <c r="B3928" s="1" t="s">
        <v>12073</v>
      </c>
      <c r="C3928" s="5" t="s">
        <v>0</v>
      </c>
      <c r="D3928" s="1" t="s">
        <v>12074</v>
      </c>
      <c r="E3928" s="1" t="s">
        <v>12075</v>
      </c>
      <c r="F3928" s="1" t="s">
        <v>167</v>
      </c>
      <c r="G3928" s="1" t="s">
        <v>130</v>
      </c>
      <c r="H3928" s="1" t="s">
        <v>168</v>
      </c>
      <c r="I3928" s="1" t="s">
        <v>16</v>
      </c>
      <c r="J3928" s="1">
        <v>1</v>
      </c>
      <c r="K3928" s="1">
        <v>6</v>
      </c>
      <c r="L3928" s="1" t="s">
        <v>31</v>
      </c>
      <c r="M3928" s="1" t="s">
        <v>18</v>
      </c>
      <c r="N3928" s="1" t="s">
        <v>18</v>
      </c>
      <c r="O3928" s="1">
        <v>3</v>
      </c>
      <c r="P3928" s="1">
        <v>7</v>
      </c>
      <c r="Q3928" s="7" t="s">
        <v>17633</v>
      </c>
      <c r="R3928" s="1" t="s">
        <v>19</v>
      </c>
      <c r="S3928" s="1" t="s">
        <v>20</v>
      </c>
      <c r="T3928" s="1" t="s">
        <v>21</v>
      </c>
      <c r="U3928" s="1" t="s">
        <v>22</v>
      </c>
      <c r="V3928" s="1" t="s">
        <v>24</v>
      </c>
      <c r="W3928" s="1" t="s">
        <v>24</v>
      </c>
      <c r="X3928" s="1">
        <v>2702</v>
      </c>
      <c r="Y3928" s="1">
        <v>2722</v>
      </c>
      <c r="Z3928" s="1">
        <v>2800</v>
      </c>
      <c r="AA3928" s="1" t="s">
        <v>24</v>
      </c>
      <c r="AB3928" s="1" t="s">
        <v>24</v>
      </c>
      <c r="AC3928" s="1" t="s">
        <v>24</v>
      </c>
      <c r="AD3928" s="1" t="s">
        <v>24</v>
      </c>
      <c r="AE3928" s="1" t="s">
        <v>24</v>
      </c>
      <c r="AF3928" s="22"/>
    </row>
    <row r="3929" spans="1:32" x14ac:dyDescent="0.2">
      <c r="A3929" s="1">
        <v>32504</v>
      </c>
      <c r="B3929" s="1" t="s">
        <v>12076</v>
      </c>
      <c r="C3929" s="5" t="s">
        <v>0</v>
      </c>
      <c r="D3929" s="1" t="s">
        <v>12077</v>
      </c>
      <c r="E3929" s="1" t="s">
        <v>12078</v>
      </c>
      <c r="F3929" s="1" t="s">
        <v>1808</v>
      </c>
      <c r="G3929" s="1" t="s">
        <v>130</v>
      </c>
      <c r="H3929" s="1" t="s">
        <v>461</v>
      </c>
      <c r="I3929" s="1" t="s">
        <v>16</v>
      </c>
      <c r="J3929" s="1">
        <v>1</v>
      </c>
      <c r="K3929" s="1">
        <v>4</v>
      </c>
      <c r="L3929" s="1" t="s">
        <v>31</v>
      </c>
      <c r="M3929" s="1" t="s">
        <v>635</v>
      </c>
      <c r="N3929" s="1" t="s">
        <v>18</v>
      </c>
      <c r="O3929" s="1">
        <v>2</v>
      </c>
      <c r="P3929" s="1">
        <v>5</v>
      </c>
      <c r="R3929" s="1" t="s">
        <v>19</v>
      </c>
      <c r="S3929" s="1" t="s">
        <v>20</v>
      </c>
      <c r="T3929" s="1" t="s">
        <v>21</v>
      </c>
      <c r="U3929" s="1" t="s">
        <v>22</v>
      </c>
      <c r="V3929" s="1" t="s">
        <v>23</v>
      </c>
      <c r="W3929" s="1" t="s">
        <v>64</v>
      </c>
      <c r="X3929" s="1">
        <v>1605</v>
      </c>
      <c r="Y3929" s="1">
        <v>3002</v>
      </c>
      <c r="Z3929" s="1">
        <v>3003</v>
      </c>
      <c r="AA3929" s="1">
        <v>2707</v>
      </c>
      <c r="AB3929" s="1" t="s">
        <v>24</v>
      </c>
      <c r="AC3929" s="1" t="s">
        <v>24</v>
      </c>
      <c r="AD3929" s="1" t="s">
        <v>24</v>
      </c>
      <c r="AE3929" s="1" t="s">
        <v>24</v>
      </c>
      <c r="AF3929" s="22"/>
    </row>
    <row r="3930" spans="1:32" x14ac:dyDescent="0.2">
      <c r="A3930" s="1">
        <v>32546</v>
      </c>
      <c r="B3930" s="1" t="s">
        <v>12079</v>
      </c>
      <c r="C3930" s="5" t="s">
        <v>0</v>
      </c>
      <c r="D3930" s="1" t="s">
        <v>12080</v>
      </c>
      <c r="E3930" s="1" t="s">
        <v>12081</v>
      </c>
      <c r="F3930" s="1" t="s">
        <v>35</v>
      </c>
      <c r="G3930" s="1" t="s">
        <v>36</v>
      </c>
      <c r="H3930" s="1" t="s">
        <v>37</v>
      </c>
      <c r="I3930" s="1" t="s">
        <v>16</v>
      </c>
      <c r="J3930" s="1">
        <v>1</v>
      </c>
      <c r="K3930" s="1">
        <v>6</v>
      </c>
      <c r="L3930" s="1" t="s">
        <v>31</v>
      </c>
      <c r="M3930" s="1" t="s">
        <v>18</v>
      </c>
      <c r="N3930" s="1" t="s">
        <v>18</v>
      </c>
      <c r="O3930" s="1">
        <v>3</v>
      </c>
      <c r="P3930" s="1">
        <v>7</v>
      </c>
      <c r="Q3930" s="7" t="s">
        <v>17633</v>
      </c>
      <c r="R3930" s="1" t="s">
        <v>19</v>
      </c>
      <c r="S3930" s="1" t="s">
        <v>20</v>
      </c>
      <c r="T3930" s="1" t="s">
        <v>21</v>
      </c>
      <c r="U3930" s="1" t="s">
        <v>22</v>
      </c>
      <c r="V3930" s="1" t="s">
        <v>24</v>
      </c>
      <c r="W3930" s="1" t="s">
        <v>24</v>
      </c>
      <c r="X3930" s="1">
        <v>1308</v>
      </c>
      <c r="Y3930" s="1">
        <v>2704</v>
      </c>
      <c r="Z3930" s="1">
        <v>2720</v>
      </c>
      <c r="AA3930" s="1" t="s">
        <v>24</v>
      </c>
      <c r="AB3930" s="1" t="s">
        <v>24</v>
      </c>
      <c r="AC3930" s="1" t="s">
        <v>24</v>
      </c>
      <c r="AD3930" s="1" t="s">
        <v>24</v>
      </c>
      <c r="AE3930" s="1" t="s">
        <v>24</v>
      </c>
      <c r="AF3930" s="22"/>
    </row>
    <row r="3931" spans="1:32" x14ac:dyDescent="0.2">
      <c r="A3931" s="1">
        <v>32568</v>
      </c>
      <c r="B3931" s="1" t="s">
        <v>12082</v>
      </c>
      <c r="C3931" s="5" t="s">
        <v>0</v>
      </c>
      <c r="D3931" s="1" t="s">
        <v>12083</v>
      </c>
      <c r="F3931" s="1" t="s">
        <v>6019</v>
      </c>
      <c r="G3931" s="1" t="s">
        <v>12084</v>
      </c>
      <c r="H3931" s="1" t="s">
        <v>428</v>
      </c>
      <c r="I3931" s="1" t="s">
        <v>16</v>
      </c>
      <c r="J3931" s="1">
        <v>1</v>
      </c>
      <c r="K3931" s="1">
        <v>1</v>
      </c>
      <c r="L3931" s="1" t="s">
        <v>31</v>
      </c>
      <c r="M3931" s="1" t="s">
        <v>9206</v>
      </c>
      <c r="N3931" s="1" t="s">
        <v>18</v>
      </c>
      <c r="O3931" s="1">
        <v>2</v>
      </c>
      <c r="P3931" s="1">
        <v>5</v>
      </c>
      <c r="R3931" s="1" t="s">
        <v>19</v>
      </c>
      <c r="S3931" s="1" t="s">
        <v>20</v>
      </c>
      <c r="T3931" s="1" t="s">
        <v>21</v>
      </c>
      <c r="U3931" s="1" t="s">
        <v>22</v>
      </c>
      <c r="V3931" s="1" t="s">
        <v>24</v>
      </c>
      <c r="W3931" s="1" t="s">
        <v>24</v>
      </c>
      <c r="X3931" s="1">
        <v>2735</v>
      </c>
      <c r="Y3931" s="1" t="s">
        <v>24</v>
      </c>
      <c r="Z3931" s="1" t="s">
        <v>24</v>
      </c>
      <c r="AA3931" s="1" t="s">
        <v>24</v>
      </c>
      <c r="AB3931" s="1" t="s">
        <v>24</v>
      </c>
      <c r="AC3931" s="1" t="s">
        <v>24</v>
      </c>
      <c r="AD3931" s="1" t="s">
        <v>24</v>
      </c>
      <c r="AE3931" s="1" t="s">
        <v>24</v>
      </c>
      <c r="AF3931" s="22"/>
    </row>
    <row r="3932" spans="1:32" x14ac:dyDescent="0.2">
      <c r="A3932" s="1">
        <v>32573</v>
      </c>
      <c r="B3932" s="1" t="s">
        <v>12085</v>
      </c>
      <c r="C3932" s="5" t="s">
        <v>0</v>
      </c>
      <c r="D3932" s="1" t="s">
        <v>12086</v>
      </c>
      <c r="E3932" s="1" t="s">
        <v>12087</v>
      </c>
      <c r="F3932" s="1" t="s">
        <v>12088</v>
      </c>
      <c r="G3932" s="1" t="s">
        <v>254</v>
      </c>
      <c r="H3932" s="1" t="s">
        <v>168</v>
      </c>
      <c r="I3932" s="1" t="s">
        <v>16</v>
      </c>
      <c r="J3932" s="1">
        <v>1</v>
      </c>
      <c r="K3932" s="1">
        <v>4</v>
      </c>
      <c r="L3932" s="1" t="s">
        <v>31</v>
      </c>
      <c r="M3932" s="1" t="s">
        <v>4081</v>
      </c>
      <c r="N3932" s="1" t="s">
        <v>4081</v>
      </c>
      <c r="O3932" s="1">
        <v>2</v>
      </c>
      <c r="P3932" s="1">
        <v>3</v>
      </c>
      <c r="R3932" s="1" t="s">
        <v>19</v>
      </c>
      <c r="S3932" s="1" t="s">
        <v>20</v>
      </c>
      <c r="T3932" s="1" t="s">
        <v>21</v>
      </c>
      <c r="U3932" s="1" t="s">
        <v>22</v>
      </c>
      <c r="V3932" s="1" t="s">
        <v>24</v>
      </c>
      <c r="W3932" s="1" t="s">
        <v>24</v>
      </c>
      <c r="X3932" s="1">
        <v>1308</v>
      </c>
      <c r="Y3932" s="1">
        <v>2704</v>
      </c>
      <c r="Z3932" s="1" t="s">
        <v>24</v>
      </c>
      <c r="AA3932" s="1" t="s">
        <v>24</v>
      </c>
      <c r="AB3932" s="1" t="s">
        <v>24</v>
      </c>
      <c r="AC3932" s="1" t="s">
        <v>24</v>
      </c>
      <c r="AD3932" s="1" t="s">
        <v>24</v>
      </c>
      <c r="AE3932" s="1" t="s">
        <v>24</v>
      </c>
      <c r="AF3932" s="22"/>
    </row>
    <row r="3933" spans="1:32" x14ac:dyDescent="0.2">
      <c r="A3933" s="1">
        <v>32614</v>
      </c>
      <c r="B3933" s="1" t="s">
        <v>12089</v>
      </c>
      <c r="C3933" s="5" t="s">
        <v>0</v>
      </c>
      <c r="D3933" s="1" t="s">
        <v>12090</v>
      </c>
      <c r="E3933" s="1" t="s">
        <v>12091</v>
      </c>
      <c r="F3933" s="1" t="s">
        <v>8749</v>
      </c>
      <c r="G3933" s="1" t="s">
        <v>8749</v>
      </c>
      <c r="H3933" s="1" t="s">
        <v>116</v>
      </c>
      <c r="I3933" s="1" t="s">
        <v>16</v>
      </c>
      <c r="J3933" s="1">
        <v>1</v>
      </c>
      <c r="K3933" s="1">
        <v>4</v>
      </c>
      <c r="L3933" s="1" t="s">
        <v>42</v>
      </c>
      <c r="M3933" s="1" t="s">
        <v>117</v>
      </c>
      <c r="N3933" s="1" t="s">
        <v>117</v>
      </c>
      <c r="O3933" s="1">
        <v>3</v>
      </c>
      <c r="P3933" s="1">
        <v>5</v>
      </c>
      <c r="R3933" s="1" t="s">
        <v>19</v>
      </c>
      <c r="S3933" s="1" t="s">
        <v>20</v>
      </c>
      <c r="T3933" s="1" t="s">
        <v>21</v>
      </c>
      <c r="U3933" s="1" t="s">
        <v>22</v>
      </c>
      <c r="V3933" s="1" t="s">
        <v>24</v>
      </c>
      <c r="W3933" s="1" t="s">
        <v>24</v>
      </c>
      <c r="X3933" s="1">
        <v>2705</v>
      </c>
      <c r="Y3933" s="1">
        <v>2734</v>
      </c>
      <c r="Z3933" s="1" t="s">
        <v>24</v>
      </c>
      <c r="AA3933" s="1" t="s">
        <v>24</v>
      </c>
      <c r="AB3933" s="1" t="s">
        <v>24</v>
      </c>
      <c r="AC3933" s="1" t="s">
        <v>24</v>
      </c>
      <c r="AD3933" s="1" t="s">
        <v>24</v>
      </c>
      <c r="AE3933" s="1" t="s">
        <v>24</v>
      </c>
      <c r="AF3933" s="22"/>
    </row>
    <row r="3934" spans="1:32" x14ac:dyDescent="0.2">
      <c r="A3934" s="1">
        <v>32627</v>
      </c>
      <c r="B3934" s="1" t="s">
        <v>12092</v>
      </c>
      <c r="C3934" s="5" t="s">
        <v>0</v>
      </c>
      <c r="D3934" s="1" t="s">
        <v>12093</v>
      </c>
      <c r="F3934" s="1" t="s">
        <v>8341</v>
      </c>
      <c r="G3934" s="1" t="s">
        <v>8341</v>
      </c>
      <c r="H3934" s="1" t="s">
        <v>37</v>
      </c>
      <c r="I3934" s="1" t="s">
        <v>16</v>
      </c>
      <c r="J3934" s="1">
        <v>1</v>
      </c>
      <c r="K3934" s="1">
        <v>3</v>
      </c>
      <c r="L3934" s="1" t="s">
        <v>42</v>
      </c>
      <c r="M3934" s="1" t="s">
        <v>18</v>
      </c>
      <c r="N3934" s="1" t="s">
        <v>18</v>
      </c>
      <c r="O3934" s="1">
        <v>2</v>
      </c>
      <c r="P3934" s="1">
        <v>6</v>
      </c>
      <c r="R3934" s="1" t="s">
        <v>19</v>
      </c>
      <c r="S3934" s="1" t="s">
        <v>20</v>
      </c>
      <c r="T3934" s="1" t="s">
        <v>21</v>
      </c>
      <c r="U3934" s="1" t="s">
        <v>22</v>
      </c>
      <c r="V3934" s="1" t="s">
        <v>24</v>
      </c>
      <c r="W3934" s="1" t="s">
        <v>24</v>
      </c>
      <c r="X3934" s="1">
        <v>2733</v>
      </c>
      <c r="Y3934" s="1">
        <v>2746</v>
      </c>
      <c r="Z3934" s="1" t="s">
        <v>24</v>
      </c>
      <c r="AA3934" s="1" t="s">
        <v>24</v>
      </c>
      <c r="AB3934" s="1" t="s">
        <v>24</v>
      </c>
      <c r="AC3934" s="1" t="s">
        <v>24</v>
      </c>
      <c r="AD3934" s="1" t="s">
        <v>24</v>
      </c>
      <c r="AE3934" s="1" t="s">
        <v>24</v>
      </c>
      <c r="AF3934" s="22"/>
    </row>
    <row r="3935" spans="1:32" x14ac:dyDescent="0.2">
      <c r="A3935" s="1">
        <v>32629</v>
      </c>
      <c r="B3935" s="1" t="s">
        <v>12094</v>
      </c>
      <c r="C3935" s="5" t="s">
        <v>0</v>
      </c>
      <c r="D3935" s="1" t="s">
        <v>12095</v>
      </c>
      <c r="E3935" s="1" t="s">
        <v>12096</v>
      </c>
      <c r="F3935" s="1" t="s">
        <v>91</v>
      </c>
      <c r="G3935" s="1" t="s">
        <v>61</v>
      </c>
      <c r="H3935" s="1" t="s">
        <v>92</v>
      </c>
      <c r="I3935" s="1" t="s">
        <v>16</v>
      </c>
      <c r="J3935" s="1">
        <v>1</v>
      </c>
      <c r="K3935" s="1">
        <v>4</v>
      </c>
      <c r="L3935" s="1" t="s">
        <v>31</v>
      </c>
      <c r="M3935" s="1" t="s">
        <v>18</v>
      </c>
      <c r="N3935" s="1" t="s">
        <v>18</v>
      </c>
      <c r="O3935" s="1">
        <v>3</v>
      </c>
      <c r="P3935" s="1">
        <v>7</v>
      </c>
      <c r="Q3935" s="7" t="s">
        <v>17633</v>
      </c>
      <c r="R3935" s="1" t="s">
        <v>19</v>
      </c>
      <c r="S3935" s="1" t="s">
        <v>20</v>
      </c>
      <c r="T3935" s="1" t="s">
        <v>21</v>
      </c>
      <c r="U3935" s="1" t="s">
        <v>22</v>
      </c>
      <c r="V3935" s="1" t="s">
        <v>24</v>
      </c>
      <c r="W3935" s="1" t="s">
        <v>24</v>
      </c>
      <c r="X3935" s="1">
        <v>1306</v>
      </c>
      <c r="Y3935" s="1">
        <v>1311</v>
      </c>
      <c r="Z3935" s="1">
        <v>1313</v>
      </c>
      <c r="AA3935" s="1" t="s">
        <v>24</v>
      </c>
      <c r="AB3935" s="1" t="s">
        <v>24</v>
      </c>
      <c r="AC3935" s="1" t="s">
        <v>24</v>
      </c>
      <c r="AD3935" s="1" t="s">
        <v>24</v>
      </c>
      <c r="AE3935" s="1" t="s">
        <v>24</v>
      </c>
      <c r="AF3935" s="22"/>
    </row>
    <row r="3936" spans="1:32" x14ac:dyDescent="0.2">
      <c r="A3936" s="1">
        <v>32630</v>
      </c>
      <c r="B3936" s="1" t="s">
        <v>12097</v>
      </c>
      <c r="C3936" s="5" t="s">
        <v>0</v>
      </c>
      <c r="D3936" s="1" t="s">
        <v>12098</v>
      </c>
      <c r="E3936" s="1" t="s">
        <v>12099</v>
      </c>
      <c r="F3936" s="1" t="s">
        <v>517</v>
      </c>
      <c r="G3936" s="1" t="s">
        <v>36</v>
      </c>
      <c r="H3936" s="1" t="s">
        <v>30</v>
      </c>
      <c r="I3936" s="1" t="s">
        <v>16</v>
      </c>
      <c r="J3936" s="1">
        <v>1</v>
      </c>
      <c r="K3936" s="1">
        <v>12</v>
      </c>
      <c r="L3936" s="1" t="s">
        <v>31</v>
      </c>
      <c r="M3936" s="1" t="s">
        <v>18</v>
      </c>
      <c r="N3936" s="1" t="s">
        <v>18</v>
      </c>
      <c r="O3936" s="1">
        <v>3</v>
      </c>
      <c r="P3936" s="1">
        <v>7</v>
      </c>
      <c r="Q3936" s="7" t="s">
        <v>17633</v>
      </c>
      <c r="R3936" s="1" t="s">
        <v>62</v>
      </c>
      <c r="S3936" s="1" t="s">
        <v>20</v>
      </c>
      <c r="T3936" s="1" t="s">
        <v>21</v>
      </c>
      <c r="U3936" s="1" t="s">
        <v>22</v>
      </c>
      <c r="V3936" s="1" t="s">
        <v>24</v>
      </c>
      <c r="W3936" s="1" t="s">
        <v>24</v>
      </c>
      <c r="X3936" s="1">
        <v>2804</v>
      </c>
      <c r="Y3936" s="1">
        <v>2806</v>
      </c>
      <c r="Z3936" s="1" t="s">
        <v>24</v>
      </c>
      <c r="AA3936" s="1" t="s">
        <v>24</v>
      </c>
      <c r="AB3936" s="1" t="s">
        <v>24</v>
      </c>
      <c r="AC3936" s="1" t="s">
        <v>24</v>
      </c>
      <c r="AD3936" s="1" t="s">
        <v>24</v>
      </c>
      <c r="AE3936" s="1" t="s">
        <v>24</v>
      </c>
      <c r="AF3936" s="22"/>
    </row>
    <row r="3937" spans="1:32" x14ac:dyDescent="0.2">
      <c r="A3937" s="1">
        <v>32658</v>
      </c>
      <c r="B3937" s="1" t="s">
        <v>12100</v>
      </c>
      <c r="C3937" s="5" t="s">
        <v>0</v>
      </c>
      <c r="D3937" s="1" t="s">
        <v>12101</v>
      </c>
      <c r="F3937" s="1" t="s">
        <v>12102</v>
      </c>
      <c r="G3937" s="1" t="s">
        <v>68</v>
      </c>
      <c r="H3937" s="1" t="s">
        <v>69</v>
      </c>
      <c r="I3937" s="1" t="s">
        <v>16</v>
      </c>
      <c r="J3937" s="1">
        <v>1</v>
      </c>
      <c r="K3937" s="1">
        <v>4</v>
      </c>
      <c r="L3937" s="1" t="s">
        <v>42</v>
      </c>
      <c r="M3937" s="1" t="s">
        <v>70</v>
      </c>
      <c r="N3937" s="1" t="s">
        <v>70</v>
      </c>
      <c r="O3937" s="1">
        <v>2</v>
      </c>
      <c r="P3937" s="1">
        <v>5</v>
      </c>
      <c r="R3937" s="1" t="s">
        <v>19</v>
      </c>
      <c r="S3937" s="1" t="s">
        <v>20</v>
      </c>
      <c r="T3937" s="1" t="s">
        <v>21</v>
      </c>
      <c r="U3937" s="1" t="s">
        <v>22</v>
      </c>
      <c r="V3937" s="1" t="s">
        <v>24</v>
      </c>
      <c r="W3937" s="1" t="s">
        <v>24</v>
      </c>
      <c r="X3937" s="1">
        <v>2728</v>
      </c>
      <c r="Y3937" s="1">
        <v>2737</v>
      </c>
      <c r="Z3937" s="1">
        <v>2808</v>
      </c>
      <c r="AA3937" s="1" t="s">
        <v>24</v>
      </c>
      <c r="AB3937" s="1" t="s">
        <v>24</v>
      </c>
      <c r="AC3937" s="1" t="s">
        <v>24</v>
      </c>
      <c r="AD3937" s="1" t="s">
        <v>24</v>
      </c>
      <c r="AE3937" s="1" t="s">
        <v>24</v>
      </c>
      <c r="AF3937" s="22"/>
    </row>
    <row r="3938" spans="1:32" x14ac:dyDescent="0.2">
      <c r="A3938" s="1">
        <v>32687</v>
      </c>
      <c r="B3938" s="1" t="s">
        <v>12103</v>
      </c>
      <c r="C3938" s="5" t="s">
        <v>0</v>
      </c>
      <c r="D3938" s="1" t="s">
        <v>12104</v>
      </c>
      <c r="F3938" s="1" t="s">
        <v>85</v>
      </c>
      <c r="G3938" s="1" t="s">
        <v>3668</v>
      </c>
      <c r="H3938" s="1" t="s">
        <v>86</v>
      </c>
      <c r="I3938" s="1" t="s">
        <v>16</v>
      </c>
      <c r="J3938" s="1">
        <v>1</v>
      </c>
      <c r="K3938" s="1">
        <v>6</v>
      </c>
      <c r="L3938" s="1" t="s">
        <v>31</v>
      </c>
      <c r="M3938" s="1" t="s">
        <v>87</v>
      </c>
      <c r="N3938" s="1" t="s">
        <v>87</v>
      </c>
      <c r="O3938" s="1">
        <v>0</v>
      </c>
      <c r="P3938" s="1">
        <v>6</v>
      </c>
      <c r="R3938" s="1" t="s">
        <v>19</v>
      </c>
      <c r="S3938" s="1" t="s">
        <v>20</v>
      </c>
      <c r="T3938" s="1" t="s">
        <v>21</v>
      </c>
      <c r="U3938" s="1" t="s">
        <v>22</v>
      </c>
      <c r="V3938" s="1" t="s">
        <v>23</v>
      </c>
      <c r="W3938" s="1" t="s">
        <v>24</v>
      </c>
      <c r="X3938" s="1">
        <v>2712</v>
      </c>
      <c r="Y3938" s="1">
        <v>2916</v>
      </c>
      <c r="Z3938" s="1">
        <v>2705</v>
      </c>
      <c r="AA3938" s="1">
        <v>2724</v>
      </c>
      <c r="AB3938" s="1" t="s">
        <v>24</v>
      </c>
      <c r="AC3938" s="1" t="s">
        <v>24</v>
      </c>
      <c r="AD3938" s="1" t="s">
        <v>24</v>
      </c>
      <c r="AE3938" s="1" t="s">
        <v>24</v>
      </c>
      <c r="AF3938" s="22" t="s">
        <v>17679</v>
      </c>
    </row>
    <row r="3939" spans="1:32" x14ac:dyDescent="0.2">
      <c r="A3939" s="1">
        <v>32722</v>
      </c>
      <c r="B3939" s="1" t="s">
        <v>12105</v>
      </c>
      <c r="C3939" s="5" t="s">
        <v>0</v>
      </c>
      <c r="D3939" s="1" t="s">
        <v>12106</v>
      </c>
      <c r="F3939" s="1" t="s">
        <v>12107</v>
      </c>
      <c r="G3939" s="1" t="s">
        <v>12108</v>
      </c>
      <c r="H3939" s="1" t="s">
        <v>233</v>
      </c>
      <c r="I3939" s="1" t="s">
        <v>16</v>
      </c>
      <c r="J3939" s="1">
        <v>1</v>
      </c>
      <c r="K3939" s="1">
        <v>10</v>
      </c>
      <c r="L3939" s="1" t="s">
        <v>42</v>
      </c>
      <c r="M3939" s="1" t="s">
        <v>12109</v>
      </c>
      <c r="N3939" s="1" t="s">
        <v>18</v>
      </c>
      <c r="O3939" s="1">
        <v>2</v>
      </c>
      <c r="P3939" s="1">
        <v>6</v>
      </c>
      <c r="R3939" s="1" t="s">
        <v>19</v>
      </c>
      <c r="S3939" s="1" t="s">
        <v>20</v>
      </c>
      <c r="T3939" s="1" t="s">
        <v>21</v>
      </c>
      <c r="U3939" s="1" t="s">
        <v>22</v>
      </c>
      <c r="V3939" s="1" t="s">
        <v>24</v>
      </c>
      <c r="W3939" s="1" t="s">
        <v>24</v>
      </c>
      <c r="X3939" s="1">
        <v>3003</v>
      </c>
      <c r="Y3939" s="1">
        <v>3002</v>
      </c>
      <c r="Z3939" s="1" t="s">
        <v>24</v>
      </c>
      <c r="AA3939" s="1" t="s">
        <v>24</v>
      </c>
      <c r="AB3939" s="1" t="s">
        <v>24</v>
      </c>
      <c r="AC3939" s="1" t="s">
        <v>24</v>
      </c>
      <c r="AD3939" s="1" t="s">
        <v>24</v>
      </c>
      <c r="AE3939" s="1" t="s">
        <v>24</v>
      </c>
      <c r="AF3939" s="22"/>
    </row>
    <row r="3940" spans="1:32" x14ac:dyDescent="0.2">
      <c r="A3940" s="1">
        <v>32734</v>
      </c>
      <c r="B3940" s="1" t="s">
        <v>12110</v>
      </c>
      <c r="C3940" s="5" t="s">
        <v>0</v>
      </c>
      <c r="D3940" s="1" t="s">
        <v>12111</v>
      </c>
      <c r="E3940" s="1" t="s">
        <v>12112</v>
      </c>
      <c r="F3940" s="1" t="s">
        <v>155</v>
      </c>
      <c r="G3940" s="1" t="s">
        <v>61</v>
      </c>
      <c r="H3940" s="1" t="s">
        <v>37</v>
      </c>
      <c r="I3940" s="1" t="s">
        <v>16</v>
      </c>
      <c r="J3940" s="1">
        <v>1</v>
      </c>
      <c r="K3940" s="1">
        <v>4</v>
      </c>
      <c r="L3940" s="1" t="s">
        <v>31</v>
      </c>
      <c r="M3940" s="1" t="s">
        <v>18</v>
      </c>
      <c r="N3940" s="1" t="s">
        <v>18</v>
      </c>
      <c r="O3940" s="1">
        <v>3</v>
      </c>
      <c r="P3940" s="1">
        <v>7</v>
      </c>
      <c r="Q3940" s="7" t="s">
        <v>17633</v>
      </c>
      <c r="R3940" s="1" t="s">
        <v>19</v>
      </c>
      <c r="S3940" s="1" t="s">
        <v>20</v>
      </c>
      <c r="T3940" s="1" t="s">
        <v>21</v>
      </c>
      <c r="U3940" s="1" t="s">
        <v>22</v>
      </c>
      <c r="V3940" s="1" t="s">
        <v>24</v>
      </c>
      <c r="W3940" s="1" t="s">
        <v>24</v>
      </c>
      <c r="X3940" s="1">
        <v>2705</v>
      </c>
      <c r="Y3940" s="1">
        <v>2702</v>
      </c>
      <c r="Z3940" s="1">
        <v>2737</v>
      </c>
      <c r="AA3940" s="1" t="s">
        <v>24</v>
      </c>
      <c r="AB3940" s="1" t="s">
        <v>24</v>
      </c>
      <c r="AC3940" s="1" t="s">
        <v>24</v>
      </c>
      <c r="AD3940" s="1" t="s">
        <v>24</v>
      </c>
      <c r="AE3940" s="1" t="s">
        <v>24</v>
      </c>
      <c r="AF3940" s="22"/>
    </row>
    <row r="3941" spans="1:32" x14ac:dyDescent="0.2">
      <c r="A3941" s="1">
        <v>32737</v>
      </c>
      <c r="B3941" s="1" t="s">
        <v>12113</v>
      </c>
      <c r="C3941" s="5" t="s">
        <v>0</v>
      </c>
      <c r="D3941" s="1" t="s">
        <v>12114</v>
      </c>
      <c r="E3941" s="1" t="s">
        <v>12115</v>
      </c>
      <c r="F3941" s="1" t="s">
        <v>12116</v>
      </c>
      <c r="G3941" s="1" t="s">
        <v>130</v>
      </c>
      <c r="H3941" s="1" t="s">
        <v>92</v>
      </c>
      <c r="I3941" s="1" t="s">
        <v>16</v>
      </c>
      <c r="J3941" s="1">
        <v>1</v>
      </c>
      <c r="K3941" s="1">
        <v>4</v>
      </c>
      <c r="L3941" s="1" t="s">
        <v>31</v>
      </c>
      <c r="M3941" s="1" t="s">
        <v>18</v>
      </c>
      <c r="N3941" s="1" t="s">
        <v>18</v>
      </c>
      <c r="O3941" s="1">
        <v>3</v>
      </c>
      <c r="P3941" s="1">
        <v>7</v>
      </c>
      <c r="Q3941" s="7" t="s">
        <v>17633</v>
      </c>
      <c r="R3941" s="1" t="s">
        <v>19</v>
      </c>
      <c r="S3941" s="1" t="s">
        <v>20</v>
      </c>
      <c r="T3941" s="1" t="s">
        <v>21</v>
      </c>
      <c r="U3941" s="1" t="s">
        <v>22</v>
      </c>
      <c r="V3941" s="1" t="s">
        <v>23</v>
      </c>
      <c r="W3941" s="1" t="s">
        <v>24</v>
      </c>
      <c r="X3941" s="1">
        <v>2741</v>
      </c>
      <c r="Y3941" s="1">
        <v>2724</v>
      </c>
      <c r="Z3941" s="1" t="s">
        <v>24</v>
      </c>
      <c r="AA3941" s="1" t="s">
        <v>24</v>
      </c>
      <c r="AB3941" s="1" t="s">
        <v>24</v>
      </c>
      <c r="AC3941" s="1" t="s">
        <v>24</v>
      </c>
      <c r="AD3941" s="1" t="s">
        <v>24</v>
      </c>
      <c r="AE3941" s="1" t="s">
        <v>24</v>
      </c>
      <c r="AF3941" s="22"/>
    </row>
    <row r="3942" spans="1:32" x14ac:dyDescent="0.2">
      <c r="A3942" s="1">
        <v>32739</v>
      </c>
      <c r="B3942" s="1" t="s">
        <v>12117</v>
      </c>
      <c r="C3942" s="5" t="s">
        <v>0</v>
      </c>
      <c r="D3942" s="1" t="s">
        <v>12118</v>
      </c>
      <c r="E3942" s="1" t="s">
        <v>12119</v>
      </c>
      <c r="F3942" s="1" t="s">
        <v>155</v>
      </c>
      <c r="G3942" s="1" t="s">
        <v>61</v>
      </c>
      <c r="H3942" s="1" t="s">
        <v>37</v>
      </c>
      <c r="I3942" s="1" t="s">
        <v>16</v>
      </c>
      <c r="J3942" s="1">
        <v>1</v>
      </c>
      <c r="K3942" s="1">
        <v>4</v>
      </c>
      <c r="L3942" s="1" t="s">
        <v>31</v>
      </c>
      <c r="M3942" s="1" t="s">
        <v>18</v>
      </c>
      <c r="N3942" s="1" t="s">
        <v>18</v>
      </c>
      <c r="O3942" s="1">
        <v>3</v>
      </c>
      <c r="P3942" s="1">
        <v>7</v>
      </c>
      <c r="Q3942" s="7" t="s">
        <v>17633</v>
      </c>
      <c r="R3942" s="1" t="s">
        <v>19</v>
      </c>
      <c r="S3942" s="1" t="s">
        <v>63</v>
      </c>
      <c r="T3942" s="1" t="s">
        <v>21</v>
      </c>
      <c r="U3942" s="1" t="s">
        <v>22</v>
      </c>
      <c r="V3942" s="1" t="s">
        <v>24</v>
      </c>
      <c r="W3942" s="1" t="s">
        <v>24</v>
      </c>
      <c r="X3942" s="1">
        <v>2502</v>
      </c>
      <c r="Y3942" s="1">
        <v>2204</v>
      </c>
      <c r="Z3942" s="1">
        <v>2211</v>
      </c>
      <c r="AA3942" s="1" t="s">
        <v>24</v>
      </c>
      <c r="AB3942" s="1" t="s">
        <v>24</v>
      </c>
      <c r="AC3942" s="1" t="s">
        <v>24</v>
      </c>
      <c r="AD3942" s="1" t="s">
        <v>24</v>
      </c>
      <c r="AE3942" s="1" t="s">
        <v>24</v>
      </c>
      <c r="AF3942" s="22"/>
    </row>
    <row r="3943" spans="1:32" x14ac:dyDescent="0.2">
      <c r="A3943" s="1">
        <v>32742</v>
      </c>
      <c r="B3943" s="1" t="s">
        <v>12120</v>
      </c>
      <c r="C3943" s="5" t="s">
        <v>0</v>
      </c>
      <c r="D3943" s="1" t="s">
        <v>12121</v>
      </c>
      <c r="E3943" s="1" t="s">
        <v>12122</v>
      </c>
      <c r="F3943" s="1" t="s">
        <v>12123</v>
      </c>
      <c r="G3943" s="1" t="s">
        <v>61</v>
      </c>
      <c r="H3943" s="1" t="s">
        <v>37</v>
      </c>
      <c r="I3943" s="1" t="s">
        <v>16</v>
      </c>
      <c r="J3943" s="1">
        <v>1</v>
      </c>
      <c r="K3943" s="1">
        <v>4</v>
      </c>
      <c r="L3943" s="1" t="s">
        <v>31</v>
      </c>
      <c r="M3943" s="1" t="s">
        <v>18</v>
      </c>
      <c r="N3943" s="1" t="s">
        <v>18</v>
      </c>
      <c r="O3943" s="1">
        <v>2</v>
      </c>
      <c r="P3943" s="1">
        <v>6</v>
      </c>
      <c r="R3943" s="1" t="s">
        <v>19</v>
      </c>
      <c r="S3943" s="1" t="s">
        <v>20</v>
      </c>
      <c r="T3943" s="1" t="s">
        <v>21</v>
      </c>
      <c r="U3943" s="1" t="s">
        <v>22</v>
      </c>
      <c r="V3943" s="1" t="s">
        <v>24</v>
      </c>
      <c r="W3943" s="1" t="s">
        <v>24</v>
      </c>
      <c r="X3943" s="1">
        <v>2734</v>
      </c>
      <c r="Y3943" s="1" t="s">
        <v>24</v>
      </c>
      <c r="Z3943" s="1" t="s">
        <v>24</v>
      </c>
      <c r="AA3943" s="1" t="s">
        <v>24</v>
      </c>
      <c r="AB3943" s="1" t="s">
        <v>24</v>
      </c>
      <c r="AC3943" s="1" t="s">
        <v>24</v>
      </c>
      <c r="AD3943" s="1" t="s">
        <v>24</v>
      </c>
      <c r="AE3943" s="1" t="s">
        <v>24</v>
      </c>
      <c r="AF3943" s="22"/>
    </row>
    <row r="3944" spans="1:32" x14ac:dyDescent="0.2">
      <c r="A3944" s="1">
        <v>32756</v>
      </c>
      <c r="B3944" s="1" t="s">
        <v>12124</v>
      </c>
      <c r="C3944" s="5" t="s">
        <v>0</v>
      </c>
      <c r="D3944" s="1" t="s">
        <v>12125</v>
      </c>
      <c r="E3944" s="1" t="s">
        <v>12126</v>
      </c>
      <c r="F3944" s="1" t="s">
        <v>167</v>
      </c>
      <c r="G3944" s="1" t="s">
        <v>130</v>
      </c>
      <c r="H3944" s="1" t="s">
        <v>168</v>
      </c>
      <c r="I3944" s="1" t="s">
        <v>16</v>
      </c>
      <c r="J3944" s="1">
        <v>1</v>
      </c>
      <c r="K3944" s="1">
        <v>4</v>
      </c>
      <c r="L3944" s="1" t="s">
        <v>31</v>
      </c>
      <c r="M3944" s="1" t="s">
        <v>18</v>
      </c>
      <c r="N3944" s="1" t="s">
        <v>18</v>
      </c>
      <c r="O3944" s="1">
        <v>3</v>
      </c>
      <c r="P3944" s="1">
        <v>7</v>
      </c>
      <c r="Q3944" s="7" t="s">
        <v>17633</v>
      </c>
      <c r="R3944" s="1" t="s">
        <v>19</v>
      </c>
      <c r="S3944" s="1" t="s">
        <v>20</v>
      </c>
      <c r="T3944" s="1" t="s">
        <v>21</v>
      </c>
      <c r="U3944" s="1" t="s">
        <v>22</v>
      </c>
      <c r="V3944" s="1" t="s">
        <v>24</v>
      </c>
      <c r="W3944" s="1" t="s">
        <v>24</v>
      </c>
      <c r="X3944" s="1">
        <v>2403</v>
      </c>
      <c r="Y3944" s="1">
        <v>2723</v>
      </c>
      <c r="Z3944" s="1" t="s">
        <v>24</v>
      </c>
      <c r="AA3944" s="1" t="s">
        <v>24</v>
      </c>
      <c r="AB3944" s="1" t="s">
        <v>24</v>
      </c>
      <c r="AC3944" s="1" t="s">
        <v>24</v>
      </c>
      <c r="AD3944" s="1" t="s">
        <v>24</v>
      </c>
      <c r="AE3944" s="1" t="s">
        <v>24</v>
      </c>
      <c r="AF3944" s="22"/>
    </row>
    <row r="3945" spans="1:32" x14ac:dyDescent="0.2">
      <c r="A3945" s="1">
        <v>32786</v>
      </c>
      <c r="B3945" s="1" t="s">
        <v>12127</v>
      </c>
      <c r="C3945" s="5" t="s">
        <v>0</v>
      </c>
      <c r="E3945" s="1" t="s">
        <v>12128</v>
      </c>
      <c r="F3945" s="1" t="s">
        <v>155</v>
      </c>
      <c r="G3945" s="1" t="s">
        <v>61</v>
      </c>
      <c r="H3945" s="1" t="s">
        <v>116</v>
      </c>
      <c r="I3945" s="1" t="s">
        <v>16</v>
      </c>
      <c r="J3945" s="1">
        <v>1</v>
      </c>
      <c r="K3945" s="1">
        <v>4</v>
      </c>
      <c r="L3945" s="1" t="s">
        <v>31</v>
      </c>
      <c r="M3945" s="1" t="s">
        <v>117</v>
      </c>
      <c r="N3945" s="1" t="s">
        <v>118</v>
      </c>
      <c r="O3945" s="1">
        <v>3</v>
      </c>
      <c r="P3945" s="1">
        <v>6</v>
      </c>
      <c r="R3945" s="1" t="s">
        <v>19</v>
      </c>
      <c r="S3945" s="1" t="s">
        <v>20</v>
      </c>
      <c r="T3945" s="1" t="s">
        <v>21</v>
      </c>
      <c r="U3945" s="1" t="s">
        <v>22</v>
      </c>
      <c r="V3945" s="1" t="s">
        <v>23</v>
      </c>
      <c r="W3945" s="1" t="s">
        <v>24</v>
      </c>
      <c r="X3945" s="1">
        <v>2732</v>
      </c>
      <c r="Y3945" s="1">
        <v>3612</v>
      </c>
      <c r="Z3945" s="1" t="s">
        <v>24</v>
      </c>
      <c r="AA3945" s="1" t="s">
        <v>24</v>
      </c>
      <c r="AB3945" s="1" t="s">
        <v>24</v>
      </c>
      <c r="AC3945" s="1" t="s">
        <v>24</v>
      </c>
      <c r="AD3945" s="1" t="s">
        <v>24</v>
      </c>
      <c r="AE3945" s="1" t="s">
        <v>24</v>
      </c>
      <c r="AF3945" s="22" t="s">
        <v>17670</v>
      </c>
    </row>
    <row r="3946" spans="1:32" x14ac:dyDescent="0.2">
      <c r="A3946" s="1">
        <v>32789</v>
      </c>
      <c r="B3946" s="1" t="s">
        <v>12129</v>
      </c>
      <c r="C3946" s="5" t="s">
        <v>0</v>
      </c>
      <c r="D3946" s="1" t="s">
        <v>12130</v>
      </c>
      <c r="E3946" s="1" t="s">
        <v>12131</v>
      </c>
      <c r="F3946" s="1" t="s">
        <v>175</v>
      </c>
      <c r="G3946" s="1" t="s">
        <v>61</v>
      </c>
      <c r="H3946" s="1" t="s">
        <v>116</v>
      </c>
      <c r="I3946" s="1" t="s">
        <v>16</v>
      </c>
      <c r="J3946" s="1">
        <v>1</v>
      </c>
      <c r="K3946" s="1">
        <v>4</v>
      </c>
      <c r="L3946" s="1" t="s">
        <v>31</v>
      </c>
      <c r="M3946" s="1" t="s">
        <v>117</v>
      </c>
      <c r="N3946" s="1" t="s">
        <v>117</v>
      </c>
      <c r="O3946" s="1">
        <v>3</v>
      </c>
      <c r="P3946" s="1">
        <v>6</v>
      </c>
      <c r="R3946" s="1" t="s">
        <v>19</v>
      </c>
      <c r="S3946" s="1" t="s">
        <v>20</v>
      </c>
      <c r="T3946" s="1" t="s">
        <v>21</v>
      </c>
      <c r="U3946" s="1" t="s">
        <v>22</v>
      </c>
      <c r="V3946" s="1" t="s">
        <v>24</v>
      </c>
      <c r="W3946" s="1" t="s">
        <v>24</v>
      </c>
      <c r="X3946" s="1">
        <v>2747</v>
      </c>
      <c r="Y3946" s="1">
        <v>2748</v>
      </c>
      <c r="Z3946" s="1" t="s">
        <v>24</v>
      </c>
      <c r="AA3946" s="1" t="s">
        <v>24</v>
      </c>
      <c r="AB3946" s="1" t="s">
        <v>24</v>
      </c>
      <c r="AC3946" s="1" t="s">
        <v>24</v>
      </c>
      <c r="AD3946" s="1" t="s">
        <v>24</v>
      </c>
      <c r="AE3946" s="1" t="s">
        <v>24</v>
      </c>
      <c r="AF3946" s="22"/>
    </row>
    <row r="3947" spans="1:32" x14ac:dyDescent="0.2">
      <c r="A3947" s="1">
        <v>32792</v>
      </c>
      <c r="B3947" s="1" t="s">
        <v>12132</v>
      </c>
      <c r="C3947" s="5" t="s">
        <v>0</v>
      </c>
      <c r="D3947" s="1" t="s">
        <v>12133</v>
      </c>
      <c r="E3947" s="1" t="s">
        <v>12134</v>
      </c>
      <c r="F3947" s="1" t="s">
        <v>1683</v>
      </c>
      <c r="G3947" s="1" t="s">
        <v>61</v>
      </c>
      <c r="H3947" s="1" t="s">
        <v>116</v>
      </c>
      <c r="I3947" s="1" t="s">
        <v>16</v>
      </c>
      <c r="J3947" s="1">
        <v>1</v>
      </c>
      <c r="K3947" s="1">
        <v>10</v>
      </c>
      <c r="L3947" s="1" t="s">
        <v>31</v>
      </c>
      <c r="M3947" s="1" t="s">
        <v>117</v>
      </c>
      <c r="N3947" s="1" t="s">
        <v>117</v>
      </c>
      <c r="O3947" s="1">
        <v>0</v>
      </c>
      <c r="P3947" s="1">
        <v>6</v>
      </c>
      <c r="R3947" s="1" t="s">
        <v>19</v>
      </c>
      <c r="S3947" s="1" t="s">
        <v>20</v>
      </c>
      <c r="T3947" s="1" t="s">
        <v>21</v>
      </c>
      <c r="U3947" s="1" t="s">
        <v>22</v>
      </c>
      <c r="V3947" s="1" t="s">
        <v>24</v>
      </c>
      <c r="W3947" s="1" t="s">
        <v>24</v>
      </c>
      <c r="X3947" s="1">
        <v>2708</v>
      </c>
      <c r="Y3947" s="1" t="s">
        <v>24</v>
      </c>
      <c r="Z3947" s="1" t="s">
        <v>24</v>
      </c>
      <c r="AA3947" s="1" t="s">
        <v>24</v>
      </c>
      <c r="AB3947" s="1" t="s">
        <v>24</v>
      </c>
      <c r="AC3947" s="1" t="s">
        <v>24</v>
      </c>
      <c r="AD3947" s="1" t="s">
        <v>24</v>
      </c>
      <c r="AE3947" s="1" t="s">
        <v>24</v>
      </c>
      <c r="AF3947" s="22"/>
    </row>
    <row r="3948" spans="1:32" x14ac:dyDescent="0.2">
      <c r="A3948" s="1">
        <v>32793</v>
      </c>
      <c r="B3948" s="1" t="s">
        <v>12135</v>
      </c>
      <c r="C3948" s="5" t="s">
        <v>0</v>
      </c>
      <c r="D3948" s="1" t="s">
        <v>12136</v>
      </c>
      <c r="F3948" s="1" t="s">
        <v>12137</v>
      </c>
      <c r="G3948" s="1" t="s">
        <v>12137</v>
      </c>
      <c r="H3948" s="1" t="s">
        <v>116</v>
      </c>
      <c r="I3948" s="1" t="s">
        <v>16</v>
      </c>
      <c r="J3948" s="1">
        <v>1</v>
      </c>
      <c r="K3948" s="1">
        <v>2</v>
      </c>
      <c r="L3948" s="1" t="s">
        <v>42</v>
      </c>
      <c r="M3948" s="1" t="s">
        <v>117</v>
      </c>
      <c r="N3948" s="1" t="s">
        <v>118</v>
      </c>
      <c r="O3948" s="1">
        <v>3</v>
      </c>
      <c r="P3948" s="1">
        <v>6</v>
      </c>
      <c r="R3948" s="1" t="s">
        <v>19</v>
      </c>
      <c r="S3948" s="1" t="s">
        <v>20</v>
      </c>
      <c r="T3948" s="1" t="s">
        <v>21</v>
      </c>
      <c r="U3948" s="1" t="s">
        <v>22</v>
      </c>
      <c r="V3948" s="1" t="s">
        <v>23</v>
      </c>
      <c r="W3948" s="1" t="s">
        <v>24</v>
      </c>
      <c r="X3948" s="1">
        <v>2921</v>
      </c>
      <c r="Y3948" s="1">
        <v>2738</v>
      </c>
      <c r="Z3948" s="1">
        <v>2742</v>
      </c>
      <c r="AA3948" s="1" t="s">
        <v>24</v>
      </c>
      <c r="AB3948" s="1" t="s">
        <v>24</v>
      </c>
      <c r="AC3948" s="1" t="s">
        <v>24</v>
      </c>
      <c r="AD3948" s="1" t="s">
        <v>24</v>
      </c>
      <c r="AE3948" s="1" t="s">
        <v>24</v>
      </c>
      <c r="AF3948" s="22"/>
    </row>
    <row r="3949" spans="1:32" x14ac:dyDescent="0.2">
      <c r="A3949" s="1">
        <v>32795</v>
      </c>
      <c r="B3949" s="1" t="s">
        <v>12138</v>
      </c>
      <c r="C3949" s="5" t="s">
        <v>0</v>
      </c>
      <c r="D3949" s="1" t="s">
        <v>12139</v>
      </c>
      <c r="F3949" s="1" t="s">
        <v>1683</v>
      </c>
      <c r="G3949" s="1" t="s">
        <v>12140</v>
      </c>
      <c r="H3949" s="1" t="s">
        <v>116</v>
      </c>
      <c r="I3949" s="1" t="s">
        <v>16</v>
      </c>
      <c r="J3949" s="1">
        <v>0</v>
      </c>
      <c r="K3949" s="1">
        <v>0</v>
      </c>
      <c r="L3949" s="1" t="s">
        <v>31</v>
      </c>
      <c r="M3949" s="1" t="s">
        <v>117</v>
      </c>
      <c r="N3949" s="1" t="s">
        <v>118</v>
      </c>
      <c r="O3949" s="1">
        <v>1</v>
      </c>
      <c r="P3949" s="1">
        <v>4</v>
      </c>
      <c r="R3949" s="1" t="s">
        <v>19</v>
      </c>
      <c r="S3949" s="1" t="s">
        <v>20</v>
      </c>
      <c r="T3949" s="1" t="s">
        <v>21</v>
      </c>
      <c r="U3949" s="1" t="s">
        <v>22</v>
      </c>
      <c r="V3949" s="1" t="s">
        <v>24</v>
      </c>
      <c r="W3949" s="1" t="s">
        <v>24</v>
      </c>
      <c r="X3949" s="1">
        <v>2726</v>
      </c>
      <c r="Y3949" s="1" t="s">
        <v>24</v>
      </c>
      <c r="Z3949" s="1" t="s">
        <v>24</v>
      </c>
      <c r="AA3949" s="1" t="s">
        <v>24</v>
      </c>
      <c r="AB3949" s="1" t="s">
        <v>24</v>
      </c>
      <c r="AC3949" s="1" t="s">
        <v>24</v>
      </c>
      <c r="AD3949" s="1" t="s">
        <v>24</v>
      </c>
      <c r="AE3949" s="1" t="s">
        <v>24</v>
      </c>
      <c r="AF3949" s="22"/>
    </row>
    <row r="3950" spans="1:32" x14ac:dyDescent="0.2">
      <c r="A3950" s="1">
        <v>32796</v>
      </c>
      <c r="B3950" s="1" t="s">
        <v>12141</v>
      </c>
      <c r="C3950" s="5" t="s">
        <v>0</v>
      </c>
      <c r="D3950" s="1" t="s">
        <v>12142</v>
      </c>
      <c r="F3950" s="1" t="s">
        <v>1683</v>
      </c>
      <c r="G3950" s="1" t="s">
        <v>12140</v>
      </c>
      <c r="H3950" s="1" t="s">
        <v>116</v>
      </c>
      <c r="I3950" s="1" t="s">
        <v>16</v>
      </c>
      <c r="J3950" s="1">
        <v>0</v>
      </c>
      <c r="K3950" s="1">
        <v>0</v>
      </c>
      <c r="L3950" s="1" t="s">
        <v>31</v>
      </c>
      <c r="M3950" s="1" t="s">
        <v>117</v>
      </c>
      <c r="N3950" s="1" t="s">
        <v>226</v>
      </c>
      <c r="O3950" s="1">
        <v>2</v>
      </c>
      <c r="P3950" s="1">
        <v>5</v>
      </c>
      <c r="R3950" s="1" t="s">
        <v>19</v>
      </c>
      <c r="S3950" s="1" t="s">
        <v>20</v>
      </c>
      <c r="T3950" s="1" t="s">
        <v>21</v>
      </c>
      <c r="U3950" s="1" t="s">
        <v>22</v>
      </c>
      <c r="V3950" s="1" t="s">
        <v>24</v>
      </c>
      <c r="W3950" s="1" t="s">
        <v>24</v>
      </c>
      <c r="X3950" s="1">
        <v>2700</v>
      </c>
      <c r="Y3950" s="1" t="s">
        <v>24</v>
      </c>
      <c r="Z3950" s="1" t="s">
        <v>24</v>
      </c>
      <c r="AA3950" s="1" t="s">
        <v>24</v>
      </c>
      <c r="AB3950" s="1" t="s">
        <v>24</v>
      </c>
      <c r="AC3950" s="1" t="s">
        <v>24</v>
      </c>
      <c r="AD3950" s="1" t="s">
        <v>24</v>
      </c>
      <c r="AE3950" s="1" t="s">
        <v>24</v>
      </c>
      <c r="AF3950" s="22"/>
    </row>
    <row r="3951" spans="1:32" x14ac:dyDescent="0.2">
      <c r="A3951" s="1">
        <v>32797</v>
      </c>
      <c r="B3951" s="1" t="s">
        <v>12143</v>
      </c>
      <c r="C3951" s="5" t="s">
        <v>0</v>
      </c>
      <c r="D3951" s="1" t="s">
        <v>12144</v>
      </c>
      <c r="F3951" s="1" t="s">
        <v>1683</v>
      </c>
      <c r="G3951" s="1" t="s">
        <v>12140</v>
      </c>
      <c r="H3951" s="1" t="s">
        <v>116</v>
      </c>
      <c r="I3951" s="1" t="s">
        <v>16</v>
      </c>
      <c r="J3951" s="1">
        <v>0</v>
      </c>
      <c r="K3951" s="1">
        <v>0</v>
      </c>
      <c r="L3951" s="1" t="s">
        <v>31</v>
      </c>
      <c r="M3951" s="1" t="s">
        <v>117</v>
      </c>
      <c r="N3951" s="1" t="s">
        <v>226</v>
      </c>
      <c r="O3951" s="1">
        <v>3</v>
      </c>
      <c r="P3951" s="1">
        <v>5</v>
      </c>
      <c r="R3951" s="1" t="s">
        <v>19</v>
      </c>
      <c r="S3951" s="1" t="s">
        <v>20</v>
      </c>
      <c r="T3951" s="1" t="s">
        <v>21</v>
      </c>
      <c r="U3951" s="1" t="s">
        <v>22</v>
      </c>
      <c r="V3951" s="1" t="s">
        <v>24</v>
      </c>
      <c r="W3951" s="1" t="s">
        <v>24</v>
      </c>
      <c r="X3951" s="1">
        <v>2745</v>
      </c>
      <c r="Y3951" s="1" t="s">
        <v>24</v>
      </c>
      <c r="Z3951" s="1" t="s">
        <v>24</v>
      </c>
      <c r="AA3951" s="1" t="s">
        <v>24</v>
      </c>
      <c r="AB3951" s="1" t="s">
        <v>24</v>
      </c>
      <c r="AC3951" s="1" t="s">
        <v>24</v>
      </c>
      <c r="AD3951" s="1" t="s">
        <v>24</v>
      </c>
      <c r="AE3951" s="1" t="s">
        <v>24</v>
      </c>
      <c r="AF3951" s="22"/>
    </row>
    <row r="3952" spans="1:32" x14ac:dyDescent="0.2">
      <c r="A3952" s="1">
        <v>32809</v>
      </c>
      <c r="B3952" s="1" t="s">
        <v>12145</v>
      </c>
      <c r="C3952" s="5" t="s">
        <v>0</v>
      </c>
      <c r="D3952" s="1" t="s">
        <v>12146</v>
      </c>
      <c r="E3952" s="1" t="s">
        <v>12147</v>
      </c>
      <c r="F3952" s="1" t="s">
        <v>1683</v>
      </c>
      <c r="G3952" s="1" t="s">
        <v>61</v>
      </c>
      <c r="H3952" s="1" t="s">
        <v>116</v>
      </c>
      <c r="I3952" s="1" t="s">
        <v>16</v>
      </c>
      <c r="J3952" s="1">
        <v>1</v>
      </c>
      <c r="K3952" s="1">
        <v>10</v>
      </c>
      <c r="L3952" s="1" t="s">
        <v>31</v>
      </c>
      <c r="M3952" s="1" t="s">
        <v>117</v>
      </c>
      <c r="N3952" s="1" t="s">
        <v>117</v>
      </c>
      <c r="O3952" s="1">
        <v>0</v>
      </c>
      <c r="P3952" s="1">
        <v>6</v>
      </c>
      <c r="R3952" s="1" t="s">
        <v>19</v>
      </c>
      <c r="S3952" s="1" t="s">
        <v>20</v>
      </c>
      <c r="T3952" s="1" t="s">
        <v>21</v>
      </c>
      <c r="U3952" s="1" t="s">
        <v>22</v>
      </c>
      <c r="V3952" s="1" t="s">
        <v>23</v>
      </c>
      <c r="W3952" s="1" t="s">
        <v>24</v>
      </c>
      <c r="X3952" s="1">
        <v>2715</v>
      </c>
      <c r="Y3952" s="1">
        <v>2905</v>
      </c>
      <c r="Z3952" s="1" t="s">
        <v>24</v>
      </c>
      <c r="AA3952" s="1" t="s">
        <v>24</v>
      </c>
      <c r="AB3952" s="1" t="s">
        <v>24</v>
      </c>
      <c r="AC3952" s="1" t="s">
        <v>24</v>
      </c>
      <c r="AD3952" s="1" t="s">
        <v>24</v>
      </c>
      <c r="AE3952" s="1" t="s">
        <v>24</v>
      </c>
      <c r="AF3952" s="22"/>
    </row>
    <row r="3953" spans="1:32" x14ac:dyDescent="0.2">
      <c r="A3953" s="1">
        <v>32834</v>
      </c>
      <c r="B3953" s="1" t="s">
        <v>12148</v>
      </c>
      <c r="C3953" s="5" t="s">
        <v>0</v>
      </c>
      <c r="E3953" s="1" t="s">
        <v>12149</v>
      </c>
      <c r="F3953" s="1" t="s">
        <v>12150</v>
      </c>
      <c r="G3953" s="1" t="s">
        <v>12150</v>
      </c>
      <c r="H3953" s="1" t="s">
        <v>12151</v>
      </c>
      <c r="I3953" s="1" t="s">
        <v>16</v>
      </c>
      <c r="J3953" s="1">
        <v>1</v>
      </c>
      <c r="K3953" s="1">
        <v>2</v>
      </c>
      <c r="L3953" s="1" t="s">
        <v>42</v>
      </c>
      <c r="M3953" s="1" t="s">
        <v>18</v>
      </c>
      <c r="N3953" s="1" t="s">
        <v>18</v>
      </c>
      <c r="O3953" s="1">
        <v>3</v>
      </c>
      <c r="P3953" s="1">
        <v>6</v>
      </c>
      <c r="R3953" s="1" t="s">
        <v>19</v>
      </c>
      <c r="S3953" s="1" t="s">
        <v>20</v>
      </c>
      <c r="T3953" s="1" t="s">
        <v>21</v>
      </c>
      <c r="V3953" s="1" t="s">
        <v>24</v>
      </c>
      <c r="W3953" s="1" t="s">
        <v>24</v>
      </c>
      <c r="X3953" s="1">
        <v>2700</v>
      </c>
      <c r="Y3953" s="1" t="s">
        <v>24</v>
      </c>
      <c r="Z3953" s="1" t="s">
        <v>24</v>
      </c>
      <c r="AA3953" s="1" t="s">
        <v>24</v>
      </c>
      <c r="AB3953" s="1" t="s">
        <v>24</v>
      </c>
      <c r="AC3953" s="1" t="s">
        <v>24</v>
      </c>
      <c r="AD3953" s="1" t="s">
        <v>24</v>
      </c>
      <c r="AE3953" s="1" t="s">
        <v>24</v>
      </c>
      <c r="AF3953" s="22"/>
    </row>
    <row r="3954" spans="1:32" x14ac:dyDescent="0.2">
      <c r="A3954" s="1">
        <v>32853</v>
      </c>
      <c r="B3954" s="1" t="s">
        <v>12152</v>
      </c>
      <c r="C3954" s="5" t="s">
        <v>0</v>
      </c>
      <c r="D3954" s="1" t="s">
        <v>12153</v>
      </c>
      <c r="E3954" s="1" t="s">
        <v>12154</v>
      </c>
      <c r="F3954" s="1" t="s">
        <v>12155</v>
      </c>
      <c r="G3954" s="1" t="s">
        <v>12155</v>
      </c>
      <c r="H3954" s="1" t="s">
        <v>11288</v>
      </c>
      <c r="I3954" s="1" t="s">
        <v>16</v>
      </c>
      <c r="J3954" s="1">
        <v>1</v>
      </c>
      <c r="K3954" s="1">
        <v>2</v>
      </c>
      <c r="L3954" s="1" t="s">
        <v>42</v>
      </c>
      <c r="M3954" s="1" t="s">
        <v>18</v>
      </c>
      <c r="N3954" s="1" t="s">
        <v>18</v>
      </c>
      <c r="O3954" s="1">
        <v>3</v>
      </c>
      <c r="P3954" s="1">
        <v>6</v>
      </c>
      <c r="R3954" s="1" t="s">
        <v>19</v>
      </c>
      <c r="S3954" s="1" t="s">
        <v>20</v>
      </c>
      <c r="T3954" s="1" t="s">
        <v>21</v>
      </c>
      <c r="U3954" s="1" t="s">
        <v>22</v>
      </c>
      <c r="V3954" s="1" t="s">
        <v>24</v>
      </c>
      <c r="W3954" s="1" t="s">
        <v>24</v>
      </c>
      <c r="X3954" s="1">
        <v>2700</v>
      </c>
      <c r="Y3954" s="1" t="s">
        <v>24</v>
      </c>
      <c r="Z3954" s="1" t="s">
        <v>24</v>
      </c>
      <c r="AA3954" s="1" t="s">
        <v>24</v>
      </c>
      <c r="AB3954" s="1" t="s">
        <v>24</v>
      </c>
      <c r="AC3954" s="1" t="s">
        <v>24</v>
      </c>
      <c r="AD3954" s="1" t="s">
        <v>24</v>
      </c>
      <c r="AE3954" s="1" t="s">
        <v>24</v>
      </c>
      <c r="AF3954" s="22"/>
    </row>
    <row r="3955" spans="1:32" x14ac:dyDescent="0.2">
      <c r="A3955" s="1">
        <v>32858</v>
      </c>
      <c r="B3955" s="1" t="s">
        <v>12156</v>
      </c>
      <c r="C3955" s="5" t="s">
        <v>0</v>
      </c>
      <c r="D3955" s="1" t="s">
        <v>12157</v>
      </c>
      <c r="E3955" s="1" t="s">
        <v>12158</v>
      </c>
      <c r="F3955" s="1" t="s">
        <v>12159</v>
      </c>
      <c r="G3955" s="1" t="s">
        <v>12159</v>
      </c>
      <c r="H3955" s="1" t="s">
        <v>428</v>
      </c>
      <c r="I3955" s="1" t="s">
        <v>16</v>
      </c>
      <c r="J3955" s="1">
        <v>1</v>
      </c>
      <c r="K3955" s="1">
        <v>4</v>
      </c>
      <c r="L3955" s="1" t="s">
        <v>42</v>
      </c>
      <c r="M3955" s="1" t="s">
        <v>18</v>
      </c>
      <c r="N3955" s="1" t="s">
        <v>18</v>
      </c>
      <c r="O3955" s="1">
        <v>1</v>
      </c>
      <c r="P3955" s="1">
        <v>1</v>
      </c>
      <c r="R3955" s="1" t="s">
        <v>19</v>
      </c>
      <c r="S3955" s="1" t="s">
        <v>20</v>
      </c>
      <c r="T3955" s="1" t="s">
        <v>21</v>
      </c>
      <c r="U3955" s="1" t="s">
        <v>22</v>
      </c>
      <c r="V3955" s="1" t="s">
        <v>24</v>
      </c>
      <c r="W3955" s="1" t="s">
        <v>24</v>
      </c>
      <c r="X3955" s="1">
        <v>3500</v>
      </c>
      <c r="Y3955" s="1" t="s">
        <v>24</v>
      </c>
      <c r="Z3955" s="1" t="s">
        <v>24</v>
      </c>
      <c r="AA3955" s="1" t="s">
        <v>24</v>
      </c>
      <c r="AB3955" s="1" t="s">
        <v>24</v>
      </c>
      <c r="AC3955" s="1" t="s">
        <v>24</v>
      </c>
      <c r="AD3955" s="1" t="s">
        <v>24</v>
      </c>
      <c r="AE3955" s="1" t="s">
        <v>24</v>
      </c>
      <c r="AF3955" s="22"/>
    </row>
    <row r="3956" spans="1:32" x14ac:dyDescent="0.2">
      <c r="A3956" s="1">
        <v>32880</v>
      </c>
      <c r="B3956" s="1" t="s">
        <v>12160</v>
      </c>
      <c r="C3956" s="5" t="s">
        <v>0</v>
      </c>
      <c r="E3956" s="1" t="s">
        <v>12161</v>
      </c>
      <c r="F3956" s="1" t="s">
        <v>12162</v>
      </c>
      <c r="G3956" s="1" t="s">
        <v>61</v>
      </c>
      <c r="H3956" s="1" t="s">
        <v>899</v>
      </c>
      <c r="I3956" s="1" t="s">
        <v>16</v>
      </c>
      <c r="J3956" s="1">
        <v>1</v>
      </c>
      <c r="K3956" s="1">
        <v>4</v>
      </c>
      <c r="L3956" s="1" t="s">
        <v>31</v>
      </c>
      <c r="M3956" s="1" t="s">
        <v>18</v>
      </c>
      <c r="N3956" s="1" t="s">
        <v>18</v>
      </c>
      <c r="O3956" s="1">
        <v>3</v>
      </c>
      <c r="P3956" s="1">
        <v>7</v>
      </c>
      <c r="Q3956" s="7" t="s">
        <v>17633</v>
      </c>
      <c r="R3956" s="1" t="s">
        <v>19</v>
      </c>
      <c r="S3956" s="1" t="s">
        <v>20</v>
      </c>
      <c r="T3956" s="1" t="s">
        <v>21</v>
      </c>
      <c r="U3956" s="1" t="s">
        <v>22</v>
      </c>
      <c r="V3956" s="1" t="s">
        <v>23</v>
      </c>
      <c r="W3956" s="1" t="s">
        <v>24</v>
      </c>
      <c r="X3956" s="1">
        <v>2732</v>
      </c>
      <c r="Y3956" s="1" t="s">
        <v>24</v>
      </c>
      <c r="Z3956" s="1" t="s">
        <v>24</v>
      </c>
      <c r="AA3956" s="1" t="s">
        <v>24</v>
      </c>
      <c r="AB3956" s="1" t="s">
        <v>24</v>
      </c>
      <c r="AC3956" s="1" t="s">
        <v>24</v>
      </c>
      <c r="AD3956" s="1" t="s">
        <v>24</v>
      </c>
      <c r="AE3956" s="1" t="s">
        <v>24</v>
      </c>
      <c r="AF3956" s="22"/>
    </row>
    <row r="3957" spans="1:32" x14ac:dyDescent="0.2">
      <c r="A3957" s="1">
        <v>32885</v>
      </c>
      <c r="B3957" s="1" t="s">
        <v>12163</v>
      </c>
      <c r="C3957" s="5" t="s">
        <v>0</v>
      </c>
      <c r="D3957" s="1" t="s">
        <v>12164</v>
      </c>
      <c r="F3957" s="1" t="s">
        <v>2299</v>
      </c>
      <c r="G3957" s="1" t="s">
        <v>2300</v>
      </c>
      <c r="H3957" s="1" t="s">
        <v>37</v>
      </c>
      <c r="I3957" s="1" t="s">
        <v>16</v>
      </c>
      <c r="J3957" s="1">
        <v>1</v>
      </c>
      <c r="K3957" s="1">
        <v>6</v>
      </c>
      <c r="L3957" s="1" t="s">
        <v>31</v>
      </c>
      <c r="M3957" s="1" t="s">
        <v>18</v>
      </c>
      <c r="N3957" s="1" t="s">
        <v>18</v>
      </c>
      <c r="O3957" s="1">
        <v>3</v>
      </c>
      <c r="P3957" s="1">
        <v>5</v>
      </c>
      <c r="R3957" s="1" t="s">
        <v>19</v>
      </c>
      <c r="S3957" s="1" t="s">
        <v>63</v>
      </c>
      <c r="T3957" s="1" t="s">
        <v>21</v>
      </c>
      <c r="U3957" s="1" t="s">
        <v>22</v>
      </c>
      <c r="V3957" s="1" t="s">
        <v>24</v>
      </c>
      <c r="W3957" s="1" t="s">
        <v>24</v>
      </c>
      <c r="X3957" s="1">
        <v>2740</v>
      </c>
      <c r="Y3957" s="1" t="s">
        <v>24</v>
      </c>
      <c r="Z3957" s="1" t="s">
        <v>24</v>
      </c>
      <c r="AA3957" s="1" t="s">
        <v>24</v>
      </c>
      <c r="AB3957" s="1" t="s">
        <v>24</v>
      </c>
      <c r="AC3957" s="1" t="s">
        <v>24</v>
      </c>
      <c r="AD3957" s="1" t="s">
        <v>24</v>
      </c>
      <c r="AE3957" s="1" t="s">
        <v>24</v>
      </c>
      <c r="AF3957" s="22" t="s">
        <v>17678</v>
      </c>
    </row>
    <row r="3958" spans="1:32" x14ac:dyDescent="0.2">
      <c r="A3958" s="1">
        <v>32901</v>
      </c>
      <c r="B3958" s="1" t="s">
        <v>12165</v>
      </c>
      <c r="C3958" s="5" t="s">
        <v>0</v>
      </c>
      <c r="D3958" s="1" t="s">
        <v>12166</v>
      </c>
      <c r="E3958" s="1" t="s">
        <v>12167</v>
      </c>
      <c r="F3958" s="1" t="s">
        <v>12168</v>
      </c>
      <c r="G3958" s="1" t="s">
        <v>12168</v>
      </c>
      <c r="H3958" s="1" t="s">
        <v>1957</v>
      </c>
      <c r="I3958" s="1" t="s">
        <v>16</v>
      </c>
      <c r="J3958" s="1">
        <v>1</v>
      </c>
      <c r="K3958" s="1">
        <v>4</v>
      </c>
      <c r="L3958" s="1" t="s">
        <v>42</v>
      </c>
      <c r="M3958" s="1" t="s">
        <v>10392</v>
      </c>
      <c r="N3958" s="1" t="s">
        <v>10392</v>
      </c>
      <c r="O3958" s="1">
        <v>1</v>
      </c>
      <c r="P3958" s="1">
        <v>1</v>
      </c>
      <c r="R3958" s="1" t="s">
        <v>19</v>
      </c>
      <c r="S3958" s="1" t="s">
        <v>20</v>
      </c>
      <c r="T3958" s="1" t="s">
        <v>21</v>
      </c>
      <c r="U3958" s="1" t="s">
        <v>22</v>
      </c>
      <c r="V3958" s="1" t="s">
        <v>24</v>
      </c>
      <c r="W3958" s="1" t="s">
        <v>24</v>
      </c>
      <c r="X3958" s="1">
        <v>2743</v>
      </c>
      <c r="Y3958" s="1" t="s">
        <v>24</v>
      </c>
      <c r="Z3958" s="1" t="s">
        <v>24</v>
      </c>
      <c r="AA3958" s="1" t="s">
        <v>24</v>
      </c>
      <c r="AB3958" s="1" t="s">
        <v>24</v>
      </c>
      <c r="AC3958" s="1" t="s">
        <v>24</v>
      </c>
      <c r="AD3958" s="1" t="s">
        <v>24</v>
      </c>
      <c r="AE3958" s="1" t="s">
        <v>24</v>
      </c>
      <c r="AF3958" s="22"/>
    </row>
    <row r="3959" spans="1:32" x14ac:dyDescent="0.2">
      <c r="A3959" s="1">
        <v>32905</v>
      </c>
      <c r="B3959" s="1" t="s">
        <v>12169</v>
      </c>
      <c r="C3959" s="5" t="s">
        <v>0</v>
      </c>
      <c r="D3959" s="1" t="s">
        <v>12170</v>
      </c>
      <c r="F3959" s="1" t="s">
        <v>12171</v>
      </c>
      <c r="G3959" s="1" t="s">
        <v>12171</v>
      </c>
      <c r="H3959" s="1" t="s">
        <v>1957</v>
      </c>
      <c r="I3959" s="1" t="s">
        <v>16</v>
      </c>
      <c r="J3959" s="1">
        <v>1</v>
      </c>
      <c r="K3959" s="1">
        <v>4</v>
      </c>
      <c r="L3959" s="1" t="s">
        <v>42</v>
      </c>
      <c r="M3959" s="1" t="s">
        <v>18</v>
      </c>
      <c r="N3959" s="1" t="s">
        <v>18</v>
      </c>
      <c r="O3959" s="1">
        <v>3</v>
      </c>
      <c r="P3959" s="1">
        <v>6</v>
      </c>
      <c r="R3959" s="1" t="s">
        <v>19</v>
      </c>
      <c r="S3959" s="1" t="s">
        <v>20</v>
      </c>
      <c r="T3959" s="1" t="s">
        <v>21</v>
      </c>
      <c r="U3959" s="1" t="s">
        <v>22</v>
      </c>
      <c r="V3959" s="1" t="s">
        <v>24</v>
      </c>
      <c r="W3959" s="1" t="s">
        <v>24</v>
      </c>
      <c r="X3959" s="1">
        <v>1303</v>
      </c>
      <c r="Y3959" s="1">
        <v>1311</v>
      </c>
      <c r="Z3959" s="1">
        <v>1305</v>
      </c>
      <c r="AA3959" s="1" t="s">
        <v>24</v>
      </c>
      <c r="AB3959" s="1" t="s">
        <v>24</v>
      </c>
      <c r="AC3959" s="1" t="s">
        <v>24</v>
      </c>
      <c r="AD3959" s="1" t="s">
        <v>24</v>
      </c>
      <c r="AE3959" s="1" t="s">
        <v>24</v>
      </c>
      <c r="AF3959" s="22"/>
    </row>
    <row r="3960" spans="1:32" x14ac:dyDescent="0.2">
      <c r="A3960" s="1">
        <v>32910</v>
      </c>
      <c r="B3960" s="1" t="s">
        <v>12172</v>
      </c>
      <c r="C3960" s="5" t="s">
        <v>0</v>
      </c>
      <c r="D3960" s="1" t="s">
        <v>12173</v>
      </c>
      <c r="E3960" s="1" t="s">
        <v>12174</v>
      </c>
      <c r="F3960" s="1" t="s">
        <v>12175</v>
      </c>
      <c r="G3960" s="1" t="s">
        <v>12175</v>
      </c>
      <c r="H3960" s="1" t="s">
        <v>11288</v>
      </c>
      <c r="I3960" s="1" t="s">
        <v>16</v>
      </c>
      <c r="J3960" s="1">
        <v>1</v>
      </c>
      <c r="K3960" s="1">
        <v>4</v>
      </c>
      <c r="L3960" s="1" t="s">
        <v>42</v>
      </c>
      <c r="M3960" s="1" t="s">
        <v>18</v>
      </c>
      <c r="N3960" s="1" t="s">
        <v>18</v>
      </c>
      <c r="O3960" s="1">
        <v>3</v>
      </c>
      <c r="P3960" s="1">
        <v>6</v>
      </c>
      <c r="R3960" s="1" t="s">
        <v>19</v>
      </c>
      <c r="S3960" s="1" t="s">
        <v>20</v>
      </c>
      <c r="T3960" s="1" t="s">
        <v>21</v>
      </c>
      <c r="U3960" s="1" t="s">
        <v>22</v>
      </c>
      <c r="V3960" s="1" t="s">
        <v>23</v>
      </c>
      <c r="W3960" s="1" t="s">
        <v>24</v>
      </c>
      <c r="X3960" s="1">
        <v>2700</v>
      </c>
      <c r="Y3960" s="1" t="s">
        <v>24</v>
      </c>
      <c r="Z3960" s="1" t="s">
        <v>24</v>
      </c>
      <c r="AA3960" s="1" t="s">
        <v>24</v>
      </c>
      <c r="AB3960" s="1" t="s">
        <v>24</v>
      </c>
      <c r="AC3960" s="1" t="s">
        <v>24</v>
      </c>
      <c r="AD3960" s="1" t="s">
        <v>24</v>
      </c>
      <c r="AE3960" s="1" t="s">
        <v>24</v>
      </c>
      <c r="AF3960" s="22"/>
    </row>
    <row r="3961" spans="1:32" x14ac:dyDescent="0.2">
      <c r="A3961" s="1">
        <v>32946</v>
      </c>
      <c r="B3961" s="1" t="s">
        <v>12176</v>
      </c>
      <c r="C3961" s="5" t="s">
        <v>0</v>
      </c>
      <c r="D3961" s="1" t="s">
        <v>12177</v>
      </c>
      <c r="F3961" s="1" t="s">
        <v>12178</v>
      </c>
      <c r="G3961" s="1" t="s">
        <v>12179</v>
      </c>
      <c r="H3961" s="1" t="s">
        <v>92</v>
      </c>
      <c r="I3961" s="1" t="s">
        <v>16</v>
      </c>
      <c r="J3961" s="1">
        <v>1</v>
      </c>
      <c r="K3961" s="1">
        <v>6</v>
      </c>
      <c r="L3961" s="1" t="s">
        <v>42</v>
      </c>
      <c r="M3961" s="1" t="s">
        <v>18</v>
      </c>
      <c r="N3961" s="1" t="s">
        <v>18</v>
      </c>
      <c r="O3961" s="1">
        <v>3</v>
      </c>
      <c r="P3961" s="1">
        <v>6</v>
      </c>
      <c r="R3961" s="1" t="s">
        <v>19</v>
      </c>
      <c r="S3961" s="1" t="s">
        <v>20</v>
      </c>
      <c r="T3961" s="1" t="s">
        <v>21</v>
      </c>
      <c r="U3961" s="1" t="s">
        <v>22</v>
      </c>
      <c r="V3961" s="1" t="s">
        <v>23</v>
      </c>
      <c r="W3961" s="1" t="s">
        <v>24</v>
      </c>
      <c r="X3961" s="1">
        <v>2706</v>
      </c>
      <c r="Y3961" s="1" t="s">
        <v>24</v>
      </c>
      <c r="Z3961" s="1" t="s">
        <v>24</v>
      </c>
      <c r="AA3961" s="1" t="s">
        <v>24</v>
      </c>
      <c r="AB3961" s="1" t="s">
        <v>24</v>
      </c>
      <c r="AC3961" s="1" t="s">
        <v>24</v>
      </c>
      <c r="AD3961" s="1" t="s">
        <v>24</v>
      </c>
      <c r="AE3961" s="1" t="s">
        <v>24</v>
      </c>
      <c r="AF3961" s="22"/>
    </row>
    <row r="3962" spans="1:32" x14ac:dyDescent="0.2">
      <c r="A3962" s="1">
        <v>32947</v>
      </c>
      <c r="B3962" s="1" t="s">
        <v>12180</v>
      </c>
      <c r="C3962" s="5" t="s">
        <v>0</v>
      </c>
      <c r="D3962" s="1" t="s">
        <v>12181</v>
      </c>
      <c r="F3962" s="1" t="s">
        <v>12182</v>
      </c>
      <c r="G3962" s="1" t="s">
        <v>12182</v>
      </c>
      <c r="H3962" s="1" t="s">
        <v>12183</v>
      </c>
      <c r="I3962" s="1" t="s">
        <v>16</v>
      </c>
      <c r="J3962" s="1">
        <v>1</v>
      </c>
      <c r="K3962" s="1">
        <v>4</v>
      </c>
      <c r="L3962" s="1" t="s">
        <v>42</v>
      </c>
      <c r="M3962" s="1" t="s">
        <v>18</v>
      </c>
      <c r="N3962" s="1" t="s">
        <v>18</v>
      </c>
      <c r="O3962" s="1">
        <v>2</v>
      </c>
      <c r="P3962" s="1">
        <v>6</v>
      </c>
      <c r="R3962" s="1" t="s">
        <v>19</v>
      </c>
      <c r="S3962" s="1" t="s">
        <v>20</v>
      </c>
      <c r="T3962" s="1" t="s">
        <v>21</v>
      </c>
      <c r="U3962" s="1" t="s">
        <v>22</v>
      </c>
      <c r="V3962" s="1" t="s">
        <v>24</v>
      </c>
      <c r="W3962" s="1" t="s">
        <v>24</v>
      </c>
      <c r="X3962" s="1">
        <v>2700</v>
      </c>
      <c r="Y3962" s="1" t="s">
        <v>24</v>
      </c>
      <c r="Z3962" s="1" t="s">
        <v>24</v>
      </c>
      <c r="AA3962" s="1" t="s">
        <v>24</v>
      </c>
      <c r="AB3962" s="1" t="s">
        <v>24</v>
      </c>
      <c r="AC3962" s="1" t="s">
        <v>24</v>
      </c>
      <c r="AD3962" s="1" t="s">
        <v>24</v>
      </c>
      <c r="AE3962" s="1" t="s">
        <v>24</v>
      </c>
      <c r="AF3962" s="22"/>
    </row>
    <row r="3963" spans="1:32" x14ac:dyDescent="0.2">
      <c r="A3963" s="1">
        <v>32983</v>
      </c>
      <c r="B3963" s="1" t="s">
        <v>12184</v>
      </c>
      <c r="C3963" s="5" t="s">
        <v>0</v>
      </c>
      <c r="E3963" s="1" t="s">
        <v>12185</v>
      </c>
      <c r="F3963" s="1" t="s">
        <v>12186</v>
      </c>
      <c r="G3963" s="1" t="s">
        <v>12186</v>
      </c>
      <c r="H3963" s="1" t="s">
        <v>2988</v>
      </c>
      <c r="I3963" s="1" t="s">
        <v>16</v>
      </c>
      <c r="J3963" s="1">
        <v>1</v>
      </c>
      <c r="K3963" s="1">
        <v>4</v>
      </c>
      <c r="L3963" s="1" t="s">
        <v>42</v>
      </c>
      <c r="M3963" s="1" t="s">
        <v>18</v>
      </c>
      <c r="N3963" s="1" t="s">
        <v>18</v>
      </c>
      <c r="O3963" s="1">
        <v>3</v>
      </c>
      <c r="P3963" s="1">
        <v>6</v>
      </c>
      <c r="R3963" s="1" t="s">
        <v>19</v>
      </c>
      <c r="S3963" s="1" t="s">
        <v>63</v>
      </c>
      <c r="T3963" s="1" t="s">
        <v>21</v>
      </c>
      <c r="U3963" s="1" t="s">
        <v>22</v>
      </c>
      <c r="V3963" s="1" t="s">
        <v>24</v>
      </c>
      <c r="W3963" s="1" t="s">
        <v>24</v>
      </c>
      <c r="X3963" s="1">
        <v>2204</v>
      </c>
      <c r="Y3963" s="1">
        <v>2741</v>
      </c>
      <c r="Z3963" s="1">
        <v>3614</v>
      </c>
      <c r="AA3963" s="1" t="s">
        <v>24</v>
      </c>
      <c r="AB3963" s="1" t="s">
        <v>24</v>
      </c>
      <c r="AC3963" s="1" t="s">
        <v>24</v>
      </c>
      <c r="AD3963" s="1" t="s">
        <v>24</v>
      </c>
      <c r="AE3963" s="1" t="s">
        <v>24</v>
      </c>
      <c r="AF3963" s="22"/>
    </row>
    <row r="3964" spans="1:32" x14ac:dyDescent="0.2">
      <c r="A3964" s="1">
        <v>32991</v>
      </c>
      <c r="B3964" s="1" t="s">
        <v>12187</v>
      </c>
      <c r="C3964" s="5" t="s">
        <v>0</v>
      </c>
      <c r="D3964" s="1" t="s">
        <v>12188</v>
      </c>
      <c r="F3964" s="1" t="s">
        <v>12189</v>
      </c>
      <c r="G3964" s="1" t="s">
        <v>12189</v>
      </c>
      <c r="H3964" s="1" t="s">
        <v>445</v>
      </c>
      <c r="I3964" s="1" t="s">
        <v>16</v>
      </c>
      <c r="J3964" s="1">
        <v>1</v>
      </c>
      <c r="K3964" s="1">
        <v>4</v>
      </c>
      <c r="L3964" s="1" t="s">
        <v>42</v>
      </c>
      <c r="M3964" s="1" t="s">
        <v>18</v>
      </c>
      <c r="N3964" s="1" t="s">
        <v>18</v>
      </c>
      <c r="O3964" s="1">
        <v>3</v>
      </c>
      <c r="P3964" s="1">
        <v>6</v>
      </c>
      <c r="R3964" s="1" t="s">
        <v>19</v>
      </c>
      <c r="S3964" s="1" t="s">
        <v>20</v>
      </c>
      <c r="T3964" s="1" t="s">
        <v>21</v>
      </c>
      <c r="U3964" s="1" t="s">
        <v>22</v>
      </c>
      <c r="V3964" s="1" t="s">
        <v>24</v>
      </c>
      <c r="W3964" s="1" t="s">
        <v>24</v>
      </c>
      <c r="X3964" s="1">
        <v>1100</v>
      </c>
      <c r="Y3964" s="1">
        <v>1300</v>
      </c>
      <c r="Z3964" s="1">
        <v>2700</v>
      </c>
      <c r="AA3964" s="1">
        <v>2800</v>
      </c>
      <c r="AB3964" s="1" t="s">
        <v>24</v>
      </c>
      <c r="AC3964" s="1" t="s">
        <v>24</v>
      </c>
      <c r="AD3964" s="1" t="s">
        <v>24</v>
      </c>
      <c r="AE3964" s="1" t="s">
        <v>24</v>
      </c>
      <c r="AF3964" s="22"/>
    </row>
    <row r="3965" spans="1:32" x14ac:dyDescent="0.2">
      <c r="A3965" s="1">
        <v>33024</v>
      </c>
      <c r="B3965" s="1" t="s">
        <v>12190</v>
      </c>
      <c r="C3965" s="5" t="s">
        <v>0</v>
      </c>
      <c r="D3965" s="1" t="s">
        <v>12191</v>
      </c>
      <c r="E3965" s="1" t="s">
        <v>12192</v>
      </c>
      <c r="F3965" s="1" t="s">
        <v>1808</v>
      </c>
      <c r="G3965" s="1" t="s">
        <v>130</v>
      </c>
      <c r="H3965" s="1" t="s">
        <v>461</v>
      </c>
      <c r="I3965" s="1" t="s">
        <v>16</v>
      </c>
      <c r="J3965" s="1">
        <v>1</v>
      </c>
      <c r="K3965" s="1">
        <v>4</v>
      </c>
      <c r="L3965" s="1" t="s">
        <v>31</v>
      </c>
      <c r="M3965" s="1" t="s">
        <v>18</v>
      </c>
      <c r="N3965" s="1" t="s">
        <v>18</v>
      </c>
      <c r="O3965" s="1">
        <v>3</v>
      </c>
      <c r="P3965" s="1">
        <v>6</v>
      </c>
      <c r="R3965" s="1" t="s">
        <v>19</v>
      </c>
      <c r="S3965" s="1" t="s">
        <v>20</v>
      </c>
      <c r="T3965" s="1" t="s">
        <v>21</v>
      </c>
      <c r="U3965" s="1" t="s">
        <v>22</v>
      </c>
      <c r="V3965" s="1" t="s">
        <v>24</v>
      </c>
      <c r="W3965" s="1" t="s">
        <v>24</v>
      </c>
      <c r="X3965" s="1">
        <v>2741</v>
      </c>
      <c r="Y3965" s="1" t="s">
        <v>24</v>
      </c>
      <c r="Z3965" s="1" t="s">
        <v>24</v>
      </c>
      <c r="AA3965" s="1" t="s">
        <v>24</v>
      </c>
      <c r="AB3965" s="1" t="s">
        <v>24</v>
      </c>
      <c r="AC3965" s="1" t="s">
        <v>24</v>
      </c>
      <c r="AD3965" s="1" t="s">
        <v>24</v>
      </c>
      <c r="AE3965" s="1" t="s">
        <v>24</v>
      </c>
      <c r="AF3965" s="22"/>
    </row>
    <row r="3966" spans="1:32" x14ac:dyDescent="0.2">
      <c r="A3966" s="1">
        <v>33028</v>
      </c>
      <c r="B3966" s="1" t="s">
        <v>12193</v>
      </c>
      <c r="C3966" s="5" t="s">
        <v>0</v>
      </c>
      <c r="D3966" s="1" t="s">
        <v>12194</v>
      </c>
      <c r="F3966" s="1" t="s">
        <v>6609</v>
      </c>
      <c r="G3966" s="1" t="s">
        <v>6609</v>
      </c>
      <c r="H3966" s="1" t="s">
        <v>116</v>
      </c>
      <c r="I3966" s="1" t="s">
        <v>16</v>
      </c>
      <c r="J3966" s="1">
        <v>1</v>
      </c>
      <c r="K3966" s="1">
        <v>2</v>
      </c>
      <c r="L3966" s="1" t="s">
        <v>42</v>
      </c>
      <c r="M3966" s="1" t="s">
        <v>117</v>
      </c>
      <c r="N3966" s="1" t="s">
        <v>117</v>
      </c>
      <c r="O3966" s="1">
        <v>2</v>
      </c>
      <c r="P3966" s="1">
        <v>5</v>
      </c>
      <c r="R3966" s="1" t="s">
        <v>19</v>
      </c>
      <c r="S3966" s="1" t="s">
        <v>20</v>
      </c>
      <c r="T3966" s="1" t="s">
        <v>21</v>
      </c>
      <c r="U3966" s="1" t="s">
        <v>22</v>
      </c>
      <c r="V3966" s="1" t="s">
        <v>24</v>
      </c>
      <c r="W3966" s="1" t="s">
        <v>24</v>
      </c>
      <c r="X3966" s="1">
        <v>2728</v>
      </c>
      <c r="Y3966" s="1" t="s">
        <v>24</v>
      </c>
      <c r="Z3966" s="1" t="s">
        <v>24</v>
      </c>
      <c r="AA3966" s="1" t="s">
        <v>24</v>
      </c>
      <c r="AB3966" s="1" t="s">
        <v>24</v>
      </c>
      <c r="AC3966" s="1" t="s">
        <v>24</v>
      </c>
      <c r="AD3966" s="1" t="s">
        <v>24</v>
      </c>
      <c r="AE3966" s="1" t="s">
        <v>24</v>
      </c>
      <c r="AF3966" s="22"/>
    </row>
    <row r="3967" spans="1:32" x14ac:dyDescent="0.2">
      <c r="A3967" s="1">
        <v>33044</v>
      </c>
      <c r="B3967" s="1" t="s">
        <v>12195</v>
      </c>
      <c r="C3967" s="5" t="s">
        <v>0</v>
      </c>
      <c r="D3967" s="1" t="s">
        <v>12196</v>
      </c>
      <c r="E3967" s="1" t="s">
        <v>12197</v>
      </c>
      <c r="F3967" s="1" t="s">
        <v>12198</v>
      </c>
      <c r="G3967" s="1" t="s">
        <v>12199</v>
      </c>
      <c r="H3967" s="1" t="s">
        <v>116</v>
      </c>
      <c r="I3967" s="1" t="s">
        <v>16</v>
      </c>
      <c r="J3967" s="1">
        <v>1</v>
      </c>
      <c r="K3967" s="1">
        <v>2</v>
      </c>
      <c r="L3967" s="1" t="s">
        <v>42</v>
      </c>
      <c r="M3967" s="1" t="s">
        <v>117</v>
      </c>
      <c r="N3967" s="1" t="s">
        <v>226</v>
      </c>
      <c r="O3967" s="1">
        <v>2</v>
      </c>
      <c r="P3967" s="1">
        <v>5</v>
      </c>
      <c r="R3967" s="1" t="s">
        <v>19</v>
      </c>
      <c r="S3967" s="1" t="s">
        <v>20</v>
      </c>
      <c r="T3967" s="1" t="s">
        <v>21</v>
      </c>
      <c r="U3967" s="1" t="s">
        <v>22</v>
      </c>
      <c r="V3967" s="1" t="s">
        <v>24</v>
      </c>
      <c r="W3967" s="1" t="s">
        <v>24</v>
      </c>
      <c r="X3967" s="1">
        <v>2730</v>
      </c>
      <c r="Y3967" s="1">
        <v>3203</v>
      </c>
      <c r="Z3967" s="1" t="s">
        <v>24</v>
      </c>
      <c r="AA3967" s="1" t="s">
        <v>24</v>
      </c>
      <c r="AB3967" s="1" t="s">
        <v>24</v>
      </c>
      <c r="AC3967" s="1" t="s">
        <v>24</v>
      </c>
      <c r="AD3967" s="1" t="s">
        <v>24</v>
      </c>
      <c r="AE3967" s="1" t="s">
        <v>24</v>
      </c>
      <c r="AF3967" s="22"/>
    </row>
    <row r="3968" spans="1:32" x14ac:dyDescent="0.2">
      <c r="A3968" s="1">
        <v>33056</v>
      </c>
      <c r="B3968" s="1" t="s">
        <v>12200</v>
      </c>
      <c r="C3968" s="5" t="s">
        <v>0</v>
      </c>
      <c r="D3968" s="1" t="s">
        <v>12201</v>
      </c>
      <c r="E3968" s="1" t="s">
        <v>12202</v>
      </c>
      <c r="F3968" s="1" t="s">
        <v>12203</v>
      </c>
      <c r="G3968" s="1" t="s">
        <v>12204</v>
      </c>
      <c r="H3968" s="1" t="s">
        <v>731</v>
      </c>
      <c r="I3968" s="1" t="s">
        <v>16</v>
      </c>
      <c r="J3968" s="1">
        <v>1</v>
      </c>
      <c r="K3968" s="1">
        <v>4</v>
      </c>
      <c r="L3968" s="1" t="s">
        <v>42</v>
      </c>
      <c r="M3968" s="1" t="s">
        <v>18</v>
      </c>
      <c r="N3968" s="1" t="s">
        <v>18</v>
      </c>
      <c r="O3968" s="1">
        <v>2</v>
      </c>
      <c r="P3968" s="1">
        <v>6</v>
      </c>
      <c r="R3968" s="1" t="s">
        <v>19</v>
      </c>
      <c r="S3968" s="1" t="s">
        <v>20</v>
      </c>
      <c r="T3968" s="1" t="s">
        <v>21</v>
      </c>
      <c r="U3968" s="1" t="s">
        <v>22</v>
      </c>
      <c r="V3968" s="1" t="s">
        <v>23</v>
      </c>
      <c r="W3968" s="1" t="s">
        <v>24</v>
      </c>
      <c r="X3968" s="1">
        <v>2719</v>
      </c>
      <c r="Y3968" s="1">
        <v>2739</v>
      </c>
      <c r="Z3968" s="1" t="s">
        <v>24</v>
      </c>
      <c r="AA3968" s="1" t="s">
        <v>24</v>
      </c>
      <c r="AB3968" s="1" t="s">
        <v>24</v>
      </c>
      <c r="AC3968" s="1" t="s">
        <v>24</v>
      </c>
      <c r="AD3968" s="1" t="s">
        <v>24</v>
      </c>
      <c r="AE3968" s="1" t="s">
        <v>24</v>
      </c>
      <c r="AF3968" s="22"/>
    </row>
    <row r="3969" spans="1:32" x14ac:dyDescent="0.2">
      <c r="A3969" s="1">
        <v>33073</v>
      </c>
      <c r="B3969" s="1" t="s">
        <v>12205</v>
      </c>
      <c r="C3969" s="5" t="s">
        <v>0</v>
      </c>
      <c r="D3969" s="1" t="s">
        <v>12206</v>
      </c>
      <c r="F3969" s="1" t="s">
        <v>12207</v>
      </c>
      <c r="G3969" s="1" t="s">
        <v>7519</v>
      </c>
      <c r="H3969" s="1" t="s">
        <v>1384</v>
      </c>
      <c r="I3969" s="1" t="s">
        <v>16</v>
      </c>
      <c r="J3969" s="1">
        <v>1</v>
      </c>
      <c r="K3969" s="1">
        <v>2</v>
      </c>
      <c r="L3969" s="1" t="s">
        <v>42</v>
      </c>
      <c r="M3969" s="1" t="s">
        <v>3142</v>
      </c>
      <c r="N3969" s="1" t="s">
        <v>3142</v>
      </c>
      <c r="O3969" s="1">
        <v>3</v>
      </c>
      <c r="P3969" s="1">
        <v>6</v>
      </c>
      <c r="R3969" s="1" t="s">
        <v>19</v>
      </c>
      <c r="S3969" s="1" t="s">
        <v>20</v>
      </c>
      <c r="T3969" s="1" t="s">
        <v>21</v>
      </c>
      <c r="U3969" s="1" t="s">
        <v>22</v>
      </c>
      <c r="V3969" s="1" t="s">
        <v>24</v>
      </c>
      <c r="W3969" s="1" t="s">
        <v>24</v>
      </c>
      <c r="X3969" s="1">
        <v>3000</v>
      </c>
      <c r="Y3969" s="1" t="s">
        <v>24</v>
      </c>
      <c r="Z3969" s="1" t="s">
        <v>24</v>
      </c>
      <c r="AA3969" s="1" t="s">
        <v>24</v>
      </c>
      <c r="AB3969" s="1" t="s">
        <v>24</v>
      </c>
      <c r="AC3969" s="1" t="s">
        <v>24</v>
      </c>
      <c r="AD3969" s="1" t="s">
        <v>24</v>
      </c>
      <c r="AE3969" s="1" t="s">
        <v>24</v>
      </c>
      <c r="AF3969" s="22"/>
    </row>
    <row r="3970" spans="1:32" x14ac:dyDescent="0.2">
      <c r="A3970" s="1">
        <v>33087</v>
      </c>
      <c r="B3970" s="1" t="s">
        <v>12208</v>
      </c>
      <c r="C3970" s="5" t="s">
        <v>0</v>
      </c>
      <c r="D3970" s="1" t="s">
        <v>12209</v>
      </c>
      <c r="E3970" s="1" t="s">
        <v>12210</v>
      </c>
      <c r="F3970" s="1" t="s">
        <v>12211</v>
      </c>
      <c r="G3970" s="1" t="s">
        <v>12211</v>
      </c>
      <c r="H3970" s="1" t="s">
        <v>1116</v>
      </c>
      <c r="I3970" s="1" t="s">
        <v>16</v>
      </c>
      <c r="J3970" s="1">
        <v>0</v>
      </c>
      <c r="K3970" s="1">
        <v>0</v>
      </c>
      <c r="L3970" s="1" t="s">
        <v>42</v>
      </c>
      <c r="M3970" s="1" t="s">
        <v>18</v>
      </c>
      <c r="N3970" s="1" t="s">
        <v>18</v>
      </c>
      <c r="O3970" s="1">
        <v>3</v>
      </c>
      <c r="P3970" s="1">
        <v>6</v>
      </c>
      <c r="R3970" s="1" t="s">
        <v>19</v>
      </c>
      <c r="S3970" s="1" t="s">
        <v>20</v>
      </c>
      <c r="T3970" s="1" t="s">
        <v>21</v>
      </c>
      <c r="U3970" s="1" t="s">
        <v>22</v>
      </c>
      <c r="V3970" s="1" t="s">
        <v>24</v>
      </c>
      <c r="W3970" s="1" t="s">
        <v>24</v>
      </c>
      <c r="X3970" s="1">
        <v>2730</v>
      </c>
      <c r="Y3970" s="1">
        <v>1306</v>
      </c>
      <c r="Z3970" s="1" t="s">
        <v>24</v>
      </c>
      <c r="AA3970" s="1" t="s">
        <v>24</v>
      </c>
      <c r="AB3970" s="1" t="s">
        <v>24</v>
      </c>
      <c r="AC3970" s="1" t="s">
        <v>24</v>
      </c>
      <c r="AD3970" s="1" t="s">
        <v>24</v>
      </c>
      <c r="AE3970" s="1" t="s">
        <v>24</v>
      </c>
      <c r="AF3970" s="22"/>
    </row>
    <row r="3971" spans="1:32" x14ac:dyDescent="0.2">
      <c r="A3971" s="1">
        <v>33106</v>
      </c>
      <c r="B3971" s="1" t="s">
        <v>12212</v>
      </c>
      <c r="C3971" s="5" t="s">
        <v>0</v>
      </c>
      <c r="D3971" s="1" t="s">
        <v>12213</v>
      </c>
      <c r="F3971" s="1" t="s">
        <v>12214</v>
      </c>
      <c r="G3971" s="1" t="s">
        <v>12215</v>
      </c>
      <c r="H3971" s="1" t="s">
        <v>1007</v>
      </c>
      <c r="I3971" s="1" t="s">
        <v>16</v>
      </c>
      <c r="J3971" s="1">
        <v>1</v>
      </c>
      <c r="K3971" s="1">
        <v>6</v>
      </c>
      <c r="L3971" s="1" t="s">
        <v>31</v>
      </c>
      <c r="M3971" s="1" t="s">
        <v>18</v>
      </c>
      <c r="N3971" s="1" t="s">
        <v>18</v>
      </c>
      <c r="O3971" s="1">
        <v>3</v>
      </c>
      <c r="P3971" s="1">
        <v>6</v>
      </c>
      <c r="R3971" s="1" t="s">
        <v>19</v>
      </c>
      <c r="S3971" s="1" t="s">
        <v>20</v>
      </c>
      <c r="T3971" s="1" t="s">
        <v>21</v>
      </c>
      <c r="U3971" s="1" t="s">
        <v>22</v>
      </c>
      <c r="V3971" s="1" t="s">
        <v>24</v>
      </c>
      <c r="W3971" s="1" t="s">
        <v>24</v>
      </c>
      <c r="X3971" s="1">
        <v>2728</v>
      </c>
      <c r="Y3971" s="1">
        <v>2808</v>
      </c>
      <c r="Z3971" s="1" t="s">
        <v>24</v>
      </c>
      <c r="AA3971" s="1" t="s">
        <v>24</v>
      </c>
      <c r="AB3971" s="1" t="s">
        <v>24</v>
      </c>
      <c r="AC3971" s="1" t="s">
        <v>24</v>
      </c>
      <c r="AD3971" s="1" t="s">
        <v>24</v>
      </c>
      <c r="AE3971" s="1" t="s">
        <v>24</v>
      </c>
      <c r="AF3971" s="22"/>
    </row>
    <row r="3972" spans="1:32" x14ac:dyDescent="0.2">
      <c r="A3972" s="1">
        <v>33114</v>
      </c>
      <c r="B3972" s="1" t="s">
        <v>12216</v>
      </c>
      <c r="C3972" s="5" t="s">
        <v>0</v>
      </c>
      <c r="D3972" s="1" t="s">
        <v>12217</v>
      </c>
      <c r="F3972" s="1" t="s">
        <v>12218</v>
      </c>
      <c r="G3972" s="1" t="s">
        <v>12219</v>
      </c>
      <c r="H3972" s="1" t="s">
        <v>1007</v>
      </c>
      <c r="I3972" s="1" t="s">
        <v>16</v>
      </c>
      <c r="J3972" s="1">
        <v>1</v>
      </c>
      <c r="K3972" s="1">
        <v>12</v>
      </c>
      <c r="L3972" s="1" t="s">
        <v>31</v>
      </c>
      <c r="M3972" s="1" t="s">
        <v>1008</v>
      </c>
      <c r="N3972" s="1" t="s">
        <v>4418</v>
      </c>
      <c r="O3972" s="1">
        <v>2</v>
      </c>
      <c r="P3972" s="1">
        <v>5</v>
      </c>
      <c r="R3972" s="1" t="s">
        <v>19</v>
      </c>
      <c r="S3972" s="1" t="s">
        <v>20</v>
      </c>
      <c r="T3972" s="1" t="s">
        <v>21</v>
      </c>
      <c r="U3972" s="1" t="s">
        <v>22</v>
      </c>
      <c r="V3972" s="1" t="s">
        <v>24</v>
      </c>
      <c r="W3972" s="1" t="s">
        <v>24</v>
      </c>
      <c r="X3972" s="1">
        <v>2730</v>
      </c>
      <c r="Y3972" s="1">
        <v>1306</v>
      </c>
      <c r="Z3972" s="1">
        <v>2720</v>
      </c>
      <c r="AA3972" s="1" t="s">
        <v>24</v>
      </c>
      <c r="AB3972" s="1" t="s">
        <v>24</v>
      </c>
      <c r="AC3972" s="1" t="s">
        <v>24</v>
      </c>
      <c r="AD3972" s="1" t="s">
        <v>24</v>
      </c>
      <c r="AE3972" s="1" t="s">
        <v>24</v>
      </c>
      <c r="AF3972" s="22"/>
    </row>
    <row r="3973" spans="1:32" x14ac:dyDescent="0.2">
      <c r="A3973" s="1">
        <v>33116</v>
      </c>
      <c r="B3973" s="1" t="s">
        <v>12220</v>
      </c>
      <c r="C3973" s="5" t="s">
        <v>0</v>
      </c>
      <c r="D3973" s="1" t="s">
        <v>12221</v>
      </c>
      <c r="F3973" s="1" t="s">
        <v>12222</v>
      </c>
      <c r="G3973" s="1" t="s">
        <v>1734</v>
      </c>
      <c r="H3973" s="1" t="s">
        <v>1007</v>
      </c>
      <c r="I3973" s="1" t="s">
        <v>16</v>
      </c>
      <c r="J3973" s="1">
        <v>1</v>
      </c>
      <c r="K3973" s="1">
        <v>12</v>
      </c>
      <c r="L3973" s="1" t="s">
        <v>17</v>
      </c>
      <c r="M3973" s="1" t="s">
        <v>1008</v>
      </c>
      <c r="N3973" s="1" t="s">
        <v>4418</v>
      </c>
      <c r="O3973" s="1">
        <v>3</v>
      </c>
      <c r="P3973" s="1">
        <v>5</v>
      </c>
      <c r="R3973" s="1" t="s">
        <v>19</v>
      </c>
      <c r="S3973" s="1" t="s">
        <v>20</v>
      </c>
      <c r="T3973" s="1" t="s">
        <v>21</v>
      </c>
      <c r="U3973" s="1" t="s">
        <v>22</v>
      </c>
      <c r="V3973" s="1" t="s">
        <v>24</v>
      </c>
      <c r="W3973" s="1" t="s">
        <v>24</v>
      </c>
      <c r="X3973" s="1">
        <v>2730</v>
      </c>
      <c r="Y3973" s="1">
        <v>1306</v>
      </c>
      <c r="Z3973" s="1" t="s">
        <v>24</v>
      </c>
      <c r="AA3973" s="1" t="s">
        <v>24</v>
      </c>
      <c r="AB3973" s="1" t="s">
        <v>24</v>
      </c>
      <c r="AC3973" s="1" t="s">
        <v>24</v>
      </c>
      <c r="AD3973" s="1" t="s">
        <v>24</v>
      </c>
      <c r="AE3973" s="1" t="s">
        <v>24</v>
      </c>
      <c r="AF3973" s="22"/>
    </row>
    <row r="3974" spans="1:32" x14ac:dyDescent="0.2">
      <c r="A3974" s="1">
        <v>33132</v>
      </c>
      <c r="B3974" s="1" t="s">
        <v>12223</v>
      </c>
      <c r="C3974" s="5" t="s">
        <v>0</v>
      </c>
      <c r="D3974" s="1" t="s">
        <v>12224</v>
      </c>
      <c r="F3974" s="1" t="s">
        <v>12225</v>
      </c>
      <c r="G3974" s="1" t="s">
        <v>12225</v>
      </c>
      <c r="H3974" s="1" t="s">
        <v>8248</v>
      </c>
      <c r="I3974" s="1" t="s">
        <v>16</v>
      </c>
      <c r="J3974" s="1">
        <v>1</v>
      </c>
      <c r="K3974" s="1">
        <v>3</v>
      </c>
      <c r="L3974" s="1" t="s">
        <v>42</v>
      </c>
      <c r="M3974" s="1" t="s">
        <v>18</v>
      </c>
      <c r="N3974" s="1" t="s">
        <v>18</v>
      </c>
      <c r="O3974" s="1">
        <v>3</v>
      </c>
      <c r="P3974" s="1">
        <v>6</v>
      </c>
      <c r="R3974" s="1" t="s">
        <v>19</v>
      </c>
      <c r="S3974" s="1" t="s">
        <v>20</v>
      </c>
      <c r="T3974" s="1" t="s">
        <v>21</v>
      </c>
      <c r="U3974" s="1" t="s">
        <v>22</v>
      </c>
      <c r="V3974" s="1" t="s">
        <v>24</v>
      </c>
      <c r="W3974" s="1" t="s">
        <v>24</v>
      </c>
      <c r="X3974" s="1">
        <v>2700</v>
      </c>
      <c r="Y3974" s="1">
        <v>3000</v>
      </c>
      <c r="Z3974" s="1" t="s">
        <v>24</v>
      </c>
      <c r="AA3974" s="1" t="s">
        <v>24</v>
      </c>
      <c r="AB3974" s="1" t="s">
        <v>24</v>
      </c>
      <c r="AC3974" s="1" t="s">
        <v>24</v>
      </c>
      <c r="AD3974" s="1" t="s">
        <v>24</v>
      </c>
      <c r="AE3974" s="1" t="s">
        <v>24</v>
      </c>
      <c r="AF3974" s="22"/>
    </row>
    <row r="3975" spans="1:32" x14ac:dyDescent="0.2">
      <c r="A3975" s="1">
        <v>33137</v>
      </c>
      <c r="B3975" s="1" t="s">
        <v>12226</v>
      </c>
      <c r="C3975" s="5" t="s">
        <v>0</v>
      </c>
      <c r="D3975" s="1" t="s">
        <v>12227</v>
      </c>
      <c r="F3975" s="1" t="s">
        <v>11251</v>
      </c>
      <c r="G3975" s="1" t="s">
        <v>11251</v>
      </c>
      <c r="H3975" s="1" t="s">
        <v>3228</v>
      </c>
      <c r="I3975" s="1" t="s">
        <v>16</v>
      </c>
      <c r="J3975" s="1">
        <v>1</v>
      </c>
      <c r="K3975" s="1">
        <v>1</v>
      </c>
      <c r="L3975" s="1" t="s">
        <v>42</v>
      </c>
      <c r="M3975" s="1" t="s">
        <v>18</v>
      </c>
      <c r="N3975" s="1" t="s">
        <v>18</v>
      </c>
      <c r="O3975" s="1">
        <v>3</v>
      </c>
      <c r="P3975" s="1">
        <v>6</v>
      </c>
      <c r="R3975" s="1" t="s">
        <v>19</v>
      </c>
      <c r="S3975" s="1" t="s">
        <v>63</v>
      </c>
      <c r="T3975" s="1" t="s">
        <v>21</v>
      </c>
      <c r="U3975" s="1" t="s">
        <v>22</v>
      </c>
      <c r="V3975" s="1" t="s">
        <v>24</v>
      </c>
      <c r="W3975" s="1" t="s">
        <v>24</v>
      </c>
      <c r="X3975" s="1">
        <v>1313</v>
      </c>
      <c r="Y3975" s="1">
        <v>3004</v>
      </c>
      <c r="Z3975" s="1">
        <v>2704</v>
      </c>
      <c r="AA3975" s="1" t="s">
        <v>24</v>
      </c>
      <c r="AB3975" s="1" t="s">
        <v>24</v>
      </c>
      <c r="AC3975" s="1" t="s">
        <v>24</v>
      </c>
      <c r="AD3975" s="1" t="s">
        <v>24</v>
      </c>
      <c r="AE3975" s="1" t="s">
        <v>24</v>
      </c>
      <c r="AF3975" s="22" t="s">
        <v>17678</v>
      </c>
    </row>
    <row r="3976" spans="1:32" x14ac:dyDescent="0.2">
      <c r="A3976" s="1">
        <v>33139</v>
      </c>
      <c r="B3976" s="1" t="s">
        <v>12228</v>
      </c>
      <c r="C3976" s="5" t="s">
        <v>0</v>
      </c>
      <c r="D3976" s="1" t="s">
        <v>12229</v>
      </c>
      <c r="E3976" s="1" t="s">
        <v>12230</v>
      </c>
      <c r="F3976" s="1" t="s">
        <v>11079</v>
      </c>
      <c r="G3976" s="1" t="s">
        <v>11079</v>
      </c>
      <c r="H3976" s="1" t="s">
        <v>3228</v>
      </c>
      <c r="I3976" s="1" t="s">
        <v>16</v>
      </c>
      <c r="J3976" s="1">
        <v>1</v>
      </c>
      <c r="K3976" s="1">
        <v>1</v>
      </c>
      <c r="L3976" s="1" t="s">
        <v>42</v>
      </c>
      <c r="M3976" s="1" t="s">
        <v>18</v>
      </c>
      <c r="N3976" s="1" t="s">
        <v>18</v>
      </c>
      <c r="O3976" s="1">
        <v>2</v>
      </c>
      <c r="P3976" s="1">
        <v>6</v>
      </c>
      <c r="R3976" s="1" t="s">
        <v>19</v>
      </c>
      <c r="S3976" s="1" t="s">
        <v>63</v>
      </c>
      <c r="T3976" s="1" t="s">
        <v>21</v>
      </c>
      <c r="U3976" s="1" t="s">
        <v>22</v>
      </c>
      <c r="V3976" s="1" t="s">
        <v>23</v>
      </c>
      <c r="W3976" s="1" t="s">
        <v>24</v>
      </c>
      <c r="X3976" s="1">
        <v>2717</v>
      </c>
      <c r="Y3976" s="1" t="s">
        <v>24</v>
      </c>
      <c r="Z3976" s="1" t="s">
        <v>24</v>
      </c>
      <c r="AA3976" s="1" t="s">
        <v>24</v>
      </c>
      <c r="AB3976" s="1" t="s">
        <v>24</v>
      </c>
      <c r="AC3976" s="1" t="s">
        <v>24</v>
      </c>
      <c r="AD3976" s="1" t="s">
        <v>24</v>
      </c>
      <c r="AE3976" s="1" t="s">
        <v>24</v>
      </c>
      <c r="AF3976" s="22"/>
    </row>
    <row r="3977" spans="1:32" x14ac:dyDescent="0.2">
      <c r="A3977" s="1">
        <v>33145</v>
      </c>
      <c r="B3977" s="1" t="s">
        <v>12231</v>
      </c>
      <c r="C3977" s="5" t="s">
        <v>0</v>
      </c>
      <c r="D3977" s="1" t="s">
        <v>12232</v>
      </c>
      <c r="F3977" s="1" t="s">
        <v>11251</v>
      </c>
      <c r="G3977" s="1" t="s">
        <v>11251</v>
      </c>
      <c r="H3977" s="1" t="s">
        <v>3228</v>
      </c>
      <c r="I3977" s="1" t="s">
        <v>16</v>
      </c>
      <c r="J3977" s="1">
        <v>1</v>
      </c>
      <c r="K3977" s="1">
        <v>1</v>
      </c>
      <c r="L3977" s="1" t="s">
        <v>42</v>
      </c>
      <c r="M3977" s="1" t="s">
        <v>18</v>
      </c>
      <c r="N3977" s="1" t="s">
        <v>18</v>
      </c>
      <c r="O3977" s="1">
        <v>3</v>
      </c>
      <c r="P3977" s="1">
        <v>6</v>
      </c>
      <c r="R3977" s="1" t="s">
        <v>19</v>
      </c>
      <c r="S3977" s="1" t="s">
        <v>63</v>
      </c>
      <c r="T3977" s="1" t="s">
        <v>21</v>
      </c>
      <c r="U3977" s="1" t="s">
        <v>22</v>
      </c>
      <c r="V3977" s="1" t="s">
        <v>24</v>
      </c>
      <c r="W3977" s="1" t="s">
        <v>24</v>
      </c>
      <c r="X3977" s="1">
        <v>1105</v>
      </c>
      <c r="Y3977" s="1">
        <v>1706</v>
      </c>
      <c r="Z3977" s="1">
        <v>1311</v>
      </c>
      <c r="AA3977" s="1" t="s">
        <v>24</v>
      </c>
      <c r="AB3977" s="1" t="s">
        <v>24</v>
      </c>
      <c r="AC3977" s="1" t="s">
        <v>24</v>
      </c>
      <c r="AD3977" s="1" t="s">
        <v>24</v>
      </c>
      <c r="AE3977" s="1" t="s">
        <v>24</v>
      </c>
      <c r="AF3977" s="22" t="s">
        <v>17678</v>
      </c>
    </row>
    <row r="3978" spans="1:32" x14ac:dyDescent="0.2">
      <c r="A3978" s="1">
        <v>33175</v>
      </c>
      <c r="B3978" s="1" t="s">
        <v>12233</v>
      </c>
      <c r="C3978" s="5" t="s">
        <v>0</v>
      </c>
      <c r="D3978" s="1" t="s">
        <v>12234</v>
      </c>
      <c r="F3978" s="1" t="s">
        <v>12010</v>
      </c>
      <c r="G3978" s="1" t="s">
        <v>2146</v>
      </c>
      <c r="H3978" s="1" t="s">
        <v>2147</v>
      </c>
      <c r="I3978" s="1" t="s">
        <v>16</v>
      </c>
      <c r="J3978" s="1">
        <v>1</v>
      </c>
      <c r="K3978" s="1">
        <v>4</v>
      </c>
      <c r="L3978" s="1" t="s">
        <v>42</v>
      </c>
      <c r="M3978" s="1" t="s">
        <v>18</v>
      </c>
      <c r="N3978" s="1" t="s">
        <v>18</v>
      </c>
      <c r="O3978" s="1">
        <v>3</v>
      </c>
      <c r="P3978" s="1">
        <v>6</v>
      </c>
      <c r="R3978" s="1" t="s">
        <v>19</v>
      </c>
      <c r="S3978" s="1" t="s">
        <v>20</v>
      </c>
      <c r="T3978" s="1" t="s">
        <v>21</v>
      </c>
      <c r="U3978" s="1" t="s">
        <v>22</v>
      </c>
      <c r="V3978" s="1" t="s">
        <v>23</v>
      </c>
      <c r="W3978" s="1" t="s">
        <v>24</v>
      </c>
      <c r="X3978" s="1">
        <v>2729</v>
      </c>
      <c r="Y3978" s="1" t="s">
        <v>24</v>
      </c>
      <c r="Z3978" s="1" t="s">
        <v>24</v>
      </c>
      <c r="AA3978" s="1" t="s">
        <v>24</v>
      </c>
      <c r="AB3978" s="1" t="s">
        <v>24</v>
      </c>
      <c r="AC3978" s="1" t="s">
        <v>24</v>
      </c>
      <c r="AD3978" s="1" t="s">
        <v>24</v>
      </c>
      <c r="AE3978" s="1" t="s">
        <v>24</v>
      </c>
      <c r="AF3978" s="22"/>
    </row>
    <row r="3979" spans="1:32" x14ac:dyDescent="0.2">
      <c r="A3979" s="1">
        <v>33203</v>
      </c>
      <c r="B3979" s="1" t="s">
        <v>12235</v>
      </c>
      <c r="C3979" s="5" t="s">
        <v>0</v>
      </c>
      <c r="D3979" s="1" t="s">
        <v>12236</v>
      </c>
      <c r="E3979" s="1" t="s">
        <v>12237</v>
      </c>
      <c r="F3979" s="1" t="s">
        <v>1307</v>
      </c>
      <c r="G3979" s="1" t="s">
        <v>1307</v>
      </c>
      <c r="H3979" s="1" t="s">
        <v>30</v>
      </c>
      <c r="I3979" s="1" t="s">
        <v>16</v>
      </c>
      <c r="J3979" s="1">
        <v>1</v>
      </c>
      <c r="K3979" s="1">
        <v>12</v>
      </c>
      <c r="L3979" s="1" t="s">
        <v>42</v>
      </c>
      <c r="M3979" s="1" t="s">
        <v>18</v>
      </c>
      <c r="N3979" s="1" t="s">
        <v>18</v>
      </c>
      <c r="O3979" s="1">
        <v>0</v>
      </c>
      <c r="P3979" s="1">
        <v>6</v>
      </c>
      <c r="R3979" s="1" t="s">
        <v>19</v>
      </c>
      <c r="S3979" s="1" t="s">
        <v>20</v>
      </c>
      <c r="T3979" s="1" t="s">
        <v>21</v>
      </c>
      <c r="U3979" s="1" t="s">
        <v>22</v>
      </c>
      <c r="V3979" s="1" t="s">
        <v>24</v>
      </c>
      <c r="W3979" s="1" t="s">
        <v>24</v>
      </c>
      <c r="X3979" s="1">
        <v>1300</v>
      </c>
      <c r="Y3979" s="1" t="s">
        <v>24</v>
      </c>
      <c r="Z3979" s="1" t="s">
        <v>24</v>
      </c>
      <c r="AA3979" s="1" t="s">
        <v>24</v>
      </c>
      <c r="AB3979" s="1" t="s">
        <v>24</v>
      </c>
      <c r="AC3979" s="1" t="s">
        <v>24</v>
      </c>
      <c r="AD3979" s="1" t="s">
        <v>24</v>
      </c>
      <c r="AE3979" s="1" t="s">
        <v>24</v>
      </c>
      <c r="AF3979" s="22"/>
    </row>
    <row r="3980" spans="1:32" x14ac:dyDescent="0.2">
      <c r="A3980" s="1">
        <v>33242</v>
      </c>
      <c r="B3980" s="1" t="s">
        <v>12238</v>
      </c>
      <c r="C3980" s="5" t="s">
        <v>0</v>
      </c>
      <c r="D3980" s="1" t="s">
        <v>12239</v>
      </c>
      <c r="F3980" s="1" t="s">
        <v>9879</v>
      </c>
      <c r="G3980" s="1" t="s">
        <v>9879</v>
      </c>
      <c r="H3980" s="1" t="s">
        <v>30</v>
      </c>
      <c r="I3980" s="1" t="s">
        <v>16</v>
      </c>
      <c r="J3980" s="1">
        <v>1</v>
      </c>
      <c r="K3980" s="1">
        <v>4</v>
      </c>
      <c r="L3980" s="1" t="s">
        <v>17</v>
      </c>
      <c r="M3980" s="1" t="s">
        <v>18</v>
      </c>
      <c r="N3980" s="1" t="s">
        <v>18</v>
      </c>
      <c r="O3980" s="1">
        <v>3</v>
      </c>
      <c r="P3980" s="1">
        <v>6</v>
      </c>
      <c r="R3980" s="1" t="s">
        <v>19</v>
      </c>
      <c r="S3980" s="1" t="s">
        <v>20</v>
      </c>
      <c r="T3980" s="1" t="s">
        <v>21</v>
      </c>
      <c r="U3980" s="1" t="s">
        <v>22</v>
      </c>
      <c r="V3980" s="1" t="s">
        <v>23</v>
      </c>
      <c r="W3980" s="1" t="s">
        <v>24</v>
      </c>
      <c r="X3980" s="1">
        <v>2739</v>
      </c>
      <c r="Y3980" s="1">
        <v>2916</v>
      </c>
      <c r="Z3980" s="1">
        <v>3403</v>
      </c>
      <c r="AA3980" s="1">
        <v>2402</v>
      </c>
      <c r="AB3980" s="1" t="s">
        <v>24</v>
      </c>
      <c r="AC3980" s="1" t="s">
        <v>24</v>
      </c>
      <c r="AD3980" s="1" t="s">
        <v>24</v>
      </c>
      <c r="AE3980" s="1" t="s">
        <v>24</v>
      </c>
      <c r="AF3980" s="22"/>
    </row>
    <row r="3981" spans="1:32" x14ac:dyDescent="0.2">
      <c r="A3981" s="1">
        <v>33249</v>
      </c>
      <c r="B3981" s="1" t="s">
        <v>12240</v>
      </c>
      <c r="C3981" s="5" t="s">
        <v>0</v>
      </c>
      <c r="D3981" s="1" t="s">
        <v>12241</v>
      </c>
      <c r="E3981" s="1" t="s">
        <v>12242</v>
      </c>
      <c r="F3981" s="1" t="s">
        <v>12243</v>
      </c>
      <c r="G3981" s="1" t="s">
        <v>12244</v>
      </c>
      <c r="H3981" s="1" t="s">
        <v>1957</v>
      </c>
      <c r="I3981" s="1" t="s">
        <v>16</v>
      </c>
      <c r="J3981" s="1">
        <v>1</v>
      </c>
      <c r="K3981" s="1">
        <v>4</v>
      </c>
      <c r="L3981" s="1" t="s">
        <v>42</v>
      </c>
      <c r="M3981" s="1" t="s">
        <v>18</v>
      </c>
      <c r="N3981" s="1" t="s">
        <v>12245</v>
      </c>
      <c r="O3981" s="1">
        <v>2</v>
      </c>
      <c r="P3981" s="1">
        <v>6</v>
      </c>
      <c r="R3981" s="1" t="s">
        <v>19</v>
      </c>
      <c r="S3981" s="1" t="s">
        <v>63</v>
      </c>
      <c r="T3981" s="1" t="s">
        <v>21</v>
      </c>
      <c r="U3981" s="1" t="s">
        <v>22</v>
      </c>
      <c r="V3981" s="1" t="s">
        <v>24</v>
      </c>
      <c r="W3981" s="1" t="s">
        <v>24</v>
      </c>
      <c r="X3981" s="1">
        <v>2735</v>
      </c>
      <c r="Y3981" s="1" t="s">
        <v>24</v>
      </c>
      <c r="Z3981" s="1" t="s">
        <v>24</v>
      </c>
      <c r="AA3981" s="1" t="s">
        <v>24</v>
      </c>
      <c r="AB3981" s="1" t="s">
        <v>24</v>
      </c>
      <c r="AC3981" s="1" t="s">
        <v>24</v>
      </c>
      <c r="AD3981" s="1" t="s">
        <v>24</v>
      </c>
      <c r="AE3981" s="1" t="s">
        <v>24</v>
      </c>
      <c r="AF3981" s="22"/>
    </row>
    <row r="3982" spans="1:32" x14ac:dyDescent="0.2">
      <c r="A3982" s="1">
        <v>33317</v>
      </c>
      <c r="B3982" s="1" t="s">
        <v>12246</v>
      </c>
      <c r="C3982" s="5" t="s">
        <v>0</v>
      </c>
      <c r="D3982" s="1" t="s">
        <v>12247</v>
      </c>
      <c r="F3982" s="1" t="s">
        <v>1462</v>
      </c>
      <c r="G3982" s="1" t="s">
        <v>1462</v>
      </c>
      <c r="H3982" s="1" t="s">
        <v>249</v>
      </c>
      <c r="I3982" s="1" t="s">
        <v>16</v>
      </c>
      <c r="J3982" s="1">
        <v>1</v>
      </c>
      <c r="K3982" s="1">
        <v>4</v>
      </c>
      <c r="L3982" s="1" t="s">
        <v>42</v>
      </c>
      <c r="M3982" s="1" t="s">
        <v>250</v>
      </c>
      <c r="N3982" s="1" t="s">
        <v>1463</v>
      </c>
      <c r="O3982" s="1">
        <v>3</v>
      </c>
      <c r="P3982" s="1">
        <v>5</v>
      </c>
      <c r="R3982" s="1" t="s">
        <v>19</v>
      </c>
      <c r="S3982" s="1" t="s">
        <v>20</v>
      </c>
      <c r="T3982" s="1" t="s">
        <v>21</v>
      </c>
      <c r="U3982" s="1" t="s">
        <v>22</v>
      </c>
      <c r="V3982" s="1" t="s">
        <v>24</v>
      </c>
      <c r="W3982" s="1" t="s">
        <v>24</v>
      </c>
      <c r="X3982" s="1">
        <v>2738</v>
      </c>
      <c r="Y3982" s="1" t="s">
        <v>24</v>
      </c>
      <c r="Z3982" s="1" t="s">
        <v>24</v>
      </c>
      <c r="AA3982" s="1" t="s">
        <v>24</v>
      </c>
      <c r="AB3982" s="1" t="s">
        <v>24</v>
      </c>
      <c r="AC3982" s="1" t="s">
        <v>24</v>
      </c>
      <c r="AD3982" s="1" t="s">
        <v>24</v>
      </c>
      <c r="AE3982" s="1" t="s">
        <v>24</v>
      </c>
      <c r="AF3982" s="22"/>
    </row>
    <row r="3983" spans="1:32" x14ac:dyDescent="0.2">
      <c r="A3983" s="1">
        <v>33324</v>
      </c>
      <c r="B3983" s="1" t="s">
        <v>12248</v>
      </c>
      <c r="C3983" s="5" t="s">
        <v>0</v>
      </c>
      <c r="D3983" s="1" t="s">
        <v>12249</v>
      </c>
      <c r="F3983" s="1" t="s">
        <v>12250</v>
      </c>
      <c r="G3983" s="1" t="s">
        <v>12251</v>
      </c>
      <c r="H3983" s="1" t="s">
        <v>69</v>
      </c>
      <c r="I3983" s="1" t="s">
        <v>16</v>
      </c>
      <c r="J3983" s="1">
        <v>1</v>
      </c>
      <c r="K3983" s="1">
        <v>4</v>
      </c>
      <c r="L3983" s="1" t="s">
        <v>42</v>
      </c>
      <c r="M3983" s="1" t="s">
        <v>70</v>
      </c>
      <c r="N3983" s="1" t="s">
        <v>75</v>
      </c>
      <c r="O3983" s="1">
        <v>3</v>
      </c>
      <c r="P3983" s="1">
        <v>5</v>
      </c>
      <c r="R3983" s="1" t="s">
        <v>19</v>
      </c>
      <c r="S3983" s="1" t="s">
        <v>20</v>
      </c>
      <c r="T3983" s="1" t="s">
        <v>21</v>
      </c>
      <c r="U3983" s="1" t="s">
        <v>22</v>
      </c>
      <c r="V3983" s="1" t="s">
        <v>24</v>
      </c>
      <c r="W3983" s="1" t="s">
        <v>24</v>
      </c>
      <c r="X3983" s="1">
        <v>2705</v>
      </c>
      <c r="Y3983" s="1" t="s">
        <v>24</v>
      </c>
      <c r="Z3983" s="1" t="s">
        <v>24</v>
      </c>
      <c r="AA3983" s="1" t="s">
        <v>24</v>
      </c>
      <c r="AB3983" s="1" t="s">
        <v>24</v>
      </c>
      <c r="AC3983" s="1" t="s">
        <v>24</v>
      </c>
      <c r="AD3983" s="1" t="s">
        <v>24</v>
      </c>
      <c r="AE3983" s="1" t="s">
        <v>24</v>
      </c>
      <c r="AF3983" s="22"/>
    </row>
    <row r="3984" spans="1:32" x14ac:dyDescent="0.2">
      <c r="A3984" s="1">
        <v>33369</v>
      </c>
      <c r="B3984" s="1" t="s">
        <v>12252</v>
      </c>
      <c r="C3984" s="5" t="s">
        <v>0</v>
      </c>
      <c r="D3984" s="1" t="s">
        <v>12253</v>
      </c>
      <c r="E3984" s="1" t="s">
        <v>12254</v>
      </c>
      <c r="F3984" s="1" t="s">
        <v>198</v>
      </c>
      <c r="G3984" s="1" t="s">
        <v>130</v>
      </c>
      <c r="H3984" s="1" t="s">
        <v>86</v>
      </c>
      <c r="I3984" s="1" t="s">
        <v>16</v>
      </c>
      <c r="J3984" s="1">
        <v>1</v>
      </c>
      <c r="K3984" s="1">
        <v>4</v>
      </c>
      <c r="L3984" s="1" t="s">
        <v>31</v>
      </c>
      <c r="M3984" s="1" t="s">
        <v>87</v>
      </c>
      <c r="N3984" s="1" t="s">
        <v>105</v>
      </c>
      <c r="O3984" s="1">
        <v>3</v>
      </c>
      <c r="P3984" s="1">
        <v>6</v>
      </c>
      <c r="R3984" s="1" t="s">
        <v>19</v>
      </c>
      <c r="S3984" s="1" t="s">
        <v>20</v>
      </c>
      <c r="T3984" s="1" t="s">
        <v>21</v>
      </c>
      <c r="U3984" s="1" t="s">
        <v>22</v>
      </c>
      <c r="V3984" s="1" t="s">
        <v>23</v>
      </c>
      <c r="W3984" s="1" t="s">
        <v>24</v>
      </c>
      <c r="X3984" s="1">
        <v>2730</v>
      </c>
      <c r="Y3984" s="1">
        <v>2738</v>
      </c>
      <c r="Z3984" s="1">
        <v>2917</v>
      </c>
      <c r="AA3984" s="1">
        <v>3203</v>
      </c>
      <c r="AB3984" s="1" t="s">
        <v>24</v>
      </c>
      <c r="AC3984" s="1" t="s">
        <v>24</v>
      </c>
      <c r="AD3984" s="1" t="s">
        <v>24</v>
      </c>
      <c r="AE3984" s="1" t="s">
        <v>24</v>
      </c>
      <c r="AF3984" s="22"/>
    </row>
    <row r="3985" spans="1:32" x14ac:dyDescent="0.2">
      <c r="A3985" s="1">
        <v>33394</v>
      </c>
      <c r="B3985" s="1" t="s">
        <v>12255</v>
      </c>
      <c r="C3985" s="5" t="s">
        <v>0</v>
      </c>
      <c r="D3985" s="1" t="s">
        <v>12256</v>
      </c>
      <c r="E3985" s="1" t="s">
        <v>12257</v>
      </c>
      <c r="F3985" s="1" t="s">
        <v>1462</v>
      </c>
      <c r="G3985" s="1" t="s">
        <v>1462</v>
      </c>
      <c r="H3985" s="1" t="s">
        <v>249</v>
      </c>
      <c r="I3985" s="1" t="s">
        <v>16</v>
      </c>
      <c r="J3985" s="1">
        <v>1</v>
      </c>
      <c r="K3985" s="1">
        <v>6</v>
      </c>
      <c r="L3985" s="1" t="s">
        <v>42</v>
      </c>
      <c r="M3985" s="1" t="s">
        <v>18</v>
      </c>
      <c r="N3985" s="1" t="s">
        <v>18</v>
      </c>
      <c r="O3985" s="1">
        <v>3</v>
      </c>
      <c r="P3985" s="1">
        <v>5</v>
      </c>
      <c r="R3985" s="1" t="s">
        <v>19</v>
      </c>
      <c r="S3985" s="1" t="s">
        <v>20</v>
      </c>
      <c r="T3985" s="1" t="s">
        <v>21</v>
      </c>
      <c r="U3985" s="1" t="s">
        <v>22</v>
      </c>
      <c r="V3985" s="1" t="s">
        <v>24</v>
      </c>
      <c r="W3985" s="1" t="s">
        <v>24</v>
      </c>
      <c r="X3985" s="1">
        <v>2705</v>
      </c>
      <c r="Y3985" s="1" t="s">
        <v>24</v>
      </c>
      <c r="Z3985" s="1" t="s">
        <v>24</v>
      </c>
      <c r="AA3985" s="1" t="s">
        <v>24</v>
      </c>
      <c r="AB3985" s="1" t="s">
        <v>24</v>
      </c>
      <c r="AC3985" s="1" t="s">
        <v>24</v>
      </c>
      <c r="AD3985" s="1" t="s">
        <v>24</v>
      </c>
      <c r="AE3985" s="1" t="s">
        <v>24</v>
      </c>
      <c r="AF3985" s="22"/>
    </row>
    <row r="3986" spans="1:32" x14ac:dyDescent="0.2">
      <c r="A3986" s="1">
        <v>33424</v>
      </c>
      <c r="B3986" s="1" t="s">
        <v>12258</v>
      </c>
      <c r="C3986" s="5" t="s">
        <v>0</v>
      </c>
      <c r="D3986" s="1" t="s">
        <v>12259</v>
      </c>
      <c r="F3986" s="1" t="s">
        <v>12010</v>
      </c>
      <c r="G3986" s="1" t="s">
        <v>2146</v>
      </c>
      <c r="H3986" s="1" t="s">
        <v>2147</v>
      </c>
      <c r="I3986" s="1" t="s">
        <v>16</v>
      </c>
      <c r="J3986" s="1">
        <v>1</v>
      </c>
      <c r="K3986" s="1">
        <v>4</v>
      </c>
      <c r="L3986" s="1" t="s">
        <v>42</v>
      </c>
      <c r="M3986" s="1" t="s">
        <v>18</v>
      </c>
      <c r="N3986" s="1" t="s">
        <v>18</v>
      </c>
      <c r="O3986" s="1">
        <v>2</v>
      </c>
      <c r="P3986" s="1">
        <v>6</v>
      </c>
      <c r="R3986" s="1" t="s">
        <v>19</v>
      </c>
      <c r="S3986" s="1" t="s">
        <v>20</v>
      </c>
      <c r="T3986" s="1" t="s">
        <v>21</v>
      </c>
      <c r="U3986" s="1" t="s">
        <v>22</v>
      </c>
      <c r="V3986" s="1" t="s">
        <v>24</v>
      </c>
      <c r="W3986" s="1" t="s">
        <v>24</v>
      </c>
      <c r="X3986" s="1">
        <v>2738</v>
      </c>
      <c r="Y3986" s="1" t="s">
        <v>24</v>
      </c>
      <c r="Z3986" s="1" t="s">
        <v>24</v>
      </c>
      <c r="AA3986" s="1" t="s">
        <v>24</v>
      </c>
      <c r="AB3986" s="1" t="s">
        <v>24</v>
      </c>
      <c r="AC3986" s="1" t="s">
        <v>24</v>
      </c>
      <c r="AD3986" s="1" t="s">
        <v>24</v>
      </c>
      <c r="AE3986" s="1" t="s">
        <v>24</v>
      </c>
      <c r="AF3986" s="22"/>
    </row>
    <row r="3987" spans="1:32" x14ac:dyDescent="0.2">
      <c r="A3987" s="1">
        <v>33445</v>
      </c>
      <c r="B3987" s="1" t="s">
        <v>12260</v>
      </c>
      <c r="C3987" s="5" t="s">
        <v>0</v>
      </c>
      <c r="D3987" s="1" t="s">
        <v>12261</v>
      </c>
      <c r="E3987" s="1" t="s">
        <v>12262</v>
      </c>
      <c r="F3987" s="1" t="s">
        <v>12263</v>
      </c>
      <c r="G3987" s="1" t="s">
        <v>12263</v>
      </c>
      <c r="H3987" s="1" t="s">
        <v>30</v>
      </c>
      <c r="I3987" s="1" t="s">
        <v>16</v>
      </c>
      <c r="J3987" s="1">
        <v>1</v>
      </c>
      <c r="K3987" s="1">
        <v>4</v>
      </c>
      <c r="L3987" s="1" t="s">
        <v>42</v>
      </c>
      <c r="M3987" s="1" t="s">
        <v>18</v>
      </c>
      <c r="N3987" s="1" t="s">
        <v>18</v>
      </c>
      <c r="O3987" s="1">
        <v>3</v>
      </c>
      <c r="P3987" s="1">
        <v>6</v>
      </c>
      <c r="R3987" s="1" t="s">
        <v>19</v>
      </c>
      <c r="S3987" s="1" t="s">
        <v>20</v>
      </c>
      <c r="T3987" s="1" t="s">
        <v>21</v>
      </c>
      <c r="U3987" s="1" t="s">
        <v>22</v>
      </c>
      <c r="V3987" s="1" t="s">
        <v>23</v>
      </c>
      <c r="W3987" s="1" t="s">
        <v>24</v>
      </c>
      <c r="X3987" s="1">
        <v>2732</v>
      </c>
      <c r="Y3987" s="1" t="s">
        <v>24</v>
      </c>
      <c r="Z3987" s="1" t="s">
        <v>24</v>
      </c>
      <c r="AA3987" s="1" t="s">
        <v>24</v>
      </c>
      <c r="AB3987" s="1" t="s">
        <v>24</v>
      </c>
      <c r="AC3987" s="1" t="s">
        <v>24</v>
      </c>
      <c r="AD3987" s="1" t="s">
        <v>24</v>
      </c>
      <c r="AE3987" s="1" t="s">
        <v>24</v>
      </c>
      <c r="AF3987" s="22"/>
    </row>
    <row r="3988" spans="1:32" x14ac:dyDescent="0.2">
      <c r="A3988" s="1">
        <v>33450</v>
      </c>
      <c r="B3988" s="1" t="s">
        <v>12264</v>
      </c>
      <c r="C3988" s="5" t="s">
        <v>0</v>
      </c>
      <c r="D3988" s="1" t="s">
        <v>12265</v>
      </c>
      <c r="E3988" s="1" t="s">
        <v>12266</v>
      </c>
      <c r="F3988" s="1" t="s">
        <v>272</v>
      </c>
      <c r="G3988" s="1" t="s">
        <v>61</v>
      </c>
      <c r="H3988" s="1" t="s">
        <v>30</v>
      </c>
      <c r="I3988" s="1" t="s">
        <v>16</v>
      </c>
      <c r="J3988" s="1">
        <v>1</v>
      </c>
      <c r="K3988" s="1">
        <v>6</v>
      </c>
      <c r="L3988" s="1" t="s">
        <v>31</v>
      </c>
      <c r="M3988" s="1" t="s">
        <v>18</v>
      </c>
      <c r="N3988" s="1" t="s">
        <v>18</v>
      </c>
      <c r="O3988" s="1">
        <v>3</v>
      </c>
      <c r="P3988" s="1">
        <v>7</v>
      </c>
      <c r="Q3988" s="7" t="s">
        <v>17633</v>
      </c>
      <c r="R3988" s="1" t="s">
        <v>19</v>
      </c>
      <c r="S3988" s="1" t="s">
        <v>20</v>
      </c>
      <c r="T3988" s="1" t="s">
        <v>21</v>
      </c>
      <c r="U3988" s="1" t="s">
        <v>22</v>
      </c>
      <c r="V3988" s="1" t="s">
        <v>24</v>
      </c>
      <c r="W3988" s="1" t="s">
        <v>24</v>
      </c>
      <c r="X3988" s="1">
        <v>2705</v>
      </c>
      <c r="Y3988" s="1">
        <v>2741</v>
      </c>
      <c r="Z3988" s="1" t="s">
        <v>24</v>
      </c>
      <c r="AA3988" s="1" t="s">
        <v>24</v>
      </c>
      <c r="AB3988" s="1" t="s">
        <v>24</v>
      </c>
      <c r="AC3988" s="1" t="s">
        <v>24</v>
      </c>
      <c r="AD3988" s="1" t="s">
        <v>24</v>
      </c>
      <c r="AE3988" s="1" t="s">
        <v>24</v>
      </c>
      <c r="AF3988" s="22"/>
    </row>
    <row r="3989" spans="1:32" x14ac:dyDescent="0.2">
      <c r="A3989" s="1">
        <v>33453</v>
      </c>
      <c r="B3989" s="1" t="s">
        <v>12267</v>
      </c>
      <c r="C3989" s="5" t="s">
        <v>0</v>
      </c>
      <c r="D3989" s="1" t="s">
        <v>12268</v>
      </c>
      <c r="E3989" s="1" t="s">
        <v>12269</v>
      </c>
      <c r="F3989" s="1" t="s">
        <v>1462</v>
      </c>
      <c r="G3989" s="1" t="s">
        <v>1462</v>
      </c>
      <c r="H3989" s="1" t="s">
        <v>249</v>
      </c>
      <c r="I3989" s="1" t="s">
        <v>16</v>
      </c>
      <c r="J3989" s="1">
        <v>1</v>
      </c>
      <c r="K3989" s="1">
        <v>2</v>
      </c>
      <c r="L3989" s="1" t="s">
        <v>42</v>
      </c>
      <c r="M3989" s="1" t="s">
        <v>250</v>
      </c>
      <c r="N3989" s="1" t="s">
        <v>3290</v>
      </c>
      <c r="O3989" s="1">
        <v>3</v>
      </c>
      <c r="P3989" s="1">
        <v>6</v>
      </c>
      <c r="R3989" s="1" t="s">
        <v>19</v>
      </c>
      <c r="S3989" s="1" t="s">
        <v>20</v>
      </c>
      <c r="T3989" s="1" t="s">
        <v>21</v>
      </c>
      <c r="U3989" s="1" t="s">
        <v>22</v>
      </c>
      <c r="V3989" s="1" t="s">
        <v>23</v>
      </c>
      <c r="W3989" s="1" t="s">
        <v>24</v>
      </c>
      <c r="X3989" s="1">
        <v>2700</v>
      </c>
      <c r="Y3989" s="1" t="s">
        <v>24</v>
      </c>
      <c r="Z3989" s="1" t="s">
        <v>24</v>
      </c>
      <c r="AA3989" s="1" t="s">
        <v>24</v>
      </c>
      <c r="AB3989" s="1" t="s">
        <v>24</v>
      </c>
      <c r="AC3989" s="1" t="s">
        <v>24</v>
      </c>
      <c r="AD3989" s="1" t="s">
        <v>24</v>
      </c>
      <c r="AE3989" s="1" t="s">
        <v>24</v>
      </c>
      <c r="AF3989" s="22"/>
    </row>
    <row r="3990" spans="1:32" x14ac:dyDescent="0.2">
      <c r="A3990" s="1">
        <v>33455</v>
      </c>
      <c r="B3990" s="1" t="s">
        <v>12270</v>
      </c>
      <c r="C3990" s="5" t="s">
        <v>0</v>
      </c>
      <c r="D3990" s="1" t="s">
        <v>12271</v>
      </c>
      <c r="F3990" s="1" t="s">
        <v>12272</v>
      </c>
      <c r="G3990" s="1" t="s">
        <v>12272</v>
      </c>
      <c r="H3990" s="1" t="s">
        <v>684</v>
      </c>
      <c r="I3990" s="1" t="s">
        <v>16</v>
      </c>
      <c r="J3990" s="1">
        <v>1</v>
      </c>
      <c r="K3990" s="1">
        <v>4</v>
      </c>
      <c r="L3990" s="1" t="s">
        <v>42</v>
      </c>
      <c r="M3990" s="1" t="s">
        <v>852</v>
      </c>
      <c r="N3990" s="1" t="s">
        <v>852</v>
      </c>
      <c r="O3990" s="1">
        <v>1</v>
      </c>
      <c r="P3990" s="1">
        <v>5</v>
      </c>
      <c r="R3990" s="1" t="s">
        <v>19</v>
      </c>
      <c r="S3990" s="1" t="s">
        <v>20</v>
      </c>
      <c r="T3990" s="1" t="s">
        <v>21</v>
      </c>
      <c r="U3990" s="1" t="s">
        <v>22</v>
      </c>
      <c r="V3990" s="1" t="s">
        <v>23</v>
      </c>
      <c r="W3990" s="1" t="s">
        <v>24</v>
      </c>
      <c r="X3990" s="1">
        <v>2720</v>
      </c>
      <c r="Y3990" s="1">
        <v>2723</v>
      </c>
      <c r="Z3990" s="1" t="s">
        <v>24</v>
      </c>
      <c r="AA3990" s="1" t="s">
        <v>24</v>
      </c>
      <c r="AB3990" s="1" t="s">
        <v>24</v>
      </c>
      <c r="AC3990" s="1" t="s">
        <v>24</v>
      </c>
      <c r="AD3990" s="1" t="s">
        <v>24</v>
      </c>
      <c r="AE3990" s="1" t="s">
        <v>24</v>
      </c>
      <c r="AF3990" s="22"/>
    </row>
    <row r="3991" spans="1:32" x14ac:dyDescent="0.2">
      <c r="A3991" s="1">
        <v>33561</v>
      </c>
      <c r="B3991" s="1" t="s">
        <v>12273</v>
      </c>
      <c r="C3991" s="5" t="s">
        <v>0</v>
      </c>
      <c r="D3991" s="1" t="s">
        <v>12274</v>
      </c>
      <c r="E3991" s="1" t="s">
        <v>12275</v>
      </c>
      <c r="F3991" s="1" t="s">
        <v>91</v>
      </c>
      <c r="G3991" s="1" t="s">
        <v>61</v>
      </c>
      <c r="H3991" s="1" t="s">
        <v>92</v>
      </c>
      <c r="I3991" s="1" t="s">
        <v>16</v>
      </c>
      <c r="J3991" s="1">
        <v>1</v>
      </c>
      <c r="K3991" s="1">
        <v>4</v>
      </c>
      <c r="L3991" s="1" t="s">
        <v>31</v>
      </c>
      <c r="M3991" s="1" t="s">
        <v>18</v>
      </c>
      <c r="N3991" s="1" t="s">
        <v>18</v>
      </c>
      <c r="O3991" s="1">
        <v>3</v>
      </c>
      <c r="P3991" s="1">
        <v>7</v>
      </c>
      <c r="Q3991" s="7" t="s">
        <v>17633</v>
      </c>
      <c r="R3991" s="1" t="s">
        <v>19</v>
      </c>
      <c r="S3991" s="1" t="s">
        <v>20</v>
      </c>
      <c r="T3991" s="1" t="s">
        <v>21</v>
      </c>
      <c r="U3991" s="1" t="s">
        <v>22</v>
      </c>
      <c r="V3991" s="1" t="s">
        <v>24</v>
      </c>
      <c r="W3991" s="1" t="s">
        <v>24</v>
      </c>
      <c r="X3991" s="1">
        <v>2715</v>
      </c>
      <c r="Y3991" s="1" t="s">
        <v>24</v>
      </c>
      <c r="Z3991" s="1" t="s">
        <v>24</v>
      </c>
      <c r="AA3991" s="1" t="s">
        <v>24</v>
      </c>
      <c r="AB3991" s="1" t="s">
        <v>24</v>
      </c>
      <c r="AC3991" s="1" t="s">
        <v>24</v>
      </c>
      <c r="AD3991" s="1" t="s">
        <v>24</v>
      </c>
      <c r="AE3991" s="1" t="s">
        <v>24</v>
      </c>
      <c r="AF3991" s="22"/>
    </row>
    <row r="3992" spans="1:32" x14ac:dyDescent="0.2">
      <c r="A3992" s="1">
        <v>33562</v>
      </c>
      <c r="B3992" s="1" t="s">
        <v>12276</v>
      </c>
      <c r="C3992" s="5" t="s">
        <v>0</v>
      </c>
      <c r="D3992" s="1" t="s">
        <v>12277</v>
      </c>
      <c r="E3992" s="1" t="s">
        <v>12278</v>
      </c>
      <c r="F3992" s="1" t="s">
        <v>91</v>
      </c>
      <c r="G3992" s="1" t="s">
        <v>61</v>
      </c>
      <c r="H3992" s="1" t="s">
        <v>92</v>
      </c>
      <c r="I3992" s="1" t="s">
        <v>16</v>
      </c>
      <c r="J3992" s="1">
        <v>1</v>
      </c>
      <c r="K3992" s="1">
        <v>1</v>
      </c>
      <c r="L3992" s="1" t="s">
        <v>31</v>
      </c>
      <c r="M3992" s="1" t="s">
        <v>18</v>
      </c>
      <c r="N3992" s="1" t="s">
        <v>18</v>
      </c>
      <c r="O3992" s="1">
        <v>3</v>
      </c>
      <c r="P3992" s="1">
        <v>7</v>
      </c>
      <c r="Q3992" s="7" t="s">
        <v>17633</v>
      </c>
      <c r="R3992" s="1" t="s">
        <v>19</v>
      </c>
      <c r="S3992" s="1" t="s">
        <v>20</v>
      </c>
      <c r="T3992" s="1" t="s">
        <v>21</v>
      </c>
      <c r="U3992" s="1" t="s">
        <v>22</v>
      </c>
      <c r="V3992" s="1" t="s">
        <v>24</v>
      </c>
      <c r="W3992" s="1" t="s">
        <v>24</v>
      </c>
      <c r="X3992" s="1">
        <v>2715</v>
      </c>
      <c r="Y3992" s="1" t="s">
        <v>24</v>
      </c>
      <c r="Z3992" s="1" t="s">
        <v>24</v>
      </c>
      <c r="AA3992" s="1" t="s">
        <v>24</v>
      </c>
      <c r="AB3992" s="1" t="s">
        <v>24</v>
      </c>
      <c r="AC3992" s="1" t="s">
        <v>24</v>
      </c>
      <c r="AD3992" s="1" t="s">
        <v>24</v>
      </c>
      <c r="AE3992" s="1" t="s">
        <v>24</v>
      </c>
      <c r="AF3992" s="22"/>
    </row>
    <row r="3993" spans="1:32" x14ac:dyDescent="0.2">
      <c r="A3993" s="1">
        <v>33563</v>
      </c>
      <c r="B3993" s="1" t="s">
        <v>12279</v>
      </c>
      <c r="C3993" s="5" t="s">
        <v>0</v>
      </c>
      <c r="D3993" s="1" t="s">
        <v>12280</v>
      </c>
      <c r="E3993" s="1" t="s">
        <v>12281</v>
      </c>
      <c r="F3993" s="1" t="s">
        <v>91</v>
      </c>
      <c r="G3993" s="1" t="s">
        <v>61</v>
      </c>
      <c r="H3993" s="1" t="s">
        <v>92</v>
      </c>
      <c r="I3993" s="1" t="s">
        <v>16</v>
      </c>
      <c r="J3993" s="1">
        <v>1</v>
      </c>
      <c r="K3993" s="1">
        <v>6</v>
      </c>
      <c r="L3993" s="1" t="s">
        <v>31</v>
      </c>
      <c r="M3993" s="1" t="s">
        <v>18</v>
      </c>
      <c r="N3993" s="1" t="s">
        <v>18</v>
      </c>
      <c r="O3993" s="1">
        <v>3</v>
      </c>
      <c r="P3993" s="1">
        <v>7</v>
      </c>
      <c r="Q3993" s="7" t="s">
        <v>17633</v>
      </c>
      <c r="R3993" s="1" t="s">
        <v>19</v>
      </c>
      <c r="S3993" s="1" t="s">
        <v>63</v>
      </c>
      <c r="T3993" s="1" t="s">
        <v>21</v>
      </c>
      <c r="U3993" s="1" t="s">
        <v>22</v>
      </c>
      <c r="V3993" s="1" t="s">
        <v>24</v>
      </c>
      <c r="W3993" s="1" t="s">
        <v>24</v>
      </c>
      <c r="X3993" s="1">
        <v>1307</v>
      </c>
      <c r="Y3993" s="1">
        <v>1309</v>
      </c>
      <c r="Z3993" s="1">
        <v>2700</v>
      </c>
      <c r="AA3993" s="1" t="s">
        <v>24</v>
      </c>
      <c r="AB3993" s="1" t="s">
        <v>24</v>
      </c>
      <c r="AC3993" s="1" t="s">
        <v>24</v>
      </c>
      <c r="AD3993" s="1" t="s">
        <v>24</v>
      </c>
      <c r="AE3993" s="1" t="s">
        <v>24</v>
      </c>
      <c r="AF3993" s="22"/>
    </row>
    <row r="3994" spans="1:32" x14ac:dyDescent="0.2">
      <c r="A3994" s="1">
        <v>33566</v>
      </c>
      <c r="B3994" s="1" t="s">
        <v>12282</v>
      </c>
      <c r="C3994" s="5" t="s">
        <v>0</v>
      </c>
      <c r="D3994" s="1" t="s">
        <v>12283</v>
      </c>
      <c r="E3994" s="1" t="s">
        <v>12284</v>
      </c>
      <c r="F3994" s="1" t="s">
        <v>35</v>
      </c>
      <c r="G3994" s="1" t="s">
        <v>36</v>
      </c>
      <c r="H3994" s="1" t="s">
        <v>37</v>
      </c>
      <c r="I3994" s="1" t="s">
        <v>16</v>
      </c>
      <c r="J3994" s="1">
        <v>0</v>
      </c>
      <c r="K3994" s="1">
        <v>0</v>
      </c>
      <c r="L3994" s="1" t="s">
        <v>31</v>
      </c>
      <c r="M3994" s="1" t="s">
        <v>18</v>
      </c>
      <c r="N3994" s="1" t="s">
        <v>18</v>
      </c>
      <c r="O3994" s="1">
        <v>3</v>
      </c>
      <c r="P3994" s="1">
        <v>7</v>
      </c>
      <c r="Q3994" s="7" t="s">
        <v>17633</v>
      </c>
      <c r="R3994" s="1" t="s">
        <v>19</v>
      </c>
      <c r="S3994" s="1" t="s">
        <v>20</v>
      </c>
      <c r="T3994" s="1" t="s">
        <v>21</v>
      </c>
      <c r="U3994" s="1" t="s">
        <v>22</v>
      </c>
      <c r="V3994" s="1" t="s">
        <v>23</v>
      </c>
      <c r="W3994" s="1" t="s">
        <v>24</v>
      </c>
      <c r="X3994" s="1">
        <v>2703</v>
      </c>
      <c r="Y3994" s="1" t="s">
        <v>24</v>
      </c>
      <c r="Z3994" s="1" t="s">
        <v>24</v>
      </c>
      <c r="AA3994" s="1" t="s">
        <v>24</v>
      </c>
      <c r="AB3994" s="1" t="s">
        <v>24</v>
      </c>
      <c r="AC3994" s="1" t="s">
        <v>24</v>
      </c>
      <c r="AD3994" s="1" t="s">
        <v>24</v>
      </c>
      <c r="AE3994" s="1" t="s">
        <v>24</v>
      </c>
      <c r="AF3994" s="22"/>
    </row>
    <row r="3995" spans="1:32" x14ac:dyDescent="0.2">
      <c r="A3995" s="1">
        <v>33609</v>
      </c>
      <c r="B3995" s="1" t="s">
        <v>12285</v>
      </c>
      <c r="C3995" s="5" t="s">
        <v>0</v>
      </c>
      <c r="D3995" s="1" t="s">
        <v>12286</v>
      </c>
      <c r="E3995" s="1" t="s">
        <v>12287</v>
      </c>
      <c r="F3995" s="1" t="s">
        <v>1683</v>
      </c>
      <c r="G3995" s="1" t="s">
        <v>61</v>
      </c>
      <c r="H3995" s="1" t="s">
        <v>116</v>
      </c>
      <c r="I3995" s="1" t="s">
        <v>16</v>
      </c>
      <c r="J3995" s="1">
        <v>0</v>
      </c>
      <c r="K3995" s="1">
        <v>0</v>
      </c>
      <c r="L3995" s="1" t="s">
        <v>31</v>
      </c>
      <c r="M3995" s="1" t="s">
        <v>117</v>
      </c>
      <c r="N3995" s="1" t="s">
        <v>226</v>
      </c>
      <c r="O3995" s="1">
        <v>2</v>
      </c>
      <c r="P3995" s="1">
        <v>5</v>
      </c>
      <c r="R3995" s="1" t="s">
        <v>19</v>
      </c>
      <c r="S3995" s="1" t="s">
        <v>20</v>
      </c>
      <c r="T3995" s="1" t="s">
        <v>21</v>
      </c>
      <c r="U3995" s="1" t="s">
        <v>22</v>
      </c>
      <c r="V3995" s="1" t="s">
        <v>23</v>
      </c>
      <c r="W3995" s="1" t="s">
        <v>24</v>
      </c>
      <c r="X3995" s="1">
        <v>2705</v>
      </c>
      <c r="Y3995" s="1" t="s">
        <v>24</v>
      </c>
      <c r="Z3995" s="1" t="s">
        <v>24</v>
      </c>
      <c r="AA3995" s="1" t="s">
        <v>24</v>
      </c>
      <c r="AB3995" s="1" t="s">
        <v>24</v>
      </c>
      <c r="AC3995" s="1" t="s">
        <v>24</v>
      </c>
      <c r="AD3995" s="1" t="s">
        <v>24</v>
      </c>
      <c r="AE3995" s="1" t="s">
        <v>24</v>
      </c>
      <c r="AF3995" s="22"/>
    </row>
    <row r="3996" spans="1:32" x14ac:dyDescent="0.2">
      <c r="A3996" s="1">
        <v>33630</v>
      </c>
      <c r="B3996" s="1" t="s">
        <v>12288</v>
      </c>
      <c r="C3996" s="5" t="s">
        <v>0</v>
      </c>
      <c r="D3996" s="1" t="s">
        <v>12289</v>
      </c>
      <c r="E3996" s="1" t="s">
        <v>12290</v>
      </c>
      <c r="F3996" s="1" t="s">
        <v>296</v>
      </c>
      <c r="G3996" s="1" t="s">
        <v>36</v>
      </c>
      <c r="H3996" s="1" t="s">
        <v>264</v>
      </c>
      <c r="I3996" s="1" t="s">
        <v>16</v>
      </c>
      <c r="J3996" s="1">
        <v>1</v>
      </c>
      <c r="K3996" s="1">
        <v>4</v>
      </c>
      <c r="L3996" s="1" t="s">
        <v>31</v>
      </c>
      <c r="M3996" s="1" t="s">
        <v>18</v>
      </c>
      <c r="N3996" s="1" t="s">
        <v>18</v>
      </c>
      <c r="O3996" s="1">
        <v>3</v>
      </c>
      <c r="P3996" s="1">
        <v>7</v>
      </c>
      <c r="Q3996" s="7" t="s">
        <v>17633</v>
      </c>
      <c r="R3996" s="1" t="s">
        <v>19</v>
      </c>
      <c r="S3996" s="1" t="s">
        <v>20</v>
      </c>
      <c r="T3996" s="1" t="s">
        <v>21</v>
      </c>
      <c r="U3996" s="1" t="s">
        <v>22</v>
      </c>
      <c r="V3996" s="1" t="s">
        <v>24</v>
      </c>
      <c r="W3996" s="1" t="s">
        <v>24</v>
      </c>
      <c r="X3996" s="1">
        <v>2715</v>
      </c>
      <c r="Y3996" s="1" t="s">
        <v>24</v>
      </c>
      <c r="Z3996" s="1" t="s">
        <v>24</v>
      </c>
      <c r="AA3996" s="1" t="s">
        <v>24</v>
      </c>
      <c r="AB3996" s="1" t="s">
        <v>24</v>
      </c>
      <c r="AC3996" s="1" t="s">
        <v>24</v>
      </c>
      <c r="AD3996" s="1" t="s">
        <v>24</v>
      </c>
      <c r="AE3996" s="1" t="s">
        <v>24</v>
      </c>
      <c r="AF3996" s="22"/>
    </row>
    <row r="3997" spans="1:32" x14ac:dyDescent="0.2">
      <c r="A3997" s="1">
        <v>33707</v>
      </c>
      <c r="B3997" s="1" t="s">
        <v>12291</v>
      </c>
      <c r="C3997" s="5" t="s">
        <v>0</v>
      </c>
      <c r="D3997" s="1" t="s">
        <v>12292</v>
      </c>
      <c r="E3997" s="1" t="s">
        <v>12293</v>
      </c>
      <c r="F3997" s="1" t="s">
        <v>109</v>
      </c>
      <c r="G3997" s="1" t="s">
        <v>110</v>
      </c>
      <c r="H3997" s="1" t="s">
        <v>111</v>
      </c>
      <c r="I3997" s="1" t="s">
        <v>112</v>
      </c>
      <c r="J3997" s="1">
        <v>0</v>
      </c>
      <c r="K3997" s="1">
        <v>0</v>
      </c>
      <c r="L3997" s="1" t="s">
        <v>31</v>
      </c>
      <c r="M3997" s="1" t="s">
        <v>18</v>
      </c>
      <c r="N3997" s="1" t="s">
        <v>18</v>
      </c>
      <c r="O3997" s="1">
        <v>3</v>
      </c>
      <c r="P3997" s="1">
        <v>7</v>
      </c>
      <c r="Q3997" s="7" t="s">
        <v>17633</v>
      </c>
      <c r="R3997" s="1" t="s">
        <v>19</v>
      </c>
      <c r="S3997" s="1" t="s">
        <v>20</v>
      </c>
      <c r="T3997" s="1" t="s">
        <v>21</v>
      </c>
      <c r="U3997" s="1" t="s">
        <v>22</v>
      </c>
      <c r="V3997" s="1" t="s">
        <v>24</v>
      </c>
      <c r="W3997" s="1" t="s">
        <v>24</v>
      </c>
      <c r="X3997" s="1">
        <v>2738</v>
      </c>
      <c r="Y3997" s="1">
        <v>3004</v>
      </c>
      <c r="Z3997" s="1" t="s">
        <v>24</v>
      </c>
      <c r="AA3997" s="1" t="s">
        <v>24</v>
      </c>
      <c r="AB3997" s="1" t="s">
        <v>24</v>
      </c>
      <c r="AC3997" s="1" t="s">
        <v>24</v>
      </c>
      <c r="AD3997" s="1" t="s">
        <v>24</v>
      </c>
      <c r="AE3997" s="1" t="s">
        <v>24</v>
      </c>
      <c r="AF3997" s="22"/>
    </row>
    <row r="3998" spans="1:32" x14ac:dyDescent="0.2">
      <c r="A3998" s="1">
        <v>33726</v>
      </c>
      <c r="B3998" s="1" t="s">
        <v>12294</v>
      </c>
      <c r="C3998" s="5" t="s">
        <v>0</v>
      </c>
      <c r="D3998" s="1" t="s">
        <v>12295</v>
      </c>
      <c r="E3998" s="1" t="s">
        <v>12296</v>
      </c>
      <c r="F3998" s="1" t="s">
        <v>5339</v>
      </c>
      <c r="G3998" s="1" t="s">
        <v>5339</v>
      </c>
      <c r="H3998" s="1" t="s">
        <v>30</v>
      </c>
      <c r="I3998" s="1" t="s">
        <v>16</v>
      </c>
      <c r="J3998" s="1">
        <v>1</v>
      </c>
      <c r="K3998" s="1">
        <v>6</v>
      </c>
      <c r="L3998" s="1" t="s">
        <v>42</v>
      </c>
      <c r="M3998" s="1" t="s">
        <v>18</v>
      </c>
      <c r="N3998" s="1" t="s">
        <v>18</v>
      </c>
      <c r="O3998" s="1">
        <v>3</v>
      </c>
      <c r="P3998" s="1">
        <v>6</v>
      </c>
      <c r="R3998" s="1" t="s">
        <v>19</v>
      </c>
      <c r="S3998" s="1" t="s">
        <v>20</v>
      </c>
      <c r="T3998" s="1" t="s">
        <v>21</v>
      </c>
      <c r="U3998" s="1" t="s">
        <v>22</v>
      </c>
      <c r="V3998" s="1" t="s">
        <v>23</v>
      </c>
      <c r="W3998" s="1" t="s">
        <v>24</v>
      </c>
      <c r="X3998" s="1">
        <v>2727</v>
      </c>
      <c r="Y3998" s="1">
        <v>2747</v>
      </c>
      <c r="Z3998" s="1">
        <v>2713</v>
      </c>
      <c r="AA3998" s="1">
        <v>2706</v>
      </c>
      <c r="AB3998" s="1" t="s">
        <v>24</v>
      </c>
      <c r="AC3998" s="1" t="s">
        <v>24</v>
      </c>
      <c r="AD3998" s="1" t="s">
        <v>24</v>
      </c>
      <c r="AE3998" s="1" t="s">
        <v>24</v>
      </c>
      <c r="AF3998" s="22"/>
    </row>
    <row r="3999" spans="1:32" x14ac:dyDescent="0.2">
      <c r="A3999" s="1">
        <v>33742</v>
      </c>
      <c r="B3999" s="1" t="s">
        <v>12297</v>
      </c>
      <c r="C3999" s="5" t="s">
        <v>0</v>
      </c>
      <c r="D3999" s="1" t="s">
        <v>12298</v>
      </c>
      <c r="E3999" s="1" t="s">
        <v>12299</v>
      </c>
      <c r="F3999" s="1" t="s">
        <v>651</v>
      </c>
      <c r="G3999" s="1" t="s">
        <v>36</v>
      </c>
      <c r="H3999" s="1" t="s">
        <v>168</v>
      </c>
      <c r="I3999" s="1" t="s">
        <v>16</v>
      </c>
      <c r="J3999" s="1">
        <v>1</v>
      </c>
      <c r="K3999" s="1">
        <v>12</v>
      </c>
      <c r="L3999" s="1" t="s">
        <v>31</v>
      </c>
      <c r="M3999" s="1" t="s">
        <v>18</v>
      </c>
      <c r="N3999" s="1" t="s">
        <v>18</v>
      </c>
      <c r="O3999" s="1">
        <v>3</v>
      </c>
      <c r="P3999" s="1">
        <v>8</v>
      </c>
      <c r="Q3999" s="7" t="s">
        <v>17633</v>
      </c>
      <c r="R3999" s="1" t="s">
        <v>19</v>
      </c>
      <c r="S3999" s="1" t="s">
        <v>20</v>
      </c>
      <c r="T3999" s="1" t="s">
        <v>21</v>
      </c>
      <c r="U3999" s="1" t="s">
        <v>22</v>
      </c>
      <c r="V3999" s="1" t="s">
        <v>24</v>
      </c>
      <c r="W3999" s="1" t="s">
        <v>24</v>
      </c>
      <c r="X3999" s="1">
        <v>1308</v>
      </c>
      <c r="Y3999" s="1" t="s">
        <v>24</v>
      </c>
      <c r="Z3999" s="1" t="s">
        <v>24</v>
      </c>
      <c r="AA3999" s="1" t="s">
        <v>24</v>
      </c>
      <c r="AB3999" s="1" t="s">
        <v>24</v>
      </c>
      <c r="AC3999" s="1" t="s">
        <v>24</v>
      </c>
      <c r="AD3999" s="1" t="s">
        <v>24</v>
      </c>
      <c r="AE3999" s="1" t="s">
        <v>24</v>
      </c>
      <c r="AF3999" s="22"/>
    </row>
    <row r="4000" spans="1:32" x14ac:dyDescent="0.2">
      <c r="A4000" s="1">
        <v>33765</v>
      </c>
      <c r="B4000" s="1" t="s">
        <v>12300</v>
      </c>
      <c r="C4000" s="5" t="s">
        <v>0</v>
      </c>
      <c r="D4000" s="1" t="s">
        <v>12301</v>
      </c>
      <c r="F4000" s="1" t="s">
        <v>7022</v>
      </c>
      <c r="G4000" s="1" t="s">
        <v>7022</v>
      </c>
      <c r="H4000" s="1" t="s">
        <v>684</v>
      </c>
      <c r="I4000" s="1" t="s">
        <v>16</v>
      </c>
      <c r="J4000" s="1">
        <v>1</v>
      </c>
      <c r="K4000" s="1">
        <v>2</v>
      </c>
      <c r="L4000" s="1" t="s">
        <v>42</v>
      </c>
      <c r="M4000" s="1" t="s">
        <v>1755</v>
      </c>
      <c r="N4000" s="1" t="s">
        <v>1755</v>
      </c>
      <c r="O4000" s="1">
        <v>3</v>
      </c>
      <c r="P4000" s="1">
        <v>6</v>
      </c>
      <c r="R4000" s="1" t="s">
        <v>19</v>
      </c>
      <c r="S4000" s="1" t="s">
        <v>20</v>
      </c>
      <c r="T4000" s="1" t="s">
        <v>21</v>
      </c>
      <c r="U4000" s="1" t="s">
        <v>22</v>
      </c>
      <c r="V4000" s="1" t="s">
        <v>24</v>
      </c>
      <c r="W4000" s="1" t="s">
        <v>24</v>
      </c>
      <c r="X4000" s="1">
        <v>2707</v>
      </c>
      <c r="Y4000" s="1" t="s">
        <v>24</v>
      </c>
      <c r="Z4000" s="1" t="s">
        <v>24</v>
      </c>
      <c r="AA4000" s="1" t="s">
        <v>24</v>
      </c>
      <c r="AB4000" s="1" t="s">
        <v>24</v>
      </c>
      <c r="AC4000" s="1" t="s">
        <v>24</v>
      </c>
      <c r="AD4000" s="1" t="s">
        <v>24</v>
      </c>
      <c r="AE4000" s="1" t="s">
        <v>24</v>
      </c>
      <c r="AF4000" s="22"/>
    </row>
    <row r="4001" spans="1:32" x14ac:dyDescent="0.2">
      <c r="A4001" s="1">
        <v>33770</v>
      </c>
      <c r="B4001" s="1" t="s">
        <v>12302</v>
      </c>
      <c r="C4001" s="5" t="s">
        <v>0</v>
      </c>
      <c r="D4001" s="1" t="s">
        <v>12303</v>
      </c>
      <c r="E4001" s="1" t="s">
        <v>12304</v>
      </c>
      <c r="F4001" s="1" t="s">
        <v>4337</v>
      </c>
      <c r="G4001" s="1" t="s">
        <v>4338</v>
      </c>
      <c r="H4001" s="1" t="s">
        <v>30</v>
      </c>
      <c r="I4001" s="1" t="s">
        <v>16</v>
      </c>
      <c r="J4001" s="1">
        <v>1</v>
      </c>
      <c r="K4001" s="1">
        <v>6</v>
      </c>
      <c r="L4001" s="1" t="s">
        <v>31</v>
      </c>
      <c r="M4001" s="1" t="s">
        <v>18</v>
      </c>
      <c r="N4001" s="1" t="s">
        <v>18</v>
      </c>
      <c r="O4001" s="1">
        <v>3</v>
      </c>
      <c r="P4001" s="1">
        <v>7</v>
      </c>
      <c r="Q4001" s="7" t="s">
        <v>17633</v>
      </c>
      <c r="R4001" s="1" t="s">
        <v>19</v>
      </c>
      <c r="S4001" s="1" t="s">
        <v>20</v>
      </c>
      <c r="T4001" s="1" t="s">
        <v>21</v>
      </c>
      <c r="U4001" s="1" t="s">
        <v>22</v>
      </c>
      <c r="V4001" s="1" t="s">
        <v>23</v>
      </c>
      <c r="W4001" s="1" t="s">
        <v>24</v>
      </c>
      <c r="X4001" s="1">
        <v>2707</v>
      </c>
      <c r="Y4001" s="1" t="s">
        <v>24</v>
      </c>
      <c r="Z4001" s="1" t="s">
        <v>24</v>
      </c>
      <c r="AA4001" s="1" t="s">
        <v>24</v>
      </c>
      <c r="AB4001" s="1" t="s">
        <v>24</v>
      </c>
      <c r="AC4001" s="1" t="s">
        <v>24</v>
      </c>
      <c r="AD4001" s="1" t="s">
        <v>24</v>
      </c>
      <c r="AE4001" s="1" t="s">
        <v>24</v>
      </c>
      <c r="AF4001" s="22"/>
    </row>
    <row r="4002" spans="1:32" x14ac:dyDescent="0.2">
      <c r="A4002" s="1">
        <v>33771</v>
      </c>
      <c r="B4002" s="1" t="s">
        <v>12305</v>
      </c>
      <c r="C4002" s="5" t="s">
        <v>0</v>
      </c>
      <c r="D4002" s="1" t="s">
        <v>12306</v>
      </c>
      <c r="F4002" s="1" t="s">
        <v>12307</v>
      </c>
      <c r="G4002" s="1" t="s">
        <v>12307</v>
      </c>
      <c r="H4002" s="1" t="s">
        <v>37</v>
      </c>
      <c r="I4002" s="1" t="s">
        <v>16</v>
      </c>
      <c r="J4002" s="1">
        <v>1</v>
      </c>
      <c r="K4002" s="1">
        <v>3</v>
      </c>
      <c r="L4002" s="1" t="s">
        <v>42</v>
      </c>
      <c r="M4002" s="1" t="s">
        <v>18</v>
      </c>
      <c r="N4002" s="1" t="s">
        <v>18</v>
      </c>
      <c r="O4002" s="1">
        <v>3</v>
      </c>
      <c r="P4002" s="1">
        <v>6</v>
      </c>
      <c r="R4002" s="1" t="s">
        <v>19</v>
      </c>
      <c r="S4002" s="1" t="s">
        <v>20</v>
      </c>
      <c r="T4002" s="1" t="s">
        <v>21</v>
      </c>
      <c r="U4002" s="1" t="s">
        <v>22</v>
      </c>
      <c r="V4002" s="1" t="s">
        <v>24</v>
      </c>
      <c r="W4002" s="1" t="s">
        <v>24</v>
      </c>
      <c r="X4002" s="1">
        <v>1103</v>
      </c>
      <c r="Y4002" s="1" t="s">
        <v>24</v>
      </c>
      <c r="Z4002" s="1" t="s">
        <v>24</v>
      </c>
      <c r="AA4002" s="1" t="s">
        <v>24</v>
      </c>
      <c r="AB4002" s="1" t="s">
        <v>24</v>
      </c>
      <c r="AC4002" s="1" t="s">
        <v>24</v>
      </c>
      <c r="AD4002" s="1" t="s">
        <v>24</v>
      </c>
      <c r="AE4002" s="1" t="s">
        <v>24</v>
      </c>
      <c r="AF4002" s="22"/>
    </row>
    <row r="4003" spans="1:32" x14ac:dyDescent="0.2">
      <c r="A4003" s="1">
        <v>33777</v>
      </c>
      <c r="B4003" s="1" t="s">
        <v>12308</v>
      </c>
      <c r="C4003" s="5" t="s">
        <v>0</v>
      </c>
      <c r="D4003" s="1" t="s">
        <v>12309</v>
      </c>
      <c r="F4003" s="1" t="s">
        <v>2671</v>
      </c>
      <c r="G4003" s="1" t="s">
        <v>2671</v>
      </c>
      <c r="H4003" s="1" t="s">
        <v>2672</v>
      </c>
      <c r="I4003" s="1" t="s">
        <v>16</v>
      </c>
      <c r="J4003" s="1">
        <v>1</v>
      </c>
      <c r="K4003" s="1">
        <v>2</v>
      </c>
      <c r="L4003" s="1" t="s">
        <v>42</v>
      </c>
      <c r="M4003" s="1" t="s">
        <v>18</v>
      </c>
      <c r="N4003" s="1" t="s">
        <v>18</v>
      </c>
      <c r="O4003" s="1">
        <v>3</v>
      </c>
      <c r="P4003" s="1">
        <v>6</v>
      </c>
      <c r="R4003" s="1" t="s">
        <v>19</v>
      </c>
      <c r="S4003" s="1" t="s">
        <v>20</v>
      </c>
      <c r="T4003" s="1" t="s">
        <v>21</v>
      </c>
      <c r="U4003" s="1" t="s">
        <v>22</v>
      </c>
      <c r="V4003" s="1" t="s">
        <v>24</v>
      </c>
      <c r="W4003" s="1" t="s">
        <v>24</v>
      </c>
      <c r="X4003" s="1">
        <v>2700</v>
      </c>
      <c r="Y4003" s="1">
        <v>2900</v>
      </c>
      <c r="Z4003" s="1" t="s">
        <v>24</v>
      </c>
      <c r="AA4003" s="1" t="s">
        <v>24</v>
      </c>
      <c r="AB4003" s="1" t="s">
        <v>24</v>
      </c>
      <c r="AC4003" s="1" t="s">
        <v>24</v>
      </c>
      <c r="AD4003" s="1" t="s">
        <v>24</v>
      </c>
      <c r="AE4003" s="1" t="s">
        <v>24</v>
      </c>
      <c r="AF4003" s="22"/>
    </row>
    <row r="4004" spans="1:32" x14ac:dyDescent="0.2">
      <c r="A4004" s="1">
        <v>33778</v>
      </c>
      <c r="B4004" s="1" t="s">
        <v>12310</v>
      </c>
      <c r="C4004" s="5" t="s">
        <v>0</v>
      </c>
      <c r="D4004" s="1" t="s">
        <v>12311</v>
      </c>
      <c r="F4004" s="1" t="s">
        <v>12312</v>
      </c>
      <c r="G4004" s="1" t="s">
        <v>12312</v>
      </c>
      <c r="H4004" s="1" t="s">
        <v>12313</v>
      </c>
      <c r="I4004" s="1" t="s">
        <v>16</v>
      </c>
      <c r="J4004" s="1">
        <v>1</v>
      </c>
      <c r="K4004" s="1">
        <v>4</v>
      </c>
      <c r="L4004" s="1" t="s">
        <v>42</v>
      </c>
      <c r="M4004" s="1" t="s">
        <v>18</v>
      </c>
      <c r="N4004" s="1" t="s">
        <v>18</v>
      </c>
      <c r="O4004" s="1">
        <v>3</v>
      </c>
      <c r="P4004" s="1">
        <v>6</v>
      </c>
      <c r="R4004" s="1" t="s">
        <v>19</v>
      </c>
      <c r="S4004" s="1" t="s">
        <v>20</v>
      </c>
      <c r="T4004" s="1" t="s">
        <v>21</v>
      </c>
      <c r="U4004" s="1" t="s">
        <v>22</v>
      </c>
      <c r="V4004" s="1" t="s">
        <v>24</v>
      </c>
      <c r="W4004" s="1" t="s">
        <v>24</v>
      </c>
      <c r="X4004" s="1">
        <v>2700</v>
      </c>
      <c r="Y4004" s="1" t="s">
        <v>24</v>
      </c>
      <c r="Z4004" s="1" t="s">
        <v>24</v>
      </c>
      <c r="AA4004" s="1" t="s">
        <v>24</v>
      </c>
      <c r="AB4004" s="1" t="s">
        <v>24</v>
      </c>
      <c r="AC4004" s="1" t="s">
        <v>24</v>
      </c>
      <c r="AD4004" s="1" t="s">
        <v>24</v>
      </c>
      <c r="AE4004" s="1" t="s">
        <v>24</v>
      </c>
      <c r="AF4004" s="22"/>
    </row>
    <row r="4005" spans="1:32" x14ac:dyDescent="0.2">
      <c r="A4005" s="1">
        <v>33780</v>
      </c>
      <c r="B4005" s="1" t="s">
        <v>12314</v>
      </c>
      <c r="C4005" s="5" t="s">
        <v>0</v>
      </c>
      <c r="D4005" s="1" t="s">
        <v>12315</v>
      </c>
      <c r="E4005" s="1" t="s">
        <v>12316</v>
      </c>
      <c r="F4005" s="1" t="s">
        <v>6405</v>
      </c>
      <c r="G4005" s="1" t="s">
        <v>6406</v>
      </c>
      <c r="H4005" s="1" t="s">
        <v>92</v>
      </c>
      <c r="I4005" s="1" t="s">
        <v>16</v>
      </c>
      <c r="J4005" s="1">
        <v>1</v>
      </c>
      <c r="K4005" s="1">
        <v>3</v>
      </c>
      <c r="L4005" s="1" t="s">
        <v>31</v>
      </c>
      <c r="M4005" s="1" t="s">
        <v>18</v>
      </c>
      <c r="N4005" s="1" t="s">
        <v>18</v>
      </c>
      <c r="O4005" s="1">
        <v>3</v>
      </c>
      <c r="P4005" s="1">
        <v>7</v>
      </c>
      <c r="Q4005" s="7" t="s">
        <v>17633</v>
      </c>
      <c r="R4005" s="1" t="s">
        <v>19</v>
      </c>
      <c r="S4005" s="1" t="s">
        <v>20</v>
      </c>
      <c r="T4005" s="1" t="s">
        <v>21</v>
      </c>
      <c r="U4005" s="1" t="s">
        <v>22</v>
      </c>
      <c r="V4005" s="1" t="s">
        <v>24</v>
      </c>
      <c r="W4005" s="1" t="s">
        <v>24</v>
      </c>
      <c r="X4005" s="1">
        <v>1303</v>
      </c>
      <c r="Y4005" s="1">
        <v>1312</v>
      </c>
      <c r="Z4005" s="1">
        <v>1308</v>
      </c>
      <c r="AA4005" s="1">
        <v>2704</v>
      </c>
      <c r="AB4005" s="1" t="s">
        <v>24</v>
      </c>
      <c r="AC4005" s="1" t="s">
        <v>24</v>
      </c>
      <c r="AD4005" s="1" t="s">
        <v>24</v>
      </c>
      <c r="AE4005" s="1" t="s">
        <v>24</v>
      </c>
      <c r="AF4005" s="22"/>
    </row>
    <row r="4006" spans="1:32" x14ac:dyDescent="0.2">
      <c r="A4006" s="1">
        <v>33781</v>
      </c>
      <c r="B4006" s="1" t="s">
        <v>12317</v>
      </c>
      <c r="C4006" s="5" t="s">
        <v>0</v>
      </c>
      <c r="D4006" s="1" t="s">
        <v>12318</v>
      </c>
      <c r="F4006" s="1" t="s">
        <v>6405</v>
      </c>
      <c r="G4006" s="1" t="s">
        <v>6406</v>
      </c>
      <c r="H4006" s="1" t="s">
        <v>92</v>
      </c>
      <c r="I4006" s="1" t="s">
        <v>16</v>
      </c>
      <c r="J4006" s="1">
        <v>1</v>
      </c>
      <c r="K4006" s="1">
        <v>4</v>
      </c>
      <c r="L4006" s="1" t="s">
        <v>31</v>
      </c>
      <c r="M4006" s="1" t="s">
        <v>18</v>
      </c>
      <c r="N4006" s="1" t="s">
        <v>18</v>
      </c>
      <c r="O4006" s="1">
        <v>2</v>
      </c>
      <c r="P4006" s="1">
        <v>7</v>
      </c>
      <c r="Q4006" s="7" t="s">
        <v>17633</v>
      </c>
      <c r="R4006" s="1" t="s">
        <v>19</v>
      </c>
      <c r="S4006" s="1" t="s">
        <v>20</v>
      </c>
      <c r="T4006" s="1" t="s">
        <v>21</v>
      </c>
      <c r="U4006" s="1" t="s">
        <v>22</v>
      </c>
      <c r="V4006" s="1" t="s">
        <v>24</v>
      </c>
      <c r="W4006" s="1" t="s">
        <v>24</v>
      </c>
      <c r="X4006" s="1">
        <v>1308</v>
      </c>
      <c r="Y4006" s="1">
        <v>2704</v>
      </c>
      <c r="Z4006" s="1">
        <v>2736</v>
      </c>
      <c r="AA4006" s="1">
        <v>3003</v>
      </c>
      <c r="AB4006" s="1" t="s">
        <v>24</v>
      </c>
      <c r="AC4006" s="1" t="s">
        <v>24</v>
      </c>
      <c r="AD4006" s="1" t="s">
        <v>24</v>
      </c>
      <c r="AE4006" s="1" t="s">
        <v>24</v>
      </c>
      <c r="AF4006" s="22"/>
    </row>
    <row r="4007" spans="1:32" x14ac:dyDescent="0.2">
      <c r="A4007" s="1">
        <v>33782</v>
      </c>
      <c r="B4007" s="1" t="s">
        <v>12319</v>
      </c>
      <c r="C4007" s="5" t="s">
        <v>0</v>
      </c>
      <c r="D4007" s="1" t="s">
        <v>12320</v>
      </c>
      <c r="F4007" s="1" t="s">
        <v>6405</v>
      </c>
      <c r="G4007" s="1" t="s">
        <v>6406</v>
      </c>
      <c r="H4007" s="1" t="s">
        <v>92</v>
      </c>
      <c r="I4007" s="1" t="s">
        <v>16</v>
      </c>
      <c r="J4007" s="1">
        <v>1</v>
      </c>
      <c r="K4007" s="1">
        <v>3</v>
      </c>
      <c r="L4007" s="1" t="s">
        <v>31</v>
      </c>
      <c r="M4007" s="1" t="s">
        <v>18</v>
      </c>
      <c r="N4007" s="1" t="s">
        <v>18</v>
      </c>
      <c r="O4007" s="1">
        <v>3</v>
      </c>
      <c r="P4007" s="1">
        <v>7</v>
      </c>
      <c r="Q4007" s="7" t="s">
        <v>17633</v>
      </c>
      <c r="R4007" s="1" t="s">
        <v>19</v>
      </c>
      <c r="S4007" s="1" t="s">
        <v>20</v>
      </c>
      <c r="T4007" s="1" t="s">
        <v>21</v>
      </c>
      <c r="U4007" s="1" t="s">
        <v>22</v>
      </c>
      <c r="V4007" s="1" t="s">
        <v>24</v>
      </c>
      <c r="W4007" s="1" t="s">
        <v>24</v>
      </c>
      <c r="X4007" s="1">
        <v>1305</v>
      </c>
      <c r="Y4007" s="1">
        <v>2402</v>
      </c>
      <c r="Z4007" s="1">
        <v>1502</v>
      </c>
      <c r="AA4007" s="1" t="s">
        <v>24</v>
      </c>
      <c r="AB4007" s="1" t="s">
        <v>24</v>
      </c>
      <c r="AC4007" s="1" t="s">
        <v>24</v>
      </c>
      <c r="AD4007" s="1" t="s">
        <v>24</v>
      </c>
      <c r="AE4007" s="1" t="s">
        <v>24</v>
      </c>
      <c r="AF4007" s="22"/>
    </row>
    <row r="4008" spans="1:32" x14ac:dyDescent="0.2">
      <c r="A4008" s="1">
        <v>33783</v>
      </c>
      <c r="B4008" s="1" t="s">
        <v>12321</v>
      </c>
      <c r="C4008" s="5" t="s">
        <v>0</v>
      </c>
      <c r="D4008" s="1" t="s">
        <v>12322</v>
      </c>
      <c r="F4008" s="1" t="s">
        <v>6405</v>
      </c>
      <c r="G4008" s="1" t="s">
        <v>6406</v>
      </c>
      <c r="H4008" s="1" t="s">
        <v>92</v>
      </c>
      <c r="I4008" s="1" t="s">
        <v>16</v>
      </c>
      <c r="J4008" s="1">
        <v>1</v>
      </c>
      <c r="K4008" s="1">
        <v>3</v>
      </c>
      <c r="L4008" s="1" t="s">
        <v>31</v>
      </c>
      <c r="M4008" s="1" t="s">
        <v>18</v>
      </c>
      <c r="N4008" s="1" t="s">
        <v>18</v>
      </c>
      <c r="O4008" s="1">
        <v>3</v>
      </c>
      <c r="P4008" s="1">
        <v>7</v>
      </c>
      <c r="Q4008" s="7" t="s">
        <v>17633</v>
      </c>
      <c r="R4008" s="1" t="s">
        <v>19</v>
      </c>
      <c r="S4008" s="1" t="s">
        <v>20</v>
      </c>
      <c r="T4008" s="1" t="s">
        <v>21</v>
      </c>
      <c r="U4008" s="1" t="s">
        <v>22</v>
      </c>
      <c r="V4008" s="1" t="s">
        <v>24</v>
      </c>
      <c r="W4008" s="1" t="s">
        <v>24</v>
      </c>
      <c r="X4008" s="1">
        <v>1312</v>
      </c>
      <c r="Y4008" s="1">
        <v>1305</v>
      </c>
      <c r="Z4008" s="1">
        <v>2716</v>
      </c>
      <c r="AA4008" s="1" t="s">
        <v>24</v>
      </c>
      <c r="AB4008" s="1" t="s">
        <v>24</v>
      </c>
      <c r="AC4008" s="1" t="s">
        <v>24</v>
      </c>
      <c r="AD4008" s="1" t="s">
        <v>24</v>
      </c>
      <c r="AE4008" s="1" t="s">
        <v>24</v>
      </c>
      <c r="AF4008" s="22"/>
    </row>
    <row r="4009" spans="1:32" x14ac:dyDescent="0.2">
      <c r="A4009" s="1">
        <v>33784</v>
      </c>
      <c r="B4009" s="1" t="s">
        <v>12323</v>
      </c>
      <c r="C4009" s="5" t="s">
        <v>0</v>
      </c>
      <c r="D4009" s="1" t="s">
        <v>12324</v>
      </c>
      <c r="F4009" s="1" t="s">
        <v>6405</v>
      </c>
      <c r="G4009" s="1" t="s">
        <v>6406</v>
      </c>
      <c r="H4009" s="1" t="s">
        <v>92</v>
      </c>
      <c r="I4009" s="1" t="s">
        <v>16</v>
      </c>
      <c r="J4009" s="1">
        <v>1</v>
      </c>
      <c r="K4009" s="1">
        <v>3</v>
      </c>
      <c r="L4009" s="1" t="s">
        <v>31</v>
      </c>
      <c r="M4009" s="1" t="s">
        <v>18</v>
      </c>
      <c r="N4009" s="1" t="s">
        <v>18</v>
      </c>
      <c r="O4009" s="1">
        <v>3</v>
      </c>
      <c r="P4009" s="1">
        <v>7</v>
      </c>
      <c r="Q4009" s="7" t="s">
        <v>17633</v>
      </c>
      <c r="R4009" s="1" t="s">
        <v>19</v>
      </c>
      <c r="S4009" s="1" t="s">
        <v>20</v>
      </c>
      <c r="T4009" s="1" t="s">
        <v>21</v>
      </c>
      <c r="U4009" s="1" t="s">
        <v>22</v>
      </c>
      <c r="V4009" s="1" t="s">
        <v>24</v>
      </c>
      <c r="W4009" s="1" t="s">
        <v>24</v>
      </c>
      <c r="X4009" s="1">
        <v>3003</v>
      </c>
      <c r="Y4009" s="1">
        <v>2204</v>
      </c>
      <c r="Z4009" s="1" t="s">
        <v>24</v>
      </c>
      <c r="AA4009" s="1" t="s">
        <v>24</v>
      </c>
      <c r="AB4009" s="1" t="s">
        <v>24</v>
      </c>
      <c r="AC4009" s="1" t="s">
        <v>24</v>
      </c>
      <c r="AD4009" s="1" t="s">
        <v>24</v>
      </c>
      <c r="AE4009" s="1" t="s">
        <v>24</v>
      </c>
      <c r="AF4009" s="22"/>
    </row>
    <row r="4010" spans="1:32" x14ac:dyDescent="0.2">
      <c r="A4010" s="1">
        <v>33785</v>
      </c>
      <c r="B4010" s="1" t="s">
        <v>12325</v>
      </c>
      <c r="C4010" s="5" t="s">
        <v>0</v>
      </c>
      <c r="D4010" s="1" t="s">
        <v>12326</v>
      </c>
      <c r="F4010" s="1" t="s">
        <v>6405</v>
      </c>
      <c r="G4010" s="1" t="s">
        <v>6406</v>
      </c>
      <c r="H4010" s="1" t="s">
        <v>92</v>
      </c>
      <c r="I4010" s="1" t="s">
        <v>16</v>
      </c>
      <c r="J4010" s="1">
        <v>1</v>
      </c>
      <c r="K4010" s="1">
        <v>3</v>
      </c>
      <c r="L4010" s="1" t="s">
        <v>31</v>
      </c>
      <c r="M4010" s="1" t="s">
        <v>18</v>
      </c>
      <c r="N4010" s="1" t="s">
        <v>18</v>
      </c>
      <c r="O4010" s="1">
        <v>3</v>
      </c>
      <c r="P4010" s="1">
        <v>7</v>
      </c>
      <c r="Q4010" s="7" t="s">
        <v>17633</v>
      </c>
      <c r="R4010" s="1" t="s">
        <v>19</v>
      </c>
      <c r="S4010" s="1" t="s">
        <v>20</v>
      </c>
      <c r="T4010" s="1" t="s">
        <v>21</v>
      </c>
      <c r="U4010" s="1" t="s">
        <v>22</v>
      </c>
      <c r="V4010" s="1" t="s">
        <v>24</v>
      </c>
      <c r="W4010" s="1" t="s">
        <v>24</v>
      </c>
      <c r="X4010" s="1">
        <v>2723</v>
      </c>
      <c r="Y4010" s="1">
        <v>3002</v>
      </c>
      <c r="Z4010" s="1">
        <v>2712</v>
      </c>
      <c r="AA4010" s="1">
        <v>2704</v>
      </c>
      <c r="AB4010" s="1" t="s">
        <v>24</v>
      </c>
      <c r="AC4010" s="1" t="s">
        <v>24</v>
      </c>
      <c r="AD4010" s="1" t="s">
        <v>24</v>
      </c>
      <c r="AE4010" s="1" t="s">
        <v>24</v>
      </c>
      <c r="AF4010" s="22"/>
    </row>
    <row r="4011" spans="1:32" x14ac:dyDescent="0.2">
      <c r="A4011" s="1">
        <v>33787</v>
      </c>
      <c r="B4011" s="1" t="s">
        <v>12327</v>
      </c>
      <c r="C4011" s="5" t="s">
        <v>0</v>
      </c>
      <c r="D4011" s="1" t="s">
        <v>12328</v>
      </c>
      <c r="F4011" s="1" t="s">
        <v>6405</v>
      </c>
      <c r="G4011" s="1" t="s">
        <v>6406</v>
      </c>
      <c r="H4011" s="1" t="s">
        <v>92</v>
      </c>
      <c r="I4011" s="1" t="s">
        <v>16</v>
      </c>
      <c r="J4011" s="1">
        <v>1</v>
      </c>
      <c r="K4011" s="1">
        <v>3</v>
      </c>
      <c r="L4011" s="1" t="s">
        <v>31</v>
      </c>
      <c r="M4011" s="1" t="s">
        <v>18</v>
      </c>
      <c r="N4011" s="1" t="s">
        <v>18</v>
      </c>
      <c r="O4011" s="1">
        <v>3</v>
      </c>
      <c r="P4011" s="1">
        <v>7</v>
      </c>
      <c r="Q4011" s="7" t="s">
        <v>17633</v>
      </c>
      <c r="R4011" s="1" t="s">
        <v>19</v>
      </c>
      <c r="S4011" s="1" t="s">
        <v>20</v>
      </c>
      <c r="T4011" s="1" t="s">
        <v>21</v>
      </c>
      <c r="U4011" s="1" t="s">
        <v>22</v>
      </c>
      <c r="V4011" s="1" t="s">
        <v>24</v>
      </c>
      <c r="W4011" s="1" t="s">
        <v>24</v>
      </c>
      <c r="X4011" s="1">
        <v>3002</v>
      </c>
      <c r="Y4011" s="1">
        <v>2723</v>
      </c>
      <c r="Z4011" s="1" t="s">
        <v>24</v>
      </c>
      <c r="AA4011" s="1" t="s">
        <v>24</v>
      </c>
      <c r="AB4011" s="1" t="s">
        <v>24</v>
      </c>
      <c r="AC4011" s="1" t="s">
        <v>24</v>
      </c>
      <c r="AD4011" s="1" t="s">
        <v>24</v>
      </c>
      <c r="AE4011" s="1" t="s">
        <v>24</v>
      </c>
      <c r="AF4011" s="22"/>
    </row>
    <row r="4012" spans="1:32" x14ac:dyDescent="0.2">
      <c r="A4012" s="1">
        <v>33792</v>
      </c>
      <c r="B4012" s="1" t="s">
        <v>12329</v>
      </c>
      <c r="C4012" s="5" t="s">
        <v>0</v>
      </c>
      <c r="D4012" s="1" t="s">
        <v>12330</v>
      </c>
      <c r="E4012" s="1" t="s">
        <v>12331</v>
      </c>
      <c r="F4012" s="1" t="s">
        <v>8442</v>
      </c>
      <c r="G4012" s="1" t="s">
        <v>8443</v>
      </c>
      <c r="H4012" s="1" t="s">
        <v>37</v>
      </c>
      <c r="I4012" s="1" t="s">
        <v>16</v>
      </c>
      <c r="J4012" s="1">
        <v>1</v>
      </c>
      <c r="K4012" s="1">
        <v>6</v>
      </c>
      <c r="L4012" s="1" t="s">
        <v>31</v>
      </c>
      <c r="M4012" s="1" t="s">
        <v>18</v>
      </c>
      <c r="N4012" s="1" t="s">
        <v>18</v>
      </c>
      <c r="O4012" s="1">
        <v>3</v>
      </c>
      <c r="P4012" s="1">
        <v>6</v>
      </c>
      <c r="R4012" s="1" t="s">
        <v>19</v>
      </c>
      <c r="S4012" s="1" t="s">
        <v>20</v>
      </c>
      <c r="T4012" s="1" t="s">
        <v>21</v>
      </c>
      <c r="U4012" s="1" t="s">
        <v>22</v>
      </c>
      <c r="V4012" s="1" t="s">
        <v>24</v>
      </c>
      <c r="W4012" s="1" t="s">
        <v>24</v>
      </c>
      <c r="X4012" s="1">
        <v>1308</v>
      </c>
      <c r="Y4012" s="1">
        <v>2704</v>
      </c>
      <c r="Z4012" s="1">
        <v>3002</v>
      </c>
      <c r="AA4012" s="1" t="s">
        <v>24</v>
      </c>
      <c r="AB4012" s="1" t="s">
        <v>24</v>
      </c>
      <c r="AC4012" s="1" t="s">
        <v>24</v>
      </c>
      <c r="AD4012" s="1" t="s">
        <v>24</v>
      </c>
      <c r="AE4012" s="1" t="s">
        <v>24</v>
      </c>
      <c r="AF4012" s="22"/>
    </row>
    <row r="4013" spans="1:32" x14ac:dyDescent="0.2">
      <c r="A4013" s="1">
        <v>33794</v>
      </c>
      <c r="B4013" s="1" t="s">
        <v>12332</v>
      </c>
      <c r="C4013" s="5" t="s">
        <v>0</v>
      </c>
      <c r="E4013" s="1" t="s">
        <v>12333</v>
      </c>
      <c r="F4013" s="1" t="s">
        <v>10191</v>
      </c>
      <c r="G4013" s="1" t="s">
        <v>10192</v>
      </c>
      <c r="H4013" s="1" t="s">
        <v>30</v>
      </c>
      <c r="I4013" s="1" t="s">
        <v>16</v>
      </c>
      <c r="J4013" s="1">
        <v>1</v>
      </c>
      <c r="K4013" s="1">
        <v>1</v>
      </c>
      <c r="L4013" s="1" t="s">
        <v>42</v>
      </c>
      <c r="M4013" s="1" t="s">
        <v>18</v>
      </c>
      <c r="N4013" s="1" t="s">
        <v>18</v>
      </c>
      <c r="O4013" s="1">
        <v>3</v>
      </c>
      <c r="P4013" s="1">
        <v>6</v>
      </c>
      <c r="R4013" s="1" t="s">
        <v>19</v>
      </c>
      <c r="S4013" s="1" t="s">
        <v>63</v>
      </c>
      <c r="T4013" s="1" t="s">
        <v>21</v>
      </c>
      <c r="U4013" s="1" t="s">
        <v>22</v>
      </c>
      <c r="V4013" s="1" t="s">
        <v>23</v>
      </c>
      <c r="W4013" s="1" t="s">
        <v>64</v>
      </c>
      <c r="X4013" s="1">
        <v>1100</v>
      </c>
      <c r="Y4013" s="1">
        <v>1300</v>
      </c>
      <c r="Z4013" s="1">
        <v>2700</v>
      </c>
      <c r="AA4013" s="1" t="s">
        <v>24</v>
      </c>
      <c r="AB4013" s="1" t="s">
        <v>24</v>
      </c>
      <c r="AC4013" s="1" t="s">
        <v>24</v>
      </c>
      <c r="AD4013" s="1" t="s">
        <v>24</v>
      </c>
      <c r="AE4013" s="1" t="s">
        <v>24</v>
      </c>
      <c r="AF4013" s="22"/>
    </row>
    <row r="4014" spans="1:32" x14ac:dyDescent="0.2">
      <c r="A4014" s="1">
        <v>33796</v>
      </c>
      <c r="B4014" s="1" t="s">
        <v>12334</v>
      </c>
      <c r="C4014" s="5" t="s">
        <v>0</v>
      </c>
      <c r="D4014" s="1" t="s">
        <v>12335</v>
      </c>
      <c r="E4014" s="1" t="s">
        <v>12336</v>
      </c>
      <c r="F4014" s="1" t="s">
        <v>12337</v>
      </c>
      <c r="G4014" s="1" t="s">
        <v>61</v>
      </c>
      <c r="H4014" s="1" t="s">
        <v>37</v>
      </c>
      <c r="I4014" s="1" t="s">
        <v>16</v>
      </c>
      <c r="J4014" s="1">
        <v>1</v>
      </c>
      <c r="K4014" s="1">
        <v>4</v>
      </c>
      <c r="L4014" s="1" t="s">
        <v>31</v>
      </c>
      <c r="M4014" s="1" t="s">
        <v>18</v>
      </c>
      <c r="N4014" s="1" t="s">
        <v>18</v>
      </c>
      <c r="O4014" s="1">
        <v>3</v>
      </c>
      <c r="P4014" s="1">
        <v>7</v>
      </c>
      <c r="Q4014" s="7" t="s">
        <v>17633</v>
      </c>
      <c r="R4014" s="1" t="s">
        <v>19</v>
      </c>
      <c r="S4014" s="1" t="s">
        <v>20</v>
      </c>
      <c r="T4014" s="1" t="s">
        <v>21</v>
      </c>
      <c r="U4014" s="1" t="s">
        <v>22</v>
      </c>
      <c r="V4014" s="1" t="s">
        <v>23</v>
      </c>
      <c r="W4014" s="1" t="s">
        <v>24</v>
      </c>
      <c r="X4014" s="1">
        <v>2708</v>
      </c>
      <c r="Y4014" s="1">
        <v>2734</v>
      </c>
      <c r="Z4014" s="1" t="s">
        <v>24</v>
      </c>
      <c r="AA4014" s="1" t="s">
        <v>24</v>
      </c>
      <c r="AB4014" s="1" t="s">
        <v>24</v>
      </c>
      <c r="AC4014" s="1" t="s">
        <v>24</v>
      </c>
      <c r="AD4014" s="1" t="s">
        <v>24</v>
      </c>
      <c r="AE4014" s="1" t="s">
        <v>24</v>
      </c>
      <c r="AF4014" s="22"/>
    </row>
    <row r="4015" spans="1:32" x14ac:dyDescent="0.2">
      <c r="A4015" s="1">
        <v>33802</v>
      </c>
      <c r="B4015" s="1" t="s">
        <v>12338</v>
      </c>
      <c r="C4015" s="5" t="s">
        <v>0</v>
      </c>
      <c r="D4015" s="1" t="s">
        <v>12339</v>
      </c>
      <c r="E4015" s="1" t="s">
        <v>12340</v>
      </c>
      <c r="F4015" s="1" t="s">
        <v>9596</v>
      </c>
      <c r="G4015" s="1" t="s">
        <v>130</v>
      </c>
      <c r="H4015" s="1" t="s">
        <v>4064</v>
      </c>
      <c r="I4015" s="1" t="s">
        <v>16</v>
      </c>
      <c r="J4015" s="1">
        <v>1</v>
      </c>
      <c r="K4015" s="1">
        <v>4</v>
      </c>
      <c r="L4015" s="1" t="s">
        <v>31</v>
      </c>
      <c r="M4015" s="1" t="s">
        <v>18</v>
      </c>
      <c r="N4015" s="1" t="s">
        <v>18</v>
      </c>
      <c r="O4015" s="1">
        <v>2</v>
      </c>
      <c r="P4015" s="1">
        <v>7</v>
      </c>
      <c r="Q4015" s="7" t="s">
        <v>17633</v>
      </c>
      <c r="R4015" s="1" t="s">
        <v>19</v>
      </c>
      <c r="S4015" s="1" t="s">
        <v>20</v>
      </c>
      <c r="T4015" s="1" t="s">
        <v>21</v>
      </c>
      <c r="U4015" s="1" t="s">
        <v>22</v>
      </c>
      <c r="V4015" s="1" t="s">
        <v>24</v>
      </c>
      <c r="W4015" s="1" t="s">
        <v>24</v>
      </c>
      <c r="X4015" s="1">
        <v>1303</v>
      </c>
      <c r="Y4015" s="1">
        <v>1304</v>
      </c>
      <c r="Z4015" s="1">
        <v>1307</v>
      </c>
      <c r="AA4015" s="1" t="s">
        <v>24</v>
      </c>
      <c r="AB4015" s="1" t="s">
        <v>24</v>
      </c>
      <c r="AC4015" s="1" t="s">
        <v>24</v>
      </c>
      <c r="AD4015" s="1" t="s">
        <v>24</v>
      </c>
      <c r="AE4015" s="1" t="s">
        <v>24</v>
      </c>
      <c r="AF4015" s="22"/>
    </row>
    <row r="4016" spans="1:32" x14ac:dyDescent="0.2">
      <c r="A4016" s="1">
        <v>33803</v>
      </c>
      <c r="B4016" s="1" t="s">
        <v>12341</v>
      </c>
      <c r="C4016" s="5" t="s">
        <v>0</v>
      </c>
      <c r="D4016" s="1" t="s">
        <v>12342</v>
      </c>
      <c r="E4016" s="1" t="s">
        <v>12343</v>
      </c>
      <c r="F4016" s="1" t="s">
        <v>9596</v>
      </c>
      <c r="G4016" s="1" t="s">
        <v>130</v>
      </c>
      <c r="H4016" s="1" t="s">
        <v>4064</v>
      </c>
      <c r="I4016" s="1" t="s">
        <v>16</v>
      </c>
      <c r="J4016" s="1">
        <v>1</v>
      </c>
      <c r="K4016" s="1">
        <v>4</v>
      </c>
      <c r="L4016" s="1" t="s">
        <v>31</v>
      </c>
      <c r="M4016" s="1" t="s">
        <v>18</v>
      </c>
      <c r="N4016" s="1" t="s">
        <v>18</v>
      </c>
      <c r="O4016" s="1">
        <v>2</v>
      </c>
      <c r="P4016" s="1">
        <v>7</v>
      </c>
      <c r="Q4016" s="7" t="s">
        <v>17633</v>
      </c>
      <c r="R4016" s="1" t="s">
        <v>19</v>
      </c>
      <c r="S4016" s="1" t="s">
        <v>20</v>
      </c>
      <c r="T4016" s="1" t="s">
        <v>21</v>
      </c>
      <c r="U4016" s="1" t="s">
        <v>22</v>
      </c>
      <c r="V4016" s="1" t="s">
        <v>24</v>
      </c>
      <c r="W4016" s="1" t="s">
        <v>24</v>
      </c>
      <c r="X4016" s="1">
        <v>1303</v>
      </c>
      <c r="Y4016" s="1">
        <v>1308</v>
      </c>
      <c r="Z4016" s="1">
        <v>1313</v>
      </c>
      <c r="AA4016" s="1" t="s">
        <v>24</v>
      </c>
      <c r="AB4016" s="1" t="s">
        <v>24</v>
      </c>
      <c r="AC4016" s="1" t="s">
        <v>24</v>
      </c>
      <c r="AD4016" s="1" t="s">
        <v>24</v>
      </c>
      <c r="AE4016" s="1" t="s">
        <v>24</v>
      </c>
      <c r="AF4016" s="22"/>
    </row>
    <row r="4017" spans="1:32" x14ac:dyDescent="0.2">
      <c r="A4017" s="1">
        <v>33807</v>
      </c>
      <c r="B4017" s="1" t="s">
        <v>12344</v>
      </c>
      <c r="C4017" s="5" t="s">
        <v>0</v>
      </c>
      <c r="D4017" s="1" t="s">
        <v>12345</v>
      </c>
      <c r="E4017" s="1" t="s">
        <v>12346</v>
      </c>
      <c r="F4017" s="1" t="s">
        <v>190</v>
      </c>
      <c r="G4017" s="1" t="s">
        <v>130</v>
      </c>
      <c r="H4017" s="1" t="s">
        <v>30</v>
      </c>
      <c r="I4017" s="1" t="s">
        <v>16</v>
      </c>
      <c r="J4017" s="1">
        <v>1</v>
      </c>
      <c r="K4017" s="1">
        <v>4</v>
      </c>
      <c r="L4017" s="1" t="s">
        <v>31</v>
      </c>
      <c r="M4017" s="1" t="s">
        <v>18</v>
      </c>
      <c r="N4017" s="1" t="s">
        <v>18</v>
      </c>
      <c r="O4017" s="1">
        <v>3</v>
      </c>
      <c r="P4017" s="1">
        <v>7</v>
      </c>
      <c r="Q4017" s="7" t="s">
        <v>17633</v>
      </c>
      <c r="R4017" s="1" t="s">
        <v>19</v>
      </c>
      <c r="S4017" s="1" t="s">
        <v>20</v>
      </c>
      <c r="T4017" s="1" t="s">
        <v>21</v>
      </c>
      <c r="U4017" s="1" t="s">
        <v>22</v>
      </c>
      <c r="V4017" s="1" t="s">
        <v>24</v>
      </c>
      <c r="W4017" s="1" t="s">
        <v>24</v>
      </c>
      <c r="X4017" s="1">
        <v>2721</v>
      </c>
      <c r="Y4017" s="1" t="s">
        <v>24</v>
      </c>
      <c r="Z4017" s="1" t="s">
        <v>24</v>
      </c>
      <c r="AA4017" s="1" t="s">
        <v>24</v>
      </c>
      <c r="AB4017" s="1" t="s">
        <v>24</v>
      </c>
      <c r="AC4017" s="1" t="s">
        <v>24</v>
      </c>
      <c r="AD4017" s="1" t="s">
        <v>24</v>
      </c>
      <c r="AE4017" s="1" t="s">
        <v>24</v>
      </c>
      <c r="AF4017" s="22"/>
    </row>
    <row r="4018" spans="1:32" x14ac:dyDescent="0.2">
      <c r="A4018" s="1">
        <v>33809</v>
      </c>
      <c r="B4018" s="1" t="s">
        <v>12347</v>
      </c>
      <c r="C4018" s="5" t="s">
        <v>0</v>
      </c>
      <c r="D4018" s="1" t="s">
        <v>12348</v>
      </c>
      <c r="E4018" s="1" t="s">
        <v>12349</v>
      </c>
      <c r="F4018" s="1" t="s">
        <v>217</v>
      </c>
      <c r="G4018" s="1" t="s">
        <v>130</v>
      </c>
      <c r="H4018" s="1" t="s">
        <v>92</v>
      </c>
      <c r="I4018" s="1" t="s">
        <v>16</v>
      </c>
      <c r="J4018" s="1">
        <v>1</v>
      </c>
      <c r="K4018" s="1">
        <v>4</v>
      </c>
      <c r="L4018" s="1" t="s">
        <v>31</v>
      </c>
      <c r="M4018" s="1" t="s">
        <v>18</v>
      </c>
      <c r="N4018" s="1" t="s">
        <v>18</v>
      </c>
      <c r="O4018" s="1">
        <v>3</v>
      </c>
      <c r="P4018" s="1">
        <v>7</v>
      </c>
      <c r="Q4018" s="7" t="s">
        <v>17633</v>
      </c>
      <c r="R4018" s="1" t="s">
        <v>19</v>
      </c>
      <c r="S4018" s="1" t="s">
        <v>20</v>
      </c>
      <c r="T4018" s="1" t="s">
        <v>21</v>
      </c>
      <c r="U4018" s="1" t="s">
        <v>22</v>
      </c>
      <c r="V4018" s="1" t="s">
        <v>24</v>
      </c>
      <c r="W4018" s="1" t="s">
        <v>24</v>
      </c>
      <c r="X4018" s="1">
        <v>1303</v>
      </c>
      <c r="Y4018" s="1">
        <v>1307</v>
      </c>
      <c r="Z4018" s="1">
        <v>1312</v>
      </c>
      <c r="AA4018" s="1" t="s">
        <v>24</v>
      </c>
      <c r="AB4018" s="1" t="s">
        <v>24</v>
      </c>
      <c r="AC4018" s="1" t="s">
        <v>24</v>
      </c>
      <c r="AD4018" s="1" t="s">
        <v>24</v>
      </c>
      <c r="AE4018" s="1" t="s">
        <v>24</v>
      </c>
      <c r="AF4018" s="22"/>
    </row>
    <row r="4019" spans="1:32" x14ac:dyDescent="0.2">
      <c r="A4019" s="1">
        <v>33811</v>
      </c>
      <c r="B4019" s="1" t="s">
        <v>12350</v>
      </c>
      <c r="C4019" s="5" t="s">
        <v>0</v>
      </c>
      <c r="D4019" s="1" t="s">
        <v>12351</v>
      </c>
      <c r="E4019" s="1" t="s">
        <v>12352</v>
      </c>
      <c r="F4019" s="1" t="s">
        <v>12353</v>
      </c>
      <c r="G4019" s="1" t="s">
        <v>130</v>
      </c>
      <c r="H4019" s="1" t="s">
        <v>1007</v>
      </c>
      <c r="I4019" s="1" t="s">
        <v>16</v>
      </c>
      <c r="J4019" s="1">
        <v>1</v>
      </c>
      <c r="K4019" s="1">
        <v>12</v>
      </c>
      <c r="L4019" s="1" t="s">
        <v>31</v>
      </c>
      <c r="M4019" s="1" t="s">
        <v>18</v>
      </c>
      <c r="N4019" s="1" t="s">
        <v>18</v>
      </c>
      <c r="O4019" s="1">
        <v>3</v>
      </c>
      <c r="P4019" s="1">
        <v>7</v>
      </c>
      <c r="Q4019" s="7" t="s">
        <v>17633</v>
      </c>
      <c r="R4019" s="1" t="s">
        <v>19</v>
      </c>
      <c r="S4019" s="1" t="s">
        <v>20</v>
      </c>
      <c r="T4019" s="1" t="s">
        <v>21</v>
      </c>
      <c r="U4019" s="1" t="s">
        <v>22</v>
      </c>
      <c r="V4019" s="1" t="s">
        <v>24</v>
      </c>
      <c r="W4019" s="1" t="s">
        <v>24</v>
      </c>
      <c r="X4019" s="1">
        <v>1300</v>
      </c>
      <c r="Y4019" s="1">
        <v>2700</v>
      </c>
      <c r="Z4019" s="1">
        <v>3000</v>
      </c>
      <c r="AA4019" s="1">
        <v>3400</v>
      </c>
      <c r="AB4019" s="1" t="s">
        <v>24</v>
      </c>
      <c r="AC4019" s="1" t="s">
        <v>24</v>
      </c>
      <c r="AD4019" s="1" t="s">
        <v>24</v>
      </c>
      <c r="AE4019" s="1" t="s">
        <v>24</v>
      </c>
      <c r="AF4019" s="22"/>
    </row>
    <row r="4020" spans="1:32" x14ac:dyDescent="0.2">
      <c r="A4020" s="1">
        <v>33828</v>
      </c>
      <c r="B4020" s="1" t="s">
        <v>12354</v>
      </c>
      <c r="C4020" s="5" t="s">
        <v>0</v>
      </c>
      <c r="D4020" s="1" t="s">
        <v>12355</v>
      </c>
      <c r="E4020" s="1" t="s">
        <v>12356</v>
      </c>
      <c r="F4020" s="1" t="s">
        <v>109</v>
      </c>
      <c r="G4020" s="1" t="s">
        <v>110</v>
      </c>
      <c r="H4020" s="1" t="s">
        <v>111</v>
      </c>
      <c r="I4020" s="1" t="s">
        <v>16</v>
      </c>
      <c r="J4020" s="1">
        <v>1</v>
      </c>
      <c r="K4020" s="1">
        <v>4</v>
      </c>
      <c r="L4020" s="1" t="s">
        <v>31</v>
      </c>
      <c r="M4020" s="1" t="s">
        <v>18</v>
      </c>
      <c r="N4020" s="1" t="s">
        <v>18</v>
      </c>
      <c r="O4020" s="1">
        <v>3</v>
      </c>
      <c r="P4020" s="1">
        <v>7</v>
      </c>
      <c r="Q4020" s="7" t="s">
        <v>17633</v>
      </c>
      <c r="R4020" s="1" t="s">
        <v>19</v>
      </c>
      <c r="S4020" s="1" t="s">
        <v>20</v>
      </c>
      <c r="T4020" s="1" t="s">
        <v>21</v>
      </c>
      <c r="U4020" s="1" t="s">
        <v>22</v>
      </c>
      <c r="V4020" s="1" t="s">
        <v>24</v>
      </c>
      <c r="W4020" s="1" t="s">
        <v>24</v>
      </c>
      <c r="X4020" s="1">
        <v>2730</v>
      </c>
      <c r="Y4020" s="1">
        <v>2743</v>
      </c>
      <c r="Z4020" s="1">
        <v>2748</v>
      </c>
      <c r="AA4020" s="1" t="s">
        <v>24</v>
      </c>
      <c r="AB4020" s="1" t="s">
        <v>24</v>
      </c>
      <c r="AC4020" s="1" t="s">
        <v>24</v>
      </c>
      <c r="AD4020" s="1" t="s">
        <v>24</v>
      </c>
      <c r="AE4020" s="1" t="s">
        <v>24</v>
      </c>
      <c r="AF4020" s="22"/>
    </row>
    <row r="4021" spans="1:32" x14ac:dyDescent="0.2">
      <c r="A4021" s="1">
        <v>33834</v>
      </c>
      <c r="B4021" s="1" t="s">
        <v>12357</v>
      </c>
      <c r="C4021" s="5" t="s">
        <v>0</v>
      </c>
      <c r="D4021" s="1" t="s">
        <v>12358</v>
      </c>
      <c r="E4021" s="1" t="s">
        <v>12359</v>
      </c>
      <c r="F4021" s="1" t="s">
        <v>10223</v>
      </c>
      <c r="G4021" s="1" t="s">
        <v>10224</v>
      </c>
      <c r="H4021" s="1" t="s">
        <v>37</v>
      </c>
      <c r="I4021" s="1" t="s">
        <v>16</v>
      </c>
      <c r="J4021" s="1">
        <v>1</v>
      </c>
      <c r="K4021" s="1">
        <v>4</v>
      </c>
      <c r="L4021" s="1" t="s">
        <v>42</v>
      </c>
      <c r="M4021" s="1" t="s">
        <v>18</v>
      </c>
      <c r="N4021" s="1" t="s">
        <v>18</v>
      </c>
      <c r="O4021" s="1">
        <v>3</v>
      </c>
      <c r="P4021" s="1">
        <v>7</v>
      </c>
      <c r="Q4021" s="7" t="s">
        <v>17633</v>
      </c>
      <c r="R4021" s="1" t="s">
        <v>19</v>
      </c>
      <c r="S4021" s="1" t="s">
        <v>63</v>
      </c>
      <c r="T4021" s="1" t="s">
        <v>21</v>
      </c>
      <c r="U4021" s="1" t="s">
        <v>22</v>
      </c>
      <c r="V4021" s="1" t="s">
        <v>24</v>
      </c>
      <c r="W4021" s="1" t="s">
        <v>24</v>
      </c>
      <c r="X4021" s="1">
        <v>2740</v>
      </c>
      <c r="Y4021" s="1" t="s">
        <v>24</v>
      </c>
      <c r="Z4021" s="1" t="s">
        <v>24</v>
      </c>
      <c r="AA4021" s="1" t="s">
        <v>24</v>
      </c>
      <c r="AB4021" s="1" t="s">
        <v>24</v>
      </c>
      <c r="AC4021" s="1" t="s">
        <v>24</v>
      </c>
      <c r="AD4021" s="1" t="s">
        <v>24</v>
      </c>
      <c r="AE4021" s="1" t="s">
        <v>24</v>
      </c>
      <c r="AF4021" s="22"/>
    </row>
    <row r="4022" spans="1:32" x14ac:dyDescent="0.2">
      <c r="A4022" s="1">
        <v>33841</v>
      </c>
      <c r="B4022" s="1" t="s">
        <v>12360</v>
      </c>
      <c r="C4022" s="5" t="s">
        <v>0</v>
      </c>
      <c r="D4022" s="1" t="s">
        <v>12361</v>
      </c>
      <c r="E4022" s="1" t="s">
        <v>12362</v>
      </c>
      <c r="F4022" s="1" t="s">
        <v>291</v>
      </c>
      <c r="G4022" s="1" t="s">
        <v>311</v>
      </c>
      <c r="H4022" s="1" t="s">
        <v>37</v>
      </c>
      <c r="I4022" s="1" t="s">
        <v>16</v>
      </c>
      <c r="J4022" s="1">
        <v>1</v>
      </c>
      <c r="K4022" s="1">
        <v>4</v>
      </c>
      <c r="L4022" s="1" t="s">
        <v>31</v>
      </c>
      <c r="M4022" s="1" t="s">
        <v>18</v>
      </c>
      <c r="N4022" s="1" t="s">
        <v>18</v>
      </c>
      <c r="O4022" s="1">
        <v>3</v>
      </c>
      <c r="P4022" s="1">
        <v>7</v>
      </c>
      <c r="Q4022" s="7" t="s">
        <v>17633</v>
      </c>
      <c r="R4022" s="1" t="s">
        <v>19</v>
      </c>
      <c r="S4022" s="1" t="s">
        <v>20</v>
      </c>
      <c r="T4022" s="1" t="s">
        <v>21</v>
      </c>
      <c r="U4022" s="1" t="s">
        <v>22</v>
      </c>
      <c r="V4022" s="1" t="s">
        <v>23</v>
      </c>
      <c r="W4022" s="1" t="s">
        <v>24</v>
      </c>
      <c r="X4022" s="1">
        <v>3616</v>
      </c>
      <c r="Y4022" s="1">
        <v>2742</v>
      </c>
      <c r="Z4022" s="1">
        <v>2805</v>
      </c>
      <c r="AA4022" s="1">
        <v>3310</v>
      </c>
      <c r="AB4022" s="1" t="s">
        <v>24</v>
      </c>
      <c r="AC4022" s="1" t="s">
        <v>24</v>
      </c>
      <c r="AD4022" s="1" t="s">
        <v>24</v>
      </c>
      <c r="AE4022" s="1" t="s">
        <v>24</v>
      </c>
      <c r="AF4022" s="22"/>
    </row>
    <row r="4023" spans="1:32" x14ac:dyDescent="0.2">
      <c r="A4023" s="1">
        <v>33856</v>
      </c>
      <c r="B4023" s="1" t="s">
        <v>12363</v>
      </c>
      <c r="C4023" s="5" t="s">
        <v>0</v>
      </c>
      <c r="D4023" s="1" t="s">
        <v>12364</v>
      </c>
      <c r="E4023" s="1" t="s">
        <v>12365</v>
      </c>
      <c r="F4023" s="1" t="s">
        <v>315</v>
      </c>
      <c r="G4023" s="1" t="s">
        <v>316</v>
      </c>
      <c r="H4023" s="1" t="s">
        <v>37</v>
      </c>
      <c r="I4023" s="1" t="s">
        <v>16</v>
      </c>
      <c r="J4023" s="1">
        <v>1</v>
      </c>
      <c r="K4023" s="1">
        <v>6</v>
      </c>
      <c r="L4023" s="1" t="s">
        <v>31</v>
      </c>
      <c r="M4023" s="1" t="s">
        <v>18</v>
      </c>
      <c r="N4023" s="1" t="s">
        <v>18</v>
      </c>
      <c r="O4023" s="1">
        <v>3</v>
      </c>
      <c r="P4023" s="1">
        <v>7</v>
      </c>
      <c r="Q4023" s="7" t="s">
        <v>17633</v>
      </c>
      <c r="R4023" s="1" t="s">
        <v>19</v>
      </c>
      <c r="S4023" s="1" t="s">
        <v>20</v>
      </c>
      <c r="T4023" s="1" t="s">
        <v>21</v>
      </c>
      <c r="U4023" s="1" t="s">
        <v>22</v>
      </c>
      <c r="V4023" s="1" t="s">
        <v>23</v>
      </c>
      <c r="W4023" s="1" t="s">
        <v>24</v>
      </c>
      <c r="X4023" s="1">
        <v>2403</v>
      </c>
      <c r="Y4023" s="1">
        <v>2723</v>
      </c>
      <c r="Z4023" s="1" t="s">
        <v>24</v>
      </c>
      <c r="AA4023" s="1" t="s">
        <v>24</v>
      </c>
      <c r="AB4023" s="1" t="s">
        <v>24</v>
      </c>
      <c r="AC4023" s="1" t="s">
        <v>24</v>
      </c>
      <c r="AD4023" s="1" t="s">
        <v>24</v>
      </c>
      <c r="AE4023" s="1" t="s">
        <v>24</v>
      </c>
      <c r="AF4023" s="22"/>
    </row>
    <row r="4024" spans="1:32" x14ac:dyDescent="0.2">
      <c r="A4024" s="1">
        <v>33859</v>
      </c>
      <c r="B4024" s="1" t="s">
        <v>12366</v>
      </c>
      <c r="C4024" s="5" t="s">
        <v>0</v>
      </c>
      <c r="D4024" s="1" t="s">
        <v>12367</v>
      </c>
      <c r="E4024" s="1" t="s">
        <v>12368</v>
      </c>
      <c r="F4024" s="1" t="s">
        <v>55</v>
      </c>
      <c r="G4024" s="1" t="s">
        <v>56</v>
      </c>
      <c r="H4024" s="1" t="s">
        <v>37</v>
      </c>
      <c r="I4024" s="1" t="s">
        <v>112</v>
      </c>
      <c r="J4024" s="1">
        <v>1</v>
      </c>
      <c r="K4024" s="1">
        <v>1</v>
      </c>
      <c r="L4024" s="1" t="s">
        <v>31</v>
      </c>
      <c r="M4024" s="1" t="s">
        <v>18</v>
      </c>
      <c r="N4024" s="1" t="s">
        <v>18</v>
      </c>
      <c r="O4024" s="1">
        <v>3</v>
      </c>
      <c r="P4024" s="1">
        <v>7</v>
      </c>
      <c r="Q4024" s="7" t="s">
        <v>17633</v>
      </c>
      <c r="R4024" s="1" t="s">
        <v>19</v>
      </c>
      <c r="S4024" s="1" t="s">
        <v>20</v>
      </c>
      <c r="T4024" s="1" t="s">
        <v>21</v>
      </c>
      <c r="U4024" s="1" t="s">
        <v>22</v>
      </c>
      <c r="V4024" s="1" t="s">
        <v>23</v>
      </c>
      <c r="W4024" s="1" t="s">
        <v>24</v>
      </c>
      <c r="X4024" s="1">
        <v>1306</v>
      </c>
      <c r="Y4024" s="1">
        <v>2730</v>
      </c>
      <c r="Z4024" s="1" t="s">
        <v>24</v>
      </c>
      <c r="AA4024" s="1" t="s">
        <v>24</v>
      </c>
      <c r="AB4024" s="1" t="s">
        <v>24</v>
      </c>
      <c r="AC4024" s="1" t="s">
        <v>24</v>
      </c>
      <c r="AD4024" s="1" t="s">
        <v>24</v>
      </c>
      <c r="AE4024" s="1" t="s">
        <v>24</v>
      </c>
      <c r="AF4024" s="22"/>
    </row>
    <row r="4025" spans="1:32" x14ac:dyDescent="0.2">
      <c r="A4025" s="1">
        <v>33864</v>
      </c>
      <c r="B4025" s="5" t="s">
        <v>12369</v>
      </c>
      <c r="C4025" s="5" t="s">
        <v>0</v>
      </c>
      <c r="D4025" s="1" t="s">
        <v>12370</v>
      </c>
      <c r="F4025" s="1" t="s">
        <v>17629</v>
      </c>
      <c r="G4025" s="1" t="s">
        <v>1878</v>
      </c>
      <c r="H4025" s="1" t="s">
        <v>30</v>
      </c>
      <c r="I4025" s="1" t="s">
        <v>16</v>
      </c>
      <c r="J4025" s="5">
        <v>1</v>
      </c>
      <c r="K4025" s="1">
        <v>1</v>
      </c>
      <c r="L4025" s="1" t="s">
        <v>31</v>
      </c>
      <c r="M4025" s="1" t="s">
        <v>18</v>
      </c>
      <c r="N4025" s="5" t="s">
        <v>18</v>
      </c>
      <c r="O4025" s="5">
        <v>3</v>
      </c>
      <c r="P4025" s="5">
        <v>6</v>
      </c>
      <c r="R4025" s="5" t="s">
        <v>19</v>
      </c>
      <c r="S4025" s="1" t="s">
        <v>20</v>
      </c>
      <c r="T4025" s="1" t="s">
        <v>21</v>
      </c>
      <c r="X4025" s="5">
        <v>2204</v>
      </c>
      <c r="AF4025" s="22" t="s">
        <v>17679</v>
      </c>
    </row>
    <row r="4026" spans="1:32" x14ac:dyDescent="0.2">
      <c r="A4026" s="1">
        <v>33869</v>
      </c>
      <c r="B4026" s="1" t="s">
        <v>12371</v>
      </c>
      <c r="C4026" s="5" t="s">
        <v>0</v>
      </c>
      <c r="D4026" s="1" t="s">
        <v>12372</v>
      </c>
      <c r="E4026" s="1" t="s">
        <v>12373</v>
      </c>
      <c r="F4026" s="1" t="s">
        <v>12374</v>
      </c>
      <c r="G4026" s="1" t="s">
        <v>36</v>
      </c>
      <c r="H4026" s="1" t="s">
        <v>30</v>
      </c>
      <c r="I4026" s="1" t="s">
        <v>16</v>
      </c>
      <c r="J4026" s="1">
        <v>1</v>
      </c>
      <c r="K4026" s="1">
        <v>4</v>
      </c>
      <c r="L4026" s="1" t="s">
        <v>31</v>
      </c>
      <c r="M4026" s="1" t="s">
        <v>18</v>
      </c>
      <c r="N4026" s="1" t="s">
        <v>18</v>
      </c>
      <c r="O4026" s="1">
        <v>3</v>
      </c>
      <c r="P4026" s="1">
        <v>7</v>
      </c>
      <c r="Q4026" s="7" t="s">
        <v>17633</v>
      </c>
      <c r="R4026" s="1" t="s">
        <v>19</v>
      </c>
      <c r="S4026" s="1" t="s">
        <v>20</v>
      </c>
      <c r="T4026" s="1" t="s">
        <v>21</v>
      </c>
      <c r="U4026" s="1" t="s">
        <v>22</v>
      </c>
      <c r="V4026" s="1" t="s">
        <v>23</v>
      </c>
      <c r="W4026" s="1" t="s">
        <v>24</v>
      </c>
      <c r="X4026" s="1">
        <v>2705</v>
      </c>
      <c r="Y4026" s="1">
        <v>2719</v>
      </c>
      <c r="Z4026" s="1">
        <v>2911</v>
      </c>
      <c r="AA4026" s="1" t="s">
        <v>24</v>
      </c>
      <c r="AB4026" s="1" t="s">
        <v>24</v>
      </c>
      <c r="AC4026" s="1" t="s">
        <v>24</v>
      </c>
      <c r="AD4026" s="1" t="s">
        <v>24</v>
      </c>
      <c r="AE4026" s="1" t="s">
        <v>24</v>
      </c>
      <c r="AF4026" s="22" t="s">
        <v>17670</v>
      </c>
    </row>
    <row r="4027" spans="1:32" x14ac:dyDescent="0.2">
      <c r="A4027" s="1">
        <v>33874</v>
      </c>
      <c r="B4027" s="1" t="s">
        <v>12375</v>
      </c>
      <c r="C4027" s="5" t="s">
        <v>0</v>
      </c>
      <c r="D4027" s="1" t="s">
        <v>12376</v>
      </c>
      <c r="E4027" s="1" t="s">
        <v>12377</v>
      </c>
      <c r="F4027" s="1" t="s">
        <v>296</v>
      </c>
      <c r="G4027" s="1" t="s">
        <v>36</v>
      </c>
      <c r="H4027" s="1" t="s">
        <v>264</v>
      </c>
      <c r="I4027" s="1" t="s">
        <v>16</v>
      </c>
      <c r="J4027" s="1">
        <v>1</v>
      </c>
      <c r="K4027" s="1">
        <v>3</v>
      </c>
      <c r="L4027" s="1" t="s">
        <v>31</v>
      </c>
      <c r="M4027" s="1" t="s">
        <v>18</v>
      </c>
      <c r="N4027" s="1" t="s">
        <v>18</v>
      </c>
      <c r="O4027" s="1">
        <v>3</v>
      </c>
      <c r="P4027" s="1">
        <v>7</v>
      </c>
      <c r="Q4027" s="7" t="s">
        <v>17633</v>
      </c>
      <c r="R4027" s="1" t="s">
        <v>19</v>
      </c>
      <c r="S4027" s="1" t="s">
        <v>20</v>
      </c>
      <c r="T4027" s="1" t="s">
        <v>21</v>
      </c>
      <c r="U4027" s="1" t="s">
        <v>22</v>
      </c>
      <c r="V4027" s="1" t="s">
        <v>24</v>
      </c>
      <c r="W4027" s="1" t="s">
        <v>24</v>
      </c>
      <c r="X4027" s="1">
        <v>2700</v>
      </c>
      <c r="Y4027" s="1">
        <v>1300</v>
      </c>
      <c r="Z4027" s="1">
        <v>2800</v>
      </c>
      <c r="AA4027" s="1">
        <v>3000</v>
      </c>
      <c r="AB4027" s="1" t="s">
        <v>24</v>
      </c>
      <c r="AC4027" s="1" t="s">
        <v>24</v>
      </c>
      <c r="AD4027" s="1" t="s">
        <v>24</v>
      </c>
      <c r="AE4027" s="1" t="s">
        <v>24</v>
      </c>
      <c r="AF4027" s="22"/>
    </row>
    <row r="4028" spans="1:32" x14ac:dyDescent="0.2">
      <c r="A4028" s="1">
        <v>33875</v>
      </c>
      <c r="B4028" s="1" t="s">
        <v>12378</v>
      </c>
      <c r="C4028" s="5" t="s">
        <v>0</v>
      </c>
      <c r="D4028" s="1" t="s">
        <v>12379</v>
      </c>
      <c r="E4028" s="1" t="s">
        <v>12380</v>
      </c>
      <c r="F4028" s="1" t="s">
        <v>296</v>
      </c>
      <c r="G4028" s="1" t="s">
        <v>36</v>
      </c>
      <c r="H4028" s="1" t="s">
        <v>264</v>
      </c>
      <c r="I4028" s="1" t="s">
        <v>16</v>
      </c>
      <c r="J4028" s="1">
        <v>1</v>
      </c>
      <c r="K4028" s="1">
        <v>4</v>
      </c>
      <c r="L4028" s="1" t="s">
        <v>31</v>
      </c>
      <c r="M4028" s="1" t="s">
        <v>18</v>
      </c>
      <c r="N4028" s="1" t="s">
        <v>18</v>
      </c>
      <c r="O4028" s="1">
        <v>3</v>
      </c>
      <c r="P4028" s="1">
        <v>7</v>
      </c>
      <c r="Q4028" s="7" t="s">
        <v>17633</v>
      </c>
      <c r="R4028" s="1" t="s">
        <v>19</v>
      </c>
      <c r="S4028" s="1" t="s">
        <v>20</v>
      </c>
      <c r="T4028" s="1" t="s">
        <v>21</v>
      </c>
      <c r="U4028" s="1" t="s">
        <v>22</v>
      </c>
      <c r="V4028" s="1" t="s">
        <v>23</v>
      </c>
      <c r="W4028" s="1" t="s">
        <v>24</v>
      </c>
      <c r="X4028" s="1">
        <v>2738</v>
      </c>
      <c r="Y4028" s="1">
        <v>2921</v>
      </c>
      <c r="Z4028" s="1">
        <v>2803</v>
      </c>
      <c r="AA4028" s="1" t="s">
        <v>24</v>
      </c>
      <c r="AB4028" s="1" t="s">
        <v>24</v>
      </c>
      <c r="AC4028" s="1" t="s">
        <v>24</v>
      </c>
      <c r="AD4028" s="1" t="s">
        <v>24</v>
      </c>
      <c r="AE4028" s="1" t="s">
        <v>24</v>
      </c>
      <c r="AF4028" s="22"/>
    </row>
    <row r="4029" spans="1:32" x14ac:dyDescent="0.2">
      <c r="A4029" s="1">
        <v>33881</v>
      </c>
      <c r="B4029" s="1" t="s">
        <v>12381</v>
      </c>
      <c r="C4029" s="5" t="s">
        <v>0</v>
      </c>
      <c r="D4029" s="1" t="s">
        <v>12382</v>
      </c>
      <c r="E4029" s="1" t="s">
        <v>12383</v>
      </c>
      <c r="F4029" s="1" t="s">
        <v>296</v>
      </c>
      <c r="G4029" s="1" t="s">
        <v>36</v>
      </c>
      <c r="H4029" s="1" t="s">
        <v>264</v>
      </c>
      <c r="I4029" s="1" t="s">
        <v>16</v>
      </c>
      <c r="J4029" s="1">
        <v>1</v>
      </c>
      <c r="K4029" s="1">
        <v>6</v>
      </c>
      <c r="L4029" s="1" t="s">
        <v>31</v>
      </c>
      <c r="M4029" s="1" t="s">
        <v>18</v>
      </c>
      <c r="N4029" s="1" t="s">
        <v>18</v>
      </c>
      <c r="O4029" s="1">
        <v>3</v>
      </c>
      <c r="P4029" s="1">
        <v>7</v>
      </c>
      <c r="Q4029" s="7" t="s">
        <v>17633</v>
      </c>
      <c r="R4029" s="1" t="s">
        <v>19</v>
      </c>
      <c r="S4029" s="1" t="s">
        <v>20</v>
      </c>
      <c r="T4029" s="1" t="s">
        <v>21</v>
      </c>
      <c r="U4029" s="1" t="s">
        <v>22</v>
      </c>
      <c r="V4029" s="1" t="s">
        <v>24</v>
      </c>
      <c r="W4029" s="1" t="s">
        <v>24</v>
      </c>
      <c r="X4029" s="1">
        <v>2725</v>
      </c>
      <c r="Y4029" s="1">
        <v>2740</v>
      </c>
      <c r="Z4029" s="1">
        <v>2739</v>
      </c>
      <c r="AA4029" s="1">
        <v>2713</v>
      </c>
      <c r="AB4029" s="1" t="s">
        <v>24</v>
      </c>
      <c r="AC4029" s="1" t="s">
        <v>24</v>
      </c>
      <c r="AD4029" s="1" t="s">
        <v>24</v>
      </c>
      <c r="AE4029" s="1" t="s">
        <v>24</v>
      </c>
      <c r="AF4029" s="22"/>
    </row>
    <row r="4030" spans="1:32" x14ac:dyDescent="0.2">
      <c r="A4030" s="1">
        <v>33904</v>
      </c>
      <c r="B4030" s="1" t="s">
        <v>12384</v>
      </c>
      <c r="C4030" s="5" t="s">
        <v>0</v>
      </c>
      <c r="D4030" s="1" t="s">
        <v>12385</v>
      </c>
      <c r="E4030" s="1" t="s">
        <v>12386</v>
      </c>
      <c r="F4030" s="1" t="s">
        <v>28</v>
      </c>
      <c r="G4030" s="1" t="s">
        <v>29</v>
      </c>
      <c r="H4030" s="1" t="s">
        <v>37</v>
      </c>
      <c r="I4030" s="1" t="s">
        <v>16</v>
      </c>
      <c r="J4030" s="1">
        <v>1</v>
      </c>
      <c r="K4030" s="1">
        <v>4</v>
      </c>
      <c r="L4030" s="1" t="s">
        <v>31</v>
      </c>
      <c r="M4030" s="1" t="s">
        <v>18</v>
      </c>
      <c r="N4030" s="1" t="s">
        <v>18</v>
      </c>
      <c r="O4030" s="1">
        <v>3</v>
      </c>
      <c r="P4030" s="1">
        <v>7</v>
      </c>
      <c r="Q4030" s="7" t="s">
        <v>17633</v>
      </c>
      <c r="R4030" s="1" t="s">
        <v>19</v>
      </c>
      <c r="S4030" s="1" t="s">
        <v>20</v>
      </c>
      <c r="T4030" s="1" t="s">
        <v>21</v>
      </c>
      <c r="U4030" s="1" t="s">
        <v>22</v>
      </c>
      <c r="V4030" s="1" t="s">
        <v>24</v>
      </c>
      <c r="W4030" s="1" t="s">
        <v>24</v>
      </c>
      <c r="X4030" s="1">
        <v>2738</v>
      </c>
      <c r="Y4030" s="1">
        <v>2736</v>
      </c>
      <c r="Z4030" s="1" t="s">
        <v>24</v>
      </c>
      <c r="AA4030" s="1" t="s">
        <v>24</v>
      </c>
      <c r="AB4030" s="1" t="s">
        <v>24</v>
      </c>
      <c r="AC4030" s="1" t="s">
        <v>24</v>
      </c>
      <c r="AD4030" s="1" t="s">
        <v>24</v>
      </c>
      <c r="AE4030" s="1" t="s">
        <v>24</v>
      </c>
      <c r="AF4030" s="22"/>
    </row>
    <row r="4031" spans="1:32" x14ac:dyDescent="0.2">
      <c r="A4031" s="1">
        <v>33906</v>
      </c>
      <c r="B4031" s="1" t="s">
        <v>12387</v>
      </c>
      <c r="C4031" s="5" t="s">
        <v>0</v>
      </c>
      <c r="E4031" s="1" t="s">
        <v>12388</v>
      </c>
      <c r="F4031" s="1" t="s">
        <v>12389</v>
      </c>
      <c r="G4031" s="1" t="s">
        <v>12390</v>
      </c>
      <c r="H4031" s="1" t="s">
        <v>30</v>
      </c>
      <c r="I4031" s="1" t="s">
        <v>16</v>
      </c>
      <c r="J4031" s="1">
        <v>1</v>
      </c>
      <c r="K4031" s="1">
        <v>2</v>
      </c>
      <c r="L4031" s="1" t="s">
        <v>42</v>
      </c>
      <c r="M4031" s="1" t="s">
        <v>18</v>
      </c>
      <c r="N4031" s="1" t="s">
        <v>18</v>
      </c>
      <c r="O4031" s="1">
        <v>3</v>
      </c>
      <c r="P4031" s="1">
        <v>6</v>
      </c>
      <c r="R4031" s="1" t="s">
        <v>19</v>
      </c>
      <c r="S4031" s="1" t="s">
        <v>20</v>
      </c>
      <c r="T4031" s="1" t="s">
        <v>21</v>
      </c>
      <c r="V4031" s="1" t="s">
        <v>24</v>
      </c>
      <c r="W4031" s="1" t="s">
        <v>24</v>
      </c>
      <c r="X4031" s="1">
        <v>2720</v>
      </c>
      <c r="Y4031" s="1" t="s">
        <v>24</v>
      </c>
      <c r="Z4031" s="1" t="s">
        <v>24</v>
      </c>
      <c r="AA4031" s="1" t="s">
        <v>24</v>
      </c>
      <c r="AB4031" s="1" t="s">
        <v>24</v>
      </c>
      <c r="AC4031" s="1" t="s">
        <v>24</v>
      </c>
      <c r="AD4031" s="1" t="s">
        <v>24</v>
      </c>
      <c r="AE4031" s="1" t="s">
        <v>24</v>
      </c>
      <c r="AF4031" s="22"/>
    </row>
    <row r="4032" spans="1:32" x14ac:dyDescent="0.2">
      <c r="A4032" s="1">
        <v>33945</v>
      </c>
      <c r="B4032" s="1" t="s">
        <v>12391</v>
      </c>
      <c r="C4032" s="5" t="s">
        <v>0</v>
      </c>
      <c r="D4032" s="1" t="s">
        <v>12392</v>
      </c>
      <c r="F4032" s="1" t="s">
        <v>12393</v>
      </c>
      <c r="G4032" s="1" t="s">
        <v>68</v>
      </c>
      <c r="H4032" s="1" t="s">
        <v>4724</v>
      </c>
      <c r="I4032" s="1" t="s">
        <v>16</v>
      </c>
      <c r="J4032" s="1">
        <v>1</v>
      </c>
      <c r="K4032" s="1">
        <v>6</v>
      </c>
      <c r="L4032" s="1" t="s">
        <v>42</v>
      </c>
      <c r="M4032" s="1" t="s">
        <v>117</v>
      </c>
      <c r="N4032" s="1" t="s">
        <v>118</v>
      </c>
      <c r="O4032" s="1">
        <v>3</v>
      </c>
      <c r="P4032" s="1">
        <v>5</v>
      </c>
      <c r="R4032" s="1" t="s">
        <v>19</v>
      </c>
      <c r="S4032" s="1" t="s">
        <v>20</v>
      </c>
      <c r="T4032" s="1" t="s">
        <v>21</v>
      </c>
      <c r="U4032" s="1" t="s">
        <v>22</v>
      </c>
      <c r="V4032" s="1" t="s">
        <v>24</v>
      </c>
      <c r="W4032" s="1" t="s">
        <v>24</v>
      </c>
      <c r="X4032" s="1">
        <v>2705</v>
      </c>
      <c r="Y4032" s="1" t="s">
        <v>24</v>
      </c>
      <c r="Z4032" s="1" t="s">
        <v>24</v>
      </c>
      <c r="AA4032" s="1" t="s">
        <v>24</v>
      </c>
      <c r="AB4032" s="1" t="s">
        <v>24</v>
      </c>
      <c r="AC4032" s="1" t="s">
        <v>24</v>
      </c>
      <c r="AD4032" s="1" t="s">
        <v>24</v>
      </c>
      <c r="AE4032" s="1" t="s">
        <v>24</v>
      </c>
      <c r="AF4032" s="22"/>
    </row>
    <row r="4033" spans="1:32" x14ac:dyDescent="0.2">
      <c r="A4033" s="1">
        <v>33954</v>
      </c>
      <c r="B4033" s="1" t="s">
        <v>12394</v>
      </c>
      <c r="C4033" s="5" t="s">
        <v>0</v>
      </c>
      <c r="D4033" s="1" t="s">
        <v>12395</v>
      </c>
      <c r="F4033" s="1" t="s">
        <v>12396</v>
      </c>
      <c r="G4033" s="1" t="s">
        <v>3649</v>
      </c>
      <c r="H4033" s="1" t="s">
        <v>147</v>
      </c>
      <c r="I4033" s="1" t="s">
        <v>16</v>
      </c>
      <c r="J4033" s="1">
        <v>1</v>
      </c>
      <c r="K4033" s="1">
        <v>4</v>
      </c>
      <c r="L4033" s="1" t="s">
        <v>42</v>
      </c>
      <c r="M4033" s="1" t="s">
        <v>117</v>
      </c>
      <c r="N4033" s="1" t="s">
        <v>117</v>
      </c>
      <c r="O4033" s="1">
        <v>3</v>
      </c>
      <c r="P4033" s="1">
        <v>5</v>
      </c>
      <c r="R4033" s="1" t="s">
        <v>19</v>
      </c>
      <c r="S4033" s="1" t="s">
        <v>20</v>
      </c>
      <c r="T4033" s="1" t="s">
        <v>21</v>
      </c>
      <c r="U4033" s="1" t="s">
        <v>22</v>
      </c>
      <c r="V4033" s="1" t="s">
        <v>24</v>
      </c>
      <c r="W4033" s="1" t="s">
        <v>24</v>
      </c>
      <c r="X4033" s="1">
        <v>2730</v>
      </c>
      <c r="Y4033" s="1" t="s">
        <v>24</v>
      </c>
      <c r="Z4033" s="1" t="s">
        <v>24</v>
      </c>
      <c r="AA4033" s="1" t="s">
        <v>24</v>
      </c>
      <c r="AB4033" s="1" t="s">
        <v>24</v>
      </c>
      <c r="AC4033" s="1" t="s">
        <v>24</v>
      </c>
      <c r="AD4033" s="1" t="s">
        <v>24</v>
      </c>
      <c r="AE4033" s="1" t="s">
        <v>24</v>
      </c>
      <c r="AF4033" s="22"/>
    </row>
    <row r="4034" spans="1:32" x14ac:dyDescent="0.2">
      <c r="A4034" s="1">
        <v>33978</v>
      </c>
      <c r="B4034" s="1" t="s">
        <v>12397</v>
      </c>
      <c r="C4034" s="5" t="s">
        <v>0</v>
      </c>
      <c r="D4034" s="1" t="s">
        <v>12398</v>
      </c>
      <c r="E4034" s="1" t="s">
        <v>12399</v>
      </c>
      <c r="F4034" s="1" t="s">
        <v>97</v>
      </c>
      <c r="G4034" s="1" t="s">
        <v>98</v>
      </c>
      <c r="H4034" s="1" t="s">
        <v>37</v>
      </c>
      <c r="I4034" s="1" t="s">
        <v>16</v>
      </c>
      <c r="J4034" s="1">
        <v>1</v>
      </c>
      <c r="K4034" s="1">
        <v>6</v>
      </c>
      <c r="L4034" s="1" t="s">
        <v>31</v>
      </c>
      <c r="M4034" s="1" t="s">
        <v>18</v>
      </c>
      <c r="N4034" s="1" t="s">
        <v>18</v>
      </c>
      <c r="O4034" s="1">
        <v>3</v>
      </c>
      <c r="P4034" s="1">
        <v>7</v>
      </c>
      <c r="Q4034" s="7" t="s">
        <v>17633</v>
      </c>
      <c r="R4034" s="1" t="s">
        <v>19</v>
      </c>
      <c r="S4034" s="1" t="s">
        <v>20</v>
      </c>
      <c r="T4034" s="1" t="s">
        <v>21</v>
      </c>
      <c r="U4034" s="1" t="s">
        <v>22</v>
      </c>
      <c r="V4034" s="1" t="s">
        <v>23</v>
      </c>
      <c r="W4034" s="1" t="s">
        <v>24</v>
      </c>
      <c r="X4034" s="1">
        <v>2705</v>
      </c>
      <c r="Y4034" s="1">
        <v>2736</v>
      </c>
      <c r="Z4034" s="1" t="s">
        <v>24</v>
      </c>
      <c r="AA4034" s="1" t="s">
        <v>24</v>
      </c>
      <c r="AB4034" s="1" t="s">
        <v>24</v>
      </c>
      <c r="AC4034" s="1" t="s">
        <v>24</v>
      </c>
      <c r="AD4034" s="1" t="s">
        <v>24</v>
      </c>
      <c r="AE4034" s="1" t="s">
        <v>24</v>
      </c>
      <c r="AF4034" s="22"/>
    </row>
    <row r="4035" spans="1:32" x14ac:dyDescent="0.2">
      <c r="A4035" s="1">
        <v>33979</v>
      </c>
      <c r="B4035" s="1" t="s">
        <v>12400</v>
      </c>
      <c r="C4035" s="5" t="s">
        <v>0</v>
      </c>
      <c r="D4035" s="1" t="s">
        <v>12401</v>
      </c>
      <c r="E4035" s="1" t="s">
        <v>12402</v>
      </c>
      <c r="F4035" s="1" t="s">
        <v>97</v>
      </c>
      <c r="G4035" s="1" t="s">
        <v>98</v>
      </c>
      <c r="H4035" s="1" t="s">
        <v>37</v>
      </c>
      <c r="I4035" s="1" t="s">
        <v>16</v>
      </c>
      <c r="J4035" s="1">
        <v>1</v>
      </c>
      <c r="K4035" s="1">
        <v>6</v>
      </c>
      <c r="L4035" s="1" t="s">
        <v>31</v>
      </c>
      <c r="M4035" s="1" t="s">
        <v>18</v>
      </c>
      <c r="N4035" s="1" t="s">
        <v>18</v>
      </c>
      <c r="O4035" s="1">
        <v>3</v>
      </c>
      <c r="P4035" s="1">
        <v>7</v>
      </c>
      <c r="Q4035" s="7" t="s">
        <v>17633</v>
      </c>
      <c r="R4035" s="1" t="s">
        <v>19</v>
      </c>
      <c r="S4035" s="1" t="s">
        <v>20</v>
      </c>
      <c r="T4035" s="1" t="s">
        <v>21</v>
      </c>
      <c r="U4035" s="1" t="s">
        <v>22</v>
      </c>
      <c r="V4035" s="1" t="s">
        <v>23</v>
      </c>
      <c r="W4035" s="1" t="s">
        <v>24</v>
      </c>
      <c r="X4035" s="1">
        <v>2740</v>
      </c>
      <c r="Y4035" s="1">
        <v>2736</v>
      </c>
      <c r="Z4035" s="1" t="s">
        <v>24</v>
      </c>
      <c r="AA4035" s="1" t="s">
        <v>24</v>
      </c>
      <c r="AB4035" s="1" t="s">
        <v>24</v>
      </c>
      <c r="AC4035" s="1" t="s">
        <v>24</v>
      </c>
      <c r="AD4035" s="1" t="s">
        <v>24</v>
      </c>
      <c r="AE4035" s="1" t="s">
        <v>24</v>
      </c>
      <c r="AF4035" s="22"/>
    </row>
    <row r="4036" spans="1:32" x14ac:dyDescent="0.2">
      <c r="A4036" s="1">
        <v>33982</v>
      </c>
      <c r="B4036" s="1" t="s">
        <v>12403</v>
      </c>
      <c r="C4036" s="5" t="s">
        <v>0</v>
      </c>
      <c r="D4036" s="1" t="s">
        <v>12404</v>
      </c>
      <c r="E4036" s="1" t="s">
        <v>12405</v>
      </c>
      <c r="F4036" s="1" t="s">
        <v>1412</v>
      </c>
      <c r="G4036" s="1" t="s">
        <v>1413</v>
      </c>
      <c r="H4036" s="1" t="s">
        <v>30</v>
      </c>
      <c r="I4036" s="1" t="s">
        <v>16</v>
      </c>
      <c r="J4036" s="1">
        <v>0</v>
      </c>
      <c r="K4036" s="1">
        <v>0</v>
      </c>
      <c r="L4036" s="1" t="s">
        <v>31</v>
      </c>
      <c r="M4036" s="1" t="s">
        <v>18</v>
      </c>
      <c r="N4036" s="1" t="s">
        <v>18</v>
      </c>
      <c r="O4036" s="1">
        <v>2</v>
      </c>
      <c r="P4036" s="1">
        <v>7</v>
      </c>
      <c r="Q4036" s="7" t="s">
        <v>17633</v>
      </c>
      <c r="R4036" s="1" t="s">
        <v>19</v>
      </c>
      <c r="S4036" s="1" t="s">
        <v>63</v>
      </c>
      <c r="T4036" s="1" t="s">
        <v>21</v>
      </c>
      <c r="U4036" s="1" t="s">
        <v>22</v>
      </c>
      <c r="V4036" s="1" t="s">
        <v>24</v>
      </c>
      <c r="W4036" s="1" t="s">
        <v>24</v>
      </c>
      <c r="X4036" s="1">
        <v>1313</v>
      </c>
      <c r="Y4036" s="1">
        <v>2736</v>
      </c>
      <c r="Z4036" s="1">
        <v>3000</v>
      </c>
      <c r="AA4036" s="1" t="s">
        <v>24</v>
      </c>
      <c r="AB4036" s="1" t="s">
        <v>24</v>
      </c>
      <c r="AC4036" s="1" t="s">
        <v>24</v>
      </c>
      <c r="AD4036" s="1" t="s">
        <v>24</v>
      </c>
      <c r="AE4036" s="1" t="s">
        <v>24</v>
      </c>
      <c r="AF4036" s="22"/>
    </row>
    <row r="4037" spans="1:32" x14ac:dyDescent="0.2">
      <c r="A4037" s="1">
        <v>33983</v>
      </c>
      <c r="B4037" s="1" t="s">
        <v>12406</v>
      </c>
      <c r="C4037" s="5" t="s">
        <v>0</v>
      </c>
      <c r="D4037" s="1" t="s">
        <v>12407</v>
      </c>
      <c r="E4037" s="1" t="s">
        <v>12408</v>
      </c>
      <c r="F4037" s="1" t="s">
        <v>1412</v>
      </c>
      <c r="G4037" s="1" t="s">
        <v>1413</v>
      </c>
      <c r="H4037" s="1" t="s">
        <v>30</v>
      </c>
      <c r="I4037" s="1" t="s">
        <v>16</v>
      </c>
      <c r="J4037" s="1">
        <v>0</v>
      </c>
      <c r="K4037" s="1">
        <v>0</v>
      </c>
      <c r="L4037" s="1" t="s">
        <v>31</v>
      </c>
      <c r="M4037" s="1" t="s">
        <v>18</v>
      </c>
      <c r="N4037" s="1" t="s">
        <v>18</v>
      </c>
      <c r="O4037" s="1">
        <v>2</v>
      </c>
      <c r="P4037" s="1">
        <v>7</v>
      </c>
      <c r="Q4037" s="7" t="s">
        <v>17633</v>
      </c>
      <c r="R4037" s="1" t="s">
        <v>19</v>
      </c>
      <c r="S4037" s="1" t="s">
        <v>63</v>
      </c>
      <c r="T4037" s="1" t="s">
        <v>21</v>
      </c>
      <c r="U4037" s="1" t="s">
        <v>22</v>
      </c>
      <c r="V4037" s="1" t="s">
        <v>24</v>
      </c>
      <c r="W4037" s="1" t="s">
        <v>24</v>
      </c>
      <c r="X4037" s="1">
        <v>2703</v>
      </c>
      <c r="Y4037" s="1">
        <v>2706</v>
      </c>
      <c r="Z4037" s="1" t="s">
        <v>24</v>
      </c>
      <c r="AA4037" s="1" t="s">
        <v>24</v>
      </c>
      <c r="AB4037" s="1" t="s">
        <v>24</v>
      </c>
      <c r="AC4037" s="1" t="s">
        <v>24</v>
      </c>
      <c r="AD4037" s="1" t="s">
        <v>24</v>
      </c>
      <c r="AE4037" s="1" t="s">
        <v>24</v>
      </c>
      <c r="AF4037" s="22"/>
    </row>
    <row r="4038" spans="1:32" x14ac:dyDescent="0.2">
      <c r="A4038" s="1">
        <v>33987</v>
      </c>
      <c r="B4038" s="1" t="s">
        <v>12409</v>
      </c>
      <c r="C4038" s="5" t="s">
        <v>0</v>
      </c>
      <c r="D4038" s="1" t="s">
        <v>12410</v>
      </c>
      <c r="F4038" s="1" t="s">
        <v>11251</v>
      </c>
      <c r="G4038" s="1" t="s">
        <v>11251</v>
      </c>
      <c r="H4038" s="1" t="s">
        <v>3228</v>
      </c>
      <c r="I4038" s="1" t="s">
        <v>16</v>
      </c>
      <c r="J4038" s="1">
        <v>1</v>
      </c>
      <c r="K4038" s="1">
        <v>1</v>
      </c>
      <c r="L4038" s="1" t="s">
        <v>42</v>
      </c>
      <c r="M4038" s="1" t="s">
        <v>18</v>
      </c>
      <c r="N4038" s="1" t="s">
        <v>18</v>
      </c>
      <c r="O4038" s="1">
        <v>3</v>
      </c>
      <c r="P4038" s="1">
        <v>6</v>
      </c>
      <c r="R4038" s="1" t="s">
        <v>19</v>
      </c>
      <c r="S4038" s="1" t="s">
        <v>63</v>
      </c>
      <c r="T4038" s="1" t="s">
        <v>21</v>
      </c>
      <c r="U4038" s="1" t="s">
        <v>22</v>
      </c>
      <c r="V4038" s="1" t="s">
        <v>24</v>
      </c>
      <c r="W4038" s="1" t="s">
        <v>24</v>
      </c>
      <c r="X4038" s="1">
        <v>1308</v>
      </c>
      <c r="Y4038" s="1">
        <v>2700</v>
      </c>
      <c r="Z4038" s="1">
        <v>2736</v>
      </c>
      <c r="AA4038" s="1">
        <v>3000</v>
      </c>
      <c r="AB4038" s="1" t="s">
        <v>24</v>
      </c>
      <c r="AC4038" s="1" t="s">
        <v>24</v>
      </c>
      <c r="AD4038" s="1" t="s">
        <v>24</v>
      </c>
      <c r="AE4038" s="1" t="s">
        <v>24</v>
      </c>
      <c r="AF4038" s="22" t="s">
        <v>17678</v>
      </c>
    </row>
    <row r="4039" spans="1:32" x14ac:dyDescent="0.2">
      <c r="A4039" s="1">
        <v>33988</v>
      </c>
      <c r="B4039" s="1" t="s">
        <v>12411</v>
      </c>
      <c r="C4039" s="5" t="s">
        <v>0</v>
      </c>
      <c r="D4039" s="1" t="s">
        <v>12412</v>
      </c>
      <c r="F4039" s="1" t="s">
        <v>11251</v>
      </c>
      <c r="G4039" s="1" t="s">
        <v>11251</v>
      </c>
      <c r="H4039" s="1" t="s">
        <v>3228</v>
      </c>
      <c r="I4039" s="1" t="s">
        <v>16</v>
      </c>
      <c r="J4039" s="1">
        <v>1</v>
      </c>
      <c r="K4039" s="1">
        <v>1</v>
      </c>
      <c r="L4039" s="1" t="s">
        <v>42</v>
      </c>
      <c r="M4039" s="1" t="s">
        <v>18</v>
      </c>
      <c r="N4039" s="1" t="s">
        <v>18</v>
      </c>
      <c r="O4039" s="1">
        <v>3</v>
      </c>
      <c r="P4039" s="1">
        <v>6</v>
      </c>
      <c r="R4039" s="1" t="s">
        <v>19</v>
      </c>
      <c r="S4039" s="1" t="s">
        <v>63</v>
      </c>
      <c r="T4039" s="1" t="s">
        <v>21</v>
      </c>
      <c r="U4039" s="1" t="s">
        <v>22</v>
      </c>
      <c r="V4039" s="1" t="s">
        <v>24</v>
      </c>
      <c r="W4039" s="1" t="s">
        <v>24</v>
      </c>
      <c r="X4039" s="1">
        <v>1311</v>
      </c>
      <c r="Y4039" s="1">
        <v>1105</v>
      </c>
      <c r="Z4039" s="1">
        <v>1706</v>
      </c>
      <c r="AA4039" s="1">
        <v>1312</v>
      </c>
      <c r="AB4039" s="1" t="s">
        <v>24</v>
      </c>
      <c r="AC4039" s="1" t="s">
        <v>24</v>
      </c>
      <c r="AD4039" s="1" t="s">
        <v>24</v>
      </c>
      <c r="AE4039" s="1" t="s">
        <v>24</v>
      </c>
      <c r="AF4039" s="22" t="s">
        <v>17678</v>
      </c>
    </row>
    <row r="4040" spans="1:32" x14ac:dyDescent="0.2">
      <c r="A4040" s="1">
        <v>33989</v>
      </c>
      <c r="B4040" s="1" t="s">
        <v>12413</v>
      </c>
      <c r="C4040" s="5" t="s">
        <v>0</v>
      </c>
      <c r="D4040" s="1" t="s">
        <v>12414</v>
      </c>
      <c r="F4040" s="1" t="s">
        <v>11251</v>
      </c>
      <c r="G4040" s="1" t="s">
        <v>11251</v>
      </c>
      <c r="H4040" s="1" t="s">
        <v>3228</v>
      </c>
      <c r="I4040" s="1" t="s">
        <v>16</v>
      </c>
      <c r="J4040" s="1">
        <v>1</v>
      </c>
      <c r="K4040" s="1">
        <v>1</v>
      </c>
      <c r="L4040" s="1" t="s">
        <v>42</v>
      </c>
      <c r="M4040" s="1" t="s">
        <v>18</v>
      </c>
      <c r="N4040" s="1" t="s">
        <v>18</v>
      </c>
      <c r="O4040" s="1">
        <v>3</v>
      </c>
      <c r="P4040" s="1">
        <v>6</v>
      </c>
      <c r="R4040" s="1" t="s">
        <v>19</v>
      </c>
      <c r="S4040" s="1" t="s">
        <v>63</v>
      </c>
      <c r="T4040" s="1" t="s">
        <v>21</v>
      </c>
      <c r="U4040" s="1" t="s">
        <v>22</v>
      </c>
      <c r="V4040" s="1" t="s">
        <v>24</v>
      </c>
      <c r="W4040" s="1" t="s">
        <v>24</v>
      </c>
      <c r="X4040" s="1">
        <v>2707</v>
      </c>
      <c r="Y4040" s="1" t="s">
        <v>24</v>
      </c>
      <c r="Z4040" s="1" t="s">
        <v>24</v>
      </c>
      <c r="AA4040" s="1" t="s">
        <v>24</v>
      </c>
      <c r="AB4040" s="1" t="s">
        <v>24</v>
      </c>
      <c r="AC4040" s="1" t="s">
        <v>24</v>
      </c>
      <c r="AD4040" s="1" t="s">
        <v>24</v>
      </c>
      <c r="AE4040" s="1" t="s">
        <v>24</v>
      </c>
      <c r="AF4040" s="22" t="s">
        <v>17678</v>
      </c>
    </row>
    <row r="4041" spans="1:32" x14ac:dyDescent="0.2">
      <c r="A4041" s="1">
        <v>33990</v>
      </c>
      <c r="B4041" s="1" t="s">
        <v>12415</v>
      </c>
      <c r="C4041" s="5" t="s">
        <v>0</v>
      </c>
      <c r="E4041" s="1" t="s">
        <v>12416</v>
      </c>
      <c r="F4041" s="1" t="s">
        <v>11251</v>
      </c>
      <c r="G4041" s="1" t="s">
        <v>11251</v>
      </c>
      <c r="H4041" s="1" t="s">
        <v>3228</v>
      </c>
      <c r="I4041" s="1" t="s">
        <v>16</v>
      </c>
      <c r="J4041" s="1">
        <v>1</v>
      </c>
      <c r="K4041" s="1">
        <v>1</v>
      </c>
      <c r="L4041" s="1" t="s">
        <v>42</v>
      </c>
      <c r="M4041" s="1" t="s">
        <v>18</v>
      </c>
      <c r="N4041" s="1" t="s">
        <v>18</v>
      </c>
      <c r="O4041" s="1">
        <v>3</v>
      </c>
      <c r="P4041" s="1">
        <v>6</v>
      </c>
      <c r="R4041" s="1" t="s">
        <v>19</v>
      </c>
      <c r="S4041" s="1" t="s">
        <v>63</v>
      </c>
      <c r="T4041" s="1" t="s">
        <v>21</v>
      </c>
      <c r="U4041" s="1" t="s">
        <v>22</v>
      </c>
      <c r="V4041" s="1" t="s">
        <v>24</v>
      </c>
      <c r="W4041" s="1" t="s">
        <v>24</v>
      </c>
      <c r="X4041" s="1">
        <v>3002</v>
      </c>
      <c r="Y4041" s="1">
        <v>3003</v>
      </c>
      <c r="Z4041" s="1">
        <v>3004</v>
      </c>
      <c r="AA4041" s="1">
        <v>2736</v>
      </c>
      <c r="AB4041" s="1" t="s">
        <v>24</v>
      </c>
      <c r="AC4041" s="1" t="s">
        <v>24</v>
      </c>
      <c r="AD4041" s="1" t="s">
        <v>24</v>
      </c>
      <c r="AE4041" s="1" t="s">
        <v>24</v>
      </c>
      <c r="AF4041" s="22"/>
    </row>
    <row r="4042" spans="1:32" x14ac:dyDescent="0.2">
      <c r="A4042" s="1">
        <v>33991</v>
      </c>
      <c r="B4042" s="1" t="s">
        <v>12417</v>
      </c>
      <c r="C4042" s="5" t="s">
        <v>0</v>
      </c>
      <c r="D4042" s="1" t="s">
        <v>12418</v>
      </c>
      <c r="F4042" s="1" t="s">
        <v>11251</v>
      </c>
      <c r="G4042" s="1" t="s">
        <v>11251</v>
      </c>
      <c r="H4042" s="1" t="s">
        <v>3228</v>
      </c>
      <c r="I4042" s="1" t="s">
        <v>16</v>
      </c>
      <c r="J4042" s="1">
        <v>1</v>
      </c>
      <c r="K4042" s="1">
        <v>1</v>
      </c>
      <c r="L4042" s="1" t="s">
        <v>42</v>
      </c>
      <c r="M4042" s="1" t="s">
        <v>18</v>
      </c>
      <c r="N4042" s="1" t="s">
        <v>18</v>
      </c>
      <c r="O4042" s="1">
        <v>3</v>
      </c>
      <c r="P4042" s="1">
        <v>6</v>
      </c>
      <c r="R4042" s="1" t="s">
        <v>19</v>
      </c>
      <c r="S4042" s="1" t="s">
        <v>63</v>
      </c>
      <c r="T4042" s="1" t="s">
        <v>21</v>
      </c>
      <c r="U4042" s="1" t="s">
        <v>22</v>
      </c>
      <c r="V4042" s="1" t="s">
        <v>24</v>
      </c>
      <c r="W4042" s="1" t="s">
        <v>24</v>
      </c>
      <c r="X4042" s="1">
        <v>2730</v>
      </c>
      <c r="Y4042" s="1">
        <v>1306</v>
      </c>
      <c r="Z4042" s="1">
        <v>1311</v>
      </c>
      <c r="AA4042" s="1" t="s">
        <v>24</v>
      </c>
      <c r="AB4042" s="1" t="s">
        <v>24</v>
      </c>
      <c r="AC4042" s="1" t="s">
        <v>24</v>
      </c>
      <c r="AD4042" s="1" t="s">
        <v>24</v>
      </c>
      <c r="AE4042" s="1" t="s">
        <v>24</v>
      </c>
      <c r="AF4042" s="22" t="s">
        <v>17678</v>
      </c>
    </row>
    <row r="4043" spans="1:32" x14ac:dyDescent="0.2">
      <c r="A4043" s="1">
        <v>33994</v>
      </c>
      <c r="B4043" s="1" t="s">
        <v>12419</v>
      </c>
      <c r="C4043" s="5" t="s">
        <v>0</v>
      </c>
      <c r="E4043" s="1" t="s">
        <v>12420</v>
      </c>
      <c r="F4043" s="1" t="s">
        <v>2299</v>
      </c>
      <c r="G4043" s="1" t="s">
        <v>2300</v>
      </c>
      <c r="H4043" s="1" t="s">
        <v>37</v>
      </c>
      <c r="I4043" s="1" t="s">
        <v>16</v>
      </c>
      <c r="J4043" s="1">
        <v>1</v>
      </c>
      <c r="K4043" s="1">
        <v>1</v>
      </c>
      <c r="L4043" s="1" t="s">
        <v>31</v>
      </c>
      <c r="M4043" s="1" t="s">
        <v>18</v>
      </c>
      <c r="N4043" s="1" t="s">
        <v>18</v>
      </c>
      <c r="O4043" s="1">
        <v>3</v>
      </c>
      <c r="P4043" s="1">
        <v>7</v>
      </c>
      <c r="Q4043" s="7" t="s">
        <v>17633</v>
      </c>
      <c r="R4043" s="1" t="s">
        <v>19</v>
      </c>
      <c r="S4043" s="1" t="s">
        <v>63</v>
      </c>
      <c r="T4043" s="1" t="s">
        <v>21</v>
      </c>
      <c r="U4043" s="1" t="s">
        <v>22</v>
      </c>
      <c r="V4043" s="1" t="s">
        <v>23</v>
      </c>
      <c r="W4043" s="1" t="s">
        <v>24</v>
      </c>
      <c r="X4043" s="1">
        <v>2735</v>
      </c>
      <c r="Y4043" s="1">
        <v>2738</v>
      </c>
      <c r="Z4043" s="1" t="s">
        <v>24</v>
      </c>
      <c r="AA4043" s="1" t="s">
        <v>24</v>
      </c>
      <c r="AB4043" s="1" t="s">
        <v>24</v>
      </c>
      <c r="AC4043" s="1" t="s">
        <v>24</v>
      </c>
      <c r="AD4043" s="1" t="s">
        <v>24</v>
      </c>
      <c r="AE4043" s="1" t="s">
        <v>24</v>
      </c>
      <c r="AF4043" s="22"/>
    </row>
    <row r="4044" spans="1:32" x14ac:dyDescent="0.2">
      <c r="A4044" s="1">
        <v>33996</v>
      </c>
      <c r="B4044" s="1" t="s">
        <v>12421</v>
      </c>
      <c r="C4044" s="5" t="s">
        <v>0</v>
      </c>
      <c r="E4044" s="1" t="s">
        <v>12422</v>
      </c>
      <c r="F4044" s="1" t="s">
        <v>2299</v>
      </c>
      <c r="G4044" s="1" t="s">
        <v>2300</v>
      </c>
      <c r="H4044" s="1" t="s">
        <v>37</v>
      </c>
      <c r="I4044" s="1" t="s">
        <v>16</v>
      </c>
      <c r="J4044" s="1">
        <v>1</v>
      </c>
      <c r="K4044" s="1">
        <v>1</v>
      </c>
      <c r="L4044" s="1" t="s">
        <v>31</v>
      </c>
      <c r="M4044" s="1" t="s">
        <v>18</v>
      </c>
      <c r="N4044" s="1" t="s">
        <v>18</v>
      </c>
      <c r="O4044" s="1">
        <v>3</v>
      </c>
      <c r="P4044" s="1">
        <v>7</v>
      </c>
      <c r="Q4044" s="7" t="s">
        <v>17633</v>
      </c>
      <c r="R4044" s="1" t="s">
        <v>19</v>
      </c>
      <c r="S4044" s="1" t="s">
        <v>63</v>
      </c>
      <c r="T4044" s="1" t="s">
        <v>21</v>
      </c>
      <c r="U4044" s="1" t="s">
        <v>22</v>
      </c>
      <c r="V4044" s="1" t="s">
        <v>23</v>
      </c>
      <c r="W4044" s="1" t="s">
        <v>24</v>
      </c>
      <c r="X4044" s="1">
        <v>2719</v>
      </c>
      <c r="Y4044" s="1">
        <v>2739</v>
      </c>
      <c r="Z4044" s="1">
        <v>2738</v>
      </c>
      <c r="AA4044" s="1">
        <v>2921</v>
      </c>
      <c r="AB4044" s="1" t="s">
        <v>24</v>
      </c>
      <c r="AC4044" s="1" t="s">
        <v>24</v>
      </c>
      <c r="AD4044" s="1" t="s">
        <v>24</v>
      </c>
      <c r="AE4044" s="1" t="s">
        <v>24</v>
      </c>
      <c r="AF4044" s="22"/>
    </row>
    <row r="4045" spans="1:32" x14ac:dyDescent="0.2">
      <c r="A4045" s="1">
        <v>33997</v>
      </c>
      <c r="B4045" s="1" t="s">
        <v>12423</v>
      </c>
      <c r="C4045" s="5" t="s">
        <v>0</v>
      </c>
      <c r="E4045" s="1" t="s">
        <v>12424</v>
      </c>
      <c r="F4045" s="1" t="s">
        <v>2299</v>
      </c>
      <c r="G4045" s="1" t="s">
        <v>2300</v>
      </c>
      <c r="H4045" s="1" t="s">
        <v>37</v>
      </c>
      <c r="I4045" s="1" t="s">
        <v>16</v>
      </c>
      <c r="J4045" s="1">
        <v>1</v>
      </c>
      <c r="K4045" s="1">
        <v>1</v>
      </c>
      <c r="L4045" s="1" t="s">
        <v>31</v>
      </c>
      <c r="M4045" s="1" t="s">
        <v>18</v>
      </c>
      <c r="N4045" s="1" t="s">
        <v>18</v>
      </c>
      <c r="O4045" s="1">
        <v>3</v>
      </c>
      <c r="P4045" s="1">
        <v>7</v>
      </c>
      <c r="Q4045" s="7" t="s">
        <v>17633</v>
      </c>
      <c r="R4045" s="1" t="s">
        <v>19</v>
      </c>
      <c r="S4045" s="1" t="s">
        <v>63</v>
      </c>
      <c r="T4045" s="1" t="s">
        <v>21</v>
      </c>
      <c r="U4045" s="1" t="s">
        <v>22</v>
      </c>
      <c r="V4045" s="1" t="s">
        <v>24</v>
      </c>
      <c r="W4045" s="1" t="s">
        <v>24</v>
      </c>
      <c r="X4045" s="1">
        <v>2204</v>
      </c>
      <c r="Y4045" s="1">
        <v>2305</v>
      </c>
      <c r="Z4045" s="1">
        <v>1307</v>
      </c>
      <c r="AA4045" s="1">
        <v>1312</v>
      </c>
      <c r="AB4045" s="1" t="s">
        <v>24</v>
      </c>
      <c r="AC4045" s="1" t="s">
        <v>24</v>
      </c>
      <c r="AD4045" s="1" t="s">
        <v>24</v>
      </c>
      <c r="AE4045" s="1" t="s">
        <v>24</v>
      </c>
      <c r="AF4045" s="22"/>
    </row>
    <row r="4046" spans="1:32" x14ac:dyDescent="0.2">
      <c r="A4046" s="1">
        <v>33998</v>
      </c>
      <c r="B4046" s="1" t="s">
        <v>12425</v>
      </c>
      <c r="C4046" s="5" t="s">
        <v>0</v>
      </c>
      <c r="E4046" s="1" t="s">
        <v>12426</v>
      </c>
      <c r="F4046" s="1" t="s">
        <v>2299</v>
      </c>
      <c r="G4046" s="1" t="s">
        <v>2300</v>
      </c>
      <c r="H4046" s="1" t="s">
        <v>37</v>
      </c>
      <c r="I4046" s="1" t="s">
        <v>16</v>
      </c>
      <c r="J4046" s="1">
        <v>1</v>
      </c>
      <c r="K4046" s="1">
        <v>1</v>
      </c>
      <c r="L4046" s="1" t="s">
        <v>31</v>
      </c>
      <c r="M4046" s="1" t="s">
        <v>18</v>
      </c>
      <c r="N4046" s="1" t="s">
        <v>18</v>
      </c>
      <c r="O4046" s="1">
        <v>3</v>
      </c>
      <c r="P4046" s="1">
        <v>7</v>
      </c>
      <c r="Q4046" s="7" t="s">
        <v>17633</v>
      </c>
      <c r="R4046" s="1" t="s">
        <v>19</v>
      </c>
      <c r="S4046" s="1" t="s">
        <v>63</v>
      </c>
      <c r="T4046" s="1" t="s">
        <v>21</v>
      </c>
      <c r="U4046" s="1" t="s">
        <v>22</v>
      </c>
      <c r="V4046" s="1" t="s">
        <v>24</v>
      </c>
      <c r="W4046" s="1" t="s">
        <v>24</v>
      </c>
      <c r="X4046" s="1">
        <v>2700</v>
      </c>
      <c r="Y4046" s="1" t="s">
        <v>24</v>
      </c>
      <c r="Z4046" s="1" t="s">
        <v>24</v>
      </c>
      <c r="AA4046" s="1" t="s">
        <v>24</v>
      </c>
      <c r="AB4046" s="1" t="s">
        <v>24</v>
      </c>
      <c r="AC4046" s="1" t="s">
        <v>24</v>
      </c>
      <c r="AD4046" s="1" t="s">
        <v>24</v>
      </c>
      <c r="AE4046" s="1" t="s">
        <v>24</v>
      </c>
      <c r="AF4046" s="22"/>
    </row>
    <row r="4047" spans="1:32" x14ac:dyDescent="0.2">
      <c r="A4047" s="1">
        <v>34000</v>
      </c>
      <c r="B4047" s="1" t="s">
        <v>12427</v>
      </c>
      <c r="C4047" s="5" t="s">
        <v>0</v>
      </c>
      <c r="E4047" s="1" t="s">
        <v>12428</v>
      </c>
      <c r="F4047" s="1" t="s">
        <v>2299</v>
      </c>
      <c r="G4047" s="1" t="s">
        <v>2300</v>
      </c>
      <c r="H4047" s="1" t="s">
        <v>37</v>
      </c>
      <c r="I4047" s="1" t="s">
        <v>16</v>
      </c>
      <c r="J4047" s="1">
        <v>1</v>
      </c>
      <c r="K4047" s="1">
        <v>1</v>
      </c>
      <c r="L4047" s="1" t="s">
        <v>31</v>
      </c>
      <c r="M4047" s="1" t="s">
        <v>18</v>
      </c>
      <c r="N4047" s="1" t="s">
        <v>18</v>
      </c>
      <c r="O4047" s="1">
        <v>3</v>
      </c>
      <c r="P4047" s="1">
        <v>7</v>
      </c>
      <c r="Q4047" s="7" t="s">
        <v>17633</v>
      </c>
      <c r="R4047" s="1" t="s">
        <v>19</v>
      </c>
      <c r="S4047" s="1" t="s">
        <v>63</v>
      </c>
      <c r="T4047" s="1" t="s">
        <v>21</v>
      </c>
      <c r="U4047" s="1" t="s">
        <v>22</v>
      </c>
      <c r="V4047" s="1" t="s">
        <v>24</v>
      </c>
      <c r="W4047" s="1" t="s">
        <v>24</v>
      </c>
      <c r="X4047" s="1">
        <v>2204</v>
      </c>
      <c r="Y4047" s="1">
        <v>1706</v>
      </c>
      <c r="Z4047" s="1">
        <v>2606</v>
      </c>
      <c r="AA4047" s="1">
        <v>2700</v>
      </c>
      <c r="AB4047" s="1">
        <v>1304</v>
      </c>
      <c r="AC4047" s="1" t="s">
        <v>24</v>
      </c>
      <c r="AD4047" s="1" t="s">
        <v>24</v>
      </c>
      <c r="AE4047" s="1" t="s">
        <v>24</v>
      </c>
      <c r="AF4047" s="22"/>
    </row>
    <row r="4048" spans="1:32" x14ac:dyDescent="0.2">
      <c r="A4048" s="1">
        <v>34001</v>
      </c>
      <c r="B4048" s="1" t="s">
        <v>12429</v>
      </c>
      <c r="C4048" s="5" t="s">
        <v>0</v>
      </c>
      <c r="E4048" s="1" t="s">
        <v>12430</v>
      </c>
      <c r="F4048" s="1" t="s">
        <v>2299</v>
      </c>
      <c r="G4048" s="1" t="s">
        <v>2300</v>
      </c>
      <c r="H4048" s="1" t="s">
        <v>37</v>
      </c>
      <c r="I4048" s="1" t="s">
        <v>16</v>
      </c>
      <c r="J4048" s="1">
        <v>1</v>
      </c>
      <c r="K4048" s="1">
        <v>1</v>
      </c>
      <c r="L4048" s="1" t="s">
        <v>31</v>
      </c>
      <c r="M4048" s="1" t="s">
        <v>18</v>
      </c>
      <c r="N4048" s="1" t="s">
        <v>18</v>
      </c>
      <c r="O4048" s="1">
        <v>2</v>
      </c>
      <c r="P4048" s="1">
        <v>7</v>
      </c>
      <c r="Q4048" s="7" t="s">
        <v>17633</v>
      </c>
      <c r="R4048" s="1" t="s">
        <v>19</v>
      </c>
      <c r="S4048" s="1" t="s">
        <v>63</v>
      </c>
      <c r="T4048" s="1" t="s">
        <v>21</v>
      </c>
      <c r="U4048" s="1" t="s">
        <v>22</v>
      </c>
      <c r="V4048" s="1" t="s">
        <v>24</v>
      </c>
      <c r="W4048" s="1" t="s">
        <v>24</v>
      </c>
      <c r="X4048" s="1">
        <v>2745</v>
      </c>
      <c r="Y4048" s="1">
        <v>2723</v>
      </c>
      <c r="Z4048" s="1">
        <v>2735</v>
      </c>
      <c r="AA4048" s="1" t="s">
        <v>24</v>
      </c>
      <c r="AB4048" s="1" t="s">
        <v>24</v>
      </c>
      <c r="AC4048" s="1" t="s">
        <v>24</v>
      </c>
      <c r="AD4048" s="1" t="s">
        <v>24</v>
      </c>
      <c r="AE4048" s="1" t="s">
        <v>24</v>
      </c>
      <c r="AF4048" s="22"/>
    </row>
    <row r="4049" spans="1:32" x14ac:dyDescent="0.2">
      <c r="A4049" s="1">
        <v>34002</v>
      </c>
      <c r="B4049" s="1" t="s">
        <v>12431</v>
      </c>
      <c r="C4049" s="5" t="s">
        <v>0</v>
      </c>
      <c r="D4049" s="1" t="s">
        <v>12432</v>
      </c>
      <c r="E4049" s="1" t="s">
        <v>12433</v>
      </c>
      <c r="F4049" s="1" t="s">
        <v>12434</v>
      </c>
      <c r="G4049" s="1" t="s">
        <v>12434</v>
      </c>
      <c r="H4049" s="1" t="s">
        <v>30</v>
      </c>
      <c r="I4049" s="1" t="s">
        <v>16</v>
      </c>
      <c r="J4049" s="1">
        <v>1</v>
      </c>
      <c r="K4049" s="1">
        <v>2</v>
      </c>
      <c r="L4049" s="1" t="s">
        <v>42</v>
      </c>
      <c r="M4049" s="1" t="s">
        <v>18</v>
      </c>
      <c r="N4049" s="1" t="s">
        <v>18</v>
      </c>
      <c r="O4049" s="1">
        <v>3</v>
      </c>
      <c r="P4049" s="1">
        <v>6</v>
      </c>
      <c r="R4049" s="1" t="s">
        <v>19</v>
      </c>
      <c r="S4049" s="1" t="s">
        <v>20</v>
      </c>
      <c r="T4049" s="1" t="s">
        <v>21</v>
      </c>
      <c r="U4049" s="1" t="s">
        <v>22</v>
      </c>
      <c r="V4049" s="1" t="s">
        <v>24</v>
      </c>
      <c r="W4049" s="1" t="s">
        <v>24</v>
      </c>
      <c r="X4049" s="1">
        <v>2700</v>
      </c>
      <c r="Y4049" s="1">
        <v>1300</v>
      </c>
      <c r="Z4049" s="1">
        <v>3000</v>
      </c>
      <c r="AA4049" s="1" t="s">
        <v>24</v>
      </c>
      <c r="AB4049" s="1" t="s">
        <v>24</v>
      </c>
      <c r="AC4049" s="1" t="s">
        <v>24</v>
      </c>
      <c r="AD4049" s="1" t="s">
        <v>24</v>
      </c>
      <c r="AE4049" s="1" t="s">
        <v>24</v>
      </c>
      <c r="AF4049" s="22"/>
    </row>
    <row r="4050" spans="1:32" x14ac:dyDescent="0.2">
      <c r="A4050" s="1">
        <v>34005</v>
      </c>
      <c r="B4050" s="1" t="s">
        <v>12435</v>
      </c>
      <c r="C4050" s="5" t="s">
        <v>0</v>
      </c>
      <c r="D4050" s="1" t="s">
        <v>12436</v>
      </c>
      <c r="E4050" s="1" t="s">
        <v>12437</v>
      </c>
      <c r="F4050" s="1" t="s">
        <v>12434</v>
      </c>
      <c r="G4050" s="1" t="s">
        <v>12434</v>
      </c>
      <c r="H4050" s="1" t="s">
        <v>30</v>
      </c>
      <c r="I4050" s="1" t="s">
        <v>16</v>
      </c>
      <c r="J4050" s="1">
        <v>1</v>
      </c>
      <c r="K4050" s="1">
        <v>8</v>
      </c>
      <c r="L4050" s="1" t="s">
        <v>42</v>
      </c>
      <c r="M4050" s="1" t="s">
        <v>18</v>
      </c>
      <c r="N4050" s="1" t="s">
        <v>18</v>
      </c>
      <c r="O4050" s="1">
        <v>3</v>
      </c>
      <c r="P4050" s="1">
        <v>6</v>
      </c>
      <c r="R4050" s="1" t="s">
        <v>19</v>
      </c>
      <c r="S4050" s="1" t="s">
        <v>20</v>
      </c>
      <c r="T4050" s="1" t="s">
        <v>21</v>
      </c>
      <c r="U4050" s="1" t="s">
        <v>22</v>
      </c>
      <c r="V4050" s="1" t="s">
        <v>24</v>
      </c>
      <c r="W4050" s="1" t="s">
        <v>24</v>
      </c>
      <c r="X4050" s="1">
        <v>3000</v>
      </c>
      <c r="Y4050" s="1" t="s">
        <v>24</v>
      </c>
      <c r="Z4050" s="1" t="s">
        <v>24</v>
      </c>
      <c r="AA4050" s="1" t="s">
        <v>24</v>
      </c>
      <c r="AB4050" s="1" t="s">
        <v>24</v>
      </c>
      <c r="AC4050" s="1" t="s">
        <v>24</v>
      </c>
      <c r="AD4050" s="1" t="s">
        <v>24</v>
      </c>
      <c r="AE4050" s="1" t="s">
        <v>24</v>
      </c>
      <c r="AF4050" s="22"/>
    </row>
    <row r="4051" spans="1:32" x14ac:dyDescent="0.2">
      <c r="A4051" s="1">
        <v>34012</v>
      </c>
      <c r="B4051" s="1" t="s">
        <v>12438</v>
      </c>
      <c r="C4051" s="5" t="s">
        <v>0</v>
      </c>
      <c r="D4051" s="1" t="s">
        <v>12439</v>
      </c>
      <c r="E4051" s="1" t="s">
        <v>12440</v>
      </c>
      <c r="F4051" s="1" t="s">
        <v>12441</v>
      </c>
      <c r="G4051" s="1" t="s">
        <v>12441</v>
      </c>
      <c r="H4051" s="1" t="s">
        <v>81</v>
      </c>
      <c r="I4051" s="1" t="s">
        <v>16</v>
      </c>
      <c r="J4051" s="1">
        <v>1</v>
      </c>
      <c r="K4051" s="1">
        <v>2</v>
      </c>
      <c r="L4051" s="1" t="s">
        <v>42</v>
      </c>
      <c r="M4051" s="1" t="s">
        <v>242</v>
      </c>
      <c r="N4051" s="1" t="s">
        <v>242</v>
      </c>
      <c r="O4051" s="1">
        <v>3</v>
      </c>
      <c r="P4051" s="1">
        <v>7</v>
      </c>
      <c r="Q4051" s="7" t="s">
        <v>17633</v>
      </c>
      <c r="R4051" s="1" t="s">
        <v>19</v>
      </c>
      <c r="S4051" s="1" t="s">
        <v>20</v>
      </c>
      <c r="T4051" s="1" t="s">
        <v>21</v>
      </c>
      <c r="U4051" s="1" t="s">
        <v>22</v>
      </c>
      <c r="V4051" s="1" t="s">
        <v>23</v>
      </c>
      <c r="W4051" s="1" t="s">
        <v>24</v>
      </c>
      <c r="X4051" s="1">
        <v>3306</v>
      </c>
      <c r="Y4051" s="1">
        <v>2739</v>
      </c>
      <c r="Z4051" s="1">
        <v>2738</v>
      </c>
      <c r="AA4051" s="1">
        <v>2921</v>
      </c>
      <c r="AB4051" s="1">
        <v>3200</v>
      </c>
      <c r="AC4051" s="1" t="s">
        <v>24</v>
      </c>
      <c r="AD4051" s="1" t="s">
        <v>24</v>
      </c>
      <c r="AE4051" s="1" t="s">
        <v>24</v>
      </c>
      <c r="AF4051" s="22"/>
    </row>
    <row r="4052" spans="1:32" x14ac:dyDescent="0.2">
      <c r="A4052" s="1">
        <v>34019</v>
      </c>
      <c r="B4052" s="1" t="s">
        <v>12442</v>
      </c>
      <c r="C4052" s="5" t="s">
        <v>0</v>
      </c>
      <c r="D4052" s="1" t="s">
        <v>12443</v>
      </c>
      <c r="F4052" s="1" t="s">
        <v>12444</v>
      </c>
      <c r="G4052" s="1" t="s">
        <v>12444</v>
      </c>
      <c r="H4052" s="1" t="s">
        <v>37</v>
      </c>
      <c r="I4052" s="1" t="s">
        <v>16</v>
      </c>
      <c r="J4052" s="1">
        <v>1</v>
      </c>
      <c r="K4052" s="1">
        <v>4</v>
      </c>
      <c r="L4052" s="1" t="s">
        <v>42</v>
      </c>
      <c r="M4052" s="1" t="s">
        <v>18</v>
      </c>
      <c r="N4052" s="1" t="s">
        <v>18</v>
      </c>
      <c r="O4052" s="1">
        <v>3</v>
      </c>
      <c r="P4052" s="1">
        <v>6</v>
      </c>
      <c r="R4052" s="1" t="s">
        <v>19</v>
      </c>
      <c r="S4052" s="1" t="s">
        <v>20</v>
      </c>
      <c r="T4052" s="1" t="s">
        <v>21</v>
      </c>
      <c r="U4052" s="1" t="s">
        <v>22</v>
      </c>
      <c r="V4052" s="1" t="s">
        <v>24</v>
      </c>
      <c r="W4052" s="1" t="s">
        <v>24</v>
      </c>
      <c r="X4052" s="1">
        <v>2700</v>
      </c>
      <c r="Y4052" s="1">
        <v>3304</v>
      </c>
      <c r="Z4052" s="1">
        <v>1202</v>
      </c>
      <c r="AA4052" s="1" t="s">
        <v>24</v>
      </c>
      <c r="AB4052" s="1" t="s">
        <v>24</v>
      </c>
      <c r="AC4052" s="1" t="s">
        <v>24</v>
      </c>
      <c r="AD4052" s="1" t="s">
        <v>24</v>
      </c>
      <c r="AE4052" s="1" t="s">
        <v>24</v>
      </c>
      <c r="AF4052" s="22"/>
    </row>
    <row r="4053" spans="1:32" x14ac:dyDescent="0.2">
      <c r="A4053" s="1">
        <v>34020</v>
      </c>
      <c r="B4053" s="1" t="s">
        <v>12445</v>
      </c>
      <c r="C4053" s="5" t="s">
        <v>0</v>
      </c>
      <c r="D4053" s="1" t="s">
        <v>12446</v>
      </c>
      <c r="F4053" s="1" t="s">
        <v>4553</v>
      </c>
      <c r="G4053" s="1" t="s">
        <v>4553</v>
      </c>
      <c r="H4053" s="1" t="s">
        <v>1957</v>
      </c>
      <c r="I4053" s="1" t="s">
        <v>16</v>
      </c>
      <c r="J4053" s="1">
        <v>1</v>
      </c>
      <c r="K4053" s="1">
        <v>12</v>
      </c>
      <c r="L4053" s="1" t="s">
        <v>42</v>
      </c>
      <c r="M4053" s="1" t="s">
        <v>18</v>
      </c>
      <c r="N4053" s="1" t="s">
        <v>18</v>
      </c>
      <c r="O4053" s="1">
        <v>3</v>
      </c>
      <c r="P4053" s="1">
        <v>6</v>
      </c>
      <c r="R4053" s="1" t="s">
        <v>19</v>
      </c>
      <c r="S4053" s="1" t="s">
        <v>20</v>
      </c>
      <c r="T4053" s="1" t="s">
        <v>21</v>
      </c>
      <c r="U4053" s="1" t="s">
        <v>22</v>
      </c>
      <c r="V4053" s="1" t="s">
        <v>24</v>
      </c>
      <c r="W4053" s="1" t="s">
        <v>24</v>
      </c>
      <c r="X4053" s="1">
        <v>2700</v>
      </c>
      <c r="Y4053" s="1" t="s">
        <v>24</v>
      </c>
      <c r="Z4053" s="1" t="s">
        <v>24</v>
      </c>
      <c r="AA4053" s="1" t="s">
        <v>24</v>
      </c>
      <c r="AB4053" s="1" t="s">
        <v>24</v>
      </c>
      <c r="AC4053" s="1" t="s">
        <v>24</v>
      </c>
      <c r="AD4053" s="1" t="s">
        <v>24</v>
      </c>
      <c r="AE4053" s="1" t="s">
        <v>24</v>
      </c>
      <c r="AF4053" s="22"/>
    </row>
    <row r="4054" spans="1:32" x14ac:dyDescent="0.2">
      <c r="A4054" s="1">
        <v>34021</v>
      </c>
      <c r="B4054" s="1" t="s">
        <v>12447</v>
      </c>
      <c r="C4054" s="5" t="s">
        <v>0</v>
      </c>
      <c r="D4054" s="1" t="s">
        <v>12448</v>
      </c>
      <c r="F4054" s="1" t="s">
        <v>12243</v>
      </c>
      <c r="G4054" s="1" t="s">
        <v>12244</v>
      </c>
      <c r="H4054" s="1" t="s">
        <v>1957</v>
      </c>
      <c r="I4054" s="1" t="s">
        <v>16</v>
      </c>
      <c r="J4054" s="1">
        <v>1</v>
      </c>
      <c r="K4054" s="1">
        <v>4</v>
      </c>
      <c r="L4054" s="1" t="s">
        <v>42</v>
      </c>
      <c r="M4054" s="1" t="s">
        <v>18</v>
      </c>
      <c r="N4054" s="1" t="s">
        <v>18</v>
      </c>
      <c r="O4054" s="1">
        <v>3</v>
      </c>
      <c r="P4054" s="1">
        <v>6</v>
      </c>
      <c r="R4054" s="1" t="s">
        <v>19</v>
      </c>
      <c r="S4054" s="1" t="s">
        <v>20</v>
      </c>
      <c r="T4054" s="1" t="s">
        <v>21</v>
      </c>
      <c r="U4054" s="1" t="s">
        <v>22</v>
      </c>
      <c r="V4054" s="1" t="s">
        <v>24</v>
      </c>
      <c r="W4054" s="1" t="s">
        <v>24</v>
      </c>
      <c r="X4054" s="1">
        <v>2405</v>
      </c>
      <c r="Y4054" s="1">
        <v>2725</v>
      </c>
      <c r="Z4054" s="1" t="s">
        <v>24</v>
      </c>
      <c r="AA4054" s="1" t="s">
        <v>24</v>
      </c>
      <c r="AB4054" s="1" t="s">
        <v>24</v>
      </c>
      <c r="AC4054" s="1" t="s">
        <v>24</v>
      </c>
      <c r="AD4054" s="1" t="s">
        <v>24</v>
      </c>
      <c r="AE4054" s="1" t="s">
        <v>24</v>
      </c>
      <c r="AF4054" s="22"/>
    </row>
    <row r="4055" spans="1:32" x14ac:dyDescent="0.2">
      <c r="A4055" s="1">
        <v>34022</v>
      </c>
      <c r="B4055" s="1" t="s">
        <v>12449</v>
      </c>
      <c r="C4055" s="5" t="s">
        <v>0</v>
      </c>
      <c r="D4055" s="1" t="s">
        <v>12450</v>
      </c>
      <c r="E4055" s="1" t="s">
        <v>12451</v>
      </c>
      <c r="F4055" s="1" t="s">
        <v>12243</v>
      </c>
      <c r="G4055" s="1" t="s">
        <v>12244</v>
      </c>
      <c r="H4055" s="1" t="s">
        <v>1957</v>
      </c>
      <c r="I4055" s="1" t="s">
        <v>16</v>
      </c>
      <c r="J4055" s="1">
        <v>1</v>
      </c>
      <c r="K4055" s="1">
        <v>4</v>
      </c>
      <c r="L4055" s="1" t="s">
        <v>42</v>
      </c>
      <c r="M4055" s="1" t="s">
        <v>18</v>
      </c>
      <c r="N4055" s="1" t="s">
        <v>18</v>
      </c>
      <c r="O4055" s="1">
        <v>3</v>
      </c>
      <c r="P4055" s="1">
        <v>6</v>
      </c>
      <c r="R4055" s="1" t="s">
        <v>19</v>
      </c>
      <c r="S4055" s="1" t="s">
        <v>20</v>
      </c>
      <c r="T4055" s="1" t="s">
        <v>21</v>
      </c>
      <c r="U4055" s="1" t="s">
        <v>22</v>
      </c>
      <c r="V4055" s="1" t="s">
        <v>24</v>
      </c>
      <c r="W4055" s="1" t="s">
        <v>24</v>
      </c>
      <c r="X4055" s="1">
        <v>2741</v>
      </c>
      <c r="Y4055" s="1" t="s">
        <v>24</v>
      </c>
      <c r="Z4055" s="1" t="s">
        <v>24</v>
      </c>
      <c r="AA4055" s="1" t="s">
        <v>24</v>
      </c>
      <c r="AB4055" s="1" t="s">
        <v>24</v>
      </c>
      <c r="AC4055" s="1" t="s">
        <v>24</v>
      </c>
      <c r="AD4055" s="1" t="s">
        <v>24</v>
      </c>
      <c r="AE4055" s="1" t="s">
        <v>24</v>
      </c>
      <c r="AF4055" s="22"/>
    </row>
    <row r="4056" spans="1:32" x14ac:dyDescent="0.2">
      <c r="A4056" s="1">
        <v>34026</v>
      </c>
      <c r="B4056" s="1" t="s">
        <v>12452</v>
      </c>
      <c r="C4056" s="5" t="s">
        <v>0</v>
      </c>
      <c r="D4056" s="1" t="s">
        <v>12453</v>
      </c>
      <c r="E4056" s="1" t="s">
        <v>12454</v>
      </c>
      <c r="F4056" s="1" t="s">
        <v>12455</v>
      </c>
      <c r="G4056" s="1" t="s">
        <v>12455</v>
      </c>
      <c r="H4056" s="1" t="s">
        <v>2672</v>
      </c>
      <c r="I4056" s="1" t="s">
        <v>16</v>
      </c>
      <c r="J4056" s="1">
        <v>1</v>
      </c>
      <c r="K4056" s="1">
        <v>6</v>
      </c>
      <c r="L4056" s="1" t="s">
        <v>42</v>
      </c>
      <c r="M4056" s="1" t="s">
        <v>18</v>
      </c>
      <c r="N4056" s="1" t="s">
        <v>18</v>
      </c>
      <c r="O4056" s="1">
        <v>2</v>
      </c>
      <c r="P4056" s="1">
        <v>6</v>
      </c>
      <c r="R4056" s="1" t="s">
        <v>19</v>
      </c>
      <c r="S4056" s="1" t="s">
        <v>20</v>
      </c>
      <c r="T4056" s="1" t="s">
        <v>21</v>
      </c>
      <c r="U4056" s="1" t="s">
        <v>22</v>
      </c>
      <c r="V4056" s="1" t="s">
        <v>24</v>
      </c>
      <c r="W4056" s="1" t="s">
        <v>24</v>
      </c>
      <c r="X4056" s="1">
        <v>2700</v>
      </c>
      <c r="Y4056" s="1" t="s">
        <v>24</v>
      </c>
      <c r="Z4056" s="1" t="s">
        <v>24</v>
      </c>
      <c r="AA4056" s="1" t="s">
        <v>24</v>
      </c>
      <c r="AB4056" s="1" t="s">
        <v>24</v>
      </c>
      <c r="AC4056" s="1" t="s">
        <v>24</v>
      </c>
      <c r="AD4056" s="1" t="s">
        <v>24</v>
      </c>
      <c r="AE4056" s="1" t="s">
        <v>24</v>
      </c>
      <c r="AF4056" s="22"/>
    </row>
    <row r="4057" spans="1:32" x14ac:dyDescent="0.2">
      <c r="A4057" s="1">
        <v>34027</v>
      </c>
      <c r="B4057" s="1" t="s">
        <v>12456</v>
      </c>
      <c r="C4057" s="5" t="s">
        <v>0</v>
      </c>
      <c r="D4057" s="1" t="s">
        <v>12457</v>
      </c>
      <c r="F4057" s="1" t="s">
        <v>12455</v>
      </c>
      <c r="G4057" s="1" t="s">
        <v>12455</v>
      </c>
      <c r="H4057" s="1" t="s">
        <v>2672</v>
      </c>
      <c r="I4057" s="1" t="s">
        <v>16</v>
      </c>
      <c r="J4057" s="1">
        <v>1</v>
      </c>
      <c r="K4057" s="1">
        <v>4</v>
      </c>
      <c r="L4057" s="1" t="s">
        <v>42</v>
      </c>
      <c r="M4057" s="1" t="s">
        <v>18</v>
      </c>
      <c r="N4057" s="1" t="s">
        <v>18</v>
      </c>
      <c r="O4057" s="1">
        <v>2</v>
      </c>
      <c r="P4057" s="1">
        <v>6</v>
      </c>
      <c r="R4057" s="1" t="s">
        <v>19</v>
      </c>
      <c r="S4057" s="1" t="s">
        <v>20</v>
      </c>
      <c r="T4057" s="1" t="s">
        <v>21</v>
      </c>
      <c r="U4057" s="1" t="s">
        <v>22</v>
      </c>
      <c r="V4057" s="1" t="s">
        <v>24</v>
      </c>
      <c r="W4057" s="1" t="s">
        <v>24</v>
      </c>
      <c r="X4057" s="1">
        <v>2736</v>
      </c>
      <c r="Y4057" s="1">
        <v>3000</v>
      </c>
      <c r="Z4057" s="1" t="s">
        <v>24</v>
      </c>
      <c r="AA4057" s="1" t="s">
        <v>24</v>
      </c>
      <c r="AB4057" s="1" t="s">
        <v>24</v>
      </c>
      <c r="AC4057" s="1" t="s">
        <v>24</v>
      </c>
      <c r="AD4057" s="1" t="s">
        <v>24</v>
      </c>
      <c r="AE4057" s="1" t="s">
        <v>24</v>
      </c>
      <c r="AF4057" s="22"/>
    </row>
    <row r="4058" spans="1:32" x14ac:dyDescent="0.2">
      <c r="A4058" s="1">
        <v>34028</v>
      </c>
      <c r="B4058" s="1" t="s">
        <v>12458</v>
      </c>
      <c r="C4058" s="5" t="s">
        <v>0</v>
      </c>
      <c r="D4058" s="1" t="s">
        <v>12459</v>
      </c>
      <c r="E4058" s="1" t="s">
        <v>12460</v>
      </c>
      <c r="F4058" s="1" t="s">
        <v>12461</v>
      </c>
      <c r="G4058" s="1" t="s">
        <v>12461</v>
      </c>
      <c r="H4058" s="1" t="s">
        <v>69</v>
      </c>
      <c r="I4058" s="1" t="s">
        <v>16</v>
      </c>
      <c r="J4058" s="1">
        <v>1</v>
      </c>
      <c r="K4058" s="1">
        <v>4</v>
      </c>
      <c r="L4058" s="1" t="s">
        <v>42</v>
      </c>
      <c r="M4058" s="1" t="s">
        <v>70</v>
      </c>
      <c r="N4058" s="1" t="s">
        <v>75</v>
      </c>
      <c r="O4058" s="1">
        <v>3</v>
      </c>
      <c r="P4058" s="1">
        <v>5</v>
      </c>
      <c r="R4058" s="1" t="s">
        <v>19</v>
      </c>
      <c r="S4058" s="1" t="s">
        <v>20</v>
      </c>
      <c r="T4058" s="1" t="s">
        <v>21</v>
      </c>
      <c r="U4058" s="1" t="s">
        <v>22</v>
      </c>
      <c r="V4058" s="1" t="s">
        <v>24</v>
      </c>
      <c r="W4058" s="1" t="s">
        <v>24</v>
      </c>
      <c r="X4058" s="1">
        <v>2808</v>
      </c>
      <c r="Y4058" s="1">
        <v>2728</v>
      </c>
      <c r="Z4058" s="1" t="s">
        <v>24</v>
      </c>
      <c r="AA4058" s="1" t="s">
        <v>24</v>
      </c>
      <c r="AB4058" s="1" t="s">
        <v>24</v>
      </c>
      <c r="AC4058" s="1" t="s">
        <v>24</v>
      </c>
      <c r="AD4058" s="1" t="s">
        <v>24</v>
      </c>
      <c r="AE4058" s="1" t="s">
        <v>24</v>
      </c>
      <c r="AF4058" s="22"/>
    </row>
    <row r="4059" spans="1:32" x14ac:dyDescent="0.2">
      <c r="A4059" s="1">
        <v>34029</v>
      </c>
      <c r="B4059" s="1" t="s">
        <v>12462</v>
      </c>
      <c r="C4059" s="5" t="s">
        <v>0</v>
      </c>
      <c r="D4059" s="1" t="s">
        <v>12463</v>
      </c>
      <c r="E4059" s="1" t="s">
        <v>12464</v>
      </c>
      <c r="F4059" s="1" t="s">
        <v>12465</v>
      </c>
      <c r="G4059" s="1" t="s">
        <v>12465</v>
      </c>
      <c r="H4059" s="1" t="s">
        <v>3585</v>
      </c>
      <c r="I4059" s="1" t="s">
        <v>16</v>
      </c>
      <c r="J4059" s="1">
        <v>1</v>
      </c>
      <c r="K4059" s="1">
        <v>2</v>
      </c>
      <c r="L4059" s="1" t="s">
        <v>42</v>
      </c>
      <c r="M4059" s="1" t="s">
        <v>117</v>
      </c>
      <c r="N4059" s="1" t="s">
        <v>118</v>
      </c>
      <c r="O4059" s="1">
        <v>3</v>
      </c>
      <c r="P4059" s="1">
        <v>5</v>
      </c>
      <c r="R4059" s="1" t="s">
        <v>19</v>
      </c>
      <c r="S4059" s="1" t="s">
        <v>20</v>
      </c>
      <c r="T4059" s="1" t="s">
        <v>21</v>
      </c>
      <c r="U4059" s="1" t="s">
        <v>22</v>
      </c>
      <c r="V4059" s="1" t="s">
        <v>24</v>
      </c>
      <c r="W4059" s="1" t="s">
        <v>24</v>
      </c>
      <c r="X4059" s="1">
        <v>2738</v>
      </c>
      <c r="Y4059" s="1">
        <v>3203</v>
      </c>
      <c r="Z4059" s="1" t="s">
        <v>24</v>
      </c>
      <c r="AA4059" s="1" t="s">
        <v>24</v>
      </c>
      <c r="AB4059" s="1" t="s">
        <v>24</v>
      </c>
      <c r="AC4059" s="1" t="s">
        <v>24</v>
      </c>
      <c r="AD4059" s="1" t="s">
        <v>24</v>
      </c>
      <c r="AE4059" s="1" t="s">
        <v>24</v>
      </c>
      <c r="AF4059" s="22"/>
    </row>
    <row r="4060" spans="1:32" x14ac:dyDescent="0.2">
      <c r="A4060" s="1">
        <v>34030</v>
      </c>
      <c r="B4060" s="1" t="s">
        <v>12466</v>
      </c>
      <c r="C4060" s="5" t="s">
        <v>0</v>
      </c>
      <c r="D4060" s="1" t="s">
        <v>12467</v>
      </c>
      <c r="E4060" s="1" t="s">
        <v>12468</v>
      </c>
      <c r="F4060" s="1" t="s">
        <v>12466</v>
      </c>
      <c r="G4060" s="1" t="s">
        <v>12466</v>
      </c>
      <c r="H4060" s="1" t="s">
        <v>1384</v>
      </c>
      <c r="I4060" s="1" t="s">
        <v>16</v>
      </c>
      <c r="J4060" s="1">
        <v>1</v>
      </c>
      <c r="K4060" s="1">
        <v>4</v>
      </c>
      <c r="L4060" s="1" t="s">
        <v>42</v>
      </c>
      <c r="M4060" s="1" t="s">
        <v>18</v>
      </c>
      <c r="N4060" s="1" t="s">
        <v>9409</v>
      </c>
      <c r="O4060" s="1">
        <v>3</v>
      </c>
      <c r="P4060" s="1">
        <v>6</v>
      </c>
      <c r="R4060" s="1" t="s">
        <v>19</v>
      </c>
      <c r="S4060" s="1" t="s">
        <v>20</v>
      </c>
      <c r="T4060" s="1" t="s">
        <v>21</v>
      </c>
      <c r="U4060" s="1" t="s">
        <v>22</v>
      </c>
      <c r="V4060" s="1" t="s">
        <v>24</v>
      </c>
      <c r="W4060" s="1" t="s">
        <v>24</v>
      </c>
      <c r="X4060" s="1">
        <v>2700</v>
      </c>
      <c r="Y4060" s="1" t="s">
        <v>24</v>
      </c>
      <c r="Z4060" s="1" t="s">
        <v>24</v>
      </c>
      <c r="AA4060" s="1" t="s">
        <v>24</v>
      </c>
      <c r="AB4060" s="1" t="s">
        <v>24</v>
      </c>
      <c r="AC4060" s="1" t="s">
        <v>24</v>
      </c>
      <c r="AD4060" s="1" t="s">
        <v>24</v>
      </c>
      <c r="AE4060" s="1" t="s">
        <v>24</v>
      </c>
      <c r="AF4060" s="22"/>
    </row>
    <row r="4061" spans="1:32" x14ac:dyDescent="0.2">
      <c r="A4061" s="1">
        <v>34038</v>
      </c>
      <c r="B4061" s="1" t="s">
        <v>12469</v>
      </c>
      <c r="C4061" s="5" t="s">
        <v>0</v>
      </c>
      <c r="D4061" s="1" t="s">
        <v>12470</v>
      </c>
      <c r="E4061" s="1" t="s">
        <v>12471</v>
      </c>
      <c r="F4061" s="1" t="s">
        <v>12472</v>
      </c>
      <c r="G4061" s="1" t="s">
        <v>12472</v>
      </c>
      <c r="H4061" s="1" t="s">
        <v>445</v>
      </c>
      <c r="I4061" s="1" t="s">
        <v>16</v>
      </c>
      <c r="J4061" s="1">
        <v>1</v>
      </c>
      <c r="K4061" s="1">
        <v>4</v>
      </c>
      <c r="L4061" s="1" t="s">
        <v>42</v>
      </c>
      <c r="M4061" s="1" t="s">
        <v>18</v>
      </c>
      <c r="N4061" s="1" t="s">
        <v>18</v>
      </c>
      <c r="O4061" s="1">
        <v>3</v>
      </c>
      <c r="P4061" s="1">
        <v>6</v>
      </c>
      <c r="R4061" s="1" t="s">
        <v>19</v>
      </c>
      <c r="S4061" s="1" t="s">
        <v>20</v>
      </c>
      <c r="T4061" s="1" t="s">
        <v>21</v>
      </c>
      <c r="U4061" s="1" t="s">
        <v>22</v>
      </c>
      <c r="V4061" s="1" t="s">
        <v>24</v>
      </c>
      <c r="W4061" s="1" t="s">
        <v>24</v>
      </c>
      <c r="X4061" s="1">
        <v>2730</v>
      </c>
      <c r="Y4061" s="1">
        <v>2715</v>
      </c>
      <c r="Z4061" s="1" t="s">
        <v>24</v>
      </c>
      <c r="AA4061" s="1" t="s">
        <v>24</v>
      </c>
      <c r="AB4061" s="1" t="s">
        <v>24</v>
      </c>
      <c r="AC4061" s="1" t="s">
        <v>24</v>
      </c>
      <c r="AD4061" s="1" t="s">
        <v>24</v>
      </c>
      <c r="AE4061" s="1" t="s">
        <v>24</v>
      </c>
      <c r="AF4061" s="22"/>
    </row>
    <row r="4062" spans="1:32" x14ac:dyDescent="0.2">
      <c r="A4062" s="1">
        <v>34039</v>
      </c>
      <c r="B4062" s="1" t="s">
        <v>12473</v>
      </c>
      <c r="C4062" s="5" t="s">
        <v>0</v>
      </c>
      <c r="D4062" s="1" t="s">
        <v>12474</v>
      </c>
      <c r="E4062" s="1" t="s">
        <v>12475</v>
      </c>
      <c r="F4062" s="1" t="s">
        <v>12473</v>
      </c>
      <c r="G4062" s="1" t="s">
        <v>12473</v>
      </c>
      <c r="H4062" s="1" t="s">
        <v>899</v>
      </c>
      <c r="I4062" s="1" t="s">
        <v>16</v>
      </c>
      <c r="J4062" s="1">
        <v>1</v>
      </c>
      <c r="K4062" s="1">
        <v>12</v>
      </c>
      <c r="L4062" s="1" t="s">
        <v>42</v>
      </c>
      <c r="M4062" s="1" t="s">
        <v>18</v>
      </c>
      <c r="N4062" s="1" t="s">
        <v>18</v>
      </c>
      <c r="O4062" s="1">
        <v>3</v>
      </c>
      <c r="P4062" s="1">
        <v>6</v>
      </c>
      <c r="R4062" s="1" t="s">
        <v>19</v>
      </c>
      <c r="S4062" s="1" t="s">
        <v>63</v>
      </c>
      <c r="T4062" s="1" t="s">
        <v>21</v>
      </c>
      <c r="U4062" s="1" t="s">
        <v>22</v>
      </c>
      <c r="V4062" s="1" t="s">
        <v>24</v>
      </c>
      <c r="W4062" s="1" t="s">
        <v>24</v>
      </c>
      <c r="X4062" s="1">
        <v>2700</v>
      </c>
      <c r="Y4062" s="1">
        <v>1308</v>
      </c>
      <c r="Z4062" s="1" t="s">
        <v>24</v>
      </c>
      <c r="AA4062" s="1" t="s">
        <v>24</v>
      </c>
      <c r="AB4062" s="1" t="s">
        <v>24</v>
      </c>
      <c r="AC4062" s="1" t="s">
        <v>24</v>
      </c>
      <c r="AD4062" s="1" t="s">
        <v>24</v>
      </c>
      <c r="AE4062" s="1" t="s">
        <v>24</v>
      </c>
      <c r="AF4062" s="22"/>
    </row>
    <row r="4063" spans="1:32" x14ac:dyDescent="0.2">
      <c r="A4063" s="1">
        <v>34040</v>
      </c>
      <c r="B4063" s="1" t="s">
        <v>12476</v>
      </c>
      <c r="C4063" s="5" t="s">
        <v>0</v>
      </c>
      <c r="E4063" s="1" t="s">
        <v>12477</v>
      </c>
      <c r="F4063" s="1" t="s">
        <v>12478</v>
      </c>
      <c r="G4063" s="1" t="s">
        <v>12478</v>
      </c>
      <c r="H4063" s="1" t="s">
        <v>1384</v>
      </c>
      <c r="I4063" s="1" t="s">
        <v>16</v>
      </c>
      <c r="J4063" s="1">
        <v>1</v>
      </c>
      <c r="K4063" s="1">
        <v>4</v>
      </c>
      <c r="L4063" s="1" t="s">
        <v>42</v>
      </c>
      <c r="M4063" s="1" t="s">
        <v>18</v>
      </c>
      <c r="N4063" s="1" t="s">
        <v>18</v>
      </c>
      <c r="O4063" s="1">
        <v>2</v>
      </c>
      <c r="P4063" s="1">
        <v>6</v>
      </c>
      <c r="R4063" s="1" t="s">
        <v>19</v>
      </c>
      <c r="S4063" s="1" t="s">
        <v>63</v>
      </c>
      <c r="T4063" s="1" t="s">
        <v>21</v>
      </c>
      <c r="U4063" s="1" t="s">
        <v>22</v>
      </c>
      <c r="V4063" s="1" t="s">
        <v>24</v>
      </c>
      <c r="W4063" s="1" t="s">
        <v>24</v>
      </c>
      <c r="X4063" s="1">
        <v>1605</v>
      </c>
      <c r="Y4063" s="1">
        <v>3002</v>
      </c>
      <c r="Z4063" s="1">
        <v>3004</v>
      </c>
      <c r="AA4063" s="1">
        <v>1110</v>
      </c>
      <c r="AB4063" s="1" t="s">
        <v>24</v>
      </c>
      <c r="AC4063" s="1" t="s">
        <v>24</v>
      </c>
      <c r="AD4063" s="1" t="s">
        <v>24</v>
      </c>
      <c r="AE4063" s="1" t="s">
        <v>24</v>
      </c>
      <c r="AF4063" s="22"/>
    </row>
    <row r="4064" spans="1:32" x14ac:dyDescent="0.2">
      <c r="A4064" s="1">
        <v>34042</v>
      </c>
      <c r="B4064" s="1" t="s">
        <v>12479</v>
      </c>
      <c r="C4064" s="5" t="s">
        <v>0</v>
      </c>
      <c r="D4064" s="1" t="s">
        <v>12480</v>
      </c>
      <c r="E4064" s="1" t="s">
        <v>12481</v>
      </c>
      <c r="F4064" s="1" t="s">
        <v>12482</v>
      </c>
      <c r="G4064" s="1" t="s">
        <v>12482</v>
      </c>
      <c r="H4064" s="1" t="s">
        <v>1957</v>
      </c>
      <c r="I4064" s="1" t="s">
        <v>16</v>
      </c>
      <c r="J4064" s="1">
        <v>1</v>
      </c>
      <c r="K4064" s="1">
        <v>12</v>
      </c>
      <c r="L4064" s="1" t="s">
        <v>42</v>
      </c>
      <c r="M4064" s="1" t="s">
        <v>18</v>
      </c>
      <c r="N4064" s="1" t="s">
        <v>18</v>
      </c>
      <c r="O4064" s="1">
        <v>3</v>
      </c>
      <c r="P4064" s="1">
        <v>6</v>
      </c>
      <c r="R4064" s="1" t="s">
        <v>19</v>
      </c>
      <c r="S4064" s="1" t="s">
        <v>63</v>
      </c>
      <c r="T4064" s="1" t="s">
        <v>21</v>
      </c>
      <c r="U4064" s="1" t="s">
        <v>22</v>
      </c>
      <c r="V4064" s="1" t="s">
        <v>24</v>
      </c>
      <c r="W4064" s="1" t="s">
        <v>24</v>
      </c>
      <c r="X4064" s="1">
        <v>2721</v>
      </c>
      <c r="Y4064" s="1">
        <v>2725</v>
      </c>
      <c r="Z4064" s="1" t="s">
        <v>24</v>
      </c>
      <c r="AA4064" s="1" t="s">
        <v>24</v>
      </c>
      <c r="AB4064" s="1" t="s">
        <v>24</v>
      </c>
      <c r="AC4064" s="1" t="s">
        <v>24</v>
      </c>
      <c r="AD4064" s="1" t="s">
        <v>24</v>
      </c>
      <c r="AE4064" s="1" t="s">
        <v>24</v>
      </c>
      <c r="AF4064" s="22"/>
    </row>
    <row r="4065" spans="1:32" x14ac:dyDescent="0.2">
      <c r="A4065" s="1">
        <v>34052</v>
      </c>
      <c r="B4065" s="1" t="s">
        <v>12483</v>
      </c>
      <c r="C4065" s="5" t="s">
        <v>0</v>
      </c>
      <c r="D4065" s="1" t="s">
        <v>12484</v>
      </c>
      <c r="F4065" s="1" t="s">
        <v>12485</v>
      </c>
      <c r="G4065" s="1" t="s">
        <v>3649</v>
      </c>
      <c r="H4065" s="1" t="s">
        <v>878</v>
      </c>
      <c r="I4065" s="1" t="s">
        <v>16</v>
      </c>
      <c r="J4065" s="1">
        <v>0</v>
      </c>
      <c r="K4065" s="1">
        <v>0</v>
      </c>
      <c r="L4065" s="1" t="s">
        <v>42</v>
      </c>
      <c r="M4065" s="1" t="s">
        <v>117</v>
      </c>
      <c r="N4065" s="1" t="s">
        <v>117</v>
      </c>
      <c r="O4065" s="1">
        <v>0</v>
      </c>
      <c r="P4065" s="1">
        <v>5</v>
      </c>
      <c r="R4065" s="1" t="s">
        <v>19</v>
      </c>
      <c r="S4065" s="1" t="s">
        <v>20</v>
      </c>
      <c r="T4065" s="1" t="s">
        <v>21</v>
      </c>
      <c r="U4065" s="1" t="s">
        <v>22</v>
      </c>
      <c r="V4065" s="1" t="s">
        <v>24</v>
      </c>
      <c r="W4065" s="1" t="s">
        <v>24</v>
      </c>
      <c r="X4065" s="1">
        <v>2703</v>
      </c>
      <c r="Y4065" s="1" t="s">
        <v>24</v>
      </c>
      <c r="Z4065" s="1" t="s">
        <v>24</v>
      </c>
      <c r="AA4065" s="1" t="s">
        <v>24</v>
      </c>
      <c r="AB4065" s="1" t="s">
        <v>24</v>
      </c>
      <c r="AC4065" s="1" t="s">
        <v>24</v>
      </c>
      <c r="AD4065" s="1" t="s">
        <v>24</v>
      </c>
      <c r="AE4065" s="1" t="s">
        <v>24</v>
      </c>
      <c r="AF4065" s="22"/>
    </row>
    <row r="4066" spans="1:32" x14ac:dyDescent="0.2">
      <c r="A4066" s="1">
        <v>34067</v>
      </c>
      <c r="B4066" s="1" t="s">
        <v>12486</v>
      </c>
      <c r="C4066" s="5" t="s">
        <v>0</v>
      </c>
      <c r="D4066" s="1" t="s">
        <v>12487</v>
      </c>
      <c r="F4066" s="1" t="s">
        <v>12488</v>
      </c>
      <c r="G4066" s="1" t="s">
        <v>3649</v>
      </c>
      <c r="H4066" s="1" t="s">
        <v>878</v>
      </c>
      <c r="I4066" s="1" t="s">
        <v>16</v>
      </c>
      <c r="J4066" s="1">
        <v>1</v>
      </c>
      <c r="K4066" s="1">
        <v>4</v>
      </c>
      <c r="L4066" s="1" t="s">
        <v>42</v>
      </c>
      <c r="M4066" s="1" t="s">
        <v>117</v>
      </c>
      <c r="N4066" s="1" t="s">
        <v>117</v>
      </c>
      <c r="O4066" s="1">
        <v>0</v>
      </c>
      <c r="P4066" s="1">
        <v>5</v>
      </c>
      <c r="R4066" s="1" t="s">
        <v>19</v>
      </c>
      <c r="S4066" s="1" t="s">
        <v>20</v>
      </c>
      <c r="T4066" s="1" t="s">
        <v>21</v>
      </c>
      <c r="U4066" s="1" t="s">
        <v>22</v>
      </c>
      <c r="V4066" s="1" t="s">
        <v>24</v>
      </c>
      <c r="W4066" s="1" t="s">
        <v>24</v>
      </c>
      <c r="X4066" s="1">
        <v>2728</v>
      </c>
      <c r="Y4066" s="1">
        <v>2808</v>
      </c>
      <c r="Z4066" s="1">
        <v>3203</v>
      </c>
      <c r="AA4066" s="1">
        <v>2738</v>
      </c>
      <c r="AB4066" s="1" t="s">
        <v>24</v>
      </c>
      <c r="AC4066" s="1" t="s">
        <v>24</v>
      </c>
      <c r="AD4066" s="1" t="s">
        <v>24</v>
      </c>
      <c r="AE4066" s="1" t="s">
        <v>24</v>
      </c>
      <c r="AF4066" s="22"/>
    </row>
    <row r="4067" spans="1:32" x14ac:dyDescent="0.2">
      <c r="A4067" s="1">
        <v>34069</v>
      </c>
      <c r="B4067" s="1" t="s">
        <v>12489</v>
      </c>
      <c r="C4067" s="5" t="s">
        <v>0</v>
      </c>
      <c r="D4067" s="1" t="s">
        <v>12490</v>
      </c>
      <c r="F4067" s="1" t="s">
        <v>12491</v>
      </c>
      <c r="G4067" s="1" t="s">
        <v>12491</v>
      </c>
      <c r="H4067" s="1" t="s">
        <v>878</v>
      </c>
      <c r="I4067" s="1" t="s">
        <v>16</v>
      </c>
      <c r="J4067" s="1">
        <v>1</v>
      </c>
      <c r="K4067" s="1">
        <v>3</v>
      </c>
      <c r="L4067" s="1" t="s">
        <v>42</v>
      </c>
      <c r="M4067" s="1" t="s">
        <v>117</v>
      </c>
      <c r="N4067" s="1" t="s">
        <v>117</v>
      </c>
      <c r="O4067" s="1">
        <v>3</v>
      </c>
      <c r="P4067" s="1">
        <v>5</v>
      </c>
      <c r="R4067" s="1" t="s">
        <v>19</v>
      </c>
      <c r="S4067" s="1" t="s">
        <v>20</v>
      </c>
      <c r="T4067" s="1" t="s">
        <v>21</v>
      </c>
      <c r="U4067" s="1" t="s">
        <v>22</v>
      </c>
      <c r="V4067" s="1" t="s">
        <v>24</v>
      </c>
      <c r="W4067" s="1" t="s">
        <v>24</v>
      </c>
      <c r="X4067" s="1">
        <v>2705</v>
      </c>
      <c r="Y4067" s="1">
        <v>2902</v>
      </c>
      <c r="Z4067" s="1" t="s">
        <v>24</v>
      </c>
      <c r="AA4067" s="1" t="s">
        <v>24</v>
      </c>
      <c r="AB4067" s="1" t="s">
        <v>24</v>
      </c>
      <c r="AC4067" s="1" t="s">
        <v>24</v>
      </c>
      <c r="AD4067" s="1" t="s">
        <v>24</v>
      </c>
      <c r="AE4067" s="1" t="s">
        <v>24</v>
      </c>
      <c r="AF4067" s="22"/>
    </row>
    <row r="4068" spans="1:32" x14ac:dyDescent="0.2">
      <c r="A4068" s="1">
        <v>34086</v>
      </c>
      <c r="B4068" s="1" t="s">
        <v>12492</v>
      </c>
      <c r="C4068" s="5" t="s">
        <v>0</v>
      </c>
      <c r="D4068" s="1" t="s">
        <v>12493</v>
      </c>
      <c r="F4068" s="1" t="s">
        <v>12494</v>
      </c>
      <c r="G4068" s="1" t="s">
        <v>3649</v>
      </c>
      <c r="H4068" s="1" t="s">
        <v>878</v>
      </c>
      <c r="I4068" s="1" t="s">
        <v>16</v>
      </c>
      <c r="J4068" s="1">
        <v>1</v>
      </c>
      <c r="K4068" s="1">
        <v>6</v>
      </c>
      <c r="L4068" s="1" t="s">
        <v>42</v>
      </c>
      <c r="M4068" s="1" t="s">
        <v>117</v>
      </c>
      <c r="N4068" s="1" t="s">
        <v>117</v>
      </c>
      <c r="O4068" s="1">
        <v>3</v>
      </c>
      <c r="P4068" s="1">
        <v>5</v>
      </c>
      <c r="R4068" s="1" t="s">
        <v>19</v>
      </c>
      <c r="S4068" s="1" t="s">
        <v>20</v>
      </c>
      <c r="T4068" s="1" t="s">
        <v>21</v>
      </c>
      <c r="U4068" s="1" t="s">
        <v>22</v>
      </c>
      <c r="V4068" s="1" t="s">
        <v>24</v>
      </c>
      <c r="W4068" s="1" t="s">
        <v>24</v>
      </c>
      <c r="X4068" s="1">
        <v>2808</v>
      </c>
      <c r="Y4068" s="1">
        <v>2728</v>
      </c>
      <c r="Z4068" s="1">
        <v>2739</v>
      </c>
      <c r="AA4068" s="1">
        <v>3206</v>
      </c>
      <c r="AB4068" s="1" t="s">
        <v>24</v>
      </c>
      <c r="AC4068" s="1" t="s">
        <v>24</v>
      </c>
      <c r="AD4068" s="1" t="s">
        <v>24</v>
      </c>
      <c r="AE4068" s="1" t="s">
        <v>24</v>
      </c>
      <c r="AF4068" s="22"/>
    </row>
    <row r="4069" spans="1:32" x14ac:dyDescent="0.2">
      <c r="A4069" s="1">
        <v>34090</v>
      </c>
      <c r="B4069" s="1" t="s">
        <v>12495</v>
      </c>
      <c r="C4069" s="5" t="s">
        <v>0</v>
      </c>
      <c r="D4069" s="1" t="s">
        <v>12496</v>
      </c>
      <c r="E4069" s="1" t="s">
        <v>12497</v>
      </c>
      <c r="F4069" s="1" t="s">
        <v>12498</v>
      </c>
      <c r="G4069" s="1" t="s">
        <v>12498</v>
      </c>
      <c r="H4069" s="1" t="s">
        <v>10527</v>
      </c>
      <c r="I4069" s="1" t="s">
        <v>16</v>
      </c>
      <c r="J4069" s="1">
        <v>1</v>
      </c>
      <c r="K4069" s="1">
        <v>3</v>
      </c>
      <c r="L4069" s="1" t="s">
        <v>42</v>
      </c>
      <c r="M4069" s="1" t="s">
        <v>18</v>
      </c>
      <c r="N4069" s="1" t="s">
        <v>18</v>
      </c>
      <c r="O4069" s="1">
        <v>3</v>
      </c>
      <c r="P4069" s="1">
        <v>6</v>
      </c>
      <c r="R4069" s="1" t="s">
        <v>19</v>
      </c>
      <c r="S4069" s="1" t="s">
        <v>20</v>
      </c>
      <c r="T4069" s="1" t="s">
        <v>21</v>
      </c>
      <c r="U4069" s="1" t="s">
        <v>22</v>
      </c>
      <c r="V4069" s="1" t="s">
        <v>24</v>
      </c>
      <c r="W4069" s="1" t="s">
        <v>24</v>
      </c>
      <c r="X4069" s="1">
        <v>2735</v>
      </c>
      <c r="Y4069" s="1" t="s">
        <v>24</v>
      </c>
      <c r="Z4069" s="1" t="s">
        <v>24</v>
      </c>
      <c r="AA4069" s="1" t="s">
        <v>24</v>
      </c>
      <c r="AB4069" s="1" t="s">
        <v>24</v>
      </c>
      <c r="AC4069" s="1" t="s">
        <v>24</v>
      </c>
      <c r="AD4069" s="1" t="s">
        <v>24</v>
      </c>
      <c r="AE4069" s="1" t="s">
        <v>24</v>
      </c>
      <c r="AF4069" s="22"/>
    </row>
    <row r="4070" spans="1:32" x14ac:dyDescent="0.2">
      <c r="A4070" s="1">
        <v>34094</v>
      </c>
      <c r="B4070" s="1" t="s">
        <v>12499</v>
      </c>
      <c r="C4070" s="5" t="s">
        <v>0</v>
      </c>
      <c r="D4070" s="1" t="s">
        <v>12500</v>
      </c>
      <c r="E4070" s="1" t="s">
        <v>12501</v>
      </c>
      <c r="F4070" s="1" t="s">
        <v>12502</v>
      </c>
      <c r="G4070" s="1" t="s">
        <v>12502</v>
      </c>
      <c r="H4070" s="1" t="s">
        <v>30</v>
      </c>
      <c r="I4070" s="1" t="s">
        <v>16</v>
      </c>
      <c r="J4070" s="1">
        <v>1</v>
      </c>
      <c r="K4070" s="1">
        <v>4</v>
      </c>
      <c r="L4070" s="1" t="s">
        <v>42</v>
      </c>
      <c r="M4070" s="1" t="s">
        <v>18</v>
      </c>
      <c r="N4070" s="1" t="s">
        <v>18</v>
      </c>
      <c r="O4070" s="1">
        <v>3</v>
      </c>
      <c r="P4070" s="1">
        <v>6</v>
      </c>
      <c r="R4070" s="1" t="s">
        <v>19</v>
      </c>
      <c r="S4070" s="1" t="s">
        <v>20</v>
      </c>
      <c r="T4070" s="1" t="s">
        <v>21</v>
      </c>
      <c r="U4070" s="1" t="s">
        <v>22</v>
      </c>
      <c r="V4070" s="1" t="s">
        <v>24</v>
      </c>
      <c r="W4070" s="1" t="s">
        <v>24</v>
      </c>
      <c r="X4070" s="1">
        <v>1300</v>
      </c>
      <c r="Y4070" s="1">
        <v>2700</v>
      </c>
      <c r="Z4070" s="1" t="s">
        <v>24</v>
      </c>
      <c r="AA4070" s="1" t="s">
        <v>24</v>
      </c>
      <c r="AB4070" s="1" t="s">
        <v>24</v>
      </c>
      <c r="AC4070" s="1" t="s">
        <v>24</v>
      </c>
      <c r="AD4070" s="1" t="s">
        <v>24</v>
      </c>
      <c r="AE4070" s="1" t="s">
        <v>24</v>
      </c>
      <c r="AF4070" s="22"/>
    </row>
    <row r="4071" spans="1:32" x14ac:dyDescent="0.2">
      <c r="A4071" s="1">
        <v>34100</v>
      </c>
      <c r="B4071" s="1" t="s">
        <v>12503</v>
      </c>
      <c r="C4071" s="5" t="s">
        <v>0</v>
      </c>
      <c r="D4071" s="1" t="s">
        <v>12504</v>
      </c>
      <c r="E4071" s="1" t="s">
        <v>12505</v>
      </c>
      <c r="F4071" s="1" t="s">
        <v>12506</v>
      </c>
      <c r="G4071" s="1" t="s">
        <v>12506</v>
      </c>
      <c r="H4071" s="1" t="s">
        <v>445</v>
      </c>
      <c r="I4071" s="1" t="s">
        <v>16</v>
      </c>
      <c r="J4071" s="1">
        <v>1</v>
      </c>
      <c r="K4071" s="1">
        <v>4</v>
      </c>
      <c r="L4071" s="1" t="s">
        <v>42</v>
      </c>
      <c r="M4071" s="1" t="s">
        <v>6868</v>
      </c>
      <c r="N4071" s="1" t="s">
        <v>6868</v>
      </c>
      <c r="O4071" s="1">
        <v>3</v>
      </c>
      <c r="P4071" s="1">
        <v>6</v>
      </c>
      <c r="R4071" s="1" t="s">
        <v>19</v>
      </c>
      <c r="S4071" s="1" t="s">
        <v>20</v>
      </c>
      <c r="T4071" s="1" t="s">
        <v>21</v>
      </c>
      <c r="U4071" s="1" t="s">
        <v>22</v>
      </c>
      <c r="V4071" s="1" t="s">
        <v>24</v>
      </c>
      <c r="W4071" s="1" t="s">
        <v>24</v>
      </c>
      <c r="X4071" s="1">
        <v>3003</v>
      </c>
      <c r="Y4071" s="1">
        <v>3004</v>
      </c>
      <c r="Z4071" s="1" t="s">
        <v>24</v>
      </c>
      <c r="AA4071" s="1" t="s">
        <v>24</v>
      </c>
      <c r="AB4071" s="1" t="s">
        <v>24</v>
      </c>
      <c r="AC4071" s="1" t="s">
        <v>24</v>
      </c>
      <c r="AD4071" s="1" t="s">
        <v>24</v>
      </c>
      <c r="AE4071" s="1" t="s">
        <v>24</v>
      </c>
      <c r="AF4071" s="22"/>
    </row>
    <row r="4072" spans="1:32" x14ac:dyDescent="0.2">
      <c r="A4072" s="1">
        <v>34102</v>
      </c>
      <c r="B4072" s="1" t="s">
        <v>12507</v>
      </c>
      <c r="C4072" s="5" t="s">
        <v>0</v>
      </c>
      <c r="D4072" s="1" t="s">
        <v>12508</v>
      </c>
      <c r="F4072" s="1" t="s">
        <v>12509</v>
      </c>
      <c r="G4072" s="1" t="s">
        <v>12509</v>
      </c>
      <c r="H4072" s="1" t="s">
        <v>2988</v>
      </c>
      <c r="I4072" s="1" t="s">
        <v>16</v>
      </c>
      <c r="J4072" s="1">
        <v>1</v>
      </c>
      <c r="K4072" s="1">
        <v>3</v>
      </c>
      <c r="L4072" s="1" t="s">
        <v>42</v>
      </c>
      <c r="M4072" s="1" t="s">
        <v>18</v>
      </c>
      <c r="N4072" s="1" t="s">
        <v>18</v>
      </c>
      <c r="O4072" s="1">
        <v>3</v>
      </c>
      <c r="P4072" s="1">
        <v>6</v>
      </c>
      <c r="R4072" s="1" t="s">
        <v>19</v>
      </c>
      <c r="S4072" s="1" t="s">
        <v>20</v>
      </c>
      <c r="T4072" s="1" t="s">
        <v>21</v>
      </c>
      <c r="U4072" s="1" t="s">
        <v>22</v>
      </c>
      <c r="V4072" s="1" t="s">
        <v>24</v>
      </c>
      <c r="W4072" s="1" t="s">
        <v>24</v>
      </c>
      <c r="X4072" s="1">
        <v>2728</v>
      </c>
      <c r="Y4072" s="1">
        <v>2808</v>
      </c>
      <c r="Z4072" s="1" t="s">
        <v>24</v>
      </c>
      <c r="AA4072" s="1" t="s">
        <v>24</v>
      </c>
      <c r="AB4072" s="1" t="s">
        <v>24</v>
      </c>
      <c r="AC4072" s="1" t="s">
        <v>24</v>
      </c>
      <c r="AD4072" s="1" t="s">
        <v>24</v>
      </c>
      <c r="AE4072" s="1" t="s">
        <v>24</v>
      </c>
      <c r="AF4072" s="22"/>
    </row>
    <row r="4073" spans="1:32" x14ac:dyDescent="0.2">
      <c r="A4073" s="1">
        <v>34104</v>
      </c>
      <c r="B4073" s="1" t="s">
        <v>12510</v>
      </c>
      <c r="C4073" s="5" t="s">
        <v>0</v>
      </c>
      <c r="D4073" s="1" t="s">
        <v>12511</v>
      </c>
      <c r="F4073" s="1" t="s">
        <v>12512</v>
      </c>
      <c r="G4073" s="1" t="s">
        <v>12512</v>
      </c>
      <c r="H4073" s="1" t="s">
        <v>878</v>
      </c>
      <c r="I4073" s="1" t="s">
        <v>16</v>
      </c>
      <c r="J4073" s="1">
        <v>1</v>
      </c>
      <c r="K4073" s="1">
        <v>4</v>
      </c>
      <c r="L4073" s="1" t="s">
        <v>42</v>
      </c>
      <c r="M4073" s="1" t="s">
        <v>117</v>
      </c>
      <c r="N4073" s="1" t="s">
        <v>117</v>
      </c>
      <c r="O4073" s="1">
        <v>3</v>
      </c>
      <c r="P4073" s="1">
        <v>5</v>
      </c>
      <c r="R4073" s="1" t="s">
        <v>19</v>
      </c>
      <c r="S4073" s="1" t="s">
        <v>20</v>
      </c>
      <c r="T4073" s="1" t="s">
        <v>21</v>
      </c>
      <c r="U4073" s="1" t="s">
        <v>22</v>
      </c>
      <c r="V4073" s="1" t="s">
        <v>24</v>
      </c>
      <c r="W4073" s="1" t="s">
        <v>24</v>
      </c>
      <c r="X4073" s="1">
        <v>2705</v>
      </c>
      <c r="Y4073" s="1" t="s">
        <v>24</v>
      </c>
      <c r="Z4073" s="1" t="s">
        <v>24</v>
      </c>
      <c r="AA4073" s="1" t="s">
        <v>24</v>
      </c>
      <c r="AB4073" s="1" t="s">
        <v>24</v>
      </c>
      <c r="AC4073" s="1" t="s">
        <v>24</v>
      </c>
      <c r="AD4073" s="1" t="s">
        <v>24</v>
      </c>
      <c r="AE4073" s="1" t="s">
        <v>24</v>
      </c>
      <c r="AF4073" s="22"/>
    </row>
    <row r="4074" spans="1:32" x14ac:dyDescent="0.2">
      <c r="A4074" s="1">
        <v>34105</v>
      </c>
      <c r="B4074" s="1" t="s">
        <v>12513</v>
      </c>
      <c r="C4074" s="5" t="s">
        <v>0</v>
      </c>
      <c r="D4074" s="1" t="s">
        <v>12514</v>
      </c>
      <c r="F4074" s="1" t="s">
        <v>12515</v>
      </c>
      <c r="G4074" s="1" t="s">
        <v>12516</v>
      </c>
      <c r="H4074" s="1" t="s">
        <v>878</v>
      </c>
      <c r="I4074" s="1" t="s">
        <v>16</v>
      </c>
      <c r="J4074" s="1">
        <v>0</v>
      </c>
      <c r="K4074" s="1">
        <v>0</v>
      </c>
      <c r="L4074" s="1" t="s">
        <v>42</v>
      </c>
      <c r="M4074" s="1" t="s">
        <v>118</v>
      </c>
      <c r="N4074" s="1" t="s">
        <v>118</v>
      </c>
      <c r="O4074" s="1">
        <v>2</v>
      </c>
      <c r="P4074" s="1">
        <v>6</v>
      </c>
      <c r="R4074" s="1" t="s">
        <v>19</v>
      </c>
      <c r="S4074" s="1" t="s">
        <v>20</v>
      </c>
      <c r="T4074" s="1" t="s">
        <v>21</v>
      </c>
      <c r="U4074" s="1" t="s">
        <v>22</v>
      </c>
      <c r="V4074" s="1" t="s">
        <v>24</v>
      </c>
      <c r="W4074" s="1" t="s">
        <v>24</v>
      </c>
      <c r="X4074" s="1">
        <v>2808</v>
      </c>
      <c r="Y4074" s="1">
        <v>2728</v>
      </c>
      <c r="Z4074" s="1" t="s">
        <v>24</v>
      </c>
      <c r="AA4074" s="1" t="s">
        <v>24</v>
      </c>
      <c r="AB4074" s="1" t="s">
        <v>24</v>
      </c>
      <c r="AC4074" s="1" t="s">
        <v>24</v>
      </c>
      <c r="AD4074" s="1" t="s">
        <v>24</v>
      </c>
      <c r="AE4074" s="1" t="s">
        <v>24</v>
      </c>
      <c r="AF4074" s="22"/>
    </row>
    <row r="4075" spans="1:32" x14ac:dyDescent="0.2">
      <c r="A4075" s="1">
        <v>34107</v>
      </c>
      <c r="B4075" s="1" t="s">
        <v>12517</v>
      </c>
      <c r="C4075" s="5" t="s">
        <v>0</v>
      </c>
      <c r="D4075" s="1" t="s">
        <v>12518</v>
      </c>
      <c r="E4075" s="1" t="s">
        <v>12519</v>
      </c>
      <c r="F4075" s="1" t="s">
        <v>724</v>
      </c>
      <c r="G4075" s="1" t="s">
        <v>725</v>
      </c>
      <c r="H4075" s="1" t="s">
        <v>37</v>
      </c>
      <c r="I4075" s="1" t="s">
        <v>16</v>
      </c>
      <c r="J4075" s="1">
        <v>1</v>
      </c>
      <c r="K4075" s="1">
        <v>6</v>
      </c>
      <c r="L4075" s="1" t="s">
        <v>31</v>
      </c>
      <c r="M4075" s="1" t="s">
        <v>18</v>
      </c>
      <c r="N4075" s="1" t="s">
        <v>18</v>
      </c>
      <c r="O4075" s="1">
        <v>3</v>
      </c>
      <c r="P4075" s="1">
        <v>6</v>
      </c>
      <c r="R4075" s="1" t="s">
        <v>19</v>
      </c>
      <c r="S4075" s="1" t="s">
        <v>20</v>
      </c>
      <c r="T4075" s="1" t="s">
        <v>21</v>
      </c>
      <c r="U4075" s="1" t="s">
        <v>22</v>
      </c>
      <c r="V4075" s="1" t="s">
        <v>24</v>
      </c>
      <c r="W4075" s="1" t="s">
        <v>24</v>
      </c>
      <c r="X4075" s="1">
        <v>1311</v>
      </c>
      <c r="Y4075" s="1" t="s">
        <v>24</v>
      </c>
      <c r="Z4075" s="1" t="s">
        <v>24</v>
      </c>
      <c r="AA4075" s="1" t="s">
        <v>24</v>
      </c>
      <c r="AB4075" s="1" t="s">
        <v>24</v>
      </c>
      <c r="AC4075" s="1" t="s">
        <v>24</v>
      </c>
      <c r="AD4075" s="1" t="s">
        <v>24</v>
      </c>
      <c r="AE4075" s="1" t="s">
        <v>24</v>
      </c>
      <c r="AF4075" s="22"/>
    </row>
    <row r="4076" spans="1:32" x14ac:dyDescent="0.2">
      <c r="A4076" s="1">
        <v>34126</v>
      </c>
      <c r="B4076" s="5" t="s">
        <v>12520</v>
      </c>
      <c r="C4076" s="5" t="s">
        <v>0</v>
      </c>
      <c r="D4076" s="1" t="s">
        <v>12521</v>
      </c>
      <c r="E4076" s="1" t="s">
        <v>12522</v>
      </c>
      <c r="F4076" s="1" t="s">
        <v>8040</v>
      </c>
      <c r="G4076" s="1" t="s">
        <v>17630</v>
      </c>
      <c r="H4076" s="1" t="s">
        <v>37</v>
      </c>
      <c r="I4076" s="1" t="s">
        <v>16</v>
      </c>
      <c r="J4076" s="5">
        <v>1</v>
      </c>
      <c r="K4076" s="1">
        <v>4</v>
      </c>
      <c r="L4076" s="1" t="s">
        <v>31</v>
      </c>
      <c r="M4076" s="1" t="s">
        <v>18</v>
      </c>
      <c r="N4076" s="5" t="s">
        <v>18</v>
      </c>
      <c r="O4076" s="5">
        <v>3</v>
      </c>
      <c r="P4076" s="5">
        <v>6</v>
      </c>
      <c r="R4076" s="5" t="s">
        <v>19</v>
      </c>
      <c r="S4076" s="1" t="s">
        <v>20</v>
      </c>
      <c r="T4076" s="5" t="s">
        <v>21</v>
      </c>
      <c r="U4076" s="5"/>
      <c r="V4076" s="5"/>
      <c r="W4076" s="5"/>
      <c r="X4076" s="5">
        <v>2204</v>
      </c>
      <c r="Y4076" s="5"/>
      <c r="AF4076" s="22"/>
    </row>
    <row r="4077" spans="1:32" x14ac:dyDescent="0.2">
      <c r="A4077" s="1">
        <v>34156</v>
      </c>
      <c r="B4077" s="1" t="s">
        <v>12523</v>
      </c>
      <c r="C4077" s="5" t="s">
        <v>0</v>
      </c>
      <c r="D4077" s="1" t="s">
        <v>12524</v>
      </c>
      <c r="E4077" s="1" t="s">
        <v>12525</v>
      </c>
      <c r="F4077" s="1" t="s">
        <v>751</v>
      </c>
      <c r="G4077" s="1" t="s">
        <v>36</v>
      </c>
      <c r="H4077" s="1" t="s">
        <v>37</v>
      </c>
      <c r="I4077" s="1" t="s">
        <v>16</v>
      </c>
      <c r="J4077" s="1">
        <v>1</v>
      </c>
      <c r="K4077" s="1">
        <v>9</v>
      </c>
      <c r="L4077" s="1" t="s">
        <v>31</v>
      </c>
      <c r="M4077" s="1" t="s">
        <v>18</v>
      </c>
      <c r="N4077" s="1" t="s">
        <v>18</v>
      </c>
      <c r="O4077" s="1">
        <v>2</v>
      </c>
      <c r="P4077" s="1">
        <v>7</v>
      </c>
      <c r="Q4077" s="7" t="s">
        <v>17633</v>
      </c>
      <c r="R4077" s="1" t="s">
        <v>19</v>
      </c>
      <c r="S4077" s="1" t="s">
        <v>20</v>
      </c>
      <c r="T4077" s="1" t="s">
        <v>21</v>
      </c>
      <c r="U4077" s="1" t="s">
        <v>22</v>
      </c>
      <c r="V4077" s="1" t="s">
        <v>23</v>
      </c>
      <c r="W4077" s="1" t="s">
        <v>24</v>
      </c>
      <c r="X4077" s="1">
        <v>2728</v>
      </c>
      <c r="Y4077" s="1">
        <v>2738</v>
      </c>
      <c r="Z4077" s="1">
        <v>2921</v>
      </c>
      <c r="AA4077" s="1">
        <v>2808</v>
      </c>
      <c r="AB4077" s="1" t="s">
        <v>24</v>
      </c>
      <c r="AC4077" s="1" t="s">
        <v>24</v>
      </c>
      <c r="AD4077" s="1" t="s">
        <v>24</v>
      </c>
      <c r="AE4077" s="1" t="s">
        <v>24</v>
      </c>
      <c r="AF4077" s="22"/>
    </row>
    <row r="4078" spans="1:32" x14ac:dyDescent="0.2">
      <c r="A4078" s="1">
        <v>34163</v>
      </c>
      <c r="B4078" s="1" t="s">
        <v>12526</v>
      </c>
      <c r="C4078" s="5" t="s">
        <v>0</v>
      </c>
      <c r="D4078" s="1" t="s">
        <v>12527</v>
      </c>
      <c r="E4078" s="1" t="s">
        <v>12528</v>
      </c>
      <c r="F4078" s="1" t="s">
        <v>751</v>
      </c>
      <c r="G4078" s="1" t="s">
        <v>36</v>
      </c>
      <c r="H4078" s="1" t="s">
        <v>37</v>
      </c>
      <c r="I4078" s="1" t="s">
        <v>16</v>
      </c>
      <c r="J4078" s="1">
        <v>1</v>
      </c>
      <c r="K4078" s="1">
        <v>6</v>
      </c>
      <c r="L4078" s="1" t="s">
        <v>31</v>
      </c>
      <c r="M4078" s="1" t="s">
        <v>18</v>
      </c>
      <c r="N4078" s="1" t="s">
        <v>18</v>
      </c>
      <c r="O4078" s="1">
        <v>3</v>
      </c>
      <c r="P4078" s="1">
        <v>7</v>
      </c>
      <c r="Q4078" s="7" t="s">
        <v>17633</v>
      </c>
      <c r="R4078" s="1" t="s">
        <v>19</v>
      </c>
      <c r="S4078" s="1" t="s">
        <v>20</v>
      </c>
      <c r="T4078" s="1" t="s">
        <v>21</v>
      </c>
      <c r="U4078" s="1" t="s">
        <v>22</v>
      </c>
      <c r="V4078" s="1" t="s">
        <v>24</v>
      </c>
      <c r="W4078" s="1" t="s">
        <v>24</v>
      </c>
      <c r="X4078" s="1">
        <v>2204</v>
      </c>
      <c r="Y4078" s="1">
        <v>2701</v>
      </c>
      <c r="Z4078" s="1">
        <v>2502</v>
      </c>
      <c r="AA4078" s="1" t="s">
        <v>24</v>
      </c>
      <c r="AB4078" s="1" t="s">
        <v>24</v>
      </c>
      <c r="AC4078" s="1" t="s">
        <v>24</v>
      </c>
      <c r="AD4078" s="1" t="s">
        <v>24</v>
      </c>
      <c r="AE4078" s="1" t="s">
        <v>24</v>
      </c>
      <c r="AF4078" s="22"/>
    </row>
    <row r="4079" spans="1:32" x14ac:dyDescent="0.2">
      <c r="A4079" s="1">
        <v>34168</v>
      </c>
      <c r="B4079" s="1" t="s">
        <v>12529</v>
      </c>
      <c r="C4079" s="5" t="s">
        <v>0</v>
      </c>
      <c r="D4079" s="1" t="s">
        <v>12530</v>
      </c>
      <c r="E4079" s="1" t="s">
        <v>12531</v>
      </c>
      <c r="F4079" s="1" t="s">
        <v>517</v>
      </c>
      <c r="G4079" s="1" t="s">
        <v>36</v>
      </c>
      <c r="H4079" s="1" t="s">
        <v>30</v>
      </c>
      <c r="I4079" s="1" t="s">
        <v>16</v>
      </c>
      <c r="J4079" s="1">
        <v>1</v>
      </c>
      <c r="K4079" s="1">
        <v>4</v>
      </c>
      <c r="L4079" s="1" t="s">
        <v>31</v>
      </c>
      <c r="M4079" s="1" t="s">
        <v>18</v>
      </c>
      <c r="N4079" s="1" t="s">
        <v>18</v>
      </c>
      <c r="O4079" s="1">
        <v>2</v>
      </c>
      <c r="P4079" s="1">
        <v>7</v>
      </c>
      <c r="Q4079" s="7" t="s">
        <v>17633</v>
      </c>
      <c r="R4079" s="1" t="s">
        <v>19</v>
      </c>
      <c r="S4079" s="1" t="s">
        <v>20</v>
      </c>
      <c r="T4079" s="1" t="s">
        <v>21</v>
      </c>
      <c r="U4079" s="1" t="s">
        <v>22</v>
      </c>
      <c r="V4079" s="1" t="s">
        <v>24</v>
      </c>
      <c r="W4079" s="1" t="s">
        <v>24</v>
      </c>
      <c r="X4079" s="1">
        <v>1315</v>
      </c>
      <c r="Y4079" s="1">
        <v>1303</v>
      </c>
      <c r="Z4079" s="1" t="s">
        <v>24</v>
      </c>
      <c r="AA4079" s="1" t="s">
        <v>24</v>
      </c>
      <c r="AB4079" s="1" t="s">
        <v>24</v>
      </c>
      <c r="AC4079" s="1" t="s">
        <v>24</v>
      </c>
      <c r="AD4079" s="1" t="s">
        <v>24</v>
      </c>
      <c r="AE4079" s="1" t="s">
        <v>24</v>
      </c>
      <c r="AF4079" s="22"/>
    </row>
    <row r="4080" spans="1:32" x14ac:dyDescent="0.2">
      <c r="A4080" s="1">
        <v>34169</v>
      </c>
      <c r="B4080" s="1" t="s">
        <v>12532</v>
      </c>
      <c r="C4080" s="5" t="s">
        <v>0</v>
      </c>
      <c r="D4080" s="1" t="s">
        <v>12533</v>
      </c>
      <c r="E4080" s="1" t="s">
        <v>12534</v>
      </c>
      <c r="F4080" s="1" t="s">
        <v>517</v>
      </c>
      <c r="G4080" s="1" t="s">
        <v>36</v>
      </c>
      <c r="H4080" s="1" t="s">
        <v>30</v>
      </c>
      <c r="I4080" s="1" t="s">
        <v>16</v>
      </c>
      <c r="J4080" s="1">
        <v>1</v>
      </c>
      <c r="K4080" s="1">
        <v>4</v>
      </c>
      <c r="L4080" s="1" t="s">
        <v>31</v>
      </c>
      <c r="M4080" s="1" t="s">
        <v>18</v>
      </c>
      <c r="N4080" s="1" t="s">
        <v>18</v>
      </c>
      <c r="O4080" s="1">
        <v>2</v>
      </c>
      <c r="P4080" s="1">
        <v>7</v>
      </c>
      <c r="Q4080" s="7" t="s">
        <v>17633</v>
      </c>
      <c r="R4080" s="1" t="s">
        <v>19</v>
      </c>
      <c r="S4080" s="1" t="s">
        <v>20</v>
      </c>
      <c r="T4080" s="1" t="s">
        <v>21</v>
      </c>
      <c r="U4080" s="1" t="s">
        <v>22</v>
      </c>
      <c r="V4080" s="1" t="s">
        <v>24</v>
      </c>
      <c r="W4080" s="1" t="s">
        <v>24</v>
      </c>
      <c r="X4080" s="1">
        <v>1307</v>
      </c>
      <c r="Y4080" s="1" t="s">
        <v>24</v>
      </c>
      <c r="Z4080" s="1" t="s">
        <v>24</v>
      </c>
      <c r="AA4080" s="1" t="s">
        <v>24</v>
      </c>
      <c r="AB4080" s="1" t="s">
        <v>24</v>
      </c>
      <c r="AC4080" s="1" t="s">
        <v>24</v>
      </c>
      <c r="AD4080" s="1" t="s">
        <v>24</v>
      </c>
      <c r="AE4080" s="1" t="s">
        <v>24</v>
      </c>
      <c r="AF4080" s="22"/>
    </row>
    <row r="4081" spans="1:32" x14ac:dyDescent="0.2">
      <c r="A4081" s="1">
        <v>34170</v>
      </c>
      <c r="B4081" s="1" t="s">
        <v>12535</v>
      </c>
      <c r="C4081" s="5" t="s">
        <v>0</v>
      </c>
      <c r="D4081" s="1" t="s">
        <v>12536</v>
      </c>
      <c r="E4081" s="1" t="s">
        <v>12537</v>
      </c>
      <c r="F4081" s="1" t="s">
        <v>517</v>
      </c>
      <c r="G4081" s="1" t="s">
        <v>36</v>
      </c>
      <c r="H4081" s="1" t="s">
        <v>30</v>
      </c>
      <c r="I4081" s="1" t="s">
        <v>16</v>
      </c>
      <c r="J4081" s="1">
        <v>1</v>
      </c>
      <c r="K4081" s="1">
        <v>4</v>
      </c>
      <c r="L4081" s="1" t="s">
        <v>31</v>
      </c>
      <c r="M4081" s="1" t="s">
        <v>18</v>
      </c>
      <c r="N4081" s="1" t="s">
        <v>18</v>
      </c>
      <c r="O4081" s="1">
        <v>2</v>
      </c>
      <c r="P4081" s="1">
        <v>7</v>
      </c>
      <c r="Q4081" s="7" t="s">
        <v>17633</v>
      </c>
      <c r="R4081" s="1" t="s">
        <v>19</v>
      </c>
      <c r="S4081" s="1" t="s">
        <v>20</v>
      </c>
      <c r="T4081" s="1" t="s">
        <v>21</v>
      </c>
      <c r="U4081" s="1" t="s">
        <v>22</v>
      </c>
      <c r="V4081" s="1" t="s">
        <v>24</v>
      </c>
      <c r="W4081" s="1" t="s">
        <v>24</v>
      </c>
      <c r="X4081" s="1">
        <v>3607</v>
      </c>
      <c r="Y4081" s="1">
        <v>1303</v>
      </c>
      <c r="Z4081" s="1">
        <v>2722</v>
      </c>
      <c r="AA4081" s="1" t="s">
        <v>24</v>
      </c>
      <c r="AB4081" s="1" t="s">
        <v>24</v>
      </c>
      <c r="AC4081" s="1" t="s">
        <v>24</v>
      </c>
      <c r="AD4081" s="1" t="s">
        <v>24</v>
      </c>
      <c r="AE4081" s="1" t="s">
        <v>24</v>
      </c>
      <c r="AF4081" s="22"/>
    </row>
    <row r="4082" spans="1:32" x14ac:dyDescent="0.2">
      <c r="A4082" s="1">
        <v>34171</v>
      </c>
      <c r="B4082" s="1" t="s">
        <v>12538</v>
      </c>
      <c r="C4082" s="5" t="s">
        <v>0</v>
      </c>
      <c r="D4082" s="1" t="s">
        <v>12539</v>
      </c>
      <c r="E4082" s="1" t="s">
        <v>12540</v>
      </c>
      <c r="F4082" s="1" t="s">
        <v>517</v>
      </c>
      <c r="G4082" s="1" t="s">
        <v>36</v>
      </c>
      <c r="H4082" s="1" t="s">
        <v>30</v>
      </c>
      <c r="I4082" s="1" t="s">
        <v>16</v>
      </c>
      <c r="J4082" s="1">
        <v>1</v>
      </c>
      <c r="K4082" s="1">
        <v>4</v>
      </c>
      <c r="L4082" s="1" t="s">
        <v>31</v>
      </c>
      <c r="M4082" s="1" t="s">
        <v>18</v>
      </c>
      <c r="N4082" s="1" t="s">
        <v>18</v>
      </c>
      <c r="O4082" s="1">
        <v>2</v>
      </c>
      <c r="P4082" s="1">
        <v>7</v>
      </c>
      <c r="Q4082" s="7" t="s">
        <v>17633</v>
      </c>
      <c r="R4082" s="1" t="s">
        <v>19</v>
      </c>
      <c r="S4082" s="1" t="s">
        <v>20</v>
      </c>
      <c r="T4082" s="1" t="s">
        <v>21</v>
      </c>
      <c r="U4082" s="1" t="s">
        <v>22</v>
      </c>
      <c r="V4082" s="1" t="s">
        <v>24</v>
      </c>
      <c r="W4082" s="1" t="s">
        <v>24</v>
      </c>
      <c r="X4082" s="1">
        <v>1311</v>
      </c>
      <c r="Y4082" s="1">
        <v>2716</v>
      </c>
      <c r="Z4082" s="1" t="s">
        <v>24</v>
      </c>
      <c r="AA4082" s="1" t="s">
        <v>24</v>
      </c>
      <c r="AB4082" s="1" t="s">
        <v>24</v>
      </c>
      <c r="AC4082" s="1" t="s">
        <v>24</v>
      </c>
      <c r="AD4082" s="1" t="s">
        <v>24</v>
      </c>
      <c r="AE4082" s="1" t="s">
        <v>24</v>
      </c>
      <c r="AF4082" s="22"/>
    </row>
    <row r="4083" spans="1:32" x14ac:dyDescent="0.2">
      <c r="A4083" s="1">
        <v>34172</v>
      </c>
      <c r="B4083" s="1" t="s">
        <v>12541</v>
      </c>
      <c r="C4083" s="5" t="s">
        <v>0</v>
      </c>
      <c r="D4083" s="1" t="s">
        <v>12542</v>
      </c>
      <c r="E4083" s="1" t="s">
        <v>12543</v>
      </c>
      <c r="F4083" s="1" t="s">
        <v>517</v>
      </c>
      <c r="G4083" s="1" t="s">
        <v>36</v>
      </c>
      <c r="H4083" s="1" t="s">
        <v>30</v>
      </c>
      <c r="I4083" s="1" t="s">
        <v>16</v>
      </c>
      <c r="J4083" s="1">
        <v>1</v>
      </c>
      <c r="K4083" s="1">
        <v>4</v>
      </c>
      <c r="L4083" s="1" t="s">
        <v>31</v>
      </c>
      <c r="M4083" s="1" t="s">
        <v>18</v>
      </c>
      <c r="N4083" s="1" t="s">
        <v>18</v>
      </c>
      <c r="O4083" s="1">
        <v>2</v>
      </c>
      <c r="P4083" s="1">
        <v>7</v>
      </c>
      <c r="Q4083" s="7" t="s">
        <v>17633</v>
      </c>
      <c r="R4083" s="1" t="s">
        <v>19</v>
      </c>
      <c r="S4083" s="1" t="s">
        <v>20</v>
      </c>
      <c r="T4083" s="1" t="s">
        <v>21</v>
      </c>
      <c r="U4083" s="1" t="s">
        <v>22</v>
      </c>
      <c r="V4083" s="1" t="s">
        <v>24</v>
      </c>
      <c r="W4083" s="1" t="s">
        <v>24</v>
      </c>
      <c r="X4083" s="1">
        <v>2403</v>
      </c>
      <c r="Y4083" s="1" t="s">
        <v>24</v>
      </c>
      <c r="Z4083" s="1" t="s">
        <v>24</v>
      </c>
      <c r="AA4083" s="1" t="s">
        <v>24</v>
      </c>
      <c r="AB4083" s="1" t="s">
        <v>24</v>
      </c>
      <c r="AC4083" s="1" t="s">
        <v>24</v>
      </c>
      <c r="AD4083" s="1" t="s">
        <v>24</v>
      </c>
      <c r="AE4083" s="1" t="s">
        <v>24</v>
      </c>
      <c r="AF4083" s="22"/>
    </row>
    <row r="4084" spans="1:32" x14ac:dyDescent="0.2">
      <c r="A4084" s="1">
        <v>34173</v>
      </c>
      <c r="B4084" s="1" t="s">
        <v>12544</v>
      </c>
      <c r="C4084" s="5" t="s">
        <v>0</v>
      </c>
      <c r="D4084" s="1" t="s">
        <v>12545</v>
      </c>
      <c r="E4084" s="1" t="s">
        <v>12546</v>
      </c>
      <c r="F4084" s="1" t="s">
        <v>517</v>
      </c>
      <c r="G4084" s="1" t="s">
        <v>36</v>
      </c>
      <c r="H4084" s="1" t="s">
        <v>30</v>
      </c>
      <c r="I4084" s="1" t="s">
        <v>16</v>
      </c>
      <c r="J4084" s="1">
        <v>1</v>
      </c>
      <c r="K4084" s="1">
        <v>4</v>
      </c>
      <c r="L4084" s="1" t="s">
        <v>31</v>
      </c>
      <c r="M4084" s="1" t="s">
        <v>18</v>
      </c>
      <c r="N4084" s="1" t="s">
        <v>18</v>
      </c>
      <c r="O4084" s="1">
        <v>2</v>
      </c>
      <c r="P4084" s="1">
        <v>7</v>
      </c>
      <c r="Q4084" s="7" t="s">
        <v>17633</v>
      </c>
      <c r="R4084" s="1" t="s">
        <v>19</v>
      </c>
      <c r="S4084" s="1" t="s">
        <v>20</v>
      </c>
      <c r="T4084" s="1" t="s">
        <v>21</v>
      </c>
      <c r="U4084" s="1" t="s">
        <v>22</v>
      </c>
      <c r="V4084" s="1" t="s">
        <v>24</v>
      </c>
      <c r="W4084" s="1" t="s">
        <v>24</v>
      </c>
      <c r="X4084" s="1">
        <v>2404</v>
      </c>
      <c r="Y4084" s="1">
        <v>2405</v>
      </c>
      <c r="Z4084" s="1">
        <v>2406</v>
      </c>
      <c r="AA4084" s="1" t="s">
        <v>24</v>
      </c>
      <c r="AB4084" s="1" t="s">
        <v>24</v>
      </c>
      <c r="AC4084" s="1" t="s">
        <v>24</v>
      </c>
      <c r="AD4084" s="1" t="s">
        <v>24</v>
      </c>
      <c r="AE4084" s="1" t="s">
        <v>24</v>
      </c>
      <c r="AF4084" s="22"/>
    </row>
    <row r="4085" spans="1:32" x14ac:dyDescent="0.2">
      <c r="A4085" s="1">
        <v>34174</v>
      </c>
      <c r="B4085" s="1" t="s">
        <v>12547</v>
      </c>
      <c r="C4085" s="5" t="s">
        <v>0</v>
      </c>
      <c r="D4085" s="1" t="s">
        <v>12548</v>
      </c>
      <c r="E4085" s="1" t="s">
        <v>12549</v>
      </c>
      <c r="F4085" s="1" t="s">
        <v>517</v>
      </c>
      <c r="G4085" s="1" t="s">
        <v>36</v>
      </c>
      <c r="H4085" s="1" t="s">
        <v>30</v>
      </c>
      <c r="I4085" s="1" t="s">
        <v>16</v>
      </c>
      <c r="J4085" s="1">
        <v>1</v>
      </c>
      <c r="K4085" s="1">
        <v>4</v>
      </c>
      <c r="L4085" s="1" t="s">
        <v>31</v>
      </c>
      <c r="M4085" s="1" t="s">
        <v>18</v>
      </c>
      <c r="N4085" s="1" t="s">
        <v>18</v>
      </c>
      <c r="O4085" s="1">
        <v>2</v>
      </c>
      <c r="P4085" s="1">
        <v>7</v>
      </c>
      <c r="Q4085" s="7" t="s">
        <v>17633</v>
      </c>
      <c r="R4085" s="1" t="s">
        <v>19</v>
      </c>
      <c r="S4085" s="1" t="s">
        <v>20</v>
      </c>
      <c r="T4085" s="1" t="s">
        <v>21</v>
      </c>
      <c r="U4085" s="1" t="s">
        <v>22</v>
      </c>
      <c r="V4085" s="1" t="s">
        <v>24</v>
      </c>
      <c r="W4085" s="1" t="s">
        <v>24</v>
      </c>
      <c r="X4085" s="1">
        <v>1312</v>
      </c>
      <c r="Y4085" s="1" t="s">
        <v>24</v>
      </c>
      <c r="Z4085" s="1" t="s">
        <v>24</v>
      </c>
      <c r="AA4085" s="1" t="s">
        <v>24</v>
      </c>
      <c r="AB4085" s="1" t="s">
        <v>24</v>
      </c>
      <c r="AC4085" s="1" t="s">
        <v>24</v>
      </c>
      <c r="AD4085" s="1" t="s">
        <v>24</v>
      </c>
      <c r="AE4085" s="1" t="s">
        <v>24</v>
      </c>
      <c r="AF4085" s="22"/>
    </row>
    <row r="4086" spans="1:32" x14ac:dyDescent="0.2">
      <c r="A4086" s="1">
        <v>34175</v>
      </c>
      <c r="B4086" s="1" t="s">
        <v>12550</v>
      </c>
      <c r="C4086" s="5" t="s">
        <v>0</v>
      </c>
      <c r="D4086" s="1" t="s">
        <v>12551</v>
      </c>
      <c r="E4086" s="1" t="s">
        <v>12552</v>
      </c>
      <c r="F4086" s="1" t="s">
        <v>517</v>
      </c>
      <c r="G4086" s="1" t="s">
        <v>36</v>
      </c>
      <c r="H4086" s="1" t="s">
        <v>30</v>
      </c>
      <c r="I4086" s="1" t="s">
        <v>16</v>
      </c>
      <c r="J4086" s="1">
        <v>1</v>
      </c>
      <c r="K4086" s="1">
        <v>4</v>
      </c>
      <c r="L4086" s="1" t="s">
        <v>31</v>
      </c>
      <c r="M4086" s="1" t="s">
        <v>18</v>
      </c>
      <c r="N4086" s="1" t="s">
        <v>18</v>
      </c>
      <c r="O4086" s="1">
        <v>2</v>
      </c>
      <c r="P4086" s="1">
        <v>7</v>
      </c>
      <c r="Q4086" s="7" t="s">
        <v>17633</v>
      </c>
      <c r="R4086" s="1" t="s">
        <v>19</v>
      </c>
      <c r="S4086" s="1" t="s">
        <v>20</v>
      </c>
      <c r="T4086" s="1" t="s">
        <v>21</v>
      </c>
      <c r="U4086" s="1" t="s">
        <v>22</v>
      </c>
      <c r="V4086" s="1" t="s">
        <v>24</v>
      </c>
      <c r="W4086" s="1" t="s">
        <v>24</v>
      </c>
      <c r="X4086" s="1">
        <v>1303</v>
      </c>
      <c r="Y4086" s="1">
        <v>1605</v>
      </c>
      <c r="Z4086" s="1" t="s">
        <v>24</v>
      </c>
      <c r="AA4086" s="1" t="s">
        <v>24</v>
      </c>
      <c r="AB4086" s="1" t="s">
        <v>24</v>
      </c>
      <c r="AC4086" s="1" t="s">
        <v>24</v>
      </c>
      <c r="AD4086" s="1" t="s">
        <v>24</v>
      </c>
      <c r="AE4086" s="1" t="s">
        <v>24</v>
      </c>
      <c r="AF4086" s="22"/>
    </row>
    <row r="4087" spans="1:32" x14ac:dyDescent="0.2">
      <c r="A4087" s="1">
        <v>34176</v>
      </c>
      <c r="B4087" s="1" t="s">
        <v>12553</v>
      </c>
      <c r="C4087" s="5" t="s">
        <v>0</v>
      </c>
      <c r="D4087" s="1" t="s">
        <v>12554</v>
      </c>
      <c r="E4087" s="1" t="s">
        <v>12555</v>
      </c>
      <c r="F4087" s="1" t="s">
        <v>517</v>
      </c>
      <c r="G4087" s="1" t="s">
        <v>36</v>
      </c>
      <c r="H4087" s="1" t="s">
        <v>30</v>
      </c>
      <c r="I4087" s="1" t="s">
        <v>16</v>
      </c>
      <c r="J4087" s="1">
        <v>1</v>
      </c>
      <c r="K4087" s="1">
        <v>4</v>
      </c>
      <c r="L4087" s="1" t="s">
        <v>31</v>
      </c>
      <c r="M4087" s="1" t="s">
        <v>18</v>
      </c>
      <c r="N4087" s="1" t="s">
        <v>18</v>
      </c>
      <c r="O4087" s="1">
        <v>2</v>
      </c>
      <c r="P4087" s="1">
        <v>7</v>
      </c>
      <c r="Q4087" s="7" t="s">
        <v>17633</v>
      </c>
      <c r="R4087" s="1" t="s">
        <v>19</v>
      </c>
      <c r="S4087" s="1" t="s">
        <v>20</v>
      </c>
      <c r="T4087" s="1" t="s">
        <v>21</v>
      </c>
      <c r="U4087" s="1" t="s">
        <v>22</v>
      </c>
      <c r="V4087" s="1" t="s">
        <v>24</v>
      </c>
      <c r="W4087" s="1" t="s">
        <v>24</v>
      </c>
      <c r="X4087" s="1">
        <v>1303</v>
      </c>
      <c r="Y4087" s="1">
        <v>1315</v>
      </c>
      <c r="Z4087" s="1" t="s">
        <v>24</v>
      </c>
      <c r="AA4087" s="1" t="s">
        <v>24</v>
      </c>
      <c r="AB4087" s="1" t="s">
        <v>24</v>
      </c>
      <c r="AC4087" s="1" t="s">
        <v>24</v>
      </c>
      <c r="AD4087" s="1" t="s">
        <v>24</v>
      </c>
      <c r="AE4087" s="1" t="s">
        <v>24</v>
      </c>
      <c r="AF4087" s="22"/>
    </row>
    <row r="4088" spans="1:32" x14ac:dyDescent="0.2">
      <c r="A4088" s="1">
        <v>34177</v>
      </c>
      <c r="B4088" s="1" t="s">
        <v>12556</v>
      </c>
      <c r="C4088" s="5" t="s">
        <v>0</v>
      </c>
      <c r="D4088" s="1" t="s">
        <v>12557</v>
      </c>
      <c r="E4088" s="1" t="s">
        <v>12558</v>
      </c>
      <c r="F4088" s="1" t="s">
        <v>517</v>
      </c>
      <c r="G4088" s="1" t="s">
        <v>36</v>
      </c>
      <c r="H4088" s="1" t="s">
        <v>30</v>
      </c>
      <c r="I4088" s="1" t="s">
        <v>16</v>
      </c>
      <c r="J4088" s="1">
        <v>1</v>
      </c>
      <c r="K4088" s="1">
        <v>4</v>
      </c>
      <c r="L4088" s="1" t="s">
        <v>31</v>
      </c>
      <c r="M4088" s="1" t="s">
        <v>18</v>
      </c>
      <c r="N4088" s="1" t="s">
        <v>18</v>
      </c>
      <c r="O4088" s="1">
        <v>2</v>
      </c>
      <c r="P4088" s="1">
        <v>7</v>
      </c>
      <c r="Q4088" s="7" t="s">
        <v>17633</v>
      </c>
      <c r="R4088" s="1" t="s">
        <v>19</v>
      </c>
      <c r="S4088" s="1" t="s">
        <v>20</v>
      </c>
      <c r="T4088" s="1" t="s">
        <v>21</v>
      </c>
      <c r="U4088" s="1" t="s">
        <v>22</v>
      </c>
      <c r="V4088" s="1" t="s">
        <v>24</v>
      </c>
      <c r="W4088" s="1" t="s">
        <v>24</v>
      </c>
      <c r="X4088" s="1">
        <v>1307</v>
      </c>
      <c r="Y4088" s="1">
        <v>1309</v>
      </c>
      <c r="Z4088" s="1" t="s">
        <v>24</v>
      </c>
      <c r="AA4088" s="1" t="s">
        <v>24</v>
      </c>
      <c r="AB4088" s="1" t="s">
        <v>24</v>
      </c>
      <c r="AC4088" s="1" t="s">
        <v>24</v>
      </c>
      <c r="AD4088" s="1" t="s">
        <v>24</v>
      </c>
      <c r="AE4088" s="1" t="s">
        <v>24</v>
      </c>
      <c r="AF4088" s="22"/>
    </row>
    <row r="4089" spans="1:32" x14ac:dyDescent="0.2">
      <c r="A4089" s="1">
        <v>34178</v>
      </c>
      <c r="B4089" s="1" t="s">
        <v>12559</v>
      </c>
      <c r="C4089" s="5" t="s">
        <v>0</v>
      </c>
      <c r="D4089" s="1" t="s">
        <v>12560</v>
      </c>
      <c r="E4089" s="1" t="s">
        <v>12561</v>
      </c>
      <c r="F4089" s="1" t="s">
        <v>517</v>
      </c>
      <c r="G4089" s="1" t="s">
        <v>36</v>
      </c>
      <c r="H4089" s="1" t="s">
        <v>30</v>
      </c>
      <c r="I4089" s="1" t="s">
        <v>16</v>
      </c>
      <c r="J4089" s="1">
        <v>1</v>
      </c>
      <c r="K4089" s="1">
        <v>4</v>
      </c>
      <c r="L4089" s="1" t="s">
        <v>31</v>
      </c>
      <c r="M4089" s="1" t="s">
        <v>18</v>
      </c>
      <c r="N4089" s="1" t="s">
        <v>18</v>
      </c>
      <c r="O4089" s="1">
        <v>2</v>
      </c>
      <c r="P4089" s="1">
        <v>7</v>
      </c>
      <c r="Q4089" s="7" t="s">
        <v>17633</v>
      </c>
      <c r="R4089" s="1" t="s">
        <v>19</v>
      </c>
      <c r="S4089" s="1" t="s">
        <v>20</v>
      </c>
      <c r="T4089" s="1" t="s">
        <v>21</v>
      </c>
      <c r="U4089" s="1" t="s">
        <v>22</v>
      </c>
      <c r="V4089" s="1" t="s">
        <v>24</v>
      </c>
      <c r="W4089" s="1" t="s">
        <v>24</v>
      </c>
      <c r="X4089" s="1">
        <v>3005</v>
      </c>
      <c r="Y4089" s="1" t="s">
        <v>24</v>
      </c>
      <c r="Z4089" s="1" t="s">
        <v>24</v>
      </c>
      <c r="AA4089" s="1" t="s">
        <v>24</v>
      </c>
      <c r="AB4089" s="1" t="s">
        <v>24</v>
      </c>
      <c r="AC4089" s="1" t="s">
        <v>24</v>
      </c>
      <c r="AD4089" s="1" t="s">
        <v>24</v>
      </c>
      <c r="AE4089" s="1" t="s">
        <v>24</v>
      </c>
      <c r="AF4089" s="22"/>
    </row>
    <row r="4090" spans="1:32" x14ac:dyDescent="0.2">
      <c r="A4090" s="1">
        <v>34179</v>
      </c>
      <c r="B4090" s="1" t="s">
        <v>12562</v>
      </c>
      <c r="C4090" s="5" t="s">
        <v>0</v>
      </c>
      <c r="D4090" s="1" t="s">
        <v>12563</v>
      </c>
      <c r="E4090" s="1" t="s">
        <v>12564</v>
      </c>
      <c r="F4090" s="1" t="s">
        <v>517</v>
      </c>
      <c r="G4090" s="1" t="s">
        <v>36</v>
      </c>
      <c r="H4090" s="1" t="s">
        <v>30</v>
      </c>
      <c r="I4090" s="1" t="s">
        <v>16</v>
      </c>
      <c r="J4090" s="1">
        <v>1</v>
      </c>
      <c r="K4090" s="1">
        <v>4</v>
      </c>
      <c r="L4090" s="1" t="s">
        <v>31</v>
      </c>
      <c r="M4090" s="1" t="s">
        <v>18</v>
      </c>
      <c r="N4090" s="1" t="s">
        <v>18</v>
      </c>
      <c r="O4090" s="1">
        <v>2</v>
      </c>
      <c r="P4090" s="1">
        <v>7</v>
      </c>
      <c r="Q4090" s="7" t="s">
        <v>17633</v>
      </c>
      <c r="R4090" s="1" t="s">
        <v>19</v>
      </c>
      <c r="S4090" s="1" t="s">
        <v>20</v>
      </c>
      <c r="T4090" s="1" t="s">
        <v>21</v>
      </c>
      <c r="U4090" s="1" t="s">
        <v>22</v>
      </c>
      <c r="V4090" s="1" t="s">
        <v>24</v>
      </c>
      <c r="W4090" s="1" t="s">
        <v>24</v>
      </c>
      <c r="X4090" s="1">
        <v>2800</v>
      </c>
      <c r="Y4090" s="1" t="s">
        <v>24</v>
      </c>
      <c r="Z4090" s="1" t="s">
        <v>24</v>
      </c>
      <c r="AA4090" s="1" t="s">
        <v>24</v>
      </c>
      <c r="AB4090" s="1" t="s">
        <v>24</v>
      </c>
      <c r="AC4090" s="1" t="s">
        <v>24</v>
      </c>
      <c r="AD4090" s="1" t="s">
        <v>24</v>
      </c>
      <c r="AE4090" s="1" t="s">
        <v>24</v>
      </c>
      <c r="AF4090" s="22"/>
    </row>
    <row r="4091" spans="1:32" x14ac:dyDescent="0.2">
      <c r="A4091" s="1">
        <v>34180</v>
      </c>
      <c r="B4091" s="1" t="s">
        <v>12565</v>
      </c>
      <c r="C4091" s="5" t="s">
        <v>0</v>
      </c>
      <c r="D4091" s="1" t="s">
        <v>12566</v>
      </c>
      <c r="E4091" s="1" t="s">
        <v>12567</v>
      </c>
      <c r="F4091" s="1" t="s">
        <v>517</v>
      </c>
      <c r="G4091" s="1" t="s">
        <v>36</v>
      </c>
      <c r="H4091" s="1" t="s">
        <v>30</v>
      </c>
      <c r="I4091" s="1" t="s">
        <v>16</v>
      </c>
      <c r="J4091" s="1">
        <v>1</v>
      </c>
      <c r="K4091" s="1">
        <v>4</v>
      </c>
      <c r="L4091" s="1" t="s">
        <v>31</v>
      </c>
      <c r="M4091" s="1" t="s">
        <v>18</v>
      </c>
      <c r="N4091" s="1" t="s">
        <v>18</v>
      </c>
      <c r="O4091" s="1">
        <v>2</v>
      </c>
      <c r="P4091" s="1">
        <v>7</v>
      </c>
      <c r="Q4091" s="7" t="s">
        <v>17633</v>
      </c>
      <c r="R4091" s="1" t="s">
        <v>19</v>
      </c>
      <c r="S4091" s="1" t="s">
        <v>20</v>
      </c>
      <c r="T4091" s="1" t="s">
        <v>21</v>
      </c>
      <c r="U4091" s="1" t="s">
        <v>22</v>
      </c>
      <c r="V4091" s="1" t="s">
        <v>24</v>
      </c>
      <c r="W4091" s="1" t="s">
        <v>24</v>
      </c>
      <c r="X4091" s="1">
        <v>3004</v>
      </c>
      <c r="Y4091" s="1" t="s">
        <v>24</v>
      </c>
      <c r="Z4091" s="1" t="s">
        <v>24</v>
      </c>
      <c r="AA4091" s="1" t="s">
        <v>24</v>
      </c>
      <c r="AB4091" s="1" t="s">
        <v>24</v>
      </c>
      <c r="AC4091" s="1" t="s">
        <v>24</v>
      </c>
      <c r="AD4091" s="1" t="s">
        <v>24</v>
      </c>
      <c r="AE4091" s="1" t="s">
        <v>24</v>
      </c>
      <c r="AF4091" s="22"/>
    </row>
    <row r="4092" spans="1:32" x14ac:dyDescent="0.2">
      <c r="A4092" s="1">
        <v>34197</v>
      </c>
      <c r="B4092" s="1" t="s">
        <v>12568</v>
      </c>
      <c r="C4092" s="5" t="s">
        <v>0</v>
      </c>
      <c r="D4092" s="1" t="s">
        <v>12569</v>
      </c>
      <c r="E4092" s="1" t="s">
        <v>12570</v>
      </c>
      <c r="F4092" s="1" t="s">
        <v>2159</v>
      </c>
      <c r="G4092" s="1" t="s">
        <v>2160</v>
      </c>
      <c r="H4092" s="1" t="s">
        <v>30</v>
      </c>
      <c r="I4092" s="1" t="s">
        <v>16</v>
      </c>
      <c r="J4092" s="1">
        <v>1</v>
      </c>
      <c r="K4092" s="1">
        <v>4</v>
      </c>
      <c r="L4092" s="1" t="s">
        <v>31</v>
      </c>
      <c r="M4092" s="1" t="s">
        <v>18</v>
      </c>
      <c r="N4092" s="1" t="s">
        <v>18</v>
      </c>
      <c r="O4092" s="1">
        <v>3</v>
      </c>
      <c r="P4092" s="1">
        <v>6</v>
      </c>
      <c r="R4092" s="1" t="s">
        <v>19</v>
      </c>
      <c r="S4092" s="1" t="s">
        <v>63</v>
      </c>
      <c r="T4092" s="1" t="s">
        <v>21</v>
      </c>
      <c r="U4092" s="1" t="s">
        <v>22</v>
      </c>
      <c r="V4092" s="1" t="s">
        <v>24</v>
      </c>
      <c r="W4092" s="1" t="s">
        <v>24</v>
      </c>
      <c r="X4092" s="1">
        <v>2204</v>
      </c>
      <c r="Y4092" s="1">
        <v>2701</v>
      </c>
      <c r="Z4092" s="1" t="s">
        <v>24</v>
      </c>
      <c r="AA4092" s="1" t="s">
        <v>24</v>
      </c>
      <c r="AB4092" s="1" t="s">
        <v>24</v>
      </c>
      <c r="AC4092" s="1" t="s">
        <v>24</v>
      </c>
      <c r="AD4092" s="1" t="s">
        <v>24</v>
      </c>
      <c r="AE4092" s="1" t="s">
        <v>24</v>
      </c>
      <c r="AF4092" s="22"/>
    </row>
    <row r="4093" spans="1:32" x14ac:dyDescent="0.2">
      <c r="A4093" s="1">
        <v>34199</v>
      </c>
      <c r="B4093" s="1" t="s">
        <v>12571</v>
      </c>
      <c r="C4093" s="5" t="s">
        <v>0</v>
      </c>
      <c r="D4093" s="1" t="s">
        <v>12572</v>
      </c>
      <c r="E4093" s="1" t="s">
        <v>12573</v>
      </c>
      <c r="F4093" s="1" t="s">
        <v>97</v>
      </c>
      <c r="G4093" s="1" t="s">
        <v>98</v>
      </c>
      <c r="H4093" s="1" t="s">
        <v>37</v>
      </c>
      <c r="I4093" s="1" t="s">
        <v>16</v>
      </c>
      <c r="J4093" s="1">
        <v>1</v>
      </c>
      <c r="K4093" s="1">
        <v>4</v>
      </c>
      <c r="L4093" s="1" t="s">
        <v>31</v>
      </c>
      <c r="M4093" s="1" t="s">
        <v>18</v>
      </c>
      <c r="N4093" s="1" t="s">
        <v>18</v>
      </c>
      <c r="O4093" s="1">
        <v>3</v>
      </c>
      <c r="P4093" s="1">
        <v>7</v>
      </c>
      <c r="Q4093" s="7" t="s">
        <v>17633</v>
      </c>
      <c r="R4093" s="1" t="s">
        <v>19</v>
      </c>
      <c r="S4093" s="1" t="s">
        <v>20</v>
      </c>
      <c r="T4093" s="1" t="s">
        <v>21</v>
      </c>
      <c r="U4093" s="1" t="s">
        <v>22</v>
      </c>
      <c r="V4093" s="1" t="s">
        <v>23</v>
      </c>
      <c r="W4093" s="1" t="s">
        <v>24</v>
      </c>
      <c r="X4093" s="1">
        <v>2741</v>
      </c>
      <c r="Y4093" s="1">
        <v>3614</v>
      </c>
      <c r="Z4093" s="1" t="s">
        <v>24</v>
      </c>
      <c r="AA4093" s="1" t="s">
        <v>24</v>
      </c>
      <c r="AB4093" s="1" t="s">
        <v>24</v>
      </c>
      <c r="AC4093" s="1" t="s">
        <v>24</v>
      </c>
      <c r="AD4093" s="1" t="s">
        <v>24</v>
      </c>
      <c r="AE4093" s="1" t="s">
        <v>24</v>
      </c>
      <c r="AF4093" s="22"/>
    </row>
    <row r="4094" spans="1:32" x14ac:dyDescent="0.2">
      <c r="A4094" s="1">
        <v>34207</v>
      </c>
      <c r="B4094" s="1" t="s">
        <v>12574</v>
      </c>
      <c r="C4094" s="5" t="s">
        <v>0</v>
      </c>
      <c r="D4094" s="1" t="s">
        <v>12575</v>
      </c>
      <c r="F4094" s="1" t="s">
        <v>12576</v>
      </c>
      <c r="G4094" s="1" t="s">
        <v>12576</v>
      </c>
      <c r="H4094" s="1" t="s">
        <v>1007</v>
      </c>
      <c r="I4094" s="1" t="s">
        <v>16</v>
      </c>
      <c r="J4094" s="1">
        <v>1</v>
      </c>
      <c r="K4094" s="1">
        <v>6</v>
      </c>
      <c r="L4094" s="1" t="s">
        <v>42</v>
      </c>
      <c r="M4094" s="1" t="s">
        <v>1008</v>
      </c>
      <c r="N4094" s="1" t="s">
        <v>4418</v>
      </c>
      <c r="O4094" s="1">
        <v>3</v>
      </c>
      <c r="P4094" s="1">
        <v>5</v>
      </c>
      <c r="R4094" s="1" t="s">
        <v>19</v>
      </c>
      <c r="S4094" s="1" t="s">
        <v>63</v>
      </c>
      <c r="T4094" s="1" t="s">
        <v>21</v>
      </c>
      <c r="U4094" s="1" t="s">
        <v>22</v>
      </c>
      <c r="V4094" s="1" t="s">
        <v>24</v>
      </c>
      <c r="W4094" s="1" t="s">
        <v>24</v>
      </c>
      <c r="X4094" s="1">
        <v>1306</v>
      </c>
      <c r="Y4094" s="1">
        <v>1313</v>
      </c>
      <c r="Z4094" s="1">
        <v>3004</v>
      </c>
      <c r="AA4094" s="1" t="s">
        <v>24</v>
      </c>
      <c r="AB4094" s="1" t="s">
        <v>24</v>
      </c>
      <c r="AC4094" s="1" t="s">
        <v>24</v>
      </c>
      <c r="AD4094" s="1" t="s">
        <v>24</v>
      </c>
      <c r="AE4094" s="1" t="s">
        <v>24</v>
      </c>
      <c r="AF4094" s="22"/>
    </row>
    <row r="4095" spans="1:32" x14ac:dyDescent="0.2">
      <c r="A4095" s="1">
        <v>34208</v>
      </c>
      <c r="B4095" s="1" t="s">
        <v>12577</v>
      </c>
      <c r="C4095" s="5" t="s">
        <v>0</v>
      </c>
      <c r="D4095" s="1" t="s">
        <v>12578</v>
      </c>
      <c r="F4095" s="1" t="s">
        <v>3134</v>
      </c>
      <c r="G4095" s="1" t="s">
        <v>3134</v>
      </c>
      <c r="H4095" s="1" t="s">
        <v>249</v>
      </c>
      <c r="I4095" s="1" t="s">
        <v>16</v>
      </c>
      <c r="J4095" s="1">
        <v>1</v>
      </c>
      <c r="K4095" s="1">
        <v>4</v>
      </c>
      <c r="L4095" s="1" t="s">
        <v>42</v>
      </c>
      <c r="M4095" s="1" t="s">
        <v>250</v>
      </c>
      <c r="N4095" s="1" t="s">
        <v>1463</v>
      </c>
      <c r="O4095" s="1">
        <v>3</v>
      </c>
      <c r="P4095" s="1">
        <v>5</v>
      </c>
      <c r="R4095" s="1" t="s">
        <v>19</v>
      </c>
      <c r="S4095" s="1" t="s">
        <v>20</v>
      </c>
      <c r="T4095" s="1" t="s">
        <v>21</v>
      </c>
      <c r="U4095" s="1" t="s">
        <v>22</v>
      </c>
      <c r="V4095" s="1" t="s">
        <v>24</v>
      </c>
      <c r="W4095" s="1" t="s">
        <v>24</v>
      </c>
      <c r="X4095" s="1">
        <v>2705</v>
      </c>
      <c r="Y4095" s="1">
        <v>2724</v>
      </c>
      <c r="Z4095" s="1">
        <v>2712</v>
      </c>
      <c r="AA4095" s="1" t="s">
        <v>24</v>
      </c>
      <c r="AB4095" s="1" t="s">
        <v>24</v>
      </c>
      <c r="AC4095" s="1" t="s">
        <v>24</v>
      </c>
      <c r="AD4095" s="1" t="s">
        <v>24</v>
      </c>
      <c r="AE4095" s="1" t="s">
        <v>24</v>
      </c>
      <c r="AF4095" s="22"/>
    </row>
    <row r="4096" spans="1:32" x14ac:dyDescent="0.2">
      <c r="A4096" s="1">
        <v>34209</v>
      </c>
      <c r="B4096" s="1" t="s">
        <v>12579</v>
      </c>
      <c r="C4096" s="5" t="s">
        <v>0</v>
      </c>
      <c r="D4096" s="1" t="s">
        <v>12580</v>
      </c>
      <c r="E4096" s="1" t="s">
        <v>12581</v>
      </c>
      <c r="F4096" s="1" t="s">
        <v>9039</v>
      </c>
      <c r="G4096" s="1" t="s">
        <v>292</v>
      </c>
      <c r="H4096" s="1" t="s">
        <v>37</v>
      </c>
      <c r="I4096" s="1" t="s">
        <v>16</v>
      </c>
      <c r="J4096" s="1">
        <v>1</v>
      </c>
      <c r="K4096" s="1">
        <v>6</v>
      </c>
      <c r="L4096" s="1" t="s">
        <v>31</v>
      </c>
      <c r="M4096" s="1" t="s">
        <v>18</v>
      </c>
      <c r="N4096" s="1" t="s">
        <v>18</v>
      </c>
      <c r="O4096" s="1">
        <v>3</v>
      </c>
      <c r="P4096" s="1">
        <v>6</v>
      </c>
      <c r="R4096" s="1" t="s">
        <v>19</v>
      </c>
      <c r="S4096" s="1" t="s">
        <v>20</v>
      </c>
      <c r="T4096" s="1" t="s">
        <v>21</v>
      </c>
      <c r="U4096" s="1" t="s">
        <v>22</v>
      </c>
      <c r="V4096" s="1" t="s">
        <v>24</v>
      </c>
      <c r="W4096" s="1" t="s">
        <v>24</v>
      </c>
      <c r="X4096" s="1">
        <v>2736</v>
      </c>
      <c r="Y4096" s="1">
        <v>3000</v>
      </c>
      <c r="Z4096" s="1" t="s">
        <v>24</v>
      </c>
      <c r="AA4096" s="1" t="s">
        <v>24</v>
      </c>
      <c r="AB4096" s="1" t="s">
        <v>24</v>
      </c>
      <c r="AC4096" s="1" t="s">
        <v>24</v>
      </c>
      <c r="AD4096" s="1" t="s">
        <v>24</v>
      </c>
      <c r="AE4096" s="1" t="s">
        <v>24</v>
      </c>
      <c r="AF4096" s="22"/>
    </row>
    <row r="4097" spans="1:32" x14ac:dyDescent="0.2">
      <c r="A4097" s="1">
        <v>34210</v>
      </c>
      <c r="B4097" s="1" t="s">
        <v>12582</v>
      </c>
      <c r="C4097" s="5" t="s">
        <v>0</v>
      </c>
      <c r="D4097" s="1" t="s">
        <v>12583</v>
      </c>
      <c r="E4097" s="1" t="s">
        <v>12584</v>
      </c>
      <c r="F4097" s="1" t="s">
        <v>9039</v>
      </c>
      <c r="G4097" s="1" t="s">
        <v>292</v>
      </c>
      <c r="H4097" s="1" t="s">
        <v>37</v>
      </c>
      <c r="I4097" s="1" t="s">
        <v>16</v>
      </c>
      <c r="J4097" s="1">
        <v>1</v>
      </c>
      <c r="K4097" s="1">
        <v>6</v>
      </c>
      <c r="L4097" s="1" t="s">
        <v>31</v>
      </c>
      <c r="M4097" s="1" t="s">
        <v>18</v>
      </c>
      <c r="N4097" s="1" t="s">
        <v>18</v>
      </c>
      <c r="O4097" s="1">
        <v>3</v>
      </c>
      <c r="P4097" s="1">
        <v>6</v>
      </c>
      <c r="R4097" s="1" t="s">
        <v>19</v>
      </c>
      <c r="S4097" s="1" t="s">
        <v>20</v>
      </c>
      <c r="T4097" s="1" t="s">
        <v>21</v>
      </c>
      <c r="U4097" s="1" t="s">
        <v>22</v>
      </c>
      <c r="V4097" s="1" t="s">
        <v>23</v>
      </c>
      <c r="W4097" s="1" t="s">
        <v>24</v>
      </c>
      <c r="X4097" s="1">
        <v>2721</v>
      </c>
      <c r="Y4097" s="1">
        <v>2715</v>
      </c>
      <c r="Z4097" s="1" t="s">
        <v>24</v>
      </c>
      <c r="AA4097" s="1" t="s">
        <v>24</v>
      </c>
      <c r="AB4097" s="1" t="s">
        <v>24</v>
      </c>
      <c r="AC4097" s="1" t="s">
        <v>24</v>
      </c>
      <c r="AD4097" s="1" t="s">
        <v>24</v>
      </c>
      <c r="AE4097" s="1" t="s">
        <v>24</v>
      </c>
      <c r="AF4097" s="22"/>
    </row>
    <row r="4098" spans="1:32" x14ac:dyDescent="0.2">
      <c r="A4098" s="1">
        <v>34211</v>
      </c>
      <c r="B4098" s="1" t="s">
        <v>12585</v>
      </c>
      <c r="C4098" s="5" t="s">
        <v>0</v>
      </c>
      <c r="D4098" s="1" t="s">
        <v>12586</v>
      </c>
      <c r="E4098" s="1" t="s">
        <v>12587</v>
      </c>
      <c r="F4098" s="1" t="s">
        <v>9039</v>
      </c>
      <c r="G4098" s="1" t="s">
        <v>292</v>
      </c>
      <c r="H4098" s="1" t="s">
        <v>37</v>
      </c>
      <c r="I4098" s="1" t="s">
        <v>16</v>
      </c>
      <c r="J4098" s="1">
        <v>1</v>
      </c>
      <c r="K4098" s="1">
        <v>4</v>
      </c>
      <c r="L4098" s="1" t="s">
        <v>31</v>
      </c>
      <c r="M4098" s="1" t="s">
        <v>18</v>
      </c>
      <c r="N4098" s="1" t="s">
        <v>18</v>
      </c>
      <c r="O4098" s="1">
        <v>3</v>
      </c>
      <c r="P4098" s="1">
        <v>6</v>
      </c>
      <c r="R4098" s="1" t="s">
        <v>19</v>
      </c>
      <c r="S4098" s="1" t="s">
        <v>20</v>
      </c>
      <c r="T4098" s="1" t="s">
        <v>21</v>
      </c>
      <c r="U4098" s="1" t="s">
        <v>22</v>
      </c>
      <c r="V4098" s="1" t="s">
        <v>24</v>
      </c>
      <c r="W4098" s="1" t="s">
        <v>24</v>
      </c>
      <c r="X4098" s="1">
        <v>2729</v>
      </c>
      <c r="Y4098" s="1">
        <v>2743</v>
      </c>
      <c r="Z4098" s="1">
        <v>2913</v>
      </c>
      <c r="AA4098" s="1">
        <v>2735</v>
      </c>
      <c r="AB4098" s="1" t="s">
        <v>24</v>
      </c>
      <c r="AC4098" s="1" t="s">
        <v>24</v>
      </c>
      <c r="AD4098" s="1" t="s">
        <v>24</v>
      </c>
      <c r="AE4098" s="1" t="s">
        <v>24</v>
      </c>
      <c r="AF4098" s="22"/>
    </row>
    <row r="4099" spans="1:32" x14ac:dyDescent="0.2">
      <c r="A4099" s="1">
        <v>34212</v>
      </c>
      <c r="B4099" s="1" t="s">
        <v>12588</v>
      </c>
      <c r="C4099" s="5" t="s">
        <v>0</v>
      </c>
      <c r="D4099" s="1" t="s">
        <v>12589</v>
      </c>
      <c r="E4099" s="1" t="s">
        <v>12590</v>
      </c>
      <c r="F4099" s="1" t="s">
        <v>9039</v>
      </c>
      <c r="G4099" s="1" t="s">
        <v>292</v>
      </c>
      <c r="H4099" s="1" t="s">
        <v>37</v>
      </c>
      <c r="I4099" s="1" t="s">
        <v>16</v>
      </c>
      <c r="J4099" s="1">
        <v>1</v>
      </c>
      <c r="K4099" s="1">
        <v>6</v>
      </c>
      <c r="L4099" s="1" t="s">
        <v>31</v>
      </c>
      <c r="M4099" s="1" t="s">
        <v>18</v>
      </c>
      <c r="N4099" s="1" t="s">
        <v>18</v>
      </c>
      <c r="O4099" s="1">
        <v>3</v>
      </c>
      <c r="P4099" s="1">
        <v>6</v>
      </c>
      <c r="R4099" s="1" t="s">
        <v>19</v>
      </c>
      <c r="S4099" s="1" t="s">
        <v>20</v>
      </c>
      <c r="T4099" s="1" t="s">
        <v>21</v>
      </c>
      <c r="U4099" s="1" t="s">
        <v>22</v>
      </c>
      <c r="V4099" s="1" t="s">
        <v>24</v>
      </c>
      <c r="W4099" s="1" t="s">
        <v>24</v>
      </c>
      <c r="X4099" s="1">
        <v>2731</v>
      </c>
      <c r="Y4099" s="1">
        <v>2204</v>
      </c>
      <c r="Z4099" s="1">
        <v>3610</v>
      </c>
      <c r="AA4099" s="1" t="s">
        <v>24</v>
      </c>
      <c r="AB4099" s="1" t="s">
        <v>24</v>
      </c>
      <c r="AC4099" s="1" t="s">
        <v>24</v>
      </c>
      <c r="AD4099" s="1" t="s">
        <v>24</v>
      </c>
      <c r="AE4099" s="1" t="s">
        <v>24</v>
      </c>
      <c r="AF4099" s="22"/>
    </row>
    <row r="4100" spans="1:32" x14ac:dyDescent="0.2">
      <c r="A4100" s="1">
        <v>34213</v>
      </c>
      <c r="B4100" s="1" t="s">
        <v>12591</v>
      </c>
      <c r="C4100" s="5" t="s">
        <v>0</v>
      </c>
      <c r="D4100" s="1" t="s">
        <v>12592</v>
      </c>
      <c r="E4100" s="1" t="s">
        <v>12593</v>
      </c>
      <c r="F4100" s="1" t="s">
        <v>9039</v>
      </c>
      <c r="G4100" s="1" t="s">
        <v>292</v>
      </c>
      <c r="H4100" s="1" t="s">
        <v>37</v>
      </c>
      <c r="I4100" s="1" t="s">
        <v>16</v>
      </c>
      <c r="J4100" s="1">
        <v>1</v>
      </c>
      <c r="K4100" s="1">
        <v>6</v>
      </c>
      <c r="L4100" s="1" t="s">
        <v>31</v>
      </c>
      <c r="M4100" s="1" t="s">
        <v>18</v>
      </c>
      <c r="N4100" s="1" t="s">
        <v>18</v>
      </c>
      <c r="O4100" s="1">
        <v>3</v>
      </c>
      <c r="P4100" s="1">
        <v>6</v>
      </c>
      <c r="R4100" s="1" t="s">
        <v>19</v>
      </c>
      <c r="S4100" s="1" t="s">
        <v>20</v>
      </c>
      <c r="T4100" s="1" t="s">
        <v>21</v>
      </c>
      <c r="U4100" s="1" t="s">
        <v>22</v>
      </c>
      <c r="V4100" s="1" t="s">
        <v>24</v>
      </c>
      <c r="W4100" s="1" t="s">
        <v>24</v>
      </c>
      <c r="X4100" s="1">
        <v>2740</v>
      </c>
      <c r="Y4100" s="1">
        <v>2723</v>
      </c>
      <c r="Z4100" s="1">
        <v>2739</v>
      </c>
      <c r="AA4100" s="1" t="s">
        <v>24</v>
      </c>
      <c r="AB4100" s="1" t="s">
        <v>24</v>
      </c>
      <c r="AC4100" s="1" t="s">
        <v>24</v>
      </c>
      <c r="AD4100" s="1" t="s">
        <v>24</v>
      </c>
      <c r="AE4100" s="1" t="s">
        <v>24</v>
      </c>
      <c r="AF4100" s="22"/>
    </row>
    <row r="4101" spans="1:32" x14ac:dyDescent="0.2">
      <c r="A4101" s="1">
        <v>34216</v>
      </c>
      <c r="B4101" s="1" t="s">
        <v>12594</v>
      </c>
      <c r="C4101" s="5" t="s">
        <v>0</v>
      </c>
      <c r="D4101" s="1" t="s">
        <v>12595</v>
      </c>
      <c r="E4101" s="1" t="s">
        <v>12596</v>
      </c>
      <c r="F4101" s="1" t="s">
        <v>12597</v>
      </c>
      <c r="G4101" s="1" t="s">
        <v>12597</v>
      </c>
      <c r="H4101" s="1" t="s">
        <v>1957</v>
      </c>
      <c r="I4101" s="1" t="s">
        <v>16</v>
      </c>
      <c r="J4101" s="1">
        <v>1</v>
      </c>
      <c r="K4101" s="1">
        <v>4</v>
      </c>
      <c r="L4101" s="1" t="s">
        <v>42</v>
      </c>
      <c r="M4101" s="1" t="s">
        <v>18</v>
      </c>
      <c r="N4101" s="1" t="s">
        <v>18</v>
      </c>
      <c r="O4101" s="1">
        <v>3</v>
      </c>
      <c r="P4101" s="1">
        <v>6</v>
      </c>
      <c r="R4101" s="1" t="s">
        <v>19</v>
      </c>
      <c r="S4101" s="1" t="s">
        <v>20</v>
      </c>
      <c r="T4101" s="1" t="s">
        <v>21</v>
      </c>
      <c r="U4101" s="1" t="s">
        <v>22</v>
      </c>
      <c r="V4101" s="1" t="s">
        <v>24</v>
      </c>
      <c r="W4101" s="1" t="s">
        <v>24</v>
      </c>
      <c r="X4101" s="1">
        <v>2743</v>
      </c>
      <c r="Y4101" s="1">
        <v>2729</v>
      </c>
      <c r="Z4101" s="1" t="s">
        <v>24</v>
      </c>
      <c r="AA4101" s="1" t="s">
        <v>24</v>
      </c>
      <c r="AB4101" s="1" t="s">
        <v>24</v>
      </c>
      <c r="AC4101" s="1" t="s">
        <v>24</v>
      </c>
      <c r="AD4101" s="1" t="s">
        <v>24</v>
      </c>
      <c r="AE4101" s="1" t="s">
        <v>24</v>
      </c>
      <c r="AF4101" s="22"/>
    </row>
    <row r="4102" spans="1:32" x14ac:dyDescent="0.2">
      <c r="A4102" s="1">
        <v>34229</v>
      </c>
      <c r="B4102" s="1" t="s">
        <v>12598</v>
      </c>
      <c r="C4102" s="5" t="s">
        <v>0</v>
      </c>
      <c r="D4102" s="1" t="s">
        <v>12599</v>
      </c>
      <c r="F4102" s="1" t="s">
        <v>12600</v>
      </c>
      <c r="G4102" s="1" t="s">
        <v>1066</v>
      </c>
      <c r="H4102" s="1" t="s">
        <v>1007</v>
      </c>
      <c r="I4102" s="1" t="s">
        <v>16</v>
      </c>
      <c r="J4102" s="1">
        <v>1</v>
      </c>
      <c r="K4102" s="1">
        <v>24</v>
      </c>
      <c r="L4102" s="1" t="s">
        <v>17</v>
      </c>
      <c r="M4102" s="1" t="s">
        <v>1008</v>
      </c>
      <c r="N4102" s="1" t="s">
        <v>4418</v>
      </c>
      <c r="O4102" s="1">
        <v>2</v>
      </c>
      <c r="P4102" s="1">
        <v>5</v>
      </c>
      <c r="R4102" s="1" t="s">
        <v>19</v>
      </c>
      <c r="S4102" s="1" t="s">
        <v>20</v>
      </c>
      <c r="T4102" s="1" t="s">
        <v>21</v>
      </c>
      <c r="U4102" s="1" t="s">
        <v>22</v>
      </c>
      <c r="V4102" s="1" t="s">
        <v>24</v>
      </c>
      <c r="W4102" s="1" t="s">
        <v>24</v>
      </c>
      <c r="X4102" s="1">
        <v>2736</v>
      </c>
      <c r="Y4102" s="1">
        <v>3000</v>
      </c>
      <c r="Z4102" s="1" t="s">
        <v>24</v>
      </c>
      <c r="AA4102" s="1" t="s">
        <v>24</v>
      </c>
      <c r="AB4102" s="1" t="s">
        <v>24</v>
      </c>
      <c r="AC4102" s="1" t="s">
        <v>24</v>
      </c>
      <c r="AD4102" s="1" t="s">
        <v>24</v>
      </c>
      <c r="AE4102" s="1" t="s">
        <v>24</v>
      </c>
      <c r="AF4102" s="22"/>
    </row>
    <row r="4103" spans="1:32" x14ac:dyDescent="0.2">
      <c r="A4103" s="1">
        <v>34234</v>
      </c>
      <c r="B4103" s="1" t="s">
        <v>12601</v>
      </c>
      <c r="C4103" s="5" t="s">
        <v>0</v>
      </c>
      <c r="D4103" s="1" t="s">
        <v>12602</v>
      </c>
      <c r="F4103" s="1" t="s">
        <v>12603</v>
      </c>
      <c r="G4103" s="1" t="s">
        <v>12604</v>
      </c>
      <c r="H4103" s="1" t="s">
        <v>2147</v>
      </c>
      <c r="I4103" s="1" t="s">
        <v>16</v>
      </c>
      <c r="J4103" s="1">
        <v>1</v>
      </c>
      <c r="K4103" s="1">
        <v>3</v>
      </c>
      <c r="L4103" s="1" t="s">
        <v>42</v>
      </c>
      <c r="M4103" s="1" t="s">
        <v>18</v>
      </c>
      <c r="N4103" s="1" t="s">
        <v>18</v>
      </c>
      <c r="O4103" s="1">
        <v>2</v>
      </c>
      <c r="P4103" s="1">
        <v>6</v>
      </c>
      <c r="R4103" s="1" t="s">
        <v>19</v>
      </c>
      <c r="S4103" s="1" t="s">
        <v>20</v>
      </c>
      <c r="T4103" s="1" t="s">
        <v>21</v>
      </c>
      <c r="U4103" s="1" t="s">
        <v>22</v>
      </c>
      <c r="V4103" s="1" t="s">
        <v>23</v>
      </c>
      <c r="W4103" s="1" t="s">
        <v>24</v>
      </c>
      <c r="X4103" s="1">
        <v>2735</v>
      </c>
      <c r="Y4103" s="1" t="s">
        <v>24</v>
      </c>
      <c r="Z4103" s="1" t="s">
        <v>24</v>
      </c>
      <c r="AA4103" s="1" t="s">
        <v>24</v>
      </c>
      <c r="AB4103" s="1" t="s">
        <v>24</v>
      </c>
      <c r="AC4103" s="1" t="s">
        <v>24</v>
      </c>
      <c r="AD4103" s="1" t="s">
        <v>24</v>
      </c>
      <c r="AE4103" s="1" t="s">
        <v>24</v>
      </c>
      <c r="AF4103" s="22"/>
    </row>
    <row r="4104" spans="1:32" x14ac:dyDescent="0.2">
      <c r="A4104" s="1">
        <v>34239</v>
      </c>
      <c r="B4104" s="1" t="s">
        <v>12607</v>
      </c>
      <c r="C4104" s="5" t="s">
        <v>0</v>
      </c>
      <c r="D4104" s="1" t="s">
        <v>12608</v>
      </c>
      <c r="F4104" s="1" t="s">
        <v>11878</v>
      </c>
      <c r="G4104" s="1" t="s">
        <v>11879</v>
      </c>
      <c r="H4104" s="1" t="s">
        <v>30</v>
      </c>
      <c r="I4104" s="1" t="s">
        <v>16</v>
      </c>
      <c r="J4104" s="1">
        <v>1</v>
      </c>
      <c r="K4104" s="1">
        <v>4</v>
      </c>
      <c r="L4104" s="1" t="s">
        <v>31</v>
      </c>
      <c r="M4104" s="1" t="s">
        <v>18</v>
      </c>
      <c r="N4104" s="1" t="s">
        <v>18</v>
      </c>
      <c r="O4104" s="1">
        <v>3</v>
      </c>
      <c r="P4104" s="1">
        <v>6</v>
      </c>
      <c r="R4104" s="1" t="s">
        <v>19</v>
      </c>
      <c r="S4104" s="1" t="s">
        <v>20</v>
      </c>
      <c r="T4104" s="1" t="s">
        <v>21</v>
      </c>
      <c r="U4104" s="1" t="s">
        <v>22</v>
      </c>
      <c r="V4104" s="1" t="s">
        <v>24</v>
      </c>
      <c r="W4104" s="1" t="s">
        <v>24</v>
      </c>
      <c r="X4104" s="1">
        <v>2800</v>
      </c>
      <c r="Y4104" s="1">
        <v>2728</v>
      </c>
      <c r="Z4104" s="1">
        <v>2741</v>
      </c>
      <c r="AA4104" s="1">
        <v>1315</v>
      </c>
      <c r="AB4104" s="1" t="s">
        <v>24</v>
      </c>
      <c r="AC4104" s="1" t="s">
        <v>24</v>
      </c>
      <c r="AD4104" s="1" t="s">
        <v>24</v>
      </c>
      <c r="AE4104" s="1" t="s">
        <v>24</v>
      </c>
      <c r="AF4104" s="22"/>
    </row>
    <row r="4105" spans="1:32" x14ac:dyDescent="0.2">
      <c r="A4105" s="1">
        <v>34249</v>
      </c>
      <c r="B4105" s="1" t="s">
        <v>12609</v>
      </c>
      <c r="C4105" s="5" t="s">
        <v>0</v>
      </c>
      <c r="D4105" s="1" t="s">
        <v>12610</v>
      </c>
      <c r="F4105" s="1" t="s">
        <v>12609</v>
      </c>
      <c r="G4105" s="1" t="s">
        <v>12609</v>
      </c>
      <c r="H4105" s="1" t="s">
        <v>899</v>
      </c>
      <c r="I4105" s="1" t="s">
        <v>16</v>
      </c>
      <c r="J4105" s="1">
        <v>1</v>
      </c>
      <c r="K4105" s="1">
        <v>2</v>
      </c>
      <c r="L4105" s="1" t="s">
        <v>17</v>
      </c>
      <c r="M4105" s="1" t="s">
        <v>18</v>
      </c>
      <c r="N4105" s="1" t="s">
        <v>18</v>
      </c>
      <c r="O4105" s="1">
        <v>3</v>
      </c>
      <c r="P4105" s="1">
        <v>6</v>
      </c>
      <c r="R4105" s="1" t="s">
        <v>19</v>
      </c>
      <c r="S4105" s="1" t="s">
        <v>20</v>
      </c>
      <c r="T4105" s="1" t="s">
        <v>21</v>
      </c>
      <c r="U4105" s="1" t="s">
        <v>22</v>
      </c>
      <c r="V4105" s="1" t="s">
        <v>24</v>
      </c>
      <c r="W4105" s="1" t="s">
        <v>24</v>
      </c>
      <c r="X4105" s="1">
        <v>2402</v>
      </c>
      <c r="Y4105" s="1">
        <v>1305</v>
      </c>
      <c r="Z4105" s="1">
        <v>2404</v>
      </c>
      <c r="AA4105" s="1" t="s">
        <v>24</v>
      </c>
      <c r="AB4105" s="1" t="s">
        <v>24</v>
      </c>
      <c r="AC4105" s="1" t="s">
        <v>24</v>
      </c>
      <c r="AD4105" s="1" t="s">
        <v>24</v>
      </c>
      <c r="AE4105" s="1" t="s">
        <v>24</v>
      </c>
      <c r="AF4105" s="22"/>
    </row>
    <row r="4106" spans="1:32" x14ac:dyDescent="0.2">
      <c r="A4106" s="1">
        <v>34250</v>
      </c>
      <c r="B4106" s="1" t="s">
        <v>12611</v>
      </c>
      <c r="C4106" s="5" t="s">
        <v>0</v>
      </c>
      <c r="D4106" s="1" t="s">
        <v>12612</v>
      </c>
      <c r="F4106" s="1" t="s">
        <v>8784</v>
      </c>
      <c r="G4106" s="1" t="s">
        <v>2146</v>
      </c>
      <c r="H4106" s="1" t="s">
        <v>2147</v>
      </c>
      <c r="I4106" s="1" t="s">
        <v>16</v>
      </c>
      <c r="J4106" s="1">
        <v>1</v>
      </c>
      <c r="K4106" s="1">
        <v>6</v>
      </c>
      <c r="L4106" s="1" t="s">
        <v>42</v>
      </c>
      <c r="M4106" s="1" t="s">
        <v>18</v>
      </c>
      <c r="N4106" s="1" t="s">
        <v>18</v>
      </c>
      <c r="O4106" s="1">
        <v>3</v>
      </c>
      <c r="P4106" s="1">
        <v>6</v>
      </c>
      <c r="R4106" s="1" t="s">
        <v>19</v>
      </c>
      <c r="S4106" s="1" t="s">
        <v>20</v>
      </c>
      <c r="T4106" s="1" t="s">
        <v>21</v>
      </c>
      <c r="U4106" s="1" t="s">
        <v>22</v>
      </c>
      <c r="V4106" s="1" t="s">
        <v>24</v>
      </c>
      <c r="W4106" s="1" t="s">
        <v>24</v>
      </c>
      <c r="X4106" s="1">
        <v>2703</v>
      </c>
      <c r="Y4106" s="1" t="s">
        <v>24</v>
      </c>
      <c r="Z4106" s="1" t="s">
        <v>24</v>
      </c>
      <c r="AA4106" s="1" t="s">
        <v>24</v>
      </c>
      <c r="AB4106" s="1" t="s">
        <v>24</v>
      </c>
      <c r="AC4106" s="1" t="s">
        <v>24</v>
      </c>
      <c r="AD4106" s="1" t="s">
        <v>24</v>
      </c>
      <c r="AE4106" s="1" t="s">
        <v>24</v>
      </c>
      <c r="AF4106" s="22"/>
    </row>
    <row r="4107" spans="1:32" x14ac:dyDescent="0.2">
      <c r="A4107" s="1">
        <v>34251</v>
      </c>
      <c r="B4107" s="1" t="s">
        <v>12613</v>
      </c>
      <c r="C4107" s="5" t="s">
        <v>0</v>
      </c>
      <c r="D4107" s="1" t="s">
        <v>12614</v>
      </c>
      <c r="E4107" s="1" t="s">
        <v>12615</v>
      </c>
      <c r="F4107" s="1" t="s">
        <v>12616</v>
      </c>
      <c r="G4107" s="1" t="s">
        <v>12616</v>
      </c>
      <c r="H4107" s="1" t="s">
        <v>1957</v>
      </c>
      <c r="I4107" s="1" t="s">
        <v>16</v>
      </c>
      <c r="J4107" s="1">
        <v>1</v>
      </c>
      <c r="K4107" s="1">
        <v>4</v>
      </c>
      <c r="L4107" s="1" t="s">
        <v>42</v>
      </c>
      <c r="M4107" s="1" t="s">
        <v>18</v>
      </c>
      <c r="N4107" s="1" t="s">
        <v>18</v>
      </c>
      <c r="O4107" s="1">
        <v>3</v>
      </c>
      <c r="P4107" s="1">
        <v>6</v>
      </c>
      <c r="R4107" s="1" t="s">
        <v>19</v>
      </c>
      <c r="S4107" s="1" t="s">
        <v>20</v>
      </c>
      <c r="T4107" s="1" t="s">
        <v>21</v>
      </c>
      <c r="U4107" s="1" t="s">
        <v>22</v>
      </c>
      <c r="V4107" s="1" t="s">
        <v>24</v>
      </c>
      <c r="W4107" s="1" t="s">
        <v>24</v>
      </c>
      <c r="X4107" s="1">
        <v>2743</v>
      </c>
      <c r="Y4107" s="1">
        <v>2729</v>
      </c>
      <c r="Z4107" s="1" t="s">
        <v>24</v>
      </c>
      <c r="AA4107" s="1" t="s">
        <v>24</v>
      </c>
      <c r="AB4107" s="1" t="s">
        <v>24</v>
      </c>
      <c r="AC4107" s="1" t="s">
        <v>24</v>
      </c>
      <c r="AD4107" s="1" t="s">
        <v>24</v>
      </c>
      <c r="AE4107" s="1" t="s">
        <v>24</v>
      </c>
      <c r="AF4107" s="22"/>
    </row>
    <row r="4108" spans="1:32" x14ac:dyDescent="0.2">
      <c r="A4108" s="1">
        <v>34252</v>
      </c>
      <c r="B4108" s="1" t="s">
        <v>12617</v>
      </c>
      <c r="C4108" s="5" t="s">
        <v>0</v>
      </c>
      <c r="D4108" s="1" t="s">
        <v>12618</v>
      </c>
      <c r="F4108" s="1" t="s">
        <v>12619</v>
      </c>
      <c r="G4108" s="1" t="s">
        <v>12619</v>
      </c>
      <c r="H4108" s="1" t="s">
        <v>249</v>
      </c>
      <c r="I4108" s="1" t="s">
        <v>16</v>
      </c>
      <c r="J4108" s="1">
        <v>1</v>
      </c>
      <c r="K4108" s="1">
        <v>4</v>
      </c>
      <c r="L4108" s="1" t="s">
        <v>42</v>
      </c>
      <c r="M4108" s="1" t="s">
        <v>1463</v>
      </c>
      <c r="N4108" s="1" t="s">
        <v>1463</v>
      </c>
      <c r="O4108" s="1">
        <v>3</v>
      </c>
      <c r="P4108" s="1">
        <v>6</v>
      </c>
      <c r="R4108" s="1" t="s">
        <v>19</v>
      </c>
      <c r="S4108" s="1" t="s">
        <v>20</v>
      </c>
      <c r="T4108" s="1" t="s">
        <v>21</v>
      </c>
      <c r="U4108" s="1" t="s">
        <v>22</v>
      </c>
      <c r="V4108" s="1" t="s">
        <v>23</v>
      </c>
      <c r="W4108" s="1" t="s">
        <v>24</v>
      </c>
      <c r="X4108" s="1">
        <v>2729</v>
      </c>
      <c r="Y4108" s="1" t="s">
        <v>24</v>
      </c>
      <c r="Z4108" s="1" t="s">
        <v>24</v>
      </c>
      <c r="AA4108" s="1" t="s">
        <v>24</v>
      </c>
      <c r="AB4108" s="1" t="s">
        <v>24</v>
      </c>
      <c r="AC4108" s="1" t="s">
        <v>24</v>
      </c>
      <c r="AD4108" s="1" t="s">
        <v>24</v>
      </c>
      <c r="AE4108" s="1" t="s">
        <v>24</v>
      </c>
      <c r="AF4108" s="22"/>
    </row>
    <row r="4109" spans="1:32" x14ac:dyDescent="0.2">
      <c r="A4109" s="1">
        <v>34253</v>
      </c>
      <c r="B4109" s="1" t="s">
        <v>12620</v>
      </c>
      <c r="C4109" s="5" t="s">
        <v>0</v>
      </c>
      <c r="D4109" s="1" t="s">
        <v>12621</v>
      </c>
      <c r="E4109" s="1" t="s">
        <v>12622</v>
      </c>
      <c r="F4109" s="1" t="s">
        <v>167</v>
      </c>
      <c r="G4109" s="1" t="s">
        <v>130</v>
      </c>
      <c r="H4109" s="1" t="s">
        <v>168</v>
      </c>
      <c r="I4109" s="1" t="s">
        <v>16</v>
      </c>
      <c r="J4109" s="1">
        <v>1</v>
      </c>
      <c r="K4109" s="1">
        <v>2</v>
      </c>
      <c r="L4109" s="1" t="s">
        <v>31</v>
      </c>
      <c r="M4109" s="1" t="s">
        <v>18</v>
      </c>
      <c r="N4109" s="1" t="s">
        <v>18</v>
      </c>
      <c r="O4109" s="1">
        <v>3</v>
      </c>
      <c r="P4109" s="1">
        <v>6</v>
      </c>
      <c r="R4109" s="1" t="s">
        <v>19</v>
      </c>
      <c r="S4109" s="1" t="s">
        <v>20</v>
      </c>
      <c r="T4109" s="1" t="s">
        <v>21</v>
      </c>
      <c r="U4109" s="1" t="s">
        <v>22</v>
      </c>
      <c r="V4109" s="1" t="s">
        <v>23</v>
      </c>
      <c r="W4109" s="1" t="s">
        <v>24</v>
      </c>
      <c r="X4109" s="1">
        <v>2404</v>
      </c>
      <c r="Y4109" s="1">
        <v>3005</v>
      </c>
      <c r="Z4109" s="1">
        <v>1305</v>
      </c>
      <c r="AA4109" s="1" t="s">
        <v>24</v>
      </c>
      <c r="AB4109" s="1" t="s">
        <v>24</v>
      </c>
      <c r="AC4109" s="1" t="s">
        <v>24</v>
      </c>
      <c r="AD4109" s="1" t="s">
        <v>24</v>
      </c>
      <c r="AE4109" s="1" t="s">
        <v>24</v>
      </c>
      <c r="AF4109" s="22"/>
    </row>
    <row r="4110" spans="1:32" x14ac:dyDescent="0.2">
      <c r="A4110" s="1">
        <v>34285</v>
      </c>
      <c r="B4110" s="1" t="s">
        <v>12623</v>
      </c>
      <c r="C4110" s="5" t="s">
        <v>0</v>
      </c>
      <c r="D4110" s="1" t="s">
        <v>12624</v>
      </c>
      <c r="F4110" s="1" t="s">
        <v>12625</v>
      </c>
      <c r="G4110" s="1" t="s">
        <v>12625</v>
      </c>
      <c r="H4110" s="1" t="s">
        <v>30</v>
      </c>
      <c r="I4110" s="1" t="s">
        <v>16</v>
      </c>
      <c r="J4110" s="1">
        <v>1</v>
      </c>
      <c r="K4110" s="1">
        <v>4</v>
      </c>
      <c r="L4110" s="1" t="s">
        <v>42</v>
      </c>
      <c r="M4110" s="1" t="s">
        <v>18</v>
      </c>
      <c r="N4110" s="1" t="s">
        <v>18</v>
      </c>
      <c r="O4110" s="1">
        <v>3</v>
      </c>
      <c r="P4110" s="1">
        <v>6</v>
      </c>
      <c r="R4110" s="1" t="s">
        <v>19</v>
      </c>
      <c r="S4110" s="1" t="s">
        <v>20</v>
      </c>
      <c r="T4110" s="1" t="s">
        <v>21</v>
      </c>
      <c r="U4110" s="1" t="s">
        <v>22</v>
      </c>
      <c r="V4110" s="1" t="s">
        <v>24</v>
      </c>
      <c r="W4110" s="1" t="s">
        <v>24</v>
      </c>
      <c r="X4110" s="1">
        <v>2738</v>
      </c>
      <c r="Y4110" s="1" t="s">
        <v>24</v>
      </c>
      <c r="Z4110" s="1" t="s">
        <v>24</v>
      </c>
      <c r="AA4110" s="1" t="s">
        <v>24</v>
      </c>
      <c r="AB4110" s="1" t="s">
        <v>24</v>
      </c>
      <c r="AC4110" s="1" t="s">
        <v>24</v>
      </c>
      <c r="AD4110" s="1" t="s">
        <v>24</v>
      </c>
      <c r="AE4110" s="1" t="s">
        <v>24</v>
      </c>
      <c r="AF4110" s="22" t="s">
        <v>17679</v>
      </c>
    </row>
    <row r="4111" spans="1:32" x14ac:dyDescent="0.2">
      <c r="A4111" s="1">
        <v>34289</v>
      </c>
      <c r="B4111" s="1" t="s">
        <v>12626</v>
      </c>
      <c r="C4111" s="5" t="s">
        <v>0</v>
      </c>
      <c r="D4111" s="1" t="s">
        <v>12627</v>
      </c>
      <c r="F4111" s="1" t="s">
        <v>12628</v>
      </c>
      <c r="G4111" s="1" t="s">
        <v>12628</v>
      </c>
      <c r="H4111" s="1" t="s">
        <v>878</v>
      </c>
      <c r="I4111" s="1" t="s">
        <v>16</v>
      </c>
      <c r="J4111" s="1">
        <v>1</v>
      </c>
      <c r="K4111" s="1">
        <v>6</v>
      </c>
      <c r="L4111" s="1" t="s">
        <v>17</v>
      </c>
      <c r="M4111" s="1" t="s">
        <v>117</v>
      </c>
      <c r="N4111" s="1" t="s">
        <v>118</v>
      </c>
      <c r="O4111" s="1">
        <v>3</v>
      </c>
      <c r="P4111" s="1">
        <v>6</v>
      </c>
      <c r="R4111" s="1" t="s">
        <v>19</v>
      </c>
      <c r="S4111" s="1" t="s">
        <v>20</v>
      </c>
      <c r="T4111" s="1" t="s">
        <v>21</v>
      </c>
      <c r="U4111" s="1" t="s">
        <v>22</v>
      </c>
      <c r="V4111" s="1" t="s">
        <v>24</v>
      </c>
      <c r="W4111" s="1" t="s">
        <v>24</v>
      </c>
      <c r="X4111" s="1">
        <v>1306</v>
      </c>
      <c r="Y4111" s="1">
        <v>2730</v>
      </c>
      <c r="Z4111" s="1" t="s">
        <v>24</v>
      </c>
      <c r="AA4111" s="1" t="s">
        <v>24</v>
      </c>
      <c r="AB4111" s="1" t="s">
        <v>24</v>
      </c>
      <c r="AC4111" s="1" t="s">
        <v>24</v>
      </c>
      <c r="AD4111" s="1" t="s">
        <v>24</v>
      </c>
      <c r="AE4111" s="1" t="s">
        <v>24</v>
      </c>
      <c r="AF4111" s="22"/>
    </row>
    <row r="4112" spans="1:32" x14ac:dyDescent="0.2">
      <c r="A4112" s="1">
        <v>34293</v>
      </c>
      <c r="B4112" s="1" t="s">
        <v>12629</v>
      </c>
      <c r="C4112" s="5" t="s">
        <v>0</v>
      </c>
      <c r="D4112" s="4"/>
      <c r="E4112" s="4"/>
      <c r="F4112" s="1" t="s">
        <v>12630</v>
      </c>
      <c r="G4112" s="1" t="s">
        <v>12631</v>
      </c>
      <c r="H4112" s="1" t="s">
        <v>30</v>
      </c>
      <c r="I4112" s="1" t="s">
        <v>16</v>
      </c>
      <c r="J4112" s="1">
        <v>1</v>
      </c>
      <c r="K4112" s="1">
        <v>1</v>
      </c>
      <c r="L4112" s="1" t="s">
        <v>17</v>
      </c>
      <c r="M4112" s="1" t="s">
        <v>18</v>
      </c>
      <c r="N4112" s="1" t="s">
        <v>18</v>
      </c>
      <c r="O4112" s="1">
        <v>3</v>
      </c>
      <c r="P4112" s="1">
        <v>6</v>
      </c>
      <c r="R4112" s="1" t="s">
        <v>19</v>
      </c>
      <c r="S4112" s="1" t="s">
        <v>20</v>
      </c>
      <c r="T4112" s="1" t="s">
        <v>21</v>
      </c>
      <c r="U4112" s="1" t="s">
        <v>22</v>
      </c>
      <c r="V4112" s="1" t="s">
        <v>23</v>
      </c>
      <c r="W4112" s="1" t="s">
        <v>24</v>
      </c>
      <c r="X4112" s="1">
        <v>2742</v>
      </c>
      <c r="Y4112" s="1">
        <v>2730</v>
      </c>
      <c r="Z4112" s="1">
        <v>2917</v>
      </c>
      <c r="AA4112" s="1">
        <v>3612</v>
      </c>
      <c r="AB4112" s="1" t="s">
        <v>24</v>
      </c>
      <c r="AC4112" s="1" t="s">
        <v>24</v>
      </c>
      <c r="AD4112" s="1" t="s">
        <v>24</v>
      </c>
      <c r="AE4112" s="1" t="s">
        <v>24</v>
      </c>
      <c r="AF4112" s="22" t="s">
        <v>17662</v>
      </c>
    </row>
    <row r="4113" spans="1:32" x14ac:dyDescent="0.2">
      <c r="A4113" s="1">
        <v>34314</v>
      </c>
      <c r="B4113" s="1" t="s">
        <v>12632</v>
      </c>
      <c r="C4113" s="5" t="s">
        <v>0</v>
      </c>
      <c r="D4113" s="1" t="s">
        <v>12633</v>
      </c>
      <c r="E4113" s="1" t="s">
        <v>12634</v>
      </c>
      <c r="F4113" s="1" t="s">
        <v>167</v>
      </c>
      <c r="G4113" s="1" t="s">
        <v>130</v>
      </c>
      <c r="H4113" s="1" t="s">
        <v>168</v>
      </c>
      <c r="I4113" s="1" t="s">
        <v>16</v>
      </c>
      <c r="J4113" s="1">
        <v>1</v>
      </c>
      <c r="K4113" s="1">
        <v>4</v>
      </c>
      <c r="L4113" s="1" t="s">
        <v>31</v>
      </c>
      <c r="M4113" s="1" t="s">
        <v>18</v>
      </c>
      <c r="N4113" s="1" t="s">
        <v>18</v>
      </c>
      <c r="O4113" s="1">
        <v>3</v>
      </c>
      <c r="P4113" s="1">
        <v>5</v>
      </c>
      <c r="R4113" s="1" t="s">
        <v>19</v>
      </c>
      <c r="S4113" s="1" t="s">
        <v>20</v>
      </c>
      <c r="T4113" s="1" t="s">
        <v>21</v>
      </c>
      <c r="U4113" s="1" t="s">
        <v>22</v>
      </c>
      <c r="V4113" s="1" t="s">
        <v>23</v>
      </c>
      <c r="W4113" s="1" t="s">
        <v>24</v>
      </c>
      <c r="X4113" s="1">
        <v>3005</v>
      </c>
      <c r="Y4113" s="1">
        <v>3000</v>
      </c>
      <c r="Z4113" s="1">
        <v>2307</v>
      </c>
      <c r="AA4113" s="1">
        <v>2739</v>
      </c>
      <c r="AB4113" s="1">
        <v>2734</v>
      </c>
      <c r="AC4113" s="1" t="s">
        <v>24</v>
      </c>
      <c r="AD4113" s="1" t="s">
        <v>24</v>
      </c>
      <c r="AE4113" s="1" t="s">
        <v>24</v>
      </c>
      <c r="AF4113" s="22"/>
    </row>
    <row r="4114" spans="1:32" x14ac:dyDescent="0.2">
      <c r="A4114" s="1">
        <v>34321</v>
      </c>
      <c r="B4114" s="1" t="s">
        <v>12635</v>
      </c>
      <c r="C4114" s="5" t="s">
        <v>0</v>
      </c>
      <c r="D4114" s="1" t="s">
        <v>12636</v>
      </c>
      <c r="F4114" s="1" t="s">
        <v>12637</v>
      </c>
      <c r="G4114" s="1" t="s">
        <v>12637</v>
      </c>
      <c r="H4114" s="1" t="s">
        <v>1523</v>
      </c>
      <c r="I4114" s="1" t="s">
        <v>16</v>
      </c>
      <c r="J4114" s="1">
        <v>1</v>
      </c>
      <c r="K4114" s="1">
        <v>12</v>
      </c>
      <c r="L4114" s="1" t="s">
        <v>42</v>
      </c>
      <c r="M4114" s="1" t="s">
        <v>18</v>
      </c>
      <c r="N4114" s="1" t="s">
        <v>18</v>
      </c>
      <c r="O4114" s="1">
        <v>3</v>
      </c>
      <c r="P4114" s="1">
        <v>6</v>
      </c>
      <c r="R4114" s="1" t="s">
        <v>19</v>
      </c>
      <c r="S4114" s="1" t="s">
        <v>20</v>
      </c>
      <c r="T4114" s="1" t="s">
        <v>21</v>
      </c>
      <c r="U4114" s="1" t="s">
        <v>22</v>
      </c>
      <c r="V4114" s="1" t="s">
        <v>24</v>
      </c>
      <c r="W4114" s="1" t="s">
        <v>24</v>
      </c>
      <c r="X4114" s="1">
        <v>2700</v>
      </c>
      <c r="Y4114" s="1" t="s">
        <v>24</v>
      </c>
      <c r="Z4114" s="1" t="s">
        <v>24</v>
      </c>
      <c r="AA4114" s="1" t="s">
        <v>24</v>
      </c>
      <c r="AB4114" s="1" t="s">
        <v>24</v>
      </c>
      <c r="AC4114" s="1" t="s">
        <v>24</v>
      </c>
      <c r="AD4114" s="1" t="s">
        <v>24</v>
      </c>
      <c r="AE4114" s="1" t="s">
        <v>24</v>
      </c>
      <c r="AF4114" s="22" t="s">
        <v>17715</v>
      </c>
    </row>
    <row r="4115" spans="1:32" x14ac:dyDescent="0.2">
      <c r="A4115" s="1">
        <v>34334</v>
      </c>
      <c r="B4115" s="1" t="s">
        <v>12638</v>
      </c>
      <c r="C4115" s="5" t="s">
        <v>0</v>
      </c>
      <c r="E4115" s="1" t="s">
        <v>12639</v>
      </c>
      <c r="F4115" s="1" t="s">
        <v>12640</v>
      </c>
      <c r="G4115" s="1" t="s">
        <v>1734</v>
      </c>
      <c r="H4115" s="1" t="s">
        <v>30</v>
      </c>
      <c r="I4115" s="1" t="s">
        <v>16</v>
      </c>
      <c r="J4115" s="1">
        <v>1</v>
      </c>
      <c r="K4115" s="1">
        <v>6</v>
      </c>
      <c r="L4115" s="1" t="s">
        <v>17</v>
      </c>
      <c r="M4115" s="1" t="s">
        <v>18</v>
      </c>
      <c r="N4115" s="1" t="s">
        <v>18</v>
      </c>
      <c r="O4115" s="1">
        <v>3</v>
      </c>
      <c r="P4115" s="1">
        <v>6</v>
      </c>
      <c r="R4115" s="1" t="s">
        <v>19</v>
      </c>
      <c r="S4115" s="1" t="s">
        <v>20</v>
      </c>
      <c r="T4115" s="1" t="s">
        <v>21</v>
      </c>
      <c r="U4115" s="1" t="s">
        <v>22</v>
      </c>
      <c r="V4115" s="1" t="s">
        <v>23</v>
      </c>
      <c r="W4115" s="1" t="s">
        <v>24</v>
      </c>
      <c r="X4115" s="1">
        <v>2712</v>
      </c>
      <c r="Y4115" s="1">
        <v>2724</v>
      </c>
      <c r="Z4115" s="1">
        <v>1502</v>
      </c>
      <c r="AA4115" s="1">
        <v>2204</v>
      </c>
      <c r="AB4115" s="1" t="s">
        <v>24</v>
      </c>
      <c r="AC4115" s="1" t="s">
        <v>24</v>
      </c>
      <c r="AD4115" s="1" t="s">
        <v>24</v>
      </c>
      <c r="AE4115" s="1" t="s">
        <v>24</v>
      </c>
      <c r="AF4115" s="22"/>
    </row>
    <row r="4116" spans="1:32" x14ac:dyDescent="0.2">
      <c r="A4116" s="1">
        <v>34355</v>
      </c>
      <c r="B4116" s="1" t="s">
        <v>12641</v>
      </c>
      <c r="C4116" s="5" t="s">
        <v>0</v>
      </c>
      <c r="D4116" s="1" t="s">
        <v>12642</v>
      </c>
      <c r="F4116" s="1" t="s">
        <v>12643</v>
      </c>
      <c r="G4116" s="1" t="s">
        <v>12641</v>
      </c>
      <c r="H4116" s="1" t="s">
        <v>2672</v>
      </c>
      <c r="I4116" s="1" t="s">
        <v>16</v>
      </c>
      <c r="J4116" s="1">
        <v>1</v>
      </c>
      <c r="K4116" s="1">
        <v>2</v>
      </c>
      <c r="L4116" s="1" t="s">
        <v>42</v>
      </c>
      <c r="M4116" s="1" t="s">
        <v>18</v>
      </c>
      <c r="N4116" s="1" t="s">
        <v>18</v>
      </c>
      <c r="O4116" s="1">
        <v>3</v>
      </c>
      <c r="P4116" s="1">
        <v>6</v>
      </c>
      <c r="R4116" s="1" t="s">
        <v>19</v>
      </c>
      <c r="S4116" s="1" t="s">
        <v>20</v>
      </c>
      <c r="T4116" s="1" t="s">
        <v>21</v>
      </c>
      <c r="U4116" s="1" t="s">
        <v>22</v>
      </c>
      <c r="V4116" s="1" t="s">
        <v>24</v>
      </c>
      <c r="W4116" s="1" t="s">
        <v>24</v>
      </c>
      <c r="X4116" s="1">
        <v>1305</v>
      </c>
      <c r="Y4116" s="1">
        <v>2402</v>
      </c>
      <c r="Z4116" s="1" t="s">
        <v>24</v>
      </c>
      <c r="AA4116" s="1" t="s">
        <v>24</v>
      </c>
      <c r="AB4116" s="1" t="s">
        <v>24</v>
      </c>
      <c r="AC4116" s="1" t="s">
        <v>24</v>
      </c>
      <c r="AD4116" s="1" t="s">
        <v>24</v>
      </c>
      <c r="AE4116" s="1" t="s">
        <v>24</v>
      </c>
      <c r="AF4116" s="22"/>
    </row>
    <row r="4117" spans="1:32" x14ac:dyDescent="0.2">
      <c r="A4117" s="1">
        <v>34359</v>
      </c>
      <c r="B4117" s="1" t="s">
        <v>12644</v>
      </c>
      <c r="C4117" s="5" t="s">
        <v>0</v>
      </c>
      <c r="D4117" s="1" t="s">
        <v>12645</v>
      </c>
      <c r="E4117" s="1" t="s">
        <v>12646</v>
      </c>
      <c r="F4117" s="1" t="s">
        <v>12644</v>
      </c>
      <c r="G4117" s="1" t="s">
        <v>9413</v>
      </c>
      <c r="H4117" s="1" t="s">
        <v>899</v>
      </c>
      <c r="I4117" s="1" t="s">
        <v>16</v>
      </c>
      <c r="J4117" s="1">
        <v>1</v>
      </c>
      <c r="K4117" s="1">
        <v>2</v>
      </c>
      <c r="L4117" s="1" t="s">
        <v>42</v>
      </c>
      <c r="M4117" s="1" t="s">
        <v>18</v>
      </c>
      <c r="N4117" s="1" t="s">
        <v>18</v>
      </c>
      <c r="O4117" s="1">
        <v>2</v>
      </c>
      <c r="P4117" s="1">
        <v>6</v>
      </c>
      <c r="R4117" s="1" t="s">
        <v>19</v>
      </c>
      <c r="S4117" s="1" t="s">
        <v>20</v>
      </c>
      <c r="T4117" s="1" t="s">
        <v>21</v>
      </c>
      <c r="U4117" s="1" t="s">
        <v>22</v>
      </c>
      <c r="V4117" s="1" t="s">
        <v>24</v>
      </c>
      <c r="W4117" s="1" t="s">
        <v>24</v>
      </c>
      <c r="X4117" s="1">
        <v>2734</v>
      </c>
      <c r="Y4117" s="1">
        <v>3308</v>
      </c>
      <c r="Z4117" s="1">
        <v>3005</v>
      </c>
      <c r="AA4117" s="1">
        <v>2307</v>
      </c>
      <c r="AB4117" s="1" t="s">
        <v>24</v>
      </c>
      <c r="AC4117" s="1" t="s">
        <v>24</v>
      </c>
      <c r="AD4117" s="1" t="s">
        <v>24</v>
      </c>
      <c r="AE4117" s="1" t="s">
        <v>24</v>
      </c>
      <c r="AF4117" s="22"/>
    </row>
    <row r="4118" spans="1:32" x14ac:dyDescent="0.2">
      <c r="A4118" s="1">
        <v>34361</v>
      </c>
      <c r="B4118" s="1" t="s">
        <v>12647</v>
      </c>
      <c r="C4118" s="5" t="s">
        <v>0</v>
      </c>
      <c r="D4118" s="1" t="s">
        <v>12648</v>
      </c>
      <c r="F4118" s="1" t="s">
        <v>12649</v>
      </c>
      <c r="G4118" s="1" t="s">
        <v>12649</v>
      </c>
      <c r="H4118" s="1" t="s">
        <v>81</v>
      </c>
      <c r="I4118" s="1" t="s">
        <v>16</v>
      </c>
      <c r="J4118" s="1">
        <v>1</v>
      </c>
      <c r="K4118" s="1">
        <v>4</v>
      </c>
      <c r="L4118" s="1" t="s">
        <v>42</v>
      </c>
      <c r="M4118" s="1" t="s">
        <v>1872</v>
      </c>
      <c r="N4118" s="1" t="s">
        <v>1873</v>
      </c>
      <c r="O4118" s="1">
        <v>2</v>
      </c>
      <c r="P4118" s="1">
        <v>5</v>
      </c>
      <c r="R4118" s="1" t="s">
        <v>19</v>
      </c>
      <c r="S4118" s="1" t="s">
        <v>20</v>
      </c>
      <c r="T4118" s="1" t="s">
        <v>21</v>
      </c>
      <c r="U4118" s="1" t="s">
        <v>22</v>
      </c>
      <c r="V4118" s="1" t="s">
        <v>24</v>
      </c>
      <c r="W4118" s="1" t="s">
        <v>24</v>
      </c>
      <c r="X4118" s="1">
        <v>2800</v>
      </c>
      <c r="Y4118" s="1">
        <v>3000</v>
      </c>
      <c r="Z4118" s="1">
        <v>3206</v>
      </c>
      <c r="AA4118" s="1">
        <v>2728</v>
      </c>
      <c r="AB4118" s="1" t="s">
        <v>24</v>
      </c>
      <c r="AC4118" s="1" t="s">
        <v>24</v>
      </c>
      <c r="AD4118" s="1" t="s">
        <v>24</v>
      </c>
      <c r="AE4118" s="1" t="s">
        <v>24</v>
      </c>
      <c r="AF4118" s="22"/>
    </row>
    <row r="4119" spans="1:32" x14ac:dyDescent="0.2">
      <c r="A4119" s="1">
        <v>34381</v>
      </c>
      <c r="B4119" s="1" t="s">
        <v>12650</v>
      </c>
      <c r="C4119" s="5" t="s">
        <v>0</v>
      </c>
      <c r="D4119" s="1" t="s">
        <v>12651</v>
      </c>
      <c r="E4119" s="1" t="s">
        <v>12652</v>
      </c>
      <c r="F4119" s="1" t="s">
        <v>12455</v>
      </c>
      <c r="G4119" s="1" t="s">
        <v>12455</v>
      </c>
      <c r="H4119" s="1" t="s">
        <v>2672</v>
      </c>
      <c r="I4119" s="1" t="s">
        <v>16</v>
      </c>
      <c r="J4119" s="1">
        <v>1</v>
      </c>
      <c r="K4119" s="1">
        <v>3</v>
      </c>
      <c r="L4119" s="1" t="s">
        <v>42</v>
      </c>
      <c r="M4119" s="1" t="s">
        <v>18</v>
      </c>
      <c r="N4119" s="1" t="s">
        <v>18</v>
      </c>
      <c r="O4119" s="1">
        <v>2</v>
      </c>
      <c r="P4119" s="1">
        <v>6</v>
      </c>
      <c r="R4119" s="1" t="s">
        <v>19</v>
      </c>
      <c r="S4119" s="1" t="s">
        <v>20</v>
      </c>
      <c r="T4119" s="1" t="s">
        <v>21</v>
      </c>
      <c r="U4119" s="1" t="s">
        <v>22</v>
      </c>
      <c r="V4119" s="1" t="s">
        <v>24</v>
      </c>
      <c r="W4119" s="1" t="s">
        <v>24</v>
      </c>
      <c r="X4119" s="1">
        <v>2705</v>
      </c>
      <c r="Y4119" s="1" t="s">
        <v>24</v>
      </c>
      <c r="Z4119" s="1" t="s">
        <v>24</v>
      </c>
      <c r="AA4119" s="1" t="s">
        <v>24</v>
      </c>
      <c r="AB4119" s="1" t="s">
        <v>24</v>
      </c>
      <c r="AC4119" s="1" t="s">
        <v>24</v>
      </c>
      <c r="AD4119" s="1" t="s">
        <v>24</v>
      </c>
      <c r="AE4119" s="1" t="s">
        <v>24</v>
      </c>
      <c r="AF4119" s="22"/>
    </row>
    <row r="4120" spans="1:32" x14ac:dyDescent="0.2">
      <c r="A4120" s="1">
        <v>34442</v>
      </c>
      <c r="B4120" s="1" t="s">
        <v>12653</v>
      </c>
      <c r="C4120" s="5" t="s">
        <v>0</v>
      </c>
      <c r="D4120" s="1" t="s">
        <v>12654</v>
      </c>
      <c r="F4120" s="1" t="s">
        <v>155</v>
      </c>
      <c r="G4120" s="1" t="s">
        <v>61</v>
      </c>
      <c r="H4120" s="1" t="s">
        <v>37</v>
      </c>
      <c r="I4120" s="1" t="s">
        <v>112</v>
      </c>
      <c r="J4120" s="1">
        <v>0</v>
      </c>
      <c r="K4120" s="1">
        <v>0</v>
      </c>
      <c r="L4120" s="1" t="s">
        <v>31</v>
      </c>
      <c r="M4120" s="1" t="s">
        <v>18</v>
      </c>
      <c r="N4120" s="1" t="s">
        <v>18</v>
      </c>
      <c r="O4120" s="1">
        <v>3</v>
      </c>
      <c r="P4120" s="1">
        <v>6</v>
      </c>
      <c r="R4120" s="1" t="s">
        <v>19</v>
      </c>
      <c r="S4120" s="1" t="s">
        <v>20</v>
      </c>
      <c r="T4120" s="1" t="s">
        <v>21</v>
      </c>
      <c r="U4120" s="1" t="s">
        <v>22</v>
      </c>
      <c r="V4120" s="1" t="s">
        <v>24</v>
      </c>
      <c r="W4120" s="1" t="s">
        <v>24</v>
      </c>
      <c r="X4120" s="1">
        <v>3000</v>
      </c>
      <c r="Y4120" s="1">
        <v>2406</v>
      </c>
      <c r="Z4120" s="1">
        <v>2725</v>
      </c>
      <c r="AA4120" s="1">
        <v>2736</v>
      </c>
      <c r="AB4120" s="1" t="s">
        <v>24</v>
      </c>
      <c r="AC4120" s="1" t="s">
        <v>24</v>
      </c>
      <c r="AD4120" s="1" t="s">
        <v>24</v>
      </c>
      <c r="AE4120" s="1" t="s">
        <v>24</v>
      </c>
      <c r="AF4120" s="22"/>
    </row>
    <row r="4121" spans="1:32" x14ac:dyDescent="0.2">
      <c r="A4121" s="1">
        <v>34451</v>
      </c>
      <c r="B4121" s="1" t="s">
        <v>12655</v>
      </c>
      <c r="C4121" s="5" t="s">
        <v>0</v>
      </c>
      <c r="D4121" s="1" t="s">
        <v>12656</v>
      </c>
      <c r="F4121" s="1" t="s">
        <v>12657</v>
      </c>
      <c r="G4121" s="1" t="s">
        <v>2146</v>
      </c>
      <c r="H4121" s="1" t="s">
        <v>2147</v>
      </c>
      <c r="I4121" s="1" t="s">
        <v>16</v>
      </c>
      <c r="J4121" s="1">
        <v>1</v>
      </c>
      <c r="K4121" s="1">
        <v>6</v>
      </c>
      <c r="L4121" s="1" t="s">
        <v>42</v>
      </c>
      <c r="M4121" s="1" t="s">
        <v>18</v>
      </c>
      <c r="N4121" s="1" t="s">
        <v>18</v>
      </c>
      <c r="O4121" s="1">
        <v>3</v>
      </c>
      <c r="P4121" s="1">
        <v>6</v>
      </c>
      <c r="R4121" s="1" t="s">
        <v>19</v>
      </c>
      <c r="S4121" s="1" t="s">
        <v>20</v>
      </c>
      <c r="T4121" s="1" t="s">
        <v>21</v>
      </c>
      <c r="U4121" s="1" t="s">
        <v>22</v>
      </c>
      <c r="V4121" s="1" t="s">
        <v>24</v>
      </c>
      <c r="W4121" s="1" t="s">
        <v>24</v>
      </c>
      <c r="X4121" s="1">
        <v>2705</v>
      </c>
      <c r="Y4121" s="1" t="s">
        <v>24</v>
      </c>
      <c r="Z4121" s="1" t="s">
        <v>24</v>
      </c>
      <c r="AA4121" s="1" t="s">
        <v>24</v>
      </c>
      <c r="AB4121" s="1" t="s">
        <v>24</v>
      </c>
      <c r="AC4121" s="1" t="s">
        <v>24</v>
      </c>
      <c r="AD4121" s="1" t="s">
        <v>24</v>
      </c>
      <c r="AE4121" s="1" t="s">
        <v>24</v>
      </c>
      <c r="AF4121" s="22"/>
    </row>
    <row r="4122" spans="1:32" x14ac:dyDescent="0.2">
      <c r="A4122" s="1">
        <v>34485</v>
      </c>
      <c r="B4122" s="1" t="s">
        <v>12658</v>
      </c>
      <c r="C4122" s="5" t="s">
        <v>0</v>
      </c>
      <c r="D4122" s="1" t="s">
        <v>12659</v>
      </c>
      <c r="E4122" s="1" t="s">
        <v>12660</v>
      </c>
      <c r="F4122" s="1" t="s">
        <v>12661</v>
      </c>
      <c r="G4122" s="1" t="s">
        <v>12662</v>
      </c>
      <c r="H4122" s="1" t="s">
        <v>30</v>
      </c>
      <c r="I4122" s="1" t="s">
        <v>16</v>
      </c>
      <c r="J4122" s="1">
        <v>0</v>
      </c>
      <c r="K4122" s="1">
        <v>0</v>
      </c>
      <c r="L4122" s="1" t="s">
        <v>31</v>
      </c>
      <c r="M4122" s="1" t="s">
        <v>18</v>
      </c>
      <c r="N4122" s="1" t="s">
        <v>18</v>
      </c>
      <c r="O4122" s="1">
        <v>2</v>
      </c>
      <c r="P4122" s="1">
        <v>5</v>
      </c>
      <c r="R4122" s="1" t="s">
        <v>19</v>
      </c>
      <c r="S4122" s="1" t="s">
        <v>20</v>
      </c>
      <c r="T4122" s="1" t="s">
        <v>21</v>
      </c>
      <c r="U4122" s="1" t="s">
        <v>22</v>
      </c>
      <c r="V4122" s="1" t="s">
        <v>23</v>
      </c>
      <c r="W4122" s="1" t="s">
        <v>24</v>
      </c>
      <c r="X4122" s="1">
        <v>2900</v>
      </c>
      <c r="Y4122" s="1" t="s">
        <v>24</v>
      </c>
      <c r="Z4122" s="1" t="s">
        <v>24</v>
      </c>
      <c r="AA4122" s="1" t="s">
        <v>24</v>
      </c>
      <c r="AB4122" s="1" t="s">
        <v>24</v>
      </c>
      <c r="AC4122" s="1" t="s">
        <v>24</v>
      </c>
      <c r="AD4122" s="1" t="s">
        <v>24</v>
      </c>
      <c r="AE4122" s="1" t="s">
        <v>24</v>
      </c>
      <c r="AF4122" s="22"/>
    </row>
    <row r="4123" spans="1:32" x14ac:dyDescent="0.2">
      <c r="A4123" s="1">
        <v>34535</v>
      </c>
      <c r="B4123" s="1" t="s">
        <v>12663</v>
      </c>
      <c r="C4123" s="5" t="s">
        <v>0</v>
      </c>
      <c r="D4123" s="1" t="s">
        <v>12664</v>
      </c>
      <c r="E4123" s="1" t="s">
        <v>12665</v>
      </c>
      <c r="F4123" s="1" t="s">
        <v>4337</v>
      </c>
      <c r="G4123" s="1" t="s">
        <v>4338</v>
      </c>
      <c r="H4123" s="1" t="s">
        <v>92</v>
      </c>
      <c r="I4123" s="1" t="s">
        <v>16</v>
      </c>
      <c r="J4123" s="1">
        <v>1</v>
      </c>
      <c r="K4123" s="1">
        <v>4</v>
      </c>
      <c r="L4123" s="1" t="s">
        <v>31</v>
      </c>
      <c r="M4123" s="1" t="s">
        <v>18</v>
      </c>
      <c r="N4123" s="1" t="s">
        <v>18</v>
      </c>
      <c r="O4123" s="1">
        <v>3</v>
      </c>
      <c r="P4123" s="1">
        <v>7</v>
      </c>
      <c r="Q4123" s="7" t="s">
        <v>17633</v>
      </c>
      <c r="R4123" s="1" t="s">
        <v>19</v>
      </c>
      <c r="S4123" s="1" t="s">
        <v>20</v>
      </c>
      <c r="T4123" s="1" t="s">
        <v>21</v>
      </c>
      <c r="U4123" s="1" t="s">
        <v>22</v>
      </c>
      <c r="V4123" s="1" t="s">
        <v>23</v>
      </c>
      <c r="W4123" s="1" t="s">
        <v>24</v>
      </c>
      <c r="X4123" s="1">
        <v>2700</v>
      </c>
      <c r="Y4123" s="1">
        <v>2748</v>
      </c>
      <c r="Z4123" s="1" t="s">
        <v>24</v>
      </c>
      <c r="AA4123" s="1" t="s">
        <v>24</v>
      </c>
      <c r="AB4123" s="1" t="s">
        <v>24</v>
      </c>
      <c r="AC4123" s="1" t="s">
        <v>24</v>
      </c>
      <c r="AD4123" s="1" t="s">
        <v>24</v>
      </c>
      <c r="AE4123" s="1" t="s">
        <v>24</v>
      </c>
      <c r="AF4123" s="22" t="s">
        <v>17670</v>
      </c>
    </row>
    <row r="4124" spans="1:32" x14ac:dyDescent="0.2">
      <c r="A4124" s="1">
        <v>34537</v>
      </c>
      <c r="B4124" s="1" t="s">
        <v>12666</v>
      </c>
      <c r="C4124" s="5" t="s">
        <v>0</v>
      </c>
      <c r="D4124" s="1" t="s">
        <v>12667</v>
      </c>
      <c r="F4124" s="1" t="s">
        <v>2776</v>
      </c>
      <c r="G4124" s="1" t="s">
        <v>61</v>
      </c>
      <c r="H4124" s="1" t="s">
        <v>46</v>
      </c>
      <c r="I4124" s="1" t="s">
        <v>16</v>
      </c>
      <c r="J4124" s="1">
        <v>1</v>
      </c>
      <c r="K4124" s="1">
        <v>4</v>
      </c>
      <c r="L4124" s="1" t="s">
        <v>31</v>
      </c>
      <c r="M4124" s="1" t="s">
        <v>18</v>
      </c>
      <c r="N4124" s="1" t="s">
        <v>18</v>
      </c>
      <c r="O4124" s="1">
        <v>3</v>
      </c>
      <c r="P4124" s="1">
        <v>7</v>
      </c>
      <c r="Q4124" s="7" t="s">
        <v>17633</v>
      </c>
      <c r="R4124" s="1" t="s">
        <v>19</v>
      </c>
      <c r="S4124" s="1" t="s">
        <v>20</v>
      </c>
      <c r="T4124" s="1" t="s">
        <v>21</v>
      </c>
      <c r="U4124" s="1" t="s">
        <v>22</v>
      </c>
      <c r="V4124" s="1" t="s">
        <v>24</v>
      </c>
      <c r="W4124" s="1" t="s">
        <v>24</v>
      </c>
      <c r="X4124" s="1">
        <v>2745</v>
      </c>
      <c r="Y4124" s="1" t="s">
        <v>24</v>
      </c>
      <c r="Z4124" s="1" t="s">
        <v>24</v>
      </c>
      <c r="AA4124" s="1" t="s">
        <v>24</v>
      </c>
      <c r="AB4124" s="1" t="s">
        <v>24</v>
      </c>
      <c r="AC4124" s="1" t="s">
        <v>24</v>
      </c>
      <c r="AD4124" s="1" t="s">
        <v>24</v>
      </c>
      <c r="AE4124" s="1" t="s">
        <v>24</v>
      </c>
      <c r="AF4124" s="22"/>
    </row>
    <row r="4125" spans="1:32" x14ac:dyDescent="0.2">
      <c r="A4125" s="1">
        <v>34538</v>
      </c>
      <c r="B4125" s="1" t="s">
        <v>12668</v>
      </c>
      <c r="C4125" s="5" t="s">
        <v>0</v>
      </c>
      <c r="D4125" s="1" t="s">
        <v>12669</v>
      </c>
      <c r="E4125" s="1" t="s">
        <v>12670</v>
      </c>
      <c r="F4125" s="1" t="s">
        <v>12671</v>
      </c>
      <c r="G4125" s="1" t="s">
        <v>61</v>
      </c>
      <c r="H4125" s="1" t="s">
        <v>2772</v>
      </c>
      <c r="I4125" s="1" t="s">
        <v>16</v>
      </c>
      <c r="J4125" s="1">
        <v>1</v>
      </c>
      <c r="K4125" s="1">
        <v>2</v>
      </c>
      <c r="L4125" s="1" t="s">
        <v>31</v>
      </c>
      <c r="M4125" s="1" t="s">
        <v>18</v>
      </c>
      <c r="N4125" s="1" t="s">
        <v>18</v>
      </c>
      <c r="O4125" s="1">
        <v>3</v>
      </c>
      <c r="P4125" s="1">
        <v>7</v>
      </c>
      <c r="Q4125" s="7" t="s">
        <v>17633</v>
      </c>
      <c r="R4125" s="1" t="s">
        <v>19</v>
      </c>
      <c r="S4125" s="1" t="s">
        <v>20</v>
      </c>
      <c r="T4125" s="1" t="s">
        <v>21</v>
      </c>
      <c r="U4125" s="1" t="s">
        <v>22</v>
      </c>
      <c r="V4125" s="1" t="s">
        <v>23</v>
      </c>
      <c r="W4125" s="1" t="s">
        <v>24</v>
      </c>
      <c r="X4125" s="1">
        <v>2900</v>
      </c>
      <c r="Y4125" s="1" t="s">
        <v>24</v>
      </c>
      <c r="Z4125" s="1" t="s">
        <v>24</v>
      </c>
      <c r="AA4125" s="1" t="s">
        <v>24</v>
      </c>
      <c r="AB4125" s="1" t="s">
        <v>24</v>
      </c>
      <c r="AC4125" s="1" t="s">
        <v>24</v>
      </c>
      <c r="AD4125" s="1" t="s">
        <v>24</v>
      </c>
      <c r="AE4125" s="1" t="s">
        <v>24</v>
      </c>
      <c r="AF4125" s="22"/>
    </row>
    <row r="4126" spans="1:32" x14ac:dyDescent="0.2">
      <c r="A4126" s="1">
        <v>34539</v>
      </c>
      <c r="B4126" s="1" t="s">
        <v>12672</v>
      </c>
      <c r="C4126" s="5" t="s">
        <v>0</v>
      </c>
      <c r="D4126" s="1" t="s">
        <v>12673</v>
      </c>
      <c r="E4126" s="1" t="s">
        <v>12674</v>
      </c>
      <c r="F4126" s="1" t="s">
        <v>2776</v>
      </c>
      <c r="G4126" s="1" t="s">
        <v>61</v>
      </c>
      <c r="H4126" s="1" t="s">
        <v>46</v>
      </c>
      <c r="I4126" s="1" t="s">
        <v>16</v>
      </c>
      <c r="J4126" s="1">
        <v>1</v>
      </c>
      <c r="K4126" s="1">
        <v>4</v>
      </c>
      <c r="L4126" s="1" t="s">
        <v>31</v>
      </c>
      <c r="M4126" s="1" t="s">
        <v>18</v>
      </c>
      <c r="N4126" s="1" t="s">
        <v>18</v>
      </c>
      <c r="O4126" s="1">
        <v>3</v>
      </c>
      <c r="P4126" s="1">
        <v>7</v>
      </c>
      <c r="Q4126" s="7" t="s">
        <v>17633</v>
      </c>
      <c r="R4126" s="1" t="s">
        <v>19</v>
      </c>
      <c r="S4126" s="1" t="s">
        <v>20</v>
      </c>
      <c r="T4126" s="1" t="s">
        <v>21</v>
      </c>
      <c r="U4126" s="1" t="s">
        <v>22</v>
      </c>
      <c r="V4126" s="1" t="s">
        <v>23</v>
      </c>
      <c r="W4126" s="1" t="s">
        <v>24</v>
      </c>
      <c r="X4126" s="1">
        <v>2717</v>
      </c>
      <c r="Y4126" s="1" t="s">
        <v>24</v>
      </c>
      <c r="Z4126" s="1" t="s">
        <v>24</v>
      </c>
      <c r="AA4126" s="1" t="s">
        <v>24</v>
      </c>
      <c r="AB4126" s="1" t="s">
        <v>24</v>
      </c>
      <c r="AC4126" s="1" t="s">
        <v>24</v>
      </c>
      <c r="AD4126" s="1" t="s">
        <v>24</v>
      </c>
      <c r="AE4126" s="1" t="s">
        <v>24</v>
      </c>
      <c r="AF4126" s="22"/>
    </row>
    <row r="4127" spans="1:32" x14ac:dyDescent="0.2">
      <c r="A4127" s="1">
        <v>34541</v>
      </c>
      <c r="B4127" s="1" t="s">
        <v>12675</v>
      </c>
      <c r="C4127" s="5" t="s">
        <v>0</v>
      </c>
      <c r="D4127" s="1" t="s">
        <v>12676</v>
      </c>
      <c r="E4127" s="1" t="s">
        <v>12677</v>
      </c>
      <c r="F4127" s="1" t="s">
        <v>272</v>
      </c>
      <c r="G4127" s="1" t="s">
        <v>61</v>
      </c>
      <c r="H4127" s="1" t="s">
        <v>30</v>
      </c>
      <c r="I4127" s="1" t="s">
        <v>16</v>
      </c>
      <c r="J4127" s="1">
        <v>1</v>
      </c>
      <c r="K4127" s="1">
        <v>4</v>
      </c>
      <c r="L4127" s="1" t="s">
        <v>31</v>
      </c>
      <c r="M4127" s="1" t="s">
        <v>18</v>
      </c>
      <c r="N4127" s="1" t="s">
        <v>18</v>
      </c>
      <c r="O4127" s="1">
        <v>3</v>
      </c>
      <c r="P4127" s="1">
        <v>7</v>
      </c>
      <c r="Q4127" s="7" t="s">
        <v>17633</v>
      </c>
      <c r="R4127" s="1" t="s">
        <v>19</v>
      </c>
      <c r="S4127" s="1" t="s">
        <v>20</v>
      </c>
      <c r="T4127" s="1" t="s">
        <v>21</v>
      </c>
      <c r="U4127" s="1" t="s">
        <v>22</v>
      </c>
      <c r="V4127" s="1" t="s">
        <v>24</v>
      </c>
      <c r="W4127" s="1" t="s">
        <v>24</v>
      </c>
      <c r="X4127" s="1">
        <v>2728</v>
      </c>
      <c r="Y4127" s="1">
        <v>2800</v>
      </c>
      <c r="Z4127" s="1">
        <v>1304</v>
      </c>
      <c r="AA4127" s="1" t="s">
        <v>24</v>
      </c>
      <c r="AB4127" s="1" t="s">
        <v>24</v>
      </c>
      <c r="AC4127" s="1" t="s">
        <v>24</v>
      </c>
      <c r="AD4127" s="1" t="s">
        <v>24</v>
      </c>
      <c r="AE4127" s="1" t="s">
        <v>24</v>
      </c>
      <c r="AF4127" s="22"/>
    </row>
    <row r="4128" spans="1:32" x14ac:dyDescent="0.2">
      <c r="A4128" s="1">
        <v>34542</v>
      </c>
      <c r="B4128" s="1" t="s">
        <v>12678</v>
      </c>
      <c r="C4128" s="5" t="s">
        <v>0</v>
      </c>
      <c r="D4128" s="1" t="s">
        <v>12679</v>
      </c>
      <c r="E4128" s="1" t="s">
        <v>12680</v>
      </c>
      <c r="F4128" s="1" t="s">
        <v>85</v>
      </c>
      <c r="G4128" s="1" t="s">
        <v>61</v>
      </c>
      <c r="H4128" s="1" t="s">
        <v>86</v>
      </c>
      <c r="I4128" s="1" t="s">
        <v>16</v>
      </c>
      <c r="J4128" s="1">
        <v>1</v>
      </c>
      <c r="K4128" s="1">
        <v>4</v>
      </c>
      <c r="L4128" s="1" t="s">
        <v>31</v>
      </c>
      <c r="M4128" s="1" t="s">
        <v>105</v>
      </c>
      <c r="N4128" s="1" t="s">
        <v>105</v>
      </c>
      <c r="O4128" s="1">
        <v>3</v>
      </c>
      <c r="P4128" s="1">
        <v>7</v>
      </c>
      <c r="Q4128" s="7" t="s">
        <v>17633</v>
      </c>
      <c r="R4128" s="1" t="s">
        <v>19</v>
      </c>
      <c r="S4128" s="1" t="s">
        <v>20</v>
      </c>
      <c r="T4128" s="1" t="s">
        <v>21</v>
      </c>
      <c r="U4128" s="1" t="s">
        <v>22</v>
      </c>
      <c r="V4128" s="1" t="s">
        <v>23</v>
      </c>
      <c r="W4128" s="1" t="s">
        <v>24</v>
      </c>
      <c r="X4128" s="1">
        <v>2719</v>
      </c>
      <c r="Y4128" s="1">
        <v>2739</v>
      </c>
      <c r="Z4128" s="1">
        <v>2738</v>
      </c>
      <c r="AA4128" s="1">
        <v>3306</v>
      </c>
      <c r="AB4128" s="1">
        <v>2732</v>
      </c>
      <c r="AC4128" s="1" t="s">
        <v>24</v>
      </c>
      <c r="AD4128" s="1" t="s">
        <v>24</v>
      </c>
      <c r="AE4128" s="1" t="s">
        <v>24</v>
      </c>
      <c r="AF4128" s="22"/>
    </row>
    <row r="4129" spans="1:32" x14ac:dyDescent="0.2">
      <c r="A4129" s="1">
        <v>34545</v>
      </c>
      <c r="B4129" s="1" t="s">
        <v>12681</v>
      </c>
      <c r="C4129" s="5" t="s">
        <v>0</v>
      </c>
      <c r="D4129" s="1" t="s">
        <v>12682</v>
      </c>
      <c r="E4129" s="1" t="s">
        <v>12683</v>
      </c>
      <c r="F4129" s="1" t="s">
        <v>296</v>
      </c>
      <c r="G4129" s="1" t="s">
        <v>36</v>
      </c>
      <c r="H4129" s="1" t="s">
        <v>264</v>
      </c>
      <c r="I4129" s="1" t="s">
        <v>16</v>
      </c>
      <c r="J4129" s="1">
        <v>1</v>
      </c>
      <c r="K4129" s="1">
        <v>6</v>
      </c>
      <c r="L4129" s="1" t="s">
        <v>31</v>
      </c>
      <c r="M4129" s="1" t="s">
        <v>18</v>
      </c>
      <c r="N4129" s="1" t="s">
        <v>18</v>
      </c>
      <c r="O4129" s="1">
        <v>3</v>
      </c>
      <c r="P4129" s="1">
        <v>7</v>
      </c>
      <c r="Q4129" s="7" t="s">
        <v>17633</v>
      </c>
      <c r="R4129" s="1" t="s">
        <v>19</v>
      </c>
      <c r="S4129" s="1" t="s">
        <v>20</v>
      </c>
      <c r="T4129" s="1" t="s">
        <v>21</v>
      </c>
      <c r="U4129" s="1" t="s">
        <v>22</v>
      </c>
      <c r="V4129" s="1" t="s">
        <v>23</v>
      </c>
      <c r="W4129" s="1" t="s">
        <v>24</v>
      </c>
      <c r="X4129" s="1">
        <v>2741</v>
      </c>
      <c r="Y4129" s="1">
        <v>2730</v>
      </c>
      <c r="Z4129" s="1" t="s">
        <v>24</v>
      </c>
      <c r="AA4129" s="1" t="s">
        <v>24</v>
      </c>
      <c r="AB4129" s="1" t="s">
        <v>24</v>
      </c>
      <c r="AC4129" s="1" t="s">
        <v>24</v>
      </c>
      <c r="AD4129" s="1" t="s">
        <v>24</v>
      </c>
      <c r="AE4129" s="1" t="s">
        <v>24</v>
      </c>
      <c r="AF4129" s="22"/>
    </row>
    <row r="4130" spans="1:32" x14ac:dyDescent="0.2">
      <c r="A4130" s="1">
        <v>34546</v>
      </c>
      <c r="B4130" s="1" t="s">
        <v>12684</v>
      </c>
      <c r="C4130" s="5" t="s">
        <v>0</v>
      </c>
      <c r="D4130" s="1" t="s">
        <v>12685</v>
      </c>
      <c r="E4130" s="1" t="s">
        <v>12686</v>
      </c>
      <c r="F4130" s="1" t="s">
        <v>91</v>
      </c>
      <c r="G4130" s="1" t="s">
        <v>61</v>
      </c>
      <c r="H4130" s="1" t="s">
        <v>92</v>
      </c>
      <c r="I4130" s="1" t="s">
        <v>16</v>
      </c>
      <c r="J4130" s="1">
        <v>0</v>
      </c>
      <c r="K4130" s="1">
        <v>0</v>
      </c>
      <c r="L4130" s="1" t="s">
        <v>31</v>
      </c>
      <c r="M4130" s="1" t="s">
        <v>18</v>
      </c>
      <c r="N4130" s="1" t="s">
        <v>18</v>
      </c>
      <c r="O4130" s="1">
        <v>3</v>
      </c>
      <c r="P4130" s="1">
        <v>8</v>
      </c>
      <c r="Q4130" s="7" t="s">
        <v>17633</v>
      </c>
      <c r="R4130" s="1" t="s">
        <v>19</v>
      </c>
      <c r="S4130" s="1" t="s">
        <v>63</v>
      </c>
      <c r="T4130" s="1" t="s">
        <v>21</v>
      </c>
      <c r="U4130" s="1" t="s">
        <v>22</v>
      </c>
      <c r="V4130" s="1" t="s">
        <v>24</v>
      </c>
      <c r="W4130" s="1" t="s">
        <v>24</v>
      </c>
      <c r="X4130" s="1">
        <v>1303</v>
      </c>
      <c r="Y4130" s="1">
        <v>1304</v>
      </c>
      <c r="Z4130" s="1">
        <v>1311</v>
      </c>
      <c r="AA4130" s="1">
        <v>1312</v>
      </c>
      <c r="AB4130" s="1">
        <v>1315</v>
      </c>
      <c r="AC4130" s="1" t="s">
        <v>24</v>
      </c>
      <c r="AD4130" s="1" t="s">
        <v>24</v>
      </c>
      <c r="AE4130" s="1" t="s">
        <v>24</v>
      </c>
      <c r="AF4130" s="22"/>
    </row>
    <row r="4131" spans="1:32" x14ac:dyDescent="0.2">
      <c r="A4131" s="1">
        <v>34552</v>
      </c>
      <c r="B4131" s="1" t="s">
        <v>12687</v>
      </c>
      <c r="C4131" s="5" t="s">
        <v>0</v>
      </c>
      <c r="D4131" s="1" t="s">
        <v>12688</v>
      </c>
      <c r="E4131" s="1" t="s">
        <v>12689</v>
      </c>
      <c r="F4131" s="1" t="s">
        <v>2605</v>
      </c>
      <c r="G4131" s="1" t="s">
        <v>2606</v>
      </c>
      <c r="H4131" s="1" t="s">
        <v>30</v>
      </c>
      <c r="I4131" s="1" t="s">
        <v>16</v>
      </c>
      <c r="J4131" s="1">
        <v>2</v>
      </c>
      <c r="K4131" s="1">
        <v>6</v>
      </c>
      <c r="L4131" s="1" t="s">
        <v>42</v>
      </c>
      <c r="M4131" s="1" t="s">
        <v>18</v>
      </c>
      <c r="N4131" s="1" t="s">
        <v>18</v>
      </c>
      <c r="O4131" s="1">
        <v>3</v>
      </c>
      <c r="P4131" s="1">
        <v>7</v>
      </c>
      <c r="Q4131" s="7" t="s">
        <v>17633</v>
      </c>
      <c r="R4131" s="1" t="s">
        <v>19</v>
      </c>
      <c r="S4131" s="1" t="s">
        <v>20</v>
      </c>
      <c r="T4131" s="1" t="s">
        <v>21</v>
      </c>
      <c r="U4131" s="1" t="s">
        <v>22</v>
      </c>
      <c r="V4131" s="1" t="s">
        <v>23</v>
      </c>
      <c r="W4131" s="1" t="s">
        <v>24</v>
      </c>
      <c r="X4131" s="1">
        <v>2728</v>
      </c>
      <c r="Y4131" s="1">
        <v>2746</v>
      </c>
      <c r="Z4131" s="1">
        <v>2735</v>
      </c>
      <c r="AA4131" s="1" t="s">
        <v>24</v>
      </c>
      <c r="AB4131" s="1" t="s">
        <v>24</v>
      </c>
      <c r="AC4131" s="1" t="s">
        <v>24</v>
      </c>
      <c r="AD4131" s="1" t="s">
        <v>24</v>
      </c>
      <c r="AE4131" s="1" t="s">
        <v>24</v>
      </c>
      <c r="AF4131" s="22"/>
    </row>
    <row r="4132" spans="1:32" x14ac:dyDescent="0.2">
      <c r="A4132" s="1">
        <v>34567</v>
      </c>
      <c r="B4132" s="1" t="s">
        <v>12690</v>
      </c>
      <c r="C4132" s="5" t="s">
        <v>0</v>
      </c>
      <c r="D4132" s="1" t="s">
        <v>12691</v>
      </c>
      <c r="E4132" s="1" t="s">
        <v>12692</v>
      </c>
      <c r="F4132" s="1" t="s">
        <v>85</v>
      </c>
      <c r="G4132" s="1" t="s">
        <v>61</v>
      </c>
      <c r="H4132" s="1" t="s">
        <v>86</v>
      </c>
      <c r="I4132" s="1" t="s">
        <v>16</v>
      </c>
      <c r="J4132" s="1">
        <v>1</v>
      </c>
      <c r="K4132" s="1">
        <v>12</v>
      </c>
      <c r="L4132" s="1" t="s">
        <v>31</v>
      </c>
      <c r="M4132" s="1" t="s">
        <v>18</v>
      </c>
      <c r="N4132" s="1" t="s">
        <v>18</v>
      </c>
      <c r="O4132" s="1">
        <v>2</v>
      </c>
      <c r="P4132" s="1">
        <v>6</v>
      </c>
      <c r="R4132" s="1" t="s">
        <v>19</v>
      </c>
      <c r="S4132" s="1" t="s">
        <v>20</v>
      </c>
      <c r="T4132" s="1" t="s">
        <v>21</v>
      </c>
      <c r="U4132" s="1" t="s">
        <v>22</v>
      </c>
      <c r="V4132" s="1" t="s">
        <v>24</v>
      </c>
      <c r="W4132" s="1" t="s">
        <v>24</v>
      </c>
      <c r="X4132" s="1">
        <v>2705</v>
      </c>
      <c r="Y4132" s="1" t="s">
        <v>24</v>
      </c>
      <c r="Z4132" s="1" t="s">
        <v>24</v>
      </c>
      <c r="AA4132" s="1" t="s">
        <v>24</v>
      </c>
      <c r="AB4132" s="1" t="s">
        <v>24</v>
      </c>
      <c r="AC4132" s="1" t="s">
        <v>24</v>
      </c>
      <c r="AD4132" s="1" t="s">
        <v>24</v>
      </c>
      <c r="AE4132" s="1" t="s">
        <v>24</v>
      </c>
      <c r="AF4132" s="22"/>
    </row>
    <row r="4133" spans="1:32" x14ac:dyDescent="0.2">
      <c r="A4133" s="1">
        <v>34599</v>
      </c>
      <c r="B4133" s="1" t="s">
        <v>12693</v>
      </c>
      <c r="C4133" s="5" t="s">
        <v>0</v>
      </c>
      <c r="D4133" s="1" t="s">
        <v>12694</v>
      </c>
      <c r="E4133" s="1" t="s">
        <v>12695</v>
      </c>
      <c r="F4133" s="1" t="s">
        <v>35</v>
      </c>
      <c r="G4133" s="1" t="s">
        <v>36</v>
      </c>
      <c r="H4133" s="1" t="s">
        <v>37</v>
      </c>
      <c r="I4133" s="1" t="s">
        <v>16</v>
      </c>
      <c r="J4133" s="1">
        <v>1</v>
      </c>
      <c r="K4133" s="1">
        <v>6</v>
      </c>
      <c r="L4133" s="1" t="s">
        <v>31</v>
      </c>
      <c r="M4133" s="1" t="s">
        <v>18</v>
      </c>
      <c r="N4133" s="1" t="s">
        <v>18</v>
      </c>
      <c r="O4133" s="1">
        <v>3</v>
      </c>
      <c r="P4133" s="1">
        <v>6</v>
      </c>
      <c r="R4133" s="1" t="s">
        <v>19</v>
      </c>
      <c r="S4133" s="1" t="s">
        <v>20</v>
      </c>
      <c r="T4133" s="1" t="s">
        <v>21</v>
      </c>
      <c r="U4133" s="1" t="s">
        <v>22</v>
      </c>
      <c r="V4133" s="1" t="s">
        <v>24</v>
      </c>
      <c r="W4133" s="1" t="s">
        <v>24</v>
      </c>
      <c r="X4133" s="1">
        <v>2708</v>
      </c>
      <c r="Y4133" s="1">
        <v>2730</v>
      </c>
      <c r="Z4133" s="1">
        <v>1300</v>
      </c>
      <c r="AA4133" s="1" t="s">
        <v>24</v>
      </c>
      <c r="AB4133" s="1" t="s">
        <v>24</v>
      </c>
      <c r="AC4133" s="1" t="s">
        <v>24</v>
      </c>
      <c r="AD4133" s="1" t="s">
        <v>24</v>
      </c>
      <c r="AE4133" s="1" t="s">
        <v>24</v>
      </c>
      <c r="AF4133" s="22"/>
    </row>
    <row r="4134" spans="1:32" x14ac:dyDescent="0.2">
      <c r="A4134" s="1">
        <v>34609</v>
      </c>
      <c r="B4134" s="1" t="s">
        <v>12696</v>
      </c>
      <c r="C4134" s="5" t="s">
        <v>0</v>
      </c>
      <c r="D4134" s="1" t="s">
        <v>12697</v>
      </c>
      <c r="E4134" s="1" t="s">
        <v>12698</v>
      </c>
      <c r="F4134" s="1" t="s">
        <v>1260</v>
      </c>
      <c r="G4134" s="1" t="s">
        <v>130</v>
      </c>
      <c r="H4134" s="1" t="s">
        <v>3228</v>
      </c>
      <c r="I4134" s="1" t="s">
        <v>16</v>
      </c>
      <c r="J4134" s="1">
        <v>1</v>
      </c>
      <c r="K4134" s="1">
        <v>6</v>
      </c>
      <c r="L4134" s="1" t="s">
        <v>31</v>
      </c>
      <c r="M4134" s="1" t="s">
        <v>18</v>
      </c>
      <c r="N4134" s="1" t="s">
        <v>18</v>
      </c>
      <c r="O4134" s="1">
        <v>3</v>
      </c>
      <c r="P4134" s="1">
        <v>7</v>
      </c>
      <c r="Q4134" s="7" t="s">
        <v>17633</v>
      </c>
      <c r="R4134" s="1" t="s">
        <v>19</v>
      </c>
      <c r="S4134" s="1" t="s">
        <v>20</v>
      </c>
      <c r="T4134" s="1" t="s">
        <v>21</v>
      </c>
      <c r="U4134" s="1" t="s">
        <v>22</v>
      </c>
      <c r="V4134" s="1" t="s">
        <v>24</v>
      </c>
      <c r="W4134" s="1" t="s">
        <v>24</v>
      </c>
      <c r="X4134" s="1">
        <v>3004</v>
      </c>
      <c r="Y4134" s="1">
        <v>2736</v>
      </c>
      <c r="Z4134" s="1" t="s">
        <v>24</v>
      </c>
      <c r="AA4134" s="1" t="s">
        <v>24</v>
      </c>
      <c r="AB4134" s="1" t="s">
        <v>24</v>
      </c>
      <c r="AC4134" s="1" t="s">
        <v>24</v>
      </c>
      <c r="AD4134" s="1" t="s">
        <v>24</v>
      </c>
      <c r="AE4134" s="1" t="s">
        <v>24</v>
      </c>
      <c r="AF4134" s="22" t="s">
        <v>17670</v>
      </c>
    </row>
    <row r="4135" spans="1:32" x14ac:dyDescent="0.2">
      <c r="A4135" s="1">
        <v>34617</v>
      </c>
      <c r="B4135" s="1" t="s">
        <v>12699</v>
      </c>
      <c r="C4135" s="5" t="s">
        <v>0</v>
      </c>
      <c r="D4135" s="1" t="s">
        <v>12700</v>
      </c>
      <c r="F4135" s="1" t="s">
        <v>12701</v>
      </c>
      <c r="G4135" s="1" t="s">
        <v>12701</v>
      </c>
      <c r="H4135" s="1" t="s">
        <v>37</v>
      </c>
      <c r="I4135" s="1" t="s">
        <v>16</v>
      </c>
      <c r="J4135" s="1">
        <v>1</v>
      </c>
      <c r="K4135" s="1">
        <v>4</v>
      </c>
      <c r="L4135" s="1" t="s">
        <v>42</v>
      </c>
      <c r="M4135" s="1" t="s">
        <v>18</v>
      </c>
      <c r="N4135" s="1" t="s">
        <v>18</v>
      </c>
      <c r="O4135" s="1">
        <v>3</v>
      </c>
      <c r="P4135" s="1">
        <v>6</v>
      </c>
      <c r="R4135" s="1" t="s">
        <v>19</v>
      </c>
      <c r="S4135" s="1" t="s">
        <v>20</v>
      </c>
      <c r="T4135" s="1" t="s">
        <v>21</v>
      </c>
      <c r="U4135" s="1" t="s">
        <v>22</v>
      </c>
      <c r="V4135" s="1" t="s">
        <v>23</v>
      </c>
      <c r="W4135" s="1" t="s">
        <v>24</v>
      </c>
      <c r="X4135" s="1">
        <v>2738</v>
      </c>
      <c r="Y4135" s="1">
        <v>2739</v>
      </c>
      <c r="Z4135" s="1">
        <v>3203</v>
      </c>
      <c r="AA4135" s="1" t="s">
        <v>24</v>
      </c>
      <c r="AB4135" s="1" t="s">
        <v>24</v>
      </c>
      <c r="AC4135" s="1" t="s">
        <v>24</v>
      </c>
      <c r="AD4135" s="1" t="s">
        <v>24</v>
      </c>
      <c r="AE4135" s="1" t="s">
        <v>24</v>
      </c>
      <c r="AF4135" s="22"/>
    </row>
    <row r="4136" spans="1:32" x14ac:dyDescent="0.2">
      <c r="A4136" s="1">
        <v>34640</v>
      </c>
      <c r="B4136" s="1" t="s">
        <v>12702</v>
      </c>
      <c r="C4136" s="5" t="s">
        <v>0</v>
      </c>
      <c r="E4136" s="1" t="s">
        <v>12703</v>
      </c>
      <c r="F4136" s="1" t="s">
        <v>272</v>
      </c>
      <c r="G4136" s="1" t="s">
        <v>61</v>
      </c>
      <c r="H4136" s="1" t="s">
        <v>30</v>
      </c>
      <c r="I4136" s="1" t="s">
        <v>16</v>
      </c>
      <c r="J4136" s="1">
        <v>1</v>
      </c>
      <c r="K4136" s="1">
        <v>4</v>
      </c>
      <c r="L4136" s="1" t="s">
        <v>31</v>
      </c>
      <c r="M4136" s="1" t="s">
        <v>18</v>
      </c>
      <c r="N4136" s="1" t="s">
        <v>18</v>
      </c>
      <c r="O4136" s="1">
        <v>3</v>
      </c>
      <c r="P4136" s="1">
        <v>7</v>
      </c>
      <c r="Q4136" s="7" t="s">
        <v>17633</v>
      </c>
      <c r="R4136" s="1" t="s">
        <v>19</v>
      </c>
      <c r="S4136" s="1" t="s">
        <v>20</v>
      </c>
      <c r="T4136" s="1" t="s">
        <v>21</v>
      </c>
      <c r="U4136" s="1" t="s">
        <v>22</v>
      </c>
      <c r="V4136" s="1" t="s">
        <v>23</v>
      </c>
      <c r="W4136" s="1" t="s">
        <v>24</v>
      </c>
      <c r="X4136" s="1">
        <v>2700</v>
      </c>
      <c r="Y4136" s="1">
        <v>2739</v>
      </c>
      <c r="Z4136" s="1" t="s">
        <v>24</v>
      </c>
      <c r="AA4136" s="1" t="s">
        <v>24</v>
      </c>
      <c r="AB4136" s="1" t="s">
        <v>24</v>
      </c>
      <c r="AC4136" s="1" t="s">
        <v>24</v>
      </c>
      <c r="AD4136" s="1" t="s">
        <v>24</v>
      </c>
      <c r="AE4136" s="1" t="s">
        <v>24</v>
      </c>
      <c r="AF4136" s="22"/>
    </row>
    <row r="4137" spans="1:32" x14ac:dyDescent="0.2">
      <c r="A4137" s="1">
        <v>34641</v>
      </c>
      <c r="B4137" s="1" t="s">
        <v>12704</v>
      </c>
      <c r="C4137" s="5" t="s">
        <v>0</v>
      </c>
      <c r="D4137" s="1" t="s">
        <v>12705</v>
      </c>
      <c r="E4137" s="1" t="s">
        <v>12706</v>
      </c>
      <c r="F4137" s="1" t="s">
        <v>272</v>
      </c>
      <c r="G4137" s="1" t="s">
        <v>61</v>
      </c>
      <c r="H4137" s="1" t="s">
        <v>30</v>
      </c>
      <c r="I4137" s="1" t="s">
        <v>16</v>
      </c>
      <c r="J4137" s="1">
        <v>1</v>
      </c>
      <c r="K4137" s="1">
        <v>6</v>
      </c>
      <c r="L4137" s="1" t="s">
        <v>31</v>
      </c>
      <c r="M4137" s="1" t="s">
        <v>18</v>
      </c>
      <c r="N4137" s="1" t="s">
        <v>18</v>
      </c>
      <c r="O4137" s="1">
        <v>3</v>
      </c>
      <c r="P4137" s="1">
        <v>7</v>
      </c>
      <c r="Q4137" s="7" t="s">
        <v>17633</v>
      </c>
      <c r="R4137" s="1" t="s">
        <v>19</v>
      </c>
      <c r="S4137" s="1" t="s">
        <v>20</v>
      </c>
      <c r="T4137" s="1" t="s">
        <v>21</v>
      </c>
      <c r="U4137" s="1" t="s">
        <v>22</v>
      </c>
      <c r="V4137" s="1" t="s">
        <v>23</v>
      </c>
      <c r="W4137" s="1" t="s">
        <v>24</v>
      </c>
      <c r="X4137" s="1">
        <v>2705</v>
      </c>
      <c r="Y4137" s="1">
        <v>2741</v>
      </c>
      <c r="Z4137" s="1" t="s">
        <v>24</v>
      </c>
      <c r="AA4137" s="1" t="s">
        <v>24</v>
      </c>
      <c r="AB4137" s="1" t="s">
        <v>24</v>
      </c>
      <c r="AC4137" s="1" t="s">
        <v>24</v>
      </c>
      <c r="AD4137" s="1" t="s">
        <v>24</v>
      </c>
      <c r="AE4137" s="1" t="s">
        <v>24</v>
      </c>
      <c r="AF4137" s="22"/>
    </row>
    <row r="4138" spans="1:32" x14ac:dyDescent="0.2">
      <c r="A4138" s="1">
        <v>34642</v>
      </c>
      <c r="B4138" s="1" t="s">
        <v>12707</v>
      </c>
      <c r="C4138" s="5" t="s">
        <v>0</v>
      </c>
      <c r="D4138" s="1" t="s">
        <v>12708</v>
      </c>
      <c r="E4138" s="1" t="s">
        <v>12709</v>
      </c>
      <c r="F4138" s="1" t="s">
        <v>272</v>
      </c>
      <c r="G4138" s="1" t="s">
        <v>61</v>
      </c>
      <c r="H4138" s="1" t="s">
        <v>30</v>
      </c>
      <c r="I4138" s="1" t="s">
        <v>16</v>
      </c>
      <c r="J4138" s="1">
        <v>1</v>
      </c>
      <c r="K4138" s="1">
        <v>6</v>
      </c>
      <c r="L4138" s="1" t="s">
        <v>31</v>
      </c>
      <c r="M4138" s="1" t="s">
        <v>18</v>
      </c>
      <c r="N4138" s="1" t="s">
        <v>18</v>
      </c>
      <c r="O4138" s="1">
        <v>3</v>
      </c>
      <c r="P4138" s="1">
        <v>7</v>
      </c>
      <c r="Q4138" s="7" t="s">
        <v>17633</v>
      </c>
      <c r="R4138" s="1" t="s">
        <v>19</v>
      </c>
      <c r="S4138" s="1" t="s">
        <v>20</v>
      </c>
      <c r="T4138" s="1" t="s">
        <v>21</v>
      </c>
      <c r="U4138" s="1" t="s">
        <v>22</v>
      </c>
      <c r="V4138" s="1" t="s">
        <v>23</v>
      </c>
      <c r="W4138" s="1" t="s">
        <v>24</v>
      </c>
      <c r="X4138" s="1">
        <v>2705</v>
      </c>
      <c r="Y4138" s="1" t="s">
        <v>24</v>
      </c>
      <c r="Z4138" s="1" t="s">
        <v>24</v>
      </c>
      <c r="AA4138" s="1" t="s">
        <v>24</v>
      </c>
      <c r="AB4138" s="1" t="s">
        <v>24</v>
      </c>
      <c r="AC4138" s="1" t="s">
        <v>24</v>
      </c>
      <c r="AD4138" s="1" t="s">
        <v>24</v>
      </c>
      <c r="AE4138" s="1" t="s">
        <v>24</v>
      </c>
      <c r="AF4138" s="22"/>
    </row>
    <row r="4139" spans="1:32" x14ac:dyDescent="0.2">
      <c r="A4139" s="1">
        <v>34644</v>
      </c>
      <c r="B4139" s="1" t="s">
        <v>12710</v>
      </c>
      <c r="C4139" s="5" t="s">
        <v>0</v>
      </c>
      <c r="D4139" s="1" t="s">
        <v>12711</v>
      </c>
      <c r="E4139" s="1" t="s">
        <v>12712</v>
      </c>
      <c r="F4139" s="1" t="s">
        <v>155</v>
      </c>
      <c r="G4139" s="1" t="s">
        <v>61</v>
      </c>
      <c r="H4139" s="1" t="s">
        <v>37</v>
      </c>
      <c r="I4139" s="1" t="s">
        <v>16</v>
      </c>
      <c r="J4139" s="1">
        <v>1</v>
      </c>
      <c r="K4139" s="1">
        <v>1</v>
      </c>
      <c r="L4139" s="1" t="s">
        <v>31</v>
      </c>
      <c r="M4139" s="1" t="s">
        <v>18</v>
      </c>
      <c r="N4139" s="1" t="s">
        <v>18</v>
      </c>
      <c r="O4139" s="1">
        <v>3</v>
      </c>
      <c r="P4139" s="1">
        <v>7</v>
      </c>
      <c r="Q4139" s="7" t="s">
        <v>17633</v>
      </c>
      <c r="R4139" s="1" t="s">
        <v>19</v>
      </c>
      <c r="S4139" s="1" t="s">
        <v>63</v>
      </c>
      <c r="T4139" s="1" t="s">
        <v>21</v>
      </c>
      <c r="U4139" s="1" t="s">
        <v>22</v>
      </c>
      <c r="V4139" s="1" t="s">
        <v>24</v>
      </c>
      <c r="W4139" s="1" t="s">
        <v>64</v>
      </c>
      <c r="X4139" s="1">
        <v>1110</v>
      </c>
      <c r="Y4139" s="1">
        <v>1102</v>
      </c>
      <c r="Z4139" s="1">
        <v>1303</v>
      </c>
      <c r="AA4139" s="1">
        <v>1305</v>
      </c>
      <c r="AB4139" s="1" t="s">
        <v>24</v>
      </c>
      <c r="AC4139" s="1" t="s">
        <v>24</v>
      </c>
      <c r="AD4139" s="1" t="s">
        <v>24</v>
      </c>
      <c r="AE4139" s="1" t="s">
        <v>24</v>
      </c>
      <c r="AF4139" s="22"/>
    </row>
    <row r="4140" spans="1:32" x14ac:dyDescent="0.2">
      <c r="A4140" s="1">
        <v>34647</v>
      </c>
      <c r="B4140" s="1" t="s">
        <v>12713</v>
      </c>
      <c r="C4140" s="5" t="s">
        <v>0</v>
      </c>
      <c r="D4140" s="1" t="s">
        <v>12714</v>
      </c>
      <c r="E4140" s="1" t="s">
        <v>12715</v>
      </c>
      <c r="F4140" s="1" t="s">
        <v>155</v>
      </c>
      <c r="G4140" s="1" t="s">
        <v>61</v>
      </c>
      <c r="H4140" s="1" t="s">
        <v>37</v>
      </c>
      <c r="I4140" s="1" t="s">
        <v>16</v>
      </c>
      <c r="J4140" s="1">
        <v>1</v>
      </c>
      <c r="K4140" s="1">
        <v>6</v>
      </c>
      <c r="L4140" s="1" t="s">
        <v>31</v>
      </c>
      <c r="M4140" s="1" t="s">
        <v>18</v>
      </c>
      <c r="N4140" s="1" t="s">
        <v>18</v>
      </c>
      <c r="O4140" s="1">
        <v>3</v>
      </c>
      <c r="P4140" s="1">
        <v>6</v>
      </c>
      <c r="R4140" s="1" t="s">
        <v>19</v>
      </c>
      <c r="S4140" s="1" t="s">
        <v>20</v>
      </c>
      <c r="T4140" s="1" t="s">
        <v>21</v>
      </c>
      <c r="U4140" s="1" t="s">
        <v>22</v>
      </c>
      <c r="V4140" s="1" t="s">
        <v>24</v>
      </c>
      <c r="W4140" s="1" t="s">
        <v>24</v>
      </c>
      <c r="X4140" s="1">
        <v>2734</v>
      </c>
      <c r="Y4140" s="1">
        <v>2722</v>
      </c>
      <c r="Z4140" s="1" t="s">
        <v>24</v>
      </c>
      <c r="AA4140" s="1" t="s">
        <v>24</v>
      </c>
      <c r="AB4140" s="1" t="s">
        <v>24</v>
      </c>
      <c r="AC4140" s="1" t="s">
        <v>24</v>
      </c>
      <c r="AD4140" s="1" t="s">
        <v>24</v>
      </c>
      <c r="AE4140" s="1" t="s">
        <v>24</v>
      </c>
      <c r="AF4140" s="22"/>
    </row>
    <row r="4141" spans="1:32" x14ac:dyDescent="0.2">
      <c r="A4141" s="1">
        <v>34649</v>
      </c>
      <c r="B4141" s="1" t="s">
        <v>12716</v>
      </c>
      <c r="C4141" s="5" t="s">
        <v>0</v>
      </c>
      <c r="D4141" s="1" t="s">
        <v>12717</v>
      </c>
      <c r="E4141" s="1" t="s">
        <v>12718</v>
      </c>
      <c r="F4141" s="1" t="s">
        <v>4337</v>
      </c>
      <c r="G4141" s="1" t="s">
        <v>4338</v>
      </c>
      <c r="H4141" s="1" t="s">
        <v>30</v>
      </c>
      <c r="I4141" s="1" t="s">
        <v>16</v>
      </c>
      <c r="J4141" s="1">
        <v>1</v>
      </c>
      <c r="K4141" s="1">
        <v>12</v>
      </c>
      <c r="L4141" s="1" t="s">
        <v>31</v>
      </c>
      <c r="M4141" s="1" t="s">
        <v>18</v>
      </c>
      <c r="N4141" s="1" t="s">
        <v>18</v>
      </c>
      <c r="O4141" s="1">
        <v>3</v>
      </c>
      <c r="P4141" s="1">
        <v>7</v>
      </c>
      <c r="Q4141" s="7" t="s">
        <v>17633</v>
      </c>
      <c r="R4141" s="1" t="s">
        <v>62</v>
      </c>
      <c r="S4141" s="1" t="s">
        <v>20</v>
      </c>
      <c r="T4141" s="1" t="s">
        <v>21</v>
      </c>
      <c r="U4141" s="1" t="s">
        <v>22</v>
      </c>
      <c r="V4141" s="1" t="s">
        <v>24</v>
      </c>
      <c r="W4141" s="1" t="s">
        <v>24</v>
      </c>
      <c r="X4141" s="1">
        <v>1502</v>
      </c>
      <c r="Y4141" s="1">
        <v>1303</v>
      </c>
      <c r="Z4141" s="1">
        <v>2204</v>
      </c>
      <c r="AA4141" s="1">
        <v>2502</v>
      </c>
      <c r="AB4141" s="1" t="s">
        <v>24</v>
      </c>
      <c r="AC4141" s="1" t="s">
        <v>24</v>
      </c>
      <c r="AD4141" s="1" t="s">
        <v>24</v>
      </c>
      <c r="AE4141" s="1" t="s">
        <v>24</v>
      </c>
      <c r="AF4141" s="22"/>
    </row>
    <row r="4142" spans="1:32" x14ac:dyDescent="0.2">
      <c r="A4142" s="1">
        <v>34650</v>
      </c>
      <c r="B4142" s="1" t="s">
        <v>12719</v>
      </c>
      <c r="C4142" s="5" t="s">
        <v>0</v>
      </c>
      <c r="D4142" s="1" t="s">
        <v>12720</v>
      </c>
      <c r="E4142" s="1" t="s">
        <v>12721</v>
      </c>
      <c r="F4142" s="1" t="s">
        <v>4337</v>
      </c>
      <c r="G4142" s="1" t="s">
        <v>4338</v>
      </c>
      <c r="H4142" s="1" t="s">
        <v>30</v>
      </c>
      <c r="I4142" s="1" t="s">
        <v>16</v>
      </c>
      <c r="J4142" s="1">
        <v>1</v>
      </c>
      <c r="K4142" s="1">
        <v>4</v>
      </c>
      <c r="L4142" s="1" t="s">
        <v>31</v>
      </c>
      <c r="M4142" s="1" t="s">
        <v>18</v>
      </c>
      <c r="N4142" s="1" t="s">
        <v>18</v>
      </c>
      <c r="O4142" s="1">
        <v>3</v>
      </c>
      <c r="P4142" s="1">
        <v>7</v>
      </c>
      <c r="Q4142" s="7" t="s">
        <v>17633</v>
      </c>
      <c r="R4142" s="1" t="s">
        <v>62</v>
      </c>
      <c r="S4142" s="1" t="s">
        <v>20</v>
      </c>
      <c r="T4142" s="1" t="s">
        <v>21</v>
      </c>
      <c r="U4142" s="1" t="s">
        <v>22</v>
      </c>
      <c r="V4142" s="1" t="s">
        <v>24</v>
      </c>
      <c r="W4142" s="1" t="s">
        <v>24</v>
      </c>
      <c r="X4142" s="1">
        <v>2204</v>
      </c>
      <c r="Y4142" s="1">
        <v>2502</v>
      </c>
      <c r="Z4142" s="1">
        <v>1502</v>
      </c>
      <c r="AA4142" s="1">
        <v>1303</v>
      </c>
      <c r="AB4142" s="1" t="s">
        <v>24</v>
      </c>
      <c r="AC4142" s="1" t="s">
        <v>24</v>
      </c>
      <c r="AD4142" s="1" t="s">
        <v>24</v>
      </c>
      <c r="AE4142" s="1" t="s">
        <v>24</v>
      </c>
      <c r="AF4142" s="22"/>
    </row>
    <row r="4143" spans="1:32" x14ac:dyDescent="0.2">
      <c r="A4143" s="1">
        <v>34651</v>
      </c>
      <c r="B4143" s="5" t="s">
        <v>12722</v>
      </c>
      <c r="C4143" s="5" t="s">
        <v>50553</v>
      </c>
      <c r="D4143" s="1" t="s">
        <v>12723</v>
      </c>
      <c r="E4143" s="1" t="s">
        <v>12724</v>
      </c>
      <c r="F4143" s="1" t="s">
        <v>4337</v>
      </c>
      <c r="G4143" s="1" t="s">
        <v>4338</v>
      </c>
      <c r="H4143" s="1" t="s">
        <v>30</v>
      </c>
      <c r="I4143" s="1" t="s">
        <v>16</v>
      </c>
      <c r="J4143" s="5">
        <v>1</v>
      </c>
      <c r="K4143" s="1">
        <v>4</v>
      </c>
      <c r="L4143" s="1" t="s">
        <v>31</v>
      </c>
      <c r="M4143" s="1" t="s">
        <v>18</v>
      </c>
      <c r="N4143" s="5" t="s">
        <v>18</v>
      </c>
      <c r="O4143" s="5">
        <v>3</v>
      </c>
      <c r="P4143" s="5">
        <v>7</v>
      </c>
      <c r="Q4143" s="5" t="s">
        <v>17633</v>
      </c>
      <c r="R4143" s="5" t="s">
        <v>19</v>
      </c>
      <c r="S4143" s="1" t="s">
        <v>20</v>
      </c>
      <c r="T4143" s="5" t="s">
        <v>21</v>
      </c>
      <c r="U4143" s="5"/>
      <c r="V4143" s="5"/>
      <c r="W4143" s="5"/>
      <c r="X4143" s="5">
        <v>1502</v>
      </c>
      <c r="Y4143" s="5">
        <v>2203</v>
      </c>
      <c r="Z4143" s="1">
        <v>2701</v>
      </c>
      <c r="AF4143" s="22"/>
    </row>
    <row r="4144" spans="1:32" x14ac:dyDescent="0.2">
      <c r="A4144" s="1">
        <v>34672</v>
      </c>
      <c r="B4144" s="1" t="s">
        <v>12725</v>
      </c>
      <c r="C4144" s="5" t="s">
        <v>0</v>
      </c>
      <c r="D4144" s="1" t="s">
        <v>12726</v>
      </c>
      <c r="E4144" s="1" t="s">
        <v>12727</v>
      </c>
      <c r="F4144" s="1" t="s">
        <v>91</v>
      </c>
      <c r="G4144" s="1" t="s">
        <v>61</v>
      </c>
      <c r="H4144" s="1" t="s">
        <v>92</v>
      </c>
      <c r="I4144" s="1" t="s">
        <v>16</v>
      </c>
      <c r="J4144" s="1">
        <v>1</v>
      </c>
      <c r="K4144" s="1">
        <v>6</v>
      </c>
      <c r="L4144" s="1" t="s">
        <v>31</v>
      </c>
      <c r="M4144" s="1" t="s">
        <v>18</v>
      </c>
      <c r="N4144" s="1" t="s">
        <v>18</v>
      </c>
      <c r="O4144" s="1">
        <v>3</v>
      </c>
      <c r="P4144" s="1">
        <v>7</v>
      </c>
      <c r="Q4144" s="7" t="s">
        <v>17633</v>
      </c>
      <c r="R4144" s="1" t="s">
        <v>19</v>
      </c>
      <c r="S4144" s="1" t="s">
        <v>63</v>
      </c>
      <c r="T4144" s="1" t="s">
        <v>21</v>
      </c>
      <c r="U4144" s="1" t="s">
        <v>22</v>
      </c>
      <c r="V4144" s="1" t="s">
        <v>24</v>
      </c>
      <c r="W4144" s="1" t="s">
        <v>24</v>
      </c>
      <c r="X4144" s="1">
        <v>1305</v>
      </c>
      <c r="Y4144" s="1">
        <v>1312</v>
      </c>
      <c r="Z4144" s="1">
        <v>1502</v>
      </c>
      <c r="AA4144" s="1" t="s">
        <v>24</v>
      </c>
      <c r="AB4144" s="1" t="s">
        <v>24</v>
      </c>
      <c r="AC4144" s="1" t="s">
        <v>24</v>
      </c>
      <c r="AD4144" s="1" t="s">
        <v>24</v>
      </c>
      <c r="AE4144" s="1" t="s">
        <v>24</v>
      </c>
      <c r="AF4144" s="22"/>
    </row>
    <row r="4145" spans="1:32" x14ac:dyDescent="0.2">
      <c r="A4145" s="1">
        <v>34673</v>
      </c>
      <c r="B4145" s="1" t="s">
        <v>12728</v>
      </c>
      <c r="C4145" s="5" t="s">
        <v>0</v>
      </c>
      <c r="D4145" s="1" t="s">
        <v>12729</v>
      </c>
      <c r="E4145" s="1" t="s">
        <v>12730</v>
      </c>
      <c r="F4145" s="1" t="s">
        <v>91</v>
      </c>
      <c r="G4145" s="1" t="s">
        <v>61</v>
      </c>
      <c r="H4145" s="1" t="s">
        <v>92</v>
      </c>
      <c r="I4145" s="1" t="s">
        <v>16</v>
      </c>
      <c r="J4145" s="1">
        <v>1</v>
      </c>
      <c r="K4145" s="1">
        <v>6</v>
      </c>
      <c r="L4145" s="1" t="s">
        <v>31</v>
      </c>
      <c r="M4145" s="1" t="s">
        <v>18</v>
      </c>
      <c r="N4145" s="1" t="s">
        <v>18</v>
      </c>
      <c r="O4145" s="1">
        <v>3</v>
      </c>
      <c r="P4145" s="1">
        <v>7</v>
      </c>
      <c r="Q4145" s="7" t="s">
        <v>17633</v>
      </c>
      <c r="R4145" s="1" t="s">
        <v>19</v>
      </c>
      <c r="S4145" s="1" t="s">
        <v>63</v>
      </c>
      <c r="T4145" s="1" t="s">
        <v>21</v>
      </c>
      <c r="U4145" s="1" t="s">
        <v>22</v>
      </c>
      <c r="V4145" s="1" t="s">
        <v>24</v>
      </c>
      <c r="W4145" s="1" t="s">
        <v>24</v>
      </c>
      <c r="X4145" s="1">
        <v>1303</v>
      </c>
      <c r="Y4145" s="1">
        <v>1304</v>
      </c>
      <c r="Z4145" s="1" t="s">
        <v>24</v>
      </c>
      <c r="AA4145" s="1" t="s">
        <v>24</v>
      </c>
      <c r="AB4145" s="1" t="s">
        <v>24</v>
      </c>
      <c r="AC4145" s="1" t="s">
        <v>24</v>
      </c>
      <c r="AD4145" s="1" t="s">
        <v>24</v>
      </c>
      <c r="AE4145" s="1" t="s">
        <v>24</v>
      </c>
      <c r="AF4145" s="22"/>
    </row>
    <row r="4146" spans="1:32" x14ac:dyDescent="0.2">
      <c r="A4146" s="1">
        <v>34675</v>
      </c>
      <c r="B4146" s="1" t="s">
        <v>12731</v>
      </c>
      <c r="C4146" s="5" t="s">
        <v>0</v>
      </c>
      <c r="D4146" s="1" t="s">
        <v>12732</v>
      </c>
      <c r="E4146" s="1" t="s">
        <v>12733</v>
      </c>
      <c r="F4146" s="1" t="s">
        <v>109</v>
      </c>
      <c r="G4146" s="1" t="s">
        <v>110</v>
      </c>
      <c r="H4146" s="1" t="s">
        <v>111</v>
      </c>
      <c r="I4146" s="1" t="s">
        <v>112</v>
      </c>
      <c r="J4146" s="1">
        <v>0</v>
      </c>
      <c r="K4146" s="1">
        <v>0</v>
      </c>
      <c r="L4146" s="1" t="s">
        <v>31</v>
      </c>
      <c r="M4146" s="1" t="s">
        <v>18</v>
      </c>
      <c r="N4146" s="1" t="s">
        <v>18</v>
      </c>
      <c r="O4146" s="1">
        <v>3</v>
      </c>
      <c r="P4146" s="1">
        <v>7</v>
      </c>
      <c r="Q4146" s="7" t="s">
        <v>17633</v>
      </c>
      <c r="R4146" s="1" t="s">
        <v>19</v>
      </c>
      <c r="S4146" s="1" t="s">
        <v>20</v>
      </c>
      <c r="T4146" s="1" t="s">
        <v>21</v>
      </c>
      <c r="U4146" s="1" t="s">
        <v>22</v>
      </c>
      <c r="V4146" s="1" t="s">
        <v>24</v>
      </c>
      <c r="W4146" s="1" t="s">
        <v>24</v>
      </c>
      <c r="X4146" s="1">
        <v>2730</v>
      </c>
      <c r="Y4146" s="1">
        <v>1306</v>
      </c>
      <c r="Z4146" s="1" t="s">
        <v>24</v>
      </c>
      <c r="AA4146" s="1" t="s">
        <v>24</v>
      </c>
      <c r="AB4146" s="1" t="s">
        <v>24</v>
      </c>
      <c r="AC4146" s="1" t="s">
        <v>24</v>
      </c>
      <c r="AD4146" s="1" t="s">
        <v>24</v>
      </c>
      <c r="AE4146" s="1" t="s">
        <v>24</v>
      </c>
      <c r="AF4146" s="22"/>
    </row>
    <row r="4147" spans="1:32" x14ac:dyDescent="0.2">
      <c r="A4147" s="1">
        <v>34676</v>
      </c>
      <c r="B4147" s="1" t="s">
        <v>12734</v>
      </c>
      <c r="C4147" s="5" t="s">
        <v>0</v>
      </c>
      <c r="D4147" s="1" t="s">
        <v>12735</v>
      </c>
      <c r="E4147" s="1" t="s">
        <v>12736</v>
      </c>
      <c r="F4147" s="1" t="s">
        <v>109</v>
      </c>
      <c r="G4147" s="1" t="s">
        <v>110</v>
      </c>
      <c r="H4147" s="1" t="s">
        <v>111</v>
      </c>
      <c r="I4147" s="1" t="s">
        <v>112</v>
      </c>
      <c r="J4147" s="1">
        <v>0</v>
      </c>
      <c r="K4147" s="1">
        <v>0</v>
      </c>
      <c r="L4147" s="1" t="s">
        <v>31</v>
      </c>
      <c r="M4147" s="1" t="s">
        <v>18</v>
      </c>
      <c r="N4147" s="1" t="s">
        <v>18</v>
      </c>
      <c r="O4147" s="1">
        <v>3</v>
      </c>
      <c r="P4147" s="1">
        <v>7</v>
      </c>
      <c r="Q4147" s="7" t="s">
        <v>17633</v>
      </c>
      <c r="R4147" s="1" t="s">
        <v>19</v>
      </c>
      <c r="S4147" s="1" t="s">
        <v>20</v>
      </c>
      <c r="T4147" s="1" t="s">
        <v>21</v>
      </c>
      <c r="U4147" s="1" t="s">
        <v>22</v>
      </c>
      <c r="V4147" s="1" t="s">
        <v>24</v>
      </c>
      <c r="W4147" s="1" t="s">
        <v>24</v>
      </c>
      <c r="X4147" s="1">
        <v>2403</v>
      </c>
      <c r="Y4147" s="1">
        <v>2723</v>
      </c>
      <c r="Z4147" s="1">
        <v>1300</v>
      </c>
      <c r="AA4147" s="1" t="s">
        <v>24</v>
      </c>
      <c r="AB4147" s="1" t="s">
        <v>24</v>
      </c>
      <c r="AC4147" s="1" t="s">
        <v>24</v>
      </c>
      <c r="AD4147" s="1" t="s">
        <v>24</v>
      </c>
      <c r="AE4147" s="1" t="s">
        <v>24</v>
      </c>
      <c r="AF4147" s="22"/>
    </row>
    <row r="4148" spans="1:32" x14ac:dyDescent="0.2">
      <c r="A4148" s="1">
        <v>34678</v>
      </c>
      <c r="B4148" s="1" t="s">
        <v>12737</v>
      </c>
      <c r="C4148" s="5" t="s">
        <v>0</v>
      </c>
      <c r="D4148" s="1" t="s">
        <v>12738</v>
      </c>
      <c r="E4148" s="1" t="s">
        <v>12739</v>
      </c>
      <c r="F4148" s="1" t="s">
        <v>109</v>
      </c>
      <c r="G4148" s="1" t="s">
        <v>110</v>
      </c>
      <c r="H4148" s="1" t="s">
        <v>111</v>
      </c>
      <c r="I4148" s="1" t="s">
        <v>112</v>
      </c>
      <c r="J4148" s="1">
        <v>0</v>
      </c>
      <c r="K4148" s="1">
        <v>0</v>
      </c>
      <c r="L4148" s="1" t="s">
        <v>31</v>
      </c>
      <c r="M4148" s="1" t="s">
        <v>18</v>
      </c>
      <c r="N4148" s="1" t="s">
        <v>18</v>
      </c>
      <c r="O4148" s="1">
        <v>3</v>
      </c>
      <c r="P4148" s="1">
        <v>7</v>
      </c>
      <c r="Q4148" s="7" t="s">
        <v>17633</v>
      </c>
      <c r="R4148" s="1" t="s">
        <v>19</v>
      </c>
      <c r="S4148" s="1" t="s">
        <v>20</v>
      </c>
      <c r="T4148" s="1" t="s">
        <v>21</v>
      </c>
      <c r="U4148" s="1" t="s">
        <v>22</v>
      </c>
      <c r="V4148" s="1" t="s">
        <v>24</v>
      </c>
      <c r="W4148" s="1" t="s">
        <v>24</v>
      </c>
      <c r="X4148" s="1">
        <v>2712</v>
      </c>
      <c r="Y4148" s="1">
        <v>2735</v>
      </c>
      <c r="Z4148" s="1">
        <v>1310</v>
      </c>
      <c r="AA4148" s="1">
        <v>2807</v>
      </c>
      <c r="AB4148" s="1" t="s">
        <v>24</v>
      </c>
      <c r="AC4148" s="1" t="s">
        <v>24</v>
      </c>
      <c r="AD4148" s="1" t="s">
        <v>24</v>
      </c>
      <c r="AE4148" s="1" t="s">
        <v>24</v>
      </c>
      <c r="AF4148" s="22"/>
    </row>
    <row r="4149" spans="1:32" x14ac:dyDescent="0.2">
      <c r="A4149" s="1">
        <v>34679</v>
      </c>
      <c r="B4149" s="1" t="s">
        <v>12740</v>
      </c>
      <c r="C4149" s="5" t="s">
        <v>0</v>
      </c>
      <c r="D4149" s="1" t="s">
        <v>12741</v>
      </c>
      <c r="E4149" s="1" t="s">
        <v>12742</v>
      </c>
      <c r="F4149" s="1" t="s">
        <v>109</v>
      </c>
      <c r="G4149" s="1" t="s">
        <v>110</v>
      </c>
      <c r="H4149" s="1" t="s">
        <v>111</v>
      </c>
      <c r="I4149" s="1" t="s">
        <v>112</v>
      </c>
      <c r="J4149" s="1">
        <v>0</v>
      </c>
      <c r="K4149" s="1">
        <v>0</v>
      </c>
      <c r="L4149" s="1" t="s">
        <v>31</v>
      </c>
      <c r="M4149" s="1" t="s">
        <v>18</v>
      </c>
      <c r="N4149" s="1" t="s">
        <v>18</v>
      </c>
      <c r="O4149" s="1">
        <v>3</v>
      </c>
      <c r="P4149" s="1">
        <v>7</v>
      </c>
      <c r="Q4149" s="7" t="s">
        <v>17633</v>
      </c>
      <c r="R4149" s="1" t="s">
        <v>19</v>
      </c>
      <c r="S4149" s="1" t="s">
        <v>20</v>
      </c>
      <c r="T4149" s="1" t="s">
        <v>21</v>
      </c>
      <c r="U4149" s="1" t="s">
        <v>22</v>
      </c>
      <c r="V4149" s="1" t="s">
        <v>24</v>
      </c>
      <c r="W4149" s="1" t="s">
        <v>24</v>
      </c>
      <c r="X4149" s="1">
        <v>2712</v>
      </c>
      <c r="Y4149" s="1">
        <v>1310</v>
      </c>
      <c r="Z4149" s="1">
        <v>2724</v>
      </c>
      <c r="AA4149" s="1" t="s">
        <v>24</v>
      </c>
      <c r="AB4149" s="1" t="s">
        <v>24</v>
      </c>
      <c r="AC4149" s="1" t="s">
        <v>24</v>
      </c>
      <c r="AD4149" s="1" t="s">
        <v>24</v>
      </c>
      <c r="AE4149" s="1" t="s">
        <v>24</v>
      </c>
      <c r="AF4149" s="22"/>
    </row>
    <row r="4150" spans="1:32" x14ac:dyDescent="0.2">
      <c r="A4150" s="1">
        <v>34703</v>
      </c>
      <c r="B4150" s="1" t="s">
        <v>12743</v>
      </c>
      <c r="C4150" s="5" t="s">
        <v>0</v>
      </c>
      <c r="D4150" s="1" t="s">
        <v>12744</v>
      </c>
      <c r="E4150" s="1" t="s">
        <v>12745</v>
      </c>
      <c r="F4150" s="1" t="s">
        <v>7866</v>
      </c>
      <c r="G4150" s="1" t="s">
        <v>7866</v>
      </c>
      <c r="H4150" s="1" t="s">
        <v>131</v>
      </c>
      <c r="I4150" s="1" t="s">
        <v>16</v>
      </c>
      <c r="J4150" s="1">
        <v>1</v>
      </c>
      <c r="K4150" s="1">
        <v>4</v>
      </c>
      <c r="L4150" s="1" t="s">
        <v>42</v>
      </c>
      <c r="M4150" s="1" t="s">
        <v>413</v>
      </c>
      <c r="N4150" s="1" t="s">
        <v>413</v>
      </c>
      <c r="O4150" s="1">
        <v>1</v>
      </c>
      <c r="P4150" s="1">
        <v>5</v>
      </c>
      <c r="R4150" s="1" t="s">
        <v>19</v>
      </c>
      <c r="S4150" s="1" t="s">
        <v>20</v>
      </c>
      <c r="T4150" s="1" t="s">
        <v>21</v>
      </c>
      <c r="U4150" s="1" t="s">
        <v>22</v>
      </c>
      <c r="V4150" s="1" t="s">
        <v>23</v>
      </c>
      <c r="W4150" s="1" t="s">
        <v>24</v>
      </c>
      <c r="X4150" s="1">
        <v>2729</v>
      </c>
      <c r="Y4150" s="1">
        <v>2743</v>
      </c>
      <c r="Z4150" s="1">
        <v>2712</v>
      </c>
      <c r="AA4150" s="1" t="s">
        <v>24</v>
      </c>
      <c r="AB4150" s="1" t="s">
        <v>24</v>
      </c>
      <c r="AC4150" s="1" t="s">
        <v>24</v>
      </c>
      <c r="AD4150" s="1" t="s">
        <v>24</v>
      </c>
      <c r="AE4150" s="1" t="s">
        <v>24</v>
      </c>
      <c r="AF4150" s="22"/>
    </row>
    <row r="4151" spans="1:32" x14ac:dyDescent="0.2">
      <c r="A4151" s="1">
        <v>34704</v>
      </c>
      <c r="B4151" s="1" t="s">
        <v>12746</v>
      </c>
      <c r="C4151" s="5" t="s">
        <v>0</v>
      </c>
      <c r="D4151" s="1" t="s">
        <v>12747</v>
      </c>
      <c r="E4151" s="1" t="s">
        <v>12748</v>
      </c>
      <c r="F4151" s="1" t="s">
        <v>651</v>
      </c>
      <c r="G4151" s="1" t="s">
        <v>36</v>
      </c>
      <c r="H4151" s="1" t="s">
        <v>168</v>
      </c>
      <c r="I4151" s="1" t="s">
        <v>16</v>
      </c>
      <c r="J4151" s="1">
        <v>0</v>
      </c>
      <c r="K4151" s="1">
        <v>0</v>
      </c>
      <c r="L4151" s="1" t="s">
        <v>31</v>
      </c>
      <c r="M4151" s="1" t="s">
        <v>18</v>
      </c>
      <c r="N4151" s="1" t="s">
        <v>18</v>
      </c>
      <c r="O4151" s="1">
        <v>3</v>
      </c>
      <c r="P4151" s="1">
        <v>7</v>
      </c>
      <c r="Q4151" s="7" t="s">
        <v>17633</v>
      </c>
      <c r="R4151" s="1" t="s">
        <v>19</v>
      </c>
      <c r="S4151" s="1" t="s">
        <v>20</v>
      </c>
      <c r="T4151" s="1" t="s">
        <v>21</v>
      </c>
      <c r="U4151" s="1" t="s">
        <v>22</v>
      </c>
      <c r="V4151" s="1" t="s">
        <v>24</v>
      </c>
      <c r="W4151" s="1" t="s">
        <v>24</v>
      </c>
      <c r="X4151" s="1">
        <v>1303</v>
      </c>
      <c r="Y4151" s="1">
        <v>1312</v>
      </c>
      <c r="Z4151" s="1" t="s">
        <v>24</v>
      </c>
      <c r="AA4151" s="1" t="s">
        <v>24</v>
      </c>
      <c r="AB4151" s="1" t="s">
        <v>24</v>
      </c>
      <c r="AC4151" s="1" t="s">
        <v>24</v>
      </c>
      <c r="AD4151" s="1" t="s">
        <v>24</v>
      </c>
      <c r="AE4151" s="1" t="s">
        <v>24</v>
      </c>
      <c r="AF4151" s="22"/>
    </row>
    <row r="4152" spans="1:32" x14ac:dyDescent="0.2">
      <c r="A4152" s="1">
        <v>34706</v>
      </c>
      <c r="B4152" s="1" t="s">
        <v>12749</v>
      </c>
      <c r="C4152" s="5" t="s">
        <v>0</v>
      </c>
      <c r="D4152" s="1" t="s">
        <v>12750</v>
      </c>
      <c r="F4152" s="1" t="s">
        <v>6442</v>
      </c>
      <c r="G4152" s="1" t="s">
        <v>6442</v>
      </c>
      <c r="H4152" s="1" t="s">
        <v>30</v>
      </c>
      <c r="I4152" s="1" t="s">
        <v>16</v>
      </c>
      <c r="J4152" s="1">
        <v>1</v>
      </c>
      <c r="K4152" s="1">
        <v>4</v>
      </c>
      <c r="L4152" s="1" t="s">
        <v>17</v>
      </c>
      <c r="M4152" s="1" t="s">
        <v>18</v>
      </c>
      <c r="N4152" s="1" t="s">
        <v>18</v>
      </c>
      <c r="O4152" s="1">
        <v>3</v>
      </c>
      <c r="P4152" s="1">
        <v>7</v>
      </c>
      <c r="Q4152" s="7" t="s">
        <v>17633</v>
      </c>
      <c r="R4152" s="1" t="s">
        <v>19</v>
      </c>
      <c r="S4152" s="1" t="s">
        <v>20</v>
      </c>
      <c r="T4152" s="1" t="s">
        <v>21</v>
      </c>
      <c r="U4152" s="1" t="s">
        <v>22</v>
      </c>
      <c r="V4152" s="1" t="s">
        <v>23</v>
      </c>
      <c r="W4152" s="1" t="s">
        <v>24</v>
      </c>
      <c r="X4152" s="1">
        <v>2738</v>
      </c>
      <c r="Y4152" s="1">
        <v>2803</v>
      </c>
      <c r="Z4152" s="1">
        <v>3206</v>
      </c>
      <c r="AA4152" s="1" t="s">
        <v>24</v>
      </c>
      <c r="AB4152" s="1" t="s">
        <v>24</v>
      </c>
      <c r="AC4152" s="1" t="s">
        <v>24</v>
      </c>
      <c r="AD4152" s="1" t="s">
        <v>24</v>
      </c>
      <c r="AE4152" s="1" t="s">
        <v>24</v>
      </c>
      <c r="AF4152" s="22"/>
    </row>
    <row r="4153" spans="1:32" x14ac:dyDescent="0.2">
      <c r="A4153" s="1">
        <v>34724</v>
      </c>
      <c r="B4153" s="1" t="s">
        <v>12751</v>
      </c>
      <c r="C4153" s="5" t="s">
        <v>0</v>
      </c>
      <c r="D4153" s="1" t="s">
        <v>12752</v>
      </c>
      <c r="E4153" s="1" t="s">
        <v>12753</v>
      </c>
      <c r="F4153" s="1" t="s">
        <v>320</v>
      </c>
      <c r="G4153" s="1" t="s">
        <v>36</v>
      </c>
      <c r="H4153" s="1" t="s">
        <v>30</v>
      </c>
      <c r="I4153" s="1" t="s">
        <v>16</v>
      </c>
      <c r="J4153" s="1">
        <v>1</v>
      </c>
      <c r="K4153" s="1">
        <v>4</v>
      </c>
      <c r="L4153" s="1" t="s">
        <v>31</v>
      </c>
      <c r="M4153" s="1" t="s">
        <v>18</v>
      </c>
      <c r="N4153" s="1" t="s">
        <v>18</v>
      </c>
      <c r="O4153" s="1">
        <v>3</v>
      </c>
      <c r="P4153" s="1">
        <v>7</v>
      </c>
      <c r="Q4153" s="7" t="s">
        <v>17633</v>
      </c>
      <c r="R4153" s="1" t="s">
        <v>19</v>
      </c>
      <c r="S4153" s="1" t="s">
        <v>20</v>
      </c>
      <c r="T4153" s="1" t="s">
        <v>21</v>
      </c>
      <c r="U4153" s="1" t="s">
        <v>22</v>
      </c>
      <c r="V4153" s="1" t="s">
        <v>23</v>
      </c>
      <c r="W4153" s="1" t="s">
        <v>24</v>
      </c>
      <c r="X4153" s="1">
        <v>2735</v>
      </c>
      <c r="Y4153" s="1">
        <v>2738</v>
      </c>
      <c r="Z4153" s="1">
        <v>3204</v>
      </c>
      <c r="AA4153" s="1" t="s">
        <v>24</v>
      </c>
      <c r="AB4153" s="1" t="s">
        <v>24</v>
      </c>
      <c r="AC4153" s="1" t="s">
        <v>24</v>
      </c>
      <c r="AD4153" s="1" t="s">
        <v>24</v>
      </c>
      <c r="AE4153" s="1" t="s">
        <v>24</v>
      </c>
      <c r="AF4153" s="22" t="s">
        <v>17715</v>
      </c>
    </row>
    <row r="4154" spans="1:32" x14ac:dyDescent="0.2">
      <c r="A4154" s="1">
        <v>34726</v>
      </c>
      <c r="B4154" s="1" t="s">
        <v>12754</v>
      </c>
      <c r="C4154" s="5" t="s">
        <v>0</v>
      </c>
      <c r="D4154" s="1" t="s">
        <v>12755</v>
      </c>
      <c r="E4154" s="1" t="s">
        <v>12756</v>
      </c>
      <c r="F4154" s="1" t="s">
        <v>35</v>
      </c>
      <c r="G4154" s="1" t="s">
        <v>36</v>
      </c>
      <c r="H4154" s="1" t="s">
        <v>37</v>
      </c>
      <c r="I4154" s="1" t="s">
        <v>16</v>
      </c>
      <c r="J4154" s="1">
        <v>1</v>
      </c>
      <c r="K4154" s="1">
        <v>4</v>
      </c>
      <c r="L4154" s="1" t="s">
        <v>31</v>
      </c>
      <c r="M4154" s="1" t="s">
        <v>18</v>
      </c>
      <c r="N4154" s="1" t="s">
        <v>18</v>
      </c>
      <c r="O4154" s="1">
        <v>3</v>
      </c>
      <c r="P4154" s="1">
        <v>6</v>
      </c>
      <c r="R4154" s="1" t="s">
        <v>19</v>
      </c>
      <c r="S4154" s="1" t="s">
        <v>20</v>
      </c>
      <c r="T4154" s="1" t="s">
        <v>21</v>
      </c>
      <c r="U4154" s="1" t="s">
        <v>22</v>
      </c>
      <c r="V4154" s="1" t="s">
        <v>24</v>
      </c>
      <c r="W4154" s="1" t="s">
        <v>24</v>
      </c>
      <c r="X4154" s="1">
        <v>2736</v>
      </c>
      <c r="Y4154" s="1">
        <v>2737</v>
      </c>
      <c r="Z4154" s="1">
        <v>2738</v>
      </c>
      <c r="AA4154" s="1">
        <v>3004</v>
      </c>
      <c r="AB4154" s="1" t="s">
        <v>24</v>
      </c>
      <c r="AC4154" s="1" t="s">
        <v>24</v>
      </c>
      <c r="AD4154" s="1" t="s">
        <v>24</v>
      </c>
      <c r="AE4154" s="1" t="s">
        <v>24</v>
      </c>
      <c r="AF4154" s="22"/>
    </row>
    <row r="4155" spans="1:32" x14ac:dyDescent="0.2">
      <c r="A4155" s="1">
        <v>34826</v>
      </c>
      <c r="B4155" s="1" t="s">
        <v>12757</v>
      </c>
      <c r="C4155" s="5" t="s">
        <v>0</v>
      </c>
      <c r="D4155" s="1" t="s">
        <v>12758</v>
      </c>
      <c r="E4155" s="1" t="s">
        <v>12759</v>
      </c>
      <c r="F4155" s="1" t="s">
        <v>35</v>
      </c>
      <c r="G4155" s="1" t="s">
        <v>36</v>
      </c>
      <c r="H4155" s="1" t="s">
        <v>37</v>
      </c>
      <c r="I4155" s="1" t="s">
        <v>16</v>
      </c>
      <c r="J4155" s="1">
        <v>1</v>
      </c>
      <c r="K4155" s="1">
        <v>4</v>
      </c>
      <c r="L4155" s="1" t="s">
        <v>31</v>
      </c>
      <c r="M4155" s="1" t="s">
        <v>18</v>
      </c>
      <c r="N4155" s="1" t="s">
        <v>18</v>
      </c>
      <c r="O4155" s="1">
        <v>2</v>
      </c>
      <c r="P4155" s="1">
        <v>7</v>
      </c>
      <c r="Q4155" s="7" t="s">
        <v>17633</v>
      </c>
      <c r="R4155" s="1" t="s">
        <v>19</v>
      </c>
      <c r="S4155" s="1" t="s">
        <v>20</v>
      </c>
      <c r="T4155" s="1" t="s">
        <v>21</v>
      </c>
      <c r="U4155" s="1" t="s">
        <v>22</v>
      </c>
      <c r="V4155" s="1" t="s">
        <v>24</v>
      </c>
      <c r="W4155" s="1" t="s">
        <v>24</v>
      </c>
      <c r="X4155" s="1">
        <v>2705</v>
      </c>
      <c r="Y4155" s="1">
        <v>2736</v>
      </c>
      <c r="Z4155" s="1">
        <v>3004</v>
      </c>
      <c r="AA4155" s="1" t="s">
        <v>24</v>
      </c>
      <c r="AB4155" s="1" t="s">
        <v>24</v>
      </c>
      <c r="AC4155" s="1" t="s">
        <v>24</v>
      </c>
      <c r="AD4155" s="1" t="s">
        <v>24</v>
      </c>
      <c r="AE4155" s="1" t="s">
        <v>24</v>
      </c>
      <c r="AF4155" s="22"/>
    </row>
    <row r="4156" spans="1:32" x14ac:dyDescent="0.2">
      <c r="A4156" s="1">
        <v>34829</v>
      </c>
      <c r="B4156" s="1" t="s">
        <v>12760</v>
      </c>
      <c r="C4156" s="5" t="s">
        <v>0</v>
      </c>
      <c r="D4156" s="1" t="s">
        <v>12761</v>
      </c>
      <c r="E4156" s="1" t="s">
        <v>12762</v>
      </c>
      <c r="F4156" s="1" t="s">
        <v>35</v>
      </c>
      <c r="G4156" s="1" t="s">
        <v>36</v>
      </c>
      <c r="H4156" s="1" t="s">
        <v>37</v>
      </c>
      <c r="I4156" s="1" t="s">
        <v>16</v>
      </c>
      <c r="J4156" s="1">
        <v>1</v>
      </c>
      <c r="K4156" s="1">
        <v>4</v>
      </c>
      <c r="L4156" s="1" t="s">
        <v>31</v>
      </c>
      <c r="M4156" s="1" t="s">
        <v>18</v>
      </c>
      <c r="N4156" s="1" t="s">
        <v>18</v>
      </c>
      <c r="O4156" s="1">
        <v>1</v>
      </c>
      <c r="P4156" s="1">
        <v>1</v>
      </c>
      <c r="R4156" s="1" t="s">
        <v>19</v>
      </c>
      <c r="S4156" s="1" t="s">
        <v>20</v>
      </c>
      <c r="T4156" s="1" t="s">
        <v>21</v>
      </c>
      <c r="V4156" s="1" t="s">
        <v>24</v>
      </c>
      <c r="W4156" s="1" t="s">
        <v>24</v>
      </c>
      <c r="X4156" s="1">
        <v>2736</v>
      </c>
      <c r="Y4156" s="1">
        <v>3002</v>
      </c>
      <c r="Z4156" s="1" t="s">
        <v>24</v>
      </c>
      <c r="AA4156" s="1" t="s">
        <v>24</v>
      </c>
      <c r="AB4156" s="1" t="s">
        <v>24</v>
      </c>
      <c r="AC4156" s="1" t="s">
        <v>24</v>
      </c>
      <c r="AD4156" s="1" t="s">
        <v>24</v>
      </c>
      <c r="AE4156" s="1" t="s">
        <v>24</v>
      </c>
      <c r="AF4156" s="22"/>
    </row>
    <row r="4157" spans="1:32" x14ac:dyDescent="0.2">
      <c r="A4157" s="1">
        <v>34830</v>
      </c>
      <c r="B4157" s="1" t="s">
        <v>12763</v>
      </c>
      <c r="C4157" s="5" t="s">
        <v>0</v>
      </c>
      <c r="D4157" s="1" t="s">
        <v>12764</v>
      </c>
      <c r="E4157" s="1" t="s">
        <v>12765</v>
      </c>
      <c r="F4157" s="1" t="s">
        <v>555</v>
      </c>
      <c r="G4157" s="1" t="s">
        <v>36</v>
      </c>
      <c r="H4157" s="1" t="s">
        <v>37</v>
      </c>
      <c r="I4157" s="1" t="s">
        <v>16</v>
      </c>
      <c r="J4157" s="1">
        <v>1</v>
      </c>
      <c r="K4157" s="1">
        <v>24</v>
      </c>
      <c r="L4157" s="1" t="s">
        <v>31</v>
      </c>
      <c r="M4157" s="1" t="s">
        <v>18</v>
      </c>
      <c r="N4157" s="1" t="s">
        <v>18</v>
      </c>
      <c r="O4157" s="1">
        <v>1</v>
      </c>
      <c r="P4157" s="1">
        <v>1</v>
      </c>
      <c r="R4157" s="1" t="s">
        <v>19</v>
      </c>
      <c r="S4157" s="1" t="s">
        <v>20</v>
      </c>
      <c r="T4157" s="1" t="s">
        <v>21</v>
      </c>
      <c r="V4157" s="1" t="s">
        <v>23</v>
      </c>
      <c r="W4157" s="1" t="s">
        <v>24</v>
      </c>
      <c r="X4157" s="1">
        <v>2736</v>
      </c>
      <c r="Y4157" s="1">
        <v>2920</v>
      </c>
      <c r="Z4157" s="1" t="s">
        <v>24</v>
      </c>
      <c r="AA4157" s="1" t="s">
        <v>24</v>
      </c>
      <c r="AB4157" s="1" t="s">
        <v>24</v>
      </c>
      <c r="AC4157" s="1" t="s">
        <v>24</v>
      </c>
      <c r="AD4157" s="1" t="s">
        <v>24</v>
      </c>
      <c r="AE4157" s="1" t="s">
        <v>24</v>
      </c>
      <c r="AF4157" s="22"/>
    </row>
    <row r="4158" spans="1:32" x14ac:dyDescent="0.2">
      <c r="A4158" s="1">
        <v>34930</v>
      </c>
      <c r="B4158" s="1" t="s">
        <v>12766</v>
      </c>
      <c r="C4158" s="5" t="s">
        <v>0</v>
      </c>
      <c r="D4158" s="1" t="s">
        <v>12767</v>
      </c>
      <c r="E4158" s="1" t="s">
        <v>12768</v>
      </c>
      <c r="F4158" s="1" t="s">
        <v>1412</v>
      </c>
      <c r="G4158" s="1" t="s">
        <v>1413</v>
      </c>
      <c r="H4158" s="1" t="s">
        <v>30</v>
      </c>
      <c r="I4158" s="1" t="s">
        <v>16</v>
      </c>
      <c r="J4158" s="1">
        <v>1</v>
      </c>
      <c r="K4158" s="1">
        <v>1</v>
      </c>
      <c r="L4158" s="1" t="s">
        <v>31</v>
      </c>
      <c r="M4158" s="1" t="s">
        <v>18</v>
      </c>
      <c r="N4158" s="1" t="s">
        <v>18</v>
      </c>
      <c r="O4158" s="1">
        <v>3</v>
      </c>
      <c r="P4158" s="1">
        <v>7</v>
      </c>
      <c r="Q4158" s="7" t="s">
        <v>17633</v>
      </c>
      <c r="R4158" s="1" t="s">
        <v>19</v>
      </c>
      <c r="S4158" s="1" t="s">
        <v>63</v>
      </c>
      <c r="T4158" s="1" t="s">
        <v>21</v>
      </c>
      <c r="U4158" s="1" t="s">
        <v>22</v>
      </c>
      <c r="V4158" s="1" t="s">
        <v>23</v>
      </c>
      <c r="W4158" s="1" t="s">
        <v>24</v>
      </c>
      <c r="X4158" s="1">
        <v>2701</v>
      </c>
      <c r="Y4158" s="1">
        <v>2718</v>
      </c>
      <c r="Z4158" s="1">
        <v>3605</v>
      </c>
      <c r="AA4158" s="1">
        <v>1705</v>
      </c>
      <c r="AB4158" s="1" t="s">
        <v>24</v>
      </c>
      <c r="AC4158" s="1" t="s">
        <v>24</v>
      </c>
      <c r="AD4158" s="1" t="s">
        <v>24</v>
      </c>
      <c r="AE4158" s="1" t="s">
        <v>24</v>
      </c>
      <c r="AF4158" s="22"/>
    </row>
    <row r="4159" spans="1:32" x14ac:dyDescent="0.2">
      <c r="A4159" s="1">
        <v>35057</v>
      </c>
      <c r="B4159" s="1" t="s">
        <v>12769</v>
      </c>
      <c r="C4159" s="5" t="s">
        <v>0</v>
      </c>
      <c r="E4159" s="1" t="s">
        <v>12770</v>
      </c>
      <c r="F4159" s="1" t="s">
        <v>12771</v>
      </c>
      <c r="G4159" s="1" t="s">
        <v>12771</v>
      </c>
      <c r="H4159" s="1" t="s">
        <v>168</v>
      </c>
      <c r="I4159" s="1" t="s">
        <v>16</v>
      </c>
      <c r="J4159" s="1">
        <v>1</v>
      </c>
      <c r="K4159" s="1">
        <v>1</v>
      </c>
      <c r="L4159" s="1" t="s">
        <v>42</v>
      </c>
      <c r="M4159" s="1" t="s">
        <v>18</v>
      </c>
      <c r="N4159" s="1" t="s">
        <v>18</v>
      </c>
      <c r="O4159" s="1">
        <v>1</v>
      </c>
      <c r="P4159" s="1">
        <v>1</v>
      </c>
      <c r="R4159" s="1" t="s">
        <v>19</v>
      </c>
      <c r="S4159" s="1" t="s">
        <v>63</v>
      </c>
      <c r="T4159" s="1" t="s">
        <v>21</v>
      </c>
      <c r="U4159" s="1" t="s">
        <v>22</v>
      </c>
      <c r="V4159" s="1" t="s">
        <v>24</v>
      </c>
      <c r="W4159" s="1" t="s">
        <v>24</v>
      </c>
      <c r="X4159" s="1">
        <v>1313</v>
      </c>
      <c r="Y4159" s="1">
        <v>3004</v>
      </c>
      <c r="Z4159" s="1">
        <v>3002</v>
      </c>
      <c r="AA4159" s="1">
        <v>1103</v>
      </c>
      <c r="AB4159" s="1" t="s">
        <v>24</v>
      </c>
      <c r="AC4159" s="1" t="s">
        <v>24</v>
      </c>
      <c r="AD4159" s="1" t="s">
        <v>24</v>
      </c>
      <c r="AE4159" s="1" t="s">
        <v>24</v>
      </c>
      <c r="AF4159" s="22"/>
    </row>
    <row r="4160" spans="1:32" x14ac:dyDescent="0.2">
      <c r="A4160" s="1">
        <v>35074</v>
      </c>
      <c r="B4160" s="1" t="s">
        <v>12772</v>
      </c>
      <c r="C4160" s="5" t="s">
        <v>0</v>
      </c>
      <c r="D4160" s="1" t="s">
        <v>12773</v>
      </c>
      <c r="F4160" s="1" t="s">
        <v>12774</v>
      </c>
      <c r="G4160" s="1" t="s">
        <v>12774</v>
      </c>
      <c r="H4160" s="1" t="s">
        <v>1660</v>
      </c>
      <c r="I4160" s="1" t="s">
        <v>16</v>
      </c>
      <c r="J4160" s="1">
        <v>1</v>
      </c>
      <c r="K4160" s="1">
        <v>4</v>
      </c>
      <c r="L4160" s="1" t="s">
        <v>42</v>
      </c>
      <c r="M4160" s="1" t="s">
        <v>18</v>
      </c>
      <c r="N4160" s="1" t="s">
        <v>1662</v>
      </c>
      <c r="O4160" s="1">
        <v>2</v>
      </c>
      <c r="P4160" s="1">
        <v>5</v>
      </c>
      <c r="R4160" s="1" t="s">
        <v>19</v>
      </c>
      <c r="S4160" s="1" t="s">
        <v>20</v>
      </c>
      <c r="T4160" s="1" t="s">
        <v>21</v>
      </c>
      <c r="U4160" s="1" t="s">
        <v>22</v>
      </c>
      <c r="V4160" s="1" t="s">
        <v>24</v>
      </c>
      <c r="W4160" s="1" t="s">
        <v>24</v>
      </c>
      <c r="X4160" s="1">
        <v>2728</v>
      </c>
      <c r="Y4160" s="1">
        <v>2808</v>
      </c>
      <c r="Z4160" s="1" t="s">
        <v>24</v>
      </c>
      <c r="AA4160" s="1" t="s">
        <v>24</v>
      </c>
      <c r="AB4160" s="1" t="s">
        <v>24</v>
      </c>
      <c r="AC4160" s="1" t="s">
        <v>24</v>
      </c>
      <c r="AD4160" s="1" t="s">
        <v>24</v>
      </c>
      <c r="AE4160" s="1" t="s">
        <v>24</v>
      </c>
      <c r="AF4160" s="22"/>
    </row>
    <row r="4161" spans="1:32" x14ac:dyDescent="0.2">
      <c r="A4161" s="1">
        <v>35127</v>
      </c>
      <c r="B4161" s="1" t="s">
        <v>12775</v>
      </c>
      <c r="C4161" s="5" t="s">
        <v>0</v>
      </c>
      <c r="D4161" s="1" t="s">
        <v>12776</v>
      </c>
      <c r="E4161" s="1" t="s">
        <v>12777</v>
      </c>
      <c r="F4161" s="1" t="s">
        <v>10464</v>
      </c>
      <c r="G4161" s="1" t="s">
        <v>10464</v>
      </c>
      <c r="H4161" s="1" t="s">
        <v>1957</v>
      </c>
      <c r="I4161" s="1" t="s">
        <v>16</v>
      </c>
      <c r="J4161" s="1">
        <v>1</v>
      </c>
      <c r="K4161" s="1">
        <v>4</v>
      </c>
      <c r="L4161" s="1" t="s">
        <v>42</v>
      </c>
      <c r="M4161" s="1" t="s">
        <v>10391</v>
      </c>
      <c r="N4161" s="1" t="s">
        <v>12245</v>
      </c>
      <c r="O4161" s="1">
        <v>3</v>
      </c>
      <c r="P4161" s="1">
        <v>5</v>
      </c>
      <c r="R4161" s="1" t="s">
        <v>19</v>
      </c>
      <c r="S4161" s="1" t="s">
        <v>20</v>
      </c>
      <c r="T4161" s="1" t="s">
        <v>21</v>
      </c>
      <c r="U4161" s="1" t="s">
        <v>22</v>
      </c>
      <c r="V4161" s="1" t="s">
        <v>23</v>
      </c>
      <c r="W4161" s="1" t="s">
        <v>24</v>
      </c>
      <c r="X4161" s="1">
        <v>2700</v>
      </c>
      <c r="Y4161" s="1" t="s">
        <v>24</v>
      </c>
      <c r="Z4161" s="1" t="s">
        <v>24</v>
      </c>
      <c r="AA4161" s="1" t="s">
        <v>24</v>
      </c>
      <c r="AB4161" s="1" t="s">
        <v>24</v>
      </c>
      <c r="AC4161" s="1" t="s">
        <v>24</v>
      </c>
      <c r="AD4161" s="1" t="s">
        <v>24</v>
      </c>
      <c r="AE4161" s="1" t="s">
        <v>24</v>
      </c>
      <c r="AF4161" s="22"/>
    </row>
    <row r="4162" spans="1:32" x14ac:dyDescent="0.2">
      <c r="A4162" s="1">
        <v>35153</v>
      </c>
      <c r="B4162" s="1" t="s">
        <v>12778</v>
      </c>
      <c r="C4162" s="5" t="s">
        <v>0</v>
      </c>
      <c r="D4162" s="1" t="s">
        <v>12779</v>
      </c>
      <c r="E4162" s="1" t="s">
        <v>12780</v>
      </c>
      <c r="F4162" s="1" t="s">
        <v>35</v>
      </c>
      <c r="G4162" s="1" t="s">
        <v>36</v>
      </c>
      <c r="H4162" s="1" t="s">
        <v>37</v>
      </c>
      <c r="I4162" s="1" t="s">
        <v>16</v>
      </c>
      <c r="J4162" s="1">
        <v>1</v>
      </c>
      <c r="K4162" s="1">
        <v>8</v>
      </c>
      <c r="L4162" s="1" t="s">
        <v>31</v>
      </c>
      <c r="M4162" s="1" t="s">
        <v>18</v>
      </c>
      <c r="N4162" s="1" t="s">
        <v>18</v>
      </c>
      <c r="O4162" s="1">
        <v>3</v>
      </c>
      <c r="P4162" s="1">
        <v>7</v>
      </c>
      <c r="Q4162" s="7" t="s">
        <v>17633</v>
      </c>
      <c r="R4162" s="1" t="s">
        <v>19</v>
      </c>
      <c r="S4162" s="1" t="s">
        <v>20</v>
      </c>
      <c r="T4162" s="1" t="s">
        <v>21</v>
      </c>
      <c r="U4162" s="1" t="s">
        <v>22</v>
      </c>
      <c r="V4162" s="1" t="s">
        <v>24</v>
      </c>
      <c r="W4162" s="1" t="s">
        <v>24</v>
      </c>
      <c r="X4162" s="1">
        <v>2731</v>
      </c>
      <c r="Y4162" s="1" t="s">
        <v>24</v>
      </c>
      <c r="Z4162" s="1" t="s">
        <v>24</v>
      </c>
      <c r="AA4162" s="1" t="s">
        <v>24</v>
      </c>
      <c r="AB4162" s="1" t="s">
        <v>24</v>
      </c>
      <c r="AC4162" s="1" t="s">
        <v>24</v>
      </c>
      <c r="AD4162" s="1" t="s">
        <v>24</v>
      </c>
      <c r="AE4162" s="1" t="s">
        <v>24</v>
      </c>
      <c r="AF4162" s="22"/>
    </row>
    <row r="4163" spans="1:32" x14ac:dyDescent="0.2">
      <c r="A4163" s="1">
        <v>35166</v>
      </c>
      <c r="B4163" s="1" t="s">
        <v>12781</v>
      </c>
      <c r="C4163" s="5" t="s">
        <v>0</v>
      </c>
      <c r="D4163" s="1" t="s">
        <v>12782</v>
      </c>
      <c r="E4163" s="1" t="s">
        <v>12783</v>
      </c>
      <c r="F4163" s="1" t="s">
        <v>85</v>
      </c>
      <c r="G4163" s="1" t="s">
        <v>3668</v>
      </c>
      <c r="H4163" s="1" t="s">
        <v>86</v>
      </c>
      <c r="I4163" s="1" t="s">
        <v>16</v>
      </c>
      <c r="J4163" s="1">
        <v>1</v>
      </c>
      <c r="K4163" s="1">
        <v>4</v>
      </c>
      <c r="L4163" s="1" t="s">
        <v>31</v>
      </c>
      <c r="M4163" s="1" t="s">
        <v>87</v>
      </c>
      <c r="N4163" s="1" t="s">
        <v>199</v>
      </c>
      <c r="O4163" s="1">
        <v>2</v>
      </c>
      <c r="P4163" s="1">
        <v>6</v>
      </c>
      <c r="R4163" s="1" t="s">
        <v>19</v>
      </c>
      <c r="S4163" s="1" t="s">
        <v>20</v>
      </c>
      <c r="T4163" s="1" t="s">
        <v>21</v>
      </c>
      <c r="U4163" s="1" t="s">
        <v>22</v>
      </c>
      <c r="V4163" s="1" t="s">
        <v>23</v>
      </c>
      <c r="W4163" s="1" t="s">
        <v>24</v>
      </c>
      <c r="X4163" s="1">
        <v>2731</v>
      </c>
      <c r="Y4163" s="1">
        <v>3610</v>
      </c>
      <c r="Z4163" s="1" t="s">
        <v>24</v>
      </c>
      <c r="AA4163" s="1" t="s">
        <v>24</v>
      </c>
      <c r="AB4163" s="1" t="s">
        <v>24</v>
      </c>
      <c r="AC4163" s="1" t="s">
        <v>24</v>
      </c>
      <c r="AD4163" s="1" t="s">
        <v>24</v>
      </c>
      <c r="AE4163" s="1" t="s">
        <v>24</v>
      </c>
      <c r="AF4163" s="22"/>
    </row>
    <row r="4164" spans="1:32" x14ac:dyDescent="0.2">
      <c r="A4164" s="1">
        <v>35185</v>
      </c>
      <c r="B4164" s="1" t="s">
        <v>12784</v>
      </c>
      <c r="C4164" s="5" t="s">
        <v>0</v>
      </c>
      <c r="D4164" s="1" t="s">
        <v>12785</v>
      </c>
      <c r="E4164" s="1" t="s">
        <v>12786</v>
      </c>
      <c r="F4164" s="1" t="s">
        <v>221</v>
      </c>
      <c r="G4164" s="1" t="s">
        <v>61</v>
      </c>
      <c r="H4164" s="1" t="s">
        <v>222</v>
      </c>
      <c r="I4164" s="1" t="s">
        <v>16</v>
      </c>
      <c r="J4164" s="1">
        <v>0</v>
      </c>
      <c r="K4164" s="1">
        <v>0</v>
      </c>
      <c r="L4164" s="1" t="s">
        <v>31</v>
      </c>
      <c r="M4164" s="1" t="s">
        <v>18</v>
      </c>
      <c r="N4164" s="1" t="s">
        <v>18</v>
      </c>
      <c r="O4164" s="1">
        <v>3</v>
      </c>
      <c r="P4164" s="1">
        <v>7</v>
      </c>
      <c r="Q4164" s="7" t="s">
        <v>17633</v>
      </c>
      <c r="R4164" s="1" t="s">
        <v>19</v>
      </c>
      <c r="S4164" s="1" t="s">
        <v>20</v>
      </c>
      <c r="T4164" s="1" t="s">
        <v>21</v>
      </c>
      <c r="U4164" s="1" t="s">
        <v>22</v>
      </c>
      <c r="V4164" s="1" t="s">
        <v>24</v>
      </c>
      <c r="W4164" s="1" t="s">
        <v>24</v>
      </c>
      <c r="X4164" s="1">
        <v>1311</v>
      </c>
      <c r="Y4164" s="1">
        <v>2734</v>
      </c>
      <c r="Z4164" s="1" t="s">
        <v>24</v>
      </c>
      <c r="AA4164" s="1" t="s">
        <v>24</v>
      </c>
      <c r="AB4164" s="1" t="s">
        <v>24</v>
      </c>
      <c r="AC4164" s="1" t="s">
        <v>24</v>
      </c>
      <c r="AD4164" s="1" t="s">
        <v>24</v>
      </c>
      <c r="AE4164" s="1" t="s">
        <v>24</v>
      </c>
      <c r="AF4164" s="22"/>
    </row>
    <row r="4165" spans="1:32" x14ac:dyDescent="0.2">
      <c r="A4165" s="1">
        <v>35186</v>
      </c>
      <c r="B4165" s="1" t="s">
        <v>12787</v>
      </c>
      <c r="C4165" s="5" t="s">
        <v>0</v>
      </c>
      <c r="D4165" s="1" t="s">
        <v>12788</v>
      </c>
      <c r="E4165" s="1" t="s">
        <v>12789</v>
      </c>
      <c r="F4165" s="1" t="s">
        <v>272</v>
      </c>
      <c r="G4165" s="1" t="s">
        <v>61</v>
      </c>
      <c r="H4165" s="1" t="s">
        <v>30</v>
      </c>
      <c r="I4165" s="1" t="s">
        <v>16</v>
      </c>
      <c r="J4165" s="1">
        <v>1</v>
      </c>
      <c r="K4165" s="1">
        <v>4</v>
      </c>
      <c r="L4165" s="1" t="s">
        <v>31</v>
      </c>
      <c r="M4165" s="1" t="s">
        <v>18</v>
      </c>
      <c r="N4165" s="1" t="s">
        <v>18</v>
      </c>
      <c r="O4165" s="1">
        <v>3</v>
      </c>
      <c r="P4165" s="1">
        <v>7</v>
      </c>
      <c r="Q4165" s="7" t="s">
        <v>17633</v>
      </c>
      <c r="R4165" s="1" t="s">
        <v>19</v>
      </c>
      <c r="S4165" s="1" t="s">
        <v>20</v>
      </c>
      <c r="T4165" s="1" t="s">
        <v>21</v>
      </c>
      <c r="U4165" s="1" t="s">
        <v>22</v>
      </c>
      <c r="V4165" s="1" t="s">
        <v>23</v>
      </c>
      <c r="W4165" s="1" t="s">
        <v>24</v>
      </c>
      <c r="X4165" s="1">
        <v>2741</v>
      </c>
      <c r="Y4165" s="1">
        <v>3614</v>
      </c>
      <c r="Z4165" s="1" t="s">
        <v>24</v>
      </c>
      <c r="AA4165" s="1" t="s">
        <v>24</v>
      </c>
      <c r="AB4165" s="1" t="s">
        <v>24</v>
      </c>
      <c r="AC4165" s="1" t="s">
        <v>24</v>
      </c>
      <c r="AD4165" s="1" t="s">
        <v>24</v>
      </c>
      <c r="AE4165" s="1" t="s">
        <v>24</v>
      </c>
      <c r="AF4165" s="22"/>
    </row>
    <row r="4166" spans="1:32" x14ac:dyDescent="0.2">
      <c r="A4166" s="1">
        <v>35188</v>
      </c>
      <c r="B4166" s="1" t="s">
        <v>12790</v>
      </c>
      <c r="C4166" s="5" t="s">
        <v>0</v>
      </c>
      <c r="D4166" s="1" t="s">
        <v>12791</v>
      </c>
      <c r="E4166" s="1" t="s">
        <v>12792</v>
      </c>
      <c r="F4166" s="1" t="s">
        <v>155</v>
      </c>
      <c r="G4166" s="1" t="s">
        <v>61</v>
      </c>
      <c r="H4166" s="1" t="s">
        <v>37</v>
      </c>
      <c r="I4166" s="1" t="s">
        <v>16</v>
      </c>
      <c r="J4166" s="1">
        <v>1</v>
      </c>
      <c r="K4166" s="1">
        <v>2</v>
      </c>
      <c r="L4166" s="1" t="s">
        <v>31</v>
      </c>
      <c r="M4166" s="1" t="s">
        <v>18</v>
      </c>
      <c r="N4166" s="1" t="s">
        <v>18</v>
      </c>
      <c r="O4166" s="1">
        <v>3</v>
      </c>
      <c r="P4166" s="1">
        <v>7</v>
      </c>
      <c r="Q4166" s="7" t="s">
        <v>17633</v>
      </c>
      <c r="R4166" s="1" t="s">
        <v>19</v>
      </c>
      <c r="S4166" s="1" t="s">
        <v>63</v>
      </c>
      <c r="T4166" s="1" t="s">
        <v>21</v>
      </c>
      <c r="U4166" s="1" t="s">
        <v>22</v>
      </c>
      <c r="V4166" s="1" t="s">
        <v>23</v>
      </c>
      <c r="W4166" s="1" t="s">
        <v>24</v>
      </c>
      <c r="X4166" s="1">
        <v>2738</v>
      </c>
      <c r="Y4166" s="1">
        <v>3202</v>
      </c>
      <c r="Z4166" s="1" t="s">
        <v>24</v>
      </c>
      <c r="AA4166" s="1" t="s">
        <v>24</v>
      </c>
      <c r="AB4166" s="1" t="s">
        <v>24</v>
      </c>
      <c r="AC4166" s="1" t="s">
        <v>24</v>
      </c>
      <c r="AD4166" s="1" t="s">
        <v>24</v>
      </c>
      <c r="AE4166" s="1" t="s">
        <v>24</v>
      </c>
      <c r="AF4166" s="22"/>
    </row>
    <row r="4167" spans="1:32" x14ac:dyDescent="0.2">
      <c r="A4167" s="1">
        <v>35205</v>
      </c>
      <c r="B4167" s="1" t="s">
        <v>12793</v>
      </c>
      <c r="C4167" s="5" t="s">
        <v>0</v>
      </c>
      <c r="D4167" s="1" t="s">
        <v>12794</v>
      </c>
      <c r="F4167" s="1" t="s">
        <v>12795</v>
      </c>
      <c r="G4167" s="1" t="s">
        <v>12795</v>
      </c>
      <c r="H4167" s="1" t="s">
        <v>2772</v>
      </c>
      <c r="I4167" s="1" t="s">
        <v>16</v>
      </c>
      <c r="J4167" s="1">
        <v>1</v>
      </c>
      <c r="K4167" s="1">
        <v>4</v>
      </c>
      <c r="L4167" s="1" t="s">
        <v>42</v>
      </c>
      <c r="M4167" s="1" t="s">
        <v>18</v>
      </c>
      <c r="N4167" s="1" t="s">
        <v>18</v>
      </c>
      <c r="O4167" s="1">
        <v>3</v>
      </c>
      <c r="P4167" s="1">
        <v>6</v>
      </c>
      <c r="R4167" s="1" t="s">
        <v>19</v>
      </c>
      <c r="S4167" s="1" t="s">
        <v>20</v>
      </c>
      <c r="T4167" s="1" t="s">
        <v>21</v>
      </c>
      <c r="U4167" s="1" t="s">
        <v>22</v>
      </c>
      <c r="V4167" s="1" t="s">
        <v>24</v>
      </c>
      <c r="W4167" s="1" t="s">
        <v>24</v>
      </c>
      <c r="X4167" s="1">
        <v>2715</v>
      </c>
      <c r="Y4167" s="1">
        <v>2721</v>
      </c>
      <c r="Z4167" s="1" t="s">
        <v>24</v>
      </c>
      <c r="AA4167" s="1" t="s">
        <v>24</v>
      </c>
      <c r="AB4167" s="1" t="s">
        <v>24</v>
      </c>
      <c r="AC4167" s="1" t="s">
        <v>24</v>
      </c>
      <c r="AD4167" s="1" t="s">
        <v>24</v>
      </c>
      <c r="AE4167" s="1" t="s">
        <v>24</v>
      </c>
      <c r="AF4167" s="22"/>
    </row>
    <row r="4168" spans="1:32" x14ac:dyDescent="0.2">
      <c r="A4168" s="1">
        <v>35230</v>
      </c>
      <c r="B4168" s="1" t="s">
        <v>12796</v>
      </c>
      <c r="C4168" s="5" t="s">
        <v>0</v>
      </c>
      <c r="D4168" s="1" t="s">
        <v>12797</v>
      </c>
      <c r="E4168" s="1" t="s">
        <v>12798</v>
      </c>
      <c r="F4168" s="1" t="s">
        <v>12799</v>
      </c>
      <c r="G4168" s="1" t="s">
        <v>12799</v>
      </c>
      <c r="H4168" s="1" t="s">
        <v>1957</v>
      </c>
      <c r="I4168" s="1" t="s">
        <v>16</v>
      </c>
      <c r="J4168" s="1">
        <v>1</v>
      </c>
      <c r="K4168" s="1">
        <v>6</v>
      </c>
      <c r="L4168" s="1" t="s">
        <v>42</v>
      </c>
      <c r="M4168" s="1" t="s">
        <v>10391</v>
      </c>
      <c r="N4168" s="1" t="s">
        <v>12245</v>
      </c>
      <c r="O4168" s="1">
        <v>3</v>
      </c>
      <c r="P4168" s="1">
        <v>5</v>
      </c>
      <c r="R4168" s="1" t="s">
        <v>19</v>
      </c>
      <c r="S4168" s="1" t="s">
        <v>20</v>
      </c>
      <c r="T4168" s="1" t="s">
        <v>21</v>
      </c>
      <c r="U4168" s="1" t="s">
        <v>22</v>
      </c>
      <c r="V4168" s="1" t="s">
        <v>23</v>
      </c>
      <c r="W4168" s="1" t="s">
        <v>24</v>
      </c>
      <c r="X4168" s="1">
        <v>2700</v>
      </c>
      <c r="Y4168" s="1" t="s">
        <v>24</v>
      </c>
      <c r="Z4168" s="1" t="s">
        <v>24</v>
      </c>
      <c r="AA4168" s="1" t="s">
        <v>24</v>
      </c>
      <c r="AB4168" s="1" t="s">
        <v>24</v>
      </c>
      <c r="AC4168" s="1" t="s">
        <v>24</v>
      </c>
      <c r="AD4168" s="1" t="s">
        <v>24</v>
      </c>
      <c r="AE4168" s="1" t="s">
        <v>24</v>
      </c>
      <c r="AF4168" s="22"/>
    </row>
    <row r="4169" spans="1:32" x14ac:dyDescent="0.2">
      <c r="A4169" s="1">
        <v>35277</v>
      </c>
      <c r="B4169" s="1" t="s">
        <v>12800</v>
      </c>
      <c r="C4169" s="5" t="s">
        <v>0</v>
      </c>
      <c r="D4169" s="1" t="s">
        <v>12801</v>
      </c>
      <c r="E4169" s="1" t="s">
        <v>12802</v>
      </c>
      <c r="F4169" s="1" t="s">
        <v>12803</v>
      </c>
      <c r="G4169" s="1" t="s">
        <v>12803</v>
      </c>
      <c r="H4169" s="1" t="s">
        <v>428</v>
      </c>
      <c r="I4169" s="1" t="s">
        <v>16</v>
      </c>
      <c r="J4169" s="1">
        <v>1</v>
      </c>
      <c r="K4169" s="1">
        <v>2</v>
      </c>
      <c r="L4169" s="1" t="s">
        <v>42</v>
      </c>
      <c r="M4169" s="1" t="s">
        <v>18</v>
      </c>
      <c r="N4169" s="1" t="s">
        <v>18</v>
      </c>
      <c r="O4169" s="1">
        <v>3</v>
      </c>
      <c r="P4169" s="1">
        <v>6</v>
      </c>
      <c r="R4169" s="1" t="s">
        <v>19</v>
      </c>
      <c r="S4169" s="1" t="s">
        <v>20</v>
      </c>
      <c r="T4169" s="1" t="s">
        <v>21</v>
      </c>
      <c r="U4169" s="1" t="s">
        <v>22</v>
      </c>
      <c r="V4169" s="1" t="s">
        <v>23</v>
      </c>
      <c r="W4169" s="1" t="s">
        <v>24</v>
      </c>
      <c r="X4169" s="1">
        <v>2706</v>
      </c>
      <c r="Y4169" s="1">
        <v>2711</v>
      </c>
      <c r="Z4169" s="1" t="s">
        <v>24</v>
      </c>
      <c r="AA4169" s="1" t="s">
        <v>24</v>
      </c>
      <c r="AB4169" s="1" t="s">
        <v>24</v>
      </c>
      <c r="AC4169" s="1" t="s">
        <v>24</v>
      </c>
      <c r="AD4169" s="1" t="s">
        <v>24</v>
      </c>
      <c r="AE4169" s="1" t="s">
        <v>24</v>
      </c>
      <c r="AF4169" s="22"/>
    </row>
    <row r="4170" spans="1:32" x14ac:dyDescent="0.2">
      <c r="A4170" s="1">
        <v>35296</v>
      </c>
      <c r="B4170" s="1" t="s">
        <v>12804</v>
      </c>
      <c r="C4170" s="5" t="s">
        <v>0</v>
      </c>
      <c r="D4170" s="1" t="s">
        <v>12805</v>
      </c>
      <c r="E4170" s="1" t="s">
        <v>12806</v>
      </c>
      <c r="F4170" s="1" t="s">
        <v>12807</v>
      </c>
      <c r="G4170" s="1" t="s">
        <v>7074</v>
      </c>
      <c r="H4170" s="1" t="s">
        <v>30</v>
      </c>
      <c r="I4170" s="1" t="s">
        <v>16</v>
      </c>
      <c r="J4170" s="1">
        <v>1</v>
      </c>
      <c r="K4170" s="1">
        <v>6</v>
      </c>
      <c r="L4170" s="1" t="s">
        <v>42</v>
      </c>
      <c r="M4170" s="1" t="s">
        <v>18</v>
      </c>
      <c r="N4170" s="1" t="s">
        <v>18</v>
      </c>
      <c r="O4170" s="1">
        <v>1</v>
      </c>
      <c r="P4170" s="1">
        <v>1</v>
      </c>
      <c r="R4170" s="1" t="s">
        <v>19</v>
      </c>
      <c r="S4170" s="1" t="s">
        <v>20</v>
      </c>
      <c r="T4170" s="1" t="s">
        <v>21</v>
      </c>
      <c r="U4170" s="1" t="s">
        <v>22</v>
      </c>
      <c r="V4170" s="1" t="s">
        <v>23</v>
      </c>
      <c r="W4170" s="1" t="s">
        <v>24</v>
      </c>
      <c r="X4170" s="1">
        <v>2711</v>
      </c>
      <c r="Y4170" s="1" t="s">
        <v>24</v>
      </c>
      <c r="Z4170" s="1" t="s">
        <v>24</v>
      </c>
      <c r="AA4170" s="1" t="s">
        <v>24</v>
      </c>
      <c r="AB4170" s="1" t="s">
        <v>24</v>
      </c>
      <c r="AC4170" s="1" t="s">
        <v>24</v>
      </c>
      <c r="AD4170" s="1" t="s">
        <v>24</v>
      </c>
      <c r="AE4170" s="1" t="s">
        <v>24</v>
      </c>
      <c r="AF4170" s="22"/>
    </row>
    <row r="4171" spans="1:32" x14ac:dyDescent="0.2">
      <c r="A4171" s="1">
        <v>35300</v>
      </c>
      <c r="B4171" s="1" t="s">
        <v>12808</v>
      </c>
      <c r="C4171" s="5" t="s">
        <v>0</v>
      </c>
      <c r="D4171" s="1" t="s">
        <v>12809</v>
      </c>
      <c r="F4171" s="1" t="s">
        <v>8784</v>
      </c>
      <c r="G4171" s="1" t="s">
        <v>2146</v>
      </c>
      <c r="H4171" s="1" t="s">
        <v>2147</v>
      </c>
      <c r="I4171" s="1" t="s">
        <v>16</v>
      </c>
      <c r="J4171" s="1">
        <v>1</v>
      </c>
      <c r="K4171" s="1">
        <v>10</v>
      </c>
      <c r="L4171" s="1" t="s">
        <v>42</v>
      </c>
      <c r="M4171" s="1" t="s">
        <v>18</v>
      </c>
      <c r="N4171" s="1" t="s">
        <v>18</v>
      </c>
      <c r="O4171" s="1">
        <v>2</v>
      </c>
      <c r="P4171" s="1">
        <v>5</v>
      </c>
      <c r="R4171" s="1" t="s">
        <v>19</v>
      </c>
      <c r="S4171" s="1" t="s">
        <v>20</v>
      </c>
      <c r="T4171" s="1" t="s">
        <v>21</v>
      </c>
      <c r="U4171" s="1" t="s">
        <v>22</v>
      </c>
      <c r="V4171" s="1" t="s">
        <v>24</v>
      </c>
      <c r="W4171" s="1" t="s">
        <v>24</v>
      </c>
      <c r="X4171" s="1">
        <v>3003</v>
      </c>
      <c r="Y4171" s="1" t="s">
        <v>24</v>
      </c>
      <c r="Z4171" s="1" t="s">
        <v>24</v>
      </c>
      <c r="AA4171" s="1" t="s">
        <v>24</v>
      </c>
      <c r="AB4171" s="1" t="s">
        <v>24</v>
      </c>
      <c r="AC4171" s="1" t="s">
        <v>24</v>
      </c>
      <c r="AD4171" s="1" t="s">
        <v>24</v>
      </c>
      <c r="AE4171" s="1" t="s">
        <v>24</v>
      </c>
      <c r="AF4171" s="22"/>
    </row>
    <row r="4172" spans="1:32" x14ac:dyDescent="0.2">
      <c r="A4172" s="1">
        <v>35353</v>
      </c>
      <c r="B4172" s="1" t="s">
        <v>12810</v>
      </c>
      <c r="C4172" s="5" t="s">
        <v>0</v>
      </c>
      <c r="D4172" s="1" t="s">
        <v>12811</v>
      </c>
      <c r="F4172" s="1" t="s">
        <v>12812</v>
      </c>
      <c r="G4172" s="1" t="s">
        <v>12812</v>
      </c>
      <c r="H4172" s="1" t="s">
        <v>116</v>
      </c>
      <c r="I4172" s="1" t="s">
        <v>16</v>
      </c>
      <c r="J4172" s="1">
        <v>1</v>
      </c>
      <c r="K4172" s="1">
        <v>4</v>
      </c>
      <c r="L4172" s="1" t="s">
        <v>17</v>
      </c>
      <c r="M4172" s="1" t="s">
        <v>117</v>
      </c>
      <c r="N4172" s="1" t="s">
        <v>118</v>
      </c>
      <c r="O4172" s="1">
        <v>3</v>
      </c>
      <c r="P4172" s="1">
        <v>5</v>
      </c>
      <c r="R4172" s="1" t="s">
        <v>19</v>
      </c>
      <c r="S4172" s="1" t="s">
        <v>20</v>
      </c>
      <c r="T4172" s="1" t="s">
        <v>21</v>
      </c>
      <c r="U4172" s="1" t="s">
        <v>22</v>
      </c>
      <c r="V4172" s="1" t="s">
        <v>23</v>
      </c>
      <c r="W4172" s="1" t="s">
        <v>24</v>
      </c>
      <c r="X4172" s="1">
        <v>2732</v>
      </c>
      <c r="Y4172" s="1" t="s">
        <v>24</v>
      </c>
      <c r="Z4172" s="1" t="s">
        <v>24</v>
      </c>
      <c r="AA4172" s="1" t="s">
        <v>24</v>
      </c>
      <c r="AB4172" s="1" t="s">
        <v>24</v>
      </c>
      <c r="AC4172" s="1" t="s">
        <v>24</v>
      </c>
      <c r="AD4172" s="1" t="s">
        <v>24</v>
      </c>
      <c r="AE4172" s="1" t="s">
        <v>24</v>
      </c>
      <c r="AF4172" s="22"/>
    </row>
    <row r="4173" spans="1:32" x14ac:dyDescent="0.2">
      <c r="A4173" s="1">
        <v>35354</v>
      </c>
      <c r="B4173" s="1" t="s">
        <v>12813</v>
      </c>
      <c r="C4173" s="5" t="s">
        <v>0</v>
      </c>
      <c r="D4173" s="1" t="s">
        <v>12814</v>
      </c>
      <c r="F4173" s="1" t="s">
        <v>1754</v>
      </c>
      <c r="G4173" s="1" t="s">
        <v>1754</v>
      </c>
      <c r="H4173" s="1" t="s">
        <v>684</v>
      </c>
      <c r="I4173" s="1" t="s">
        <v>16</v>
      </c>
      <c r="J4173" s="1">
        <v>0</v>
      </c>
      <c r="K4173" s="1">
        <v>0</v>
      </c>
      <c r="L4173" s="1" t="s">
        <v>42</v>
      </c>
      <c r="M4173" s="1" t="s">
        <v>18</v>
      </c>
      <c r="N4173" s="1" t="s">
        <v>18</v>
      </c>
      <c r="O4173" s="1">
        <v>2</v>
      </c>
      <c r="P4173" s="1">
        <v>6</v>
      </c>
      <c r="R4173" s="1" t="s">
        <v>19</v>
      </c>
      <c r="S4173" s="1" t="s">
        <v>20</v>
      </c>
      <c r="T4173" s="1" t="s">
        <v>21</v>
      </c>
      <c r="U4173" s="1" t="s">
        <v>22</v>
      </c>
      <c r="V4173" s="1" t="s">
        <v>24</v>
      </c>
      <c r="W4173" s="1" t="s">
        <v>24</v>
      </c>
      <c r="X4173" s="1">
        <v>2720</v>
      </c>
      <c r="Y4173" s="1" t="s">
        <v>24</v>
      </c>
      <c r="Z4173" s="1" t="s">
        <v>24</v>
      </c>
      <c r="AA4173" s="1" t="s">
        <v>24</v>
      </c>
      <c r="AB4173" s="1" t="s">
        <v>24</v>
      </c>
      <c r="AC4173" s="1" t="s">
        <v>24</v>
      </c>
      <c r="AD4173" s="1" t="s">
        <v>24</v>
      </c>
      <c r="AE4173" s="1" t="s">
        <v>24</v>
      </c>
      <c r="AF4173" s="22"/>
    </row>
    <row r="4174" spans="1:32" x14ac:dyDescent="0.2">
      <c r="A4174" s="1">
        <v>35437</v>
      </c>
      <c r="B4174" s="1" t="s">
        <v>12815</v>
      </c>
      <c r="C4174" s="5" t="s">
        <v>0</v>
      </c>
      <c r="D4174" s="1" t="s">
        <v>12816</v>
      </c>
      <c r="E4174" s="1" t="s">
        <v>12817</v>
      </c>
      <c r="F4174" s="1" t="s">
        <v>12818</v>
      </c>
      <c r="G4174" s="1" t="s">
        <v>12818</v>
      </c>
      <c r="H4174" s="1" t="s">
        <v>184</v>
      </c>
      <c r="I4174" s="1" t="s">
        <v>16</v>
      </c>
      <c r="J4174" s="1">
        <v>1</v>
      </c>
      <c r="K4174" s="1">
        <v>1</v>
      </c>
      <c r="L4174" s="1" t="s">
        <v>42</v>
      </c>
      <c r="M4174" s="1" t="s">
        <v>18</v>
      </c>
      <c r="N4174" s="1" t="s">
        <v>18</v>
      </c>
      <c r="O4174" s="1">
        <v>3</v>
      </c>
      <c r="P4174" s="1">
        <v>6</v>
      </c>
      <c r="R4174" s="1" t="s">
        <v>19</v>
      </c>
      <c r="S4174" s="1" t="s">
        <v>63</v>
      </c>
      <c r="T4174" s="1" t="s">
        <v>21</v>
      </c>
      <c r="U4174" s="1" t="s">
        <v>22</v>
      </c>
      <c r="V4174" s="1" t="s">
        <v>24</v>
      </c>
      <c r="W4174" s="1" t="s">
        <v>24</v>
      </c>
      <c r="X4174" s="1">
        <v>2700</v>
      </c>
      <c r="Y4174" s="1" t="s">
        <v>24</v>
      </c>
      <c r="Z4174" s="1" t="s">
        <v>24</v>
      </c>
      <c r="AA4174" s="1" t="s">
        <v>24</v>
      </c>
      <c r="AB4174" s="1" t="s">
        <v>24</v>
      </c>
      <c r="AC4174" s="1" t="s">
        <v>24</v>
      </c>
      <c r="AD4174" s="1" t="s">
        <v>24</v>
      </c>
      <c r="AE4174" s="1" t="s">
        <v>24</v>
      </c>
      <c r="AF4174" s="22"/>
    </row>
    <row r="4175" spans="1:32" x14ac:dyDescent="0.2">
      <c r="A4175" s="1">
        <v>35448</v>
      </c>
      <c r="B4175" s="1" t="s">
        <v>12819</v>
      </c>
      <c r="C4175" s="5" t="s">
        <v>0</v>
      </c>
      <c r="D4175" s="1" t="s">
        <v>12820</v>
      </c>
      <c r="E4175" s="1" t="s">
        <v>12821</v>
      </c>
      <c r="F4175" s="1" t="s">
        <v>12822</v>
      </c>
      <c r="G4175" s="1" t="s">
        <v>12822</v>
      </c>
      <c r="H4175" s="1" t="s">
        <v>1957</v>
      </c>
      <c r="I4175" s="1" t="s">
        <v>16</v>
      </c>
      <c r="J4175" s="1">
        <v>1</v>
      </c>
      <c r="K4175" s="1">
        <v>4</v>
      </c>
      <c r="L4175" s="1" t="s">
        <v>42</v>
      </c>
      <c r="M4175" s="1" t="s">
        <v>18</v>
      </c>
      <c r="N4175" s="1" t="s">
        <v>12245</v>
      </c>
      <c r="O4175" s="1">
        <v>2</v>
      </c>
      <c r="P4175" s="1">
        <v>5</v>
      </c>
      <c r="R4175" s="1" t="s">
        <v>19</v>
      </c>
      <c r="S4175" s="1" t="s">
        <v>20</v>
      </c>
      <c r="T4175" s="1" t="s">
        <v>21</v>
      </c>
      <c r="U4175" s="1" t="s">
        <v>22</v>
      </c>
      <c r="V4175" s="1" t="s">
        <v>24</v>
      </c>
      <c r="W4175" s="1" t="s">
        <v>24</v>
      </c>
      <c r="X4175" s="1">
        <v>2700</v>
      </c>
      <c r="Y4175" s="1" t="s">
        <v>24</v>
      </c>
      <c r="Z4175" s="1" t="s">
        <v>24</v>
      </c>
      <c r="AA4175" s="1" t="s">
        <v>24</v>
      </c>
      <c r="AB4175" s="1" t="s">
        <v>24</v>
      </c>
      <c r="AC4175" s="1" t="s">
        <v>24</v>
      </c>
      <c r="AD4175" s="1" t="s">
        <v>24</v>
      </c>
      <c r="AE4175" s="1" t="s">
        <v>24</v>
      </c>
      <c r="AF4175" s="22"/>
    </row>
    <row r="4176" spans="1:32" x14ac:dyDescent="0.2">
      <c r="A4176" s="1">
        <v>35453</v>
      </c>
      <c r="B4176" s="1" t="s">
        <v>12823</v>
      </c>
      <c r="C4176" s="5" t="s">
        <v>0</v>
      </c>
      <c r="D4176" s="1" t="s">
        <v>12824</v>
      </c>
      <c r="F4176" s="1" t="s">
        <v>12825</v>
      </c>
      <c r="G4176" s="1" t="s">
        <v>12825</v>
      </c>
      <c r="H4176" s="1" t="s">
        <v>2988</v>
      </c>
      <c r="I4176" s="1" t="s">
        <v>16</v>
      </c>
      <c r="J4176" s="1">
        <v>1</v>
      </c>
      <c r="K4176" s="1">
        <v>2</v>
      </c>
      <c r="L4176" s="1" t="s">
        <v>42</v>
      </c>
      <c r="M4176" s="1" t="s">
        <v>18</v>
      </c>
      <c r="N4176" s="1" t="s">
        <v>18</v>
      </c>
      <c r="O4176" s="1">
        <v>3</v>
      </c>
      <c r="P4176" s="1">
        <v>6</v>
      </c>
      <c r="R4176" s="1" t="s">
        <v>19</v>
      </c>
      <c r="S4176" s="1" t="s">
        <v>20</v>
      </c>
      <c r="T4176" s="1" t="s">
        <v>21</v>
      </c>
      <c r="V4176" s="1" t="s">
        <v>23</v>
      </c>
      <c r="W4176" s="1" t="s">
        <v>24</v>
      </c>
      <c r="X4176" s="1">
        <v>2711</v>
      </c>
      <c r="Y4176" s="1">
        <v>2732</v>
      </c>
      <c r="Z4176" s="1">
        <v>2746</v>
      </c>
      <c r="AA4176" s="1" t="s">
        <v>24</v>
      </c>
      <c r="AB4176" s="1" t="s">
        <v>24</v>
      </c>
      <c r="AC4176" s="1" t="s">
        <v>24</v>
      </c>
      <c r="AD4176" s="1" t="s">
        <v>24</v>
      </c>
      <c r="AE4176" s="1" t="s">
        <v>24</v>
      </c>
      <c r="AF4176" s="22"/>
    </row>
    <row r="4177" spans="1:32" x14ac:dyDescent="0.2">
      <c r="A4177" s="1">
        <v>35526</v>
      </c>
      <c r="B4177" s="1" t="s">
        <v>12826</v>
      </c>
      <c r="C4177" s="5" t="s">
        <v>0</v>
      </c>
      <c r="D4177" s="1" t="s">
        <v>12827</v>
      </c>
      <c r="F4177" s="1" t="s">
        <v>12828</v>
      </c>
      <c r="G4177" s="1" t="s">
        <v>12828</v>
      </c>
      <c r="H4177" s="1" t="s">
        <v>46</v>
      </c>
      <c r="I4177" s="1" t="s">
        <v>16</v>
      </c>
      <c r="J4177" s="1">
        <v>1</v>
      </c>
      <c r="K4177" s="1">
        <v>3</v>
      </c>
      <c r="L4177" s="1" t="s">
        <v>42</v>
      </c>
      <c r="M4177" s="1" t="s">
        <v>18</v>
      </c>
      <c r="N4177" s="1" t="s">
        <v>18</v>
      </c>
      <c r="O4177" s="1">
        <v>3</v>
      </c>
      <c r="P4177" s="1">
        <v>6</v>
      </c>
      <c r="R4177" s="1" t="s">
        <v>19</v>
      </c>
      <c r="S4177" s="1" t="s">
        <v>20</v>
      </c>
      <c r="T4177" s="1" t="s">
        <v>21</v>
      </c>
      <c r="U4177" s="1" t="s">
        <v>22</v>
      </c>
      <c r="V4177" s="1" t="s">
        <v>24</v>
      </c>
      <c r="W4177" s="1" t="s">
        <v>24</v>
      </c>
      <c r="X4177" s="1">
        <v>1100</v>
      </c>
      <c r="Y4177" s="1">
        <v>1300</v>
      </c>
      <c r="Z4177" s="1">
        <v>1900</v>
      </c>
      <c r="AA4177" s="1">
        <v>2300</v>
      </c>
      <c r="AB4177" s="1">
        <v>2800</v>
      </c>
      <c r="AC4177" s="1" t="s">
        <v>24</v>
      </c>
      <c r="AD4177" s="1" t="s">
        <v>24</v>
      </c>
      <c r="AE4177" s="1" t="s">
        <v>24</v>
      </c>
      <c r="AF4177" s="22"/>
    </row>
    <row r="4178" spans="1:32" x14ac:dyDescent="0.2">
      <c r="A4178" s="1">
        <v>35582</v>
      </c>
      <c r="B4178" s="1" t="s">
        <v>12829</v>
      </c>
      <c r="C4178" s="5" t="s">
        <v>0</v>
      </c>
      <c r="D4178" s="1" t="s">
        <v>12830</v>
      </c>
      <c r="E4178" s="1" t="s">
        <v>12831</v>
      </c>
      <c r="F4178" s="1" t="s">
        <v>12832</v>
      </c>
      <c r="G4178" s="1" t="s">
        <v>12832</v>
      </c>
      <c r="H4178" s="1" t="s">
        <v>1957</v>
      </c>
      <c r="I4178" s="1" t="s">
        <v>16</v>
      </c>
      <c r="J4178" s="1">
        <v>1</v>
      </c>
      <c r="K4178" s="1">
        <v>6</v>
      </c>
      <c r="L4178" s="1" t="s">
        <v>42</v>
      </c>
      <c r="M4178" s="1" t="s">
        <v>10391</v>
      </c>
      <c r="N4178" s="1" t="s">
        <v>12245</v>
      </c>
      <c r="O4178" s="1">
        <v>3</v>
      </c>
      <c r="P4178" s="1">
        <v>5</v>
      </c>
      <c r="R4178" s="1" t="s">
        <v>19</v>
      </c>
      <c r="S4178" s="1" t="s">
        <v>20</v>
      </c>
      <c r="T4178" s="1" t="s">
        <v>21</v>
      </c>
      <c r="U4178" s="1" t="s">
        <v>22</v>
      </c>
      <c r="V4178" s="1" t="s">
        <v>24</v>
      </c>
      <c r="W4178" s="1" t="s">
        <v>24</v>
      </c>
      <c r="X4178" s="1">
        <v>2712</v>
      </c>
      <c r="Y4178" s="1">
        <v>2724</v>
      </c>
      <c r="Z4178" s="1" t="s">
        <v>24</v>
      </c>
      <c r="AA4178" s="1" t="s">
        <v>24</v>
      </c>
      <c r="AB4178" s="1" t="s">
        <v>24</v>
      </c>
      <c r="AC4178" s="1" t="s">
        <v>24</v>
      </c>
      <c r="AD4178" s="1" t="s">
        <v>24</v>
      </c>
      <c r="AE4178" s="1" t="s">
        <v>24</v>
      </c>
      <c r="AF4178" s="22"/>
    </row>
    <row r="4179" spans="1:32" x14ac:dyDescent="0.2">
      <c r="A4179" s="1">
        <v>35628</v>
      </c>
      <c r="B4179" s="1" t="s">
        <v>12833</v>
      </c>
      <c r="C4179" s="5" t="s">
        <v>0</v>
      </c>
      <c r="D4179" s="1" t="s">
        <v>12834</v>
      </c>
      <c r="E4179" s="1" t="s">
        <v>12835</v>
      </c>
      <c r="F4179" s="1" t="s">
        <v>167</v>
      </c>
      <c r="G4179" s="1" t="s">
        <v>130</v>
      </c>
      <c r="H4179" s="1" t="s">
        <v>2772</v>
      </c>
      <c r="I4179" s="1" t="s">
        <v>16</v>
      </c>
      <c r="J4179" s="1">
        <v>1</v>
      </c>
      <c r="K4179" s="1">
        <v>4</v>
      </c>
      <c r="L4179" s="1" t="s">
        <v>31</v>
      </c>
      <c r="M4179" s="1" t="s">
        <v>18</v>
      </c>
      <c r="N4179" s="1" t="s">
        <v>18</v>
      </c>
      <c r="O4179" s="1">
        <v>1</v>
      </c>
      <c r="P4179" s="1">
        <v>1</v>
      </c>
      <c r="R4179" s="1" t="s">
        <v>19</v>
      </c>
      <c r="S4179" s="1" t="s">
        <v>20</v>
      </c>
      <c r="T4179" s="1" t="s">
        <v>21</v>
      </c>
      <c r="U4179" s="1" t="s">
        <v>22</v>
      </c>
      <c r="V4179" s="1" t="s">
        <v>24</v>
      </c>
      <c r="W4179" s="1" t="s">
        <v>24</v>
      </c>
      <c r="X4179" s="1">
        <v>1311</v>
      </c>
      <c r="Y4179" s="1">
        <v>1303</v>
      </c>
      <c r="Z4179" s="1">
        <v>1312</v>
      </c>
      <c r="AA4179" s="1" t="s">
        <v>24</v>
      </c>
      <c r="AB4179" s="1" t="s">
        <v>24</v>
      </c>
      <c r="AC4179" s="1" t="s">
        <v>24</v>
      </c>
      <c r="AD4179" s="1" t="s">
        <v>24</v>
      </c>
      <c r="AE4179" s="1" t="s">
        <v>24</v>
      </c>
      <c r="AF4179" s="22" t="s">
        <v>17670</v>
      </c>
    </row>
    <row r="4180" spans="1:32" x14ac:dyDescent="0.2">
      <c r="A4180" s="1">
        <v>35660</v>
      </c>
      <c r="B4180" s="1" t="s">
        <v>12836</v>
      </c>
      <c r="C4180" s="5" t="s">
        <v>0</v>
      </c>
      <c r="D4180" s="1" t="s">
        <v>12837</v>
      </c>
      <c r="F4180" s="1" t="s">
        <v>7346</v>
      </c>
      <c r="G4180" s="1" t="s">
        <v>7346</v>
      </c>
      <c r="H4180" s="1" t="s">
        <v>731</v>
      </c>
      <c r="I4180" s="1" t="s">
        <v>16</v>
      </c>
      <c r="J4180" s="1">
        <v>1</v>
      </c>
      <c r="K4180" s="1">
        <v>6</v>
      </c>
      <c r="L4180" s="1" t="s">
        <v>42</v>
      </c>
      <c r="M4180" s="1" t="s">
        <v>105</v>
      </c>
      <c r="N4180" s="1" t="s">
        <v>18</v>
      </c>
      <c r="O4180" s="1">
        <v>3</v>
      </c>
      <c r="P4180" s="1">
        <v>7</v>
      </c>
      <c r="Q4180" s="7" t="s">
        <v>17633</v>
      </c>
      <c r="R4180" s="1" t="s">
        <v>19</v>
      </c>
      <c r="S4180" s="1" t="s">
        <v>20</v>
      </c>
      <c r="T4180" s="1" t="s">
        <v>21</v>
      </c>
      <c r="U4180" s="1" t="s">
        <v>22</v>
      </c>
      <c r="V4180" s="1" t="s">
        <v>24</v>
      </c>
      <c r="W4180" s="1" t="s">
        <v>24</v>
      </c>
      <c r="X4180" s="1">
        <v>2733</v>
      </c>
      <c r="Y4180" s="1">
        <v>2746</v>
      </c>
      <c r="Z4180" s="1" t="s">
        <v>24</v>
      </c>
      <c r="AA4180" s="1" t="s">
        <v>24</v>
      </c>
      <c r="AB4180" s="1" t="s">
        <v>24</v>
      </c>
      <c r="AC4180" s="1" t="s">
        <v>24</v>
      </c>
      <c r="AD4180" s="1" t="s">
        <v>24</v>
      </c>
      <c r="AE4180" s="1" t="s">
        <v>24</v>
      </c>
      <c r="AF4180" s="22"/>
    </row>
    <row r="4181" spans="1:32" x14ac:dyDescent="0.2">
      <c r="A4181" s="1">
        <v>35674</v>
      </c>
      <c r="B4181" s="1" t="s">
        <v>12838</v>
      </c>
      <c r="C4181" s="5" t="s">
        <v>0</v>
      </c>
      <c r="D4181" s="1" t="s">
        <v>12839</v>
      </c>
      <c r="F4181" s="1" t="s">
        <v>272</v>
      </c>
      <c r="G4181" s="1" t="s">
        <v>61</v>
      </c>
      <c r="H4181" s="1" t="s">
        <v>30</v>
      </c>
      <c r="I4181" s="1" t="s">
        <v>112</v>
      </c>
      <c r="J4181" s="1">
        <v>0</v>
      </c>
      <c r="K4181" s="1">
        <v>0</v>
      </c>
      <c r="L4181" s="1" t="s">
        <v>31</v>
      </c>
      <c r="M4181" s="1" t="s">
        <v>18</v>
      </c>
      <c r="N4181" s="1" t="s">
        <v>18</v>
      </c>
      <c r="O4181" s="1">
        <v>3</v>
      </c>
      <c r="P4181" s="1">
        <v>7</v>
      </c>
      <c r="Q4181" s="7" t="s">
        <v>17633</v>
      </c>
      <c r="R4181" s="1" t="s">
        <v>62</v>
      </c>
      <c r="S4181" s="1" t="s">
        <v>20</v>
      </c>
      <c r="T4181" s="1" t="s">
        <v>21</v>
      </c>
      <c r="U4181" s="1" t="s">
        <v>22</v>
      </c>
      <c r="V4181" s="1" t="s">
        <v>24</v>
      </c>
      <c r="W4181" s="1" t="s">
        <v>24</v>
      </c>
      <c r="X4181" s="1">
        <v>1312</v>
      </c>
      <c r="Y4181" s="1">
        <v>1307</v>
      </c>
      <c r="Z4181" s="1">
        <v>1303</v>
      </c>
      <c r="AA4181" s="1" t="s">
        <v>24</v>
      </c>
      <c r="AB4181" s="1" t="s">
        <v>24</v>
      </c>
      <c r="AC4181" s="1" t="s">
        <v>24</v>
      </c>
      <c r="AD4181" s="1" t="s">
        <v>24</v>
      </c>
      <c r="AE4181" s="1" t="s">
        <v>24</v>
      </c>
      <c r="AF4181" s="22"/>
    </row>
    <row r="4182" spans="1:32" x14ac:dyDescent="0.2">
      <c r="A4182" s="1">
        <v>35935</v>
      </c>
      <c r="B4182" s="1" t="s">
        <v>12840</v>
      </c>
      <c r="C4182" s="5" t="s">
        <v>0</v>
      </c>
      <c r="D4182" s="1" t="s">
        <v>12841</v>
      </c>
      <c r="E4182" s="1" t="s">
        <v>12842</v>
      </c>
      <c r="F4182" s="1" t="s">
        <v>291</v>
      </c>
      <c r="G4182" s="1" t="s">
        <v>292</v>
      </c>
      <c r="H4182" s="1" t="s">
        <v>37</v>
      </c>
      <c r="I4182" s="1" t="s">
        <v>16</v>
      </c>
      <c r="J4182" s="1">
        <v>1</v>
      </c>
      <c r="K4182" s="1">
        <v>6</v>
      </c>
      <c r="L4182" s="1" t="s">
        <v>31</v>
      </c>
      <c r="M4182" s="1" t="s">
        <v>18</v>
      </c>
      <c r="N4182" s="1" t="s">
        <v>18</v>
      </c>
      <c r="O4182" s="1">
        <v>3</v>
      </c>
      <c r="P4182" s="1">
        <v>7</v>
      </c>
      <c r="Q4182" s="7" t="s">
        <v>17633</v>
      </c>
      <c r="R4182" s="1" t="s">
        <v>19</v>
      </c>
      <c r="S4182" s="1" t="s">
        <v>20</v>
      </c>
      <c r="T4182" s="1" t="s">
        <v>21</v>
      </c>
      <c r="U4182" s="1" t="s">
        <v>22</v>
      </c>
      <c r="V4182" s="1" t="s">
        <v>24</v>
      </c>
      <c r="W4182" s="1" t="s">
        <v>24</v>
      </c>
      <c r="X4182" s="1">
        <v>1311</v>
      </c>
      <c r="Y4182" s="1">
        <v>1312</v>
      </c>
      <c r="Z4182" s="1" t="s">
        <v>24</v>
      </c>
      <c r="AA4182" s="1" t="s">
        <v>24</v>
      </c>
      <c r="AB4182" s="1" t="s">
        <v>24</v>
      </c>
      <c r="AC4182" s="1" t="s">
        <v>24</v>
      </c>
      <c r="AD4182" s="1" t="s">
        <v>24</v>
      </c>
      <c r="AE4182" s="1" t="s">
        <v>24</v>
      </c>
      <c r="AF4182" s="22"/>
    </row>
    <row r="4183" spans="1:32" x14ac:dyDescent="0.2">
      <c r="A4183" s="1">
        <v>35964</v>
      </c>
      <c r="B4183" s="1" t="s">
        <v>12843</v>
      </c>
      <c r="C4183" s="5" t="s">
        <v>0</v>
      </c>
      <c r="D4183" s="1" t="s">
        <v>12844</v>
      </c>
      <c r="E4183" s="1" t="s">
        <v>12845</v>
      </c>
      <c r="F4183" s="1" t="s">
        <v>296</v>
      </c>
      <c r="G4183" s="1" t="s">
        <v>36</v>
      </c>
      <c r="H4183" s="1" t="s">
        <v>264</v>
      </c>
      <c r="I4183" s="1" t="s">
        <v>16</v>
      </c>
      <c r="J4183" s="1">
        <v>1</v>
      </c>
      <c r="K4183" s="1">
        <v>4</v>
      </c>
      <c r="L4183" s="1" t="s">
        <v>31</v>
      </c>
      <c r="M4183" s="1" t="s">
        <v>18</v>
      </c>
      <c r="N4183" s="1" t="s">
        <v>18</v>
      </c>
      <c r="O4183" s="1">
        <v>3</v>
      </c>
      <c r="P4183" s="1">
        <v>7</v>
      </c>
      <c r="Q4183" s="7" t="s">
        <v>17633</v>
      </c>
      <c r="R4183" s="1" t="s">
        <v>19</v>
      </c>
      <c r="S4183" s="1" t="s">
        <v>20</v>
      </c>
      <c r="T4183" s="1" t="s">
        <v>21</v>
      </c>
      <c r="U4183" s="1" t="s">
        <v>22</v>
      </c>
      <c r="V4183" s="1" t="s">
        <v>23</v>
      </c>
      <c r="W4183" s="1" t="s">
        <v>24</v>
      </c>
      <c r="X4183" s="1">
        <v>2745</v>
      </c>
      <c r="Y4183" s="1" t="s">
        <v>24</v>
      </c>
      <c r="Z4183" s="1" t="s">
        <v>24</v>
      </c>
      <c r="AA4183" s="1" t="s">
        <v>24</v>
      </c>
      <c r="AB4183" s="1" t="s">
        <v>24</v>
      </c>
      <c r="AC4183" s="1" t="s">
        <v>24</v>
      </c>
      <c r="AD4183" s="1" t="s">
        <v>24</v>
      </c>
      <c r="AE4183" s="1" t="s">
        <v>24</v>
      </c>
      <c r="AF4183" s="22"/>
    </row>
    <row r="4184" spans="1:32" x14ac:dyDescent="0.2">
      <c r="A4184" s="1">
        <v>36131</v>
      </c>
      <c r="B4184" s="1" t="s">
        <v>12846</v>
      </c>
      <c r="C4184" s="5" t="s">
        <v>0</v>
      </c>
      <c r="D4184" s="1" t="s">
        <v>12847</v>
      </c>
      <c r="E4184" s="1" t="s">
        <v>12848</v>
      </c>
      <c r="F4184" s="1" t="s">
        <v>28</v>
      </c>
      <c r="G4184" s="1" t="s">
        <v>29</v>
      </c>
      <c r="H4184" s="1" t="s">
        <v>30</v>
      </c>
      <c r="I4184" s="1" t="s">
        <v>16</v>
      </c>
      <c r="J4184" s="1">
        <v>1</v>
      </c>
      <c r="K4184" s="1">
        <v>6</v>
      </c>
      <c r="L4184" s="1" t="s">
        <v>31</v>
      </c>
      <c r="M4184" s="1" t="s">
        <v>18</v>
      </c>
      <c r="N4184" s="1" t="s">
        <v>18</v>
      </c>
      <c r="O4184" s="1">
        <v>3</v>
      </c>
      <c r="P4184" s="1">
        <v>7</v>
      </c>
      <c r="Q4184" s="7" t="s">
        <v>17633</v>
      </c>
      <c r="R4184" s="1" t="s">
        <v>19</v>
      </c>
      <c r="S4184" s="1" t="s">
        <v>20</v>
      </c>
      <c r="T4184" s="1" t="s">
        <v>21</v>
      </c>
      <c r="U4184" s="1" t="s">
        <v>22</v>
      </c>
      <c r="V4184" s="1" t="s">
        <v>23</v>
      </c>
      <c r="W4184" s="1" t="s">
        <v>24</v>
      </c>
      <c r="X4184" s="1">
        <v>2732</v>
      </c>
      <c r="Y4184" s="1" t="s">
        <v>24</v>
      </c>
      <c r="Z4184" s="1" t="s">
        <v>24</v>
      </c>
      <c r="AA4184" s="1" t="s">
        <v>24</v>
      </c>
      <c r="AB4184" s="1" t="s">
        <v>24</v>
      </c>
      <c r="AC4184" s="1" t="s">
        <v>24</v>
      </c>
      <c r="AD4184" s="1" t="s">
        <v>24</v>
      </c>
      <c r="AE4184" s="1" t="s">
        <v>24</v>
      </c>
      <c r="AF4184" s="22"/>
    </row>
    <row r="4185" spans="1:32" x14ac:dyDescent="0.2">
      <c r="A4185" s="1">
        <v>36400</v>
      </c>
      <c r="B4185" s="1" t="s">
        <v>12849</v>
      </c>
      <c r="C4185" s="5" t="s">
        <v>0</v>
      </c>
      <c r="D4185" s="1" t="s">
        <v>12850</v>
      </c>
      <c r="E4185" s="1" t="s">
        <v>12851</v>
      </c>
      <c r="F4185" s="1" t="s">
        <v>4337</v>
      </c>
      <c r="G4185" s="1" t="s">
        <v>4338</v>
      </c>
      <c r="H4185" s="1" t="s">
        <v>30</v>
      </c>
      <c r="I4185" s="1" t="s">
        <v>16</v>
      </c>
      <c r="J4185" s="1">
        <v>1</v>
      </c>
      <c r="K4185" s="1">
        <v>6</v>
      </c>
      <c r="L4185" s="1" t="s">
        <v>31</v>
      </c>
      <c r="M4185" s="1" t="s">
        <v>18</v>
      </c>
      <c r="N4185" s="1" t="s">
        <v>18</v>
      </c>
      <c r="O4185" s="1">
        <v>3</v>
      </c>
      <c r="P4185" s="1">
        <v>6</v>
      </c>
      <c r="R4185" s="1" t="s">
        <v>19</v>
      </c>
      <c r="S4185" s="1" t="s">
        <v>20</v>
      </c>
      <c r="T4185" s="1" t="s">
        <v>21</v>
      </c>
      <c r="U4185" s="1" t="s">
        <v>22</v>
      </c>
      <c r="V4185" s="1" t="s">
        <v>23</v>
      </c>
      <c r="W4185" s="1" t="s">
        <v>24</v>
      </c>
      <c r="X4185" s="1">
        <v>2719</v>
      </c>
      <c r="Y4185" s="1">
        <v>2911</v>
      </c>
      <c r="Z4185" s="1">
        <v>2739</v>
      </c>
      <c r="AA4185" s="1" t="s">
        <v>24</v>
      </c>
      <c r="AB4185" s="1" t="s">
        <v>24</v>
      </c>
      <c r="AC4185" s="1" t="s">
        <v>24</v>
      </c>
      <c r="AD4185" s="1" t="s">
        <v>24</v>
      </c>
      <c r="AE4185" s="1" t="s">
        <v>24</v>
      </c>
      <c r="AF4185" s="22"/>
    </row>
    <row r="4186" spans="1:32" x14ac:dyDescent="0.2">
      <c r="A4186" s="1">
        <v>36449</v>
      </c>
      <c r="B4186" s="1" t="s">
        <v>12852</v>
      </c>
      <c r="C4186" s="5" t="s">
        <v>0</v>
      </c>
      <c r="E4186" s="1" t="s">
        <v>12853</v>
      </c>
      <c r="F4186" s="1" t="s">
        <v>2299</v>
      </c>
      <c r="G4186" s="1" t="s">
        <v>2300</v>
      </c>
      <c r="H4186" s="1" t="s">
        <v>37</v>
      </c>
      <c r="I4186" s="1" t="s">
        <v>16</v>
      </c>
      <c r="J4186" s="1">
        <v>1</v>
      </c>
      <c r="K4186" s="1">
        <v>1</v>
      </c>
      <c r="L4186" s="1" t="s">
        <v>31</v>
      </c>
      <c r="M4186" s="1" t="s">
        <v>18</v>
      </c>
      <c r="N4186" s="1" t="s">
        <v>18</v>
      </c>
      <c r="O4186" s="1">
        <v>3</v>
      </c>
      <c r="P4186" s="1">
        <v>6</v>
      </c>
      <c r="R4186" s="1" t="s">
        <v>19</v>
      </c>
      <c r="S4186" s="1" t="s">
        <v>63</v>
      </c>
      <c r="T4186" s="1" t="s">
        <v>21</v>
      </c>
      <c r="U4186" s="1" t="s">
        <v>22</v>
      </c>
      <c r="V4186" s="1" t="s">
        <v>24</v>
      </c>
      <c r="W4186" s="1" t="s">
        <v>24</v>
      </c>
      <c r="X4186" s="1">
        <v>2741</v>
      </c>
      <c r="Y4186" s="1" t="s">
        <v>24</v>
      </c>
      <c r="Z4186" s="1" t="s">
        <v>24</v>
      </c>
      <c r="AA4186" s="1" t="s">
        <v>24</v>
      </c>
      <c r="AB4186" s="1" t="s">
        <v>24</v>
      </c>
      <c r="AC4186" s="1" t="s">
        <v>24</v>
      </c>
      <c r="AD4186" s="1" t="s">
        <v>24</v>
      </c>
      <c r="AE4186" s="1" t="s">
        <v>24</v>
      </c>
      <c r="AF4186" s="22"/>
    </row>
    <row r="4187" spans="1:32" x14ac:dyDescent="0.2">
      <c r="A4187" s="1">
        <v>36791</v>
      </c>
      <c r="B4187" s="1" t="s">
        <v>12854</v>
      </c>
      <c r="C4187" s="5" t="s">
        <v>0</v>
      </c>
      <c r="D4187" s="1" t="s">
        <v>12855</v>
      </c>
      <c r="E4187" s="1" t="s">
        <v>12856</v>
      </c>
      <c r="F4187" s="1" t="s">
        <v>4337</v>
      </c>
      <c r="G4187" s="1" t="s">
        <v>4338</v>
      </c>
      <c r="H4187" s="1" t="s">
        <v>30</v>
      </c>
      <c r="I4187" s="1" t="s">
        <v>16</v>
      </c>
      <c r="J4187" s="1">
        <v>1</v>
      </c>
      <c r="K4187" s="1">
        <v>4</v>
      </c>
      <c r="L4187" s="1" t="s">
        <v>31</v>
      </c>
      <c r="M4187" s="1" t="s">
        <v>18</v>
      </c>
      <c r="N4187" s="1" t="s">
        <v>18</v>
      </c>
      <c r="O4187" s="1">
        <v>3</v>
      </c>
      <c r="P4187" s="1">
        <v>6</v>
      </c>
      <c r="R4187" s="1" t="s">
        <v>19</v>
      </c>
      <c r="S4187" s="1" t="s">
        <v>20</v>
      </c>
      <c r="T4187" s="1" t="s">
        <v>21</v>
      </c>
      <c r="U4187" s="1" t="s">
        <v>22</v>
      </c>
      <c r="V4187" s="1" t="s">
        <v>24</v>
      </c>
      <c r="W4187" s="1" t="s">
        <v>24</v>
      </c>
      <c r="X4187" s="1">
        <v>2740</v>
      </c>
      <c r="Y4187" s="1">
        <v>2736</v>
      </c>
      <c r="Z4187" s="1">
        <v>3003</v>
      </c>
      <c r="AA4187" s="1" t="s">
        <v>24</v>
      </c>
      <c r="AB4187" s="1" t="s">
        <v>24</v>
      </c>
      <c r="AC4187" s="1" t="s">
        <v>24</v>
      </c>
      <c r="AD4187" s="1" t="s">
        <v>24</v>
      </c>
      <c r="AE4187" s="1" t="s">
        <v>24</v>
      </c>
      <c r="AF4187" s="22"/>
    </row>
    <row r="4188" spans="1:32" x14ac:dyDescent="0.2">
      <c r="A4188" s="1">
        <v>36801</v>
      </c>
      <c r="B4188" s="1" t="s">
        <v>12857</v>
      </c>
      <c r="C4188" s="5" t="s">
        <v>0</v>
      </c>
      <c r="D4188" s="1" t="s">
        <v>12858</v>
      </c>
      <c r="E4188" s="1" t="s">
        <v>12859</v>
      </c>
      <c r="F4188" s="1" t="s">
        <v>310</v>
      </c>
      <c r="G4188" s="1" t="s">
        <v>311</v>
      </c>
      <c r="H4188" s="1" t="s">
        <v>37</v>
      </c>
      <c r="I4188" s="1" t="s">
        <v>16</v>
      </c>
      <c r="J4188" s="1">
        <v>1</v>
      </c>
      <c r="K4188" s="1">
        <v>12</v>
      </c>
      <c r="L4188" s="1" t="s">
        <v>31</v>
      </c>
      <c r="M4188" s="1" t="s">
        <v>18</v>
      </c>
      <c r="N4188" s="1" t="s">
        <v>18</v>
      </c>
      <c r="O4188" s="1">
        <v>3</v>
      </c>
      <c r="P4188" s="1">
        <v>7</v>
      </c>
      <c r="Q4188" s="7" t="s">
        <v>17633</v>
      </c>
      <c r="R4188" s="1" t="s">
        <v>19</v>
      </c>
      <c r="S4188" s="1" t="s">
        <v>20</v>
      </c>
      <c r="T4188" s="1" t="s">
        <v>21</v>
      </c>
      <c r="U4188" s="1" t="s">
        <v>22</v>
      </c>
      <c r="V4188" s="1" t="s">
        <v>24</v>
      </c>
      <c r="W4188" s="1" t="s">
        <v>24</v>
      </c>
      <c r="X4188" s="1">
        <v>1106</v>
      </c>
      <c r="Y4188" s="1">
        <v>2307</v>
      </c>
      <c r="Z4188" s="1">
        <v>2739</v>
      </c>
      <c r="AA4188" s="1">
        <v>3005</v>
      </c>
      <c r="AB4188" s="1">
        <v>1600</v>
      </c>
      <c r="AC4188" s="1" t="s">
        <v>24</v>
      </c>
      <c r="AD4188" s="1" t="s">
        <v>24</v>
      </c>
      <c r="AE4188" s="1" t="s">
        <v>24</v>
      </c>
      <c r="AF4188" s="22"/>
    </row>
    <row r="4189" spans="1:32" x14ac:dyDescent="0.2">
      <c r="A4189" s="1">
        <v>36803</v>
      </c>
      <c r="B4189" s="1" t="s">
        <v>12860</v>
      </c>
      <c r="C4189" s="5" t="s">
        <v>0</v>
      </c>
      <c r="D4189" s="1" t="s">
        <v>12861</v>
      </c>
      <c r="F4189" s="1" t="s">
        <v>2776</v>
      </c>
      <c r="G4189" s="1" t="s">
        <v>61</v>
      </c>
      <c r="H4189" s="1" t="s">
        <v>46</v>
      </c>
      <c r="I4189" s="1" t="s">
        <v>16</v>
      </c>
      <c r="J4189" s="1">
        <v>1</v>
      </c>
      <c r="K4189" s="1">
        <v>6</v>
      </c>
      <c r="L4189" s="1" t="s">
        <v>31</v>
      </c>
      <c r="M4189" s="1" t="s">
        <v>18</v>
      </c>
      <c r="N4189" s="1" t="s">
        <v>18</v>
      </c>
      <c r="O4189" s="1">
        <v>3</v>
      </c>
      <c r="P4189" s="1">
        <v>6</v>
      </c>
      <c r="R4189" s="1" t="s">
        <v>19</v>
      </c>
      <c r="S4189" s="1" t="s">
        <v>20</v>
      </c>
      <c r="T4189" s="1" t="s">
        <v>21</v>
      </c>
      <c r="U4189" s="1" t="s">
        <v>22</v>
      </c>
      <c r="V4189" s="1" t="s">
        <v>24</v>
      </c>
      <c r="W4189" s="1" t="s">
        <v>24</v>
      </c>
      <c r="X4189" s="1">
        <v>2735</v>
      </c>
      <c r="Y4189" s="1" t="s">
        <v>24</v>
      </c>
      <c r="Z4189" s="1" t="s">
        <v>24</v>
      </c>
      <c r="AA4189" s="1" t="s">
        <v>24</v>
      </c>
      <c r="AB4189" s="1" t="s">
        <v>24</v>
      </c>
      <c r="AC4189" s="1" t="s">
        <v>24</v>
      </c>
      <c r="AD4189" s="1" t="s">
        <v>24</v>
      </c>
      <c r="AE4189" s="1" t="s">
        <v>24</v>
      </c>
      <c r="AF4189" s="22"/>
    </row>
    <row r="4190" spans="1:32" x14ac:dyDescent="0.2">
      <c r="A4190" s="1">
        <v>36804</v>
      </c>
      <c r="B4190" s="1" t="s">
        <v>12862</v>
      </c>
      <c r="C4190" s="5" t="s">
        <v>0</v>
      </c>
      <c r="D4190" s="1" t="s">
        <v>12863</v>
      </c>
      <c r="F4190" s="1" t="s">
        <v>12864</v>
      </c>
      <c r="G4190" s="1" t="s">
        <v>12864</v>
      </c>
      <c r="H4190" s="1" t="s">
        <v>8766</v>
      </c>
      <c r="I4190" s="1" t="s">
        <v>16</v>
      </c>
      <c r="J4190" s="1">
        <v>1</v>
      </c>
      <c r="K4190" s="1">
        <v>1</v>
      </c>
      <c r="L4190" s="1" t="s">
        <v>42</v>
      </c>
      <c r="M4190" s="1" t="s">
        <v>18</v>
      </c>
      <c r="N4190" s="1" t="s">
        <v>18</v>
      </c>
      <c r="O4190" s="1">
        <v>2</v>
      </c>
      <c r="P4190" s="1">
        <v>6</v>
      </c>
      <c r="R4190" s="1" t="s">
        <v>19</v>
      </c>
      <c r="S4190" s="1" t="s">
        <v>63</v>
      </c>
      <c r="T4190" s="1" t="s">
        <v>21</v>
      </c>
      <c r="U4190" s="1" t="s">
        <v>22</v>
      </c>
      <c r="V4190" s="1" t="s">
        <v>24</v>
      </c>
      <c r="W4190" s="1" t="s">
        <v>24</v>
      </c>
      <c r="X4190" s="1">
        <v>2711</v>
      </c>
      <c r="Y4190" s="1">
        <v>2706</v>
      </c>
      <c r="Z4190" s="1" t="s">
        <v>24</v>
      </c>
      <c r="AA4190" s="1" t="s">
        <v>24</v>
      </c>
      <c r="AB4190" s="1" t="s">
        <v>24</v>
      </c>
      <c r="AC4190" s="1" t="s">
        <v>24</v>
      </c>
      <c r="AD4190" s="1" t="s">
        <v>24</v>
      </c>
      <c r="AE4190" s="1" t="s">
        <v>24</v>
      </c>
      <c r="AF4190" s="22"/>
    </row>
    <row r="4191" spans="1:32" x14ac:dyDescent="0.2">
      <c r="A4191" s="1">
        <v>36805</v>
      </c>
      <c r="B4191" s="1" t="s">
        <v>12865</v>
      </c>
      <c r="C4191" s="5" t="s">
        <v>0</v>
      </c>
      <c r="D4191" s="1" t="s">
        <v>12866</v>
      </c>
      <c r="E4191" s="1" t="s">
        <v>12867</v>
      </c>
      <c r="F4191" s="1" t="s">
        <v>291</v>
      </c>
      <c r="G4191" s="1" t="s">
        <v>292</v>
      </c>
      <c r="H4191" s="1" t="s">
        <v>37</v>
      </c>
      <c r="I4191" s="1" t="s">
        <v>16</v>
      </c>
      <c r="J4191" s="1">
        <v>1</v>
      </c>
      <c r="K4191" s="1">
        <v>6</v>
      </c>
      <c r="L4191" s="1" t="s">
        <v>31</v>
      </c>
      <c r="M4191" s="1" t="s">
        <v>18</v>
      </c>
      <c r="N4191" s="1" t="s">
        <v>18</v>
      </c>
      <c r="O4191" s="1">
        <v>3</v>
      </c>
      <c r="P4191" s="1">
        <v>7</v>
      </c>
      <c r="Q4191" s="7" t="s">
        <v>17633</v>
      </c>
      <c r="R4191" s="1" t="s">
        <v>19</v>
      </c>
      <c r="S4191" s="1" t="s">
        <v>20</v>
      </c>
      <c r="T4191" s="1" t="s">
        <v>21</v>
      </c>
      <c r="U4191" s="1" t="s">
        <v>22</v>
      </c>
      <c r="V4191" s="1" t="s">
        <v>24</v>
      </c>
      <c r="W4191" s="1" t="s">
        <v>24</v>
      </c>
      <c r="X4191" s="1">
        <v>2743</v>
      </c>
      <c r="Y4191" s="1">
        <v>2748</v>
      </c>
      <c r="Z4191" s="1" t="s">
        <v>24</v>
      </c>
      <c r="AA4191" s="1" t="s">
        <v>24</v>
      </c>
      <c r="AB4191" s="1" t="s">
        <v>24</v>
      </c>
      <c r="AC4191" s="1" t="s">
        <v>24</v>
      </c>
      <c r="AD4191" s="1" t="s">
        <v>24</v>
      </c>
      <c r="AE4191" s="1" t="s">
        <v>24</v>
      </c>
      <c r="AF4191" s="22"/>
    </row>
    <row r="4192" spans="1:32" x14ac:dyDescent="0.2">
      <c r="A4192" s="1">
        <v>36806</v>
      </c>
      <c r="B4192" s="1" t="s">
        <v>12868</v>
      </c>
      <c r="C4192" s="5" t="s">
        <v>0</v>
      </c>
      <c r="D4192" s="1" t="s">
        <v>12869</v>
      </c>
      <c r="F4192" s="1" t="s">
        <v>3421</v>
      </c>
      <c r="G4192" s="1" t="s">
        <v>3422</v>
      </c>
      <c r="H4192" s="1" t="s">
        <v>92</v>
      </c>
      <c r="I4192" s="1" t="s">
        <v>16</v>
      </c>
      <c r="J4192" s="1">
        <v>0</v>
      </c>
      <c r="K4192" s="1">
        <v>0</v>
      </c>
      <c r="L4192" s="1" t="s">
        <v>42</v>
      </c>
      <c r="M4192" s="1" t="s">
        <v>1646</v>
      </c>
      <c r="N4192" s="1" t="s">
        <v>1645</v>
      </c>
      <c r="O4192" s="1">
        <v>3</v>
      </c>
      <c r="P4192" s="1">
        <v>6</v>
      </c>
      <c r="R4192" s="1" t="s">
        <v>19</v>
      </c>
      <c r="S4192" s="1" t="s">
        <v>20</v>
      </c>
      <c r="T4192" s="1" t="s">
        <v>21</v>
      </c>
      <c r="U4192" s="1" t="s">
        <v>22</v>
      </c>
      <c r="V4192" s="1" t="s">
        <v>24</v>
      </c>
      <c r="W4192" s="1" t="s">
        <v>24</v>
      </c>
      <c r="X4192" s="1">
        <v>3004</v>
      </c>
      <c r="Y4192" s="1">
        <v>2736</v>
      </c>
      <c r="Z4192" s="1" t="s">
        <v>24</v>
      </c>
      <c r="AA4192" s="1" t="s">
        <v>24</v>
      </c>
      <c r="AB4192" s="1" t="s">
        <v>24</v>
      </c>
      <c r="AC4192" s="1" t="s">
        <v>24</v>
      </c>
      <c r="AD4192" s="1" t="s">
        <v>24</v>
      </c>
      <c r="AE4192" s="1" t="s">
        <v>24</v>
      </c>
      <c r="AF4192" s="22"/>
    </row>
    <row r="4193" spans="1:32" x14ac:dyDescent="0.2">
      <c r="A4193" s="1">
        <v>36809</v>
      </c>
      <c r="B4193" s="1" t="s">
        <v>12870</v>
      </c>
      <c r="C4193" s="5" t="s">
        <v>0</v>
      </c>
      <c r="D4193" s="1" t="s">
        <v>12871</v>
      </c>
      <c r="F4193" s="1" t="s">
        <v>12872</v>
      </c>
      <c r="G4193" s="1" t="s">
        <v>12872</v>
      </c>
      <c r="H4193" s="1" t="s">
        <v>116</v>
      </c>
      <c r="I4193" s="1" t="s">
        <v>16</v>
      </c>
      <c r="J4193" s="1">
        <v>1</v>
      </c>
      <c r="K4193" s="1">
        <v>3</v>
      </c>
      <c r="L4193" s="1" t="s">
        <v>17</v>
      </c>
      <c r="M4193" s="1" t="s">
        <v>117</v>
      </c>
      <c r="N4193" s="1" t="s">
        <v>117</v>
      </c>
      <c r="O4193" s="1">
        <v>3</v>
      </c>
      <c r="P4193" s="1">
        <v>6</v>
      </c>
      <c r="R4193" s="1" t="s">
        <v>19</v>
      </c>
      <c r="S4193" s="1" t="s">
        <v>20</v>
      </c>
      <c r="T4193" s="1" t="s">
        <v>21</v>
      </c>
      <c r="U4193" s="1" t="s">
        <v>22</v>
      </c>
      <c r="V4193" s="1" t="s">
        <v>24</v>
      </c>
      <c r="W4193" s="1" t="s">
        <v>24</v>
      </c>
      <c r="X4193" s="1">
        <v>2729</v>
      </c>
      <c r="Y4193" s="1">
        <v>2743</v>
      </c>
      <c r="Z4193" s="1">
        <v>2712</v>
      </c>
      <c r="AA4193" s="1" t="s">
        <v>24</v>
      </c>
      <c r="AB4193" s="1" t="s">
        <v>24</v>
      </c>
      <c r="AC4193" s="1" t="s">
        <v>24</v>
      </c>
      <c r="AD4193" s="1" t="s">
        <v>24</v>
      </c>
      <c r="AE4193" s="1" t="s">
        <v>24</v>
      </c>
      <c r="AF4193" s="22"/>
    </row>
    <row r="4194" spans="1:32" x14ac:dyDescent="0.2">
      <c r="A4194" s="1">
        <v>36929</v>
      </c>
      <c r="B4194" s="1" t="s">
        <v>12873</v>
      </c>
      <c r="C4194" s="5" t="s">
        <v>0</v>
      </c>
      <c r="D4194" s="1" t="s">
        <v>12874</v>
      </c>
      <c r="E4194" s="1" t="s">
        <v>12875</v>
      </c>
      <c r="F4194" s="1" t="s">
        <v>85</v>
      </c>
      <c r="G4194" s="1" t="s">
        <v>61</v>
      </c>
      <c r="H4194" s="1" t="s">
        <v>86</v>
      </c>
      <c r="I4194" s="1" t="s">
        <v>16</v>
      </c>
      <c r="J4194" s="1">
        <v>1</v>
      </c>
      <c r="K4194" s="1">
        <v>6</v>
      </c>
      <c r="L4194" s="1" t="s">
        <v>31</v>
      </c>
      <c r="M4194" s="1" t="s">
        <v>105</v>
      </c>
      <c r="N4194" s="1" t="s">
        <v>105</v>
      </c>
      <c r="O4194" s="1">
        <v>0</v>
      </c>
      <c r="P4194" s="1">
        <v>5</v>
      </c>
      <c r="R4194" s="1" t="s">
        <v>19</v>
      </c>
      <c r="S4194" s="1" t="s">
        <v>20</v>
      </c>
      <c r="T4194" s="1" t="s">
        <v>21</v>
      </c>
      <c r="U4194" s="1" t="s">
        <v>22</v>
      </c>
      <c r="V4194" s="1" t="s">
        <v>24</v>
      </c>
      <c r="W4194" s="1" t="s">
        <v>24</v>
      </c>
      <c r="X4194" s="1">
        <v>1304</v>
      </c>
      <c r="Y4194" s="1">
        <v>2204</v>
      </c>
      <c r="Z4194" s="1" t="s">
        <v>24</v>
      </c>
      <c r="AA4194" s="1" t="s">
        <v>24</v>
      </c>
      <c r="AB4194" s="1" t="s">
        <v>24</v>
      </c>
      <c r="AC4194" s="1" t="s">
        <v>24</v>
      </c>
      <c r="AD4194" s="1" t="s">
        <v>24</v>
      </c>
      <c r="AE4194" s="1" t="s">
        <v>24</v>
      </c>
      <c r="AF4194" s="22"/>
    </row>
    <row r="4195" spans="1:32" x14ac:dyDescent="0.2">
      <c r="A4195" s="1">
        <v>37700</v>
      </c>
      <c r="B4195" s="1" t="s">
        <v>12876</v>
      </c>
      <c r="C4195" s="5" t="s">
        <v>0</v>
      </c>
      <c r="D4195" s="1" t="s">
        <v>12877</v>
      </c>
      <c r="E4195" s="1" t="s">
        <v>12878</v>
      </c>
      <c r="F4195" s="1" t="s">
        <v>12879</v>
      </c>
      <c r="G4195" s="1" t="s">
        <v>460</v>
      </c>
      <c r="H4195" s="1" t="s">
        <v>461</v>
      </c>
      <c r="I4195" s="1" t="s">
        <v>16</v>
      </c>
      <c r="J4195" s="1">
        <v>1</v>
      </c>
      <c r="K4195" s="1">
        <v>6</v>
      </c>
      <c r="L4195" s="1" t="s">
        <v>42</v>
      </c>
      <c r="M4195" s="1" t="s">
        <v>18</v>
      </c>
      <c r="N4195" s="1" t="s">
        <v>18</v>
      </c>
      <c r="O4195" s="1">
        <v>3</v>
      </c>
      <c r="P4195" s="1">
        <v>6</v>
      </c>
      <c r="R4195" s="1" t="s">
        <v>19</v>
      </c>
      <c r="S4195" s="1" t="s">
        <v>20</v>
      </c>
      <c r="T4195" s="1" t="s">
        <v>21</v>
      </c>
      <c r="U4195" s="1" t="s">
        <v>22</v>
      </c>
      <c r="V4195" s="1" t="s">
        <v>24</v>
      </c>
      <c r="W4195" s="1" t="s">
        <v>64</v>
      </c>
      <c r="X4195" s="1">
        <v>2736</v>
      </c>
      <c r="Y4195" s="1">
        <v>3004</v>
      </c>
      <c r="Z4195" s="1">
        <v>3003</v>
      </c>
      <c r="AA4195" s="1" t="s">
        <v>24</v>
      </c>
      <c r="AB4195" s="1" t="s">
        <v>24</v>
      </c>
      <c r="AC4195" s="1" t="s">
        <v>24</v>
      </c>
      <c r="AD4195" s="1" t="s">
        <v>24</v>
      </c>
      <c r="AE4195" s="1" t="s">
        <v>24</v>
      </c>
      <c r="AF4195" s="22"/>
    </row>
    <row r="4196" spans="1:32" x14ac:dyDescent="0.2">
      <c r="A4196" s="1">
        <v>37734</v>
      </c>
      <c r="B4196" s="1" t="s">
        <v>12880</v>
      </c>
      <c r="C4196" s="5" t="s">
        <v>0</v>
      </c>
      <c r="D4196" s="1" t="s">
        <v>12881</v>
      </c>
      <c r="F4196" s="1" t="s">
        <v>12880</v>
      </c>
      <c r="G4196" s="1" t="s">
        <v>12880</v>
      </c>
      <c r="H4196" s="1" t="s">
        <v>2672</v>
      </c>
      <c r="I4196" s="1" t="s">
        <v>16</v>
      </c>
      <c r="J4196" s="1">
        <v>1</v>
      </c>
      <c r="K4196" s="1">
        <v>2</v>
      </c>
      <c r="L4196" s="1" t="s">
        <v>42</v>
      </c>
      <c r="M4196" s="1" t="s">
        <v>18</v>
      </c>
      <c r="N4196" s="1" t="s">
        <v>18</v>
      </c>
      <c r="O4196" s="1">
        <v>3</v>
      </c>
      <c r="P4196" s="1">
        <v>6</v>
      </c>
      <c r="R4196" s="1" t="s">
        <v>19</v>
      </c>
      <c r="S4196" s="1" t="s">
        <v>20</v>
      </c>
      <c r="T4196" s="1" t="s">
        <v>21</v>
      </c>
      <c r="U4196" s="1" t="s">
        <v>22</v>
      </c>
      <c r="V4196" s="1" t="s">
        <v>24</v>
      </c>
      <c r="W4196" s="1" t="s">
        <v>24</v>
      </c>
      <c r="X4196" s="1">
        <v>3003</v>
      </c>
      <c r="Y4196" s="1" t="s">
        <v>24</v>
      </c>
      <c r="Z4196" s="1" t="s">
        <v>24</v>
      </c>
      <c r="AA4196" s="1" t="s">
        <v>24</v>
      </c>
      <c r="AB4196" s="1" t="s">
        <v>24</v>
      </c>
      <c r="AC4196" s="1" t="s">
        <v>24</v>
      </c>
      <c r="AD4196" s="1" t="s">
        <v>24</v>
      </c>
      <c r="AE4196" s="1" t="s">
        <v>24</v>
      </c>
      <c r="AF4196" s="22"/>
    </row>
    <row r="4197" spans="1:32" x14ac:dyDescent="0.2">
      <c r="A4197" s="1">
        <v>37825</v>
      </c>
      <c r="B4197" s="1" t="s">
        <v>12882</v>
      </c>
      <c r="C4197" s="5" t="s">
        <v>0</v>
      </c>
      <c r="D4197" s="1" t="s">
        <v>12883</v>
      </c>
      <c r="E4197" s="1" t="s">
        <v>12884</v>
      </c>
      <c r="F4197" s="1" t="s">
        <v>91</v>
      </c>
      <c r="G4197" s="1" t="s">
        <v>61</v>
      </c>
      <c r="H4197" s="1" t="s">
        <v>92</v>
      </c>
      <c r="I4197" s="1" t="s">
        <v>16</v>
      </c>
      <c r="J4197" s="1">
        <v>1</v>
      </c>
      <c r="K4197" s="1">
        <v>4</v>
      </c>
      <c r="L4197" s="1" t="s">
        <v>31</v>
      </c>
      <c r="M4197" s="1" t="s">
        <v>18</v>
      </c>
      <c r="N4197" s="1" t="s">
        <v>18</v>
      </c>
      <c r="O4197" s="1">
        <v>3</v>
      </c>
      <c r="P4197" s="1">
        <v>7</v>
      </c>
      <c r="Q4197" s="7" t="s">
        <v>17633</v>
      </c>
      <c r="R4197" s="1" t="s">
        <v>19</v>
      </c>
      <c r="S4197" s="1" t="s">
        <v>20</v>
      </c>
      <c r="T4197" s="1" t="s">
        <v>21</v>
      </c>
      <c r="U4197" s="1" t="s">
        <v>22</v>
      </c>
      <c r="V4197" s="1" t="s">
        <v>23</v>
      </c>
      <c r="W4197" s="1" t="s">
        <v>24</v>
      </c>
      <c r="X4197" s="1">
        <v>2738</v>
      </c>
      <c r="Y4197" s="1">
        <v>3200</v>
      </c>
      <c r="Z4197" s="1" t="s">
        <v>24</v>
      </c>
      <c r="AA4197" s="1" t="s">
        <v>24</v>
      </c>
      <c r="AB4197" s="1" t="s">
        <v>24</v>
      </c>
      <c r="AC4197" s="1" t="s">
        <v>24</v>
      </c>
      <c r="AD4197" s="1" t="s">
        <v>24</v>
      </c>
      <c r="AE4197" s="1" t="s">
        <v>24</v>
      </c>
      <c r="AF4197" s="22"/>
    </row>
    <row r="4198" spans="1:32" x14ac:dyDescent="0.2">
      <c r="A4198" s="1">
        <v>37890</v>
      </c>
      <c r="B4198" s="1" t="s">
        <v>12885</v>
      </c>
      <c r="C4198" s="5" t="s">
        <v>0</v>
      </c>
      <c r="D4198" s="1" t="s">
        <v>12886</v>
      </c>
      <c r="F4198" s="1" t="s">
        <v>85</v>
      </c>
      <c r="G4198" s="1" t="s">
        <v>61</v>
      </c>
      <c r="H4198" s="1" t="s">
        <v>86</v>
      </c>
      <c r="I4198" s="1" t="s">
        <v>16</v>
      </c>
      <c r="J4198" s="1">
        <v>1</v>
      </c>
      <c r="K4198" s="1">
        <v>6</v>
      </c>
      <c r="L4198" s="1" t="s">
        <v>31</v>
      </c>
      <c r="M4198" s="1" t="s">
        <v>105</v>
      </c>
      <c r="N4198" s="1" t="s">
        <v>199</v>
      </c>
      <c r="O4198" s="1">
        <v>0</v>
      </c>
      <c r="P4198" s="1">
        <v>5</v>
      </c>
      <c r="R4198" s="1" t="s">
        <v>19</v>
      </c>
      <c r="S4198" s="1" t="s">
        <v>20</v>
      </c>
      <c r="T4198" s="1" t="s">
        <v>21</v>
      </c>
      <c r="U4198" s="1" t="s">
        <v>22</v>
      </c>
      <c r="V4198" s="1" t="s">
        <v>24</v>
      </c>
      <c r="W4198" s="1" t="s">
        <v>24</v>
      </c>
      <c r="X4198" s="1">
        <v>2204</v>
      </c>
      <c r="Y4198" s="1">
        <v>1304</v>
      </c>
      <c r="Z4198" s="1" t="s">
        <v>24</v>
      </c>
      <c r="AA4198" s="1" t="s">
        <v>24</v>
      </c>
      <c r="AB4198" s="1" t="s">
        <v>24</v>
      </c>
      <c r="AC4198" s="1" t="s">
        <v>24</v>
      </c>
      <c r="AD4198" s="1" t="s">
        <v>24</v>
      </c>
      <c r="AE4198" s="1" t="s">
        <v>24</v>
      </c>
      <c r="AF4198" s="22"/>
    </row>
    <row r="4199" spans="1:32" x14ac:dyDescent="0.2">
      <c r="A4199" s="1">
        <v>37916</v>
      </c>
      <c r="B4199" s="1" t="s">
        <v>12887</v>
      </c>
      <c r="C4199" s="5" t="s">
        <v>0</v>
      </c>
      <c r="D4199" s="1" t="s">
        <v>12888</v>
      </c>
      <c r="E4199" s="1" t="s">
        <v>12889</v>
      </c>
      <c r="F4199" s="1" t="s">
        <v>12890</v>
      </c>
      <c r="G4199" s="1" t="s">
        <v>61</v>
      </c>
      <c r="H4199" s="1" t="s">
        <v>2772</v>
      </c>
      <c r="I4199" s="1" t="s">
        <v>16</v>
      </c>
      <c r="J4199" s="1">
        <v>1</v>
      </c>
      <c r="K4199" s="1">
        <v>4</v>
      </c>
      <c r="L4199" s="1" t="s">
        <v>31</v>
      </c>
      <c r="M4199" s="1" t="s">
        <v>18</v>
      </c>
      <c r="N4199" s="1" t="s">
        <v>18</v>
      </c>
      <c r="O4199" s="1">
        <v>3</v>
      </c>
      <c r="P4199" s="1">
        <v>7</v>
      </c>
      <c r="Q4199" s="7" t="s">
        <v>17633</v>
      </c>
      <c r="R4199" s="1" t="s">
        <v>19</v>
      </c>
      <c r="S4199" s="1" t="s">
        <v>20</v>
      </c>
      <c r="T4199" s="1" t="s">
        <v>21</v>
      </c>
      <c r="U4199" s="1" t="s">
        <v>22</v>
      </c>
      <c r="V4199" s="1" t="s">
        <v>23</v>
      </c>
      <c r="W4199" s="1" t="s">
        <v>24</v>
      </c>
      <c r="X4199" s="1">
        <v>2703</v>
      </c>
      <c r="Y4199" s="1">
        <v>2707</v>
      </c>
      <c r="Z4199" s="1" t="s">
        <v>24</v>
      </c>
      <c r="AA4199" s="1" t="s">
        <v>24</v>
      </c>
      <c r="AB4199" s="1" t="s">
        <v>24</v>
      </c>
      <c r="AC4199" s="1" t="s">
        <v>24</v>
      </c>
      <c r="AD4199" s="1" t="s">
        <v>24</v>
      </c>
      <c r="AE4199" s="1" t="s">
        <v>24</v>
      </c>
      <c r="AF4199" s="22"/>
    </row>
    <row r="4200" spans="1:32" x14ac:dyDescent="0.2">
      <c r="A4200" s="1">
        <v>37981</v>
      </c>
      <c r="B4200" s="1" t="s">
        <v>12891</v>
      </c>
      <c r="C4200" s="5" t="s">
        <v>0</v>
      </c>
      <c r="D4200" s="1" t="s">
        <v>12892</v>
      </c>
      <c r="E4200" s="1" t="s">
        <v>12893</v>
      </c>
      <c r="F4200" s="1" t="s">
        <v>12701</v>
      </c>
      <c r="G4200" s="1" t="s">
        <v>12701</v>
      </c>
      <c r="H4200" s="1" t="s">
        <v>37</v>
      </c>
      <c r="I4200" s="1" t="s">
        <v>16</v>
      </c>
      <c r="J4200" s="1">
        <v>1</v>
      </c>
      <c r="K4200" s="1">
        <v>2</v>
      </c>
      <c r="L4200" s="1" t="s">
        <v>42</v>
      </c>
      <c r="M4200" s="1" t="s">
        <v>18</v>
      </c>
      <c r="N4200" s="1" t="s">
        <v>18</v>
      </c>
      <c r="O4200" s="1">
        <v>3</v>
      </c>
      <c r="P4200" s="1">
        <v>6</v>
      </c>
      <c r="R4200" s="1" t="s">
        <v>19</v>
      </c>
      <c r="S4200" s="1" t="s">
        <v>20</v>
      </c>
      <c r="T4200" s="1" t="s">
        <v>21</v>
      </c>
      <c r="U4200" s="1" t="s">
        <v>22</v>
      </c>
      <c r="V4200" s="1" t="s">
        <v>24</v>
      </c>
      <c r="W4200" s="1" t="s">
        <v>24</v>
      </c>
      <c r="X4200" s="1">
        <v>2739</v>
      </c>
      <c r="Y4200" s="1" t="s">
        <v>24</v>
      </c>
      <c r="Z4200" s="1" t="s">
        <v>24</v>
      </c>
      <c r="AA4200" s="1" t="s">
        <v>24</v>
      </c>
      <c r="AB4200" s="1" t="s">
        <v>24</v>
      </c>
      <c r="AC4200" s="1" t="s">
        <v>24</v>
      </c>
      <c r="AD4200" s="1" t="s">
        <v>24</v>
      </c>
      <c r="AE4200" s="1" t="s">
        <v>24</v>
      </c>
      <c r="AF4200" s="22"/>
    </row>
    <row r="4201" spans="1:32" x14ac:dyDescent="0.2">
      <c r="A4201" s="1">
        <v>38011</v>
      </c>
      <c r="B4201" s="1" t="s">
        <v>12894</v>
      </c>
      <c r="C4201" s="5" t="s">
        <v>0</v>
      </c>
      <c r="D4201" s="1" t="s">
        <v>12895</v>
      </c>
      <c r="F4201" s="1" t="s">
        <v>12896</v>
      </c>
      <c r="G4201" s="1" t="s">
        <v>12897</v>
      </c>
      <c r="H4201" s="1" t="s">
        <v>4080</v>
      </c>
      <c r="I4201" s="1" t="s">
        <v>16</v>
      </c>
      <c r="J4201" s="1">
        <v>1</v>
      </c>
      <c r="K4201" s="1">
        <v>4</v>
      </c>
      <c r="L4201" s="1" t="s">
        <v>42</v>
      </c>
      <c r="M4201" s="1" t="s">
        <v>4082</v>
      </c>
      <c r="N4201" s="1" t="s">
        <v>4082</v>
      </c>
      <c r="O4201" s="1">
        <v>3</v>
      </c>
      <c r="P4201" s="1">
        <v>6</v>
      </c>
      <c r="R4201" s="1" t="s">
        <v>19</v>
      </c>
      <c r="S4201" s="1" t="s">
        <v>20</v>
      </c>
      <c r="T4201" s="1" t="s">
        <v>21</v>
      </c>
      <c r="U4201" s="1" t="s">
        <v>22</v>
      </c>
      <c r="V4201" s="1" t="s">
        <v>24</v>
      </c>
      <c r="W4201" s="1" t="s">
        <v>24</v>
      </c>
      <c r="X4201" s="1">
        <v>2700</v>
      </c>
      <c r="Y4201" s="1" t="s">
        <v>24</v>
      </c>
      <c r="Z4201" s="1" t="s">
        <v>24</v>
      </c>
      <c r="AA4201" s="1" t="s">
        <v>24</v>
      </c>
      <c r="AB4201" s="1" t="s">
        <v>24</v>
      </c>
      <c r="AC4201" s="1" t="s">
        <v>24</v>
      </c>
      <c r="AD4201" s="1" t="s">
        <v>24</v>
      </c>
      <c r="AE4201" s="1" t="s">
        <v>24</v>
      </c>
      <c r="AF4201" s="22"/>
    </row>
    <row r="4202" spans="1:32" x14ac:dyDescent="0.2">
      <c r="A4202" s="1">
        <v>38063</v>
      </c>
      <c r="B4202" s="1" t="s">
        <v>12898</v>
      </c>
      <c r="C4202" s="5" t="s">
        <v>0</v>
      </c>
      <c r="D4202" s="1" t="s">
        <v>12899</v>
      </c>
      <c r="E4202" s="1" t="s">
        <v>12900</v>
      </c>
      <c r="F4202" s="1" t="s">
        <v>831</v>
      </c>
      <c r="G4202" s="1" t="s">
        <v>61</v>
      </c>
      <c r="H4202" s="1" t="s">
        <v>37</v>
      </c>
      <c r="I4202" s="1" t="s">
        <v>16</v>
      </c>
      <c r="J4202" s="1">
        <v>1</v>
      </c>
      <c r="K4202" s="1">
        <v>6</v>
      </c>
      <c r="L4202" s="1" t="s">
        <v>31</v>
      </c>
      <c r="M4202" s="1" t="s">
        <v>18</v>
      </c>
      <c r="N4202" s="1" t="s">
        <v>18</v>
      </c>
      <c r="O4202" s="1">
        <v>0</v>
      </c>
      <c r="P4202" s="1">
        <v>7</v>
      </c>
      <c r="Q4202" s="7" t="s">
        <v>17633</v>
      </c>
      <c r="R4202" s="1" t="s">
        <v>19</v>
      </c>
      <c r="S4202" s="1" t="s">
        <v>20</v>
      </c>
      <c r="T4202" s="1" t="s">
        <v>21</v>
      </c>
      <c r="U4202" s="1" t="s">
        <v>22</v>
      </c>
      <c r="V4202" s="1" t="s">
        <v>23</v>
      </c>
      <c r="W4202" s="1" t="s">
        <v>24</v>
      </c>
      <c r="X4202" s="1">
        <v>2732</v>
      </c>
      <c r="Y4202" s="1" t="s">
        <v>24</v>
      </c>
      <c r="Z4202" s="1" t="s">
        <v>24</v>
      </c>
      <c r="AA4202" s="1" t="s">
        <v>24</v>
      </c>
      <c r="AB4202" s="1" t="s">
        <v>24</v>
      </c>
      <c r="AC4202" s="1" t="s">
        <v>24</v>
      </c>
      <c r="AD4202" s="1" t="s">
        <v>24</v>
      </c>
      <c r="AE4202" s="1" t="s">
        <v>24</v>
      </c>
      <c r="AF4202" s="22"/>
    </row>
    <row r="4203" spans="1:32" x14ac:dyDescent="0.2">
      <c r="A4203" s="1">
        <v>38070</v>
      </c>
      <c r="B4203" s="1" t="s">
        <v>12901</v>
      </c>
      <c r="C4203" s="5" t="s">
        <v>0</v>
      </c>
      <c r="D4203" s="1" t="s">
        <v>12902</v>
      </c>
      <c r="E4203" s="1" t="s">
        <v>12903</v>
      </c>
      <c r="F4203" s="1" t="s">
        <v>12701</v>
      </c>
      <c r="G4203" s="1" t="s">
        <v>12701</v>
      </c>
      <c r="H4203" s="1" t="s">
        <v>37</v>
      </c>
      <c r="I4203" s="1" t="s">
        <v>16</v>
      </c>
      <c r="J4203" s="1">
        <v>1</v>
      </c>
      <c r="K4203" s="1">
        <v>4</v>
      </c>
      <c r="L4203" s="1" t="s">
        <v>42</v>
      </c>
      <c r="M4203" s="1" t="s">
        <v>18</v>
      </c>
      <c r="N4203" s="1" t="s">
        <v>18</v>
      </c>
      <c r="O4203" s="1">
        <v>3</v>
      </c>
      <c r="P4203" s="1">
        <v>7</v>
      </c>
      <c r="Q4203" s="7" t="s">
        <v>17633</v>
      </c>
      <c r="R4203" s="1" t="s">
        <v>19</v>
      </c>
      <c r="S4203" s="1" t="s">
        <v>20</v>
      </c>
      <c r="T4203" s="1" t="s">
        <v>21</v>
      </c>
      <c r="U4203" s="1" t="s">
        <v>22</v>
      </c>
      <c r="V4203" s="1" t="s">
        <v>23</v>
      </c>
      <c r="W4203" s="1" t="s">
        <v>24</v>
      </c>
      <c r="X4203" s="1">
        <v>2719</v>
      </c>
      <c r="Y4203" s="1" t="s">
        <v>24</v>
      </c>
      <c r="Z4203" s="1" t="s">
        <v>24</v>
      </c>
      <c r="AA4203" s="1" t="s">
        <v>24</v>
      </c>
      <c r="AB4203" s="1" t="s">
        <v>24</v>
      </c>
      <c r="AC4203" s="1" t="s">
        <v>24</v>
      </c>
      <c r="AD4203" s="1" t="s">
        <v>24</v>
      </c>
      <c r="AE4203" s="1" t="s">
        <v>24</v>
      </c>
      <c r="AF4203" s="22"/>
    </row>
    <row r="4204" spans="1:32" x14ac:dyDescent="0.2">
      <c r="A4204" s="1">
        <v>38130</v>
      </c>
      <c r="B4204" s="1" t="s">
        <v>12904</v>
      </c>
      <c r="C4204" s="5" t="s">
        <v>0</v>
      </c>
      <c r="D4204" s="1" t="s">
        <v>12905</v>
      </c>
      <c r="E4204" s="1" t="s">
        <v>12906</v>
      </c>
      <c r="F4204" s="1" t="s">
        <v>618</v>
      </c>
      <c r="G4204" s="1" t="s">
        <v>619</v>
      </c>
      <c r="H4204" s="1" t="s">
        <v>30</v>
      </c>
      <c r="I4204" s="1" t="s">
        <v>112</v>
      </c>
      <c r="J4204" s="1">
        <v>1</v>
      </c>
      <c r="K4204" s="1">
        <v>1</v>
      </c>
      <c r="L4204" s="1" t="s">
        <v>31</v>
      </c>
      <c r="M4204" s="1" t="s">
        <v>18</v>
      </c>
      <c r="N4204" s="1" t="s">
        <v>18</v>
      </c>
      <c r="O4204" s="1">
        <v>3</v>
      </c>
      <c r="P4204" s="1">
        <v>7</v>
      </c>
      <c r="Q4204" s="7" t="s">
        <v>17633</v>
      </c>
      <c r="R4204" s="1" t="s">
        <v>62</v>
      </c>
      <c r="S4204" s="1" t="s">
        <v>20</v>
      </c>
      <c r="T4204" s="1" t="s">
        <v>21</v>
      </c>
      <c r="U4204" s="1" t="s">
        <v>22</v>
      </c>
      <c r="V4204" s="1" t="s">
        <v>24</v>
      </c>
      <c r="W4204" s="1" t="s">
        <v>24</v>
      </c>
      <c r="X4204" s="1">
        <v>1303</v>
      </c>
      <c r="Y4204" s="1">
        <v>1304</v>
      </c>
      <c r="Z4204" s="1">
        <v>1307</v>
      </c>
      <c r="AA4204" s="1">
        <v>1315</v>
      </c>
      <c r="AB4204" s="1">
        <v>1502</v>
      </c>
      <c r="AC4204" s="1" t="s">
        <v>24</v>
      </c>
      <c r="AD4204" s="1" t="s">
        <v>24</v>
      </c>
      <c r="AE4204" s="1" t="s">
        <v>24</v>
      </c>
      <c r="AF4204" s="22"/>
    </row>
    <row r="4205" spans="1:32" x14ac:dyDescent="0.2">
      <c r="A4205" s="1">
        <v>38156</v>
      </c>
      <c r="B4205" s="1" t="s">
        <v>12907</v>
      </c>
      <c r="C4205" s="5" t="s">
        <v>0</v>
      </c>
      <c r="D4205" s="1" t="s">
        <v>12908</v>
      </c>
      <c r="E4205" s="1" t="s">
        <v>12909</v>
      </c>
      <c r="F4205" s="1" t="s">
        <v>85</v>
      </c>
      <c r="G4205" s="1" t="s">
        <v>61</v>
      </c>
      <c r="H4205" s="1" t="s">
        <v>86</v>
      </c>
      <c r="I4205" s="1" t="s">
        <v>16</v>
      </c>
      <c r="J4205" s="1">
        <v>1</v>
      </c>
      <c r="K4205" s="1">
        <v>9</v>
      </c>
      <c r="L4205" s="1" t="s">
        <v>31</v>
      </c>
      <c r="M4205" s="1" t="s">
        <v>199</v>
      </c>
      <c r="N4205" s="1" t="s">
        <v>18</v>
      </c>
      <c r="O4205" s="1">
        <v>2</v>
      </c>
      <c r="P4205" s="1">
        <v>6</v>
      </c>
      <c r="R4205" s="1" t="s">
        <v>19</v>
      </c>
      <c r="S4205" s="1" t="s">
        <v>20</v>
      </c>
      <c r="T4205" s="1" t="s">
        <v>21</v>
      </c>
      <c r="U4205" s="1" t="s">
        <v>22</v>
      </c>
      <c r="V4205" s="1" t="s">
        <v>23</v>
      </c>
      <c r="W4205" s="1" t="s">
        <v>24</v>
      </c>
      <c r="X4205" s="1">
        <v>2732</v>
      </c>
      <c r="Y4205" s="1">
        <v>2742</v>
      </c>
      <c r="Z4205" s="1" t="s">
        <v>24</v>
      </c>
      <c r="AA4205" s="1" t="s">
        <v>24</v>
      </c>
      <c r="AB4205" s="1" t="s">
        <v>24</v>
      </c>
      <c r="AC4205" s="1" t="s">
        <v>24</v>
      </c>
      <c r="AD4205" s="1" t="s">
        <v>24</v>
      </c>
      <c r="AE4205" s="1" t="s">
        <v>24</v>
      </c>
      <c r="AF4205" s="22"/>
    </row>
    <row r="4206" spans="1:32" x14ac:dyDescent="0.2">
      <c r="A4206" s="1">
        <v>38179</v>
      </c>
      <c r="B4206" s="1" t="s">
        <v>12910</v>
      </c>
      <c r="C4206" s="5" t="s">
        <v>0</v>
      </c>
      <c r="D4206" s="1" t="s">
        <v>12911</v>
      </c>
      <c r="E4206" s="1" t="s">
        <v>12912</v>
      </c>
      <c r="F4206" s="1" t="s">
        <v>310</v>
      </c>
      <c r="G4206" s="1" t="s">
        <v>311</v>
      </c>
      <c r="H4206" s="1" t="s">
        <v>37</v>
      </c>
      <c r="I4206" s="1" t="s">
        <v>16</v>
      </c>
      <c r="J4206" s="1">
        <v>1</v>
      </c>
      <c r="K4206" s="1">
        <v>12</v>
      </c>
      <c r="L4206" s="1" t="s">
        <v>31</v>
      </c>
      <c r="M4206" s="1" t="s">
        <v>18</v>
      </c>
      <c r="N4206" s="1" t="s">
        <v>18</v>
      </c>
      <c r="O4206" s="1">
        <v>3</v>
      </c>
      <c r="P4206" s="1">
        <v>7</v>
      </c>
      <c r="Q4206" s="7" t="s">
        <v>17633</v>
      </c>
      <c r="R4206" s="1" t="s">
        <v>19</v>
      </c>
      <c r="S4206" s="1" t="s">
        <v>20</v>
      </c>
      <c r="T4206" s="1" t="s">
        <v>21</v>
      </c>
      <c r="U4206" s="1" t="s">
        <v>22</v>
      </c>
      <c r="V4206" s="1" t="s">
        <v>24</v>
      </c>
      <c r="W4206" s="1" t="s">
        <v>24</v>
      </c>
      <c r="X4206" s="1">
        <v>1502</v>
      </c>
      <c r="Y4206" s="1">
        <v>2204</v>
      </c>
      <c r="Z4206" s="1">
        <v>1706</v>
      </c>
      <c r="AA4206" s="1">
        <v>1709</v>
      </c>
      <c r="AB4206" s="1" t="s">
        <v>24</v>
      </c>
      <c r="AC4206" s="1" t="s">
        <v>24</v>
      </c>
      <c r="AD4206" s="1" t="s">
        <v>24</v>
      </c>
      <c r="AE4206" s="1" t="s">
        <v>24</v>
      </c>
      <c r="AF4206" s="22"/>
    </row>
    <row r="4207" spans="1:32" x14ac:dyDescent="0.2">
      <c r="A4207" s="1">
        <v>38614</v>
      </c>
      <c r="B4207" s="1" t="s">
        <v>12913</v>
      </c>
      <c r="C4207" s="5" t="s">
        <v>0</v>
      </c>
      <c r="D4207" s="1" t="s">
        <v>12914</v>
      </c>
      <c r="E4207" s="1" t="s">
        <v>12915</v>
      </c>
      <c r="F4207" s="1" t="s">
        <v>1808</v>
      </c>
      <c r="G4207" s="1" t="s">
        <v>130</v>
      </c>
      <c r="H4207" s="1" t="s">
        <v>461</v>
      </c>
      <c r="I4207" s="1" t="s">
        <v>16</v>
      </c>
      <c r="J4207" s="1">
        <v>1</v>
      </c>
      <c r="K4207" s="1">
        <v>2</v>
      </c>
      <c r="L4207" s="1" t="s">
        <v>31</v>
      </c>
      <c r="M4207" s="1" t="s">
        <v>18</v>
      </c>
      <c r="N4207" s="1" t="s">
        <v>18</v>
      </c>
      <c r="O4207" s="1">
        <v>3</v>
      </c>
      <c r="P4207" s="1">
        <v>7</v>
      </c>
      <c r="Q4207" s="7" t="s">
        <v>17633</v>
      </c>
      <c r="R4207" s="1" t="s">
        <v>19</v>
      </c>
      <c r="S4207" s="1" t="s">
        <v>20</v>
      </c>
      <c r="T4207" s="1" t="s">
        <v>21</v>
      </c>
      <c r="U4207" s="1" t="s">
        <v>22</v>
      </c>
      <c r="V4207" s="1" t="s">
        <v>23</v>
      </c>
      <c r="W4207" s="1" t="s">
        <v>24</v>
      </c>
      <c r="X4207" s="1">
        <v>2741</v>
      </c>
      <c r="Y4207" s="1">
        <v>3108</v>
      </c>
      <c r="Z4207" s="1">
        <v>3612</v>
      </c>
      <c r="AA4207" s="1" t="s">
        <v>24</v>
      </c>
      <c r="AB4207" s="1" t="s">
        <v>24</v>
      </c>
      <c r="AC4207" s="1" t="s">
        <v>24</v>
      </c>
      <c r="AD4207" s="1" t="s">
        <v>24</v>
      </c>
      <c r="AE4207" s="1" t="s">
        <v>24</v>
      </c>
      <c r="AF4207" s="22"/>
    </row>
    <row r="4208" spans="1:32" x14ac:dyDescent="0.2">
      <c r="A4208" s="1">
        <v>38622</v>
      </c>
      <c r="B4208" s="1" t="s">
        <v>12916</v>
      </c>
      <c r="C4208" s="5" t="s">
        <v>0</v>
      </c>
      <c r="D4208" s="1" t="s">
        <v>12917</v>
      </c>
      <c r="E4208" s="1" t="s">
        <v>12918</v>
      </c>
      <c r="F4208" s="1" t="s">
        <v>1181</v>
      </c>
      <c r="G4208" s="1" t="s">
        <v>130</v>
      </c>
      <c r="H4208" s="1" t="s">
        <v>37</v>
      </c>
      <c r="I4208" s="1" t="s">
        <v>16</v>
      </c>
      <c r="J4208" s="1">
        <v>1</v>
      </c>
      <c r="K4208" s="1">
        <v>1</v>
      </c>
      <c r="L4208" s="1" t="s">
        <v>31</v>
      </c>
      <c r="M4208" s="1" t="s">
        <v>18</v>
      </c>
      <c r="N4208" s="1" t="s">
        <v>18</v>
      </c>
      <c r="O4208" s="1">
        <v>3</v>
      </c>
      <c r="P4208" s="1">
        <v>7</v>
      </c>
      <c r="Q4208" s="7" t="s">
        <v>17633</v>
      </c>
      <c r="R4208" s="1" t="s">
        <v>19</v>
      </c>
      <c r="S4208" s="1" t="s">
        <v>63</v>
      </c>
      <c r="T4208" s="1" t="s">
        <v>21</v>
      </c>
      <c r="U4208" s="1" t="s">
        <v>22</v>
      </c>
      <c r="V4208" s="1" t="s">
        <v>23</v>
      </c>
      <c r="W4208" s="1" t="s">
        <v>24</v>
      </c>
      <c r="X4208" s="1">
        <v>2711</v>
      </c>
      <c r="Y4208" s="1" t="s">
        <v>24</v>
      </c>
      <c r="Z4208" s="1" t="s">
        <v>24</v>
      </c>
      <c r="AA4208" s="1" t="s">
        <v>24</v>
      </c>
      <c r="AB4208" s="1" t="s">
        <v>24</v>
      </c>
      <c r="AC4208" s="1" t="s">
        <v>24</v>
      </c>
      <c r="AD4208" s="1" t="s">
        <v>24</v>
      </c>
      <c r="AE4208" s="1" t="s">
        <v>24</v>
      </c>
      <c r="AF4208" s="22"/>
    </row>
    <row r="4209" spans="1:32" x14ac:dyDescent="0.2">
      <c r="A4209" s="1">
        <v>38624</v>
      </c>
      <c r="B4209" s="1" t="s">
        <v>12919</v>
      </c>
      <c r="C4209" s="5" t="s">
        <v>0</v>
      </c>
      <c r="D4209" s="1" t="s">
        <v>12920</v>
      </c>
      <c r="E4209" s="1" t="s">
        <v>12921</v>
      </c>
      <c r="F4209" s="1" t="s">
        <v>5124</v>
      </c>
      <c r="G4209" s="1" t="s">
        <v>5125</v>
      </c>
      <c r="H4209" s="1" t="s">
        <v>264</v>
      </c>
      <c r="I4209" s="1" t="s">
        <v>16</v>
      </c>
      <c r="J4209" s="1">
        <v>1</v>
      </c>
      <c r="K4209" s="1">
        <v>4</v>
      </c>
      <c r="L4209" s="1" t="s">
        <v>31</v>
      </c>
      <c r="M4209" s="1" t="s">
        <v>18</v>
      </c>
      <c r="N4209" s="1" t="s">
        <v>18</v>
      </c>
      <c r="O4209" s="1">
        <v>3</v>
      </c>
      <c r="P4209" s="1">
        <v>6</v>
      </c>
      <c r="R4209" s="1" t="s">
        <v>19</v>
      </c>
      <c r="S4209" s="1" t="s">
        <v>20</v>
      </c>
      <c r="T4209" s="1" t="s">
        <v>21</v>
      </c>
      <c r="U4209" s="1" t="s">
        <v>22</v>
      </c>
      <c r="V4209" s="1" t="s">
        <v>23</v>
      </c>
      <c r="W4209" s="1" t="s">
        <v>24</v>
      </c>
      <c r="X4209" s="1">
        <v>2725</v>
      </c>
      <c r="Y4209" s="1" t="s">
        <v>24</v>
      </c>
      <c r="Z4209" s="1" t="s">
        <v>24</v>
      </c>
      <c r="AA4209" s="1" t="s">
        <v>24</v>
      </c>
      <c r="AB4209" s="1" t="s">
        <v>24</v>
      </c>
      <c r="AC4209" s="1" t="s">
        <v>24</v>
      </c>
      <c r="AD4209" s="1" t="s">
        <v>24</v>
      </c>
      <c r="AE4209" s="1" t="s">
        <v>24</v>
      </c>
      <c r="AF4209" s="22"/>
    </row>
    <row r="4210" spans="1:32" x14ac:dyDescent="0.2">
      <c r="A4210" s="1">
        <v>38625</v>
      </c>
      <c r="B4210" s="1" t="s">
        <v>12922</v>
      </c>
      <c r="C4210" s="5" t="s">
        <v>0</v>
      </c>
      <c r="D4210" s="1" t="s">
        <v>12923</v>
      </c>
      <c r="E4210" s="1" t="s">
        <v>12924</v>
      </c>
      <c r="F4210" s="1" t="s">
        <v>109</v>
      </c>
      <c r="G4210" s="1" t="s">
        <v>110</v>
      </c>
      <c r="H4210" s="1" t="s">
        <v>111</v>
      </c>
      <c r="I4210" s="1" t="s">
        <v>16</v>
      </c>
      <c r="J4210" s="1">
        <v>1</v>
      </c>
      <c r="K4210" s="1">
        <v>6</v>
      </c>
      <c r="L4210" s="1" t="s">
        <v>31</v>
      </c>
      <c r="M4210" s="1" t="s">
        <v>18</v>
      </c>
      <c r="N4210" s="1" t="s">
        <v>18</v>
      </c>
      <c r="O4210" s="1">
        <v>3</v>
      </c>
      <c r="P4210" s="1">
        <v>7</v>
      </c>
      <c r="Q4210" s="7" t="s">
        <v>17633</v>
      </c>
      <c r="R4210" s="1" t="s">
        <v>19</v>
      </c>
      <c r="S4210" s="1" t="s">
        <v>20</v>
      </c>
      <c r="T4210" s="1" t="s">
        <v>21</v>
      </c>
      <c r="U4210" s="1" t="s">
        <v>22</v>
      </c>
      <c r="V4210" s="1" t="s">
        <v>23</v>
      </c>
      <c r="W4210" s="1" t="s">
        <v>24</v>
      </c>
      <c r="X4210" s="1">
        <v>2737</v>
      </c>
      <c r="Y4210" s="1">
        <v>3306</v>
      </c>
      <c r="Z4210" s="1" t="s">
        <v>24</v>
      </c>
      <c r="AA4210" s="1" t="s">
        <v>24</v>
      </c>
      <c r="AB4210" s="1" t="s">
        <v>24</v>
      </c>
      <c r="AC4210" s="1" t="s">
        <v>24</v>
      </c>
      <c r="AD4210" s="1" t="s">
        <v>24</v>
      </c>
      <c r="AE4210" s="1" t="s">
        <v>24</v>
      </c>
      <c r="AF4210" s="22"/>
    </row>
    <row r="4211" spans="1:32" x14ac:dyDescent="0.2">
      <c r="A4211" s="1">
        <v>38627</v>
      </c>
      <c r="B4211" s="1" t="s">
        <v>12925</v>
      </c>
      <c r="C4211" s="5" t="s">
        <v>0</v>
      </c>
      <c r="D4211" s="1" t="s">
        <v>12926</v>
      </c>
      <c r="F4211" s="1" t="s">
        <v>12927</v>
      </c>
      <c r="G4211" s="1" t="s">
        <v>12927</v>
      </c>
      <c r="H4211" s="1" t="s">
        <v>15</v>
      </c>
      <c r="I4211" s="1" t="s">
        <v>16</v>
      </c>
      <c r="J4211" s="1">
        <v>1</v>
      </c>
      <c r="K4211" s="1">
        <v>3</v>
      </c>
      <c r="L4211" s="1" t="s">
        <v>42</v>
      </c>
      <c r="M4211" s="1" t="s">
        <v>18</v>
      </c>
      <c r="N4211" s="1" t="s">
        <v>18</v>
      </c>
      <c r="O4211" s="1">
        <v>3</v>
      </c>
      <c r="P4211" s="1">
        <v>6</v>
      </c>
      <c r="R4211" s="1" t="s">
        <v>19</v>
      </c>
      <c r="S4211" s="1" t="s">
        <v>20</v>
      </c>
      <c r="T4211" s="1" t="s">
        <v>21</v>
      </c>
      <c r="U4211" s="1" t="s">
        <v>22</v>
      </c>
      <c r="V4211" s="1" t="s">
        <v>23</v>
      </c>
      <c r="W4211" s="1" t="s">
        <v>24</v>
      </c>
      <c r="X4211" s="1">
        <v>2742</v>
      </c>
      <c r="Y4211" s="1">
        <v>1701</v>
      </c>
      <c r="Z4211" s="1">
        <v>3201</v>
      </c>
      <c r="AA4211" s="1" t="s">
        <v>24</v>
      </c>
      <c r="AB4211" s="1" t="s">
        <v>24</v>
      </c>
      <c r="AC4211" s="1" t="s">
        <v>24</v>
      </c>
      <c r="AD4211" s="1" t="s">
        <v>24</v>
      </c>
      <c r="AE4211" s="1" t="s">
        <v>24</v>
      </c>
      <c r="AF4211" s="22"/>
    </row>
    <row r="4212" spans="1:32" x14ac:dyDescent="0.2">
      <c r="A4212" s="1">
        <v>38629</v>
      </c>
      <c r="B4212" s="1" t="s">
        <v>12928</v>
      </c>
      <c r="C4212" s="5" t="s">
        <v>0</v>
      </c>
      <c r="D4212" s="1" t="s">
        <v>12929</v>
      </c>
      <c r="E4212" s="1" t="s">
        <v>12930</v>
      </c>
      <c r="F4212" s="1" t="s">
        <v>1897</v>
      </c>
      <c r="G4212" s="1" t="s">
        <v>1898</v>
      </c>
      <c r="H4212" s="1" t="s">
        <v>899</v>
      </c>
      <c r="I4212" s="1" t="s">
        <v>16</v>
      </c>
      <c r="J4212" s="1">
        <v>1</v>
      </c>
      <c r="K4212" s="1">
        <v>3</v>
      </c>
      <c r="L4212" s="1" t="s">
        <v>31</v>
      </c>
      <c r="M4212" s="1" t="s">
        <v>18</v>
      </c>
      <c r="N4212" s="1" t="s">
        <v>18</v>
      </c>
      <c r="O4212" s="1">
        <v>3</v>
      </c>
      <c r="P4212" s="1">
        <v>6</v>
      </c>
      <c r="R4212" s="1" t="s">
        <v>19</v>
      </c>
      <c r="S4212" s="1" t="s">
        <v>20</v>
      </c>
      <c r="T4212" s="1" t="s">
        <v>21</v>
      </c>
      <c r="U4212" s="1" t="s">
        <v>22</v>
      </c>
      <c r="V4212" s="1" t="s">
        <v>23</v>
      </c>
      <c r="W4212" s="1" t="s">
        <v>24</v>
      </c>
      <c r="X4212" s="1">
        <v>2703</v>
      </c>
      <c r="Y4212" s="1">
        <v>2705</v>
      </c>
      <c r="Z4212" s="1" t="s">
        <v>24</v>
      </c>
      <c r="AA4212" s="1" t="s">
        <v>24</v>
      </c>
      <c r="AB4212" s="1" t="s">
        <v>24</v>
      </c>
      <c r="AC4212" s="1" t="s">
        <v>24</v>
      </c>
      <c r="AD4212" s="1" t="s">
        <v>24</v>
      </c>
      <c r="AE4212" s="1" t="s">
        <v>24</v>
      </c>
      <c r="AF4212" s="22"/>
    </row>
    <row r="4213" spans="1:32" x14ac:dyDescent="0.2">
      <c r="A4213" s="1">
        <v>38632</v>
      </c>
      <c r="B4213" s="1" t="s">
        <v>12931</v>
      </c>
      <c r="C4213" s="5" t="s">
        <v>0</v>
      </c>
      <c r="D4213" s="1" t="s">
        <v>12932</v>
      </c>
      <c r="F4213" s="1" t="s">
        <v>12933</v>
      </c>
      <c r="G4213" s="1" t="s">
        <v>12933</v>
      </c>
      <c r="H4213" s="1" t="s">
        <v>249</v>
      </c>
      <c r="I4213" s="1" t="s">
        <v>16</v>
      </c>
      <c r="J4213" s="1">
        <v>1</v>
      </c>
      <c r="K4213" s="1">
        <v>4</v>
      </c>
      <c r="L4213" s="1" t="s">
        <v>42</v>
      </c>
      <c r="M4213" s="1" t="s">
        <v>250</v>
      </c>
      <c r="N4213" s="1" t="s">
        <v>1463</v>
      </c>
      <c r="O4213" s="1">
        <v>3</v>
      </c>
      <c r="P4213" s="1">
        <v>6</v>
      </c>
      <c r="R4213" s="1" t="s">
        <v>19</v>
      </c>
      <c r="S4213" s="1" t="s">
        <v>20</v>
      </c>
      <c r="T4213" s="1" t="s">
        <v>21</v>
      </c>
      <c r="U4213" s="1" t="s">
        <v>22</v>
      </c>
      <c r="V4213" s="1" t="s">
        <v>23</v>
      </c>
      <c r="W4213" s="1" t="s">
        <v>24</v>
      </c>
      <c r="X4213" s="1">
        <v>2700</v>
      </c>
      <c r="Y4213" s="1">
        <v>3500</v>
      </c>
      <c r="Z4213" s="1" t="s">
        <v>24</v>
      </c>
      <c r="AA4213" s="1" t="s">
        <v>24</v>
      </c>
      <c r="AB4213" s="1" t="s">
        <v>24</v>
      </c>
      <c r="AC4213" s="1" t="s">
        <v>24</v>
      </c>
      <c r="AD4213" s="1" t="s">
        <v>24</v>
      </c>
      <c r="AE4213" s="1" t="s">
        <v>24</v>
      </c>
      <c r="AF4213" s="22"/>
    </row>
    <row r="4214" spans="1:32" x14ac:dyDescent="0.2">
      <c r="A4214" s="1">
        <v>38634</v>
      </c>
      <c r="B4214" s="1" t="s">
        <v>12934</v>
      </c>
      <c r="C4214" s="5" t="s">
        <v>0</v>
      </c>
      <c r="D4214" s="1" t="s">
        <v>12935</v>
      </c>
      <c r="F4214" s="1" t="s">
        <v>12927</v>
      </c>
      <c r="G4214" s="1" t="s">
        <v>12936</v>
      </c>
      <c r="H4214" s="1" t="s">
        <v>15</v>
      </c>
      <c r="I4214" s="1" t="s">
        <v>16</v>
      </c>
      <c r="J4214" s="1">
        <v>1</v>
      </c>
      <c r="K4214" s="1">
        <v>1</v>
      </c>
      <c r="L4214" s="1" t="s">
        <v>31</v>
      </c>
      <c r="M4214" s="1" t="s">
        <v>18</v>
      </c>
      <c r="N4214" s="1" t="s">
        <v>18</v>
      </c>
      <c r="O4214" s="1">
        <v>3</v>
      </c>
      <c r="P4214" s="1">
        <v>6</v>
      </c>
      <c r="R4214" s="1" t="s">
        <v>19</v>
      </c>
      <c r="S4214" s="1" t="s">
        <v>20</v>
      </c>
      <c r="T4214" s="1" t="s">
        <v>21</v>
      </c>
      <c r="U4214" s="1" t="s">
        <v>22</v>
      </c>
      <c r="V4214" s="1" t="s">
        <v>23</v>
      </c>
      <c r="W4214" s="1" t="s">
        <v>24</v>
      </c>
      <c r="X4214" s="1">
        <v>2742</v>
      </c>
      <c r="Y4214" s="1">
        <v>1701</v>
      </c>
      <c r="Z4214" s="1">
        <v>3201</v>
      </c>
      <c r="AA4214" s="1">
        <v>2801</v>
      </c>
      <c r="AB4214" s="1" t="s">
        <v>24</v>
      </c>
      <c r="AC4214" s="1" t="s">
        <v>24</v>
      </c>
      <c r="AD4214" s="1" t="s">
        <v>24</v>
      </c>
      <c r="AE4214" s="1" t="s">
        <v>24</v>
      </c>
      <c r="AF4214" s="22"/>
    </row>
    <row r="4215" spans="1:32" x14ac:dyDescent="0.2">
      <c r="A4215" s="1">
        <v>38636</v>
      </c>
      <c r="B4215" s="1" t="s">
        <v>12937</v>
      </c>
      <c r="C4215" s="5" t="s">
        <v>0</v>
      </c>
      <c r="D4215" s="1" t="s">
        <v>12938</v>
      </c>
      <c r="E4215" s="1" t="s">
        <v>12939</v>
      </c>
      <c r="F4215" s="1" t="s">
        <v>6405</v>
      </c>
      <c r="G4215" s="1" t="s">
        <v>6406</v>
      </c>
      <c r="H4215" s="1" t="s">
        <v>92</v>
      </c>
      <c r="I4215" s="1" t="s">
        <v>16</v>
      </c>
      <c r="J4215" s="1">
        <v>1</v>
      </c>
      <c r="K4215" s="1">
        <v>3</v>
      </c>
      <c r="L4215" s="1" t="s">
        <v>31</v>
      </c>
      <c r="M4215" s="1" t="s">
        <v>18</v>
      </c>
      <c r="N4215" s="1" t="s">
        <v>18</v>
      </c>
      <c r="O4215" s="1">
        <v>3</v>
      </c>
      <c r="P4215" s="1">
        <v>7</v>
      </c>
      <c r="Q4215" s="7" t="s">
        <v>17633</v>
      </c>
      <c r="R4215" s="1" t="s">
        <v>19</v>
      </c>
      <c r="S4215" s="1" t="s">
        <v>20</v>
      </c>
      <c r="T4215" s="1" t="s">
        <v>21</v>
      </c>
      <c r="U4215" s="1" t="s">
        <v>22</v>
      </c>
      <c r="V4215" s="1" t="s">
        <v>23</v>
      </c>
      <c r="W4215" s="1" t="s">
        <v>24</v>
      </c>
      <c r="X4215" s="1">
        <v>1302</v>
      </c>
      <c r="Y4215" s="1">
        <v>2717</v>
      </c>
      <c r="Z4215" s="1" t="s">
        <v>24</v>
      </c>
      <c r="AA4215" s="1" t="s">
        <v>24</v>
      </c>
      <c r="AB4215" s="1" t="s">
        <v>24</v>
      </c>
      <c r="AC4215" s="1" t="s">
        <v>24</v>
      </c>
      <c r="AD4215" s="1" t="s">
        <v>24</v>
      </c>
      <c r="AE4215" s="1" t="s">
        <v>24</v>
      </c>
      <c r="AF4215" s="22"/>
    </row>
    <row r="4216" spans="1:32" x14ac:dyDescent="0.2">
      <c r="A4216" s="1">
        <v>38637</v>
      </c>
      <c r="B4216" s="1" t="s">
        <v>12940</v>
      </c>
      <c r="C4216" s="5" t="s">
        <v>0</v>
      </c>
      <c r="D4216" s="1" t="s">
        <v>12941</v>
      </c>
      <c r="E4216" s="1" t="s">
        <v>12942</v>
      </c>
      <c r="F4216" s="1" t="s">
        <v>6405</v>
      </c>
      <c r="G4216" s="1" t="s">
        <v>6406</v>
      </c>
      <c r="H4216" s="1" t="s">
        <v>92</v>
      </c>
      <c r="I4216" s="1" t="s">
        <v>16</v>
      </c>
      <c r="J4216" s="1">
        <v>1</v>
      </c>
      <c r="K4216" s="1">
        <v>3</v>
      </c>
      <c r="L4216" s="1" t="s">
        <v>31</v>
      </c>
      <c r="M4216" s="1" t="s">
        <v>18</v>
      </c>
      <c r="N4216" s="1" t="s">
        <v>18</v>
      </c>
      <c r="O4216" s="1">
        <v>3</v>
      </c>
      <c r="P4216" s="1">
        <v>7</v>
      </c>
      <c r="Q4216" s="7" t="s">
        <v>17633</v>
      </c>
      <c r="R4216" s="1" t="s">
        <v>19</v>
      </c>
      <c r="S4216" s="1" t="s">
        <v>20</v>
      </c>
      <c r="T4216" s="1" t="s">
        <v>21</v>
      </c>
      <c r="U4216" s="1" t="s">
        <v>22</v>
      </c>
      <c r="V4216" s="1" t="s">
        <v>23</v>
      </c>
      <c r="W4216" s="1" t="s">
        <v>24</v>
      </c>
      <c r="X4216" s="1">
        <v>2738</v>
      </c>
      <c r="Y4216" s="1" t="s">
        <v>24</v>
      </c>
      <c r="Z4216" s="1" t="s">
        <v>24</v>
      </c>
      <c r="AA4216" s="1" t="s">
        <v>24</v>
      </c>
      <c r="AB4216" s="1" t="s">
        <v>24</v>
      </c>
      <c r="AC4216" s="1" t="s">
        <v>24</v>
      </c>
      <c r="AD4216" s="1" t="s">
        <v>24</v>
      </c>
      <c r="AE4216" s="1" t="s">
        <v>24</v>
      </c>
      <c r="AF4216" s="22"/>
    </row>
    <row r="4217" spans="1:32" x14ac:dyDescent="0.2">
      <c r="A4217" s="1">
        <v>38645</v>
      </c>
      <c r="B4217" s="1" t="s">
        <v>12943</v>
      </c>
      <c r="C4217" s="5" t="s">
        <v>0</v>
      </c>
      <c r="D4217" s="1" t="s">
        <v>12944</v>
      </c>
      <c r="E4217" s="1" t="s">
        <v>12945</v>
      </c>
      <c r="F4217" s="1" t="s">
        <v>517</v>
      </c>
      <c r="G4217" s="1" t="s">
        <v>36</v>
      </c>
      <c r="H4217" s="1" t="s">
        <v>30</v>
      </c>
      <c r="I4217" s="1" t="s">
        <v>16</v>
      </c>
      <c r="J4217" s="1">
        <v>1</v>
      </c>
      <c r="K4217" s="1">
        <v>6</v>
      </c>
      <c r="L4217" s="1" t="s">
        <v>31</v>
      </c>
      <c r="M4217" s="1" t="s">
        <v>18</v>
      </c>
      <c r="N4217" s="1" t="s">
        <v>18</v>
      </c>
      <c r="O4217" s="1">
        <v>3</v>
      </c>
      <c r="P4217" s="1">
        <v>7</v>
      </c>
      <c r="Q4217" s="7" t="s">
        <v>17633</v>
      </c>
      <c r="R4217" s="1" t="s">
        <v>19</v>
      </c>
      <c r="S4217" s="1" t="s">
        <v>20</v>
      </c>
      <c r="T4217" s="1" t="s">
        <v>21</v>
      </c>
      <c r="U4217" s="1" t="s">
        <v>22</v>
      </c>
      <c r="V4217" s="1" t="s">
        <v>23</v>
      </c>
      <c r="W4217" s="1" t="s">
        <v>24</v>
      </c>
      <c r="X4217" s="1">
        <v>2800</v>
      </c>
      <c r="Y4217" s="1">
        <v>2728</v>
      </c>
      <c r="Z4217" s="1">
        <v>2716</v>
      </c>
      <c r="AA4217" s="1" t="s">
        <v>24</v>
      </c>
      <c r="AB4217" s="1" t="s">
        <v>24</v>
      </c>
      <c r="AC4217" s="1" t="s">
        <v>24</v>
      </c>
      <c r="AD4217" s="1" t="s">
        <v>24</v>
      </c>
      <c r="AE4217" s="1" t="s">
        <v>24</v>
      </c>
      <c r="AF4217" s="22"/>
    </row>
    <row r="4218" spans="1:32" x14ac:dyDescent="0.2">
      <c r="A4218" s="1">
        <v>38648</v>
      </c>
      <c r="B4218" s="1" t="s">
        <v>12946</v>
      </c>
      <c r="C4218" s="5" t="s">
        <v>0</v>
      </c>
      <c r="D4218" s="1" t="s">
        <v>12947</v>
      </c>
      <c r="F4218" s="1" t="s">
        <v>12948</v>
      </c>
      <c r="G4218" s="1" t="s">
        <v>1066</v>
      </c>
      <c r="H4218" s="1" t="s">
        <v>1007</v>
      </c>
      <c r="I4218" s="1" t="s">
        <v>16</v>
      </c>
      <c r="J4218" s="1">
        <v>1</v>
      </c>
      <c r="K4218" s="1">
        <v>12</v>
      </c>
      <c r="L4218" s="1" t="s">
        <v>42</v>
      </c>
      <c r="M4218" s="1" t="s">
        <v>1008</v>
      </c>
      <c r="N4218" s="1" t="s">
        <v>4418</v>
      </c>
      <c r="O4218" s="1">
        <v>3</v>
      </c>
      <c r="P4218" s="1">
        <v>6</v>
      </c>
      <c r="R4218" s="1" t="s">
        <v>19</v>
      </c>
      <c r="S4218" s="1" t="s">
        <v>20</v>
      </c>
      <c r="T4218" s="1" t="s">
        <v>21</v>
      </c>
      <c r="U4218" s="1" t="s">
        <v>22</v>
      </c>
      <c r="V4218" s="1" t="s">
        <v>24</v>
      </c>
      <c r="W4218" s="1" t="s">
        <v>24</v>
      </c>
      <c r="X4218" s="1">
        <v>2700</v>
      </c>
      <c r="Y4218" s="1">
        <v>1300</v>
      </c>
      <c r="Z4218" s="1" t="s">
        <v>24</v>
      </c>
      <c r="AA4218" s="1" t="s">
        <v>24</v>
      </c>
      <c r="AB4218" s="1" t="s">
        <v>24</v>
      </c>
      <c r="AC4218" s="1" t="s">
        <v>24</v>
      </c>
      <c r="AD4218" s="1" t="s">
        <v>24</v>
      </c>
      <c r="AE4218" s="1" t="s">
        <v>24</v>
      </c>
      <c r="AF4218" s="22"/>
    </row>
    <row r="4219" spans="1:32" x14ac:dyDescent="0.2">
      <c r="A4219" s="1">
        <v>38712</v>
      </c>
      <c r="B4219" s="1" t="s">
        <v>12949</v>
      </c>
      <c r="C4219" s="5" t="s">
        <v>0</v>
      </c>
      <c r="D4219" s="1" t="s">
        <v>12950</v>
      </c>
      <c r="E4219" s="1" t="s">
        <v>12951</v>
      </c>
      <c r="F4219" s="1" t="s">
        <v>12952</v>
      </c>
      <c r="G4219" s="1" t="s">
        <v>12952</v>
      </c>
      <c r="H4219" s="1" t="s">
        <v>1957</v>
      </c>
      <c r="I4219" s="1" t="s">
        <v>16</v>
      </c>
      <c r="J4219" s="1">
        <v>1</v>
      </c>
      <c r="K4219" s="1">
        <v>4</v>
      </c>
      <c r="L4219" s="1" t="s">
        <v>42</v>
      </c>
      <c r="M4219" s="1" t="s">
        <v>18</v>
      </c>
      <c r="N4219" s="1" t="s">
        <v>18</v>
      </c>
      <c r="O4219" s="1">
        <v>3</v>
      </c>
      <c r="P4219" s="1">
        <v>6</v>
      </c>
      <c r="R4219" s="1" t="s">
        <v>19</v>
      </c>
      <c r="S4219" s="1" t="s">
        <v>20</v>
      </c>
      <c r="T4219" s="1" t="s">
        <v>21</v>
      </c>
      <c r="U4219" s="1" t="s">
        <v>22</v>
      </c>
      <c r="V4219" s="1" t="s">
        <v>24</v>
      </c>
      <c r="W4219" s="1" t="s">
        <v>24</v>
      </c>
      <c r="X4219" s="1">
        <v>2735</v>
      </c>
      <c r="Y4219" s="1">
        <v>2728</v>
      </c>
      <c r="Z4219" s="1">
        <v>2808</v>
      </c>
      <c r="AA4219" s="1" t="s">
        <v>24</v>
      </c>
      <c r="AB4219" s="1" t="s">
        <v>24</v>
      </c>
      <c r="AC4219" s="1" t="s">
        <v>24</v>
      </c>
      <c r="AD4219" s="1" t="s">
        <v>24</v>
      </c>
      <c r="AE4219" s="1" t="s">
        <v>24</v>
      </c>
      <c r="AF4219" s="22"/>
    </row>
    <row r="4220" spans="1:32" x14ac:dyDescent="0.2">
      <c r="A4220" s="1">
        <v>38713</v>
      </c>
      <c r="B4220" s="1" t="s">
        <v>12953</v>
      </c>
      <c r="C4220" s="5" t="s">
        <v>0</v>
      </c>
      <c r="D4220" s="1" t="s">
        <v>12954</v>
      </c>
      <c r="E4220" s="1" t="s">
        <v>12955</v>
      </c>
      <c r="F4220" s="1" t="s">
        <v>12956</v>
      </c>
      <c r="G4220" s="1" t="s">
        <v>254</v>
      </c>
      <c r="H4220" s="1" t="s">
        <v>168</v>
      </c>
      <c r="I4220" s="1" t="s">
        <v>16</v>
      </c>
      <c r="J4220" s="1">
        <v>2</v>
      </c>
      <c r="K4220" s="1">
        <v>1</v>
      </c>
      <c r="L4220" s="1" t="s">
        <v>31</v>
      </c>
      <c r="M4220" s="1" t="s">
        <v>18</v>
      </c>
      <c r="N4220" s="1" t="s">
        <v>18</v>
      </c>
      <c r="O4220" s="1">
        <v>3</v>
      </c>
      <c r="P4220" s="1">
        <v>6</v>
      </c>
      <c r="R4220" s="1" t="s">
        <v>19</v>
      </c>
      <c r="S4220" s="1" t="s">
        <v>63</v>
      </c>
      <c r="T4220" s="1" t="s">
        <v>21</v>
      </c>
      <c r="U4220" s="1" t="s">
        <v>22</v>
      </c>
      <c r="V4220" s="1" t="s">
        <v>23</v>
      </c>
      <c r="W4220" s="1" t="s">
        <v>24</v>
      </c>
      <c r="X4220" s="1">
        <v>2700</v>
      </c>
      <c r="Y4220" s="1" t="s">
        <v>24</v>
      </c>
      <c r="Z4220" s="1" t="s">
        <v>24</v>
      </c>
      <c r="AA4220" s="1" t="s">
        <v>24</v>
      </c>
      <c r="AB4220" s="1" t="s">
        <v>24</v>
      </c>
      <c r="AC4220" s="1" t="s">
        <v>24</v>
      </c>
      <c r="AD4220" s="1" t="s">
        <v>24</v>
      </c>
      <c r="AE4220" s="1" t="s">
        <v>24</v>
      </c>
      <c r="AF4220" s="22"/>
    </row>
    <row r="4221" spans="1:32" x14ac:dyDescent="0.2">
      <c r="A4221" s="1">
        <v>38714</v>
      </c>
      <c r="B4221" s="1" t="s">
        <v>12957</v>
      </c>
      <c r="C4221" s="5" t="s">
        <v>0</v>
      </c>
      <c r="D4221" s="1" t="s">
        <v>12958</v>
      </c>
      <c r="F4221" s="1" t="s">
        <v>12434</v>
      </c>
      <c r="G4221" s="1" t="s">
        <v>12434</v>
      </c>
      <c r="H4221" s="1" t="s">
        <v>30</v>
      </c>
      <c r="I4221" s="1" t="s">
        <v>16</v>
      </c>
      <c r="J4221" s="1">
        <v>1</v>
      </c>
      <c r="K4221" s="1">
        <v>4</v>
      </c>
      <c r="L4221" s="1" t="s">
        <v>42</v>
      </c>
      <c r="M4221" s="1" t="s">
        <v>18</v>
      </c>
      <c r="N4221" s="1" t="s">
        <v>18</v>
      </c>
      <c r="O4221" s="1">
        <v>3</v>
      </c>
      <c r="P4221" s="1">
        <v>6</v>
      </c>
      <c r="R4221" s="1" t="s">
        <v>19</v>
      </c>
      <c r="S4221" s="1" t="s">
        <v>20</v>
      </c>
      <c r="T4221" s="1" t="s">
        <v>21</v>
      </c>
      <c r="U4221" s="1" t="s">
        <v>22</v>
      </c>
      <c r="V4221" s="1" t="s">
        <v>24</v>
      </c>
      <c r="W4221" s="1" t="s">
        <v>24</v>
      </c>
      <c r="X4221" s="1">
        <v>2307</v>
      </c>
      <c r="Y4221" s="1">
        <v>2310</v>
      </c>
      <c r="Z4221" s="1">
        <v>3005</v>
      </c>
      <c r="AA4221" s="1" t="s">
        <v>24</v>
      </c>
      <c r="AB4221" s="1" t="s">
        <v>24</v>
      </c>
      <c r="AC4221" s="1" t="s">
        <v>24</v>
      </c>
      <c r="AD4221" s="1" t="s">
        <v>24</v>
      </c>
      <c r="AE4221" s="1" t="s">
        <v>24</v>
      </c>
      <c r="AF4221" s="22"/>
    </row>
    <row r="4222" spans="1:32" x14ac:dyDescent="0.2">
      <c r="A4222" s="1">
        <v>38715</v>
      </c>
      <c r="B4222" s="1" t="s">
        <v>12959</v>
      </c>
      <c r="C4222" s="5" t="s">
        <v>0</v>
      </c>
      <c r="D4222" s="1" t="s">
        <v>12960</v>
      </c>
      <c r="E4222" s="1" t="s">
        <v>12961</v>
      </c>
      <c r="F4222" s="1" t="s">
        <v>12434</v>
      </c>
      <c r="G4222" s="1" t="s">
        <v>12434</v>
      </c>
      <c r="H4222" s="1" t="s">
        <v>30</v>
      </c>
      <c r="I4222" s="1" t="s">
        <v>16</v>
      </c>
      <c r="J4222" s="1">
        <v>1</v>
      </c>
      <c r="K4222" s="1">
        <v>4</v>
      </c>
      <c r="L4222" s="1" t="s">
        <v>42</v>
      </c>
      <c r="M4222" s="1" t="s">
        <v>18</v>
      </c>
      <c r="N4222" s="1" t="s">
        <v>18</v>
      </c>
      <c r="O4222" s="1">
        <v>3</v>
      </c>
      <c r="P4222" s="1">
        <v>6</v>
      </c>
      <c r="R4222" s="1" t="s">
        <v>19</v>
      </c>
      <c r="S4222" s="1" t="s">
        <v>20</v>
      </c>
      <c r="T4222" s="1" t="s">
        <v>21</v>
      </c>
      <c r="U4222" s="1" t="s">
        <v>22</v>
      </c>
      <c r="V4222" s="1" t="s">
        <v>24</v>
      </c>
      <c r="W4222" s="1" t="s">
        <v>24</v>
      </c>
      <c r="X4222" s="1">
        <v>2707</v>
      </c>
      <c r="Y4222" s="1" t="s">
        <v>24</v>
      </c>
      <c r="Z4222" s="1" t="s">
        <v>24</v>
      </c>
      <c r="AA4222" s="1" t="s">
        <v>24</v>
      </c>
      <c r="AB4222" s="1" t="s">
        <v>24</v>
      </c>
      <c r="AC4222" s="1" t="s">
        <v>24</v>
      </c>
      <c r="AD4222" s="1" t="s">
        <v>24</v>
      </c>
      <c r="AE4222" s="1" t="s">
        <v>24</v>
      </c>
      <c r="AF4222" s="22"/>
    </row>
    <row r="4223" spans="1:32" x14ac:dyDescent="0.2">
      <c r="A4223" s="1">
        <v>38716</v>
      </c>
      <c r="B4223" s="1" t="s">
        <v>12962</v>
      </c>
      <c r="C4223" s="5" t="s">
        <v>0</v>
      </c>
      <c r="D4223" s="1" t="s">
        <v>12963</v>
      </c>
      <c r="E4223" s="1" t="s">
        <v>12964</v>
      </c>
      <c r="F4223" s="1" t="s">
        <v>940</v>
      </c>
      <c r="G4223" s="1" t="s">
        <v>130</v>
      </c>
      <c r="H4223" s="1" t="s">
        <v>30</v>
      </c>
      <c r="I4223" s="1" t="s">
        <v>112</v>
      </c>
      <c r="J4223" s="1">
        <v>0</v>
      </c>
      <c r="K4223" s="1">
        <v>0</v>
      </c>
      <c r="L4223" s="1" t="s">
        <v>31</v>
      </c>
      <c r="M4223" s="1" t="s">
        <v>18</v>
      </c>
      <c r="N4223" s="1" t="s">
        <v>18</v>
      </c>
      <c r="O4223" s="1">
        <v>3</v>
      </c>
      <c r="P4223" s="1">
        <v>7</v>
      </c>
      <c r="Q4223" s="7" t="s">
        <v>17633</v>
      </c>
      <c r="R4223" s="1" t="s">
        <v>19</v>
      </c>
      <c r="S4223" s="1" t="s">
        <v>20</v>
      </c>
      <c r="T4223" s="1" t="s">
        <v>21</v>
      </c>
      <c r="U4223" s="1" t="s">
        <v>22</v>
      </c>
      <c r="V4223" s="1" t="s">
        <v>24</v>
      </c>
      <c r="W4223" s="1" t="s">
        <v>24</v>
      </c>
      <c r="X4223" s="1">
        <v>3000</v>
      </c>
      <c r="Y4223" s="1">
        <v>1313</v>
      </c>
      <c r="Z4223" s="1">
        <v>2736</v>
      </c>
      <c r="AA4223" s="1" t="s">
        <v>24</v>
      </c>
      <c r="AB4223" s="1" t="s">
        <v>24</v>
      </c>
      <c r="AC4223" s="1" t="s">
        <v>24</v>
      </c>
      <c r="AD4223" s="1" t="s">
        <v>24</v>
      </c>
      <c r="AE4223" s="1" t="s">
        <v>24</v>
      </c>
      <c r="AF4223" s="22"/>
    </row>
    <row r="4224" spans="1:32" x14ac:dyDescent="0.2">
      <c r="A4224" s="1">
        <v>38717</v>
      </c>
      <c r="B4224" s="1" t="s">
        <v>12965</v>
      </c>
      <c r="C4224" s="5" t="s">
        <v>0</v>
      </c>
      <c r="D4224" s="1" t="s">
        <v>12966</v>
      </c>
      <c r="E4224" s="1" t="s">
        <v>12967</v>
      </c>
      <c r="F4224" s="1" t="s">
        <v>1808</v>
      </c>
      <c r="G4224" s="1" t="s">
        <v>130</v>
      </c>
      <c r="H4224" s="1" t="s">
        <v>461</v>
      </c>
      <c r="I4224" s="1" t="s">
        <v>16</v>
      </c>
      <c r="J4224" s="1">
        <v>1</v>
      </c>
      <c r="K4224" s="1">
        <v>2</v>
      </c>
      <c r="L4224" s="1" t="s">
        <v>31</v>
      </c>
      <c r="M4224" s="1" t="s">
        <v>18</v>
      </c>
      <c r="N4224" s="1" t="s">
        <v>18</v>
      </c>
      <c r="O4224" s="1">
        <v>3</v>
      </c>
      <c r="P4224" s="1">
        <v>7</v>
      </c>
      <c r="Q4224" s="7" t="s">
        <v>17633</v>
      </c>
      <c r="R4224" s="1" t="s">
        <v>19</v>
      </c>
      <c r="S4224" s="1" t="s">
        <v>20</v>
      </c>
      <c r="T4224" s="1" t="s">
        <v>21</v>
      </c>
      <c r="U4224" s="1" t="s">
        <v>22</v>
      </c>
      <c r="V4224" s="1" t="s">
        <v>24</v>
      </c>
      <c r="W4224" s="1" t="s">
        <v>24</v>
      </c>
      <c r="X4224" s="1">
        <v>2730</v>
      </c>
      <c r="Y4224" s="1">
        <v>2741</v>
      </c>
      <c r="Z4224" s="1">
        <v>2736</v>
      </c>
      <c r="AA4224" s="1" t="s">
        <v>24</v>
      </c>
      <c r="AB4224" s="1" t="s">
        <v>24</v>
      </c>
      <c r="AC4224" s="1" t="s">
        <v>24</v>
      </c>
      <c r="AD4224" s="1" t="s">
        <v>24</v>
      </c>
      <c r="AE4224" s="1" t="s">
        <v>24</v>
      </c>
      <c r="AF4224" s="22"/>
    </row>
    <row r="4225" spans="1:32" x14ac:dyDescent="0.2">
      <c r="A4225" s="1">
        <v>38718</v>
      </c>
      <c r="B4225" s="1" t="s">
        <v>12968</v>
      </c>
      <c r="C4225" s="5" t="s">
        <v>0</v>
      </c>
      <c r="D4225" s="1" t="s">
        <v>12969</v>
      </c>
      <c r="E4225" s="1" t="s">
        <v>12970</v>
      </c>
      <c r="F4225" s="1" t="s">
        <v>198</v>
      </c>
      <c r="G4225" s="1" t="s">
        <v>130</v>
      </c>
      <c r="H4225" s="1" t="s">
        <v>86</v>
      </c>
      <c r="I4225" s="1" t="s">
        <v>16</v>
      </c>
      <c r="J4225" s="1">
        <v>1</v>
      </c>
      <c r="K4225" s="1">
        <v>4</v>
      </c>
      <c r="L4225" s="1" t="s">
        <v>31</v>
      </c>
      <c r="M4225" s="1" t="s">
        <v>87</v>
      </c>
      <c r="N4225" s="1" t="s">
        <v>87</v>
      </c>
      <c r="O4225" s="1">
        <v>3</v>
      </c>
      <c r="P4225" s="1">
        <v>6</v>
      </c>
      <c r="R4225" s="1" t="s">
        <v>19</v>
      </c>
      <c r="S4225" s="1" t="s">
        <v>20</v>
      </c>
      <c r="T4225" s="1" t="s">
        <v>21</v>
      </c>
      <c r="U4225" s="1" t="s">
        <v>22</v>
      </c>
      <c r="V4225" s="1" t="s">
        <v>24</v>
      </c>
      <c r="W4225" s="1" t="s">
        <v>24</v>
      </c>
      <c r="X4225" s="1">
        <v>2715</v>
      </c>
      <c r="Y4225" s="1">
        <v>2721</v>
      </c>
      <c r="Z4225" s="1">
        <v>2725</v>
      </c>
      <c r="AA4225" s="1" t="s">
        <v>24</v>
      </c>
      <c r="AB4225" s="1" t="s">
        <v>24</v>
      </c>
      <c r="AC4225" s="1" t="s">
        <v>24</v>
      </c>
      <c r="AD4225" s="1" t="s">
        <v>24</v>
      </c>
      <c r="AE4225" s="1" t="s">
        <v>24</v>
      </c>
      <c r="AF4225" s="22"/>
    </row>
    <row r="4226" spans="1:32" x14ac:dyDescent="0.2">
      <c r="A4226" s="1">
        <v>38719</v>
      </c>
      <c r="B4226" s="1" t="s">
        <v>12971</v>
      </c>
      <c r="C4226" s="5" t="s">
        <v>0</v>
      </c>
      <c r="D4226" s="1" t="s">
        <v>12972</v>
      </c>
      <c r="E4226" s="1" t="s">
        <v>12973</v>
      </c>
      <c r="F4226" s="1" t="s">
        <v>217</v>
      </c>
      <c r="G4226" s="1" t="s">
        <v>130</v>
      </c>
      <c r="H4226" s="1" t="s">
        <v>92</v>
      </c>
      <c r="I4226" s="1" t="s">
        <v>16</v>
      </c>
      <c r="J4226" s="1">
        <v>1</v>
      </c>
      <c r="K4226" s="1">
        <v>1</v>
      </c>
      <c r="L4226" s="1" t="s">
        <v>31</v>
      </c>
      <c r="M4226" s="1" t="s">
        <v>18</v>
      </c>
      <c r="N4226" s="1" t="s">
        <v>18</v>
      </c>
      <c r="O4226" s="1">
        <v>3</v>
      </c>
      <c r="P4226" s="1">
        <v>7</v>
      </c>
      <c r="Q4226" s="7" t="s">
        <v>17633</v>
      </c>
      <c r="R4226" s="1" t="s">
        <v>19</v>
      </c>
      <c r="S4226" s="1" t="s">
        <v>20</v>
      </c>
      <c r="T4226" s="1" t="s">
        <v>21</v>
      </c>
      <c r="U4226" s="1" t="s">
        <v>22</v>
      </c>
      <c r="V4226" s="1" t="s">
        <v>24</v>
      </c>
      <c r="W4226" s="1" t="s">
        <v>24</v>
      </c>
      <c r="X4226" s="1">
        <v>1306</v>
      </c>
      <c r="Y4226" s="1">
        <v>2730</v>
      </c>
      <c r="Z4226" s="1" t="s">
        <v>24</v>
      </c>
      <c r="AA4226" s="1" t="s">
        <v>24</v>
      </c>
      <c r="AB4226" s="1" t="s">
        <v>24</v>
      </c>
      <c r="AC4226" s="1" t="s">
        <v>24</v>
      </c>
      <c r="AD4226" s="1" t="s">
        <v>24</v>
      </c>
      <c r="AE4226" s="1" t="s">
        <v>24</v>
      </c>
      <c r="AF4226" s="22"/>
    </row>
    <row r="4227" spans="1:32" x14ac:dyDescent="0.2">
      <c r="A4227" s="1">
        <v>38720</v>
      </c>
      <c r="B4227" s="1" t="s">
        <v>12974</v>
      </c>
      <c r="C4227" s="5" t="s">
        <v>0</v>
      </c>
      <c r="D4227" s="1" t="s">
        <v>12975</v>
      </c>
      <c r="E4227" s="1" t="s">
        <v>12976</v>
      </c>
      <c r="F4227" s="1" t="s">
        <v>190</v>
      </c>
      <c r="G4227" s="1" t="s">
        <v>130</v>
      </c>
      <c r="H4227" s="1" t="s">
        <v>30</v>
      </c>
      <c r="I4227" s="1" t="s">
        <v>16</v>
      </c>
      <c r="J4227" s="1">
        <v>1</v>
      </c>
      <c r="K4227" s="1">
        <v>4</v>
      </c>
      <c r="L4227" s="1" t="s">
        <v>31</v>
      </c>
      <c r="M4227" s="1" t="s">
        <v>18</v>
      </c>
      <c r="N4227" s="1" t="s">
        <v>18</v>
      </c>
      <c r="O4227" s="1">
        <v>3</v>
      </c>
      <c r="P4227" s="1">
        <v>7</v>
      </c>
      <c r="Q4227" s="7" t="s">
        <v>17633</v>
      </c>
      <c r="R4227" s="1" t="s">
        <v>19</v>
      </c>
      <c r="S4227" s="1" t="s">
        <v>20</v>
      </c>
      <c r="T4227" s="1" t="s">
        <v>21</v>
      </c>
      <c r="U4227" s="1" t="s">
        <v>22</v>
      </c>
      <c r="V4227" s="1" t="s">
        <v>24</v>
      </c>
      <c r="W4227" s="1" t="s">
        <v>24</v>
      </c>
      <c r="X4227" s="1">
        <v>2804</v>
      </c>
      <c r="Y4227" s="1">
        <v>2809</v>
      </c>
      <c r="Z4227" s="1" t="s">
        <v>24</v>
      </c>
      <c r="AA4227" s="1" t="s">
        <v>24</v>
      </c>
      <c r="AB4227" s="1" t="s">
        <v>24</v>
      </c>
      <c r="AC4227" s="1" t="s">
        <v>24</v>
      </c>
      <c r="AD4227" s="1" t="s">
        <v>24</v>
      </c>
      <c r="AE4227" s="1" t="s">
        <v>24</v>
      </c>
      <c r="AF4227" s="22"/>
    </row>
    <row r="4228" spans="1:32" x14ac:dyDescent="0.2">
      <c r="A4228" s="1">
        <v>38721</v>
      </c>
      <c r="B4228" s="1" t="s">
        <v>12977</v>
      </c>
      <c r="C4228" s="5" t="s">
        <v>0</v>
      </c>
      <c r="D4228" s="1" t="s">
        <v>12978</v>
      </c>
      <c r="E4228" s="1" t="s">
        <v>12979</v>
      </c>
      <c r="F4228" s="1" t="s">
        <v>940</v>
      </c>
      <c r="G4228" s="1" t="s">
        <v>130</v>
      </c>
      <c r="H4228" s="1" t="s">
        <v>30</v>
      </c>
      <c r="I4228" s="1" t="s">
        <v>16</v>
      </c>
      <c r="J4228" s="1">
        <v>1</v>
      </c>
      <c r="K4228" s="1">
        <v>4</v>
      </c>
      <c r="L4228" s="1" t="s">
        <v>31</v>
      </c>
      <c r="M4228" s="1" t="s">
        <v>18</v>
      </c>
      <c r="N4228" s="1" t="s">
        <v>18</v>
      </c>
      <c r="O4228" s="1">
        <v>3</v>
      </c>
      <c r="P4228" s="1">
        <v>7</v>
      </c>
      <c r="Q4228" s="7" t="s">
        <v>17633</v>
      </c>
      <c r="R4228" s="1" t="s">
        <v>19</v>
      </c>
      <c r="S4228" s="1" t="s">
        <v>20</v>
      </c>
      <c r="T4228" s="1" t="s">
        <v>21</v>
      </c>
      <c r="U4228" s="1" t="s">
        <v>22</v>
      </c>
      <c r="V4228" s="1" t="s">
        <v>24</v>
      </c>
      <c r="W4228" s="1" t="s">
        <v>24</v>
      </c>
      <c r="X4228" s="1">
        <v>2732</v>
      </c>
      <c r="Y4228" s="1" t="s">
        <v>24</v>
      </c>
      <c r="Z4228" s="1" t="s">
        <v>24</v>
      </c>
      <c r="AA4228" s="1" t="s">
        <v>24</v>
      </c>
      <c r="AB4228" s="1" t="s">
        <v>24</v>
      </c>
      <c r="AC4228" s="1" t="s">
        <v>24</v>
      </c>
      <c r="AD4228" s="1" t="s">
        <v>24</v>
      </c>
      <c r="AE4228" s="1" t="s">
        <v>24</v>
      </c>
      <c r="AF4228" s="22"/>
    </row>
    <row r="4229" spans="1:32" x14ac:dyDescent="0.2">
      <c r="A4229" s="1">
        <v>38722</v>
      </c>
      <c r="B4229" s="1" t="s">
        <v>12980</v>
      </c>
      <c r="C4229" s="5" t="s">
        <v>0</v>
      </c>
      <c r="D4229" s="1" t="s">
        <v>12981</v>
      </c>
      <c r="E4229" s="1" t="s">
        <v>12982</v>
      </c>
      <c r="F4229" s="1" t="s">
        <v>190</v>
      </c>
      <c r="G4229" s="1" t="s">
        <v>130</v>
      </c>
      <c r="H4229" s="1" t="s">
        <v>30</v>
      </c>
      <c r="I4229" s="1" t="s">
        <v>16</v>
      </c>
      <c r="J4229" s="1">
        <v>1</v>
      </c>
      <c r="K4229" s="1">
        <v>4</v>
      </c>
      <c r="L4229" s="1" t="s">
        <v>31</v>
      </c>
      <c r="M4229" s="1" t="s">
        <v>18</v>
      </c>
      <c r="N4229" s="1" t="s">
        <v>18</v>
      </c>
      <c r="O4229" s="1">
        <v>3</v>
      </c>
      <c r="P4229" s="1">
        <v>7</v>
      </c>
      <c r="Q4229" s="7" t="s">
        <v>17633</v>
      </c>
      <c r="R4229" s="1" t="s">
        <v>19</v>
      </c>
      <c r="S4229" s="1" t="s">
        <v>20</v>
      </c>
      <c r="T4229" s="1" t="s">
        <v>21</v>
      </c>
      <c r="U4229" s="1" t="s">
        <v>22</v>
      </c>
      <c r="V4229" s="1" t="s">
        <v>24</v>
      </c>
      <c r="W4229" s="1" t="s">
        <v>24</v>
      </c>
      <c r="X4229" s="1">
        <v>2705</v>
      </c>
      <c r="Y4229" s="1">
        <v>1311</v>
      </c>
      <c r="Z4229" s="1">
        <v>2716</v>
      </c>
      <c r="AA4229" s="1">
        <v>1313</v>
      </c>
      <c r="AB4229" s="1">
        <v>3003</v>
      </c>
      <c r="AC4229" s="1" t="s">
        <v>24</v>
      </c>
      <c r="AD4229" s="1" t="s">
        <v>24</v>
      </c>
      <c r="AE4229" s="1" t="s">
        <v>24</v>
      </c>
      <c r="AF4229" s="22"/>
    </row>
    <row r="4230" spans="1:32" x14ac:dyDescent="0.2">
      <c r="A4230" s="1">
        <v>38723</v>
      </c>
      <c r="B4230" s="1" t="s">
        <v>12983</v>
      </c>
      <c r="C4230" s="5" t="s">
        <v>0</v>
      </c>
      <c r="D4230" s="1" t="s">
        <v>12984</v>
      </c>
      <c r="E4230" s="1" t="s">
        <v>12985</v>
      </c>
      <c r="F4230" s="1" t="s">
        <v>167</v>
      </c>
      <c r="G4230" s="1" t="s">
        <v>130</v>
      </c>
      <c r="H4230" s="1" t="s">
        <v>168</v>
      </c>
      <c r="I4230" s="1" t="s">
        <v>16</v>
      </c>
      <c r="J4230" s="1">
        <v>1</v>
      </c>
      <c r="K4230" s="1">
        <v>4</v>
      </c>
      <c r="L4230" s="1" t="s">
        <v>31</v>
      </c>
      <c r="M4230" s="1" t="s">
        <v>18</v>
      </c>
      <c r="N4230" s="1" t="s">
        <v>18</v>
      </c>
      <c r="O4230" s="1">
        <v>3</v>
      </c>
      <c r="P4230" s="1">
        <v>7</v>
      </c>
      <c r="Q4230" s="7" t="s">
        <v>17633</v>
      </c>
      <c r="R4230" s="1" t="s">
        <v>19</v>
      </c>
      <c r="S4230" s="1" t="s">
        <v>20</v>
      </c>
      <c r="T4230" s="1" t="s">
        <v>21</v>
      </c>
      <c r="U4230" s="1" t="s">
        <v>22</v>
      </c>
      <c r="V4230" s="1" t="s">
        <v>24</v>
      </c>
      <c r="W4230" s="1" t="s">
        <v>24</v>
      </c>
      <c r="X4230" s="1">
        <v>1303</v>
      </c>
      <c r="Y4230" s="1">
        <v>1304</v>
      </c>
      <c r="Z4230" s="1">
        <v>1307</v>
      </c>
      <c r="AA4230" s="1" t="s">
        <v>24</v>
      </c>
      <c r="AB4230" s="1" t="s">
        <v>24</v>
      </c>
      <c r="AC4230" s="1" t="s">
        <v>24</v>
      </c>
      <c r="AD4230" s="1" t="s">
        <v>24</v>
      </c>
      <c r="AE4230" s="1" t="s">
        <v>24</v>
      </c>
      <c r="AF4230" s="22"/>
    </row>
    <row r="4231" spans="1:32" x14ac:dyDescent="0.2">
      <c r="A4231" s="1">
        <v>38724</v>
      </c>
      <c r="B4231" s="1" t="s">
        <v>12986</v>
      </c>
      <c r="C4231" s="5" t="s">
        <v>0</v>
      </c>
      <c r="D4231" s="1" t="s">
        <v>12987</v>
      </c>
      <c r="E4231" s="1" t="s">
        <v>12988</v>
      </c>
      <c r="F4231" s="1" t="s">
        <v>217</v>
      </c>
      <c r="G4231" s="1" t="s">
        <v>130</v>
      </c>
      <c r="H4231" s="1" t="s">
        <v>92</v>
      </c>
      <c r="I4231" s="1" t="s">
        <v>16</v>
      </c>
      <c r="J4231" s="1">
        <v>1</v>
      </c>
      <c r="K4231" s="1">
        <v>3</v>
      </c>
      <c r="L4231" s="1" t="s">
        <v>31</v>
      </c>
      <c r="M4231" s="1" t="s">
        <v>18</v>
      </c>
      <c r="N4231" s="1" t="s">
        <v>18</v>
      </c>
      <c r="O4231" s="1">
        <v>3</v>
      </c>
      <c r="P4231" s="1">
        <v>7</v>
      </c>
      <c r="Q4231" s="7" t="s">
        <v>17633</v>
      </c>
      <c r="R4231" s="1" t="s">
        <v>19</v>
      </c>
      <c r="S4231" s="1" t="s">
        <v>20</v>
      </c>
      <c r="T4231" s="1" t="s">
        <v>21</v>
      </c>
      <c r="U4231" s="1" t="s">
        <v>22</v>
      </c>
      <c r="V4231" s="1" t="s">
        <v>24</v>
      </c>
      <c r="W4231" s="1" t="s">
        <v>24</v>
      </c>
      <c r="X4231" s="1">
        <v>2719</v>
      </c>
      <c r="Y4231" s="1">
        <v>2808</v>
      </c>
      <c r="Z4231" s="1">
        <v>2738</v>
      </c>
      <c r="AA4231" s="1" t="s">
        <v>24</v>
      </c>
      <c r="AB4231" s="1" t="s">
        <v>24</v>
      </c>
      <c r="AC4231" s="1" t="s">
        <v>24</v>
      </c>
      <c r="AD4231" s="1" t="s">
        <v>24</v>
      </c>
      <c r="AE4231" s="1" t="s">
        <v>24</v>
      </c>
      <c r="AF4231" s="22"/>
    </row>
    <row r="4232" spans="1:32" x14ac:dyDescent="0.2">
      <c r="A4232" s="1">
        <v>38725</v>
      </c>
      <c r="B4232" s="1" t="s">
        <v>12989</v>
      </c>
      <c r="C4232" s="5" t="s">
        <v>0</v>
      </c>
      <c r="D4232" s="1" t="s">
        <v>12990</v>
      </c>
      <c r="E4232" s="1" t="s">
        <v>12991</v>
      </c>
      <c r="F4232" s="1" t="s">
        <v>1949</v>
      </c>
      <c r="G4232" s="1" t="s">
        <v>1949</v>
      </c>
      <c r="H4232" s="1" t="s">
        <v>684</v>
      </c>
      <c r="I4232" s="1" t="s">
        <v>16</v>
      </c>
      <c r="J4232" s="1">
        <v>1</v>
      </c>
      <c r="K4232" s="1">
        <v>2</v>
      </c>
      <c r="L4232" s="1" t="s">
        <v>42</v>
      </c>
      <c r="M4232" s="1" t="s">
        <v>18</v>
      </c>
      <c r="N4232" s="1" t="s">
        <v>18</v>
      </c>
      <c r="O4232" s="1">
        <v>3</v>
      </c>
      <c r="P4232" s="1">
        <v>7</v>
      </c>
      <c r="Q4232" s="7" t="s">
        <v>17633</v>
      </c>
      <c r="R4232" s="1" t="s">
        <v>19</v>
      </c>
      <c r="S4232" s="1" t="s">
        <v>20</v>
      </c>
      <c r="T4232" s="1" t="s">
        <v>21</v>
      </c>
      <c r="U4232" s="1" t="s">
        <v>22</v>
      </c>
      <c r="V4232" s="1" t="s">
        <v>24</v>
      </c>
      <c r="W4232" s="1" t="s">
        <v>24</v>
      </c>
      <c r="X4232" s="1">
        <v>2730</v>
      </c>
      <c r="Y4232" s="1">
        <v>1306</v>
      </c>
      <c r="Z4232" s="1" t="s">
        <v>24</v>
      </c>
      <c r="AA4232" s="1" t="s">
        <v>24</v>
      </c>
      <c r="AB4232" s="1" t="s">
        <v>24</v>
      </c>
      <c r="AC4232" s="1" t="s">
        <v>24</v>
      </c>
      <c r="AD4232" s="1" t="s">
        <v>24</v>
      </c>
      <c r="AE4232" s="1" t="s">
        <v>24</v>
      </c>
      <c r="AF4232" s="22"/>
    </row>
    <row r="4233" spans="1:32" x14ac:dyDescent="0.2">
      <c r="A4233" s="1">
        <v>38726</v>
      </c>
      <c r="B4233" s="1" t="s">
        <v>12992</v>
      </c>
      <c r="C4233" s="5" t="s">
        <v>0</v>
      </c>
      <c r="D4233" s="1" t="s">
        <v>12993</v>
      </c>
      <c r="E4233" s="1" t="s">
        <v>12994</v>
      </c>
      <c r="F4233" s="1" t="s">
        <v>6405</v>
      </c>
      <c r="G4233" s="1" t="s">
        <v>6406</v>
      </c>
      <c r="H4233" s="1" t="s">
        <v>92</v>
      </c>
      <c r="I4233" s="1" t="s">
        <v>16</v>
      </c>
      <c r="J4233" s="1">
        <v>1</v>
      </c>
      <c r="K4233" s="1">
        <v>3</v>
      </c>
      <c r="L4233" s="1" t="s">
        <v>31</v>
      </c>
      <c r="M4233" s="1" t="s">
        <v>18</v>
      </c>
      <c r="N4233" s="1" t="s">
        <v>18</v>
      </c>
      <c r="O4233" s="1">
        <v>3</v>
      </c>
      <c r="P4233" s="1">
        <v>7</v>
      </c>
      <c r="Q4233" s="7" t="s">
        <v>17633</v>
      </c>
      <c r="R4233" s="1" t="s">
        <v>19</v>
      </c>
      <c r="S4233" s="1" t="s">
        <v>20</v>
      </c>
      <c r="T4233" s="1" t="s">
        <v>21</v>
      </c>
      <c r="U4233" s="1" t="s">
        <v>22</v>
      </c>
      <c r="V4233" s="1" t="s">
        <v>24</v>
      </c>
      <c r="W4233" s="1" t="s">
        <v>24</v>
      </c>
      <c r="X4233" s="1">
        <v>2741</v>
      </c>
      <c r="Y4233" s="1">
        <v>3004</v>
      </c>
      <c r="Z4233" s="1" t="s">
        <v>24</v>
      </c>
      <c r="AA4233" s="1" t="s">
        <v>24</v>
      </c>
      <c r="AB4233" s="1" t="s">
        <v>24</v>
      </c>
      <c r="AC4233" s="1" t="s">
        <v>24</v>
      </c>
      <c r="AD4233" s="1" t="s">
        <v>24</v>
      </c>
      <c r="AE4233" s="1" t="s">
        <v>24</v>
      </c>
      <c r="AF4233" s="22"/>
    </row>
    <row r="4234" spans="1:32" x14ac:dyDescent="0.2">
      <c r="A4234" s="1">
        <v>38727</v>
      </c>
      <c r="B4234" s="1" t="s">
        <v>12995</v>
      </c>
      <c r="C4234" s="5" t="s">
        <v>0</v>
      </c>
      <c r="D4234" s="1" t="s">
        <v>12996</v>
      </c>
      <c r="E4234" s="1" t="s">
        <v>12997</v>
      </c>
      <c r="F4234" s="1" t="s">
        <v>6405</v>
      </c>
      <c r="G4234" s="1" t="s">
        <v>6406</v>
      </c>
      <c r="H4234" s="1" t="s">
        <v>92</v>
      </c>
      <c r="I4234" s="1" t="s">
        <v>16</v>
      </c>
      <c r="J4234" s="1">
        <v>1</v>
      </c>
      <c r="K4234" s="1">
        <v>3</v>
      </c>
      <c r="L4234" s="1" t="s">
        <v>31</v>
      </c>
      <c r="M4234" s="1" t="s">
        <v>18</v>
      </c>
      <c r="N4234" s="1" t="s">
        <v>18</v>
      </c>
      <c r="O4234" s="1">
        <v>3</v>
      </c>
      <c r="P4234" s="1">
        <v>7</v>
      </c>
      <c r="Q4234" s="7" t="s">
        <v>17633</v>
      </c>
      <c r="R4234" s="1" t="s">
        <v>19</v>
      </c>
      <c r="S4234" s="1" t="s">
        <v>20</v>
      </c>
      <c r="T4234" s="1" t="s">
        <v>21</v>
      </c>
      <c r="U4234" s="1" t="s">
        <v>22</v>
      </c>
      <c r="V4234" s="1" t="s">
        <v>24</v>
      </c>
      <c r="W4234" s="1" t="s">
        <v>24</v>
      </c>
      <c r="X4234" s="1">
        <v>3002</v>
      </c>
      <c r="Y4234" s="1">
        <v>3004</v>
      </c>
      <c r="Z4234" s="1">
        <v>1313</v>
      </c>
      <c r="AA4234" s="1" t="s">
        <v>24</v>
      </c>
      <c r="AB4234" s="1" t="s">
        <v>24</v>
      </c>
      <c r="AC4234" s="1" t="s">
        <v>24</v>
      </c>
      <c r="AD4234" s="1" t="s">
        <v>24</v>
      </c>
      <c r="AE4234" s="1" t="s">
        <v>24</v>
      </c>
      <c r="AF4234" s="22"/>
    </row>
    <row r="4235" spans="1:32" x14ac:dyDescent="0.2">
      <c r="A4235" s="1">
        <v>38728</v>
      </c>
      <c r="B4235" s="1" t="s">
        <v>12998</v>
      </c>
      <c r="C4235" s="5" t="s">
        <v>0</v>
      </c>
      <c r="E4235" s="1" t="s">
        <v>12999</v>
      </c>
      <c r="F4235" s="1" t="s">
        <v>2299</v>
      </c>
      <c r="G4235" s="1" t="s">
        <v>2300</v>
      </c>
      <c r="H4235" s="1" t="s">
        <v>37</v>
      </c>
      <c r="I4235" s="1" t="s">
        <v>16</v>
      </c>
      <c r="J4235" s="1">
        <v>1</v>
      </c>
      <c r="K4235" s="1">
        <v>1</v>
      </c>
      <c r="L4235" s="1" t="s">
        <v>31</v>
      </c>
      <c r="M4235" s="1" t="s">
        <v>18</v>
      </c>
      <c r="N4235" s="1" t="s">
        <v>18</v>
      </c>
      <c r="O4235" s="1">
        <v>3</v>
      </c>
      <c r="P4235" s="1">
        <v>7</v>
      </c>
      <c r="Q4235" s="7" t="s">
        <v>17633</v>
      </c>
      <c r="R4235" s="1" t="s">
        <v>19</v>
      </c>
      <c r="S4235" s="1" t="s">
        <v>63</v>
      </c>
      <c r="T4235" s="1" t="s">
        <v>21</v>
      </c>
      <c r="U4235" s="1" t="s">
        <v>22</v>
      </c>
      <c r="V4235" s="1" t="s">
        <v>24</v>
      </c>
      <c r="W4235" s="1" t="s">
        <v>24</v>
      </c>
      <c r="X4235" s="1">
        <v>2716</v>
      </c>
      <c r="Y4235" s="1">
        <v>1311</v>
      </c>
      <c r="Z4235" s="1" t="s">
        <v>24</v>
      </c>
      <c r="AA4235" s="1" t="s">
        <v>24</v>
      </c>
      <c r="AB4235" s="1" t="s">
        <v>24</v>
      </c>
      <c r="AC4235" s="1" t="s">
        <v>24</v>
      </c>
      <c r="AD4235" s="1" t="s">
        <v>24</v>
      </c>
      <c r="AE4235" s="1" t="s">
        <v>24</v>
      </c>
      <c r="AF4235" s="22"/>
    </row>
    <row r="4236" spans="1:32" x14ac:dyDescent="0.2">
      <c r="A4236" s="1">
        <v>38729</v>
      </c>
      <c r="B4236" s="1" t="s">
        <v>13000</v>
      </c>
      <c r="C4236" s="5" t="s">
        <v>0</v>
      </c>
      <c r="D4236" s="1" t="s">
        <v>13001</v>
      </c>
      <c r="E4236" s="1" t="s">
        <v>13002</v>
      </c>
      <c r="F4236" s="1" t="s">
        <v>13003</v>
      </c>
      <c r="G4236" s="1" t="s">
        <v>13004</v>
      </c>
      <c r="H4236" s="1" t="s">
        <v>116</v>
      </c>
      <c r="I4236" s="1" t="s">
        <v>16</v>
      </c>
      <c r="J4236" s="1">
        <v>1</v>
      </c>
      <c r="K4236" s="1">
        <v>2</v>
      </c>
      <c r="L4236" s="1" t="s">
        <v>42</v>
      </c>
      <c r="M4236" s="1" t="s">
        <v>117</v>
      </c>
      <c r="N4236" s="1" t="s">
        <v>118</v>
      </c>
      <c r="O4236" s="1">
        <v>3</v>
      </c>
      <c r="P4236" s="1">
        <v>5</v>
      </c>
      <c r="R4236" s="1" t="s">
        <v>19</v>
      </c>
      <c r="S4236" s="1" t="s">
        <v>20</v>
      </c>
      <c r="T4236" s="1" t="s">
        <v>21</v>
      </c>
      <c r="U4236" s="1" t="s">
        <v>22</v>
      </c>
      <c r="V4236" s="1" t="s">
        <v>24</v>
      </c>
      <c r="W4236" s="1" t="s">
        <v>24</v>
      </c>
      <c r="X4236" s="1">
        <v>2707</v>
      </c>
      <c r="Y4236" s="1" t="s">
        <v>24</v>
      </c>
      <c r="Z4236" s="1" t="s">
        <v>24</v>
      </c>
      <c r="AA4236" s="1" t="s">
        <v>24</v>
      </c>
      <c r="AB4236" s="1" t="s">
        <v>24</v>
      </c>
      <c r="AC4236" s="1" t="s">
        <v>24</v>
      </c>
      <c r="AD4236" s="1" t="s">
        <v>24</v>
      </c>
      <c r="AE4236" s="1" t="s">
        <v>24</v>
      </c>
      <c r="AF4236" s="22"/>
    </row>
    <row r="4237" spans="1:32" x14ac:dyDescent="0.2">
      <c r="A4237" s="1">
        <v>38730</v>
      </c>
      <c r="B4237" s="1" t="s">
        <v>13005</v>
      </c>
      <c r="C4237" s="5" t="s">
        <v>0</v>
      </c>
      <c r="D4237" s="1" t="s">
        <v>13006</v>
      </c>
      <c r="E4237" s="1" t="s">
        <v>13007</v>
      </c>
      <c r="F4237" s="1" t="s">
        <v>13008</v>
      </c>
      <c r="G4237" s="1" t="s">
        <v>13008</v>
      </c>
      <c r="H4237" s="1" t="s">
        <v>30</v>
      </c>
      <c r="I4237" s="1" t="s">
        <v>16</v>
      </c>
      <c r="J4237" s="1">
        <v>1</v>
      </c>
      <c r="K4237" s="1">
        <v>4</v>
      </c>
      <c r="L4237" s="1" t="s">
        <v>42</v>
      </c>
      <c r="M4237" s="1" t="s">
        <v>18</v>
      </c>
      <c r="N4237" s="1" t="s">
        <v>18</v>
      </c>
      <c r="O4237" s="1">
        <v>3</v>
      </c>
      <c r="P4237" s="1">
        <v>6</v>
      </c>
      <c r="R4237" s="1" t="s">
        <v>19</v>
      </c>
      <c r="S4237" s="1" t="s">
        <v>20</v>
      </c>
      <c r="T4237" s="1" t="s">
        <v>21</v>
      </c>
      <c r="U4237" s="1" t="s">
        <v>22</v>
      </c>
      <c r="V4237" s="1" t="s">
        <v>24</v>
      </c>
      <c r="W4237" s="1" t="s">
        <v>24</v>
      </c>
      <c r="X4237" s="1">
        <v>2700</v>
      </c>
      <c r="Y4237" s="1" t="s">
        <v>24</v>
      </c>
      <c r="Z4237" s="1" t="s">
        <v>24</v>
      </c>
      <c r="AA4237" s="1" t="s">
        <v>24</v>
      </c>
      <c r="AB4237" s="1" t="s">
        <v>24</v>
      </c>
      <c r="AC4237" s="1" t="s">
        <v>24</v>
      </c>
      <c r="AD4237" s="1" t="s">
        <v>24</v>
      </c>
      <c r="AE4237" s="1" t="s">
        <v>24</v>
      </c>
      <c r="AF4237" s="22"/>
    </row>
    <row r="4238" spans="1:32" x14ac:dyDescent="0.2">
      <c r="A4238" s="1">
        <v>38731</v>
      </c>
      <c r="B4238" s="1" t="s">
        <v>13009</v>
      </c>
      <c r="C4238" s="5" t="s">
        <v>0</v>
      </c>
      <c r="D4238" s="1" t="s">
        <v>13010</v>
      </c>
      <c r="E4238" s="1" t="s">
        <v>13011</v>
      </c>
      <c r="F4238" s="1" t="s">
        <v>11079</v>
      </c>
      <c r="G4238" s="1" t="s">
        <v>11079</v>
      </c>
      <c r="H4238" s="1" t="s">
        <v>3228</v>
      </c>
      <c r="I4238" s="1" t="s">
        <v>16</v>
      </c>
      <c r="J4238" s="1">
        <v>1</v>
      </c>
      <c r="K4238" s="1">
        <v>1</v>
      </c>
      <c r="L4238" s="1" t="s">
        <v>42</v>
      </c>
      <c r="M4238" s="1" t="s">
        <v>18</v>
      </c>
      <c r="N4238" s="1" t="s">
        <v>18</v>
      </c>
      <c r="O4238" s="1">
        <v>3</v>
      </c>
      <c r="P4238" s="1">
        <v>6</v>
      </c>
      <c r="R4238" s="1" t="s">
        <v>19</v>
      </c>
      <c r="S4238" s="1" t="s">
        <v>63</v>
      </c>
      <c r="T4238" s="1" t="s">
        <v>21</v>
      </c>
      <c r="U4238" s="1" t="s">
        <v>22</v>
      </c>
      <c r="V4238" s="1" t="s">
        <v>24</v>
      </c>
      <c r="W4238" s="1" t="s">
        <v>24</v>
      </c>
      <c r="X4238" s="1">
        <v>2730</v>
      </c>
      <c r="Y4238" s="1">
        <v>2723</v>
      </c>
      <c r="Z4238" s="1">
        <v>2736</v>
      </c>
      <c r="AA4238" s="1">
        <v>2715</v>
      </c>
      <c r="AB4238" s="1">
        <v>2745</v>
      </c>
      <c r="AC4238" s="1" t="s">
        <v>24</v>
      </c>
      <c r="AD4238" s="1" t="s">
        <v>24</v>
      </c>
      <c r="AE4238" s="1" t="s">
        <v>24</v>
      </c>
      <c r="AF4238" s="22"/>
    </row>
    <row r="4239" spans="1:32" x14ac:dyDescent="0.2">
      <c r="A4239" s="1">
        <v>38732</v>
      </c>
      <c r="B4239" s="1" t="s">
        <v>13012</v>
      </c>
      <c r="C4239" s="5" t="s">
        <v>0</v>
      </c>
      <c r="D4239" s="1" t="s">
        <v>13013</v>
      </c>
      <c r="E4239" s="1" t="s">
        <v>13014</v>
      </c>
      <c r="F4239" s="1" t="s">
        <v>10464</v>
      </c>
      <c r="G4239" s="1" t="s">
        <v>10464</v>
      </c>
      <c r="H4239" s="1" t="s">
        <v>1957</v>
      </c>
      <c r="I4239" s="1" t="s">
        <v>16</v>
      </c>
      <c r="J4239" s="1">
        <v>1</v>
      </c>
      <c r="K4239" s="1">
        <v>2</v>
      </c>
      <c r="L4239" s="1" t="s">
        <v>42</v>
      </c>
      <c r="M4239" s="1" t="s">
        <v>18</v>
      </c>
      <c r="N4239" s="1" t="s">
        <v>18</v>
      </c>
      <c r="O4239" s="1">
        <v>3</v>
      </c>
      <c r="P4239" s="1">
        <v>6</v>
      </c>
      <c r="R4239" s="1" t="s">
        <v>19</v>
      </c>
      <c r="S4239" s="1" t="s">
        <v>20</v>
      </c>
      <c r="T4239" s="1" t="s">
        <v>21</v>
      </c>
      <c r="U4239" s="1" t="s">
        <v>22</v>
      </c>
      <c r="V4239" s="1" t="s">
        <v>24</v>
      </c>
      <c r="W4239" s="1" t="s">
        <v>24</v>
      </c>
      <c r="X4239" s="1">
        <v>3000</v>
      </c>
      <c r="Y4239" s="1" t="s">
        <v>24</v>
      </c>
      <c r="Z4239" s="1" t="s">
        <v>24</v>
      </c>
      <c r="AA4239" s="1" t="s">
        <v>24</v>
      </c>
      <c r="AB4239" s="1" t="s">
        <v>24</v>
      </c>
      <c r="AC4239" s="1" t="s">
        <v>24</v>
      </c>
      <c r="AD4239" s="1" t="s">
        <v>24</v>
      </c>
      <c r="AE4239" s="1" t="s">
        <v>24</v>
      </c>
      <c r="AF4239" s="22"/>
    </row>
    <row r="4240" spans="1:32" x14ac:dyDescent="0.2">
      <c r="A4240" s="1">
        <v>38733</v>
      </c>
      <c r="B4240" s="1" t="s">
        <v>13015</v>
      </c>
      <c r="C4240" s="5" t="s">
        <v>0</v>
      </c>
      <c r="D4240" s="1" t="s">
        <v>13016</v>
      </c>
      <c r="E4240" s="1" t="s">
        <v>13017</v>
      </c>
      <c r="F4240" s="1" t="s">
        <v>12243</v>
      </c>
      <c r="G4240" s="1" t="s">
        <v>12243</v>
      </c>
      <c r="H4240" s="1" t="s">
        <v>1957</v>
      </c>
      <c r="I4240" s="1" t="s">
        <v>16</v>
      </c>
      <c r="J4240" s="1">
        <v>1</v>
      </c>
      <c r="K4240" s="1">
        <v>3</v>
      </c>
      <c r="L4240" s="1" t="s">
        <v>42</v>
      </c>
      <c r="M4240" s="1" t="s">
        <v>18</v>
      </c>
      <c r="N4240" s="1" t="s">
        <v>18</v>
      </c>
      <c r="O4240" s="1">
        <v>3</v>
      </c>
      <c r="P4240" s="1">
        <v>6</v>
      </c>
      <c r="R4240" s="1" t="s">
        <v>19</v>
      </c>
      <c r="S4240" s="1" t="s">
        <v>20</v>
      </c>
      <c r="T4240" s="1" t="s">
        <v>21</v>
      </c>
      <c r="U4240" s="1" t="s">
        <v>22</v>
      </c>
      <c r="V4240" s="1" t="s">
        <v>24</v>
      </c>
      <c r="W4240" s="1" t="s">
        <v>24</v>
      </c>
      <c r="X4240" s="1">
        <v>2720</v>
      </c>
      <c r="Y4240" s="1">
        <v>2730</v>
      </c>
      <c r="Z4240" s="1">
        <v>2747</v>
      </c>
      <c r="AA4240" s="1" t="s">
        <v>24</v>
      </c>
      <c r="AB4240" s="1" t="s">
        <v>24</v>
      </c>
      <c r="AC4240" s="1" t="s">
        <v>24</v>
      </c>
      <c r="AD4240" s="1" t="s">
        <v>24</v>
      </c>
      <c r="AE4240" s="1" t="s">
        <v>24</v>
      </c>
      <c r="AF4240" s="22"/>
    </row>
    <row r="4241" spans="1:32" x14ac:dyDescent="0.2">
      <c r="A4241" s="1">
        <v>38734</v>
      </c>
      <c r="B4241" s="1" t="s">
        <v>13018</v>
      </c>
      <c r="C4241" s="5" t="s">
        <v>0</v>
      </c>
      <c r="D4241" s="1" t="s">
        <v>13019</v>
      </c>
      <c r="E4241" s="1" t="s">
        <v>13020</v>
      </c>
      <c r="F4241" s="1" t="s">
        <v>35</v>
      </c>
      <c r="G4241" s="1" t="s">
        <v>36</v>
      </c>
      <c r="H4241" s="1" t="s">
        <v>37</v>
      </c>
      <c r="I4241" s="1" t="s">
        <v>16</v>
      </c>
      <c r="J4241" s="1">
        <v>1</v>
      </c>
      <c r="K4241" s="1">
        <v>4</v>
      </c>
      <c r="L4241" s="1" t="s">
        <v>31</v>
      </c>
      <c r="M4241" s="1" t="s">
        <v>18</v>
      </c>
      <c r="N4241" s="1" t="s">
        <v>18</v>
      </c>
      <c r="O4241" s="1">
        <v>3</v>
      </c>
      <c r="P4241" s="1">
        <v>7</v>
      </c>
      <c r="Q4241" s="7" t="s">
        <v>17633</v>
      </c>
      <c r="R4241" s="1" t="s">
        <v>19</v>
      </c>
      <c r="S4241" s="1" t="s">
        <v>20</v>
      </c>
      <c r="T4241" s="1" t="s">
        <v>21</v>
      </c>
      <c r="U4241" s="1" t="s">
        <v>22</v>
      </c>
      <c r="V4241" s="1" t="s">
        <v>23</v>
      </c>
      <c r="W4241" s="1" t="s">
        <v>24</v>
      </c>
      <c r="X4241" s="1">
        <v>2740</v>
      </c>
      <c r="Y4241" s="1">
        <v>2723</v>
      </c>
      <c r="Z4241" s="1">
        <v>2716</v>
      </c>
      <c r="AA4241" s="1" t="s">
        <v>24</v>
      </c>
      <c r="AB4241" s="1" t="s">
        <v>24</v>
      </c>
      <c r="AC4241" s="1" t="s">
        <v>24</v>
      </c>
      <c r="AD4241" s="1" t="s">
        <v>24</v>
      </c>
      <c r="AE4241" s="1" t="s">
        <v>24</v>
      </c>
      <c r="AF4241" s="22"/>
    </row>
    <row r="4242" spans="1:32" x14ac:dyDescent="0.2">
      <c r="A4242" s="1">
        <v>38735</v>
      </c>
      <c r="B4242" s="1" t="s">
        <v>13021</v>
      </c>
      <c r="C4242" s="5" t="s">
        <v>0</v>
      </c>
      <c r="E4242" s="1" t="s">
        <v>13022</v>
      </c>
      <c r="F4242" s="1" t="s">
        <v>2299</v>
      </c>
      <c r="G4242" s="1" t="s">
        <v>2300</v>
      </c>
      <c r="H4242" s="1" t="s">
        <v>37</v>
      </c>
      <c r="I4242" s="1" t="s">
        <v>16</v>
      </c>
      <c r="J4242" s="1">
        <v>1</v>
      </c>
      <c r="K4242" s="1">
        <v>1</v>
      </c>
      <c r="L4242" s="1" t="s">
        <v>31</v>
      </c>
      <c r="M4242" s="1" t="s">
        <v>18</v>
      </c>
      <c r="N4242" s="1" t="s">
        <v>18</v>
      </c>
      <c r="O4242" s="1">
        <v>3</v>
      </c>
      <c r="P4242" s="1">
        <v>7</v>
      </c>
      <c r="Q4242" s="7" t="s">
        <v>17633</v>
      </c>
      <c r="R4242" s="1" t="s">
        <v>19</v>
      </c>
      <c r="S4242" s="1" t="s">
        <v>63</v>
      </c>
      <c r="T4242" s="1" t="s">
        <v>21</v>
      </c>
      <c r="U4242" s="1" t="s">
        <v>22</v>
      </c>
      <c r="V4242" s="1" t="s">
        <v>24</v>
      </c>
      <c r="W4242" s="1" t="s">
        <v>24</v>
      </c>
      <c r="X4242" s="1">
        <v>1311</v>
      </c>
      <c r="Y4242" s="1">
        <v>1312</v>
      </c>
      <c r="Z4242" s="1">
        <v>2716</v>
      </c>
      <c r="AA4242" s="1">
        <v>1303</v>
      </c>
      <c r="AB4242" s="1">
        <v>1313</v>
      </c>
      <c r="AC4242" s="1">
        <v>2704</v>
      </c>
      <c r="AD4242" s="1" t="s">
        <v>24</v>
      </c>
      <c r="AE4242" s="1" t="s">
        <v>24</v>
      </c>
      <c r="AF4242" s="22"/>
    </row>
    <row r="4243" spans="1:32" x14ac:dyDescent="0.2">
      <c r="A4243" s="1">
        <v>38736</v>
      </c>
      <c r="B4243" s="1" t="s">
        <v>13023</v>
      </c>
      <c r="C4243" s="5" t="s">
        <v>0</v>
      </c>
      <c r="D4243" s="1" t="s">
        <v>13024</v>
      </c>
      <c r="E4243" s="1" t="s">
        <v>13025</v>
      </c>
      <c r="F4243" s="1" t="s">
        <v>13026</v>
      </c>
      <c r="G4243" s="1" t="s">
        <v>13026</v>
      </c>
      <c r="H4243" s="1" t="s">
        <v>1384</v>
      </c>
      <c r="I4243" s="1" t="s">
        <v>16</v>
      </c>
      <c r="J4243" s="1">
        <v>1</v>
      </c>
      <c r="K4243" s="1">
        <v>4</v>
      </c>
      <c r="L4243" s="1" t="s">
        <v>42</v>
      </c>
      <c r="M4243" s="1" t="s">
        <v>3142</v>
      </c>
      <c r="N4243" s="1" t="s">
        <v>3142</v>
      </c>
      <c r="O4243" s="1">
        <v>3</v>
      </c>
      <c r="P4243" s="1">
        <v>6</v>
      </c>
      <c r="R4243" s="1" t="s">
        <v>19</v>
      </c>
      <c r="S4243" s="1" t="s">
        <v>20</v>
      </c>
      <c r="T4243" s="1" t="s">
        <v>21</v>
      </c>
      <c r="U4243" s="1" t="s">
        <v>22</v>
      </c>
      <c r="V4243" s="1" t="s">
        <v>24</v>
      </c>
      <c r="W4243" s="1" t="s">
        <v>24</v>
      </c>
      <c r="X4243" s="1">
        <v>1303</v>
      </c>
      <c r="Y4243" s="1">
        <v>1308</v>
      </c>
      <c r="Z4243" s="1">
        <v>2704</v>
      </c>
      <c r="AA4243" s="1">
        <v>1312</v>
      </c>
      <c r="AB4243" s="1" t="s">
        <v>24</v>
      </c>
      <c r="AC4243" s="1" t="s">
        <v>24</v>
      </c>
      <c r="AD4243" s="1" t="s">
        <v>24</v>
      </c>
      <c r="AE4243" s="1" t="s">
        <v>24</v>
      </c>
      <c r="AF4243" s="22"/>
    </row>
    <row r="4244" spans="1:32" x14ac:dyDescent="0.2">
      <c r="A4244" s="1">
        <v>38737</v>
      </c>
      <c r="B4244" s="1" t="s">
        <v>13027</v>
      </c>
      <c r="C4244" s="5" t="s">
        <v>0</v>
      </c>
      <c r="D4244" s="1" t="s">
        <v>13028</v>
      </c>
      <c r="E4244" s="1" t="s">
        <v>13029</v>
      </c>
      <c r="F4244" s="1" t="s">
        <v>13030</v>
      </c>
      <c r="G4244" s="1" t="s">
        <v>13030</v>
      </c>
      <c r="H4244" s="1" t="s">
        <v>86</v>
      </c>
      <c r="I4244" s="1" t="s">
        <v>16</v>
      </c>
      <c r="J4244" s="1">
        <v>1</v>
      </c>
      <c r="K4244" s="1">
        <v>4</v>
      </c>
      <c r="L4244" s="1" t="s">
        <v>42</v>
      </c>
      <c r="M4244" s="1" t="s">
        <v>18</v>
      </c>
      <c r="N4244" s="1" t="s">
        <v>18</v>
      </c>
      <c r="O4244" s="1">
        <v>3</v>
      </c>
      <c r="P4244" s="1">
        <v>6</v>
      </c>
      <c r="R4244" s="1" t="s">
        <v>19</v>
      </c>
      <c r="S4244" s="1" t="s">
        <v>20</v>
      </c>
      <c r="T4244" s="1" t="s">
        <v>21</v>
      </c>
      <c r="U4244" s="1" t="s">
        <v>22</v>
      </c>
      <c r="V4244" s="1" t="s">
        <v>23</v>
      </c>
      <c r="W4244" s="1" t="s">
        <v>24</v>
      </c>
      <c r="X4244" s="1">
        <v>2705</v>
      </c>
      <c r="Y4244" s="1" t="s">
        <v>24</v>
      </c>
      <c r="Z4244" s="1" t="s">
        <v>24</v>
      </c>
      <c r="AA4244" s="1" t="s">
        <v>24</v>
      </c>
      <c r="AB4244" s="1" t="s">
        <v>24</v>
      </c>
      <c r="AC4244" s="1" t="s">
        <v>24</v>
      </c>
      <c r="AD4244" s="1" t="s">
        <v>24</v>
      </c>
      <c r="AE4244" s="1" t="s">
        <v>24</v>
      </c>
      <c r="AF4244" s="22"/>
    </row>
    <row r="4245" spans="1:32" x14ac:dyDescent="0.2">
      <c r="A4245" s="1">
        <v>38738</v>
      </c>
      <c r="B4245" s="1" t="s">
        <v>13031</v>
      </c>
      <c r="C4245" s="5" t="s">
        <v>0</v>
      </c>
      <c r="D4245" s="1" t="s">
        <v>13032</v>
      </c>
      <c r="E4245" s="1" t="s">
        <v>13033</v>
      </c>
      <c r="F4245" s="1" t="s">
        <v>13034</v>
      </c>
      <c r="G4245" s="1" t="s">
        <v>13034</v>
      </c>
      <c r="H4245" s="1" t="s">
        <v>1957</v>
      </c>
      <c r="I4245" s="1" t="s">
        <v>16</v>
      </c>
      <c r="J4245" s="1">
        <v>1</v>
      </c>
      <c r="K4245" s="1">
        <v>4</v>
      </c>
      <c r="L4245" s="1" t="s">
        <v>42</v>
      </c>
      <c r="M4245" s="1" t="s">
        <v>18</v>
      </c>
      <c r="N4245" s="1" t="s">
        <v>18</v>
      </c>
      <c r="O4245" s="1">
        <v>3</v>
      </c>
      <c r="P4245" s="1">
        <v>6</v>
      </c>
      <c r="R4245" s="1" t="s">
        <v>19</v>
      </c>
      <c r="S4245" s="1" t="s">
        <v>20</v>
      </c>
      <c r="T4245" s="1" t="s">
        <v>21</v>
      </c>
      <c r="U4245" s="1" t="s">
        <v>22</v>
      </c>
      <c r="V4245" s="1" t="s">
        <v>24</v>
      </c>
      <c r="W4245" s="1" t="s">
        <v>24</v>
      </c>
      <c r="X4245" s="1">
        <v>2705</v>
      </c>
      <c r="Y4245" s="1">
        <v>3005</v>
      </c>
      <c r="Z4245" s="1" t="s">
        <v>24</v>
      </c>
      <c r="AA4245" s="1" t="s">
        <v>24</v>
      </c>
      <c r="AB4245" s="1" t="s">
        <v>24</v>
      </c>
      <c r="AC4245" s="1" t="s">
        <v>24</v>
      </c>
      <c r="AD4245" s="1" t="s">
        <v>24</v>
      </c>
      <c r="AE4245" s="1" t="s">
        <v>24</v>
      </c>
      <c r="AF4245" s="22"/>
    </row>
    <row r="4246" spans="1:32" x14ac:dyDescent="0.2">
      <c r="A4246" s="1">
        <v>38739</v>
      </c>
      <c r="B4246" s="1" t="s">
        <v>13035</v>
      </c>
      <c r="C4246" s="5" t="s">
        <v>0</v>
      </c>
      <c r="D4246" s="1" t="s">
        <v>13036</v>
      </c>
      <c r="E4246" s="1" t="s">
        <v>13037</v>
      </c>
      <c r="F4246" s="1" t="s">
        <v>1412</v>
      </c>
      <c r="G4246" s="1" t="s">
        <v>1413</v>
      </c>
      <c r="H4246" s="1" t="s">
        <v>30</v>
      </c>
      <c r="I4246" s="1" t="s">
        <v>16</v>
      </c>
      <c r="J4246" s="1">
        <v>1</v>
      </c>
      <c r="K4246" s="1">
        <v>1</v>
      </c>
      <c r="L4246" s="1" t="s">
        <v>31</v>
      </c>
      <c r="M4246" s="1" t="s">
        <v>18</v>
      </c>
      <c r="N4246" s="1" t="s">
        <v>18</v>
      </c>
      <c r="O4246" s="1">
        <v>3</v>
      </c>
      <c r="P4246" s="1">
        <v>6</v>
      </c>
      <c r="R4246" s="1" t="s">
        <v>19</v>
      </c>
      <c r="S4246" s="1" t="s">
        <v>63</v>
      </c>
      <c r="T4246" s="1" t="s">
        <v>21</v>
      </c>
      <c r="U4246" s="1" t="s">
        <v>22</v>
      </c>
      <c r="V4246" s="1" t="s">
        <v>24</v>
      </c>
      <c r="W4246" s="1" t="s">
        <v>24</v>
      </c>
      <c r="X4246" s="1">
        <v>2715</v>
      </c>
      <c r="Y4246" s="1">
        <v>2721</v>
      </c>
      <c r="Z4246" s="1" t="s">
        <v>24</v>
      </c>
      <c r="AA4246" s="1" t="s">
        <v>24</v>
      </c>
      <c r="AB4246" s="1" t="s">
        <v>24</v>
      </c>
      <c r="AC4246" s="1" t="s">
        <v>24</v>
      </c>
      <c r="AD4246" s="1" t="s">
        <v>24</v>
      </c>
      <c r="AE4246" s="1" t="s">
        <v>24</v>
      </c>
      <c r="AF4246" s="22"/>
    </row>
    <row r="4247" spans="1:32" x14ac:dyDescent="0.2">
      <c r="A4247" s="1">
        <v>38740</v>
      </c>
      <c r="B4247" s="1" t="s">
        <v>13038</v>
      </c>
      <c r="C4247" s="5" t="s">
        <v>0</v>
      </c>
      <c r="D4247" s="1" t="s">
        <v>13039</v>
      </c>
      <c r="E4247" s="1" t="s">
        <v>13040</v>
      </c>
      <c r="F4247" s="1" t="s">
        <v>190</v>
      </c>
      <c r="G4247" s="1" t="s">
        <v>130</v>
      </c>
      <c r="H4247" s="1" t="s">
        <v>30</v>
      </c>
      <c r="I4247" s="1" t="s">
        <v>16</v>
      </c>
      <c r="J4247" s="1">
        <v>1</v>
      </c>
      <c r="K4247" s="1">
        <v>4</v>
      </c>
      <c r="L4247" s="1" t="s">
        <v>31</v>
      </c>
      <c r="M4247" s="1" t="s">
        <v>18</v>
      </c>
      <c r="N4247" s="1" t="s">
        <v>18</v>
      </c>
      <c r="O4247" s="1">
        <v>3</v>
      </c>
      <c r="P4247" s="1">
        <v>7</v>
      </c>
      <c r="Q4247" s="7" t="s">
        <v>17633</v>
      </c>
      <c r="R4247" s="1" t="s">
        <v>19</v>
      </c>
      <c r="S4247" s="1" t="s">
        <v>20</v>
      </c>
      <c r="T4247" s="1" t="s">
        <v>21</v>
      </c>
      <c r="U4247" s="1" t="s">
        <v>22</v>
      </c>
      <c r="V4247" s="1" t="s">
        <v>24</v>
      </c>
      <c r="W4247" s="1" t="s">
        <v>24</v>
      </c>
      <c r="X4247" s="1">
        <v>1300</v>
      </c>
      <c r="Y4247" s="1">
        <v>2611</v>
      </c>
      <c r="Z4247" s="1" t="s">
        <v>24</v>
      </c>
      <c r="AA4247" s="1" t="s">
        <v>24</v>
      </c>
      <c r="AB4247" s="1" t="s">
        <v>24</v>
      </c>
      <c r="AC4247" s="1" t="s">
        <v>24</v>
      </c>
      <c r="AD4247" s="1" t="s">
        <v>24</v>
      </c>
      <c r="AE4247" s="1" t="s">
        <v>24</v>
      </c>
      <c r="AF4247" s="22"/>
    </row>
    <row r="4248" spans="1:32" x14ac:dyDescent="0.2">
      <c r="A4248" s="1">
        <v>38741</v>
      </c>
      <c r="B4248" s="1" t="s">
        <v>13041</v>
      </c>
      <c r="C4248" s="5" t="s">
        <v>0</v>
      </c>
      <c r="D4248" s="1" t="s">
        <v>13042</v>
      </c>
      <c r="F4248" s="1" t="s">
        <v>12434</v>
      </c>
      <c r="G4248" s="1" t="s">
        <v>12434</v>
      </c>
      <c r="H4248" s="1" t="s">
        <v>30</v>
      </c>
      <c r="I4248" s="1" t="s">
        <v>16</v>
      </c>
      <c r="J4248" s="1">
        <v>1</v>
      </c>
      <c r="K4248" s="1">
        <v>1</v>
      </c>
      <c r="L4248" s="1" t="s">
        <v>42</v>
      </c>
      <c r="M4248" s="1" t="s">
        <v>18</v>
      </c>
      <c r="N4248" s="1" t="s">
        <v>18</v>
      </c>
      <c r="O4248" s="1">
        <v>3</v>
      </c>
      <c r="P4248" s="1">
        <v>6</v>
      </c>
      <c r="R4248" s="1" t="s">
        <v>19</v>
      </c>
      <c r="S4248" s="1" t="s">
        <v>20</v>
      </c>
      <c r="T4248" s="1" t="s">
        <v>21</v>
      </c>
      <c r="U4248" s="1" t="s">
        <v>22</v>
      </c>
      <c r="V4248" s="1" t="s">
        <v>24</v>
      </c>
      <c r="W4248" s="1" t="s">
        <v>24</v>
      </c>
      <c r="X4248" s="1">
        <v>2405</v>
      </c>
      <c r="Y4248" s="1">
        <v>2725</v>
      </c>
      <c r="Z4248" s="1" t="s">
        <v>24</v>
      </c>
      <c r="AA4248" s="1" t="s">
        <v>24</v>
      </c>
      <c r="AB4248" s="1" t="s">
        <v>24</v>
      </c>
      <c r="AC4248" s="1" t="s">
        <v>24</v>
      </c>
      <c r="AD4248" s="1" t="s">
        <v>24</v>
      </c>
      <c r="AE4248" s="1" t="s">
        <v>24</v>
      </c>
      <c r="AF4248" s="22"/>
    </row>
    <row r="4249" spans="1:32" x14ac:dyDescent="0.2">
      <c r="A4249" s="1">
        <v>38742</v>
      </c>
      <c r="B4249" s="1" t="s">
        <v>13043</v>
      </c>
      <c r="C4249" s="5" t="s">
        <v>0</v>
      </c>
      <c r="D4249" s="1" t="s">
        <v>13044</v>
      </c>
      <c r="E4249" s="1" t="s">
        <v>13045</v>
      </c>
      <c r="F4249" s="1" t="s">
        <v>4723</v>
      </c>
      <c r="G4249" s="1" t="s">
        <v>4723</v>
      </c>
      <c r="H4249" s="1" t="s">
        <v>4724</v>
      </c>
      <c r="I4249" s="1" t="s">
        <v>16</v>
      </c>
      <c r="J4249" s="1">
        <v>1</v>
      </c>
      <c r="K4249" s="1">
        <v>2</v>
      </c>
      <c r="L4249" s="1" t="s">
        <v>42</v>
      </c>
      <c r="M4249" s="1" t="s">
        <v>117</v>
      </c>
      <c r="N4249" s="1" t="s">
        <v>118</v>
      </c>
      <c r="O4249" s="1">
        <v>3</v>
      </c>
      <c r="P4249" s="1">
        <v>5</v>
      </c>
      <c r="R4249" s="1" t="s">
        <v>19</v>
      </c>
      <c r="S4249" s="1" t="s">
        <v>20</v>
      </c>
      <c r="T4249" s="1" t="s">
        <v>21</v>
      </c>
      <c r="U4249" s="1" t="s">
        <v>22</v>
      </c>
      <c r="V4249" s="1" t="s">
        <v>24</v>
      </c>
      <c r="W4249" s="1" t="s">
        <v>24</v>
      </c>
      <c r="X4249" s="1">
        <v>1106</v>
      </c>
      <c r="Y4249" s="1">
        <v>1305</v>
      </c>
      <c r="Z4249" s="1">
        <v>3000</v>
      </c>
      <c r="AA4249" s="1">
        <v>2402</v>
      </c>
      <c r="AB4249" s="1">
        <v>1502</v>
      </c>
      <c r="AC4249" s="1" t="s">
        <v>24</v>
      </c>
      <c r="AD4249" s="1" t="s">
        <v>24</v>
      </c>
      <c r="AE4249" s="1" t="s">
        <v>24</v>
      </c>
      <c r="AF4249" s="22"/>
    </row>
    <row r="4250" spans="1:32" x14ac:dyDescent="0.2">
      <c r="A4250" s="1">
        <v>38745</v>
      </c>
      <c r="B4250" s="1" t="s">
        <v>13046</v>
      </c>
      <c r="C4250" s="5" t="s">
        <v>0</v>
      </c>
      <c r="D4250" s="1" t="s">
        <v>13047</v>
      </c>
      <c r="E4250" s="1" t="s">
        <v>13048</v>
      </c>
      <c r="F4250" s="1" t="s">
        <v>13049</v>
      </c>
      <c r="G4250" s="1" t="s">
        <v>13049</v>
      </c>
      <c r="H4250" s="1" t="s">
        <v>233</v>
      </c>
      <c r="I4250" s="1" t="s">
        <v>16</v>
      </c>
      <c r="J4250" s="1">
        <v>1</v>
      </c>
      <c r="K4250" s="1">
        <v>3</v>
      </c>
      <c r="L4250" s="1" t="s">
        <v>42</v>
      </c>
      <c r="M4250" s="1" t="s">
        <v>117</v>
      </c>
      <c r="N4250" s="1" t="s">
        <v>118</v>
      </c>
      <c r="O4250" s="1">
        <v>3</v>
      </c>
      <c r="P4250" s="1">
        <v>5</v>
      </c>
      <c r="R4250" s="1" t="s">
        <v>19</v>
      </c>
      <c r="S4250" s="1" t="s">
        <v>20</v>
      </c>
      <c r="T4250" s="1" t="s">
        <v>21</v>
      </c>
      <c r="U4250" s="1" t="s">
        <v>22</v>
      </c>
      <c r="V4250" s="1" t="s">
        <v>24</v>
      </c>
      <c r="W4250" s="1" t="s">
        <v>24</v>
      </c>
      <c r="X4250" s="1">
        <v>2712</v>
      </c>
      <c r="Y4250" s="1">
        <v>2732</v>
      </c>
      <c r="Z4250" s="1">
        <v>2741</v>
      </c>
      <c r="AA4250" s="1">
        <v>2701</v>
      </c>
      <c r="AB4250" s="1" t="s">
        <v>24</v>
      </c>
      <c r="AC4250" s="1" t="s">
        <v>24</v>
      </c>
      <c r="AD4250" s="1" t="s">
        <v>24</v>
      </c>
      <c r="AE4250" s="1" t="s">
        <v>24</v>
      </c>
      <c r="AF4250" s="22"/>
    </row>
    <row r="4251" spans="1:32" x14ac:dyDescent="0.2">
      <c r="A4251" s="1">
        <v>38762</v>
      </c>
      <c r="B4251" s="1" t="s">
        <v>13050</v>
      </c>
      <c r="C4251" s="5" t="s">
        <v>0</v>
      </c>
      <c r="D4251" s="1" t="s">
        <v>13051</v>
      </c>
      <c r="E4251" s="1" t="s">
        <v>13052</v>
      </c>
      <c r="F4251" s="1" t="s">
        <v>940</v>
      </c>
      <c r="G4251" s="1" t="s">
        <v>130</v>
      </c>
      <c r="H4251" s="1" t="s">
        <v>30</v>
      </c>
      <c r="I4251" s="1" t="s">
        <v>16</v>
      </c>
      <c r="J4251" s="1">
        <v>1</v>
      </c>
      <c r="K4251" s="1">
        <v>4</v>
      </c>
      <c r="L4251" s="1" t="s">
        <v>31</v>
      </c>
      <c r="M4251" s="1" t="s">
        <v>18</v>
      </c>
      <c r="N4251" s="1" t="s">
        <v>18</v>
      </c>
      <c r="O4251" s="1">
        <v>3</v>
      </c>
      <c r="P4251" s="1">
        <v>7</v>
      </c>
      <c r="Q4251" s="7" t="s">
        <v>17633</v>
      </c>
      <c r="R4251" s="1" t="s">
        <v>19</v>
      </c>
      <c r="S4251" s="1" t="s">
        <v>20</v>
      </c>
      <c r="T4251" s="1" t="s">
        <v>21</v>
      </c>
      <c r="U4251" s="1" t="s">
        <v>22</v>
      </c>
      <c r="V4251" s="1" t="s">
        <v>24</v>
      </c>
      <c r="W4251" s="1" t="s">
        <v>24</v>
      </c>
      <c r="X4251" s="1">
        <v>2715</v>
      </c>
      <c r="Y4251" s="1">
        <v>2730</v>
      </c>
      <c r="Z4251" s="1" t="s">
        <v>24</v>
      </c>
      <c r="AA4251" s="1" t="s">
        <v>24</v>
      </c>
      <c r="AB4251" s="1" t="s">
        <v>24</v>
      </c>
      <c r="AC4251" s="1" t="s">
        <v>24</v>
      </c>
      <c r="AD4251" s="1" t="s">
        <v>24</v>
      </c>
      <c r="AE4251" s="1" t="s">
        <v>24</v>
      </c>
      <c r="AF4251" s="22"/>
    </row>
    <row r="4252" spans="1:32" x14ac:dyDescent="0.2">
      <c r="A4252" s="1">
        <v>38767</v>
      </c>
      <c r="B4252" s="1" t="s">
        <v>13053</v>
      </c>
      <c r="C4252" s="5" t="s">
        <v>0</v>
      </c>
      <c r="D4252" s="1" t="s">
        <v>13054</v>
      </c>
      <c r="E4252" s="1" t="s">
        <v>13055</v>
      </c>
      <c r="F4252" s="1" t="s">
        <v>320</v>
      </c>
      <c r="G4252" s="1" t="s">
        <v>36</v>
      </c>
      <c r="H4252" s="1" t="s">
        <v>30</v>
      </c>
      <c r="I4252" s="1" t="s">
        <v>16</v>
      </c>
      <c r="J4252" s="1">
        <v>1</v>
      </c>
      <c r="K4252" s="1">
        <v>12</v>
      </c>
      <c r="L4252" s="1" t="s">
        <v>31</v>
      </c>
      <c r="M4252" s="1" t="s">
        <v>18</v>
      </c>
      <c r="N4252" s="1" t="s">
        <v>18</v>
      </c>
      <c r="O4252" s="1">
        <v>3</v>
      </c>
      <c r="P4252" s="1">
        <v>8</v>
      </c>
      <c r="Q4252" s="7" t="s">
        <v>17633</v>
      </c>
      <c r="R4252" s="1" t="s">
        <v>62</v>
      </c>
      <c r="S4252" s="1" t="s">
        <v>20</v>
      </c>
      <c r="T4252" s="1" t="s">
        <v>21</v>
      </c>
      <c r="U4252" s="1" t="s">
        <v>22</v>
      </c>
      <c r="V4252" s="1" t="s">
        <v>24</v>
      </c>
      <c r="W4252" s="1" t="s">
        <v>24</v>
      </c>
      <c r="X4252" s="1">
        <v>1303</v>
      </c>
      <c r="Y4252" s="1">
        <v>1315</v>
      </c>
      <c r="Z4252" s="1">
        <v>1312</v>
      </c>
      <c r="AA4252" s="1" t="s">
        <v>24</v>
      </c>
      <c r="AB4252" s="1" t="s">
        <v>24</v>
      </c>
      <c r="AC4252" s="1" t="s">
        <v>24</v>
      </c>
      <c r="AD4252" s="1" t="s">
        <v>24</v>
      </c>
      <c r="AE4252" s="1" t="s">
        <v>24</v>
      </c>
      <c r="AF4252" s="22"/>
    </row>
    <row r="4253" spans="1:32" x14ac:dyDescent="0.2">
      <c r="A4253" s="1">
        <v>38768</v>
      </c>
      <c r="B4253" s="1" t="s">
        <v>13056</v>
      </c>
      <c r="C4253" s="5" t="s">
        <v>0</v>
      </c>
      <c r="D4253" s="1" t="s">
        <v>13057</v>
      </c>
      <c r="E4253" s="1" t="s">
        <v>13058</v>
      </c>
      <c r="F4253" s="1" t="s">
        <v>97</v>
      </c>
      <c r="G4253" s="1" t="s">
        <v>98</v>
      </c>
      <c r="H4253" s="1" t="s">
        <v>37</v>
      </c>
      <c r="I4253" s="1" t="s">
        <v>16</v>
      </c>
      <c r="J4253" s="1">
        <v>1</v>
      </c>
      <c r="K4253" s="1">
        <v>6</v>
      </c>
      <c r="L4253" s="1" t="s">
        <v>31</v>
      </c>
      <c r="M4253" s="1" t="s">
        <v>18</v>
      </c>
      <c r="N4253" s="1" t="s">
        <v>18</v>
      </c>
      <c r="O4253" s="1">
        <v>3</v>
      </c>
      <c r="P4253" s="1">
        <v>6</v>
      </c>
      <c r="R4253" s="1" t="s">
        <v>62</v>
      </c>
      <c r="S4253" s="1" t="s">
        <v>20</v>
      </c>
      <c r="T4253" s="1" t="s">
        <v>21</v>
      </c>
      <c r="U4253" s="1" t="s">
        <v>22</v>
      </c>
      <c r="V4253" s="1" t="s">
        <v>24</v>
      </c>
      <c r="W4253" s="1" t="s">
        <v>24</v>
      </c>
      <c r="X4253" s="1">
        <v>1307</v>
      </c>
      <c r="Y4253" s="1">
        <v>1312</v>
      </c>
      <c r="Z4253" s="1">
        <v>2403</v>
      </c>
      <c r="AA4253" s="1">
        <v>2404</v>
      </c>
      <c r="AB4253" s="1">
        <v>2725</v>
      </c>
      <c r="AC4253" s="1" t="s">
        <v>24</v>
      </c>
      <c r="AD4253" s="1" t="s">
        <v>24</v>
      </c>
      <c r="AE4253" s="1" t="s">
        <v>24</v>
      </c>
      <c r="AF4253" s="22"/>
    </row>
    <row r="4254" spans="1:32" x14ac:dyDescent="0.2">
      <c r="A4254" s="1">
        <v>38772</v>
      </c>
      <c r="B4254" s="1" t="s">
        <v>13059</v>
      </c>
      <c r="C4254" s="5" t="s">
        <v>0</v>
      </c>
      <c r="D4254" s="4"/>
      <c r="E4254" s="4"/>
      <c r="F4254" s="1" t="s">
        <v>167</v>
      </c>
      <c r="G4254" s="1" t="s">
        <v>130</v>
      </c>
      <c r="H4254" s="1" t="s">
        <v>168</v>
      </c>
      <c r="I4254" s="1" t="s">
        <v>112</v>
      </c>
      <c r="J4254" s="1">
        <v>0</v>
      </c>
      <c r="K4254" s="1">
        <v>0</v>
      </c>
      <c r="L4254" s="1" t="s">
        <v>31</v>
      </c>
      <c r="M4254" s="1" t="s">
        <v>18</v>
      </c>
      <c r="N4254" s="1" t="s">
        <v>18</v>
      </c>
      <c r="O4254" s="1">
        <v>0</v>
      </c>
      <c r="P4254" s="1">
        <v>7</v>
      </c>
      <c r="Q4254" s="7" t="s">
        <v>17633</v>
      </c>
      <c r="R4254" s="1" t="s">
        <v>19</v>
      </c>
      <c r="S4254" s="1" t="s">
        <v>20</v>
      </c>
      <c r="T4254" s="1" t="s">
        <v>21</v>
      </c>
      <c r="U4254" s="1" t="s">
        <v>22</v>
      </c>
      <c r="V4254" s="1" t="s">
        <v>24</v>
      </c>
      <c r="W4254" s="1" t="s">
        <v>24</v>
      </c>
      <c r="X4254" s="1">
        <v>1103</v>
      </c>
      <c r="Y4254" s="1">
        <v>1311</v>
      </c>
      <c r="Z4254" s="1" t="s">
        <v>24</v>
      </c>
      <c r="AA4254" s="1" t="s">
        <v>24</v>
      </c>
      <c r="AB4254" s="1" t="s">
        <v>24</v>
      </c>
      <c r="AC4254" s="1" t="s">
        <v>24</v>
      </c>
      <c r="AD4254" s="1" t="s">
        <v>24</v>
      </c>
      <c r="AE4254" s="1" t="s">
        <v>24</v>
      </c>
      <c r="AF4254" s="22" t="s">
        <v>17662</v>
      </c>
    </row>
    <row r="4255" spans="1:32" x14ac:dyDescent="0.2">
      <c r="A4255" s="1">
        <v>38775</v>
      </c>
      <c r="B4255" s="1" t="s">
        <v>13060</v>
      </c>
      <c r="C4255" s="5" t="s">
        <v>0</v>
      </c>
      <c r="D4255" s="1" t="s">
        <v>13061</v>
      </c>
      <c r="E4255" s="1" t="s">
        <v>13062</v>
      </c>
      <c r="F4255" s="1" t="s">
        <v>493</v>
      </c>
      <c r="G4255" s="1" t="s">
        <v>98</v>
      </c>
      <c r="H4255" s="1" t="s">
        <v>30</v>
      </c>
      <c r="I4255" s="1" t="s">
        <v>16</v>
      </c>
      <c r="J4255" s="1">
        <v>1</v>
      </c>
      <c r="K4255" s="1">
        <v>4</v>
      </c>
      <c r="L4255" s="1" t="s">
        <v>31</v>
      </c>
      <c r="M4255" s="1" t="s">
        <v>18</v>
      </c>
      <c r="N4255" s="1" t="s">
        <v>18</v>
      </c>
      <c r="O4255" s="1">
        <v>3</v>
      </c>
      <c r="P4255" s="1">
        <v>7</v>
      </c>
      <c r="Q4255" s="7" t="s">
        <v>17633</v>
      </c>
      <c r="R4255" s="1" t="s">
        <v>19</v>
      </c>
      <c r="S4255" s="1" t="s">
        <v>20</v>
      </c>
      <c r="T4255" s="1" t="s">
        <v>21</v>
      </c>
      <c r="U4255" s="1" t="s">
        <v>22</v>
      </c>
      <c r="V4255" s="1" t="s">
        <v>23</v>
      </c>
      <c r="W4255" s="1" t="s">
        <v>24</v>
      </c>
      <c r="X4255" s="1">
        <v>3310</v>
      </c>
      <c r="Y4255" s="1">
        <v>3616</v>
      </c>
      <c r="Z4255" s="1" t="s">
        <v>24</v>
      </c>
      <c r="AA4255" s="1" t="s">
        <v>24</v>
      </c>
      <c r="AB4255" s="1" t="s">
        <v>24</v>
      </c>
      <c r="AC4255" s="1" t="s">
        <v>24</v>
      </c>
      <c r="AD4255" s="1" t="s">
        <v>24</v>
      </c>
      <c r="AE4255" s="1" t="s">
        <v>24</v>
      </c>
      <c r="AF4255" s="22"/>
    </row>
    <row r="4256" spans="1:32" x14ac:dyDescent="0.2">
      <c r="A4256" s="1">
        <v>38776</v>
      </c>
      <c r="B4256" s="1" t="s">
        <v>13063</v>
      </c>
      <c r="C4256" s="5" t="s">
        <v>0</v>
      </c>
      <c r="D4256" s="1" t="s">
        <v>13064</v>
      </c>
      <c r="E4256" s="1" t="s">
        <v>13065</v>
      </c>
      <c r="F4256" s="1" t="s">
        <v>28</v>
      </c>
      <c r="G4256" s="1" t="s">
        <v>29</v>
      </c>
      <c r="H4256" s="1" t="s">
        <v>30</v>
      </c>
      <c r="I4256" s="1" t="s">
        <v>16</v>
      </c>
      <c r="J4256" s="1">
        <v>1</v>
      </c>
      <c r="K4256" s="1">
        <v>6</v>
      </c>
      <c r="L4256" s="1" t="s">
        <v>31</v>
      </c>
      <c r="M4256" s="1" t="s">
        <v>18</v>
      </c>
      <c r="N4256" s="1" t="s">
        <v>18</v>
      </c>
      <c r="O4256" s="1">
        <v>3</v>
      </c>
      <c r="P4256" s="1">
        <v>7</v>
      </c>
      <c r="Q4256" s="7" t="s">
        <v>17633</v>
      </c>
      <c r="R4256" s="1" t="s">
        <v>19</v>
      </c>
      <c r="S4256" s="1" t="s">
        <v>20</v>
      </c>
      <c r="T4256" s="1" t="s">
        <v>21</v>
      </c>
      <c r="U4256" s="1" t="s">
        <v>22</v>
      </c>
      <c r="V4256" s="1" t="s">
        <v>24</v>
      </c>
      <c r="W4256" s="1" t="s">
        <v>24</v>
      </c>
      <c r="X4256" s="1">
        <v>2705</v>
      </c>
      <c r="Y4256" s="1" t="s">
        <v>24</v>
      </c>
      <c r="Z4256" s="1" t="s">
        <v>24</v>
      </c>
      <c r="AA4256" s="1" t="s">
        <v>24</v>
      </c>
      <c r="AB4256" s="1" t="s">
        <v>24</v>
      </c>
      <c r="AC4256" s="1" t="s">
        <v>24</v>
      </c>
      <c r="AD4256" s="1" t="s">
        <v>24</v>
      </c>
      <c r="AE4256" s="1" t="s">
        <v>24</v>
      </c>
      <c r="AF4256" s="22"/>
    </row>
    <row r="4257" spans="1:32" x14ac:dyDescent="0.2">
      <c r="A4257" s="1">
        <v>38791</v>
      </c>
      <c r="B4257" s="1" t="s">
        <v>13066</v>
      </c>
      <c r="C4257" s="5" t="s">
        <v>0</v>
      </c>
      <c r="E4257" s="1" t="s">
        <v>13067</v>
      </c>
      <c r="F4257" s="1" t="s">
        <v>2299</v>
      </c>
      <c r="G4257" s="1" t="s">
        <v>2300</v>
      </c>
      <c r="H4257" s="1" t="s">
        <v>37</v>
      </c>
      <c r="I4257" s="1" t="s">
        <v>16</v>
      </c>
      <c r="J4257" s="1">
        <v>1</v>
      </c>
      <c r="K4257" s="1">
        <v>1</v>
      </c>
      <c r="L4257" s="1" t="s">
        <v>31</v>
      </c>
      <c r="M4257" s="1" t="s">
        <v>18</v>
      </c>
      <c r="N4257" s="1" t="s">
        <v>18</v>
      </c>
      <c r="O4257" s="1">
        <v>3</v>
      </c>
      <c r="P4257" s="1">
        <v>7</v>
      </c>
      <c r="Q4257" s="7" t="s">
        <v>17633</v>
      </c>
      <c r="R4257" s="1" t="s">
        <v>19</v>
      </c>
      <c r="S4257" s="1" t="s">
        <v>63</v>
      </c>
      <c r="T4257" s="1" t="s">
        <v>21</v>
      </c>
      <c r="U4257" s="1" t="s">
        <v>22</v>
      </c>
      <c r="V4257" s="1" t="s">
        <v>24</v>
      </c>
      <c r="W4257" s="1" t="s">
        <v>24</v>
      </c>
      <c r="X4257" s="1">
        <v>1311</v>
      </c>
      <c r="Y4257" s="1">
        <v>1303</v>
      </c>
      <c r="Z4257" s="1">
        <v>1312</v>
      </c>
      <c r="AA4257" s="1">
        <v>1706</v>
      </c>
      <c r="AB4257" s="1">
        <v>1703</v>
      </c>
      <c r="AC4257" s="1">
        <v>2605</v>
      </c>
      <c r="AD4257" s="1" t="s">
        <v>24</v>
      </c>
      <c r="AE4257" s="1" t="s">
        <v>24</v>
      </c>
      <c r="AF4257" s="22"/>
    </row>
    <row r="4258" spans="1:32" x14ac:dyDescent="0.2">
      <c r="A4258" s="1">
        <v>38799</v>
      </c>
      <c r="B4258" s="1" t="s">
        <v>13068</v>
      </c>
      <c r="C4258" s="5" t="s">
        <v>0</v>
      </c>
      <c r="D4258" s="1" t="s">
        <v>13069</v>
      </c>
      <c r="F4258" s="1" t="s">
        <v>11251</v>
      </c>
      <c r="G4258" s="1" t="s">
        <v>11251</v>
      </c>
      <c r="H4258" s="1" t="s">
        <v>3228</v>
      </c>
      <c r="I4258" s="1" t="s">
        <v>16</v>
      </c>
      <c r="J4258" s="1">
        <v>1</v>
      </c>
      <c r="K4258" s="1">
        <v>1</v>
      </c>
      <c r="L4258" s="1" t="s">
        <v>42</v>
      </c>
      <c r="M4258" s="1" t="s">
        <v>18</v>
      </c>
      <c r="N4258" s="1" t="s">
        <v>18</v>
      </c>
      <c r="O4258" s="1">
        <v>3</v>
      </c>
      <c r="P4258" s="1">
        <v>6</v>
      </c>
      <c r="R4258" s="1" t="s">
        <v>19</v>
      </c>
      <c r="S4258" s="1" t="s">
        <v>63</v>
      </c>
      <c r="T4258" s="1" t="s">
        <v>21</v>
      </c>
      <c r="U4258" s="1" t="s">
        <v>22</v>
      </c>
      <c r="V4258" s="1" t="s">
        <v>24</v>
      </c>
      <c r="W4258" s="1" t="s">
        <v>24</v>
      </c>
      <c r="X4258" s="1">
        <v>1706</v>
      </c>
      <c r="Y4258" s="1">
        <v>1303</v>
      </c>
      <c r="Z4258" s="1">
        <v>1312</v>
      </c>
      <c r="AA4258" s="1">
        <v>2604</v>
      </c>
      <c r="AB4258" s="1">
        <v>2605</v>
      </c>
      <c r="AC4258" s="1" t="s">
        <v>24</v>
      </c>
      <c r="AD4258" s="1" t="s">
        <v>24</v>
      </c>
      <c r="AE4258" s="1" t="s">
        <v>24</v>
      </c>
      <c r="AF4258" s="22" t="s">
        <v>17678</v>
      </c>
    </row>
    <row r="4259" spans="1:32" x14ac:dyDescent="0.2">
      <c r="A4259" s="1">
        <v>38814</v>
      </c>
      <c r="B4259" s="1" t="s">
        <v>13070</v>
      </c>
      <c r="C4259" s="5" t="s">
        <v>0</v>
      </c>
      <c r="D4259" s="1" t="s">
        <v>13071</v>
      </c>
      <c r="E4259" s="1" t="s">
        <v>13072</v>
      </c>
      <c r="F4259" s="1" t="s">
        <v>6173</v>
      </c>
      <c r="G4259" s="1" t="s">
        <v>6173</v>
      </c>
      <c r="H4259" s="1" t="s">
        <v>1384</v>
      </c>
      <c r="I4259" s="1" t="s">
        <v>16</v>
      </c>
      <c r="J4259" s="1">
        <v>1</v>
      </c>
      <c r="K4259" s="1">
        <v>4</v>
      </c>
      <c r="L4259" s="1" t="s">
        <v>42</v>
      </c>
      <c r="M4259" s="1" t="s">
        <v>1385</v>
      </c>
      <c r="N4259" s="1" t="s">
        <v>3142</v>
      </c>
      <c r="O4259" s="1">
        <v>2</v>
      </c>
      <c r="P4259" s="1">
        <v>5</v>
      </c>
      <c r="R4259" s="1" t="s">
        <v>19</v>
      </c>
      <c r="S4259" s="1" t="s">
        <v>20</v>
      </c>
      <c r="T4259" s="1" t="s">
        <v>21</v>
      </c>
      <c r="U4259" s="1" t="s">
        <v>22</v>
      </c>
      <c r="V4259" s="1" t="s">
        <v>24</v>
      </c>
      <c r="W4259" s="1" t="s">
        <v>24</v>
      </c>
      <c r="X4259" s="1">
        <v>2735</v>
      </c>
      <c r="Y4259" s="1">
        <v>2725</v>
      </c>
      <c r="Z4259" s="1" t="s">
        <v>24</v>
      </c>
      <c r="AA4259" s="1" t="s">
        <v>24</v>
      </c>
      <c r="AB4259" s="1" t="s">
        <v>24</v>
      </c>
      <c r="AC4259" s="1" t="s">
        <v>24</v>
      </c>
      <c r="AD4259" s="1" t="s">
        <v>24</v>
      </c>
      <c r="AE4259" s="1" t="s">
        <v>24</v>
      </c>
      <c r="AF4259" s="22"/>
    </row>
    <row r="4260" spans="1:32" x14ac:dyDescent="0.2">
      <c r="A4260" s="1">
        <v>38815</v>
      </c>
      <c r="B4260" s="1" t="s">
        <v>13073</v>
      </c>
      <c r="C4260" s="5" t="s">
        <v>0</v>
      </c>
      <c r="D4260" s="1" t="s">
        <v>13074</v>
      </c>
      <c r="E4260" s="1" t="s">
        <v>13075</v>
      </c>
      <c r="F4260" s="1" t="s">
        <v>13076</v>
      </c>
      <c r="G4260" s="1" t="s">
        <v>13076</v>
      </c>
      <c r="H4260" s="1" t="s">
        <v>1384</v>
      </c>
      <c r="I4260" s="1" t="s">
        <v>16</v>
      </c>
      <c r="J4260" s="1">
        <v>1</v>
      </c>
      <c r="K4260" s="1">
        <v>3</v>
      </c>
      <c r="L4260" s="1" t="s">
        <v>42</v>
      </c>
      <c r="M4260" s="1" t="s">
        <v>1385</v>
      </c>
      <c r="N4260" s="1" t="s">
        <v>3142</v>
      </c>
      <c r="O4260" s="1">
        <v>3</v>
      </c>
      <c r="P4260" s="1">
        <v>5</v>
      </c>
      <c r="R4260" s="1" t="s">
        <v>19</v>
      </c>
      <c r="S4260" s="1" t="s">
        <v>20</v>
      </c>
      <c r="T4260" s="1" t="s">
        <v>21</v>
      </c>
      <c r="U4260" s="1" t="s">
        <v>22</v>
      </c>
      <c r="V4260" s="1" t="s">
        <v>24</v>
      </c>
      <c r="W4260" s="1" t="s">
        <v>24</v>
      </c>
      <c r="X4260" s="1">
        <v>2735</v>
      </c>
      <c r="Y4260" s="1" t="s">
        <v>24</v>
      </c>
      <c r="Z4260" s="1" t="s">
        <v>24</v>
      </c>
      <c r="AA4260" s="1" t="s">
        <v>24</v>
      </c>
      <c r="AB4260" s="1" t="s">
        <v>24</v>
      </c>
      <c r="AC4260" s="1" t="s">
        <v>24</v>
      </c>
      <c r="AD4260" s="1" t="s">
        <v>24</v>
      </c>
      <c r="AE4260" s="1" t="s">
        <v>24</v>
      </c>
      <c r="AF4260" s="22"/>
    </row>
    <row r="4261" spans="1:32" x14ac:dyDescent="0.2">
      <c r="A4261" s="1">
        <v>38828</v>
      </c>
      <c r="B4261" s="1" t="s">
        <v>13077</v>
      </c>
      <c r="C4261" s="5" t="s">
        <v>0</v>
      </c>
      <c r="E4261" s="1" t="s">
        <v>13078</v>
      </c>
      <c r="F4261" s="1" t="s">
        <v>13079</v>
      </c>
      <c r="G4261" s="1" t="s">
        <v>13079</v>
      </c>
      <c r="H4261" s="1" t="s">
        <v>30</v>
      </c>
      <c r="I4261" s="1" t="s">
        <v>16</v>
      </c>
      <c r="J4261" s="1">
        <v>1</v>
      </c>
      <c r="K4261" s="1">
        <v>6</v>
      </c>
      <c r="L4261" s="1" t="s">
        <v>42</v>
      </c>
      <c r="M4261" s="1" t="s">
        <v>18</v>
      </c>
      <c r="N4261" s="1" t="s">
        <v>18</v>
      </c>
      <c r="O4261" s="1">
        <v>3</v>
      </c>
      <c r="P4261" s="1">
        <v>6</v>
      </c>
      <c r="R4261" s="1" t="s">
        <v>19</v>
      </c>
      <c r="S4261" s="1" t="s">
        <v>63</v>
      </c>
      <c r="T4261" s="1" t="s">
        <v>21</v>
      </c>
      <c r="U4261" s="1" t="s">
        <v>22</v>
      </c>
      <c r="V4261" s="1" t="s">
        <v>24</v>
      </c>
      <c r="W4261" s="1" t="s">
        <v>24</v>
      </c>
      <c r="X4261" s="1">
        <v>2700</v>
      </c>
      <c r="Y4261" s="1">
        <v>1300</v>
      </c>
      <c r="Z4261" s="1" t="s">
        <v>24</v>
      </c>
      <c r="AA4261" s="1" t="s">
        <v>24</v>
      </c>
      <c r="AB4261" s="1" t="s">
        <v>24</v>
      </c>
      <c r="AC4261" s="1" t="s">
        <v>24</v>
      </c>
      <c r="AD4261" s="1" t="s">
        <v>24</v>
      </c>
      <c r="AE4261" s="1" t="s">
        <v>24</v>
      </c>
      <c r="AF4261" s="22"/>
    </row>
    <row r="4262" spans="1:32" x14ac:dyDescent="0.2">
      <c r="A4262" s="1">
        <v>38843</v>
      </c>
      <c r="B4262" s="1" t="s">
        <v>13080</v>
      </c>
      <c r="C4262" s="5" t="s">
        <v>0</v>
      </c>
      <c r="D4262" s="4"/>
      <c r="E4262" s="4"/>
      <c r="F4262" s="1" t="s">
        <v>13080</v>
      </c>
      <c r="G4262" s="1" t="s">
        <v>13080</v>
      </c>
      <c r="H4262" s="1" t="s">
        <v>445</v>
      </c>
      <c r="I4262" s="1" t="s">
        <v>16</v>
      </c>
      <c r="J4262" s="1">
        <v>1</v>
      </c>
      <c r="K4262" s="1">
        <v>1</v>
      </c>
      <c r="L4262" s="1" t="s">
        <v>42</v>
      </c>
      <c r="M4262" s="1" t="s">
        <v>18</v>
      </c>
      <c r="N4262" s="1" t="s">
        <v>18</v>
      </c>
      <c r="O4262" s="1">
        <v>3</v>
      </c>
      <c r="P4262" s="1">
        <v>6</v>
      </c>
      <c r="R4262" s="1" t="s">
        <v>19</v>
      </c>
      <c r="S4262" s="1" t="s">
        <v>63</v>
      </c>
      <c r="T4262" s="1" t="s">
        <v>21</v>
      </c>
      <c r="U4262" s="1" t="s">
        <v>22</v>
      </c>
      <c r="V4262" s="1" t="s">
        <v>24</v>
      </c>
      <c r="W4262" s="1" t="s">
        <v>24</v>
      </c>
      <c r="X4262" s="1">
        <v>2730</v>
      </c>
      <c r="Y4262" s="1">
        <v>3004</v>
      </c>
      <c r="Z4262" s="1">
        <v>1306</v>
      </c>
      <c r="AA4262" s="1" t="s">
        <v>24</v>
      </c>
      <c r="AB4262" s="1" t="s">
        <v>24</v>
      </c>
      <c r="AC4262" s="1" t="s">
        <v>24</v>
      </c>
      <c r="AD4262" s="1" t="s">
        <v>24</v>
      </c>
      <c r="AE4262" s="1" t="s">
        <v>24</v>
      </c>
      <c r="AF4262" s="22" t="s">
        <v>17709</v>
      </c>
    </row>
    <row r="4263" spans="1:32" x14ac:dyDescent="0.2">
      <c r="A4263" s="1">
        <v>38844</v>
      </c>
      <c r="B4263" s="1" t="s">
        <v>13081</v>
      </c>
      <c r="C4263" s="5" t="s">
        <v>0</v>
      </c>
      <c r="D4263" s="1" t="s">
        <v>13082</v>
      </c>
      <c r="E4263" s="1" t="s">
        <v>13083</v>
      </c>
      <c r="F4263" s="1" t="s">
        <v>13084</v>
      </c>
      <c r="G4263" s="1" t="s">
        <v>254</v>
      </c>
      <c r="H4263" s="1" t="s">
        <v>168</v>
      </c>
      <c r="I4263" s="1" t="s">
        <v>16</v>
      </c>
      <c r="J4263" s="1">
        <v>1</v>
      </c>
      <c r="K4263" s="1">
        <v>4</v>
      </c>
      <c r="L4263" s="1" t="s">
        <v>31</v>
      </c>
      <c r="M4263" s="1" t="s">
        <v>18</v>
      </c>
      <c r="N4263" s="1" t="s">
        <v>18</v>
      </c>
      <c r="O4263" s="1">
        <v>3</v>
      </c>
      <c r="P4263" s="1">
        <v>6</v>
      </c>
      <c r="R4263" s="1" t="s">
        <v>19</v>
      </c>
      <c r="S4263" s="1" t="s">
        <v>20</v>
      </c>
      <c r="T4263" s="1" t="s">
        <v>21</v>
      </c>
      <c r="U4263" s="1" t="s">
        <v>22</v>
      </c>
      <c r="V4263" s="1" t="s">
        <v>24</v>
      </c>
      <c r="W4263" s="1" t="s">
        <v>24</v>
      </c>
      <c r="X4263" s="1">
        <v>2700</v>
      </c>
      <c r="Y4263" s="1" t="s">
        <v>24</v>
      </c>
      <c r="Z4263" s="1" t="s">
        <v>24</v>
      </c>
      <c r="AA4263" s="1" t="s">
        <v>24</v>
      </c>
      <c r="AB4263" s="1" t="s">
        <v>24</v>
      </c>
      <c r="AC4263" s="1" t="s">
        <v>24</v>
      </c>
      <c r="AD4263" s="1" t="s">
        <v>24</v>
      </c>
      <c r="AE4263" s="1" t="s">
        <v>24</v>
      </c>
      <c r="AF4263" s="22"/>
    </row>
    <row r="4264" spans="1:32" x14ac:dyDescent="0.2">
      <c r="A4264" s="1">
        <v>38887</v>
      </c>
      <c r="B4264" s="1" t="s">
        <v>13085</v>
      </c>
      <c r="C4264" s="5" t="s">
        <v>0</v>
      </c>
      <c r="D4264" s="1" t="s">
        <v>13086</v>
      </c>
      <c r="E4264" s="1" t="s">
        <v>13087</v>
      </c>
      <c r="F4264" s="1" t="s">
        <v>272</v>
      </c>
      <c r="G4264" s="1" t="s">
        <v>61</v>
      </c>
      <c r="H4264" s="1" t="s">
        <v>30</v>
      </c>
      <c r="I4264" s="1" t="s">
        <v>16</v>
      </c>
      <c r="J4264" s="1">
        <v>1</v>
      </c>
      <c r="K4264" s="1">
        <v>6</v>
      </c>
      <c r="L4264" s="1" t="s">
        <v>31</v>
      </c>
      <c r="M4264" s="1" t="s">
        <v>18</v>
      </c>
      <c r="N4264" s="1" t="s">
        <v>18</v>
      </c>
      <c r="O4264" s="1">
        <v>3</v>
      </c>
      <c r="P4264" s="1">
        <v>6</v>
      </c>
      <c r="R4264" s="1" t="s">
        <v>19</v>
      </c>
      <c r="S4264" s="1" t="s">
        <v>20</v>
      </c>
      <c r="T4264" s="1" t="s">
        <v>21</v>
      </c>
      <c r="U4264" s="1" t="s">
        <v>22</v>
      </c>
      <c r="V4264" s="1" t="s">
        <v>23</v>
      </c>
      <c r="W4264" s="1" t="s">
        <v>24</v>
      </c>
      <c r="X4264" s="1">
        <v>2735</v>
      </c>
      <c r="Y4264" s="1" t="s">
        <v>24</v>
      </c>
      <c r="Z4264" s="1" t="s">
        <v>24</v>
      </c>
      <c r="AA4264" s="1" t="s">
        <v>24</v>
      </c>
      <c r="AB4264" s="1" t="s">
        <v>24</v>
      </c>
      <c r="AC4264" s="1" t="s">
        <v>24</v>
      </c>
      <c r="AD4264" s="1" t="s">
        <v>24</v>
      </c>
      <c r="AE4264" s="1" t="s">
        <v>24</v>
      </c>
      <c r="AF4264" s="22"/>
    </row>
    <row r="4265" spans="1:32" x14ac:dyDescent="0.2">
      <c r="A4265" s="1">
        <v>38890</v>
      </c>
      <c r="B4265" s="1" t="s">
        <v>13088</v>
      </c>
      <c r="C4265" s="5" t="s">
        <v>0</v>
      </c>
      <c r="D4265" s="1" t="s">
        <v>13089</v>
      </c>
      <c r="E4265" s="1" t="s">
        <v>13090</v>
      </c>
      <c r="F4265" s="1" t="s">
        <v>10043</v>
      </c>
      <c r="G4265" s="1" t="s">
        <v>10044</v>
      </c>
      <c r="H4265" s="1" t="s">
        <v>37</v>
      </c>
      <c r="I4265" s="1" t="s">
        <v>16</v>
      </c>
      <c r="J4265" s="1">
        <v>1</v>
      </c>
      <c r="K4265" s="1">
        <v>3</v>
      </c>
      <c r="L4265" s="1" t="s">
        <v>31</v>
      </c>
      <c r="M4265" s="1" t="s">
        <v>18</v>
      </c>
      <c r="N4265" s="1" t="s">
        <v>18</v>
      </c>
      <c r="O4265" s="1">
        <v>3</v>
      </c>
      <c r="P4265" s="1">
        <v>7</v>
      </c>
      <c r="Q4265" s="7" t="s">
        <v>17633</v>
      </c>
      <c r="R4265" s="1" t="s">
        <v>19</v>
      </c>
      <c r="S4265" s="1" t="s">
        <v>20</v>
      </c>
      <c r="T4265" s="1" t="s">
        <v>21</v>
      </c>
      <c r="U4265" s="1" t="s">
        <v>22</v>
      </c>
      <c r="V4265" s="1" t="s">
        <v>24</v>
      </c>
      <c r="W4265" s="1" t="s">
        <v>24</v>
      </c>
      <c r="X4265" s="1">
        <v>2739</v>
      </c>
      <c r="Y4265" s="1" t="s">
        <v>24</v>
      </c>
      <c r="Z4265" s="1" t="s">
        <v>24</v>
      </c>
      <c r="AA4265" s="1" t="s">
        <v>24</v>
      </c>
      <c r="AB4265" s="1" t="s">
        <v>24</v>
      </c>
      <c r="AC4265" s="1" t="s">
        <v>24</v>
      </c>
      <c r="AD4265" s="1" t="s">
        <v>24</v>
      </c>
      <c r="AE4265" s="1" t="s">
        <v>24</v>
      </c>
      <c r="AF4265" s="22"/>
    </row>
    <row r="4266" spans="1:32" x14ac:dyDescent="0.2">
      <c r="A4266" s="1">
        <v>38891</v>
      </c>
      <c r="B4266" s="1" t="s">
        <v>13091</v>
      </c>
      <c r="C4266" s="5" t="s">
        <v>0</v>
      </c>
      <c r="D4266" s="1" t="s">
        <v>13092</v>
      </c>
      <c r="E4266" s="1" t="s">
        <v>13093</v>
      </c>
      <c r="F4266" s="1" t="s">
        <v>109</v>
      </c>
      <c r="G4266" s="1" t="s">
        <v>110</v>
      </c>
      <c r="H4266" s="1" t="s">
        <v>111</v>
      </c>
      <c r="I4266" s="1" t="s">
        <v>112</v>
      </c>
      <c r="J4266" s="1">
        <v>1</v>
      </c>
      <c r="K4266" s="1">
        <v>1</v>
      </c>
      <c r="L4266" s="1" t="s">
        <v>31</v>
      </c>
      <c r="M4266" s="1" t="s">
        <v>18</v>
      </c>
      <c r="N4266" s="1" t="s">
        <v>18</v>
      </c>
      <c r="O4266" s="1">
        <v>3</v>
      </c>
      <c r="P4266" s="1">
        <v>7</v>
      </c>
      <c r="Q4266" s="7" t="s">
        <v>17633</v>
      </c>
      <c r="R4266" s="1" t="s">
        <v>19</v>
      </c>
      <c r="S4266" s="1" t="s">
        <v>20</v>
      </c>
      <c r="T4266" s="1" t="s">
        <v>21</v>
      </c>
      <c r="U4266" s="1" t="s">
        <v>22</v>
      </c>
      <c r="V4266" s="1" t="s">
        <v>24</v>
      </c>
      <c r="W4266" s="1" t="s">
        <v>24</v>
      </c>
      <c r="X4266" s="1">
        <v>2728</v>
      </c>
      <c r="Y4266" s="1">
        <v>2800</v>
      </c>
      <c r="Z4266" s="1" t="s">
        <v>24</v>
      </c>
      <c r="AA4266" s="1" t="s">
        <v>24</v>
      </c>
      <c r="AB4266" s="1" t="s">
        <v>24</v>
      </c>
      <c r="AC4266" s="1" t="s">
        <v>24</v>
      </c>
      <c r="AD4266" s="1" t="s">
        <v>24</v>
      </c>
      <c r="AE4266" s="1" t="s">
        <v>24</v>
      </c>
      <c r="AF4266" s="22"/>
    </row>
    <row r="4267" spans="1:32" x14ac:dyDescent="0.2">
      <c r="A4267" s="1">
        <v>38919</v>
      </c>
      <c r="B4267" s="1" t="s">
        <v>13094</v>
      </c>
      <c r="C4267" s="5" t="s">
        <v>0</v>
      </c>
      <c r="D4267" s="1" t="s">
        <v>13095</v>
      </c>
      <c r="E4267" s="1" t="s">
        <v>13096</v>
      </c>
      <c r="F4267" s="1" t="s">
        <v>28</v>
      </c>
      <c r="G4267" s="1" t="s">
        <v>29</v>
      </c>
      <c r="H4267" s="1" t="s">
        <v>30</v>
      </c>
      <c r="I4267" s="1" t="s">
        <v>16</v>
      </c>
      <c r="J4267" s="1">
        <v>1</v>
      </c>
      <c r="K4267" s="1">
        <v>6</v>
      </c>
      <c r="L4267" s="1" t="s">
        <v>31</v>
      </c>
      <c r="M4267" s="1" t="s">
        <v>18</v>
      </c>
      <c r="N4267" s="1" t="s">
        <v>18</v>
      </c>
      <c r="O4267" s="1">
        <v>3</v>
      </c>
      <c r="P4267" s="1">
        <v>7</v>
      </c>
      <c r="Q4267" s="7" t="s">
        <v>17633</v>
      </c>
      <c r="R4267" s="1" t="s">
        <v>19</v>
      </c>
      <c r="S4267" s="1" t="s">
        <v>20</v>
      </c>
      <c r="T4267" s="1" t="s">
        <v>21</v>
      </c>
      <c r="U4267" s="1" t="s">
        <v>22</v>
      </c>
      <c r="V4267" s="1" t="s">
        <v>24</v>
      </c>
      <c r="W4267" s="1" t="s">
        <v>24</v>
      </c>
      <c r="X4267" s="1">
        <v>2705</v>
      </c>
      <c r="Y4267" s="1">
        <v>2737</v>
      </c>
      <c r="Z4267" s="1" t="s">
        <v>24</v>
      </c>
      <c r="AA4267" s="1" t="s">
        <v>24</v>
      </c>
      <c r="AB4267" s="1" t="s">
        <v>24</v>
      </c>
      <c r="AC4267" s="1" t="s">
        <v>24</v>
      </c>
      <c r="AD4267" s="1" t="s">
        <v>24</v>
      </c>
      <c r="AE4267" s="1" t="s">
        <v>24</v>
      </c>
      <c r="AF4267" s="22"/>
    </row>
    <row r="4268" spans="1:32" x14ac:dyDescent="0.2">
      <c r="A4268" s="1">
        <v>38920</v>
      </c>
      <c r="B4268" s="1" t="s">
        <v>13097</v>
      </c>
      <c r="C4268" s="5" t="s">
        <v>0</v>
      </c>
      <c r="D4268" s="1" t="s">
        <v>13098</v>
      </c>
      <c r="E4268" s="1" t="s">
        <v>13099</v>
      </c>
      <c r="F4268" s="1" t="s">
        <v>1808</v>
      </c>
      <c r="G4268" s="1" t="s">
        <v>130</v>
      </c>
      <c r="H4268" s="1" t="s">
        <v>461</v>
      </c>
      <c r="I4268" s="1" t="s">
        <v>16</v>
      </c>
      <c r="J4268" s="1">
        <v>1</v>
      </c>
      <c r="K4268" s="1">
        <v>4</v>
      </c>
      <c r="L4268" s="1" t="s">
        <v>31</v>
      </c>
      <c r="M4268" s="1" t="s">
        <v>18</v>
      </c>
      <c r="N4268" s="1" t="s">
        <v>18</v>
      </c>
      <c r="O4268" s="1">
        <v>3</v>
      </c>
      <c r="P4268" s="1">
        <v>7</v>
      </c>
      <c r="Q4268" s="7" t="s">
        <v>17633</v>
      </c>
      <c r="R4268" s="1" t="s">
        <v>19</v>
      </c>
      <c r="S4268" s="1" t="s">
        <v>20</v>
      </c>
      <c r="T4268" s="1" t="s">
        <v>21</v>
      </c>
      <c r="U4268" s="1" t="s">
        <v>22</v>
      </c>
      <c r="V4268" s="1" t="s">
        <v>24</v>
      </c>
      <c r="W4268" s="1" t="s">
        <v>24</v>
      </c>
      <c r="X4268" s="1">
        <v>2715</v>
      </c>
      <c r="Y4268" s="1" t="s">
        <v>24</v>
      </c>
      <c r="Z4268" s="1" t="s">
        <v>24</v>
      </c>
      <c r="AA4268" s="1" t="s">
        <v>24</v>
      </c>
      <c r="AB4268" s="1" t="s">
        <v>24</v>
      </c>
      <c r="AC4268" s="1" t="s">
        <v>24</v>
      </c>
      <c r="AD4268" s="1" t="s">
        <v>24</v>
      </c>
      <c r="AE4268" s="1" t="s">
        <v>24</v>
      </c>
      <c r="AF4268" s="22"/>
    </row>
    <row r="4269" spans="1:32" x14ac:dyDescent="0.2">
      <c r="A4269" s="1">
        <v>38921</v>
      </c>
      <c r="B4269" s="1" t="s">
        <v>13100</v>
      </c>
      <c r="C4269" s="5" t="s">
        <v>0</v>
      </c>
      <c r="D4269" s="1" t="s">
        <v>13101</v>
      </c>
      <c r="E4269" s="1" t="s">
        <v>13102</v>
      </c>
      <c r="F4269" s="1" t="s">
        <v>940</v>
      </c>
      <c r="G4269" s="1" t="s">
        <v>130</v>
      </c>
      <c r="H4269" s="1" t="s">
        <v>30</v>
      </c>
      <c r="I4269" s="1" t="s">
        <v>112</v>
      </c>
      <c r="J4269" s="1">
        <v>0</v>
      </c>
      <c r="K4269" s="1">
        <v>0</v>
      </c>
      <c r="L4269" s="1" t="s">
        <v>31</v>
      </c>
      <c r="M4269" s="1" t="s">
        <v>18</v>
      </c>
      <c r="N4269" s="1" t="s">
        <v>18</v>
      </c>
      <c r="O4269" s="1">
        <v>3</v>
      </c>
      <c r="P4269" s="1">
        <v>7</v>
      </c>
      <c r="Q4269" s="7" t="s">
        <v>17633</v>
      </c>
      <c r="R4269" s="1" t="s">
        <v>19</v>
      </c>
      <c r="S4269" s="1" t="s">
        <v>20</v>
      </c>
      <c r="T4269" s="1" t="s">
        <v>21</v>
      </c>
      <c r="U4269" s="1" t="s">
        <v>22</v>
      </c>
      <c r="V4269" s="1" t="s">
        <v>24</v>
      </c>
      <c r="W4269" s="1" t="s">
        <v>24</v>
      </c>
      <c r="X4269" s="1">
        <v>1305</v>
      </c>
      <c r="Y4269" s="1" t="s">
        <v>24</v>
      </c>
      <c r="Z4269" s="1" t="s">
        <v>24</v>
      </c>
      <c r="AA4269" s="1" t="s">
        <v>24</v>
      </c>
      <c r="AB4269" s="1" t="s">
        <v>24</v>
      </c>
      <c r="AC4269" s="1" t="s">
        <v>24</v>
      </c>
      <c r="AD4269" s="1" t="s">
        <v>24</v>
      </c>
      <c r="AE4269" s="1" t="s">
        <v>24</v>
      </c>
      <c r="AF4269" s="22"/>
    </row>
    <row r="4270" spans="1:32" x14ac:dyDescent="0.2">
      <c r="A4270" s="1">
        <v>38922</v>
      </c>
      <c r="B4270" s="1" t="s">
        <v>13103</v>
      </c>
      <c r="C4270" s="5" t="s">
        <v>0</v>
      </c>
      <c r="D4270" s="1" t="s">
        <v>13104</v>
      </c>
      <c r="E4270" s="1" t="s">
        <v>13105</v>
      </c>
      <c r="F4270" s="1" t="s">
        <v>940</v>
      </c>
      <c r="G4270" s="1" t="s">
        <v>130</v>
      </c>
      <c r="H4270" s="1" t="s">
        <v>30</v>
      </c>
      <c r="I4270" s="1" t="s">
        <v>112</v>
      </c>
      <c r="J4270" s="1">
        <v>0</v>
      </c>
      <c r="K4270" s="1">
        <v>0</v>
      </c>
      <c r="L4270" s="1" t="s">
        <v>31</v>
      </c>
      <c r="M4270" s="1" t="s">
        <v>18</v>
      </c>
      <c r="N4270" s="1" t="s">
        <v>18</v>
      </c>
      <c r="O4270" s="1">
        <v>3</v>
      </c>
      <c r="P4270" s="1">
        <v>7</v>
      </c>
      <c r="Q4270" s="7" t="s">
        <v>17633</v>
      </c>
      <c r="R4270" s="1" t="s">
        <v>19</v>
      </c>
      <c r="S4270" s="1" t="s">
        <v>20</v>
      </c>
      <c r="T4270" s="1" t="s">
        <v>21</v>
      </c>
      <c r="U4270" s="1" t="s">
        <v>22</v>
      </c>
      <c r="V4270" s="1" t="s">
        <v>24</v>
      </c>
      <c r="W4270" s="1" t="s">
        <v>24</v>
      </c>
      <c r="X4270" s="1">
        <v>1313</v>
      </c>
      <c r="Y4270" s="1" t="s">
        <v>24</v>
      </c>
      <c r="Z4270" s="1" t="s">
        <v>24</v>
      </c>
      <c r="AA4270" s="1" t="s">
        <v>24</v>
      </c>
      <c r="AB4270" s="1" t="s">
        <v>24</v>
      </c>
      <c r="AC4270" s="1" t="s">
        <v>24</v>
      </c>
      <c r="AD4270" s="1" t="s">
        <v>24</v>
      </c>
      <c r="AE4270" s="1" t="s">
        <v>24</v>
      </c>
      <c r="AF4270" s="22"/>
    </row>
    <row r="4271" spans="1:32" x14ac:dyDescent="0.2">
      <c r="A4271" s="1">
        <v>38932</v>
      </c>
      <c r="B4271" s="1" t="s">
        <v>13106</v>
      </c>
      <c r="C4271" s="5" t="s">
        <v>0</v>
      </c>
      <c r="D4271" s="1" t="s">
        <v>13107</v>
      </c>
      <c r="E4271" s="1" t="s">
        <v>13108</v>
      </c>
      <c r="F4271" s="1" t="s">
        <v>493</v>
      </c>
      <c r="G4271" s="1" t="s">
        <v>98</v>
      </c>
      <c r="H4271" s="1" t="s">
        <v>30</v>
      </c>
      <c r="I4271" s="1" t="s">
        <v>16</v>
      </c>
      <c r="J4271" s="1">
        <v>1</v>
      </c>
      <c r="K4271" s="1">
        <v>4</v>
      </c>
      <c r="L4271" s="1" t="s">
        <v>31</v>
      </c>
      <c r="M4271" s="1" t="s">
        <v>18</v>
      </c>
      <c r="N4271" s="1" t="s">
        <v>18</v>
      </c>
      <c r="O4271" s="1">
        <v>3</v>
      </c>
      <c r="P4271" s="1">
        <v>7</v>
      </c>
      <c r="Q4271" s="7" t="s">
        <v>17633</v>
      </c>
      <c r="R4271" s="1" t="s">
        <v>19</v>
      </c>
      <c r="S4271" s="1" t="s">
        <v>20</v>
      </c>
      <c r="T4271" s="1" t="s">
        <v>21</v>
      </c>
      <c r="U4271" s="1" t="s">
        <v>22</v>
      </c>
      <c r="V4271" s="1" t="s">
        <v>23</v>
      </c>
      <c r="W4271" s="1" t="s">
        <v>24</v>
      </c>
      <c r="X4271" s="1">
        <v>2735</v>
      </c>
      <c r="Y4271" s="1">
        <v>2728</v>
      </c>
      <c r="Z4271" s="1">
        <v>2808</v>
      </c>
      <c r="AA4271" s="1">
        <v>2805</v>
      </c>
      <c r="AB4271" s="1">
        <v>2738</v>
      </c>
      <c r="AC4271" s="1" t="s">
        <v>24</v>
      </c>
      <c r="AD4271" s="1" t="s">
        <v>24</v>
      </c>
      <c r="AE4271" s="1" t="s">
        <v>24</v>
      </c>
      <c r="AF4271" s="22"/>
    </row>
    <row r="4272" spans="1:32" x14ac:dyDescent="0.2">
      <c r="A4272" s="1">
        <v>38937</v>
      </c>
      <c r="B4272" s="1" t="s">
        <v>13109</v>
      </c>
      <c r="C4272" s="5" t="s">
        <v>0</v>
      </c>
      <c r="D4272" s="1" t="s">
        <v>13110</v>
      </c>
      <c r="E4272" s="1" t="s">
        <v>13111</v>
      </c>
      <c r="F4272" s="1" t="s">
        <v>1224</v>
      </c>
      <c r="G4272" s="1" t="s">
        <v>1224</v>
      </c>
      <c r="H4272" s="1" t="s">
        <v>30</v>
      </c>
      <c r="I4272" s="1" t="s">
        <v>16</v>
      </c>
      <c r="J4272" s="1">
        <v>1</v>
      </c>
      <c r="K4272" s="1">
        <v>12</v>
      </c>
      <c r="L4272" s="1" t="s">
        <v>42</v>
      </c>
      <c r="M4272" s="1" t="s">
        <v>18</v>
      </c>
      <c r="N4272" s="1" t="s">
        <v>18</v>
      </c>
      <c r="O4272" s="1">
        <v>3</v>
      </c>
      <c r="P4272" s="1">
        <v>7</v>
      </c>
      <c r="Q4272" s="7" t="s">
        <v>17633</v>
      </c>
      <c r="R4272" s="1" t="s">
        <v>19</v>
      </c>
      <c r="S4272" s="1" t="s">
        <v>20</v>
      </c>
      <c r="T4272" s="1" t="s">
        <v>21</v>
      </c>
      <c r="U4272" s="1" t="s">
        <v>22</v>
      </c>
      <c r="V4272" s="1" t="s">
        <v>23</v>
      </c>
      <c r="W4272" s="1" t="s">
        <v>24</v>
      </c>
      <c r="X4272" s="1">
        <v>1306</v>
      </c>
      <c r="Y4272" s="1">
        <v>2730</v>
      </c>
      <c r="Z4272" s="1" t="s">
        <v>24</v>
      </c>
      <c r="AA4272" s="1" t="s">
        <v>24</v>
      </c>
      <c r="AB4272" s="1" t="s">
        <v>24</v>
      </c>
      <c r="AC4272" s="1" t="s">
        <v>24</v>
      </c>
      <c r="AD4272" s="1" t="s">
        <v>24</v>
      </c>
      <c r="AE4272" s="1" t="s">
        <v>24</v>
      </c>
      <c r="AF4272" s="22"/>
    </row>
    <row r="4273" spans="1:32" x14ac:dyDescent="0.2">
      <c r="A4273" s="1">
        <v>38955</v>
      </c>
      <c r="B4273" s="1" t="s">
        <v>13112</v>
      </c>
      <c r="C4273" s="5" t="s">
        <v>0</v>
      </c>
      <c r="D4273" s="1" t="s">
        <v>13113</v>
      </c>
      <c r="E4273" s="1" t="s">
        <v>13114</v>
      </c>
      <c r="F4273" s="1" t="s">
        <v>13115</v>
      </c>
      <c r="G4273" s="1" t="s">
        <v>80</v>
      </c>
      <c r="H4273" s="1" t="s">
        <v>30</v>
      </c>
      <c r="I4273" s="1" t="s">
        <v>16</v>
      </c>
      <c r="J4273" s="1">
        <v>1</v>
      </c>
      <c r="K4273" s="1">
        <v>4</v>
      </c>
      <c r="L4273" s="1" t="s">
        <v>31</v>
      </c>
      <c r="M4273" s="1" t="s">
        <v>18</v>
      </c>
      <c r="N4273" s="1" t="s">
        <v>18</v>
      </c>
      <c r="O4273" s="1">
        <v>3</v>
      </c>
      <c r="P4273" s="1">
        <v>6</v>
      </c>
      <c r="R4273" s="1" t="s">
        <v>19</v>
      </c>
      <c r="S4273" s="1" t="s">
        <v>20</v>
      </c>
      <c r="T4273" s="1" t="s">
        <v>21</v>
      </c>
      <c r="U4273" s="1" t="s">
        <v>22</v>
      </c>
      <c r="V4273" s="1" t="s">
        <v>24</v>
      </c>
      <c r="W4273" s="1" t="s">
        <v>24</v>
      </c>
      <c r="X4273" s="1">
        <v>2730</v>
      </c>
      <c r="Y4273" s="1">
        <v>2720</v>
      </c>
      <c r="Z4273" s="1" t="s">
        <v>24</v>
      </c>
      <c r="AA4273" s="1" t="s">
        <v>24</v>
      </c>
      <c r="AB4273" s="1" t="s">
        <v>24</v>
      </c>
      <c r="AC4273" s="1" t="s">
        <v>24</v>
      </c>
      <c r="AD4273" s="1" t="s">
        <v>24</v>
      </c>
      <c r="AE4273" s="1" t="s">
        <v>24</v>
      </c>
      <c r="AF4273" s="22"/>
    </row>
    <row r="4274" spans="1:32" x14ac:dyDescent="0.2">
      <c r="A4274" s="1">
        <v>38963</v>
      </c>
      <c r="B4274" s="1" t="s">
        <v>13116</v>
      </c>
      <c r="C4274" s="5" t="s">
        <v>0</v>
      </c>
      <c r="D4274" s="1" t="s">
        <v>13117</v>
      </c>
      <c r="E4274" s="1" t="s">
        <v>13118</v>
      </c>
      <c r="F4274" s="1" t="s">
        <v>1412</v>
      </c>
      <c r="G4274" s="1" t="s">
        <v>1413</v>
      </c>
      <c r="H4274" s="1" t="s">
        <v>30</v>
      </c>
      <c r="I4274" s="1" t="s">
        <v>16</v>
      </c>
      <c r="J4274" s="1">
        <v>0</v>
      </c>
      <c r="K4274" s="1">
        <v>0</v>
      </c>
      <c r="L4274" s="1" t="s">
        <v>31</v>
      </c>
      <c r="M4274" s="1" t="s">
        <v>18</v>
      </c>
      <c r="N4274" s="1" t="s">
        <v>18</v>
      </c>
      <c r="O4274" s="1">
        <v>3</v>
      </c>
      <c r="P4274" s="1">
        <v>7</v>
      </c>
      <c r="Q4274" s="7" t="s">
        <v>17633</v>
      </c>
      <c r="R4274" s="1" t="s">
        <v>19</v>
      </c>
      <c r="S4274" s="1" t="s">
        <v>63</v>
      </c>
      <c r="T4274" s="1" t="s">
        <v>21</v>
      </c>
      <c r="U4274" s="1" t="s">
        <v>22</v>
      </c>
      <c r="V4274" s="1" t="s">
        <v>23</v>
      </c>
      <c r="W4274" s="1" t="s">
        <v>24</v>
      </c>
      <c r="X4274" s="1">
        <v>2713</v>
      </c>
      <c r="Y4274" s="1">
        <v>2739</v>
      </c>
      <c r="Z4274" s="1">
        <v>1311</v>
      </c>
      <c r="AA4274" s="1" t="s">
        <v>24</v>
      </c>
      <c r="AB4274" s="1" t="s">
        <v>24</v>
      </c>
      <c r="AC4274" s="1" t="s">
        <v>24</v>
      </c>
      <c r="AD4274" s="1" t="s">
        <v>24</v>
      </c>
      <c r="AE4274" s="1" t="s">
        <v>24</v>
      </c>
      <c r="AF4274" s="22"/>
    </row>
    <row r="4275" spans="1:32" x14ac:dyDescent="0.2">
      <c r="A4275" s="1">
        <v>38965</v>
      </c>
      <c r="B4275" s="1" t="s">
        <v>13119</v>
      </c>
      <c r="C4275" s="5" t="s">
        <v>0</v>
      </c>
      <c r="E4275" s="1" t="s">
        <v>13120</v>
      </c>
      <c r="F4275" s="1" t="s">
        <v>2299</v>
      </c>
      <c r="G4275" s="1" t="s">
        <v>2300</v>
      </c>
      <c r="H4275" s="1" t="s">
        <v>37</v>
      </c>
      <c r="I4275" s="1" t="s">
        <v>16</v>
      </c>
      <c r="J4275" s="1">
        <v>1</v>
      </c>
      <c r="K4275" s="1">
        <v>1</v>
      </c>
      <c r="L4275" s="1" t="s">
        <v>31</v>
      </c>
      <c r="M4275" s="1" t="s">
        <v>18</v>
      </c>
      <c r="N4275" s="1" t="s">
        <v>18</v>
      </c>
      <c r="O4275" s="1">
        <v>3</v>
      </c>
      <c r="P4275" s="1">
        <v>6</v>
      </c>
      <c r="R4275" s="1" t="s">
        <v>19</v>
      </c>
      <c r="S4275" s="1" t="s">
        <v>63</v>
      </c>
      <c r="T4275" s="1" t="s">
        <v>21</v>
      </c>
      <c r="U4275" s="1" t="s">
        <v>22</v>
      </c>
      <c r="V4275" s="1" t="s">
        <v>24</v>
      </c>
      <c r="W4275" s="1" t="s">
        <v>24</v>
      </c>
      <c r="X4275" s="1">
        <v>2700</v>
      </c>
      <c r="Y4275" s="1" t="s">
        <v>24</v>
      </c>
      <c r="Z4275" s="1" t="s">
        <v>24</v>
      </c>
      <c r="AA4275" s="1" t="s">
        <v>24</v>
      </c>
      <c r="AB4275" s="1" t="s">
        <v>24</v>
      </c>
      <c r="AC4275" s="1" t="s">
        <v>24</v>
      </c>
      <c r="AD4275" s="1" t="s">
        <v>24</v>
      </c>
      <c r="AE4275" s="1" t="s">
        <v>24</v>
      </c>
      <c r="AF4275" s="22"/>
    </row>
    <row r="4276" spans="1:32" x14ac:dyDescent="0.2">
      <c r="A4276" s="1">
        <v>38966</v>
      </c>
      <c r="B4276" s="1" t="s">
        <v>13121</v>
      </c>
      <c r="C4276" s="5" t="s">
        <v>0</v>
      </c>
      <c r="E4276" s="1" t="s">
        <v>13122</v>
      </c>
      <c r="F4276" s="1" t="s">
        <v>2299</v>
      </c>
      <c r="G4276" s="1" t="s">
        <v>2300</v>
      </c>
      <c r="H4276" s="1" t="s">
        <v>37</v>
      </c>
      <c r="I4276" s="1" t="s">
        <v>16</v>
      </c>
      <c r="J4276" s="1">
        <v>1</v>
      </c>
      <c r="K4276" s="1">
        <v>1</v>
      </c>
      <c r="L4276" s="1" t="s">
        <v>31</v>
      </c>
      <c r="M4276" s="1" t="s">
        <v>18</v>
      </c>
      <c r="N4276" s="1" t="s">
        <v>18</v>
      </c>
      <c r="O4276" s="1">
        <v>3</v>
      </c>
      <c r="P4276" s="1">
        <v>6</v>
      </c>
      <c r="R4276" s="1" t="s">
        <v>19</v>
      </c>
      <c r="S4276" s="1" t="s">
        <v>63</v>
      </c>
      <c r="T4276" s="1" t="s">
        <v>21</v>
      </c>
      <c r="U4276" s="1" t="s">
        <v>22</v>
      </c>
      <c r="V4276" s="1" t="s">
        <v>24</v>
      </c>
      <c r="W4276" s="1" t="s">
        <v>24</v>
      </c>
      <c r="X4276" s="1">
        <v>2720</v>
      </c>
      <c r="Y4276" s="1">
        <v>2730</v>
      </c>
      <c r="Z4276" s="1">
        <v>1306</v>
      </c>
      <c r="AA4276" s="1">
        <v>1312</v>
      </c>
      <c r="AB4276" s="1" t="s">
        <v>24</v>
      </c>
      <c r="AC4276" s="1" t="s">
        <v>24</v>
      </c>
      <c r="AD4276" s="1" t="s">
        <v>24</v>
      </c>
      <c r="AE4276" s="1" t="s">
        <v>24</v>
      </c>
      <c r="AF4276" s="22"/>
    </row>
    <row r="4277" spans="1:32" x14ac:dyDescent="0.2">
      <c r="A4277" s="1">
        <v>38967</v>
      </c>
      <c r="B4277" s="1" t="s">
        <v>13123</v>
      </c>
      <c r="C4277" s="5" t="s">
        <v>0</v>
      </c>
      <c r="E4277" s="1" t="s">
        <v>13124</v>
      </c>
      <c r="F4277" s="1" t="s">
        <v>2299</v>
      </c>
      <c r="G4277" s="1" t="s">
        <v>2300</v>
      </c>
      <c r="H4277" s="1" t="s">
        <v>37</v>
      </c>
      <c r="I4277" s="1" t="s">
        <v>16</v>
      </c>
      <c r="J4277" s="1">
        <v>1</v>
      </c>
      <c r="K4277" s="1">
        <v>1</v>
      </c>
      <c r="L4277" s="1" t="s">
        <v>31</v>
      </c>
      <c r="M4277" s="1" t="s">
        <v>18</v>
      </c>
      <c r="N4277" s="1" t="s">
        <v>18</v>
      </c>
      <c r="O4277" s="1">
        <v>3</v>
      </c>
      <c r="P4277" s="1">
        <v>7</v>
      </c>
      <c r="Q4277" s="7" t="s">
        <v>17633</v>
      </c>
      <c r="R4277" s="1" t="s">
        <v>19</v>
      </c>
      <c r="S4277" s="1" t="s">
        <v>63</v>
      </c>
      <c r="T4277" s="1" t="s">
        <v>21</v>
      </c>
      <c r="U4277" s="1" t="s">
        <v>22</v>
      </c>
      <c r="V4277" s="1" t="s">
        <v>24</v>
      </c>
      <c r="W4277" s="1" t="s">
        <v>24</v>
      </c>
      <c r="X4277" s="1">
        <v>2804</v>
      </c>
      <c r="Y4277" s="1">
        <v>1312</v>
      </c>
      <c r="Z4277" s="1" t="s">
        <v>24</v>
      </c>
      <c r="AA4277" s="1" t="s">
        <v>24</v>
      </c>
      <c r="AB4277" s="1" t="s">
        <v>24</v>
      </c>
      <c r="AC4277" s="1" t="s">
        <v>24</v>
      </c>
      <c r="AD4277" s="1" t="s">
        <v>24</v>
      </c>
      <c r="AE4277" s="1" t="s">
        <v>24</v>
      </c>
      <c r="AF4277" s="22"/>
    </row>
    <row r="4278" spans="1:32" x14ac:dyDescent="0.2">
      <c r="A4278" s="1">
        <v>38968</v>
      </c>
      <c r="B4278" s="1" t="s">
        <v>13125</v>
      </c>
      <c r="C4278" s="5" t="s">
        <v>0</v>
      </c>
      <c r="D4278" s="1" t="s">
        <v>13126</v>
      </c>
      <c r="E4278" s="1" t="s">
        <v>13127</v>
      </c>
      <c r="F4278" s="1" t="s">
        <v>1897</v>
      </c>
      <c r="G4278" s="1" t="s">
        <v>1898</v>
      </c>
      <c r="H4278" s="1" t="s">
        <v>899</v>
      </c>
      <c r="I4278" s="1" t="s">
        <v>16</v>
      </c>
      <c r="J4278" s="1">
        <v>1</v>
      </c>
      <c r="K4278" s="1">
        <v>2</v>
      </c>
      <c r="L4278" s="1" t="s">
        <v>31</v>
      </c>
      <c r="M4278" s="1" t="s">
        <v>18</v>
      </c>
      <c r="N4278" s="1" t="s">
        <v>18</v>
      </c>
      <c r="O4278" s="1">
        <v>2</v>
      </c>
      <c r="P4278" s="1">
        <v>6</v>
      </c>
      <c r="R4278" s="1" t="s">
        <v>19</v>
      </c>
      <c r="S4278" s="1" t="s">
        <v>20</v>
      </c>
      <c r="T4278" s="1" t="s">
        <v>21</v>
      </c>
      <c r="U4278" s="1" t="s">
        <v>22</v>
      </c>
      <c r="V4278" s="1" t="s">
        <v>23</v>
      </c>
      <c r="W4278" s="1" t="s">
        <v>24</v>
      </c>
      <c r="X4278" s="1">
        <v>2700</v>
      </c>
      <c r="Y4278" s="1">
        <v>2739</v>
      </c>
      <c r="Z4278" s="1" t="s">
        <v>24</v>
      </c>
      <c r="AA4278" s="1" t="s">
        <v>24</v>
      </c>
      <c r="AB4278" s="1" t="s">
        <v>24</v>
      </c>
      <c r="AC4278" s="1" t="s">
        <v>24</v>
      </c>
      <c r="AD4278" s="1" t="s">
        <v>24</v>
      </c>
      <c r="AE4278" s="1" t="s">
        <v>24</v>
      </c>
      <c r="AF4278" s="22"/>
    </row>
    <row r="4279" spans="1:32" x14ac:dyDescent="0.2">
      <c r="A4279" s="1">
        <v>38969</v>
      </c>
      <c r="B4279" s="1" t="s">
        <v>13128</v>
      </c>
      <c r="C4279" s="5" t="s">
        <v>0</v>
      </c>
      <c r="D4279" s="1" t="s">
        <v>13129</v>
      </c>
      <c r="E4279" s="1" t="s">
        <v>13130</v>
      </c>
      <c r="F4279" s="1" t="s">
        <v>1897</v>
      </c>
      <c r="G4279" s="1" t="s">
        <v>1898</v>
      </c>
      <c r="H4279" s="1" t="s">
        <v>899</v>
      </c>
      <c r="I4279" s="1" t="s">
        <v>16</v>
      </c>
      <c r="J4279" s="1">
        <v>1</v>
      </c>
      <c r="K4279" s="1">
        <v>2</v>
      </c>
      <c r="L4279" s="1" t="s">
        <v>31</v>
      </c>
      <c r="M4279" s="1" t="s">
        <v>18</v>
      </c>
      <c r="N4279" s="1" t="s">
        <v>18</v>
      </c>
      <c r="O4279" s="1">
        <v>2</v>
      </c>
      <c r="P4279" s="1">
        <v>6</v>
      </c>
      <c r="R4279" s="1" t="s">
        <v>19</v>
      </c>
      <c r="S4279" s="1" t="s">
        <v>20</v>
      </c>
      <c r="T4279" s="1" t="s">
        <v>21</v>
      </c>
      <c r="U4279" s="1" t="s">
        <v>22</v>
      </c>
      <c r="V4279" s="1" t="s">
        <v>24</v>
      </c>
      <c r="W4279" s="1" t="s">
        <v>24</v>
      </c>
      <c r="X4279" s="1">
        <v>2735</v>
      </c>
      <c r="Y4279" s="1">
        <v>2705</v>
      </c>
      <c r="Z4279" s="1" t="s">
        <v>24</v>
      </c>
      <c r="AA4279" s="1" t="s">
        <v>24</v>
      </c>
      <c r="AB4279" s="1" t="s">
        <v>24</v>
      </c>
      <c r="AC4279" s="1" t="s">
        <v>24</v>
      </c>
      <c r="AD4279" s="1" t="s">
        <v>24</v>
      </c>
      <c r="AE4279" s="1" t="s">
        <v>24</v>
      </c>
      <c r="AF4279" s="22"/>
    </row>
    <row r="4280" spans="1:32" x14ac:dyDescent="0.2">
      <c r="A4280" s="1">
        <v>38976</v>
      </c>
      <c r="B4280" s="1" t="s">
        <v>13131</v>
      </c>
      <c r="C4280" s="5" t="s">
        <v>0</v>
      </c>
      <c r="D4280" s="1" t="s">
        <v>13132</v>
      </c>
      <c r="E4280" s="1" t="s">
        <v>13133</v>
      </c>
      <c r="F4280" s="1" t="s">
        <v>12434</v>
      </c>
      <c r="G4280" s="1" t="s">
        <v>12434</v>
      </c>
      <c r="H4280" s="1" t="s">
        <v>30</v>
      </c>
      <c r="I4280" s="1" t="s">
        <v>16</v>
      </c>
      <c r="J4280" s="1">
        <v>0</v>
      </c>
      <c r="K4280" s="1">
        <v>0</v>
      </c>
      <c r="L4280" s="1" t="s">
        <v>42</v>
      </c>
      <c r="M4280" s="1" t="s">
        <v>18</v>
      </c>
      <c r="N4280" s="1" t="s">
        <v>18</v>
      </c>
      <c r="O4280" s="1">
        <v>3</v>
      </c>
      <c r="P4280" s="1">
        <v>6</v>
      </c>
      <c r="R4280" s="1" t="s">
        <v>19</v>
      </c>
      <c r="S4280" s="1" t="s">
        <v>20</v>
      </c>
      <c r="T4280" s="1" t="s">
        <v>21</v>
      </c>
      <c r="U4280" s="1" t="s">
        <v>22</v>
      </c>
      <c r="V4280" s="1" t="s">
        <v>24</v>
      </c>
      <c r="W4280" s="1" t="s">
        <v>24</v>
      </c>
      <c r="X4280" s="1">
        <v>3005</v>
      </c>
      <c r="Y4280" s="1">
        <v>1102</v>
      </c>
      <c r="Z4280" s="1">
        <v>1106</v>
      </c>
      <c r="AA4280" s="1" t="s">
        <v>24</v>
      </c>
      <c r="AB4280" s="1" t="s">
        <v>24</v>
      </c>
      <c r="AC4280" s="1" t="s">
        <v>24</v>
      </c>
      <c r="AD4280" s="1" t="s">
        <v>24</v>
      </c>
      <c r="AE4280" s="1" t="s">
        <v>24</v>
      </c>
      <c r="AF4280" s="22"/>
    </row>
    <row r="4281" spans="1:32" x14ac:dyDescent="0.2">
      <c r="A4281" s="1">
        <v>38980</v>
      </c>
      <c r="B4281" s="1" t="s">
        <v>13134</v>
      </c>
      <c r="C4281" s="5" t="s">
        <v>0</v>
      </c>
      <c r="D4281" s="1" t="s">
        <v>13135</v>
      </c>
      <c r="E4281" s="1" t="s">
        <v>13136</v>
      </c>
      <c r="F4281" s="1" t="s">
        <v>10959</v>
      </c>
      <c r="G4281" s="1" t="s">
        <v>10959</v>
      </c>
      <c r="H4281" s="1" t="s">
        <v>2672</v>
      </c>
      <c r="I4281" s="1" t="s">
        <v>16</v>
      </c>
      <c r="J4281" s="1">
        <v>0</v>
      </c>
      <c r="K4281" s="1">
        <v>0</v>
      </c>
      <c r="L4281" s="1" t="s">
        <v>42</v>
      </c>
      <c r="M4281" s="1" t="s">
        <v>18</v>
      </c>
      <c r="N4281" s="1" t="s">
        <v>18</v>
      </c>
      <c r="O4281" s="1">
        <v>3</v>
      </c>
      <c r="P4281" s="1">
        <v>6</v>
      </c>
      <c r="R4281" s="1" t="s">
        <v>19</v>
      </c>
      <c r="S4281" s="1" t="s">
        <v>20</v>
      </c>
      <c r="T4281" s="1" t="s">
        <v>21</v>
      </c>
      <c r="U4281" s="1" t="s">
        <v>22</v>
      </c>
      <c r="V4281" s="1" t="s">
        <v>24</v>
      </c>
      <c r="W4281" s="1" t="s">
        <v>24</v>
      </c>
      <c r="X4281" s="1">
        <v>2713</v>
      </c>
      <c r="Y4281" s="1" t="s">
        <v>24</v>
      </c>
      <c r="Z4281" s="1" t="s">
        <v>24</v>
      </c>
      <c r="AA4281" s="1" t="s">
        <v>24</v>
      </c>
      <c r="AB4281" s="1" t="s">
        <v>24</v>
      </c>
      <c r="AC4281" s="1" t="s">
        <v>24</v>
      </c>
      <c r="AD4281" s="1" t="s">
        <v>24</v>
      </c>
      <c r="AE4281" s="1" t="s">
        <v>24</v>
      </c>
      <c r="AF4281" s="22"/>
    </row>
    <row r="4282" spans="1:32" x14ac:dyDescent="0.2">
      <c r="A4282" s="1">
        <v>38981</v>
      </c>
      <c r="B4282" s="1" t="s">
        <v>13137</v>
      </c>
      <c r="C4282" s="5" t="s">
        <v>0</v>
      </c>
      <c r="D4282" s="1" t="s">
        <v>13138</v>
      </c>
      <c r="E4282" s="1" t="s">
        <v>13139</v>
      </c>
      <c r="F4282" s="1" t="s">
        <v>10959</v>
      </c>
      <c r="G4282" s="1" t="s">
        <v>10959</v>
      </c>
      <c r="H4282" s="1" t="s">
        <v>2672</v>
      </c>
      <c r="I4282" s="1" t="s">
        <v>16</v>
      </c>
      <c r="J4282" s="1">
        <v>0</v>
      </c>
      <c r="K4282" s="1">
        <v>0</v>
      </c>
      <c r="L4282" s="1" t="s">
        <v>42</v>
      </c>
      <c r="M4282" s="1" t="s">
        <v>18</v>
      </c>
      <c r="N4282" s="1" t="s">
        <v>18</v>
      </c>
      <c r="O4282" s="1">
        <v>3</v>
      </c>
      <c r="P4282" s="1">
        <v>6</v>
      </c>
      <c r="R4282" s="1" t="s">
        <v>19</v>
      </c>
      <c r="S4282" s="1" t="s">
        <v>20</v>
      </c>
      <c r="T4282" s="1" t="s">
        <v>21</v>
      </c>
      <c r="U4282" s="1" t="s">
        <v>22</v>
      </c>
      <c r="V4282" s="1" t="s">
        <v>24</v>
      </c>
      <c r="W4282" s="1" t="s">
        <v>24</v>
      </c>
      <c r="X4282" s="1">
        <v>2724</v>
      </c>
      <c r="Y4282" s="1">
        <v>2701</v>
      </c>
      <c r="Z4282" s="1">
        <v>2712</v>
      </c>
      <c r="AA4282" s="1" t="s">
        <v>24</v>
      </c>
      <c r="AB4282" s="1" t="s">
        <v>24</v>
      </c>
      <c r="AC4282" s="1" t="s">
        <v>24</v>
      </c>
      <c r="AD4282" s="1" t="s">
        <v>24</v>
      </c>
      <c r="AE4282" s="1" t="s">
        <v>24</v>
      </c>
      <c r="AF4282" s="22"/>
    </row>
    <row r="4283" spans="1:32" x14ac:dyDescent="0.2">
      <c r="A4283" s="1">
        <v>38984</v>
      </c>
      <c r="B4283" s="1" t="s">
        <v>13140</v>
      </c>
      <c r="C4283" s="5" t="s">
        <v>0</v>
      </c>
      <c r="D4283" s="1" t="s">
        <v>13141</v>
      </c>
      <c r="E4283" s="1" t="s">
        <v>13142</v>
      </c>
      <c r="F4283" s="1" t="s">
        <v>10332</v>
      </c>
      <c r="G4283" s="1" t="s">
        <v>10332</v>
      </c>
      <c r="H4283" s="1" t="s">
        <v>30</v>
      </c>
      <c r="I4283" s="1" t="s">
        <v>16</v>
      </c>
      <c r="J4283" s="1">
        <v>1</v>
      </c>
      <c r="K4283" s="1">
        <v>6</v>
      </c>
      <c r="L4283" s="1" t="s">
        <v>42</v>
      </c>
      <c r="M4283" s="1" t="s">
        <v>18</v>
      </c>
      <c r="N4283" s="1" t="s">
        <v>18</v>
      </c>
      <c r="O4283" s="1">
        <v>3</v>
      </c>
      <c r="P4283" s="1">
        <v>6</v>
      </c>
      <c r="R4283" s="1" t="s">
        <v>19</v>
      </c>
      <c r="S4283" s="1" t="s">
        <v>63</v>
      </c>
      <c r="T4283" s="1" t="s">
        <v>21</v>
      </c>
      <c r="U4283" s="1" t="s">
        <v>22</v>
      </c>
      <c r="V4283" s="1" t="s">
        <v>24</v>
      </c>
      <c r="W4283" s="1" t="s">
        <v>24</v>
      </c>
      <c r="X4283" s="1">
        <v>1304</v>
      </c>
      <c r="Y4283" s="1">
        <v>1303</v>
      </c>
      <c r="Z4283" s="1" t="s">
        <v>24</v>
      </c>
      <c r="AA4283" s="1" t="s">
        <v>24</v>
      </c>
      <c r="AB4283" s="1" t="s">
        <v>24</v>
      </c>
      <c r="AC4283" s="1" t="s">
        <v>24</v>
      </c>
      <c r="AD4283" s="1" t="s">
        <v>24</v>
      </c>
      <c r="AE4283" s="1" t="s">
        <v>24</v>
      </c>
      <c r="AF4283" s="22"/>
    </row>
    <row r="4284" spans="1:32" x14ac:dyDescent="0.2">
      <c r="A4284" s="1">
        <v>38985</v>
      </c>
      <c r="B4284" s="1" t="s">
        <v>13143</v>
      </c>
      <c r="C4284" s="5" t="s">
        <v>0</v>
      </c>
      <c r="D4284" s="1" t="s">
        <v>13144</v>
      </c>
      <c r="E4284" s="1" t="s">
        <v>13145</v>
      </c>
      <c r="F4284" s="1" t="s">
        <v>10332</v>
      </c>
      <c r="G4284" s="1" t="s">
        <v>10332</v>
      </c>
      <c r="H4284" s="1" t="s">
        <v>30</v>
      </c>
      <c r="I4284" s="1" t="s">
        <v>16</v>
      </c>
      <c r="J4284" s="1">
        <v>1</v>
      </c>
      <c r="K4284" s="1">
        <v>12</v>
      </c>
      <c r="L4284" s="1" t="s">
        <v>42</v>
      </c>
      <c r="M4284" s="1" t="s">
        <v>1009</v>
      </c>
      <c r="N4284" s="1" t="s">
        <v>1009</v>
      </c>
      <c r="O4284" s="1">
        <v>3</v>
      </c>
      <c r="P4284" s="1">
        <v>6</v>
      </c>
      <c r="R4284" s="1" t="s">
        <v>19</v>
      </c>
      <c r="S4284" s="1" t="s">
        <v>63</v>
      </c>
      <c r="T4284" s="1" t="s">
        <v>21</v>
      </c>
      <c r="U4284" s="1" t="s">
        <v>22</v>
      </c>
      <c r="V4284" s="1" t="s">
        <v>24</v>
      </c>
      <c r="W4284" s="1" t="s">
        <v>24</v>
      </c>
      <c r="X4284" s="1">
        <v>2730</v>
      </c>
      <c r="Y4284" s="1" t="s">
        <v>24</v>
      </c>
      <c r="Z4284" s="1" t="s">
        <v>24</v>
      </c>
      <c r="AA4284" s="1" t="s">
        <v>24</v>
      </c>
      <c r="AB4284" s="1" t="s">
        <v>24</v>
      </c>
      <c r="AC4284" s="1" t="s">
        <v>24</v>
      </c>
      <c r="AD4284" s="1" t="s">
        <v>24</v>
      </c>
      <c r="AE4284" s="1" t="s">
        <v>24</v>
      </c>
      <c r="AF4284" s="22"/>
    </row>
    <row r="4285" spans="1:32" x14ac:dyDescent="0.2">
      <c r="A4285" s="1">
        <v>38990</v>
      </c>
      <c r="B4285" s="1" t="s">
        <v>13146</v>
      </c>
      <c r="C4285" s="5" t="s">
        <v>0</v>
      </c>
      <c r="D4285" s="1" t="s">
        <v>13147</v>
      </c>
      <c r="F4285" s="1" t="s">
        <v>11251</v>
      </c>
      <c r="G4285" s="1" t="s">
        <v>11251</v>
      </c>
      <c r="H4285" s="1" t="s">
        <v>3228</v>
      </c>
      <c r="I4285" s="1" t="s">
        <v>16</v>
      </c>
      <c r="J4285" s="1">
        <v>0</v>
      </c>
      <c r="K4285" s="1">
        <v>0</v>
      </c>
      <c r="L4285" s="1" t="s">
        <v>42</v>
      </c>
      <c r="M4285" s="1" t="s">
        <v>18</v>
      </c>
      <c r="N4285" s="1" t="s">
        <v>18</v>
      </c>
      <c r="O4285" s="1">
        <v>3</v>
      </c>
      <c r="P4285" s="1">
        <v>6</v>
      </c>
      <c r="R4285" s="1" t="s">
        <v>19</v>
      </c>
      <c r="S4285" s="1" t="s">
        <v>63</v>
      </c>
      <c r="T4285" s="1" t="s">
        <v>21</v>
      </c>
      <c r="U4285" s="1" t="s">
        <v>22</v>
      </c>
      <c r="V4285" s="1" t="s">
        <v>24</v>
      </c>
      <c r="W4285" s="1" t="s">
        <v>24</v>
      </c>
      <c r="X4285" s="1">
        <v>2406</v>
      </c>
      <c r="Y4285" s="1">
        <v>2725</v>
      </c>
      <c r="Z4285" s="1">
        <v>2403</v>
      </c>
      <c r="AA4285" s="1" t="s">
        <v>24</v>
      </c>
      <c r="AB4285" s="1" t="s">
        <v>24</v>
      </c>
      <c r="AC4285" s="1" t="s">
        <v>24</v>
      </c>
      <c r="AD4285" s="1" t="s">
        <v>24</v>
      </c>
      <c r="AE4285" s="1" t="s">
        <v>24</v>
      </c>
      <c r="AF4285" s="22" t="s">
        <v>17678</v>
      </c>
    </row>
    <row r="4286" spans="1:32" x14ac:dyDescent="0.2">
      <c r="A4286" s="1">
        <v>38991</v>
      </c>
      <c r="B4286" s="1" t="s">
        <v>13148</v>
      </c>
      <c r="C4286" s="5" t="s">
        <v>0</v>
      </c>
      <c r="D4286" s="1" t="s">
        <v>13149</v>
      </c>
      <c r="F4286" s="1" t="s">
        <v>11251</v>
      </c>
      <c r="G4286" s="1" t="s">
        <v>11251</v>
      </c>
      <c r="H4286" s="1" t="s">
        <v>3228</v>
      </c>
      <c r="I4286" s="1" t="s">
        <v>16</v>
      </c>
      <c r="J4286" s="1">
        <v>1</v>
      </c>
      <c r="K4286" s="1">
        <v>1</v>
      </c>
      <c r="L4286" s="1" t="s">
        <v>42</v>
      </c>
      <c r="M4286" s="1" t="s">
        <v>18</v>
      </c>
      <c r="N4286" s="1" t="s">
        <v>18</v>
      </c>
      <c r="O4286" s="1">
        <v>3</v>
      </c>
      <c r="P4286" s="1">
        <v>6</v>
      </c>
      <c r="R4286" s="1" t="s">
        <v>19</v>
      </c>
      <c r="S4286" s="1" t="s">
        <v>63</v>
      </c>
      <c r="T4286" s="1" t="s">
        <v>21</v>
      </c>
      <c r="U4286" s="1" t="s">
        <v>22</v>
      </c>
      <c r="V4286" s="1" t="s">
        <v>23</v>
      </c>
      <c r="W4286" s="1" t="s">
        <v>24</v>
      </c>
      <c r="X4286" s="1">
        <v>2738</v>
      </c>
      <c r="Y4286" s="1" t="s">
        <v>24</v>
      </c>
      <c r="Z4286" s="1" t="s">
        <v>24</v>
      </c>
      <c r="AA4286" s="1" t="s">
        <v>24</v>
      </c>
      <c r="AB4286" s="1" t="s">
        <v>24</v>
      </c>
      <c r="AC4286" s="1" t="s">
        <v>24</v>
      </c>
      <c r="AD4286" s="1" t="s">
        <v>24</v>
      </c>
      <c r="AE4286" s="1" t="s">
        <v>24</v>
      </c>
      <c r="AF4286" s="22" t="s">
        <v>17678</v>
      </c>
    </row>
    <row r="4287" spans="1:32" x14ac:dyDescent="0.2">
      <c r="A4287" s="1">
        <v>38992</v>
      </c>
      <c r="B4287" s="1" t="s">
        <v>13150</v>
      </c>
      <c r="C4287" s="5" t="s">
        <v>0</v>
      </c>
      <c r="D4287" s="1" t="s">
        <v>13151</v>
      </c>
      <c r="E4287" s="1" t="s">
        <v>13152</v>
      </c>
      <c r="F4287" s="1" t="s">
        <v>190</v>
      </c>
      <c r="G4287" s="1" t="s">
        <v>130</v>
      </c>
      <c r="H4287" s="1" t="s">
        <v>30</v>
      </c>
      <c r="I4287" s="1" t="s">
        <v>16</v>
      </c>
      <c r="J4287" s="1">
        <v>1</v>
      </c>
      <c r="K4287" s="1">
        <v>4</v>
      </c>
      <c r="L4287" s="1" t="s">
        <v>31</v>
      </c>
      <c r="M4287" s="1" t="s">
        <v>18</v>
      </c>
      <c r="N4287" s="1" t="s">
        <v>18</v>
      </c>
      <c r="O4287" s="1">
        <v>3</v>
      </c>
      <c r="P4287" s="1">
        <v>6</v>
      </c>
      <c r="R4287" s="1" t="s">
        <v>19</v>
      </c>
      <c r="S4287" s="1" t="s">
        <v>20</v>
      </c>
      <c r="T4287" s="1" t="s">
        <v>21</v>
      </c>
      <c r="U4287" s="1" t="s">
        <v>22</v>
      </c>
      <c r="V4287" s="1" t="s">
        <v>24</v>
      </c>
      <c r="W4287" s="1" t="s">
        <v>24</v>
      </c>
      <c r="X4287" s="1">
        <v>2307</v>
      </c>
      <c r="Y4287" s="1">
        <v>3005</v>
      </c>
      <c r="Z4287" s="1" t="s">
        <v>24</v>
      </c>
      <c r="AA4287" s="1" t="s">
        <v>24</v>
      </c>
      <c r="AB4287" s="1" t="s">
        <v>24</v>
      </c>
      <c r="AC4287" s="1" t="s">
        <v>24</v>
      </c>
      <c r="AD4287" s="1" t="s">
        <v>24</v>
      </c>
      <c r="AE4287" s="1" t="s">
        <v>24</v>
      </c>
      <c r="AF4287" s="22"/>
    </row>
    <row r="4288" spans="1:32" x14ac:dyDescent="0.2">
      <c r="A4288" s="1">
        <v>38993</v>
      </c>
      <c r="B4288" s="1" t="s">
        <v>13153</v>
      </c>
      <c r="C4288" s="5" t="s">
        <v>0</v>
      </c>
      <c r="D4288" s="1" t="s">
        <v>13154</v>
      </c>
      <c r="F4288" s="1" t="s">
        <v>11878</v>
      </c>
      <c r="G4288" s="1" t="s">
        <v>11879</v>
      </c>
      <c r="H4288" s="1" t="s">
        <v>30</v>
      </c>
      <c r="I4288" s="1" t="s">
        <v>16</v>
      </c>
      <c r="J4288" s="1">
        <v>1</v>
      </c>
      <c r="K4288" s="1">
        <v>4</v>
      </c>
      <c r="L4288" s="1" t="s">
        <v>31</v>
      </c>
      <c r="M4288" s="1" t="s">
        <v>18</v>
      </c>
      <c r="N4288" s="1" t="s">
        <v>18</v>
      </c>
      <c r="O4288" s="1">
        <v>3</v>
      </c>
      <c r="P4288" s="1">
        <v>6</v>
      </c>
      <c r="R4288" s="1" t="s">
        <v>19</v>
      </c>
      <c r="S4288" s="1" t="s">
        <v>20</v>
      </c>
      <c r="T4288" s="1" t="s">
        <v>21</v>
      </c>
      <c r="U4288" s="1" t="s">
        <v>22</v>
      </c>
      <c r="V4288" s="1" t="s">
        <v>23</v>
      </c>
      <c r="W4288" s="1" t="s">
        <v>24</v>
      </c>
      <c r="X4288" s="1">
        <v>2703</v>
      </c>
      <c r="Y4288" s="1" t="s">
        <v>24</v>
      </c>
      <c r="Z4288" s="1" t="s">
        <v>24</v>
      </c>
      <c r="AA4288" s="1" t="s">
        <v>24</v>
      </c>
      <c r="AB4288" s="1" t="s">
        <v>24</v>
      </c>
      <c r="AC4288" s="1" t="s">
        <v>24</v>
      </c>
      <c r="AD4288" s="1" t="s">
        <v>24</v>
      </c>
      <c r="AE4288" s="1" t="s">
        <v>24</v>
      </c>
      <c r="AF4288" s="22"/>
    </row>
    <row r="4289" spans="1:32" x14ac:dyDescent="0.2">
      <c r="A4289" s="1">
        <v>39025</v>
      </c>
      <c r="B4289" s="1" t="s">
        <v>13155</v>
      </c>
      <c r="C4289" s="5" t="s">
        <v>0</v>
      </c>
      <c r="D4289" s="1" t="s">
        <v>13156</v>
      </c>
      <c r="E4289" s="1" t="s">
        <v>13157</v>
      </c>
      <c r="F4289" s="1" t="s">
        <v>940</v>
      </c>
      <c r="G4289" s="1" t="s">
        <v>130</v>
      </c>
      <c r="H4289" s="1" t="s">
        <v>30</v>
      </c>
      <c r="I4289" s="1" t="s">
        <v>112</v>
      </c>
      <c r="J4289" s="1">
        <v>0</v>
      </c>
      <c r="K4289" s="1">
        <v>0</v>
      </c>
      <c r="L4289" s="1" t="s">
        <v>31</v>
      </c>
      <c r="M4289" s="1" t="s">
        <v>18</v>
      </c>
      <c r="N4289" s="1" t="s">
        <v>18</v>
      </c>
      <c r="O4289" s="1">
        <v>3</v>
      </c>
      <c r="P4289" s="1">
        <v>7</v>
      </c>
      <c r="Q4289" s="7" t="s">
        <v>17633</v>
      </c>
      <c r="R4289" s="1" t="s">
        <v>19</v>
      </c>
      <c r="S4289" s="1" t="s">
        <v>20</v>
      </c>
      <c r="T4289" s="1" t="s">
        <v>21</v>
      </c>
      <c r="U4289" s="1" t="s">
        <v>22</v>
      </c>
      <c r="V4289" s="1" t="s">
        <v>24</v>
      </c>
      <c r="W4289" s="1" t="s">
        <v>24</v>
      </c>
      <c r="X4289" s="1">
        <v>1300</v>
      </c>
      <c r="Y4289" s="1">
        <v>3000</v>
      </c>
      <c r="Z4289" s="1">
        <v>2800</v>
      </c>
      <c r="AA4289" s="1">
        <v>2738</v>
      </c>
      <c r="AB4289" s="1" t="s">
        <v>24</v>
      </c>
      <c r="AC4289" s="1" t="s">
        <v>24</v>
      </c>
      <c r="AD4289" s="1" t="s">
        <v>24</v>
      </c>
      <c r="AE4289" s="1" t="s">
        <v>24</v>
      </c>
      <c r="AF4289" s="22"/>
    </row>
    <row r="4290" spans="1:32" x14ac:dyDescent="0.2">
      <c r="A4290" s="1">
        <v>39026</v>
      </c>
      <c r="B4290" s="1" t="s">
        <v>13158</v>
      </c>
      <c r="C4290" s="5" t="s">
        <v>0</v>
      </c>
      <c r="D4290" s="1" t="s">
        <v>13159</v>
      </c>
      <c r="E4290" s="1" t="s">
        <v>13160</v>
      </c>
      <c r="F4290" s="1" t="s">
        <v>940</v>
      </c>
      <c r="G4290" s="1" t="s">
        <v>130</v>
      </c>
      <c r="H4290" s="1" t="s">
        <v>30</v>
      </c>
      <c r="I4290" s="1" t="s">
        <v>16</v>
      </c>
      <c r="J4290" s="1">
        <v>1</v>
      </c>
      <c r="K4290" s="1">
        <v>4</v>
      </c>
      <c r="L4290" s="1" t="s">
        <v>31</v>
      </c>
      <c r="M4290" s="1" t="s">
        <v>18</v>
      </c>
      <c r="N4290" s="1" t="s">
        <v>18</v>
      </c>
      <c r="O4290" s="1">
        <v>3</v>
      </c>
      <c r="P4290" s="1">
        <v>7</v>
      </c>
      <c r="Q4290" s="7" t="s">
        <v>17633</v>
      </c>
      <c r="R4290" s="1" t="s">
        <v>19</v>
      </c>
      <c r="S4290" s="1" t="s">
        <v>20</v>
      </c>
      <c r="T4290" s="1" t="s">
        <v>21</v>
      </c>
      <c r="U4290" s="1" t="s">
        <v>22</v>
      </c>
      <c r="V4290" s="1" t="s">
        <v>24</v>
      </c>
      <c r="W4290" s="1" t="s">
        <v>24</v>
      </c>
      <c r="X4290" s="1">
        <v>2731</v>
      </c>
      <c r="Y4290" s="1">
        <v>1311</v>
      </c>
      <c r="Z4290" s="1" t="s">
        <v>24</v>
      </c>
      <c r="AA4290" s="1" t="s">
        <v>24</v>
      </c>
      <c r="AB4290" s="1" t="s">
        <v>24</v>
      </c>
      <c r="AC4290" s="1" t="s">
        <v>24</v>
      </c>
      <c r="AD4290" s="1" t="s">
        <v>24</v>
      </c>
      <c r="AE4290" s="1" t="s">
        <v>24</v>
      </c>
      <c r="AF4290" s="22"/>
    </row>
    <row r="4291" spans="1:32" x14ac:dyDescent="0.2">
      <c r="A4291" s="1">
        <v>39032</v>
      </c>
      <c r="B4291" s="1" t="s">
        <v>13161</v>
      </c>
      <c r="C4291" s="5" t="s">
        <v>0</v>
      </c>
      <c r="D4291" s="1" t="s">
        <v>13162</v>
      </c>
      <c r="E4291" s="1" t="s">
        <v>13163</v>
      </c>
      <c r="F4291" s="1" t="s">
        <v>97</v>
      </c>
      <c r="G4291" s="1" t="s">
        <v>98</v>
      </c>
      <c r="H4291" s="1" t="s">
        <v>37</v>
      </c>
      <c r="I4291" s="1" t="s">
        <v>16</v>
      </c>
      <c r="J4291" s="1">
        <v>1</v>
      </c>
      <c r="K4291" s="1">
        <v>6</v>
      </c>
      <c r="L4291" s="1" t="s">
        <v>31</v>
      </c>
      <c r="M4291" s="1" t="s">
        <v>18</v>
      </c>
      <c r="N4291" s="1" t="s">
        <v>18</v>
      </c>
      <c r="O4291" s="1">
        <v>3</v>
      </c>
      <c r="P4291" s="1">
        <v>7</v>
      </c>
      <c r="Q4291" s="7" t="s">
        <v>17633</v>
      </c>
      <c r="R4291" s="1" t="s">
        <v>19</v>
      </c>
      <c r="S4291" s="1" t="s">
        <v>20</v>
      </c>
      <c r="T4291" s="1" t="s">
        <v>21</v>
      </c>
      <c r="U4291" s="1" t="s">
        <v>22</v>
      </c>
      <c r="V4291" s="1" t="s">
        <v>24</v>
      </c>
      <c r="W4291" s="1" t="s">
        <v>24</v>
      </c>
      <c r="X4291" s="1">
        <v>2715</v>
      </c>
      <c r="Y4291" s="1" t="s">
        <v>24</v>
      </c>
      <c r="Z4291" s="1" t="s">
        <v>24</v>
      </c>
      <c r="AA4291" s="1" t="s">
        <v>24</v>
      </c>
      <c r="AB4291" s="1" t="s">
        <v>24</v>
      </c>
      <c r="AC4291" s="1" t="s">
        <v>24</v>
      </c>
      <c r="AD4291" s="1" t="s">
        <v>24</v>
      </c>
      <c r="AE4291" s="1" t="s">
        <v>24</v>
      </c>
      <c r="AF4291" s="22"/>
    </row>
    <row r="4292" spans="1:32" x14ac:dyDescent="0.2">
      <c r="A4292" s="1">
        <v>39033</v>
      </c>
      <c r="B4292" s="1" t="s">
        <v>13164</v>
      </c>
      <c r="C4292" s="5" t="s">
        <v>0</v>
      </c>
      <c r="D4292" s="1" t="s">
        <v>13165</v>
      </c>
      <c r="E4292" s="1" t="s">
        <v>13166</v>
      </c>
      <c r="F4292" s="1" t="s">
        <v>97</v>
      </c>
      <c r="G4292" s="1" t="s">
        <v>98</v>
      </c>
      <c r="H4292" s="1" t="s">
        <v>37</v>
      </c>
      <c r="I4292" s="1" t="s">
        <v>16</v>
      </c>
      <c r="J4292" s="1">
        <v>1</v>
      </c>
      <c r="K4292" s="1">
        <v>6</v>
      </c>
      <c r="L4292" s="1" t="s">
        <v>31</v>
      </c>
      <c r="M4292" s="1" t="s">
        <v>18</v>
      </c>
      <c r="N4292" s="1" t="s">
        <v>18</v>
      </c>
      <c r="O4292" s="1">
        <v>3</v>
      </c>
      <c r="P4292" s="1">
        <v>7</v>
      </c>
      <c r="Q4292" s="7" t="s">
        <v>17633</v>
      </c>
      <c r="R4292" s="1" t="s">
        <v>19</v>
      </c>
      <c r="S4292" s="1" t="s">
        <v>20</v>
      </c>
      <c r="T4292" s="1" t="s">
        <v>21</v>
      </c>
      <c r="U4292" s="1" t="s">
        <v>22</v>
      </c>
      <c r="V4292" s="1" t="s">
        <v>24</v>
      </c>
      <c r="W4292" s="1" t="s">
        <v>24</v>
      </c>
      <c r="X4292" s="1">
        <v>2728</v>
      </c>
      <c r="Y4292" s="1">
        <v>2808</v>
      </c>
      <c r="Z4292" s="1">
        <v>3004</v>
      </c>
      <c r="AA4292" s="1" t="s">
        <v>24</v>
      </c>
      <c r="AB4292" s="1" t="s">
        <v>24</v>
      </c>
      <c r="AC4292" s="1" t="s">
        <v>24</v>
      </c>
      <c r="AD4292" s="1" t="s">
        <v>24</v>
      </c>
      <c r="AE4292" s="1" t="s">
        <v>24</v>
      </c>
      <c r="AF4292" s="22"/>
    </row>
    <row r="4293" spans="1:32" x14ac:dyDescent="0.2">
      <c r="A4293" s="1">
        <v>39041</v>
      </c>
      <c r="B4293" s="1" t="s">
        <v>13167</v>
      </c>
      <c r="C4293" s="5" t="s">
        <v>0</v>
      </c>
      <c r="D4293" s="1" t="s">
        <v>13168</v>
      </c>
      <c r="E4293" s="1" t="s">
        <v>13169</v>
      </c>
      <c r="F4293" s="1" t="s">
        <v>1260</v>
      </c>
      <c r="G4293" s="1" t="s">
        <v>130</v>
      </c>
      <c r="H4293" s="1" t="s">
        <v>111</v>
      </c>
      <c r="I4293" s="1" t="s">
        <v>16</v>
      </c>
      <c r="J4293" s="1">
        <v>1</v>
      </c>
      <c r="K4293" s="1">
        <v>4</v>
      </c>
      <c r="L4293" s="1" t="s">
        <v>31</v>
      </c>
      <c r="M4293" s="1" t="s">
        <v>18</v>
      </c>
      <c r="N4293" s="1" t="s">
        <v>18</v>
      </c>
      <c r="O4293" s="1">
        <v>2</v>
      </c>
      <c r="P4293" s="1">
        <v>7</v>
      </c>
      <c r="Q4293" s="7" t="s">
        <v>17633</v>
      </c>
      <c r="R4293" s="1" t="s">
        <v>19</v>
      </c>
      <c r="S4293" s="1" t="s">
        <v>20</v>
      </c>
      <c r="T4293" s="1" t="s">
        <v>21</v>
      </c>
      <c r="U4293" s="1" t="s">
        <v>22</v>
      </c>
      <c r="V4293" s="1" t="s">
        <v>23</v>
      </c>
      <c r="W4293" s="1" t="s">
        <v>24</v>
      </c>
      <c r="X4293" s="1">
        <v>2901</v>
      </c>
      <c r="Y4293" s="1" t="s">
        <v>24</v>
      </c>
      <c r="Z4293" s="1" t="s">
        <v>24</v>
      </c>
      <c r="AA4293" s="1" t="s">
        <v>24</v>
      </c>
      <c r="AB4293" s="1" t="s">
        <v>24</v>
      </c>
      <c r="AC4293" s="1" t="s">
        <v>24</v>
      </c>
      <c r="AD4293" s="1" t="s">
        <v>24</v>
      </c>
      <c r="AE4293" s="1" t="s">
        <v>24</v>
      </c>
      <c r="AF4293" s="22"/>
    </row>
    <row r="4294" spans="1:32" x14ac:dyDescent="0.2">
      <c r="A4294" s="1">
        <v>39045</v>
      </c>
      <c r="B4294" s="1" t="s">
        <v>13170</v>
      </c>
      <c r="C4294" s="5" t="s">
        <v>0</v>
      </c>
      <c r="D4294" s="1" t="s">
        <v>13171</v>
      </c>
      <c r="E4294" s="1" t="s">
        <v>13172</v>
      </c>
      <c r="F4294" s="1" t="s">
        <v>4289</v>
      </c>
      <c r="G4294" s="1" t="s">
        <v>4290</v>
      </c>
      <c r="H4294" s="1" t="s">
        <v>30</v>
      </c>
      <c r="I4294" s="1" t="s">
        <v>112</v>
      </c>
      <c r="J4294" s="1">
        <v>1</v>
      </c>
      <c r="K4294" s="1">
        <v>1</v>
      </c>
      <c r="L4294" s="1" t="s">
        <v>31</v>
      </c>
      <c r="M4294" s="1" t="s">
        <v>18</v>
      </c>
      <c r="N4294" s="1" t="s">
        <v>18</v>
      </c>
      <c r="O4294" s="1">
        <v>3</v>
      </c>
      <c r="P4294" s="1">
        <v>6</v>
      </c>
      <c r="R4294" s="1" t="s">
        <v>19</v>
      </c>
      <c r="S4294" s="1" t="s">
        <v>20</v>
      </c>
      <c r="T4294" s="1" t="s">
        <v>21</v>
      </c>
      <c r="U4294" s="1" t="s">
        <v>22</v>
      </c>
      <c r="V4294" s="1" t="s">
        <v>23</v>
      </c>
      <c r="W4294" s="1" t="s">
        <v>24</v>
      </c>
      <c r="X4294" s="1">
        <v>2909</v>
      </c>
      <c r="Y4294" s="1">
        <v>2717</v>
      </c>
      <c r="Z4294" s="1">
        <v>3306</v>
      </c>
      <c r="AA4294" s="1">
        <v>1302</v>
      </c>
      <c r="AB4294" s="1" t="s">
        <v>24</v>
      </c>
      <c r="AC4294" s="1" t="s">
        <v>24</v>
      </c>
      <c r="AD4294" s="1" t="s">
        <v>24</v>
      </c>
      <c r="AE4294" s="1" t="s">
        <v>24</v>
      </c>
      <c r="AF4294" s="22"/>
    </row>
    <row r="4295" spans="1:32" x14ac:dyDescent="0.2">
      <c r="A4295" s="1">
        <v>39053</v>
      </c>
      <c r="B4295" s="1" t="s">
        <v>13173</v>
      </c>
      <c r="C4295" s="5" t="s">
        <v>0</v>
      </c>
      <c r="D4295" s="1" t="s">
        <v>13174</v>
      </c>
      <c r="E4295" s="1" t="s">
        <v>13175</v>
      </c>
      <c r="F4295" s="1" t="s">
        <v>190</v>
      </c>
      <c r="G4295" s="1" t="s">
        <v>130</v>
      </c>
      <c r="H4295" s="1" t="s">
        <v>30</v>
      </c>
      <c r="I4295" s="1" t="s">
        <v>112</v>
      </c>
      <c r="J4295" s="1">
        <v>0</v>
      </c>
      <c r="K4295" s="1">
        <v>0</v>
      </c>
      <c r="L4295" s="1" t="s">
        <v>31</v>
      </c>
      <c r="M4295" s="1" t="s">
        <v>18</v>
      </c>
      <c r="N4295" s="1" t="s">
        <v>18</v>
      </c>
      <c r="O4295" s="1">
        <v>3</v>
      </c>
      <c r="P4295" s="1">
        <v>7</v>
      </c>
      <c r="Q4295" s="7" t="s">
        <v>17633</v>
      </c>
      <c r="R4295" s="1" t="s">
        <v>19</v>
      </c>
      <c r="S4295" s="1" t="s">
        <v>20</v>
      </c>
      <c r="T4295" s="1" t="s">
        <v>21</v>
      </c>
      <c r="U4295" s="1" t="s">
        <v>22</v>
      </c>
      <c r="V4295" s="1" t="s">
        <v>24</v>
      </c>
      <c r="W4295" s="1" t="s">
        <v>24</v>
      </c>
      <c r="X4295" s="1">
        <v>3000</v>
      </c>
      <c r="Y4295" s="1">
        <v>1303</v>
      </c>
      <c r="Z4295" s="1" t="s">
        <v>24</v>
      </c>
      <c r="AA4295" s="1" t="s">
        <v>24</v>
      </c>
      <c r="AB4295" s="1" t="s">
        <v>24</v>
      </c>
      <c r="AC4295" s="1" t="s">
        <v>24</v>
      </c>
      <c r="AD4295" s="1" t="s">
        <v>24</v>
      </c>
      <c r="AE4295" s="1" t="s">
        <v>24</v>
      </c>
      <c r="AF4295" s="22"/>
    </row>
    <row r="4296" spans="1:32" x14ac:dyDescent="0.2">
      <c r="A4296" s="1">
        <v>39054</v>
      </c>
      <c r="B4296" s="1" t="s">
        <v>13176</v>
      </c>
      <c r="C4296" s="5" t="s">
        <v>0</v>
      </c>
      <c r="D4296" s="1" t="s">
        <v>13177</v>
      </c>
      <c r="F4296" s="1" t="s">
        <v>217</v>
      </c>
      <c r="G4296" s="1" t="s">
        <v>130</v>
      </c>
      <c r="H4296" s="1" t="s">
        <v>92</v>
      </c>
      <c r="I4296" s="1" t="s">
        <v>112</v>
      </c>
      <c r="J4296" s="1">
        <v>0</v>
      </c>
      <c r="K4296" s="1">
        <v>0</v>
      </c>
      <c r="L4296" s="1" t="s">
        <v>31</v>
      </c>
      <c r="M4296" s="1" t="s">
        <v>18</v>
      </c>
      <c r="N4296" s="1" t="s">
        <v>18</v>
      </c>
      <c r="O4296" s="1">
        <v>3</v>
      </c>
      <c r="P4296" s="1">
        <v>7</v>
      </c>
      <c r="Q4296" s="7" t="s">
        <v>17633</v>
      </c>
      <c r="R4296" s="1" t="s">
        <v>19</v>
      </c>
      <c r="S4296" s="1" t="s">
        <v>20</v>
      </c>
      <c r="T4296" s="1" t="s">
        <v>21</v>
      </c>
      <c r="U4296" s="1" t="s">
        <v>22</v>
      </c>
      <c r="V4296" s="1" t="s">
        <v>24</v>
      </c>
      <c r="W4296" s="1" t="s">
        <v>24</v>
      </c>
      <c r="X4296" s="1">
        <v>1303</v>
      </c>
      <c r="Y4296" s="1" t="s">
        <v>24</v>
      </c>
      <c r="Z4296" s="1" t="s">
        <v>24</v>
      </c>
      <c r="AA4296" s="1" t="s">
        <v>24</v>
      </c>
      <c r="AB4296" s="1" t="s">
        <v>24</v>
      </c>
      <c r="AC4296" s="1" t="s">
        <v>24</v>
      </c>
      <c r="AD4296" s="1" t="s">
        <v>24</v>
      </c>
      <c r="AE4296" s="1" t="s">
        <v>24</v>
      </c>
      <c r="AF4296" s="22"/>
    </row>
    <row r="4297" spans="1:32" x14ac:dyDescent="0.2">
      <c r="A4297" s="1">
        <v>39056</v>
      </c>
      <c r="B4297" s="1" t="s">
        <v>13178</v>
      </c>
      <c r="C4297" s="5" t="s">
        <v>0</v>
      </c>
      <c r="D4297" s="1" t="s">
        <v>13179</v>
      </c>
      <c r="E4297" s="1" t="s">
        <v>13180</v>
      </c>
      <c r="F4297" s="1" t="s">
        <v>689</v>
      </c>
      <c r="G4297" s="1" t="s">
        <v>311</v>
      </c>
      <c r="H4297" s="1" t="s">
        <v>37</v>
      </c>
      <c r="I4297" s="1" t="s">
        <v>16</v>
      </c>
      <c r="J4297" s="1">
        <v>1</v>
      </c>
      <c r="K4297" s="1">
        <v>4</v>
      </c>
      <c r="L4297" s="1" t="s">
        <v>31</v>
      </c>
      <c r="M4297" s="1" t="s">
        <v>18</v>
      </c>
      <c r="N4297" s="1" t="s">
        <v>18</v>
      </c>
      <c r="O4297" s="1">
        <v>3</v>
      </c>
      <c r="P4297" s="1">
        <v>7</v>
      </c>
      <c r="Q4297" s="7" t="s">
        <v>17633</v>
      </c>
      <c r="R4297" s="1" t="s">
        <v>19</v>
      </c>
      <c r="S4297" s="1" t="s">
        <v>20</v>
      </c>
      <c r="T4297" s="1" t="s">
        <v>21</v>
      </c>
      <c r="U4297" s="1" t="s">
        <v>22</v>
      </c>
      <c r="V4297" s="1" t="s">
        <v>23</v>
      </c>
      <c r="W4297" s="1" t="s">
        <v>24</v>
      </c>
      <c r="X4297" s="1">
        <v>2738</v>
      </c>
      <c r="Y4297" s="1">
        <v>2921</v>
      </c>
      <c r="Z4297" s="1" t="s">
        <v>24</v>
      </c>
      <c r="AA4297" s="1" t="s">
        <v>24</v>
      </c>
      <c r="AB4297" s="1" t="s">
        <v>24</v>
      </c>
      <c r="AC4297" s="1" t="s">
        <v>24</v>
      </c>
      <c r="AD4297" s="1" t="s">
        <v>24</v>
      </c>
      <c r="AE4297" s="1" t="s">
        <v>24</v>
      </c>
      <c r="AF4297" s="22"/>
    </row>
    <row r="4298" spans="1:32" x14ac:dyDescent="0.2">
      <c r="A4298" s="1">
        <v>39069</v>
      </c>
      <c r="B4298" s="1" t="s">
        <v>13181</v>
      </c>
      <c r="C4298" s="5" t="s">
        <v>0</v>
      </c>
      <c r="D4298" s="1" t="s">
        <v>13182</v>
      </c>
      <c r="E4298" s="1" t="s">
        <v>13183</v>
      </c>
      <c r="F4298" s="1" t="s">
        <v>1412</v>
      </c>
      <c r="G4298" s="1" t="s">
        <v>1413</v>
      </c>
      <c r="H4298" s="1" t="s">
        <v>30</v>
      </c>
      <c r="I4298" s="1" t="s">
        <v>16</v>
      </c>
      <c r="J4298" s="1">
        <v>1</v>
      </c>
      <c r="K4298" s="1">
        <v>4</v>
      </c>
      <c r="L4298" s="1" t="s">
        <v>31</v>
      </c>
      <c r="M4298" s="1" t="s">
        <v>18</v>
      </c>
      <c r="N4298" s="1" t="s">
        <v>18</v>
      </c>
      <c r="O4298" s="1">
        <v>3</v>
      </c>
      <c r="P4298" s="1">
        <v>6</v>
      </c>
      <c r="R4298" s="1" t="s">
        <v>19</v>
      </c>
      <c r="S4298" s="1" t="s">
        <v>63</v>
      </c>
      <c r="T4298" s="1" t="s">
        <v>21</v>
      </c>
      <c r="U4298" s="1" t="s">
        <v>22</v>
      </c>
      <c r="V4298" s="1" t="s">
        <v>24</v>
      </c>
      <c r="W4298" s="1" t="s">
        <v>24</v>
      </c>
      <c r="X4298" s="1">
        <v>2730</v>
      </c>
      <c r="Y4298" s="1" t="s">
        <v>24</v>
      </c>
      <c r="Z4298" s="1" t="s">
        <v>24</v>
      </c>
      <c r="AA4298" s="1" t="s">
        <v>24</v>
      </c>
      <c r="AB4298" s="1" t="s">
        <v>24</v>
      </c>
      <c r="AC4298" s="1" t="s">
        <v>24</v>
      </c>
      <c r="AD4298" s="1" t="s">
        <v>24</v>
      </c>
      <c r="AE4298" s="1" t="s">
        <v>24</v>
      </c>
      <c r="AF4298" s="22"/>
    </row>
    <row r="4299" spans="1:32" x14ac:dyDescent="0.2">
      <c r="A4299" s="1">
        <v>39070</v>
      </c>
      <c r="B4299" s="1" t="s">
        <v>13184</v>
      </c>
      <c r="C4299" s="5" t="s">
        <v>0</v>
      </c>
      <c r="E4299" s="1" t="s">
        <v>13185</v>
      </c>
      <c r="F4299" s="1" t="s">
        <v>2299</v>
      </c>
      <c r="G4299" s="1" t="s">
        <v>2300</v>
      </c>
      <c r="H4299" s="1" t="s">
        <v>37</v>
      </c>
      <c r="I4299" s="1" t="s">
        <v>16</v>
      </c>
      <c r="J4299" s="1">
        <v>1</v>
      </c>
      <c r="K4299" s="1">
        <v>1</v>
      </c>
      <c r="L4299" s="1" t="s">
        <v>31</v>
      </c>
      <c r="M4299" s="1" t="s">
        <v>18</v>
      </c>
      <c r="N4299" s="1" t="s">
        <v>18</v>
      </c>
      <c r="O4299" s="1">
        <v>3</v>
      </c>
      <c r="P4299" s="1">
        <v>6</v>
      </c>
      <c r="R4299" s="1" t="s">
        <v>19</v>
      </c>
      <c r="S4299" s="1" t="s">
        <v>63</v>
      </c>
      <c r="T4299" s="1" t="s">
        <v>21</v>
      </c>
      <c r="U4299" s="1" t="s">
        <v>22</v>
      </c>
      <c r="V4299" s="1" t="s">
        <v>24</v>
      </c>
      <c r="W4299" s="1" t="s">
        <v>24</v>
      </c>
      <c r="X4299" s="1">
        <v>2700</v>
      </c>
      <c r="Y4299" s="1" t="s">
        <v>24</v>
      </c>
      <c r="Z4299" s="1" t="s">
        <v>24</v>
      </c>
      <c r="AA4299" s="1" t="s">
        <v>24</v>
      </c>
      <c r="AB4299" s="1" t="s">
        <v>24</v>
      </c>
      <c r="AC4299" s="1" t="s">
        <v>24</v>
      </c>
      <c r="AD4299" s="1" t="s">
        <v>24</v>
      </c>
      <c r="AE4299" s="1" t="s">
        <v>24</v>
      </c>
      <c r="AF4299" s="22"/>
    </row>
    <row r="4300" spans="1:32" x14ac:dyDescent="0.2">
      <c r="A4300" s="1">
        <v>39071</v>
      </c>
      <c r="B4300" s="1" t="s">
        <v>13186</v>
      </c>
      <c r="C4300" s="5" t="s">
        <v>0</v>
      </c>
      <c r="E4300" s="1" t="s">
        <v>13187</v>
      </c>
      <c r="F4300" s="1" t="s">
        <v>2299</v>
      </c>
      <c r="G4300" s="1" t="s">
        <v>2300</v>
      </c>
      <c r="H4300" s="1" t="s">
        <v>37</v>
      </c>
      <c r="I4300" s="1" t="s">
        <v>16</v>
      </c>
      <c r="J4300" s="1">
        <v>1</v>
      </c>
      <c r="K4300" s="1">
        <v>11</v>
      </c>
      <c r="L4300" s="1" t="s">
        <v>31</v>
      </c>
      <c r="M4300" s="1" t="s">
        <v>18</v>
      </c>
      <c r="N4300" s="1" t="s">
        <v>18</v>
      </c>
      <c r="O4300" s="1">
        <v>3</v>
      </c>
      <c r="P4300" s="1">
        <v>6</v>
      </c>
      <c r="R4300" s="1" t="s">
        <v>19</v>
      </c>
      <c r="S4300" s="1" t="s">
        <v>63</v>
      </c>
      <c r="T4300" s="1" t="s">
        <v>21</v>
      </c>
      <c r="U4300" s="1" t="s">
        <v>22</v>
      </c>
      <c r="V4300" s="1" t="s">
        <v>24</v>
      </c>
      <c r="W4300" s="1" t="s">
        <v>24</v>
      </c>
      <c r="X4300" s="1">
        <v>2405</v>
      </c>
      <c r="Y4300" s="1">
        <v>2725</v>
      </c>
      <c r="Z4300" s="1" t="s">
        <v>24</v>
      </c>
      <c r="AA4300" s="1" t="s">
        <v>24</v>
      </c>
      <c r="AB4300" s="1" t="s">
        <v>24</v>
      </c>
      <c r="AC4300" s="1" t="s">
        <v>24</v>
      </c>
      <c r="AD4300" s="1" t="s">
        <v>24</v>
      </c>
      <c r="AE4300" s="1" t="s">
        <v>24</v>
      </c>
      <c r="AF4300" s="22"/>
    </row>
    <row r="4301" spans="1:32" x14ac:dyDescent="0.2">
      <c r="A4301" s="1">
        <v>39072</v>
      </c>
      <c r="B4301" s="1" t="s">
        <v>13188</v>
      </c>
      <c r="C4301" s="5" t="s">
        <v>0</v>
      </c>
      <c r="D4301" s="1" t="s">
        <v>13189</v>
      </c>
      <c r="F4301" s="1" t="s">
        <v>9176</v>
      </c>
      <c r="G4301" s="1" t="s">
        <v>9176</v>
      </c>
      <c r="H4301" s="1" t="s">
        <v>37</v>
      </c>
      <c r="I4301" s="1" t="s">
        <v>5001</v>
      </c>
      <c r="J4301" s="1">
        <v>1</v>
      </c>
      <c r="K4301" s="1">
        <v>4</v>
      </c>
      <c r="L4301" s="1" t="s">
        <v>42</v>
      </c>
      <c r="M4301" s="1" t="s">
        <v>18</v>
      </c>
      <c r="N4301" s="1" t="s">
        <v>18</v>
      </c>
      <c r="O4301" s="1">
        <v>0</v>
      </c>
      <c r="P4301" s="1">
        <v>5</v>
      </c>
      <c r="R4301" s="1" t="s">
        <v>19</v>
      </c>
      <c r="S4301" s="1" t="s">
        <v>20</v>
      </c>
      <c r="T4301" s="1" t="s">
        <v>21</v>
      </c>
      <c r="U4301" s="1" t="s">
        <v>22</v>
      </c>
      <c r="V4301" s="1" t="s">
        <v>24</v>
      </c>
      <c r="W4301" s="1" t="s">
        <v>24</v>
      </c>
      <c r="X4301" s="1">
        <v>3001</v>
      </c>
      <c r="Y4301" s="1">
        <v>3003</v>
      </c>
      <c r="Z4301" s="1" t="s">
        <v>24</v>
      </c>
      <c r="AA4301" s="1" t="s">
        <v>24</v>
      </c>
      <c r="AB4301" s="1" t="s">
        <v>24</v>
      </c>
      <c r="AC4301" s="1" t="s">
        <v>24</v>
      </c>
      <c r="AD4301" s="1" t="s">
        <v>24</v>
      </c>
      <c r="AE4301" s="1" t="s">
        <v>24</v>
      </c>
      <c r="AF4301" s="22"/>
    </row>
    <row r="4302" spans="1:32" x14ac:dyDescent="0.2">
      <c r="A4302" s="1">
        <v>39073</v>
      </c>
      <c r="B4302" s="1" t="s">
        <v>13190</v>
      </c>
      <c r="C4302" s="5" t="s">
        <v>0</v>
      </c>
      <c r="D4302" s="1" t="s">
        <v>13191</v>
      </c>
      <c r="F4302" s="1" t="s">
        <v>13192</v>
      </c>
      <c r="G4302" s="1" t="s">
        <v>9179</v>
      </c>
      <c r="H4302" s="1" t="s">
        <v>37</v>
      </c>
      <c r="I4302" s="1" t="s">
        <v>5001</v>
      </c>
      <c r="J4302" s="1">
        <v>1</v>
      </c>
      <c r="K4302" s="1">
        <v>6</v>
      </c>
      <c r="L4302" s="1" t="s">
        <v>42</v>
      </c>
      <c r="M4302" s="1" t="s">
        <v>18</v>
      </c>
      <c r="N4302" s="1" t="s">
        <v>18</v>
      </c>
      <c r="O4302" s="1">
        <v>3</v>
      </c>
      <c r="P4302" s="1">
        <v>5</v>
      </c>
      <c r="R4302" s="1" t="s">
        <v>19</v>
      </c>
      <c r="S4302" s="1" t="s">
        <v>20</v>
      </c>
      <c r="T4302" s="1" t="s">
        <v>21</v>
      </c>
      <c r="U4302" s="1" t="s">
        <v>22</v>
      </c>
      <c r="V4302" s="1" t="s">
        <v>24</v>
      </c>
      <c r="W4302" s="1" t="s">
        <v>24</v>
      </c>
      <c r="X4302" s="1">
        <v>3000</v>
      </c>
      <c r="Y4302" s="1">
        <v>1303</v>
      </c>
      <c r="Z4302" s="1">
        <v>1304</v>
      </c>
      <c r="AA4302" s="1">
        <v>1305</v>
      </c>
      <c r="AB4302" s="1">
        <v>1313</v>
      </c>
      <c r="AC4302" s="1" t="s">
        <v>24</v>
      </c>
      <c r="AD4302" s="1" t="s">
        <v>24</v>
      </c>
      <c r="AE4302" s="1" t="s">
        <v>24</v>
      </c>
      <c r="AF4302" s="22"/>
    </row>
    <row r="4303" spans="1:32" x14ac:dyDescent="0.2">
      <c r="A4303" s="1">
        <v>39074</v>
      </c>
      <c r="B4303" s="1" t="s">
        <v>13193</v>
      </c>
      <c r="C4303" s="5" t="s">
        <v>0</v>
      </c>
      <c r="D4303" s="1" t="s">
        <v>13194</v>
      </c>
      <c r="E4303" s="1" t="s">
        <v>13195</v>
      </c>
      <c r="F4303" s="1" t="s">
        <v>12661</v>
      </c>
      <c r="G4303" s="1" t="s">
        <v>12662</v>
      </c>
      <c r="H4303" s="1" t="s">
        <v>30</v>
      </c>
      <c r="I4303" s="1" t="s">
        <v>16</v>
      </c>
      <c r="J4303" s="1">
        <v>0</v>
      </c>
      <c r="K4303" s="1">
        <v>0</v>
      </c>
      <c r="L4303" s="1" t="s">
        <v>31</v>
      </c>
      <c r="M4303" s="1" t="s">
        <v>18</v>
      </c>
      <c r="N4303" s="1" t="s">
        <v>18</v>
      </c>
      <c r="O4303" s="1">
        <v>2</v>
      </c>
      <c r="P4303" s="1">
        <v>6</v>
      </c>
      <c r="R4303" s="1" t="s">
        <v>19</v>
      </c>
      <c r="S4303" s="1" t="s">
        <v>20</v>
      </c>
      <c r="T4303" s="1" t="s">
        <v>21</v>
      </c>
      <c r="U4303" s="1" t="s">
        <v>22</v>
      </c>
      <c r="V4303" s="1" t="s">
        <v>24</v>
      </c>
      <c r="W4303" s="1" t="s">
        <v>24</v>
      </c>
      <c r="X4303" s="1">
        <v>2731</v>
      </c>
      <c r="Y4303" s="1" t="s">
        <v>24</v>
      </c>
      <c r="Z4303" s="1" t="s">
        <v>24</v>
      </c>
      <c r="AA4303" s="1" t="s">
        <v>24</v>
      </c>
      <c r="AB4303" s="1" t="s">
        <v>24</v>
      </c>
      <c r="AC4303" s="1" t="s">
        <v>24</v>
      </c>
      <c r="AD4303" s="1" t="s">
        <v>24</v>
      </c>
      <c r="AE4303" s="1" t="s">
        <v>24</v>
      </c>
      <c r="AF4303" s="22"/>
    </row>
    <row r="4304" spans="1:32" x14ac:dyDescent="0.2">
      <c r="A4304" s="1">
        <v>39076</v>
      </c>
      <c r="B4304" s="1" t="s">
        <v>13196</v>
      </c>
      <c r="C4304" s="5" t="s">
        <v>0</v>
      </c>
      <c r="D4304" s="1" t="s">
        <v>13197</v>
      </c>
      <c r="E4304" s="1" t="s">
        <v>13198</v>
      </c>
      <c r="F4304" s="1" t="s">
        <v>12661</v>
      </c>
      <c r="G4304" s="1" t="s">
        <v>12662</v>
      </c>
      <c r="H4304" s="1" t="s">
        <v>30</v>
      </c>
      <c r="I4304" s="1" t="s">
        <v>16</v>
      </c>
      <c r="J4304" s="1">
        <v>0</v>
      </c>
      <c r="K4304" s="1">
        <v>0</v>
      </c>
      <c r="L4304" s="1" t="s">
        <v>31</v>
      </c>
      <c r="M4304" s="1" t="s">
        <v>18</v>
      </c>
      <c r="N4304" s="1" t="s">
        <v>18</v>
      </c>
      <c r="O4304" s="1">
        <v>2</v>
      </c>
      <c r="P4304" s="1">
        <v>6</v>
      </c>
      <c r="R4304" s="1" t="s">
        <v>19</v>
      </c>
      <c r="S4304" s="1" t="s">
        <v>20</v>
      </c>
      <c r="T4304" s="1" t="s">
        <v>21</v>
      </c>
      <c r="U4304" s="1" t="s">
        <v>22</v>
      </c>
      <c r="V4304" s="1" t="s">
        <v>24</v>
      </c>
      <c r="W4304" s="1" t="s">
        <v>24</v>
      </c>
      <c r="X4304" s="1">
        <v>2700</v>
      </c>
      <c r="Y4304" s="1" t="s">
        <v>24</v>
      </c>
      <c r="Z4304" s="1" t="s">
        <v>24</v>
      </c>
      <c r="AA4304" s="1" t="s">
        <v>24</v>
      </c>
      <c r="AB4304" s="1" t="s">
        <v>24</v>
      </c>
      <c r="AC4304" s="1" t="s">
        <v>24</v>
      </c>
      <c r="AD4304" s="1" t="s">
        <v>24</v>
      </c>
      <c r="AE4304" s="1" t="s">
        <v>24</v>
      </c>
      <c r="AF4304" s="22"/>
    </row>
    <row r="4305" spans="1:32" x14ac:dyDescent="0.2">
      <c r="A4305" s="1">
        <v>39078</v>
      </c>
      <c r="B4305" s="1" t="s">
        <v>13199</v>
      </c>
      <c r="C4305" s="5" t="s">
        <v>0</v>
      </c>
      <c r="D4305" s="1" t="s">
        <v>13200</v>
      </c>
      <c r="E4305" s="1" t="s">
        <v>13201</v>
      </c>
      <c r="F4305" s="1" t="s">
        <v>1897</v>
      </c>
      <c r="G4305" s="1" t="s">
        <v>1898</v>
      </c>
      <c r="H4305" s="1" t="s">
        <v>899</v>
      </c>
      <c r="I4305" s="1" t="s">
        <v>16</v>
      </c>
      <c r="J4305" s="1">
        <v>1</v>
      </c>
      <c r="K4305" s="1">
        <v>4</v>
      </c>
      <c r="L4305" s="1" t="s">
        <v>31</v>
      </c>
      <c r="M4305" s="1" t="s">
        <v>18</v>
      </c>
      <c r="N4305" s="1" t="s">
        <v>18</v>
      </c>
      <c r="O4305" s="1">
        <v>2</v>
      </c>
      <c r="P4305" s="1">
        <v>6</v>
      </c>
      <c r="R4305" s="1" t="s">
        <v>19</v>
      </c>
      <c r="S4305" s="1" t="s">
        <v>20</v>
      </c>
      <c r="T4305" s="1" t="s">
        <v>21</v>
      </c>
      <c r="U4305" s="1" t="s">
        <v>22</v>
      </c>
      <c r="V4305" s="1" t="s">
        <v>24</v>
      </c>
      <c r="W4305" s="1" t="s">
        <v>24</v>
      </c>
      <c r="X4305" s="1">
        <v>3000</v>
      </c>
      <c r="Y4305" s="1" t="s">
        <v>24</v>
      </c>
      <c r="Z4305" s="1" t="s">
        <v>24</v>
      </c>
      <c r="AA4305" s="1" t="s">
        <v>24</v>
      </c>
      <c r="AB4305" s="1" t="s">
        <v>24</v>
      </c>
      <c r="AC4305" s="1" t="s">
        <v>24</v>
      </c>
      <c r="AD4305" s="1" t="s">
        <v>24</v>
      </c>
      <c r="AE4305" s="1" t="s">
        <v>24</v>
      </c>
      <c r="AF4305" s="22"/>
    </row>
    <row r="4306" spans="1:32" x14ac:dyDescent="0.2">
      <c r="A4306" s="1">
        <v>39079</v>
      </c>
      <c r="B4306" s="1" t="s">
        <v>13202</v>
      </c>
      <c r="C4306" s="5" t="s">
        <v>0</v>
      </c>
      <c r="D4306" s="1" t="s">
        <v>13203</v>
      </c>
      <c r="E4306" s="1" t="s">
        <v>13204</v>
      </c>
      <c r="F4306" s="1" t="s">
        <v>1897</v>
      </c>
      <c r="G4306" s="1" t="s">
        <v>1898</v>
      </c>
      <c r="H4306" s="1" t="s">
        <v>899</v>
      </c>
      <c r="I4306" s="1" t="s">
        <v>16</v>
      </c>
      <c r="J4306" s="1">
        <v>1</v>
      </c>
      <c r="K4306" s="1">
        <v>4</v>
      </c>
      <c r="L4306" s="1" t="s">
        <v>31</v>
      </c>
      <c r="M4306" s="1" t="s">
        <v>18</v>
      </c>
      <c r="N4306" s="1" t="s">
        <v>18</v>
      </c>
      <c r="O4306" s="1">
        <v>2</v>
      </c>
      <c r="P4306" s="1">
        <v>6</v>
      </c>
      <c r="R4306" s="1" t="s">
        <v>19</v>
      </c>
      <c r="S4306" s="1" t="s">
        <v>20</v>
      </c>
      <c r="T4306" s="1" t="s">
        <v>21</v>
      </c>
      <c r="U4306" s="1" t="s">
        <v>22</v>
      </c>
      <c r="V4306" s="1" t="s">
        <v>24</v>
      </c>
      <c r="W4306" s="1" t="s">
        <v>24</v>
      </c>
      <c r="X4306" s="1">
        <v>3003</v>
      </c>
      <c r="Y4306" s="1">
        <v>3004</v>
      </c>
      <c r="Z4306" s="1" t="s">
        <v>24</v>
      </c>
      <c r="AA4306" s="1" t="s">
        <v>24</v>
      </c>
      <c r="AB4306" s="1" t="s">
        <v>24</v>
      </c>
      <c r="AC4306" s="1" t="s">
        <v>24</v>
      </c>
      <c r="AD4306" s="1" t="s">
        <v>24</v>
      </c>
      <c r="AE4306" s="1" t="s">
        <v>24</v>
      </c>
      <c r="AF4306" s="22"/>
    </row>
    <row r="4307" spans="1:32" x14ac:dyDescent="0.2">
      <c r="A4307" s="1">
        <v>39080</v>
      </c>
      <c r="B4307" s="1" t="s">
        <v>13205</v>
      </c>
      <c r="C4307" s="5" t="s">
        <v>0</v>
      </c>
      <c r="D4307" s="1" t="s">
        <v>13206</v>
      </c>
      <c r="E4307" s="1" t="s">
        <v>13207</v>
      </c>
      <c r="F4307" s="1" t="s">
        <v>1897</v>
      </c>
      <c r="G4307" s="1" t="s">
        <v>1898</v>
      </c>
      <c r="H4307" s="1" t="s">
        <v>899</v>
      </c>
      <c r="I4307" s="1" t="s">
        <v>16</v>
      </c>
      <c r="J4307" s="1">
        <v>1</v>
      </c>
      <c r="K4307" s="1">
        <v>1</v>
      </c>
      <c r="L4307" s="1" t="s">
        <v>31</v>
      </c>
      <c r="M4307" s="1" t="s">
        <v>18</v>
      </c>
      <c r="N4307" s="1" t="s">
        <v>18</v>
      </c>
      <c r="O4307" s="1">
        <v>2</v>
      </c>
      <c r="P4307" s="1">
        <v>6</v>
      </c>
      <c r="R4307" s="1" t="s">
        <v>19</v>
      </c>
      <c r="S4307" s="1" t="s">
        <v>20</v>
      </c>
      <c r="T4307" s="1" t="s">
        <v>21</v>
      </c>
      <c r="U4307" s="1" t="s">
        <v>22</v>
      </c>
      <c r="V4307" s="1" t="s">
        <v>24</v>
      </c>
      <c r="W4307" s="1" t="s">
        <v>24</v>
      </c>
      <c r="X4307" s="1">
        <v>2721</v>
      </c>
      <c r="Y4307" s="1">
        <v>2725</v>
      </c>
      <c r="Z4307" s="1" t="s">
        <v>24</v>
      </c>
      <c r="AA4307" s="1" t="s">
        <v>24</v>
      </c>
      <c r="AB4307" s="1" t="s">
        <v>24</v>
      </c>
      <c r="AC4307" s="1" t="s">
        <v>24</v>
      </c>
      <c r="AD4307" s="1" t="s">
        <v>24</v>
      </c>
      <c r="AE4307" s="1" t="s">
        <v>24</v>
      </c>
      <c r="AF4307" s="22"/>
    </row>
    <row r="4308" spans="1:32" x14ac:dyDescent="0.2">
      <c r="A4308" s="1">
        <v>39081</v>
      </c>
      <c r="B4308" s="1" t="s">
        <v>13208</v>
      </c>
      <c r="C4308" s="5" t="s">
        <v>0</v>
      </c>
      <c r="D4308" s="1" t="s">
        <v>13209</v>
      </c>
      <c r="E4308" s="1" t="s">
        <v>13210</v>
      </c>
      <c r="F4308" s="1" t="s">
        <v>1897</v>
      </c>
      <c r="G4308" s="1" t="s">
        <v>1898</v>
      </c>
      <c r="H4308" s="1" t="s">
        <v>899</v>
      </c>
      <c r="I4308" s="1" t="s">
        <v>16</v>
      </c>
      <c r="J4308" s="1">
        <v>1</v>
      </c>
      <c r="K4308" s="1">
        <v>4</v>
      </c>
      <c r="L4308" s="1" t="s">
        <v>31</v>
      </c>
      <c r="M4308" s="1" t="s">
        <v>18</v>
      </c>
      <c r="N4308" s="1" t="s">
        <v>18</v>
      </c>
      <c r="O4308" s="1">
        <v>2</v>
      </c>
      <c r="P4308" s="1">
        <v>6</v>
      </c>
      <c r="R4308" s="1" t="s">
        <v>19</v>
      </c>
      <c r="S4308" s="1" t="s">
        <v>20</v>
      </c>
      <c r="T4308" s="1" t="s">
        <v>21</v>
      </c>
      <c r="U4308" s="1" t="s">
        <v>22</v>
      </c>
      <c r="V4308" s="1" t="s">
        <v>24</v>
      </c>
      <c r="W4308" s="1" t="s">
        <v>24</v>
      </c>
      <c r="X4308" s="1">
        <v>2741</v>
      </c>
      <c r="Y4308" s="1" t="s">
        <v>24</v>
      </c>
      <c r="Z4308" s="1" t="s">
        <v>24</v>
      </c>
      <c r="AA4308" s="1" t="s">
        <v>24</v>
      </c>
      <c r="AB4308" s="1" t="s">
        <v>24</v>
      </c>
      <c r="AC4308" s="1" t="s">
        <v>24</v>
      </c>
      <c r="AD4308" s="1" t="s">
        <v>24</v>
      </c>
      <c r="AE4308" s="1" t="s">
        <v>24</v>
      </c>
      <c r="AF4308" s="22"/>
    </row>
    <row r="4309" spans="1:32" x14ac:dyDescent="0.2">
      <c r="A4309" s="1">
        <v>39083</v>
      </c>
      <c r="B4309" s="1" t="s">
        <v>13211</v>
      </c>
      <c r="C4309" s="5" t="s">
        <v>0</v>
      </c>
      <c r="D4309" s="1" t="s">
        <v>13212</v>
      </c>
      <c r="E4309" s="1" t="s">
        <v>13213</v>
      </c>
      <c r="F4309" s="1" t="s">
        <v>1897</v>
      </c>
      <c r="G4309" s="1" t="s">
        <v>1898</v>
      </c>
      <c r="H4309" s="1" t="s">
        <v>899</v>
      </c>
      <c r="I4309" s="1" t="s">
        <v>16</v>
      </c>
      <c r="J4309" s="1">
        <v>1</v>
      </c>
      <c r="K4309" s="1">
        <v>4</v>
      </c>
      <c r="L4309" s="1" t="s">
        <v>31</v>
      </c>
      <c r="M4309" s="1" t="s">
        <v>18</v>
      </c>
      <c r="N4309" s="1" t="s">
        <v>18</v>
      </c>
      <c r="O4309" s="1">
        <v>2</v>
      </c>
      <c r="P4309" s="1">
        <v>6</v>
      </c>
      <c r="R4309" s="1" t="s">
        <v>19</v>
      </c>
      <c r="S4309" s="1" t="s">
        <v>20</v>
      </c>
      <c r="T4309" s="1" t="s">
        <v>21</v>
      </c>
      <c r="U4309" s="1" t="s">
        <v>22</v>
      </c>
      <c r="V4309" s="1" t="s">
        <v>24</v>
      </c>
      <c r="W4309" s="1" t="s">
        <v>24</v>
      </c>
      <c r="X4309" s="1">
        <v>2727</v>
      </c>
      <c r="Y4309" s="1" t="s">
        <v>24</v>
      </c>
      <c r="Z4309" s="1" t="s">
        <v>24</v>
      </c>
      <c r="AA4309" s="1" t="s">
        <v>24</v>
      </c>
      <c r="AB4309" s="1" t="s">
        <v>24</v>
      </c>
      <c r="AC4309" s="1" t="s">
        <v>24</v>
      </c>
      <c r="AD4309" s="1" t="s">
        <v>24</v>
      </c>
      <c r="AE4309" s="1" t="s">
        <v>24</v>
      </c>
      <c r="AF4309" s="22"/>
    </row>
    <row r="4310" spans="1:32" x14ac:dyDescent="0.2">
      <c r="A4310" s="1">
        <v>39085</v>
      </c>
      <c r="B4310" s="1" t="s">
        <v>13214</v>
      </c>
      <c r="C4310" s="5" t="s">
        <v>0</v>
      </c>
      <c r="D4310" s="1" t="s">
        <v>13215</v>
      </c>
      <c r="E4310" s="1" t="s">
        <v>13216</v>
      </c>
      <c r="F4310" s="1" t="s">
        <v>1897</v>
      </c>
      <c r="G4310" s="1" t="s">
        <v>1898</v>
      </c>
      <c r="H4310" s="1" t="s">
        <v>899</v>
      </c>
      <c r="I4310" s="1" t="s">
        <v>16</v>
      </c>
      <c r="J4310" s="1">
        <v>1</v>
      </c>
      <c r="K4310" s="1">
        <v>3</v>
      </c>
      <c r="L4310" s="1" t="s">
        <v>31</v>
      </c>
      <c r="M4310" s="1" t="s">
        <v>18</v>
      </c>
      <c r="N4310" s="1" t="s">
        <v>18</v>
      </c>
      <c r="O4310" s="1">
        <v>2</v>
      </c>
      <c r="P4310" s="1">
        <v>6</v>
      </c>
      <c r="R4310" s="1" t="s">
        <v>19</v>
      </c>
      <c r="S4310" s="1" t="s">
        <v>20</v>
      </c>
      <c r="T4310" s="1" t="s">
        <v>21</v>
      </c>
      <c r="U4310" s="1" t="s">
        <v>22</v>
      </c>
      <c r="V4310" s="1" t="s">
        <v>24</v>
      </c>
      <c r="W4310" s="1" t="s">
        <v>24</v>
      </c>
      <c r="X4310" s="1">
        <v>2743</v>
      </c>
      <c r="Y4310" s="1" t="s">
        <v>24</v>
      </c>
      <c r="Z4310" s="1" t="s">
        <v>24</v>
      </c>
      <c r="AA4310" s="1" t="s">
        <v>24</v>
      </c>
      <c r="AB4310" s="1" t="s">
        <v>24</v>
      </c>
      <c r="AC4310" s="1" t="s">
        <v>24</v>
      </c>
      <c r="AD4310" s="1" t="s">
        <v>24</v>
      </c>
      <c r="AE4310" s="1" t="s">
        <v>24</v>
      </c>
      <c r="AF4310" s="22"/>
    </row>
    <row r="4311" spans="1:32" x14ac:dyDescent="0.2">
      <c r="A4311" s="1">
        <v>39087</v>
      </c>
      <c r="B4311" s="1" t="s">
        <v>13217</v>
      </c>
      <c r="C4311" s="5" t="s">
        <v>0</v>
      </c>
      <c r="D4311" s="1" t="s">
        <v>13218</v>
      </c>
      <c r="E4311" s="1" t="s">
        <v>13219</v>
      </c>
      <c r="F4311" s="1" t="s">
        <v>1897</v>
      </c>
      <c r="G4311" s="1" t="s">
        <v>1898</v>
      </c>
      <c r="H4311" s="1" t="s">
        <v>899</v>
      </c>
      <c r="I4311" s="1" t="s">
        <v>16</v>
      </c>
      <c r="J4311" s="1">
        <v>1</v>
      </c>
      <c r="K4311" s="1">
        <v>4</v>
      </c>
      <c r="L4311" s="1" t="s">
        <v>31</v>
      </c>
      <c r="M4311" s="1" t="s">
        <v>18</v>
      </c>
      <c r="N4311" s="1" t="s">
        <v>18</v>
      </c>
      <c r="O4311" s="1">
        <v>2</v>
      </c>
      <c r="P4311" s="1">
        <v>6</v>
      </c>
      <c r="R4311" s="1" t="s">
        <v>19</v>
      </c>
      <c r="S4311" s="1" t="s">
        <v>20</v>
      </c>
      <c r="T4311" s="1" t="s">
        <v>21</v>
      </c>
      <c r="U4311" s="1" t="s">
        <v>22</v>
      </c>
      <c r="V4311" s="1" t="s">
        <v>24</v>
      </c>
      <c r="W4311" s="1" t="s">
        <v>24</v>
      </c>
      <c r="X4311" s="1">
        <v>2740</v>
      </c>
      <c r="Y4311" s="1" t="s">
        <v>24</v>
      </c>
      <c r="Z4311" s="1" t="s">
        <v>24</v>
      </c>
      <c r="AA4311" s="1" t="s">
        <v>24</v>
      </c>
      <c r="AB4311" s="1" t="s">
        <v>24</v>
      </c>
      <c r="AC4311" s="1" t="s">
        <v>24</v>
      </c>
      <c r="AD4311" s="1" t="s">
        <v>24</v>
      </c>
      <c r="AE4311" s="1" t="s">
        <v>24</v>
      </c>
      <c r="AF4311" s="22"/>
    </row>
    <row r="4312" spans="1:32" x14ac:dyDescent="0.2">
      <c r="A4312" s="1">
        <v>39088</v>
      </c>
      <c r="B4312" s="1" t="s">
        <v>13220</v>
      </c>
      <c r="C4312" s="5" t="s">
        <v>0</v>
      </c>
      <c r="D4312" s="1" t="s">
        <v>13221</v>
      </c>
      <c r="E4312" s="1" t="s">
        <v>13222</v>
      </c>
      <c r="F4312" s="1" t="s">
        <v>1897</v>
      </c>
      <c r="G4312" s="1" t="s">
        <v>1898</v>
      </c>
      <c r="H4312" s="1" t="s">
        <v>899</v>
      </c>
      <c r="I4312" s="1" t="s">
        <v>16</v>
      </c>
      <c r="J4312" s="1">
        <v>1</v>
      </c>
      <c r="K4312" s="1">
        <v>2</v>
      </c>
      <c r="L4312" s="1" t="s">
        <v>31</v>
      </c>
      <c r="M4312" s="1" t="s">
        <v>18</v>
      </c>
      <c r="N4312" s="1" t="s">
        <v>18</v>
      </c>
      <c r="O4312" s="1">
        <v>2</v>
      </c>
      <c r="P4312" s="1">
        <v>6</v>
      </c>
      <c r="R4312" s="1" t="s">
        <v>19</v>
      </c>
      <c r="S4312" s="1" t="s">
        <v>20</v>
      </c>
      <c r="T4312" s="1" t="s">
        <v>21</v>
      </c>
      <c r="U4312" s="1" t="s">
        <v>22</v>
      </c>
      <c r="V4312" s="1" t="s">
        <v>24</v>
      </c>
      <c r="W4312" s="1" t="s">
        <v>24</v>
      </c>
      <c r="X4312" s="1">
        <v>2729</v>
      </c>
      <c r="Y4312" s="1">
        <v>2746</v>
      </c>
      <c r="Z4312" s="1">
        <v>2741</v>
      </c>
      <c r="AA4312" s="1" t="s">
        <v>24</v>
      </c>
      <c r="AB4312" s="1" t="s">
        <v>24</v>
      </c>
      <c r="AC4312" s="1" t="s">
        <v>24</v>
      </c>
      <c r="AD4312" s="1" t="s">
        <v>24</v>
      </c>
      <c r="AE4312" s="1" t="s">
        <v>24</v>
      </c>
      <c r="AF4312" s="22"/>
    </row>
    <row r="4313" spans="1:32" x14ac:dyDescent="0.2">
      <c r="A4313" s="1">
        <v>39090</v>
      </c>
      <c r="B4313" s="1" t="s">
        <v>13223</v>
      </c>
      <c r="C4313" s="5" t="s">
        <v>0</v>
      </c>
      <c r="D4313" s="1" t="s">
        <v>13224</v>
      </c>
      <c r="E4313" s="1" t="s">
        <v>13225</v>
      </c>
      <c r="F4313" s="1" t="s">
        <v>1897</v>
      </c>
      <c r="G4313" s="1" t="s">
        <v>1898</v>
      </c>
      <c r="H4313" s="1" t="s">
        <v>899</v>
      </c>
      <c r="I4313" s="1" t="s">
        <v>16</v>
      </c>
      <c r="J4313" s="1">
        <v>1</v>
      </c>
      <c r="K4313" s="1">
        <v>3</v>
      </c>
      <c r="L4313" s="1" t="s">
        <v>31</v>
      </c>
      <c r="M4313" s="1" t="s">
        <v>18</v>
      </c>
      <c r="N4313" s="1" t="s">
        <v>18</v>
      </c>
      <c r="O4313" s="1">
        <v>3</v>
      </c>
      <c r="P4313" s="1">
        <v>7</v>
      </c>
      <c r="Q4313" s="7" t="s">
        <v>17633</v>
      </c>
      <c r="R4313" s="1" t="s">
        <v>19</v>
      </c>
      <c r="S4313" s="1" t="s">
        <v>20</v>
      </c>
      <c r="T4313" s="1" t="s">
        <v>21</v>
      </c>
      <c r="U4313" s="1" t="s">
        <v>22</v>
      </c>
      <c r="V4313" s="1" t="s">
        <v>24</v>
      </c>
      <c r="W4313" s="1" t="s">
        <v>24</v>
      </c>
      <c r="X4313" s="1">
        <v>2711</v>
      </c>
      <c r="Y4313" s="1" t="s">
        <v>24</v>
      </c>
      <c r="Z4313" s="1" t="s">
        <v>24</v>
      </c>
      <c r="AA4313" s="1" t="s">
        <v>24</v>
      </c>
      <c r="AB4313" s="1" t="s">
        <v>24</v>
      </c>
      <c r="AC4313" s="1" t="s">
        <v>24</v>
      </c>
      <c r="AD4313" s="1" t="s">
        <v>24</v>
      </c>
      <c r="AE4313" s="1" t="s">
        <v>24</v>
      </c>
      <c r="AF4313" s="22"/>
    </row>
    <row r="4314" spans="1:32" x14ac:dyDescent="0.2">
      <c r="A4314" s="1">
        <v>39091</v>
      </c>
      <c r="B4314" s="1" t="s">
        <v>13226</v>
      </c>
      <c r="C4314" s="5" t="s">
        <v>0</v>
      </c>
      <c r="D4314" s="1" t="s">
        <v>13227</v>
      </c>
      <c r="F4314" s="1" t="s">
        <v>217</v>
      </c>
      <c r="G4314" s="1" t="s">
        <v>130</v>
      </c>
      <c r="H4314" s="1" t="s">
        <v>92</v>
      </c>
      <c r="I4314" s="1" t="s">
        <v>112</v>
      </c>
      <c r="J4314" s="1">
        <v>0</v>
      </c>
      <c r="K4314" s="1">
        <v>0</v>
      </c>
      <c r="L4314" s="1" t="s">
        <v>31</v>
      </c>
      <c r="M4314" s="1" t="s">
        <v>18</v>
      </c>
      <c r="N4314" s="1" t="s">
        <v>18</v>
      </c>
      <c r="O4314" s="1">
        <v>3</v>
      </c>
      <c r="P4314" s="1">
        <v>7</v>
      </c>
      <c r="Q4314" s="7" t="s">
        <v>17633</v>
      </c>
      <c r="R4314" s="1" t="s">
        <v>19</v>
      </c>
      <c r="S4314" s="1" t="s">
        <v>20</v>
      </c>
      <c r="T4314" s="1" t="s">
        <v>21</v>
      </c>
      <c r="U4314" s="1" t="s">
        <v>22</v>
      </c>
      <c r="V4314" s="1" t="s">
        <v>24</v>
      </c>
      <c r="W4314" s="1" t="s">
        <v>24</v>
      </c>
      <c r="X4314" s="1">
        <v>2730</v>
      </c>
      <c r="Y4314" s="1">
        <v>1306</v>
      </c>
      <c r="Z4314" s="1" t="s">
        <v>24</v>
      </c>
      <c r="AA4314" s="1" t="s">
        <v>24</v>
      </c>
      <c r="AB4314" s="1" t="s">
        <v>24</v>
      </c>
      <c r="AC4314" s="1" t="s">
        <v>24</v>
      </c>
      <c r="AD4314" s="1" t="s">
        <v>24</v>
      </c>
      <c r="AE4314" s="1" t="s">
        <v>24</v>
      </c>
      <c r="AF4314" s="22"/>
    </row>
    <row r="4315" spans="1:32" x14ac:dyDescent="0.2">
      <c r="A4315" s="1">
        <v>39092</v>
      </c>
      <c r="B4315" s="1" t="s">
        <v>13228</v>
      </c>
      <c r="C4315" s="5" t="s">
        <v>0</v>
      </c>
      <c r="D4315" s="1" t="s">
        <v>13229</v>
      </c>
      <c r="E4315" s="1" t="s">
        <v>13230</v>
      </c>
      <c r="F4315" s="1" t="s">
        <v>13231</v>
      </c>
      <c r="G4315" s="1" t="s">
        <v>13231</v>
      </c>
      <c r="H4315" s="1" t="s">
        <v>37</v>
      </c>
      <c r="I4315" s="1" t="s">
        <v>16</v>
      </c>
      <c r="J4315" s="1">
        <v>1</v>
      </c>
      <c r="K4315" s="1">
        <v>3</v>
      </c>
      <c r="L4315" s="1" t="s">
        <v>42</v>
      </c>
      <c r="M4315" s="1" t="s">
        <v>18</v>
      </c>
      <c r="N4315" s="1" t="s">
        <v>18</v>
      </c>
      <c r="O4315" s="1">
        <v>3</v>
      </c>
      <c r="P4315" s="1">
        <v>6</v>
      </c>
      <c r="R4315" s="1" t="s">
        <v>19</v>
      </c>
      <c r="S4315" s="1" t="s">
        <v>20</v>
      </c>
      <c r="T4315" s="1" t="s">
        <v>21</v>
      </c>
      <c r="U4315" s="1" t="s">
        <v>22</v>
      </c>
      <c r="V4315" s="1" t="s">
        <v>23</v>
      </c>
      <c r="W4315" s="1" t="s">
        <v>24</v>
      </c>
      <c r="X4315" s="1">
        <v>2705</v>
      </c>
      <c r="Y4315" s="1" t="s">
        <v>24</v>
      </c>
      <c r="Z4315" s="1" t="s">
        <v>24</v>
      </c>
      <c r="AA4315" s="1" t="s">
        <v>24</v>
      </c>
      <c r="AB4315" s="1" t="s">
        <v>24</v>
      </c>
      <c r="AC4315" s="1" t="s">
        <v>24</v>
      </c>
      <c r="AD4315" s="1" t="s">
        <v>24</v>
      </c>
      <c r="AE4315" s="1" t="s">
        <v>24</v>
      </c>
      <c r="AF4315" s="22"/>
    </row>
    <row r="4316" spans="1:32" x14ac:dyDescent="0.2">
      <c r="A4316" s="1">
        <v>39095</v>
      </c>
      <c r="B4316" s="1" t="s">
        <v>13232</v>
      </c>
      <c r="C4316" s="5" t="s">
        <v>0</v>
      </c>
      <c r="D4316" s="1" t="s">
        <v>13233</v>
      </c>
      <c r="E4316" s="1" t="s">
        <v>13234</v>
      </c>
      <c r="F4316" s="1" t="s">
        <v>10959</v>
      </c>
      <c r="G4316" s="1" t="s">
        <v>10959</v>
      </c>
      <c r="H4316" s="1" t="s">
        <v>2672</v>
      </c>
      <c r="I4316" s="1" t="s">
        <v>16</v>
      </c>
      <c r="J4316" s="1">
        <v>1</v>
      </c>
      <c r="K4316" s="1">
        <v>1</v>
      </c>
      <c r="L4316" s="1" t="s">
        <v>42</v>
      </c>
      <c r="M4316" s="1" t="s">
        <v>18</v>
      </c>
      <c r="N4316" s="1" t="s">
        <v>18</v>
      </c>
      <c r="O4316" s="1">
        <v>3</v>
      </c>
      <c r="P4316" s="1">
        <v>6</v>
      </c>
      <c r="R4316" s="1" t="s">
        <v>19</v>
      </c>
      <c r="S4316" s="1" t="s">
        <v>20</v>
      </c>
      <c r="T4316" s="1" t="s">
        <v>21</v>
      </c>
      <c r="U4316" s="1" t="s">
        <v>22</v>
      </c>
      <c r="V4316" s="1" t="s">
        <v>24</v>
      </c>
      <c r="W4316" s="1" t="s">
        <v>24</v>
      </c>
      <c r="X4316" s="1">
        <v>2729</v>
      </c>
      <c r="Y4316" s="1" t="s">
        <v>24</v>
      </c>
      <c r="Z4316" s="1" t="s">
        <v>24</v>
      </c>
      <c r="AA4316" s="1" t="s">
        <v>24</v>
      </c>
      <c r="AB4316" s="1" t="s">
        <v>24</v>
      </c>
      <c r="AC4316" s="1" t="s">
        <v>24</v>
      </c>
      <c r="AD4316" s="1" t="s">
        <v>24</v>
      </c>
      <c r="AE4316" s="1" t="s">
        <v>24</v>
      </c>
      <c r="AF4316" s="22"/>
    </row>
    <row r="4317" spans="1:32" x14ac:dyDescent="0.2">
      <c r="A4317" s="1">
        <v>39096</v>
      </c>
      <c r="B4317" s="1" t="s">
        <v>13235</v>
      </c>
      <c r="C4317" s="5" t="s">
        <v>0</v>
      </c>
      <c r="D4317" s="1" t="s">
        <v>13236</v>
      </c>
      <c r="E4317" s="1" t="s">
        <v>13237</v>
      </c>
      <c r="F4317" s="1" t="s">
        <v>10959</v>
      </c>
      <c r="G4317" s="1" t="s">
        <v>10959</v>
      </c>
      <c r="H4317" s="1" t="s">
        <v>2672</v>
      </c>
      <c r="I4317" s="1" t="s">
        <v>16</v>
      </c>
      <c r="J4317" s="1">
        <v>1</v>
      </c>
      <c r="K4317" s="1">
        <v>1</v>
      </c>
      <c r="L4317" s="1" t="s">
        <v>42</v>
      </c>
      <c r="M4317" s="1" t="s">
        <v>18</v>
      </c>
      <c r="N4317" s="1" t="s">
        <v>18</v>
      </c>
      <c r="O4317" s="1">
        <v>3</v>
      </c>
      <c r="P4317" s="1">
        <v>6</v>
      </c>
      <c r="R4317" s="1" t="s">
        <v>19</v>
      </c>
      <c r="S4317" s="1" t="s">
        <v>20</v>
      </c>
      <c r="T4317" s="1" t="s">
        <v>21</v>
      </c>
      <c r="U4317" s="1" t="s">
        <v>22</v>
      </c>
      <c r="V4317" s="1" t="s">
        <v>24</v>
      </c>
      <c r="W4317" s="1" t="s">
        <v>24</v>
      </c>
      <c r="X4317" s="1">
        <v>1706</v>
      </c>
      <c r="Y4317" s="1">
        <v>1703</v>
      </c>
      <c r="Z4317" s="1" t="s">
        <v>24</v>
      </c>
      <c r="AA4317" s="1" t="s">
        <v>24</v>
      </c>
      <c r="AB4317" s="1" t="s">
        <v>24</v>
      </c>
      <c r="AC4317" s="1" t="s">
        <v>24</v>
      </c>
      <c r="AD4317" s="1" t="s">
        <v>24</v>
      </c>
      <c r="AE4317" s="1" t="s">
        <v>24</v>
      </c>
      <c r="AF4317" s="22"/>
    </row>
    <row r="4318" spans="1:32" x14ac:dyDescent="0.2">
      <c r="A4318" s="1">
        <v>39097</v>
      </c>
      <c r="B4318" s="1" t="s">
        <v>13238</v>
      </c>
      <c r="C4318" s="5" t="s">
        <v>0</v>
      </c>
      <c r="D4318" s="1" t="s">
        <v>13239</v>
      </c>
      <c r="E4318" s="1" t="s">
        <v>13240</v>
      </c>
      <c r="F4318" s="1" t="s">
        <v>10332</v>
      </c>
      <c r="G4318" s="1" t="s">
        <v>10332</v>
      </c>
      <c r="H4318" s="1" t="s">
        <v>30</v>
      </c>
      <c r="I4318" s="1" t="s">
        <v>16</v>
      </c>
      <c r="J4318" s="1">
        <v>1</v>
      </c>
      <c r="K4318" s="1">
        <v>4</v>
      </c>
      <c r="L4318" s="1" t="s">
        <v>42</v>
      </c>
      <c r="M4318" s="1" t="s">
        <v>18</v>
      </c>
      <c r="N4318" s="1" t="s">
        <v>18</v>
      </c>
      <c r="O4318" s="1">
        <v>3</v>
      </c>
      <c r="P4318" s="1">
        <v>6</v>
      </c>
      <c r="R4318" s="1" t="s">
        <v>19</v>
      </c>
      <c r="S4318" s="1" t="s">
        <v>63</v>
      </c>
      <c r="T4318" s="1" t="s">
        <v>21</v>
      </c>
      <c r="U4318" s="1" t="s">
        <v>22</v>
      </c>
      <c r="V4318" s="1" t="s">
        <v>24</v>
      </c>
      <c r="W4318" s="1" t="s">
        <v>24</v>
      </c>
      <c r="X4318" s="1">
        <v>1303</v>
      </c>
      <c r="Y4318" s="1">
        <v>1307</v>
      </c>
      <c r="Z4318" s="1">
        <v>2725</v>
      </c>
      <c r="AA4318" s="1">
        <v>2804</v>
      </c>
      <c r="AB4318" s="1" t="s">
        <v>24</v>
      </c>
      <c r="AC4318" s="1" t="s">
        <v>24</v>
      </c>
      <c r="AD4318" s="1" t="s">
        <v>24</v>
      </c>
      <c r="AE4318" s="1" t="s">
        <v>24</v>
      </c>
      <c r="AF4318" s="22"/>
    </row>
    <row r="4319" spans="1:32" x14ac:dyDescent="0.2">
      <c r="A4319" s="1">
        <v>39098</v>
      </c>
      <c r="B4319" s="1" t="s">
        <v>13241</v>
      </c>
      <c r="C4319" s="5" t="s">
        <v>0</v>
      </c>
      <c r="D4319" s="1" t="s">
        <v>13242</v>
      </c>
      <c r="F4319" s="1" t="s">
        <v>10650</v>
      </c>
      <c r="G4319" s="1" t="s">
        <v>10651</v>
      </c>
      <c r="H4319" s="1" t="s">
        <v>899</v>
      </c>
      <c r="I4319" s="1" t="s">
        <v>16</v>
      </c>
      <c r="J4319" s="1">
        <v>1</v>
      </c>
      <c r="K4319" s="1">
        <v>2</v>
      </c>
      <c r="L4319" s="1" t="s">
        <v>17</v>
      </c>
      <c r="M4319" s="1" t="s">
        <v>18</v>
      </c>
      <c r="N4319" s="1" t="s">
        <v>18</v>
      </c>
      <c r="O4319" s="1">
        <v>2</v>
      </c>
      <c r="P4319" s="1">
        <v>6</v>
      </c>
      <c r="R4319" s="1" t="s">
        <v>19</v>
      </c>
      <c r="S4319" s="1" t="s">
        <v>20</v>
      </c>
      <c r="T4319" s="1" t="s">
        <v>21</v>
      </c>
      <c r="U4319" s="1" t="s">
        <v>22</v>
      </c>
      <c r="V4319" s="1" t="s">
        <v>24</v>
      </c>
      <c r="W4319" s="1" t="s">
        <v>24</v>
      </c>
      <c r="X4319" s="1">
        <v>3004</v>
      </c>
      <c r="Y4319" s="1" t="s">
        <v>24</v>
      </c>
      <c r="Z4319" s="1" t="s">
        <v>24</v>
      </c>
      <c r="AA4319" s="1" t="s">
        <v>24</v>
      </c>
      <c r="AB4319" s="1" t="s">
        <v>24</v>
      </c>
      <c r="AC4319" s="1" t="s">
        <v>24</v>
      </c>
      <c r="AD4319" s="1" t="s">
        <v>24</v>
      </c>
      <c r="AE4319" s="1" t="s">
        <v>24</v>
      </c>
      <c r="AF4319" s="22"/>
    </row>
    <row r="4320" spans="1:32" x14ac:dyDescent="0.2">
      <c r="A4320" s="1">
        <v>39101</v>
      </c>
      <c r="B4320" s="1" t="s">
        <v>13243</v>
      </c>
      <c r="C4320" s="5" t="s">
        <v>0</v>
      </c>
      <c r="D4320" s="1" t="s">
        <v>13244</v>
      </c>
      <c r="E4320" s="1" t="s">
        <v>13245</v>
      </c>
      <c r="F4320" s="1" t="s">
        <v>12434</v>
      </c>
      <c r="G4320" s="1" t="s">
        <v>12434</v>
      </c>
      <c r="H4320" s="1" t="s">
        <v>30</v>
      </c>
      <c r="I4320" s="1" t="s">
        <v>16</v>
      </c>
      <c r="J4320" s="1">
        <v>1</v>
      </c>
      <c r="K4320" s="1">
        <v>1</v>
      </c>
      <c r="L4320" s="1" t="s">
        <v>42</v>
      </c>
      <c r="M4320" s="1" t="s">
        <v>18</v>
      </c>
      <c r="N4320" s="1" t="s">
        <v>18</v>
      </c>
      <c r="O4320" s="1">
        <v>2</v>
      </c>
      <c r="P4320" s="1">
        <v>6</v>
      </c>
      <c r="R4320" s="1" t="s">
        <v>19</v>
      </c>
      <c r="S4320" s="1" t="s">
        <v>20</v>
      </c>
      <c r="T4320" s="1" t="s">
        <v>21</v>
      </c>
      <c r="U4320" s="1" t="s">
        <v>22</v>
      </c>
      <c r="V4320" s="1" t="s">
        <v>24</v>
      </c>
      <c r="W4320" s="1" t="s">
        <v>24</v>
      </c>
      <c r="X4320" s="1">
        <v>2725</v>
      </c>
      <c r="Y4320" s="1" t="s">
        <v>24</v>
      </c>
      <c r="Z4320" s="1" t="s">
        <v>24</v>
      </c>
      <c r="AA4320" s="1" t="s">
        <v>24</v>
      </c>
      <c r="AB4320" s="1" t="s">
        <v>24</v>
      </c>
      <c r="AC4320" s="1" t="s">
        <v>24</v>
      </c>
      <c r="AD4320" s="1" t="s">
        <v>24</v>
      </c>
      <c r="AE4320" s="1" t="s">
        <v>24</v>
      </c>
      <c r="AF4320" s="22"/>
    </row>
    <row r="4321" spans="1:32" x14ac:dyDescent="0.2">
      <c r="A4321" s="1">
        <v>39102</v>
      </c>
      <c r="B4321" s="1" t="s">
        <v>13246</v>
      </c>
      <c r="C4321" s="5" t="s">
        <v>0</v>
      </c>
      <c r="D4321" s="1" t="s">
        <v>13247</v>
      </c>
      <c r="E4321" s="1" t="s">
        <v>13248</v>
      </c>
      <c r="F4321" s="1" t="s">
        <v>12434</v>
      </c>
      <c r="G4321" s="1" t="s">
        <v>12434</v>
      </c>
      <c r="H4321" s="1" t="s">
        <v>30</v>
      </c>
      <c r="I4321" s="1" t="s">
        <v>16</v>
      </c>
      <c r="J4321" s="1">
        <v>0</v>
      </c>
      <c r="K4321" s="1">
        <v>0</v>
      </c>
      <c r="L4321" s="1" t="s">
        <v>42</v>
      </c>
      <c r="M4321" s="1" t="s">
        <v>18</v>
      </c>
      <c r="N4321" s="1" t="s">
        <v>18</v>
      </c>
      <c r="O4321" s="1">
        <v>3</v>
      </c>
      <c r="P4321" s="1">
        <v>6</v>
      </c>
      <c r="R4321" s="1" t="s">
        <v>19</v>
      </c>
      <c r="S4321" s="1" t="s">
        <v>20</v>
      </c>
      <c r="T4321" s="1" t="s">
        <v>21</v>
      </c>
      <c r="U4321" s="1" t="s">
        <v>22</v>
      </c>
      <c r="V4321" s="1" t="s">
        <v>24</v>
      </c>
      <c r="W4321" s="1" t="s">
        <v>24</v>
      </c>
      <c r="X4321" s="1">
        <v>2723</v>
      </c>
      <c r="Y4321" s="1" t="s">
        <v>24</v>
      </c>
      <c r="Z4321" s="1" t="s">
        <v>24</v>
      </c>
      <c r="AA4321" s="1" t="s">
        <v>24</v>
      </c>
      <c r="AB4321" s="1" t="s">
        <v>24</v>
      </c>
      <c r="AC4321" s="1" t="s">
        <v>24</v>
      </c>
      <c r="AD4321" s="1" t="s">
        <v>24</v>
      </c>
      <c r="AE4321" s="1" t="s">
        <v>24</v>
      </c>
      <c r="AF4321" s="22"/>
    </row>
    <row r="4322" spans="1:32" x14ac:dyDescent="0.2">
      <c r="A4322" s="1">
        <v>39103</v>
      </c>
      <c r="B4322" s="1" t="s">
        <v>13249</v>
      </c>
      <c r="C4322" s="5" t="s">
        <v>0</v>
      </c>
      <c r="D4322" s="1" t="s">
        <v>13250</v>
      </c>
      <c r="E4322" s="1" t="s">
        <v>13251</v>
      </c>
      <c r="F4322" s="1" t="s">
        <v>12434</v>
      </c>
      <c r="G4322" s="1" t="s">
        <v>12434</v>
      </c>
      <c r="H4322" s="1" t="s">
        <v>30</v>
      </c>
      <c r="I4322" s="1" t="s">
        <v>16</v>
      </c>
      <c r="J4322" s="1">
        <v>1</v>
      </c>
      <c r="K4322" s="1">
        <v>1</v>
      </c>
      <c r="L4322" s="1" t="s">
        <v>42</v>
      </c>
      <c r="M4322" s="1" t="s">
        <v>18</v>
      </c>
      <c r="N4322" s="1" t="s">
        <v>18</v>
      </c>
      <c r="O4322" s="1">
        <v>3</v>
      </c>
      <c r="P4322" s="1">
        <v>6</v>
      </c>
      <c r="R4322" s="1" t="s">
        <v>19</v>
      </c>
      <c r="S4322" s="1" t="s">
        <v>20</v>
      </c>
      <c r="T4322" s="1" t="s">
        <v>21</v>
      </c>
      <c r="U4322" s="1" t="s">
        <v>22</v>
      </c>
      <c r="V4322" s="1" t="s">
        <v>24</v>
      </c>
      <c r="W4322" s="1" t="s">
        <v>24</v>
      </c>
      <c r="X4322" s="1">
        <v>2705</v>
      </c>
      <c r="Y4322" s="1" t="s">
        <v>24</v>
      </c>
      <c r="Z4322" s="1" t="s">
        <v>24</v>
      </c>
      <c r="AA4322" s="1" t="s">
        <v>24</v>
      </c>
      <c r="AB4322" s="1" t="s">
        <v>24</v>
      </c>
      <c r="AC4322" s="1" t="s">
        <v>24</v>
      </c>
      <c r="AD4322" s="1" t="s">
        <v>24</v>
      </c>
      <c r="AE4322" s="1" t="s">
        <v>24</v>
      </c>
      <c r="AF4322" s="22"/>
    </row>
    <row r="4323" spans="1:32" x14ac:dyDescent="0.2">
      <c r="A4323" s="1">
        <v>39116</v>
      </c>
      <c r="B4323" s="1" t="s">
        <v>13252</v>
      </c>
      <c r="C4323" s="5" t="s">
        <v>0</v>
      </c>
      <c r="D4323" s="1" t="s">
        <v>13253</v>
      </c>
      <c r="E4323" s="1" t="s">
        <v>13254</v>
      </c>
      <c r="F4323" s="1" t="s">
        <v>13255</v>
      </c>
      <c r="G4323" s="1" t="s">
        <v>254</v>
      </c>
      <c r="H4323" s="1" t="s">
        <v>168</v>
      </c>
      <c r="I4323" s="1" t="s">
        <v>16</v>
      </c>
      <c r="J4323" s="1">
        <v>1</v>
      </c>
      <c r="K4323" s="1">
        <v>4</v>
      </c>
      <c r="L4323" s="1" t="s">
        <v>31</v>
      </c>
      <c r="M4323" s="1" t="s">
        <v>250</v>
      </c>
      <c r="N4323" s="1" t="s">
        <v>1463</v>
      </c>
      <c r="O4323" s="1">
        <v>3</v>
      </c>
      <c r="P4323" s="1">
        <v>5</v>
      </c>
      <c r="R4323" s="1" t="s">
        <v>19</v>
      </c>
      <c r="S4323" s="1" t="s">
        <v>63</v>
      </c>
      <c r="T4323" s="1" t="s">
        <v>21</v>
      </c>
      <c r="U4323" s="1" t="s">
        <v>22</v>
      </c>
      <c r="V4323" s="1" t="s">
        <v>24</v>
      </c>
      <c r="W4323" s="1" t="s">
        <v>24</v>
      </c>
      <c r="X4323" s="1">
        <v>2741</v>
      </c>
      <c r="Y4323" s="1">
        <v>1304</v>
      </c>
      <c r="Z4323" s="1" t="s">
        <v>24</v>
      </c>
      <c r="AA4323" s="1" t="s">
        <v>24</v>
      </c>
      <c r="AB4323" s="1" t="s">
        <v>24</v>
      </c>
      <c r="AC4323" s="1" t="s">
        <v>24</v>
      </c>
      <c r="AD4323" s="1" t="s">
        <v>24</v>
      </c>
      <c r="AE4323" s="1" t="s">
        <v>24</v>
      </c>
      <c r="AF4323" s="22" t="s">
        <v>17670</v>
      </c>
    </row>
    <row r="4324" spans="1:32" x14ac:dyDescent="0.2">
      <c r="A4324" s="1">
        <v>39117</v>
      </c>
      <c r="B4324" s="1" t="s">
        <v>13256</v>
      </c>
      <c r="C4324" s="5" t="s">
        <v>0</v>
      </c>
      <c r="E4324" s="1" t="s">
        <v>13257</v>
      </c>
      <c r="F4324" s="1" t="s">
        <v>13256</v>
      </c>
      <c r="G4324" s="1" t="s">
        <v>13256</v>
      </c>
      <c r="H4324" s="1" t="s">
        <v>249</v>
      </c>
      <c r="I4324" s="1" t="s">
        <v>16</v>
      </c>
      <c r="J4324" s="1">
        <v>1</v>
      </c>
      <c r="K4324" s="1">
        <v>4</v>
      </c>
      <c r="L4324" s="1" t="s">
        <v>42</v>
      </c>
      <c r="M4324" s="1" t="s">
        <v>250</v>
      </c>
      <c r="N4324" s="1" t="s">
        <v>1463</v>
      </c>
      <c r="O4324" s="1">
        <v>3</v>
      </c>
      <c r="P4324" s="1">
        <v>5</v>
      </c>
      <c r="R4324" s="1" t="s">
        <v>19</v>
      </c>
      <c r="S4324" s="1" t="s">
        <v>20</v>
      </c>
      <c r="T4324" s="1" t="s">
        <v>21</v>
      </c>
      <c r="V4324" s="1" t="s">
        <v>23</v>
      </c>
      <c r="W4324" s="1" t="s">
        <v>24</v>
      </c>
      <c r="X4324" s="1">
        <v>2732</v>
      </c>
      <c r="Y4324" s="1">
        <v>3612</v>
      </c>
      <c r="Z4324" s="1" t="s">
        <v>24</v>
      </c>
      <c r="AA4324" s="1" t="s">
        <v>24</v>
      </c>
      <c r="AB4324" s="1" t="s">
        <v>24</v>
      </c>
      <c r="AC4324" s="1" t="s">
        <v>24</v>
      </c>
      <c r="AD4324" s="1" t="s">
        <v>24</v>
      </c>
      <c r="AE4324" s="1" t="s">
        <v>24</v>
      </c>
      <c r="AF4324" s="22"/>
    </row>
    <row r="4325" spans="1:32" x14ac:dyDescent="0.2">
      <c r="A4325" s="1">
        <v>39123</v>
      </c>
      <c r="B4325" s="1" t="s">
        <v>13258</v>
      </c>
      <c r="C4325" s="5" t="s">
        <v>0</v>
      </c>
      <c r="D4325" s="1" t="s">
        <v>13259</v>
      </c>
      <c r="F4325" s="1" t="s">
        <v>13260</v>
      </c>
      <c r="G4325" s="1" t="s">
        <v>13260</v>
      </c>
      <c r="H4325" s="1" t="s">
        <v>1384</v>
      </c>
      <c r="I4325" s="1" t="s">
        <v>16</v>
      </c>
      <c r="J4325" s="1">
        <v>1</v>
      </c>
      <c r="K4325" s="1">
        <v>4</v>
      </c>
      <c r="L4325" s="1" t="s">
        <v>42</v>
      </c>
      <c r="M4325" s="1" t="s">
        <v>1385</v>
      </c>
      <c r="N4325" s="1" t="s">
        <v>3142</v>
      </c>
      <c r="O4325" s="1">
        <v>3</v>
      </c>
      <c r="P4325" s="1">
        <v>5</v>
      </c>
      <c r="R4325" s="1" t="s">
        <v>19</v>
      </c>
      <c r="S4325" s="1" t="s">
        <v>20</v>
      </c>
      <c r="T4325" s="1" t="s">
        <v>21</v>
      </c>
      <c r="U4325" s="1" t="s">
        <v>22</v>
      </c>
      <c r="V4325" s="1" t="s">
        <v>23</v>
      </c>
      <c r="W4325" s="1" t="s">
        <v>24</v>
      </c>
      <c r="X4325" s="1">
        <v>2729</v>
      </c>
      <c r="Y4325" s="1" t="s">
        <v>24</v>
      </c>
      <c r="Z4325" s="1" t="s">
        <v>24</v>
      </c>
      <c r="AA4325" s="1" t="s">
        <v>24</v>
      </c>
      <c r="AB4325" s="1" t="s">
        <v>24</v>
      </c>
      <c r="AC4325" s="1" t="s">
        <v>24</v>
      </c>
      <c r="AD4325" s="1" t="s">
        <v>24</v>
      </c>
      <c r="AE4325" s="1" t="s">
        <v>24</v>
      </c>
      <c r="AF4325" s="22"/>
    </row>
    <row r="4326" spans="1:32" x14ac:dyDescent="0.2">
      <c r="A4326" s="1">
        <v>39127</v>
      </c>
      <c r="B4326" s="1" t="s">
        <v>13261</v>
      </c>
      <c r="C4326" s="5" t="s">
        <v>0</v>
      </c>
      <c r="D4326" s="1" t="s">
        <v>13262</v>
      </c>
      <c r="E4326" s="1" t="s">
        <v>13263</v>
      </c>
      <c r="F4326" s="1" t="s">
        <v>13264</v>
      </c>
      <c r="G4326" s="1" t="s">
        <v>13265</v>
      </c>
      <c r="H4326" s="1" t="s">
        <v>899</v>
      </c>
      <c r="I4326" s="1" t="s">
        <v>16</v>
      </c>
      <c r="J4326" s="1">
        <v>1</v>
      </c>
      <c r="K4326" s="1">
        <v>4</v>
      </c>
      <c r="L4326" s="1" t="s">
        <v>31</v>
      </c>
      <c r="M4326" s="1" t="s">
        <v>18</v>
      </c>
      <c r="N4326" s="1" t="s">
        <v>18</v>
      </c>
      <c r="O4326" s="1">
        <v>3</v>
      </c>
      <c r="P4326" s="1">
        <v>6</v>
      </c>
      <c r="R4326" s="1" t="s">
        <v>19</v>
      </c>
      <c r="S4326" s="1" t="s">
        <v>20</v>
      </c>
      <c r="T4326" s="1" t="s">
        <v>21</v>
      </c>
      <c r="U4326" s="1" t="s">
        <v>22</v>
      </c>
      <c r="V4326" s="1" t="s">
        <v>24</v>
      </c>
      <c r="W4326" s="1" t="s">
        <v>24</v>
      </c>
      <c r="X4326" s="1">
        <v>3002</v>
      </c>
      <c r="Y4326" s="1">
        <v>3003</v>
      </c>
      <c r="Z4326" s="1">
        <v>1305</v>
      </c>
      <c r="AA4326" s="1" t="s">
        <v>24</v>
      </c>
      <c r="AB4326" s="1" t="s">
        <v>24</v>
      </c>
      <c r="AC4326" s="1" t="s">
        <v>24</v>
      </c>
      <c r="AD4326" s="1" t="s">
        <v>24</v>
      </c>
      <c r="AE4326" s="1" t="s">
        <v>24</v>
      </c>
      <c r="AF4326" s="22"/>
    </row>
    <row r="4327" spans="1:32" x14ac:dyDescent="0.2">
      <c r="A4327" s="1">
        <v>39132</v>
      </c>
      <c r="B4327" s="1" t="s">
        <v>13266</v>
      </c>
      <c r="C4327" s="5" t="s">
        <v>0</v>
      </c>
      <c r="D4327" s="1" t="s">
        <v>13267</v>
      </c>
      <c r="F4327" s="1" t="s">
        <v>13268</v>
      </c>
      <c r="G4327" s="1" t="s">
        <v>13268</v>
      </c>
      <c r="H4327" s="1" t="s">
        <v>37</v>
      </c>
      <c r="I4327" s="1" t="s">
        <v>5001</v>
      </c>
      <c r="J4327" s="1">
        <v>1</v>
      </c>
      <c r="K4327" s="1">
        <v>7</v>
      </c>
      <c r="L4327" s="1" t="s">
        <v>17</v>
      </c>
      <c r="M4327" s="1" t="s">
        <v>18</v>
      </c>
      <c r="N4327" s="1" t="s">
        <v>18</v>
      </c>
      <c r="O4327" s="1">
        <v>2</v>
      </c>
      <c r="P4327" s="1">
        <v>5</v>
      </c>
      <c r="R4327" s="1" t="s">
        <v>19</v>
      </c>
      <c r="S4327" s="1" t="s">
        <v>20</v>
      </c>
      <c r="T4327" s="1" t="s">
        <v>21</v>
      </c>
      <c r="U4327" s="1" t="s">
        <v>22</v>
      </c>
      <c r="V4327" s="1" t="s">
        <v>24</v>
      </c>
      <c r="W4327" s="1" t="s">
        <v>24</v>
      </c>
      <c r="X4327" s="1">
        <v>3002</v>
      </c>
      <c r="Y4327" s="1">
        <v>1313</v>
      </c>
      <c r="Z4327" s="1" t="s">
        <v>24</v>
      </c>
      <c r="AA4327" s="1" t="s">
        <v>24</v>
      </c>
      <c r="AB4327" s="1" t="s">
        <v>24</v>
      </c>
      <c r="AC4327" s="1" t="s">
        <v>24</v>
      </c>
      <c r="AD4327" s="1" t="s">
        <v>24</v>
      </c>
      <c r="AE4327" s="1" t="s">
        <v>24</v>
      </c>
      <c r="AF4327" s="22"/>
    </row>
    <row r="4328" spans="1:32" x14ac:dyDescent="0.2">
      <c r="A4328" s="1">
        <v>39133</v>
      </c>
      <c r="B4328" s="1" t="s">
        <v>13269</v>
      </c>
      <c r="C4328" s="5" t="s">
        <v>0</v>
      </c>
      <c r="D4328" s="1" t="s">
        <v>13270</v>
      </c>
      <c r="E4328" s="1" t="s">
        <v>13271</v>
      </c>
      <c r="F4328" s="1" t="s">
        <v>13272</v>
      </c>
      <c r="G4328" s="1" t="s">
        <v>13272</v>
      </c>
      <c r="H4328" s="1" t="s">
        <v>885</v>
      </c>
      <c r="I4328" s="1" t="s">
        <v>16</v>
      </c>
      <c r="J4328" s="1">
        <v>1</v>
      </c>
      <c r="K4328" s="1">
        <v>2</v>
      </c>
      <c r="L4328" s="1" t="s">
        <v>42</v>
      </c>
      <c r="M4328" s="1" t="s">
        <v>18</v>
      </c>
      <c r="N4328" s="1" t="s">
        <v>18</v>
      </c>
      <c r="O4328" s="1">
        <v>3</v>
      </c>
      <c r="P4328" s="1">
        <v>6</v>
      </c>
      <c r="R4328" s="1" t="s">
        <v>19</v>
      </c>
      <c r="S4328" s="1" t="s">
        <v>63</v>
      </c>
      <c r="T4328" s="1" t="s">
        <v>21</v>
      </c>
      <c r="U4328" s="1" t="s">
        <v>22</v>
      </c>
      <c r="V4328" s="1" t="s">
        <v>24</v>
      </c>
      <c r="W4328" s="1" t="s">
        <v>24</v>
      </c>
      <c r="X4328" s="1">
        <v>3004</v>
      </c>
      <c r="Y4328" s="1" t="s">
        <v>24</v>
      </c>
      <c r="Z4328" s="1" t="s">
        <v>24</v>
      </c>
      <c r="AA4328" s="1" t="s">
        <v>24</v>
      </c>
      <c r="AB4328" s="1" t="s">
        <v>24</v>
      </c>
      <c r="AC4328" s="1" t="s">
        <v>24</v>
      </c>
      <c r="AD4328" s="1" t="s">
        <v>24</v>
      </c>
      <c r="AE4328" s="1" t="s">
        <v>24</v>
      </c>
      <c r="AF4328" s="22"/>
    </row>
    <row r="4329" spans="1:32" x14ac:dyDescent="0.2">
      <c r="A4329" s="1">
        <v>39135</v>
      </c>
      <c r="B4329" s="5" t="s">
        <v>13273</v>
      </c>
      <c r="C4329" s="5" t="s">
        <v>0</v>
      </c>
      <c r="E4329" s="1" t="s">
        <v>13274</v>
      </c>
      <c r="F4329" s="1" t="s">
        <v>13275</v>
      </c>
      <c r="G4329" s="1" t="s">
        <v>13275</v>
      </c>
      <c r="H4329" s="1" t="s">
        <v>30</v>
      </c>
      <c r="I4329" s="1" t="s">
        <v>16</v>
      </c>
      <c r="J4329" s="5">
        <v>2</v>
      </c>
      <c r="K4329" s="1">
        <v>6</v>
      </c>
      <c r="L4329" s="1" t="s">
        <v>42</v>
      </c>
      <c r="M4329" s="1" t="s">
        <v>18</v>
      </c>
      <c r="N4329" s="5" t="s">
        <v>18</v>
      </c>
      <c r="O4329" s="1">
        <v>2</v>
      </c>
      <c r="P4329" s="1">
        <v>6</v>
      </c>
      <c r="R4329" s="5" t="s">
        <v>19</v>
      </c>
      <c r="S4329" s="1" t="s">
        <v>20</v>
      </c>
      <c r="T4329" s="1" t="s">
        <v>21</v>
      </c>
      <c r="U4329" s="1" t="s">
        <v>22</v>
      </c>
      <c r="V4329" s="1" t="s">
        <v>24</v>
      </c>
      <c r="W4329" s="1" t="s">
        <v>24</v>
      </c>
      <c r="X4329" s="1">
        <v>2705</v>
      </c>
      <c r="Y4329" s="1" t="s">
        <v>24</v>
      </c>
      <c r="Z4329" s="1" t="s">
        <v>24</v>
      </c>
      <c r="AA4329" s="1" t="s">
        <v>24</v>
      </c>
      <c r="AB4329" s="1" t="s">
        <v>24</v>
      </c>
      <c r="AC4329" s="1" t="s">
        <v>24</v>
      </c>
      <c r="AD4329" s="1" t="s">
        <v>24</v>
      </c>
      <c r="AE4329" s="1" t="s">
        <v>24</v>
      </c>
      <c r="AF4329" s="22"/>
    </row>
    <row r="4330" spans="1:32" x14ac:dyDescent="0.2">
      <c r="A4330" s="1">
        <v>39161</v>
      </c>
      <c r="B4330" s="1" t="s">
        <v>13276</v>
      </c>
      <c r="C4330" s="5" t="s">
        <v>0</v>
      </c>
      <c r="D4330" s="1" t="s">
        <v>13277</v>
      </c>
      <c r="E4330" s="1" t="s">
        <v>13278</v>
      </c>
      <c r="F4330" s="1" t="s">
        <v>13279</v>
      </c>
      <c r="G4330" s="1" t="s">
        <v>13280</v>
      </c>
      <c r="H4330" s="1" t="s">
        <v>15</v>
      </c>
      <c r="I4330" s="1" t="s">
        <v>16</v>
      </c>
      <c r="J4330" s="1">
        <v>1</v>
      </c>
      <c r="K4330" s="1">
        <v>4</v>
      </c>
      <c r="L4330" s="1" t="s">
        <v>31</v>
      </c>
      <c r="M4330" s="1" t="s">
        <v>87</v>
      </c>
      <c r="N4330" s="1" t="s">
        <v>87</v>
      </c>
      <c r="O4330" s="1">
        <v>3</v>
      </c>
      <c r="P4330" s="1">
        <v>5</v>
      </c>
      <c r="R4330" s="1" t="s">
        <v>19</v>
      </c>
      <c r="S4330" s="1" t="s">
        <v>20</v>
      </c>
      <c r="T4330" s="1" t="s">
        <v>21</v>
      </c>
      <c r="U4330" s="1" t="s">
        <v>22</v>
      </c>
      <c r="V4330" s="1" t="s">
        <v>24</v>
      </c>
      <c r="W4330" s="1" t="s">
        <v>24</v>
      </c>
      <c r="X4330" s="1">
        <v>2738</v>
      </c>
      <c r="Y4330" s="1">
        <v>3203</v>
      </c>
      <c r="Z4330" s="1" t="s">
        <v>24</v>
      </c>
      <c r="AA4330" s="1" t="s">
        <v>24</v>
      </c>
      <c r="AB4330" s="1" t="s">
        <v>24</v>
      </c>
      <c r="AC4330" s="1" t="s">
        <v>24</v>
      </c>
      <c r="AD4330" s="1" t="s">
        <v>24</v>
      </c>
      <c r="AE4330" s="1" t="s">
        <v>24</v>
      </c>
      <c r="AF4330" s="22"/>
    </row>
    <row r="4331" spans="1:32" x14ac:dyDescent="0.2">
      <c r="A4331" s="1">
        <v>39182</v>
      </c>
      <c r="B4331" s="1" t="s">
        <v>13281</v>
      </c>
      <c r="C4331" s="5" t="s">
        <v>0</v>
      </c>
      <c r="D4331" s="1" t="s">
        <v>13282</v>
      </c>
      <c r="E4331" s="1" t="s">
        <v>13283</v>
      </c>
      <c r="F4331" s="1" t="s">
        <v>13284</v>
      </c>
      <c r="G4331" s="1" t="s">
        <v>13284</v>
      </c>
      <c r="H4331" s="1" t="s">
        <v>30</v>
      </c>
      <c r="I4331" s="1" t="s">
        <v>5001</v>
      </c>
      <c r="J4331" s="1">
        <v>1</v>
      </c>
      <c r="K4331" s="1">
        <v>9</v>
      </c>
      <c r="L4331" s="1" t="s">
        <v>42</v>
      </c>
      <c r="M4331" s="1" t="s">
        <v>18</v>
      </c>
      <c r="N4331" s="1" t="s">
        <v>18</v>
      </c>
      <c r="O4331" s="1">
        <v>3</v>
      </c>
      <c r="P4331" s="1">
        <v>5</v>
      </c>
      <c r="R4331" s="1" t="s">
        <v>19</v>
      </c>
      <c r="S4331" s="1" t="s">
        <v>20</v>
      </c>
      <c r="T4331" s="1" t="s">
        <v>21</v>
      </c>
      <c r="U4331" s="1" t="s">
        <v>22</v>
      </c>
      <c r="V4331" s="1" t="s">
        <v>24</v>
      </c>
      <c r="W4331" s="1" t="s">
        <v>24</v>
      </c>
      <c r="X4331" s="1">
        <v>3003</v>
      </c>
      <c r="Y4331" s="1" t="s">
        <v>24</v>
      </c>
      <c r="Z4331" s="1" t="s">
        <v>24</v>
      </c>
      <c r="AA4331" s="1" t="s">
        <v>24</v>
      </c>
      <c r="AB4331" s="1" t="s">
        <v>24</v>
      </c>
      <c r="AC4331" s="1" t="s">
        <v>24</v>
      </c>
      <c r="AD4331" s="1" t="s">
        <v>24</v>
      </c>
      <c r="AE4331" s="1" t="s">
        <v>24</v>
      </c>
      <c r="AF4331" s="22"/>
    </row>
    <row r="4332" spans="1:32" x14ac:dyDescent="0.2">
      <c r="A4332" s="1">
        <v>39183</v>
      </c>
      <c r="B4332" s="1" t="s">
        <v>13285</v>
      </c>
      <c r="C4332" s="5" t="s">
        <v>0</v>
      </c>
      <c r="E4332" s="1" t="s">
        <v>13286</v>
      </c>
      <c r="F4332" s="1" t="s">
        <v>13287</v>
      </c>
      <c r="G4332" s="1" t="s">
        <v>13287</v>
      </c>
      <c r="H4332" s="1" t="s">
        <v>2988</v>
      </c>
      <c r="I4332" s="1" t="s">
        <v>16</v>
      </c>
      <c r="J4332" s="1">
        <v>1</v>
      </c>
      <c r="K4332" s="1">
        <v>2</v>
      </c>
      <c r="L4332" s="1" t="s">
        <v>42</v>
      </c>
      <c r="M4332" s="1" t="s">
        <v>18</v>
      </c>
      <c r="N4332" s="1" t="s">
        <v>18</v>
      </c>
      <c r="O4332" s="1">
        <v>2</v>
      </c>
      <c r="P4332" s="1">
        <v>6</v>
      </c>
      <c r="R4332" s="1" t="s">
        <v>19</v>
      </c>
      <c r="S4332" s="1" t="s">
        <v>63</v>
      </c>
      <c r="T4332" s="1" t="s">
        <v>21</v>
      </c>
      <c r="U4332" s="1" t="s">
        <v>22</v>
      </c>
      <c r="V4332" s="1" t="s">
        <v>24</v>
      </c>
      <c r="W4332" s="1" t="s">
        <v>24</v>
      </c>
      <c r="X4332" s="1">
        <v>2737</v>
      </c>
      <c r="Y4332" s="1">
        <v>1314</v>
      </c>
      <c r="Z4332" s="1" t="s">
        <v>24</v>
      </c>
      <c r="AA4332" s="1" t="s">
        <v>24</v>
      </c>
      <c r="AB4332" s="1" t="s">
        <v>24</v>
      </c>
      <c r="AC4332" s="1" t="s">
        <v>24</v>
      </c>
      <c r="AD4332" s="1" t="s">
        <v>24</v>
      </c>
      <c r="AE4332" s="1" t="s">
        <v>24</v>
      </c>
      <c r="AF4332" s="22"/>
    </row>
    <row r="4333" spans="1:32" x14ac:dyDescent="0.2">
      <c r="A4333" s="1">
        <v>39184</v>
      </c>
      <c r="B4333" s="1" t="s">
        <v>13288</v>
      </c>
      <c r="C4333" s="5" t="s">
        <v>0</v>
      </c>
      <c r="D4333" s="1" t="s">
        <v>13289</v>
      </c>
      <c r="E4333" s="1" t="s">
        <v>13290</v>
      </c>
      <c r="F4333" s="1" t="s">
        <v>13291</v>
      </c>
      <c r="G4333" s="1" t="s">
        <v>13291</v>
      </c>
      <c r="H4333" s="1" t="s">
        <v>7640</v>
      </c>
      <c r="I4333" s="1" t="s">
        <v>16</v>
      </c>
      <c r="J4333" s="1">
        <v>1</v>
      </c>
      <c r="K4333" s="1">
        <v>4</v>
      </c>
      <c r="L4333" s="1" t="s">
        <v>42</v>
      </c>
      <c r="M4333" s="1" t="s">
        <v>18</v>
      </c>
      <c r="N4333" s="1" t="s">
        <v>18</v>
      </c>
      <c r="O4333" s="1">
        <v>3</v>
      </c>
      <c r="P4333" s="1">
        <v>6</v>
      </c>
      <c r="R4333" s="1" t="s">
        <v>19</v>
      </c>
      <c r="S4333" s="1" t="s">
        <v>20</v>
      </c>
      <c r="T4333" s="1" t="s">
        <v>21</v>
      </c>
      <c r="U4333" s="1" t="s">
        <v>22</v>
      </c>
      <c r="V4333" s="1" t="s">
        <v>24</v>
      </c>
      <c r="W4333" s="1" t="s">
        <v>24</v>
      </c>
      <c r="X4333" s="1">
        <v>2728</v>
      </c>
      <c r="Y4333" s="1">
        <v>2746</v>
      </c>
      <c r="Z4333" s="1">
        <v>2738</v>
      </c>
      <c r="AA4333" s="1">
        <v>2921</v>
      </c>
      <c r="AB4333" s="1">
        <v>2800</v>
      </c>
      <c r="AC4333" s="1" t="s">
        <v>24</v>
      </c>
      <c r="AD4333" s="1" t="s">
        <v>24</v>
      </c>
      <c r="AE4333" s="1" t="s">
        <v>24</v>
      </c>
      <c r="AF4333" s="22"/>
    </row>
    <row r="4334" spans="1:32" x14ac:dyDescent="0.2">
      <c r="A4334" s="1">
        <v>39195</v>
      </c>
      <c r="B4334" s="1" t="s">
        <v>13292</v>
      </c>
      <c r="C4334" s="5" t="s">
        <v>0</v>
      </c>
      <c r="D4334" s="4"/>
      <c r="E4334" s="4"/>
      <c r="F4334" s="1" t="s">
        <v>13293</v>
      </c>
      <c r="G4334" s="1" t="s">
        <v>13294</v>
      </c>
      <c r="H4334" s="1" t="s">
        <v>30</v>
      </c>
      <c r="I4334" s="1" t="s">
        <v>5001</v>
      </c>
      <c r="J4334" s="1">
        <v>1</v>
      </c>
      <c r="K4334" s="1">
        <v>9</v>
      </c>
      <c r="L4334" s="1" t="s">
        <v>42</v>
      </c>
      <c r="M4334" s="1" t="s">
        <v>18</v>
      </c>
      <c r="N4334" s="1" t="s">
        <v>18</v>
      </c>
      <c r="O4334" s="1">
        <v>3</v>
      </c>
      <c r="P4334" s="1">
        <v>5</v>
      </c>
      <c r="R4334" s="1" t="s">
        <v>19</v>
      </c>
      <c r="S4334" s="1" t="s">
        <v>20</v>
      </c>
      <c r="T4334" s="1" t="s">
        <v>21</v>
      </c>
      <c r="U4334" s="1" t="s">
        <v>22</v>
      </c>
      <c r="V4334" s="1" t="s">
        <v>24</v>
      </c>
      <c r="W4334" s="1" t="s">
        <v>24</v>
      </c>
      <c r="X4334" s="1">
        <v>3001</v>
      </c>
      <c r="Y4334" s="1">
        <v>1410</v>
      </c>
      <c r="Z4334" s="1" t="s">
        <v>24</v>
      </c>
      <c r="AA4334" s="1" t="s">
        <v>24</v>
      </c>
      <c r="AB4334" s="1" t="s">
        <v>24</v>
      </c>
      <c r="AC4334" s="1" t="s">
        <v>24</v>
      </c>
      <c r="AD4334" s="1" t="s">
        <v>24</v>
      </c>
      <c r="AE4334" s="1" t="s">
        <v>24</v>
      </c>
      <c r="AF4334" s="22" t="s">
        <v>17662</v>
      </c>
    </row>
    <row r="4335" spans="1:32" x14ac:dyDescent="0.2">
      <c r="A4335" s="1">
        <v>39237</v>
      </c>
      <c r="B4335" s="1" t="s">
        <v>13295</v>
      </c>
      <c r="C4335" s="5" t="s">
        <v>0</v>
      </c>
      <c r="D4335" s="1" t="s">
        <v>13296</v>
      </c>
      <c r="E4335" s="1" t="s">
        <v>13297</v>
      </c>
      <c r="F4335" s="1" t="s">
        <v>155</v>
      </c>
      <c r="G4335" s="1" t="s">
        <v>61</v>
      </c>
      <c r="H4335" s="1" t="s">
        <v>37</v>
      </c>
      <c r="I4335" s="1" t="s">
        <v>16</v>
      </c>
      <c r="J4335" s="1">
        <v>1</v>
      </c>
      <c r="K4335" s="1">
        <v>4</v>
      </c>
      <c r="L4335" s="1" t="s">
        <v>31</v>
      </c>
      <c r="M4335" s="1" t="s">
        <v>18</v>
      </c>
      <c r="N4335" s="1" t="s">
        <v>18</v>
      </c>
      <c r="O4335" s="1">
        <v>3</v>
      </c>
      <c r="P4335" s="1">
        <v>7</v>
      </c>
      <c r="Q4335" s="7" t="s">
        <v>17633</v>
      </c>
      <c r="R4335" s="1" t="s">
        <v>19</v>
      </c>
      <c r="S4335" s="1" t="s">
        <v>20</v>
      </c>
      <c r="T4335" s="1" t="s">
        <v>21</v>
      </c>
      <c r="U4335" s="1" t="s">
        <v>22</v>
      </c>
      <c r="V4335" s="1" t="s">
        <v>23</v>
      </c>
      <c r="W4335" s="1" t="s">
        <v>24</v>
      </c>
      <c r="X4335" s="1">
        <v>2725</v>
      </c>
      <c r="Y4335" s="1">
        <v>2739</v>
      </c>
      <c r="Z4335" s="1" t="s">
        <v>24</v>
      </c>
      <c r="AA4335" s="1" t="s">
        <v>24</v>
      </c>
      <c r="AB4335" s="1" t="s">
        <v>24</v>
      </c>
      <c r="AC4335" s="1" t="s">
        <v>24</v>
      </c>
      <c r="AD4335" s="1" t="s">
        <v>24</v>
      </c>
      <c r="AE4335" s="1" t="s">
        <v>24</v>
      </c>
      <c r="AF4335" s="22"/>
    </row>
    <row r="4336" spans="1:32" x14ac:dyDescent="0.2">
      <c r="A4336" s="1">
        <v>39238</v>
      </c>
      <c r="B4336" s="1" t="s">
        <v>13298</v>
      </c>
      <c r="C4336" s="5" t="s">
        <v>0</v>
      </c>
      <c r="D4336" s="1" t="s">
        <v>13299</v>
      </c>
      <c r="E4336" s="1" t="s">
        <v>13300</v>
      </c>
      <c r="F4336" s="1" t="s">
        <v>6159</v>
      </c>
      <c r="G4336" s="1" t="s">
        <v>61</v>
      </c>
      <c r="H4336" s="1" t="s">
        <v>168</v>
      </c>
      <c r="I4336" s="1" t="s">
        <v>16</v>
      </c>
      <c r="J4336" s="1">
        <v>1</v>
      </c>
      <c r="K4336" s="1">
        <v>4</v>
      </c>
      <c r="L4336" s="1" t="s">
        <v>31</v>
      </c>
      <c r="M4336" s="1" t="s">
        <v>18</v>
      </c>
      <c r="N4336" s="1" t="s">
        <v>18</v>
      </c>
      <c r="O4336" s="1">
        <v>3</v>
      </c>
      <c r="P4336" s="1">
        <v>7</v>
      </c>
      <c r="Q4336" s="7" t="s">
        <v>17633</v>
      </c>
      <c r="R4336" s="1" t="s">
        <v>19</v>
      </c>
      <c r="S4336" s="1" t="s">
        <v>20</v>
      </c>
      <c r="T4336" s="1" t="s">
        <v>21</v>
      </c>
      <c r="U4336" s="1" t="s">
        <v>22</v>
      </c>
      <c r="V4336" s="1" t="s">
        <v>23</v>
      </c>
      <c r="W4336" s="1" t="s">
        <v>24</v>
      </c>
      <c r="X4336" s="1">
        <v>2707</v>
      </c>
      <c r="Y4336" s="1" t="s">
        <v>24</v>
      </c>
      <c r="Z4336" s="1" t="s">
        <v>24</v>
      </c>
      <c r="AA4336" s="1" t="s">
        <v>24</v>
      </c>
      <c r="AB4336" s="1" t="s">
        <v>24</v>
      </c>
      <c r="AC4336" s="1" t="s">
        <v>24</v>
      </c>
      <c r="AD4336" s="1" t="s">
        <v>24</v>
      </c>
      <c r="AE4336" s="1" t="s">
        <v>24</v>
      </c>
      <c r="AF4336" s="22"/>
    </row>
    <row r="4337" spans="1:32" x14ac:dyDescent="0.2">
      <c r="A4337" s="1">
        <v>39241</v>
      </c>
      <c r="B4337" s="1" t="s">
        <v>13301</v>
      </c>
      <c r="C4337" s="5" t="s">
        <v>0</v>
      </c>
      <c r="D4337" s="1" t="s">
        <v>13302</v>
      </c>
      <c r="F4337" s="1" t="s">
        <v>272</v>
      </c>
      <c r="G4337" s="1" t="s">
        <v>61</v>
      </c>
      <c r="H4337" s="1" t="s">
        <v>30</v>
      </c>
      <c r="I4337" s="1" t="s">
        <v>16</v>
      </c>
      <c r="J4337" s="1">
        <v>1</v>
      </c>
      <c r="K4337" s="1">
        <v>12</v>
      </c>
      <c r="L4337" s="1" t="s">
        <v>31</v>
      </c>
      <c r="M4337" s="1" t="s">
        <v>18</v>
      </c>
      <c r="N4337" s="1" t="s">
        <v>18</v>
      </c>
      <c r="O4337" s="1">
        <v>3</v>
      </c>
      <c r="P4337" s="1">
        <v>7</v>
      </c>
      <c r="Q4337" s="7" t="s">
        <v>17633</v>
      </c>
      <c r="R4337" s="1" t="s">
        <v>19</v>
      </c>
      <c r="S4337" s="1" t="s">
        <v>20</v>
      </c>
      <c r="T4337" s="1" t="s">
        <v>21</v>
      </c>
      <c r="U4337" s="1" t="s">
        <v>22</v>
      </c>
      <c r="V4337" s="1" t="s">
        <v>23</v>
      </c>
      <c r="W4337" s="1" t="s">
        <v>24</v>
      </c>
      <c r="X4337" s="1">
        <v>2742</v>
      </c>
      <c r="Y4337" s="1">
        <v>2808</v>
      </c>
      <c r="Z4337" s="1">
        <v>2728</v>
      </c>
      <c r="AA4337" s="1">
        <v>3612</v>
      </c>
      <c r="AB4337" s="1" t="s">
        <v>24</v>
      </c>
      <c r="AC4337" s="1" t="s">
        <v>24</v>
      </c>
      <c r="AD4337" s="1" t="s">
        <v>24</v>
      </c>
      <c r="AE4337" s="1" t="s">
        <v>24</v>
      </c>
      <c r="AF4337" s="22"/>
    </row>
    <row r="4338" spans="1:32" x14ac:dyDescent="0.2">
      <c r="A4338" s="1">
        <v>39244</v>
      </c>
      <c r="B4338" s="1" t="s">
        <v>13303</v>
      </c>
      <c r="C4338" s="5" t="s">
        <v>0</v>
      </c>
      <c r="D4338" s="1" t="s">
        <v>13304</v>
      </c>
      <c r="E4338" s="1" t="s">
        <v>13305</v>
      </c>
      <c r="F4338" s="1" t="s">
        <v>91</v>
      </c>
      <c r="G4338" s="1" t="s">
        <v>61</v>
      </c>
      <c r="H4338" s="1" t="s">
        <v>92</v>
      </c>
      <c r="I4338" s="1" t="s">
        <v>16</v>
      </c>
      <c r="J4338" s="1">
        <v>1</v>
      </c>
      <c r="K4338" s="1">
        <v>4</v>
      </c>
      <c r="L4338" s="1" t="s">
        <v>31</v>
      </c>
      <c r="M4338" s="1" t="s">
        <v>18</v>
      </c>
      <c r="N4338" s="1" t="s">
        <v>18</v>
      </c>
      <c r="O4338" s="1">
        <v>3</v>
      </c>
      <c r="P4338" s="1">
        <v>7</v>
      </c>
      <c r="Q4338" s="7" t="s">
        <v>17633</v>
      </c>
      <c r="R4338" s="1" t="s">
        <v>19</v>
      </c>
      <c r="S4338" s="1" t="s">
        <v>63</v>
      </c>
      <c r="T4338" s="1" t="s">
        <v>21</v>
      </c>
      <c r="U4338" s="1" t="s">
        <v>22</v>
      </c>
      <c r="V4338" s="1" t="s">
        <v>23</v>
      </c>
      <c r="W4338" s="1" t="s">
        <v>24</v>
      </c>
      <c r="X4338" s="1">
        <v>2713</v>
      </c>
      <c r="Y4338" s="1">
        <v>2725</v>
      </c>
      <c r="Z4338" s="1">
        <v>2739</v>
      </c>
      <c r="AA4338" s="1">
        <v>2404</v>
      </c>
      <c r="AB4338" s="1">
        <v>2405</v>
      </c>
      <c r="AC4338" s="1">
        <v>2406</v>
      </c>
      <c r="AD4338" s="1" t="s">
        <v>24</v>
      </c>
      <c r="AE4338" s="1" t="s">
        <v>24</v>
      </c>
      <c r="AF4338" s="22"/>
    </row>
    <row r="4339" spans="1:32" x14ac:dyDescent="0.2">
      <c r="A4339" s="1">
        <v>39246</v>
      </c>
      <c r="B4339" s="1" t="s">
        <v>13306</v>
      </c>
      <c r="C4339" s="5" t="s">
        <v>0</v>
      </c>
      <c r="D4339" s="1" t="s">
        <v>13307</v>
      </c>
      <c r="E4339" s="1" t="s">
        <v>13308</v>
      </c>
      <c r="F4339" s="1" t="s">
        <v>1683</v>
      </c>
      <c r="G4339" s="1" t="s">
        <v>61</v>
      </c>
      <c r="H4339" s="1" t="s">
        <v>116</v>
      </c>
      <c r="I4339" s="1" t="s">
        <v>16</v>
      </c>
      <c r="J4339" s="1">
        <v>1</v>
      </c>
      <c r="K4339" s="1">
        <v>4</v>
      </c>
      <c r="L4339" s="1" t="s">
        <v>31</v>
      </c>
      <c r="M4339" s="1" t="s">
        <v>117</v>
      </c>
      <c r="N4339" s="1" t="s">
        <v>118</v>
      </c>
      <c r="O4339" s="1">
        <v>3</v>
      </c>
      <c r="P4339" s="1">
        <v>6</v>
      </c>
      <c r="R4339" s="1" t="s">
        <v>19</v>
      </c>
      <c r="S4339" s="1" t="s">
        <v>20</v>
      </c>
      <c r="T4339" s="1" t="s">
        <v>21</v>
      </c>
      <c r="U4339" s="1" t="s">
        <v>22</v>
      </c>
      <c r="V4339" s="1" t="s">
        <v>24</v>
      </c>
      <c r="W4339" s="1" t="s">
        <v>24</v>
      </c>
      <c r="X4339" s="1">
        <v>2704</v>
      </c>
      <c r="Y4339" s="1">
        <v>1308</v>
      </c>
      <c r="Z4339" s="1" t="s">
        <v>24</v>
      </c>
      <c r="AA4339" s="1" t="s">
        <v>24</v>
      </c>
      <c r="AB4339" s="1" t="s">
        <v>24</v>
      </c>
      <c r="AC4339" s="1" t="s">
        <v>24</v>
      </c>
      <c r="AD4339" s="1" t="s">
        <v>24</v>
      </c>
      <c r="AE4339" s="1" t="s">
        <v>24</v>
      </c>
      <c r="AF4339" s="22"/>
    </row>
    <row r="4340" spans="1:32" x14ac:dyDescent="0.2">
      <c r="A4340" s="1">
        <v>39248</v>
      </c>
      <c r="B4340" s="1" t="s">
        <v>13309</v>
      </c>
      <c r="C4340" s="5" t="s">
        <v>0</v>
      </c>
      <c r="D4340" s="1" t="s">
        <v>13310</v>
      </c>
      <c r="E4340" s="1" t="s">
        <v>13311</v>
      </c>
      <c r="F4340" s="1" t="s">
        <v>175</v>
      </c>
      <c r="G4340" s="1" t="s">
        <v>61</v>
      </c>
      <c r="H4340" s="1" t="s">
        <v>116</v>
      </c>
      <c r="I4340" s="1" t="s">
        <v>16</v>
      </c>
      <c r="J4340" s="1">
        <v>1</v>
      </c>
      <c r="K4340" s="1">
        <v>6</v>
      </c>
      <c r="L4340" s="1" t="s">
        <v>31</v>
      </c>
      <c r="M4340" s="1" t="s">
        <v>117</v>
      </c>
      <c r="N4340" s="1" t="s">
        <v>117</v>
      </c>
      <c r="O4340" s="1">
        <v>0</v>
      </c>
      <c r="P4340" s="1">
        <v>6</v>
      </c>
      <c r="R4340" s="1" t="s">
        <v>19</v>
      </c>
      <c r="S4340" s="1" t="s">
        <v>20</v>
      </c>
      <c r="T4340" s="1" t="s">
        <v>21</v>
      </c>
      <c r="U4340" s="1" t="s">
        <v>22</v>
      </c>
      <c r="V4340" s="1" t="s">
        <v>24</v>
      </c>
      <c r="W4340" s="1" t="s">
        <v>24</v>
      </c>
      <c r="X4340" s="1">
        <v>2735</v>
      </c>
      <c r="Y4340" s="1" t="s">
        <v>24</v>
      </c>
      <c r="Z4340" s="1" t="s">
        <v>24</v>
      </c>
      <c r="AA4340" s="1" t="s">
        <v>24</v>
      </c>
      <c r="AB4340" s="1" t="s">
        <v>24</v>
      </c>
      <c r="AC4340" s="1" t="s">
        <v>24</v>
      </c>
      <c r="AD4340" s="1" t="s">
        <v>24</v>
      </c>
      <c r="AE4340" s="1" t="s">
        <v>24</v>
      </c>
      <c r="AF4340" s="22"/>
    </row>
    <row r="4341" spans="1:32" x14ac:dyDescent="0.2">
      <c r="A4341" s="1">
        <v>39251</v>
      </c>
      <c r="B4341" s="1" t="s">
        <v>13312</v>
      </c>
      <c r="C4341" s="5" t="s">
        <v>0</v>
      </c>
      <c r="D4341" s="1" t="s">
        <v>13313</v>
      </c>
      <c r="E4341" s="1" t="s">
        <v>13314</v>
      </c>
      <c r="F4341" s="1" t="s">
        <v>1683</v>
      </c>
      <c r="G4341" s="1" t="s">
        <v>61</v>
      </c>
      <c r="H4341" s="1" t="s">
        <v>116</v>
      </c>
      <c r="I4341" s="1" t="s">
        <v>16</v>
      </c>
      <c r="J4341" s="1">
        <v>1</v>
      </c>
      <c r="K4341" s="1">
        <v>4</v>
      </c>
      <c r="L4341" s="1" t="s">
        <v>31</v>
      </c>
      <c r="M4341" s="1" t="s">
        <v>117</v>
      </c>
      <c r="N4341" s="1" t="s">
        <v>118</v>
      </c>
      <c r="O4341" s="1">
        <v>3</v>
      </c>
      <c r="P4341" s="1">
        <v>6</v>
      </c>
      <c r="R4341" s="1" t="s">
        <v>19</v>
      </c>
      <c r="S4341" s="1" t="s">
        <v>20</v>
      </c>
      <c r="T4341" s="1" t="s">
        <v>21</v>
      </c>
      <c r="U4341" s="1" t="s">
        <v>22</v>
      </c>
      <c r="V4341" s="1" t="s">
        <v>23</v>
      </c>
      <c r="W4341" s="1" t="s">
        <v>24</v>
      </c>
      <c r="X4341" s="1">
        <v>2738</v>
      </c>
      <c r="Y4341" s="1" t="s">
        <v>24</v>
      </c>
      <c r="Z4341" s="1" t="s">
        <v>24</v>
      </c>
      <c r="AA4341" s="1" t="s">
        <v>24</v>
      </c>
      <c r="AB4341" s="1" t="s">
        <v>24</v>
      </c>
      <c r="AC4341" s="1" t="s">
        <v>24</v>
      </c>
      <c r="AD4341" s="1" t="s">
        <v>24</v>
      </c>
      <c r="AE4341" s="1" t="s">
        <v>24</v>
      </c>
      <c r="AF4341" s="22"/>
    </row>
    <row r="4342" spans="1:32" x14ac:dyDescent="0.2">
      <c r="A4342" s="1">
        <v>39252</v>
      </c>
      <c r="B4342" s="1" t="s">
        <v>13315</v>
      </c>
      <c r="C4342" s="5" t="s">
        <v>0</v>
      </c>
      <c r="D4342" s="1" t="s">
        <v>13316</v>
      </c>
      <c r="E4342" s="1" t="s">
        <v>13317</v>
      </c>
      <c r="F4342" s="1" t="s">
        <v>1683</v>
      </c>
      <c r="G4342" s="1" t="s">
        <v>61</v>
      </c>
      <c r="H4342" s="1" t="s">
        <v>116</v>
      </c>
      <c r="I4342" s="1" t="s">
        <v>16</v>
      </c>
      <c r="J4342" s="1">
        <v>1</v>
      </c>
      <c r="K4342" s="1">
        <v>4</v>
      </c>
      <c r="L4342" s="1" t="s">
        <v>31</v>
      </c>
      <c r="M4342" s="1" t="s">
        <v>117</v>
      </c>
      <c r="N4342" s="1" t="s">
        <v>118</v>
      </c>
      <c r="O4342" s="1">
        <v>3</v>
      </c>
      <c r="P4342" s="1">
        <v>6</v>
      </c>
      <c r="R4342" s="1" t="s">
        <v>19</v>
      </c>
      <c r="S4342" s="1" t="s">
        <v>20</v>
      </c>
      <c r="T4342" s="1" t="s">
        <v>21</v>
      </c>
      <c r="U4342" s="1" t="s">
        <v>22</v>
      </c>
      <c r="V4342" s="1" t="s">
        <v>23</v>
      </c>
      <c r="W4342" s="1" t="s">
        <v>24</v>
      </c>
      <c r="X4342" s="1">
        <v>2707</v>
      </c>
      <c r="Y4342" s="1" t="s">
        <v>24</v>
      </c>
      <c r="Z4342" s="1" t="s">
        <v>24</v>
      </c>
      <c r="AA4342" s="1" t="s">
        <v>24</v>
      </c>
      <c r="AB4342" s="1" t="s">
        <v>24</v>
      </c>
      <c r="AC4342" s="1" t="s">
        <v>24</v>
      </c>
      <c r="AD4342" s="1" t="s">
        <v>24</v>
      </c>
      <c r="AE4342" s="1" t="s">
        <v>24</v>
      </c>
      <c r="AF4342" s="22"/>
    </row>
    <row r="4343" spans="1:32" x14ac:dyDescent="0.2">
      <c r="A4343" s="1">
        <v>39275</v>
      </c>
      <c r="B4343" s="1" t="s">
        <v>13318</v>
      </c>
      <c r="C4343" s="5" t="s">
        <v>0</v>
      </c>
      <c r="D4343" s="1" t="s">
        <v>13319</v>
      </c>
      <c r="F4343" s="1" t="s">
        <v>13320</v>
      </c>
      <c r="G4343" s="1" t="s">
        <v>13320</v>
      </c>
      <c r="H4343" s="1" t="s">
        <v>135</v>
      </c>
      <c r="I4343" s="1" t="s">
        <v>16</v>
      </c>
      <c r="J4343" s="1">
        <v>1</v>
      </c>
      <c r="K4343" s="1">
        <v>4</v>
      </c>
      <c r="L4343" s="1" t="s">
        <v>42</v>
      </c>
      <c r="M4343" s="1" t="s">
        <v>18</v>
      </c>
      <c r="N4343" s="1" t="s">
        <v>18</v>
      </c>
      <c r="O4343" s="1">
        <v>2</v>
      </c>
      <c r="P4343" s="1">
        <v>5</v>
      </c>
      <c r="R4343" s="1" t="s">
        <v>19</v>
      </c>
      <c r="S4343" s="1" t="s">
        <v>20</v>
      </c>
      <c r="T4343" s="1" t="s">
        <v>21</v>
      </c>
      <c r="U4343" s="1" t="s">
        <v>22</v>
      </c>
      <c r="V4343" s="1" t="s">
        <v>24</v>
      </c>
      <c r="W4343" s="1" t="s">
        <v>24</v>
      </c>
      <c r="X4343" s="1">
        <v>2738</v>
      </c>
      <c r="Y4343" s="1">
        <v>2728</v>
      </c>
      <c r="Z4343" s="1">
        <v>2802</v>
      </c>
      <c r="AA4343" s="1">
        <v>2803</v>
      </c>
      <c r="AB4343" s="1">
        <v>2805</v>
      </c>
      <c r="AC4343" s="1">
        <v>2808</v>
      </c>
      <c r="AD4343" s="1" t="s">
        <v>24</v>
      </c>
      <c r="AE4343" s="1" t="s">
        <v>24</v>
      </c>
      <c r="AF4343" s="22"/>
    </row>
    <row r="4344" spans="1:32" x14ac:dyDescent="0.2">
      <c r="A4344" s="1">
        <v>39317</v>
      </c>
      <c r="B4344" s="1" t="s">
        <v>13321</v>
      </c>
      <c r="C4344" s="5" t="s">
        <v>0</v>
      </c>
      <c r="D4344" s="1" t="s">
        <v>13322</v>
      </c>
      <c r="E4344" s="1" t="s">
        <v>3177</v>
      </c>
      <c r="F4344" s="1" t="s">
        <v>6028</v>
      </c>
      <c r="G4344" s="1" t="s">
        <v>6028</v>
      </c>
      <c r="H4344" s="1" t="s">
        <v>30</v>
      </c>
      <c r="I4344" s="1" t="s">
        <v>16</v>
      </c>
      <c r="J4344" s="1">
        <v>1</v>
      </c>
      <c r="K4344" s="1">
        <v>1</v>
      </c>
      <c r="L4344" s="1" t="s">
        <v>42</v>
      </c>
      <c r="M4344" s="1" t="s">
        <v>18</v>
      </c>
      <c r="N4344" s="1" t="s">
        <v>18</v>
      </c>
      <c r="O4344" s="1">
        <v>0</v>
      </c>
      <c r="P4344" s="1">
        <v>7</v>
      </c>
      <c r="Q4344" s="7" t="s">
        <v>17633</v>
      </c>
      <c r="R4344" s="1" t="s">
        <v>19</v>
      </c>
      <c r="S4344" s="1" t="s">
        <v>20</v>
      </c>
      <c r="T4344" s="1" t="s">
        <v>21</v>
      </c>
      <c r="U4344" s="1" t="s">
        <v>22</v>
      </c>
      <c r="V4344" s="1" t="s">
        <v>24</v>
      </c>
      <c r="W4344" s="1" t="s">
        <v>24</v>
      </c>
      <c r="X4344" s="1">
        <v>2728</v>
      </c>
      <c r="Y4344" s="1">
        <v>2746</v>
      </c>
      <c r="Z4344" s="1" t="s">
        <v>24</v>
      </c>
      <c r="AA4344" s="1" t="s">
        <v>24</v>
      </c>
      <c r="AB4344" s="1" t="s">
        <v>24</v>
      </c>
      <c r="AC4344" s="1" t="s">
        <v>24</v>
      </c>
      <c r="AD4344" s="1" t="s">
        <v>24</v>
      </c>
      <c r="AE4344" s="1" t="s">
        <v>24</v>
      </c>
      <c r="AF4344" s="22" t="s">
        <v>17670</v>
      </c>
    </row>
    <row r="4345" spans="1:32" x14ac:dyDescent="0.2">
      <c r="A4345" s="1">
        <v>39361</v>
      </c>
      <c r="B4345" s="1" t="s">
        <v>13323</v>
      </c>
      <c r="C4345" s="5" t="s">
        <v>0</v>
      </c>
      <c r="D4345" s="1" t="s">
        <v>13324</v>
      </c>
      <c r="E4345" s="1" t="s">
        <v>13325</v>
      </c>
      <c r="F4345" s="1" t="s">
        <v>1683</v>
      </c>
      <c r="G4345" s="1" t="s">
        <v>61</v>
      </c>
      <c r="H4345" s="1" t="s">
        <v>116</v>
      </c>
      <c r="I4345" s="1" t="s">
        <v>16</v>
      </c>
      <c r="J4345" s="1">
        <v>1</v>
      </c>
      <c r="K4345" s="1">
        <v>6</v>
      </c>
      <c r="L4345" s="1" t="s">
        <v>31</v>
      </c>
      <c r="M4345" s="1" t="s">
        <v>117</v>
      </c>
      <c r="N4345" s="1" t="s">
        <v>118</v>
      </c>
      <c r="O4345" s="1">
        <v>2</v>
      </c>
      <c r="P4345" s="1">
        <v>6</v>
      </c>
      <c r="R4345" s="1" t="s">
        <v>19</v>
      </c>
      <c r="S4345" s="1" t="s">
        <v>20</v>
      </c>
      <c r="T4345" s="1" t="s">
        <v>21</v>
      </c>
      <c r="U4345" s="1" t="s">
        <v>22</v>
      </c>
      <c r="V4345" s="1" t="s">
        <v>24</v>
      </c>
      <c r="W4345" s="1" t="s">
        <v>24</v>
      </c>
      <c r="X4345" s="1">
        <v>2724</v>
      </c>
      <c r="Y4345" s="1">
        <v>2705</v>
      </c>
      <c r="Z4345" s="1" t="s">
        <v>24</v>
      </c>
      <c r="AA4345" s="1" t="s">
        <v>24</v>
      </c>
      <c r="AB4345" s="1" t="s">
        <v>24</v>
      </c>
      <c r="AC4345" s="1" t="s">
        <v>24</v>
      </c>
      <c r="AD4345" s="1" t="s">
        <v>24</v>
      </c>
      <c r="AE4345" s="1" t="s">
        <v>24</v>
      </c>
      <c r="AF4345" s="22"/>
    </row>
    <row r="4346" spans="1:32" x14ac:dyDescent="0.2">
      <c r="A4346" s="1">
        <v>39371</v>
      </c>
      <c r="B4346" s="1" t="s">
        <v>13326</v>
      </c>
      <c r="C4346" s="5" t="s">
        <v>0</v>
      </c>
      <c r="D4346" s="1" t="s">
        <v>13327</v>
      </c>
      <c r="F4346" s="1" t="s">
        <v>13328</v>
      </c>
      <c r="G4346" s="1" t="s">
        <v>13328</v>
      </c>
      <c r="H4346" s="1" t="s">
        <v>37</v>
      </c>
      <c r="I4346" s="1" t="s">
        <v>16</v>
      </c>
      <c r="J4346" s="1">
        <v>1</v>
      </c>
      <c r="K4346" s="1">
        <v>4</v>
      </c>
      <c r="L4346" s="1" t="s">
        <v>42</v>
      </c>
      <c r="M4346" s="1" t="s">
        <v>18</v>
      </c>
      <c r="N4346" s="1" t="s">
        <v>18</v>
      </c>
      <c r="O4346" s="1">
        <v>3</v>
      </c>
      <c r="P4346" s="1">
        <v>6</v>
      </c>
      <c r="R4346" s="1" t="s">
        <v>19</v>
      </c>
      <c r="S4346" s="1" t="s">
        <v>20</v>
      </c>
      <c r="T4346" s="1" t="s">
        <v>21</v>
      </c>
      <c r="U4346" s="1" t="s">
        <v>22</v>
      </c>
      <c r="V4346" s="1" t="s">
        <v>24</v>
      </c>
      <c r="W4346" s="1" t="s">
        <v>24</v>
      </c>
      <c r="X4346" s="1">
        <v>1103</v>
      </c>
      <c r="Y4346" s="1">
        <v>1105</v>
      </c>
      <c r="Z4346" s="1" t="s">
        <v>24</v>
      </c>
      <c r="AA4346" s="1" t="s">
        <v>24</v>
      </c>
      <c r="AB4346" s="1" t="s">
        <v>24</v>
      </c>
      <c r="AC4346" s="1" t="s">
        <v>24</v>
      </c>
      <c r="AD4346" s="1" t="s">
        <v>24</v>
      </c>
      <c r="AE4346" s="1" t="s">
        <v>24</v>
      </c>
      <c r="AF4346" s="22"/>
    </row>
    <row r="4347" spans="1:32" x14ac:dyDescent="0.2">
      <c r="A4347" s="1">
        <v>39405</v>
      </c>
      <c r="B4347" s="1" t="s">
        <v>13329</v>
      </c>
      <c r="C4347" s="5" t="s">
        <v>0</v>
      </c>
      <c r="E4347" s="1" t="s">
        <v>13330</v>
      </c>
      <c r="F4347" s="1" t="s">
        <v>6405</v>
      </c>
      <c r="G4347" s="1" t="s">
        <v>6406</v>
      </c>
      <c r="H4347" s="1" t="s">
        <v>92</v>
      </c>
      <c r="I4347" s="1" t="s">
        <v>16</v>
      </c>
      <c r="J4347" s="1">
        <v>1</v>
      </c>
      <c r="K4347" s="1">
        <v>1</v>
      </c>
      <c r="L4347" s="1" t="s">
        <v>31</v>
      </c>
      <c r="M4347" s="1" t="s">
        <v>18</v>
      </c>
      <c r="N4347" s="1" t="s">
        <v>18</v>
      </c>
      <c r="O4347" s="1">
        <v>3</v>
      </c>
      <c r="P4347" s="1">
        <v>7</v>
      </c>
      <c r="Q4347" s="7" t="s">
        <v>17633</v>
      </c>
      <c r="R4347" s="1" t="s">
        <v>19</v>
      </c>
      <c r="S4347" s="1" t="s">
        <v>63</v>
      </c>
      <c r="T4347" s="1" t="s">
        <v>21</v>
      </c>
      <c r="U4347" s="1" t="s">
        <v>22</v>
      </c>
      <c r="V4347" s="1" t="s">
        <v>24</v>
      </c>
      <c r="W4347" s="1" t="s">
        <v>24</v>
      </c>
      <c r="X4347" s="1">
        <v>1502</v>
      </c>
      <c r="Y4347" s="1">
        <v>2701</v>
      </c>
      <c r="Z4347" s="1">
        <v>2204</v>
      </c>
      <c r="AA4347" s="1" t="s">
        <v>24</v>
      </c>
      <c r="AB4347" s="1" t="s">
        <v>24</v>
      </c>
      <c r="AC4347" s="1" t="s">
        <v>24</v>
      </c>
      <c r="AD4347" s="1" t="s">
        <v>24</v>
      </c>
      <c r="AE4347" s="1" t="s">
        <v>24</v>
      </c>
      <c r="AF4347" s="22"/>
    </row>
    <row r="4348" spans="1:32" x14ac:dyDescent="0.2">
      <c r="A4348" s="1">
        <v>39406</v>
      </c>
      <c r="B4348" s="1" t="s">
        <v>13331</v>
      </c>
      <c r="C4348" s="5" t="s">
        <v>0</v>
      </c>
      <c r="E4348" s="1" t="s">
        <v>13332</v>
      </c>
      <c r="F4348" s="1" t="s">
        <v>6405</v>
      </c>
      <c r="G4348" s="1" t="s">
        <v>6406</v>
      </c>
      <c r="H4348" s="1" t="s">
        <v>92</v>
      </c>
      <c r="I4348" s="1" t="s">
        <v>16</v>
      </c>
      <c r="J4348" s="1">
        <v>1</v>
      </c>
      <c r="K4348" s="1">
        <v>1</v>
      </c>
      <c r="L4348" s="1" t="s">
        <v>31</v>
      </c>
      <c r="M4348" s="1" t="s">
        <v>18</v>
      </c>
      <c r="N4348" s="1" t="s">
        <v>18</v>
      </c>
      <c r="O4348" s="1">
        <v>3</v>
      </c>
      <c r="P4348" s="1">
        <v>7</v>
      </c>
      <c r="Q4348" s="7" t="s">
        <v>17633</v>
      </c>
      <c r="R4348" s="1" t="s">
        <v>19</v>
      </c>
      <c r="S4348" s="1" t="s">
        <v>63</v>
      </c>
      <c r="T4348" s="1" t="s">
        <v>21</v>
      </c>
      <c r="U4348" s="1" t="s">
        <v>22</v>
      </c>
      <c r="V4348" s="1" t="s">
        <v>24</v>
      </c>
      <c r="W4348" s="1" t="s">
        <v>24</v>
      </c>
      <c r="X4348" s="1">
        <v>2204</v>
      </c>
      <c r="Y4348" s="1">
        <v>1305</v>
      </c>
      <c r="Z4348" s="1">
        <v>1303</v>
      </c>
      <c r="AA4348" s="1">
        <v>1304</v>
      </c>
      <c r="AB4348" s="1">
        <v>1502</v>
      </c>
      <c r="AC4348" s="1" t="s">
        <v>24</v>
      </c>
      <c r="AD4348" s="1" t="s">
        <v>24</v>
      </c>
      <c r="AE4348" s="1" t="s">
        <v>24</v>
      </c>
      <c r="AF4348" s="22"/>
    </row>
    <row r="4349" spans="1:32" x14ac:dyDescent="0.2">
      <c r="A4349" s="1">
        <v>39576</v>
      </c>
      <c r="B4349" s="1" t="s">
        <v>13333</v>
      </c>
      <c r="C4349" s="5" t="s">
        <v>0</v>
      </c>
      <c r="D4349" s="1" t="s">
        <v>13334</v>
      </c>
      <c r="E4349" s="1" t="s">
        <v>13335</v>
      </c>
      <c r="F4349" s="1" t="s">
        <v>6405</v>
      </c>
      <c r="G4349" s="1" t="s">
        <v>6406</v>
      </c>
      <c r="H4349" s="1" t="s">
        <v>92</v>
      </c>
      <c r="I4349" s="1" t="s">
        <v>16</v>
      </c>
      <c r="J4349" s="1">
        <v>1</v>
      </c>
      <c r="K4349" s="1">
        <v>4</v>
      </c>
      <c r="L4349" s="1" t="s">
        <v>31</v>
      </c>
      <c r="M4349" s="1" t="s">
        <v>18</v>
      </c>
      <c r="N4349" s="1" t="s">
        <v>18</v>
      </c>
      <c r="O4349" s="1">
        <v>3</v>
      </c>
      <c r="P4349" s="1">
        <v>6</v>
      </c>
      <c r="R4349" s="1" t="s">
        <v>19</v>
      </c>
      <c r="S4349" s="1" t="s">
        <v>20</v>
      </c>
      <c r="T4349" s="1" t="s">
        <v>21</v>
      </c>
      <c r="U4349" s="1" t="s">
        <v>22</v>
      </c>
      <c r="V4349" s="1" t="s">
        <v>24</v>
      </c>
      <c r="W4349" s="1" t="s">
        <v>24</v>
      </c>
      <c r="X4349" s="1">
        <v>1311</v>
      </c>
      <c r="Y4349" s="1">
        <v>1313</v>
      </c>
      <c r="Z4349" s="1">
        <v>3004</v>
      </c>
      <c r="AA4349" s="1">
        <v>1312</v>
      </c>
      <c r="AB4349" s="1">
        <v>2716</v>
      </c>
      <c r="AC4349" s="1" t="s">
        <v>24</v>
      </c>
      <c r="AD4349" s="1" t="s">
        <v>24</v>
      </c>
      <c r="AE4349" s="1" t="s">
        <v>24</v>
      </c>
      <c r="AF4349" s="22"/>
    </row>
    <row r="4350" spans="1:32" x14ac:dyDescent="0.2">
      <c r="A4350" s="1">
        <v>39577</v>
      </c>
      <c r="B4350" s="1" t="s">
        <v>13336</v>
      </c>
      <c r="C4350" s="5" t="s">
        <v>0</v>
      </c>
      <c r="D4350" s="1" t="s">
        <v>13337</v>
      </c>
      <c r="E4350" s="1" t="s">
        <v>13338</v>
      </c>
      <c r="F4350" s="1" t="s">
        <v>190</v>
      </c>
      <c r="G4350" s="1" t="s">
        <v>130</v>
      </c>
      <c r="H4350" s="1" t="s">
        <v>30</v>
      </c>
      <c r="I4350" s="1" t="s">
        <v>16</v>
      </c>
      <c r="J4350" s="1">
        <v>1</v>
      </c>
      <c r="K4350" s="1">
        <v>12</v>
      </c>
      <c r="L4350" s="1" t="s">
        <v>31</v>
      </c>
      <c r="M4350" s="1" t="s">
        <v>18</v>
      </c>
      <c r="N4350" s="1" t="s">
        <v>18</v>
      </c>
      <c r="O4350" s="1">
        <v>3</v>
      </c>
      <c r="P4350" s="1">
        <v>7</v>
      </c>
      <c r="Q4350" s="7" t="s">
        <v>17633</v>
      </c>
      <c r="R4350" s="1" t="s">
        <v>19</v>
      </c>
      <c r="S4350" s="1" t="s">
        <v>20</v>
      </c>
      <c r="T4350" s="1" t="s">
        <v>21</v>
      </c>
      <c r="U4350" s="1" t="s">
        <v>22</v>
      </c>
      <c r="V4350" s="1" t="s">
        <v>23</v>
      </c>
      <c r="W4350" s="1" t="s">
        <v>24</v>
      </c>
      <c r="X4350" s="1">
        <v>2746</v>
      </c>
      <c r="Y4350" s="1" t="s">
        <v>24</v>
      </c>
      <c r="Z4350" s="1" t="s">
        <v>24</v>
      </c>
      <c r="AA4350" s="1" t="s">
        <v>24</v>
      </c>
      <c r="AB4350" s="1" t="s">
        <v>24</v>
      </c>
      <c r="AC4350" s="1" t="s">
        <v>24</v>
      </c>
      <c r="AD4350" s="1" t="s">
        <v>24</v>
      </c>
      <c r="AE4350" s="1" t="s">
        <v>24</v>
      </c>
      <c r="AF4350" s="22"/>
    </row>
    <row r="4351" spans="1:32" x14ac:dyDescent="0.2">
      <c r="A4351" s="1">
        <v>39583</v>
      </c>
      <c r="B4351" s="1" t="s">
        <v>13339</v>
      </c>
      <c r="C4351" s="5" t="s">
        <v>0</v>
      </c>
      <c r="D4351" s="1" t="s">
        <v>13340</v>
      </c>
      <c r="E4351" s="1" t="s">
        <v>13341</v>
      </c>
      <c r="F4351" s="1" t="s">
        <v>1808</v>
      </c>
      <c r="G4351" s="1" t="s">
        <v>130</v>
      </c>
      <c r="H4351" s="1" t="s">
        <v>461</v>
      </c>
      <c r="I4351" s="1" t="s">
        <v>16</v>
      </c>
      <c r="J4351" s="1">
        <v>1</v>
      </c>
      <c r="K4351" s="1">
        <v>10</v>
      </c>
      <c r="L4351" s="1" t="s">
        <v>31</v>
      </c>
      <c r="M4351" s="1" t="s">
        <v>18</v>
      </c>
      <c r="N4351" s="1" t="s">
        <v>18</v>
      </c>
      <c r="O4351" s="1">
        <v>3</v>
      </c>
      <c r="P4351" s="1">
        <v>7</v>
      </c>
      <c r="Q4351" s="7" t="s">
        <v>17633</v>
      </c>
      <c r="R4351" s="1" t="s">
        <v>19</v>
      </c>
      <c r="S4351" s="1" t="s">
        <v>20</v>
      </c>
      <c r="T4351" s="1" t="s">
        <v>21</v>
      </c>
      <c r="U4351" s="1" t="s">
        <v>22</v>
      </c>
      <c r="V4351" s="1" t="s">
        <v>23</v>
      </c>
      <c r="W4351" s="1" t="s">
        <v>24</v>
      </c>
      <c r="X4351" s="1">
        <v>2741</v>
      </c>
      <c r="Y4351" s="1" t="s">
        <v>24</v>
      </c>
      <c r="Z4351" s="1" t="s">
        <v>24</v>
      </c>
      <c r="AA4351" s="1" t="s">
        <v>24</v>
      </c>
      <c r="AB4351" s="1" t="s">
        <v>24</v>
      </c>
      <c r="AC4351" s="1" t="s">
        <v>24</v>
      </c>
      <c r="AD4351" s="1" t="s">
        <v>24</v>
      </c>
      <c r="AE4351" s="1" t="s">
        <v>24</v>
      </c>
      <c r="AF4351" s="22"/>
    </row>
    <row r="4352" spans="1:32" x14ac:dyDescent="0.2">
      <c r="A4352" s="1">
        <v>39599</v>
      </c>
      <c r="B4352" s="1" t="s">
        <v>13342</v>
      </c>
      <c r="C4352" s="5" t="s">
        <v>0</v>
      </c>
      <c r="D4352" s="1" t="s">
        <v>13343</v>
      </c>
      <c r="F4352" s="1" t="s">
        <v>13344</v>
      </c>
      <c r="G4352" s="1" t="s">
        <v>13344</v>
      </c>
      <c r="H4352" s="1" t="s">
        <v>30</v>
      </c>
      <c r="I4352" s="1" t="s">
        <v>5001</v>
      </c>
      <c r="J4352" s="1">
        <v>1</v>
      </c>
      <c r="K4352" s="1">
        <v>10</v>
      </c>
      <c r="L4352" s="1" t="s">
        <v>42</v>
      </c>
      <c r="M4352" s="1" t="s">
        <v>18</v>
      </c>
      <c r="N4352" s="1" t="s">
        <v>18</v>
      </c>
      <c r="O4352" s="1">
        <v>0</v>
      </c>
      <c r="P4352" s="1">
        <v>5</v>
      </c>
      <c r="R4352" s="1" t="s">
        <v>19</v>
      </c>
      <c r="S4352" s="1" t="s">
        <v>20</v>
      </c>
      <c r="T4352" s="1" t="s">
        <v>21</v>
      </c>
      <c r="U4352" s="1" t="s">
        <v>22</v>
      </c>
      <c r="V4352" s="1" t="s">
        <v>24</v>
      </c>
      <c r="W4352" s="1" t="s">
        <v>24</v>
      </c>
      <c r="X4352" s="1">
        <v>3001</v>
      </c>
      <c r="Y4352" s="1" t="s">
        <v>24</v>
      </c>
      <c r="Z4352" s="1" t="s">
        <v>24</v>
      </c>
      <c r="AA4352" s="1" t="s">
        <v>24</v>
      </c>
      <c r="AB4352" s="1" t="s">
        <v>24</v>
      </c>
      <c r="AC4352" s="1" t="s">
        <v>24</v>
      </c>
      <c r="AD4352" s="1" t="s">
        <v>24</v>
      </c>
      <c r="AE4352" s="1" t="s">
        <v>24</v>
      </c>
      <c r="AF4352" s="22"/>
    </row>
    <row r="4353" spans="1:32" x14ac:dyDescent="0.2">
      <c r="A4353" s="1">
        <v>39600</v>
      </c>
      <c r="B4353" s="1" t="s">
        <v>13345</v>
      </c>
      <c r="C4353" s="5" t="s">
        <v>0</v>
      </c>
      <c r="D4353" s="1" t="s">
        <v>13346</v>
      </c>
      <c r="F4353" s="1" t="s">
        <v>3134</v>
      </c>
      <c r="G4353" s="1" t="s">
        <v>3134</v>
      </c>
      <c r="H4353" s="1" t="s">
        <v>249</v>
      </c>
      <c r="I4353" s="1" t="s">
        <v>16</v>
      </c>
      <c r="J4353" s="1">
        <v>1</v>
      </c>
      <c r="K4353" s="1">
        <v>4</v>
      </c>
      <c r="L4353" s="1" t="s">
        <v>42</v>
      </c>
      <c r="M4353" s="1" t="s">
        <v>1463</v>
      </c>
      <c r="N4353" s="1" t="s">
        <v>1463</v>
      </c>
      <c r="O4353" s="1">
        <v>3</v>
      </c>
      <c r="P4353" s="1">
        <v>6</v>
      </c>
      <c r="R4353" s="1" t="s">
        <v>19</v>
      </c>
      <c r="S4353" s="1" t="s">
        <v>20</v>
      </c>
      <c r="T4353" s="1" t="s">
        <v>21</v>
      </c>
      <c r="U4353" s="1" t="s">
        <v>22</v>
      </c>
      <c r="V4353" s="1" t="s">
        <v>24</v>
      </c>
      <c r="W4353" s="1" t="s">
        <v>24</v>
      </c>
      <c r="X4353" s="1">
        <v>2738</v>
      </c>
      <c r="Y4353" s="1">
        <v>2802</v>
      </c>
      <c r="Z4353" s="1">
        <v>3206</v>
      </c>
      <c r="AA4353" s="1" t="s">
        <v>24</v>
      </c>
      <c r="AB4353" s="1" t="s">
        <v>24</v>
      </c>
      <c r="AC4353" s="1" t="s">
        <v>24</v>
      </c>
      <c r="AD4353" s="1" t="s">
        <v>24</v>
      </c>
      <c r="AE4353" s="1" t="s">
        <v>24</v>
      </c>
      <c r="AF4353" s="22"/>
    </row>
    <row r="4354" spans="1:32" x14ac:dyDescent="0.2">
      <c r="A4354" s="1">
        <v>39601</v>
      </c>
      <c r="B4354" s="1" t="s">
        <v>13347</v>
      </c>
      <c r="C4354" s="5" t="s">
        <v>0</v>
      </c>
      <c r="D4354" s="1" t="s">
        <v>13348</v>
      </c>
      <c r="E4354" s="1" t="s">
        <v>13349</v>
      </c>
      <c r="F4354" s="1" t="s">
        <v>10332</v>
      </c>
      <c r="G4354" s="1" t="s">
        <v>10332</v>
      </c>
      <c r="H4354" s="1" t="s">
        <v>30</v>
      </c>
      <c r="I4354" s="1" t="s">
        <v>16</v>
      </c>
      <c r="J4354" s="1">
        <v>1</v>
      </c>
      <c r="K4354" s="1">
        <v>4</v>
      </c>
      <c r="L4354" s="1" t="s">
        <v>42</v>
      </c>
      <c r="M4354" s="1" t="s">
        <v>18</v>
      </c>
      <c r="N4354" s="1" t="s">
        <v>18</v>
      </c>
      <c r="O4354" s="1">
        <v>3</v>
      </c>
      <c r="P4354" s="1">
        <v>6</v>
      </c>
      <c r="R4354" s="1" t="s">
        <v>19</v>
      </c>
      <c r="S4354" s="1" t="s">
        <v>63</v>
      </c>
      <c r="T4354" s="1" t="s">
        <v>21</v>
      </c>
      <c r="U4354" s="1" t="s">
        <v>22</v>
      </c>
      <c r="V4354" s="1" t="s">
        <v>24</v>
      </c>
      <c r="W4354" s="1" t="s">
        <v>24</v>
      </c>
      <c r="X4354" s="1">
        <v>1307</v>
      </c>
      <c r="Y4354" s="1">
        <v>2804</v>
      </c>
      <c r="Z4354" s="1" t="s">
        <v>24</v>
      </c>
      <c r="AA4354" s="1" t="s">
        <v>24</v>
      </c>
      <c r="AB4354" s="1" t="s">
        <v>24</v>
      </c>
      <c r="AC4354" s="1" t="s">
        <v>24</v>
      </c>
      <c r="AD4354" s="1" t="s">
        <v>24</v>
      </c>
      <c r="AE4354" s="1" t="s">
        <v>24</v>
      </c>
      <c r="AF4354" s="22"/>
    </row>
    <row r="4355" spans="1:32" x14ac:dyDescent="0.2">
      <c r="A4355" s="1">
        <v>39602</v>
      </c>
      <c r="B4355" s="1" t="s">
        <v>13350</v>
      </c>
      <c r="C4355" s="5" t="s">
        <v>0</v>
      </c>
      <c r="D4355" s="1" t="s">
        <v>13351</v>
      </c>
      <c r="F4355" s="1" t="s">
        <v>13350</v>
      </c>
      <c r="G4355" s="1" t="s">
        <v>13350</v>
      </c>
      <c r="H4355" s="1" t="s">
        <v>30</v>
      </c>
      <c r="I4355" s="1" t="s">
        <v>5001</v>
      </c>
      <c r="J4355" s="1">
        <v>1</v>
      </c>
      <c r="K4355" s="1">
        <v>12</v>
      </c>
      <c r="L4355" s="1" t="s">
        <v>42</v>
      </c>
      <c r="M4355" s="1" t="s">
        <v>18</v>
      </c>
      <c r="N4355" s="1" t="s">
        <v>18</v>
      </c>
      <c r="O4355" s="1">
        <v>3</v>
      </c>
      <c r="P4355" s="1">
        <v>6</v>
      </c>
      <c r="R4355" s="1" t="s">
        <v>19</v>
      </c>
      <c r="S4355" s="1" t="s">
        <v>20</v>
      </c>
      <c r="T4355" s="1" t="s">
        <v>21</v>
      </c>
      <c r="U4355" s="1" t="s">
        <v>22</v>
      </c>
      <c r="V4355" s="1" t="s">
        <v>24</v>
      </c>
      <c r="W4355" s="1" t="s">
        <v>24</v>
      </c>
      <c r="X4355" s="1">
        <v>1300</v>
      </c>
      <c r="Y4355" s="1">
        <v>3002</v>
      </c>
      <c r="Z4355" s="1" t="s">
        <v>24</v>
      </c>
      <c r="AA4355" s="1" t="s">
        <v>24</v>
      </c>
      <c r="AB4355" s="1" t="s">
        <v>24</v>
      </c>
      <c r="AC4355" s="1" t="s">
        <v>24</v>
      </c>
      <c r="AD4355" s="1" t="s">
        <v>24</v>
      </c>
      <c r="AE4355" s="1" t="s">
        <v>24</v>
      </c>
      <c r="AF4355" s="22"/>
    </row>
    <row r="4356" spans="1:32" x14ac:dyDescent="0.2">
      <c r="A4356" s="1">
        <v>39603</v>
      </c>
      <c r="B4356" s="1" t="s">
        <v>13352</v>
      </c>
      <c r="C4356" s="5" t="s">
        <v>0</v>
      </c>
      <c r="D4356" s="1" t="s">
        <v>13353</v>
      </c>
      <c r="E4356" s="1" t="s">
        <v>13354</v>
      </c>
      <c r="F4356" s="1" t="s">
        <v>13355</v>
      </c>
      <c r="G4356" s="1" t="s">
        <v>80</v>
      </c>
      <c r="H4356" s="1" t="s">
        <v>92</v>
      </c>
      <c r="I4356" s="1" t="s">
        <v>16</v>
      </c>
      <c r="J4356" s="1">
        <v>1</v>
      </c>
      <c r="K4356" s="1">
        <v>4</v>
      </c>
      <c r="L4356" s="1" t="s">
        <v>31</v>
      </c>
      <c r="M4356" s="1" t="s">
        <v>18</v>
      </c>
      <c r="N4356" s="1" t="s">
        <v>18</v>
      </c>
      <c r="O4356" s="1">
        <v>3</v>
      </c>
      <c r="P4356" s="1">
        <v>6</v>
      </c>
      <c r="R4356" s="1" t="s">
        <v>19</v>
      </c>
      <c r="S4356" s="1" t="s">
        <v>20</v>
      </c>
      <c r="T4356" s="1" t="s">
        <v>21</v>
      </c>
      <c r="U4356" s="1" t="s">
        <v>22</v>
      </c>
      <c r="V4356" s="1" t="s">
        <v>24</v>
      </c>
      <c r="W4356" s="1" t="s">
        <v>24</v>
      </c>
      <c r="X4356" s="1">
        <v>1106</v>
      </c>
      <c r="Y4356" s="1">
        <v>2739</v>
      </c>
      <c r="Z4356" s="1">
        <v>3005</v>
      </c>
      <c r="AA4356" s="1" t="s">
        <v>24</v>
      </c>
      <c r="AB4356" s="1" t="s">
        <v>24</v>
      </c>
      <c r="AC4356" s="1" t="s">
        <v>24</v>
      </c>
      <c r="AD4356" s="1" t="s">
        <v>24</v>
      </c>
      <c r="AE4356" s="1" t="s">
        <v>24</v>
      </c>
      <c r="AF4356" s="22"/>
    </row>
    <row r="4357" spans="1:32" x14ac:dyDescent="0.2">
      <c r="A4357" s="1">
        <v>39605</v>
      </c>
      <c r="B4357" s="1" t="s">
        <v>13356</v>
      </c>
      <c r="C4357" s="5" t="s">
        <v>0</v>
      </c>
      <c r="D4357" s="1" t="s">
        <v>13357</v>
      </c>
      <c r="E4357" s="1" t="s">
        <v>13358</v>
      </c>
      <c r="F4357" s="1" t="s">
        <v>11540</v>
      </c>
      <c r="G4357" s="1" t="s">
        <v>11540</v>
      </c>
      <c r="H4357" s="1" t="s">
        <v>1384</v>
      </c>
      <c r="I4357" s="1" t="s">
        <v>16</v>
      </c>
      <c r="J4357" s="1">
        <v>1</v>
      </c>
      <c r="K4357" s="1">
        <v>4</v>
      </c>
      <c r="L4357" s="1" t="s">
        <v>42</v>
      </c>
      <c r="M4357" s="1" t="s">
        <v>1385</v>
      </c>
      <c r="N4357" s="1" t="s">
        <v>3142</v>
      </c>
      <c r="O4357" s="1">
        <v>3</v>
      </c>
      <c r="P4357" s="1">
        <v>5</v>
      </c>
      <c r="R4357" s="1" t="s">
        <v>19</v>
      </c>
      <c r="S4357" s="1" t="s">
        <v>20</v>
      </c>
      <c r="T4357" s="1" t="s">
        <v>21</v>
      </c>
      <c r="U4357" s="1" t="s">
        <v>22</v>
      </c>
      <c r="V4357" s="1" t="s">
        <v>24</v>
      </c>
      <c r="W4357" s="1" t="s">
        <v>24</v>
      </c>
      <c r="X4357" s="1">
        <v>2708</v>
      </c>
      <c r="Y4357" s="1" t="s">
        <v>24</v>
      </c>
      <c r="Z4357" s="1" t="s">
        <v>24</v>
      </c>
      <c r="AA4357" s="1" t="s">
        <v>24</v>
      </c>
      <c r="AB4357" s="1" t="s">
        <v>24</v>
      </c>
      <c r="AC4357" s="1" t="s">
        <v>24</v>
      </c>
      <c r="AD4357" s="1" t="s">
        <v>24</v>
      </c>
      <c r="AE4357" s="1" t="s">
        <v>24</v>
      </c>
      <c r="AF4357" s="22"/>
    </row>
    <row r="4358" spans="1:32" x14ac:dyDescent="0.2">
      <c r="A4358" s="1">
        <v>39606</v>
      </c>
      <c r="B4358" s="1" t="s">
        <v>13359</v>
      </c>
      <c r="C4358" s="5" t="s">
        <v>0</v>
      </c>
      <c r="D4358" s="1" t="s">
        <v>13360</v>
      </c>
      <c r="E4358" s="1" t="s">
        <v>13361</v>
      </c>
      <c r="F4358" s="1" t="s">
        <v>13076</v>
      </c>
      <c r="G4358" s="1" t="s">
        <v>13076</v>
      </c>
      <c r="H4358" s="1" t="s">
        <v>1384</v>
      </c>
      <c r="I4358" s="1" t="s">
        <v>16</v>
      </c>
      <c r="J4358" s="1">
        <v>1</v>
      </c>
      <c r="K4358" s="1">
        <v>4</v>
      </c>
      <c r="L4358" s="1" t="s">
        <v>42</v>
      </c>
      <c r="M4358" s="1" t="s">
        <v>18</v>
      </c>
      <c r="N4358" s="1" t="s">
        <v>18</v>
      </c>
      <c r="O4358" s="1">
        <v>3</v>
      </c>
      <c r="P4358" s="1">
        <v>6</v>
      </c>
      <c r="R4358" s="1" t="s">
        <v>19</v>
      </c>
      <c r="S4358" s="1" t="s">
        <v>20</v>
      </c>
      <c r="T4358" s="1" t="s">
        <v>21</v>
      </c>
      <c r="U4358" s="1" t="s">
        <v>22</v>
      </c>
      <c r="V4358" s="1" t="s">
        <v>24</v>
      </c>
      <c r="W4358" s="1" t="s">
        <v>24</v>
      </c>
      <c r="X4358" s="1">
        <v>2712</v>
      </c>
      <c r="Y4358" s="1">
        <v>2724</v>
      </c>
      <c r="Z4358" s="1" t="s">
        <v>24</v>
      </c>
      <c r="AA4358" s="1" t="s">
        <v>24</v>
      </c>
      <c r="AB4358" s="1" t="s">
        <v>24</v>
      </c>
      <c r="AC4358" s="1" t="s">
        <v>24</v>
      </c>
      <c r="AD4358" s="1" t="s">
        <v>24</v>
      </c>
      <c r="AE4358" s="1" t="s">
        <v>24</v>
      </c>
      <c r="AF4358" s="22"/>
    </row>
    <row r="4359" spans="1:32" x14ac:dyDescent="0.2">
      <c r="A4359" s="1">
        <v>39616</v>
      </c>
      <c r="B4359" s="1" t="s">
        <v>13362</v>
      </c>
      <c r="C4359" s="5" t="s">
        <v>0</v>
      </c>
      <c r="D4359" s="1" t="s">
        <v>13363</v>
      </c>
      <c r="E4359" s="1" t="s">
        <v>13364</v>
      </c>
      <c r="F4359" s="1" t="s">
        <v>13365</v>
      </c>
      <c r="G4359" s="1" t="s">
        <v>13365</v>
      </c>
      <c r="H4359" s="1" t="s">
        <v>684</v>
      </c>
      <c r="I4359" s="1" t="s">
        <v>112</v>
      </c>
      <c r="J4359" s="1">
        <v>1</v>
      </c>
      <c r="K4359" s="1">
        <v>4</v>
      </c>
      <c r="L4359" s="1" t="s">
        <v>42</v>
      </c>
      <c r="M4359" s="1" t="s">
        <v>18</v>
      </c>
      <c r="N4359" s="1" t="s">
        <v>18</v>
      </c>
      <c r="O4359" s="1">
        <v>3</v>
      </c>
      <c r="P4359" s="1">
        <v>6</v>
      </c>
      <c r="R4359" s="1" t="s">
        <v>19</v>
      </c>
      <c r="S4359" s="1" t="s">
        <v>20</v>
      </c>
      <c r="T4359" s="1" t="s">
        <v>21</v>
      </c>
      <c r="U4359" s="1" t="s">
        <v>22</v>
      </c>
      <c r="V4359" s="1" t="s">
        <v>24</v>
      </c>
      <c r="W4359" s="1" t="s">
        <v>24</v>
      </c>
      <c r="X4359" s="1">
        <v>2705</v>
      </c>
      <c r="Y4359" s="1" t="s">
        <v>24</v>
      </c>
      <c r="Z4359" s="1" t="s">
        <v>24</v>
      </c>
      <c r="AA4359" s="1" t="s">
        <v>24</v>
      </c>
      <c r="AB4359" s="1" t="s">
        <v>24</v>
      </c>
      <c r="AC4359" s="1" t="s">
        <v>24</v>
      </c>
      <c r="AD4359" s="1" t="s">
        <v>24</v>
      </c>
      <c r="AE4359" s="1" t="s">
        <v>24</v>
      </c>
      <c r="AF4359" s="22"/>
    </row>
    <row r="4360" spans="1:32" x14ac:dyDescent="0.2">
      <c r="A4360" s="1">
        <v>39617</v>
      </c>
      <c r="B4360" s="1" t="s">
        <v>13366</v>
      </c>
      <c r="C4360" s="5" t="s">
        <v>0</v>
      </c>
      <c r="D4360" s="1" t="s">
        <v>13367</v>
      </c>
      <c r="E4360" s="1" t="s">
        <v>13368</v>
      </c>
      <c r="F4360" s="1" t="s">
        <v>13365</v>
      </c>
      <c r="G4360" s="1" t="s">
        <v>13365</v>
      </c>
      <c r="H4360" s="1" t="s">
        <v>684</v>
      </c>
      <c r="I4360" s="1" t="s">
        <v>112</v>
      </c>
      <c r="J4360" s="1">
        <v>0</v>
      </c>
      <c r="K4360" s="1">
        <v>0</v>
      </c>
      <c r="L4360" s="1" t="s">
        <v>42</v>
      </c>
      <c r="M4360" s="1" t="s">
        <v>18</v>
      </c>
      <c r="N4360" s="1" t="s">
        <v>18</v>
      </c>
      <c r="O4360" s="1">
        <v>3</v>
      </c>
      <c r="P4360" s="1">
        <v>6</v>
      </c>
      <c r="R4360" s="1" t="s">
        <v>19</v>
      </c>
      <c r="S4360" s="1" t="s">
        <v>20</v>
      </c>
      <c r="T4360" s="1" t="s">
        <v>21</v>
      </c>
      <c r="U4360" s="1" t="s">
        <v>22</v>
      </c>
      <c r="V4360" s="1" t="s">
        <v>24</v>
      </c>
      <c r="W4360" s="1" t="s">
        <v>24</v>
      </c>
      <c r="X4360" s="1">
        <v>2730</v>
      </c>
      <c r="Y4360" s="1" t="s">
        <v>24</v>
      </c>
      <c r="Z4360" s="1" t="s">
        <v>24</v>
      </c>
      <c r="AA4360" s="1" t="s">
        <v>24</v>
      </c>
      <c r="AB4360" s="1" t="s">
        <v>24</v>
      </c>
      <c r="AC4360" s="1" t="s">
        <v>24</v>
      </c>
      <c r="AD4360" s="1" t="s">
        <v>24</v>
      </c>
      <c r="AE4360" s="1" t="s">
        <v>24</v>
      </c>
      <c r="AF4360" s="22"/>
    </row>
    <row r="4361" spans="1:32" x14ac:dyDescent="0.2">
      <c r="A4361" s="1">
        <v>39618</v>
      </c>
      <c r="B4361" s="1" t="s">
        <v>13369</v>
      </c>
      <c r="C4361" s="5" t="s">
        <v>0</v>
      </c>
      <c r="D4361" s="1" t="s">
        <v>13370</v>
      </c>
      <c r="E4361" s="1" t="s">
        <v>13371</v>
      </c>
      <c r="F4361" s="1" t="s">
        <v>13365</v>
      </c>
      <c r="G4361" s="1" t="s">
        <v>13365</v>
      </c>
      <c r="H4361" s="1" t="s">
        <v>684</v>
      </c>
      <c r="I4361" s="1" t="s">
        <v>112</v>
      </c>
      <c r="J4361" s="1">
        <v>0</v>
      </c>
      <c r="K4361" s="1">
        <v>0</v>
      </c>
      <c r="L4361" s="1" t="s">
        <v>42</v>
      </c>
      <c r="M4361" s="1" t="s">
        <v>18</v>
      </c>
      <c r="N4361" s="1" t="s">
        <v>18</v>
      </c>
      <c r="O4361" s="1">
        <v>3</v>
      </c>
      <c r="P4361" s="1">
        <v>6</v>
      </c>
      <c r="R4361" s="1" t="s">
        <v>19</v>
      </c>
      <c r="S4361" s="1" t="s">
        <v>20</v>
      </c>
      <c r="T4361" s="1" t="s">
        <v>21</v>
      </c>
      <c r="U4361" s="1" t="s">
        <v>22</v>
      </c>
      <c r="V4361" s="1" t="s">
        <v>24</v>
      </c>
      <c r="W4361" s="1" t="s">
        <v>24</v>
      </c>
      <c r="X4361" s="1">
        <v>2740</v>
      </c>
      <c r="Y4361" s="1" t="s">
        <v>24</v>
      </c>
      <c r="Z4361" s="1" t="s">
        <v>24</v>
      </c>
      <c r="AA4361" s="1" t="s">
        <v>24</v>
      </c>
      <c r="AB4361" s="1" t="s">
        <v>24</v>
      </c>
      <c r="AC4361" s="1" t="s">
        <v>24</v>
      </c>
      <c r="AD4361" s="1" t="s">
        <v>24</v>
      </c>
      <c r="AE4361" s="1" t="s">
        <v>24</v>
      </c>
      <c r="AF4361" s="22"/>
    </row>
    <row r="4362" spans="1:32" x14ac:dyDescent="0.2">
      <c r="A4362" s="1">
        <v>39619</v>
      </c>
      <c r="B4362" s="1" t="s">
        <v>13372</v>
      </c>
      <c r="C4362" s="5" t="s">
        <v>0</v>
      </c>
      <c r="D4362" s="1" t="s">
        <v>13373</v>
      </c>
      <c r="E4362" s="1" t="s">
        <v>13374</v>
      </c>
      <c r="F4362" s="1" t="s">
        <v>13365</v>
      </c>
      <c r="G4362" s="1" t="s">
        <v>13365</v>
      </c>
      <c r="H4362" s="1" t="s">
        <v>684</v>
      </c>
      <c r="I4362" s="1" t="s">
        <v>112</v>
      </c>
      <c r="J4362" s="1">
        <v>1</v>
      </c>
      <c r="K4362" s="1">
        <v>4</v>
      </c>
      <c r="L4362" s="1" t="s">
        <v>42</v>
      </c>
      <c r="M4362" s="1" t="s">
        <v>18</v>
      </c>
      <c r="N4362" s="1" t="s">
        <v>18</v>
      </c>
      <c r="O4362" s="1">
        <v>3</v>
      </c>
      <c r="P4362" s="1">
        <v>6</v>
      </c>
      <c r="R4362" s="1" t="s">
        <v>19</v>
      </c>
      <c r="S4362" s="1" t="s">
        <v>20</v>
      </c>
      <c r="T4362" s="1" t="s">
        <v>21</v>
      </c>
      <c r="U4362" s="1" t="s">
        <v>22</v>
      </c>
      <c r="V4362" s="1" t="s">
        <v>24</v>
      </c>
      <c r="W4362" s="1" t="s">
        <v>24</v>
      </c>
      <c r="X4362" s="1">
        <v>2721</v>
      </c>
      <c r="Y4362" s="1">
        <v>2725</v>
      </c>
      <c r="Z4362" s="1" t="s">
        <v>24</v>
      </c>
      <c r="AA4362" s="1" t="s">
        <v>24</v>
      </c>
      <c r="AB4362" s="1" t="s">
        <v>24</v>
      </c>
      <c r="AC4362" s="1" t="s">
        <v>24</v>
      </c>
      <c r="AD4362" s="1" t="s">
        <v>24</v>
      </c>
      <c r="AE4362" s="1" t="s">
        <v>24</v>
      </c>
      <c r="AF4362" s="22"/>
    </row>
    <row r="4363" spans="1:32" x14ac:dyDescent="0.2">
      <c r="A4363" s="1">
        <v>39620</v>
      </c>
      <c r="B4363" s="1" t="s">
        <v>13375</v>
      </c>
      <c r="C4363" s="5" t="s">
        <v>0</v>
      </c>
      <c r="D4363" s="1" t="s">
        <v>13376</v>
      </c>
      <c r="E4363" s="1" t="s">
        <v>13377</v>
      </c>
      <c r="F4363" s="1" t="s">
        <v>13365</v>
      </c>
      <c r="G4363" s="1" t="s">
        <v>13365</v>
      </c>
      <c r="H4363" s="1" t="s">
        <v>684</v>
      </c>
      <c r="I4363" s="1" t="s">
        <v>112</v>
      </c>
      <c r="J4363" s="1">
        <v>0</v>
      </c>
      <c r="K4363" s="1">
        <v>0</v>
      </c>
      <c r="L4363" s="1" t="s">
        <v>42</v>
      </c>
      <c r="M4363" s="1" t="s">
        <v>18</v>
      </c>
      <c r="N4363" s="1" t="s">
        <v>18</v>
      </c>
      <c r="O4363" s="1">
        <v>3</v>
      </c>
      <c r="P4363" s="1">
        <v>6</v>
      </c>
      <c r="R4363" s="1" t="s">
        <v>19</v>
      </c>
      <c r="S4363" s="1" t="s">
        <v>20</v>
      </c>
      <c r="T4363" s="1" t="s">
        <v>21</v>
      </c>
      <c r="U4363" s="1" t="s">
        <v>22</v>
      </c>
      <c r="V4363" s="1" t="s">
        <v>24</v>
      </c>
      <c r="W4363" s="1" t="s">
        <v>24</v>
      </c>
      <c r="X4363" s="1">
        <v>2724</v>
      </c>
      <c r="Y4363" s="1">
        <v>2705</v>
      </c>
      <c r="Z4363" s="1" t="s">
        <v>24</v>
      </c>
      <c r="AA4363" s="1" t="s">
        <v>24</v>
      </c>
      <c r="AB4363" s="1" t="s">
        <v>24</v>
      </c>
      <c r="AC4363" s="1" t="s">
        <v>24</v>
      </c>
      <c r="AD4363" s="1" t="s">
        <v>24</v>
      </c>
      <c r="AE4363" s="1" t="s">
        <v>24</v>
      </c>
      <c r="AF4363" s="22"/>
    </row>
    <row r="4364" spans="1:32" x14ac:dyDescent="0.2">
      <c r="A4364" s="1">
        <v>39637</v>
      </c>
      <c r="B4364" s="1" t="s">
        <v>13378</v>
      </c>
      <c r="C4364" s="5" t="s">
        <v>0</v>
      </c>
      <c r="D4364" s="1" t="s">
        <v>13379</v>
      </c>
      <c r="F4364" s="1" t="s">
        <v>412</v>
      </c>
      <c r="G4364" s="1" t="s">
        <v>412</v>
      </c>
      <c r="H4364" s="1" t="s">
        <v>168</v>
      </c>
      <c r="I4364" s="1" t="s">
        <v>16</v>
      </c>
      <c r="J4364" s="1">
        <v>0</v>
      </c>
      <c r="K4364" s="1">
        <v>0</v>
      </c>
      <c r="L4364" s="1" t="s">
        <v>17</v>
      </c>
      <c r="M4364" s="1" t="s">
        <v>413</v>
      </c>
      <c r="N4364" s="1" t="s">
        <v>413</v>
      </c>
      <c r="O4364" s="1">
        <v>0</v>
      </c>
      <c r="P4364" s="1">
        <v>5</v>
      </c>
      <c r="R4364" s="1" t="s">
        <v>19</v>
      </c>
      <c r="S4364" s="1" t="s">
        <v>20</v>
      </c>
      <c r="T4364" s="1" t="s">
        <v>21</v>
      </c>
      <c r="U4364" s="1" t="s">
        <v>22</v>
      </c>
      <c r="V4364" s="1" t="s">
        <v>23</v>
      </c>
      <c r="W4364" s="1" t="s">
        <v>24</v>
      </c>
      <c r="X4364" s="1">
        <v>2732</v>
      </c>
      <c r="Y4364" s="1">
        <v>2746</v>
      </c>
      <c r="Z4364" s="1">
        <v>2745</v>
      </c>
      <c r="AA4364" s="1">
        <v>2739</v>
      </c>
      <c r="AB4364" s="1">
        <v>2703</v>
      </c>
      <c r="AC4364" s="1" t="s">
        <v>24</v>
      </c>
      <c r="AD4364" s="1" t="s">
        <v>24</v>
      </c>
      <c r="AE4364" s="1" t="s">
        <v>24</v>
      </c>
      <c r="AF4364" s="22"/>
    </row>
    <row r="4365" spans="1:32" x14ac:dyDescent="0.2">
      <c r="A4365" s="1">
        <v>39660</v>
      </c>
      <c r="B4365" s="1" t="s">
        <v>13380</v>
      </c>
      <c r="C4365" s="5" t="s">
        <v>0</v>
      </c>
      <c r="D4365" s="1" t="s">
        <v>13381</v>
      </c>
      <c r="E4365" s="1" t="s">
        <v>13382</v>
      </c>
      <c r="F4365" s="1" t="s">
        <v>13383</v>
      </c>
      <c r="G4365" s="1" t="s">
        <v>130</v>
      </c>
      <c r="H4365" s="1" t="s">
        <v>30</v>
      </c>
      <c r="I4365" s="1" t="s">
        <v>16</v>
      </c>
      <c r="J4365" s="1">
        <v>1</v>
      </c>
      <c r="K4365" s="1">
        <v>4</v>
      </c>
      <c r="L4365" s="1" t="s">
        <v>31</v>
      </c>
      <c r="M4365" s="1" t="s">
        <v>18</v>
      </c>
      <c r="N4365" s="1" t="s">
        <v>18</v>
      </c>
      <c r="O4365" s="1">
        <v>3</v>
      </c>
      <c r="P4365" s="1">
        <v>7</v>
      </c>
      <c r="Q4365" s="7" t="s">
        <v>17633</v>
      </c>
      <c r="R4365" s="1" t="s">
        <v>19</v>
      </c>
      <c r="S4365" s="1" t="s">
        <v>20</v>
      </c>
      <c r="T4365" s="1" t="s">
        <v>21</v>
      </c>
      <c r="U4365" s="1" t="s">
        <v>22</v>
      </c>
      <c r="V4365" s="1" t="s">
        <v>24</v>
      </c>
      <c r="W4365" s="1" t="s">
        <v>24</v>
      </c>
      <c r="X4365" s="1">
        <v>1311</v>
      </c>
      <c r="Y4365" s="1">
        <v>1312</v>
      </c>
      <c r="Z4365" s="1">
        <v>2404</v>
      </c>
      <c r="AA4365" s="1">
        <v>2406</v>
      </c>
      <c r="AB4365" s="1">
        <v>2725</v>
      </c>
      <c r="AC4365" s="1" t="s">
        <v>24</v>
      </c>
      <c r="AD4365" s="1" t="s">
        <v>24</v>
      </c>
      <c r="AE4365" s="1" t="s">
        <v>24</v>
      </c>
      <c r="AF4365" s="22"/>
    </row>
    <row r="4366" spans="1:32" x14ac:dyDescent="0.2">
      <c r="A4366" s="1">
        <v>39674</v>
      </c>
      <c r="B4366" s="1" t="s">
        <v>13384</v>
      </c>
      <c r="C4366" s="5" t="s">
        <v>0</v>
      </c>
      <c r="D4366" s="1" t="s">
        <v>13385</v>
      </c>
      <c r="E4366" s="1" t="s">
        <v>13386</v>
      </c>
      <c r="F4366" s="1" t="s">
        <v>13384</v>
      </c>
      <c r="G4366" s="1" t="s">
        <v>13384</v>
      </c>
      <c r="H4366" s="1" t="s">
        <v>591</v>
      </c>
      <c r="I4366" s="1" t="s">
        <v>16</v>
      </c>
      <c r="J4366" s="1">
        <v>1</v>
      </c>
      <c r="K4366" s="1">
        <v>6</v>
      </c>
      <c r="L4366" s="1" t="s">
        <v>42</v>
      </c>
      <c r="M4366" s="1" t="s">
        <v>18</v>
      </c>
      <c r="N4366" s="1" t="s">
        <v>18</v>
      </c>
      <c r="O4366" s="1">
        <v>3</v>
      </c>
      <c r="P4366" s="1">
        <v>6</v>
      </c>
      <c r="R4366" s="1" t="s">
        <v>19</v>
      </c>
      <c r="S4366" s="1" t="s">
        <v>20</v>
      </c>
      <c r="T4366" s="1" t="s">
        <v>21</v>
      </c>
      <c r="U4366" s="1" t="s">
        <v>22</v>
      </c>
      <c r="V4366" s="1" t="s">
        <v>24</v>
      </c>
      <c r="W4366" s="1" t="s">
        <v>24</v>
      </c>
      <c r="X4366" s="1">
        <v>2700</v>
      </c>
      <c r="Y4366" s="1">
        <v>1300</v>
      </c>
      <c r="Z4366" s="1" t="s">
        <v>24</v>
      </c>
      <c r="AA4366" s="1" t="s">
        <v>24</v>
      </c>
      <c r="AB4366" s="1" t="s">
        <v>24</v>
      </c>
      <c r="AC4366" s="1" t="s">
        <v>24</v>
      </c>
      <c r="AD4366" s="1" t="s">
        <v>24</v>
      </c>
      <c r="AE4366" s="1" t="s">
        <v>24</v>
      </c>
      <c r="AF4366" s="22"/>
    </row>
    <row r="4367" spans="1:32" x14ac:dyDescent="0.2">
      <c r="A4367" s="1">
        <v>39744</v>
      </c>
      <c r="B4367" s="1" t="s">
        <v>13387</v>
      </c>
      <c r="C4367" s="5" t="s">
        <v>0</v>
      </c>
      <c r="D4367" s="1" t="s">
        <v>13388</v>
      </c>
      <c r="E4367" s="1" t="s">
        <v>13389</v>
      </c>
      <c r="F4367" s="1" t="s">
        <v>13390</v>
      </c>
      <c r="G4367" s="1" t="s">
        <v>13390</v>
      </c>
      <c r="H4367" s="1" t="s">
        <v>1957</v>
      </c>
      <c r="I4367" s="1" t="s">
        <v>16</v>
      </c>
      <c r="J4367" s="1">
        <v>1</v>
      </c>
      <c r="K4367" s="1">
        <v>6</v>
      </c>
      <c r="L4367" s="1" t="s">
        <v>42</v>
      </c>
      <c r="M4367" s="1" t="s">
        <v>18</v>
      </c>
      <c r="N4367" s="1" t="s">
        <v>18</v>
      </c>
      <c r="O4367" s="1">
        <v>3</v>
      </c>
      <c r="P4367" s="1">
        <v>6</v>
      </c>
      <c r="R4367" s="1" t="s">
        <v>19</v>
      </c>
      <c r="S4367" s="1" t="s">
        <v>20</v>
      </c>
      <c r="T4367" s="1" t="s">
        <v>21</v>
      </c>
      <c r="U4367" s="1" t="s">
        <v>22</v>
      </c>
      <c r="V4367" s="1" t="s">
        <v>24</v>
      </c>
      <c r="W4367" s="1" t="s">
        <v>24</v>
      </c>
      <c r="X4367" s="1">
        <v>2727</v>
      </c>
      <c r="Y4367" s="1" t="s">
        <v>24</v>
      </c>
      <c r="Z4367" s="1" t="s">
        <v>24</v>
      </c>
      <c r="AA4367" s="1" t="s">
        <v>24</v>
      </c>
      <c r="AB4367" s="1" t="s">
        <v>24</v>
      </c>
      <c r="AC4367" s="1" t="s">
        <v>24</v>
      </c>
      <c r="AD4367" s="1" t="s">
        <v>24</v>
      </c>
      <c r="AE4367" s="1" t="s">
        <v>24</v>
      </c>
      <c r="AF4367" s="22"/>
    </row>
    <row r="4368" spans="1:32" x14ac:dyDescent="0.2">
      <c r="A4368" s="1">
        <v>39872</v>
      </c>
      <c r="B4368" s="1" t="s">
        <v>13391</v>
      </c>
      <c r="C4368" s="5" t="s">
        <v>0</v>
      </c>
      <c r="D4368" s="1" t="s">
        <v>13392</v>
      </c>
      <c r="E4368" s="1" t="s">
        <v>13393</v>
      </c>
      <c r="F4368" s="1" t="s">
        <v>85</v>
      </c>
      <c r="G4368" s="1" t="s">
        <v>61</v>
      </c>
      <c r="H4368" s="1" t="s">
        <v>86</v>
      </c>
      <c r="I4368" s="1" t="s">
        <v>16</v>
      </c>
      <c r="J4368" s="1">
        <v>1</v>
      </c>
      <c r="K4368" s="1">
        <v>8</v>
      </c>
      <c r="L4368" s="1" t="s">
        <v>31</v>
      </c>
      <c r="M4368" s="1" t="s">
        <v>87</v>
      </c>
      <c r="N4368" s="1" t="s">
        <v>18</v>
      </c>
      <c r="O4368" s="1">
        <v>2</v>
      </c>
      <c r="P4368" s="1">
        <v>5</v>
      </c>
      <c r="R4368" s="1" t="s">
        <v>19</v>
      </c>
      <c r="S4368" s="1" t="s">
        <v>20</v>
      </c>
      <c r="T4368" s="1" t="s">
        <v>21</v>
      </c>
      <c r="U4368" s="1" t="s">
        <v>22</v>
      </c>
      <c r="V4368" s="1" t="s">
        <v>24</v>
      </c>
      <c r="W4368" s="1" t="s">
        <v>24</v>
      </c>
      <c r="X4368" s="1">
        <v>2723</v>
      </c>
      <c r="Y4368" s="1" t="s">
        <v>24</v>
      </c>
      <c r="Z4368" s="1" t="s">
        <v>24</v>
      </c>
      <c r="AA4368" s="1" t="s">
        <v>24</v>
      </c>
      <c r="AB4368" s="1" t="s">
        <v>24</v>
      </c>
      <c r="AC4368" s="1" t="s">
        <v>24</v>
      </c>
      <c r="AD4368" s="1" t="s">
        <v>24</v>
      </c>
      <c r="AE4368" s="1" t="s">
        <v>24</v>
      </c>
      <c r="AF4368" s="22"/>
    </row>
    <row r="4369" spans="1:32" x14ac:dyDescent="0.2">
      <c r="A4369" s="1">
        <v>39875</v>
      </c>
      <c r="B4369" s="1" t="s">
        <v>13394</v>
      </c>
      <c r="C4369" s="5" t="s">
        <v>0</v>
      </c>
      <c r="D4369" s="1" t="s">
        <v>13395</v>
      </c>
      <c r="E4369" s="1" t="s">
        <v>13396</v>
      </c>
      <c r="F4369" s="1" t="s">
        <v>155</v>
      </c>
      <c r="G4369" s="1" t="s">
        <v>61</v>
      </c>
      <c r="H4369" s="1" t="s">
        <v>37</v>
      </c>
      <c r="I4369" s="1" t="s">
        <v>16</v>
      </c>
      <c r="J4369" s="1">
        <v>1</v>
      </c>
      <c r="K4369" s="1">
        <v>6</v>
      </c>
      <c r="L4369" s="1" t="s">
        <v>31</v>
      </c>
      <c r="M4369" s="1" t="s">
        <v>18</v>
      </c>
      <c r="N4369" s="1" t="s">
        <v>18</v>
      </c>
      <c r="O4369" s="1">
        <v>2</v>
      </c>
      <c r="P4369" s="1">
        <v>7</v>
      </c>
      <c r="Q4369" s="7" t="s">
        <v>17633</v>
      </c>
      <c r="R4369" s="1" t="s">
        <v>19</v>
      </c>
      <c r="S4369" s="1" t="s">
        <v>20</v>
      </c>
      <c r="T4369" s="1" t="s">
        <v>21</v>
      </c>
      <c r="U4369" s="1" t="s">
        <v>22</v>
      </c>
      <c r="V4369" s="1" t="s">
        <v>24</v>
      </c>
      <c r="W4369" s="1" t="s">
        <v>24</v>
      </c>
      <c r="X4369" s="1">
        <v>1306</v>
      </c>
      <c r="Y4369" s="1">
        <v>2730</v>
      </c>
      <c r="Z4369" s="1">
        <v>2713</v>
      </c>
      <c r="AA4369" s="1" t="s">
        <v>24</v>
      </c>
      <c r="AB4369" s="1" t="s">
        <v>24</v>
      </c>
      <c r="AC4369" s="1" t="s">
        <v>24</v>
      </c>
      <c r="AD4369" s="1" t="s">
        <v>24</v>
      </c>
      <c r="AE4369" s="1" t="s">
        <v>24</v>
      </c>
      <c r="AF4369" s="22"/>
    </row>
    <row r="4370" spans="1:32" x14ac:dyDescent="0.2">
      <c r="A4370" s="1">
        <v>39885</v>
      </c>
      <c r="B4370" s="1" t="s">
        <v>13397</v>
      </c>
      <c r="C4370" s="5" t="s">
        <v>0</v>
      </c>
      <c r="E4370" s="1" t="s">
        <v>13398</v>
      </c>
      <c r="F4370" s="1" t="s">
        <v>85</v>
      </c>
      <c r="G4370" s="1" t="s">
        <v>61</v>
      </c>
      <c r="H4370" s="1" t="s">
        <v>86</v>
      </c>
      <c r="I4370" s="1" t="s">
        <v>16</v>
      </c>
      <c r="J4370" s="1">
        <v>1</v>
      </c>
      <c r="K4370" s="1">
        <v>8</v>
      </c>
      <c r="L4370" s="1" t="s">
        <v>31</v>
      </c>
      <c r="M4370" s="1" t="s">
        <v>18</v>
      </c>
      <c r="N4370" s="1" t="s">
        <v>18</v>
      </c>
      <c r="O4370" s="1">
        <v>3</v>
      </c>
      <c r="P4370" s="1">
        <v>7</v>
      </c>
      <c r="Q4370" s="7" t="s">
        <v>17633</v>
      </c>
      <c r="R4370" s="1" t="s">
        <v>19</v>
      </c>
      <c r="S4370" s="1" t="s">
        <v>20</v>
      </c>
      <c r="T4370" s="1" t="s">
        <v>21</v>
      </c>
      <c r="U4370" s="1" t="s">
        <v>22</v>
      </c>
      <c r="V4370" s="1" t="s">
        <v>23</v>
      </c>
      <c r="W4370" s="1" t="s">
        <v>24</v>
      </c>
      <c r="X4370" s="1">
        <v>2732</v>
      </c>
      <c r="Y4370" s="1">
        <v>2746</v>
      </c>
      <c r="Z4370" s="1" t="s">
        <v>24</v>
      </c>
      <c r="AA4370" s="1" t="s">
        <v>24</v>
      </c>
      <c r="AB4370" s="1" t="s">
        <v>24</v>
      </c>
      <c r="AC4370" s="1" t="s">
        <v>24</v>
      </c>
      <c r="AD4370" s="1" t="s">
        <v>24</v>
      </c>
      <c r="AE4370" s="1" t="s">
        <v>24</v>
      </c>
      <c r="AF4370" s="22"/>
    </row>
    <row r="4371" spans="1:32" x14ac:dyDescent="0.2">
      <c r="A4371" s="1">
        <v>39892</v>
      </c>
      <c r="B4371" s="1" t="s">
        <v>13399</v>
      </c>
      <c r="C4371" s="5" t="s">
        <v>0</v>
      </c>
      <c r="D4371" s="1" t="s">
        <v>13400</v>
      </c>
      <c r="F4371" s="1" t="s">
        <v>85</v>
      </c>
      <c r="G4371" s="1" t="s">
        <v>61</v>
      </c>
      <c r="H4371" s="1" t="s">
        <v>86</v>
      </c>
      <c r="I4371" s="1" t="s">
        <v>16</v>
      </c>
      <c r="J4371" s="1">
        <v>1</v>
      </c>
      <c r="K4371" s="1">
        <v>4</v>
      </c>
      <c r="L4371" s="1" t="s">
        <v>31</v>
      </c>
      <c r="M4371" s="1" t="s">
        <v>87</v>
      </c>
      <c r="N4371" s="1" t="s">
        <v>199</v>
      </c>
      <c r="O4371" s="1">
        <v>2</v>
      </c>
      <c r="P4371" s="1">
        <v>6</v>
      </c>
      <c r="R4371" s="1" t="s">
        <v>19</v>
      </c>
      <c r="S4371" s="1" t="s">
        <v>20</v>
      </c>
      <c r="T4371" s="1" t="s">
        <v>21</v>
      </c>
      <c r="U4371" s="1" t="s">
        <v>22</v>
      </c>
      <c r="V4371" s="1" t="s">
        <v>24</v>
      </c>
      <c r="W4371" s="1" t="s">
        <v>24</v>
      </c>
      <c r="X4371" s="1">
        <v>2802</v>
      </c>
      <c r="Y4371" s="1">
        <v>2805</v>
      </c>
      <c r="Z4371" s="1">
        <v>2808</v>
      </c>
      <c r="AA4371" s="1">
        <v>2728</v>
      </c>
      <c r="AB4371" s="1">
        <v>3206</v>
      </c>
      <c r="AC4371" s="1" t="s">
        <v>24</v>
      </c>
      <c r="AD4371" s="1" t="s">
        <v>24</v>
      </c>
      <c r="AE4371" s="1" t="s">
        <v>24</v>
      </c>
      <c r="AF4371" s="22"/>
    </row>
    <row r="4372" spans="1:32" x14ac:dyDescent="0.2">
      <c r="A4372" s="1">
        <v>39894</v>
      </c>
      <c r="B4372" s="1" t="s">
        <v>13401</v>
      </c>
      <c r="C4372" s="5" t="s">
        <v>0</v>
      </c>
      <c r="D4372" s="1" t="s">
        <v>13402</v>
      </c>
      <c r="E4372" s="1" t="s">
        <v>13403</v>
      </c>
      <c r="F4372" s="1" t="s">
        <v>303</v>
      </c>
      <c r="G4372" s="1" t="s">
        <v>61</v>
      </c>
      <c r="H4372" s="1" t="s">
        <v>30</v>
      </c>
      <c r="I4372" s="1" t="s">
        <v>16</v>
      </c>
      <c r="J4372" s="1">
        <v>1</v>
      </c>
      <c r="K4372" s="1">
        <v>4</v>
      </c>
      <c r="L4372" s="1" t="s">
        <v>31</v>
      </c>
      <c r="M4372" s="1" t="s">
        <v>18</v>
      </c>
      <c r="N4372" s="1" t="s">
        <v>18</v>
      </c>
      <c r="O4372" s="1">
        <v>3</v>
      </c>
      <c r="P4372" s="1">
        <v>7</v>
      </c>
      <c r="Q4372" s="7" t="s">
        <v>17633</v>
      </c>
      <c r="R4372" s="1" t="s">
        <v>19</v>
      </c>
      <c r="S4372" s="1" t="s">
        <v>20</v>
      </c>
      <c r="T4372" s="1" t="s">
        <v>21</v>
      </c>
      <c r="U4372" s="1" t="s">
        <v>22</v>
      </c>
      <c r="V4372" s="1" t="s">
        <v>24</v>
      </c>
      <c r="W4372" s="1" t="s">
        <v>24</v>
      </c>
      <c r="X4372" s="1">
        <v>2746</v>
      </c>
      <c r="Y4372" s="1">
        <v>2734</v>
      </c>
      <c r="Z4372" s="1" t="s">
        <v>24</v>
      </c>
      <c r="AA4372" s="1" t="s">
        <v>24</v>
      </c>
      <c r="AB4372" s="1" t="s">
        <v>24</v>
      </c>
      <c r="AC4372" s="1" t="s">
        <v>24</v>
      </c>
      <c r="AD4372" s="1" t="s">
        <v>24</v>
      </c>
      <c r="AE4372" s="1" t="s">
        <v>24</v>
      </c>
      <c r="AF4372" s="22"/>
    </row>
    <row r="4373" spans="1:32" x14ac:dyDescent="0.2">
      <c r="A4373" s="1">
        <v>39895</v>
      </c>
      <c r="B4373" s="1" t="s">
        <v>13404</v>
      </c>
      <c r="C4373" s="5" t="s">
        <v>0</v>
      </c>
      <c r="D4373" s="1" t="s">
        <v>13405</v>
      </c>
      <c r="F4373" s="1" t="s">
        <v>91</v>
      </c>
      <c r="G4373" s="1" t="s">
        <v>61</v>
      </c>
      <c r="H4373" s="1" t="s">
        <v>92</v>
      </c>
      <c r="I4373" s="1" t="s">
        <v>16</v>
      </c>
      <c r="J4373" s="1">
        <v>1</v>
      </c>
      <c r="K4373" s="1">
        <v>1</v>
      </c>
      <c r="L4373" s="1" t="s">
        <v>31</v>
      </c>
      <c r="M4373" s="1" t="s">
        <v>18</v>
      </c>
      <c r="N4373" s="1" t="s">
        <v>18</v>
      </c>
      <c r="O4373" s="1">
        <v>3</v>
      </c>
      <c r="P4373" s="1">
        <v>7</v>
      </c>
      <c r="Q4373" s="7" t="s">
        <v>17633</v>
      </c>
      <c r="R4373" s="1" t="s">
        <v>19</v>
      </c>
      <c r="S4373" s="1" t="s">
        <v>20</v>
      </c>
      <c r="T4373" s="1" t="s">
        <v>21</v>
      </c>
      <c r="U4373" s="1" t="s">
        <v>22</v>
      </c>
      <c r="V4373" s="1" t="s">
        <v>24</v>
      </c>
      <c r="W4373" s="1" t="s">
        <v>24</v>
      </c>
      <c r="X4373" s="1">
        <v>2715</v>
      </c>
      <c r="Y4373" s="1">
        <v>2721</v>
      </c>
      <c r="Z4373" s="1" t="s">
        <v>24</v>
      </c>
      <c r="AA4373" s="1" t="s">
        <v>24</v>
      </c>
      <c r="AB4373" s="1" t="s">
        <v>24</v>
      </c>
      <c r="AC4373" s="1" t="s">
        <v>24</v>
      </c>
      <c r="AD4373" s="1" t="s">
        <v>24</v>
      </c>
      <c r="AE4373" s="1" t="s">
        <v>24</v>
      </c>
      <c r="AF4373" s="22"/>
    </row>
    <row r="4374" spans="1:32" x14ac:dyDescent="0.2">
      <c r="A4374" s="1">
        <v>39915</v>
      </c>
      <c r="B4374" s="1" t="s">
        <v>13406</v>
      </c>
      <c r="C4374" s="5" t="s">
        <v>0</v>
      </c>
      <c r="D4374" s="1" t="s">
        <v>13407</v>
      </c>
      <c r="E4374" s="1" t="s">
        <v>13408</v>
      </c>
      <c r="F4374" s="1" t="s">
        <v>751</v>
      </c>
      <c r="G4374" s="1" t="s">
        <v>36</v>
      </c>
      <c r="H4374" s="1" t="s">
        <v>37</v>
      </c>
      <c r="I4374" s="1" t="s">
        <v>16</v>
      </c>
      <c r="J4374" s="1">
        <v>1</v>
      </c>
      <c r="K4374" s="1">
        <v>6</v>
      </c>
      <c r="L4374" s="1" t="s">
        <v>31</v>
      </c>
      <c r="M4374" s="1" t="s">
        <v>18</v>
      </c>
      <c r="N4374" s="1" t="s">
        <v>18</v>
      </c>
      <c r="O4374" s="1">
        <v>3</v>
      </c>
      <c r="P4374" s="1">
        <v>6</v>
      </c>
      <c r="R4374" s="1" t="s">
        <v>19</v>
      </c>
      <c r="S4374" s="1" t="s">
        <v>20</v>
      </c>
      <c r="T4374" s="1" t="s">
        <v>21</v>
      </c>
      <c r="U4374" s="1" t="s">
        <v>22</v>
      </c>
      <c r="V4374" s="1" t="s">
        <v>24</v>
      </c>
      <c r="W4374" s="1" t="s">
        <v>24</v>
      </c>
      <c r="X4374" s="1">
        <v>2402</v>
      </c>
      <c r="Y4374" s="1">
        <v>1305</v>
      </c>
      <c r="Z4374" s="1">
        <v>1303</v>
      </c>
      <c r="AA4374" s="1">
        <v>1502</v>
      </c>
      <c r="AB4374" s="1" t="s">
        <v>24</v>
      </c>
      <c r="AC4374" s="1" t="s">
        <v>24</v>
      </c>
      <c r="AD4374" s="1" t="s">
        <v>24</v>
      </c>
      <c r="AE4374" s="1" t="s">
        <v>24</v>
      </c>
      <c r="AF4374" s="22"/>
    </row>
    <row r="4375" spans="1:32" x14ac:dyDescent="0.2">
      <c r="A4375" s="1">
        <v>39916</v>
      </c>
      <c r="B4375" s="1" t="s">
        <v>13409</v>
      </c>
      <c r="C4375" s="5" t="s">
        <v>0</v>
      </c>
      <c r="D4375" s="1" t="s">
        <v>13410</v>
      </c>
      <c r="E4375" s="1" t="s">
        <v>13411</v>
      </c>
      <c r="F4375" s="1" t="s">
        <v>109</v>
      </c>
      <c r="G4375" s="1" t="s">
        <v>110</v>
      </c>
      <c r="H4375" s="1" t="s">
        <v>111</v>
      </c>
      <c r="I4375" s="1" t="s">
        <v>16</v>
      </c>
      <c r="J4375" s="1">
        <v>1</v>
      </c>
      <c r="K4375" s="1">
        <v>6</v>
      </c>
      <c r="L4375" s="1" t="s">
        <v>31</v>
      </c>
      <c r="M4375" s="1" t="s">
        <v>18</v>
      </c>
      <c r="N4375" s="1" t="s">
        <v>18</v>
      </c>
      <c r="O4375" s="1">
        <v>3</v>
      </c>
      <c r="P4375" s="1">
        <v>7</v>
      </c>
      <c r="Q4375" s="7" t="s">
        <v>17633</v>
      </c>
      <c r="R4375" s="1" t="s">
        <v>19</v>
      </c>
      <c r="S4375" s="1" t="s">
        <v>20</v>
      </c>
      <c r="T4375" s="1" t="s">
        <v>21</v>
      </c>
      <c r="U4375" s="1" t="s">
        <v>22</v>
      </c>
      <c r="V4375" s="1" t="s">
        <v>24</v>
      </c>
      <c r="W4375" s="1" t="s">
        <v>24</v>
      </c>
      <c r="X4375" s="1">
        <v>2723</v>
      </c>
      <c r="Y4375" s="1" t="s">
        <v>24</v>
      </c>
      <c r="Z4375" s="1" t="s">
        <v>24</v>
      </c>
      <c r="AA4375" s="1" t="s">
        <v>24</v>
      </c>
      <c r="AB4375" s="1" t="s">
        <v>24</v>
      </c>
      <c r="AC4375" s="1" t="s">
        <v>24</v>
      </c>
      <c r="AD4375" s="1" t="s">
        <v>24</v>
      </c>
      <c r="AE4375" s="1" t="s">
        <v>24</v>
      </c>
      <c r="AF4375" s="22"/>
    </row>
    <row r="4376" spans="1:32" x14ac:dyDescent="0.2">
      <c r="A4376" s="1">
        <v>39917</v>
      </c>
      <c r="B4376" s="1" t="s">
        <v>13412</v>
      </c>
      <c r="C4376" s="5" t="s">
        <v>0</v>
      </c>
      <c r="D4376" s="1" t="s">
        <v>13413</v>
      </c>
      <c r="E4376" s="1" t="s">
        <v>13414</v>
      </c>
      <c r="F4376" s="1" t="s">
        <v>129</v>
      </c>
      <c r="G4376" s="1" t="s">
        <v>130</v>
      </c>
      <c r="H4376" s="1" t="s">
        <v>131</v>
      </c>
      <c r="I4376" s="1" t="s">
        <v>16</v>
      </c>
      <c r="J4376" s="1">
        <v>1</v>
      </c>
      <c r="K4376" s="1">
        <v>4</v>
      </c>
      <c r="L4376" s="1" t="s">
        <v>31</v>
      </c>
      <c r="M4376" s="1" t="s">
        <v>18</v>
      </c>
      <c r="N4376" s="1" t="s">
        <v>18</v>
      </c>
      <c r="O4376" s="1">
        <v>3</v>
      </c>
      <c r="P4376" s="1">
        <v>7</v>
      </c>
      <c r="Q4376" s="7" t="s">
        <v>17633</v>
      </c>
      <c r="R4376" s="1" t="s">
        <v>19</v>
      </c>
      <c r="S4376" s="1" t="s">
        <v>20</v>
      </c>
      <c r="T4376" s="1" t="s">
        <v>21</v>
      </c>
      <c r="U4376" s="1" t="s">
        <v>22</v>
      </c>
      <c r="V4376" s="1" t="s">
        <v>24</v>
      </c>
      <c r="W4376" s="1" t="s">
        <v>24</v>
      </c>
      <c r="X4376" s="1">
        <v>2730</v>
      </c>
      <c r="Y4376" s="1">
        <v>2720</v>
      </c>
      <c r="Z4376" s="1" t="s">
        <v>24</v>
      </c>
      <c r="AA4376" s="1" t="s">
        <v>24</v>
      </c>
      <c r="AB4376" s="1" t="s">
        <v>24</v>
      </c>
      <c r="AC4376" s="1" t="s">
        <v>24</v>
      </c>
      <c r="AD4376" s="1" t="s">
        <v>24</v>
      </c>
      <c r="AE4376" s="1" t="s">
        <v>24</v>
      </c>
      <c r="AF4376" s="22"/>
    </row>
    <row r="4377" spans="1:32" x14ac:dyDescent="0.2">
      <c r="A4377" s="1">
        <v>39918</v>
      </c>
      <c r="B4377" s="1" t="s">
        <v>13415</v>
      </c>
      <c r="C4377" s="5" t="s">
        <v>0</v>
      </c>
      <c r="D4377" s="1" t="s">
        <v>13416</v>
      </c>
      <c r="E4377" s="1" t="s">
        <v>13417</v>
      </c>
      <c r="F4377" s="1" t="s">
        <v>167</v>
      </c>
      <c r="G4377" s="1" t="s">
        <v>130</v>
      </c>
      <c r="H4377" s="1" t="s">
        <v>168</v>
      </c>
      <c r="I4377" s="1" t="s">
        <v>112</v>
      </c>
      <c r="J4377" s="1">
        <v>0</v>
      </c>
      <c r="K4377" s="1">
        <v>0</v>
      </c>
      <c r="L4377" s="1" t="s">
        <v>31</v>
      </c>
      <c r="M4377" s="1" t="s">
        <v>18</v>
      </c>
      <c r="N4377" s="1" t="s">
        <v>18</v>
      </c>
      <c r="O4377" s="1">
        <v>3</v>
      </c>
      <c r="P4377" s="1">
        <v>7</v>
      </c>
      <c r="Q4377" s="7" t="s">
        <v>17633</v>
      </c>
      <c r="R4377" s="1" t="s">
        <v>19</v>
      </c>
      <c r="S4377" s="1" t="s">
        <v>20</v>
      </c>
      <c r="T4377" s="1" t="s">
        <v>21</v>
      </c>
      <c r="U4377" s="1" t="s">
        <v>22</v>
      </c>
      <c r="V4377" s="1" t="s">
        <v>24</v>
      </c>
      <c r="W4377" s="1" t="s">
        <v>24</v>
      </c>
      <c r="X4377" s="1">
        <v>3002</v>
      </c>
      <c r="Y4377" s="1">
        <v>1313</v>
      </c>
      <c r="Z4377" s="1" t="s">
        <v>24</v>
      </c>
      <c r="AA4377" s="1" t="s">
        <v>24</v>
      </c>
      <c r="AB4377" s="1" t="s">
        <v>24</v>
      </c>
      <c r="AC4377" s="1" t="s">
        <v>24</v>
      </c>
      <c r="AD4377" s="1" t="s">
        <v>24</v>
      </c>
      <c r="AE4377" s="1" t="s">
        <v>24</v>
      </c>
      <c r="AF4377" s="22"/>
    </row>
    <row r="4378" spans="1:32" x14ac:dyDescent="0.2">
      <c r="A4378" s="1">
        <v>39919</v>
      </c>
      <c r="B4378" s="1" t="s">
        <v>13418</v>
      </c>
      <c r="C4378" s="5" t="s">
        <v>0</v>
      </c>
      <c r="D4378" s="1" t="s">
        <v>13419</v>
      </c>
      <c r="E4378" s="1" t="s">
        <v>13420</v>
      </c>
      <c r="F4378" s="1" t="s">
        <v>55</v>
      </c>
      <c r="G4378" s="1" t="s">
        <v>56</v>
      </c>
      <c r="H4378" s="1" t="s">
        <v>37</v>
      </c>
      <c r="I4378" s="1" t="s">
        <v>16</v>
      </c>
      <c r="J4378" s="1">
        <v>1</v>
      </c>
      <c r="K4378" s="1">
        <v>3</v>
      </c>
      <c r="L4378" s="1" t="s">
        <v>31</v>
      </c>
      <c r="M4378" s="1" t="s">
        <v>18</v>
      </c>
      <c r="N4378" s="1" t="s">
        <v>18</v>
      </c>
      <c r="O4378" s="1">
        <v>3</v>
      </c>
      <c r="P4378" s="1">
        <v>7</v>
      </c>
      <c r="Q4378" s="7" t="s">
        <v>17633</v>
      </c>
      <c r="R4378" s="1" t="s">
        <v>19</v>
      </c>
      <c r="S4378" s="1" t="s">
        <v>20</v>
      </c>
      <c r="T4378" s="1" t="s">
        <v>21</v>
      </c>
      <c r="U4378" s="1" t="s">
        <v>22</v>
      </c>
      <c r="V4378" s="1" t="s">
        <v>23</v>
      </c>
      <c r="W4378" s="1" t="s">
        <v>24</v>
      </c>
      <c r="X4378" s="1">
        <v>2719</v>
      </c>
      <c r="Y4378" s="1">
        <v>2910</v>
      </c>
      <c r="Z4378" s="1" t="s">
        <v>24</v>
      </c>
      <c r="AA4378" s="1" t="s">
        <v>24</v>
      </c>
      <c r="AB4378" s="1" t="s">
        <v>24</v>
      </c>
      <c r="AC4378" s="1" t="s">
        <v>24</v>
      </c>
      <c r="AD4378" s="1" t="s">
        <v>24</v>
      </c>
      <c r="AE4378" s="1" t="s">
        <v>24</v>
      </c>
      <c r="AF4378" s="22"/>
    </row>
    <row r="4379" spans="1:32" x14ac:dyDescent="0.2">
      <c r="A4379" s="1">
        <v>39923</v>
      </c>
      <c r="B4379" s="1" t="s">
        <v>13421</v>
      </c>
      <c r="C4379" s="5" t="s">
        <v>0</v>
      </c>
      <c r="D4379" s="1" t="s">
        <v>13422</v>
      </c>
      <c r="E4379" s="1" t="s">
        <v>13423</v>
      </c>
      <c r="F4379" s="1" t="s">
        <v>28</v>
      </c>
      <c r="G4379" s="1" t="s">
        <v>29</v>
      </c>
      <c r="H4379" s="1" t="s">
        <v>30</v>
      </c>
      <c r="I4379" s="1" t="s">
        <v>16</v>
      </c>
      <c r="J4379" s="1">
        <v>1</v>
      </c>
      <c r="K4379" s="1">
        <v>6</v>
      </c>
      <c r="L4379" s="1" t="s">
        <v>31</v>
      </c>
      <c r="M4379" s="1" t="s">
        <v>18</v>
      </c>
      <c r="N4379" s="1" t="s">
        <v>18</v>
      </c>
      <c r="O4379" s="1">
        <v>3</v>
      </c>
      <c r="P4379" s="1">
        <v>7</v>
      </c>
      <c r="Q4379" s="7" t="s">
        <v>17633</v>
      </c>
      <c r="R4379" s="1" t="s">
        <v>19</v>
      </c>
      <c r="S4379" s="1" t="s">
        <v>20</v>
      </c>
      <c r="T4379" s="1" t="s">
        <v>21</v>
      </c>
      <c r="U4379" s="1" t="s">
        <v>22</v>
      </c>
      <c r="V4379" s="1" t="s">
        <v>24</v>
      </c>
      <c r="W4379" s="1" t="s">
        <v>24</v>
      </c>
      <c r="X4379" s="1">
        <v>2705</v>
      </c>
      <c r="Y4379" s="1">
        <v>2741</v>
      </c>
      <c r="Z4379" s="1" t="s">
        <v>24</v>
      </c>
      <c r="AA4379" s="1" t="s">
        <v>24</v>
      </c>
      <c r="AB4379" s="1" t="s">
        <v>24</v>
      </c>
      <c r="AC4379" s="1" t="s">
        <v>24</v>
      </c>
      <c r="AD4379" s="1" t="s">
        <v>24</v>
      </c>
      <c r="AE4379" s="1" t="s">
        <v>24</v>
      </c>
      <c r="AF4379" s="22"/>
    </row>
    <row r="4380" spans="1:32" x14ac:dyDescent="0.2">
      <c r="A4380" s="1">
        <v>39924</v>
      </c>
      <c r="B4380" s="1" t="s">
        <v>13424</v>
      </c>
      <c r="C4380" s="5" t="s">
        <v>0</v>
      </c>
      <c r="D4380" s="1" t="s">
        <v>13425</v>
      </c>
      <c r="E4380" s="1" t="s">
        <v>13426</v>
      </c>
      <c r="F4380" s="1" t="s">
        <v>28</v>
      </c>
      <c r="G4380" s="1" t="s">
        <v>29</v>
      </c>
      <c r="H4380" s="1" t="s">
        <v>30</v>
      </c>
      <c r="I4380" s="1" t="s">
        <v>16</v>
      </c>
      <c r="J4380" s="1">
        <v>1</v>
      </c>
      <c r="K4380" s="1">
        <v>6</v>
      </c>
      <c r="L4380" s="1" t="s">
        <v>31</v>
      </c>
      <c r="M4380" s="1" t="s">
        <v>18</v>
      </c>
      <c r="N4380" s="1" t="s">
        <v>18</v>
      </c>
      <c r="O4380" s="1">
        <v>3</v>
      </c>
      <c r="P4380" s="1">
        <v>7</v>
      </c>
      <c r="Q4380" s="7" t="s">
        <v>17633</v>
      </c>
      <c r="R4380" s="1" t="s">
        <v>19</v>
      </c>
      <c r="S4380" s="1" t="s">
        <v>20</v>
      </c>
      <c r="T4380" s="1" t="s">
        <v>21</v>
      </c>
      <c r="U4380" s="1" t="s">
        <v>22</v>
      </c>
      <c r="V4380" s="1" t="s">
        <v>23</v>
      </c>
      <c r="W4380" s="1" t="s">
        <v>24</v>
      </c>
      <c r="X4380" s="1">
        <v>2705</v>
      </c>
      <c r="Y4380" s="1" t="s">
        <v>24</v>
      </c>
      <c r="Z4380" s="1" t="s">
        <v>24</v>
      </c>
      <c r="AA4380" s="1" t="s">
        <v>24</v>
      </c>
      <c r="AB4380" s="1" t="s">
        <v>24</v>
      </c>
      <c r="AC4380" s="1" t="s">
        <v>24</v>
      </c>
      <c r="AD4380" s="1" t="s">
        <v>24</v>
      </c>
      <c r="AE4380" s="1" t="s">
        <v>24</v>
      </c>
      <c r="AF4380" s="22"/>
    </row>
    <row r="4381" spans="1:32" x14ac:dyDescent="0.2">
      <c r="A4381" s="1">
        <v>39930</v>
      </c>
      <c r="B4381" s="1" t="s">
        <v>13427</v>
      </c>
      <c r="C4381" s="5" t="s">
        <v>0</v>
      </c>
      <c r="E4381" s="1" t="s">
        <v>13428</v>
      </c>
      <c r="F4381" s="1" t="s">
        <v>6405</v>
      </c>
      <c r="G4381" s="1" t="s">
        <v>6406</v>
      </c>
      <c r="H4381" s="1" t="s">
        <v>92</v>
      </c>
      <c r="I4381" s="1" t="s">
        <v>16</v>
      </c>
      <c r="J4381" s="1">
        <v>1</v>
      </c>
      <c r="K4381" s="1">
        <v>1</v>
      </c>
      <c r="L4381" s="1" t="s">
        <v>31</v>
      </c>
      <c r="M4381" s="1" t="s">
        <v>18</v>
      </c>
      <c r="N4381" s="1" t="s">
        <v>18</v>
      </c>
      <c r="O4381" s="1">
        <v>3</v>
      </c>
      <c r="P4381" s="1">
        <v>7</v>
      </c>
      <c r="Q4381" s="7" t="s">
        <v>17633</v>
      </c>
      <c r="R4381" s="1" t="s">
        <v>19</v>
      </c>
      <c r="S4381" s="1" t="s">
        <v>63</v>
      </c>
      <c r="T4381" s="1" t="s">
        <v>21</v>
      </c>
      <c r="U4381" s="1" t="s">
        <v>22</v>
      </c>
      <c r="V4381" s="1" t="s">
        <v>24</v>
      </c>
      <c r="W4381" s="1" t="s">
        <v>24</v>
      </c>
      <c r="X4381" s="1">
        <v>1303</v>
      </c>
      <c r="Y4381" s="1">
        <v>1313</v>
      </c>
      <c r="Z4381" s="1">
        <v>1312</v>
      </c>
      <c r="AA4381" s="1">
        <v>1311</v>
      </c>
      <c r="AB4381" s="1" t="s">
        <v>24</v>
      </c>
      <c r="AC4381" s="1" t="s">
        <v>24</v>
      </c>
      <c r="AD4381" s="1" t="s">
        <v>24</v>
      </c>
      <c r="AE4381" s="1" t="s">
        <v>24</v>
      </c>
      <c r="AF4381" s="22"/>
    </row>
    <row r="4382" spans="1:32" x14ac:dyDescent="0.2">
      <c r="A4382" s="1">
        <v>39931</v>
      </c>
      <c r="B4382" s="1" t="s">
        <v>13429</v>
      </c>
      <c r="C4382" s="5" t="s">
        <v>0</v>
      </c>
      <c r="E4382" s="1" t="s">
        <v>13430</v>
      </c>
      <c r="F4382" s="1" t="s">
        <v>6405</v>
      </c>
      <c r="G4382" s="1" t="s">
        <v>6406</v>
      </c>
      <c r="H4382" s="1" t="s">
        <v>92</v>
      </c>
      <c r="I4382" s="1" t="s">
        <v>16</v>
      </c>
      <c r="J4382" s="1">
        <v>1</v>
      </c>
      <c r="K4382" s="1">
        <v>1</v>
      </c>
      <c r="L4382" s="1" t="s">
        <v>31</v>
      </c>
      <c r="M4382" s="1" t="s">
        <v>18</v>
      </c>
      <c r="N4382" s="1" t="s">
        <v>18</v>
      </c>
      <c r="O4382" s="1">
        <v>3</v>
      </c>
      <c r="P4382" s="1">
        <v>7</v>
      </c>
      <c r="Q4382" s="7" t="s">
        <v>17633</v>
      </c>
      <c r="R4382" s="1" t="s">
        <v>19</v>
      </c>
      <c r="S4382" s="1" t="s">
        <v>63</v>
      </c>
      <c r="T4382" s="1" t="s">
        <v>21</v>
      </c>
      <c r="U4382" s="1" t="s">
        <v>22</v>
      </c>
      <c r="V4382" s="1" t="s">
        <v>24</v>
      </c>
      <c r="W4382" s="1" t="s">
        <v>24</v>
      </c>
      <c r="X4382" s="1">
        <v>1303</v>
      </c>
      <c r="Y4382" s="1">
        <v>1312</v>
      </c>
      <c r="Z4382" s="1">
        <v>1314</v>
      </c>
      <c r="AA4382" s="1" t="s">
        <v>24</v>
      </c>
      <c r="AB4382" s="1" t="s">
        <v>24</v>
      </c>
      <c r="AC4382" s="1" t="s">
        <v>24</v>
      </c>
      <c r="AD4382" s="1" t="s">
        <v>24</v>
      </c>
      <c r="AE4382" s="1" t="s">
        <v>24</v>
      </c>
      <c r="AF4382" s="22"/>
    </row>
    <row r="4383" spans="1:32" x14ac:dyDescent="0.2">
      <c r="A4383" s="1">
        <v>39932</v>
      </c>
      <c r="B4383" s="1" t="s">
        <v>13431</v>
      </c>
      <c r="C4383" s="5" t="s">
        <v>0</v>
      </c>
      <c r="E4383" s="1" t="s">
        <v>13432</v>
      </c>
      <c r="F4383" s="1" t="s">
        <v>6405</v>
      </c>
      <c r="G4383" s="1" t="s">
        <v>6406</v>
      </c>
      <c r="H4383" s="1" t="s">
        <v>92</v>
      </c>
      <c r="I4383" s="1" t="s">
        <v>16</v>
      </c>
      <c r="J4383" s="1">
        <v>1</v>
      </c>
      <c r="K4383" s="1">
        <v>1</v>
      </c>
      <c r="L4383" s="1" t="s">
        <v>31</v>
      </c>
      <c r="M4383" s="1" t="s">
        <v>18</v>
      </c>
      <c r="N4383" s="1" t="s">
        <v>18</v>
      </c>
      <c r="O4383" s="1">
        <v>3</v>
      </c>
      <c r="P4383" s="1">
        <v>7</v>
      </c>
      <c r="Q4383" s="7" t="s">
        <v>17633</v>
      </c>
      <c r="R4383" s="1" t="s">
        <v>19</v>
      </c>
      <c r="S4383" s="1" t="s">
        <v>63</v>
      </c>
      <c r="T4383" s="1" t="s">
        <v>21</v>
      </c>
      <c r="U4383" s="1" t="s">
        <v>22</v>
      </c>
      <c r="V4383" s="1" t="s">
        <v>24</v>
      </c>
      <c r="W4383" s="1" t="s">
        <v>24</v>
      </c>
      <c r="X4383" s="1">
        <v>3004</v>
      </c>
      <c r="Y4383" s="1">
        <v>3003</v>
      </c>
      <c r="Z4383" s="1">
        <v>3002</v>
      </c>
      <c r="AA4383" s="1">
        <v>1313</v>
      </c>
      <c r="AB4383" s="1" t="s">
        <v>24</v>
      </c>
      <c r="AC4383" s="1" t="s">
        <v>24</v>
      </c>
      <c r="AD4383" s="1" t="s">
        <v>24</v>
      </c>
      <c r="AE4383" s="1" t="s">
        <v>24</v>
      </c>
      <c r="AF4383" s="22"/>
    </row>
    <row r="4384" spans="1:32" x14ac:dyDescent="0.2">
      <c r="A4384" s="1">
        <v>39933</v>
      </c>
      <c r="B4384" s="1" t="s">
        <v>13433</v>
      </c>
      <c r="C4384" s="5" t="s">
        <v>0</v>
      </c>
      <c r="E4384" s="1" t="s">
        <v>13434</v>
      </c>
      <c r="F4384" s="1" t="s">
        <v>6405</v>
      </c>
      <c r="G4384" s="1" t="s">
        <v>6406</v>
      </c>
      <c r="H4384" s="1" t="s">
        <v>92</v>
      </c>
      <c r="I4384" s="1" t="s">
        <v>16</v>
      </c>
      <c r="J4384" s="1">
        <v>1</v>
      </c>
      <c r="K4384" s="1">
        <v>1</v>
      </c>
      <c r="L4384" s="1" t="s">
        <v>31</v>
      </c>
      <c r="M4384" s="1" t="s">
        <v>18</v>
      </c>
      <c r="N4384" s="1" t="s">
        <v>18</v>
      </c>
      <c r="O4384" s="1">
        <v>3</v>
      </c>
      <c r="P4384" s="1">
        <v>7</v>
      </c>
      <c r="Q4384" s="7" t="s">
        <v>17633</v>
      </c>
      <c r="R4384" s="1" t="s">
        <v>19</v>
      </c>
      <c r="S4384" s="1" t="s">
        <v>63</v>
      </c>
      <c r="T4384" s="1" t="s">
        <v>21</v>
      </c>
      <c r="U4384" s="1" t="s">
        <v>22</v>
      </c>
      <c r="V4384" s="1" t="s">
        <v>24</v>
      </c>
      <c r="W4384" s="1" t="s">
        <v>24</v>
      </c>
      <c r="X4384" s="1">
        <v>1313</v>
      </c>
      <c r="Y4384" s="1">
        <v>1312</v>
      </c>
      <c r="Z4384" s="1">
        <v>1303</v>
      </c>
      <c r="AA4384" s="1">
        <v>3004</v>
      </c>
      <c r="AB4384" s="1">
        <v>3002</v>
      </c>
      <c r="AC4384" s="1">
        <v>3003</v>
      </c>
      <c r="AD4384" s="1" t="s">
        <v>24</v>
      </c>
      <c r="AE4384" s="1" t="s">
        <v>24</v>
      </c>
      <c r="AF4384" s="22"/>
    </row>
    <row r="4385" spans="1:32" x14ac:dyDescent="0.2">
      <c r="A4385" s="1">
        <v>39934</v>
      </c>
      <c r="B4385" s="1" t="s">
        <v>13435</v>
      </c>
      <c r="C4385" s="5" t="s">
        <v>0</v>
      </c>
      <c r="E4385" s="1" t="s">
        <v>13436</v>
      </c>
      <c r="F4385" s="1" t="s">
        <v>6405</v>
      </c>
      <c r="G4385" s="1" t="s">
        <v>6406</v>
      </c>
      <c r="H4385" s="1" t="s">
        <v>92</v>
      </c>
      <c r="I4385" s="1" t="s">
        <v>16</v>
      </c>
      <c r="J4385" s="1">
        <v>1</v>
      </c>
      <c r="K4385" s="1">
        <v>1</v>
      </c>
      <c r="L4385" s="1" t="s">
        <v>31</v>
      </c>
      <c r="M4385" s="1" t="s">
        <v>18</v>
      </c>
      <c r="N4385" s="1" t="s">
        <v>18</v>
      </c>
      <c r="O4385" s="1">
        <v>3</v>
      </c>
      <c r="P4385" s="1">
        <v>7</v>
      </c>
      <c r="Q4385" s="7" t="s">
        <v>17633</v>
      </c>
      <c r="R4385" s="1" t="s">
        <v>19</v>
      </c>
      <c r="S4385" s="1" t="s">
        <v>63</v>
      </c>
      <c r="T4385" s="1" t="s">
        <v>21</v>
      </c>
      <c r="U4385" s="1" t="s">
        <v>22</v>
      </c>
      <c r="V4385" s="1" t="s">
        <v>24</v>
      </c>
      <c r="W4385" s="1" t="s">
        <v>24</v>
      </c>
      <c r="X4385" s="1">
        <v>1306</v>
      </c>
      <c r="Y4385" s="1">
        <v>2730</v>
      </c>
      <c r="Z4385" s="1" t="s">
        <v>24</v>
      </c>
      <c r="AA4385" s="1" t="s">
        <v>24</v>
      </c>
      <c r="AB4385" s="1" t="s">
        <v>24</v>
      </c>
      <c r="AC4385" s="1" t="s">
        <v>24</v>
      </c>
      <c r="AD4385" s="1" t="s">
        <v>24</v>
      </c>
      <c r="AE4385" s="1" t="s">
        <v>24</v>
      </c>
      <c r="AF4385" s="22"/>
    </row>
    <row r="4386" spans="1:32" x14ac:dyDescent="0.2">
      <c r="A4386" s="1">
        <v>39935</v>
      </c>
      <c r="B4386" s="1" t="s">
        <v>13437</v>
      </c>
      <c r="C4386" s="5" t="s">
        <v>0</v>
      </c>
      <c r="E4386" s="1" t="s">
        <v>13438</v>
      </c>
      <c r="F4386" s="1" t="s">
        <v>6405</v>
      </c>
      <c r="G4386" s="1" t="s">
        <v>6406</v>
      </c>
      <c r="H4386" s="1" t="s">
        <v>92</v>
      </c>
      <c r="I4386" s="1" t="s">
        <v>16</v>
      </c>
      <c r="J4386" s="1">
        <v>1</v>
      </c>
      <c r="K4386" s="1">
        <v>1</v>
      </c>
      <c r="L4386" s="1" t="s">
        <v>31</v>
      </c>
      <c r="M4386" s="1" t="s">
        <v>18</v>
      </c>
      <c r="N4386" s="1" t="s">
        <v>18</v>
      </c>
      <c r="O4386" s="1">
        <v>3</v>
      </c>
      <c r="P4386" s="1">
        <v>7</v>
      </c>
      <c r="Q4386" s="7" t="s">
        <v>17633</v>
      </c>
      <c r="R4386" s="1" t="s">
        <v>19</v>
      </c>
      <c r="S4386" s="1" t="s">
        <v>63</v>
      </c>
      <c r="T4386" s="1" t="s">
        <v>21</v>
      </c>
      <c r="U4386" s="1" t="s">
        <v>22</v>
      </c>
      <c r="V4386" s="1" t="s">
        <v>24</v>
      </c>
      <c r="W4386" s="1" t="s">
        <v>24</v>
      </c>
      <c r="X4386" s="1">
        <v>2705</v>
      </c>
      <c r="Y4386" s="1" t="s">
        <v>24</v>
      </c>
      <c r="Z4386" s="1" t="s">
        <v>24</v>
      </c>
      <c r="AA4386" s="1" t="s">
        <v>24</v>
      </c>
      <c r="AB4386" s="1" t="s">
        <v>24</v>
      </c>
      <c r="AC4386" s="1" t="s">
        <v>24</v>
      </c>
      <c r="AD4386" s="1" t="s">
        <v>24</v>
      </c>
      <c r="AE4386" s="1" t="s">
        <v>24</v>
      </c>
      <c r="AF4386" s="22"/>
    </row>
    <row r="4387" spans="1:32" x14ac:dyDescent="0.2">
      <c r="A4387" s="1">
        <v>39936</v>
      </c>
      <c r="B4387" s="1" t="s">
        <v>13439</v>
      </c>
      <c r="C4387" s="5" t="s">
        <v>0</v>
      </c>
      <c r="E4387" s="1" t="s">
        <v>13440</v>
      </c>
      <c r="F4387" s="1" t="s">
        <v>6405</v>
      </c>
      <c r="G4387" s="1" t="s">
        <v>6406</v>
      </c>
      <c r="H4387" s="1" t="s">
        <v>92</v>
      </c>
      <c r="I4387" s="1" t="s">
        <v>16</v>
      </c>
      <c r="J4387" s="1">
        <v>1</v>
      </c>
      <c r="K4387" s="1">
        <v>1</v>
      </c>
      <c r="L4387" s="1" t="s">
        <v>31</v>
      </c>
      <c r="M4387" s="1" t="s">
        <v>18</v>
      </c>
      <c r="N4387" s="1" t="s">
        <v>18</v>
      </c>
      <c r="O4387" s="1">
        <v>3</v>
      </c>
      <c r="P4387" s="1">
        <v>7</v>
      </c>
      <c r="Q4387" s="7" t="s">
        <v>17633</v>
      </c>
      <c r="R4387" s="1" t="s">
        <v>19</v>
      </c>
      <c r="S4387" s="1" t="s">
        <v>63</v>
      </c>
      <c r="T4387" s="1" t="s">
        <v>21</v>
      </c>
      <c r="U4387" s="1" t="s">
        <v>22</v>
      </c>
      <c r="V4387" s="1" t="s">
        <v>24</v>
      </c>
      <c r="W4387" s="1" t="s">
        <v>24</v>
      </c>
      <c r="X4387" s="1">
        <v>3003</v>
      </c>
      <c r="Y4387" s="1" t="s">
        <v>24</v>
      </c>
      <c r="Z4387" s="1" t="s">
        <v>24</v>
      </c>
      <c r="AA4387" s="1" t="s">
        <v>24</v>
      </c>
      <c r="AB4387" s="1" t="s">
        <v>24</v>
      </c>
      <c r="AC4387" s="1" t="s">
        <v>24</v>
      </c>
      <c r="AD4387" s="1" t="s">
        <v>24</v>
      </c>
      <c r="AE4387" s="1" t="s">
        <v>24</v>
      </c>
      <c r="AF4387" s="22"/>
    </row>
    <row r="4388" spans="1:32" x14ac:dyDescent="0.2">
      <c r="A4388" s="1">
        <v>39937</v>
      </c>
      <c r="B4388" s="1" t="s">
        <v>13441</v>
      </c>
      <c r="C4388" s="5" t="s">
        <v>0</v>
      </c>
      <c r="E4388" s="1" t="s">
        <v>13442</v>
      </c>
      <c r="F4388" s="1" t="s">
        <v>6405</v>
      </c>
      <c r="G4388" s="1" t="s">
        <v>6406</v>
      </c>
      <c r="H4388" s="1" t="s">
        <v>92</v>
      </c>
      <c r="I4388" s="1" t="s">
        <v>16</v>
      </c>
      <c r="J4388" s="1">
        <v>1</v>
      </c>
      <c r="K4388" s="1">
        <v>1</v>
      </c>
      <c r="L4388" s="1" t="s">
        <v>31</v>
      </c>
      <c r="M4388" s="1" t="s">
        <v>18</v>
      </c>
      <c r="N4388" s="1" t="s">
        <v>18</v>
      </c>
      <c r="O4388" s="1">
        <v>3</v>
      </c>
      <c r="P4388" s="1">
        <v>7</v>
      </c>
      <c r="Q4388" s="7" t="s">
        <v>17633</v>
      </c>
      <c r="R4388" s="1" t="s">
        <v>19</v>
      </c>
      <c r="S4388" s="1" t="s">
        <v>63</v>
      </c>
      <c r="T4388" s="1" t="s">
        <v>21</v>
      </c>
      <c r="U4388" s="1" t="s">
        <v>22</v>
      </c>
      <c r="V4388" s="1" t="s">
        <v>24</v>
      </c>
      <c r="W4388" s="1" t="s">
        <v>24</v>
      </c>
      <c r="X4388" s="1">
        <v>2730</v>
      </c>
      <c r="Y4388" s="1">
        <v>1306</v>
      </c>
      <c r="Z4388" s="1" t="s">
        <v>24</v>
      </c>
      <c r="AA4388" s="1" t="s">
        <v>24</v>
      </c>
      <c r="AB4388" s="1" t="s">
        <v>24</v>
      </c>
      <c r="AC4388" s="1" t="s">
        <v>24</v>
      </c>
      <c r="AD4388" s="1" t="s">
        <v>24</v>
      </c>
      <c r="AE4388" s="1" t="s">
        <v>24</v>
      </c>
      <c r="AF4388" s="22"/>
    </row>
    <row r="4389" spans="1:32" x14ac:dyDescent="0.2">
      <c r="A4389" s="1">
        <v>39938</v>
      </c>
      <c r="B4389" s="1" t="s">
        <v>13443</v>
      </c>
      <c r="C4389" s="5" t="s">
        <v>0</v>
      </c>
      <c r="E4389" s="1" t="s">
        <v>13444</v>
      </c>
      <c r="F4389" s="1" t="s">
        <v>6405</v>
      </c>
      <c r="G4389" s="1" t="s">
        <v>6406</v>
      </c>
      <c r="H4389" s="1" t="s">
        <v>92</v>
      </c>
      <c r="I4389" s="1" t="s">
        <v>16</v>
      </c>
      <c r="J4389" s="1">
        <v>1</v>
      </c>
      <c r="K4389" s="1">
        <v>1</v>
      </c>
      <c r="L4389" s="1" t="s">
        <v>31</v>
      </c>
      <c r="M4389" s="1" t="s">
        <v>18</v>
      </c>
      <c r="N4389" s="1" t="s">
        <v>18</v>
      </c>
      <c r="O4389" s="1">
        <v>3</v>
      </c>
      <c r="P4389" s="1">
        <v>7</v>
      </c>
      <c r="Q4389" s="7" t="s">
        <v>17633</v>
      </c>
      <c r="R4389" s="1" t="s">
        <v>19</v>
      </c>
      <c r="S4389" s="1" t="s">
        <v>63</v>
      </c>
      <c r="T4389" s="1" t="s">
        <v>21</v>
      </c>
      <c r="U4389" s="1" t="s">
        <v>22</v>
      </c>
      <c r="V4389" s="1" t="s">
        <v>24</v>
      </c>
      <c r="W4389" s="1" t="s">
        <v>24</v>
      </c>
      <c r="X4389" s="1">
        <v>2704</v>
      </c>
      <c r="Y4389" s="1">
        <v>1308</v>
      </c>
      <c r="Z4389" s="1" t="s">
        <v>24</v>
      </c>
      <c r="AA4389" s="1" t="s">
        <v>24</v>
      </c>
      <c r="AB4389" s="1" t="s">
        <v>24</v>
      </c>
      <c r="AC4389" s="1" t="s">
        <v>24</v>
      </c>
      <c r="AD4389" s="1" t="s">
        <v>24</v>
      </c>
      <c r="AE4389" s="1" t="s">
        <v>24</v>
      </c>
      <c r="AF4389" s="22"/>
    </row>
    <row r="4390" spans="1:32" x14ac:dyDescent="0.2">
      <c r="A4390" s="1">
        <v>39939</v>
      </c>
      <c r="B4390" s="1" t="s">
        <v>13445</v>
      </c>
      <c r="C4390" s="5" t="s">
        <v>0</v>
      </c>
      <c r="E4390" s="1" t="s">
        <v>13446</v>
      </c>
      <c r="F4390" s="1" t="s">
        <v>6405</v>
      </c>
      <c r="G4390" s="1" t="s">
        <v>6406</v>
      </c>
      <c r="H4390" s="1" t="s">
        <v>92</v>
      </c>
      <c r="I4390" s="1" t="s">
        <v>16</v>
      </c>
      <c r="J4390" s="1">
        <v>1</v>
      </c>
      <c r="K4390" s="1">
        <v>1</v>
      </c>
      <c r="L4390" s="1" t="s">
        <v>31</v>
      </c>
      <c r="M4390" s="1" t="s">
        <v>18</v>
      </c>
      <c r="N4390" s="1" t="s">
        <v>18</v>
      </c>
      <c r="O4390" s="1">
        <v>3</v>
      </c>
      <c r="P4390" s="1">
        <v>7</v>
      </c>
      <c r="Q4390" s="7" t="s">
        <v>17633</v>
      </c>
      <c r="R4390" s="1" t="s">
        <v>19</v>
      </c>
      <c r="S4390" s="1" t="s">
        <v>63</v>
      </c>
      <c r="T4390" s="1" t="s">
        <v>21</v>
      </c>
      <c r="U4390" s="1" t="s">
        <v>22</v>
      </c>
      <c r="V4390" s="1" t="s">
        <v>24</v>
      </c>
      <c r="W4390" s="1" t="s">
        <v>24</v>
      </c>
      <c r="X4390" s="1">
        <v>1313</v>
      </c>
      <c r="Y4390" s="1">
        <v>1311</v>
      </c>
      <c r="Z4390" s="1" t="s">
        <v>24</v>
      </c>
      <c r="AA4390" s="1" t="s">
        <v>24</v>
      </c>
      <c r="AB4390" s="1" t="s">
        <v>24</v>
      </c>
      <c r="AC4390" s="1" t="s">
        <v>24</v>
      </c>
      <c r="AD4390" s="1" t="s">
        <v>24</v>
      </c>
      <c r="AE4390" s="1" t="s">
        <v>24</v>
      </c>
      <c r="AF4390" s="22"/>
    </row>
    <row r="4391" spans="1:32" x14ac:dyDescent="0.2">
      <c r="A4391" s="1">
        <v>39940</v>
      </c>
      <c r="B4391" s="1" t="s">
        <v>13447</v>
      </c>
      <c r="C4391" s="5" t="s">
        <v>0</v>
      </c>
      <c r="E4391" s="1" t="s">
        <v>13448</v>
      </c>
      <c r="F4391" s="1" t="s">
        <v>6405</v>
      </c>
      <c r="G4391" s="1" t="s">
        <v>6406</v>
      </c>
      <c r="H4391" s="1" t="s">
        <v>92</v>
      </c>
      <c r="I4391" s="1" t="s">
        <v>16</v>
      </c>
      <c r="J4391" s="1">
        <v>1</v>
      </c>
      <c r="K4391" s="1">
        <v>1</v>
      </c>
      <c r="L4391" s="1" t="s">
        <v>31</v>
      </c>
      <c r="M4391" s="1" t="s">
        <v>18</v>
      </c>
      <c r="N4391" s="1" t="s">
        <v>18</v>
      </c>
      <c r="O4391" s="1">
        <v>3</v>
      </c>
      <c r="P4391" s="1">
        <v>7</v>
      </c>
      <c r="Q4391" s="7" t="s">
        <v>17633</v>
      </c>
      <c r="R4391" s="1" t="s">
        <v>19</v>
      </c>
      <c r="S4391" s="1" t="s">
        <v>63</v>
      </c>
      <c r="T4391" s="1" t="s">
        <v>21</v>
      </c>
      <c r="U4391" s="1" t="s">
        <v>22</v>
      </c>
      <c r="V4391" s="1" t="s">
        <v>24</v>
      </c>
      <c r="W4391" s="1" t="s">
        <v>24</v>
      </c>
      <c r="X4391" s="1">
        <v>3004</v>
      </c>
      <c r="Y4391" s="1">
        <v>3002</v>
      </c>
      <c r="Z4391" s="1">
        <v>1313</v>
      </c>
      <c r="AA4391" s="1">
        <v>3003</v>
      </c>
      <c r="AB4391" s="1" t="s">
        <v>24</v>
      </c>
      <c r="AC4391" s="1" t="s">
        <v>24</v>
      </c>
      <c r="AD4391" s="1" t="s">
        <v>24</v>
      </c>
      <c r="AE4391" s="1" t="s">
        <v>24</v>
      </c>
      <c r="AF4391" s="22"/>
    </row>
    <row r="4392" spans="1:32" x14ac:dyDescent="0.2">
      <c r="A4392" s="1">
        <v>39941</v>
      </c>
      <c r="B4392" s="1" t="s">
        <v>13449</v>
      </c>
      <c r="C4392" s="5" t="s">
        <v>0</v>
      </c>
      <c r="E4392" s="1" t="s">
        <v>13450</v>
      </c>
      <c r="F4392" s="1" t="s">
        <v>6405</v>
      </c>
      <c r="G4392" s="1" t="s">
        <v>6406</v>
      </c>
      <c r="H4392" s="1" t="s">
        <v>92</v>
      </c>
      <c r="I4392" s="1" t="s">
        <v>16</v>
      </c>
      <c r="J4392" s="1">
        <v>1</v>
      </c>
      <c r="K4392" s="1">
        <v>1</v>
      </c>
      <c r="L4392" s="1" t="s">
        <v>31</v>
      </c>
      <c r="M4392" s="1" t="s">
        <v>18</v>
      </c>
      <c r="N4392" s="1" t="s">
        <v>18</v>
      </c>
      <c r="O4392" s="1">
        <v>3</v>
      </c>
      <c r="P4392" s="1">
        <v>7</v>
      </c>
      <c r="Q4392" s="7" t="s">
        <v>17633</v>
      </c>
      <c r="R4392" s="1" t="s">
        <v>19</v>
      </c>
      <c r="S4392" s="1" t="s">
        <v>63</v>
      </c>
      <c r="T4392" s="1" t="s">
        <v>21</v>
      </c>
      <c r="U4392" s="1" t="s">
        <v>22</v>
      </c>
      <c r="V4392" s="1" t="s">
        <v>24</v>
      </c>
      <c r="W4392" s="1" t="s">
        <v>24</v>
      </c>
      <c r="X4392" s="1">
        <v>2403</v>
      </c>
      <c r="Y4392" s="1">
        <v>2723</v>
      </c>
      <c r="Z4392" s="1" t="s">
        <v>24</v>
      </c>
      <c r="AA4392" s="1" t="s">
        <v>24</v>
      </c>
      <c r="AB4392" s="1" t="s">
        <v>24</v>
      </c>
      <c r="AC4392" s="1" t="s">
        <v>24</v>
      </c>
      <c r="AD4392" s="1" t="s">
        <v>24</v>
      </c>
      <c r="AE4392" s="1" t="s">
        <v>24</v>
      </c>
      <c r="AF4392" s="22"/>
    </row>
    <row r="4393" spans="1:32" x14ac:dyDescent="0.2">
      <c r="A4393" s="1">
        <v>39942</v>
      </c>
      <c r="B4393" s="1" t="s">
        <v>13451</v>
      </c>
      <c r="C4393" s="5" t="s">
        <v>0</v>
      </c>
      <c r="E4393" s="1" t="s">
        <v>13452</v>
      </c>
      <c r="F4393" s="1" t="s">
        <v>6405</v>
      </c>
      <c r="G4393" s="1" t="s">
        <v>6406</v>
      </c>
      <c r="H4393" s="1" t="s">
        <v>92</v>
      </c>
      <c r="I4393" s="1" t="s">
        <v>16</v>
      </c>
      <c r="J4393" s="1">
        <v>1</v>
      </c>
      <c r="K4393" s="1">
        <v>1</v>
      </c>
      <c r="L4393" s="1" t="s">
        <v>31</v>
      </c>
      <c r="M4393" s="1" t="s">
        <v>18</v>
      </c>
      <c r="N4393" s="1" t="s">
        <v>18</v>
      </c>
      <c r="O4393" s="1">
        <v>3</v>
      </c>
      <c r="P4393" s="1">
        <v>7</v>
      </c>
      <c r="Q4393" s="7" t="s">
        <v>17633</v>
      </c>
      <c r="R4393" s="1" t="s">
        <v>19</v>
      </c>
      <c r="S4393" s="1" t="s">
        <v>63</v>
      </c>
      <c r="T4393" s="1" t="s">
        <v>21</v>
      </c>
      <c r="U4393" s="1" t="s">
        <v>22</v>
      </c>
      <c r="V4393" s="1" t="s">
        <v>24</v>
      </c>
      <c r="W4393" s="1" t="s">
        <v>24</v>
      </c>
      <c r="X4393" s="1">
        <v>2725</v>
      </c>
      <c r="Y4393" s="1">
        <v>2404</v>
      </c>
      <c r="Z4393" s="1">
        <v>2405</v>
      </c>
      <c r="AA4393" s="1" t="s">
        <v>24</v>
      </c>
      <c r="AB4393" s="1" t="s">
        <v>24</v>
      </c>
      <c r="AC4393" s="1" t="s">
        <v>24</v>
      </c>
      <c r="AD4393" s="1" t="s">
        <v>24</v>
      </c>
      <c r="AE4393" s="1" t="s">
        <v>24</v>
      </c>
      <c r="AF4393" s="22"/>
    </row>
    <row r="4394" spans="1:32" x14ac:dyDescent="0.2">
      <c r="A4394" s="1">
        <v>39943</v>
      </c>
      <c r="B4394" s="1" t="s">
        <v>13453</v>
      </c>
      <c r="C4394" s="5" t="s">
        <v>0</v>
      </c>
      <c r="E4394" s="1" t="s">
        <v>13454</v>
      </c>
      <c r="F4394" s="1" t="s">
        <v>6405</v>
      </c>
      <c r="G4394" s="1" t="s">
        <v>6406</v>
      </c>
      <c r="H4394" s="1" t="s">
        <v>92</v>
      </c>
      <c r="I4394" s="1" t="s">
        <v>16</v>
      </c>
      <c r="J4394" s="1">
        <v>1</v>
      </c>
      <c r="K4394" s="1">
        <v>1</v>
      </c>
      <c r="L4394" s="1" t="s">
        <v>31</v>
      </c>
      <c r="M4394" s="1" t="s">
        <v>18</v>
      </c>
      <c r="N4394" s="1" t="s">
        <v>18</v>
      </c>
      <c r="O4394" s="1">
        <v>3</v>
      </c>
      <c r="P4394" s="1">
        <v>7</v>
      </c>
      <c r="Q4394" s="7" t="s">
        <v>17633</v>
      </c>
      <c r="R4394" s="1" t="s">
        <v>19</v>
      </c>
      <c r="S4394" s="1" t="s">
        <v>63</v>
      </c>
      <c r="T4394" s="1" t="s">
        <v>21</v>
      </c>
      <c r="U4394" s="1" t="s">
        <v>22</v>
      </c>
      <c r="V4394" s="1" t="s">
        <v>24</v>
      </c>
      <c r="W4394" s="1" t="s">
        <v>24</v>
      </c>
      <c r="X4394" s="1">
        <v>2720</v>
      </c>
      <c r="Y4394" s="1" t="s">
        <v>24</v>
      </c>
      <c r="Z4394" s="1" t="s">
        <v>24</v>
      </c>
      <c r="AA4394" s="1" t="s">
        <v>24</v>
      </c>
      <c r="AB4394" s="1" t="s">
        <v>24</v>
      </c>
      <c r="AC4394" s="1" t="s">
        <v>24</v>
      </c>
      <c r="AD4394" s="1" t="s">
        <v>24</v>
      </c>
      <c r="AE4394" s="1" t="s">
        <v>24</v>
      </c>
      <c r="AF4394" s="22"/>
    </row>
    <row r="4395" spans="1:32" x14ac:dyDescent="0.2">
      <c r="A4395" s="1">
        <v>39944</v>
      </c>
      <c r="B4395" s="1" t="s">
        <v>13455</v>
      </c>
      <c r="C4395" s="5" t="s">
        <v>0</v>
      </c>
      <c r="E4395" s="1" t="s">
        <v>13456</v>
      </c>
      <c r="F4395" s="1" t="s">
        <v>6405</v>
      </c>
      <c r="G4395" s="1" t="s">
        <v>6406</v>
      </c>
      <c r="H4395" s="1" t="s">
        <v>92</v>
      </c>
      <c r="I4395" s="1" t="s">
        <v>16</v>
      </c>
      <c r="J4395" s="1">
        <v>1</v>
      </c>
      <c r="K4395" s="1">
        <v>1</v>
      </c>
      <c r="L4395" s="1" t="s">
        <v>31</v>
      </c>
      <c r="M4395" s="1" t="s">
        <v>18</v>
      </c>
      <c r="N4395" s="1" t="s">
        <v>18</v>
      </c>
      <c r="O4395" s="1">
        <v>3</v>
      </c>
      <c r="P4395" s="1">
        <v>7</v>
      </c>
      <c r="Q4395" s="7" t="s">
        <v>17633</v>
      </c>
      <c r="R4395" s="1" t="s">
        <v>19</v>
      </c>
      <c r="S4395" s="1" t="s">
        <v>63</v>
      </c>
      <c r="T4395" s="1" t="s">
        <v>21</v>
      </c>
      <c r="U4395" s="1" t="s">
        <v>22</v>
      </c>
      <c r="V4395" s="1" t="s">
        <v>24</v>
      </c>
      <c r="W4395" s="1" t="s">
        <v>24</v>
      </c>
      <c r="X4395" s="1">
        <v>1303</v>
      </c>
      <c r="Y4395" s="1">
        <v>1308</v>
      </c>
      <c r="Z4395" s="1">
        <v>2704</v>
      </c>
      <c r="AA4395" s="1" t="s">
        <v>24</v>
      </c>
      <c r="AB4395" s="1" t="s">
        <v>24</v>
      </c>
      <c r="AC4395" s="1" t="s">
        <v>24</v>
      </c>
      <c r="AD4395" s="1" t="s">
        <v>24</v>
      </c>
      <c r="AE4395" s="1" t="s">
        <v>24</v>
      </c>
      <c r="AF4395" s="22"/>
    </row>
    <row r="4396" spans="1:32" x14ac:dyDescent="0.2">
      <c r="A4396" s="1">
        <v>39948</v>
      </c>
      <c r="B4396" s="1" t="s">
        <v>13457</v>
      </c>
      <c r="C4396" s="5" t="s">
        <v>0</v>
      </c>
      <c r="D4396" s="1" t="s">
        <v>13458</v>
      </c>
      <c r="E4396" s="1" t="s">
        <v>13459</v>
      </c>
      <c r="F4396" s="1" t="s">
        <v>2478</v>
      </c>
      <c r="G4396" s="1" t="s">
        <v>2478</v>
      </c>
      <c r="H4396" s="1" t="s">
        <v>37</v>
      </c>
      <c r="I4396" s="1" t="s">
        <v>16</v>
      </c>
      <c r="J4396" s="1">
        <v>1</v>
      </c>
      <c r="K4396" s="1">
        <v>6</v>
      </c>
      <c r="L4396" s="1" t="s">
        <v>42</v>
      </c>
      <c r="M4396" s="1" t="s">
        <v>18</v>
      </c>
      <c r="N4396" s="1" t="s">
        <v>18</v>
      </c>
      <c r="O4396" s="1">
        <v>2</v>
      </c>
      <c r="P4396" s="1">
        <v>7</v>
      </c>
      <c r="Q4396" s="7" t="s">
        <v>17633</v>
      </c>
      <c r="R4396" s="1" t="s">
        <v>19</v>
      </c>
      <c r="S4396" s="1" t="s">
        <v>20</v>
      </c>
      <c r="T4396" s="1" t="s">
        <v>21</v>
      </c>
      <c r="U4396" s="1" t="s">
        <v>22</v>
      </c>
      <c r="V4396" s="1" t="s">
        <v>24</v>
      </c>
      <c r="W4396" s="1" t="s">
        <v>24</v>
      </c>
      <c r="X4396" s="1">
        <v>1300</v>
      </c>
      <c r="Y4396" s="1">
        <v>2701</v>
      </c>
      <c r="Z4396" s="1">
        <v>2401</v>
      </c>
      <c r="AA4396" s="1">
        <v>2801</v>
      </c>
      <c r="AB4396" s="1" t="s">
        <v>24</v>
      </c>
      <c r="AC4396" s="1" t="s">
        <v>24</v>
      </c>
      <c r="AD4396" s="1" t="s">
        <v>24</v>
      </c>
      <c r="AE4396" s="1" t="s">
        <v>24</v>
      </c>
      <c r="AF4396" s="22"/>
    </row>
    <row r="4397" spans="1:32" x14ac:dyDescent="0.2">
      <c r="A4397" s="1">
        <v>39951</v>
      </c>
      <c r="B4397" s="1" t="s">
        <v>13460</v>
      </c>
      <c r="C4397" s="5" t="s">
        <v>0</v>
      </c>
      <c r="D4397" s="1" t="s">
        <v>13461</v>
      </c>
      <c r="E4397" s="1" t="s">
        <v>13462</v>
      </c>
      <c r="F4397" s="1" t="s">
        <v>540</v>
      </c>
      <c r="G4397" s="1" t="s">
        <v>130</v>
      </c>
      <c r="H4397" s="1" t="s">
        <v>684</v>
      </c>
      <c r="I4397" s="1" t="s">
        <v>16</v>
      </c>
      <c r="J4397" s="1">
        <v>1</v>
      </c>
      <c r="K4397" s="1">
        <v>3</v>
      </c>
      <c r="L4397" s="1" t="s">
        <v>31</v>
      </c>
      <c r="M4397" s="1" t="s">
        <v>18</v>
      </c>
      <c r="N4397" s="1" t="s">
        <v>18</v>
      </c>
      <c r="O4397" s="1">
        <v>3</v>
      </c>
      <c r="P4397" s="1">
        <v>7</v>
      </c>
      <c r="Q4397" s="7" t="s">
        <v>17633</v>
      </c>
      <c r="R4397" s="1" t="s">
        <v>19</v>
      </c>
      <c r="S4397" s="1" t="s">
        <v>20</v>
      </c>
      <c r="T4397" s="1" t="s">
        <v>21</v>
      </c>
      <c r="U4397" s="1" t="s">
        <v>22</v>
      </c>
      <c r="V4397" s="1" t="s">
        <v>23</v>
      </c>
      <c r="W4397" s="1" t="s">
        <v>24</v>
      </c>
      <c r="X4397" s="1">
        <v>2712</v>
      </c>
      <c r="Y4397" s="1">
        <v>1106</v>
      </c>
      <c r="Z4397" s="1">
        <v>2916</v>
      </c>
      <c r="AA4397" s="1" t="s">
        <v>24</v>
      </c>
      <c r="AB4397" s="1" t="s">
        <v>24</v>
      </c>
      <c r="AC4397" s="1" t="s">
        <v>24</v>
      </c>
      <c r="AD4397" s="1" t="s">
        <v>24</v>
      </c>
      <c r="AE4397" s="1" t="s">
        <v>24</v>
      </c>
      <c r="AF4397" s="22"/>
    </row>
    <row r="4398" spans="1:32" x14ac:dyDescent="0.2">
      <c r="A4398" s="1">
        <v>39954</v>
      </c>
      <c r="B4398" s="1" t="s">
        <v>13463</v>
      </c>
      <c r="C4398" s="5" t="s">
        <v>0</v>
      </c>
      <c r="D4398" s="1" t="s">
        <v>13464</v>
      </c>
      <c r="E4398" s="1" t="s">
        <v>13465</v>
      </c>
      <c r="F4398" s="1" t="s">
        <v>8040</v>
      </c>
      <c r="G4398" s="1" t="s">
        <v>8041</v>
      </c>
      <c r="H4398" s="1" t="s">
        <v>37</v>
      </c>
      <c r="I4398" s="1" t="s">
        <v>16</v>
      </c>
      <c r="J4398" s="1">
        <v>1</v>
      </c>
      <c r="K4398" s="1">
        <v>4</v>
      </c>
      <c r="L4398" s="1" t="s">
        <v>31</v>
      </c>
      <c r="M4398" s="1" t="s">
        <v>18</v>
      </c>
      <c r="N4398" s="1" t="s">
        <v>18</v>
      </c>
      <c r="O4398" s="1">
        <v>3</v>
      </c>
      <c r="P4398" s="1">
        <v>6</v>
      </c>
      <c r="R4398" s="1" t="s">
        <v>19</v>
      </c>
      <c r="S4398" s="1" t="s">
        <v>20</v>
      </c>
      <c r="T4398" s="1" t="s">
        <v>21</v>
      </c>
      <c r="U4398" s="1" t="s">
        <v>22</v>
      </c>
      <c r="V4398" s="1" t="s">
        <v>24</v>
      </c>
      <c r="W4398" s="1" t="s">
        <v>24</v>
      </c>
      <c r="X4398" s="1">
        <v>1303</v>
      </c>
      <c r="Y4398" s="1">
        <v>2804</v>
      </c>
      <c r="Z4398" s="1">
        <v>3000</v>
      </c>
      <c r="AA4398" s="1" t="s">
        <v>24</v>
      </c>
      <c r="AB4398" s="1" t="s">
        <v>24</v>
      </c>
      <c r="AC4398" s="1" t="s">
        <v>24</v>
      </c>
      <c r="AD4398" s="1" t="s">
        <v>24</v>
      </c>
      <c r="AE4398" s="1" t="s">
        <v>24</v>
      </c>
      <c r="AF4398" s="22"/>
    </row>
    <row r="4399" spans="1:32" x14ac:dyDescent="0.2">
      <c r="A4399" s="1">
        <v>39955</v>
      </c>
      <c r="B4399" s="1" t="s">
        <v>13466</v>
      </c>
      <c r="C4399" s="5" t="s">
        <v>0</v>
      </c>
      <c r="D4399" s="1" t="s">
        <v>13467</v>
      </c>
      <c r="E4399" s="1" t="s">
        <v>13468</v>
      </c>
      <c r="F4399" s="1" t="s">
        <v>8040</v>
      </c>
      <c r="G4399" s="1" t="s">
        <v>8041</v>
      </c>
      <c r="H4399" s="1" t="s">
        <v>111</v>
      </c>
      <c r="I4399" s="1" t="s">
        <v>16</v>
      </c>
      <c r="J4399" s="1">
        <v>1</v>
      </c>
      <c r="K4399" s="1">
        <v>4</v>
      </c>
      <c r="L4399" s="1" t="s">
        <v>31</v>
      </c>
      <c r="M4399" s="1" t="s">
        <v>18</v>
      </c>
      <c r="N4399" s="1" t="s">
        <v>18</v>
      </c>
      <c r="O4399" s="1">
        <v>3</v>
      </c>
      <c r="P4399" s="1">
        <v>6</v>
      </c>
      <c r="R4399" s="1" t="s">
        <v>19</v>
      </c>
      <c r="S4399" s="1" t="s">
        <v>20</v>
      </c>
      <c r="T4399" s="1" t="s">
        <v>21</v>
      </c>
      <c r="U4399" s="1" t="s">
        <v>22</v>
      </c>
      <c r="V4399" s="1" t="s">
        <v>24</v>
      </c>
      <c r="W4399" s="1" t="s">
        <v>24</v>
      </c>
      <c r="X4399" s="1">
        <v>1706</v>
      </c>
      <c r="Y4399" s="1">
        <v>3002</v>
      </c>
      <c r="Z4399" s="1" t="s">
        <v>24</v>
      </c>
      <c r="AA4399" s="1" t="s">
        <v>24</v>
      </c>
      <c r="AB4399" s="1" t="s">
        <v>24</v>
      </c>
      <c r="AC4399" s="1" t="s">
        <v>24</v>
      </c>
      <c r="AD4399" s="1" t="s">
        <v>24</v>
      </c>
      <c r="AE4399" s="1" t="s">
        <v>24</v>
      </c>
      <c r="AF4399" s="22"/>
    </row>
    <row r="4400" spans="1:32" x14ac:dyDescent="0.2">
      <c r="A4400" s="1">
        <v>39956</v>
      </c>
      <c r="B4400" s="1" t="s">
        <v>13469</v>
      </c>
      <c r="C4400" s="5" t="s">
        <v>0</v>
      </c>
      <c r="D4400" s="1" t="s">
        <v>13470</v>
      </c>
      <c r="E4400" s="1" t="s">
        <v>13471</v>
      </c>
      <c r="F4400" s="1" t="s">
        <v>8040</v>
      </c>
      <c r="G4400" s="1" t="s">
        <v>8041</v>
      </c>
      <c r="H4400" s="1" t="s">
        <v>111</v>
      </c>
      <c r="I4400" s="1" t="s">
        <v>16</v>
      </c>
      <c r="J4400" s="1">
        <v>1</v>
      </c>
      <c r="K4400" s="1">
        <v>4</v>
      </c>
      <c r="L4400" s="1" t="s">
        <v>31</v>
      </c>
      <c r="M4400" s="1" t="s">
        <v>18</v>
      </c>
      <c r="N4400" s="1" t="s">
        <v>18</v>
      </c>
      <c r="O4400" s="1">
        <v>3</v>
      </c>
      <c r="P4400" s="1">
        <v>6</v>
      </c>
      <c r="R4400" s="1" t="s">
        <v>19</v>
      </c>
      <c r="S4400" s="1" t="s">
        <v>20</v>
      </c>
      <c r="T4400" s="1" t="s">
        <v>21</v>
      </c>
      <c r="U4400" s="1" t="s">
        <v>22</v>
      </c>
      <c r="V4400" s="1" t="s">
        <v>24</v>
      </c>
      <c r="W4400" s="1" t="s">
        <v>24</v>
      </c>
      <c r="X4400" s="1">
        <v>2204</v>
      </c>
      <c r="Y4400" s="1">
        <v>2718</v>
      </c>
      <c r="Z4400" s="1">
        <v>2701</v>
      </c>
      <c r="AA4400" s="1">
        <v>2502</v>
      </c>
      <c r="AB4400" s="1" t="s">
        <v>24</v>
      </c>
      <c r="AC4400" s="1" t="s">
        <v>24</v>
      </c>
      <c r="AD4400" s="1" t="s">
        <v>24</v>
      </c>
      <c r="AE4400" s="1" t="s">
        <v>24</v>
      </c>
      <c r="AF4400" s="22"/>
    </row>
    <row r="4401" spans="1:32" x14ac:dyDescent="0.2">
      <c r="A4401" s="1">
        <v>39963</v>
      </c>
      <c r="B4401" s="1" t="s">
        <v>13472</v>
      </c>
      <c r="C4401" s="5" t="s">
        <v>0</v>
      </c>
      <c r="E4401" s="1" t="s">
        <v>13473</v>
      </c>
      <c r="F4401" s="1" t="s">
        <v>2299</v>
      </c>
      <c r="G4401" s="1" t="s">
        <v>2300</v>
      </c>
      <c r="H4401" s="1" t="s">
        <v>37</v>
      </c>
      <c r="I4401" s="1" t="s">
        <v>16</v>
      </c>
      <c r="J4401" s="1">
        <v>1</v>
      </c>
      <c r="K4401" s="1">
        <v>1</v>
      </c>
      <c r="L4401" s="1" t="s">
        <v>31</v>
      </c>
      <c r="M4401" s="1" t="s">
        <v>18</v>
      </c>
      <c r="N4401" s="1" t="s">
        <v>18</v>
      </c>
      <c r="O4401" s="1">
        <v>3</v>
      </c>
      <c r="P4401" s="1">
        <v>7</v>
      </c>
      <c r="Q4401" s="7" t="s">
        <v>17633</v>
      </c>
      <c r="R4401" s="1" t="s">
        <v>19</v>
      </c>
      <c r="S4401" s="1" t="s">
        <v>63</v>
      </c>
      <c r="T4401" s="1" t="s">
        <v>21</v>
      </c>
      <c r="U4401" s="1" t="s">
        <v>22</v>
      </c>
      <c r="V4401" s="1" t="s">
        <v>24</v>
      </c>
      <c r="W4401" s="1" t="s">
        <v>24</v>
      </c>
      <c r="X4401" s="1">
        <v>2739</v>
      </c>
      <c r="Y4401" s="1">
        <v>3306</v>
      </c>
      <c r="Z4401" s="1">
        <v>2701</v>
      </c>
      <c r="AA4401" s="1" t="s">
        <v>24</v>
      </c>
      <c r="AB4401" s="1" t="s">
        <v>24</v>
      </c>
      <c r="AC4401" s="1" t="s">
        <v>24</v>
      </c>
      <c r="AD4401" s="1" t="s">
        <v>24</v>
      </c>
      <c r="AE4401" s="1" t="s">
        <v>24</v>
      </c>
      <c r="AF4401" s="22"/>
    </row>
    <row r="4402" spans="1:32" x14ac:dyDescent="0.2">
      <c r="A4402" s="1">
        <v>39999</v>
      </c>
      <c r="B4402" s="1" t="s">
        <v>13474</v>
      </c>
      <c r="C4402" s="5" t="s">
        <v>0</v>
      </c>
      <c r="D4402" s="1" t="s">
        <v>13475</v>
      </c>
      <c r="E4402" s="1" t="s">
        <v>13476</v>
      </c>
      <c r="F4402" s="1" t="s">
        <v>1412</v>
      </c>
      <c r="G4402" s="1" t="s">
        <v>1413</v>
      </c>
      <c r="H4402" s="1" t="s">
        <v>30</v>
      </c>
      <c r="I4402" s="1" t="s">
        <v>16</v>
      </c>
      <c r="J4402" s="1">
        <v>1</v>
      </c>
      <c r="K4402" s="1">
        <v>6</v>
      </c>
      <c r="L4402" s="1" t="s">
        <v>31</v>
      </c>
      <c r="M4402" s="1" t="s">
        <v>18</v>
      </c>
      <c r="N4402" s="1" t="s">
        <v>18</v>
      </c>
      <c r="O4402" s="1">
        <v>3</v>
      </c>
      <c r="P4402" s="1">
        <v>6</v>
      </c>
      <c r="R4402" s="1" t="s">
        <v>19</v>
      </c>
      <c r="S4402" s="1" t="s">
        <v>63</v>
      </c>
      <c r="T4402" s="1" t="s">
        <v>21</v>
      </c>
      <c r="U4402" s="1" t="s">
        <v>22</v>
      </c>
      <c r="V4402" s="1" t="s">
        <v>24</v>
      </c>
      <c r="W4402" s="1" t="s">
        <v>24</v>
      </c>
      <c r="X4402" s="1">
        <v>1307</v>
      </c>
      <c r="Y4402" s="1">
        <v>1302</v>
      </c>
      <c r="Z4402" s="1">
        <v>1303</v>
      </c>
      <c r="AA4402" s="1" t="s">
        <v>24</v>
      </c>
      <c r="AB4402" s="1" t="s">
        <v>24</v>
      </c>
      <c r="AC4402" s="1" t="s">
        <v>24</v>
      </c>
      <c r="AD4402" s="1" t="s">
        <v>24</v>
      </c>
      <c r="AE4402" s="1" t="s">
        <v>24</v>
      </c>
      <c r="AF4402" s="22"/>
    </row>
    <row r="4403" spans="1:32" x14ac:dyDescent="0.2">
      <c r="A4403" s="1">
        <v>40001</v>
      </c>
      <c r="B4403" s="1" t="s">
        <v>13477</v>
      </c>
      <c r="C4403" s="5" t="s">
        <v>0</v>
      </c>
      <c r="D4403" s="1" t="s">
        <v>13478</v>
      </c>
      <c r="F4403" s="1" t="s">
        <v>11251</v>
      </c>
      <c r="G4403" s="1" t="s">
        <v>11251</v>
      </c>
      <c r="H4403" s="1" t="s">
        <v>3228</v>
      </c>
      <c r="I4403" s="1" t="s">
        <v>16</v>
      </c>
      <c r="J4403" s="1">
        <v>1</v>
      </c>
      <c r="K4403" s="1">
        <v>1</v>
      </c>
      <c r="L4403" s="1" t="s">
        <v>42</v>
      </c>
      <c r="M4403" s="1" t="s">
        <v>18</v>
      </c>
      <c r="N4403" s="1" t="s">
        <v>18</v>
      </c>
      <c r="O4403" s="1">
        <v>3</v>
      </c>
      <c r="P4403" s="1">
        <v>6</v>
      </c>
      <c r="R4403" s="1" t="s">
        <v>19</v>
      </c>
      <c r="S4403" s="1" t="s">
        <v>63</v>
      </c>
      <c r="T4403" s="1" t="s">
        <v>21</v>
      </c>
      <c r="U4403" s="1" t="s">
        <v>22</v>
      </c>
      <c r="V4403" s="1" t="s">
        <v>24</v>
      </c>
      <c r="W4403" s="1" t="s">
        <v>24</v>
      </c>
      <c r="X4403" s="1">
        <v>2730</v>
      </c>
      <c r="Y4403" s="1">
        <v>1306</v>
      </c>
      <c r="Z4403" s="1" t="s">
        <v>24</v>
      </c>
      <c r="AA4403" s="1" t="s">
        <v>24</v>
      </c>
      <c r="AB4403" s="1" t="s">
        <v>24</v>
      </c>
      <c r="AC4403" s="1" t="s">
        <v>24</v>
      </c>
      <c r="AD4403" s="1" t="s">
        <v>24</v>
      </c>
      <c r="AE4403" s="1" t="s">
        <v>24</v>
      </c>
      <c r="AF4403" s="22" t="s">
        <v>17678</v>
      </c>
    </row>
    <row r="4404" spans="1:32" x14ac:dyDescent="0.2">
      <c r="A4404" s="1">
        <v>40016</v>
      </c>
      <c r="B4404" s="1" t="s">
        <v>13479</v>
      </c>
      <c r="C4404" s="5" t="s">
        <v>0</v>
      </c>
      <c r="E4404" s="1" t="s">
        <v>13480</v>
      </c>
      <c r="F4404" s="1" t="s">
        <v>3904</v>
      </c>
      <c r="G4404" s="1" t="s">
        <v>460</v>
      </c>
      <c r="H4404" s="1" t="s">
        <v>461</v>
      </c>
      <c r="I4404" s="1" t="s">
        <v>16</v>
      </c>
      <c r="J4404" s="1">
        <v>1</v>
      </c>
      <c r="K4404" s="1">
        <v>1</v>
      </c>
      <c r="L4404" s="1" t="s">
        <v>42</v>
      </c>
      <c r="M4404" s="1" t="s">
        <v>18</v>
      </c>
      <c r="N4404" s="1" t="s">
        <v>18</v>
      </c>
      <c r="O4404" s="1">
        <v>3</v>
      </c>
      <c r="P4404" s="1">
        <v>6</v>
      </c>
      <c r="R4404" s="1" t="s">
        <v>19</v>
      </c>
      <c r="S4404" s="1" t="s">
        <v>20</v>
      </c>
      <c r="T4404" s="1" t="s">
        <v>21</v>
      </c>
      <c r="U4404" s="1" t="s">
        <v>22</v>
      </c>
      <c r="V4404" s="1" t="s">
        <v>24</v>
      </c>
      <c r="W4404" s="1" t="s">
        <v>24</v>
      </c>
      <c r="X4404" s="1">
        <v>2728</v>
      </c>
      <c r="Y4404" s="1" t="s">
        <v>24</v>
      </c>
      <c r="Z4404" s="1" t="s">
        <v>24</v>
      </c>
      <c r="AA4404" s="1" t="s">
        <v>24</v>
      </c>
      <c r="AB4404" s="1" t="s">
        <v>24</v>
      </c>
      <c r="AC4404" s="1" t="s">
        <v>24</v>
      </c>
      <c r="AD4404" s="1" t="s">
        <v>24</v>
      </c>
      <c r="AE4404" s="1" t="s">
        <v>24</v>
      </c>
      <c r="AF4404" s="22"/>
    </row>
    <row r="4405" spans="1:32" x14ac:dyDescent="0.2">
      <c r="A4405" s="1">
        <v>40018</v>
      </c>
      <c r="B4405" s="1" t="s">
        <v>13481</v>
      </c>
      <c r="C4405" s="5" t="s">
        <v>0</v>
      </c>
      <c r="D4405" s="1" t="s">
        <v>13482</v>
      </c>
      <c r="E4405" s="1" t="s">
        <v>13483</v>
      </c>
      <c r="F4405" s="1" t="s">
        <v>12799</v>
      </c>
      <c r="G4405" s="1" t="s">
        <v>12799</v>
      </c>
      <c r="H4405" s="1" t="s">
        <v>1957</v>
      </c>
      <c r="I4405" s="1" t="s">
        <v>16</v>
      </c>
      <c r="J4405" s="1">
        <v>1</v>
      </c>
      <c r="K4405" s="1">
        <v>2</v>
      </c>
      <c r="L4405" s="1" t="s">
        <v>42</v>
      </c>
      <c r="M4405" s="1" t="s">
        <v>18</v>
      </c>
      <c r="N4405" s="1" t="s">
        <v>18</v>
      </c>
      <c r="O4405" s="1">
        <v>3</v>
      </c>
      <c r="P4405" s="1">
        <v>6</v>
      </c>
      <c r="R4405" s="1" t="s">
        <v>19</v>
      </c>
      <c r="S4405" s="1" t="s">
        <v>20</v>
      </c>
      <c r="T4405" s="1" t="s">
        <v>21</v>
      </c>
      <c r="U4405" s="1" t="s">
        <v>22</v>
      </c>
      <c r="V4405" s="1" t="s">
        <v>23</v>
      </c>
      <c r="W4405" s="1" t="s">
        <v>24</v>
      </c>
      <c r="X4405" s="1">
        <v>2738</v>
      </c>
      <c r="Y4405" s="1">
        <v>2802</v>
      </c>
      <c r="Z4405" s="1">
        <v>2803</v>
      </c>
      <c r="AA4405" s="1" t="s">
        <v>24</v>
      </c>
      <c r="AB4405" s="1" t="s">
        <v>24</v>
      </c>
      <c r="AC4405" s="1" t="s">
        <v>24</v>
      </c>
      <c r="AD4405" s="1" t="s">
        <v>24</v>
      </c>
      <c r="AE4405" s="1" t="s">
        <v>24</v>
      </c>
      <c r="AF4405" s="22"/>
    </row>
    <row r="4406" spans="1:32" x14ac:dyDescent="0.2">
      <c r="A4406" s="1">
        <v>40019</v>
      </c>
      <c r="B4406" s="1" t="s">
        <v>13484</v>
      </c>
      <c r="C4406" s="5" t="s">
        <v>0</v>
      </c>
      <c r="D4406" s="1" t="s">
        <v>13485</v>
      </c>
      <c r="E4406" s="1" t="s">
        <v>13486</v>
      </c>
      <c r="F4406" s="1" t="s">
        <v>13487</v>
      </c>
      <c r="G4406" s="1" t="s">
        <v>13487</v>
      </c>
      <c r="H4406" s="1" t="s">
        <v>7282</v>
      </c>
      <c r="I4406" s="1" t="s">
        <v>16</v>
      </c>
      <c r="J4406" s="1">
        <v>1</v>
      </c>
      <c r="K4406" s="1">
        <v>6</v>
      </c>
      <c r="L4406" s="1" t="s">
        <v>42</v>
      </c>
      <c r="M4406" s="1" t="s">
        <v>13488</v>
      </c>
      <c r="N4406" s="1" t="s">
        <v>13489</v>
      </c>
      <c r="O4406" s="1">
        <v>2</v>
      </c>
      <c r="P4406" s="1">
        <v>5</v>
      </c>
      <c r="R4406" s="1" t="s">
        <v>19</v>
      </c>
      <c r="S4406" s="1" t="s">
        <v>63</v>
      </c>
      <c r="T4406" s="1" t="s">
        <v>21</v>
      </c>
      <c r="U4406" s="1" t="s">
        <v>22</v>
      </c>
      <c r="V4406" s="1" t="s">
        <v>24</v>
      </c>
      <c r="W4406" s="1" t="s">
        <v>24</v>
      </c>
      <c r="X4406" s="1">
        <v>1300</v>
      </c>
      <c r="Y4406" s="1" t="s">
        <v>24</v>
      </c>
      <c r="Z4406" s="1" t="s">
        <v>24</v>
      </c>
      <c r="AA4406" s="1" t="s">
        <v>24</v>
      </c>
      <c r="AB4406" s="1" t="s">
        <v>24</v>
      </c>
      <c r="AC4406" s="1" t="s">
        <v>24</v>
      </c>
      <c r="AD4406" s="1" t="s">
        <v>24</v>
      </c>
      <c r="AE4406" s="1" t="s">
        <v>24</v>
      </c>
      <c r="AF4406" s="22"/>
    </row>
    <row r="4407" spans="1:32" x14ac:dyDescent="0.2">
      <c r="A4407" s="1">
        <v>40021</v>
      </c>
      <c r="B4407" s="1" t="s">
        <v>13490</v>
      </c>
      <c r="C4407" s="5" t="s">
        <v>0</v>
      </c>
      <c r="D4407" s="1" t="s">
        <v>13491</v>
      </c>
      <c r="E4407" s="1" t="s">
        <v>13492</v>
      </c>
      <c r="F4407" s="1" t="s">
        <v>13493</v>
      </c>
      <c r="G4407" s="1" t="s">
        <v>13494</v>
      </c>
      <c r="H4407" s="1" t="s">
        <v>2988</v>
      </c>
      <c r="I4407" s="1" t="s">
        <v>16</v>
      </c>
      <c r="J4407" s="1">
        <v>1</v>
      </c>
      <c r="K4407" s="1">
        <v>2</v>
      </c>
      <c r="L4407" s="1" t="s">
        <v>31</v>
      </c>
      <c r="M4407" s="1" t="s">
        <v>18</v>
      </c>
      <c r="N4407" s="1" t="s">
        <v>18</v>
      </c>
      <c r="O4407" s="1">
        <v>3</v>
      </c>
      <c r="P4407" s="1">
        <v>6</v>
      </c>
      <c r="R4407" s="1" t="s">
        <v>19</v>
      </c>
      <c r="S4407" s="1" t="s">
        <v>20</v>
      </c>
      <c r="T4407" s="1" t="s">
        <v>21</v>
      </c>
      <c r="U4407" s="1" t="s">
        <v>22</v>
      </c>
      <c r="V4407" s="1" t="s">
        <v>24</v>
      </c>
      <c r="W4407" s="1" t="s">
        <v>24</v>
      </c>
      <c r="X4407" s="1">
        <v>2700</v>
      </c>
      <c r="Y4407" s="1" t="s">
        <v>24</v>
      </c>
      <c r="Z4407" s="1" t="s">
        <v>24</v>
      </c>
      <c r="AA4407" s="1" t="s">
        <v>24</v>
      </c>
      <c r="AB4407" s="1" t="s">
        <v>24</v>
      </c>
      <c r="AC4407" s="1" t="s">
        <v>24</v>
      </c>
      <c r="AD4407" s="1" t="s">
        <v>24</v>
      </c>
      <c r="AE4407" s="1" t="s">
        <v>24</v>
      </c>
      <c r="AF4407" s="22"/>
    </row>
    <row r="4408" spans="1:32" x14ac:dyDescent="0.2">
      <c r="A4408" s="1">
        <v>40022</v>
      </c>
      <c r="B4408" s="1" t="s">
        <v>13495</v>
      </c>
      <c r="C4408" s="5" t="s">
        <v>0</v>
      </c>
      <c r="D4408" s="1" t="s">
        <v>13496</v>
      </c>
      <c r="E4408" s="1" t="s">
        <v>13497</v>
      </c>
      <c r="F4408" s="1" t="s">
        <v>6173</v>
      </c>
      <c r="G4408" s="1" t="s">
        <v>6173</v>
      </c>
      <c r="H4408" s="1" t="s">
        <v>1384</v>
      </c>
      <c r="I4408" s="1" t="s">
        <v>16</v>
      </c>
      <c r="J4408" s="1">
        <v>1</v>
      </c>
      <c r="K4408" s="1">
        <v>4</v>
      </c>
      <c r="L4408" s="1" t="s">
        <v>42</v>
      </c>
      <c r="M4408" s="1" t="s">
        <v>1385</v>
      </c>
      <c r="N4408" s="1" t="s">
        <v>3142</v>
      </c>
      <c r="O4408" s="1">
        <v>3</v>
      </c>
      <c r="P4408" s="1">
        <v>5</v>
      </c>
      <c r="R4408" s="1" t="s">
        <v>19</v>
      </c>
      <c r="S4408" s="1" t="s">
        <v>20</v>
      </c>
      <c r="T4408" s="1" t="s">
        <v>21</v>
      </c>
      <c r="U4408" s="1" t="s">
        <v>22</v>
      </c>
      <c r="V4408" s="1" t="s">
        <v>24</v>
      </c>
      <c r="W4408" s="1" t="s">
        <v>24</v>
      </c>
      <c r="X4408" s="1">
        <v>2740</v>
      </c>
      <c r="Y4408" s="1" t="s">
        <v>24</v>
      </c>
      <c r="Z4408" s="1" t="s">
        <v>24</v>
      </c>
      <c r="AA4408" s="1" t="s">
        <v>24</v>
      </c>
      <c r="AB4408" s="1" t="s">
        <v>24</v>
      </c>
      <c r="AC4408" s="1" t="s">
        <v>24</v>
      </c>
      <c r="AD4408" s="1" t="s">
        <v>24</v>
      </c>
      <c r="AE4408" s="1" t="s">
        <v>24</v>
      </c>
      <c r="AF4408" s="22"/>
    </row>
    <row r="4409" spans="1:32" x14ac:dyDescent="0.2">
      <c r="A4409" s="1">
        <v>40023</v>
      </c>
      <c r="B4409" s="1" t="s">
        <v>13498</v>
      </c>
      <c r="C4409" s="5" t="s">
        <v>0</v>
      </c>
      <c r="D4409" s="1" t="s">
        <v>13499</v>
      </c>
      <c r="F4409" s="1" t="s">
        <v>91</v>
      </c>
      <c r="G4409" s="1" t="s">
        <v>61</v>
      </c>
      <c r="H4409" s="1" t="s">
        <v>92</v>
      </c>
      <c r="I4409" s="1" t="s">
        <v>16</v>
      </c>
      <c r="J4409" s="1">
        <v>1</v>
      </c>
      <c r="K4409" s="1">
        <v>2</v>
      </c>
      <c r="L4409" s="1" t="s">
        <v>31</v>
      </c>
      <c r="M4409" s="1" t="s">
        <v>18</v>
      </c>
      <c r="N4409" s="1" t="s">
        <v>18</v>
      </c>
      <c r="O4409" s="1">
        <v>3</v>
      </c>
      <c r="P4409" s="1">
        <v>6</v>
      </c>
      <c r="R4409" s="1" t="s">
        <v>19</v>
      </c>
      <c r="S4409" s="1" t="s">
        <v>20</v>
      </c>
      <c r="T4409" s="1" t="s">
        <v>21</v>
      </c>
      <c r="U4409" s="1" t="s">
        <v>22</v>
      </c>
      <c r="V4409" s="1" t="s">
        <v>24</v>
      </c>
      <c r="W4409" s="1" t="s">
        <v>24</v>
      </c>
      <c r="X4409" s="1">
        <v>2700</v>
      </c>
      <c r="Y4409" s="1" t="s">
        <v>24</v>
      </c>
      <c r="Z4409" s="1" t="s">
        <v>24</v>
      </c>
      <c r="AA4409" s="1" t="s">
        <v>24</v>
      </c>
      <c r="AB4409" s="1" t="s">
        <v>24</v>
      </c>
      <c r="AC4409" s="1" t="s">
        <v>24</v>
      </c>
      <c r="AD4409" s="1" t="s">
        <v>24</v>
      </c>
      <c r="AE4409" s="1" t="s">
        <v>24</v>
      </c>
      <c r="AF4409" s="22"/>
    </row>
    <row r="4410" spans="1:32" x14ac:dyDescent="0.2">
      <c r="A4410" s="1">
        <v>40024</v>
      </c>
      <c r="B4410" s="1" t="s">
        <v>13500</v>
      </c>
      <c r="C4410" s="5" t="s">
        <v>0</v>
      </c>
      <c r="D4410" s="1" t="s">
        <v>13501</v>
      </c>
      <c r="E4410" s="1" t="s">
        <v>13502</v>
      </c>
      <c r="F4410" s="1" t="s">
        <v>13503</v>
      </c>
      <c r="G4410" s="1" t="s">
        <v>13503</v>
      </c>
      <c r="H4410" s="1" t="s">
        <v>1384</v>
      </c>
      <c r="I4410" s="1" t="s">
        <v>16</v>
      </c>
      <c r="J4410" s="1">
        <v>0</v>
      </c>
      <c r="K4410" s="1">
        <v>0</v>
      </c>
      <c r="L4410" s="1" t="s">
        <v>42</v>
      </c>
      <c r="M4410" s="1" t="s">
        <v>18</v>
      </c>
      <c r="N4410" s="1" t="s">
        <v>18</v>
      </c>
      <c r="O4410" s="1">
        <v>3</v>
      </c>
      <c r="P4410" s="1">
        <v>6</v>
      </c>
      <c r="R4410" s="1" t="s">
        <v>19</v>
      </c>
      <c r="S4410" s="1" t="s">
        <v>20</v>
      </c>
      <c r="T4410" s="1" t="s">
        <v>21</v>
      </c>
      <c r="U4410" s="1" t="s">
        <v>22</v>
      </c>
      <c r="V4410" s="1" t="s">
        <v>24</v>
      </c>
      <c r="W4410" s="1" t="s">
        <v>24</v>
      </c>
      <c r="X4410" s="1">
        <v>1300</v>
      </c>
      <c r="Y4410" s="1" t="s">
        <v>24</v>
      </c>
      <c r="Z4410" s="1" t="s">
        <v>24</v>
      </c>
      <c r="AA4410" s="1" t="s">
        <v>24</v>
      </c>
      <c r="AB4410" s="1" t="s">
        <v>24</v>
      </c>
      <c r="AC4410" s="1" t="s">
        <v>24</v>
      </c>
      <c r="AD4410" s="1" t="s">
        <v>24</v>
      </c>
      <c r="AE4410" s="1" t="s">
        <v>24</v>
      </c>
      <c r="AF4410" s="22"/>
    </row>
    <row r="4411" spans="1:32" x14ac:dyDescent="0.2">
      <c r="A4411" s="1">
        <v>40025</v>
      </c>
      <c r="B4411" s="1" t="s">
        <v>13504</v>
      </c>
      <c r="C4411" s="5" t="s">
        <v>0</v>
      </c>
      <c r="D4411" s="1" t="s">
        <v>13505</v>
      </c>
      <c r="E4411" s="1" t="s">
        <v>13506</v>
      </c>
      <c r="F4411" s="1" t="s">
        <v>13507</v>
      </c>
      <c r="G4411" s="1" t="s">
        <v>13508</v>
      </c>
      <c r="H4411" s="1" t="s">
        <v>135</v>
      </c>
      <c r="I4411" s="1" t="s">
        <v>16</v>
      </c>
      <c r="J4411" s="1">
        <v>1</v>
      </c>
      <c r="K4411" s="1">
        <v>4</v>
      </c>
      <c r="L4411" s="1" t="s">
        <v>42</v>
      </c>
      <c r="M4411" s="1" t="s">
        <v>1131</v>
      </c>
      <c r="N4411" s="1" t="s">
        <v>5887</v>
      </c>
      <c r="O4411" s="1">
        <v>3</v>
      </c>
      <c r="P4411" s="1">
        <v>5</v>
      </c>
      <c r="R4411" s="1" t="s">
        <v>19</v>
      </c>
      <c r="S4411" s="1" t="s">
        <v>63</v>
      </c>
      <c r="T4411" s="1" t="s">
        <v>21</v>
      </c>
      <c r="U4411" s="1" t="s">
        <v>22</v>
      </c>
      <c r="V4411" s="1" t="s">
        <v>24</v>
      </c>
      <c r="W4411" s="1" t="s">
        <v>24</v>
      </c>
      <c r="X4411" s="1">
        <v>3003</v>
      </c>
      <c r="Y4411" s="1">
        <v>3004</v>
      </c>
      <c r="Z4411" s="1">
        <v>3611</v>
      </c>
      <c r="AA4411" s="1" t="s">
        <v>24</v>
      </c>
      <c r="AB4411" s="1" t="s">
        <v>24</v>
      </c>
      <c r="AC4411" s="1" t="s">
        <v>24</v>
      </c>
      <c r="AD4411" s="1" t="s">
        <v>24</v>
      </c>
      <c r="AE4411" s="1" t="s">
        <v>24</v>
      </c>
      <c r="AF4411" s="22"/>
    </row>
    <row r="4412" spans="1:32" x14ac:dyDescent="0.2">
      <c r="A4412" s="1">
        <v>40026</v>
      </c>
      <c r="B4412" s="1" t="s">
        <v>13509</v>
      </c>
      <c r="C4412" s="5" t="s">
        <v>0</v>
      </c>
      <c r="D4412" s="1" t="s">
        <v>13510</v>
      </c>
      <c r="F4412" s="1" t="s">
        <v>13511</v>
      </c>
      <c r="G4412" s="1" t="s">
        <v>13512</v>
      </c>
      <c r="H4412" s="1" t="s">
        <v>1660</v>
      </c>
      <c r="I4412" s="1" t="s">
        <v>16</v>
      </c>
      <c r="J4412" s="1">
        <v>1</v>
      </c>
      <c r="K4412" s="1">
        <v>2</v>
      </c>
      <c r="L4412" s="1" t="s">
        <v>31</v>
      </c>
      <c r="M4412" s="1" t="s">
        <v>18</v>
      </c>
      <c r="N4412" s="1" t="s">
        <v>3233</v>
      </c>
      <c r="O4412" s="1">
        <v>3</v>
      </c>
      <c r="P4412" s="1">
        <v>6</v>
      </c>
      <c r="R4412" s="1" t="s">
        <v>19</v>
      </c>
      <c r="S4412" s="1" t="s">
        <v>20</v>
      </c>
      <c r="T4412" s="1" t="s">
        <v>21</v>
      </c>
      <c r="U4412" s="1" t="s">
        <v>22</v>
      </c>
      <c r="V4412" s="1" t="s">
        <v>23</v>
      </c>
      <c r="W4412" s="1" t="s">
        <v>24</v>
      </c>
      <c r="X4412" s="1">
        <v>2703</v>
      </c>
      <c r="Y4412" s="1">
        <v>2706</v>
      </c>
      <c r="Z4412" s="1">
        <v>2711</v>
      </c>
      <c r="AA4412" s="1" t="s">
        <v>24</v>
      </c>
      <c r="AB4412" s="1" t="s">
        <v>24</v>
      </c>
      <c r="AC4412" s="1" t="s">
        <v>24</v>
      </c>
      <c r="AD4412" s="1" t="s">
        <v>24</v>
      </c>
      <c r="AE4412" s="1" t="s">
        <v>24</v>
      </c>
      <c r="AF4412" s="22"/>
    </row>
    <row r="4413" spans="1:32" x14ac:dyDescent="0.2">
      <c r="A4413" s="1">
        <v>40027</v>
      </c>
      <c r="B4413" s="1" t="s">
        <v>13513</v>
      </c>
      <c r="C4413" s="5" t="s">
        <v>0</v>
      </c>
      <c r="D4413" s="1" t="s">
        <v>13514</v>
      </c>
      <c r="E4413" s="1" t="s">
        <v>13515</v>
      </c>
      <c r="F4413" s="1" t="s">
        <v>13516</v>
      </c>
      <c r="G4413" s="1" t="s">
        <v>13516</v>
      </c>
      <c r="H4413" s="1" t="s">
        <v>37</v>
      </c>
      <c r="I4413" s="1" t="s">
        <v>16</v>
      </c>
      <c r="J4413" s="1">
        <v>1</v>
      </c>
      <c r="K4413" s="1">
        <v>4</v>
      </c>
      <c r="L4413" s="1" t="s">
        <v>42</v>
      </c>
      <c r="M4413" s="1" t="s">
        <v>18</v>
      </c>
      <c r="N4413" s="1" t="s">
        <v>18</v>
      </c>
      <c r="O4413" s="1">
        <v>3</v>
      </c>
      <c r="P4413" s="1">
        <v>6</v>
      </c>
      <c r="R4413" s="1" t="s">
        <v>19</v>
      </c>
      <c r="S4413" s="1" t="s">
        <v>20</v>
      </c>
      <c r="T4413" s="1" t="s">
        <v>21</v>
      </c>
      <c r="U4413" s="1" t="s">
        <v>22</v>
      </c>
      <c r="V4413" s="1" t="s">
        <v>24</v>
      </c>
      <c r="W4413" s="1" t="s">
        <v>24</v>
      </c>
      <c r="X4413" s="1">
        <v>2705</v>
      </c>
      <c r="Y4413" s="1" t="s">
        <v>24</v>
      </c>
      <c r="Z4413" s="1" t="s">
        <v>24</v>
      </c>
      <c r="AA4413" s="1" t="s">
        <v>24</v>
      </c>
      <c r="AB4413" s="1" t="s">
        <v>24</v>
      </c>
      <c r="AC4413" s="1" t="s">
        <v>24</v>
      </c>
      <c r="AD4413" s="1" t="s">
        <v>24</v>
      </c>
      <c r="AE4413" s="1" t="s">
        <v>24</v>
      </c>
      <c r="AF4413" s="22"/>
    </row>
    <row r="4414" spans="1:32" x14ac:dyDescent="0.2">
      <c r="A4414" s="1">
        <v>40031</v>
      </c>
      <c r="B4414" s="1" t="s">
        <v>13517</v>
      </c>
      <c r="C4414" s="5" t="s">
        <v>0</v>
      </c>
      <c r="D4414" s="1" t="s">
        <v>13518</v>
      </c>
      <c r="F4414" s="1" t="s">
        <v>13516</v>
      </c>
      <c r="G4414" s="1" t="s">
        <v>13516</v>
      </c>
      <c r="H4414" s="1" t="s">
        <v>37</v>
      </c>
      <c r="I4414" s="1" t="s">
        <v>16</v>
      </c>
      <c r="J4414" s="1">
        <v>1</v>
      </c>
      <c r="K4414" s="1">
        <v>4</v>
      </c>
      <c r="L4414" s="1" t="s">
        <v>42</v>
      </c>
      <c r="M4414" s="1" t="s">
        <v>18</v>
      </c>
      <c r="N4414" s="1" t="s">
        <v>18</v>
      </c>
      <c r="O4414" s="1">
        <v>3</v>
      </c>
      <c r="P4414" s="1">
        <v>6</v>
      </c>
      <c r="R4414" s="1" t="s">
        <v>19</v>
      </c>
      <c r="S4414" s="1" t="s">
        <v>20</v>
      </c>
      <c r="T4414" s="1" t="s">
        <v>21</v>
      </c>
      <c r="U4414" s="1" t="s">
        <v>22</v>
      </c>
      <c r="V4414" s="1" t="s">
        <v>24</v>
      </c>
      <c r="W4414" s="1" t="s">
        <v>24</v>
      </c>
      <c r="X4414" s="1">
        <v>2715</v>
      </c>
      <c r="Y4414" s="1" t="s">
        <v>24</v>
      </c>
      <c r="Z4414" s="1" t="s">
        <v>24</v>
      </c>
      <c r="AA4414" s="1" t="s">
        <v>24</v>
      </c>
      <c r="AB4414" s="1" t="s">
        <v>24</v>
      </c>
      <c r="AC4414" s="1" t="s">
        <v>24</v>
      </c>
      <c r="AD4414" s="1" t="s">
        <v>24</v>
      </c>
      <c r="AE4414" s="1" t="s">
        <v>24</v>
      </c>
      <c r="AF4414" s="22"/>
    </row>
    <row r="4415" spans="1:32" x14ac:dyDescent="0.2">
      <c r="A4415" s="1">
        <v>40032</v>
      </c>
      <c r="B4415" s="1" t="s">
        <v>13519</v>
      </c>
      <c r="C4415" s="5" t="s">
        <v>0</v>
      </c>
      <c r="D4415" s="1" t="s">
        <v>13520</v>
      </c>
      <c r="F4415" s="1" t="s">
        <v>13516</v>
      </c>
      <c r="G4415" s="1" t="s">
        <v>13516</v>
      </c>
      <c r="H4415" s="1" t="s">
        <v>37</v>
      </c>
      <c r="I4415" s="1" t="s">
        <v>16</v>
      </c>
      <c r="J4415" s="1">
        <v>1</v>
      </c>
      <c r="K4415" s="1">
        <v>4</v>
      </c>
      <c r="L4415" s="1" t="s">
        <v>42</v>
      </c>
      <c r="M4415" s="1" t="s">
        <v>18</v>
      </c>
      <c r="N4415" s="1" t="s">
        <v>18</v>
      </c>
      <c r="O4415" s="1">
        <v>3</v>
      </c>
      <c r="P4415" s="1">
        <v>6</v>
      </c>
      <c r="R4415" s="1" t="s">
        <v>19</v>
      </c>
      <c r="S4415" s="1" t="s">
        <v>20</v>
      </c>
      <c r="T4415" s="1" t="s">
        <v>21</v>
      </c>
      <c r="U4415" s="1" t="s">
        <v>22</v>
      </c>
      <c r="V4415" s="1" t="s">
        <v>24</v>
      </c>
      <c r="W4415" s="1" t="s">
        <v>24</v>
      </c>
      <c r="X4415" s="1">
        <v>2745</v>
      </c>
      <c r="Y4415" s="1" t="s">
        <v>24</v>
      </c>
      <c r="Z4415" s="1" t="s">
        <v>24</v>
      </c>
      <c r="AA4415" s="1" t="s">
        <v>24</v>
      </c>
      <c r="AB4415" s="1" t="s">
        <v>24</v>
      </c>
      <c r="AC4415" s="1" t="s">
        <v>24</v>
      </c>
      <c r="AD4415" s="1" t="s">
        <v>24</v>
      </c>
      <c r="AE4415" s="1" t="s">
        <v>24</v>
      </c>
      <c r="AF4415" s="22"/>
    </row>
    <row r="4416" spans="1:32" x14ac:dyDescent="0.2">
      <c r="A4416" s="1">
        <v>40033</v>
      </c>
      <c r="B4416" s="1" t="s">
        <v>13521</v>
      </c>
      <c r="C4416" s="5" t="s">
        <v>0</v>
      </c>
      <c r="D4416" s="1" t="s">
        <v>13522</v>
      </c>
      <c r="F4416" s="1" t="s">
        <v>13516</v>
      </c>
      <c r="G4416" s="1" t="s">
        <v>13516</v>
      </c>
      <c r="H4416" s="1" t="s">
        <v>37</v>
      </c>
      <c r="I4416" s="1" t="s">
        <v>16</v>
      </c>
      <c r="J4416" s="1">
        <v>1</v>
      </c>
      <c r="K4416" s="1">
        <v>4</v>
      </c>
      <c r="L4416" s="1" t="s">
        <v>42</v>
      </c>
      <c r="M4416" s="1" t="s">
        <v>18</v>
      </c>
      <c r="N4416" s="1" t="s">
        <v>18</v>
      </c>
      <c r="O4416" s="1">
        <v>3</v>
      </c>
      <c r="P4416" s="1">
        <v>6</v>
      </c>
      <c r="R4416" s="1" t="s">
        <v>19</v>
      </c>
      <c r="S4416" s="1" t="s">
        <v>20</v>
      </c>
      <c r="T4416" s="1" t="s">
        <v>21</v>
      </c>
      <c r="U4416" s="1" t="s">
        <v>22</v>
      </c>
      <c r="V4416" s="1" t="s">
        <v>24</v>
      </c>
      <c r="W4416" s="1" t="s">
        <v>24</v>
      </c>
      <c r="X4416" s="1">
        <v>2403</v>
      </c>
      <c r="Y4416" s="1">
        <v>2404</v>
      </c>
      <c r="Z4416" s="1">
        <v>2725</v>
      </c>
      <c r="AA4416" s="1">
        <v>2723</v>
      </c>
      <c r="AB4416" s="1" t="s">
        <v>24</v>
      </c>
      <c r="AC4416" s="1" t="s">
        <v>24</v>
      </c>
      <c r="AD4416" s="1" t="s">
        <v>24</v>
      </c>
      <c r="AE4416" s="1" t="s">
        <v>24</v>
      </c>
      <c r="AF4416" s="22"/>
    </row>
    <row r="4417" spans="1:32" x14ac:dyDescent="0.2">
      <c r="A4417" s="1">
        <v>40034</v>
      </c>
      <c r="B4417" s="1" t="s">
        <v>13523</v>
      </c>
      <c r="C4417" s="5" t="s">
        <v>0</v>
      </c>
      <c r="D4417" s="1" t="s">
        <v>13524</v>
      </c>
      <c r="E4417" s="1" t="s">
        <v>13525</v>
      </c>
      <c r="F4417" s="1" t="s">
        <v>13516</v>
      </c>
      <c r="G4417" s="1" t="s">
        <v>13516</v>
      </c>
      <c r="H4417" s="1" t="s">
        <v>37</v>
      </c>
      <c r="I4417" s="1" t="s">
        <v>16</v>
      </c>
      <c r="J4417" s="1">
        <v>1</v>
      </c>
      <c r="K4417" s="1">
        <v>3</v>
      </c>
      <c r="L4417" s="1" t="s">
        <v>42</v>
      </c>
      <c r="M4417" s="1" t="s">
        <v>18</v>
      </c>
      <c r="N4417" s="1" t="s">
        <v>18</v>
      </c>
      <c r="O4417" s="1">
        <v>3</v>
      </c>
      <c r="P4417" s="1">
        <v>6</v>
      </c>
      <c r="R4417" s="1" t="s">
        <v>19</v>
      </c>
      <c r="S4417" s="1" t="s">
        <v>20</v>
      </c>
      <c r="T4417" s="1" t="s">
        <v>21</v>
      </c>
      <c r="U4417" s="1" t="s">
        <v>22</v>
      </c>
      <c r="V4417" s="1" t="s">
        <v>24</v>
      </c>
      <c r="W4417" s="1" t="s">
        <v>24</v>
      </c>
      <c r="X4417" s="1">
        <v>2725</v>
      </c>
      <c r="Y4417" s="1">
        <v>2406</v>
      </c>
      <c r="Z4417" s="1">
        <v>2404</v>
      </c>
      <c r="AA4417" s="1">
        <v>2723</v>
      </c>
      <c r="AB4417" s="1" t="s">
        <v>24</v>
      </c>
      <c r="AC4417" s="1" t="s">
        <v>24</v>
      </c>
      <c r="AD4417" s="1" t="s">
        <v>24</v>
      </c>
      <c r="AE4417" s="1" t="s">
        <v>24</v>
      </c>
      <c r="AF4417" s="22"/>
    </row>
    <row r="4418" spans="1:32" x14ac:dyDescent="0.2">
      <c r="A4418" s="1">
        <v>40038</v>
      </c>
      <c r="B4418" s="1" t="s">
        <v>13526</v>
      </c>
      <c r="C4418" s="5" t="s">
        <v>0</v>
      </c>
      <c r="D4418" s="1" t="s">
        <v>13527</v>
      </c>
      <c r="F4418" s="1" t="s">
        <v>13528</v>
      </c>
      <c r="G4418" s="1" t="s">
        <v>13528</v>
      </c>
      <c r="H4418" s="1" t="s">
        <v>1957</v>
      </c>
      <c r="I4418" s="1" t="s">
        <v>16</v>
      </c>
      <c r="J4418" s="1">
        <v>1</v>
      </c>
      <c r="K4418" s="1">
        <v>4</v>
      </c>
      <c r="L4418" s="1" t="s">
        <v>42</v>
      </c>
      <c r="M4418" s="1" t="s">
        <v>10391</v>
      </c>
      <c r="N4418" s="1" t="s">
        <v>10392</v>
      </c>
      <c r="O4418" s="1">
        <v>3</v>
      </c>
      <c r="P4418" s="1">
        <v>6</v>
      </c>
      <c r="R4418" s="1" t="s">
        <v>19</v>
      </c>
      <c r="S4418" s="1" t="s">
        <v>63</v>
      </c>
      <c r="T4418" s="1" t="s">
        <v>21</v>
      </c>
      <c r="U4418" s="1" t="s">
        <v>22</v>
      </c>
      <c r="V4418" s="1" t="s">
        <v>23</v>
      </c>
      <c r="W4418" s="1" t="s">
        <v>24</v>
      </c>
      <c r="X4418" s="1">
        <v>2730</v>
      </c>
      <c r="Y4418" s="1">
        <v>1306</v>
      </c>
      <c r="Z4418" s="1">
        <v>1311</v>
      </c>
      <c r="AA4418" s="1">
        <v>2716</v>
      </c>
      <c r="AB4418" s="1" t="s">
        <v>24</v>
      </c>
      <c r="AC4418" s="1" t="s">
        <v>24</v>
      </c>
      <c r="AD4418" s="1" t="s">
        <v>24</v>
      </c>
      <c r="AE4418" s="1" t="s">
        <v>24</v>
      </c>
      <c r="AF4418" s="22"/>
    </row>
    <row r="4419" spans="1:32" x14ac:dyDescent="0.2">
      <c r="A4419" s="1">
        <v>40039</v>
      </c>
      <c r="B4419" s="1" t="s">
        <v>13529</v>
      </c>
      <c r="C4419" s="5" t="s">
        <v>0</v>
      </c>
      <c r="D4419" s="1" t="s">
        <v>13530</v>
      </c>
      <c r="E4419" s="1" t="s">
        <v>13531</v>
      </c>
      <c r="F4419" s="1" t="s">
        <v>13532</v>
      </c>
      <c r="G4419" s="1" t="s">
        <v>13532</v>
      </c>
      <c r="H4419" s="1" t="s">
        <v>30</v>
      </c>
      <c r="I4419" s="1" t="s">
        <v>16</v>
      </c>
      <c r="J4419" s="1">
        <v>1</v>
      </c>
      <c r="K4419" s="1">
        <v>8</v>
      </c>
      <c r="L4419" s="1" t="s">
        <v>42</v>
      </c>
      <c r="M4419" s="1" t="s">
        <v>18</v>
      </c>
      <c r="N4419" s="1" t="s">
        <v>18</v>
      </c>
      <c r="O4419" s="1">
        <v>2</v>
      </c>
      <c r="P4419" s="1">
        <v>6</v>
      </c>
      <c r="R4419" s="1" t="s">
        <v>19</v>
      </c>
      <c r="S4419" s="1" t="s">
        <v>20</v>
      </c>
      <c r="T4419" s="1" t="s">
        <v>21</v>
      </c>
      <c r="U4419" s="1" t="s">
        <v>22</v>
      </c>
      <c r="V4419" s="1" t="s">
        <v>24</v>
      </c>
      <c r="W4419" s="1" t="s">
        <v>24</v>
      </c>
      <c r="X4419" s="1">
        <v>2719</v>
      </c>
      <c r="Y4419" s="1">
        <v>1408</v>
      </c>
      <c r="Z4419" s="1" t="s">
        <v>24</v>
      </c>
      <c r="AA4419" s="1" t="s">
        <v>24</v>
      </c>
      <c r="AB4419" s="1" t="s">
        <v>24</v>
      </c>
      <c r="AC4419" s="1" t="s">
        <v>24</v>
      </c>
      <c r="AD4419" s="1" t="s">
        <v>24</v>
      </c>
      <c r="AE4419" s="1" t="s">
        <v>24</v>
      </c>
      <c r="AF4419" s="22"/>
    </row>
    <row r="4420" spans="1:32" x14ac:dyDescent="0.2">
      <c r="A4420" s="1">
        <v>40040</v>
      </c>
      <c r="B4420" s="1" t="s">
        <v>13533</v>
      </c>
      <c r="C4420" s="5" t="s">
        <v>0</v>
      </c>
      <c r="E4420" s="1" t="s">
        <v>13534</v>
      </c>
      <c r="F4420" s="1" t="s">
        <v>13535</v>
      </c>
      <c r="G4420" s="1" t="s">
        <v>13535</v>
      </c>
      <c r="H4420" s="1" t="s">
        <v>37</v>
      </c>
      <c r="I4420" s="1" t="s">
        <v>16</v>
      </c>
      <c r="J4420" s="1">
        <v>1</v>
      </c>
      <c r="K4420" s="1">
        <v>1</v>
      </c>
      <c r="L4420" s="1" t="s">
        <v>42</v>
      </c>
      <c r="M4420" s="1" t="s">
        <v>18</v>
      </c>
      <c r="N4420" s="1" t="s">
        <v>18</v>
      </c>
      <c r="O4420" s="1">
        <v>3</v>
      </c>
      <c r="P4420" s="1">
        <v>6</v>
      </c>
      <c r="R4420" s="1" t="s">
        <v>19</v>
      </c>
      <c r="S4420" s="1" t="s">
        <v>63</v>
      </c>
      <c r="T4420" s="1" t="s">
        <v>21</v>
      </c>
      <c r="U4420" s="1" t="s">
        <v>22</v>
      </c>
      <c r="V4420" s="1" t="s">
        <v>24</v>
      </c>
      <c r="W4420" s="1" t="s">
        <v>24</v>
      </c>
      <c r="X4420" s="1">
        <v>2730</v>
      </c>
      <c r="Y4420" s="1">
        <v>1306</v>
      </c>
      <c r="Z4420" s="1" t="s">
        <v>24</v>
      </c>
      <c r="AA4420" s="1" t="s">
        <v>24</v>
      </c>
      <c r="AB4420" s="1" t="s">
        <v>24</v>
      </c>
      <c r="AC4420" s="1" t="s">
        <v>24</v>
      </c>
      <c r="AD4420" s="1" t="s">
        <v>24</v>
      </c>
      <c r="AE4420" s="1" t="s">
        <v>24</v>
      </c>
      <c r="AF4420" s="22"/>
    </row>
    <row r="4421" spans="1:32" x14ac:dyDescent="0.2">
      <c r="A4421" s="1">
        <v>40041</v>
      </c>
      <c r="B4421" s="1" t="s">
        <v>13536</v>
      </c>
      <c r="C4421" s="5" t="s">
        <v>0</v>
      </c>
      <c r="D4421" s="1" t="s">
        <v>13537</v>
      </c>
      <c r="E4421" s="1" t="s">
        <v>13538</v>
      </c>
      <c r="F4421" s="1" t="s">
        <v>1887</v>
      </c>
      <c r="G4421" s="1" t="s">
        <v>254</v>
      </c>
      <c r="H4421" s="1" t="s">
        <v>168</v>
      </c>
      <c r="I4421" s="1" t="s">
        <v>16</v>
      </c>
      <c r="J4421" s="1">
        <v>1</v>
      </c>
      <c r="K4421" s="1">
        <v>2</v>
      </c>
      <c r="L4421" s="1" t="s">
        <v>31</v>
      </c>
      <c r="M4421" s="1" t="s">
        <v>18</v>
      </c>
      <c r="N4421" s="1" t="s">
        <v>18</v>
      </c>
      <c r="O4421" s="1">
        <v>3</v>
      </c>
      <c r="P4421" s="1">
        <v>6</v>
      </c>
      <c r="R4421" s="1" t="s">
        <v>19</v>
      </c>
      <c r="S4421" s="1" t="s">
        <v>20</v>
      </c>
      <c r="T4421" s="1" t="s">
        <v>21</v>
      </c>
      <c r="U4421" s="1" t="s">
        <v>22</v>
      </c>
      <c r="V4421" s="1" t="s">
        <v>24</v>
      </c>
      <c r="W4421" s="1" t="s">
        <v>24</v>
      </c>
      <c r="X4421" s="1">
        <v>1502</v>
      </c>
      <c r="Y4421" s="1">
        <v>2701</v>
      </c>
      <c r="Z4421" s="1">
        <v>1606</v>
      </c>
      <c r="AA4421" s="1">
        <v>2204</v>
      </c>
      <c r="AB4421" s="1" t="s">
        <v>24</v>
      </c>
      <c r="AC4421" s="1" t="s">
        <v>24</v>
      </c>
      <c r="AD4421" s="1" t="s">
        <v>24</v>
      </c>
      <c r="AE4421" s="1" t="s">
        <v>24</v>
      </c>
      <c r="AF4421" s="22"/>
    </row>
    <row r="4422" spans="1:32" x14ac:dyDescent="0.2">
      <c r="A4422" s="1">
        <v>40042</v>
      </c>
      <c r="B4422" s="1" t="s">
        <v>13539</v>
      </c>
      <c r="C4422" s="5" t="s">
        <v>0</v>
      </c>
      <c r="D4422" s="1" t="s">
        <v>13540</v>
      </c>
      <c r="E4422" s="1" t="s">
        <v>13541</v>
      </c>
      <c r="F4422" s="1" t="s">
        <v>13542</v>
      </c>
      <c r="G4422" s="1" t="s">
        <v>13542</v>
      </c>
      <c r="H4422" s="1" t="s">
        <v>37</v>
      </c>
      <c r="I4422" s="1" t="s">
        <v>5001</v>
      </c>
      <c r="J4422" s="1">
        <v>1</v>
      </c>
      <c r="K4422" s="1">
        <v>6</v>
      </c>
      <c r="L4422" s="1" t="s">
        <v>42</v>
      </c>
      <c r="M4422" s="1" t="s">
        <v>18</v>
      </c>
      <c r="N4422" s="1" t="s">
        <v>18</v>
      </c>
      <c r="O4422" s="1">
        <v>2</v>
      </c>
      <c r="P4422" s="1">
        <v>5</v>
      </c>
      <c r="R4422" s="1" t="s">
        <v>19</v>
      </c>
      <c r="S4422" s="1" t="s">
        <v>20</v>
      </c>
      <c r="T4422" s="1" t="s">
        <v>21</v>
      </c>
      <c r="U4422" s="1" t="s">
        <v>22</v>
      </c>
      <c r="V4422" s="1" t="s">
        <v>24</v>
      </c>
      <c r="W4422" s="1" t="s">
        <v>24</v>
      </c>
      <c r="X4422" s="1">
        <v>3003</v>
      </c>
      <c r="Y4422" s="1" t="s">
        <v>24</v>
      </c>
      <c r="Z4422" s="1" t="s">
        <v>24</v>
      </c>
      <c r="AA4422" s="1" t="s">
        <v>24</v>
      </c>
      <c r="AB4422" s="1" t="s">
        <v>24</v>
      </c>
      <c r="AC4422" s="1" t="s">
        <v>24</v>
      </c>
      <c r="AD4422" s="1" t="s">
        <v>24</v>
      </c>
      <c r="AE4422" s="1" t="s">
        <v>24</v>
      </c>
      <c r="AF4422" s="22"/>
    </row>
    <row r="4423" spans="1:32" x14ac:dyDescent="0.2">
      <c r="A4423" s="1">
        <v>40043</v>
      </c>
      <c r="B4423" s="1" t="s">
        <v>13543</v>
      </c>
      <c r="C4423" s="5" t="s">
        <v>0</v>
      </c>
      <c r="E4423" s="1" t="s">
        <v>13544</v>
      </c>
      <c r="F4423" s="1" t="s">
        <v>13545</v>
      </c>
      <c r="G4423" s="1" t="s">
        <v>13545</v>
      </c>
      <c r="H4423" s="1" t="s">
        <v>8248</v>
      </c>
      <c r="I4423" s="1" t="s">
        <v>16</v>
      </c>
      <c r="J4423" s="1">
        <v>1</v>
      </c>
      <c r="K4423" s="1">
        <v>4</v>
      </c>
      <c r="L4423" s="1" t="s">
        <v>42</v>
      </c>
      <c r="M4423" s="1" t="s">
        <v>18</v>
      </c>
      <c r="N4423" s="1" t="s">
        <v>18</v>
      </c>
      <c r="O4423" s="1">
        <v>3</v>
      </c>
      <c r="P4423" s="1">
        <v>6</v>
      </c>
      <c r="R4423" s="1" t="s">
        <v>19</v>
      </c>
      <c r="S4423" s="1" t="s">
        <v>20</v>
      </c>
      <c r="T4423" s="1" t="s">
        <v>21</v>
      </c>
      <c r="U4423" s="1" t="s">
        <v>22</v>
      </c>
      <c r="V4423" s="1" t="s">
        <v>24</v>
      </c>
      <c r="W4423" s="1" t="s">
        <v>24</v>
      </c>
      <c r="X4423" s="1">
        <v>2700</v>
      </c>
      <c r="Y4423" s="1">
        <v>3004</v>
      </c>
      <c r="Z4423" s="1" t="s">
        <v>24</v>
      </c>
      <c r="AA4423" s="1" t="s">
        <v>24</v>
      </c>
      <c r="AB4423" s="1" t="s">
        <v>24</v>
      </c>
      <c r="AC4423" s="1" t="s">
        <v>24</v>
      </c>
      <c r="AD4423" s="1" t="s">
        <v>24</v>
      </c>
      <c r="AE4423" s="1" t="s">
        <v>24</v>
      </c>
      <c r="AF4423" s="22"/>
    </row>
    <row r="4424" spans="1:32" x14ac:dyDescent="0.2">
      <c r="A4424" s="1">
        <v>40044</v>
      </c>
      <c r="B4424" s="1" t="s">
        <v>13546</v>
      </c>
      <c r="C4424" s="5" t="s">
        <v>0</v>
      </c>
      <c r="D4424" s="1" t="s">
        <v>13547</v>
      </c>
      <c r="E4424" s="1" t="s">
        <v>13548</v>
      </c>
      <c r="F4424" s="1" t="s">
        <v>13546</v>
      </c>
      <c r="G4424" s="1" t="s">
        <v>13546</v>
      </c>
      <c r="H4424" s="1" t="s">
        <v>684</v>
      </c>
      <c r="I4424" s="1" t="s">
        <v>16</v>
      </c>
      <c r="J4424" s="1">
        <v>1</v>
      </c>
      <c r="K4424" s="1">
        <v>12</v>
      </c>
      <c r="L4424" s="1" t="s">
        <v>42</v>
      </c>
      <c r="M4424" s="1" t="s">
        <v>18</v>
      </c>
      <c r="N4424" s="1" t="s">
        <v>18</v>
      </c>
      <c r="O4424" s="1">
        <v>3</v>
      </c>
      <c r="P4424" s="1">
        <v>6</v>
      </c>
      <c r="R4424" s="1" t="s">
        <v>19</v>
      </c>
      <c r="S4424" s="1" t="s">
        <v>20</v>
      </c>
      <c r="T4424" s="1" t="s">
        <v>21</v>
      </c>
      <c r="U4424" s="1" t="s">
        <v>22</v>
      </c>
      <c r="V4424" s="1" t="s">
        <v>23</v>
      </c>
      <c r="W4424" s="1" t="s">
        <v>24</v>
      </c>
      <c r="X4424" s="1">
        <v>2725</v>
      </c>
      <c r="Y4424" s="1">
        <v>2404</v>
      </c>
      <c r="Z4424" s="1">
        <v>2405</v>
      </c>
      <c r="AA4424" s="1">
        <v>2406</v>
      </c>
      <c r="AB4424" s="1" t="s">
        <v>24</v>
      </c>
      <c r="AC4424" s="1" t="s">
        <v>24</v>
      </c>
      <c r="AD4424" s="1" t="s">
        <v>24</v>
      </c>
      <c r="AE4424" s="1" t="s">
        <v>24</v>
      </c>
      <c r="AF4424" s="22"/>
    </row>
    <row r="4425" spans="1:32" x14ac:dyDescent="0.2">
      <c r="A4425" s="1">
        <v>40045</v>
      </c>
      <c r="B4425" s="1" t="s">
        <v>13549</v>
      </c>
      <c r="C4425" s="5" t="s">
        <v>0</v>
      </c>
      <c r="E4425" s="1" t="s">
        <v>13550</v>
      </c>
      <c r="F4425" s="1" t="s">
        <v>13551</v>
      </c>
      <c r="G4425" s="1" t="s">
        <v>13551</v>
      </c>
      <c r="H4425" s="1" t="s">
        <v>30</v>
      </c>
      <c r="I4425" s="1" t="s">
        <v>16</v>
      </c>
      <c r="J4425" s="1">
        <v>1</v>
      </c>
      <c r="K4425" s="1">
        <v>6</v>
      </c>
      <c r="L4425" s="1" t="s">
        <v>42</v>
      </c>
      <c r="M4425" s="1" t="s">
        <v>18</v>
      </c>
      <c r="N4425" s="1" t="s">
        <v>18</v>
      </c>
      <c r="O4425" s="1">
        <v>3</v>
      </c>
      <c r="P4425" s="1">
        <v>6</v>
      </c>
      <c r="R4425" s="1" t="s">
        <v>19</v>
      </c>
      <c r="S4425" s="1" t="s">
        <v>20</v>
      </c>
      <c r="T4425" s="1" t="s">
        <v>21</v>
      </c>
      <c r="U4425" s="1" t="s">
        <v>22</v>
      </c>
      <c r="V4425" s="1" t="s">
        <v>24</v>
      </c>
      <c r="W4425" s="1" t="s">
        <v>24</v>
      </c>
      <c r="X4425" s="1">
        <v>2730</v>
      </c>
      <c r="Y4425" s="1">
        <v>1306</v>
      </c>
      <c r="Z4425" s="1" t="s">
        <v>24</v>
      </c>
      <c r="AA4425" s="1" t="s">
        <v>24</v>
      </c>
      <c r="AB4425" s="1" t="s">
        <v>24</v>
      </c>
      <c r="AC4425" s="1" t="s">
        <v>24</v>
      </c>
      <c r="AD4425" s="1" t="s">
        <v>24</v>
      </c>
      <c r="AE4425" s="1" t="s">
        <v>24</v>
      </c>
      <c r="AF4425" s="22"/>
    </row>
    <row r="4426" spans="1:32" x14ac:dyDescent="0.2">
      <c r="A4426" s="1">
        <v>40046</v>
      </c>
      <c r="B4426" s="1" t="s">
        <v>13552</v>
      </c>
      <c r="C4426" s="5" t="s">
        <v>0</v>
      </c>
      <c r="D4426" s="1" t="s">
        <v>13553</v>
      </c>
      <c r="F4426" s="1" t="s">
        <v>13554</v>
      </c>
      <c r="G4426" s="1" t="s">
        <v>1066</v>
      </c>
      <c r="H4426" s="1" t="s">
        <v>1007</v>
      </c>
      <c r="I4426" s="1" t="s">
        <v>16</v>
      </c>
      <c r="J4426" s="1">
        <v>1</v>
      </c>
      <c r="K4426" s="1">
        <v>6</v>
      </c>
      <c r="L4426" s="1" t="s">
        <v>17</v>
      </c>
      <c r="M4426" s="1" t="s">
        <v>1008</v>
      </c>
      <c r="N4426" s="1" t="s">
        <v>4418</v>
      </c>
      <c r="O4426" s="1">
        <v>3</v>
      </c>
      <c r="P4426" s="1">
        <v>5</v>
      </c>
      <c r="R4426" s="1" t="s">
        <v>19</v>
      </c>
      <c r="S4426" s="1" t="s">
        <v>20</v>
      </c>
      <c r="T4426" s="1" t="s">
        <v>21</v>
      </c>
      <c r="U4426" s="1" t="s">
        <v>22</v>
      </c>
      <c r="V4426" s="1" t="s">
        <v>24</v>
      </c>
      <c r="W4426" s="1" t="s">
        <v>24</v>
      </c>
      <c r="X4426" s="1">
        <v>2730</v>
      </c>
      <c r="Y4426" s="1">
        <v>1306</v>
      </c>
      <c r="Z4426" s="1" t="s">
        <v>24</v>
      </c>
      <c r="AA4426" s="1" t="s">
        <v>24</v>
      </c>
      <c r="AB4426" s="1" t="s">
        <v>24</v>
      </c>
      <c r="AC4426" s="1" t="s">
        <v>24</v>
      </c>
      <c r="AD4426" s="1" t="s">
        <v>24</v>
      </c>
      <c r="AE4426" s="1" t="s">
        <v>24</v>
      </c>
      <c r="AF4426" s="22"/>
    </row>
    <row r="4427" spans="1:32" x14ac:dyDescent="0.2">
      <c r="A4427" s="1">
        <v>40047</v>
      </c>
      <c r="B4427" s="1" t="s">
        <v>13555</v>
      </c>
      <c r="C4427" s="5" t="s">
        <v>0</v>
      </c>
      <c r="D4427" s="1" t="s">
        <v>13556</v>
      </c>
      <c r="F4427" s="1" t="s">
        <v>13557</v>
      </c>
      <c r="G4427" s="1" t="s">
        <v>13558</v>
      </c>
      <c r="H4427" s="1" t="s">
        <v>184</v>
      </c>
      <c r="I4427" s="1" t="s">
        <v>5001</v>
      </c>
      <c r="J4427" s="1">
        <v>0</v>
      </c>
      <c r="K4427" s="1">
        <v>0</v>
      </c>
      <c r="L4427" s="1" t="s">
        <v>31</v>
      </c>
      <c r="M4427" s="1" t="s">
        <v>18</v>
      </c>
      <c r="N4427" s="1" t="s">
        <v>18</v>
      </c>
      <c r="O4427" s="1">
        <v>1</v>
      </c>
      <c r="P4427" s="1">
        <v>5</v>
      </c>
      <c r="R4427" s="1" t="s">
        <v>19</v>
      </c>
      <c r="S4427" s="1" t="s">
        <v>20</v>
      </c>
      <c r="T4427" s="1" t="s">
        <v>21</v>
      </c>
      <c r="U4427" s="1" t="s">
        <v>22</v>
      </c>
      <c r="V4427" s="1" t="s">
        <v>24</v>
      </c>
      <c r="W4427" s="1" t="s">
        <v>24</v>
      </c>
      <c r="X4427" s="1">
        <v>1300</v>
      </c>
      <c r="Y4427" s="1">
        <v>3001</v>
      </c>
      <c r="Z4427" s="1" t="s">
        <v>24</v>
      </c>
      <c r="AA4427" s="1" t="s">
        <v>24</v>
      </c>
      <c r="AB4427" s="1" t="s">
        <v>24</v>
      </c>
      <c r="AC4427" s="1" t="s">
        <v>24</v>
      </c>
      <c r="AD4427" s="1" t="s">
        <v>24</v>
      </c>
      <c r="AE4427" s="1" t="s">
        <v>24</v>
      </c>
      <c r="AF4427" s="22"/>
    </row>
    <row r="4428" spans="1:32" x14ac:dyDescent="0.2">
      <c r="A4428" s="1">
        <v>40048</v>
      </c>
      <c r="B4428" s="1" t="s">
        <v>13559</v>
      </c>
      <c r="C4428" s="5" t="s">
        <v>0</v>
      </c>
      <c r="D4428" s="4"/>
      <c r="E4428" s="4"/>
      <c r="F4428" s="1" t="s">
        <v>13560</v>
      </c>
      <c r="G4428" s="1" t="s">
        <v>13560</v>
      </c>
      <c r="H4428" s="1" t="s">
        <v>30</v>
      </c>
      <c r="I4428" s="1" t="s">
        <v>5001</v>
      </c>
      <c r="J4428" s="1">
        <v>1</v>
      </c>
      <c r="K4428" s="1">
        <v>4</v>
      </c>
      <c r="L4428" s="1" t="s">
        <v>42</v>
      </c>
      <c r="M4428" s="1" t="s">
        <v>18</v>
      </c>
      <c r="N4428" s="1" t="s">
        <v>18</v>
      </c>
      <c r="O4428" s="1">
        <v>3</v>
      </c>
      <c r="P4428" s="1">
        <v>5</v>
      </c>
      <c r="R4428" s="1" t="s">
        <v>19</v>
      </c>
      <c r="S4428" s="1" t="s">
        <v>20</v>
      </c>
      <c r="T4428" s="1" t="s">
        <v>21</v>
      </c>
      <c r="U4428" s="1" t="s">
        <v>22</v>
      </c>
      <c r="V4428" s="1" t="s">
        <v>24</v>
      </c>
      <c r="W4428" s="1" t="s">
        <v>24</v>
      </c>
      <c r="X4428" s="1">
        <v>3002</v>
      </c>
      <c r="Y4428" s="1">
        <v>3003</v>
      </c>
      <c r="Z4428" s="1">
        <v>3004</v>
      </c>
      <c r="AA4428" s="1">
        <v>1406</v>
      </c>
      <c r="AB4428" s="1">
        <v>1407</v>
      </c>
      <c r="AC4428" s="1">
        <v>1408</v>
      </c>
      <c r="AD4428" s="1" t="s">
        <v>24</v>
      </c>
      <c r="AE4428" s="1" t="s">
        <v>24</v>
      </c>
      <c r="AF4428" s="22" t="s">
        <v>17662</v>
      </c>
    </row>
    <row r="4429" spans="1:32" x14ac:dyDescent="0.2">
      <c r="A4429" s="1">
        <v>40050</v>
      </c>
      <c r="B4429" s="1" t="s">
        <v>13561</v>
      </c>
      <c r="C4429" s="5" t="s">
        <v>0</v>
      </c>
      <c r="E4429" s="1" t="s">
        <v>13562</v>
      </c>
      <c r="F4429" s="1" t="s">
        <v>13563</v>
      </c>
      <c r="G4429" s="1" t="s">
        <v>13563</v>
      </c>
      <c r="H4429" s="1" t="s">
        <v>30</v>
      </c>
      <c r="I4429" s="1" t="s">
        <v>16</v>
      </c>
      <c r="J4429" s="1">
        <v>1</v>
      </c>
      <c r="K4429" s="1">
        <v>4</v>
      </c>
      <c r="L4429" s="1" t="s">
        <v>42</v>
      </c>
      <c r="M4429" s="1" t="s">
        <v>18</v>
      </c>
      <c r="N4429" s="1" t="s">
        <v>18</v>
      </c>
      <c r="O4429" s="1">
        <v>2</v>
      </c>
      <c r="P4429" s="1">
        <v>6</v>
      </c>
      <c r="R4429" s="1" t="s">
        <v>19</v>
      </c>
      <c r="S4429" s="1" t="s">
        <v>20</v>
      </c>
      <c r="T4429" s="1" t="s">
        <v>21</v>
      </c>
      <c r="U4429" s="1" t="s">
        <v>22</v>
      </c>
      <c r="V4429" s="1" t="s">
        <v>24</v>
      </c>
      <c r="W4429" s="1" t="s">
        <v>24</v>
      </c>
      <c r="X4429" s="1">
        <v>2738</v>
      </c>
      <c r="Y4429" s="1">
        <v>2739</v>
      </c>
      <c r="Z4429" s="1">
        <v>2719</v>
      </c>
      <c r="AA4429" s="1" t="s">
        <v>24</v>
      </c>
      <c r="AB4429" s="1" t="s">
        <v>24</v>
      </c>
      <c r="AC4429" s="1" t="s">
        <v>24</v>
      </c>
      <c r="AD4429" s="1" t="s">
        <v>24</v>
      </c>
      <c r="AE4429" s="1" t="s">
        <v>24</v>
      </c>
      <c r="AF4429" s="22"/>
    </row>
    <row r="4430" spans="1:32" x14ac:dyDescent="0.2">
      <c r="A4430" s="1">
        <v>40051</v>
      </c>
      <c r="B4430" s="1" t="s">
        <v>13564</v>
      </c>
      <c r="C4430" s="5" t="s">
        <v>0</v>
      </c>
      <c r="D4430" s="1" t="s">
        <v>13565</v>
      </c>
      <c r="E4430" s="1" t="s">
        <v>13566</v>
      </c>
      <c r="F4430" s="1" t="s">
        <v>13567</v>
      </c>
      <c r="G4430" s="1" t="s">
        <v>13567</v>
      </c>
      <c r="H4430" s="1" t="s">
        <v>30</v>
      </c>
      <c r="I4430" s="1" t="s">
        <v>16</v>
      </c>
      <c r="J4430" s="1">
        <v>1</v>
      </c>
      <c r="K4430" s="1">
        <v>6</v>
      </c>
      <c r="L4430" s="1" t="s">
        <v>42</v>
      </c>
      <c r="M4430" s="1" t="s">
        <v>18</v>
      </c>
      <c r="N4430" s="1" t="s">
        <v>18</v>
      </c>
      <c r="O4430" s="1">
        <v>3</v>
      </c>
      <c r="P4430" s="1">
        <v>6</v>
      </c>
      <c r="R4430" s="1" t="s">
        <v>19</v>
      </c>
      <c r="S4430" s="1" t="s">
        <v>20</v>
      </c>
      <c r="T4430" s="1" t="s">
        <v>21</v>
      </c>
      <c r="U4430" s="1" t="s">
        <v>22</v>
      </c>
      <c r="V4430" s="1" t="s">
        <v>24</v>
      </c>
      <c r="W4430" s="1" t="s">
        <v>24</v>
      </c>
      <c r="X4430" s="1">
        <v>2730</v>
      </c>
      <c r="Y4430" s="1">
        <v>2715</v>
      </c>
      <c r="Z4430" s="1" t="s">
        <v>24</v>
      </c>
      <c r="AA4430" s="1" t="s">
        <v>24</v>
      </c>
      <c r="AB4430" s="1" t="s">
        <v>24</v>
      </c>
      <c r="AC4430" s="1" t="s">
        <v>24</v>
      </c>
      <c r="AD4430" s="1" t="s">
        <v>24</v>
      </c>
      <c r="AE4430" s="1" t="s">
        <v>24</v>
      </c>
      <c r="AF4430" s="22"/>
    </row>
    <row r="4431" spans="1:32" x14ac:dyDescent="0.2">
      <c r="A4431" s="1">
        <v>40052</v>
      </c>
      <c r="B4431" s="1" t="s">
        <v>13568</v>
      </c>
      <c r="C4431" s="5" t="s">
        <v>0</v>
      </c>
      <c r="D4431" s="1" t="s">
        <v>13569</v>
      </c>
      <c r="F4431" s="1" t="s">
        <v>13570</v>
      </c>
      <c r="G4431" s="1" t="s">
        <v>13570</v>
      </c>
      <c r="H4431" s="1" t="s">
        <v>1957</v>
      </c>
      <c r="I4431" s="1" t="s">
        <v>16</v>
      </c>
      <c r="J4431" s="1">
        <v>1</v>
      </c>
      <c r="K4431" s="1">
        <v>4</v>
      </c>
      <c r="L4431" s="1" t="s">
        <v>42</v>
      </c>
      <c r="M4431" s="1" t="s">
        <v>10391</v>
      </c>
      <c r="N4431" s="1" t="s">
        <v>10392</v>
      </c>
      <c r="O4431" s="1">
        <v>3</v>
      </c>
      <c r="P4431" s="1">
        <v>5</v>
      </c>
      <c r="R4431" s="1" t="s">
        <v>19</v>
      </c>
      <c r="S4431" s="1" t="s">
        <v>20</v>
      </c>
      <c r="T4431" s="1" t="s">
        <v>21</v>
      </c>
      <c r="U4431" s="1" t="s">
        <v>22</v>
      </c>
      <c r="V4431" s="1" t="s">
        <v>24</v>
      </c>
      <c r="W4431" s="1" t="s">
        <v>24</v>
      </c>
      <c r="X4431" s="1">
        <v>3004</v>
      </c>
      <c r="Y4431" s="1">
        <v>1314</v>
      </c>
      <c r="Z4431" s="1" t="s">
        <v>24</v>
      </c>
      <c r="AA4431" s="1" t="s">
        <v>24</v>
      </c>
      <c r="AB4431" s="1" t="s">
        <v>24</v>
      </c>
      <c r="AC4431" s="1" t="s">
        <v>24</v>
      </c>
      <c r="AD4431" s="1" t="s">
        <v>24</v>
      </c>
      <c r="AE4431" s="1" t="s">
        <v>24</v>
      </c>
      <c r="AF4431" s="22"/>
    </row>
    <row r="4432" spans="1:32" x14ac:dyDescent="0.2">
      <c r="A4432" s="1">
        <v>40053</v>
      </c>
      <c r="B4432" s="1" t="s">
        <v>13571</v>
      </c>
      <c r="C4432" s="5" t="s">
        <v>0</v>
      </c>
      <c r="D4432" s="1" t="s">
        <v>13572</v>
      </c>
      <c r="E4432" s="1" t="s">
        <v>13573</v>
      </c>
      <c r="F4432" s="1" t="s">
        <v>13574</v>
      </c>
      <c r="G4432" s="1" t="s">
        <v>460</v>
      </c>
      <c r="H4432" s="1" t="s">
        <v>461</v>
      </c>
      <c r="I4432" s="1" t="s">
        <v>16</v>
      </c>
      <c r="J4432" s="1">
        <v>1</v>
      </c>
      <c r="K4432" s="1">
        <v>6</v>
      </c>
      <c r="L4432" s="1" t="s">
        <v>42</v>
      </c>
      <c r="M4432" s="1" t="s">
        <v>1735</v>
      </c>
      <c r="N4432" s="1" t="s">
        <v>635</v>
      </c>
      <c r="O4432" s="1">
        <v>3</v>
      </c>
      <c r="P4432" s="1">
        <v>5</v>
      </c>
      <c r="R4432" s="1" t="s">
        <v>19</v>
      </c>
      <c r="S4432" s="1" t="s">
        <v>20</v>
      </c>
      <c r="T4432" s="1" t="s">
        <v>21</v>
      </c>
      <c r="U4432" s="1" t="s">
        <v>22</v>
      </c>
      <c r="V4432" s="1" t="s">
        <v>24</v>
      </c>
      <c r="W4432" s="1" t="s">
        <v>24</v>
      </c>
      <c r="X4432" s="1">
        <v>2723</v>
      </c>
      <c r="Y4432" s="1">
        <v>2403</v>
      </c>
      <c r="Z4432" s="1" t="s">
        <v>24</v>
      </c>
      <c r="AA4432" s="1" t="s">
        <v>24</v>
      </c>
      <c r="AB4432" s="1" t="s">
        <v>24</v>
      </c>
      <c r="AC4432" s="1" t="s">
        <v>24</v>
      </c>
      <c r="AD4432" s="1" t="s">
        <v>24</v>
      </c>
      <c r="AE4432" s="1" t="s">
        <v>24</v>
      </c>
      <c r="AF4432" s="22"/>
    </row>
    <row r="4433" spans="1:32" x14ac:dyDescent="0.2">
      <c r="A4433" s="1">
        <v>40055</v>
      </c>
      <c r="B4433" s="1" t="s">
        <v>13575</v>
      </c>
      <c r="C4433" s="5" t="s">
        <v>0</v>
      </c>
      <c r="D4433" s="1" t="s">
        <v>13576</v>
      </c>
      <c r="F4433" s="1" t="s">
        <v>13577</v>
      </c>
      <c r="G4433" s="1" t="s">
        <v>13577</v>
      </c>
      <c r="H4433" s="1" t="s">
        <v>1957</v>
      </c>
      <c r="I4433" s="1" t="s">
        <v>16</v>
      </c>
      <c r="J4433" s="1">
        <v>1</v>
      </c>
      <c r="K4433" s="1">
        <v>2</v>
      </c>
      <c r="L4433" s="1" t="s">
        <v>42</v>
      </c>
      <c r="M4433" s="1" t="s">
        <v>18</v>
      </c>
      <c r="N4433" s="1" t="s">
        <v>18</v>
      </c>
      <c r="O4433" s="1">
        <v>3</v>
      </c>
      <c r="P4433" s="1">
        <v>6</v>
      </c>
      <c r="R4433" s="1" t="s">
        <v>19</v>
      </c>
      <c r="S4433" s="1" t="s">
        <v>20</v>
      </c>
      <c r="T4433" s="1" t="s">
        <v>21</v>
      </c>
      <c r="U4433" s="1" t="s">
        <v>22</v>
      </c>
      <c r="V4433" s="1" t="s">
        <v>24</v>
      </c>
      <c r="W4433" s="1" t="s">
        <v>24</v>
      </c>
      <c r="X4433" s="1">
        <v>2739</v>
      </c>
      <c r="Y4433" s="1">
        <v>2713</v>
      </c>
      <c r="Z4433" s="1">
        <v>2719</v>
      </c>
      <c r="AA4433" s="1" t="s">
        <v>24</v>
      </c>
      <c r="AB4433" s="1" t="s">
        <v>24</v>
      </c>
      <c r="AC4433" s="1" t="s">
        <v>24</v>
      </c>
      <c r="AD4433" s="1" t="s">
        <v>24</v>
      </c>
      <c r="AE4433" s="1" t="s">
        <v>24</v>
      </c>
      <c r="AF4433" s="22"/>
    </row>
    <row r="4434" spans="1:32" x14ac:dyDescent="0.2">
      <c r="A4434" s="1">
        <v>40056</v>
      </c>
      <c r="B4434" s="1" t="s">
        <v>13578</v>
      </c>
      <c r="C4434" s="5" t="s">
        <v>0</v>
      </c>
      <c r="D4434" s="1" t="s">
        <v>13579</v>
      </c>
      <c r="F4434" s="1" t="s">
        <v>13580</v>
      </c>
      <c r="G4434" s="1" t="s">
        <v>13581</v>
      </c>
      <c r="H4434" s="1" t="s">
        <v>445</v>
      </c>
      <c r="I4434" s="1" t="s">
        <v>16</v>
      </c>
      <c r="J4434" s="1">
        <v>1</v>
      </c>
      <c r="K4434" s="1">
        <v>4</v>
      </c>
      <c r="L4434" s="1" t="s">
        <v>42</v>
      </c>
      <c r="M4434" s="1" t="s">
        <v>6868</v>
      </c>
      <c r="N4434" s="1" t="s">
        <v>6868</v>
      </c>
      <c r="O4434" s="1">
        <v>2</v>
      </c>
      <c r="P4434" s="1">
        <v>6</v>
      </c>
      <c r="R4434" s="1" t="s">
        <v>19</v>
      </c>
      <c r="S4434" s="1" t="s">
        <v>20</v>
      </c>
      <c r="T4434" s="1" t="s">
        <v>21</v>
      </c>
      <c r="U4434" s="1" t="s">
        <v>22</v>
      </c>
      <c r="V4434" s="1" t="s">
        <v>24</v>
      </c>
      <c r="W4434" s="1" t="s">
        <v>24</v>
      </c>
      <c r="X4434" s="1">
        <v>2740</v>
      </c>
      <c r="Y4434" s="1" t="s">
        <v>24</v>
      </c>
      <c r="Z4434" s="1" t="s">
        <v>24</v>
      </c>
      <c r="AA4434" s="1" t="s">
        <v>24</v>
      </c>
      <c r="AB4434" s="1" t="s">
        <v>24</v>
      </c>
      <c r="AC4434" s="1" t="s">
        <v>24</v>
      </c>
      <c r="AD4434" s="1" t="s">
        <v>24</v>
      </c>
      <c r="AE4434" s="1" t="s">
        <v>24</v>
      </c>
      <c r="AF4434" s="22"/>
    </row>
    <row r="4435" spans="1:32" x14ac:dyDescent="0.2">
      <c r="A4435" s="1">
        <v>40058</v>
      </c>
      <c r="B4435" s="1" t="s">
        <v>13582</v>
      </c>
      <c r="C4435" s="5" t="s">
        <v>0</v>
      </c>
      <c r="D4435" s="1" t="s">
        <v>13583</v>
      </c>
      <c r="E4435" s="1" t="s">
        <v>13584</v>
      </c>
      <c r="F4435" s="1" t="s">
        <v>13585</v>
      </c>
      <c r="G4435" s="1" t="s">
        <v>13585</v>
      </c>
      <c r="H4435" s="1" t="s">
        <v>13586</v>
      </c>
      <c r="I4435" s="1" t="s">
        <v>16</v>
      </c>
      <c r="J4435" s="1">
        <v>1</v>
      </c>
      <c r="K4435" s="1">
        <v>4</v>
      </c>
      <c r="L4435" s="1" t="s">
        <v>42</v>
      </c>
      <c r="M4435" s="1" t="s">
        <v>18</v>
      </c>
      <c r="N4435" s="1" t="s">
        <v>18</v>
      </c>
      <c r="O4435" s="1">
        <v>3</v>
      </c>
      <c r="P4435" s="1">
        <v>6</v>
      </c>
      <c r="R4435" s="1" t="s">
        <v>19</v>
      </c>
      <c r="S4435" s="1" t="s">
        <v>63</v>
      </c>
      <c r="T4435" s="1" t="s">
        <v>21</v>
      </c>
      <c r="U4435" s="1" t="s">
        <v>22</v>
      </c>
      <c r="V4435" s="1" t="s">
        <v>24</v>
      </c>
      <c r="W4435" s="1" t="s">
        <v>24</v>
      </c>
      <c r="X4435" s="1">
        <v>2700</v>
      </c>
      <c r="Y4435" s="1" t="s">
        <v>24</v>
      </c>
      <c r="Z4435" s="1" t="s">
        <v>24</v>
      </c>
      <c r="AA4435" s="1" t="s">
        <v>24</v>
      </c>
      <c r="AB4435" s="1" t="s">
        <v>24</v>
      </c>
      <c r="AC4435" s="1" t="s">
        <v>24</v>
      </c>
      <c r="AD4435" s="1" t="s">
        <v>24</v>
      </c>
      <c r="AE4435" s="1" t="s">
        <v>24</v>
      </c>
      <c r="AF4435" s="22"/>
    </row>
    <row r="4436" spans="1:32" x14ac:dyDescent="0.2">
      <c r="A4436" s="1">
        <v>40059</v>
      </c>
      <c r="B4436" s="1" t="s">
        <v>13587</v>
      </c>
      <c r="C4436" s="5" t="s">
        <v>0</v>
      </c>
      <c r="D4436" s="1" t="s">
        <v>13588</v>
      </c>
      <c r="F4436" s="1" t="s">
        <v>13589</v>
      </c>
      <c r="G4436" s="1" t="s">
        <v>13589</v>
      </c>
      <c r="H4436" s="1" t="s">
        <v>2988</v>
      </c>
      <c r="I4436" s="1" t="s">
        <v>16</v>
      </c>
      <c r="J4436" s="1">
        <v>1</v>
      </c>
      <c r="K4436" s="1">
        <v>2</v>
      </c>
      <c r="L4436" s="1" t="s">
        <v>42</v>
      </c>
      <c r="M4436" s="1" t="s">
        <v>18</v>
      </c>
      <c r="N4436" s="1" t="s">
        <v>18</v>
      </c>
      <c r="O4436" s="1">
        <v>3</v>
      </c>
      <c r="P4436" s="1">
        <v>6</v>
      </c>
      <c r="R4436" s="1" t="s">
        <v>19</v>
      </c>
      <c r="S4436" s="1" t="s">
        <v>20</v>
      </c>
      <c r="T4436" s="1" t="s">
        <v>21</v>
      </c>
      <c r="U4436" s="1" t="s">
        <v>22</v>
      </c>
      <c r="V4436" s="1" t="s">
        <v>24</v>
      </c>
      <c r="W4436" s="1" t="s">
        <v>24</v>
      </c>
      <c r="X4436" s="1">
        <v>2734</v>
      </c>
      <c r="Y4436" s="1">
        <v>1307</v>
      </c>
      <c r="Z4436" s="1">
        <v>2722</v>
      </c>
      <c r="AA4436" s="1" t="s">
        <v>24</v>
      </c>
      <c r="AB4436" s="1" t="s">
        <v>24</v>
      </c>
      <c r="AC4436" s="1" t="s">
        <v>24</v>
      </c>
      <c r="AD4436" s="1" t="s">
        <v>24</v>
      </c>
      <c r="AE4436" s="1" t="s">
        <v>24</v>
      </c>
      <c r="AF4436" s="22"/>
    </row>
    <row r="4437" spans="1:32" x14ac:dyDescent="0.2">
      <c r="A4437" s="1">
        <v>40060</v>
      </c>
      <c r="B4437" s="1" t="s">
        <v>13590</v>
      </c>
      <c r="C4437" s="5" t="s">
        <v>0</v>
      </c>
      <c r="D4437" s="1" t="s">
        <v>13591</v>
      </c>
      <c r="E4437" s="1" t="s">
        <v>13592</v>
      </c>
      <c r="F4437" s="1" t="s">
        <v>1897</v>
      </c>
      <c r="G4437" s="1" t="s">
        <v>1898</v>
      </c>
      <c r="H4437" s="1" t="s">
        <v>899</v>
      </c>
      <c r="I4437" s="1" t="s">
        <v>16</v>
      </c>
      <c r="J4437" s="1">
        <v>1</v>
      </c>
      <c r="K4437" s="1">
        <v>2</v>
      </c>
      <c r="L4437" s="1" t="s">
        <v>31</v>
      </c>
      <c r="M4437" s="1" t="s">
        <v>18</v>
      </c>
      <c r="N4437" s="1" t="s">
        <v>18</v>
      </c>
      <c r="O4437" s="1">
        <v>2</v>
      </c>
      <c r="P4437" s="1">
        <v>6</v>
      </c>
      <c r="R4437" s="1" t="s">
        <v>19</v>
      </c>
      <c r="S4437" s="1" t="s">
        <v>20</v>
      </c>
      <c r="T4437" s="1" t="s">
        <v>21</v>
      </c>
      <c r="U4437" s="1" t="s">
        <v>22</v>
      </c>
      <c r="V4437" s="1" t="s">
        <v>24</v>
      </c>
      <c r="W4437" s="1" t="s">
        <v>24</v>
      </c>
      <c r="X4437" s="1">
        <v>1110</v>
      </c>
      <c r="Y4437" s="1">
        <v>3004</v>
      </c>
      <c r="Z4437" s="1">
        <v>3002</v>
      </c>
      <c r="AA4437" s="1">
        <v>2707</v>
      </c>
      <c r="AB4437" s="1" t="s">
        <v>24</v>
      </c>
      <c r="AC4437" s="1" t="s">
        <v>24</v>
      </c>
      <c r="AD4437" s="1" t="s">
        <v>24</v>
      </c>
      <c r="AE4437" s="1" t="s">
        <v>24</v>
      </c>
      <c r="AF4437" s="22"/>
    </row>
    <row r="4438" spans="1:32" x14ac:dyDescent="0.2">
      <c r="A4438" s="1">
        <v>40062</v>
      </c>
      <c r="B4438" s="1" t="s">
        <v>13593</v>
      </c>
      <c r="C4438" s="5" t="s">
        <v>0</v>
      </c>
      <c r="D4438" s="1" t="s">
        <v>13594</v>
      </c>
      <c r="E4438" s="1" t="s">
        <v>13595</v>
      </c>
      <c r="F4438" s="1" t="s">
        <v>13596</v>
      </c>
      <c r="G4438" s="1" t="s">
        <v>13596</v>
      </c>
      <c r="H4438" s="1" t="s">
        <v>2772</v>
      </c>
      <c r="I4438" s="1" t="s">
        <v>16</v>
      </c>
      <c r="J4438" s="1">
        <v>1</v>
      </c>
      <c r="K4438" s="1">
        <v>4</v>
      </c>
      <c r="L4438" s="1" t="s">
        <v>42</v>
      </c>
      <c r="M4438" s="1" t="s">
        <v>6208</v>
      </c>
      <c r="N4438" s="1" t="s">
        <v>4976</v>
      </c>
      <c r="O4438" s="1">
        <v>2</v>
      </c>
      <c r="P4438" s="1">
        <v>5</v>
      </c>
      <c r="R4438" s="1" t="s">
        <v>19</v>
      </c>
      <c r="S4438" s="1" t="s">
        <v>20</v>
      </c>
      <c r="T4438" s="1" t="s">
        <v>21</v>
      </c>
      <c r="U4438" s="1" t="s">
        <v>22</v>
      </c>
      <c r="V4438" s="1" t="s">
        <v>24</v>
      </c>
      <c r="W4438" s="1" t="s">
        <v>24</v>
      </c>
      <c r="X4438" s="1">
        <v>2729</v>
      </c>
      <c r="Y4438" s="1">
        <v>2730</v>
      </c>
      <c r="Z4438" s="1" t="s">
        <v>24</v>
      </c>
      <c r="AA4438" s="1" t="s">
        <v>24</v>
      </c>
      <c r="AB4438" s="1" t="s">
        <v>24</v>
      </c>
      <c r="AC4438" s="1" t="s">
        <v>24</v>
      </c>
      <c r="AD4438" s="1" t="s">
        <v>24</v>
      </c>
      <c r="AE4438" s="1" t="s">
        <v>24</v>
      </c>
      <c r="AF4438" s="22"/>
    </row>
    <row r="4439" spans="1:32" x14ac:dyDescent="0.2">
      <c r="A4439" s="1">
        <v>40063</v>
      </c>
      <c r="B4439" s="1" t="s">
        <v>13597</v>
      </c>
      <c r="C4439" s="5" t="s">
        <v>0</v>
      </c>
      <c r="D4439" s="1" t="s">
        <v>13598</v>
      </c>
      <c r="F4439" s="1" t="s">
        <v>13599</v>
      </c>
      <c r="G4439" s="1" t="s">
        <v>13599</v>
      </c>
      <c r="H4439" s="1" t="s">
        <v>2672</v>
      </c>
      <c r="I4439" s="1" t="s">
        <v>16</v>
      </c>
      <c r="J4439" s="1">
        <v>1</v>
      </c>
      <c r="K4439" s="1">
        <v>4</v>
      </c>
      <c r="L4439" s="1" t="s">
        <v>42</v>
      </c>
      <c r="M4439" s="1" t="s">
        <v>18</v>
      </c>
      <c r="N4439" s="1" t="s">
        <v>18</v>
      </c>
      <c r="O4439" s="1">
        <v>3</v>
      </c>
      <c r="P4439" s="1">
        <v>6</v>
      </c>
      <c r="R4439" s="1" t="s">
        <v>19</v>
      </c>
      <c r="S4439" s="1" t="s">
        <v>20</v>
      </c>
      <c r="T4439" s="1" t="s">
        <v>21</v>
      </c>
      <c r="U4439" s="1" t="s">
        <v>22</v>
      </c>
      <c r="V4439" s="1" t="s">
        <v>24</v>
      </c>
      <c r="W4439" s="1" t="s">
        <v>24</v>
      </c>
      <c r="X4439" s="1">
        <v>2700</v>
      </c>
      <c r="Y4439" s="1" t="s">
        <v>24</v>
      </c>
      <c r="Z4439" s="1" t="s">
        <v>24</v>
      </c>
      <c r="AA4439" s="1" t="s">
        <v>24</v>
      </c>
      <c r="AB4439" s="1" t="s">
        <v>24</v>
      </c>
      <c r="AC4439" s="1" t="s">
        <v>24</v>
      </c>
      <c r="AD4439" s="1" t="s">
        <v>24</v>
      </c>
      <c r="AE4439" s="1" t="s">
        <v>24</v>
      </c>
      <c r="AF4439" s="22"/>
    </row>
    <row r="4440" spans="1:32" x14ac:dyDescent="0.2">
      <c r="A4440" s="1">
        <v>40066</v>
      </c>
      <c r="B4440" s="1" t="s">
        <v>13600</v>
      </c>
      <c r="C4440" s="5" t="s">
        <v>0</v>
      </c>
      <c r="D4440" s="1" t="s">
        <v>13601</v>
      </c>
      <c r="F4440" s="1" t="s">
        <v>13602</v>
      </c>
      <c r="G4440" s="1" t="s">
        <v>13602</v>
      </c>
      <c r="H4440" s="1" t="s">
        <v>9125</v>
      </c>
      <c r="I4440" s="1" t="s">
        <v>16</v>
      </c>
      <c r="J4440" s="1">
        <v>1</v>
      </c>
      <c r="K4440" s="1">
        <v>2</v>
      </c>
      <c r="L4440" s="1" t="s">
        <v>17</v>
      </c>
      <c r="M4440" s="1" t="s">
        <v>13603</v>
      </c>
      <c r="N4440" s="1" t="s">
        <v>13604</v>
      </c>
      <c r="O4440" s="1">
        <v>2</v>
      </c>
      <c r="P4440" s="1">
        <v>5</v>
      </c>
      <c r="R4440" s="1" t="s">
        <v>19</v>
      </c>
      <c r="S4440" s="1" t="s">
        <v>20</v>
      </c>
      <c r="T4440" s="1" t="s">
        <v>21</v>
      </c>
      <c r="U4440" s="1" t="s">
        <v>22</v>
      </c>
      <c r="V4440" s="1" t="s">
        <v>24</v>
      </c>
      <c r="W4440" s="1" t="s">
        <v>24</v>
      </c>
      <c r="X4440" s="1">
        <v>3000</v>
      </c>
      <c r="Y4440" s="1" t="s">
        <v>24</v>
      </c>
      <c r="Z4440" s="1" t="s">
        <v>24</v>
      </c>
      <c r="AA4440" s="1" t="s">
        <v>24</v>
      </c>
      <c r="AB4440" s="1" t="s">
        <v>24</v>
      </c>
      <c r="AC4440" s="1" t="s">
        <v>24</v>
      </c>
      <c r="AD4440" s="1" t="s">
        <v>24</v>
      </c>
      <c r="AE4440" s="1" t="s">
        <v>24</v>
      </c>
      <c r="AF4440" s="22"/>
    </row>
    <row r="4441" spans="1:32" x14ac:dyDescent="0.2">
      <c r="A4441" s="1">
        <v>40067</v>
      </c>
      <c r="B4441" s="1" t="s">
        <v>13605</v>
      </c>
      <c r="C4441" s="5" t="s">
        <v>0</v>
      </c>
      <c r="D4441" s="1" t="s">
        <v>13606</v>
      </c>
      <c r="F4441" s="1" t="s">
        <v>13607</v>
      </c>
      <c r="G4441" s="1" t="s">
        <v>13607</v>
      </c>
      <c r="H4441" s="1" t="s">
        <v>2672</v>
      </c>
      <c r="I4441" s="1" t="s">
        <v>16</v>
      </c>
      <c r="J4441" s="1">
        <v>1</v>
      </c>
      <c r="K4441" s="1">
        <v>2</v>
      </c>
      <c r="L4441" s="1" t="s">
        <v>17</v>
      </c>
      <c r="M4441" s="1" t="s">
        <v>18</v>
      </c>
      <c r="N4441" s="1" t="s">
        <v>18</v>
      </c>
      <c r="O4441" s="1">
        <v>3</v>
      </c>
      <c r="P4441" s="1">
        <v>6</v>
      </c>
      <c r="R4441" s="1" t="s">
        <v>19</v>
      </c>
      <c r="S4441" s="1" t="s">
        <v>20</v>
      </c>
      <c r="T4441" s="1" t="s">
        <v>21</v>
      </c>
      <c r="U4441" s="1" t="s">
        <v>22</v>
      </c>
      <c r="V4441" s="1" t="s">
        <v>23</v>
      </c>
      <c r="W4441" s="1" t="s">
        <v>24</v>
      </c>
      <c r="X4441" s="1">
        <v>2703</v>
      </c>
      <c r="Y4441" s="1">
        <v>2706</v>
      </c>
      <c r="Z4441" s="1" t="s">
        <v>24</v>
      </c>
      <c r="AA4441" s="1" t="s">
        <v>24</v>
      </c>
      <c r="AB4441" s="1" t="s">
        <v>24</v>
      </c>
      <c r="AC4441" s="1" t="s">
        <v>24</v>
      </c>
      <c r="AD4441" s="1" t="s">
        <v>24</v>
      </c>
      <c r="AE4441" s="1" t="s">
        <v>24</v>
      </c>
      <c r="AF4441" s="22"/>
    </row>
    <row r="4442" spans="1:32" x14ac:dyDescent="0.2">
      <c r="A4442" s="1">
        <v>40068</v>
      </c>
      <c r="B4442" s="1" t="s">
        <v>13608</v>
      </c>
      <c r="C4442" s="5" t="s">
        <v>0</v>
      </c>
      <c r="D4442" s="1" t="s">
        <v>13609</v>
      </c>
      <c r="F4442" s="1" t="s">
        <v>13610</v>
      </c>
      <c r="G4442" s="1" t="s">
        <v>13611</v>
      </c>
      <c r="H4442" s="1" t="s">
        <v>1384</v>
      </c>
      <c r="I4442" s="1" t="s">
        <v>16</v>
      </c>
      <c r="J4442" s="1">
        <v>1</v>
      </c>
      <c r="K4442" s="1">
        <v>4</v>
      </c>
      <c r="L4442" s="1" t="s">
        <v>31</v>
      </c>
      <c r="M4442" s="1" t="s">
        <v>1385</v>
      </c>
      <c r="N4442" s="1" t="s">
        <v>3142</v>
      </c>
      <c r="O4442" s="1">
        <v>3</v>
      </c>
      <c r="P4442" s="1">
        <v>5</v>
      </c>
      <c r="R4442" s="1" t="s">
        <v>19</v>
      </c>
      <c r="S4442" s="1" t="s">
        <v>20</v>
      </c>
      <c r="T4442" s="1" t="s">
        <v>21</v>
      </c>
      <c r="U4442" s="1" t="s">
        <v>22</v>
      </c>
      <c r="V4442" s="1" t="s">
        <v>24</v>
      </c>
      <c r="W4442" s="1" t="s">
        <v>24</v>
      </c>
      <c r="X4442" s="1">
        <v>2730</v>
      </c>
      <c r="Y4442" s="1">
        <v>2729</v>
      </c>
      <c r="Z4442" s="1" t="s">
        <v>24</v>
      </c>
      <c r="AA4442" s="1" t="s">
        <v>24</v>
      </c>
      <c r="AB4442" s="1" t="s">
        <v>24</v>
      </c>
      <c r="AC4442" s="1" t="s">
        <v>24</v>
      </c>
      <c r="AD4442" s="1" t="s">
        <v>24</v>
      </c>
      <c r="AE4442" s="1" t="s">
        <v>24</v>
      </c>
      <c r="AF4442" s="22"/>
    </row>
    <row r="4443" spans="1:32" x14ac:dyDescent="0.2">
      <c r="A4443" s="1">
        <v>40069</v>
      </c>
      <c r="B4443" s="1" t="s">
        <v>13612</v>
      </c>
      <c r="C4443" s="5" t="s">
        <v>0</v>
      </c>
      <c r="D4443" s="1" t="s">
        <v>13613</v>
      </c>
      <c r="F4443" s="1" t="s">
        <v>13614</v>
      </c>
      <c r="G4443" s="1" t="s">
        <v>13615</v>
      </c>
      <c r="H4443" s="1" t="s">
        <v>2772</v>
      </c>
      <c r="I4443" s="1" t="s">
        <v>16</v>
      </c>
      <c r="J4443" s="1">
        <v>1</v>
      </c>
      <c r="K4443" s="1">
        <v>2</v>
      </c>
      <c r="L4443" s="1" t="s">
        <v>31</v>
      </c>
      <c r="M4443" s="1" t="s">
        <v>6208</v>
      </c>
      <c r="N4443" s="1" t="s">
        <v>4976</v>
      </c>
      <c r="O4443" s="1">
        <v>2</v>
      </c>
      <c r="P4443" s="1">
        <v>5</v>
      </c>
      <c r="R4443" s="1" t="s">
        <v>19</v>
      </c>
      <c r="S4443" s="1" t="s">
        <v>20</v>
      </c>
      <c r="T4443" s="1" t="s">
        <v>21</v>
      </c>
      <c r="U4443" s="1" t="s">
        <v>22</v>
      </c>
      <c r="V4443" s="1" t="s">
        <v>24</v>
      </c>
      <c r="W4443" s="1" t="s">
        <v>24</v>
      </c>
      <c r="X4443" s="1">
        <v>2725</v>
      </c>
      <c r="Y4443" s="1">
        <v>2735</v>
      </c>
      <c r="Z4443" s="1" t="s">
        <v>24</v>
      </c>
      <c r="AA4443" s="1" t="s">
        <v>24</v>
      </c>
      <c r="AB4443" s="1" t="s">
        <v>24</v>
      </c>
      <c r="AC4443" s="1" t="s">
        <v>24</v>
      </c>
      <c r="AD4443" s="1" t="s">
        <v>24</v>
      </c>
      <c r="AE4443" s="1" t="s">
        <v>24</v>
      </c>
      <c r="AF4443" s="22"/>
    </row>
    <row r="4444" spans="1:32" x14ac:dyDescent="0.2">
      <c r="A4444" s="1">
        <v>40070</v>
      </c>
      <c r="B4444" s="1" t="s">
        <v>13616</v>
      </c>
      <c r="C4444" s="5" t="s">
        <v>0</v>
      </c>
      <c r="D4444" s="1" t="s">
        <v>13617</v>
      </c>
      <c r="F4444" s="1" t="s">
        <v>13618</v>
      </c>
      <c r="G4444" s="1" t="s">
        <v>13618</v>
      </c>
      <c r="H4444" s="1" t="s">
        <v>2772</v>
      </c>
      <c r="I4444" s="1" t="s">
        <v>16</v>
      </c>
      <c r="J4444" s="1">
        <v>1</v>
      </c>
      <c r="K4444" s="1">
        <v>6</v>
      </c>
      <c r="L4444" s="1" t="s">
        <v>42</v>
      </c>
      <c r="M4444" s="1" t="s">
        <v>4976</v>
      </c>
      <c r="N4444" s="1" t="s">
        <v>4976</v>
      </c>
      <c r="O4444" s="1">
        <v>3</v>
      </c>
      <c r="P4444" s="1">
        <v>6</v>
      </c>
      <c r="R4444" s="1" t="s">
        <v>19</v>
      </c>
      <c r="S4444" s="1" t="s">
        <v>20</v>
      </c>
      <c r="T4444" s="1" t="s">
        <v>21</v>
      </c>
      <c r="U4444" s="1" t="s">
        <v>22</v>
      </c>
      <c r="V4444" s="1" t="s">
        <v>24</v>
      </c>
      <c r="W4444" s="1" t="s">
        <v>24</v>
      </c>
      <c r="X4444" s="1">
        <v>2739</v>
      </c>
      <c r="Y4444" s="1" t="s">
        <v>24</v>
      </c>
      <c r="Z4444" s="1" t="s">
        <v>24</v>
      </c>
      <c r="AA4444" s="1" t="s">
        <v>24</v>
      </c>
      <c r="AB4444" s="1" t="s">
        <v>24</v>
      </c>
      <c r="AC4444" s="1" t="s">
        <v>24</v>
      </c>
      <c r="AD4444" s="1" t="s">
        <v>24</v>
      </c>
      <c r="AE4444" s="1" t="s">
        <v>24</v>
      </c>
      <c r="AF4444" s="22"/>
    </row>
    <row r="4445" spans="1:32" x14ac:dyDescent="0.2">
      <c r="A4445" s="1">
        <v>40072</v>
      </c>
      <c r="B4445" s="1" t="s">
        <v>13619</v>
      </c>
      <c r="C4445" s="5" t="s">
        <v>0</v>
      </c>
      <c r="D4445" s="1" t="s">
        <v>13620</v>
      </c>
      <c r="F4445" s="1" t="s">
        <v>13621</v>
      </c>
      <c r="G4445" s="1" t="s">
        <v>13622</v>
      </c>
      <c r="H4445" s="1" t="s">
        <v>1957</v>
      </c>
      <c r="I4445" s="1" t="s">
        <v>16</v>
      </c>
      <c r="J4445" s="1">
        <v>1</v>
      </c>
      <c r="K4445" s="1">
        <v>4</v>
      </c>
      <c r="L4445" s="1" t="s">
        <v>42</v>
      </c>
      <c r="M4445" s="1" t="s">
        <v>10391</v>
      </c>
      <c r="N4445" s="1" t="s">
        <v>10392</v>
      </c>
      <c r="O4445" s="1">
        <v>2</v>
      </c>
      <c r="P4445" s="1">
        <v>5</v>
      </c>
      <c r="R4445" s="1" t="s">
        <v>19</v>
      </c>
      <c r="S4445" s="1" t="s">
        <v>20</v>
      </c>
      <c r="T4445" s="1" t="s">
        <v>21</v>
      </c>
      <c r="U4445" s="1" t="s">
        <v>22</v>
      </c>
      <c r="V4445" s="1" t="s">
        <v>24</v>
      </c>
      <c r="W4445" s="1" t="s">
        <v>24</v>
      </c>
      <c r="X4445" s="1">
        <v>3000</v>
      </c>
      <c r="Y4445" s="1" t="s">
        <v>24</v>
      </c>
      <c r="Z4445" s="1" t="s">
        <v>24</v>
      </c>
      <c r="AA4445" s="1" t="s">
        <v>24</v>
      </c>
      <c r="AB4445" s="1" t="s">
        <v>24</v>
      </c>
      <c r="AC4445" s="1" t="s">
        <v>24</v>
      </c>
      <c r="AD4445" s="1" t="s">
        <v>24</v>
      </c>
      <c r="AE4445" s="1" t="s">
        <v>24</v>
      </c>
      <c r="AF4445" s="22"/>
    </row>
    <row r="4446" spans="1:32" x14ac:dyDescent="0.2">
      <c r="A4446" s="1">
        <v>40073</v>
      </c>
      <c r="B4446" s="1" t="s">
        <v>13623</v>
      </c>
      <c r="C4446" s="5" t="s">
        <v>0</v>
      </c>
      <c r="D4446" s="1" t="s">
        <v>13624</v>
      </c>
      <c r="E4446" s="1" t="s">
        <v>13625</v>
      </c>
      <c r="F4446" s="1" t="s">
        <v>13626</v>
      </c>
      <c r="G4446" s="1" t="s">
        <v>13626</v>
      </c>
      <c r="H4446" s="1" t="s">
        <v>2672</v>
      </c>
      <c r="I4446" s="1" t="s">
        <v>16</v>
      </c>
      <c r="J4446" s="1">
        <v>1</v>
      </c>
      <c r="K4446" s="1">
        <v>2</v>
      </c>
      <c r="L4446" s="1" t="s">
        <v>42</v>
      </c>
      <c r="M4446" s="1" t="s">
        <v>18</v>
      </c>
      <c r="N4446" s="1" t="s">
        <v>18</v>
      </c>
      <c r="O4446" s="1">
        <v>3</v>
      </c>
      <c r="P4446" s="1">
        <v>6</v>
      </c>
      <c r="R4446" s="1" t="s">
        <v>19</v>
      </c>
      <c r="S4446" s="1" t="s">
        <v>20</v>
      </c>
      <c r="T4446" s="1" t="s">
        <v>21</v>
      </c>
      <c r="U4446" s="1" t="s">
        <v>22</v>
      </c>
      <c r="V4446" s="1" t="s">
        <v>24</v>
      </c>
      <c r="W4446" s="1" t="s">
        <v>24</v>
      </c>
      <c r="X4446" s="1">
        <v>2700</v>
      </c>
      <c r="Y4446" s="1" t="s">
        <v>24</v>
      </c>
      <c r="Z4446" s="1" t="s">
        <v>24</v>
      </c>
      <c r="AA4446" s="1" t="s">
        <v>24</v>
      </c>
      <c r="AB4446" s="1" t="s">
        <v>24</v>
      </c>
      <c r="AC4446" s="1" t="s">
        <v>24</v>
      </c>
      <c r="AD4446" s="1" t="s">
        <v>24</v>
      </c>
      <c r="AE4446" s="1" t="s">
        <v>24</v>
      </c>
      <c r="AF4446" s="22"/>
    </row>
    <row r="4447" spans="1:32" x14ac:dyDescent="0.2">
      <c r="A4447" s="1">
        <v>40079</v>
      </c>
      <c r="B4447" s="1" t="s">
        <v>13627</v>
      </c>
      <c r="C4447" s="5" t="s">
        <v>0</v>
      </c>
      <c r="D4447" s="1" t="s">
        <v>13628</v>
      </c>
      <c r="E4447" s="1" t="s">
        <v>13629</v>
      </c>
      <c r="F4447" s="1" t="s">
        <v>13630</v>
      </c>
      <c r="G4447" s="1" t="s">
        <v>13630</v>
      </c>
      <c r="H4447" s="1" t="s">
        <v>1384</v>
      </c>
      <c r="I4447" s="1" t="s">
        <v>16</v>
      </c>
      <c r="J4447" s="1">
        <v>1</v>
      </c>
      <c r="K4447" s="1">
        <v>4</v>
      </c>
      <c r="L4447" s="1" t="s">
        <v>42</v>
      </c>
      <c r="M4447" s="1" t="s">
        <v>18</v>
      </c>
      <c r="N4447" s="1" t="s">
        <v>18</v>
      </c>
      <c r="O4447" s="1">
        <v>3</v>
      </c>
      <c r="P4447" s="1">
        <v>6</v>
      </c>
      <c r="R4447" s="1" t="s">
        <v>19</v>
      </c>
      <c r="S4447" s="1" t="s">
        <v>20</v>
      </c>
      <c r="T4447" s="1" t="s">
        <v>21</v>
      </c>
      <c r="U4447" s="1" t="s">
        <v>22</v>
      </c>
      <c r="V4447" s="1" t="s">
        <v>24</v>
      </c>
      <c r="W4447" s="1" t="s">
        <v>24</v>
      </c>
      <c r="X4447" s="1">
        <v>2745</v>
      </c>
      <c r="Y4447" s="1" t="s">
        <v>24</v>
      </c>
      <c r="Z4447" s="1" t="s">
        <v>24</v>
      </c>
      <c r="AA4447" s="1" t="s">
        <v>24</v>
      </c>
      <c r="AB4447" s="1" t="s">
        <v>24</v>
      </c>
      <c r="AC4447" s="1" t="s">
        <v>24</v>
      </c>
      <c r="AD4447" s="1" t="s">
        <v>24</v>
      </c>
      <c r="AE4447" s="1" t="s">
        <v>24</v>
      </c>
      <c r="AF4447" s="22"/>
    </row>
    <row r="4448" spans="1:32" x14ac:dyDescent="0.2">
      <c r="A4448" s="1">
        <v>40080</v>
      </c>
      <c r="B4448" s="1" t="s">
        <v>13631</v>
      </c>
      <c r="C4448" s="5" t="s">
        <v>0</v>
      </c>
      <c r="D4448" s="1" t="s">
        <v>13632</v>
      </c>
      <c r="E4448" s="1" t="s">
        <v>13633</v>
      </c>
      <c r="F4448" s="1" t="s">
        <v>97</v>
      </c>
      <c r="G4448" s="1" t="s">
        <v>98</v>
      </c>
      <c r="H4448" s="1" t="s">
        <v>37</v>
      </c>
      <c r="I4448" s="1" t="s">
        <v>16</v>
      </c>
      <c r="J4448" s="1">
        <v>1</v>
      </c>
      <c r="K4448" s="1">
        <v>4</v>
      </c>
      <c r="L4448" s="1" t="s">
        <v>31</v>
      </c>
      <c r="M4448" s="1" t="s">
        <v>18</v>
      </c>
      <c r="N4448" s="1" t="s">
        <v>18</v>
      </c>
      <c r="O4448" s="1">
        <v>3</v>
      </c>
      <c r="P4448" s="1">
        <v>6</v>
      </c>
      <c r="R4448" s="1" t="s">
        <v>19</v>
      </c>
      <c r="S4448" s="1" t="s">
        <v>20</v>
      </c>
      <c r="T4448" s="1" t="s">
        <v>21</v>
      </c>
      <c r="U4448" s="1" t="s">
        <v>22</v>
      </c>
      <c r="V4448" s="1" t="s">
        <v>23</v>
      </c>
      <c r="W4448" s="1" t="s">
        <v>24</v>
      </c>
      <c r="X4448" s="1">
        <v>2739</v>
      </c>
      <c r="Y4448" s="1" t="s">
        <v>24</v>
      </c>
      <c r="Z4448" s="1" t="s">
        <v>24</v>
      </c>
      <c r="AA4448" s="1" t="s">
        <v>24</v>
      </c>
      <c r="AB4448" s="1" t="s">
        <v>24</v>
      </c>
      <c r="AC4448" s="1" t="s">
        <v>24</v>
      </c>
      <c r="AD4448" s="1" t="s">
        <v>24</v>
      </c>
      <c r="AE4448" s="1" t="s">
        <v>24</v>
      </c>
      <c r="AF4448" s="22"/>
    </row>
    <row r="4449" spans="1:32" x14ac:dyDescent="0.2">
      <c r="A4449" s="1">
        <v>40086</v>
      </c>
      <c r="B4449" s="1" t="s">
        <v>13634</v>
      </c>
      <c r="C4449" s="5" t="s">
        <v>0</v>
      </c>
      <c r="D4449" s="1" t="s">
        <v>13635</v>
      </c>
      <c r="E4449" s="1" t="s">
        <v>13636</v>
      </c>
      <c r="F4449" s="1" t="s">
        <v>13637</v>
      </c>
      <c r="G4449" s="1" t="s">
        <v>13637</v>
      </c>
      <c r="H4449" s="1" t="s">
        <v>13638</v>
      </c>
      <c r="I4449" s="1" t="s">
        <v>16</v>
      </c>
      <c r="J4449" s="1">
        <v>1</v>
      </c>
      <c r="K4449" s="1">
        <v>4</v>
      </c>
      <c r="L4449" s="1" t="s">
        <v>42</v>
      </c>
      <c r="M4449" s="1" t="s">
        <v>117</v>
      </c>
      <c r="N4449" s="1" t="s">
        <v>118</v>
      </c>
      <c r="O4449" s="1">
        <v>3</v>
      </c>
      <c r="P4449" s="1">
        <v>5</v>
      </c>
      <c r="R4449" s="1" t="s">
        <v>19</v>
      </c>
      <c r="S4449" s="1" t="s">
        <v>63</v>
      </c>
      <c r="T4449" s="1" t="s">
        <v>21</v>
      </c>
      <c r="U4449" s="1" t="s">
        <v>22</v>
      </c>
      <c r="V4449" s="1" t="s">
        <v>23</v>
      </c>
      <c r="W4449" s="1" t="s">
        <v>24</v>
      </c>
      <c r="X4449" s="1">
        <v>2700</v>
      </c>
      <c r="Y4449" s="1" t="s">
        <v>24</v>
      </c>
      <c r="Z4449" s="1" t="s">
        <v>24</v>
      </c>
      <c r="AA4449" s="1" t="s">
        <v>24</v>
      </c>
      <c r="AB4449" s="1" t="s">
        <v>24</v>
      </c>
      <c r="AC4449" s="1" t="s">
        <v>24</v>
      </c>
      <c r="AD4449" s="1" t="s">
        <v>24</v>
      </c>
      <c r="AE4449" s="1" t="s">
        <v>24</v>
      </c>
      <c r="AF4449" s="22"/>
    </row>
    <row r="4450" spans="1:32" x14ac:dyDescent="0.2">
      <c r="A4450" s="1">
        <v>40174</v>
      </c>
      <c r="B4450" s="1" t="s">
        <v>13639</v>
      </c>
      <c r="C4450" s="5" t="s">
        <v>0</v>
      </c>
      <c r="D4450" s="1" t="s">
        <v>13640</v>
      </c>
      <c r="E4450" s="1" t="s">
        <v>13641</v>
      </c>
      <c r="F4450" s="1" t="s">
        <v>315</v>
      </c>
      <c r="G4450" s="1" t="s">
        <v>316</v>
      </c>
      <c r="H4450" s="1" t="s">
        <v>37</v>
      </c>
      <c r="I4450" s="1" t="s">
        <v>16</v>
      </c>
      <c r="J4450" s="1">
        <v>1</v>
      </c>
      <c r="K4450" s="1">
        <v>12</v>
      </c>
      <c r="L4450" s="1" t="s">
        <v>31</v>
      </c>
      <c r="M4450" s="1" t="s">
        <v>18</v>
      </c>
      <c r="N4450" s="1" t="s">
        <v>18</v>
      </c>
      <c r="O4450" s="1">
        <v>3</v>
      </c>
      <c r="P4450" s="1">
        <v>7</v>
      </c>
      <c r="Q4450" s="7" t="s">
        <v>17633</v>
      </c>
      <c r="R4450" s="1" t="s">
        <v>19</v>
      </c>
      <c r="S4450" s="1" t="s">
        <v>20</v>
      </c>
      <c r="T4450" s="1" t="s">
        <v>21</v>
      </c>
      <c r="U4450" s="1" t="s">
        <v>22</v>
      </c>
      <c r="V4450" s="1" t="s">
        <v>24</v>
      </c>
      <c r="W4450" s="1" t="s">
        <v>24</v>
      </c>
      <c r="X4450" s="1">
        <v>2715</v>
      </c>
      <c r="Y4450" s="1">
        <v>2721</v>
      </c>
      <c r="Z4450" s="1" t="s">
        <v>24</v>
      </c>
      <c r="AA4450" s="1" t="s">
        <v>24</v>
      </c>
      <c r="AB4450" s="1" t="s">
        <v>24</v>
      </c>
      <c r="AC4450" s="1" t="s">
        <v>24</v>
      </c>
      <c r="AD4450" s="1" t="s">
        <v>24</v>
      </c>
      <c r="AE4450" s="1" t="s">
        <v>24</v>
      </c>
      <c r="AF4450" s="22"/>
    </row>
    <row r="4451" spans="1:32" x14ac:dyDescent="0.2">
      <c r="A4451" s="1">
        <v>40184</v>
      </c>
      <c r="B4451" s="1" t="s">
        <v>13642</v>
      </c>
      <c r="C4451" s="5" t="s">
        <v>0</v>
      </c>
      <c r="D4451" s="1" t="s">
        <v>13643</v>
      </c>
      <c r="E4451" s="1" t="s">
        <v>13644</v>
      </c>
      <c r="F4451" s="1" t="s">
        <v>4337</v>
      </c>
      <c r="G4451" s="1" t="s">
        <v>4338</v>
      </c>
      <c r="H4451" s="1" t="s">
        <v>30</v>
      </c>
      <c r="I4451" s="1" t="s">
        <v>16</v>
      </c>
      <c r="J4451" s="1">
        <v>1</v>
      </c>
      <c r="K4451" s="1">
        <v>6</v>
      </c>
      <c r="L4451" s="1" t="s">
        <v>31</v>
      </c>
      <c r="M4451" s="1" t="s">
        <v>18</v>
      </c>
      <c r="N4451" s="1" t="s">
        <v>18</v>
      </c>
      <c r="O4451" s="1">
        <v>3</v>
      </c>
      <c r="P4451" s="1">
        <v>6</v>
      </c>
      <c r="R4451" s="1" t="s">
        <v>19</v>
      </c>
      <c r="S4451" s="1" t="s">
        <v>20</v>
      </c>
      <c r="T4451" s="1" t="s">
        <v>21</v>
      </c>
      <c r="U4451" s="1" t="s">
        <v>22</v>
      </c>
      <c r="V4451" s="1" t="s">
        <v>24</v>
      </c>
      <c r="W4451" s="1" t="s">
        <v>24</v>
      </c>
      <c r="X4451" s="1">
        <v>2716</v>
      </c>
      <c r="Y4451" s="1" t="s">
        <v>24</v>
      </c>
      <c r="Z4451" s="1" t="s">
        <v>24</v>
      </c>
      <c r="AA4451" s="1" t="s">
        <v>24</v>
      </c>
      <c r="AB4451" s="1" t="s">
        <v>24</v>
      </c>
      <c r="AC4451" s="1" t="s">
        <v>24</v>
      </c>
      <c r="AD4451" s="1" t="s">
        <v>24</v>
      </c>
      <c r="AE4451" s="1" t="s">
        <v>24</v>
      </c>
      <c r="AF4451" s="22"/>
    </row>
    <row r="4452" spans="1:32" x14ac:dyDescent="0.2">
      <c r="A4452" s="1">
        <v>40186</v>
      </c>
      <c r="B4452" s="1" t="s">
        <v>13645</v>
      </c>
      <c r="C4452" s="5" t="s">
        <v>0</v>
      </c>
      <c r="D4452" s="1" t="s">
        <v>13646</v>
      </c>
      <c r="E4452" s="1" t="s">
        <v>13647</v>
      </c>
      <c r="F4452" s="1" t="s">
        <v>6834</v>
      </c>
      <c r="G4452" s="1" t="s">
        <v>6834</v>
      </c>
      <c r="H4452" s="1" t="s">
        <v>30</v>
      </c>
      <c r="I4452" s="1" t="s">
        <v>16</v>
      </c>
      <c r="J4452" s="1">
        <v>1</v>
      </c>
      <c r="K4452" s="1">
        <v>6</v>
      </c>
      <c r="L4452" s="1" t="s">
        <v>42</v>
      </c>
      <c r="M4452" s="1" t="s">
        <v>18</v>
      </c>
      <c r="N4452" s="1" t="s">
        <v>18</v>
      </c>
      <c r="O4452" s="1">
        <v>2</v>
      </c>
      <c r="P4452" s="1">
        <v>6</v>
      </c>
      <c r="R4452" s="1" t="s">
        <v>19</v>
      </c>
      <c r="S4452" s="1" t="s">
        <v>20</v>
      </c>
      <c r="T4452" s="1" t="s">
        <v>21</v>
      </c>
      <c r="U4452" s="1" t="s">
        <v>22</v>
      </c>
      <c r="V4452" s="1" t="s">
        <v>24</v>
      </c>
      <c r="W4452" s="1" t="s">
        <v>24</v>
      </c>
      <c r="X4452" s="1">
        <v>2733</v>
      </c>
      <c r="Y4452" s="1">
        <v>2723</v>
      </c>
      <c r="Z4452" s="1" t="s">
        <v>24</v>
      </c>
      <c r="AA4452" s="1" t="s">
        <v>24</v>
      </c>
      <c r="AB4452" s="1" t="s">
        <v>24</v>
      </c>
      <c r="AC4452" s="1" t="s">
        <v>24</v>
      </c>
      <c r="AD4452" s="1" t="s">
        <v>24</v>
      </c>
      <c r="AE4452" s="1" t="s">
        <v>24</v>
      </c>
      <c r="AF4452" s="22"/>
    </row>
    <row r="4453" spans="1:32" x14ac:dyDescent="0.2">
      <c r="A4453" s="1">
        <v>40188</v>
      </c>
      <c r="B4453" s="1" t="s">
        <v>13648</v>
      </c>
      <c r="C4453" s="5" t="s">
        <v>0</v>
      </c>
      <c r="D4453" s="1" t="s">
        <v>13649</v>
      </c>
      <c r="E4453" s="1" t="s">
        <v>13650</v>
      </c>
      <c r="F4453" s="1" t="s">
        <v>109</v>
      </c>
      <c r="G4453" s="1" t="s">
        <v>110</v>
      </c>
      <c r="H4453" s="1" t="s">
        <v>111</v>
      </c>
      <c r="I4453" s="1" t="s">
        <v>16</v>
      </c>
      <c r="J4453" s="1">
        <v>1</v>
      </c>
      <c r="K4453" s="1">
        <v>4</v>
      </c>
      <c r="L4453" s="1" t="s">
        <v>31</v>
      </c>
      <c r="M4453" s="1" t="s">
        <v>18</v>
      </c>
      <c r="N4453" s="1" t="s">
        <v>18</v>
      </c>
      <c r="O4453" s="1">
        <v>3</v>
      </c>
      <c r="P4453" s="1">
        <v>7</v>
      </c>
      <c r="Q4453" s="7" t="s">
        <v>17633</v>
      </c>
      <c r="R4453" s="1" t="s">
        <v>19</v>
      </c>
      <c r="S4453" s="1" t="s">
        <v>20</v>
      </c>
      <c r="T4453" s="1" t="s">
        <v>21</v>
      </c>
      <c r="U4453" s="1" t="s">
        <v>22</v>
      </c>
      <c r="V4453" s="1" t="s">
        <v>24</v>
      </c>
      <c r="W4453" s="1" t="s">
        <v>24</v>
      </c>
      <c r="X4453" s="1">
        <v>2716</v>
      </c>
      <c r="Y4453" s="1">
        <v>2739</v>
      </c>
      <c r="Z4453" s="1" t="s">
        <v>24</v>
      </c>
      <c r="AA4453" s="1" t="s">
        <v>24</v>
      </c>
      <c r="AB4453" s="1" t="s">
        <v>24</v>
      </c>
      <c r="AC4453" s="1" t="s">
        <v>24</v>
      </c>
      <c r="AD4453" s="1" t="s">
        <v>24</v>
      </c>
      <c r="AE4453" s="1" t="s">
        <v>24</v>
      </c>
      <c r="AF4453" s="22"/>
    </row>
    <row r="4454" spans="1:32" x14ac:dyDescent="0.2">
      <c r="A4454" s="1">
        <v>40432</v>
      </c>
      <c r="B4454" s="1" t="s">
        <v>13651</v>
      </c>
      <c r="C4454" s="5" t="s">
        <v>0</v>
      </c>
      <c r="E4454" s="1" t="s">
        <v>13652</v>
      </c>
      <c r="F4454" s="1" t="s">
        <v>6405</v>
      </c>
      <c r="G4454" s="1" t="s">
        <v>6406</v>
      </c>
      <c r="H4454" s="1" t="s">
        <v>92</v>
      </c>
      <c r="I4454" s="1" t="s">
        <v>16</v>
      </c>
      <c r="J4454" s="1">
        <v>1</v>
      </c>
      <c r="K4454" s="1">
        <v>1</v>
      </c>
      <c r="L4454" s="1" t="s">
        <v>31</v>
      </c>
      <c r="M4454" s="1" t="s">
        <v>18</v>
      </c>
      <c r="N4454" s="1" t="s">
        <v>18</v>
      </c>
      <c r="O4454" s="1">
        <v>3</v>
      </c>
      <c r="P4454" s="1">
        <v>7</v>
      </c>
      <c r="Q4454" s="7" t="s">
        <v>17633</v>
      </c>
      <c r="R4454" s="1" t="s">
        <v>19</v>
      </c>
      <c r="S4454" s="1" t="s">
        <v>63</v>
      </c>
      <c r="T4454" s="1" t="s">
        <v>21</v>
      </c>
      <c r="U4454" s="1" t="s">
        <v>22</v>
      </c>
      <c r="V4454" s="1" t="s">
        <v>24</v>
      </c>
      <c r="W4454" s="1" t="s">
        <v>24</v>
      </c>
      <c r="X4454" s="1">
        <v>3004</v>
      </c>
      <c r="Y4454" s="1" t="s">
        <v>24</v>
      </c>
      <c r="Z4454" s="1" t="s">
        <v>24</v>
      </c>
      <c r="AA4454" s="1" t="s">
        <v>24</v>
      </c>
      <c r="AB4454" s="1" t="s">
        <v>24</v>
      </c>
      <c r="AC4454" s="1" t="s">
        <v>24</v>
      </c>
      <c r="AD4454" s="1" t="s">
        <v>24</v>
      </c>
      <c r="AE4454" s="1" t="s">
        <v>24</v>
      </c>
      <c r="AF4454" s="22"/>
    </row>
    <row r="4455" spans="1:32" x14ac:dyDescent="0.2">
      <c r="A4455" s="1">
        <v>40436</v>
      </c>
      <c r="B4455" s="1" t="s">
        <v>13653</v>
      </c>
      <c r="C4455" s="5" t="s">
        <v>0</v>
      </c>
      <c r="D4455" s="1" t="s">
        <v>13654</v>
      </c>
      <c r="F4455" s="1" t="s">
        <v>11079</v>
      </c>
      <c r="G4455" s="1" t="s">
        <v>11079</v>
      </c>
      <c r="H4455" s="1" t="s">
        <v>3228</v>
      </c>
      <c r="I4455" s="1" t="s">
        <v>16</v>
      </c>
      <c r="J4455" s="1">
        <v>1</v>
      </c>
      <c r="K4455" s="1">
        <v>1</v>
      </c>
      <c r="L4455" s="1" t="s">
        <v>42</v>
      </c>
      <c r="M4455" s="1" t="s">
        <v>18</v>
      </c>
      <c r="N4455" s="1" t="s">
        <v>18</v>
      </c>
      <c r="O4455" s="1">
        <v>3</v>
      </c>
      <c r="P4455" s="1">
        <v>6</v>
      </c>
      <c r="R4455" s="1" t="s">
        <v>19</v>
      </c>
      <c r="S4455" s="1" t="s">
        <v>63</v>
      </c>
      <c r="T4455" s="1" t="s">
        <v>21</v>
      </c>
      <c r="U4455" s="1" t="s">
        <v>22</v>
      </c>
      <c r="V4455" s="1" t="s">
        <v>23</v>
      </c>
      <c r="W4455" s="1" t="s">
        <v>24</v>
      </c>
      <c r="X4455" s="1">
        <v>2725</v>
      </c>
      <c r="Y4455" s="1">
        <v>2736</v>
      </c>
      <c r="Z4455" s="1">
        <v>3004</v>
      </c>
      <c r="AA4455" s="1" t="s">
        <v>24</v>
      </c>
      <c r="AB4455" s="1" t="s">
        <v>24</v>
      </c>
      <c r="AC4455" s="1" t="s">
        <v>24</v>
      </c>
      <c r="AD4455" s="1" t="s">
        <v>24</v>
      </c>
      <c r="AE4455" s="1" t="s">
        <v>24</v>
      </c>
      <c r="AF4455" s="22" t="s">
        <v>17678</v>
      </c>
    </row>
    <row r="4456" spans="1:32" x14ac:dyDescent="0.2">
      <c r="A4456" s="1">
        <v>40441</v>
      </c>
      <c r="B4456" s="1" t="s">
        <v>13655</v>
      </c>
      <c r="C4456" s="5" t="s">
        <v>0</v>
      </c>
      <c r="E4456" s="1" t="s">
        <v>13656</v>
      </c>
      <c r="F4456" s="1" t="s">
        <v>6405</v>
      </c>
      <c r="G4456" s="1" t="s">
        <v>6406</v>
      </c>
      <c r="H4456" s="1" t="s">
        <v>92</v>
      </c>
      <c r="I4456" s="1" t="s">
        <v>16</v>
      </c>
      <c r="J4456" s="1">
        <v>1</v>
      </c>
      <c r="K4456" s="1">
        <v>1</v>
      </c>
      <c r="L4456" s="1" t="s">
        <v>31</v>
      </c>
      <c r="M4456" s="1" t="s">
        <v>18</v>
      </c>
      <c r="N4456" s="1" t="s">
        <v>18</v>
      </c>
      <c r="O4456" s="1">
        <v>3</v>
      </c>
      <c r="P4456" s="1">
        <v>7</v>
      </c>
      <c r="Q4456" s="7" t="s">
        <v>17633</v>
      </c>
      <c r="R4456" s="1" t="s">
        <v>19</v>
      </c>
      <c r="S4456" s="1" t="s">
        <v>63</v>
      </c>
      <c r="T4456" s="1" t="s">
        <v>21</v>
      </c>
      <c r="U4456" s="1" t="s">
        <v>22</v>
      </c>
      <c r="V4456" s="1" t="s">
        <v>24</v>
      </c>
      <c r="W4456" s="1" t="s">
        <v>24</v>
      </c>
      <c r="X4456" s="1">
        <v>2701</v>
      </c>
      <c r="Y4456" s="1">
        <v>2704</v>
      </c>
      <c r="Z4456" s="1">
        <v>1308</v>
      </c>
      <c r="AA4456" s="1" t="s">
        <v>24</v>
      </c>
      <c r="AB4456" s="1" t="s">
        <v>24</v>
      </c>
      <c r="AC4456" s="1" t="s">
        <v>24</v>
      </c>
      <c r="AD4456" s="1" t="s">
        <v>24</v>
      </c>
      <c r="AE4456" s="1" t="s">
        <v>24</v>
      </c>
      <c r="AF4456" s="22"/>
    </row>
    <row r="4457" spans="1:32" x14ac:dyDescent="0.2">
      <c r="A4457" s="1">
        <v>40444</v>
      </c>
      <c r="B4457" s="1" t="s">
        <v>13657</v>
      </c>
      <c r="C4457" s="5" t="s">
        <v>0</v>
      </c>
      <c r="D4457" s="1" t="s">
        <v>13658</v>
      </c>
      <c r="E4457" s="1" t="s">
        <v>13659</v>
      </c>
      <c r="F4457" s="1" t="s">
        <v>8442</v>
      </c>
      <c r="G4457" s="1" t="s">
        <v>8443</v>
      </c>
      <c r="H4457" s="1" t="s">
        <v>37</v>
      </c>
      <c r="I4457" s="1" t="s">
        <v>16</v>
      </c>
      <c r="J4457" s="1">
        <v>1</v>
      </c>
      <c r="K4457" s="1">
        <v>6</v>
      </c>
      <c r="L4457" s="1" t="s">
        <v>31</v>
      </c>
      <c r="M4457" s="1" t="s">
        <v>18</v>
      </c>
      <c r="N4457" s="1" t="s">
        <v>18</v>
      </c>
      <c r="O4457" s="1">
        <v>3</v>
      </c>
      <c r="P4457" s="1">
        <v>7</v>
      </c>
      <c r="Q4457" s="7" t="s">
        <v>17633</v>
      </c>
      <c r="R4457" s="1" t="s">
        <v>19</v>
      </c>
      <c r="S4457" s="1" t="s">
        <v>20</v>
      </c>
      <c r="T4457" s="1" t="s">
        <v>21</v>
      </c>
      <c r="U4457" s="1" t="s">
        <v>22</v>
      </c>
      <c r="V4457" s="1" t="s">
        <v>24</v>
      </c>
      <c r="W4457" s="1" t="s">
        <v>24</v>
      </c>
      <c r="X4457" s="1">
        <v>2705</v>
      </c>
      <c r="Y4457" s="1">
        <v>2712</v>
      </c>
      <c r="Z4457" s="1" t="s">
        <v>24</v>
      </c>
      <c r="AA4457" s="1" t="s">
        <v>24</v>
      </c>
      <c r="AB4457" s="1" t="s">
        <v>24</v>
      </c>
      <c r="AC4457" s="1" t="s">
        <v>24</v>
      </c>
      <c r="AD4457" s="1" t="s">
        <v>24</v>
      </c>
      <c r="AE4457" s="1" t="s">
        <v>24</v>
      </c>
      <c r="AF4457" s="22"/>
    </row>
    <row r="4458" spans="1:32" x14ac:dyDescent="0.2">
      <c r="A4458" s="1">
        <v>40465</v>
      </c>
      <c r="B4458" s="1" t="s">
        <v>13660</v>
      </c>
      <c r="C4458" s="5" t="s">
        <v>0</v>
      </c>
      <c r="E4458" s="1" t="s">
        <v>13661</v>
      </c>
      <c r="F4458" s="1" t="s">
        <v>2299</v>
      </c>
      <c r="G4458" s="1" t="s">
        <v>2300</v>
      </c>
      <c r="H4458" s="1" t="s">
        <v>37</v>
      </c>
      <c r="I4458" s="1" t="s">
        <v>16</v>
      </c>
      <c r="J4458" s="1">
        <v>1</v>
      </c>
      <c r="K4458" s="1">
        <v>1</v>
      </c>
      <c r="L4458" s="1" t="s">
        <v>31</v>
      </c>
      <c r="M4458" s="1" t="s">
        <v>18</v>
      </c>
      <c r="N4458" s="1" t="s">
        <v>18</v>
      </c>
      <c r="O4458" s="1">
        <v>3</v>
      </c>
      <c r="P4458" s="1">
        <v>7</v>
      </c>
      <c r="Q4458" s="7" t="s">
        <v>17633</v>
      </c>
      <c r="R4458" s="1" t="s">
        <v>19</v>
      </c>
      <c r="S4458" s="1" t="s">
        <v>63</v>
      </c>
      <c r="T4458" s="1" t="s">
        <v>21</v>
      </c>
      <c r="U4458" s="1" t="s">
        <v>22</v>
      </c>
      <c r="V4458" s="1" t="s">
        <v>24</v>
      </c>
      <c r="W4458" s="1" t="s">
        <v>24</v>
      </c>
      <c r="X4458" s="1">
        <v>2716</v>
      </c>
      <c r="Y4458" s="1">
        <v>1311</v>
      </c>
      <c r="Z4458" s="1">
        <v>1312</v>
      </c>
      <c r="AA4458" s="1">
        <v>1313</v>
      </c>
      <c r="AB4458" s="1" t="s">
        <v>24</v>
      </c>
      <c r="AC4458" s="1" t="s">
        <v>24</v>
      </c>
      <c r="AD4458" s="1" t="s">
        <v>24</v>
      </c>
      <c r="AE4458" s="1" t="s">
        <v>24</v>
      </c>
      <c r="AF4458" s="22"/>
    </row>
    <row r="4459" spans="1:32" x14ac:dyDescent="0.2">
      <c r="A4459" s="1">
        <v>40467</v>
      </c>
      <c r="B4459" s="1" t="s">
        <v>13662</v>
      </c>
      <c r="C4459" s="5" t="s">
        <v>0</v>
      </c>
      <c r="D4459" s="1" t="s">
        <v>13663</v>
      </c>
      <c r="E4459" s="1" t="s">
        <v>13664</v>
      </c>
      <c r="F4459" s="1" t="s">
        <v>10332</v>
      </c>
      <c r="G4459" s="1" t="s">
        <v>10332</v>
      </c>
      <c r="H4459" s="1" t="s">
        <v>30</v>
      </c>
      <c r="I4459" s="1" t="s">
        <v>16</v>
      </c>
      <c r="J4459" s="1">
        <v>1</v>
      </c>
      <c r="K4459" s="1">
        <v>6</v>
      </c>
      <c r="L4459" s="1" t="s">
        <v>42</v>
      </c>
      <c r="M4459" s="1" t="s">
        <v>18</v>
      </c>
      <c r="N4459" s="1" t="s">
        <v>18</v>
      </c>
      <c r="O4459" s="1">
        <v>3</v>
      </c>
      <c r="P4459" s="1">
        <v>6</v>
      </c>
      <c r="R4459" s="1" t="s">
        <v>19</v>
      </c>
      <c r="S4459" s="1" t="s">
        <v>63</v>
      </c>
      <c r="T4459" s="1" t="s">
        <v>21</v>
      </c>
      <c r="U4459" s="1" t="s">
        <v>22</v>
      </c>
      <c r="V4459" s="1" t="s">
        <v>24</v>
      </c>
      <c r="W4459" s="1" t="s">
        <v>24</v>
      </c>
      <c r="X4459" s="1">
        <v>2723</v>
      </c>
      <c r="Y4459" s="1">
        <v>2403</v>
      </c>
      <c r="Z4459" s="1" t="s">
        <v>24</v>
      </c>
      <c r="AA4459" s="1" t="s">
        <v>24</v>
      </c>
      <c r="AB4459" s="1" t="s">
        <v>24</v>
      </c>
      <c r="AC4459" s="1" t="s">
        <v>24</v>
      </c>
      <c r="AD4459" s="1" t="s">
        <v>24</v>
      </c>
      <c r="AE4459" s="1" t="s">
        <v>24</v>
      </c>
      <c r="AF4459" s="22"/>
    </row>
    <row r="4460" spans="1:32" x14ac:dyDescent="0.2">
      <c r="A4460" s="1">
        <v>40468</v>
      </c>
      <c r="B4460" s="1" t="s">
        <v>13665</v>
      </c>
      <c r="C4460" s="5" t="s">
        <v>0</v>
      </c>
      <c r="D4460" s="1" t="s">
        <v>13666</v>
      </c>
      <c r="E4460" s="1" t="s">
        <v>13667</v>
      </c>
      <c r="F4460" s="1" t="s">
        <v>751</v>
      </c>
      <c r="G4460" s="1" t="s">
        <v>36</v>
      </c>
      <c r="H4460" s="1" t="s">
        <v>37</v>
      </c>
      <c r="I4460" s="1" t="s">
        <v>16</v>
      </c>
      <c r="J4460" s="1">
        <v>1</v>
      </c>
      <c r="K4460" s="1">
        <v>12</v>
      </c>
      <c r="L4460" s="1" t="s">
        <v>31</v>
      </c>
      <c r="M4460" s="1" t="s">
        <v>18</v>
      </c>
      <c r="N4460" s="1" t="s">
        <v>18</v>
      </c>
      <c r="O4460" s="1">
        <v>3</v>
      </c>
      <c r="P4460" s="1">
        <v>7</v>
      </c>
      <c r="Q4460" s="7" t="s">
        <v>17633</v>
      </c>
      <c r="R4460" s="1" t="s">
        <v>19</v>
      </c>
      <c r="S4460" s="1" t="s">
        <v>20</v>
      </c>
      <c r="T4460" s="1" t="s">
        <v>21</v>
      </c>
      <c r="U4460" s="1" t="s">
        <v>22</v>
      </c>
      <c r="V4460" s="1" t="s">
        <v>24</v>
      </c>
      <c r="W4460" s="1" t="s">
        <v>24</v>
      </c>
      <c r="X4460" s="1">
        <v>1602</v>
      </c>
      <c r="Y4460" s="1">
        <v>2304</v>
      </c>
      <c r="Z4460" s="1">
        <v>3003</v>
      </c>
      <c r="AA4460" s="1">
        <v>1607</v>
      </c>
      <c r="AB4460" s="1" t="s">
        <v>24</v>
      </c>
      <c r="AC4460" s="1" t="s">
        <v>24</v>
      </c>
      <c r="AD4460" s="1" t="s">
        <v>24</v>
      </c>
      <c r="AE4460" s="1" t="s">
        <v>24</v>
      </c>
      <c r="AF4460" s="22"/>
    </row>
    <row r="4461" spans="1:32" x14ac:dyDescent="0.2">
      <c r="A4461" s="1">
        <v>40472</v>
      </c>
      <c r="B4461" s="1" t="s">
        <v>13668</v>
      </c>
      <c r="C4461" s="5" t="s">
        <v>0</v>
      </c>
      <c r="D4461" s="1" t="s">
        <v>13669</v>
      </c>
      <c r="E4461" s="1" t="s">
        <v>13670</v>
      </c>
      <c r="F4461" s="1" t="s">
        <v>315</v>
      </c>
      <c r="G4461" s="1" t="s">
        <v>316</v>
      </c>
      <c r="H4461" s="1" t="s">
        <v>37</v>
      </c>
      <c r="I4461" s="1" t="s">
        <v>16</v>
      </c>
      <c r="J4461" s="1">
        <v>1</v>
      </c>
      <c r="K4461" s="1">
        <v>12</v>
      </c>
      <c r="L4461" s="1" t="s">
        <v>31</v>
      </c>
      <c r="M4461" s="1" t="s">
        <v>18</v>
      </c>
      <c r="N4461" s="1" t="s">
        <v>18</v>
      </c>
      <c r="O4461" s="1">
        <v>3</v>
      </c>
      <c r="P4461" s="1">
        <v>7</v>
      </c>
      <c r="Q4461" s="7" t="s">
        <v>17633</v>
      </c>
      <c r="R4461" s="1" t="s">
        <v>19</v>
      </c>
      <c r="S4461" s="1" t="s">
        <v>20</v>
      </c>
      <c r="T4461" s="1" t="s">
        <v>21</v>
      </c>
      <c r="U4461" s="1" t="s">
        <v>22</v>
      </c>
      <c r="V4461" s="1" t="s">
        <v>24</v>
      </c>
      <c r="W4461" s="1" t="s">
        <v>24</v>
      </c>
      <c r="X4461" s="1">
        <v>2748</v>
      </c>
      <c r="Y4461" s="1" t="s">
        <v>24</v>
      </c>
      <c r="Z4461" s="1" t="s">
        <v>24</v>
      </c>
      <c r="AA4461" s="1" t="s">
        <v>24</v>
      </c>
      <c r="AB4461" s="1" t="s">
        <v>24</v>
      </c>
      <c r="AC4461" s="1" t="s">
        <v>24</v>
      </c>
      <c r="AD4461" s="1" t="s">
        <v>24</v>
      </c>
      <c r="AE4461" s="1" t="s">
        <v>24</v>
      </c>
      <c r="AF4461" s="22"/>
    </row>
    <row r="4462" spans="1:32" x14ac:dyDescent="0.2">
      <c r="A4462" s="1">
        <v>40473</v>
      </c>
      <c r="B4462" s="1" t="s">
        <v>13671</v>
      </c>
      <c r="C4462" s="5" t="s">
        <v>0</v>
      </c>
      <c r="D4462" s="1" t="s">
        <v>13672</v>
      </c>
      <c r="E4462" s="1" t="s">
        <v>13673</v>
      </c>
      <c r="F4462" s="1" t="s">
        <v>315</v>
      </c>
      <c r="G4462" s="1" t="s">
        <v>316</v>
      </c>
      <c r="H4462" s="1" t="s">
        <v>37</v>
      </c>
      <c r="I4462" s="1" t="s">
        <v>16</v>
      </c>
      <c r="J4462" s="1">
        <v>1</v>
      </c>
      <c r="K4462" s="1">
        <v>12</v>
      </c>
      <c r="L4462" s="1" t="s">
        <v>31</v>
      </c>
      <c r="M4462" s="1" t="s">
        <v>18</v>
      </c>
      <c r="N4462" s="1" t="s">
        <v>18</v>
      </c>
      <c r="O4462" s="1">
        <v>3</v>
      </c>
      <c r="P4462" s="1">
        <v>7</v>
      </c>
      <c r="Q4462" s="7" t="s">
        <v>17633</v>
      </c>
      <c r="R4462" s="1" t="s">
        <v>19</v>
      </c>
      <c r="S4462" s="1" t="s">
        <v>20</v>
      </c>
      <c r="T4462" s="1" t="s">
        <v>21</v>
      </c>
      <c r="U4462" s="1" t="s">
        <v>22</v>
      </c>
      <c r="V4462" s="1" t="s">
        <v>24</v>
      </c>
      <c r="W4462" s="1" t="s">
        <v>24</v>
      </c>
      <c r="X4462" s="1">
        <v>2705</v>
      </c>
      <c r="Y4462" s="1" t="s">
        <v>24</v>
      </c>
      <c r="Z4462" s="1" t="s">
        <v>24</v>
      </c>
      <c r="AA4462" s="1" t="s">
        <v>24</v>
      </c>
      <c r="AB4462" s="1" t="s">
        <v>24</v>
      </c>
      <c r="AC4462" s="1" t="s">
        <v>24</v>
      </c>
      <c r="AD4462" s="1" t="s">
        <v>24</v>
      </c>
      <c r="AE4462" s="1" t="s">
        <v>24</v>
      </c>
      <c r="AF4462" s="22"/>
    </row>
    <row r="4463" spans="1:32" x14ac:dyDescent="0.2">
      <c r="A4463" s="1">
        <v>40474</v>
      </c>
      <c r="B4463" s="1" t="s">
        <v>13674</v>
      </c>
      <c r="C4463" s="5" t="s">
        <v>0</v>
      </c>
      <c r="D4463" s="1" t="s">
        <v>13675</v>
      </c>
      <c r="E4463" s="1" t="s">
        <v>13676</v>
      </c>
      <c r="F4463" s="1" t="s">
        <v>315</v>
      </c>
      <c r="G4463" s="1" t="s">
        <v>316</v>
      </c>
      <c r="H4463" s="1" t="s">
        <v>37</v>
      </c>
      <c r="I4463" s="1" t="s">
        <v>16</v>
      </c>
      <c r="J4463" s="1">
        <v>1</v>
      </c>
      <c r="K4463" s="1">
        <v>12</v>
      </c>
      <c r="L4463" s="1" t="s">
        <v>31</v>
      </c>
      <c r="M4463" s="1" t="s">
        <v>18</v>
      </c>
      <c r="N4463" s="1" t="s">
        <v>18</v>
      </c>
      <c r="O4463" s="1">
        <v>3</v>
      </c>
      <c r="P4463" s="1">
        <v>7</v>
      </c>
      <c r="Q4463" s="7" t="s">
        <v>17633</v>
      </c>
      <c r="R4463" s="1" t="s">
        <v>19</v>
      </c>
      <c r="S4463" s="1" t="s">
        <v>20</v>
      </c>
      <c r="T4463" s="1" t="s">
        <v>21</v>
      </c>
      <c r="U4463" s="1" t="s">
        <v>22</v>
      </c>
      <c r="V4463" s="1" t="s">
        <v>24</v>
      </c>
      <c r="W4463" s="1" t="s">
        <v>24</v>
      </c>
      <c r="X4463" s="1">
        <v>1310</v>
      </c>
      <c r="Y4463" s="1">
        <v>2712</v>
      </c>
      <c r="Z4463" s="1" t="s">
        <v>24</v>
      </c>
      <c r="AA4463" s="1" t="s">
        <v>24</v>
      </c>
      <c r="AB4463" s="1" t="s">
        <v>24</v>
      </c>
      <c r="AC4463" s="1" t="s">
        <v>24</v>
      </c>
      <c r="AD4463" s="1" t="s">
        <v>24</v>
      </c>
      <c r="AE4463" s="1" t="s">
        <v>24</v>
      </c>
      <c r="AF4463" s="22"/>
    </row>
    <row r="4464" spans="1:32" x14ac:dyDescent="0.2">
      <c r="A4464" s="1">
        <v>40475</v>
      </c>
      <c r="B4464" s="1" t="s">
        <v>13677</v>
      </c>
      <c r="C4464" s="5" t="s">
        <v>0</v>
      </c>
      <c r="D4464" s="1" t="s">
        <v>13678</v>
      </c>
      <c r="E4464" s="1" t="s">
        <v>13679</v>
      </c>
      <c r="F4464" s="1" t="s">
        <v>315</v>
      </c>
      <c r="G4464" s="1" t="s">
        <v>316</v>
      </c>
      <c r="H4464" s="1" t="s">
        <v>37</v>
      </c>
      <c r="I4464" s="1" t="s">
        <v>16</v>
      </c>
      <c r="J4464" s="1">
        <v>1</v>
      </c>
      <c r="K4464" s="1">
        <v>12</v>
      </c>
      <c r="L4464" s="1" t="s">
        <v>31</v>
      </c>
      <c r="M4464" s="1" t="s">
        <v>18</v>
      </c>
      <c r="N4464" s="1" t="s">
        <v>18</v>
      </c>
      <c r="O4464" s="1">
        <v>3</v>
      </c>
      <c r="P4464" s="1">
        <v>7</v>
      </c>
      <c r="Q4464" s="7" t="s">
        <v>17633</v>
      </c>
      <c r="R4464" s="1" t="s">
        <v>19</v>
      </c>
      <c r="S4464" s="1" t="s">
        <v>20</v>
      </c>
      <c r="T4464" s="1" t="s">
        <v>21</v>
      </c>
      <c r="U4464" s="1" t="s">
        <v>22</v>
      </c>
      <c r="V4464" s="1" t="s">
        <v>24</v>
      </c>
      <c r="W4464" s="1" t="s">
        <v>24</v>
      </c>
      <c r="X4464" s="1">
        <v>2727</v>
      </c>
      <c r="Y4464" s="1" t="s">
        <v>24</v>
      </c>
      <c r="Z4464" s="1" t="s">
        <v>24</v>
      </c>
      <c r="AA4464" s="1" t="s">
        <v>24</v>
      </c>
      <c r="AB4464" s="1" t="s">
        <v>24</v>
      </c>
      <c r="AC4464" s="1" t="s">
        <v>24</v>
      </c>
      <c r="AD4464" s="1" t="s">
        <v>24</v>
      </c>
      <c r="AE4464" s="1" t="s">
        <v>24</v>
      </c>
      <c r="AF4464" s="22"/>
    </row>
    <row r="4465" spans="1:32" x14ac:dyDescent="0.2">
      <c r="A4465" s="1">
        <v>40476</v>
      </c>
      <c r="B4465" s="1" t="s">
        <v>13680</v>
      </c>
      <c r="C4465" s="5" t="s">
        <v>0</v>
      </c>
      <c r="D4465" s="1" t="s">
        <v>13681</v>
      </c>
      <c r="E4465" s="1" t="s">
        <v>13682</v>
      </c>
      <c r="F4465" s="1" t="s">
        <v>315</v>
      </c>
      <c r="G4465" s="1" t="s">
        <v>316</v>
      </c>
      <c r="H4465" s="1" t="s">
        <v>37</v>
      </c>
      <c r="I4465" s="1" t="s">
        <v>16</v>
      </c>
      <c r="J4465" s="1">
        <v>1</v>
      </c>
      <c r="K4465" s="1">
        <v>12</v>
      </c>
      <c r="L4465" s="1" t="s">
        <v>31</v>
      </c>
      <c r="M4465" s="1" t="s">
        <v>18</v>
      </c>
      <c r="N4465" s="1" t="s">
        <v>18</v>
      </c>
      <c r="O4465" s="1">
        <v>3</v>
      </c>
      <c r="P4465" s="1">
        <v>7</v>
      </c>
      <c r="Q4465" s="7" t="s">
        <v>17633</v>
      </c>
      <c r="R4465" s="1" t="s">
        <v>19</v>
      </c>
      <c r="S4465" s="1" t="s">
        <v>20</v>
      </c>
      <c r="T4465" s="1" t="s">
        <v>21</v>
      </c>
      <c r="U4465" s="1" t="s">
        <v>22</v>
      </c>
      <c r="V4465" s="1" t="s">
        <v>24</v>
      </c>
      <c r="W4465" s="1" t="s">
        <v>24</v>
      </c>
      <c r="X4465" s="1">
        <v>2728</v>
      </c>
      <c r="Y4465" s="1">
        <v>2804</v>
      </c>
      <c r="Z4465" s="1" t="s">
        <v>24</v>
      </c>
      <c r="AA4465" s="1" t="s">
        <v>24</v>
      </c>
      <c r="AB4465" s="1" t="s">
        <v>24</v>
      </c>
      <c r="AC4465" s="1" t="s">
        <v>24</v>
      </c>
      <c r="AD4465" s="1" t="s">
        <v>24</v>
      </c>
      <c r="AE4465" s="1" t="s">
        <v>24</v>
      </c>
      <c r="AF4465" s="22"/>
    </row>
    <row r="4466" spans="1:32" x14ac:dyDescent="0.2">
      <c r="A4466" s="1">
        <v>40477</v>
      </c>
      <c r="B4466" s="1" t="s">
        <v>13683</v>
      </c>
      <c r="C4466" s="5" t="s">
        <v>0</v>
      </c>
      <c r="D4466" s="1" t="s">
        <v>13684</v>
      </c>
      <c r="E4466" s="1" t="s">
        <v>13685</v>
      </c>
      <c r="F4466" s="1" t="s">
        <v>315</v>
      </c>
      <c r="G4466" s="1" t="s">
        <v>316</v>
      </c>
      <c r="H4466" s="1" t="s">
        <v>37</v>
      </c>
      <c r="I4466" s="1" t="s">
        <v>16</v>
      </c>
      <c r="J4466" s="1">
        <v>1</v>
      </c>
      <c r="K4466" s="1">
        <v>12</v>
      </c>
      <c r="L4466" s="1" t="s">
        <v>31</v>
      </c>
      <c r="M4466" s="1" t="s">
        <v>18</v>
      </c>
      <c r="N4466" s="1" t="s">
        <v>18</v>
      </c>
      <c r="O4466" s="1">
        <v>3</v>
      </c>
      <c r="P4466" s="1">
        <v>7</v>
      </c>
      <c r="Q4466" s="7" t="s">
        <v>17633</v>
      </c>
      <c r="R4466" s="1" t="s">
        <v>19</v>
      </c>
      <c r="S4466" s="1" t="s">
        <v>20</v>
      </c>
      <c r="T4466" s="1" t="s">
        <v>21</v>
      </c>
      <c r="U4466" s="1" t="s">
        <v>22</v>
      </c>
      <c r="V4466" s="1" t="s">
        <v>24</v>
      </c>
      <c r="W4466" s="1" t="s">
        <v>24</v>
      </c>
      <c r="X4466" s="1">
        <v>2730</v>
      </c>
      <c r="Y4466" s="1" t="s">
        <v>24</v>
      </c>
      <c r="Z4466" s="1" t="s">
        <v>24</v>
      </c>
      <c r="AA4466" s="1" t="s">
        <v>24</v>
      </c>
      <c r="AB4466" s="1" t="s">
        <v>24</v>
      </c>
      <c r="AC4466" s="1" t="s">
        <v>24</v>
      </c>
      <c r="AD4466" s="1" t="s">
        <v>24</v>
      </c>
      <c r="AE4466" s="1" t="s">
        <v>24</v>
      </c>
      <c r="AF4466" s="22"/>
    </row>
    <row r="4467" spans="1:32" x14ac:dyDescent="0.2">
      <c r="A4467" s="1">
        <v>40478</v>
      </c>
      <c r="B4467" s="1" t="s">
        <v>13686</v>
      </c>
      <c r="C4467" s="5" t="s">
        <v>0</v>
      </c>
      <c r="D4467" s="1" t="s">
        <v>13687</v>
      </c>
      <c r="E4467" s="1" t="s">
        <v>13688</v>
      </c>
      <c r="F4467" s="1" t="s">
        <v>315</v>
      </c>
      <c r="G4467" s="1" t="s">
        <v>316</v>
      </c>
      <c r="H4467" s="1" t="s">
        <v>37</v>
      </c>
      <c r="I4467" s="1" t="s">
        <v>16</v>
      </c>
      <c r="J4467" s="1">
        <v>1</v>
      </c>
      <c r="K4467" s="1">
        <v>12</v>
      </c>
      <c r="L4467" s="1" t="s">
        <v>31</v>
      </c>
      <c r="M4467" s="1" t="s">
        <v>18</v>
      </c>
      <c r="N4467" s="1" t="s">
        <v>18</v>
      </c>
      <c r="O4467" s="1">
        <v>3</v>
      </c>
      <c r="P4467" s="1">
        <v>7</v>
      </c>
      <c r="Q4467" s="7" t="s">
        <v>17633</v>
      </c>
      <c r="R4467" s="1" t="s">
        <v>19</v>
      </c>
      <c r="S4467" s="1" t="s">
        <v>20</v>
      </c>
      <c r="T4467" s="1" t="s">
        <v>21</v>
      </c>
      <c r="U4467" s="1" t="s">
        <v>22</v>
      </c>
      <c r="V4467" s="1" t="s">
        <v>24</v>
      </c>
      <c r="W4467" s="1" t="s">
        <v>24</v>
      </c>
      <c r="X4467" s="1">
        <v>2745</v>
      </c>
      <c r="Y4467" s="1" t="s">
        <v>24</v>
      </c>
      <c r="Z4467" s="1" t="s">
        <v>24</v>
      </c>
      <c r="AA4467" s="1" t="s">
        <v>24</v>
      </c>
      <c r="AB4467" s="1" t="s">
        <v>24</v>
      </c>
      <c r="AC4467" s="1" t="s">
        <v>24</v>
      </c>
      <c r="AD4467" s="1" t="s">
        <v>24</v>
      </c>
      <c r="AE4467" s="1" t="s">
        <v>24</v>
      </c>
      <c r="AF4467" s="22"/>
    </row>
    <row r="4468" spans="1:32" x14ac:dyDescent="0.2">
      <c r="A4468" s="1">
        <v>40501</v>
      </c>
      <c r="B4468" s="1" t="s">
        <v>13689</v>
      </c>
      <c r="C4468" s="5" t="s">
        <v>0</v>
      </c>
      <c r="E4468" s="1" t="s">
        <v>13690</v>
      </c>
      <c r="F4468" s="1" t="s">
        <v>6405</v>
      </c>
      <c r="G4468" s="1" t="s">
        <v>6406</v>
      </c>
      <c r="H4468" s="1" t="s">
        <v>92</v>
      </c>
      <c r="I4468" s="1" t="s">
        <v>16</v>
      </c>
      <c r="J4468" s="1">
        <v>1</v>
      </c>
      <c r="K4468" s="1">
        <v>1</v>
      </c>
      <c r="L4468" s="1" t="s">
        <v>31</v>
      </c>
      <c r="M4468" s="1" t="s">
        <v>18</v>
      </c>
      <c r="N4468" s="1" t="s">
        <v>18</v>
      </c>
      <c r="O4468" s="1">
        <v>3</v>
      </c>
      <c r="P4468" s="1">
        <v>7</v>
      </c>
      <c r="Q4468" s="7" t="s">
        <v>17633</v>
      </c>
      <c r="R4468" s="1" t="s">
        <v>19</v>
      </c>
      <c r="S4468" s="1" t="s">
        <v>63</v>
      </c>
      <c r="T4468" s="1" t="s">
        <v>21</v>
      </c>
      <c r="U4468" s="1" t="s">
        <v>22</v>
      </c>
      <c r="V4468" s="1" t="s">
        <v>24</v>
      </c>
      <c r="W4468" s="1" t="s">
        <v>24</v>
      </c>
      <c r="X4468" s="1">
        <v>2736</v>
      </c>
      <c r="Y4468" s="1">
        <v>2738</v>
      </c>
      <c r="Z4468" s="1">
        <v>3004</v>
      </c>
      <c r="AA4468" s="1" t="s">
        <v>24</v>
      </c>
      <c r="AB4468" s="1" t="s">
        <v>24</v>
      </c>
      <c r="AC4468" s="1" t="s">
        <v>24</v>
      </c>
      <c r="AD4468" s="1" t="s">
        <v>24</v>
      </c>
      <c r="AE4468" s="1" t="s">
        <v>24</v>
      </c>
      <c r="AF4468" s="22"/>
    </row>
    <row r="4469" spans="1:32" x14ac:dyDescent="0.2">
      <c r="A4469" s="1">
        <v>40502</v>
      </c>
      <c r="B4469" s="1" t="s">
        <v>13691</v>
      </c>
      <c r="C4469" s="5" t="s">
        <v>0</v>
      </c>
      <c r="E4469" s="1" t="s">
        <v>13692</v>
      </c>
      <c r="F4469" s="1" t="s">
        <v>6405</v>
      </c>
      <c r="G4469" s="1" t="s">
        <v>6406</v>
      </c>
      <c r="H4469" s="1" t="s">
        <v>92</v>
      </c>
      <c r="I4469" s="1" t="s">
        <v>16</v>
      </c>
      <c r="J4469" s="1">
        <v>1</v>
      </c>
      <c r="K4469" s="1">
        <v>1</v>
      </c>
      <c r="L4469" s="1" t="s">
        <v>31</v>
      </c>
      <c r="M4469" s="1" t="s">
        <v>18</v>
      </c>
      <c r="N4469" s="1" t="s">
        <v>18</v>
      </c>
      <c r="O4469" s="1">
        <v>3</v>
      </c>
      <c r="P4469" s="1">
        <v>7</v>
      </c>
      <c r="Q4469" s="7" t="s">
        <v>17633</v>
      </c>
      <c r="R4469" s="1" t="s">
        <v>19</v>
      </c>
      <c r="S4469" s="1" t="s">
        <v>63</v>
      </c>
      <c r="T4469" s="1" t="s">
        <v>21</v>
      </c>
      <c r="U4469" s="1" t="s">
        <v>22</v>
      </c>
      <c r="V4469" s="1" t="s">
        <v>24</v>
      </c>
      <c r="W4469" s="1" t="s">
        <v>24</v>
      </c>
      <c r="X4469" s="1">
        <v>3005</v>
      </c>
      <c r="Y4469" s="1" t="s">
        <v>24</v>
      </c>
      <c r="Z4469" s="1" t="s">
        <v>24</v>
      </c>
      <c r="AA4469" s="1" t="s">
        <v>24</v>
      </c>
      <c r="AB4469" s="1" t="s">
        <v>24</v>
      </c>
      <c r="AC4469" s="1" t="s">
        <v>24</v>
      </c>
      <c r="AD4469" s="1" t="s">
        <v>24</v>
      </c>
      <c r="AE4469" s="1" t="s">
        <v>24</v>
      </c>
      <c r="AF4469" s="22"/>
    </row>
    <row r="4470" spans="1:32" x14ac:dyDescent="0.2">
      <c r="A4470" s="1">
        <v>40503</v>
      </c>
      <c r="B4470" s="1" t="s">
        <v>13693</v>
      </c>
      <c r="C4470" s="5" t="s">
        <v>0</v>
      </c>
      <c r="E4470" s="1" t="s">
        <v>13694</v>
      </c>
      <c r="F4470" s="1" t="s">
        <v>6405</v>
      </c>
      <c r="G4470" s="1" t="s">
        <v>6406</v>
      </c>
      <c r="H4470" s="1" t="s">
        <v>92</v>
      </c>
      <c r="I4470" s="1" t="s">
        <v>16</v>
      </c>
      <c r="J4470" s="1">
        <v>1</v>
      </c>
      <c r="K4470" s="1">
        <v>1</v>
      </c>
      <c r="L4470" s="1" t="s">
        <v>31</v>
      </c>
      <c r="M4470" s="1" t="s">
        <v>18</v>
      </c>
      <c r="N4470" s="1" t="s">
        <v>18</v>
      </c>
      <c r="O4470" s="1">
        <v>3</v>
      </c>
      <c r="P4470" s="1">
        <v>7</v>
      </c>
      <c r="Q4470" s="7" t="s">
        <v>17633</v>
      </c>
      <c r="R4470" s="1" t="s">
        <v>19</v>
      </c>
      <c r="S4470" s="1" t="s">
        <v>63</v>
      </c>
      <c r="T4470" s="1" t="s">
        <v>21</v>
      </c>
      <c r="U4470" s="1" t="s">
        <v>22</v>
      </c>
      <c r="V4470" s="1" t="s">
        <v>23</v>
      </c>
      <c r="W4470" s="1" t="s">
        <v>24</v>
      </c>
      <c r="X4470" s="1">
        <v>2725</v>
      </c>
      <c r="Y4470" s="1">
        <v>2406</v>
      </c>
      <c r="Z4470" s="1">
        <v>2739</v>
      </c>
      <c r="AA4470" s="1" t="s">
        <v>24</v>
      </c>
      <c r="AB4470" s="1" t="s">
        <v>24</v>
      </c>
      <c r="AC4470" s="1" t="s">
        <v>24</v>
      </c>
      <c r="AD4470" s="1" t="s">
        <v>24</v>
      </c>
      <c r="AE4470" s="1" t="s">
        <v>24</v>
      </c>
      <c r="AF4470" s="22"/>
    </row>
    <row r="4471" spans="1:32" x14ac:dyDescent="0.2">
      <c r="A4471" s="1">
        <v>40504</v>
      </c>
      <c r="B4471" s="1" t="s">
        <v>13695</v>
      </c>
      <c r="C4471" s="5" t="s">
        <v>0</v>
      </c>
      <c r="E4471" s="1" t="s">
        <v>13696</v>
      </c>
      <c r="F4471" s="1" t="s">
        <v>6405</v>
      </c>
      <c r="G4471" s="1" t="s">
        <v>6406</v>
      </c>
      <c r="H4471" s="1" t="s">
        <v>92</v>
      </c>
      <c r="I4471" s="1" t="s">
        <v>16</v>
      </c>
      <c r="J4471" s="1">
        <v>1</v>
      </c>
      <c r="K4471" s="1">
        <v>1</v>
      </c>
      <c r="L4471" s="1" t="s">
        <v>31</v>
      </c>
      <c r="M4471" s="1" t="s">
        <v>18</v>
      </c>
      <c r="N4471" s="1" t="s">
        <v>18</v>
      </c>
      <c r="O4471" s="1">
        <v>3</v>
      </c>
      <c r="P4471" s="1">
        <v>7</v>
      </c>
      <c r="Q4471" s="7" t="s">
        <v>17633</v>
      </c>
      <c r="R4471" s="1" t="s">
        <v>19</v>
      </c>
      <c r="S4471" s="1" t="s">
        <v>63</v>
      </c>
      <c r="T4471" s="1" t="s">
        <v>21</v>
      </c>
      <c r="U4471" s="1" t="s">
        <v>22</v>
      </c>
      <c r="V4471" s="1" t="s">
        <v>23</v>
      </c>
      <c r="W4471" s="1" t="s">
        <v>24</v>
      </c>
      <c r="X4471" s="1">
        <v>2403</v>
      </c>
      <c r="Y4471" s="1">
        <v>3003</v>
      </c>
      <c r="Z4471" s="1">
        <v>3002</v>
      </c>
      <c r="AA4471" s="1" t="s">
        <v>24</v>
      </c>
      <c r="AB4471" s="1" t="s">
        <v>24</v>
      </c>
      <c r="AC4471" s="1" t="s">
        <v>24</v>
      </c>
      <c r="AD4471" s="1" t="s">
        <v>24</v>
      </c>
      <c r="AE4471" s="1" t="s">
        <v>24</v>
      </c>
      <c r="AF4471" s="22"/>
    </row>
    <row r="4472" spans="1:32" x14ac:dyDescent="0.2">
      <c r="A4472" s="1">
        <v>40505</v>
      </c>
      <c r="B4472" s="1" t="s">
        <v>13697</v>
      </c>
      <c r="C4472" s="5" t="s">
        <v>0</v>
      </c>
      <c r="D4472" s="1" t="s">
        <v>13698</v>
      </c>
      <c r="E4472" s="1" t="s">
        <v>13699</v>
      </c>
      <c r="F4472" s="1" t="s">
        <v>13700</v>
      </c>
      <c r="G4472" s="1" t="s">
        <v>13700</v>
      </c>
      <c r="H4472" s="1" t="s">
        <v>591</v>
      </c>
      <c r="I4472" s="1" t="s">
        <v>16</v>
      </c>
      <c r="J4472" s="1">
        <v>1</v>
      </c>
      <c r="K4472" s="1">
        <v>4</v>
      </c>
      <c r="L4472" s="1" t="s">
        <v>42</v>
      </c>
      <c r="M4472" s="1" t="s">
        <v>18</v>
      </c>
      <c r="N4472" s="1" t="s">
        <v>18</v>
      </c>
      <c r="O4472" s="1">
        <v>2</v>
      </c>
      <c r="P4472" s="1">
        <v>6</v>
      </c>
      <c r="R4472" s="1" t="s">
        <v>19</v>
      </c>
      <c r="S4472" s="1" t="s">
        <v>20</v>
      </c>
      <c r="T4472" s="1" t="s">
        <v>21</v>
      </c>
      <c r="U4472" s="1" t="s">
        <v>22</v>
      </c>
      <c r="V4472" s="1" t="s">
        <v>24</v>
      </c>
      <c r="W4472" s="1" t="s">
        <v>24</v>
      </c>
      <c r="X4472" s="1">
        <v>3003</v>
      </c>
      <c r="Y4472" s="1">
        <v>3004</v>
      </c>
      <c r="Z4472" s="1" t="s">
        <v>24</v>
      </c>
      <c r="AA4472" s="1" t="s">
        <v>24</v>
      </c>
      <c r="AB4472" s="1" t="s">
        <v>24</v>
      </c>
      <c r="AC4472" s="1" t="s">
        <v>24</v>
      </c>
      <c r="AD4472" s="1" t="s">
        <v>24</v>
      </c>
      <c r="AE4472" s="1" t="s">
        <v>24</v>
      </c>
      <c r="AF4472" s="22"/>
    </row>
    <row r="4473" spans="1:32" x14ac:dyDescent="0.2">
      <c r="A4473" s="1">
        <v>40506</v>
      </c>
      <c r="B4473" s="1" t="s">
        <v>13701</v>
      </c>
      <c r="C4473" s="5" t="s">
        <v>0</v>
      </c>
      <c r="D4473" s="1" t="s">
        <v>13702</v>
      </c>
      <c r="F4473" s="1" t="s">
        <v>11079</v>
      </c>
      <c r="G4473" s="1" t="s">
        <v>11079</v>
      </c>
      <c r="H4473" s="1" t="s">
        <v>3228</v>
      </c>
      <c r="I4473" s="1" t="s">
        <v>16</v>
      </c>
      <c r="J4473" s="1">
        <v>1</v>
      </c>
      <c r="K4473" s="1">
        <v>1</v>
      </c>
      <c r="L4473" s="1" t="s">
        <v>42</v>
      </c>
      <c r="M4473" s="1" t="s">
        <v>18</v>
      </c>
      <c r="N4473" s="1" t="s">
        <v>18</v>
      </c>
      <c r="O4473" s="1">
        <v>3</v>
      </c>
      <c r="P4473" s="1">
        <v>6</v>
      </c>
      <c r="R4473" s="1" t="s">
        <v>19</v>
      </c>
      <c r="S4473" s="1" t="s">
        <v>63</v>
      </c>
      <c r="T4473" s="1" t="s">
        <v>21</v>
      </c>
      <c r="U4473" s="1" t="s">
        <v>22</v>
      </c>
      <c r="V4473" s="1" t="s">
        <v>24</v>
      </c>
      <c r="W4473" s="1" t="s">
        <v>24</v>
      </c>
      <c r="X4473" s="1">
        <v>3003</v>
      </c>
      <c r="Y4473" s="1">
        <v>3004</v>
      </c>
      <c r="Z4473" s="1">
        <v>3002</v>
      </c>
      <c r="AA4473" s="1" t="s">
        <v>24</v>
      </c>
      <c r="AB4473" s="1" t="s">
        <v>24</v>
      </c>
      <c r="AC4473" s="1" t="s">
        <v>24</v>
      </c>
      <c r="AD4473" s="1" t="s">
        <v>24</v>
      </c>
      <c r="AE4473" s="1" t="s">
        <v>24</v>
      </c>
      <c r="AF4473" s="22" t="s">
        <v>17678</v>
      </c>
    </row>
    <row r="4474" spans="1:32" x14ac:dyDescent="0.2">
      <c r="A4474" s="1">
        <v>40508</v>
      </c>
      <c r="B4474" s="1" t="s">
        <v>13703</v>
      </c>
      <c r="C4474" s="5" t="s">
        <v>0</v>
      </c>
      <c r="E4474" s="1" t="s">
        <v>13704</v>
      </c>
      <c r="F4474" s="1" t="s">
        <v>11079</v>
      </c>
      <c r="G4474" s="1" t="s">
        <v>11079</v>
      </c>
      <c r="H4474" s="1" t="s">
        <v>3228</v>
      </c>
      <c r="I4474" s="1" t="s">
        <v>16</v>
      </c>
      <c r="J4474" s="1">
        <v>1</v>
      </c>
      <c r="K4474" s="1">
        <v>1</v>
      </c>
      <c r="L4474" s="1" t="s">
        <v>42</v>
      </c>
      <c r="M4474" s="1" t="s">
        <v>18</v>
      </c>
      <c r="N4474" s="1" t="s">
        <v>18</v>
      </c>
      <c r="O4474" s="1">
        <v>3</v>
      </c>
      <c r="P4474" s="1">
        <v>6</v>
      </c>
      <c r="R4474" s="1" t="s">
        <v>19</v>
      </c>
      <c r="S4474" s="1" t="s">
        <v>63</v>
      </c>
      <c r="T4474" s="1" t="s">
        <v>21</v>
      </c>
      <c r="U4474" s="1" t="s">
        <v>22</v>
      </c>
      <c r="V4474" s="1" t="s">
        <v>24</v>
      </c>
      <c r="W4474" s="1" t="s">
        <v>24</v>
      </c>
      <c r="X4474" s="1">
        <v>2716</v>
      </c>
      <c r="Y4474" s="1">
        <v>1311</v>
      </c>
      <c r="Z4474" s="1" t="s">
        <v>24</v>
      </c>
      <c r="AA4474" s="1" t="s">
        <v>24</v>
      </c>
      <c r="AB4474" s="1" t="s">
        <v>24</v>
      </c>
      <c r="AC4474" s="1" t="s">
        <v>24</v>
      </c>
      <c r="AD4474" s="1" t="s">
        <v>24</v>
      </c>
      <c r="AE4474" s="1" t="s">
        <v>24</v>
      </c>
      <c r="AF4474" s="22"/>
    </row>
    <row r="4475" spans="1:32" x14ac:dyDescent="0.2">
      <c r="A4475" s="1">
        <v>40509</v>
      </c>
      <c r="B4475" s="1" t="s">
        <v>13705</v>
      </c>
      <c r="C4475" s="5" t="s">
        <v>0</v>
      </c>
      <c r="D4475" s="1" t="s">
        <v>13706</v>
      </c>
      <c r="F4475" s="1" t="s">
        <v>11079</v>
      </c>
      <c r="G4475" s="1" t="s">
        <v>11079</v>
      </c>
      <c r="H4475" s="1" t="s">
        <v>3228</v>
      </c>
      <c r="I4475" s="1" t="s">
        <v>16</v>
      </c>
      <c r="J4475" s="1">
        <v>1</v>
      </c>
      <c r="K4475" s="1">
        <v>1</v>
      </c>
      <c r="L4475" s="1" t="s">
        <v>42</v>
      </c>
      <c r="M4475" s="1" t="s">
        <v>18</v>
      </c>
      <c r="N4475" s="1" t="s">
        <v>18</v>
      </c>
      <c r="O4475" s="1">
        <v>3</v>
      </c>
      <c r="P4475" s="1">
        <v>6</v>
      </c>
      <c r="R4475" s="1" t="s">
        <v>19</v>
      </c>
      <c r="S4475" s="1" t="s">
        <v>63</v>
      </c>
      <c r="T4475" s="1" t="s">
        <v>21</v>
      </c>
      <c r="U4475" s="1" t="s">
        <v>22</v>
      </c>
      <c r="V4475" s="1" t="s">
        <v>23</v>
      </c>
      <c r="W4475" s="1" t="s">
        <v>24</v>
      </c>
      <c r="X4475" s="1">
        <v>2730</v>
      </c>
      <c r="Y4475" s="1">
        <v>2736</v>
      </c>
      <c r="Z4475" s="1" t="s">
        <v>24</v>
      </c>
      <c r="AA4475" s="1" t="s">
        <v>24</v>
      </c>
      <c r="AB4475" s="1" t="s">
        <v>24</v>
      </c>
      <c r="AC4475" s="1" t="s">
        <v>24</v>
      </c>
      <c r="AD4475" s="1" t="s">
        <v>24</v>
      </c>
      <c r="AE4475" s="1" t="s">
        <v>24</v>
      </c>
      <c r="AF4475" s="22" t="s">
        <v>17678</v>
      </c>
    </row>
    <row r="4476" spans="1:32" x14ac:dyDescent="0.2">
      <c r="A4476" s="1">
        <v>40510</v>
      </c>
      <c r="B4476" s="1" t="s">
        <v>13707</v>
      </c>
      <c r="C4476" s="5" t="s">
        <v>0</v>
      </c>
      <c r="D4476" s="1" t="s">
        <v>13708</v>
      </c>
      <c r="F4476" s="1" t="s">
        <v>13079</v>
      </c>
      <c r="G4476" s="1" t="s">
        <v>13079</v>
      </c>
      <c r="H4476" s="1" t="s">
        <v>30</v>
      </c>
      <c r="I4476" s="1" t="s">
        <v>16</v>
      </c>
      <c r="J4476" s="1">
        <v>1</v>
      </c>
      <c r="K4476" s="1">
        <v>4</v>
      </c>
      <c r="L4476" s="1" t="s">
        <v>42</v>
      </c>
      <c r="M4476" s="1" t="s">
        <v>18</v>
      </c>
      <c r="N4476" s="1" t="s">
        <v>18</v>
      </c>
      <c r="O4476" s="1">
        <v>3</v>
      </c>
      <c r="P4476" s="1">
        <v>6</v>
      </c>
      <c r="R4476" s="1" t="s">
        <v>19</v>
      </c>
      <c r="S4476" s="1" t="s">
        <v>20</v>
      </c>
      <c r="T4476" s="1" t="s">
        <v>21</v>
      </c>
      <c r="U4476" s="1" t="s">
        <v>22</v>
      </c>
      <c r="V4476" s="1" t="s">
        <v>24</v>
      </c>
      <c r="W4476" s="1" t="s">
        <v>24</v>
      </c>
      <c r="X4476" s="1">
        <v>2700</v>
      </c>
      <c r="Y4476" s="1">
        <v>1306</v>
      </c>
      <c r="Z4476" s="1">
        <v>1308</v>
      </c>
      <c r="AA4476" s="1">
        <v>1313</v>
      </c>
      <c r="AB4476" s="1" t="s">
        <v>24</v>
      </c>
      <c r="AC4476" s="1" t="s">
        <v>24</v>
      </c>
      <c r="AD4476" s="1" t="s">
        <v>24</v>
      </c>
      <c r="AE4476" s="1" t="s">
        <v>24</v>
      </c>
      <c r="AF4476" s="22" t="s">
        <v>17678</v>
      </c>
    </row>
    <row r="4477" spans="1:32" x14ac:dyDescent="0.2">
      <c r="A4477" s="1">
        <v>40511</v>
      </c>
      <c r="B4477" s="1" t="s">
        <v>13709</v>
      </c>
      <c r="C4477" s="5" t="s">
        <v>0</v>
      </c>
      <c r="E4477" s="1" t="s">
        <v>13710</v>
      </c>
      <c r="F4477" s="1" t="s">
        <v>13711</v>
      </c>
      <c r="G4477" s="1" t="s">
        <v>13711</v>
      </c>
      <c r="H4477" s="1" t="s">
        <v>731</v>
      </c>
      <c r="I4477" s="1" t="s">
        <v>16</v>
      </c>
      <c r="J4477" s="1">
        <v>1</v>
      </c>
      <c r="K4477" s="1">
        <v>2</v>
      </c>
      <c r="L4477" s="1" t="s">
        <v>42</v>
      </c>
      <c r="M4477" s="1" t="s">
        <v>18</v>
      </c>
      <c r="N4477" s="1" t="s">
        <v>18</v>
      </c>
      <c r="O4477" s="1">
        <v>3</v>
      </c>
      <c r="P4477" s="1">
        <v>6</v>
      </c>
      <c r="R4477" s="1" t="s">
        <v>19</v>
      </c>
      <c r="S4477" s="1" t="s">
        <v>20</v>
      </c>
      <c r="T4477" s="1" t="s">
        <v>21</v>
      </c>
      <c r="U4477" s="1" t="s">
        <v>22</v>
      </c>
      <c r="V4477" s="1" t="s">
        <v>24</v>
      </c>
      <c r="W4477" s="1" t="s">
        <v>24</v>
      </c>
      <c r="X4477" s="1">
        <v>2736</v>
      </c>
      <c r="Y4477" s="1">
        <v>2713</v>
      </c>
      <c r="Z4477" s="1">
        <v>3004</v>
      </c>
      <c r="AA4477" s="1" t="s">
        <v>24</v>
      </c>
      <c r="AB4477" s="1" t="s">
        <v>24</v>
      </c>
      <c r="AC4477" s="1" t="s">
        <v>24</v>
      </c>
      <c r="AD4477" s="1" t="s">
        <v>24</v>
      </c>
      <c r="AE4477" s="1" t="s">
        <v>24</v>
      </c>
      <c r="AF4477" s="22"/>
    </row>
    <row r="4478" spans="1:32" x14ac:dyDescent="0.2">
      <c r="A4478" s="1">
        <v>40512</v>
      </c>
      <c r="B4478" s="1" t="s">
        <v>13712</v>
      </c>
      <c r="C4478" s="5" t="s">
        <v>0</v>
      </c>
      <c r="D4478" s="1" t="s">
        <v>13713</v>
      </c>
      <c r="F4478" s="1" t="s">
        <v>13712</v>
      </c>
      <c r="G4478" s="1" t="s">
        <v>13712</v>
      </c>
      <c r="H4478" s="1" t="s">
        <v>2147</v>
      </c>
      <c r="I4478" s="1" t="s">
        <v>16</v>
      </c>
      <c r="J4478" s="1">
        <v>1</v>
      </c>
      <c r="K4478" s="1">
        <v>2</v>
      </c>
      <c r="L4478" s="1" t="s">
        <v>17</v>
      </c>
      <c r="M4478" s="1" t="s">
        <v>18</v>
      </c>
      <c r="N4478" s="1" t="s">
        <v>18</v>
      </c>
      <c r="O4478" s="1">
        <v>3</v>
      </c>
      <c r="P4478" s="1">
        <v>6</v>
      </c>
      <c r="R4478" s="1" t="s">
        <v>19</v>
      </c>
      <c r="S4478" s="1" t="s">
        <v>20</v>
      </c>
      <c r="T4478" s="1" t="s">
        <v>21</v>
      </c>
      <c r="U4478" s="1" t="s">
        <v>22</v>
      </c>
      <c r="V4478" s="1" t="s">
        <v>24</v>
      </c>
      <c r="W4478" s="1" t="s">
        <v>24</v>
      </c>
      <c r="X4478" s="1">
        <v>3003</v>
      </c>
      <c r="Y4478" s="1">
        <v>3004</v>
      </c>
      <c r="Z4478" s="1" t="s">
        <v>24</v>
      </c>
      <c r="AA4478" s="1" t="s">
        <v>24</v>
      </c>
      <c r="AB4478" s="1" t="s">
        <v>24</v>
      </c>
      <c r="AC4478" s="1" t="s">
        <v>24</v>
      </c>
      <c r="AD4478" s="1" t="s">
        <v>24</v>
      </c>
      <c r="AE4478" s="1" t="s">
        <v>24</v>
      </c>
      <c r="AF4478" s="22"/>
    </row>
    <row r="4479" spans="1:32" x14ac:dyDescent="0.2">
      <c r="A4479" s="1">
        <v>40513</v>
      </c>
      <c r="B4479" s="1" t="s">
        <v>13714</v>
      </c>
      <c r="C4479" s="5" t="s">
        <v>0</v>
      </c>
      <c r="D4479" s="1" t="s">
        <v>13715</v>
      </c>
      <c r="E4479" s="1" t="s">
        <v>13716</v>
      </c>
      <c r="F4479" s="1" t="s">
        <v>8442</v>
      </c>
      <c r="G4479" s="1" t="s">
        <v>8443</v>
      </c>
      <c r="H4479" s="1" t="s">
        <v>37</v>
      </c>
      <c r="I4479" s="1" t="s">
        <v>16</v>
      </c>
      <c r="J4479" s="1">
        <v>1</v>
      </c>
      <c r="K4479" s="1">
        <v>6</v>
      </c>
      <c r="L4479" s="1" t="s">
        <v>31</v>
      </c>
      <c r="M4479" s="1" t="s">
        <v>18</v>
      </c>
      <c r="N4479" s="1" t="s">
        <v>18</v>
      </c>
      <c r="O4479" s="1">
        <v>3</v>
      </c>
      <c r="P4479" s="1">
        <v>7</v>
      </c>
      <c r="Q4479" s="7" t="s">
        <v>17633</v>
      </c>
      <c r="R4479" s="1" t="s">
        <v>19</v>
      </c>
      <c r="S4479" s="1" t="s">
        <v>20</v>
      </c>
      <c r="T4479" s="1" t="s">
        <v>21</v>
      </c>
      <c r="U4479" s="1" t="s">
        <v>22</v>
      </c>
      <c r="V4479" s="1" t="s">
        <v>24</v>
      </c>
      <c r="W4479" s="1" t="s">
        <v>24</v>
      </c>
      <c r="X4479" s="1">
        <v>2723</v>
      </c>
      <c r="Y4479" s="1">
        <v>2730</v>
      </c>
      <c r="Z4479" s="1">
        <v>2403</v>
      </c>
      <c r="AA4479" s="1" t="s">
        <v>24</v>
      </c>
      <c r="AB4479" s="1" t="s">
        <v>24</v>
      </c>
      <c r="AC4479" s="1" t="s">
        <v>24</v>
      </c>
      <c r="AD4479" s="1" t="s">
        <v>24</v>
      </c>
      <c r="AE4479" s="1" t="s">
        <v>24</v>
      </c>
      <c r="AF4479" s="22"/>
    </row>
    <row r="4480" spans="1:32" x14ac:dyDescent="0.2">
      <c r="A4480" s="1">
        <v>40514</v>
      </c>
      <c r="B4480" s="1" t="s">
        <v>13717</v>
      </c>
      <c r="C4480" s="5" t="s">
        <v>0</v>
      </c>
      <c r="E4480" s="1" t="s">
        <v>13718</v>
      </c>
      <c r="F4480" s="1" t="s">
        <v>1412</v>
      </c>
      <c r="G4480" s="1" t="s">
        <v>1413</v>
      </c>
      <c r="H4480" s="1" t="s">
        <v>30</v>
      </c>
      <c r="I4480" s="1" t="s">
        <v>16</v>
      </c>
      <c r="J4480" s="1">
        <v>1</v>
      </c>
      <c r="K4480" s="1">
        <v>1</v>
      </c>
      <c r="L4480" s="1" t="s">
        <v>31</v>
      </c>
      <c r="M4480" s="1" t="s">
        <v>18</v>
      </c>
      <c r="N4480" s="1" t="s">
        <v>18</v>
      </c>
      <c r="O4480" s="1">
        <v>3</v>
      </c>
      <c r="P4480" s="1">
        <v>7</v>
      </c>
      <c r="Q4480" s="7" t="s">
        <v>17633</v>
      </c>
      <c r="R4480" s="1" t="s">
        <v>19</v>
      </c>
      <c r="S4480" s="1" t="s">
        <v>63</v>
      </c>
      <c r="T4480" s="1" t="s">
        <v>21</v>
      </c>
      <c r="U4480" s="1" t="s">
        <v>22</v>
      </c>
      <c r="V4480" s="1" t="s">
        <v>24</v>
      </c>
      <c r="W4480" s="1" t="s">
        <v>24</v>
      </c>
      <c r="X4480" s="1">
        <v>1303</v>
      </c>
      <c r="Y4480" s="1">
        <v>1311</v>
      </c>
      <c r="Z4480" s="1">
        <v>1312</v>
      </c>
      <c r="AA4480" s="1">
        <v>2716</v>
      </c>
      <c r="AB4480" s="1" t="s">
        <v>24</v>
      </c>
      <c r="AC4480" s="1" t="s">
        <v>24</v>
      </c>
      <c r="AD4480" s="1" t="s">
        <v>24</v>
      </c>
      <c r="AE4480" s="1" t="s">
        <v>24</v>
      </c>
      <c r="AF4480" s="22"/>
    </row>
    <row r="4481" spans="1:32" x14ac:dyDescent="0.2">
      <c r="A4481" s="1">
        <v>40515</v>
      </c>
      <c r="B4481" s="1" t="s">
        <v>13719</v>
      </c>
      <c r="C4481" s="5" t="s">
        <v>0</v>
      </c>
      <c r="D4481" s="1" t="s">
        <v>13720</v>
      </c>
      <c r="F4481" s="1" t="s">
        <v>4889</v>
      </c>
      <c r="G4481" s="1" t="s">
        <v>61</v>
      </c>
      <c r="H4481" s="1" t="s">
        <v>3730</v>
      </c>
      <c r="I4481" s="1" t="s">
        <v>16</v>
      </c>
      <c r="J4481" s="1">
        <v>1</v>
      </c>
      <c r="K4481" s="1">
        <v>3</v>
      </c>
      <c r="L4481" s="1" t="s">
        <v>31</v>
      </c>
      <c r="M4481" s="1" t="s">
        <v>18</v>
      </c>
      <c r="N4481" s="1" t="s">
        <v>18</v>
      </c>
      <c r="O4481" s="1">
        <v>3</v>
      </c>
      <c r="P4481" s="1">
        <v>6</v>
      </c>
      <c r="R4481" s="1" t="s">
        <v>19</v>
      </c>
      <c r="S4481" s="1" t="s">
        <v>20</v>
      </c>
      <c r="T4481" s="1" t="s">
        <v>21</v>
      </c>
      <c r="U4481" s="1" t="s">
        <v>22</v>
      </c>
      <c r="V4481" s="1" t="s">
        <v>24</v>
      </c>
      <c r="W4481" s="1" t="s">
        <v>24</v>
      </c>
      <c r="X4481" s="1">
        <v>2720</v>
      </c>
      <c r="Y4481" s="1">
        <v>2730</v>
      </c>
      <c r="Z4481" s="1" t="s">
        <v>24</v>
      </c>
      <c r="AA4481" s="1" t="s">
        <v>24</v>
      </c>
      <c r="AB4481" s="1" t="s">
        <v>24</v>
      </c>
      <c r="AC4481" s="1" t="s">
        <v>24</v>
      </c>
      <c r="AD4481" s="1" t="s">
        <v>24</v>
      </c>
      <c r="AE4481" s="1" t="s">
        <v>24</v>
      </c>
      <c r="AF4481" s="22"/>
    </row>
    <row r="4482" spans="1:32" x14ac:dyDescent="0.2">
      <c r="A4482" s="1">
        <v>40516</v>
      </c>
      <c r="B4482" s="1" t="s">
        <v>13721</v>
      </c>
      <c r="C4482" s="5" t="s">
        <v>0</v>
      </c>
      <c r="D4482" s="1" t="s">
        <v>13722</v>
      </c>
      <c r="E4482" s="1" t="s">
        <v>13723</v>
      </c>
      <c r="F4482" s="1" t="s">
        <v>28</v>
      </c>
      <c r="G4482" s="1" t="s">
        <v>29</v>
      </c>
      <c r="H4482" s="1" t="s">
        <v>30</v>
      </c>
      <c r="I4482" s="1" t="s">
        <v>16</v>
      </c>
      <c r="J4482" s="1">
        <v>1</v>
      </c>
      <c r="K4482" s="1">
        <v>6</v>
      </c>
      <c r="L4482" s="1" t="s">
        <v>31</v>
      </c>
      <c r="M4482" s="1" t="s">
        <v>18</v>
      </c>
      <c r="N4482" s="1" t="s">
        <v>18</v>
      </c>
      <c r="O4482" s="1">
        <v>3</v>
      </c>
      <c r="P4482" s="1">
        <v>7</v>
      </c>
      <c r="Q4482" s="7" t="s">
        <v>17633</v>
      </c>
      <c r="R4482" s="1" t="s">
        <v>19</v>
      </c>
      <c r="S4482" s="1" t="s">
        <v>20</v>
      </c>
      <c r="T4482" s="1" t="s">
        <v>21</v>
      </c>
      <c r="U4482" s="1" t="s">
        <v>22</v>
      </c>
      <c r="V4482" s="1" t="s">
        <v>23</v>
      </c>
      <c r="W4482" s="1" t="s">
        <v>24</v>
      </c>
      <c r="X4482" s="1">
        <v>2705</v>
      </c>
      <c r="Y4482" s="1">
        <v>2716</v>
      </c>
      <c r="Z4482" s="1">
        <v>1311</v>
      </c>
      <c r="AA4482" s="1" t="s">
        <v>24</v>
      </c>
      <c r="AB4482" s="1" t="s">
        <v>24</v>
      </c>
      <c r="AC4482" s="1" t="s">
        <v>24</v>
      </c>
      <c r="AD4482" s="1" t="s">
        <v>24</v>
      </c>
      <c r="AE4482" s="1" t="s">
        <v>24</v>
      </c>
      <c r="AF4482" s="22"/>
    </row>
    <row r="4483" spans="1:32" x14ac:dyDescent="0.2">
      <c r="A4483" s="1">
        <v>40517</v>
      </c>
      <c r="B4483" s="1" t="s">
        <v>13724</v>
      </c>
      <c r="C4483" s="5" t="s">
        <v>0</v>
      </c>
      <c r="D4483" s="1" t="s">
        <v>13725</v>
      </c>
      <c r="E4483" s="1" t="s">
        <v>13726</v>
      </c>
      <c r="F4483" s="1" t="s">
        <v>28</v>
      </c>
      <c r="G4483" s="1" t="s">
        <v>29</v>
      </c>
      <c r="H4483" s="1" t="s">
        <v>30</v>
      </c>
      <c r="I4483" s="1" t="s">
        <v>16</v>
      </c>
      <c r="J4483" s="1">
        <v>1</v>
      </c>
      <c r="K4483" s="1">
        <v>6</v>
      </c>
      <c r="L4483" s="1" t="s">
        <v>31</v>
      </c>
      <c r="M4483" s="1" t="s">
        <v>18</v>
      </c>
      <c r="N4483" s="1" t="s">
        <v>18</v>
      </c>
      <c r="O4483" s="1">
        <v>3</v>
      </c>
      <c r="P4483" s="1">
        <v>7</v>
      </c>
      <c r="Q4483" s="7" t="s">
        <v>17633</v>
      </c>
      <c r="R4483" s="1" t="s">
        <v>19</v>
      </c>
      <c r="S4483" s="1" t="s">
        <v>20</v>
      </c>
      <c r="T4483" s="1" t="s">
        <v>21</v>
      </c>
      <c r="U4483" s="1" t="s">
        <v>22</v>
      </c>
      <c r="V4483" s="1" t="s">
        <v>23</v>
      </c>
      <c r="W4483" s="1" t="s">
        <v>24</v>
      </c>
      <c r="X4483" s="1">
        <v>2705</v>
      </c>
      <c r="Y4483" s="1" t="s">
        <v>24</v>
      </c>
      <c r="Z4483" s="1" t="s">
        <v>24</v>
      </c>
      <c r="AA4483" s="1" t="s">
        <v>24</v>
      </c>
      <c r="AB4483" s="1" t="s">
        <v>24</v>
      </c>
      <c r="AC4483" s="1" t="s">
        <v>24</v>
      </c>
      <c r="AD4483" s="1" t="s">
        <v>24</v>
      </c>
      <c r="AE4483" s="1" t="s">
        <v>24</v>
      </c>
      <c r="AF4483" s="22"/>
    </row>
    <row r="4484" spans="1:32" x14ac:dyDescent="0.2">
      <c r="A4484" s="1">
        <v>40518</v>
      </c>
      <c r="B4484" s="1" t="s">
        <v>13727</v>
      </c>
      <c r="C4484" s="5" t="s">
        <v>0</v>
      </c>
      <c r="D4484" s="1" t="s">
        <v>13728</v>
      </c>
      <c r="F4484" s="1" t="s">
        <v>13729</v>
      </c>
      <c r="G4484" s="1" t="s">
        <v>13729</v>
      </c>
      <c r="H4484" s="1" t="s">
        <v>15</v>
      </c>
      <c r="I4484" s="1" t="s">
        <v>16</v>
      </c>
      <c r="J4484" s="1">
        <v>1</v>
      </c>
      <c r="K4484" s="1">
        <v>2</v>
      </c>
      <c r="L4484" s="1" t="s">
        <v>42</v>
      </c>
      <c r="M4484" s="1" t="s">
        <v>18</v>
      </c>
      <c r="N4484" s="1" t="s">
        <v>18</v>
      </c>
      <c r="O4484" s="1">
        <v>2</v>
      </c>
      <c r="P4484" s="1">
        <v>6</v>
      </c>
      <c r="R4484" s="1" t="s">
        <v>19</v>
      </c>
      <c r="S4484" s="1" t="s">
        <v>20</v>
      </c>
      <c r="T4484" s="1" t="s">
        <v>21</v>
      </c>
      <c r="U4484" s="1" t="s">
        <v>22</v>
      </c>
      <c r="V4484" s="1" t="s">
        <v>24</v>
      </c>
      <c r="W4484" s="1" t="s">
        <v>24</v>
      </c>
      <c r="X4484" s="1">
        <v>2730</v>
      </c>
      <c r="Y4484" s="1">
        <v>3004</v>
      </c>
      <c r="Z4484" s="1" t="s">
        <v>24</v>
      </c>
      <c r="AA4484" s="1" t="s">
        <v>24</v>
      </c>
      <c r="AB4484" s="1" t="s">
        <v>24</v>
      </c>
      <c r="AC4484" s="1" t="s">
        <v>24</v>
      </c>
      <c r="AD4484" s="1" t="s">
        <v>24</v>
      </c>
      <c r="AE4484" s="1" t="s">
        <v>24</v>
      </c>
      <c r="AF4484" s="22"/>
    </row>
    <row r="4485" spans="1:32" x14ac:dyDescent="0.2">
      <c r="A4485" s="1">
        <v>40519</v>
      </c>
      <c r="B4485" s="1" t="s">
        <v>13730</v>
      </c>
      <c r="C4485" s="5" t="s">
        <v>0</v>
      </c>
      <c r="E4485" s="1" t="s">
        <v>13731</v>
      </c>
      <c r="F4485" s="1" t="s">
        <v>13732</v>
      </c>
      <c r="G4485" s="1" t="s">
        <v>13732</v>
      </c>
      <c r="H4485" s="1" t="s">
        <v>731</v>
      </c>
      <c r="I4485" s="1" t="s">
        <v>16</v>
      </c>
      <c r="J4485" s="1">
        <v>0</v>
      </c>
      <c r="K4485" s="1">
        <v>0</v>
      </c>
      <c r="L4485" s="1" t="s">
        <v>42</v>
      </c>
      <c r="M4485" s="1" t="s">
        <v>18</v>
      </c>
      <c r="N4485" s="1" t="s">
        <v>18</v>
      </c>
      <c r="O4485" s="1">
        <v>2</v>
      </c>
      <c r="P4485" s="1">
        <v>5</v>
      </c>
      <c r="R4485" s="1" t="s">
        <v>19</v>
      </c>
      <c r="S4485" s="1" t="s">
        <v>20</v>
      </c>
      <c r="T4485" s="1" t="s">
        <v>21</v>
      </c>
      <c r="U4485" s="1" t="s">
        <v>22</v>
      </c>
      <c r="V4485" s="1" t="s">
        <v>24</v>
      </c>
      <c r="W4485" s="1" t="s">
        <v>24</v>
      </c>
      <c r="X4485" s="1">
        <v>3003</v>
      </c>
      <c r="Y4485" s="1">
        <v>1602</v>
      </c>
      <c r="Z4485" s="1">
        <v>3002</v>
      </c>
      <c r="AA4485" s="1">
        <v>3004</v>
      </c>
      <c r="AB4485" s="1" t="s">
        <v>24</v>
      </c>
      <c r="AC4485" s="1" t="s">
        <v>24</v>
      </c>
      <c r="AD4485" s="1" t="s">
        <v>24</v>
      </c>
      <c r="AE4485" s="1" t="s">
        <v>24</v>
      </c>
      <c r="AF4485" s="22"/>
    </row>
    <row r="4486" spans="1:32" x14ac:dyDescent="0.2">
      <c r="A4486" s="1">
        <v>40520</v>
      </c>
      <c r="B4486" s="1" t="s">
        <v>13733</v>
      </c>
      <c r="C4486" s="5" t="s">
        <v>0</v>
      </c>
      <c r="D4486" s="1" t="s">
        <v>13734</v>
      </c>
      <c r="F4486" s="1" t="s">
        <v>13735</v>
      </c>
      <c r="G4486" s="1" t="s">
        <v>13735</v>
      </c>
      <c r="H4486" s="1" t="s">
        <v>899</v>
      </c>
      <c r="I4486" s="1" t="s">
        <v>16</v>
      </c>
      <c r="J4486" s="1">
        <v>1</v>
      </c>
      <c r="K4486" s="1">
        <v>4</v>
      </c>
      <c r="L4486" s="1" t="s">
        <v>42</v>
      </c>
      <c r="M4486" s="1" t="s">
        <v>18</v>
      </c>
      <c r="N4486" s="1" t="s">
        <v>18</v>
      </c>
      <c r="O4486" s="1">
        <v>3</v>
      </c>
      <c r="P4486" s="1">
        <v>6</v>
      </c>
      <c r="R4486" s="1" t="s">
        <v>19</v>
      </c>
      <c r="S4486" s="1" t="s">
        <v>20</v>
      </c>
      <c r="T4486" s="1" t="s">
        <v>21</v>
      </c>
      <c r="U4486" s="1" t="s">
        <v>22</v>
      </c>
      <c r="V4486" s="1" t="s">
        <v>24</v>
      </c>
      <c r="W4486" s="1" t="s">
        <v>24</v>
      </c>
      <c r="X4486" s="1">
        <v>3003</v>
      </c>
      <c r="Y4486" s="1">
        <v>3004</v>
      </c>
      <c r="Z4486" s="1" t="s">
        <v>24</v>
      </c>
      <c r="AA4486" s="1" t="s">
        <v>24</v>
      </c>
      <c r="AB4486" s="1" t="s">
        <v>24</v>
      </c>
      <c r="AC4486" s="1" t="s">
        <v>24</v>
      </c>
      <c r="AD4486" s="1" t="s">
        <v>24</v>
      </c>
      <c r="AE4486" s="1" t="s">
        <v>24</v>
      </c>
      <c r="AF4486" s="22"/>
    </row>
    <row r="4487" spans="1:32" x14ac:dyDescent="0.2">
      <c r="A4487" s="1">
        <v>40521</v>
      </c>
      <c r="B4487" s="1" t="s">
        <v>13736</v>
      </c>
      <c r="C4487" s="5" t="s">
        <v>0</v>
      </c>
      <c r="D4487" s="1" t="s">
        <v>13737</v>
      </c>
      <c r="F4487" s="1" t="s">
        <v>13738</v>
      </c>
      <c r="G4487" s="1" t="s">
        <v>13738</v>
      </c>
      <c r="H4487" s="1" t="s">
        <v>13739</v>
      </c>
      <c r="I4487" s="1" t="s">
        <v>16</v>
      </c>
      <c r="J4487" s="1">
        <v>1</v>
      </c>
      <c r="K4487" s="1">
        <v>4</v>
      </c>
      <c r="L4487" s="1" t="s">
        <v>42</v>
      </c>
      <c r="M4487" s="1" t="s">
        <v>18</v>
      </c>
      <c r="N4487" s="1" t="s">
        <v>18</v>
      </c>
      <c r="O4487" s="1">
        <v>3</v>
      </c>
      <c r="P4487" s="1">
        <v>6</v>
      </c>
      <c r="R4487" s="1" t="s">
        <v>19</v>
      </c>
      <c r="S4487" s="1" t="s">
        <v>20</v>
      </c>
      <c r="T4487" s="1" t="s">
        <v>21</v>
      </c>
      <c r="U4487" s="1" t="s">
        <v>22</v>
      </c>
      <c r="V4487" s="1" t="s">
        <v>24</v>
      </c>
      <c r="W4487" s="1" t="s">
        <v>24</v>
      </c>
      <c r="X4487" s="1">
        <v>2700</v>
      </c>
      <c r="Y4487" s="1" t="s">
        <v>24</v>
      </c>
      <c r="Z4487" s="1" t="s">
        <v>24</v>
      </c>
      <c r="AA4487" s="1" t="s">
        <v>24</v>
      </c>
      <c r="AB4487" s="1" t="s">
        <v>24</v>
      </c>
      <c r="AC4487" s="1" t="s">
        <v>24</v>
      </c>
      <c r="AD4487" s="1" t="s">
        <v>24</v>
      </c>
      <c r="AE4487" s="1" t="s">
        <v>24</v>
      </c>
      <c r="AF4487" s="22"/>
    </row>
    <row r="4488" spans="1:32" x14ac:dyDescent="0.2">
      <c r="A4488" s="1">
        <v>40564</v>
      </c>
      <c r="B4488" s="1" t="s">
        <v>13740</v>
      </c>
      <c r="C4488" s="5" t="s">
        <v>0</v>
      </c>
      <c r="D4488" s="1" t="s">
        <v>13741</v>
      </c>
      <c r="E4488" s="1" t="s">
        <v>13742</v>
      </c>
      <c r="F4488" s="1" t="s">
        <v>155</v>
      </c>
      <c r="G4488" s="1" t="s">
        <v>61</v>
      </c>
      <c r="H4488" s="1" t="s">
        <v>37</v>
      </c>
      <c r="I4488" s="1" t="s">
        <v>16</v>
      </c>
      <c r="J4488" s="1">
        <v>1</v>
      </c>
      <c r="K4488" s="1">
        <v>4</v>
      </c>
      <c r="L4488" s="1" t="s">
        <v>31</v>
      </c>
      <c r="M4488" s="1" t="s">
        <v>18</v>
      </c>
      <c r="N4488" s="1" t="s">
        <v>18</v>
      </c>
      <c r="O4488" s="1">
        <v>3</v>
      </c>
      <c r="P4488" s="1">
        <v>7</v>
      </c>
      <c r="Q4488" s="7" t="s">
        <v>17633</v>
      </c>
      <c r="R4488" s="1" t="s">
        <v>19</v>
      </c>
      <c r="S4488" s="1" t="s">
        <v>20</v>
      </c>
      <c r="T4488" s="1" t="s">
        <v>21</v>
      </c>
      <c r="U4488" s="1" t="s">
        <v>22</v>
      </c>
      <c r="V4488" s="1" t="s">
        <v>24</v>
      </c>
      <c r="W4488" s="1" t="s">
        <v>24</v>
      </c>
      <c r="X4488" s="1">
        <v>2715</v>
      </c>
      <c r="Y4488" s="1" t="s">
        <v>24</v>
      </c>
      <c r="Z4488" s="1" t="s">
        <v>24</v>
      </c>
      <c r="AA4488" s="1" t="s">
        <v>24</v>
      </c>
      <c r="AB4488" s="1" t="s">
        <v>24</v>
      </c>
      <c r="AC4488" s="1" t="s">
        <v>24</v>
      </c>
      <c r="AD4488" s="1" t="s">
        <v>24</v>
      </c>
      <c r="AE4488" s="1" t="s">
        <v>24</v>
      </c>
      <c r="AF4488" s="22"/>
    </row>
    <row r="4489" spans="1:32" x14ac:dyDescent="0.2">
      <c r="A4489" s="1">
        <v>40565</v>
      </c>
      <c r="B4489" s="1" t="s">
        <v>13743</v>
      </c>
      <c r="C4489" s="5" t="s">
        <v>0</v>
      </c>
      <c r="D4489" s="1" t="s">
        <v>13744</v>
      </c>
      <c r="E4489" s="1" t="s">
        <v>13745</v>
      </c>
      <c r="F4489" s="1" t="s">
        <v>155</v>
      </c>
      <c r="G4489" s="1" t="s">
        <v>61</v>
      </c>
      <c r="H4489" s="1" t="s">
        <v>37</v>
      </c>
      <c r="I4489" s="1" t="s">
        <v>16</v>
      </c>
      <c r="J4489" s="1">
        <v>1</v>
      </c>
      <c r="K4489" s="1">
        <v>3</v>
      </c>
      <c r="L4489" s="1" t="s">
        <v>31</v>
      </c>
      <c r="M4489" s="1" t="s">
        <v>18</v>
      </c>
      <c r="N4489" s="1" t="s">
        <v>18</v>
      </c>
      <c r="O4489" s="1">
        <v>3</v>
      </c>
      <c r="P4489" s="1">
        <v>7</v>
      </c>
      <c r="Q4489" s="7" t="s">
        <v>17633</v>
      </c>
      <c r="R4489" s="1" t="s">
        <v>19</v>
      </c>
      <c r="S4489" s="1" t="s">
        <v>20</v>
      </c>
      <c r="T4489" s="1" t="s">
        <v>21</v>
      </c>
      <c r="U4489" s="1" t="s">
        <v>22</v>
      </c>
      <c r="V4489" s="1" t="s">
        <v>23</v>
      </c>
      <c r="W4489" s="1" t="s">
        <v>24</v>
      </c>
      <c r="X4489" s="1">
        <v>2712</v>
      </c>
      <c r="Y4489" s="1">
        <v>2724</v>
      </c>
      <c r="Z4489" s="1" t="s">
        <v>24</v>
      </c>
      <c r="AA4489" s="1" t="s">
        <v>24</v>
      </c>
      <c r="AB4489" s="1" t="s">
        <v>24</v>
      </c>
      <c r="AC4489" s="1" t="s">
        <v>24</v>
      </c>
      <c r="AD4489" s="1" t="s">
        <v>24</v>
      </c>
      <c r="AE4489" s="1" t="s">
        <v>24</v>
      </c>
      <c r="AF4489" s="22"/>
    </row>
    <row r="4490" spans="1:32" x14ac:dyDescent="0.2">
      <c r="A4490" s="1">
        <v>40591</v>
      </c>
      <c r="B4490" s="1" t="s">
        <v>13746</v>
      </c>
      <c r="C4490" s="5" t="s">
        <v>0</v>
      </c>
      <c r="D4490" s="1" t="s">
        <v>13747</v>
      </c>
      <c r="F4490" s="1" t="s">
        <v>13748</v>
      </c>
      <c r="G4490" s="1" t="s">
        <v>13748</v>
      </c>
      <c r="H4490" s="1" t="s">
        <v>461</v>
      </c>
      <c r="I4490" s="1" t="s">
        <v>16</v>
      </c>
      <c r="J4490" s="1">
        <v>1</v>
      </c>
      <c r="K4490" s="1">
        <v>12</v>
      </c>
      <c r="L4490" s="1" t="s">
        <v>17</v>
      </c>
      <c r="M4490" s="1" t="s">
        <v>1735</v>
      </c>
      <c r="N4490" s="1" t="s">
        <v>18</v>
      </c>
      <c r="O4490" s="1">
        <v>2</v>
      </c>
      <c r="P4490" s="1">
        <v>5</v>
      </c>
      <c r="R4490" s="1" t="s">
        <v>19</v>
      </c>
      <c r="S4490" s="1" t="s">
        <v>20</v>
      </c>
      <c r="T4490" s="1" t="s">
        <v>21</v>
      </c>
      <c r="U4490" s="1" t="s">
        <v>22</v>
      </c>
      <c r="V4490" s="1" t="s">
        <v>24</v>
      </c>
      <c r="W4490" s="1" t="s">
        <v>24</v>
      </c>
      <c r="X4490" s="1">
        <v>2715</v>
      </c>
      <c r="Y4490" s="1" t="s">
        <v>24</v>
      </c>
      <c r="Z4490" s="1" t="s">
        <v>24</v>
      </c>
      <c r="AA4490" s="1" t="s">
        <v>24</v>
      </c>
      <c r="AB4490" s="1" t="s">
        <v>24</v>
      </c>
      <c r="AC4490" s="1" t="s">
        <v>24</v>
      </c>
      <c r="AD4490" s="1" t="s">
        <v>24</v>
      </c>
      <c r="AE4490" s="1" t="s">
        <v>24</v>
      </c>
      <c r="AF4490" s="22"/>
    </row>
    <row r="4491" spans="1:32" x14ac:dyDescent="0.2">
      <c r="A4491" s="1">
        <v>40595</v>
      </c>
      <c r="B4491" s="1" t="s">
        <v>13749</v>
      </c>
      <c r="C4491" s="5" t="s">
        <v>0</v>
      </c>
      <c r="D4491" s="1" t="s">
        <v>13750</v>
      </c>
      <c r="E4491" s="1" t="s">
        <v>13751</v>
      </c>
      <c r="F4491" s="1" t="s">
        <v>8040</v>
      </c>
      <c r="G4491" s="1" t="s">
        <v>8041</v>
      </c>
      <c r="H4491" s="1" t="s">
        <v>111</v>
      </c>
      <c r="I4491" s="1" t="s">
        <v>16</v>
      </c>
      <c r="J4491" s="1">
        <v>1</v>
      </c>
      <c r="K4491" s="1">
        <v>4</v>
      </c>
      <c r="L4491" s="1" t="s">
        <v>31</v>
      </c>
      <c r="M4491" s="1" t="s">
        <v>18</v>
      </c>
      <c r="N4491" s="1" t="s">
        <v>18</v>
      </c>
      <c r="O4491" s="1">
        <v>2</v>
      </c>
      <c r="P4491" s="1">
        <v>6</v>
      </c>
      <c r="R4491" s="1" t="s">
        <v>19</v>
      </c>
      <c r="S4491" s="1" t="s">
        <v>20</v>
      </c>
      <c r="T4491" s="1" t="s">
        <v>21</v>
      </c>
      <c r="U4491" s="1" t="s">
        <v>22</v>
      </c>
      <c r="V4491" s="1" t="s">
        <v>24</v>
      </c>
      <c r="W4491" s="1" t="s">
        <v>24</v>
      </c>
      <c r="X4491" s="1">
        <v>2502</v>
      </c>
      <c r="Y4491" s="1">
        <v>1606</v>
      </c>
      <c r="Z4491" s="1">
        <v>2204</v>
      </c>
      <c r="AA4491" s="1">
        <v>3107</v>
      </c>
      <c r="AB4491" s="1" t="s">
        <v>24</v>
      </c>
      <c r="AC4491" s="1" t="s">
        <v>24</v>
      </c>
      <c r="AD4491" s="1" t="s">
        <v>24</v>
      </c>
      <c r="AE4491" s="1" t="s">
        <v>24</v>
      </c>
      <c r="AF4491" s="22"/>
    </row>
    <row r="4492" spans="1:32" x14ac:dyDescent="0.2">
      <c r="A4492" s="1">
        <v>40608</v>
      </c>
      <c r="B4492" s="1" t="s">
        <v>13752</v>
      </c>
      <c r="C4492" s="5" t="s">
        <v>0</v>
      </c>
      <c r="D4492" s="1" t="s">
        <v>13753</v>
      </c>
      <c r="E4492" s="1" t="s">
        <v>13754</v>
      </c>
      <c r="F4492" s="1" t="s">
        <v>13755</v>
      </c>
      <c r="G4492" s="1" t="s">
        <v>13756</v>
      </c>
      <c r="H4492" s="1" t="s">
        <v>30</v>
      </c>
      <c r="I4492" s="1" t="s">
        <v>16</v>
      </c>
      <c r="J4492" s="1">
        <v>1</v>
      </c>
      <c r="K4492" s="1">
        <v>12</v>
      </c>
      <c r="L4492" s="1" t="s">
        <v>42</v>
      </c>
      <c r="M4492" s="1" t="s">
        <v>18</v>
      </c>
      <c r="N4492" s="1" t="s">
        <v>18</v>
      </c>
      <c r="O4492" s="1">
        <v>3</v>
      </c>
      <c r="P4492" s="1">
        <v>6</v>
      </c>
      <c r="R4492" s="1" t="s">
        <v>19</v>
      </c>
      <c r="S4492" s="1" t="s">
        <v>20</v>
      </c>
      <c r="T4492" s="1" t="s">
        <v>21</v>
      </c>
      <c r="U4492" s="1" t="s">
        <v>22</v>
      </c>
      <c r="V4492" s="1" t="s">
        <v>24</v>
      </c>
      <c r="W4492" s="1" t="s">
        <v>24</v>
      </c>
      <c r="X4492" s="1">
        <v>3002</v>
      </c>
      <c r="Y4492" s="1">
        <v>3004</v>
      </c>
      <c r="Z4492" s="1">
        <v>2707</v>
      </c>
      <c r="AA4492" s="1">
        <v>1110</v>
      </c>
      <c r="AB4492" s="1" t="s">
        <v>24</v>
      </c>
      <c r="AC4492" s="1" t="s">
        <v>24</v>
      </c>
      <c r="AD4492" s="1" t="s">
        <v>24</v>
      </c>
      <c r="AE4492" s="1" t="s">
        <v>24</v>
      </c>
      <c r="AF4492" s="22"/>
    </row>
    <row r="4493" spans="1:32" x14ac:dyDescent="0.2">
      <c r="A4493" s="1">
        <v>40609</v>
      </c>
      <c r="B4493" s="1" t="s">
        <v>13757</v>
      </c>
      <c r="C4493" s="5" t="s">
        <v>0</v>
      </c>
      <c r="E4493" s="1" t="s">
        <v>13758</v>
      </c>
      <c r="F4493" s="1" t="s">
        <v>13759</v>
      </c>
      <c r="G4493" s="1" t="s">
        <v>13759</v>
      </c>
      <c r="H4493" s="1" t="s">
        <v>3585</v>
      </c>
      <c r="I4493" s="1" t="s">
        <v>16</v>
      </c>
      <c r="J4493" s="1">
        <v>1</v>
      </c>
      <c r="K4493" s="1">
        <v>6</v>
      </c>
      <c r="L4493" s="1" t="s">
        <v>42</v>
      </c>
      <c r="M4493" s="1" t="s">
        <v>118</v>
      </c>
      <c r="N4493" s="1" t="s">
        <v>118</v>
      </c>
      <c r="O4493" s="1">
        <v>3</v>
      </c>
      <c r="P4493" s="1">
        <v>6</v>
      </c>
      <c r="R4493" s="1" t="s">
        <v>19</v>
      </c>
      <c r="S4493" s="1" t="s">
        <v>20</v>
      </c>
      <c r="T4493" s="1" t="s">
        <v>21</v>
      </c>
      <c r="U4493" s="1" t="s">
        <v>22</v>
      </c>
      <c r="V4493" s="1" t="s">
        <v>24</v>
      </c>
      <c r="W4493" s="1" t="s">
        <v>24</v>
      </c>
      <c r="X4493" s="1">
        <v>3002</v>
      </c>
      <c r="Y4493" s="1">
        <v>3004</v>
      </c>
      <c r="Z4493" s="1">
        <v>1110</v>
      </c>
      <c r="AA4493" s="1">
        <v>2707</v>
      </c>
      <c r="AB4493" s="1" t="s">
        <v>24</v>
      </c>
      <c r="AC4493" s="1" t="s">
        <v>24</v>
      </c>
      <c r="AD4493" s="1" t="s">
        <v>24</v>
      </c>
      <c r="AE4493" s="1" t="s">
        <v>24</v>
      </c>
      <c r="AF4493" s="22"/>
    </row>
    <row r="4494" spans="1:32" x14ac:dyDescent="0.2">
      <c r="A4494" s="1">
        <v>40610</v>
      </c>
      <c r="B4494" s="1" t="s">
        <v>13760</v>
      </c>
      <c r="C4494" s="5" t="s">
        <v>0</v>
      </c>
      <c r="D4494" s="1" t="s">
        <v>13761</v>
      </c>
      <c r="F4494" s="1" t="s">
        <v>13762</v>
      </c>
      <c r="G4494" s="1" t="s">
        <v>316</v>
      </c>
      <c r="H4494" s="1" t="s">
        <v>1007</v>
      </c>
      <c r="I4494" s="1" t="s">
        <v>16</v>
      </c>
      <c r="J4494" s="1">
        <v>1</v>
      </c>
      <c r="K4494" s="1">
        <v>6</v>
      </c>
      <c r="L4494" s="1" t="s">
        <v>31</v>
      </c>
      <c r="M4494" s="1" t="s">
        <v>18</v>
      </c>
      <c r="N4494" s="1" t="s">
        <v>18</v>
      </c>
      <c r="O4494" s="1">
        <v>3</v>
      </c>
      <c r="P4494" s="1">
        <v>6</v>
      </c>
      <c r="R4494" s="1" t="s">
        <v>19</v>
      </c>
      <c r="S4494" s="1" t="s">
        <v>20</v>
      </c>
      <c r="T4494" s="1" t="s">
        <v>21</v>
      </c>
      <c r="U4494" s="1" t="s">
        <v>22</v>
      </c>
      <c r="V4494" s="1" t="s">
        <v>24</v>
      </c>
      <c r="W4494" s="1" t="s">
        <v>24</v>
      </c>
      <c r="X4494" s="1">
        <v>2723</v>
      </c>
      <c r="Y4494" s="1">
        <v>2725</v>
      </c>
      <c r="Z4494" s="1">
        <v>2403</v>
      </c>
      <c r="AA4494" s="1" t="s">
        <v>24</v>
      </c>
      <c r="AB4494" s="1" t="s">
        <v>24</v>
      </c>
      <c r="AC4494" s="1" t="s">
        <v>24</v>
      </c>
      <c r="AD4494" s="1" t="s">
        <v>24</v>
      </c>
      <c r="AE4494" s="1" t="s">
        <v>24</v>
      </c>
      <c r="AF4494" s="22"/>
    </row>
    <row r="4495" spans="1:32" x14ac:dyDescent="0.2">
      <c r="A4495" s="1">
        <v>40611</v>
      </c>
      <c r="B4495" s="1" t="s">
        <v>13763</v>
      </c>
      <c r="C4495" s="5" t="s">
        <v>0</v>
      </c>
      <c r="D4495" s="1" t="s">
        <v>13764</v>
      </c>
      <c r="E4495" s="1" t="s">
        <v>13765</v>
      </c>
      <c r="F4495" s="1" t="s">
        <v>13766</v>
      </c>
      <c r="G4495" s="1" t="s">
        <v>13766</v>
      </c>
      <c r="H4495" s="1" t="s">
        <v>8248</v>
      </c>
      <c r="I4495" s="1" t="s">
        <v>16</v>
      </c>
      <c r="J4495" s="1">
        <v>1</v>
      </c>
      <c r="K4495" s="1">
        <v>6</v>
      </c>
      <c r="L4495" s="1" t="s">
        <v>42</v>
      </c>
      <c r="M4495" s="1" t="s">
        <v>18</v>
      </c>
      <c r="N4495" s="1" t="s">
        <v>18</v>
      </c>
      <c r="O4495" s="1">
        <v>3</v>
      </c>
      <c r="P4495" s="1">
        <v>6</v>
      </c>
      <c r="R4495" s="1" t="s">
        <v>19</v>
      </c>
      <c r="S4495" s="1" t="s">
        <v>20</v>
      </c>
      <c r="T4495" s="1" t="s">
        <v>21</v>
      </c>
      <c r="U4495" s="1" t="s">
        <v>22</v>
      </c>
      <c r="V4495" s="1" t="s">
        <v>24</v>
      </c>
      <c r="W4495" s="1" t="s">
        <v>24</v>
      </c>
      <c r="X4495" s="1">
        <v>3003</v>
      </c>
      <c r="Y4495" s="1">
        <v>2736</v>
      </c>
      <c r="Z4495" s="1" t="s">
        <v>24</v>
      </c>
      <c r="AA4495" s="1" t="s">
        <v>24</v>
      </c>
      <c r="AB4495" s="1" t="s">
        <v>24</v>
      </c>
      <c r="AC4495" s="1" t="s">
        <v>24</v>
      </c>
      <c r="AD4495" s="1" t="s">
        <v>24</v>
      </c>
      <c r="AE4495" s="1" t="s">
        <v>24</v>
      </c>
      <c r="AF4495" s="22"/>
    </row>
    <row r="4496" spans="1:32" x14ac:dyDescent="0.2">
      <c r="A4496" s="1">
        <v>40616</v>
      </c>
      <c r="B4496" s="1" t="s">
        <v>13767</v>
      </c>
      <c r="C4496" s="5" t="s">
        <v>0</v>
      </c>
      <c r="D4496" s="1" t="s">
        <v>13768</v>
      </c>
      <c r="E4496" s="1" t="s">
        <v>13769</v>
      </c>
      <c r="F4496" s="1" t="s">
        <v>13770</v>
      </c>
      <c r="G4496" s="1" t="s">
        <v>254</v>
      </c>
      <c r="H4496" s="1" t="s">
        <v>168</v>
      </c>
      <c r="I4496" s="1" t="s">
        <v>16</v>
      </c>
      <c r="J4496" s="1">
        <v>1</v>
      </c>
      <c r="K4496" s="1">
        <v>4</v>
      </c>
      <c r="L4496" s="1" t="s">
        <v>31</v>
      </c>
      <c r="M4496" s="1" t="s">
        <v>18</v>
      </c>
      <c r="N4496" s="1" t="s">
        <v>18</v>
      </c>
      <c r="O4496" s="1">
        <v>3</v>
      </c>
      <c r="P4496" s="1">
        <v>6</v>
      </c>
      <c r="R4496" s="1" t="s">
        <v>19</v>
      </c>
      <c r="S4496" s="1" t="s">
        <v>63</v>
      </c>
      <c r="T4496" s="1" t="s">
        <v>21</v>
      </c>
      <c r="U4496" s="1" t="s">
        <v>22</v>
      </c>
      <c r="V4496" s="1" t="s">
        <v>24</v>
      </c>
      <c r="W4496" s="1" t="s">
        <v>24</v>
      </c>
      <c r="X4496" s="1">
        <v>1307</v>
      </c>
      <c r="Y4496" s="1" t="s">
        <v>24</v>
      </c>
      <c r="Z4496" s="1" t="s">
        <v>24</v>
      </c>
      <c r="AA4496" s="1" t="s">
        <v>24</v>
      </c>
      <c r="AB4496" s="1" t="s">
        <v>24</v>
      </c>
      <c r="AC4496" s="1" t="s">
        <v>24</v>
      </c>
      <c r="AD4496" s="1" t="s">
        <v>24</v>
      </c>
      <c r="AE4496" s="1" t="s">
        <v>24</v>
      </c>
      <c r="AF4496" s="22"/>
    </row>
    <row r="4497" spans="1:32" x14ac:dyDescent="0.2">
      <c r="A4497" s="1">
        <v>40684</v>
      </c>
      <c r="B4497" s="1" t="s">
        <v>13771</v>
      </c>
      <c r="C4497" s="5" t="s">
        <v>0</v>
      </c>
      <c r="D4497" s="1" t="s">
        <v>13772</v>
      </c>
      <c r="F4497" s="1" t="s">
        <v>13773</v>
      </c>
      <c r="G4497" s="1" t="s">
        <v>130</v>
      </c>
      <c r="H4497" s="1" t="s">
        <v>168</v>
      </c>
      <c r="I4497" s="1" t="s">
        <v>16</v>
      </c>
      <c r="J4497" s="1">
        <v>1</v>
      </c>
      <c r="K4497" s="1">
        <v>4</v>
      </c>
      <c r="L4497" s="1" t="s">
        <v>31</v>
      </c>
      <c r="M4497" s="1" t="s">
        <v>18</v>
      </c>
      <c r="N4497" s="1" t="s">
        <v>18</v>
      </c>
      <c r="O4497" s="1">
        <v>1</v>
      </c>
      <c r="P4497" s="1">
        <v>1</v>
      </c>
      <c r="R4497" s="1" t="s">
        <v>19</v>
      </c>
      <c r="S4497" s="1" t="s">
        <v>20</v>
      </c>
      <c r="T4497" s="1" t="s">
        <v>21</v>
      </c>
      <c r="U4497" s="1" t="s">
        <v>22</v>
      </c>
      <c r="V4497" s="1" t="s">
        <v>24</v>
      </c>
      <c r="W4497" s="1" t="s">
        <v>24</v>
      </c>
      <c r="X4497" s="1">
        <v>1305</v>
      </c>
      <c r="Y4497" s="1">
        <v>1502</v>
      </c>
      <c r="Z4497" s="1">
        <v>2204</v>
      </c>
      <c r="AA4497" s="1">
        <v>2208</v>
      </c>
      <c r="AB4497" s="1" t="s">
        <v>24</v>
      </c>
      <c r="AC4497" s="1" t="s">
        <v>24</v>
      </c>
      <c r="AD4497" s="1" t="s">
        <v>24</v>
      </c>
      <c r="AE4497" s="1" t="s">
        <v>24</v>
      </c>
      <c r="AF4497" s="22" t="s">
        <v>17678</v>
      </c>
    </row>
    <row r="4498" spans="1:32" x14ac:dyDescent="0.2">
      <c r="A4498" s="1">
        <v>40696</v>
      </c>
      <c r="B4498" s="1" t="s">
        <v>13774</v>
      </c>
      <c r="C4498" s="5" t="s">
        <v>0</v>
      </c>
      <c r="D4498" s="1" t="s">
        <v>13775</v>
      </c>
      <c r="F4498" s="1" t="s">
        <v>13776</v>
      </c>
      <c r="G4498" s="1" t="s">
        <v>13776</v>
      </c>
      <c r="H4498" s="1" t="s">
        <v>30</v>
      </c>
      <c r="I4498" s="1" t="s">
        <v>16</v>
      </c>
      <c r="J4498" s="1">
        <v>1</v>
      </c>
      <c r="K4498" s="1">
        <v>4</v>
      </c>
      <c r="L4498" s="1" t="s">
        <v>42</v>
      </c>
      <c r="M4498" s="1" t="s">
        <v>18</v>
      </c>
      <c r="N4498" s="1" t="s">
        <v>18</v>
      </c>
      <c r="O4498" s="1">
        <v>3</v>
      </c>
      <c r="P4498" s="1">
        <v>6</v>
      </c>
      <c r="R4498" s="1" t="s">
        <v>19</v>
      </c>
      <c r="S4498" s="1" t="s">
        <v>20</v>
      </c>
      <c r="T4498" s="1" t="s">
        <v>21</v>
      </c>
      <c r="U4498" s="1" t="s">
        <v>22</v>
      </c>
      <c r="V4498" s="1" t="s">
        <v>24</v>
      </c>
      <c r="W4498" s="1" t="s">
        <v>24</v>
      </c>
      <c r="X4498" s="1">
        <v>3003</v>
      </c>
      <c r="Y4498" s="1" t="s">
        <v>24</v>
      </c>
      <c r="Z4498" s="1" t="s">
        <v>24</v>
      </c>
      <c r="AA4498" s="1" t="s">
        <v>24</v>
      </c>
      <c r="AB4498" s="1" t="s">
        <v>24</v>
      </c>
      <c r="AC4498" s="1" t="s">
        <v>24</v>
      </c>
      <c r="AD4498" s="1" t="s">
        <v>24</v>
      </c>
      <c r="AE4498" s="1" t="s">
        <v>24</v>
      </c>
      <c r="AF4498" s="22"/>
    </row>
    <row r="4499" spans="1:32" x14ac:dyDescent="0.2">
      <c r="A4499" s="1">
        <v>40714</v>
      </c>
      <c r="B4499" s="1" t="s">
        <v>13777</v>
      </c>
      <c r="C4499" s="5" t="s">
        <v>0</v>
      </c>
      <c r="D4499" s="1" t="s">
        <v>13778</v>
      </c>
      <c r="F4499" s="1" t="s">
        <v>13779</v>
      </c>
      <c r="G4499" s="1" t="s">
        <v>13779</v>
      </c>
      <c r="H4499" s="1" t="s">
        <v>899</v>
      </c>
      <c r="I4499" s="1" t="s">
        <v>16</v>
      </c>
      <c r="J4499" s="1">
        <v>1</v>
      </c>
      <c r="K4499" s="1">
        <v>4</v>
      </c>
      <c r="L4499" s="1" t="s">
        <v>42</v>
      </c>
      <c r="M4499" s="1" t="s">
        <v>18</v>
      </c>
      <c r="N4499" s="1" t="s">
        <v>18</v>
      </c>
      <c r="O4499" s="1">
        <v>3</v>
      </c>
      <c r="P4499" s="1">
        <v>6</v>
      </c>
      <c r="R4499" s="1" t="s">
        <v>19</v>
      </c>
      <c r="S4499" s="1" t="s">
        <v>20</v>
      </c>
      <c r="T4499" s="1" t="s">
        <v>21</v>
      </c>
      <c r="U4499" s="1" t="s">
        <v>22</v>
      </c>
      <c r="V4499" s="1" t="s">
        <v>24</v>
      </c>
      <c r="W4499" s="1" t="s">
        <v>24</v>
      </c>
      <c r="X4499" s="1">
        <v>2716</v>
      </c>
      <c r="Y4499" s="1">
        <v>1311</v>
      </c>
      <c r="Z4499" s="1" t="s">
        <v>24</v>
      </c>
      <c r="AA4499" s="1" t="s">
        <v>24</v>
      </c>
      <c r="AB4499" s="1" t="s">
        <v>24</v>
      </c>
      <c r="AC4499" s="1" t="s">
        <v>24</v>
      </c>
      <c r="AD4499" s="1" t="s">
        <v>24</v>
      </c>
      <c r="AE4499" s="1" t="s">
        <v>24</v>
      </c>
      <c r="AF4499" s="22"/>
    </row>
    <row r="4500" spans="1:32" x14ac:dyDescent="0.2">
      <c r="A4500" s="1">
        <v>40775</v>
      </c>
      <c r="B4500" s="1" t="s">
        <v>13780</v>
      </c>
      <c r="C4500" s="5" t="s">
        <v>0</v>
      </c>
      <c r="D4500" s="1" t="s">
        <v>13781</v>
      </c>
      <c r="F4500" s="1" t="s">
        <v>9858</v>
      </c>
      <c r="G4500" s="1" t="s">
        <v>9858</v>
      </c>
      <c r="H4500" s="1" t="s">
        <v>249</v>
      </c>
      <c r="I4500" s="1" t="s">
        <v>16</v>
      </c>
      <c r="J4500" s="1">
        <v>1</v>
      </c>
      <c r="K4500" s="1">
        <v>4</v>
      </c>
      <c r="L4500" s="1" t="s">
        <v>42</v>
      </c>
      <c r="M4500" s="1" t="s">
        <v>18</v>
      </c>
      <c r="N4500" s="1" t="s">
        <v>18</v>
      </c>
      <c r="O4500" s="1">
        <v>3</v>
      </c>
      <c r="P4500" s="1">
        <v>6</v>
      </c>
      <c r="R4500" s="1" t="s">
        <v>19</v>
      </c>
      <c r="S4500" s="1" t="s">
        <v>20</v>
      </c>
      <c r="T4500" s="1" t="s">
        <v>21</v>
      </c>
      <c r="U4500" s="1" t="s">
        <v>22</v>
      </c>
      <c r="V4500" s="1" t="s">
        <v>24</v>
      </c>
      <c r="W4500" s="1" t="s">
        <v>24</v>
      </c>
      <c r="X4500" s="1">
        <v>2747</v>
      </c>
      <c r="Y4500" s="1" t="s">
        <v>24</v>
      </c>
      <c r="Z4500" s="1" t="s">
        <v>24</v>
      </c>
      <c r="AA4500" s="1" t="s">
        <v>24</v>
      </c>
      <c r="AB4500" s="1" t="s">
        <v>24</v>
      </c>
      <c r="AC4500" s="1" t="s">
        <v>24</v>
      </c>
      <c r="AD4500" s="1" t="s">
        <v>24</v>
      </c>
      <c r="AE4500" s="1" t="s">
        <v>24</v>
      </c>
      <c r="AF4500" s="22"/>
    </row>
    <row r="4501" spans="1:32" x14ac:dyDescent="0.2">
      <c r="A4501" s="1">
        <v>40825</v>
      </c>
      <c r="B4501" s="1" t="s">
        <v>13782</v>
      </c>
      <c r="C4501" s="5" t="s">
        <v>0</v>
      </c>
      <c r="D4501" s="1" t="s">
        <v>13783</v>
      </c>
      <c r="F4501" s="1" t="s">
        <v>13784</v>
      </c>
      <c r="G4501" s="1" t="s">
        <v>13784</v>
      </c>
      <c r="H4501" s="1" t="s">
        <v>899</v>
      </c>
      <c r="I4501" s="1" t="s">
        <v>16</v>
      </c>
      <c r="J4501" s="1">
        <v>1</v>
      </c>
      <c r="K4501" s="1">
        <v>4</v>
      </c>
      <c r="L4501" s="1" t="s">
        <v>42</v>
      </c>
      <c r="M4501" s="1" t="s">
        <v>18</v>
      </c>
      <c r="N4501" s="1" t="s">
        <v>18</v>
      </c>
      <c r="O4501" s="1">
        <v>3</v>
      </c>
      <c r="P4501" s="1">
        <v>6</v>
      </c>
      <c r="R4501" s="1" t="s">
        <v>19</v>
      </c>
      <c r="S4501" s="1" t="s">
        <v>20</v>
      </c>
      <c r="T4501" s="1" t="s">
        <v>21</v>
      </c>
      <c r="U4501" s="1" t="s">
        <v>22</v>
      </c>
      <c r="V4501" s="1" t="s">
        <v>24</v>
      </c>
      <c r="W4501" s="1" t="s">
        <v>24</v>
      </c>
      <c r="X4501" s="1">
        <v>3000</v>
      </c>
      <c r="Y4501" s="1" t="s">
        <v>24</v>
      </c>
      <c r="Z4501" s="1" t="s">
        <v>24</v>
      </c>
      <c r="AA4501" s="1" t="s">
        <v>24</v>
      </c>
      <c r="AB4501" s="1" t="s">
        <v>24</v>
      </c>
      <c r="AC4501" s="1" t="s">
        <v>24</v>
      </c>
      <c r="AD4501" s="1" t="s">
        <v>24</v>
      </c>
      <c r="AE4501" s="1" t="s">
        <v>24</v>
      </c>
      <c r="AF4501" s="22"/>
    </row>
    <row r="4502" spans="1:32" x14ac:dyDescent="0.2">
      <c r="A4502" s="1">
        <v>40830</v>
      </c>
      <c r="B4502" s="1" t="s">
        <v>13785</v>
      </c>
      <c r="C4502" s="5" t="s">
        <v>0</v>
      </c>
      <c r="D4502" s="1" t="s">
        <v>13786</v>
      </c>
      <c r="E4502" s="1" t="s">
        <v>13787</v>
      </c>
      <c r="F4502" s="1" t="s">
        <v>5951</v>
      </c>
      <c r="G4502" s="1" t="s">
        <v>5951</v>
      </c>
      <c r="H4502" s="1" t="s">
        <v>445</v>
      </c>
      <c r="I4502" s="1" t="s">
        <v>16</v>
      </c>
      <c r="J4502" s="1">
        <v>1</v>
      </c>
      <c r="K4502" s="1">
        <v>12</v>
      </c>
      <c r="L4502" s="1" t="s">
        <v>42</v>
      </c>
      <c r="M4502" s="1" t="s">
        <v>18</v>
      </c>
      <c r="N4502" s="1" t="s">
        <v>18</v>
      </c>
      <c r="O4502" s="1">
        <v>3</v>
      </c>
      <c r="P4502" s="1">
        <v>6</v>
      </c>
      <c r="R4502" s="1" t="s">
        <v>19</v>
      </c>
      <c r="S4502" s="1" t="s">
        <v>20</v>
      </c>
      <c r="T4502" s="1" t="s">
        <v>21</v>
      </c>
      <c r="U4502" s="1" t="s">
        <v>22</v>
      </c>
      <c r="V4502" s="1" t="s">
        <v>24</v>
      </c>
      <c r="W4502" s="1" t="s">
        <v>24</v>
      </c>
      <c r="X4502" s="1">
        <v>1303</v>
      </c>
      <c r="Y4502" s="1">
        <v>1306</v>
      </c>
      <c r="Z4502" s="1">
        <v>1311</v>
      </c>
      <c r="AA4502" s="1">
        <v>1312</v>
      </c>
      <c r="AB4502" s="1">
        <v>1313</v>
      </c>
      <c r="AC4502" s="1">
        <v>2730</v>
      </c>
      <c r="AD4502" s="1" t="s">
        <v>24</v>
      </c>
      <c r="AE4502" s="1" t="s">
        <v>24</v>
      </c>
      <c r="AF4502" s="22"/>
    </row>
    <row r="4503" spans="1:32" x14ac:dyDescent="0.2">
      <c r="A4503" s="1">
        <v>40841</v>
      </c>
      <c r="B4503" s="1" t="s">
        <v>13788</v>
      </c>
      <c r="C4503" s="5" t="s">
        <v>0</v>
      </c>
      <c r="D4503" s="1" t="s">
        <v>13789</v>
      </c>
      <c r="F4503" s="1" t="s">
        <v>13790</v>
      </c>
      <c r="G4503" s="1" t="s">
        <v>61</v>
      </c>
      <c r="H4503" s="1" t="s">
        <v>249</v>
      </c>
      <c r="I4503" s="1" t="s">
        <v>16</v>
      </c>
      <c r="J4503" s="1">
        <v>1</v>
      </c>
      <c r="K4503" s="1">
        <v>4</v>
      </c>
      <c r="L4503" s="1" t="s">
        <v>31</v>
      </c>
      <c r="M4503" s="1" t="s">
        <v>18</v>
      </c>
      <c r="N4503" s="1" t="s">
        <v>18</v>
      </c>
      <c r="O4503" s="1">
        <v>3</v>
      </c>
      <c r="P4503" s="1">
        <v>7</v>
      </c>
      <c r="Q4503" s="7" t="s">
        <v>17633</v>
      </c>
      <c r="R4503" s="1" t="s">
        <v>19</v>
      </c>
      <c r="S4503" s="1" t="s">
        <v>20</v>
      </c>
      <c r="T4503" s="1" t="s">
        <v>21</v>
      </c>
      <c r="U4503" s="1" t="s">
        <v>22</v>
      </c>
      <c r="V4503" s="1" t="s">
        <v>24</v>
      </c>
      <c r="W4503" s="1" t="s">
        <v>24</v>
      </c>
      <c r="X4503" s="1">
        <v>2204</v>
      </c>
      <c r="Y4503" s="1" t="s">
        <v>24</v>
      </c>
      <c r="Z4503" s="1" t="s">
        <v>24</v>
      </c>
      <c r="AA4503" s="1" t="s">
        <v>24</v>
      </c>
      <c r="AB4503" s="1" t="s">
        <v>24</v>
      </c>
      <c r="AC4503" s="1" t="s">
        <v>24</v>
      </c>
      <c r="AD4503" s="1" t="s">
        <v>24</v>
      </c>
      <c r="AE4503" s="1" t="s">
        <v>24</v>
      </c>
      <c r="AF4503" s="22"/>
    </row>
    <row r="4504" spans="1:32" x14ac:dyDescent="0.2">
      <c r="A4504" s="1">
        <v>40842</v>
      </c>
      <c r="B4504" s="1" t="s">
        <v>13791</v>
      </c>
      <c r="C4504" s="5" t="s">
        <v>0</v>
      </c>
      <c r="D4504" s="1" t="s">
        <v>13792</v>
      </c>
      <c r="E4504" s="1" t="s">
        <v>13793</v>
      </c>
      <c r="F4504" s="1" t="s">
        <v>13794</v>
      </c>
      <c r="G4504" s="1" t="s">
        <v>13794</v>
      </c>
      <c r="H4504" s="1" t="s">
        <v>2772</v>
      </c>
      <c r="I4504" s="1" t="s">
        <v>16</v>
      </c>
      <c r="J4504" s="1">
        <v>1</v>
      </c>
      <c r="K4504" s="1">
        <v>4</v>
      </c>
      <c r="L4504" s="1" t="s">
        <v>42</v>
      </c>
      <c r="M4504" s="1" t="s">
        <v>18</v>
      </c>
      <c r="N4504" s="1" t="s">
        <v>18</v>
      </c>
      <c r="O4504" s="1">
        <v>3</v>
      </c>
      <c r="P4504" s="1">
        <v>6</v>
      </c>
      <c r="R4504" s="1" t="s">
        <v>19</v>
      </c>
      <c r="S4504" s="1" t="s">
        <v>20</v>
      </c>
      <c r="T4504" s="1" t="s">
        <v>21</v>
      </c>
      <c r="U4504" s="1" t="s">
        <v>22</v>
      </c>
      <c r="V4504" s="1" t="s">
        <v>24</v>
      </c>
      <c r="W4504" s="1" t="s">
        <v>24</v>
      </c>
      <c r="X4504" s="1">
        <v>1303</v>
      </c>
      <c r="Y4504" s="1">
        <v>1313</v>
      </c>
      <c r="Z4504" s="1">
        <v>3002</v>
      </c>
      <c r="AA4504" s="1">
        <v>3004</v>
      </c>
      <c r="AB4504" s="1" t="s">
        <v>24</v>
      </c>
      <c r="AC4504" s="1" t="s">
        <v>24</v>
      </c>
      <c r="AD4504" s="1" t="s">
        <v>24</v>
      </c>
      <c r="AE4504" s="1" t="s">
        <v>24</v>
      </c>
      <c r="AF4504" s="22"/>
    </row>
    <row r="4505" spans="1:32" x14ac:dyDescent="0.2">
      <c r="A4505" s="1">
        <v>40846</v>
      </c>
      <c r="B4505" s="1" t="s">
        <v>13795</v>
      </c>
      <c r="C4505" s="5" t="s">
        <v>0</v>
      </c>
      <c r="D4505" s="1" t="s">
        <v>13796</v>
      </c>
      <c r="E4505" s="1" t="s">
        <v>13797</v>
      </c>
      <c r="F4505" s="1" t="s">
        <v>724</v>
      </c>
      <c r="G4505" s="1" t="s">
        <v>725</v>
      </c>
      <c r="H4505" s="1" t="s">
        <v>264</v>
      </c>
      <c r="I4505" s="1" t="s">
        <v>16</v>
      </c>
      <c r="J4505" s="1">
        <v>1</v>
      </c>
      <c r="K4505" s="1">
        <v>3</v>
      </c>
      <c r="L4505" s="1" t="s">
        <v>31</v>
      </c>
      <c r="M4505" s="1" t="s">
        <v>18</v>
      </c>
      <c r="N4505" s="1" t="s">
        <v>18</v>
      </c>
      <c r="O4505" s="1">
        <v>3</v>
      </c>
      <c r="P4505" s="1">
        <v>6</v>
      </c>
      <c r="R4505" s="1" t="s">
        <v>19</v>
      </c>
      <c r="S4505" s="1" t="s">
        <v>20</v>
      </c>
      <c r="T4505" s="1" t="s">
        <v>21</v>
      </c>
      <c r="U4505" s="1" t="s">
        <v>22</v>
      </c>
      <c r="V4505" s="1" t="s">
        <v>23</v>
      </c>
      <c r="W4505" s="1" t="s">
        <v>24</v>
      </c>
      <c r="X4505" s="1">
        <v>2728</v>
      </c>
      <c r="Y4505" s="1">
        <v>2802</v>
      </c>
      <c r="Z4505" s="1">
        <v>2805</v>
      </c>
      <c r="AA4505" s="1">
        <v>2808</v>
      </c>
      <c r="AB4505" s="1">
        <v>3206</v>
      </c>
      <c r="AC4505" s="1">
        <v>3616</v>
      </c>
      <c r="AD4505" s="1" t="s">
        <v>24</v>
      </c>
      <c r="AE4505" s="1" t="s">
        <v>24</v>
      </c>
      <c r="AF4505" s="22" t="s">
        <v>17670</v>
      </c>
    </row>
    <row r="4506" spans="1:32" x14ac:dyDescent="0.2">
      <c r="A4506" s="1">
        <v>40849</v>
      </c>
      <c r="B4506" s="1" t="s">
        <v>13798</v>
      </c>
      <c r="C4506" s="5" t="s">
        <v>0</v>
      </c>
      <c r="D4506" s="1" t="s">
        <v>13799</v>
      </c>
      <c r="F4506" s="1" t="s">
        <v>13800</v>
      </c>
      <c r="G4506" s="1" t="s">
        <v>13800</v>
      </c>
      <c r="H4506" s="1" t="s">
        <v>7640</v>
      </c>
      <c r="I4506" s="1" t="s">
        <v>16</v>
      </c>
      <c r="J4506" s="1">
        <v>1</v>
      </c>
      <c r="K4506" s="1">
        <v>2</v>
      </c>
      <c r="L4506" s="1" t="s">
        <v>42</v>
      </c>
      <c r="M4506" s="1" t="s">
        <v>18</v>
      </c>
      <c r="N4506" s="1" t="s">
        <v>18</v>
      </c>
      <c r="O4506" s="1">
        <v>3</v>
      </c>
      <c r="P4506" s="1">
        <v>6</v>
      </c>
      <c r="R4506" s="1" t="s">
        <v>19</v>
      </c>
      <c r="S4506" s="1" t="s">
        <v>20</v>
      </c>
      <c r="T4506" s="1" t="s">
        <v>21</v>
      </c>
      <c r="U4506" s="1" t="s">
        <v>22</v>
      </c>
      <c r="V4506" s="1" t="s">
        <v>24</v>
      </c>
      <c r="W4506" s="1" t="s">
        <v>24</v>
      </c>
      <c r="X4506" s="1">
        <v>3003</v>
      </c>
      <c r="Y4506" s="1">
        <v>3004</v>
      </c>
      <c r="Z4506" s="1" t="s">
        <v>24</v>
      </c>
      <c r="AA4506" s="1" t="s">
        <v>24</v>
      </c>
      <c r="AB4506" s="1" t="s">
        <v>24</v>
      </c>
      <c r="AC4506" s="1" t="s">
        <v>24</v>
      </c>
      <c r="AD4506" s="1" t="s">
        <v>24</v>
      </c>
      <c r="AE4506" s="1" t="s">
        <v>24</v>
      </c>
      <c r="AF4506" s="22"/>
    </row>
    <row r="4507" spans="1:32" x14ac:dyDescent="0.2">
      <c r="A4507" s="1">
        <v>40851</v>
      </c>
      <c r="B4507" s="1" t="s">
        <v>13801</v>
      </c>
      <c r="C4507" s="5" t="s">
        <v>0</v>
      </c>
      <c r="D4507" s="1" t="s">
        <v>13802</v>
      </c>
      <c r="F4507" s="1" t="s">
        <v>13803</v>
      </c>
      <c r="G4507" s="1" t="s">
        <v>2146</v>
      </c>
      <c r="H4507" s="1" t="s">
        <v>2147</v>
      </c>
      <c r="I4507" s="1" t="s">
        <v>16</v>
      </c>
      <c r="J4507" s="1">
        <v>1</v>
      </c>
      <c r="K4507" s="1">
        <v>4</v>
      </c>
      <c r="L4507" s="1" t="s">
        <v>42</v>
      </c>
      <c r="M4507" s="1" t="s">
        <v>18</v>
      </c>
      <c r="N4507" s="1" t="s">
        <v>18</v>
      </c>
      <c r="O4507" s="1">
        <v>3</v>
      </c>
      <c r="P4507" s="1">
        <v>6</v>
      </c>
      <c r="R4507" s="1" t="s">
        <v>19</v>
      </c>
      <c r="S4507" s="1" t="s">
        <v>20</v>
      </c>
      <c r="T4507" s="1" t="s">
        <v>21</v>
      </c>
      <c r="U4507" s="1" t="s">
        <v>22</v>
      </c>
      <c r="V4507" s="1" t="s">
        <v>24</v>
      </c>
      <c r="W4507" s="1" t="s">
        <v>24</v>
      </c>
      <c r="X4507" s="1">
        <v>2723</v>
      </c>
      <c r="Y4507" s="1" t="s">
        <v>24</v>
      </c>
      <c r="Z4507" s="1" t="s">
        <v>24</v>
      </c>
      <c r="AA4507" s="1" t="s">
        <v>24</v>
      </c>
      <c r="AB4507" s="1" t="s">
        <v>24</v>
      </c>
      <c r="AC4507" s="1" t="s">
        <v>24</v>
      </c>
      <c r="AD4507" s="1" t="s">
        <v>24</v>
      </c>
      <c r="AE4507" s="1" t="s">
        <v>24</v>
      </c>
      <c r="AF4507" s="22"/>
    </row>
    <row r="4508" spans="1:32" x14ac:dyDescent="0.2">
      <c r="A4508" s="1">
        <v>40852</v>
      </c>
      <c r="B4508" s="1" t="s">
        <v>13804</v>
      </c>
      <c r="C4508" s="5" t="s">
        <v>0</v>
      </c>
      <c r="E4508" s="1" t="s">
        <v>13805</v>
      </c>
      <c r="F4508" s="1" t="s">
        <v>13806</v>
      </c>
      <c r="G4508" s="1" t="s">
        <v>13806</v>
      </c>
      <c r="H4508" s="1" t="s">
        <v>30</v>
      </c>
      <c r="I4508" s="1" t="s">
        <v>16</v>
      </c>
      <c r="J4508" s="1">
        <v>1</v>
      </c>
      <c r="K4508" s="1">
        <v>4</v>
      </c>
      <c r="L4508" s="1" t="s">
        <v>42</v>
      </c>
      <c r="M4508" s="1" t="s">
        <v>18</v>
      </c>
      <c r="N4508" s="1" t="s">
        <v>18</v>
      </c>
      <c r="O4508" s="1">
        <v>1</v>
      </c>
      <c r="P4508" s="1">
        <v>1</v>
      </c>
      <c r="R4508" s="1" t="s">
        <v>19</v>
      </c>
      <c r="S4508" s="1" t="s">
        <v>20</v>
      </c>
      <c r="T4508" s="1" t="s">
        <v>21</v>
      </c>
      <c r="U4508" s="1" t="s">
        <v>22</v>
      </c>
      <c r="V4508" s="1" t="s">
        <v>24</v>
      </c>
      <c r="W4508" s="1" t="s">
        <v>24</v>
      </c>
      <c r="X4508" s="1">
        <v>3005</v>
      </c>
      <c r="Y4508" s="1">
        <v>2307</v>
      </c>
      <c r="Z4508" s="1">
        <v>1504</v>
      </c>
      <c r="AA4508" s="1">
        <v>2739</v>
      </c>
      <c r="AB4508" s="1" t="s">
        <v>24</v>
      </c>
      <c r="AC4508" s="1" t="s">
        <v>24</v>
      </c>
      <c r="AD4508" s="1" t="s">
        <v>24</v>
      </c>
      <c r="AE4508" s="1" t="s">
        <v>24</v>
      </c>
      <c r="AF4508" s="22"/>
    </row>
    <row r="4509" spans="1:32" x14ac:dyDescent="0.2">
      <c r="A4509" s="1">
        <v>40874</v>
      </c>
      <c r="B4509" s="1" t="s">
        <v>13807</v>
      </c>
      <c r="C4509" s="5" t="s">
        <v>0</v>
      </c>
      <c r="D4509" s="1" t="s">
        <v>13808</v>
      </c>
      <c r="E4509" s="1" t="s">
        <v>13809</v>
      </c>
      <c r="F4509" s="1" t="s">
        <v>217</v>
      </c>
      <c r="G4509" s="1" t="s">
        <v>130</v>
      </c>
      <c r="H4509" s="1" t="s">
        <v>92</v>
      </c>
      <c r="I4509" s="1" t="s">
        <v>16</v>
      </c>
      <c r="J4509" s="1">
        <v>1</v>
      </c>
      <c r="K4509" s="1">
        <v>4</v>
      </c>
      <c r="L4509" s="1" t="s">
        <v>31</v>
      </c>
      <c r="M4509" s="1" t="s">
        <v>18</v>
      </c>
      <c r="N4509" s="1" t="s">
        <v>18</v>
      </c>
      <c r="O4509" s="1">
        <v>3</v>
      </c>
      <c r="P4509" s="1">
        <v>7</v>
      </c>
      <c r="Q4509" s="7" t="s">
        <v>17633</v>
      </c>
      <c r="R4509" s="1" t="s">
        <v>19</v>
      </c>
      <c r="S4509" s="1" t="s">
        <v>20</v>
      </c>
      <c r="T4509" s="1" t="s">
        <v>21</v>
      </c>
      <c r="U4509" s="1" t="s">
        <v>22</v>
      </c>
      <c r="V4509" s="1" t="s">
        <v>24</v>
      </c>
      <c r="W4509" s="1" t="s">
        <v>24</v>
      </c>
      <c r="X4509" s="1">
        <v>1311</v>
      </c>
      <c r="Y4509" s="1">
        <v>2716</v>
      </c>
      <c r="Z4509" s="1" t="s">
        <v>24</v>
      </c>
      <c r="AA4509" s="1" t="s">
        <v>24</v>
      </c>
      <c r="AB4509" s="1" t="s">
        <v>24</v>
      </c>
      <c r="AC4509" s="1" t="s">
        <v>24</v>
      </c>
      <c r="AD4509" s="1" t="s">
        <v>24</v>
      </c>
      <c r="AE4509" s="1" t="s">
        <v>24</v>
      </c>
      <c r="AF4509" s="22"/>
    </row>
    <row r="4510" spans="1:32" x14ac:dyDescent="0.2">
      <c r="A4510" s="1">
        <v>40879</v>
      </c>
      <c r="B4510" s="1" t="s">
        <v>13810</v>
      </c>
      <c r="C4510" s="5" t="s">
        <v>0</v>
      </c>
      <c r="D4510" s="1" t="s">
        <v>13811</v>
      </c>
      <c r="F4510" s="1" t="s">
        <v>13812</v>
      </c>
      <c r="G4510" s="1" t="s">
        <v>13812</v>
      </c>
      <c r="H4510" s="1" t="s">
        <v>2772</v>
      </c>
      <c r="I4510" s="1" t="s">
        <v>16</v>
      </c>
      <c r="J4510" s="1">
        <v>1</v>
      </c>
      <c r="K4510" s="1">
        <v>4</v>
      </c>
      <c r="L4510" s="1" t="s">
        <v>42</v>
      </c>
      <c r="M4510" s="1" t="s">
        <v>18</v>
      </c>
      <c r="N4510" s="1" t="s">
        <v>18</v>
      </c>
      <c r="O4510" s="1">
        <v>3</v>
      </c>
      <c r="P4510" s="1">
        <v>6</v>
      </c>
      <c r="R4510" s="1" t="s">
        <v>19</v>
      </c>
      <c r="S4510" s="1" t="s">
        <v>20</v>
      </c>
      <c r="T4510" s="1" t="s">
        <v>21</v>
      </c>
      <c r="U4510" s="1" t="s">
        <v>22</v>
      </c>
      <c r="V4510" s="1" t="s">
        <v>23</v>
      </c>
      <c r="W4510" s="1" t="s">
        <v>24</v>
      </c>
      <c r="X4510" s="1">
        <v>2730</v>
      </c>
      <c r="Y4510" s="1">
        <v>1306</v>
      </c>
      <c r="Z4510" s="1" t="s">
        <v>24</v>
      </c>
      <c r="AA4510" s="1" t="s">
        <v>24</v>
      </c>
      <c r="AB4510" s="1" t="s">
        <v>24</v>
      </c>
      <c r="AC4510" s="1" t="s">
        <v>24</v>
      </c>
      <c r="AD4510" s="1" t="s">
        <v>24</v>
      </c>
      <c r="AE4510" s="1" t="s">
        <v>24</v>
      </c>
      <c r="AF4510" s="22"/>
    </row>
    <row r="4511" spans="1:32" x14ac:dyDescent="0.2">
      <c r="A4511" s="1">
        <v>40880</v>
      </c>
      <c r="B4511" s="1" t="s">
        <v>13813</v>
      </c>
      <c r="C4511" s="5" t="s">
        <v>0</v>
      </c>
      <c r="D4511" s="1" t="s">
        <v>13814</v>
      </c>
      <c r="F4511" s="1" t="s">
        <v>13813</v>
      </c>
      <c r="G4511" s="1" t="s">
        <v>13813</v>
      </c>
      <c r="H4511" s="1" t="s">
        <v>30</v>
      </c>
      <c r="I4511" s="1" t="s">
        <v>16</v>
      </c>
      <c r="J4511" s="1">
        <v>1</v>
      </c>
      <c r="K4511" s="1">
        <v>12</v>
      </c>
      <c r="L4511" s="1" t="s">
        <v>42</v>
      </c>
      <c r="M4511" s="1" t="s">
        <v>18</v>
      </c>
      <c r="N4511" s="1" t="s">
        <v>18</v>
      </c>
      <c r="O4511" s="1">
        <v>3</v>
      </c>
      <c r="P4511" s="1">
        <v>6</v>
      </c>
      <c r="R4511" s="1" t="s">
        <v>19</v>
      </c>
      <c r="S4511" s="1" t="s">
        <v>20</v>
      </c>
      <c r="T4511" s="1" t="s">
        <v>21</v>
      </c>
      <c r="U4511" s="1" t="s">
        <v>22</v>
      </c>
      <c r="V4511" s="1" t="s">
        <v>24</v>
      </c>
      <c r="W4511" s="1" t="s">
        <v>24</v>
      </c>
      <c r="X4511" s="1">
        <v>2708</v>
      </c>
      <c r="Y4511" s="1" t="s">
        <v>24</v>
      </c>
      <c r="Z4511" s="1" t="s">
        <v>24</v>
      </c>
      <c r="AA4511" s="1" t="s">
        <v>24</v>
      </c>
      <c r="AB4511" s="1" t="s">
        <v>24</v>
      </c>
      <c r="AC4511" s="1" t="s">
        <v>24</v>
      </c>
      <c r="AD4511" s="1" t="s">
        <v>24</v>
      </c>
      <c r="AE4511" s="1" t="s">
        <v>24</v>
      </c>
      <c r="AF4511" s="22"/>
    </row>
    <row r="4512" spans="1:32" x14ac:dyDescent="0.2">
      <c r="A4512" s="1">
        <v>40939</v>
      </c>
      <c r="B4512" s="1" t="s">
        <v>13815</v>
      </c>
      <c r="C4512" s="5" t="s">
        <v>0</v>
      </c>
      <c r="D4512" s="1" t="s">
        <v>13816</v>
      </c>
      <c r="E4512" s="1" t="s">
        <v>13817</v>
      </c>
      <c r="F4512" s="1" t="s">
        <v>217</v>
      </c>
      <c r="G4512" s="1" t="s">
        <v>130</v>
      </c>
      <c r="H4512" s="1" t="s">
        <v>92</v>
      </c>
      <c r="I4512" s="1" t="s">
        <v>16</v>
      </c>
      <c r="J4512" s="1">
        <v>1</v>
      </c>
      <c r="K4512" s="1">
        <v>6</v>
      </c>
      <c r="L4512" s="1" t="s">
        <v>31</v>
      </c>
      <c r="M4512" s="1" t="s">
        <v>6208</v>
      </c>
      <c r="N4512" s="1" t="s">
        <v>4976</v>
      </c>
      <c r="O4512" s="1">
        <v>3</v>
      </c>
      <c r="P4512" s="1">
        <v>7</v>
      </c>
      <c r="Q4512" s="7" t="s">
        <v>17633</v>
      </c>
      <c r="R4512" s="1" t="s">
        <v>19</v>
      </c>
      <c r="S4512" s="1" t="s">
        <v>20</v>
      </c>
      <c r="T4512" s="1" t="s">
        <v>21</v>
      </c>
      <c r="U4512" s="1" t="s">
        <v>22</v>
      </c>
      <c r="V4512" s="1" t="s">
        <v>24</v>
      </c>
      <c r="W4512" s="1" t="s">
        <v>24</v>
      </c>
      <c r="X4512" s="1">
        <v>2701</v>
      </c>
      <c r="Y4512" s="1">
        <v>2204</v>
      </c>
      <c r="Z4512" s="1" t="s">
        <v>24</v>
      </c>
      <c r="AA4512" s="1" t="s">
        <v>24</v>
      </c>
      <c r="AB4512" s="1" t="s">
        <v>24</v>
      </c>
      <c r="AC4512" s="1" t="s">
        <v>24</v>
      </c>
      <c r="AD4512" s="1" t="s">
        <v>24</v>
      </c>
      <c r="AE4512" s="1" t="s">
        <v>24</v>
      </c>
      <c r="AF4512" s="22"/>
    </row>
    <row r="4513" spans="1:32" x14ac:dyDescent="0.2">
      <c r="A4513" s="1">
        <v>40946</v>
      </c>
      <c r="B4513" s="1" t="s">
        <v>13818</v>
      </c>
      <c r="C4513" s="5" t="s">
        <v>0</v>
      </c>
      <c r="D4513" s="1" t="s">
        <v>13819</v>
      </c>
      <c r="F4513" s="1" t="s">
        <v>13820</v>
      </c>
      <c r="G4513" s="1" t="s">
        <v>13820</v>
      </c>
      <c r="H4513" s="1" t="s">
        <v>445</v>
      </c>
      <c r="I4513" s="1" t="s">
        <v>16</v>
      </c>
      <c r="J4513" s="1">
        <v>1</v>
      </c>
      <c r="K4513" s="1">
        <v>4</v>
      </c>
      <c r="L4513" s="1" t="s">
        <v>42</v>
      </c>
      <c r="M4513" s="1" t="s">
        <v>18</v>
      </c>
      <c r="N4513" s="1" t="s">
        <v>18</v>
      </c>
      <c r="O4513" s="1">
        <v>3</v>
      </c>
      <c r="P4513" s="1">
        <v>6</v>
      </c>
      <c r="R4513" s="1" t="s">
        <v>19</v>
      </c>
      <c r="S4513" s="1" t="s">
        <v>20</v>
      </c>
      <c r="T4513" s="1" t="s">
        <v>21</v>
      </c>
      <c r="U4513" s="1" t="s">
        <v>22</v>
      </c>
      <c r="V4513" s="1" t="s">
        <v>24</v>
      </c>
      <c r="W4513" s="1" t="s">
        <v>24</v>
      </c>
      <c r="X4513" s="1">
        <v>2712</v>
      </c>
      <c r="Y4513" s="1" t="s">
        <v>24</v>
      </c>
      <c r="Z4513" s="1" t="s">
        <v>24</v>
      </c>
      <c r="AA4513" s="1" t="s">
        <v>24</v>
      </c>
      <c r="AB4513" s="1" t="s">
        <v>24</v>
      </c>
      <c r="AC4513" s="1" t="s">
        <v>24</v>
      </c>
      <c r="AD4513" s="1" t="s">
        <v>24</v>
      </c>
      <c r="AE4513" s="1" t="s">
        <v>24</v>
      </c>
      <c r="AF4513" s="22"/>
    </row>
    <row r="4514" spans="1:32" x14ac:dyDescent="0.2">
      <c r="A4514" s="1">
        <v>40950</v>
      </c>
      <c r="B4514" s="1" t="s">
        <v>13821</v>
      </c>
      <c r="C4514" s="5" t="s">
        <v>0</v>
      </c>
      <c r="D4514" s="1" t="s">
        <v>13822</v>
      </c>
      <c r="E4514" s="1" t="s">
        <v>13823</v>
      </c>
      <c r="F4514" s="1" t="s">
        <v>1977</v>
      </c>
      <c r="G4514" s="1" t="s">
        <v>130</v>
      </c>
      <c r="H4514" s="1" t="s">
        <v>899</v>
      </c>
      <c r="I4514" s="1" t="s">
        <v>16</v>
      </c>
      <c r="J4514" s="1">
        <v>1</v>
      </c>
      <c r="K4514" s="1">
        <v>2</v>
      </c>
      <c r="L4514" s="1" t="s">
        <v>31</v>
      </c>
      <c r="M4514" s="1" t="s">
        <v>18</v>
      </c>
      <c r="N4514" s="1" t="s">
        <v>18</v>
      </c>
      <c r="O4514" s="1">
        <v>1</v>
      </c>
      <c r="P4514" s="1">
        <v>1</v>
      </c>
      <c r="R4514" s="1" t="s">
        <v>19</v>
      </c>
      <c r="S4514" s="1" t="s">
        <v>20</v>
      </c>
      <c r="T4514" s="1" t="s">
        <v>21</v>
      </c>
      <c r="U4514" s="1" t="s">
        <v>22</v>
      </c>
      <c r="V4514" s="1" t="s">
        <v>24</v>
      </c>
      <c r="W4514" s="1" t="s">
        <v>24</v>
      </c>
      <c r="X4514" s="1">
        <v>2406</v>
      </c>
      <c r="Y4514" s="1">
        <v>2725</v>
      </c>
      <c r="Z4514" s="1" t="s">
        <v>24</v>
      </c>
      <c r="AA4514" s="1" t="s">
        <v>24</v>
      </c>
      <c r="AB4514" s="1" t="s">
        <v>24</v>
      </c>
      <c r="AC4514" s="1" t="s">
        <v>24</v>
      </c>
      <c r="AD4514" s="1" t="s">
        <v>24</v>
      </c>
      <c r="AE4514" s="1" t="s">
        <v>24</v>
      </c>
      <c r="AF4514" s="22"/>
    </row>
    <row r="4515" spans="1:32" x14ac:dyDescent="0.2">
      <c r="A4515" s="1">
        <v>40957</v>
      </c>
      <c r="B4515" s="1" t="s">
        <v>13824</v>
      </c>
      <c r="C4515" s="5" t="s">
        <v>0</v>
      </c>
      <c r="D4515" s="1" t="s">
        <v>13825</v>
      </c>
      <c r="E4515" s="1" t="s">
        <v>13826</v>
      </c>
      <c r="F4515" s="1" t="s">
        <v>85</v>
      </c>
      <c r="G4515" s="1" t="s">
        <v>61</v>
      </c>
      <c r="H4515" s="1" t="s">
        <v>86</v>
      </c>
      <c r="I4515" s="1" t="s">
        <v>16</v>
      </c>
      <c r="J4515" s="1">
        <v>1</v>
      </c>
      <c r="K4515" s="1">
        <v>4</v>
      </c>
      <c r="L4515" s="1" t="s">
        <v>31</v>
      </c>
      <c r="M4515" s="1" t="s">
        <v>87</v>
      </c>
      <c r="N4515" s="1" t="s">
        <v>199</v>
      </c>
      <c r="O4515" s="1">
        <v>3</v>
      </c>
      <c r="P4515" s="1">
        <v>6</v>
      </c>
      <c r="R4515" s="1" t="s">
        <v>19</v>
      </c>
      <c r="S4515" s="1" t="s">
        <v>20</v>
      </c>
      <c r="T4515" s="1" t="s">
        <v>21</v>
      </c>
      <c r="U4515" s="1" t="s">
        <v>22</v>
      </c>
      <c r="V4515" s="1" t="s">
        <v>24</v>
      </c>
      <c r="W4515" s="1" t="s">
        <v>24</v>
      </c>
      <c r="X4515" s="1">
        <v>1312</v>
      </c>
      <c r="Y4515" s="1">
        <v>2717</v>
      </c>
      <c r="Z4515" s="1" t="s">
        <v>24</v>
      </c>
      <c r="AA4515" s="1" t="s">
        <v>24</v>
      </c>
      <c r="AB4515" s="1" t="s">
        <v>24</v>
      </c>
      <c r="AC4515" s="1" t="s">
        <v>24</v>
      </c>
      <c r="AD4515" s="1" t="s">
        <v>24</v>
      </c>
      <c r="AE4515" s="1" t="s">
        <v>24</v>
      </c>
      <c r="AF4515" s="22"/>
    </row>
    <row r="4516" spans="1:32" x14ac:dyDescent="0.2">
      <c r="A4516" s="1">
        <v>40960</v>
      </c>
      <c r="B4516" s="1" t="s">
        <v>13827</v>
      </c>
      <c r="C4516" s="5" t="s">
        <v>0</v>
      </c>
      <c r="D4516" s="1" t="s">
        <v>13828</v>
      </c>
      <c r="F4516" s="1" t="s">
        <v>272</v>
      </c>
      <c r="G4516" s="1" t="s">
        <v>61</v>
      </c>
      <c r="H4516" s="1" t="s">
        <v>30</v>
      </c>
      <c r="I4516" s="1" t="s">
        <v>16</v>
      </c>
      <c r="J4516" s="1">
        <v>1</v>
      </c>
      <c r="K4516" s="1">
        <v>6</v>
      </c>
      <c r="L4516" s="1" t="s">
        <v>31</v>
      </c>
      <c r="M4516" s="1" t="s">
        <v>18</v>
      </c>
      <c r="N4516" s="1" t="s">
        <v>18</v>
      </c>
      <c r="O4516" s="1">
        <v>3</v>
      </c>
      <c r="P4516" s="1">
        <v>7</v>
      </c>
      <c r="Q4516" s="7" t="s">
        <v>17633</v>
      </c>
      <c r="R4516" s="1" t="s">
        <v>19</v>
      </c>
      <c r="S4516" s="1" t="s">
        <v>20</v>
      </c>
      <c r="T4516" s="1" t="s">
        <v>21</v>
      </c>
      <c r="U4516" s="1" t="s">
        <v>22</v>
      </c>
      <c r="V4516" s="1" t="s">
        <v>24</v>
      </c>
      <c r="W4516" s="1" t="s">
        <v>24</v>
      </c>
      <c r="X4516" s="1">
        <v>2714</v>
      </c>
      <c r="Y4516" s="1" t="s">
        <v>24</v>
      </c>
      <c r="Z4516" s="1" t="s">
        <v>24</v>
      </c>
      <c r="AA4516" s="1" t="s">
        <v>24</v>
      </c>
      <c r="AB4516" s="1" t="s">
        <v>24</v>
      </c>
      <c r="AC4516" s="1" t="s">
        <v>24</v>
      </c>
      <c r="AD4516" s="1" t="s">
        <v>24</v>
      </c>
      <c r="AE4516" s="1" t="s">
        <v>24</v>
      </c>
      <c r="AF4516" s="22"/>
    </row>
    <row r="4517" spans="1:32" x14ac:dyDescent="0.2">
      <c r="A4517" s="1">
        <v>40969</v>
      </c>
      <c r="B4517" s="1" t="s">
        <v>13829</v>
      </c>
      <c r="C4517" s="5" t="s">
        <v>0</v>
      </c>
      <c r="D4517" s="1" t="s">
        <v>13830</v>
      </c>
      <c r="E4517" s="1" t="s">
        <v>13831</v>
      </c>
      <c r="F4517" s="1" t="s">
        <v>91</v>
      </c>
      <c r="G4517" s="1" t="s">
        <v>61</v>
      </c>
      <c r="H4517" s="1" t="s">
        <v>92</v>
      </c>
      <c r="I4517" s="1" t="s">
        <v>16</v>
      </c>
      <c r="J4517" s="1">
        <v>1</v>
      </c>
      <c r="K4517" s="1">
        <v>4</v>
      </c>
      <c r="L4517" s="1" t="s">
        <v>31</v>
      </c>
      <c r="M4517" s="1" t="s">
        <v>18</v>
      </c>
      <c r="N4517" s="1" t="s">
        <v>18</v>
      </c>
      <c r="O4517" s="1">
        <v>3</v>
      </c>
      <c r="P4517" s="1">
        <v>7</v>
      </c>
      <c r="Q4517" s="7" t="s">
        <v>17633</v>
      </c>
      <c r="R4517" s="1" t="s">
        <v>19</v>
      </c>
      <c r="S4517" s="1" t="s">
        <v>20</v>
      </c>
      <c r="T4517" s="1" t="s">
        <v>21</v>
      </c>
      <c r="U4517" s="1" t="s">
        <v>22</v>
      </c>
      <c r="V4517" s="1" t="s">
        <v>24</v>
      </c>
      <c r="W4517" s="1" t="s">
        <v>24</v>
      </c>
      <c r="X4517" s="1">
        <v>2703</v>
      </c>
      <c r="Y4517" s="1">
        <v>2728</v>
      </c>
      <c r="Z4517" s="1" t="s">
        <v>24</v>
      </c>
      <c r="AA4517" s="1" t="s">
        <v>24</v>
      </c>
      <c r="AB4517" s="1" t="s">
        <v>24</v>
      </c>
      <c r="AC4517" s="1" t="s">
        <v>24</v>
      </c>
      <c r="AD4517" s="1" t="s">
        <v>24</v>
      </c>
      <c r="AE4517" s="1" t="s">
        <v>24</v>
      </c>
      <c r="AF4517" s="22"/>
    </row>
    <row r="4518" spans="1:32" x14ac:dyDescent="0.2">
      <c r="A4518" s="1">
        <v>40974</v>
      </c>
      <c r="B4518" s="1" t="s">
        <v>13832</v>
      </c>
      <c r="C4518" s="5" t="s">
        <v>0</v>
      </c>
      <c r="D4518" s="1" t="s">
        <v>13833</v>
      </c>
      <c r="E4518" s="1" t="s">
        <v>13834</v>
      </c>
      <c r="F4518" s="1" t="s">
        <v>155</v>
      </c>
      <c r="G4518" s="1" t="s">
        <v>61</v>
      </c>
      <c r="H4518" s="1" t="s">
        <v>37</v>
      </c>
      <c r="I4518" s="1" t="s">
        <v>16</v>
      </c>
      <c r="J4518" s="1">
        <v>1</v>
      </c>
      <c r="K4518" s="1">
        <v>4</v>
      </c>
      <c r="L4518" s="1" t="s">
        <v>31</v>
      </c>
      <c r="M4518" s="1" t="s">
        <v>18</v>
      </c>
      <c r="N4518" s="1" t="s">
        <v>18</v>
      </c>
      <c r="O4518" s="1">
        <v>3</v>
      </c>
      <c r="P4518" s="1">
        <v>7</v>
      </c>
      <c r="Q4518" s="7" t="s">
        <v>17633</v>
      </c>
      <c r="R4518" s="1" t="s">
        <v>19</v>
      </c>
      <c r="S4518" s="1" t="s">
        <v>63</v>
      </c>
      <c r="T4518" s="1" t="s">
        <v>21</v>
      </c>
      <c r="U4518" s="1" t="s">
        <v>22</v>
      </c>
      <c r="V4518" s="1" t="s">
        <v>24</v>
      </c>
      <c r="W4518" s="1" t="s">
        <v>24</v>
      </c>
      <c r="X4518" s="1">
        <v>2713</v>
      </c>
      <c r="Y4518" s="1">
        <v>2725</v>
      </c>
      <c r="Z4518" s="1">
        <v>2307</v>
      </c>
      <c r="AA4518" s="1">
        <v>3305</v>
      </c>
      <c r="AB4518" s="1" t="s">
        <v>24</v>
      </c>
      <c r="AC4518" s="1" t="s">
        <v>24</v>
      </c>
      <c r="AD4518" s="1" t="s">
        <v>24</v>
      </c>
      <c r="AE4518" s="1" t="s">
        <v>24</v>
      </c>
      <c r="AF4518" s="22"/>
    </row>
    <row r="4519" spans="1:32" x14ac:dyDescent="0.2">
      <c r="A4519" s="1">
        <v>40980</v>
      </c>
      <c r="B4519" s="1" t="s">
        <v>13835</v>
      </c>
      <c r="C4519" s="5" t="s">
        <v>0</v>
      </c>
      <c r="D4519" s="1" t="s">
        <v>13836</v>
      </c>
      <c r="F4519" s="1" t="s">
        <v>91</v>
      </c>
      <c r="G4519" s="1" t="s">
        <v>61</v>
      </c>
      <c r="H4519" s="1" t="s">
        <v>92</v>
      </c>
      <c r="I4519" s="1" t="s">
        <v>16</v>
      </c>
      <c r="J4519" s="1">
        <v>1</v>
      </c>
      <c r="K4519" s="1">
        <v>4</v>
      </c>
      <c r="L4519" s="1" t="s">
        <v>31</v>
      </c>
      <c r="M4519" s="1" t="s">
        <v>18</v>
      </c>
      <c r="N4519" s="1" t="s">
        <v>18</v>
      </c>
      <c r="O4519" s="1">
        <v>3</v>
      </c>
      <c r="P4519" s="1">
        <v>6</v>
      </c>
      <c r="R4519" s="1" t="s">
        <v>19</v>
      </c>
      <c r="S4519" s="1" t="s">
        <v>20</v>
      </c>
      <c r="T4519" s="1" t="s">
        <v>21</v>
      </c>
      <c r="U4519" s="1" t="s">
        <v>22</v>
      </c>
      <c r="V4519" s="1" t="s">
        <v>24</v>
      </c>
      <c r="W4519" s="1" t="s">
        <v>24</v>
      </c>
      <c r="X4519" s="1">
        <v>3500</v>
      </c>
      <c r="Y4519" s="1" t="s">
        <v>24</v>
      </c>
      <c r="Z4519" s="1" t="s">
        <v>24</v>
      </c>
      <c r="AA4519" s="1" t="s">
        <v>24</v>
      </c>
      <c r="AB4519" s="1" t="s">
        <v>24</v>
      </c>
      <c r="AC4519" s="1" t="s">
        <v>24</v>
      </c>
      <c r="AD4519" s="1" t="s">
        <v>24</v>
      </c>
      <c r="AE4519" s="1" t="s">
        <v>24</v>
      </c>
      <c r="AF4519" s="22"/>
    </row>
    <row r="4520" spans="1:32" x14ac:dyDescent="0.2">
      <c r="A4520" s="1">
        <v>40981</v>
      </c>
      <c r="B4520" s="1" t="s">
        <v>13837</v>
      </c>
      <c r="C4520" s="5" t="s">
        <v>0</v>
      </c>
      <c r="D4520" s="1" t="s">
        <v>13838</v>
      </c>
      <c r="E4520" s="1" t="s">
        <v>13839</v>
      </c>
      <c r="F4520" s="1" t="s">
        <v>272</v>
      </c>
      <c r="G4520" s="1" t="s">
        <v>61</v>
      </c>
      <c r="H4520" s="1" t="s">
        <v>30</v>
      </c>
      <c r="I4520" s="1" t="s">
        <v>16</v>
      </c>
      <c r="J4520" s="1">
        <v>2</v>
      </c>
      <c r="K4520" s="1">
        <v>6</v>
      </c>
      <c r="L4520" s="1" t="s">
        <v>31</v>
      </c>
      <c r="M4520" s="1" t="s">
        <v>18</v>
      </c>
      <c r="N4520" s="1" t="s">
        <v>18</v>
      </c>
      <c r="O4520" s="1">
        <v>3</v>
      </c>
      <c r="P4520" s="1">
        <v>6</v>
      </c>
      <c r="R4520" s="1" t="s">
        <v>19</v>
      </c>
      <c r="S4520" s="1" t="s">
        <v>20</v>
      </c>
      <c r="T4520" s="1" t="s">
        <v>21</v>
      </c>
      <c r="U4520" s="1" t="s">
        <v>22</v>
      </c>
      <c r="V4520" s="1" t="s">
        <v>24</v>
      </c>
      <c r="W4520" s="1" t="s">
        <v>24</v>
      </c>
      <c r="X4520" s="1">
        <v>2728</v>
      </c>
      <c r="Y4520" s="1">
        <v>2746</v>
      </c>
      <c r="Z4520" s="1" t="s">
        <v>24</v>
      </c>
      <c r="AA4520" s="1" t="s">
        <v>24</v>
      </c>
      <c r="AB4520" s="1" t="s">
        <v>24</v>
      </c>
      <c r="AC4520" s="1" t="s">
        <v>24</v>
      </c>
      <c r="AD4520" s="1" t="s">
        <v>24</v>
      </c>
      <c r="AE4520" s="1" t="s">
        <v>24</v>
      </c>
      <c r="AF4520" s="22"/>
    </row>
    <row r="4521" spans="1:32" x14ac:dyDescent="0.2">
      <c r="A4521" s="1">
        <v>40983</v>
      </c>
      <c r="B4521" s="1" t="s">
        <v>13840</v>
      </c>
      <c r="C4521" s="5" t="s">
        <v>0</v>
      </c>
      <c r="D4521" s="1" t="s">
        <v>13841</v>
      </c>
      <c r="F4521" s="1" t="s">
        <v>91</v>
      </c>
      <c r="G4521" s="1" t="s">
        <v>61</v>
      </c>
      <c r="H4521" s="1" t="s">
        <v>92</v>
      </c>
      <c r="I4521" s="1" t="s">
        <v>16</v>
      </c>
      <c r="J4521" s="1">
        <v>1</v>
      </c>
      <c r="K4521" s="1">
        <v>4</v>
      </c>
      <c r="L4521" s="1" t="s">
        <v>31</v>
      </c>
      <c r="M4521" s="1" t="s">
        <v>18</v>
      </c>
      <c r="N4521" s="1" t="s">
        <v>18</v>
      </c>
      <c r="O4521" s="1">
        <v>3</v>
      </c>
      <c r="P4521" s="1">
        <v>7</v>
      </c>
      <c r="Q4521" s="7" t="s">
        <v>17633</v>
      </c>
      <c r="R4521" s="1" t="s">
        <v>19</v>
      </c>
      <c r="S4521" s="1" t="s">
        <v>20</v>
      </c>
      <c r="T4521" s="1" t="s">
        <v>21</v>
      </c>
      <c r="U4521" s="1" t="s">
        <v>22</v>
      </c>
      <c r="V4521" s="1" t="s">
        <v>24</v>
      </c>
      <c r="W4521" s="1" t="s">
        <v>24</v>
      </c>
      <c r="X4521" s="1">
        <v>2705</v>
      </c>
      <c r="Y4521" s="1" t="s">
        <v>24</v>
      </c>
      <c r="Z4521" s="1" t="s">
        <v>24</v>
      </c>
      <c r="AA4521" s="1" t="s">
        <v>24</v>
      </c>
      <c r="AB4521" s="1" t="s">
        <v>24</v>
      </c>
      <c r="AC4521" s="1" t="s">
        <v>24</v>
      </c>
      <c r="AD4521" s="1" t="s">
        <v>24</v>
      </c>
      <c r="AE4521" s="1" t="s">
        <v>24</v>
      </c>
      <c r="AF4521" s="22" t="s">
        <v>17679</v>
      </c>
    </row>
    <row r="4522" spans="1:32" x14ac:dyDescent="0.2">
      <c r="A4522" s="1">
        <v>40984</v>
      </c>
      <c r="B4522" s="1" t="s">
        <v>13842</v>
      </c>
      <c r="C4522" s="5" t="s">
        <v>0</v>
      </c>
      <c r="D4522" s="1" t="s">
        <v>13843</v>
      </c>
      <c r="F4522" s="1" t="s">
        <v>91</v>
      </c>
      <c r="G4522" s="1" t="s">
        <v>61</v>
      </c>
      <c r="H4522" s="1" t="s">
        <v>92</v>
      </c>
      <c r="I4522" s="1" t="s">
        <v>16</v>
      </c>
      <c r="J4522" s="1">
        <v>1</v>
      </c>
      <c r="K4522" s="1">
        <v>4</v>
      </c>
      <c r="L4522" s="1" t="s">
        <v>31</v>
      </c>
      <c r="M4522" s="1" t="s">
        <v>18</v>
      </c>
      <c r="N4522" s="1" t="s">
        <v>18</v>
      </c>
      <c r="O4522" s="1">
        <v>3</v>
      </c>
      <c r="P4522" s="1">
        <v>7</v>
      </c>
      <c r="Q4522" s="7" t="s">
        <v>17633</v>
      </c>
      <c r="R4522" s="1" t="s">
        <v>19</v>
      </c>
      <c r="S4522" s="1" t="s">
        <v>20</v>
      </c>
      <c r="T4522" s="1" t="s">
        <v>21</v>
      </c>
      <c r="U4522" s="1" t="s">
        <v>22</v>
      </c>
      <c r="V4522" s="1" t="s">
        <v>24</v>
      </c>
      <c r="W4522" s="1" t="s">
        <v>24</v>
      </c>
      <c r="X4522" s="1">
        <v>2731</v>
      </c>
      <c r="Y4522" s="1" t="s">
        <v>24</v>
      </c>
      <c r="Z4522" s="1" t="s">
        <v>24</v>
      </c>
      <c r="AA4522" s="1" t="s">
        <v>24</v>
      </c>
      <c r="AB4522" s="1" t="s">
        <v>24</v>
      </c>
      <c r="AC4522" s="1" t="s">
        <v>24</v>
      </c>
      <c r="AD4522" s="1" t="s">
        <v>24</v>
      </c>
      <c r="AE4522" s="1" t="s">
        <v>24</v>
      </c>
      <c r="AF4522" s="22"/>
    </row>
    <row r="4523" spans="1:32" x14ac:dyDescent="0.2">
      <c r="A4523" s="1">
        <v>40985</v>
      </c>
      <c r="B4523" s="1" t="s">
        <v>13844</v>
      </c>
      <c r="C4523" s="5" t="s">
        <v>0</v>
      </c>
      <c r="D4523" s="1" t="s">
        <v>13845</v>
      </c>
      <c r="F4523" s="1" t="s">
        <v>272</v>
      </c>
      <c r="G4523" s="1" t="s">
        <v>61</v>
      </c>
      <c r="H4523" s="1" t="s">
        <v>30</v>
      </c>
      <c r="I4523" s="1" t="s">
        <v>16</v>
      </c>
      <c r="J4523" s="1">
        <v>1</v>
      </c>
      <c r="K4523" s="1">
        <v>4</v>
      </c>
      <c r="L4523" s="1" t="s">
        <v>31</v>
      </c>
      <c r="M4523" s="1" t="s">
        <v>18</v>
      </c>
      <c r="N4523" s="1" t="s">
        <v>18</v>
      </c>
      <c r="O4523" s="1">
        <v>3</v>
      </c>
      <c r="P4523" s="1">
        <v>7</v>
      </c>
      <c r="Q4523" s="7" t="s">
        <v>17633</v>
      </c>
      <c r="R4523" s="1" t="s">
        <v>19</v>
      </c>
      <c r="S4523" s="1" t="s">
        <v>20</v>
      </c>
      <c r="T4523" s="1" t="s">
        <v>21</v>
      </c>
      <c r="U4523" s="1" t="s">
        <v>22</v>
      </c>
      <c r="V4523" s="1" t="s">
        <v>24</v>
      </c>
      <c r="W4523" s="1" t="s">
        <v>24</v>
      </c>
      <c r="X4523" s="1">
        <v>3611</v>
      </c>
      <c r="Y4523" s="1">
        <v>3000</v>
      </c>
      <c r="Z4523" s="1" t="s">
        <v>24</v>
      </c>
      <c r="AA4523" s="1" t="s">
        <v>24</v>
      </c>
      <c r="AB4523" s="1" t="s">
        <v>24</v>
      </c>
      <c r="AC4523" s="1" t="s">
        <v>24</v>
      </c>
      <c r="AD4523" s="1" t="s">
        <v>24</v>
      </c>
      <c r="AE4523" s="1" t="s">
        <v>24</v>
      </c>
      <c r="AF4523" s="22"/>
    </row>
    <row r="4524" spans="1:32" x14ac:dyDescent="0.2">
      <c r="A4524" s="1">
        <v>40987</v>
      </c>
      <c r="B4524" s="1" t="s">
        <v>13846</v>
      </c>
      <c r="C4524" s="5" t="s">
        <v>0</v>
      </c>
      <c r="D4524" s="1" t="s">
        <v>13847</v>
      </c>
      <c r="E4524" s="1" t="s">
        <v>13848</v>
      </c>
      <c r="F4524" s="1" t="s">
        <v>221</v>
      </c>
      <c r="G4524" s="1" t="s">
        <v>61</v>
      </c>
      <c r="H4524" s="1" t="s">
        <v>222</v>
      </c>
      <c r="I4524" s="1" t="s">
        <v>16</v>
      </c>
      <c r="J4524" s="1">
        <v>1</v>
      </c>
      <c r="K4524" s="1">
        <v>2</v>
      </c>
      <c r="L4524" s="1" t="s">
        <v>31</v>
      </c>
      <c r="M4524" s="1" t="s">
        <v>18</v>
      </c>
      <c r="N4524" s="1" t="s">
        <v>18</v>
      </c>
      <c r="O4524" s="1">
        <v>3</v>
      </c>
      <c r="P4524" s="1">
        <v>7</v>
      </c>
      <c r="Q4524" s="7" t="s">
        <v>17633</v>
      </c>
      <c r="R4524" s="1" t="s">
        <v>19</v>
      </c>
      <c r="S4524" s="1" t="s">
        <v>20</v>
      </c>
      <c r="T4524" s="1" t="s">
        <v>21</v>
      </c>
      <c r="U4524" s="1" t="s">
        <v>22</v>
      </c>
      <c r="V4524" s="1" t="s">
        <v>24</v>
      </c>
      <c r="W4524" s="1" t="s">
        <v>24</v>
      </c>
      <c r="X4524" s="1">
        <v>2734</v>
      </c>
      <c r="Y4524" s="1" t="s">
        <v>24</v>
      </c>
      <c r="Z4524" s="1" t="s">
        <v>24</v>
      </c>
      <c r="AA4524" s="1" t="s">
        <v>24</v>
      </c>
      <c r="AB4524" s="1" t="s">
        <v>24</v>
      </c>
      <c r="AC4524" s="1" t="s">
        <v>24</v>
      </c>
      <c r="AD4524" s="1" t="s">
        <v>24</v>
      </c>
      <c r="AE4524" s="1" t="s">
        <v>24</v>
      </c>
      <c r="AF4524" s="22"/>
    </row>
    <row r="4525" spans="1:32" x14ac:dyDescent="0.2">
      <c r="A4525" s="1">
        <v>41119</v>
      </c>
      <c r="B4525" s="1" t="s">
        <v>13849</v>
      </c>
      <c r="C4525" s="5" t="s">
        <v>0</v>
      </c>
      <c r="D4525" s="1" t="s">
        <v>13850</v>
      </c>
      <c r="E4525" s="1" t="s">
        <v>13851</v>
      </c>
      <c r="F4525" s="1" t="s">
        <v>109</v>
      </c>
      <c r="G4525" s="1" t="s">
        <v>110</v>
      </c>
      <c r="H4525" s="1" t="s">
        <v>111</v>
      </c>
      <c r="I4525" s="1" t="s">
        <v>16</v>
      </c>
      <c r="J4525" s="1">
        <v>1</v>
      </c>
      <c r="K4525" s="1">
        <v>4</v>
      </c>
      <c r="L4525" s="1" t="s">
        <v>31</v>
      </c>
      <c r="M4525" s="1" t="s">
        <v>413</v>
      </c>
      <c r="N4525" s="1" t="s">
        <v>242</v>
      </c>
      <c r="O4525" s="1">
        <v>3</v>
      </c>
      <c r="P4525" s="1">
        <v>6</v>
      </c>
      <c r="R4525" s="1" t="s">
        <v>19</v>
      </c>
      <c r="S4525" s="1" t="s">
        <v>20</v>
      </c>
      <c r="T4525" s="1" t="s">
        <v>21</v>
      </c>
      <c r="U4525" s="1" t="s">
        <v>22</v>
      </c>
      <c r="V4525" s="1" t="s">
        <v>24</v>
      </c>
      <c r="W4525" s="1" t="s">
        <v>24</v>
      </c>
      <c r="X4525" s="1">
        <v>2715</v>
      </c>
      <c r="Y4525" s="1">
        <v>2746</v>
      </c>
      <c r="Z4525" s="1" t="s">
        <v>24</v>
      </c>
      <c r="AA4525" s="1" t="s">
        <v>24</v>
      </c>
      <c r="AB4525" s="1" t="s">
        <v>24</v>
      </c>
      <c r="AC4525" s="1" t="s">
        <v>24</v>
      </c>
      <c r="AD4525" s="1" t="s">
        <v>24</v>
      </c>
      <c r="AE4525" s="1" t="s">
        <v>24</v>
      </c>
      <c r="AF4525" s="22"/>
    </row>
    <row r="4526" spans="1:32" x14ac:dyDescent="0.2">
      <c r="A4526" s="1">
        <v>41367</v>
      </c>
      <c r="B4526" s="1" t="s">
        <v>13852</v>
      </c>
      <c r="C4526" s="5" t="s">
        <v>0</v>
      </c>
      <c r="D4526" s="1" t="s">
        <v>13853</v>
      </c>
      <c r="E4526" s="1" t="s">
        <v>13854</v>
      </c>
      <c r="F4526" s="1" t="s">
        <v>8442</v>
      </c>
      <c r="G4526" s="1" t="s">
        <v>8443</v>
      </c>
      <c r="H4526" s="1" t="s">
        <v>37</v>
      </c>
      <c r="I4526" s="1" t="s">
        <v>16</v>
      </c>
      <c r="J4526" s="1">
        <v>1</v>
      </c>
      <c r="K4526" s="1">
        <v>6</v>
      </c>
      <c r="L4526" s="1" t="s">
        <v>31</v>
      </c>
      <c r="M4526" s="1" t="s">
        <v>18</v>
      </c>
      <c r="N4526" s="1" t="s">
        <v>18</v>
      </c>
      <c r="O4526" s="1">
        <v>3</v>
      </c>
      <c r="P4526" s="1">
        <v>7</v>
      </c>
      <c r="Q4526" s="7" t="s">
        <v>17633</v>
      </c>
      <c r="R4526" s="1" t="s">
        <v>19</v>
      </c>
      <c r="S4526" s="1" t="s">
        <v>20</v>
      </c>
      <c r="T4526" s="1" t="s">
        <v>21</v>
      </c>
      <c r="U4526" s="1" t="s">
        <v>22</v>
      </c>
      <c r="V4526" s="1" t="s">
        <v>24</v>
      </c>
      <c r="W4526" s="1" t="s">
        <v>24</v>
      </c>
      <c r="X4526" s="1">
        <v>2745</v>
      </c>
      <c r="Y4526" s="1" t="s">
        <v>24</v>
      </c>
      <c r="Z4526" s="1" t="s">
        <v>24</v>
      </c>
      <c r="AA4526" s="1" t="s">
        <v>24</v>
      </c>
      <c r="AB4526" s="1" t="s">
        <v>24</v>
      </c>
      <c r="AC4526" s="1" t="s">
        <v>24</v>
      </c>
      <c r="AD4526" s="1" t="s">
        <v>24</v>
      </c>
      <c r="AE4526" s="1" t="s">
        <v>24</v>
      </c>
      <c r="AF4526" s="22"/>
    </row>
    <row r="4527" spans="1:32" x14ac:dyDescent="0.2">
      <c r="A4527" s="1">
        <v>41553</v>
      </c>
      <c r="B4527" s="1" t="s">
        <v>13855</v>
      </c>
      <c r="C4527" s="5" t="s">
        <v>0</v>
      </c>
      <c r="D4527" s="1" t="s">
        <v>13856</v>
      </c>
      <c r="F4527" s="1" t="s">
        <v>91</v>
      </c>
      <c r="G4527" s="1" t="s">
        <v>61</v>
      </c>
      <c r="H4527" s="1" t="s">
        <v>92</v>
      </c>
      <c r="I4527" s="1" t="s">
        <v>16</v>
      </c>
      <c r="J4527" s="1">
        <v>1</v>
      </c>
      <c r="K4527" s="1">
        <v>4</v>
      </c>
      <c r="L4527" s="1" t="s">
        <v>31</v>
      </c>
      <c r="M4527" s="1" t="s">
        <v>18</v>
      </c>
      <c r="N4527" s="1" t="s">
        <v>18</v>
      </c>
      <c r="O4527" s="1">
        <v>3</v>
      </c>
      <c r="P4527" s="1">
        <v>7</v>
      </c>
      <c r="Q4527" s="7" t="s">
        <v>17633</v>
      </c>
      <c r="R4527" s="1" t="s">
        <v>19</v>
      </c>
      <c r="S4527" s="1" t="s">
        <v>20</v>
      </c>
      <c r="T4527" s="1" t="s">
        <v>21</v>
      </c>
      <c r="V4527" s="1" t="s">
        <v>24</v>
      </c>
      <c r="W4527" s="1" t="s">
        <v>24</v>
      </c>
      <c r="X4527" s="1">
        <v>2403</v>
      </c>
      <c r="Y4527" s="1">
        <v>2725</v>
      </c>
      <c r="Z4527" s="1">
        <v>3002</v>
      </c>
      <c r="AA4527" s="1">
        <v>3003</v>
      </c>
      <c r="AB4527" s="1" t="s">
        <v>24</v>
      </c>
      <c r="AC4527" s="1" t="s">
        <v>24</v>
      </c>
      <c r="AD4527" s="1" t="s">
        <v>24</v>
      </c>
      <c r="AE4527" s="1" t="s">
        <v>24</v>
      </c>
      <c r="AF4527" s="22" t="s">
        <v>17678</v>
      </c>
    </row>
    <row r="4528" spans="1:32" x14ac:dyDescent="0.2">
      <c r="A4528" s="1">
        <v>41555</v>
      </c>
      <c r="B4528" s="1" t="s">
        <v>13857</v>
      </c>
      <c r="C4528" s="5" t="s">
        <v>0</v>
      </c>
      <c r="D4528" s="1" t="s">
        <v>13858</v>
      </c>
      <c r="E4528" s="1" t="s">
        <v>13859</v>
      </c>
      <c r="F4528" s="1" t="s">
        <v>55</v>
      </c>
      <c r="G4528" s="1" t="s">
        <v>56</v>
      </c>
      <c r="H4528" s="1" t="s">
        <v>37</v>
      </c>
      <c r="I4528" s="1" t="s">
        <v>16</v>
      </c>
      <c r="J4528" s="1">
        <v>1</v>
      </c>
      <c r="K4528" s="1">
        <v>4</v>
      </c>
      <c r="L4528" s="1" t="s">
        <v>31</v>
      </c>
      <c r="M4528" s="1" t="s">
        <v>18</v>
      </c>
      <c r="N4528" s="1" t="s">
        <v>18</v>
      </c>
      <c r="O4528" s="1">
        <v>3</v>
      </c>
      <c r="P4528" s="1">
        <v>7</v>
      </c>
      <c r="Q4528" s="7" t="s">
        <v>17633</v>
      </c>
      <c r="R4528" s="1" t="s">
        <v>19</v>
      </c>
      <c r="S4528" s="1" t="s">
        <v>20</v>
      </c>
      <c r="T4528" s="1" t="s">
        <v>21</v>
      </c>
      <c r="U4528" s="1" t="s">
        <v>22</v>
      </c>
      <c r="V4528" s="1" t="s">
        <v>23</v>
      </c>
      <c r="W4528" s="1" t="s">
        <v>24</v>
      </c>
      <c r="X4528" s="1">
        <v>2739</v>
      </c>
      <c r="Y4528" s="1">
        <v>3306</v>
      </c>
      <c r="Z4528" s="1" t="s">
        <v>24</v>
      </c>
      <c r="AA4528" s="1" t="s">
        <v>24</v>
      </c>
      <c r="AB4528" s="1" t="s">
        <v>24</v>
      </c>
      <c r="AC4528" s="1" t="s">
        <v>24</v>
      </c>
      <c r="AD4528" s="1" t="s">
        <v>24</v>
      </c>
      <c r="AE4528" s="1" t="s">
        <v>24</v>
      </c>
      <c r="AF4528" s="22"/>
    </row>
    <row r="4529" spans="1:32" x14ac:dyDescent="0.2">
      <c r="A4529" s="1">
        <v>41712</v>
      </c>
      <c r="B4529" s="1" t="s">
        <v>13860</v>
      </c>
      <c r="C4529" s="5" t="s">
        <v>0</v>
      </c>
      <c r="D4529" s="1" t="s">
        <v>13861</v>
      </c>
      <c r="E4529" s="1" t="s">
        <v>13862</v>
      </c>
      <c r="F4529" s="1" t="s">
        <v>2776</v>
      </c>
      <c r="G4529" s="1" t="s">
        <v>61</v>
      </c>
      <c r="H4529" s="1" t="s">
        <v>46</v>
      </c>
      <c r="I4529" s="1" t="s">
        <v>16</v>
      </c>
      <c r="J4529" s="1">
        <v>1</v>
      </c>
      <c r="K4529" s="1">
        <v>4</v>
      </c>
      <c r="L4529" s="1" t="s">
        <v>31</v>
      </c>
      <c r="M4529" s="1" t="s">
        <v>18</v>
      </c>
      <c r="N4529" s="1" t="s">
        <v>18</v>
      </c>
      <c r="O4529" s="1">
        <v>3</v>
      </c>
      <c r="P4529" s="1">
        <v>7</v>
      </c>
      <c r="Q4529" s="7" t="s">
        <v>17633</v>
      </c>
      <c r="R4529" s="1" t="s">
        <v>19</v>
      </c>
      <c r="S4529" s="1" t="s">
        <v>20</v>
      </c>
      <c r="T4529" s="1" t="s">
        <v>21</v>
      </c>
      <c r="U4529" s="1" t="s">
        <v>22</v>
      </c>
      <c r="V4529" s="1" t="s">
        <v>24</v>
      </c>
      <c r="W4529" s="1" t="s">
        <v>24</v>
      </c>
      <c r="X4529" s="1">
        <v>2734</v>
      </c>
      <c r="Y4529" s="1" t="s">
        <v>24</v>
      </c>
      <c r="Z4529" s="1" t="s">
        <v>24</v>
      </c>
      <c r="AA4529" s="1" t="s">
        <v>24</v>
      </c>
      <c r="AB4529" s="1" t="s">
        <v>24</v>
      </c>
      <c r="AC4529" s="1" t="s">
        <v>24</v>
      </c>
      <c r="AD4529" s="1" t="s">
        <v>24</v>
      </c>
      <c r="AE4529" s="1" t="s">
        <v>24</v>
      </c>
      <c r="AF4529" s="22"/>
    </row>
    <row r="4530" spans="1:32" x14ac:dyDescent="0.2">
      <c r="A4530" s="1">
        <v>41714</v>
      </c>
      <c r="B4530" s="1" t="s">
        <v>13863</v>
      </c>
      <c r="C4530" s="5" t="s">
        <v>0</v>
      </c>
      <c r="D4530" s="1" t="s">
        <v>13864</v>
      </c>
      <c r="E4530" s="1" t="s">
        <v>13865</v>
      </c>
      <c r="F4530" s="1" t="s">
        <v>303</v>
      </c>
      <c r="G4530" s="1" t="s">
        <v>61</v>
      </c>
      <c r="H4530" s="1" t="s">
        <v>30</v>
      </c>
      <c r="I4530" s="1" t="s">
        <v>16</v>
      </c>
      <c r="J4530" s="1">
        <v>1</v>
      </c>
      <c r="K4530" s="1">
        <v>4</v>
      </c>
      <c r="L4530" s="1" t="s">
        <v>31</v>
      </c>
      <c r="M4530" s="1" t="s">
        <v>18</v>
      </c>
      <c r="N4530" s="1" t="s">
        <v>18</v>
      </c>
      <c r="O4530" s="1">
        <v>3</v>
      </c>
      <c r="P4530" s="1">
        <v>7</v>
      </c>
      <c r="Q4530" s="7" t="s">
        <v>17633</v>
      </c>
      <c r="R4530" s="1" t="s">
        <v>19</v>
      </c>
      <c r="S4530" s="1" t="s">
        <v>20</v>
      </c>
      <c r="T4530" s="1" t="s">
        <v>21</v>
      </c>
      <c r="U4530" s="1" t="s">
        <v>22</v>
      </c>
      <c r="V4530" s="1" t="s">
        <v>24</v>
      </c>
      <c r="W4530" s="1" t="s">
        <v>24</v>
      </c>
      <c r="X4530" s="1">
        <v>2705</v>
      </c>
      <c r="Y4530" s="1">
        <v>2737</v>
      </c>
      <c r="Z4530" s="1" t="s">
        <v>24</v>
      </c>
      <c r="AA4530" s="1" t="s">
        <v>24</v>
      </c>
      <c r="AB4530" s="1" t="s">
        <v>24</v>
      </c>
      <c r="AC4530" s="1" t="s">
        <v>24</v>
      </c>
      <c r="AD4530" s="1" t="s">
        <v>24</v>
      </c>
      <c r="AE4530" s="1" t="s">
        <v>24</v>
      </c>
      <c r="AF4530" s="22"/>
    </row>
    <row r="4531" spans="1:32" x14ac:dyDescent="0.2">
      <c r="A4531" s="1">
        <v>41715</v>
      </c>
      <c r="B4531" s="1" t="s">
        <v>13866</v>
      </c>
      <c r="C4531" s="5" t="s">
        <v>0</v>
      </c>
      <c r="D4531" s="1" t="s">
        <v>13867</v>
      </c>
      <c r="E4531" s="1" t="s">
        <v>13868</v>
      </c>
      <c r="F4531" s="1" t="s">
        <v>85</v>
      </c>
      <c r="G4531" s="1" t="s">
        <v>61</v>
      </c>
      <c r="H4531" s="1" t="s">
        <v>86</v>
      </c>
      <c r="I4531" s="1" t="s">
        <v>16</v>
      </c>
      <c r="J4531" s="1">
        <v>1</v>
      </c>
      <c r="K4531" s="1">
        <v>5</v>
      </c>
      <c r="L4531" s="1" t="s">
        <v>31</v>
      </c>
      <c r="M4531" s="1" t="s">
        <v>87</v>
      </c>
      <c r="N4531" s="1" t="s">
        <v>87</v>
      </c>
      <c r="O4531" s="1">
        <v>0</v>
      </c>
      <c r="P4531" s="1">
        <v>6</v>
      </c>
      <c r="R4531" s="1" t="s">
        <v>19</v>
      </c>
      <c r="S4531" s="1" t="s">
        <v>20</v>
      </c>
      <c r="T4531" s="1" t="s">
        <v>21</v>
      </c>
      <c r="U4531" s="1" t="s">
        <v>22</v>
      </c>
      <c r="V4531" s="1" t="s">
        <v>24</v>
      </c>
      <c r="W4531" s="1" t="s">
        <v>24</v>
      </c>
      <c r="X4531" s="1">
        <v>2740</v>
      </c>
      <c r="Y4531" s="1" t="s">
        <v>24</v>
      </c>
      <c r="Z4531" s="1" t="s">
        <v>24</v>
      </c>
      <c r="AA4531" s="1" t="s">
        <v>24</v>
      </c>
      <c r="AB4531" s="1" t="s">
        <v>24</v>
      </c>
      <c r="AC4531" s="1" t="s">
        <v>24</v>
      </c>
      <c r="AD4531" s="1" t="s">
        <v>24</v>
      </c>
      <c r="AE4531" s="1" t="s">
        <v>24</v>
      </c>
      <c r="AF4531" s="22"/>
    </row>
    <row r="4532" spans="1:32" x14ac:dyDescent="0.2">
      <c r="A4532" s="1">
        <v>41716</v>
      </c>
      <c r="B4532" s="1" t="s">
        <v>13869</v>
      </c>
      <c r="C4532" s="5" t="s">
        <v>0</v>
      </c>
      <c r="E4532" s="1" t="s">
        <v>13870</v>
      </c>
      <c r="F4532" s="1" t="s">
        <v>155</v>
      </c>
      <c r="G4532" s="1" t="s">
        <v>61</v>
      </c>
      <c r="H4532" s="1" t="s">
        <v>37</v>
      </c>
      <c r="I4532" s="1" t="s">
        <v>16</v>
      </c>
      <c r="J4532" s="1">
        <v>1</v>
      </c>
      <c r="K4532" s="1">
        <v>6</v>
      </c>
      <c r="L4532" s="1" t="s">
        <v>31</v>
      </c>
      <c r="M4532" s="1" t="s">
        <v>18</v>
      </c>
      <c r="N4532" s="1" t="s">
        <v>18</v>
      </c>
      <c r="O4532" s="1">
        <v>3</v>
      </c>
      <c r="P4532" s="1">
        <v>7</v>
      </c>
      <c r="Q4532" s="7" t="s">
        <v>17633</v>
      </c>
      <c r="R4532" s="1" t="s">
        <v>19</v>
      </c>
      <c r="S4532" s="1" t="s">
        <v>63</v>
      </c>
      <c r="T4532" s="1" t="s">
        <v>21</v>
      </c>
      <c r="U4532" s="1" t="s">
        <v>22</v>
      </c>
      <c r="V4532" s="1" t="s">
        <v>24</v>
      </c>
      <c r="W4532" s="1" t="s">
        <v>24</v>
      </c>
      <c r="X4532" s="1">
        <v>2705</v>
      </c>
      <c r="Y4532" s="1" t="s">
        <v>24</v>
      </c>
      <c r="Z4532" s="1" t="s">
        <v>24</v>
      </c>
      <c r="AA4532" s="1" t="s">
        <v>24</v>
      </c>
      <c r="AB4532" s="1" t="s">
        <v>24</v>
      </c>
      <c r="AC4532" s="1" t="s">
        <v>24</v>
      </c>
      <c r="AD4532" s="1" t="s">
        <v>24</v>
      </c>
      <c r="AE4532" s="1" t="s">
        <v>24</v>
      </c>
      <c r="AF4532" s="22"/>
    </row>
    <row r="4533" spans="1:32" x14ac:dyDescent="0.2">
      <c r="A4533" s="1">
        <v>41770</v>
      </c>
      <c r="B4533" s="1" t="s">
        <v>13871</v>
      </c>
      <c r="C4533" s="5" t="s">
        <v>0</v>
      </c>
      <c r="D4533" s="1" t="s">
        <v>13872</v>
      </c>
      <c r="E4533" s="1" t="s">
        <v>13873</v>
      </c>
      <c r="F4533" s="1" t="s">
        <v>2304</v>
      </c>
      <c r="G4533" s="1" t="s">
        <v>2304</v>
      </c>
      <c r="H4533" s="1" t="s">
        <v>684</v>
      </c>
      <c r="I4533" s="1" t="s">
        <v>16</v>
      </c>
      <c r="J4533" s="1">
        <v>1</v>
      </c>
      <c r="K4533" s="1">
        <v>4</v>
      </c>
      <c r="L4533" s="1" t="s">
        <v>17</v>
      </c>
      <c r="M4533" s="1" t="s">
        <v>18</v>
      </c>
      <c r="N4533" s="1" t="s">
        <v>18</v>
      </c>
      <c r="O4533" s="1">
        <v>1</v>
      </c>
      <c r="P4533" s="1">
        <v>1</v>
      </c>
      <c r="R4533" s="1" t="s">
        <v>19</v>
      </c>
      <c r="S4533" s="1" t="s">
        <v>20</v>
      </c>
      <c r="T4533" s="1" t="s">
        <v>21</v>
      </c>
      <c r="U4533" s="1" t="s">
        <v>22</v>
      </c>
      <c r="V4533" s="1" t="s">
        <v>23</v>
      </c>
      <c r="W4533" s="1" t="s">
        <v>24</v>
      </c>
      <c r="X4533" s="1">
        <v>2712</v>
      </c>
      <c r="Y4533" s="1">
        <v>2724</v>
      </c>
      <c r="Z4533" s="1" t="s">
        <v>24</v>
      </c>
      <c r="AA4533" s="1" t="s">
        <v>24</v>
      </c>
      <c r="AB4533" s="1" t="s">
        <v>24</v>
      </c>
      <c r="AC4533" s="1" t="s">
        <v>24</v>
      </c>
      <c r="AD4533" s="1" t="s">
        <v>24</v>
      </c>
      <c r="AE4533" s="1" t="s">
        <v>24</v>
      </c>
      <c r="AF4533" s="22"/>
    </row>
    <row r="4534" spans="1:32" x14ac:dyDescent="0.2">
      <c r="A4534" s="1">
        <v>41771</v>
      </c>
      <c r="B4534" s="1" t="s">
        <v>13874</v>
      </c>
      <c r="C4534" s="5" t="s">
        <v>0</v>
      </c>
      <c r="D4534" s="1" t="s">
        <v>13875</v>
      </c>
      <c r="F4534" s="1" t="s">
        <v>13876</v>
      </c>
      <c r="G4534" s="1" t="s">
        <v>13876</v>
      </c>
      <c r="H4534" s="1" t="s">
        <v>2772</v>
      </c>
      <c r="I4534" s="1" t="s">
        <v>16</v>
      </c>
      <c r="J4534" s="1">
        <v>1</v>
      </c>
      <c r="K4534" s="1">
        <v>12</v>
      </c>
      <c r="L4534" s="1" t="s">
        <v>42</v>
      </c>
      <c r="M4534" s="1" t="s">
        <v>6208</v>
      </c>
      <c r="N4534" s="1" t="s">
        <v>2773</v>
      </c>
      <c r="O4534" s="1">
        <v>1</v>
      </c>
      <c r="P4534" s="1">
        <v>1</v>
      </c>
      <c r="R4534" s="1" t="s">
        <v>19</v>
      </c>
      <c r="S4534" s="1" t="s">
        <v>20</v>
      </c>
      <c r="T4534" s="1" t="s">
        <v>21</v>
      </c>
      <c r="U4534" s="1" t="s">
        <v>22</v>
      </c>
      <c r="V4534" s="1" t="s">
        <v>24</v>
      </c>
      <c r="W4534" s="1" t="s">
        <v>24</v>
      </c>
      <c r="X4534" s="1">
        <v>2700</v>
      </c>
      <c r="Y4534" s="1" t="s">
        <v>24</v>
      </c>
      <c r="Z4534" s="1" t="s">
        <v>24</v>
      </c>
      <c r="AA4534" s="1" t="s">
        <v>24</v>
      </c>
      <c r="AB4534" s="1" t="s">
        <v>24</v>
      </c>
      <c r="AC4534" s="1" t="s">
        <v>24</v>
      </c>
      <c r="AD4534" s="1" t="s">
        <v>24</v>
      </c>
      <c r="AE4534" s="1" t="s">
        <v>24</v>
      </c>
      <c r="AF4534" s="22"/>
    </row>
    <row r="4535" spans="1:32" x14ac:dyDescent="0.2">
      <c r="A4535" s="1">
        <v>41800</v>
      </c>
      <c r="B4535" s="1" t="s">
        <v>13877</v>
      </c>
      <c r="C4535" s="5" t="s">
        <v>0</v>
      </c>
      <c r="E4535" s="1" t="s">
        <v>13878</v>
      </c>
      <c r="F4535" s="1" t="s">
        <v>13879</v>
      </c>
      <c r="G4535" s="1" t="s">
        <v>13879</v>
      </c>
      <c r="H4535" s="1" t="s">
        <v>30</v>
      </c>
      <c r="I4535" s="1" t="s">
        <v>16</v>
      </c>
      <c r="J4535" s="1">
        <v>1</v>
      </c>
      <c r="K4535" s="1">
        <v>12</v>
      </c>
      <c r="L4535" s="1" t="s">
        <v>42</v>
      </c>
      <c r="M4535" s="1" t="s">
        <v>18</v>
      </c>
      <c r="N4535" s="1" t="s">
        <v>18</v>
      </c>
      <c r="O4535" s="1">
        <v>3</v>
      </c>
      <c r="P4535" s="1">
        <v>6</v>
      </c>
      <c r="R4535" s="1" t="s">
        <v>19</v>
      </c>
      <c r="S4535" s="1" t="s">
        <v>20</v>
      </c>
      <c r="T4535" s="1" t="s">
        <v>21</v>
      </c>
      <c r="U4535" s="1" t="s">
        <v>22</v>
      </c>
      <c r="V4535" s="1" t="s">
        <v>23</v>
      </c>
      <c r="W4535" s="1" t="s">
        <v>24</v>
      </c>
      <c r="X4535" s="1">
        <v>2741</v>
      </c>
      <c r="Y4535" s="1" t="s">
        <v>24</v>
      </c>
      <c r="Z4535" s="1" t="s">
        <v>24</v>
      </c>
      <c r="AA4535" s="1" t="s">
        <v>24</v>
      </c>
      <c r="AB4535" s="1" t="s">
        <v>24</v>
      </c>
      <c r="AC4535" s="1" t="s">
        <v>24</v>
      </c>
      <c r="AD4535" s="1" t="s">
        <v>24</v>
      </c>
      <c r="AE4535" s="1" t="s">
        <v>24</v>
      </c>
      <c r="AF4535" s="22"/>
    </row>
    <row r="4536" spans="1:32" x14ac:dyDescent="0.2">
      <c r="A4536" s="1">
        <v>41842</v>
      </c>
      <c r="B4536" s="1" t="s">
        <v>13880</v>
      </c>
      <c r="C4536" s="5" t="s">
        <v>0</v>
      </c>
      <c r="E4536" s="1" t="s">
        <v>13881</v>
      </c>
      <c r="F4536" s="1" t="s">
        <v>11666</v>
      </c>
      <c r="G4536" s="1" t="s">
        <v>11666</v>
      </c>
      <c r="H4536" s="1" t="s">
        <v>30</v>
      </c>
      <c r="I4536" s="1" t="s">
        <v>16</v>
      </c>
      <c r="J4536" s="1">
        <v>1</v>
      </c>
      <c r="K4536" s="1">
        <v>12</v>
      </c>
      <c r="L4536" s="1" t="s">
        <v>42</v>
      </c>
      <c r="M4536" s="1" t="s">
        <v>18</v>
      </c>
      <c r="N4536" s="1" t="s">
        <v>18</v>
      </c>
      <c r="O4536" s="1">
        <v>3</v>
      </c>
      <c r="P4536" s="1">
        <v>6</v>
      </c>
      <c r="R4536" s="1" t="s">
        <v>19</v>
      </c>
      <c r="S4536" s="1" t="s">
        <v>20</v>
      </c>
      <c r="T4536" s="1" t="s">
        <v>21</v>
      </c>
      <c r="U4536" s="1" t="s">
        <v>22</v>
      </c>
      <c r="V4536" s="1" t="s">
        <v>24</v>
      </c>
      <c r="W4536" s="1" t="s">
        <v>24</v>
      </c>
      <c r="X4536" s="1">
        <v>1303</v>
      </c>
      <c r="Y4536" s="1">
        <v>1307</v>
      </c>
      <c r="Z4536" s="1">
        <v>1312</v>
      </c>
      <c r="AA4536" s="1">
        <v>1706</v>
      </c>
      <c r="AB4536" s="1" t="s">
        <v>24</v>
      </c>
      <c r="AC4536" s="1" t="s">
        <v>24</v>
      </c>
      <c r="AD4536" s="1" t="s">
        <v>24</v>
      </c>
      <c r="AE4536" s="1" t="s">
        <v>24</v>
      </c>
      <c r="AF4536" s="22"/>
    </row>
    <row r="4537" spans="1:32" x14ac:dyDescent="0.2">
      <c r="A4537" s="1">
        <v>41843</v>
      </c>
      <c r="B4537" s="1" t="s">
        <v>13882</v>
      </c>
      <c r="C4537" s="5" t="s">
        <v>0</v>
      </c>
      <c r="D4537" s="1" t="s">
        <v>13883</v>
      </c>
      <c r="E4537" s="1" t="s">
        <v>13884</v>
      </c>
      <c r="F4537" s="1" t="s">
        <v>13885</v>
      </c>
      <c r="G4537" s="1" t="s">
        <v>13886</v>
      </c>
      <c r="H4537" s="1" t="s">
        <v>461</v>
      </c>
      <c r="I4537" s="1" t="s">
        <v>16</v>
      </c>
      <c r="J4537" s="1">
        <v>1</v>
      </c>
      <c r="K4537" s="1">
        <v>6</v>
      </c>
      <c r="L4537" s="1" t="s">
        <v>42</v>
      </c>
      <c r="M4537" s="1" t="s">
        <v>1735</v>
      </c>
      <c r="N4537" s="1" t="s">
        <v>18</v>
      </c>
      <c r="O4537" s="1">
        <v>2</v>
      </c>
      <c r="P4537" s="1">
        <v>5</v>
      </c>
      <c r="R4537" s="1" t="s">
        <v>19</v>
      </c>
      <c r="S4537" s="1" t="s">
        <v>20</v>
      </c>
      <c r="T4537" s="1" t="s">
        <v>21</v>
      </c>
      <c r="U4537" s="1" t="s">
        <v>22</v>
      </c>
      <c r="V4537" s="1" t="s">
        <v>23</v>
      </c>
      <c r="W4537" s="1" t="s">
        <v>24</v>
      </c>
      <c r="X4537" s="1">
        <v>2204</v>
      </c>
      <c r="Y4537" s="1" t="s">
        <v>24</v>
      </c>
      <c r="Z4537" s="1" t="s">
        <v>24</v>
      </c>
      <c r="AA4537" s="1" t="s">
        <v>24</v>
      </c>
      <c r="AB4537" s="1" t="s">
        <v>24</v>
      </c>
      <c r="AC4537" s="1" t="s">
        <v>24</v>
      </c>
      <c r="AD4537" s="1" t="s">
        <v>24</v>
      </c>
      <c r="AE4537" s="1" t="s">
        <v>24</v>
      </c>
      <c r="AF4537" s="22"/>
    </row>
    <row r="4538" spans="1:32" x14ac:dyDescent="0.2">
      <c r="A4538" s="1">
        <v>41885</v>
      </c>
      <c r="B4538" s="1" t="s">
        <v>13887</v>
      </c>
      <c r="C4538" s="5" t="s">
        <v>0</v>
      </c>
      <c r="D4538" s="1" t="s">
        <v>13888</v>
      </c>
      <c r="E4538" s="1" t="s">
        <v>13889</v>
      </c>
      <c r="F4538" s="1" t="s">
        <v>320</v>
      </c>
      <c r="G4538" s="1" t="s">
        <v>36</v>
      </c>
      <c r="H4538" s="1" t="s">
        <v>30</v>
      </c>
      <c r="I4538" s="1" t="s">
        <v>16</v>
      </c>
      <c r="J4538" s="1">
        <v>1</v>
      </c>
      <c r="K4538" s="1">
        <v>12</v>
      </c>
      <c r="L4538" s="1" t="s">
        <v>31</v>
      </c>
      <c r="M4538" s="1" t="s">
        <v>18</v>
      </c>
      <c r="N4538" s="1" t="s">
        <v>18</v>
      </c>
      <c r="O4538" s="1">
        <v>3</v>
      </c>
      <c r="P4538" s="1">
        <v>7</v>
      </c>
      <c r="Q4538" s="7" t="s">
        <v>17633</v>
      </c>
      <c r="R4538" s="1" t="s">
        <v>19</v>
      </c>
      <c r="S4538" s="1" t="s">
        <v>20</v>
      </c>
      <c r="T4538" s="1" t="s">
        <v>21</v>
      </c>
      <c r="U4538" s="1" t="s">
        <v>22</v>
      </c>
      <c r="V4538" s="1" t="s">
        <v>24</v>
      </c>
      <c r="W4538" s="1" t="s">
        <v>24</v>
      </c>
      <c r="X4538" s="1">
        <v>1307</v>
      </c>
      <c r="Y4538" s="1">
        <v>1315</v>
      </c>
      <c r="Z4538" s="1" t="s">
        <v>24</v>
      </c>
      <c r="AA4538" s="1" t="s">
        <v>24</v>
      </c>
      <c r="AB4538" s="1" t="s">
        <v>24</v>
      </c>
      <c r="AC4538" s="1" t="s">
        <v>24</v>
      </c>
      <c r="AD4538" s="1" t="s">
        <v>24</v>
      </c>
      <c r="AE4538" s="1" t="s">
        <v>24</v>
      </c>
      <c r="AF4538" s="22"/>
    </row>
    <row r="4539" spans="1:32" x14ac:dyDescent="0.2">
      <c r="A4539" s="1">
        <v>41887</v>
      </c>
      <c r="B4539" s="1" t="s">
        <v>13890</v>
      </c>
      <c r="C4539" s="5" t="s">
        <v>0</v>
      </c>
      <c r="D4539" s="1" t="s">
        <v>13891</v>
      </c>
      <c r="E4539" s="1" t="s">
        <v>13892</v>
      </c>
      <c r="F4539" s="1" t="s">
        <v>970</v>
      </c>
      <c r="G4539" s="1" t="s">
        <v>36</v>
      </c>
      <c r="H4539" s="1" t="s">
        <v>30</v>
      </c>
      <c r="I4539" s="1" t="s">
        <v>16</v>
      </c>
      <c r="J4539" s="1">
        <v>1</v>
      </c>
      <c r="K4539" s="1">
        <v>6</v>
      </c>
      <c r="L4539" s="1" t="s">
        <v>31</v>
      </c>
      <c r="M4539" s="1" t="s">
        <v>18</v>
      </c>
      <c r="N4539" s="1" t="s">
        <v>18</v>
      </c>
      <c r="O4539" s="1">
        <v>3</v>
      </c>
      <c r="P4539" s="1">
        <v>6</v>
      </c>
      <c r="R4539" s="1" t="s">
        <v>19</v>
      </c>
      <c r="S4539" s="1" t="s">
        <v>20</v>
      </c>
      <c r="T4539" s="1" t="s">
        <v>21</v>
      </c>
      <c r="U4539" s="1" t="s">
        <v>22</v>
      </c>
      <c r="V4539" s="1" t="s">
        <v>23</v>
      </c>
      <c r="W4539" s="1" t="s">
        <v>24</v>
      </c>
      <c r="X4539" s="1">
        <v>2403</v>
      </c>
      <c r="Y4539" s="1">
        <v>2404</v>
      </c>
      <c r="Z4539" s="1">
        <v>2726</v>
      </c>
      <c r="AA4539" s="1">
        <v>3500</v>
      </c>
      <c r="AB4539" s="1" t="s">
        <v>24</v>
      </c>
      <c r="AC4539" s="1" t="s">
        <v>24</v>
      </c>
      <c r="AD4539" s="1" t="s">
        <v>24</v>
      </c>
      <c r="AE4539" s="1" t="s">
        <v>24</v>
      </c>
      <c r="AF4539" s="22"/>
    </row>
    <row r="4540" spans="1:32" x14ac:dyDescent="0.2">
      <c r="A4540" s="1">
        <v>41888</v>
      </c>
      <c r="B4540" s="1" t="s">
        <v>13893</v>
      </c>
      <c r="C4540" s="5" t="s">
        <v>0</v>
      </c>
      <c r="D4540" s="1" t="s">
        <v>13894</v>
      </c>
      <c r="E4540" s="1" t="s">
        <v>13895</v>
      </c>
      <c r="F4540" s="1" t="s">
        <v>651</v>
      </c>
      <c r="G4540" s="1" t="s">
        <v>36</v>
      </c>
      <c r="H4540" s="1" t="s">
        <v>168</v>
      </c>
      <c r="I4540" s="1" t="s">
        <v>16</v>
      </c>
      <c r="J4540" s="1">
        <v>1</v>
      </c>
      <c r="K4540" s="1">
        <v>10</v>
      </c>
      <c r="L4540" s="1" t="s">
        <v>31</v>
      </c>
      <c r="M4540" s="1" t="s">
        <v>18</v>
      </c>
      <c r="N4540" s="1" t="s">
        <v>18</v>
      </c>
      <c r="O4540" s="1">
        <v>3</v>
      </c>
      <c r="P4540" s="1">
        <v>7</v>
      </c>
      <c r="Q4540" s="7" t="s">
        <v>17633</v>
      </c>
      <c r="R4540" s="1" t="s">
        <v>19</v>
      </c>
      <c r="S4540" s="1" t="s">
        <v>20</v>
      </c>
      <c r="T4540" s="1" t="s">
        <v>21</v>
      </c>
      <c r="U4540" s="1" t="s">
        <v>22</v>
      </c>
      <c r="V4540" s="1" t="s">
        <v>24</v>
      </c>
      <c r="W4540" s="1" t="s">
        <v>64</v>
      </c>
      <c r="X4540" s="1">
        <v>1605</v>
      </c>
      <c r="Y4540" s="1">
        <v>1706</v>
      </c>
      <c r="Z4540" s="1">
        <v>3002</v>
      </c>
      <c r="AA4540" s="1">
        <v>1313</v>
      </c>
      <c r="AB4540" s="1">
        <v>1315</v>
      </c>
      <c r="AC4540" s="1" t="s">
        <v>24</v>
      </c>
      <c r="AD4540" s="1" t="s">
        <v>24</v>
      </c>
      <c r="AE4540" s="1" t="s">
        <v>24</v>
      </c>
      <c r="AF4540" s="22"/>
    </row>
    <row r="4541" spans="1:32" x14ac:dyDescent="0.2">
      <c r="A4541" s="1">
        <v>41952</v>
      </c>
      <c r="B4541" s="1" t="s">
        <v>13896</v>
      </c>
      <c r="C4541" s="5" t="s">
        <v>0</v>
      </c>
      <c r="D4541" s="1" t="s">
        <v>13897</v>
      </c>
      <c r="E4541" s="1" t="s">
        <v>13898</v>
      </c>
      <c r="F4541" s="1" t="s">
        <v>9039</v>
      </c>
      <c r="G4541" s="1" t="s">
        <v>292</v>
      </c>
      <c r="H4541" s="1" t="s">
        <v>37</v>
      </c>
      <c r="I4541" s="1" t="s">
        <v>16</v>
      </c>
      <c r="J4541" s="1">
        <v>1</v>
      </c>
      <c r="K4541" s="1">
        <v>6</v>
      </c>
      <c r="L4541" s="1" t="s">
        <v>31</v>
      </c>
      <c r="M4541" s="1" t="s">
        <v>18</v>
      </c>
      <c r="N4541" s="1" t="s">
        <v>18</v>
      </c>
      <c r="O4541" s="1">
        <v>3</v>
      </c>
      <c r="P4541" s="1">
        <v>7</v>
      </c>
      <c r="Q4541" s="7" t="s">
        <v>17633</v>
      </c>
      <c r="R4541" s="1" t="s">
        <v>19</v>
      </c>
      <c r="S4541" s="1" t="s">
        <v>20</v>
      </c>
      <c r="T4541" s="1" t="s">
        <v>21</v>
      </c>
      <c r="U4541" s="1" t="s">
        <v>22</v>
      </c>
      <c r="V4541" s="1" t="s">
        <v>24</v>
      </c>
      <c r="W4541" s="1" t="s">
        <v>24</v>
      </c>
      <c r="X4541" s="1">
        <v>2720</v>
      </c>
      <c r="Y4541" s="1" t="s">
        <v>24</v>
      </c>
      <c r="Z4541" s="1" t="s">
        <v>24</v>
      </c>
      <c r="AA4541" s="1" t="s">
        <v>24</v>
      </c>
      <c r="AB4541" s="1" t="s">
        <v>24</v>
      </c>
      <c r="AC4541" s="1" t="s">
        <v>24</v>
      </c>
      <c r="AD4541" s="1" t="s">
        <v>24</v>
      </c>
      <c r="AE4541" s="1" t="s">
        <v>24</v>
      </c>
      <c r="AF4541" s="22"/>
    </row>
    <row r="4542" spans="1:32" x14ac:dyDescent="0.2">
      <c r="A4542" s="1">
        <v>41953</v>
      </c>
      <c r="B4542" s="1" t="s">
        <v>13899</v>
      </c>
      <c r="C4542" s="5" t="s">
        <v>0</v>
      </c>
      <c r="E4542" s="1" t="s">
        <v>13900</v>
      </c>
      <c r="F4542" s="1" t="s">
        <v>2299</v>
      </c>
      <c r="G4542" s="1" t="s">
        <v>2300</v>
      </c>
      <c r="H4542" s="1" t="s">
        <v>37</v>
      </c>
      <c r="I4542" s="1" t="s">
        <v>16</v>
      </c>
      <c r="J4542" s="1">
        <v>1</v>
      </c>
      <c r="K4542" s="1">
        <v>1</v>
      </c>
      <c r="L4542" s="1" t="s">
        <v>31</v>
      </c>
      <c r="M4542" s="1" t="s">
        <v>18</v>
      </c>
      <c r="N4542" s="1" t="s">
        <v>18</v>
      </c>
      <c r="O4542" s="1">
        <v>3</v>
      </c>
      <c r="P4542" s="1">
        <v>7</v>
      </c>
      <c r="Q4542" s="7" t="s">
        <v>17633</v>
      </c>
      <c r="R4542" s="1" t="s">
        <v>19</v>
      </c>
      <c r="S4542" s="1" t="s">
        <v>63</v>
      </c>
      <c r="T4542" s="1" t="s">
        <v>21</v>
      </c>
      <c r="U4542" s="1" t="s">
        <v>22</v>
      </c>
      <c r="V4542" s="1" t="s">
        <v>23</v>
      </c>
      <c r="W4542" s="1" t="s">
        <v>24</v>
      </c>
      <c r="X4542" s="1">
        <v>2730</v>
      </c>
      <c r="Y4542" s="1">
        <v>2729</v>
      </c>
      <c r="Z4542" s="1" t="s">
        <v>24</v>
      </c>
      <c r="AA4542" s="1" t="s">
        <v>24</v>
      </c>
      <c r="AB4542" s="1" t="s">
        <v>24</v>
      </c>
      <c r="AC4542" s="1" t="s">
        <v>24</v>
      </c>
      <c r="AD4542" s="1" t="s">
        <v>24</v>
      </c>
      <c r="AE4542" s="1" t="s">
        <v>24</v>
      </c>
      <c r="AF4542" s="22"/>
    </row>
    <row r="4543" spans="1:32" x14ac:dyDescent="0.2">
      <c r="A4543" s="1">
        <v>41955</v>
      </c>
      <c r="B4543" s="1" t="s">
        <v>13901</v>
      </c>
      <c r="C4543" s="5" t="s">
        <v>0</v>
      </c>
      <c r="D4543" s="1" t="s">
        <v>13902</v>
      </c>
      <c r="E4543" s="1" t="s">
        <v>13903</v>
      </c>
      <c r="F4543" s="1" t="s">
        <v>3737</v>
      </c>
      <c r="G4543" s="1" t="s">
        <v>3738</v>
      </c>
      <c r="H4543" s="1" t="s">
        <v>30</v>
      </c>
      <c r="I4543" s="1" t="s">
        <v>16</v>
      </c>
      <c r="J4543" s="1">
        <v>1</v>
      </c>
      <c r="K4543" s="1">
        <v>51</v>
      </c>
      <c r="L4543" s="1" t="s">
        <v>42</v>
      </c>
      <c r="M4543" s="1" t="s">
        <v>18</v>
      </c>
      <c r="N4543" s="1" t="s">
        <v>18</v>
      </c>
      <c r="O4543" s="1">
        <v>3</v>
      </c>
      <c r="P4543" s="1">
        <v>7</v>
      </c>
      <c r="Q4543" s="7" t="s">
        <v>17633</v>
      </c>
      <c r="R4543" s="1" t="s">
        <v>19</v>
      </c>
      <c r="S4543" s="1" t="s">
        <v>20</v>
      </c>
      <c r="T4543" s="1" t="s">
        <v>21</v>
      </c>
      <c r="U4543" s="1" t="s">
        <v>22</v>
      </c>
      <c r="V4543" s="1" t="s">
        <v>24</v>
      </c>
      <c r="W4543" s="1" t="s">
        <v>24</v>
      </c>
      <c r="X4543" s="1">
        <v>1303</v>
      </c>
      <c r="Y4543" s="1">
        <v>1307</v>
      </c>
      <c r="Z4543" s="1">
        <v>1312</v>
      </c>
      <c r="AA4543" s="1" t="s">
        <v>24</v>
      </c>
      <c r="AB4543" s="1" t="s">
        <v>24</v>
      </c>
      <c r="AC4543" s="1" t="s">
        <v>24</v>
      </c>
      <c r="AD4543" s="1" t="s">
        <v>24</v>
      </c>
      <c r="AE4543" s="1" t="s">
        <v>24</v>
      </c>
      <c r="AF4543" s="22"/>
    </row>
    <row r="4544" spans="1:32" x14ac:dyDescent="0.2">
      <c r="A4544" s="1">
        <v>41956</v>
      </c>
      <c r="B4544" s="1" t="s">
        <v>13904</v>
      </c>
      <c r="C4544" s="5" t="s">
        <v>0</v>
      </c>
      <c r="D4544" s="1" t="s">
        <v>13905</v>
      </c>
      <c r="F4544" s="1" t="s">
        <v>13906</v>
      </c>
      <c r="G4544" s="1" t="s">
        <v>13907</v>
      </c>
      <c r="H4544" s="1" t="s">
        <v>1384</v>
      </c>
      <c r="I4544" s="1" t="s">
        <v>16</v>
      </c>
      <c r="J4544" s="1">
        <v>1</v>
      </c>
      <c r="K4544" s="1">
        <v>4</v>
      </c>
      <c r="L4544" s="1" t="s">
        <v>31</v>
      </c>
      <c r="M4544" s="1" t="s">
        <v>1385</v>
      </c>
      <c r="N4544" s="1" t="s">
        <v>3142</v>
      </c>
      <c r="O4544" s="1">
        <v>3</v>
      </c>
      <c r="P4544" s="1">
        <v>5</v>
      </c>
      <c r="R4544" s="1" t="s">
        <v>19</v>
      </c>
      <c r="S4544" s="1" t="s">
        <v>20</v>
      </c>
      <c r="T4544" s="1" t="s">
        <v>21</v>
      </c>
      <c r="U4544" s="1" t="s">
        <v>22</v>
      </c>
      <c r="V4544" s="1" t="s">
        <v>24</v>
      </c>
      <c r="W4544" s="1" t="s">
        <v>24</v>
      </c>
      <c r="X4544" s="1">
        <v>2731</v>
      </c>
      <c r="Y4544" s="1" t="s">
        <v>24</v>
      </c>
      <c r="Z4544" s="1" t="s">
        <v>24</v>
      </c>
      <c r="AA4544" s="1" t="s">
        <v>24</v>
      </c>
      <c r="AB4544" s="1" t="s">
        <v>24</v>
      </c>
      <c r="AC4544" s="1" t="s">
        <v>24</v>
      </c>
      <c r="AD4544" s="1" t="s">
        <v>24</v>
      </c>
      <c r="AE4544" s="1" t="s">
        <v>24</v>
      </c>
      <c r="AF4544" s="22"/>
    </row>
    <row r="4545" spans="1:32" x14ac:dyDescent="0.2">
      <c r="A4545" s="1">
        <v>41957</v>
      </c>
      <c r="B4545" s="1" t="s">
        <v>13908</v>
      </c>
      <c r="C4545" s="5" t="s">
        <v>0</v>
      </c>
      <c r="D4545" s="1" t="s">
        <v>13909</v>
      </c>
      <c r="E4545" s="1" t="s">
        <v>13910</v>
      </c>
      <c r="F4545" s="1" t="s">
        <v>555</v>
      </c>
      <c r="G4545" s="1" t="s">
        <v>36</v>
      </c>
      <c r="H4545" s="1" t="s">
        <v>37</v>
      </c>
      <c r="I4545" s="1" t="s">
        <v>16</v>
      </c>
      <c r="J4545" s="1">
        <v>1</v>
      </c>
      <c r="K4545" s="1">
        <v>12</v>
      </c>
      <c r="L4545" s="1" t="s">
        <v>31</v>
      </c>
      <c r="M4545" s="1" t="s">
        <v>18</v>
      </c>
      <c r="N4545" s="1" t="s">
        <v>18</v>
      </c>
      <c r="O4545" s="1">
        <v>3</v>
      </c>
      <c r="P4545" s="1">
        <v>7</v>
      </c>
      <c r="Q4545" s="7" t="s">
        <v>17633</v>
      </c>
      <c r="R4545" s="1" t="s">
        <v>19</v>
      </c>
      <c r="S4545" s="1" t="s">
        <v>20</v>
      </c>
      <c r="T4545" s="1" t="s">
        <v>21</v>
      </c>
      <c r="U4545" s="1" t="s">
        <v>22</v>
      </c>
      <c r="V4545" s="1" t="s">
        <v>24</v>
      </c>
      <c r="W4545" s="1" t="s">
        <v>24</v>
      </c>
      <c r="X4545" s="1">
        <v>1313</v>
      </c>
      <c r="Y4545" s="1" t="s">
        <v>24</v>
      </c>
      <c r="Z4545" s="1" t="s">
        <v>24</v>
      </c>
      <c r="AA4545" s="1" t="s">
        <v>24</v>
      </c>
      <c r="AB4545" s="1" t="s">
        <v>24</v>
      </c>
      <c r="AC4545" s="1" t="s">
        <v>24</v>
      </c>
      <c r="AD4545" s="1" t="s">
        <v>24</v>
      </c>
      <c r="AE4545" s="1" t="s">
        <v>24</v>
      </c>
      <c r="AF4545" s="22"/>
    </row>
    <row r="4546" spans="1:32" x14ac:dyDescent="0.2">
      <c r="A4546" s="1">
        <v>41958</v>
      </c>
      <c r="B4546" s="1" t="s">
        <v>13911</v>
      </c>
      <c r="C4546" s="5" t="s">
        <v>0</v>
      </c>
      <c r="D4546" s="1" t="s">
        <v>13912</v>
      </c>
      <c r="E4546" s="1" t="s">
        <v>13913</v>
      </c>
      <c r="F4546" s="1" t="s">
        <v>296</v>
      </c>
      <c r="G4546" s="1" t="s">
        <v>36</v>
      </c>
      <c r="H4546" s="1" t="s">
        <v>264</v>
      </c>
      <c r="I4546" s="1" t="s">
        <v>16</v>
      </c>
      <c r="J4546" s="1">
        <v>1</v>
      </c>
      <c r="K4546" s="1">
        <v>4</v>
      </c>
      <c r="L4546" s="1" t="s">
        <v>31</v>
      </c>
      <c r="M4546" s="1" t="s">
        <v>18</v>
      </c>
      <c r="N4546" s="1" t="s">
        <v>18</v>
      </c>
      <c r="O4546" s="1">
        <v>3</v>
      </c>
      <c r="P4546" s="1">
        <v>7</v>
      </c>
      <c r="Q4546" s="7" t="s">
        <v>17633</v>
      </c>
      <c r="R4546" s="1" t="s">
        <v>19</v>
      </c>
      <c r="S4546" s="1" t="s">
        <v>20</v>
      </c>
      <c r="T4546" s="1" t="s">
        <v>21</v>
      </c>
      <c r="U4546" s="1" t="s">
        <v>22</v>
      </c>
      <c r="V4546" s="1" t="s">
        <v>23</v>
      </c>
      <c r="W4546" s="1" t="s">
        <v>24</v>
      </c>
      <c r="X4546" s="1">
        <v>2700</v>
      </c>
      <c r="Y4546" s="1">
        <v>2719</v>
      </c>
      <c r="Z4546" s="1" t="s">
        <v>24</v>
      </c>
      <c r="AA4546" s="1" t="s">
        <v>24</v>
      </c>
      <c r="AB4546" s="1" t="s">
        <v>24</v>
      </c>
      <c r="AC4546" s="1" t="s">
        <v>24</v>
      </c>
      <c r="AD4546" s="1" t="s">
        <v>24</v>
      </c>
      <c r="AE4546" s="1" t="s">
        <v>24</v>
      </c>
      <c r="AF4546" s="22"/>
    </row>
    <row r="4547" spans="1:32" x14ac:dyDescent="0.2">
      <c r="A4547" s="1">
        <v>41959</v>
      </c>
      <c r="B4547" s="1" t="s">
        <v>13914</v>
      </c>
      <c r="C4547" s="5" t="s">
        <v>0</v>
      </c>
      <c r="E4547" s="1" t="s">
        <v>13915</v>
      </c>
      <c r="F4547" s="1" t="s">
        <v>13916</v>
      </c>
      <c r="G4547" s="1" t="s">
        <v>13916</v>
      </c>
      <c r="H4547" s="1" t="s">
        <v>37</v>
      </c>
      <c r="I4547" s="1" t="s">
        <v>16</v>
      </c>
      <c r="J4547" s="1">
        <v>1</v>
      </c>
      <c r="K4547" s="1">
        <v>1</v>
      </c>
      <c r="L4547" s="1" t="s">
        <v>42</v>
      </c>
      <c r="M4547" s="1" t="s">
        <v>18</v>
      </c>
      <c r="N4547" s="1" t="s">
        <v>18</v>
      </c>
      <c r="O4547" s="1">
        <v>3</v>
      </c>
      <c r="P4547" s="1">
        <v>7</v>
      </c>
      <c r="Q4547" s="7" t="s">
        <v>17633</v>
      </c>
      <c r="R4547" s="1" t="s">
        <v>19</v>
      </c>
      <c r="S4547" s="1" t="s">
        <v>63</v>
      </c>
      <c r="T4547" s="1" t="s">
        <v>21</v>
      </c>
      <c r="U4547" s="1" t="s">
        <v>22</v>
      </c>
      <c r="V4547" s="1" t="s">
        <v>23</v>
      </c>
      <c r="W4547" s="1" t="s">
        <v>24</v>
      </c>
      <c r="X4547" s="1">
        <v>2725</v>
      </c>
      <c r="Y4547" s="1">
        <v>2739</v>
      </c>
      <c r="Z4547" s="1" t="s">
        <v>24</v>
      </c>
      <c r="AA4547" s="1" t="s">
        <v>24</v>
      </c>
      <c r="AB4547" s="1" t="s">
        <v>24</v>
      </c>
      <c r="AC4547" s="1" t="s">
        <v>24</v>
      </c>
      <c r="AD4547" s="1" t="s">
        <v>24</v>
      </c>
      <c r="AE4547" s="1" t="s">
        <v>24</v>
      </c>
      <c r="AF4547" s="22"/>
    </row>
    <row r="4548" spans="1:32" x14ac:dyDescent="0.2">
      <c r="A4548" s="1">
        <v>41960</v>
      </c>
      <c r="B4548" s="1" t="s">
        <v>13917</v>
      </c>
      <c r="C4548" s="5" t="s">
        <v>0</v>
      </c>
      <c r="D4548" s="1" t="s">
        <v>13918</v>
      </c>
      <c r="E4548" s="1" t="s">
        <v>13919</v>
      </c>
      <c r="F4548" s="1" t="s">
        <v>1412</v>
      </c>
      <c r="G4548" s="1" t="s">
        <v>1413</v>
      </c>
      <c r="H4548" s="1" t="s">
        <v>30</v>
      </c>
      <c r="I4548" s="1" t="s">
        <v>16</v>
      </c>
      <c r="J4548" s="1">
        <v>1</v>
      </c>
      <c r="K4548" s="1">
        <v>1</v>
      </c>
      <c r="L4548" s="1" t="s">
        <v>31</v>
      </c>
      <c r="M4548" s="1" t="s">
        <v>18</v>
      </c>
      <c r="N4548" s="1" t="s">
        <v>18</v>
      </c>
      <c r="O4548" s="1">
        <v>3</v>
      </c>
      <c r="P4548" s="1">
        <v>7</v>
      </c>
      <c r="Q4548" s="7" t="s">
        <v>17633</v>
      </c>
      <c r="R4548" s="1" t="s">
        <v>19</v>
      </c>
      <c r="S4548" s="1" t="s">
        <v>63</v>
      </c>
      <c r="T4548" s="1" t="s">
        <v>21</v>
      </c>
      <c r="U4548" s="1" t="s">
        <v>22</v>
      </c>
      <c r="V4548" s="1" t="s">
        <v>24</v>
      </c>
      <c r="W4548" s="1" t="s">
        <v>24</v>
      </c>
      <c r="X4548" s="1">
        <v>2720</v>
      </c>
      <c r="Y4548" s="1" t="s">
        <v>24</v>
      </c>
      <c r="Z4548" s="1" t="s">
        <v>24</v>
      </c>
      <c r="AA4548" s="1" t="s">
        <v>24</v>
      </c>
      <c r="AB4548" s="1" t="s">
        <v>24</v>
      </c>
      <c r="AC4548" s="1" t="s">
        <v>24</v>
      </c>
      <c r="AD4548" s="1" t="s">
        <v>24</v>
      </c>
      <c r="AE4548" s="1" t="s">
        <v>24</v>
      </c>
      <c r="AF4548" s="22"/>
    </row>
    <row r="4549" spans="1:32" x14ac:dyDescent="0.2">
      <c r="A4549" s="1">
        <v>41961</v>
      </c>
      <c r="B4549" s="1" t="s">
        <v>13920</v>
      </c>
      <c r="C4549" s="5" t="s">
        <v>0</v>
      </c>
      <c r="D4549" s="1" t="s">
        <v>13921</v>
      </c>
      <c r="F4549" s="1" t="s">
        <v>28</v>
      </c>
      <c r="G4549" s="1" t="s">
        <v>29</v>
      </c>
      <c r="H4549" s="1" t="s">
        <v>30</v>
      </c>
      <c r="I4549" s="1" t="s">
        <v>5001</v>
      </c>
      <c r="J4549" s="1">
        <v>1</v>
      </c>
      <c r="K4549" s="1">
        <v>12</v>
      </c>
      <c r="L4549" s="1" t="s">
        <v>31</v>
      </c>
      <c r="M4549" s="1" t="s">
        <v>18</v>
      </c>
      <c r="N4549" s="1" t="s">
        <v>18</v>
      </c>
      <c r="O4549" s="1">
        <v>2</v>
      </c>
      <c r="P4549" s="1">
        <v>5</v>
      </c>
      <c r="R4549" s="1" t="s">
        <v>19</v>
      </c>
      <c r="S4549" s="1" t="s">
        <v>20</v>
      </c>
      <c r="T4549" s="1" t="s">
        <v>21</v>
      </c>
      <c r="U4549" s="1" t="s">
        <v>22</v>
      </c>
      <c r="V4549" s="1" t="s">
        <v>24</v>
      </c>
      <c r="W4549" s="1" t="s">
        <v>24</v>
      </c>
      <c r="X4549" s="1">
        <v>3004</v>
      </c>
      <c r="Y4549" s="1">
        <v>2738</v>
      </c>
      <c r="Z4549" s="1">
        <v>2736</v>
      </c>
      <c r="AA4549" s="1" t="s">
        <v>24</v>
      </c>
      <c r="AB4549" s="1" t="s">
        <v>24</v>
      </c>
      <c r="AC4549" s="1" t="s">
        <v>24</v>
      </c>
      <c r="AD4549" s="1" t="s">
        <v>24</v>
      </c>
      <c r="AE4549" s="1" t="s">
        <v>24</v>
      </c>
      <c r="AF4549" s="22"/>
    </row>
    <row r="4550" spans="1:32" x14ac:dyDescent="0.2">
      <c r="A4550" s="1">
        <v>41962</v>
      </c>
      <c r="B4550" s="1" t="s">
        <v>13922</v>
      </c>
      <c r="C4550" s="5" t="s">
        <v>0</v>
      </c>
      <c r="D4550" s="1" t="s">
        <v>13923</v>
      </c>
      <c r="F4550" s="1" t="s">
        <v>13924</v>
      </c>
      <c r="G4550" s="1" t="s">
        <v>13925</v>
      </c>
      <c r="H4550" s="1" t="s">
        <v>4080</v>
      </c>
      <c r="I4550" s="1" t="s">
        <v>16</v>
      </c>
      <c r="J4550" s="1">
        <v>1</v>
      </c>
      <c r="K4550" s="1">
        <v>6</v>
      </c>
      <c r="L4550" s="1" t="s">
        <v>31</v>
      </c>
      <c r="M4550" s="1" t="s">
        <v>10659</v>
      </c>
      <c r="N4550" s="1" t="s">
        <v>4081</v>
      </c>
      <c r="O4550" s="1">
        <v>3</v>
      </c>
      <c r="P4550" s="1">
        <v>5</v>
      </c>
      <c r="R4550" s="1" t="s">
        <v>19</v>
      </c>
      <c r="S4550" s="1" t="s">
        <v>20</v>
      </c>
      <c r="T4550" s="1" t="s">
        <v>21</v>
      </c>
      <c r="U4550" s="1" t="s">
        <v>22</v>
      </c>
      <c r="V4550" s="1" t="s">
        <v>24</v>
      </c>
      <c r="W4550" s="1" t="s">
        <v>24</v>
      </c>
      <c r="X4550" s="1">
        <v>3003</v>
      </c>
      <c r="Y4550" s="1">
        <v>3004</v>
      </c>
      <c r="Z4550" s="1" t="s">
        <v>24</v>
      </c>
      <c r="AA4550" s="1" t="s">
        <v>24</v>
      </c>
      <c r="AB4550" s="1" t="s">
        <v>24</v>
      </c>
      <c r="AC4550" s="1" t="s">
        <v>24</v>
      </c>
      <c r="AD4550" s="1" t="s">
        <v>24</v>
      </c>
      <c r="AE4550" s="1" t="s">
        <v>24</v>
      </c>
      <c r="AF4550" s="22"/>
    </row>
    <row r="4551" spans="1:32" x14ac:dyDescent="0.2">
      <c r="A4551" s="1">
        <v>41963</v>
      </c>
      <c r="B4551" s="1" t="s">
        <v>13926</v>
      </c>
      <c r="C4551" s="5" t="s">
        <v>0</v>
      </c>
      <c r="D4551" s="1" t="s">
        <v>13927</v>
      </c>
      <c r="E4551" s="1" t="s">
        <v>13928</v>
      </c>
      <c r="F4551" s="1" t="s">
        <v>9718</v>
      </c>
      <c r="G4551" s="1" t="s">
        <v>130</v>
      </c>
      <c r="H4551" s="1" t="s">
        <v>30</v>
      </c>
      <c r="I4551" s="1" t="s">
        <v>16</v>
      </c>
      <c r="J4551" s="1">
        <v>1</v>
      </c>
      <c r="K4551" s="1">
        <v>6</v>
      </c>
      <c r="L4551" s="1" t="s">
        <v>31</v>
      </c>
      <c r="M4551" s="1" t="s">
        <v>18</v>
      </c>
      <c r="N4551" s="1" t="s">
        <v>18</v>
      </c>
      <c r="O4551" s="1">
        <v>3</v>
      </c>
      <c r="P4551" s="1">
        <v>6</v>
      </c>
      <c r="R4551" s="1" t="s">
        <v>19</v>
      </c>
      <c r="S4551" s="1" t="s">
        <v>20</v>
      </c>
      <c r="T4551" s="1" t="s">
        <v>21</v>
      </c>
      <c r="U4551" s="1" t="s">
        <v>22</v>
      </c>
      <c r="V4551" s="1" t="s">
        <v>24</v>
      </c>
      <c r="W4551" s="1" t="s">
        <v>24</v>
      </c>
      <c r="X4551" s="1">
        <v>2730</v>
      </c>
      <c r="Y4551" s="1" t="s">
        <v>24</v>
      </c>
      <c r="Z4551" s="1" t="s">
        <v>24</v>
      </c>
      <c r="AA4551" s="1" t="s">
        <v>24</v>
      </c>
      <c r="AB4551" s="1" t="s">
        <v>24</v>
      </c>
      <c r="AC4551" s="1" t="s">
        <v>24</v>
      </c>
      <c r="AD4551" s="1" t="s">
        <v>24</v>
      </c>
      <c r="AE4551" s="1" t="s">
        <v>24</v>
      </c>
      <c r="AF4551" s="22"/>
    </row>
    <row r="4552" spans="1:32" x14ac:dyDescent="0.2">
      <c r="A4552" s="1">
        <v>41964</v>
      </c>
      <c r="B4552" s="1" t="s">
        <v>13929</v>
      </c>
      <c r="C4552" s="5" t="s">
        <v>0</v>
      </c>
      <c r="D4552" s="1" t="s">
        <v>13930</v>
      </c>
      <c r="E4552" s="1" t="s">
        <v>13931</v>
      </c>
      <c r="F4552" s="1" t="s">
        <v>9718</v>
      </c>
      <c r="G4552" s="1" t="s">
        <v>130</v>
      </c>
      <c r="H4552" s="1" t="s">
        <v>30</v>
      </c>
      <c r="I4552" s="1" t="s">
        <v>16</v>
      </c>
      <c r="J4552" s="1">
        <v>1</v>
      </c>
      <c r="K4552" s="1">
        <v>4</v>
      </c>
      <c r="L4552" s="1" t="s">
        <v>31</v>
      </c>
      <c r="M4552" s="1" t="s">
        <v>18</v>
      </c>
      <c r="N4552" s="1" t="s">
        <v>18</v>
      </c>
      <c r="O4552" s="1">
        <v>3</v>
      </c>
      <c r="P4552" s="1">
        <v>6</v>
      </c>
      <c r="R4552" s="1" t="s">
        <v>19</v>
      </c>
      <c r="S4552" s="1" t="s">
        <v>20</v>
      </c>
      <c r="T4552" s="1" t="s">
        <v>21</v>
      </c>
      <c r="U4552" s="1" t="s">
        <v>22</v>
      </c>
      <c r="V4552" s="1" t="s">
        <v>24</v>
      </c>
      <c r="W4552" s="1" t="s">
        <v>24</v>
      </c>
      <c r="X4552" s="1">
        <v>2730</v>
      </c>
      <c r="Y4552" s="1">
        <v>2715</v>
      </c>
      <c r="Z4552" s="1">
        <v>2721</v>
      </c>
      <c r="AA4552" s="1" t="s">
        <v>24</v>
      </c>
      <c r="AB4552" s="1" t="s">
        <v>24</v>
      </c>
      <c r="AC4552" s="1" t="s">
        <v>24</v>
      </c>
      <c r="AD4552" s="1" t="s">
        <v>24</v>
      </c>
      <c r="AE4552" s="1" t="s">
        <v>24</v>
      </c>
      <c r="AF4552" s="22"/>
    </row>
    <row r="4553" spans="1:32" x14ac:dyDescent="0.2">
      <c r="A4553" s="1">
        <v>41965</v>
      </c>
      <c r="B4553" s="1" t="s">
        <v>13932</v>
      </c>
      <c r="C4553" s="5" t="s">
        <v>0</v>
      </c>
      <c r="D4553" s="1" t="s">
        <v>13933</v>
      </c>
      <c r="E4553" s="1" t="s">
        <v>13934</v>
      </c>
      <c r="F4553" s="1" t="s">
        <v>9718</v>
      </c>
      <c r="G4553" s="1" t="s">
        <v>130</v>
      </c>
      <c r="H4553" s="1" t="s">
        <v>30</v>
      </c>
      <c r="I4553" s="1" t="s">
        <v>16</v>
      </c>
      <c r="J4553" s="1">
        <v>1</v>
      </c>
      <c r="K4553" s="1">
        <v>4</v>
      </c>
      <c r="L4553" s="1" t="s">
        <v>31</v>
      </c>
      <c r="M4553" s="1" t="s">
        <v>18</v>
      </c>
      <c r="N4553" s="1" t="s">
        <v>18</v>
      </c>
      <c r="O4553" s="1">
        <v>3</v>
      </c>
      <c r="P4553" s="1">
        <v>6</v>
      </c>
      <c r="R4553" s="1" t="s">
        <v>19</v>
      </c>
      <c r="S4553" s="1" t="s">
        <v>20</v>
      </c>
      <c r="T4553" s="1" t="s">
        <v>21</v>
      </c>
      <c r="U4553" s="1" t="s">
        <v>22</v>
      </c>
      <c r="V4553" s="1" t="s">
        <v>24</v>
      </c>
      <c r="W4553" s="1" t="s">
        <v>24</v>
      </c>
      <c r="X4553" s="1">
        <v>2725</v>
      </c>
      <c r="Y4553" s="1" t="s">
        <v>24</v>
      </c>
      <c r="Z4553" s="1" t="s">
        <v>24</v>
      </c>
      <c r="AA4553" s="1" t="s">
        <v>24</v>
      </c>
      <c r="AB4553" s="1" t="s">
        <v>24</v>
      </c>
      <c r="AC4553" s="1" t="s">
        <v>24</v>
      </c>
      <c r="AD4553" s="1" t="s">
        <v>24</v>
      </c>
      <c r="AE4553" s="1" t="s">
        <v>24</v>
      </c>
      <c r="AF4553" s="22"/>
    </row>
    <row r="4554" spans="1:32" x14ac:dyDescent="0.2">
      <c r="A4554" s="1">
        <v>41966</v>
      </c>
      <c r="B4554" s="1" t="s">
        <v>13935</v>
      </c>
      <c r="C4554" s="5" t="s">
        <v>0</v>
      </c>
      <c r="D4554" s="1" t="s">
        <v>12816</v>
      </c>
      <c r="E4554" s="1" t="s">
        <v>12817</v>
      </c>
      <c r="F4554" s="1" t="s">
        <v>13936</v>
      </c>
      <c r="G4554" s="1" t="s">
        <v>13936</v>
      </c>
      <c r="H4554" s="1" t="s">
        <v>13937</v>
      </c>
      <c r="I4554" s="1" t="s">
        <v>16</v>
      </c>
      <c r="J4554" s="1">
        <v>0</v>
      </c>
      <c r="K4554" s="1">
        <v>0</v>
      </c>
      <c r="L4554" s="1" t="s">
        <v>42</v>
      </c>
      <c r="M4554" s="1" t="s">
        <v>18</v>
      </c>
      <c r="N4554" s="1" t="s">
        <v>18</v>
      </c>
      <c r="O4554" s="1">
        <v>3</v>
      </c>
      <c r="P4554" s="1">
        <v>6</v>
      </c>
      <c r="R4554" s="1" t="s">
        <v>19</v>
      </c>
      <c r="S4554" s="1" t="s">
        <v>20</v>
      </c>
      <c r="T4554" s="1" t="s">
        <v>21</v>
      </c>
      <c r="U4554" s="1" t="s">
        <v>22</v>
      </c>
      <c r="V4554" s="1" t="s">
        <v>24</v>
      </c>
      <c r="W4554" s="1" t="s">
        <v>24</v>
      </c>
      <c r="X4554" s="1">
        <v>2700</v>
      </c>
      <c r="Y4554" s="1" t="s">
        <v>24</v>
      </c>
      <c r="Z4554" s="1" t="s">
        <v>24</v>
      </c>
      <c r="AA4554" s="1" t="s">
        <v>24</v>
      </c>
      <c r="AB4554" s="1" t="s">
        <v>24</v>
      </c>
      <c r="AC4554" s="1" t="s">
        <v>24</v>
      </c>
      <c r="AD4554" s="1" t="s">
        <v>24</v>
      </c>
      <c r="AE4554" s="1" t="s">
        <v>24</v>
      </c>
      <c r="AF4554" s="22"/>
    </row>
    <row r="4555" spans="1:32" x14ac:dyDescent="0.2">
      <c r="A4555" s="1">
        <v>41967</v>
      </c>
      <c r="B4555" s="1" t="s">
        <v>13938</v>
      </c>
      <c r="C4555" s="5" t="s">
        <v>0</v>
      </c>
      <c r="D4555" s="1" t="s">
        <v>13939</v>
      </c>
      <c r="F4555" s="1" t="s">
        <v>13940</v>
      </c>
      <c r="G4555" s="1" t="s">
        <v>13940</v>
      </c>
      <c r="H4555" s="1" t="s">
        <v>466</v>
      </c>
      <c r="I4555" s="1" t="s">
        <v>16</v>
      </c>
      <c r="J4555" s="1">
        <v>1</v>
      </c>
      <c r="K4555" s="1">
        <v>4</v>
      </c>
      <c r="L4555" s="1" t="s">
        <v>42</v>
      </c>
      <c r="M4555" s="1" t="s">
        <v>75</v>
      </c>
      <c r="N4555" s="1" t="s">
        <v>75</v>
      </c>
      <c r="O4555" s="1">
        <v>3</v>
      </c>
      <c r="P4555" s="1">
        <v>6</v>
      </c>
      <c r="R4555" s="1" t="s">
        <v>19</v>
      </c>
      <c r="S4555" s="1" t="s">
        <v>20</v>
      </c>
      <c r="T4555" s="1" t="s">
        <v>21</v>
      </c>
      <c r="U4555" s="1" t="s">
        <v>22</v>
      </c>
      <c r="V4555" s="1" t="s">
        <v>24</v>
      </c>
      <c r="W4555" s="1" t="s">
        <v>24</v>
      </c>
      <c r="X4555" s="1">
        <v>2723</v>
      </c>
      <c r="Y4555" s="1">
        <v>2403</v>
      </c>
      <c r="Z4555" s="1" t="s">
        <v>24</v>
      </c>
      <c r="AA4555" s="1" t="s">
        <v>24</v>
      </c>
      <c r="AB4555" s="1" t="s">
        <v>24</v>
      </c>
      <c r="AC4555" s="1" t="s">
        <v>24</v>
      </c>
      <c r="AD4555" s="1" t="s">
        <v>24</v>
      </c>
      <c r="AE4555" s="1" t="s">
        <v>24</v>
      </c>
      <c r="AF4555" s="22"/>
    </row>
    <row r="4556" spans="1:32" x14ac:dyDescent="0.2">
      <c r="A4556" s="1">
        <v>41968</v>
      </c>
      <c r="B4556" s="1" t="s">
        <v>13941</v>
      </c>
      <c r="C4556" s="5" t="s">
        <v>0</v>
      </c>
      <c r="E4556" s="1" t="s">
        <v>13942</v>
      </c>
      <c r="F4556" s="1" t="s">
        <v>6405</v>
      </c>
      <c r="G4556" s="1" t="s">
        <v>6406</v>
      </c>
      <c r="H4556" s="1" t="s">
        <v>92</v>
      </c>
      <c r="I4556" s="1" t="s">
        <v>16</v>
      </c>
      <c r="J4556" s="1">
        <v>1</v>
      </c>
      <c r="K4556" s="1">
        <v>1</v>
      </c>
      <c r="L4556" s="1" t="s">
        <v>31</v>
      </c>
      <c r="M4556" s="1" t="s">
        <v>18</v>
      </c>
      <c r="N4556" s="1" t="s">
        <v>18</v>
      </c>
      <c r="O4556" s="1">
        <v>3</v>
      </c>
      <c r="P4556" s="1">
        <v>7</v>
      </c>
      <c r="Q4556" s="7" t="s">
        <v>17633</v>
      </c>
      <c r="R4556" s="1" t="s">
        <v>19</v>
      </c>
      <c r="S4556" s="1" t="s">
        <v>63</v>
      </c>
      <c r="T4556" s="1" t="s">
        <v>21</v>
      </c>
      <c r="U4556" s="1" t="s">
        <v>22</v>
      </c>
      <c r="V4556" s="1" t="s">
        <v>24</v>
      </c>
      <c r="W4556" s="1" t="s">
        <v>24</v>
      </c>
      <c r="X4556" s="1">
        <v>2740</v>
      </c>
      <c r="Y4556" s="1" t="s">
        <v>24</v>
      </c>
      <c r="Z4556" s="1" t="s">
        <v>24</v>
      </c>
      <c r="AA4556" s="1" t="s">
        <v>24</v>
      </c>
      <c r="AB4556" s="1" t="s">
        <v>24</v>
      </c>
      <c r="AC4556" s="1" t="s">
        <v>24</v>
      </c>
      <c r="AD4556" s="1" t="s">
        <v>24</v>
      </c>
      <c r="AE4556" s="1" t="s">
        <v>24</v>
      </c>
      <c r="AF4556" s="22"/>
    </row>
    <row r="4557" spans="1:32" x14ac:dyDescent="0.2">
      <c r="A4557" s="1">
        <v>41969</v>
      </c>
      <c r="B4557" s="1" t="s">
        <v>13943</v>
      </c>
      <c r="C4557" s="5" t="s">
        <v>0</v>
      </c>
      <c r="E4557" s="1" t="s">
        <v>13944</v>
      </c>
      <c r="F4557" s="1" t="s">
        <v>6405</v>
      </c>
      <c r="G4557" s="1" t="s">
        <v>6406</v>
      </c>
      <c r="H4557" s="1" t="s">
        <v>92</v>
      </c>
      <c r="I4557" s="1" t="s">
        <v>16</v>
      </c>
      <c r="J4557" s="1">
        <v>1</v>
      </c>
      <c r="K4557" s="1">
        <v>1</v>
      </c>
      <c r="L4557" s="1" t="s">
        <v>31</v>
      </c>
      <c r="M4557" s="1" t="s">
        <v>18</v>
      </c>
      <c r="N4557" s="1" t="s">
        <v>18</v>
      </c>
      <c r="O4557" s="1">
        <v>3</v>
      </c>
      <c r="P4557" s="1">
        <v>7</v>
      </c>
      <c r="Q4557" s="7" t="s">
        <v>17633</v>
      </c>
      <c r="R4557" s="1" t="s">
        <v>19</v>
      </c>
      <c r="S4557" s="1" t="s">
        <v>63</v>
      </c>
      <c r="T4557" s="1" t="s">
        <v>21</v>
      </c>
      <c r="U4557" s="1" t="s">
        <v>22</v>
      </c>
      <c r="V4557" s="1" t="s">
        <v>23</v>
      </c>
      <c r="W4557" s="1" t="s">
        <v>24</v>
      </c>
      <c r="X4557" s="1">
        <v>2745</v>
      </c>
      <c r="Y4557" s="1" t="s">
        <v>24</v>
      </c>
      <c r="Z4557" s="1" t="s">
        <v>24</v>
      </c>
      <c r="AA4557" s="1" t="s">
        <v>24</v>
      </c>
      <c r="AB4557" s="1" t="s">
        <v>24</v>
      </c>
      <c r="AC4557" s="1" t="s">
        <v>24</v>
      </c>
      <c r="AD4557" s="1" t="s">
        <v>24</v>
      </c>
      <c r="AE4557" s="1" t="s">
        <v>24</v>
      </c>
      <c r="AF4557" s="22"/>
    </row>
    <row r="4558" spans="1:32" x14ac:dyDescent="0.2">
      <c r="A4558" s="1">
        <v>41970</v>
      </c>
      <c r="B4558" s="1" t="s">
        <v>13945</v>
      </c>
      <c r="C4558" s="5" t="s">
        <v>0</v>
      </c>
      <c r="D4558" s="1" t="s">
        <v>13946</v>
      </c>
      <c r="F4558" s="1" t="s">
        <v>13947</v>
      </c>
      <c r="G4558" s="1" t="s">
        <v>13947</v>
      </c>
      <c r="H4558" s="1" t="s">
        <v>30</v>
      </c>
      <c r="I4558" s="1" t="s">
        <v>16</v>
      </c>
      <c r="J4558" s="1">
        <v>1</v>
      </c>
      <c r="K4558" s="1">
        <v>12</v>
      </c>
      <c r="L4558" s="1" t="s">
        <v>42</v>
      </c>
      <c r="M4558" s="1" t="s">
        <v>18</v>
      </c>
      <c r="N4558" s="1" t="s">
        <v>18</v>
      </c>
      <c r="O4558" s="1">
        <v>2</v>
      </c>
      <c r="P4558" s="1">
        <v>6</v>
      </c>
      <c r="R4558" s="1" t="s">
        <v>19</v>
      </c>
      <c r="S4558" s="1" t="s">
        <v>20</v>
      </c>
      <c r="T4558" s="1" t="s">
        <v>21</v>
      </c>
      <c r="U4558" s="1" t="s">
        <v>22</v>
      </c>
      <c r="V4558" s="1" t="s">
        <v>23</v>
      </c>
      <c r="W4558" s="1" t="s">
        <v>24</v>
      </c>
      <c r="X4558" s="1">
        <v>2708</v>
      </c>
      <c r="Y4558" s="1" t="s">
        <v>24</v>
      </c>
      <c r="Z4558" s="1" t="s">
        <v>24</v>
      </c>
      <c r="AA4558" s="1" t="s">
        <v>24</v>
      </c>
      <c r="AB4558" s="1" t="s">
        <v>24</v>
      </c>
      <c r="AC4558" s="1" t="s">
        <v>24</v>
      </c>
      <c r="AD4558" s="1" t="s">
        <v>24</v>
      </c>
      <c r="AE4558" s="1" t="s">
        <v>24</v>
      </c>
      <c r="AF4558" s="22"/>
    </row>
    <row r="4559" spans="1:32" x14ac:dyDescent="0.2">
      <c r="A4559" s="1">
        <v>41971</v>
      </c>
      <c r="B4559" s="1" t="s">
        <v>13948</v>
      </c>
      <c r="C4559" s="5" t="s">
        <v>0</v>
      </c>
      <c r="D4559" s="1" t="s">
        <v>13949</v>
      </c>
      <c r="F4559" s="1" t="s">
        <v>11079</v>
      </c>
      <c r="G4559" s="1" t="s">
        <v>11079</v>
      </c>
      <c r="H4559" s="1" t="s">
        <v>3228</v>
      </c>
      <c r="I4559" s="1" t="s">
        <v>16</v>
      </c>
      <c r="J4559" s="1">
        <v>1</v>
      </c>
      <c r="K4559" s="1">
        <v>1</v>
      </c>
      <c r="L4559" s="1" t="s">
        <v>42</v>
      </c>
      <c r="M4559" s="1" t="s">
        <v>18</v>
      </c>
      <c r="N4559" s="1" t="s">
        <v>18</v>
      </c>
      <c r="O4559" s="1">
        <v>3</v>
      </c>
      <c r="P4559" s="1">
        <v>6</v>
      </c>
      <c r="R4559" s="1" t="s">
        <v>19</v>
      </c>
      <c r="S4559" s="1" t="s">
        <v>63</v>
      </c>
      <c r="T4559" s="1" t="s">
        <v>21</v>
      </c>
      <c r="U4559" s="1" t="s">
        <v>22</v>
      </c>
      <c r="V4559" s="1" t="s">
        <v>23</v>
      </c>
      <c r="W4559" s="1" t="s">
        <v>24</v>
      </c>
      <c r="X4559" s="1">
        <v>2708</v>
      </c>
      <c r="Y4559" s="1" t="s">
        <v>24</v>
      </c>
      <c r="Z4559" s="1" t="s">
        <v>24</v>
      </c>
      <c r="AA4559" s="1" t="s">
        <v>24</v>
      </c>
      <c r="AB4559" s="1" t="s">
        <v>24</v>
      </c>
      <c r="AC4559" s="1" t="s">
        <v>24</v>
      </c>
      <c r="AD4559" s="1" t="s">
        <v>24</v>
      </c>
      <c r="AE4559" s="1" t="s">
        <v>24</v>
      </c>
      <c r="AF4559" s="22" t="s">
        <v>17678</v>
      </c>
    </row>
    <row r="4560" spans="1:32" x14ac:dyDescent="0.2">
      <c r="A4560" s="1">
        <v>41972</v>
      </c>
      <c r="B4560" s="1" t="s">
        <v>13950</v>
      </c>
      <c r="C4560" s="5" t="s">
        <v>0</v>
      </c>
      <c r="D4560" s="1" t="s">
        <v>13951</v>
      </c>
      <c r="F4560" s="1" t="s">
        <v>11079</v>
      </c>
      <c r="G4560" s="1" t="s">
        <v>11079</v>
      </c>
      <c r="H4560" s="1" t="s">
        <v>3228</v>
      </c>
      <c r="I4560" s="1" t="s">
        <v>16</v>
      </c>
      <c r="J4560" s="1">
        <v>1</v>
      </c>
      <c r="K4560" s="1">
        <v>1</v>
      </c>
      <c r="L4560" s="1" t="s">
        <v>42</v>
      </c>
      <c r="M4560" s="1" t="s">
        <v>18</v>
      </c>
      <c r="N4560" s="1" t="s">
        <v>18</v>
      </c>
      <c r="O4560" s="1">
        <v>3</v>
      </c>
      <c r="P4560" s="1">
        <v>6</v>
      </c>
      <c r="R4560" s="1" t="s">
        <v>19</v>
      </c>
      <c r="S4560" s="1" t="s">
        <v>63</v>
      </c>
      <c r="T4560" s="1" t="s">
        <v>21</v>
      </c>
      <c r="U4560" s="1" t="s">
        <v>22</v>
      </c>
      <c r="V4560" s="1" t="s">
        <v>23</v>
      </c>
      <c r="W4560" s="1" t="s">
        <v>24</v>
      </c>
      <c r="X4560" s="1">
        <v>2703</v>
      </c>
      <c r="Y4560" s="1" t="s">
        <v>24</v>
      </c>
      <c r="Z4560" s="1" t="s">
        <v>24</v>
      </c>
      <c r="AA4560" s="1" t="s">
        <v>24</v>
      </c>
      <c r="AB4560" s="1" t="s">
        <v>24</v>
      </c>
      <c r="AC4560" s="1" t="s">
        <v>24</v>
      </c>
      <c r="AD4560" s="1" t="s">
        <v>24</v>
      </c>
      <c r="AE4560" s="1" t="s">
        <v>24</v>
      </c>
      <c r="AF4560" s="22" t="s">
        <v>17678</v>
      </c>
    </row>
    <row r="4561" spans="1:32" x14ac:dyDescent="0.2">
      <c r="A4561" s="1">
        <v>41974</v>
      </c>
      <c r="B4561" s="1" t="s">
        <v>13952</v>
      </c>
      <c r="C4561" s="5" t="s">
        <v>0</v>
      </c>
      <c r="D4561" s="1" t="s">
        <v>13953</v>
      </c>
      <c r="F4561" s="1" t="s">
        <v>2591</v>
      </c>
      <c r="G4561" s="1" t="s">
        <v>2591</v>
      </c>
      <c r="H4561" s="1" t="s">
        <v>2592</v>
      </c>
      <c r="I4561" s="1" t="s">
        <v>16</v>
      </c>
      <c r="J4561" s="1">
        <v>1</v>
      </c>
      <c r="K4561" s="1">
        <v>2</v>
      </c>
      <c r="L4561" s="1" t="s">
        <v>42</v>
      </c>
      <c r="M4561" s="1" t="s">
        <v>18</v>
      </c>
      <c r="N4561" s="1" t="s">
        <v>18</v>
      </c>
      <c r="O4561" s="1">
        <v>3</v>
      </c>
      <c r="P4561" s="1">
        <v>6</v>
      </c>
      <c r="R4561" s="1" t="s">
        <v>19</v>
      </c>
      <c r="S4561" s="1" t="s">
        <v>20</v>
      </c>
      <c r="T4561" s="1" t="s">
        <v>21</v>
      </c>
      <c r="U4561" s="1" t="s">
        <v>22</v>
      </c>
      <c r="V4561" s="1" t="s">
        <v>24</v>
      </c>
      <c r="W4561" s="1" t="s">
        <v>24</v>
      </c>
      <c r="X4561" s="1">
        <v>3003</v>
      </c>
      <c r="Y4561" s="1" t="s">
        <v>24</v>
      </c>
      <c r="Z4561" s="1" t="s">
        <v>24</v>
      </c>
      <c r="AA4561" s="1" t="s">
        <v>24</v>
      </c>
      <c r="AB4561" s="1" t="s">
        <v>24</v>
      </c>
      <c r="AC4561" s="1" t="s">
        <v>24</v>
      </c>
      <c r="AD4561" s="1" t="s">
        <v>24</v>
      </c>
      <c r="AE4561" s="1" t="s">
        <v>24</v>
      </c>
      <c r="AF4561" s="22"/>
    </row>
    <row r="4562" spans="1:32" x14ac:dyDescent="0.2">
      <c r="A4562" s="1">
        <v>41975</v>
      </c>
      <c r="B4562" s="1" t="s">
        <v>13954</v>
      </c>
      <c r="C4562" s="5" t="s">
        <v>0</v>
      </c>
      <c r="D4562" s="1" t="s">
        <v>13955</v>
      </c>
      <c r="F4562" s="1" t="s">
        <v>13954</v>
      </c>
      <c r="G4562" s="1" t="s">
        <v>13954</v>
      </c>
      <c r="H4562" s="1" t="s">
        <v>899</v>
      </c>
      <c r="I4562" s="1" t="s">
        <v>16</v>
      </c>
      <c r="J4562" s="1">
        <v>1</v>
      </c>
      <c r="K4562" s="1">
        <v>4</v>
      </c>
      <c r="L4562" s="1" t="s">
        <v>42</v>
      </c>
      <c r="M4562" s="1" t="s">
        <v>18</v>
      </c>
      <c r="N4562" s="1" t="s">
        <v>18</v>
      </c>
      <c r="O4562" s="1">
        <v>3</v>
      </c>
      <c r="P4562" s="1">
        <v>6</v>
      </c>
      <c r="R4562" s="1" t="s">
        <v>19</v>
      </c>
      <c r="S4562" s="1" t="s">
        <v>20</v>
      </c>
      <c r="T4562" s="1" t="s">
        <v>21</v>
      </c>
      <c r="U4562" s="1" t="s">
        <v>22</v>
      </c>
      <c r="V4562" s="1" t="s">
        <v>24</v>
      </c>
      <c r="W4562" s="1" t="s">
        <v>24</v>
      </c>
      <c r="X4562" s="1">
        <v>3003</v>
      </c>
      <c r="Y4562" s="1">
        <v>3004</v>
      </c>
      <c r="Z4562" s="1">
        <v>2736</v>
      </c>
      <c r="AA4562" s="1" t="s">
        <v>24</v>
      </c>
      <c r="AB4562" s="1" t="s">
        <v>24</v>
      </c>
      <c r="AC4562" s="1" t="s">
        <v>24</v>
      </c>
      <c r="AD4562" s="1" t="s">
        <v>24</v>
      </c>
      <c r="AE4562" s="1" t="s">
        <v>24</v>
      </c>
      <c r="AF4562" s="22"/>
    </row>
    <row r="4563" spans="1:32" x14ac:dyDescent="0.2">
      <c r="A4563" s="1">
        <v>41976</v>
      </c>
      <c r="B4563" s="1" t="s">
        <v>13956</v>
      </c>
      <c r="C4563" s="5" t="s">
        <v>0</v>
      </c>
      <c r="D4563" s="1" t="s">
        <v>13957</v>
      </c>
      <c r="F4563" s="1" t="s">
        <v>11079</v>
      </c>
      <c r="G4563" s="1" t="s">
        <v>11079</v>
      </c>
      <c r="H4563" s="1" t="s">
        <v>3228</v>
      </c>
      <c r="I4563" s="1" t="s">
        <v>16</v>
      </c>
      <c r="J4563" s="1">
        <v>1</v>
      </c>
      <c r="K4563" s="1">
        <v>1</v>
      </c>
      <c r="L4563" s="1" t="s">
        <v>42</v>
      </c>
      <c r="M4563" s="1" t="s">
        <v>18</v>
      </c>
      <c r="N4563" s="1" t="s">
        <v>18</v>
      </c>
      <c r="O4563" s="1">
        <v>3</v>
      </c>
      <c r="P4563" s="1">
        <v>6</v>
      </c>
      <c r="R4563" s="1" t="s">
        <v>19</v>
      </c>
      <c r="S4563" s="1" t="s">
        <v>63</v>
      </c>
      <c r="T4563" s="1" t="s">
        <v>21</v>
      </c>
      <c r="U4563" s="1" t="s">
        <v>22</v>
      </c>
      <c r="V4563" s="1" t="s">
        <v>23</v>
      </c>
      <c r="W4563" s="1" t="s">
        <v>24</v>
      </c>
      <c r="X4563" s="1">
        <v>3004</v>
      </c>
      <c r="Y4563" s="1">
        <v>2724</v>
      </c>
      <c r="Z4563" s="1" t="s">
        <v>24</v>
      </c>
      <c r="AA4563" s="1" t="s">
        <v>24</v>
      </c>
      <c r="AB4563" s="1" t="s">
        <v>24</v>
      </c>
      <c r="AC4563" s="1" t="s">
        <v>24</v>
      </c>
      <c r="AD4563" s="1" t="s">
        <v>24</v>
      </c>
      <c r="AE4563" s="1" t="s">
        <v>24</v>
      </c>
      <c r="AF4563" s="22" t="s">
        <v>17678</v>
      </c>
    </row>
    <row r="4564" spans="1:32" x14ac:dyDescent="0.2">
      <c r="A4564" s="1">
        <v>41977</v>
      </c>
      <c r="B4564" s="1" t="s">
        <v>13958</v>
      </c>
      <c r="C4564" s="5" t="s">
        <v>0</v>
      </c>
      <c r="D4564" s="1" t="s">
        <v>13959</v>
      </c>
      <c r="F4564" s="1" t="s">
        <v>744</v>
      </c>
      <c r="G4564" s="1" t="s">
        <v>744</v>
      </c>
      <c r="H4564" s="1" t="s">
        <v>37</v>
      </c>
      <c r="I4564" s="1" t="s">
        <v>16</v>
      </c>
      <c r="J4564" s="1">
        <v>1</v>
      </c>
      <c r="K4564" s="1">
        <v>7</v>
      </c>
      <c r="L4564" s="1" t="s">
        <v>42</v>
      </c>
      <c r="M4564" s="1" t="s">
        <v>18</v>
      </c>
      <c r="N4564" s="1" t="s">
        <v>18</v>
      </c>
      <c r="O4564" s="1">
        <v>3</v>
      </c>
      <c r="P4564" s="1">
        <v>6</v>
      </c>
      <c r="R4564" s="1" t="s">
        <v>19</v>
      </c>
      <c r="S4564" s="1" t="s">
        <v>20</v>
      </c>
      <c r="T4564" s="1" t="s">
        <v>21</v>
      </c>
      <c r="U4564" s="1" t="s">
        <v>22</v>
      </c>
      <c r="V4564" s="1" t="s">
        <v>24</v>
      </c>
      <c r="W4564" s="1" t="s">
        <v>24</v>
      </c>
      <c r="X4564" s="1">
        <v>2800</v>
      </c>
      <c r="Y4564" s="1">
        <v>2728</v>
      </c>
      <c r="Z4564" s="1" t="s">
        <v>24</v>
      </c>
      <c r="AA4564" s="1" t="s">
        <v>24</v>
      </c>
      <c r="AB4564" s="1" t="s">
        <v>24</v>
      </c>
      <c r="AC4564" s="1" t="s">
        <v>24</v>
      </c>
      <c r="AD4564" s="1" t="s">
        <v>24</v>
      </c>
      <c r="AE4564" s="1" t="s">
        <v>24</v>
      </c>
      <c r="AF4564" s="22" t="s">
        <v>17678</v>
      </c>
    </row>
    <row r="4565" spans="1:32" x14ac:dyDescent="0.2">
      <c r="A4565" s="1">
        <v>41978</v>
      </c>
      <c r="B4565" s="1" t="s">
        <v>13960</v>
      </c>
      <c r="C4565" s="5" t="s">
        <v>0</v>
      </c>
      <c r="D4565" s="1" t="s">
        <v>13961</v>
      </c>
      <c r="E4565" s="1" t="s">
        <v>13962</v>
      </c>
      <c r="F4565" s="1" t="s">
        <v>13963</v>
      </c>
      <c r="G4565" s="1" t="s">
        <v>13963</v>
      </c>
      <c r="H4565" s="1" t="s">
        <v>30</v>
      </c>
      <c r="I4565" s="1" t="s">
        <v>16</v>
      </c>
      <c r="J4565" s="1">
        <v>1</v>
      </c>
      <c r="K4565" s="1">
        <v>4</v>
      </c>
      <c r="L4565" s="1" t="s">
        <v>42</v>
      </c>
      <c r="M4565" s="1" t="s">
        <v>18</v>
      </c>
      <c r="N4565" s="1" t="s">
        <v>18</v>
      </c>
      <c r="O4565" s="1">
        <v>3</v>
      </c>
      <c r="P4565" s="1">
        <v>6</v>
      </c>
      <c r="R4565" s="1" t="s">
        <v>19</v>
      </c>
      <c r="S4565" s="1" t="s">
        <v>20</v>
      </c>
      <c r="T4565" s="1" t="s">
        <v>21</v>
      </c>
      <c r="U4565" s="1" t="s">
        <v>22</v>
      </c>
      <c r="V4565" s="1" t="s">
        <v>24</v>
      </c>
      <c r="W4565" s="1" t="s">
        <v>24</v>
      </c>
      <c r="X4565" s="1">
        <v>1312</v>
      </c>
      <c r="Y4565" s="1" t="s">
        <v>24</v>
      </c>
      <c r="Z4565" s="1" t="s">
        <v>24</v>
      </c>
      <c r="AA4565" s="1" t="s">
        <v>24</v>
      </c>
      <c r="AB4565" s="1" t="s">
        <v>24</v>
      </c>
      <c r="AC4565" s="1" t="s">
        <v>24</v>
      </c>
      <c r="AD4565" s="1" t="s">
        <v>24</v>
      </c>
      <c r="AE4565" s="1" t="s">
        <v>24</v>
      </c>
      <c r="AF4565" s="22"/>
    </row>
    <row r="4566" spans="1:32" x14ac:dyDescent="0.2">
      <c r="A4566" s="1">
        <v>41979</v>
      </c>
      <c r="B4566" s="1" t="s">
        <v>13964</v>
      </c>
      <c r="C4566" s="5" t="s">
        <v>0</v>
      </c>
      <c r="D4566" s="1" t="s">
        <v>13965</v>
      </c>
      <c r="E4566" s="1" t="s">
        <v>13966</v>
      </c>
      <c r="F4566" s="1" t="s">
        <v>13967</v>
      </c>
      <c r="G4566" s="1" t="s">
        <v>13968</v>
      </c>
      <c r="H4566" s="1" t="s">
        <v>168</v>
      </c>
      <c r="I4566" s="1" t="s">
        <v>16</v>
      </c>
      <c r="J4566" s="1">
        <v>0</v>
      </c>
      <c r="K4566" s="1">
        <v>0</v>
      </c>
      <c r="L4566" s="1" t="s">
        <v>42</v>
      </c>
      <c r="M4566" s="1" t="s">
        <v>18</v>
      </c>
      <c r="N4566" s="1" t="s">
        <v>18</v>
      </c>
      <c r="O4566" s="1">
        <v>3</v>
      </c>
      <c r="P4566" s="1">
        <v>6</v>
      </c>
      <c r="R4566" s="1" t="s">
        <v>19</v>
      </c>
      <c r="S4566" s="1" t="s">
        <v>63</v>
      </c>
      <c r="T4566" s="1" t="s">
        <v>21</v>
      </c>
      <c r="U4566" s="1" t="s">
        <v>22</v>
      </c>
      <c r="V4566" s="1" t="s">
        <v>24</v>
      </c>
      <c r="W4566" s="1" t="s">
        <v>24</v>
      </c>
      <c r="X4566" s="1">
        <v>1313</v>
      </c>
      <c r="Y4566" s="1">
        <v>2747</v>
      </c>
      <c r="Z4566" s="1" t="s">
        <v>24</v>
      </c>
      <c r="AA4566" s="1" t="s">
        <v>24</v>
      </c>
      <c r="AB4566" s="1" t="s">
        <v>24</v>
      </c>
      <c r="AC4566" s="1" t="s">
        <v>24</v>
      </c>
      <c r="AD4566" s="1" t="s">
        <v>24</v>
      </c>
      <c r="AE4566" s="1" t="s">
        <v>24</v>
      </c>
      <c r="AF4566" s="22"/>
    </row>
    <row r="4567" spans="1:32" x14ac:dyDescent="0.2">
      <c r="A4567" s="1">
        <v>41980</v>
      </c>
      <c r="B4567" s="1" t="s">
        <v>13969</v>
      </c>
      <c r="C4567" s="5" t="s">
        <v>0</v>
      </c>
      <c r="D4567" s="1" t="s">
        <v>13970</v>
      </c>
      <c r="E4567" s="1" t="s">
        <v>13971</v>
      </c>
      <c r="F4567" s="1" t="s">
        <v>13972</v>
      </c>
      <c r="G4567" s="1" t="s">
        <v>8443</v>
      </c>
      <c r="H4567" s="1" t="s">
        <v>37</v>
      </c>
      <c r="I4567" s="1" t="s">
        <v>16</v>
      </c>
      <c r="J4567" s="1">
        <v>1</v>
      </c>
      <c r="K4567" s="1">
        <v>18</v>
      </c>
      <c r="L4567" s="1" t="s">
        <v>31</v>
      </c>
      <c r="M4567" s="1" t="s">
        <v>18</v>
      </c>
      <c r="N4567" s="1" t="s">
        <v>18</v>
      </c>
      <c r="O4567" s="1">
        <v>3</v>
      </c>
      <c r="P4567" s="1">
        <v>7</v>
      </c>
      <c r="Q4567" s="7" t="s">
        <v>17633</v>
      </c>
      <c r="R4567" s="1" t="s">
        <v>19</v>
      </c>
      <c r="S4567" s="1" t="s">
        <v>20</v>
      </c>
      <c r="T4567" s="1" t="s">
        <v>21</v>
      </c>
      <c r="U4567" s="1" t="s">
        <v>22</v>
      </c>
      <c r="V4567" s="1" t="s">
        <v>24</v>
      </c>
      <c r="W4567" s="1" t="s">
        <v>24</v>
      </c>
      <c r="X4567" s="1">
        <v>3002</v>
      </c>
      <c r="Y4567" s="1">
        <v>3004</v>
      </c>
      <c r="Z4567" s="1">
        <v>1313</v>
      </c>
      <c r="AA4567" s="1" t="s">
        <v>24</v>
      </c>
      <c r="AB4567" s="1" t="s">
        <v>24</v>
      </c>
      <c r="AC4567" s="1" t="s">
        <v>24</v>
      </c>
      <c r="AD4567" s="1" t="s">
        <v>24</v>
      </c>
      <c r="AE4567" s="1" t="s">
        <v>24</v>
      </c>
      <c r="AF4567" s="22"/>
    </row>
    <row r="4568" spans="1:32" x14ac:dyDescent="0.2">
      <c r="A4568" s="1">
        <v>41981</v>
      </c>
      <c r="B4568" s="1" t="s">
        <v>13973</v>
      </c>
      <c r="C4568" s="5" t="s">
        <v>0</v>
      </c>
      <c r="D4568" s="1" t="s">
        <v>13974</v>
      </c>
      <c r="F4568" s="1" t="s">
        <v>13975</v>
      </c>
      <c r="G4568" s="1" t="s">
        <v>61</v>
      </c>
      <c r="H4568" s="1" t="s">
        <v>1007</v>
      </c>
      <c r="I4568" s="1" t="s">
        <v>16</v>
      </c>
      <c r="J4568" s="1">
        <v>1</v>
      </c>
      <c r="K4568" s="1">
        <v>1</v>
      </c>
      <c r="L4568" s="1" t="s">
        <v>31</v>
      </c>
      <c r="M4568" s="1" t="s">
        <v>18</v>
      </c>
      <c r="N4568" s="1" t="s">
        <v>18</v>
      </c>
      <c r="O4568" s="1">
        <v>3</v>
      </c>
      <c r="P4568" s="1">
        <v>6</v>
      </c>
      <c r="R4568" s="1" t="s">
        <v>19</v>
      </c>
      <c r="S4568" s="1" t="s">
        <v>63</v>
      </c>
      <c r="T4568" s="1" t="s">
        <v>21</v>
      </c>
      <c r="U4568" s="1" t="s">
        <v>22</v>
      </c>
      <c r="V4568" s="1" t="s">
        <v>24</v>
      </c>
      <c r="W4568" s="1" t="s">
        <v>24</v>
      </c>
      <c r="X4568" s="1">
        <v>3003</v>
      </c>
      <c r="Y4568" s="1">
        <v>3004</v>
      </c>
      <c r="Z4568" s="1" t="s">
        <v>24</v>
      </c>
      <c r="AA4568" s="1" t="s">
        <v>24</v>
      </c>
      <c r="AB4568" s="1" t="s">
        <v>24</v>
      </c>
      <c r="AC4568" s="1" t="s">
        <v>24</v>
      </c>
      <c r="AD4568" s="1" t="s">
        <v>24</v>
      </c>
      <c r="AE4568" s="1" t="s">
        <v>24</v>
      </c>
      <c r="AF4568" s="22"/>
    </row>
    <row r="4569" spans="1:32" x14ac:dyDescent="0.2">
      <c r="A4569" s="1">
        <v>41982</v>
      </c>
      <c r="B4569" s="1" t="s">
        <v>13976</v>
      </c>
      <c r="C4569" s="5" t="s">
        <v>0</v>
      </c>
      <c r="D4569" s="1" t="s">
        <v>13977</v>
      </c>
      <c r="E4569" s="1" t="s">
        <v>13978</v>
      </c>
      <c r="F4569" s="1" t="s">
        <v>13979</v>
      </c>
      <c r="G4569" s="1" t="s">
        <v>13979</v>
      </c>
      <c r="H4569" s="1" t="s">
        <v>4064</v>
      </c>
      <c r="I4569" s="1" t="s">
        <v>16</v>
      </c>
      <c r="J4569" s="1">
        <v>0</v>
      </c>
      <c r="K4569" s="1">
        <v>0</v>
      </c>
      <c r="L4569" s="1" t="s">
        <v>42</v>
      </c>
      <c r="M4569" s="1" t="s">
        <v>4065</v>
      </c>
      <c r="N4569" s="1" t="s">
        <v>9604</v>
      </c>
      <c r="O4569" s="1">
        <v>3</v>
      </c>
      <c r="P4569" s="1">
        <v>5</v>
      </c>
      <c r="R4569" s="1" t="s">
        <v>19</v>
      </c>
      <c r="S4569" s="1" t="s">
        <v>63</v>
      </c>
      <c r="T4569" s="1" t="s">
        <v>21</v>
      </c>
      <c r="U4569" s="1" t="s">
        <v>22</v>
      </c>
      <c r="V4569" s="1" t="s">
        <v>24</v>
      </c>
      <c r="W4569" s="1" t="s">
        <v>24</v>
      </c>
      <c r="X4569" s="1">
        <v>3004</v>
      </c>
      <c r="Y4569" s="1">
        <v>2738</v>
      </c>
      <c r="Z4569" s="1" t="s">
        <v>24</v>
      </c>
      <c r="AA4569" s="1" t="s">
        <v>24</v>
      </c>
      <c r="AB4569" s="1" t="s">
        <v>24</v>
      </c>
      <c r="AC4569" s="1" t="s">
        <v>24</v>
      </c>
      <c r="AD4569" s="1" t="s">
        <v>24</v>
      </c>
      <c r="AE4569" s="1" t="s">
        <v>24</v>
      </c>
      <c r="AF4569" s="22"/>
    </row>
    <row r="4570" spans="1:32" x14ac:dyDescent="0.2">
      <c r="A4570" s="1">
        <v>41983</v>
      </c>
      <c r="B4570" s="1" t="s">
        <v>13980</v>
      </c>
      <c r="C4570" s="5" t="s">
        <v>0</v>
      </c>
      <c r="E4570" s="1" t="s">
        <v>13981</v>
      </c>
      <c r="F4570" s="1" t="s">
        <v>13079</v>
      </c>
      <c r="G4570" s="1" t="s">
        <v>13079</v>
      </c>
      <c r="H4570" s="1" t="s">
        <v>30</v>
      </c>
      <c r="I4570" s="1" t="s">
        <v>16</v>
      </c>
      <c r="J4570" s="1">
        <v>1</v>
      </c>
      <c r="K4570" s="1">
        <v>2</v>
      </c>
      <c r="L4570" s="1" t="s">
        <v>42</v>
      </c>
      <c r="M4570" s="1" t="s">
        <v>18</v>
      </c>
      <c r="N4570" s="1" t="s">
        <v>18</v>
      </c>
      <c r="O4570" s="1">
        <v>3</v>
      </c>
      <c r="P4570" s="1">
        <v>6</v>
      </c>
      <c r="R4570" s="1" t="s">
        <v>19</v>
      </c>
      <c r="S4570" s="1" t="s">
        <v>20</v>
      </c>
      <c r="T4570" s="1" t="s">
        <v>21</v>
      </c>
      <c r="U4570" s="1" t="s">
        <v>22</v>
      </c>
      <c r="V4570" s="1" t="s">
        <v>23</v>
      </c>
      <c r="W4570" s="1" t="s">
        <v>24</v>
      </c>
      <c r="X4570" s="1">
        <v>2737</v>
      </c>
      <c r="Y4570" s="1">
        <v>1314</v>
      </c>
      <c r="Z4570" s="1">
        <v>2734</v>
      </c>
      <c r="AA4570" s="1" t="s">
        <v>24</v>
      </c>
      <c r="AB4570" s="1" t="s">
        <v>24</v>
      </c>
      <c r="AC4570" s="1" t="s">
        <v>24</v>
      </c>
      <c r="AD4570" s="1" t="s">
        <v>24</v>
      </c>
      <c r="AE4570" s="1" t="s">
        <v>24</v>
      </c>
      <c r="AF4570" s="22"/>
    </row>
    <row r="4571" spans="1:32" x14ac:dyDescent="0.2">
      <c r="A4571" s="1">
        <v>41984</v>
      </c>
      <c r="B4571" s="1" t="s">
        <v>13982</v>
      </c>
      <c r="C4571" s="5" t="s">
        <v>0</v>
      </c>
      <c r="E4571" s="1" t="s">
        <v>13983</v>
      </c>
      <c r="F4571" s="1" t="s">
        <v>12389</v>
      </c>
      <c r="G4571" s="1" t="s">
        <v>12390</v>
      </c>
      <c r="H4571" s="1" t="s">
        <v>30</v>
      </c>
      <c r="I4571" s="1" t="s">
        <v>16</v>
      </c>
      <c r="J4571" s="1">
        <v>1</v>
      </c>
      <c r="K4571" s="1">
        <v>2</v>
      </c>
      <c r="L4571" s="1" t="s">
        <v>42</v>
      </c>
      <c r="M4571" s="1" t="s">
        <v>18</v>
      </c>
      <c r="N4571" s="1" t="s">
        <v>18</v>
      </c>
      <c r="O4571" s="1">
        <v>2</v>
      </c>
      <c r="P4571" s="1">
        <v>6</v>
      </c>
      <c r="R4571" s="1" t="s">
        <v>19</v>
      </c>
      <c r="S4571" s="1" t="s">
        <v>20</v>
      </c>
      <c r="T4571" s="1" t="s">
        <v>21</v>
      </c>
      <c r="V4571" s="1" t="s">
        <v>24</v>
      </c>
      <c r="W4571" s="1" t="s">
        <v>24</v>
      </c>
      <c r="X4571" s="1">
        <v>3004</v>
      </c>
      <c r="Y4571" s="1" t="s">
        <v>24</v>
      </c>
      <c r="Z4571" s="1" t="s">
        <v>24</v>
      </c>
      <c r="AA4571" s="1" t="s">
        <v>24</v>
      </c>
      <c r="AB4571" s="1" t="s">
        <v>24</v>
      </c>
      <c r="AC4571" s="1" t="s">
        <v>24</v>
      </c>
      <c r="AD4571" s="1" t="s">
        <v>24</v>
      </c>
      <c r="AE4571" s="1" t="s">
        <v>24</v>
      </c>
      <c r="AF4571" s="22"/>
    </row>
    <row r="4572" spans="1:32" x14ac:dyDescent="0.2">
      <c r="A4572" s="1">
        <v>41985</v>
      </c>
      <c r="B4572" s="1" t="s">
        <v>13984</v>
      </c>
      <c r="C4572" s="5" t="s">
        <v>0</v>
      </c>
      <c r="E4572" s="1" t="s">
        <v>13985</v>
      </c>
      <c r="F4572" s="1" t="s">
        <v>12389</v>
      </c>
      <c r="G4572" s="1" t="s">
        <v>12390</v>
      </c>
      <c r="H4572" s="1" t="s">
        <v>30</v>
      </c>
      <c r="I4572" s="1" t="s">
        <v>16</v>
      </c>
      <c r="J4572" s="1">
        <v>1</v>
      </c>
      <c r="K4572" s="1">
        <v>2</v>
      </c>
      <c r="L4572" s="1" t="s">
        <v>42</v>
      </c>
      <c r="M4572" s="1" t="s">
        <v>18</v>
      </c>
      <c r="N4572" s="1" t="s">
        <v>18</v>
      </c>
      <c r="O4572" s="1">
        <v>3</v>
      </c>
      <c r="P4572" s="1">
        <v>6</v>
      </c>
      <c r="R4572" s="1" t="s">
        <v>19</v>
      </c>
      <c r="S4572" s="1" t="s">
        <v>20</v>
      </c>
      <c r="T4572" s="1" t="s">
        <v>21</v>
      </c>
      <c r="U4572" s="1" t="s">
        <v>22</v>
      </c>
      <c r="V4572" s="1" t="s">
        <v>24</v>
      </c>
      <c r="W4572" s="1" t="s">
        <v>24</v>
      </c>
      <c r="X4572" s="1">
        <v>3005</v>
      </c>
      <c r="Y4572" s="1" t="s">
        <v>24</v>
      </c>
      <c r="Z4572" s="1" t="s">
        <v>24</v>
      </c>
      <c r="AA4572" s="1" t="s">
        <v>24</v>
      </c>
      <c r="AB4572" s="1" t="s">
        <v>24</v>
      </c>
      <c r="AC4572" s="1" t="s">
        <v>24</v>
      </c>
      <c r="AD4572" s="1" t="s">
        <v>24</v>
      </c>
      <c r="AE4572" s="1" t="s">
        <v>24</v>
      </c>
      <c r="AF4572" s="22"/>
    </row>
    <row r="4573" spans="1:32" x14ac:dyDescent="0.2">
      <c r="A4573" s="1">
        <v>41986</v>
      </c>
      <c r="B4573" s="1" t="s">
        <v>13986</v>
      </c>
      <c r="C4573" s="5" t="s">
        <v>0</v>
      </c>
      <c r="E4573" s="1" t="s">
        <v>13987</v>
      </c>
      <c r="F4573" s="1" t="s">
        <v>12389</v>
      </c>
      <c r="G4573" s="1" t="s">
        <v>12390</v>
      </c>
      <c r="H4573" s="1" t="s">
        <v>30</v>
      </c>
      <c r="I4573" s="1" t="s">
        <v>16</v>
      </c>
      <c r="J4573" s="1">
        <v>1</v>
      </c>
      <c r="K4573" s="1">
        <v>2</v>
      </c>
      <c r="L4573" s="1" t="s">
        <v>42</v>
      </c>
      <c r="M4573" s="1" t="s">
        <v>18</v>
      </c>
      <c r="N4573" s="1" t="s">
        <v>18</v>
      </c>
      <c r="O4573" s="1">
        <v>2</v>
      </c>
      <c r="P4573" s="1">
        <v>6</v>
      </c>
      <c r="R4573" s="1" t="s">
        <v>19</v>
      </c>
      <c r="S4573" s="1" t="s">
        <v>20</v>
      </c>
      <c r="T4573" s="1" t="s">
        <v>21</v>
      </c>
      <c r="V4573" s="1" t="s">
        <v>24</v>
      </c>
      <c r="W4573" s="1" t="s">
        <v>24</v>
      </c>
      <c r="X4573" s="1">
        <v>2725</v>
      </c>
      <c r="Y4573" s="1">
        <v>2726</v>
      </c>
      <c r="Z4573" s="1" t="s">
        <v>24</v>
      </c>
      <c r="AA4573" s="1" t="s">
        <v>24</v>
      </c>
      <c r="AB4573" s="1" t="s">
        <v>24</v>
      </c>
      <c r="AC4573" s="1" t="s">
        <v>24</v>
      </c>
      <c r="AD4573" s="1" t="s">
        <v>24</v>
      </c>
      <c r="AE4573" s="1" t="s">
        <v>24</v>
      </c>
      <c r="AF4573" s="22"/>
    </row>
    <row r="4574" spans="1:32" x14ac:dyDescent="0.2">
      <c r="A4574" s="1">
        <v>41987</v>
      </c>
      <c r="B4574" s="1" t="s">
        <v>13988</v>
      </c>
      <c r="C4574" s="5" t="s">
        <v>0</v>
      </c>
      <c r="E4574" s="1" t="s">
        <v>13989</v>
      </c>
      <c r="F4574" s="1" t="s">
        <v>12389</v>
      </c>
      <c r="G4574" s="1" t="s">
        <v>12390</v>
      </c>
      <c r="H4574" s="1" t="s">
        <v>30</v>
      </c>
      <c r="I4574" s="1" t="s">
        <v>16</v>
      </c>
      <c r="J4574" s="1">
        <v>1</v>
      </c>
      <c r="K4574" s="1">
        <v>2</v>
      </c>
      <c r="L4574" s="1" t="s">
        <v>42</v>
      </c>
      <c r="M4574" s="1" t="s">
        <v>18</v>
      </c>
      <c r="N4574" s="1" t="s">
        <v>18</v>
      </c>
      <c r="O4574" s="1">
        <v>3</v>
      </c>
      <c r="P4574" s="1">
        <v>6</v>
      </c>
      <c r="R4574" s="1" t="s">
        <v>19</v>
      </c>
      <c r="S4574" s="1" t="s">
        <v>63</v>
      </c>
      <c r="T4574" s="1" t="s">
        <v>21</v>
      </c>
      <c r="V4574" s="1" t="s">
        <v>24</v>
      </c>
      <c r="W4574" s="1" t="s">
        <v>24</v>
      </c>
      <c r="X4574" s="1">
        <v>2705</v>
      </c>
      <c r="Y4574" s="1" t="s">
        <v>24</v>
      </c>
      <c r="Z4574" s="1" t="s">
        <v>24</v>
      </c>
      <c r="AA4574" s="1" t="s">
        <v>24</v>
      </c>
      <c r="AB4574" s="1" t="s">
        <v>24</v>
      </c>
      <c r="AC4574" s="1" t="s">
        <v>24</v>
      </c>
      <c r="AD4574" s="1" t="s">
        <v>24</v>
      </c>
      <c r="AE4574" s="1" t="s">
        <v>24</v>
      </c>
      <c r="AF4574" s="22"/>
    </row>
    <row r="4575" spans="1:32" x14ac:dyDescent="0.2">
      <c r="A4575" s="1">
        <v>41988</v>
      </c>
      <c r="B4575" s="1" t="s">
        <v>13990</v>
      </c>
      <c r="C4575" s="5" t="s">
        <v>0</v>
      </c>
      <c r="E4575" s="1" t="s">
        <v>13991</v>
      </c>
      <c r="F4575" s="1" t="s">
        <v>12389</v>
      </c>
      <c r="G4575" s="1" t="s">
        <v>12390</v>
      </c>
      <c r="H4575" s="1" t="s">
        <v>30</v>
      </c>
      <c r="I4575" s="1" t="s">
        <v>16</v>
      </c>
      <c r="J4575" s="1">
        <v>1</v>
      </c>
      <c r="K4575" s="1">
        <v>2</v>
      </c>
      <c r="L4575" s="1" t="s">
        <v>42</v>
      </c>
      <c r="M4575" s="1" t="s">
        <v>18</v>
      </c>
      <c r="N4575" s="1" t="s">
        <v>18</v>
      </c>
      <c r="O4575" s="1">
        <v>3</v>
      </c>
      <c r="P4575" s="1">
        <v>6</v>
      </c>
      <c r="R4575" s="1" t="s">
        <v>19</v>
      </c>
      <c r="S4575" s="1" t="s">
        <v>20</v>
      </c>
      <c r="T4575" s="1" t="s">
        <v>21</v>
      </c>
      <c r="V4575" s="1" t="s">
        <v>24</v>
      </c>
      <c r="W4575" s="1" t="s">
        <v>24</v>
      </c>
      <c r="X4575" s="1">
        <v>2708</v>
      </c>
      <c r="Y4575" s="1" t="s">
        <v>24</v>
      </c>
      <c r="Z4575" s="1" t="s">
        <v>24</v>
      </c>
      <c r="AA4575" s="1" t="s">
        <v>24</v>
      </c>
      <c r="AB4575" s="1" t="s">
        <v>24</v>
      </c>
      <c r="AC4575" s="1" t="s">
        <v>24</v>
      </c>
      <c r="AD4575" s="1" t="s">
        <v>24</v>
      </c>
      <c r="AE4575" s="1" t="s">
        <v>24</v>
      </c>
      <c r="AF4575" s="22"/>
    </row>
    <row r="4576" spans="1:32" x14ac:dyDescent="0.2">
      <c r="A4576" s="1">
        <v>41989</v>
      </c>
      <c r="B4576" s="1" t="s">
        <v>13992</v>
      </c>
      <c r="C4576" s="5" t="s">
        <v>0</v>
      </c>
      <c r="E4576" s="1" t="s">
        <v>13993</v>
      </c>
      <c r="F4576" s="1" t="s">
        <v>12389</v>
      </c>
      <c r="G4576" s="1" t="s">
        <v>12390</v>
      </c>
      <c r="H4576" s="1" t="s">
        <v>30</v>
      </c>
      <c r="I4576" s="1" t="s">
        <v>16</v>
      </c>
      <c r="J4576" s="1">
        <v>1</v>
      </c>
      <c r="K4576" s="1">
        <v>2</v>
      </c>
      <c r="L4576" s="1" t="s">
        <v>42</v>
      </c>
      <c r="M4576" s="1" t="s">
        <v>18</v>
      </c>
      <c r="N4576" s="1" t="s">
        <v>18</v>
      </c>
      <c r="O4576" s="1">
        <v>3</v>
      </c>
      <c r="P4576" s="1">
        <v>6</v>
      </c>
      <c r="R4576" s="1" t="s">
        <v>19</v>
      </c>
      <c r="S4576" s="1" t="s">
        <v>20</v>
      </c>
      <c r="T4576" s="1" t="s">
        <v>21</v>
      </c>
      <c r="V4576" s="1" t="s">
        <v>24</v>
      </c>
      <c r="W4576" s="1" t="s">
        <v>24</v>
      </c>
      <c r="X4576" s="1">
        <v>2728</v>
      </c>
      <c r="Y4576" s="1" t="s">
        <v>24</v>
      </c>
      <c r="Z4576" s="1" t="s">
        <v>24</v>
      </c>
      <c r="AA4576" s="1" t="s">
        <v>24</v>
      </c>
      <c r="AB4576" s="1" t="s">
        <v>24</v>
      </c>
      <c r="AC4576" s="1" t="s">
        <v>24</v>
      </c>
      <c r="AD4576" s="1" t="s">
        <v>24</v>
      </c>
      <c r="AE4576" s="1" t="s">
        <v>24</v>
      </c>
      <c r="AF4576" s="22"/>
    </row>
    <row r="4577" spans="1:32" x14ac:dyDescent="0.2">
      <c r="A4577" s="1">
        <v>41990</v>
      </c>
      <c r="B4577" s="1" t="s">
        <v>13994</v>
      </c>
      <c r="C4577" s="5" t="s">
        <v>0</v>
      </c>
      <c r="E4577" s="1" t="s">
        <v>13995</v>
      </c>
      <c r="F4577" s="1" t="s">
        <v>12389</v>
      </c>
      <c r="G4577" s="1" t="s">
        <v>12390</v>
      </c>
      <c r="H4577" s="1" t="s">
        <v>30</v>
      </c>
      <c r="I4577" s="1" t="s">
        <v>16</v>
      </c>
      <c r="J4577" s="1">
        <v>1</v>
      </c>
      <c r="K4577" s="1">
        <v>2</v>
      </c>
      <c r="L4577" s="1" t="s">
        <v>42</v>
      </c>
      <c r="M4577" s="1" t="s">
        <v>18</v>
      </c>
      <c r="N4577" s="1" t="s">
        <v>18</v>
      </c>
      <c r="O4577" s="1">
        <v>3</v>
      </c>
      <c r="P4577" s="1">
        <v>6</v>
      </c>
      <c r="R4577" s="1" t="s">
        <v>19</v>
      </c>
      <c r="S4577" s="1" t="s">
        <v>63</v>
      </c>
      <c r="T4577" s="1" t="s">
        <v>21</v>
      </c>
      <c r="V4577" s="1" t="s">
        <v>24</v>
      </c>
      <c r="W4577" s="1" t="s">
        <v>24</v>
      </c>
      <c r="X4577" s="1">
        <v>2730</v>
      </c>
      <c r="Y4577" s="1" t="s">
        <v>24</v>
      </c>
      <c r="Z4577" s="1" t="s">
        <v>24</v>
      </c>
      <c r="AA4577" s="1" t="s">
        <v>24</v>
      </c>
      <c r="AB4577" s="1" t="s">
        <v>24</v>
      </c>
      <c r="AC4577" s="1" t="s">
        <v>24</v>
      </c>
      <c r="AD4577" s="1" t="s">
        <v>24</v>
      </c>
      <c r="AE4577" s="1" t="s">
        <v>24</v>
      </c>
      <c r="AF4577" s="22"/>
    </row>
    <row r="4578" spans="1:32" x14ac:dyDescent="0.2">
      <c r="A4578" s="1">
        <v>41991</v>
      </c>
      <c r="B4578" s="1" t="s">
        <v>13996</v>
      </c>
      <c r="C4578" s="5" t="s">
        <v>0</v>
      </c>
      <c r="E4578" s="1" t="s">
        <v>13997</v>
      </c>
      <c r="F4578" s="1" t="s">
        <v>13998</v>
      </c>
      <c r="G4578" s="1" t="s">
        <v>13998</v>
      </c>
      <c r="H4578" s="1" t="s">
        <v>899</v>
      </c>
      <c r="I4578" s="1" t="s">
        <v>16</v>
      </c>
      <c r="J4578" s="1">
        <v>1</v>
      </c>
      <c r="K4578" s="1">
        <v>4</v>
      </c>
      <c r="L4578" s="1" t="s">
        <v>42</v>
      </c>
      <c r="M4578" s="1" t="s">
        <v>18</v>
      </c>
      <c r="N4578" s="1" t="s">
        <v>18</v>
      </c>
      <c r="O4578" s="1">
        <v>3</v>
      </c>
      <c r="P4578" s="1">
        <v>6</v>
      </c>
      <c r="R4578" s="1" t="s">
        <v>19</v>
      </c>
      <c r="S4578" s="1" t="s">
        <v>63</v>
      </c>
      <c r="T4578" s="1" t="s">
        <v>21</v>
      </c>
      <c r="U4578" s="1" t="s">
        <v>22</v>
      </c>
      <c r="V4578" s="1" t="s">
        <v>24</v>
      </c>
      <c r="W4578" s="1" t="s">
        <v>24</v>
      </c>
      <c r="X4578" s="1">
        <v>3003</v>
      </c>
      <c r="Y4578" s="1">
        <v>3004</v>
      </c>
      <c r="Z4578" s="1" t="s">
        <v>24</v>
      </c>
      <c r="AA4578" s="1" t="s">
        <v>24</v>
      </c>
      <c r="AB4578" s="1" t="s">
        <v>24</v>
      </c>
      <c r="AC4578" s="1" t="s">
        <v>24</v>
      </c>
      <c r="AD4578" s="1" t="s">
        <v>24</v>
      </c>
      <c r="AE4578" s="1" t="s">
        <v>24</v>
      </c>
      <c r="AF4578" s="22"/>
    </row>
    <row r="4579" spans="1:32" x14ac:dyDescent="0.2">
      <c r="A4579" s="1">
        <v>41992</v>
      </c>
      <c r="B4579" s="1" t="s">
        <v>13999</v>
      </c>
      <c r="C4579" s="5" t="s">
        <v>0</v>
      </c>
      <c r="E4579" s="1" t="s">
        <v>14000</v>
      </c>
      <c r="F4579" s="1" t="s">
        <v>14001</v>
      </c>
      <c r="G4579" s="1" t="s">
        <v>14001</v>
      </c>
      <c r="H4579" s="1" t="s">
        <v>30</v>
      </c>
      <c r="I4579" s="1" t="s">
        <v>16</v>
      </c>
      <c r="J4579" s="1">
        <v>1</v>
      </c>
      <c r="K4579" s="1">
        <v>5</v>
      </c>
      <c r="L4579" s="1" t="s">
        <v>42</v>
      </c>
      <c r="M4579" s="1" t="s">
        <v>18</v>
      </c>
      <c r="N4579" s="1" t="s">
        <v>18</v>
      </c>
      <c r="O4579" s="1">
        <v>3</v>
      </c>
      <c r="P4579" s="1">
        <v>6</v>
      </c>
      <c r="R4579" s="1" t="s">
        <v>19</v>
      </c>
      <c r="S4579" s="1" t="s">
        <v>20</v>
      </c>
      <c r="T4579" s="1" t="s">
        <v>21</v>
      </c>
      <c r="U4579" s="1" t="s">
        <v>22</v>
      </c>
      <c r="V4579" s="1" t="s">
        <v>24</v>
      </c>
      <c r="W4579" s="1" t="s">
        <v>24</v>
      </c>
      <c r="X4579" s="1">
        <v>3003</v>
      </c>
      <c r="Y4579" s="1">
        <v>1312</v>
      </c>
      <c r="Z4579" s="1" t="s">
        <v>24</v>
      </c>
      <c r="AA4579" s="1" t="s">
        <v>24</v>
      </c>
      <c r="AB4579" s="1" t="s">
        <v>24</v>
      </c>
      <c r="AC4579" s="1" t="s">
        <v>24</v>
      </c>
      <c r="AD4579" s="1" t="s">
        <v>24</v>
      </c>
      <c r="AE4579" s="1" t="s">
        <v>24</v>
      </c>
      <c r="AF4579" s="22"/>
    </row>
    <row r="4580" spans="1:32" x14ac:dyDescent="0.2">
      <c r="A4580" s="1">
        <v>41999</v>
      </c>
      <c r="B4580" s="1" t="s">
        <v>14002</v>
      </c>
      <c r="C4580" s="5" t="s">
        <v>0</v>
      </c>
      <c r="D4580" s="1" t="s">
        <v>14003</v>
      </c>
      <c r="E4580" s="1" t="s">
        <v>14004</v>
      </c>
      <c r="F4580" s="1" t="s">
        <v>198</v>
      </c>
      <c r="G4580" s="1" t="s">
        <v>130</v>
      </c>
      <c r="H4580" s="1" t="s">
        <v>86</v>
      </c>
      <c r="I4580" s="1" t="s">
        <v>16</v>
      </c>
      <c r="J4580" s="1">
        <v>1</v>
      </c>
      <c r="K4580" s="1">
        <v>4</v>
      </c>
      <c r="L4580" s="1" t="s">
        <v>31</v>
      </c>
      <c r="M4580" s="1" t="s">
        <v>199</v>
      </c>
      <c r="N4580" s="1" t="s">
        <v>199</v>
      </c>
      <c r="O4580" s="1">
        <v>3</v>
      </c>
      <c r="P4580" s="1">
        <v>7</v>
      </c>
      <c r="Q4580" s="7" t="s">
        <v>17633</v>
      </c>
      <c r="R4580" s="1" t="s">
        <v>19</v>
      </c>
      <c r="S4580" s="1" t="s">
        <v>20</v>
      </c>
      <c r="T4580" s="1" t="s">
        <v>21</v>
      </c>
      <c r="U4580" s="1" t="s">
        <v>22</v>
      </c>
      <c r="V4580" s="1" t="s">
        <v>23</v>
      </c>
      <c r="W4580" s="1" t="s">
        <v>24</v>
      </c>
      <c r="X4580" s="1">
        <v>2730</v>
      </c>
      <c r="Y4580" s="1" t="s">
        <v>24</v>
      </c>
      <c r="Z4580" s="1" t="s">
        <v>24</v>
      </c>
      <c r="AA4580" s="1" t="s">
        <v>24</v>
      </c>
      <c r="AB4580" s="1" t="s">
        <v>24</v>
      </c>
      <c r="AC4580" s="1" t="s">
        <v>24</v>
      </c>
      <c r="AD4580" s="1" t="s">
        <v>24</v>
      </c>
      <c r="AE4580" s="1" t="s">
        <v>24</v>
      </c>
      <c r="AF4580" s="22"/>
    </row>
    <row r="4581" spans="1:32" x14ac:dyDescent="0.2">
      <c r="A4581" s="1">
        <v>42001</v>
      </c>
      <c r="B4581" s="1" t="s">
        <v>14005</v>
      </c>
      <c r="C4581" s="5" t="s">
        <v>0</v>
      </c>
      <c r="D4581" s="1" t="s">
        <v>14006</v>
      </c>
      <c r="E4581" s="1" t="s">
        <v>14007</v>
      </c>
      <c r="F4581" s="1" t="s">
        <v>493</v>
      </c>
      <c r="G4581" s="1" t="s">
        <v>98</v>
      </c>
      <c r="H4581" s="1" t="s">
        <v>30</v>
      </c>
      <c r="I4581" s="1" t="s">
        <v>16</v>
      </c>
      <c r="J4581" s="1">
        <v>1</v>
      </c>
      <c r="K4581" s="1">
        <v>6</v>
      </c>
      <c r="L4581" s="1" t="s">
        <v>31</v>
      </c>
      <c r="M4581" s="1" t="s">
        <v>18</v>
      </c>
      <c r="N4581" s="1" t="s">
        <v>18</v>
      </c>
      <c r="O4581" s="1">
        <v>3</v>
      </c>
      <c r="P4581" s="1">
        <v>7</v>
      </c>
      <c r="Q4581" s="7" t="s">
        <v>17633</v>
      </c>
      <c r="R4581" s="1" t="s">
        <v>19</v>
      </c>
      <c r="S4581" s="1" t="s">
        <v>20</v>
      </c>
      <c r="T4581" s="1" t="s">
        <v>21</v>
      </c>
      <c r="U4581" s="1" t="s">
        <v>22</v>
      </c>
      <c r="V4581" s="1" t="s">
        <v>23</v>
      </c>
      <c r="W4581" s="1" t="s">
        <v>24</v>
      </c>
      <c r="X4581" s="1">
        <v>2730</v>
      </c>
      <c r="Y4581" s="1" t="s">
        <v>24</v>
      </c>
      <c r="Z4581" s="1" t="s">
        <v>24</v>
      </c>
      <c r="AA4581" s="1" t="s">
        <v>24</v>
      </c>
      <c r="AB4581" s="1" t="s">
        <v>24</v>
      </c>
      <c r="AC4581" s="1" t="s">
        <v>24</v>
      </c>
      <c r="AD4581" s="1" t="s">
        <v>24</v>
      </c>
      <c r="AE4581" s="1" t="s">
        <v>24</v>
      </c>
      <c r="AF4581" s="22"/>
    </row>
    <row r="4582" spans="1:32" x14ac:dyDescent="0.2">
      <c r="A4582" s="1">
        <v>42002</v>
      </c>
      <c r="B4582" s="1" t="s">
        <v>14008</v>
      </c>
      <c r="C4582" s="5" t="s">
        <v>0</v>
      </c>
      <c r="D4582" s="1" t="s">
        <v>14009</v>
      </c>
      <c r="E4582" s="1" t="s">
        <v>14010</v>
      </c>
      <c r="F4582" s="1" t="s">
        <v>493</v>
      </c>
      <c r="G4582" s="1" t="s">
        <v>98</v>
      </c>
      <c r="H4582" s="1" t="s">
        <v>30</v>
      </c>
      <c r="I4582" s="1" t="s">
        <v>16</v>
      </c>
      <c r="J4582" s="1">
        <v>1</v>
      </c>
      <c r="K4582" s="1">
        <v>5</v>
      </c>
      <c r="L4582" s="1" t="s">
        <v>31</v>
      </c>
      <c r="M4582" s="1" t="s">
        <v>18</v>
      </c>
      <c r="N4582" s="1" t="s">
        <v>18</v>
      </c>
      <c r="O4582" s="1">
        <v>3</v>
      </c>
      <c r="P4582" s="1">
        <v>7</v>
      </c>
      <c r="Q4582" s="7" t="s">
        <v>17633</v>
      </c>
      <c r="R4582" s="1" t="s">
        <v>19</v>
      </c>
      <c r="S4582" s="1" t="s">
        <v>20</v>
      </c>
      <c r="T4582" s="1" t="s">
        <v>21</v>
      </c>
      <c r="U4582" s="1" t="s">
        <v>22</v>
      </c>
      <c r="V4582" s="1" t="s">
        <v>24</v>
      </c>
      <c r="W4582" s="1" t="s">
        <v>24</v>
      </c>
      <c r="X4582" s="1">
        <v>2748</v>
      </c>
      <c r="Y4582" s="1" t="s">
        <v>24</v>
      </c>
      <c r="Z4582" s="1" t="s">
        <v>24</v>
      </c>
      <c r="AA4582" s="1" t="s">
        <v>24</v>
      </c>
      <c r="AB4582" s="1" t="s">
        <v>24</v>
      </c>
      <c r="AC4582" s="1" t="s">
        <v>24</v>
      </c>
      <c r="AD4582" s="1" t="s">
        <v>24</v>
      </c>
      <c r="AE4582" s="1" t="s">
        <v>24</v>
      </c>
      <c r="AF4582" s="22"/>
    </row>
    <row r="4583" spans="1:32" x14ac:dyDescent="0.2">
      <c r="A4583" s="1">
        <v>42007</v>
      </c>
      <c r="B4583" s="1" t="s">
        <v>14011</v>
      </c>
      <c r="C4583" s="5" t="s">
        <v>0</v>
      </c>
      <c r="D4583" s="1" t="s">
        <v>14012</v>
      </c>
      <c r="E4583" s="1" t="s">
        <v>14013</v>
      </c>
      <c r="F4583" s="1" t="s">
        <v>1278</v>
      </c>
      <c r="G4583" s="1" t="s">
        <v>1279</v>
      </c>
      <c r="H4583" s="1" t="s">
        <v>30</v>
      </c>
      <c r="I4583" s="1" t="s">
        <v>16</v>
      </c>
      <c r="J4583" s="1">
        <v>1</v>
      </c>
      <c r="K4583" s="1">
        <v>4</v>
      </c>
      <c r="L4583" s="1" t="s">
        <v>42</v>
      </c>
      <c r="M4583" s="1" t="s">
        <v>18</v>
      </c>
      <c r="N4583" s="1" t="s">
        <v>18</v>
      </c>
      <c r="O4583" s="1">
        <v>3</v>
      </c>
      <c r="P4583" s="1">
        <v>7</v>
      </c>
      <c r="Q4583" s="7" t="s">
        <v>17633</v>
      </c>
      <c r="R4583" s="1" t="s">
        <v>19</v>
      </c>
      <c r="S4583" s="1" t="s">
        <v>20</v>
      </c>
      <c r="T4583" s="1" t="s">
        <v>21</v>
      </c>
      <c r="U4583" s="1" t="s">
        <v>22</v>
      </c>
      <c r="V4583" s="1" t="s">
        <v>24</v>
      </c>
      <c r="W4583" s="1" t="s">
        <v>24</v>
      </c>
      <c r="X4583" s="1">
        <v>2204</v>
      </c>
      <c r="Y4583" s="1">
        <v>3100</v>
      </c>
      <c r="Z4583" s="1" t="s">
        <v>24</v>
      </c>
      <c r="AA4583" s="1" t="s">
        <v>24</v>
      </c>
      <c r="AB4583" s="1" t="s">
        <v>24</v>
      </c>
      <c r="AC4583" s="1" t="s">
        <v>24</v>
      </c>
      <c r="AD4583" s="1" t="s">
        <v>24</v>
      </c>
      <c r="AE4583" s="1" t="s">
        <v>24</v>
      </c>
      <c r="AF4583" s="22"/>
    </row>
    <row r="4584" spans="1:32" x14ac:dyDescent="0.2">
      <c r="A4584" s="1">
        <v>42015</v>
      </c>
      <c r="B4584" s="1" t="s">
        <v>14014</v>
      </c>
      <c r="C4584" s="5" t="s">
        <v>0</v>
      </c>
      <c r="D4584" s="1" t="s">
        <v>14015</v>
      </c>
      <c r="E4584" s="1" t="s">
        <v>14016</v>
      </c>
      <c r="F4584" s="1" t="s">
        <v>6914</v>
      </c>
      <c r="G4584" s="1" t="s">
        <v>6915</v>
      </c>
      <c r="H4584" s="1" t="s">
        <v>37</v>
      </c>
      <c r="I4584" s="1" t="s">
        <v>16</v>
      </c>
      <c r="J4584" s="1">
        <v>1</v>
      </c>
      <c r="K4584" s="1">
        <v>12</v>
      </c>
      <c r="L4584" s="1" t="s">
        <v>31</v>
      </c>
      <c r="M4584" s="1" t="s">
        <v>18</v>
      </c>
      <c r="N4584" s="1" t="s">
        <v>18</v>
      </c>
      <c r="O4584" s="1">
        <v>3</v>
      </c>
      <c r="P4584" s="1">
        <v>7</v>
      </c>
      <c r="Q4584" s="7" t="s">
        <v>17633</v>
      </c>
      <c r="R4584" s="1" t="s">
        <v>19</v>
      </c>
      <c r="S4584" s="1" t="s">
        <v>20</v>
      </c>
      <c r="T4584" s="1" t="s">
        <v>21</v>
      </c>
      <c r="U4584" s="1" t="s">
        <v>22</v>
      </c>
      <c r="V4584" s="1" t="s">
        <v>24</v>
      </c>
      <c r="W4584" s="1" t="s">
        <v>24</v>
      </c>
      <c r="X4584" s="1">
        <v>2502</v>
      </c>
      <c r="Y4584" s="1">
        <v>2506</v>
      </c>
      <c r="Z4584" s="1">
        <v>1601</v>
      </c>
      <c r="AA4584" s="1">
        <v>1303</v>
      </c>
      <c r="AB4584" s="1">
        <v>1304</v>
      </c>
      <c r="AC4584" s="1" t="s">
        <v>24</v>
      </c>
      <c r="AD4584" s="1" t="s">
        <v>24</v>
      </c>
      <c r="AE4584" s="1" t="s">
        <v>24</v>
      </c>
      <c r="AF4584" s="22"/>
    </row>
    <row r="4585" spans="1:32" x14ac:dyDescent="0.2">
      <c r="A4585" s="1">
        <v>42017</v>
      </c>
      <c r="B4585" s="1" t="s">
        <v>14017</v>
      </c>
      <c r="C4585" s="5" t="s">
        <v>0</v>
      </c>
      <c r="D4585" s="1" t="s">
        <v>14018</v>
      </c>
      <c r="E4585" s="1" t="s">
        <v>14019</v>
      </c>
      <c r="F4585" s="1" t="s">
        <v>920</v>
      </c>
      <c r="G4585" s="1" t="s">
        <v>921</v>
      </c>
      <c r="H4585" s="1" t="s">
        <v>92</v>
      </c>
      <c r="I4585" s="1" t="s">
        <v>16</v>
      </c>
      <c r="J4585" s="1">
        <v>1</v>
      </c>
      <c r="K4585" s="1">
        <v>4</v>
      </c>
      <c r="L4585" s="1" t="s">
        <v>31</v>
      </c>
      <c r="M4585" s="1" t="s">
        <v>18</v>
      </c>
      <c r="N4585" s="1" t="s">
        <v>18</v>
      </c>
      <c r="O4585" s="1">
        <v>3</v>
      </c>
      <c r="P4585" s="1">
        <v>7</v>
      </c>
      <c r="Q4585" s="7" t="s">
        <v>17633</v>
      </c>
      <c r="R4585" s="1" t="s">
        <v>19</v>
      </c>
      <c r="S4585" s="1" t="s">
        <v>20</v>
      </c>
      <c r="T4585" s="1" t="s">
        <v>21</v>
      </c>
      <c r="U4585" s="1" t="s">
        <v>22</v>
      </c>
      <c r="V4585" s="1" t="s">
        <v>23</v>
      </c>
      <c r="W4585" s="1" t="s">
        <v>24</v>
      </c>
      <c r="X4585" s="1">
        <v>2735</v>
      </c>
      <c r="Y4585" s="1" t="s">
        <v>24</v>
      </c>
      <c r="Z4585" s="1" t="s">
        <v>24</v>
      </c>
      <c r="AA4585" s="1" t="s">
        <v>24</v>
      </c>
      <c r="AB4585" s="1" t="s">
        <v>24</v>
      </c>
      <c r="AC4585" s="1" t="s">
        <v>24</v>
      </c>
      <c r="AD4585" s="1" t="s">
        <v>24</v>
      </c>
      <c r="AE4585" s="1" t="s">
        <v>24</v>
      </c>
      <c r="AF4585" s="22"/>
    </row>
    <row r="4586" spans="1:32" x14ac:dyDescent="0.2">
      <c r="A4586" s="1">
        <v>42018</v>
      </c>
      <c r="B4586" s="1" t="s">
        <v>14020</v>
      </c>
      <c r="C4586" s="5" t="s">
        <v>0</v>
      </c>
      <c r="D4586" s="1" t="s">
        <v>14021</v>
      </c>
      <c r="E4586" s="1" t="s">
        <v>14022</v>
      </c>
      <c r="F4586" s="1" t="s">
        <v>920</v>
      </c>
      <c r="G4586" s="1" t="s">
        <v>921</v>
      </c>
      <c r="H4586" s="1" t="s">
        <v>92</v>
      </c>
      <c r="I4586" s="1" t="s">
        <v>16</v>
      </c>
      <c r="J4586" s="1">
        <v>1</v>
      </c>
      <c r="K4586" s="1">
        <v>4</v>
      </c>
      <c r="L4586" s="1" t="s">
        <v>31</v>
      </c>
      <c r="M4586" s="1" t="s">
        <v>18</v>
      </c>
      <c r="N4586" s="1" t="s">
        <v>18</v>
      </c>
      <c r="O4586" s="1">
        <v>3</v>
      </c>
      <c r="P4586" s="1">
        <v>7</v>
      </c>
      <c r="Q4586" s="7" t="s">
        <v>17633</v>
      </c>
      <c r="R4586" s="1" t="s">
        <v>19</v>
      </c>
      <c r="S4586" s="1" t="s">
        <v>20</v>
      </c>
      <c r="T4586" s="1" t="s">
        <v>21</v>
      </c>
      <c r="U4586" s="1" t="s">
        <v>22</v>
      </c>
      <c r="V4586" s="1" t="s">
        <v>23</v>
      </c>
      <c r="W4586" s="1" t="s">
        <v>24</v>
      </c>
      <c r="X4586" s="1">
        <v>2742</v>
      </c>
      <c r="Y4586" s="1">
        <v>3612</v>
      </c>
      <c r="Z4586" s="1">
        <v>2735</v>
      </c>
      <c r="AA4586" s="1" t="s">
        <v>24</v>
      </c>
      <c r="AB4586" s="1" t="s">
        <v>24</v>
      </c>
      <c r="AC4586" s="1" t="s">
        <v>24</v>
      </c>
      <c r="AD4586" s="1" t="s">
        <v>24</v>
      </c>
      <c r="AE4586" s="1" t="s">
        <v>24</v>
      </c>
      <c r="AF4586" s="22"/>
    </row>
    <row r="4587" spans="1:32" x14ac:dyDescent="0.2">
      <c r="A4587" s="1">
        <v>42019</v>
      </c>
      <c r="B4587" s="1" t="s">
        <v>14023</v>
      </c>
      <c r="C4587" s="5" t="s">
        <v>0</v>
      </c>
      <c r="D4587" s="1" t="s">
        <v>14024</v>
      </c>
      <c r="E4587" s="1" t="s">
        <v>14025</v>
      </c>
      <c r="F4587" s="1" t="s">
        <v>920</v>
      </c>
      <c r="G4587" s="1" t="s">
        <v>921</v>
      </c>
      <c r="H4587" s="1" t="s">
        <v>92</v>
      </c>
      <c r="I4587" s="1" t="s">
        <v>16</v>
      </c>
      <c r="J4587" s="1">
        <v>1</v>
      </c>
      <c r="K4587" s="1">
        <v>2</v>
      </c>
      <c r="L4587" s="1" t="s">
        <v>31</v>
      </c>
      <c r="M4587" s="1" t="s">
        <v>18</v>
      </c>
      <c r="N4587" s="1" t="s">
        <v>18</v>
      </c>
      <c r="O4587" s="1">
        <v>3</v>
      </c>
      <c r="P4587" s="1">
        <v>7</v>
      </c>
      <c r="Q4587" s="7" t="s">
        <v>17633</v>
      </c>
      <c r="R4587" s="1" t="s">
        <v>19</v>
      </c>
      <c r="S4587" s="1" t="s">
        <v>20</v>
      </c>
      <c r="T4587" s="1" t="s">
        <v>21</v>
      </c>
      <c r="U4587" s="1" t="s">
        <v>22</v>
      </c>
      <c r="V4587" s="1" t="s">
        <v>24</v>
      </c>
      <c r="W4587" s="1" t="s">
        <v>24</v>
      </c>
      <c r="X4587" s="1">
        <v>3001</v>
      </c>
      <c r="Y4587" s="1">
        <v>2719</v>
      </c>
      <c r="Z4587" s="1" t="s">
        <v>24</v>
      </c>
      <c r="AA4587" s="1" t="s">
        <v>24</v>
      </c>
      <c r="AB4587" s="1" t="s">
        <v>24</v>
      </c>
      <c r="AC4587" s="1" t="s">
        <v>24</v>
      </c>
      <c r="AD4587" s="1" t="s">
        <v>24</v>
      </c>
      <c r="AE4587" s="1" t="s">
        <v>24</v>
      </c>
      <c r="AF4587" s="22"/>
    </row>
    <row r="4588" spans="1:32" x14ac:dyDescent="0.2">
      <c r="A4588" s="1">
        <v>42022</v>
      </c>
      <c r="B4588" s="1" t="s">
        <v>14026</v>
      </c>
      <c r="C4588" s="5" t="s">
        <v>0</v>
      </c>
      <c r="D4588" s="1" t="s">
        <v>14027</v>
      </c>
      <c r="F4588" s="1" t="s">
        <v>2299</v>
      </c>
      <c r="G4588" s="1" t="s">
        <v>2300</v>
      </c>
      <c r="H4588" s="1" t="s">
        <v>30</v>
      </c>
      <c r="I4588" s="1" t="s">
        <v>16</v>
      </c>
      <c r="J4588" s="1">
        <v>1</v>
      </c>
      <c r="K4588" s="1">
        <v>12</v>
      </c>
      <c r="L4588" s="1" t="s">
        <v>31</v>
      </c>
      <c r="M4588" s="1" t="s">
        <v>18</v>
      </c>
      <c r="N4588" s="1" t="s">
        <v>18</v>
      </c>
      <c r="O4588" s="1">
        <v>3</v>
      </c>
      <c r="P4588" s="1">
        <v>7</v>
      </c>
      <c r="Q4588" s="7" t="s">
        <v>17633</v>
      </c>
      <c r="R4588" s="1" t="s">
        <v>19</v>
      </c>
      <c r="S4588" s="1" t="s">
        <v>63</v>
      </c>
      <c r="T4588" s="1" t="s">
        <v>21</v>
      </c>
      <c r="U4588" s="1" t="s">
        <v>22</v>
      </c>
      <c r="V4588" s="1" t="s">
        <v>23</v>
      </c>
      <c r="W4588" s="1" t="s">
        <v>24</v>
      </c>
      <c r="X4588" s="1">
        <v>2723</v>
      </c>
      <c r="Y4588" s="1" t="s">
        <v>24</v>
      </c>
      <c r="Z4588" s="1" t="s">
        <v>24</v>
      </c>
      <c r="AA4588" s="1" t="s">
        <v>24</v>
      </c>
      <c r="AB4588" s="1" t="s">
        <v>24</v>
      </c>
      <c r="AC4588" s="1" t="s">
        <v>24</v>
      </c>
      <c r="AD4588" s="1" t="s">
        <v>24</v>
      </c>
      <c r="AE4588" s="1" t="s">
        <v>24</v>
      </c>
      <c r="AF4588" s="22" t="s">
        <v>17676</v>
      </c>
    </row>
    <row r="4589" spans="1:32" x14ac:dyDescent="0.2">
      <c r="A4589" s="1">
        <v>42028</v>
      </c>
      <c r="B4589" s="1" t="s">
        <v>14028</v>
      </c>
      <c r="C4589" s="5" t="s">
        <v>0</v>
      </c>
      <c r="D4589" s="1" t="s">
        <v>14029</v>
      </c>
      <c r="E4589" s="1" t="s">
        <v>14030</v>
      </c>
      <c r="F4589" s="1" t="s">
        <v>1412</v>
      </c>
      <c r="G4589" s="1" t="s">
        <v>1413</v>
      </c>
      <c r="H4589" s="1" t="s">
        <v>30</v>
      </c>
      <c r="I4589" s="1" t="s">
        <v>16</v>
      </c>
      <c r="J4589" s="1">
        <v>1</v>
      </c>
      <c r="K4589" s="1">
        <v>1</v>
      </c>
      <c r="L4589" s="1" t="s">
        <v>31</v>
      </c>
      <c r="M4589" s="1" t="s">
        <v>18</v>
      </c>
      <c r="N4589" s="1" t="s">
        <v>18</v>
      </c>
      <c r="O4589" s="1">
        <v>3</v>
      </c>
      <c r="P4589" s="1">
        <v>7</v>
      </c>
      <c r="Q4589" s="7" t="s">
        <v>17633</v>
      </c>
      <c r="R4589" s="1" t="s">
        <v>19</v>
      </c>
      <c r="S4589" s="1" t="s">
        <v>63</v>
      </c>
      <c r="T4589" s="1" t="s">
        <v>21</v>
      </c>
      <c r="U4589" s="1" t="s">
        <v>22</v>
      </c>
      <c r="V4589" s="1" t="s">
        <v>24</v>
      </c>
      <c r="W4589" s="1" t="s">
        <v>24</v>
      </c>
      <c r="X4589" s="1">
        <v>3005</v>
      </c>
      <c r="Y4589" s="1">
        <v>3004</v>
      </c>
      <c r="Z4589" s="1" t="s">
        <v>24</v>
      </c>
      <c r="AA4589" s="1" t="s">
        <v>24</v>
      </c>
      <c r="AB4589" s="1" t="s">
        <v>24</v>
      </c>
      <c r="AC4589" s="1" t="s">
        <v>24</v>
      </c>
      <c r="AD4589" s="1" t="s">
        <v>24</v>
      </c>
      <c r="AE4589" s="1" t="s">
        <v>24</v>
      </c>
      <c r="AF4589" s="22"/>
    </row>
    <row r="4590" spans="1:32" x14ac:dyDescent="0.2">
      <c r="A4590" s="1">
        <v>42029</v>
      </c>
      <c r="B4590" s="1" t="s">
        <v>14031</v>
      </c>
      <c r="C4590" s="5" t="s">
        <v>0</v>
      </c>
      <c r="D4590" s="1" t="s">
        <v>14032</v>
      </c>
      <c r="E4590" s="1" t="s">
        <v>14033</v>
      </c>
      <c r="F4590" s="1" t="s">
        <v>1412</v>
      </c>
      <c r="G4590" s="1" t="s">
        <v>1413</v>
      </c>
      <c r="H4590" s="1" t="s">
        <v>30</v>
      </c>
      <c r="I4590" s="1" t="s">
        <v>16</v>
      </c>
      <c r="J4590" s="1">
        <v>1</v>
      </c>
      <c r="K4590" s="1">
        <v>1</v>
      </c>
      <c r="L4590" s="1" t="s">
        <v>31</v>
      </c>
      <c r="M4590" s="1" t="s">
        <v>18</v>
      </c>
      <c r="N4590" s="1" t="s">
        <v>18</v>
      </c>
      <c r="O4590" s="1">
        <v>3</v>
      </c>
      <c r="P4590" s="1">
        <v>7</v>
      </c>
      <c r="Q4590" s="7" t="s">
        <v>17633</v>
      </c>
      <c r="R4590" s="1" t="s">
        <v>19</v>
      </c>
      <c r="S4590" s="1" t="s">
        <v>63</v>
      </c>
      <c r="T4590" s="1" t="s">
        <v>21</v>
      </c>
      <c r="U4590" s="1" t="s">
        <v>22</v>
      </c>
      <c r="V4590" s="1" t="s">
        <v>24</v>
      </c>
      <c r="W4590" s="1" t="s">
        <v>24</v>
      </c>
      <c r="X4590" s="1">
        <v>2725</v>
      </c>
      <c r="Y4590" s="1">
        <v>2726</v>
      </c>
      <c r="Z4590" s="1">
        <v>2404</v>
      </c>
      <c r="AA4590" s="1">
        <v>2405</v>
      </c>
      <c r="AB4590" s="1">
        <v>2406</v>
      </c>
      <c r="AC4590" s="1" t="s">
        <v>24</v>
      </c>
      <c r="AD4590" s="1" t="s">
        <v>24</v>
      </c>
      <c r="AE4590" s="1" t="s">
        <v>24</v>
      </c>
      <c r="AF4590" s="22"/>
    </row>
    <row r="4591" spans="1:32" x14ac:dyDescent="0.2">
      <c r="A4591" s="1">
        <v>42030</v>
      </c>
      <c r="B4591" s="1" t="s">
        <v>14034</v>
      </c>
      <c r="C4591" s="5" t="s">
        <v>0</v>
      </c>
      <c r="D4591" s="1" t="s">
        <v>14035</v>
      </c>
      <c r="E4591" s="1" t="s">
        <v>14036</v>
      </c>
      <c r="F4591" s="1" t="s">
        <v>1412</v>
      </c>
      <c r="G4591" s="1" t="s">
        <v>1413</v>
      </c>
      <c r="H4591" s="1" t="s">
        <v>30</v>
      </c>
      <c r="I4591" s="1" t="s">
        <v>16</v>
      </c>
      <c r="J4591" s="1">
        <v>1</v>
      </c>
      <c r="K4591" s="1">
        <v>1</v>
      </c>
      <c r="L4591" s="1" t="s">
        <v>31</v>
      </c>
      <c r="M4591" s="1" t="s">
        <v>18</v>
      </c>
      <c r="N4591" s="1" t="s">
        <v>18</v>
      </c>
      <c r="O4591" s="1">
        <v>3</v>
      </c>
      <c r="P4591" s="1">
        <v>7</v>
      </c>
      <c r="Q4591" s="7" t="s">
        <v>17633</v>
      </c>
      <c r="R4591" s="1" t="s">
        <v>19</v>
      </c>
      <c r="S4591" s="1" t="s">
        <v>63</v>
      </c>
      <c r="T4591" s="1" t="s">
        <v>21</v>
      </c>
      <c r="U4591" s="1" t="s">
        <v>22</v>
      </c>
      <c r="V4591" s="1" t="s">
        <v>24</v>
      </c>
      <c r="W4591" s="1" t="s">
        <v>24</v>
      </c>
      <c r="X4591" s="1">
        <v>2404</v>
      </c>
      <c r="Y4591" s="1">
        <v>2405</v>
      </c>
      <c r="Z4591" s="1">
        <v>2700</v>
      </c>
      <c r="AA4591" s="1" t="s">
        <v>24</v>
      </c>
      <c r="AB4591" s="1" t="s">
        <v>24</v>
      </c>
      <c r="AC4591" s="1" t="s">
        <v>24</v>
      </c>
      <c r="AD4591" s="1" t="s">
        <v>24</v>
      </c>
      <c r="AE4591" s="1" t="s">
        <v>24</v>
      </c>
      <c r="AF4591" s="22"/>
    </row>
    <row r="4592" spans="1:32" x14ac:dyDescent="0.2">
      <c r="A4592" s="1">
        <v>42032</v>
      </c>
      <c r="B4592" s="1" t="s">
        <v>14037</v>
      </c>
      <c r="C4592" s="5" t="s">
        <v>0</v>
      </c>
      <c r="E4592" s="1" t="s">
        <v>14038</v>
      </c>
      <c r="F4592" s="1" t="s">
        <v>2299</v>
      </c>
      <c r="G4592" s="1" t="s">
        <v>2300</v>
      </c>
      <c r="H4592" s="1" t="s">
        <v>37</v>
      </c>
      <c r="I4592" s="1" t="s">
        <v>16</v>
      </c>
      <c r="J4592" s="1">
        <v>1</v>
      </c>
      <c r="K4592" s="1">
        <v>1</v>
      </c>
      <c r="L4592" s="1" t="s">
        <v>31</v>
      </c>
      <c r="M4592" s="1" t="s">
        <v>18</v>
      </c>
      <c r="N4592" s="1" t="s">
        <v>18</v>
      </c>
      <c r="O4592" s="1">
        <v>3</v>
      </c>
      <c r="P4592" s="1">
        <v>7</v>
      </c>
      <c r="Q4592" s="7" t="s">
        <v>17633</v>
      </c>
      <c r="R4592" s="1" t="s">
        <v>19</v>
      </c>
      <c r="S4592" s="1" t="s">
        <v>63</v>
      </c>
      <c r="T4592" s="1" t="s">
        <v>21</v>
      </c>
      <c r="U4592" s="1" t="s">
        <v>22</v>
      </c>
      <c r="V4592" s="1" t="s">
        <v>24</v>
      </c>
      <c r="W4592" s="1" t="s">
        <v>24</v>
      </c>
      <c r="X4592" s="1">
        <v>1311</v>
      </c>
      <c r="Y4592" s="1">
        <v>1312</v>
      </c>
      <c r="Z4592" s="1" t="s">
        <v>24</v>
      </c>
      <c r="AA4592" s="1" t="s">
        <v>24</v>
      </c>
      <c r="AB4592" s="1" t="s">
        <v>24</v>
      </c>
      <c r="AC4592" s="1" t="s">
        <v>24</v>
      </c>
      <c r="AD4592" s="1" t="s">
        <v>24</v>
      </c>
      <c r="AE4592" s="1" t="s">
        <v>24</v>
      </c>
      <c r="AF4592" s="22"/>
    </row>
    <row r="4593" spans="1:32" x14ac:dyDescent="0.2">
      <c r="A4593" s="1">
        <v>42034</v>
      </c>
      <c r="B4593" s="1" t="s">
        <v>14039</v>
      </c>
      <c r="C4593" s="5" t="s">
        <v>0</v>
      </c>
      <c r="E4593" s="1" t="s">
        <v>14040</v>
      </c>
      <c r="F4593" s="1" t="s">
        <v>14041</v>
      </c>
      <c r="G4593" s="1" t="s">
        <v>14041</v>
      </c>
      <c r="H4593" s="1" t="s">
        <v>37</v>
      </c>
      <c r="I4593" s="1" t="s">
        <v>16</v>
      </c>
      <c r="J4593" s="1">
        <v>1</v>
      </c>
      <c r="K4593" s="1">
        <v>1</v>
      </c>
      <c r="L4593" s="1" t="s">
        <v>42</v>
      </c>
      <c r="M4593" s="1" t="s">
        <v>18</v>
      </c>
      <c r="N4593" s="1" t="s">
        <v>18</v>
      </c>
      <c r="O4593" s="1">
        <v>3</v>
      </c>
      <c r="P4593" s="1">
        <v>7</v>
      </c>
      <c r="Q4593" s="7" t="s">
        <v>17633</v>
      </c>
      <c r="R4593" s="1" t="s">
        <v>19</v>
      </c>
      <c r="S4593" s="1" t="s">
        <v>63</v>
      </c>
      <c r="T4593" s="1" t="s">
        <v>21</v>
      </c>
      <c r="U4593" s="1" t="s">
        <v>22</v>
      </c>
      <c r="V4593" s="1" t="s">
        <v>23</v>
      </c>
      <c r="W4593" s="1" t="s">
        <v>24</v>
      </c>
      <c r="X4593" s="1">
        <v>2730</v>
      </c>
      <c r="Y4593" s="1">
        <v>2733</v>
      </c>
      <c r="Z4593" s="1" t="s">
        <v>24</v>
      </c>
      <c r="AA4593" s="1" t="s">
        <v>24</v>
      </c>
      <c r="AB4593" s="1" t="s">
        <v>24</v>
      </c>
      <c r="AC4593" s="1" t="s">
        <v>24</v>
      </c>
      <c r="AD4593" s="1" t="s">
        <v>24</v>
      </c>
      <c r="AE4593" s="1" t="s">
        <v>24</v>
      </c>
      <c r="AF4593" s="22"/>
    </row>
    <row r="4594" spans="1:32" x14ac:dyDescent="0.2">
      <c r="A4594" s="1">
        <v>42035</v>
      </c>
      <c r="B4594" s="1" t="s">
        <v>14042</v>
      </c>
      <c r="C4594" s="5" t="s">
        <v>0</v>
      </c>
      <c r="E4594" s="1" t="s">
        <v>14043</v>
      </c>
      <c r="F4594" s="1" t="s">
        <v>2299</v>
      </c>
      <c r="G4594" s="1" t="s">
        <v>2300</v>
      </c>
      <c r="H4594" s="1" t="s">
        <v>37</v>
      </c>
      <c r="I4594" s="1" t="s">
        <v>16</v>
      </c>
      <c r="J4594" s="1">
        <v>1</v>
      </c>
      <c r="K4594" s="1">
        <v>1</v>
      </c>
      <c r="L4594" s="1" t="s">
        <v>31</v>
      </c>
      <c r="M4594" s="1" t="s">
        <v>18</v>
      </c>
      <c r="N4594" s="1" t="s">
        <v>18</v>
      </c>
      <c r="O4594" s="1">
        <v>3</v>
      </c>
      <c r="P4594" s="1">
        <v>7</v>
      </c>
      <c r="Q4594" s="7" t="s">
        <v>17633</v>
      </c>
      <c r="R4594" s="1" t="s">
        <v>19</v>
      </c>
      <c r="S4594" s="1" t="s">
        <v>63</v>
      </c>
      <c r="T4594" s="1" t="s">
        <v>21</v>
      </c>
      <c r="U4594" s="1" t="s">
        <v>22</v>
      </c>
      <c r="V4594" s="1" t="s">
        <v>23</v>
      </c>
      <c r="W4594" s="1" t="s">
        <v>24</v>
      </c>
      <c r="X4594" s="1">
        <v>2728</v>
      </c>
      <c r="Y4594" s="1">
        <v>2808</v>
      </c>
      <c r="Z4594" s="1">
        <v>2805</v>
      </c>
      <c r="AA4594" s="1" t="s">
        <v>24</v>
      </c>
      <c r="AB4594" s="1" t="s">
        <v>24</v>
      </c>
      <c r="AC4594" s="1" t="s">
        <v>24</v>
      </c>
      <c r="AD4594" s="1" t="s">
        <v>24</v>
      </c>
      <c r="AE4594" s="1" t="s">
        <v>24</v>
      </c>
      <c r="AF4594" s="22"/>
    </row>
    <row r="4595" spans="1:32" x14ac:dyDescent="0.2">
      <c r="A4595" s="1">
        <v>42036</v>
      </c>
      <c r="B4595" s="1" t="s">
        <v>14044</v>
      </c>
      <c r="C4595" s="5" t="s">
        <v>0</v>
      </c>
      <c r="E4595" s="1" t="s">
        <v>14045</v>
      </c>
      <c r="F4595" s="1" t="s">
        <v>2299</v>
      </c>
      <c r="G4595" s="1" t="s">
        <v>2300</v>
      </c>
      <c r="H4595" s="1" t="s">
        <v>37</v>
      </c>
      <c r="I4595" s="1" t="s">
        <v>16</v>
      </c>
      <c r="J4595" s="1">
        <v>1</v>
      </c>
      <c r="K4595" s="1">
        <v>1</v>
      </c>
      <c r="L4595" s="1" t="s">
        <v>31</v>
      </c>
      <c r="M4595" s="1" t="s">
        <v>18</v>
      </c>
      <c r="N4595" s="1" t="s">
        <v>18</v>
      </c>
      <c r="O4595" s="1">
        <v>3</v>
      </c>
      <c r="P4595" s="1">
        <v>7</v>
      </c>
      <c r="Q4595" s="7" t="s">
        <v>17633</v>
      </c>
      <c r="R4595" s="1" t="s">
        <v>19</v>
      </c>
      <c r="S4595" s="1" t="s">
        <v>63</v>
      </c>
      <c r="T4595" s="1" t="s">
        <v>21</v>
      </c>
      <c r="U4595" s="1" t="s">
        <v>22</v>
      </c>
      <c r="V4595" s="1" t="s">
        <v>23</v>
      </c>
      <c r="W4595" s="1" t="s">
        <v>24</v>
      </c>
      <c r="X4595" s="1">
        <v>2712</v>
      </c>
      <c r="Y4595" s="1">
        <v>2724</v>
      </c>
      <c r="Z4595" s="1" t="s">
        <v>24</v>
      </c>
      <c r="AA4595" s="1" t="s">
        <v>24</v>
      </c>
      <c r="AB4595" s="1" t="s">
        <v>24</v>
      </c>
      <c r="AC4595" s="1" t="s">
        <v>24</v>
      </c>
      <c r="AD4595" s="1" t="s">
        <v>24</v>
      </c>
      <c r="AE4595" s="1" t="s">
        <v>24</v>
      </c>
      <c r="AF4595" s="22"/>
    </row>
    <row r="4596" spans="1:32" x14ac:dyDescent="0.2">
      <c r="A4596" s="1">
        <v>42037</v>
      </c>
      <c r="B4596" s="1" t="s">
        <v>14046</v>
      </c>
      <c r="C4596" s="5" t="s">
        <v>0</v>
      </c>
      <c r="D4596" s="1" t="s">
        <v>14047</v>
      </c>
      <c r="E4596" s="1" t="s">
        <v>14048</v>
      </c>
      <c r="F4596" s="1" t="s">
        <v>1897</v>
      </c>
      <c r="G4596" s="1" t="s">
        <v>1898</v>
      </c>
      <c r="H4596" s="1" t="s">
        <v>899</v>
      </c>
      <c r="I4596" s="1" t="s">
        <v>16</v>
      </c>
      <c r="J4596" s="1">
        <v>1</v>
      </c>
      <c r="K4596" s="1">
        <v>4</v>
      </c>
      <c r="L4596" s="1" t="s">
        <v>31</v>
      </c>
      <c r="M4596" s="1" t="s">
        <v>18</v>
      </c>
      <c r="N4596" s="1" t="s">
        <v>18</v>
      </c>
      <c r="O4596" s="1">
        <v>3</v>
      </c>
      <c r="P4596" s="1">
        <v>7</v>
      </c>
      <c r="Q4596" s="7" t="s">
        <v>17633</v>
      </c>
      <c r="R4596" s="1" t="s">
        <v>19</v>
      </c>
      <c r="S4596" s="1" t="s">
        <v>20</v>
      </c>
      <c r="T4596" s="1" t="s">
        <v>21</v>
      </c>
      <c r="U4596" s="1" t="s">
        <v>22</v>
      </c>
      <c r="V4596" s="1" t="s">
        <v>23</v>
      </c>
      <c r="W4596" s="1" t="s">
        <v>24</v>
      </c>
      <c r="X4596" s="1">
        <v>2730</v>
      </c>
      <c r="Y4596" s="1">
        <v>2735</v>
      </c>
      <c r="Z4596" s="1" t="s">
        <v>24</v>
      </c>
      <c r="AA4596" s="1" t="s">
        <v>24</v>
      </c>
      <c r="AB4596" s="1" t="s">
        <v>24</v>
      </c>
      <c r="AC4596" s="1" t="s">
        <v>24</v>
      </c>
      <c r="AD4596" s="1" t="s">
        <v>24</v>
      </c>
      <c r="AE4596" s="1" t="s">
        <v>24</v>
      </c>
      <c r="AF4596" s="22"/>
    </row>
    <row r="4597" spans="1:32" x14ac:dyDescent="0.2">
      <c r="A4597" s="1">
        <v>42048</v>
      </c>
      <c r="B4597" s="1" t="s">
        <v>14049</v>
      </c>
      <c r="C4597" s="5" t="s">
        <v>0</v>
      </c>
      <c r="D4597" s="1" t="s">
        <v>14050</v>
      </c>
      <c r="E4597" s="1" t="s">
        <v>14051</v>
      </c>
      <c r="F4597" s="1" t="s">
        <v>14052</v>
      </c>
      <c r="G4597" s="1" t="s">
        <v>130</v>
      </c>
      <c r="H4597" s="1" t="s">
        <v>899</v>
      </c>
      <c r="I4597" s="1" t="s">
        <v>16</v>
      </c>
      <c r="J4597" s="1">
        <v>1</v>
      </c>
      <c r="K4597" s="1">
        <v>6</v>
      </c>
      <c r="L4597" s="1" t="s">
        <v>31</v>
      </c>
      <c r="M4597" s="1" t="s">
        <v>18</v>
      </c>
      <c r="N4597" s="1" t="s">
        <v>18</v>
      </c>
      <c r="O4597" s="1">
        <v>3</v>
      </c>
      <c r="P4597" s="1">
        <v>7</v>
      </c>
      <c r="Q4597" s="7" t="s">
        <v>17633</v>
      </c>
      <c r="R4597" s="1" t="s">
        <v>19</v>
      </c>
      <c r="S4597" s="1" t="s">
        <v>20</v>
      </c>
      <c r="T4597" s="1" t="s">
        <v>21</v>
      </c>
      <c r="U4597" s="1" t="s">
        <v>22</v>
      </c>
      <c r="V4597" s="1" t="s">
        <v>24</v>
      </c>
      <c r="W4597" s="1" t="s">
        <v>24</v>
      </c>
      <c r="X4597" s="1">
        <v>2729</v>
      </c>
      <c r="Y4597" s="1" t="s">
        <v>24</v>
      </c>
      <c r="Z4597" s="1" t="s">
        <v>24</v>
      </c>
      <c r="AA4597" s="1" t="s">
        <v>24</v>
      </c>
      <c r="AB4597" s="1" t="s">
        <v>24</v>
      </c>
      <c r="AC4597" s="1" t="s">
        <v>24</v>
      </c>
      <c r="AD4597" s="1" t="s">
        <v>24</v>
      </c>
      <c r="AE4597" s="1" t="s">
        <v>24</v>
      </c>
      <c r="AF4597" s="22"/>
    </row>
    <row r="4598" spans="1:32" x14ac:dyDescent="0.2">
      <c r="A4598" s="1">
        <v>42056</v>
      </c>
      <c r="B4598" s="1" t="s">
        <v>14053</v>
      </c>
      <c r="C4598" s="5" t="s">
        <v>0</v>
      </c>
      <c r="E4598" s="1" t="s">
        <v>14054</v>
      </c>
      <c r="F4598" s="1" t="s">
        <v>6405</v>
      </c>
      <c r="G4598" s="1" t="s">
        <v>6406</v>
      </c>
      <c r="H4598" s="1" t="s">
        <v>92</v>
      </c>
      <c r="I4598" s="1" t="s">
        <v>16</v>
      </c>
      <c r="J4598" s="1">
        <v>1</v>
      </c>
      <c r="K4598" s="1">
        <v>1</v>
      </c>
      <c r="L4598" s="1" t="s">
        <v>31</v>
      </c>
      <c r="M4598" s="1" t="s">
        <v>18</v>
      </c>
      <c r="N4598" s="1" t="s">
        <v>18</v>
      </c>
      <c r="O4598" s="1">
        <v>3</v>
      </c>
      <c r="P4598" s="1">
        <v>7</v>
      </c>
      <c r="Q4598" s="7" t="s">
        <v>17633</v>
      </c>
      <c r="R4598" s="1" t="s">
        <v>19</v>
      </c>
      <c r="S4598" s="1" t="s">
        <v>63</v>
      </c>
      <c r="T4598" s="1" t="s">
        <v>21</v>
      </c>
      <c r="U4598" s="1" t="s">
        <v>22</v>
      </c>
      <c r="V4598" s="1" t="s">
        <v>24</v>
      </c>
      <c r="W4598" s="1" t="s">
        <v>24</v>
      </c>
      <c r="X4598" s="1">
        <v>2716</v>
      </c>
      <c r="Y4598" s="1">
        <v>1311</v>
      </c>
      <c r="Z4598" s="1" t="s">
        <v>24</v>
      </c>
      <c r="AA4598" s="1" t="s">
        <v>24</v>
      </c>
      <c r="AB4598" s="1" t="s">
        <v>24</v>
      </c>
      <c r="AC4598" s="1" t="s">
        <v>24</v>
      </c>
      <c r="AD4598" s="1" t="s">
        <v>24</v>
      </c>
      <c r="AE4598" s="1" t="s">
        <v>24</v>
      </c>
      <c r="AF4598" s="22"/>
    </row>
    <row r="4599" spans="1:32" x14ac:dyDescent="0.2">
      <c r="A4599" s="1">
        <v>42057</v>
      </c>
      <c r="B4599" s="1" t="s">
        <v>14055</v>
      </c>
      <c r="C4599" s="5" t="s">
        <v>0</v>
      </c>
      <c r="E4599" s="1" t="s">
        <v>14056</v>
      </c>
      <c r="F4599" s="1" t="s">
        <v>6405</v>
      </c>
      <c r="G4599" s="1" t="s">
        <v>6406</v>
      </c>
      <c r="H4599" s="1" t="s">
        <v>92</v>
      </c>
      <c r="I4599" s="1" t="s">
        <v>16</v>
      </c>
      <c r="J4599" s="1">
        <v>1</v>
      </c>
      <c r="K4599" s="1">
        <v>1</v>
      </c>
      <c r="L4599" s="1" t="s">
        <v>31</v>
      </c>
      <c r="M4599" s="1" t="s">
        <v>18</v>
      </c>
      <c r="N4599" s="1" t="s">
        <v>18</v>
      </c>
      <c r="O4599" s="1">
        <v>3</v>
      </c>
      <c r="P4599" s="1">
        <v>7</v>
      </c>
      <c r="Q4599" s="7" t="s">
        <v>17633</v>
      </c>
      <c r="R4599" s="1" t="s">
        <v>19</v>
      </c>
      <c r="S4599" s="1" t="s">
        <v>63</v>
      </c>
      <c r="T4599" s="1" t="s">
        <v>21</v>
      </c>
      <c r="U4599" s="1" t="s">
        <v>22</v>
      </c>
      <c r="V4599" s="1" t="s">
        <v>24</v>
      </c>
      <c r="W4599" s="1" t="s">
        <v>24</v>
      </c>
      <c r="X4599" s="1">
        <v>1303</v>
      </c>
      <c r="Y4599" s="1">
        <v>1307</v>
      </c>
      <c r="Z4599" s="1" t="s">
        <v>24</v>
      </c>
      <c r="AA4599" s="1" t="s">
        <v>24</v>
      </c>
      <c r="AB4599" s="1" t="s">
        <v>24</v>
      </c>
      <c r="AC4599" s="1" t="s">
        <v>24</v>
      </c>
      <c r="AD4599" s="1" t="s">
        <v>24</v>
      </c>
      <c r="AE4599" s="1" t="s">
        <v>24</v>
      </c>
      <c r="AF4599" s="22"/>
    </row>
    <row r="4600" spans="1:32" x14ac:dyDescent="0.2">
      <c r="A4600" s="1">
        <v>42058</v>
      </c>
      <c r="B4600" s="1" t="s">
        <v>14057</v>
      </c>
      <c r="C4600" s="5" t="s">
        <v>0</v>
      </c>
      <c r="E4600" s="1" t="s">
        <v>14058</v>
      </c>
      <c r="F4600" s="1" t="s">
        <v>6405</v>
      </c>
      <c r="G4600" s="1" t="s">
        <v>6406</v>
      </c>
      <c r="H4600" s="1" t="s">
        <v>92</v>
      </c>
      <c r="I4600" s="1" t="s">
        <v>16</v>
      </c>
      <c r="J4600" s="1">
        <v>1</v>
      </c>
      <c r="K4600" s="1">
        <v>1</v>
      </c>
      <c r="L4600" s="1" t="s">
        <v>31</v>
      </c>
      <c r="M4600" s="1" t="s">
        <v>18</v>
      </c>
      <c r="N4600" s="1" t="s">
        <v>18</v>
      </c>
      <c r="O4600" s="1">
        <v>3</v>
      </c>
      <c r="P4600" s="1">
        <v>7</v>
      </c>
      <c r="Q4600" s="7" t="s">
        <v>17633</v>
      </c>
      <c r="R4600" s="1" t="s">
        <v>19</v>
      </c>
      <c r="S4600" s="1" t="s">
        <v>63</v>
      </c>
      <c r="T4600" s="1" t="s">
        <v>21</v>
      </c>
      <c r="U4600" s="1" t="s">
        <v>22</v>
      </c>
      <c r="V4600" s="1" t="s">
        <v>23</v>
      </c>
      <c r="W4600" s="1" t="s">
        <v>24</v>
      </c>
      <c r="X4600" s="1">
        <v>2708</v>
      </c>
      <c r="Y4600" s="1" t="s">
        <v>24</v>
      </c>
      <c r="Z4600" s="1" t="s">
        <v>24</v>
      </c>
      <c r="AA4600" s="1" t="s">
        <v>24</v>
      </c>
      <c r="AB4600" s="1" t="s">
        <v>24</v>
      </c>
      <c r="AC4600" s="1" t="s">
        <v>24</v>
      </c>
      <c r="AD4600" s="1" t="s">
        <v>24</v>
      </c>
      <c r="AE4600" s="1" t="s">
        <v>24</v>
      </c>
      <c r="AF4600" s="22"/>
    </row>
    <row r="4601" spans="1:32" x14ac:dyDescent="0.2">
      <c r="A4601" s="1">
        <v>42059</v>
      </c>
      <c r="B4601" s="1" t="s">
        <v>14059</v>
      </c>
      <c r="C4601" s="5" t="s">
        <v>0</v>
      </c>
      <c r="E4601" s="1" t="s">
        <v>14060</v>
      </c>
      <c r="F4601" s="1" t="s">
        <v>6405</v>
      </c>
      <c r="G4601" s="1" t="s">
        <v>6406</v>
      </c>
      <c r="H4601" s="1" t="s">
        <v>92</v>
      </c>
      <c r="I4601" s="1" t="s">
        <v>16</v>
      </c>
      <c r="J4601" s="1">
        <v>1</v>
      </c>
      <c r="K4601" s="1">
        <v>1</v>
      </c>
      <c r="L4601" s="1" t="s">
        <v>31</v>
      </c>
      <c r="M4601" s="1" t="s">
        <v>18</v>
      </c>
      <c r="N4601" s="1" t="s">
        <v>18</v>
      </c>
      <c r="O4601" s="1">
        <v>3</v>
      </c>
      <c r="P4601" s="1">
        <v>7</v>
      </c>
      <c r="Q4601" s="7" t="s">
        <v>17633</v>
      </c>
      <c r="R4601" s="1" t="s">
        <v>19</v>
      </c>
      <c r="S4601" s="1" t="s">
        <v>63</v>
      </c>
      <c r="T4601" s="1" t="s">
        <v>21</v>
      </c>
      <c r="U4601" s="1" t="s">
        <v>22</v>
      </c>
      <c r="V4601" s="1" t="s">
        <v>23</v>
      </c>
      <c r="W4601" s="1" t="s">
        <v>24</v>
      </c>
      <c r="X4601" s="1">
        <v>2728</v>
      </c>
      <c r="Y4601" s="1">
        <v>2738</v>
      </c>
      <c r="Z4601" s="1">
        <v>2808</v>
      </c>
      <c r="AA4601" s="1" t="s">
        <v>24</v>
      </c>
      <c r="AB4601" s="1" t="s">
        <v>24</v>
      </c>
      <c r="AC4601" s="1" t="s">
        <v>24</v>
      </c>
      <c r="AD4601" s="1" t="s">
        <v>24</v>
      </c>
      <c r="AE4601" s="1" t="s">
        <v>24</v>
      </c>
      <c r="AF4601" s="22"/>
    </row>
    <row r="4602" spans="1:32" x14ac:dyDescent="0.2">
      <c r="A4602" s="1">
        <v>42060</v>
      </c>
      <c r="B4602" s="1" t="s">
        <v>14061</v>
      </c>
      <c r="C4602" s="5" t="s">
        <v>0</v>
      </c>
      <c r="E4602" s="1" t="s">
        <v>14062</v>
      </c>
      <c r="F4602" s="1" t="s">
        <v>6405</v>
      </c>
      <c r="G4602" s="1" t="s">
        <v>6406</v>
      </c>
      <c r="H4602" s="1" t="s">
        <v>92</v>
      </c>
      <c r="I4602" s="1" t="s">
        <v>16</v>
      </c>
      <c r="J4602" s="1">
        <v>1</v>
      </c>
      <c r="K4602" s="1">
        <v>1</v>
      </c>
      <c r="L4602" s="1" t="s">
        <v>31</v>
      </c>
      <c r="M4602" s="1" t="s">
        <v>18</v>
      </c>
      <c r="N4602" s="1" t="s">
        <v>18</v>
      </c>
      <c r="O4602" s="1">
        <v>3</v>
      </c>
      <c r="P4602" s="1">
        <v>7</v>
      </c>
      <c r="Q4602" s="7" t="s">
        <v>17633</v>
      </c>
      <c r="R4602" s="1" t="s">
        <v>19</v>
      </c>
      <c r="S4602" s="1" t="s">
        <v>63</v>
      </c>
      <c r="T4602" s="1" t="s">
        <v>21</v>
      </c>
      <c r="U4602" s="1" t="s">
        <v>22</v>
      </c>
      <c r="V4602" s="1" t="s">
        <v>23</v>
      </c>
      <c r="W4602" s="1" t="s">
        <v>24</v>
      </c>
      <c r="X4602" s="1">
        <v>2801</v>
      </c>
      <c r="Y4602" s="1">
        <v>2703</v>
      </c>
      <c r="Z4602" s="1" t="s">
        <v>24</v>
      </c>
      <c r="AA4602" s="1" t="s">
        <v>24</v>
      </c>
      <c r="AB4602" s="1" t="s">
        <v>24</v>
      </c>
      <c r="AC4602" s="1" t="s">
        <v>24</v>
      </c>
      <c r="AD4602" s="1" t="s">
        <v>24</v>
      </c>
      <c r="AE4602" s="1" t="s">
        <v>24</v>
      </c>
      <c r="AF4602" s="22"/>
    </row>
    <row r="4603" spans="1:32" x14ac:dyDescent="0.2">
      <c r="A4603" s="1">
        <v>42061</v>
      </c>
      <c r="B4603" s="1" t="s">
        <v>14063</v>
      </c>
      <c r="C4603" s="5" t="s">
        <v>0</v>
      </c>
      <c r="E4603" s="1" t="s">
        <v>14064</v>
      </c>
      <c r="F4603" s="1" t="s">
        <v>6405</v>
      </c>
      <c r="G4603" s="1" t="s">
        <v>6406</v>
      </c>
      <c r="H4603" s="1" t="s">
        <v>92</v>
      </c>
      <c r="I4603" s="1" t="s">
        <v>16</v>
      </c>
      <c r="J4603" s="1">
        <v>1</v>
      </c>
      <c r="K4603" s="1">
        <v>1</v>
      </c>
      <c r="L4603" s="1" t="s">
        <v>31</v>
      </c>
      <c r="M4603" s="1" t="s">
        <v>18</v>
      </c>
      <c r="N4603" s="1" t="s">
        <v>18</v>
      </c>
      <c r="O4603" s="1">
        <v>3</v>
      </c>
      <c r="P4603" s="1">
        <v>7</v>
      </c>
      <c r="Q4603" s="7" t="s">
        <v>17633</v>
      </c>
      <c r="R4603" s="1" t="s">
        <v>19</v>
      </c>
      <c r="S4603" s="1" t="s">
        <v>63</v>
      </c>
      <c r="T4603" s="1" t="s">
        <v>21</v>
      </c>
      <c r="U4603" s="1" t="s">
        <v>22</v>
      </c>
      <c r="V4603" s="1" t="s">
        <v>24</v>
      </c>
      <c r="W4603" s="1" t="s">
        <v>24</v>
      </c>
      <c r="X4603" s="1">
        <v>2723</v>
      </c>
      <c r="Y4603" s="1">
        <v>2403</v>
      </c>
      <c r="Z4603" s="1" t="s">
        <v>24</v>
      </c>
      <c r="AA4603" s="1" t="s">
        <v>24</v>
      </c>
      <c r="AB4603" s="1" t="s">
        <v>24</v>
      </c>
      <c r="AC4603" s="1" t="s">
        <v>24</v>
      </c>
      <c r="AD4603" s="1" t="s">
        <v>24</v>
      </c>
      <c r="AE4603" s="1" t="s">
        <v>24</v>
      </c>
      <c r="AF4603" s="22"/>
    </row>
    <row r="4604" spans="1:32" x14ac:dyDescent="0.2">
      <c r="A4604" s="1">
        <v>42062</v>
      </c>
      <c r="B4604" s="1" t="s">
        <v>14065</v>
      </c>
      <c r="C4604" s="5" t="s">
        <v>0</v>
      </c>
      <c r="E4604" s="1" t="s">
        <v>14066</v>
      </c>
      <c r="F4604" s="1" t="s">
        <v>6405</v>
      </c>
      <c r="G4604" s="1" t="s">
        <v>6406</v>
      </c>
      <c r="H4604" s="1" t="s">
        <v>92</v>
      </c>
      <c r="I4604" s="1" t="s">
        <v>16</v>
      </c>
      <c r="J4604" s="1">
        <v>1</v>
      </c>
      <c r="K4604" s="1">
        <v>1</v>
      </c>
      <c r="L4604" s="1" t="s">
        <v>31</v>
      </c>
      <c r="M4604" s="1" t="s">
        <v>18</v>
      </c>
      <c r="N4604" s="1" t="s">
        <v>18</v>
      </c>
      <c r="O4604" s="1">
        <v>3</v>
      </c>
      <c r="P4604" s="1">
        <v>7</v>
      </c>
      <c r="Q4604" s="7" t="s">
        <v>17633</v>
      </c>
      <c r="R4604" s="1" t="s">
        <v>19</v>
      </c>
      <c r="S4604" s="1" t="s">
        <v>63</v>
      </c>
      <c r="T4604" s="1" t="s">
        <v>21</v>
      </c>
      <c r="U4604" s="1" t="s">
        <v>22</v>
      </c>
      <c r="V4604" s="1" t="s">
        <v>23</v>
      </c>
      <c r="W4604" s="1" t="s">
        <v>24</v>
      </c>
      <c r="X4604" s="1">
        <v>2703</v>
      </c>
      <c r="Y4604" s="1" t="s">
        <v>24</v>
      </c>
      <c r="Z4604" s="1" t="s">
        <v>24</v>
      </c>
      <c r="AA4604" s="1" t="s">
        <v>24</v>
      </c>
      <c r="AB4604" s="1" t="s">
        <v>24</v>
      </c>
      <c r="AC4604" s="1" t="s">
        <v>24</v>
      </c>
      <c r="AD4604" s="1" t="s">
        <v>24</v>
      </c>
      <c r="AE4604" s="1" t="s">
        <v>24</v>
      </c>
      <c r="AF4604" s="22"/>
    </row>
    <row r="4605" spans="1:32" x14ac:dyDescent="0.2">
      <c r="A4605" s="1">
        <v>42063</v>
      </c>
      <c r="B4605" s="1" t="s">
        <v>14067</v>
      </c>
      <c r="C4605" s="5" t="s">
        <v>0</v>
      </c>
      <c r="E4605" s="1" t="s">
        <v>14068</v>
      </c>
      <c r="F4605" s="1" t="s">
        <v>6405</v>
      </c>
      <c r="G4605" s="1" t="s">
        <v>6406</v>
      </c>
      <c r="H4605" s="1" t="s">
        <v>92</v>
      </c>
      <c r="I4605" s="1" t="s">
        <v>16</v>
      </c>
      <c r="J4605" s="1">
        <v>1</v>
      </c>
      <c r="K4605" s="1">
        <v>1</v>
      </c>
      <c r="L4605" s="1" t="s">
        <v>31</v>
      </c>
      <c r="M4605" s="1" t="s">
        <v>18</v>
      </c>
      <c r="N4605" s="1" t="s">
        <v>18</v>
      </c>
      <c r="O4605" s="1">
        <v>3</v>
      </c>
      <c r="P4605" s="1">
        <v>7</v>
      </c>
      <c r="Q4605" s="7" t="s">
        <v>17633</v>
      </c>
      <c r="R4605" s="1" t="s">
        <v>19</v>
      </c>
      <c r="S4605" s="1" t="s">
        <v>63</v>
      </c>
      <c r="T4605" s="1" t="s">
        <v>21</v>
      </c>
      <c r="U4605" s="1" t="s">
        <v>22</v>
      </c>
      <c r="V4605" s="1" t="s">
        <v>23</v>
      </c>
      <c r="W4605" s="1" t="s">
        <v>24</v>
      </c>
      <c r="X4605" s="1">
        <v>2712</v>
      </c>
      <c r="Y4605" s="1">
        <v>1310</v>
      </c>
      <c r="Z4605" s="1" t="s">
        <v>24</v>
      </c>
      <c r="AA4605" s="1" t="s">
        <v>24</v>
      </c>
      <c r="AB4605" s="1" t="s">
        <v>24</v>
      </c>
      <c r="AC4605" s="1" t="s">
        <v>24</v>
      </c>
      <c r="AD4605" s="1" t="s">
        <v>24</v>
      </c>
      <c r="AE4605" s="1" t="s">
        <v>24</v>
      </c>
      <c r="AF4605" s="22"/>
    </row>
    <row r="4606" spans="1:32" x14ac:dyDescent="0.2">
      <c r="A4606" s="1">
        <v>42064</v>
      </c>
      <c r="B4606" s="1" t="s">
        <v>14069</v>
      </c>
      <c r="C4606" s="5" t="s">
        <v>0</v>
      </c>
      <c r="E4606" s="1" t="s">
        <v>14070</v>
      </c>
      <c r="F4606" s="1" t="s">
        <v>6405</v>
      </c>
      <c r="G4606" s="1" t="s">
        <v>6406</v>
      </c>
      <c r="H4606" s="1" t="s">
        <v>92</v>
      </c>
      <c r="I4606" s="1" t="s">
        <v>16</v>
      </c>
      <c r="J4606" s="1">
        <v>1</v>
      </c>
      <c r="K4606" s="1">
        <v>1</v>
      </c>
      <c r="L4606" s="1" t="s">
        <v>31</v>
      </c>
      <c r="M4606" s="1" t="s">
        <v>18</v>
      </c>
      <c r="N4606" s="1" t="s">
        <v>18</v>
      </c>
      <c r="O4606" s="1">
        <v>3</v>
      </c>
      <c r="P4606" s="1">
        <v>7</v>
      </c>
      <c r="Q4606" s="7" t="s">
        <v>17633</v>
      </c>
      <c r="R4606" s="1" t="s">
        <v>19</v>
      </c>
      <c r="S4606" s="1" t="s">
        <v>63</v>
      </c>
      <c r="T4606" s="1" t="s">
        <v>21</v>
      </c>
      <c r="U4606" s="1" t="s">
        <v>22</v>
      </c>
      <c r="V4606" s="1" t="s">
        <v>24</v>
      </c>
      <c r="W4606" s="1" t="s">
        <v>24</v>
      </c>
      <c r="X4606" s="1">
        <v>2405</v>
      </c>
      <c r="Y4606" s="1">
        <v>2700</v>
      </c>
      <c r="Z4606" s="1">
        <v>2404</v>
      </c>
      <c r="AA4606" s="1" t="s">
        <v>24</v>
      </c>
      <c r="AB4606" s="1" t="s">
        <v>24</v>
      </c>
      <c r="AC4606" s="1" t="s">
        <v>24</v>
      </c>
      <c r="AD4606" s="1" t="s">
        <v>24</v>
      </c>
      <c r="AE4606" s="1" t="s">
        <v>24</v>
      </c>
      <c r="AF4606" s="22"/>
    </row>
    <row r="4607" spans="1:32" x14ac:dyDescent="0.2">
      <c r="A4607" s="1">
        <v>42065</v>
      </c>
      <c r="B4607" s="1" t="s">
        <v>14071</v>
      </c>
      <c r="C4607" s="5" t="s">
        <v>0</v>
      </c>
      <c r="D4607" s="1" t="s">
        <v>14072</v>
      </c>
      <c r="E4607" s="1" t="s">
        <v>14073</v>
      </c>
      <c r="F4607" s="1" t="s">
        <v>1890</v>
      </c>
      <c r="G4607" s="1" t="s">
        <v>1890</v>
      </c>
      <c r="H4607" s="1" t="s">
        <v>684</v>
      </c>
      <c r="I4607" s="1" t="s">
        <v>16</v>
      </c>
      <c r="J4607" s="1">
        <v>1</v>
      </c>
      <c r="K4607" s="1">
        <v>4</v>
      </c>
      <c r="L4607" s="1" t="s">
        <v>42</v>
      </c>
      <c r="M4607" s="1" t="s">
        <v>18</v>
      </c>
      <c r="N4607" s="1" t="s">
        <v>18</v>
      </c>
      <c r="O4607" s="1">
        <v>3</v>
      </c>
      <c r="P4607" s="1">
        <v>6</v>
      </c>
      <c r="R4607" s="1" t="s">
        <v>19</v>
      </c>
      <c r="S4607" s="1" t="s">
        <v>20</v>
      </c>
      <c r="T4607" s="1" t="s">
        <v>21</v>
      </c>
      <c r="U4607" s="1" t="s">
        <v>22</v>
      </c>
      <c r="V4607" s="1" t="s">
        <v>23</v>
      </c>
      <c r="W4607" s="1" t="s">
        <v>24</v>
      </c>
      <c r="X4607" s="1">
        <v>2729</v>
      </c>
      <c r="Y4607" s="1" t="s">
        <v>24</v>
      </c>
      <c r="Z4607" s="1" t="s">
        <v>24</v>
      </c>
      <c r="AA4607" s="1" t="s">
        <v>24</v>
      </c>
      <c r="AB4607" s="1" t="s">
        <v>24</v>
      </c>
      <c r="AC4607" s="1" t="s">
        <v>24</v>
      </c>
      <c r="AD4607" s="1" t="s">
        <v>24</v>
      </c>
      <c r="AE4607" s="1" t="s">
        <v>24</v>
      </c>
      <c r="AF4607" s="22"/>
    </row>
    <row r="4608" spans="1:32" x14ac:dyDescent="0.2">
      <c r="A4608" s="1">
        <v>42066</v>
      </c>
      <c r="B4608" s="1" t="s">
        <v>14074</v>
      </c>
      <c r="C4608" s="5" t="s">
        <v>0</v>
      </c>
      <c r="E4608" s="1" t="s">
        <v>14075</v>
      </c>
      <c r="F4608" s="1" t="s">
        <v>159</v>
      </c>
      <c r="G4608" s="1" t="s">
        <v>160</v>
      </c>
      <c r="H4608" s="1" t="s">
        <v>37</v>
      </c>
      <c r="I4608" s="1" t="s">
        <v>16</v>
      </c>
      <c r="J4608" s="1">
        <v>1</v>
      </c>
      <c r="K4608" s="1">
        <v>1</v>
      </c>
      <c r="L4608" s="1" t="s">
        <v>42</v>
      </c>
      <c r="M4608" s="1" t="s">
        <v>18</v>
      </c>
      <c r="N4608" s="1" t="s">
        <v>18</v>
      </c>
      <c r="O4608" s="1">
        <v>3</v>
      </c>
      <c r="P4608" s="1">
        <v>7</v>
      </c>
      <c r="Q4608" s="7" t="s">
        <v>17633</v>
      </c>
      <c r="R4608" s="1" t="s">
        <v>19</v>
      </c>
      <c r="S4608" s="1" t="s">
        <v>20</v>
      </c>
      <c r="T4608" s="1" t="s">
        <v>21</v>
      </c>
      <c r="U4608" s="1" t="s">
        <v>22</v>
      </c>
      <c r="V4608" s="1" t="s">
        <v>24</v>
      </c>
      <c r="W4608" s="1" t="s">
        <v>24</v>
      </c>
      <c r="X4608" s="1">
        <v>2705</v>
      </c>
      <c r="Y4608" s="1" t="s">
        <v>24</v>
      </c>
      <c r="Z4608" s="1" t="s">
        <v>24</v>
      </c>
      <c r="AA4608" s="1" t="s">
        <v>24</v>
      </c>
      <c r="AB4608" s="1" t="s">
        <v>24</v>
      </c>
      <c r="AC4608" s="1" t="s">
        <v>24</v>
      </c>
      <c r="AD4608" s="1" t="s">
        <v>24</v>
      </c>
      <c r="AE4608" s="1" t="s">
        <v>24</v>
      </c>
      <c r="AF4608" s="22"/>
    </row>
    <row r="4609" spans="1:32" x14ac:dyDescent="0.2">
      <c r="A4609" s="1">
        <v>42067</v>
      </c>
      <c r="B4609" s="1" t="s">
        <v>14076</v>
      </c>
      <c r="C4609" s="5" t="s">
        <v>0</v>
      </c>
      <c r="D4609" s="1" t="s">
        <v>14077</v>
      </c>
      <c r="E4609" s="1" t="s">
        <v>14077</v>
      </c>
      <c r="F4609" s="1" t="s">
        <v>7346</v>
      </c>
      <c r="G4609" s="1" t="s">
        <v>7346</v>
      </c>
      <c r="H4609" s="1" t="s">
        <v>731</v>
      </c>
      <c r="I4609" s="1" t="s">
        <v>16</v>
      </c>
      <c r="J4609" s="1">
        <v>1</v>
      </c>
      <c r="K4609" s="1">
        <v>4</v>
      </c>
      <c r="L4609" s="1" t="s">
        <v>42</v>
      </c>
      <c r="M4609" s="1" t="s">
        <v>18</v>
      </c>
      <c r="N4609" s="1" t="s">
        <v>18</v>
      </c>
      <c r="O4609" s="1">
        <v>3</v>
      </c>
      <c r="P4609" s="1">
        <v>6</v>
      </c>
      <c r="R4609" s="1" t="s">
        <v>19</v>
      </c>
      <c r="S4609" s="1" t="s">
        <v>20</v>
      </c>
      <c r="T4609" s="1" t="s">
        <v>21</v>
      </c>
      <c r="U4609" s="1" t="s">
        <v>22</v>
      </c>
      <c r="V4609" s="1" t="s">
        <v>23</v>
      </c>
      <c r="W4609" s="1" t="s">
        <v>24</v>
      </c>
      <c r="X4609" s="1">
        <v>2730</v>
      </c>
      <c r="Y4609" s="1" t="s">
        <v>24</v>
      </c>
      <c r="Z4609" s="1" t="s">
        <v>24</v>
      </c>
      <c r="AA4609" s="1" t="s">
        <v>24</v>
      </c>
      <c r="AB4609" s="1" t="s">
        <v>24</v>
      </c>
      <c r="AC4609" s="1" t="s">
        <v>24</v>
      </c>
      <c r="AD4609" s="1" t="s">
        <v>24</v>
      </c>
      <c r="AE4609" s="1" t="s">
        <v>24</v>
      </c>
      <c r="AF4609" s="22"/>
    </row>
    <row r="4610" spans="1:32" x14ac:dyDescent="0.2">
      <c r="A4610" s="1">
        <v>42069</v>
      </c>
      <c r="B4610" s="1" t="s">
        <v>14078</v>
      </c>
      <c r="C4610" s="5" t="s">
        <v>0</v>
      </c>
      <c r="D4610" s="1" t="s">
        <v>14079</v>
      </c>
      <c r="F4610" s="1" t="s">
        <v>3134</v>
      </c>
      <c r="G4610" s="1" t="s">
        <v>3134</v>
      </c>
      <c r="H4610" s="1" t="s">
        <v>249</v>
      </c>
      <c r="I4610" s="1" t="s">
        <v>16</v>
      </c>
      <c r="J4610" s="1">
        <v>1</v>
      </c>
      <c r="K4610" s="1">
        <v>4</v>
      </c>
      <c r="L4610" s="1" t="s">
        <v>42</v>
      </c>
      <c r="M4610" s="1" t="s">
        <v>18</v>
      </c>
      <c r="N4610" s="1" t="s">
        <v>18</v>
      </c>
      <c r="O4610" s="1">
        <v>3</v>
      </c>
      <c r="P4610" s="1">
        <v>6</v>
      </c>
      <c r="R4610" s="1" t="s">
        <v>19</v>
      </c>
      <c r="S4610" s="1" t="s">
        <v>20</v>
      </c>
      <c r="T4610" s="1" t="s">
        <v>21</v>
      </c>
      <c r="U4610" s="1" t="s">
        <v>22</v>
      </c>
      <c r="V4610" s="1" t="s">
        <v>24</v>
      </c>
      <c r="W4610" s="1" t="s">
        <v>24</v>
      </c>
      <c r="X4610" s="1">
        <v>2730</v>
      </c>
      <c r="Y4610" s="1">
        <v>2741</v>
      </c>
      <c r="Z4610" s="1" t="s">
        <v>24</v>
      </c>
      <c r="AA4610" s="1" t="s">
        <v>24</v>
      </c>
      <c r="AB4610" s="1" t="s">
        <v>24</v>
      </c>
      <c r="AC4610" s="1" t="s">
        <v>24</v>
      </c>
      <c r="AD4610" s="1" t="s">
        <v>24</v>
      </c>
      <c r="AE4610" s="1" t="s">
        <v>24</v>
      </c>
      <c r="AF4610" s="22"/>
    </row>
    <row r="4611" spans="1:32" x14ac:dyDescent="0.2">
      <c r="A4611" s="1">
        <v>42070</v>
      </c>
      <c r="B4611" s="1" t="s">
        <v>14080</v>
      </c>
      <c r="C4611" s="5" t="s">
        <v>0</v>
      </c>
      <c r="D4611" s="1" t="s">
        <v>14081</v>
      </c>
      <c r="F4611" s="1" t="s">
        <v>14082</v>
      </c>
      <c r="G4611" s="1" t="s">
        <v>14082</v>
      </c>
      <c r="H4611" s="1" t="s">
        <v>731</v>
      </c>
      <c r="I4611" s="1" t="s">
        <v>16</v>
      </c>
      <c r="J4611" s="1">
        <v>1</v>
      </c>
      <c r="K4611" s="1">
        <v>2</v>
      </c>
      <c r="L4611" s="1" t="s">
        <v>42</v>
      </c>
      <c r="M4611" s="1" t="s">
        <v>18</v>
      </c>
      <c r="N4611" s="1" t="s">
        <v>18</v>
      </c>
      <c r="O4611" s="1">
        <v>3</v>
      </c>
      <c r="P4611" s="1">
        <v>6</v>
      </c>
      <c r="R4611" s="1" t="s">
        <v>19</v>
      </c>
      <c r="S4611" s="1" t="s">
        <v>20</v>
      </c>
      <c r="T4611" s="1" t="s">
        <v>21</v>
      </c>
      <c r="U4611" s="1" t="s">
        <v>22</v>
      </c>
      <c r="V4611" s="1" t="s">
        <v>23</v>
      </c>
      <c r="W4611" s="1" t="s">
        <v>24</v>
      </c>
      <c r="X4611" s="1">
        <v>2700</v>
      </c>
      <c r="Y4611" s="1" t="s">
        <v>24</v>
      </c>
      <c r="Z4611" s="1" t="s">
        <v>24</v>
      </c>
      <c r="AA4611" s="1" t="s">
        <v>24</v>
      </c>
      <c r="AB4611" s="1" t="s">
        <v>24</v>
      </c>
      <c r="AC4611" s="1" t="s">
        <v>24</v>
      </c>
      <c r="AD4611" s="1" t="s">
        <v>24</v>
      </c>
      <c r="AE4611" s="1" t="s">
        <v>24</v>
      </c>
      <c r="AF4611" s="22"/>
    </row>
    <row r="4612" spans="1:32" x14ac:dyDescent="0.2">
      <c r="A4612" s="1">
        <v>42071</v>
      </c>
      <c r="B4612" s="1" t="s">
        <v>14083</v>
      </c>
      <c r="C4612" s="5" t="s">
        <v>0</v>
      </c>
      <c r="D4612" s="1" t="s">
        <v>14084</v>
      </c>
      <c r="F4612" s="1" t="s">
        <v>14085</v>
      </c>
      <c r="G4612" s="1" t="s">
        <v>14082</v>
      </c>
      <c r="H4612" s="1" t="s">
        <v>14086</v>
      </c>
      <c r="I4612" s="1" t="s">
        <v>16</v>
      </c>
      <c r="J4612" s="1">
        <v>1</v>
      </c>
      <c r="K4612" s="1">
        <v>4</v>
      </c>
      <c r="L4612" s="1" t="s">
        <v>42</v>
      </c>
      <c r="M4612" s="1" t="s">
        <v>18</v>
      </c>
      <c r="N4612" s="1" t="s">
        <v>18</v>
      </c>
      <c r="O4612" s="1">
        <v>3</v>
      </c>
      <c r="P4612" s="1">
        <v>6</v>
      </c>
      <c r="R4612" s="1" t="s">
        <v>19</v>
      </c>
      <c r="S4612" s="1" t="s">
        <v>20</v>
      </c>
      <c r="T4612" s="1" t="s">
        <v>21</v>
      </c>
      <c r="U4612" s="1" t="s">
        <v>22</v>
      </c>
      <c r="V4612" s="1" t="s">
        <v>24</v>
      </c>
      <c r="W4612" s="1" t="s">
        <v>24</v>
      </c>
      <c r="X4612" s="1">
        <v>2700</v>
      </c>
      <c r="Y4612" s="1" t="s">
        <v>24</v>
      </c>
      <c r="Z4612" s="1" t="s">
        <v>24</v>
      </c>
      <c r="AA4612" s="1" t="s">
        <v>24</v>
      </c>
      <c r="AB4612" s="1" t="s">
        <v>24</v>
      </c>
      <c r="AC4612" s="1" t="s">
        <v>24</v>
      </c>
      <c r="AD4612" s="1" t="s">
        <v>24</v>
      </c>
      <c r="AE4612" s="1" t="s">
        <v>24</v>
      </c>
      <c r="AF4612" s="22"/>
    </row>
    <row r="4613" spans="1:32" x14ac:dyDescent="0.2">
      <c r="A4613" s="1">
        <v>42072</v>
      </c>
      <c r="B4613" s="1" t="s">
        <v>14087</v>
      </c>
      <c r="C4613" s="5" t="s">
        <v>0</v>
      </c>
      <c r="D4613" s="1" t="s">
        <v>14088</v>
      </c>
      <c r="E4613" s="1" t="s">
        <v>14089</v>
      </c>
      <c r="F4613" s="1" t="s">
        <v>10959</v>
      </c>
      <c r="G4613" s="1" t="s">
        <v>10959</v>
      </c>
      <c r="H4613" s="1" t="s">
        <v>2672</v>
      </c>
      <c r="I4613" s="1" t="s">
        <v>16</v>
      </c>
      <c r="J4613" s="1">
        <v>1</v>
      </c>
      <c r="K4613" s="1">
        <v>1</v>
      </c>
      <c r="L4613" s="1" t="s">
        <v>42</v>
      </c>
      <c r="M4613" s="1" t="s">
        <v>18</v>
      </c>
      <c r="N4613" s="1" t="s">
        <v>18</v>
      </c>
      <c r="O4613" s="1">
        <v>3</v>
      </c>
      <c r="P4613" s="1">
        <v>6</v>
      </c>
      <c r="R4613" s="1" t="s">
        <v>19</v>
      </c>
      <c r="S4613" s="1" t="s">
        <v>20</v>
      </c>
      <c r="T4613" s="1" t="s">
        <v>21</v>
      </c>
      <c r="U4613" s="1" t="s">
        <v>22</v>
      </c>
      <c r="V4613" s="1" t="s">
        <v>24</v>
      </c>
      <c r="W4613" s="1" t="s">
        <v>24</v>
      </c>
      <c r="X4613" s="1">
        <v>2403</v>
      </c>
      <c r="Y4613" s="1" t="s">
        <v>24</v>
      </c>
      <c r="Z4613" s="1" t="s">
        <v>24</v>
      </c>
      <c r="AA4613" s="1" t="s">
        <v>24</v>
      </c>
      <c r="AB4613" s="1" t="s">
        <v>24</v>
      </c>
      <c r="AC4613" s="1" t="s">
        <v>24</v>
      </c>
      <c r="AD4613" s="1" t="s">
        <v>24</v>
      </c>
      <c r="AE4613" s="1" t="s">
        <v>24</v>
      </c>
      <c r="AF4613" s="22"/>
    </row>
    <row r="4614" spans="1:32" x14ac:dyDescent="0.2">
      <c r="A4614" s="1">
        <v>42073</v>
      </c>
      <c r="B4614" s="1" t="s">
        <v>14090</v>
      </c>
      <c r="C4614" s="5" t="s">
        <v>0</v>
      </c>
      <c r="D4614" s="4"/>
      <c r="E4614" s="4"/>
      <c r="F4614" s="1" t="s">
        <v>10307</v>
      </c>
      <c r="G4614" s="1" t="s">
        <v>10307</v>
      </c>
      <c r="H4614" s="1" t="s">
        <v>684</v>
      </c>
      <c r="I4614" s="1" t="s">
        <v>16</v>
      </c>
      <c r="J4614" s="1">
        <v>1</v>
      </c>
      <c r="K4614" s="1">
        <v>2</v>
      </c>
      <c r="L4614" s="1" t="s">
        <v>42</v>
      </c>
      <c r="M4614" s="1" t="s">
        <v>852</v>
      </c>
      <c r="N4614" s="1" t="s">
        <v>685</v>
      </c>
      <c r="O4614" s="1">
        <v>3</v>
      </c>
      <c r="P4614" s="1">
        <v>5</v>
      </c>
      <c r="R4614" s="1" t="s">
        <v>19</v>
      </c>
      <c r="S4614" s="1" t="s">
        <v>20</v>
      </c>
      <c r="T4614" s="1" t="s">
        <v>21</v>
      </c>
      <c r="U4614" s="1" t="s">
        <v>22</v>
      </c>
      <c r="V4614" s="1" t="s">
        <v>24</v>
      </c>
      <c r="W4614" s="1" t="s">
        <v>24</v>
      </c>
      <c r="X4614" s="1">
        <v>2700</v>
      </c>
      <c r="Y4614" s="1" t="s">
        <v>24</v>
      </c>
      <c r="Z4614" s="1" t="s">
        <v>24</v>
      </c>
      <c r="AA4614" s="1" t="s">
        <v>24</v>
      </c>
      <c r="AB4614" s="1" t="s">
        <v>24</v>
      </c>
      <c r="AC4614" s="1" t="s">
        <v>24</v>
      </c>
      <c r="AD4614" s="1" t="s">
        <v>24</v>
      </c>
      <c r="AE4614" s="1" t="s">
        <v>24</v>
      </c>
      <c r="AF4614" s="22" t="s">
        <v>17662</v>
      </c>
    </row>
    <row r="4615" spans="1:32" x14ac:dyDescent="0.2">
      <c r="A4615" s="1">
        <v>42074</v>
      </c>
      <c r="B4615" s="1" t="s">
        <v>14091</v>
      </c>
      <c r="C4615" s="5" t="s">
        <v>0</v>
      </c>
      <c r="D4615" s="1" t="s">
        <v>14092</v>
      </c>
      <c r="E4615" s="1" t="s">
        <v>14093</v>
      </c>
      <c r="F4615" s="1" t="s">
        <v>10332</v>
      </c>
      <c r="G4615" s="1" t="s">
        <v>10332</v>
      </c>
      <c r="H4615" s="1" t="s">
        <v>30</v>
      </c>
      <c r="I4615" s="1" t="s">
        <v>16</v>
      </c>
      <c r="J4615" s="1">
        <v>1</v>
      </c>
      <c r="K4615" s="1">
        <v>4</v>
      </c>
      <c r="L4615" s="1" t="s">
        <v>42</v>
      </c>
      <c r="M4615" s="1" t="s">
        <v>18</v>
      </c>
      <c r="N4615" s="1" t="s">
        <v>18</v>
      </c>
      <c r="O4615" s="1">
        <v>3</v>
      </c>
      <c r="P4615" s="1">
        <v>6</v>
      </c>
      <c r="R4615" s="1" t="s">
        <v>19</v>
      </c>
      <c r="S4615" s="1" t="s">
        <v>20</v>
      </c>
      <c r="T4615" s="1" t="s">
        <v>21</v>
      </c>
      <c r="U4615" s="1" t="s">
        <v>22</v>
      </c>
      <c r="V4615" s="1" t="s">
        <v>23</v>
      </c>
      <c r="W4615" s="1" t="s">
        <v>24</v>
      </c>
      <c r="X4615" s="1">
        <v>2708</v>
      </c>
      <c r="Y4615" s="1">
        <v>2712</v>
      </c>
      <c r="Z4615" s="1" t="s">
        <v>24</v>
      </c>
      <c r="AA4615" s="1" t="s">
        <v>24</v>
      </c>
      <c r="AB4615" s="1" t="s">
        <v>24</v>
      </c>
      <c r="AC4615" s="1" t="s">
        <v>24</v>
      </c>
      <c r="AD4615" s="1" t="s">
        <v>24</v>
      </c>
      <c r="AE4615" s="1" t="s">
        <v>24</v>
      </c>
      <c r="AF4615" s="22"/>
    </row>
    <row r="4616" spans="1:32" x14ac:dyDescent="0.2">
      <c r="A4616" s="1">
        <v>42075</v>
      </c>
      <c r="B4616" s="1" t="s">
        <v>14094</v>
      </c>
      <c r="C4616" s="5" t="s">
        <v>0</v>
      </c>
      <c r="D4616" s="1" t="s">
        <v>14095</v>
      </c>
      <c r="E4616" s="1" t="s">
        <v>14096</v>
      </c>
      <c r="F4616" s="1" t="s">
        <v>10332</v>
      </c>
      <c r="G4616" s="1" t="s">
        <v>10332</v>
      </c>
      <c r="H4616" s="1" t="s">
        <v>30</v>
      </c>
      <c r="I4616" s="1" t="s">
        <v>16</v>
      </c>
      <c r="J4616" s="1">
        <v>1</v>
      </c>
      <c r="K4616" s="1">
        <v>6</v>
      </c>
      <c r="L4616" s="1" t="s">
        <v>42</v>
      </c>
      <c r="M4616" s="1" t="s">
        <v>18</v>
      </c>
      <c r="N4616" s="1" t="s">
        <v>18</v>
      </c>
      <c r="O4616" s="1">
        <v>3</v>
      </c>
      <c r="P4616" s="1">
        <v>6</v>
      </c>
      <c r="R4616" s="1" t="s">
        <v>19</v>
      </c>
      <c r="S4616" s="1" t="s">
        <v>63</v>
      </c>
      <c r="T4616" s="1" t="s">
        <v>21</v>
      </c>
      <c r="U4616" s="1" t="s">
        <v>22</v>
      </c>
      <c r="V4616" s="1" t="s">
        <v>24</v>
      </c>
      <c r="W4616" s="1" t="s">
        <v>24</v>
      </c>
      <c r="X4616" s="1">
        <v>2712</v>
      </c>
      <c r="Y4616" s="1">
        <v>1310</v>
      </c>
      <c r="Z4616" s="1" t="s">
        <v>24</v>
      </c>
      <c r="AA4616" s="1" t="s">
        <v>24</v>
      </c>
      <c r="AB4616" s="1" t="s">
        <v>24</v>
      </c>
      <c r="AC4616" s="1" t="s">
        <v>24</v>
      </c>
      <c r="AD4616" s="1" t="s">
        <v>24</v>
      </c>
      <c r="AE4616" s="1" t="s">
        <v>24</v>
      </c>
      <c r="AF4616" s="22"/>
    </row>
    <row r="4617" spans="1:32" x14ac:dyDescent="0.2">
      <c r="A4617" s="1">
        <v>42076</v>
      </c>
      <c r="B4617" s="1" t="s">
        <v>14097</v>
      </c>
      <c r="C4617" s="5" t="s">
        <v>0</v>
      </c>
      <c r="E4617" s="1" t="s">
        <v>14098</v>
      </c>
      <c r="F4617" s="1" t="s">
        <v>11078</v>
      </c>
      <c r="G4617" s="1" t="s">
        <v>11078</v>
      </c>
      <c r="H4617" s="1" t="s">
        <v>3228</v>
      </c>
      <c r="I4617" s="1" t="s">
        <v>16</v>
      </c>
      <c r="J4617" s="1">
        <v>1</v>
      </c>
      <c r="K4617" s="1">
        <v>1</v>
      </c>
      <c r="L4617" s="1" t="s">
        <v>42</v>
      </c>
      <c r="M4617" s="1" t="s">
        <v>18</v>
      </c>
      <c r="N4617" s="1" t="s">
        <v>18</v>
      </c>
      <c r="O4617" s="1">
        <v>3</v>
      </c>
      <c r="P4617" s="1">
        <v>6</v>
      </c>
      <c r="R4617" s="1" t="s">
        <v>19</v>
      </c>
      <c r="S4617" s="1" t="s">
        <v>63</v>
      </c>
      <c r="T4617" s="1" t="s">
        <v>21</v>
      </c>
      <c r="U4617" s="1" t="s">
        <v>22</v>
      </c>
      <c r="V4617" s="1" t="s">
        <v>24</v>
      </c>
      <c r="W4617" s="1" t="s">
        <v>24</v>
      </c>
      <c r="X4617" s="1">
        <v>2204</v>
      </c>
      <c r="Y4617" s="1">
        <v>2701</v>
      </c>
      <c r="Z4617" s="1" t="s">
        <v>24</v>
      </c>
      <c r="AA4617" s="1" t="s">
        <v>24</v>
      </c>
      <c r="AB4617" s="1" t="s">
        <v>24</v>
      </c>
      <c r="AC4617" s="1" t="s">
        <v>24</v>
      </c>
      <c r="AD4617" s="1" t="s">
        <v>24</v>
      </c>
      <c r="AE4617" s="1" t="s">
        <v>24</v>
      </c>
      <c r="AF4617" s="22"/>
    </row>
    <row r="4618" spans="1:32" x14ac:dyDescent="0.2">
      <c r="A4618" s="1">
        <v>42077</v>
      </c>
      <c r="B4618" s="1" t="s">
        <v>14099</v>
      </c>
      <c r="C4618" s="5" t="s">
        <v>0</v>
      </c>
      <c r="E4618" s="1" t="s">
        <v>14100</v>
      </c>
      <c r="F4618" s="1" t="s">
        <v>11078</v>
      </c>
      <c r="G4618" s="1" t="s">
        <v>11079</v>
      </c>
      <c r="H4618" s="1" t="s">
        <v>3228</v>
      </c>
      <c r="I4618" s="1" t="s">
        <v>16</v>
      </c>
      <c r="J4618" s="1">
        <v>1</v>
      </c>
      <c r="K4618" s="1">
        <v>1</v>
      </c>
      <c r="L4618" s="1" t="s">
        <v>42</v>
      </c>
      <c r="M4618" s="1" t="s">
        <v>18</v>
      </c>
      <c r="N4618" s="1" t="s">
        <v>18</v>
      </c>
      <c r="O4618" s="1">
        <v>3</v>
      </c>
      <c r="P4618" s="1">
        <v>6</v>
      </c>
      <c r="R4618" s="1" t="s">
        <v>19</v>
      </c>
      <c r="S4618" s="1" t="s">
        <v>63</v>
      </c>
      <c r="T4618" s="1" t="s">
        <v>21</v>
      </c>
      <c r="U4618" s="1" t="s">
        <v>22</v>
      </c>
      <c r="V4618" s="1" t="s">
        <v>24</v>
      </c>
      <c r="W4618" s="1" t="s">
        <v>24</v>
      </c>
      <c r="X4618" s="1">
        <v>2700</v>
      </c>
      <c r="Y4618" s="1" t="s">
        <v>24</v>
      </c>
      <c r="Z4618" s="1" t="s">
        <v>24</v>
      </c>
      <c r="AA4618" s="1" t="s">
        <v>24</v>
      </c>
      <c r="AB4618" s="1" t="s">
        <v>24</v>
      </c>
      <c r="AC4618" s="1" t="s">
        <v>24</v>
      </c>
      <c r="AD4618" s="1" t="s">
        <v>24</v>
      </c>
      <c r="AE4618" s="1" t="s">
        <v>24</v>
      </c>
      <c r="AF4618" s="22"/>
    </row>
    <row r="4619" spans="1:32" x14ac:dyDescent="0.2">
      <c r="A4619" s="1">
        <v>42078</v>
      </c>
      <c r="B4619" s="1" t="s">
        <v>14101</v>
      </c>
      <c r="C4619" s="5" t="s">
        <v>0</v>
      </c>
      <c r="E4619" s="1" t="s">
        <v>14102</v>
      </c>
      <c r="F4619" s="1" t="s">
        <v>11078</v>
      </c>
      <c r="G4619" s="1" t="s">
        <v>11079</v>
      </c>
      <c r="H4619" s="1" t="s">
        <v>3228</v>
      </c>
      <c r="I4619" s="1" t="s">
        <v>16</v>
      </c>
      <c r="J4619" s="1">
        <v>1</v>
      </c>
      <c r="K4619" s="1">
        <v>1</v>
      </c>
      <c r="L4619" s="1" t="s">
        <v>42</v>
      </c>
      <c r="M4619" s="1" t="s">
        <v>18</v>
      </c>
      <c r="N4619" s="1" t="s">
        <v>18</v>
      </c>
      <c r="O4619" s="1">
        <v>3</v>
      </c>
      <c r="P4619" s="1">
        <v>6</v>
      </c>
      <c r="R4619" s="1" t="s">
        <v>19</v>
      </c>
      <c r="S4619" s="1" t="s">
        <v>63</v>
      </c>
      <c r="T4619" s="1" t="s">
        <v>21</v>
      </c>
      <c r="U4619" s="1" t="s">
        <v>22</v>
      </c>
      <c r="V4619" s="1" t="s">
        <v>24</v>
      </c>
      <c r="W4619" s="1" t="s">
        <v>24</v>
      </c>
      <c r="X4619" s="1">
        <v>2715</v>
      </c>
      <c r="Y4619" s="1" t="s">
        <v>24</v>
      </c>
      <c r="Z4619" s="1" t="s">
        <v>24</v>
      </c>
      <c r="AA4619" s="1" t="s">
        <v>24</v>
      </c>
      <c r="AB4619" s="1" t="s">
        <v>24</v>
      </c>
      <c r="AC4619" s="1" t="s">
        <v>24</v>
      </c>
      <c r="AD4619" s="1" t="s">
        <v>24</v>
      </c>
      <c r="AE4619" s="1" t="s">
        <v>24</v>
      </c>
      <c r="AF4619" s="22"/>
    </row>
    <row r="4620" spans="1:32" x14ac:dyDescent="0.2">
      <c r="A4620" s="1">
        <v>42079</v>
      </c>
      <c r="B4620" s="1" t="s">
        <v>14103</v>
      </c>
      <c r="C4620" s="5" t="s">
        <v>0</v>
      </c>
      <c r="E4620" s="1" t="s">
        <v>14104</v>
      </c>
      <c r="F4620" s="1" t="s">
        <v>11078</v>
      </c>
      <c r="G4620" s="1" t="s">
        <v>11078</v>
      </c>
      <c r="H4620" s="1" t="s">
        <v>3228</v>
      </c>
      <c r="I4620" s="1" t="s">
        <v>16</v>
      </c>
      <c r="J4620" s="1">
        <v>1</v>
      </c>
      <c r="K4620" s="1">
        <v>1</v>
      </c>
      <c r="L4620" s="1" t="s">
        <v>42</v>
      </c>
      <c r="M4620" s="1" t="s">
        <v>18</v>
      </c>
      <c r="N4620" s="1" t="s">
        <v>18</v>
      </c>
      <c r="O4620" s="1">
        <v>3</v>
      </c>
      <c r="P4620" s="1">
        <v>6</v>
      </c>
      <c r="R4620" s="1" t="s">
        <v>19</v>
      </c>
      <c r="S4620" s="1" t="s">
        <v>63</v>
      </c>
      <c r="T4620" s="1" t="s">
        <v>21</v>
      </c>
      <c r="U4620" s="1" t="s">
        <v>22</v>
      </c>
      <c r="V4620" s="1" t="s">
        <v>23</v>
      </c>
      <c r="W4620" s="1" t="s">
        <v>24</v>
      </c>
      <c r="X4620" s="1">
        <v>2723</v>
      </c>
      <c r="Y4620" s="1">
        <v>2403</v>
      </c>
      <c r="Z4620" s="1" t="s">
        <v>24</v>
      </c>
      <c r="AA4620" s="1" t="s">
        <v>24</v>
      </c>
      <c r="AB4620" s="1" t="s">
        <v>24</v>
      </c>
      <c r="AC4620" s="1" t="s">
        <v>24</v>
      </c>
      <c r="AD4620" s="1" t="s">
        <v>24</v>
      </c>
      <c r="AE4620" s="1" t="s">
        <v>24</v>
      </c>
      <c r="AF4620" s="22"/>
    </row>
    <row r="4621" spans="1:32" x14ac:dyDescent="0.2">
      <c r="A4621" s="1">
        <v>42080</v>
      </c>
      <c r="B4621" s="1" t="s">
        <v>14105</v>
      </c>
      <c r="C4621" s="5" t="s">
        <v>0</v>
      </c>
      <c r="E4621" s="1" t="s">
        <v>14106</v>
      </c>
      <c r="F4621" s="1" t="s">
        <v>11078</v>
      </c>
      <c r="G4621" s="1" t="s">
        <v>11079</v>
      </c>
      <c r="H4621" s="1" t="s">
        <v>3228</v>
      </c>
      <c r="I4621" s="1" t="s">
        <v>16</v>
      </c>
      <c r="J4621" s="1">
        <v>1</v>
      </c>
      <c r="K4621" s="1">
        <v>1</v>
      </c>
      <c r="L4621" s="1" t="s">
        <v>42</v>
      </c>
      <c r="M4621" s="1" t="s">
        <v>18</v>
      </c>
      <c r="N4621" s="1" t="s">
        <v>18</v>
      </c>
      <c r="O4621" s="1">
        <v>3</v>
      </c>
      <c r="P4621" s="1">
        <v>6</v>
      </c>
      <c r="R4621" s="1" t="s">
        <v>19</v>
      </c>
      <c r="S4621" s="1" t="s">
        <v>63</v>
      </c>
      <c r="T4621" s="1" t="s">
        <v>21</v>
      </c>
      <c r="U4621" s="1" t="s">
        <v>22</v>
      </c>
      <c r="V4621" s="1" t="s">
        <v>24</v>
      </c>
      <c r="W4621" s="1" t="s">
        <v>24</v>
      </c>
      <c r="X4621" s="1">
        <v>1502</v>
      </c>
      <c r="Y4621" s="1">
        <v>2204</v>
      </c>
      <c r="Z4621" s="1">
        <v>3003</v>
      </c>
      <c r="AA4621" s="1" t="s">
        <v>24</v>
      </c>
      <c r="AB4621" s="1" t="s">
        <v>24</v>
      </c>
      <c r="AC4621" s="1" t="s">
        <v>24</v>
      </c>
      <c r="AD4621" s="1" t="s">
        <v>24</v>
      </c>
      <c r="AE4621" s="1" t="s">
        <v>24</v>
      </c>
      <c r="AF4621" s="22"/>
    </row>
    <row r="4622" spans="1:32" x14ac:dyDescent="0.2">
      <c r="A4622" s="1">
        <v>42081</v>
      </c>
      <c r="B4622" s="1" t="s">
        <v>14107</v>
      </c>
      <c r="C4622" s="5" t="s">
        <v>0</v>
      </c>
      <c r="E4622" s="1" t="s">
        <v>14108</v>
      </c>
      <c r="F4622" s="1" t="s">
        <v>11078</v>
      </c>
      <c r="G4622" s="1" t="s">
        <v>11079</v>
      </c>
      <c r="H4622" s="1" t="s">
        <v>3228</v>
      </c>
      <c r="I4622" s="1" t="s">
        <v>16</v>
      </c>
      <c r="J4622" s="1">
        <v>1</v>
      </c>
      <c r="K4622" s="1">
        <v>1</v>
      </c>
      <c r="L4622" s="1" t="s">
        <v>42</v>
      </c>
      <c r="M4622" s="1" t="s">
        <v>18</v>
      </c>
      <c r="N4622" s="1" t="s">
        <v>18</v>
      </c>
      <c r="O4622" s="1">
        <v>3</v>
      </c>
      <c r="P4622" s="1">
        <v>6</v>
      </c>
      <c r="R4622" s="1" t="s">
        <v>19</v>
      </c>
      <c r="S4622" s="1" t="s">
        <v>63</v>
      </c>
      <c r="T4622" s="1" t="s">
        <v>21</v>
      </c>
      <c r="U4622" s="1" t="s">
        <v>22</v>
      </c>
      <c r="V4622" s="1" t="s">
        <v>23</v>
      </c>
      <c r="W4622" s="1" t="s">
        <v>24</v>
      </c>
      <c r="X4622" s="1">
        <v>2713</v>
      </c>
      <c r="Y4622" s="1" t="s">
        <v>24</v>
      </c>
      <c r="Z4622" s="1" t="s">
        <v>24</v>
      </c>
      <c r="AA4622" s="1" t="s">
        <v>24</v>
      </c>
      <c r="AB4622" s="1" t="s">
        <v>24</v>
      </c>
      <c r="AC4622" s="1" t="s">
        <v>24</v>
      </c>
      <c r="AD4622" s="1" t="s">
        <v>24</v>
      </c>
      <c r="AE4622" s="1" t="s">
        <v>24</v>
      </c>
      <c r="AF4622" s="22"/>
    </row>
    <row r="4623" spans="1:32" x14ac:dyDescent="0.2">
      <c r="A4623" s="1">
        <v>42082</v>
      </c>
      <c r="B4623" s="1" t="s">
        <v>14109</v>
      </c>
      <c r="C4623" s="5" t="s">
        <v>0</v>
      </c>
      <c r="E4623" s="1" t="s">
        <v>14110</v>
      </c>
      <c r="F4623" s="1" t="s">
        <v>11078</v>
      </c>
      <c r="G4623" s="1" t="s">
        <v>11079</v>
      </c>
      <c r="H4623" s="1" t="s">
        <v>3228</v>
      </c>
      <c r="I4623" s="1" t="s">
        <v>16</v>
      </c>
      <c r="J4623" s="1">
        <v>1</v>
      </c>
      <c r="K4623" s="1">
        <v>1</v>
      </c>
      <c r="L4623" s="1" t="s">
        <v>42</v>
      </c>
      <c r="M4623" s="1" t="s">
        <v>18</v>
      </c>
      <c r="N4623" s="1" t="s">
        <v>18</v>
      </c>
      <c r="O4623" s="1">
        <v>3</v>
      </c>
      <c r="P4623" s="1">
        <v>6</v>
      </c>
      <c r="R4623" s="1" t="s">
        <v>19</v>
      </c>
      <c r="S4623" s="1" t="s">
        <v>63</v>
      </c>
      <c r="T4623" s="1" t="s">
        <v>21</v>
      </c>
      <c r="U4623" s="1" t="s">
        <v>22</v>
      </c>
      <c r="V4623" s="1" t="s">
        <v>24</v>
      </c>
      <c r="W4623" s="1" t="s">
        <v>24</v>
      </c>
      <c r="X4623" s="1">
        <v>1313</v>
      </c>
      <c r="Y4623" s="1">
        <v>3004</v>
      </c>
      <c r="Z4623" s="1" t="s">
        <v>24</v>
      </c>
      <c r="AA4623" s="1" t="s">
        <v>24</v>
      </c>
      <c r="AB4623" s="1" t="s">
        <v>24</v>
      </c>
      <c r="AC4623" s="1" t="s">
        <v>24</v>
      </c>
      <c r="AD4623" s="1" t="s">
        <v>24</v>
      </c>
      <c r="AE4623" s="1" t="s">
        <v>24</v>
      </c>
      <c r="AF4623" s="22"/>
    </row>
    <row r="4624" spans="1:32" x14ac:dyDescent="0.2">
      <c r="A4624" s="1">
        <v>42083</v>
      </c>
      <c r="B4624" s="1" t="s">
        <v>14111</v>
      </c>
      <c r="C4624" s="5" t="s">
        <v>0</v>
      </c>
      <c r="E4624" s="1" t="s">
        <v>14112</v>
      </c>
      <c r="F4624" s="1" t="s">
        <v>11078</v>
      </c>
      <c r="G4624" s="1" t="s">
        <v>11079</v>
      </c>
      <c r="H4624" s="1" t="s">
        <v>3228</v>
      </c>
      <c r="I4624" s="1" t="s">
        <v>16</v>
      </c>
      <c r="J4624" s="1">
        <v>1</v>
      </c>
      <c r="K4624" s="1">
        <v>1</v>
      </c>
      <c r="L4624" s="1" t="s">
        <v>42</v>
      </c>
      <c r="M4624" s="1" t="s">
        <v>18</v>
      </c>
      <c r="N4624" s="1" t="s">
        <v>18</v>
      </c>
      <c r="O4624" s="1">
        <v>3</v>
      </c>
      <c r="P4624" s="1">
        <v>6</v>
      </c>
      <c r="R4624" s="1" t="s">
        <v>19</v>
      </c>
      <c r="S4624" s="1" t="s">
        <v>63</v>
      </c>
      <c r="T4624" s="1" t="s">
        <v>21</v>
      </c>
      <c r="U4624" s="1" t="s">
        <v>22</v>
      </c>
      <c r="V4624" s="1" t="s">
        <v>23</v>
      </c>
      <c r="W4624" s="1" t="s">
        <v>24</v>
      </c>
      <c r="X4624" s="1">
        <v>2730</v>
      </c>
      <c r="Y4624" s="1" t="s">
        <v>24</v>
      </c>
      <c r="Z4624" s="1" t="s">
        <v>24</v>
      </c>
      <c r="AA4624" s="1" t="s">
        <v>24</v>
      </c>
      <c r="AB4624" s="1" t="s">
        <v>24</v>
      </c>
      <c r="AC4624" s="1" t="s">
        <v>24</v>
      </c>
      <c r="AD4624" s="1" t="s">
        <v>24</v>
      </c>
      <c r="AE4624" s="1" t="s">
        <v>24</v>
      </c>
      <c r="AF4624" s="22"/>
    </row>
    <row r="4625" spans="1:32" x14ac:dyDescent="0.2">
      <c r="A4625" s="1">
        <v>42084</v>
      </c>
      <c r="B4625" s="1" t="s">
        <v>14113</v>
      </c>
      <c r="C4625" s="5" t="s">
        <v>0</v>
      </c>
      <c r="E4625" s="1" t="s">
        <v>14114</v>
      </c>
      <c r="F4625" s="1" t="s">
        <v>11078</v>
      </c>
      <c r="G4625" s="1" t="s">
        <v>11079</v>
      </c>
      <c r="H4625" s="1" t="s">
        <v>3228</v>
      </c>
      <c r="I4625" s="1" t="s">
        <v>16</v>
      </c>
      <c r="J4625" s="1">
        <v>1</v>
      </c>
      <c r="K4625" s="1">
        <v>1</v>
      </c>
      <c r="L4625" s="1" t="s">
        <v>42</v>
      </c>
      <c r="M4625" s="1" t="s">
        <v>18</v>
      </c>
      <c r="N4625" s="1" t="s">
        <v>18</v>
      </c>
      <c r="O4625" s="1">
        <v>3</v>
      </c>
      <c r="P4625" s="1">
        <v>6</v>
      </c>
      <c r="R4625" s="1" t="s">
        <v>19</v>
      </c>
      <c r="S4625" s="1" t="s">
        <v>63</v>
      </c>
      <c r="T4625" s="1" t="s">
        <v>21</v>
      </c>
      <c r="U4625" s="1" t="s">
        <v>22</v>
      </c>
      <c r="V4625" s="1" t="s">
        <v>23</v>
      </c>
      <c r="W4625" s="1" t="s">
        <v>24</v>
      </c>
      <c r="X4625" s="1">
        <v>2745</v>
      </c>
      <c r="Y4625" s="1" t="s">
        <v>24</v>
      </c>
      <c r="Z4625" s="1" t="s">
        <v>24</v>
      </c>
      <c r="AA4625" s="1" t="s">
        <v>24</v>
      </c>
      <c r="AB4625" s="1" t="s">
        <v>24</v>
      </c>
      <c r="AC4625" s="1" t="s">
        <v>24</v>
      </c>
      <c r="AD4625" s="1" t="s">
        <v>24</v>
      </c>
      <c r="AE4625" s="1" t="s">
        <v>24</v>
      </c>
      <c r="AF4625" s="22"/>
    </row>
    <row r="4626" spans="1:32" x14ac:dyDescent="0.2">
      <c r="A4626" s="1">
        <v>42085</v>
      </c>
      <c r="B4626" s="1" t="s">
        <v>14115</v>
      </c>
      <c r="C4626" s="5" t="s">
        <v>0</v>
      </c>
      <c r="D4626" s="1" t="s">
        <v>14116</v>
      </c>
      <c r="E4626" s="1" t="s">
        <v>14117</v>
      </c>
      <c r="F4626" s="1" t="s">
        <v>11078</v>
      </c>
      <c r="G4626" s="1" t="s">
        <v>11079</v>
      </c>
      <c r="H4626" s="1" t="s">
        <v>3228</v>
      </c>
      <c r="I4626" s="1" t="s">
        <v>16</v>
      </c>
      <c r="J4626" s="1">
        <v>1</v>
      </c>
      <c r="K4626" s="1">
        <v>1</v>
      </c>
      <c r="L4626" s="1" t="s">
        <v>42</v>
      </c>
      <c r="M4626" s="1" t="s">
        <v>18</v>
      </c>
      <c r="N4626" s="1" t="s">
        <v>18</v>
      </c>
      <c r="O4626" s="1">
        <v>3</v>
      </c>
      <c r="P4626" s="1">
        <v>6</v>
      </c>
      <c r="R4626" s="1" t="s">
        <v>19</v>
      </c>
      <c r="S4626" s="1" t="s">
        <v>63</v>
      </c>
      <c r="T4626" s="1" t="s">
        <v>21</v>
      </c>
      <c r="U4626" s="1" t="s">
        <v>22</v>
      </c>
      <c r="V4626" s="1" t="s">
        <v>24</v>
      </c>
      <c r="W4626" s="1" t="s">
        <v>24</v>
      </c>
      <c r="X4626" s="1">
        <v>2731</v>
      </c>
      <c r="Y4626" s="1" t="s">
        <v>24</v>
      </c>
      <c r="Z4626" s="1" t="s">
        <v>24</v>
      </c>
      <c r="AA4626" s="1" t="s">
        <v>24</v>
      </c>
      <c r="AB4626" s="1" t="s">
        <v>24</v>
      </c>
      <c r="AC4626" s="1" t="s">
        <v>24</v>
      </c>
      <c r="AD4626" s="1" t="s">
        <v>24</v>
      </c>
      <c r="AE4626" s="1" t="s">
        <v>24</v>
      </c>
      <c r="AF4626" s="22"/>
    </row>
    <row r="4627" spans="1:32" x14ac:dyDescent="0.2">
      <c r="A4627" s="1">
        <v>42086</v>
      </c>
      <c r="B4627" s="1" t="s">
        <v>14118</v>
      </c>
      <c r="C4627" s="5" t="s">
        <v>0</v>
      </c>
      <c r="E4627" s="1" t="s">
        <v>14119</v>
      </c>
      <c r="F4627" s="1" t="s">
        <v>11078</v>
      </c>
      <c r="G4627" s="1" t="s">
        <v>11079</v>
      </c>
      <c r="H4627" s="1" t="s">
        <v>3228</v>
      </c>
      <c r="I4627" s="1" t="s">
        <v>16</v>
      </c>
      <c r="J4627" s="1">
        <v>1</v>
      </c>
      <c r="K4627" s="1">
        <v>1</v>
      </c>
      <c r="L4627" s="1" t="s">
        <v>42</v>
      </c>
      <c r="M4627" s="1" t="s">
        <v>18</v>
      </c>
      <c r="N4627" s="1" t="s">
        <v>18</v>
      </c>
      <c r="O4627" s="1">
        <v>3</v>
      </c>
      <c r="P4627" s="1">
        <v>6</v>
      </c>
      <c r="R4627" s="1" t="s">
        <v>19</v>
      </c>
      <c r="S4627" s="1" t="s">
        <v>63</v>
      </c>
      <c r="T4627" s="1" t="s">
        <v>21</v>
      </c>
      <c r="U4627" s="1" t="s">
        <v>22</v>
      </c>
      <c r="V4627" s="1" t="s">
        <v>23</v>
      </c>
      <c r="W4627" s="1" t="s">
        <v>24</v>
      </c>
      <c r="X4627" s="1">
        <v>2001</v>
      </c>
      <c r="Y4627" s="1">
        <v>2719</v>
      </c>
      <c r="Z4627" s="1" t="s">
        <v>24</v>
      </c>
      <c r="AA4627" s="1" t="s">
        <v>24</v>
      </c>
      <c r="AB4627" s="1" t="s">
        <v>24</v>
      </c>
      <c r="AC4627" s="1" t="s">
        <v>24</v>
      </c>
      <c r="AD4627" s="1" t="s">
        <v>24</v>
      </c>
      <c r="AE4627" s="1" t="s">
        <v>24</v>
      </c>
      <c r="AF4627" s="22"/>
    </row>
    <row r="4628" spans="1:32" x14ac:dyDescent="0.2">
      <c r="A4628" s="1">
        <v>42087</v>
      </c>
      <c r="B4628" s="1" t="s">
        <v>14120</v>
      </c>
      <c r="C4628" s="5" t="s">
        <v>0</v>
      </c>
      <c r="E4628" s="1" t="s">
        <v>14121</v>
      </c>
      <c r="F4628" s="1" t="s">
        <v>11078</v>
      </c>
      <c r="G4628" s="1" t="s">
        <v>11079</v>
      </c>
      <c r="H4628" s="1" t="s">
        <v>3228</v>
      </c>
      <c r="I4628" s="1" t="s">
        <v>16</v>
      </c>
      <c r="J4628" s="1">
        <v>1</v>
      </c>
      <c r="K4628" s="1">
        <v>1</v>
      </c>
      <c r="L4628" s="1" t="s">
        <v>42</v>
      </c>
      <c r="M4628" s="1" t="s">
        <v>18</v>
      </c>
      <c r="N4628" s="1" t="s">
        <v>18</v>
      </c>
      <c r="O4628" s="1">
        <v>3</v>
      </c>
      <c r="P4628" s="1">
        <v>6</v>
      </c>
      <c r="R4628" s="1" t="s">
        <v>19</v>
      </c>
      <c r="S4628" s="1" t="s">
        <v>63</v>
      </c>
      <c r="T4628" s="1" t="s">
        <v>21</v>
      </c>
      <c r="U4628" s="1" t="s">
        <v>22</v>
      </c>
      <c r="V4628" s="1" t="s">
        <v>23</v>
      </c>
      <c r="W4628" s="1" t="s">
        <v>24</v>
      </c>
      <c r="X4628" s="1">
        <v>2719</v>
      </c>
      <c r="Y4628" s="1">
        <v>3004</v>
      </c>
      <c r="Z4628" s="1" t="s">
        <v>24</v>
      </c>
      <c r="AA4628" s="1" t="s">
        <v>24</v>
      </c>
      <c r="AB4628" s="1" t="s">
        <v>24</v>
      </c>
      <c r="AC4628" s="1" t="s">
        <v>24</v>
      </c>
      <c r="AD4628" s="1" t="s">
        <v>24</v>
      </c>
      <c r="AE4628" s="1" t="s">
        <v>24</v>
      </c>
      <c r="AF4628" s="22"/>
    </row>
    <row r="4629" spans="1:32" x14ac:dyDescent="0.2">
      <c r="A4629" s="1">
        <v>42088</v>
      </c>
      <c r="B4629" s="1" t="s">
        <v>14122</v>
      </c>
      <c r="C4629" s="5" t="s">
        <v>0</v>
      </c>
      <c r="E4629" s="1" t="s">
        <v>14123</v>
      </c>
      <c r="F4629" s="1" t="s">
        <v>11079</v>
      </c>
      <c r="G4629" s="1" t="s">
        <v>11079</v>
      </c>
      <c r="H4629" s="1" t="s">
        <v>3228</v>
      </c>
      <c r="I4629" s="1" t="s">
        <v>112</v>
      </c>
      <c r="J4629" s="1">
        <v>1</v>
      </c>
      <c r="K4629" s="1">
        <v>1</v>
      </c>
      <c r="L4629" s="1" t="s">
        <v>42</v>
      </c>
      <c r="M4629" s="1" t="s">
        <v>18</v>
      </c>
      <c r="N4629" s="1" t="s">
        <v>18</v>
      </c>
      <c r="O4629" s="1">
        <v>3</v>
      </c>
      <c r="P4629" s="1">
        <v>6</v>
      </c>
      <c r="R4629" s="1" t="s">
        <v>19</v>
      </c>
      <c r="S4629" s="1" t="s">
        <v>63</v>
      </c>
      <c r="T4629" s="1" t="s">
        <v>21</v>
      </c>
      <c r="U4629" s="1" t="s">
        <v>22</v>
      </c>
      <c r="V4629" s="1" t="s">
        <v>23</v>
      </c>
      <c r="W4629" s="1" t="s">
        <v>24</v>
      </c>
      <c r="X4629" s="1">
        <v>2705</v>
      </c>
      <c r="Y4629" s="1">
        <v>2724</v>
      </c>
      <c r="Z4629" s="1" t="s">
        <v>24</v>
      </c>
      <c r="AA4629" s="1" t="s">
        <v>24</v>
      </c>
      <c r="AB4629" s="1" t="s">
        <v>24</v>
      </c>
      <c r="AC4629" s="1" t="s">
        <v>24</v>
      </c>
      <c r="AD4629" s="1" t="s">
        <v>24</v>
      </c>
      <c r="AE4629" s="1" t="s">
        <v>24</v>
      </c>
      <c r="AF4629" s="22"/>
    </row>
    <row r="4630" spans="1:32" x14ac:dyDescent="0.2">
      <c r="A4630" s="1">
        <v>42089</v>
      </c>
      <c r="B4630" s="1" t="s">
        <v>14124</v>
      </c>
      <c r="C4630" s="5" t="s">
        <v>0</v>
      </c>
      <c r="E4630" s="1" t="s">
        <v>14125</v>
      </c>
      <c r="F4630" s="1" t="s">
        <v>11079</v>
      </c>
      <c r="G4630" s="1" t="s">
        <v>11079</v>
      </c>
      <c r="H4630" s="1" t="s">
        <v>3228</v>
      </c>
      <c r="I4630" s="1" t="s">
        <v>16</v>
      </c>
      <c r="J4630" s="1">
        <v>1</v>
      </c>
      <c r="K4630" s="1">
        <v>1</v>
      </c>
      <c r="L4630" s="1" t="s">
        <v>42</v>
      </c>
      <c r="M4630" s="1" t="s">
        <v>18</v>
      </c>
      <c r="N4630" s="1" t="s">
        <v>18</v>
      </c>
      <c r="O4630" s="1">
        <v>3</v>
      </c>
      <c r="P4630" s="1">
        <v>6</v>
      </c>
      <c r="R4630" s="1" t="s">
        <v>19</v>
      </c>
      <c r="S4630" s="1" t="s">
        <v>63</v>
      </c>
      <c r="T4630" s="1" t="s">
        <v>21</v>
      </c>
      <c r="U4630" s="1" t="s">
        <v>22</v>
      </c>
      <c r="V4630" s="1" t="s">
        <v>23</v>
      </c>
      <c r="W4630" s="1" t="s">
        <v>24</v>
      </c>
      <c r="X4630" s="1">
        <v>2700</v>
      </c>
      <c r="Y4630" s="1" t="s">
        <v>24</v>
      </c>
      <c r="Z4630" s="1" t="s">
        <v>24</v>
      </c>
      <c r="AA4630" s="1" t="s">
        <v>24</v>
      </c>
      <c r="AB4630" s="1" t="s">
        <v>24</v>
      </c>
      <c r="AC4630" s="1" t="s">
        <v>24</v>
      </c>
      <c r="AD4630" s="1" t="s">
        <v>24</v>
      </c>
      <c r="AE4630" s="1" t="s">
        <v>24</v>
      </c>
      <c r="AF4630" s="22"/>
    </row>
    <row r="4631" spans="1:32" x14ac:dyDescent="0.2">
      <c r="A4631" s="1">
        <v>42090</v>
      </c>
      <c r="B4631" s="1" t="s">
        <v>14126</v>
      </c>
      <c r="C4631" s="5" t="s">
        <v>0</v>
      </c>
      <c r="E4631" s="1" t="s">
        <v>14127</v>
      </c>
      <c r="F4631" s="1" t="s">
        <v>11078</v>
      </c>
      <c r="G4631" s="1" t="s">
        <v>11079</v>
      </c>
      <c r="H4631" s="1" t="s">
        <v>3228</v>
      </c>
      <c r="I4631" s="1" t="s">
        <v>16</v>
      </c>
      <c r="J4631" s="1">
        <v>1</v>
      </c>
      <c r="K4631" s="1">
        <v>1</v>
      </c>
      <c r="L4631" s="1" t="s">
        <v>42</v>
      </c>
      <c r="M4631" s="1" t="s">
        <v>18</v>
      </c>
      <c r="N4631" s="1" t="s">
        <v>18</v>
      </c>
      <c r="O4631" s="1">
        <v>3</v>
      </c>
      <c r="P4631" s="1">
        <v>6</v>
      </c>
      <c r="R4631" s="1" t="s">
        <v>19</v>
      </c>
      <c r="S4631" s="1" t="s">
        <v>63</v>
      </c>
      <c r="T4631" s="1" t="s">
        <v>21</v>
      </c>
      <c r="U4631" s="1" t="s">
        <v>22</v>
      </c>
      <c r="V4631" s="1" t="s">
        <v>24</v>
      </c>
      <c r="W4631" s="1" t="s">
        <v>24</v>
      </c>
      <c r="X4631" s="1">
        <v>2403</v>
      </c>
      <c r="Y4631" s="1">
        <v>2723</v>
      </c>
      <c r="Z4631" s="1" t="s">
        <v>24</v>
      </c>
      <c r="AA4631" s="1" t="s">
        <v>24</v>
      </c>
      <c r="AB4631" s="1" t="s">
        <v>24</v>
      </c>
      <c r="AC4631" s="1" t="s">
        <v>24</v>
      </c>
      <c r="AD4631" s="1" t="s">
        <v>24</v>
      </c>
      <c r="AE4631" s="1" t="s">
        <v>24</v>
      </c>
      <c r="AF4631" s="22"/>
    </row>
    <row r="4632" spans="1:32" x14ac:dyDescent="0.2">
      <c r="A4632" s="1">
        <v>42091</v>
      </c>
      <c r="B4632" s="1" t="s">
        <v>14128</v>
      </c>
      <c r="C4632" s="5" t="s">
        <v>0</v>
      </c>
      <c r="E4632" s="1" t="s">
        <v>14129</v>
      </c>
      <c r="F4632" s="1" t="s">
        <v>11078</v>
      </c>
      <c r="G4632" s="1" t="s">
        <v>11079</v>
      </c>
      <c r="H4632" s="1" t="s">
        <v>3228</v>
      </c>
      <c r="I4632" s="1" t="s">
        <v>16</v>
      </c>
      <c r="J4632" s="1">
        <v>1</v>
      </c>
      <c r="K4632" s="1">
        <v>1</v>
      </c>
      <c r="L4632" s="1" t="s">
        <v>42</v>
      </c>
      <c r="M4632" s="1" t="s">
        <v>18</v>
      </c>
      <c r="N4632" s="1" t="s">
        <v>18</v>
      </c>
      <c r="O4632" s="1">
        <v>3</v>
      </c>
      <c r="P4632" s="1">
        <v>6</v>
      </c>
      <c r="R4632" s="1" t="s">
        <v>19</v>
      </c>
      <c r="S4632" s="1" t="s">
        <v>63</v>
      </c>
      <c r="T4632" s="1" t="s">
        <v>21</v>
      </c>
      <c r="U4632" s="1" t="s">
        <v>22</v>
      </c>
      <c r="V4632" s="1" t="s">
        <v>23</v>
      </c>
      <c r="W4632" s="1" t="s">
        <v>24</v>
      </c>
      <c r="X4632" s="1">
        <v>2727</v>
      </c>
      <c r="Y4632" s="1" t="s">
        <v>24</v>
      </c>
      <c r="Z4632" s="1" t="s">
        <v>24</v>
      </c>
      <c r="AA4632" s="1" t="s">
        <v>24</v>
      </c>
      <c r="AB4632" s="1" t="s">
        <v>24</v>
      </c>
      <c r="AC4632" s="1" t="s">
        <v>24</v>
      </c>
      <c r="AD4632" s="1" t="s">
        <v>24</v>
      </c>
      <c r="AE4632" s="1" t="s">
        <v>24</v>
      </c>
      <c r="AF4632" s="22"/>
    </row>
    <row r="4633" spans="1:32" x14ac:dyDescent="0.2">
      <c r="A4633" s="1">
        <v>42092</v>
      </c>
      <c r="B4633" s="1" t="s">
        <v>14130</v>
      </c>
      <c r="C4633" s="5" t="s">
        <v>0</v>
      </c>
      <c r="E4633" s="1" t="s">
        <v>14131</v>
      </c>
      <c r="F4633" s="1" t="s">
        <v>11078</v>
      </c>
      <c r="G4633" s="1" t="s">
        <v>11079</v>
      </c>
      <c r="H4633" s="1" t="s">
        <v>3228</v>
      </c>
      <c r="I4633" s="1" t="s">
        <v>16</v>
      </c>
      <c r="J4633" s="1">
        <v>1</v>
      </c>
      <c r="K4633" s="1">
        <v>1</v>
      </c>
      <c r="L4633" s="1" t="s">
        <v>42</v>
      </c>
      <c r="M4633" s="1" t="s">
        <v>18</v>
      </c>
      <c r="N4633" s="1" t="s">
        <v>18</v>
      </c>
      <c r="O4633" s="1">
        <v>3</v>
      </c>
      <c r="P4633" s="1">
        <v>6</v>
      </c>
      <c r="R4633" s="1" t="s">
        <v>19</v>
      </c>
      <c r="S4633" s="1" t="s">
        <v>63</v>
      </c>
      <c r="T4633" s="1" t="s">
        <v>21</v>
      </c>
      <c r="U4633" s="1" t="s">
        <v>22</v>
      </c>
      <c r="V4633" s="1" t="s">
        <v>23</v>
      </c>
      <c r="W4633" s="1" t="s">
        <v>24</v>
      </c>
      <c r="X4633" s="1">
        <v>2729</v>
      </c>
      <c r="Y4633" s="1">
        <v>2730</v>
      </c>
      <c r="Z4633" s="1">
        <v>2913</v>
      </c>
      <c r="AA4633" s="1" t="s">
        <v>24</v>
      </c>
      <c r="AB4633" s="1" t="s">
        <v>24</v>
      </c>
      <c r="AC4633" s="1" t="s">
        <v>24</v>
      </c>
      <c r="AD4633" s="1" t="s">
        <v>24</v>
      </c>
      <c r="AE4633" s="1" t="s">
        <v>24</v>
      </c>
      <c r="AF4633" s="22"/>
    </row>
    <row r="4634" spans="1:32" x14ac:dyDescent="0.2">
      <c r="A4634" s="1">
        <v>42093</v>
      </c>
      <c r="B4634" s="1" t="s">
        <v>14132</v>
      </c>
      <c r="C4634" s="5" t="s">
        <v>0</v>
      </c>
      <c r="E4634" s="1" t="s">
        <v>14133</v>
      </c>
      <c r="F4634" s="1" t="s">
        <v>11078</v>
      </c>
      <c r="G4634" s="1" t="s">
        <v>11079</v>
      </c>
      <c r="H4634" s="1" t="s">
        <v>3228</v>
      </c>
      <c r="I4634" s="1" t="s">
        <v>16</v>
      </c>
      <c r="J4634" s="1">
        <v>1</v>
      </c>
      <c r="K4634" s="1">
        <v>1</v>
      </c>
      <c r="L4634" s="1" t="s">
        <v>42</v>
      </c>
      <c r="M4634" s="1" t="s">
        <v>18</v>
      </c>
      <c r="N4634" s="1" t="s">
        <v>18</v>
      </c>
      <c r="O4634" s="1">
        <v>3</v>
      </c>
      <c r="P4634" s="1">
        <v>6</v>
      </c>
      <c r="R4634" s="1" t="s">
        <v>19</v>
      </c>
      <c r="S4634" s="1" t="s">
        <v>63</v>
      </c>
      <c r="T4634" s="1" t="s">
        <v>21</v>
      </c>
      <c r="U4634" s="1" t="s">
        <v>22</v>
      </c>
      <c r="V4634" s="1" t="s">
        <v>24</v>
      </c>
      <c r="W4634" s="1" t="s">
        <v>24</v>
      </c>
      <c r="X4634" s="1">
        <v>2736</v>
      </c>
      <c r="Y4634" s="1" t="s">
        <v>24</v>
      </c>
      <c r="Z4634" s="1" t="s">
        <v>24</v>
      </c>
      <c r="AA4634" s="1" t="s">
        <v>24</v>
      </c>
      <c r="AB4634" s="1" t="s">
        <v>24</v>
      </c>
      <c r="AC4634" s="1" t="s">
        <v>24</v>
      </c>
      <c r="AD4634" s="1" t="s">
        <v>24</v>
      </c>
      <c r="AE4634" s="1" t="s">
        <v>24</v>
      </c>
      <c r="AF4634" s="22"/>
    </row>
    <row r="4635" spans="1:32" x14ac:dyDescent="0.2">
      <c r="A4635" s="1">
        <v>42095</v>
      </c>
      <c r="B4635" s="1" t="s">
        <v>14134</v>
      </c>
      <c r="C4635" s="5" t="s">
        <v>0</v>
      </c>
      <c r="E4635" s="1" t="s">
        <v>14135</v>
      </c>
      <c r="F4635" s="1" t="s">
        <v>11078</v>
      </c>
      <c r="G4635" s="1" t="s">
        <v>11079</v>
      </c>
      <c r="H4635" s="1" t="s">
        <v>3228</v>
      </c>
      <c r="I4635" s="1" t="s">
        <v>16</v>
      </c>
      <c r="J4635" s="1">
        <v>1</v>
      </c>
      <c r="K4635" s="1">
        <v>1</v>
      </c>
      <c r="L4635" s="1" t="s">
        <v>42</v>
      </c>
      <c r="M4635" s="1" t="s">
        <v>18</v>
      </c>
      <c r="N4635" s="1" t="s">
        <v>18</v>
      </c>
      <c r="O4635" s="1">
        <v>3</v>
      </c>
      <c r="P4635" s="1">
        <v>6</v>
      </c>
      <c r="R4635" s="1" t="s">
        <v>19</v>
      </c>
      <c r="S4635" s="1" t="s">
        <v>63</v>
      </c>
      <c r="T4635" s="1" t="s">
        <v>21</v>
      </c>
      <c r="U4635" s="1" t="s">
        <v>22</v>
      </c>
      <c r="V4635" s="1" t="s">
        <v>24</v>
      </c>
      <c r="W4635" s="1" t="s">
        <v>24</v>
      </c>
      <c r="X4635" s="1">
        <v>2406</v>
      </c>
      <c r="Y4635" s="1">
        <v>2403</v>
      </c>
      <c r="Z4635" s="1">
        <v>2725</v>
      </c>
      <c r="AA4635" s="1" t="s">
        <v>24</v>
      </c>
      <c r="AB4635" s="1" t="s">
        <v>24</v>
      </c>
      <c r="AC4635" s="1" t="s">
        <v>24</v>
      </c>
      <c r="AD4635" s="1" t="s">
        <v>24</v>
      </c>
      <c r="AE4635" s="1" t="s">
        <v>24</v>
      </c>
      <c r="AF4635" s="22"/>
    </row>
    <row r="4636" spans="1:32" x14ac:dyDescent="0.2">
      <c r="A4636" s="1">
        <v>42096</v>
      </c>
      <c r="B4636" s="1" t="s">
        <v>14136</v>
      </c>
      <c r="C4636" s="5" t="s">
        <v>0</v>
      </c>
      <c r="E4636" s="1" t="s">
        <v>14137</v>
      </c>
      <c r="F4636" s="1" t="s">
        <v>11078</v>
      </c>
      <c r="G4636" s="1" t="s">
        <v>11079</v>
      </c>
      <c r="H4636" s="1" t="s">
        <v>3228</v>
      </c>
      <c r="I4636" s="1" t="s">
        <v>16</v>
      </c>
      <c r="J4636" s="1">
        <v>1</v>
      </c>
      <c r="K4636" s="1">
        <v>1</v>
      </c>
      <c r="L4636" s="1" t="s">
        <v>42</v>
      </c>
      <c r="M4636" s="1" t="s">
        <v>18</v>
      </c>
      <c r="N4636" s="1" t="s">
        <v>18</v>
      </c>
      <c r="O4636" s="1">
        <v>3</v>
      </c>
      <c r="P4636" s="1">
        <v>6</v>
      </c>
      <c r="R4636" s="1" t="s">
        <v>19</v>
      </c>
      <c r="S4636" s="1" t="s">
        <v>63</v>
      </c>
      <c r="T4636" s="1" t="s">
        <v>21</v>
      </c>
      <c r="U4636" s="1" t="s">
        <v>22</v>
      </c>
      <c r="V4636" s="1" t="s">
        <v>23</v>
      </c>
      <c r="W4636" s="1" t="s">
        <v>24</v>
      </c>
      <c r="X4636" s="1">
        <v>2703</v>
      </c>
      <c r="Y4636" s="1" t="s">
        <v>24</v>
      </c>
      <c r="Z4636" s="1" t="s">
        <v>24</v>
      </c>
      <c r="AA4636" s="1" t="s">
        <v>24</v>
      </c>
      <c r="AB4636" s="1" t="s">
        <v>24</v>
      </c>
      <c r="AC4636" s="1" t="s">
        <v>24</v>
      </c>
      <c r="AD4636" s="1" t="s">
        <v>24</v>
      </c>
      <c r="AE4636" s="1" t="s">
        <v>24</v>
      </c>
      <c r="AF4636" s="22"/>
    </row>
    <row r="4637" spans="1:32" x14ac:dyDescent="0.2">
      <c r="A4637" s="1">
        <v>42097</v>
      </c>
      <c r="B4637" s="1" t="s">
        <v>14138</v>
      </c>
      <c r="C4637" s="5" t="s">
        <v>0</v>
      </c>
      <c r="D4637" s="1" t="s">
        <v>14139</v>
      </c>
      <c r="F4637" s="1" t="s">
        <v>12619</v>
      </c>
      <c r="G4637" s="1" t="s">
        <v>12619</v>
      </c>
      <c r="H4637" s="1" t="s">
        <v>249</v>
      </c>
      <c r="I4637" s="1" t="s">
        <v>16</v>
      </c>
      <c r="J4637" s="1">
        <v>1</v>
      </c>
      <c r="K4637" s="1">
        <v>4</v>
      </c>
      <c r="L4637" s="1" t="s">
        <v>42</v>
      </c>
      <c r="M4637" s="1" t="s">
        <v>3290</v>
      </c>
      <c r="N4637" s="1" t="s">
        <v>3290</v>
      </c>
      <c r="O4637" s="1">
        <v>3</v>
      </c>
      <c r="P4637" s="1">
        <v>6</v>
      </c>
      <c r="R4637" s="1" t="s">
        <v>19</v>
      </c>
      <c r="S4637" s="1" t="s">
        <v>20</v>
      </c>
      <c r="T4637" s="1" t="s">
        <v>21</v>
      </c>
      <c r="U4637" s="1" t="s">
        <v>22</v>
      </c>
      <c r="V4637" s="1" t="s">
        <v>24</v>
      </c>
      <c r="W4637" s="1" t="s">
        <v>24</v>
      </c>
      <c r="X4637" s="1">
        <v>2730</v>
      </c>
      <c r="Y4637" s="1">
        <v>2741</v>
      </c>
      <c r="Z4637" s="1" t="s">
        <v>24</v>
      </c>
      <c r="AA4637" s="1" t="s">
        <v>24</v>
      </c>
      <c r="AB4637" s="1" t="s">
        <v>24</v>
      </c>
      <c r="AC4637" s="1" t="s">
        <v>24</v>
      </c>
      <c r="AD4637" s="1" t="s">
        <v>24</v>
      </c>
      <c r="AE4637" s="1" t="s">
        <v>24</v>
      </c>
      <c r="AF4637" s="22"/>
    </row>
    <row r="4638" spans="1:32" x14ac:dyDescent="0.2">
      <c r="A4638" s="1">
        <v>42098</v>
      </c>
      <c r="B4638" s="1" t="s">
        <v>14140</v>
      </c>
      <c r="C4638" s="5" t="s">
        <v>0</v>
      </c>
      <c r="D4638" s="1" t="s">
        <v>14141</v>
      </c>
      <c r="E4638" s="1" t="s">
        <v>14142</v>
      </c>
      <c r="F4638" s="1" t="s">
        <v>12455</v>
      </c>
      <c r="G4638" s="1" t="s">
        <v>12455</v>
      </c>
      <c r="H4638" s="1" t="s">
        <v>2672</v>
      </c>
      <c r="I4638" s="1" t="s">
        <v>16</v>
      </c>
      <c r="J4638" s="1">
        <v>1</v>
      </c>
      <c r="K4638" s="1">
        <v>4</v>
      </c>
      <c r="L4638" s="1" t="s">
        <v>42</v>
      </c>
      <c r="M4638" s="1" t="s">
        <v>18</v>
      </c>
      <c r="N4638" s="1" t="s">
        <v>18</v>
      </c>
      <c r="O4638" s="1">
        <v>3</v>
      </c>
      <c r="P4638" s="1">
        <v>6</v>
      </c>
      <c r="R4638" s="1" t="s">
        <v>19</v>
      </c>
      <c r="S4638" s="1" t="s">
        <v>20</v>
      </c>
      <c r="T4638" s="1" t="s">
        <v>21</v>
      </c>
      <c r="U4638" s="1" t="s">
        <v>22</v>
      </c>
      <c r="V4638" s="1" t="s">
        <v>24</v>
      </c>
      <c r="W4638" s="1" t="s">
        <v>24</v>
      </c>
      <c r="X4638" s="1">
        <v>2701</v>
      </c>
      <c r="Y4638" s="1">
        <v>2723</v>
      </c>
      <c r="Z4638" s="1">
        <v>2713</v>
      </c>
      <c r="AA4638" s="1">
        <v>2725</v>
      </c>
      <c r="AB4638" s="1" t="s">
        <v>24</v>
      </c>
      <c r="AC4638" s="1" t="s">
        <v>24</v>
      </c>
      <c r="AD4638" s="1" t="s">
        <v>24</v>
      </c>
      <c r="AE4638" s="1" t="s">
        <v>24</v>
      </c>
      <c r="AF4638" s="22"/>
    </row>
    <row r="4639" spans="1:32" x14ac:dyDescent="0.2">
      <c r="A4639" s="1">
        <v>42099</v>
      </c>
      <c r="B4639" s="1" t="s">
        <v>14143</v>
      </c>
      <c r="C4639" s="5" t="s">
        <v>0</v>
      </c>
      <c r="D4639" s="1" t="s">
        <v>14144</v>
      </c>
      <c r="E4639" s="1" t="s">
        <v>14145</v>
      </c>
      <c r="F4639" s="1" t="s">
        <v>13076</v>
      </c>
      <c r="G4639" s="1" t="s">
        <v>13076</v>
      </c>
      <c r="H4639" s="1" t="s">
        <v>1384</v>
      </c>
      <c r="I4639" s="1" t="s">
        <v>16</v>
      </c>
      <c r="J4639" s="1">
        <v>1</v>
      </c>
      <c r="K4639" s="1">
        <v>4</v>
      </c>
      <c r="L4639" s="1" t="s">
        <v>42</v>
      </c>
      <c r="M4639" s="1" t="s">
        <v>18</v>
      </c>
      <c r="N4639" s="1" t="s">
        <v>18</v>
      </c>
      <c r="O4639" s="1">
        <v>3</v>
      </c>
      <c r="P4639" s="1">
        <v>6</v>
      </c>
      <c r="R4639" s="1" t="s">
        <v>19</v>
      </c>
      <c r="S4639" s="1" t="s">
        <v>20</v>
      </c>
      <c r="T4639" s="1" t="s">
        <v>21</v>
      </c>
      <c r="U4639" s="1" t="s">
        <v>22</v>
      </c>
      <c r="V4639" s="1" t="s">
        <v>23</v>
      </c>
      <c r="W4639" s="1" t="s">
        <v>24</v>
      </c>
      <c r="X4639" s="1">
        <v>2735</v>
      </c>
      <c r="Y4639" s="1">
        <v>2712</v>
      </c>
      <c r="Z4639" s="1">
        <v>1310</v>
      </c>
      <c r="AA4639" s="1" t="s">
        <v>24</v>
      </c>
      <c r="AB4639" s="1" t="s">
        <v>24</v>
      </c>
      <c r="AC4639" s="1" t="s">
        <v>24</v>
      </c>
      <c r="AD4639" s="1" t="s">
        <v>24</v>
      </c>
      <c r="AE4639" s="1" t="s">
        <v>24</v>
      </c>
      <c r="AF4639" s="22"/>
    </row>
    <row r="4640" spans="1:32" x14ac:dyDescent="0.2">
      <c r="A4640" s="1">
        <v>42100</v>
      </c>
      <c r="B4640" s="1" t="s">
        <v>14146</v>
      </c>
      <c r="C4640" s="5" t="s">
        <v>0</v>
      </c>
      <c r="D4640" s="1" t="s">
        <v>14147</v>
      </c>
      <c r="F4640" s="1" t="s">
        <v>14148</v>
      </c>
      <c r="G4640" s="1" t="s">
        <v>14149</v>
      </c>
      <c r="H4640" s="1" t="s">
        <v>2147</v>
      </c>
      <c r="I4640" s="1" t="s">
        <v>16</v>
      </c>
      <c r="J4640" s="1">
        <v>1</v>
      </c>
      <c r="K4640" s="1">
        <v>2</v>
      </c>
      <c r="L4640" s="1" t="s">
        <v>31</v>
      </c>
      <c r="M4640" s="1" t="s">
        <v>18</v>
      </c>
      <c r="N4640" s="1" t="s">
        <v>18</v>
      </c>
      <c r="O4640" s="1">
        <v>3</v>
      </c>
      <c r="P4640" s="1">
        <v>6</v>
      </c>
      <c r="R4640" s="1" t="s">
        <v>19</v>
      </c>
      <c r="S4640" s="1" t="s">
        <v>20</v>
      </c>
      <c r="T4640" s="1" t="s">
        <v>21</v>
      </c>
      <c r="U4640" s="1" t="s">
        <v>22</v>
      </c>
      <c r="V4640" s="1" t="s">
        <v>23</v>
      </c>
      <c r="W4640" s="1" t="s">
        <v>24</v>
      </c>
      <c r="X4640" s="1">
        <v>2405</v>
      </c>
      <c r="Y4640" s="1">
        <v>2725</v>
      </c>
      <c r="Z4640" s="1" t="s">
        <v>24</v>
      </c>
      <c r="AA4640" s="1" t="s">
        <v>24</v>
      </c>
      <c r="AB4640" s="1" t="s">
        <v>24</v>
      </c>
      <c r="AC4640" s="1" t="s">
        <v>24</v>
      </c>
      <c r="AD4640" s="1" t="s">
        <v>24</v>
      </c>
      <c r="AE4640" s="1" t="s">
        <v>24</v>
      </c>
      <c r="AF4640" s="22"/>
    </row>
    <row r="4641" spans="1:32" x14ac:dyDescent="0.2">
      <c r="A4641" s="1">
        <v>42102</v>
      </c>
      <c r="B4641" s="1" t="s">
        <v>14150</v>
      </c>
      <c r="C4641" s="5" t="s">
        <v>0</v>
      </c>
      <c r="E4641" s="1" t="s">
        <v>14151</v>
      </c>
      <c r="F4641" s="1" t="s">
        <v>12389</v>
      </c>
      <c r="G4641" s="1" t="s">
        <v>12390</v>
      </c>
      <c r="H4641" s="1" t="s">
        <v>30</v>
      </c>
      <c r="I4641" s="1" t="s">
        <v>16</v>
      </c>
      <c r="J4641" s="1">
        <v>1</v>
      </c>
      <c r="K4641" s="1">
        <v>2</v>
      </c>
      <c r="L4641" s="1" t="s">
        <v>42</v>
      </c>
      <c r="M4641" s="1" t="s">
        <v>18</v>
      </c>
      <c r="N4641" s="1" t="s">
        <v>18</v>
      </c>
      <c r="O4641" s="1">
        <v>3</v>
      </c>
      <c r="P4641" s="1">
        <v>6</v>
      </c>
      <c r="R4641" s="1" t="s">
        <v>19</v>
      </c>
      <c r="S4641" s="1" t="s">
        <v>20</v>
      </c>
      <c r="T4641" s="1" t="s">
        <v>21</v>
      </c>
      <c r="V4641" s="1" t="s">
        <v>24</v>
      </c>
      <c r="W4641" s="1" t="s">
        <v>24</v>
      </c>
      <c r="X4641" s="1">
        <v>2716</v>
      </c>
      <c r="Y4641" s="1">
        <v>1311</v>
      </c>
      <c r="Z4641" s="1">
        <v>1313</v>
      </c>
      <c r="AA4641" s="1">
        <v>1303</v>
      </c>
      <c r="AB4641" s="1" t="s">
        <v>24</v>
      </c>
      <c r="AC4641" s="1" t="s">
        <v>24</v>
      </c>
      <c r="AD4641" s="1" t="s">
        <v>24</v>
      </c>
      <c r="AE4641" s="1" t="s">
        <v>24</v>
      </c>
      <c r="AF4641" s="22"/>
    </row>
    <row r="4642" spans="1:32" x14ac:dyDescent="0.2">
      <c r="A4642" s="1">
        <v>42103</v>
      </c>
      <c r="B4642" s="1" t="s">
        <v>14152</v>
      </c>
      <c r="C4642" s="5" t="s">
        <v>0</v>
      </c>
      <c r="E4642" s="1" t="s">
        <v>14153</v>
      </c>
      <c r="F4642" s="1" t="s">
        <v>12389</v>
      </c>
      <c r="G4642" s="1" t="s">
        <v>12390</v>
      </c>
      <c r="H4642" s="1" t="s">
        <v>30</v>
      </c>
      <c r="I4642" s="1" t="s">
        <v>16</v>
      </c>
      <c r="J4642" s="1">
        <v>1</v>
      </c>
      <c r="K4642" s="1">
        <v>2</v>
      </c>
      <c r="L4642" s="1" t="s">
        <v>42</v>
      </c>
      <c r="M4642" s="1" t="s">
        <v>18</v>
      </c>
      <c r="N4642" s="1" t="s">
        <v>18</v>
      </c>
      <c r="O4642" s="1">
        <v>3</v>
      </c>
      <c r="P4642" s="1">
        <v>6</v>
      </c>
      <c r="R4642" s="1" t="s">
        <v>19</v>
      </c>
      <c r="S4642" s="1" t="s">
        <v>20</v>
      </c>
      <c r="T4642" s="1" t="s">
        <v>21</v>
      </c>
      <c r="U4642" s="1" t="s">
        <v>22</v>
      </c>
      <c r="V4642" s="1" t="s">
        <v>24</v>
      </c>
      <c r="W4642" s="1" t="s">
        <v>24</v>
      </c>
      <c r="X4642" s="1">
        <v>2726</v>
      </c>
      <c r="Y4642" s="1">
        <v>2404</v>
      </c>
      <c r="Z4642" s="1">
        <v>2725</v>
      </c>
      <c r="AA4642" s="1" t="s">
        <v>24</v>
      </c>
      <c r="AB4642" s="1" t="s">
        <v>24</v>
      </c>
      <c r="AC4642" s="1" t="s">
        <v>24</v>
      </c>
      <c r="AD4642" s="1" t="s">
        <v>24</v>
      </c>
      <c r="AE4642" s="1" t="s">
        <v>24</v>
      </c>
      <c r="AF4642" s="22"/>
    </row>
    <row r="4643" spans="1:32" x14ac:dyDescent="0.2">
      <c r="A4643" s="1">
        <v>42104</v>
      </c>
      <c r="B4643" s="1" t="s">
        <v>14154</v>
      </c>
      <c r="C4643" s="5" t="s">
        <v>0</v>
      </c>
      <c r="E4643" s="1" t="s">
        <v>14155</v>
      </c>
      <c r="F4643" s="1" t="s">
        <v>12389</v>
      </c>
      <c r="G4643" s="1" t="s">
        <v>12390</v>
      </c>
      <c r="H4643" s="1" t="s">
        <v>30</v>
      </c>
      <c r="I4643" s="1" t="s">
        <v>16</v>
      </c>
      <c r="J4643" s="1">
        <v>1</v>
      </c>
      <c r="K4643" s="1">
        <v>2</v>
      </c>
      <c r="L4643" s="1" t="s">
        <v>42</v>
      </c>
      <c r="M4643" s="1" t="s">
        <v>18</v>
      </c>
      <c r="N4643" s="1" t="s">
        <v>18</v>
      </c>
      <c r="O4643" s="1">
        <v>3</v>
      </c>
      <c r="P4643" s="1">
        <v>6</v>
      </c>
      <c r="R4643" s="1" t="s">
        <v>19</v>
      </c>
      <c r="S4643" s="1" t="s">
        <v>20</v>
      </c>
      <c r="T4643" s="1" t="s">
        <v>21</v>
      </c>
      <c r="V4643" s="1" t="s">
        <v>24</v>
      </c>
      <c r="W4643" s="1" t="s">
        <v>24</v>
      </c>
      <c r="X4643" s="1">
        <v>2723</v>
      </c>
      <c r="Y4643" s="1">
        <v>2740</v>
      </c>
      <c r="Z4643" s="1" t="s">
        <v>24</v>
      </c>
      <c r="AA4643" s="1" t="s">
        <v>24</v>
      </c>
      <c r="AB4643" s="1" t="s">
        <v>24</v>
      </c>
      <c r="AC4643" s="1" t="s">
        <v>24</v>
      </c>
      <c r="AD4643" s="1" t="s">
        <v>24</v>
      </c>
      <c r="AE4643" s="1" t="s">
        <v>24</v>
      </c>
      <c r="AF4643" s="22"/>
    </row>
    <row r="4644" spans="1:32" x14ac:dyDescent="0.2">
      <c r="A4644" s="1">
        <v>42105</v>
      </c>
      <c r="B4644" s="1" t="s">
        <v>14156</v>
      </c>
      <c r="C4644" s="5" t="s">
        <v>0</v>
      </c>
      <c r="E4644" s="1" t="s">
        <v>14157</v>
      </c>
      <c r="F4644" s="1" t="s">
        <v>12389</v>
      </c>
      <c r="G4644" s="1" t="s">
        <v>12390</v>
      </c>
      <c r="H4644" s="1" t="s">
        <v>30</v>
      </c>
      <c r="I4644" s="1" t="s">
        <v>16</v>
      </c>
      <c r="J4644" s="1">
        <v>1</v>
      </c>
      <c r="K4644" s="1">
        <v>2</v>
      </c>
      <c r="L4644" s="1" t="s">
        <v>42</v>
      </c>
      <c r="M4644" s="1" t="s">
        <v>18</v>
      </c>
      <c r="N4644" s="1" t="s">
        <v>18</v>
      </c>
      <c r="O4644" s="1">
        <v>3</v>
      </c>
      <c r="P4644" s="1">
        <v>6</v>
      </c>
      <c r="R4644" s="1" t="s">
        <v>19</v>
      </c>
      <c r="S4644" s="1" t="s">
        <v>20</v>
      </c>
      <c r="T4644" s="1" t="s">
        <v>21</v>
      </c>
      <c r="V4644" s="1" t="s">
        <v>24</v>
      </c>
      <c r="W4644" s="1" t="s">
        <v>24</v>
      </c>
      <c r="X4644" s="1">
        <v>2705</v>
      </c>
      <c r="Y4644" s="1" t="s">
        <v>24</v>
      </c>
      <c r="Z4644" s="1" t="s">
        <v>24</v>
      </c>
      <c r="AA4644" s="1" t="s">
        <v>24</v>
      </c>
      <c r="AB4644" s="1" t="s">
        <v>24</v>
      </c>
      <c r="AC4644" s="1" t="s">
        <v>24</v>
      </c>
      <c r="AD4644" s="1" t="s">
        <v>24</v>
      </c>
      <c r="AE4644" s="1" t="s">
        <v>24</v>
      </c>
      <c r="AF4644" s="22"/>
    </row>
    <row r="4645" spans="1:32" x14ac:dyDescent="0.2">
      <c r="A4645" s="1">
        <v>42106</v>
      </c>
      <c r="B4645" s="1" t="s">
        <v>14158</v>
      </c>
      <c r="C4645" s="5" t="s">
        <v>0</v>
      </c>
      <c r="E4645" s="1" t="s">
        <v>14159</v>
      </c>
      <c r="F4645" s="1" t="s">
        <v>12389</v>
      </c>
      <c r="G4645" s="1" t="s">
        <v>12390</v>
      </c>
      <c r="H4645" s="1" t="s">
        <v>30</v>
      </c>
      <c r="I4645" s="1" t="s">
        <v>16</v>
      </c>
      <c r="J4645" s="1">
        <v>1</v>
      </c>
      <c r="K4645" s="1">
        <v>2</v>
      </c>
      <c r="L4645" s="1" t="s">
        <v>42</v>
      </c>
      <c r="M4645" s="1" t="s">
        <v>18</v>
      </c>
      <c r="N4645" s="1" t="s">
        <v>18</v>
      </c>
      <c r="O4645" s="1">
        <v>3</v>
      </c>
      <c r="P4645" s="1">
        <v>6</v>
      </c>
      <c r="R4645" s="1" t="s">
        <v>19</v>
      </c>
      <c r="S4645" s="1" t="s">
        <v>63</v>
      </c>
      <c r="T4645" s="1" t="s">
        <v>21</v>
      </c>
      <c r="V4645" s="1" t="s">
        <v>24</v>
      </c>
      <c r="W4645" s="1" t="s">
        <v>24</v>
      </c>
      <c r="X4645" s="1">
        <v>2713</v>
      </c>
      <c r="Y4645" s="1" t="s">
        <v>24</v>
      </c>
      <c r="Z4645" s="1" t="s">
        <v>24</v>
      </c>
      <c r="AA4645" s="1" t="s">
        <v>24</v>
      </c>
      <c r="AB4645" s="1" t="s">
        <v>24</v>
      </c>
      <c r="AC4645" s="1" t="s">
        <v>24</v>
      </c>
      <c r="AD4645" s="1" t="s">
        <v>24</v>
      </c>
      <c r="AE4645" s="1" t="s">
        <v>24</v>
      </c>
      <c r="AF4645" s="22"/>
    </row>
    <row r="4646" spans="1:32" x14ac:dyDescent="0.2">
      <c r="A4646" s="1">
        <v>42107</v>
      </c>
      <c r="B4646" s="1" t="s">
        <v>14160</v>
      </c>
      <c r="C4646" s="5" t="s">
        <v>0</v>
      </c>
      <c r="E4646" s="1" t="s">
        <v>14161</v>
      </c>
      <c r="F4646" s="1" t="s">
        <v>12389</v>
      </c>
      <c r="G4646" s="1" t="s">
        <v>12390</v>
      </c>
      <c r="H4646" s="1" t="s">
        <v>30</v>
      </c>
      <c r="I4646" s="1" t="s">
        <v>16</v>
      </c>
      <c r="J4646" s="1">
        <v>1</v>
      </c>
      <c r="K4646" s="1">
        <v>2</v>
      </c>
      <c r="L4646" s="1" t="s">
        <v>42</v>
      </c>
      <c r="M4646" s="1" t="s">
        <v>18</v>
      </c>
      <c r="N4646" s="1" t="s">
        <v>18</v>
      </c>
      <c r="O4646" s="1">
        <v>3</v>
      </c>
      <c r="P4646" s="1">
        <v>6</v>
      </c>
      <c r="R4646" s="1" t="s">
        <v>19</v>
      </c>
      <c r="S4646" s="1" t="s">
        <v>63</v>
      </c>
      <c r="T4646" s="1" t="s">
        <v>21</v>
      </c>
      <c r="V4646" s="1" t="s">
        <v>24</v>
      </c>
      <c r="W4646" s="1" t="s">
        <v>24</v>
      </c>
      <c r="X4646" s="1">
        <v>2729</v>
      </c>
      <c r="Y4646" s="1" t="s">
        <v>24</v>
      </c>
      <c r="Z4646" s="1" t="s">
        <v>24</v>
      </c>
      <c r="AA4646" s="1" t="s">
        <v>24</v>
      </c>
      <c r="AB4646" s="1" t="s">
        <v>24</v>
      </c>
      <c r="AC4646" s="1" t="s">
        <v>24</v>
      </c>
      <c r="AD4646" s="1" t="s">
        <v>24</v>
      </c>
      <c r="AE4646" s="1" t="s">
        <v>24</v>
      </c>
      <c r="AF4646" s="22"/>
    </row>
    <row r="4647" spans="1:32" x14ac:dyDescent="0.2">
      <c r="A4647" s="1">
        <v>42108</v>
      </c>
      <c r="B4647" s="1" t="s">
        <v>14162</v>
      </c>
      <c r="C4647" s="5" t="s">
        <v>0</v>
      </c>
      <c r="E4647" s="1" t="s">
        <v>14163</v>
      </c>
      <c r="F4647" s="1" t="s">
        <v>12389</v>
      </c>
      <c r="G4647" s="1" t="s">
        <v>12390</v>
      </c>
      <c r="H4647" s="1" t="s">
        <v>30</v>
      </c>
      <c r="I4647" s="1" t="s">
        <v>16</v>
      </c>
      <c r="J4647" s="1">
        <v>1</v>
      </c>
      <c r="K4647" s="1">
        <v>2</v>
      </c>
      <c r="L4647" s="1" t="s">
        <v>42</v>
      </c>
      <c r="M4647" s="1" t="s">
        <v>18</v>
      </c>
      <c r="N4647" s="1" t="s">
        <v>18</v>
      </c>
      <c r="O4647" s="1">
        <v>3</v>
      </c>
      <c r="P4647" s="1">
        <v>6</v>
      </c>
      <c r="R4647" s="1" t="s">
        <v>19</v>
      </c>
      <c r="S4647" s="1" t="s">
        <v>20</v>
      </c>
      <c r="T4647" s="1" t="s">
        <v>21</v>
      </c>
      <c r="V4647" s="1" t="s">
        <v>24</v>
      </c>
      <c r="W4647" s="1" t="s">
        <v>24</v>
      </c>
      <c r="X4647" s="1">
        <v>2735</v>
      </c>
      <c r="Y4647" s="1" t="s">
        <v>24</v>
      </c>
      <c r="Z4647" s="1" t="s">
        <v>24</v>
      </c>
      <c r="AA4647" s="1" t="s">
        <v>24</v>
      </c>
      <c r="AB4647" s="1" t="s">
        <v>24</v>
      </c>
      <c r="AC4647" s="1" t="s">
        <v>24</v>
      </c>
      <c r="AD4647" s="1" t="s">
        <v>24</v>
      </c>
      <c r="AE4647" s="1" t="s">
        <v>24</v>
      </c>
      <c r="AF4647" s="22"/>
    </row>
    <row r="4648" spans="1:32" x14ac:dyDescent="0.2">
      <c r="A4648" s="1">
        <v>42109</v>
      </c>
      <c r="B4648" s="1" t="s">
        <v>14164</v>
      </c>
      <c r="C4648" s="5" t="s">
        <v>0</v>
      </c>
      <c r="E4648" s="1" t="s">
        <v>14165</v>
      </c>
      <c r="F4648" s="1" t="s">
        <v>12389</v>
      </c>
      <c r="G4648" s="1" t="s">
        <v>12390</v>
      </c>
      <c r="H4648" s="1" t="s">
        <v>30</v>
      </c>
      <c r="I4648" s="1" t="s">
        <v>16</v>
      </c>
      <c r="J4648" s="1">
        <v>1</v>
      </c>
      <c r="K4648" s="1">
        <v>2</v>
      </c>
      <c r="L4648" s="1" t="s">
        <v>42</v>
      </c>
      <c r="M4648" s="1" t="s">
        <v>18</v>
      </c>
      <c r="N4648" s="1" t="s">
        <v>18</v>
      </c>
      <c r="O4648" s="1">
        <v>3</v>
      </c>
      <c r="P4648" s="1">
        <v>6</v>
      </c>
      <c r="R4648" s="1" t="s">
        <v>19</v>
      </c>
      <c r="S4648" s="1" t="s">
        <v>20</v>
      </c>
      <c r="T4648" s="1" t="s">
        <v>21</v>
      </c>
      <c r="V4648" s="1" t="s">
        <v>24</v>
      </c>
      <c r="W4648" s="1" t="s">
        <v>24</v>
      </c>
      <c r="X4648" s="1">
        <v>2740</v>
      </c>
      <c r="Y4648" s="1" t="s">
        <v>24</v>
      </c>
      <c r="Z4648" s="1" t="s">
        <v>24</v>
      </c>
      <c r="AA4648" s="1" t="s">
        <v>24</v>
      </c>
      <c r="AB4648" s="1" t="s">
        <v>24</v>
      </c>
      <c r="AC4648" s="1" t="s">
        <v>24</v>
      </c>
      <c r="AD4648" s="1" t="s">
        <v>24</v>
      </c>
      <c r="AE4648" s="1" t="s">
        <v>24</v>
      </c>
      <c r="AF4648" s="22"/>
    </row>
    <row r="4649" spans="1:32" x14ac:dyDescent="0.2">
      <c r="A4649" s="1">
        <v>42110</v>
      </c>
      <c r="B4649" s="1" t="s">
        <v>14166</v>
      </c>
      <c r="C4649" s="5" t="s">
        <v>0</v>
      </c>
      <c r="E4649" s="1" t="s">
        <v>14167</v>
      </c>
      <c r="F4649" s="1" t="s">
        <v>12389</v>
      </c>
      <c r="G4649" s="1" t="s">
        <v>12390</v>
      </c>
      <c r="H4649" s="1" t="s">
        <v>30</v>
      </c>
      <c r="I4649" s="1" t="s">
        <v>16</v>
      </c>
      <c r="J4649" s="1">
        <v>1</v>
      </c>
      <c r="K4649" s="1">
        <v>2</v>
      </c>
      <c r="L4649" s="1" t="s">
        <v>42</v>
      </c>
      <c r="M4649" s="1" t="s">
        <v>18</v>
      </c>
      <c r="N4649" s="1" t="s">
        <v>18</v>
      </c>
      <c r="O4649" s="1">
        <v>3</v>
      </c>
      <c r="P4649" s="1">
        <v>6</v>
      </c>
      <c r="R4649" s="1" t="s">
        <v>19</v>
      </c>
      <c r="S4649" s="1" t="s">
        <v>63</v>
      </c>
      <c r="T4649" s="1" t="s">
        <v>21</v>
      </c>
      <c r="V4649" s="1" t="s">
        <v>24</v>
      </c>
      <c r="W4649" s="1" t="s">
        <v>24</v>
      </c>
      <c r="X4649" s="1">
        <v>2724</v>
      </c>
      <c r="Y4649" s="1">
        <v>2712</v>
      </c>
      <c r="Z4649" s="1" t="s">
        <v>24</v>
      </c>
      <c r="AA4649" s="1" t="s">
        <v>24</v>
      </c>
      <c r="AB4649" s="1" t="s">
        <v>24</v>
      </c>
      <c r="AC4649" s="1" t="s">
        <v>24</v>
      </c>
      <c r="AD4649" s="1" t="s">
        <v>24</v>
      </c>
      <c r="AE4649" s="1" t="s">
        <v>24</v>
      </c>
      <c r="AF4649" s="22"/>
    </row>
    <row r="4650" spans="1:32" x14ac:dyDescent="0.2">
      <c r="A4650" s="1">
        <v>42111</v>
      </c>
      <c r="B4650" s="1" t="s">
        <v>14168</v>
      </c>
      <c r="C4650" s="5" t="s">
        <v>0</v>
      </c>
      <c r="E4650" s="1" t="s">
        <v>14169</v>
      </c>
      <c r="F4650" s="1" t="s">
        <v>12389</v>
      </c>
      <c r="G4650" s="1" t="s">
        <v>12390</v>
      </c>
      <c r="H4650" s="1" t="s">
        <v>30</v>
      </c>
      <c r="I4650" s="1" t="s">
        <v>16</v>
      </c>
      <c r="J4650" s="1">
        <v>1</v>
      </c>
      <c r="K4650" s="1">
        <v>2</v>
      </c>
      <c r="L4650" s="1" t="s">
        <v>42</v>
      </c>
      <c r="M4650" s="1" t="s">
        <v>18</v>
      </c>
      <c r="N4650" s="1" t="s">
        <v>18</v>
      </c>
      <c r="O4650" s="1">
        <v>3</v>
      </c>
      <c r="P4650" s="1">
        <v>6</v>
      </c>
      <c r="R4650" s="1" t="s">
        <v>19</v>
      </c>
      <c r="S4650" s="1" t="s">
        <v>63</v>
      </c>
      <c r="T4650" s="1" t="s">
        <v>21</v>
      </c>
      <c r="V4650" s="1" t="s">
        <v>24</v>
      </c>
      <c r="W4650" s="1" t="s">
        <v>24</v>
      </c>
      <c r="X4650" s="1">
        <v>2700</v>
      </c>
      <c r="Y4650" s="1" t="s">
        <v>24</v>
      </c>
      <c r="Z4650" s="1" t="s">
        <v>24</v>
      </c>
      <c r="AA4650" s="1" t="s">
        <v>24</v>
      </c>
      <c r="AB4650" s="1" t="s">
        <v>24</v>
      </c>
      <c r="AC4650" s="1" t="s">
        <v>24</v>
      </c>
      <c r="AD4650" s="1" t="s">
        <v>24</v>
      </c>
      <c r="AE4650" s="1" t="s">
        <v>24</v>
      </c>
      <c r="AF4650" s="22"/>
    </row>
    <row r="4651" spans="1:32" x14ac:dyDescent="0.2">
      <c r="A4651" s="1">
        <v>42112</v>
      </c>
      <c r="B4651" s="1" t="s">
        <v>14170</v>
      </c>
      <c r="C4651" s="5" t="s">
        <v>0</v>
      </c>
      <c r="E4651" s="1" t="s">
        <v>14171</v>
      </c>
      <c r="F4651" s="1" t="s">
        <v>12389</v>
      </c>
      <c r="G4651" s="1" t="s">
        <v>12390</v>
      </c>
      <c r="H4651" s="1" t="s">
        <v>30</v>
      </c>
      <c r="I4651" s="1" t="s">
        <v>16</v>
      </c>
      <c r="J4651" s="1">
        <v>1</v>
      </c>
      <c r="K4651" s="1">
        <v>2</v>
      </c>
      <c r="L4651" s="1" t="s">
        <v>42</v>
      </c>
      <c r="M4651" s="1" t="s">
        <v>18</v>
      </c>
      <c r="N4651" s="1" t="s">
        <v>18</v>
      </c>
      <c r="O4651" s="1">
        <v>3</v>
      </c>
      <c r="P4651" s="1">
        <v>6</v>
      </c>
      <c r="R4651" s="1" t="s">
        <v>19</v>
      </c>
      <c r="S4651" s="1" t="s">
        <v>20</v>
      </c>
      <c r="T4651" s="1" t="s">
        <v>21</v>
      </c>
      <c r="V4651" s="1" t="s">
        <v>24</v>
      </c>
      <c r="W4651" s="1" t="s">
        <v>24</v>
      </c>
      <c r="X4651" s="1">
        <v>2700</v>
      </c>
      <c r="Y4651" s="1" t="s">
        <v>24</v>
      </c>
      <c r="Z4651" s="1" t="s">
        <v>24</v>
      </c>
      <c r="AA4651" s="1" t="s">
        <v>24</v>
      </c>
      <c r="AB4651" s="1" t="s">
        <v>24</v>
      </c>
      <c r="AC4651" s="1" t="s">
        <v>24</v>
      </c>
      <c r="AD4651" s="1" t="s">
        <v>24</v>
      </c>
      <c r="AE4651" s="1" t="s">
        <v>24</v>
      </c>
      <c r="AF4651" s="22"/>
    </row>
    <row r="4652" spans="1:32" x14ac:dyDescent="0.2">
      <c r="A4652" s="1">
        <v>42114</v>
      </c>
      <c r="B4652" s="1" t="s">
        <v>14172</v>
      </c>
      <c r="C4652" s="5" t="s">
        <v>0</v>
      </c>
      <c r="D4652" s="1" t="s">
        <v>14173</v>
      </c>
      <c r="E4652" s="1" t="s">
        <v>14174</v>
      </c>
      <c r="F4652" s="1" t="s">
        <v>970</v>
      </c>
      <c r="G4652" s="1" t="s">
        <v>36</v>
      </c>
      <c r="H4652" s="1" t="s">
        <v>30</v>
      </c>
      <c r="I4652" s="1" t="s">
        <v>16</v>
      </c>
      <c r="J4652" s="1">
        <v>1</v>
      </c>
      <c r="K4652" s="1">
        <v>6</v>
      </c>
      <c r="L4652" s="1" t="s">
        <v>31</v>
      </c>
      <c r="M4652" s="1" t="s">
        <v>18</v>
      </c>
      <c r="N4652" s="1" t="s">
        <v>18</v>
      </c>
      <c r="O4652" s="1">
        <v>3</v>
      </c>
      <c r="P4652" s="1">
        <v>7</v>
      </c>
      <c r="Q4652" s="7" t="s">
        <v>17633</v>
      </c>
      <c r="R4652" s="1" t="s">
        <v>19</v>
      </c>
      <c r="S4652" s="1" t="s">
        <v>20</v>
      </c>
      <c r="T4652" s="1" t="s">
        <v>21</v>
      </c>
      <c r="U4652" s="1" t="s">
        <v>22</v>
      </c>
      <c r="V4652" s="1" t="s">
        <v>24</v>
      </c>
      <c r="W4652" s="1" t="s">
        <v>24</v>
      </c>
      <c r="X4652" s="1">
        <v>1502</v>
      </c>
      <c r="Y4652" s="1">
        <v>2204</v>
      </c>
      <c r="Z4652" s="1">
        <v>2701</v>
      </c>
      <c r="AA4652" s="1" t="s">
        <v>24</v>
      </c>
      <c r="AB4652" s="1" t="s">
        <v>24</v>
      </c>
      <c r="AC4652" s="1" t="s">
        <v>24</v>
      </c>
      <c r="AD4652" s="1" t="s">
        <v>24</v>
      </c>
      <c r="AE4652" s="1" t="s">
        <v>24</v>
      </c>
      <c r="AF4652" s="22"/>
    </row>
    <row r="4653" spans="1:32" x14ac:dyDescent="0.2">
      <c r="A4653" s="1">
        <v>42115</v>
      </c>
      <c r="B4653" s="1" t="s">
        <v>14175</v>
      </c>
      <c r="C4653" s="5" t="s">
        <v>0</v>
      </c>
      <c r="D4653" s="4"/>
      <c r="E4653" s="4"/>
      <c r="F4653" s="1" t="s">
        <v>970</v>
      </c>
      <c r="G4653" s="1" t="s">
        <v>36</v>
      </c>
      <c r="H4653" s="1" t="s">
        <v>30</v>
      </c>
      <c r="I4653" s="1" t="s">
        <v>16</v>
      </c>
      <c r="J4653" s="1">
        <v>1</v>
      </c>
      <c r="K4653" s="1">
        <v>4</v>
      </c>
      <c r="L4653" s="1" t="s">
        <v>31</v>
      </c>
      <c r="M4653" s="1" t="s">
        <v>18</v>
      </c>
      <c r="N4653" s="1" t="s">
        <v>18</v>
      </c>
      <c r="O4653" s="1">
        <v>2</v>
      </c>
      <c r="P4653" s="1">
        <v>7</v>
      </c>
      <c r="Q4653" s="7" t="s">
        <v>17633</v>
      </c>
      <c r="R4653" s="1" t="s">
        <v>19</v>
      </c>
      <c r="S4653" s="1" t="s">
        <v>20</v>
      </c>
      <c r="T4653" s="1" t="s">
        <v>21</v>
      </c>
      <c r="U4653" s="1" t="s">
        <v>22</v>
      </c>
      <c r="V4653" s="1" t="s">
        <v>24</v>
      </c>
      <c r="W4653" s="1" t="s">
        <v>24</v>
      </c>
      <c r="X4653" s="1">
        <v>1601</v>
      </c>
      <c r="Y4653" s="1">
        <v>1301</v>
      </c>
      <c r="Z4653" s="1" t="s">
        <v>24</v>
      </c>
      <c r="AA4653" s="1" t="s">
        <v>24</v>
      </c>
      <c r="AB4653" s="1" t="s">
        <v>24</v>
      </c>
      <c r="AC4653" s="1" t="s">
        <v>24</v>
      </c>
      <c r="AD4653" s="1" t="s">
        <v>24</v>
      </c>
      <c r="AE4653" s="1" t="s">
        <v>24</v>
      </c>
      <c r="AF4653" s="22" t="s">
        <v>17708</v>
      </c>
    </row>
    <row r="4654" spans="1:32" x14ac:dyDescent="0.2">
      <c r="A4654" s="1">
        <v>42116</v>
      </c>
      <c r="B4654" s="1" t="s">
        <v>14176</v>
      </c>
      <c r="C4654" s="5" t="s">
        <v>0</v>
      </c>
      <c r="D4654" s="1" t="s">
        <v>14177</v>
      </c>
      <c r="E4654" s="1" t="s">
        <v>14178</v>
      </c>
      <c r="F4654" s="1" t="s">
        <v>14179</v>
      </c>
      <c r="G4654" s="1" t="s">
        <v>36</v>
      </c>
      <c r="H4654" s="1" t="s">
        <v>30</v>
      </c>
      <c r="I4654" s="1" t="s">
        <v>16</v>
      </c>
      <c r="J4654" s="1">
        <v>1</v>
      </c>
      <c r="K4654" s="1">
        <v>4</v>
      </c>
      <c r="L4654" s="1" t="s">
        <v>31</v>
      </c>
      <c r="M4654" s="1" t="s">
        <v>18</v>
      </c>
      <c r="N4654" s="1" t="s">
        <v>18</v>
      </c>
      <c r="O4654" s="1">
        <v>3</v>
      </c>
      <c r="P4654" s="1">
        <v>7</v>
      </c>
      <c r="Q4654" s="7" t="s">
        <v>17633</v>
      </c>
      <c r="R4654" s="1" t="s">
        <v>19</v>
      </c>
      <c r="S4654" s="1" t="s">
        <v>20</v>
      </c>
      <c r="T4654" s="1" t="s">
        <v>21</v>
      </c>
      <c r="U4654" s="1" t="s">
        <v>22</v>
      </c>
      <c r="V4654" s="1" t="s">
        <v>23</v>
      </c>
      <c r="W4654" s="1" t="s">
        <v>24</v>
      </c>
      <c r="X4654" s="1">
        <v>2712</v>
      </c>
      <c r="Y4654" s="1" t="s">
        <v>24</v>
      </c>
      <c r="Z4654" s="1" t="s">
        <v>24</v>
      </c>
      <c r="AA4654" s="1" t="s">
        <v>24</v>
      </c>
      <c r="AB4654" s="1" t="s">
        <v>24</v>
      </c>
      <c r="AC4654" s="1" t="s">
        <v>24</v>
      </c>
      <c r="AD4654" s="1" t="s">
        <v>24</v>
      </c>
      <c r="AE4654" s="1" t="s">
        <v>24</v>
      </c>
      <c r="AF4654" s="22"/>
    </row>
    <row r="4655" spans="1:32" x14ac:dyDescent="0.2">
      <c r="A4655" s="1">
        <v>42117</v>
      </c>
      <c r="B4655" s="1" t="s">
        <v>14180</v>
      </c>
      <c r="C4655" s="5" t="s">
        <v>0</v>
      </c>
      <c r="D4655" s="1" t="s">
        <v>14181</v>
      </c>
      <c r="E4655" s="1" t="s">
        <v>14182</v>
      </c>
      <c r="F4655" s="1" t="s">
        <v>970</v>
      </c>
      <c r="G4655" s="1" t="s">
        <v>36</v>
      </c>
      <c r="H4655" s="1" t="s">
        <v>30</v>
      </c>
      <c r="I4655" s="1" t="s">
        <v>16</v>
      </c>
      <c r="J4655" s="1">
        <v>1</v>
      </c>
      <c r="K4655" s="1">
        <v>3</v>
      </c>
      <c r="L4655" s="1" t="s">
        <v>31</v>
      </c>
      <c r="M4655" s="1" t="s">
        <v>18</v>
      </c>
      <c r="N4655" s="1" t="s">
        <v>18</v>
      </c>
      <c r="O4655" s="1">
        <v>3</v>
      </c>
      <c r="P4655" s="1">
        <v>7</v>
      </c>
      <c r="Q4655" s="7" t="s">
        <v>17633</v>
      </c>
      <c r="R4655" s="1" t="s">
        <v>19</v>
      </c>
      <c r="S4655" s="1" t="s">
        <v>20</v>
      </c>
      <c r="T4655" s="1" t="s">
        <v>21</v>
      </c>
      <c r="U4655" s="1" t="s">
        <v>22</v>
      </c>
      <c r="V4655" s="1" t="s">
        <v>23</v>
      </c>
      <c r="W4655" s="1" t="s">
        <v>24</v>
      </c>
      <c r="X4655" s="1">
        <v>2738</v>
      </c>
      <c r="Y4655" s="1" t="s">
        <v>24</v>
      </c>
      <c r="Z4655" s="1" t="s">
        <v>24</v>
      </c>
      <c r="AA4655" s="1" t="s">
        <v>24</v>
      </c>
      <c r="AB4655" s="1" t="s">
        <v>24</v>
      </c>
      <c r="AC4655" s="1" t="s">
        <v>24</v>
      </c>
      <c r="AD4655" s="1" t="s">
        <v>24</v>
      </c>
      <c r="AE4655" s="1" t="s">
        <v>24</v>
      </c>
      <c r="AF4655" s="22"/>
    </row>
    <row r="4656" spans="1:32" x14ac:dyDescent="0.2">
      <c r="A4656" s="1">
        <v>42118</v>
      </c>
      <c r="B4656" s="1" t="s">
        <v>14183</v>
      </c>
      <c r="C4656" s="5" t="s">
        <v>0</v>
      </c>
      <c r="E4656" s="1" t="s">
        <v>14184</v>
      </c>
      <c r="F4656" s="1" t="s">
        <v>1897</v>
      </c>
      <c r="G4656" s="1" t="s">
        <v>1898</v>
      </c>
      <c r="H4656" s="1" t="s">
        <v>899</v>
      </c>
      <c r="I4656" s="1" t="s">
        <v>16</v>
      </c>
      <c r="J4656" s="1">
        <v>1</v>
      </c>
      <c r="K4656" s="1">
        <v>6</v>
      </c>
      <c r="L4656" s="1" t="s">
        <v>31</v>
      </c>
      <c r="M4656" s="1" t="s">
        <v>18</v>
      </c>
      <c r="N4656" s="1" t="s">
        <v>18</v>
      </c>
      <c r="O4656" s="1">
        <v>3</v>
      </c>
      <c r="P4656" s="1">
        <v>6</v>
      </c>
      <c r="R4656" s="1" t="s">
        <v>19</v>
      </c>
      <c r="S4656" s="1" t="s">
        <v>20</v>
      </c>
      <c r="T4656" s="1" t="s">
        <v>21</v>
      </c>
      <c r="U4656" s="1" t="s">
        <v>22</v>
      </c>
      <c r="V4656" s="1" t="s">
        <v>24</v>
      </c>
      <c r="W4656" s="1" t="s">
        <v>24</v>
      </c>
      <c r="X4656" s="1">
        <v>3002</v>
      </c>
      <c r="Y4656" s="1">
        <v>3004</v>
      </c>
      <c r="Z4656" s="1" t="s">
        <v>24</v>
      </c>
      <c r="AA4656" s="1" t="s">
        <v>24</v>
      </c>
      <c r="AB4656" s="1" t="s">
        <v>24</v>
      </c>
      <c r="AC4656" s="1" t="s">
        <v>24</v>
      </c>
      <c r="AD4656" s="1" t="s">
        <v>24</v>
      </c>
      <c r="AE4656" s="1" t="s">
        <v>24</v>
      </c>
      <c r="AF4656" s="22"/>
    </row>
    <row r="4657" spans="1:32" x14ac:dyDescent="0.2">
      <c r="A4657" s="1">
        <v>42119</v>
      </c>
      <c r="B4657" s="1" t="s">
        <v>14185</v>
      </c>
      <c r="C4657" s="5" t="s">
        <v>0</v>
      </c>
      <c r="D4657" s="1" t="s">
        <v>14186</v>
      </c>
      <c r="F4657" s="1" t="s">
        <v>12162</v>
      </c>
      <c r="G4657" s="1" t="s">
        <v>61</v>
      </c>
      <c r="H4657" s="1" t="s">
        <v>899</v>
      </c>
      <c r="I4657" s="1" t="s">
        <v>16</v>
      </c>
      <c r="J4657" s="1">
        <v>0</v>
      </c>
      <c r="K4657" s="1">
        <v>0</v>
      </c>
      <c r="L4657" s="1" t="s">
        <v>31</v>
      </c>
      <c r="M4657" s="1" t="s">
        <v>18</v>
      </c>
      <c r="N4657" s="1" t="s">
        <v>18</v>
      </c>
      <c r="O4657" s="1">
        <v>3</v>
      </c>
      <c r="P4657" s="1">
        <v>6</v>
      </c>
      <c r="R4657" s="1" t="s">
        <v>19</v>
      </c>
      <c r="S4657" s="1" t="s">
        <v>20</v>
      </c>
      <c r="T4657" s="1" t="s">
        <v>21</v>
      </c>
      <c r="U4657" s="1" t="s">
        <v>22</v>
      </c>
      <c r="V4657" s="1" t="s">
        <v>24</v>
      </c>
      <c r="W4657" s="1" t="s">
        <v>24</v>
      </c>
      <c r="X4657" s="1">
        <v>3002</v>
      </c>
      <c r="Y4657" s="1">
        <v>3004</v>
      </c>
      <c r="Z4657" s="1" t="s">
        <v>24</v>
      </c>
      <c r="AA4657" s="1" t="s">
        <v>24</v>
      </c>
      <c r="AB4657" s="1" t="s">
        <v>24</v>
      </c>
      <c r="AC4657" s="1" t="s">
        <v>24</v>
      </c>
      <c r="AD4657" s="1" t="s">
        <v>24</v>
      </c>
      <c r="AE4657" s="1" t="s">
        <v>24</v>
      </c>
      <c r="AF4657" s="22" t="s">
        <v>17678</v>
      </c>
    </row>
    <row r="4658" spans="1:32" x14ac:dyDescent="0.2">
      <c r="A4658" s="1">
        <v>42120</v>
      </c>
      <c r="B4658" s="1" t="s">
        <v>14187</v>
      </c>
      <c r="C4658" s="5" t="s">
        <v>0</v>
      </c>
      <c r="D4658" s="1" t="s">
        <v>14188</v>
      </c>
      <c r="F4658" s="1" t="s">
        <v>13735</v>
      </c>
      <c r="G4658" s="1" t="s">
        <v>13735</v>
      </c>
      <c r="H4658" s="1" t="s">
        <v>899</v>
      </c>
      <c r="I4658" s="1" t="s">
        <v>16</v>
      </c>
      <c r="J4658" s="1">
        <v>1</v>
      </c>
      <c r="K4658" s="1">
        <v>4</v>
      </c>
      <c r="L4658" s="1" t="s">
        <v>42</v>
      </c>
      <c r="M4658" s="1" t="s">
        <v>18</v>
      </c>
      <c r="N4658" s="1" t="s">
        <v>18</v>
      </c>
      <c r="O4658" s="1">
        <v>3</v>
      </c>
      <c r="P4658" s="1">
        <v>6</v>
      </c>
      <c r="R4658" s="1" t="s">
        <v>19</v>
      </c>
      <c r="S4658" s="1" t="s">
        <v>63</v>
      </c>
      <c r="T4658" s="1" t="s">
        <v>21</v>
      </c>
      <c r="U4658" s="1" t="s">
        <v>22</v>
      </c>
      <c r="V4658" s="1" t="s">
        <v>24</v>
      </c>
      <c r="W4658" s="1" t="s">
        <v>24</v>
      </c>
      <c r="X4658" s="1">
        <v>1500</v>
      </c>
      <c r="Y4658" s="1">
        <v>1600</v>
      </c>
      <c r="Z4658" s="1" t="s">
        <v>24</v>
      </c>
      <c r="AA4658" s="1" t="s">
        <v>24</v>
      </c>
      <c r="AB4658" s="1" t="s">
        <v>24</v>
      </c>
      <c r="AC4658" s="1" t="s">
        <v>24</v>
      </c>
      <c r="AD4658" s="1" t="s">
        <v>24</v>
      </c>
      <c r="AE4658" s="1" t="s">
        <v>24</v>
      </c>
      <c r="AF4658" s="22"/>
    </row>
    <row r="4659" spans="1:32" x14ac:dyDescent="0.2">
      <c r="A4659" s="1">
        <v>42123</v>
      </c>
      <c r="B4659" s="1" t="s">
        <v>14189</v>
      </c>
      <c r="C4659" s="5" t="s">
        <v>0</v>
      </c>
      <c r="D4659" s="1" t="s">
        <v>14190</v>
      </c>
      <c r="F4659" s="1" t="s">
        <v>14191</v>
      </c>
      <c r="G4659" s="1" t="s">
        <v>14191</v>
      </c>
      <c r="H4659" s="1" t="s">
        <v>899</v>
      </c>
      <c r="I4659" s="1" t="s">
        <v>16</v>
      </c>
      <c r="J4659" s="1">
        <v>1</v>
      </c>
      <c r="K4659" s="1">
        <v>6</v>
      </c>
      <c r="L4659" s="1" t="s">
        <v>42</v>
      </c>
      <c r="M4659" s="1" t="s">
        <v>18</v>
      </c>
      <c r="N4659" s="1" t="s">
        <v>18</v>
      </c>
      <c r="O4659" s="1">
        <v>3</v>
      </c>
      <c r="P4659" s="1">
        <v>6</v>
      </c>
      <c r="R4659" s="1" t="s">
        <v>19</v>
      </c>
      <c r="S4659" s="1" t="s">
        <v>20</v>
      </c>
      <c r="T4659" s="1" t="s">
        <v>21</v>
      </c>
      <c r="U4659" s="1" t="s">
        <v>22</v>
      </c>
      <c r="V4659" s="1" t="s">
        <v>23</v>
      </c>
      <c r="W4659" s="1" t="s">
        <v>24</v>
      </c>
      <c r="X4659" s="1">
        <v>2703</v>
      </c>
      <c r="Y4659" s="1" t="s">
        <v>24</v>
      </c>
      <c r="Z4659" s="1" t="s">
        <v>24</v>
      </c>
      <c r="AA4659" s="1" t="s">
        <v>24</v>
      </c>
      <c r="AB4659" s="1" t="s">
        <v>24</v>
      </c>
      <c r="AC4659" s="1" t="s">
        <v>24</v>
      </c>
      <c r="AD4659" s="1" t="s">
        <v>24</v>
      </c>
      <c r="AE4659" s="1" t="s">
        <v>24</v>
      </c>
      <c r="AF4659" s="22"/>
    </row>
    <row r="4660" spans="1:32" x14ac:dyDescent="0.2">
      <c r="A4660" s="1">
        <v>42124</v>
      </c>
      <c r="B4660" s="1" t="s">
        <v>14192</v>
      </c>
      <c r="C4660" s="5" t="s">
        <v>0</v>
      </c>
      <c r="D4660" s="1" t="s">
        <v>14193</v>
      </c>
      <c r="E4660" s="1" t="s">
        <v>14194</v>
      </c>
      <c r="F4660" s="1" t="s">
        <v>14195</v>
      </c>
      <c r="G4660" s="1" t="s">
        <v>14195</v>
      </c>
      <c r="H4660" s="1" t="s">
        <v>1660</v>
      </c>
      <c r="I4660" s="1" t="s">
        <v>16</v>
      </c>
      <c r="J4660" s="1">
        <v>1</v>
      </c>
      <c r="K4660" s="1">
        <v>4</v>
      </c>
      <c r="L4660" s="1" t="s">
        <v>42</v>
      </c>
      <c r="M4660" s="1" t="s">
        <v>18</v>
      </c>
      <c r="N4660" s="1" t="s">
        <v>1662</v>
      </c>
      <c r="O4660" s="1">
        <v>3</v>
      </c>
      <c r="P4660" s="1">
        <v>6</v>
      </c>
      <c r="R4660" s="1" t="s">
        <v>19</v>
      </c>
      <c r="S4660" s="1" t="s">
        <v>20</v>
      </c>
      <c r="T4660" s="1" t="s">
        <v>21</v>
      </c>
      <c r="U4660" s="1" t="s">
        <v>22</v>
      </c>
      <c r="V4660" s="1" t="s">
        <v>24</v>
      </c>
      <c r="W4660" s="1" t="s">
        <v>24</v>
      </c>
      <c r="X4660" s="1">
        <v>2700</v>
      </c>
      <c r="Y4660" s="1">
        <v>3500</v>
      </c>
      <c r="Z4660" s="1" t="s">
        <v>24</v>
      </c>
      <c r="AA4660" s="1" t="s">
        <v>24</v>
      </c>
      <c r="AB4660" s="1" t="s">
        <v>24</v>
      </c>
      <c r="AC4660" s="1" t="s">
        <v>24</v>
      </c>
      <c r="AD4660" s="1" t="s">
        <v>24</v>
      </c>
      <c r="AE4660" s="1" t="s">
        <v>24</v>
      </c>
      <c r="AF4660" s="22"/>
    </row>
    <row r="4661" spans="1:32" x14ac:dyDescent="0.2">
      <c r="A4661" s="1">
        <v>42125</v>
      </c>
      <c r="B4661" s="1" t="s">
        <v>14196</v>
      </c>
      <c r="C4661" s="5" t="s">
        <v>0</v>
      </c>
      <c r="D4661" s="1" t="s">
        <v>14197</v>
      </c>
      <c r="E4661" s="1" t="s">
        <v>14198</v>
      </c>
      <c r="F4661" s="1" t="s">
        <v>14199</v>
      </c>
      <c r="G4661" s="1" t="s">
        <v>14199</v>
      </c>
      <c r="H4661" s="1" t="s">
        <v>1957</v>
      </c>
      <c r="I4661" s="1" t="s">
        <v>16</v>
      </c>
      <c r="J4661" s="1">
        <v>1</v>
      </c>
      <c r="K4661" s="1">
        <v>4</v>
      </c>
      <c r="L4661" s="1" t="s">
        <v>42</v>
      </c>
      <c r="M4661" s="1" t="s">
        <v>18</v>
      </c>
      <c r="N4661" s="1" t="s">
        <v>18</v>
      </c>
      <c r="O4661" s="1">
        <v>3</v>
      </c>
      <c r="P4661" s="1">
        <v>6</v>
      </c>
      <c r="R4661" s="1" t="s">
        <v>19</v>
      </c>
      <c r="S4661" s="1" t="s">
        <v>20</v>
      </c>
      <c r="T4661" s="1" t="s">
        <v>21</v>
      </c>
      <c r="U4661" s="1" t="s">
        <v>22</v>
      </c>
      <c r="V4661" s="1" t="s">
        <v>24</v>
      </c>
      <c r="W4661" s="1" t="s">
        <v>24</v>
      </c>
      <c r="X4661" s="1">
        <v>2725</v>
      </c>
      <c r="Y4661" s="1">
        <v>2404</v>
      </c>
      <c r="Z4661" s="1">
        <v>2726</v>
      </c>
      <c r="AA4661" s="1" t="s">
        <v>24</v>
      </c>
      <c r="AB4661" s="1" t="s">
        <v>24</v>
      </c>
      <c r="AC4661" s="1" t="s">
        <v>24</v>
      </c>
      <c r="AD4661" s="1" t="s">
        <v>24</v>
      </c>
      <c r="AE4661" s="1" t="s">
        <v>24</v>
      </c>
      <c r="AF4661" s="22"/>
    </row>
    <row r="4662" spans="1:32" x14ac:dyDescent="0.2">
      <c r="A4662" s="1">
        <v>42126</v>
      </c>
      <c r="B4662" s="1" t="s">
        <v>14200</v>
      </c>
      <c r="C4662" s="5" t="s">
        <v>0</v>
      </c>
      <c r="E4662" s="1" t="s">
        <v>14201</v>
      </c>
      <c r="F4662" s="1" t="s">
        <v>14202</v>
      </c>
      <c r="G4662" s="1" t="s">
        <v>14202</v>
      </c>
      <c r="H4662" s="1" t="s">
        <v>46</v>
      </c>
      <c r="I4662" s="1" t="s">
        <v>16</v>
      </c>
      <c r="J4662" s="1">
        <v>1</v>
      </c>
      <c r="K4662" s="1">
        <v>2</v>
      </c>
      <c r="L4662" s="1" t="s">
        <v>42</v>
      </c>
      <c r="M4662" s="1" t="s">
        <v>18</v>
      </c>
      <c r="N4662" s="1" t="s">
        <v>18</v>
      </c>
      <c r="O4662" s="1">
        <v>3</v>
      </c>
      <c r="P4662" s="1">
        <v>6</v>
      </c>
      <c r="R4662" s="1" t="s">
        <v>19</v>
      </c>
      <c r="S4662" s="1" t="s">
        <v>20</v>
      </c>
      <c r="T4662" s="1" t="s">
        <v>21</v>
      </c>
      <c r="U4662" s="1" t="s">
        <v>22</v>
      </c>
      <c r="V4662" s="1" t="s">
        <v>24</v>
      </c>
      <c r="W4662" s="1" t="s">
        <v>24</v>
      </c>
      <c r="X4662" s="1">
        <v>2204</v>
      </c>
      <c r="Y4662" s="1">
        <v>3003</v>
      </c>
      <c r="Z4662" s="1" t="s">
        <v>24</v>
      </c>
      <c r="AA4662" s="1" t="s">
        <v>24</v>
      </c>
      <c r="AB4662" s="1" t="s">
        <v>24</v>
      </c>
      <c r="AC4662" s="1" t="s">
        <v>24</v>
      </c>
      <c r="AD4662" s="1" t="s">
        <v>24</v>
      </c>
      <c r="AE4662" s="1" t="s">
        <v>24</v>
      </c>
      <c r="AF4662" s="22"/>
    </row>
    <row r="4663" spans="1:32" x14ac:dyDescent="0.2">
      <c r="A4663" s="1">
        <v>42127</v>
      </c>
      <c r="B4663" s="1" t="s">
        <v>14203</v>
      </c>
      <c r="C4663" s="5" t="s">
        <v>0</v>
      </c>
      <c r="D4663" s="1" t="s">
        <v>14204</v>
      </c>
      <c r="E4663" s="1" t="s">
        <v>14205</v>
      </c>
      <c r="F4663" s="1" t="s">
        <v>14206</v>
      </c>
      <c r="G4663" s="1" t="s">
        <v>61</v>
      </c>
      <c r="H4663" s="1" t="s">
        <v>7640</v>
      </c>
      <c r="I4663" s="1" t="s">
        <v>16</v>
      </c>
      <c r="J4663" s="1">
        <v>1</v>
      </c>
      <c r="K4663" s="1">
        <v>4</v>
      </c>
      <c r="L4663" s="1" t="s">
        <v>31</v>
      </c>
      <c r="M4663" s="1" t="s">
        <v>18</v>
      </c>
      <c r="N4663" s="1" t="s">
        <v>18</v>
      </c>
      <c r="O4663" s="1">
        <v>3</v>
      </c>
      <c r="P4663" s="1">
        <v>6</v>
      </c>
      <c r="R4663" s="1" t="s">
        <v>19</v>
      </c>
      <c r="S4663" s="1" t="s">
        <v>20</v>
      </c>
      <c r="T4663" s="1" t="s">
        <v>21</v>
      </c>
      <c r="U4663" s="1" t="s">
        <v>22</v>
      </c>
      <c r="V4663" s="1" t="s">
        <v>24</v>
      </c>
      <c r="W4663" s="1" t="s">
        <v>24</v>
      </c>
      <c r="X4663" s="1">
        <v>2716</v>
      </c>
      <c r="Y4663" s="1" t="s">
        <v>24</v>
      </c>
      <c r="Z4663" s="1" t="s">
        <v>24</v>
      </c>
      <c r="AA4663" s="1" t="s">
        <v>24</v>
      </c>
      <c r="AB4663" s="1" t="s">
        <v>24</v>
      </c>
      <c r="AC4663" s="1" t="s">
        <v>24</v>
      </c>
      <c r="AD4663" s="1" t="s">
        <v>24</v>
      </c>
      <c r="AE4663" s="1" t="s">
        <v>24</v>
      </c>
      <c r="AF4663" s="22"/>
    </row>
    <row r="4664" spans="1:32" x14ac:dyDescent="0.2">
      <c r="A4664" s="1">
        <v>42128</v>
      </c>
      <c r="B4664" s="1" t="s">
        <v>14207</v>
      </c>
      <c r="C4664" s="5" t="s">
        <v>0</v>
      </c>
      <c r="E4664" s="1" t="s">
        <v>14208</v>
      </c>
      <c r="F4664" s="1" t="s">
        <v>14209</v>
      </c>
      <c r="G4664" s="1" t="s">
        <v>14209</v>
      </c>
      <c r="H4664" s="1" t="s">
        <v>37</v>
      </c>
      <c r="I4664" s="1" t="s">
        <v>16</v>
      </c>
      <c r="J4664" s="1">
        <v>1</v>
      </c>
      <c r="K4664" s="1">
        <v>3</v>
      </c>
      <c r="L4664" s="1" t="s">
        <v>42</v>
      </c>
      <c r="M4664" s="1" t="s">
        <v>18</v>
      </c>
      <c r="N4664" s="1" t="s">
        <v>18</v>
      </c>
      <c r="O4664" s="1">
        <v>3</v>
      </c>
      <c r="P4664" s="1">
        <v>6</v>
      </c>
      <c r="R4664" s="1" t="s">
        <v>19</v>
      </c>
      <c r="S4664" s="1" t="s">
        <v>20</v>
      </c>
      <c r="T4664" s="1" t="s">
        <v>21</v>
      </c>
      <c r="U4664" s="1" t="s">
        <v>22</v>
      </c>
      <c r="V4664" s="1" t="s">
        <v>23</v>
      </c>
      <c r="W4664" s="1" t="s">
        <v>24</v>
      </c>
      <c r="X4664" s="1">
        <v>2712</v>
      </c>
      <c r="Y4664" s="1">
        <v>2724</v>
      </c>
      <c r="Z4664" s="1" t="s">
        <v>24</v>
      </c>
      <c r="AA4664" s="1" t="s">
        <v>24</v>
      </c>
      <c r="AB4664" s="1" t="s">
        <v>24</v>
      </c>
      <c r="AC4664" s="1" t="s">
        <v>24</v>
      </c>
      <c r="AD4664" s="1" t="s">
        <v>24</v>
      </c>
      <c r="AE4664" s="1" t="s">
        <v>24</v>
      </c>
      <c r="AF4664" s="22"/>
    </row>
    <row r="4665" spans="1:32" x14ac:dyDescent="0.2">
      <c r="A4665" s="1">
        <v>42129</v>
      </c>
      <c r="B4665" s="1" t="s">
        <v>14210</v>
      </c>
      <c r="C4665" s="5" t="s">
        <v>0</v>
      </c>
      <c r="D4665" s="1" t="s">
        <v>14211</v>
      </c>
      <c r="F4665" s="1" t="s">
        <v>14212</v>
      </c>
      <c r="G4665" s="1" t="s">
        <v>14213</v>
      </c>
      <c r="H4665" s="1" t="s">
        <v>37</v>
      </c>
      <c r="I4665" s="1" t="s">
        <v>16</v>
      </c>
      <c r="J4665" s="1">
        <v>1</v>
      </c>
      <c r="K4665" s="1">
        <v>4</v>
      </c>
      <c r="L4665" s="1" t="s">
        <v>31</v>
      </c>
      <c r="M4665" s="1" t="s">
        <v>18</v>
      </c>
      <c r="N4665" s="1" t="s">
        <v>18</v>
      </c>
      <c r="O4665" s="1">
        <v>2</v>
      </c>
      <c r="P4665" s="1">
        <v>6</v>
      </c>
      <c r="R4665" s="1" t="s">
        <v>19</v>
      </c>
      <c r="S4665" s="1" t="s">
        <v>20</v>
      </c>
      <c r="T4665" s="1" t="s">
        <v>21</v>
      </c>
      <c r="U4665" s="1" t="s">
        <v>22</v>
      </c>
      <c r="V4665" s="1" t="s">
        <v>24</v>
      </c>
      <c r="W4665" s="1" t="s">
        <v>24</v>
      </c>
      <c r="X4665" s="1">
        <v>3003</v>
      </c>
      <c r="Y4665" s="1">
        <v>3611</v>
      </c>
      <c r="Z4665" s="1" t="s">
        <v>24</v>
      </c>
      <c r="AA4665" s="1" t="s">
        <v>24</v>
      </c>
      <c r="AB4665" s="1" t="s">
        <v>24</v>
      </c>
      <c r="AC4665" s="1" t="s">
        <v>24</v>
      </c>
      <c r="AD4665" s="1" t="s">
        <v>24</v>
      </c>
      <c r="AE4665" s="1" t="s">
        <v>24</v>
      </c>
      <c r="AF4665" s="22"/>
    </row>
    <row r="4666" spans="1:32" x14ac:dyDescent="0.2">
      <c r="A4666" s="1">
        <v>42130</v>
      </c>
      <c r="B4666" s="1" t="s">
        <v>14214</v>
      </c>
      <c r="C4666" s="5" t="s">
        <v>0</v>
      </c>
      <c r="D4666" s="1" t="s">
        <v>14215</v>
      </c>
      <c r="F4666" s="1" t="s">
        <v>14216</v>
      </c>
      <c r="G4666" s="1" t="s">
        <v>14216</v>
      </c>
      <c r="H4666" s="1" t="s">
        <v>111</v>
      </c>
      <c r="I4666" s="1" t="s">
        <v>16</v>
      </c>
      <c r="J4666" s="1">
        <v>1</v>
      </c>
      <c r="K4666" s="1">
        <v>1</v>
      </c>
      <c r="L4666" s="1" t="s">
        <v>42</v>
      </c>
      <c r="M4666" s="1" t="s">
        <v>18</v>
      </c>
      <c r="N4666" s="1" t="s">
        <v>18</v>
      </c>
      <c r="O4666" s="1">
        <v>3</v>
      </c>
      <c r="P4666" s="1">
        <v>6</v>
      </c>
      <c r="R4666" s="1" t="s">
        <v>19</v>
      </c>
      <c r="S4666" s="1" t="s">
        <v>63</v>
      </c>
      <c r="T4666" s="1" t="s">
        <v>21</v>
      </c>
      <c r="U4666" s="1" t="s">
        <v>22</v>
      </c>
      <c r="V4666" s="1" t="s">
        <v>24</v>
      </c>
      <c r="W4666" s="1" t="s">
        <v>24</v>
      </c>
      <c r="X4666" s="1">
        <v>2801</v>
      </c>
      <c r="Y4666" s="1">
        <v>2804</v>
      </c>
      <c r="Z4666" s="1" t="s">
        <v>24</v>
      </c>
      <c r="AA4666" s="1" t="s">
        <v>24</v>
      </c>
      <c r="AB4666" s="1" t="s">
        <v>24</v>
      </c>
      <c r="AC4666" s="1" t="s">
        <v>24</v>
      </c>
      <c r="AD4666" s="1" t="s">
        <v>24</v>
      </c>
      <c r="AE4666" s="1" t="s">
        <v>24</v>
      </c>
      <c r="AF4666" s="22" t="s">
        <v>17678</v>
      </c>
    </row>
    <row r="4667" spans="1:32" x14ac:dyDescent="0.2">
      <c r="A4667" s="1">
        <v>42131</v>
      </c>
      <c r="B4667" s="1" t="s">
        <v>14217</v>
      </c>
      <c r="C4667" s="5" t="s">
        <v>0</v>
      </c>
      <c r="D4667" s="1" t="s">
        <v>14218</v>
      </c>
      <c r="F4667" s="1" t="s">
        <v>14216</v>
      </c>
      <c r="G4667" s="1" t="s">
        <v>14216</v>
      </c>
      <c r="H4667" s="1" t="s">
        <v>111</v>
      </c>
      <c r="I4667" s="1" t="s">
        <v>16</v>
      </c>
      <c r="J4667" s="1">
        <v>1</v>
      </c>
      <c r="K4667" s="1">
        <v>1</v>
      </c>
      <c r="L4667" s="1" t="s">
        <v>42</v>
      </c>
      <c r="M4667" s="1" t="s">
        <v>18</v>
      </c>
      <c r="N4667" s="1" t="s">
        <v>18</v>
      </c>
      <c r="O4667" s="1">
        <v>3</v>
      </c>
      <c r="P4667" s="1">
        <v>6</v>
      </c>
      <c r="R4667" s="1" t="s">
        <v>19</v>
      </c>
      <c r="S4667" s="1" t="s">
        <v>63</v>
      </c>
      <c r="T4667" s="1" t="s">
        <v>21</v>
      </c>
      <c r="U4667" s="1" t="s">
        <v>22</v>
      </c>
      <c r="V4667" s="1" t="s">
        <v>24</v>
      </c>
      <c r="W4667" s="1" t="s">
        <v>24</v>
      </c>
      <c r="X4667" s="1">
        <v>2204</v>
      </c>
      <c r="Y4667" s="1">
        <v>1304</v>
      </c>
      <c r="Z4667" s="1">
        <v>2801</v>
      </c>
      <c r="AA4667" s="1" t="s">
        <v>24</v>
      </c>
      <c r="AB4667" s="1" t="s">
        <v>24</v>
      </c>
      <c r="AC4667" s="1" t="s">
        <v>24</v>
      </c>
      <c r="AD4667" s="1" t="s">
        <v>24</v>
      </c>
      <c r="AE4667" s="1" t="s">
        <v>24</v>
      </c>
      <c r="AF4667" s="22" t="s">
        <v>17678</v>
      </c>
    </row>
    <row r="4668" spans="1:32" x14ac:dyDescent="0.2">
      <c r="A4668" s="1">
        <v>42132</v>
      </c>
      <c r="B4668" s="1" t="s">
        <v>14219</v>
      </c>
      <c r="C4668" s="5" t="s">
        <v>0</v>
      </c>
      <c r="D4668" s="1" t="s">
        <v>14220</v>
      </c>
      <c r="F4668" s="1" t="s">
        <v>14216</v>
      </c>
      <c r="G4668" s="1" t="s">
        <v>14216</v>
      </c>
      <c r="H4668" s="1" t="s">
        <v>111</v>
      </c>
      <c r="I4668" s="1" t="s">
        <v>16</v>
      </c>
      <c r="J4668" s="1">
        <v>1</v>
      </c>
      <c r="K4668" s="1">
        <v>1</v>
      </c>
      <c r="L4668" s="1" t="s">
        <v>42</v>
      </c>
      <c r="M4668" s="1" t="s">
        <v>18</v>
      </c>
      <c r="N4668" s="1" t="s">
        <v>18</v>
      </c>
      <c r="O4668" s="1">
        <v>3</v>
      </c>
      <c r="P4668" s="1">
        <v>6</v>
      </c>
      <c r="R4668" s="1" t="s">
        <v>19</v>
      </c>
      <c r="S4668" s="1" t="s">
        <v>63</v>
      </c>
      <c r="T4668" s="1" t="s">
        <v>21</v>
      </c>
      <c r="U4668" s="1" t="s">
        <v>22</v>
      </c>
      <c r="V4668" s="1" t="s">
        <v>23</v>
      </c>
      <c r="W4668" s="1" t="s">
        <v>24</v>
      </c>
      <c r="X4668" s="1">
        <v>2802</v>
      </c>
      <c r="Y4668" s="1">
        <v>2805</v>
      </c>
      <c r="Z4668" s="1">
        <v>3206</v>
      </c>
      <c r="AA4668" s="1" t="s">
        <v>24</v>
      </c>
      <c r="AB4668" s="1" t="s">
        <v>24</v>
      </c>
      <c r="AC4668" s="1" t="s">
        <v>24</v>
      </c>
      <c r="AD4668" s="1" t="s">
        <v>24</v>
      </c>
      <c r="AE4668" s="1" t="s">
        <v>24</v>
      </c>
      <c r="AF4668" s="22" t="s">
        <v>17678</v>
      </c>
    </row>
    <row r="4669" spans="1:32" x14ac:dyDescent="0.2">
      <c r="A4669" s="1">
        <v>42133</v>
      </c>
      <c r="B4669" s="1" t="s">
        <v>14221</v>
      </c>
      <c r="C4669" s="5" t="s">
        <v>0</v>
      </c>
      <c r="D4669" s="1" t="s">
        <v>14222</v>
      </c>
      <c r="F4669" s="1" t="s">
        <v>14216</v>
      </c>
      <c r="G4669" s="1" t="s">
        <v>14216</v>
      </c>
      <c r="H4669" s="1" t="s">
        <v>111</v>
      </c>
      <c r="I4669" s="1" t="s">
        <v>16</v>
      </c>
      <c r="J4669" s="1">
        <v>1</v>
      </c>
      <c r="K4669" s="1">
        <v>12</v>
      </c>
      <c r="L4669" s="1" t="s">
        <v>42</v>
      </c>
      <c r="M4669" s="1" t="s">
        <v>18</v>
      </c>
      <c r="N4669" s="1" t="s">
        <v>18</v>
      </c>
      <c r="O4669" s="1">
        <v>3</v>
      </c>
      <c r="P4669" s="1">
        <v>6</v>
      </c>
      <c r="R4669" s="1" t="s">
        <v>19</v>
      </c>
      <c r="S4669" s="1" t="s">
        <v>63</v>
      </c>
      <c r="T4669" s="1" t="s">
        <v>21</v>
      </c>
      <c r="U4669" s="1" t="s">
        <v>22</v>
      </c>
      <c r="V4669" s="1" t="s">
        <v>24</v>
      </c>
      <c r="W4669" s="1" t="s">
        <v>24</v>
      </c>
      <c r="X4669" s="1">
        <v>2804</v>
      </c>
      <c r="Y4669" s="1" t="s">
        <v>24</v>
      </c>
      <c r="Z4669" s="1" t="s">
        <v>24</v>
      </c>
      <c r="AA4669" s="1" t="s">
        <v>24</v>
      </c>
      <c r="AB4669" s="1" t="s">
        <v>24</v>
      </c>
      <c r="AC4669" s="1" t="s">
        <v>24</v>
      </c>
      <c r="AD4669" s="1" t="s">
        <v>24</v>
      </c>
      <c r="AE4669" s="1" t="s">
        <v>24</v>
      </c>
      <c r="AF4669" s="22" t="s">
        <v>17678</v>
      </c>
    </row>
    <row r="4670" spans="1:32" x14ac:dyDescent="0.2">
      <c r="A4670" s="1">
        <v>42134</v>
      </c>
      <c r="B4670" s="1" t="s">
        <v>14223</v>
      </c>
      <c r="C4670" s="5" t="s">
        <v>0</v>
      </c>
      <c r="D4670" s="1" t="s">
        <v>14224</v>
      </c>
      <c r="F4670" s="1" t="s">
        <v>14216</v>
      </c>
      <c r="G4670" s="1" t="s">
        <v>14216</v>
      </c>
      <c r="H4670" s="1" t="s">
        <v>111</v>
      </c>
      <c r="I4670" s="1" t="s">
        <v>16</v>
      </c>
      <c r="J4670" s="1">
        <v>1</v>
      </c>
      <c r="K4670" s="1">
        <v>1</v>
      </c>
      <c r="L4670" s="1" t="s">
        <v>42</v>
      </c>
      <c r="M4670" s="1" t="s">
        <v>18</v>
      </c>
      <c r="N4670" s="1" t="s">
        <v>18</v>
      </c>
      <c r="O4670" s="1">
        <v>3</v>
      </c>
      <c r="P4670" s="1">
        <v>6</v>
      </c>
      <c r="R4670" s="1" t="s">
        <v>19</v>
      </c>
      <c r="S4670" s="1" t="s">
        <v>63</v>
      </c>
      <c r="T4670" s="1" t="s">
        <v>21</v>
      </c>
      <c r="U4670" s="1" t="s">
        <v>22</v>
      </c>
      <c r="V4670" s="1" t="s">
        <v>23</v>
      </c>
      <c r="W4670" s="1" t="s">
        <v>24</v>
      </c>
      <c r="X4670" s="1">
        <v>2738</v>
      </c>
      <c r="Y4670" s="1">
        <v>2808</v>
      </c>
      <c r="Z4670" s="1">
        <v>2803</v>
      </c>
      <c r="AA4670" s="1">
        <v>2802</v>
      </c>
      <c r="AB4670" s="1">
        <v>3206</v>
      </c>
      <c r="AC4670" s="1" t="s">
        <v>24</v>
      </c>
      <c r="AD4670" s="1" t="s">
        <v>24</v>
      </c>
      <c r="AE4670" s="1" t="s">
        <v>24</v>
      </c>
      <c r="AF4670" s="22" t="s">
        <v>17678</v>
      </c>
    </row>
    <row r="4671" spans="1:32" x14ac:dyDescent="0.2">
      <c r="A4671" s="1">
        <v>42135</v>
      </c>
      <c r="B4671" s="1" t="s">
        <v>14225</v>
      </c>
      <c r="C4671" s="5" t="s">
        <v>0</v>
      </c>
      <c r="D4671" s="1" t="s">
        <v>14226</v>
      </c>
      <c r="F4671" s="1" t="s">
        <v>14216</v>
      </c>
      <c r="G4671" s="1" t="s">
        <v>14216</v>
      </c>
      <c r="H4671" s="1" t="s">
        <v>111</v>
      </c>
      <c r="I4671" s="1" t="s">
        <v>16</v>
      </c>
      <c r="J4671" s="1">
        <v>1</v>
      </c>
      <c r="K4671" s="1">
        <v>4</v>
      </c>
      <c r="L4671" s="1" t="s">
        <v>42</v>
      </c>
      <c r="M4671" s="1" t="s">
        <v>18</v>
      </c>
      <c r="N4671" s="1" t="s">
        <v>18</v>
      </c>
      <c r="O4671" s="1">
        <v>3</v>
      </c>
      <c r="P4671" s="1">
        <v>6</v>
      </c>
      <c r="R4671" s="1" t="s">
        <v>19</v>
      </c>
      <c r="S4671" s="1" t="s">
        <v>63</v>
      </c>
      <c r="T4671" s="1" t="s">
        <v>21</v>
      </c>
      <c r="U4671" s="1" t="s">
        <v>22</v>
      </c>
      <c r="V4671" s="1" t="s">
        <v>24</v>
      </c>
      <c r="W4671" s="1" t="s">
        <v>24</v>
      </c>
      <c r="X4671" s="1">
        <v>2809</v>
      </c>
      <c r="Y4671" s="1">
        <v>2805</v>
      </c>
      <c r="Z4671" s="1">
        <v>2804</v>
      </c>
      <c r="AA4671" s="1" t="s">
        <v>24</v>
      </c>
      <c r="AB4671" s="1" t="s">
        <v>24</v>
      </c>
      <c r="AC4671" s="1" t="s">
        <v>24</v>
      </c>
      <c r="AD4671" s="1" t="s">
        <v>24</v>
      </c>
      <c r="AE4671" s="1" t="s">
        <v>24</v>
      </c>
      <c r="AF4671" s="22" t="s">
        <v>17678</v>
      </c>
    </row>
    <row r="4672" spans="1:32" x14ac:dyDescent="0.2">
      <c r="A4672" s="1">
        <v>42136</v>
      </c>
      <c r="B4672" s="1" t="s">
        <v>14227</v>
      </c>
      <c r="C4672" s="5" t="s">
        <v>0</v>
      </c>
      <c r="D4672" s="1" t="s">
        <v>14228</v>
      </c>
      <c r="F4672" s="1" t="s">
        <v>14216</v>
      </c>
      <c r="G4672" s="1" t="s">
        <v>14216</v>
      </c>
      <c r="H4672" s="1" t="s">
        <v>111</v>
      </c>
      <c r="I4672" s="1" t="s">
        <v>16</v>
      </c>
      <c r="J4672" s="1">
        <v>1</v>
      </c>
      <c r="K4672" s="1">
        <v>12</v>
      </c>
      <c r="L4672" s="1" t="s">
        <v>42</v>
      </c>
      <c r="M4672" s="1" t="s">
        <v>18</v>
      </c>
      <c r="N4672" s="1" t="s">
        <v>18</v>
      </c>
      <c r="O4672" s="1">
        <v>3</v>
      </c>
      <c r="P4672" s="1">
        <v>6</v>
      </c>
      <c r="R4672" s="1" t="s">
        <v>19</v>
      </c>
      <c r="S4672" s="1" t="s">
        <v>63</v>
      </c>
      <c r="T4672" s="1" t="s">
        <v>21</v>
      </c>
      <c r="U4672" s="1" t="s">
        <v>22</v>
      </c>
      <c r="V4672" s="1" t="s">
        <v>24</v>
      </c>
      <c r="W4672" s="1" t="s">
        <v>24</v>
      </c>
      <c r="X4672" s="1">
        <v>2804</v>
      </c>
      <c r="Y4672" s="1">
        <v>1312</v>
      </c>
      <c r="Z4672" s="1" t="s">
        <v>24</v>
      </c>
      <c r="AA4672" s="1" t="s">
        <v>24</v>
      </c>
      <c r="AB4672" s="1" t="s">
        <v>24</v>
      </c>
      <c r="AC4672" s="1" t="s">
        <v>24</v>
      </c>
      <c r="AD4672" s="1" t="s">
        <v>24</v>
      </c>
      <c r="AE4672" s="1" t="s">
        <v>24</v>
      </c>
      <c r="AF4672" s="22" t="s">
        <v>17678</v>
      </c>
    </row>
    <row r="4673" spans="1:32" x14ac:dyDescent="0.2">
      <c r="A4673" s="1">
        <v>42137</v>
      </c>
      <c r="B4673" s="1" t="s">
        <v>14229</v>
      </c>
      <c r="C4673" s="5" t="s">
        <v>0</v>
      </c>
      <c r="D4673" s="1" t="s">
        <v>14230</v>
      </c>
      <c r="F4673" s="1" t="s">
        <v>14216</v>
      </c>
      <c r="G4673" s="1" t="s">
        <v>14216</v>
      </c>
      <c r="H4673" s="1" t="s">
        <v>111</v>
      </c>
      <c r="I4673" s="1" t="s">
        <v>16</v>
      </c>
      <c r="J4673" s="1">
        <v>1</v>
      </c>
      <c r="K4673" s="1">
        <v>4</v>
      </c>
      <c r="L4673" s="1" t="s">
        <v>42</v>
      </c>
      <c r="M4673" s="1" t="s">
        <v>18</v>
      </c>
      <c r="N4673" s="1" t="s">
        <v>18</v>
      </c>
      <c r="O4673" s="1">
        <v>3</v>
      </c>
      <c r="P4673" s="1">
        <v>6</v>
      </c>
      <c r="R4673" s="1" t="s">
        <v>19</v>
      </c>
      <c r="S4673" s="1" t="s">
        <v>63</v>
      </c>
      <c r="T4673" s="1" t="s">
        <v>21</v>
      </c>
      <c r="U4673" s="1" t="s">
        <v>22</v>
      </c>
      <c r="V4673" s="1" t="s">
        <v>24</v>
      </c>
      <c r="W4673" s="1" t="s">
        <v>24</v>
      </c>
      <c r="X4673" s="1">
        <v>2801</v>
      </c>
      <c r="Y4673" s="1">
        <v>2804</v>
      </c>
      <c r="Z4673" s="1">
        <v>2809</v>
      </c>
      <c r="AA4673" s="1">
        <v>2805</v>
      </c>
      <c r="AB4673" s="1" t="s">
        <v>24</v>
      </c>
      <c r="AC4673" s="1" t="s">
        <v>24</v>
      </c>
      <c r="AD4673" s="1" t="s">
        <v>24</v>
      </c>
      <c r="AE4673" s="1" t="s">
        <v>24</v>
      </c>
      <c r="AF4673" s="22" t="s">
        <v>17678</v>
      </c>
    </row>
    <row r="4674" spans="1:32" x14ac:dyDescent="0.2">
      <c r="A4674" s="1">
        <v>42138</v>
      </c>
      <c r="B4674" s="1" t="s">
        <v>14231</v>
      </c>
      <c r="C4674" s="5" t="s">
        <v>0</v>
      </c>
      <c r="D4674" s="1" t="s">
        <v>14232</v>
      </c>
      <c r="F4674" s="1" t="s">
        <v>14216</v>
      </c>
      <c r="G4674" s="1" t="s">
        <v>14216</v>
      </c>
      <c r="H4674" s="1" t="s">
        <v>111</v>
      </c>
      <c r="I4674" s="1" t="s">
        <v>16</v>
      </c>
      <c r="J4674" s="1">
        <v>1</v>
      </c>
      <c r="K4674" s="1">
        <v>12</v>
      </c>
      <c r="L4674" s="1" t="s">
        <v>42</v>
      </c>
      <c r="M4674" s="1" t="s">
        <v>18</v>
      </c>
      <c r="N4674" s="1" t="s">
        <v>18</v>
      </c>
      <c r="O4674" s="1">
        <v>3</v>
      </c>
      <c r="P4674" s="1">
        <v>6</v>
      </c>
      <c r="R4674" s="1" t="s">
        <v>19</v>
      </c>
      <c r="S4674" s="1" t="s">
        <v>63</v>
      </c>
      <c r="T4674" s="1" t="s">
        <v>21</v>
      </c>
      <c r="U4674" s="1" t="s">
        <v>22</v>
      </c>
      <c r="V4674" s="1" t="s">
        <v>24</v>
      </c>
      <c r="W4674" s="1" t="s">
        <v>24</v>
      </c>
      <c r="X4674" s="1">
        <v>2702</v>
      </c>
      <c r="Y4674" s="1">
        <v>2801</v>
      </c>
      <c r="Z4674" s="1">
        <v>2804</v>
      </c>
      <c r="AA4674" s="1" t="s">
        <v>24</v>
      </c>
      <c r="AB4674" s="1" t="s">
        <v>24</v>
      </c>
      <c r="AC4674" s="1" t="s">
        <v>24</v>
      </c>
      <c r="AD4674" s="1" t="s">
        <v>24</v>
      </c>
      <c r="AE4674" s="1" t="s">
        <v>24</v>
      </c>
      <c r="AF4674" s="22" t="s">
        <v>17678</v>
      </c>
    </row>
    <row r="4675" spans="1:32" x14ac:dyDescent="0.2">
      <c r="A4675" s="1">
        <v>42139</v>
      </c>
      <c r="B4675" s="1" t="s">
        <v>14233</v>
      </c>
      <c r="C4675" s="5" t="s">
        <v>0</v>
      </c>
      <c r="D4675" s="1" t="s">
        <v>14234</v>
      </c>
      <c r="F4675" s="1" t="s">
        <v>14216</v>
      </c>
      <c r="G4675" s="1" t="s">
        <v>14216</v>
      </c>
      <c r="H4675" s="1" t="s">
        <v>111</v>
      </c>
      <c r="I4675" s="1" t="s">
        <v>16</v>
      </c>
      <c r="J4675" s="1">
        <v>1</v>
      </c>
      <c r="K4675" s="1">
        <v>12</v>
      </c>
      <c r="L4675" s="1" t="s">
        <v>42</v>
      </c>
      <c r="M4675" s="1" t="s">
        <v>18</v>
      </c>
      <c r="N4675" s="1" t="s">
        <v>18</v>
      </c>
      <c r="O4675" s="1">
        <v>3</v>
      </c>
      <c r="P4675" s="1">
        <v>6</v>
      </c>
      <c r="R4675" s="1" t="s">
        <v>19</v>
      </c>
      <c r="S4675" s="1" t="s">
        <v>63</v>
      </c>
      <c r="T4675" s="1" t="s">
        <v>21</v>
      </c>
      <c r="U4675" s="1" t="s">
        <v>22</v>
      </c>
      <c r="V4675" s="1" t="s">
        <v>24</v>
      </c>
      <c r="W4675" s="1" t="s">
        <v>24</v>
      </c>
      <c r="X4675" s="1">
        <v>2801</v>
      </c>
      <c r="Y4675" s="1">
        <v>2204</v>
      </c>
      <c r="Z4675" s="1">
        <v>1706</v>
      </c>
      <c r="AA4675" s="1" t="s">
        <v>24</v>
      </c>
      <c r="AB4675" s="1" t="s">
        <v>24</v>
      </c>
      <c r="AC4675" s="1" t="s">
        <v>24</v>
      </c>
      <c r="AD4675" s="1" t="s">
        <v>24</v>
      </c>
      <c r="AE4675" s="1" t="s">
        <v>24</v>
      </c>
      <c r="AF4675" s="22" t="s">
        <v>17678</v>
      </c>
    </row>
    <row r="4676" spans="1:32" x14ac:dyDescent="0.2">
      <c r="A4676" s="1">
        <v>42140</v>
      </c>
      <c r="B4676" s="1" t="s">
        <v>14235</v>
      </c>
      <c r="C4676" s="5" t="s">
        <v>0</v>
      </c>
      <c r="D4676" s="1" t="s">
        <v>14236</v>
      </c>
      <c r="F4676" s="1" t="s">
        <v>14216</v>
      </c>
      <c r="G4676" s="1" t="s">
        <v>14216</v>
      </c>
      <c r="H4676" s="1" t="s">
        <v>111</v>
      </c>
      <c r="I4676" s="1" t="s">
        <v>16</v>
      </c>
      <c r="J4676" s="1">
        <v>1</v>
      </c>
      <c r="K4676" s="1">
        <v>12</v>
      </c>
      <c r="L4676" s="1" t="s">
        <v>42</v>
      </c>
      <c r="M4676" s="1" t="s">
        <v>18</v>
      </c>
      <c r="N4676" s="1" t="s">
        <v>18</v>
      </c>
      <c r="O4676" s="1">
        <v>3</v>
      </c>
      <c r="P4676" s="1">
        <v>6</v>
      </c>
      <c r="R4676" s="1" t="s">
        <v>19</v>
      </c>
      <c r="S4676" s="1" t="s">
        <v>63</v>
      </c>
      <c r="T4676" s="1" t="s">
        <v>21</v>
      </c>
      <c r="U4676" s="1" t="s">
        <v>22</v>
      </c>
      <c r="V4676" s="1" t="s">
        <v>24</v>
      </c>
      <c r="W4676" s="1" t="s">
        <v>24</v>
      </c>
      <c r="X4676" s="1">
        <v>2801</v>
      </c>
      <c r="Y4676" s="1">
        <v>2804</v>
      </c>
      <c r="Z4676" s="1">
        <v>2805</v>
      </c>
      <c r="AA4676" s="1">
        <v>2806</v>
      </c>
      <c r="AB4676" s="1" t="s">
        <v>24</v>
      </c>
      <c r="AC4676" s="1" t="s">
        <v>24</v>
      </c>
      <c r="AD4676" s="1" t="s">
        <v>24</v>
      </c>
      <c r="AE4676" s="1" t="s">
        <v>24</v>
      </c>
      <c r="AF4676" s="22" t="s">
        <v>17678</v>
      </c>
    </row>
    <row r="4677" spans="1:32" x14ac:dyDescent="0.2">
      <c r="A4677" s="1">
        <v>42141</v>
      </c>
      <c r="B4677" s="1" t="s">
        <v>14237</v>
      </c>
      <c r="C4677" s="5" t="s">
        <v>0</v>
      </c>
      <c r="D4677" s="1" t="s">
        <v>14238</v>
      </c>
      <c r="F4677" s="1" t="s">
        <v>14239</v>
      </c>
      <c r="G4677" s="1" t="s">
        <v>14239</v>
      </c>
      <c r="H4677" s="1" t="s">
        <v>249</v>
      </c>
      <c r="I4677" s="1" t="s">
        <v>16</v>
      </c>
      <c r="J4677" s="1">
        <v>1</v>
      </c>
      <c r="K4677" s="1">
        <v>12</v>
      </c>
      <c r="L4677" s="1" t="s">
        <v>42</v>
      </c>
      <c r="M4677" s="1" t="s">
        <v>3290</v>
      </c>
      <c r="N4677" s="1" t="s">
        <v>3290</v>
      </c>
      <c r="O4677" s="1">
        <v>3</v>
      </c>
      <c r="P4677" s="1">
        <v>6</v>
      </c>
      <c r="R4677" s="1" t="s">
        <v>19</v>
      </c>
      <c r="S4677" s="1" t="s">
        <v>20</v>
      </c>
      <c r="T4677" s="1" t="s">
        <v>21</v>
      </c>
      <c r="U4677" s="1" t="s">
        <v>22</v>
      </c>
      <c r="V4677" s="1" t="s">
        <v>24</v>
      </c>
      <c r="W4677" s="1" t="s">
        <v>24</v>
      </c>
      <c r="X4677" s="1">
        <v>3003</v>
      </c>
      <c r="Y4677" s="1" t="s">
        <v>24</v>
      </c>
      <c r="Z4677" s="1" t="s">
        <v>24</v>
      </c>
      <c r="AA4677" s="1" t="s">
        <v>24</v>
      </c>
      <c r="AB4677" s="1" t="s">
        <v>24</v>
      </c>
      <c r="AC4677" s="1" t="s">
        <v>24</v>
      </c>
      <c r="AD4677" s="1" t="s">
        <v>24</v>
      </c>
      <c r="AE4677" s="1" t="s">
        <v>24</v>
      </c>
      <c r="AF4677" s="22"/>
    </row>
    <row r="4678" spans="1:32" x14ac:dyDescent="0.2">
      <c r="A4678" s="1">
        <v>42142</v>
      </c>
      <c r="B4678" s="1" t="s">
        <v>14240</v>
      </c>
      <c r="C4678" s="5" t="s">
        <v>0</v>
      </c>
      <c r="D4678" s="1" t="s">
        <v>14241</v>
      </c>
      <c r="E4678" s="1" t="s">
        <v>14242</v>
      </c>
      <c r="F4678" s="1" t="s">
        <v>14243</v>
      </c>
      <c r="G4678" s="1" t="s">
        <v>460</v>
      </c>
      <c r="H4678" s="1" t="s">
        <v>461</v>
      </c>
      <c r="I4678" s="1" t="s">
        <v>16</v>
      </c>
      <c r="J4678" s="1">
        <v>1</v>
      </c>
      <c r="K4678" s="1">
        <v>4</v>
      </c>
      <c r="L4678" s="1" t="s">
        <v>42</v>
      </c>
      <c r="M4678" s="1" t="s">
        <v>18</v>
      </c>
      <c r="N4678" s="1" t="s">
        <v>18</v>
      </c>
      <c r="O4678" s="1">
        <v>3</v>
      </c>
      <c r="P4678" s="1">
        <v>6</v>
      </c>
      <c r="R4678" s="1" t="s">
        <v>19</v>
      </c>
      <c r="S4678" s="1" t="s">
        <v>20</v>
      </c>
      <c r="T4678" s="1" t="s">
        <v>21</v>
      </c>
      <c r="U4678" s="1" t="s">
        <v>22</v>
      </c>
      <c r="V4678" s="1" t="s">
        <v>24</v>
      </c>
      <c r="W4678" s="1" t="s">
        <v>24</v>
      </c>
      <c r="X4678" s="1">
        <v>2739</v>
      </c>
      <c r="Y4678" s="1">
        <v>2725</v>
      </c>
      <c r="Z4678" s="1" t="s">
        <v>24</v>
      </c>
      <c r="AA4678" s="1" t="s">
        <v>24</v>
      </c>
      <c r="AB4678" s="1" t="s">
        <v>24</v>
      </c>
      <c r="AC4678" s="1" t="s">
        <v>24</v>
      </c>
      <c r="AD4678" s="1" t="s">
        <v>24</v>
      </c>
      <c r="AE4678" s="1" t="s">
        <v>24</v>
      </c>
      <c r="AF4678" s="22"/>
    </row>
    <row r="4679" spans="1:32" x14ac:dyDescent="0.2">
      <c r="A4679" s="1">
        <v>42144</v>
      </c>
      <c r="B4679" s="1" t="s">
        <v>14244</v>
      </c>
      <c r="C4679" s="5" t="s">
        <v>0</v>
      </c>
      <c r="D4679" s="1" t="s">
        <v>14245</v>
      </c>
      <c r="E4679" s="1" t="s">
        <v>14246</v>
      </c>
      <c r="F4679" s="1" t="s">
        <v>14247</v>
      </c>
      <c r="G4679" s="1" t="s">
        <v>14247</v>
      </c>
      <c r="H4679" s="1" t="s">
        <v>1384</v>
      </c>
      <c r="I4679" s="1" t="s">
        <v>16</v>
      </c>
      <c r="J4679" s="1">
        <v>1</v>
      </c>
      <c r="K4679" s="1">
        <v>4</v>
      </c>
      <c r="L4679" s="1" t="s">
        <v>42</v>
      </c>
      <c r="M4679" s="1" t="s">
        <v>1385</v>
      </c>
      <c r="N4679" s="1" t="s">
        <v>3142</v>
      </c>
      <c r="O4679" s="1">
        <v>3</v>
      </c>
      <c r="P4679" s="1">
        <v>5</v>
      </c>
      <c r="R4679" s="1" t="s">
        <v>19</v>
      </c>
      <c r="S4679" s="1" t="s">
        <v>20</v>
      </c>
      <c r="T4679" s="1" t="s">
        <v>21</v>
      </c>
      <c r="U4679" s="1" t="s">
        <v>22</v>
      </c>
      <c r="V4679" s="1" t="s">
        <v>24</v>
      </c>
      <c r="W4679" s="1" t="s">
        <v>24</v>
      </c>
      <c r="X4679" s="1">
        <v>2735</v>
      </c>
      <c r="Y4679" s="1" t="s">
        <v>24</v>
      </c>
      <c r="Z4679" s="1" t="s">
        <v>24</v>
      </c>
      <c r="AA4679" s="1" t="s">
        <v>24</v>
      </c>
      <c r="AB4679" s="1" t="s">
        <v>24</v>
      </c>
      <c r="AC4679" s="1" t="s">
        <v>24</v>
      </c>
      <c r="AD4679" s="1" t="s">
        <v>24</v>
      </c>
      <c r="AE4679" s="1" t="s">
        <v>24</v>
      </c>
      <c r="AF4679" s="22"/>
    </row>
    <row r="4680" spans="1:32" x14ac:dyDescent="0.2">
      <c r="A4680" s="1">
        <v>42145</v>
      </c>
      <c r="B4680" s="1" t="s">
        <v>14248</v>
      </c>
      <c r="C4680" s="5" t="s">
        <v>0</v>
      </c>
      <c r="D4680" s="1" t="s">
        <v>14249</v>
      </c>
      <c r="F4680" s="1" t="s">
        <v>14247</v>
      </c>
      <c r="G4680" s="1" t="s">
        <v>14247</v>
      </c>
      <c r="H4680" s="1" t="s">
        <v>1384</v>
      </c>
      <c r="I4680" s="1" t="s">
        <v>16</v>
      </c>
      <c r="J4680" s="1">
        <v>1</v>
      </c>
      <c r="K4680" s="1">
        <v>4</v>
      </c>
      <c r="L4680" s="1" t="s">
        <v>42</v>
      </c>
      <c r="M4680" s="1" t="s">
        <v>1385</v>
      </c>
      <c r="N4680" s="1" t="s">
        <v>3142</v>
      </c>
      <c r="O4680" s="1">
        <v>3</v>
      </c>
      <c r="P4680" s="1">
        <v>5</v>
      </c>
      <c r="R4680" s="1" t="s">
        <v>19</v>
      </c>
      <c r="S4680" s="1" t="s">
        <v>20</v>
      </c>
      <c r="T4680" s="1" t="s">
        <v>21</v>
      </c>
      <c r="U4680" s="1" t="s">
        <v>22</v>
      </c>
      <c r="V4680" s="1" t="s">
        <v>23</v>
      </c>
      <c r="W4680" s="1" t="s">
        <v>24</v>
      </c>
      <c r="X4680" s="1">
        <v>2729</v>
      </c>
      <c r="Y4680" s="1" t="s">
        <v>24</v>
      </c>
      <c r="Z4680" s="1" t="s">
        <v>24</v>
      </c>
      <c r="AA4680" s="1" t="s">
        <v>24</v>
      </c>
      <c r="AB4680" s="1" t="s">
        <v>24</v>
      </c>
      <c r="AC4680" s="1" t="s">
        <v>24</v>
      </c>
      <c r="AD4680" s="1" t="s">
        <v>24</v>
      </c>
      <c r="AE4680" s="1" t="s">
        <v>24</v>
      </c>
      <c r="AF4680" s="22"/>
    </row>
    <row r="4681" spans="1:32" x14ac:dyDescent="0.2">
      <c r="A4681" s="1">
        <v>42146</v>
      </c>
      <c r="B4681" s="1" t="s">
        <v>14250</v>
      </c>
      <c r="C4681" s="5" t="s">
        <v>0</v>
      </c>
      <c r="D4681" s="1" t="s">
        <v>14251</v>
      </c>
      <c r="E4681" s="1" t="s">
        <v>14252</v>
      </c>
      <c r="F4681" s="1" t="s">
        <v>14247</v>
      </c>
      <c r="G4681" s="1" t="s">
        <v>14247</v>
      </c>
      <c r="H4681" s="1" t="s">
        <v>1384</v>
      </c>
      <c r="I4681" s="1" t="s">
        <v>16</v>
      </c>
      <c r="J4681" s="1">
        <v>1</v>
      </c>
      <c r="K4681" s="1">
        <v>3</v>
      </c>
      <c r="L4681" s="1" t="s">
        <v>42</v>
      </c>
      <c r="M4681" s="1" t="s">
        <v>1385</v>
      </c>
      <c r="N4681" s="1" t="s">
        <v>3142</v>
      </c>
      <c r="O4681" s="1">
        <v>3</v>
      </c>
      <c r="P4681" s="1">
        <v>5</v>
      </c>
      <c r="R4681" s="1" t="s">
        <v>19</v>
      </c>
      <c r="S4681" s="1" t="s">
        <v>20</v>
      </c>
      <c r="T4681" s="1" t="s">
        <v>21</v>
      </c>
      <c r="U4681" s="1" t="s">
        <v>22</v>
      </c>
      <c r="V4681" s="1" t="s">
        <v>24</v>
      </c>
      <c r="W4681" s="1" t="s">
        <v>24</v>
      </c>
      <c r="X4681" s="1">
        <v>2708</v>
      </c>
      <c r="Y4681" s="1" t="s">
        <v>24</v>
      </c>
      <c r="Z4681" s="1" t="s">
        <v>24</v>
      </c>
      <c r="AA4681" s="1" t="s">
        <v>24</v>
      </c>
      <c r="AB4681" s="1" t="s">
        <v>24</v>
      </c>
      <c r="AC4681" s="1" t="s">
        <v>24</v>
      </c>
      <c r="AD4681" s="1" t="s">
        <v>24</v>
      </c>
      <c r="AE4681" s="1" t="s">
        <v>24</v>
      </c>
      <c r="AF4681" s="22"/>
    </row>
    <row r="4682" spans="1:32" x14ac:dyDescent="0.2">
      <c r="A4682" s="1">
        <v>42147</v>
      </c>
      <c r="B4682" s="1" t="s">
        <v>14253</v>
      </c>
      <c r="C4682" s="5" t="s">
        <v>0</v>
      </c>
      <c r="D4682" s="1" t="s">
        <v>14254</v>
      </c>
      <c r="F4682" s="1" t="s">
        <v>14247</v>
      </c>
      <c r="G4682" s="1" t="s">
        <v>14247</v>
      </c>
      <c r="H4682" s="1" t="s">
        <v>1384</v>
      </c>
      <c r="I4682" s="1" t="s">
        <v>16</v>
      </c>
      <c r="J4682" s="1">
        <v>1</v>
      </c>
      <c r="K4682" s="1">
        <v>3</v>
      </c>
      <c r="L4682" s="1" t="s">
        <v>42</v>
      </c>
      <c r="M4682" s="1" t="s">
        <v>1385</v>
      </c>
      <c r="N4682" s="1" t="s">
        <v>3142</v>
      </c>
      <c r="O4682" s="1">
        <v>3</v>
      </c>
      <c r="P4682" s="1">
        <v>5</v>
      </c>
      <c r="R4682" s="1" t="s">
        <v>19</v>
      </c>
      <c r="S4682" s="1" t="s">
        <v>20</v>
      </c>
      <c r="T4682" s="1" t="s">
        <v>21</v>
      </c>
      <c r="U4682" s="1" t="s">
        <v>22</v>
      </c>
      <c r="V4682" s="1" t="s">
        <v>24</v>
      </c>
      <c r="W4682" s="1" t="s">
        <v>24</v>
      </c>
      <c r="X4682" s="1">
        <v>2705</v>
      </c>
      <c r="Y4682" s="1" t="s">
        <v>24</v>
      </c>
      <c r="Z4682" s="1" t="s">
        <v>24</v>
      </c>
      <c r="AA4682" s="1" t="s">
        <v>24</v>
      </c>
      <c r="AB4682" s="1" t="s">
        <v>24</v>
      </c>
      <c r="AC4682" s="1" t="s">
        <v>24</v>
      </c>
      <c r="AD4682" s="1" t="s">
        <v>24</v>
      </c>
      <c r="AE4682" s="1" t="s">
        <v>24</v>
      </c>
      <c r="AF4682" s="22"/>
    </row>
    <row r="4683" spans="1:32" x14ac:dyDescent="0.2">
      <c r="A4683" s="1">
        <v>42148</v>
      </c>
      <c r="B4683" s="1" t="s">
        <v>14255</v>
      </c>
      <c r="C4683" s="5" t="s">
        <v>0</v>
      </c>
      <c r="D4683" s="1" t="s">
        <v>14256</v>
      </c>
      <c r="E4683" s="1" t="s">
        <v>14257</v>
      </c>
      <c r="F4683" s="1" t="s">
        <v>14258</v>
      </c>
      <c r="G4683" s="1" t="s">
        <v>14258</v>
      </c>
      <c r="H4683" s="1" t="s">
        <v>2772</v>
      </c>
      <c r="I4683" s="1" t="s">
        <v>16</v>
      </c>
      <c r="J4683" s="1">
        <v>1</v>
      </c>
      <c r="K4683" s="1">
        <v>6</v>
      </c>
      <c r="L4683" s="1" t="s">
        <v>42</v>
      </c>
      <c r="M4683" s="1" t="s">
        <v>6208</v>
      </c>
      <c r="N4683" s="1" t="s">
        <v>4976</v>
      </c>
      <c r="O4683" s="1">
        <v>2</v>
      </c>
      <c r="P4683" s="1">
        <v>5</v>
      </c>
      <c r="R4683" s="1" t="s">
        <v>19</v>
      </c>
      <c r="S4683" s="1" t="s">
        <v>20</v>
      </c>
      <c r="T4683" s="1" t="s">
        <v>21</v>
      </c>
      <c r="U4683" s="1" t="s">
        <v>22</v>
      </c>
      <c r="V4683" s="1" t="s">
        <v>23</v>
      </c>
      <c r="W4683" s="1" t="s">
        <v>24</v>
      </c>
      <c r="X4683" s="1">
        <v>2703</v>
      </c>
      <c r="Y4683" s="1" t="s">
        <v>24</v>
      </c>
      <c r="Z4683" s="1" t="s">
        <v>24</v>
      </c>
      <c r="AA4683" s="1" t="s">
        <v>24</v>
      </c>
      <c r="AB4683" s="1" t="s">
        <v>24</v>
      </c>
      <c r="AC4683" s="1" t="s">
        <v>24</v>
      </c>
      <c r="AD4683" s="1" t="s">
        <v>24</v>
      </c>
      <c r="AE4683" s="1" t="s">
        <v>24</v>
      </c>
      <c r="AF4683" s="22"/>
    </row>
    <row r="4684" spans="1:32" x14ac:dyDescent="0.2">
      <c r="A4684" s="1">
        <v>42149</v>
      </c>
      <c r="B4684" s="1" t="s">
        <v>14259</v>
      </c>
      <c r="C4684" s="5" t="s">
        <v>0</v>
      </c>
      <c r="D4684" s="1" t="s">
        <v>14260</v>
      </c>
      <c r="F4684" s="1" t="s">
        <v>14261</v>
      </c>
      <c r="G4684" s="1" t="s">
        <v>14261</v>
      </c>
      <c r="H4684" s="1" t="s">
        <v>1957</v>
      </c>
      <c r="I4684" s="1" t="s">
        <v>16</v>
      </c>
      <c r="J4684" s="1">
        <v>1</v>
      </c>
      <c r="K4684" s="1">
        <v>4</v>
      </c>
      <c r="L4684" s="1" t="s">
        <v>42</v>
      </c>
      <c r="M4684" s="1" t="s">
        <v>10391</v>
      </c>
      <c r="N4684" s="1" t="s">
        <v>10392</v>
      </c>
      <c r="O4684" s="1">
        <v>3</v>
      </c>
      <c r="P4684" s="1">
        <v>5</v>
      </c>
      <c r="R4684" s="1" t="s">
        <v>19</v>
      </c>
      <c r="S4684" s="1" t="s">
        <v>20</v>
      </c>
      <c r="T4684" s="1" t="s">
        <v>21</v>
      </c>
      <c r="U4684" s="1" t="s">
        <v>22</v>
      </c>
      <c r="V4684" s="1" t="s">
        <v>24</v>
      </c>
      <c r="W4684" s="1" t="s">
        <v>24</v>
      </c>
      <c r="X4684" s="1">
        <v>2700</v>
      </c>
      <c r="Y4684" s="1" t="s">
        <v>24</v>
      </c>
      <c r="Z4684" s="1" t="s">
        <v>24</v>
      </c>
      <c r="AA4684" s="1" t="s">
        <v>24</v>
      </c>
      <c r="AB4684" s="1" t="s">
        <v>24</v>
      </c>
      <c r="AC4684" s="1" t="s">
        <v>24</v>
      </c>
      <c r="AD4684" s="1" t="s">
        <v>24</v>
      </c>
      <c r="AE4684" s="1" t="s">
        <v>24</v>
      </c>
      <c r="AF4684" s="22"/>
    </row>
    <row r="4685" spans="1:32" x14ac:dyDescent="0.2">
      <c r="A4685" s="1">
        <v>42150</v>
      </c>
      <c r="B4685" s="1" t="s">
        <v>14262</v>
      </c>
      <c r="C4685" s="5" t="s">
        <v>0</v>
      </c>
      <c r="D4685" s="1" t="s">
        <v>14263</v>
      </c>
      <c r="E4685" s="1" t="s">
        <v>14264</v>
      </c>
      <c r="F4685" s="1" t="s">
        <v>14265</v>
      </c>
      <c r="G4685" s="1" t="s">
        <v>14265</v>
      </c>
      <c r="H4685" s="1" t="s">
        <v>30</v>
      </c>
      <c r="I4685" s="1" t="s">
        <v>16</v>
      </c>
      <c r="J4685" s="1">
        <v>1</v>
      </c>
      <c r="K4685" s="1">
        <v>6</v>
      </c>
      <c r="L4685" s="1" t="s">
        <v>42</v>
      </c>
      <c r="M4685" s="1" t="s">
        <v>18</v>
      </c>
      <c r="N4685" s="1" t="s">
        <v>18</v>
      </c>
      <c r="O4685" s="1">
        <v>3</v>
      </c>
      <c r="P4685" s="1">
        <v>6</v>
      </c>
      <c r="R4685" s="1" t="s">
        <v>19</v>
      </c>
      <c r="S4685" s="1" t="s">
        <v>20</v>
      </c>
      <c r="T4685" s="1" t="s">
        <v>21</v>
      </c>
      <c r="U4685" s="1" t="s">
        <v>22</v>
      </c>
      <c r="V4685" s="1" t="s">
        <v>24</v>
      </c>
      <c r="W4685" s="1" t="s">
        <v>24</v>
      </c>
      <c r="X4685" s="1">
        <v>3001</v>
      </c>
      <c r="Y4685" s="1">
        <v>1403</v>
      </c>
      <c r="Z4685" s="1">
        <v>1801</v>
      </c>
      <c r="AA4685" s="1" t="s">
        <v>24</v>
      </c>
      <c r="AB4685" s="1" t="s">
        <v>24</v>
      </c>
      <c r="AC4685" s="1" t="s">
        <v>24</v>
      </c>
      <c r="AD4685" s="1" t="s">
        <v>24</v>
      </c>
      <c r="AE4685" s="1" t="s">
        <v>24</v>
      </c>
      <c r="AF4685" s="22"/>
    </row>
    <row r="4686" spans="1:32" x14ac:dyDescent="0.2">
      <c r="A4686" s="1">
        <v>42151</v>
      </c>
      <c r="B4686" s="1" t="s">
        <v>14266</v>
      </c>
      <c r="C4686" s="5" t="s">
        <v>0</v>
      </c>
      <c r="D4686" s="1" t="s">
        <v>14267</v>
      </c>
      <c r="F4686" s="1" t="s">
        <v>14268</v>
      </c>
      <c r="G4686" s="1" t="s">
        <v>14269</v>
      </c>
      <c r="H4686" s="1" t="s">
        <v>135</v>
      </c>
      <c r="I4686" s="1" t="s">
        <v>16</v>
      </c>
      <c r="J4686" s="1">
        <v>1</v>
      </c>
      <c r="K4686" s="1">
        <v>4</v>
      </c>
      <c r="L4686" s="1" t="s">
        <v>31</v>
      </c>
      <c r="M4686" s="1" t="s">
        <v>1131</v>
      </c>
      <c r="N4686" s="1" t="s">
        <v>5887</v>
      </c>
      <c r="O4686" s="1">
        <v>3</v>
      </c>
      <c r="P4686" s="1">
        <v>6</v>
      </c>
      <c r="R4686" s="1" t="s">
        <v>19</v>
      </c>
      <c r="S4686" s="1" t="s">
        <v>20</v>
      </c>
      <c r="T4686" s="1" t="s">
        <v>21</v>
      </c>
      <c r="U4686" s="1" t="s">
        <v>22</v>
      </c>
      <c r="V4686" s="1" t="s">
        <v>24</v>
      </c>
      <c r="W4686" s="1" t="s">
        <v>24</v>
      </c>
      <c r="X4686" s="1">
        <v>2403</v>
      </c>
      <c r="Y4686" s="1">
        <v>2405</v>
      </c>
      <c r="Z4686" s="1">
        <v>2725</v>
      </c>
      <c r="AA4686" s="1" t="s">
        <v>24</v>
      </c>
      <c r="AB4686" s="1" t="s">
        <v>24</v>
      </c>
      <c r="AC4686" s="1" t="s">
        <v>24</v>
      </c>
      <c r="AD4686" s="1" t="s">
        <v>24</v>
      </c>
      <c r="AE4686" s="1" t="s">
        <v>24</v>
      </c>
      <c r="AF4686" s="22"/>
    </row>
    <row r="4687" spans="1:32" x14ac:dyDescent="0.2">
      <c r="A4687" s="1">
        <v>42153</v>
      </c>
      <c r="B4687" s="1" t="s">
        <v>14270</v>
      </c>
      <c r="C4687" s="5" t="s">
        <v>0</v>
      </c>
      <c r="D4687" s="1" t="s">
        <v>14271</v>
      </c>
      <c r="E4687" s="1" t="s">
        <v>14272</v>
      </c>
      <c r="F4687" s="1" t="s">
        <v>14273</v>
      </c>
      <c r="G4687" s="1" t="s">
        <v>14273</v>
      </c>
      <c r="H4687" s="1" t="s">
        <v>135</v>
      </c>
      <c r="I4687" s="1" t="s">
        <v>16</v>
      </c>
      <c r="J4687" s="1">
        <v>1</v>
      </c>
      <c r="K4687" s="1">
        <v>4</v>
      </c>
      <c r="L4687" s="1" t="s">
        <v>42</v>
      </c>
      <c r="M4687" s="1" t="s">
        <v>1131</v>
      </c>
      <c r="N4687" s="1" t="s">
        <v>5887</v>
      </c>
      <c r="O4687" s="1">
        <v>3</v>
      </c>
      <c r="P4687" s="1">
        <v>5</v>
      </c>
      <c r="R4687" s="1" t="s">
        <v>19</v>
      </c>
      <c r="S4687" s="1" t="s">
        <v>20</v>
      </c>
      <c r="T4687" s="1" t="s">
        <v>21</v>
      </c>
      <c r="U4687" s="1" t="s">
        <v>22</v>
      </c>
      <c r="V4687" s="1" t="s">
        <v>24</v>
      </c>
      <c r="W4687" s="1" t="s">
        <v>24</v>
      </c>
      <c r="X4687" s="1">
        <v>2705</v>
      </c>
      <c r="Y4687" s="1" t="s">
        <v>24</v>
      </c>
      <c r="Z4687" s="1" t="s">
        <v>24</v>
      </c>
      <c r="AA4687" s="1" t="s">
        <v>24</v>
      </c>
      <c r="AB4687" s="1" t="s">
        <v>24</v>
      </c>
      <c r="AC4687" s="1" t="s">
        <v>24</v>
      </c>
      <c r="AD4687" s="1" t="s">
        <v>24</v>
      </c>
      <c r="AE4687" s="1" t="s">
        <v>24</v>
      </c>
      <c r="AF4687" s="22"/>
    </row>
    <row r="4688" spans="1:32" x14ac:dyDescent="0.2">
      <c r="A4688" s="1">
        <v>42154</v>
      </c>
      <c r="B4688" s="1" t="s">
        <v>14274</v>
      </c>
      <c r="C4688" s="5" t="s">
        <v>0</v>
      </c>
      <c r="D4688" s="1" t="s">
        <v>14275</v>
      </c>
      <c r="F4688" s="1" t="s">
        <v>14276</v>
      </c>
      <c r="G4688" s="1" t="s">
        <v>14276</v>
      </c>
      <c r="H4688" s="1" t="s">
        <v>899</v>
      </c>
      <c r="I4688" s="1" t="s">
        <v>16</v>
      </c>
      <c r="J4688" s="1">
        <v>1</v>
      </c>
      <c r="K4688" s="1">
        <v>12</v>
      </c>
      <c r="L4688" s="1" t="s">
        <v>42</v>
      </c>
      <c r="M4688" s="1" t="s">
        <v>18</v>
      </c>
      <c r="N4688" s="1" t="s">
        <v>18</v>
      </c>
      <c r="O4688" s="1">
        <v>3</v>
      </c>
      <c r="P4688" s="1">
        <v>6</v>
      </c>
      <c r="R4688" s="1" t="s">
        <v>19</v>
      </c>
      <c r="S4688" s="1" t="s">
        <v>20</v>
      </c>
      <c r="T4688" s="1" t="s">
        <v>21</v>
      </c>
      <c r="U4688" s="1" t="s">
        <v>22</v>
      </c>
      <c r="V4688" s="1" t="s">
        <v>24</v>
      </c>
      <c r="W4688" s="1" t="s">
        <v>24</v>
      </c>
      <c r="X4688" s="1">
        <v>3003</v>
      </c>
      <c r="Y4688" s="1" t="s">
        <v>24</v>
      </c>
      <c r="Z4688" s="1" t="s">
        <v>24</v>
      </c>
      <c r="AA4688" s="1" t="s">
        <v>24</v>
      </c>
      <c r="AB4688" s="1" t="s">
        <v>24</v>
      </c>
      <c r="AC4688" s="1" t="s">
        <v>24</v>
      </c>
      <c r="AD4688" s="1" t="s">
        <v>24</v>
      </c>
      <c r="AE4688" s="1" t="s">
        <v>24</v>
      </c>
      <c r="AF4688" s="22"/>
    </row>
    <row r="4689" spans="1:32" x14ac:dyDescent="0.2">
      <c r="A4689" s="1">
        <v>42155</v>
      </c>
      <c r="B4689" s="1" t="s">
        <v>14277</v>
      </c>
      <c r="C4689" s="5" t="s">
        <v>0</v>
      </c>
      <c r="D4689" s="1" t="s">
        <v>14278</v>
      </c>
      <c r="F4689" s="1" t="s">
        <v>14279</v>
      </c>
      <c r="G4689" s="1" t="s">
        <v>14279</v>
      </c>
      <c r="H4689" s="1" t="s">
        <v>8248</v>
      </c>
      <c r="I4689" s="1" t="s">
        <v>16</v>
      </c>
      <c r="J4689" s="1">
        <v>1</v>
      </c>
      <c r="K4689" s="1">
        <v>2</v>
      </c>
      <c r="L4689" s="1" t="s">
        <v>42</v>
      </c>
      <c r="M4689" s="1" t="s">
        <v>18</v>
      </c>
      <c r="N4689" s="1" t="s">
        <v>18</v>
      </c>
      <c r="O4689" s="1">
        <v>3</v>
      </c>
      <c r="P4689" s="1">
        <v>6</v>
      </c>
      <c r="R4689" s="1" t="s">
        <v>19</v>
      </c>
      <c r="S4689" s="1" t="s">
        <v>20</v>
      </c>
      <c r="T4689" s="1" t="s">
        <v>21</v>
      </c>
      <c r="U4689" s="1" t="s">
        <v>22</v>
      </c>
      <c r="V4689" s="1" t="s">
        <v>24</v>
      </c>
      <c r="W4689" s="1" t="s">
        <v>24</v>
      </c>
      <c r="X4689" s="1">
        <v>2725</v>
      </c>
      <c r="Y4689" s="1" t="s">
        <v>24</v>
      </c>
      <c r="Z4689" s="1" t="s">
        <v>24</v>
      </c>
      <c r="AA4689" s="1" t="s">
        <v>24</v>
      </c>
      <c r="AB4689" s="1" t="s">
        <v>24</v>
      </c>
      <c r="AC4689" s="1" t="s">
        <v>24</v>
      </c>
      <c r="AD4689" s="1" t="s">
        <v>24</v>
      </c>
      <c r="AE4689" s="1" t="s">
        <v>24</v>
      </c>
      <c r="AF4689" s="22"/>
    </row>
    <row r="4690" spans="1:32" x14ac:dyDescent="0.2">
      <c r="A4690" s="1">
        <v>42156</v>
      </c>
      <c r="B4690" s="1" t="s">
        <v>14280</v>
      </c>
      <c r="C4690" s="5" t="s">
        <v>0</v>
      </c>
      <c r="D4690" s="1" t="s">
        <v>14281</v>
      </c>
      <c r="E4690" s="1" t="s">
        <v>14282</v>
      </c>
      <c r="F4690" s="1" t="s">
        <v>1949</v>
      </c>
      <c r="G4690" s="1" t="s">
        <v>1949</v>
      </c>
      <c r="H4690" s="1" t="s">
        <v>684</v>
      </c>
      <c r="I4690" s="1" t="s">
        <v>16</v>
      </c>
      <c r="J4690" s="1">
        <v>1</v>
      </c>
      <c r="K4690" s="1">
        <v>2</v>
      </c>
      <c r="L4690" s="1" t="s">
        <v>42</v>
      </c>
      <c r="M4690" s="1" t="s">
        <v>18</v>
      </c>
      <c r="N4690" s="1" t="s">
        <v>18</v>
      </c>
      <c r="O4690" s="1">
        <v>3</v>
      </c>
      <c r="P4690" s="1">
        <v>6</v>
      </c>
      <c r="R4690" s="1" t="s">
        <v>19</v>
      </c>
      <c r="S4690" s="1" t="s">
        <v>20</v>
      </c>
      <c r="T4690" s="1" t="s">
        <v>21</v>
      </c>
      <c r="U4690" s="1" t="s">
        <v>22</v>
      </c>
      <c r="V4690" s="1" t="s">
        <v>24</v>
      </c>
      <c r="W4690" s="1" t="s">
        <v>24</v>
      </c>
      <c r="X4690" s="1">
        <v>2705</v>
      </c>
      <c r="Y4690" s="1" t="s">
        <v>24</v>
      </c>
      <c r="Z4690" s="1" t="s">
        <v>24</v>
      </c>
      <c r="AA4690" s="1" t="s">
        <v>24</v>
      </c>
      <c r="AB4690" s="1" t="s">
        <v>24</v>
      </c>
      <c r="AC4690" s="1" t="s">
        <v>24</v>
      </c>
      <c r="AD4690" s="1" t="s">
        <v>24</v>
      </c>
      <c r="AE4690" s="1" t="s">
        <v>24</v>
      </c>
      <c r="AF4690" s="22"/>
    </row>
    <row r="4691" spans="1:32" x14ac:dyDescent="0.2">
      <c r="A4691" s="1">
        <v>42158</v>
      </c>
      <c r="B4691" s="1" t="s">
        <v>14283</v>
      </c>
      <c r="C4691" s="5" t="s">
        <v>0</v>
      </c>
      <c r="D4691" s="1" t="s">
        <v>14284</v>
      </c>
      <c r="E4691" s="1" t="s">
        <v>14285</v>
      </c>
      <c r="F4691" s="1" t="s">
        <v>1949</v>
      </c>
      <c r="G4691" s="1" t="s">
        <v>1949</v>
      </c>
      <c r="H4691" s="1" t="s">
        <v>684</v>
      </c>
      <c r="I4691" s="1" t="s">
        <v>16</v>
      </c>
      <c r="J4691" s="1">
        <v>1</v>
      </c>
      <c r="K4691" s="1">
        <v>2</v>
      </c>
      <c r="L4691" s="1" t="s">
        <v>42</v>
      </c>
      <c r="M4691" s="1" t="s">
        <v>18</v>
      </c>
      <c r="N4691" s="1" t="s">
        <v>18</v>
      </c>
      <c r="O4691" s="1">
        <v>3</v>
      </c>
      <c r="P4691" s="1">
        <v>6</v>
      </c>
      <c r="R4691" s="1" t="s">
        <v>19</v>
      </c>
      <c r="S4691" s="1" t="s">
        <v>63</v>
      </c>
      <c r="T4691" s="1" t="s">
        <v>21</v>
      </c>
      <c r="U4691" s="1" t="s">
        <v>22</v>
      </c>
      <c r="V4691" s="1" t="s">
        <v>24</v>
      </c>
      <c r="W4691" s="1" t="s">
        <v>24</v>
      </c>
      <c r="X4691" s="1">
        <v>2728</v>
      </c>
      <c r="Y4691" s="1" t="s">
        <v>24</v>
      </c>
      <c r="Z4691" s="1" t="s">
        <v>24</v>
      </c>
      <c r="AA4691" s="1" t="s">
        <v>24</v>
      </c>
      <c r="AB4691" s="1" t="s">
        <v>24</v>
      </c>
      <c r="AC4691" s="1" t="s">
        <v>24</v>
      </c>
      <c r="AD4691" s="1" t="s">
        <v>24</v>
      </c>
      <c r="AE4691" s="1" t="s">
        <v>24</v>
      </c>
      <c r="AF4691" s="22"/>
    </row>
    <row r="4692" spans="1:32" x14ac:dyDescent="0.2">
      <c r="A4692" s="1">
        <v>42159</v>
      </c>
      <c r="B4692" s="1" t="s">
        <v>14286</v>
      </c>
      <c r="C4692" s="5" t="s">
        <v>0</v>
      </c>
      <c r="D4692" s="1" t="s">
        <v>14287</v>
      </c>
      <c r="E4692" s="1" t="s">
        <v>14288</v>
      </c>
      <c r="F4692" s="1" t="s">
        <v>1949</v>
      </c>
      <c r="G4692" s="1" t="s">
        <v>1949</v>
      </c>
      <c r="H4692" s="1" t="s">
        <v>684</v>
      </c>
      <c r="I4692" s="1" t="s">
        <v>16</v>
      </c>
      <c r="J4692" s="1">
        <v>1</v>
      </c>
      <c r="K4692" s="1">
        <v>4</v>
      </c>
      <c r="L4692" s="1" t="s">
        <v>42</v>
      </c>
      <c r="M4692" s="1" t="s">
        <v>18</v>
      </c>
      <c r="N4692" s="1" t="s">
        <v>18</v>
      </c>
      <c r="O4692" s="1">
        <v>3</v>
      </c>
      <c r="P4692" s="1">
        <v>6</v>
      </c>
      <c r="R4692" s="1" t="s">
        <v>19</v>
      </c>
      <c r="S4692" s="1" t="s">
        <v>63</v>
      </c>
      <c r="T4692" s="1" t="s">
        <v>21</v>
      </c>
      <c r="U4692" s="1" t="s">
        <v>22</v>
      </c>
      <c r="V4692" s="1" t="s">
        <v>24</v>
      </c>
      <c r="W4692" s="1" t="s">
        <v>24</v>
      </c>
      <c r="X4692" s="1">
        <v>2730</v>
      </c>
      <c r="Y4692" s="1">
        <v>2722</v>
      </c>
      <c r="Z4692" s="1" t="s">
        <v>24</v>
      </c>
      <c r="AA4692" s="1" t="s">
        <v>24</v>
      </c>
      <c r="AB4692" s="1" t="s">
        <v>24</v>
      </c>
      <c r="AC4692" s="1" t="s">
        <v>24</v>
      </c>
      <c r="AD4692" s="1" t="s">
        <v>24</v>
      </c>
      <c r="AE4692" s="1" t="s">
        <v>24</v>
      </c>
      <c r="AF4692" s="22"/>
    </row>
    <row r="4693" spans="1:32" x14ac:dyDescent="0.2">
      <c r="A4693" s="1">
        <v>42160</v>
      </c>
      <c r="B4693" s="1" t="s">
        <v>14289</v>
      </c>
      <c r="C4693" s="5" t="s">
        <v>0</v>
      </c>
      <c r="D4693" s="1" t="s">
        <v>14290</v>
      </c>
      <c r="E4693" s="1" t="s">
        <v>14291</v>
      </c>
      <c r="F4693" s="1" t="s">
        <v>1949</v>
      </c>
      <c r="G4693" s="1" t="s">
        <v>1949</v>
      </c>
      <c r="H4693" s="1" t="s">
        <v>684</v>
      </c>
      <c r="I4693" s="1" t="s">
        <v>16</v>
      </c>
      <c r="J4693" s="1">
        <v>1</v>
      </c>
      <c r="K4693" s="1">
        <v>1</v>
      </c>
      <c r="L4693" s="1" t="s">
        <v>42</v>
      </c>
      <c r="M4693" s="1" t="s">
        <v>18</v>
      </c>
      <c r="N4693" s="1" t="s">
        <v>18</v>
      </c>
      <c r="O4693" s="1">
        <v>3</v>
      </c>
      <c r="P4693" s="1">
        <v>6</v>
      </c>
      <c r="R4693" s="1" t="s">
        <v>19</v>
      </c>
      <c r="S4693" s="1" t="s">
        <v>20</v>
      </c>
      <c r="T4693" s="1" t="s">
        <v>21</v>
      </c>
      <c r="U4693" s="1" t="s">
        <v>22</v>
      </c>
      <c r="V4693" s="1" t="s">
        <v>23</v>
      </c>
      <c r="W4693" s="1" t="s">
        <v>24</v>
      </c>
      <c r="X4693" s="1">
        <v>2745</v>
      </c>
      <c r="Y4693" s="1">
        <v>2403</v>
      </c>
      <c r="Z4693" s="1" t="s">
        <v>24</v>
      </c>
      <c r="AA4693" s="1" t="s">
        <v>24</v>
      </c>
      <c r="AB4693" s="1" t="s">
        <v>24</v>
      </c>
      <c r="AC4693" s="1" t="s">
        <v>24</v>
      </c>
      <c r="AD4693" s="1" t="s">
        <v>24</v>
      </c>
      <c r="AE4693" s="1" t="s">
        <v>24</v>
      </c>
      <c r="AF4693" s="22"/>
    </row>
    <row r="4694" spans="1:32" x14ac:dyDescent="0.2">
      <c r="A4694" s="1">
        <v>42161</v>
      </c>
      <c r="B4694" s="1" t="s">
        <v>14292</v>
      </c>
      <c r="C4694" s="5" t="s">
        <v>0</v>
      </c>
      <c r="D4694" s="1" t="s">
        <v>14293</v>
      </c>
      <c r="F4694" s="1" t="s">
        <v>14294</v>
      </c>
      <c r="G4694" s="1" t="s">
        <v>14295</v>
      </c>
      <c r="H4694" s="1" t="s">
        <v>8248</v>
      </c>
      <c r="I4694" s="1" t="s">
        <v>16</v>
      </c>
      <c r="J4694" s="1">
        <v>1</v>
      </c>
      <c r="K4694" s="1">
        <v>1</v>
      </c>
      <c r="L4694" s="1" t="s">
        <v>42</v>
      </c>
      <c r="M4694" s="1" t="s">
        <v>18</v>
      </c>
      <c r="N4694" s="1" t="s">
        <v>18</v>
      </c>
      <c r="O4694" s="1">
        <v>2</v>
      </c>
      <c r="P4694" s="1">
        <v>6</v>
      </c>
      <c r="R4694" s="1" t="s">
        <v>19</v>
      </c>
      <c r="S4694" s="1" t="s">
        <v>20</v>
      </c>
      <c r="T4694" s="1" t="s">
        <v>21</v>
      </c>
      <c r="U4694" s="1" t="s">
        <v>22</v>
      </c>
      <c r="V4694" s="1" t="s">
        <v>23</v>
      </c>
      <c r="W4694" s="1" t="s">
        <v>24</v>
      </c>
      <c r="X4694" s="1">
        <v>2700</v>
      </c>
      <c r="Y4694" s="1" t="s">
        <v>24</v>
      </c>
      <c r="Z4694" s="1" t="s">
        <v>24</v>
      </c>
      <c r="AA4694" s="1" t="s">
        <v>24</v>
      </c>
      <c r="AB4694" s="1" t="s">
        <v>24</v>
      </c>
      <c r="AC4694" s="1" t="s">
        <v>24</v>
      </c>
      <c r="AD4694" s="1" t="s">
        <v>24</v>
      </c>
      <c r="AE4694" s="1" t="s">
        <v>24</v>
      </c>
      <c r="AF4694" s="22"/>
    </row>
    <row r="4695" spans="1:32" x14ac:dyDescent="0.2">
      <c r="A4695" s="1">
        <v>42162</v>
      </c>
      <c r="B4695" s="1" t="s">
        <v>14296</v>
      </c>
      <c r="C4695" s="5" t="s">
        <v>0</v>
      </c>
      <c r="D4695" s="1" t="s">
        <v>14297</v>
      </c>
      <c r="E4695" s="1" t="s">
        <v>14298</v>
      </c>
      <c r="F4695" s="1" t="s">
        <v>13365</v>
      </c>
      <c r="G4695" s="1" t="s">
        <v>13365</v>
      </c>
      <c r="H4695" s="1" t="s">
        <v>684</v>
      </c>
      <c r="I4695" s="1" t="s">
        <v>112</v>
      </c>
      <c r="J4695" s="1">
        <v>1</v>
      </c>
      <c r="K4695" s="1">
        <v>4</v>
      </c>
      <c r="L4695" s="1" t="s">
        <v>42</v>
      </c>
      <c r="M4695" s="1" t="s">
        <v>18</v>
      </c>
      <c r="N4695" s="1" t="s">
        <v>18</v>
      </c>
      <c r="O4695" s="1">
        <v>3</v>
      </c>
      <c r="P4695" s="1">
        <v>6</v>
      </c>
      <c r="R4695" s="1" t="s">
        <v>19</v>
      </c>
      <c r="S4695" s="1" t="s">
        <v>20</v>
      </c>
      <c r="T4695" s="1" t="s">
        <v>21</v>
      </c>
      <c r="U4695" s="1" t="s">
        <v>22</v>
      </c>
      <c r="V4695" s="1" t="s">
        <v>23</v>
      </c>
      <c r="W4695" s="1" t="s">
        <v>24</v>
      </c>
      <c r="X4695" s="1">
        <v>2738</v>
      </c>
      <c r="Y4695" s="1">
        <v>2728</v>
      </c>
      <c r="Z4695" s="1">
        <v>2808</v>
      </c>
      <c r="AA4695" s="1" t="s">
        <v>24</v>
      </c>
      <c r="AB4695" s="1" t="s">
        <v>24</v>
      </c>
      <c r="AC4695" s="1" t="s">
        <v>24</v>
      </c>
      <c r="AD4695" s="1" t="s">
        <v>24</v>
      </c>
      <c r="AE4695" s="1" t="s">
        <v>24</v>
      </c>
      <c r="AF4695" s="22"/>
    </row>
    <row r="4696" spans="1:32" x14ac:dyDescent="0.2">
      <c r="A4696" s="1">
        <v>42163</v>
      </c>
      <c r="B4696" s="1" t="s">
        <v>14299</v>
      </c>
      <c r="C4696" s="5" t="s">
        <v>0</v>
      </c>
      <c r="D4696" s="1" t="s">
        <v>14300</v>
      </c>
      <c r="E4696" s="1" t="s">
        <v>14301</v>
      </c>
      <c r="F4696" s="1" t="s">
        <v>7866</v>
      </c>
      <c r="G4696" s="1" t="s">
        <v>7866</v>
      </c>
      <c r="H4696" s="1" t="s">
        <v>131</v>
      </c>
      <c r="I4696" s="1" t="s">
        <v>16</v>
      </c>
      <c r="J4696" s="1">
        <v>1</v>
      </c>
      <c r="K4696" s="1">
        <v>4</v>
      </c>
      <c r="L4696" s="1" t="s">
        <v>42</v>
      </c>
      <c r="M4696" s="1" t="s">
        <v>413</v>
      </c>
      <c r="N4696" s="1" t="s">
        <v>679</v>
      </c>
      <c r="O4696" s="1">
        <v>3</v>
      </c>
      <c r="P4696" s="1">
        <v>5</v>
      </c>
      <c r="R4696" s="1" t="s">
        <v>19</v>
      </c>
      <c r="S4696" s="1" t="s">
        <v>20</v>
      </c>
      <c r="T4696" s="1" t="s">
        <v>21</v>
      </c>
      <c r="U4696" s="1" t="s">
        <v>22</v>
      </c>
      <c r="V4696" s="1" t="s">
        <v>24</v>
      </c>
      <c r="W4696" s="1" t="s">
        <v>24</v>
      </c>
      <c r="X4696" s="1">
        <v>2712</v>
      </c>
      <c r="Y4696" s="1" t="s">
        <v>24</v>
      </c>
      <c r="Z4696" s="1" t="s">
        <v>24</v>
      </c>
      <c r="AA4696" s="1" t="s">
        <v>24</v>
      </c>
      <c r="AB4696" s="1" t="s">
        <v>24</v>
      </c>
      <c r="AC4696" s="1" t="s">
        <v>24</v>
      </c>
      <c r="AD4696" s="1" t="s">
        <v>24</v>
      </c>
      <c r="AE4696" s="1" t="s">
        <v>24</v>
      </c>
      <c r="AF4696" s="22"/>
    </row>
    <row r="4697" spans="1:32" x14ac:dyDescent="0.2">
      <c r="A4697" s="1">
        <v>42165</v>
      </c>
      <c r="B4697" s="1" t="s">
        <v>14302</v>
      </c>
      <c r="C4697" s="5" t="s">
        <v>0</v>
      </c>
      <c r="D4697" s="1" t="s">
        <v>14303</v>
      </c>
      <c r="F4697" s="1" t="s">
        <v>14304</v>
      </c>
      <c r="G4697" s="1" t="s">
        <v>14304</v>
      </c>
      <c r="H4697" s="1" t="s">
        <v>1957</v>
      </c>
      <c r="I4697" s="1" t="s">
        <v>16</v>
      </c>
      <c r="J4697" s="1">
        <v>1</v>
      </c>
      <c r="K4697" s="1">
        <v>4</v>
      </c>
      <c r="L4697" s="1" t="s">
        <v>42</v>
      </c>
      <c r="M4697" s="1" t="s">
        <v>10391</v>
      </c>
      <c r="N4697" s="1" t="s">
        <v>10392</v>
      </c>
      <c r="O4697" s="1">
        <v>3</v>
      </c>
      <c r="P4697" s="1">
        <v>5</v>
      </c>
      <c r="R4697" s="1" t="s">
        <v>19</v>
      </c>
      <c r="S4697" s="1" t="s">
        <v>20</v>
      </c>
      <c r="T4697" s="1" t="s">
        <v>21</v>
      </c>
      <c r="U4697" s="1" t="s">
        <v>22</v>
      </c>
      <c r="V4697" s="1" t="s">
        <v>24</v>
      </c>
      <c r="W4697" s="1" t="s">
        <v>24</v>
      </c>
      <c r="X4697" s="1">
        <v>2700</v>
      </c>
      <c r="Y4697" s="1" t="s">
        <v>24</v>
      </c>
      <c r="Z4697" s="1" t="s">
        <v>24</v>
      </c>
      <c r="AA4697" s="1" t="s">
        <v>24</v>
      </c>
      <c r="AB4697" s="1" t="s">
        <v>24</v>
      </c>
      <c r="AC4697" s="1" t="s">
        <v>24</v>
      </c>
      <c r="AD4697" s="1" t="s">
        <v>24</v>
      </c>
      <c r="AE4697" s="1" t="s">
        <v>24</v>
      </c>
      <c r="AF4697" s="22"/>
    </row>
    <row r="4698" spans="1:32" x14ac:dyDescent="0.2">
      <c r="A4698" s="1">
        <v>42167</v>
      </c>
      <c r="B4698" s="1" t="s">
        <v>14305</v>
      </c>
      <c r="C4698" s="5" t="s">
        <v>0</v>
      </c>
      <c r="D4698" s="1" t="s">
        <v>14306</v>
      </c>
      <c r="E4698" s="1" t="s">
        <v>14307</v>
      </c>
      <c r="F4698" s="1" t="s">
        <v>14308</v>
      </c>
      <c r="G4698" s="1" t="s">
        <v>14308</v>
      </c>
      <c r="H4698" s="1" t="s">
        <v>1957</v>
      </c>
      <c r="I4698" s="1" t="s">
        <v>16</v>
      </c>
      <c r="J4698" s="1">
        <v>1</v>
      </c>
      <c r="K4698" s="1">
        <v>6</v>
      </c>
      <c r="L4698" s="1" t="s">
        <v>42</v>
      </c>
      <c r="M4698" s="1" t="s">
        <v>10391</v>
      </c>
      <c r="N4698" s="1" t="s">
        <v>10392</v>
      </c>
      <c r="O4698" s="1">
        <v>3</v>
      </c>
      <c r="P4698" s="1">
        <v>5</v>
      </c>
      <c r="R4698" s="1" t="s">
        <v>19</v>
      </c>
      <c r="S4698" s="1" t="s">
        <v>20</v>
      </c>
      <c r="T4698" s="1" t="s">
        <v>21</v>
      </c>
      <c r="U4698" s="1" t="s">
        <v>22</v>
      </c>
      <c r="V4698" s="1" t="s">
        <v>23</v>
      </c>
      <c r="W4698" s="1" t="s">
        <v>24</v>
      </c>
      <c r="X4698" s="1">
        <v>2729</v>
      </c>
      <c r="Y4698" s="1">
        <v>2743</v>
      </c>
      <c r="Z4698" s="1" t="s">
        <v>24</v>
      </c>
      <c r="AA4698" s="1" t="s">
        <v>24</v>
      </c>
      <c r="AB4698" s="1" t="s">
        <v>24</v>
      </c>
      <c r="AC4698" s="1" t="s">
        <v>24</v>
      </c>
      <c r="AD4698" s="1" t="s">
        <v>24</v>
      </c>
      <c r="AE4698" s="1" t="s">
        <v>24</v>
      </c>
      <c r="AF4698" s="22"/>
    </row>
    <row r="4699" spans="1:32" x14ac:dyDescent="0.2">
      <c r="A4699" s="1">
        <v>42168</v>
      </c>
      <c r="B4699" s="1" t="s">
        <v>14309</v>
      </c>
      <c r="C4699" s="5" t="s">
        <v>0</v>
      </c>
      <c r="D4699" s="1" t="s">
        <v>14310</v>
      </c>
      <c r="F4699" s="1" t="s">
        <v>14311</v>
      </c>
      <c r="G4699" s="1" t="s">
        <v>14311</v>
      </c>
      <c r="H4699" s="1" t="s">
        <v>899</v>
      </c>
      <c r="I4699" s="1" t="s">
        <v>16</v>
      </c>
      <c r="J4699" s="1">
        <v>1</v>
      </c>
      <c r="K4699" s="1">
        <v>4</v>
      </c>
      <c r="L4699" s="1" t="s">
        <v>17</v>
      </c>
      <c r="M4699" s="1" t="s">
        <v>18</v>
      </c>
      <c r="N4699" s="1" t="s">
        <v>18</v>
      </c>
      <c r="O4699" s="1">
        <v>3</v>
      </c>
      <c r="P4699" s="1">
        <v>6</v>
      </c>
      <c r="R4699" s="1" t="s">
        <v>19</v>
      </c>
      <c r="S4699" s="1" t="s">
        <v>20</v>
      </c>
      <c r="T4699" s="1" t="s">
        <v>21</v>
      </c>
      <c r="U4699" s="1" t="s">
        <v>22</v>
      </c>
      <c r="V4699" s="1" t="s">
        <v>24</v>
      </c>
      <c r="W4699" s="1" t="s">
        <v>24</v>
      </c>
      <c r="X4699" s="1">
        <v>1300</v>
      </c>
      <c r="Y4699" s="1">
        <v>3003</v>
      </c>
      <c r="Z4699" s="1">
        <v>3004</v>
      </c>
      <c r="AA4699" s="1" t="s">
        <v>24</v>
      </c>
      <c r="AB4699" s="1" t="s">
        <v>24</v>
      </c>
      <c r="AC4699" s="1" t="s">
        <v>24</v>
      </c>
      <c r="AD4699" s="1" t="s">
        <v>24</v>
      </c>
      <c r="AE4699" s="1" t="s">
        <v>24</v>
      </c>
      <c r="AF4699" s="22"/>
    </row>
    <row r="4700" spans="1:32" x14ac:dyDescent="0.2">
      <c r="A4700" s="1">
        <v>42249</v>
      </c>
      <c r="B4700" s="1" t="s">
        <v>14312</v>
      </c>
      <c r="C4700" s="5" t="s">
        <v>0</v>
      </c>
      <c r="D4700" s="1" t="s">
        <v>14313</v>
      </c>
      <c r="E4700" s="1" t="s">
        <v>14314</v>
      </c>
      <c r="F4700" s="1" t="s">
        <v>14315</v>
      </c>
      <c r="G4700" s="1" t="s">
        <v>14315</v>
      </c>
      <c r="H4700" s="1" t="s">
        <v>885</v>
      </c>
      <c r="I4700" s="1" t="s">
        <v>16</v>
      </c>
      <c r="J4700" s="1">
        <v>1</v>
      </c>
      <c r="K4700" s="1">
        <v>2</v>
      </c>
      <c r="L4700" s="1" t="s">
        <v>42</v>
      </c>
      <c r="M4700" s="1" t="s">
        <v>18</v>
      </c>
      <c r="N4700" s="1" t="s">
        <v>18</v>
      </c>
      <c r="O4700" s="1">
        <v>3</v>
      </c>
      <c r="P4700" s="1">
        <v>6</v>
      </c>
      <c r="R4700" s="1" t="s">
        <v>19</v>
      </c>
      <c r="S4700" s="1" t="s">
        <v>20</v>
      </c>
      <c r="T4700" s="1" t="s">
        <v>21</v>
      </c>
      <c r="U4700" s="1" t="s">
        <v>22</v>
      </c>
      <c r="V4700" s="1" t="s">
        <v>24</v>
      </c>
      <c r="W4700" s="1" t="s">
        <v>24</v>
      </c>
      <c r="X4700" s="1">
        <v>2700</v>
      </c>
      <c r="Y4700" s="1" t="s">
        <v>24</v>
      </c>
      <c r="Z4700" s="1" t="s">
        <v>24</v>
      </c>
      <c r="AA4700" s="1" t="s">
        <v>24</v>
      </c>
      <c r="AB4700" s="1" t="s">
        <v>24</v>
      </c>
      <c r="AC4700" s="1" t="s">
        <v>24</v>
      </c>
      <c r="AD4700" s="1" t="s">
        <v>24</v>
      </c>
      <c r="AE4700" s="1" t="s">
        <v>24</v>
      </c>
      <c r="AF4700" s="22"/>
    </row>
    <row r="4701" spans="1:32" x14ac:dyDescent="0.2">
      <c r="A4701" s="1">
        <v>42250</v>
      </c>
      <c r="B4701" s="1" t="s">
        <v>14316</v>
      </c>
      <c r="C4701" s="5" t="s">
        <v>0</v>
      </c>
      <c r="D4701" s="1" t="s">
        <v>14317</v>
      </c>
      <c r="E4701" s="1" t="s">
        <v>14318</v>
      </c>
      <c r="F4701" s="1" t="s">
        <v>6914</v>
      </c>
      <c r="G4701" s="1" t="s">
        <v>6915</v>
      </c>
      <c r="H4701" s="1" t="s">
        <v>37</v>
      </c>
      <c r="I4701" s="1" t="s">
        <v>16</v>
      </c>
      <c r="J4701" s="1">
        <v>1</v>
      </c>
      <c r="K4701" s="1">
        <v>12</v>
      </c>
      <c r="L4701" s="1" t="s">
        <v>31</v>
      </c>
      <c r="M4701" s="1" t="s">
        <v>18</v>
      </c>
      <c r="N4701" s="1" t="s">
        <v>18</v>
      </c>
      <c r="O4701" s="1">
        <v>3</v>
      </c>
      <c r="P4701" s="1">
        <v>7</v>
      </c>
      <c r="Q4701" s="7" t="s">
        <v>17633</v>
      </c>
      <c r="R4701" s="1" t="s">
        <v>19</v>
      </c>
      <c r="S4701" s="1" t="s">
        <v>20</v>
      </c>
      <c r="T4701" s="1" t="s">
        <v>21</v>
      </c>
      <c r="U4701" s="1" t="s">
        <v>22</v>
      </c>
      <c r="V4701" s="1" t="s">
        <v>24</v>
      </c>
      <c r="W4701" s="1" t="s">
        <v>24</v>
      </c>
      <c r="X4701" s="1">
        <v>1304</v>
      </c>
      <c r="Y4701" s="1">
        <v>1303</v>
      </c>
      <c r="Z4701" s="1" t="s">
        <v>24</v>
      </c>
      <c r="AA4701" s="1" t="s">
        <v>24</v>
      </c>
      <c r="AB4701" s="1" t="s">
        <v>24</v>
      </c>
      <c r="AC4701" s="1" t="s">
        <v>24</v>
      </c>
      <c r="AD4701" s="1" t="s">
        <v>24</v>
      </c>
      <c r="AE4701" s="1" t="s">
        <v>24</v>
      </c>
      <c r="AF4701" s="22"/>
    </row>
    <row r="4702" spans="1:32" x14ac:dyDescent="0.2">
      <c r="A4702" s="1">
        <v>42289</v>
      </c>
      <c r="B4702" s="1" t="s">
        <v>14319</v>
      </c>
      <c r="C4702" s="5" t="s">
        <v>0</v>
      </c>
      <c r="D4702" s="1" t="s">
        <v>14320</v>
      </c>
      <c r="F4702" s="1" t="s">
        <v>11251</v>
      </c>
      <c r="G4702" s="1" t="s">
        <v>11251</v>
      </c>
      <c r="H4702" s="1" t="s">
        <v>3228</v>
      </c>
      <c r="I4702" s="1" t="s">
        <v>16</v>
      </c>
      <c r="J4702" s="1">
        <v>1</v>
      </c>
      <c r="K4702" s="1">
        <v>1</v>
      </c>
      <c r="L4702" s="1" t="s">
        <v>42</v>
      </c>
      <c r="M4702" s="1" t="s">
        <v>18</v>
      </c>
      <c r="N4702" s="1" t="s">
        <v>18</v>
      </c>
      <c r="O4702" s="1">
        <v>3</v>
      </c>
      <c r="P4702" s="1">
        <v>6</v>
      </c>
      <c r="R4702" s="1" t="s">
        <v>19</v>
      </c>
      <c r="S4702" s="1" t="s">
        <v>63</v>
      </c>
      <c r="T4702" s="1" t="s">
        <v>21</v>
      </c>
      <c r="U4702" s="1" t="s">
        <v>22</v>
      </c>
      <c r="V4702" s="1" t="s">
        <v>24</v>
      </c>
      <c r="W4702" s="1" t="s">
        <v>24</v>
      </c>
      <c r="X4702" s="1">
        <v>2712</v>
      </c>
      <c r="Y4702" s="1">
        <v>2724</v>
      </c>
      <c r="Z4702" s="1" t="s">
        <v>24</v>
      </c>
      <c r="AA4702" s="1" t="s">
        <v>24</v>
      </c>
      <c r="AB4702" s="1" t="s">
        <v>24</v>
      </c>
      <c r="AC4702" s="1" t="s">
        <v>24</v>
      </c>
      <c r="AD4702" s="1" t="s">
        <v>24</v>
      </c>
      <c r="AE4702" s="1" t="s">
        <v>24</v>
      </c>
      <c r="AF4702" s="22" t="s">
        <v>17678</v>
      </c>
    </row>
    <row r="4703" spans="1:32" x14ac:dyDescent="0.2">
      <c r="A4703" s="1">
        <v>42290</v>
      </c>
      <c r="B4703" s="1" t="s">
        <v>14321</v>
      </c>
      <c r="C4703" s="5" t="s">
        <v>0</v>
      </c>
      <c r="D4703" s="1" t="s">
        <v>14322</v>
      </c>
      <c r="F4703" s="1" t="s">
        <v>11251</v>
      </c>
      <c r="G4703" s="1" t="s">
        <v>11251</v>
      </c>
      <c r="H4703" s="1" t="s">
        <v>3228</v>
      </c>
      <c r="I4703" s="1" t="s">
        <v>16</v>
      </c>
      <c r="J4703" s="1">
        <v>1</v>
      </c>
      <c r="K4703" s="1">
        <v>1</v>
      </c>
      <c r="L4703" s="1" t="s">
        <v>42</v>
      </c>
      <c r="M4703" s="1" t="s">
        <v>18</v>
      </c>
      <c r="N4703" s="1" t="s">
        <v>18</v>
      </c>
      <c r="O4703" s="1">
        <v>3</v>
      </c>
      <c r="P4703" s="1">
        <v>6</v>
      </c>
      <c r="R4703" s="1" t="s">
        <v>19</v>
      </c>
      <c r="S4703" s="1" t="s">
        <v>63</v>
      </c>
      <c r="T4703" s="1" t="s">
        <v>21</v>
      </c>
      <c r="U4703" s="1" t="s">
        <v>22</v>
      </c>
      <c r="V4703" s="1" t="s">
        <v>24</v>
      </c>
      <c r="W4703" s="1" t="s">
        <v>24</v>
      </c>
      <c r="X4703" s="1">
        <v>2715</v>
      </c>
      <c r="Y4703" s="1" t="s">
        <v>24</v>
      </c>
      <c r="Z4703" s="1" t="s">
        <v>24</v>
      </c>
      <c r="AA4703" s="1" t="s">
        <v>24</v>
      </c>
      <c r="AB4703" s="1" t="s">
        <v>24</v>
      </c>
      <c r="AC4703" s="1" t="s">
        <v>24</v>
      </c>
      <c r="AD4703" s="1" t="s">
        <v>24</v>
      </c>
      <c r="AE4703" s="1" t="s">
        <v>24</v>
      </c>
      <c r="AF4703" s="22" t="s">
        <v>17678</v>
      </c>
    </row>
    <row r="4704" spans="1:32" x14ac:dyDescent="0.2">
      <c r="A4704" s="1">
        <v>42320</v>
      </c>
      <c r="B4704" s="1" t="s">
        <v>14323</v>
      </c>
      <c r="C4704" s="5" t="s">
        <v>0</v>
      </c>
      <c r="D4704" s="1" t="s">
        <v>14324</v>
      </c>
      <c r="F4704" s="1" t="s">
        <v>91</v>
      </c>
      <c r="G4704" s="1" t="s">
        <v>61</v>
      </c>
      <c r="H4704" s="1" t="s">
        <v>92</v>
      </c>
      <c r="I4704" s="1" t="s">
        <v>112</v>
      </c>
      <c r="J4704" s="1">
        <v>0</v>
      </c>
      <c r="K4704" s="1">
        <v>0</v>
      </c>
      <c r="L4704" s="1" t="s">
        <v>31</v>
      </c>
      <c r="M4704" s="1" t="s">
        <v>18</v>
      </c>
      <c r="N4704" s="1" t="s">
        <v>18</v>
      </c>
      <c r="O4704" s="1">
        <v>3</v>
      </c>
      <c r="P4704" s="1">
        <v>7</v>
      </c>
      <c r="Q4704" s="7" t="s">
        <v>17633</v>
      </c>
      <c r="R4704" s="1" t="s">
        <v>19</v>
      </c>
      <c r="S4704" s="1" t="s">
        <v>20</v>
      </c>
      <c r="T4704" s="1" t="s">
        <v>21</v>
      </c>
      <c r="U4704" s="1" t="s">
        <v>22</v>
      </c>
      <c r="V4704" s="1" t="s">
        <v>24</v>
      </c>
      <c r="W4704" s="1" t="s">
        <v>24</v>
      </c>
      <c r="X4704" s="1">
        <v>2307</v>
      </c>
      <c r="Y4704" s="1">
        <v>3004</v>
      </c>
      <c r="Z4704" s="1">
        <v>3005</v>
      </c>
      <c r="AA4704" s="1" t="s">
        <v>24</v>
      </c>
      <c r="AB4704" s="1" t="s">
        <v>24</v>
      </c>
      <c r="AC4704" s="1" t="s">
        <v>24</v>
      </c>
      <c r="AD4704" s="1" t="s">
        <v>24</v>
      </c>
      <c r="AE4704" s="1" t="s">
        <v>24</v>
      </c>
      <c r="AF4704" s="22"/>
    </row>
    <row r="4705" spans="1:32" x14ac:dyDescent="0.2">
      <c r="A4705" s="1">
        <v>42352</v>
      </c>
      <c r="B4705" s="1" t="s">
        <v>14325</v>
      </c>
      <c r="C4705" s="5" t="s">
        <v>0</v>
      </c>
      <c r="D4705" s="1" t="s">
        <v>14326</v>
      </c>
      <c r="F4705" s="1" t="s">
        <v>11251</v>
      </c>
      <c r="G4705" s="1" t="s">
        <v>11251</v>
      </c>
      <c r="H4705" s="1" t="s">
        <v>3228</v>
      </c>
      <c r="I4705" s="1" t="s">
        <v>16</v>
      </c>
      <c r="J4705" s="1">
        <v>1</v>
      </c>
      <c r="K4705" s="1">
        <v>1</v>
      </c>
      <c r="L4705" s="1" t="s">
        <v>42</v>
      </c>
      <c r="M4705" s="1" t="s">
        <v>18</v>
      </c>
      <c r="N4705" s="1" t="s">
        <v>18</v>
      </c>
      <c r="O4705" s="1">
        <v>3</v>
      </c>
      <c r="P4705" s="1">
        <v>6</v>
      </c>
      <c r="R4705" s="1" t="s">
        <v>19</v>
      </c>
      <c r="S4705" s="1" t="s">
        <v>63</v>
      </c>
      <c r="T4705" s="1" t="s">
        <v>21</v>
      </c>
      <c r="U4705" s="1" t="s">
        <v>22</v>
      </c>
      <c r="V4705" s="1" t="s">
        <v>23</v>
      </c>
      <c r="W4705" s="1" t="s">
        <v>24</v>
      </c>
      <c r="X4705" s="1">
        <v>2717</v>
      </c>
      <c r="Y4705" s="1" t="s">
        <v>24</v>
      </c>
      <c r="Z4705" s="1" t="s">
        <v>24</v>
      </c>
      <c r="AA4705" s="1" t="s">
        <v>24</v>
      </c>
      <c r="AB4705" s="1" t="s">
        <v>24</v>
      </c>
      <c r="AC4705" s="1" t="s">
        <v>24</v>
      </c>
      <c r="AD4705" s="1" t="s">
        <v>24</v>
      </c>
      <c r="AE4705" s="1" t="s">
        <v>24</v>
      </c>
      <c r="AF4705" s="22" t="s">
        <v>17678</v>
      </c>
    </row>
    <row r="4706" spans="1:32" x14ac:dyDescent="0.2">
      <c r="A4706" s="1">
        <v>42353</v>
      </c>
      <c r="B4706" s="1" t="s">
        <v>14327</v>
      </c>
      <c r="C4706" s="5" t="s">
        <v>0</v>
      </c>
      <c r="D4706" s="1" t="s">
        <v>14328</v>
      </c>
      <c r="F4706" s="1" t="s">
        <v>11251</v>
      </c>
      <c r="G4706" s="1" t="s">
        <v>11251</v>
      </c>
      <c r="H4706" s="1" t="s">
        <v>3228</v>
      </c>
      <c r="I4706" s="1" t="s">
        <v>16</v>
      </c>
      <c r="J4706" s="1">
        <v>1</v>
      </c>
      <c r="K4706" s="1">
        <v>1</v>
      </c>
      <c r="L4706" s="1" t="s">
        <v>42</v>
      </c>
      <c r="M4706" s="1" t="s">
        <v>18</v>
      </c>
      <c r="N4706" s="1" t="s">
        <v>18</v>
      </c>
      <c r="O4706" s="1">
        <v>3</v>
      </c>
      <c r="P4706" s="1">
        <v>6</v>
      </c>
      <c r="R4706" s="1" t="s">
        <v>19</v>
      </c>
      <c r="S4706" s="1" t="s">
        <v>63</v>
      </c>
      <c r="T4706" s="1" t="s">
        <v>21</v>
      </c>
      <c r="U4706" s="1" t="s">
        <v>22</v>
      </c>
      <c r="V4706" s="1" t="s">
        <v>24</v>
      </c>
      <c r="W4706" s="1" t="s">
        <v>24</v>
      </c>
      <c r="X4706" s="1">
        <v>2730</v>
      </c>
      <c r="Y4706" s="1" t="s">
        <v>24</v>
      </c>
      <c r="Z4706" s="1" t="s">
        <v>24</v>
      </c>
      <c r="AA4706" s="1" t="s">
        <v>24</v>
      </c>
      <c r="AB4706" s="1" t="s">
        <v>24</v>
      </c>
      <c r="AC4706" s="1" t="s">
        <v>24</v>
      </c>
      <c r="AD4706" s="1" t="s">
        <v>24</v>
      </c>
      <c r="AE4706" s="1" t="s">
        <v>24</v>
      </c>
      <c r="AF4706" s="22" t="s">
        <v>17678</v>
      </c>
    </row>
    <row r="4707" spans="1:32" x14ac:dyDescent="0.2">
      <c r="A4707" s="1">
        <v>42357</v>
      </c>
      <c r="B4707" s="1" t="s">
        <v>14329</v>
      </c>
      <c r="C4707" s="5" t="s">
        <v>0</v>
      </c>
      <c r="E4707" s="1" t="s">
        <v>14330</v>
      </c>
      <c r="F4707" s="1" t="s">
        <v>776</v>
      </c>
      <c r="G4707" s="1" t="s">
        <v>777</v>
      </c>
      <c r="H4707" s="1" t="s">
        <v>30</v>
      </c>
      <c r="I4707" s="1" t="s">
        <v>16</v>
      </c>
      <c r="J4707" s="1">
        <v>1</v>
      </c>
      <c r="K4707" s="1">
        <v>12</v>
      </c>
      <c r="L4707" s="1" t="s">
        <v>31</v>
      </c>
      <c r="M4707" s="1" t="s">
        <v>18</v>
      </c>
      <c r="N4707" s="1" t="s">
        <v>18</v>
      </c>
      <c r="O4707" s="1">
        <v>3</v>
      </c>
      <c r="P4707" s="1">
        <v>7</v>
      </c>
      <c r="Q4707" s="7" t="s">
        <v>17633</v>
      </c>
      <c r="R4707" s="1" t="s">
        <v>19</v>
      </c>
      <c r="S4707" s="1" t="s">
        <v>20</v>
      </c>
      <c r="T4707" s="1" t="s">
        <v>21</v>
      </c>
      <c r="U4707" s="1" t="s">
        <v>22</v>
      </c>
      <c r="V4707" s="1" t="s">
        <v>23</v>
      </c>
      <c r="W4707" s="1" t="s">
        <v>64</v>
      </c>
      <c r="X4707" s="1">
        <v>1303</v>
      </c>
      <c r="Y4707" s="1">
        <v>1307</v>
      </c>
      <c r="Z4707" s="1">
        <v>1314</v>
      </c>
      <c r="AA4707" s="1">
        <v>2805</v>
      </c>
      <c r="AB4707" s="1" t="s">
        <v>24</v>
      </c>
      <c r="AC4707" s="1" t="s">
        <v>24</v>
      </c>
      <c r="AD4707" s="1" t="s">
        <v>24</v>
      </c>
      <c r="AE4707" s="1" t="s">
        <v>24</v>
      </c>
      <c r="AF4707" s="22"/>
    </row>
    <row r="4708" spans="1:32" x14ac:dyDescent="0.2">
      <c r="A4708" s="1">
        <v>42393</v>
      </c>
      <c r="B4708" s="1" t="s">
        <v>14331</v>
      </c>
      <c r="C4708" s="5" t="s">
        <v>0</v>
      </c>
      <c r="E4708" s="1" t="s">
        <v>14332</v>
      </c>
      <c r="F4708" s="1" t="s">
        <v>6159</v>
      </c>
      <c r="G4708" s="1" t="s">
        <v>61</v>
      </c>
      <c r="H4708" s="1" t="s">
        <v>168</v>
      </c>
      <c r="I4708" s="1" t="s">
        <v>16</v>
      </c>
      <c r="J4708" s="1">
        <v>1</v>
      </c>
      <c r="K4708" s="1">
        <v>1</v>
      </c>
      <c r="L4708" s="1" t="s">
        <v>31</v>
      </c>
      <c r="M4708" s="1" t="s">
        <v>413</v>
      </c>
      <c r="N4708" s="1" t="s">
        <v>413</v>
      </c>
      <c r="O4708" s="1">
        <v>3</v>
      </c>
      <c r="P4708" s="1">
        <v>6</v>
      </c>
      <c r="R4708" s="1" t="s">
        <v>19</v>
      </c>
      <c r="S4708" s="1" t="s">
        <v>20</v>
      </c>
      <c r="T4708" s="1" t="s">
        <v>21</v>
      </c>
      <c r="U4708" s="1" t="s">
        <v>22</v>
      </c>
      <c r="V4708" s="1" t="s">
        <v>23</v>
      </c>
      <c r="W4708" s="1" t="s">
        <v>24</v>
      </c>
      <c r="X4708" s="1">
        <v>2700</v>
      </c>
      <c r="Y4708" s="1" t="s">
        <v>24</v>
      </c>
      <c r="Z4708" s="1" t="s">
        <v>24</v>
      </c>
      <c r="AA4708" s="1" t="s">
        <v>24</v>
      </c>
      <c r="AB4708" s="1" t="s">
        <v>24</v>
      </c>
      <c r="AC4708" s="1" t="s">
        <v>24</v>
      </c>
      <c r="AD4708" s="1" t="s">
        <v>24</v>
      </c>
      <c r="AE4708" s="1" t="s">
        <v>24</v>
      </c>
      <c r="AF4708" s="22"/>
    </row>
    <row r="4709" spans="1:32" x14ac:dyDescent="0.2">
      <c r="A4709" s="1">
        <v>42396</v>
      </c>
      <c r="B4709" s="1" t="s">
        <v>14333</v>
      </c>
      <c r="C4709" s="5" t="s">
        <v>0</v>
      </c>
      <c r="D4709" s="1" t="s">
        <v>14334</v>
      </c>
      <c r="F4709" s="1" t="s">
        <v>11251</v>
      </c>
      <c r="G4709" s="1" t="s">
        <v>11251</v>
      </c>
      <c r="H4709" s="1" t="s">
        <v>3228</v>
      </c>
      <c r="I4709" s="1" t="s">
        <v>16</v>
      </c>
      <c r="J4709" s="1">
        <v>1</v>
      </c>
      <c r="K4709" s="1">
        <v>1</v>
      </c>
      <c r="L4709" s="1" t="s">
        <v>42</v>
      </c>
      <c r="M4709" s="1" t="s">
        <v>18</v>
      </c>
      <c r="N4709" s="1" t="s">
        <v>18</v>
      </c>
      <c r="O4709" s="1">
        <v>3</v>
      </c>
      <c r="P4709" s="1">
        <v>6</v>
      </c>
      <c r="R4709" s="1" t="s">
        <v>19</v>
      </c>
      <c r="S4709" s="1" t="s">
        <v>63</v>
      </c>
      <c r="T4709" s="1" t="s">
        <v>21</v>
      </c>
      <c r="U4709" s="1" t="s">
        <v>22</v>
      </c>
      <c r="V4709" s="1" t="s">
        <v>24</v>
      </c>
      <c r="W4709" s="1" t="s">
        <v>24</v>
      </c>
      <c r="X4709" s="1">
        <v>2723</v>
      </c>
      <c r="Y4709" s="1">
        <v>2745</v>
      </c>
      <c r="Z4709" s="1" t="s">
        <v>24</v>
      </c>
      <c r="AA4709" s="1" t="s">
        <v>24</v>
      </c>
      <c r="AB4709" s="1" t="s">
        <v>24</v>
      </c>
      <c r="AC4709" s="1" t="s">
        <v>24</v>
      </c>
      <c r="AD4709" s="1" t="s">
        <v>24</v>
      </c>
      <c r="AE4709" s="1" t="s">
        <v>24</v>
      </c>
      <c r="AF4709" s="22" t="s">
        <v>17678</v>
      </c>
    </row>
    <row r="4710" spans="1:32" x14ac:dyDescent="0.2">
      <c r="A4710" s="1">
        <v>42397</v>
      </c>
      <c r="B4710" s="1" t="s">
        <v>14335</v>
      </c>
      <c r="C4710" s="5" t="s">
        <v>0</v>
      </c>
      <c r="D4710" s="1" t="s">
        <v>14336</v>
      </c>
      <c r="E4710" s="1" t="s">
        <v>14337</v>
      </c>
      <c r="F4710" s="1" t="s">
        <v>6113</v>
      </c>
      <c r="G4710" s="1" t="s">
        <v>61</v>
      </c>
      <c r="H4710" s="1" t="s">
        <v>1116</v>
      </c>
      <c r="I4710" s="1" t="s">
        <v>16</v>
      </c>
      <c r="J4710" s="1">
        <v>2</v>
      </c>
      <c r="K4710" s="1">
        <v>6</v>
      </c>
      <c r="L4710" s="1" t="s">
        <v>31</v>
      </c>
      <c r="M4710" s="1" t="s">
        <v>18</v>
      </c>
      <c r="N4710" s="1" t="s">
        <v>18</v>
      </c>
      <c r="O4710" s="1">
        <v>3</v>
      </c>
      <c r="P4710" s="1">
        <v>7</v>
      </c>
      <c r="Q4710" s="7" t="s">
        <v>17633</v>
      </c>
      <c r="R4710" s="1" t="s">
        <v>19</v>
      </c>
      <c r="S4710" s="1" t="s">
        <v>20</v>
      </c>
      <c r="T4710" s="1" t="s">
        <v>21</v>
      </c>
      <c r="U4710" s="1" t="s">
        <v>22</v>
      </c>
      <c r="V4710" s="1" t="s">
        <v>24</v>
      </c>
      <c r="W4710" s="1" t="s">
        <v>24</v>
      </c>
      <c r="X4710" s="1">
        <v>2700</v>
      </c>
      <c r="Y4710" s="1" t="s">
        <v>24</v>
      </c>
      <c r="Z4710" s="1" t="s">
        <v>24</v>
      </c>
      <c r="AA4710" s="1" t="s">
        <v>24</v>
      </c>
      <c r="AB4710" s="1" t="s">
        <v>24</v>
      </c>
      <c r="AC4710" s="1" t="s">
        <v>24</v>
      </c>
      <c r="AD4710" s="1" t="s">
        <v>24</v>
      </c>
      <c r="AE4710" s="1" t="s">
        <v>24</v>
      </c>
      <c r="AF4710" s="22" t="s">
        <v>17669</v>
      </c>
    </row>
    <row r="4711" spans="1:32" x14ac:dyDescent="0.2">
      <c r="A4711" s="1">
        <v>42398</v>
      </c>
      <c r="B4711" s="1" t="s">
        <v>14338</v>
      </c>
      <c r="C4711" s="5" t="s">
        <v>0</v>
      </c>
      <c r="D4711" s="1" t="s">
        <v>14339</v>
      </c>
      <c r="F4711" s="1" t="s">
        <v>11251</v>
      </c>
      <c r="G4711" s="1" t="s">
        <v>11251</v>
      </c>
      <c r="H4711" s="1" t="s">
        <v>3228</v>
      </c>
      <c r="I4711" s="1" t="s">
        <v>16</v>
      </c>
      <c r="J4711" s="1">
        <v>1</v>
      </c>
      <c r="K4711" s="1">
        <v>1</v>
      </c>
      <c r="L4711" s="1" t="s">
        <v>42</v>
      </c>
      <c r="M4711" s="1" t="s">
        <v>18</v>
      </c>
      <c r="N4711" s="1" t="s">
        <v>18</v>
      </c>
      <c r="O4711" s="1">
        <v>3</v>
      </c>
      <c r="P4711" s="1">
        <v>6</v>
      </c>
      <c r="R4711" s="1" t="s">
        <v>19</v>
      </c>
      <c r="S4711" s="1" t="s">
        <v>63</v>
      </c>
      <c r="T4711" s="1" t="s">
        <v>21</v>
      </c>
      <c r="U4711" s="1" t="s">
        <v>22</v>
      </c>
      <c r="V4711" s="1" t="s">
        <v>24</v>
      </c>
      <c r="W4711" s="1" t="s">
        <v>24</v>
      </c>
      <c r="X4711" s="1">
        <v>2720</v>
      </c>
      <c r="Y4711" s="1" t="s">
        <v>24</v>
      </c>
      <c r="Z4711" s="1" t="s">
        <v>24</v>
      </c>
      <c r="AA4711" s="1" t="s">
        <v>24</v>
      </c>
      <c r="AB4711" s="1" t="s">
        <v>24</v>
      </c>
      <c r="AC4711" s="1" t="s">
        <v>24</v>
      </c>
      <c r="AD4711" s="1" t="s">
        <v>24</v>
      </c>
      <c r="AE4711" s="1" t="s">
        <v>24</v>
      </c>
      <c r="AF4711" s="22" t="s">
        <v>17678</v>
      </c>
    </row>
    <row r="4712" spans="1:32" x14ac:dyDescent="0.2">
      <c r="A4712" s="1">
        <v>42399</v>
      </c>
      <c r="B4712" s="1" t="s">
        <v>14340</v>
      </c>
      <c r="C4712" s="5" t="s">
        <v>0</v>
      </c>
      <c r="D4712" s="1" t="s">
        <v>14341</v>
      </c>
      <c r="E4712" s="1" t="s">
        <v>14342</v>
      </c>
      <c r="F4712" s="1" t="s">
        <v>356</v>
      </c>
      <c r="G4712" s="1" t="s">
        <v>357</v>
      </c>
      <c r="H4712" s="1" t="s">
        <v>30</v>
      </c>
      <c r="I4712" s="1" t="s">
        <v>16</v>
      </c>
      <c r="J4712" s="1">
        <v>1</v>
      </c>
      <c r="K4712" s="1">
        <v>2</v>
      </c>
      <c r="L4712" s="1" t="s">
        <v>31</v>
      </c>
      <c r="M4712" s="1" t="s">
        <v>18</v>
      </c>
      <c r="N4712" s="1" t="s">
        <v>18</v>
      </c>
      <c r="O4712" s="1">
        <v>3</v>
      </c>
      <c r="P4712" s="1">
        <v>7</v>
      </c>
      <c r="Q4712" s="7" t="s">
        <v>17633</v>
      </c>
      <c r="R4712" s="1" t="s">
        <v>19</v>
      </c>
      <c r="S4712" s="1" t="s">
        <v>20</v>
      </c>
      <c r="T4712" s="1" t="s">
        <v>21</v>
      </c>
      <c r="U4712" s="1" t="s">
        <v>22</v>
      </c>
      <c r="V4712" s="1" t="s">
        <v>23</v>
      </c>
      <c r="W4712" s="1" t="s">
        <v>24</v>
      </c>
      <c r="X4712" s="1">
        <v>3202</v>
      </c>
      <c r="Y4712" s="1">
        <v>3205</v>
      </c>
      <c r="Z4712" s="1">
        <v>3206</v>
      </c>
      <c r="AA4712" s="1">
        <v>2802</v>
      </c>
      <c r="AB4712" s="1">
        <v>2805</v>
      </c>
      <c r="AC4712" s="1">
        <v>2001</v>
      </c>
      <c r="AD4712" s="1">
        <v>1401</v>
      </c>
      <c r="AE4712" s="1" t="s">
        <v>24</v>
      </c>
      <c r="AF4712" s="22"/>
    </row>
    <row r="4713" spans="1:32" x14ac:dyDescent="0.2">
      <c r="A4713" s="1">
        <v>42400</v>
      </c>
      <c r="B4713" s="1" t="s">
        <v>14343</v>
      </c>
      <c r="C4713" s="5" t="s">
        <v>0</v>
      </c>
      <c r="D4713" s="1" t="s">
        <v>14344</v>
      </c>
      <c r="F4713" s="1" t="s">
        <v>11251</v>
      </c>
      <c r="G4713" s="1" t="s">
        <v>11251</v>
      </c>
      <c r="H4713" s="1" t="s">
        <v>3228</v>
      </c>
      <c r="I4713" s="1" t="s">
        <v>16</v>
      </c>
      <c r="J4713" s="1">
        <v>1</v>
      </c>
      <c r="K4713" s="1">
        <v>1</v>
      </c>
      <c r="L4713" s="1" t="s">
        <v>42</v>
      </c>
      <c r="M4713" s="1" t="s">
        <v>18</v>
      </c>
      <c r="N4713" s="1" t="s">
        <v>18</v>
      </c>
      <c r="O4713" s="1">
        <v>3</v>
      </c>
      <c r="P4713" s="1">
        <v>6</v>
      </c>
      <c r="R4713" s="1" t="s">
        <v>19</v>
      </c>
      <c r="S4713" s="1" t="s">
        <v>63</v>
      </c>
      <c r="T4713" s="1" t="s">
        <v>21</v>
      </c>
      <c r="U4713" s="1" t="s">
        <v>22</v>
      </c>
      <c r="V4713" s="1" t="s">
        <v>24</v>
      </c>
      <c r="W4713" s="1" t="s">
        <v>24</v>
      </c>
      <c r="X4713" s="1">
        <v>2700</v>
      </c>
      <c r="Y4713" s="1" t="s">
        <v>24</v>
      </c>
      <c r="Z4713" s="1" t="s">
        <v>24</v>
      </c>
      <c r="AA4713" s="1" t="s">
        <v>24</v>
      </c>
      <c r="AB4713" s="1" t="s">
        <v>24</v>
      </c>
      <c r="AC4713" s="1" t="s">
        <v>24</v>
      </c>
      <c r="AD4713" s="1" t="s">
        <v>24</v>
      </c>
      <c r="AE4713" s="1" t="s">
        <v>24</v>
      </c>
      <c r="AF4713" s="22" t="s">
        <v>17678</v>
      </c>
    </row>
    <row r="4714" spans="1:32" x14ac:dyDescent="0.2">
      <c r="A4714" s="1">
        <v>42401</v>
      </c>
      <c r="B4714" s="1" t="s">
        <v>14345</v>
      </c>
      <c r="C4714" s="5" t="s">
        <v>0</v>
      </c>
      <c r="D4714" s="1" t="s">
        <v>14346</v>
      </c>
      <c r="E4714" s="1" t="s">
        <v>14347</v>
      </c>
      <c r="F4714" s="1" t="s">
        <v>1683</v>
      </c>
      <c r="G4714" s="1" t="s">
        <v>61</v>
      </c>
      <c r="H4714" s="1" t="s">
        <v>116</v>
      </c>
      <c r="I4714" s="1" t="s">
        <v>16</v>
      </c>
      <c r="J4714" s="1">
        <v>1</v>
      </c>
      <c r="K4714" s="1">
        <v>4</v>
      </c>
      <c r="L4714" s="1" t="s">
        <v>31</v>
      </c>
      <c r="M4714" s="1" t="s">
        <v>117</v>
      </c>
      <c r="N4714" s="1" t="s">
        <v>118</v>
      </c>
      <c r="O4714" s="1">
        <v>2</v>
      </c>
      <c r="P4714" s="1">
        <v>6</v>
      </c>
      <c r="R4714" s="1" t="s">
        <v>19</v>
      </c>
      <c r="S4714" s="1" t="s">
        <v>20</v>
      </c>
      <c r="T4714" s="1" t="s">
        <v>21</v>
      </c>
      <c r="U4714" s="1" t="s">
        <v>22</v>
      </c>
      <c r="V4714" s="1" t="s">
        <v>24</v>
      </c>
      <c r="W4714" s="1" t="s">
        <v>24</v>
      </c>
      <c r="X4714" s="1">
        <v>2734</v>
      </c>
      <c r="Y4714" s="1" t="s">
        <v>24</v>
      </c>
      <c r="Z4714" s="1" t="s">
        <v>24</v>
      </c>
      <c r="AA4714" s="1" t="s">
        <v>24</v>
      </c>
      <c r="AB4714" s="1" t="s">
        <v>24</v>
      </c>
      <c r="AC4714" s="1" t="s">
        <v>24</v>
      </c>
      <c r="AD4714" s="1" t="s">
        <v>24</v>
      </c>
      <c r="AE4714" s="1" t="s">
        <v>24</v>
      </c>
      <c r="AF4714" s="22"/>
    </row>
    <row r="4715" spans="1:32" x14ac:dyDescent="0.2">
      <c r="A4715" s="1">
        <v>42402</v>
      </c>
      <c r="B4715" s="1" t="s">
        <v>14348</v>
      </c>
      <c r="C4715" s="5" t="s">
        <v>0</v>
      </c>
      <c r="D4715" s="1" t="s">
        <v>14349</v>
      </c>
      <c r="E4715" s="1" t="s">
        <v>14350</v>
      </c>
      <c r="F4715" s="1" t="s">
        <v>85</v>
      </c>
      <c r="G4715" s="1" t="s">
        <v>61</v>
      </c>
      <c r="H4715" s="1" t="s">
        <v>86</v>
      </c>
      <c r="I4715" s="1" t="s">
        <v>16</v>
      </c>
      <c r="J4715" s="1">
        <v>1</v>
      </c>
      <c r="K4715" s="1">
        <v>4</v>
      </c>
      <c r="L4715" s="1" t="s">
        <v>31</v>
      </c>
      <c r="M4715" s="1" t="s">
        <v>87</v>
      </c>
      <c r="N4715" s="1" t="s">
        <v>199</v>
      </c>
      <c r="O4715" s="1">
        <v>3</v>
      </c>
      <c r="P4715" s="1">
        <v>6</v>
      </c>
      <c r="R4715" s="1" t="s">
        <v>19</v>
      </c>
      <c r="S4715" s="1" t="s">
        <v>20</v>
      </c>
      <c r="T4715" s="1" t="s">
        <v>21</v>
      </c>
      <c r="U4715" s="1" t="s">
        <v>22</v>
      </c>
      <c r="V4715" s="1" t="s">
        <v>24</v>
      </c>
      <c r="W4715" s="1" t="s">
        <v>24</v>
      </c>
      <c r="X4715" s="1">
        <v>2745</v>
      </c>
      <c r="Y4715" s="1" t="s">
        <v>24</v>
      </c>
      <c r="Z4715" s="1" t="s">
        <v>24</v>
      </c>
      <c r="AA4715" s="1" t="s">
        <v>24</v>
      </c>
      <c r="AB4715" s="1" t="s">
        <v>24</v>
      </c>
      <c r="AC4715" s="1" t="s">
        <v>24</v>
      </c>
      <c r="AD4715" s="1" t="s">
        <v>24</v>
      </c>
      <c r="AE4715" s="1" t="s">
        <v>24</v>
      </c>
      <c r="AF4715" s="22"/>
    </row>
    <row r="4716" spans="1:32" x14ac:dyDescent="0.2">
      <c r="A4716" s="1">
        <v>42403</v>
      </c>
      <c r="B4716" s="1" t="s">
        <v>14351</v>
      </c>
      <c r="C4716" s="5" t="s">
        <v>0</v>
      </c>
      <c r="D4716" s="1" t="s">
        <v>14352</v>
      </c>
      <c r="F4716" s="1" t="s">
        <v>11251</v>
      </c>
      <c r="G4716" s="1" t="s">
        <v>11251</v>
      </c>
      <c r="H4716" s="1" t="s">
        <v>3228</v>
      </c>
      <c r="I4716" s="1" t="s">
        <v>16</v>
      </c>
      <c r="J4716" s="1">
        <v>1</v>
      </c>
      <c r="K4716" s="1">
        <v>1</v>
      </c>
      <c r="L4716" s="1" t="s">
        <v>42</v>
      </c>
      <c r="M4716" s="1" t="s">
        <v>18</v>
      </c>
      <c r="N4716" s="1" t="s">
        <v>18</v>
      </c>
      <c r="O4716" s="1">
        <v>3</v>
      </c>
      <c r="P4716" s="1">
        <v>6</v>
      </c>
      <c r="R4716" s="1" t="s">
        <v>19</v>
      </c>
      <c r="S4716" s="1" t="s">
        <v>63</v>
      </c>
      <c r="T4716" s="1" t="s">
        <v>21</v>
      </c>
      <c r="U4716" s="1" t="s">
        <v>22</v>
      </c>
      <c r="V4716" s="1" t="s">
        <v>24</v>
      </c>
      <c r="W4716" s="1" t="s">
        <v>24</v>
      </c>
      <c r="X4716" s="1">
        <v>2705</v>
      </c>
      <c r="Y4716" s="1">
        <v>2740</v>
      </c>
      <c r="Z4716" s="1" t="s">
        <v>24</v>
      </c>
      <c r="AA4716" s="1" t="s">
        <v>24</v>
      </c>
      <c r="AB4716" s="1" t="s">
        <v>24</v>
      </c>
      <c r="AC4716" s="1" t="s">
        <v>24</v>
      </c>
      <c r="AD4716" s="1" t="s">
        <v>24</v>
      </c>
      <c r="AE4716" s="1" t="s">
        <v>24</v>
      </c>
      <c r="AF4716" s="22" t="s">
        <v>17678</v>
      </c>
    </row>
    <row r="4717" spans="1:32" x14ac:dyDescent="0.2">
      <c r="A4717" s="1">
        <v>42404</v>
      </c>
      <c r="B4717" s="1" t="s">
        <v>14353</v>
      </c>
      <c r="C4717" s="5" t="s">
        <v>0</v>
      </c>
      <c r="D4717" s="1" t="s">
        <v>14354</v>
      </c>
      <c r="E4717" s="1" t="s">
        <v>14355</v>
      </c>
      <c r="F4717" s="1" t="s">
        <v>91</v>
      </c>
      <c r="G4717" s="1" t="s">
        <v>61</v>
      </c>
      <c r="H4717" s="1" t="s">
        <v>92</v>
      </c>
      <c r="I4717" s="1" t="s">
        <v>16</v>
      </c>
      <c r="J4717" s="1">
        <v>1</v>
      </c>
      <c r="K4717" s="1">
        <v>4</v>
      </c>
      <c r="L4717" s="1" t="s">
        <v>31</v>
      </c>
      <c r="M4717" s="1" t="s">
        <v>18</v>
      </c>
      <c r="N4717" s="1" t="s">
        <v>18</v>
      </c>
      <c r="O4717" s="1">
        <v>2</v>
      </c>
      <c r="P4717" s="1">
        <v>7</v>
      </c>
      <c r="Q4717" s="7" t="s">
        <v>17633</v>
      </c>
      <c r="R4717" s="1" t="s">
        <v>19</v>
      </c>
      <c r="S4717" s="1" t="s">
        <v>20</v>
      </c>
      <c r="T4717" s="1" t="s">
        <v>21</v>
      </c>
      <c r="U4717" s="1" t="s">
        <v>22</v>
      </c>
      <c r="V4717" s="1" t="s">
        <v>23</v>
      </c>
      <c r="W4717" s="1" t="s">
        <v>24</v>
      </c>
      <c r="X4717" s="1">
        <v>2729</v>
      </c>
      <c r="Y4717" s="1">
        <v>2913</v>
      </c>
      <c r="Z4717" s="1" t="s">
        <v>24</v>
      </c>
      <c r="AA4717" s="1" t="s">
        <v>24</v>
      </c>
      <c r="AB4717" s="1" t="s">
        <v>24</v>
      </c>
      <c r="AC4717" s="1" t="s">
        <v>24</v>
      </c>
      <c r="AD4717" s="1" t="s">
        <v>24</v>
      </c>
      <c r="AE4717" s="1" t="s">
        <v>24</v>
      </c>
      <c r="AF4717" s="22"/>
    </row>
    <row r="4718" spans="1:32" x14ac:dyDescent="0.2">
      <c r="A4718" s="1">
        <v>42405</v>
      </c>
      <c r="B4718" s="1" t="s">
        <v>14356</v>
      </c>
      <c r="C4718" s="5" t="s">
        <v>0</v>
      </c>
      <c r="D4718" s="1" t="s">
        <v>14357</v>
      </c>
      <c r="E4718" s="1" t="s">
        <v>14358</v>
      </c>
      <c r="F4718" s="1" t="s">
        <v>6159</v>
      </c>
      <c r="G4718" s="1" t="s">
        <v>61</v>
      </c>
      <c r="H4718" s="1" t="s">
        <v>168</v>
      </c>
      <c r="I4718" s="1" t="s">
        <v>16</v>
      </c>
      <c r="J4718" s="1">
        <v>1</v>
      </c>
      <c r="K4718" s="1">
        <v>4</v>
      </c>
      <c r="L4718" s="1" t="s">
        <v>31</v>
      </c>
      <c r="M4718" s="1" t="s">
        <v>18</v>
      </c>
      <c r="N4718" s="1" t="s">
        <v>18</v>
      </c>
      <c r="O4718" s="1">
        <v>3</v>
      </c>
      <c r="P4718" s="1">
        <v>7</v>
      </c>
      <c r="Q4718" s="7" t="s">
        <v>17633</v>
      </c>
      <c r="R4718" s="1" t="s">
        <v>19</v>
      </c>
      <c r="S4718" s="1" t="s">
        <v>20</v>
      </c>
      <c r="T4718" s="1" t="s">
        <v>21</v>
      </c>
      <c r="U4718" s="1" t="s">
        <v>22</v>
      </c>
      <c r="V4718" s="1" t="s">
        <v>24</v>
      </c>
      <c r="W4718" s="1" t="s">
        <v>24</v>
      </c>
      <c r="X4718" s="1">
        <v>2725</v>
      </c>
      <c r="Y4718" s="1">
        <v>1109</v>
      </c>
      <c r="Z4718" s="1">
        <v>2405</v>
      </c>
      <c r="AA4718" s="1">
        <v>2404</v>
      </c>
      <c r="AB4718" s="1" t="s">
        <v>24</v>
      </c>
      <c r="AC4718" s="1" t="s">
        <v>24</v>
      </c>
      <c r="AD4718" s="1" t="s">
        <v>24</v>
      </c>
      <c r="AE4718" s="1" t="s">
        <v>24</v>
      </c>
      <c r="AF4718" s="22"/>
    </row>
    <row r="4719" spans="1:32" x14ac:dyDescent="0.2">
      <c r="A4719" s="1">
        <v>42406</v>
      </c>
      <c r="B4719" s="1" t="s">
        <v>14359</v>
      </c>
      <c r="C4719" s="5" t="s">
        <v>0</v>
      </c>
      <c r="D4719" s="1" t="s">
        <v>14360</v>
      </c>
      <c r="F4719" s="1" t="s">
        <v>11251</v>
      </c>
      <c r="G4719" s="1" t="s">
        <v>11251</v>
      </c>
      <c r="H4719" s="1" t="s">
        <v>3228</v>
      </c>
      <c r="I4719" s="1" t="s">
        <v>16</v>
      </c>
      <c r="J4719" s="1">
        <v>1</v>
      </c>
      <c r="K4719" s="1">
        <v>1</v>
      </c>
      <c r="L4719" s="1" t="s">
        <v>42</v>
      </c>
      <c r="M4719" s="1" t="s">
        <v>18</v>
      </c>
      <c r="N4719" s="1" t="s">
        <v>18</v>
      </c>
      <c r="O4719" s="1">
        <v>3</v>
      </c>
      <c r="P4719" s="1">
        <v>6</v>
      </c>
      <c r="R4719" s="1" t="s">
        <v>19</v>
      </c>
      <c r="S4719" s="1" t="s">
        <v>63</v>
      </c>
      <c r="T4719" s="1" t="s">
        <v>21</v>
      </c>
      <c r="U4719" s="1" t="s">
        <v>22</v>
      </c>
      <c r="V4719" s="1" t="s">
        <v>24</v>
      </c>
      <c r="W4719" s="1" t="s">
        <v>24</v>
      </c>
      <c r="X4719" s="1">
        <v>2700</v>
      </c>
      <c r="Y4719" s="1">
        <v>3003</v>
      </c>
      <c r="Z4719" s="1">
        <v>3004</v>
      </c>
      <c r="AA4719" s="1" t="s">
        <v>24</v>
      </c>
      <c r="AB4719" s="1" t="s">
        <v>24</v>
      </c>
      <c r="AC4719" s="1" t="s">
        <v>24</v>
      </c>
      <c r="AD4719" s="1" t="s">
        <v>24</v>
      </c>
      <c r="AE4719" s="1" t="s">
        <v>24</v>
      </c>
      <c r="AF4719" s="22" t="s">
        <v>17678</v>
      </c>
    </row>
    <row r="4720" spans="1:32" x14ac:dyDescent="0.2">
      <c r="A4720" s="1">
        <v>42407</v>
      </c>
      <c r="B4720" s="1" t="s">
        <v>14361</v>
      </c>
      <c r="C4720" s="5" t="s">
        <v>0</v>
      </c>
      <c r="D4720" s="1" t="s">
        <v>14362</v>
      </c>
      <c r="E4720" s="1" t="s">
        <v>14363</v>
      </c>
      <c r="F4720" s="1" t="s">
        <v>85</v>
      </c>
      <c r="G4720" s="1" t="s">
        <v>61</v>
      </c>
      <c r="H4720" s="1" t="s">
        <v>86</v>
      </c>
      <c r="I4720" s="1" t="s">
        <v>16</v>
      </c>
      <c r="J4720" s="1">
        <v>1</v>
      </c>
      <c r="K4720" s="1">
        <v>3</v>
      </c>
      <c r="L4720" s="1" t="s">
        <v>31</v>
      </c>
      <c r="M4720" s="1" t="s">
        <v>18</v>
      </c>
      <c r="N4720" s="1" t="s">
        <v>18</v>
      </c>
      <c r="O4720" s="1">
        <v>3</v>
      </c>
      <c r="P4720" s="1">
        <v>7</v>
      </c>
      <c r="Q4720" s="7" t="s">
        <v>17633</v>
      </c>
      <c r="R4720" s="1" t="s">
        <v>19</v>
      </c>
      <c r="S4720" s="1" t="s">
        <v>20</v>
      </c>
      <c r="T4720" s="1" t="s">
        <v>21</v>
      </c>
      <c r="U4720" s="1" t="s">
        <v>22</v>
      </c>
      <c r="V4720" s="1" t="s">
        <v>24</v>
      </c>
      <c r="W4720" s="1" t="s">
        <v>24</v>
      </c>
      <c r="X4720" s="1">
        <v>2705</v>
      </c>
      <c r="Y4720" s="1" t="s">
        <v>24</v>
      </c>
      <c r="Z4720" s="1" t="s">
        <v>24</v>
      </c>
      <c r="AA4720" s="1" t="s">
        <v>24</v>
      </c>
      <c r="AB4720" s="1" t="s">
        <v>24</v>
      </c>
      <c r="AC4720" s="1" t="s">
        <v>24</v>
      </c>
      <c r="AD4720" s="1" t="s">
        <v>24</v>
      </c>
      <c r="AE4720" s="1" t="s">
        <v>24</v>
      </c>
      <c r="AF4720" s="22"/>
    </row>
    <row r="4721" spans="1:32" x14ac:dyDescent="0.2">
      <c r="A4721" s="1">
        <v>42408</v>
      </c>
      <c r="B4721" s="1" t="s">
        <v>14364</v>
      </c>
      <c r="C4721" s="5" t="s">
        <v>0</v>
      </c>
      <c r="D4721" s="1" t="s">
        <v>14365</v>
      </c>
      <c r="F4721" s="1" t="s">
        <v>2776</v>
      </c>
      <c r="G4721" s="1" t="s">
        <v>61</v>
      </c>
      <c r="H4721" s="1" t="s">
        <v>46</v>
      </c>
      <c r="I4721" s="1" t="s">
        <v>16</v>
      </c>
      <c r="J4721" s="1">
        <v>1</v>
      </c>
      <c r="K4721" s="1">
        <v>12</v>
      </c>
      <c r="L4721" s="1" t="s">
        <v>31</v>
      </c>
      <c r="M4721" s="1" t="s">
        <v>18</v>
      </c>
      <c r="N4721" s="1" t="s">
        <v>18</v>
      </c>
      <c r="O4721" s="1">
        <v>3</v>
      </c>
      <c r="P4721" s="1">
        <v>7</v>
      </c>
      <c r="Q4721" s="7" t="s">
        <v>17633</v>
      </c>
      <c r="R4721" s="1" t="s">
        <v>19</v>
      </c>
      <c r="S4721" s="1" t="s">
        <v>20</v>
      </c>
      <c r="T4721" s="1" t="s">
        <v>21</v>
      </c>
      <c r="U4721" s="1" t="s">
        <v>22</v>
      </c>
      <c r="V4721" s="1" t="s">
        <v>23</v>
      </c>
      <c r="W4721" s="1" t="s">
        <v>24</v>
      </c>
      <c r="X4721" s="1">
        <v>2700</v>
      </c>
      <c r="Y4721" s="1" t="s">
        <v>24</v>
      </c>
      <c r="Z4721" s="1" t="s">
        <v>24</v>
      </c>
      <c r="AA4721" s="1" t="s">
        <v>24</v>
      </c>
      <c r="AB4721" s="1" t="s">
        <v>24</v>
      </c>
      <c r="AC4721" s="1" t="s">
        <v>24</v>
      </c>
      <c r="AD4721" s="1" t="s">
        <v>24</v>
      </c>
      <c r="AE4721" s="1" t="s">
        <v>24</v>
      </c>
      <c r="AF4721" s="22"/>
    </row>
    <row r="4722" spans="1:32" x14ac:dyDescent="0.2">
      <c r="A4722" s="1">
        <v>42409</v>
      </c>
      <c r="B4722" s="1" t="s">
        <v>14366</v>
      </c>
      <c r="C4722" s="5" t="s">
        <v>0</v>
      </c>
      <c r="D4722" s="1" t="s">
        <v>14367</v>
      </c>
      <c r="F4722" s="1" t="s">
        <v>11251</v>
      </c>
      <c r="G4722" s="1" t="s">
        <v>11251</v>
      </c>
      <c r="H4722" s="1" t="s">
        <v>3228</v>
      </c>
      <c r="I4722" s="1" t="s">
        <v>16</v>
      </c>
      <c r="J4722" s="1">
        <v>1</v>
      </c>
      <c r="K4722" s="1">
        <v>1</v>
      </c>
      <c r="L4722" s="1" t="s">
        <v>42</v>
      </c>
      <c r="M4722" s="1" t="s">
        <v>18</v>
      </c>
      <c r="N4722" s="1" t="s">
        <v>18</v>
      </c>
      <c r="O4722" s="1">
        <v>3</v>
      </c>
      <c r="P4722" s="1">
        <v>6</v>
      </c>
      <c r="R4722" s="1" t="s">
        <v>19</v>
      </c>
      <c r="S4722" s="1" t="s">
        <v>63</v>
      </c>
      <c r="T4722" s="1" t="s">
        <v>21</v>
      </c>
      <c r="U4722" s="1" t="s">
        <v>22</v>
      </c>
      <c r="V4722" s="1" t="s">
        <v>24</v>
      </c>
      <c r="W4722" s="1" t="s">
        <v>24</v>
      </c>
      <c r="X4722" s="1">
        <v>2705</v>
      </c>
      <c r="Y4722" s="1" t="s">
        <v>24</v>
      </c>
      <c r="Z4722" s="1" t="s">
        <v>24</v>
      </c>
      <c r="AA4722" s="1" t="s">
        <v>24</v>
      </c>
      <c r="AB4722" s="1" t="s">
        <v>24</v>
      </c>
      <c r="AC4722" s="1" t="s">
        <v>24</v>
      </c>
      <c r="AD4722" s="1" t="s">
        <v>24</v>
      </c>
      <c r="AE4722" s="1" t="s">
        <v>24</v>
      </c>
      <c r="AF4722" s="22" t="s">
        <v>17678</v>
      </c>
    </row>
    <row r="4723" spans="1:32" x14ac:dyDescent="0.2">
      <c r="A4723" s="1">
        <v>42444</v>
      </c>
      <c r="B4723" s="1" t="s">
        <v>14368</v>
      </c>
      <c r="C4723" s="5" t="s">
        <v>0</v>
      </c>
      <c r="D4723" s="1" t="s">
        <v>14369</v>
      </c>
      <c r="E4723" s="1" t="s">
        <v>14370</v>
      </c>
      <c r="F4723" s="1" t="s">
        <v>14371</v>
      </c>
      <c r="G4723" s="1" t="s">
        <v>14371</v>
      </c>
      <c r="H4723" s="1" t="s">
        <v>184</v>
      </c>
      <c r="I4723" s="1" t="s">
        <v>16</v>
      </c>
      <c r="J4723" s="1">
        <v>1</v>
      </c>
      <c r="K4723" s="1">
        <v>52</v>
      </c>
      <c r="L4723" s="1" t="s">
        <v>42</v>
      </c>
      <c r="M4723" s="1" t="s">
        <v>18</v>
      </c>
      <c r="N4723" s="1" t="s">
        <v>18</v>
      </c>
      <c r="O4723" s="1">
        <v>1</v>
      </c>
      <c r="P4723" s="1">
        <v>1</v>
      </c>
      <c r="R4723" s="1" t="s">
        <v>19</v>
      </c>
      <c r="S4723" s="1" t="s">
        <v>20</v>
      </c>
      <c r="T4723" s="1" t="s">
        <v>21</v>
      </c>
      <c r="U4723" s="1" t="s">
        <v>22</v>
      </c>
      <c r="V4723" s="1" t="s">
        <v>24</v>
      </c>
      <c r="W4723" s="1" t="s">
        <v>24</v>
      </c>
      <c r="X4723" s="1">
        <v>2713</v>
      </c>
      <c r="Y4723" s="1">
        <v>2739</v>
      </c>
      <c r="Z4723" s="1">
        <v>2406</v>
      </c>
      <c r="AA4723" s="1" t="s">
        <v>24</v>
      </c>
      <c r="AB4723" s="1" t="s">
        <v>24</v>
      </c>
      <c r="AC4723" s="1" t="s">
        <v>24</v>
      </c>
      <c r="AD4723" s="1" t="s">
        <v>24</v>
      </c>
      <c r="AE4723" s="1" t="s">
        <v>24</v>
      </c>
      <c r="AF4723" s="22"/>
    </row>
    <row r="4724" spans="1:32" x14ac:dyDescent="0.2">
      <c r="A4724" s="1">
        <v>42679</v>
      </c>
      <c r="B4724" s="1" t="s">
        <v>14372</v>
      </c>
      <c r="C4724" s="5" t="s">
        <v>0</v>
      </c>
      <c r="D4724" s="1" t="s">
        <v>14373</v>
      </c>
      <c r="F4724" s="1" t="s">
        <v>2776</v>
      </c>
      <c r="G4724" s="1" t="s">
        <v>61</v>
      </c>
      <c r="H4724" s="1" t="s">
        <v>46</v>
      </c>
      <c r="I4724" s="1" t="s">
        <v>16</v>
      </c>
      <c r="J4724" s="1">
        <v>1</v>
      </c>
      <c r="K4724" s="1">
        <v>6</v>
      </c>
      <c r="L4724" s="1" t="s">
        <v>31</v>
      </c>
      <c r="M4724" s="1" t="s">
        <v>18</v>
      </c>
      <c r="N4724" s="1" t="s">
        <v>18</v>
      </c>
      <c r="O4724" s="1">
        <v>3</v>
      </c>
      <c r="P4724" s="1">
        <v>7</v>
      </c>
      <c r="Q4724" s="7" t="s">
        <v>17633</v>
      </c>
      <c r="R4724" s="1" t="s">
        <v>19</v>
      </c>
      <c r="S4724" s="1" t="s">
        <v>20</v>
      </c>
      <c r="T4724" s="1" t="s">
        <v>21</v>
      </c>
      <c r="U4724" s="1" t="s">
        <v>22</v>
      </c>
      <c r="V4724" s="1" t="s">
        <v>24</v>
      </c>
      <c r="W4724" s="1" t="s">
        <v>24</v>
      </c>
      <c r="X4724" s="1">
        <v>1300</v>
      </c>
      <c r="Y4724" s="1">
        <v>2700</v>
      </c>
      <c r="Z4724" s="1" t="s">
        <v>24</v>
      </c>
      <c r="AA4724" s="1" t="s">
        <v>24</v>
      </c>
      <c r="AB4724" s="1" t="s">
        <v>24</v>
      </c>
      <c r="AC4724" s="1" t="s">
        <v>24</v>
      </c>
      <c r="AD4724" s="1" t="s">
        <v>24</v>
      </c>
      <c r="AE4724" s="1" t="s">
        <v>24</v>
      </c>
      <c r="AF4724" s="22"/>
    </row>
    <row r="4725" spans="1:32" x14ac:dyDescent="0.2">
      <c r="A4725" s="1">
        <v>42710</v>
      </c>
      <c r="B4725" s="1" t="s">
        <v>14374</v>
      </c>
      <c r="C4725" s="5" t="s">
        <v>0</v>
      </c>
      <c r="D4725" s="1" t="s">
        <v>14375</v>
      </c>
      <c r="E4725" s="1" t="s">
        <v>14376</v>
      </c>
      <c r="F4725" s="1" t="s">
        <v>841</v>
      </c>
      <c r="G4725" s="1" t="s">
        <v>856</v>
      </c>
      <c r="H4725" s="1" t="s">
        <v>37</v>
      </c>
      <c r="I4725" s="1" t="s">
        <v>16</v>
      </c>
      <c r="J4725" s="1">
        <v>1</v>
      </c>
      <c r="K4725" s="1">
        <v>12</v>
      </c>
      <c r="L4725" s="1" t="s">
        <v>42</v>
      </c>
      <c r="M4725" s="1" t="s">
        <v>18</v>
      </c>
      <c r="N4725" s="1" t="s">
        <v>18</v>
      </c>
      <c r="O4725" s="1">
        <v>3</v>
      </c>
      <c r="P4725" s="1">
        <v>6</v>
      </c>
      <c r="R4725" s="1" t="s">
        <v>19</v>
      </c>
      <c r="S4725" s="1" t="s">
        <v>20</v>
      </c>
      <c r="T4725" s="1" t="s">
        <v>21</v>
      </c>
      <c r="U4725" s="1" t="s">
        <v>22</v>
      </c>
      <c r="V4725" s="1" t="s">
        <v>24</v>
      </c>
      <c r="W4725" s="1" t="s">
        <v>24</v>
      </c>
      <c r="X4725" s="1">
        <v>2738</v>
      </c>
      <c r="Y4725" s="1" t="s">
        <v>24</v>
      </c>
      <c r="Z4725" s="1" t="s">
        <v>24</v>
      </c>
      <c r="AA4725" s="1" t="s">
        <v>24</v>
      </c>
      <c r="AB4725" s="1" t="s">
        <v>24</v>
      </c>
      <c r="AC4725" s="1" t="s">
        <v>24</v>
      </c>
      <c r="AD4725" s="1" t="s">
        <v>24</v>
      </c>
      <c r="AE4725" s="1" t="s">
        <v>24</v>
      </c>
      <c r="AF4725" s="22"/>
    </row>
    <row r="4726" spans="1:32" x14ac:dyDescent="0.2">
      <c r="A4726" s="1">
        <v>42766</v>
      </c>
      <c r="B4726" s="1" t="s">
        <v>14377</v>
      </c>
      <c r="C4726" s="5" t="s">
        <v>0</v>
      </c>
      <c r="D4726" s="1" t="s">
        <v>14378</v>
      </c>
      <c r="E4726" s="1" t="s">
        <v>14379</v>
      </c>
      <c r="F4726" s="1" t="s">
        <v>109</v>
      </c>
      <c r="G4726" s="1" t="s">
        <v>110</v>
      </c>
      <c r="H4726" s="1" t="s">
        <v>111</v>
      </c>
      <c r="I4726" s="1" t="s">
        <v>16</v>
      </c>
      <c r="J4726" s="1">
        <v>2</v>
      </c>
      <c r="K4726" s="1">
        <v>6</v>
      </c>
      <c r="L4726" s="1" t="s">
        <v>31</v>
      </c>
      <c r="M4726" s="1" t="s">
        <v>18</v>
      </c>
      <c r="N4726" s="1" t="s">
        <v>18</v>
      </c>
      <c r="O4726" s="1">
        <v>3</v>
      </c>
      <c r="P4726" s="1">
        <v>7</v>
      </c>
      <c r="Q4726" s="7" t="s">
        <v>17633</v>
      </c>
      <c r="R4726" s="1" t="s">
        <v>19</v>
      </c>
      <c r="S4726" s="1" t="s">
        <v>20</v>
      </c>
      <c r="T4726" s="1" t="s">
        <v>21</v>
      </c>
      <c r="U4726" s="1" t="s">
        <v>22</v>
      </c>
      <c r="V4726" s="1" t="s">
        <v>24</v>
      </c>
      <c r="W4726" s="1" t="s">
        <v>24</v>
      </c>
      <c r="X4726" s="1">
        <v>1310</v>
      </c>
      <c r="Y4726" s="1">
        <v>2712</v>
      </c>
      <c r="Z4726" s="1">
        <v>2735</v>
      </c>
      <c r="AA4726" s="1" t="s">
        <v>24</v>
      </c>
      <c r="AB4726" s="1" t="s">
        <v>24</v>
      </c>
      <c r="AC4726" s="1" t="s">
        <v>24</v>
      </c>
      <c r="AD4726" s="1" t="s">
        <v>24</v>
      </c>
      <c r="AE4726" s="1" t="s">
        <v>24</v>
      </c>
      <c r="AF4726" s="22"/>
    </row>
    <row r="4727" spans="1:32" x14ac:dyDescent="0.2">
      <c r="A4727" s="1">
        <v>43071</v>
      </c>
      <c r="B4727" s="1" t="s">
        <v>14380</v>
      </c>
      <c r="C4727" s="5" t="s">
        <v>0</v>
      </c>
      <c r="D4727" s="1" t="s">
        <v>14381</v>
      </c>
      <c r="F4727" s="1" t="s">
        <v>11251</v>
      </c>
      <c r="G4727" s="1" t="s">
        <v>11251</v>
      </c>
      <c r="H4727" s="1" t="s">
        <v>3228</v>
      </c>
      <c r="I4727" s="1" t="s">
        <v>16</v>
      </c>
      <c r="J4727" s="1">
        <v>1</v>
      </c>
      <c r="K4727" s="1">
        <v>1</v>
      </c>
      <c r="L4727" s="1" t="s">
        <v>42</v>
      </c>
      <c r="M4727" s="1" t="s">
        <v>18</v>
      </c>
      <c r="N4727" s="1" t="s">
        <v>18</v>
      </c>
      <c r="O4727" s="1">
        <v>3</v>
      </c>
      <c r="P4727" s="1">
        <v>6</v>
      </c>
      <c r="R4727" s="1" t="s">
        <v>19</v>
      </c>
      <c r="S4727" s="1" t="s">
        <v>63</v>
      </c>
      <c r="T4727" s="1" t="s">
        <v>21</v>
      </c>
      <c r="U4727" s="1" t="s">
        <v>22</v>
      </c>
      <c r="V4727" s="1" t="s">
        <v>24</v>
      </c>
      <c r="W4727" s="1" t="s">
        <v>24</v>
      </c>
      <c r="X4727" s="1">
        <v>2722</v>
      </c>
      <c r="Y4727" s="1">
        <v>2726</v>
      </c>
      <c r="Z4727" s="1">
        <v>2734</v>
      </c>
      <c r="AA4727" s="1" t="s">
        <v>24</v>
      </c>
      <c r="AB4727" s="1" t="s">
        <v>24</v>
      </c>
      <c r="AC4727" s="1" t="s">
        <v>24</v>
      </c>
      <c r="AD4727" s="1" t="s">
        <v>24</v>
      </c>
      <c r="AE4727" s="1" t="s">
        <v>24</v>
      </c>
      <c r="AF4727" s="22" t="s">
        <v>17678</v>
      </c>
    </row>
    <row r="4728" spans="1:32" x14ac:dyDescent="0.2">
      <c r="A4728" s="1">
        <v>43214</v>
      </c>
      <c r="B4728" s="1" t="s">
        <v>14382</v>
      </c>
      <c r="C4728" s="5" t="s">
        <v>0</v>
      </c>
      <c r="D4728" s="1" t="s">
        <v>14383</v>
      </c>
      <c r="E4728" s="1" t="s">
        <v>14384</v>
      </c>
      <c r="F4728" s="1" t="s">
        <v>129</v>
      </c>
      <c r="G4728" s="1" t="s">
        <v>130</v>
      </c>
      <c r="H4728" s="1" t="s">
        <v>131</v>
      </c>
      <c r="I4728" s="1" t="s">
        <v>16</v>
      </c>
      <c r="J4728" s="1">
        <v>1</v>
      </c>
      <c r="K4728" s="1">
        <v>4</v>
      </c>
      <c r="L4728" s="1" t="s">
        <v>31</v>
      </c>
      <c r="M4728" s="1" t="s">
        <v>18</v>
      </c>
      <c r="N4728" s="1" t="s">
        <v>18</v>
      </c>
      <c r="O4728" s="1">
        <v>3</v>
      </c>
      <c r="P4728" s="1">
        <v>7</v>
      </c>
      <c r="Q4728" s="7" t="s">
        <v>17633</v>
      </c>
      <c r="R4728" s="1" t="s">
        <v>19</v>
      </c>
      <c r="S4728" s="1" t="s">
        <v>20</v>
      </c>
      <c r="T4728" s="1" t="s">
        <v>21</v>
      </c>
      <c r="U4728" s="1" t="s">
        <v>22</v>
      </c>
      <c r="V4728" s="1" t="s">
        <v>24</v>
      </c>
      <c r="W4728" s="1" t="s">
        <v>24</v>
      </c>
      <c r="X4728" s="1">
        <v>1300</v>
      </c>
      <c r="Y4728" s="1">
        <v>1600</v>
      </c>
      <c r="Z4728" s="1">
        <v>1502</v>
      </c>
      <c r="AA4728" s="1" t="s">
        <v>24</v>
      </c>
      <c r="AB4728" s="1" t="s">
        <v>24</v>
      </c>
      <c r="AC4728" s="1" t="s">
        <v>24</v>
      </c>
      <c r="AD4728" s="1" t="s">
        <v>24</v>
      </c>
      <c r="AE4728" s="1" t="s">
        <v>24</v>
      </c>
      <c r="AF4728" s="22"/>
    </row>
    <row r="4729" spans="1:32" x14ac:dyDescent="0.2">
      <c r="A4729" s="1">
        <v>43215</v>
      </c>
      <c r="B4729" s="1" t="s">
        <v>14385</v>
      </c>
      <c r="C4729" s="5" t="s">
        <v>0</v>
      </c>
      <c r="D4729" s="1" t="s">
        <v>14386</v>
      </c>
      <c r="E4729" s="1" t="s">
        <v>14387</v>
      </c>
      <c r="F4729" s="1" t="s">
        <v>198</v>
      </c>
      <c r="G4729" s="1" t="s">
        <v>130</v>
      </c>
      <c r="H4729" s="1" t="s">
        <v>86</v>
      </c>
      <c r="I4729" s="1" t="s">
        <v>16</v>
      </c>
      <c r="J4729" s="1">
        <v>1</v>
      </c>
      <c r="K4729" s="1">
        <v>4</v>
      </c>
      <c r="L4729" s="1" t="s">
        <v>31</v>
      </c>
      <c r="M4729" s="1" t="s">
        <v>87</v>
      </c>
      <c r="N4729" s="1" t="s">
        <v>199</v>
      </c>
      <c r="O4729" s="1">
        <v>3</v>
      </c>
      <c r="P4729" s="1">
        <v>6</v>
      </c>
      <c r="R4729" s="1" t="s">
        <v>19</v>
      </c>
      <c r="S4729" s="1" t="s">
        <v>20</v>
      </c>
      <c r="T4729" s="1" t="s">
        <v>21</v>
      </c>
      <c r="U4729" s="1" t="s">
        <v>22</v>
      </c>
      <c r="V4729" s="1" t="s">
        <v>23</v>
      </c>
      <c r="W4729" s="1" t="s">
        <v>24</v>
      </c>
      <c r="X4729" s="1">
        <v>2717</v>
      </c>
      <c r="Y4729" s="1" t="s">
        <v>24</v>
      </c>
      <c r="Z4729" s="1" t="s">
        <v>24</v>
      </c>
      <c r="AA4729" s="1" t="s">
        <v>24</v>
      </c>
      <c r="AB4729" s="1" t="s">
        <v>24</v>
      </c>
      <c r="AC4729" s="1" t="s">
        <v>24</v>
      </c>
      <c r="AD4729" s="1" t="s">
        <v>24</v>
      </c>
      <c r="AE4729" s="1" t="s">
        <v>24</v>
      </c>
      <c r="AF4729" s="22"/>
    </row>
    <row r="4730" spans="1:32" x14ac:dyDescent="0.2">
      <c r="A4730" s="1">
        <v>43216</v>
      </c>
      <c r="B4730" s="1" t="s">
        <v>14388</v>
      </c>
      <c r="C4730" s="5" t="s">
        <v>0</v>
      </c>
      <c r="D4730" s="1" t="s">
        <v>14389</v>
      </c>
      <c r="E4730" s="1" t="s">
        <v>14390</v>
      </c>
      <c r="F4730" s="1" t="s">
        <v>8442</v>
      </c>
      <c r="G4730" s="1" t="s">
        <v>8443</v>
      </c>
      <c r="H4730" s="1" t="s">
        <v>37</v>
      </c>
      <c r="I4730" s="1" t="s">
        <v>16</v>
      </c>
      <c r="J4730" s="1">
        <v>1</v>
      </c>
      <c r="K4730" s="1">
        <v>6</v>
      </c>
      <c r="L4730" s="1" t="s">
        <v>31</v>
      </c>
      <c r="M4730" s="1" t="s">
        <v>18</v>
      </c>
      <c r="N4730" s="1" t="s">
        <v>18</v>
      </c>
      <c r="O4730" s="1">
        <v>3</v>
      </c>
      <c r="P4730" s="1">
        <v>7</v>
      </c>
      <c r="Q4730" s="7" t="s">
        <v>17633</v>
      </c>
      <c r="R4730" s="1" t="s">
        <v>19</v>
      </c>
      <c r="S4730" s="1" t="s">
        <v>20</v>
      </c>
      <c r="T4730" s="1" t="s">
        <v>21</v>
      </c>
      <c r="U4730" s="1" t="s">
        <v>22</v>
      </c>
      <c r="V4730" s="1" t="s">
        <v>24</v>
      </c>
      <c r="W4730" s="1" t="s">
        <v>24</v>
      </c>
      <c r="X4730" s="1">
        <v>1311</v>
      </c>
      <c r="Y4730" s="1">
        <v>1306</v>
      </c>
      <c r="Z4730" s="1" t="s">
        <v>24</v>
      </c>
      <c r="AA4730" s="1" t="s">
        <v>24</v>
      </c>
      <c r="AB4730" s="1" t="s">
        <v>24</v>
      </c>
      <c r="AC4730" s="1" t="s">
        <v>24</v>
      </c>
      <c r="AD4730" s="1" t="s">
        <v>24</v>
      </c>
      <c r="AE4730" s="1" t="s">
        <v>24</v>
      </c>
      <c r="AF4730" s="22"/>
    </row>
    <row r="4731" spans="1:32" x14ac:dyDescent="0.2">
      <c r="A4731" s="1">
        <v>43217</v>
      </c>
      <c r="B4731" s="1" t="s">
        <v>14391</v>
      </c>
      <c r="C4731" s="5" t="s">
        <v>0</v>
      </c>
      <c r="E4731" s="1" t="s">
        <v>14392</v>
      </c>
      <c r="F4731" s="1" t="s">
        <v>2299</v>
      </c>
      <c r="G4731" s="1" t="s">
        <v>2300</v>
      </c>
      <c r="H4731" s="1" t="s">
        <v>37</v>
      </c>
      <c r="I4731" s="1" t="s">
        <v>16</v>
      </c>
      <c r="J4731" s="1">
        <v>1</v>
      </c>
      <c r="K4731" s="1">
        <v>1</v>
      </c>
      <c r="L4731" s="1" t="s">
        <v>31</v>
      </c>
      <c r="M4731" s="1" t="s">
        <v>18</v>
      </c>
      <c r="N4731" s="1" t="s">
        <v>18</v>
      </c>
      <c r="O4731" s="1">
        <v>3</v>
      </c>
      <c r="P4731" s="1">
        <v>7</v>
      </c>
      <c r="Q4731" s="7" t="s">
        <v>17633</v>
      </c>
      <c r="R4731" s="1" t="s">
        <v>19</v>
      </c>
      <c r="S4731" s="1" t="s">
        <v>63</v>
      </c>
      <c r="T4731" s="1" t="s">
        <v>21</v>
      </c>
      <c r="U4731" s="1" t="s">
        <v>22</v>
      </c>
      <c r="V4731" s="1" t="s">
        <v>24</v>
      </c>
      <c r="W4731" s="1" t="s">
        <v>24</v>
      </c>
      <c r="X4731" s="1">
        <v>2801</v>
      </c>
      <c r="Y4731" s="1">
        <v>2805</v>
      </c>
      <c r="Z4731" s="1" t="s">
        <v>24</v>
      </c>
      <c r="AA4731" s="1" t="s">
        <v>24</v>
      </c>
      <c r="AB4731" s="1" t="s">
        <v>24</v>
      </c>
      <c r="AC4731" s="1" t="s">
        <v>24</v>
      </c>
      <c r="AD4731" s="1" t="s">
        <v>24</v>
      </c>
      <c r="AE4731" s="1" t="s">
        <v>24</v>
      </c>
      <c r="AF4731" s="22"/>
    </row>
    <row r="4732" spans="1:32" x14ac:dyDescent="0.2">
      <c r="A4732" s="1">
        <v>43218</v>
      </c>
      <c r="B4732" s="1" t="s">
        <v>14393</v>
      </c>
      <c r="C4732" s="5" t="s">
        <v>0</v>
      </c>
      <c r="D4732" s="1" t="s">
        <v>14394</v>
      </c>
      <c r="E4732" s="1" t="s">
        <v>14395</v>
      </c>
      <c r="F4732" s="1" t="s">
        <v>190</v>
      </c>
      <c r="G4732" s="1" t="s">
        <v>130</v>
      </c>
      <c r="H4732" s="1" t="s">
        <v>30</v>
      </c>
      <c r="I4732" s="1" t="s">
        <v>16</v>
      </c>
      <c r="J4732" s="1">
        <v>1</v>
      </c>
      <c r="K4732" s="1">
        <v>4</v>
      </c>
      <c r="L4732" s="1" t="s">
        <v>31</v>
      </c>
      <c r="M4732" s="1" t="s">
        <v>18</v>
      </c>
      <c r="N4732" s="1" t="s">
        <v>18</v>
      </c>
      <c r="O4732" s="1">
        <v>3</v>
      </c>
      <c r="P4732" s="1">
        <v>7</v>
      </c>
      <c r="Q4732" s="7" t="s">
        <v>17633</v>
      </c>
      <c r="R4732" s="1" t="s">
        <v>19</v>
      </c>
      <c r="S4732" s="1" t="s">
        <v>20</v>
      </c>
      <c r="T4732" s="1" t="s">
        <v>21</v>
      </c>
      <c r="U4732" s="1" t="s">
        <v>22</v>
      </c>
      <c r="V4732" s="1" t="s">
        <v>24</v>
      </c>
      <c r="W4732" s="1" t="s">
        <v>24</v>
      </c>
      <c r="X4732" s="1">
        <v>2713</v>
      </c>
      <c r="Y4732" s="1">
        <v>2307</v>
      </c>
      <c r="Z4732" s="1">
        <v>1106</v>
      </c>
      <c r="AA4732" s="1">
        <v>2406</v>
      </c>
      <c r="AB4732" s="1" t="s">
        <v>24</v>
      </c>
      <c r="AC4732" s="1" t="s">
        <v>24</v>
      </c>
      <c r="AD4732" s="1" t="s">
        <v>24</v>
      </c>
      <c r="AE4732" s="1" t="s">
        <v>24</v>
      </c>
      <c r="AF4732" s="22"/>
    </row>
    <row r="4733" spans="1:32" x14ac:dyDescent="0.2">
      <c r="A4733" s="1">
        <v>43219</v>
      </c>
      <c r="B4733" s="1" t="s">
        <v>14396</v>
      </c>
      <c r="C4733" s="5" t="s">
        <v>0</v>
      </c>
      <c r="D4733" s="1" t="s">
        <v>14397</v>
      </c>
      <c r="E4733" s="1" t="s">
        <v>14398</v>
      </c>
      <c r="F4733" s="1" t="s">
        <v>8442</v>
      </c>
      <c r="G4733" s="1" t="s">
        <v>8443</v>
      </c>
      <c r="H4733" s="1" t="s">
        <v>37</v>
      </c>
      <c r="I4733" s="1" t="s">
        <v>16</v>
      </c>
      <c r="J4733" s="1">
        <v>1</v>
      </c>
      <c r="K4733" s="1">
        <v>6</v>
      </c>
      <c r="L4733" s="1" t="s">
        <v>31</v>
      </c>
      <c r="M4733" s="1" t="s">
        <v>18</v>
      </c>
      <c r="N4733" s="1" t="s">
        <v>18</v>
      </c>
      <c r="O4733" s="1">
        <v>3</v>
      </c>
      <c r="P4733" s="1">
        <v>7</v>
      </c>
      <c r="Q4733" s="7" t="s">
        <v>17633</v>
      </c>
      <c r="R4733" s="1" t="s">
        <v>19</v>
      </c>
      <c r="S4733" s="1" t="s">
        <v>20</v>
      </c>
      <c r="T4733" s="1" t="s">
        <v>21</v>
      </c>
      <c r="U4733" s="1" t="s">
        <v>22</v>
      </c>
      <c r="V4733" s="1" t="s">
        <v>24</v>
      </c>
      <c r="W4733" s="1" t="s">
        <v>24</v>
      </c>
      <c r="X4733" s="1">
        <v>2741</v>
      </c>
      <c r="Y4733" s="1">
        <v>3614</v>
      </c>
      <c r="Z4733" s="1" t="s">
        <v>24</v>
      </c>
      <c r="AA4733" s="1" t="s">
        <v>24</v>
      </c>
      <c r="AB4733" s="1" t="s">
        <v>24</v>
      </c>
      <c r="AC4733" s="1" t="s">
        <v>24</v>
      </c>
      <c r="AD4733" s="1" t="s">
        <v>24</v>
      </c>
      <c r="AE4733" s="1" t="s">
        <v>24</v>
      </c>
      <c r="AF4733" s="22"/>
    </row>
    <row r="4734" spans="1:32" x14ac:dyDescent="0.2">
      <c r="A4734" s="1">
        <v>43221</v>
      </c>
      <c r="B4734" s="1" t="s">
        <v>14399</v>
      </c>
      <c r="C4734" s="5" t="s">
        <v>0</v>
      </c>
      <c r="D4734" s="1" t="s">
        <v>14400</v>
      </c>
      <c r="E4734" s="1" t="s">
        <v>14401</v>
      </c>
      <c r="F4734" s="1" t="s">
        <v>8442</v>
      </c>
      <c r="G4734" s="1" t="s">
        <v>8443</v>
      </c>
      <c r="H4734" s="1" t="s">
        <v>37</v>
      </c>
      <c r="I4734" s="1" t="s">
        <v>16</v>
      </c>
      <c r="J4734" s="1">
        <v>1</v>
      </c>
      <c r="K4734" s="1">
        <v>6</v>
      </c>
      <c r="L4734" s="1" t="s">
        <v>31</v>
      </c>
      <c r="M4734" s="1" t="s">
        <v>18</v>
      </c>
      <c r="N4734" s="1" t="s">
        <v>18</v>
      </c>
      <c r="O4734" s="1">
        <v>3</v>
      </c>
      <c r="P4734" s="1">
        <v>7</v>
      </c>
      <c r="Q4734" s="7" t="s">
        <v>17633</v>
      </c>
      <c r="R4734" s="1" t="s">
        <v>19</v>
      </c>
      <c r="S4734" s="1" t="s">
        <v>20</v>
      </c>
      <c r="T4734" s="1" t="s">
        <v>21</v>
      </c>
      <c r="U4734" s="1" t="s">
        <v>22</v>
      </c>
      <c r="V4734" s="1" t="s">
        <v>24</v>
      </c>
      <c r="W4734" s="1" t="s">
        <v>24</v>
      </c>
      <c r="X4734" s="1">
        <v>2705</v>
      </c>
      <c r="Y4734" s="1" t="s">
        <v>24</v>
      </c>
      <c r="Z4734" s="1" t="s">
        <v>24</v>
      </c>
      <c r="AA4734" s="1" t="s">
        <v>24</v>
      </c>
      <c r="AB4734" s="1" t="s">
        <v>24</v>
      </c>
      <c r="AC4734" s="1" t="s">
        <v>24</v>
      </c>
      <c r="AD4734" s="1" t="s">
        <v>24</v>
      </c>
      <c r="AE4734" s="1" t="s">
        <v>24</v>
      </c>
      <c r="AF4734" s="22" t="s">
        <v>50549</v>
      </c>
    </row>
    <row r="4735" spans="1:32" x14ac:dyDescent="0.2">
      <c r="A4735" s="1">
        <v>43222</v>
      </c>
      <c r="B4735" s="1" t="s">
        <v>14402</v>
      </c>
      <c r="C4735" s="5" t="s">
        <v>0</v>
      </c>
      <c r="D4735" s="1" t="s">
        <v>14403</v>
      </c>
      <c r="E4735" s="1" t="s">
        <v>14404</v>
      </c>
      <c r="F4735" s="1" t="s">
        <v>1412</v>
      </c>
      <c r="G4735" s="1" t="s">
        <v>1413</v>
      </c>
      <c r="H4735" s="1" t="s">
        <v>30</v>
      </c>
      <c r="I4735" s="1" t="s">
        <v>16</v>
      </c>
      <c r="J4735" s="1">
        <v>1</v>
      </c>
      <c r="K4735" s="1">
        <v>1</v>
      </c>
      <c r="L4735" s="1" t="s">
        <v>31</v>
      </c>
      <c r="M4735" s="1" t="s">
        <v>18</v>
      </c>
      <c r="N4735" s="1" t="s">
        <v>18</v>
      </c>
      <c r="O4735" s="1">
        <v>2</v>
      </c>
      <c r="P4735" s="1">
        <v>7</v>
      </c>
      <c r="Q4735" s="7" t="s">
        <v>17633</v>
      </c>
      <c r="R4735" s="1" t="s">
        <v>19</v>
      </c>
      <c r="S4735" s="1" t="s">
        <v>63</v>
      </c>
      <c r="T4735" s="1" t="s">
        <v>21</v>
      </c>
      <c r="U4735" s="1" t="s">
        <v>22</v>
      </c>
      <c r="V4735" s="1" t="s">
        <v>23</v>
      </c>
      <c r="W4735" s="1" t="s">
        <v>24</v>
      </c>
      <c r="X4735" s="1">
        <v>2739</v>
      </c>
      <c r="Y4735" s="1">
        <v>2307</v>
      </c>
      <c r="Z4735" s="1" t="s">
        <v>24</v>
      </c>
      <c r="AA4735" s="1" t="s">
        <v>24</v>
      </c>
      <c r="AB4735" s="1" t="s">
        <v>24</v>
      </c>
      <c r="AC4735" s="1" t="s">
        <v>24</v>
      </c>
      <c r="AD4735" s="1" t="s">
        <v>24</v>
      </c>
      <c r="AE4735" s="1" t="s">
        <v>24</v>
      </c>
      <c r="AF4735" s="22"/>
    </row>
    <row r="4736" spans="1:32" x14ac:dyDescent="0.2">
      <c r="A4736" s="1">
        <v>43223</v>
      </c>
      <c r="B4736" s="1" t="s">
        <v>14405</v>
      </c>
      <c r="C4736" s="5" t="s">
        <v>0</v>
      </c>
      <c r="D4736" s="1" t="s">
        <v>14406</v>
      </c>
      <c r="E4736" s="1" t="s">
        <v>14407</v>
      </c>
      <c r="F4736" s="1" t="s">
        <v>1977</v>
      </c>
      <c r="G4736" s="1" t="s">
        <v>130</v>
      </c>
      <c r="H4736" s="1" t="s">
        <v>899</v>
      </c>
      <c r="I4736" s="1" t="s">
        <v>16</v>
      </c>
      <c r="J4736" s="1">
        <v>1</v>
      </c>
      <c r="K4736" s="1">
        <v>2</v>
      </c>
      <c r="L4736" s="1" t="s">
        <v>31</v>
      </c>
      <c r="M4736" s="1" t="s">
        <v>18</v>
      </c>
      <c r="N4736" s="1" t="s">
        <v>18</v>
      </c>
      <c r="O4736" s="1">
        <v>3</v>
      </c>
      <c r="P4736" s="1">
        <v>7</v>
      </c>
      <c r="Q4736" s="7" t="s">
        <v>17633</v>
      </c>
      <c r="R4736" s="1" t="s">
        <v>19</v>
      </c>
      <c r="S4736" s="1" t="s">
        <v>20</v>
      </c>
      <c r="T4736" s="1" t="s">
        <v>21</v>
      </c>
      <c r="U4736" s="1" t="s">
        <v>22</v>
      </c>
      <c r="V4736" s="1" t="s">
        <v>23</v>
      </c>
      <c r="W4736" s="1" t="s">
        <v>24</v>
      </c>
      <c r="X4736" s="1">
        <v>2405</v>
      </c>
      <c r="Y4736" s="1" t="s">
        <v>24</v>
      </c>
      <c r="Z4736" s="1" t="s">
        <v>24</v>
      </c>
      <c r="AA4736" s="1" t="s">
        <v>24</v>
      </c>
      <c r="AB4736" s="1" t="s">
        <v>24</v>
      </c>
      <c r="AC4736" s="1" t="s">
        <v>24</v>
      </c>
      <c r="AD4736" s="1" t="s">
        <v>24</v>
      </c>
      <c r="AE4736" s="1" t="s">
        <v>24</v>
      </c>
      <c r="AF4736" s="22"/>
    </row>
    <row r="4737" spans="1:32" x14ac:dyDescent="0.2">
      <c r="A4737" s="1">
        <v>43224</v>
      </c>
      <c r="B4737" s="1" t="s">
        <v>14408</v>
      </c>
      <c r="C4737" s="5" t="s">
        <v>0</v>
      </c>
      <c r="D4737" s="1" t="s">
        <v>14409</v>
      </c>
      <c r="E4737" s="1" t="s">
        <v>14410</v>
      </c>
      <c r="F4737" s="1" t="s">
        <v>12162</v>
      </c>
      <c r="G4737" s="1" t="s">
        <v>61</v>
      </c>
      <c r="H4737" s="1" t="s">
        <v>899</v>
      </c>
      <c r="I4737" s="1" t="s">
        <v>16</v>
      </c>
      <c r="J4737" s="1">
        <v>1</v>
      </c>
      <c r="K4737" s="1">
        <v>4</v>
      </c>
      <c r="L4737" s="1" t="s">
        <v>31</v>
      </c>
      <c r="M4737" s="1" t="s">
        <v>18</v>
      </c>
      <c r="N4737" s="1" t="s">
        <v>18</v>
      </c>
      <c r="O4737" s="1">
        <v>2</v>
      </c>
      <c r="P4737" s="1">
        <v>7</v>
      </c>
      <c r="Q4737" s="7" t="s">
        <v>17633</v>
      </c>
      <c r="R4737" s="1" t="s">
        <v>19</v>
      </c>
      <c r="S4737" s="1" t="s">
        <v>20</v>
      </c>
      <c r="T4737" s="1" t="s">
        <v>21</v>
      </c>
      <c r="U4737" s="1" t="s">
        <v>22</v>
      </c>
      <c r="V4737" s="1" t="s">
        <v>24</v>
      </c>
      <c r="W4737" s="1" t="s">
        <v>24</v>
      </c>
      <c r="X4737" s="1">
        <v>3000</v>
      </c>
      <c r="Y4737" s="1" t="s">
        <v>24</v>
      </c>
      <c r="Z4737" s="1" t="s">
        <v>24</v>
      </c>
      <c r="AA4737" s="1" t="s">
        <v>24</v>
      </c>
      <c r="AB4737" s="1" t="s">
        <v>24</v>
      </c>
      <c r="AC4737" s="1" t="s">
        <v>24</v>
      </c>
      <c r="AD4737" s="1" t="s">
        <v>24</v>
      </c>
      <c r="AE4737" s="1" t="s">
        <v>24</v>
      </c>
      <c r="AF4737" s="22" t="s">
        <v>17707</v>
      </c>
    </row>
    <row r="4738" spans="1:32" x14ac:dyDescent="0.2">
      <c r="A4738" s="1">
        <v>43225</v>
      </c>
      <c r="B4738" s="1" t="s">
        <v>14411</v>
      </c>
      <c r="C4738" s="5" t="s">
        <v>0</v>
      </c>
      <c r="D4738" s="1" t="s">
        <v>14412</v>
      </c>
      <c r="E4738" s="1" t="s">
        <v>14413</v>
      </c>
      <c r="F4738" s="1" t="s">
        <v>167</v>
      </c>
      <c r="G4738" s="1" t="s">
        <v>130</v>
      </c>
      <c r="H4738" s="1" t="s">
        <v>168</v>
      </c>
      <c r="I4738" s="1" t="s">
        <v>16</v>
      </c>
      <c r="J4738" s="1">
        <v>1</v>
      </c>
      <c r="K4738" s="1">
        <v>6</v>
      </c>
      <c r="L4738" s="1" t="s">
        <v>31</v>
      </c>
      <c r="M4738" s="1" t="s">
        <v>413</v>
      </c>
      <c r="N4738" s="1" t="s">
        <v>679</v>
      </c>
      <c r="O4738" s="1">
        <v>3</v>
      </c>
      <c r="P4738" s="1">
        <v>6</v>
      </c>
      <c r="R4738" s="1" t="s">
        <v>19</v>
      </c>
      <c r="S4738" s="1" t="s">
        <v>20</v>
      </c>
      <c r="T4738" s="1" t="s">
        <v>21</v>
      </c>
      <c r="U4738" s="1" t="s">
        <v>22</v>
      </c>
      <c r="V4738" s="1" t="s">
        <v>24</v>
      </c>
      <c r="W4738" s="1" t="s">
        <v>24</v>
      </c>
      <c r="X4738" s="1">
        <v>2705</v>
      </c>
      <c r="Y4738" s="1" t="s">
        <v>24</v>
      </c>
      <c r="Z4738" s="1" t="s">
        <v>24</v>
      </c>
      <c r="AA4738" s="1" t="s">
        <v>24</v>
      </c>
      <c r="AB4738" s="1" t="s">
        <v>24</v>
      </c>
      <c r="AC4738" s="1" t="s">
        <v>24</v>
      </c>
      <c r="AD4738" s="1" t="s">
        <v>24</v>
      </c>
      <c r="AE4738" s="1" t="s">
        <v>24</v>
      </c>
      <c r="AF4738" s="22"/>
    </row>
    <row r="4739" spans="1:32" x14ac:dyDescent="0.2">
      <c r="A4739" s="1">
        <v>43226</v>
      </c>
      <c r="B4739" s="1" t="s">
        <v>14414</v>
      </c>
      <c r="C4739" s="5" t="s">
        <v>0</v>
      </c>
      <c r="D4739" s="1" t="s">
        <v>14415</v>
      </c>
      <c r="E4739" s="1" t="s">
        <v>14416</v>
      </c>
      <c r="F4739" s="1" t="s">
        <v>190</v>
      </c>
      <c r="G4739" s="1" t="s">
        <v>130</v>
      </c>
      <c r="H4739" s="1" t="s">
        <v>30</v>
      </c>
      <c r="I4739" s="1" t="s">
        <v>16</v>
      </c>
      <c r="J4739" s="1">
        <v>1</v>
      </c>
      <c r="K4739" s="1">
        <v>4</v>
      </c>
      <c r="L4739" s="1" t="s">
        <v>31</v>
      </c>
      <c r="M4739" s="1" t="s">
        <v>18</v>
      </c>
      <c r="N4739" s="1" t="s">
        <v>18</v>
      </c>
      <c r="O4739" s="1">
        <v>3</v>
      </c>
      <c r="P4739" s="1">
        <v>7</v>
      </c>
      <c r="Q4739" s="7" t="s">
        <v>17633</v>
      </c>
      <c r="R4739" s="1" t="s">
        <v>19</v>
      </c>
      <c r="S4739" s="1" t="s">
        <v>20</v>
      </c>
      <c r="T4739" s="1" t="s">
        <v>21</v>
      </c>
      <c r="U4739" s="1" t="s">
        <v>22</v>
      </c>
      <c r="V4739" s="1" t="s">
        <v>24</v>
      </c>
      <c r="W4739" s="1" t="s">
        <v>24</v>
      </c>
      <c r="X4739" s="1">
        <v>1312</v>
      </c>
      <c r="Y4739" s="1">
        <v>1313</v>
      </c>
      <c r="Z4739" s="1">
        <v>2404</v>
      </c>
      <c r="AA4739" s="1" t="s">
        <v>24</v>
      </c>
      <c r="AB4739" s="1" t="s">
        <v>24</v>
      </c>
      <c r="AC4739" s="1" t="s">
        <v>24</v>
      </c>
      <c r="AD4739" s="1" t="s">
        <v>24</v>
      </c>
      <c r="AE4739" s="1" t="s">
        <v>24</v>
      </c>
      <c r="AF4739" s="22"/>
    </row>
    <row r="4740" spans="1:32" x14ac:dyDescent="0.2">
      <c r="A4740" s="1">
        <v>43227</v>
      </c>
      <c r="B4740" s="1" t="s">
        <v>14417</v>
      </c>
      <c r="C4740" s="5" t="s">
        <v>0</v>
      </c>
      <c r="D4740" s="1" t="s">
        <v>14418</v>
      </c>
      <c r="E4740" s="1" t="s">
        <v>14419</v>
      </c>
      <c r="F4740" s="1" t="s">
        <v>3737</v>
      </c>
      <c r="G4740" s="1" t="s">
        <v>3738</v>
      </c>
      <c r="H4740" s="1" t="s">
        <v>30</v>
      </c>
      <c r="I4740" s="1" t="s">
        <v>16</v>
      </c>
      <c r="J4740" s="1">
        <v>1</v>
      </c>
      <c r="K4740" s="1">
        <v>12</v>
      </c>
      <c r="L4740" s="1" t="s">
        <v>42</v>
      </c>
      <c r="M4740" s="1" t="s">
        <v>18</v>
      </c>
      <c r="N4740" s="1" t="s">
        <v>18</v>
      </c>
      <c r="O4740" s="1">
        <v>3</v>
      </c>
      <c r="P4740" s="1">
        <v>7</v>
      </c>
      <c r="Q4740" s="7" t="s">
        <v>17633</v>
      </c>
      <c r="R4740" s="1" t="s">
        <v>19</v>
      </c>
      <c r="S4740" s="1" t="s">
        <v>20</v>
      </c>
      <c r="T4740" s="1" t="s">
        <v>21</v>
      </c>
      <c r="U4740" s="1" t="s">
        <v>22</v>
      </c>
      <c r="V4740" s="1" t="s">
        <v>24</v>
      </c>
      <c r="W4740" s="1" t="s">
        <v>24</v>
      </c>
      <c r="X4740" s="1">
        <v>2700</v>
      </c>
      <c r="Y4740" s="1" t="s">
        <v>24</v>
      </c>
      <c r="Z4740" s="1" t="s">
        <v>24</v>
      </c>
      <c r="AA4740" s="1" t="s">
        <v>24</v>
      </c>
      <c r="AB4740" s="1" t="s">
        <v>24</v>
      </c>
      <c r="AC4740" s="1" t="s">
        <v>24</v>
      </c>
      <c r="AD4740" s="1" t="s">
        <v>24</v>
      </c>
      <c r="AE4740" s="1" t="s">
        <v>24</v>
      </c>
      <c r="AF4740" s="22"/>
    </row>
    <row r="4741" spans="1:32" x14ac:dyDescent="0.2">
      <c r="A4741" s="1">
        <v>43228</v>
      </c>
      <c r="B4741" s="1" t="s">
        <v>14420</v>
      </c>
      <c r="C4741" s="5" t="s">
        <v>0</v>
      </c>
      <c r="D4741" s="1" t="s">
        <v>14421</v>
      </c>
      <c r="E4741" s="1" t="s">
        <v>14422</v>
      </c>
      <c r="F4741" s="1" t="s">
        <v>190</v>
      </c>
      <c r="G4741" s="1" t="s">
        <v>130</v>
      </c>
      <c r="H4741" s="1" t="s">
        <v>30</v>
      </c>
      <c r="I4741" s="1" t="s">
        <v>16</v>
      </c>
      <c r="J4741" s="1">
        <v>1</v>
      </c>
      <c r="K4741" s="1">
        <v>2</v>
      </c>
      <c r="L4741" s="1" t="s">
        <v>31</v>
      </c>
      <c r="M4741" s="1" t="s">
        <v>18</v>
      </c>
      <c r="N4741" s="1" t="s">
        <v>18</v>
      </c>
      <c r="O4741" s="1">
        <v>3</v>
      </c>
      <c r="P4741" s="1">
        <v>7</v>
      </c>
      <c r="Q4741" s="7" t="s">
        <v>17633</v>
      </c>
      <c r="R4741" s="1" t="s">
        <v>19</v>
      </c>
      <c r="S4741" s="1" t="s">
        <v>20</v>
      </c>
      <c r="T4741" s="1" t="s">
        <v>21</v>
      </c>
      <c r="U4741" s="1" t="s">
        <v>22</v>
      </c>
      <c r="V4741" s="1" t="s">
        <v>24</v>
      </c>
      <c r="W4741" s="1" t="s">
        <v>24</v>
      </c>
      <c r="X4741" s="1">
        <v>1301</v>
      </c>
      <c r="Y4741" s="1">
        <v>2613</v>
      </c>
      <c r="Z4741" s="1" t="s">
        <v>24</v>
      </c>
      <c r="AA4741" s="1" t="s">
        <v>24</v>
      </c>
      <c r="AB4741" s="1" t="s">
        <v>24</v>
      </c>
      <c r="AC4741" s="1" t="s">
        <v>24</v>
      </c>
      <c r="AD4741" s="1" t="s">
        <v>24</v>
      </c>
      <c r="AE4741" s="1" t="s">
        <v>24</v>
      </c>
      <c r="AF4741" s="22"/>
    </row>
    <row r="4742" spans="1:32" x14ac:dyDescent="0.2">
      <c r="A4742" s="1">
        <v>43230</v>
      </c>
      <c r="B4742" s="1" t="s">
        <v>14423</v>
      </c>
      <c r="C4742" s="5" t="s">
        <v>0</v>
      </c>
      <c r="D4742" s="1" t="s">
        <v>14424</v>
      </c>
      <c r="E4742" s="1" t="s">
        <v>14425</v>
      </c>
      <c r="F4742" s="1" t="s">
        <v>14426</v>
      </c>
      <c r="G4742" s="1" t="s">
        <v>14426</v>
      </c>
      <c r="H4742" s="1" t="s">
        <v>2772</v>
      </c>
      <c r="I4742" s="1" t="s">
        <v>16</v>
      </c>
      <c r="J4742" s="1">
        <v>1</v>
      </c>
      <c r="K4742" s="1">
        <v>6</v>
      </c>
      <c r="L4742" s="1" t="s">
        <v>42</v>
      </c>
      <c r="M4742" s="1" t="s">
        <v>18</v>
      </c>
      <c r="N4742" s="1" t="s">
        <v>18</v>
      </c>
      <c r="O4742" s="1">
        <v>3</v>
      </c>
      <c r="P4742" s="1">
        <v>6</v>
      </c>
      <c r="R4742" s="1" t="s">
        <v>19</v>
      </c>
      <c r="S4742" s="1" t="s">
        <v>20</v>
      </c>
      <c r="T4742" s="1" t="s">
        <v>21</v>
      </c>
      <c r="U4742" s="1" t="s">
        <v>22</v>
      </c>
      <c r="V4742" s="1" t="s">
        <v>23</v>
      </c>
      <c r="W4742" s="1" t="s">
        <v>24</v>
      </c>
      <c r="X4742" s="1">
        <v>2723</v>
      </c>
      <c r="Y4742" s="1">
        <v>2403</v>
      </c>
      <c r="Z4742" s="1">
        <v>2740</v>
      </c>
      <c r="AA4742" s="1" t="s">
        <v>24</v>
      </c>
      <c r="AB4742" s="1" t="s">
        <v>24</v>
      </c>
      <c r="AC4742" s="1" t="s">
        <v>24</v>
      </c>
      <c r="AD4742" s="1" t="s">
        <v>24</v>
      </c>
      <c r="AE4742" s="1" t="s">
        <v>24</v>
      </c>
      <c r="AF4742" s="22"/>
    </row>
    <row r="4743" spans="1:32" x14ac:dyDescent="0.2">
      <c r="A4743" s="1">
        <v>43235</v>
      </c>
      <c r="B4743" s="1" t="s">
        <v>14427</v>
      </c>
      <c r="C4743" s="5" t="s">
        <v>0</v>
      </c>
      <c r="D4743" s="1" t="s">
        <v>14428</v>
      </c>
      <c r="F4743" s="1" t="s">
        <v>14429</v>
      </c>
      <c r="G4743" s="1" t="s">
        <v>14429</v>
      </c>
      <c r="H4743" s="1" t="s">
        <v>1384</v>
      </c>
      <c r="I4743" s="1" t="s">
        <v>16</v>
      </c>
      <c r="J4743" s="1">
        <v>1</v>
      </c>
      <c r="K4743" s="1">
        <v>3</v>
      </c>
      <c r="L4743" s="1" t="s">
        <v>42</v>
      </c>
      <c r="M4743" s="1" t="s">
        <v>1385</v>
      </c>
      <c r="N4743" s="1" t="s">
        <v>3142</v>
      </c>
      <c r="O4743" s="1">
        <v>3</v>
      </c>
      <c r="P4743" s="1">
        <v>5</v>
      </c>
      <c r="R4743" s="1" t="s">
        <v>19</v>
      </c>
      <c r="S4743" s="1" t="s">
        <v>20</v>
      </c>
      <c r="T4743" s="1" t="s">
        <v>21</v>
      </c>
      <c r="U4743" s="1" t="s">
        <v>22</v>
      </c>
      <c r="V4743" s="1" t="s">
        <v>24</v>
      </c>
      <c r="W4743" s="1" t="s">
        <v>24</v>
      </c>
      <c r="X4743" s="1">
        <v>2700</v>
      </c>
      <c r="Y4743" s="1" t="s">
        <v>24</v>
      </c>
      <c r="Z4743" s="1" t="s">
        <v>24</v>
      </c>
      <c r="AA4743" s="1" t="s">
        <v>24</v>
      </c>
      <c r="AB4743" s="1" t="s">
        <v>24</v>
      </c>
      <c r="AC4743" s="1" t="s">
        <v>24</v>
      </c>
      <c r="AD4743" s="1" t="s">
        <v>24</v>
      </c>
      <c r="AE4743" s="1" t="s">
        <v>24</v>
      </c>
      <c r="AF4743" s="22"/>
    </row>
    <row r="4744" spans="1:32" x14ac:dyDescent="0.2">
      <c r="A4744" s="1">
        <v>43236</v>
      </c>
      <c r="B4744" s="1" t="s">
        <v>14430</v>
      </c>
      <c r="C4744" s="5" t="s">
        <v>0</v>
      </c>
      <c r="E4744" s="1" t="s">
        <v>14431</v>
      </c>
      <c r="F4744" s="1" t="s">
        <v>12818</v>
      </c>
      <c r="G4744" s="1" t="s">
        <v>12818</v>
      </c>
      <c r="H4744" s="1" t="s">
        <v>184</v>
      </c>
      <c r="I4744" s="1" t="s">
        <v>16</v>
      </c>
      <c r="J4744" s="1">
        <v>1</v>
      </c>
      <c r="K4744" s="1">
        <v>1</v>
      </c>
      <c r="L4744" s="1" t="s">
        <v>42</v>
      </c>
      <c r="M4744" s="1" t="s">
        <v>18</v>
      </c>
      <c r="N4744" s="1" t="s">
        <v>18</v>
      </c>
      <c r="O4744" s="1">
        <v>3</v>
      </c>
      <c r="P4744" s="1">
        <v>6</v>
      </c>
      <c r="R4744" s="1" t="s">
        <v>19</v>
      </c>
      <c r="S4744" s="1" t="s">
        <v>63</v>
      </c>
      <c r="T4744" s="1" t="s">
        <v>21</v>
      </c>
      <c r="U4744" s="1" t="s">
        <v>22</v>
      </c>
      <c r="V4744" s="1" t="s">
        <v>23</v>
      </c>
      <c r="W4744" s="1" t="s">
        <v>24</v>
      </c>
      <c r="X4744" s="1">
        <v>2719</v>
      </c>
      <c r="Y4744" s="1">
        <v>2713</v>
      </c>
      <c r="Z4744" s="1">
        <v>2307</v>
      </c>
      <c r="AA4744" s="1">
        <v>2739</v>
      </c>
      <c r="AB4744" s="1" t="s">
        <v>24</v>
      </c>
      <c r="AC4744" s="1" t="s">
        <v>24</v>
      </c>
      <c r="AD4744" s="1" t="s">
        <v>24</v>
      </c>
      <c r="AE4744" s="1" t="s">
        <v>24</v>
      </c>
      <c r="AF4744" s="22"/>
    </row>
    <row r="4745" spans="1:32" x14ac:dyDescent="0.2">
      <c r="A4745" s="1">
        <v>43238</v>
      </c>
      <c r="B4745" s="1" t="s">
        <v>14432</v>
      </c>
      <c r="C4745" s="5" t="s">
        <v>0</v>
      </c>
      <c r="D4745" s="1" t="s">
        <v>14433</v>
      </c>
      <c r="E4745" s="1" t="s">
        <v>14434</v>
      </c>
      <c r="F4745" s="1" t="s">
        <v>310</v>
      </c>
      <c r="G4745" s="1" t="s">
        <v>311</v>
      </c>
      <c r="H4745" s="1" t="s">
        <v>37</v>
      </c>
      <c r="I4745" s="1" t="s">
        <v>16</v>
      </c>
      <c r="J4745" s="1">
        <v>1</v>
      </c>
      <c r="K4745" s="1">
        <v>4</v>
      </c>
      <c r="L4745" s="1" t="s">
        <v>31</v>
      </c>
      <c r="M4745" s="1" t="s">
        <v>18</v>
      </c>
      <c r="N4745" s="1" t="s">
        <v>18</v>
      </c>
      <c r="O4745" s="1">
        <v>3</v>
      </c>
      <c r="P4745" s="1">
        <v>6</v>
      </c>
      <c r="R4745" s="1" t="s">
        <v>19</v>
      </c>
      <c r="S4745" s="1" t="s">
        <v>20</v>
      </c>
      <c r="T4745" s="1" t="s">
        <v>21</v>
      </c>
      <c r="U4745" s="1" t="s">
        <v>22</v>
      </c>
      <c r="V4745" s="1" t="s">
        <v>23</v>
      </c>
      <c r="W4745" s="1" t="s">
        <v>24</v>
      </c>
      <c r="X4745" s="1">
        <v>2741</v>
      </c>
      <c r="Y4745" s="1">
        <v>1700</v>
      </c>
      <c r="Z4745" s="1" t="s">
        <v>24</v>
      </c>
      <c r="AA4745" s="1" t="s">
        <v>24</v>
      </c>
      <c r="AB4745" s="1" t="s">
        <v>24</v>
      </c>
      <c r="AC4745" s="1" t="s">
        <v>24</v>
      </c>
      <c r="AD4745" s="1" t="s">
        <v>24</v>
      </c>
      <c r="AE4745" s="1" t="s">
        <v>24</v>
      </c>
      <c r="AF4745" s="22"/>
    </row>
    <row r="4746" spans="1:32" x14ac:dyDescent="0.2">
      <c r="A4746" s="1">
        <v>43239</v>
      </c>
      <c r="B4746" s="1" t="s">
        <v>14435</v>
      </c>
      <c r="C4746" s="5" t="s">
        <v>0</v>
      </c>
      <c r="D4746" s="1" t="s">
        <v>14436</v>
      </c>
      <c r="E4746" s="1" t="s">
        <v>14437</v>
      </c>
      <c r="F4746" s="1" t="s">
        <v>14438</v>
      </c>
      <c r="G4746" s="1" t="s">
        <v>14438</v>
      </c>
      <c r="H4746" s="1" t="s">
        <v>1957</v>
      </c>
      <c r="I4746" s="1" t="s">
        <v>16</v>
      </c>
      <c r="J4746" s="1">
        <v>1</v>
      </c>
      <c r="K4746" s="1">
        <v>4</v>
      </c>
      <c r="L4746" s="1" t="s">
        <v>42</v>
      </c>
      <c r="M4746" s="1" t="s">
        <v>18</v>
      </c>
      <c r="N4746" s="1" t="s">
        <v>18</v>
      </c>
      <c r="O4746" s="1">
        <v>2</v>
      </c>
      <c r="P4746" s="1">
        <v>6</v>
      </c>
      <c r="R4746" s="1" t="s">
        <v>19</v>
      </c>
      <c r="S4746" s="1" t="s">
        <v>20</v>
      </c>
      <c r="T4746" s="1" t="s">
        <v>21</v>
      </c>
      <c r="U4746" s="1" t="s">
        <v>22</v>
      </c>
      <c r="V4746" s="1" t="s">
        <v>24</v>
      </c>
      <c r="W4746" s="1" t="s">
        <v>24</v>
      </c>
      <c r="X4746" s="1">
        <v>2712</v>
      </c>
      <c r="Y4746" s="1" t="s">
        <v>24</v>
      </c>
      <c r="Z4746" s="1" t="s">
        <v>24</v>
      </c>
      <c r="AA4746" s="1" t="s">
        <v>24</v>
      </c>
      <c r="AB4746" s="1" t="s">
        <v>24</v>
      </c>
      <c r="AC4746" s="1" t="s">
        <v>24</v>
      </c>
      <c r="AD4746" s="1" t="s">
        <v>24</v>
      </c>
      <c r="AE4746" s="1" t="s">
        <v>24</v>
      </c>
      <c r="AF4746" s="22"/>
    </row>
    <row r="4747" spans="1:32" x14ac:dyDescent="0.2">
      <c r="A4747" s="1">
        <v>43240</v>
      </c>
      <c r="B4747" s="1" t="s">
        <v>14439</v>
      </c>
      <c r="C4747" s="5" t="s">
        <v>0</v>
      </c>
      <c r="D4747" s="1" t="s">
        <v>14440</v>
      </c>
      <c r="F4747" s="1" t="s">
        <v>14441</v>
      </c>
      <c r="G4747" s="1" t="s">
        <v>14442</v>
      </c>
      <c r="H4747" s="1" t="s">
        <v>1007</v>
      </c>
      <c r="I4747" s="1" t="s">
        <v>16</v>
      </c>
      <c r="J4747" s="1">
        <v>1</v>
      </c>
      <c r="K4747" s="1">
        <v>6</v>
      </c>
      <c r="L4747" s="1" t="s">
        <v>42</v>
      </c>
      <c r="M4747" s="1" t="s">
        <v>1008</v>
      </c>
      <c r="N4747" s="1" t="s">
        <v>4418</v>
      </c>
      <c r="O4747" s="1">
        <v>2</v>
      </c>
      <c r="P4747" s="1">
        <v>5</v>
      </c>
      <c r="R4747" s="1" t="s">
        <v>19</v>
      </c>
      <c r="S4747" s="1" t="s">
        <v>20</v>
      </c>
      <c r="T4747" s="1" t="s">
        <v>21</v>
      </c>
      <c r="U4747" s="1" t="s">
        <v>22</v>
      </c>
      <c r="V4747" s="1" t="s">
        <v>24</v>
      </c>
      <c r="W4747" s="1" t="s">
        <v>24</v>
      </c>
      <c r="X4747" s="1">
        <v>3003</v>
      </c>
      <c r="Y4747" s="1" t="s">
        <v>24</v>
      </c>
      <c r="Z4747" s="1" t="s">
        <v>24</v>
      </c>
      <c r="AA4747" s="1" t="s">
        <v>24</v>
      </c>
      <c r="AB4747" s="1" t="s">
        <v>24</v>
      </c>
      <c r="AC4747" s="1" t="s">
        <v>24</v>
      </c>
      <c r="AD4747" s="1" t="s">
        <v>24</v>
      </c>
      <c r="AE4747" s="1" t="s">
        <v>24</v>
      </c>
      <c r="AF4747" s="22"/>
    </row>
    <row r="4748" spans="1:32" x14ac:dyDescent="0.2">
      <c r="A4748" s="1">
        <v>43241</v>
      </c>
      <c r="B4748" s="1" t="s">
        <v>14443</v>
      </c>
      <c r="C4748" s="5" t="s">
        <v>0</v>
      </c>
      <c r="D4748" s="1" t="s">
        <v>14444</v>
      </c>
      <c r="E4748" s="1" t="s">
        <v>14445</v>
      </c>
      <c r="F4748" s="1" t="s">
        <v>14308</v>
      </c>
      <c r="G4748" s="1" t="s">
        <v>14308</v>
      </c>
      <c r="H4748" s="1" t="s">
        <v>1957</v>
      </c>
      <c r="I4748" s="1" t="s">
        <v>16</v>
      </c>
      <c r="J4748" s="1">
        <v>1</v>
      </c>
      <c r="K4748" s="1">
        <v>4</v>
      </c>
      <c r="L4748" s="1" t="s">
        <v>42</v>
      </c>
      <c r="M4748" s="1" t="s">
        <v>18</v>
      </c>
      <c r="N4748" s="1" t="s">
        <v>18</v>
      </c>
      <c r="O4748" s="1">
        <v>3</v>
      </c>
      <c r="P4748" s="1">
        <v>6</v>
      </c>
      <c r="R4748" s="1" t="s">
        <v>19</v>
      </c>
      <c r="S4748" s="1" t="s">
        <v>20</v>
      </c>
      <c r="T4748" s="1" t="s">
        <v>21</v>
      </c>
      <c r="U4748" s="1" t="s">
        <v>22</v>
      </c>
      <c r="V4748" s="1" t="s">
        <v>24</v>
      </c>
      <c r="W4748" s="1" t="s">
        <v>24</v>
      </c>
      <c r="X4748" s="1">
        <v>2400</v>
      </c>
      <c r="Y4748" s="1">
        <v>1303</v>
      </c>
      <c r="Z4748" s="1">
        <v>1304</v>
      </c>
      <c r="AA4748" s="1">
        <v>1308</v>
      </c>
      <c r="AB4748" s="1">
        <v>3002</v>
      </c>
      <c r="AC4748" s="1" t="s">
        <v>24</v>
      </c>
      <c r="AD4748" s="1" t="s">
        <v>24</v>
      </c>
      <c r="AE4748" s="1" t="s">
        <v>24</v>
      </c>
      <c r="AF4748" s="22"/>
    </row>
    <row r="4749" spans="1:32" x14ac:dyDescent="0.2">
      <c r="A4749" s="1">
        <v>43242</v>
      </c>
      <c r="B4749" s="1" t="s">
        <v>14446</v>
      </c>
      <c r="C4749" s="5" t="s">
        <v>0</v>
      </c>
      <c r="D4749" s="1" t="s">
        <v>14447</v>
      </c>
      <c r="E4749" s="1" t="s">
        <v>14448</v>
      </c>
      <c r="F4749" s="1" t="s">
        <v>14449</v>
      </c>
      <c r="G4749" s="1" t="s">
        <v>14449</v>
      </c>
      <c r="H4749" s="1" t="s">
        <v>1957</v>
      </c>
      <c r="I4749" s="1" t="s">
        <v>16</v>
      </c>
      <c r="J4749" s="1">
        <v>1</v>
      </c>
      <c r="K4749" s="1">
        <v>4</v>
      </c>
      <c r="L4749" s="1" t="s">
        <v>42</v>
      </c>
      <c r="M4749" s="1" t="s">
        <v>18</v>
      </c>
      <c r="N4749" s="1" t="s">
        <v>18</v>
      </c>
      <c r="O4749" s="1">
        <v>2</v>
      </c>
      <c r="P4749" s="1">
        <v>6</v>
      </c>
      <c r="R4749" s="1" t="s">
        <v>19</v>
      </c>
      <c r="S4749" s="1" t="s">
        <v>20</v>
      </c>
      <c r="T4749" s="1" t="s">
        <v>21</v>
      </c>
      <c r="U4749" s="1" t="s">
        <v>22</v>
      </c>
      <c r="V4749" s="1" t="s">
        <v>24</v>
      </c>
      <c r="W4749" s="1" t="s">
        <v>24</v>
      </c>
      <c r="X4749" s="1">
        <v>2404</v>
      </c>
      <c r="Y4749" s="1">
        <v>2726</v>
      </c>
      <c r="Z4749" s="1" t="s">
        <v>24</v>
      </c>
      <c r="AA4749" s="1" t="s">
        <v>24</v>
      </c>
      <c r="AB4749" s="1" t="s">
        <v>24</v>
      </c>
      <c r="AC4749" s="1" t="s">
        <v>24</v>
      </c>
      <c r="AD4749" s="1" t="s">
        <v>24</v>
      </c>
      <c r="AE4749" s="1" t="s">
        <v>24</v>
      </c>
      <c r="AF4749" s="22"/>
    </row>
    <row r="4750" spans="1:32" x14ac:dyDescent="0.2">
      <c r="A4750" s="1">
        <v>43243</v>
      </c>
      <c r="B4750" s="1" t="s">
        <v>14450</v>
      </c>
      <c r="C4750" s="5" t="s">
        <v>0</v>
      </c>
      <c r="D4750" s="1" t="s">
        <v>14451</v>
      </c>
      <c r="F4750" s="1" t="s">
        <v>14452</v>
      </c>
      <c r="G4750" s="1" t="s">
        <v>14452</v>
      </c>
      <c r="H4750" s="1" t="s">
        <v>1957</v>
      </c>
      <c r="I4750" s="1" t="s">
        <v>16</v>
      </c>
      <c r="J4750" s="1">
        <v>1</v>
      </c>
      <c r="K4750" s="1">
        <v>6</v>
      </c>
      <c r="L4750" s="1" t="s">
        <v>42</v>
      </c>
      <c r="M4750" s="1" t="s">
        <v>10391</v>
      </c>
      <c r="N4750" s="1" t="s">
        <v>10392</v>
      </c>
      <c r="O4750" s="1">
        <v>3</v>
      </c>
      <c r="P4750" s="1">
        <v>5</v>
      </c>
      <c r="R4750" s="1" t="s">
        <v>19</v>
      </c>
      <c r="S4750" s="1" t="s">
        <v>20</v>
      </c>
      <c r="T4750" s="1" t="s">
        <v>21</v>
      </c>
      <c r="U4750" s="1" t="s">
        <v>22</v>
      </c>
      <c r="V4750" s="1" t="s">
        <v>23</v>
      </c>
      <c r="W4750" s="1" t="s">
        <v>24</v>
      </c>
      <c r="X4750" s="1">
        <v>2700</v>
      </c>
      <c r="Y4750" s="1" t="s">
        <v>24</v>
      </c>
      <c r="Z4750" s="1" t="s">
        <v>24</v>
      </c>
      <c r="AA4750" s="1" t="s">
        <v>24</v>
      </c>
      <c r="AB4750" s="1" t="s">
        <v>24</v>
      </c>
      <c r="AC4750" s="1" t="s">
        <v>24</v>
      </c>
      <c r="AD4750" s="1" t="s">
        <v>24</v>
      </c>
      <c r="AE4750" s="1" t="s">
        <v>24</v>
      </c>
      <c r="AF4750" s="22"/>
    </row>
    <row r="4751" spans="1:32" x14ac:dyDescent="0.2">
      <c r="A4751" s="1">
        <v>43244</v>
      </c>
      <c r="B4751" s="1" t="s">
        <v>14453</v>
      </c>
      <c r="C4751" s="5" t="s">
        <v>0</v>
      </c>
      <c r="E4751" s="1" t="s">
        <v>14454</v>
      </c>
      <c r="F4751" s="1" t="s">
        <v>14455</v>
      </c>
      <c r="G4751" s="1" t="s">
        <v>14455</v>
      </c>
      <c r="H4751" s="1" t="s">
        <v>30</v>
      </c>
      <c r="I4751" s="1" t="s">
        <v>16</v>
      </c>
      <c r="J4751" s="1">
        <v>1</v>
      </c>
      <c r="K4751" s="1">
        <v>2</v>
      </c>
      <c r="L4751" s="1" t="s">
        <v>42</v>
      </c>
      <c r="M4751" s="1" t="s">
        <v>18</v>
      </c>
      <c r="N4751" s="1" t="s">
        <v>18</v>
      </c>
      <c r="O4751" s="1">
        <v>3</v>
      </c>
      <c r="P4751" s="1">
        <v>6</v>
      </c>
      <c r="R4751" s="1" t="s">
        <v>19</v>
      </c>
      <c r="S4751" s="1" t="s">
        <v>20</v>
      </c>
      <c r="T4751" s="1" t="s">
        <v>21</v>
      </c>
      <c r="U4751" s="1" t="s">
        <v>22</v>
      </c>
      <c r="V4751" s="1" t="s">
        <v>24</v>
      </c>
      <c r="W4751" s="1" t="s">
        <v>24</v>
      </c>
      <c r="X4751" s="1">
        <v>2801</v>
      </c>
      <c r="Y4751" s="1">
        <v>2728</v>
      </c>
      <c r="Z4751" s="1">
        <v>2805</v>
      </c>
      <c r="AA4751" s="1">
        <v>2808</v>
      </c>
      <c r="AB4751" s="1" t="s">
        <v>24</v>
      </c>
      <c r="AC4751" s="1" t="s">
        <v>24</v>
      </c>
      <c r="AD4751" s="1" t="s">
        <v>24</v>
      </c>
      <c r="AE4751" s="1" t="s">
        <v>24</v>
      </c>
      <c r="AF4751" s="22"/>
    </row>
    <row r="4752" spans="1:32" x14ac:dyDescent="0.2">
      <c r="A4752" s="1">
        <v>43245</v>
      </c>
      <c r="B4752" s="1" t="s">
        <v>14456</v>
      </c>
      <c r="C4752" s="5" t="s">
        <v>0</v>
      </c>
      <c r="D4752" s="1" t="s">
        <v>14457</v>
      </c>
      <c r="E4752" s="1" t="s">
        <v>14458</v>
      </c>
      <c r="F4752" s="1" t="s">
        <v>14459</v>
      </c>
      <c r="G4752" s="1" t="s">
        <v>14459</v>
      </c>
      <c r="H4752" s="1" t="s">
        <v>1957</v>
      </c>
      <c r="I4752" s="1" t="s">
        <v>16</v>
      </c>
      <c r="J4752" s="1">
        <v>1</v>
      </c>
      <c r="K4752" s="1">
        <v>6</v>
      </c>
      <c r="L4752" s="1" t="s">
        <v>42</v>
      </c>
      <c r="M4752" s="1" t="s">
        <v>10391</v>
      </c>
      <c r="N4752" s="1" t="s">
        <v>10392</v>
      </c>
      <c r="O4752" s="1">
        <v>3</v>
      </c>
      <c r="P4752" s="1">
        <v>5</v>
      </c>
      <c r="R4752" s="1" t="s">
        <v>19</v>
      </c>
      <c r="S4752" s="1" t="s">
        <v>20</v>
      </c>
      <c r="T4752" s="1" t="s">
        <v>21</v>
      </c>
      <c r="U4752" s="1" t="s">
        <v>22</v>
      </c>
      <c r="V4752" s="1" t="s">
        <v>24</v>
      </c>
      <c r="W4752" s="1" t="s">
        <v>24</v>
      </c>
      <c r="X4752" s="1">
        <v>2700</v>
      </c>
      <c r="Y4752" s="1" t="s">
        <v>24</v>
      </c>
      <c r="Z4752" s="1" t="s">
        <v>24</v>
      </c>
      <c r="AA4752" s="1" t="s">
        <v>24</v>
      </c>
      <c r="AB4752" s="1" t="s">
        <v>24</v>
      </c>
      <c r="AC4752" s="1" t="s">
        <v>24</v>
      </c>
      <c r="AD4752" s="1" t="s">
        <v>24</v>
      </c>
      <c r="AE4752" s="1" t="s">
        <v>24</v>
      </c>
      <c r="AF4752" s="22"/>
    </row>
    <row r="4753" spans="1:32" x14ac:dyDescent="0.2">
      <c r="A4753" s="1">
        <v>43246</v>
      </c>
      <c r="B4753" s="1" t="s">
        <v>14460</v>
      </c>
      <c r="C4753" s="5" t="s">
        <v>0</v>
      </c>
      <c r="E4753" s="1" t="s">
        <v>14461</v>
      </c>
      <c r="F4753" s="1" t="s">
        <v>11078</v>
      </c>
      <c r="G4753" s="1" t="s">
        <v>11079</v>
      </c>
      <c r="H4753" s="1" t="s">
        <v>3228</v>
      </c>
      <c r="I4753" s="1" t="s">
        <v>16</v>
      </c>
      <c r="J4753" s="1">
        <v>1</v>
      </c>
      <c r="K4753" s="1">
        <v>1</v>
      </c>
      <c r="L4753" s="1" t="s">
        <v>42</v>
      </c>
      <c r="M4753" s="1" t="s">
        <v>18</v>
      </c>
      <c r="N4753" s="1" t="s">
        <v>18</v>
      </c>
      <c r="O4753" s="1">
        <v>3</v>
      </c>
      <c r="P4753" s="1">
        <v>6</v>
      </c>
      <c r="R4753" s="1" t="s">
        <v>19</v>
      </c>
      <c r="S4753" s="1" t="s">
        <v>63</v>
      </c>
      <c r="T4753" s="1" t="s">
        <v>21</v>
      </c>
      <c r="U4753" s="1" t="s">
        <v>22</v>
      </c>
      <c r="V4753" s="1" t="s">
        <v>24</v>
      </c>
      <c r="W4753" s="1" t="s">
        <v>24</v>
      </c>
      <c r="X4753" s="1">
        <v>1304</v>
      </c>
      <c r="Y4753" s="1">
        <v>1307</v>
      </c>
      <c r="Z4753" s="1">
        <v>3004</v>
      </c>
      <c r="AA4753" s="1">
        <v>1303</v>
      </c>
      <c r="AB4753" s="1" t="s">
        <v>24</v>
      </c>
      <c r="AC4753" s="1" t="s">
        <v>24</v>
      </c>
      <c r="AD4753" s="1" t="s">
        <v>24</v>
      </c>
      <c r="AE4753" s="1" t="s">
        <v>24</v>
      </c>
      <c r="AF4753" s="22"/>
    </row>
    <row r="4754" spans="1:32" x14ac:dyDescent="0.2">
      <c r="A4754" s="1">
        <v>43247</v>
      </c>
      <c r="B4754" s="1" t="s">
        <v>14462</v>
      </c>
      <c r="C4754" s="5" t="s">
        <v>0</v>
      </c>
      <c r="D4754" s="1" t="s">
        <v>14463</v>
      </c>
      <c r="F4754" s="1" t="s">
        <v>14464</v>
      </c>
      <c r="G4754" s="1" t="s">
        <v>14464</v>
      </c>
      <c r="H4754" s="1" t="s">
        <v>37</v>
      </c>
      <c r="I4754" s="1" t="s">
        <v>16</v>
      </c>
      <c r="J4754" s="1">
        <v>1</v>
      </c>
      <c r="K4754" s="1">
        <v>3</v>
      </c>
      <c r="L4754" s="1" t="s">
        <v>42</v>
      </c>
      <c r="M4754" s="1" t="s">
        <v>18</v>
      </c>
      <c r="N4754" s="1" t="s">
        <v>18</v>
      </c>
      <c r="O4754" s="1">
        <v>3</v>
      </c>
      <c r="P4754" s="1">
        <v>6</v>
      </c>
      <c r="R4754" s="1" t="s">
        <v>19</v>
      </c>
      <c r="S4754" s="1" t="s">
        <v>20</v>
      </c>
      <c r="T4754" s="1" t="s">
        <v>21</v>
      </c>
      <c r="U4754" s="1" t="s">
        <v>22</v>
      </c>
      <c r="V4754" s="1" t="s">
        <v>23</v>
      </c>
      <c r="W4754" s="1" t="s">
        <v>24</v>
      </c>
      <c r="X4754" s="1">
        <v>2906</v>
      </c>
      <c r="Y4754" s="1">
        <v>2706</v>
      </c>
      <c r="Z4754" s="1" t="s">
        <v>24</v>
      </c>
      <c r="AA4754" s="1" t="s">
        <v>24</v>
      </c>
      <c r="AB4754" s="1" t="s">
        <v>24</v>
      </c>
      <c r="AC4754" s="1" t="s">
        <v>24</v>
      </c>
      <c r="AD4754" s="1" t="s">
        <v>24</v>
      </c>
      <c r="AE4754" s="1" t="s">
        <v>24</v>
      </c>
      <c r="AF4754" s="22"/>
    </row>
    <row r="4755" spans="1:32" x14ac:dyDescent="0.2">
      <c r="A4755" s="1">
        <v>43248</v>
      </c>
      <c r="B4755" s="1" t="s">
        <v>14465</v>
      </c>
      <c r="C4755" s="5" t="s">
        <v>0</v>
      </c>
      <c r="D4755" s="1" t="s">
        <v>14466</v>
      </c>
      <c r="E4755" s="1" t="s">
        <v>14467</v>
      </c>
      <c r="F4755" s="1" t="s">
        <v>6173</v>
      </c>
      <c r="G4755" s="1" t="s">
        <v>6173</v>
      </c>
      <c r="H4755" s="1" t="s">
        <v>1384</v>
      </c>
      <c r="I4755" s="1" t="s">
        <v>16</v>
      </c>
      <c r="J4755" s="1">
        <v>1</v>
      </c>
      <c r="K4755" s="1">
        <v>3</v>
      </c>
      <c r="L4755" s="1" t="s">
        <v>42</v>
      </c>
      <c r="M4755" s="1" t="s">
        <v>1385</v>
      </c>
      <c r="N4755" s="1" t="s">
        <v>3142</v>
      </c>
      <c r="O4755" s="1">
        <v>3</v>
      </c>
      <c r="P4755" s="1">
        <v>5</v>
      </c>
      <c r="R4755" s="1" t="s">
        <v>19</v>
      </c>
      <c r="S4755" s="1" t="s">
        <v>20</v>
      </c>
      <c r="T4755" s="1" t="s">
        <v>21</v>
      </c>
      <c r="U4755" s="1" t="s">
        <v>22</v>
      </c>
      <c r="V4755" s="1" t="s">
        <v>24</v>
      </c>
      <c r="W4755" s="1" t="s">
        <v>24</v>
      </c>
      <c r="X4755" s="1">
        <v>2726</v>
      </c>
      <c r="Y4755" s="1">
        <v>2725</v>
      </c>
      <c r="Z4755" s="1" t="s">
        <v>24</v>
      </c>
      <c r="AA4755" s="1" t="s">
        <v>24</v>
      </c>
      <c r="AB4755" s="1" t="s">
        <v>24</v>
      </c>
      <c r="AC4755" s="1" t="s">
        <v>24</v>
      </c>
      <c r="AD4755" s="1" t="s">
        <v>24</v>
      </c>
      <c r="AE4755" s="1" t="s">
        <v>24</v>
      </c>
      <c r="AF4755" s="22"/>
    </row>
    <row r="4756" spans="1:32" x14ac:dyDescent="0.2">
      <c r="A4756" s="1">
        <v>43249</v>
      </c>
      <c r="B4756" s="1" t="s">
        <v>14468</v>
      </c>
      <c r="C4756" s="5" t="s">
        <v>0</v>
      </c>
      <c r="D4756" s="1" t="s">
        <v>14469</v>
      </c>
      <c r="F4756" s="1" t="s">
        <v>14470</v>
      </c>
      <c r="G4756" s="1" t="s">
        <v>14470</v>
      </c>
      <c r="H4756" s="1" t="s">
        <v>731</v>
      </c>
      <c r="I4756" s="1" t="s">
        <v>16</v>
      </c>
      <c r="J4756" s="1">
        <v>0</v>
      </c>
      <c r="K4756" s="1">
        <v>0</v>
      </c>
      <c r="L4756" s="1" t="s">
        <v>42</v>
      </c>
      <c r="M4756" s="1" t="s">
        <v>18</v>
      </c>
      <c r="N4756" s="1" t="s">
        <v>18</v>
      </c>
      <c r="O4756" s="1">
        <v>3</v>
      </c>
      <c r="P4756" s="1">
        <v>6</v>
      </c>
      <c r="R4756" s="1" t="s">
        <v>19</v>
      </c>
      <c r="S4756" s="1" t="s">
        <v>20</v>
      </c>
      <c r="T4756" s="1" t="s">
        <v>21</v>
      </c>
      <c r="U4756" s="1" t="s">
        <v>22</v>
      </c>
      <c r="V4756" s="1" t="s">
        <v>23</v>
      </c>
      <c r="W4756" s="1" t="s">
        <v>24</v>
      </c>
      <c r="X4756" s="1">
        <v>2204</v>
      </c>
      <c r="Y4756" s="1">
        <v>2701</v>
      </c>
      <c r="Z4756" s="1" t="s">
        <v>24</v>
      </c>
      <c r="AA4756" s="1" t="s">
        <v>24</v>
      </c>
      <c r="AB4756" s="1" t="s">
        <v>24</v>
      </c>
      <c r="AC4756" s="1" t="s">
        <v>24</v>
      </c>
      <c r="AD4756" s="1" t="s">
        <v>24</v>
      </c>
      <c r="AE4756" s="1" t="s">
        <v>24</v>
      </c>
      <c r="AF4756" s="22"/>
    </row>
    <row r="4757" spans="1:32" x14ac:dyDescent="0.2">
      <c r="A4757" s="1">
        <v>43250</v>
      </c>
      <c r="B4757" s="1" t="s">
        <v>14471</v>
      </c>
      <c r="C4757" s="5" t="s">
        <v>0</v>
      </c>
      <c r="E4757" s="1" t="s">
        <v>14472</v>
      </c>
      <c r="F4757" s="1" t="s">
        <v>11078</v>
      </c>
      <c r="G4757" s="1" t="s">
        <v>11079</v>
      </c>
      <c r="H4757" s="1" t="s">
        <v>3228</v>
      </c>
      <c r="I4757" s="1" t="s">
        <v>16</v>
      </c>
      <c r="J4757" s="1">
        <v>1</v>
      </c>
      <c r="K4757" s="1">
        <v>1</v>
      </c>
      <c r="L4757" s="1" t="s">
        <v>42</v>
      </c>
      <c r="M4757" s="1" t="s">
        <v>18</v>
      </c>
      <c r="N4757" s="1" t="s">
        <v>18</v>
      </c>
      <c r="O4757" s="1">
        <v>3</v>
      </c>
      <c r="P4757" s="1">
        <v>6</v>
      </c>
      <c r="R4757" s="1" t="s">
        <v>19</v>
      </c>
      <c r="S4757" s="1" t="s">
        <v>20</v>
      </c>
      <c r="T4757" s="1" t="s">
        <v>21</v>
      </c>
      <c r="U4757" s="1" t="s">
        <v>22</v>
      </c>
      <c r="V4757" s="1" t="s">
        <v>23</v>
      </c>
      <c r="W4757" s="1" t="s">
        <v>24</v>
      </c>
      <c r="X4757" s="1">
        <v>2711</v>
      </c>
      <c r="Y4757" s="1">
        <v>2907</v>
      </c>
      <c r="Z4757" s="1" t="s">
        <v>24</v>
      </c>
      <c r="AA4757" s="1" t="s">
        <v>24</v>
      </c>
      <c r="AB4757" s="1" t="s">
        <v>24</v>
      </c>
      <c r="AC4757" s="1" t="s">
        <v>24</v>
      </c>
      <c r="AD4757" s="1" t="s">
        <v>24</v>
      </c>
      <c r="AE4757" s="1" t="s">
        <v>24</v>
      </c>
      <c r="AF4757" s="22"/>
    </row>
    <row r="4758" spans="1:32" x14ac:dyDescent="0.2">
      <c r="A4758" s="1">
        <v>43251</v>
      </c>
      <c r="B4758" s="1" t="s">
        <v>14473</v>
      </c>
      <c r="C4758" s="5" t="s">
        <v>0</v>
      </c>
      <c r="D4758" s="1" t="s">
        <v>14474</v>
      </c>
      <c r="F4758" s="1" t="s">
        <v>14475</v>
      </c>
      <c r="G4758" s="1" t="s">
        <v>14475</v>
      </c>
      <c r="H4758" s="1" t="s">
        <v>14476</v>
      </c>
      <c r="I4758" s="1" t="s">
        <v>16</v>
      </c>
      <c r="J4758" s="1">
        <v>1</v>
      </c>
      <c r="K4758" s="1">
        <v>4</v>
      </c>
      <c r="L4758" s="1" t="s">
        <v>42</v>
      </c>
      <c r="M4758" s="1" t="s">
        <v>18</v>
      </c>
      <c r="N4758" s="1" t="s">
        <v>18</v>
      </c>
      <c r="O4758" s="1">
        <v>3</v>
      </c>
      <c r="P4758" s="1">
        <v>6</v>
      </c>
      <c r="R4758" s="1" t="s">
        <v>19</v>
      </c>
      <c r="S4758" s="1" t="s">
        <v>20</v>
      </c>
      <c r="T4758" s="1" t="s">
        <v>21</v>
      </c>
      <c r="U4758" s="1" t="s">
        <v>22</v>
      </c>
      <c r="V4758" s="1" t="s">
        <v>24</v>
      </c>
      <c r="W4758" s="1" t="s">
        <v>24</v>
      </c>
      <c r="X4758" s="1">
        <v>2724</v>
      </c>
      <c r="Y4758" s="1" t="s">
        <v>24</v>
      </c>
      <c r="Z4758" s="1" t="s">
        <v>24</v>
      </c>
      <c r="AA4758" s="1" t="s">
        <v>24</v>
      </c>
      <c r="AB4758" s="1" t="s">
        <v>24</v>
      </c>
      <c r="AC4758" s="1" t="s">
        <v>24</v>
      </c>
      <c r="AD4758" s="1" t="s">
        <v>24</v>
      </c>
      <c r="AE4758" s="1" t="s">
        <v>24</v>
      </c>
      <c r="AF4758" s="22"/>
    </row>
    <row r="4759" spans="1:32" x14ac:dyDescent="0.2">
      <c r="A4759" s="1">
        <v>43252</v>
      </c>
      <c r="B4759" s="1" t="s">
        <v>14477</v>
      </c>
      <c r="C4759" s="5" t="s">
        <v>0</v>
      </c>
      <c r="D4759" s="1" t="s">
        <v>14478</v>
      </c>
      <c r="F4759" s="1" t="s">
        <v>14479</v>
      </c>
      <c r="G4759" s="1" t="s">
        <v>14479</v>
      </c>
      <c r="H4759" s="1" t="s">
        <v>37</v>
      </c>
      <c r="I4759" s="1" t="s">
        <v>5001</v>
      </c>
      <c r="J4759" s="1">
        <v>1</v>
      </c>
      <c r="K4759" s="1">
        <v>11</v>
      </c>
      <c r="L4759" s="1" t="s">
        <v>42</v>
      </c>
      <c r="M4759" s="1" t="s">
        <v>18</v>
      </c>
      <c r="N4759" s="1" t="s">
        <v>18</v>
      </c>
      <c r="O4759" s="1">
        <v>3</v>
      </c>
      <c r="P4759" s="1">
        <v>5</v>
      </c>
      <c r="R4759" s="1" t="s">
        <v>19</v>
      </c>
      <c r="S4759" s="1" t="s">
        <v>20</v>
      </c>
      <c r="T4759" s="1" t="s">
        <v>21</v>
      </c>
      <c r="U4759" s="1" t="s">
        <v>22</v>
      </c>
      <c r="V4759" s="1" t="s">
        <v>23</v>
      </c>
      <c r="W4759" s="1" t="s">
        <v>24</v>
      </c>
      <c r="X4759" s="1">
        <v>3001</v>
      </c>
      <c r="Y4759" s="1">
        <v>3611</v>
      </c>
      <c r="Z4759" s="1" t="s">
        <v>24</v>
      </c>
      <c r="AA4759" s="1" t="s">
        <v>24</v>
      </c>
      <c r="AB4759" s="1" t="s">
        <v>24</v>
      </c>
      <c r="AC4759" s="1" t="s">
        <v>24</v>
      </c>
      <c r="AD4759" s="1" t="s">
        <v>24</v>
      </c>
      <c r="AE4759" s="1" t="s">
        <v>24</v>
      </c>
      <c r="AF4759" s="22"/>
    </row>
    <row r="4760" spans="1:32" x14ac:dyDescent="0.2">
      <c r="A4760" s="1">
        <v>43253</v>
      </c>
      <c r="B4760" s="1" t="s">
        <v>14480</v>
      </c>
      <c r="C4760" s="5" t="s">
        <v>0</v>
      </c>
      <c r="E4760" s="1" t="s">
        <v>14481</v>
      </c>
      <c r="F4760" s="1" t="s">
        <v>11078</v>
      </c>
      <c r="G4760" s="1" t="s">
        <v>11079</v>
      </c>
      <c r="H4760" s="1" t="s">
        <v>3228</v>
      </c>
      <c r="I4760" s="1" t="s">
        <v>16</v>
      </c>
      <c r="J4760" s="1">
        <v>1</v>
      </c>
      <c r="K4760" s="1">
        <v>1</v>
      </c>
      <c r="L4760" s="1" t="s">
        <v>42</v>
      </c>
      <c r="M4760" s="1" t="s">
        <v>18</v>
      </c>
      <c r="N4760" s="1" t="s">
        <v>18</v>
      </c>
      <c r="O4760" s="1">
        <v>3</v>
      </c>
      <c r="P4760" s="1">
        <v>6</v>
      </c>
      <c r="R4760" s="1" t="s">
        <v>19</v>
      </c>
      <c r="S4760" s="1" t="s">
        <v>20</v>
      </c>
      <c r="T4760" s="1" t="s">
        <v>21</v>
      </c>
      <c r="U4760" s="1" t="s">
        <v>22</v>
      </c>
      <c r="V4760" s="1" t="s">
        <v>24</v>
      </c>
      <c r="W4760" s="1" t="s">
        <v>24</v>
      </c>
      <c r="X4760" s="1">
        <v>2741</v>
      </c>
      <c r="Y4760" s="1" t="s">
        <v>24</v>
      </c>
      <c r="Z4760" s="1" t="s">
        <v>24</v>
      </c>
      <c r="AA4760" s="1" t="s">
        <v>24</v>
      </c>
      <c r="AB4760" s="1" t="s">
        <v>24</v>
      </c>
      <c r="AC4760" s="1" t="s">
        <v>24</v>
      </c>
      <c r="AD4760" s="1" t="s">
        <v>24</v>
      </c>
      <c r="AE4760" s="1" t="s">
        <v>24</v>
      </c>
      <c r="AF4760" s="22"/>
    </row>
    <row r="4761" spans="1:32" x14ac:dyDescent="0.2">
      <c r="A4761" s="1">
        <v>43254</v>
      </c>
      <c r="B4761" s="1" t="s">
        <v>14482</v>
      </c>
      <c r="C4761" s="5" t="s">
        <v>0</v>
      </c>
      <c r="D4761" s="1" t="s">
        <v>14483</v>
      </c>
      <c r="F4761" s="1" t="s">
        <v>14484</v>
      </c>
      <c r="G4761" s="1" t="s">
        <v>14484</v>
      </c>
      <c r="H4761" s="1" t="s">
        <v>69</v>
      </c>
      <c r="I4761" s="1" t="s">
        <v>16</v>
      </c>
      <c r="J4761" s="1">
        <v>1</v>
      </c>
      <c r="K4761" s="1">
        <v>4</v>
      </c>
      <c r="L4761" s="1" t="s">
        <v>42</v>
      </c>
      <c r="M4761" s="1" t="s">
        <v>70</v>
      </c>
      <c r="N4761" s="1" t="s">
        <v>75</v>
      </c>
      <c r="O4761" s="1">
        <v>3</v>
      </c>
      <c r="P4761" s="1">
        <v>5</v>
      </c>
      <c r="R4761" s="1" t="s">
        <v>19</v>
      </c>
      <c r="S4761" s="1" t="s">
        <v>20</v>
      </c>
      <c r="T4761" s="1" t="s">
        <v>21</v>
      </c>
      <c r="U4761" s="1" t="s">
        <v>22</v>
      </c>
      <c r="V4761" s="1" t="s">
        <v>23</v>
      </c>
      <c r="W4761" s="1" t="s">
        <v>24</v>
      </c>
      <c r="X4761" s="1">
        <v>2735</v>
      </c>
      <c r="Y4761" s="1" t="s">
        <v>24</v>
      </c>
      <c r="Z4761" s="1" t="s">
        <v>24</v>
      </c>
      <c r="AA4761" s="1" t="s">
        <v>24</v>
      </c>
      <c r="AB4761" s="1" t="s">
        <v>24</v>
      </c>
      <c r="AC4761" s="1" t="s">
        <v>24</v>
      </c>
      <c r="AD4761" s="1" t="s">
        <v>24</v>
      </c>
      <c r="AE4761" s="1" t="s">
        <v>24</v>
      </c>
      <c r="AF4761" s="22"/>
    </row>
    <row r="4762" spans="1:32" x14ac:dyDescent="0.2">
      <c r="A4762" s="1">
        <v>43255</v>
      </c>
      <c r="B4762" s="1" t="s">
        <v>14485</v>
      </c>
      <c r="C4762" s="5" t="s">
        <v>0</v>
      </c>
      <c r="E4762" s="1" t="s">
        <v>14486</v>
      </c>
      <c r="F4762" s="1" t="s">
        <v>11078</v>
      </c>
      <c r="G4762" s="1" t="s">
        <v>11079</v>
      </c>
      <c r="H4762" s="1" t="s">
        <v>3228</v>
      </c>
      <c r="I4762" s="1" t="s">
        <v>16</v>
      </c>
      <c r="J4762" s="1">
        <v>1</v>
      </c>
      <c r="K4762" s="1">
        <v>1</v>
      </c>
      <c r="L4762" s="1" t="s">
        <v>42</v>
      </c>
      <c r="M4762" s="1" t="s">
        <v>18</v>
      </c>
      <c r="N4762" s="1" t="s">
        <v>18</v>
      </c>
      <c r="O4762" s="1">
        <v>3</v>
      </c>
      <c r="P4762" s="1">
        <v>6</v>
      </c>
      <c r="R4762" s="1" t="s">
        <v>19</v>
      </c>
      <c r="S4762" s="1" t="s">
        <v>63</v>
      </c>
      <c r="T4762" s="1" t="s">
        <v>21</v>
      </c>
      <c r="U4762" s="1" t="s">
        <v>22</v>
      </c>
      <c r="V4762" s="1" t="s">
        <v>23</v>
      </c>
      <c r="W4762" s="1" t="s">
        <v>24</v>
      </c>
      <c r="X4762" s="1">
        <v>2739</v>
      </c>
      <c r="Y4762" s="1">
        <v>2719</v>
      </c>
      <c r="Z4762" s="1" t="s">
        <v>24</v>
      </c>
      <c r="AA4762" s="1" t="s">
        <v>24</v>
      </c>
      <c r="AB4762" s="1" t="s">
        <v>24</v>
      </c>
      <c r="AC4762" s="1" t="s">
        <v>24</v>
      </c>
      <c r="AD4762" s="1" t="s">
        <v>24</v>
      </c>
      <c r="AE4762" s="1" t="s">
        <v>24</v>
      </c>
      <c r="AF4762" s="22"/>
    </row>
    <row r="4763" spans="1:32" x14ac:dyDescent="0.2">
      <c r="A4763" s="1">
        <v>43256</v>
      </c>
      <c r="B4763" s="1" t="s">
        <v>14487</v>
      </c>
      <c r="C4763" s="5" t="s">
        <v>0</v>
      </c>
      <c r="D4763" s="1" t="s">
        <v>14488</v>
      </c>
      <c r="F4763" s="1" t="s">
        <v>14489</v>
      </c>
      <c r="G4763" s="1" t="s">
        <v>14489</v>
      </c>
      <c r="H4763" s="1" t="s">
        <v>3228</v>
      </c>
      <c r="I4763" s="1" t="s">
        <v>16</v>
      </c>
      <c r="J4763" s="1">
        <v>1</v>
      </c>
      <c r="K4763" s="1">
        <v>2</v>
      </c>
      <c r="L4763" s="1" t="s">
        <v>42</v>
      </c>
      <c r="M4763" s="1" t="s">
        <v>18</v>
      </c>
      <c r="N4763" s="1" t="s">
        <v>18</v>
      </c>
      <c r="O4763" s="1">
        <v>3</v>
      </c>
      <c r="P4763" s="1">
        <v>6</v>
      </c>
      <c r="R4763" s="1" t="s">
        <v>19</v>
      </c>
      <c r="S4763" s="1" t="s">
        <v>20</v>
      </c>
      <c r="T4763" s="1" t="s">
        <v>21</v>
      </c>
      <c r="U4763" s="1" t="s">
        <v>22</v>
      </c>
      <c r="V4763" s="1" t="s">
        <v>24</v>
      </c>
      <c r="W4763" s="1" t="s">
        <v>24</v>
      </c>
      <c r="X4763" s="1">
        <v>3000</v>
      </c>
      <c r="Y4763" s="1">
        <v>2719</v>
      </c>
      <c r="Z4763" s="1" t="s">
        <v>24</v>
      </c>
      <c r="AA4763" s="1" t="s">
        <v>24</v>
      </c>
      <c r="AB4763" s="1" t="s">
        <v>24</v>
      </c>
      <c r="AC4763" s="1" t="s">
        <v>24</v>
      </c>
      <c r="AD4763" s="1" t="s">
        <v>24</v>
      </c>
      <c r="AE4763" s="1" t="s">
        <v>24</v>
      </c>
      <c r="AF4763" s="22"/>
    </row>
    <row r="4764" spans="1:32" x14ac:dyDescent="0.2">
      <c r="A4764" s="1">
        <v>43257</v>
      </c>
      <c r="B4764" s="1" t="s">
        <v>14490</v>
      </c>
      <c r="C4764" s="5" t="s">
        <v>0</v>
      </c>
      <c r="D4764" s="1" t="s">
        <v>14491</v>
      </c>
      <c r="E4764" s="1" t="s">
        <v>14492</v>
      </c>
      <c r="F4764" s="1" t="s">
        <v>14493</v>
      </c>
      <c r="G4764" s="1" t="s">
        <v>14493</v>
      </c>
      <c r="H4764" s="1" t="s">
        <v>14494</v>
      </c>
      <c r="I4764" s="1" t="s">
        <v>16</v>
      </c>
      <c r="J4764" s="1">
        <v>1</v>
      </c>
      <c r="K4764" s="1">
        <v>2</v>
      </c>
      <c r="L4764" s="1" t="s">
        <v>42</v>
      </c>
      <c r="M4764" s="1" t="s">
        <v>18</v>
      </c>
      <c r="N4764" s="1" t="s">
        <v>18</v>
      </c>
      <c r="O4764" s="1">
        <v>3</v>
      </c>
      <c r="P4764" s="1">
        <v>6</v>
      </c>
      <c r="R4764" s="1" t="s">
        <v>19</v>
      </c>
      <c r="S4764" s="1" t="s">
        <v>20</v>
      </c>
      <c r="T4764" s="1" t="s">
        <v>21</v>
      </c>
      <c r="U4764" s="1" t="s">
        <v>22</v>
      </c>
      <c r="V4764" s="1" t="s">
        <v>23</v>
      </c>
      <c r="W4764" s="1" t="s">
        <v>24</v>
      </c>
      <c r="X4764" s="1">
        <v>2703</v>
      </c>
      <c r="Y4764" s="1" t="s">
        <v>24</v>
      </c>
      <c r="Z4764" s="1" t="s">
        <v>24</v>
      </c>
      <c r="AA4764" s="1" t="s">
        <v>24</v>
      </c>
      <c r="AB4764" s="1" t="s">
        <v>24</v>
      </c>
      <c r="AC4764" s="1" t="s">
        <v>24</v>
      </c>
      <c r="AD4764" s="1" t="s">
        <v>24</v>
      </c>
      <c r="AE4764" s="1" t="s">
        <v>24</v>
      </c>
      <c r="AF4764" s="22"/>
    </row>
    <row r="4765" spans="1:32" x14ac:dyDescent="0.2">
      <c r="A4765" s="1">
        <v>43258</v>
      </c>
      <c r="B4765" s="1" t="s">
        <v>14495</v>
      </c>
      <c r="C4765" s="5" t="s">
        <v>0</v>
      </c>
      <c r="E4765" s="1" t="s">
        <v>14496</v>
      </c>
      <c r="F4765" s="1" t="s">
        <v>11078</v>
      </c>
      <c r="G4765" s="1" t="s">
        <v>11079</v>
      </c>
      <c r="H4765" s="1" t="s">
        <v>3228</v>
      </c>
      <c r="I4765" s="1" t="s">
        <v>16</v>
      </c>
      <c r="J4765" s="1">
        <v>1</v>
      </c>
      <c r="K4765" s="1">
        <v>1</v>
      </c>
      <c r="L4765" s="1" t="s">
        <v>42</v>
      </c>
      <c r="M4765" s="1" t="s">
        <v>18</v>
      </c>
      <c r="N4765" s="1" t="s">
        <v>18</v>
      </c>
      <c r="O4765" s="1">
        <v>3</v>
      </c>
      <c r="P4765" s="1">
        <v>6</v>
      </c>
      <c r="R4765" s="1" t="s">
        <v>19</v>
      </c>
      <c r="S4765" s="1" t="s">
        <v>63</v>
      </c>
      <c r="T4765" s="1" t="s">
        <v>21</v>
      </c>
      <c r="U4765" s="1" t="s">
        <v>22</v>
      </c>
      <c r="V4765" s="1" t="s">
        <v>24</v>
      </c>
      <c r="W4765" s="1" t="s">
        <v>24</v>
      </c>
      <c r="X4765" s="1">
        <v>1307</v>
      </c>
      <c r="Y4765" s="1">
        <v>2701</v>
      </c>
      <c r="Z4765" s="1" t="s">
        <v>24</v>
      </c>
      <c r="AA4765" s="1" t="s">
        <v>24</v>
      </c>
      <c r="AB4765" s="1" t="s">
        <v>24</v>
      </c>
      <c r="AC4765" s="1" t="s">
        <v>24</v>
      </c>
      <c r="AD4765" s="1" t="s">
        <v>24</v>
      </c>
      <c r="AE4765" s="1" t="s">
        <v>24</v>
      </c>
      <c r="AF4765" s="22"/>
    </row>
    <row r="4766" spans="1:32" x14ac:dyDescent="0.2">
      <c r="A4766" s="1">
        <v>43259</v>
      </c>
      <c r="B4766" s="1" t="s">
        <v>14497</v>
      </c>
      <c r="C4766" s="5" t="s">
        <v>0</v>
      </c>
      <c r="D4766" s="1" t="s">
        <v>14498</v>
      </c>
      <c r="F4766" s="1" t="s">
        <v>14499</v>
      </c>
      <c r="G4766" s="1" t="s">
        <v>14499</v>
      </c>
      <c r="H4766" s="1" t="s">
        <v>1384</v>
      </c>
      <c r="I4766" s="1" t="s">
        <v>16</v>
      </c>
      <c r="J4766" s="1">
        <v>1</v>
      </c>
      <c r="K4766" s="1">
        <v>4</v>
      </c>
      <c r="L4766" s="1" t="s">
        <v>42</v>
      </c>
      <c r="M4766" s="1" t="s">
        <v>9409</v>
      </c>
      <c r="N4766" s="1" t="s">
        <v>3142</v>
      </c>
      <c r="O4766" s="1">
        <v>3</v>
      </c>
      <c r="P4766" s="1">
        <v>6</v>
      </c>
      <c r="R4766" s="1" t="s">
        <v>19</v>
      </c>
      <c r="S4766" s="1" t="s">
        <v>20</v>
      </c>
      <c r="T4766" s="1" t="s">
        <v>21</v>
      </c>
      <c r="U4766" s="1" t="s">
        <v>22</v>
      </c>
      <c r="V4766" s="1" t="s">
        <v>24</v>
      </c>
      <c r="W4766" s="1" t="s">
        <v>24</v>
      </c>
      <c r="X4766" s="1">
        <v>2728</v>
      </c>
      <c r="Y4766" s="1" t="s">
        <v>24</v>
      </c>
      <c r="Z4766" s="1" t="s">
        <v>24</v>
      </c>
      <c r="AA4766" s="1" t="s">
        <v>24</v>
      </c>
      <c r="AB4766" s="1" t="s">
        <v>24</v>
      </c>
      <c r="AC4766" s="1" t="s">
        <v>24</v>
      </c>
      <c r="AD4766" s="1" t="s">
        <v>24</v>
      </c>
      <c r="AE4766" s="1" t="s">
        <v>24</v>
      </c>
      <c r="AF4766" s="22"/>
    </row>
    <row r="4767" spans="1:32" x14ac:dyDescent="0.2">
      <c r="A4767" s="1">
        <v>43261</v>
      </c>
      <c r="B4767" s="1" t="s">
        <v>14500</v>
      </c>
      <c r="C4767" s="5" t="s">
        <v>0</v>
      </c>
      <c r="D4767" s="1" t="s">
        <v>14501</v>
      </c>
      <c r="F4767" s="1" t="s">
        <v>14502</v>
      </c>
      <c r="G4767" s="1" t="s">
        <v>14502</v>
      </c>
      <c r="H4767" s="1" t="s">
        <v>264</v>
      </c>
      <c r="I4767" s="1" t="s">
        <v>16</v>
      </c>
      <c r="J4767" s="1">
        <v>1</v>
      </c>
      <c r="K4767" s="1">
        <v>12</v>
      </c>
      <c r="L4767" s="1" t="s">
        <v>42</v>
      </c>
      <c r="M4767" s="1" t="s">
        <v>18</v>
      </c>
      <c r="N4767" s="1" t="s">
        <v>18</v>
      </c>
      <c r="O4767" s="1">
        <v>3</v>
      </c>
      <c r="P4767" s="1">
        <v>6</v>
      </c>
      <c r="R4767" s="1" t="s">
        <v>19</v>
      </c>
      <c r="S4767" s="1" t="s">
        <v>20</v>
      </c>
      <c r="T4767" s="1" t="s">
        <v>21</v>
      </c>
      <c r="U4767" s="1" t="s">
        <v>22</v>
      </c>
      <c r="V4767" s="1" t="s">
        <v>24</v>
      </c>
      <c r="W4767" s="1" t="s">
        <v>24</v>
      </c>
      <c r="X4767" s="1">
        <v>2700</v>
      </c>
      <c r="Y4767" s="1" t="s">
        <v>24</v>
      </c>
      <c r="Z4767" s="1" t="s">
        <v>24</v>
      </c>
      <c r="AA4767" s="1" t="s">
        <v>24</v>
      </c>
      <c r="AB4767" s="1" t="s">
        <v>24</v>
      </c>
      <c r="AC4767" s="1" t="s">
        <v>24</v>
      </c>
      <c r="AD4767" s="1" t="s">
        <v>24</v>
      </c>
      <c r="AE4767" s="1" t="s">
        <v>24</v>
      </c>
      <c r="AF4767" s="22"/>
    </row>
    <row r="4768" spans="1:32" x14ac:dyDescent="0.2">
      <c r="A4768" s="1">
        <v>43262</v>
      </c>
      <c r="B4768" s="1" t="s">
        <v>14503</v>
      </c>
      <c r="C4768" s="5" t="s">
        <v>0</v>
      </c>
      <c r="D4768" s="1" t="s">
        <v>14504</v>
      </c>
      <c r="F4768" s="1" t="s">
        <v>14505</v>
      </c>
      <c r="G4768" s="1" t="s">
        <v>14505</v>
      </c>
      <c r="H4768" s="1" t="s">
        <v>684</v>
      </c>
      <c r="I4768" s="1" t="s">
        <v>16</v>
      </c>
      <c r="J4768" s="1">
        <v>1</v>
      </c>
      <c r="K4768" s="1">
        <v>6</v>
      </c>
      <c r="L4768" s="1" t="s">
        <v>42</v>
      </c>
      <c r="M4768" s="1" t="s">
        <v>852</v>
      </c>
      <c r="N4768" s="1" t="s">
        <v>685</v>
      </c>
      <c r="O4768" s="1">
        <v>2</v>
      </c>
      <c r="P4768" s="1">
        <v>5</v>
      </c>
      <c r="R4768" s="1" t="s">
        <v>19</v>
      </c>
      <c r="S4768" s="1" t="s">
        <v>20</v>
      </c>
      <c r="T4768" s="1" t="s">
        <v>21</v>
      </c>
      <c r="U4768" s="1" t="s">
        <v>22</v>
      </c>
      <c r="V4768" s="1" t="s">
        <v>24</v>
      </c>
      <c r="W4768" s="1" t="s">
        <v>24</v>
      </c>
      <c r="X4768" s="1">
        <v>1308</v>
      </c>
      <c r="Y4768" s="1">
        <v>2704</v>
      </c>
      <c r="Z4768" s="1">
        <v>3607</v>
      </c>
      <c r="AA4768" s="1" t="s">
        <v>24</v>
      </c>
      <c r="AB4768" s="1" t="s">
        <v>24</v>
      </c>
      <c r="AC4768" s="1" t="s">
        <v>24</v>
      </c>
      <c r="AD4768" s="1" t="s">
        <v>24</v>
      </c>
      <c r="AE4768" s="1" t="s">
        <v>24</v>
      </c>
      <c r="AF4768" s="22"/>
    </row>
    <row r="4769" spans="1:32" x14ac:dyDescent="0.2">
      <c r="A4769" s="1">
        <v>43265</v>
      </c>
      <c r="B4769" s="1" t="s">
        <v>14506</v>
      </c>
      <c r="C4769" s="5" t="s">
        <v>0</v>
      </c>
      <c r="D4769" s="1" t="s">
        <v>14507</v>
      </c>
      <c r="F4769" s="1" t="s">
        <v>14212</v>
      </c>
      <c r="G4769" s="1" t="s">
        <v>14213</v>
      </c>
      <c r="H4769" s="1" t="s">
        <v>37</v>
      </c>
      <c r="I4769" s="1" t="s">
        <v>16</v>
      </c>
      <c r="J4769" s="1">
        <v>1</v>
      </c>
      <c r="K4769" s="1">
        <v>4</v>
      </c>
      <c r="L4769" s="1" t="s">
        <v>31</v>
      </c>
      <c r="M4769" s="1" t="s">
        <v>18</v>
      </c>
      <c r="N4769" s="1" t="s">
        <v>18</v>
      </c>
      <c r="O4769" s="1">
        <v>3</v>
      </c>
      <c r="P4769" s="1">
        <v>6</v>
      </c>
      <c r="R4769" s="1" t="s">
        <v>19</v>
      </c>
      <c r="S4769" s="1" t="s">
        <v>20</v>
      </c>
      <c r="T4769" s="1" t="s">
        <v>21</v>
      </c>
      <c r="U4769" s="1" t="s">
        <v>22</v>
      </c>
      <c r="V4769" s="1" t="s">
        <v>24</v>
      </c>
      <c r="W4769" s="1" t="s">
        <v>24</v>
      </c>
      <c r="X4769" s="1">
        <v>2719</v>
      </c>
      <c r="Y4769" s="1">
        <v>3001</v>
      </c>
      <c r="Z4769" s="1" t="s">
        <v>24</v>
      </c>
      <c r="AA4769" s="1" t="s">
        <v>24</v>
      </c>
      <c r="AB4769" s="1" t="s">
        <v>24</v>
      </c>
      <c r="AC4769" s="1" t="s">
        <v>24</v>
      </c>
      <c r="AD4769" s="1" t="s">
        <v>24</v>
      </c>
      <c r="AE4769" s="1" t="s">
        <v>24</v>
      </c>
      <c r="AF4769" s="22"/>
    </row>
    <row r="4770" spans="1:32" x14ac:dyDescent="0.2">
      <c r="A4770" s="1">
        <v>43266</v>
      </c>
      <c r="B4770" s="1" t="s">
        <v>14508</v>
      </c>
      <c r="C4770" s="5" t="s">
        <v>0</v>
      </c>
      <c r="D4770" s="1" t="s">
        <v>14509</v>
      </c>
      <c r="F4770" s="1" t="s">
        <v>1956</v>
      </c>
      <c r="G4770" s="1" t="s">
        <v>1956</v>
      </c>
      <c r="H4770" s="1" t="s">
        <v>731</v>
      </c>
      <c r="I4770" s="1" t="s">
        <v>16</v>
      </c>
      <c r="J4770" s="1">
        <v>1</v>
      </c>
      <c r="K4770" s="1">
        <v>4</v>
      </c>
      <c r="L4770" s="1" t="s">
        <v>42</v>
      </c>
      <c r="M4770" s="1" t="s">
        <v>18</v>
      </c>
      <c r="N4770" s="1" t="s">
        <v>18</v>
      </c>
      <c r="O4770" s="1">
        <v>3</v>
      </c>
      <c r="P4770" s="1">
        <v>6</v>
      </c>
      <c r="R4770" s="1" t="s">
        <v>19</v>
      </c>
      <c r="S4770" s="1" t="s">
        <v>20</v>
      </c>
      <c r="T4770" s="1" t="s">
        <v>21</v>
      </c>
      <c r="U4770" s="1" t="s">
        <v>22</v>
      </c>
      <c r="V4770" s="1" t="s">
        <v>23</v>
      </c>
      <c r="W4770" s="1" t="s">
        <v>24</v>
      </c>
      <c r="X4770" s="1">
        <v>2700</v>
      </c>
      <c r="Y4770" s="1" t="s">
        <v>24</v>
      </c>
      <c r="Z4770" s="1" t="s">
        <v>24</v>
      </c>
      <c r="AA4770" s="1" t="s">
        <v>24</v>
      </c>
      <c r="AB4770" s="1" t="s">
        <v>24</v>
      </c>
      <c r="AC4770" s="1" t="s">
        <v>24</v>
      </c>
      <c r="AD4770" s="1" t="s">
        <v>24</v>
      </c>
      <c r="AE4770" s="1" t="s">
        <v>24</v>
      </c>
      <c r="AF4770" s="22" t="s">
        <v>17681</v>
      </c>
    </row>
    <row r="4771" spans="1:32" x14ac:dyDescent="0.2">
      <c r="A4771" s="1">
        <v>43267</v>
      </c>
      <c r="B4771" s="1" t="s">
        <v>14510</v>
      </c>
      <c r="C4771" s="5" t="s">
        <v>0</v>
      </c>
      <c r="D4771" s="1" t="s">
        <v>14511</v>
      </c>
      <c r="E4771" s="1" t="s">
        <v>14512</v>
      </c>
      <c r="F4771" s="1" t="s">
        <v>13507</v>
      </c>
      <c r="G4771" s="1" t="s">
        <v>13508</v>
      </c>
      <c r="H4771" s="1" t="s">
        <v>135</v>
      </c>
      <c r="I4771" s="1" t="s">
        <v>16</v>
      </c>
      <c r="J4771" s="1">
        <v>1</v>
      </c>
      <c r="K4771" s="1">
        <v>4</v>
      </c>
      <c r="L4771" s="1" t="s">
        <v>42</v>
      </c>
      <c r="M4771" s="1" t="s">
        <v>1131</v>
      </c>
      <c r="N4771" s="1" t="s">
        <v>5887</v>
      </c>
      <c r="O4771" s="1">
        <v>3</v>
      </c>
      <c r="P4771" s="1">
        <v>5</v>
      </c>
      <c r="R4771" s="1" t="s">
        <v>19</v>
      </c>
      <c r="S4771" s="1" t="s">
        <v>20</v>
      </c>
      <c r="T4771" s="1" t="s">
        <v>21</v>
      </c>
      <c r="U4771" s="1" t="s">
        <v>22</v>
      </c>
      <c r="V4771" s="1" t="s">
        <v>24</v>
      </c>
      <c r="W4771" s="1" t="s">
        <v>24</v>
      </c>
      <c r="X4771" s="1">
        <v>2705</v>
      </c>
      <c r="Y4771" s="1">
        <v>2706</v>
      </c>
      <c r="Z4771" s="1" t="s">
        <v>24</v>
      </c>
      <c r="AA4771" s="1" t="s">
        <v>24</v>
      </c>
      <c r="AB4771" s="1" t="s">
        <v>24</v>
      </c>
      <c r="AC4771" s="1" t="s">
        <v>24</v>
      </c>
      <c r="AD4771" s="1" t="s">
        <v>24</v>
      </c>
      <c r="AE4771" s="1" t="s">
        <v>24</v>
      </c>
      <c r="AF4771" s="22"/>
    </row>
    <row r="4772" spans="1:32" x14ac:dyDescent="0.2">
      <c r="A4772" s="1">
        <v>43268</v>
      </c>
      <c r="B4772" s="1" t="s">
        <v>14513</v>
      </c>
      <c r="C4772" s="5" t="s">
        <v>0</v>
      </c>
      <c r="D4772" s="1" t="s">
        <v>14514</v>
      </c>
      <c r="F4772" s="1" t="s">
        <v>14515</v>
      </c>
      <c r="G4772" s="1" t="s">
        <v>14516</v>
      </c>
      <c r="H4772" s="1" t="s">
        <v>4080</v>
      </c>
      <c r="I4772" s="1" t="s">
        <v>16</v>
      </c>
      <c r="J4772" s="1">
        <v>1</v>
      </c>
      <c r="K4772" s="1">
        <v>3</v>
      </c>
      <c r="L4772" s="1" t="s">
        <v>31</v>
      </c>
      <c r="M4772" s="1" t="s">
        <v>4081</v>
      </c>
      <c r="N4772" s="1" t="s">
        <v>4081</v>
      </c>
      <c r="O4772" s="1">
        <v>3</v>
      </c>
      <c r="P4772" s="1">
        <v>6</v>
      </c>
      <c r="R4772" s="1" t="s">
        <v>19</v>
      </c>
      <c r="S4772" s="1" t="s">
        <v>20</v>
      </c>
      <c r="T4772" s="1" t="s">
        <v>21</v>
      </c>
      <c r="U4772" s="1" t="s">
        <v>22</v>
      </c>
      <c r="V4772" s="1" t="s">
        <v>24</v>
      </c>
      <c r="W4772" s="1" t="s">
        <v>24</v>
      </c>
      <c r="X4772" s="1">
        <v>2700</v>
      </c>
      <c r="Y4772" s="1" t="s">
        <v>24</v>
      </c>
      <c r="Z4772" s="1" t="s">
        <v>24</v>
      </c>
      <c r="AA4772" s="1" t="s">
        <v>24</v>
      </c>
      <c r="AB4772" s="1" t="s">
        <v>24</v>
      </c>
      <c r="AC4772" s="1" t="s">
        <v>24</v>
      </c>
      <c r="AD4772" s="1" t="s">
        <v>24</v>
      </c>
      <c r="AE4772" s="1" t="s">
        <v>24</v>
      </c>
      <c r="AF4772" s="22"/>
    </row>
    <row r="4773" spans="1:32" x14ac:dyDescent="0.2">
      <c r="A4773" s="1">
        <v>43269</v>
      </c>
      <c r="B4773" s="1" t="s">
        <v>14517</v>
      </c>
      <c r="C4773" s="5" t="s">
        <v>0</v>
      </c>
      <c r="D4773" s="1" t="s">
        <v>14518</v>
      </c>
      <c r="E4773" s="1" t="s">
        <v>14519</v>
      </c>
      <c r="F4773" s="1" t="s">
        <v>14520</v>
      </c>
      <c r="G4773" s="1" t="s">
        <v>14520</v>
      </c>
      <c r="H4773" s="1" t="s">
        <v>1384</v>
      </c>
      <c r="I4773" s="1" t="s">
        <v>16</v>
      </c>
      <c r="J4773" s="1">
        <v>1</v>
      </c>
      <c r="K4773" s="1">
        <v>3</v>
      </c>
      <c r="L4773" s="1" t="s">
        <v>42</v>
      </c>
      <c r="M4773" s="1" t="s">
        <v>1385</v>
      </c>
      <c r="N4773" s="1" t="s">
        <v>3142</v>
      </c>
      <c r="O4773" s="1">
        <v>3</v>
      </c>
      <c r="P4773" s="1">
        <v>5</v>
      </c>
      <c r="R4773" s="1" t="s">
        <v>19</v>
      </c>
      <c r="S4773" s="1" t="s">
        <v>20</v>
      </c>
      <c r="T4773" s="1" t="s">
        <v>21</v>
      </c>
      <c r="U4773" s="1" t="s">
        <v>22</v>
      </c>
      <c r="V4773" s="1" t="s">
        <v>24</v>
      </c>
      <c r="W4773" s="1" t="s">
        <v>24</v>
      </c>
      <c r="X4773" s="1">
        <v>2734</v>
      </c>
      <c r="Y4773" s="1" t="s">
        <v>24</v>
      </c>
      <c r="Z4773" s="1" t="s">
        <v>24</v>
      </c>
      <c r="AA4773" s="1" t="s">
        <v>24</v>
      </c>
      <c r="AB4773" s="1" t="s">
        <v>24</v>
      </c>
      <c r="AC4773" s="1" t="s">
        <v>24</v>
      </c>
      <c r="AD4773" s="1" t="s">
        <v>24</v>
      </c>
      <c r="AE4773" s="1" t="s">
        <v>24</v>
      </c>
      <c r="AF4773" s="22"/>
    </row>
    <row r="4774" spans="1:32" x14ac:dyDescent="0.2">
      <c r="A4774" s="1">
        <v>43272</v>
      </c>
      <c r="B4774" s="1" t="s">
        <v>14521</v>
      </c>
      <c r="C4774" s="5" t="s">
        <v>0</v>
      </c>
      <c r="D4774" s="1" t="s">
        <v>14522</v>
      </c>
      <c r="E4774" s="1" t="s">
        <v>14523</v>
      </c>
      <c r="F4774" s="1" t="s">
        <v>12168</v>
      </c>
      <c r="G4774" s="1" t="s">
        <v>12168</v>
      </c>
      <c r="H4774" s="1" t="s">
        <v>1957</v>
      </c>
      <c r="I4774" s="1" t="s">
        <v>16</v>
      </c>
      <c r="J4774" s="1">
        <v>1</v>
      </c>
      <c r="K4774" s="1">
        <v>4</v>
      </c>
      <c r="L4774" s="1" t="s">
        <v>42</v>
      </c>
      <c r="M4774" s="1" t="s">
        <v>18</v>
      </c>
      <c r="N4774" s="1" t="s">
        <v>18</v>
      </c>
      <c r="O4774" s="1">
        <v>3</v>
      </c>
      <c r="P4774" s="1">
        <v>6</v>
      </c>
      <c r="R4774" s="1" t="s">
        <v>19</v>
      </c>
      <c r="S4774" s="1" t="s">
        <v>20</v>
      </c>
      <c r="T4774" s="1" t="s">
        <v>21</v>
      </c>
      <c r="U4774" s="1" t="s">
        <v>22</v>
      </c>
      <c r="V4774" s="1" t="s">
        <v>24</v>
      </c>
      <c r="W4774" s="1" t="s">
        <v>24</v>
      </c>
      <c r="X4774" s="1">
        <v>1305</v>
      </c>
      <c r="Y4774" s="1">
        <v>2402</v>
      </c>
      <c r="Z4774" s="1">
        <v>1502</v>
      </c>
      <c r="AA4774" s="1">
        <v>2204</v>
      </c>
      <c r="AB4774" s="1" t="s">
        <v>24</v>
      </c>
      <c r="AC4774" s="1" t="s">
        <v>24</v>
      </c>
      <c r="AD4774" s="1" t="s">
        <v>24</v>
      </c>
      <c r="AE4774" s="1" t="s">
        <v>24</v>
      </c>
      <c r="AF4774" s="22"/>
    </row>
    <row r="4775" spans="1:32" x14ac:dyDescent="0.2">
      <c r="A4775" s="1">
        <v>43405</v>
      </c>
      <c r="B4775" s="1" t="s">
        <v>14524</v>
      </c>
      <c r="C4775" s="5" t="s">
        <v>0</v>
      </c>
      <c r="D4775" s="1" t="s">
        <v>14525</v>
      </c>
      <c r="E4775" s="1" t="s">
        <v>14526</v>
      </c>
      <c r="F4775" s="1" t="s">
        <v>85</v>
      </c>
      <c r="G4775" s="1" t="s">
        <v>61</v>
      </c>
      <c r="H4775" s="1" t="s">
        <v>86</v>
      </c>
      <c r="I4775" s="1" t="s">
        <v>16</v>
      </c>
      <c r="J4775" s="1">
        <v>1</v>
      </c>
      <c r="K4775" s="1">
        <v>6</v>
      </c>
      <c r="L4775" s="1" t="s">
        <v>31</v>
      </c>
      <c r="M4775" s="1" t="s">
        <v>18</v>
      </c>
      <c r="N4775" s="1" t="s">
        <v>18</v>
      </c>
      <c r="O4775" s="1">
        <v>3</v>
      </c>
      <c r="P4775" s="1">
        <v>7</v>
      </c>
      <c r="Q4775" s="7" t="s">
        <v>17633</v>
      </c>
      <c r="R4775" s="1" t="s">
        <v>19</v>
      </c>
      <c r="S4775" s="1" t="s">
        <v>20</v>
      </c>
      <c r="T4775" s="1" t="s">
        <v>21</v>
      </c>
      <c r="U4775" s="1" t="s">
        <v>22</v>
      </c>
      <c r="V4775" s="1" t="s">
        <v>23</v>
      </c>
      <c r="W4775" s="1" t="s">
        <v>24</v>
      </c>
      <c r="X4775" s="1">
        <v>2733</v>
      </c>
      <c r="Y4775" s="1">
        <v>2746</v>
      </c>
      <c r="Z4775" s="1" t="s">
        <v>24</v>
      </c>
      <c r="AA4775" s="1" t="s">
        <v>24</v>
      </c>
      <c r="AB4775" s="1" t="s">
        <v>24</v>
      </c>
      <c r="AC4775" s="1" t="s">
        <v>24</v>
      </c>
      <c r="AD4775" s="1" t="s">
        <v>24</v>
      </c>
      <c r="AE4775" s="1" t="s">
        <v>24</v>
      </c>
      <c r="AF4775" s="22"/>
    </row>
    <row r="4776" spans="1:32" x14ac:dyDescent="0.2">
      <c r="A4776" s="1">
        <v>43406</v>
      </c>
      <c r="B4776" s="1" t="s">
        <v>14527</v>
      </c>
      <c r="C4776" s="5" t="s">
        <v>0</v>
      </c>
      <c r="D4776" s="1" t="s">
        <v>14528</v>
      </c>
      <c r="E4776" s="1" t="s">
        <v>14529</v>
      </c>
      <c r="F4776" s="1" t="s">
        <v>85</v>
      </c>
      <c r="G4776" s="1" t="s">
        <v>61</v>
      </c>
      <c r="H4776" s="1" t="s">
        <v>86</v>
      </c>
      <c r="I4776" s="1" t="s">
        <v>16</v>
      </c>
      <c r="J4776" s="1">
        <v>1</v>
      </c>
      <c r="K4776" s="1">
        <v>6</v>
      </c>
      <c r="L4776" s="1" t="s">
        <v>31</v>
      </c>
      <c r="M4776" s="1" t="s">
        <v>18</v>
      </c>
      <c r="N4776" s="1" t="s">
        <v>18</v>
      </c>
      <c r="O4776" s="1">
        <v>3</v>
      </c>
      <c r="P4776" s="1">
        <v>7</v>
      </c>
      <c r="Q4776" s="7" t="s">
        <v>17633</v>
      </c>
      <c r="R4776" s="1" t="s">
        <v>19</v>
      </c>
      <c r="S4776" s="1" t="s">
        <v>20</v>
      </c>
      <c r="T4776" s="1" t="s">
        <v>21</v>
      </c>
      <c r="U4776" s="1" t="s">
        <v>22</v>
      </c>
      <c r="V4776" s="1" t="s">
        <v>23</v>
      </c>
      <c r="W4776" s="1" t="s">
        <v>24</v>
      </c>
      <c r="X4776" s="1">
        <v>2717</v>
      </c>
      <c r="Y4776" s="1">
        <v>2909</v>
      </c>
      <c r="Z4776" s="1" t="s">
        <v>24</v>
      </c>
      <c r="AA4776" s="1" t="s">
        <v>24</v>
      </c>
      <c r="AB4776" s="1" t="s">
        <v>24</v>
      </c>
      <c r="AC4776" s="1" t="s">
        <v>24</v>
      </c>
      <c r="AD4776" s="1" t="s">
        <v>24</v>
      </c>
      <c r="AE4776" s="1" t="s">
        <v>24</v>
      </c>
      <c r="AF4776" s="22"/>
    </row>
    <row r="4777" spans="1:32" x14ac:dyDescent="0.2">
      <c r="A4777" s="1">
        <v>43407</v>
      </c>
      <c r="B4777" s="1" t="s">
        <v>14530</v>
      </c>
      <c r="C4777" s="5" t="s">
        <v>0</v>
      </c>
      <c r="E4777" s="1" t="s">
        <v>14531</v>
      </c>
      <c r="F4777" s="1" t="s">
        <v>272</v>
      </c>
      <c r="G4777" s="1" t="s">
        <v>61</v>
      </c>
      <c r="H4777" s="1" t="s">
        <v>30</v>
      </c>
      <c r="I4777" s="1" t="s">
        <v>16</v>
      </c>
      <c r="J4777" s="1">
        <v>1</v>
      </c>
      <c r="K4777" s="1">
        <v>2</v>
      </c>
      <c r="L4777" s="1" t="s">
        <v>31</v>
      </c>
      <c r="M4777" s="1" t="s">
        <v>18</v>
      </c>
      <c r="N4777" s="1" t="s">
        <v>18</v>
      </c>
      <c r="O4777" s="1">
        <v>3</v>
      </c>
      <c r="P4777" s="1">
        <v>7</v>
      </c>
      <c r="Q4777" s="7" t="s">
        <v>17633</v>
      </c>
      <c r="R4777" s="1" t="s">
        <v>19</v>
      </c>
      <c r="S4777" s="1" t="s">
        <v>20</v>
      </c>
      <c r="T4777" s="1" t="s">
        <v>21</v>
      </c>
      <c r="U4777" s="1" t="s">
        <v>22</v>
      </c>
      <c r="V4777" s="1" t="s">
        <v>23</v>
      </c>
      <c r="W4777" s="1" t="s">
        <v>24</v>
      </c>
      <c r="X4777" s="1">
        <v>2719</v>
      </c>
      <c r="Y4777" s="1" t="s">
        <v>24</v>
      </c>
      <c r="Z4777" s="1" t="s">
        <v>24</v>
      </c>
      <c r="AA4777" s="1" t="s">
        <v>24</v>
      </c>
      <c r="AB4777" s="1" t="s">
        <v>24</v>
      </c>
      <c r="AC4777" s="1" t="s">
        <v>24</v>
      </c>
      <c r="AD4777" s="1" t="s">
        <v>24</v>
      </c>
      <c r="AE4777" s="1" t="s">
        <v>24</v>
      </c>
      <c r="AF4777" s="22"/>
    </row>
    <row r="4778" spans="1:32" x14ac:dyDescent="0.2">
      <c r="A4778" s="1">
        <v>43408</v>
      </c>
      <c r="B4778" s="1" t="s">
        <v>14532</v>
      </c>
      <c r="C4778" s="5" t="s">
        <v>0</v>
      </c>
      <c r="E4778" s="1" t="s">
        <v>14533</v>
      </c>
      <c r="F4778" s="1" t="s">
        <v>155</v>
      </c>
      <c r="G4778" s="1" t="s">
        <v>61</v>
      </c>
      <c r="H4778" s="1" t="s">
        <v>37</v>
      </c>
      <c r="I4778" s="1" t="s">
        <v>16</v>
      </c>
      <c r="J4778" s="1">
        <v>1</v>
      </c>
      <c r="K4778" s="1">
        <v>8</v>
      </c>
      <c r="L4778" s="1" t="s">
        <v>31</v>
      </c>
      <c r="M4778" s="1" t="s">
        <v>18</v>
      </c>
      <c r="N4778" s="1" t="s">
        <v>18</v>
      </c>
      <c r="O4778" s="1">
        <v>3</v>
      </c>
      <c r="P4778" s="1">
        <v>7</v>
      </c>
      <c r="Q4778" s="7" t="s">
        <v>17633</v>
      </c>
      <c r="R4778" s="1" t="s">
        <v>19</v>
      </c>
      <c r="S4778" s="1" t="s">
        <v>63</v>
      </c>
      <c r="T4778" s="1" t="s">
        <v>21</v>
      </c>
      <c r="U4778" s="1" t="s">
        <v>22</v>
      </c>
      <c r="V4778" s="1" t="s">
        <v>23</v>
      </c>
      <c r="W4778" s="1" t="s">
        <v>24</v>
      </c>
      <c r="X4778" s="1">
        <v>2746</v>
      </c>
      <c r="Y4778" s="1" t="s">
        <v>24</v>
      </c>
      <c r="Z4778" s="1" t="s">
        <v>24</v>
      </c>
      <c r="AA4778" s="1" t="s">
        <v>24</v>
      </c>
      <c r="AB4778" s="1" t="s">
        <v>24</v>
      </c>
      <c r="AC4778" s="1" t="s">
        <v>24</v>
      </c>
      <c r="AD4778" s="1" t="s">
        <v>24</v>
      </c>
      <c r="AE4778" s="1" t="s">
        <v>24</v>
      </c>
      <c r="AF4778" s="22"/>
    </row>
    <row r="4779" spans="1:32" x14ac:dyDescent="0.2">
      <c r="A4779" s="1">
        <v>43409</v>
      </c>
      <c r="B4779" s="1" t="s">
        <v>14534</v>
      </c>
      <c r="C4779" s="5" t="s">
        <v>0</v>
      </c>
      <c r="E4779" s="1" t="s">
        <v>14535</v>
      </c>
      <c r="F4779" s="1" t="s">
        <v>272</v>
      </c>
      <c r="G4779" s="1" t="s">
        <v>61</v>
      </c>
      <c r="H4779" s="1" t="s">
        <v>30</v>
      </c>
      <c r="I4779" s="1" t="s">
        <v>16</v>
      </c>
      <c r="J4779" s="1">
        <v>1</v>
      </c>
      <c r="K4779" s="1">
        <v>1</v>
      </c>
      <c r="L4779" s="1" t="s">
        <v>31</v>
      </c>
      <c r="M4779" s="1" t="s">
        <v>18</v>
      </c>
      <c r="N4779" s="1" t="s">
        <v>18</v>
      </c>
      <c r="O4779" s="1">
        <v>3</v>
      </c>
      <c r="P4779" s="1">
        <v>7</v>
      </c>
      <c r="Q4779" s="7" t="s">
        <v>17633</v>
      </c>
      <c r="R4779" s="1" t="s">
        <v>19</v>
      </c>
      <c r="S4779" s="1" t="s">
        <v>20</v>
      </c>
      <c r="T4779" s="1" t="s">
        <v>21</v>
      </c>
      <c r="U4779" s="1" t="s">
        <v>22</v>
      </c>
      <c r="V4779" s="1" t="s">
        <v>23</v>
      </c>
      <c r="W4779" s="1" t="s">
        <v>24</v>
      </c>
      <c r="X4779" s="1">
        <v>2707</v>
      </c>
      <c r="Y4779" s="1">
        <v>3602</v>
      </c>
      <c r="Z4779" s="1" t="s">
        <v>24</v>
      </c>
      <c r="AA4779" s="1" t="s">
        <v>24</v>
      </c>
      <c r="AB4779" s="1" t="s">
        <v>24</v>
      </c>
      <c r="AC4779" s="1" t="s">
        <v>24</v>
      </c>
      <c r="AD4779" s="1" t="s">
        <v>24</v>
      </c>
      <c r="AE4779" s="1" t="s">
        <v>24</v>
      </c>
      <c r="AF4779" s="22"/>
    </row>
    <row r="4780" spans="1:32" x14ac:dyDescent="0.2">
      <c r="A4780" s="1">
        <v>43410</v>
      </c>
      <c r="B4780" s="1" t="s">
        <v>14536</v>
      </c>
      <c r="C4780" s="5" t="s">
        <v>0</v>
      </c>
      <c r="D4780" s="1" t="s">
        <v>14537</v>
      </c>
      <c r="E4780" s="1" t="s">
        <v>14538</v>
      </c>
      <c r="F4780" s="1" t="s">
        <v>155</v>
      </c>
      <c r="G4780" s="1" t="s">
        <v>61</v>
      </c>
      <c r="H4780" s="1" t="s">
        <v>37</v>
      </c>
      <c r="I4780" s="1" t="s">
        <v>16</v>
      </c>
      <c r="J4780" s="1">
        <v>1</v>
      </c>
      <c r="K4780" s="1">
        <v>2</v>
      </c>
      <c r="L4780" s="1" t="s">
        <v>31</v>
      </c>
      <c r="M4780" s="1" t="s">
        <v>18</v>
      </c>
      <c r="N4780" s="1" t="s">
        <v>18</v>
      </c>
      <c r="O4780" s="1">
        <v>3</v>
      </c>
      <c r="P4780" s="1">
        <v>7</v>
      </c>
      <c r="Q4780" s="7" t="s">
        <v>17633</v>
      </c>
      <c r="R4780" s="1" t="s">
        <v>19</v>
      </c>
      <c r="S4780" s="1" t="s">
        <v>20</v>
      </c>
      <c r="T4780" s="1" t="s">
        <v>21</v>
      </c>
      <c r="U4780" s="1" t="s">
        <v>22</v>
      </c>
      <c r="V4780" s="1" t="s">
        <v>23</v>
      </c>
      <c r="W4780" s="1" t="s">
        <v>24</v>
      </c>
      <c r="X4780" s="1">
        <v>2717</v>
      </c>
      <c r="Y4780" s="1">
        <v>2730</v>
      </c>
      <c r="Z4780" s="1" t="s">
        <v>24</v>
      </c>
      <c r="AA4780" s="1" t="s">
        <v>24</v>
      </c>
      <c r="AB4780" s="1" t="s">
        <v>24</v>
      </c>
      <c r="AC4780" s="1" t="s">
        <v>24</v>
      </c>
      <c r="AD4780" s="1" t="s">
        <v>24</v>
      </c>
      <c r="AE4780" s="1" t="s">
        <v>24</v>
      </c>
      <c r="AF4780" s="22"/>
    </row>
    <row r="4781" spans="1:32" x14ac:dyDescent="0.2">
      <c r="A4781" s="1">
        <v>43411</v>
      </c>
      <c r="B4781" s="1" t="s">
        <v>14539</v>
      </c>
      <c r="C4781" s="5" t="s">
        <v>0</v>
      </c>
      <c r="D4781" s="1" t="s">
        <v>14540</v>
      </c>
      <c r="E4781" s="1" t="s">
        <v>14541</v>
      </c>
      <c r="F4781" s="1" t="s">
        <v>85</v>
      </c>
      <c r="G4781" s="1" t="s">
        <v>61</v>
      </c>
      <c r="H4781" s="1" t="s">
        <v>86</v>
      </c>
      <c r="I4781" s="1" t="s">
        <v>16</v>
      </c>
      <c r="J4781" s="1">
        <v>1</v>
      </c>
      <c r="K4781" s="1">
        <v>4</v>
      </c>
      <c r="L4781" s="1" t="s">
        <v>31</v>
      </c>
      <c r="M4781" s="1" t="s">
        <v>87</v>
      </c>
      <c r="N4781" s="1" t="s">
        <v>105</v>
      </c>
      <c r="O4781" s="1">
        <v>2</v>
      </c>
      <c r="P4781" s="1">
        <v>6</v>
      </c>
      <c r="R4781" s="1" t="s">
        <v>19</v>
      </c>
      <c r="S4781" s="1" t="s">
        <v>20</v>
      </c>
      <c r="T4781" s="1" t="s">
        <v>21</v>
      </c>
      <c r="U4781" s="1" t="s">
        <v>22</v>
      </c>
      <c r="V4781" s="1" t="s">
        <v>23</v>
      </c>
      <c r="W4781" s="1" t="s">
        <v>24</v>
      </c>
      <c r="X4781" s="1">
        <v>2707</v>
      </c>
      <c r="Y4781" s="1" t="s">
        <v>24</v>
      </c>
      <c r="Z4781" s="1" t="s">
        <v>24</v>
      </c>
      <c r="AA4781" s="1" t="s">
        <v>24</v>
      </c>
      <c r="AB4781" s="1" t="s">
        <v>24</v>
      </c>
      <c r="AC4781" s="1" t="s">
        <v>24</v>
      </c>
      <c r="AD4781" s="1" t="s">
        <v>24</v>
      </c>
      <c r="AE4781" s="1" t="s">
        <v>24</v>
      </c>
      <c r="AF4781" s="22"/>
    </row>
    <row r="4782" spans="1:32" x14ac:dyDescent="0.2">
      <c r="A4782" s="1">
        <v>43412</v>
      </c>
      <c r="B4782" s="1" t="s">
        <v>14542</v>
      </c>
      <c r="C4782" s="5" t="s">
        <v>0</v>
      </c>
      <c r="D4782" s="1" t="s">
        <v>14543</v>
      </c>
      <c r="E4782" s="1" t="s">
        <v>14544</v>
      </c>
      <c r="F4782" s="1" t="s">
        <v>85</v>
      </c>
      <c r="G4782" s="1" t="s">
        <v>61</v>
      </c>
      <c r="H4782" s="1" t="s">
        <v>86</v>
      </c>
      <c r="I4782" s="1" t="s">
        <v>16</v>
      </c>
      <c r="J4782" s="1">
        <v>1</v>
      </c>
      <c r="K4782" s="1">
        <v>4</v>
      </c>
      <c r="L4782" s="1" t="s">
        <v>31</v>
      </c>
      <c r="M4782" s="1" t="s">
        <v>87</v>
      </c>
      <c r="N4782" s="1" t="s">
        <v>105</v>
      </c>
      <c r="O4782" s="1">
        <v>2</v>
      </c>
      <c r="P4782" s="1">
        <v>6</v>
      </c>
      <c r="R4782" s="1" t="s">
        <v>19</v>
      </c>
      <c r="S4782" s="1" t="s">
        <v>20</v>
      </c>
      <c r="T4782" s="1" t="s">
        <v>21</v>
      </c>
      <c r="U4782" s="1" t="s">
        <v>22</v>
      </c>
      <c r="V4782" s="1" t="s">
        <v>23</v>
      </c>
      <c r="W4782" s="1" t="s">
        <v>24</v>
      </c>
      <c r="X4782" s="1">
        <v>2734</v>
      </c>
      <c r="Y4782" s="1" t="s">
        <v>24</v>
      </c>
      <c r="Z4782" s="1" t="s">
        <v>24</v>
      </c>
      <c r="AA4782" s="1" t="s">
        <v>24</v>
      </c>
      <c r="AB4782" s="1" t="s">
        <v>24</v>
      </c>
      <c r="AC4782" s="1" t="s">
        <v>24</v>
      </c>
      <c r="AD4782" s="1" t="s">
        <v>24</v>
      </c>
      <c r="AE4782" s="1" t="s">
        <v>24</v>
      </c>
      <c r="AF4782" s="22"/>
    </row>
    <row r="4783" spans="1:32" x14ac:dyDescent="0.2">
      <c r="A4783" s="1">
        <v>43413</v>
      </c>
      <c r="B4783" s="1" t="s">
        <v>14545</v>
      </c>
      <c r="C4783" s="5" t="s">
        <v>0</v>
      </c>
      <c r="D4783" s="1" t="s">
        <v>14546</v>
      </c>
      <c r="E4783" s="1" t="s">
        <v>14547</v>
      </c>
      <c r="F4783" s="1" t="s">
        <v>85</v>
      </c>
      <c r="G4783" s="1" t="s">
        <v>61</v>
      </c>
      <c r="H4783" s="1" t="s">
        <v>86</v>
      </c>
      <c r="I4783" s="1" t="s">
        <v>16</v>
      </c>
      <c r="J4783" s="1">
        <v>1</v>
      </c>
      <c r="K4783" s="1">
        <v>4</v>
      </c>
      <c r="L4783" s="1" t="s">
        <v>31</v>
      </c>
      <c r="M4783" s="1" t="s">
        <v>87</v>
      </c>
      <c r="N4783" s="1" t="s">
        <v>87</v>
      </c>
      <c r="O4783" s="1">
        <v>0</v>
      </c>
      <c r="P4783" s="1">
        <v>6</v>
      </c>
      <c r="R4783" s="1" t="s">
        <v>19</v>
      </c>
      <c r="S4783" s="1" t="s">
        <v>20</v>
      </c>
      <c r="T4783" s="1" t="s">
        <v>21</v>
      </c>
      <c r="U4783" s="1" t="s">
        <v>22</v>
      </c>
      <c r="V4783" s="1" t="s">
        <v>23</v>
      </c>
      <c r="W4783" s="1" t="s">
        <v>24</v>
      </c>
      <c r="X4783" s="1">
        <v>2728</v>
      </c>
      <c r="Y4783" s="1" t="s">
        <v>24</v>
      </c>
      <c r="Z4783" s="1" t="s">
        <v>24</v>
      </c>
      <c r="AA4783" s="1" t="s">
        <v>24</v>
      </c>
      <c r="AB4783" s="1" t="s">
        <v>24</v>
      </c>
      <c r="AC4783" s="1" t="s">
        <v>24</v>
      </c>
      <c r="AD4783" s="1" t="s">
        <v>24</v>
      </c>
      <c r="AE4783" s="1" t="s">
        <v>24</v>
      </c>
      <c r="AF4783" s="22"/>
    </row>
    <row r="4784" spans="1:32" x14ac:dyDescent="0.2">
      <c r="A4784" s="1">
        <v>43414</v>
      </c>
      <c r="B4784" s="1" t="s">
        <v>14548</v>
      </c>
      <c r="C4784" s="5" t="s">
        <v>0</v>
      </c>
      <c r="D4784" s="1" t="s">
        <v>14549</v>
      </c>
      <c r="E4784" s="1" t="s">
        <v>14550</v>
      </c>
      <c r="F4784" s="1" t="s">
        <v>13773</v>
      </c>
      <c r="G4784" s="1" t="s">
        <v>130</v>
      </c>
      <c r="H4784" s="1" t="s">
        <v>168</v>
      </c>
      <c r="I4784" s="1" t="s">
        <v>16</v>
      </c>
      <c r="J4784" s="1">
        <v>1</v>
      </c>
      <c r="K4784" s="1">
        <v>1</v>
      </c>
      <c r="L4784" s="1" t="s">
        <v>31</v>
      </c>
      <c r="M4784" s="1" t="s">
        <v>18</v>
      </c>
      <c r="N4784" s="1" t="s">
        <v>18</v>
      </c>
      <c r="O4784" s="1">
        <v>3</v>
      </c>
      <c r="P4784" s="1">
        <v>7</v>
      </c>
      <c r="Q4784" s="7" t="s">
        <v>17633</v>
      </c>
      <c r="R4784" s="1" t="s">
        <v>19</v>
      </c>
      <c r="S4784" s="1" t="s">
        <v>63</v>
      </c>
      <c r="T4784" s="1" t="s">
        <v>21</v>
      </c>
      <c r="U4784" s="1" t="s">
        <v>22</v>
      </c>
      <c r="V4784" s="1" t="s">
        <v>23</v>
      </c>
      <c r="W4784" s="1" t="s">
        <v>24</v>
      </c>
      <c r="X4784" s="1">
        <v>3505</v>
      </c>
      <c r="Y4784" s="1" t="s">
        <v>24</v>
      </c>
      <c r="Z4784" s="1" t="s">
        <v>24</v>
      </c>
      <c r="AA4784" s="1" t="s">
        <v>24</v>
      </c>
      <c r="AB4784" s="1" t="s">
        <v>24</v>
      </c>
      <c r="AC4784" s="1" t="s">
        <v>24</v>
      </c>
      <c r="AD4784" s="1" t="s">
        <v>24</v>
      </c>
      <c r="AE4784" s="1" t="s">
        <v>24</v>
      </c>
      <c r="AF4784" s="22"/>
    </row>
    <row r="4785" spans="1:32" x14ac:dyDescent="0.2">
      <c r="A4785" s="1">
        <v>43415</v>
      </c>
      <c r="B4785" s="1" t="s">
        <v>14551</v>
      </c>
      <c r="C4785" s="5" t="s">
        <v>0</v>
      </c>
      <c r="D4785" s="1" t="s">
        <v>14552</v>
      </c>
      <c r="F4785" s="1" t="s">
        <v>91</v>
      </c>
      <c r="G4785" s="1" t="s">
        <v>61</v>
      </c>
      <c r="H4785" s="1" t="s">
        <v>92</v>
      </c>
      <c r="I4785" s="1" t="s">
        <v>16</v>
      </c>
      <c r="J4785" s="1">
        <v>1</v>
      </c>
      <c r="K4785" s="1">
        <v>4</v>
      </c>
      <c r="L4785" s="1" t="s">
        <v>31</v>
      </c>
      <c r="M4785" s="1" t="s">
        <v>18</v>
      </c>
      <c r="N4785" s="1" t="s">
        <v>18</v>
      </c>
      <c r="O4785" s="1">
        <v>3</v>
      </c>
      <c r="P4785" s="1">
        <v>7</v>
      </c>
      <c r="Q4785" s="7" t="s">
        <v>17633</v>
      </c>
      <c r="R4785" s="1" t="s">
        <v>19</v>
      </c>
      <c r="S4785" s="1" t="s">
        <v>20</v>
      </c>
      <c r="T4785" s="1" t="s">
        <v>21</v>
      </c>
      <c r="U4785" s="1" t="s">
        <v>22</v>
      </c>
      <c r="V4785" s="1" t="s">
        <v>23</v>
      </c>
      <c r="W4785" s="1" t="s">
        <v>24</v>
      </c>
      <c r="X4785" s="1">
        <v>2748</v>
      </c>
      <c r="Y4785" s="1" t="s">
        <v>24</v>
      </c>
      <c r="Z4785" s="1" t="s">
        <v>24</v>
      </c>
      <c r="AA4785" s="1" t="s">
        <v>24</v>
      </c>
      <c r="AB4785" s="1" t="s">
        <v>24</v>
      </c>
      <c r="AC4785" s="1" t="s">
        <v>24</v>
      </c>
      <c r="AD4785" s="1" t="s">
        <v>24</v>
      </c>
      <c r="AE4785" s="1" t="s">
        <v>24</v>
      </c>
      <c r="AF4785" s="22"/>
    </row>
    <row r="4786" spans="1:32" x14ac:dyDescent="0.2">
      <c r="A4786" s="1">
        <v>43578</v>
      </c>
      <c r="B4786" s="1" t="s">
        <v>14553</v>
      </c>
      <c r="C4786" s="5" t="s">
        <v>0</v>
      </c>
      <c r="D4786" s="1" t="s">
        <v>14554</v>
      </c>
      <c r="E4786" s="1" t="s">
        <v>14555</v>
      </c>
      <c r="F4786" s="1" t="s">
        <v>5951</v>
      </c>
      <c r="G4786" s="1" t="s">
        <v>5951</v>
      </c>
      <c r="H4786" s="1" t="s">
        <v>445</v>
      </c>
      <c r="I4786" s="1" t="s">
        <v>16</v>
      </c>
      <c r="J4786" s="1">
        <v>1</v>
      </c>
      <c r="K4786" s="1">
        <v>12</v>
      </c>
      <c r="L4786" s="1" t="s">
        <v>42</v>
      </c>
      <c r="M4786" s="1" t="s">
        <v>18</v>
      </c>
      <c r="N4786" s="1" t="s">
        <v>18</v>
      </c>
      <c r="O4786" s="1">
        <v>3</v>
      </c>
      <c r="P4786" s="1">
        <v>6</v>
      </c>
      <c r="R4786" s="1" t="s">
        <v>19</v>
      </c>
      <c r="S4786" s="1" t="s">
        <v>20</v>
      </c>
      <c r="T4786" s="1" t="s">
        <v>21</v>
      </c>
      <c r="U4786" s="1" t="s">
        <v>22</v>
      </c>
      <c r="V4786" s="1" t="s">
        <v>24</v>
      </c>
      <c r="W4786" s="1" t="s">
        <v>24</v>
      </c>
      <c r="X4786" s="1">
        <v>2730</v>
      </c>
      <c r="Y4786" s="1">
        <v>1306</v>
      </c>
      <c r="Z4786" s="1" t="s">
        <v>24</v>
      </c>
      <c r="AA4786" s="1" t="s">
        <v>24</v>
      </c>
      <c r="AB4786" s="1" t="s">
        <v>24</v>
      </c>
      <c r="AC4786" s="1" t="s">
        <v>24</v>
      </c>
      <c r="AD4786" s="1" t="s">
        <v>24</v>
      </c>
      <c r="AE4786" s="1" t="s">
        <v>24</v>
      </c>
      <c r="AF4786" s="22"/>
    </row>
    <row r="4787" spans="1:32" x14ac:dyDescent="0.2">
      <c r="A4787" s="1">
        <v>43579</v>
      </c>
      <c r="B4787" s="1" t="s">
        <v>14556</v>
      </c>
      <c r="C4787" s="5" t="s">
        <v>0</v>
      </c>
      <c r="D4787" s="1" t="s">
        <v>14557</v>
      </c>
      <c r="E4787" s="1" t="s">
        <v>14558</v>
      </c>
      <c r="F4787" s="1" t="s">
        <v>5951</v>
      </c>
      <c r="G4787" s="1" t="s">
        <v>5951</v>
      </c>
      <c r="H4787" s="1" t="s">
        <v>445</v>
      </c>
      <c r="I4787" s="1" t="s">
        <v>16</v>
      </c>
      <c r="J4787" s="1">
        <v>1</v>
      </c>
      <c r="K4787" s="1">
        <v>12</v>
      </c>
      <c r="L4787" s="1" t="s">
        <v>42</v>
      </c>
      <c r="M4787" s="1" t="s">
        <v>18</v>
      </c>
      <c r="N4787" s="1" t="s">
        <v>18</v>
      </c>
      <c r="O4787" s="1">
        <v>3</v>
      </c>
      <c r="P4787" s="1">
        <v>6</v>
      </c>
      <c r="R4787" s="1" t="s">
        <v>19</v>
      </c>
      <c r="S4787" s="1" t="s">
        <v>20</v>
      </c>
      <c r="T4787" s="1" t="s">
        <v>21</v>
      </c>
      <c r="U4787" s="1" t="s">
        <v>22</v>
      </c>
      <c r="V4787" s="1" t="s">
        <v>24</v>
      </c>
      <c r="W4787" s="1" t="s">
        <v>24</v>
      </c>
      <c r="X4787" s="1">
        <v>2700</v>
      </c>
      <c r="Y4787" s="1">
        <v>1306</v>
      </c>
      <c r="Z4787" s="1">
        <v>2401</v>
      </c>
      <c r="AA4787" s="1" t="s">
        <v>24</v>
      </c>
      <c r="AB4787" s="1" t="s">
        <v>24</v>
      </c>
      <c r="AC4787" s="1" t="s">
        <v>24</v>
      </c>
      <c r="AD4787" s="1" t="s">
        <v>24</v>
      </c>
      <c r="AE4787" s="1" t="s">
        <v>24</v>
      </c>
      <c r="AF4787" s="22"/>
    </row>
    <row r="4788" spans="1:32" x14ac:dyDescent="0.2">
      <c r="A4788" s="1">
        <v>43581</v>
      </c>
      <c r="B4788" s="1" t="s">
        <v>14559</v>
      </c>
      <c r="C4788" s="5" t="s">
        <v>0</v>
      </c>
      <c r="D4788" s="1" t="s">
        <v>14560</v>
      </c>
      <c r="E4788" s="1" t="s">
        <v>14561</v>
      </c>
      <c r="F4788" s="1" t="s">
        <v>190</v>
      </c>
      <c r="G4788" s="1" t="s">
        <v>130</v>
      </c>
      <c r="H4788" s="1" t="s">
        <v>30</v>
      </c>
      <c r="I4788" s="1" t="s">
        <v>16</v>
      </c>
      <c r="J4788" s="1">
        <v>1</v>
      </c>
      <c r="K4788" s="1">
        <v>6</v>
      </c>
      <c r="L4788" s="1" t="s">
        <v>31</v>
      </c>
      <c r="M4788" s="1" t="s">
        <v>18</v>
      </c>
      <c r="N4788" s="1" t="s">
        <v>18</v>
      </c>
      <c r="O4788" s="1">
        <v>3</v>
      </c>
      <c r="P4788" s="1">
        <v>7</v>
      </c>
      <c r="Q4788" s="7" t="s">
        <v>17633</v>
      </c>
      <c r="R4788" s="1" t="s">
        <v>19</v>
      </c>
      <c r="S4788" s="1" t="s">
        <v>20</v>
      </c>
      <c r="T4788" s="1" t="s">
        <v>21</v>
      </c>
      <c r="U4788" s="1" t="s">
        <v>22</v>
      </c>
      <c r="V4788" s="1" t="s">
        <v>24</v>
      </c>
      <c r="W4788" s="1" t="s">
        <v>24</v>
      </c>
      <c r="X4788" s="1">
        <v>2730</v>
      </c>
      <c r="Y4788" s="1">
        <v>1306</v>
      </c>
      <c r="Z4788" s="1">
        <v>1310</v>
      </c>
      <c r="AA4788" s="1">
        <v>2712</v>
      </c>
      <c r="AB4788" s="1">
        <v>2807</v>
      </c>
      <c r="AC4788" s="1" t="s">
        <v>24</v>
      </c>
      <c r="AD4788" s="1" t="s">
        <v>24</v>
      </c>
      <c r="AE4788" s="1" t="s">
        <v>24</v>
      </c>
      <c r="AF4788" s="22"/>
    </row>
    <row r="4789" spans="1:32" x14ac:dyDescent="0.2">
      <c r="A4789" s="1">
        <v>43582</v>
      </c>
      <c r="B4789" s="1" t="s">
        <v>14562</v>
      </c>
      <c r="C4789" s="5" t="s">
        <v>0</v>
      </c>
      <c r="D4789" s="1" t="s">
        <v>14563</v>
      </c>
      <c r="E4789" s="1" t="s">
        <v>14564</v>
      </c>
      <c r="F4789" s="1" t="s">
        <v>190</v>
      </c>
      <c r="G4789" s="1" t="s">
        <v>130</v>
      </c>
      <c r="H4789" s="1" t="s">
        <v>30</v>
      </c>
      <c r="I4789" s="1" t="s">
        <v>16</v>
      </c>
      <c r="J4789" s="1">
        <v>1</v>
      </c>
      <c r="K4789" s="1">
        <v>4</v>
      </c>
      <c r="L4789" s="1" t="s">
        <v>31</v>
      </c>
      <c r="M4789" s="1" t="s">
        <v>18</v>
      </c>
      <c r="N4789" s="1" t="s">
        <v>18</v>
      </c>
      <c r="O4789" s="1">
        <v>3</v>
      </c>
      <c r="P4789" s="1">
        <v>7</v>
      </c>
      <c r="Q4789" s="7" t="s">
        <v>17633</v>
      </c>
      <c r="R4789" s="1" t="s">
        <v>19</v>
      </c>
      <c r="S4789" s="1" t="s">
        <v>20</v>
      </c>
      <c r="T4789" s="1" t="s">
        <v>21</v>
      </c>
      <c r="U4789" s="1" t="s">
        <v>22</v>
      </c>
      <c r="V4789" s="1" t="s">
        <v>24</v>
      </c>
      <c r="W4789" s="1" t="s">
        <v>24</v>
      </c>
      <c r="X4789" s="1">
        <v>2728</v>
      </c>
      <c r="Y4789" s="1">
        <v>2800</v>
      </c>
      <c r="Z4789" s="1">
        <v>2705</v>
      </c>
      <c r="AA4789" s="1" t="s">
        <v>24</v>
      </c>
      <c r="AB4789" s="1" t="s">
        <v>24</v>
      </c>
      <c r="AC4789" s="1" t="s">
        <v>24</v>
      </c>
      <c r="AD4789" s="1" t="s">
        <v>24</v>
      </c>
      <c r="AE4789" s="1" t="s">
        <v>24</v>
      </c>
      <c r="AF4789" s="22"/>
    </row>
    <row r="4790" spans="1:32" x14ac:dyDescent="0.2">
      <c r="A4790" s="1">
        <v>43583</v>
      </c>
      <c r="B4790" s="1" t="s">
        <v>14565</v>
      </c>
      <c r="C4790" s="5" t="s">
        <v>0</v>
      </c>
      <c r="E4790" s="1" t="s">
        <v>14566</v>
      </c>
      <c r="F4790" s="1" t="s">
        <v>109</v>
      </c>
      <c r="G4790" s="1" t="s">
        <v>110</v>
      </c>
      <c r="H4790" s="1" t="s">
        <v>111</v>
      </c>
      <c r="I4790" s="1" t="s">
        <v>16</v>
      </c>
      <c r="J4790" s="1">
        <v>1</v>
      </c>
      <c r="K4790" s="1">
        <v>3</v>
      </c>
      <c r="L4790" s="1" t="s">
        <v>31</v>
      </c>
      <c r="M4790" s="1" t="s">
        <v>18</v>
      </c>
      <c r="N4790" s="1" t="s">
        <v>18</v>
      </c>
      <c r="O4790" s="1">
        <v>3</v>
      </c>
      <c r="P4790" s="1">
        <v>7</v>
      </c>
      <c r="Q4790" s="7" t="s">
        <v>17633</v>
      </c>
      <c r="R4790" s="1" t="s">
        <v>19</v>
      </c>
      <c r="S4790" s="1" t="s">
        <v>20</v>
      </c>
      <c r="T4790" s="1" t="s">
        <v>21</v>
      </c>
      <c r="U4790" s="1" t="s">
        <v>22</v>
      </c>
      <c r="V4790" s="1" t="s">
        <v>24</v>
      </c>
      <c r="W4790" s="1" t="s">
        <v>24</v>
      </c>
      <c r="X4790" s="1">
        <v>2730</v>
      </c>
      <c r="Y4790" s="1" t="s">
        <v>24</v>
      </c>
      <c r="Z4790" s="1" t="s">
        <v>24</v>
      </c>
      <c r="AA4790" s="1" t="s">
        <v>24</v>
      </c>
      <c r="AB4790" s="1" t="s">
        <v>24</v>
      </c>
      <c r="AC4790" s="1" t="s">
        <v>24</v>
      </c>
      <c r="AD4790" s="1" t="s">
        <v>24</v>
      </c>
      <c r="AE4790" s="1" t="s">
        <v>24</v>
      </c>
      <c r="AF4790" s="22"/>
    </row>
    <row r="4791" spans="1:32" x14ac:dyDescent="0.2">
      <c r="A4791" s="1">
        <v>43584</v>
      </c>
      <c r="B4791" s="1" t="s">
        <v>14567</v>
      </c>
      <c r="C4791" s="5" t="s">
        <v>0</v>
      </c>
      <c r="E4791" s="1" t="s">
        <v>14568</v>
      </c>
      <c r="F4791" s="1" t="s">
        <v>109</v>
      </c>
      <c r="G4791" s="1" t="s">
        <v>110</v>
      </c>
      <c r="H4791" s="1" t="s">
        <v>111</v>
      </c>
      <c r="I4791" s="1" t="s">
        <v>16</v>
      </c>
      <c r="J4791" s="1">
        <v>1</v>
      </c>
      <c r="K4791" s="1">
        <v>3</v>
      </c>
      <c r="L4791" s="1" t="s">
        <v>31</v>
      </c>
      <c r="M4791" s="1" t="s">
        <v>18</v>
      </c>
      <c r="N4791" s="1" t="s">
        <v>18</v>
      </c>
      <c r="O4791" s="1">
        <v>3</v>
      </c>
      <c r="P4791" s="1">
        <v>7</v>
      </c>
      <c r="Q4791" s="7" t="s">
        <v>17633</v>
      </c>
      <c r="R4791" s="1" t="s">
        <v>19</v>
      </c>
      <c r="S4791" s="1" t="s">
        <v>20</v>
      </c>
      <c r="T4791" s="1" t="s">
        <v>21</v>
      </c>
      <c r="U4791" s="1" t="s">
        <v>22</v>
      </c>
      <c r="V4791" s="1" t="s">
        <v>24</v>
      </c>
      <c r="W4791" s="1" t="s">
        <v>24</v>
      </c>
      <c r="X4791" s="1">
        <v>2715</v>
      </c>
      <c r="Y4791" s="1" t="s">
        <v>24</v>
      </c>
      <c r="Z4791" s="1" t="s">
        <v>24</v>
      </c>
      <c r="AA4791" s="1" t="s">
        <v>24</v>
      </c>
      <c r="AB4791" s="1" t="s">
        <v>24</v>
      </c>
      <c r="AC4791" s="1" t="s">
        <v>24</v>
      </c>
      <c r="AD4791" s="1" t="s">
        <v>24</v>
      </c>
      <c r="AE4791" s="1" t="s">
        <v>24</v>
      </c>
      <c r="AF4791" s="22"/>
    </row>
    <row r="4792" spans="1:32" x14ac:dyDescent="0.2">
      <c r="A4792" s="1">
        <v>43585</v>
      </c>
      <c r="B4792" s="1" t="s">
        <v>14569</v>
      </c>
      <c r="C4792" s="5" t="s">
        <v>0</v>
      </c>
      <c r="E4792" s="1" t="s">
        <v>14570</v>
      </c>
      <c r="F4792" s="1" t="s">
        <v>109</v>
      </c>
      <c r="G4792" s="1" t="s">
        <v>110</v>
      </c>
      <c r="H4792" s="1" t="s">
        <v>111</v>
      </c>
      <c r="I4792" s="1" t="s">
        <v>16</v>
      </c>
      <c r="J4792" s="1">
        <v>1</v>
      </c>
      <c r="K4792" s="1">
        <v>1</v>
      </c>
      <c r="L4792" s="1" t="s">
        <v>31</v>
      </c>
      <c r="M4792" s="1" t="s">
        <v>18</v>
      </c>
      <c r="N4792" s="1" t="s">
        <v>18</v>
      </c>
      <c r="O4792" s="1">
        <v>3</v>
      </c>
      <c r="P4792" s="1">
        <v>7</v>
      </c>
      <c r="Q4792" s="7" t="s">
        <v>17633</v>
      </c>
      <c r="R4792" s="1" t="s">
        <v>19</v>
      </c>
      <c r="S4792" s="1" t="s">
        <v>20</v>
      </c>
      <c r="T4792" s="1" t="s">
        <v>21</v>
      </c>
      <c r="U4792" s="1" t="s">
        <v>22</v>
      </c>
      <c r="V4792" s="1" t="s">
        <v>24</v>
      </c>
      <c r="W4792" s="1" t="s">
        <v>24</v>
      </c>
      <c r="X4792" s="1">
        <v>2708</v>
      </c>
      <c r="Y4792" s="1" t="s">
        <v>24</v>
      </c>
      <c r="Z4792" s="1" t="s">
        <v>24</v>
      </c>
      <c r="AA4792" s="1" t="s">
        <v>24</v>
      </c>
      <c r="AB4792" s="1" t="s">
        <v>24</v>
      </c>
      <c r="AC4792" s="1" t="s">
        <v>24</v>
      </c>
      <c r="AD4792" s="1" t="s">
        <v>24</v>
      </c>
      <c r="AE4792" s="1" t="s">
        <v>24</v>
      </c>
      <c r="AF4792" s="22"/>
    </row>
    <row r="4793" spans="1:32" x14ac:dyDescent="0.2">
      <c r="A4793" s="1">
        <v>43586</v>
      </c>
      <c r="B4793" s="1" t="s">
        <v>14571</v>
      </c>
      <c r="C4793" s="5" t="s">
        <v>0</v>
      </c>
      <c r="E4793" s="1" t="s">
        <v>14572</v>
      </c>
      <c r="F4793" s="1" t="s">
        <v>109</v>
      </c>
      <c r="G4793" s="1" t="s">
        <v>110</v>
      </c>
      <c r="H4793" s="1" t="s">
        <v>111</v>
      </c>
      <c r="I4793" s="1" t="s">
        <v>16</v>
      </c>
      <c r="J4793" s="1">
        <v>1</v>
      </c>
      <c r="K4793" s="1">
        <v>1</v>
      </c>
      <c r="L4793" s="1" t="s">
        <v>31</v>
      </c>
      <c r="M4793" s="1" t="s">
        <v>18</v>
      </c>
      <c r="N4793" s="1" t="s">
        <v>18</v>
      </c>
      <c r="O4793" s="1">
        <v>3</v>
      </c>
      <c r="P4793" s="1">
        <v>7</v>
      </c>
      <c r="Q4793" s="7" t="s">
        <v>17633</v>
      </c>
      <c r="R4793" s="1" t="s">
        <v>19</v>
      </c>
      <c r="S4793" s="1" t="s">
        <v>20</v>
      </c>
      <c r="T4793" s="1" t="s">
        <v>21</v>
      </c>
      <c r="U4793" s="1" t="s">
        <v>22</v>
      </c>
      <c r="V4793" s="1" t="s">
        <v>24</v>
      </c>
      <c r="W4793" s="1" t="s">
        <v>24</v>
      </c>
      <c r="X4793" s="1">
        <v>2728</v>
      </c>
      <c r="Y4793" s="1" t="s">
        <v>24</v>
      </c>
      <c r="Z4793" s="1" t="s">
        <v>24</v>
      </c>
      <c r="AA4793" s="1" t="s">
        <v>24</v>
      </c>
      <c r="AB4793" s="1" t="s">
        <v>24</v>
      </c>
      <c r="AC4793" s="1" t="s">
        <v>24</v>
      </c>
      <c r="AD4793" s="1" t="s">
        <v>24</v>
      </c>
      <c r="AE4793" s="1" t="s">
        <v>24</v>
      </c>
      <c r="AF4793" s="22"/>
    </row>
    <row r="4794" spans="1:32" x14ac:dyDescent="0.2">
      <c r="A4794" s="1">
        <v>43587</v>
      </c>
      <c r="B4794" s="1" t="s">
        <v>14573</v>
      </c>
      <c r="C4794" s="5" t="s">
        <v>0</v>
      </c>
      <c r="D4794" s="1" t="s">
        <v>14574</v>
      </c>
      <c r="E4794" s="1" t="s">
        <v>14575</v>
      </c>
      <c r="F4794" s="1" t="s">
        <v>109</v>
      </c>
      <c r="G4794" s="1" t="s">
        <v>110</v>
      </c>
      <c r="H4794" s="1" t="s">
        <v>111</v>
      </c>
      <c r="I4794" s="1" t="s">
        <v>16</v>
      </c>
      <c r="J4794" s="1">
        <v>1</v>
      </c>
      <c r="K4794" s="1">
        <v>6</v>
      </c>
      <c r="L4794" s="1" t="s">
        <v>31</v>
      </c>
      <c r="M4794" s="1" t="s">
        <v>18</v>
      </c>
      <c r="N4794" s="1" t="s">
        <v>18</v>
      </c>
      <c r="O4794" s="1">
        <v>3</v>
      </c>
      <c r="P4794" s="1">
        <v>7</v>
      </c>
      <c r="Q4794" s="7" t="s">
        <v>17633</v>
      </c>
      <c r="R4794" s="1" t="s">
        <v>19</v>
      </c>
      <c r="S4794" s="1" t="s">
        <v>20</v>
      </c>
      <c r="T4794" s="1" t="s">
        <v>21</v>
      </c>
      <c r="U4794" s="1" t="s">
        <v>22</v>
      </c>
      <c r="V4794" s="1" t="s">
        <v>24</v>
      </c>
      <c r="W4794" s="1" t="s">
        <v>24</v>
      </c>
      <c r="X4794" s="1">
        <v>1311</v>
      </c>
      <c r="Y4794" s="1">
        <v>2716</v>
      </c>
      <c r="Z4794" s="1" t="s">
        <v>24</v>
      </c>
      <c r="AA4794" s="1" t="s">
        <v>24</v>
      </c>
      <c r="AB4794" s="1" t="s">
        <v>24</v>
      </c>
      <c r="AC4794" s="1" t="s">
        <v>24</v>
      </c>
      <c r="AD4794" s="1" t="s">
        <v>24</v>
      </c>
      <c r="AE4794" s="1" t="s">
        <v>24</v>
      </c>
      <c r="AF4794" s="22"/>
    </row>
    <row r="4795" spans="1:32" x14ac:dyDescent="0.2">
      <c r="A4795" s="1">
        <v>43588</v>
      </c>
      <c r="B4795" s="1" t="s">
        <v>14576</v>
      </c>
      <c r="C4795" s="5" t="s">
        <v>0</v>
      </c>
      <c r="D4795" s="1" t="s">
        <v>14577</v>
      </c>
      <c r="E4795" s="1" t="s">
        <v>14578</v>
      </c>
      <c r="F4795" s="1" t="s">
        <v>10332</v>
      </c>
      <c r="G4795" s="1" t="s">
        <v>10332</v>
      </c>
      <c r="H4795" s="1" t="s">
        <v>30</v>
      </c>
      <c r="I4795" s="1" t="s">
        <v>16</v>
      </c>
      <c r="J4795" s="1">
        <v>1</v>
      </c>
      <c r="K4795" s="1">
        <v>6</v>
      </c>
      <c r="L4795" s="1" t="s">
        <v>42</v>
      </c>
      <c r="M4795" s="1" t="s">
        <v>18</v>
      </c>
      <c r="N4795" s="1" t="s">
        <v>18</v>
      </c>
      <c r="O4795" s="1">
        <v>3</v>
      </c>
      <c r="P4795" s="1">
        <v>6</v>
      </c>
      <c r="R4795" s="1" t="s">
        <v>19</v>
      </c>
      <c r="S4795" s="1" t="s">
        <v>63</v>
      </c>
      <c r="T4795" s="1" t="s">
        <v>21</v>
      </c>
      <c r="U4795" s="1" t="s">
        <v>22</v>
      </c>
      <c r="V4795" s="1" t="s">
        <v>24</v>
      </c>
      <c r="W4795" s="1" t="s">
        <v>24</v>
      </c>
      <c r="X4795" s="1">
        <v>1307</v>
      </c>
      <c r="Y4795" s="1" t="s">
        <v>24</v>
      </c>
      <c r="Z4795" s="1" t="s">
        <v>24</v>
      </c>
      <c r="AA4795" s="1" t="s">
        <v>24</v>
      </c>
      <c r="AB4795" s="1" t="s">
        <v>24</v>
      </c>
      <c r="AC4795" s="1" t="s">
        <v>24</v>
      </c>
      <c r="AD4795" s="1" t="s">
        <v>24</v>
      </c>
      <c r="AE4795" s="1" t="s">
        <v>24</v>
      </c>
      <c r="AF4795" s="22"/>
    </row>
    <row r="4796" spans="1:32" x14ac:dyDescent="0.2">
      <c r="A4796" s="1">
        <v>43589</v>
      </c>
      <c r="B4796" s="1" t="s">
        <v>14579</v>
      </c>
      <c r="C4796" s="5" t="s">
        <v>0</v>
      </c>
      <c r="D4796" s="1" t="s">
        <v>14580</v>
      </c>
      <c r="E4796" s="1" t="s">
        <v>14581</v>
      </c>
      <c r="F4796" s="1" t="s">
        <v>10332</v>
      </c>
      <c r="G4796" s="1" t="s">
        <v>10332</v>
      </c>
      <c r="H4796" s="1" t="s">
        <v>30</v>
      </c>
      <c r="I4796" s="1" t="s">
        <v>16</v>
      </c>
      <c r="J4796" s="1">
        <v>1</v>
      </c>
      <c r="K4796" s="1">
        <v>6</v>
      </c>
      <c r="L4796" s="1" t="s">
        <v>42</v>
      </c>
      <c r="M4796" s="1" t="s">
        <v>18</v>
      </c>
      <c r="N4796" s="1" t="s">
        <v>18</v>
      </c>
      <c r="O4796" s="1">
        <v>3</v>
      </c>
      <c r="P4796" s="1">
        <v>6</v>
      </c>
      <c r="R4796" s="1" t="s">
        <v>19</v>
      </c>
      <c r="S4796" s="1" t="s">
        <v>63</v>
      </c>
      <c r="T4796" s="1" t="s">
        <v>21</v>
      </c>
      <c r="U4796" s="1" t="s">
        <v>22</v>
      </c>
      <c r="V4796" s="1" t="s">
        <v>24</v>
      </c>
      <c r="W4796" s="1" t="s">
        <v>24</v>
      </c>
      <c r="X4796" s="1">
        <v>2725</v>
      </c>
      <c r="Y4796" s="1">
        <v>2404</v>
      </c>
      <c r="Z4796" s="1">
        <v>2405</v>
      </c>
      <c r="AA4796" s="1">
        <v>2403</v>
      </c>
      <c r="AB4796" s="1">
        <v>2726</v>
      </c>
      <c r="AC4796" s="1" t="s">
        <v>24</v>
      </c>
      <c r="AD4796" s="1" t="s">
        <v>24</v>
      </c>
      <c r="AE4796" s="1" t="s">
        <v>24</v>
      </c>
      <c r="AF4796" s="22"/>
    </row>
    <row r="4797" spans="1:32" x14ac:dyDescent="0.2">
      <c r="A4797" s="1">
        <v>43590</v>
      </c>
      <c r="B4797" s="1" t="s">
        <v>14582</v>
      </c>
      <c r="C4797" s="5" t="s">
        <v>0</v>
      </c>
      <c r="D4797" s="1" t="s">
        <v>14583</v>
      </c>
      <c r="E4797" s="1" t="s">
        <v>14584</v>
      </c>
      <c r="F4797" s="1" t="s">
        <v>10332</v>
      </c>
      <c r="G4797" s="1" t="s">
        <v>10332</v>
      </c>
      <c r="H4797" s="1" t="s">
        <v>30</v>
      </c>
      <c r="I4797" s="1" t="s">
        <v>16</v>
      </c>
      <c r="J4797" s="1">
        <v>1</v>
      </c>
      <c r="K4797" s="1">
        <v>6</v>
      </c>
      <c r="L4797" s="1" t="s">
        <v>42</v>
      </c>
      <c r="M4797" s="1" t="s">
        <v>18</v>
      </c>
      <c r="N4797" s="1" t="s">
        <v>18</v>
      </c>
      <c r="O4797" s="1">
        <v>3</v>
      </c>
      <c r="P4797" s="1">
        <v>6</v>
      </c>
      <c r="R4797" s="1" t="s">
        <v>19</v>
      </c>
      <c r="S4797" s="1" t="s">
        <v>63</v>
      </c>
      <c r="T4797" s="1" t="s">
        <v>21</v>
      </c>
      <c r="U4797" s="1" t="s">
        <v>22</v>
      </c>
      <c r="V4797" s="1" t="s">
        <v>24</v>
      </c>
      <c r="W4797" s="1" t="s">
        <v>24</v>
      </c>
      <c r="X4797" s="1">
        <v>1502</v>
      </c>
      <c r="Y4797" s="1">
        <v>1305</v>
      </c>
      <c r="Z4797" s="1">
        <v>2402</v>
      </c>
      <c r="AA4797" s="1" t="s">
        <v>24</v>
      </c>
      <c r="AB4797" s="1" t="s">
        <v>24</v>
      </c>
      <c r="AC4797" s="1" t="s">
        <v>24</v>
      </c>
      <c r="AD4797" s="1" t="s">
        <v>24</v>
      </c>
      <c r="AE4797" s="1" t="s">
        <v>24</v>
      </c>
      <c r="AF4797" s="22"/>
    </row>
    <row r="4798" spans="1:32" x14ac:dyDescent="0.2">
      <c r="A4798" s="1">
        <v>43591</v>
      </c>
      <c r="B4798" s="1" t="s">
        <v>14585</v>
      </c>
      <c r="C4798" s="5" t="s">
        <v>0</v>
      </c>
      <c r="D4798" s="1" t="s">
        <v>14586</v>
      </c>
      <c r="E4798" s="1" t="s">
        <v>14587</v>
      </c>
      <c r="F4798" s="1" t="s">
        <v>10332</v>
      </c>
      <c r="G4798" s="1" t="s">
        <v>10332</v>
      </c>
      <c r="H4798" s="1" t="s">
        <v>30</v>
      </c>
      <c r="I4798" s="1" t="s">
        <v>16</v>
      </c>
      <c r="J4798" s="1">
        <v>1</v>
      </c>
      <c r="K4798" s="1">
        <v>4</v>
      </c>
      <c r="L4798" s="1" t="s">
        <v>42</v>
      </c>
      <c r="M4798" s="1" t="s">
        <v>18</v>
      </c>
      <c r="N4798" s="1" t="s">
        <v>18</v>
      </c>
      <c r="O4798" s="1">
        <v>3</v>
      </c>
      <c r="P4798" s="1">
        <v>6</v>
      </c>
      <c r="R4798" s="1" t="s">
        <v>19</v>
      </c>
      <c r="S4798" s="1" t="s">
        <v>63</v>
      </c>
      <c r="T4798" s="1" t="s">
        <v>21</v>
      </c>
      <c r="U4798" s="1" t="s">
        <v>22</v>
      </c>
      <c r="V4798" s="1" t="s">
        <v>24</v>
      </c>
      <c r="W4798" s="1" t="s">
        <v>24</v>
      </c>
      <c r="X4798" s="1">
        <v>2715</v>
      </c>
      <c r="Y4798" s="1">
        <v>2725</v>
      </c>
      <c r="Z4798" s="1">
        <v>2726</v>
      </c>
      <c r="AA4798" s="1">
        <v>2404</v>
      </c>
      <c r="AB4798" s="1" t="s">
        <v>24</v>
      </c>
      <c r="AC4798" s="1" t="s">
        <v>24</v>
      </c>
      <c r="AD4798" s="1" t="s">
        <v>24</v>
      </c>
      <c r="AE4798" s="1" t="s">
        <v>24</v>
      </c>
      <c r="AF4798" s="22"/>
    </row>
    <row r="4799" spans="1:32" x14ac:dyDescent="0.2">
      <c r="A4799" s="1">
        <v>43593</v>
      </c>
      <c r="B4799" s="1" t="s">
        <v>14588</v>
      </c>
      <c r="C4799" s="5" t="s">
        <v>0</v>
      </c>
      <c r="E4799" s="1" t="s">
        <v>14589</v>
      </c>
      <c r="F4799" s="1" t="s">
        <v>315</v>
      </c>
      <c r="G4799" s="1" t="s">
        <v>316</v>
      </c>
      <c r="H4799" s="1" t="s">
        <v>37</v>
      </c>
      <c r="I4799" s="1" t="s">
        <v>16</v>
      </c>
      <c r="J4799" s="1">
        <v>0</v>
      </c>
      <c r="K4799" s="1">
        <v>0</v>
      </c>
      <c r="L4799" s="1" t="s">
        <v>31</v>
      </c>
      <c r="M4799" s="1" t="s">
        <v>18</v>
      </c>
      <c r="N4799" s="1" t="s">
        <v>18</v>
      </c>
      <c r="O4799" s="1">
        <v>3</v>
      </c>
      <c r="P4799" s="1">
        <v>7</v>
      </c>
      <c r="Q4799" s="7" t="s">
        <v>17633</v>
      </c>
      <c r="R4799" s="1" t="s">
        <v>19</v>
      </c>
      <c r="S4799" s="1" t="s">
        <v>20</v>
      </c>
      <c r="T4799" s="1" t="s">
        <v>21</v>
      </c>
      <c r="U4799" s="1" t="s">
        <v>22</v>
      </c>
      <c r="V4799" s="1" t="s">
        <v>24</v>
      </c>
      <c r="W4799" s="1" t="s">
        <v>24</v>
      </c>
      <c r="X4799" s="1">
        <v>1307</v>
      </c>
      <c r="Y4799" s="1">
        <v>2403</v>
      </c>
      <c r="Z4799" s="1">
        <v>1306</v>
      </c>
      <c r="AA4799" s="1">
        <v>2804</v>
      </c>
      <c r="AB4799" s="1" t="s">
        <v>24</v>
      </c>
      <c r="AC4799" s="1" t="s">
        <v>24</v>
      </c>
      <c r="AD4799" s="1" t="s">
        <v>24</v>
      </c>
      <c r="AE4799" s="1" t="s">
        <v>24</v>
      </c>
      <c r="AF4799" s="22"/>
    </row>
    <row r="4800" spans="1:32" x14ac:dyDescent="0.2">
      <c r="A4800" s="1">
        <v>43594</v>
      </c>
      <c r="B4800" s="1" t="s">
        <v>14590</v>
      </c>
      <c r="C4800" s="5" t="s">
        <v>0</v>
      </c>
      <c r="D4800" s="1" t="s">
        <v>14591</v>
      </c>
      <c r="E4800" s="1" t="s">
        <v>14592</v>
      </c>
      <c r="F4800" s="1" t="s">
        <v>1412</v>
      </c>
      <c r="G4800" s="1" t="s">
        <v>1413</v>
      </c>
      <c r="H4800" s="1" t="s">
        <v>30</v>
      </c>
      <c r="I4800" s="1" t="s">
        <v>16</v>
      </c>
      <c r="J4800" s="1">
        <v>1</v>
      </c>
      <c r="K4800" s="1">
        <v>1</v>
      </c>
      <c r="L4800" s="1" t="s">
        <v>31</v>
      </c>
      <c r="M4800" s="1" t="s">
        <v>18</v>
      </c>
      <c r="N4800" s="1" t="s">
        <v>18</v>
      </c>
      <c r="O4800" s="1">
        <v>3</v>
      </c>
      <c r="P4800" s="1">
        <v>7</v>
      </c>
      <c r="Q4800" s="7" t="s">
        <v>17633</v>
      </c>
      <c r="R4800" s="1" t="s">
        <v>19</v>
      </c>
      <c r="S4800" s="1" t="s">
        <v>63</v>
      </c>
      <c r="T4800" s="1" t="s">
        <v>21</v>
      </c>
      <c r="U4800" s="1" t="s">
        <v>22</v>
      </c>
      <c r="V4800" s="1" t="s">
        <v>24</v>
      </c>
      <c r="W4800" s="1" t="s">
        <v>24</v>
      </c>
      <c r="X4800" s="1">
        <v>1307</v>
      </c>
      <c r="Y4800" s="1" t="s">
        <v>24</v>
      </c>
      <c r="Z4800" s="1" t="s">
        <v>24</v>
      </c>
      <c r="AA4800" s="1" t="s">
        <v>24</v>
      </c>
      <c r="AB4800" s="1" t="s">
        <v>24</v>
      </c>
      <c r="AC4800" s="1" t="s">
        <v>24</v>
      </c>
      <c r="AD4800" s="1" t="s">
        <v>24</v>
      </c>
      <c r="AE4800" s="1" t="s">
        <v>24</v>
      </c>
      <c r="AF4800" s="22"/>
    </row>
    <row r="4801" spans="1:32" x14ac:dyDescent="0.2">
      <c r="A4801" s="1">
        <v>43595</v>
      </c>
      <c r="B4801" s="1" t="s">
        <v>14593</v>
      </c>
      <c r="C4801" s="5" t="s">
        <v>0</v>
      </c>
      <c r="D4801" s="1" t="s">
        <v>14594</v>
      </c>
      <c r="E4801" s="1" t="s">
        <v>14595</v>
      </c>
      <c r="F4801" s="1" t="s">
        <v>1412</v>
      </c>
      <c r="G4801" s="1" t="s">
        <v>1413</v>
      </c>
      <c r="H4801" s="1" t="s">
        <v>30</v>
      </c>
      <c r="I4801" s="1" t="s">
        <v>16</v>
      </c>
      <c r="J4801" s="1">
        <v>1</v>
      </c>
      <c r="K4801" s="1">
        <v>1</v>
      </c>
      <c r="L4801" s="1" t="s">
        <v>31</v>
      </c>
      <c r="M4801" s="1" t="s">
        <v>18</v>
      </c>
      <c r="N4801" s="1" t="s">
        <v>18</v>
      </c>
      <c r="O4801" s="1">
        <v>3</v>
      </c>
      <c r="P4801" s="1">
        <v>7</v>
      </c>
      <c r="Q4801" s="7" t="s">
        <v>17633</v>
      </c>
      <c r="R4801" s="1" t="s">
        <v>19</v>
      </c>
      <c r="S4801" s="1" t="s">
        <v>63</v>
      </c>
      <c r="T4801" s="1" t="s">
        <v>21</v>
      </c>
      <c r="U4801" s="1" t="s">
        <v>22</v>
      </c>
      <c r="V4801" s="1" t="s">
        <v>24</v>
      </c>
      <c r="W4801" s="1" t="s">
        <v>24</v>
      </c>
      <c r="X4801" s="1">
        <v>2705</v>
      </c>
      <c r="Y4801" s="1">
        <v>2738</v>
      </c>
      <c r="Z4801" s="1">
        <v>2728</v>
      </c>
      <c r="AA4801" s="1">
        <v>2808</v>
      </c>
      <c r="AB4801" s="1" t="s">
        <v>24</v>
      </c>
      <c r="AC4801" s="1" t="s">
        <v>24</v>
      </c>
      <c r="AD4801" s="1" t="s">
        <v>24</v>
      </c>
      <c r="AE4801" s="1" t="s">
        <v>24</v>
      </c>
      <c r="AF4801" s="22"/>
    </row>
    <row r="4802" spans="1:32" x14ac:dyDescent="0.2">
      <c r="A4802" s="1">
        <v>43596</v>
      </c>
      <c r="B4802" s="1" t="s">
        <v>14596</v>
      </c>
      <c r="C4802" s="5" t="s">
        <v>0</v>
      </c>
      <c r="E4802" s="1" t="s">
        <v>14597</v>
      </c>
      <c r="F4802" s="1" t="s">
        <v>1412</v>
      </c>
      <c r="G4802" s="1" t="s">
        <v>1413</v>
      </c>
      <c r="H4802" s="1" t="s">
        <v>30</v>
      </c>
      <c r="I4802" s="1" t="s">
        <v>16</v>
      </c>
      <c r="J4802" s="1">
        <v>1</v>
      </c>
      <c r="K4802" s="1">
        <v>1</v>
      </c>
      <c r="L4802" s="1" t="s">
        <v>31</v>
      </c>
      <c r="M4802" s="1" t="s">
        <v>18</v>
      </c>
      <c r="N4802" s="1" t="s">
        <v>18</v>
      </c>
      <c r="O4802" s="1">
        <v>3</v>
      </c>
      <c r="P4802" s="1">
        <v>7</v>
      </c>
      <c r="Q4802" s="7" t="s">
        <v>17633</v>
      </c>
      <c r="R4802" s="1" t="s">
        <v>19</v>
      </c>
      <c r="S4802" s="1" t="s">
        <v>63</v>
      </c>
      <c r="T4802" s="1" t="s">
        <v>21</v>
      </c>
      <c r="U4802" s="1" t="s">
        <v>22</v>
      </c>
      <c r="V4802" s="1" t="s">
        <v>24</v>
      </c>
      <c r="W4802" s="1" t="s">
        <v>24</v>
      </c>
      <c r="X4802" s="1">
        <v>2728</v>
      </c>
      <c r="Y4802" s="1">
        <v>2802</v>
      </c>
      <c r="Z4802" s="1">
        <v>2805</v>
      </c>
      <c r="AA4802" s="1">
        <v>1302</v>
      </c>
      <c r="AB4802" s="1">
        <v>2804</v>
      </c>
      <c r="AC4802" s="1">
        <v>2808</v>
      </c>
      <c r="AD4802" s="1" t="s">
        <v>24</v>
      </c>
      <c r="AE4802" s="1" t="s">
        <v>24</v>
      </c>
      <c r="AF4802" s="22"/>
    </row>
    <row r="4803" spans="1:32" x14ac:dyDescent="0.2">
      <c r="A4803" s="1">
        <v>43597</v>
      </c>
      <c r="B4803" s="1" t="s">
        <v>14598</v>
      </c>
      <c r="C4803" s="5" t="s">
        <v>0</v>
      </c>
      <c r="E4803" s="1" t="s">
        <v>14599</v>
      </c>
      <c r="F4803" s="1" t="s">
        <v>1412</v>
      </c>
      <c r="G4803" s="1" t="s">
        <v>1413</v>
      </c>
      <c r="H4803" s="1" t="s">
        <v>30</v>
      </c>
      <c r="I4803" s="1" t="s">
        <v>16</v>
      </c>
      <c r="J4803" s="1">
        <v>1</v>
      </c>
      <c r="K4803" s="1">
        <v>1</v>
      </c>
      <c r="L4803" s="1" t="s">
        <v>31</v>
      </c>
      <c r="M4803" s="1" t="s">
        <v>18</v>
      </c>
      <c r="N4803" s="1" t="s">
        <v>18</v>
      </c>
      <c r="O4803" s="1">
        <v>3</v>
      </c>
      <c r="P4803" s="1">
        <v>7</v>
      </c>
      <c r="Q4803" s="7" t="s">
        <v>17633</v>
      </c>
      <c r="R4803" s="1" t="s">
        <v>19</v>
      </c>
      <c r="S4803" s="1" t="s">
        <v>63</v>
      </c>
      <c r="T4803" s="1" t="s">
        <v>21</v>
      </c>
      <c r="U4803" s="1" t="s">
        <v>22</v>
      </c>
      <c r="V4803" s="1" t="s">
        <v>24</v>
      </c>
      <c r="W4803" s="1" t="s">
        <v>24</v>
      </c>
      <c r="X4803" s="1">
        <v>2801</v>
      </c>
      <c r="Y4803" s="1">
        <v>2728</v>
      </c>
      <c r="Z4803" s="1">
        <v>2738</v>
      </c>
      <c r="AA4803" s="1" t="s">
        <v>24</v>
      </c>
      <c r="AB4803" s="1" t="s">
        <v>24</v>
      </c>
      <c r="AC4803" s="1" t="s">
        <v>24</v>
      </c>
      <c r="AD4803" s="1" t="s">
        <v>24</v>
      </c>
      <c r="AE4803" s="1" t="s">
        <v>24</v>
      </c>
      <c r="AF4803" s="22"/>
    </row>
    <row r="4804" spans="1:32" x14ac:dyDescent="0.2">
      <c r="A4804" s="1">
        <v>43598</v>
      </c>
      <c r="B4804" s="1" t="s">
        <v>14600</v>
      </c>
      <c r="C4804" s="5" t="s">
        <v>0</v>
      </c>
      <c r="E4804" s="1" t="s">
        <v>14601</v>
      </c>
      <c r="F4804" s="1" t="s">
        <v>1412</v>
      </c>
      <c r="G4804" s="1" t="s">
        <v>1413</v>
      </c>
      <c r="H4804" s="1" t="s">
        <v>30</v>
      </c>
      <c r="I4804" s="1" t="s">
        <v>16</v>
      </c>
      <c r="J4804" s="1">
        <v>1</v>
      </c>
      <c r="K4804" s="1">
        <v>1</v>
      </c>
      <c r="L4804" s="1" t="s">
        <v>31</v>
      </c>
      <c r="M4804" s="1" t="s">
        <v>18</v>
      </c>
      <c r="N4804" s="1" t="s">
        <v>18</v>
      </c>
      <c r="O4804" s="1">
        <v>3</v>
      </c>
      <c r="P4804" s="1">
        <v>7</v>
      </c>
      <c r="Q4804" s="7" t="s">
        <v>17633</v>
      </c>
      <c r="R4804" s="1" t="s">
        <v>19</v>
      </c>
      <c r="S4804" s="1" t="s">
        <v>63</v>
      </c>
      <c r="T4804" s="1" t="s">
        <v>21</v>
      </c>
      <c r="U4804" s="1" t="s">
        <v>22</v>
      </c>
      <c r="V4804" s="1" t="s">
        <v>24</v>
      </c>
      <c r="W4804" s="1" t="s">
        <v>24</v>
      </c>
      <c r="X4804" s="1">
        <v>2728</v>
      </c>
      <c r="Y4804" s="1" t="s">
        <v>24</v>
      </c>
      <c r="Z4804" s="1" t="s">
        <v>24</v>
      </c>
      <c r="AA4804" s="1" t="s">
        <v>24</v>
      </c>
      <c r="AB4804" s="1" t="s">
        <v>24</v>
      </c>
      <c r="AC4804" s="1" t="s">
        <v>24</v>
      </c>
      <c r="AD4804" s="1" t="s">
        <v>24</v>
      </c>
      <c r="AE4804" s="1" t="s">
        <v>24</v>
      </c>
      <c r="AF4804" s="22"/>
    </row>
    <row r="4805" spans="1:32" x14ac:dyDescent="0.2">
      <c r="A4805" s="1">
        <v>43599</v>
      </c>
      <c r="B4805" s="1" t="s">
        <v>14602</v>
      </c>
      <c r="C4805" s="5" t="s">
        <v>0</v>
      </c>
      <c r="E4805" s="1" t="s">
        <v>14603</v>
      </c>
      <c r="F4805" s="1" t="s">
        <v>11079</v>
      </c>
      <c r="G4805" s="1" t="s">
        <v>11079</v>
      </c>
      <c r="H4805" s="1" t="s">
        <v>3228</v>
      </c>
      <c r="I4805" s="1" t="s">
        <v>16</v>
      </c>
      <c r="J4805" s="1">
        <v>1</v>
      </c>
      <c r="K4805" s="1">
        <v>1</v>
      </c>
      <c r="L4805" s="1" t="s">
        <v>42</v>
      </c>
      <c r="M4805" s="1" t="s">
        <v>18</v>
      </c>
      <c r="N4805" s="1" t="s">
        <v>18</v>
      </c>
      <c r="O4805" s="1">
        <v>3</v>
      </c>
      <c r="P4805" s="1">
        <v>6</v>
      </c>
      <c r="R4805" s="1" t="s">
        <v>19</v>
      </c>
      <c r="S4805" s="1" t="s">
        <v>20</v>
      </c>
      <c r="T4805" s="1" t="s">
        <v>21</v>
      </c>
      <c r="U4805" s="1" t="s">
        <v>22</v>
      </c>
      <c r="V4805" s="1" t="s">
        <v>24</v>
      </c>
      <c r="W4805" s="1" t="s">
        <v>24</v>
      </c>
      <c r="X4805" s="1">
        <v>2730</v>
      </c>
      <c r="Y4805" s="1" t="s">
        <v>24</v>
      </c>
      <c r="Z4805" s="1" t="s">
        <v>24</v>
      </c>
      <c r="AA4805" s="1" t="s">
        <v>24</v>
      </c>
      <c r="AB4805" s="1" t="s">
        <v>24</v>
      </c>
      <c r="AC4805" s="1" t="s">
        <v>24</v>
      </c>
      <c r="AD4805" s="1" t="s">
        <v>24</v>
      </c>
      <c r="AE4805" s="1" t="s">
        <v>24</v>
      </c>
      <c r="AF4805" s="22"/>
    </row>
    <row r="4806" spans="1:32" x14ac:dyDescent="0.2">
      <c r="A4806" s="1">
        <v>43600</v>
      </c>
      <c r="B4806" s="1" t="s">
        <v>14604</v>
      </c>
      <c r="C4806" s="5" t="s">
        <v>0</v>
      </c>
      <c r="E4806" s="1" t="s">
        <v>14605</v>
      </c>
      <c r="F4806" s="1" t="s">
        <v>11079</v>
      </c>
      <c r="G4806" s="1" t="s">
        <v>11079</v>
      </c>
      <c r="H4806" s="1" t="s">
        <v>3228</v>
      </c>
      <c r="I4806" s="1" t="s">
        <v>16</v>
      </c>
      <c r="J4806" s="1">
        <v>1</v>
      </c>
      <c r="K4806" s="1">
        <v>1</v>
      </c>
      <c r="L4806" s="1" t="s">
        <v>42</v>
      </c>
      <c r="M4806" s="1" t="s">
        <v>18</v>
      </c>
      <c r="N4806" s="1" t="s">
        <v>18</v>
      </c>
      <c r="O4806" s="1">
        <v>3</v>
      </c>
      <c r="P4806" s="1">
        <v>6</v>
      </c>
      <c r="R4806" s="1" t="s">
        <v>19</v>
      </c>
      <c r="S4806" s="1" t="s">
        <v>20</v>
      </c>
      <c r="T4806" s="1" t="s">
        <v>21</v>
      </c>
      <c r="U4806" s="1" t="s">
        <v>22</v>
      </c>
      <c r="V4806" s="1" t="s">
        <v>24</v>
      </c>
      <c r="W4806" s="1" t="s">
        <v>24</v>
      </c>
      <c r="X4806" s="1">
        <v>3001</v>
      </c>
      <c r="Y4806" s="1">
        <v>2736</v>
      </c>
      <c r="Z4806" s="1" t="s">
        <v>24</v>
      </c>
      <c r="AA4806" s="1" t="s">
        <v>24</v>
      </c>
      <c r="AB4806" s="1" t="s">
        <v>24</v>
      </c>
      <c r="AC4806" s="1" t="s">
        <v>24</v>
      </c>
      <c r="AD4806" s="1" t="s">
        <v>24</v>
      </c>
      <c r="AE4806" s="1" t="s">
        <v>24</v>
      </c>
      <c r="AF4806" s="22"/>
    </row>
    <row r="4807" spans="1:32" x14ac:dyDescent="0.2">
      <c r="A4807" s="1">
        <v>43601</v>
      </c>
      <c r="B4807" s="1" t="s">
        <v>14606</v>
      </c>
      <c r="C4807" s="5" t="s">
        <v>0</v>
      </c>
      <c r="E4807" s="1" t="s">
        <v>14607</v>
      </c>
      <c r="F4807" s="1" t="s">
        <v>2299</v>
      </c>
      <c r="G4807" s="1" t="s">
        <v>2300</v>
      </c>
      <c r="H4807" s="1" t="s">
        <v>37</v>
      </c>
      <c r="I4807" s="1" t="s">
        <v>16</v>
      </c>
      <c r="J4807" s="1">
        <v>1</v>
      </c>
      <c r="K4807" s="1">
        <v>1</v>
      </c>
      <c r="L4807" s="1" t="s">
        <v>31</v>
      </c>
      <c r="M4807" s="1" t="s">
        <v>18</v>
      </c>
      <c r="N4807" s="1" t="s">
        <v>18</v>
      </c>
      <c r="O4807" s="1">
        <v>3</v>
      </c>
      <c r="P4807" s="1">
        <v>7</v>
      </c>
      <c r="Q4807" s="7" t="s">
        <v>17633</v>
      </c>
      <c r="R4807" s="1" t="s">
        <v>19</v>
      </c>
      <c r="S4807" s="1" t="s">
        <v>63</v>
      </c>
      <c r="T4807" s="1" t="s">
        <v>21</v>
      </c>
      <c r="U4807" s="1" t="s">
        <v>22</v>
      </c>
      <c r="V4807" s="1" t="s">
        <v>24</v>
      </c>
      <c r="W4807" s="1" t="s">
        <v>24</v>
      </c>
      <c r="X4807" s="1">
        <v>1312</v>
      </c>
      <c r="Y4807" s="1" t="s">
        <v>24</v>
      </c>
      <c r="Z4807" s="1" t="s">
        <v>24</v>
      </c>
      <c r="AA4807" s="1" t="s">
        <v>24</v>
      </c>
      <c r="AB4807" s="1" t="s">
        <v>24</v>
      </c>
      <c r="AC4807" s="1" t="s">
        <v>24</v>
      </c>
      <c r="AD4807" s="1" t="s">
        <v>24</v>
      </c>
      <c r="AE4807" s="1" t="s">
        <v>24</v>
      </c>
      <c r="AF4807" s="22"/>
    </row>
    <row r="4808" spans="1:32" x14ac:dyDescent="0.2">
      <c r="A4808" s="1">
        <v>43602</v>
      </c>
      <c r="B4808" s="1" t="s">
        <v>14608</v>
      </c>
      <c r="C4808" s="5" t="s">
        <v>0</v>
      </c>
      <c r="E4808" s="1" t="s">
        <v>14609</v>
      </c>
      <c r="F4808" s="1" t="s">
        <v>2299</v>
      </c>
      <c r="G4808" s="1" t="s">
        <v>2300</v>
      </c>
      <c r="H4808" s="1" t="s">
        <v>37</v>
      </c>
      <c r="I4808" s="1" t="s">
        <v>16</v>
      </c>
      <c r="J4808" s="1">
        <v>1</v>
      </c>
      <c r="K4808" s="1">
        <v>1</v>
      </c>
      <c r="L4808" s="1" t="s">
        <v>31</v>
      </c>
      <c r="M4808" s="1" t="s">
        <v>18</v>
      </c>
      <c r="N4808" s="1" t="s">
        <v>18</v>
      </c>
      <c r="O4808" s="1">
        <v>3</v>
      </c>
      <c r="P4808" s="1">
        <v>7</v>
      </c>
      <c r="Q4808" s="7" t="s">
        <v>17633</v>
      </c>
      <c r="R4808" s="1" t="s">
        <v>19</v>
      </c>
      <c r="S4808" s="1" t="s">
        <v>63</v>
      </c>
      <c r="T4808" s="1" t="s">
        <v>21</v>
      </c>
      <c r="U4808" s="1" t="s">
        <v>22</v>
      </c>
      <c r="V4808" s="1" t="s">
        <v>24</v>
      </c>
      <c r="W4808" s="1" t="s">
        <v>24</v>
      </c>
      <c r="X4808" s="1">
        <v>1706</v>
      </c>
      <c r="Y4808" s="1">
        <v>1301</v>
      </c>
      <c r="Z4808" s="1">
        <v>2201</v>
      </c>
      <c r="AA4808" s="1" t="s">
        <v>24</v>
      </c>
      <c r="AB4808" s="1" t="s">
        <v>24</v>
      </c>
      <c r="AC4808" s="1" t="s">
        <v>24</v>
      </c>
      <c r="AD4808" s="1" t="s">
        <v>24</v>
      </c>
      <c r="AE4808" s="1" t="s">
        <v>24</v>
      </c>
      <c r="AF4808" s="22"/>
    </row>
    <row r="4809" spans="1:32" x14ac:dyDescent="0.2">
      <c r="A4809" s="1">
        <v>43603</v>
      </c>
      <c r="B4809" s="1" t="s">
        <v>14610</v>
      </c>
      <c r="C4809" s="5" t="s">
        <v>0</v>
      </c>
      <c r="E4809" s="1" t="s">
        <v>14611</v>
      </c>
      <c r="F4809" s="1" t="s">
        <v>2299</v>
      </c>
      <c r="G4809" s="1" t="s">
        <v>2300</v>
      </c>
      <c r="H4809" s="1" t="s">
        <v>37</v>
      </c>
      <c r="I4809" s="1" t="s">
        <v>16</v>
      </c>
      <c r="J4809" s="1">
        <v>1</v>
      </c>
      <c r="K4809" s="1">
        <v>1</v>
      </c>
      <c r="L4809" s="1" t="s">
        <v>31</v>
      </c>
      <c r="M4809" s="1" t="s">
        <v>18</v>
      </c>
      <c r="N4809" s="1" t="s">
        <v>18</v>
      </c>
      <c r="O4809" s="1">
        <v>3</v>
      </c>
      <c r="P4809" s="1">
        <v>7</v>
      </c>
      <c r="Q4809" s="7" t="s">
        <v>17633</v>
      </c>
      <c r="R4809" s="1" t="s">
        <v>19</v>
      </c>
      <c r="S4809" s="1" t="s">
        <v>63</v>
      </c>
      <c r="T4809" s="1" t="s">
        <v>21</v>
      </c>
      <c r="U4809" s="1" t="s">
        <v>22</v>
      </c>
      <c r="V4809" s="1" t="s">
        <v>24</v>
      </c>
      <c r="W4809" s="1" t="s">
        <v>24</v>
      </c>
      <c r="X4809" s="1">
        <v>2738</v>
      </c>
      <c r="Y4809" s="1">
        <v>2806</v>
      </c>
      <c r="Z4809" s="1">
        <v>1309</v>
      </c>
      <c r="AA4809" s="1">
        <v>1312</v>
      </c>
      <c r="AB4809" s="1" t="s">
        <v>24</v>
      </c>
      <c r="AC4809" s="1" t="s">
        <v>24</v>
      </c>
      <c r="AD4809" s="1" t="s">
        <v>24</v>
      </c>
      <c r="AE4809" s="1" t="s">
        <v>24</v>
      </c>
      <c r="AF4809" s="22"/>
    </row>
    <row r="4810" spans="1:32" x14ac:dyDescent="0.2">
      <c r="A4810" s="1">
        <v>43604</v>
      </c>
      <c r="B4810" s="1" t="s">
        <v>14612</v>
      </c>
      <c r="C4810" s="5" t="s">
        <v>0</v>
      </c>
      <c r="D4810" s="1" t="s">
        <v>14613</v>
      </c>
      <c r="F4810" s="1" t="s">
        <v>11878</v>
      </c>
      <c r="G4810" s="1" t="s">
        <v>11879</v>
      </c>
      <c r="H4810" s="1" t="s">
        <v>30</v>
      </c>
      <c r="I4810" s="1" t="s">
        <v>16</v>
      </c>
      <c r="J4810" s="1">
        <v>1</v>
      </c>
      <c r="K4810" s="1">
        <v>4</v>
      </c>
      <c r="L4810" s="1" t="s">
        <v>31</v>
      </c>
      <c r="M4810" s="1" t="s">
        <v>18</v>
      </c>
      <c r="N4810" s="1" t="s">
        <v>18</v>
      </c>
      <c r="O4810" s="1">
        <v>3</v>
      </c>
      <c r="P4810" s="1">
        <v>6</v>
      </c>
      <c r="R4810" s="1" t="s">
        <v>19</v>
      </c>
      <c r="S4810" s="1" t="s">
        <v>20</v>
      </c>
      <c r="T4810" s="1" t="s">
        <v>21</v>
      </c>
      <c r="U4810" s="1" t="s">
        <v>22</v>
      </c>
      <c r="V4810" s="1" t="s">
        <v>24</v>
      </c>
      <c r="W4810" s="1" t="s">
        <v>24</v>
      </c>
      <c r="X4810" s="1">
        <v>2808</v>
      </c>
      <c r="Y4810" s="1">
        <v>2728</v>
      </c>
      <c r="Z4810" s="1" t="s">
        <v>24</v>
      </c>
      <c r="AA4810" s="1" t="s">
        <v>24</v>
      </c>
      <c r="AB4810" s="1" t="s">
        <v>24</v>
      </c>
      <c r="AC4810" s="1" t="s">
        <v>24</v>
      </c>
      <c r="AD4810" s="1" t="s">
        <v>24</v>
      </c>
      <c r="AE4810" s="1" t="s">
        <v>24</v>
      </c>
      <c r="AF4810" s="22"/>
    </row>
    <row r="4811" spans="1:32" x14ac:dyDescent="0.2">
      <c r="A4811" s="1">
        <v>43605</v>
      </c>
      <c r="B4811" s="1" t="s">
        <v>14614</v>
      </c>
      <c r="C4811" s="5" t="s">
        <v>0</v>
      </c>
      <c r="D4811" s="1" t="s">
        <v>14615</v>
      </c>
      <c r="F4811" s="1" t="s">
        <v>12434</v>
      </c>
      <c r="G4811" s="1" t="s">
        <v>12434</v>
      </c>
      <c r="H4811" s="1" t="s">
        <v>30</v>
      </c>
      <c r="I4811" s="1" t="s">
        <v>16</v>
      </c>
      <c r="J4811" s="1">
        <v>1</v>
      </c>
      <c r="K4811" s="1">
        <v>8</v>
      </c>
      <c r="L4811" s="1" t="s">
        <v>42</v>
      </c>
      <c r="M4811" s="1" t="s">
        <v>18</v>
      </c>
      <c r="N4811" s="1" t="s">
        <v>18</v>
      </c>
      <c r="O4811" s="1">
        <v>3</v>
      </c>
      <c r="P4811" s="1">
        <v>6</v>
      </c>
      <c r="R4811" s="1" t="s">
        <v>19</v>
      </c>
      <c r="S4811" s="1" t="s">
        <v>20</v>
      </c>
      <c r="T4811" s="1" t="s">
        <v>21</v>
      </c>
      <c r="U4811" s="1" t="s">
        <v>22</v>
      </c>
      <c r="V4811" s="1" t="s">
        <v>24</v>
      </c>
      <c r="W4811" s="1" t="s">
        <v>24</v>
      </c>
      <c r="X4811" s="1">
        <v>3002</v>
      </c>
      <c r="Y4811" s="1" t="s">
        <v>24</v>
      </c>
      <c r="Z4811" s="1" t="s">
        <v>24</v>
      </c>
      <c r="AA4811" s="1" t="s">
        <v>24</v>
      </c>
      <c r="AB4811" s="1" t="s">
        <v>24</v>
      </c>
      <c r="AC4811" s="1" t="s">
        <v>24</v>
      </c>
      <c r="AD4811" s="1" t="s">
        <v>24</v>
      </c>
      <c r="AE4811" s="1" t="s">
        <v>24</v>
      </c>
      <c r="AF4811" s="22"/>
    </row>
    <row r="4812" spans="1:32" x14ac:dyDescent="0.2">
      <c r="A4812" s="1">
        <v>43606</v>
      </c>
      <c r="B4812" s="1" t="s">
        <v>14616</v>
      </c>
      <c r="C4812" s="5" t="s">
        <v>0</v>
      </c>
      <c r="E4812" s="1" t="s">
        <v>14617</v>
      </c>
      <c r="F4812" s="1" t="s">
        <v>14618</v>
      </c>
      <c r="G4812" s="1" t="s">
        <v>36</v>
      </c>
      <c r="H4812" s="1" t="s">
        <v>264</v>
      </c>
      <c r="I4812" s="1" t="s">
        <v>16</v>
      </c>
      <c r="J4812" s="1">
        <v>1</v>
      </c>
      <c r="K4812" s="1">
        <v>3</v>
      </c>
      <c r="L4812" s="1" t="s">
        <v>31</v>
      </c>
      <c r="M4812" s="1" t="s">
        <v>18</v>
      </c>
      <c r="N4812" s="1" t="s">
        <v>18</v>
      </c>
      <c r="O4812" s="1">
        <v>3</v>
      </c>
      <c r="P4812" s="1">
        <v>7</v>
      </c>
      <c r="Q4812" s="7" t="s">
        <v>17633</v>
      </c>
      <c r="R4812" s="1" t="s">
        <v>19</v>
      </c>
      <c r="S4812" s="1" t="s">
        <v>20</v>
      </c>
      <c r="T4812" s="1" t="s">
        <v>21</v>
      </c>
      <c r="U4812" s="1" t="s">
        <v>22</v>
      </c>
      <c r="V4812" s="1" t="s">
        <v>24</v>
      </c>
      <c r="W4812" s="1" t="s">
        <v>24</v>
      </c>
      <c r="X4812" s="1">
        <v>2728</v>
      </c>
      <c r="Y4812" s="1">
        <v>2401</v>
      </c>
      <c r="Z4812" s="1">
        <v>2801</v>
      </c>
      <c r="AA4812" s="1">
        <v>2403</v>
      </c>
      <c r="AB4812" s="1" t="s">
        <v>24</v>
      </c>
      <c r="AC4812" s="1" t="s">
        <v>24</v>
      </c>
      <c r="AD4812" s="1" t="s">
        <v>24</v>
      </c>
      <c r="AE4812" s="1" t="s">
        <v>24</v>
      </c>
      <c r="AF4812" s="22"/>
    </row>
    <row r="4813" spans="1:32" x14ac:dyDescent="0.2">
      <c r="A4813" s="1">
        <v>43607</v>
      </c>
      <c r="B4813" s="1" t="s">
        <v>14619</v>
      </c>
      <c r="C4813" s="5" t="s">
        <v>0</v>
      </c>
      <c r="D4813" s="1" t="s">
        <v>14620</v>
      </c>
      <c r="F4813" s="1" t="s">
        <v>13079</v>
      </c>
      <c r="G4813" s="1" t="s">
        <v>13079</v>
      </c>
      <c r="H4813" s="1" t="s">
        <v>30</v>
      </c>
      <c r="I4813" s="1" t="s">
        <v>16</v>
      </c>
      <c r="J4813" s="1">
        <v>1</v>
      </c>
      <c r="K4813" s="1">
        <v>4</v>
      </c>
      <c r="L4813" s="1" t="s">
        <v>42</v>
      </c>
      <c r="M4813" s="1" t="s">
        <v>18</v>
      </c>
      <c r="N4813" s="1" t="s">
        <v>18</v>
      </c>
      <c r="O4813" s="1">
        <v>3</v>
      </c>
      <c r="P4813" s="1">
        <v>6</v>
      </c>
      <c r="R4813" s="1" t="s">
        <v>19</v>
      </c>
      <c r="S4813" s="1" t="s">
        <v>20</v>
      </c>
      <c r="T4813" s="1" t="s">
        <v>21</v>
      </c>
      <c r="U4813" s="1" t="s">
        <v>22</v>
      </c>
      <c r="V4813" s="1" t="s">
        <v>24</v>
      </c>
      <c r="W4813" s="1" t="s">
        <v>24</v>
      </c>
      <c r="X4813" s="1">
        <v>2713</v>
      </c>
      <c r="Y4813" s="1">
        <v>2716</v>
      </c>
      <c r="Z4813" s="1">
        <v>1311</v>
      </c>
      <c r="AA4813" s="1" t="s">
        <v>24</v>
      </c>
      <c r="AB4813" s="1" t="s">
        <v>24</v>
      </c>
      <c r="AC4813" s="1" t="s">
        <v>24</v>
      </c>
      <c r="AD4813" s="1" t="s">
        <v>24</v>
      </c>
      <c r="AE4813" s="1" t="s">
        <v>24</v>
      </c>
      <c r="AF4813" s="22"/>
    </row>
    <row r="4814" spans="1:32" x14ac:dyDescent="0.2">
      <c r="A4814" s="1">
        <v>43608</v>
      </c>
      <c r="B4814" s="1" t="s">
        <v>14621</v>
      </c>
      <c r="C4814" s="5" t="s">
        <v>0</v>
      </c>
      <c r="D4814" s="1" t="s">
        <v>14622</v>
      </c>
      <c r="E4814" s="1" t="s">
        <v>14623</v>
      </c>
      <c r="F4814" s="1" t="s">
        <v>14624</v>
      </c>
      <c r="G4814" s="1" t="s">
        <v>254</v>
      </c>
      <c r="H4814" s="1" t="s">
        <v>168</v>
      </c>
      <c r="I4814" s="1" t="s">
        <v>16</v>
      </c>
      <c r="J4814" s="1">
        <v>1</v>
      </c>
      <c r="K4814" s="1">
        <v>4</v>
      </c>
      <c r="L4814" s="1" t="s">
        <v>31</v>
      </c>
      <c r="M4814" s="1" t="s">
        <v>18</v>
      </c>
      <c r="N4814" s="1" t="s">
        <v>18</v>
      </c>
      <c r="O4814" s="1">
        <v>3</v>
      </c>
      <c r="P4814" s="1">
        <v>6</v>
      </c>
      <c r="R4814" s="1" t="s">
        <v>19</v>
      </c>
      <c r="S4814" s="1" t="s">
        <v>63</v>
      </c>
      <c r="T4814" s="1" t="s">
        <v>21</v>
      </c>
      <c r="U4814" s="1" t="s">
        <v>22</v>
      </c>
      <c r="V4814" s="1" t="s">
        <v>24</v>
      </c>
      <c r="W4814" s="1" t="s">
        <v>24</v>
      </c>
      <c r="X4814" s="1">
        <v>3004</v>
      </c>
      <c r="Y4814" s="1">
        <v>3005</v>
      </c>
      <c r="Z4814" s="1">
        <v>2307</v>
      </c>
      <c r="AA4814" s="1" t="s">
        <v>24</v>
      </c>
      <c r="AB4814" s="1" t="s">
        <v>24</v>
      </c>
      <c r="AC4814" s="1" t="s">
        <v>24</v>
      </c>
      <c r="AD4814" s="1" t="s">
        <v>24</v>
      </c>
      <c r="AE4814" s="1" t="s">
        <v>24</v>
      </c>
      <c r="AF4814" s="22"/>
    </row>
    <row r="4815" spans="1:32" x14ac:dyDescent="0.2">
      <c r="A4815" s="1">
        <v>43609</v>
      </c>
      <c r="B4815" s="1" t="s">
        <v>14625</v>
      </c>
      <c r="C4815" s="5" t="s">
        <v>0</v>
      </c>
      <c r="E4815" s="1" t="s">
        <v>14626</v>
      </c>
      <c r="F4815" s="1" t="s">
        <v>11666</v>
      </c>
      <c r="G4815" s="1" t="s">
        <v>11666</v>
      </c>
      <c r="H4815" s="1" t="s">
        <v>30</v>
      </c>
      <c r="I4815" s="1" t="s">
        <v>16</v>
      </c>
      <c r="J4815" s="1">
        <v>1</v>
      </c>
      <c r="K4815" s="1">
        <v>12</v>
      </c>
      <c r="L4815" s="1" t="s">
        <v>42</v>
      </c>
      <c r="M4815" s="1" t="s">
        <v>18</v>
      </c>
      <c r="N4815" s="1" t="s">
        <v>18</v>
      </c>
      <c r="O4815" s="1">
        <v>3</v>
      </c>
      <c r="P4815" s="1">
        <v>6</v>
      </c>
      <c r="R4815" s="1" t="s">
        <v>19</v>
      </c>
      <c r="S4815" s="1" t="s">
        <v>20</v>
      </c>
      <c r="T4815" s="1" t="s">
        <v>21</v>
      </c>
      <c r="U4815" s="1" t="s">
        <v>22</v>
      </c>
      <c r="V4815" s="1" t="s">
        <v>24</v>
      </c>
      <c r="W4815" s="1" t="s">
        <v>24</v>
      </c>
      <c r="X4815" s="1">
        <v>1306</v>
      </c>
      <c r="Y4815" s="1">
        <v>2730</v>
      </c>
      <c r="Z4815" s="1" t="s">
        <v>24</v>
      </c>
      <c r="AA4815" s="1" t="s">
        <v>24</v>
      </c>
      <c r="AB4815" s="1" t="s">
        <v>24</v>
      </c>
      <c r="AC4815" s="1" t="s">
        <v>24</v>
      </c>
      <c r="AD4815" s="1" t="s">
        <v>24</v>
      </c>
      <c r="AE4815" s="1" t="s">
        <v>24</v>
      </c>
      <c r="AF4815" s="22"/>
    </row>
    <row r="4816" spans="1:32" x14ac:dyDescent="0.2">
      <c r="A4816" s="1">
        <v>43610</v>
      </c>
      <c r="B4816" s="1" t="s">
        <v>14627</v>
      </c>
      <c r="C4816" s="5" t="s">
        <v>0</v>
      </c>
      <c r="E4816" s="1" t="s">
        <v>14628</v>
      </c>
      <c r="F4816" s="1" t="s">
        <v>11666</v>
      </c>
      <c r="G4816" s="1" t="s">
        <v>11666</v>
      </c>
      <c r="H4816" s="1" t="s">
        <v>30</v>
      </c>
      <c r="I4816" s="1" t="s">
        <v>16</v>
      </c>
      <c r="J4816" s="1">
        <v>1</v>
      </c>
      <c r="K4816" s="1">
        <v>6</v>
      </c>
      <c r="L4816" s="1" t="s">
        <v>42</v>
      </c>
      <c r="M4816" s="1" t="s">
        <v>18</v>
      </c>
      <c r="N4816" s="1" t="s">
        <v>18</v>
      </c>
      <c r="O4816" s="1">
        <v>3</v>
      </c>
      <c r="P4816" s="1">
        <v>6</v>
      </c>
      <c r="R4816" s="1" t="s">
        <v>19</v>
      </c>
      <c r="S4816" s="1" t="s">
        <v>20</v>
      </c>
      <c r="T4816" s="1" t="s">
        <v>21</v>
      </c>
      <c r="U4816" s="1" t="s">
        <v>22</v>
      </c>
      <c r="V4816" s="1" t="s">
        <v>24</v>
      </c>
      <c r="W4816" s="1" t="s">
        <v>24</v>
      </c>
      <c r="X4816" s="1">
        <v>2725</v>
      </c>
      <c r="Y4816" s="1">
        <v>2406</v>
      </c>
      <c r="Z4816" s="1" t="s">
        <v>24</v>
      </c>
      <c r="AA4816" s="1" t="s">
        <v>24</v>
      </c>
      <c r="AB4816" s="1" t="s">
        <v>24</v>
      </c>
      <c r="AC4816" s="1" t="s">
        <v>24</v>
      </c>
      <c r="AD4816" s="1" t="s">
        <v>24</v>
      </c>
      <c r="AE4816" s="1" t="s">
        <v>24</v>
      </c>
      <c r="AF4816" s="22"/>
    </row>
    <row r="4817" spans="1:32" x14ac:dyDescent="0.2">
      <c r="A4817" s="1">
        <v>43611</v>
      </c>
      <c r="B4817" s="1" t="s">
        <v>14629</v>
      </c>
      <c r="C4817" s="5" t="s">
        <v>0</v>
      </c>
      <c r="D4817" s="1" t="s">
        <v>14630</v>
      </c>
      <c r="E4817" s="1" t="s">
        <v>14630</v>
      </c>
      <c r="F4817" s="1" t="s">
        <v>776</v>
      </c>
      <c r="G4817" s="1" t="s">
        <v>777</v>
      </c>
      <c r="H4817" s="1" t="s">
        <v>30</v>
      </c>
      <c r="I4817" s="1" t="s">
        <v>16</v>
      </c>
      <c r="J4817" s="1">
        <v>1</v>
      </c>
      <c r="K4817" s="1">
        <v>12</v>
      </c>
      <c r="L4817" s="1" t="s">
        <v>31</v>
      </c>
      <c r="M4817" s="1" t="s">
        <v>18</v>
      </c>
      <c r="N4817" s="1" t="s">
        <v>18</v>
      </c>
      <c r="O4817" s="1">
        <v>3</v>
      </c>
      <c r="P4817" s="1">
        <v>7</v>
      </c>
      <c r="Q4817" s="7" t="s">
        <v>17633</v>
      </c>
      <c r="R4817" s="1" t="s">
        <v>19</v>
      </c>
      <c r="S4817" s="1" t="s">
        <v>20</v>
      </c>
      <c r="T4817" s="1" t="s">
        <v>21</v>
      </c>
      <c r="U4817" s="1" t="s">
        <v>22</v>
      </c>
      <c r="V4817" s="1" t="s">
        <v>24</v>
      </c>
      <c r="W4817" s="1" t="s">
        <v>64</v>
      </c>
      <c r="X4817" s="1">
        <v>1605</v>
      </c>
      <c r="Y4817" s="1">
        <v>3002</v>
      </c>
      <c r="Z4817" s="1">
        <v>1303</v>
      </c>
      <c r="AA4817" s="1" t="s">
        <v>24</v>
      </c>
      <c r="AB4817" s="1" t="s">
        <v>24</v>
      </c>
      <c r="AC4817" s="1" t="s">
        <v>24</v>
      </c>
      <c r="AD4817" s="1" t="s">
        <v>24</v>
      </c>
      <c r="AE4817" s="1" t="s">
        <v>24</v>
      </c>
      <c r="AF4817" s="22" t="s">
        <v>17712</v>
      </c>
    </row>
    <row r="4818" spans="1:32" x14ac:dyDescent="0.2">
      <c r="A4818" s="1">
        <v>43612</v>
      </c>
      <c r="B4818" s="1" t="s">
        <v>14631</v>
      </c>
      <c r="C4818" s="5" t="s">
        <v>0</v>
      </c>
      <c r="E4818" s="1" t="s">
        <v>14632</v>
      </c>
      <c r="F4818" s="1" t="s">
        <v>6405</v>
      </c>
      <c r="G4818" s="1" t="s">
        <v>6406</v>
      </c>
      <c r="H4818" s="1" t="s">
        <v>92</v>
      </c>
      <c r="I4818" s="1" t="s">
        <v>16</v>
      </c>
      <c r="J4818" s="1">
        <v>1</v>
      </c>
      <c r="K4818" s="1">
        <v>1</v>
      </c>
      <c r="L4818" s="1" t="s">
        <v>31</v>
      </c>
      <c r="M4818" s="1" t="s">
        <v>18</v>
      </c>
      <c r="N4818" s="1" t="s">
        <v>18</v>
      </c>
      <c r="O4818" s="1">
        <v>3</v>
      </c>
      <c r="P4818" s="1">
        <v>7</v>
      </c>
      <c r="Q4818" s="7" t="s">
        <v>17633</v>
      </c>
      <c r="R4818" s="1" t="s">
        <v>19</v>
      </c>
      <c r="S4818" s="1" t="s">
        <v>63</v>
      </c>
      <c r="T4818" s="1" t="s">
        <v>21</v>
      </c>
      <c r="U4818" s="1" t="s">
        <v>22</v>
      </c>
      <c r="V4818" s="1" t="s">
        <v>24</v>
      </c>
      <c r="W4818" s="1" t="s">
        <v>24</v>
      </c>
      <c r="X4818" s="1">
        <v>1306</v>
      </c>
      <c r="Y4818" s="1">
        <v>2403</v>
      </c>
      <c r="Z4818" s="1">
        <v>2730</v>
      </c>
      <c r="AA4818" s="1" t="s">
        <v>24</v>
      </c>
      <c r="AB4818" s="1" t="s">
        <v>24</v>
      </c>
      <c r="AC4818" s="1" t="s">
        <v>24</v>
      </c>
      <c r="AD4818" s="1" t="s">
        <v>24</v>
      </c>
      <c r="AE4818" s="1" t="s">
        <v>24</v>
      </c>
      <c r="AF4818" s="22"/>
    </row>
    <row r="4819" spans="1:32" x14ac:dyDescent="0.2">
      <c r="A4819" s="1">
        <v>43613</v>
      </c>
      <c r="B4819" s="1" t="s">
        <v>14633</v>
      </c>
      <c r="C4819" s="5" t="s">
        <v>0</v>
      </c>
      <c r="E4819" s="1" t="s">
        <v>14634</v>
      </c>
      <c r="F4819" s="1" t="s">
        <v>6405</v>
      </c>
      <c r="G4819" s="1" t="s">
        <v>6406</v>
      </c>
      <c r="H4819" s="1" t="s">
        <v>92</v>
      </c>
      <c r="I4819" s="1" t="s">
        <v>16</v>
      </c>
      <c r="J4819" s="1">
        <v>1</v>
      </c>
      <c r="K4819" s="1">
        <v>1</v>
      </c>
      <c r="L4819" s="1" t="s">
        <v>31</v>
      </c>
      <c r="M4819" s="1" t="s">
        <v>18</v>
      </c>
      <c r="N4819" s="1" t="s">
        <v>18</v>
      </c>
      <c r="O4819" s="1">
        <v>3</v>
      </c>
      <c r="P4819" s="1">
        <v>7</v>
      </c>
      <c r="Q4819" s="7" t="s">
        <v>17633</v>
      </c>
      <c r="R4819" s="1" t="s">
        <v>19</v>
      </c>
      <c r="S4819" s="1" t="s">
        <v>63</v>
      </c>
      <c r="T4819" s="1" t="s">
        <v>21</v>
      </c>
      <c r="U4819" s="1" t="s">
        <v>22</v>
      </c>
      <c r="V4819" s="1" t="s">
        <v>24</v>
      </c>
      <c r="W4819" s="1" t="s">
        <v>24</v>
      </c>
      <c r="X4819" s="1">
        <v>2700</v>
      </c>
      <c r="Y4819" s="1" t="s">
        <v>24</v>
      </c>
      <c r="Z4819" s="1" t="s">
        <v>24</v>
      </c>
      <c r="AA4819" s="1" t="s">
        <v>24</v>
      </c>
      <c r="AB4819" s="1" t="s">
        <v>24</v>
      </c>
      <c r="AC4819" s="1" t="s">
        <v>24</v>
      </c>
      <c r="AD4819" s="1" t="s">
        <v>24</v>
      </c>
      <c r="AE4819" s="1" t="s">
        <v>24</v>
      </c>
      <c r="AF4819" s="22"/>
    </row>
    <row r="4820" spans="1:32" x14ac:dyDescent="0.2">
      <c r="A4820" s="1">
        <v>43614</v>
      </c>
      <c r="B4820" s="1" t="s">
        <v>14635</v>
      </c>
      <c r="C4820" s="5" t="s">
        <v>0</v>
      </c>
      <c r="D4820" s="1" t="s">
        <v>14636</v>
      </c>
      <c r="F4820" s="1" t="s">
        <v>14637</v>
      </c>
      <c r="G4820" s="1" t="s">
        <v>14637</v>
      </c>
      <c r="H4820" s="1" t="s">
        <v>899</v>
      </c>
      <c r="I4820" s="1" t="s">
        <v>16</v>
      </c>
      <c r="J4820" s="1">
        <v>1</v>
      </c>
      <c r="K4820" s="1">
        <v>4</v>
      </c>
      <c r="L4820" s="1" t="s">
        <v>42</v>
      </c>
      <c r="M4820" s="1" t="s">
        <v>18</v>
      </c>
      <c r="N4820" s="1" t="s">
        <v>18</v>
      </c>
      <c r="O4820" s="1">
        <v>3</v>
      </c>
      <c r="P4820" s="1">
        <v>6</v>
      </c>
      <c r="R4820" s="1" t="s">
        <v>19</v>
      </c>
      <c r="S4820" s="1" t="s">
        <v>63</v>
      </c>
      <c r="T4820" s="1" t="s">
        <v>21</v>
      </c>
      <c r="U4820" s="1" t="s">
        <v>22</v>
      </c>
      <c r="V4820" s="1" t="s">
        <v>24</v>
      </c>
      <c r="W4820" s="1" t="s">
        <v>24</v>
      </c>
      <c r="X4820" s="1">
        <v>3000</v>
      </c>
      <c r="Y4820" s="1" t="s">
        <v>24</v>
      </c>
      <c r="Z4820" s="1" t="s">
        <v>24</v>
      </c>
      <c r="AA4820" s="1" t="s">
        <v>24</v>
      </c>
      <c r="AB4820" s="1" t="s">
        <v>24</v>
      </c>
      <c r="AC4820" s="1" t="s">
        <v>24</v>
      </c>
      <c r="AD4820" s="1" t="s">
        <v>24</v>
      </c>
      <c r="AE4820" s="1" t="s">
        <v>24</v>
      </c>
      <c r="AF4820" s="22"/>
    </row>
    <row r="4821" spans="1:32" x14ac:dyDescent="0.2">
      <c r="A4821" s="1">
        <v>43615</v>
      </c>
      <c r="B4821" s="1" t="s">
        <v>14638</v>
      </c>
      <c r="C4821" s="5" t="s">
        <v>0</v>
      </c>
      <c r="D4821" s="1" t="s">
        <v>14639</v>
      </c>
      <c r="F4821" s="1" t="s">
        <v>14640</v>
      </c>
      <c r="G4821" s="1" t="s">
        <v>14640</v>
      </c>
      <c r="H4821" s="1" t="s">
        <v>1957</v>
      </c>
      <c r="I4821" s="1" t="s">
        <v>16</v>
      </c>
      <c r="J4821" s="1">
        <v>1</v>
      </c>
      <c r="K4821" s="1">
        <v>4</v>
      </c>
      <c r="L4821" s="1" t="s">
        <v>42</v>
      </c>
      <c r="M4821" s="1" t="s">
        <v>18</v>
      </c>
      <c r="N4821" s="1" t="s">
        <v>18</v>
      </c>
      <c r="O4821" s="1">
        <v>2</v>
      </c>
      <c r="P4821" s="1">
        <v>6</v>
      </c>
      <c r="R4821" s="1" t="s">
        <v>19</v>
      </c>
      <c r="S4821" s="1" t="s">
        <v>63</v>
      </c>
      <c r="T4821" s="1" t="s">
        <v>21</v>
      </c>
      <c r="U4821" s="1" t="s">
        <v>22</v>
      </c>
      <c r="V4821" s="1" t="s">
        <v>24</v>
      </c>
      <c r="W4821" s="1" t="s">
        <v>24</v>
      </c>
      <c r="X4821" s="1">
        <v>3003</v>
      </c>
      <c r="Y4821" s="1">
        <v>1502</v>
      </c>
      <c r="Z4821" s="1" t="s">
        <v>24</v>
      </c>
      <c r="AA4821" s="1" t="s">
        <v>24</v>
      </c>
      <c r="AB4821" s="1" t="s">
        <v>24</v>
      </c>
      <c r="AC4821" s="1" t="s">
        <v>24</v>
      </c>
      <c r="AD4821" s="1" t="s">
        <v>24</v>
      </c>
      <c r="AE4821" s="1" t="s">
        <v>24</v>
      </c>
      <c r="AF4821" s="22"/>
    </row>
    <row r="4822" spans="1:32" x14ac:dyDescent="0.2">
      <c r="A4822" s="1">
        <v>43616</v>
      </c>
      <c r="B4822" s="1" t="s">
        <v>14641</v>
      </c>
      <c r="C4822" s="5" t="s">
        <v>0</v>
      </c>
      <c r="D4822" s="1" t="s">
        <v>14642</v>
      </c>
      <c r="F4822" s="1" t="s">
        <v>14643</v>
      </c>
      <c r="G4822" s="1" t="s">
        <v>14643</v>
      </c>
      <c r="H4822" s="1" t="s">
        <v>30</v>
      </c>
      <c r="I4822" s="1" t="s">
        <v>16</v>
      </c>
      <c r="J4822" s="1">
        <v>1</v>
      </c>
      <c r="K4822" s="1">
        <v>12</v>
      </c>
      <c r="L4822" s="1" t="s">
        <v>42</v>
      </c>
      <c r="M4822" s="1" t="s">
        <v>18</v>
      </c>
      <c r="N4822" s="1" t="s">
        <v>18</v>
      </c>
      <c r="O4822" s="1">
        <v>3</v>
      </c>
      <c r="P4822" s="1">
        <v>6</v>
      </c>
      <c r="R4822" s="1" t="s">
        <v>19</v>
      </c>
      <c r="S4822" s="1" t="s">
        <v>20</v>
      </c>
      <c r="T4822" s="1" t="s">
        <v>21</v>
      </c>
      <c r="U4822" s="1" t="s">
        <v>22</v>
      </c>
      <c r="V4822" s="1" t="s">
        <v>24</v>
      </c>
      <c r="W4822" s="1" t="s">
        <v>24</v>
      </c>
      <c r="X4822" s="1">
        <v>3000</v>
      </c>
      <c r="Y4822" s="1" t="s">
        <v>24</v>
      </c>
      <c r="Z4822" s="1" t="s">
        <v>24</v>
      </c>
      <c r="AA4822" s="1" t="s">
        <v>24</v>
      </c>
      <c r="AB4822" s="1" t="s">
        <v>24</v>
      </c>
      <c r="AC4822" s="1" t="s">
        <v>24</v>
      </c>
      <c r="AD4822" s="1" t="s">
        <v>24</v>
      </c>
      <c r="AE4822" s="1" t="s">
        <v>24</v>
      </c>
      <c r="AF4822" s="22"/>
    </row>
    <row r="4823" spans="1:32" x14ac:dyDescent="0.2">
      <c r="A4823" s="1">
        <v>43617</v>
      </c>
      <c r="B4823" s="1" t="s">
        <v>14644</v>
      </c>
      <c r="C4823" s="5" t="s">
        <v>0</v>
      </c>
      <c r="D4823" s="1" t="s">
        <v>14645</v>
      </c>
      <c r="E4823" s="1" t="s">
        <v>14646</v>
      </c>
      <c r="F4823" s="1" t="s">
        <v>14647</v>
      </c>
      <c r="G4823" s="1" t="s">
        <v>14648</v>
      </c>
      <c r="H4823" s="1" t="s">
        <v>69</v>
      </c>
      <c r="I4823" s="1" t="s">
        <v>16</v>
      </c>
      <c r="J4823" s="1">
        <v>1</v>
      </c>
      <c r="K4823" s="1">
        <v>2</v>
      </c>
      <c r="L4823" s="1" t="s">
        <v>42</v>
      </c>
      <c r="M4823" s="1" t="s">
        <v>18</v>
      </c>
      <c r="N4823" s="1" t="s">
        <v>18</v>
      </c>
      <c r="O4823" s="1">
        <v>3</v>
      </c>
      <c r="P4823" s="1">
        <v>6</v>
      </c>
      <c r="R4823" s="1" t="s">
        <v>19</v>
      </c>
      <c r="S4823" s="1" t="s">
        <v>20</v>
      </c>
      <c r="T4823" s="1" t="s">
        <v>21</v>
      </c>
      <c r="U4823" s="1" t="s">
        <v>22</v>
      </c>
      <c r="V4823" s="1" t="s">
        <v>24</v>
      </c>
      <c r="W4823" s="1" t="s">
        <v>24</v>
      </c>
      <c r="X4823" s="1">
        <v>3206</v>
      </c>
      <c r="Y4823" s="1">
        <v>2800</v>
      </c>
      <c r="Z4823" s="1" t="s">
        <v>24</v>
      </c>
      <c r="AA4823" s="1" t="s">
        <v>24</v>
      </c>
      <c r="AB4823" s="1" t="s">
        <v>24</v>
      </c>
      <c r="AC4823" s="1" t="s">
        <v>24</v>
      </c>
      <c r="AD4823" s="1" t="s">
        <v>24</v>
      </c>
      <c r="AE4823" s="1" t="s">
        <v>24</v>
      </c>
      <c r="AF4823" s="22"/>
    </row>
    <row r="4824" spans="1:32" x14ac:dyDescent="0.2">
      <c r="A4824" s="1">
        <v>43618</v>
      </c>
      <c r="B4824" s="1" t="s">
        <v>14649</v>
      </c>
      <c r="C4824" s="5" t="s">
        <v>0</v>
      </c>
      <c r="E4824" s="1" t="s">
        <v>14650</v>
      </c>
      <c r="F4824" s="1" t="s">
        <v>14649</v>
      </c>
      <c r="G4824" s="1" t="s">
        <v>14649</v>
      </c>
      <c r="H4824" s="1" t="s">
        <v>899</v>
      </c>
      <c r="I4824" s="1" t="s">
        <v>16</v>
      </c>
      <c r="J4824" s="1">
        <v>1</v>
      </c>
      <c r="K4824" s="1">
        <v>4</v>
      </c>
      <c r="L4824" s="1" t="s">
        <v>42</v>
      </c>
      <c r="M4824" s="1" t="s">
        <v>18</v>
      </c>
      <c r="N4824" s="1" t="s">
        <v>18</v>
      </c>
      <c r="O4824" s="1">
        <v>3</v>
      </c>
      <c r="P4824" s="1">
        <v>6</v>
      </c>
      <c r="R4824" s="1" t="s">
        <v>19</v>
      </c>
      <c r="S4824" s="1" t="s">
        <v>20</v>
      </c>
      <c r="T4824" s="1" t="s">
        <v>21</v>
      </c>
      <c r="U4824" s="1" t="s">
        <v>22</v>
      </c>
      <c r="V4824" s="1" t="s">
        <v>24</v>
      </c>
      <c r="W4824" s="1" t="s">
        <v>24</v>
      </c>
      <c r="X4824" s="1">
        <v>3000</v>
      </c>
      <c r="Y4824" s="1" t="s">
        <v>24</v>
      </c>
      <c r="Z4824" s="1" t="s">
        <v>24</v>
      </c>
      <c r="AA4824" s="1" t="s">
        <v>24</v>
      </c>
      <c r="AB4824" s="1" t="s">
        <v>24</v>
      </c>
      <c r="AC4824" s="1" t="s">
        <v>24</v>
      </c>
      <c r="AD4824" s="1" t="s">
        <v>24</v>
      </c>
      <c r="AE4824" s="1" t="s">
        <v>24</v>
      </c>
      <c r="AF4824" s="22"/>
    </row>
    <row r="4825" spans="1:32" x14ac:dyDescent="0.2">
      <c r="A4825" s="1">
        <v>43619</v>
      </c>
      <c r="B4825" s="1" t="s">
        <v>14651</v>
      </c>
      <c r="C4825" s="5" t="s">
        <v>0</v>
      </c>
      <c r="D4825" s="1" t="s">
        <v>14652</v>
      </c>
      <c r="F4825" s="1" t="s">
        <v>14653</v>
      </c>
      <c r="G4825" s="1" t="s">
        <v>14653</v>
      </c>
      <c r="H4825" s="1" t="s">
        <v>1957</v>
      </c>
      <c r="I4825" s="1" t="s">
        <v>16</v>
      </c>
      <c r="J4825" s="1">
        <v>1</v>
      </c>
      <c r="K4825" s="1">
        <v>4</v>
      </c>
      <c r="L4825" s="1" t="s">
        <v>42</v>
      </c>
      <c r="M4825" s="1" t="s">
        <v>10391</v>
      </c>
      <c r="N4825" s="1" t="s">
        <v>10392</v>
      </c>
      <c r="O4825" s="1">
        <v>3</v>
      </c>
      <c r="P4825" s="1">
        <v>5</v>
      </c>
      <c r="R4825" s="1" t="s">
        <v>19</v>
      </c>
      <c r="S4825" s="1" t="s">
        <v>20</v>
      </c>
      <c r="T4825" s="1" t="s">
        <v>21</v>
      </c>
      <c r="U4825" s="1" t="s">
        <v>22</v>
      </c>
      <c r="V4825" s="1" t="s">
        <v>24</v>
      </c>
      <c r="W4825" s="1" t="s">
        <v>24</v>
      </c>
      <c r="X4825" s="1">
        <v>2713</v>
      </c>
      <c r="Y4825" s="1" t="s">
        <v>24</v>
      </c>
      <c r="Z4825" s="1" t="s">
        <v>24</v>
      </c>
      <c r="AA4825" s="1" t="s">
        <v>24</v>
      </c>
      <c r="AB4825" s="1" t="s">
        <v>24</v>
      </c>
      <c r="AC4825" s="1" t="s">
        <v>24</v>
      </c>
      <c r="AD4825" s="1" t="s">
        <v>24</v>
      </c>
      <c r="AE4825" s="1" t="s">
        <v>24</v>
      </c>
      <c r="AF4825" s="22"/>
    </row>
    <row r="4826" spans="1:32" x14ac:dyDescent="0.2">
      <c r="A4826" s="1">
        <v>43620</v>
      </c>
      <c r="B4826" s="1" t="s">
        <v>14654</v>
      </c>
      <c r="C4826" s="5" t="s">
        <v>0</v>
      </c>
      <c r="D4826" s="1" t="s">
        <v>14655</v>
      </c>
      <c r="E4826" s="1" t="s">
        <v>14656</v>
      </c>
      <c r="F4826" s="1" t="s">
        <v>14657</v>
      </c>
      <c r="G4826" s="1" t="s">
        <v>14657</v>
      </c>
      <c r="H4826" s="1" t="s">
        <v>37</v>
      </c>
      <c r="I4826" s="1" t="s">
        <v>16</v>
      </c>
      <c r="J4826" s="1">
        <v>1</v>
      </c>
      <c r="K4826" s="1">
        <v>4</v>
      </c>
      <c r="L4826" s="1" t="s">
        <v>42</v>
      </c>
      <c r="M4826" s="1" t="s">
        <v>18</v>
      </c>
      <c r="N4826" s="1" t="s">
        <v>18</v>
      </c>
      <c r="O4826" s="1">
        <v>3</v>
      </c>
      <c r="P4826" s="1">
        <v>6</v>
      </c>
      <c r="R4826" s="1" t="s">
        <v>19</v>
      </c>
      <c r="S4826" s="1" t="s">
        <v>20</v>
      </c>
      <c r="T4826" s="1" t="s">
        <v>21</v>
      </c>
      <c r="U4826" s="1" t="s">
        <v>22</v>
      </c>
      <c r="V4826" s="1" t="s">
        <v>24</v>
      </c>
      <c r="W4826" s="1" t="s">
        <v>24</v>
      </c>
      <c r="X4826" s="1">
        <v>2730</v>
      </c>
      <c r="Y4826" s="1" t="s">
        <v>24</v>
      </c>
      <c r="Z4826" s="1" t="s">
        <v>24</v>
      </c>
      <c r="AA4826" s="1" t="s">
        <v>24</v>
      </c>
      <c r="AB4826" s="1" t="s">
        <v>24</v>
      </c>
      <c r="AC4826" s="1" t="s">
        <v>24</v>
      </c>
      <c r="AD4826" s="1" t="s">
        <v>24</v>
      </c>
      <c r="AE4826" s="1" t="s">
        <v>24</v>
      </c>
      <c r="AF4826" s="22"/>
    </row>
    <row r="4827" spans="1:32" x14ac:dyDescent="0.2">
      <c r="A4827" s="1">
        <v>43622</v>
      </c>
      <c r="B4827" s="1" t="s">
        <v>14658</v>
      </c>
      <c r="C4827" s="5" t="s">
        <v>0</v>
      </c>
      <c r="E4827" s="1" t="s">
        <v>14659</v>
      </c>
      <c r="F4827" s="1" t="s">
        <v>14660</v>
      </c>
      <c r="G4827" s="1" t="s">
        <v>14660</v>
      </c>
      <c r="H4827" s="1" t="s">
        <v>249</v>
      </c>
      <c r="I4827" s="1" t="s">
        <v>16</v>
      </c>
      <c r="J4827" s="1">
        <v>1</v>
      </c>
      <c r="K4827" s="1">
        <v>4</v>
      </c>
      <c r="L4827" s="1" t="s">
        <v>42</v>
      </c>
      <c r="M4827" s="1" t="s">
        <v>18</v>
      </c>
      <c r="N4827" s="1" t="s">
        <v>18</v>
      </c>
      <c r="O4827" s="1">
        <v>3</v>
      </c>
      <c r="P4827" s="1">
        <v>6</v>
      </c>
      <c r="R4827" s="1" t="s">
        <v>19</v>
      </c>
      <c r="S4827" s="1" t="s">
        <v>20</v>
      </c>
      <c r="T4827" s="1" t="s">
        <v>21</v>
      </c>
      <c r="U4827" s="1" t="s">
        <v>22</v>
      </c>
      <c r="V4827" s="1" t="s">
        <v>24</v>
      </c>
      <c r="W4827" s="1" t="s">
        <v>24</v>
      </c>
      <c r="X4827" s="1">
        <v>2708</v>
      </c>
      <c r="Y4827" s="1" t="s">
        <v>24</v>
      </c>
      <c r="Z4827" s="1" t="s">
        <v>24</v>
      </c>
      <c r="AA4827" s="1" t="s">
        <v>24</v>
      </c>
      <c r="AB4827" s="1" t="s">
        <v>24</v>
      </c>
      <c r="AC4827" s="1" t="s">
        <v>24</v>
      </c>
      <c r="AD4827" s="1" t="s">
        <v>24</v>
      </c>
      <c r="AE4827" s="1" t="s">
        <v>24</v>
      </c>
      <c r="AF4827" s="22"/>
    </row>
    <row r="4828" spans="1:32" x14ac:dyDescent="0.2">
      <c r="A4828" s="1">
        <v>43626</v>
      </c>
      <c r="B4828" s="1" t="s">
        <v>14661</v>
      </c>
      <c r="C4828" s="5" t="s">
        <v>0</v>
      </c>
      <c r="D4828" s="1" t="s">
        <v>14662</v>
      </c>
      <c r="E4828" s="1" t="s">
        <v>14663</v>
      </c>
      <c r="F4828" s="1" t="s">
        <v>97</v>
      </c>
      <c r="G4828" s="1" t="s">
        <v>98</v>
      </c>
      <c r="H4828" s="1" t="s">
        <v>37</v>
      </c>
      <c r="I4828" s="1" t="s">
        <v>16</v>
      </c>
      <c r="J4828" s="1">
        <v>1</v>
      </c>
      <c r="K4828" s="1">
        <v>4</v>
      </c>
      <c r="L4828" s="1" t="s">
        <v>31</v>
      </c>
      <c r="M4828" s="1" t="s">
        <v>18</v>
      </c>
      <c r="N4828" s="1" t="s">
        <v>18</v>
      </c>
      <c r="O4828" s="1">
        <v>2</v>
      </c>
      <c r="P4828" s="1">
        <v>7</v>
      </c>
      <c r="Q4828" s="7" t="s">
        <v>17633</v>
      </c>
      <c r="R4828" s="1" t="s">
        <v>19</v>
      </c>
      <c r="S4828" s="1" t="s">
        <v>20</v>
      </c>
      <c r="T4828" s="1" t="s">
        <v>21</v>
      </c>
      <c r="U4828" s="1" t="s">
        <v>22</v>
      </c>
      <c r="V4828" s="1" t="s">
        <v>23</v>
      </c>
      <c r="W4828" s="1" t="s">
        <v>24</v>
      </c>
      <c r="X4828" s="1">
        <v>2729</v>
      </c>
      <c r="Y4828" s="1" t="s">
        <v>24</v>
      </c>
      <c r="Z4828" s="1" t="s">
        <v>24</v>
      </c>
      <c r="AA4828" s="1" t="s">
        <v>24</v>
      </c>
      <c r="AB4828" s="1" t="s">
        <v>24</v>
      </c>
      <c r="AC4828" s="1" t="s">
        <v>24</v>
      </c>
      <c r="AD4828" s="1" t="s">
        <v>24</v>
      </c>
      <c r="AE4828" s="1" t="s">
        <v>24</v>
      </c>
      <c r="AF4828" s="22"/>
    </row>
    <row r="4829" spans="1:32" x14ac:dyDescent="0.2">
      <c r="A4829" s="1">
        <v>43634</v>
      </c>
      <c r="B4829" s="1" t="s">
        <v>14664</v>
      </c>
      <c r="C4829" s="5" t="s">
        <v>0</v>
      </c>
      <c r="D4829" s="1" t="s">
        <v>14665</v>
      </c>
      <c r="E4829" s="1" t="s">
        <v>14666</v>
      </c>
      <c r="F4829" s="1" t="s">
        <v>2299</v>
      </c>
      <c r="G4829" s="1" t="s">
        <v>2300</v>
      </c>
      <c r="H4829" s="1" t="s">
        <v>37</v>
      </c>
      <c r="I4829" s="1" t="s">
        <v>16</v>
      </c>
      <c r="J4829" s="1">
        <v>1</v>
      </c>
      <c r="K4829" s="1">
        <v>4</v>
      </c>
      <c r="L4829" s="1" t="s">
        <v>31</v>
      </c>
      <c r="M4829" s="1" t="s">
        <v>18</v>
      </c>
      <c r="N4829" s="1" t="s">
        <v>18</v>
      </c>
      <c r="O4829" s="1">
        <v>3</v>
      </c>
      <c r="P4829" s="1">
        <v>7</v>
      </c>
      <c r="Q4829" s="7" t="s">
        <v>17633</v>
      </c>
      <c r="R4829" s="1" t="s">
        <v>19</v>
      </c>
      <c r="S4829" s="1" t="s">
        <v>63</v>
      </c>
      <c r="T4829" s="1" t="s">
        <v>21</v>
      </c>
      <c r="U4829" s="1" t="s">
        <v>22</v>
      </c>
      <c r="V4829" s="1" t="s">
        <v>23</v>
      </c>
      <c r="W4829" s="1" t="s">
        <v>24</v>
      </c>
      <c r="X4829" s="1">
        <v>2728</v>
      </c>
      <c r="Y4829" s="1">
        <v>2734</v>
      </c>
      <c r="Z4829" s="1">
        <v>2805</v>
      </c>
      <c r="AA4829" s="1">
        <v>2735</v>
      </c>
      <c r="AB4829" s="1" t="s">
        <v>24</v>
      </c>
      <c r="AC4829" s="1" t="s">
        <v>24</v>
      </c>
      <c r="AD4829" s="1" t="s">
        <v>24</v>
      </c>
      <c r="AE4829" s="1" t="s">
        <v>24</v>
      </c>
      <c r="AF4829" s="22"/>
    </row>
    <row r="4830" spans="1:32" x14ac:dyDescent="0.2">
      <c r="A4830" s="1">
        <v>43644</v>
      </c>
      <c r="B4830" s="1" t="s">
        <v>14667</v>
      </c>
      <c r="C4830" s="5" t="s">
        <v>0</v>
      </c>
      <c r="E4830" s="1" t="s">
        <v>14668</v>
      </c>
      <c r="F4830" s="1" t="s">
        <v>11079</v>
      </c>
      <c r="G4830" s="1" t="s">
        <v>11079</v>
      </c>
      <c r="H4830" s="1" t="s">
        <v>3228</v>
      </c>
      <c r="I4830" s="1" t="s">
        <v>16</v>
      </c>
      <c r="J4830" s="1">
        <v>1</v>
      </c>
      <c r="K4830" s="1">
        <v>1</v>
      </c>
      <c r="L4830" s="1" t="s">
        <v>42</v>
      </c>
      <c r="M4830" s="1" t="s">
        <v>18</v>
      </c>
      <c r="N4830" s="1" t="s">
        <v>18</v>
      </c>
      <c r="O4830" s="1">
        <v>3</v>
      </c>
      <c r="P4830" s="1">
        <v>6</v>
      </c>
      <c r="R4830" s="1" t="s">
        <v>19</v>
      </c>
      <c r="S4830" s="1" t="s">
        <v>63</v>
      </c>
      <c r="T4830" s="1" t="s">
        <v>21</v>
      </c>
      <c r="U4830" s="1" t="s">
        <v>22</v>
      </c>
      <c r="V4830" s="1" t="s">
        <v>23</v>
      </c>
      <c r="W4830" s="1" t="s">
        <v>24</v>
      </c>
      <c r="X4830" s="1">
        <v>2725</v>
      </c>
      <c r="Y4830" s="1">
        <v>2406</v>
      </c>
      <c r="Z4830" s="1">
        <v>2719</v>
      </c>
      <c r="AA4830" s="1">
        <v>2713</v>
      </c>
      <c r="AB4830" s="1">
        <v>2708</v>
      </c>
      <c r="AC4830" s="1" t="s">
        <v>24</v>
      </c>
      <c r="AD4830" s="1" t="s">
        <v>24</v>
      </c>
      <c r="AE4830" s="1" t="s">
        <v>24</v>
      </c>
      <c r="AF4830" s="22"/>
    </row>
    <row r="4831" spans="1:32" x14ac:dyDescent="0.2">
      <c r="A4831" s="1">
        <v>43645</v>
      </c>
      <c r="B4831" s="1" t="s">
        <v>14669</v>
      </c>
      <c r="C4831" s="5" t="s">
        <v>0</v>
      </c>
      <c r="E4831" s="1" t="s">
        <v>14670</v>
      </c>
      <c r="F4831" s="1" t="s">
        <v>11078</v>
      </c>
      <c r="G4831" s="1" t="s">
        <v>11079</v>
      </c>
      <c r="H4831" s="1" t="s">
        <v>3228</v>
      </c>
      <c r="I4831" s="1" t="s">
        <v>16</v>
      </c>
      <c r="J4831" s="1">
        <v>1</v>
      </c>
      <c r="K4831" s="1">
        <v>1</v>
      </c>
      <c r="L4831" s="1" t="s">
        <v>42</v>
      </c>
      <c r="M4831" s="1" t="s">
        <v>18</v>
      </c>
      <c r="N4831" s="1" t="s">
        <v>18</v>
      </c>
      <c r="O4831" s="1">
        <v>3</v>
      </c>
      <c r="P4831" s="1">
        <v>6</v>
      </c>
      <c r="R4831" s="1" t="s">
        <v>19</v>
      </c>
      <c r="S4831" s="1" t="s">
        <v>63</v>
      </c>
      <c r="T4831" s="1" t="s">
        <v>21</v>
      </c>
      <c r="U4831" s="1" t="s">
        <v>22</v>
      </c>
      <c r="V4831" s="1" t="s">
        <v>23</v>
      </c>
      <c r="W4831" s="1" t="s">
        <v>24</v>
      </c>
      <c r="X4831" s="1">
        <v>2900</v>
      </c>
      <c r="Y4831" s="1">
        <v>2700</v>
      </c>
      <c r="Z4831" s="1" t="s">
        <v>24</v>
      </c>
      <c r="AA4831" s="1" t="s">
        <v>24</v>
      </c>
      <c r="AB4831" s="1" t="s">
        <v>24</v>
      </c>
      <c r="AC4831" s="1" t="s">
        <v>24</v>
      </c>
      <c r="AD4831" s="1" t="s">
        <v>24</v>
      </c>
      <c r="AE4831" s="1" t="s">
        <v>24</v>
      </c>
      <c r="AF4831" s="22"/>
    </row>
    <row r="4832" spans="1:32" x14ac:dyDescent="0.2">
      <c r="A4832" s="1">
        <v>43648</v>
      </c>
      <c r="B4832" s="1" t="s">
        <v>14671</v>
      </c>
      <c r="C4832" s="5" t="s">
        <v>0</v>
      </c>
      <c r="E4832" s="1" t="s">
        <v>14672</v>
      </c>
      <c r="F4832" s="1" t="s">
        <v>11078</v>
      </c>
      <c r="G4832" s="1" t="s">
        <v>11079</v>
      </c>
      <c r="H4832" s="1" t="s">
        <v>3228</v>
      </c>
      <c r="I4832" s="1" t="s">
        <v>16</v>
      </c>
      <c r="J4832" s="1">
        <v>1</v>
      </c>
      <c r="K4832" s="1">
        <v>1</v>
      </c>
      <c r="L4832" s="1" t="s">
        <v>42</v>
      </c>
      <c r="M4832" s="1" t="s">
        <v>18</v>
      </c>
      <c r="N4832" s="1" t="s">
        <v>18</v>
      </c>
      <c r="O4832" s="1">
        <v>3</v>
      </c>
      <c r="P4832" s="1">
        <v>6</v>
      </c>
      <c r="R4832" s="1" t="s">
        <v>19</v>
      </c>
      <c r="S4832" s="1" t="s">
        <v>63</v>
      </c>
      <c r="T4832" s="1" t="s">
        <v>21</v>
      </c>
      <c r="U4832" s="1" t="s">
        <v>22</v>
      </c>
      <c r="V4832" s="1" t="s">
        <v>23</v>
      </c>
      <c r="W4832" s="1" t="s">
        <v>24</v>
      </c>
      <c r="X4832" s="1">
        <v>3301</v>
      </c>
      <c r="Y4832" s="1">
        <v>2701</v>
      </c>
      <c r="Z4832" s="1">
        <v>2719</v>
      </c>
      <c r="AA4832" s="1">
        <v>3001</v>
      </c>
      <c r="AB4832" s="1" t="s">
        <v>24</v>
      </c>
      <c r="AC4832" s="1" t="s">
        <v>24</v>
      </c>
      <c r="AD4832" s="1" t="s">
        <v>24</v>
      </c>
      <c r="AE4832" s="1" t="s">
        <v>24</v>
      </c>
      <c r="AF4832" s="22"/>
    </row>
    <row r="4833" spans="1:32" x14ac:dyDescent="0.2">
      <c r="A4833" s="1">
        <v>43653</v>
      </c>
      <c r="B4833" s="1" t="s">
        <v>14673</v>
      </c>
      <c r="C4833" s="5" t="s">
        <v>0</v>
      </c>
      <c r="E4833" s="1" t="s">
        <v>14674</v>
      </c>
      <c r="F4833" s="1" t="s">
        <v>2299</v>
      </c>
      <c r="G4833" s="1" t="s">
        <v>2300</v>
      </c>
      <c r="H4833" s="1" t="s">
        <v>37</v>
      </c>
      <c r="I4833" s="1" t="s">
        <v>16</v>
      </c>
      <c r="J4833" s="1">
        <v>1</v>
      </c>
      <c r="K4833" s="1">
        <v>1</v>
      </c>
      <c r="L4833" s="1" t="s">
        <v>31</v>
      </c>
      <c r="M4833" s="1" t="s">
        <v>18</v>
      </c>
      <c r="N4833" s="1" t="s">
        <v>18</v>
      </c>
      <c r="O4833" s="1">
        <v>3</v>
      </c>
      <c r="P4833" s="5">
        <v>7</v>
      </c>
      <c r="Q4833" s="8" t="s">
        <v>17633</v>
      </c>
      <c r="R4833" s="1" t="s">
        <v>19</v>
      </c>
      <c r="S4833" s="1" t="s">
        <v>63</v>
      </c>
      <c r="T4833" s="1" t="s">
        <v>21</v>
      </c>
      <c r="U4833" s="1" t="s">
        <v>22</v>
      </c>
      <c r="V4833" s="1" t="s">
        <v>23</v>
      </c>
      <c r="W4833" s="1" t="s">
        <v>24</v>
      </c>
      <c r="X4833" s="1">
        <v>2712</v>
      </c>
      <c r="Y4833" s="1">
        <v>2807</v>
      </c>
      <c r="Z4833" s="1">
        <v>1310</v>
      </c>
      <c r="AA4833" s="1" t="s">
        <v>24</v>
      </c>
      <c r="AB4833" s="1" t="s">
        <v>24</v>
      </c>
      <c r="AC4833" s="1" t="s">
        <v>24</v>
      </c>
      <c r="AD4833" s="1" t="s">
        <v>24</v>
      </c>
      <c r="AE4833" s="1" t="s">
        <v>24</v>
      </c>
      <c r="AF4833" s="22" t="s">
        <v>17661</v>
      </c>
    </row>
    <row r="4834" spans="1:32" x14ac:dyDescent="0.2">
      <c r="A4834" s="1">
        <v>43658</v>
      </c>
      <c r="B4834" s="1" t="s">
        <v>14675</v>
      </c>
      <c r="C4834" s="5" t="s">
        <v>0</v>
      </c>
      <c r="D4834" s="1" t="s">
        <v>14676</v>
      </c>
      <c r="F4834" s="1" t="s">
        <v>14677</v>
      </c>
      <c r="G4834" s="1" t="s">
        <v>14677</v>
      </c>
      <c r="H4834" s="1" t="s">
        <v>37</v>
      </c>
      <c r="I4834" s="1" t="s">
        <v>16</v>
      </c>
      <c r="J4834" s="1">
        <v>1</v>
      </c>
      <c r="K4834" s="1">
        <v>4</v>
      </c>
      <c r="L4834" s="1" t="s">
        <v>42</v>
      </c>
      <c r="M4834" s="1" t="s">
        <v>18</v>
      </c>
      <c r="N4834" s="1" t="s">
        <v>18</v>
      </c>
      <c r="O4834" s="1">
        <v>3</v>
      </c>
      <c r="P4834" s="1">
        <v>6</v>
      </c>
      <c r="R4834" s="1" t="s">
        <v>19</v>
      </c>
      <c r="S4834" s="1" t="s">
        <v>20</v>
      </c>
      <c r="T4834" s="1" t="s">
        <v>21</v>
      </c>
      <c r="U4834" s="1" t="s">
        <v>22</v>
      </c>
      <c r="V4834" s="1" t="s">
        <v>23</v>
      </c>
      <c r="W4834" s="1" t="s">
        <v>24</v>
      </c>
      <c r="X4834" s="1">
        <v>2700</v>
      </c>
      <c r="Y4834" s="1" t="s">
        <v>24</v>
      </c>
      <c r="Z4834" s="1" t="s">
        <v>24</v>
      </c>
      <c r="AA4834" s="1" t="s">
        <v>24</v>
      </c>
      <c r="AB4834" s="1" t="s">
        <v>24</v>
      </c>
      <c r="AC4834" s="1" t="s">
        <v>24</v>
      </c>
      <c r="AD4834" s="1" t="s">
        <v>24</v>
      </c>
      <c r="AE4834" s="1" t="s">
        <v>24</v>
      </c>
      <c r="AF4834" s="22"/>
    </row>
    <row r="4835" spans="1:32" x14ac:dyDescent="0.2">
      <c r="A4835" s="1">
        <v>43660</v>
      </c>
      <c r="B4835" s="1" t="s">
        <v>14678</v>
      </c>
      <c r="C4835" s="5" t="s">
        <v>0</v>
      </c>
      <c r="D4835" s="1" t="s">
        <v>14679</v>
      </c>
      <c r="E4835" s="1" t="s">
        <v>14680</v>
      </c>
      <c r="F4835" s="1" t="s">
        <v>14681</v>
      </c>
      <c r="G4835" s="1" t="s">
        <v>14681</v>
      </c>
      <c r="H4835" s="1" t="s">
        <v>2772</v>
      </c>
      <c r="I4835" s="1" t="s">
        <v>16</v>
      </c>
      <c r="J4835" s="1">
        <v>1</v>
      </c>
      <c r="K4835" s="1">
        <v>4</v>
      </c>
      <c r="L4835" s="1" t="s">
        <v>42</v>
      </c>
      <c r="M4835" s="1" t="s">
        <v>18</v>
      </c>
      <c r="N4835" s="1" t="s">
        <v>18</v>
      </c>
      <c r="O4835" s="1">
        <v>3</v>
      </c>
      <c r="P4835" s="1">
        <v>6</v>
      </c>
      <c r="R4835" s="1" t="s">
        <v>19</v>
      </c>
      <c r="S4835" s="1" t="s">
        <v>20</v>
      </c>
      <c r="T4835" s="1" t="s">
        <v>21</v>
      </c>
      <c r="U4835" s="1" t="s">
        <v>22</v>
      </c>
      <c r="V4835" s="1" t="s">
        <v>23</v>
      </c>
      <c r="W4835" s="1" t="s">
        <v>24</v>
      </c>
      <c r="X4835" s="1">
        <v>2732</v>
      </c>
      <c r="Y4835" s="1">
        <v>2746</v>
      </c>
      <c r="Z4835" s="1" t="s">
        <v>24</v>
      </c>
      <c r="AA4835" s="1" t="s">
        <v>24</v>
      </c>
      <c r="AB4835" s="1" t="s">
        <v>24</v>
      </c>
      <c r="AC4835" s="1" t="s">
        <v>24</v>
      </c>
      <c r="AD4835" s="1" t="s">
        <v>24</v>
      </c>
      <c r="AE4835" s="1" t="s">
        <v>24</v>
      </c>
      <c r="AF4835" s="22"/>
    </row>
    <row r="4836" spans="1:32" x14ac:dyDescent="0.2">
      <c r="A4836" s="1">
        <v>43663</v>
      </c>
      <c r="B4836" s="1" t="s">
        <v>14682</v>
      </c>
      <c r="C4836" s="5" t="s">
        <v>0</v>
      </c>
      <c r="D4836" s="1" t="s">
        <v>14683</v>
      </c>
      <c r="F4836" s="1" t="s">
        <v>14684</v>
      </c>
      <c r="G4836" s="1" t="s">
        <v>14684</v>
      </c>
      <c r="H4836" s="1" t="s">
        <v>1384</v>
      </c>
      <c r="I4836" s="1" t="s">
        <v>16</v>
      </c>
      <c r="J4836" s="1">
        <v>1</v>
      </c>
      <c r="K4836" s="1">
        <v>4</v>
      </c>
      <c r="L4836" s="1" t="s">
        <v>42</v>
      </c>
      <c r="M4836" s="1" t="s">
        <v>1385</v>
      </c>
      <c r="N4836" s="1" t="s">
        <v>3142</v>
      </c>
      <c r="O4836" s="1">
        <v>3</v>
      </c>
      <c r="P4836" s="1">
        <v>5</v>
      </c>
      <c r="R4836" s="1" t="s">
        <v>19</v>
      </c>
      <c r="S4836" s="1" t="s">
        <v>20</v>
      </c>
      <c r="T4836" s="1" t="s">
        <v>21</v>
      </c>
      <c r="V4836" s="1" t="s">
        <v>23</v>
      </c>
      <c r="W4836" s="1" t="s">
        <v>24</v>
      </c>
      <c r="X4836" s="1">
        <v>2724</v>
      </c>
      <c r="Y4836" s="1">
        <v>2730</v>
      </c>
      <c r="Z4836" s="1" t="s">
        <v>24</v>
      </c>
      <c r="AA4836" s="1" t="s">
        <v>24</v>
      </c>
      <c r="AB4836" s="1" t="s">
        <v>24</v>
      </c>
      <c r="AC4836" s="1" t="s">
        <v>24</v>
      </c>
      <c r="AD4836" s="1" t="s">
        <v>24</v>
      </c>
      <c r="AE4836" s="1" t="s">
        <v>24</v>
      </c>
      <c r="AF4836" s="22"/>
    </row>
    <row r="4837" spans="1:32" x14ac:dyDescent="0.2">
      <c r="A4837" s="1">
        <v>43735</v>
      </c>
      <c r="B4837" s="1" t="s">
        <v>14685</v>
      </c>
      <c r="C4837" s="5" t="s">
        <v>0</v>
      </c>
      <c r="D4837" s="1" t="s">
        <v>14686</v>
      </c>
      <c r="E4837" s="1" t="s">
        <v>14687</v>
      </c>
      <c r="F4837" s="1" t="s">
        <v>4337</v>
      </c>
      <c r="G4837" s="1" t="s">
        <v>4338</v>
      </c>
      <c r="H4837" s="1" t="s">
        <v>30</v>
      </c>
      <c r="I4837" s="1" t="s">
        <v>16</v>
      </c>
      <c r="J4837" s="1">
        <v>1</v>
      </c>
      <c r="K4837" s="1">
        <v>4</v>
      </c>
      <c r="L4837" s="1" t="s">
        <v>31</v>
      </c>
      <c r="M4837" s="1" t="s">
        <v>18</v>
      </c>
      <c r="N4837" s="1" t="s">
        <v>18</v>
      </c>
      <c r="O4837" s="1">
        <v>3</v>
      </c>
      <c r="P4837" s="1">
        <v>7</v>
      </c>
      <c r="Q4837" s="7" t="s">
        <v>17633</v>
      </c>
      <c r="R4837" s="1" t="s">
        <v>62</v>
      </c>
      <c r="S4837" s="1" t="s">
        <v>20</v>
      </c>
      <c r="T4837" s="1" t="s">
        <v>21</v>
      </c>
      <c r="U4837" s="1" t="s">
        <v>22</v>
      </c>
      <c r="V4837" s="1" t="s">
        <v>24</v>
      </c>
      <c r="W4837" s="1" t="s">
        <v>24</v>
      </c>
      <c r="X4837" s="1">
        <v>1305</v>
      </c>
      <c r="Y4837" s="1">
        <v>1309</v>
      </c>
      <c r="Z4837" s="1">
        <v>1307</v>
      </c>
      <c r="AA4837" s="1" t="s">
        <v>24</v>
      </c>
      <c r="AB4837" s="1" t="s">
        <v>24</v>
      </c>
      <c r="AC4837" s="1" t="s">
        <v>24</v>
      </c>
      <c r="AD4837" s="1" t="s">
        <v>24</v>
      </c>
      <c r="AE4837" s="1" t="s">
        <v>24</v>
      </c>
      <c r="AF4837" s="22"/>
    </row>
    <row r="4838" spans="1:32" x14ac:dyDescent="0.2">
      <c r="A4838" s="1">
        <v>43795</v>
      </c>
      <c r="B4838" s="1" t="s">
        <v>14688</v>
      </c>
      <c r="C4838" s="5" t="s">
        <v>0</v>
      </c>
      <c r="D4838" s="1" t="s">
        <v>14689</v>
      </c>
      <c r="E4838" s="1" t="s">
        <v>14690</v>
      </c>
      <c r="F4838" s="1" t="s">
        <v>4337</v>
      </c>
      <c r="G4838" s="1" t="s">
        <v>4338</v>
      </c>
      <c r="H4838" s="1" t="s">
        <v>30</v>
      </c>
      <c r="I4838" s="1" t="s">
        <v>16</v>
      </c>
      <c r="J4838" s="1">
        <v>1</v>
      </c>
      <c r="K4838" s="1">
        <v>4</v>
      </c>
      <c r="L4838" s="1" t="s">
        <v>31</v>
      </c>
      <c r="M4838" s="1" t="s">
        <v>18</v>
      </c>
      <c r="N4838" s="1" t="s">
        <v>18</v>
      </c>
      <c r="O4838" s="1">
        <v>3</v>
      </c>
      <c r="P4838" s="1">
        <v>7</v>
      </c>
      <c r="Q4838" s="7" t="s">
        <v>17633</v>
      </c>
      <c r="R4838" s="1" t="s">
        <v>19</v>
      </c>
      <c r="S4838" s="1" t="s">
        <v>20</v>
      </c>
      <c r="T4838" s="1" t="s">
        <v>21</v>
      </c>
      <c r="U4838" s="1" t="s">
        <v>22</v>
      </c>
      <c r="V4838" s="1" t="s">
        <v>24</v>
      </c>
      <c r="W4838" s="1" t="s">
        <v>24</v>
      </c>
      <c r="X4838" s="1">
        <v>1300</v>
      </c>
      <c r="Y4838" s="1">
        <v>1307</v>
      </c>
      <c r="Z4838" s="1">
        <v>2701</v>
      </c>
      <c r="AA4838" s="1" t="s">
        <v>24</v>
      </c>
      <c r="AB4838" s="1" t="s">
        <v>24</v>
      </c>
      <c r="AC4838" s="1" t="s">
        <v>24</v>
      </c>
      <c r="AD4838" s="1" t="s">
        <v>24</v>
      </c>
      <c r="AE4838" s="1" t="s">
        <v>24</v>
      </c>
      <c r="AF4838" s="22"/>
    </row>
    <row r="4839" spans="1:32" x14ac:dyDescent="0.2">
      <c r="A4839" s="1">
        <v>43797</v>
      </c>
      <c r="B4839" s="1" t="s">
        <v>14691</v>
      </c>
      <c r="C4839" s="5" t="s">
        <v>0</v>
      </c>
      <c r="D4839" s="1" t="s">
        <v>14692</v>
      </c>
      <c r="E4839" s="1" t="s">
        <v>14693</v>
      </c>
      <c r="F4839" s="1" t="s">
        <v>4337</v>
      </c>
      <c r="G4839" s="1" t="s">
        <v>4338</v>
      </c>
      <c r="H4839" s="1" t="s">
        <v>30</v>
      </c>
      <c r="I4839" s="1" t="s">
        <v>16</v>
      </c>
      <c r="J4839" s="1">
        <v>1</v>
      </c>
      <c r="K4839" s="1">
        <v>4</v>
      </c>
      <c r="L4839" s="1" t="s">
        <v>31</v>
      </c>
      <c r="M4839" s="1" t="s">
        <v>18</v>
      </c>
      <c r="N4839" s="1" t="s">
        <v>18</v>
      </c>
      <c r="O4839" s="1">
        <v>3</v>
      </c>
      <c r="P4839" s="1">
        <v>7</v>
      </c>
      <c r="Q4839" s="7" t="s">
        <v>17633</v>
      </c>
      <c r="R4839" s="1" t="s">
        <v>19</v>
      </c>
      <c r="S4839" s="1" t="s">
        <v>20</v>
      </c>
      <c r="T4839" s="1" t="s">
        <v>21</v>
      </c>
      <c r="U4839" s="1" t="s">
        <v>22</v>
      </c>
      <c r="V4839" s="1" t="s">
        <v>23</v>
      </c>
      <c r="W4839" s="1" t="s">
        <v>24</v>
      </c>
      <c r="X4839" s="1">
        <v>2723</v>
      </c>
      <c r="Y4839" s="1">
        <v>2735</v>
      </c>
      <c r="Z4839" s="1">
        <v>2740</v>
      </c>
      <c r="AA4839" s="1" t="s">
        <v>24</v>
      </c>
      <c r="AB4839" s="1" t="s">
        <v>24</v>
      </c>
      <c r="AC4839" s="1" t="s">
        <v>24</v>
      </c>
      <c r="AD4839" s="1" t="s">
        <v>24</v>
      </c>
      <c r="AE4839" s="1" t="s">
        <v>24</v>
      </c>
      <c r="AF4839" s="22"/>
    </row>
    <row r="4840" spans="1:32" x14ac:dyDescent="0.2">
      <c r="A4840" s="1">
        <v>43824</v>
      </c>
      <c r="B4840" s="1" t="s">
        <v>14694</v>
      </c>
      <c r="C4840" s="5" t="s">
        <v>0</v>
      </c>
      <c r="E4840" s="1" t="s">
        <v>14603</v>
      </c>
      <c r="F4840" s="1" t="s">
        <v>11079</v>
      </c>
      <c r="G4840" s="1" t="s">
        <v>11079</v>
      </c>
      <c r="H4840" s="1" t="s">
        <v>3228</v>
      </c>
      <c r="I4840" s="1" t="s">
        <v>16</v>
      </c>
      <c r="J4840" s="1">
        <v>1</v>
      </c>
      <c r="K4840" s="1">
        <v>1</v>
      </c>
      <c r="L4840" s="1" t="s">
        <v>42</v>
      </c>
      <c r="M4840" s="1" t="s">
        <v>18</v>
      </c>
      <c r="N4840" s="1" t="s">
        <v>18</v>
      </c>
      <c r="O4840" s="1">
        <v>3</v>
      </c>
      <c r="P4840" s="1">
        <v>6</v>
      </c>
      <c r="R4840" s="1" t="s">
        <v>19</v>
      </c>
      <c r="S4840" s="1" t="s">
        <v>20</v>
      </c>
      <c r="T4840" s="1" t="s">
        <v>21</v>
      </c>
      <c r="U4840" s="1" t="s">
        <v>22</v>
      </c>
      <c r="V4840" s="1" t="s">
        <v>23</v>
      </c>
      <c r="W4840" s="1" t="s">
        <v>24</v>
      </c>
      <c r="X4840" s="1">
        <v>2730</v>
      </c>
      <c r="Y4840" s="1" t="s">
        <v>24</v>
      </c>
      <c r="Z4840" s="1" t="s">
        <v>24</v>
      </c>
      <c r="AA4840" s="1" t="s">
        <v>24</v>
      </c>
      <c r="AB4840" s="1" t="s">
        <v>24</v>
      </c>
      <c r="AC4840" s="1" t="s">
        <v>24</v>
      </c>
      <c r="AD4840" s="1" t="s">
        <v>24</v>
      </c>
      <c r="AE4840" s="1" t="s">
        <v>24</v>
      </c>
      <c r="AF4840" s="22"/>
    </row>
    <row r="4841" spans="1:32" x14ac:dyDescent="0.2">
      <c r="A4841" s="1">
        <v>43920</v>
      </c>
      <c r="B4841" s="1" t="s">
        <v>14695</v>
      </c>
      <c r="C4841" s="5" t="s">
        <v>0</v>
      </c>
      <c r="E4841" s="1" t="s">
        <v>14696</v>
      </c>
      <c r="F4841" s="1" t="s">
        <v>9858</v>
      </c>
      <c r="G4841" s="1" t="s">
        <v>6983</v>
      </c>
      <c r="H4841" s="1" t="s">
        <v>249</v>
      </c>
      <c r="I4841" s="1" t="s">
        <v>16</v>
      </c>
      <c r="J4841" s="1">
        <v>1</v>
      </c>
      <c r="K4841" s="1">
        <v>1</v>
      </c>
      <c r="L4841" s="1" t="s">
        <v>42</v>
      </c>
      <c r="M4841" s="1" t="s">
        <v>18</v>
      </c>
      <c r="N4841" s="1" t="s">
        <v>18</v>
      </c>
      <c r="O4841" s="1">
        <v>3</v>
      </c>
      <c r="P4841" s="1">
        <v>6</v>
      </c>
      <c r="R4841" s="1" t="s">
        <v>19</v>
      </c>
      <c r="S4841" s="1" t="s">
        <v>63</v>
      </c>
      <c r="T4841" s="1" t="s">
        <v>21</v>
      </c>
      <c r="U4841" s="1" t="s">
        <v>22</v>
      </c>
      <c r="V4841" s="1" t="s">
        <v>24</v>
      </c>
      <c r="W4841" s="1" t="s">
        <v>24</v>
      </c>
      <c r="X4841" s="1">
        <v>2700</v>
      </c>
      <c r="Y4841" s="1" t="s">
        <v>24</v>
      </c>
      <c r="Z4841" s="1" t="s">
        <v>24</v>
      </c>
      <c r="AA4841" s="1" t="s">
        <v>24</v>
      </c>
      <c r="AB4841" s="1" t="s">
        <v>24</v>
      </c>
      <c r="AC4841" s="1" t="s">
        <v>24</v>
      </c>
      <c r="AD4841" s="1" t="s">
        <v>24</v>
      </c>
      <c r="AE4841" s="1" t="s">
        <v>24</v>
      </c>
      <c r="AF4841" s="22"/>
    </row>
    <row r="4842" spans="1:32" x14ac:dyDescent="0.2">
      <c r="A4842" s="1">
        <v>44065</v>
      </c>
      <c r="B4842" s="1" t="s">
        <v>14697</v>
      </c>
      <c r="C4842" s="5" t="s">
        <v>0</v>
      </c>
      <c r="D4842" s="1" t="s">
        <v>14698</v>
      </c>
      <c r="F4842" s="1" t="s">
        <v>60</v>
      </c>
      <c r="G4842" s="1" t="s">
        <v>61</v>
      </c>
      <c r="H4842" s="1" t="s">
        <v>30</v>
      </c>
      <c r="I4842" s="1" t="s">
        <v>112</v>
      </c>
      <c r="J4842" s="1">
        <v>0</v>
      </c>
      <c r="K4842" s="1">
        <v>0</v>
      </c>
      <c r="L4842" s="1" t="s">
        <v>31</v>
      </c>
      <c r="M4842" s="1" t="s">
        <v>18</v>
      </c>
      <c r="N4842" s="1" t="s">
        <v>18</v>
      </c>
      <c r="O4842" s="1">
        <v>3</v>
      </c>
      <c r="P4842" s="1">
        <v>7</v>
      </c>
      <c r="Q4842" s="7" t="s">
        <v>17633</v>
      </c>
      <c r="R4842" s="1" t="s">
        <v>19</v>
      </c>
      <c r="S4842" s="1" t="s">
        <v>20</v>
      </c>
      <c r="T4842" s="1" t="s">
        <v>21</v>
      </c>
      <c r="U4842" s="1" t="s">
        <v>22</v>
      </c>
      <c r="V4842" s="1" t="s">
        <v>24</v>
      </c>
      <c r="W4842" s="1" t="s">
        <v>24</v>
      </c>
      <c r="X4842" s="1">
        <v>1303</v>
      </c>
      <c r="Y4842" s="1">
        <v>1315</v>
      </c>
      <c r="Z4842" s="1" t="s">
        <v>24</v>
      </c>
      <c r="AA4842" s="1" t="s">
        <v>24</v>
      </c>
      <c r="AB4842" s="1" t="s">
        <v>24</v>
      </c>
      <c r="AC4842" s="1" t="s">
        <v>24</v>
      </c>
      <c r="AD4842" s="1" t="s">
        <v>24</v>
      </c>
      <c r="AE4842" s="1" t="s">
        <v>24</v>
      </c>
      <c r="AF4842" s="22"/>
    </row>
    <row r="4843" spans="1:32" x14ac:dyDescent="0.2">
      <c r="A4843" s="1">
        <v>44066</v>
      </c>
      <c r="B4843" s="5" t="s">
        <v>14699</v>
      </c>
      <c r="C4843" s="5" t="s">
        <v>0</v>
      </c>
      <c r="D4843" s="1" t="s">
        <v>14700</v>
      </c>
      <c r="F4843" s="1" t="s">
        <v>91</v>
      </c>
      <c r="G4843" s="1" t="s">
        <v>61</v>
      </c>
      <c r="H4843" s="1" t="s">
        <v>92</v>
      </c>
      <c r="I4843" s="1" t="s">
        <v>112</v>
      </c>
      <c r="J4843" s="5">
        <v>1</v>
      </c>
      <c r="K4843" s="1">
        <v>0</v>
      </c>
      <c r="L4843" s="1" t="s">
        <v>31</v>
      </c>
      <c r="M4843" s="1" t="s">
        <v>18</v>
      </c>
      <c r="N4843" s="5" t="s">
        <v>18</v>
      </c>
      <c r="O4843" s="5">
        <v>3</v>
      </c>
      <c r="P4843" s="5">
        <v>7</v>
      </c>
      <c r="Q4843" s="7" t="s">
        <v>17633</v>
      </c>
      <c r="R4843" s="5" t="s">
        <v>19</v>
      </c>
      <c r="S4843" s="5" t="s">
        <v>20</v>
      </c>
      <c r="T4843" s="5" t="s">
        <v>21</v>
      </c>
      <c r="U4843" s="5"/>
      <c r="V4843" s="5"/>
      <c r="W4843" s="5"/>
      <c r="X4843" s="5">
        <v>1312</v>
      </c>
      <c r="Y4843" s="5">
        <v>1313</v>
      </c>
      <c r="AF4843" s="22" t="s">
        <v>17679</v>
      </c>
    </row>
    <row r="4844" spans="1:32" x14ac:dyDescent="0.2">
      <c r="A4844" s="1">
        <v>44173</v>
      </c>
      <c r="B4844" s="1" t="s">
        <v>14701</v>
      </c>
      <c r="C4844" s="5" t="s">
        <v>0</v>
      </c>
      <c r="D4844" s="1" t="s">
        <v>14702</v>
      </c>
      <c r="F4844" s="1" t="s">
        <v>9179</v>
      </c>
      <c r="G4844" s="1" t="s">
        <v>9179</v>
      </c>
      <c r="H4844" s="1" t="s">
        <v>30</v>
      </c>
      <c r="I4844" s="1" t="s">
        <v>16</v>
      </c>
      <c r="J4844" s="1">
        <v>1</v>
      </c>
      <c r="K4844" s="1">
        <v>6</v>
      </c>
      <c r="L4844" s="1" t="s">
        <v>42</v>
      </c>
      <c r="M4844" s="1" t="s">
        <v>18</v>
      </c>
      <c r="N4844" s="1" t="s">
        <v>18</v>
      </c>
      <c r="O4844" s="1">
        <v>1</v>
      </c>
      <c r="P4844" s="1">
        <v>5</v>
      </c>
      <c r="R4844" s="1" t="s">
        <v>19</v>
      </c>
      <c r="S4844" s="1" t="s">
        <v>20</v>
      </c>
      <c r="T4844" s="1" t="s">
        <v>21</v>
      </c>
      <c r="U4844" s="1" t="s">
        <v>22</v>
      </c>
      <c r="V4844" s="1" t="s">
        <v>24</v>
      </c>
      <c r="W4844" s="1" t="s">
        <v>24</v>
      </c>
      <c r="X4844" s="1">
        <v>3003</v>
      </c>
      <c r="Y4844" s="1">
        <v>2719</v>
      </c>
      <c r="Z4844" s="1" t="s">
        <v>24</v>
      </c>
      <c r="AA4844" s="1" t="s">
        <v>24</v>
      </c>
      <c r="AB4844" s="1" t="s">
        <v>24</v>
      </c>
      <c r="AC4844" s="1" t="s">
        <v>24</v>
      </c>
      <c r="AD4844" s="1" t="s">
        <v>24</v>
      </c>
      <c r="AE4844" s="1" t="s">
        <v>24</v>
      </c>
      <c r="AF4844" s="22"/>
    </row>
    <row r="4845" spans="1:32" x14ac:dyDescent="0.2">
      <c r="A4845" s="1">
        <v>44207</v>
      </c>
      <c r="B4845" s="1" t="s">
        <v>14703</v>
      </c>
      <c r="C4845" s="5" t="s">
        <v>0</v>
      </c>
      <c r="D4845" s="1" t="s">
        <v>14704</v>
      </c>
      <c r="E4845" s="1" t="s">
        <v>14705</v>
      </c>
      <c r="F4845" s="1" t="s">
        <v>14706</v>
      </c>
      <c r="G4845" s="1" t="s">
        <v>14707</v>
      </c>
      <c r="H4845" s="1" t="s">
        <v>69</v>
      </c>
      <c r="I4845" s="1" t="s">
        <v>16</v>
      </c>
      <c r="J4845" s="1">
        <v>1</v>
      </c>
      <c r="K4845" s="1">
        <v>4</v>
      </c>
      <c r="L4845" s="1" t="s">
        <v>42</v>
      </c>
      <c r="M4845" s="1" t="s">
        <v>18</v>
      </c>
      <c r="N4845" s="1" t="s">
        <v>18</v>
      </c>
      <c r="O4845" s="1">
        <v>1</v>
      </c>
      <c r="P4845" s="1">
        <v>1</v>
      </c>
      <c r="R4845" s="1" t="s">
        <v>19</v>
      </c>
      <c r="S4845" s="1" t="s">
        <v>20</v>
      </c>
      <c r="T4845" s="1" t="s">
        <v>21</v>
      </c>
      <c r="U4845" s="1" t="s">
        <v>22</v>
      </c>
      <c r="V4845" s="1" t="s">
        <v>24</v>
      </c>
      <c r="W4845" s="1" t="s">
        <v>24</v>
      </c>
      <c r="X4845" s="1">
        <v>3000</v>
      </c>
      <c r="Y4845" s="1" t="s">
        <v>24</v>
      </c>
      <c r="Z4845" s="1" t="s">
        <v>24</v>
      </c>
      <c r="AA4845" s="1" t="s">
        <v>24</v>
      </c>
      <c r="AB4845" s="1" t="s">
        <v>24</v>
      </c>
      <c r="AC4845" s="1" t="s">
        <v>24</v>
      </c>
      <c r="AD4845" s="1" t="s">
        <v>24</v>
      </c>
      <c r="AE4845" s="1" t="s">
        <v>24</v>
      </c>
      <c r="AF4845" s="22"/>
    </row>
    <row r="4846" spans="1:32" x14ac:dyDescent="0.2">
      <c r="A4846" s="1">
        <v>44249</v>
      </c>
      <c r="B4846" s="1" t="s">
        <v>14708</v>
      </c>
      <c r="C4846" s="5" t="s">
        <v>0</v>
      </c>
      <c r="D4846" s="1" t="s">
        <v>14709</v>
      </c>
      <c r="E4846" s="1" t="s">
        <v>14710</v>
      </c>
      <c r="F4846" s="1" t="s">
        <v>2159</v>
      </c>
      <c r="G4846" s="1" t="s">
        <v>2160</v>
      </c>
      <c r="H4846" s="1" t="s">
        <v>30</v>
      </c>
      <c r="I4846" s="1" t="s">
        <v>16</v>
      </c>
      <c r="J4846" s="1">
        <v>1</v>
      </c>
      <c r="K4846" s="1">
        <v>4</v>
      </c>
      <c r="L4846" s="1" t="s">
        <v>31</v>
      </c>
      <c r="M4846" s="1" t="s">
        <v>18</v>
      </c>
      <c r="N4846" s="1" t="s">
        <v>18</v>
      </c>
      <c r="O4846" s="1">
        <v>3</v>
      </c>
      <c r="P4846" s="1">
        <v>6</v>
      </c>
      <c r="R4846" s="1" t="s">
        <v>19</v>
      </c>
      <c r="S4846" s="1" t="s">
        <v>63</v>
      </c>
      <c r="T4846" s="1" t="s">
        <v>21</v>
      </c>
      <c r="U4846" s="1" t="s">
        <v>22</v>
      </c>
      <c r="V4846" s="1" t="s">
        <v>24</v>
      </c>
      <c r="W4846" s="1" t="s">
        <v>24</v>
      </c>
      <c r="X4846" s="1">
        <v>2208</v>
      </c>
      <c r="Y4846" s="1">
        <v>2500</v>
      </c>
      <c r="Z4846" s="1">
        <v>2700</v>
      </c>
      <c r="AA4846" s="1" t="s">
        <v>24</v>
      </c>
      <c r="AB4846" s="1" t="s">
        <v>24</v>
      </c>
      <c r="AC4846" s="1" t="s">
        <v>24</v>
      </c>
      <c r="AD4846" s="1" t="s">
        <v>24</v>
      </c>
      <c r="AE4846" s="1" t="s">
        <v>24</v>
      </c>
      <c r="AF4846" s="22"/>
    </row>
    <row r="4847" spans="1:32" x14ac:dyDescent="0.2">
      <c r="A4847" s="1">
        <v>44272</v>
      </c>
      <c r="B4847" s="1" t="s">
        <v>14711</v>
      </c>
      <c r="C4847" s="5" t="s">
        <v>0</v>
      </c>
      <c r="D4847" s="1" t="s">
        <v>14712</v>
      </c>
      <c r="E4847" s="1" t="s">
        <v>14713</v>
      </c>
      <c r="F4847" s="1" t="s">
        <v>155</v>
      </c>
      <c r="G4847" s="1" t="s">
        <v>61</v>
      </c>
      <c r="H4847" s="1" t="s">
        <v>37</v>
      </c>
      <c r="I4847" s="1" t="s">
        <v>16</v>
      </c>
      <c r="J4847" s="1">
        <v>1</v>
      </c>
      <c r="K4847" s="1">
        <v>4</v>
      </c>
      <c r="L4847" s="1" t="s">
        <v>31</v>
      </c>
      <c r="M4847" s="1" t="s">
        <v>18</v>
      </c>
      <c r="N4847" s="1" t="s">
        <v>18</v>
      </c>
      <c r="O4847" s="1">
        <v>3</v>
      </c>
      <c r="P4847" s="1">
        <v>7</v>
      </c>
      <c r="Q4847" s="7" t="s">
        <v>17633</v>
      </c>
      <c r="R4847" s="1" t="s">
        <v>19</v>
      </c>
      <c r="S4847" s="1" t="s">
        <v>63</v>
      </c>
      <c r="T4847" s="1" t="s">
        <v>21</v>
      </c>
      <c r="U4847" s="1" t="s">
        <v>22</v>
      </c>
      <c r="V4847" s="1" t="s">
        <v>24</v>
      </c>
      <c r="W4847" s="1" t="s">
        <v>24</v>
      </c>
      <c r="X4847" s="1">
        <v>2805</v>
      </c>
      <c r="Y4847" s="1" t="s">
        <v>24</v>
      </c>
      <c r="Z4847" s="1" t="s">
        <v>24</v>
      </c>
      <c r="AA4847" s="1" t="s">
        <v>24</v>
      </c>
      <c r="AB4847" s="1" t="s">
        <v>24</v>
      </c>
      <c r="AC4847" s="1" t="s">
        <v>24</v>
      </c>
      <c r="AD4847" s="1" t="s">
        <v>24</v>
      </c>
      <c r="AE4847" s="1" t="s">
        <v>24</v>
      </c>
      <c r="AF4847" s="22"/>
    </row>
    <row r="4848" spans="1:32" x14ac:dyDescent="0.2">
      <c r="A4848" s="1">
        <v>44274</v>
      </c>
      <c r="B4848" s="1" t="s">
        <v>14714</v>
      </c>
      <c r="C4848" s="5" t="s">
        <v>0</v>
      </c>
      <c r="D4848" s="1" t="s">
        <v>14715</v>
      </c>
      <c r="E4848" s="1" t="s">
        <v>14716</v>
      </c>
      <c r="F4848" s="1" t="s">
        <v>4616</v>
      </c>
      <c r="G4848" s="1" t="s">
        <v>80</v>
      </c>
      <c r="H4848" s="1" t="s">
        <v>30</v>
      </c>
      <c r="I4848" s="1" t="s">
        <v>16</v>
      </c>
      <c r="J4848" s="1">
        <v>1</v>
      </c>
      <c r="K4848" s="1">
        <v>4</v>
      </c>
      <c r="L4848" s="1" t="s">
        <v>31</v>
      </c>
      <c r="M4848" s="1" t="s">
        <v>18</v>
      </c>
      <c r="N4848" s="1" t="s">
        <v>18</v>
      </c>
      <c r="O4848" s="1">
        <v>3</v>
      </c>
      <c r="P4848" s="1">
        <v>7</v>
      </c>
      <c r="Q4848" s="7" t="s">
        <v>17633</v>
      </c>
      <c r="R4848" s="1" t="s">
        <v>19</v>
      </c>
      <c r="S4848" s="1" t="s">
        <v>20</v>
      </c>
      <c r="T4848" s="1" t="s">
        <v>21</v>
      </c>
      <c r="U4848" s="1" t="s">
        <v>22</v>
      </c>
      <c r="V4848" s="1" t="s">
        <v>23</v>
      </c>
      <c r="W4848" s="1" t="s">
        <v>24</v>
      </c>
      <c r="X4848" s="1">
        <v>2909</v>
      </c>
      <c r="Y4848" s="1">
        <v>2717</v>
      </c>
      <c r="Z4848" s="1" t="s">
        <v>24</v>
      </c>
      <c r="AA4848" s="1" t="s">
        <v>24</v>
      </c>
      <c r="AB4848" s="1" t="s">
        <v>24</v>
      </c>
      <c r="AC4848" s="1" t="s">
        <v>24</v>
      </c>
      <c r="AD4848" s="1" t="s">
        <v>24</v>
      </c>
      <c r="AE4848" s="1" t="s">
        <v>24</v>
      </c>
      <c r="AF4848" s="22"/>
    </row>
    <row r="4849" spans="1:32" x14ac:dyDescent="0.2">
      <c r="A4849" s="1">
        <v>44275</v>
      </c>
      <c r="B4849" s="1" t="s">
        <v>14717</v>
      </c>
      <c r="C4849" s="5" t="s">
        <v>0</v>
      </c>
      <c r="D4849" s="1" t="s">
        <v>14718</v>
      </c>
      <c r="E4849" s="1" t="s">
        <v>14719</v>
      </c>
      <c r="F4849" s="1" t="s">
        <v>1683</v>
      </c>
      <c r="G4849" s="1" t="s">
        <v>61</v>
      </c>
      <c r="H4849" s="1" t="s">
        <v>116</v>
      </c>
      <c r="I4849" s="1" t="s">
        <v>16</v>
      </c>
      <c r="J4849" s="1">
        <v>1</v>
      </c>
      <c r="K4849" s="1">
        <v>2</v>
      </c>
      <c r="L4849" s="1" t="s">
        <v>31</v>
      </c>
      <c r="M4849" s="1" t="s">
        <v>117</v>
      </c>
      <c r="N4849" s="1" t="s">
        <v>226</v>
      </c>
      <c r="O4849" s="1">
        <v>3</v>
      </c>
      <c r="P4849" s="1">
        <v>6</v>
      </c>
      <c r="R4849" s="1" t="s">
        <v>19</v>
      </c>
      <c r="S4849" s="1" t="s">
        <v>20</v>
      </c>
      <c r="T4849" s="1" t="s">
        <v>21</v>
      </c>
      <c r="U4849" s="1" t="s">
        <v>22</v>
      </c>
      <c r="V4849" s="1" t="s">
        <v>24</v>
      </c>
      <c r="W4849" s="1" t="s">
        <v>24</v>
      </c>
      <c r="X4849" s="1">
        <v>2741</v>
      </c>
      <c r="Y4849" s="1">
        <v>3614</v>
      </c>
      <c r="Z4849" s="1" t="s">
        <v>24</v>
      </c>
      <c r="AA4849" s="1" t="s">
        <v>24</v>
      </c>
      <c r="AB4849" s="1" t="s">
        <v>24</v>
      </c>
      <c r="AC4849" s="1" t="s">
        <v>24</v>
      </c>
      <c r="AD4849" s="1" t="s">
        <v>24</v>
      </c>
      <c r="AE4849" s="1" t="s">
        <v>24</v>
      </c>
      <c r="AF4849" s="22"/>
    </row>
    <row r="4850" spans="1:32" x14ac:dyDescent="0.2">
      <c r="A4850" s="1">
        <v>44276</v>
      </c>
      <c r="B4850" s="1" t="s">
        <v>14720</v>
      </c>
      <c r="C4850" s="5" t="s">
        <v>0</v>
      </c>
      <c r="D4850" s="1" t="s">
        <v>14721</v>
      </c>
      <c r="F4850" s="1" t="s">
        <v>1683</v>
      </c>
      <c r="G4850" s="1" t="s">
        <v>61</v>
      </c>
      <c r="H4850" s="1" t="s">
        <v>116</v>
      </c>
      <c r="I4850" s="1" t="s">
        <v>16</v>
      </c>
      <c r="J4850" s="1">
        <v>1</v>
      </c>
      <c r="K4850" s="1">
        <v>4</v>
      </c>
      <c r="L4850" s="1" t="s">
        <v>31</v>
      </c>
      <c r="M4850" s="1" t="s">
        <v>117</v>
      </c>
      <c r="N4850" s="1" t="s">
        <v>226</v>
      </c>
      <c r="O4850" s="1">
        <v>3</v>
      </c>
      <c r="P4850" s="1">
        <v>6</v>
      </c>
      <c r="R4850" s="1" t="s">
        <v>19</v>
      </c>
      <c r="S4850" s="1" t="s">
        <v>20</v>
      </c>
      <c r="T4850" s="1" t="s">
        <v>21</v>
      </c>
      <c r="U4850" s="1" t="s">
        <v>22</v>
      </c>
      <c r="V4850" s="1" t="s">
        <v>24</v>
      </c>
      <c r="W4850" s="1" t="s">
        <v>24</v>
      </c>
      <c r="X4850" s="1">
        <v>2808</v>
      </c>
      <c r="Y4850" s="1">
        <v>2728</v>
      </c>
      <c r="Z4850" s="1" t="s">
        <v>24</v>
      </c>
      <c r="AA4850" s="1" t="s">
        <v>24</v>
      </c>
      <c r="AB4850" s="1" t="s">
        <v>24</v>
      </c>
      <c r="AC4850" s="1" t="s">
        <v>24</v>
      </c>
      <c r="AD4850" s="1" t="s">
        <v>24</v>
      </c>
      <c r="AE4850" s="1" t="s">
        <v>24</v>
      </c>
      <c r="AF4850" s="22"/>
    </row>
    <row r="4851" spans="1:32" x14ac:dyDescent="0.2">
      <c r="A4851" s="1">
        <v>44661</v>
      </c>
      <c r="B4851" s="1" t="s">
        <v>14722</v>
      </c>
      <c r="C4851" s="5" t="s">
        <v>0</v>
      </c>
      <c r="E4851" s="1" t="s">
        <v>14723</v>
      </c>
      <c r="F4851" s="1" t="s">
        <v>11079</v>
      </c>
      <c r="G4851" s="1" t="s">
        <v>11079</v>
      </c>
      <c r="H4851" s="1" t="s">
        <v>3228</v>
      </c>
      <c r="I4851" s="1" t="s">
        <v>16</v>
      </c>
      <c r="J4851" s="1">
        <v>1</v>
      </c>
      <c r="K4851" s="1">
        <v>1</v>
      </c>
      <c r="L4851" s="1" t="s">
        <v>42</v>
      </c>
      <c r="M4851" s="1" t="s">
        <v>18</v>
      </c>
      <c r="N4851" s="1" t="s">
        <v>18</v>
      </c>
      <c r="O4851" s="1">
        <v>1</v>
      </c>
      <c r="P4851" s="1">
        <v>1</v>
      </c>
      <c r="R4851" s="1" t="s">
        <v>19</v>
      </c>
      <c r="S4851" s="1" t="s">
        <v>63</v>
      </c>
      <c r="T4851" s="1" t="s">
        <v>21</v>
      </c>
      <c r="U4851" s="1" t="s">
        <v>22</v>
      </c>
      <c r="V4851" s="1" t="s">
        <v>24</v>
      </c>
      <c r="W4851" s="1" t="s">
        <v>24</v>
      </c>
      <c r="X4851" s="1">
        <v>1307</v>
      </c>
      <c r="Y4851" s="1">
        <v>1315</v>
      </c>
      <c r="Z4851" s="1">
        <v>2722</v>
      </c>
      <c r="AA4851" s="1">
        <v>1303</v>
      </c>
      <c r="AB4851" s="1" t="s">
        <v>24</v>
      </c>
      <c r="AC4851" s="1" t="s">
        <v>24</v>
      </c>
      <c r="AD4851" s="1" t="s">
        <v>24</v>
      </c>
      <c r="AE4851" s="1" t="s">
        <v>24</v>
      </c>
      <c r="AF4851" s="22"/>
    </row>
    <row r="4852" spans="1:32" x14ac:dyDescent="0.2">
      <c r="A4852" s="1">
        <v>44662</v>
      </c>
      <c r="B4852" s="1" t="s">
        <v>14724</v>
      </c>
      <c r="C4852" s="5" t="s">
        <v>0</v>
      </c>
      <c r="D4852" s="1" t="s">
        <v>14725</v>
      </c>
      <c r="E4852" s="1" t="s">
        <v>14726</v>
      </c>
      <c r="F4852" s="1" t="s">
        <v>4502</v>
      </c>
      <c r="G4852" s="1" t="s">
        <v>4502</v>
      </c>
      <c r="H4852" s="1" t="s">
        <v>184</v>
      </c>
      <c r="I4852" s="1" t="s">
        <v>16</v>
      </c>
      <c r="J4852" s="1">
        <v>1</v>
      </c>
      <c r="K4852" s="1">
        <v>4</v>
      </c>
      <c r="L4852" s="1" t="s">
        <v>42</v>
      </c>
      <c r="M4852" s="1" t="s">
        <v>18</v>
      </c>
      <c r="N4852" s="1" t="s">
        <v>18</v>
      </c>
      <c r="O4852" s="1">
        <v>1</v>
      </c>
      <c r="P4852" s="1">
        <v>1</v>
      </c>
      <c r="R4852" s="1" t="s">
        <v>19</v>
      </c>
      <c r="S4852" s="1" t="s">
        <v>20</v>
      </c>
      <c r="T4852" s="1" t="s">
        <v>21</v>
      </c>
      <c r="U4852" s="1" t="s">
        <v>22</v>
      </c>
      <c r="V4852" s="1" t="s">
        <v>24</v>
      </c>
      <c r="W4852" s="1" t="s">
        <v>24</v>
      </c>
      <c r="X4852" s="1">
        <v>2740</v>
      </c>
      <c r="Y4852" s="1" t="s">
        <v>24</v>
      </c>
      <c r="Z4852" s="1" t="s">
        <v>24</v>
      </c>
      <c r="AA4852" s="1" t="s">
        <v>24</v>
      </c>
      <c r="AB4852" s="1" t="s">
        <v>24</v>
      </c>
      <c r="AC4852" s="1" t="s">
        <v>24</v>
      </c>
      <c r="AD4852" s="1" t="s">
        <v>24</v>
      </c>
      <c r="AE4852" s="1" t="s">
        <v>24</v>
      </c>
      <c r="AF4852" s="22" t="s">
        <v>17671</v>
      </c>
    </row>
    <row r="4853" spans="1:32" x14ac:dyDescent="0.2">
      <c r="A4853" s="1">
        <v>44675</v>
      </c>
      <c r="B4853" s="1" t="s">
        <v>14727</v>
      </c>
      <c r="C4853" s="5" t="s">
        <v>0</v>
      </c>
      <c r="E4853" s="1" t="s">
        <v>14728</v>
      </c>
      <c r="F4853" s="1" t="s">
        <v>2299</v>
      </c>
      <c r="G4853" s="1" t="s">
        <v>2300</v>
      </c>
      <c r="H4853" s="1" t="s">
        <v>37</v>
      </c>
      <c r="I4853" s="1" t="s">
        <v>16</v>
      </c>
      <c r="J4853" s="1">
        <v>1</v>
      </c>
      <c r="K4853" s="1">
        <v>1</v>
      </c>
      <c r="L4853" s="1" t="s">
        <v>31</v>
      </c>
      <c r="M4853" s="1" t="s">
        <v>18</v>
      </c>
      <c r="N4853" s="1" t="s">
        <v>18</v>
      </c>
      <c r="O4853" s="1">
        <v>1</v>
      </c>
      <c r="P4853" s="1">
        <v>1</v>
      </c>
      <c r="R4853" s="1" t="s">
        <v>19</v>
      </c>
      <c r="S4853" s="1" t="s">
        <v>20</v>
      </c>
      <c r="T4853" s="1" t="s">
        <v>21</v>
      </c>
      <c r="U4853" s="1" t="s">
        <v>22</v>
      </c>
      <c r="V4853" s="1" t="s">
        <v>24</v>
      </c>
      <c r="W4853" s="1" t="s">
        <v>24</v>
      </c>
      <c r="X4853" s="1">
        <v>2732</v>
      </c>
      <c r="Y4853" s="1">
        <v>2742</v>
      </c>
      <c r="Z4853" s="1">
        <v>3612</v>
      </c>
      <c r="AA4853" s="1" t="s">
        <v>24</v>
      </c>
      <c r="AB4853" s="1" t="s">
        <v>24</v>
      </c>
      <c r="AC4853" s="1" t="s">
        <v>24</v>
      </c>
      <c r="AD4853" s="1" t="s">
        <v>24</v>
      </c>
      <c r="AE4853" s="1" t="s">
        <v>24</v>
      </c>
      <c r="AF4853" s="22"/>
    </row>
    <row r="4854" spans="1:32" x14ac:dyDescent="0.2">
      <c r="A4854" s="1">
        <v>44676</v>
      </c>
      <c r="B4854" s="1" t="s">
        <v>14729</v>
      </c>
      <c r="C4854" s="5" t="s">
        <v>0</v>
      </c>
      <c r="E4854" s="1" t="s">
        <v>14730</v>
      </c>
      <c r="F4854" s="1" t="s">
        <v>2299</v>
      </c>
      <c r="G4854" s="1" t="s">
        <v>2300</v>
      </c>
      <c r="H4854" s="1" t="s">
        <v>37</v>
      </c>
      <c r="I4854" s="1" t="s">
        <v>16</v>
      </c>
      <c r="J4854" s="1">
        <v>1</v>
      </c>
      <c r="K4854" s="1">
        <v>1</v>
      </c>
      <c r="L4854" s="1" t="s">
        <v>31</v>
      </c>
      <c r="M4854" s="1" t="s">
        <v>18</v>
      </c>
      <c r="N4854" s="1" t="s">
        <v>18</v>
      </c>
      <c r="O4854" s="1">
        <v>1</v>
      </c>
      <c r="P4854" s="1">
        <v>1</v>
      </c>
      <c r="R4854" s="1" t="s">
        <v>19</v>
      </c>
      <c r="S4854" s="1" t="s">
        <v>20</v>
      </c>
      <c r="T4854" s="1" t="s">
        <v>21</v>
      </c>
      <c r="U4854" s="1" t="s">
        <v>22</v>
      </c>
      <c r="V4854" s="1" t="s">
        <v>24</v>
      </c>
      <c r="W4854" s="1" t="s">
        <v>24</v>
      </c>
      <c r="X4854" s="1">
        <v>2701</v>
      </c>
      <c r="Y4854" s="1">
        <v>2708</v>
      </c>
      <c r="Z4854" s="1">
        <v>2715</v>
      </c>
      <c r="AA4854" s="1">
        <v>2721</v>
      </c>
      <c r="AB4854" s="1">
        <v>2745</v>
      </c>
      <c r="AC4854" s="1" t="s">
        <v>24</v>
      </c>
      <c r="AD4854" s="1" t="s">
        <v>24</v>
      </c>
      <c r="AE4854" s="1" t="s">
        <v>24</v>
      </c>
      <c r="AF4854" s="22"/>
    </row>
    <row r="4855" spans="1:32" x14ac:dyDescent="0.2">
      <c r="A4855" s="1">
        <v>44677</v>
      </c>
      <c r="B4855" s="1" t="s">
        <v>14731</v>
      </c>
      <c r="C4855" s="5" t="s">
        <v>0</v>
      </c>
      <c r="E4855" s="1" t="s">
        <v>14732</v>
      </c>
      <c r="F4855" s="1" t="s">
        <v>2299</v>
      </c>
      <c r="G4855" s="1" t="s">
        <v>2300</v>
      </c>
      <c r="H4855" s="1" t="s">
        <v>37</v>
      </c>
      <c r="I4855" s="1" t="s">
        <v>16</v>
      </c>
      <c r="J4855" s="1">
        <v>1</v>
      </c>
      <c r="K4855" s="1">
        <v>1</v>
      </c>
      <c r="L4855" s="1" t="s">
        <v>31</v>
      </c>
      <c r="M4855" s="1" t="s">
        <v>18</v>
      </c>
      <c r="N4855" s="1" t="s">
        <v>18</v>
      </c>
      <c r="O4855" s="1">
        <v>1</v>
      </c>
      <c r="P4855" s="1">
        <v>1</v>
      </c>
      <c r="R4855" s="1" t="s">
        <v>19</v>
      </c>
      <c r="S4855" s="1" t="s">
        <v>63</v>
      </c>
      <c r="T4855" s="1" t="s">
        <v>21</v>
      </c>
      <c r="U4855" s="1" t="s">
        <v>22</v>
      </c>
      <c r="V4855" s="1" t="s">
        <v>24</v>
      </c>
      <c r="W4855" s="1" t="s">
        <v>24</v>
      </c>
      <c r="X4855" s="1">
        <v>2746</v>
      </c>
      <c r="Y4855" s="1">
        <v>2732</v>
      </c>
      <c r="Z4855" s="1">
        <v>2703</v>
      </c>
      <c r="AA4855" s="1" t="s">
        <v>24</v>
      </c>
      <c r="AB4855" s="1" t="s">
        <v>24</v>
      </c>
      <c r="AC4855" s="1" t="s">
        <v>24</v>
      </c>
      <c r="AD4855" s="1" t="s">
        <v>24</v>
      </c>
      <c r="AE4855" s="1" t="s">
        <v>24</v>
      </c>
      <c r="AF4855" s="22"/>
    </row>
    <row r="4856" spans="1:32" x14ac:dyDescent="0.2">
      <c r="A4856" s="1" t="s">
        <v>17656</v>
      </c>
      <c r="B4856" s="5" t="s">
        <v>17657</v>
      </c>
      <c r="C4856" s="5" t="s">
        <v>50553</v>
      </c>
      <c r="D4856" s="1" t="s">
        <v>17660</v>
      </c>
      <c r="F4856" s="1" t="s">
        <v>91</v>
      </c>
      <c r="G4856" s="1" t="s">
        <v>61</v>
      </c>
      <c r="H4856" s="1" t="s">
        <v>92</v>
      </c>
      <c r="I4856" s="1" t="s">
        <v>16</v>
      </c>
      <c r="J4856" s="1">
        <v>1</v>
      </c>
      <c r="K4856" s="1">
        <v>4</v>
      </c>
      <c r="L4856" s="1" t="s">
        <v>31</v>
      </c>
      <c r="M4856" s="5" t="s">
        <v>18</v>
      </c>
      <c r="N4856" s="1" t="s">
        <v>18</v>
      </c>
      <c r="O4856" s="1">
        <v>3</v>
      </c>
      <c r="P4856" s="1">
        <v>7</v>
      </c>
      <c r="Q4856" s="1" t="s">
        <v>17633</v>
      </c>
      <c r="R4856" s="1" t="s">
        <v>19</v>
      </c>
      <c r="S4856" s="1" t="s">
        <v>20</v>
      </c>
      <c r="T4856" s="1" t="s">
        <v>21</v>
      </c>
      <c r="U4856" s="1" t="s">
        <v>22</v>
      </c>
      <c r="V4856" s="1" t="s">
        <v>23</v>
      </c>
      <c r="X4856" s="5">
        <v>1305</v>
      </c>
      <c r="Y4856" s="1">
        <v>1110</v>
      </c>
      <c r="Z4856" s="1">
        <v>2707</v>
      </c>
      <c r="AA4856" s="1">
        <v>1301</v>
      </c>
      <c r="AF4856" s="22"/>
    </row>
    <row r="4857" spans="1:32" x14ac:dyDescent="0.2">
      <c r="A4857" s="1">
        <v>44810</v>
      </c>
      <c r="B4857" s="1" t="s">
        <v>14733</v>
      </c>
      <c r="C4857" s="5" t="s">
        <v>0</v>
      </c>
      <c r="E4857" s="1" t="s">
        <v>14734</v>
      </c>
      <c r="F4857" s="1" t="s">
        <v>315</v>
      </c>
      <c r="G4857" s="1" t="s">
        <v>316</v>
      </c>
      <c r="H4857" s="1" t="s">
        <v>37</v>
      </c>
      <c r="I4857" s="1" t="s">
        <v>16</v>
      </c>
      <c r="J4857" s="1">
        <v>1</v>
      </c>
      <c r="K4857" s="1">
        <v>1</v>
      </c>
      <c r="L4857" s="1" t="s">
        <v>31</v>
      </c>
      <c r="M4857" s="1" t="s">
        <v>18</v>
      </c>
      <c r="N4857" s="1" t="s">
        <v>18</v>
      </c>
      <c r="O4857" s="1">
        <v>1</v>
      </c>
      <c r="P4857" s="1">
        <v>1</v>
      </c>
      <c r="R4857" s="1" t="s">
        <v>19</v>
      </c>
      <c r="S4857" s="1" t="s">
        <v>63</v>
      </c>
      <c r="T4857" s="1" t="s">
        <v>21</v>
      </c>
      <c r="U4857" s="1" t="s">
        <v>22</v>
      </c>
      <c r="V4857" s="1" t="s">
        <v>24</v>
      </c>
      <c r="W4857" s="1" t="s">
        <v>24</v>
      </c>
      <c r="X4857" s="1">
        <v>1300</v>
      </c>
      <c r="Y4857" s="1">
        <v>1600</v>
      </c>
      <c r="Z4857" s="1">
        <v>3100</v>
      </c>
      <c r="AA4857" s="1" t="s">
        <v>24</v>
      </c>
      <c r="AB4857" s="1" t="s">
        <v>24</v>
      </c>
      <c r="AC4857" s="1" t="s">
        <v>24</v>
      </c>
      <c r="AD4857" s="1" t="s">
        <v>24</v>
      </c>
      <c r="AE4857" s="1" t="s">
        <v>24</v>
      </c>
      <c r="AF4857" s="22"/>
    </row>
    <row r="4858" spans="1:32" x14ac:dyDescent="0.2">
      <c r="A4858" s="1">
        <v>44838</v>
      </c>
      <c r="B4858" s="1" t="s">
        <v>14735</v>
      </c>
      <c r="C4858" s="5" t="s">
        <v>0</v>
      </c>
      <c r="D4858" s="1" t="s">
        <v>14736</v>
      </c>
      <c r="F4858" s="1" t="s">
        <v>91</v>
      </c>
      <c r="G4858" s="1" t="s">
        <v>61</v>
      </c>
      <c r="H4858" s="1" t="s">
        <v>92</v>
      </c>
      <c r="I4858" s="1" t="s">
        <v>16</v>
      </c>
      <c r="J4858" s="1">
        <v>1</v>
      </c>
      <c r="K4858" s="1">
        <v>4</v>
      </c>
      <c r="L4858" s="1" t="s">
        <v>31</v>
      </c>
      <c r="M4858" s="1" t="s">
        <v>18</v>
      </c>
      <c r="N4858" s="1" t="s">
        <v>18</v>
      </c>
      <c r="O4858" s="1">
        <v>3</v>
      </c>
      <c r="P4858" s="1">
        <v>7</v>
      </c>
      <c r="Q4858" s="7" t="s">
        <v>17633</v>
      </c>
      <c r="R4858" s="1" t="s">
        <v>19</v>
      </c>
      <c r="S4858" s="1" t="s">
        <v>20</v>
      </c>
      <c r="T4858" s="1" t="s">
        <v>21</v>
      </c>
      <c r="U4858" s="1" t="s">
        <v>22</v>
      </c>
      <c r="V4858" s="1" t="s">
        <v>24</v>
      </c>
      <c r="W4858" s="1" t="s">
        <v>24</v>
      </c>
      <c r="X4858" s="1">
        <v>2717</v>
      </c>
      <c r="Y4858" s="1" t="s">
        <v>24</v>
      </c>
      <c r="Z4858" s="1" t="s">
        <v>24</v>
      </c>
      <c r="AA4858" s="1" t="s">
        <v>24</v>
      </c>
      <c r="AB4858" s="1" t="s">
        <v>24</v>
      </c>
      <c r="AC4858" s="1" t="s">
        <v>24</v>
      </c>
      <c r="AD4858" s="1" t="s">
        <v>24</v>
      </c>
      <c r="AE4858" s="1" t="s">
        <v>24</v>
      </c>
      <c r="AF4858" s="22" t="s">
        <v>17679</v>
      </c>
    </row>
    <row r="4859" spans="1:32" x14ac:dyDescent="0.2">
      <c r="A4859" s="1">
        <v>44839</v>
      </c>
      <c r="B4859" s="1" t="s">
        <v>14737</v>
      </c>
      <c r="C4859" s="5" t="s">
        <v>0</v>
      </c>
      <c r="D4859" s="1" t="s">
        <v>14738</v>
      </c>
      <c r="F4859" s="1" t="s">
        <v>91</v>
      </c>
      <c r="G4859" s="1" t="s">
        <v>61</v>
      </c>
      <c r="H4859" s="1" t="s">
        <v>92</v>
      </c>
      <c r="I4859" s="1" t="s">
        <v>16</v>
      </c>
      <c r="J4859" s="1">
        <v>1</v>
      </c>
      <c r="K4859" s="1">
        <v>4</v>
      </c>
      <c r="L4859" s="1" t="s">
        <v>31</v>
      </c>
      <c r="M4859" s="1" t="s">
        <v>18</v>
      </c>
      <c r="N4859" s="1" t="s">
        <v>18</v>
      </c>
      <c r="O4859" s="1">
        <v>3</v>
      </c>
      <c r="P4859" s="1">
        <v>7</v>
      </c>
      <c r="Q4859" s="7" t="s">
        <v>17633</v>
      </c>
      <c r="R4859" s="1" t="s">
        <v>19</v>
      </c>
      <c r="S4859" s="1" t="s">
        <v>20</v>
      </c>
      <c r="T4859" s="1" t="s">
        <v>21</v>
      </c>
      <c r="U4859" s="1" t="s">
        <v>22</v>
      </c>
      <c r="V4859" s="1" t="s">
        <v>24</v>
      </c>
      <c r="W4859" s="1" t="s">
        <v>24</v>
      </c>
      <c r="X4859" s="1">
        <v>2729</v>
      </c>
      <c r="Y4859" s="1">
        <v>2724</v>
      </c>
      <c r="Z4859" s="1" t="s">
        <v>24</v>
      </c>
      <c r="AA4859" s="1" t="s">
        <v>24</v>
      </c>
      <c r="AB4859" s="1" t="s">
        <v>24</v>
      </c>
      <c r="AC4859" s="1" t="s">
        <v>24</v>
      </c>
      <c r="AD4859" s="1" t="s">
        <v>24</v>
      </c>
      <c r="AE4859" s="1" t="s">
        <v>24</v>
      </c>
      <c r="AF4859" s="22" t="s">
        <v>17679</v>
      </c>
    </row>
    <row r="4860" spans="1:32" x14ac:dyDescent="0.2">
      <c r="A4860" s="1">
        <v>44842</v>
      </c>
      <c r="B4860" s="1" t="s">
        <v>14739</v>
      </c>
      <c r="C4860" s="5" t="s">
        <v>0</v>
      </c>
      <c r="D4860" s="1" t="s">
        <v>14740</v>
      </c>
      <c r="E4860" s="1" t="s">
        <v>14741</v>
      </c>
      <c r="F4860" s="1" t="s">
        <v>91</v>
      </c>
      <c r="G4860" s="1" t="s">
        <v>61</v>
      </c>
      <c r="H4860" s="1" t="s">
        <v>92</v>
      </c>
      <c r="I4860" s="1" t="s">
        <v>16</v>
      </c>
      <c r="J4860" s="1">
        <v>1</v>
      </c>
      <c r="K4860" s="1">
        <v>4</v>
      </c>
      <c r="L4860" s="1" t="s">
        <v>31</v>
      </c>
      <c r="M4860" s="1" t="s">
        <v>18</v>
      </c>
      <c r="N4860" s="1" t="s">
        <v>18</v>
      </c>
      <c r="O4860" s="1">
        <v>3</v>
      </c>
      <c r="P4860" s="1">
        <v>7</v>
      </c>
      <c r="Q4860" s="7" t="s">
        <v>17633</v>
      </c>
      <c r="R4860" s="1" t="s">
        <v>19</v>
      </c>
      <c r="S4860" s="1" t="s">
        <v>20</v>
      </c>
      <c r="T4860" s="1" t="s">
        <v>21</v>
      </c>
      <c r="U4860" s="1" t="s">
        <v>22</v>
      </c>
      <c r="V4860" s="1" t="s">
        <v>24</v>
      </c>
      <c r="W4860" s="1" t="s">
        <v>24</v>
      </c>
      <c r="X4860" s="1">
        <v>2741</v>
      </c>
      <c r="Y4860" s="1" t="s">
        <v>24</v>
      </c>
      <c r="Z4860" s="1" t="s">
        <v>24</v>
      </c>
      <c r="AA4860" s="1" t="s">
        <v>24</v>
      </c>
      <c r="AB4860" s="1" t="s">
        <v>24</v>
      </c>
      <c r="AC4860" s="1" t="s">
        <v>24</v>
      </c>
      <c r="AD4860" s="1" t="s">
        <v>24</v>
      </c>
      <c r="AE4860" s="1" t="s">
        <v>24</v>
      </c>
      <c r="AF4860" s="22"/>
    </row>
    <row r="4861" spans="1:32" x14ac:dyDescent="0.2">
      <c r="A4861" s="1">
        <v>45001</v>
      </c>
      <c r="B4861" s="1" t="s">
        <v>14742</v>
      </c>
      <c r="C4861" s="5" t="s">
        <v>0</v>
      </c>
      <c r="D4861" s="1" t="s">
        <v>14743</v>
      </c>
      <c r="E4861" s="1" t="s">
        <v>14744</v>
      </c>
      <c r="F4861" s="1" t="s">
        <v>13947</v>
      </c>
      <c r="G4861" s="1" t="s">
        <v>13947</v>
      </c>
      <c r="H4861" s="1" t="s">
        <v>30</v>
      </c>
      <c r="I4861" s="1" t="s">
        <v>16</v>
      </c>
      <c r="J4861" s="1">
        <v>1</v>
      </c>
      <c r="K4861" s="1">
        <v>12</v>
      </c>
      <c r="L4861" s="1" t="s">
        <v>42</v>
      </c>
      <c r="M4861" s="1" t="s">
        <v>18</v>
      </c>
      <c r="N4861" s="1" t="s">
        <v>18</v>
      </c>
      <c r="O4861" s="1">
        <v>3</v>
      </c>
      <c r="P4861" s="1">
        <v>6</v>
      </c>
      <c r="R4861" s="1" t="s">
        <v>19</v>
      </c>
      <c r="S4861" s="1" t="s">
        <v>20</v>
      </c>
      <c r="T4861" s="1" t="s">
        <v>21</v>
      </c>
      <c r="U4861" s="1" t="s">
        <v>22</v>
      </c>
      <c r="V4861" s="1" t="s">
        <v>24</v>
      </c>
      <c r="W4861" s="1" t="s">
        <v>24</v>
      </c>
      <c r="X4861" s="1">
        <v>2738</v>
      </c>
      <c r="Y4861" s="1">
        <v>2728</v>
      </c>
      <c r="Z4861" s="1" t="s">
        <v>24</v>
      </c>
      <c r="AA4861" s="1" t="s">
        <v>24</v>
      </c>
      <c r="AB4861" s="1" t="s">
        <v>24</v>
      </c>
      <c r="AC4861" s="1" t="s">
        <v>24</v>
      </c>
      <c r="AD4861" s="1" t="s">
        <v>24</v>
      </c>
      <c r="AE4861" s="1" t="s">
        <v>24</v>
      </c>
      <c r="AF4861" s="22"/>
    </row>
    <row r="4862" spans="1:32" x14ac:dyDescent="0.2">
      <c r="A4862" s="1">
        <v>45019</v>
      </c>
      <c r="B4862" s="1" t="s">
        <v>14745</v>
      </c>
      <c r="C4862" s="5" t="s">
        <v>0</v>
      </c>
      <c r="D4862" s="1" t="s">
        <v>14746</v>
      </c>
      <c r="F4862" s="1" t="s">
        <v>2299</v>
      </c>
      <c r="G4862" s="1" t="s">
        <v>2300</v>
      </c>
      <c r="H4862" s="1" t="s">
        <v>37</v>
      </c>
      <c r="I4862" s="1" t="s">
        <v>16</v>
      </c>
      <c r="J4862" s="1">
        <v>1</v>
      </c>
      <c r="K4862" s="1">
        <v>1</v>
      </c>
      <c r="L4862" s="1" t="s">
        <v>31</v>
      </c>
      <c r="M4862" s="1" t="s">
        <v>18</v>
      </c>
      <c r="N4862" s="1" t="s">
        <v>18</v>
      </c>
      <c r="O4862" s="1">
        <v>3</v>
      </c>
      <c r="P4862" s="1">
        <v>7</v>
      </c>
      <c r="Q4862" s="7" t="s">
        <v>17633</v>
      </c>
      <c r="R4862" s="1" t="s">
        <v>19</v>
      </c>
      <c r="S4862" s="1" t="s">
        <v>63</v>
      </c>
      <c r="T4862" s="1" t="s">
        <v>21</v>
      </c>
      <c r="U4862" s="1" t="s">
        <v>22</v>
      </c>
      <c r="V4862" s="1" t="s">
        <v>24</v>
      </c>
      <c r="W4862" s="1" t="s">
        <v>24</v>
      </c>
      <c r="X4862" s="1">
        <v>2707</v>
      </c>
      <c r="Y4862" s="1">
        <v>3602</v>
      </c>
      <c r="Z4862" s="1">
        <v>3612</v>
      </c>
      <c r="AA4862" s="1" t="s">
        <v>24</v>
      </c>
      <c r="AB4862" s="1" t="s">
        <v>24</v>
      </c>
      <c r="AC4862" s="1" t="s">
        <v>24</v>
      </c>
      <c r="AD4862" s="1" t="s">
        <v>24</v>
      </c>
      <c r="AE4862" s="1" t="s">
        <v>24</v>
      </c>
      <c r="AF4862" s="22" t="s">
        <v>17678</v>
      </c>
    </row>
    <row r="4863" spans="1:32" x14ac:dyDescent="0.2">
      <c r="A4863" s="1">
        <v>45020</v>
      </c>
      <c r="B4863" s="1" t="s">
        <v>14747</v>
      </c>
      <c r="C4863" s="5" t="s">
        <v>0</v>
      </c>
      <c r="E4863" s="1" t="s">
        <v>14748</v>
      </c>
      <c r="F4863" s="1" t="s">
        <v>2299</v>
      </c>
      <c r="G4863" s="1" t="s">
        <v>2300</v>
      </c>
      <c r="H4863" s="1" t="s">
        <v>37</v>
      </c>
      <c r="I4863" s="1" t="s">
        <v>16</v>
      </c>
      <c r="J4863" s="1">
        <v>1</v>
      </c>
      <c r="K4863" s="1">
        <v>1</v>
      </c>
      <c r="L4863" s="1" t="s">
        <v>31</v>
      </c>
      <c r="M4863" s="1" t="s">
        <v>18</v>
      </c>
      <c r="N4863" s="1" t="s">
        <v>18</v>
      </c>
      <c r="O4863" s="1">
        <v>3</v>
      </c>
      <c r="P4863" s="1">
        <v>7</v>
      </c>
      <c r="Q4863" s="7" t="s">
        <v>17633</v>
      </c>
      <c r="R4863" s="1" t="s">
        <v>19</v>
      </c>
      <c r="S4863" s="1" t="s">
        <v>63</v>
      </c>
      <c r="T4863" s="1" t="s">
        <v>21</v>
      </c>
      <c r="U4863" s="1" t="s">
        <v>22</v>
      </c>
      <c r="V4863" s="1" t="s">
        <v>24</v>
      </c>
      <c r="W4863" s="1" t="s">
        <v>24</v>
      </c>
      <c r="X4863" s="1">
        <v>2804</v>
      </c>
      <c r="Y4863" s="1">
        <v>2808</v>
      </c>
      <c r="Z4863" s="1">
        <v>2806</v>
      </c>
      <c r="AA4863" s="1" t="s">
        <v>24</v>
      </c>
      <c r="AB4863" s="1" t="s">
        <v>24</v>
      </c>
      <c r="AC4863" s="1" t="s">
        <v>24</v>
      </c>
      <c r="AD4863" s="1" t="s">
        <v>24</v>
      </c>
      <c r="AE4863" s="1" t="s">
        <v>24</v>
      </c>
      <c r="AF4863" s="22"/>
    </row>
    <row r="4864" spans="1:32" x14ac:dyDescent="0.2">
      <c r="A4864" s="1">
        <v>45021</v>
      </c>
      <c r="B4864" s="1" t="s">
        <v>14749</v>
      </c>
      <c r="C4864" s="5" t="s">
        <v>0</v>
      </c>
      <c r="E4864" s="1" t="s">
        <v>14750</v>
      </c>
      <c r="F4864" s="1" t="s">
        <v>2299</v>
      </c>
      <c r="G4864" s="1" t="s">
        <v>2300</v>
      </c>
      <c r="H4864" s="1" t="s">
        <v>37</v>
      </c>
      <c r="I4864" s="1" t="s">
        <v>16</v>
      </c>
      <c r="J4864" s="1">
        <v>1</v>
      </c>
      <c r="K4864" s="1">
        <v>1</v>
      </c>
      <c r="L4864" s="1" t="s">
        <v>31</v>
      </c>
      <c r="M4864" s="1" t="s">
        <v>18</v>
      </c>
      <c r="N4864" s="1" t="s">
        <v>18</v>
      </c>
      <c r="O4864" s="1">
        <v>3</v>
      </c>
      <c r="P4864" s="1">
        <v>7</v>
      </c>
      <c r="Q4864" s="7" t="s">
        <v>17633</v>
      </c>
      <c r="R4864" s="1" t="s">
        <v>19</v>
      </c>
      <c r="S4864" s="1" t="s">
        <v>63</v>
      </c>
      <c r="T4864" s="1" t="s">
        <v>21</v>
      </c>
      <c r="U4864" s="1" t="s">
        <v>22</v>
      </c>
      <c r="V4864" s="1" t="s">
        <v>24</v>
      </c>
      <c r="W4864" s="1" t="s">
        <v>24</v>
      </c>
      <c r="X4864" s="1">
        <v>1307</v>
      </c>
      <c r="Y4864" s="1">
        <v>1705</v>
      </c>
      <c r="Z4864" s="1">
        <v>2808</v>
      </c>
      <c r="AA4864" s="1">
        <v>2806</v>
      </c>
      <c r="AB4864" s="1" t="s">
        <v>24</v>
      </c>
      <c r="AC4864" s="1" t="s">
        <v>24</v>
      </c>
      <c r="AD4864" s="1" t="s">
        <v>24</v>
      </c>
      <c r="AE4864" s="1" t="s">
        <v>24</v>
      </c>
      <c r="AF4864" s="22"/>
    </row>
    <row r="4865" spans="1:32" x14ac:dyDescent="0.2">
      <c r="A4865" s="1">
        <v>45236</v>
      </c>
      <c r="B4865" s="1" t="s">
        <v>14751</v>
      </c>
      <c r="C4865" s="5" t="s">
        <v>0</v>
      </c>
      <c r="D4865" s="1" t="s">
        <v>14752</v>
      </c>
      <c r="E4865" s="1" t="s">
        <v>14753</v>
      </c>
      <c r="F4865" s="1" t="s">
        <v>14754</v>
      </c>
      <c r="G4865" s="1" t="s">
        <v>311</v>
      </c>
      <c r="H4865" s="1" t="s">
        <v>37</v>
      </c>
      <c r="I4865" s="1" t="s">
        <v>16</v>
      </c>
      <c r="J4865" s="1">
        <v>1</v>
      </c>
      <c r="K4865" s="1">
        <v>4</v>
      </c>
      <c r="L4865" s="1" t="s">
        <v>31</v>
      </c>
      <c r="M4865" s="1" t="s">
        <v>18</v>
      </c>
      <c r="N4865" s="1" t="s">
        <v>18</v>
      </c>
      <c r="O4865" s="1">
        <v>1</v>
      </c>
      <c r="P4865" s="1">
        <v>1</v>
      </c>
      <c r="R4865" s="1" t="s">
        <v>19</v>
      </c>
      <c r="S4865" s="1" t="s">
        <v>20</v>
      </c>
      <c r="T4865" s="1" t="s">
        <v>21</v>
      </c>
      <c r="U4865" s="1" t="s">
        <v>22</v>
      </c>
      <c r="V4865" s="1" t="s">
        <v>24</v>
      </c>
      <c r="W4865" s="1" t="s">
        <v>24</v>
      </c>
      <c r="X4865" s="1">
        <v>2805</v>
      </c>
      <c r="Y4865" s="1" t="s">
        <v>24</v>
      </c>
      <c r="Z4865" s="1" t="s">
        <v>24</v>
      </c>
      <c r="AA4865" s="1" t="s">
        <v>24</v>
      </c>
      <c r="AB4865" s="1" t="s">
        <v>24</v>
      </c>
      <c r="AC4865" s="1" t="s">
        <v>24</v>
      </c>
      <c r="AD4865" s="1" t="s">
        <v>24</v>
      </c>
      <c r="AE4865" s="1" t="s">
        <v>24</v>
      </c>
      <c r="AF4865" s="22"/>
    </row>
    <row r="4866" spans="1:32" x14ac:dyDescent="0.2">
      <c r="A4866" s="1">
        <v>45567</v>
      </c>
      <c r="B4866" s="1" t="s">
        <v>14755</v>
      </c>
      <c r="C4866" s="5" t="s">
        <v>0</v>
      </c>
      <c r="D4866" s="1" t="s">
        <v>14756</v>
      </c>
      <c r="E4866" s="1" t="s">
        <v>14757</v>
      </c>
      <c r="F4866" s="1" t="s">
        <v>14758</v>
      </c>
      <c r="G4866" s="1" t="s">
        <v>14758</v>
      </c>
      <c r="H4866" s="1" t="s">
        <v>2772</v>
      </c>
      <c r="I4866" s="1" t="s">
        <v>16</v>
      </c>
      <c r="J4866" s="1">
        <v>1</v>
      </c>
      <c r="K4866" s="1">
        <v>12</v>
      </c>
      <c r="L4866" s="1" t="s">
        <v>42</v>
      </c>
      <c r="M4866" s="1" t="s">
        <v>18</v>
      </c>
      <c r="N4866" s="1" t="s">
        <v>18</v>
      </c>
      <c r="O4866" s="1">
        <v>1</v>
      </c>
      <c r="P4866" s="1">
        <v>1</v>
      </c>
      <c r="R4866" s="1" t="s">
        <v>19</v>
      </c>
      <c r="S4866" s="1" t="s">
        <v>20</v>
      </c>
      <c r="T4866" s="1" t="s">
        <v>21</v>
      </c>
      <c r="U4866" s="1" t="s">
        <v>22</v>
      </c>
      <c r="V4866" s="1" t="s">
        <v>23</v>
      </c>
      <c r="W4866" s="1" t="s">
        <v>24</v>
      </c>
      <c r="X4866" s="1">
        <v>2919</v>
      </c>
      <c r="Y4866" s="1">
        <v>2735</v>
      </c>
      <c r="Z4866" s="1" t="s">
        <v>24</v>
      </c>
      <c r="AA4866" s="1" t="s">
        <v>24</v>
      </c>
      <c r="AB4866" s="1" t="s">
        <v>24</v>
      </c>
      <c r="AC4866" s="1" t="s">
        <v>24</v>
      </c>
      <c r="AD4866" s="1" t="s">
        <v>24</v>
      </c>
      <c r="AE4866" s="1" t="s">
        <v>24</v>
      </c>
      <c r="AF4866" s="22"/>
    </row>
    <row r="4867" spans="1:32" x14ac:dyDescent="0.2">
      <c r="A4867" s="1">
        <v>45579</v>
      </c>
      <c r="B4867" s="1" t="s">
        <v>14759</v>
      </c>
      <c r="C4867" s="5" t="s">
        <v>0</v>
      </c>
      <c r="D4867" s="1" t="s">
        <v>14760</v>
      </c>
      <c r="E4867" s="1" t="s">
        <v>14761</v>
      </c>
      <c r="F4867" s="1" t="s">
        <v>14762</v>
      </c>
      <c r="G4867" s="1" t="s">
        <v>8443</v>
      </c>
      <c r="H4867" s="1" t="s">
        <v>37</v>
      </c>
      <c r="I4867" s="1" t="s">
        <v>16</v>
      </c>
      <c r="J4867" s="1">
        <v>1</v>
      </c>
      <c r="K4867" s="1">
        <v>24</v>
      </c>
      <c r="L4867" s="1" t="s">
        <v>31</v>
      </c>
      <c r="M4867" s="1" t="s">
        <v>18</v>
      </c>
      <c r="N4867" s="1" t="s">
        <v>18</v>
      </c>
      <c r="O4867" s="1">
        <v>1</v>
      </c>
      <c r="P4867" s="1">
        <v>1</v>
      </c>
      <c r="R4867" s="1" t="s">
        <v>19</v>
      </c>
      <c r="S4867" s="1" t="s">
        <v>20</v>
      </c>
      <c r="T4867" s="1" t="s">
        <v>21</v>
      </c>
      <c r="U4867" s="1" t="s">
        <v>22</v>
      </c>
      <c r="V4867" s="1" t="s">
        <v>24</v>
      </c>
      <c r="W4867" s="1" t="s">
        <v>24</v>
      </c>
      <c r="X4867" s="1">
        <v>1308</v>
      </c>
      <c r="Y4867" s="1">
        <v>3000</v>
      </c>
      <c r="Z4867" s="1">
        <v>3607</v>
      </c>
      <c r="AA4867" s="1">
        <v>1602</v>
      </c>
      <c r="AB4867" s="1" t="s">
        <v>24</v>
      </c>
      <c r="AC4867" s="1" t="s">
        <v>24</v>
      </c>
      <c r="AD4867" s="1" t="s">
        <v>24</v>
      </c>
      <c r="AE4867" s="1" t="s">
        <v>24</v>
      </c>
      <c r="AF4867" s="22"/>
    </row>
    <row r="4868" spans="1:32" x14ac:dyDescent="0.2">
      <c r="A4868" s="1">
        <v>45655</v>
      </c>
      <c r="B4868" s="1" t="s">
        <v>14763</v>
      </c>
      <c r="C4868" s="5" t="s">
        <v>0</v>
      </c>
      <c r="D4868" s="1" t="s">
        <v>14764</v>
      </c>
      <c r="E4868" s="1" t="s">
        <v>14765</v>
      </c>
      <c r="F4868" s="1" t="s">
        <v>55</v>
      </c>
      <c r="G4868" s="1" t="s">
        <v>56</v>
      </c>
      <c r="H4868" s="1" t="s">
        <v>37</v>
      </c>
      <c r="I4868" s="1" t="s">
        <v>16</v>
      </c>
      <c r="J4868" s="1">
        <v>1</v>
      </c>
      <c r="K4868" s="1">
        <v>6</v>
      </c>
      <c r="L4868" s="1" t="s">
        <v>31</v>
      </c>
      <c r="M4868" s="1" t="s">
        <v>18</v>
      </c>
      <c r="N4868" s="1" t="s">
        <v>18</v>
      </c>
      <c r="O4868" s="1">
        <v>1</v>
      </c>
      <c r="P4868" s="1">
        <v>1</v>
      </c>
      <c r="R4868" s="1" t="s">
        <v>19</v>
      </c>
      <c r="S4868" s="1" t="s">
        <v>20</v>
      </c>
      <c r="T4868" s="1" t="s">
        <v>21</v>
      </c>
      <c r="U4868" s="1" t="s">
        <v>22</v>
      </c>
      <c r="V4868" s="1" t="s">
        <v>24</v>
      </c>
      <c r="W4868" s="1" t="s">
        <v>24</v>
      </c>
      <c r="X4868" s="1">
        <v>1312</v>
      </c>
      <c r="Y4868" s="1">
        <v>1307</v>
      </c>
      <c r="Z4868" s="1">
        <v>1311</v>
      </c>
      <c r="AA4868" s="1" t="s">
        <v>24</v>
      </c>
      <c r="AB4868" s="1" t="s">
        <v>24</v>
      </c>
      <c r="AC4868" s="1" t="s">
        <v>24</v>
      </c>
      <c r="AD4868" s="1" t="s">
        <v>24</v>
      </c>
      <c r="AE4868" s="1" t="s">
        <v>24</v>
      </c>
      <c r="AF4868" s="22"/>
    </row>
    <row r="4869" spans="1:32" x14ac:dyDescent="0.2">
      <c r="A4869" s="1">
        <v>45775</v>
      </c>
      <c r="B4869" s="1" t="s">
        <v>14766</v>
      </c>
      <c r="C4869" s="5" t="s">
        <v>0</v>
      </c>
      <c r="D4869" s="1" t="s">
        <v>14767</v>
      </c>
      <c r="E4869" s="1" t="s">
        <v>14768</v>
      </c>
      <c r="F4869" s="1" t="s">
        <v>28</v>
      </c>
      <c r="G4869" s="1" t="s">
        <v>29</v>
      </c>
      <c r="H4869" s="1" t="s">
        <v>30</v>
      </c>
      <c r="I4869" s="1" t="s">
        <v>16</v>
      </c>
      <c r="J4869" s="1">
        <v>1</v>
      </c>
      <c r="K4869" s="1">
        <v>4</v>
      </c>
      <c r="L4869" s="1" t="s">
        <v>31</v>
      </c>
      <c r="M4869" s="1" t="s">
        <v>18</v>
      </c>
      <c r="N4869" s="1" t="s">
        <v>18</v>
      </c>
      <c r="O4869" s="1">
        <v>3</v>
      </c>
      <c r="P4869" s="1">
        <v>6</v>
      </c>
      <c r="R4869" s="1" t="s">
        <v>19</v>
      </c>
      <c r="S4869" s="1" t="s">
        <v>20</v>
      </c>
      <c r="T4869" s="1" t="s">
        <v>21</v>
      </c>
      <c r="U4869" s="1" t="s">
        <v>22</v>
      </c>
      <c r="V4869" s="1" t="s">
        <v>24</v>
      </c>
      <c r="W4869" s="1" t="s">
        <v>24</v>
      </c>
      <c r="X4869" s="1">
        <v>2731</v>
      </c>
      <c r="Y4869" s="1" t="s">
        <v>24</v>
      </c>
      <c r="Z4869" s="1" t="s">
        <v>24</v>
      </c>
      <c r="AA4869" s="1" t="s">
        <v>24</v>
      </c>
      <c r="AB4869" s="1" t="s">
        <v>24</v>
      </c>
      <c r="AC4869" s="1" t="s">
        <v>24</v>
      </c>
      <c r="AD4869" s="1" t="s">
        <v>24</v>
      </c>
      <c r="AE4869" s="1" t="s">
        <v>24</v>
      </c>
      <c r="AF4869" s="22"/>
    </row>
    <row r="4870" spans="1:32" x14ac:dyDescent="0.2">
      <c r="A4870" s="1">
        <v>45779</v>
      </c>
      <c r="B4870" s="1" t="s">
        <v>14769</v>
      </c>
      <c r="C4870" s="5" t="s">
        <v>0</v>
      </c>
      <c r="E4870" s="1" t="s">
        <v>14770</v>
      </c>
      <c r="F4870" s="1" t="s">
        <v>6405</v>
      </c>
      <c r="G4870" s="1" t="s">
        <v>6406</v>
      </c>
      <c r="H4870" s="1" t="s">
        <v>92</v>
      </c>
      <c r="I4870" s="1" t="s">
        <v>16</v>
      </c>
      <c r="J4870" s="1">
        <v>1</v>
      </c>
      <c r="K4870" s="1">
        <v>1</v>
      </c>
      <c r="L4870" s="1" t="s">
        <v>31</v>
      </c>
      <c r="M4870" s="1" t="s">
        <v>18</v>
      </c>
      <c r="N4870" s="1" t="s">
        <v>18</v>
      </c>
      <c r="O4870" s="1">
        <v>3</v>
      </c>
      <c r="P4870" s="1">
        <v>7</v>
      </c>
      <c r="Q4870" s="7" t="s">
        <v>17633</v>
      </c>
      <c r="R4870" s="1" t="s">
        <v>19</v>
      </c>
      <c r="S4870" s="1" t="s">
        <v>63</v>
      </c>
      <c r="T4870" s="1" t="s">
        <v>21</v>
      </c>
      <c r="U4870" s="1" t="s">
        <v>22</v>
      </c>
      <c r="V4870" s="1" t="s">
        <v>24</v>
      </c>
      <c r="W4870" s="1" t="s">
        <v>24</v>
      </c>
      <c r="X4870" s="1">
        <v>3000</v>
      </c>
      <c r="Y4870" s="1" t="s">
        <v>24</v>
      </c>
      <c r="Z4870" s="1" t="s">
        <v>24</v>
      </c>
      <c r="AA4870" s="1" t="s">
        <v>24</v>
      </c>
      <c r="AB4870" s="1" t="s">
        <v>24</v>
      </c>
      <c r="AC4870" s="1" t="s">
        <v>24</v>
      </c>
      <c r="AD4870" s="1" t="s">
        <v>24</v>
      </c>
      <c r="AE4870" s="1" t="s">
        <v>24</v>
      </c>
      <c r="AF4870" s="22"/>
    </row>
    <row r="4871" spans="1:32" x14ac:dyDescent="0.2">
      <c r="A4871" s="1">
        <v>45780</v>
      </c>
      <c r="B4871" s="1" t="s">
        <v>14771</v>
      </c>
      <c r="C4871" s="5" t="s">
        <v>0</v>
      </c>
      <c r="E4871" s="1" t="s">
        <v>14772</v>
      </c>
      <c r="F4871" s="1" t="s">
        <v>6405</v>
      </c>
      <c r="G4871" s="1" t="s">
        <v>6406</v>
      </c>
      <c r="H4871" s="1" t="s">
        <v>92</v>
      </c>
      <c r="I4871" s="1" t="s">
        <v>16</v>
      </c>
      <c r="J4871" s="1">
        <v>1</v>
      </c>
      <c r="K4871" s="1">
        <v>1</v>
      </c>
      <c r="L4871" s="1" t="s">
        <v>31</v>
      </c>
      <c r="M4871" s="1" t="s">
        <v>18</v>
      </c>
      <c r="N4871" s="1" t="s">
        <v>18</v>
      </c>
      <c r="O4871" s="1">
        <v>3</v>
      </c>
      <c r="P4871" s="1">
        <v>7</v>
      </c>
      <c r="Q4871" s="7" t="s">
        <v>17633</v>
      </c>
      <c r="R4871" s="1" t="s">
        <v>19</v>
      </c>
      <c r="S4871" s="1" t="s">
        <v>63</v>
      </c>
      <c r="T4871" s="1" t="s">
        <v>21</v>
      </c>
      <c r="U4871" s="1" t="s">
        <v>22</v>
      </c>
      <c r="V4871" s="1" t="s">
        <v>24</v>
      </c>
      <c r="W4871" s="1" t="s">
        <v>24</v>
      </c>
      <c r="X4871" s="1">
        <v>3001</v>
      </c>
      <c r="Y4871" s="1">
        <v>2001</v>
      </c>
      <c r="Z4871" s="1" t="s">
        <v>24</v>
      </c>
      <c r="AA4871" s="1" t="s">
        <v>24</v>
      </c>
      <c r="AB4871" s="1" t="s">
        <v>24</v>
      </c>
      <c r="AC4871" s="1" t="s">
        <v>24</v>
      </c>
      <c r="AD4871" s="1" t="s">
        <v>24</v>
      </c>
      <c r="AE4871" s="1" t="s">
        <v>24</v>
      </c>
      <c r="AF4871" s="22"/>
    </row>
    <row r="4872" spans="1:32" x14ac:dyDescent="0.2">
      <c r="A4872" s="1">
        <v>45781</v>
      </c>
      <c r="B4872" s="1" t="s">
        <v>14773</v>
      </c>
      <c r="C4872" s="5" t="s">
        <v>0</v>
      </c>
      <c r="E4872" s="1" t="s">
        <v>14774</v>
      </c>
      <c r="F4872" s="1" t="s">
        <v>6405</v>
      </c>
      <c r="G4872" s="1" t="s">
        <v>6406</v>
      </c>
      <c r="H4872" s="1" t="s">
        <v>92</v>
      </c>
      <c r="I4872" s="1" t="s">
        <v>16</v>
      </c>
      <c r="J4872" s="1">
        <v>1</v>
      </c>
      <c r="K4872" s="1">
        <v>1</v>
      </c>
      <c r="L4872" s="1" t="s">
        <v>31</v>
      </c>
      <c r="M4872" s="1" t="s">
        <v>18</v>
      </c>
      <c r="N4872" s="1" t="s">
        <v>18</v>
      </c>
      <c r="O4872" s="1">
        <v>3</v>
      </c>
      <c r="P4872" s="1">
        <v>7</v>
      </c>
      <c r="Q4872" s="7" t="s">
        <v>17633</v>
      </c>
      <c r="R4872" s="1" t="s">
        <v>19</v>
      </c>
      <c r="S4872" s="1" t="s">
        <v>63</v>
      </c>
      <c r="T4872" s="1" t="s">
        <v>21</v>
      </c>
      <c r="U4872" s="1" t="s">
        <v>22</v>
      </c>
      <c r="V4872" s="1" t="s">
        <v>24</v>
      </c>
      <c r="W4872" s="1" t="s">
        <v>24</v>
      </c>
      <c r="X4872" s="1">
        <v>3002</v>
      </c>
      <c r="Y4872" s="1" t="s">
        <v>24</v>
      </c>
      <c r="Z4872" s="1" t="s">
        <v>24</v>
      </c>
      <c r="AA4872" s="1" t="s">
        <v>24</v>
      </c>
      <c r="AB4872" s="1" t="s">
        <v>24</v>
      </c>
      <c r="AC4872" s="1" t="s">
        <v>24</v>
      </c>
      <c r="AD4872" s="1" t="s">
        <v>24</v>
      </c>
      <c r="AE4872" s="1" t="s">
        <v>24</v>
      </c>
      <c r="AF4872" s="22"/>
    </row>
    <row r="4873" spans="1:32" x14ac:dyDescent="0.2">
      <c r="A4873" s="1">
        <v>45782</v>
      </c>
      <c r="B4873" s="1" t="s">
        <v>14775</v>
      </c>
      <c r="C4873" s="5" t="s">
        <v>0</v>
      </c>
      <c r="E4873" s="1" t="s">
        <v>14776</v>
      </c>
      <c r="F4873" s="1" t="s">
        <v>6405</v>
      </c>
      <c r="G4873" s="1" t="s">
        <v>6406</v>
      </c>
      <c r="H4873" s="1" t="s">
        <v>92</v>
      </c>
      <c r="I4873" s="1" t="s">
        <v>16</v>
      </c>
      <c r="J4873" s="1">
        <v>1</v>
      </c>
      <c r="K4873" s="1">
        <v>1</v>
      </c>
      <c r="L4873" s="1" t="s">
        <v>31</v>
      </c>
      <c r="M4873" s="1" t="s">
        <v>18</v>
      </c>
      <c r="N4873" s="1" t="s">
        <v>18</v>
      </c>
      <c r="O4873" s="1">
        <v>3</v>
      </c>
      <c r="P4873" s="1">
        <v>7</v>
      </c>
      <c r="Q4873" s="7" t="s">
        <v>17633</v>
      </c>
      <c r="R4873" s="1" t="s">
        <v>19</v>
      </c>
      <c r="S4873" s="1" t="s">
        <v>63</v>
      </c>
      <c r="T4873" s="1" t="s">
        <v>21</v>
      </c>
      <c r="U4873" s="1" t="s">
        <v>22</v>
      </c>
      <c r="V4873" s="1" t="s">
        <v>24</v>
      </c>
      <c r="W4873" s="1" t="s">
        <v>24</v>
      </c>
      <c r="X4873" s="1">
        <v>2700</v>
      </c>
      <c r="Y4873" s="1" t="s">
        <v>24</v>
      </c>
      <c r="Z4873" s="1" t="s">
        <v>24</v>
      </c>
      <c r="AA4873" s="1" t="s">
        <v>24</v>
      </c>
      <c r="AB4873" s="1" t="s">
        <v>24</v>
      </c>
      <c r="AC4873" s="1" t="s">
        <v>24</v>
      </c>
      <c r="AD4873" s="1" t="s">
        <v>24</v>
      </c>
      <c r="AE4873" s="1" t="s">
        <v>24</v>
      </c>
      <c r="AF4873" s="22"/>
    </row>
    <row r="4874" spans="1:32" x14ac:dyDescent="0.2">
      <c r="A4874" s="1">
        <v>45783</v>
      </c>
      <c r="B4874" s="1" t="s">
        <v>14777</v>
      </c>
      <c r="C4874" s="5" t="s">
        <v>0</v>
      </c>
      <c r="E4874" s="1" t="s">
        <v>14778</v>
      </c>
      <c r="F4874" s="1" t="s">
        <v>6405</v>
      </c>
      <c r="G4874" s="1" t="s">
        <v>6406</v>
      </c>
      <c r="H4874" s="1" t="s">
        <v>92</v>
      </c>
      <c r="I4874" s="1" t="s">
        <v>16</v>
      </c>
      <c r="J4874" s="1">
        <v>1</v>
      </c>
      <c r="K4874" s="1">
        <v>1</v>
      </c>
      <c r="L4874" s="1" t="s">
        <v>31</v>
      </c>
      <c r="M4874" s="1" t="s">
        <v>18</v>
      </c>
      <c r="N4874" s="1" t="s">
        <v>18</v>
      </c>
      <c r="O4874" s="1">
        <v>3</v>
      </c>
      <c r="P4874" s="1">
        <v>7</v>
      </c>
      <c r="Q4874" s="7" t="s">
        <v>17633</v>
      </c>
      <c r="R4874" s="1" t="s">
        <v>19</v>
      </c>
      <c r="S4874" s="1" t="s">
        <v>63</v>
      </c>
      <c r="T4874" s="1" t="s">
        <v>21</v>
      </c>
      <c r="U4874" s="1" t="s">
        <v>22</v>
      </c>
      <c r="V4874" s="1" t="s">
        <v>23</v>
      </c>
      <c r="W4874" s="1" t="s">
        <v>24</v>
      </c>
      <c r="X4874" s="1">
        <v>2719</v>
      </c>
      <c r="Y4874" s="1" t="s">
        <v>24</v>
      </c>
      <c r="Z4874" s="1" t="s">
        <v>24</v>
      </c>
      <c r="AA4874" s="1" t="s">
        <v>24</v>
      </c>
      <c r="AB4874" s="1" t="s">
        <v>24</v>
      </c>
      <c r="AC4874" s="1" t="s">
        <v>24</v>
      </c>
      <c r="AD4874" s="1" t="s">
        <v>24</v>
      </c>
      <c r="AE4874" s="1" t="s">
        <v>24</v>
      </c>
      <c r="AF4874" s="22"/>
    </row>
    <row r="4875" spans="1:32" x14ac:dyDescent="0.2">
      <c r="A4875" s="1">
        <v>45784</v>
      </c>
      <c r="B4875" s="1" t="s">
        <v>14779</v>
      </c>
      <c r="C4875" s="5" t="s">
        <v>0</v>
      </c>
      <c r="E4875" s="1" t="s">
        <v>14780</v>
      </c>
      <c r="F4875" s="1" t="s">
        <v>6405</v>
      </c>
      <c r="G4875" s="1" t="s">
        <v>6406</v>
      </c>
      <c r="H4875" s="1" t="s">
        <v>92</v>
      </c>
      <c r="I4875" s="1" t="s">
        <v>16</v>
      </c>
      <c r="J4875" s="1">
        <v>1</v>
      </c>
      <c r="K4875" s="1">
        <v>1</v>
      </c>
      <c r="L4875" s="1" t="s">
        <v>31</v>
      </c>
      <c r="M4875" s="1" t="s">
        <v>18</v>
      </c>
      <c r="N4875" s="1" t="s">
        <v>18</v>
      </c>
      <c r="O4875" s="1">
        <v>3</v>
      </c>
      <c r="P4875" s="1">
        <v>7</v>
      </c>
      <c r="Q4875" s="7" t="s">
        <v>17633</v>
      </c>
      <c r="R4875" s="1" t="s">
        <v>19</v>
      </c>
      <c r="S4875" s="1" t="s">
        <v>63</v>
      </c>
      <c r="T4875" s="1" t="s">
        <v>21</v>
      </c>
      <c r="U4875" s="1" t="s">
        <v>22</v>
      </c>
      <c r="V4875" s="1" t="s">
        <v>24</v>
      </c>
      <c r="W4875" s="1" t="s">
        <v>24</v>
      </c>
      <c r="X4875" s="1">
        <v>2705</v>
      </c>
      <c r="Y4875" s="1" t="s">
        <v>24</v>
      </c>
      <c r="Z4875" s="1" t="s">
        <v>24</v>
      </c>
      <c r="AA4875" s="1" t="s">
        <v>24</v>
      </c>
      <c r="AB4875" s="1" t="s">
        <v>24</v>
      </c>
      <c r="AC4875" s="1" t="s">
        <v>24</v>
      </c>
      <c r="AD4875" s="1" t="s">
        <v>24</v>
      </c>
      <c r="AE4875" s="1" t="s">
        <v>24</v>
      </c>
      <c r="AF4875" s="22"/>
    </row>
    <row r="4876" spans="1:32" x14ac:dyDescent="0.2">
      <c r="A4876" s="1">
        <v>45785</v>
      </c>
      <c r="B4876" s="1" t="s">
        <v>14781</v>
      </c>
      <c r="C4876" s="5" t="s">
        <v>0</v>
      </c>
      <c r="E4876" s="1" t="s">
        <v>14782</v>
      </c>
      <c r="F4876" s="1" t="s">
        <v>6405</v>
      </c>
      <c r="G4876" s="1" t="s">
        <v>6406</v>
      </c>
      <c r="H4876" s="1" t="s">
        <v>92</v>
      </c>
      <c r="I4876" s="1" t="s">
        <v>16</v>
      </c>
      <c r="J4876" s="1">
        <v>1</v>
      </c>
      <c r="K4876" s="1">
        <v>1</v>
      </c>
      <c r="L4876" s="1" t="s">
        <v>31</v>
      </c>
      <c r="M4876" s="1" t="s">
        <v>18</v>
      </c>
      <c r="N4876" s="1" t="s">
        <v>18</v>
      </c>
      <c r="O4876" s="1">
        <v>3</v>
      </c>
      <c r="P4876" s="1">
        <v>7</v>
      </c>
      <c r="Q4876" s="7" t="s">
        <v>17633</v>
      </c>
      <c r="R4876" s="1" t="s">
        <v>19</v>
      </c>
      <c r="S4876" s="1" t="s">
        <v>63</v>
      </c>
      <c r="T4876" s="1" t="s">
        <v>21</v>
      </c>
      <c r="U4876" s="1" t="s">
        <v>22</v>
      </c>
      <c r="V4876" s="1" t="s">
        <v>24</v>
      </c>
      <c r="W4876" s="1" t="s">
        <v>24</v>
      </c>
      <c r="X4876" s="1">
        <v>2807</v>
      </c>
      <c r="Y4876" s="1">
        <v>2712</v>
      </c>
      <c r="Z4876" s="1" t="s">
        <v>24</v>
      </c>
      <c r="AA4876" s="1" t="s">
        <v>24</v>
      </c>
      <c r="AB4876" s="1" t="s">
        <v>24</v>
      </c>
      <c r="AC4876" s="1" t="s">
        <v>24</v>
      </c>
      <c r="AD4876" s="1" t="s">
        <v>24</v>
      </c>
      <c r="AE4876" s="1" t="s">
        <v>24</v>
      </c>
      <c r="AF4876" s="22"/>
    </row>
    <row r="4877" spans="1:32" x14ac:dyDescent="0.2">
      <c r="A4877" s="1">
        <v>45786</v>
      </c>
      <c r="B4877" s="1" t="s">
        <v>14783</v>
      </c>
      <c r="C4877" s="5" t="s">
        <v>0</v>
      </c>
      <c r="E4877" s="1" t="s">
        <v>14784</v>
      </c>
      <c r="F4877" s="1" t="s">
        <v>6405</v>
      </c>
      <c r="G4877" s="1" t="s">
        <v>6406</v>
      </c>
      <c r="H4877" s="1" t="s">
        <v>92</v>
      </c>
      <c r="I4877" s="1" t="s">
        <v>16</v>
      </c>
      <c r="J4877" s="1">
        <v>1</v>
      </c>
      <c r="K4877" s="1">
        <v>1</v>
      </c>
      <c r="L4877" s="1" t="s">
        <v>31</v>
      </c>
      <c r="M4877" s="1" t="s">
        <v>18</v>
      </c>
      <c r="N4877" s="1" t="s">
        <v>18</v>
      </c>
      <c r="O4877" s="1">
        <v>3</v>
      </c>
      <c r="P4877" s="1">
        <v>7</v>
      </c>
      <c r="Q4877" s="7" t="s">
        <v>17633</v>
      </c>
      <c r="R4877" s="1" t="s">
        <v>19</v>
      </c>
      <c r="S4877" s="1" t="s">
        <v>63</v>
      </c>
      <c r="T4877" s="1" t="s">
        <v>21</v>
      </c>
      <c r="U4877" s="1" t="s">
        <v>22</v>
      </c>
      <c r="V4877" s="1" t="s">
        <v>24</v>
      </c>
      <c r="W4877" s="1" t="s">
        <v>24</v>
      </c>
      <c r="X4877" s="1">
        <v>2705</v>
      </c>
      <c r="Y4877" s="1">
        <v>2741</v>
      </c>
      <c r="Z4877" s="1" t="s">
        <v>24</v>
      </c>
      <c r="AA4877" s="1" t="s">
        <v>24</v>
      </c>
      <c r="AB4877" s="1" t="s">
        <v>24</v>
      </c>
      <c r="AC4877" s="1" t="s">
        <v>24</v>
      </c>
      <c r="AD4877" s="1" t="s">
        <v>24</v>
      </c>
      <c r="AE4877" s="1" t="s">
        <v>24</v>
      </c>
      <c r="AF4877" s="22"/>
    </row>
    <row r="4878" spans="1:32" x14ac:dyDescent="0.2">
      <c r="A4878" s="1">
        <v>45787</v>
      </c>
      <c r="B4878" s="1" t="s">
        <v>14785</v>
      </c>
      <c r="C4878" s="5" t="s">
        <v>0</v>
      </c>
      <c r="E4878" s="1" t="s">
        <v>14786</v>
      </c>
      <c r="F4878" s="1" t="s">
        <v>6405</v>
      </c>
      <c r="G4878" s="1" t="s">
        <v>6406</v>
      </c>
      <c r="H4878" s="1" t="s">
        <v>92</v>
      </c>
      <c r="I4878" s="1" t="s">
        <v>16</v>
      </c>
      <c r="J4878" s="1">
        <v>1</v>
      </c>
      <c r="K4878" s="1">
        <v>1</v>
      </c>
      <c r="L4878" s="1" t="s">
        <v>31</v>
      </c>
      <c r="M4878" s="1" t="s">
        <v>18</v>
      </c>
      <c r="N4878" s="1" t="s">
        <v>18</v>
      </c>
      <c r="O4878" s="1">
        <v>3</v>
      </c>
      <c r="P4878" s="1">
        <v>7</v>
      </c>
      <c r="Q4878" s="7" t="s">
        <v>17633</v>
      </c>
      <c r="R4878" s="1" t="s">
        <v>19</v>
      </c>
      <c r="S4878" s="1" t="s">
        <v>63</v>
      </c>
      <c r="T4878" s="1" t="s">
        <v>21</v>
      </c>
      <c r="U4878" s="1" t="s">
        <v>22</v>
      </c>
      <c r="V4878" s="1" t="s">
        <v>24</v>
      </c>
      <c r="W4878" s="1" t="s">
        <v>24</v>
      </c>
      <c r="X4878" s="1">
        <v>2741</v>
      </c>
      <c r="Y4878" s="1" t="s">
        <v>24</v>
      </c>
      <c r="Z4878" s="1" t="s">
        <v>24</v>
      </c>
      <c r="AA4878" s="1" t="s">
        <v>24</v>
      </c>
      <c r="AB4878" s="1" t="s">
        <v>24</v>
      </c>
      <c r="AC4878" s="1" t="s">
        <v>24</v>
      </c>
      <c r="AD4878" s="1" t="s">
        <v>24</v>
      </c>
      <c r="AE4878" s="1" t="s">
        <v>24</v>
      </c>
      <c r="AF4878" s="22"/>
    </row>
    <row r="4879" spans="1:32" x14ac:dyDescent="0.2">
      <c r="A4879" s="1">
        <v>45788</v>
      </c>
      <c r="B4879" s="1" t="s">
        <v>14787</v>
      </c>
      <c r="C4879" s="5" t="s">
        <v>0</v>
      </c>
      <c r="E4879" s="1" t="s">
        <v>14788</v>
      </c>
      <c r="F4879" s="1" t="s">
        <v>6405</v>
      </c>
      <c r="G4879" s="1" t="s">
        <v>6406</v>
      </c>
      <c r="H4879" s="1" t="s">
        <v>92</v>
      </c>
      <c r="I4879" s="1" t="s">
        <v>16</v>
      </c>
      <c r="J4879" s="1">
        <v>1</v>
      </c>
      <c r="K4879" s="1">
        <v>1</v>
      </c>
      <c r="L4879" s="1" t="s">
        <v>31</v>
      </c>
      <c r="M4879" s="1" t="s">
        <v>18</v>
      </c>
      <c r="N4879" s="1" t="s">
        <v>18</v>
      </c>
      <c r="O4879" s="1">
        <v>3</v>
      </c>
      <c r="P4879" s="1">
        <v>7</v>
      </c>
      <c r="Q4879" s="7" t="s">
        <v>17633</v>
      </c>
      <c r="R4879" s="1" t="s">
        <v>19</v>
      </c>
      <c r="S4879" s="1" t="s">
        <v>63</v>
      </c>
      <c r="T4879" s="1" t="s">
        <v>21</v>
      </c>
      <c r="U4879" s="1" t="s">
        <v>22</v>
      </c>
      <c r="V4879" s="1" t="s">
        <v>24</v>
      </c>
      <c r="W4879" s="1" t="s">
        <v>24</v>
      </c>
      <c r="X4879" s="1">
        <v>2730</v>
      </c>
      <c r="Y4879" s="1">
        <v>2746</v>
      </c>
      <c r="Z4879" s="1" t="s">
        <v>24</v>
      </c>
      <c r="AA4879" s="1" t="s">
        <v>24</v>
      </c>
      <c r="AB4879" s="1" t="s">
        <v>24</v>
      </c>
      <c r="AC4879" s="1" t="s">
        <v>24</v>
      </c>
      <c r="AD4879" s="1" t="s">
        <v>24</v>
      </c>
      <c r="AE4879" s="1" t="s">
        <v>24</v>
      </c>
      <c r="AF4879" s="22"/>
    </row>
    <row r="4880" spans="1:32" x14ac:dyDescent="0.2">
      <c r="A4880" s="1">
        <v>45789</v>
      </c>
      <c r="B4880" s="1" t="s">
        <v>14789</v>
      </c>
      <c r="C4880" s="5" t="s">
        <v>0</v>
      </c>
      <c r="E4880" s="1" t="s">
        <v>14790</v>
      </c>
      <c r="F4880" s="1" t="s">
        <v>6405</v>
      </c>
      <c r="G4880" s="1" t="s">
        <v>6406</v>
      </c>
      <c r="H4880" s="1" t="s">
        <v>92</v>
      </c>
      <c r="I4880" s="1" t="s">
        <v>16</v>
      </c>
      <c r="J4880" s="1">
        <v>1</v>
      </c>
      <c r="K4880" s="1">
        <v>1</v>
      </c>
      <c r="L4880" s="1" t="s">
        <v>31</v>
      </c>
      <c r="M4880" s="1" t="s">
        <v>18</v>
      </c>
      <c r="N4880" s="1" t="s">
        <v>18</v>
      </c>
      <c r="O4880" s="1">
        <v>3</v>
      </c>
      <c r="P4880" s="1">
        <v>7</v>
      </c>
      <c r="Q4880" s="7" t="s">
        <v>17633</v>
      </c>
      <c r="R4880" s="1" t="s">
        <v>19</v>
      </c>
      <c r="S4880" s="1" t="s">
        <v>63</v>
      </c>
      <c r="T4880" s="1" t="s">
        <v>21</v>
      </c>
      <c r="U4880" s="1" t="s">
        <v>22</v>
      </c>
      <c r="V4880" s="1" t="s">
        <v>24</v>
      </c>
      <c r="W4880" s="1" t="s">
        <v>24</v>
      </c>
      <c r="X4880" s="1">
        <v>2715</v>
      </c>
      <c r="Y4880" s="1">
        <v>2730</v>
      </c>
      <c r="Z4880" s="1" t="s">
        <v>24</v>
      </c>
      <c r="AA4880" s="1" t="s">
        <v>24</v>
      </c>
      <c r="AB4880" s="1" t="s">
        <v>24</v>
      </c>
      <c r="AC4880" s="1" t="s">
        <v>24</v>
      </c>
      <c r="AD4880" s="1" t="s">
        <v>24</v>
      </c>
      <c r="AE4880" s="1" t="s">
        <v>24</v>
      </c>
      <c r="AF4880" s="22"/>
    </row>
    <row r="4881" spans="1:32" x14ac:dyDescent="0.2">
      <c r="A4881" s="1">
        <v>45790</v>
      </c>
      <c r="B4881" s="1" t="s">
        <v>14791</v>
      </c>
      <c r="C4881" s="5" t="s">
        <v>0</v>
      </c>
      <c r="E4881" s="1" t="s">
        <v>14792</v>
      </c>
      <c r="F4881" s="1" t="s">
        <v>6405</v>
      </c>
      <c r="G4881" s="1" t="s">
        <v>6406</v>
      </c>
      <c r="H4881" s="1" t="s">
        <v>92</v>
      </c>
      <c r="I4881" s="1" t="s">
        <v>16</v>
      </c>
      <c r="J4881" s="1">
        <v>1</v>
      </c>
      <c r="K4881" s="1">
        <v>1</v>
      </c>
      <c r="L4881" s="1" t="s">
        <v>31</v>
      </c>
      <c r="M4881" s="1" t="s">
        <v>18</v>
      </c>
      <c r="N4881" s="1" t="s">
        <v>18</v>
      </c>
      <c r="O4881" s="1">
        <v>3</v>
      </c>
      <c r="P4881" s="1">
        <v>7</v>
      </c>
      <c r="Q4881" s="7" t="s">
        <v>17633</v>
      </c>
      <c r="R4881" s="1" t="s">
        <v>19</v>
      </c>
      <c r="S4881" s="1" t="s">
        <v>63</v>
      </c>
      <c r="T4881" s="1" t="s">
        <v>21</v>
      </c>
      <c r="U4881" s="1" t="s">
        <v>22</v>
      </c>
      <c r="V4881" s="1" t="s">
        <v>24</v>
      </c>
      <c r="W4881" s="1" t="s">
        <v>24</v>
      </c>
      <c r="X4881" s="1">
        <v>2748</v>
      </c>
      <c r="Y4881" s="1">
        <v>2730</v>
      </c>
      <c r="Z4881" s="1" t="s">
        <v>24</v>
      </c>
      <c r="AA4881" s="1" t="s">
        <v>24</v>
      </c>
      <c r="AB4881" s="1" t="s">
        <v>24</v>
      </c>
      <c r="AC4881" s="1" t="s">
        <v>24</v>
      </c>
      <c r="AD4881" s="1" t="s">
        <v>24</v>
      </c>
      <c r="AE4881" s="1" t="s">
        <v>24</v>
      </c>
      <c r="AF4881" s="22"/>
    </row>
    <row r="4882" spans="1:32" x14ac:dyDescent="0.2">
      <c r="A4882" s="1">
        <v>45791</v>
      </c>
      <c r="B4882" s="1" t="s">
        <v>14793</v>
      </c>
      <c r="C4882" s="5" t="s">
        <v>0</v>
      </c>
      <c r="E4882" s="1" t="s">
        <v>14794</v>
      </c>
      <c r="F4882" s="1" t="s">
        <v>6405</v>
      </c>
      <c r="G4882" s="1" t="s">
        <v>6406</v>
      </c>
      <c r="H4882" s="1" t="s">
        <v>92</v>
      </c>
      <c r="I4882" s="1" t="s">
        <v>16</v>
      </c>
      <c r="J4882" s="1">
        <v>1</v>
      </c>
      <c r="K4882" s="1">
        <v>1</v>
      </c>
      <c r="L4882" s="1" t="s">
        <v>31</v>
      </c>
      <c r="M4882" s="1" t="s">
        <v>18</v>
      </c>
      <c r="N4882" s="1" t="s">
        <v>18</v>
      </c>
      <c r="O4882" s="1">
        <v>3</v>
      </c>
      <c r="P4882" s="1">
        <v>7</v>
      </c>
      <c r="Q4882" s="7" t="s">
        <v>17633</v>
      </c>
      <c r="R4882" s="1" t="s">
        <v>19</v>
      </c>
      <c r="S4882" s="1" t="s">
        <v>63</v>
      </c>
      <c r="T4882" s="1" t="s">
        <v>21</v>
      </c>
      <c r="U4882" s="1" t="s">
        <v>22</v>
      </c>
      <c r="V4882" s="1" t="s">
        <v>24</v>
      </c>
      <c r="W4882" s="1" t="s">
        <v>24</v>
      </c>
      <c r="X4882" s="1">
        <v>2723</v>
      </c>
      <c r="Y4882" s="1">
        <v>2403</v>
      </c>
      <c r="Z4882" s="1">
        <v>2401</v>
      </c>
      <c r="AA4882" s="1" t="s">
        <v>24</v>
      </c>
      <c r="AB4882" s="1" t="s">
        <v>24</v>
      </c>
      <c r="AC4882" s="1" t="s">
        <v>24</v>
      </c>
      <c r="AD4882" s="1" t="s">
        <v>24</v>
      </c>
      <c r="AE4882" s="1" t="s">
        <v>24</v>
      </c>
      <c r="AF4882" s="22"/>
    </row>
    <row r="4883" spans="1:32" x14ac:dyDescent="0.2">
      <c r="A4883" s="1">
        <v>45792</v>
      </c>
      <c r="B4883" s="1" t="s">
        <v>14795</v>
      </c>
      <c r="C4883" s="5" t="s">
        <v>0</v>
      </c>
      <c r="E4883" s="1" t="s">
        <v>14796</v>
      </c>
      <c r="F4883" s="1" t="s">
        <v>6405</v>
      </c>
      <c r="G4883" s="1" t="s">
        <v>6406</v>
      </c>
      <c r="H4883" s="1" t="s">
        <v>92</v>
      </c>
      <c r="I4883" s="1" t="s">
        <v>16</v>
      </c>
      <c r="J4883" s="1">
        <v>1</v>
      </c>
      <c r="K4883" s="1">
        <v>1</v>
      </c>
      <c r="L4883" s="1" t="s">
        <v>31</v>
      </c>
      <c r="M4883" s="1" t="s">
        <v>18</v>
      </c>
      <c r="N4883" s="1" t="s">
        <v>18</v>
      </c>
      <c r="O4883" s="1">
        <v>3</v>
      </c>
      <c r="P4883" s="1">
        <v>7</v>
      </c>
      <c r="Q4883" s="7" t="s">
        <v>17633</v>
      </c>
      <c r="R4883" s="1" t="s">
        <v>19</v>
      </c>
      <c r="S4883" s="1" t="s">
        <v>63</v>
      </c>
      <c r="T4883" s="1" t="s">
        <v>21</v>
      </c>
      <c r="U4883" s="1" t="s">
        <v>22</v>
      </c>
      <c r="V4883" s="1" t="s">
        <v>24</v>
      </c>
      <c r="W4883" s="1" t="s">
        <v>24</v>
      </c>
      <c r="X4883" s="1">
        <v>1307</v>
      </c>
      <c r="Y4883" s="1">
        <v>1312</v>
      </c>
      <c r="Z4883" s="1">
        <v>1303</v>
      </c>
      <c r="AA4883" s="1" t="s">
        <v>24</v>
      </c>
      <c r="AB4883" s="1" t="s">
        <v>24</v>
      </c>
      <c r="AC4883" s="1" t="s">
        <v>24</v>
      </c>
      <c r="AD4883" s="1" t="s">
        <v>24</v>
      </c>
      <c r="AE4883" s="1" t="s">
        <v>24</v>
      </c>
      <c r="AF4883" s="22"/>
    </row>
    <row r="4884" spans="1:32" x14ac:dyDescent="0.2">
      <c r="A4884" s="1">
        <v>45793</v>
      </c>
      <c r="B4884" s="1" t="s">
        <v>14797</v>
      </c>
      <c r="C4884" s="5" t="s">
        <v>0</v>
      </c>
      <c r="E4884" s="1" t="s">
        <v>14798</v>
      </c>
      <c r="F4884" s="1" t="s">
        <v>6405</v>
      </c>
      <c r="G4884" s="1" t="s">
        <v>6406</v>
      </c>
      <c r="H4884" s="1" t="s">
        <v>92</v>
      </c>
      <c r="I4884" s="1" t="s">
        <v>16</v>
      </c>
      <c r="J4884" s="1">
        <v>1</v>
      </c>
      <c r="K4884" s="1">
        <v>1</v>
      </c>
      <c r="L4884" s="1" t="s">
        <v>31</v>
      </c>
      <c r="M4884" s="1" t="s">
        <v>18</v>
      </c>
      <c r="N4884" s="1" t="s">
        <v>18</v>
      </c>
      <c r="O4884" s="1">
        <v>3</v>
      </c>
      <c r="P4884" s="1">
        <v>7</v>
      </c>
      <c r="Q4884" s="7" t="s">
        <v>17633</v>
      </c>
      <c r="R4884" s="1" t="s">
        <v>19</v>
      </c>
      <c r="S4884" s="1" t="s">
        <v>63</v>
      </c>
      <c r="T4884" s="1" t="s">
        <v>21</v>
      </c>
      <c r="U4884" s="1" t="s">
        <v>22</v>
      </c>
      <c r="V4884" s="1" t="s">
        <v>24</v>
      </c>
      <c r="W4884" s="1" t="s">
        <v>24</v>
      </c>
      <c r="X4884" s="1">
        <v>2741</v>
      </c>
      <c r="Y4884" s="1">
        <v>3614</v>
      </c>
      <c r="Z4884" s="1" t="s">
        <v>24</v>
      </c>
      <c r="AA4884" s="1" t="s">
        <v>24</v>
      </c>
      <c r="AB4884" s="1" t="s">
        <v>24</v>
      </c>
      <c r="AC4884" s="1" t="s">
        <v>24</v>
      </c>
      <c r="AD4884" s="1" t="s">
        <v>24</v>
      </c>
      <c r="AE4884" s="1" t="s">
        <v>24</v>
      </c>
      <c r="AF4884" s="22"/>
    </row>
    <row r="4885" spans="1:32" x14ac:dyDescent="0.2">
      <c r="A4885" s="1">
        <v>45794</v>
      </c>
      <c r="B4885" s="1" t="s">
        <v>14799</v>
      </c>
      <c r="C4885" s="5" t="s">
        <v>0</v>
      </c>
      <c r="E4885" s="1" t="s">
        <v>14800</v>
      </c>
      <c r="F4885" s="1" t="s">
        <v>6405</v>
      </c>
      <c r="G4885" s="1" t="s">
        <v>6406</v>
      </c>
      <c r="H4885" s="1" t="s">
        <v>92</v>
      </c>
      <c r="I4885" s="1" t="s">
        <v>16</v>
      </c>
      <c r="J4885" s="1">
        <v>1</v>
      </c>
      <c r="K4885" s="1">
        <v>1</v>
      </c>
      <c r="L4885" s="1" t="s">
        <v>31</v>
      </c>
      <c r="M4885" s="1" t="s">
        <v>18</v>
      </c>
      <c r="N4885" s="1" t="s">
        <v>18</v>
      </c>
      <c r="O4885" s="1">
        <v>3</v>
      </c>
      <c r="P4885" s="1">
        <v>7</v>
      </c>
      <c r="Q4885" s="7" t="s">
        <v>17633</v>
      </c>
      <c r="R4885" s="1" t="s">
        <v>19</v>
      </c>
      <c r="S4885" s="1" t="s">
        <v>63</v>
      </c>
      <c r="T4885" s="1" t="s">
        <v>21</v>
      </c>
      <c r="U4885" s="1" t="s">
        <v>22</v>
      </c>
      <c r="V4885" s="1" t="s">
        <v>23</v>
      </c>
      <c r="W4885" s="1" t="s">
        <v>24</v>
      </c>
      <c r="X4885" s="1">
        <v>2707</v>
      </c>
      <c r="Y4885" s="1" t="s">
        <v>24</v>
      </c>
      <c r="Z4885" s="1" t="s">
        <v>24</v>
      </c>
      <c r="AA4885" s="1" t="s">
        <v>24</v>
      </c>
      <c r="AB4885" s="1" t="s">
        <v>24</v>
      </c>
      <c r="AC4885" s="1" t="s">
        <v>24</v>
      </c>
      <c r="AD4885" s="1" t="s">
        <v>24</v>
      </c>
      <c r="AE4885" s="1" t="s">
        <v>24</v>
      </c>
      <c r="AF4885" s="22"/>
    </row>
    <row r="4886" spans="1:32" x14ac:dyDescent="0.2">
      <c r="A4886" s="1">
        <v>45795</v>
      </c>
      <c r="B4886" s="1" t="s">
        <v>14801</v>
      </c>
      <c r="C4886" s="5" t="s">
        <v>0</v>
      </c>
      <c r="E4886" s="1" t="s">
        <v>14802</v>
      </c>
      <c r="F4886" s="1" t="s">
        <v>6405</v>
      </c>
      <c r="G4886" s="1" t="s">
        <v>6406</v>
      </c>
      <c r="H4886" s="1" t="s">
        <v>92</v>
      </c>
      <c r="I4886" s="1" t="s">
        <v>16</v>
      </c>
      <c r="J4886" s="1">
        <v>1</v>
      </c>
      <c r="K4886" s="1">
        <v>1</v>
      </c>
      <c r="L4886" s="1" t="s">
        <v>31</v>
      </c>
      <c r="M4886" s="1" t="s">
        <v>18</v>
      </c>
      <c r="N4886" s="1" t="s">
        <v>18</v>
      </c>
      <c r="O4886" s="1">
        <v>3</v>
      </c>
      <c r="P4886" s="1">
        <v>7</v>
      </c>
      <c r="Q4886" s="7" t="s">
        <v>17633</v>
      </c>
      <c r="R4886" s="1" t="s">
        <v>19</v>
      </c>
      <c r="S4886" s="1" t="s">
        <v>63</v>
      </c>
      <c r="T4886" s="1" t="s">
        <v>21</v>
      </c>
      <c r="U4886" s="1" t="s">
        <v>22</v>
      </c>
      <c r="V4886" s="1" t="s">
        <v>24</v>
      </c>
      <c r="W4886" s="1" t="s">
        <v>24</v>
      </c>
      <c r="X4886" s="1">
        <v>2707</v>
      </c>
      <c r="Y4886" s="1">
        <v>3002</v>
      </c>
      <c r="Z4886" s="1" t="s">
        <v>24</v>
      </c>
      <c r="AA4886" s="1" t="s">
        <v>24</v>
      </c>
      <c r="AB4886" s="1" t="s">
        <v>24</v>
      </c>
      <c r="AC4886" s="1" t="s">
        <v>24</v>
      </c>
      <c r="AD4886" s="1" t="s">
        <v>24</v>
      </c>
      <c r="AE4886" s="1" t="s">
        <v>24</v>
      </c>
      <c r="AF4886" s="22"/>
    </row>
    <row r="4887" spans="1:32" x14ac:dyDescent="0.2">
      <c r="A4887" s="1">
        <v>45796</v>
      </c>
      <c r="B4887" s="1" t="s">
        <v>14803</v>
      </c>
      <c r="C4887" s="5" t="s">
        <v>0</v>
      </c>
      <c r="E4887" s="1" t="s">
        <v>14804</v>
      </c>
      <c r="F4887" s="1" t="s">
        <v>6405</v>
      </c>
      <c r="G4887" s="1" t="s">
        <v>6406</v>
      </c>
      <c r="H4887" s="1" t="s">
        <v>92</v>
      </c>
      <c r="I4887" s="1" t="s">
        <v>16</v>
      </c>
      <c r="J4887" s="1">
        <v>1</v>
      </c>
      <c r="K4887" s="1">
        <v>1</v>
      </c>
      <c r="L4887" s="1" t="s">
        <v>31</v>
      </c>
      <c r="M4887" s="1" t="s">
        <v>18</v>
      </c>
      <c r="N4887" s="1" t="s">
        <v>18</v>
      </c>
      <c r="O4887" s="1">
        <v>3</v>
      </c>
      <c r="P4887" s="1">
        <v>7</v>
      </c>
      <c r="Q4887" s="7" t="s">
        <v>17633</v>
      </c>
      <c r="R4887" s="1" t="s">
        <v>19</v>
      </c>
      <c r="S4887" s="1" t="s">
        <v>63</v>
      </c>
      <c r="T4887" s="1" t="s">
        <v>21</v>
      </c>
      <c r="U4887" s="1" t="s">
        <v>22</v>
      </c>
      <c r="V4887" s="1" t="s">
        <v>24</v>
      </c>
      <c r="W4887" s="1" t="s">
        <v>24</v>
      </c>
      <c r="X4887" s="1">
        <v>2705</v>
      </c>
      <c r="Y4887" s="1" t="s">
        <v>24</v>
      </c>
      <c r="Z4887" s="1" t="s">
        <v>24</v>
      </c>
      <c r="AA4887" s="1" t="s">
        <v>24</v>
      </c>
      <c r="AB4887" s="1" t="s">
        <v>24</v>
      </c>
      <c r="AC4887" s="1" t="s">
        <v>24</v>
      </c>
      <c r="AD4887" s="1" t="s">
        <v>24</v>
      </c>
      <c r="AE4887" s="1" t="s">
        <v>24</v>
      </c>
      <c r="AF4887" s="22"/>
    </row>
    <row r="4888" spans="1:32" x14ac:dyDescent="0.2">
      <c r="A4888" s="1">
        <v>45797</v>
      </c>
      <c r="B4888" s="1" t="s">
        <v>14805</v>
      </c>
      <c r="C4888" s="5" t="s">
        <v>0</v>
      </c>
      <c r="E4888" s="1" t="s">
        <v>14806</v>
      </c>
      <c r="F4888" s="1" t="s">
        <v>6405</v>
      </c>
      <c r="G4888" s="1" t="s">
        <v>6406</v>
      </c>
      <c r="H4888" s="1" t="s">
        <v>92</v>
      </c>
      <c r="I4888" s="1" t="s">
        <v>16</v>
      </c>
      <c r="J4888" s="1">
        <v>1</v>
      </c>
      <c r="K4888" s="1">
        <v>1</v>
      </c>
      <c r="L4888" s="1" t="s">
        <v>31</v>
      </c>
      <c r="M4888" s="1" t="s">
        <v>18</v>
      </c>
      <c r="N4888" s="1" t="s">
        <v>18</v>
      </c>
      <c r="O4888" s="1">
        <v>3</v>
      </c>
      <c r="P4888" s="1">
        <v>7</v>
      </c>
      <c r="Q4888" s="7" t="s">
        <v>17633</v>
      </c>
      <c r="R4888" s="1" t="s">
        <v>19</v>
      </c>
      <c r="S4888" s="1" t="s">
        <v>63</v>
      </c>
      <c r="T4888" s="1" t="s">
        <v>21</v>
      </c>
      <c r="U4888" s="1" t="s">
        <v>22</v>
      </c>
      <c r="V4888" s="1" t="s">
        <v>24</v>
      </c>
      <c r="W4888" s="1" t="s">
        <v>24</v>
      </c>
      <c r="X4888" s="1">
        <v>2400</v>
      </c>
      <c r="Y4888" s="1" t="s">
        <v>24</v>
      </c>
      <c r="Z4888" s="1" t="s">
        <v>24</v>
      </c>
      <c r="AA4888" s="1" t="s">
        <v>24</v>
      </c>
      <c r="AB4888" s="1" t="s">
        <v>24</v>
      </c>
      <c r="AC4888" s="1" t="s">
        <v>24</v>
      </c>
      <c r="AD4888" s="1" t="s">
        <v>24</v>
      </c>
      <c r="AE4888" s="1" t="s">
        <v>24</v>
      </c>
      <c r="AF4888" s="22"/>
    </row>
    <row r="4889" spans="1:32" x14ac:dyDescent="0.2">
      <c r="A4889" s="1">
        <v>45798</v>
      </c>
      <c r="B4889" s="1" t="s">
        <v>14807</v>
      </c>
      <c r="C4889" s="5" t="s">
        <v>0</v>
      </c>
      <c r="E4889" s="1" t="s">
        <v>14808</v>
      </c>
      <c r="F4889" s="1" t="s">
        <v>6405</v>
      </c>
      <c r="G4889" s="1" t="s">
        <v>6406</v>
      </c>
      <c r="H4889" s="1" t="s">
        <v>92</v>
      </c>
      <c r="I4889" s="1" t="s">
        <v>16</v>
      </c>
      <c r="J4889" s="1">
        <v>1</v>
      </c>
      <c r="K4889" s="1">
        <v>1</v>
      </c>
      <c r="L4889" s="1" t="s">
        <v>31</v>
      </c>
      <c r="M4889" s="1" t="s">
        <v>18</v>
      </c>
      <c r="N4889" s="1" t="s">
        <v>18</v>
      </c>
      <c r="O4889" s="1">
        <v>3</v>
      </c>
      <c r="P4889" s="1">
        <v>7</v>
      </c>
      <c r="Q4889" s="7" t="s">
        <v>17633</v>
      </c>
      <c r="R4889" s="1" t="s">
        <v>19</v>
      </c>
      <c r="S4889" s="1" t="s">
        <v>63</v>
      </c>
      <c r="T4889" s="1" t="s">
        <v>21</v>
      </c>
      <c r="U4889" s="1" t="s">
        <v>22</v>
      </c>
      <c r="V4889" s="1" t="s">
        <v>24</v>
      </c>
      <c r="W4889" s="1" t="s">
        <v>24</v>
      </c>
      <c r="X4889" s="1">
        <v>2743</v>
      </c>
      <c r="Y4889" s="1" t="s">
        <v>24</v>
      </c>
      <c r="Z4889" s="1" t="s">
        <v>24</v>
      </c>
      <c r="AA4889" s="1" t="s">
        <v>24</v>
      </c>
      <c r="AB4889" s="1" t="s">
        <v>24</v>
      </c>
      <c r="AC4889" s="1" t="s">
        <v>24</v>
      </c>
      <c r="AD4889" s="1" t="s">
        <v>24</v>
      </c>
      <c r="AE4889" s="1" t="s">
        <v>24</v>
      </c>
      <c r="AF4889" s="22"/>
    </row>
    <row r="4890" spans="1:32" x14ac:dyDescent="0.2">
      <c r="A4890" s="1">
        <v>45799</v>
      </c>
      <c r="B4890" s="1" t="s">
        <v>14809</v>
      </c>
      <c r="C4890" s="5" t="s">
        <v>0</v>
      </c>
      <c r="E4890" s="1" t="s">
        <v>14810</v>
      </c>
      <c r="F4890" s="1" t="s">
        <v>6405</v>
      </c>
      <c r="G4890" s="1" t="s">
        <v>6406</v>
      </c>
      <c r="H4890" s="1" t="s">
        <v>92</v>
      </c>
      <c r="I4890" s="1" t="s">
        <v>16</v>
      </c>
      <c r="J4890" s="1">
        <v>1</v>
      </c>
      <c r="K4890" s="1">
        <v>1</v>
      </c>
      <c r="L4890" s="1" t="s">
        <v>31</v>
      </c>
      <c r="M4890" s="1" t="s">
        <v>18</v>
      </c>
      <c r="N4890" s="1" t="s">
        <v>18</v>
      </c>
      <c r="O4890" s="1">
        <v>3</v>
      </c>
      <c r="P4890" s="1">
        <v>7</v>
      </c>
      <c r="Q4890" s="7" t="s">
        <v>17633</v>
      </c>
      <c r="R4890" s="1" t="s">
        <v>19</v>
      </c>
      <c r="S4890" s="1" t="s">
        <v>63</v>
      </c>
      <c r="T4890" s="1" t="s">
        <v>21</v>
      </c>
      <c r="U4890" s="1" t="s">
        <v>22</v>
      </c>
      <c r="V4890" s="1" t="s">
        <v>24</v>
      </c>
      <c r="W4890" s="1" t="s">
        <v>24</v>
      </c>
      <c r="X4890" s="1">
        <v>2741</v>
      </c>
      <c r="Y4890" s="1" t="s">
        <v>24</v>
      </c>
      <c r="Z4890" s="1" t="s">
        <v>24</v>
      </c>
      <c r="AA4890" s="1" t="s">
        <v>24</v>
      </c>
      <c r="AB4890" s="1" t="s">
        <v>24</v>
      </c>
      <c r="AC4890" s="1" t="s">
        <v>24</v>
      </c>
      <c r="AD4890" s="1" t="s">
        <v>24</v>
      </c>
      <c r="AE4890" s="1" t="s">
        <v>24</v>
      </c>
      <c r="AF4890" s="22"/>
    </row>
    <row r="4891" spans="1:32" x14ac:dyDescent="0.2">
      <c r="A4891" s="1">
        <v>45800</v>
      </c>
      <c r="B4891" s="1" t="s">
        <v>14811</v>
      </c>
      <c r="C4891" s="5" t="s">
        <v>0</v>
      </c>
      <c r="E4891" s="1" t="s">
        <v>14812</v>
      </c>
      <c r="F4891" s="1" t="s">
        <v>6405</v>
      </c>
      <c r="G4891" s="1" t="s">
        <v>6406</v>
      </c>
      <c r="H4891" s="1" t="s">
        <v>92</v>
      </c>
      <c r="I4891" s="1" t="s">
        <v>16</v>
      </c>
      <c r="J4891" s="1">
        <v>1</v>
      </c>
      <c r="K4891" s="1">
        <v>1</v>
      </c>
      <c r="L4891" s="1" t="s">
        <v>31</v>
      </c>
      <c r="M4891" s="1" t="s">
        <v>18</v>
      </c>
      <c r="N4891" s="1" t="s">
        <v>18</v>
      </c>
      <c r="O4891" s="1">
        <v>3</v>
      </c>
      <c r="P4891" s="1">
        <v>7</v>
      </c>
      <c r="Q4891" s="7" t="s">
        <v>17633</v>
      </c>
      <c r="R4891" s="1" t="s">
        <v>19</v>
      </c>
      <c r="S4891" s="1" t="s">
        <v>63</v>
      </c>
      <c r="T4891" s="1" t="s">
        <v>21</v>
      </c>
      <c r="U4891" s="1" t="s">
        <v>22</v>
      </c>
      <c r="V4891" s="1" t="s">
        <v>24</v>
      </c>
      <c r="W4891" s="1" t="s">
        <v>24</v>
      </c>
      <c r="X4891" s="1">
        <v>2727</v>
      </c>
      <c r="Y4891" s="1">
        <v>2748</v>
      </c>
      <c r="Z4891" s="1" t="s">
        <v>24</v>
      </c>
      <c r="AA4891" s="1" t="s">
        <v>24</v>
      </c>
      <c r="AB4891" s="1" t="s">
        <v>24</v>
      </c>
      <c r="AC4891" s="1" t="s">
        <v>24</v>
      </c>
      <c r="AD4891" s="1" t="s">
        <v>24</v>
      </c>
      <c r="AE4891" s="1" t="s">
        <v>24</v>
      </c>
      <c r="AF4891" s="22"/>
    </row>
    <row r="4892" spans="1:32" x14ac:dyDescent="0.2">
      <c r="A4892" s="1">
        <v>45801</v>
      </c>
      <c r="B4892" s="1" t="s">
        <v>14813</v>
      </c>
      <c r="C4892" s="5" t="s">
        <v>0</v>
      </c>
      <c r="E4892" s="1" t="s">
        <v>14814</v>
      </c>
      <c r="F4892" s="1" t="s">
        <v>6405</v>
      </c>
      <c r="G4892" s="1" t="s">
        <v>6406</v>
      </c>
      <c r="H4892" s="1" t="s">
        <v>92</v>
      </c>
      <c r="I4892" s="1" t="s">
        <v>16</v>
      </c>
      <c r="J4892" s="1">
        <v>1</v>
      </c>
      <c r="K4892" s="1">
        <v>1</v>
      </c>
      <c r="L4892" s="1" t="s">
        <v>31</v>
      </c>
      <c r="M4892" s="1" t="s">
        <v>18</v>
      </c>
      <c r="N4892" s="1" t="s">
        <v>18</v>
      </c>
      <c r="O4892" s="1">
        <v>3</v>
      </c>
      <c r="P4892" s="1">
        <v>7</v>
      </c>
      <c r="Q4892" s="7" t="s">
        <v>17633</v>
      </c>
      <c r="R4892" s="1" t="s">
        <v>19</v>
      </c>
      <c r="S4892" s="1" t="s">
        <v>63</v>
      </c>
      <c r="T4892" s="1" t="s">
        <v>21</v>
      </c>
      <c r="U4892" s="1" t="s">
        <v>22</v>
      </c>
      <c r="V4892" s="1" t="s">
        <v>24</v>
      </c>
      <c r="W4892" s="1" t="s">
        <v>24</v>
      </c>
      <c r="X4892" s="1">
        <v>2204</v>
      </c>
      <c r="Y4892" s="1">
        <v>2701</v>
      </c>
      <c r="Z4892" s="1" t="s">
        <v>24</v>
      </c>
      <c r="AA4892" s="1" t="s">
        <v>24</v>
      </c>
      <c r="AB4892" s="1" t="s">
        <v>24</v>
      </c>
      <c r="AC4892" s="1" t="s">
        <v>24</v>
      </c>
      <c r="AD4892" s="1" t="s">
        <v>24</v>
      </c>
      <c r="AE4892" s="1" t="s">
        <v>24</v>
      </c>
      <c r="AF4892" s="22"/>
    </row>
    <row r="4893" spans="1:32" x14ac:dyDescent="0.2">
      <c r="A4893" s="1">
        <v>45802</v>
      </c>
      <c r="B4893" s="1" t="s">
        <v>14815</v>
      </c>
      <c r="C4893" s="5" t="s">
        <v>0</v>
      </c>
      <c r="E4893" s="1" t="s">
        <v>14816</v>
      </c>
      <c r="F4893" s="1" t="s">
        <v>6405</v>
      </c>
      <c r="G4893" s="1" t="s">
        <v>6406</v>
      </c>
      <c r="H4893" s="1" t="s">
        <v>92</v>
      </c>
      <c r="I4893" s="1" t="s">
        <v>16</v>
      </c>
      <c r="J4893" s="1">
        <v>1</v>
      </c>
      <c r="K4893" s="1">
        <v>1</v>
      </c>
      <c r="L4893" s="1" t="s">
        <v>31</v>
      </c>
      <c r="M4893" s="1" t="s">
        <v>18</v>
      </c>
      <c r="N4893" s="1" t="s">
        <v>18</v>
      </c>
      <c r="O4893" s="1">
        <v>3</v>
      </c>
      <c r="P4893" s="1">
        <v>7</v>
      </c>
      <c r="Q4893" s="7" t="s">
        <v>17633</v>
      </c>
      <c r="R4893" s="1" t="s">
        <v>19</v>
      </c>
      <c r="S4893" s="1" t="s">
        <v>63</v>
      </c>
      <c r="T4893" s="1" t="s">
        <v>21</v>
      </c>
      <c r="U4893" s="1" t="s">
        <v>22</v>
      </c>
      <c r="V4893" s="1" t="s">
        <v>23</v>
      </c>
      <c r="W4893" s="1" t="s">
        <v>24</v>
      </c>
      <c r="X4893" s="1">
        <v>2706</v>
      </c>
      <c r="Y4893" s="1">
        <v>2906</v>
      </c>
      <c r="Z4893" s="1" t="s">
        <v>24</v>
      </c>
      <c r="AA4893" s="1" t="s">
        <v>24</v>
      </c>
      <c r="AB4893" s="1" t="s">
        <v>24</v>
      </c>
      <c r="AC4893" s="1" t="s">
        <v>24</v>
      </c>
      <c r="AD4893" s="1" t="s">
        <v>24</v>
      </c>
      <c r="AE4893" s="1" t="s">
        <v>24</v>
      </c>
      <c r="AF4893" s="22"/>
    </row>
    <row r="4894" spans="1:32" x14ac:dyDescent="0.2">
      <c r="A4894" s="1">
        <v>45803</v>
      </c>
      <c r="B4894" s="1" t="s">
        <v>14817</v>
      </c>
      <c r="C4894" s="5" t="s">
        <v>0</v>
      </c>
      <c r="E4894" s="1" t="s">
        <v>14818</v>
      </c>
      <c r="F4894" s="1" t="s">
        <v>6405</v>
      </c>
      <c r="G4894" s="1" t="s">
        <v>6406</v>
      </c>
      <c r="H4894" s="1" t="s">
        <v>92</v>
      </c>
      <c r="I4894" s="1" t="s">
        <v>16</v>
      </c>
      <c r="J4894" s="1">
        <v>1</v>
      </c>
      <c r="K4894" s="1">
        <v>1</v>
      </c>
      <c r="L4894" s="1" t="s">
        <v>31</v>
      </c>
      <c r="M4894" s="1" t="s">
        <v>18</v>
      </c>
      <c r="N4894" s="1" t="s">
        <v>18</v>
      </c>
      <c r="O4894" s="1">
        <v>3</v>
      </c>
      <c r="P4894" s="1">
        <v>7</v>
      </c>
      <c r="Q4894" s="7" t="s">
        <v>17633</v>
      </c>
      <c r="R4894" s="1" t="s">
        <v>19</v>
      </c>
      <c r="S4894" s="1" t="s">
        <v>63</v>
      </c>
      <c r="T4894" s="1" t="s">
        <v>21</v>
      </c>
      <c r="U4894" s="1" t="s">
        <v>22</v>
      </c>
      <c r="V4894" s="1" t="s">
        <v>24</v>
      </c>
      <c r="W4894" s="1" t="s">
        <v>24</v>
      </c>
      <c r="X4894" s="1">
        <v>2731</v>
      </c>
      <c r="Y4894" s="1" t="s">
        <v>24</v>
      </c>
      <c r="Z4894" s="1" t="s">
        <v>24</v>
      </c>
      <c r="AA4894" s="1" t="s">
        <v>24</v>
      </c>
      <c r="AB4894" s="1" t="s">
        <v>24</v>
      </c>
      <c r="AC4894" s="1" t="s">
        <v>24</v>
      </c>
      <c r="AD4894" s="1" t="s">
        <v>24</v>
      </c>
      <c r="AE4894" s="1" t="s">
        <v>24</v>
      </c>
      <c r="AF4894" s="22"/>
    </row>
    <row r="4895" spans="1:32" x14ac:dyDescent="0.2">
      <c r="A4895" s="1">
        <v>45804</v>
      </c>
      <c r="B4895" s="1" t="s">
        <v>14819</v>
      </c>
      <c r="C4895" s="5" t="s">
        <v>0</v>
      </c>
      <c r="E4895" s="1" t="s">
        <v>14820</v>
      </c>
      <c r="F4895" s="1" t="s">
        <v>6405</v>
      </c>
      <c r="G4895" s="1" t="s">
        <v>6406</v>
      </c>
      <c r="H4895" s="1" t="s">
        <v>92</v>
      </c>
      <c r="I4895" s="1" t="s">
        <v>16</v>
      </c>
      <c r="J4895" s="1">
        <v>1</v>
      </c>
      <c r="K4895" s="1">
        <v>1</v>
      </c>
      <c r="L4895" s="1" t="s">
        <v>31</v>
      </c>
      <c r="M4895" s="1" t="s">
        <v>18</v>
      </c>
      <c r="N4895" s="1" t="s">
        <v>18</v>
      </c>
      <c r="O4895" s="1">
        <v>3</v>
      </c>
      <c r="P4895" s="1">
        <v>7</v>
      </c>
      <c r="Q4895" s="7" t="s">
        <v>17633</v>
      </c>
      <c r="R4895" s="1" t="s">
        <v>19</v>
      </c>
      <c r="S4895" s="1" t="s">
        <v>63</v>
      </c>
      <c r="T4895" s="1" t="s">
        <v>21</v>
      </c>
      <c r="U4895" s="1" t="s">
        <v>22</v>
      </c>
      <c r="V4895" s="1" t="s">
        <v>23</v>
      </c>
      <c r="W4895" s="1" t="s">
        <v>24</v>
      </c>
      <c r="X4895" s="1">
        <v>2739</v>
      </c>
      <c r="Y4895" s="1">
        <v>2905</v>
      </c>
      <c r="Z4895" s="1">
        <v>3306</v>
      </c>
      <c r="AA4895" s="1" t="s">
        <v>24</v>
      </c>
      <c r="AB4895" s="1" t="s">
        <v>24</v>
      </c>
      <c r="AC4895" s="1" t="s">
        <v>24</v>
      </c>
      <c r="AD4895" s="1" t="s">
        <v>24</v>
      </c>
      <c r="AE4895" s="1" t="s">
        <v>24</v>
      </c>
      <c r="AF4895" s="22"/>
    </row>
    <row r="4896" spans="1:32" x14ac:dyDescent="0.2">
      <c r="A4896" s="1">
        <v>45805</v>
      </c>
      <c r="B4896" s="1" t="s">
        <v>14821</v>
      </c>
      <c r="C4896" s="5" t="s">
        <v>0</v>
      </c>
      <c r="E4896" s="1" t="s">
        <v>14822</v>
      </c>
      <c r="F4896" s="1" t="s">
        <v>6405</v>
      </c>
      <c r="G4896" s="1" t="s">
        <v>6406</v>
      </c>
      <c r="H4896" s="1" t="s">
        <v>92</v>
      </c>
      <c r="I4896" s="1" t="s">
        <v>16</v>
      </c>
      <c r="J4896" s="1">
        <v>1</v>
      </c>
      <c r="K4896" s="1">
        <v>1</v>
      </c>
      <c r="L4896" s="1" t="s">
        <v>31</v>
      </c>
      <c r="M4896" s="1" t="s">
        <v>18</v>
      </c>
      <c r="N4896" s="1" t="s">
        <v>18</v>
      </c>
      <c r="O4896" s="1">
        <v>3</v>
      </c>
      <c r="P4896" s="1">
        <v>7</v>
      </c>
      <c r="Q4896" s="7" t="s">
        <v>17633</v>
      </c>
      <c r="R4896" s="1" t="s">
        <v>19</v>
      </c>
      <c r="S4896" s="1" t="s">
        <v>63</v>
      </c>
      <c r="T4896" s="1" t="s">
        <v>21</v>
      </c>
      <c r="U4896" s="1" t="s">
        <v>22</v>
      </c>
      <c r="V4896" s="1" t="s">
        <v>24</v>
      </c>
      <c r="W4896" s="1" t="s">
        <v>24</v>
      </c>
      <c r="X4896" s="1">
        <v>2712</v>
      </c>
      <c r="Y4896" s="1">
        <v>2724</v>
      </c>
      <c r="Z4896" s="1" t="s">
        <v>24</v>
      </c>
      <c r="AA4896" s="1" t="s">
        <v>24</v>
      </c>
      <c r="AB4896" s="1" t="s">
        <v>24</v>
      </c>
      <c r="AC4896" s="1" t="s">
        <v>24</v>
      </c>
      <c r="AD4896" s="1" t="s">
        <v>24</v>
      </c>
      <c r="AE4896" s="1" t="s">
        <v>24</v>
      </c>
      <c r="AF4896" s="22"/>
    </row>
    <row r="4897" spans="1:32" x14ac:dyDescent="0.2">
      <c r="A4897" s="1">
        <v>45806</v>
      </c>
      <c r="B4897" s="1" t="s">
        <v>14823</v>
      </c>
      <c r="C4897" s="5" t="s">
        <v>0</v>
      </c>
      <c r="E4897" s="1" t="s">
        <v>14824</v>
      </c>
      <c r="F4897" s="1" t="s">
        <v>6405</v>
      </c>
      <c r="G4897" s="1" t="s">
        <v>6406</v>
      </c>
      <c r="H4897" s="1" t="s">
        <v>92</v>
      </c>
      <c r="I4897" s="1" t="s">
        <v>16</v>
      </c>
      <c r="J4897" s="1">
        <v>1</v>
      </c>
      <c r="K4897" s="1">
        <v>1</v>
      </c>
      <c r="L4897" s="1" t="s">
        <v>31</v>
      </c>
      <c r="M4897" s="1" t="s">
        <v>18</v>
      </c>
      <c r="N4897" s="1" t="s">
        <v>18</v>
      </c>
      <c r="O4897" s="1">
        <v>3</v>
      </c>
      <c r="P4897" s="1">
        <v>7</v>
      </c>
      <c r="Q4897" s="7" t="s">
        <v>17633</v>
      </c>
      <c r="R4897" s="1" t="s">
        <v>19</v>
      </c>
      <c r="S4897" s="1" t="s">
        <v>63</v>
      </c>
      <c r="T4897" s="1" t="s">
        <v>21</v>
      </c>
      <c r="U4897" s="1" t="s">
        <v>22</v>
      </c>
      <c r="V4897" s="1" t="s">
        <v>24</v>
      </c>
      <c r="W4897" s="1" t="s">
        <v>24</v>
      </c>
      <c r="X4897" s="1">
        <v>1605</v>
      </c>
      <c r="Y4897" s="1">
        <v>1303</v>
      </c>
      <c r="Z4897" s="1">
        <v>1315</v>
      </c>
      <c r="AA4897" s="1" t="s">
        <v>24</v>
      </c>
      <c r="AB4897" s="1" t="s">
        <v>24</v>
      </c>
      <c r="AC4897" s="1" t="s">
        <v>24</v>
      </c>
      <c r="AD4897" s="1" t="s">
        <v>24</v>
      </c>
      <c r="AE4897" s="1" t="s">
        <v>24</v>
      </c>
      <c r="AF4897" s="22"/>
    </row>
    <row r="4898" spans="1:32" x14ac:dyDescent="0.2">
      <c r="A4898" s="1">
        <v>45807</v>
      </c>
      <c r="B4898" s="1" t="s">
        <v>14825</v>
      </c>
      <c r="C4898" s="5" t="s">
        <v>0</v>
      </c>
      <c r="E4898" s="1" t="s">
        <v>14826</v>
      </c>
      <c r="F4898" s="1" t="s">
        <v>6405</v>
      </c>
      <c r="G4898" s="1" t="s">
        <v>6406</v>
      </c>
      <c r="H4898" s="1" t="s">
        <v>92</v>
      </c>
      <c r="I4898" s="1" t="s">
        <v>16</v>
      </c>
      <c r="J4898" s="1">
        <v>1</v>
      </c>
      <c r="K4898" s="1">
        <v>1</v>
      </c>
      <c r="L4898" s="1" t="s">
        <v>31</v>
      </c>
      <c r="M4898" s="1" t="s">
        <v>18</v>
      </c>
      <c r="N4898" s="1" t="s">
        <v>18</v>
      </c>
      <c r="O4898" s="1">
        <v>3</v>
      </c>
      <c r="P4898" s="1">
        <v>7</v>
      </c>
      <c r="Q4898" s="7" t="s">
        <v>17633</v>
      </c>
      <c r="R4898" s="1" t="s">
        <v>19</v>
      </c>
      <c r="S4898" s="1" t="s">
        <v>63</v>
      </c>
      <c r="T4898" s="1" t="s">
        <v>21</v>
      </c>
      <c r="U4898" s="1" t="s">
        <v>22</v>
      </c>
      <c r="V4898" s="1" t="s">
        <v>24</v>
      </c>
      <c r="W4898" s="1" t="s">
        <v>24</v>
      </c>
      <c r="X4898" s="1">
        <v>2732</v>
      </c>
      <c r="Y4898" s="1">
        <v>2712</v>
      </c>
      <c r="Z4898" s="1" t="s">
        <v>24</v>
      </c>
      <c r="AA4898" s="1" t="s">
        <v>24</v>
      </c>
      <c r="AB4898" s="1" t="s">
        <v>24</v>
      </c>
      <c r="AC4898" s="1" t="s">
        <v>24</v>
      </c>
      <c r="AD4898" s="1" t="s">
        <v>24</v>
      </c>
      <c r="AE4898" s="1" t="s">
        <v>24</v>
      </c>
      <c r="AF4898" s="22"/>
    </row>
    <row r="4899" spans="1:32" x14ac:dyDescent="0.2">
      <c r="A4899" s="1">
        <v>45808</v>
      </c>
      <c r="B4899" s="1" t="s">
        <v>14827</v>
      </c>
      <c r="C4899" s="5" t="s">
        <v>0</v>
      </c>
      <c r="E4899" s="1" t="s">
        <v>14828</v>
      </c>
      <c r="F4899" s="1" t="s">
        <v>6405</v>
      </c>
      <c r="G4899" s="1" t="s">
        <v>6406</v>
      </c>
      <c r="H4899" s="1" t="s">
        <v>92</v>
      </c>
      <c r="I4899" s="1" t="s">
        <v>16</v>
      </c>
      <c r="J4899" s="1">
        <v>1</v>
      </c>
      <c r="K4899" s="1">
        <v>1</v>
      </c>
      <c r="L4899" s="1" t="s">
        <v>31</v>
      </c>
      <c r="M4899" s="1" t="s">
        <v>18</v>
      </c>
      <c r="N4899" s="1" t="s">
        <v>18</v>
      </c>
      <c r="O4899" s="1">
        <v>3</v>
      </c>
      <c r="P4899" s="1">
        <v>7</v>
      </c>
      <c r="Q4899" s="7" t="s">
        <v>17633</v>
      </c>
      <c r="R4899" s="1" t="s">
        <v>19</v>
      </c>
      <c r="S4899" s="1" t="s">
        <v>63</v>
      </c>
      <c r="T4899" s="1" t="s">
        <v>21</v>
      </c>
      <c r="U4899" s="1" t="s">
        <v>22</v>
      </c>
      <c r="V4899" s="1" t="s">
        <v>24</v>
      </c>
      <c r="W4899" s="1" t="s">
        <v>24</v>
      </c>
      <c r="X4899" s="1">
        <v>1309</v>
      </c>
      <c r="Y4899" s="1">
        <v>2806</v>
      </c>
      <c r="Z4899" s="1" t="s">
        <v>24</v>
      </c>
      <c r="AA4899" s="1" t="s">
        <v>24</v>
      </c>
      <c r="AB4899" s="1" t="s">
        <v>24</v>
      </c>
      <c r="AC4899" s="1" t="s">
        <v>24</v>
      </c>
      <c r="AD4899" s="1" t="s">
        <v>24</v>
      </c>
      <c r="AE4899" s="1" t="s">
        <v>24</v>
      </c>
      <c r="AF4899" s="22"/>
    </row>
    <row r="4900" spans="1:32" x14ac:dyDescent="0.2">
      <c r="A4900" s="1">
        <v>45809</v>
      </c>
      <c r="B4900" s="1" t="s">
        <v>14829</v>
      </c>
      <c r="C4900" s="5" t="s">
        <v>0</v>
      </c>
      <c r="E4900" s="1" t="s">
        <v>14830</v>
      </c>
      <c r="F4900" s="1" t="s">
        <v>6405</v>
      </c>
      <c r="G4900" s="1" t="s">
        <v>6406</v>
      </c>
      <c r="H4900" s="1" t="s">
        <v>92</v>
      </c>
      <c r="I4900" s="1" t="s">
        <v>16</v>
      </c>
      <c r="J4900" s="1">
        <v>1</v>
      </c>
      <c r="K4900" s="1">
        <v>1</v>
      </c>
      <c r="L4900" s="1" t="s">
        <v>31</v>
      </c>
      <c r="M4900" s="1" t="s">
        <v>18</v>
      </c>
      <c r="N4900" s="1" t="s">
        <v>18</v>
      </c>
      <c r="O4900" s="1">
        <v>3</v>
      </c>
      <c r="P4900" s="1">
        <v>7</v>
      </c>
      <c r="Q4900" s="7" t="s">
        <v>17633</v>
      </c>
      <c r="R4900" s="1" t="s">
        <v>19</v>
      </c>
      <c r="S4900" s="1" t="s">
        <v>63</v>
      </c>
      <c r="T4900" s="1" t="s">
        <v>21</v>
      </c>
      <c r="U4900" s="1" t="s">
        <v>22</v>
      </c>
      <c r="V4900" s="1" t="s">
        <v>24</v>
      </c>
      <c r="W4900" s="1" t="s">
        <v>24</v>
      </c>
      <c r="X4900" s="1">
        <v>2746</v>
      </c>
      <c r="Y4900" s="1">
        <v>2728</v>
      </c>
      <c r="Z4900" s="1" t="s">
        <v>24</v>
      </c>
      <c r="AA4900" s="1" t="s">
        <v>24</v>
      </c>
      <c r="AB4900" s="1" t="s">
        <v>24</v>
      </c>
      <c r="AC4900" s="1" t="s">
        <v>24</v>
      </c>
      <c r="AD4900" s="1" t="s">
        <v>24</v>
      </c>
      <c r="AE4900" s="1" t="s">
        <v>24</v>
      </c>
      <c r="AF4900" s="22"/>
    </row>
    <row r="4901" spans="1:32" x14ac:dyDescent="0.2">
      <c r="A4901" s="1">
        <v>45810</v>
      </c>
      <c r="B4901" s="1" t="s">
        <v>14831</v>
      </c>
      <c r="C4901" s="5" t="s">
        <v>0</v>
      </c>
      <c r="E4901" s="1" t="s">
        <v>14832</v>
      </c>
      <c r="F4901" s="1" t="s">
        <v>6405</v>
      </c>
      <c r="G4901" s="1" t="s">
        <v>6406</v>
      </c>
      <c r="H4901" s="1" t="s">
        <v>92</v>
      </c>
      <c r="I4901" s="1" t="s">
        <v>16</v>
      </c>
      <c r="J4901" s="1">
        <v>1</v>
      </c>
      <c r="K4901" s="1">
        <v>1</v>
      </c>
      <c r="L4901" s="1" t="s">
        <v>31</v>
      </c>
      <c r="M4901" s="1" t="s">
        <v>18</v>
      </c>
      <c r="N4901" s="1" t="s">
        <v>18</v>
      </c>
      <c r="O4901" s="1">
        <v>3</v>
      </c>
      <c r="P4901" s="1">
        <v>7</v>
      </c>
      <c r="Q4901" s="7" t="s">
        <v>17633</v>
      </c>
      <c r="R4901" s="1" t="s">
        <v>19</v>
      </c>
      <c r="S4901" s="1" t="s">
        <v>63</v>
      </c>
      <c r="T4901" s="1" t="s">
        <v>21</v>
      </c>
      <c r="U4901" s="1" t="s">
        <v>22</v>
      </c>
      <c r="V4901" s="1" t="s">
        <v>24</v>
      </c>
      <c r="W4901" s="1" t="s">
        <v>24</v>
      </c>
      <c r="X4901" s="1">
        <v>2730</v>
      </c>
      <c r="Y4901" s="1">
        <v>1306</v>
      </c>
      <c r="Z4901" s="1" t="s">
        <v>24</v>
      </c>
      <c r="AA4901" s="1" t="s">
        <v>24</v>
      </c>
      <c r="AB4901" s="1" t="s">
        <v>24</v>
      </c>
      <c r="AC4901" s="1" t="s">
        <v>24</v>
      </c>
      <c r="AD4901" s="1" t="s">
        <v>24</v>
      </c>
      <c r="AE4901" s="1" t="s">
        <v>24</v>
      </c>
      <c r="AF4901" s="22"/>
    </row>
    <row r="4902" spans="1:32" x14ac:dyDescent="0.2">
      <c r="A4902" s="1">
        <v>45811</v>
      </c>
      <c r="B4902" s="1" t="s">
        <v>14833</v>
      </c>
      <c r="C4902" s="5" t="s">
        <v>0</v>
      </c>
      <c r="E4902" s="1" t="s">
        <v>14834</v>
      </c>
      <c r="F4902" s="1" t="s">
        <v>6405</v>
      </c>
      <c r="G4902" s="1" t="s">
        <v>6406</v>
      </c>
      <c r="H4902" s="1" t="s">
        <v>92</v>
      </c>
      <c r="I4902" s="1" t="s">
        <v>16</v>
      </c>
      <c r="J4902" s="1">
        <v>1</v>
      </c>
      <c r="K4902" s="1">
        <v>1</v>
      </c>
      <c r="L4902" s="1" t="s">
        <v>31</v>
      </c>
      <c r="M4902" s="1" t="s">
        <v>18</v>
      </c>
      <c r="N4902" s="1" t="s">
        <v>18</v>
      </c>
      <c r="O4902" s="1">
        <v>3</v>
      </c>
      <c r="P4902" s="1">
        <v>7</v>
      </c>
      <c r="Q4902" s="7" t="s">
        <v>17633</v>
      </c>
      <c r="R4902" s="1" t="s">
        <v>19</v>
      </c>
      <c r="S4902" s="1" t="s">
        <v>63</v>
      </c>
      <c r="T4902" s="1" t="s">
        <v>21</v>
      </c>
      <c r="U4902" s="1" t="s">
        <v>22</v>
      </c>
      <c r="V4902" s="1" t="s">
        <v>24</v>
      </c>
      <c r="W4902" s="1" t="s">
        <v>24</v>
      </c>
      <c r="X4902" s="1">
        <v>2730</v>
      </c>
      <c r="Y4902" s="1">
        <v>1306</v>
      </c>
      <c r="Z4902" s="1">
        <v>2740</v>
      </c>
      <c r="AA4902" s="1" t="s">
        <v>24</v>
      </c>
      <c r="AB4902" s="1" t="s">
        <v>24</v>
      </c>
      <c r="AC4902" s="1" t="s">
        <v>24</v>
      </c>
      <c r="AD4902" s="1" t="s">
        <v>24</v>
      </c>
      <c r="AE4902" s="1" t="s">
        <v>24</v>
      </c>
      <c r="AF4902" s="22"/>
    </row>
    <row r="4903" spans="1:32" x14ac:dyDescent="0.2">
      <c r="A4903" s="1">
        <v>45812</v>
      </c>
      <c r="B4903" s="1" t="s">
        <v>14835</v>
      </c>
      <c r="C4903" s="5" t="s">
        <v>0</v>
      </c>
      <c r="E4903" s="1" t="s">
        <v>14836</v>
      </c>
      <c r="F4903" s="1" t="s">
        <v>6405</v>
      </c>
      <c r="G4903" s="1" t="s">
        <v>6406</v>
      </c>
      <c r="H4903" s="1" t="s">
        <v>92</v>
      </c>
      <c r="I4903" s="1" t="s">
        <v>16</v>
      </c>
      <c r="J4903" s="1">
        <v>1</v>
      </c>
      <c r="K4903" s="1">
        <v>1</v>
      </c>
      <c r="L4903" s="1" t="s">
        <v>31</v>
      </c>
      <c r="M4903" s="1" t="s">
        <v>18</v>
      </c>
      <c r="N4903" s="1" t="s">
        <v>18</v>
      </c>
      <c r="O4903" s="1">
        <v>3</v>
      </c>
      <c r="P4903" s="1">
        <v>7</v>
      </c>
      <c r="Q4903" s="7" t="s">
        <v>17633</v>
      </c>
      <c r="R4903" s="1" t="s">
        <v>19</v>
      </c>
      <c r="S4903" s="1" t="s">
        <v>63</v>
      </c>
      <c r="T4903" s="1" t="s">
        <v>21</v>
      </c>
      <c r="U4903" s="1" t="s">
        <v>22</v>
      </c>
      <c r="V4903" s="1" t="s">
        <v>24</v>
      </c>
      <c r="W4903" s="1" t="s">
        <v>24</v>
      </c>
      <c r="X4903" s="1">
        <v>1106</v>
      </c>
      <c r="Y4903" s="1" t="s">
        <v>24</v>
      </c>
      <c r="Z4903" s="1" t="s">
        <v>24</v>
      </c>
      <c r="AA4903" s="1" t="s">
        <v>24</v>
      </c>
      <c r="AB4903" s="1" t="s">
        <v>24</v>
      </c>
      <c r="AC4903" s="1" t="s">
        <v>24</v>
      </c>
      <c r="AD4903" s="1" t="s">
        <v>24</v>
      </c>
      <c r="AE4903" s="1" t="s">
        <v>24</v>
      </c>
      <c r="AF4903" s="22"/>
    </row>
    <row r="4904" spans="1:32" x14ac:dyDescent="0.2">
      <c r="A4904" s="1">
        <v>45813</v>
      </c>
      <c r="B4904" s="1" t="s">
        <v>14837</v>
      </c>
      <c r="C4904" s="5" t="s">
        <v>0</v>
      </c>
      <c r="E4904" s="1" t="s">
        <v>14838</v>
      </c>
      <c r="F4904" s="1" t="s">
        <v>6405</v>
      </c>
      <c r="G4904" s="1" t="s">
        <v>6406</v>
      </c>
      <c r="H4904" s="1" t="s">
        <v>92</v>
      </c>
      <c r="I4904" s="1" t="s">
        <v>16</v>
      </c>
      <c r="J4904" s="1">
        <v>1</v>
      </c>
      <c r="K4904" s="1">
        <v>1</v>
      </c>
      <c r="L4904" s="1" t="s">
        <v>31</v>
      </c>
      <c r="M4904" s="1" t="s">
        <v>18</v>
      </c>
      <c r="N4904" s="1" t="s">
        <v>18</v>
      </c>
      <c r="O4904" s="1">
        <v>3</v>
      </c>
      <c r="P4904" s="1">
        <v>7</v>
      </c>
      <c r="Q4904" s="7" t="s">
        <v>17633</v>
      </c>
      <c r="R4904" s="1" t="s">
        <v>19</v>
      </c>
      <c r="S4904" s="1" t="s">
        <v>63</v>
      </c>
      <c r="T4904" s="1" t="s">
        <v>21</v>
      </c>
      <c r="U4904" s="1" t="s">
        <v>22</v>
      </c>
      <c r="V4904" s="1" t="s">
        <v>24</v>
      </c>
      <c r="W4904" s="1" t="s">
        <v>24</v>
      </c>
      <c r="X4904" s="1">
        <v>2723</v>
      </c>
      <c r="Y4904" s="1">
        <v>2745</v>
      </c>
      <c r="Z4904" s="1" t="s">
        <v>24</v>
      </c>
      <c r="AA4904" s="1" t="s">
        <v>24</v>
      </c>
      <c r="AB4904" s="1" t="s">
        <v>24</v>
      </c>
      <c r="AC4904" s="1" t="s">
        <v>24</v>
      </c>
      <c r="AD4904" s="1" t="s">
        <v>24</v>
      </c>
      <c r="AE4904" s="1" t="s">
        <v>24</v>
      </c>
      <c r="AF4904" s="22"/>
    </row>
    <row r="4905" spans="1:32" x14ac:dyDescent="0.2">
      <c r="A4905" s="1">
        <v>45814</v>
      </c>
      <c r="B4905" s="1" t="s">
        <v>14839</v>
      </c>
      <c r="C4905" s="5" t="s">
        <v>0</v>
      </c>
      <c r="E4905" s="1" t="s">
        <v>14840</v>
      </c>
      <c r="F4905" s="1" t="s">
        <v>6405</v>
      </c>
      <c r="G4905" s="1" t="s">
        <v>6406</v>
      </c>
      <c r="H4905" s="1" t="s">
        <v>92</v>
      </c>
      <c r="I4905" s="1" t="s">
        <v>16</v>
      </c>
      <c r="J4905" s="1">
        <v>1</v>
      </c>
      <c r="K4905" s="1">
        <v>1</v>
      </c>
      <c r="L4905" s="1" t="s">
        <v>31</v>
      </c>
      <c r="M4905" s="1" t="s">
        <v>18</v>
      </c>
      <c r="N4905" s="1" t="s">
        <v>18</v>
      </c>
      <c r="O4905" s="1">
        <v>3</v>
      </c>
      <c r="P4905" s="1">
        <v>7</v>
      </c>
      <c r="Q4905" s="7" t="s">
        <v>17633</v>
      </c>
      <c r="R4905" s="1" t="s">
        <v>19</v>
      </c>
      <c r="S4905" s="1" t="s">
        <v>63</v>
      </c>
      <c r="T4905" s="1" t="s">
        <v>21</v>
      </c>
      <c r="U4905" s="1" t="s">
        <v>22</v>
      </c>
      <c r="V4905" s="1" t="s">
        <v>23</v>
      </c>
      <c r="W4905" s="1" t="s">
        <v>24</v>
      </c>
      <c r="X4905" s="1">
        <v>2717</v>
      </c>
      <c r="Y4905" s="1">
        <v>1302</v>
      </c>
      <c r="Z4905" s="1" t="s">
        <v>24</v>
      </c>
      <c r="AA4905" s="1" t="s">
        <v>24</v>
      </c>
      <c r="AB4905" s="1" t="s">
        <v>24</v>
      </c>
      <c r="AC4905" s="1" t="s">
        <v>24</v>
      </c>
      <c r="AD4905" s="1" t="s">
        <v>24</v>
      </c>
      <c r="AE4905" s="1" t="s">
        <v>24</v>
      </c>
      <c r="AF4905" s="22"/>
    </row>
    <row r="4906" spans="1:32" x14ac:dyDescent="0.2">
      <c r="A4906" s="1">
        <v>45815</v>
      </c>
      <c r="B4906" s="1" t="s">
        <v>14841</v>
      </c>
      <c r="C4906" s="5" t="s">
        <v>0</v>
      </c>
      <c r="E4906" s="1" t="s">
        <v>14842</v>
      </c>
      <c r="F4906" s="1" t="s">
        <v>6405</v>
      </c>
      <c r="G4906" s="1" t="s">
        <v>6406</v>
      </c>
      <c r="H4906" s="1" t="s">
        <v>92</v>
      </c>
      <c r="I4906" s="1" t="s">
        <v>16</v>
      </c>
      <c r="J4906" s="1">
        <v>1</v>
      </c>
      <c r="K4906" s="1">
        <v>1</v>
      </c>
      <c r="L4906" s="1" t="s">
        <v>31</v>
      </c>
      <c r="M4906" s="1" t="s">
        <v>18</v>
      </c>
      <c r="N4906" s="1" t="s">
        <v>18</v>
      </c>
      <c r="O4906" s="1">
        <v>3</v>
      </c>
      <c r="P4906" s="1">
        <v>7</v>
      </c>
      <c r="Q4906" s="7" t="s">
        <v>17633</v>
      </c>
      <c r="R4906" s="1" t="s">
        <v>19</v>
      </c>
      <c r="S4906" s="1" t="s">
        <v>63</v>
      </c>
      <c r="T4906" s="1" t="s">
        <v>21</v>
      </c>
      <c r="U4906" s="1" t="s">
        <v>22</v>
      </c>
      <c r="V4906" s="1" t="s">
        <v>24</v>
      </c>
      <c r="W4906" s="1" t="s">
        <v>24</v>
      </c>
      <c r="X4906" s="1">
        <v>1701</v>
      </c>
      <c r="Y4906" s="1">
        <v>2204</v>
      </c>
      <c r="Z4906" s="1">
        <v>2718</v>
      </c>
      <c r="AA4906" s="1" t="s">
        <v>24</v>
      </c>
      <c r="AB4906" s="1" t="s">
        <v>24</v>
      </c>
      <c r="AC4906" s="1" t="s">
        <v>24</v>
      </c>
      <c r="AD4906" s="1" t="s">
        <v>24</v>
      </c>
      <c r="AE4906" s="1" t="s">
        <v>24</v>
      </c>
      <c r="AF4906" s="22"/>
    </row>
    <row r="4907" spans="1:32" x14ac:dyDescent="0.2">
      <c r="A4907" s="1">
        <v>45816</v>
      </c>
      <c r="B4907" s="1" t="s">
        <v>14843</v>
      </c>
      <c r="C4907" s="5" t="s">
        <v>0</v>
      </c>
      <c r="E4907" s="1" t="s">
        <v>14844</v>
      </c>
      <c r="F4907" s="1" t="s">
        <v>6405</v>
      </c>
      <c r="G4907" s="1" t="s">
        <v>6406</v>
      </c>
      <c r="H4907" s="1" t="s">
        <v>92</v>
      </c>
      <c r="I4907" s="1" t="s">
        <v>16</v>
      </c>
      <c r="J4907" s="1">
        <v>1</v>
      </c>
      <c r="K4907" s="1">
        <v>1</v>
      </c>
      <c r="L4907" s="1" t="s">
        <v>31</v>
      </c>
      <c r="M4907" s="1" t="s">
        <v>18</v>
      </c>
      <c r="N4907" s="1" t="s">
        <v>18</v>
      </c>
      <c r="O4907" s="1">
        <v>3</v>
      </c>
      <c r="P4907" s="1">
        <v>7</v>
      </c>
      <c r="Q4907" s="7" t="s">
        <v>17633</v>
      </c>
      <c r="R4907" s="1" t="s">
        <v>19</v>
      </c>
      <c r="S4907" s="1" t="s">
        <v>63</v>
      </c>
      <c r="T4907" s="1" t="s">
        <v>21</v>
      </c>
      <c r="U4907" s="1" t="s">
        <v>22</v>
      </c>
      <c r="V4907" s="1" t="s">
        <v>24</v>
      </c>
      <c r="W4907" s="1" t="s">
        <v>24</v>
      </c>
      <c r="X4907" s="1">
        <v>2725</v>
      </c>
      <c r="Y4907" s="1">
        <v>2405</v>
      </c>
      <c r="Z4907" s="1" t="s">
        <v>24</v>
      </c>
      <c r="AA4907" s="1" t="s">
        <v>24</v>
      </c>
      <c r="AB4907" s="1" t="s">
        <v>24</v>
      </c>
      <c r="AC4907" s="1" t="s">
        <v>24</v>
      </c>
      <c r="AD4907" s="1" t="s">
        <v>24</v>
      </c>
      <c r="AE4907" s="1" t="s">
        <v>24</v>
      </c>
      <c r="AF4907" s="22"/>
    </row>
    <row r="4908" spans="1:32" x14ac:dyDescent="0.2">
      <c r="A4908" s="1">
        <v>45817</v>
      </c>
      <c r="B4908" s="1" t="s">
        <v>14845</v>
      </c>
      <c r="C4908" s="5" t="s">
        <v>0</v>
      </c>
      <c r="E4908" s="1" t="s">
        <v>14846</v>
      </c>
      <c r="F4908" s="1" t="s">
        <v>6405</v>
      </c>
      <c r="G4908" s="1" t="s">
        <v>6406</v>
      </c>
      <c r="H4908" s="1" t="s">
        <v>92</v>
      </c>
      <c r="I4908" s="1" t="s">
        <v>16</v>
      </c>
      <c r="J4908" s="1">
        <v>1</v>
      </c>
      <c r="K4908" s="1">
        <v>1</v>
      </c>
      <c r="L4908" s="1" t="s">
        <v>31</v>
      </c>
      <c r="M4908" s="1" t="s">
        <v>18</v>
      </c>
      <c r="N4908" s="1" t="s">
        <v>18</v>
      </c>
      <c r="O4908" s="1">
        <v>3</v>
      </c>
      <c r="P4908" s="1">
        <v>7</v>
      </c>
      <c r="Q4908" s="7" t="s">
        <v>17633</v>
      </c>
      <c r="R4908" s="1" t="s">
        <v>19</v>
      </c>
      <c r="S4908" s="1" t="s">
        <v>63</v>
      </c>
      <c r="T4908" s="1" t="s">
        <v>21</v>
      </c>
      <c r="U4908" s="1" t="s">
        <v>22</v>
      </c>
      <c r="V4908" s="1" t="s">
        <v>24</v>
      </c>
      <c r="W4908" s="1" t="s">
        <v>24</v>
      </c>
      <c r="X4908" s="1">
        <v>2204</v>
      </c>
      <c r="Y4908" s="1">
        <v>1502</v>
      </c>
      <c r="Z4908" s="1">
        <v>3003</v>
      </c>
      <c r="AA4908" s="1" t="s">
        <v>24</v>
      </c>
      <c r="AB4908" s="1" t="s">
        <v>24</v>
      </c>
      <c r="AC4908" s="1" t="s">
        <v>24</v>
      </c>
      <c r="AD4908" s="1" t="s">
        <v>24</v>
      </c>
      <c r="AE4908" s="1" t="s">
        <v>24</v>
      </c>
      <c r="AF4908" s="22"/>
    </row>
    <row r="4909" spans="1:32" x14ac:dyDescent="0.2">
      <c r="A4909" s="1">
        <v>45818</v>
      </c>
      <c r="B4909" s="1" t="s">
        <v>14847</v>
      </c>
      <c r="C4909" s="5" t="s">
        <v>0</v>
      </c>
      <c r="E4909" s="1" t="s">
        <v>14848</v>
      </c>
      <c r="F4909" s="1" t="s">
        <v>6405</v>
      </c>
      <c r="G4909" s="1" t="s">
        <v>6406</v>
      </c>
      <c r="H4909" s="1" t="s">
        <v>92</v>
      </c>
      <c r="I4909" s="1" t="s">
        <v>16</v>
      </c>
      <c r="J4909" s="1">
        <v>1</v>
      </c>
      <c r="K4909" s="1">
        <v>1</v>
      </c>
      <c r="L4909" s="1" t="s">
        <v>31</v>
      </c>
      <c r="M4909" s="1" t="s">
        <v>18</v>
      </c>
      <c r="N4909" s="1" t="s">
        <v>18</v>
      </c>
      <c r="O4909" s="1">
        <v>3</v>
      </c>
      <c r="P4909" s="1">
        <v>7</v>
      </c>
      <c r="Q4909" s="7" t="s">
        <v>17633</v>
      </c>
      <c r="R4909" s="1" t="s">
        <v>19</v>
      </c>
      <c r="S4909" s="1" t="s">
        <v>63</v>
      </c>
      <c r="T4909" s="1" t="s">
        <v>21</v>
      </c>
      <c r="U4909" s="1" t="s">
        <v>22</v>
      </c>
      <c r="V4909" s="1" t="s">
        <v>24</v>
      </c>
      <c r="W4909" s="1" t="s">
        <v>24</v>
      </c>
      <c r="X4909" s="1">
        <v>2747</v>
      </c>
      <c r="Y4909" s="1" t="s">
        <v>24</v>
      </c>
      <c r="Z4909" s="1" t="s">
        <v>24</v>
      </c>
      <c r="AA4909" s="1" t="s">
        <v>24</v>
      </c>
      <c r="AB4909" s="1" t="s">
        <v>24</v>
      </c>
      <c r="AC4909" s="1" t="s">
        <v>24</v>
      </c>
      <c r="AD4909" s="1" t="s">
        <v>24</v>
      </c>
      <c r="AE4909" s="1" t="s">
        <v>24</v>
      </c>
      <c r="AF4909" s="22"/>
    </row>
    <row r="4910" spans="1:32" x14ac:dyDescent="0.2">
      <c r="A4910" s="1">
        <v>45819</v>
      </c>
      <c r="B4910" s="1" t="s">
        <v>14849</v>
      </c>
      <c r="C4910" s="5" t="s">
        <v>0</v>
      </c>
      <c r="E4910" s="1" t="s">
        <v>14850</v>
      </c>
      <c r="F4910" s="1" t="s">
        <v>6405</v>
      </c>
      <c r="G4910" s="1" t="s">
        <v>6406</v>
      </c>
      <c r="H4910" s="1" t="s">
        <v>92</v>
      </c>
      <c r="I4910" s="1" t="s">
        <v>16</v>
      </c>
      <c r="J4910" s="1">
        <v>1</v>
      </c>
      <c r="K4910" s="1">
        <v>1</v>
      </c>
      <c r="L4910" s="1" t="s">
        <v>31</v>
      </c>
      <c r="M4910" s="1" t="s">
        <v>18</v>
      </c>
      <c r="N4910" s="1" t="s">
        <v>18</v>
      </c>
      <c r="O4910" s="1">
        <v>3</v>
      </c>
      <c r="P4910" s="1">
        <v>7</v>
      </c>
      <c r="Q4910" s="7" t="s">
        <v>17633</v>
      </c>
      <c r="R4910" s="1" t="s">
        <v>19</v>
      </c>
      <c r="S4910" s="1" t="s">
        <v>63</v>
      </c>
      <c r="T4910" s="1" t="s">
        <v>21</v>
      </c>
      <c r="U4910" s="1" t="s">
        <v>22</v>
      </c>
      <c r="V4910" s="1" t="s">
        <v>24</v>
      </c>
      <c r="W4910" s="1" t="s">
        <v>24</v>
      </c>
      <c r="X4910" s="1">
        <v>3005</v>
      </c>
      <c r="Y4910" s="1">
        <v>2307</v>
      </c>
      <c r="Z4910" s="1">
        <v>2736</v>
      </c>
      <c r="AA4910" s="1" t="s">
        <v>24</v>
      </c>
      <c r="AB4910" s="1" t="s">
        <v>24</v>
      </c>
      <c r="AC4910" s="1" t="s">
        <v>24</v>
      </c>
      <c r="AD4910" s="1" t="s">
        <v>24</v>
      </c>
      <c r="AE4910" s="1" t="s">
        <v>24</v>
      </c>
      <c r="AF4910" s="22"/>
    </row>
    <row r="4911" spans="1:32" x14ac:dyDescent="0.2">
      <c r="A4911" s="1">
        <v>45820</v>
      </c>
      <c r="B4911" s="1" t="s">
        <v>14851</v>
      </c>
      <c r="C4911" s="5" t="s">
        <v>0</v>
      </c>
      <c r="E4911" s="1" t="s">
        <v>14852</v>
      </c>
      <c r="F4911" s="1" t="s">
        <v>6405</v>
      </c>
      <c r="G4911" s="1" t="s">
        <v>6406</v>
      </c>
      <c r="H4911" s="1" t="s">
        <v>92</v>
      </c>
      <c r="I4911" s="1" t="s">
        <v>16</v>
      </c>
      <c r="J4911" s="1">
        <v>1</v>
      </c>
      <c r="K4911" s="1">
        <v>1</v>
      </c>
      <c r="L4911" s="1" t="s">
        <v>31</v>
      </c>
      <c r="M4911" s="1" t="s">
        <v>18</v>
      </c>
      <c r="N4911" s="1" t="s">
        <v>18</v>
      </c>
      <c r="O4911" s="1">
        <v>3</v>
      </c>
      <c r="P4911" s="1">
        <v>7</v>
      </c>
      <c r="Q4911" s="7" t="s">
        <v>17633</v>
      </c>
      <c r="R4911" s="1" t="s">
        <v>19</v>
      </c>
      <c r="S4911" s="1" t="s">
        <v>63</v>
      </c>
      <c r="T4911" s="1" t="s">
        <v>21</v>
      </c>
      <c r="U4911" s="1" t="s">
        <v>22</v>
      </c>
      <c r="V4911" s="1" t="s">
        <v>24</v>
      </c>
      <c r="W4911" s="1" t="s">
        <v>24</v>
      </c>
      <c r="X4911" s="1">
        <v>2741</v>
      </c>
      <c r="Y4911" s="1">
        <v>3614</v>
      </c>
      <c r="Z4911" s="1" t="s">
        <v>24</v>
      </c>
      <c r="AA4911" s="1" t="s">
        <v>24</v>
      </c>
      <c r="AB4911" s="1" t="s">
        <v>24</v>
      </c>
      <c r="AC4911" s="1" t="s">
        <v>24</v>
      </c>
      <c r="AD4911" s="1" t="s">
        <v>24</v>
      </c>
      <c r="AE4911" s="1" t="s">
        <v>24</v>
      </c>
      <c r="AF4911" s="22"/>
    </row>
    <row r="4912" spans="1:32" x14ac:dyDescent="0.2">
      <c r="A4912" s="1">
        <v>45821</v>
      </c>
      <c r="B4912" s="1" t="s">
        <v>14853</v>
      </c>
      <c r="C4912" s="5" t="s">
        <v>0</v>
      </c>
      <c r="E4912" s="1" t="s">
        <v>13450</v>
      </c>
      <c r="F4912" s="1" t="s">
        <v>6405</v>
      </c>
      <c r="G4912" s="1" t="s">
        <v>6406</v>
      </c>
      <c r="H4912" s="1" t="s">
        <v>92</v>
      </c>
      <c r="I4912" s="1" t="s">
        <v>16</v>
      </c>
      <c r="J4912" s="1">
        <v>1</v>
      </c>
      <c r="K4912" s="1">
        <v>1</v>
      </c>
      <c r="L4912" s="1" t="s">
        <v>31</v>
      </c>
      <c r="M4912" s="1" t="s">
        <v>18</v>
      </c>
      <c r="N4912" s="1" t="s">
        <v>18</v>
      </c>
      <c r="O4912" s="1">
        <v>3</v>
      </c>
      <c r="P4912" s="1">
        <v>7</v>
      </c>
      <c r="Q4912" s="7" t="s">
        <v>17633</v>
      </c>
      <c r="R4912" s="1" t="s">
        <v>19</v>
      </c>
      <c r="S4912" s="1" t="s">
        <v>63</v>
      </c>
      <c r="T4912" s="1" t="s">
        <v>21</v>
      </c>
      <c r="U4912" s="1" t="s">
        <v>22</v>
      </c>
      <c r="V4912" s="1" t="s">
        <v>24</v>
      </c>
      <c r="W4912" s="1" t="s">
        <v>24</v>
      </c>
      <c r="X4912" s="1">
        <v>2705</v>
      </c>
      <c r="Y4912" s="1">
        <v>1603</v>
      </c>
      <c r="Z4912" s="1">
        <v>2208</v>
      </c>
      <c r="AA4912" s="1" t="s">
        <v>24</v>
      </c>
      <c r="AB4912" s="1" t="s">
        <v>24</v>
      </c>
      <c r="AC4912" s="1" t="s">
        <v>24</v>
      </c>
      <c r="AD4912" s="1" t="s">
        <v>24</v>
      </c>
      <c r="AE4912" s="1" t="s">
        <v>24</v>
      </c>
      <c r="AF4912" s="22"/>
    </row>
    <row r="4913" spans="1:32" x14ac:dyDescent="0.2">
      <c r="A4913" s="1">
        <v>45822</v>
      </c>
      <c r="B4913" s="1" t="s">
        <v>14854</v>
      </c>
      <c r="C4913" s="5" t="s">
        <v>0</v>
      </c>
      <c r="E4913" s="1" t="s">
        <v>14855</v>
      </c>
      <c r="F4913" s="1" t="s">
        <v>6405</v>
      </c>
      <c r="G4913" s="1" t="s">
        <v>6406</v>
      </c>
      <c r="H4913" s="1" t="s">
        <v>92</v>
      </c>
      <c r="I4913" s="1" t="s">
        <v>16</v>
      </c>
      <c r="J4913" s="1">
        <v>1</v>
      </c>
      <c r="K4913" s="1">
        <v>1</v>
      </c>
      <c r="L4913" s="1" t="s">
        <v>31</v>
      </c>
      <c r="M4913" s="1" t="s">
        <v>18</v>
      </c>
      <c r="N4913" s="1" t="s">
        <v>18</v>
      </c>
      <c r="O4913" s="1">
        <v>3</v>
      </c>
      <c r="P4913" s="1">
        <v>7</v>
      </c>
      <c r="Q4913" s="7" t="s">
        <v>17633</v>
      </c>
      <c r="R4913" s="1" t="s">
        <v>19</v>
      </c>
      <c r="S4913" s="1" t="s">
        <v>63</v>
      </c>
      <c r="T4913" s="1" t="s">
        <v>21</v>
      </c>
      <c r="U4913" s="1" t="s">
        <v>22</v>
      </c>
      <c r="V4913" s="1" t="s">
        <v>24</v>
      </c>
      <c r="W4913" s="1" t="s">
        <v>24</v>
      </c>
      <c r="X4913" s="1">
        <v>1303</v>
      </c>
      <c r="Y4913" s="1">
        <v>2204</v>
      </c>
      <c r="Z4913" s="1" t="s">
        <v>24</v>
      </c>
      <c r="AA4913" s="1" t="s">
        <v>24</v>
      </c>
      <c r="AB4913" s="1" t="s">
        <v>24</v>
      </c>
      <c r="AC4913" s="1" t="s">
        <v>24</v>
      </c>
      <c r="AD4913" s="1" t="s">
        <v>24</v>
      </c>
      <c r="AE4913" s="1" t="s">
        <v>24</v>
      </c>
      <c r="AF4913" s="22"/>
    </row>
    <row r="4914" spans="1:32" x14ac:dyDescent="0.2">
      <c r="A4914" s="1">
        <v>45823</v>
      </c>
      <c r="B4914" s="1" t="s">
        <v>14856</v>
      </c>
      <c r="C4914" s="5" t="s">
        <v>0</v>
      </c>
      <c r="E4914" s="1" t="s">
        <v>14857</v>
      </c>
      <c r="F4914" s="1" t="s">
        <v>14858</v>
      </c>
      <c r="G4914" s="1" t="s">
        <v>14858</v>
      </c>
      <c r="H4914" s="1" t="s">
        <v>30</v>
      </c>
      <c r="I4914" s="1" t="s">
        <v>16</v>
      </c>
      <c r="J4914" s="1">
        <v>1</v>
      </c>
      <c r="K4914" s="1">
        <v>1</v>
      </c>
      <c r="L4914" s="1" t="s">
        <v>42</v>
      </c>
      <c r="M4914" s="1" t="s">
        <v>18</v>
      </c>
      <c r="N4914" s="1" t="s">
        <v>18</v>
      </c>
      <c r="O4914" s="1">
        <v>3</v>
      </c>
      <c r="P4914" s="1">
        <v>6</v>
      </c>
      <c r="R4914" s="1" t="s">
        <v>19</v>
      </c>
      <c r="S4914" s="1" t="s">
        <v>63</v>
      </c>
      <c r="T4914" s="1" t="s">
        <v>21</v>
      </c>
      <c r="U4914" s="1" t="s">
        <v>22</v>
      </c>
      <c r="V4914" s="1" t="s">
        <v>24</v>
      </c>
      <c r="W4914" s="1" t="s">
        <v>24</v>
      </c>
      <c r="X4914" s="1">
        <v>1305</v>
      </c>
      <c r="Y4914" s="1">
        <v>2402</v>
      </c>
      <c r="Z4914" s="1" t="s">
        <v>24</v>
      </c>
      <c r="AA4914" s="1" t="s">
        <v>24</v>
      </c>
      <c r="AB4914" s="1" t="s">
        <v>24</v>
      </c>
      <c r="AC4914" s="1" t="s">
        <v>24</v>
      </c>
      <c r="AD4914" s="1" t="s">
        <v>24</v>
      </c>
      <c r="AE4914" s="1" t="s">
        <v>24</v>
      </c>
      <c r="AF4914" s="22"/>
    </row>
    <row r="4915" spans="1:32" x14ac:dyDescent="0.2">
      <c r="A4915" s="1">
        <v>45824</v>
      </c>
      <c r="B4915" s="1" t="s">
        <v>14859</v>
      </c>
      <c r="C4915" s="5" t="s">
        <v>0</v>
      </c>
      <c r="E4915" s="1" t="s">
        <v>14860</v>
      </c>
      <c r="F4915" s="1" t="s">
        <v>159</v>
      </c>
      <c r="G4915" s="1" t="s">
        <v>160</v>
      </c>
      <c r="H4915" s="1" t="s">
        <v>37</v>
      </c>
      <c r="I4915" s="1" t="s">
        <v>16</v>
      </c>
      <c r="J4915" s="1">
        <v>1</v>
      </c>
      <c r="K4915" s="1">
        <v>1</v>
      </c>
      <c r="L4915" s="1" t="s">
        <v>42</v>
      </c>
      <c r="M4915" s="1" t="s">
        <v>18</v>
      </c>
      <c r="N4915" s="1" t="s">
        <v>18</v>
      </c>
      <c r="O4915" s="1">
        <v>3</v>
      </c>
      <c r="P4915" s="1">
        <v>7</v>
      </c>
      <c r="Q4915" s="7" t="s">
        <v>17633</v>
      </c>
      <c r="R4915" s="1" t="s">
        <v>19</v>
      </c>
      <c r="S4915" s="1" t="s">
        <v>63</v>
      </c>
      <c r="T4915" s="1" t="s">
        <v>21</v>
      </c>
      <c r="U4915" s="1" t="s">
        <v>22</v>
      </c>
      <c r="V4915" s="1" t="s">
        <v>23</v>
      </c>
      <c r="W4915" s="1" t="s">
        <v>24</v>
      </c>
      <c r="X4915" s="1">
        <v>2700</v>
      </c>
      <c r="Y4915" s="1" t="s">
        <v>24</v>
      </c>
      <c r="Z4915" s="1" t="s">
        <v>24</v>
      </c>
      <c r="AA4915" s="1" t="s">
        <v>24</v>
      </c>
      <c r="AB4915" s="1" t="s">
        <v>24</v>
      </c>
      <c r="AC4915" s="1" t="s">
        <v>24</v>
      </c>
      <c r="AD4915" s="1" t="s">
        <v>24</v>
      </c>
      <c r="AE4915" s="1" t="s">
        <v>24</v>
      </c>
      <c r="AF4915" s="22"/>
    </row>
    <row r="4916" spans="1:32" x14ac:dyDescent="0.2">
      <c r="A4916" s="1">
        <v>45825</v>
      </c>
      <c r="B4916" s="1" t="s">
        <v>14861</v>
      </c>
      <c r="C4916" s="5" t="s">
        <v>0</v>
      </c>
      <c r="E4916" s="1" t="s">
        <v>14862</v>
      </c>
      <c r="F4916" s="1" t="s">
        <v>1897</v>
      </c>
      <c r="G4916" s="1" t="s">
        <v>1898</v>
      </c>
      <c r="H4916" s="1" t="s">
        <v>899</v>
      </c>
      <c r="I4916" s="1" t="s">
        <v>16</v>
      </c>
      <c r="J4916" s="1">
        <v>1</v>
      </c>
      <c r="K4916" s="1">
        <v>1</v>
      </c>
      <c r="L4916" s="1" t="s">
        <v>31</v>
      </c>
      <c r="M4916" s="1" t="s">
        <v>18</v>
      </c>
      <c r="N4916" s="1" t="s">
        <v>18</v>
      </c>
      <c r="O4916" s="1">
        <v>3</v>
      </c>
      <c r="P4916" s="1">
        <v>7</v>
      </c>
      <c r="Q4916" s="7" t="s">
        <v>17633</v>
      </c>
      <c r="R4916" s="1" t="s">
        <v>19</v>
      </c>
      <c r="S4916" s="1" t="s">
        <v>20</v>
      </c>
      <c r="T4916" s="1" t="s">
        <v>21</v>
      </c>
      <c r="U4916" s="1" t="s">
        <v>22</v>
      </c>
      <c r="V4916" s="1" t="s">
        <v>24</v>
      </c>
      <c r="W4916" s="1" t="s">
        <v>24</v>
      </c>
      <c r="X4916" s="1">
        <v>2746</v>
      </c>
      <c r="Y4916" s="1">
        <v>2728</v>
      </c>
      <c r="Z4916" s="1" t="s">
        <v>24</v>
      </c>
      <c r="AA4916" s="1" t="s">
        <v>24</v>
      </c>
      <c r="AB4916" s="1" t="s">
        <v>24</v>
      </c>
      <c r="AC4916" s="1" t="s">
        <v>24</v>
      </c>
      <c r="AD4916" s="1" t="s">
        <v>24</v>
      </c>
      <c r="AE4916" s="1" t="s">
        <v>24</v>
      </c>
      <c r="AF4916" s="22"/>
    </row>
    <row r="4917" spans="1:32" x14ac:dyDescent="0.2">
      <c r="A4917" s="1">
        <v>45826</v>
      </c>
      <c r="B4917" s="1" t="s">
        <v>14863</v>
      </c>
      <c r="C4917" s="5" t="s">
        <v>0</v>
      </c>
      <c r="E4917" s="1" t="s">
        <v>14864</v>
      </c>
      <c r="F4917" s="1" t="s">
        <v>14865</v>
      </c>
      <c r="G4917" s="1" t="s">
        <v>14866</v>
      </c>
      <c r="H4917" s="1" t="s">
        <v>899</v>
      </c>
      <c r="I4917" s="1" t="s">
        <v>16</v>
      </c>
      <c r="J4917" s="1">
        <v>1</v>
      </c>
      <c r="K4917" s="1">
        <v>4</v>
      </c>
      <c r="L4917" s="1" t="s">
        <v>31</v>
      </c>
      <c r="M4917" s="1" t="s">
        <v>18</v>
      </c>
      <c r="N4917" s="1" t="s">
        <v>18</v>
      </c>
      <c r="O4917" s="1">
        <v>2</v>
      </c>
      <c r="P4917" s="1">
        <v>6</v>
      </c>
      <c r="R4917" s="1" t="s">
        <v>19</v>
      </c>
      <c r="S4917" s="1" t="s">
        <v>20</v>
      </c>
      <c r="T4917" s="1" t="s">
        <v>21</v>
      </c>
      <c r="U4917" s="1" t="s">
        <v>22</v>
      </c>
      <c r="V4917" s="1" t="s">
        <v>24</v>
      </c>
      <c r="W4917" s="1" t="s">
        <v>24</v>
      </c>
      <c r="X4917" s="1">
        <v>3003</v>
      </c>
      <c r="Y4917" s="1" t="s">
        <v>24</v>
      </c>
      <c r="Z4917" s="1" t="s">
        <v>24</v>
      </c>
      <c r="AA4917" s="1" t="s">
        <v>24</v>
      </c>
      <c r="AB4917" s="1" t="s">
        <v>24</v>
      </c>
      <c r="AC4917" s="1" t="s">
        <v>24</v>
      </c>
      <c r="AD4917" s="1" t="s">
        <v>24</v>
      </c>
      <c r="AE4917" s="1" t="s">
        <v>24</v>
      </c>
      <c r="AF4917" s="22" t="s">
        <v>17668</v>
      </c>
    </row>
    <row r="4918" spans="1:32" x14ac:dyDescent="0.2">
      <c r="A4918" s="1">
        <v>45827</v>
      </c>
      <c r="B4918" s="1" t="s">
        <v>14867</v>
      </c>
      <c r="C4918" s="5" t="s">
        <v>0</v>
      </c>
      <c r="D4918" s="1" t="s">
        <v>14868</v>
      </c>
      <c r="E4918" s="1" t="s">
        <v>14869</v>
      </c>
      <c r="F4918" s="1" t="s">
        <v>14870</v>
      </c>
      <c r="G4918" s="1" t="s">
        <v>14871</v>
      </c>
      <c r="H4918" s="1" t="s">
        <v>899</v>
      </c>
      <c r="I4918" s="1" t="s">
        <v>16</v>
      </c>
      <c r="J4918" s="1">
        <v>1</v>
      </c>
      <c r="K4918" s="1">
        <v>3</v>
      </c>
      <c r="L4918" s="1" t="s">
        <v>31</v>
      </c>
      <c r="M4918" s="1" t="s">
        <v>18</v>
      </c>
      <c r="N4918" s="1" t="s">
        <v>18</v>
      </c>
      <c r="O4918" s="1">
        <v>2</v>
      </c>
      <c r="P4918" s="1">
        <v>6</v>
      </c>
      <c r="R4918" s="1" t="s">
        <v>19</v>
      </c>
      <c r="S4918" s="1" t="s">
        <v>20</v>
      </c>
      <c r="T4918" s="1" t="s">
        <v>21</v>
      </c>
      <c r="U4918" s="1" t="s">
        <v>22</v>
      </c>
      <c r="V4918" s="1" t="s">
        <v>24</v>
      </c>
      <c r="W4918" s="1" t="s">
        <v>24</v>
      </c>
      <c r="X4918" s="1">
        <v>2743</v>
      </c>
      <c r="Y4918" s="1" t="s">
        <v>24</v>
      </c>
      <c r="Z4918" s="1" t="s">
        <v>24</v>
      </c>
      <c r="AA4918" s="1" t="s">
        <v>24</v>
      </c>
      <c r="AB4918" s="1" t="s">
        <v>24</v>
      </c>
      <c r="AC4918" s="1" t="s">
        <v>24</v>
      </c>
      <c r="AD4918" s="1" t="s">
        <v>24</v>
      </c>
      <c r="AE4918" s="1" t="s">
        <v>24</v>
      </c>
      <c r="AF4918" s="22"/>
    </row>
    <row r="4919" spans="1:32" x14ac:dyDescent="0.2">
      <c r="A4919" s="1">
        <v>45828</v>
      </c>
      <c r="B4919" s="1" t="s">
        <v>14872</v>
      </c>
      <c r="C4919" s="5" t="s">
        <v>0</v>
      </c>
      <c r="E4919" s="1" t="s">
        <v>14873</v>
      </c>
      <c r="F4919" s="1" t="s">
        <v>14874</v>
      </c>
      <c r="G4919" s="1" t="s">
        <v>14874</v>
      </c>
      <c r="H4919" s="1" t="s">
        <v>899</v>
      </c>
      <c r="I4919" s="1" t="s">
        <v>16</v>
      </c>
      <c r="J4919" s="1">
        <v>1</v>
      </c>
      <c r="K4919" s="1">
        <v>2</v>
      </c>
      <c r="L4919" s="1" t="s">
        <v>42</v>
      </c>
      <c r="M4919" s="1" t="s">
        <v>18</v>
      </c>
      <c r="N4919" s="1" t="s">
        <v>18</v>
      </c>
      <c r="O4919" s="1">
        <v>2</v>
      </c>
      <c r="P4919" s="1">
        <v>6</v>
      </c>
      <c r="R4919" s="1" t="s">
        <v>19</v>
      </c>
      <c r="S4919" s="1" t="s">
        <v>20</v>
      </c>
      <c r="T4919" s="1" t="s">
        <v>21</v>
      </c>
      <c r="U4919" s="1" t="s">
        <v>22</v>
      </c>
      <c r="V4919" s="1" t="s">
        <v>24</v>
      </c>
      <c r="W4919" s="1" t="s">
        <v>24</v>
      </c>
      <c r="X4919" s="1">
        <v>2707</v>
      </c>
      <c r="Y4919" s="1">
        <v>3002</v>
      </c>
      <c r="Z4919" s="1" t="s">
        <v>24</v>
      </c>
      <c r="AA4919" s="1" t="s">
        <v>24</v>
      </c>
      <c r="AB4919" s="1" t="s">
        <v>24</v>
      </c>
      <c r="AC4919" s="1" t="s">
        <v>24</v>
      </c>
      <c r="AD4919" s="1" t="s">
        <v>24</v>
      </c>
      <c r="AE4919" s="1" t="s">
        <v>24</v>
      </c>
      <c r="AF4919" s="22"/>
    </row>
    <row r="4920" spans="1:32" x14ac:dyDescent="0.2">
      <c r="A4920" s="1">
        <v>45829</v>
      </c>
      <c r="B4920" s="1" t="s">
        <v>14875</v>
      </c>
      <c r="C4920" s="5" t="s">
        <v>0</v>
      </c>
      <c r="D4920" s="1" t="s">
        <v>14876</v>
      </c>
      <c r="F4920" s="1" t="s">
        <v>14877</v>
      </c>
      <c r="G4920" s="1" t="s">
        <v>14877</v>
      </c>
      <c r="H4920" s="1" t="s">
        <v>69</v>
      </c>
      <c r="I4920" s="1" t="s">
        <v>16</v>
      </c>
      <c r="J4920" s="1">
        <v>1</v>
      </c>
      <c r="K4920" s="1">
        <v>1</v>
      </c>
      <c r="L4920" s="1" t="s">
        <v>42</v>
      </c>
      <c r="M4920" s="1" t="s">
        <v>18</v>
      </c>
      <c r="N4920" s="1" t="s">
        <v>18</v>
      </c>
      <c r="O4920" s="1">
        <v>3</v>
      </c>
      <c r="P4920" s="1">
        <v>6</v>
      </c>
      <c r="R4920" s="1" t="s">
        <v>19</v>
      </c>
      <c r="S4920" s="1" t="s">
        <v>63</v>
      </c>
      <c r="T4920" s="1" t="s">
        <v>21</v>
      </c>
      <c r="U4920" s="1" t="s">
        <v>22</v>
      </c>
      <c r="V4920" s="1" t="s">
        <v>23</v>
      </c>
      <c r="W4920" s="1" t="s">
        <v>24</v>
      </c>
      <c r="X4920" s="1">
        <v>2705</v>
      </c>
      <c r="Y4920" s="1">
        <v>2720</v>
      </c>
      <c r="Z4920" s="1" t="s">
        <v>24</v>
      </c>
      <c r="AA4920" s="1" t="s">
        <v>24</v>
      </c>
      <c r="AB4920" s="1" t="s">
        <v>24</v>
      </c>
      <c r="AC4920" s="1" t="s">
        <v>24</v>
      </c>
      <c r="AD4920" s="1" t="s">
        <v>24</v>
      </c>
      <c r="AE4920" s="1" t="s">
        <v>24</v>
      </c>
      <c r="AF4920" s="22"/>
    </row>
    <row r="4921" spans="1:32" x14ac:dyDescent="0.2">
      <c r="A4921" s="1">
        <v>45830</v>
      </c>
      <c r="B4921" s="1" t="s">
        <v>14878</v>
      </c>
      <c r="C4921" s="5" t="s">
        <v>0</v>
      </c>
      <c r="D4921" s="1" t="s">
        <v>14879</v>
      </c>
      <c r="E4921" s="1" t="s">
        <v>14880</v>
      </c>
      <c r="F4921" s="1" t="s">
        <v>920</v>
      </c>
      <c r="G4921" s="1" t="s">
        <v>921</v>
      </c>
      <c r="H4921" s="1" t="s">
        <v>92</v>
      </c>
      <c r="I4921" s="1" t="s">
        <v>16</v>
      </c>
      <c r="J4921" s="1">
        <v>1</v>
      </c>
      <c r="K4921" s="1">
        <v>2</v>
      </c>
      <c r="L4921" s="1" t="s">
        <v>31</v>
      </c>
      <c r="M4921" s="1" t="s">
        <v>18</v>
      </c>
      <c r="N4921" s="1" t="s">
        <v>18</v>
      </c>
      <c r="O4921" s="1">
        <v>3</v>
      </c>
      <c r="P4921" s="1">
        <v>7</v>
      </c>
      <c r="Q4921" s="7" t="s">
        <v>17633</v>
      </c>
      <c r="R4921" s="1" t="s">
        <v>19</v>
      </c>
      <c r="S4921" s="1" t="s">
        <v>20</v>
      </c>
      <c r="T4921" s="1" t="s">
        <v>21</v>
      </c>
      <c r="U4921" s="1" t="s">
        <v>22</v>
      </c>
      <c r="V4921" s="1" t="s">
        <v>24</v>
      </c>
      <c r="W4921" s="1" t="s">
        <v>24</v>
      </c>
      <c r="X4921" s="1">
        <v>2403</v>
      </c>
      <c r="Y4921" s="1">
        <v>2807</v>
      </c>
      <c r="Z4921" s="1">
        <v>1310</v>
      </c>
      <c r="AA4921" s="1" t="s">
        <v>24</v>
      </c>
      <c r="AB4921" s="1" t="s">
        <v>24</v>
      </c>
      <c r="AC4921" s="1" t="s">
        <v>24</v>
      </c>
      <c r="AD4921" s="1" t="s">
        <v>24</v>
      </c>
      <c r="AE4921" s="1" t="s">
        <v>24</v>
      </c>
      <c r="AF4921" s="22"/>
    </row>
    <row r="4922" spans="1:32" x14ac:dyDescent="0.2">
      <c r="A4922" s="1">
        <v>45831</v>
      </c>
      <c r="B4922" s="1" t="s">
        <v>14881</v>
      </c>
      <c r="C4922" s="5" t="s">
        <v>0</v>
      </c>
      <c r="E4922" s="1" t="s">
        <v>14882</v>
      </c>
      <c r="F4922" s="1" t="s">
        <v>109</v>
      </c>
      <c r="G4922" s="1" t="s">
        <v>110</v>
      </c>
      <c r="H4922" s="1" t="s">
        <v>111</v>
      </c>
      <c r="I4922" s="1" t="s">
        <v>16</v>
      </c>
      <c r="J4922" s="1">
        <v>1</v>
      </c>
      <c r="K4922" s="1">
        <v>2</v>
      </c>
      <c r="L4922" s="1" t="s">
        <v>31</v>
      </c>
      <c r="M4922" s="1" t="s">
        <v>18</v>
      </c>
      <c r="N4922" s="1" t="s">
        <v>18</v>
      </c>
      <c r="O4922" s="1">
        <v>3</v>
      </c>
      <c r="P4922" s="1">
        <v>7</v>
      </c>
      <c r="Q4922" s="7" t="s">
        <v>17633</v>
      </c>
      <c r="R4922" s="1" t="s">
        <v>19</v>
      </c>
      <c r="S4922" s="1" t="s">
        <v>20</v>
      </c>
      <c r="T4922" s="1" t="s">
        <v>21</v>
      </c>
      <c r="U4922" s="1" t="s">
        <v>22</v>
      </c>
      <c r="V4922" s="1" t="s">
        <v>24</v>
      </c>
      <c r="W4922" s="1" t="s">
        <v>24</v>
      </c>
      <c r="X4922" s="1">
        <v>2731</v>
      </c>
      <c r="Y4922" s="1" t="s">
        <v>24</v>
      </c>
      <c r="Z4922" s="1" t="s">
        <v>24</v>
      </c>
      <c r="AA4922" s="1" t="s">
        <v>24</v>
      </c>
      <c r="AB4922" s="1" t="s">
        <v>24</v>
      </c>
      <c r="AC4922" s="1" t="s">
        <v>24</v>
      </c>
      <c r="AD4922" s="1" t="s">
        <v>24</v>
      </c>
      <c r="AE4922" s="1" t="s">
        <v>24</v>
      </c>
      <c r="AF4922" s="22"/>
    </row>
    <row r="4923" spans="1:32" x14ac:dyDescent="0.2">
      <c r="A4923" s="1">
        <v>45832</v>
      </c>
      <c r="B4923" s="1" t="s">
        <v>14883</v>
      </c>
      <c r="C4923" s="5" t="s">
        <v>0</v>
      </c>
      <c r="D4923" s="1" t="s">
        <v>14884</v>
      </c>
      <c r="E4923" s="1" t="s">
        <v>14885</v>
      </c>
      <c r="F4923" s="1" t="s">
        <v>1897</v>
      </c>
      <c r="G4923" s="1" t="s">
        <v>1898</v>
      </c>
      <c r="H4923" s="1" t="s">
        <v>899</v>
      </c>
      <c r="I4923" s="1" t="s">
        <v>16</v>
      </c>
      <c r="J4923" s="1">
        <v>1</v>
      </c>
      <c r="K4923" s="1">
        <v>2</v>
      </c>
      <c r="L4923" s="1" t="s">
        <v>31</v>
      </c>
      <c r="M4923" s="1" t="s">
        <v>18</v>
      </c>
      <c r="N4923" s="1" t="s">
        <v>18</v>
      </c>
      <c r="O4923" s="1">
        <v>3</v>
      </c>
      <c r="P4923" s="1">
        <v>7</v>
      </c>
      <c r="Q4923" s="7" t="s">
        <v>17633</v>
      </c>
      <c r="R4923" s="1" t="s">
        <v>19</v>
      </c>
      <c r="S4923" s="1" t="s">
        <v>20</v>
      </c>
      <c r="T4923" s="1" t="s">
        <v>21</v>
      </c>
      <c r="U4923" s="1" t="s">
        <v>22</v>
      </c>
      <c r="V4923" s="1" t="s">
        <v>24</v>
      </c>
      <c r="W4923" s="1" t="s">
        <v>24</v>
      </c>
      <c r="X4923" s="1">
        <v>3003</v>
      </c>
      <c r="Y4923" s="1" t="s">
        <v>24</v>
      </c>
      <c r="Z4923" s="1" t="s">
        <v>24</v>
      </c>
      <c r="AA4923" s="1" t="s">
        <v>24</v>
      </c>
      <c r="AB4923" s="1" t="s">
        <v>24</v>
      </c>
      <c r="AC4923" s="1" t="s">
        <v>24</v>
      </c>
      <c r="AD4923" s="1" t="s">
        <v>24</v>
      </c>
      <c r="AE4923" s="1" t="s">
        <v>24</v>
      </c>
      <c r="AF4923" s="22"/>
    </row>
    <row r="4924" spans="1:32" x14ac:dyDescent="0.2">
      <c r="A4924" s="1">
        <v>45833</v>
      </c>
      <c r="B4924" s="1" t="s">
        <v>14886</v>
      </c>
      <c r="C4924" s="5" t="s">
        <v>0</v>
      </c>
      <c r="D4924" s="1" t="s">
        <v>14887</v>
      </c>
      <c r="E4924" s="1" t="s">
        <v>14888</v>
      </c>
      <c r="F4924" s="1" t="s">
        <v>1897</v>
      </c>
      <c r="G4924" s="1" t="s">
        <v>1898</v>
      </c>
      <c r="H4924" s="1" t="s">
        <v>899</v>
      </c>
      <c r="I4924" s="1" t="s">
        <v>16</v>
      </c>
      <c r="J4924" s="1">
        <v>1</v>
      </c>
      <c r="K4924" s="1">
        <v>2</v>
      </c>
      <c r="L4924" s="1" t="s">
        <v>31</v>
      </c>
      <c r="M4924" s="1" t="s">
        <v>18</v>
      </c>
      <c r="N4924" s="1" t="s">
        <v>18</v>
      </c>
      <c r="O4924" s="1">
        <v>2</v>
      </c>
      <c r="P4924" s="1">
        <v>7</v>
      </c>
      <c r="Q4924" s="7" t="s">
        <v>17633</v>
      </c>
      <c r="R4924" s="1" t="s">
        <v>19</v>
      </c>
      <c r="S4924" s="1" t="s">
        <v>20</v>
      </c>
      <c r="T4924" s="1" t="s">
        <v>21</v>
      </c>
      <c r="U4924" s="1" t="s">
        <v>22</v>
      </c>
      <c r="V4924" s="1" t="s">
        <v>24</v>
      </c>
      <c r="W4924" s="1" t="s">
        <v>24</v>
      </c>
      <c r="X4924" s="1">
        <v>2728</v>
      </c>
      <c r="Y4924" s="1">
        <v>2800</v>
      </c>
      <c r="Z4924" s="1" t="s">
        <v>24</v>
      </c>
      <c r="AA4924" s="1" t="s">
        <v>24</v>
      </c>
      <c r="AB4924" s="1" t="s">
        <v>24</v>
      </c>
      <c r="AC4924" s="1" t="s">
        <v>24</v>
      </c>
      <c r="AD4924" s="1" t="s">
        <v>24</v>
      </c>
      <c r="AE4924" s="1" t="s">
        <v>24</v>
      </c>
      <c r="AF4924" s="22"/>
    </row>
    <row r="4925" spans="1:32" x14ac:dyDescent="0.2">
      <c r="A4925" s="1">
        <v>45834</v>
      </c>
      <c r="B4925" s="1" t="s">
        <v>14889</v>
      </c>
      <c r="C4925" s="5" t="s">
        <v>0</v>
      </c>
      <c r="D4925" s="1" t="s">
        <v>14890</v>
      </c>
      <c r="E4925" s="1" t="s">
        <v>14891</v>
      </c>
      <c r="F4925" s="1" t="s">
        <v>1897</v>
      </c>
      <c r="G4925" s="1" t="s">
        <v>1898</v>
      </c>
      <c r="H4925" s="1" t="s">
        <v>899</v>
      </c>
      <c r="I4925" s="1" t="s">
        <v>16</v>
      </c>
      <c r="J4925" s="1">
        <v>1</v>
      </c>
      <c r="K4925" s="1">
        <v>2</v>
      </c>
      <c r="L4925" s="1" t="s">
        <v>31</v>
      </c>
      <c r="M4925" s="1" t="s">
        <v>18</v>
      </c>
      <c r="N4925" s="1" t="s">
        <v>18</v>
      </c>
      <c r="O4925" s="1">
        <v>3</v>
      </c>
      <c r="P4925" s="1">
        <v>7</v>
      </c>
      <c r="Q4925" s="7" t="s">
        <v>17633</v>
      </c>
      <c r="R4925" s="1" t="s">
        <v>19</v>
      </c>
      <c r="S4925" s="1" t="s">
        <v>20</v>
      </c>
      <c r="T4925" s="1" t="s">
        <v>21</v>
      </c>
      <c r="U4925" s="1" t="s">
        <v>22</v>
      </c>
      <c r="V4925" s="1" t="s">
        <v>23</v>
      </c>
      <c r="W4925" s="1" t="s">
        <v>24</v>
      </c>
      <c r="X4925" s="1">
        <v>2729</v>
      </c>
      <c r="Y4925" s="1">
        <v>2716</v>
      </c>
      <c r="Z4925" s="1" t="s">
        <v>24</v>
      </c>
      <c r="AA4925" s="1" t="s">
        <v>24</v>
      </c>
      <c r="AB4925" s="1" t="s">
        <v>24</v>
      </c>
      <c r="AC4925" s="1" t="s">
        <v>24</v>
      </c>
      <c r="AD4925" s="1" t="s">
        <v>24</v>
      </c>
      <c r="AE4925" s="1" t="s">
        <v>24</v>
      </c>
      <c r="AF4925" s="22"/>
    </row>
    <row r="4926" spans="1:32" x14ac:dyDescent="0.2">
      <c r="A4926" s="1">
        <v>45835</v>
      </c>
      <c r="B4926" s="1" t="s">
        <v>14892</v>
      </c>
      <c r="C4926" s="5" t="s">
        <v>0</v>
      </c>
      <c r="D4926" s="1" t="s">
        <v>14893</v>
      </c>
      <c r="E4926" s="1" t="s">
        <v>14894</v>
      </c>
      <c r="F4926" s="1" t="s">
        <v>1897</v>
      </c>
      <c r="G4926" s="1" t="s">
        <v>1898</v>
      </c>
      <c r="H4926" s="1" t="s">
        <v>899</v>
      </c>
      <c r="I4926" s="1" t="s">
        <v>16</v>
      </c>
      <c r="J4926" s="1">
        <v>1</v>
      </c>
      <c r="K4926" s="1">
        <v>2</v>
      </c>
      <c r="L4926" s="1" t="s">
        <v>31</v>
      </c>
      <c r="M4926" s="1" t="s">
        <v>18</v>
      </c>
      <c r="N4926" s="1" t="s">
        <v>18</v>
      </c>
      <c r="O4926" s="1">
        <v>3</v>
      </c>
      <c r="P4926" s="1">
        <v>7</v>
      </c>
      <c r="Q4926" s="7" t="s">
        <v>17633</v>
      </c>
      <c r="R4926" s="1" t="s">
        <v>19</v>
      </c>
      <c r="S4926" s="1" t="s">
        <v>20</v>
      </c>
      <c r="T4926" s="1" t="s">
        <v>21</v>
      </c>
      <c r="U4926" s="1" t="s">
        <v>22</v>
      </c>
      <c r="V4926" s="1" t="s">
        <v>24</v>
      </c>
      <c r="W4926" s="1" t="s">
        <v>24</v>
      </c>
      <c r="X4926" s="1">
        <v>2746</v>
      </c>
      <c r="Y4926" s="1" t="s">
        <v>24</v>
      </c>
      <c r="Z4926" s="1" t="s">
        <v>24</v>
      </c>
      <c r="AA4926" s="1" t="s">
        <v>24</v>
      </c>
      <c r="AB4926" s="1" t="s">
        <v>24</v>
      </c>
      <c r="AC4926" s="1" t="s">
        <v>24</v>
      </c>
      <c r="AD4926" s="1" t="s">
        <v>24</v>
      </c>
      <c r="AE4926" s="1" t="s">
        <v>24</v>
      </c>
      <c r="AF4926" s="22"/>
    </row>
    <row r="4927" spans="1:32" x14ac:dyDescent="0.2">
      <c r="A4927" s="1">
        <v>45836</v>
      </c>
      <c r="B4927" s="1" t="s">
        <v>14895</v>
      </c>
      <c r="C4927" s="5" t="s">
        <v>0</v>
      </c>
      <c r="E4927" s="1" t="s">
        <v>14896</v>
      </c>
      <c r="F4927" s="1" t="s">
        <v>14865</v>
      </c>
      <c r="G4927" s="1" t="s">
        <v>14866</v>
      </c>
      <c r="H4927" s="1" t="s">
        <v>899</v>
      </c>
      <c r="I4927" s="1" t="s">
        <v>16</v>
      </c>
      <c r="J4927" s="1">
        <v>1</v>
      </c>
      <c r="K4927" s="1">
        <v>4</v>
      </c>
      <c r="L4927" s="1" t="s">
        <v>31</v>
      </c>
      <c r="M4927" s="1" t="s">
        <v>18</v>
      </c>
      <c r="N4927" s="1" t="s">
        <v>18</v>
      </c>
      <c r="O4927" s="1">
        <v>2</v>
      </c>
      <c r="P4927" s="1">
        <v>6</v>
      </c>
      <c r="R4927" s="1" t="s">
        <v>19</v>
      </c>
      <c r="S4927" s="1" t="s">
        <v>20</v>
      </c>
      <c r="T4927" s="1" t="s">
        <v>21</v>
      </c>
      <c r="U4927" s="1" t="s">
        <v>22</v>
      </c>
      <c r="V4927" s="1" t="s">
        <v>24</v>
      </c>
      <c r="W4927" s="1" t="s">
        <v>24</v>
      </c>
      <c r="X4927" s="1">
        <v>3002</v>
      </c>
      <c r="Y4927" s="1">
        <v>2707</v>
      </c>
      <c r="Z4927" s="1" t="s">
        <v>24</v>
      </c>
      <c r="AA4927" s="1" t="s">
        <v>24</v>
      </c>
      <c r="AB4927" s="1" t="s">
        <v>24</v>
      </c>
      <c r="AC4927" s="1" t="s">
        <v>24</v>
      </c>
      <c r="AD4927" s="1" t="s">
        <v>24</v>
      </c>
      <c r="AE4927" s="1" t="s">
        <v>24</v>
      </c>
      <c r="AF4927" s="22"/>
    </row>
    <row r="4928" spans="1:32" x14ac:dyDescent="0.2">
      <c r="A4928" s="1">
        <v>45837</v>
      </c>
      <c r="B4928" s="1" t="s">
        <v>14897</v>
      </c>
      <c r="C4928" s="5" t="s">
        <v>0</v>
      </c>
      <c r="D4928" s="1" t="s">
        <v>14898</v>
      </c>
      <c r="E4928" s="1" t="s">
        <v>14899</v>
      </c>
      <c r="F4928" s="1" t="s">
        <v>6173</v>
      </c>
      <c r="G4928" s="1" t="s">
        <v>6173</v>
      </c>
      <c r="H4928" s="1" t="s">
        <v>1384</v>
      </c>
      <c r="I4928" s="1" t="s">
        <v>16</v>
      </c>
      <c r="J4928" s="1">
        <v>1</v>
      </c>
      <c r="K4928" s="1">
        <v>3</v>
      </c>
      <c r="L4928" s="1" t="s">
        <v>42</v>
      </c>
      <c r="M4928" s="1" t="s">
        <v>1385</v>
      </c>
      <c r="N4928" s="1" t="s">
        <v>3142</v>
      </c>
      <c r="O4928" s="1">
        <v>3</v>
      </c>
      <c r="P4928" s="1">
        <v>5</v>
      </c>
      <c r="R4928" s="1" t="s">
        <v>19</v>
      </c>
      <c r="S4928" s="1" t="s">
        <v>20</v>
      </c>
      <c r="T4928" s="1" t="s">
        <v>21</v>
      </c>
      <c r="U4928" s="1" t="s">
        <v>22</v>
      </c>
      <c r="V4928" s="1" t="s">
        <v>23</v>
      </c>
      <c r="W4928" s="1" t="s">
        <v>24</v>
      </c>
      <c r="X4928" s="1">
        <v>2706</v>
      </c>
      <c r="Y4928" s="1" t="s">
        <v>24</v>
      </c>
      <c r="Z4928" s="1" t="s">
        <v>24</v>
      </c>
      <c r="AA4928" s="1" t="s">
        <v>24</v>
      </c>
      <c r="AB4928" s="1" t="s">
        <v>24</v>
      </c>
      <c r="AC4928" s="1" t="s">
        <v>24</v>
      </c>
      <c r="AD4928" s="1" t="s">
        <v>24</v>
      </c>
      <c r="AE4928" s="1" t="s">
        <v>24</v>
      </c>
      <c r="AF4928" s="22"/>
    </row>
    <row r="4929" spans="1:32" x14ac:dyDescent="0.2">
      <c r="A4929" s="1">
        <v>45838</v>
      </c>
      <c r="B4929" s="1" t="s">
        <v>14863</v>
      </c>
      <c r="C4929" s="5" t="s">
        <v>0</v>
      </c>
      <c r="E4929" s="1" t="s">
        <v>14900</v>
      </c>
      <c r="F4929" s="1" t="s">
        <v>14901</v>
      </c>
      <c r="G4929" s="1" t="s">
        <v>14901</v>
      </c>
      <c r="H4929" s="1" t="s">
        <v>899</v>
      </c>
      <c r="I4929" s="1" t="s">
        <v>16</v>
      </c>
      <c r="J4929" s="1">
        <v>1</v>
      </c>
      <c r="K4929" s="1">
        <v>2</v>
      </c>
      <c r="L4929" s="1" t="s">
        <v>42</v>
      </c>
      <c r="M4929" s="1" t="s">
        <v>18</v>
      </c>
      <c r="N4929" s="1" t="s">
        <v>18</v>
      </c>
      <c r="O4929" s="1">
        <v>3</v>
      </c>
      <c r="P4929" s="1">
        <v>6</v>
      </c>
      <c r="R4929" s="1" t="s">
        <v>19</v>
      </c>
      <c r="S4929" s="1" t="s">
        <v>20</v>
      </c>
      <c r="T4929" s="1" t="s">
        <v>21</v>
      </c>
      <c r="U4929" s="1" t="s">
        <v>22</v>
      </c>
      <c r="V4929" s="1" t="s">
        <v>24</v>
      </c>
      <c r="W4929" s="1" t="s">
        <v>24</v>
      </c>
      <c r="X4929" s="1">
        <v>3003</v>
      </c>
      <c r="Y4929" s="1" t="s">
        <v>24</v>
      </c>
      <c r="Z4929" s="1" t="s">
        <v>24</v>
      </c>
      <c r="AA4929" s="1" t="s">
        <v>24</v>
      </c>
      <c r="AB4929" s="1" t="s">
        <v>24</v>
      </c>
      <c r="AC4929" s="1" t="s">
        <v>24</v>
      </c>
      <c r="AD4929" s="1" t="s">
        <v>24</v>
      </c>
      <c r="AE4929" s="1" t="s">
        <v>24</v>
      </c>
      <c r="AF4929" s="22" t="s">
        <v>17667</v>
      </c>
    </row>
    <row r="4930" spans="1:32" x14ac:dyDescent="0.2">
      <c r="A4930" s="1">
        <v>45839</v>
      </c>
      <c r="B4930" s="1" t="s">
        <v>14902</v>
      </c>
      <c r="C4930" s="5" t="s">
        <v>0</v>
      </c>
      <c r="E4930" s="1" t="s">
        <v>14903</v>
      </c>
      <c r="F4930" s="1" t="s">
        <v>14902</v>
      </c>
      <c r="G4930" s="1" t="s">
        <v>14902</v>
      </c>
      <c r="H4930" s="1" t="s">
        <v>899</v>
      </c>
      <c r="I4930" s="1" t="s">
        <v>16</v>
      </c>
      <c r="J4930" s="1">
        <v>1</v>
      </c>
      <c r="K4930" s="1">
        <v>4</v>
      </c>
      <c r="L4930" s="1" t="s">
        <v>42</v>
      </c>
      <c r="M4930" s="1" t="s">
        <v>18</v>
      </c>
      <c r="N4930" s="1" t="s">
        <v>18</v>
      </c>
      <c r="O4930" s="1">
        <v>3</v>
      </c>
      <c r="P4930" s="1">
        <v>6</v>
      </c>
      <c r="R4930" s="1" t="s">
        <v>19</v>
      </c>
      <c r="S4930" s="1" t="s">
        <v>20</v>
      </c>
      <c r="T4930" s="1" t="s">
        <v>21</v>
      </c>
      <c r="U4930" s="1" t="s">
        <v>22</v>
      </c>
      <c r="V4930" s="1" t="s">
        <v>24</v>
      </c>
      <c r="W4930" s="1" t="s">
        <v>24</v>
      </c>
      <c r="X4930" s="1">
        <v>3002</v>
      </c>
      <c r="Y4930" s="1" t="s">
        <v>24</v>
      </c>
      <c r="Z4930" s="1" t="s">
        <v>24</v>
      </c>
      <c r="AA4930" s="1" t="s">
        <v>24</v>
      </c>
      <c r="AB4930" s="1" t="s">
        <v>24</v>
      </c>
      <c r="AC4930" s="1" t="s">
        <v>24</v>
      </c>
      <c r="AD4930" s="1" t="s">
        <v>24</v>
      </c>
      <c r="AE4930" s="1" t="s">
        <v>24</v>
      </c>
      <c r="AF4930" s="22"/>
    </row>
    <row r="4931" spans="1:32" x14ac:dyDescent="0.2">
      <c r="A4931" s="1">
        <v>45840</v>
      </c>
      <c r="B4931" s="1" t="s">
        <v>14904</v>
      </c>
      <c r="C4931" s="5" t="s">
        <v>0</v>
      </c>
      <c r="E4931" s="1" t="s">
        <v>14905</v>
      </c>
      <c r="F4931" s="1" t="s">
        <v>14904</v>
      </c>
      <c r="G4931" s="1" t="s">
        <v>14904</v>
      </c>
      <c r="H4931" s="1" t="s">
        <v>899</v>
      </c>
      <c r="I4931" s="1" t="s">
        <v>16</v>
      </c>
      <c r="J4931" s="1">
        <v>1</v>
      </c>
      <c r="K4931" s="1">
        <v>4</v>
      </c>
      <c r="L4931" s="1" t="s">
        <v>42</v>
      </c>
      <c r="M4931" s="1" t="s">
        <v>18</v>
      </c>
      <c r="N4931" s="1" t="s">
        <v>18</v>
      </c>
      <c r="O4931" s="1">
        <v>3</v>
      </c>
      <c r="P4931" s="1">
        <v>6</v>
      </c>
      <c r="R4931" s="1" t="s">
        <v>19</v>
      </c>
      <c r="S4931" s="1" t="s">
        <v>20</v>
      </c>
      <c r="T4931" s="1" t="s">
        <v>21</v>
      </c>
      <c r="U4931" s="1" t="s">
        <v>22</v>
      </c>
      <c r="V4931" s="1" t="s">
        <v>24</v>
      </c>
      <c r="W4931" s="1" t="s">
        <v>24</v>
      </c>
      <c r="X4931" s="1">
        <v>3001</v>
      </c>
      <c r="Y4931" s="1" t="s">
        <v>24</v>
      </c>
      <c r="Z4931" s="1" t="s">
        <v>24</v>
      </c>
      <c r="AA4931" s="1" t="s">
        <v>24</v>
      </c>
      <c r="AB4931" s="1" t="s">
        <v>24</v>
      </c>
      <c r="AC4931" s="1" t="s">
        <v>24</v>
      </c>
      <c r="AD4931" s="1" t="s">
        <v>24</v>
      </c>
      <c r="AE4931" s="1" t="s">
        <v>24</v>
      </c>
      <c r="AF4931" s="22"/>
    </row>
    <row r="4932" spans="1:32" x14ac:dyDescent="0.2">
      <c r="A4932" s="1">
        <v>45841</v>
      </c>
      <c r="B4932" s="1" t="s">
        <v>14906</v>
      </c>
      <c r="C4932" s="5" t="s">
        <v>0</v>
      </c>
      <c r="D4932" s="1" t="s">
        <v>14907</v>
      </c>
      <c r="F4932" s="1" t="s">
        <v>14906</v>
      </c>
      <c r="G4932" s="1" t="s">
        <v>9413</v>
      </c>
      <c r="H4932" s="1" t="s">
        <v>899</v>
      </c>
      <c r="I4932" s="1" t="s">
        <v>16</v>
      </c>
      <c r="J4932" s="1">
        <v>1</v>
      </c>
      <c r="K4932" s="1">
        <v>4</v>
      </c>
      <c r="L4932" s="1" t="s">
        <v>42</v>
      </c>
      <c r="M4932" s="1" t="s">
        <v>18</v>
      </c>
      <c r="N4932" s="1" t="s">
        <v>18</v>
      </c>
      <c r="O4932" s="1">
        <v>3</v>
      </c>
      <c r="P4932" s="1">
        <v>6</v>
      </c>
      <c r="R4932" s="1" t="s">
        <v>19</v>
      </c>
      <c r="S4932" s="1" t="s">
        <v>20</v>
      </c>
      <c r="T4932" s="1" t="s">
        <v>21</v>
      </c>
      <c r="U4932" s="1" t="s">
        <v>22</v>
      </c>
      <c r="V4932" s="1" t="s">
        <v>23</v>
      </c>
      <c r="W4932" s="1" t="s">
        <v>24</v>
      </c>
      <c r="X4932" s="1">
        <v>2739</v>
      </c>
      <c r="Y4932" s="1" t="s">
        <v>24</v>
      </c>
      <c r="Z4932" s="1" t="s">
        <v>24</v>
      </c>
      <c r="AA4932" s="1" t="s">
        <v>24</v>
      </c>
      <c r="AB4932" s="1" t="s">
        <v>24</v>
      </c>
      <c r="AC4932" s="1" t="s">
        <v>24</v>
      </c>
      <c r="AD4932" s="1" t="s">
        <v>24</v>
      </c>
      <c r="AE4932" s="1" t="s">
        <v>24</v>
      </c>
      <c r="AF4932" s="22"/>
    </row>
    <row r="4933" spans="1:32" x14ac:dyDescent="0.2">
      <c r="A4933" s="1">
        <v>45843</v>
      </c>
      <c r="B4933" s="1" t="s">
        <v>14908</v>
      </c>
      <c r="C4933" s="5" t="s">
        <v>0</v>
      </c>
      <c r="D4933" s="1" t="s">
        <v>14909</v>
      </c>
      <c r="E4933" s="1" t="s">
        <v>14910</v>
      </c>
      <c r="F4933" s="1" t="s">
        <v>14870</v>
      </c>
      <c r="G4933" s="1" t="s">
        <v>14871</v>
      </c>
      <c r="H4933" s="1" t="s">
        <v>899</v>
      </c>
      <c r="I4933" s="1" t="s">
        <v>16</v>
      </c>
      <c r="J4933" s="1">
        <v>1</v>
      </c>
      <c r="K4933" s="1">
        <v>3</v>
      </c>
      <c r="L4933" s="1" t="s">
        <v>31</v>
      </c>
      <c r="M4933" s="1" t="s">
        <v>18</v>
      </c>
      <c r="N4933" s="1" t="s">
        <v>18</v>
      </c>
      <c r="O4933" s="1">
        <v>2</v>
      </c>
      <c r="P4933" s="1">
        <v>6</v>
      </c>
      <c r="R4933" s="1" t="s">
        <v>19</v>
      </c>
      <c r="S4933" s="1" t="s">
        <v>20</v>
      </c>
      <c r="T4933" s="1" t="s">
        <v>21</v>
      </c>
      <c r="U4933" s="1" t="s">
        <v>22</v>
      </c>
      <c r="V4933" s="1" t="s">
        <v>24</v>
      </c>
      <c r="W4933" s="1" t="s">
        <v>24</v>
      </c>
      <c r="X4933" s="1">
        <v>2746</v>
      </c>
      <c r="Y4933" s="1">
        <v>2712</v>
      </c>
      <c r="Z4933" s="1">
        <v>2741</v>
      </c>
      <c r="AA4933" s="1" t="s">
        <v>24</v>
      </c>
      <c r="AB4933" s="1" t="s">
        <v>24</v>
      </c>
      <c r="AC4933" s="1" t="s">
        <v>24</v>
      </c>
      <c r="AD4933" s="1" t="s">
        <v>24</v>
      </c>
      <c r="AE4933" s="1" t="s">
        <v>24</v>
      </c>
      <c r="AF4933" s="22"/>
    </row>
    <row r="4934" spans="1:32" x14ac:dyDescent="0.2">
      <c r="A4934" s="1">
        <v>45844</v>
      </c>
      <c r="B4934" s="1" t="s">
        <v>14911</v>
      </c>
      <c r="C4934" s="5" t="s">
        <v>0</v>
      </c>
      <c r="D4934" s="1" t="s">
        <v>14912</v>
      </c>
      <c r="F4934" s="1" t="s">
        <v>11878</v>
      </c>
      <c r="G4934" s="1" t="s">
        <v>11879</v>
      </c>
      <c r="H4934" s="1" t="s">
        <v>30</v>
      </c>
      <c r="I4934" s="1" t="s">
        <v>16</v>
      </c>
      <c r="J4934" s="1">
        <v>1</v>
      </c>
      <c r="K4934" s="1">
        <v>2</v>
      </c>
      <c r="L4934" s="1" t="s">
        <v>31</v>
      </c>
      <c r="M4934" s="1" t="s">
        <v>18</v>
      </c>
      <c r="N4934" s="1" t="s">
        <v>18</v>
      </c>
      <c r="O4934" s="1">
        <v>3</v>
      </c>
      <c r="P4934" s="1">
        <v>6</v>
      </c>
      <c r="R4934" s="1" t="s">
        <v>19</v>
      </c>
      <c r="S4934" s="1" t="s">
        <v>20</v>
      </c>
      <c r="T4934" s="1" t="s">
        <v>21</v>
      </c>
      <c r="U4934" s="1" t="s">
        <v>22</v>
      </c>
      <c r="V4934" s="1" t="s">
        <v>24</v>
      </c>
      <c r="W4934" s="1" t="s">
        <v>24</v>
      </c>
      <c r="X4934" s="1">
        <v>2807</v>
      </c>
      <c r="Y4934" s="1">
        <v>1310</v>
      </c>
      <c r="Z4934" s="1">
        <v>2705</v>
      </c>
      <c r="AA4934" s="1" t="s">
        <v>24</v>
      </c>
      <c r="AB4934" s="1" t="s">
        <v>24</v>
      </c>
      <c r="AC4934" s="1" t="s">
        <v>24</v>
      </c>
      <c r="AD4934" s="1" t="s">
        <v>24</v>
      </c>
      <c r="AE4934" s="1" t="s">
        <v>24</v>
      </c>
      <c r="AF4934" s="22"/>
    </row>
    <row r="4935" spans="1:32" x14ac:dyDescent="0.2">
      <c r="A4935" s="1">
        <v>45845</v>
      </c>
      <c r="B4935" s="1" t="s">
        <v>14913</v>
      </c>
      <c r="C4935" s="5" t="s">
        <v>0</v>
      </c>
      <c r="D4935" s="1" t="s">
        <v>14914</v>
      </c>
      <c r="F4935" s="1" t="s">
        <v>11878</v>
      </c>
      <c r="G4935" s="1" t="s">
        <v>11879</v>
      </c>
      <c r="H4935" s="1" t="s">
        <v>30</v>
      </c>
      <c r="I4935" s="1" t="s">
        <v>16</v>
      </c>
      <c r="J4935" s="1">
        <v>1</v>
      </c>
      <c r="K4935" s="1">
        <v>2</v>
      </c>
      <c r="L4935" s="1" t="s">
        <v>31</v>
      </c>
      <c r="M4935" s="1" t="s">
        <v>18</v>
      </c>
      <c r="N4935" s="1" t="s">
        <v>18</v>
      </c>
      <c r="O4935" s="1">
        <v>3</v>
      </c>
      <c r="P4935" s="1">
        <v>6</v>
      </c>
      <c r="R4935" s="1" t="s">
        <v>19</v>
      </c>
      <c r="S4935" s="1" t="s">
        <v>20</v>
      </c>
      <c r="T4935" s="1" t="s">
        <v>21</v>
      </c>
      <c r="U4935" s="1" t="s">
        <v>22</v>
      </c>
      <c r="V4935" s="1" t="s">
        <v>24</v>
      </c>
      <c r="W4935" s="1" t="s">
        <v>24</v>
      </c>
      <c r="X4935" s="1">
        <v>2725</v>
      </c>
      <c r="Y4935" s="1">
        <v>2404</v>
      </c>
      <c r="Z4935" s="1" t="s">
        <v>24</v>
      </c>
      <c r="AA4935" s="1" t="s">
        <v>24</v>
      </c>
      <c r="AB4935" s="1" t="s">
        <v>24</v>
      </c>
      <c r="AC4935" s="1" t="s">
        <v>24</v>
      </c>
      <c r="AD4935" s="1" t="s">
        <v>24</v>
      </c>
      <c r="AE4935" s="1" t="s">
        <v>24</v>
      </c>
      <c r="AF4935" s="22"/>
    </row>
    <row r="4936" spans="1:32" x14ac:dyDescent="0.2">
      <c r="A4936" s="1">
        <v>45846</v>
      </c>
      <c r="B4936" s="1" t="s">
        <v>14915</v>
      </c>
      <c r="C4936" s="5" t="s">
        <v>0</v>
      </c>
      <c r="D4936" s="1" t="s">
        <v>14916</v>
      </c>
      <c r="F4936" s="1" t="s">
        <v>11878</v>
      </c>
      <c r="G4936" s="1" t="s">
        <v>11879</v>
      </c>
      <c r="H4936" s="1" t="s">
        <v>30</v>
      </c>
      <c r="I4936" s="1" t="s">
        <v>16</v>
      </c>
      <c r="J4936" s="1">
        <v>1</v>
      </c>
      <c r="K4936" s="1">
        <v>2</v>
      </c>
      <c r="L4936" s="1" t="s">
        <v>31</v>
      </c>
      <c r="M4936" s="1" t="s">
        <v>18</v>
      </c>
      <c r="N4936" s="1" t="s">
        <v>18</v>
      </c>
      <c r="O4936" s="1">
        <v>3</v>
      </c>
      <c r="P4936" s="1">
        <v>6</v>
      </c>
      <c r="R4936" s="1" t="s">
        <v>19</v>
      </c>
      <c r="S4936" s="1" t="s">
        <v>20</v>
      </c>
      <c r="T4936" s="1" t="s">
        <v>21</v>
      </c>
      <c r="U4936" s="1" t="s">
        <v>22</v>
      </c>
      <c r="V4936" s="1" t="s">
        <v>24</v>
      </c>
      <c r="W4936" s="1" t="s">
        <v>24</v>
      </c>
      <c r="X4936" s="1">
        <v>1303</v>
      </c>
      <c r="Y4936" s="1">
        <v>1312</v>
      </c>
      <c r="Z4936" s="1">
        <v>1315</v>
      </c>
      <c r="AA4936" s="1" t="s">
        <v>24</v>
      </c>
      <c r="AB4936" s="1" t="s">
        <v>24</v>
      </c>
      <c r="AC4936" s="1" t="s">
        <v>24</v>
      </c>
      <c r="AD4936" s="1" t="s">
        <v>24</v>
      </c>
      <c r="AE4936" s="1" t="s">
        <v>24</v>
      </c>
      <c r="AF4936" s="22"/>
    </row>
    <row r="4937" spans="1:32" x14ac:dyDescent="0.2">
      <c r="A4937" s="1">
        <v>45847</v>
      </c>
      <c r="B4937" s="1" t="s">
        <v>14917</v>
      </c>
      <c r="C4937" s="5" t="s">
        <v>0</v>
      </c>
      <c r="D4937" s="1" t="s">
        <v>14918</v>
      </c>
      <c r="E4937" s="1" t="s">
        <v>14919</v>
      </c>
      <c r="F4937" s="1" t="s">
        <v>1949</v>
      </c>
      <c r="G4937" s="1" t="s">
        <v>1949</v>
      </c>
      <c r="H4937" s="1" t="s">
        <v>684</v>
      </c>
      <c r="I4937" s="1" t="s">
        <v>16</v>
      </c>
      <c r="J4937" s="1">
        <v>1</v>
      </c>
      <c r="K4937" s="1">
        <v>3</v>
      </c>
      <c r="L4937" s="1" t="s">
        <v>42</v>
      </c>
      <c r="M4937" s="1" t="s">
        <v>18</v>
      </c>
      <c r="N4937" s="1" t="s">
        <v>18</v>
      </c>
      <c r="O4937" s="1">
        <v>2</v>
      </c>
      <c r="P4937" s="1">
        <v>6</v>
      </c>
      <c r="R4937" s="1" t="s">
        <v>19</v>
      </c>
      <c r="S4937" s="1" t="s">
        <v>20</v>
      </c>
      <c r="T4937" s="1" t="s">
        <v>21</v>
      </c>
      <c r="U4937" s="1" t="s">
        <v>22</v>
      </c>
      <c r="V4937" s="1" t="s">
        <v>24</v>
      </c>
      <c r="W4937" s="1" t="s">
        <v>24</v>
      </c>
      <c r="X4937" s="1">
        <v>2708</v>
      </c>
      <c r="Y4937" s="1" t="s">
        <v>24</v>
      </c>
      <c r="Z4937" s="1" t="s">
        <v>24</v>
      </c>
      <c r="AA4937" s="1" t="s">
        <v>24</v>
      </c>
      <c r="AB4937" s="1" t="s">
        <v>24</v>
      </c>
      <c r="AC4937" s="1" t="s">
        <v>24</v>
      </c>
      <c r="AD4937" s="1" t="s">
        <v>24</v>
      </c>
      <c r="AE4937" s="1" t="s">
        <v>24</v>
      </c>
      <c r="AF4937" s="22"/>
    </row>
    <row r="4938" spans="1:32" x14ac:dyDescent="0.2">
      <c r="A4938" s="1">
        <v>45848</v>
      </c>
      <c r="B4938" s="1" t="s">
        <v>14920</v>
      </c>
      <c r="C4938" s="5" t="s">
        <v>0</v>
      </c>
      <c r="D4938" s="1" t="s">
        <v>14921</v>
      </c>
      <c r="F4938" s="1" t="s">
        <v>14922</v>
      </c>
      <c r="G4938" s="1" t="s">
        <v>14922</v>
      </c>
      <c r="H4938" s="1" t="s">
        <v>37</v>
      </c>
      <c r="I4938" s="1" t="s">
        <v>16</v>
      </c>
      <c r="J4938" s="1">
        <v>1</v>
      </c>
      <c r="K4938" s="1">
        <v>2</v>
      </c>
      <c r="L4938" s="1" t="s">
        <v>42</v>
      </c>
      <c r="M4938" s="1" t="s">
        <v>18</v>
      </c>
      <c r="N4938" s="1" t="s">
        <v>18</v>
      </c>
      <c r="O4938" s="1">
        <v>3</v>
      </c>
      <c r="P4938" s="1">
        <v>6</v>
      </c>
      <c r="R4938" s="1" t="s">
        <v>19</v>
      </c>
      <c r="S4938" s="1" t="s">
        <v>20</v>
      </c>
      <c r="T4938" s="1" t="s">
        <v>21</v>
      </c>
      <c r="U4938" s="1" t="s">
        <v>22</v>
      </c>
      <c r="V4938" s="1" t="s">
        <v>24</v>
      </c>
      <c r="W4938" s="1" t="s">
        <v>24</v>
      </c>
      <c r="X4938" s="1">
        <v>2720</v>
      </c>
      <c r="Y4938" s="1" t="s">
        <v>24</v>
      </c>
      <c r="Z4938" s="1" t="s">
        <v>24</v>
      </c>
      <c r="AA4938" s="1" t="s">
        <v>24</v>
      </c>
      <c r="AB4938" s="1" t="s">
        <v>24</v>
      </c>
      <c r="AC4938" s="1" t="s">
        <v>24</v>
      </c>
      <c r="AD4938" s="1" t="s">
        <v>24</v>
      </c>
      <c r="AE4938" s="1" t="s">
        <v>24</v>
      </c>
      <c r="AF4938" s="22"/>
    </row>
    <row r="4939" spans="1:32" x14ac:dyDescent="0.2">
      <c r="A4939" s="1">
        <v>45849</v>
      </c>
      <c r="B4939" s="1" t="s">
        <v>14923</v>
      </c>
      <c r="C4939" s="5" t="s">
        <v>0</v>
      </c>
      <c r="D4939" s="1" t="s">
        <v>14924</v>
      </c>
      <c r="E4939" s="1" t="s">
        <v>14925</v>
      </c>
      <c r="F4939" s="1" t="s">
        <v>5110</v>
      </c>
      <c r="G4939" s="1" t="s">
        <v>5110</v>
      </c>
      <c r="H4939" s="1" t="s">
        <v>899</v>
      </c>
      <c r="I4939" s="1" t="s">
        <v>16</v>
      </c>
      <c r="J4939" s="1">
        <v>1</v>
      </c>
      <c r="K4939" s="1">
        <v>2</v>
      </c>
      <c r="L4939" s="1" t="s">
        <v>42</v>
      </c>
      <c r="M4939" s="1" t="s">
        <v>18</v>
      </c>
      <c r="N4939" s="1" t="s">
        <v>18</v>
      </c>
      <c r="O4939" s="1">
        <v>3</v>
      </c>
      <c r="P4939" s="1">
        <v>6</v>
      </c>
      <c r="R4939" s="1" t="s">
        <v>19</v>
      </c>
      <c r="S4939" s="1" t="s">
        <v>20</v>
      </c>
      <c r="T4939" s="1" t="s">
        <v>21</v>
      </c>
      <c r="U4939" s="1" t="s">
        <v>22</v>
      </c>
      <c r="V4939" s="1" t="s">
        <v>24</v>
      </c>
      <c r="W4939" s="1" t="s">
        <v>24</v>
      </c>
      <c r="X4939" s="1">
        <v>2800</v>
      </c>
      <c r="Y4939" s="1" t="s">
        <v>24</v>
      </c>
      <c r="Z4939" s="1" t="s">
        <v>24</v>
      </c>
      <c r="AA4939" s="1" t="s">
        <v>24</v>
      </c>
      <c r="AB4939" s="1" t="s">
        <v>24</v>
      </c>
      <c r="AC4939" s="1" t="s">
        <v>24</v>
      </c>
      <c r="AD4939" s="1" t="s">
        <v>24</v>
      </c>
      <c r="AE4939" s="1" t="s">
        <v>24</v>
      </c>
      <c r="AF4939" s="22"/>
    </row>
    <row r="4940" spans="1:32" x14ac:dyDescent="0.2">
      <c r="A4940" s="1">
        <v>45850</v>
      </c>
      <c r="B4940" s="1" t="s">
        <v>14926</v>
      </c>
      <c r="C4940" s="5" t="s">
        <v>0</v>
      </c>
      <c r="E4940" s="1" t="s">
        <v>14927</v>
      </c>
      <c r="F4940" s="1" t="s">
        <v>14928</v>
      </c>
      <c r="G4940" s="1" t="s">
        <v>14928</v>
      </c>
      <c r="H4940" s="1" t="s">
        <v>899</v>
      </c>
      <c r="I4940" s="1" t="s">
        <v>16</v>
      </c>
      <c r="J4940" s="1">
        <v>1</v>
      </c>
      <c r="K4940" s="1">
        <v>2</v>
      </c>
      <c r="L4940" s="1" t="s">
        <v>42</v>
      </c>
      <c r="M4940" s="1" t="s">
        <v>18</v>
      </c>
      <c r="N4940" s="1" t="s">
        <v>18</v>
      </c>
      <c r="O4940" s="1">
        <v>2</v>
      </c>
      <c r="P4940" s="1">
        <v>6</v>
      </c>
      <c r="R4940" s="1" t="s">
        <v>19</v>
      </c>
      <c r="S4940" s="1" t="s">
        <v>20</v>
      </c>
      <c r="T4940" s="1" t="s">
        <v>21</v>
      </c>
      <c r="U4940" s="1" t="s">
        <v>22</v>
      </c>
      <c r="V4940" s="1" t="s">
        <v>24</v>
      </c>
      <c r="W4940" s="1" t="s">
        <v>24</v>
      </c>
      <c r="X4940" s="1">
        <v>3000</v>
      </c>
      <c r="Y4940" s="1">
        <v>2736</v>
      </c>
      <c r="Z4940" s="1" t="s">
        <v>24</v>
      </c>
      <c r="AA4940" s="1" t="s">
        <v>24</v>
      </c>
      <c r="AB4940" s="1" t="s">
        <v>24</v>
      </c>
      <c r="AC4940" s="1" t="s">
        <v>24</v>
      </c>
      <c r="AD4940" s="1" t="s">
        <v>24</v>
      </c>
      <c r="AE4940" s="1" t="s">
        <v>24</v>
      </c>
      <c r="AF4940" s="22"/>
    </row>
    <row r="4941" spans="1:32" x14ac:dyDescent="0.2">
      <c r="A4941" s="1">
        <v>45851</v>
      </c>
      <c r="B4941" s="1" t="s">
        <v>14929</v>
      </c>
      <c r="C4941" s="5" t="s">
        <v>0</v>
      </c>
      <c r="D4941" s="1" t="s">
        <v>14930</v>
      </c>
      <c r="E4941" s="1" t="s">
        <v>14931</v>
      </c>
      <c r="F4941" s="1" t="s">
        <v>14932</v>
      </c>
      <c r="G4941" s="1" t="s">
        <v>14933</v>
      </c>
      <c r="H4941" s="1" t="s">
        <v>30</v>
      </c>
      <c r="I4941" s="1" t="s">
        <v>16</v>
      </c>
      <c r="J4941" s="1">
        <v>1</v>
      </c>
      <c r="K4941" s="1">
        <v>2</v>
      </c>
      <c r="L4941" s="1" t="s">
        <v>31</v>
      </c>
      <c r="M4941" s="1" t="s">
        <v>18</v>
      </c>
      <c r="N4941" s="1" t="s">
        <v>18</v>
      </c>
      <c r="O4941" s="1">
        <v>3</v>
      </c>
      <c r="P4941" s="1">
        <v>6</v>
      </c>
      <c r="R4941" s="1" t="s">
        <v>19</v>
      </c>
      <c r="S4941" s="1" t="s">
        <v>20</v>
      </c>
      <c r="T4941" s="1" t="s">
        <v>21</v>
      </c>
      <c r="U4941" s="1" t="s">
        <v>22</v>
      </c>
      <c r="V4941" s="1" t="s">
        <v>24</v>
      </c>
      <c r="W4941" s="1" t="s">
        <v>24</v>
      </c>
      <c r="X4941" s="1">
        <v>2741</v>
      </c>
      <c r="Y4941" s="1">
        <v>2746</v>
      </c>
      <c r="Z4941" s="1" t="s">
        <v>24</v>
      </c>
      <c r="AA4941" s="1" t="s">
        <v>24</v>
      </c>
      <c r="AB4941" s="1" t="s">
        <v>24</v>
      </c>
      <c r="AC4941" s="1" t="s">
        <v>24</v>
      </c>
      <c r="AD4941" s="1" t="s">
        <v>24</v>
      </c>
      <c r="AE4941" s="1" t="s">
        <v>24</v>
      </c>
      <c r="AF4941" s="22"/>
    </row>
    <row r="4942" spans="1:32" x14ac:dyDescent="0.2">
      <c r="A4942" s="1">
        <v>45852</v>
      </c>
      <c r="B4942" s="1" t="s">
        <v>14934</v>
      </c>
      <c r="C4942" s="5" t="s">
        <v>0</v>
      </c>
      <c r="D4942" s="1" t="s">
        <v>14935</v>
      </c>
      <c r="E4942" s="1" t="s">
        <v>14936</v>
      </c>
      <c r="F4942" s="1" t="s">
        <v>12374</v>
      </c>
      <c r="G4942" s="1" t="s">
        <v>12374</v>
      </c>
      <c r="H4942" s="1" t="s">
        <v>37</v>
      </c>
      <c r="I4942" s="1" t="s">
        <v>16</v>
      </c>
      <c r="J4942" s="1">
        <v>1</v>
      </c>
      <c r="K4942" s="1">
        <v>2</v>
      </c>
      <c r="L4942" s="1" t="s">
        <v>42</v>
      </c>
      <c r="M4942" s="1" t="s">
        <v>18</v>
      </c>
      <c r="N4942" s="1" t="s">
        <v>18</v>
      </c>
      <c r="O4942" s="1">
        <v>3</v>
      </c>
      <c r="P4942" s="1">
        <v>6</v>
      </c>
      <c r="R4942" s="1" t="s">
        <v>19</v>
      </c>
      <c r="S4942" s="1" t="s">
        <v>20</v>
      </c>
      <c r="T4942" s="1" t="s">
        <v>21</v>
      </c>
      <c r="U4942" s="1" t="s">
        <v>22</v>
      </c>
      <c r="V4942" s="1" t="s">
        <v>24</v>
      </c>
      <c r="W4942" s="1" t="s">
        <v>24</v>
      </c>
      <c r="X4942" s="1">
        <v>2705</v>
      </c>
      <c r="Y4942" s="1" t="s">
        <v>24</v>
      </c>
      <c r="Z4942" s="1" t="s">
        <v>24</v>
      </c>
      <c r="AA4942" s="1" t="s">
        <v>24</v>
      </c>
      <c r="AB4942" s="1" t="s">
        <v>24</v>
      </c>
      <c r="AC4942" s="1" t="s">
        <v>24</v>
      </c>
      <c r="AD4942" s="1" t="s">
        <v>24</v>
      </c>
      <c r="AE4942" s="1" t="s">
        <v>24</v>
      </c>
      <c r="AF4942" s="22"/>
    </row>
    <row r="4943" spans="1:32" x14ac:dyDescent="0.2">
      <c r="A4943" s="1">
        <v>45853</v>
      </c>
      <c r="B4943" s="1" t="s">
        <v>14937</v>
      </c>
      <c r="C4943" s="5" t="s">
        <v>0</v>
      </c>
      <c r="D4943" s="1" t="s">
        <v>14938</v>
      </c>
      <c r="E4943" s="1" t="s">
        <v>14939</v>
      </c>
      <c r="F4943" s="1" t="s">
        <v>12374</v>
      </c>
      <c r="G4943" s="1" t="s">
        <v>12374</v>
      </c>
      <c r="H4943" s="1" t="s">
        <v>37</v>
      </c>
      <c r="I4943" s="1" t="s">
        <v>16</v>
      </c>
      <c r="J4943" s="1">
        <v>1</v>
      </c>
      <c r="K4943" s="1">
        <v>4</v>
      </c>
      <c r="L4943" s="1" t="s">
        <v>42</v>
      </c>
      <c r="M4943" s="1" t="s">
        <v>1385</v>
      </c>
      <c r="N4943" s="1" t="s">
        <v>3142</v>
      </c>
      <c r="O4943" s="1">
        <v>3</v>
      </c>
      <c r="P4943" s="1">
        <v>5</v>
      </c>
      <c r="R4943" s="1" t="s">
        <v>19</v>
      </c>
      <c r="S4943" s="1" t="s">
        <v>20</v>
      </c>
      <c r="T4943" s="1" t="s">
        <v>21</v>
      </c>
      <c r="U4943" s="1" t="s">
        <v>22</v>
      </c>
      <c r="V4943" s="1" t="s">
        <v>24</v>
      </c>
      <c r="W4943" s="1" t="s">
        <v>24</v>
      </c>
      <c r="X4943" s="1">
        <v>2732</v>
      </c>
      <c r="Y4943" s="1" t="s">
        <v>24</v>
      </c>
      <c r="Z4943" s="1" t="s">
        <v>24</v>
      </c>
      <c r="AA4943" s="1" t="s">
        <v>24</v>
      </c>
      <c r="AB4943" s="1" t="s">
        <v>24</v>
      </c>
      <c r="AC4943" s="1" t="s">
        <v>24</v>
      </c>
      <c r="AD4943" s="1" t="s">
        <v>24</v>
      </c>
      <c r="AE4943" s="1" t="s">
        <v>24</v>
      </c>
      <c r="AF4943" s="22"/>
    </row>
    <row r="4944" spans="1:32" x14ac:dyDescent="0.2">
      <c r="A4944" s="1">
        <v>45854</v>
      </c>
      <c r="B4944" s="1" t="s">
        <v>14940</v>
      </c>
      <c r="C4944" s="5" t="s">
        <v>0</v>
      </c>
      <c r="D4944" s="1" t="s">
        <v>14941</v>
      </c>
      <c r="E4944" s="1" t="s">
        <v>14942</v>
      </c>
      <c r="F4944" s="1" t="s">
        <v>12374</v>
      </c>
      <c r="G4944" s="1" t="s">
        <v>12374</v>
      </c>
      <c r="H4944" s="1" t="s">
        <v>37</v>
      </c>
      <c r="I4944" s="1" t="s">
        <v>16</v>
      </c>
      <c r="J4944" s="1">
        <v>1</v>
      </c>
      <c r="K4944" s="1">
        <v>2</v>
      </c>
      <c r="L4944" s="1" t="s">
        <v>42</v>
      </c>
      <c r="M4944" s="1" t="s">
        <v>18</v>
      </c>
      <c r="N4944" s="1" t="s">
        <v>18</v>
      </c>
      <c r="O4944" s="1">
        <v>3</v>
      </c>
      <c r="P4944" s="1">
        <v>6</v>
      </c>
      <c r="R4944" s="1" t="s">
        <v>19</v>
      </c>
      <c r="S4944" s="1" t="s">
        <v>20</v>
      </c>
      <c r="T4944" s="1" t="s">
        <v>21</v>
      </c>
      <c r="U4944" s="1" t="s">
        <v>22</v>
      </c>
      <c r="V4944" s="1" t="s">
        <v>23</v>
      </c>
      <c r="W4944" s="1" t="s">
        <v>24</v>
      </c>
      <c r="X4944" s="1">
        <v>2738</v>
      </c>
      <c r="Y4944" s="1" t="s">
        <v>24</v>
      </c>
      <c r="Z4944" s="1" t="s">
        <v>24</v>
      </c>
      <c r="AA4944" s="1" t="s">
        <v>24</v>
      </c>
      <c r="AB4944" s="1" t="s">
        <v>24</v>
      </c>
      <c r="AC4944" s="1" t="s">
        <v>24</v>
      </c>
      <c r="AD4944" s="1" t="s">
        <v>24</v>
      </c>
      <c r="AE4944" s="1" t="s">
        <v>24</v>
      </c>
      <c r="AF4944" s="22"/>
    </row>
    <row r="4945" spans="1:32" x14ac:dyDescent="0.2">
      <c r="A4945" s="1">
        <v>45855</v>
      </c>
      <c r="B4945" s="1" t="s">
        <v>14943</v>
      </c>
      <c r="C4945" s="5" t="s">
        <v>0</v>
      </c>
      <c r="D4945" s="1" t="s">
        <v>14944</v>
      </c>
      <c r="F4945" s="1" t="s">
        <v>12374</v>
      </c>
      <c r="G4945" s="1" t="s">
        <v>12374</v>
      </c>
      <c r="H4945" s="1" t="s">
        <v>37</v>
      </c>
      <c r="I4945" s="1" t="s">
        <v>16</v>
      </c>
      <c r="J4945" s="1">
        <v>1</v>
      </c>
      <c r="K4945" s="1">
        <v>2</v>
      </c>
      <c r="L4945" s="1" t="s">
        <v>42</v>
      </c>
      <c r="M4945" s="1" t="s">
        <v>18</v>
      </c>
      <c r="N4945" s="1" t="s">
        <v>18</v>
      </c>
      <c r="O4945" s="1">
        <v>3</v>
      </c>
      <c r="P4945" s="1">
        <v>6</v>
      </c>
      <c r="R4945" s="1" t="s">
        <v>19</v>
      </c>
      <c r="S4945" s="1" t="s">
        <v>20</v>
      </c>
      <c r="T4945" s="1" t="s">
        <v>21</v>
      </c>
      <c r="U4945" s="1" t="s">
        <v>22</v>
      </c>
      <c r="V4945" s="1" t="s">
        <v>24</v>
      </c>
      <c r="W4945" s="1" t="s">
        <v>24</v>
      </c>
      <c r="X4945" s="1">
        <v>2715</v>
      </c>
      <c r="Y4945" s="1">
        <v>2721</v>
      </c>
      <c r="Z4945" s="1" t="s">
        <v>24</v>
      </c>
      <c r="AA4945" s="1" t="s">
        <v>24</v>
      </c>
      <c r="AB4945" s="1" t="s">
        <v>24</v>
      </c>
      <c r="AC4945" s="1" t="s">
        <v>24</v>
      </c>
      <c r="AD4945" s="1" t="s">
        <v>24</v>
      </c>
      <c r="AE4945" s="1" t="s">
        <v>24</v>
      </c>
      <c r="AF4945" s="22" t="s">
        <v>17679</v>
      </c>
    </row>
    <row r="4946" spans="1:32" x14ac:dyDescent="0.2">
      <c r="A4946" s="1">
        <v>45856</v>
      </c>
      <c r="B4946" s="1" t="s">
        <v>14945</v>
      </c>
      <c r="C4946" s="5" t="s">
        <v>0</v>
      </c>
      <c r="D4946" s="1" t="s">
        <v>14946</v>
      </c>
      <c r="E4946" s="1" t="s">
        <v>14947</v>
      </c>
      <c r="F4946" s="1" t="s">
        <v>12374</v>
      </c>
      <c r="G4946" s="1" t="s">
        <v>12374</v>
      </c>
      <c r="H4946" s="1" t="s">
        <v>37</v>
      </c>
      <c r="I4946" s="1" t="s">
        <v>16</v>
      </c>
      <c r="J4946" s="1">
        <v>1</v>
      </c>
      <c r="K4946" s="1">
        <v>2</v>
      </c>
      <c r="L4946" s="1" t="s">
        <v>42</v>
      </c>
      <c r="M4946" s="1" t="s">
        <v>18</v>
      </c>
      <c r="N4946" s="1" t="s">
        <v>18</v>
      </c>
      <c r="O4946" s="1">
        <v>3</v>
      </c>
      <c r="P4946" s="1">
        <v>6</v>
      </c>
      <c r="R4946" s="1" t="s">
        <v>19</v>
      </c>
      <c r="S4946" s="1" t="s">
        <v>20</v>
      </c>
      <c r="T4946" s="1" t="s">
        <v>21</v>
      </c>
      <c r="U4946" s="1" t="s">
        <v>22</v>
      </c>
      <c r="V4946" s="1" t="s">
        <v>24</v>
      </c>
      <c r="W4946" s="1" t="s">
        <v>24</v>
      </c>
      <c r="X4946" s="1">
        <v>1310</v>
      </c>
      <c r="Y4946" s="1">
        <v>2712</v>
      </c>
      <c r="Z4946" s="1">
        <v>2807</v>
      </c>
      <c r="AA4946" s="1" t="s">
        <v>24</v>
      </c>
      <c r="AB4946" s="1" t="s">
        <v>24</v>
      </c>
      <c r="AC4946" s="1" t="s">
        <v>24</v>
      </c>
      <c r="AD4946" s="1" t="s">
        <v>24</v>
      </c>
      <c r="AE4946" s="1" t="s">
        <v>24</v>
      </c>
      <c r="AF4946" s="22"/>
    </row>
    <row r="4947" spans="1:32" x14ac:dyDescent="0.2">
      <c r="A4947" s="1">
        <v>45857</v>
      </c>
      <c r="B4947" s="1" t="s">
        <v>14948</v>
      </c>
      <c r="C4947" s="5" t="s">
        <v>0</v>
      </c>
      <c r="D4947" s="1" t="s">
        <v>14949</v>
      </c>
      <c r="F4947" s="1" t="s">
        <v>11405</v>
      </c>
      <c r="G4947" s="1" t="s">
        <v>11405</v>
      </c>
      <c r="H4947" s="1" t="s">
        <v>37</v>
      </c>
      <c r="I4947" s="1" t="s">
        <v>16</v>
      </c>
      <c r="J4947" s="1">
        <v>1</v>
      </c>
      <c r="K4947" s="1">
        <v>2</v>
      </c>
      <c r="L4947" s="1" t="s">
        <v>42</v>
      </c>
      <c r="M4947" s="1" t="s">
        <v>18</v>
      </c>
      <c r="N4947" s="1" t="s">
        <v>18</v>
      </c>
      <c r="O4947" s="1">
        <v>3</v>
      </c>
      <c r="P4947" s="1">
        <v>6</v>
      </c>
      <c r="R4947" s="1" t="s">
        <v>19</v>
      </c>
      <c r="S4947" s="1" t="s">
        <v>20</v>
      </c>
      <c r="T4947" s="1" t="s">
        <v>21</v>
      </c>
      <c r="U4947" s="1" t="s">
        <v>22</v>
      </c>
      <c r="V4947" s="1" t="s">
        <v>24</v>
      </c>
      <c r="W4947" s="1" t="s">
        <v>24</v>
      </c>
      <c r="X4947" s="1">
        <v>2720</v>
      </c>
      <c r="Y4947" s="1" t="s">
        <v>24</v>
      </c>
      <c r="Z4947" s="1" t="s">
        <v>24</v>
      </c>
      <c r="AA4947" s="1" t="s">
        <v>24</v>
      </c>
      <c r="AB4947" s="1" t="s">
        <v>24</v>
      </c>
      <c r="AC4947" s="1" t="s">
        <v>24</v>
      </c>
      <c r="AD4947" s="1" t="s">
        <v>24</v>
      </c>
      <c r="AE4947" s="1" t="s">
        <v>24</v>
      </c>
      <c r="AF4947" s="22"/>
    </row>
    <row r="4948" spans="1:32" x14ac:dyDescent="0.2">
      <c r="A4948" s="1">
        <v>45858</v>
      </c>
      <c r="B4948" s="1" t="s">
        <v>14950</v>
      </c>
      <c r="C4948" s="5" t="s">
        <v>0</v>
      </c>
      <c r="D4948" s="1" t="s">
        <v>14951</v>
      </c>
      <c r="E4948" s="1" t="s">
        <v>14952</v>
      </c>
      <c r="F4948" s="1" t="s">
        <v>35</v>
      </c>
      <c r="G4948" s="1" t="s">
        <v>36</v>
      </c>
      <c r="H4948" s="1" t="s">
        <v>168</v>
      </c>
      <c r="I4948" s="1" t="s">
        <v>16</v>
      </c>
      <c r="J4948" s="1">
        <v>1</v>
      </c>
      <c r="K4948" s="1">
        <v>4</v>
      </c>
      <c r="L4948" s="1" t="s">
        <v>31</v>
      </c>
      <c r="M4948" s="1" t="s">
        <v>18</v>
      </c>
      <c r="N4948" s="1" t="s">
        <v>18</v>
      </c>
      <c r="O4948" s="1">
        <v>3</v>
      </c>
      <c r="P4948" s="1">
        <v>7</v>
      </c>
      <c r="Q4948" s="7" t="s">
        <v>17633</v>
      </c>
      <c r="R4948" s="1" t="s">
        <v>19</v>
      </c>
      <c r="S4948" s="1" t="s">
        <v>20</v>
      </c>
      <c r="T4948" s="1" t="s">
        <v>21</v>
      </c>
      <c r="U4948" s="1" t="s">
        <v>22</v>
      </c>
      <c r="V4948" s="1" t="s">
        <v>24</v>
      </c>
      <c r="W4948" s="1" t="s">
        <v>24</v>
      </c>
      <c r="X4948" s="1">
        <v>2719</v>
      </c>
      <c r="Y4948" s="1" t="s">
        <v>24</v>
      </c>
      <c r="Z4948" s="1" t="s">
        <v>24</v>
      </c>
      <c r="AA4948" s="1" t="s">
        <v>24</v>
      </c>
      <c r="AB4948" s="1" t="s">
        <v>24</v>
      </c>
      <c r="AC4948" s="1" t="s">
        <v>24</v>
      </c>
      <c r="AD4948" s="1" t="s">
        <v>24</v>
      </c>
      <c r="AE4948" s="1" t="s">
        <v>24</v>
      </c>
      <c r="AF4948" s="22"/>
    </row>
    <row r="4949" spans="1:32" x14ac:dyDescent="0.2">
      <c r="A4949" s="1">
        <v>45859</v>
      </c>
      <c r="B4949" s="1" t="s">
        <v>14953</v>
      </c>
      <c r="C4949" s="5" t="s">
        <v>0</v>
      </c>
      <c r="D4949" s="1" t="s">
        <v>14954</v>
      </c>
      <c r="E4949" s="1" t="s">
        <v>14955</v>
      </c>
      <c r="F4949" s="1" t="s">
        <v>1897</v>
      </c>
      <c r="G4949" s="1" t="s">
        <v>1898</v>
      </c>
      <c r="H4949" s="1" t="s">
        <v>899</v>
      </c>
      <c r="I4949" s="1" t="s">
        <v>16</v>
      </c>
      <c r="J4949" s="1">
        <v>1</v>
      </c>
      <c r="K4949" s="1">
        <v>3</v>
      </c>
      <c r="L4949" s="1" t="s">
        <v>31</v>
      </c>
      <c r="M4949" s="1" t="s">
        <v>18</v>
      </c>
      <c r="N4949" s="1" t="s">
        <v>18</v>
      </c>
      <c r="O4949" s="1">
        <v>3</v>
      </c>
      <c r="P4949" s="1">
        <v>7</v>
      </c>
      <c r="Q4949" s="7" t="s">
        <v>17633</v>
      </c>
      <c r="R4949" s="1" t="s">
        <v>19</v>
      </c>
      <c r="S4949" s="1" t="s">
        <v>20</v>
      </c>
      <c r="T4949" s="1" t="s">
        <v>21</v>
      </c>
      <c r="U4949" s="1" t="s">
        <v>22</v>
      </c>
      <c r="V4949" s="1" t="s">
        <v>24</v>
      </c>
      <c r="W4949" s="1" t="s">
        <v>24</v>
      </c>
      <c r="X4949" s="1">
        <v>2703</v>
      </c>
      <c r="Y4949" s="1" t="s">
        <v>24</v>
      </c>
      <c r="Z4949" s="1" t="s">
        <v>24</v>
      </c>
      <c r="AA4949" s="1" t="s">
        <v>24</v>
      </c>
      <c r="AB4949" s="1" t="s">
        <v>24</v>
      </c>
      <c r="AC4949" s="1" t="s">
        <v>24</v>
      </c>
      <c r="AD4949" s="1" t="s">
        <v>24</v>
      </c>
      <c r="AE4949" s="1" t="s">
        <v>24</v>
      </c>
      <c r="AF4949" s="22"/>
    </row>
    <row r="4950" spans="1:32" x14ac:dyDescent="0.2">
      <c r="A4950" s="1">
        <v>45860</v>
      </c>
      <c r="B4950" s="1" t="s">
        <v>14956</v>
      </c>
      <c r="C4950" s="5" t="s">
        <v>0</v>
      </c>
      <c r="D4950" s="1" t="s">
        <v>14957</v>
      </c>
      <c r="E4950" s="1" t="s">
        <v>14958</v>
      </c>
      <c r="F4950" s="1" t="s">
        <v>1897</v>
      </c>
      <c r="G4950" s="1" t="s">
        <v>1898</v>
      </c>
      <c r="H4950" s="1" t="s">
        <v>899</v>
      </c>
      <c r="I4950" s="1" t="s">
        <v>16</v>
      </c>
      <c r="J4950" s="1">
        <v>1</v>
      </c>
      <c r="K4950" s="1">
        <v>3</v>
      </c>
      <c r="L4950" s="1" t="s">
        <v>31</v>
      </c>
      <c r="M4950" s="1" t="s">
        <v>18</v>
      </c>
      <c r="N4950" s="1" t="s">
        <v>18</v>
      </c>
      <c r="O4950" s="1">
        <v>3</v>
      </c>
      <c r="P4950" s="1">
        <v>7</v>
      </c>
      <c r="Q4950" s="7" t="s">
        <v>17633</v>
      </c>
      <c r="R4950" s="1" t="s">
        <v>19</v>
      </c>
      <c r="S4950" s="1" t="s">
        <v>20</v>
      </c>
      <c r="T4950" s="1" t="s">
        <v>21</v>
      </c>
      <c r="U4950" s="1" t="s">
        <v>22</v>
      </c>
      <c r="V4950" s="1" t="s">
        <v>24</v>
      </c>
      <c r="W4950" s="1" t="s">
        <v>24</v>
      </c>
      <c r="X4950" s="1">
        <v>2748</v>
      </c>
      <c r="Y4950" s="1" t="s">
        <v>24</v>
      </c>
      <c r="Z4950" s="1" t="s">
        <v>24</v>
      </c>
      <c r="AA4950" s="1" t="s">
        <v>24</v>
      </c>
      <c r="AB4950" s="1" t="s">
        <v>24</v>
      </c>
      <c r="AC4950" s="1" t="s">
        <v>24</v>
      </c>
      <c r="AD4950" s="1" t="s">
        <v>24</v>
      </c>
      <c r="AE4950" s="1" t="s">
        <v>24</v>
      </c>
      <c r="AF4950" s="22"/>
    </row>
    <row r="4951" spans="1:32" x14ac:dyDescent="0.2">
      <c r="A4951" s="1">
        <v>45861</v>
      </c>
      <c r="B4951" s="1" t="s">
        <v>14959</v>
      </c>
      <c r="C4951" s="5" t="s">
        <v>0</v>
      </c>
      <c r="D4951" s="1" t="s">
        <v>14960</v>
      </c>
      <c r="E4951" s="1" t="s">
        <v>14961</v>
      </c>
      <c r="F4951" s="1" t="s">
        <v>14959</v>
      </c>
      <c r="G4951" s="1" t="s">
        <v>14959</v>
      </c>
      <c r="H4951" s="1" t="s">
        <v>1384</v>
      </c>
      <c r="I4951" s="1" t="s">
        <v>16</v>
      </c>
      <c r="J4951" s="1">
        <v>1</v>
      </c>
      <c r="K4951" s="1">
        <v>2</v>
      </c>
      <c r="L4951" s="1" t="s">
        <v>42</v>
      </c>
      <c r="M4951" s="1" t="s">
        <v>1385</v>
      </c>
      <c r="N4951" s="1" t="s">
        <v>3142</v>
      </c>
      <c r="O4951" s="1">
        <v>2</v>
      </c>
      <c r="P4951" s="1">
        <v>5</v>
      </c>
      <c r="R4951" s="1" t="s">
        <v>19</v>
      </c>
      <c r="S4951" s="1" t="s">
        <v>20</v>
      </c>
      <c r="T4951" s="1" t="s">
        <v>21</v>
      </c>
      <c r="U4951" s="1" t="s">
        <v>22</v>
      </c>
      <c r="V4951" s="1" t="s">
        <v>24</v>
      </c>
      <c r="W4951" s="1" t="s">
        <v>24</v>
      </c>
      <c r="X4951" s="1">
        <v>2700</v>
      </c>
      <c r="Y4951" s="1" t="s">
        <v>24</v>
      </c>
      <c r="Z4951" s="1" t="s">
        <v>24</v>
      </c>
      <c r="AA4951" s="1" t="s">
        <v>24</v>
      </c>
      <c r="AB4951" s="1" t="s">
        <v>24</v>
      </c>
      <c r="AC4951" s="1" t="s">
        <v>24</v>
      </c>
      <c r="AD4951" s="1" t="s">
        <v>24</v>
      </c>
      <c r="AE4951" s="1" t="s">
        <v>24</v>
      </c>
      <c r="AF4951" s="22"/>
    </row>
    <row r="4952" spans="1:32" x14ac:dyDescent="0.2">
      <c r="A4952" s="1">
        <v>45862</v>
      </c>
      <c r="B4952" s="1" t="s">
        <v>14962</v>
      </c>
      <c r="C4952" s="5" t="s">
        <v>0</v>
      </c>
      <c r="D4952" s="1" t="s">
        <v>14963</v>
      </c>
      <c r="F4952" s="1" t="s">
        <v>14964</v>
      </c>
      <c r="G4952" s="1" t="s">
        <v>14964</v>
      </c>
      <c r="H4952" s="1" t="s">
        <v>1007</v>
      </c>
      <c r="I4952" s="1" t="s">
        <v>16</v>
      </c>
      <c r="J4952" s="1">
        <v>1</v>
      </c>
      <c r="K4952" s="1">
        <v>6</v>
      </c>
      <c r="L4952" s="1" t="s">
        <v>17</v>
      </c>
      <c r="M4952" s="1" t="s">
        <v>1008</v>
      </c>
      <c r="N4952" s="1" t="s">
        <v>1008</v>
      </c>
      <c r="O4952" s="1">
        <v>1</v>
      </c>
      <c r="P4952" s="1">
        <v>5</v>
      </c>
      <c r="R4952" s="1" t="s">
        <v>19</v>
      </c>
      <c r="S4952" s="1" t="s">
        <v>20</v>
      </c>
      <c r="T4952" s="1" t="s">
        <v>21</v>
      </c>
      <c r="U4952" s="1" t="s">
        <v>22</v>
      </c>
      <c r="V4952" s="1" t="s">
        <v>24</v>
      </c>
      <c r="W4952" s="1" t="s">
        <v>24</v>
      </c>
      <c r="X4952" s="1">
        <v>2405</v>
      </c>
      <c r="Y4952" s="1">
        <v>2725</v>
      </c>
      <c r="Z4952" s="1" t="s">
        <v>24</v>
      </c>
      <c r="AA4952" s="1" t="s">
        <v>24</v>
      </c>
      <c r="AB4952" s="1" t="s">
        <v>24</v>
      </c>
      <c r="AC4952" s="1" t="s">
        <v>24</v>
      </c>
      <c r="AD4952" s="1" t="s">
        <v>24</v>
      </c>
      <c r="AE4952" s="1" t="s">
        <v>24</v>
      </c>
      <c r="AF4952" s="22"/>
    </row>
    <row r="4953" spans="1:32" x14ac:dyDescent="0.2">
      <c r="A4953" s="1">
        <v>45863</v>
      </c>
      <c r="B4953" s="1" t="s">
        <v>14965</v>
      </c>
      <c r="C4953" s="5" t="s">
        <v>0</v>
      </c>
      <c r="E4953" s="1" t="s">
        <v>14966</v>
      </c>
      <c r="F4953" s="1" t="s">
        <v>14965</v>
      </c>
      <c r="G4953" s="1" t="s">
        <v>14965</v>
      </c>
      <c r="H4953" s="1" t="s">
        <v>899</v>
      </c>
      <c r="I4953" s="1" t="s">
        <v>16</v>
      </c>
      <c r="J4953" s="1">
        <v>1</v>
      </c>
      <c r="K4953" s="1">
        <v>4</v>
      </c>
      <c r="L4953" s="1" t="s">
        <v>42</v>
      </c>
      <c r="M4953" s="1" t="s">
        <v>18</v>
      </c>
      <c r="N4953" s="1" t="s">
        <v>18</v>
      </c>
      <c r="O4953" s="1">
        <v>3</v>
      </c>
      <c r="P4953" s="1">
        <v>6</v>
      </c>
      <c r="R4953" s="1" t="s">
        <v>19</v>
      </c>
      <c r="S4953" s="1" t="s">
        <v>63</v>
      </c>
      <c r="T4953" s="1" t="s">
        <v>21</v>
      </c>
      <c r="U4953" s="1" t="s">
        <v>22</v>
      </c>
      <c r="V4953" s="1" t="s">
        <v>24</v>
      </c>
      <c r="W4953" s="1" t="s">
        <v>24</v>
      </c>
      <c r="X4953" s="1">
        <v>2736</v>
      </c>
      <c r="Y4953" s="1">
        <v>3003</v>
      </c>
      <c r="Z4953" s="1">
        <v>3002</v>
      </c>
      <c r="AA4953" s="1" t="s">
        <v>24</v>
      </c>
      <c r="AB4953" s="1" t="s">
        <v>24</v>
      </c>
      <c r="AC4953" s="1" t="s">
        <v>24</v>
      </c>
      <c r="AD4953" s="1" t="s">
        <v>24</v>
      </c>
      <c r="AE4953" s="1" t="s">
        <v>24</v>
      </c>
      <c r="AF4953" s="22"/>
    </row>
    <row r="4954" spans="1:32" x14ac:dyDescent="0.2">
      <c r="A4954" s="1">
        <v>45864</v>
      </c>
      <c r="B4954" s="1" t="s">
        <v>14967</v>
      </c>
      <c r="C4954" s="5" t="s">
        <v>0</v>
      </c>
      <c r="E4954" s="1" t="s">
        <v>14968</v>
      </c>
      <c r="F4954" s="1" t="s">
        <v>14969</v>
      </c>
      <c r="G4954" s="1" t="s">
        <v>14967</v>
      </c>
      <c r="H4954" s="1" t="s">
        <v>30</v>
      </c>
      <c r="I4954" s="1" t="s">
        <v>16</v>
      </c>
      <c r="J4954" s="1">
        <v>1</v>
      </c>
      <c r="K4954" s="1">
        <v>3</v>
      </c>
      <c r="L4954" s="1" t="s">
        <v>42</v>
      </c>
      <c r="M4954" s="1" t="s">
        <v>18</v>
      </c>
      <c r="N4954" s="1" t="s">
        <v>18</v>
      </c>
      <c r="O4954" s="1">
        <v>3</v>
      </c>
      <c r="P4954" s="1">
        <v>6</v>
      </c>
      <c r="R4954" s="1" t="s">
        <v>19</v>
      </c>
      <c r="S4954" s="1" t="s">
        <v>20</v>
      </c>
      <c r="T4954" s="1" t="s">
        <v>21</v>
      </c>
      <c r="U4954" s="1" t="s">
        <v>22</v>
      </c>
      <c r="V4954" s="1" t="s">
        <v>24</v>
      </c>
      <c r="W4954" s="1" t="s">
        <v>24</v>
      </c>
      <c r="X4954" s="1">
        <v>1106</v>
      </c>
      <c r="Y4954" s="1">
        <v>3003</v>
      </c>
      <c r="Z4954" s="1" t="s">
        <v>24</v>
      </c>
      <c r="AA4954" s="1" t="s">
        <v>24</v>
      </c>
      <c r="AB4954" s="1" t="s">
        <v>24</v>
      </c>
      <c r="AC4954" s="1" t="s">
        <v>24</v>
      </c>
      <c r="AD4954" s="1" t="s">
        <v>24</v>
      </c>
      <c r="AE4954" s="1" t="s">
        <v>24</v>
      </c>
      <c r="AF4954" s="22"/>
    </row>
    <row r="4955" spans="1:32" x14ac:dyDescent="0.2">
      <c r="A4955" s="1">
        <v>45865</v>
      </c>
      <c r="B4955" s="1" t="s">
        <v>14970</v>
      </c>
      <c r="C4955" s="5" t="s">
        <v>0</v>
      </c>
      <c r="D4955" s="1" t="s">
        <v>14971</v>
      </c>
      <c r="E4955" s="1" t="s">
        <v>14972</v>
      </c>
      <c r="F4955" s="1" t="s">
        <v>14870</v>
      </c>
      <c r="G4955" s="1" t="s">
        <v>14871</v>
      </c>
      <c r="H4955" s="1" t="s">
        <v>899</v>
      </c>
      <c r="I4955" s="1" t="s">
        <v>16</v>
      </c>
      <c r="J4955" s="1">
        <v>1</v>
      </c>
      <c r="K4955" s="1">
        <v>3</v>
      </c>
      <c r="L4955" s="1" t="s">
        <v>31</v>
      </c>
      <c r="M4955" s="1" t="s">
        <v>18</v>
      </c>
      <c r="N4955" s="1" t="s">
        <v>18</v>
      </c>
      <c r="O4955" s="1">
        <v>3</v>
      </c>
      <c r="P4955" s="1">
        <v>6</v>
      </c>
      <c r="R4955" s="1" t="s">
        <v>19</v>
      </c>
      <c r="S4955" s="1" t="s">
        <v>20</v>
      </c>
      <c r="T4955" s="1" t="s">
        <v>21</v>
      </c>
      <c r="U4955" s="1" t="s">
        <v>22</v>
      </c>
      <c r="V4955" s="1" t="s">
        <v>23</v>
      </c>
      <c r="W4955" s="1" t="s">
        <v>24</v>
      </c>
      <c r="X4955" s="1">
        <v>2731</v>
      </c>
      <c r="Y4955" s="1" t="s">
        <v>24</v>
      </c>
      <c r="Z4955" s="1" t="s">
        <v>24</v>
      </c>
      <c r="AA4955" s="1" t="s">
        <v>24</v>
      </c>
      <c r="AB4955" s="1" t="s">
        <v>24</v>
      </c>
      <c r="AC4955" s="1" t="s">
        <v>24</v>
      </c>
      <c r="AD4955" s="1" t="s">
        <v>24</v>
      </c>
      <c r="AE4955" s="1" t="s">
        <v>24</v>
      </c>
      <c r="AF4955" s="22"/>
    </row>
    <row r="4956" spans="1:32" x14ac:dyDescent="0.2">
      <c r="A4956" s="1">
        <v>45866</v>
      </c>
      <c r="B4956" s="1" t="s">
        <v>14973</v>
      </c>
      <c r="C4956" s="5" t="s">
        <v>0</v>
      </c>
      <c r="D4956" s="1" t="s">
        <v>14974</v>
      </c>
      <c r="E4956" s="1" t="s">
        <v>14975</v>
      </c>
      <c r="F4956" s="1" t="s">
        <v>14870</v>
      </c>
      <c r="G4956" s="1" t="s">
        <v>14871</v>
      </c>
      <c r="H4956" s="1" t="s">
        <v>899</v>
      </c>
      <c r="I4956" s="1" t="s">
        <v>16</v>
      </c>
      <c r="J4956" s="1">
        <v>1</v>
      </c>
      <c r="K4956" s="1">
        <v>3</v>
      </c>
      <c r="L4956" s="1" t="s">
        <v>31</v>
      </c>
      <c r="M4956" s="1" t="s">
        <v>18</v>
      </c>
      <c r="N4956" s="1" t="s">
        <v>18</v>
      </c>
      <c r="O4956" s="1">
        <v>3</v>
      </c>
      <c r="P4956" s="1">
        <v>6</v>
      </c>
      <c r="R4956" s="1" t="s">
        <v>19</v>
      </c>
      <c r="S4956" s="1" t="s">
        <v>20</v>
      </c>
      <c r="T4956" s="1" t="s">
        <v>21</v>
      </c>
      <c r="U4956" s="1" t="s">
        <v>22</v>
      </c>
      <c r="V4956" s="1" t="s">
        <v>24</v>
      </c>
      <c r="W4956" s="1" t="s">
        <v>24</v>
      </c>
      <c r="X4956" s="1">
        <v>2733</v>
      </c>
      <c r="Y4956" s="1" t="s">
        <v>24</v>
      </c>
      <c r="Z4956" s="1" t="s">
        <v>24</v>
      </c>
      <c r="AA4956" s="1" t="s">
        <v>24</v>
      </c>
      <c r="AB4956" s="1" t="s">
        <v>24</v>
      </c>
      <c r="AC4956" s="1" t="s">
        <v>24</v>
      </c>
      <c r="AD4956" s="1" t="s">
        <v>24</v>
      </c>
      <c r="AE4956" s="1" t="s">
        <v>24</v>
      </c>
      <c r="AF4956" s="22"/>
    </row>
    <row r="4957" spans="1:32" x14ac:dyDescent="0.2">
      <c r="A4957" s="1">
        <v>45868</v>
      </c>
      <c r="B4957" s="1" t="s">
        <v>14976</v>
      </c>
      <c r="C4957" s="5" t="s">
        <v>0</v>
      </c>
      <c r="D4957" s="1" t="s">
        <v>14977</v>
      </c>
      <c r="E4957" s="1" t="s">
        <v>14978</v>
      </c>
      <c r="F4957" s="1" t="s">
        <v>14870</v>
      </c>
      <c r="G4957" s="1" t="s">
        <v>14871</v>
      </c>
      <c r="H4957" s="1" t="s">
        <v>899</v>
      </c>
      <c r="I4957" s="1" t="s">
        <v>16</v>
      </c>
      <c r="J4957" s="1">
        <v>1</v>
      </c>
      <c r="K4957" s="1">
        <v>3</v>
      </c>
      <c r="L4957" s="1" t="s">
        <v>31</v>
      </c>
      <c r="M4957" s="1" t="s">
        <v>18</v>
      </c>
      <c r="N4957" s="1" t="s">
        <v>18</v>
      </c>
      <c r="O4957" s="1">
        <v>2</v>
      </c>
      <c r="P4957" s="1">
        <v>6</v>
      </c>
      <c r="R4957" s="1" t="s">
        <v>19</v>
      </c>
      <c r="S4957" s="1" t="s">
        <v>20</v>
      </c>
      <c r="T4957" s="1" t="s">
        <v>21</v>
      </c>
      <c r="U4957" s="1" t="s">
        <v>22</v>
      </c>
      <c r="V4957" s="1" t="s">
        <v>24</v>
      </c>
      <c r="W4957" s="1" t="s">
        <v>24</v>
      </c>
      <c r="X4957" s="1">
        <v>2733</v>
      </c>
      <c r="Y4957" s="1" t="s">
        <v>24</v>
      </c>
      <c r="Z4957" s="1" t="s">
        <v>24</v>
      </c>
      <c r="AA4957" s="1" t="s">
        <v>24</v>
      </c>
      <c r="AB4957" s="1" t="s">
        <v>24</v>
      </c>
      <c r="AC4957" s="1" t="s">
        <v>24</v>
      </c>
      <c r="AD4957" s="1" t="s">
        <v>24</v>
      </c>
      <c r="AE4957" s="1" t="s">
        <v>24</v>
      </c>
      <c r="AF4957" s="22"/>
    </row>
    <row r="4958" spans="1:32" x14ac:dyDescent="0.2">
      <c r="A4958" s="1">
        <v>45869</v>
      </c>
      <c r="B4958" s="1" t="s">
        <v>14979</v>
      </c>
      <c r="C4958" s="5" t="s">
        <v>0</v>
      </c>
      <c r="D4958" s="1" t="s">
        <v>14980</v>
      </c>
      <c r="E4958" s="1" t="s">
        <v>14981</v>
      </c>
      <c r="F4958" s="1" t="s">
        <v>14870</v>
      </c>
      <c r="G4958" s="1" t="s">
        <v>14871</v>
      </c>
      <c r="H4958" s="1" t="s">
        <v>899</v>
      </c>
      <c r="I4958" s="1" t="s">
        <v>16</v>
      </c>
      <c r="J4958" s="1">
        <v>1</v>
      </c>
      <c r="K4958" s="1">
        <v>3</v>
      </c>
      <c r="L4958" s="1" t="s">
        <v>31</v>
      </c>
      <c r="M4958" s="1" t="s">
        <v>18</v>
      </c>
      <c r="N4958" s="1" t="s">
        <v>18</v>
      </c>
      <c r="O4958" s="1">
        <v>3</v>
      </c>
      <c r="P4958" s="1">
        <v>6</v>
      </c>
      <c r="R4958" s="1" t="s">
        <v>19</v>
      </c>
      <c r="S4958" s="1" t="s">
        <v>20</v>
      </c>
      <c r="T4958" s="1" t="s">
        <v>21</v>
      </c>
      <c r="U4958" s="1" t="s">
        <v>22</v>
      </c>
      <c r="V4958" s="1" t="s">
        <v>23</v>
      </c>
      <c r="W4958" s="1" t="s">
        <v>24</v>
      </c>
      <c r="X4958" s="1">
        <v>2729</v>
      </c>
      <c r="Y4958" s="1" t="s">
        <v>24</v>
      </c>
      <c r="Z4958" s="1" t="s">
        <v>24</v>
      </c>
      <c r="AA4958" s="1" t="s">
        <v>24</v>
      </c>
      <c r="AB4958" s="1" t="s">
        <v>24</v>
      </c>
      <c r="AC4958" s="1" t="s">
        <v>24</v>
      </c>
      <c r="AD4958" s="1" t="s">
        <v>24</v>
      </c>
      <c r="AE4958" s="1" t="s">
        <v>24</v>
      </c>
      <c r="AF4958" s="22"/>
    </row>
    <row r="4959" spans="1:32" x14ac:dyDescent="0.2">
      <c r="A4959" s="1">
        <v>45870</v>
      </c>
      <c r="B4959" s="1" t="s">
        <v>14982</v>
      </c>
      <c r="C4959" s="5" t="s">
        <v>0</v>
      </c>
      <c r="D4959" s="1" t="s">
        <v>14983</v>
      </c>
      <c r="E4959" s="1" t="s">
        <v>14984</v>
      </c>
      <c r="F4959" s="1" t="s">
        <v>14870</v>
      </c>
      <c r="G4959" s="1" t="s">
        <v>14871</v>
      </c>
      <c r="H4959" s="1" t="s">
        <v>899</v>
      </c>
      <c r="I4959" s="1" t="s">
        <v>16</v>
      </c>
      <c r="J4959" s="1">
        <v>1</v>
      </c>
      <c r="K4959" s="1">
        <v>3</v>
      </c>
      <c r="L4959" s="1" t="s">
        <v>31</v>
      </c>
      <c r="M4959" s="1" t="s">
        <v>18</v>
      </c>
      <c r="N4959" s="1" t="s">
        <v>18</v>
      </c>
      <c r="O4959" s="1">
        <v>3</v>
      </c>
      <c r="P4959" s="1">
        <v>6</v>
      </c>
      <c r="R4959" s="1" t="s">
        <v>19</v>
      </c>
      <c r="S4959" s="1" t="s">
        <v>20</v>
      </c>
      <c r="T4959" s="1" t="s">
        <v>21</v>
      </c>
      <c r="U4959" s="1" t="s">
        <v>22</v>
      </c>
      <c r="V4959" s="1" t="s">
        <v>23</v>
      </c>
      <c r="W4959" s="1" t="s">
        <v>24</v>
      </c>
      <c r="X4959" s="1">
        <v>2746</v>
      </c>
      <c r="Y4959" s="1" t="s">
        <v>24</v>
      </c>
      <c r="Z4959" s="1" t="s">
        <v>24</v>
      </c>
      <c r="AA4959" s="1" t="s">
        <v>24</v>
      </c>
      <c r="AB4959" s="1" t="s">
        <v>24</v>
      </c>
      <c r="AC4959" s="1" t="s">
        <v>24</v>
      </c>
      <c r="AD4959" s="1" t="s">
        <v>24</v>
      </c>
      <c r="AE4959" s="1" t="s">
        <v>24</v>
      </c>
      <c r="AF4959" s="22"/>
    </row>
    <row r="4960" spans="1:32" x14ac:dyDescent="0.2">
      <c r="A4960" s="1">
        <v>45871</v>
      </c>
      <c r="B4960" s="1" t="s">
        <v>14985</v>
      </c>
      <c r="C4960" s="5" t="s">
        <v>0</v>
      </c>
      <c r="D4960" s="1" t="s">
        <v>14986</v>
      </c>
      <c r="E4960" s="1" t="s">
        <v>14987</v>
      </c>
      <c r="F4960" s="1" t="s">
        <v>159</v>
      </c>
      <c r="G4960" s="1" t="s">
        <v>160</v>
      </c>
      <c r="H4960" s="1" t="s">
        <v>37</v>
      </c>
      <c r="I4960" s="1" t="s">
        <v>16</v>
      </c>
      <c r="J4960" s="1">
        <v>1</v>
      </c>
      <c r="K4960" s="1">
        <v>4</v>
      </c>
      <c r="L4960" s="1" t="s">
        <v>42</v>
      </c>
      <c r="M4960" s="1" t="s">
        <v>18</v>
      </c>
      <c r="N4960" s="1" t="s">
        <v>18</v>
      </c>
      <c r="O4960" s="1">
        <v>3</v>
      </c>
      <c r="P4960" s="1">
        <v>7</v>
      </c>
      <c r="Q4960" s="7" t="s">
        <v>17633</v>
      </c>
      <c r="R4960" s="1" t="s">
        <v>19</v>
      </c>
      <c r="S4960" s="1" t="s">
        <v>20</v>
      </c>
      <c r="T4960" s="1" t="s">
        <v>21</v>
      </c>
      <c r="U4960" s="1" t="s">
        <v>22</v>
      </c>
      <c r="V4960" s="1" t="s">
        <v>24</v>
      </c>
      <c r="W4960" s="1" t="s">
        <v>24</v>
      </c>
      <c r="X4960" s="1">
        <v>2746</v>
      </c>
      <c r="Y4960" s="1">
        <v>2728</v>
      </c>
      <c r="Z4960" s="1" t="s">
        <v>24</v>
      </c>
      <c r="AA4960" s="1" t="s">
        <v>24</v>
      </c>
      <c r="AB4960" s="1" t="s">
        <v>24</v>
      </c>
      <c r="AC4960" s="1" t="s">
        <v>24</v>
      </c>
      <c r="AD4960" s="1" t="s">
        <v>24</v>
      </c>
      <c r="AE4960" s="1" t="s">
        <v>24</v>
      </c>
      <c r="AF4960" s="22"/>
    </row>
    <row r="4961" spans="1:32" x14ac:dyDescent="0.2">
      <c r="A4961" s="1">
        <v>45872</v>
      </c>
      <c r="B4961" s="1" t="s">
        <v>14988</v>
      </c>
      <c r="C4961" s="5" t="s">
        <v>0</v>
      </c>
      <c r="D4961" s="1" t="s">
        <v>14989</v>
      </c>
      <c r="F4961" s="1" t="s">
        <v>14990</v>
      </c>
      <c r="G4961" s="1" t="s">
        <v>14990</v>
      </c>
      <c r="H4961" s="1" t="s">
        <v>6895</v>
      </c>
      <c r="I4961" s="1" t="s">
        <v>16</v>
      </c>
      <c r="J4961" s="1">
        <v>1</v>
      </c>
      <c r="K4961" s="1">
        <v>4</v>
      </c>
      <c r="L4961" s="1" t="s">
        <v>17</v>
      </c>
      <c r="M4961" s="1" t="s">
        <v>18</v>
      </c>
      <c r="N4961" s="1" t="s">
        <v>18</v>
      </c>
      <c r="O4961" s="1">
        <v>1</v>
      </c>
      <c r="P4961" s="1">
        <v>6</v>
      </c>
      <c r="R4961" s="1" t="s">
        <v>19</v>
      </c>
      <c r="S4961" s="1" t="s">
        <v>20</v>
      </c>
      <c r="T4961" s="1" t="s">
        <v>21</v>
      </c>
      <c r="U4961" s="1" t="s">
        <v>22</v>
      </c>
      <c r="V4961" s="1" t="s">
        <v>24</v>
      </c>
      <c r="W4961" s="1" t="s">
        <v>24</v>
      </c>
      <c r="X4961" s="1">
        <v>3003</v>
      </c>
      <c r="Y4961" s="1" t="s">
        <v>24</v>
      </c>
      <c r="Z4961" s="1" t="s">
        <v>24</v>
      </c>
      <c r="AA4961" s="1" t="s">
        <v>24</v>
      </c>
      <c r="AB4961" s="1" t="s">
        <v>24</v>
      </c>
      <c r="AC4961" s="1" t="s">
        <v>24</v>
      </c>
      <c r="AD4961" s="1" t="s">
        <v>24</v>
      </c>
      <c r="AE4961" s="1" t="s">
        <v>24</v>
      </c>
      <c r="AF4961" s="22"/>
    </row>
    <row r="4962" spans="1:32" x14ac:dyDescent="0.2">
      <c r="A4962" s="1">
        <v>45873</v>
      </c>
      <c r="B4962" s="1" t="s">
        <v>14991</v>
      </c>
      <c r="C4962" s="5" t="s">
        <v>0</v>
      </c>
      <c r="D4962" s="1" t="s">
        <v>14992</v>
      </c>
      <c r="E4962" s="1" t="s">
        <v>14993</v>
      </c>
      <c r="F4962" s="1" t="s">
        <v>920</v>
      </c>
      <c r="G4962" s="1" t="s">
        <v>921</v>
      </c>
      <c r="H4962" s="1" t="s">
        <v>92</v>
      </c>
      <c r="I4962" s="1" t="s">
        <v>16</v>
      </c>
      <c r="J4962" s="1">
        <v>1</v>
      </c>
      <c r="K4962" s="1">
        <v>4</v>
      </c>
      <c r="L4962" s="1" t="s">
        <v>31</v>
      </c>
      <c r="M4962" s="1" t="s">
        <v>18</v>
      </c>
      <c r="N4962" s="1" t="s">
        <v>18</v>
      </c>
      <c r="O4962" s="1">
        <v>3</v>
      </c>
      <c r="P4962" s="1">
        <v>7</v>
      </c>
      <c r="Q4962" s="7" t="s">
        <v>17633</v>
      </c>
      <c r="R4962" s="1" t="s">
        <v>19</v>
      </c>
      <c r="S4962" s="1" t="s">
        <v>20</v>
      </c>
      <c r="T4962" s="1" t="s">
        <v>21</v>
      </c>
      <c r="U4962" s="1" t="s">
        <v>22</v>
      </c>
      <c r="V4962" s="1" t="s">
        <v>24</v>
      </c>
      <c r="W4962" s="1" t="s">
        <v>24</v>
      </c>
      <c r="X4962" s="1">
        <v>2729</v>
      </c>
      <c r="Y4962" s="1">
        <v>2743</v>
      </c>
      <c r="Z4962" s="1" t="s">
        <v>24</v>
      </c>
      <c r="AA4962" s="1" t="s">
        <v>24</v>
      </c>
      <c r="AB4962" s="1" t="s">
        <v>24</v>
      </c>
      <c r="AC4962" s="1" t="s">
        <v>24</v>
      </c>
      <c r="AD4962" s="1" t="s">
        <v>24</v>
      </c>
      <c r="AE4962" s="1" t="s">
        <v>24</v>
      </c>
      <c r="AF4962" s="22"/>
    </row>
    <row r="4963" spans="1:32" x14ac:dyDescent="0.2">
      <c r="A4963" s="1">
        <v>45874</v>
      </c>
      <c r="B4963" s="1" t="s">
        <v>14994</v>
      </c>
      <c r="C4963" s="5" t="s">
        <v>0</v>
      </c>
      <c r="D4963" s="1" t="s">
        <v>14995</v>
      </c>
      <c r="E4963" s="1" t="s">
        <v>14996</v>
      </c>
      <c r="F4963" s="1" t="s">
        <v>920</v>
      </c>
      <c r="G4963" s="1" t="s">
        <v>921</v>
      </c>
      <c r="H4963" s="1" t="s">
        <v>92</v>
      </c>
      <c r="I4963" s="1" t="s">
        <v>16</v>
      </c>
      <c r="J4963" s="1">
        <v>1</v>
      </c>
      <c r="K4963" s="1">
        <v>4</v>
      </c>
      <c r="L4963" s="1" t="s">
        <v>31</v>
      </c>
      <c r="M4963" s="1" t="s">
        <v>18</v>
      </c>
      <c r="N4963" s="1" t="s">
        <v>18</v>
      </c>
      <c r="O4963" s="1">
        <v>3</v>
      </c>
      <c r="P4963" s="1">
        <v>7</v>
      </c>
      <c r="Q4963" s="7" t="s">
        <v>17633</v>
      </c>
      <c r="R4963" s="1" t="s">
        <v>19</v>
      </c>
      <c r="S4963" s="1" t="s">
        <v>20</v>
      </c>
      <c r="T4963" s="1" t="s">
        <v>21</v>
      </c>
      <c r="U4963" s="1" t="s">
        <v>22</v>
      </c>
      <c r="V4963" s="1" t="s">
        <v>24</v>
      </c>
      <c r="W4963" s="1" t="s">
        <v>24</v>
      </c>
      <c r="X4963" s="1">
        <v>2728</v>
      </c>
      <c r="Y4963" s="1">
        <v>2804</v>
      </c>
      <c r="Z4963" s="1" t="s">
        <v>24</v>
      </c>
      <c r="AA4963" s="1" t="s">
        <v>24</v>
      </c>
      <c r="AB4963" s="1" t="s">
        <v>24</v>
      </c>
      <c r="AC4963" s="1" t="s">
        <v>24</v>
      </c>
      <c r="AD4963" s="1" t="s">
        <v>24</v>
      </c>
      <c r="AE4963" s="1" t="s">
        <v>24</v>
      </c>
      <c r="AF4963" s="22"/>
    </row>
    <row r="4964" spans="1:32" x14ac:dyDescent="0.2">
      <c r="A4964" s="1">
        <v>45875</v>
      </c>
      <c r="B4964" s="1" t="s">
        <v>14997</v>
      </c>
      <c r="C4964" s="5" t="s">
        <v>0</v>
      </c>
      <c r="D4964" s="1" t="s">
        <v>14998</v>
      </c>
      <c r="E4964" s="1" t="s">
        <v>14999</v>
      </c>
      <c r="F4964" s="1" t="s">
        <v>920</v>
      </c>
      <c r="G4964" s="1" t="s">
        <v>921</v>
      </c>
      <c r="H4964" s="1" t="s">
        <v>92</v>
      </c>
      <c r="I4964" s="1" t="s">
        <v>16</v>
      </c>
      <c r="J4964" s="1">
        <v>1</v>
      </c>
      <c r="K4964" s="1">
        <v>4</v>
      </c>
      <c r="L4964" s="1" t="s">
        <v>31</v>
      </c>
      <c r="M4964" s="1" t="s">
        <v>18</v>
      </c>
      <c r="N4964" s="1" t="s">
        <v>18</v>
      </c>
      <c r="O4964" s="1">
        <v>3</v>
      </c>
      <c r="P4964" s="1">
        <v>7</v>
      </c>
      <c r="Q4964" s="7" t="s">
        <v>17633</v>
      </c>
      <c r="R4964" s="1" t="s">
        <v>19</v>
      </c>
      <c r="S4964" s="1" t="s">
        <v>20</v>
      </c>
      <c r="T4964" s="1" t="s">
        <v>21</v>
      </c>
      <c r="U4964" s="1" t="s">
        <v>22</v>
      </c>
      <c r="V4964" s="1" t="s">
        <v>24</v>
      </c>
      <c r="W4964" s="1" t="s">
        <v>24</v>
      </c>
      <c r="X4964" s="1">
        <v>2735</v>
      </c>
      <c r="Y4964" s="1">
        <v>2704</v>
      </c>
      <c r="Z4964" s="1" t="s">
        <v>24</v>
      </c>
      <c r="AA4964" s="1" t="s">
        <v>24</v>
      </c>
      <c r="AB4964" s="1" t="s">
        <v>24</v>
      </c>
      <c r="AC4964" s="1" t="s">
        <v>24</v>
      </c>
      <c r="AD4964" s="1" t="s">
        <v>24</v>
      </c>
      <c r="AE4964" s="1" t="s">
        <v>24</v>
      </c>
      <c r="AF4964" s="22"/>
    </row>
    <row r="4965" spans="1:32" x14ac:dyDescent="0.2">
      <c r="A4965" s="1">
        <v>45876</v>
      </c>
      <c r="B4965" s="1" t="s">
        <v>15000</v>
      </c>
      <c r="C4965" s="5" t="s">
        <v>0</v>
      </c>
      <c r="D4965" s="1" t="s">
        <v>15001</v>
      </c>
      <c r="E4965" s="1" t="s">
        <v>15002</v>
      </c>
      <c r="F4965" s="1" t="s">
        <v>15003</v>
      </c>
      <c r="G4965" s="1" t="s">
        <v>9413</v>
      </c>
      <c r="H4965" s="1" t="s">
        <v>899</v>
      </c>
      <c r="I4965" s="1" t="s">
        <v>16</v>
      </c>
      <c r="J4965" s="1">
        <v>1</v>
      </c>
      <c r="K4965" s="1">
        <v>4</v>
      </c>
      <c r="L4965" s="1" t="s">
        <v>42</v>
      </c>
      <c r="M4965" s="1" t="s">
        <v>18</v>
      </c>
      <c r="N4965" s="1" t="s">
        <v>18</v>
      </c>
      <c r="O4965" s="1">
        <v>3</v>
      </c>
      <c r="P4965" s="1">
        <v>7</v>
      </c>
      <c r="Q4965" s="7" t="s">
        <v>17633</v>
      </c>
      <c r="R4965" s="1" t="s">
        <v>19</v>
      </c>
      <c r="S4965" s="1" t="s">
        <v>20</v>
      </c>
      <c r="T4965" s="1" t="s">
        <v>21</v>
      </c>
      <c r="U4965" s="1" t="s">
        <v>22</v>
      </c>
      <c r="V4965" s="1" t="s">
        <v>24</v>
      </c>
      <c r="W4965" s="1" t="s">
        <v>24</v>
      </c>
      <c r="X4965" s="1">
        <v>3002</v>
      </c>
      <c r="Y4965" s="1">
        <v>1605</v>
      </c>
      <c r="Z4965" s="1">
        <v>1110</v>
      </c>
      <c r="AA4965" s="1" t="s">
        <v>24</v>
      </c>
      <c r="AB4965" s="1" t="s">
        <v>24</v>
      </c>
      <c r="AC4965" s="1" t="s">
        <v>24</v>
      </c>
      <c r="AD4965" s="1" t="s">
        <v>24</v>
      </c>
      <c r="AE4965" s="1" t="s">
        <v>24</v>
      </c>
      <c r="AF4965" s="22"/>
    </row>
    <row r="4966" spans="1:32" x14ac:dyDescent="0.2">
      <c r="A4966" s="1">
        <v>45877</v>
      </c>
      <c r="B4966" s="1" t="s">
        <v>15004</v>
      </c>
      <c r="C4966" s="5" t="s">
        <v>0</v>
      </c>
      <c r="E4966" s="1" t="s">
        <v>15005</v>
      </c>
      <c r="F4966" s="1" t="s">
        <v>1897</v>
      </c>
      <c r="G4966" s="1" t="s">
        <v>1898</v>
      </c>
      <c r="H4966" s="1" t="s">
        <v>899</v>
      </c>
      <c r="I4966" s="1" t="s">
        <v>16</v>
      </c>
      <c r="J4966" s="1">
        <v>1</v>
      </c>
      <c r="K4966" s="1">
        <v>4</v>
      </c>
      <c r="L4966" s="1" t="s">
        <v>31</v>
      </c>
      <c r="M4966" s="1" t="s">
        <v>18</v>
      </c>
      <c r="N4966" s="1" t="s">
        <v>18</v>
      </c>
      <c r="O4966" s="1">
        <v>3</v>
      </c>
      <c r="P4966" s="1">
        <v>7</v>
      </c>
      <c r="Q4966" s="7" t="s">
        <v>17633</v>
      </c>
      <c r="R4966" s="1" t="s">
        <v>19</v>
      </c>
      <c r="S4966" s="1" t="s">
        <v>20</v>
      </c>
      <c r="T4966" s="1" t="s">
        <v>21</v>
      </c>
      <c r="U4966" s="1" t="s">
        <v>22</v>
      </c>
      <c r="V4966" s="1" t="s">
        <v>24</v>
      </c>
      <c r="W4966" s="1" t="s">
        <v>24</v>
      </c>
      <c r="X4966" s="1">
        <v>3000</v>
      </c>
      <c r="Y4966" s="1">
        <v>1300</v>
      </c>
      <c r="Z4966" s="1">
        <v>1502</v>
      </c>
      <c r="AA4966" s="1" t="s">
        <v>24</v>
      </c>
      <c r="AB4966" s="1" t="s">
        <v>24</v>
      </c>
      <c r="AC4966" s="1" t="s">
        <v>24</v>
      </c>
      <c r="AD4966" s="1" t="s">
        <v>24</v>
      </c>
      <c r="AE4966" s="1" t="s">
        <v>24</v>
      </c>
      <c r="AF4966" s="22"/>
    </row>
    <row r="4967" spans="1:32" x14ac:dyDescent="0.2">
      <c r="A4967" s="1">
        <v>45878</v>
      </c>
      <c r="B4967" s="1" t="s">
        <v>15006</v>
      </c>
      <c r="C4967" s="5" t="s">
        <v>0</v>
      </c>
      <c r="D4967" s="1" t="s">
        <v>15007</v>
      </c>
      <c r="E4967" s="1" t="s">
        <v>15008</v>
      </c>
      <c r="F4967" s="1" t="s">
        <v>1897</v>
      </c>
      <c r="G4967" s="1" t="s">
        <v>1898</v>
      </c>
      <c r="H4967" s="1" t="s">
        <v>899</v>
      </c>
      <c r="I4967" s="1" t="s">
        <v>16</v>
      </c>
      <c r="J4967" s="1">
        <v>1</v>
      </c>
      <c r="K4967" s="1">
        <v>4</v>
      </c>
      <c r="L4967" s="1" t="s">
        <v>31</v>
      </c>
      <c r="M4967" s="1" t="s">
        <v>18</v>
      </c>
      <c r="N4967" s="1" t="s">
        <v>18</v>
      </c>
      <c r="O4967" s="1">
        <v>3</v>
      </c>
      <c r="P4967" s="1">
        <v>7</v>
      </c>
      <c r="Q4967" s="7" t="s">
        <v>17633</v>
      </c>
      <c r="R4967" s="1" t="s">
        <v>19</v>
      </c>
      <c r="S4967" s="1" t="s">
        <v>20</v>
      </c>
      <c r="T4967" s="1" t="s">
        <v>21</v>
      </c>
      <c r="U4967" s="1" t="s">
        <v>22</v>
      </c>
      <c r="V4967" s="1" t="s">
        <v>24</v>
      </c>
      <c r="W4967" s="1" t="s">
        <v>24</v>
      </c>
      <c r="X4967" s="1">
        <v>2731</v>
      </c>
      <c r="Y4967" s="1" t="s">
        <v>24</v>
      </c>
      <c r="Z4967" s="1" t="s">
        <v>24</v>
      </c>
      <c r="AA4967" s="1" t="s">
        <v>24</v>
      </c>
      <c r="AB4967" s="1" t="s">
        <v>24</v>
      </c>
      <c r="AC4967" s="1" t="s">
        <v>24</v>
      </c>
      <c r="AD4967" s="1" t="s">
        <v>24</v>
      </c>
      <c r="AE4967" s="1" t="s">
        <v>24</v>
      </c>
      <c r="AF4967" s="22"/>
    </row>
    <row r="4968" spans="1:32" x14ac:dyDescent="0.2">
      <c r="A4968" s="1">
        <v>45879</v>
      </c>
      <c r="B4968" s="1" t="s">
        <v>15009</v>
      </c>
      <c r="C4968" s="5" t="s">
        <v>0</v>
      </c>
      <c r="D4968" s="1" t="s">
        <v>15010</v>
      </c>
      <c r="E4968" s="1" t="s">
        <v>15011</v>
      </c>
      <c r="F4968" s="1" t="s">
        <v>1897</v>
      </c>
      <c r="G4968" s="1" t="s">
        <v>1898</v>
      </c>
      <c r="H4968" s="1" t="s">
        <v>899</v>
      </c>
      <c r="I4968" s="1" t="s">
        <v>16</v>
      </c>
      <c r="J4968" s="1">
        <v>1</v>
      </c>
      <c r="K4968" s="1">
        <v>4</v>
      </c>
      <c r="L4968" s="1" t="s">
        <v>31</v>
      </c>
      <c r="M4968" s="1" t="s">
        <v>18</v>
      </c>
      <c r="N4968" s="1" t="s">
        <v>18</v>
      </c>
      <c r="O4968" s="1">
        <v>2</v>
      </c>
      <c r="P4968" s="1">
        <v>7</v>
      </c>
      <c r="Q4968" s="7" t="s">
        <v>17633</v>
      </c>
      <c r="R4968" s="1" t="s">
        <v>19</v>
      </c>
      <c r="S4968" s="1" t="s">
        <v>20</v>
      </c>
      <c r="T4968" s="1" t="s">
        <v>21</v>
      </c>
      <c r="U4968" s="1" t="s">
        <v>22</v>
      </c>
      <c r="V4968" s="1" t="s">
        <v>24</v>
      </c>
      <c r="W4968" s="1" t="s">
        <v>24</v>
      </c>
      <c r="X4968" s="1">
        <v>2740</v>
      </c>
      <c r="Y4968" s="1">
        <v>2705</v>
      </c>
      <c r="Z4968" s="1" t="s">
        <v>24</v>
      </c>
      <c r="AA4968" s="1" t="s">
        <v>24</v>
      </c>
      <c r="AB4968" s="1" t="s">
        <v>24</v>
      </c>
      <c r="AC4968" s="1" t="s">
        <v>24</v>
      </c>
      <c r="AD4968" s="1" t="s">
        <v>24</v>
      </c>
      <c r="AE4968" s="1" t="s">
        <v>24</v>
      </c>
      <c r="AF4968" s="22"/>
    </row>
    <row r="4969" spans="1:32" x14ac:dyDescent="0.2">
      <c r="A4969" s="1">
        <v>45880</v>
      </c>
      <c r="B4969" s="1" t="s">
        <v>15012</v>
      </c>
      <c r="C4969" s="5" t="s">
        <v>0</v>
      </c>
      <c r="D4969" s="1" t="s">
        <v>15013</v>
      </c>
      <c r="E4969" s="1" t="s">
        <v>15014</v>
      </c>
      <c r="F4969" s="1" t="s">
        <v>12434</v>
      </c>
      <c r="G4969" s="1" t="s">
        <v>12434</v>
      </c>
      <c r="H4969" s="1" t="s">
        <v>30</v>
      </c>
      <c r="I4969" s="1" t="s">
        <v>16</v>
      </c>
      <c r="J4969" s="1">
        <v>1</v>
      </c>
      <c r="K4969" s="1">
        <v>4</v>
      </c>
      <c r="L4969" s="1" t="s">
        <v>42</v>
      </c>
      <c r="M4969" s="1" t="s">
        <v>18</v>
      </c>
      <c r="N4969" s="1" t="s">
        <v>18</v>
      </c>
      <c r="O4969" s="1">
        <v>3</v>
      </c>
      <c r="P4969" s="1">
        <v>6</v>
      </c>
      <c r="R4969" s="1" t="s">
        <v>19</v>
      </c>
      <c r="S4969" s="1" t="s">
        <v>20</v>
      </c>
      <c r="T4969" s="1" t="s">
        <v>21</v>
      </c>
      <c r="U4969" s="1" t="s">
        <v>22</v>
      </c>
      <c r="V4969" s="1" t="s">
        <v>24</v>
      </c>
      <c r="W4969" s="1" t="s">
        <v>24</v>
      </c>
      <c r="X4969" s="1">
        <v>3002</v>
      </c>
      <c r="Y4969" s="1" t="s">
        <v>24</v>
      </c>
      <c r="Z4969" s="1" t="s">
        <v>24</v>
      </c>
      <c r="AA4969" s="1" t="s">
        <v>24</v>
      </c>
      <c r="AB4969" s="1" t="s">
        <v>24</v>
      </c>
      <c r="AC4969" s="1" t="s">
        <v>24</v>
      </c>
      <c r="AD4969" s="1" t="s">
        <v>24</v>
      </c>
      <c r="AE4969" s="1" t="s">
        <v>24</v>
      </c>
      <c r="AF4969" s="22"/>
    </row>
    <row r="4970" spans="1:32" x14ac:dyDescent="0.2">
      <c r="A4970" s="1">
        <v>45881</v>
      </c>
      <c r="B4970" s="1" t="s">
        <v>15015</v>
      </c>
      <c r="C4970" s="5" t="s">
        <v>0</v>
      </c>
      <c r="D4970" s="1" t="s">
        <v>15016</v>
      </c>
      <c r="E4970" s="1" t="s">
        <v>15017</v>
      </c>
      <c r="F4970" s="1" t="s">
        <v>12434</v>
      </c>
      <c r="G4970" s="1" t="s">
        <v>12434</v>
      </c>
      <c r="H4970" s="1" t="s">
        <v>30</v>
      </c>
      <c r="I4970" s="1" t="s">
        <v>16</v>
      </c>
      <c r="J4970" s="1">
        <v>1</v>
      </c>
      <c r="K4970" s="1">
        <v>4</v>
      </c>
      <c r="L4970" s="1" t="s">
        <v>42</v>
      </c>
      <c r="M4970" s="1" t="s">
        <v>18</v>
      </c>
      <c r="N4970" s="1" t="s">
        <v>18</v>
      </c>
      <c r="O4970" s="1">
        <v>3</v>
      </c>
      <c r="P4970" s="1">
        <v>6</v>
      </c>
      <c r="R4970" s="1" t="s">
        <v>19</v>
      </c>
      <c r="S4970" s="1" t="s">
        <v>20</v>
      </c>
      <c r="T4970" s="1" t="s">
        <v>21</v>
      </c>
      <c r="U4970" s="1" t="s">
        <v>22</v>
      </c>
      <c r="V4970" s="1" t="s">
        <v>24</v>
      </c>
      <c r="W4970" s="1" t="s">
        <v>24</v>
      </c>
      <c r="X4970" s="1">
        <v>1300</v>
      </c>
      <c r="Y4970" s="1" t="s">
        <v>24</v>
      </c>
      <c r="Z4970" s="1" t="s">
        <v>24</v>
      </c>
      <c r="AA4970" s="1" t="s">
        <v>24</v>
      </c>
      <c r="AB4970" s="1" t="s">
        <v>24</v>
      </c>
      <c r="AC4970" s="1" t="s">
        <v>24</v>
      </c>
      <c r="AD4970" s="1" t="s">
        <v>24</v>
      </c>
      <c r="AE4970" s="1" t="s">
        <v>24</v>
      </c>
      <c r="AF4970" s="22"/>
    </row>
    <row r="4971" spans="1:32" x14ac:dyDescent="0.2">
      <c r="A4971" s="1">
        <v>45882</v>
      </c>
      <c r="B4971" s="1" t="s">
        <v>15018</v>
      </c>
      <c r="C4971" s="5" t="s">
        <v>0</v>
      </c>
      <c r="E4971" s="1" t="s">
        <v>15019</v>
      </c>
      <c r="F4971" s="1" t="s">
        <v>14865</v>
      </c>
      <c r="G4971" s="1" t="s">
        <v>14866</v>
      </c>
      <c r="H4971" s="1" t="s">
        <v>899</v>
      </c>
      <c r="I4971" s="1" t="s">
        <v>16</v>
      </c>
      <c r="J4971" s="1">
        <v>1</v>
      </c>
      <c r="K4971" s="1">
        <v>1</v>
      </c>
      <c r="L4971" s="1" t="s">
        <v>31</v>
      </c>
      <c r="M4971" s="1" t="s">
        <v>18</v>
      </c>
      <c r="N4971" s="1" t="s">
        <v>18</v>
      </c>
      <c r="O4971" s="1">
        <v>3</v>
      </c>
      <c r="P4971" s="1">
        <v>6</v>
      </c>
      <c r="R4971" s="1" t="s">
        <v>19</v>
      </c>
      <c r="S4971" s="1" t="s">
        <v>20</v>
      </c>
      <c r="T4971" s="1" t="s">
        <v>21</v>
      </c>
      <c r="U4971" s="1" t="s">
        <v>22</v>
      </c>
      <c r="V4971" s="1" t="s">
        <v>24</v>
      </c>
      <c r="W4971" s="1" t="s">
        <v>24</v>
      </c>
      <c r="X4971" s="1">
        <v>3003</v>
      </c>
      <c r="Y4971" s="1">
        <v>1606</v>
      </c>
      <c r="Z4971" s="1" t="s">
        <v>24</v>
      </c>
      <c r="AA4971" s="1" t="s">
        <v>24</v>
      </c>
      <c r="AB4971" s="1" t="s">
        <v>24</v>
      </c>
      <c r="AC4971" s="1" t="s">
        <v>24</v>
      </c>
      <c r="AD4971" s="1" t="s">
        <v>24</v>
      </c>
      <c r="AE4971" s="1" t="s">
        <v>24</v>
      </c>
      <c r="AF4971" s="22"/>
    </row>
    <row r="4972" spans="1:32" x14ac:dyDescent="0.2">
      <c r="A4972" s="1">
        <v>45883</v>
      </c>
      <c r="B4972" s="1" t="s">
        <v>15020</v>
      </c>
      <c r="C4972" s="5" t="s">
        <v>0</v>
      </c>
      <c r="D4972" s="1" t="s">
        <v>15021</v>
      </c>
      <c r="E4972" s="1" t="s">
        <v>15022</v>
      </c>
      <c r="F4972" s="1" t="s">
        <v>441</v>
      </c>
      <c r="G4972" s="1" t="s">
        <v>441</v>
      </c>
      <c r="H4972" s="1" t="s">
        <v>30</v>
      </c>
      <c r="I4972" s="1" t="s">
        <v>16</v>
      </c>
      <c r="J4972" s="1">
        <v>1</v>
      </c>
      <c r="K4972" s="1">
        <v>4</v>
      </c>
      <c r="L4972" s="1" t="s">
        <v>42</v>
      </c>
      <c r="M4972" s="1" t="s">
        <v>18</v>
      </c>
      <c r="N4972" s="1" t="s">
        <v>18</v>
      </c>
      <c r="O4972" s="1">
        <v>3</v>
      </c>
      <c r="P4972" s="1">
        <v>7</v>
      </c>
      <c r="Q4972" s="7" t="s">
        <v>17633</v>
      </c>
      <c r="R4972" s="1" t="s">
        <v>19</v>
      </c>
      <c r="S4972" s="1" t="s">
        <v>63</v>
      </c>
      <c r="T4972" s="1" t="s">
        <v>21</v>
      </c>
      <c r="U4972" s="1" t="s">
        <v>22</v>
      </c>
      <c r="V4972" s="1" t="s">
        <v>24</v>
      </c>
      <c r="W4972" s="1" t="s">
        <v>24</v>
      </c>
      <c r="X4972" s="1">
        <v>2404</v>
      </c>
      <c r="Y4972" s="1">
        <v>2406</v>
      </c>
      <c r="Z4972" s="1" t="s">
        <v>24</v>
      </c>
      <c r="AA4972" s="1" t="s">
        <v>24</v>
      </c>
      <c r="AB4972" s="1" t="s">
        <v>24</v>
      </c>
      <c r="AC4972" s="1" t="s">
        <v>24</v>
      </c>
      <c r="AD4972" s="1" t="s">
        <v>24</v>
      </c>
      <c r="AE4972" s="1" t="s">
        <v>24</v>
      </c>
      <c r="AF4972" s="22"/>
    </row>
    <row r="4973" spans="1:32" x14ac:dyDescent="0.2">
      <c r="A4973" s="1">
        <v>45884</v>
      </c>
      <c r="B4973" s="1" t="s">
        <v>15023</v>
      </c>
      <c r="C4973" s="5" t="s">
        <v>0</v>
      </c>
      <c r="D4973" s="1" t="s">
        <v>15024</v>
      </c>
      <c r="E4973" s="1" t="s">
        <v>15025</v>
      </c>
      <c r="F4973" s="1" t="s">
        <v>15026</v>
      </c>
      <c r="G4973" s="1" t="s">
        <v>15026</v>
      </c>
      <c r="H4973" s="1" t="s">
        <v>1957</v>
      </c>
      <c r="I4973" s="1" t="s">
        <v>16</v>
      </c>
      <c r="J4973" s="1">
        <v>1</v>
      </c>
      <c r="K4973" s="1">
        <v>4</v>
      </c>
      <c r="L4973" s="1" t="s">
        <v>42</v>
      </c>
      <c r="M4973" s="1" t="s">
        <v>18</v>
      </c>
      <c r="N4973" s="1" t="s">
        <v>18</v>
      </c>
      <c r="O4973" s="1">
        <v>3</v>
      </c>
      <c r="P4973" s="1">
        <v>6</v>
      </c>
      <c r="R4973" s="1" t="s">
        <v>19</v>
      </c>
      <c r="S4973" s="1" t="s">
        <v>20</v>
      </c>
      <c r="T4973" s="1" t="s">
        <v>21</v>
      </c>
      <c r="U4973" s="1" t="s">
        <v>22</v>
      </c>
      <c r="V4973" s="1" t="s">
        <v>24</v>
      </c>
      <c r="W4973" s="1" t="s">
        <v>24</v>
      </c>
      <c r="X4973" s="1">
        <v>2748</v>
      </c>
      <c r="Y4973" s="1" t="s">
        <v>24</v>
      </c>
      <c r="Z4973" s="1" t="s">
        <v>24</v>
      </c>
      <c r="AA4973" s="1" t="s">
        <v>24</v>
      </c>
      <c r="AB4973" s="1" t="s">
        <v>24</v>
      </c>
      <c r="AC4973" s="1" t="s">
        <v>24</v>
      </c>
      <c r="AD4973" s="1" t="s">
        <v>24</v>
      </c>
      <c r="AE4973" s="1" t="s">
        <v>24</v>
      </c>
      <c r="AF4973" s="22"/>
    </row>
    <row r="4974" spans="1:32" x14ac:dyDescent="0.2">
      <c r="A4974" s="1">
        <v>45885</v>
      </c>
      <c r="B4974" s="1" t="s">
        <v>15027</v>
      </c>
      <c r="C4974" s="5" t="s">
        <v>0</v>
      </c>
      <c r="D4974" s="1" t="s">
        <v>15028</v>
      </c>
      <c r="E4974" s="1" t="s">
        <v>15029</v>
      </c>
      <c r="F4974" s="1" t="s">
        <v>11393</v>
      </c>
      <c r="G4974" s="1" t="s">
        <v>11393</v>
      </c>
      <c r="H4974" s="1" t="s">
        <v>1384</v>
      </c>
      <c r="I4974" s="1" t="s">
        <v>16</v>
      </c>
      <c r="J4974" s="1">
        <v>1</v>
      </c>
      <c r="K4974" s="1">
        <v>4</v>
      </c>
      <c r="L4974" s="1" t="s">
        <v>42</v>
      </c>
      <c r="M4974" s="1" t="s">
        <v>1385</v>
      </c>
      <c r="N4974" s="1" t="s">
        <v>3142</v>
      </c>
      <c r="O4974" s="1">
        <v>2</v>
      </c>
      <c r="P4974" s="1">
        <v>5</v>
      </c>
      <c r="R4974" s="1" t="s">
        <v>19</v>
      </c>
      <c r="S4974" s="1" t="s">
        <v>20</v>
      </c>
      <c r="T4974" s="1" t="s">
        <v>21</v>
      </c>
      <c r="U4974" s="1" t="s">
        <v>22</v>
      </c>
      <c r="V4974" s="1" t="s">
        <v>24</v>
      </c>
      <c r="W4974" s="1" t="s">
        <v>24</v>
      </c>
      <c r="X4974" s="1">
        <v>2700</v>
      </c>
      <c r="Y4974" s="1" t="s">
        <v>24</v>
      </c>
      <c r="Z4974" s="1" t="s">
        <v>24</v>
      </c>
      <c r="AA4974" s="1" t="s">
        <v>24</v>
      </c>
      <c r="AB4974" s="1" t="s">
        <v>24</v>
      </c>
      <c r="AC4974" s="1" t="s">
        <v>24</v>
      </c>
      <c r="AD4974" s="1" t="s">
        <v>24</v>
      </c>
      <c r="AE4974" s="1" t="s">
        <v>24</v>
      </c>
      <c r="AF4974" s="22"/>
    </row>
    <row r="4975" spans="1:32" x14ac:dyDescent="0.2">
      <c r="A4975" s="1">
        <v>45886</v>
      </c>
      <c r="B4975" s="1" t="s">
        <v>15030</v>
      </c>
      <c r="C4975" s="5" t="s">
        <v>0</v>
      </c>
      <c r="D4975" s="1" t="s">
        <v>15031</v>
      </c>
      <c r="E4975" s="1" t="s">
        <v>15032</v>
      </c>
      <c r="F4975" s="1" t="s">
        <v>15033</v>
      </c>
      <c r="G4975" s="1" t="s">
        <v>15033</v>
      </c>
      <c r="H4975" s="1" t="s">
        <v>885</v>
      </c>
      <c r="I4975" s="1" t="s">
        <v>16</v>
      </c>
      <c r="J4975" s="1">
        <v>1</v>
      </c>
      <c r="K4975" s="1">
        <v>4</v>
      </c>
      <c r="L4975" s="1" t="s">
        <v>42</v>
      </c>
      <c r="M4975" s="1" t="s">
        <v>18</v>
      </c>
      <c r="N4975" s="1" t="s">
        <v>18</v>
      </c>
      <c r="O4975" s="1">
        <v>2</v>
      </c>
      <c r="P4975" s="1">
        <v>6</v>
      </c>
      <c r="R4975" s="1" t="s">
        <v>19</v>
      </c>
      <c r="S4975" s="1" t="s">
        <v>20</v>
      </c>
      <c r="T4975" s="1" t="s">
        <v>21</v>
      </c>
      <c r="U4975" s="1" t="s">
        <v>22</v>
      </c>
      <c r="V4975" s="1" t="s">
        <v>24</v>
      </c>
      <c r="W4975" s="1" t="s">
        <v>24</v>
      </c>
      <c r="X4975" s="1">
        <v>2700</v>
      </c>
      <c r="Y4975" s="1" t="s">
        <v>24</v>
      </c>
      <c r="Z4975" s="1" t="s">
        <v>24</v>
      </c>
      <c r="AA4975" s="1" t="s">
        <v>24</v>
      </c>
      <c r="AB4975" s="1" t="s">
        <v>24</v>
      </c>
      <c r="AC4975" s="1" t="s">
        <v>24</v>
      </c>
      <c r="AD4975" s="1" t="s">
        <v>24</v>
      </c>
      <c r="AE4975" s="1" t="s">
        <v>24</v>
      </c>
      <c r="AF4975" s="22"/>
    </row>
    <row r="4976" spans="1:32" x14ac:dyDescent="0.2">
      <c r="A4976" s="1">
        <v>45887</v>
      </c>
      <c r="B4976" s="1" t="s">
        <v>15034</v>
      </c>
      <c r="C4976" s="5" t="s">
        <v>0</v>
      </c>
      <c r="E4976" s="1" t="s">
        <v>15035</v>
      </c>
      <c r="F4976" s="1" t="s">
        <v>15034</v>
      </c>
      <c r="G4976" s="1" t="s">
        <v>15034</v>
      </c>
      <c r="H4976" s="1" t="s">
        <v>899</v>
      </c>
      <c r="I4976" s="1" t="s">
        <v>16</v>
      </c>
      <c r="J4976" s="1">
        <v>1</v>
      </c>
      <c r="K4976" s="1">
        <v>4</v>
      </c>
      <c r="L4976" s="1" t="s">
        <v>42</v>
      </c>
      <c r="M4976" s="1" t="s">
        <v>18</v>
      </c>
      <c r="N4976" s="1" t="s">
        <v>18</v>
      </c>
      <c r="O4976" s="1">
        <v>2</v>
      </c>
      <c r="P4976" s="1">
        <v>6</v>
      </c>
      <c r="R4976" s="1" t="s">
        <v>19</v>
      </c>
      <c r="S4976" s="1" t="s">
        <v>20</v>
      </c>
      <c r="T4976" s="1" t="s">
        <v>21</v>
      </c>
      <c r="U4976" s="1" t="s">
        <v>22</v>
      </c>
      <c r="V4976" s="1" t="s">
        <v>24</v>
      </c>
      <c r="W4976" s="1" t="s">
        <v>24</v>
      </c>
      <c r="X4976" s="1">
        <v>3000</v>
      </c>
      <c r="Y4976" s="1">
        <v>2204</v>
      </c>
      <c r="Z4976" s="1" t="s">
        <v>24</v>
      </c>
      <c r="AA4976" s="1" t="s">
        <v>24</v>
      </c>
      <c r="AB4976" s="1" t="s">
        <v>24</v>
      </c>
      <c r="AC4976" s="1" t="s">
        <v>24</v>
      </c>
      <c r="AD4976" s="1" t="s">
        <v>24</v>
      </c>
      <c r="AE4976" s="1" t="s">
        <v>24</v>
      </c>
      <c r="AF4976" s="22"/>
    </row>
    <row r="4977" spans="1:32" x14ac:dyDescent="0.2">
      <c r="A4977" s="1">
        <v>45888</v>
      </c>
      <c r="B4977" s="1" t="s">
        <v>15036</v>
      </c>
      <c r="C4977" s="5" t="s">
        <v>0</v>
      </c>
      <c r="E4977" s="1" t="s">
        <v>15037</v>
      </c>
      <c r="F4977" s="1" t="s">
        <v>15036</v>
      </c>
      <c r="G4977" s="1" t="s">
        <v>15036</v>
      </c>
      <c r="H4977" s="1" t="s">
        <v>899</v>
      </c>
      <c r="I4977" s="1" t="s">
        <v>16</v>
      </c>
      <c r="J4977" s="1">
        <v>1</v>
      </c>
      <c r="K4977" s="1">
        <v>4</v>
      </c>
      <c r="L4977" s="1" t="s">
        <v>42</v>
      </c>
      <c r="M4977" s="1" t="s">
        <v>18</v>
      </c>
      <c r="N4977" s="1" t="s">
        <v>18</v>
      </c>
      <c r="O4977" s="1">
        <v>3</v>
      </c>
      <c r="P4977" s="1">
        <v>6</v>
      </c>
      <c r="R4977" s="1" t="s">
        <v>19</v>
      </c>
      <c r="S4977" s="1" t="s">
        <v>20</v>
      </c>
      <c r="T4977" s="1" t="s">
        <v>21</v>
      </c>
      <c r="U4977" s="1" t="s">
        <v>22</v>
      </c>
      <c r="V4977" s="1" t="s">
        <v>24</v>
      </c>
      <c r="W4977" s="1" t="s">
        <v>24</v>
      </c>
      <c r="X4977" s="1">
        <v>3000</v>
      </c>
      <c r="Y4977" s="1" t="s">
        <v>24</v>
      </c>
      <c r="Z4977" s="1" t="s">
        <v>24</v>
      </c>
      <c r="AA4977" s="1" t="s">
        <v>24</v>
      </c>
      <c r="AB4977" s="1" t="s">
        <v>24</v>
      </c>
      <c r="AC4977" s="1" t="s">
        <v>24</v>
      </c>
      <c r="AD4977" s="1" t="s">
        <v>24</v>
      </c>
      <c r="AE4977" s="1" t="s">
        <v>24</v>
      </c>
      <c r="AF4977" s="22"/>
    </row>
    <row r="4978" spans="1:32" x14ac:dyDescent="0.2">
      <c r="A4978" s="1">
        <v>45889</v>
      </c>
      <c r="B4978" s="1" t="s">
        <v>15038</v>
      </c>
      <c r="C4978" s="5" t="s">
        <v>0</v>
      </c>
      <c r="D4978" s="1" t="s">
        <v>15039</v>
      </c>
      <c r="E4978" s="1" t="s">
        <v>15040</v>
      </c>
      <c r="F4978" s="1" t="s">
        <v>15041</v>
      </c>
      <c r="G4978" s="1" t="s">
        <v>15041</v>
      </c>
      <c r="H4978" s="1" t="s">
        <v>899</v>
      </c>
      <c r="I4978" s="1" t="s">
        <v>16</v>
      </c>
      <c r="J4978" s="1">
        <v>1</v>
      </c>
      <c r="K4978" s="1">
        <v>4</v>
      </c>
      <c r="L4978" s="1" t="s">
        <v>42</v>
      </c>
      <c r="M4978" s="1" t="s">
        <v>18</v>
      </c>
      <c r="N4978" s="1" t="s">
        <v>18</v>
      </c>
      <c r="O4978" s="1">
        <v>2</v>
      </c>
      <c r="P4978" s="1">
        <v>6</v>
      </c>
      <c r="R4978" s="1" t="s">
        <v>19</v>
      </c>
      <c r="S4978" s="1" t="s">
        <v>20</v>
      </c>
      <c r="T4978" s="1" t="s">
        <v>21</v>
      </c>
      <c r="U4978" s="1" t="s">
        <v>22</v>
      </c>
      <c r="V4978" s="1" t="s">
        <v>24</v>
      </c>
      <c r="W4978" s="1" t="s">
        <v>24</v>
      </c>
      <c r="X4978" s="1">
        <v>2800</v>
      </c>
      <c r="Y4978" s="1" t="s">
        <v>24</v>
      </c>
      <c r="Z4978" s="1" t="s">
        <v>24</v>
      </c>
      <c r="AA4978" s="1" t="s">
        <v>24</v>
      </c>
      <c r="AB4978" s="1" t="s">
        <v>24</v>
      </c>
      <c r="AC4978" s="1" t="s">
        <v>24</v>
      </c>
      <c r="AD4978" s="1" t="s">
        <v>24</v>
      </c>
      <c r="AE4978" s="1" t="s">
        <v>24</v>
      </c>
      <c r="AF4978" s="22"/>
    </row>
    <row r="4979" spans="1:32" x14ac:dyDescent="0.2">
      <c r="A4979" s="1">
        <v>45890</v>
      </c>
      <c r="B4979" s="1" t="s">
        <v>15042</v>
      </c>
      <c r="C4979" s="5" t="s">
        <v>0</v>
      </c>
      <c r="D4979" s="1" t="s">
        <v>15043</v>
      </c>
      <c r="F4979" s="1" t="s">
        <v>15042</v>
      </c>
      <c r="G4979" s="1" t="s">
        <v>15042</v>
      </c>
      <c r="H4979" s="1" t="s">
        <v>899</v>
      </c>
      <c r="I4979" s="1" t="s">
        <v>16</v>
      </c>
      <c r="J4979" s="1">
        <v>1</v>
      </c>
      <c r="K4979" s="1">
        <v>4</v>
      </c>
      <c r="L4979" s="1" t="s">
        <v>42</v>
      </c>
      <c r="M4979" s="1" t="s">
        <v>18</v>
      </c>
      <c r="N4979" s="1" t="s">
        <v>18</v>
      </c>
      <c r="O4979" s="1">
        <v>3</v>
      </c>
      <c r="P4979" s="1">
        <v>6</v>
      </c>
      <c r="R4979" s="1" t="s">
        <v>19</v>
      </c>
      <c r="S4979" s="1" t="s">
        <v>20</v>
      </c>
      <c r="T4979" s="1" t="s">
        <v>21</v>
      </c>
      <c r="U4979" s="1" t="s">
        <v>22</v>
      </c>
      <c r="V4979" s="1" t="s">
        <v>24</v>
      </c>
      <c r="W4979" s="1" t="s">
        <v>24</v>
      </c>
      <c r="X4979" s="1">
        <v>3003</v>
      </c>
      <c r="Y4979" s="1" t="s">
        <v>24</v>
      </c>
      <c r="Z4979" s="1" t="s">
        <v>24</v>
      </c>
      <c r="AA4979" s="1" t="s">
        <v>24</v>
      </c>
      <c r="AB4979" s="1" t="s">
        <v>24</v>
      </c>
      <c r="AC4979" s="1" t="s">
        <v>24</v>
      </c>
      <c r="AD4979" s="1" t="s">
        <v>24</v>
      </c>
      <c r="AE4979" s="1" t="s">
        <v>24</v>
      </c>
      <c r="AF4979" s="22"/>
    </row>
    <row r="4980" spans="1:32" x14ac:dyDescent="0.2">
      <c r="A4980" s="1">
        <v>45891</v>
      </c>
      <c r="B4980" s="1" t="s">
        <v>15044</v>
      </c>
      <c r="C4980" s="5" t="s">
        <v>0</v>
      </c>
      <c r="D4980" s="1" t="s">
        <v>15045</v>
      </c>
      <c r="E4980" s="1" t="s">
        <v>15046</v>
      </c>
      <c r="F4980" s="1" t="s">
        <v>10464</v>
      </c>
      <c r="G4980" s="1" t="s">
        <v>15047</v>
      </c>
      <c r="H4980" s="1" t="s">
        <v>1957</v>
      </c>
      <c r="I4980" s="1" t="s">
        <v>16</v>
      </c>
      <c r="J4980" s="1">
        <v>1</v>
      </c>
      <c r="K4980" s="1">
        <v>4</v>
      </c>
      <c r="L4980" s="1" t="s">
        <v>42</v>
      </c>
      <c r="M4980" s="1" t="s">
        <v>18</v>
      </c>
      <c r="N4980" s="1" t="s">
        <v>18</v>
      </c>
      <c r="O4980" s="1">
        <v>3</v>
      </c>
      <c r="P4980" s="1">
        <v>6</v>
      </c>
      <c r="R4980" s="1" t="s">
        <v>19</v>
      </c>
      <c r="S4980" s="1" t="s">
        <v>20</v>
      </c>
      <c r="T4980" s="1" t="s">
        <v>21</v>
      </c>
      <c r="U4980" s="1" t="s">
        <v>22</v>
      </c>
      <c r="V4980" s="1" t="s">
        <v>23</v>
      </c>
      <c r="W4980" s="1" t="s">
        <v>24</v>
      </c>
      <c r="X4980" s="1">
        <v>2739</v>
      </c>
      <c r="Y4980" s="1" t="s">
        <v>24</v>
      </c>
      <c r="Z4980" s="1" t="s">
        <v>24</v>
      </c>
      <c r="AA4980" s="1" t="s">
        <v>24</v>
      </c>
      <c r="AB4980" s="1" t="s">
        <v>24</v>
      </c>
      <c r="AC4980" s="1" t="s">
        <v>24</v>
      </c>
      <c r="AD4980" s="1" t="s">
        <v>24</v>
      </c>
      <c r="AE4980" s="1" t="s">
        <v>24</v>
      </c>
      <c r="AF4980" s="22"/>
    </row>
    <row r="4981" spans="1:32" x14ac:dyDescent="0.2">
      <c r="A4981" s="1">
        <v>45892</v>
      </c>
      <c r="B4981" s="1" t="s">
        <v>15048</v>
      </c>
      <c r="C4981" s="5" t="s">
        <v>0</v>
      </c>
      <c r="D4981" s="1" t="s">
        <v>15049</v>
      </c>
      <c r="E4981" s="1" t="s">
        <v>15050</v>
      </c>
      <c r="F4981" s="1" t="s">
        <v>14870</v>
      </c>
      <c r="G4981" s="1" t="s">
        <v>14871</v>
      </c>
      <c r="H4981" s="1" t="s">
        <v>899</v>
      </c>
      <c r="I4981" s="1" t="s">
        <v>16</v>
      </c>
      <c r="J4981" s="1">
        <v>1</v>
      </c>
      <c r="K4981" s="1">
        <v>4</v>
      </c>
      <c r="L4981" s="1" t="s">
        <v>31</v>
      </c>
      <c r="M4981" s="1" t="s">
        <v>18</v>
      </c>
      <c r="N4981" s="1" t="s">
        <v>18</v>
      </c>
      <c r="O4981" s="1">
        <v>2</v>
      </c>
      <c r="P4981" s="1">
        <v>6</v>
      </c>
      <c r="R4981" s="1" t="s">
        <v>19</v>
      </c>
      <c r="S4981" s="1" t="s">
        <v>20</v>
      </c>
      <c r="T4981" s="1" t="s">
        <v>21</v>
      </c>
      <c r="U4981" s="1" t="s">
        <v>22</v>
      </c>
      <c r="V4981" s="1" t="s">
        <v>24</v>
      </c>
      <c r="W4981" s="1" t="s">
        <v>24</v>
      </c>
      <c r="X4981" s="1">
        <v>2717</v>
      </c>
      <c r="Y4981" s="1">
        <v>2741</v>
      </c>
      <c r="Z4981" s="1" t="s">
        <v>24</v>
      </c>
      <c r="AA4981" s="1" t="s">
        <v>24</v>
      </c>
      <c r="AB4981" s="1" t="s">
        <v>24</v>
      </c>
      <c r="AC4981" s="1" t="s">
        <v>24</v>
      </c>
      <c r="AD4981" s="1" t="s">
        <v>24</v>
      </c>
      <c r="AE4981" s="1" t="s">
        <v>24</v>
      </c>
      <c r="AF4981" s="22"/>
    </row>
    <row r="4982" spans="1:32" x14ac:dyDescent="0.2">
      <c r="A4982" s="1">
        <v>45893</v>
      </c>
      <c r="B4982" s="1" t="s">
        <v>15051</v>
      </c>
      <c r="C4982" s="5" t="s">
        <v>0</v>
      </c>
      <c r="D4982" s="1" t="s">
        <v>15052</v>
      </c>
      <c r="E4982" s="1" t="s">
        <v>15053</v>
      </c>
      <c r="F4982" s="1" t="s">
        <v>15051</v>
      </c>
      <c r="G4982" s="1" t="s">
        <v>15051</v>
      </c>
      <c r="H4982" s="1" t="s">
        <v>899</v>
      </c>
      <c r="I4982" s="1" t="s">
        <v>16</v>
      </c>
      <c r="J4982" s="1">
        <v>1</v>
      </c>
      <c r="K4982" s="1">
        <v>2</v>
      </c>
      <c r="L4982" s="1" t="s">
        <v>42</v>
      </c>
      <c r="M4982" s="1" t="s">
        <v>18</v>
      </c>
      <c r="N4982" s="1" t="s">
        <v>18</v>
      </c>
      <c r="O4982" s="1">
        <v>3</v>
      </c>
      <c r="P4982" s="1">
        <v>6</v>
      </c>
      <c r="R4982" s="1" t="s">
        <v>19</v>
      </c>
      <c r="S4982" s="1" t="s">
        <v>63</v>
      </c>
      <c r="T4982" s="1" t="s">
        <v>21</v>
      </c>
      <c r="U4982" s="1" t="s">
        <v>22</v>
      </c>
      <c r="V4982" s="1" t="s">
        <v>23</v>
      </c>
      <c r="W4982" s="1" t="s">
        <v>24</v>
      </c>
      <c r="X4982" s="1">
        <v>2742</v>
      </c>
      <c r="Y4982" s="1">
        <v>3612</v>
      </c>
      <c r="Z4982" s="1" t="s">
        <v>24</v>
      </c>
      <c r="AA4982" s="1" t="s">
        <v>24</v>
      </c>
      <c r="AB4982" s="1" t="s">
        <v>24</v>
      </c>
      <c r="AC4982" s="1" t="s">
        <v>24</v>
      </c>
      <c r="AD4982" s="1" t="s">
        <v>24</v>
      </c>
      <c r="AE4982" s="1" t="s">
        <v>24</v>
      </c>
      <c r="AF4982" s="22"/>
    </row>
    <row r="4983" spans="1:32" x14ac:dyDescent="0.2">
      <c r="A4983" s="1">
        <v>45894</v>
      </c>
      <c r="B4983" s="1" t="s">
        <v>15054</v>
      </c>
      <c r="C4983" s="5" t="s">
        <v>0</v>
      </c>
      <c r="D4983" s="1" t="s">
        <v>15055</v>
      </c>
      <c r="E4983" s="1" t="s">
        <v>15056</v>
      </c>
      <c r="F4983" s="1" t="s">
        <v>15057</v>
      </c>
      <c r="G4983" s="1" t="s">
        <v>15058</v>
      </c>
      <c r="H4983" s="1" t="s">
        <v>2672</v>
      </c>
      <c r="I4983" s="1" t="s">
        <v>16</v>
      </c>
      <c r="J4983" s="1">
        <v>1</v>
      </c>
      <c r="K4983" s="1">
        <v>4</v>
      </c>
      <c r="L4983" s="1" t="s">
        <v>31</v>
      </c>
      <c r="M4983" s="1" t="s">
        <v>18</v>
      </c>
      <c r="N4983" s="1" t="s">
        <v>18</v>
      </c>
      <c r="O4983" s="1">
        <v>2</v>
      </c>
      <c r="P4983" s="1">
        <v>6</v>
      </c>
      <c r="R4983" s="1" t="s">
        <v>19</v>
      </c>
      <c r="S4983" s="1" t="s">
        <v>20</v>
      </c>
      <c r="T4983" s="1" t="s">
        <v>21</v>
      </c>
      <c r="U4983" s="1" t="s">
        <v>22</v>
      </c>
      <c r="V4983" s="1" t="s">
        <v>24</v>
      </c>
      <c r="W4983" s="1" t="s">
        <v>24</v>
      </c>
      <c r="X4983" s="1">
        <v>2700</v>
      </c>
      <c r="Y4983" s="1" t="s">
        <v>24</v>
      </c>
      <c r="Z4983" s="1" t="s">
        <v>24</v>
      </c>
      <c r="AA4983" s="1" t="s">
        <v>24</v>
      </c>
      <c r="AB4983" s="1" t="s">
        <v>24</v>
      </c>
      <c r="AC4983" s="1" t="s">
        <v>24</v>
      </c>
      <c r="AD4983" s="1" t="s">
        <v>24</v>
      </c>
      <c r="AE4983" s="1" t="s">
        <v>24</v>
      </c>
      <c r="AF4983" s="22"/>
    </row>
    <row r="4984" spans="1:32" x14ac:dyDescent="0.2">
      <c r="A4984" s="1">
        <v>45895</v>
      </c>
      <c r="B4984" s="1" t="s">
        <v>15059</v>
      </c>
      <c r="C4984" s="5" t="s">
        <v>0</v>
      </c>
      <c r="D4984" s="1" t="s">
        <v>15060</v>
      </c>
      <c r="E4984" s="1" t="s">
        <v>15061</v>
      </c>
      <c r="F4984" s="1" t="s">
        <v>15062</v>
      </c>
      <c r="G4984" s="1" t="s">
        <v>15062</v>
      </c>
      <c r="H4984" s="1" t="s">
        <v>1957</v>
      </c>
      <c r="I4984" s="1" t="s">
        <v>16</v>
      </c>
      <c r="J4984" s="1">
        <v>1</v>
      </c>
      <c r="K4984" s="1">
        <v>4</v>
      </c>
      <c r="L4984" s="1" t="s">
        <v>42</v>
      </c>
      <c r="M4984" s="1" t="s">
        <v>18</v>
      </c>
      <c r="N4984" s="1" t="s">
        <v>18</v>
      </c>
      <c r="O4984" s="1">
        <v>3</v>
      </c>
      <c r="P4984" s="1">
        <v>6</v>
      </c>
      <c r="R4984" s="1" t="s">
        <v>19</v>
      </c>
      <c r="S4984" s="1" t="s">
        <v>20</v>
      </c>
      <c r="T4984" s="1" t="s">
        <v>21</v>
      </c>
      <c r="U4984" s="1" t="s">
        <v>22</v>
      </c>
      <c r="V4984" s="1" t="s">
        <v>23</v>
      </c>
      <c r="W4984" s="1" t="s">
        <v>24</v>
      </c>
      <c r="X4984" s="1">
        <v>2739</v>
      </c>
      <c r="Y4984" s="1" t="s">
        <v>24</v>
      </c>
      <c r="Z4984" s="1" t="s">
        <v>24</v>
      </c>
      <c r="AA4984" s="1" t="s">
        <v>24</v>
      </c>
      <c r="AB4984" s="1" t="s">
        <v>24</v>
      </c>
      <c r="AC4984" s="1" t="s">
        <v>24</v>
      </c>
      <c r="AD4984" s="1" t="s">
        <v>24</v>
      </c>
      <c r="AE4984" s="1" t="s">
        <v>24</v>
      </c>
      <c r="AF4984" s="22"/>
    </row>
    <row r="4985" spans="1:32" x14ac:dyDescent="0.2">
      <c r="A4985" s="1">
        <v>45896</v>
      </c>
      <c r="B4985" s="1" t="s">
        <v>15063</v>
      </c>
      <c r="C4985" s="5" t="s">
        <v>0</v>
      </c>
      <c r="D4985" s="1" t="s">
        <v>15064</v>
      </c>
      <c r="F4985" s="1" t="s">
        <v>11878</v>
      </c>
      <c r="G4985" s="1" t="s">
        <v>11879</v>
      </c>
      <c r="H4985" s="1" t="s">
        <v>30</v>
      </c>
      <c r="I4985" s="1" t="s">
        <v>16</v>
      </c>
      <c r="J4985" s="1">
        <v>1</v>
      </c>
      <c r="K4985" s="1">
        <v>4</v>
      </c>
      <c r="L4985" s="1" t="s">
        <v>31</v>
      </c>
      <c r="M4985" s="1" t="s">
        <v>18</v>
      </c>
      <c r="N4985" s="1" t="s">
        <v>18</v>
      </c>
      <c r="O4985" s="1">
        <v>3</v>
      </c>
      <c r="P4985" s="1">
        <v>6</v>
      </c>
      <c r="R4985" s="1" t="s">
        <v>19</v>
      </c>
      <c r="S4985" s="1" t="s">
        <v>20</v>
      </c>
      <c r="T4985" s="1" t="s">
        <v>21</v>
      </c>
      <c r="U4985" s="1" t="s">
        <v>22</v>
      </c>
      <c r="V4985" s="1" t="s">
        <v>24</v>
      </c>
      <c r="W4985" s="1" t="s">
        <v>24</v>
      </c>
      <c r="X4985" s="1">
        <v>2728</v>
      </c>
      <c r="Y4985" s="1">
        <v>2804</v>
      </c>
      <c r="Z4985" s="1">
        <v>2805</v>
      </c>
      <c r="AA4985" s="1" t="s">
        <v>24</v>
      </c>
      <c r="AB4985" s="1" t="s">
        <v>24</v>
      </c>
      <c r="AC4985" s="1" t="s">
        <v>24</v>
      </c>
      <c r="AD4985" s="1" t="s">
        <v>24</v>
      </c>
      <c r="AE4985" s="1" t="s">
        <v>24</v>
      </c>
      <c r="AF4985" s="22"/>
    </row>
    <row r="4986" spans="1:32" x14ac:dyDescent="0.2">
      <c r="A4986" s="1">
        <v>45898</v>
      </c>
      <c r="B4986" s="1" t="s">
        <v>15065</v>
      </c>
      <c r="C4986" s="5" t="s">
        <v>0</v>
      </c>
      <c r="D4986" s="1" t="s">
        <v>15066</v>
      </c>
      <c r="F4986" s="1" t="s">
        <v>11878</v>
      </c>
      <c r="G4986" s="1" t="s">
        <v>11879</v>
      </c>
      <c r="H4986" s="1" t="s">
        <v>30</v>
      </c>
      <c r="I4986" s="1" t="s">
        <v>16</v>
      </c>
      <c r="J4986" s="1">
        <v>1</v>
      </c>
      <c r="K4986" s="1">
        <v>4</v>
      </c>
      <c r="L4986" s="1" t="s">
        <v>31</v>
      </c>
      <c r="M4986" s="1" t="s">
        <v>18</v>
      </c>
      <c r="N4986" s="1" t="s">
        <v>18</v>
      </c>
      <c r="O4986" s="1">
        <v>3</v>
      </c>
      <c r="P4986" s="1">
        <v>6</v>
      </c>
      <c r="R4986" s="1" t="s">
        <v>19</v>
      </c>
      <c r="S4986" s="1" t="s">
        <v>20</v>
      </c>
      <c r="T4986" s="1" t="s">
        <v>21</v>
      </c>
      <c r="U4986" s="1" t="s">
        <v>22</v>
      </c>
      <c r="V4986" s="1" t="s">
        <v>24</v>
      </c>
      <c r="W4986" s="1" t="s">
        <v>24</v>
      </c>
      <c r="X4986" s="1">
        <v>2803</v>
      </c>
      <c r="Y4986" s="1">
        <v>2738</v>
      </c>
      <c r="Z4986" s="1" t="s">
        <v>24</v>
      </c>
      <c r="AA4986" s="1" t="s">
        <v>24</v>
      </c>
      <c r="AB4986" s="1" t="s">
        <v>24</v>
      </c>
      <c r="AC4986" s="1" t="s">
        <v>24</v>
      </c>
      <c r="AD4986" s="1" t="s">
        <v>24</v>
      </c>
      <c r="AE4986" s="1" t="s">
        <v>24</v>
      </c>
      <c r="AF4986" s="22"/>
    </row>
    <row r="4987" spans="1:32" x14ac:dyDescent="0.2">
      <c r="A4987" s="1">
        <v>45899</v>
      </c>
      <c r="B4987" s="1" t="s">
        <v>15067</v>
      </c>
      <c r="C4987" s="5" t="s">
        <v>0</v>
      </c>
      <c r="D4987" s="1" t="s">
        <v>15068</v>
      </c>
      <c r="F4987" s="1" t="s">
        <v>11878</v>
      </c>
      <c r="G4987" s="1" t="s">
        <v>11879</v>
      </c>
      <c r="H4987" s="1" t="s">
        <v>30</v>
      </c>
      <c r="I4987" s="1" t="s">
        <v>16</v>
      </c>
      <c r="J4987" s="1">
        <v>1</v>
      </c>
      <c r="K4987" s="1">
        <v>4</v>
      </c>
      <c r="L4987" s="1" t="s">
        <v>31</v>
      </c>
      <c r="M4987" s="1" t="s">
        <v>18</v>
      </c>
      <c r="N4987" s="1" t="s">
        <v>18</v>
      </c>
      <c r="O4987" s="1">
        <v>3</v>
      </c>
      <c r="P4987" s="1">
        <v>6</v>
      </c>
      <c r="R4987" s="1" t="s">
        <v>19</v>
      </c>
      <c r="S4987" s="1" t="s">
        <v>20</v>
      </c>
      <c r="T4987" s="1" t="s">
        <v>21</v>
      </c>
      <c r="U4987" s="1" t="s">
        <v>22</v>
      </c>
      <c r="V4987" s="1" t="s">
        <v>24</v>
      </c>
      <c r="W4987" s="1" t="s">
        <v>24</v>
      </c>
      <c r="X4987" s="1">
        <v>1309</v>
      </c>
      <c r="Y4987" s="1">
        <v>2806</v>
      </c>
      <c r="Z4987" s="1" t="s">
        <v>24</v>
      </c>
      <c r="AA4987" s="1" t="s">
        <v>24</v>
      </c>
      <c r="AB4987" s="1" t="s">
        <v>24</v>
      </c>
      <c r="AC4987" s="1" t="s">
        <v>24</v>
      </c>
      <c r="AD4987" s="1" t="s">
        <v>24</v>
      </c>
      <c r="AE4987" s="1" t="s">
        <v>24</v>
      </c>
      <c r="AF4987" s="22"/>
    </row>
    <row r="4988" spans="1:32" x14ac:dyDescent="0.2">
      <c r="A4988" s="1">
        <v>45900</v>
      </c>
      <c r="B4988" s="1" t="s">
        <v>15069</v>
      </c>
      <c r="C4988" s="5" t="s">
        <v>0</v>
      </c>
      <c r="D4988" s="1" t="s">
        <v>15070</v>
      </c>
      <c r="E4988" s="1" t="s">
        <v>15071</v>
      </c>
      <c r="F4988" s="1" t="s">
        <v>15072</v>
      </c>
      <c r="G4988" s="1" t="s">
        <v>15072</v>
      </c>
      <c r="H4988" s="1" t="s">
        <v>69</v>
      </c>
      <c r="I4988" s="1" t="s">
        <v>16</v>
      </c>
      <c r="J4988" s="1">
        <v>1</v>
      </c>
      <c r="K4988" s="1">
        <v>4</v>
      </c>
      <c r="L4988" s="1" t="s">
        <v>42</v>
      </c>
      <c r="M4988" s="1" t="s">
        <v>15073</v>
      </c>
      <c r="N4988" s="1" t="s">
        <v>15073</v>
      </c>
      <c r="O4988" s="1">
        <v>2</v>
      </c>
      <c r="P4988" s="1">
        <v>5</v>
      </c>
      <c r="R4988" s="1" t="s">
        <v>19</v>
      </c>
      <c r="S4988" s="1" t="s">
        <v>20</v>
      </c>
      <c r="T4988" s="1" t="s">
        <v>21</v>
      </c>
      <c r="U4988" s="1" t="s">
        <v>22</v>
      </c>
      <c r="V4988" s="1" t="s">
        <v>24</v>
      </c>
      <c r="W4988" s="1" t="s">
        <v>24</v>
      </c>
      <c r="X4988" s="1">
        <v>2700</v>
      </c>
      <c r="Y4988" s="1" t="s">
        <v>24</v>
      </c>
      <c r="Z4988" s="1" t="s">
        <v>24</v>
      </c>
      <c r="AA4988" s="1" t="s">
        <v>24</v>
      </c>
      <c r="AB4988" s="1" t="s">
        <v>24</v>
      </c>
      <c r="AC4988" s="1" t="s">
        <v>24</v>
      </c>
      <c r="AD4988" s="1" t="s">
        <v>24</v>
      </c>
      <c r="AE4988" s="1" t="s">
        <v>24</v>
      </c>
      <c r="AF4988" s="22"/>
    </row>
    <row r="4989" spans="1:32" x14ac:dyDescent="0.2">
      <c r="A4989" s="1">
        <v>45901</v>
      </c>
      <c r="B4989" s="1" t="s">
        <v>15074</v>
      </c>
      <c r="C4989" s="5" t="s">
        <v>0</v>
      </c>
      <c r="D4989" s="1" t="s">
        <v>15075</v>
      </c>
      <c r="E4989" s="1" t="s">
        <v>15076</v>
      </c>
      <c r="F4989" s="1" t="s">
        <v>15077</v>
      </c>
      <c r="G4989" s="1" t="s">
        <v>15077</v>
      </c>
      <c r="H4989" s="1" t="s">
        <v>899</v>
      </c>
      <c r="I4989" s="1" t="s">
        <v>16</v>
      </c>
      <c r="J4989" s="1">
        <v>1</v>
      </c>
      <c r="K4989" s="1">
        <v>4</v>
      </c>
      <c r="L4989" s="1" t="s">
        <v>42</v>
      </c>
      <c r="M4989" s="1" t="s">
        <v>18</v>
      </c>
      <c r="N4989" s="1" t="s">
        <v>18</v>
      </c>
      <c r="O4989" s="1">
        <v>2</v>
      </c>
      <c r="P4989" s="1">
        <v>6</v>
      </c>
      <c r="R4989" s="1" t="s">
        <v>19</v>
      </c>
      <c r="S4989" s="1" t="s">
        <v>20</v>
      </c>
      <c r="T4989" s="1" t="s">
        <v>21</v>
      </c>
      <c r="U4989" s="1" t="s">
        <v>22</v>
      </c>
      <c r="V4989" s="1" t="s">
        <v>24</v>
      </c>
      <c r="W4989" s="1" t="s">
        <v>24</v>
      </c>
      <c r="X4989" s="1">
        <v>2700</v>
      </c>
      <c r="Y4989" s="1" t="s">
        <v>24</v>
      </c>
      <c r="Z4989" s="1" t="s">
        <v>24</v>
      </c>
      <c r="AA4989" s="1" t="s">
        <v>24</v>
      </c>
      <c r="AB4989" s="1" t="s">
        <v>24</v>
      </c>
      <c r="AC4989" s="1" t="s">
        <v>24</v>
      </c>
      <c r="AD4989" s="1" t="s">
        <v>24</v>
      </c>
      <c r="AE4989" s="1" t="s">
        <v>24</v>
      </c>
      <c r="AF4989" s="22"/>
    </row>
    <row r="4990" spans="1:32" x14ac:dyDescent="0.2">
      <c r="A4990" s="1">
        <v>45902</v>
      </c>
      <c r="B4990" s="1" t="s">
        <v>15078</v>
      </c>
      <c r="C4990" s="5" t="s">
        <v>0</v>
      </c>
      <c r="E4990" s="1" t="s">
        <v>15079</v>
      </c>
      <c r="F4990" s="1" t="s">
        <v>15078</v>
      </c>
      <c r="G4990" s="1" t="s">
        <v>15078</v>
      </c>
      <c r="H4990" s="1" t="s">
        <v>899</v>
      </c>
      <c r="I4990" s="1" t="s">
        <v>16</v>
      </c>
      <c r="J4990" s="1">
        <v>1</v>
      </c>
      <c r="K4990" s="1">
        <v>4</v>
      </c>
      <c r="L4990" s="1" t="s">
        <v>42</v>
      </c>
      <c r="M4990" s="1" t="s">
        <v>18</v>
      </c>
      <c r="N4990" s="1" t="s">
        <v>18</v>
      </c>
      <c r="O4990" s="1">
        <v>2</v>
      </c>
      <c r="P4990" s="1">
        <v>6</v>
      </c>
      <c r="R4990" s="1" t="s">
        <v>19</v>
      </c>
      <c r="S4990" s="1" t="s">
        <v>20</v>
      </c>
      <c r="T4990" s="1" t="s">
        <v>21</v>
      </c>
      <c r="U4990" s="1" t="s">
        <v>22</v>
      </c>
      <c r="V4990" s="1" t="s">
        <v>24</v>
      </c>
      <c r="W4990" s="1" t="s">
        <v>24</v>
      </c>
      <c r="X4990" s="1">
        <v>3000</v>
      </c>
      <c r="Y4990" s="1">
        <v>1300</v>
      </c>
      <c r="Z4990" s="1" t="s">
        <v>24</v>
      </c>
      <c r="AA4990" s="1" t="s">
        <v>24</v>
      </c>
      <c r="AB4990" s="1" t="s">
        <v>24</v>
      </c>
      <c r="AC4990" s="1" t="s">
        <v>24</v>
      </c>
      <c r="AD4990" s="1" t="s">
        <v>24</v>
      </c>
      <c r="AE4990" s="1" t="s">
        <v>24</v>
      </c>
      <c r="AF4990" s="22"/>
    </row>
    <row r="4991" spans="1:32" x14ac:dyDescent="0.2">
      <c r="A4991" s="1">
        <v>45903</v>
      </c>
      <c r="B4991" s="1" t="s">
        <v>15080</v>
      </c>
      <c r="C4991" s="5" t="s">
        <v>0</v>
      </c>
      <c r="D4991" s="1" t="s">
        <v>15081</v>
      </c>
      <c r="E4991" s="1" t="s">
        <v>15082</v>
      </c>
      <c r="F4991" s="1" t="s">
        <v>15083</v>
      </c>
      <c r="G4991" s="1" t="s">
        <v>15083</v>
      </c>
      <c r="H4991" s="1" t="s">
        <v>1660</v>
      </c>
      <c r="I4991" s="1" t="s">
        <v>16</v>
      </c>
      <c r="J4991" s="1">
        <v>1</v>
      </c>
      <c r="K4991" s="1">
        <v>4</v>
      </c>
      <c r="L4991" s="1" t="s">
        <v>42</v>
      </c>
      <c r="M4991" s="1" t="s">
        <v>18</v>
      </c>
      <c r="N4991" s="1" t="s">
        <v>18</v>
      </c>
      <c r="O4991" s="1">
        <v>3</v>
      </c>
      <c r="P4991" s="1">
        <v>6</v>
      </c>
      <c r="R4991" s="1" t="s">
        <v>19</v>
      </c>
      <c r="S4991" s="1" t="s">
        <v>20</v>
      </c>
      <c r="T4991" s="1" t="s">
        <v>21</v>
      </c>
      <c r="U4991" s="1" t="s">
        <v>22</v>
      </c>
      <c r="V4991" s="1" t="s">
        <v>24</v>
      </c>
      <c r="W4991" s="1" t="s">
        <v>24</v>
      </c>
      <c r="X4991" s="1">
        <v>3102</v>
      </c>
      <c r="Y4991" s="1">
        <v>2741</v>
      </c>
      <c r="Z4991" s="1">
        <v>3614</v>
      </c>
      <c r="AA4991" s="1" t="s">
        <v>24</v>
      </c>
      <c r="AB4991" s="1" t="s">
        <v>24</v>
      </c>
      <c r="AC4991" s="1" t="s">
        <v>24</v>
      </c>
      <c r="AD4991" s="1" t="s">
        <v>24</v>
      </c>
      <c r="AE4991" s="1" t="s">
        <v>24</v>
      </c>
      <c r="AF4991" s="22"/>
    </row>
    <row r="4992" spans="1:32" x14ac:dyDescent="0.2">
      <c r="A4992" s="1">
        <v>45904</v>
      </c>
      <c r="B4992" s="1" t="s">
        <v>15084</v>
      </c>
      <c r="C4992" s="5" t="s">
        <v>0</v>
      </c>
      <c r="D4992" s="1" t="s">
        <v>15085</v>
      </c>
      <c r="E4992" s="1" t="s">
        <v>15086</v>
      </c>
      <c r="F4992" s="1" t="s">
        <v>1462</v>
      </c>
      <c r="G4992" s="1" t="s">
        <v>1462</v>
      </c>
      <c r="H4992" s="1" t="s">
        <v>249</v>
      </c>
      <c r="I4992" s="1" t="s">
        <v>16</v>
      </c>
      <c r="J4992" s="1">
        <v>1</v>
      </c>
      <c r="K4992" s="1">
        <v>4</v>
      </c>
      <c r="L4992" s="1" t="s">
        <v>42</v>
      </c>
      <c r="M4992" s="1" t="s">
        <v>18</v>
      </c>
      <c r="N4992" s="1" t="s">
        <v>18</v>
      </c>
      <c r="O4992" s="1">
        <v>3</v>
      </c>
      <c r="P4992" s="1">
        <v>6</v>
      </c>
      <c r="R4992" s="1" t="s">
        <v>19</v>
      </c>
      <c r="S4992" s="1" t="s">
        <v>20</v>
      </c>
      <c r="T4992" s="1" t="s">
        <v>21</v>
      </c>
      <c r="U4992" s="1" t="s">
        <v>22</v>
      </c>
      <c r="V4992" s="1" t="s">
        <v>24</v>
      </c>
      <c r="W4992" s="1" t="s">
        <v>24</v>
      </c>
      <c r="X4992" s="1">
        <v>2720</v>
      </c>
      <c r="Y4992" s="1">
        <v>2730</v>
      </c>
      <c r="Z4992" s="1" t="s">
        <v>24</v>
      </c>
      <c r="AA4992" s="1" t="s">
        <v>24</v>
      </c>
      <c r="AB4992" s="1" t="s">
        <v>24</v>
      </c>
      <c r="AC4992" s="1" t="s">
        <v>24</v>
      </c>
      <c r="AD4992" s="1" t="s">
        <v>24</v>
      </c>
      <c r="AE4992" s="1" t="s">
        <v>24</v>
      </c>
      <c r="AF4992" s="22"/>
    </row>
    <row r="4993" spans="1:32" x14ac:dyDescent="0.2">
      <c r="A4993" s="1">
        <v>45905</v>
      </c>
      <c r="B4993" s="1" t="s">
        <v>15087</v>
      </c>
      <c r="C4993" s="5" t="s">
        <v>0</v>
      </c>
      <c r="D4993" s="1" t="s">
        <v>15088</v>
      </c>
      <c r="E4993" s="1" t="s">
        <v>15089</v>
      </c>
      <c r="F4993" s="1" t="s">
        <v>13355</v>
      </c>
      <c r="G4993" s="1" t="s">
        <v>13355</v>
      </c>
      <c r="H4993" s="1" t="s">
        <v>92</v>
      </c>
      <c r="I4993" s="1" t="s">
        <v>16</v>
      </c>
      <c r="J4993" s="1">
        <v>1</v>
      </c>
      <c r="K4993" s="1">
        <v>4</v>
      </c>
      <c r="L4993" s="1" t="s">
        <v>42</v>
      </c>
      <c r="M4993" s="1" t="s">
        <v>18</v>
      </c>
      <c r="N4993" s="1" t="s">
        <v>18</v>
      </c>
      <c r="O4993" s="1">
        <v>3</v>
      </c>
      <c r="P4993" s="1">
        <v>6</v>
      </c>
      <c r="R4993" s="1" t="s">
        <v>19</v>
      </c>
      <c r="S4993" s="1" t="s">
        <v>20</v>
      </c>
      <c r="T4993" s="1" t="s">
        <v>21</v>
      </c>
      <c r="U4993" s="1" t="s">
        <v>22</v>
      </c>
      <c r="V4993" s="1" t="s">
        <v>24</v>
      </c>
      <c r="W4993" s="1" t="s">
        <v>24</v>
      </c>
      <c r="X4993" s="1">
        <v>2726</v>
      </c>
      <c r="Y4993" s="1">
        <v>2404</v>
      </c>
      <c r="Z4993" s="1" t="s">
        <v>24</v>
      </c>
      <c r="AA4993" s="1" t="s">
        <v>24</v>
      </c>
      <c r="AB4993" s="1" t="s">
        <v>24</v>
      </c>
      <c r="AC4993" s="1" t="s">
        <v>24</v>
      </c>
      <c r="AD4993" s="1" t="s">
        <v>24</v>
      </c>
      <c r="AE4993" s="1" t="s">
        <v>24</v>
      </c>
      <c r="AF4993" s="22"/>
    </row>
    <row r="4994" spans="1:32" x14ac:dyDescent="0.2">
      <c r="A4994" s="1">
        <v>45906</v>
      </c>
      <c r="B4994" s="1" t="s">
        <v>15090</v>
      </c>
      <c r="C4994" s="5" t="s">
        <v>0</v>
      </c>
      <c r="E4994" s="1" t="s">
        <v>15091</v>
      </c>
      <c r="F4994" s="1" t="s">
        <v>15092</v>
      </c>
      <c r="G4994" s="1" t="s">
        <v>15092</v>
      </c>
      <c r="H4994" s="1" t="s">
        <v>1384</v>
      </c>
      <c r="I4994" s="1" t="s">
        <v>16</v>
      </c>
      <c r="J4994" s="1">
        <v>1</v>
      </c>
      <c r="K4994" s="1">
        <v>4</v>
      </c>
      <c r="L4994" s="1" t="s">
        <v>42</v>
      </c>
      <c r="M4994" s="1" t="s">
        <v>18</v>
      </c>
      <c r="N4994" s="1" t="s">
        <v>18</v>
      </c>
      <c r="O4994" s="1">
        <v>2</v>
      </c>
      <c r="P4994" s="1">
        <v>5</v>
      </c>
      <c r="R4994" s="1" t="s">
        <v>19</v>
      </c>
      <c r="S4994" s="1" t="s">
        <v>20</v>
      </c>
      <c r="T4994" s="1" t="s">
        <v>21</v>
      </c>
      <c r="U4994" s="1" t="s">
        <v>22</v>
      </c>
      <c r="V4994" s="1" t="s">
        <v>24</v>
      </c>
      <c r="W4994" s="1" t="s">
        <v>24</v>
      </c>
      <c r="X4994" s="1">
        <v>2738</v>
      </c>
      <c r="Y4994" s="1">
        <v>2728</v>
      </c>
      <c r="Z4994" s="1" t="s">
        <v>24</v>
      </c>
      <c r="AA4994" s="1" t="s">
        <v>24</v>
      </c>
      <c r="AB4994" s="1" t="s">
        <v>24</v>
      </c>
      <c r="AC4994" s="1" t="s">
        <v>24</v>
      </c>
      <c r="AD4994" s="1" t="s">
        <v>24</v>
      </c>
      <c r="AE4994" s="1" t="s">
        <v>24</v>
      </c>
      <c r="AF4994" s="22"/>
    </row>
    <row r="4995" spans="1:32" x14ac:dyDescent="0.2">
      <c r="A4995" s="1">
        <v>45907</v>
      </c>
      <c r="B4995" s="1" t="s">
        <v>15093</v>
      </c>
      <c r="C4995" s="5" t="s">
        <v>0</v>
      </c>
      <c r="D4995" s="1" t="s">
        <v>15094</v>
      </c>
      <c r="F4995" s="1" t="s">
        <v>15092</v>
      </c>
      <c r="G4995" s="1" t="s">
        <v>15092</v>
      </c>
      <c r="H4995" s="1" t="s">
        <v>1384</v>
      </c>
      <c r="I4995" s="1" t="s">
        <v>16</v>
      </c>
      <c r="J4995" s="1">
        <v>1</v>
      </c>
      <c r="K4995" s="1">
        <v>4</v>
      </c>
      <c r="L4995" s="1" t="s">
        <v>42</v>
      </c>
      <c r="M4995" s="1" t="s">
        <v>1385</v>
      </c>
      <c r="N4995" s="1" t="s">
        <v>3142</v>
      </c>
      <c r="O4995" s="1">
        <v>2</v>
      </c>
      <c r="P4995" s="1">
        <v>5</v>
      </c>
      <c r="R4995" s="1" t="s">
        <v>19</v>
      </c>
      <c r="S4995" s="1" t="s">
        <v>20</v>
      </c>
      <c r="T4995" s="1" t="s">
        <v>21</v>
      </c>
      <c r="U4995" s="1" t="s">
        <v>22</v>
      </c>
      <c r="V4995" s="1" t="s">
        <v>24</v>
      </c>
      <c r="W4995" s="1" t="s">
        <v>24</v>
      </c>
      <c r="X4995" s="1">
        <v>2700</v>
      </c>
      <c r="Y4995" s="1" t="s">
        <v>24</v>
      </c>
      <c r="Z4995" s="1" t="s">
        <v>24</v>
      </c>
      <c r="AA4995" s="1" t="s">
        <v>24</v>
      </c>
      <c r="AB4995" s="1" t="s">
        <v>24</v>
      </c>
      <c r="AC4995" s="1" t="s">
        <v>24</v>
      </c>
      <c r="AD4995" s="1" t="s">
        <v>24</v>
      </c>
      <c r="AE4995" s="1" t="s">
        <v>24</v>
      </c>
      <c r="AF4995" s="22"/>
    </row>
    <row r="4996" spans="1:32" x14ac:dyDescent="0.2">
      <c r="A4996" s="1">
        <v>45908</v>
      </c>
      <c r="B4996" s="1" t="s">
        <v>15095</v>
      </c>
      <c r="C4996" s="5" t="s">
        <v>0</v>
      </c>
      <c r="D4996" s="1" t="s">
        <v>15096</v>
      </c>
      <c r="F4996" s="1" t="s">
        <v>14922</v>
      </c>
      <c r="G4996" s="1" t="s">
        <v>14922</v>
      </c>
      <c r="H4996" s="1" t="s">
        <v>37</v>
      </c>
      <c r="I4996" s="1" t="s">
        <v>16</v>
      </c>
      <c r="J4996" s="1">
        <v>1</v>
      </c>
      <c r="K4996" s="1">
        <v>1</v>
      </c>
      <c r="L4996" s="1" t="s">
        <v>42</v>
      </c>
      <c r="M4996" s="1" t="s">
        <v>18</v>
      </c>
      <c r="N4996" s="1" t="s">
        <v>18</v>
      </c>
      <c r="O4996" s="1">
        <v>3</v>
      </c>
      <c r="P4996" s="1">
        <v>6</v>
      </c>
      <c r="R4996" s="1" t="s">
        <v>19</v>
      </c>
      <c r="S4996" s="1" t="s">
        <v>20</v>
      </c>
      <c r="T4996" s="1" t="s">
        <v>21</v>
      </c>
      <c r="U4996" s="1" t="s">
        <v>22</v>
      </c>
      <c r="V4996" s="1" t="s">
        <v>24</v>
      </c>
      <c r="W4996" s="1" t="s">
        <v>24</v>
      </c>
      <c r="X4996" s="1">
        <v>2728</v>
      </c>
      <c r="Y4996" s="1">
        <v>2808</v>
      </c>
      <c r="Z4996" s="1" t="s">
        <v>24</v>
      </c>
      <c r="AA4996" s="1" t="s">
        <v>24</v>
      </c>
      <c r="AB4996" s="1" t="s">
        <v>24</v>
      </c>
      <c r="AC4996" s="1" t="s">
        <v>24</v>
      </c>
      <c r="AD4996" s="1" t="s">
        <v>24</v>
      </c>
      <c r="AE4996" s="1" t="s">
        <v>24</v>
      </c>
      <c r="AF4996" s="22"/>
    </row>
    <row r="4997" spans="1:32" x14ac:dyDescent="0.2">
      <c r="A4997" s="1">
        <v>45909</v>
      </c>
      <c r="B4997" s="1" t="s">
        <v>15097</v>
      </c>
      <c r="C4997" s="5" t="s">
        <v>0</v>
      </c>
      <c r="D4997" s="1" t="s">
        <v>15098</v>
      </c>
      <c r="F4997" s="1" t="s">
        <v>14922</v>
      </c>
      <c r="G4997" s="1" t="s">
        <v>14922</v>
      </c>
      <c r="H4997" s="1" t="s">
        <v>37</v>
      </c>
      <c r="I4997" s="1" t="s">
        <v>16</v>
      </c>
      <c r="J4997" s="1">
        <v>1</v>
      </c>
      <c r="K4997" s="1">
        <v>2</v>
      </c>
      <c r="L4997" s="1" t="s">
        <v>42</v>
      </c>
      <c r="M4997" s="1" t="s">
        <v>18</v>
      </c>
      <c r="N4997" s="1" t="s">
        <v>18</v>
      </c>
      <c r="O4997" s="1">
        <v>3</v>
      </c>
      <c r="P4997" s="1">
        <v>6</v>
      </c>
      <c r="R4997" s="1" t="s">
        <v>19</v>
      </c>
      <c r="S4997" s="1" t="s">
        <v>20</v>
      </c>
      <c r="T4997" s="1" t="s">
        <v>21</v>
      </c>
      <c r="U4997" s="1" t="s">
        <v>22</v>
      </c>
      <c r="V4997" s="1" t="s">
        <v>24</v>
      </c>
      <c r="W4997" s="1" t="s">
        <v>24</v>
      </c>
      <c r="X4997" s="1">
        <v>2740</v>
      </c>
      <c r="Y4997" s="1" t="s">
        <v>24</v>
      </c>
      <c r="Z4997" s="1" t="s">
        <v>24</v>
      </c>
      <c r="AA4997" s="1" t="s">
        <v>24</v>
      </c>
      <c r="AB4997" s="1" t="s">
        <v>24</v>
      </c>
      <c r="AC4997" s="1" t="s">
        <v>24</v>
      </c>
      <c r="AD4997" s="1" t="s">
        <v>24</v>
      </c>
      <c r="AE4997" s="1" t="s">
        <v>24</v>
      </c>
      <c r="AF4997" s="22"/>
    </row>
    <row r="4998" spans="1:32" x14ac:dyDescent="0.2">
      <c r="A4998" s="1">
        <v>45910</v>
      </c>
      <c r="B4998" s="1" t="s">
        <v>15099</v>
      </c>
      <c r="C4998" s="5" t="s">
        <v>0</v>
      </c>
      <c r="D4998" s="1" t="s">
        <v>15100</v>
      </c>
      <c r="E4998" s="1" t="s">
        <v>15101</v>
      </c>
      <c r="F4998" s="1" t="s">
        <v>6863</v>
      </c>
      <c r="G4998" s="1" t="s">
        <v>372</v>
      </c>
      <c r="H4998" s="1" t="s">
        <v>168</v>
      </c>
      <c r="I4998" s="1" t="s">
        <v>16</v>
      </c>
      <c r="J4998" s="1">
        <v>1</v>
      </c>
      <c r="K4998" s="1">
        <v>6</v>
      </c>
      <c r="L4998" s="1" t="s">
        <v>31</v>
      </c>
      <c r="M4998" s="1" t="s">
        <v>413</v>
      </c>
      <c r="N4998" s="1" t="s">
        <v>413</v>
      </c>
      <c r="O4998" s="1">
        <v>0</v>
      </c>
      <c r="P4998" s="1">
        <v>6</v>
      </c>
      <c r="R4998" s="1" t="s">
        <v>19</v>
      </c>
      <c r="S4998" s="1" t="s">
        <v>63</v>
      </c>
      <c r="T4998" s="1" t="s">
        <v>21</v>
      </c>
      <c r="U4998" s="1" t="s">
        <v>22</v>
      </c>
      <c r="V4998" s="1" t="s">
        <v>24</v>
      </c>
      <c r="W4998" s="1" t="s">
        <v>24</v>
      </c>
      <c r="X4998" s="1">
        <v>2724</v>
      </c>
      <c r="Y4998" s="1">
        <v>2712</v>
      </c>
      <c r="Z4998" s="1" t="s">
        <v>24</v>
      </c>
      <c r="AA4998" s="1" t="s">
        <v>24</v>
      </c>
      <c r="AB4998" s="1" t="s">
        <v>24</v>
      </c>
      <c r="AC4998" s="1" t="s">
        <v>24</v>
      </c>
      <c r="AD4998" s="1" t="s">
        <v>24</v>
      </c>
      <c r="AE4998" s="1" t="s">
        <v>24</v>
      </c>
      <c r="AF4998" s="22"/>
    </row>
    <row r="4999" spans="1:32" x14ac:dyDescent="0.2">
      <c r="A4999" s="1">
        <v>45911</v>
      </c>
      <c r="B4999" s="1" t="s">
        <v>15102</v>
      </c>
      <c r="C4999" s="5" t="s">
        <v>0</v>
      </c>
      <c r="D4999" s="1" t="s">
        <v>15103</v>
      </c>
      <c r="E4999" s="1" t="s">
        <v>15104</v>
      </c>
      <c r="F4999" s="1" t="s">
        <v>97</v>
      </c>
      <c r="G4999" s="1" t="s">
        <v>98</v>
      </c>
      <c r="H4999" s="1" t="s">
        <v>37</v>
      </c>
      <c r="I4999" s="1" t="s">
        <v>16</v>
      </c>
      <c r="J4999" s="1">
        <v>1</v>
      </c>
      <c r="K4999" s="1">
        <v>6</v>
      </c>
      <c r="L4999" s="1" t="s">
        <v>31</v>
      </c>
      <c r="M4999" s="1" t="s">
        <v>18</v>
      </c>
      <c r="N4999" s="1" t="s">
        <v>18</v>
      </c>
      <c r="O4999" s="1">
        <v>3</v>
      </c>
      <c r="P4999" s="1">
        <v>7</v>
      </c>
      <c r="Q4999" s="7" t="s">
        <v>17633</v>
      </c>
      <c r="R4999" s="1" t="s">
        <v>19</v>
      </c>
      <c r="S4999" s="1" t="s">
        <v>20</v>
      </c>
      <c r="T4999" s="1" t="s">
        <v>21</v>
      </c>
      <c r="U4999" s="1" t="s">
        <v>22</v>
      </c>
      <c r="V4999" s="1" t="s">
        <v>24</v>
      </c>
      <c r="W4999" s="1" t="s">
        <v>24</v>
      </c>
      <c r="X4999" s="1">
        <v>2740</v>
      </c>
      <c r="Y4999" s="1">
        <v>2723</v>
      </c>
      <c r="Z4999" s="1" t="s">
        <v>24</v>
      </c>
      <c r="AA4999" s="1" t="s">
        <v>24</v>
      </c>
      <c r="AB4999" s="1" t="s">
        <v>24</v>
      </c>
      <c r="AC4999" s="1" t="s">
        <v>24</v>
      </c>
      <c r="AD4999" s="1" t="s">
        <v>24</v>
      </c>
      <c r="AE4999" s="1" t="s">
        <v>24</v>
      </c>
      <c r="AF4999" s="22"/>
    </row>
    <row r="5000" spans="1:32" x14ac:dyDescent="0.2">
      <c r="A5000" s="1">
        <v>45912</v>
      </c>
      <c r="B5000" s="1" t="s">
        <v>15105</v>
      </c>
      <c r="C5000" s="5" t="s">
        <v>0</v>
      </c>
      <c r="D5000" s="1" t="s">
        <v>15106</v>
      </c>
      <c r="F5000" s="1" t="s">
        <v>15107</v>
      </c>
      <c r="G5000" s="1" t="s">
        <v>15107</v>
      </c>
      <c r="H5000" s="1" t="s">
        <v>1384</v>
      </c>
      <c r="I5000" s="1" t="s">
        <v>16</v>
      </c>
      <c r="J5000" s="1">
        <v>1</v>
      </c>
      <c r="K5000" s="1">
        <v>6</v>
      </c>
      <c r="L5000" s="1" t="s">
        <v>42</v>
      </c>
      <c r="M5000" s="1" t="s">
        <v>1385</v>
      </c>
      <c r="N5000" s="1" t="s">
        <v>3142</v>
      </c>
      <c r="O5000" s="1">
        <v>3</v>
      </c>
      <c r="P5000" s="1">
        <v>6</v>
      </c>
      <c r="R5000" s="1" t="s">
        <v>19</v>
      </c>
      <c r="S5000" s="1" t="s">
        <v>20</v>
      </c>
      <c r="T5000" s="1" t="s">
        <v>21</v>
      </c>
      <c r="U5000" s="1" t="s">
        <v>22</v>
      </c>
      <c r="V5000" s="1" t="s">
        <v>24</v>
      </c>
      <c r="W5000" s="1" t="s">
        <v>24</v>
      </c>
      <c r="X5000" s="1">
        <v>2731</v>
      </c>
      <c r="Y5000" s="1" t="s">
        <v>24</v>
      </c>
      <c r="Z5000" s="1" t="s">
        <v>24</v>
      </c>
      <c r="AA5000" s="1" t="s">
        <v>24</v>
      </c>
      <c r="AB5000" s="1" t="s">
        <v>24</v>
      </c>
      <c r="AC5000" s="1" t="s">
        <v>24</v>
      </c>
      <c r="AD5000" s="1" t="s">
        <v>24</v>
      </c>
      <c r="AE5000" s="1" t="s">
        <v>24</v>
      </c>
      <c r="AF5000" s="22"/>
    </row>
    <row r="5001" spans="1:32" x14ac:dyDescent="0.2">
      <c r="A5001" s="1">
        <v>45913</v>
      </c>
      <c r="B5001" s="1" t="s">
        <v>15108</v>
      </c>
      <c r="C5001" s="5" t="s">
        <v>0</v>
      </c>
      <c r="D5001" s="1" t="s">
        <v>15109</v>
      </c>
      <c r="F5001" s="1" t="s">
        <v>15110</v>
      </c>
      <c r="G5001" s="1" t="s">
        <v>15110</v>
      </c>
      <c r="H5001" s="1" t="s">
        <v>1384</v>
      </c>
      <c r="I5001" s="1" t="s">
        <v>16</v>
      </c>
      <c r="J5001" s="1">
        <v>1</v>
      </c>
      <c r="K5001" s="1">
        <v>6</v>
      </c>
      <c r="L5001" s="1" t="s">
        <v>42</v>
      </c>
      <c r="M5001" s="1" t="s">
        <v>3142</v>
      </c>
      <c r="N5001" s="1" t="s">
        <v>3142</v>
      </c>
      <c r="O5001" s="1">
        <v>3</v>
      </c>
      <c r="P5001" s="1">
        <v>6</v>
      </c>
      <c r="R5001" s="1" t="s">
        <v>19</v>
      </c>
      <c r="S5001" s="1" t="s">
        <v>20</v>
      </c>
      <c r="T5001" s="1" t="s">
        <v>21</v>
      </c>
      <c r="U5001" s="1" t="s">
        <v>22</v>
      </c>
      <c r="V5001" s="1" t="s">
        <v>24</v>
      </c>
      <c r="W5001" s="1" t="s">
        <v>24</v>
      </c>
      <c r="X5001" s="1">
        <v>2739</v>
      </c>
      <c r="Y5001" s="1" t="s">
        <v>24</v>
      </c>
      <c r="Z5001" s="1" t="s">
        <v>24</v>
      </c>
      <c r="AA5001" s="1" t="s">
        <v>24</v>
      </c>
      <c r="AB5001" s="1" t="s">
        <v>24</v>
      </c>
      <c r="AC5001" s="1" t="s">
        <v>24</v>
      </c>
      <c r="AD5001" s="1" t="s">
        <v>24</v>
      </c>
      <c r="AE5001" s="1" t="s">
        <v>24</v>
      </c>
      <c r="AF5001" s="22"/>
    </row>
    <row r="5002" spans="1:32" x14ac:dyDescent="0.2">
      <c r="A5002" s="1">
        <v>45914</v>
      </c>
      <c r="B5002" s="1" t="s">
        <v>15111</v>
      </c>
      <c r="C5002" s="5" t="s">
        <v>0</v>
      </c>
      <c r="D5002" s="1" t="s">
        <v>15112</v>
      </c>
      <c r="F5002" s="1" t="s">
        <v>15113</v>
      </c>
      <c r="G5002" s="1" t="s">
        <v>15113</v>
      </c>
      <c r="H5002" s="1" t="s">
        <v>899</v>
      </c>
      <c r="I5002" s="1" t="s">
        <v>16</v>
      </c>
      <c r="J5002" s="1">
        <v>1</v>
      </c>
      <c r="K5002" s="1">
        <v>4</v>
      </c>
      <c r="L5002" s="1" t="s">
        <v>42</v>
      </c>
      <c r="M5002" s="1" t="s">
        <v>18</v>
      </c>
      <c r="N5002" s="1" t="s">
        <v>18</v>
      </c>
      <c r="O5002" s="1">
        <v>3</v>
      </c>
      <c r="P5002" s="1">
        <v>6</v>
      </c>
      <c r="R5002" s="1" t="s">
        <v>19</v>
      </c>
      <c r="S5002" s="1" t="s">
        <v>63</v>
      </c>
      <c r="T5002" s="1" t="s">
        <v>21</v>
      </c>
      <c r="U5002" s="1" t="s">
        <v>22</v>
      </c>
      <c r="V5002" s="1" t="s">
        <v>24</v>
      </c>
      <c r="W5002" s="1" t="s">
        <v>24</v>
      </c>
      <c r="X5002" s="1">
        <v>2402</v>
      </c>
      <c r="Y5002" s="1" t="s">
        <v>24</v>
      </c>
      <c r="Z5002" s="1" t="s">
        <v>24</v>
      </c>
      <c r="AA5002" s="1" t="s">
        <v>24</v>
      </c>
      <c r="AB5002" s="1" t="s">
        <v>24</v>
      </c>
      <c r="AC5002" s="1" t="s">
        <v>24</v>
      </c>
      <c r="AD5002" s="1" t="s">
        <v>24</v>
      </c>
      <c r="AE5002" s="1" t="s">
        <v>24</v>
      </c>
      <c r="AF5002" s="22"/>
    </row>
    <row r="5003" spans="1:32" x14ac:dyDescent="0.2">
      <c r="A5003" s="1">
        <v>45915</v>
      </c>
      <c r="B5003" s="5" t="s">
        <v>15114</v>
      </c>
      <c r="C5003" s="5" t="s">
        <v>0</v>
      </c>
      <c r="D5003" s="1" t="s">
        <v>15115</v>
      </c>
      <c r="F5003" s="1" t="s">
        <v>15116</v>
      </c>
      <c r="G5003" s="1" t="s">
        <v>15116</v>
      </c>
      <c r="H5003" s="1" t="s">
        <v>899</v>
      </c>
      <c r="I5003" s="1" t="s">
        <v>16</v>
      </c>
      <c r="J5003" s="5">
        <v>2</v>
      </c>
      <c r="K5003" s="1">
        <v>6</v>
      </c>
      <c r="L5003" s="1" t="s">
        <v>42</v>
      </c>
      <c r="M5003" s="1" t="s">
        <v>18</v>
      </c>
      <c r="N5003" s="5" t="s">
        <v>18</v>
      </c>
      <c r="O5003" s="1">
        <v>2</v>
      </c>
      <c r="P5003" s="1">
        <v>6</v>
      </c>
      <c r="R5003" s="5" t="s">
        <v>19</v>
      </c>
      <c r="S5003" s="1" t="s">
        <v>20</v>
      </c>
      <c r="T5003" s="1" t="s">
        <v>21</v>
      </c>
      <c r="U5003" s="1" t="s">
        <v>22</v>
      </c>
      <c r="V5003" s="1" t="s">
        <v>24</v>
      </c>
      <c r="W5003" s="1" t="s">
        <v>24</v>
      </c>
      <c r="X5003" s="1">
        <v>3003</v>
      </c>
      <c r="Y5003" s="1" t="s">
        <v>24</v>
      </c>
      <c r="Z5003" s="1" t="s">
        <v>24</v>
      </c>
      <c r="AA5003" s="1" t="s">
        <v>24</v>
      </c>
      <c r="AB5003" s="1" t="s">
        <v>24</v>
      </c>
      <c r="AC5003" s="1" t="s">
        <v>24</v>
      </c>
      <c r="AD5003" s="1" t="s">
        <v>24</v>
      </c>
      <c r="AE5003" s="1" t="s">
        <v>24</v>
      </c>
      <c r="AF5003" s="22"/>
    </row>
    <row r="5004" spans="1:32" x14ac:dyDescent="0.2">
      <c r="A5004" s="1">
        <v>45917</v>
      </c>
      <c r="B5004" s="1" t="s">
        <v>15117</v>
      </c>
      <c r="C5004" s="5" t="s">
        <v>0</v>
      </c>
      <c r="E5004" s="1" t="s">
        <v>15118</v>
      </c>
      <c r="F5004" s="1" t="s">
        <v>15119</v>
      </c>
      <c r="G5004" s="1" t="s">
        <v>15119</v>
      </c>
      <c r="H5004" s="1" t="s">
        <v>899</v>
      </c>
      <c r="I5004" s="1" t="s">
        <v>16</v>
      </c>
      <c r="J5004" s="1">
        <v>1</v>
      </c>
      <c r="K5004" s="1">
        <v>6</v>
      </c>
      <c r="L5004" s="1" t="s">
        <v>42</v>
      </c>
      <c r="M5004" s="1" t="s">
        <v>18</v>
      </c>
      <c r="N5004" s="1" t="s">
        <v>18</v>
      </c>
      <c r="O5004" s="1">
        <v>2</v>
      </c>
      <c r="P5004" s="1">
        <v>6</v>
      </c>
      <c r="R5004" s="1" t="s">
        <v>19</v>
      </c>
      <c r="S5004" s="1" t="s">
        <v>20</v>
      </c>
      <c r="T5004" s="1" t="s">
        <v>21</v>
      </c>
      <c r="U5004" s="1" t="s">
        <v>22</v>
      </c>
      <c r="V5004" s="1" t="s">
        <v>24</v>
      </c>
      <c r="W5004" s="1" t="s">
        <v>24</v>
      </c>
      <c r="X5004" s="1">
        <v>3003</v>
      </c>
      <c r="Y5004" s="1" t="s">
        <v>24</v>
      </c>
      <c r="Z5004" s="1" t="s">
        <v>24</v>
      </c>
      <c r="AA5004" s="1" t="s">
        <v>24</v>
      </c>
      <c r="AB5004" s="1" t="s">
        <v>24</v>
      </c>
      <c r="AC5004" s="1" t="s">
        <v>24</v>
      </c>
      <c r="AD5004" s="1" t="s">
        <v>24</v>
      </c>
      <c r="AE5004" s="1" t="s">
        <v>24</v>
      </c>
      <c r="AF5004" s="22"/>
    </row>
    <row r="5005" spans="1:32" x14ac:dyDescent="0.2">
      <c r="A5005" s="1">
        <v>45918</v>
      </c>
      <c r="B5005" s="1" t="s">
        <v>15120</v>
      </c>
      <c r="C5005" s="5" t="s">
        <v>0</v>
      </c>
      <c r="D5005" s="1" t="s">
        <v>15121</v>
      </c>
      <c r="E5005" s="1" t="s">
        <v>15122</v>
      </c>
      <c r="F5005" s="1" t="s">
        <v>13507</v>
      </c>
      <c r="G5005" s="1" t="s">
        <v>13508</v>
      </c>
      <c r="H5005" s="1" t="s">
        <v>135</v>
      </c>
      <c r="I5005" s="1" t="s">
        <v>16</v>
      </c>
      <c r="J5005" s="1">
        <v>1</v>
      </c>
      <c r="K5005" s="1">
        <v>6</v>
      </c>
      <c r="L5005" s="1" t="s">
        <v>42</v>
      </c>
      <c r="M5005" s="1" t="s">
        <v>1131</v>
      </c>
      <c r="N5005" s="1" t="s">
        <v>5887</v>
      </c>
      <c r="O5005" s="1">
        <v>2</v>
      </c>
      <c r="P5005" s="1">
        <v>6</v>
      </c>
      <c r="R5005" s="1" t="s">
        <v>19</v>
      </c>
      <c r="S5005" s="1" t="s">
        <v>20</v>
      </c>
      <c r="T5005" s="1" t="s">
        <v>21</v>
      </c>
      <c r="U5005" s="1" t="s">
        <v>22</v>
      </c>
      <c r="V5005" s="1" t="s">
        <v>24</v>
      </c>
      <c r="W5005" s="1" t="s">
        <v>24</v>
      </c>
      <c r="X5005" s="1">
        <v>2735</v>
      </c>
      <c r="Y5005" s="1" t="s">
        <v>24</v>
      </c>
      <c r="Z5005" s="1" t="s">
        <v>24</v>
      </c>
      <c r="AA5005" s="1" t="s">
        <v>24</v>
      </c>
      <c r="AB5005" s="1" t="s">
        <v>24</v>
      </c>
      <c r="AC5005" s="1" t="s">
        <v>24</v>
      </c>
      <c r="AD5005" s="1" t="s">
        <v>24</v>
      </c>
      <c r="AE5005" s="1" t="s">
        <v>24</v>
      </c>
      <c r="AF5005" s="22"/>
    </row>
    <row r="5006" spans="1:32" x14ac:dyDescent="0.2">
      <c r="A5006" s="1">
        <v>45919</v>
      </c>
      <c r="B5006" s="1" t="s">
        <v>15123</v>
      </c>
      <c r="C5006" s="5" t="s">
        <v>0</v>
      </c>
      <c r="D5006" s="1" t="s">
        <v>15124</v>
      </c>
      <c r="E5006" s="1" t="s">
        <v>15125</v>
      </c>
      <c r="F5006" s="1" t="s">
        <v>12374</v>
      </c>
      <c r="G5006" s="1" t="s">
        <v>12374</v>
      </c>
      <c r="H5006" s="1" t="s">
        <v>37</v>
      </c>
      <c r="I5006" s="1" t="s">
        <v>16</v>
      </c>
      <c r="J5006" s="1">
        <v>1</v>
      </c>
      <c r="K5006" s="1">
        <v>4</v>
      </c>
      <c r="L5006" s="1" t="s">
        <v>42</v>
      </c>
      <c r="M5006" s="1" t="s">
        <v>18</v>
      </c>
      <c r="N5006" s="1" t="s">
        <v>18</v>
      </c>
      <c r="O5006" s="1">
        <v>3</v>
      </c>
      <c r="P5006" s="1">
        <v>6</v>
      </c>
      <c r="R5006" s="1" t="s">
        <v>19</v>
      </c>
      <c r="S5006" s="1" t="s">
        <v>20</v>
      </c>
      <c r="T5006" s="1" t="s">
        <v>21</v>
      </c>
      <c r="U5006" s="1" t="s">
        <v>22</v>
      </c>
      <c r="V5006" s="1" t="s">
        <v>24</v>
      </c>
      <c r="W5006" s="1" t="s">
        <v>24</v>
      </c>
      <c r="X5006" s="1">
        <v>2705</v>
      </c>
      <c r="Y5006" s="1" t="s">
        <v>24</v>
      </c>
      <c r="Z5006" s="1" t="s">
        <v>24</v>
      </c>
      <c r="AA5006" s="1" t="s">
        <v>24</v>
      </c>
      <c r="AB5006" s="1" t="s">
        <v>24</v>
      </c>
      <c r="AC5006" s="1" t="s">
        <v>24</v>
      </c>
      <c r="AD5006" s="1" t="s">
        <v>24</v>
      </c>
      <c r="AE5006" s="1" t="s">
        <v>24</v>
      </c>
      <c r="AF5006" s="22"/>
    </row>
    <row r="5007" spans="1:32" x14ac:dyDescent="0.2">
      <c r="A5007" s="1">
        <v>45920</v>
      </c>
      <c r="B5007" s="1" t="s">
        <v>15126</v>
      </c>
      <c r="C5007" s="5" t="s">
        <v>0</v>
      </c>
      <c r="D5007" s="1" t="s">
        <v>15127</v>
      </c>
      <c r="E5007" s="1" t="s">
        <v>15128</v>
      </c>
      <c r="F5007" s="1" t="s">
        <v>15126</v>
      </c>
      <c r="G5007" s="1" t="s">
        <v>15126</v>
      </c>
      <c r="H5007" s="1" t="s">
        <v>731</v>
      </c>
      <c r="I5007" s="1" t="s">
        <v>16</v>
      </c>
      <c r="J5007" s="1">
        <v>1</v>
      </c>
      <c r="K5007" s="1">
        <v>12</v>
      </c>
      <c r="L5007" s="1" t="s">
        <v>42</v>
      </c>
      <c r="M5007" s="1" t="s">
        <v>18</v>
      </c>
      <c r="N5007" s="1" t="s">
        <v>18</v>
      </c>
      <c r="O5007" s="1">
        <v>3</v>
      </c>
      <c r="P5007" s="1">
        <v>6</v>
      </c>
      <c r="R5007" s="1" t="s">
        <v>19</v>
      </c>
      <c r="S5007" s="1" t="s">
        <v>20</v>
      </c>
      <c r="T5007" s="1" t="s">
        <v>21</v>
      </c>
      <c r="U5007" s="1" t="s">
        <v>22</v>
      </c>
      <c r="V5007" s="1" t="s">
        <v>24</v>
      </c>
      <c r="W5007" s="1" t="s">
        <v>24</v>
      </c>
      <c r="X5007" s="1">
        <v>2700</v>
      </c>
      <c r="Y5007" s="1" t="s">
        <v>24</v>
      </c>
      <c r="Z5007" s="1" t="s">
        <v>24</v>
      </c>
      <c r="AA5007" s="1" t="s">
        <v>24</v>
      </c>
      <c r="AB5007" s="1" t="s">
        <v>24</v>
      </c>
      <c r="AC5007" s="1" t="s">
        <v>24</v>
      </c>
      <c r="AD5007" s="1" t="s">
        <v>24</v>
      </c>
      <c r="AE5007" s="1" t="s">
        <v>24</v>
      </c>
      <c r="AF5007" s="22"/>
    </row>
    <row r="5008" spans="1:32" x14ac:dyDescent="0.2">
      <c r="A5008" s="1">
        <v>45921</v>
      </c>
      <c r="B5008" s="1" t="s">
        <v>15129</v>
      </c>
      <c r="C5008" s="5" t="s">
        <v>0</v>
      </c>
      <c r="D5008" s="1" t="s">
        <v>15130</v>
      </c>
      <c r="F5008" s="1" t="s">
        <v>4925</v>
      </c>
      <c r="G5008" s="1" t="s">
        <v>4925</v>
      </c>
      <c r="H5008" s="1" t="s">
        <v>30</v>
      </c>
      <c r="I5008" s="1" t="s">
        <v>16</v>
      </c>
      <c r="J5008" s="1">
        <v>1</v>
      </c>
      <c r="K5008" s="1">
        <v>12</v>
      </c>
      <c r="L5008" s="1" t="s">
        <v>42</v>
      </c>
      <c r="M5008" s="1" t="s">
        <v>18</v>
      </c>
      <c r="N5008" s="1" t="s">
        <v>18</v>
      </c>
      <c r="O5008" s="1">
        <v>3</v>
      </c>
      <c r="P5008" s="1">
        <v>6</v>
      </c>
      <c r="R5008" s="1" t="s">
        <v>19</v>
      </c>
      <c r="S5008" s="1" t="s">
        <v>20</v>
      </c>
      <c r="T5008" s="1" t="s">
        <v>21</v>
      </c>
      <c r="U5008" s="1" t="s">
        <v>22</v>
      </c>
      <c r="V5008" s="1" t="s">
        <v>24</v>
      </c>
      <c r="W5008" s="1" t="s">
        <v>24</v>
      </c>
      <c r="X5008" s="1">
        <v>2738</v>
      </c>
      <c r="Y5008" s="1" t="s">
        <v>24</v>
      </c>
      <c r="Z5008" s="1" t="s">
        <v>24</v>
      </c>
      <c r="AA5008" s="1" t="s">
        <v>24</v>
      </c>
      <c r="AB5008" s="1" t="s">
        <v>24</v>
      </c>
      <c r="AC5008" s="1" t="s">
        <v>24</v>
      </c>
      <c r="AD5008" s="1" t="s">
        <v>24</v>
      </c>
      <c r="AE5008" s="1" t="s">
        <v>24</v>
      </c>
      <c r="AF5008" s="22"/>
    </row>
    <row r="5009" spans="1:32" x14ac:dyDescent="0.2">
      <c r="A5009" s="1">
        <v>45922</v>
      </c>
      <c r="B5009" s="1" t="s">
        <v>15131</v>
      </c>
      <c r="C5009" s="5" t="s">
        <v>0</v>
      </c>
      <c r="D5009" s="1" t="s">
        <v>15132</v>
      </c>
      <c r="E5009" s="1" t="s">
        <v>15133</v>
      </c>
      <c r="F5009" s="1" t="s">
        <v>13507</v>
      </c>
      <c r="G5009" s="1" t="s">
        <v>13508</v>
      </c>
      <c r="H5009" s="1" t="s">
        <v>135</v>
      </c>
      <c r="I5009" s="1" t="s">
        <v>16</v>
      </c>
      <c r="J5009" s="1">
        <v>1</v>
      </c>
      <c r="K5009" s="1">
        <v>12</v>
      </c>
      <c r="L5009" s="1" t="s">
        <v>42</v>
      </c>
      <c r="M5009" s="1" t="s">
        <v>1131</v>
      </c>
      <c r="N5009" s="1" t="s">
        <v>5887</v>
      </c>
      <c r="O5009" s="1">
        <v>2</v>
      </c>
      <c r="P5009" s="1">
        <v>5</v>
      </c>
      <c r="R5009" s="1" t="s">
        <v>19</v>
      </c>
      <c r="S5009" s="1" t="s">
        <v>20</v>
      </c>
      <c r="T5009" s="1" t="s">
        <v>21</v>
      </c>
      <c r="U5009" s="1" t="s">
        <v>22</v>
      </c>
      <c r="V5009" s="1" t="s">
        <v>24</v>
      </c>
      <c r="W5009" s="1" t="s">
        <v>24</v>
      </c>
      <c r="X5009" s="1">
        <v>2724</v>
      </c>
      <c r="Y5009" s="1" t="s">
        <v>24</v>
      </c>
      <c r="Z5009" s="1" t="s">
        <v>24</v>
      </c>
      <c r="AA5009" s="1" t="s">
        <v>24</v>
      </c>
      <c r="AB5009" s="1" t="s">
        <v>24</v>
      </c>
      <c r="AC5009" s="1" t="s">
        <v>24</v>
      </c>
      <c r="AD5009" s="1" t="s">
        <v>24</v>
      </c>
      <c r="AE5009" s="1" t="s">
        <v>24</v>
      </c>
      <c r="AF5009" s="22"/>
    </row>
    <row r="5010" spans="1:32" x14ac:dyDescent="0.2">
      <c r="A5010" s="1">
        <v>45923</v>
      </c>
      <c r="B5010" s="1" t="s">
        <v>15134</v>
      </c>
      <c r="C5010" s="5" t="s">
        <v>0</v>
      </c>
      <c r="E5010" s="1" t="s">
        <v>15135</v>
      </c>
      <c r="F5010" s="1" t="s">
        <v>2299</v>
      </c>
      <c r="G5010" s="1" t="s">
        <v>2300</v>
      </c>
      <c r="H5010" s="1" t="s">
        <v>37</v>
      </c>
      <c r="I5010" s="1" t="s">
        <v>16</v>
      </c>
      <c r="J5010" s="1">
        <v>1</v>
      </c>
      <c r="K5010" s="1">
        <v>1</v>
      </c>
      <c r="L5010" s="1" t="s">
        <v>31</v>
      </c>
      <c r="M5010" s="1" t="s">
        <v>18</v>
      </c>
      <c r="N5010" s="1" t="s">
        <v>18</v>
      </c>
      <c r="O5010" s="1">
        <v>3</v>
      </c>
      <c r="P5010" s="1">
        <v>7</v>
      </c>
      <c r="Q5010" s="7" t="s">
        <v>17633</v>
      </c>
      <c r="R5010" s="1" t="s">
        <v>19</v>
      </c>
      <c r="S5010" s="1" t="s">
        <v>63</v>
      </c>
      <c r="T5010" s="1" t="s">
        <v>21</v>
      </c>
      <c r="U5010" s="1" t="s">
        <v>22</v>
      </c>
      <c r="V5010" s="1" t="s">
        <v>24</v>
      </c>
      <c r="W5010" s="1" t="s">
        <v>24</v>
      </c>
      <c r="X5010" s="1">
        <v>1301</v>
      </c>
      <c r="Y5010" s="1">
        <v>1313</v>
      </c>
      <c r="Z5010" s="1">
        <v>1307</v>
      </c>
      <c r="AA5010" s="1">
        <v>2701</v>
      </c>
      <c r="AB5010" s="1" t="s">
        <v>24</v>
      </c>
      <c r="AC5010" s="1" t="s">
        <v>24</v>
      </c>
      <c r="AD5010" s="1" t="s">
        <v>24</v>
      </c>
      <c r="AE5010" s="1" t="s">
        <v>24</v>
      </c>
      <c r="AF5010" s="22"/>
    </row>
    <row r="5011" spans="1:32" x14ac:dyDescent="0.2">
      <c r="A5011" s="1">
        <v>45924</v>
      </c>
      <c r="B5011" s="1" t="s">
        <v>15136</v>
      </c>
      <c r="C5011" s="5" t="s">
        <v>0</v>
      </c>
      <c r="D5011" s="1" t="s">
        <v>15137</v>
      </c>
      <c r="E5011" s="1" t="s">
        <v>15138</v>
      </c>
      <c r="F5011" s="1" t="s">
        <v>1412</v>
      </c>
      <c r="G5011" s="1" t="s">
        <v>1413</v>
      </c>
      <c r="H5011" s="1" t="s">
        <v>30</v>
      </c>
      <c r="I5011" s="1" t="s">
        <v>16</v>
      </c>
      <c r="J5011" s="1">
        <v>1</v>
      </c>
      <c r="K5011" s="1">
        <v>1</v>
      </c>
      <c r="L5011" s="1" t="s">
        <v>31</v>
      </c>
      <c r="M5011" s="1" t="s">
        <v>18</v>
      </c>
      <c r="N5011" s="1" t="s">
        <v>18</v>
      </c>
      <c r="O5011" s="1">
        <v>3</v>
      </c>
      <c r="P5011" s="1">
        <v>7</v>
      </c>
      <c r="Q5011" s="7" t="s">
        <v>17633</v>
      </c>
      <c r="R5011" s="1" t="s">
        <v>19</v>
      </c>
      <c r="S5011" s="1" t="s">
        <v>63</v>
      </c>
      <c r="T5011" s="1" t="s">
        <v>21</v>
      </c>
      <c r="U5011" s="1" t="s">
        <v>22</v>
      </c>
      <c r="V5011" s="1" t="s">
        <v>24</v>
      </c>
      <c r="W5011" s="1" t="s">
        <v>24</v>
      </c>
      <c r="X5011" s="1">
        <v>2725</v>
      </c>
      <c r="Y5011" s="1">
        <v>2405</v>
      </c>
      <c r="Z5011" s="1" t="s">
        <v>24</v>
      </c>
      <c r="AA5011" s="1" t="s">
        <v>24</v>
      </c>
      <c r="AB5011" s="1" t="s">
        <v>24</v>
      </c>
      <c r="AC5011" s="1" t="s">
        <v>24</v>
      </c>
      <c r="AD5011" s="1" t="s">
        <v>24</v>
      </c>
      <c r="AE5011" s="1" t="s">
        <v>24</v>
      </c>
      <c r="AF5011" s="22"/>
    </row>
    <row r="5012" spans="1:32" x14ac:dyDescent="0.2">
      <c r="A5012" s="1">
        <v>45925</v>
      </c>
      <c r="B5012" s="1" t="s">
        <v>15139</v>
      </c>
      <c r="C5012" s="5" t="s">
        <v>0</v>
      </c>
      <c r="D5012" s="1" t="s">
        <v>15140</v>
      </c>
      <c r="E5012" s="1" t="s">
        <v>15141</v>
      </c>
      <c r="F5012" s="1" t="s">
        <v>1412</v>
      </c>
      <c r="G5012" s="1" t="s">
        <v>1413</v>
      </c>
      <c r="H5012" s="1" t="s">
        <v>30</v>
      </c>
      <c r="I5012" s="1" t="s">
        <v>16</v>
      </c>
      <c r="J5012" s="1">
        <v>1</v>
      </c>
      <c r="K5012" s="1">
        <v>1</v>
      </c>
      <c r="L5012" s="1" t="s">
        <v>31</v>
      </c>
      <c r="M5012" s="1" t="s">
        <v>18</v>
      </c>
      <c r="N5012" s="1" t="s">
        <v>18</v>
      </c>
      <c r="O5012" s="1">
        <v>3</v>
      </c>
      <c r="P5012" s="1">
        <v>7</v>
      </c>
      <c r="Q5012" s="7" t="s">
        <v>17633</v>
      </c>
      <c r="R5012" s="1" t="s">
        <v>19</v>
      </c>
      <c r="S5012" s="1" t="s">
        <v>63</v>
      </c>
      <c r="T5012" s="1" t="s">
        <v>21</v>
      </c>
      <c r="U5012" s="1" t="s">
        <v>22</v>
      </c>
      <c r="V5012" s="1" t="s">
        <v>24</v>
      </c>
      <c r="W5012" s="1" t="s">
        <v>24</v>
      </c>
      <c r="X5012" s="1">
        <v>1605</v>
      </c>
      <c r="Y5012" s="1">
        <v>2720</v>
      </c>
      <c r="Z5012" s="1">
        <v>2724</v>
      </c>
      <c r="AA5012" s="1">
        <v>2712</v>
      </c>
      <c r="AB5012" s="1" t="s">
        <v>24</v>
      </c>
      <c r="AC5012" s="1" t="s">
        <v>24</v>
      </c>
      <c r="AD5012" s="1" t="s">
        <v>24</v>
      </c>
      <c r="AE5012" s="1" t="s">
        <v>24</v>
      </c>
      <c r="AF5012" s="22"/>
    </row>
    <row r="5013" spans="1:32" x14ac:dyDescent="0.2">
      <c r="A5013" s="1">
        <v>45926</v>
      </c>
      <c r="B5013" s="1" t="s">
        <v>15142</v>
      </c>
      <c r="C5013" s="5" t="s">
        <v>0</v>
      </c>
      <c r="D5013" s="1" t="s">
        <v>15143</v>
      </c>
      <c r="E5013" s="1" t="s">
        <v>15144</v>
      </c>
      <c r="F5013" s="1" t="s">
        <v>1412</v>
      </c>
      <c r="G5013" s="1" t="s">
        <v>1413</v>
      </c>
      <c r="H5013" s="1" t="s">
        <v>30</v>
      </c>
      <c r="I5013" s="1" t="s">
        <v>16</v>
      </c>
      <c r="J5013" s="1">
        <v>1</v>
      </c>
      <c r="K5013" s="1">
        <v>1</v>
      </c>
      <c r="L5013" s="1" t="s">
        <v>31</v>
      </c>
      <c r="M5013" s="1" t="s">
        <v>18</v>
      </c>
      <c r="N5013" s="1" t="s">
        <v>18</v>
      </c>
      <c r="O5013" s="1">
        <v>3</v>
      </c>
      <c r="P5013" s="1">
        <v>7</v>
      </c>
      <c r="Q5013" s="7" t="s">
        <v>17633</v>
      </c>
      <c r="R5013" s="1" t="s">
        <v>19</v>
      </c>
      <c r="S5013" s="1" t="s">
        <v>63</v>
      </c>
      <c r="T5013" s="1" t="s">
        <v>21</v>
      </c>
      <c r="U5013" s="1" t="s">
        <v>22</v>
      </c>
      <c r="V5013" s="1" t="s">
        <v>24</v>
      </c>
      <c r="W5013" s="1" t="s">
        <v>24</v>
      </c>
      <c r="X5013" s="1">
        <v>2807</v>
      </c>
      <c r="Y5013" s="1">
        <v>1310</v>
      </c>
      <c r="Z5013" s="1">
        <v>2712</v>
      </c>
      <c r="AA5013" s="1" t="s">
        <v>24</v>
      </c>
      <c r="AB5013" s="1" t="s">
        <v>24</v>
      </c>
      <c r="AC5013" s="1" t="s">
        <v>24</v>
      </c>
      <c r="AD5013" s="1" t="s">
        <v>24</v>
      </c>
      <c r="AE5013" s="1" t="s">
        <v>24</v>
      </c>
      <c r="AF5013" s="22"/>
    </row>
    <row r="5014" spans="1:32" x14ac:dyDescent="0.2">
      <c r="A5014" s="1">
        <v>45927</v>
      </c>
      <c r="B5014" s="1" t="s">
        <v>15145</v>
      </c>
      <c r="C5014" s="5" t="s">
        <v>0</v>
      </c>
      <c r="D5014" s="1" t="s">
        <v>15146</v>
      </c>
      <c r="E5014" s="1" t="s">
        <v>15147</v>
      </c>
      <c r="F5014" s="1" t="s">
        <v>1412</v>
      </c>
      <c r="G5014" s="1" t="s">
        <v>1413</v>
      </c>
      <c r="H5014" s="1" t="s">
        <v>30</v>
      </c>
      <c r="I5014" s="1" t="s">
        <v>16</v>
      </c>
      <c r="J5014" s="1">
        <v>1</v>
      </c>
      <c r="K5014" s="1">
        <v>1</v>
      </c>
      <c r="L5014" s="1" t="s">
        <v>31</v>
      </c>
      <c r="M5014" s="1" t="s">
        <v>18</v>
      </c>
      <c r="N5014" s="1" t="s">
        <v>18</v>
      </c>
      <c r="O5014" s="1">
        <v>3</v>
      </c>
      <c r="P5014" s="1">
        <v>7</v>
      </c>
      <c r="Q5014" s="7" t="s">
        <v>17633</v>
      </c>
      <c r="R5014" s="1" t="s">
        <v>19</v>
      </c>
      <c r="S5014" s="1" t="s">
        <v>63</v>
      </c>
      <c r="T5014" s="1" t="s">
        <v>21</v>
      </c>
      <c r="U5014" s="1" t="s">
        <v>22</v>
      </c>
      <c r="V5014" s="1" t="s">
        <v>24</v>
      </c>
      <c r="W5014" s="1" t="s">
        <v>24</v>
      </c>
      <c r="X5014" s="1">
        <v>2745</v>
      </c>
      <c r="Y5014" s="1">
        <v>2403</v>
      </c>
      <c r="Z5014" s="1" t="s">
        <v>24</v>
      </c>
      <c r="AA5014" s="1" t="s">
        <v>24</v>
      </c>
      <c r="AB5014" s="1" t="s">
        <v>24</v>
      </c>
      <c r="AC5014" s="1" t="s">
        <v>24</v>
      </c>
      <c r="AD5014" s="1" t="s">
        <v>24</v>
      </c>
      <c r="AE5014" s="1" t="s">
        <v>24</v>
      </c>
      <c r="AF5014" s="22"/>
    </row>
    <row r="5015" spans="1:32" x14ac:dyDescent="0.2">
      <c r="A5015" s="1">
        <v>45928</v>
      </c>
      <c r="B5015" s="1" t="s">
        <v>15148</v>
      </c>
      <c r="C5015" s="5" t="s">
        <v>0</v>
      </c>
      <c r="E5015" s="1" t="s">
        <v>15149</v>
      </c>
      <c r="F5015" s="1" t="s">
        <v>6405</v>
      </c>
      <c r="G5015" s="1" t="s">
        <v>6406</v>
      </c>
      <c r="H5015" s="1" t="s">
        <v>92</v>
      </c>
      <c r="I5015" s="1" t="s">
        <v>16</v>
      </c>
      <c r="J5015" s="1">
        <v>1</v>
      </c>
      <c r="K5015" s="1">
        <v>1</v>
      </c>
      <c r="L5015" s="1" t="s">
        <v>31</v>
      </c>
      <c r="M5015" s="1" t="s">
        <v>18</v>
      </c>
      <c r="N5015" s="1" t="s">
        <v>18</v>
      </c>
      <c r="O5015" s="1">
        <v>3</v>
      </c>
      <c r="P5015" s="1">
        <v>7</v>
      </c>
      <c r="Q5015" s="7" t="s">
        <v>17633</v>
      </c>
      <c r="R5015" s="1" t="s">
        <v>19</v>
      </c>
      <c r="S5015" s="1" t="s">
        <v>63</v>
      </c>
      <c r="T5015" s="1" t="s">
        <v>21</v>
      </c>
      <c r="U5015" s="1" t="s">
        <v>22</v>
      </c>
      <c r="V5015" s="1" t="s">
        <v>24</v>
      </c>
      <c r="W5015" s="1" t="s">
        <v>24</v>
      </c>
      <c r="X5015" s="1">
        <v>1300</v>
      </c>
      <c r="Y5015" s="1" t="s">
        <v>24</v>
      </c>
      <c r="Z5015" s="1" t="s">
        <v>24</v>
      </c>
      <c r="AA5015" s="1" t="s">
        <v>24</v>
      </c>
      <c r="AB5015" s="1" t="s">
        <v>24</v>
      </c>
      <c r="AC5015" s="1" t="s">
        <v>24</v>
      </c>
      <c r="AD5015" s="1" t="s">
        <v>24</v>
      </c>
      <c r="AE5015" s="1" t="s">
        <v>24</v>
      </c>
      <c r="AF5015" s="22"/>
    </row>
    <row r="5016" spans="1:32" x14ac:dyDescent="0.2">
      <c r="A5016" s="1">
        <v>45929</v>
      </c>
      <c r="B5016" s="1" t="s">
        <v>15150</v>
      </c>
      <c r="C5016" s="5" t="s">
        <v>0</v>
      </c>
      <c r="E5016" s="1" t="s">
        <v>15151</v>
      </c>
      <c r="F5016" s="1" t="s">
        <v>15152</v>
      </c>
      <c r="G5016" s="1" t="s">
        <v>15152</v>
      </c>
      <c r="H5016" s="1" t="s">
        <v>184</v>
      </c>
      <c r="I5016" s="1" t="s">
        <v>16</v>
      </c>
      <c r="J5016" s="1">
        <v>1</v>
      </c>
      <c r="K5016" s="1">
        <v>1</v>
      </c>
      <c r="L5016" s="1" t="s">
        <v>42</v>
      </c>
      <c r="M5016" s="1" t="s">
        <v>18</v>
      </c>
      <c r="N5016" s="1" t="s">
        <v>18</v>
      </c>
      <c r="O5016" s="1">
        <v>3</v>
      </c>
      <c r="P5016" s="1">
        <v>6</v>
      </c>
      <c r="R5016" s="1" t="s">
        <v>19</v>
      </c>
      <c r="S5016" s="1" t="s">
        <v>63</v>
      </c>
      <c r="T5016" s="1" t="s">
        <v>21</v>
      </c>
      <c r="U5016" s="1" t="s">
        <v>22</v>
      </c>
      <c r="V5016" s="1" t="s">
        <v>24</v>
      </c>
      <c r="W5016" s="1" t="s">
        <v>24</v>
      </c>
      <c r="X5016" s="1">
        <v>3613</v>
      </c>
      <c r="Y5016" s="1">
        <v>2724</v>
      </c>
      <c r="Z5016" s="1" t="s">
        <v>24</v>
      </c>
      <c r="AA5016" s="1" t="s">
        <v>24</v>
      </c>
      <c r="AB5016" s="1" t="s">
        <v>24</v>
      </c>
      <c r="AC5016" s="1" t="s">
        <v>24</v>
      </c>
      <c r="AD5016" s="1" t="s">
        <v>24</v>
      </c>
      <c r="AE5016" s="1" t="s">
        <v>24</v>
      </c>
      <c r="AF5016" s="22"/>
    </row>
    <row r="5017" spans="1:32" x14ac:dyDescent="0.2">
      <c r="A5017" s="1">
        <v>45930</v>
      </c>
      <c r="B5017" s="1" t="s">
        <v>15153</v>
      </c>
      <c r="C5017" s="5" t="s">
        <v>0</v>
      </c>
      <c r="E5017" s="1" t="s">
        <v>15154</v>
      </c>
      <c r="F5017" s="1" t="s">
        <v>13079</v>
      </c>
      <c r="G5017" s="1" t="s">
        <v>13079</v>
      </c>
      <c r="H5017" s="1" t="s">
        <v>30</v>
      </c>
      <c r="I5017" s="1" t="s">
        <v>16</v>
      </c>
      <c r="J5017" s="1">
        <v>1</v>
      </c>
      <c r="K5017" s="1">
        <v>4</v>
      </c>
      <c r="L5017" s="1" t="s">
        <v>42</v>
      </c>
      <c r="M5017" s="1" t="s">
        <v>18</v>
      </c>
      <c r="N5017" s="1" t="s">
        <v>18</v>
      </c>
      <c r="O5017" s="1">
        <v>3</v>
      </c>
      <c r="P5017" s="1">
        <v>6</v>
      </c>
      <c r="R5017" s="1" t="s">
        <v>19</v>
      </c>
      <c r="S5017" s="1" t="s">
        <v>20</v>
      </c>
      <c r="T5017" s="1" t="s">
        <v>21</v>
      </c>
      <c r="U5017" s="1" t="s">
        <v>22</v>
      </c>
      <c r="V5017" s="1" t="s">
        <v>24</v>
      </c>
      <c r="W5017" s="1" t="s">
        <v>24</v>
      </c>
      <c r="X5017" s="1">
        <v>1312</v>
      </c>
      <c r="Y5017" s="1">
        <v>1303</v>
      </c>
      <c r="Z5017" s="1" t="s">
        <v>24</v>
      </c>
      <c r="AA5017" s="1" t="s">
        <v>24</v>
      </c>
      <c r="AB5017" s="1" t="s">
        <v>24</v>
      </c>
      <c r="AC5017" s="1" t="s">
        <v>24</v>
      </c>
      <c r="AD5017" s="1" t="s">
        <v>24</v>
      </c>
      <c r="AE5017" s="1" t="s">
        <v>24</v>
      </c>
      <c r="AF5017" s="22"/>
    </row>
    <row r="5018" spans="1:32" x14ac:dyDescent="0.2">
      <c r="A5018" s="1">
        <v>45931</v>
      </c>
      <c r="B5018" s="1" t="s">
        <v>15155</v>
      </c>
      <c r="C5018" s="5" t="s">
        <v>0</v>
      </c>
      <c r="E5018" s="1" t="s">
        <v>15156</v>
      </c>
      <c r="F5018" s="1" t="s">
        <v>2299</v>
      </c>
      <c r="G5018" s="1" t="s">
        <v>2300</v>
      </c>
      <c r="H5018" s="1" t="s">
        <v>37</v>
      </c>
      <c r="I5018" s="1" t="s">
        <v>16</v>
      </c>
      <c r="J5018" s="1">
        <v>1</v>
      </c>
      <c r="K5018" s="1">
        <v>1</v>
      </c>
      <c r="L5018" s="1" t="s">
        <v>31</v>
      </c>
      <c r="M5018" s="1" t="s">
        <v>18</v>
      </c>
      <c r="N5018" s="1" t="s">
        <v>18</v>
      </c>
      <c r="O5018" s="1">
        <v>3</v>
      </c>
      <c r="P5018" s="1">
        <v>7</v>
      </c>
      <c r="Q5018" s="7" t="s">
        <v>17633</v>
      </c>
      <c r="R5018" s="1" t="s">
        <v>19</v>
      </c>
      <c r="S5018" s="1" t="s">
        <v>63</v>
      </c>
      <c r="T5018" s="1" t="s">
        <v>21</v>
      </c>
      <c r="U5018" s="1" t="s">
        <v>22</v>
      </c>
      <c r="V5018" s="1" t="s">
        <v>24</v>
      </c>
      <c r="W5018" s="1" t="s">
        <v>24</v>
      </c>
      <c r="X5018" s="1">
        <v>1311</v>
      </c>
      <c r="Y5018" s="1">
        <v>1312</v>
      </c>
      <c r="Z5018" s="1" t="s">
        <v>24</v>
      </c>
      <c r="AA5018" s="1" t="s">
        <v>24</v>
      </c>
      <c r="AB5018" s="1" t="s">
        <v>24</v>
      </c>
      <c r="AC5018" s="1" t="s">
        <v>24</v>
      </c>
      <c r="AD5018" s="1" t="s">
        <v>24</v>
      </c>
      <c r="AE5018" s="1" t="s">
        <v>24</v>
      </c>
      <c r="AF5018" s="22"/>
    </row>
    <row r="5019" spans="1:32" x14ac:dyDescent="0.2">
      <c r="A5019" s="1">
        <v>45932</v>
      </c>
      <c r="B5019" s="1" t="s">
        <v>15157</v>
      </c>
      <c r="C5019" s="5" t="s">
        <v>0</v>
      </c>
      <c r="E5019" s="1" t="s">
        <v>15158</v>
      </c>
      <c r="F5019" s="1" t="s">
        <v>2299</v>
      </c>
      <c r="G5019" s="1" t="s">
        <v>2300</v>
      </c>
      <c r="H5019" s="1" t="s">
        <v>37</v>
      </c>
      <c r="I5019" s="1" t="s">
        <v>16</v>
      </c>
      <c r="J5019" s="1">
        <v>1</v>
      </c>
      <c r="K5019" s="1">
        <v>1</v>
      </c>
      <c r="L5019" s="1" t="s">
        <v>31</v>
      </c>
      <c r="M5019" s="1" t="s">
        <v>18</v>
      </c>
      <c r="N5019" s="1" t="s">
        <v>18</v>
      </c>
      <c r="O5019" s="1">
        <v>3</v>
      </c>
      <c r="P5019" s="1">
        <v>7</v>
      </c>
      <c r="Q5019" s="7" t="s">
        <v>17633</v>
      </c>
      <c r="R5019" s="1" t="s">
        <v>19</v>
      </c>
      <c r="S5019" s="1" t="s">
        <v>63</v>
      </c>
      <c r="T5019" s="1" t="s">
        <v>21</v>
      </c>
      <c r="U5019" s="1" t="s">
        <v>22</v>
      </c>
      <c r="V5019" s="1" t="s">
        <v>24</v>
      </c>
      <c r="W5019" s="1" t="s">
        <v>24</v>
      </c>
      <c r="X5019" s="1">
        <v>2734</v>
      </c>
      <c r="Y5019" s="1">
        <v>1311</v>
      </c>
      <c r="Z5019" s="1">
        <v>1312</v>
      </c>
      <c r="AA5019" s="1" t="s">
        <v>24</v>
      </c>
      <c r="AB5019" s="1" t="s">
        <v>24</v>
      </c>
      <c r="AC5019" s="1" t="s">
        <v>24</v>
      </c>
      <c r="AD5019" s="1" t="s">
        <v>24</v>
      </c>
      <c r="AE5019" s="1" t="s">
        <v>24</v>
      </c>
      <c r="AF5019" s="22"/>
    </row>
    <row r="5020" spans="1:32" x14ac:dyDescent="0.2">
      <c r="A5020" s="1">
        <v>45933</v>
      </c>
      <c r="B5020" s="1" t="s">
        <v>15159</v>
      </c>
      <c r="C5020" s="5" t="s">
        <v>0</v>
      </c>
      <c r="E5020" s="1" t="s">
        <v>15160</v>
      </c>
      <c r="F5020" s="1" t="s">
        <v>2299</v>
      </c>
      <c r="G5020" s="1" t="s">
        <v>2300</v>
      </c>
      <c r="H5020" s="1" t="s">
        <v>37</v>
      </c>
      <c r="I5020" s="1" t="s">
        <v>16</v>
      </c>
      <c r="J5020" s="1">
        <v>1</v>
      </c>
      <c r="K5020" s="1">
        <v>1</v>
      </c>
      <c r="L5020" s="1" t="s">
        <v>31</v>
      </c>
      <c r="M5020" s="1" t="s">
        <v>18</v>
      </c>
      <c r="N5020" s="1" t="s">
        <v>18</v>
      </c>
      <c r="O5020" s="1">
        <v>3</v>
      </c>
      <c r="P5020" s="1">
        <v>7</v>
      </c>
      <c r="Q5020" s="7" t="s">
        <v>17633</v>
      </c>
      <c r="R5020" s="1" t="s">
        <v>19</v>
      </c>
      <c r="S5020" s="1" t="s">
        <v>63</v>
      </c>
      <c r="T5020" s="1" t="s">
        <v>21</v>
      </c>
      <c r="U5020" s="1" t="s">
        <v>22</v>
      </c>
      <c r="V5020" s="1" t="s">
        <v>24</v>
      </c>
      <c r="W5020" s="1" t="s">
        <v>24</v>
      </c>
      <c r="X5020" s="1">
        <v>1312</v>
      </c>
      <c r="Y5020" s="1">
        <v>1305</v>
      </c>
      <c r="Z5020" s="1" t="s">
        <v>24</v>
      </c>
      <c r="AA5020" s="1" t="s">
        <v>24</v>
      </c>
      <c r="AB5020" s="1" t="s">
        <v>24</v>
      </c>
      <c r="AC5020" s="1" t="s">
        <v>24</v>
      </c>
      <c r="AD5020" s="1" t="s">
        <v>24</v>
      </c>
      <c r="AE5020" s="1" t="s">
        <v>24</v>
      </c>
      <c r="AF5020" s="22"/>
    </row>
    <row r="5021" spans="1:32" x14ac:dyDescent="0.2">
      <c r="A5021" s="1">
        <v>45935</v>
      </c>
      <c r="B5021" s="1" t="s">
        <v>15161</v>
      </c>
      <c r="C5021" s="5" t="s">
        <v>0</v>
      </c>
      <c r="E5021" s="1" t="s">
        <v>15162</v>
      </c>
      <c r="F5021" s="1" t="s">
        <v>1412</v>
      </c>
      <c r="G5021" s="1" t="s">
        <v>1413</v>
      </c>
      <c r="H5021" s="1" t="s">
        <v>30</v>
      </c>
      <c r="I5021" s="1" t="s">
        <v>16</v>
      </c>
      <c r="J5021" s="1">
        <v>1</v>
      </c>
      <c r="K5021" s="1">
        <v>1</v>
      </c>
      <c r="L5021" s="1" t="s">
        <v>31</v>
      </c>
      <c r="M5021" s="1" t="s">
        <v>18</v>
      </c>
      <c r="N5021" s="1" t="s">
        <v>18</v>
      </c>
      <c r="O5021" s="1">
        <v>2</v>
      </c>
      <c r="P5021" s="1">
        <v>7</v>
      </c>
      <c r="Q5021" s="7" t="s">
        <v>17633</v>
      </c>
      <c r="R5021" s="1" t="s">
        <v>19</v>
      </c>
      <c r="S5021" s="1" t="s">
        <v>63</v>
      </c>
      <c r="T5021" s="1" t="s">
        <v>21</v>
      </c>
      <c r="U5021" s="1" t="s">
        <v>22</v>
      </c>
      <c r="V5021" s="1" t="s">
        <v>24</v>
      </c>
      <c r="W5021" s="1" t="s">
        <v>24</v>
      </c>
      <c r="X5021" s="1">
        <v>2705</v>
      </c>
      <c r="Y5021" s="1" t="s">
        <v>24</v>
      </c>
      <c r="Z5021" s="1" t="s">
        <v>24</v>
      </c>
      <c r="AA5021" s="1" t="s">
        <v>24</v>
      </c>
      <c r="AB5021" s="1" t="s">
        <v>24</v>
      </c>
      <c r="AC5021" s="1" t="s">
        <v>24</v>
      </c>
      <c r="AD5021" s="1" t="s">
        <v>24</v>
      </c>
      <c r="AE5021" s="1" t="s">
        <v>24</v>
      </c>
      <c r="AF5021" s="22"/>
    </row>
    <row r="5022" spans="1:32" x14ac:dyDescent="0.2">
      <c r="A5022" s="1">
        <v>45936</v>
      </c>
      <c r="B5022" s="1" t="s">
        <v>15163</v>
      </c>
      <c r="C5022" s="5" t="s">
        <v>0</v>
      </c>
      <c r="E5022" s="1" t="s">
        <v>15164</v>
      </c>
      <c r="F5022" s="1" t="s">
        <v>1412</v>
      </c>
      <c r="G5022" s="1" t="s">
        <v>1413</v>
      </c>
      <c r="H5022" s="1" t="s">
        <v>30</v>
      </c>
      <c r="I5022" s="1" t="s">
        <v>16</v>
      </c>
      <c r="J5022" s="1">
        <v>1</v>
      </c>
      <c r="K5022" s="1">
        <v>1</v>
      </c>
      <c r="L5022" s="1" t="s">
        <v>31</v>
      </c>
      <c r="M5022" s="1" t="s">
        <v>18</v>
      </c>
      <c r="N5022" s="1" t="s">
        <v>18</v>
      </c>
      <c r="O5022" s="1">
        <v>3</v>
      </c>
      <c r="P5022" s="1">
        <v>7</v>
      </c>
      <c r="Q5022" s="7" t="s">
        <v>17633</v>
      </c>
      <c r="R5022" s="1" t="s">
        <v>19</v>
      </c>
      <c r="S5022" s="1" t="s">
        <v>63</v>
      </c>
      <c r="T5022" s="1" t="s">
        <v>21</v>
      </c>
      <c r="U5022" s="1" t="s">
        <v>22</v>
      </c>
      <c r="V5022" s="1" t="s">
        <v>24</v>
      </c>
      <c r="W5022" s="1" t="s">
        <v>24</v>
      </c>
      <c r="X5022" s="1">
        <v>1307</v>
      </c>
      <c r="Y5022" s="1">
        <v>1312</v>
      </c>
      <c r="Z5022" s="1" t="s">
        <v>24</v>
      </c>
      <c r="AA5022" s="1" t="s">
        <v>24</v>
      </c>
      <c r="AB5022" s="1" t="s">
        <v>24</v>
      </c>
      <c r="AC5022" s="1" t="s">
        <v>24</v>
      </c>
      <c r="AD5022" s="1" t="s">
        <v>24</v>
      </c>
      <c r="AE5022" s="1" t="s">
        <v>24</v>
      </c>
      <c r="AF5022" s="22"/>
    </row>
    <row r="5023" spans="1:32" x14ac:dyDescent="0.2">
      <c r="A5023" s="1">
        <v>45937</v>
      </c>
      <c r="B5023" s="1" t="s">
        <v>15165</v>
      </c>
      <c r="C5023" s="5" t="s">
        <v>0</v>
      </c>
      <c r="E5023" s="1" t="s">
        <v>15166</v>
      </c>
      <c r="F5023" s="1" t="s">
        <v>11078</v>
      </c>
      <c r="G5023" s="1" t="s">
        <v>11079</v>
      </c>
      <c r="H5023" s="1" t="s">
        <v>3228</v>
      </c>
      <c r="I5023" s="1" t="s">
        <v>16</v>
      </c>
      <c r="J5023" s="1">
        <v>1</v>
      </c>
      <c r="K5023" s="1">
        <v>1</v>
      </c>
      <c r="L5023" s="1" t="s">
        <v>42</v>
      </c>
      <c r="M5023" s="1" t="s">
        <v>18</v>
      </c>
      <c r="N5023" s="1" t="s">
        <v>18</v>
      </c>
      <c r="O5023" s="1">
        <v>3</v>
      </c>
      <c r="P5023" s="1">
        <v>6</v>
      </c>
      <c r="R5023" s="1" t="s">
        <v>19</v>
      </c>
      <c r="S5023" s="1" t="s">
        <v>63</v>
      </c>
      <c r="T5023" s="1" t="s">
        <v>21</v>
      </c>
      <c r="U5023" s="1" t="s">
        <v>22</v>
      </c>
      <c r="V5023" s="1" t="s">
        <v>24</v>
      </c>
      <c r="W5023" s="1" t="s">
        <v>24</v>
      </c>
      <c r="X5023" s="1">
        <v>2747</v>
      </c>
      <c r="Y5023" s="1">
        <v>1804</v>
      </c>
      <c r="Z5023" s="1" t="s">
        <v>24</v>
      </c>
      <c r="AA5023" s="1" t="s">
        <v>24</v>
      </c>
      <c r="AB5023" s="1" t="s">
        <v>24</v>
      </c>
      <c r="AC5023" s="1" t="s">
        <v>24</v>
      </c>
      <c r="AD5023" s="1" t="s">
        <v>24</v>
      </c>
      <c r="AE5023" s="1" t="s">
        <v>24</v>
      </c>
      <c r="AF5023" s="22"/>
    </row>
    <row r="5024" spans="1:32" x14ac:dyDescent="0.2">
      <c r="A5024" s="1">
        <v>45938</v>
      </c>
      <c r="B5024" s="1" t="s">
        <v>15167</v>
      </c>
      <c r="C5024" s="5" t="s">
        <v>0</v>
      </c>
      <c r="D5024" s="1" t="s">
        <v>15168</v>
      </c>
      <c r="F5024" s="1" t="s">
        <v>15169</v>
      </c>
      <c r="G5024" s="1" t="s">
        <v>130</v>
      </c>
      <c r="H5024" s="1" t="s">
        <v>111</v>
      </c>
      <c r="I5024" s="1" t="s">
        <v>112</v>
      </c>
      <c r="J5024" s="1">
        <v>0</v>
      </c>
      <c r="K5024" s="1">
        <v>0</v>
      </c>
      <c r="L5024" s="1" t="s">
        <v>31</v>
      </c>
      <c r="M5024" s="1" t="s">
        <v>18</v>
      </c>
      <c r="N5024" s="1" t="s">
        <v>18</v>
      </c>
      <c r="O5024" s="1">
        <v>3</v>
      </c>
      <c r="P5024" s="1">
        <v>7</v>
      </c>
      <c r="Q5024" s="7" t="s">
        <v>17633</v>
      </c>
      <c r="R5024" s="1" t="s">
        <v>19</v>
      </c>
      <c r="S5024" s="1" t="s">
        <v>20</v>
      </c>
      <c r="T5024" s="1" t="s">
        <v>21</v>
      </c>
      <c r="U5024" s="1" t="s">
        <v>22</v>
      </c>
      <c r="V5024" s="1" t="s">
        <v>24</v>
      </c>
      <c r="W5024" s="1" t="s">
        <v>24</v>
      </c>
      <c r="X5024" s="1">
        <v>3001</v>
      </c>
      <c r="Y5024" s="1">
        <v>3002</v>
      </c>
      <c r="Z5024" s="1" t="s">
        <v>24</v>
      </c>
      <c r="AA5024" s="1" t="s">
        <v>24</v>
      </c>
      <c r="AB5024" s="1" t="s">
        <v>24</v>
      </c>
      <c r="AC5024" s="1" t="s">
        <v>24</v>
      </c>
      <c r="AD5024" s="1" t="s">
        <v>24</v>
      </c>
      <c r="AE5024" s="1" t="s">
        <v>24</v>
      </c>
      <c r="AF5024" s="22" t="s">
        <v>17679</v>
      </c>
    </row>
    <row r="5025" spans="1:32" x14ac:dyDescent="0.2">
      <c r="A5025" s="1">
        <v>45939</v>
      </c>
      <c r="B5025" s="1" t="s">
        <v>15170</v>
      </c>
      <c r="C5025" s="5" t="s">
        <v>0</v>
      </c>
      <c r="D5025" s="4"/>
      <c r="E5025" s="4"/>
      <c r="F5025" s="1" t="s">
        <v>15169</v>
      </c>
      <c r="G5025" s="1" t="s">
        <v>130</v>
      </c>
      <c r="H5025" s="1" t="s">
        <v>111</v>
      </c>
      <c r="I5025" s="1" t="s">
        <v>112</v>
      </c>
      <c r="J5025" s="1">
        <v>0</v>
      </c>
      <c r="K5025" s="1">
        <v>0</v>
      </c>
      <c r="L5025" s="1" t="s">
        <v>31</v>
      </c>
      <c r="M5025" s="1" t="s">
        <v>18</v>
      </c>
      <c r="N5025" s="1" t="s">
        <v>18</v>
      </c>
      <c r="O5025" s="1">
        <v>3</v>
      </c>
      <c r="P5025" s="1">
        <v>7</v>
      </c>
      <c r="Q5025" s="7" t="s">
        <v>17633</v>
      </c>
      <c r="R5025" s="1" t="s">
        <v>19</v>
      </c>
      <c r="S5025" s="1" t="s">
        <v>20</v>
      </c>
      <c r="T5025" s="1" t="s">
        <v>21</v>
      </c>
      <c r="U5025" s="1" t="s">
        <v>22</v>
      </c>
      <c r="V5025" s="1" t="s">
        <v>24</v>
      </c>
      <c r="W5025" s="1" t="s">
        <v>24</v>
      </c>
      <c r="X5025" s="1">
        <v>2725</v>
      </c>
      <c r="Y5025" s="1">
        <v>2404</v>
      </c>
      <c r="Z5025" s="1" t="s">
        <v>24</v>
      </c>
      <c r="AA5025" s="1" t="s">
        <v>24</v>
      </c>
      <c r="AB5025" s="1" t="s">
        <v>24</v>
      </c>
      <c r="AC5025" s="1" t="s">
        <v>24</v>
      </c>
      <c r="AD5025" s="1" t="s">
        <v>24</v>
      </c>
      <c r="AE5025" s="1" t="s">
        <v>24</v>
      </c>
      <c r="AF5025" s="22" t="s">
        <v>17662</v>
      </c>
    </row>
    <row r="5026" spans="1:32" x14ac:dyDescent="0.2">
      <c r="A5026" s="1">
        <v>45940</v>
      </c>
      <c r="B5026" s="1" t="s">
        <v>15171</v>
      </c>
      <c r="C5026" s="5" t="s">
        <v>0</v>
      </c>
      <c r="D5026" s="1" t="s">
        <v>15172</v>
      </c>
      <c r="F5026" s="1" t="s">
        <v>940</v>
      </c>
      <c r="G5026" s="1" t="s">
        <v>130</v>
      </c>
      <c r="H5026" s="1" t="s">
        <v>30</v>
      </c>
      <c r="I5026" s="1" t="s">
        <v>112</v>
      </c>
      <c r="J5026" s="1">
        <v>0</v>
      </c>
      <c r="K5026" s="1">
        <v>0</v>
      </c>
      <c r="L5026" s="1" t="s">
        <v>31</v>
      </c>
      <c r="M5026" s="1" t="s">
        <v>18</v>
      </c>
      <c r="N5026" s="1" t="s">
        <v>18</v>
      </c>
      <c r="O5026" s="1">
        <v>2</v>
      </c>
      <c r="P5026" s="1">
        <v>7</v>
      </c>
      <c r="Q5026" s="7" t="s">
        <v>17633</v>
      </c>
      <c r="R5026" s="1" t="s">
        <v>19</v>
      </c>
      <c r="S5026" s="1" t="s">
        <v>20</v>
      </c>
      <c r="T5026" s="1" t="s">
        <v>21</v>
      </c>
      <c r="U5026" s="1" t="s">
        <v>22</v>
      </c>
      <c r="V5026" s="1" t="s">
        <v>24</v>
      </c>
      <c r="W5026" s="1" t="s">
        <v>24</v>
      </c>
      <c r="X5026" s="1">
        <v>2728</v>
      </c>
      <c r="Y5026" s="1" t="s">
        <v>24</v>
      </c>
      <c r="Z5026" s="1" t="s">
        <v>24</v>
      </c>
      <c r="AA5026" s="1" t="s">
        <v>24</v>
      </c>
      <c r="AB5026" s="1" t="s">
        <v>24</v>
      </c>
      <c r="AC5026" s="1" t="s">
        <v>24</v>
      </c>
      <c r="AD5026" s="1" t="s">
        <v>24</v>
      </c>
      <c r="AE5026" s="1" t="s">
        <v>24</v>
      </c>
      <c r="AF5026" s="22"/>
    </row>
    <row r="5027" spans="1:32" x14ac:dyDescent="0.2">
      <c r="A5027" s="1">
        <v>45941</v>
      </c>
      <c r="B5027" s="1" t="s">
        <v>15173</v>
      </c>
      <c r="C5027" s="5" t="s">
        <v>0</v>
      </c>
      <c r="E5027" s="1" t="s">
        <v>15174</v>
      </c>
      <c r="F5027" s="1" t="s">
        <v>1949</v>
      </c>
      <c r="G5027" s="1" t="s">
        <v>1949</v>
      </c>
      <c r="H5027" s="1" t="s">
        <v>684</v>
      </c>
      <c r="I5027" s="1" t="s">
        <v>16</v>
      </c>
      <c r="J5027" s="1">
        <v>1</v>
      </c>
      <c r="K5027" s="1">
        <v>2</v>
      </c>
      <c r="L5027" s="1" t="s">
        <v>42</v>
      </c>
      <c r="M5027" s="1" t="s">
        <v>18</v>
      </c>
      <c r="N5027" s="1" t="s">
        <v>18</v>
      </c>
      <c r="O5027" s="1">
        <v>3</v>
      </c>
      <c r="P5027" s="1">
        <v>6</v>
      </c>
      <c r="R5027" s="1" t="s">
        <v>19</v>
      </c>
      <c r="S5027" s="1" t="s">
        <v>20</v>
      </c>
      <c r="T5027" s="1" t="s">
        <v>21</v>
      </c>
      <c r="U5027" s="1" t="s">
        <v>22</v>
      </c>
      <c r="V5027" s="1" t="s">
        <v>24</v>
      </c>
      <c r="W5027" s="1" t="s">
        <v>24</v>
      </c>
      <c r="X5027" s="1">
        <v>2725</v>
      </c>
      <c r="Y5027" s="1" t="s">
        <v>24</v>
      </c>
      <c r="Z5027" s="1" t="s">
        <v>24</v>
      </c>
      <c r="AA5027" s="1" t="s">
        <v>24</v>
      </c>
      <c r="AB5027" s="1" t="s">
        <v>24</v>
      </c>
      <c r="AC5027" s="1" t="s">
        <v>24</v>
      </c>
      <c r="AD5027" s="1" t="s">
        <v>24</v>
      </c>
      <c r="AE5027" s="1" t="s">
        <v>24</v>
      </c>
      <c r="AF5027" s="22"/>
    </row>
    <row r="5028" spans="1:32" x14ac:dyDescent="0.2">
      <c r="A5028" s="1">
        <v>45942</v>
      </c>
      <c r="B5028" s="1" t="s">
        <v>15175</v>
      </c>
      <c r="C5028" s="5" t="s">
        <v>0</v>
      </c>
      <c r="E5028" s="1" t="s">
        <v>15176</v>
      </c>
      <c r="F5028" s="1" t="s">
        <v>1949</v>
      </c>
      <c r="G5028" s="1" t="s">
        <v>1949</v>
      </c>
      <c r="H5028" s="1" t="s">
        <v>684</v>
      </c>
      <c r="I5028" s="1" t="s">
        <v>16</v>
      </c>
      <c r="J5028" s="1">
        <v>1</v>
      </c>
      <c r="K5028" s="1">
        <v>1</v>
      </c>
      <c r="L5028" s="1" t="s">
        <v>42</v>
      </c>
      <c r="M5028" s="1" t="s">
        <v>18</v>
      </c>
      <c r="N5028" s="1" t="s">
        <v>18</v>
      </c>
      <c r="O5028" s="1">
        <v>3</v>
      </c>
      <c r="P5028" s="1">
        <v>6</v>
      </c>
      <c r="R5028" s="1" t="s">
        <v>19</v>
      </c>
      <c r="S5028" s="1" t="s">
        <v>63</v>
      </c>
      <c r="T5028" s="1" t="s">
        <v>21</v>
      </c>
      <c r="U5028" s="1" t="s">
        <v>22</v>
      </c>
      <c r="V5028" s="1" t="s">
        <v>24</v>
      </c>
      <c r="W5028" s="1" t="s">
        <v>24</v>
      </c>
      <c r="X5028" s="1">
        <v>2715</v>
      </c>
      <c r="Y5028" s="1">
        <v>2721</v>
      </c>
      <c r="Z5028" s="1" t="s">
        <v>24</v>
      </c>
      <c r="AA5028" s="1" t="s">
        <v>24</v>
      </c>
      <c r="AB5028" s="1" t="s">
        <v>24</v>
      </c>
      <c r="AC5028" s="1" t="s">
        <v>24</v>
      </c>
      <c r="AD5028" s="1" t="s">
        <v>24</v>
      </c>
      <c r="AE5028" s="1" t="s">
        <v>24</v>
      </c>
      <c r="AF5028" s="22"/>
    </row>
    <row r="5029" spans="1:32" x14ac:dyDescent="0.2">
      <c r="A5029" s="1">
        <v>45943</v>
      </c>
      <c r="B5029" s="1" t="s">
        <v>15177</v>
      </c>
      <c r="C5029" s="5" t="s">
        <v>0</v>
      </c>
      <c r="E5029" s="1" t="s">
        <v>15178</v>
      </c>
      <c r="F5029" s="1" t="s">
        <v>1949</v>
      </c>
      <c r="G5029" s="1" t="s">
        <v>1949</v>
      </c>
      <c r="H5029" s="1" t="s">
        <v>684</v>
      </c>
      <c r="I5029" s="1" t="s">
        <v>16</v>
      </c>
      <c r="J5029" s="1">
        <v>0</v>
      </c>
      <c r="K5029" s="1">
        <v>0</v>
      </c>
      <c r="L5029" s="1" t="s">
        <v>42</v>
      </c>
      <c r="M5029" s="1" t="s">
        <v>18</v>
      </c>
      <c r="N5029" s="1" t="s">
        <v>18</v>
      </c>
      <c r="O5029" s="1">
        <v>3</v>
      </c>
      <c r="P5029" s="1">
        <v>6</v>
      </c>
      <c r="R5029" s="1" t="s">
        <v>19</v>
      </c>
      <c r="S5029" s="1" t="s">
        <v>20</v>
      </c>
      <c r="T5029" s="1" t="s">
        <v>21</v>
      </c>
      <c r="U5029" s="1" t="s">
        <v>22</v>
      </c>
      <c r="V5029" s="1" t="s">
        <v>24</v>
      </c>
      <c r="W5029" s="1" t="s">
        <v>24</v>
      </c>
      <c r="X5029" s="1">
        <v>2919</v>
      </c>
      <c r="Y5029" s="1" t="s">
        <v>24</v>
      </c>
      <c r="Z5029" s="1" t="s">
        <v>24</v>
      </c>
      <c r="AA5029" s="1" t="s">
        <v>24</v>
      </c>
      <c r="AB5029" s="1" t="s">
        <v>24</v>
      </c>
      <c r="AC5029" s="1" t="s">
        <v>24</v>
      </c>
      <c r="AD5029" s="1" t="s">
        <v>24</v>
      </c>
      <c r="AE5029" s="1" t="s">
        <v>24</v>
      </c>
      <c r="AF5029" s="22"/>
    </row>
    <row r="5030" spans="1:32" x14ac:dyDescent="0.2">
      <c r="A5030" s="1">
        <v>45944</v>
      </c>
      <c r="B5030" s="1" t="s">
        <v>15179</v>
      </c>
      <c r="C5030" s="5" t="s">
        <v>0</v>
      </c>
      <c r="E5030" s="1" t="s">
        <v>15180</v>
      </c>
      <c r="F5030" s="1" t="s">
        <v>1949</v>
      </c>
      <c r="G5030" s="1" t="s">
        <v>1949</v>
      </c>
      <c r="H5030" s="1" t="s">
        <v>684</v>
      </c>
      <c r="I5030" s="1" t="s">
        <v>16</v>
      </c>
      <c r="J5030" s="1">
        <v>1</v>
      </c>
      <c r="K5030" s="1">
        <v>1</v>
      </c>
      <c r="L5030" s="1" t="s">
        <v>42</v>
      </c>
      <c r="M5030" s="1" t="s">
        <v>18</v>
      </c>
      <c r="N5030" s="1" t="s">
        <v>18</v>
      </c>
      <c r="O5030" s="1">
        <v>2</v>
      </c>
      <c r="P5030" s="1">
        <v>6</v>
      </c>
      <c r="R5030" s="1" t="s">
        <v>19</v>
      </c>
      <c r="S5030" s="1" t="s">
        <v>20</v>
      </c>
      <c r="T5030" s="1" t="s">
        <v>21</v>
      </c>
      <c r="U5030" s="1" t="s">
        <v>22</v>
      </c>
      <c r="V5030" s="1" t="s">
        <v>24</v>
      </c>
      <c r="W5030" s="1" t="s">
        <v>24</v>
      </c>
      <c r="X5030" s="1">
        <v>1303</v>
      </c>
      <c r="Y5030" s="1" t="s">
        <v>24</v>
      </c>
      <c r="Z5030" s="1" t="s">
        <v>24</v>
      </c>
      <c r="AA5030" s="1" t="s">
        <v>24</v>
      </c>
      <c r="AB5030" s="1" t="s">
        <v>24</v>
      </c>
      <c r="AC5030" s="1" t="s">
        <v>24</v>
      </c>
      <c r="AD5030" s="1" t="s">
        <v>24</v>
      </c>
      <c r="AE5030" s="1" t="s">
        <v>24</v>
      </c>
      <c r="AF5030" s="22"/>
    </row>
    <row r="5031" spans="1:32" x14ac:dyDescent="0.2">
      <c r="A5031" s="1">
        <v>45945</v>
      </c>
      <c r="B5031" s="1" t="s">
        <v>15181</v>
      </c>
      <c r="C5031" s="5" t="s">
        <v>0</v>
      </c>
      <c r="D5031" s="1" t="s">
        <v>15182</v>
      </c>
      <c r="F5031" s="1" t="s">
        <v>11924</v>
      </c>
      <c r="G5031" s="1" t="s">
        <v>11924</v>
      </c>
      <c r="H5031" s="1" t="s">
        <v>30</v>
      </c>
      <c r="I5031" s="1" t="s">
        <v>16</v>
      </c>
      <c r="J5031" s="1">
        <v>1</v>
      </c>
      <c r="K5031" s="1">
        <v>1</v>
      </c>
      <c r="L5031" s="1" t="s">
        <v>42</v>
      </c>
      <c r="M5031" s="1" t="s">
        <v>18</v>
      </c>
      <c r="N5031" s="1" t="s">
        <v>18</v>
      </c>
      <c r="O5031" s="1">
        <v>3</v>
      </c>
      <c r="P5031" s="1">
        <v>6</v>
      </c>
      <c r="R5031" s="1" t="s">
        <v>19</v>
      </c>
      <c r="S5031" s="1" t="s">
        <v>20</v>
      </c>
      <c r="T5031" s="1" t="s">
        <v>21</v>
      </c>
      <c r="U5031" s="1" t="s">
        <v>22</v>
      </c>
      <c r="V5031" s="1" t="s">
        <v>24</v>
      </c>
      <c r="W5031" s="1" t="s">
        <v>24</v>
      </c>
      <c r="X5031" s="1">
        <v>2728</v>
      </c>
      <c r="Y5031" s="1">
        <v>2804</v>
      </c>
      <c r="Z5031" s="1">
        <v>2806</v>
      </c>
      <c r="AA5031" s="1" t="s">
        <v>24</v>
      </c>
      <c r="AB5031" s="1" t="s">
        <v>24</v>
      </c>
      <c r="AC5031" s="1" t="s">
        <v>24</v>
      </c>
      <c r="AD5031" s="1" t="s">
        <v>24</v>
      </c>
      <c r="AE5031" s="1" t="s">
        <v>24</v>
      </c>
      <c r="AF5031" s="22"/>
    </row>
    <row r="5032" spans="1:32" x14ac:dyDescent="0.2">
      <c r="A5032" s="1">
        <v>45946</v>
      </c>
      <c r="B5032" s="1" t="s">
        <v>15183</v>
      </c>
      <c r="C5032" s="5" t="s">
        <v>0</v>
      </c>
      <c r="D5032" s="1" t="s">
        <v>15184</v>
      </c>
      <c r="E5032" s="1" t="s">
        <v>15185</v>
      </c>
      <c r="F5032" s="1" t="s">
        <v>15183</v>
      </c>
      <c r="G5032" s="1" t="s">
        <v>15186</v>
      </c>
      <c r="H5032" s="1" t="s">
        <v>899</v>
      </c>
      <c r="I5032" s="1" t="s">
        <v>16</v>
      </c>
      <c r="J5032" s="1">
        <v>1</v>
      </c>
      <c r="K5032" s="1">
        <v>12</v>
      </c>
      <c r="L5032" s="1" t="s">
        <v>31</v>
      </c>
      <c r="M5032" s="1" t="s">
        <v>18</v>
      </c>
      <c r="N5032" s="1" t="s">
        <v>18</v>
      </c>
      <c r="O5032" s="1">
        <v>3</v>
      </c>
      <c r="P5032" s="1">
        <v>6</v>
      </c>
      <c r="R5032" s="1" t="s">
        <v>19</v>
      </c>
      <c r="S5032" s="1" t="s">
        <v>20</v>
      </c>
      <c r="T5032" s="1" t="s">
        <v>21</v>
      </c>
      <c r="U5032" s="1" t="s">
        <v>22</v>
      </c>
      <c r="V5032" s="1" t="s">
        <v>24</v>
      </c>
      <c r="W5032" s="1" t="s">
        <v>24</v>
      </c>
      <c r="X5032" s="1">
        <v>2736</v>
      </c>
      <c r="Y5032" s="1">
        <v>3001</v>
      </c>
      <c r="Z5032" s="1" t="s">
        <v>24</v>
      </c>
      <c r="AA5032" s="1" t="s">
        <v>24</v>
      </c>
      <c r="AB5032" s="1" t="s">
        <v>24</v>
      </c>
      <c r="AC5032" s="1" t="s">
        <v>24</v>
      </c>
      <c r="AD5032" s="1" t="s">
        <v>24</v>
      </c>
      <c r="AE5032" s="1" t="s">
        <v>24</v>
      </c>
      <c r="AF5032" s="22"/>
    </row>
    <row r="5033" spans="1:32" x14ac:dyDescent="0.2">
      <c r="A5033" s="1">
        <v>45947</v>
      </c>
      <c r="B5033" s="1" t="s">
        <v>15187</v>
      </c>
      <c r="C5033" s="5" t="s">
        <v>0</v>
      </c>
      <c r="D5033" s="1" t="s">
        <v>15188</v>
      </c>
      <c r="E5033" s="1" t="s">
        <v>15189</v>
      </c>
      <c r="F5033" s="1" t="s">
        <v>6914</v>
      </c>
      <c r="G5033" s="1" t="s">
        <v>6915</v>
      </c>
      <c r="H5033" s="1" t="s">
        <v>37</v>
      </c>
      <c r="I5033" s="1" t="s">
        <v>16</v>
      </c>
      <c r="J5033" s="1">
        <v>1</v>
      </c>
      <c r="K5033" s="1">
        <v>12</v>
      </c>
      <c r="L5033" s="1" t="s">
        <v>31</v>
      </c>
      <c r="M5033" s="1" t="s">
        <v>18</v>
      </c>
      <c r="N5033" s="1" t="s">
        <v>18</v>
      </c>
      <c r="O5033" s="1">
        <v>2</v>
      </c>
      <c r="P5033" s="1">
        <v>7</v>
      </c>
      <c r="Q5033" s="7" t="s">
        <v>17633</v>
      </c>
      <c r="R5033" s="1" t="s">
        <v>19</v>
      </c>
      <c r="S5033" s="1" t="s">
        <v>20</v>
      </c>
      <c r="T5033" s="1" t="s">
        <v>21</v>
      </c>
      <c r="U5033" s="1" t="s">
        <v>22</v>
      </c>
      <c r="V5033" s="1" t="s">
        <v>24</v>
      </c>
      <c r="W5033" s="1" t="s">
        <v>64</v>
      </c>
      <c r="X5033" s="1">
        <v>1303</v>
      </c>
      <c r="Y5033" s="1">
        <v>3003</v>
      </c>
      <c r="Z5033" s="1" t="s">
        <v>24</v>
      </c>
      <c r="AA5033" s="1" t="s">
        <v>24</v>
      </c>
      <c r="AB5033" s="1" t="s">
        <v>24</v>
      </c>
      <c r="AC5033" s="1" t="s">
        <v>24</v>
      </c>
      <c r="AD5033" s="1" t="s">
        <v>24</v>
      </c>
      <c r="AE5033" s="1" t="s">
        <v>24</v>
      </c>
      <c r="AF5033" s="22"/>
    </row>
    <row r="5034" spans="1:32" x14ac:dyDescent="0.2">
      <c r="A5034" s="1">
        <v>45948</v>
      </c>
      <c r="B5034" s="1" t="s">
        <v>15190</v>
      </c>
      <c r="C5034" s="5" t="s">
        <v>0</v>
      </c>
      <c r="D5034" s="1" t="s">
        <v>15191</v>
      </c>
      <c r="E5034" s="1" t="s">
        <v>15192</v>
      </c>
      <c r="F5034" s="1" t="s">
        <v>493</v>
      </c>
      <c r="G5034" s="1" t="s">
        <v>98</v>
      </c>
      <c r="H5034" s="1" t="s">
        <v>30</v>
      </c>
      <c r="I5034" s="1" t="s">
        <v>16</v>
      </c>
      <c r="J5034" s="1">
        <v>1</v>
      </c>
      <c r="K5034" s="1">
        <v>12</v>
      </c>
      <c r="L5034" s="1" t="s">
        <v>31</v>
      </c>
      <c r="M5034" s="1" t="s">
        <v>18</v>
      </c>
      <c r="N5034" s="1" t="s">
        <v>18</v>
      </c>
      <c r="O5034" s="1">
        <v>3</v>
      </c>
      <c r="P5034" s="1">
        <v>7</v>
      </c>
      <c r="Q5034" s="7" t="s">
        <v>17633</v>
      </c>
      <c r="R5034" s="1" t="s">
        <v>19</v>
      </c>
      <c r="S5034" s="1" t="s">
        <v>20</v>
      </c>
      <c r="T5034" s="1" t="s">
        <v>21</v>
      </c>
      <c r="U5034" s="1" t="s">
        <v>22</v>
      </c>
      <c r="V5034" s="1" t="s">
        <v>24</v>
      </c>
      <c r="W5034" s="1" t="s">
        <v>24</v>
      </c>
      <c r="X5034" s="1">
        <v>1306</v>
      </c>
      <c r="Y5034" s="1">
        <v>1311</v>
      </c>
      <c r="Z5034" s="1" t="s">
        <v>24</v>
      </c>
      <c r="AA5034" s="1" t="s">
        <v>24</v>
      </c>
      <c r="AB5034" s="1" t="s">
        <v>24</v>
      </c>
      <c r="AC5034" s="1" t="s">
        <v>24</v>
      </c>
      <c r="AD5034" s="1" t="s">
        <v>24</v>
      </c>
      <c r="AE5034" s="1" t="s">
        <v>24</v>
      </c>
      <c r="AF5034" s="22"/>
    </row>
    <row r="5035" spans="1:32" x14ac:dyDescent="0.2">
      <c r="A5035" s="1">
        <v>45949</v>
      </c>
      <c r="B5035" s="1" t="s">
        <v>15193</v>
      </c>
      <c r="C5035" s="5" t="s">
        <v>0</v>
      </c>
      <c r="D5035" s="1" t="s">
        <v>15194</v>
      </c>
      <c r="F5035" s="1" t="s">
        <v>4152</v>
      </c>
      <c r="G5035" s="1" t="s">
        <v>4152</v>
      </c>
      <c r="H5035" s="1" t="s">
        <v>111</v>
      </c>
      <c r="I5035" s="1" t="s">
        <v>16</v>
      </c>
      <c r="J5035" s="1">
        <v>1</v>
      </c>
      <c r="K5035" s="1">
        <v>12</v>
      </c>
      <c r="L5035" s="1" t="s">
        <v>42</v>
      </c>
      <c r="M5035" s="1" t="s">
        <v>18</v>
      </c>
      <c r="N5035" s="1" t="s">
        <v>18</v>
      </c>
      <c r="O5035" s="1">
        <v>3</v>
      </c>
      <c r="P5035" s="1">
        <v>6</v>
      </c>
      <c r="R5035" s="1" t="s">
        <v>19</v>
      </c>
      <c r="S5035" s="1" t="s">
        <v>63</v>
      </c>
      <c r="T5035" s="1" t="s">
        <v>21</v>
      </c>
      <c r="U5035" s="1" t="s">
        <v>22</v>
      </c>
      <c r="V5035" s="1" t="s">
        <v>24</v>
      </c>
      <c r="W5035" s="1" t="s">
        <v>24</v>
      </c>
      <c r="X5035" s="1">
        <v>2725</v>
      </c>
      <c r="Y5035" s="1">
        <v>2406</v>
      </c>
      <c r="Z5035" s="1" t="s">
        <v>24</v>
      </c>
      <c r="AA5035" s="1" t="s">
        <v>24</v>
      </c>
      <c r="AB5035" s="1" t="s">
        <v>24</v>
      </c>
      <c r="AC5035" s="1" t="s">
        <v>24</v>
      </c>
      <c r="AD5035" s="1" t="s">
        <v>24</v>
      </c>
      <c r="AE5035" s="1" t="s">
        <v>24</v>
      </c>
      <c r="AF5035" s="22"/>
    </row>
    <row r="5036" spans="1:32" x14ac:dyDescent="0.2">
      <c r="A5036" s="1">
        <v>45950</v>
      </c>
      <c r="B5036" s="1" t="s">
        <v>15195</v>
      </c>
      <c r="C5036" s="5" t="s">
        <v>0</v>
      </c>
      <c r="D5036" s="1" t="s">
        <v>15196</v>
      </c>
      <c r="F5036" s="1" t="s">
        <v>4152</v>
      </c>
      <c r="G5036" s="1" t="s">
        <v>4152</v>
      </c>
      <c r="H5036" s="1" t="s">
        <v>111</v>
      </c>
      <c r="I5036" s="1" t="s">
        <v>16</v>
      </c>
      <c r="J5036" s="1">
        <v>1</v>
      </c>
      <c r="K5036" s="1">
        <v>12</v>
      </c>
      <c r="L5036" s="1" t="s">
        <v>42</v>
      </c>
      <c r="M5036" s="1" t="s">
        <v>18</v>
      </c>
      <c r="N5036" s="1" t="s">
        <v>18</v>
      </c>
      <c r="O5036" s="1">
        <v>3</v>
      </c>
      <c r="P5036" s="1">
        <v>6</v>
      </c>
      <c r="R5036" s="1" t="s">
        <v>19</v>
      </c>
      <c r="S5036" s="1" t="s">
        <v>63</v>
      </c>
      <c r="T5036" s="1" t="s">
        <v>21</v>
      </c>
      <c r="U5036" s="1" t="s">
        <v>22</v>
      </c>
      <c r="V5036" s="1" t="s">
        <v>24</v>
      </c>
      <c r="W5036" s="1" t="s">
        <v>24</v>
      </c>
      <c r="X5036" s="1">
        <v>1106</v>
      </c>
      <c r="Y5036" s="1" t="s">
        <v>24</v>
      </c>
      <c r="Z5036" s="1" t="s">
        <v>24</v>
      </c>
      <c r="AA5036" s="1" t="s">
        <v>24</v>
      </c>
      <c r="AB5036" s="1" t="s">
        <v>24</v>
      </c>
      <c r="AC5036" s="1" t="s">
        <v>24</v>
      </c>
      <c r="AD5036" s="1" t="s">
        <v>24</v>
      </c>
      <c r="AE5036" s="1" t="s">
        <v>24</v>
      </c>
      <c r="AF5036" s="22" t="s">
        <v>17678</v>
      </c>
    </row>
    <row r="5037" spans="1:32" x14ac:dyDescent="0.2">
      <c r="A5037" s="1">
        <v>45951</v>
      </c>
      <c r="B5037" s="1" t="s">
        <v>15197</v>
      </c>
      <c r="C5037" s="5" t="s">
        <v>0</v>
      </c>
      <c r="D5037" s="1" t="s">
        <v>15198</v>
      </c>
      <c r="F5037" s="1" t="s">
        <v>4152</v>
      </c>
      <c r="G5037" s="1" t="s">
        <v>4152</v>
      </c>
      <c r="H5037" s="1" t="s">
        <v>111</v>
      </c>
      <c r="I5037" s="1" t="s">
        <v>16</v>
      </c>
      <c r="J5037" s="1">
        <v>1</v>
      </c>
      <c r="K5037" s="1">
        <v>12</v>
      </c>
      <c r="L5037" s="1" t="s">
        <v>42</v>
      </c>
      <c r="M5037" s="1" t="s">
        <v>18</v>
      </c>
      <c r="N5037" s="1" t="s">
        <v>18</v>
      </c>
      <c r="O5037" s="1">
        <v>3</v>
      </c>
      <c r="P5037" s="1">
        <v>6</v>
      </c>
      <c r="R5037" s="1" t="s">
        <v>19</v>
      </c>
      <c r="S5037" s="1" t="s">
        <v>20</v>
      </c>
      <c r="T5037" s="1" t="s">
        <v>21</v>
      </c>
      <c r="U5037" s="1" t="s">
        <v>22</v>
      </c>
      <c r="V5037" s="1" t="s">
        <v>24</v>
      </c>
      <c r="W5037" s="1" t="s">
        <v>24</v>
      </c>
      <c r="X5037" s="1">
        <v>3005</v>
      </c>
      <c r="Y5037" s="1">
        <v>2307</v>
      </c>
      <c r="Z5037" s="1" t="s">
        <v>24</v>
      </c>
      <c r="AA5037" s="1" t="s">
        <v>24</v>
      </c>
      <c r="AB5037" s="1" t="s">
        <v>24</v>
      </c>
      <c r="AC5037" s="1" t="s">
        <v>24</v>
      </c>
      <c r="AD5037" s="1" t="s">
        <v>24</v>
      </c>
      <c r="AE5037" s="1" t="s">
        <v>24</v>
      </c>
      <c r="AF5037" s="22" t="s">
        <v>17678</v>
      </c>
    </row>
    <row r="5038" spans="1:32" x14ac:dyDescent="0.2">
      <c r="A5038" s="1">
        <v>45952</v>
      </c>
      <c r="B5038" s="1" t="s">
        <v>15199</v>
      </c>
      <c r="C5038" s="5" t="s">
        <v>0</v>
      </c>
      <c r="D5038" s="1" t="s">
        <v>15200</v>
      </c>
      <c r="E5038" s="1" t="s">
        <v>15201</v>
      </c>
      <c r="F5038" s="1" t="s">
        <v>15202</v>
      </c>
      <c r="G5038" s="1" t="s">
        <v>130</v>
      </c>
      <c r="H5038" s="1" t="s">
        <v>1007</v>
      </c>
      <c r="I5038" s="1" t="s">
        <v>16</v>
      </c>
      <c r="J5038" s="1">
        <v>1</v>
      </c>
      <c r="K5038" s="1">
        <v>12</v>
      </c>
      <c r="L5038" s="1" t="s">
        <v>31</v>
      </c>
      <c r="M5038" s="1" t="s">
        <v>18</v>
      </c>
      <c r="N5038" s="1" t="s">
        <v>18</v>
      </c>
      <c r="O5038" s="1">
        <v>2</v>
      </c>
      <c r="P5038" s="1">
        <v>7</v>
      </c>
      <c r="Q5038" s="7" t="s">
        <v>17633</v>
      </c>
      <c r="R5038" s="1" t="s">
        <v>19</v>
      </c>
      <c r="S5038" s="1" t="s">
        <v>20</v>
      </c>
      <c r="T5038" s="1" t="s">
        <v>21</v>
      </c>
      <c r="U5038" s="1" t="s">
        <v>22</v>
      </c>
      <c r="V5038" s="1" t="s">
        <v>24</v>
      </c>
      <c r="W5038" s="1" t="s">
        <v>24</v>
      </c>
      <c r="X5038" s="1">
        <v>1305</v>
      </c>
      <c r="Y5038" s="1">
        <v>1307</v>
      </c>
      <c r="Z5038" s="1">
        <v>3002</v>
      </c>
      <c r="AA5038" s="1">
        <v>1303</v>
      </c>
      <c r="AB5038" s="1" t="s">
        <v>24</v>
      </c>
      <c r="AC5038" s="1" t="s">
        <v>24</v>
      </c>
      <c r="AD5038" s="1" t="s">
        <v>24</v>
      </c>
      <c r="AE5038" s="1" t="s">
        <v>24</v>
      </c>
      <c r="AF5038" s="22"/>
    </row>
    <row r="5039" spans="1:32" x14ac:dyDescent="0.2">
      <c r="A5039" s="1">
        <v>45953</v>
      </c>
      <c r="B5039" s="1" t="s">
        <v>15203</v>
      </c>
      <c r="C5039" s="5" t="s">
        <v>0</v>
      </c>
      <c r="E5039" s="1" t="s">
        <v>15204</v>
      </c>
      <c r="F5039" s="1" t="s">
        <v>11666</v>
      </c>
      <c r="G5039" s="1" t="s">
        <v>11666</v>
      </c>
      <c r="H5039" s="1" t="s">
        <v>30</v>
      </c>
      <c r="I5039" s="1" t="s">
        <v>16</v>
      </c>
      <c r="J5039" s="1">
        <v>1</v>
      </c>
      <c r="K5039" s="1">
        <v>6</v>
      </c>
      <c r="L5039" s="1" t="s">
        <v>42</v>
      </c>
      <c r="M5039" s="1" t="s">
        <v>18</v>
      </c>
      <c r="N5039" s="1" t="s">
        <v>18</v>
      </c>
      <c r="O5039" s="1">
        <v>3</v>
      </c>
      <c r="P5039" s="1">
        <v>6</v>
      </c>
      <c r="R5039" s="1" t="s">
        <v>19</v>
      </c>
      <c r="S5039" s="1" t="s">
        <v>20</v>
      </c>
      <c r="T5039" s="1" t="s">
        <v>21</v>
      </c>
      <c r="U5039" s="1" t="s">
        <v>22</v>
      </c>
      <c r="V5039" s="1" t="s">
        <v>24</v>
      </c>
      <c r="W5039" s="1" t="s">
        <v>24</v>
      </c>
      <c r="X5039" s="1">
        <v>3003</v>
      </c>
      <c r="Y5039" s="1" t="s">
        <v>24</v>
      </c>
      <c r="Z5039" s="1" t="s">
        <v>24</v>
      </c>
      <c r="AA5039" s="1" t="s">
        <v>24</v>
      </c>
      <c r="AB5039" s="1" t="s">
        <v>24</v>
      </c>
      <c r="AC5039" s="1" t="s">
        <v>24</v>
      </c>
      <c r="AD5039" s="1" t="s">
        <v>24</v>
      </c>
      <c r="AE5039" s="1" t="s">
        <v>24</v>
      </c>
      <c r="AF5039" s="22"/>
    </row>
    <row r="5040" spans="1:32" x14ac:dyDescent="0.2">
      <c r="A5040" s="1">
        <v>45954</v>
      </c>
      <c r="B5040" s="1" t="s">
        <v>15205</v>
      </c>
      <c r="C5040" s="5" t="s">
        <v>0</v>
      </c>
      <c r="E5040" s="1" t="s">
        <v>15206</v>
      </c>
      <c r="F5040" s="1" t="s">
        <v>11666</v>
      </c>
      <c r="G5040" s="1" t="s">
        <v>11666</v>
      </c>
      <c r="H5040" s="1" t="s">
        <v>30</v>
      </c>
      <c r="I5040" s="1" t="s">
        <v>16</v>
      </c>
      <c r="J5040" s="1">
        <v>1</v>
      </c>
      <c r="K5040" s="1">
        <v>12</v>
      </c>
      <c r="L5040" s="1" t="s">
        <v>42</v>
      </c>
      <c r="M5040" s="1" t="s">
        <v>18</v>
      </c>
      <c r="N5040" s="1" t="s">
        <v>18</v>
      </c>
      <c r="O5040" s="1">
        <v>3</v>
      </c>
      <c r="P5040" s="1">
        <v>6</v>
      </c>
      <c r="R5040" s="1" t="s">
        <v>19</v>
      </c>
      <c r="S5040" s="1" t="s">
        <v>20</v>
      </c>
      <c r="T5040" s="1" t="s">
        <v>21</v>
      </c>
      <c r="U5040" s="1" t="s">
        <v>22</v>
      </c>
      <c r="V5040" s="1" t="s">
        <v>24</v>
      </c>
      <c r="W5040" s="1" t="s">
        <v>24</v>
      </c>
      <c r="X5040" s="1">
        <v>1303</v>
      </c>
      <c r="Y5040" s="1">
        <v>1305</v>
      </c>
      <c r="Z5040" s="1">
        <v>2402</v>
      </c>
      <c r="AA5040" s="1">
        <v>2404</v>
      </c>
      <c r="AB5040" s="1" t="s">
        <v>24</v>
      </c>
      <c r="AC5040" s="1" t="s">
        <v>24</v>
      </c>
      <c r="AD5040" s="1" t="s">
        <v>24</v>
      </c>
      <c r="AE5040" s="1" t="s">
        <v>24</v>
      </c>
      <c r="AF5040" s="22"/>
    </row>
    <row r="5041" spans="1:32" x14ac:dyDescent="0.2">
      <c r="A5041" s="1">
        <v>45955</v>
      </c>
      <c r="B5041" s="1" t="s">
        <v>15207</v>
      </c>
      <c r="C5041" s="5" t="s">
        <v>0</v>
      </c>
      <c r="E5041" s="1" t="s">
        <v>15208</v>
      </c>
      <c r="F5041" s="1" t="s">
        <v>15207</v>
      </c>
      <c r="G5041" s="1" t="s">
        <v>15207</v>
      </c>
      <c r="H5041" s="1" t="s">
        <v>899</v>
      </c>
      <c r="I5041" s="1" t="s">
        <v>16</v>
      </c>
      <c r="J5041" s="1">
        <v>1</v>
      </c>
      <c r="K5041" s="1">
        <v>12</v>
      </c>
      <c r="L5041" s="1" t="s">
        <v>42</v>
      </c>
      <c r="M5041" s="1" t="s">
        <v>18</v>
      </c>
      <c r="N5041" s="1" t="s">
        <v>18</v>
      </c>
      <c r="O5041" s="1">
        <v>2</v>
      </c>
      <c r="P5041" s="1">
        <v>6</v>
      </c>
      <c r="R5041" s="1" t="s">
        <v>19</v>
      </c>
      <c r="S5041" s="1" t="s">
        <v>20</v>
      </c>
      <c r="T5041" s="1" t="s">
        <v>21</v>
      </c>
      <c r="U5041" s="1" t="s">
        <v>22</v>
      </c>
      <c r="V5041" s="1" t="s">
        <v>24</v>
      </c>
      <c r="W5041" s="1" t="s">
        <v>24</v>
      </c>
      <c r="X5041" s="1">
        <v>3003</v>
      </c>
      <c r="Y5041" s="1" t="s">
        <v>24</v>
      </c>
      <c r="Z5041" s="1" t="s">
        <v>24</v>
      </c>
      <c r="AA5041" s="1" t="s">
        <v>24</v>
      </c>
      <c r="AB5041" s="1" t="s">
        <v>24</v>
      </c>
      <c r="AC5041" s="1" t="s">
        <v>24</v>
      </c>
      <c r="AD5041" s="1" t="s">
        <v>24</v>
      </c>
      <c r="AE5041" s="1" t="s">
        <v>24</v>
      </c>
      <c r="AF5041" s="22"/>
    </row>
    <row r="5042" spans="1:32" x14ac:dyDescent="0.2">
      <c r="A5042" s="1">
        <v>45956</v>
      </c>
      <c r="B5042" s="1" t="s">
        <v>15209</v>
      </c>
      <c r="C5042" s="5" t="s">
        <v>0</v>
      </c>
      <c r="D5042" s="1" t="s">
        <v>15210</v>
      </c>
      <c r="E5042" s="1" t="s">
        <v>15211</v>
      </c>
      <c r="F5042" s="1" t="s">
        <v>1897</v>
      </c>
      <c r="G5042" s="1" t="s">
        <v>1898</v>
      </c>
      <c r="H5042" s="1" t="s">
        <v>899</v>
      </c>
      <c r="I5042" s="1" t="s">
        <v>16</v>
      </c>
      <c r="J5042" s="1">
        <v>1</v>
      </c>
      <c r="K5042" s="1">
        <v>2</v>
      </c>
      <c r="L5042" s="1" t="s">
        <v>31</v>
      </c>
      <c r="M5042" s="1" t="s">
        <v>18</v>
      </c>
      <c r="N5042" s="1" t="s">
        <v>18</v>
      </c>
      <c r="O5042" s="1">
        <v>2</v>
      </c>
      <c r="P5042" s="1">
        <v>7</v>
      </c>
      <c r="Q5042" s="7" t="s">
        <v>17633</v>
      </c>
      <c r="R5042" s="1" t="s">
        <v>19</v>
      </c>
      <c r="S5042" s="1" t="s">
        <v>20</v>
      </c>
      <c r="T5042" s="1" t="s">
        <v>21</v>
      </c>
      <c r="U5042" s="1" t="s">
        <v>22</v>
      </c>
      <c r="V5042" s="1" t="s">
        <v>24</v>
      </c>
      <c r="W5042" s="1" t="s">
        <v>24</v>
      </c>
      <c r="X5042" s="1">
        <v>3003</v>
      </c>
      <c r="Y5042" s="1" t="s">
        <v>24</v>
      </c>
      <c r="Z5042" s="1" t="s">
        <v>24</v>
      </c>
      <c r="AA5042" s="1" t="s">
        <v>24</v>
      </c>
      <c r="AB5042" s="1" t="s">
        <v>24</v>
      </c>
      <c r="AC5042" s="1" t="s">
        <v>24</v>
      </c>
      <c r="AD5042" s="1" t="s">
        <v>24</v>
      </c>
      <c r="AE5042" s="1" t="s">
        <v>24</v>
      </c>
      <c r="AF5042" s="22"/>
    </row>
    <row r="5043" spans="1:32" x14ac:dyDescent="0.2">
      <c r="A5043" s="1">
        <v>45957</v>
      </c>
      <c r="B5043" s="1" t="s">
        <v>15212</v>
      </c>
      <c r="C5043" s="5" t="s">
        <v>0</v>
      </c>
      <c r="D5043" s="1" t="s">
        <v>15213</v>
      </c>
      <c r="E5043" s="1" t="s">
        <v>15214</v>
      </c>
      <c r="F5043" s="1" t="s">
        <v>1897</v>
      </c>
      <c r="G5043" s="1" t="s">
        <v>1898</v>
      </c>
      <c r="H5043" s="1" t="s">
        <v>899</v>
      </c>
      <c r="I5043" s="1" t="s">
        <v>16</v>
      </c>
      <c r="J5043" s="1">
        <v>1</v>
      </c>
      <c r="K5043" s="1">
        <v>2</v>
      </c>
      <c r="L5043" s="1" t="s">
        <v>31</v>
      </c>
      <c r="M5043" s="1" t="s">
        <v>18</v>
      </c>
      <c r="N5043" s="1" t="s">
        <v>18</v>
      </c>
      <c r="O5043" s="1">
        <v>3</v>
      </c>
      <c r="P5043" s="1">
        <v>7</v>
      </c>
      <c r="Q5043" s="7" t="s">
        <v>17633</v>
      </c>
      <c r="R5043" s="1" t="s">
        <v>19</v>
      </c>
      <c r="S5043" s="1" t="s">
        <v>20</v>
      </c>
      <c r="T5043" s="1" t="s">
        <v>21</v>
      </c>
      <c r="U5043" s="1" t="s">
        <v>22</v>
      </c>
      <c r="V5043" s="1" t="s">
        <v>24</v>
      </c>
      <c r="W5043" s="1" t="s">
        <v>24</v>
      </c>
      <c r="X5043" s="1">
        <v>2728</v>
      </c>
      <c r="Y5043" s="1">
        <v>2746</v>
      </c>
      <c r="Z5043" s="1" t="s">
        <v>24</v>
      </c>
      <c r="AA5043" s="1" t="s">
        <v>24</v>
      </c>
      <c r="AB5043" s="1" t="s">
        <v>24</v>
      </c>
      <c r="AC5043" s="1" t="s">
        <v>24</v>
      </c>
      <c r="AD5043" s="1" t="s">
        <v>24</v>
      </c>
      <c r="AE5043" s="1" t="s">
        <v>24</v>
      </c>
      <c r="AF5043" s="22"/>
    </row>
    <row r="5044" spans="1:32" x14ac:dyDescent="0.2">
      <c r="A5044" s="1">
        <v>45958</v>
      </c>
      <c r="B5044" s="1" t="s">
        <v>15215</v>
      </c>
      <c r="C5044" s="5" t="s">
        <v>0</v>
      </c>
      <c r="D5044" s="1" t="s">
        <v>15216</v>
      </c>
      <c r="E5044" s="1" t="s">
        <v>15217</v>
      </c>
      <c r="F5044" s="1" t="s">
        <v>1260</v>
      </c>
      <c r="G5044" s="1" t="s">
        <v>130</v>
      </c>
      <c r="H5044" s="1" t="s">
        <v>111</v>
      </c>
      <c r="I5044" s="1" t="s">
        <v>16</v>
      </c>
      <c r="J5044" s="1">
        <v>1</v>
      </c>
      <c r="K5044" s="1">
        <v>2</v>
      </c>
      <c r="L5044" s="1" t="s">
        <v>31</v>
      </c>
      <c r="M5044" s="1" t="s">
        <v>413</v>
      </c>
      <c r="N5044" s="1" t="s">
        <v>679</v>
      </c>
      <c r="O5044" s="1">
        <v>3</v>
      </c>
      <c r="P5044" s="1">
        <v>6</v>
      </c>
      <c r="R5044" s="1" t="s">
        <v>19</v>
      </c>
      <c r="S5044" s="1" t="s">
        <v>20</v>
      </c>
      <c r="T5044" s="1" t="s">
        <v>21</v>
      </c>
      <c r="U5044" s="1" t="s">
        <v>22</v>
      </c>
      <c r="V5044" s="1" t="s">
        <v>24</v>
      </c>
      <c r="W5044" s="1" t="s">
        <v>24</v>
      </c>
      <c r="X5044" s="1">
        <v>3001</v>
      </c>
      <c r="Y5044" s="1">
        <v>2001</v>
      </c>
      <c r="Z5044" s="1" t="s">
        <v>24</v>
      </c>
      <c r="AA5044" s="1" t="s">
        <v>24</v>
      </c>
      <c r="AB5044" s="1" t="s">
        <v>24</v>
      </c>
      <c r="AC5044" s="1" t="s">
        <v>24</v>
      </c>
      <c r="AD5044" s="1" t="s">
        <v>24</v>
      </c>
      <c r="AE5044" s="1" t="s">
        <v>24</v>
      </c>
      <c r="AF5044" s="22"/>
    </row>
    <row r="5045" spans="1:32" x14ac:dyDescent="0.2">
      <c r="A5045" s="1">
        <v>45959</v>
      </c>
      <c r="B5045" s="1" t="s">
        <v>15218</v>
      </c>
      <c r="C5045" s="5" t="s">
        <v>0</v>
      </c>
      <c r="D5045" s="1" t="s">
        <v>15219</v>
      </c>
      <c r="F5045" s="1" t="s">
        <v>15218</v>
      </c>
      <c r="G5045" s="1" t="s">
        <v>15218</v>
      </c>
      <c r="H5045" s="1" t="s">
        <v>899</v>
      </c>
      <c r="I5045" s="1" t="s">
        <v>16</v>
      </c>
      <c r="J5045" s="1">
        <v>1</v>
      </c>
      <c r="K5045" s="1">
        <v>2</v>
      </c>
      <c r="L5045" s="1" t="s">
        <v>42</v>
      </c>
      <c r="M5045" s="1" t="s">
        <v>18</v>
      </c>
      <c r="N5045" s="1" t="s">
        <v>18</v>
      </c>
      <c r="O5045" s="1">
        <v>2</v>
      </c>
      <c r="P5045" s="1">
        <v>6</v>
      </c>
      <c r="R5045" s="1" t="s">
        <v>19</v>
      </c>
      <c r="S5045" s="1" t="s">
        <v>20</v>
      </c>
      <c r="T5045" s="1" t="s">
        <v>21</v>
      </c>
      <c r="U5045" s="1" t="s">
        <v>22</v>
      </c>
      <c r="V5045" s="1" t="s">
        <v>24</v>
      </c>
      <c r="W5045" s="1" t="s">
        <v>24</v>
      </c>
      <c r="X5045" s="1">
        <v>1303</v>
      </c>
      <c r="Y5045" s="1">
        <v>1305</v>
      </c>
      <c r="Z5045" s="1">
        <v>1312</v>
      </c>
      <c r="AA5045" s="1">
        <v>1307</v>
      </c>
      <c r="AB5045" s="1" t="s">
        <v>24</v>
      </c>
      <c r="AC5045" s="1" t="s">
        <v>24</v>
      </c>
      <c r="AD5045" s="1" t="s">
        <v>24</v>
      </c>
      <c r="AE5045" s="1" t="s">
        <v>24</v>
      </c>
      <c r="AF5045" s="22"/>
    </row>
    <row r="5046" spans="1:32" x14ac:dyDescent="0.2">
      <c r="A5046" s="1">
        <v>45960</v>
      </c>
      <c r="B5046" s="1" t="s">
        <v>15220</v>
      </c>
      <c r="C5046" s="5" t="s">
        <v>0</v>
      </c>
      <c r="D5046" s="1" t="s">
        <v>15221</v>
      </c>
      <c r="E5046" s="1" t="s">
        <v>15222</v>
      </c>
      <c r="F5046" s="1" t="s">
        <v>540</v>
      </c>
      <c r="G5046" s="1" t="s">
        <v>130</v>
      </c>
      <c r="H5046" s="1" t="s">
        <v>684</v>
      </c>
      <c r="I5046" s="1" t="s">
        <v>16</v>
      </c>
      <c r="J5046" s="1">
        <v>1</v>
      </c>
      <c r="K5046" s="1">
        <v>3</v>
      </c>
      <c r="L5046" s="1" t="s">
        <v>31</v>
      </c>
      <c r="M5046" s="1" t="s">
        <v>18</v>
      </c>
      <c r="N5046" s="1" t="s">
        <v>18</v>
      </c>
      <c r="O5046" s="1">
        <v>3</v>
      </c>
      <c r="P5046" s="1">
        <v>7</v>
      </c>
      <c r="Q5046" s="7" t="s">
        <v>17633</v>
      </c>
      <c r="R5046" s="1" t="s">
        <v>19</v>
      </c>
      <c r="S5046" s="1" t="s">
        <v>20</v>
      </c>
      <c r="T5046" s="1" t="s">
        <v>21</v>
      </c>
      <c r="U5046" s="1" t="s">
        <v>22</v>
      </c>
      <c r="V5046" s="1" t="s">
        <v>24</v>
      </c>
      <c r="W5046" s="1" t="s">
        <v>24</v>
      </c>
      <c r="X5046" s="1">
        <v>2745</v>
      </c>
      <c r="Y5046" s="1">
        <v>2403</v>
      </c>
      <c r="Z5046" s="1" t="s">
        <v>24</v>
      </c>
      <c r="AA5046" s="1" t="s">
        <v>24</v>
      </c>
      <c r="AB5046" s="1" t="s">
        <v>24</v>
      </c>
      <c r="AC5046" s="1" t="s">
        <v>24</v>
      </c>
      <c r="AD5046" s="1" t="s">
        <v>24</v>
      </c>
      <c r="AE5046" s="1" t="s">
        <v>24</v>
      </c>
      <c r="AF5046" s="22"/>
    </row>
    <row r="5047" spans="1:32" x14ac:dyDescent="0.2">
      <c r="A5047" s="1">
        <v>45961</v>
      </c>
      <c r="B5047" s="1" t="s">
        <v>15223</v>
      </c>
      <c r="C5047" s="5" t="s">
        <v>0</v>
      </c>
      <c r="D5047" s="1" t="s">
        <v>15224</v>
      </c>
      <c r="E5047" s="1" t="s">
        <v>15225</v>
      </c>
      <c r="F5047" s="1" t="s">
        <v>129</v>
      </c>
      <c r="G5047" s="1" t="s">
        <v>130</v>
      </c>
      <c r="H5047" s="1" t="s">
        <v>131</v>
      </c>
      <c r="I5047" s="1" t="s">
        <v>16</v>
      </c>
      <c r="J5047" s="1">
        <v>1</v>
      </c>
      <c r="K5047" s="1">
        <v>4</v>
      </c>
      <c r="L5047" s="1" t="s">
        <v>31</v>
      </c>
      <c r="M5047" s="1" t="s">
        <v>18</v>
      </c>
      <c r="N5047" s="1" t="s">
        <v>18</v>
      </c>
      <c r="O5047" s="1">
        <v>3</v>
      </c>
      <c r="P5047" s="1">
        <v>7</v>
      </c>
      <c r="Q5047" s="7" t="s">
        <v>17633</v>
      </c>
      <c r="R5047" s="1" t="s">
        <v>19</v>
      </c>
      <c r="S5047" s="1" t="s">
        <v>20</v>
      </c>
      <c r="T5047" s="1" t="s">
        <v>21</v>
      </c>
      <c r="U5047" s="1" t="s">
        <v>22</v>
      </c>
      <c r="V5047" s="1" t="s">
        <v>23</v>
      </c>
      <c r="W5047" s="1" t="s">
        <v>24</v>
      </c>
      <c r="X5047" s="1">
        <v>2738</v>
      </c>
      <c r="Y5047" s="1">
        <v>3203</v>
      </c>
      <c r="Z5047" s="1" t="s">
        <v>24</v>
      </c>
      <c r="AA5047" s="1" t="s">
        <v>24</v>
      </c>
      <c r="AB5047" s="1" t="s">
        <v>24</v>
      </c>
      <c r="AC5047" s="1" t="s">
        <v>24</v>
      </c>
      <c r="AD5047" s="1" t="s">
        <v>24</v>
      </c>
      <c r="AE5047" s="1" t="s">
        <v>24</v>
      </c>
      <c r="AF5047" s="22"/>
    </row>
    <row r="5048" spans="1:32" x14ac:dyDescent="0.2">
      <c r="A5048" s="1">
        <v>45962</v>
      </c>
      <c r="B5048" s="1" t="s">
        <v>15226</v>
      </c>
      <c r="C5048" s="5" t="s">
        <v>0</v>
      </c>
      <c r="D5048" s="1" t="s">
        <v>15227</v>
      </c>
      <c r="E5048" s="1" t="s">
        <v>15228</v>
      </c>
      <c r="F5048" s="1" t="s">
        <v>296</v>
      </c>
      <c r="G5048" s="1" t="s">
        <v>36</v>
      </c>
      <c r="H5048" s="1" t="s">
        <v>264</v>
      </c>
      <c r="I5048" s="1" t="s">
        <v>16</v>
      </c>
      <c r="J5048" s="1">
        <v>1</v>
      </c>
      <c r="K5048" s="1">
        <v>2</v>
      </c>
      <c r="L5048" s="1" t="s">
        <v>31</v>
      </c>
      <c r="M5048" s="1" t="s">
        <v>18</v>
      </c>
      <c r="N5048" s="1" t="s">
        <v>18</v>
      </c>
      <c r="O5048" s="1">
        <v>3</v>
      </c>
      <c r="P5048" s="1">
        <v>7</v>
      </c>
      <c r="Q5048" s="7" t="s">
        <v>17633</v>
      </c>
      <c r="R5048" s="1" t="s">
        <v>19</v>
      </c>
      <c r="S5048" s="1" t="s">
        <v>20</v>
      </c>
      <c r="T5048" s="1" t="s">
        <v>21</v>
      </c>
      <c r="U5048" s="1" t="s">
        <v>22</v>
      </c>
      <c r="V5048" s="1" t="s">
        <v>24</v>
      </c>
      <c r="W5048" s="1" t="s">
        <v>24</v>
      </c>
      <c r="X5048" s="1">
        <v>2748</v>
      </c>
      <c r="Y5048" s="1">
        <v>2808</v>
      </c>
      <c r="Z5048" s="1" t="s">
        <v>24</v>
      </c>
      <c r="AA5048" s="1" t="s">
        <v>24</v>
      </c>
      <c r="AB5048" s="1" t="s">
        <v>24</v>
      </c>
      <c r="AC5048" s="1" t="s">
        <v>24</v>
      </c>
      <c r="AD5048" s="1" t="s">
        <v>24</v>
      </c>
      <c r="AE5048" s="1" t="s">
        <v>24</v>
      </c>
      <c r="AF5048" s="22"/>
    </row>
    <row r="5049" spans="1:32" x14ac:dyDescent="0.2">
      <c r="A5049" s="1">
        <v>45963</v>
      </c>
      <c r="B5049" s="1" t="s">
        <v>15229</v>
      </c>
      <c r="C5049" s="5" t="s">
        <v>0</v>
      </c>
      <c r="D5049" s="1" t="s">
        <v>15230</v>
      </c>
      <c r="E5049" s="1" t="s">
        <v>15231</v>
      </c>
      <c r="F5049" s="1" t="s">
        <v>14762</v>
      </c>
      <c r="G5049" s="1" t="s">
        <v>8443</v>
      </c>
      <c r="H5049" s="1" t="s">
        <v>37</v>
      </c>
      <c r="I5049" s="1" t="s">
        <v>16</v>
      </c>
      <c r="J5049" s="1">
        <v>1</v>
      </c>
      <c r="K5049" s="1">
        <v>12</v>
      </c>
      <c r="L5049" s="1" t="s">
        <v>31</v>
      </c>
      <c r="M5049" s="1" t="s">
        <v>18</v>
      </c>
      <c r="N5049" s="1" t="s">
        <v>18</v>
      </c>
      <c r="O5049" s="1">
        <v>3</v>
      </c>
      <c r="P5049" s="1">
        <v>7</v>
      </c>
      <c r="Q5049" s="7" t="s">
        <v>17633</v>
      </c>
      <c r="R5049" s="1" t="s">
        <v>19</v>
      </c>
      <c r="S5049" s="1" t="s">
        <v>20</v>
      </c>
      <c r="T5049" s="1" t="s">
        <v>21</v>
      </c>
      <c r="U5049" s="1" t="s">
        <v>22</v>
      </c>
      <c r="V5049" s="1" t="s">
        <v>23</v>
      </c>
      <c r="W5049" s="1" t="s">
        <v>24</v>
      </c>
      <c r="X5049" s="1">
        <v>3003</v>
      </c>
      <c r="Y5049" s="1" t="s">
        <v>24</v>
      </c>
      <c r="Z5049" s="1" t="s">
        <v>24</v>
      </c>
      <c r="AA5049" s="1" t="s">
        <v>24</v>
      </c>
      <c r="AB5049" s="1" t="s">
        <v>24</v>
      </c>
      <c r="AC5049" s="1" t="s">
        <v>24</v>
      </c>
      <c r="AD5049" s="1" t="s">
        <v>24</v>
      </c>
      <c r="AE5049" s="1" t="s">
        <v>24</v>
      </c>
      <c r="AF5049" s="22"/>
    </row>
    <row r="5050" spans="1:32" x14ac:dyDescent="0.2">
      <c r="A5050" s="1">
        <v>45964</v>
      </c>
      <c r="B5050" s="1" t="s">
        <v>15232</v>
      </c>
      <c r="C5050" s="5" t="s">
        <v>0</v>
      </c>
      <c r="E5050" s="1" t="s">
        <v>15233</v>
      </c>
      <c r="F5050" s="1" t="s">
        <v>15232</v>
      </c>
      <c r="G5050" s="1" t="s">
        <v>15232</v>
      </c>
      <c r="H5050" s="1" t="s">
        <v>899</v>
      </c>
      <c r="I5050" s="1" t="s">
        <v>16</v>
      </c>
      <c r="J5050" s="1">
        <v>1</v>
      </c>
      <c r="K5050" s="1">
        <v>6</v>
      </c>
      <c r="L5050" s="1" t="s">
        <v>42</v>
      </c>
      <c r="M5050" s="1" t="s">
        <v>18</v>
      </c>
      <c r="N5050" s="1" t="s">
        <v>18</v>
      </c>
      <c r="O5050" s="1">
        <v>3</v>
      </c>
      <c r="P5050" s="1">
        <v>6</v>
      </c>
      <c r="R5050" s="1" t="s">
        <v>19</v>
      </c>
      <c r="S5050" s="1" t="s">
        <v>20</v>
      </c>
      <c r="T5050" s="1" t="s">
        <v>21</v>
      </c>
      <c r="U5050" s="1" t="s">
        <v>22</v>
      </c>
      <c r="V5050" s="1" t="s">
        <v>24</v>
      </c>
      <c r="W5050" s="1" t="s">
        <v>24</v>
      </c>
      <c r="X5050" s="1">
        <v>3003</v>
      </c>
      <c r="Y5050" s="1" t="s">
        <v>24</v>
      </c>
      <c r="Z5050" s="1" t="s">
        <v>24</v>
      </c>
      <c r="AA5050" s="1" t="s">
        <v>24</v>
      </c>
      <c r="AB5050" s="1" t="s">
        <v>24</v>
      </c>
      <c r="AC5050" s="1" t="s">
        <v>24</v>
      </c>
      <c r="AD5050" s="1" t="s">
        <v>24</v>
      </c>
      <c r="AE5050" s="1" t="s">
        <v>24</v>
      </c>
      <c r="AF5050" s="22"/>
    </row>
    <row r="5051" spans="1:32" x14ac:dyDescent="0.2">
      <c r="A5051" s="1">
        <v>45965</v>
      </c>
      <c r="B5051" s="1" t="s">
        <v>15234</v>
      </c>
      <c r="C5051" s="5" t="s">
        <v>0</v>
      </c>
      <c r="D5051" s="1" t="s">
        <v>15235</v>
      </c>
      <c r="E5051" s="1" t="s">
        <v>15236</v>
      </c>
      <c r="F5051" s="1" t="s">
        <v>10332</v>
      </c>
      <c r="G5051" s="1" t="s">
        <v>10332</v>
      </c>
      <c r="H5051" s="1" t="s">
        <v>30</v>
      </c>
      <c r="I5051" s="1" t="s">
        <v>16</v>
      </c>
      <c r="J5051" s="1">
        <v>1</v>
      </c>
      <c r="K5051" s="1">
        <v>3</v>
      </c>
      <c r="L5051" s="1" t="s">
        <v>42</v>
      </c>
      <c r="M5051" s="1" t="s">
        <v>18</v>
      </c>
      <c r="N5051" s="1" t="s">
        <v>18</v>
      </c>
      <c r="O5051" s="1">
        <v>3</v>
      </c>
      <c r="P5051" s="1">
        <v>6</v>
      </c>
      <c r="R5051" s="1" t="s">
        <v>19</v>
      </c>
      <c r="S5051" s="1" t="s">
        <v>63</v>
      </c>
      <c r="T5051" s="1" t="s">
        <v>21</v>
      </c>
      <c r="U5051" s="1" t="s">
        <v>22</v>
      </c>
      <c r="V5051" s="1" t="s">
        <v>24</v>
      </c>
      <c r="W5051" s="1" t="s">
        <v>24</v>
      </c>
      <c r="X5051" s="1">
        <v>1303</v>
      </c>
      <c r="Y5051" s="1">
        <v>1307</v>
      </c>
      <c r="Z5051" s="1" t="s">
        <v>24</v>
      </c>
      <c r="AA5051" s="1" t="s">
        <v>24</v>
      </c>
      <c r="AB5051" s="1" t="s">
        <v>24</v>
      </c>
      <c r="AC5051" s="1" t="s">
        <v>24</v>
      </c>
      <c r="AD5051" s="1" t="s">
        <v>24</v>
      </c>
      <c r="AE5051" s="1" t="s">
        <v>24</v>
      </c>
      <c r="AF5051" s="22"/>
    </row>
    <row r="5052" spans="1:32" x14ac:dyDescent="0.2">
      <c r="A5052" s="1">
        <v>45966</v>
      </c>
      <c r="B5052" s="1" t="s">
        <v>15237</v>
      </c>
      <c r="C5052" s="5" t="s">
        <v>0</v>
      </c>
      <c r="E5052" s="1" t="s">
        <v>15238</v>
      </c>
      <c r="F5052" s="1" t="s">
        <v>15239</v>
      </c>
      <c r="G5052" s="1" t="s">
        <v>15239</v>
      </c>
      <c r="H5052" s="1" t="s">
        <v>899</v>
      </c>
      <c r="I5052" s="1" t="s">
        <v>16</v>
      </c>
      <c r="J5052" s="1">
        <v>1</v>
      </c>
      <c r="K5052" s="1">
        <v>3</v>
      </c>
      <c r="L5052" s="1" t="s">
        <v>42</v>
      </c>
      <c r="M5052" s="1" t="s">
        <v>18</v>
      </c>
      <c r="N5052" s="1" t="s">
        <v>18</v>
      </c>
      <c r="O5052" s="1">
        <v>2</v>
      </c>
      <c r="P5052" s="1">
        <v>6</v>
      </c>
      <c r="R5052" s="1" t="s">
        <v>19</v>
      </c>
      <c r="S5052" s="1" t="s">
        <v>20</v>
      </c>
      <c r="T5052" s="1" t="s">
        <v>21</v>
      </c>
      <c r="U5052" s="1" t="s">
        <v>22</v>
      </c>
      <c r="V5052" s="1" t="s">
        <v>24</v>
      </c>
      <c r="W5052" s="1" t="s">
        <v>24</v>
      </c>
      <c r="X5052" s="1">
        <v>3003</v>
      </c>
      <c r="Y5052" s="1">
        <v>3002</v>
      </c>
      <c r="Z5052" s="1" t="s">
        <v>24</v>
      </c>
      <c r="AA5052" s="1" t="s">
        <v>24</v>
      </c>
      <c r="AB5052" s="1" t="s">
        <v>24</v>
      </c>
      <c r="AC5052" s="1" t="s">
        <v>24</v>
      </c>
      <c r="AD5052" s="1" t="s">
        <v>24</v>
      </c>
      <c r="AE5052" s="1" t="s">
        <v>24</v>
      </c>
      <c r="AF5052" s="22"/>
    </row>
    <row r="5053" spans="1:32" x14ac:dyDescent="0.2">
      <c r="A5053" s="1">
        <v>45967</v>
      </c>
      <c r="B5053" s="1" t="s">
        <v>15240</v>
      </c>
      <c r="C5053" s="5" t="s">
        <v>0</v>
      </c>
      <c r="E5053" s="1" t="s">
        <v>15241</v>
      </c>
      <c r="F5053" s="1" t="s">
        <v>15242</v>
      </c>
      <c r="G5053" s="1" t="s">
        <v>15242</v>
      </c>
      <c r="H5053" s="1" t="s">
        <v>899</v>
      </c>
      <c r="I5053" s="1" t="s">
        <v>16</v>
      </c>
      <c r="J5053" s="1">
        <v>1</v>
      </c>
      <c r="K5053" s="1">
        <v>3</v>
      </c>
      <c r="L5053" s="1" t="s">
        <v>42</v>
      </c>
      <c r="M5053" s="1" t="s">
        <v>18</v>
      </c>
      <c r="N5053" s="1" t="s">
        <v>18</v>
      </c>
      <c r="O5053" s="1">
        <v>2</v>
      </c>
      <c r="P5053" s="1">
        <v>6</v>
      </c>
      <c r="R5053" s="1" t="s">
        <v>19</v>
      </c>
      <c r="S5053" s="1" t="s">
        <v>20</v>
      </c>
      <c r="T5053" s="1" t="s">
        <v>21</v>
      </c>
      <c r="U5053" s="1" t="s">
        <v>22</v>
      </c>
      <c r="V5053" s="1" t="s">
        <v>24</v>
      </c>
      <c r="W5053" s="1" t="s">
        <v>24</v>
      </c>
      <c r="X5053" s="1">
        <v>3003</v>
      </c>
      <c r="Y5053" s="1" t="s">
        <v>24</v>
      </c>
      <c r="Z5053" s="1" t="s">
        <v>24</v>
      </c>
      <c r="AA5053" s="1" t="s">
        <v>24</v>
      </c>
      <c r="AB5053" s="1" t="s">
        <v>24</v>
      </c>
      <c r="AC5053" s="1" t="s">
        <v>24</v>
      </c>
      <c r="AD5053" s="1" t="s">
        <v>24</v>
      </c>
      <c r="AE5053" s="1" t="s">
        <v>24</v>
      </c>
      <c r="AF5053" s="22"/>
    </row>
    <row r="5054" spans="1:32" x14ac:dyDescent="0.2">
      <c r="A5054" s="1">
        <v>45968</v>
      </c>
      <c r="B5054" s="1" t="s">
        <v>15243</v>
      </c>
      <c r="C5054" s="5" t="s">
        <v>0</v>
      </c>
      <c r="D5054" s="1" t="s">
        <v>15244</v>
      </c>
      <c r="E5054" s="1" t="s">
        <v>15245</v>
      </c>
      <c r="F5054" s="1" t="s">
        <v>1278</v>
      </c>
      <c r="G5054" s="1" t="s">
        <v>1279</v>
      </c>
      <c r="H5054" s="1" t="s">
        <v>30</v>
      </c>
      <c r="I5054" s="1" t="s">
        <v>16</v>
      </c>
      <c r="J5054" s="1">
        <v>1</v>
      </c>
      <c r="K5054" s="1">
        <v>4</v>
      </c>
      <c r="L5054" s="1" t="s">
        <v>42</v>
      </c>
      <c r="M5054" s="1" t="s">
        <v>18</v>
      </c>
      <c r="N5054" s="1" t="s">
        <v>18</v>
      </c>
      <c r="O5054" s="1">
        <v>2</v>
      </c>
      <c r="P5054" s="1">
        <v>7</v>
      </c>
      <c r="Q5054" s="7" t="s">
        <v>17633</v>
      </c>
      <c r="R5054" s="1" t="s">
        <v>19</v>
      </c>
      <c r="S5054" s="1" t="s">
        <v>20</v>
      </c>
      <c r="T5054" s="1" t="s">
        <v>21</v>
      </c>
      <c r="U5054" s="1" t="s">
        <v>22</v>
      </c>
      <c r="V5054" s="1" t="s">
        <v>24</v>
      </c>
      <c r="W5054" s="1" t="s">
        <v>24</v>
      </c>
      <c r="X5054" s="1">
        <v>1311</v>
      </c>
      <c r="Y5054" s="1">
        <v>1313</v>
      </c>
      <c r="Z5054" s="1">
        <v>1303</v>
      </c>
      <c r="AA5054" s="1">
        <v>1305</v>
      </c>
      <c r="AB5054" s="1" t="s">
        <v>24</v>
      </c>
      <c r="AC5054" s="1" t="s">
        <v>24</v>
      </c>
      <c r="AD5054" s="1" t="s">
        <v>24</v>
      </c>
      <c r="AE5054" s="1" t="s">
        <v>24</v>
      </c>
      <c r="AF5054" s="22"/>
    </row>
    <row r="5055" spans="1:32" x14ac:dyDescent="0.2">
      <c r="A5055" s="1">
        <v>45969</v>
      </c>
      <c r="B5055" s="1" t="s">
        <v>15246</v>
      </c>
      <c r="C5055" s="5" t="s">
        <v>0</v>
      </c>
      <c r="D5055" s="1" t="s">
        <v>15247</v>
      </c>
      <c r="E5055" s="1" t="s">
        <v>15248</v>
      </c>
      <c r="F5055" s="1" t="s">
        <v>1897</v>
      </c>
      <c r="G5055" s="1" t="s">
        <v>1898</v>
      </c>
      <c r="H5055" s="1" t="s">
        <v>899</v>
      </c>
      <c r="I5055" s="1" t="s">
        <v>16</v>
      </c>
      <c r="J5055" s="1">
        <v>1</v>
      </c>
      <c r="K5055" s="1">
        <v>4</v>
      </c>
      <c r="L5055" s="1" t="s">
        <v>31</v>
      </c>
      <c r="M5055" s="1" t="s">
        <v>18</v>
      </c>
      <c r="N5055" s="1" t="s">
        <v>18</v>
      </c>
      <c r="O5055" s="1">
        <v>2</v>
      </c>
      <c r="P5055" s="1">
        <v>7</v>
      </c>
      <c r="Q5055" s="7" t="s">
        <v>17633</v>
      </c>
      <c r="R5055" s="1" t="s">
        <v>19</v>
      </c>
      <c r="S5055" s="1" t="s">
        <v>20</v>
      </c>
      <c r="T5055" s="1" t="s">
        <v>21</v>
      </c>
      <c r="U5055" s="1" t="s">
        <v>22</v>
      </c>
      <c r="V5055" s="1" t="s">
        <v>24</v>
      </c>
      <c r="W5055" s="1" t="s">
        <v>24</v>
      </c>
      <c r="X5055" s="1">
        <v>3003</v>
      </c>
      <c r="Y5055" s="1" t="s">
        <v>24</v>
      </c>
      <c r="Z5055" s="1" t="s">
        <v>24</v>
      </c>
      <c r="AA5055" s="1" t="s">
        <v>24</v>
      </c>
      <c r="AB5055" s="1" t="s">
        <v>24</v>
      </c>
      <c r="AC5055" s="1" t="s">
        <v>24</v>
      </c>
      <c r="AD5055" s="1" t="s">
        <v>24</v>
      </c>
      <c r="AE5055" s="1" t="s">
        <v>24</v>
      </c>
      <c r="AF5055" s="22"/>
    </row>
    <row r="5056" spans="1:32" x14ac:dyDescent="0.2">
      <c r="A5056" s="1">
        <v>45970</v>
      </c>
      <c r="B5056" s="1" t="s">
        <v>15249</v>
      </c>
      <c r="C5056" s="5" t="s">
        <v>0</v>
      </c>
      <c r="D5056" s="1" t="s">
        <v>15250</v>
      </c>
      <c r="E5056" s="1" t="s">
        <v>15251</v>
      </c>
      <c r="F5056" s="1" t="s">
        <v>1897</v>
      </c>
      <c r="G5056" s="1" t="s">
        <v>1898</v>
      </c>
      <c r="H5056" s="1" t="s">
        <v>899</v>
      </c>
      <c r="I5056" s="1" t="s">
        <v>16</v>
      </c>
      <c r="J5056" s="1">
        <v>1</v>
      </c>
      <c r="K5056" s="1">
        <v>4</v>
      </c>
      <c r="L5056" s="1" t="s">
        <v>31</v>
      </c>
      <c r="M5056" s="1" t="s">
        <v>18</v>
      </c>
      <c r="N5056" s="1" t="s">
        <v>18</v>
      </c>
      <c r="O5056" s="1">
        <v>2</v>
      </c>
      <c r="P5056" s="1">
        <v>7</v>
      </c>
      <c r="Q5056" s="7" t="s">
        <v>17633</v>
      </c>
      <c r="R5056" s="1" t="s">
        <v>19</v>
      </c>
      <c r="S5056" s="1" t="s">
        <v>20</v>
      </c>
      <c r="T5056" s="1" t="s">
        <v>21</v>
      </c>
      <c r="U5056" s="1" t="s">
        <v>22</v>
      </c>
      <c r="V5056" s="1" t="s">
        <v>24</v>
      </c>
      <c r="W5056" s="1" t="s">
        <v>24</v>
      </c>
      <c r="X5056" s="1">
        <v>3002</v>
      </c>
      <c r="Y5056" s="1">
        <v>2707</v>
      </c>
      <c r="Z5056" s="1" t="s">
        <v>24</v>
      </c>
      <c r="AA5056" s="1" t="s">
        <v>24</v>
      </c>
      <c r="AB5056" s="1" t="s">
        <v>24</v>
      </c>
      <c r="AC5056" s="1" t="s">
        <v>24</v>
      </c>
      <c r="AD5056" s="1" t="s">
        <v>24</v>
      </c>
      <c r="AE5056" s="1" t="s">
        <v>24</v>
      </c>
      <c r="AF5056" s="22"/>
    </row>
    <row r="5057" spans="1:32" x14ac:dyDescent="0.2">
      <c r="A5057" s="1">
        <v>45971</v>
      </c>
      <c r="B5057" s="1" t="s">
        <v>15252</v>
      </c>
      <c r="C5057" s="5" t="s">
        <v>0</v>
      </c>
      <c r="D5057" s="1" t="s">
        <v>15253</v>
      </c>
      <c r="E5057" s="1" t="s">
        <v>15254</v>
      </c>
      <c r="F5057" s="1" t="s">
        <v>12162</v>
      </c>
      <c r="G5057" s="1" t="s">
        <v>61</v>
      </c>
      <c r="H5057" s="1" t="s">
        <v>899</v>
      </c>
      <c r="I5057" s="1" t="s">
        <v>16</v>
      </c>
      <c r="J5057" s="1">
        <v>1</v>
      </c>
      <c r="K5057" s="1">
        <v>4</v>
      </c>
      <c r="L5057" s="1" t="s">
        <v>31</v>
      </c>
      <c r="M5057" s="1" t="s">
        <v>18</v>
      </c>
      <c r="N5057" s="1" t="s">
        <v>18</v>
      </c>
      <c r="O5057" s="1">
        <v>3</v>
      </c>
      <c r="P5057" s="1">
        <v>7</v>
      </c>
      <c r="Q5057" s="7" t="s">
        <v>17633</v>
      </c>
      <c r="R5057" s="1" t="s">
        <v>19</v>
      </c>
      <c r="S5057" s="1" t="s">
        <v>20</v>
      </c>
      <c r="T5057" s="1" t="s">
        <v>21</v>
      </c>
      <c r="U5057" s="1" t="s">
        <v>22</v>
      </c>
      <c r="V5057" s="1" t="s">
        <v>24</v>
      </c>
      <c r="W5057" s="1" t="s">
        <v>24</v>
      </c>
      <c r="X5057" s="1">
        <v>2705</v>
      </c>
      <c r="Y5057" s="1" t="s">
        <v>24</v>
      </c>
      <c r="Z5057" s="1" t="s">
        <v>24</v>
      </c>
      <c r="AA5057" s="1" t="s">
        <v>24</v>
      </c>
      <c r="AB5057" s="1" t="s">
        <v>24</v>
      </c>
      <c r="AC5057" s="1" t="s">
        <v>24</v>
      </c>
      <c r="AD5057" s="1" t="s">
        <v>24</v>
      </c>
      <c r="AE5057" s="1" t="s">
        <v>24</v>
      </c>
      <c r="AF5057" s="22"/>
    </row>
    <row r="5058" spans="1:32" x14ac:dyDescent="0.2">
      <c r="A5058" s="1">
        <v>45972</v>
      </c>
      <c r="B5058" s="1" t="s">
        <v>15255</v>
      </c>
      <c r="C5058" s="5" t="s">
        <v>0</v>
      </c>
      <c r="D5058" s="1" t="s">
        <v>15256</v>
      </c>
      <c r="E5058" s="1" t="s">
        <v>15257</v>
      </c>
      <c r="F5058" s="1" t="s">
        <v>1897</v>
      </c>
      <c r="G5058" s="1" t="s">
        <v>1898</v>
      </c>
      <c r="H5058" s="1" t="s">
        <v>899</v>
      </c>
      <c r="I5058" s="1" t="s">
        <v>16</v>
      </c>
      <c r="J5058" s="1">
        <v>1</v>
      </c>
      <c r="K5058" s="1">
        <v>4</v>
      </c>
      <c r="L5058" s="1" t="s">
        <v>31</v>
      </c>
      <c r="M5058" s="1" t="s">
        <v>18</v>
      </c>
      <c r="N5058" s="1" t="s">
        <v>18</v>
      </c>
      <c r="O5058" s="1">
        <v>3</v>
      </c>
      <c r="P5058" s="1">
        <v>7</v>
      </c>
      <c r="Q5058" s="7" t="s">
        <v>17633</v>
      </c>
      <c r="R5058" s="1" t="s">
        <v>19</v>
      </c>
      <c r="S5058" s="1" t="s">
        <v>20</v>
      </c>
      <c r="T5058" s="1" t="s">
        <v>21</v>
      </c>
      <c r="U5058" s="1" t="s">
        <v>22</v>
      </c>
      <c r="V5058" s="1" t="s">
        <v>24</v>
      </c>
      <c r="W5058" s="1" t="s">
        <v>24</v>
      </c>
      <c r="X5058" s="1">
        <v>2725</v>
      </c>
      <c r="Y5058" s="1" t="s">
        <v>24</v>
      </c>
      <c r="Z5058" s="1" t="s">
        <v>24</v>
      </c>
      <c r="AA5058" s="1" t="s">
        <v>24</v>
      </c>
      <c r="AB5058" s="1" t="s">
        <v>24</v>
      </c>
      <c r="AC5058" s="1" t="s">
        <v>24</v>
      </c>
      <c r="AD5058" s="1" t="s">
        <v>24</v>
      </c>
      <c r="AE5058" s="1" t="s">
        <v>24</v>
      </c>
      <c r="AF5058" s="22"/>
    </row>
    <row r="5059" spans="1:32" x14ac:dyDescent="0.2">
      <c r="A5059" s="1">
        <v>45973</v>
      </c>
      <c r="B5059" s="1" t="s">
        <v>15258</v>
      </c>
      <c r="C5059" s="5" t="s">
        <v>0</v>
      </c>
      <c r="D5059" s="1" t="s">
        <v>15259</v>
      </c>
      <c r="E5059" s="1" t="s">
        <v>15260</v>
      </c>
      <c r="F5059" s="1" t="s">
        <v>167</v>
      </c>
      <c r="G5059" s="1" t="s">
        <v>130</v>
      </c>
      <c r="H5059" s="1" t="s">
        <v>168</v>
      </c>
      <c r="I5059" s="1" t="s">
        <v>16</v>
      </c>
      <c r="J5059" s="1">
        <v>1</v>
      </c>
      <c r="K5059" s="1">
        <v>4</v>
      </c>
      <c r="L5059" s="1" t="s">
        <v>31</v>
      </c>
      <c r="M5059" s="1" t="s">
        <v>18</v>
      </c>
      <c r="N5059" s="1" t="s">
        <v>18</v>
      </c>
      <c r="O5059" s="1">
        <v>3</v>
      </c>
      <c r="P5059" s="1">
        <v>7</v>
      </c>
      <c r="Q5059" s="7" t="s">
        <v>17633</v>
      </c>
      <c r="R5059" s="1" t="s">
        <v>19</v>
      </c>
      <c r="S5059" s="1" t="s">
        <v>20</v>
      </c>
      <c r="T5059" s="1" t="s">
        <v>21</v>
      </c>
      <c r="U5059" s="1" t="s">
        <v>22</v>
      </c>
      <c r="V5059" s="1" t="s">
        <v>24</v>
      </c>
      <c r="W5059" s="1" t="s">
        <v>24</v>
      </c>
      <c r="X5059" s="1">
        <v>2716</v>
      </c>
      <c r="Y5059" s="1">
        <v>2739</v>
      </c>
      <c r="Z5059" s="1">
        <v>2713</v>
      </c>
      <c r="AA5059" s="1" t="s">
        <v>24</v>
      </c>
      <c r="AB5059" s="1" t="s">
        <v>24</v>
      </c>
      <c r="AC5059" s="1" t="s">
        <v>24</v>
      </c>
      <c r="AD5059" s="1" t="s">
        <v>24</v>
      </c>
      <c r="AE5059" s="1" t="s">
        <v>24</v>
      </c>
      <c r="AF5059" s="22"/>
    </row>
    <row r="5060" spans="1:32" x14ac:dyDescent="0.2">
      <c r="A5060" s="1">
        <v>45974</v>
      </c>
      <c r="B5060" s="1" t="s">
        <v>15261</v>
      </c>
      <c r="C5060" s="5" t="s">
        <v>0</v>
      </c>
      <c r="D5060" s="1" t="s">
        <v>15262</v>
      </c>
      <c r="E5060" s="1" t="s">
        <v>15263</v>
      </c>
      <c r="F5060" s="1" t="s">
        <v>167</v>
      </c>
      <c r="G5060" s="1" t="s">
        <v>130</v>
      </c>
      <c r="H5060" s="1" t="s">
        <v>168</v>
      </c>
      <c r="I5060" s="1" t="s">
        <v>16</v>
      </c>
      <c r="J5060" s="1">
        <v>1</v>
      </c>
      <c r="K5060" s="1">
        <v>4</v>
      </c>
      <c r="L5060" s="1" t="s">
        <v>31</v>
      </c>
      <c r="M5060" s="1" t="s">
        <v>18</v>
      </c>
      <c r="N5060" s="1" t="s">
        <v>18</v>
      </c>
      <c r="O5060" s="1">
        <v>2</v>
      </c>
      <c r="P5060" s="1">
        <v>7</v>
      </c>
      <c r="Q5060" s="7" t="s">
        <v>17633</v>
      </c>
      <c r="R5060" s="1" t="s">
        <v>19</v>
      </c>
      <c r="S5060" s="1" t="s">
        <v>63</v>
      </c>
      <c r="T5060" s="1" t="s">
        <v>21</v>
      </c>
      <c r="U5060" s="1" t="s">
        <v>22</v>
      </c>
      <c r="V5060" s="1" t="s">
        <v>24</v>
      </c>
      <c r="W5060" s="1" t="s">
        <v>24</v>
      </c>
      <c r="X5060" s="1">
        <v>1311</v>
      </c>
      <c r="Y5060" s="1">
        <v>1312</v>
      </c>
      <c r="Z5060" s="1">
        <v>1309</v>
      </c>
      <c r="AA5060" s="1">
        <v>2716</v>
      </c>
      <c r="AB5060" s="1" t="s">
        <v>24</v>
      </c>
      <c r="AC5060" s="1" t="s">
        <v>24</v>
      </c>
      <c r="AD5060" s="1" t="s">
        <v>24</v>
      </c>
      <c r="AE5060" s="1" t="s">
        <v>24</v>
      </c>
      <c r="AF5060" s="22"/>
    </row>
    <row r="5061" spans="1:32" x14ac:dyDescent="0.2">
      <c r="A5061" s="1">
        <v>45975</v>
      </c>
      <c r="B5061" s="1" t="s">
        <v>15264</v>
      </c>
      <c r="C5061" s="5" t="s">
        <v>0</v>
      </c>
      <c r="D5061" s="1" t="s">
        <v>15265</v>
      </c>
      <c r="E5061" s="1" t="s">
        <v>15266</v>
      </c>
      <c r="F5061" s="1" t="s">
        <v>15267</v>
      </c>
      <c r="G5061" s="1" t="s">
        <v>130</v>
      </c>
      <c r="H5061" s="1" t="s">
        <v>249</v>
      </c>
      <c r="I5061" s="1" t="s">
        <v>16</v>
      </c>
      <c r="J5061" s="1">
        <v>1</v>
      </c>
      <c r="K5061" s="1">
        <v>4</v>
      </c>
      <c r="L5061" s="1" t="s">
        <v>31</v>
      </c>
      <c r="M5061" s="1" t="s">
        <v>18</v>
      </c>
      <c r="N5061" s="1" t="s">
        <v>18</v>
      </c>
      <c r="O5061" s="1">
        <v>3</v>
      </c>
      <c r="P5061" s="1">
        <v>7</v>
      </c>
      <c r="Q5061" s="7" t="s">
        <v>17633</v>
      </c>
      <c r="R5061" s="1" t="s">
        <v>19</v>
      </c>
      <c r="S5061" s="1" t="s">
        <v>20</v>
      </c>
      <c r="T5061" s="1" t="s">
        <v>21</v>
      </c>
      <c r="U5061" s="1" t="s">
        <v>22</v>
      </c>
      <c r="V5061" s="1" t="s">
        <v>24</v>
      </c>
      <c r="W5061" s="1" t="s">
        <v>24</v>
      </c>
      <c r="X5061" s="1">
        <v>2800</v>
      </c>
      <c r="Y5061" s="1" t="s">
        <v>24</v>
      </c>
      <c r="Z5061" s="1" t="s">
        <v>24</v>
      </c>
      <c r="AA5061" s="1" t="s">
        <v>24</v>
      </c>
      <c r="AB5061" s="1" t="s">
        <v>24</v>
      </c>
      <c r="AC5061" s="1" t="s">
        <v>24</v>
      </c>
      <c r="AD5061" s="1" t="s">
        <v>24</v>
      </c>
      <c r="AE5061" s="1" t="s">
        <v>24</v>
      </c>
      <c r="AF5061" s="22"/>
    </row>
    <row r="5062" spans="1:32" x14ac:dyDescent="0.2">
      <c r="A5062" s="1">
        <v>45976</v>
      </c>
      <c r="B5062" s="1" t="s">
        <v>15268</v>
      </c>
      <c r="C5062" s="5" t="s">
        <v>0</v>
      </c>
      <c r="D5062" s="1" t="s">
        <v>15269</v>
      </c>
      <c r="E5062" s="1" t="s">
        <v>15270</v>
      </c>
      <c r="F5062" s="1" t="s">
        <v>97</v>
      </c>
      <c r="G5062" s="1" t="s">
        <v>98</v>
      </c>
      <c r="H5062" s="1" t="s">
        <v>37</v>
      </c>
      <c r="I5062" s="1" t="s">
        <v>16</v>
      </c>
      <c r="J5062" s="1">
        <v>1</v>
      </c>
      <c r="K5062" s="1">
        <v>6</v>
      </c>
      <c r="L5062" s="1" t="s">
        <v>31</v>
      </c>
      <c r="M5062" s="1" t="s">
        <v>18</v>
      </c>
      <c r="N5062" s="1" t="s">
        <v>18</v>
      </c>
      <c r="O5062" s="1">
        <v>3</v>
      </c>
      <c r="P5062" s="1">
        <v>7</v>
      </c>
      <c r="Q5062" s="7" t="s">
        <v>17633</v>
      </c>
      <c r="R5062" s="1" t="s">
        <v>19</v>
      </c>
      <c r="S5062" s="1" t="s">
        <v>20</v>
      </c>
      <c r="T5062" s="1" t="s">
        <v>21</v>
      </c>
      <c r="U5062" s="1" t="s">
        <v>22</v>
      </c>
      <c r="V5062" s="1" t="s">
        <v>24</v>
      </c>
      <c r="W5062" s="1" t="s">
        <v>24</v>
      </c>
      <c r="X5062" s="1">
        <v>2732</v>
      </c>
      <c r="Y5062" s="1" t="s">
        <v>24</v>
      </c>
      <c r="Z5062" s="1" t="s">
        <v>24</v>
      </c>
      <c r="AA5062" s="1" t="s">
        <v>24</v>
      </c>
      <c r="AB5062" s="1" t="s">
        <v>24</v>
      </c>
      <c r="AC5062" s="1" t="s">
        <v>24</v>
      </c>
      <c r="AD5062" s="1" t="s">
        <v>24</v>
      </c>
      <c r="AE5062" s="1" t="s">
        <v>24</v>
      </c>
      <c r="AF5062" s="22"/>
    </row>
    <row r="5063" spans="1:32" x14ac:dyDescent="0.2">
      <c r="A5063" s="1">
        <v>45977</v>
      </c>
      <c r="B5063" s="1" t="s">
        <v>15271</v>
      </c>
      <c r="C5063" s="5" t="s">
        <v>0</v>
      </c>
      <c r="E5063" s="1" t="s">
        <v>15272</v>
      </c>
      <c r="F5063" s="1" t="s">
        <v>15273</v>
      </c>
      <c r="G5063" s="1" t="s">
        <v>15274</v>
      </c>
      <c r="H5063" s="1" t="s">
        <v>899</v>
      </c>
      <c r="I5063" s="1" t="s">
        <v>16</v>
      </c>
      <c r="J5063" s="1">
        <v>1</v>
      </c>
      <c r="K5063" s="1">
        <v>4</v>
      </c>
      <c r="L5063" s="1" t="s">
        <v>31</v>
      </c>
      <c r="M5063" s="1" t="s">
        <v>18</v>
      </c>
      <c r="N5063" s="1" t="s">
        <v>18</v>
      </c>
      <c r="O5063" s="1">
        <v>2</v>
      </c>
      <c r="P5063" s="1">
        <v>6</v>
      </c>
      <c r="R5063" s="1" t="s">
        <v>19</v>
      </c>
      <c r="S5063" s="1" t="s">
        <v>20</v>
      </c>
      <c r="T5063" s="1" t="s">
        <v>21</v>
      </c>
      <c r="U5063" s="1" t="s">
        <v>22</v>
      </c>
      <c r="V5063" s="1" t="s">
        <v>24</v>
      </c>
      <c r="W5063" s="1" t="s">
        <v>24</v>
      </c>
      <c r="X5063" s="1">
        <v>3000</v>
      </c>
      <c r="Y5063" s="1" t="s">
        <v>24</v>
      </c>
      <c r="Z5063" s="1" t="s">
        <v>24</v>
      </c>
      <c r="AA5063" s="1" t="s">
        <v>24</v>
      </c>
      <c r="AB5063" s="1" t="s">
        <v>24</v>
      </c>
      <c r="AC5063" s="1" t="s">
        <v>24</v>
      </c>
      <c r="AD5063" s="1" t="s">
        <v>24</v>
      </c>
      <c r="AE5063" s="1" t="s">
        <v>24</v>
      </c>
      <c r="AF5063" s="22"/>
    </row>
    <row r="5064" spans="1:32" x14ac:dyDescent="0.2">
      <c r="A5064" s="1">
        <v>45978</v>
      </c>
      <c r="B5064" s="1" t="s">
        <v>15275</v>
      </c>
      <c r="C5064" s="5" t="s">
        <v>0</v>
      </c>
      <c r="D5064" s="1" t="s">
        <v>15276</v>
      </c>
      <c r="E5064" s="1" t="s">
        <v>15277</v>
      </c>
      <c r="F5064" s="1" t="s">
        <v>10332</v>
      </c>
      <c r="G5064" s="1" t="s">
        <v>10332</v>
      </c>
      <c r="H5064" s="1" t="s">
        <v>30</v>
      </c>
      <c r="I5064" s="1" t="s">
        <v>16</v>
      </c>
      <c r="J5064" s="1">
        <v>0</v>
      </c>
      <c r="K5064" s="1">
        <v>0</v>
      </c>
      <c r="L5064" s="1" t="s">
        <v>42</v>
      </c>
      <c r="M5064" s="1" t="s">
        <v>18</v>
      </c>
      <c r="N5064" s="1" t="s">
        <v>18</v>
      </c>
      <c r="O5064" s="1">
        <v>3</v>
      </c>
      <c r="P5064" s="1">
        <v>6</v>
      </c>
      <c r="R5064" s="1" t="s">
        <v>19</v>
      </c>
      <c r="S5064" s="1" t="s">
        <v>63</v>
      </c>
      <c r="T5064" s="1" t="s">
        <v>21</v>
      </c>
      <c r="U5064" s="1" t="s">
        <v>22</v>
      </c>
      <c r="V5064" s="1" t="s">
        <v>24</v>
      </c>
      <c r="W5064" s="1" t="s">
        <v>24</v>
      </c>
      <c r="X5064" s="1">
        <v>1605</v>
      </c>
      <c r="Y5064" s="1">
        <v>1303</v>
      </c>
      <c r="Z5064" s="1" t="s">
        <v>24</v>
      </c>
      <c r="AA5064" s="1" t="s">
        <v>24</v>
      </c>
      <c r="AB5064" s="1" t="s">
        <v>24</v>
      </c>
      <c r="AC5064" s="1" t="s">
        <v>24</v>
      </c>
      <c r="AD5064" s="1" t="s">
        <v>24</v>
      </c>
      <c r="AE5064" s="1" t="s">
        <v>24</v>
      </c>
      <c r="AF5064" s="22"/>
    </row>
    <row r="5065" spans="1:32" x14ac:dyDescent="0.2">
      <c r="A5065" s="1">
        <v>45980</v>
      </c>
      <c r="B5065" s="1" t="s">
        <v>15278</v>
      </c>
      <c r="C5065" s="5" t="s">
        <v>0</v>
      </c>
      <c r="E5065" s="1" t="s">
        <v>15279</v>
      </c>
      <c r="F5065" s="1" t="s">
        <v>4152</v>
      </c>
      <c r="G5065" s="1" t="s">
        <v>4152</v>
      </c>
      <c r="H5065" s="1" t="s">
        <v>111</v>
      </c>
      <c r="I5065" s="1" t="s">
        <v>16</v>
      </c>
      <c r="J5065" s="1">
        <v>1</v>
      </c>
      <c r="K5065" s="1">
        <v>4</v>
      </c>
      <c r="L5065" s="1" t="s">
        <v>42</v>
      </c>
      <c r="M5065" s="1" t="s">
        <v>18</v>
      </c>
      <c r="N5065" s="1" t="s">
        <v>18</v>
      </c>
      <c r="O5065" s="1">
        <v>3</v>
      </c>
      <c r="P5065" s="1">
        <v>6</v>
      </c>
      <c r="R5065" s="1" t="s">
        <v>19</v>
      </c>
      <c r="S5065" s="1" t="s">
        <v>63</v>
      </c>
      <c r="T5065" s="1" t="s">
        <v>21</v>
      </c>
      <c r="U5065" s="1" t="s">
        <v>22</v>
      </c>
      <c r="V5065" s="1" t="s">
        <v>24</v>
      </c>
      <c r="W5065" s="1" t="s">
        <v>24</v>
      </c>
      <c r="X5065" s="1">
        <v>3003</v>
      </c>
      <c r="Y5065" s="1" t="s">
        <v>24</v>
      </c>
      <c r="Z5065" s="1" t="s">
        <v>24</v>
      </c>
      <c r="AA5065" s="1" t="s">
        <v>24</v>
      </c>
      <c r="AB5065" s="1" t="s">
        <v>24</v>
      </c>
      <c r="AC5065" s="1" t="s">
        <v>24</v>
      </c>
      <c r="AD5065" s="1" t="s">
        <v>24</v>
      </c>
      <c r="AE5065" s="1" t="s">
        <v>24</v>
      </c>
      <c r="AF5065" s="22"/>
    </row>
    <row r="5066" spans="1:32" x14ac:dyDescent="0.2">
      <c r="A5066" s="1">
        <v>45981</v>
      </c>
      <c r="B5066" s="1" t="s">
        <v>15280</v>
      </c>
      <c r="C5066" s="5" t="s">
        <v>0</v>
      </c>
      <c r="E5066" s="1" t="s">
        <v>15281</v>
      </c>
      <c r="F5066" s="1" t="s">
        <v>4152</v>
      </c>
      <c r="G5066" s="1" t="s">
        <v>4152</v>
      </c>
      <c r="H5066" s="1" t="s">
        <v>111</v>
      </c>
      <c r="I5066" s="1" t="s">
        <v>16</v>
      </c>
      <c r="J5066" s="1">
        <v>1</v>
      </c>
      <c r="K5066" s="1">
        <v>4</v>
      </c>
      <c r="L5066" s="1" t="s">
        <v>42</v>
      </c>
      <c r="M5066" s="1" t="s">
        <v>18</v>
      </c>
      <c r="N5066" s="1" t="s">
        <v>18</v>
      </c>
      <c r="O5066" s="1">
        <v>3</v>
      </c>
      <c r="P5066" s="1">
        <v>6</v>
      </c>
      <c r="R5066" s="1" t="s">
        <v>19</v>
      </c>
      <c r="S5066" s="1" t="s">
        <v>20</v>
      </c>
      <c r="T5066" s="1" t="s">
        <v>21</v>
      </c>
      <c r="U5066" s="1" t="s">
        <v>22</v>
      </c>
      <c r="V5066" s="1" t="s">
        <v>24</v>
      </c>
      <c r="W5066" s="1" t="s">
        <v>24</v>
      </c>
      <c r="X5066" s="1">
        <v>1311</v>
      </c>
      <c r="Y5066" s="1">
        <v>2716</v>
      </c>
      <c r="Z5066" s="1" t="s">
        <v>24</v>
      </c>
      <c r="AA5066" s="1" t="s">
        <v>24</v>
      </c>
      <c r="AB5066" s="1" t="s">
        <v>24</v>
      </c>
      <c r="AC5066" s="1" t="s">
        <v>24</v>
      </c>
      <c r="AD5066" s="1" t="s">
        <v>24</v>
      </c>
      <c r="AE5066" s="1" t="s">
        <v>24</v>
      </c>
      <c r="AF5066" s="22"/>
    </row>
    <row r="5067" spans="1:32" x14ac:dyDescent="0.2">
      <c r="A5067" s="1">
        <v>45982</v>
      </c>
      <c r="B5067" s="1" t="s">
        <v>15282</v>
      </c>
      <c r="C5067" s="5" t="s">
        <v>0</v>
      </c>
      <c r="E5067" s="1" t="s">
        <v>15283</v>
      </c>
      <c r="F5067" s="1" t="s">
        <v>4152</v>
      </c>
      <c r="G5067" s="1" t="s">
        <v>4152</v>
      </c>
      <c r="H5067" s="1" t="s">
        <v>111</v>
      </c>
      <c r="I5067" s="1" t="s">
        <v>16</v>
      </c>
      <c r="J5067" s="1">
        <v>1</v>
      </c>
      <c r="K5067" s="1">
        <v>4</v>
      </c>
      <c r="L5067" s="1" t="s">
        <v>42</v>
      </c>
      <c r="M5067" s="1" t="s">
        <v>18</v>
      </c>
      <c r="N5067" s="1" t="s">
        <v>18</v>
      </c>
      <c r="O5067" s="1">
        <v>3</v>
      </c>
      <c r="P5067" s="1">
        <v>6</v>
      </c>
      <c r="R5067" s="1" t="s">
        <v>19</v>
      </c>
      <c r="S5067" s="1" t="s">
        <v>20</v>
      </c>
      <c r="T5067" s="1" t="s">
        <v>21</v>
      </c>
      <c r="U5067" s="1" t="s">
        <v>22</v>
      </c>
      <c r="V5067" s="1" t="s">
        <v>24</v>
      </c>
      <c r="W5067" s="1" t="s">
        <v>24</v>
      </c>
      <c r="X5067" s="1">
        <v>2730</v>
      </c>
      <c r="Y5067" s="1">
        <v>1306</v>
      </c>
      <c r="Z5067" s="1" t="s">
        <v>24</v>
      </c>
      <c r="AA5067" s="1" t="s">
        <v>24</v>
      </c>
      <c r="AB5067" s="1" t="s">
        <v>24</v>
      </c>
      <c r="AC5067" s="1" t="s">
        <v>24</v>
      </c>
      <c r="AD5067" s="1" t="s">
        <v>24</v>
      </c>
      <c r="AE5067" s="1" t="s">
        <v>24</v>
      </c>
      <c r="AF5067" s="22"/>
    </row>
    <row r="5068" spans="1:32" x14ac:dyDescent="0.2">
      <c r="A5068" s="1">
        <v>45983</v>
      </c>
      <c r="B5068" s="1" t="s">
        <v>15284</v>
      </c>
      <c r="C5068" s="5" t="s">
        <v>0</v>
      </c>
      <c r="D5068" s="1" t="s">
        <v>15285</v>
      </c>
      <c r="E5068" s="1" t="s">
        <v>15286</v>
      </c>
      <c r="F5068" s="1" t="s">
        <v>540</v>
      </c>
      <c r="G5068" s="1" t="s">
        <v>130</v>
      </c>
      <c r="H5068" s="1" t="s">
        <v>684</v>
      </c>
      <c r="I5068" s="1" t="s">
        <v>16</v>
      </c>
      <c r="J5068" s="1">
        <v>1</v>
      </c>
      <c r="K5068" s="1">
        <v>3</v>
      </c>
      <c r="L5068" s="1" t="s">
        <v>31</v>
      </c>
      <c r="M5068" s="1" t="s">
        <v>18</v>
      </c>
      <c r="N5068" s="1" t="s">
        <v>18</v>
      </c>
      <c r="O5068" s="1">
        <v>3</v>
      </c>
      <c r="P5068" s="1">
        <v>7</v>
      </c>
      <c r="Q5068" s="7" t="s">
        <v>17633</v>
      </c>
      <c r="R5068" s="1" t="s">
        <v>19</v>
      </c>
      <c r="S5068" s="1" t="s">
        <v>63</v>
      </c>
      <c r="T5068" s="1" t="s">
        <v>21</v>
      </c>
      <c r="U5068" s="1" t="s">
        <v>22</v>
      </c>
      <c r="V5068" s="1" t="s">
        <v>24</v>
      </c>
      <c r="W5068" s="1" t="s">
        <v>24</v>
      </c>
      <c r="X5068" s="1">
        <v>3614</v>
      </c>
      <c r="Y5068" s="1" t="s">
        <v>24</v>
      </c>
      <c r="Z5068" s="1" t="s">
        <v>24</v>
      </c>
      <c r="AA5068" s="1" t="s">
        <v>24</v>
      </c>
      <c r="AB5068" s="1" t="s">
        <v>24</v>
      </c>
      <c r="AC5068" s="1" t="s">
        <v>24</v>
      </c>
      <c r="AD5068" s="1" t="s">
        <v>24</v>
      </c>
      <c r="AE5068" s="1" t="s">
        <v>24</v>
      </c>
      <c r="AF5068" s="22"/>
    </row>
    <row r="5069" spans="1:32" x14ac:dyDescent="0.2">
      <c r="A5069" s="1">
        <v>45984</v>
      </c>
      <c r="B5069" s="1" t="s">
        <v>15287</v>
      </c>
      <c r="C5069" s="5" t="s">
        <v>0</v>
      </c>
      <c r="D5069" s="1" t="s">
        <v>15288</v>
      </c>
      <c r="E5069" s="1" t="s">
        <v>15289</v>
      </c>
      <c r="F5069" s="1" t="s">
        <v>2299</v>
      </c>
      <c r="G5069" s="1" t="s">
        <v>2300</v>
      </c>
      <c r="H5069" s="1" t="s">
        <v>92</v>
      </c>
      <c r="I5069" s="1" t="s">
        <v>16</v>
      </c>
      <c r="J5069" s="1">
        <v>1</v>
      </c>
      <c r="K5069" s="1">
        <v>4</v>
      </c>
      <c r="L5069" s="1" t="s">
        <v>31</v>
      </c>
      <c r="M5069" s="1" t="s">
        <v>18</v>
      </c>
      <c r="N5069" s="1" t="s">
        <v>18</v>
      </c>
      <c r="O5069" s="1">
        <v>3</v>
      </c>
      <c r="P5069" s="1">
        <v>7</v>
      </c>
      <c r="Q5069" s="7" t="s">
        <v>17633</v>
      </c>
      <c r="R5069" s="1" t="s">
        <v>19</v>
      </c>
      <c r="S5069" s="1" t="s">
        <v>63</v>
      </c>
      <c r="T5069" s="1" t="s">
        <v>21</v>
      </c>
      <c r="U5069" s="1" t="s">
        <v>22</v>
      </c>
      <c r="V5069" s="1" t="s">
        <v>24</v>
      </c>
      <c r="W5069" s="1" t="s">
        <v>24</v>
      </c>
      <c r="X5069" s="1">
        <v>2719</v>
      </c>
      <c r="Y5069" s="1">
        <v>2704</v>
      </c>
      <c r="Z5069" s="1">
        <v>3002</v>
      </c>
      <c r="AA5069" s="1" t="s">
        <v>24</v>
      </c>
      <c r="AB5069" s="1" t="s">
        <v>24</v>
      </c>
      <c r="AC5069" s="1" t="s">
        <v>24</v>
      </c>
      <c r="AD5069" s="1" t="s">
        <v>24</v>
      </c>
      <c r="AE5069" s="1" t="s">
        <v>24</v>
      </c>
      <c r="AF5069" s="22" t="s">
        <v>17670</v>
      </c>
    </row>
    <row r="5070" spans="1:32" x14ac:dyDescent="0.2">
      <c r="A5070" s="1">
        <v>45985</v>
      </c>
      <c r="B5070" s="1" t="s">
        <v>15290</v>
      </c>
      <c r="C5070" s="5" t="s">
        <v>0</v>
      </c>
      <c r="D5070" s="1" t="s">
        <v>15291</v>
      </c>
      <c r="E5070" s="1" t="s">
        <v>15292</v>
      </c>
      <c r="F5070" s="1" t="s">
        <v>179</v>
      </c>
      <c r="G5070" s="1" t="s">
        <v>130</v>
      </c>
      <c r="H5070" s="1" t="s">
        <v>30</v>
      </c>
      <c r="I5070" s="1" t="s">
        <v>16</v>
      </c>
      <c r="J5070" s="1">
        <v>1</v>
      </c>
      <c r="K5070" s="1">
        <v>4</v>
      </c>
      <c r="L5070" s="1" t="s">
        <v>31</v>
      </c>
      <c r="M5070" s="1" t="s">
        <v>18</v>
      </c>
      <c r="N5070" s="1" t="s">
        <v>18</v>
      </c>
      <c r="O5070" s="1">
        <v>3</v>
      </c>
      <c r="P5070" s="1">
        <v>7</v>
      </c>
      <c r="Q5070" s="7" t="s">
        <v>17633</v>
      </c>
      <c r="R5070" s="1" t="s">
        <v>19</v>
      </c>
      <c r="S5070" s="1" t="s">
        <v>63</v>
      </c>
      <c r="T5070" s="1" t="s">
        <v>21</v>
      </c>
      <c r="U5070" s="1" t="s">
        <v>22</v>
      </c>
      <c r="V5070" s="1" t="s">
        <v>24</v>
      </c>
      <c r="W5070" s="1" t="s">
        <v>24</v>
      </c>
      <c r="X5070" s="1">
        <v>2712</v>
      </c>
      <c r="Y5070" s="1">
        <v>2724</v>
      </c>
      <c r="Z5070" s="1" t="s">
        <v>24</v>
      </c>
      <c r="AA5070" s="1" t="s">
        <v>24</v>
      </c>
      <c r="AB5070" s="1" t="s">
        <v>24</v>
      </c>
      <c r="AC5070" s="1" t="s">
        <v>24</v>
      </c>
      <c r="AD5070" s="1" t="s">
        <v>24</v>
      </c>
      <c r="AE5070" s="1" t="s">
        <v>24</v>
      </c>
      <c r="AF5070" s="22"/>
    </row>
    <row r="5071" spans="1:32" x14ac:dyDescent="0.2">
      <c r="A5071" s="1">
        <v>45986</v>
      </c>
      <c r="B5071" s="1" t="s">
        <v>15293</v>
      </c>
      <c r="C5071" s="5" t="s">
        <v>0</v>
      </c>
      <c r="D5071" s="1" t="s">
        <v>15294</v>
      </c>
      <c r="E5071" s="1" t="s">
        <v>15295</v>
      </c>
      <c r="F5071" s="1" t="s">
        <v>167</v>
      </c>
      <c r="G5071" s="1" t="s">
        <v>130</v>
      </c>
      <c r="H5071" s="1" t="s">
        <v>168</v>
      </c>
      <c r="I5071" s="1" t="s">
        <v>16</v>
      </c>
      <c r="J5071" s="1">
        <v>1</v>
      </c>
      <c r="K5071" s="1">
        <v>4</v>
      </c>
      <c r="L5071" s="1" t="s">
        <v>31</v>
      </c>
      <c r="M5071" s="1" t="s">
        <v>18</v>
      </c>
      <c r="N5071" s="1" t="s">
        <v>18</v>
      </c>
      <c r="O5071" s="1">
        <v>3</v>
      </c>
      <c r="P5071" s="1">
        <v>7</v>
      </c>
      <c r="Q5071" s="7" t="s">
        <v>17633</v>
      </c>
      <c r="R5071" s="1" t="s">
        <v>19</v>
      </c>
      <c r="S5071" s="1" t="s">
        <v>20</v>
      </c>
      <c r="T5071" s="1" t="s">
        <v>21</v>
      </c>
      <c r="U5071" s="1" t="s">
        <v>22</v>
      </c>
      <c r="V5071" s="1" t="s">
        <v>24</v>
      </c>
      <c r="W5071" s="1" t="s">
        <v>24</v>
      </c>
      <c r="X5071" s="1">
        <v>2741</v>
      </c>
      <c r="Y5071" s="1" t="s">
        <v>24</v>
      </c>
      <c r="Z5071" s="1" t="s">
        <v>24</v>
      </c>
      <c r="AA5071" s="1" t="s">
        <v>24</v>
      </c>
      <c r="AB5071" s="1" t="s">
        <v>24</v>
      </c>
      <c r="AC5071" s="1" t="s">
        <v>24</v>
      </c>
      <c r="AD5071" s="1" t="s">
        <v>24</v>
      </c>
      <c r="AE5071" s="1" t="s">
        <v>24</v>
      </c>
      <c r="AF5071" s="22"/>
    </row>
    <row r="5072" spans="1:32" x14ac:dyDescent="0.2">
      <c r="A5072" s="1">
        <v>45987</v>
      </c>
      <c r="B5072" s="1" t="s">
        <v>15296</v>
      </c>
      <c r="C5072" s="5" t="s">
        <v>0</v>
      </c>
      <c r="D5072" s="1" t="s">
        <v>15297</v>
      </c>
      <c r="E5072" s="1" t="s">
        <v>15298</v>
      </c>
      <c r="F5072" s="1" t="s">
        <v>970</v>
      </c>
      <c r="G5072" s="1" t="s">
        <v>36</v>
      </c>
      <c r="H5072" s="1" t="s">
        <v>37</v>
      </c>
      <c r="I5072" s="1" t="s">
        <v>16</v>
      </c>
      <c r="J5072" s="1">
        <v>1</v>
      </c>
      <c r="K5072" s="1">
        <v>4</v>
      </c>
      <c r="L5072" s="1" t="s">
        <v>31</v>
      </c>
      <c r="M5072" s="1" t="s">
        <v>18</v>
      </c>
      <c r="N5072" s="1" t="s">
        <v>18</v>
      </c>
      <c r="O5072" s="1">
        <v>3</v>
      </c>
      <c r="P5072" s="1">
        <v>7</v>
      </c>
      <c r="Q5072" s="7" t="s">
        <v>17633</v>
      </c>
      <c r="R5072" s="1" t="s">
        <v>19</v>
      </c>
      <c r="S5072" s="1" t="s">
        <v>20</v>
      </c>
      <c r="T5072" s="1" t="s">
        <v>21</v>
      </c>
      <c r="U5072" s="1" t="s">
        <v>22</v>
      </c>
      <c r="V5072" s="1" t="s">
        <v>24</v>
      </c>
      <c r="W5072" s="1" t="s">
        <v>24</v>
      </c>
      <c r="X5072" s="1">
        <v>2001</v>
      </c>
      <c r="Y5072" s="1">
        <v>3001</v>
      </c>
      <c r="Z5072" s="1" t="s">
        <v>24</v>
      </c>
      <c r="AA5072" s="1" t="s">
        <v>24</v>
      </c>
      <c r="AB5072" s="1" t="s">
        <v>24</v>
      </c>
      <c r="AC5072" s="1" t="s">
        <v>24</v>
      </c>
      <c r="AD5072" s="1" t="s">
        <v>24</v>
      </c>
      <c r="AE5072" s="1" t="s">
        <v>24</v>
      </c>
      <c r="AF5072" s="22"/>
    </row>
    <row r="5073" spans="1:32" x14ac:dyDescent="0.2">
      <c r="A5073" s="1">
        <v>45988</v>
      </c>
      <c r="B5073" s="1" t="s">
        <v>15299</v>
      </c>
      <c r="C5073" s="5" t="s">
        <v>0</v>
      </c>
      <c r="D5073" s="1" t="s">
        <v>15300</v>
      </c>
      <c r="E5073" s="1" t="s">
        <v>15301</v>
      </c>
      <c r="F5073" s="1" t="s">
        <v>190</v>
      </c>
      <c r="G5073" s="1" t="s">
        <v>130</v>
      </c>
      <c r="H5073" s="1" t="s">
        <v>30</v>
      </c>
      <c r="I5073" s="1" t="s">
        <v>16</v>
      </c>
      <c r="J5073" s="1">
        <v>1</v>
      </c>
      <c r="K5073" s="1">
        <v>4</v>
      </c>
      <c r="L5073" s="1" t="s">
        <v>31</v>
      </c>
      <c r="M5073" s="1" t="s">
        <v>18</v>
      </c>
      <c r="N5073" s="1" t="s">
        <v>18</v>
      </c>
      <c r="O5073" s="1">
        <v>3</v>
      </c>
      <c r="P5073" s="1">
        <v>7</v>
      </c>
      <c r="Q5073" s="7" t="s">
        <v>17633</v>
      </c>
      <c r="R5073" s="1" t="s">
        <v>19</v>
      </c>
      <c r="S5073" s="1" t="s">
        <v>20</v>
      </c>
      <c r="T5073" s="1" t="s">
        <v>21</v>
      </c>
      <c r="U5073" s="1" t="s">
        <v>22</v>
      </c>
      <c r="V5073" s="1" t="s">
        <v>24</v>
      </c>
      <c r="W5073" s="1" t="s">
        <v>24</v>
      </c>
      <c r="X5073" s="1">
        <v>2204</v>
      </c>
      <c r="Y5073" s="1">
        <v>2705</v>
      </c>
      <c r="Z5073" s="1" t="s">
        <v>24</v>
      </c>
      <c r="AA5073" s="1" t="s">
        <v>24</v>
      </c>
      <c r="AB5073" s="1" t="s">
        <v>24</v>
      </c>
      <c r="AC5073" s="1" t="s">
        <v>24</v>
      </c>
      <c r="AD5073" s="1" t="s">
        <v>24</v>
      </c>
      <c r="AE5073" s="1" t="s">
        <v>24</v>
      </c>
      <c r="AF5073" s="22"/>
    </row>
    <row r="5074" spans="1:32" x14ac:dyDescent="0.2">
      <c r="A5074" s="1">
        <v>45989</v>
      </c>
      <c r="B5074" s="1" t="s">
        <v>15302</v>
      </c>
      <c r="C5074" s="5" t="s">
        <v>0</v>
      </c>
      <c r="E5074" s="1" t="s">
        <v>15303</v>
      </c>
      <c r="F5074" s="1" t="s">
        <v>15302</v>
      </c>
      <c r="G5074" s="1" t="s">
        <v>15302</v>
      </c>
      <c r="H5074" s="1" t="s">
        <v>899</v>
      </c>
      <c r="I5074" s="1" t="s">
        <v>16</v>
      </c>
      <c r="J5074" s="1">
        <v>1</v>
      </c>
      <c r="K5074" s="1">
        <v>4</v>
      </c>
      <c r="L5074" s="1" t="s">
        <v>42</v>
      </c>
      <c r="M5074" s="1" t="s">
        <v>18</v>
      </c>
      <c r="N5074" s="1" t="s">
        <v>18</v>
      </c>
      <c r="O5074" s="1">
        <v>2</v>
      </c>
      <c r="P5074" s="1">
        <v>6</v>
      </c>
      <c r="R5074" s="1" t="s">
        <v>19</v>
      </c>
      <c r="S5074" s="1" t="s">
        <v>20</v>
      </c>
      <c r="T5074" s="1" t="s">
        <v>21</v>
      </c>
      <c r="U5074" s="1" t="s">
        <v>22</v>
      </c>
      <c r="V5074" s="1" t="s">
        <v>24</v>
      </c>
      <c r="W5074" s="1" t="s">
        <v>24</v>
      </c>
      <c r="X5074" s="1">
        <v>1303</v>
      </c>
      <c r="Y5074" s="1">
        <v>1305</v>
      </c>
      <c r="Z5074" s="1">
        <v>1312</v>
      </c>
      <c r="AA5074" s="1">
        <v>1307</v>
      </c>
      <c r="AB5074" s="1" t="s">
        <v>24</v>
      </c>
      <c r="AC5074" s="1" t="s">
        <v>24</v>
      </c>
      <c r="AD5074" s="1" t="s">
        <v>24</v>
      </c>
      <c r="AE5074" s="1" t="s">
        <v>24</v>
      </c>
      <c r="AF5074" s="22"/>
    </row>
    <row r="5075" spans="1:32" x14ac:dyDescent="0.2">
      <c r="A5075" s="1">
        <v>45990</v>
      </c>
      <c r="B5075" s="1" t="s">
        <v>15304</v>
      </c>
      <c r="C5075" s="5" t="s">
        <v>0</v>
      </c>
      <c r="E5075" s="1" t="s">
        <v>15305</v>
      </c>
      <c r="F5075" s="1" t="s">
        <v>15119</v>
      </c>
      <c r="G5075" s="1" t="s">
        <v>15119</v>
      </c>
      <c r="H5075" s="1" t="s">
        <v>899</v>
      </c>
      <c r="I5075" s="1" t="s">
        <v>16</v>
      </c>
      <c r="J5075" s="1">
        <v>1</v>
      </c>
      <c r="K5075" s="1">
        <v>6</v>
      </c>
      <c r="L5075" s="1" t="s">
        <v>42</v>
      </c>
      <c r="M5075" s="1" t="s">
        <v>18</v>
      </c>
      <c r="N5075" s="1" t="s">
        <v>18</v>
      </c>
      <c r="O5075" s="1">
        <v>2</v>
      </c>
      <c r="P5075" s="1">
        <v>6</v>
      </c>
      <c r="R5075" s="1" t="s">
        <v>19</v>
      </c>
      <c r="S5075" s="1" t="s">
        <v>20</v>
      </c>
      <c r="T5075" s="1" t="s">
        <v>21</v>
      </c>
      <c r="U5075" s="1" t="s">
        <v>22</v>
      </c>
      <c r="V5075" s="1" t="s">
        <v>24</v>
      </c>
      <c r="W5075" s="1" t="s">
        <v>24</v>
      </c>
      <c r="X5075" s="1">
        <v>1600</v>
      </c>
      <c r="Y5075" s="1" t="s">
        <v>24</v>
      </c>
      <c r="Z5075" s="1" t="s">
        <v>24</v>
      </c>
      <c r="AA5075" s="1" t="s">
        <v>24</v>
      </c>
      <c r="AB5075" s="1" t="s">
        <v>24</v>
      </c>
      <c r="AC5075" s="1" t="s">
        <v>24</v>
      </c>
      <c r="AD5075" s="1" t="s">
        <v>24</v>
      </c>
      <c r="AE5075" s="1" t="s">
        <v>24</v>
      </c>
      <c r="AF5075" s="22"/>
    </row>
    <row r="5076" spans="1:32" x14ac:dyDescent="0.2">
      <c r="A5076" s="1">
        <v>45991</v>
      </c>
      <c r="B5076" s="1" t="s">
        <v>15306</v>
      </c>
      <c r="C5076" s="5" t="s">
        <v>0</v>
      </c>
      <c r="D5076" s="1" t="s">
        <v>15307</v>
      </c>
      <c r="E5076" s="1" t="s">
        <v>15308</v>
      </c>
      <c r="F5076" s="1" t="s">
        <v>15309</v>
      </c>
      <c r="G5076" s="1" t="s">
        <v>15309</v>
      </c>
      <c r="H5076" s="1" t="s">
        <v>1957</v>
      </c>
      <c r="I5076" s="1" t="s">
        <v>16</v>
      </c>
      <c r="J5076" s="1">
        <v>1</v>
      </c>
      <c r="K5076" s="1">
        <v>4</v>
      </c>
      <c r="L5076" s="1" t="s">
        <v>42</v>
      </c>
      <c r="M5076" s="1" t="s">
        <v>18</v>
      </c>
      <c r="N5076" s="1" t="s">
        <v>18</v>
      </c>
      <c r="O5076" s="1">
        <v>3</v>
      </c>
      <c r="P5076" s="1">
        <v>6</v>
      </c>
      <c r="R5076" s="1" t="s">
        <v>19</v>
      </c>
      <c r="S5076" s="1" t="s">
        <v>20</v>
      </c>
      <c r="T5076" s="1" t="s">
        <v>21</v>
      </c>
      <c r="U5076" s="1" t="s">
        <v>22</v>
      </c>
      <c r="V5076" s="1" t="s">
        <v>24</v>
      </c>
      <c r="W5076" s="1" t="s">
        <v>24</v>
      </c>
      <c r="X5076" s="1">
        <v>2715</v>
      </c>
      <c r="Y5076" s="1">
        <v>2721</v>
      </c>
      <c r="Z5076" s="1" t="s">
        <v>24</v>
      </c>
      <c r="AA5076" s="1" t="s">
        <v>24</v>
      </c>
      <c r="AB5076" s="1" t="s">
        <v>24</v>
      </c>
      <c r="AC5076" s="1" t="s">
        <v>24</v>
      </c>
      <c r="AD5076" s="1" t="s">
        <v>24</v>
      </c>
      <c r="AE5076" s="1" t="s">
        <v>24</v>
      </c>
      <c r="AF5076" s="22"/>
    </row>
    <row r="5077" spans="1:32" x14ac:dyDescent="0.2">
      <c r="A5077" s="1">
        <v>45992</v>
      </c>
      <c r="B5077" s="1" t="s">
        <v>15310</v>
      </c>
      <c r="C5077" s="5" t="s">
        <v>0</v>
      </c>
      <c r="E5077" s="1" t="s">
        <v>15311</v>
      </c>
      <c r="F5077" s="1" t="s">
        <v>15312</v>
      </c>
      <c r="G5077" s="1" t="s">
        <v>15312</v>
      </c>
      <c r="H5077" s="1" t="s">
        <v>684</v>
      </c>
      <c r="I5077" s="1" t="s">
        <v>16</v>
      </c>
      <c r="J5077" s="1">
        <v>1</v>
      </c>
      <c r="K5077" s="1">
        <v>1</v>
      </c>
      <c r="L5077" s="1" t="s">
        <v>42</v>
      </c>
      <c r="M5077" s="1" t="s">
        <v>18</v>
      </c>
      <c r="N5077" s="1" t="s">
        <v>18</v>
      </c>
      <c r="O5077" s="1">
        <v>2</v>
      </c>
      <c r="P5077" s="1">
        <v>6</v>
      </c>
      <c r="R5077" s="1" t="s">
        <v>19</v>
      </c>
      <c r="S5077" s="1" t="s">
        <v>63</v>
      </c>
      <c r="T5077" s="1" t="s">
        <v>21</v>
      </c>
      <c r="U5077" s="1" t="s">
        <v>22</v>
      </c>
      <c r="V5077" s="1" t="s">
        <v>24</v>
      </c>
      <c r="W5077" s="1" t="s">
        <v>24</v>
      </c>
      <c r="X5077" s="1">
        <v>2720</v>
      </c>
      <c r="Y5077" s="1">
        <v>2725</v>
      </c>
      <c r="Z5077" s="1" t="s">
        <v>24</v>
      </c>
      <c r="AA5077" s="1" t="s">
        <v>24</v>
      </c>
      <c r="AB5077" s="1" t="s">
        <v>24</v>
      </c>
      <c r="AC5077" s="1" t="s">
        <v>24</v>
      </c>
      <c r="AD5077" s="1" t="s">
        <v>24</v>
      </c>
      <c r="AE5077" s="1" t="s">
        <v>24</v>
      </c>
      <c r="AF5077" s="22"/>
    </row>
    <row r="5078" spans="1:32" x14ac:dyDescent="0.2">
      <c r="A5078" s="1">
        <v>45993</v>
      </c>
      <c r="B5078" s="1" t="s">
        <v>15313</v>
      </c>
      <c r="C5078" s="5" t="s">
        <v>0</v>
      </c>
      <c r="D5078" s="1" t="s">
        <v>15314</v>
      </c>
      <c r="E5078" s="1" t="s">
        <v>15315</v>
      </c>
      <c r="F5078" s="1" t="s">
        <v>97</v>
      </c>
      <c r="G5078" s="1" t="s">
        <v>98</v>
      </c>
      <c r="H5078" s="1" t="s">
        <v>37</v>
      </c>
      <c r="I5078" s="1" t="s">
        <v>16</v>
      </c>
      <c r="J5078" s="1">
        <v>1</v>
      </c>
      <c r="K5078" s="1">
        <v>6</v>
      </c>
      <c r="L5078" s="1" t="s">
        <v>31</v>
      </c>
      <c r="M5078" s="1" t="s">
        <v>18</v>
      </c>
      <c r="N5078" s="1" t="s">
        <v>18</v>
      </c>
      <c r="O5078" s="1">
        <v>3</v>
      </c>
      <c r="P5078" s="1">
        <v>7</v>
      </c>
      <c r="Q5078" s="7" t="s">
        <v>17633</v>
      </c>
      <c r="R5078" s="1" t="s">
        <v>19</v>
      </c>
      <c r="S5078" s="1" t="s">
        <v>20</v>
      </c>
      <c r="T5078" s="1" t="s">
        <v>21</v>
      </c>
      <c r="U5078" s="1" t="s">
        <v>22</v>
      </c>
      <c r="V5078" s="1" t="s">
        <v>24</v>
      </c>
      <c r="W5078" s="1" t="s">
        <v>24</v>
      </c>
      <c r="X5078" s="1">
        <v>2712</v>
      </c>
      <c r="Y5078" s="1" t="s">
        <v>24</v>
      </c>
      <c r="Z5078" s="1" t="s">
        <v>24</v>
      </c>
      <c r="AA5078" s="1" t="s">
        <v>24</v>
      </c>
      <c r="AB5078" s="1" t="s">
        <v>24</v>
      </c>
      <c r="AC5078" s="1" t="s">
        <v>24</v>
      </c>
      <c r="AD5078" s="1" t="s">
        <v>24</v>
      </c>
      <c r="AE5078" s="1" t="s">
        <v>24</v>
      </c>
      <c r="AF5078" s="22"/>
    </row>
    <row r="5079" spans="1:32" x14ac:dyDescent="0.2">
      <c r="A5079" s="1">
        <v>45994</v>
      </c>
      <c r="B5079" s="1" t="s">
        <v>15316</v>
      </c>
      <c r="C5079" s="5" t="s">
        <v>0</v>
      </c>
      <c r="D5079" s="1" t="s">
        <v>15317</v>
      </c>
      <c r="E5079" s="1" t="s">
        <v>15318</v>
      </c>
      <c r="F5079" s="1" t="s">
        <v>97</v>
      </c>
      <c r="G5079" s="1" t="s">
        <v>98</v>
      </c>
      <c r="H5079" s="1" t="s">
        <v>37</v>
      </c>
      <c r="I5079" s="1" t="s">
        <v>16</v>
      </c>
      <c r="J5079" s="1">
        <v>1</v>
      </c>
      <c r="K5079" s="1">
        <v>6</v>
      </c>
      <c r="L5079" s="1" t="s">
        <v>31</v>
      </c>
      <c r="M5079" s="1" t="s">
        <v>18</v>
      </c>
      <c r="N5079" s="1" t="s">
        <v>18</v>
      </c>
      <c r="O5079" s="1">
        <v>2</v>
      </c>
      <c r="P5079" s="1">
        <v>7</v>
      </c>
      <c r="Q5079" s="7" t="s">
        <v>17633</v>
      </c>
      <c r="R5079" s="1" t="s">
        <v>19</v>
      </c>
      <c r="S5079" s="1" t="s">
        <v>20</v>
      </c>
      <c r="T5079" s="1" t="s">
        <v>21</v>
      </c>
      <c r="U5079" s="1" t="s">
        <v>22</v>
      </c>
      <c r="V5079" s="1" t="s">
        <v>24</v>
      </c>
      <c r="W5079" s="1" t="s">
        <v>24</v>
      </c>
      <c r="X5079" s="1">
        <v>2701</v>
      </c>
      <c r="Y5079" s="1" t="s">
        <v>24</v>
      </c>
      <c r="Z5079" s="1" t="s">
        <v>24</v>
      </c>
      <c r="AA5079" s="1" t="s">
        <v>24</v>
      </c>
      <c r="AB5079" s="1" t="s">
        <v>24</v>
      </c>
      <c r="AC5079" s="1" t="s">
        <v>24</v>
      </c>
      <c r="AD5079" s="1" t="s">
        <v>24</v>
      </c>
      <c r="AE5079" s="1" t="s">
        <v>24</v>
      </c>
      <c r="AF5079" s="22"/>
    </row>
    <row r="5080" spans="1:32" x14ac:dyDescent="0.2">
      <c r="A5080" s="1">
        <v>45995</v>
      </c>
      <c r="B5080" s="1" t="s">
        <v>15319</v>
      </c>
      <c r="C5080" s="5" t="s">
        <v>0</v>
      </c>
      <c r="D5080" s="1" t="s">
        <v>15320</v>
      </c>
      <c r="F5080" s="1" t="s">
        <v>15321</v>
      </c>
      <c r="G5080" s="1" t="s">
        <v>15321</v>
      </c>
      <c r="H5080" s="1" t="s">
        <v>4064</v>
      </c>
      <c r="I5080" s="1" t="s">
        <v>16</v>
      </c>
      <c r="J5080" s="1">
        <v>1</v>
      </c>
      <c r="K5080" s="1">
        <v>6</v>
      </c>
      <c r="L5080" s="1" t="s">
        <v>42</v>
      </c>
      <c r="M5080" s="1" t="s">
        <v>9604</v>
      </c>
      <c r="N5080" s="1" t="s">
        <v>9604</v>
      </c>
      <c r="O5080" s="1">
        <v>2</v>
      </c>
      <c r="P5080" s="1">
        <v>6</v>
      </c>
      <c r="R5080" s="1" t="s">
        <v>19</v>
      </c>
      <c r="S5080" s="1" t="s">
        <v>20</v>
      </c>
      <c r="T5080" s="1" t="s">
        <v>21</v>
      </c>
      <c r="U5080" s="1" t="s">
        <v>22</v>
      </c>
      <c r="V5080" s="1" t="s">
        <v>24</v>
      </c>
      <c r="W5080" s="1" t="s">
        <v>24</v>
      </c>
      <c r="X5080" s="1">
        <v>1502</v>
      </c>
      <c r="Y5080" s="1">
        <v>3002</v>
      </c>
      <c r="Z5080" s="1" t="s">
        <v>24</v>
      </c>
      <c r="AA5080" s="1" t="s">
        <v>24</v>
      </c>
      <c r="AB5080" s="1" t="s">
        <v>24</v>
      </c>
      <c r="AC5080" s="1" t="s">
        <v>24</v>
      </c>
      <c r="AD5080" s="1" t="s">
        <v>24</v>
      </c>
      <c r="AE5080" s="1" t="s">
        <v>24</v>
      </c>
      <c r="AF5080" s="22"/>
    </row>
    <row r="5081" spans="1:32" x14ac:dyDescent="0.2">
      <c r="A5081" s="1">
        <v>45996</v>
      </c>
      <c r="B5081" s="1" t="s">
        <v>15322</v>
      </c>
      <c r="C5081" s="5" t="s">
        <v>0</v>
      </c>
      <c r="D5081" s="1" t="s">
        <v>15323</v>
      </c>
      <c r="E5081" s="1" t="s">
        <v>15324</v>
      </c>
      <c r="F5081" s="1" t="s">
        <v>10332</v>
      </c>
      <c r="G5081" s="1" t="s">
        <v>10332</v>
      </c>
      <c r="H5081" s="1" t="s">
        <v>30</v>
      </c>
      <c r="I5081" s="1" t="s">
        <v>16</v>
      </c>
      <c r="J5081" s="1">
        <v>1</v>
      </c>
      <c r="K5081" s="1">
        <v>4</v>
      </c>
      <c r="L5081" s="1" t="s">
        <v>42</v>
      </c>
      <c r="M5081" s="1" t="s">
        <v>18</v>
      </c>
      <c r="N5081" s="1" t="s">
        <v>18</v>
      </c>
      <c r="O5081" s="1">
        <v>3</v>
      </c>
      <c r="P5081" s="1">
        <v>6</v>
      </c>
      <c r="R5081" s="1" t="s">
        <v>19</v>
      </c>
      <c r="S5081" s="1" t="s">
        <v>63</v>
      </c>
      <c r="T5081" s="1" t="s">
        <v>21</v>
      </c>
      <c r="U5081" s="1" t="s">
        <v>22</v>
      </c>
      <c r="V5081" s="1" t="s">
        <v>24</v>
      </c>
      <c r="W5081" s="1" t="s">
        <v>24</v>
      </c>
      <c r="X5081" s="1">
        <v>1301</v>
      </c>
      <c r="Y5081" s="1">
        <v>1303</v>
      </c>
      <c r="Z5081" s="1">
        <v>1311</v>
      </c>
      <c r="AA5081" s="1">
        <v>1312</v>
      </c>
      <c r="AB5081" s="1" t="s">
        <v>24</v>
      </c>
      <c r="AC5081" s="1" t="s">
        <v>24</v>
      </c>
      <c r="AD5081" s="1" t="s">
        <v>24</v>
      </c>
      <c r="AE5081" s="1" t="s">
        <v>24</v>
      </c>
      <c r="AF5081" s="22"/>
    </row>
    <row r="5082" spans="1:32" x14ac:dyDescent="0.2">
      <c r="A5082" s="1">
        <v>45997</v>
      </c>
      <c r="B5082" s="1" t="s">
        <v>15325</v>
      </c>
      <c r="C5082" s="5" t="s">
        <v>0</v>
      </c>
      <c r="D5082" s="1" t="s">
        <v>15326</v>
      </c>
      <c r="E5082" s="1" t="s">
        <v>15327</v>
      </c>
      <c r="F5082" s="1" t="s">
        <v>10332</v>
      </c>
      <c r="G5082" s="1" t="s">
        <v>10332</v>
      </c>
      <c r="H5082" s="1" t="s">
        <v>30</v>
      </c>
      <c r="I5082" s="1" t="s">
        <v>16</v>
      </c>
      <c r="J5082" s="1">
        <v>1</v>
      </c>
      <c r="K5082" s="1">
        <v>6</v>
      </c>
      <c r="L5082" s="1" t="s">
        <v>42</v>
      </c>
      <c r="M5082" s="1" t="s">
        <v>18</v>
      </c>
      <c r="N5082" s="1" t="s">
        <v>18</v>
      </c>
      <c r="O5082" s="1">
        <v>2</v>
      </c>
      <c r="P5082" s="1">
        <v>6</v>
      </c>
      <c r="R5082" s="1" t="s">
        <v>19</v>
      </c>
      <c r="S5082" s="1" t="s">
        <v>63</v>
      </c>
      <c r="T5082" s="1" t="s">
        <v>21</v>
      </c>
      <c r="U5082" s="1" t="s">
        <v>22</v>
      </c>
      <c r="V5082" s="1" t="s">
        <v>24</v>
      </c>
      <c r="W5082" s="1" t="s">
        <v>24</v>
      </c>
      <c r="X5082" s="1">
        <v>1303</v>
      </c>
      <c r="Y5082" s="1">
        <v>1305</v>
      </c>
      <c r="Z5082" s="1">
        <v>1311</v>
      </c>
      <c r="AA5082" s="1" t="s">
        <v>24</v>
      </c>
      <c r="AB5082" s="1" t="s">
        <v>24</v>
      </c>
      <c r="AC5082" s="1" t="s">
        <v>24</v>
      </c>
      <c r="AD5082" s="1" t="s">
        <v>24</v>
      </c>
      <c r="AE5082" s="1" t="s">
        <v>24</v>
      </c>
      <c r="AF5082" s="22"/>
    </row>
    <row r="5083" spans="1:32" x14ac:dyDescent="0.2">
      <c r="A5083" s="1">
        <v>45998</v>
      </c>
      <c r="B5083" s="1" t="s">
        <v>15328</v>
      </c>
      <c r="C5083" s="5" t="s">
        <v>0</v>
      </c>
      <c r="D5083" s="1" t="s">
        <v>15329</v>
      </c>
      <c r="E5083" s="1" t="s">
        <v>15330</v>
      </c>
      <c r="F5083" s="1" t="s">
        <v>15331</v>
      </c>
      <c r="G5083" s="1" t="s">
        <v>15332</v>
      </c>
      <c r="H5083" s="1" t="s">
        <v>30</v>
      </c>
      <c r="I5083" s="1" t="s">
        <v>16</v>
      </c>
      <c r="J5083" s="1">
        <v>1</v>
      </c>
      <c r="K5083" s="1">
        <v>4</v>
      </c>
      <c r="L5083" s="1" t="s">
        <v>42</v>
      </c>
      <c r="M5083" s="1" t="s">
        <v>18</v>
      </c>
      <c r="N5083" s="1" t="s">
        <v>18</v>
      </c>
      <c r="O5083" s="1">
        <v>2</v>
      </c>
      <c r="P5083" s="1">
        <v>6</v>
      </c>
      <c r="R5083" s="1" t="s">
        <v>19</v>
      </c>
      <c r="S5083" s="1" t="s">
        <v>63</v>
      </c>
      <c r="T5083" s="1" t="s">
        <v>21</v>
      </c>
      <c r="U5083" s="1" t="s">
        <v>22</v>
      </c>
      <c r="V5083" s="1" t="s">
        <v>24</v>
      </c>
      <c r="W5083" s="1" t="s">
        <v>24</v>
      </c>
      <c r="X5083" s="1">
        <v>1305</v>
      </c>
      <c r="Y5083" s="1">
        <v>1110</v>
      </c>
      <c r="Z5083" s="1" t="s">
        <v>24</v>
      </c>
      <c r="AA5083" s="1" t="s">
        <v>24</v>
      </c>
      <c r="AB5083" s="1" t="s">
        <v>24</v>
      </c>
      <c r="AC5083" s="1" t="s">
        <v>24</v>
      </c>
      <c r="AD5083" s="1" t="s">
        <v>24</v>
      </c>
      <c r="AE5083" s="1" t="s">
        <v>24</v>
      </c>
      <c r="AF5083" s="22"/>
    </row>
    <row r="5084" spans="1:32" x14ac:dyDescent="0.2">
      <c r="A5084" s="1">
        <v>45999</v>
      </c>
      <c r="B5084" s="1" t="s">
        <v>15333</v>
      </c>
      <c r="C5084" s="5" t="s">
        <v>0</v>
      </c>
      <c r="D5084" s="1" t="s">
        <v>15334</v>
      </c>
      <c r="F5084" s="1" t="s">
        <v>11666</v>
      </c>
      <c r="G5084" s="1" t="s">
        <v>11666</v>
      </c>
      <c r="H5084" s="1" t="s">
        <v>30</v>
      </c>
      <c r="I5084" s="1" t="s">
        <v>16</v>
      </c>
      <c r="J5084" s="1">
        <v>1</v>
      </c>
      <c r="K5084" s="1">
        <v>12</v>
      </c>
      <c r="L5084" s="1" t="s">
        <v>42</v>
      </c>
      <c r="M5084" s="1" t="s">
        <v>18</v>
      </c>
      <c r="N5084" s="1" t="s">
        <v>18</v>
      </c>
      <c r="O5084" s="1">
        <v>3</v>
      </c>
      <c r="P5084" s="1">
        <v>6</v>
      </c>
      <c r="R5084" s="1" t="s">
        <v>19</v>
      </c>
      <c r="S5084" s="1" t="s">
        <v>20</v>
      </c>
      <c r="T5084" s="1" t="s">
        <v>21</v>
      </c>
      <c r="U5084" s="1" t="s">
        <v>22</v>
      </c>
      <c r="V5084" s="1" t="s">
        <v>24</v>
      </c>
      <c r="W5084" s="1" t="s">
        <v>24</v>
      </c>
      <c r="X5084" s="1">
        <v>3003</v>
      </c>
      <c r="Y5084" s="1" t="s">
        <v>24</v>
      </c>
      <c r="Z5084" s="1" t="s">
        <v>24</v>
      </c>
      <c r="AA5084" s="1" t="s">
        <v>24</v>
      </c>
      <c r="AB5084" s="1" t="s">
        <v>24</v>
      </c>
      <c r="AC5084" s="1" t="s">
        <v>24</v>
      </c>
      <c r="AD5084" s="1" t="s">
        <v>24</v>
      </c>
      <c r="AE5084" s="1" t="s">
        <v>24</v>
      </c>
      <c r="AF5084" s="22" t="s">
        <v>17678</v>
      </c>
    </row>
    <row r="5085" spans="1:32" x14ac:dyDescent="0.2">
      <c r="A5085" s="1">
        <v>46000</v>
      </c>
      <c r="B5085" s="1" t="s">
        <v>15335</v>
      </c>
      <c r="C5085" s="5" t="s">
        <v>0</v>
      </c>
      <c r="D5085" s="1" t="s">
        <v>15336</v>
      </c>
      <c r="E5085" s="1" t="s">
        <v>15337</v>
      </c>
      <c r="F5085" s="1" t="s">
        <v>129</v>
      </c>
      <c r="G5085" s="1" t="s">
        <v>130</v>
      </c>
      <c r="H5085" s="1" t="s">
        <v>131</v>
      </c>
      <c r="I5085" s="1" t="s">
        <v>16</v>
      </c>
      <c r="J5085" s="1">
        <v>1</v>
      </c>
      <c r="K5085" s="1">
        <v>6</v>
      </c>
      <c r="L5085" s="1" t="s">
        <v>31</v>
      </c>
      <c r="M5085" s="1" t="s">
        <v>18</v>
      </c>
      <c r="N5085" s="1" t="s">
        <v>18</v>
      </c>
      <c r="O5085" s="1">
        <v>3</v>
      </c>
      <c r="P5085" s="1">
        <v>7</v>
      </c>
      <c r="Q5085" s="7" t="s">
        <v>17633</v>
      </c>
      <c r="R5085" s="1" t="s">
        <v>19</v>
      </c>
      <c r="S5085" s="1" t="s">
        <v>20</v>
      </c>
      <c r="T5085" s="1" t="s">
        <v>21</v>
      </c>
      <c r="U5085" s="1" t="s">
        <v>22</v>
      </c>
      <c r="V5085" s="1" t="s">
        <v>24</v>
      </c>
      <c r="W5085" s="1" t="s">
        <v>24</v>
      </c>
      <c r="X5085" s="1">
        <v>1606</v>
      </c>
      <c r="Y5085" s="1">
        <v>3003</v>
      </c>
      <c r="Z5085" s="1">
        <v>2730</v>
      </c>
      <c r="AA5085" s="1">
        <v>2204</v>
      </c>
      <c r="AB5085" s="1" t="s">
        <v>24</v>
      </c>
      <c r="AC5085" s="1" t="s">
        <v>24</v>
      </c>
      <c r="AD5085" s="1" t="s">
        <v>24</v>
      </c>
      <c r="AE5085" s="1" t="s">
        <v>24</v>
      </c>
      <c r="AF5085" s="22"/>
    </row>
    <row r="5086" spans="1:32" x14ac:dyDescent="0.2">
      <c r="A5086" s="1">
        <v>46001</v>
      </c>
      <c r="B5086" s="1" t="s">
        <v>15338</v>
      </c>
      <c r="C5086" s="5" t="s">
        <v>0</v>
      </c>
      <c r="D5086" s="1" t="s">
        <v>15339</v>
      </c>
      <c r="E5086" s="1" t="s">
        <v>15340</v>
      </c>
      <c r="F5086" s="1" t="s">
        <v>970</v>
      </c>
      <c r="G5086" s="1" t="s">
        <v>36</v>
      </c>
      <c r="H5086" s="1" t="s">
        <v>37</v>
      </c>
      <c r="I5086" s="1" t="s">
        <v>16</v>
      </c>
      <c r="J5086" s="1">
        <v>1</v>
      </c>
      <c r="K5086" s="1">
        <v>6</v>
      </c>
      <c r="L5086" s="1" t="s">
        <v>31</v>
      </c>
      <c r="M5086" s="1" t="s">
        <v>18</v>
      </c>
      <c r="N5086" s="1" t="s">
        <v>18</v>
      </c>
      <c r="O5086" s="1">
        <v>3</v>
      </c>
      <c r="P5086" s="1">
        <v>7</v>
      </c>
      <c r="Q5086" s="7" t="s">
        <v>17633</v>
      </c>
      <c r="R5086" s="1" t="s">
        <v>19</v>
      </c>
      <c r="S5086" s="1" t="s">
        <v>20</v>
      </c>
      <c r="T5086" s="1" t="s">
        <v>21</v>
      </c>
      <c r="U5086" s="1" t="s">
        <v>22</v>
      </c>
      <c r="V5086" s="1" t="s">
        <v>24</v>
      </c>
      <c r="W5086" s="1" t="s">
        <v>24</v>
      </c>
      <c r="X5086" s="1">
        <v>2712</v>
      </c>
      <c r="Y5086" s="1">
        <v>2724</v>
      </c>
      <c r="Z5086" s="1" t="s">
        <v>24</v>
      </c>
      <c r="AA5086" s="1" t="s">
        <v>24</v>
      </c>
      <c r="AB5086" s="1" t="s">
        <v>24</v>
      </c>
      <c r="AC5086" s="1" t="s">
        <v>24</v>
      </c>
      <c r="AD5086" s="1" t="s">
        <v>24</v>
      </c>
      <c r="AE5086" s="1" t="s">
        <v>24</v>
      </c>
      <c r="AF5086" s="22"/>
    </row>
    <row r="5087" spans="1:32" x14ac:dyDescent="0.2">
      <c r="A5087" s="1">
        <v>46011</v>
      </c>
      <c r="B5087" s="1" t="s">
        <v>14399</v>
      </c>
      <c r="C5087" s="5" t="s">
        <v>0</v>
      </c>
      <c r="D5087" s="1" t="s">
        <v>15341</v>
      </c>
      <c r="E5087" s="1" t="s">
        <v>15342</v>
      </c>
      <c r="F5087" s="1" t="s">
        <v>12374</v>
      </c>
      <c r="G5087" s="1" t="s">
        <v>12374</v>
      </c>
      <c r="H5087" s="1" t="s">
        <v>37</v>
      </c>
      <c r="I5087" s="1" t="s">
        <v>16</v>
      </c>
      <c r="J5087" s="1">
        <v>1</v>
      </c>
      <c r="K5087" s="1">
        <v>1</v>
      </c>
      <c r="L5087" s="1" t="s">
        <v>42</v>
      </c>
      <c r="M5087" s="1" t="s">
        <v>18</v>
      </c>
      <c r="N5087" s="1" t="s">
        <v>18</v>
      </c>
      <c r="O5087" s="1">
        <v>3</v>
      </c>
      <c r="P5087" s="1">
        <v>6</v>
      </c>
      <c r="R5087" s="1" t="s">
        <v>19</v>
      </c>
      <c r="S5087" s="1" t="s">
        <v>20</v>
      </c>
      <c r="T5087" s="1" t="s">
        <v>21</v>
      </c>
      <c r="U5087" s="1" t="s">
        <v>22</v>
      </c>
      <c r="V5087" s="1" t="s">
        <v>24</v>
      </c>
      <c r="W5087" s="1" t="s">
        <v>24</v>
      </c>
      <c r="X5087" s="1">
        <v>2705</v>
      </c>
      <c r="Y5087" s="1" t="s">
        <v>24</v>
      </c>
      <c r="Z5087" s="1" t="s">
        <v>24</v>
      </c>
      <c r="AA5087" s="1" t="s">
        <v>24</v>
      </c>
      <c r="AB5087" s="1" t="s">
        <v>24</v>
      </c>
      <c r="AC5087" s="1" t="s">
        <v>24</v>
      </c>
      <c r="AD5087" s="1" t="s">
        <v>24</v>
      </c>
      <c r="AE5087" s="1" t="s">
        <v>24</v>
      </c>
      <c r="AF5087" s="22" t="s">
        <v>50549</v>
      </c>
    </row>
    <row r="5088" spans="1:32" x14ac:dyDescent="0.2">
      <c r="A5088" s="1">
        <v>46013</v>
      </c>
      <c r="B5088" s="1" t="s">
        <v>15343</v>
      </c>
      <c r="C5088" s="5" t="s">
        <v>0</v>
      </c>
      <c r="D5088" s="1" t="s">
        <v>15344</v>
      </c>
      <c r="E5088" s="1" t="s">
        <v>15345</v>
      </c>
      <c r="F5088" s="1" t="s">
        <v>15346</v>
      </c>
      <c r="G5088" s="1" t="s">
        <v>460</v>
      </c>
      <c r="H5088" s="1" t="s">
        <v>461</v>
      </c>
      <c r="I5088" s="1" t="s">
        <v>16</v>
      </c>
      <c r="J5088" s="1">
        <v>1</v>
      </c>
      <c r="K5088" s="1">
        <v>4</v>
      </c>
      <c r="L5088" s="1" t="s">
        <v>42</v>
      </c>
      <c r="M5088" s="1" t="s">
        <v>18</v>
      </c>
      <c r="N5088" s="1" t="s">
        <v>18</v>
      </c>
      <c r="O5088" s="1">
        <v>3</v>
      </c>
      <c r="P5088" s="1">
        <v>6</v>
      </c>
      <c r="R5088" s="1" t="s">
        <v>19</v>
      </c>
      <c r="S5088" s="1" t="s">
        <v>20</v>
      </c>
      <c r="T5088" s="1" t="s">
        <v>21</v>
      </c>
      <c r="U5088" s="1" t="s">
        <v>22</v>
      </c>
      <c r="V5088" s="1" t="s">
        <v>24</v>
      </c>
      <c r="W5088" s="1" t="s">
        <v>24</v>
      </c>
      <c r="X5088" s="1">
        <v>2204</v>
      </c>
      <c r="Y5088" s="1">
        <v>2746</v>
      </c>
      <c r="Z5088" s="1" t="s">
        <v>24</v>
      </c>
      <c r="AA5088" s="1" t="s">
        <v>24</v>
      </c>
      <c r="AB5088" s="1" t="s">
        <v>24</v>
      </c>
      <c r="AC5088" s="1" t="s">
        <v>24</v>
      </c>
      <c r="AD5088" s="1" t="s">
        <v>24</v>
      </c>
      <c r="AE5088" s="1" t="s">
        <v>24</v>
      </c>
      <c r="AF5088" s="22"/>
    </row>
    <row r="5089" spans="1:32" x14ac:dyDescent="0.2">
      <c r="A5089" s="1">
        <v>46017</v>
      </c>
      <c r="B5089" s="1" t="s">
        <v>15347</v>
      </c>
      <c r="C5089" s="5" t="s">
        <v>0</v>
      </c>
      <c r="D5089" s="1" t="s">
        <v>15348</v>
      </c>
      <c r="E5089" s="1" t="s">
        <v>15349</v>
      </c>
      <c r="F5089" s="1" t="s">
        <v>13507</v>
      </c>
      <c r="G5089" s="1" t="s">
        <v>13508</v>
      </c>
      <c r="H5089" s="1" t="s">
        <v>135</v>
      </c>
      <c r="I5089" s="1" t="s">
        <v>16</v>
      </c>
      <c r="J5089" s="1">
        <v>1</v>
      </c>
      <c r="K5089" s="1">
        <v>6</v>
      </c>
      <c r="L5089" s="1" t="s">
        <v>42</v>
      </c>
      <c r="M5089" s="1" t="s">
        <v>1131</v>
      </c>
      <c r="N5089" s="1" t="s">
        <v>5887</v>
      </c>
      <c r="O5089" s="1">
        <v>3</v>
      </c>
      <c r="P5089" s="1">
        <v>5</v>
      </c>
      <c r="R5089" s="1" t="s">
        <v>19</v>
      </c>
      <c r="S5089" s="1" t="s">
        <v>20</v>
      </c>
      <c r="T5089" s="1" t="s">
        <v>21</v>
      </c>
      <c r="U5089" s="1" t="s">
        <v>22</v>
      </c>
      <c r="V5089" s="1" t="s">
        <v>24</v>
      </c>
      <c r="W5089" s="1" t="s">
        <v>24</v>
      </c>
      <c r="X5089" s="1">
        <v>2730</v>
      </c>
      <c r="Y5089" s="1">
        <v>1306</v>
      </c>
      <c r="Z5089" s="1" t="s">
        <v>24</v>
      </c>
      <c r="AA5089" s="1" t="s">
        <v>24</v>
      </c>
      <c r="AB5089" s="1" t="s">
        <v>24</v>
      </c>
      <c r="AC5089" s="1" t="s">
        <v>24</v>
      </c>
      <c r="AD5089" s="1" t="s">
        <v>24</v>
      </c>
      <c r="AE5089" s="1" t="s">
        <v>24</v>
      </c>
      <c r="AF5089" s="22" t="s">
        <v>17713</v>
      </c>
    </row>
    <row r="5090" spans="1:32" x14ac:dyDescent="0.2">
      <c r="A5090" s="1">
        <v>46022</v>
      </c>
      <c r="B5090" s="1" t="s">
        <v>15350</v>
      </c>
      <c r="C5090" s="5" t="s">
        <v>0</v>
      </c>
      <c r="D5090" s="1" t="s">
        <v>15351</v>
      </c>
      <c r="F5090" s="1" t="s">
        <v>831</v>
      </c>
      <c r="G5090" s="1" t="s">
        <v>61</v>
      </c>
      <c r="H5090" s="1" t="s">
        <v>37</v>
      </c>
      <c r="I5090" s="1" t="s">
        <v>16</v>
      </c>
      <c r="J5090" s="1">
        <v>1</v>
      </c>
      <c r="K5090" s="1">
        <v>6</v>
      </c>
      <c r="L5090" s="1" t="s">
        <v>31</v>
      </c>
      <c r="M5090" s="1" t="s">
        <v>18</v>
      </c>
      <c r="N5090" s="1" t="s">
        <v>18</v>
      </c>
      <c r="O5090" s="1">
        <v>2</v>
      </c>
      <c r="P5090" s="1">
        <v>7</v>
      </c>
      <c r="Q5090" s="7" t="s">
        <v>17633</v>
      </c>
      <c r="R5090" s="1" t="s">
        <v>19</v>
      </c>
      <c r="S5090" s="1" t="s">
        <v>20</v>
      </c>
      <c r="T5090" s="1" t="s">
        <v>21</v>
      </c>
      <c r="U5090" s="1" t="s">
        <v>22</v>
      </c>
      <c r="V5090" s="1" t="s">
        <v>23</v>
      </c>
      <c r="W5090" s="1" t="s">
        <v>24</v>
      </c>
      <c r="X5090" s="1">
        <v>2703</v>
      </c>
      <c r="Y5090" s="1">
        <v>2706</v>
      </c>
      <c r="Z5090" s="1" t="s">
        <v>24</v>
      </c>
      <c r="AA5090" s="1" t="s">
        <v>24</v>
      </c>
      <c r="AB5090" s="1" t="s">
        <v>24</v>
      </c>
      <c r="AC5090" s="1" t="s">
        <v>24</v>
      </c>
      <c r="AD5090" s="1" t="s">
        <v>24</v>
      </c>
      <c r="AE5090" s="1" t="s">
        <v>24</v>
      </c>
      <c r="AF5090" s="22"/>
    </row>
    <row r="5091" spans="1:32" x14ac:dyDescent="0.2">
      <c r="A5091" s="1">
        <v>46123</v>
      </c>
      <c r="B5091" s="1" t="s">
        <v>15352</v>
      </c>
      <c r="C5091" s="5" t="s">
        <v>0</v>
      </c>
      <c r="D5091" s="1" t="s">
        <v>15353</v>
      </c>
      <c r="E5091" s="1" t="s">
        <v>15354</v>
      </c>
      <c r="F5091" s="1" t="s">
        <v>272</v>
      </c>
      <c r="G5091" s="1" t="s">
        <v>61</v>
      </c>
      <c r="H5091" s="1" t="s">
        <v>30</v>
      </c>
      <c r="I5091" s="1" t="s">
        <v>16</v>
      </c>
      <c r="J5091" s="1">
        <v>1</v>
      </c>
      <c r="K5091" s="1">
        <v>6</v>
      </c>
      <c r="L5091" s="1" t="s">
        <v>31</v>
      </c>
      <c r="M5091" s="1" t="s">
        <v>18</v>
      </c>
      <c r="N5091" s="1" t="s">
        <v>18</v>
      </c>
      <c r="O5091" s="1">
        <v>3</v>
      </c>
      <c r="P5091" s="1">
        <v>6</v>
      </c>
      <c r="R5091" s="1" t="s">
        <v>19</v>
      </c>
      <c r="S5091" s="1" t="s">
        <v>20</v>
      </c>
      <c r="T5091" s="1" t="s">
        <v>21</v>
      </c>
      <c r="U5091" s="1" t="s">
        <v>22</v>
      </c>
      <c r="V5091" s="1" t="s">
        <v>23</v>
      </c>
      <c r="W5091" s="1" t="s">
        <v>24</v>
      </c>
      <c r="X5091" s="1">
        <v>1306</v>
      </c>
      <c r="Y5091" s="1">
        <v>2720</v>
      </c>
      <c r="Z5091" s="1">
        <v>2730</v>
      </c>
      <c r="AA5091" s="1" t="s">
        <v>24</v>
      </c>
      <c r="AB5091" s="1" t="s">
        <v>24</v>
      </c>
      <c r="AC5091" s="1" t="s">
        <v>24</v>
      </c>
      <c r="AD5091" s="1" t="s">
        <v>24</v>
      </c>
      <c r="AE5091" s="1" t="s">
        <v>24</v>
      </c>
      <c r="AF5091" s="22"/>
    </row>
    <row r="5092" spans="1:32" x14ac:dyDescent="0.2">
      <c r="A5092" s="1">
        <v>46124</v>
      </c>
      <c r="B5092" s="1" t="s">
        <v>15355</v>
      </c>
      <c r="C5092" s="5" t="s">
        <v>0</v>
      </c>
      <c r="D5092" s="1" t="s">
        <v>15356</v>
      </c>
      <c r="F5092" s="1" t="s">
        <v>272</v>
      </c>
      <c r="G5092" s="1" t="s">
        <v>61</v>
      </c>
      <c r="H5092" s="1" t="s">
        <v>30</v>
      </c>
      <c r="I5092" s="1" t="s">
        <v>16</v>
      </c>
      <c r="J5092" s="1">
        <v>1</v>
      </c>
      <c r="K5092" s="1">
        <v>4</v>
      </c>
      <c r="L5092" s="1" t="s">
        <v>31</v>
      </c>
      <c r="M5092" s="1" t="s">
        <v>18</v>
      </c>
      <c r="N5092" s="1" t="s">
        <v>18</v>
      </c>
      <c r="O5092" s="1">
        <v>3</v>
      </c>
      <c r="P5092" s="1">
        <v>7</v>
      </c>
      <c r="Q5092" s="7" t="s">
        <v>17633</v>
      </c>
      <c r="R5092" s="1" t="s">
        <v>19</v>
      </c>
      <c r="S5092" s="1" t="s">
        <v>20</v>
      </c>
      <c r="T5092" s="1" t="s">
        <v>21</v>
      </c>
      <c r="U5092" s="1" t="s">
        <v>22</v>
      </c>
      <c r="V5092" s="1" t="s">
        <v>24</v>
      </c>
      <c r="W5092" s="1" t="s">
        <v>24</v>
      </c>
      <c r="X5092" s="1">
        <v>1300</v>
      </c>
      <c r="Y5092" s="1">
        <v>2204</v>
      </c>
      <c r="Z5092" s="1">
        <v>2700</v>
      </c>
      <c r="AA5092" s="1">
        <v>3002</v>
      </c>
      <c r="AB5092" s="1" t="s">
        <v>24</v>
      </c>
      <c r="AC5092" s="1" t="s">
        <v>24</v>
      </c>
      <c r="AD5092" s="1" t="s">
        <v>24</v>
      </c>
      <c r="AE5092" s="1" t="s">
        <v>24</v>
      </c>
      <c r="AF5092" s="22"/>
    </row>
    <row r="5093" spans="1:32" x14ac:dyDescent="0.2">
      <c r="A5093" s="1">
        <v>46156</v>
      </c>
      <c r="B5093" s="1" t="s">
        <v>15357</v>
      </c>
      <c r="C5093" s="5" t="s">
        <v>0</v>
      </c>
      <c r="D5093" s="1" t="s">
        <v>15358</v>
      </c>
      <c r="E5093" s="1" t="s">
        <v>15359</v>
      </c>
      <c r="F5093" s="1" t="s">
        <v>55</v>
      </c>
      <c r="G5093" s="1" t="s">
        <v>56</v>
      </c>
      <c r="H5093" s="1" t="s">
        <v>37</v>
      </c>
      <c r="I5093" s="1" t="s">
        <v>16</v>
      </c>
      <c r="J5093" s="1">
        <v>1</v>
      </c>
      <c r="K5093" s="1">
        <v>6</v>
      </c>
      <c r="L5093" s="1" t="s">
        <v>31</v>
      </c>
      <c r="M5093" s="1" t="s">
        <v>18</v>
      </c>
      <c r="N5093" s="1" t="s">
        <v>18</v>
      </c>
      <c r="O5093" s="1">
        <v>3</v>
      </c>
      <c r="P5093" s="1">
        <v>6</v>
      </c>
      <c r="R5093" s="1" t="s">
        <v>19</v>
      </c>
      <c r="S5093" s="1" t="s">
        <v>20</v>
      </c>
      <c r="T5093" s="1" t="s">
        <v>21</v>
      </c>
      <c r="U5093" s="1" t="s">
        <v>22</v>
      </c>
      <c r="V5093" s="1" t="s">
        <v>24</v>
      </c>
      <c r="W5093" s="1" t="s">
        <v>24</v>
      </c>
      <c r="X5093" s="1">
        <v>1303</v>
      </c>
      <c r="Y5093" s="1">
        <v>1311</v>
      </c>
      <c r="Z5093" s="1">
        <v>1312</v>
      </c>
      <c r="AA5093" s="1" t="s">
        <v>24</v>
      </c>
      <c r="AB5093" s="1" t="s">
        <v>24</v>
      </c>
      <c r="AC5093" s="1" t="s">
        <v>24</v>
      </c>
      <c r="AD5093" s="1" t="s">
        <v>24</v>
      </c>
      <c r="AE5093" s="1" t="s">
        <v>24</v>
      </c>
      <c r="AF5093" s="22"/>
    </row>
    <row r="5094" spans="1:32" x14ac:dyDescent="0.2">
      <c r="A5094" s="1">
        <v>46185</v>
      </c>
      <c r="B5094" s="1" t="s">
        <v>15360</v>
      </c>
      <c r="C5094" s="5" t="s">
        <v>0</v>
      </c>
      <c r="D5094" s="1" t="s">
        <v>15361</v>
      </c>
      <c r="F5094" s="1" t="s">
        <v>6159</v>
      </c>
      <c r="G5094" s="1" t="s">
        <v>61</v>
      </c>
      <c r="H5094" s="1" t="s">
        <v>168</v>
      </c>
      <c r="I5094" s="1" t="s">
        <v>16</v>
      </c>
      <c r="J5094" s="1">
        <v>1</v>
      </c>
      <c r="K5094" s="1">
        <v>4</v>
      </c>
      <c r="L5094" s="1" t="s">
        <v>31</v>
      </c>
      <c r="M5094" s="1" t="s">
        <v>18</v>
      </c>
      <c r="N5094" s="1" t="s">
        <v>18</v>
      </c>
      <c r="O5094" s="1">
        <v>3</v>
      </c>
      <c r="P5094" s="1">
        <v>7</v>
      </c>
      <c r="Q5094" s="7" t="s">
        <v>17633</v>
      </c>
      <c r="R5094" s="1" t="s">
        <v>19</v>
      </c>
      <c r="S5094" s="1" t="s">
        <v>20</v>
      </c>
      <c r="T5094" s="1" t="s">
        <v>21</v>
      </c>
      <c r="U5094" s="1" t="s">
        <v>22</v>
      </c>
      <c r="V5094" s="1" t="s">
        <v>23</v>
      </c>
      <c r="W5094" s="1" t="s">
        <v>24</v>
      </c>
      <c r="X5094" s="1">
        <v>2728</v>
      </c>
      <c r="Y5094" s="1">
        <v>2808</v>
      </c>
      <c r="Z5094" s="1" t="s">
        <v>24</v>
      </c>
      <c r="AA5094" s="1" t="s">
        <v>24</v>
      </c>
      <c r="AB5094" s="1" t="s">
        <v>24</v>
      </c>
      <c r="AC5094" s="1" t="s">
        <v>24</v>
      </c>
      <c r="AD5094" s="1" t="s">
        <v>24</v>
      </c>
      <c r="AE5094" s="1" t="s">
        <v>24</v>
      </c>
      <c r="AF5094" s="22"/>
    </row>
    <row r="5095" spans="1:32" x14ac:dyDescent="0.2">
      <c r="A5095" s="1">
        <v>46187</v>
      </c>
      <c r="B5095" s="1" t="s">
        <v>15362</v>
      </c>
      <c r="C5095" s="5" t="s">
        <v>0</v>
      </c>
      <c r="D5095" s="1" t="s">
        <v>15363</v>
      </c>
      <c r="E5095" s="1" t="s">
        <v>15364</v>
      </c>
      <c r="F5095" s="1" t="s">
        <v>15365</v>
      </c>
      <c r="G5095" s="1" t="s">
        <v>61</v>
      </c>
      <c r="H5095" s="1" t="s">
        <v>7640</v>
      </c>
      <c r="I5095" s="1" t="s">
        <v>16</v>
      </c>
      <c r="J5095" s="1">
        <v>1</v>
      </c>
      <c r="K5095" s="1">
        <v>4</v>
      </c>
      <c r="L5095" s="1" t="s">
        <v>31</v>
      </c>
      <c r="M5095" s="1" t="s">
        <v>18</v>
      </c>
      <c r="N5095" s="1" t="s">
        <v>18</v>
      </c>
      <c r="O5095" s="1">
        <v>3</v>
      </c>
      <c r="P5095" s="1">
        <v>7</v>
      </c>
      <c r="Q5095" s="7" t="s">
        <v>17633</v>
      </c>
      <c r="R5095" s="1" t="s">
        <v>19</v>
      </c>
      <c r="S5095" s="1" t="s">
        <v>20</v>
      </c>
      <c r="T5095" s="1" t="s">
        <v>21</v>
      </c>
      <c r="U5095" s="1" t="s">
        <v>22</v>
      </c>
      <c r="V5095" s="1" t="s">
        <v>23</v>
      </c>
      <c r="W5095" s="1" t="s">
        <v>24</v>
      </c>
      <c r="X5095" s="1">
        <v>2745</v>
      </c>
      <c r="Y5095" s="1" t="s">
        <v>24</v>
      </c>
      <c r="Z5095" s="1" t="s">
        <v>24</v>
      </c>
      <c r="AA5095" s="1" t="s">
        <v>24</v>
      </c>
      <c r="AB5095" s="1" t="s">
        <v>24</v>
      </c>
      <c r="AC5095" s="1" t="s">
        <v>24</v>
      </c>
      <c r="AD5095" s="1" t="s">
        <v>24</v>
      </c>
      <c r="AE5095" s="1" t="s">
        <v>24</v>
      </c>
      <c r="AF5095" s="22"/>
    </row>
    <row r="5096" spans="1:32" x14ac:dyDescent="0.2">
      <c r="A5096" s="1">
        <v>46188</v>
      </c>
      <c r="B5096" s="1" t="s">
        <v>15366</v>
      </c>
      <c r="C5096" s="5" t="s">
        <v>0</v>
      </c>
      <c r="D5096" s="1" t="s">
        <v>15367</v>
      </c>
      <c r="F5096" s="1" t="s">
        <v>91</v>
      </c>
      <c r="G5096" s="1" t="s">
        <v>61</v>
      </c>
      <c r="H5096" s="1" t="s">
        <v>92</v>
      </c>
      <c r="I5096" s="1" t="s">
        <v>16</v>
      </c>
      <c r="J5096" s="1">
        <v>1</v>
      </c>
      <c r="K5096" s="1">
        <v>4</v>
      </c>
      <c r="L5096" s="1" t="s">
        <v>31</v>
      </c>
      <c r="M5096" s="1" t="s">
        <v>18</v>
      </c>
      <c r="N5096" s="1" t="s">
        <v>18</v>
      </c>
      <c r="O5096" s="1">
        <v>3</v>
      </c>
      <c r="P5096" s="1">
        <v>7</v>
      </c>
      <c r="Q5096" s="7" t="s">
        <v>17633</v>
      </c>
      <c r="R5096" s="1" t="s">
        <v>19</v>
      </c>
      <c r="S5096" s="1" t="s">
        <v>20</v>
      </c>
      <c r="T5096" s="1" t="s">
        <v>21</v>
      </c>
      <c r="U5096" s="1" t="s">
        <v>22</v>
      </c>
      <c r="V5096" s="1" t="s">
        <v>23</v>
      </c>
      <c r="W5096" s="1" t="s">
        <v>24</v>
      </c>
      <c r="X5096" s="1">
        <v>2732</v>
      </c>
      <c r="Y5096" s="1" t="s">
        <v>24</v>
      </c>
      <c r="Z5096" s="1" t="s">
        <v>24</v>
      </c>
      <c r="AA5096" s="1" t="s">
        <v>24</v>
      </c>
      <c r="AB5096" s="1" t="s">
        <v>24</v>
      </c>
      <c r="AC5096" s="1" t="s">
        <v>24</v>
      </c>
      <c r="AD5096" s="1" t="s">
        <v>24</v>
      </c>
      <c r="AE5096" s="1" t="s">
        <v>24</v>
      </c>
      <c r="AF5096" s="22" t="s">
        <v>17679</v>
      </c>
    </row>
    <row r="5097" spans="1:32" x14ac:dyDescent="0.2">
      <c r="A5097" s="1">
        <v>46189</v>
      </c>
      <c r="B5097" s="1" t="s">
        <v>15368</v>
      </c>
      <c r="C5097" s="5" t="s">
        <v>0</v>
      </c>
      <c r="D5097" s="1" t="s">
        <v>15369</v>
      </c>
      <c r="F5097" s="1" t="s">
        <v>272</v>
      </c>
      <c r="G5097" s="1" t="s">
        <v>61</v>
      </c>
      <c r="H5097" s="1" t="s">
        <v>30</v>
      </c>
      <c r="I5097" s="1" t="s">
        <v>16</v>
      </c>
      <c r="J5097" s="1">
        <v>1</v>
      </c>
      <c r="K5097" s="1">
        <v>4</v>
      </c>
      <c r="L5097" s="1" t="s">
        <v>31</v>
      </c>
      <c r="M5097" s="1" t="s">
        <v>18</v>
      </c>
      <c r="N5097" s="1" t="s">
        <v>18</v>
      </c>
      <c r="O5097" s="1">
        <v>3</v>
      </c>
      <c r="P5097" s="1">
        <v>7</v>
      </c>
      <c r="Q5097" s="7" t="s">
        <v>17633</v>
      </c>
      <c r="R5097" s="1" t="s">
        <v>19</v>
      </c>
      <c r="S5097" s="1" t="s">
        <v>20</v>
      </c>
      <c r="T5097" s="1" t="s">
        <v>21</v>
      </c>
      <c r="U5097" s="1" t="s">
        <v>22</v>
      </c>
      <c r="V5097" s="1" t="s">
        <v>23</v>
      </c>
      <c r="W5097" s="1" t="s">
        <v>24</v>
      </c>
      <c r="X5097" s="1">
        <v>2730</v>
      </c>
      <c r="Y5097" s="1">
        <v>2741</v>
      </c>
      <c r="Z5097" s="1" t="s">
        <v>24</v>
      </c>
      <c r="AA5097" s="1" t="s">
        <v>24</v>
      </c>
      <c r="AB5097" s="1" t="s">
        <v>24</v>
      </c>
      <c r="AC5097" s="1" t="s">
        <v>24</v>
      </c>
      <c r="AD5097" s="1" t="s">
        <v>24</v>
      </c>
      <c r="AE5097" s="1" t="s">
        <v>24</v>
      </c>
      <c r="AF5097" s="22"/>
    </row>
    <row r="5098" spans="1:32" x14ac:dyDescent="0.2">
      <c r="A5098" s="1">
        <v>46190</v>
      </c>
      <c r="B5098" s="1" t="s">
        <v>15370</v>
      </c>
      <c r="C5098" s="5" t="s">
        <v>0</v>
      </c>
      <c r="D5098" s="1" t="s">
        <v>15371</v>
      </c>
      <c r="F5098" s="1" t="s">
        <v>91</v>
      </c>
      <c r="G5098" s="1" t="s">
        <v>61</v>
      </c>
      <c r="H5098" s="1" t="s">
        <v>92</v>
      </c>
      <c r="I5098" s="1" t="s">
        <v>16</v>
      </c>
      <c r="J5098" s="1">
        <v>1</v>
      </c>
      <c r="K5098" s="1">
        <v>2</v>
      </c>
      <c r="L5098" s="1" t="s">
        <v>31</v>
      </c>
      <c r="M5098" s="1" t="s">
        <v>18</v>
      </c>
      <c r="N5098" s="1" t="s">
        <v>18</v>
      </c>
      <c r="O5098" s="1">
        <v>2</v>
      </c>
      <c r="P5098" s="1">
        <v>7</v>
      </c>
      <c r="Q5098" s="7" t="s">
        <v>17633</v>
      </c>
      <c r="R5098" s="1" t="s">
        <v>19</v>
      </c>
      <c r="S5098" s="1" t="s">
        <v>20</v>
      </c>
      <c r="T5098" s="1" t="s">
        <v>21</v>
      </c>
      <c r="U5098" s="1" t="s">
        <v>22</v>
      </c>
      <c r="V5098" s="1" t="s">
        <v>23</v>
      </c>
      <c r="W5098" s="1" t="s">
        <v>24</v>
      </c>
      <c r="X5098" s="1">
        <v>2732</v>
      </c>
      <c r="Y5098" s="1" t="s">
        <v>24</v>
      </c>
      <c r="Z5098" s="1" t="s">
        <v>24</v>
      </c>
      <c r="AA5098" s="1" t="s">
        <v>24</v>
      </c>
      <c r="AB5098" s="1" t="s">
        <v>24</v>
      </c>
      <c r="AC5098" s="1" t="s">
        <v>24</v>
      </c>
      <c r="AD5098" s="1" t="s">
        <v>24</v>
      </c>
      <c r="AE5098" s="1" t="s">
        <v>24</v>
      </c>
      <c r="AF5098" s="22" t="s">
        <v>17679</v>
      </c>
    </row>
    <row r="5099" spans="1:32" x14ac:dyDescent="0.2">
      <c r="A5099" s="1">
        <v>46191</v>
      </c>
      <c r="B5099" s="1" t="s">
        <v>15372</v>
      </c>
      <c r="C5099" s="5" t="s">
        <v>0</v>
      </c>
      <c r="D5099" s="1" t="s">
        <v>15373</v>
      </c>
      <c r="E5099" s="1" t="s">
        <v>15374</v>
      </c>
      <c r="F5099" s="1" t="s">
        <v>91</v>
      </c>
      <c r="G5099" s="1" t="s">
        <v>61</v>
      </c>
      <c r="H5099" s="1" t="s">
        <v>92</v>
      </c>
      <c r="I5099" s="1" t="s">
        <v>16</v>
      </c>
      <c r="J5099" s="1">
        <v>1</v>
      </c>
      <c r="K5099" s="1">
        <v>2</v>
      </c>
      <c r="L5099" s="1" t="s">
        <v>31</v>
      </c>
      <c r="M5099" s="1" t="s">
        <v>18</v>
      </c>
      <c r="N5099" s="1" t="s">
        <v>18</v>
      </c>
      <c r="O5099" s="1">
        <v>1</v>
      </c>
      <c r="P5099" s="1">
        <v>7</v>
      </c>
      <c r="Q5099" s="7" t="s">
        <v>17633</v>
      </c>
      <c r="R5099" s="1" t="s">
        <v>19</v>
      </c>
      <c r="S5099" s="1" t="s">
        <v>20</v>
      </c>
      <c r="T5099" s="1" t="s">
        <v>21</v>
      </c>
      <c r="U5099" s="1" t="s">
        <v>22</v>
      </c>
      <c r="V5099" s="1" t="s">
        <v>23</v>
      </c>
      <c r="W5099" s="1" t="s">
        <v>24</v>
      </c>
      <c r="X5099" s="1">
        <v>2732</v>
      </c>
      <c r="Y5099" s="1">
        <v>3612</v>
      </c>
      <c r="Z5099" s="1">
        <v>2742</v>
      </c>
      <c r="AA5099" s="1" t="s">
        <v>24</v>
      </c>
      <c r="AB5099" s="1" t="s">
        <v>24</v>
      </c>
      <c r="AC5099" s="1" t="s">
        <v>24</v>
      </c>
      <c r="AD5099" s="1" t="s">
        <v>24</v>
      </c>
      <c r="AE5099" s="1" t="s">
        <v>24</v>
      </c>
      <c r="AF5099" s="22"/>
    </row>
    <row r="5100" spans="1:32" x14ac:dyDescent="0.2">
      <c r="A5100" s="1">
        <v>46192</v>
      </c>
      <c r="B5100" s="1" t="s">
        <v>15375</v>
      </c>
      <c r="C5100" s="5" t="s">
        <v>0</v>
      </c>
      <c r="D5100" s="1" t="s">
        <v>15376</v>
      </c>
      <c r="F5100" s="1" t="s">
        <v>91</v>
      </c>
      <c r="G5100" s="1" t="s">
        <v>61</v>
      </c>
      <c r="H5100" s="1" t="s">
        <v>92</v>
      </c>
      <c r="I5100" s="1" t="s">
        <v>16</v>
      </c>
      <c r="J5100" s="1">
        <v>1</v>
      </c>
      <c r="K5100" s="1">
        <v>4</v>
      </c>
      <c r="L5100" s="1" t="s">
        <v>31</v>
      </c>
      <c r="M5100" s="1" t="s">
        <v>18</v>
      </c>
      <c r="N5100" s="1" t="s">
        <v>18</v>
      </c>
      <c r="O5100" s="1">
        <v>3</v>
      </c>
      <c r="P5100" s="1">
        <v>7</v>
      </c>
      <c r="Q5100" s="7" t="s">
        <v>17633</v>
      </c>
      <c r="R5100" s="1" t="s">
        <v>19</v>
      </c>
      <c r="S5100" s="1" t="s">
        <v>20</v>
      </c>
      <c r="T5100" s="1" t="s">
        <v>21</v>
      </c>
      <c r="V5100" s="1" t="s">
        <v>23</v>
      </c>
      <c r="W5100" s="1" t="s">
        <v>24</v>
      </c>
      <c r="X5100" s="1">
        <v>2708</v>
      </c>
      <c r="Y5100" s="1">
        <v>2746</v>
      </c>
      <c r="Z5100" s="1" t="s">
        <v>24</v>
      </c>
      <c r="AA5100" s="1" t="s">
        <v>24</v>
      </c>
      <c r="AB5100" s="1" t="s">
        <v>24</v>
      </c>
      <c r="AC5100" s="1" t="s">
        <v>24</v>
      </c>
      <c r="AD5100" s="1" t="s">
        <v>24</v>
      </c>
      <c r="AE5100" s="1" t="s">
        <v>24</v>
      </c>
      <c r="AF5100" s="22" t="s">
        <v>17679</v>
      </c>
    </row>
    <row r="5101" spans="1:32" x14ac:dyDescent="0.2">
      <c r="A5101" s="1">
        <v>46194</v>
      </c>
      <c r="B5101" s="1" t="s">
        <v>15377</v>
      </c>
      <c r="C5101" s="5" t="s">
        <v>0</v>
      </c>
      <c r="D5101" s="1" t="s">
        <v>15378</v>
      </c>
      <c r="F5101" s="1" t="s">
        <v>91</v>
      </c>
      <c r="G5101" s="1" t="s">
        <v>61</v>
      </c>
      <c r="H5101" s="1" t="s">
        <v>92</v>
      </c>
      <c r="I5101" s="1" t="s">
        <v>16</v>
      </c>
      <c r="J5101" s="1">
        <v>1</v>
      </c>
      <c r="K5101" s="1">
        <v>2</v>
      </c>
      <c r="L5101" s="1" t="s">
        <v>31</v>
      </c>
      <c r="M5101" s="1" t="s">
        <v>18</v>
      </c>
      <c r="N5101" s="1" t="s">
        <v>18</v>
      </c>
      <c r="O5101" s="1">
        <v>3</v>
      </c>
      <c r="P5101" s="1">
        <v>7</v>
      </c>
      <c r="Q5101" s="7" t="s">
        <v>17633</v>
      </c>
      <c r="R5101" s="1" t="s">
        <v>19</v>
      </c>
      <c r="S5101" s="1" t="s">
        <v>20</v>
      </c>
      <c r="T5101" s="1" t="s">
        <v>21</v>
      </c>
      <c r="U5101" s="1" t="s">
        <v>22</v>
      </c>
      <c r="V5101" s="1" t="s">
        <v>24</v>
      </c>
      <c r="W5101" s="1" t="s">
        <v>24</v>
      </c>
      <c r="X5101" s="1">
        <v>2739</v>
      </c>
      <c r="Y5101" s="1">
        <v>2725</v>
      </c>
      <c r="Z5101" s="1" t="s">
        <v>24</v>
      </c>
      <c r="AA5101" s="1" t="s">
        <v>24</v>
      </c>
      <c r="AB5101" s="1" t="s">
        <v>24</v>
      </c>
      <c r="AC5101" s="1" t="s">
        <v>24</v>
      </c>
      <c r="AD5101" s="1" t="s">
        <v>24</v>
      </c>
      <c r="AE5101" s="1" t="s">
        <v>24</v>
      </c>
      <c r="AF5101" s="22" t="s">
        <v>17679</v>
      </c>
    </row>
    <row r="5102" spans="1:32" x14ac:dyDescent="0.2">
      <c r="A5102" s="1">
        <v>46301</v>
      </c>
      <c r="B5102" s="1" t="s">
        <v>15379</v>
      </c>
      <c r="C5102" s="5" t="s">
        <v>0</v>
      </c>
      <c r="D5102" s="1" t="s">
        <v>15380</v>
      </c>
      <c r="E5102" s="1" t="s">
        <v>15381</v>
      </c>
      <c r="F5102" s="1" t="s">
        <v>920</v>
      </c>
      <c r="G5102" s="1" t="s">
        <v>921</v>
      </c>
      <c r="H5102" s="1" t="s">
        <v>92</v>
      </c>
      <c r="I5102" s="1" t="s">
        <v>16</v>
      </c>
      <c r="J5102" s="1">
        <v>1</v>
      </c>
      <c r="K5102" s="1">
        <v>6</v>
      </c>
      <c r="L5102" s="1" t="s">
        <v>31</v>
      </c>
      <c r="M5102" s="1" t="s">
        <v>18</v>
      </c>
      <c r="N5102" s="1" t="s">
        <v>18</v>
      </c>
      <c r="O5102" s="1">
        <v>3</v>
      </c>
      <c r="P5102" s="1">
        <v>8</v>
      </c>
      <c r="Q5102" s="7" t="s">
        <v>17633</v>
      </c>
      <c r="R5102" s="1" t="s">
        <v>62</v>
      </c>
      <c r="S5102" s="1" t="s">
        <v>20</v>
      </c>
      <c r="T5102" s="1" t="s">
        <v>21</v>
      </c>
      <c r="U5102" s="1" t="s">
        <v>22</v>
      </c>
      <c r="V5102" s="1" t="s">
        <v>24</v>
      </c>
      <c r="W5102" s="1" t="s">
        <v>24</v>
      </c>
      <c r="X5102" s="1">
        <v>1306</v>
      </c>
      <c r="Y5102" s="1">
        <v>1313</v>
      </c>
      <c r="Z5102" s="1">
        <v>2734</v>
      </c>
      <c r="AA5102" s="1">
        <v>1307</v>
      </c>
      <c r="AB5102" s="1" t="s">
        <v>24</v>
      </c>
      <c r="AC5102" s="1" t="s">
        <v>24</v>
      </c>
      <c r="AD5102" s="1" t="s">
        <v>24</v>
      </c>
      <c r="AE5102" s="1" t="s">
        <v>24</v>
      </c>
      <c r="AF5102" s="22"/>
    </row>
    <row r="5103" spans="1:32" x14ac:dyDescent="0.2">
      <c r="A5103" s="1">
        <v>46328</v>
      </c>
      <c r="B5103" s="1" t="s">
        <v>15382</v>
      </c>
      <c r="C5103" s="5" t="s">
        <v>0</v>
      </c>
      <c r="D5103" s="1" t="s">
        <v>15383</v>
      </c>
      <c r="E5103" s="1" t="s">
        <v>15384</v>
      </c>
      <c r="F5103" s="1" t="s">
        <v>493</v>
      </c>
      <c r="G5103" s="1" t="s">
        <v>98</v>
      </c>
      <c r="H5103" s="1" t="s">
        <v>30</v>
      </c>
      <c r="I5103" s="1" t="s">
        <v>16</v>
      </c>
      <c r="J5103" s="1">
        <v>1</v>
      </c>
      <c r="K5103" s="1">
        <v>6</v>
      </c>
      <c r="L5103" s="1" t="s">
        <v>31</v>
      </c>
      <c r="M5103" s="1" t="s">
        <v>18</v>
      </c>
      <c r="N5103" s="1" t="s">
        <v>18</v>
      </c>
      <c r="O5103" s="1">
        <v>3</v>
      </c>
      <c r="P5103" s="1">
        <v>6</v>
      </c>
      <c r="R5103" s="1" t="s">
        <v>19</v>
      </c>
      <c r="S5103" s="1" t="s">
        <v>20</v>
      </c>
      <c r="T5103" s="1" t="s">
        <v>21</v>
      </c>
      <c r="U5103" s="1" t="s">
        <v>22</v>
      </c>
      <c r="V5103" s="1" t="s">
        <v>23</v>
      </c>
      <c r="W5103" s="1" t="s">
        <v>24</v>
      </c>
      <c r="X5103" s="1">
        <v>1706</v>
      </c>
      <c r="Y5103" s="1">
        <v>3607</v>
      </c>
      <c r="Z5103" s="1" t="s">
        <v>24</v>
      </c>
      <c r="AA5103" s="1" t="s">
        <v>24</v>
      </c>
      <c r="AB5103" s="1" t="s">
        <v>24</v>
      </c>
      <c r="AC5103" s="1" t="s">
        <v>24</v>
      </c>
      <c r="AD5103" s="1" t="s">
        <v>24</v>
      </c>
      <c r="AE5103" s="1" t="s">
        <v>24</v>
      </c>
      <c r="AF5103" s="22"/>
    </row>
    <row r="5104" spans="1:32" x14ac:dyDescent="0.2">
      <c r="A5104" s="1">
        <v>46329</v>
      </c>
      <c r="B5104" s="1" t="s">
        <v>15385</v>
      </c>
      <c r="C5104" s="5" t="s">
        <v>0</v>
      </c>
      <c r="D5104" s="1" t="s">
        <v>15386</v>
      </c>
      <c r="F5104" s="1" t="s">
        <v>1462</v>
      </c>
      <c r="G5104" s="1" t="s">
        <v>1462</v>
      </c>
      <c r="H5104" s="1" t="s">
        <v>249</v>
      </c>
      <c r="I5104" s="1" t="s">
        <v>16</v>
      </c>
      <c r="J5104" s="1">
        <v>1</v>
      </c>
      <c r="K5104" s="1">
        <v>2</v>
      </c>
      <c r="L5104" s="1" t="s">
        <v>42</v>
      </c>
      <c r="M5104" s="1" t="s">
        <v>250</v>
      </c>
      <c r="N5104" s="1" t="s">
        <v>3290</v>
      </c>
      <c r="O5104" s="1">
        <v>3</v>
      </c>
      <c r="P5104" s="1">
        <v>5</v>
      </c>
      <c r="R5104" s="1" t="s">
        <v>19</v>
      </c>
      <c r="S5104" s="1" t="s">
        <v>20</v>
      </c>
      <c r="T5104" s="1" t="s">
        <v>21</v>
      </c>
      <c r="U5104" s="1" t="s">
        <v>22</v>
      </c>
      <c r="V5104" s="1" t="s">
        <v>24</v>
      </c>
      <c r="W5104" s="1" t="s">
        <v>24</v>
      </c>
      <c r="X5104" s="1">
        <v>2705</v>
      </c>
      <c r="Y5104" s="1" t="s">
        <v>24</v>
      </c>
      <c r="Z5104" s="1" t="s">
        <v>24</v>
      </c>
      <c r="AA5104" s="1" t="s">
        <v>24</v>
      </c>
      <c r="AB5104" s="1" t="s">
        <v>24</v>
      </c>
      <c r="AC5104" s="1" t="s">
        <v>24</v>
      </c>
      <c r="AD5104" s="1" t="s">
        <v>24</v>
      </c>
      <c r="AE5104" s="1" t="s">
        <v>24</v>
      </c>
      <c r="AF5104" s="22"/>
    </row>
    <row r="5105" spans="1:32" x14ac:dyDescent="0.2">
      <c r="A5105" s="1">
        <v>46330</v>
      </c>
      <c r="B5105" s="1" t="s">
        <v>15387</v>
      </c>
      <c r="C5105" s="5" t="s">
        <v>0</v>
      </c>
      <c r="D5105" s="1" t="s">
        <v>15388</v>
      </c>
      <c r="F5105" s="1" t="s">
        <v>1683</v>
      </c>
      <c r="G5105" s="1" t="s">
        <v>61</v>
      </c>
      <c r="H5105" s="1" t="s">
        <v>116</v>
      </c>
      <c r="I5105" s="1" t="s">
        <v>16</v>
      </c>
      <c r="J5105" s="1">
        <v>1</v>
      </c>
      <c r="K5105" s="1">
        <v>4</v>
      </c>
      <c r="L5105" s="1" t="s">
        <v>31</v>
      </c>
      <c r="M5105" s="1" t="s">
        <v>117</v>
      </c>
      <c r="N5105" s="1" t="s">
        <v>226</v>
      </c>
      <c r="O5105" s="1">
        <v>3</v>
      </c>
      <c r="P5105" s="1">
        <v>6</v>
      </c>
      <c r="R5105" s="1" t="s">
        <v>19</v>
      </c>
      <c r="S5105" s="1" t="s">
        <v>20</v>
      </c>
      <c r="T5105" s="1" t="s">
        <v>21</v>
      </c>
      <c r="U5105" s="1" t="s">
        <v>22</v>
      </c>
      <c r="V5105" s="1" t="s">
        <v>23</v>
      </c>
      <c r="W5105" s="1" t="s">
        <v>24</v>
      </c>
      <c r="X5105" s="1">
        <v>1106</v>
      </c>
      <c r="Y5105" s="1">
        <v>2916</v>
      </c>
      <c r="Z5105" s="1" t="s">
        <v>24</v>
      </c>
      <c r="AA5105" s="1" t="s">
        <v>24</v>
      </c>
      <c r="AB5105" s="1" t="s">
        <v>24</v>
      </c>
      <c r="AC5105" s="1" t="s">
        <v>24</v>
      </c>
      <c r="AD5105" s="1" t="s">
        <v>24</v>
      </c>
      <c r="AE5105" s="1" t="s">
        <v>24</v>
      </c>
      <c r="AF5105" s="22"/>
    </row>
    <row r="5106" spans="1:32" x14ac:dyDescent="0.2">
      <c r="A5106" s="1">
        <v>46341</v>
      </c>
      <c r="B5106" s="1" t="s">
        <v>15389</v>
      </c>
      <c r="C5106" s="5" t="s">
        <v>0</v>
      </c>
      <c r="D5106" s="1" t="s">
        <v>15390</v>
      </c>
      <c r="F5106" s="1" t="s">
        <v>15391</v>
      </c>
      <c r="G5106" s="1" t="s">
        <v>15391</v>
      </c>
      <c r="H5106" s="1" t="s">
        <v>264</v>
      </c>
      <c r="I5106" s="1" t="s">
        <v>16</v>
      </c>
      <c r="J5106" s="1">
        <v>1</v>
      </c>
      <c r="K5106" s="1">
        <v>4</v>
      </c>
      <c r="L5106" s="1" t="s">
        <v>42</v>
      </c>
      <c r="M5106" s="1" t="s">
        <v>18</v>
      </c>
      <c r="N5106" s="1" t="s">
        <v>18</v>
      </c>
      <c r="O5106" s="1">
        <v>3</v>
      </c>
      <c r="P5106" s="1">
        <v>6</v>
      </c>
      <c r="R5106" s="1" t="s">
        <v>19</v>
      </c>
      <c r="S5106" s="1" t="s">
        <v>20</v>
      </c>
      <c r="T5106" s="1" t="s">
        <v>21</v>
      </c>
      <c r="U5106" s="1" t="s">
        <v>22</v>
      </c>
      <c r="V5106" s="1" t="s">
        <v>24</v>
      </c>
      <c r="W5106" s="1" t="s">
        <v>24</v>
      </c>
      <c r="X5106" s="1">
        <v>2741</v>
      </c>
      <c r="Y5106" s="1" t="s">
        <v>24</v>
      </c>
      <c r="Z5106" s="1" t="s">
        <v>24</v>
      </c>
      <c r="AA5106" s="1" t="s">
        <v>24</v>
      </c>
      <c r="AB5106" s="1" t="s">
        <v>24</v>
      </c>
      <c r="AC5106" s="1" t="s">
        <v>24</v>
      </c>
      <c r="AD5106" s="1" t="s">
        <v>24</v>
      </c>
      <c r="AE5106" s="1" t="s">
        <v>24</v>
      </c>
      <c r="AF5106" s="22"/>
    </row>
    <row r="5107" spans="1:32" x14ac:dyDescent="0.2">
      <c r="A5107" s="1">
        <v>46348</v>
      </c>
      <c r="B5107" s="1" t="s">
        <v>15392</v>
      </c>
      <c r="C5107" s="5" t="s">
        <v>0</v>
      </c>
      <c r="D5107" s="1" t="s">
        <v>15393</v>
      </c>
      <c r="E5107" s="1" t="s">
        <v>15394</v>
      </c>
      <c r="F5107" s="1" t="s">
        <v>1412</v>
      </c>
      <c r="G5107" s="1" t="s">
        <v>1413</v>
      </c>
      <c r="H5107" s="1" t="s">
        <v>30</v>
      </c>
      <c r="I5107" s="1" t="s">
        <v>16</v>
      </c>
      <c r="J5107" s="1">
        <v>1</v>
      </c>
      <c r="K5107" s="1">
        <v>1</v>
      </c>
      <c r="L5107" s="1" t="s">
        <v>31</v>
      </c>
      <c r="M5107" s="1" t="s">
        <v>18</v>
      </c>
      <c r="N5107" s="1" t="s">
        <v>18</v>
      </c>
      <c r="O5107" s="1">
        <v>3</v>
      </c>
      <c r="P5107" s="1">
        <v>7</v>
      </c>
      <c r="Q5107" s="7" t="s">
        <v>17633</v>
      </c>
      <c r="R5107" s="1" t="s">
        <v>19</v>
      </c>
      <c r="S5107" s="1" t="s">
        <v>63</v>
      </c>
      <c r="T5107" s="1" t="s">
        <v>21</v>
      </c>
      <c r="U5107" s="1" t="s">
        <v>22</v>
      </c>
      <c r="V5107" s="1" t="s">
        <v>24</v>
      </c>
      <c r="W5107" s="1" t="s">
        <v>24</v>
      </c>
      <c r="X5107" s="1">
        <v>2502</v>
      </c>
      <c r="Y5107" s="1">
        <v>2204</v>
      </c>
      <c r="Z5107" s="1" t="s">
        <v>24</v>
      </c>
      <c r="AA5107" s="1" t="s">
        <v>24</v>
      </c>
      <c r="AB5107" s="1" t="s">
        <v>24</v>
      </c>
      <c r="AC5107" s="1" t="s">
        <v>24</v>
      </c>
      <c r="AD5107" s="1" t="s">
        <v>24</v>
      </c>
      <c r="AE5107" s="1" t="s">
        <v>24</v>
      </c>
      <c r="AF5107" s="22"/>
    </row>
    <row r="5108" spans="1:32" x14ac:dyDescent="0.2">
      <c r="A5108" s="1">
        <v>46358</v>
      </c>
      <c r="B5108" s="1" t="s">
        <v>15395</v>
      </c>
      <c r="C5108" s="5" t="s">
        <v>0</v>
      </c>
      <c r="D5108" s="1" t="s">
        <v>15396</v>
      </c>
      <c r="E5108" s="1" t="s">
        <v>15397</v>
      </c>
      <c r="F5108" s="1" t="s">
        <v>28</v>
      </c>
      <c r="G5108" s="1" t="s">
        <v>29</v>
      </c>
      <c r="H5108" s="1" t="s">
        <v>30</v>
      </c>
      <c r="I5108" s="1" t="s">
        <v>16</v>
      </c>
      <c r="J5108" s="1">
        <v>1</v>
      </c>
      <c r="K5108" s="1">
        <v>4</v>
      </c>
      <c r="L5108" s="1" t="s">
        <v>31</v>
      </c>
      <c r="M5108" s="1" t="s">
        <v>18</v>
      </c>
      <c r="N5108" s="1" t="s">
        <v>18</v>
      </c>
      <c r="O5108" s="1">
        <v>3</v>
      </c>
      <c r="P5108" s="1">
        <v>7</v>
      </c>
      <c r="Q5108" s="7" t="s">
        <v>17633</v>
      </c>
      <c r="R5108" s="1" t="s">
        <v>19</v>
      </c>
      <c r="S5108" s="1" t="s">
        <v>20</v>
      </c>
      <c r="T5108" s="1" t="s">
        <v>21</v>
      </c>
      <c r="U5108" s="1" t="s">
        <v>22</v>
      </c>
      <c r="V5108" s="1" t="s">
        <v>24</v>
      </c>
      <c r="W5108" s="1" t="s">
        <v>24</v>
      </c>
      <c r="X5108" s="1">
        <v>2740</v>
      </c>
      <c r="Y5108" s="1" t="s">
        <v>24</v>
      </c>
      <c r="Z5108" s="1" t="s">
        <v>24</v>
      </c>
      <c r="AA5108" s="1" t="s">
        <v>24</v>
      </c>
      <c r="AB5108" s="1" t="s">
        <v>24</v>
      </c>
      <c r="AC5108" s="1" t="s">
        <v>24</v>
      </c>
      <c r="AD5108" s="1" t="s">
        <v>24</v>
      </c>
      <c r="AE5108" s="1" t="s">
        <v>24</v>
      </c>
      <c r="AF5108" s="22"/>
    </row>
    <row r="5109" spans="1:32" x14ac:dyDescent="0.2">
      <c r="A5109" s="1">
        <v>46397</v>
      </c>
      <c r="B5109" s="1" t="s">
        <v>15398</v>
      </c>
      <c r="C5109" s="5" t="s">
        <v>0</v>
      </c>
      <c r="D5109" s="1" t="s">
        <v>15399</v>
      </c>
      <c r="E5109" s="1" t="s">
        <v>15400</v>
      </c>
      <c r="F5109" s="1" t="s">
        <v>724</v>
      </c>
      <c r="G5109" s="1" t="s">
        <v>725</v>
      </c>
      <c r="H5109" s="1" t="s">
        <v>37</v>
      </c>
      <c r="I5109" s="1" t="s">
        <v>16</v>
      </c>
      <c r="J5109" s="1">
        <v>1</v>
      </c>
      <c r="K5109" s="1">
        <v>4</v>
      </c>
      <c r="L5109" s="1" t="s">
        <v>31</v>
      </c>
      <c r="M5109" s="1" t="s">
        <v>1755</v>
      </c>
      <c r="N5109" s="1" t="s">
        <v>685</v>
      </c>
      <c r="O5109" s="1">
        <v>1</v>
      </c>
      <c r="P5109" s="1">
        <v>5</v>
      </c>
      <c r="R5109" s="1" t="s">
        <v>19</v>
      </c>
      <c r="S5109" s="1" t="s">
        <v>20</v>
      </c>
      <c r="T5109" s="1" t="s">
        <v>21</v>
      </c>
      <c r="U5109" s="1" t="s">
        <v>22</v>
      </c>
      <c r="V5109" s="1" t="s">
        <v>23</v>
      </c>
      <c r="W5109" s="1" t="s">
        <v>24</v>
      </c>
      <c r="X5109" s="1">
        <v>2738</v>
      </c>
      <c r="Y5109" s="1">
        <v>2739</v>
      </c>
      <c r="Z5109" s="1">
        <v>2713</v>
      </c>
      <c r="AA5109" s="1" t="s">
        <v>24</v>
      </c>
      <c r="AB5109" s="1" t="s">
        <v>24</v>
      </c>
      <c r="AC5109" s="1" t="s">
        <v>24</v>
      </c>
      <c r="AD5109" s="1" t="s">
        <v>24</v>
      </c>
      <c r="AE5109" s="1" t="s">
        <v>24</v>
      </c>
      <c r="AF5109" s="22"/>
    </row>
    <row r="5110" spans="1:32" x14ac:dyDescent="0.2">
      <c r="A5110" s="1">
        <v>46401</v>
      </c>
      <c r="B5110" s="1" t="s">
        <v>15401</v>
      </c>
      <c r="C5110" s="5" t="s">
        <v>0</v>
      </c>
      <c r="D5110" s="1" t="s">
        <v>15402</v>
      </c>
      <c r="E5110" s="1" t="s">
        <v>15403</v>
      </c>
      <c r="F5110" s="1" t="s">
        <v>167</v>
      </c>
      <c r="G5110" s="1" t="s">
        <v>130</v>
      </c>
      <c r="H5110" s="1" t="s">
        <v>168</v>
      </c>
      <c r="I5110" s="1" t="s">
        <v>16</v>
      </c>
      <c r="J5110" s="1">
        <v>1</v>
      </c>
      <c r="K5110" s="1">
        <v>1</v>
      </c>
      <c r="L5110" s="1" t="s">
        <v>31</v>
      </c>
      <c r="M5110" s="1" t="s">
        <v>18</v>
      </c>
      <c r="N5110" s="1" t="s">
        <v>18</v>
      </c>
      <c r="O5110" s="1">
        <v>1</v>
      </c>
      <c r="P5110" s="1">
        <v>1</v>
      </c>
      <c r="R5110" s="1" t="s">
        <v>19</v>
      </c>
      <c r="S5110" s="1" t="s">
        <v>20</v>
      </c>
      <c r="T5110" s="1" t="s">
        <v>21</v>
      </c>
      <c r="U5110" s="1" t="s">
        <v>22</v>
      </c>
      <c r="V5110" s="1" t="s">
        <v>23</v>
      </c>
      <c r="W5110" s="1" t="s">
        <v>24</v>
      </c>
      <c r="X5110" s="1">
        <v>1305</v>
      </c>
      <c r="Y5110" s="1">
        <v>1502</v>
      </c>
      <c r="Z5110" s="1">
        <v>2402</v>
      </c>
      <c r="AA5110" s="1">
        <v>2204</v>
      </c>
      <c r="AB5110" s="1" t="s">
        <v>24</v>
      </c>
      <c r="AC5110" s="1" t="s">
        <v>24</v>
      </c>
      <c r="AD5110" s="1" t="s">
        <v>24</v>
      </c>
      <c r="AE5110" s="1" t="s">
        <v>24</v>
      </c>
      <c r="AF5110" s="22"/>
    </row>
    <row r="5111" spans="1:32" x14ac:dyDescent="0.2">
      <c r="A5111" s="1">
        <v>46419</v>
      </c>
      <c r="B5111" s="1" t="s">
        <v>15404</v>
      </c>
      <c r="C5111" s="5" t="s">
        <v>0</v>
      </c>
      <c r="D5111" s="1" t="s">
        <v>15405</v>
      </c>
      <c r="F5111" s="1" t="s">
        <v>159</v>
      </c>
      <c r="G5111" s="1" t="s">
        <v>160</v>
      </c>
      <c r="H5111" s="1" t="s">
        <v>37</v>
      </c>
      <c r="I5111" s="1" t="s">
        <v>16</v>
      </c>
      <c r="J5111" s="1">
        <v>1</v>
      </c>
      <c r="K5111" s="1">
        <v>12</v>
      </c>
      <c r="L5111" s="1" t="s">
        <v>42</v>
      </c>
      <c r="M5111" s="1" t="s">
        <v>18</v>
      </c>
      <c r="N5111" s="1" t="s">
        <v>18</v>
      </c>
      <c r="O5111" s="1">
        <v>3</v>
      </c>
      <c r="P5111" s="1">
        <v>6</v>
      </c>
      <c r="R5111" s="1" t="s">
        <v>19</v>
      </c>
      <c r="S5111" s="1" t="s">
        <v>20</v>
      </c>
      <c r="T5111" s="1" t="s">
        <v>21</v>
      </c>
      <c r="U5111" s="1" t="s">
        <v>22</v>
      </c>
      <c r="V5111" s="1" t="s">
        <v>23</v>
      </c>
      <c r="W5111" s="1" t="s">
        <v>24</v>
      </c>
      <c r="X5111" s="1">
        <v>2719</v>
      </c>
      <c r="Y5111" s="1" t="s">
        <v>24</v>
      </c>
      <c r="Z5111" s="1" t="s">
        <v>24</v>
      </c>
      <c r="AA5111" s="1" t="s">
        <v>24</v>
      </c>
      <c r="AB5111" s="1" t="s">
        <v>24</v>
      </c>
      <c r="AC5111" s="1" t="s">
        <v>24</v>
      </c>
      <c r="AD5111" s="1" t="s">
        <v>24</v>
      </c>
      <c r="AE5111" s="1" t="s">
        <v>24</v>
      </c>
      <c r="AF5111" s="22"/>
    </row>
    <row r="5112" spans="1:32" x14ac:dyDescent="0.2">
      <c r="A5112" s="1">
        <v>46435</v>
      </c>
      <c r="B5112" s="1" t="s">
        <v>15406</v>
      </c>
      <c r="C5112" s="5" t="s">
        <v>0</v>
      </c>
      <c r="D5112" s="1" t="s">
        <v>15407</v>
      </c>
      <c r="E5112" s="1" t="s">
        <v>15408</v>
      </c>
      <c r="F5112" s="1" t="s">
        <v>85</v>
      </c>
      <c r="G5112" s="1" t="s">
        <v>61</v>
      </c>
      <c r="H5112" s="1" t="s">
        <v>86</v>
      </c>
      <c r="I5112" s="1" t="s">
        <v>16</v>
      </c>
      <c r="J5112" s="1">
        <v>1</v>
      </c>
      <c r="K5112" s="1">
        <v>12</v>
      </c>
      <c r="L5112" s="1" t="s">
        <v>31</v>
      </c>
      <c r="M5112" s="1" t="s">
        <v>87</v>
      </c>
      <c r="N5112" s="1" t="s">
        <v>18</v>
      </c>
      <c r="O5112" s="1">
        <v>2</v>
      </c>
      <c r="P5112" s="1">
        <v>6</v>
      </c>
      <c r="R5112" s="1" t="s">
        <v>19</v>
      </c>
      <c r="S5112" s="1" t="s">
        <v>20</v>
      </c>
      <c r="T5112" s="1" t="s">
        <v>21</v>
      </c>
      <c r="U5112" s="1" t="s">
        <v>22</v>
      </c>
      <c r="V5112" s="1" t="s">
        <v>24</v>
      </c>
      <c r="W5112" s="1" t="s">
        <v>24</v>
      </c>
      <c r="X5112" s="1">
        <v>2715</v>
      </c>
      <c r="Y5112" s="1" t="s">
        <v>24</v>
      </c>
      <c r="Z5112" s="1" t="s">
        <v>24</v>
      </c>
      <c r="AA5112" s="1" t="s">
        <v>24</v>
      </c>
      <c r="AB5112" s="1" t="s">
        <v>24</v>
      </c>
      <c r="AC5112" s="1" t="s">
        <v>24</v>
      </c>
      <c r="AD5112" s="1" t="s">
        <v>24</v>
      </c>
      <c r="AE5112" s="1" t="s">
        <v>24</v>
      </c>
      <c r="AF5112" s="22"/>
    </row>
    <row r="5113" spans="1:32" x14ac:dyDescent="0.2">
      <c r="A5113" s="1">
        <v>46437</v>
      </c>
      <c r="B5113" s="1" t="s">
        <v>15409</v>
      </c>
      <c r="C5113" s="5" t="s">
        <v>0</v>
      </c>
      <c r="D5113" s="1" t="s">
        <v>15410</v>
      </c>
      <c r="E5113" s="1" t="s">
        <v>15411</v>
      </c>
      <c r="F5113" s="1" t="s">
        <v>272</v>
      </c>
      <c r="G5113" s="1" t="s">
        <v>61</v>
      </c>
      <c r="H5113" s="1" t="s">
        <v>30</v>
      </c>
      <c r="I5113" s="1" t="s">
        <v>16</v>
      </c>
      <c r="J5113" s="1">
        <v>8</v>
      </c>
      <c r="K5113" s="1">
        <v>2</v>
      </c>
      <c r="L5113" s="1" t="s">
        <v>31</v>
      </c>
      <c r="M5113" s="1" t="s">
        <v>18</v>
      </c>
      <c r="N5113" s="1" t="s">
        <v>18</v>
      </c>
      <c r="O5113" s="1">
        <v>3</v>
      </c>
      <c r="P5113" s="1">
        <v>7</v>
      </c>
      <c r="Q5113" s="7" t="s">
        <v>17633</v>
      </c>
      <c r="R5113" s="1" t="s">
        <v>19</v>
      </c>
      <c r="S5113" s="1" t="s">
        <v>20</v>
      </c>
      <c r="T5113" s="1" t="s">
        <v>21</v>
      </c>
      <c r="U5113" s="1" t="s">
        <v>22</v>
      </c>
      <c r="V5113" s="1" t="s">
        <v>24</v>
      </c>
      <c r="W5113" s="1" t="s">
        <v>24</v>
      </c>
      <c r="X5113" s="1">
        <v>1306</v>
      </c>
      <c r="Y5113" s="1">
        <v>1311</v>
      </c>
      <c r="Z5113" s="1">
        <v>1312</v>
      </c>
      <c r="AA5113" s="1" t="s">
        <v>24</v>
      </c>
      <c r="AB5113" s="1" t="s">
        <v>24</v>
      </c>
      <c r="AC5113" s="1" t="s">
        <v>24</v>
      </c>
      <c r="AD5113" s="1" t="s">
        <v>24</v>
      </c>
      <c r="AE5113" s="1" t="s">
        <v>24</v>
      </c>
      <c r="AF5113" s="22"/>
    </row>
    <row r="5114" spans="1:32" x14ac:dyDescent="0.2">
      <c r="A5114" s="1">
        <v>46447</v>
      </c>
      <c r="B5114" s="1" t="s">
        <v>15412</v>
      </c>
      <c r="C5114" s="5" t="s">
        <v>0</v>
      </c>
      <c r="E5114" s="1" t="s">
        <v>15413</v>
      </c>
      <c r="F5114" s="1" t="s">
        <v>315</v>
      </c>
      <c r="G5114" s="1" t="s">
        <v>316</v>
      </c>
      <c r="H5114" s="1" t="s">
        <v>37</v>
      </c>
      <c r="I5114" s="1" t="s">
        <v>16</v>
      </c>
      <c r="J5114" s="1">
        <v>1</v>
      </c>
      <c r="K5114" s="1">
        <v>1</v>
      </c>
      <c r="L5114" s="1" t="s">
        <v>31</v>
      </c>
      <c r="M5114" s="1" t="s">
        <v>18</v>
      </c>
      <c r="N5114" s="1" t="s">
        <v>18</v>
      </c>
      <c r="O5114" s="1">
        <v>1</v>
      </c>
      <c r="P5114" s="1">
        <v>1</v>
      </c>
      <c r="R5114" s="1" t="s">
        <v>19</v>
      </c>
      <c r="S5114" s="1" t="s">
        <v>63</v>
      </c>
      <c r="T5114" s="1" t="s">
        <v>21</v>
      </c>
      <c r="U5114" s="1" t="s">
        <v>22</v>
      </c>
      <c r="V5114" s="1" t="s">
        <v>23</v>
      </c>
      <c r="W5114" s="1" t="s">
        <v>24</v>
      </c>
      <c r="X5114" s="1">
        <v>2738</v>
      </c>
      <c r="Y5114" s="1">
        <v>2803</v>
      </c>
      <c r="Z5114" s="1">
        <v>2804</v>
      </c>
      <c r="AA5114" s="1" t="s">
        <v>24</v>
      </c>
      <c r="AB5114" s="1" t="s">
        <v>24</v>
      </c>
      <c r="AC5114" s="1" t="s">
        <v>24</v>
      </c>
      <c r="AD5114" s="1" t="s">
        <v>24</v>
      </c>
      <c r="AE5114" s="1" t="s">
        <v>24</v>
      </c>
      <c r="AF5114" s="22"/>
    </row>
    <row r="5115" spans="1:32" x14ac:dyDescent="0.2">
      <c r="A5115" s="1">
        <v>46471</v>
      </c>
      <c r="B5115" s="1" t="s">
        <v>15414</v>
      </c>
      <c r="C5115" s="5" t="s">
        <v>0</v>
      </c>
      <c r="D5115" s="1" t="s">
        <v>15415</v>
      </c>
      <c r="F5115" s="1" t="s">
        <v>217</v>
      </c>
      <c r="G5115" s="1" t="s">
        <v>130</v>
      </c>
      <c r="H5115" s="1" t="s">
        <v>92</v>
      </c>
      <c r="I5115" s="1" t="s">
        <v>16</v>
      </c>
      <c r="J5115" s="1">
        <v>1</v>
      </c>
      <c r="K5115" s="1">
        <v>6</v>
      </c>
      <c r="L5115" s="1" t="s">
        <v>31</v>
      </c>
      <c r="M5115" s="1" t="s">
        <v>18</v>
      </c>
      <c r="N5115" s="1" t="s">
        <v>18</v>
      </c>
      <c r="O5115" s="1">
        <v>3</v>
      </c>
      <c r="P5115" s="1">
        <v>7</v>
      </c>
      <c r="Q5115" s="7" t="s">
        <v>17633</v>
      </c>
      <c r="R5115" s="1" t="s">
        <v>19</v>
      </c>
      <c r="S5115" s="1" t="s">
        <v>20</v>
      </c>
      <c r="T5115" s="1" t="s">
        <v>21</v>
      </c>
      <c r="U5115" s="1" t="s">
        <v>22</v>
      </c>
      <c r="V5115" s="1" t="s">
        <v>23</v>
      </c>
      <c r="W5115" s="1" t="s">
        <v>24</v>
      </c>
      <c r="X5115" s="1">
        <v>2736</v>
      </c>
      <c r="Y5115" s="1">
        <v>3003</v>
      </c>
      <c r="Z5115" s="1">
        <v>3004</v>
      </c>
      <c r="AA5115" s="1">
        <v>3005</v>
      </c>
      <c r="AB5115" s="1">
        <v>3611</v>
      </c>
      <c r="AC5115" s="1" t="s">
        <v>24</v>
      </c>
      <c r="AD5115" s="1" t="s">
        <v>24</v>
      </c>
      <c r="AE5115" s="1" t="s">
        <v>24</v>
      </c>
      <c r="AF5115" s="22" t="s">
        <v>17679</v>
      </c>
    </row>
    <row r="5116" spans="1:32" x14ac:dyDescent="0.2">
      <c r="A5116" s="1">
        <v>46484</v>
      </c>
      <c r="B5116" s="1" t="s">
        <v>15416</v>
      </c>
      <c r="C5116" s="5" t="s">
        <v>0</v>
      </c>
      <c r="D5116" s="1" t="s">
        <v>15417</v>
      </c>
      <c r="F5116" s="1" t="s">
        <v>85</v>
      </c>
      <c r="G5116" s="1" t="s">
        <v>61</v>
      </c>
      <c r="H5116" s="1" t="s">
        <v>86</v>
      </c>
      <c r="I5116" s="1" t="s">
        <v>16</v>
      </c>
      <c r="J5116" s="1">
        <v>1</v>
      </c>
      <c r="K5116" s="1">
        <v>4</v>
      </c>
      <c r="L5116" s="1" t="s">
        <v>31</v>
      </c>
      <c r="M5116" s="1" t="s">
        <v>87</v>
      </c>
      <c r="N5116" s="1" t="s">
        <v>105</v>
      </c>
      <c r="O5116" s="1">
        <v>3</v>
      </c>
      <c r="P5116" s="1">
        <v>6</v>
      </c>
      <c r="R5116" s="1" t="s">
        <v>19</v>
      </c>
      <c r="S5116" s="1" t="s">
        <v>20</v>
      </c>
      <c r="T5116" s="1" t="s">
        <v>21</v>
      </c>
      <c r="U5116" s="1" t="s">
        <v>22</v>
      </c>
      <c r="V5116" s="1" t="s">
        <v>24</v>
      </c>
      <c r="W5116" s="1" t="s">
        <v>24</v>
      </c>
      <c r="X5116" s="1">
        <v>2725</v>
      </c>
      <c r="Y5116" s="1">
        <v>2736</v>
      </c>
      <c r="Z5116" s="1" t="s">
        <v>24</v>
      </c>
      <c r="AA5116" s="1" t="s">
        <v>24</v>
      </c>
      <c r="AB5116" s="1" t="s">
        <v>24</v>
      </c>
      <c r="AC5116" s="1" t="s">
        <v>24</v>
      </c>
      <c r="AD5116" s="1" t="s">
        <v>24</v>
      </c>
      <c r="AE5116" s="1" t="s">
        <v>24</v>
      </c>
      <c r="AF5116" s="22"/>
    </row>
    <row r="5117" spans="1:32" x14ac:dyDescent="0.2">
      <c r="A5117" s="1">
        <v>46506</v>
      </c>
      <c r="B5117" s="1" t="s">
        <v>15418</v>
      </c>
      <c r="C5117" s="5" t="s">
        <v>0</v>
      </c>
      <c r="E5117" s="1" t="s">
        <v>15419</v>
      </c>
      <c r="F5117" s="1" t="s">
        <v>159</v>
      </c>
      <c r="G5117" s="1" t="s">
        <v>160</v>
      </c>
      <c r="H5117" s="1" t="s">
        <v>37</v>
      </c>
      <c r="I5117" s="1" t="s">
        <v>16</v>
      </c>
      <c r="J5117" s="1">
        <v>1</v>
      </c>
      <c r="K5117" s="1">
        <v>2</v>
      </c>
      <c r="L5117" s="1" t="s">
        <v>42</v>
      </c>
      <c r="M5117" s="1" t="s">
        <v>18</v>
      </c>
      <c r="N5117" s="1" t="s">
        <v>18</v>
      </c>
      <c r="O5117" s="1">
        <v>1</v>
      </c>
      <c r="P5117" s="1">
        <v>1</v>
      </c>
      <c r="R5117" s="1" t="s">
        <v>19</v>
      </c>
      <c r="S5117" s="1" t="s">
        <v>63</v>
      </c>
      <c r="T5117" s="1" t="s">
        <v>21</v>
      </c>
      <c r="U5117" s="1" t="s">
        <v>22</v>
      </c>
      <c r="V5117" s="1" t="s">
        <v>23</v>
      </c>
      <c r="W5117" s="1" t="s">
        <v>24</v>
      </c>
      <c r="X5117" s="1">
        <v>2700</v>
      </c>
      <c r="Y5117" s="1" t="s">
        <v>24</v>
      </c>
      <c r="Z5117" s="1" t="s">
        <v>24</v>
      </c>
      <c r="AA5117" s="1" t="s">
        <v>24</v>
      </c>
      <c r="AB5117" s="1" t="s">
        <v>24</v>
      </c>
      <c r="AC5117" s="1" t="s">
        <v>24</v>
      </c>
      <c r="AD5117" s="1" t="s">
        <v>24</v>
      </c>
      <c r="AE5117" s="1" t="s">
        <v>24</v>
      </c>
      <c r="AF5117" s="22"/>
    </row>
    <row r="5118" spans="1:32" x14ac:dyDescent="0.2">
      <c r="A5118" s="1">
        <v>46598</v>
      </c>
      <c r="B5118" s="1" t="s">
        <v>15420</v>
      </c>
      <c r="C5118" s="5" t="s">
        <v>0</v>
      </c>
      <c r="D5118" s="1" t="s">
        <v>15421</v>
      </c>
      <c r="E5118" s="1" t="s">
        <v>15422</v>
      </c>
      <c r="F5118" s="1" t="s">
        <v>970</v>
      </c>
      <c r="G5118" s="1" t="s">
        <v>36</v>
      </c>
      <c r="H5118" s="1" t="s">
        <v>30</v>
      </c>
      <c r="I5118" s="1" t="s">
        <v>16</v>
      </c>
      <c r="J5118" s="1">
        <v>1</v>
      </c>
      <c r="K5118" s="1">
        <v>6</v>
      </c>
      <c r="L5118" s="1" t="s">
        <v>31</v>
      </c>
      <c r="M5118" s="1" t="s">
        <v>18</v>
      </c>
      <c r="N5118" s="1" t="s">
        <v>18</v>
      </c>
      <c r="O5118" s="1">
        <v>1</v>
      </c>
      <c r="P5118" s="1">
        <v>1</v>
      </c>
      <c r="R5118" s="1" t="s">
        <v>19</v>
      </c>
      <c r="S5118" s="1" t="s">
        <v>20</v>
      </c>
      <c r="T5118" s="1" t="s">
        <v>21</v>
      </c>
      <c r="U5118" s="1" t="s">
        <v>22</v>
      </c>
      <c r="V5118" s="1" t="s">
        <v>24</v>
      </c>
      <c r="W5118" s="1" t="s">
        <v>24</v>
      </c>
      <c r="X5118" s="1">
        <v>1301</v>
      </c>
      <c r="Y5118" s="1">
        <v>2701</v>
      </c>
      <c r="Z5118" s="1" t="s">
        <v>24</v>
      </c>
      <c r="AA5118" s="1" t="s">
        <v>24</v>
      </c>
      <c r="AB5118" s="1" t="s">
        <v>24</v>
      </c>
      <c r="AC5118" s="1" t="s">
        <v>24</v>
      </c>
      <c r="AD5118" s="1" t="s">
        <v>24</v>
      </c>
      <c r="AE5118" s="1" t="s">
        <v>24</v>
      </c>
      <c r="AF5118" s="22"/>
    </row>
    <row r="5119" spans="1:32" x14ac:dyDescent="0.2">
      <c r="A5119" s="1">
        <v>46661</v>
      </c>
      <c r="B5119" s="1" t="s">
        <v>15423</v>
      </c>
      <c r="C5119" s="5" t="s">
        <v>0</v>
      </c>
      <c r="D5119" s="1" t="s">
        <v>15424</v>
      </c>
      <c r="F5119" s="1" t="s">
        <v>15425</v>
      </c>
      <c r="G5119" s="1" t="s">
        <v>15425</v>
      </c>
      <c r="H5119" s="1" t="s">
        <v>1384</v>
      </c>
      <c r="I5119" s="1" t="s">
        <v>16</v>
      </c>
      <c r="J5119" s="1">
        <v>1</v>
      </c>
      <c r="K5119" s="1">
        <v>3</v>
      </c>
      <c r="L5119" s="1" t="s">
        <v>42</v>
      </c>
      <c r="M5119" s="1" t="s">
        <v>18</v>
      </c>
      <c r="N5119" s="1" t="s">
        <v>18</v>
      </c>
      <c r="O5119" s="1">
        <v>1</v>
      </c>
      <c r="P5119" s="1">
        <v>1</v>
      </c>
      <c r="R5119" s="1" t="s">
        <v>19</v>
      </c>
      <c r="S5119" s="1" t="s">
        <v>20</v>
      </c>
      <c r="T5119" s="1" t="s">
        <v>21</v>
      </c>
      <c r="U5119" s="1" t="s">
        <v>22</v>
      </c>
      <c r="V5119" s="1" t="s">
        <v>24</v>
      </c>
      <c r="W5119" s="1" t="s">
        <v>24</v>
      </c>
      <c r="X5119" s="1">
        <v>1602</v>
      </c>
      <c r="Y5119" s="1">
        <v>1607</v>
      </c>
      <c r="Z5119" s="1">
        <v>1603</v>
      </c>
      <c r="AA5119" s="1">
        <v>3003</v>
      </c>
      <c r="AB5119" s="1" t="s">
        <v>24</v>
      </c>
      <c r="AC5119" s="1" t="s">
        <v>24</v>
      </c>
      <c r="AD5119" s="1" t="s">
        <v>24</v>
      </c>
      <c r="AE5119" s="1" t="s">
        <v>24</v>
      </c>
      <c r="AF5119" s="22"/>
    </row>
    <row r="5120" spans="1:32" x14ac:dyDescent="0.2">
      <c r="A5120" s="1">
        <v>46740</v>
      </c>
      <c r="B5120" s="1" t="s">
        <v>15426</v>
      </c>
      <c r="C5120" s="5" t="s">
        <v>0</v>
      </c>
      <c r="D5120" s="1" t="s">
        <v>15427</v>
      </c>
      <c r="E5120" s="1" t="s">
        <v>15428</v>
      </c>
      <c r="F5120" s="1" t="s">
        <v>970</v>
      </c>
      <c r="G5120" s="1" t="s">
        <v>36</v>
      </c>
      <c r="H5120" s="1" t="s">
        <v>461</v>
      </c>
      <c r="I5120" s="1" t="s">
        <v>16</v>
      </c>
      <c r="J5120" s="1">
        <v>1</v>
      </c>
      <c r="K5120" s="1">
        <v>6</v>
      </c>
      <c r="L5120" s="1" t="s">
        <v>31</v>
      </c>
      <c r="M5120" s="1" t="s">
        <v>18</v>
      </c>
      <c r="N5120" s="1" t="s">
        <v>18</v>
      </c>
      <c r="O5120" s="1">
        <v>3</v>
      </c>
      <c r="P5120" s="1">
        <v>6</v>
      </c>
      <c r="R5120" s="1" t="s">
        <v>19</v>
      </c>
      <c r="S5120" s="1" t="s">
        <v>20</v>
      </c>
      <c r="T5120" s="1" t="s">
        <v>21</v>
      </c>
      <c r="U5120" s="1" t="s">
        <v>22</v>
      </c>
      <c r="V5120" s="1" t="s">
        <v>24</v>
      </c>
      <c r="W5120" s="1" t="s">
        <v>24</v>
      </c>
      <c r="X5120" s="1">
        <v>2721</v>
      </c>
      <c r="Y5120" s="1">
        <v>2746</v>
      </c>
      <c r="Z5120" s="1" t="s">
        <v>24</v>
      </c>
      <c r="AA5120" s="1" t="s">
        <v>24</v>
      </c>
      <c r="AB5120" s="1" t="s">
        <v>24</v>
      </c>
      <c r="AC5120" s="1" t="s">
        <v>24</v>
      </c>
      <c r="AD5120" s="1" t="s">
        <v>24</v>
      </c>
      <c r="AE5120" s="1" t="s">
        <v>24</v>
      </c>
      <c r="AF5120" s="22" t="s">
        <v>17670</v>
      </c>
    </row>
    <row r="5121" spans="1:32" x14ac:dyDescent="0.2">
      <c r="A5121" s="1">
        <v>46743</v>
      </c>
      <c r="B5121" s="1" t="s">
        <v>15429</v>
      </c>
      <c r="C5121" s="5" t="s">
        <v>0</v>
      </c>
      <c r="D5121" s="1" t="s">
        <v>15430</v>
      </c>
      <c r="E5121" s="1" t="s">
        <v>15431</v>
      </c>
      <c r="F5121" s="1" t="s">
        <v>14754</v>
      </c>
      <c r="G5121" s="1" t="s">
        <v>311</v>
      </c>
      <c r="H5121" s="1" t="s">
        <v>37</v>
      </c>
      <c r="I5121" s="1" t="s">
        <v>16</v>
      </c>
      <c r="J5121" s="1">
        <v>1</v>
      </c>
      <c r="K5121" s="1">
        <v>6</v>
      </c>
      <c r="L5121" s="1" t="s">
        <v>31</v>
      </c>
      <c r="M5121" s="1" t="s">
        <v>18</v>
      </c>
      <c r="N5121" s="1" t="s">
        <v>18</v>
      </c>
      <c r="O5121" s="1">
        <v>3</v>
      </c>
      <c r="P5121" s="1">
        <v>7</v>
      </c>
      <c r="Q5121" s="7" t="s">
        <v>17633</v>
      </c>
      <c r="R5121" s="1" t="s">
        <v>19</v>
      </c>
      <c r="S5121" s="1" t="s">
        <v>20</v>
      </c>
      <c r="T5121" s="1" t="s">
        <v>21</v>
      </c>
      <c r="U5121" s="1" t="s">
        <v>22</v>
      </c>
      <c r="V5121" s="1" t="s">
        <v>24</v>
      </c>
      <c r="W5121" s="1" t="s">
        <v>24</v>
      </c>
      <c r="X5121" s="1">
        <v>3205</v>
      </c>
      <c r="Y5121" s="1">
        <v>1201</v>
      </c>
      <c r="Z5121" s="1" t="s">
        <v>24</v>
      </c>
      <c r="AA5121" s="1" t="s">
        <v>24</v>
      </c>
      <c r="AB5121" s="1" t="s">
        <v>24</v>
      </c>
      <c r="AC5121" s="1" t="s">
        <v>24</v>
      </c>
      <c r="AD5121" s="1" t="s">
        <v>24</v>
      </c>
      <c r="AE5121" s="1" t="s">
        <v>24</v>
      </c>
      <c r="AF5121" s="22"/>
    </row>
    <row r="5122" spans="1:32" x14ac:dyDescent="0.2">
      <c r="A5122" s="1">
        <v>46759</v>
      </c>
      <c r="B5122" s="1" t="s">
        <v>15432</v>
      </c>
      <c r="C5122" s="5" t="s">
        <v>0</v>
      </c>
      <c r="D5122" s="1" t="s">
        <v>15433</v>
      </c>
      <c r="F5122" s="1" t="s">
        <v>4831</v>
      </c>
      <c r="G5122" s="1" t="s">
        <v>4832</v>
      </c>
      <c r="H5122" s="1" t="s">
        <v>37</v>
      </c>
      <c r="I5122" s="1" t="s">
        <v>16</v>
      </c>
      <c r="J5122" s="1">
        <v>1</v>
      </c>
      <c r="K5122" s="1">
        <v>11</v>
      </c>
      <c r="L5122" s="1" t="s">
        <v>42</v>
      </c>
      <c r="M5122" s="1" t="s">
        <v>18</v>
      </c>
      <c r="N5122" s="1" t="s">
        <v>18</v>
      </c>
      <c r="O5122" s="1">
        <v>0</v>
      </c>
      <c r="P5122" s="1">
        <v>5</v>
      </c>
      <c r="R5122" s="1" t="s">
        <v>19</v>
      </c>
      <c r="S5122" s="1" t="s">
        <v>20</v>
      </c>
      <c r="T5122" s="1" t="s">
        <v>21</v>
      </c>
      <c r="U5122" s="1" t="s">
        <v>22</v>
      </c>
      <c r="V5122" s="1" t="s">
        <v>23</v>
      </c>
      <c r="W5122" s="1" t="s">
        <v>24</v>
      </c>
      <c r="X5122" s="1">
        <v>2736</v>
      </c>
      <c r="Y5122" s="1">
        <v>3611</v>
      </c>
      <c r="Z5122" s="1" t="s">
        <v>24</v>
      </c>
      <c r="AA5122" s="1" t="s">
        <v>24</v>
      </c>
      <c r="AB5122" s="1" t="s">
        <v>24</v>
      </c>
      <c r="AC5122" s="1" t="s">
        <v>24</v>
      </c>
      <c r="AD5122" s="1" t="s">
        <v>24</v>
      </c>
      <c r="AE5122" s="1" t="s">
        <v>24</v>
      </c>
      <c r="AF5122" s="22"/>
    </row>
    <row r="5123" spans="1:32" x14ac:dyDescent="0.2">
      <c r="A5123" s="1">
        <v>46834</v>
      </c>
      <c r="B5123" s="1" t="s">
        <v>15434</v>
      </c>
      <c r="C5123" s="5" t="s">
        <v>0</v>
      </c>
      <c r="D5123" s="1" t="s">
        <v>15435</v>
      </c>
      <c r="F5123" s="1" t="s">
        <v>12818</v>
      </c>
      <c r="G5123" s="1" t="s">
        <v>12818</v>
      </c>
      <c r="H5123" s="1" t="s">
        <v>184</v>
      </c>
      <c r="I5123" s="1" t="s">
        <v>16</v>
      </c>
      <c r="J5123" s="1">
        <v>1</v>
      </c>
      <c r="K5123" s="1">
        <v>1</v>
      </c>
      <c r="L5123" s="1" t="s">
        <v>42</v>
      </c>
      <c r="M5123" s="1" t="s">
        <v>15436</v>
      </c>
      <c r="N5123" s="1" t="s">
        <v>18</v>
      </c>
      <c r="O5123" s="1">
        <v>3</v>
      </c>
      <c r="P5123" s="1">
        <v>6</v>
      </c>
      <c r="R5123" s="1" t="s">
        <v>19</v>
      </c>
      <c r="S5123" s="1" t="s">
        <v>63</v>
      </c>
      <c r="T5123" s="1" t="s">
        <v>21</v>
      </c>
      <c r="U5123" s="1" t="s">
        <v>22</v>
      </c>
      <c r="V5123" s="1" t="s">
        <v>23</v>
      </c>
      <c r="W5123" s="1" t="s">
        <v>24</v>
      </c>
      <c r="X5123" s="1">
        <v>1106</v>
      </c>
      <c r="Y5123" s="1">
        <v>2739</v>
      </c>
      <c r="Z5123" s="1">
        <v>2916</v>
      </c>
      <c r="AA5123" s="1" t="s">
        <v>24</v>
      </c>
      <c r="AB5123" s="1" t="s">
        <v>24</v>
      </c>
      <c r="AC5123" s="1" t="s">
        <v>24</v>
      </c>
      <c r="AD5123" s="1" t="s">
        <v>24</v>
      </c>
      <c r="AE5123" s="1" t="s">
        <v>24</v>
      </c>
      <c r="AF5123" s="22"/>
    </row>
    <row r="5124" spans="1:32" x14ac:dyDescent="0.2">
      <c r="A5124" s="1">
        <v>46840</v>
      </c>
      <c r="B5124" s="1" t="s">
        <v>15437</v>
      </c>
      <c r="C5124" s="5" t="s">
        <v>0</v>
      </c>
      <c r="D5124" s="1" t="s">
        <v>15438</v>
      </c>
      <c r="E5124" s="1" t="s">
        <v>15439</v>
      </c>
      <c r="F5124" s="1" t="s">
        <v>15440</v>
      </c>
      <c r="G5124" s="1" t="s">
        <v>15440</v>
      </c>
      <c r="H5124" s="1" t="s">
        <v>693</v>
      </c>
      <c r="I5124" s="1" t="s">
        <v>16</v>
      </c>
      <c r="J5124" s="1">
        <v>1</v>
      </c>
      <c r="K5124" s="1">
        <v>6</v>
      </c>
      <c r="L5124" s="1" t="s">
        <v>42</v>
      </c>
      <c r="M5124" s="1" t="s">
        <v>1131</v>
      </c>
      <c r="N5124" s="1" t="s">
        <v>5887</v>
      </c>
      <c r="O5124" s="1">
        <v>2</v>
      </c>
      <c r="P5124" s="1">
        <v>5</v>
      </c>
      <c r="R5124" s="1" t="s">
        <v>19</v>
      </c>
      <c r="S5124" s="1" t="s">
        <v>20</v>
      </c>
      <c r="T5124" s="1" t="s">
        <v>21</v>
      </c>
      <c r="U5124" s="1" t="s">
        <v>22</v>
      </c>
      <c r="V5124" s="1" t="s">
        <v>24</v>
      </c>
      <c r="W5124" s="1" t="s">
        <v>24</v>
      </c>
      <c r="X5124" s="1">
        <v>2705</v>
      </c>
      <c r="Y5124" s="1" t="s">
        <v>24</v>
      </c>
      <c r="Z5124" s="1" t="s">
        <v>24</v>
      </c>
      <c r="AA5124" s="1" t="s">
        <v>24</v>
      </c>
      <c r="AB5124" s="1" t="s">
        <v>24</v>
      </c>
      <c r="AC5124" s="1" t="s">
        <v>24</v>
      </c>
      <c r="AD5124" s="1" t="s">
        <v>24</v>
      </c>
      <c r="AE5124" s="1" t="s">
        <v>24</v>
      </c>
      <c r="AF5124" s="22"/>
    </row>
    <row r="5125" spans="1:32" x14ac:dyDescent="0.2">
      <c r="A5125" s="1">
        <v>46890</v>
      </c>
      <c r="B5125" s="1" t="s">
        <v>15441</v>
      </c>
      <c r="C5125" s="5" t="s">
        <v>0</v>
      </c>
      <c r="D5125" s="1" t="s">
        <v>15442</v>
      </c>
      <c r="F5125" s="1" t="s">
        <v>15443</v>
      </c>
      <c r="G5125" s="1" t="s">
        <v>61</v>
      </c>
      <c r="H5125" s="1" t="s">
        <v>1007</v>
      </c>
      <c r="I5125" s="1" t="s">
        <v>16</v>
      </c>
      <c r="J5125" s="1">
        <v>1</v>
      </c>
      <c r="K5125" s="1">
        <v>2</v>
      </c>
      <c r="L5125" s="1" t="s">
        <v>31</v>
      </c>
      <c r="M5125" s="1" t="s">
        <v>18</v>
      </c>
      <c r="N5125" s="1" t="s">
        <v>18</v>
      </c>
      <c r="O5125" s="1">
        <v>1</v>
      </c>
      <c r="P5125" s="1">
        <v>5</v>
      </c>
      <c r="R5125" s="1" t="s">
        <v>19</v>
      </c>
      <c r="S5125" s="1" t="s">
        <v>20</v>
      </c>
      <c r="T5125" s="1" t="s">
        <v>21</v>
      </c>
      <c r="U5125" s="1" t="s">
        <v>22</v>
      </c>
      <c r="V5125" s="1" t="s">
        <v>24</v>
      </c>
      <c r="W5125" s="1" t="s">
        <v>24</v>
      </c>
      <c r="X5125" s="1">
        <v>1300</v>
      </c>
      <c r="Y5125" s="1">
        <v>2700</v>
      </c>
      <c r="Z5125" s="1" t="s">
        <v>24</v>
      </c>
      <c r="AA5125" s="1" t="s">
        <v>24</v>
      </c>
      <c r="AB5125" s="1" t="s">
        <v>24</v>
      </c>
      <c r="AC5125" s="1" t="s">
        <v>24</v>
      </c>
      <c r="AD5125" s="1" t="s">
        <v>24</v>
      </c>
      <c r="AE5125" s="1" t="s">
        <v>24</v>
      </c>
      <c r="AF5125" s="22"/>
    </row>
    <row r="5126" spans="1:32" x14ac:dyDescent="0.2">
      <c r="A5126" s="1">
        <v>46892</v>
      </c>
      <c r="B5126" s="1" t="s">
        <v>15444</v>
      </c>
      <c r="C5126" s="5" t="s">
        <v>0</v>
      </c>
      <c r="D5126" s="1" t="s">
        <v>15445</v>
      </c>
      <c r="F5126" s="1" t="s">
        <v>15446</v>
      </c>
      <c r="G5126" s="1" t="s">
        <v>15446</v>
      </c>
      <c r="H5126" s="1" t="s">
        <v>731</v>
      </c>
      <c r="I5126" s="1" t="s">
        <v>16</v>
      </c>
      <c r="J5126" s="1">
        <v>1</v>
      </c>
      <c r="K5126" s="1">
        <v>3</v>
      </c>
      <c r="L5126" s="1" t="s">
        <v>42</v>
      </c>
      <c r="M5126" s="1" t="s">
        <v>18</v>
      </c>
      <c r="N5126" s="1" t="s">
        <v>18</v>
      </c>
      <c r="O5126" s="1">
        <v>3</v>
      </c>
      <c r="P5126" s="1">
        <v>6</v>
      </c>
      <c r="R5126" s="1" t="s">
        <v>19</v>
      </c>
      <c r="S5126" s="1" t="s">
        <v>63</v>
      </c>
      <c r="T5126" s="1" t="s">
        <v>21</v>
      </c>
      <c r="U5126" s="1" t="s">
        <v>22</v>
      </c>
      <c r="V5126" s="1" t="s">
        <v>24</v>
      </c>
      <c r="W5126" s="1" t="s">
        <v>24</v>
      </c>
      <c r="X5126" s="1">
        <v>2736</v>
      </c>
      <c r="Y5126" s="1">
        <v>2719</v>
      </c>
      <c r="Z5126" s="1" t="s">
        <v>24</v>
      </c>
      <c r="AA5126" s="1" t="s">
        <v>24</v>
      </c>
      <c r="AB5126" s="1" t="s">
        <v>24</v>
      </c>
      <c r="AC5126" s="1" t="s">
        <v>24</v>
      </c>
      <c r="AD5126" s="1" t="s">
        <v>24</v>
      </c>
      <c r="AE5126" s="1" t="s">
        <v>24</v>
      </c>
      <c r="AF5126" s="22"/>
    </row>
    <row r="5127" spans="1:32" x14ac:dyDescent="0.2">
      <c r="A5127" s="1">
        <v>46900</v>
      </c>
      <c r="B5127" s="1" t="s">
        <v>15447</v>
      </c>
      <c r="C5127" s="5" t="s">
        <v>0</v>
      </c>
      <c r="D5127" s="1" t="s">
        <v>15448</v>
      </c>
      <c r="E5127" s="1" t="s">
        <v>15449</v>
      </c>
      <c r="F5127" s="1" t="s">
        <v>15450</v>
      </c>
      <c r="G5127" s="1" t="s">
        <v>15451</v>
      </c>
      <c r="H5127" s="1" t="s">
        <v>30</v>
      </c>
      <c r="I5127" s="1" t="s">
        <v>16</v>
      </c>
      <c r="J5127" s="1">
        <v>1</v>
      </c>
      <c r="K5127" s="1">
        <v>4</v>
      </c>
      <c r="L5127" s="1" t="s">
        <v>31</v>
      </c>
      <c r="M5127" s="1" t="s">
        <v>18</v>
      </c>
      <c r="N5127" s="1" t="s">
        <v>18</v>
      </c>
      <c r="O5127" s="1">
        <v>3</v>
      </c>
      <c r="P5127" s="1">
        <v>7</v>
      </c>
      <c r="Q5127" s="7" t="s">
        <v>17633</v>
      </c>
      <c r="R5127" s="1" t="s">
        <v>19</v>
      </c>
      <c r="S5127" s="1" t="s">
        <v>20</v>
      </c>
      <c r="T5127" s="1" t="s">
        <v>21</v>
      </c>
      <c r="U5127" s="1" t="s">
        <v>22</v>
      </c>
      <c r="V5127" s="1" t="s">
        <v>23</v>
      </c>
      <c r="W5127" s="1" t="s">
        <v>24</v>
      </c>
      <c r="X5127" s="1">
        <v>2731</v>
      </c>
      <c r="Y5127" s="1" t="s">
        <v>24</v>
      </c>
      <c r="Z5127" s="1" t="s">
        <v>24</v>
      </c>
      <c r="AA5127" s="1" t="s">
        <v>24</v>
      </c>
      <c r="AB5127" s="1" t="s">
        <v>24</v>
      </c>
      <c r="AC5127" s="1" t="s">
        <v>24</v>
      </c>
      <c r="AD5127" s="1" t="s">
        <v>24</v>
      </c>
      <c r="AE5127" s="1" t="s">
        <v>24</v>
      </c>
      <c r="AF5127" s="22"/>
    </row>
    <row r="5128" spans="1:32" x14ac:dyDescent="0.2">
      <c r="A5128" s="1">
        <v>46907</v>
      </c>
      <c r="B5128" s="1" t="s">
        <v>15452</v>
      </c>
      <c r="C5128" s="5" t="s">
        <v>0</v>
      </c>
      <c r="E5128" s="1" t="s">
        <v>15453</v>
      </c>
      <c r="F5128" s="1" t="s">
        <v>91</v>
      </c>
      <c r="G5128" s="1" t="s">
        <v>61</v>
      </c>
      <c r="H5128" s="1" t="s">
        <v>92</v>
      </c>
      <c r="I5128" s="1" t="s">
        <v>16</v>
      </c>
      <c r="J5128" s="1">
        <v>1</v>
      </c>
      <c r="K5128" s="1">
        <v>1</v>
      </c>
      <c r="L5128" s="1" t="s">
        <v>31</v>
      </c>
      <c r="M5128" s="1" t="s">
        <v>18</v>
      </c>
      <c r="N5128" s="1" t="s">
        <v>18</v>
      </c>
      <c r="O5128" s="1">
        <v>3</v>
      </c>
      <c r="P5128" s="1">
        <v>7</v>
      </c>
      <c r="Q5128" s="7" t="s">
        <v>17633</v>
      </c>
      <c r="R5128" s="1" t="s">
        <v>19</v>
      </c>
      <c r="S5128" s="1" t="s">
        <v>63</v>
      </c>
      <c r="T5128" s="1" t="s">
        <v>21</v>
      </c>
      <c r="U5128" s="1" t="s">
        <v>22</v>
      </c>
      <c r="V5128" s="1" t="s">
        <v>24</v>
      </c>
      <c r="W5128" s="1" t="s">
        <v>24</v>
      </c>
      <c r="X5128" s="1">
        <v>2403</v>
      </c>
      <c r="Y5128" s="1" t="s">
        <v>24</v>
      </c>
      <c r="Z5128" s="1" t="s">
        <v>24</v>
      </c>
      <c r="AA5128" s="1" t="s">
        <v>24</v>
      </c>
      <c r="AB5128" s="1" t="s">
        <v>24</v>
      </c>
      <c r="AC5128" s="1" t="s">
        <v>24</v>
      </c>
      <c r="AD5128" s="1" t="s">
        <v>24</v>
      </c>
      <c r="AE5128" s="1" t="s">
        <v>24</v>
      </c>
      <c r="AF5128" s="22"/>
    </row>
    <row r="5129" spans="1:32" x14ac:dyDescent="0.2">
      <c r="A5129" s="1">
        <v>46908</v>
      </c>
      <c r="B5129" s="1" t="s">
        <v>15454</v>
      </c>
      <c r="C5129" s="5" t="s">
        <v>0</v>
      </c>
      <c r="E5129" s="1" t="s">
        <v>15455</v>
      </c>
      <c r="F5129" s="1" t="s">
        <v>91</v>
      </c>
      <c r="G5129" s="1" t="s">
        <v>61</v>
      </c>
      <c r="H5129" s="1" t="s">
        <v>92</v>
      </c>
      <c r="I5129" s="1" t="s">
        <v>16</v>
      </c>
      <c r="J5129" s="1">
        <v>1</v>
      </c>
      <c r="K5129" s="1">
        <v>1</v>
      </c>
      <c r="L5129" s="1" t="s">
        <v>31</v>
      </c>
      <c r="M5129" s="1" t="s">
        <v>18</v>
      </c>
      <c r="N5129" s="1" t="s">
        <v>18</v>
      </c>
      <c r="O5129" s="1">
        <v>3</v>
      </c>
      <c r="P5129" s="1">
        <v>7</v>
      </c>
      <c r="Q5129" s="7" t="s">
        <v>17633</v>
      </c>
      <c r="R5129" s="1" t="s">
        <v>19</v>
      </c>
      <c r="S5129" s="1" t="s">
        <v>63</v>
      </c>
      <c r="T5129" s="1" t="s">
        <v>21</v>
      </c>
      <c r="U5129" s="1" t="s">
        <v>22</v>
      </c>
      <c r="V5129" s="1" t="s">
        <v>24</v>
      </c>
      <c r="W5129" s="1" t="s">
        <v>24</v>
      </c>
      <c r="X5129" s="1">
        <v>3003</v>
      </c>
      <c r="Y5129" s="1" t="s">
        <v>24</v>
      </c>
      <c r="Z5129" s="1" t="s">
        <v>24</v>
      </c>
      <c r="AA5129" s="1" t="s">
        <v>24</v>
      </c>
      <c r="AB5129" s="1" t="s">
        <v>24</v>
      </c>
      <c r="AC5129" s="1" t="s">
        <v>24</v>
      </c>
      <c r="AD5129" s="1" t="s">
        <v>24</v>
      </c>
      <c r="AE5129" s="1" t="s">
        <v>24</v>
      </c>
      <c r="AF5129" s="22"/>
    </row>
    <row r="5130" spans="1:32" x14ac:dyDescent="0.2">
      <c r="A5130" s="1">
        <v>46932</v>
      </c>
      <c r="B5130" s="1" t="s">
        <v>15456</v>
      </c>
      <c r="C5130" s="5" t="s">
        <v>0</v>
      </c>
      <c r="D5130" s="1" t="s">
        <v>15457</v>
      </c>
      <c r="E5130" s="1" t="s">
        <v>15458</v>
      </c>
      <c r="F5130" s="1" t="s">
        <v>6173</v>
      </c>
      <c r="G5130" s="1" t="s">
        <v>6173</v>
      </c>
      <c r="H5130" s="1" t="s">
        <v>1384</v>
      </c>
      <c r="I5130" s="1" t="s">
        <v>16</v>
      </c>
      <c r="J5130" s="1">
        <v>1</v>
      </c>
      <c r="K5130" s="1">
        <v>4</v>
      </c>
      <c r="L5130" s="1" t="s">
        <v>42</v>
      </c>
      <c r="M5130" s="1" t="s">
        <v>9409</v>
      </c>
      <c r="N5130" s="1" t="s">
        <v>9409</v>
      </c>
      <c r="O5130" s="1">
        <v>3</v>
      </c>
      <c r="P5130" s="1">
        <v>6</v>
      </c>
      <c r="R5130" s="1" t="s">
        <v>19</v>
      </c>
      <c r="S5130" s="1" t="s">
        <v>20</v>
      </c>
      <c r="T5130" s="1" t="s">
        <v>21</v>
      </c>
      <c r="U5130" s="1" t="s">
        <v>22</v>
      </c>
      <c r="V5130" s="1" t="s">
        <v>24</v>
      </c>
      <c r="W5130" s="1" t="s">
        <v>24</v>
      </c>
      <c r="X5130" s="1">
        <v>2700</v>
      </c>
      <c r="Y5130" s="1" t="s">
        <v>24</v>
      </c>
      <c r="Z5130" s="1" t="s">
        <v>24</v>
      </c>
      <c r="AA5130" s="1" t="s">
        <v>24</v>
      </c>
      <c r="AB5130" s="1" t="s">
        <v>24</v>
      </c>
      <c r="AC5130" s="1" t="s">
        <v>24</v>
      </c>
      <c r="AD5130" s="1" t="s">
        <v>24</v>
      </c>
      <c r="AE5130" s="1" t="s">
        <v>24</v>
      </c>
      <c r="AF5130" s="22"/>
    </row>
    <row r="5131" spans="1:32" x14ac:dyDescent="0.2">
      <c r="A5131" s="1">
        <v>46986</v>
      </c>
      <c r="B5131" s="1" t="s">
        <v>15459</v>
      </c>
      <c r="C5131" s="5" t="s">
        <v>0</v>
      </c>
      <c r="D5131" s="1" t="s">
        <v>15460</v>
      </c>
      <c r="F5131" s="1" t="s">
        <v>13076</v>
      </c>
      <c r="G5131" s="1" t="s">
        <v>13076</v>
      </c>
      <c r="H5131" s="1" t="s">
        <v>1384</v>
      </c>
      <c r="I5131" s="1" t="s">
        <v>16</v>
      </c>
      <c r="J5131" s="1">
        <v>1</v>
      </c>
      <c r="K5131" s="1">
        <v>3</v>
      </c>
      <c r="L5131" s="1" t="s">
        <v>42</v>
      </c>
      <c r="M5131" s="1" t="s">
        <v>1385</v>
      </c>
      <c r="N5131" s="1" t="s">
        <v>9409</v>
      </c>
      <c r="O5131" s="1">
        <v>3</v>
      </c>
      <c r="P5131" s="1">
        <v>5</v>
      </c>
      <c r="R5131" s="1" t="s">
        <v>19</v>
      </c>
      <c r="S5131" s="1" t="s">
        <v>20</v>
      </c>
      <c r="T5131" s="1" t="s">
        <v>21</v>
      </c>
      <c r="U5131" s="1" t="s">
        <v>22</v>
      </c>
      <c r="V5131" s="1" t="s">
        <v>24</v>
      </c>
      <c r="W5131" s="1" t="s">
        <v>24</v>
      </c>
      <c r="X5131" s="1">
        <v>2712</v>
      </c>
      <c r="Y5131" s="1" t="s">
        <v>24</v>
      </c>
      <c r="Z5131" s="1" t="s">
        <v>24</v>
      </c>
      <c r="AA5131" s="1" t="s">
        <v>24</v>
      </c>
      <c r="AB5131" s="1" t="s">
        <v>24</v>
      </c>
      <c r="AC5131" s="1" t="s">
        <v>24</v>
      </c>
      <c r="AD5131" s="1" t="s">
        <v>24</v>
      </c>
      <c r="AE5131" s="1" t="s">
        <v>24</v>
      </c>
      <c r="AF5131" s="22"/>
    </row>
    <row r="5132" spans="1:32" x14ac:dyDescent="0.2">
      <c r="A5132" s="1">
        <v>47006</v>
      </c>
      <c r="B5132" s="1" t="s">
        <v>15461</v>
      </c>
      <c r="C5132" s="5" t="s">
        <v>0</v>
      </c>
      <c r="D5132" s="1" t="s">
        <v>15462</v>
      </c>
      <c r="F5132" s="1" t="s">
        <v>15463</v>
      </c>
      <c r="G5132" s="1" t="s">
        <v>61</v>
      </c>
      <c r="H5132" s="1" t="s">
        <v>2147</v>
      </c>
      <c r="I5132" s="1" t="s">
        <v>16</v>
      </c>
      <c r="J5132" s="1">
        <v>1</v>
      </c>
      <c r="K5132" s="1">
        <v>4</v>
      </c>
      <c r="L5132" s="1" t="s">
        <v>31</v>
      </c>
      <c r="M5132" s="1" t="s">
        <v>18</v>
      </c>
      <c r="N5132" s="1" t="s">
        <v>105</v>
      </c>
      <c r="O5132" s="1">
        <v>3</v>
      </c>
      <c r="P5132" s="1">
        <v>6</v>
      </c>
      <c r="R5132" s="1" t="s">
        <v>19</v>
      </c>
      <c r="S5132" s="1" t="s">
        <v>20</v>
      </c>
      <c r="T5132" s="1" t="s">
        <v>21</v>
      </c>
      <c r="U5132" s="1" t="s">
        <v>22</v>
      </c>
      <c r="V5132" s="1" t="s">
        <v>23</v>
      </c>
      <c r="W5132" s="1" t="s">
        <v>24</v>
      </c>
      <c r="X5132" s="1">
        <v>2711</v>
      </c>
      <c r="Y5132" s="1" t="s">
        <v>24</v>
      </c>
      <c r="Z5132" s="1" t="s">
        <v>24</v>
      </c>
      <c r="AA5132" s="1" t="s">
        <v>24</v>
      </c>
      <c r="AB5132" s="1" t="s">
        <v>24</v>
      </c>
      <c r="AC5132" s="1" t="s">
        <v>24</v>
      </c>
      <c r="AD5132" s="1" t="s">
        <v>24</v>
      </c>
      <c r="AE5132" s="1" t="s">
        <v>24</v>
      </c>
      <c r="AF5132" s="22"/>
    </row>
    <row r="5133" spans="1:32" x14ac:dyDescent="0.2">
      <c r="A5133" s="1">
        <v>47007</v>
      </c>
      <c r="B5133" s="1" t="s">
        <v>15464</v>
      </c>
      <c r="C5133" s="5" t="s">
        <v>0</v>
      </c>
      <c r="D5133" s="1" t="s">
        <v>15465</v>
      </c>
      <c r="E5133" s="1" t="s">
        <v>15466</v>
      </c>
      <c r="F5133" s="1" t="s">
        <v>15467</v>
      </c>
      <c r="G5133" s="1" t="s">
        <v>61</v>
      </c>
      <c r="H5133" s="1" t="s">
        <v>7640</v>
      </c>
      <c r="I5133" s="1" t="s">
        <v>16</v>
      </c>
      <c r="J5133" s="1">
        <v>1</v>
      </c>
      <c r="K5133" s="1">
        <v>4</v>
      </c>
      <c r="L5133" s="1" t="s">
        <v>31</v>
      </c>
      <c r="M5133" s="1" t="s">
        <v>18</v>
      </c>
      <c r="N5133" s="1" t="s">
        <v>18</v>
      </c>
      <c r="O5133" s="1">
        <v>3</v>
      </c>
      <c r="P5133" s="1">
        <v>6</v>
      </c>
      <c r="R5133" s="1" t="s">
        <v>19</v>
      </c>
      <c r="S5133" s="1" t="s">
        <v>20</v>
      </c>
      <c r="T5133" s="1" t="s">
        <v>21</v>
      </c>
      <c r="U5133" s="1" t="s">
        <v>22</v>
      </c>
      <c r="V5133" s="1" t="s">
        <v>23</v>
      </c>
      <c r="W5133" s="1" t="s">
        <v>24</v>
      </c>
      <c r="X5133" s="1">
        <v>2748</v>
      </c>
      <c r="Y5133" s="1" t="s">
        <v>24</v>
      </c>
      <c r="Z5133" s="1" t="s">
        <v>24</v>
      </c>
      <c r="AA5133" s="1" t="s">
        <v>24</v>
      </c>
      <c r="AB5133" s="1" t="s">
        <v>24</v>
      </c>
      <c r="AC5133" s="1" t="s">
        <v>24</v>
      </c>
      <c r="AD5133" s="1" t="s">
        <v>24</v>
      </c>
      <c r="AE5133" s="1" t="s">
        <v>24</v>
      </c>
      <c r="AF5133" s="22"/>
    </row>
    <row r="5134" spans="1:32" x14ac:dyDescent="0.2">
      <c r="A5134" s="1">
        <v>47008</v>
      </c>
      <c r="B5134" s="1" t="s">
        <v>15468</v>
      </c>
      <c r="C5134" s="5" t="s">
        <v>0</v>
      </c>
      <c r="D5134" s="1" t="s">
        <v>15469</v>
      </c>
      <c r="F5134" s="1" t="s">
        <v>85</v>
      </c>
      <c r="G5134" s="1" t="s">
        <v>61</v>
      </c>
      <c r="H5134" s="1" t="s">
        <v>86</v>
      </c>
      <c r="I5134" s="1" t="s">
        <v>16</v>
      </c>
      <c r="J5134" s="1">
        <v>1</v>
      </c>
      <c r="K5134" s="1">
        <v>4</v>
      </c>
      <c r="L5134" s="1" t="s">
        <v>31</v>
      </c>
      <c r="M5134" s="1" t="s">
        <v>18</v>
      </c>
      <c r="N5134" s="1" t="s">
        <v>18</v>
      </c>
      <c r="O5134" s="1">
        <v>3</v>
      </c>
      <c r="P5134" s="1">
        <v>7</v>
      </c>
      <c r="Q5134" s="7" t="s">
        <v>17633</v>
      </c>
      <c r="R5134" s="1" t="s">
        <v>19</v>
      </c>
      <c r="S5134" s="1" t="s">
        <v>20</v>
      </c>
      <c r="T5134" s="1" t="s">
        <v>21</v>
      </c>
      <c r="U5134" s="1" t="s">
        <v>22</v>
      </c>
      <c r="V5134" s="1" t="s">
        <v>23</v>
      </c>
      <c r="W5134" s="1" t="s">
        <v>24</v>
      </c>
      <c r="X5134" s="1">
        <v>2717</v>
      </c>
      <c r="Y5134" s="1">
        <v>2734</v>
      </c>
      <c r="Z5134" s="1">
        <v>1302</v>
      </c>
      <c r="AA5134" s="1" t="s">
        <v>24</v>
      </c>
      <c r="AB5134" s="1" t="s">
        <v>24</v>
      </c>
      <c r="AC5134" s="1" t="s">
        <v>24</v>
      </c>
      <c r="AD5134" s="1" t="s">
        <v>24</v>
      </c>
      <c r="AE5134" s="1" t="s">
        <v>24</v>
      </c>
      <c r="AF5134" s="22"/>
    </row>
    <row r="5135" spans="1:32" x14ac:dyDescent="0.2">
      <c r="A5135" s="1">
        <v>47009</v>
      </c>
      <c r="B5135" s="1" t="s">
        <v>15470</v>
      </c>
      <c r="C5135" s="5" t="s">
        <v>0</v>
      </c>
      <c r="D5135" s="1" t="s">
        <v>15471</v>
      </c>
      <c r="F5135" s="1" t="s">
        <v>91</v>
      </c>
      <c r="G5135" s="1" t="s">
        <v>61</v>
      </c>
      <c r="H5135" s="1" t="s">
        <v>92</v>
      </c>
      <c r="I5135" s="1" t="s">
        <v>16</v>
      </c>
      <c r="J5135" s="1">
        <v>1</v>
      </c>
      <c r="K5135" s="1">
        <v>6</v>
      </c>
      <c r="L5135" s="1" t="s">
        <v>31</v>
      </c>
      <c r="M5135" s="1" t="s">
        <v>18</v>
      </c>
      <c r="N5135" s="1" t="s">
        <v>18</v>
      </c>
      <c r="O5135" s="1">
        <v>2</v>
      </c>
      <c r="P5135" s="1">
        <v>7</v>
      </c>
      <c r="Q5135" s="7" t="s">
        <v>17633</v>
      </c>
      <c r="R5135" s="1" t="s">
        <v>19</v>
      </c>
      <c r="S5135" s="1" t="s">
        <v>63</v>
      </c>
      <c r="T5135" s="1" t="s">
        <v>21</v>
      </c>
      <c r="U5135" s="1" t="s">
        <v>22</v>
      </c>
      <c r="V5135" s="1" t="s">
        <v>23</v>
      </c>
      <c r="W5135" s="1" t="s">
        <v>24</v>
      </c>
      <c r="X5135" s="1">
        <v>2406</v>
      </c>
      <c r="Y5135" s="1" t="s">
        <v>24</v>
      </c>
      <c r="Z5135" s="1" t="s">
        <v>24</v>
      </c>
      <c r="AA5135" s="1" t="s">
        <v>24</v>
      </c>
      <c r="AB5135" s="1" t="s">
        <v>24</v>
      </c>
      <c r="AC5135" s="1" t="s">
        <v>24</v>
      </c>
      <c r="AD5135" s="1" t="s">
        <v>24</v>
      </c>
      <c r="AE5135" s="1" t="s">
        <v>24</v>
      </c>
      <c r="AF5135" s="22" t="s">
        <v>17679</v>
      </c>
    </row>
    <row r="5136" spans="1:32" x14ac:dyDescent="0.2">
      <c r="A5136" s="1">
        <v>47010</v>
      </c>
      <c r="B5136" s="1" t="s">
        <v>15472</v>
      </c>
      <c r="C5136" s="5" t="s">
        <v>0</v>
      </c>
      <c r="D5136" s="1" t="s">
        <v>15473</v>
      </c>
      <c r="F5136" s="1" t="s">
        <v>175</v>
      </c>
      <c r="G5136" s="1" t="s">
        <v>61</v>
      </c>
      <c r="H5136" s="1" t="s">
        <v>116</v>
      </c>
      <c r="I5136" s="1" t="s">
        <v>16</v>
      </c>
      <c r="J5136" s="1">
        <v>1</v>
      </c>
      <c r="K5136" s="1">
        <v>4</v>
      </c>
      <c r="L5136" s="1" t="s">
        <v>31</v>
      </c>
      <c r="M5136" s="1" t="s">
        <v>117</v>
      </c>
      <c r="N5136" s="1" t="s">
        <v>118</v>
      </c>
      <c r="O5136" s="1">
        <v>3</v>
      </c>
      <c r="P5136" s="1">
        <v>6</v>
      </c>
      <c r="R5136" s="1" t="s">
        <v>19</v>
      </c>
      <c r="S5136" s="1" t="s">
        <v>20</v>
      </c>
      <c r="T5136" s="1" t="s">
        <v>21</v>
      </c>
      <c r="U5136" s="1" t="s">
        <v>22</v>
      </c>
      <c r="V5136" s="1" t="s">
        <v>23</v>
      </c>
      <c r="W5136" s="1" t="s">
        <v>24</v>
      </c>
      <c r="X5136" s="1">
        <v>2729</v>
      </c>
      <c r="Y5136" s="1" t="s">
        <v>24</v>
      </c>
      <c r="Z5136" s="1" t="s">
        <v>24</v>
      </c>
      <c r="AA5136" s="1" t="s">
        <v>24</v>
      </c>
      <c r="AB5136" s="1" t="s">
        <v>24</v>
      </c>
      <c r="AC5136" s="1" t="s">
        <v>24</v>
      </c>
      <c r="AD5136" s="1" t="s">
        <v>24</v>
      </c>
      <c r="AE5136" s="1" t="s">
        <v>24</v>
      </c>
      <c r="AF5136" s="22"/>
    </row>
    <row r="5137" spans="1:32" x14ac:dyDescent="0.2">
      <c r="A5137" s="1">
        <v>47011</v>
      </c>
      <c r="B5137" s="1" t="s">
        <v>15474</v>
      </c>
      <c r="C5137" s="5" t="s">
        <v>0</v>
      </c>
      <c r="D5137" s="1" t="s">
        <v>15475</v>
      </c>
      <c r="F5137" s="1" t="s">
        <v>1897</v>
      </c>
      <c r="G5137" s="1" t="s">
        <v>1898</v>
      </c>
      <c r="H5137" s="1" t="s">
        <v>899</v>
      </c>
      <c r="I5137" s="1" t="s">
        <v>16</v>
      </c>
      <c r="J5137" s="1">
        <v>1</v>
      </c>
      <c r="K5137" s="1">
        <v>4</v>
      </c>
      <c r="L5137" s="1" t="s">
        <v>31</v>
      </c>
      <c r="M5137" s="1" t="s">
        <v>852</v>
      </c>
      <c r="N5137" s="1" t="s">
        <v>685</v>
      </c>
      <c r="O5137" s="1">
        <v>2</v>
      </c>
      <c r="P5137" s="1">
        <v>6</v>
      </c>
      <c r="R5137" s="1" t="s">
        <v>19</v>
      </c>
      <c r="S5137" s="1" t="s">
        <v>20</v>
      </c>
      <c r="T5137" s="1" t="s">
        <v>21</v>
      </c>
      <c r="U5137" s="1" t="s">
        <v>22</v>
      </c>
      <c r="V5137" s="1" t="s">
        <v>23</v>
      </c>
      <c r="W5137" s="1" t="s">
        <v>24</v>
      </c>
      <c r="X5137" s="1">
        <v>2705</v>
      </c>
      <c r="Y5137" s="1">
        <v>2741</v>
      </c>
      <c r="Z5137" s="1" t="s">
        <v>24</v>
      </c>
      <c r="AA5137" s="1" t="s">
        <v>24</v>
      </c>
      <c r="AB5137" s="1" t="s">
        <v>24</v>
      </c>
      <c r="AC5137" s="1" t="s">
        <v>24</v>
      </c>
      <c r="AD5137" s="1" t="s">
        <v>24</v>
      </c>
      <c r="AE5137" s="1" t="s">
        <v>24</v>
      </c>
      <c r="AF5137" s="22" t="s">
        <v>17679</v>
      </c>
    </row>
    <row r="5138" spans="1:32" x14ac:dyDescent="0.2">
      <c r="A5138" s="1">
        <v>47012</v>
      </c>
      <c r="B5138" s="1" t="s">
        <v>15476</v>
      </c>
      <c r="C5138" s="5" t="s">
        <v>0</v>
      </c>
      <c r="D5138" s="1" t="s">
        <v>15477</v>
      </c>
      <c r="F5138" s="1" t="s">
        <v>1479</v>
      </c>
      <c r="G5138" s="1" t="s">
        <v>61</v>
      </c>
      <c r="H5138" s="1" t="s">
        <v>168</v>
      </c>
      <c r="I5138" s="1" t="s">
        <v>16</v>
      </c>
      <c r="J5138" s="1">
        <v>1</v>
      </c>
      <c r="K5138" s="1">
        <v>4</v>
      </c>
      <c r="L5138" s="1" t="s">
        <v>31</v>
      </c>
      <c r="M5138" s="1" t="s">
        <v>18</v>
      </c>
      <c r="N5138" s="1" t="s">
        <v>18</v>
      </c>
      <c r="O5138" s="1">
        <v>3</v>
      </c>
      <c r="P5138" s="1">
        <v>7</v>
      </c>
      <c r="Q5138" s="7" t="s">
        <v>17633</v>
      </c>
      <c r="R5138" s="1" t="s">
        <v>19</v>
      </c>
      <c r="S5138" s="1" t="s">
        <v>20</v>
      </c>
      <c r="T5138" s="1" t="s">
        <v>21</v>
      </c>
      <c r="U5138" s="1" t="s">
        <v>22</v>
      </c>
      <c r="V5138" s="1" t="s">
        <v>23</v>
      </c>
      <c r="W5138" s="1" t="s">
        <v>24</v>
      </c>
      <c r="X5138" s="1">
        <v>2707</v>
      </c>
      <c r="Y5138" s="1" t="s">
        <v>24</v>
      </c>
      <c r="Z5138" s="1" t="s">
        <v>24</v>
      </c>
      <c r="AA5138" s="1" t="s">
        <v>24</v>
      </c>
      <c r="AB5138" s="1" t="s">
        <v>24</v>
      </c>
      <c r="AC5138" s="1" t="s">
        <v>24</v>
      </c>
      <c r="AD5138" s="1" t="s">
        <v>24</v>
      </c>
      <c r="AE5138" s="1" t="s">
        <v>24</v>
      </c>
      <c r="AF5138" s="22" t="s">
        <v>17679</v>
      </c>
    </row>
    <row r="5139" spans="1:32" x14ac:dyDescent="0.2">
      <c r="A5139" s="1">
        <v>47013</v>
      </c>
      <c r="B5139" s="1" t="s">
        <v>15478</v>
      </c>
      <c r="C5139" s="5" t="s">
        <v>0</v>
      </c>
      <c r="D5139" s="1" t="s">
        <v>15479</v>
      </c>
      <c r="F5139" s="1" t="s">
        <v>1683</v>
      </c>
      <c r="G5139" s="1" t="s">
        <v>61</v>
      </c>
      <c r="H5139" s="1" t="s">
        <v>116</v>
      </c>
      <c r="I5139" s="1" t="s">
        <v>16</v>
      </c>
      <c r="J5139" s="1">
        <v>1</v>
      </c>
      <c r="K5139" s="1">
        <v>2</v>
      </c>
      <c r="L5139" s="1" t="s">
        <v>31</v>
      </c>
      <c r="M5139" s="1" t="s">
        <v>117</v>
      </c>
      <c r="N5139" s="1" t="s">
        <v>118</v>
      </c>
      <c r="O5139" s="1">
        <v>3</v>
      </c>
      <c r="P5139" s="1">
        <v>6</v>
      </c>
      <c r="R5139" s="1" t="s">
        <v>19</v>
      </c>
      <c r="S5139" s="1" t="s">
        <v>20</v>
      </c>
      <c r="T5139" s="1" t="s">
        <v>21</v>
      </c>
      <c r="U5139" s="1" t="s">
        <v>22</v>
      </c>
      <c r="V5139" s="1" t="s">
        <v>23</v>
      </c>
      <c r="W5139" s="1" t="s">
        <v>24</v>
      </c>
      <c r="X5139" s="1">
        <v>2901</v>
      </c>
      <c r="Y5139" s="1" t="s">
        <v>24</v>
      </c>
      <c r="Z5139" s="1" t="s">
        <v>24</v>
      </c>
      <c r="AA5139" s="1" t="s">
        <v>24</v>
      </c>
      <c r="AB5139" s="1" t="s">
        <v>24</v>
      </c>
      <c r="AC5139" s="1" t="s">
        <v>24</v>
      </c>
      <c r="AD5139" s="1" t="s">
        <v>24</v>
      </c>
      <c r="AE5139" s="1" t="s">
        <v>24</v>
      </c>
      <c r="AF5139" s="22"/>
    </row>
    <row r="5140" spans="1:32" x14ac:dyDescent="0.2">
      <c r="A5140" s="1">
        <v>47014</v>
      </c>
      <c r="B5140" s="1" t="s">
        <v>15480</v>
      </c>
      <c r="C5140" s="5" t="s">
        <v>0</v>
      </c>
      <c r="D5140" s="1" t="s">
        <v>15481</v>
      </c>
      <c r="F5140" s="1" t="s">
        <v>175</v>
      </c>
      <c r="G5140" s="1" t="s">
        <v>61</v>
      </c>
      <c r="H5140" s="1" t="s">
        <v>116</v>
      </c>
      <c r="I5140" s="1" t="s">
        <v>16</v>
      </c>
      <c r="J5140" s="1">
        <v>1</v>
      </c>
      <c r="K5140" s="1">
        <v>6</v>
      </c>
      <c r="L5140" s="1" t="s">
        <v>31</v>
      </c>
      <c r="M5140" s="1" t="s">
        <v>117</v>
      </c>
      <c r="N5140" s="1" t="s">
        <v>118</v>
      </c>
      <c r="O5140" s="1">
        <v>3</v>
      </c>
      <c r="P5140" s="1">
        <v>6</v>
      </c>
      <c r="R5140" s="1" t="s">
        <v>19</v>
      </c>
      <c r="S5140" s="1" t="s">
        <v>20</v>
      </c>
      <c r="T5140" s="1" t="s">
        <v>21</v>
      </c>
      <c r="U5140" s="1" t="s">
        <v>22</v>
      </c>
      <c r="V5140" s="1" t="s">
        <v>24</v>
      </c>
      <c r="W5140" s="1" t="s">
        <v>24</v>
      </c>
      <c r="X5140" s="1">
        <v>2712</v>
      </c>
      <c r="Y5140" s="1">
        <v>2724</v>
      </c>
      <c r="Z5140" s="1" t="s">
        <v>24</v>
      </c>
      <c r="AA5140" s="1" t="s">
        <v>24</v>
      </c>
      <c r="AB5140" s="1" t="s">
        <v>24</v>
      </c>
      <c r="AC5140" s="1" t="s">
        <v>24</v>
      </c>
      <c r="AD5140" s="1" t="s">
        <v>24</v>
      </c>
      <c r="AE5140" s="1" t="s">
        <v>24</v>
      </c>
      <c r="AF5140" s="22"/>
    </row>
    <row r="5141" spans="1:32" x14ac:dyDescent="0.2">
      <c r="A5141" s="1">
        <v>47015</v>
      </c>
      <c r="B5141" s="1" t="s">
        <v>15482</v>
      </c>
      <c r="C5141" s="5" t="s">
        <v>0</v>
      </c>
      <c r="D5141" s="1" t="s">
        <v>15483</v>
      </c>
      <c r="F5141" s="1" t="s">
        <v>1683</v>
      </c>
      <c r="G5141" s="1" t="s">
        <v>61</v>
      </c>
      <c r="H5141" s="1" t="s">
        <v>116</v>
      </c>
      <c r="I5141" s="1" t="s">
        <v>16</v>
      </c>
      <c r="J5141" s="1">
        <v>1</v>
      </c>
      <c r="K5141" s="1">
        <v>2</v>
      </c>
      <c r="L5141" s="1" t="s">
        <v>31</v>
      </c>
      <c r="M5141" s="1" t="s">
        <v>117</v>
      </c>
      <c r="N5141" s="1" t="s">
        <v>118</v>
      </c>
      <c r="O5141" s="1">
        <v>3</v>
      </c>
      <c r="P5141" s="1">
        <v>6</v>
      </c>
      <c r="R5141" s="1" t="s">
        <v>19</v>
      </c>
      <c r="S5141" s="1" t="s">
        <v>20</v>
      </c>
      <c r="T5141" s="1" t="s">
        <v>21</v>
      </c>
      <c r="U5141" s="1" t="s">
        <v>22</v>
      </c>
      <c r="V5141" s="1" t="s">
        <v>24</v>
      </c>
      <c r="W5141" s="1" t="s">
        <v>24</v>
      </c>
      <c r="X5141" s="1">
        <v>2736</v>
      </c>
      <c r="Y5141" s="1" t="s">
        <v>24</v>
      </c>
      <c r="Z5141" s="1" t="s">
        <v>24</v>
      </c>
      <c r="AA5141" s="1" t="s">
        <v>24</v>
      </c>
      <c r="AB5141" s="1" t="s">
        <v>24</v>
      </c>
      <c r="AC5141" s="1" t="s">
        <v>24</v>
      </c>
      <c r="AD5141" s="1" t="s">
        <v>24</v>
      </c>
      <c r="AE5141" s="1" t="s">
        <v>24</v>
      </c>
      <c r="AF5141" s="22"/>
    </row>
    <row r="5142" spans="1:32" x14ac:dyDescent="0.2">
      <c r="A5142" s="1">
        <v>47077</v>
      </c>
      <c r="B5142" s="1" t="s">
        <v>15484</v>
      </c>
      <c r="C5142" s="5" t="s">
        <v>0</v>
      </c>
      <c r="D5142" s="1" t="s">
        <v>15485</v>
      </c>
      <c r="E5142" s="1" t="s">
        <v>15486</v>
      </c>
      <c r="F5142" s="1" t="s">
        <v>2009</v>
      </c>
      <c r="G5142" s="1" t="s">
        <v>2009</v>
      </c>
      <c r="H5142" s="1" t="s">
        <v>111</v>
      </c>
      <c r="I5142" s="1" t="s">
        <v>16</v>
      </c>
      <c r="J5142" s="1">
        <v>1</v>
      </c>
      <c r="K5142" s="1">
        <v>50</v>
      </c>
      <c r="L5142" s="1" t="s">
        <v>42</v>
      </c>
      <c r="M5142" s="1" t="s">
        <v>2795</v>
      </c>
      <c r="N5142" s="1" t="s">
        <v>679</v>
      </c>
      <c r="O5142" s="1">
        <v>2</v>
      </c>
      <c r="P5142" s="1">
        <v>4</v>
      </c>
      <c r="R5142" s="1" t="s">
        <v>19</v>
      </c>
      <c r="S5142" s="1" t="s">
        <v>20</v>
      </c>
      <c r="T5142" s="1" t="s">
        <v>21</v>
      </c>
      <c r="U5142" s="1" t="s">
        <v>22</v>
      </c>
      <c r="V5142" s="1" t="s">
        <v>24</v>
      </c>
      <c r="W5142" s="1" t="s">
        <v>24</v>
      </c>
      <c r="X5142" s="1">
        <v>2700</v>
      </c>
      <c r="Y5142" s="1" t="s">
        <v>24</v>
      </c>
      <c r="Z5142" s="1" t="s">
        <v>24</v>
      </c>
      <c r="AA5142" s="1" t="s">
        <v>24</v>
      </c>
      <c r="AB5142" s="1" t="s">
        <v>24</v>
      </c>
      <c r="AC5142" s="1" t="s">
        <v>24</v>
      </c>
      <c r="AD5142" s="1" t="s">
        <v>24</v>
      </c>
      <c r="AE5142" s="1" t="s">
        <v>24</v>
      </c>
      <c r="AF5142" s="22"/>
    </row>
    <row r="5143" spans="1:32" x14ac:dyDescent="0.2">
      <c r="A5143" s="1">
        <v>47256</v>
      </c>
      <c r="B5143" s="1" t="s">
        <v>15487</v>
      </c>
      <c r="C5143" s="5" t="s">
        <v>0</v>
      </c>
      <c r="D5143" s="1" t="s">
        <v>15488</v>
      </c>
      <c r="F5143" s="1" t="s">
        <v>4337</v>
      </c>
      <c r="G5143" s="1" t="s">
        <v>4338</v>
      </c>
      <c r="H5143" s="1" t="s">
        <v>30</v>
      </c>
      <c r="I5143" s="1" t="s">
        <v>16</v>
      </c>
      <c r="J5143" s="1">
        <v>1</v>
      </c>
      <c r="K5143" s="1">
        <v>4</v>
      </c>
      <c r="L5143" s="1" t="s">
        <v>31</v>
      </c>
      <c r="M5143" s="1" t="s">
        <v>18</v>
      </c>
      <c r="N5143" s="1" t="s">
        <v>18</v>
      </c>
      <c r="O5143" s="1">
        <v>3</v>
      </c>
      <c r="P5143" s="1">
        <v>7</v>
      </c>
      <c r="Q5143" s="7" t="s">
        <v>17633</v>
      </c>
      <c r="R5143" s="1" t="s">
        <v>62</v>
      </c>
      <c r="S5143" s="1" t="s">
        <v>20</v>
      </c>
      <c r="T5143" s="1" t="s">
        <v>21</v>
      </c>
      <c r="U5143" s="1" t="s">
        <v>22</v>
      </c>
      <c r="V5143" s="1" t="s">
        <v>24</v>
      </c>
      <c r="W5143" s="1" t="s">
        <v>24</v>
      </c>
      <c r="X5143" s="1">
        <v>1311</v>
      </c>
      <c r="Y5143" s="1">
        <v>1312</v>
      </c>
      <c r="Z5143" s="1">
        <v>1313</v>
      </c>
      <c r="AA5143" s="1">
        <v>1303</v>
      </c>
      <c r="AB5143" s="1">
        <v>3002</v>
      </c>
      <c r="AC5143" s="1" t="s">
        <v>24</v>
      </c>
      <c r="AD5143" s="1" t="s">
        <v>24</v>
      </c>
      <c r="AE5143" s="1" t="s">
        <v>24</v>
      </c>
      <c r="AF5143" s="22" t="s">
        <v>17679</v>
      </c>
    </row>
    <row r="5144" spans="1:32" x14ac:dyDescent="0.2">
      <c r="A5144" s="1">
        <v>47263</v>
      </c>
      <c r="B5144" s="1" t="s">
        <v>15489</v>
      </c>
      <c r="C5144" s="5" t="s">
        <v>0</v>
      </c>
      <c r="D5144" s="1" t="s">
        <v>15490</v>
      </c>
      <c r="F5144" s="1" t="s">
        <v>11293</v>
      </c>
      <c r="G5144" s="1" t="s">
        <v>11294</v>
      </c>
      <c r="H5144" s="1" t="s">
        <v>249</v>
      </c>
      <c r="I5144" s="1" t="s">
        <v>16</v>
      </c>
      <c r="J5144" s="1">
        <v>1</v>
      </c>
      <c r="K5144" s="1">
        <v>4</v>
      </c>
      <c r="L5144" s="1" t="s">
        <v>31</v>
      </c>
      <c r="M5144" s="1" t="s">
        <v>1463</v>
      </c>
      <c r="N5144" s="1" t="s">
        <v>1463</v>
      </c>
      <c r="O5144" s="1">
        <v>3</v>
      </c>
      <c r="P5144" s="1">
        <v>6</v>
      </c>
      <c r="R5144" s="1" t="s">
        <v>19</v>
      </c>
      <c r="S5144" s="1" t="s">
        <v>20</v>
      </c>
      <c r="T5144" s="1" t="s">
        <v>21</v>
      </c>
      <c r="U5144" s="1" t="s">
        <v>22</v>
      </c>
      <c r="V5144" s="1" t="s">
        <v>24</v>
      </c>
      <c r="W5144" s="1" t="s">
        <v>24</v>
      </c>
      <c r="X5144" s="1">
        <v>2712</v>
      </c>
      <c r="Y5144" s="1">
        <v>2729</v>
      </c>
      <c r="Z5144" s="1">
        <v>2730</v>
      </c>
      <c r="AA5144" s="1" t="s">
        <v>24</v>
      </c>
      <c r="AB5144" s="1" t="s">
        <v>24</v>
      </c>
      <c r="AC5144" s="1" t="s">
        <v>24</v>
      </c>
      <c r="AD5144" s="1" t="s">
        <v>24</v>
      </c>
      <c r="AE5144" s="1" t="s">
        <v>24</v>
      </c>
      <c r="AF5144" s="22"/>
    </row>
    <row r="5145" spans="1:32" x14ac:dyDescent="0.2">
      <c r="A5145" s="1">
        <v>47295</v>
      </c>
      <c r="B5145" s="1" t="s">
        <v>15491</v>
      </c>
      <c r="C5145" s="5" t="s">
        <v>0</v>
      </c>
      <c r="D5145" s="1" t="s">
        <v>15492</v>
      </c>
      <c r="E5145" s="1" t="s">
        <v>15493</v>
      </c>
      <c r="F5145" s="1" t="s">
        <v>1949</v>
      </c>
      <c r="G5145" s="1" t="s">
        <v>1949</v>
      </c>
      <c r="H5145" s="1" t="s">
        <v>684</v>
      </c>
      <c r="I5145" s="1" t="s">
        <v>16</v>
      </c>
      <c r="J5145" s="1">
        <v>1</v>
      </c>
      <c r="K5145" s="1">
        <v>2</v>
      </c>
      <c r="L5145" s="1" t="s">
        <v>42</v>
      </c>
      <c r="M5145" s="1" t="s">
        <v>18</v>
      </c>
      <c r="N5145" s="1" t="s">
        <v>18</v>
      </c>
      <c r="O5145" s="1">
        <v>3</v>
      </c>
      <c r="P5145" s="1">
        <v>6</v>
      </c>
      <c r="R5145" s="1" t="s">
        <v>19</v>
      </c>
      <c r="S5145" s="1" t="s">
        <v>63</v>
      </c>
      <c r="T5145" s="1" t="s">
        <v>21</v>
      </c>
      <c r="U5145" s="1" t="s">
        <v>22</v>
      </c>
      <c r="V5145" s="1" t="s">
        <v>23</v>
      </c>
      <c r="W5145" s="1" t="s">
        <v>24</v>
      </c>
      <c r="X5145" s="1">
        <v>2720</v>
      </c>
      <c r="Y5145" s="1" t="s">
        <v>24</v>
      </c>
      <c r="Z5145" s="1" t="s">
        <v>24</v>
      </c>
      <c r="AA5145" s="1" t="s">
        <v>24</v>
      </c>
      <c r="AB5145" s="1" t="s">
        <v>24</v>
      </c>
      <c r="AC5145" s="1" t="s">
        <v>24</v>
      </c>
      <c r="AD5145" s="1" t="s">
        <v>24</v>
      </c>
      <c r="AE5145" s="1" t="s">
        <v>24</v>
      </c>
      <c r="AF5145" s="22"/>
    </row>
    <row r="5146" spans="1:32" x14ac:dyDescent="0.2">
      <c r="A5146" s="1">
        <v>47344</v>
      </c>
      <c r="B5146" s="1" t="s">
        <v>15494</v>
      </c>
      <c r="C5146" s="5" t="s">
        <v>0</v>
      </c>
      <c r="D5146" s="1" t="s">
        <v>15495</v>
      </c>
      <c r="E5146" s="1" t="s">
        <v>15496</v>
      </c>
      <c r="F5146" s="1" t="s">
        <v>15497</v>
      </c>
      <c r="G5146" s="1" t="s">
        <v>460</v>
      </c>
      <c r="H5146" s="1" t="s">
        <v>461</v>
      </c>
      <c r="I5146" s="1" t="s">
        <v>16</v>
      </c>
      <c r="J5146" s="1">
        <v>1</v>
      </c>
      <c r="K5146" s="1">
        <v>4</v>
      </c>
      <c r="L5146" s="1" t="s">
        <v>42</v>
      </c>
      <c r="M5146" s="1" t="s">
        <v>18</v>
      </c>
      <c r="N5146" s="1" t="s">
        <v>18</v>
      </c>
      <c r="O5146" s="1">
        <v>1</v>
      </c>
      <c r="P5146" s="1">
        <v>1</v>
      </c>
      <c r="R5146" s="1" t="s">
        <v>19</v>
      </c>
      <c r="S5146" s="1" t="s">
        <v>20</v>
      </c>
      <c r="T5146" s="1" t="s">
        <v>21</v>
      </c>
      <c r="U5146" s="1" t="s">
        <v>22</v>
      </c>
      <c r="V5146" s="1" t="s">
        <v>24</v>
      </c>
      <c r="W5146" s="1" t="s">
        <v>24</v>
      </c>
      <c r="X5146" s="1">
        <v>1311</v>
      </c>
      <c r="Y5146" s="1">
        <v>2301</v>
      </c>
      <c r="Z5146" s="1">
        <v>3207</v>
      </c>
      <c r="AA5146" s="1" t="s">
        <v>24</v>
      </c>
      <c r="AB5146" s="1" t="s">
        <v>24</v>
      </c>
      <c r="AC5146" s="1" t="s">
        <v>24</v>
      </c>
      <c r="AD5146" s="1" t="s">
        <v>24</v>
      </c>
      <c r="AE5146" s="1" t="s">
        <v>24</v>
      </c>
      <c r="AF5146" s="22"/>
    </row>
    <row r="5147" spans="1:32" x14ac:dyDescent="0.2">
      <c r="A5147" s="1">
        <v>47348</v>
      </c>
      <c r="B5147" s="1" t="s">
        <v>15498</v>
      </c>
      <c r="C5147" s="5" t="s">
        <v>0</v>
      </c>
      <c r="E5147" s="1" t="s">
        <v>15499</v>
      </c>
      <c r="F5147" s="1" t="s">
        <v>15500</v>
      </c>
      <c r="G5147" s="1" t="s">
        <v>15500</v>
      </c>
      <c r="H5147" s="1" t="s">
        <v>30</v>
      </c>
      <c r="I5147" s="1" t="s">
        <v>16</v>
      </c>
      <c r="J5147" s="1">
        <v>1</v>
      </c>
      <c r="K5147" s="1">
        <v>6</v>
      </c>
      <c r="L5147" s="1" t="s">
        <v>42</v>
      </c>
      <c r="M5147" s="1" t="s">
        <v>18</v>
      </c>
      <c r="N5147" s="1" t="s">
        <v>18</v>
      </c>
      <c r="O5147" s="1">
        <v>3</v>
      </c>
      <c r="P5147" s="1">
        <v>6</v>
      </c>
      <c r="R5147" s="1" t="s">
        <v>19</v>
      </c>
      <c r="S5147" s="1" t="s">
        <v>20</v>
      </c>
      <c r="T5147" s="1" t="s">
        <v>21</v>
      </c>
      <c r="U5147" s="1" t="s">
        <v>22</v>
      </c>
      <c r="V5147" s="1" t="s">
        <v>24</v>
      </c>
      <c r="W5147" s="1" t="s">
        <v>24</v>
      </c>
      <c r="X5147" s="1">
        <v>2402</v>
      </c>
      <c r="Y5147" s="1">
        <v>2707</v>
      </c>
      <c r="Z5147" s="1" t="s">
        <v>24</v>
      </c>
      <c r="AA5147" s="1" t="s">
        <v>24</v>
      </c>
      <c r="AB5147" s="1" t="s">
        <v>24</v>
      </c>
      <c r="AC5147" s="1" t="s">
        <v>24</v>
      </c>
      <c r="AD5147" s="1" t="s">
        <v>24</v>
      </c>
      <c r="AE5147" s="1" t="s">
        <v>24</v>
      </c>
      <c r="AF5147" s="22"/>
    </row>
    <row r="5148" spans="1:32" x14ac:dyDescent="0.2">
      <c r="A5148" s="1">
        <v>47356</v>
      </c>
      <c r="B5148" s="1" t="s">
        <v>15501</v>
      </c>
      <c r="C5148" s="5" t="s">
        <v>0</v>
      </c>
      <c r="D5148" s="1" t="s">
        <v>15502</v>
      </c>
      <c r="E5148" s="1" t="s">
        <v>15503</v>
      </c>
      <c r="F5148" s="1" t="s">
        <v>4553</v>
      </c>
      <c r="G5148" s="1" t="s">
        <v>4553</v>
      </c>
      <c r="H5148" s="1" t="s">
        <v>1957</v>
      </c>
      <c r="I5148" s="1" t="s">
        <v>16</v>
      </c>
      <c r="J5148" s="1">
        <v>1</v>
      </c>
      <c r="K5148" s="1">
        <v>4</v>
      </c>
      <c r="L5148" s="1" t="s">
        <v>42</v>
      </c>
      <c r="M5148" s="1" t="s">
        <v>18</v>
      </c>
      <c r="N5148" s="1" t="s">
        <v>18</v>
      </c>
      <c r="O5148" s="1">
        <v>3</v>
      </c>
      <c r="P5148" s="1">
        <v>6</v>
      </c>
      <c r="R5148" s="1" t="s">
        <v>19</v>
      </c>
      <c r="S5148" s="1" t="s">
        <v>20</v>
      </c>
      <c r="T5148" s="1" t="s">
        <v>21</v>
      </c>
      <c r="U5148" s="1" t="s">
        <v>22</v>
      </c>
      <c r="V5148" s="1" t="s">
        <v>24</v>
      </c>
      <c r="W5148" s="1" t="s">
        <v>24</v>
      </c>
      <c r="X5148" s="1">
        <v>2738</v>
      </c>
      <c r="Y5148" s="1" t="s">
        <v>24</v>
      </c>
      <c r="Z5148" s="1" t="s">
        <v>24</v>
      </c>
      <c r="AA5148" s="1" t="s">
        <v>24</v>
      </c>
      <c r="AB5148" s="1" t="s">
        <v>24</v>
      </c>
      <c r="AC5148" s="1" t="s">
        <v>24</v>
      </c>
      <c r="AD5148" s="1" t="s">
        <v>24</v>
      </c>
      <c r="AE5148" s="1" t="s">
        <v>24</v>
      </c>
      <c r="AF5148" s="22"/>
    </row>
    <row r="5149" spans="1:32" x14ac:dyDescent="0.2">
      <c r="A5149" s="1">
        <v>47448</v>
      </c>
      <c r="B5149" s="1" t="s">
        <v>15504</v>
      </c>
      <c r="C5149" s="5" t="s">
        <v>0</v>
      </c>
      <c r="D5149" s="1" t="s">
        <v>15505</v>
      </c>
      <c r="F5149" s="1" t="s">
        <v>6894</v>
      </c>
      <c r="G5149" s="1" t="s">
        <v>7240</v>
      </c>
      <c r="H5149" s="1" t="s">
        <v>6895</v>
      </c>
      <c r="I5149" s="1" t="s">
        <v>16</v>
      </c>
      <c r="J5149" s="1">
        <v>1</v>
      </c>
      <c r="K5149" s="1">
        <v>4</v>
      </c>
      <c r="L5149" s="1" t="s">
        <v>17</v>
      </c>
      <c r="M5149" s="1" t="s">
        <v>18</v>
      </c>
      <c r="N5149" s="1" t="s">
        <v>18</v>
      </c>
      <c r="O5149" s="1">
        <v>3</v>
      </c>
      <c r="P5149" s="1">
        <v>6</v>
      </c>
      <c r="R5149" s="1" t="s">
        <v>19</v>
      </c>
      <c r="S5149" s="1" t="s">
        <v>20</v>
      </c>
      <c r="T5149" s="1" t="s">
        <v>21</v>
      </c>
      <c r="U5149" s="1" t="s">
        <v>22</v>
      </c>
      <c r="V5149" s="1" t="s">
        <v>23</v>
      </c>
      <c r="W5149" s="1" t="s">
        <v>24</v>
      </c>
      <c r="X5149" s="1">
        <v>2741</v>
      </c>
      <c r="Y5149" s="1" t="s">
        <v>24</v>
      </c>
      <c r="Z5149" s="1" t="s">
        <v>24</v>
      </c>
      <c r="AA5149" s="1" t="s">
        <v>24</v>
      </c>
      <c r="AB5149" s="1" t="s">
        <v>24</v>
      </c>
      <c r="AC5149" s="1" t="s">
        <v>24</v>
      </c>
      <c r="AD5149" s="1" t="s">
        <v>24</v>
      </c>
      <c r="AE5149" s="1" t="s">
        <v>24</v>
      </c>
      <c r="AF5149" s="22"/>
    </row>
    <row r="5150" spans="1:32" x14ac:dyDescent="0.2">
      <c r="A5150" s="1">
        <v>47938</v>
      </c>
      <c r="B5150" s="1" t="s">
        <v>15506</v>
      </c>
      <c r="C5150" s="5" t="s">
        <v>0</v>
      </c>
      <c r="D5150" s="1" t="s">
        <v>15507</v>
      </c>
      <c r="E5150" s="1" t="s">
        <v>15508</v>
      </c>
      <c r="F5150" s="1" t="s">
        <v>3916</v>
      </c>
      <c r="G5150" s="1" t="s">
        <v>3917</v>
      </c>
      <c r="H5150" s="1" t="s">
        <v>86</v>
      </c>
      <c r="I5150" s="1" t="s">
        <v>16</v>
      </c>
      <c r="J5150" s="1">
        <v>1</v>
      </c>
      <c r="K5150" s="1">
        <v>4</v>
      </c>
      <c r="L5150" s="1" t="s">
        <v>31</v>
      </c>
      <c r="M5150" s="1" t="s">
        <v>87</v>
      </c>
      <c r="N5150" s="1" t="s">
        <v>199</v>
      </c>
      <c r="O5150" s="1">
        <v>1</v>
      </c>
      <c r="P5150" s="1">
        <v>1</v>
      </c>
      <c r="R5150" s="1" t="s">
        <v>19</v>
      </c>
      <c r="S5150" s="1" t="s">
        <v>20</v>
      </c>
      <c r="T5150" s="1" t="s">
        <v>21</v>
      </c>
      <c r="U5150" s="1" t="s">
        <v>22</v>
      </c>
      <c r="V5150" s="1" t="s">
        <v>23</v>
      </c>
      <c r="W5150" s="1" t="s">
        <v>24</v>
      </c>
      <c r="X5150" s="1">
        <v>3005</v>
      </c>
      <c r="Y5150" s="1" t="s">
        <v>24</v>
      </c>
      <c r="Z5150" s="1" t="s">
        <v>24</v>
      </c>
      <c r="AA5150" s="1" t="s">
        <v>24</v>
      </c>
      <c r="AB5150" s="1" t="s">
        <v>24</v>
      </c>
      <c r="AC5150" s="1" t="s">
        <v>24</v>
      </c>
      <c r="AD5150" s="1" t="s">
        <v>24</v>
      </c>
      <c r="AE5150" s="1" t="s">
        <v>24</v>
      </c>
      <c r="AF5150" s="22"/>
    </row>
    <row r="5151" spans="1:32" x14ac:dyDescent="0.2">
      <c r="A5151" s="1">
        <v>47949</v>
      </c>
      <c r="B5151" s="1" t="s">
        <v>15509</v>
      </c>
      <c r="C5151" s="5" t="s">
        <v>0</v>
      </c>
      <c r="E5151" s="1" t="s">
        <v>15510</v>
      </c>
      <c r="F5151" s="1" t="s">
        <v>11251</v>
      </c>
      <c r="G5151" s="1" t="s">
        <v>11251</v>
      </c>
      <c r="H5151" s="1" t="s">
        <v>3228</v>
      </c>
      <c r="I5151" s="1" t="s">
        <v>16</v>
      </c>
      <c r="J5151" s="1">
        <v>1</v>
      </c>
      <c r="K5151" s="1">
        <v>1</v>
      </c>
      <c r="L5151" s="1" t="s">
        <v>42</v>
      </c>
      <c r="M5151" s="1" t="s">
        <v>18</v>
      </c>
      <c r="N5151" s="1" t="s">
        <v>18</v>
      </c>
      <c r="O5151" s="1">
        <v>1</v>
      </c>
      <c r="P5151" s="1">
        <v>1</v>
      </c>
      <c r="R5151" s="1" t="s">
        <v>19</v>
      </c>
      <c r="S5151" s="1" t="s">
        <v>63</v>
      </c>
      <c r="T5151" s="1" t="s">
        <v>21</v>
      </c>
      <c r="U5151" s="1" t="s">
        <v>22</v>
      </c>
      <c r="V5151" s="1" t="s">
        <v>24</v>
      </c>
      <c r="W5151" s="1" t="s">
        <v>24</v>
      </c>
      <c r="X5151" s="1">
        <v>1303</v>
      </c>
      <c r="Y5151" s="1">
        <v>1307</v>
      </c>
      <c r="Z5151" s="1" t="s">
        <v>24</v>
      </c>
      <c r="AA5151" s="1" t="s">
        <v>24</v>
      </c>
      <c r="AB5151" s="1" t="s">
        <v>24</v>
      </c>
      <c r="AC5151" s="1" t="s">
        <v>24</v>
      </c>
      <c r="AD5151" s="1" t="s">
        <v>24</v>
      </c>
      <c r="AE5151" s="1" t="s">
        <v>24</v>
      </c>
      <c r="AF5151" s="22"/>
    </row>
    <row r="5152" spans="1:32" x14ac:dyDescent="0.2">
      <c r="A5152" s="1">
        <v>47950</v>
      </c>
      <c r="B5152" s="1" t="s">
        <v>15511</v>
      </c>
      <c r="C5152" s="5" t="s">
        <v>0</v>
      </c>
      <c r="D5152" s="1" t="s">
        <v>15512</v>
      </c>
      <c r="F5152" s="1" t="s">
        <v>15513</v>
      </c>
      <c r="G5152" s="1" t="s">
        <v>15513</v>
      </c>
      <c r="H5152" s="1" t="s">
        <v>30</v>
      </c>
      <c r="I5152" s="1" t="s">
        <v>16</v>
      </c>
      <c r="J5152" s="1">
        <v>2</v>
      </c>
      <c r="K5152" s="1">
        <v>3</v>
      </c>
      <c r="L5152" s="1" t="s">
        <v>42</v>
      </c>
      <c r="M5152" s="1" t="s">
        <v>18</v>
      </c>
      <c r="N5152" s="1" t="s">
        <v>18</v>
      </c>
      <c r="O5152" s="1">
        <v>1</v>
      </c>
      <c r="P5152" s="1">
        <v>1</v>
      </c>
      <c r="R5152" s="1" t="s">
        <v>19</v>
      </c>
      <c r="S5152" s="1" t="s">
        <v>20</v>
      </c>
      <c r="T5152" s="1" t="s">
        <v>21</v>
      </c>
      <c r="U5152" s="1" t="s">
        <v>22</v>
      </c>
      <c r="V5152" s="1" t="s">
        <v>24</v>
      </c>
      <c r="W5152" s="1" t="s">
        <v>24</v>
      </c>
      <c r="X5152" s="1">
        <v>1311</v>
      </c>
      <c r="Y5152" s="1" t="s">
        <v>24</v>
      </c>
      <c r="Z5152" s="1" t="s">
        <v>24</v>
      </c>
      <c r="AA5152" s="1" t="s">
        <v>24</v>
      </c>
      <c r="AB5152" s="1" t="s">
        <v>24</v>
      </c>
      <c r="AC5152" s="1" t="s">
        <v>24</v>
      </c>
      <c r="AD5152" s="1" t="s">
        <v>24</v>
      </c>
      <c r="AE5152" s="1" t="s">
        <v>24</v>
      </c>
      <c r="AF5152" s="22"/>
    </row>
    <row r="5153" spans="1:32" x14ac:dyDescent="0.2">
      <c r="A5153" s="1">
        <v>47958</v>
      </c>
      <c r="B5153" s="1" t="s">
        <v>15514</v>
      </c>
      <c r="C5153" s="5" t="s">
        <v>0</v>
      </c>
      <c r="E5153" s="1" t="s">
        <v>15515</v>
      </c>
      <c r="F5153" s="1" t="s">
        <v>15516</v>
      </c>
      <c r="G5153" s="1" t="s">
        <v>15516</v>
      </c>
      <c r="H5153" s="1" t="s">
        <v>30</v>
      </c>
      <c r="I5153" s="1" t="s">
        <v>16</v>
      </c>
      <c r="J5153" s="1">
        <v>1</v>
      </c>
      <c r="K5153" s="1">
        <v>4</v>
      </c>
      <c r="L5153" s="1" t="s">
        <v>42</v>
      </c>
      <c r="M5153" s="1" t="s">
        <v>18</v>
      </c>
      <c r="N5153" s="1" t="s">
        <v>18</v>
      </c>
      <c r="O5153" s="1">
        <v>1</v>
      </c>
      <c r="P5153" s="1">
        <v>1</v>
      </c>
      <c r="R5153" s="1" t="s">
        <v>19</v>
      </c>
      <c r="S5153" s="1" t="s">
        <v>20</v>
      </c>
      <c r="T5153" s="1" t="s">
        <v>21</v>
      </c>
      <c r="U5153" s="1" t="s">
        <v>22</v>
      </c>
      <c r="V5153" s="1" t="s">
        <v>24</v>
      </c>
      <c r="W5153" s="1" t="s">
        <v>24</v>
      </c>
      <c r="X5153" s="1">
        <v>2204</v>
      </c>
      <c r="Y5153" s="1" t="s">
        <v>24</v>
      </c>
      <c r="Z5153" s="1" t="s">
        <v>24</v>
      </c>
      <c r="AA5153" s="1" t="s">
        <v>24</v>
      </c>
      <c r="AB5153" s="1" t="s">
        <v>24</v>
      </c>
      <c r="AC5153" s="1" t="s">
        <v>24</v>
      </c>
      <c r="AD5153" s="1" t="s">
        <v>24</v>
      </c>
      <c r="AE5153" s="1" t="s">
        <v>24</v>
      </c>
      <c r="AF5153" s="22"/>
    </row>
    <row r="5154" spans="1:32" x14ac:dyDescent="0.2">
      <c r="A5154" s="1">
        <v>47962</v>
      </c>
      <c r="B5154" s="1" t="s">
        <v>15517</v>
      </c>
      <c r="C5154" s="5" t="s">
        <v>0</v>
      </c>
      <c r="D5154" s="1" t="s">
        <v>15518</v>
      </c>
      <c r="F5154" s="1" t="s">
        <v>15519</v>
      </c>
      <c r="G5154" s="1" t="s">
        <v>15519</v>
      </c>
      <c r="H5154" s="1" t="s">
        <v>37</v>
      </c>
      <c r="I5154" s="1" t="s">
        <v>16</v>
      </c>
      <c r="J5154" s="1">
        <v>0</v>
      </c>
      <c r="K5154" s="1">
        <v>0</v>
      </c>
      <c r="L5154" s="1" t="s">
        <v>42</v>
      </c>
      <c r="M5154" s="1" t="s">
        <v>18</v>
      </c>
      <c r="N5154" s="1" t="s">
        <v>18</v>
      </c>
      <c r="O5154" s="1">
        <v>1</v>
      </c>
      <c r="P5154" s="1">
        <v>1</v>
      </c>
      <c r="R5154" s="1" t="s">
        <v>19</v>
      </c>
      <c r="S5154" s="1" t="s">
        <v>20</v>
      </c>
      <c r="T5154" s="1" t="s">
        <v>21</v>
      </c>
      <c r="U5154" s="1" t="s">
        <v>22</v>
      </c>
      <c r="V5154" s="1" t="s">
        <v>24</v>
      </c>
      <c r="W5154" s="1" t="s">
        <v>24</v>
      </c>
      <c r="X5154" s="1">
        <v>1303</v>
      </c>
      <c r="Y5154" s="1">
        <v>1311</v>
      </c>
      <c r="Z5154" s="1">
        <v>1312</v>
      </c>
      <c r="AA5154" s="1" t="s">
        <v>24</v>
      </c>
      <c r="AB5154" s="1" t="s">
        <v>24</v>
      </c>
      <c r="AC5154" s="1" t="s">
        <v>24</v>
      </c>
      <c r="AD5154" s="1" t="s">
        <v>24</v>
      </c>
      <c r="AE5154" s="1" t="s">
        <v>24</v>
      </c>
      <c r="AF5154" s="22"/>
    </row>
    <row r="5155" spans="1:32" x14ac:dyDescent="0.2">
      <c r="A5155" s="1">
        <v>47972</v>
      </c>
      <c r="B5155" s="1" t="s">
        <v>15520</v>
      </c>
      <c r="C5155" s="5" t="s">
        <v>0</v>
      </c>
      <c r="D5155" s="1" t="s">
        <v>15521</v>
      </c>
      <c r="E5155" s="1" t="s">
        <v>15522</v>
      </c>
      <c r="F5155" s="1" t="s">
        <v>15523</v>
      </c>
      <c r="G5155" s="1" t="s">
        <v>15523</v>
      </c>
      <c r="H5155" s="1" t="s">
        <v>1660</v>
      </c>
      <c r="I5155" s="1" t="s">
        <v>16</v>
      </c>
      <c r="J5155" s="1">
        <v>1</v>
      </c>
      <c r="K5155" s="1">
        <v>4</v>
      </c>
      <c r="L5155" s="1" t="s">
        <v>42</v>
      </c>
      <c r="M5155" s="1" t="s">
        <v>18</v>
      </c>
      <c r="N5155" s="1" t="s">
        <v>18</v>
      </c>
      <c r="O5155" s="1">
        <v>1</v>
      </c>
      <c r="P5155" s="1">
        <v>1</v>
      </c>
      <c r="R5155" s="1" t="s">
        <v>19</v>
      </c>
      <c r="S5155" s="1" t="s">
        <v>20</v>
      </c>
      <c r="T5155" s="1" t="s">
        <v>21</v>
      </c>
      <c r="U5155" s="1" t="s">
        <v>22</v>
      </c>
      <c r="V5155" s="1" t="s">
        <v>23</v>
      </c>
      <c r="W5155" s="1" t="s">
        <v>24</v>
      </c>
      <c r="X5155" s="1">
        <v>2736</v>
      </c>
      <c r="Y5155" s="1">
        <v>3000</v>
      </c>
      <c r="Z5155" s="1" t="s">
        <v>24</v>
      </c>
      <c r="AA5155" s="1" t="s">
        <v>24</v>
      </c>
      <c r="AB5155" s="1" t="s">
        <v>24</v>
      </c>
      <c r="AC5155" s="1" t="s">
        <v>24</v>
      </c>
      <c r="AD5155" s="1" t="s">
        <v>24</v>
      </c>
      <c r="AE5155" s="1" t="s">
        <v>24</v>
      </c>
      <c r="AF5155" s="22"/>
    </row>
    <row r="5156" spans="1:32" x14ac:dyDescent="0.2">
      <c r="A5156" s="1">
        <v>47978</v>
      </c>
      <c r="B5156" s="1" t="s">
        <v>15524</v>
      </c>
      <c r="C5156" s="5" t="s">
        <v>0</v>
      </c>
      <c r="D5156" s="1" t="s">
        <v>15525</v>
      </c>
      <c r="E5156" s="1" t="s">
        <v>15526</v>
      </c>
      <c r="F5156" s="1" t="s">
        <v>15524</v>
      </c>
      <c r="G5156" s="1" t="s">
        <v>15524</v>
      </c>
      <c r="H5156" s="1" t="s">
        <v>2772</v>
      </c>
      <c r="I5156" s="1" t="s">
        <v>16</v>
      </c>
      <c r="J5156" s="1">
        <v>1</v>
      </c>
      <c r="K5156" s="1">
        <v>4</v>
      </c>
      <c r="L5156" s="1" t="s">
        <v>42</v>
      </c>
      <c r="M5156" s="1" t="s">
        <v>18</v>
      </c>
      <c r="N5156" s="1" t="s">
        <v>18</v>
      </c>
      <c r="O5156" s="1">
        <v>1</v>
      </c>
      <c r="P5156" s="1">
        <v>1</v>
      </c>
      <c r="R5156" s="1" t="s">
        <v>19</v>
      </c>
      <c r="S5156" s="1" t="s">
        <v>20</v>
      </c>
      <c r="T5156" s="1" t="s">
        <v>21</v>
      </c>
      <c r="U5156" s="1" t="s">
        <v>22</v>
      </c>
      <c r="V5156" s="1" t="s">
        <v>23</v>
      </c>
      <c r="W5156" s="1" t="s">
        <v>24</v>
      </c>
      <c r="X5156" s="1">
        <v>2715</v>
      </c>
      <c r="Y5156" s="1">
        <v>2728</v>
      </c>
      <c r="Z5156" s="1" t="s">
        <v>24</v>
      </c>
      <c r="AA5156" s="1" t="s">
        <v>24</v>
      </c>
      <c r="AB5156" s="1" t="s">
        <v>24</v>
      </c>
      <c r="AC5156" s="1" t="s">
        <v>24</v>
      </c>
      <c r="AD5156" s="1" t="s">
        <v>24</v>
      </c>
      <c r="AE5156" s="1" t="s">
        <v>24</v>
      </c>
      <c r="AF5156" s="22"/>
    </row>
    <row r="5157" spans="1:32" x14ac:dyDescent="0.2">
      <c r="A5157" s="1">
        <v>48192</v>
      </c>
      <c r="B5157" s="1" t="s">
        <v>15527</v>
      </c>
      <c r="C5157" s="5" t="s">
        <v>0</v>
      </c>
      <c r="D5157" s="1" t="s">
        <v>15528</v>
      </c>
      <c r="E5157" s="1" t="s">
        <v>15529</v>
      </c>
      <c r="F5157" s="1" t="s">
        <v>12597</v>
      </c>
      <c r="G5157" s="1" t="s">
        <v>12597</v>
      </c>
      <c r="H5157" s="1" t="s">
        <v>1957</v>
      </c>
      <c r="I5157" s="1" t="s">
        <v>16</v>
      </c>
      <c r="J5157" s="1">
        <v>1</v>
      </c>
      <c r="K5157" s="1">
        <v>4</v>
      </c>
      <c r="L5157" s="1" t="s">
        <v>42</v>
      </c>
      <c r="M5157" s="1" t="s">
        <v>18</v>
      </c>
      <c r="N5157" s="1" t="s">
        <v>18</v>
      </c>
      <c r="O5157" s="1">
        <v>3</v>
      </c>
      <c r="P5157" s="1">
        <v>5</v>
      </c>
      <c r="R5157" s="1" t="s">
        <v>19</v>
      </c>
      <c r="S5157" s="1" t="s">
        <v>20</v>
      </c>
      <c r="T5157" s="1" t="s">
        <v>21</v>
      </c>
      <c r="U5157" s="1" t="s">
        <v>22</v>
      </c>
      <c r="V5157" s="1" t="s">
        <v>24</v>
      </c>
      <c r="W5157" s="1" t="s">
        <v>24</v>
      </c>
      <c r="X5157" s="1">
        <v>1307</v>
      </c>
      <c r="Y5157" s="1">
        <v>1312</v>
      </c>
      <c r="Z5157" s="1" t="s">
        <v>24</v>
      </c>
      <c r="AA5157" s="1" t="s">
        <v>24</v>
      </c>
      <c r="AB5157" s="1" t="s">
        <v>24</v>
      </c>
      <c r="AC5157" s="1" t="s">
        <v>24</v>
      </c>
      <c r="AD5157" s="1" t="s">
        <v>24</v>
      </c>
      <c r="AE5157" s="1" t="s">
        <v>24</v>
      </c>
      <c r="AF5157" s="22"/>
    </row>
    <row r="5158" spans="1:32" x14ac:dyDescent="0.2">
      <c r="A5158" s="1">
        <v>48241</v>
      </c>
      <c r="B5158" s="1" t="s">
        <v>15530</v>
      </c>
      <c r="C5158" s="5" t="s">
        <v>0</v>
      </c>
      <c r="D5158" s="1" t="s">
        <v>15531</v>
      </c>
      <c r="F5158" s="1" t="s">
        <v>91</v>
      </c>
      <c r="G5158" s="1" t="s">
        <v>61</v>
      </c>
      <c r="H5158" s="1" t="s">
        <v>92</v>
      </c>
      <c r="I5158" s="1" t="s">
        <v>16</v>
      </c>
      <c r="J5158" s="1">
        <v>1</v>
      </c>
      <c r="K5158" s="1">
        <v>4</v>
      </c>
      <c r="L5158" s="1" t="s">
        <v>31</v>
      </c>
      <c r="M5158" s="1" t="s">
        <v>18</v>
      </c>
      <c r="N5158" s="1" t="s">
        <v>18</v>
      </c>
      <c r="O5158" s="1">
        <v>1</v>
      </c>
      <c r="P5158" s="1">
        <v>1</v>
      </c>
      <c r="R5158" s="1" t="s">
        <v>19</v>
      </c>
      <c r="S5158" s="1" t="s">
        <v>20</v>
      </c>
      <c r="T5158" s="1" t="s">
        <v>21</v>
      </c>
      <c r="U5158" s="1" t="s">
        <v>22</v>
      </c>
      <c r="V5158" s="1" t="s">
        <v>23</v>
      </c>
      <c r="W5158" s="1" t="s">
        <v>24</v>
      </c>
      <c r="X5158" s="1">
        <v>2728</v>
      </c>
      <c r="Y5158" s="1">
        <v>2808</v>
      </c>
      <c r="Z5158" s="1" t="s">
        <v>24</v>
      </c>
      <c r="AA5158" s="1" t="s">
        <v>24</v>
      </c>
      <c r="AB5158" s="1" t="s">
        <v>24</v>
      </c>
      <c r="AC5158" s="1" t="s">
        <v>24</v>
      </c>
      <c r="AD5158" s="1" t="s">
        <v>24</v>
      </c>
      <c r="AE5158" s="1" t="s">
        <v>24</v>
      </c>
      <c r="AF5158" s="22"/>
    </row>
    <row r="5159" spans="1:32" x14ac:dyDescent="0.2">
      <c r="A5159" s="1">
        <v>48255</v>
      </c>
      <c r="B5159" s="1" t="s">
        <v>15532</v>
      </c>
      <c r="C5159" s="5" t="s">
        <v>0</v>
      </c>
      <c r="D5159" s="1" t="s">
        <v>15533</v>
      </c>
      <c r="F5159" s="1" t="s">
        <v>15534</v>
      </c>
      <c r="G5159" s="1" t="s">
        <v>15535</v>
      </c>
      <c r="H5159" s="1" t="s">
        <v>684</v>
      </c>
      <c r="I5159" s="1" t="s">
        <v>16</v>
      </c>
      <c r="J5159" s="1">
        <v>1</v>
      </c>
      <c r="K5159" s="1">
        <v>2</v>
      </c>
      <c r="L5159" s="1" t="s">
        <v>42</v>
      </c>
      <c r="M5159" s="1" t="s">
        <v>852</v>
      </c>
      <c r="N5159" s="1" t="s">
        <v>852</v>
      </c>
      <c r="O5159" s="1">
        <v>3</v>
      </c>
      <c r="P5159" s="1">
        <v>5</v>
      </c>
      <c r="R5159" s="1" t="s">
        <v>19</v>
      </c>
      <c r="S5159" s="1" t="s">
        <v>20</v>
      </c>
      <c r="T5159" s="1" t="s">
        <v>21</v>
      </c>
      <c r="U5159" s="1" t="s">
        <v>22</v>
      </c>
      <c r="V5159" s="1" t="s">
        <v>24</v>
      </c>
      <c r="W5159" s="1" t="s">
        <v>24</v>
      </c>
      <c r="X5159" s="1">
        <v>2738</v>
      </c>
      <c r="Y5159" s="1">
        <v>3203</v>
      </c>
      <c r="Z5159" s="1" t="s">
        <v>24</v>
      </c>
      <c r="AA5159" s="1" t="s">
        <v>24</v>
      </c>
      <c r="AB5159" s="1" t="s">
        <v>24</v>
      </c>
      <c r="AC5159" s="1" t="s">
        <v>24</v>
      </c>
      <c r="AD5159" s="1" t="s">
        <v>24</v>
      </c>
      <c r="AE5159" s="1" t="s">
        <v>24</v>
      </c>
      <c r="AF5159" s="22"/>
    </row>
    <row r="5160" spans="1:32" x14ac:dyDescent="0.2">
      <c r="A5160" s="1">
        <v>48287</v>
      </c>
      <c r="B5160" s="1" t="s">
        <v>15536</v>
      </c>
      <c r="C5160" s="5" t="s">
        <v>0</v>
      </c>
      <c r="D5160" s="1" t="s">
        <v>15537</v>
      </c>
      <c r="F5160" s="1" t="s">
        <v>1006</v>
      </c>
      <c r="G5160" s="1" t="s">
        <v>61</v>
      </c>
      <c r="H5160" s="1" t="s">
        <v>1007</v>
      </c>
      <c r="I5160" s="1" t="s">
        <v>16</v>
      </c>
      <c r="J5160" s="1">
        <v>1</v>
      </c>
      <c r="K5160" s="1">
        <v>6</v>
      </c>
      <c r="L5160" s="1" t="s">
        <v>31</v>
      </c>
      <c r="M5160" s="1" t="s">
        <v>18</v>
      </c>
      <c r="N5160" s="1" t="s">
        <v>18</v>
      </c>
      <c r="O5160" s="1">
        <v>2</v>
      </c>
      <c r="P5160" s="1">
        <v>6</v>
      </c>
      <c r="R5160" s="1" t="s">
        <v>19</v>
      </c>
      <c r="S5160" s="1" t="s">
        <v>20</v>
      </c>
      <c r="T5160" s="1" t="s">
        <v>21</v>
      </c>
      <c r="V5160" s="1" t="s">
        <v>24</v>
      </c>
      <c r="W5160" s="1" t="s">
        <v>24</v>
      </c>
      <c r="X5160" s="1">
        <v>3000</v>
      </c>
      <c r="Y5160" s="1" t="s">
        <v>24</v>
      </c>
      <c r="Z5160" s="1" t="s">
        <v>24</v>
      </c>
      <c r="AA5160" s="1" t="s">
        <v>24</v>
      </c>
      <c r="AB5160" s="1" t="s">
        <v>24</v>
      </c>
      <c r="AC5160" s="1" t="s">
        <v>24</v>
      </c>
      <c r="AD5160" s="1" t="s">
        <v>24</v>
      </c>
      <c r="AE5160" s="1" t="s">
        <v>24</v>
      </c>
      <c r="AF5160" s="22"/>
    </row>
    <row r="5161" spans="1:32" x14ac:dyDescent="0.2">
      <c r="A5161" s="1">
        <v>48288</v>
      </c>
      <c r="B5161" s="1" t="s">
        <v>15538</v>
      </c>
      <c r="C5161" s="5" t="s">
        <v>0</v>
      </c>
      <c r="D5161" s="1" t="s">
        <v>15539</v>
      </c>
      <c r="F5161" s="1" t="s">
        <v>15540</v>
      </c>
      <c r="G5161" s="1" t="s">
        <v>61</v>
      </c>
      <c r="H5161" s="1" t="s">
        <v>7640</v>
      </c>
      <c r="I5161" s="1" t="s">
        <v>16</v>
      </c>
      <c r="J5161" s="1">
        <v>1</v>
      </c>
      <c r="K5161" s="1">
        <v>4</v>
      </c>
      <c r="L5161" s="1" t="s">
        <v>31</v>
      </c>
      <c r="M5161" s="1" t="s">
        <v>18</v>
      </c>
      <c r="N5161" s="1" t="s">
        <v>18</v>
      </c>
      <c r="O5161" s="1">
        <v>3</v>
      </c>
      <c r="P5161" s="1">
        <v>6</v>
      </c>
      <c r="R5161" s="1" t="s">
        <v>19</v>
      </c>
      <c r="S5161" s="1" t="s">
        <v>20</v>
      </c>
      <c r="T5161" s="1" t="s">
        <v>21</v>
      </c>
      <c r="V5161" s="1" t="s">
        <v>24</v>
      </c>
      <c r="W5161" s="1" t="s">
        <v>24</v>
      </c>
      <c r="X5161" s="1">
        <v>2700</v>
      </c>
      <c r="Y5161" s="1" t="s">
        <v>24</v>
      </c>
      <c r="Z5161" s="1" t="s">
        <v>24</v>
      </c>
      <c r="AA5161" s="1" t="s">
        <v>24</v>
      </c>
      <c r="AB5161" s="1" t="s">
        <v>24</v>
      </c>
      <c r="AC5161" s="1" t="s">
        <v>24</v>
      </c>
      <c r="AD5161" s="1" t="s">
        <v>24</v>
      </c>
      <c r="AE5161" s="1" t="s">
        <v>24</v>
      </c>
      <c r="AF5161" s="22"/>
    </row>
    <row r="5162" spans="1:32" x14ac:dyDescent="0.2">
      <c r="A5162" s="1">
        <v>48289</v>
      </c>
      <c r="B5162" s="1" t="s">
        <v>15541</v>
      </c>
      <c r="C5162" s="5" t="s">
        <v>0</v>
      </c>
      <c r="D5162" s="1" t="s">
        <v>15542</v>
      </c>
      <c r="F5162" s="1" t="s">
        <v>1289</v>
      </c>
      <c r="G5162" s="1" t="s">
        <v>61</v>
      </c>
      <c r="H5162" s="1" t="s">
        <v>684</v>
      </c>
      <c r="I5162" s="1" t="s">
        <v>16</v>
      </c>
      <c r="J5162" s="1">
        <v>1</v>
      </c>
      <c r="K5162" s="1">
        <v>4</v>
      </c>
      <c r="L5162" s="1" t="s">
        <v>31</v>
      </c>
      <c r="M5162" s="1" t="s">
        <v>852</v>
      </c>
      <c r="N5162" s="1" t="s">
        <v>685</v>
      </c>
      <c r="O5162" s="1">
        <v>3</v>
      </c>
      <c r="P5162" s="1">
        <v>6</v>
      </c>
      <c r="R5162" s="1" t="s">
        <v>19</v>
      </c>
      <c r="S5162" s="1" t="s">
        <v>20</v>
      </c>
      <c r="T5162" s="1" t="s">
        <v>21</v>
      </c>
      <c r="U5162" s="1" t="s">
        <v>22</v>
      </c>
      <c r="V5162" s="1" t="s">
        <v>24</v>
      </c>
      <c r="W5162" s="1" t="s">
        <v>24</v>
      </c>
      <c r="X5162" s="1">
        <v>3500</v>
      </c>
      <c r="Y5162" s="1" t="s">
        <v>24</v>
      </c>
      <c r="Z5162" s="1" t="s">
        <v>24</v>
      </c>
      <c r="AA5162" s="1" t="s">
        <v>24</v>
      </c>
      <c r="AB5162" s="1" t="s">
        <v>24</v>
      </c>
      <c r="AC5162" s="1" t="s">
        <v>24</v>
      </c>
      <c r="AD5162" s="1" t="s">
        <v>24</v>
      </c>
      <c r="AE5162" s="1" t="s">
        <v>24</v>
      </c>
      <c r="AF5162" s="22"/>
    </row>
    <row r="5163" spans="1:32" x14ac:dyDescent="0.2">
      <c r="A5163" s="1">
        <v>48290</v>
      </c>
      <c r="B5163" s="1" t="s">
        <v>15543</v>
      </c>
      <c r="C5163" s="5" t="s">
        <v>0</v>
      </c>
      <c r="D5163" s="1" t="s">
        <v>15544</v>
      </c>
      <c r="F5163" s="1" t="s">
        <v>91</v>
      </c>
      <c r="G5163" s="1" t="s">
        <v>61</v>
      </c>
      <c r="H5163" s="1" t="s">
        <v>92</v>
      </c>
      <c r="I5163" s="1" t="s">
        <v>16</v>
      </c>
      <c r="J5163" s="1">
        <v>1</v>
      </c>
      <c r="K5163" s="1">
        <v>4</v>
      </c>
      <c r="L5163" s="1" t="s">
        <v>31</v>
      </c>
      <c r="M5163" s="1" t="s">
        <v>18</v>
      </c>
      <c r="N5163" s="1" t="s">
        <v>18</v>
      </c>
      <c r="O5163" s="1">
        <v>2</v>
      </c>
      <c r="P5163" s="1">
        <v>7</v>
      </c>
      <c r="Q5163" s="7" t="s">
        <v>17633</v>
      </c>
      <c r="R5163" s="1" t="s">
        <v>19</v>
      </c>
      <c r="S5163" s="1" t="s">
        <v>20</v>
      </c>
      <c r="T5163" s="1" t="s">
        <v>21</v>
      </c>
      <c r="U5163" s="1" t="s">
        <v>22</v>
      </c>
      <c r="V5163" s="1" t="s">
        <v>24</v>
      </c>
      <c r="W5163" s="1" t="s">
        <v>24</v>
      </c>
      <c r="X5163" s="1">
        <v>2721</v>
      </c>
      <c r="Y5163" s="1" t="s">
        <v>24</v>
      </c>
      <c r="Z5163" s="1" t="s">
        <v>24</v>
      </c>
      <c r="AA5163" s="1" t="s">
        <v>24</v>
      </c>
      <c r="AB5163" s="1" t="s">
        <v>24</v>
      </c>
      <c r="AC5163" s="1" t="s">
        <v>24</v>
      </c>
      <c r="AD5163" s="1" t="s">
        <v>24</v>
      </c>
      <c r="AE5163" s="1" t="s">
        <v>24</v>
      </c>
      <c r="AF5163" s="22" t="s">
        <v>17679</v>
      </c>
    </row>
    <row r="5164" spans="1:32" x14ac:dyDescent="0.2">
      <c r="A5164" s="1">
        <v>48291</v>
      </c>
      <c r="B5164" s="1" t="s">
        <v>15545</v>
      </c>
      <c r="C5164" s="5" t="s">
        <v>0</v>
      </c>
      <c r="D5164" s="1" t="s">
        <v>15546</v>
      </c>
      <c r="F5164" s="1" t="s">
        <v>91</v>
      </c>
      <c r="G5164" s="1" t="s">
        <v>61</v>
      </c>
      <c r="H5164" s="1" t="s">
        <v>92</v>
      </c>
      <c r="I5164" s="1" t="s">
        <v>16</v>
      </c>
      <c r="J5164" s="1">
        <v>1</v>
      </c>
      <c r="K5164" s="1">
        <v>12</v>
      </c>
      <c r="L5164" s="1" t="s">
        <v>31</v>
      </c>
      <c r="M5164" s="1" t="s">
        <v>18</v>
      </c>
      <c r="N5164" s="1" t="s">
        <v>18</v>
      </c>
      <c r="O5164" s="1">
        <v>3</v>
      </c>
      <c r="P5164" s="1">
        <v>7</v>
      </c>
      <c r="Q5164" s="7" t="s">
        <v>17633</v>
      </c>
      <c r="R5164" s="1" t="s">
        <v>19</v>
      </c>
      <c r="S5164" s="1" t="s">
        <v>20</v>
      </c>
      <c r="T5164" s="1" t="s">
        <v>21</v>
      </c>
      <c r="U5164" s="1" t="s">
        <v>22</v>
      </c>
      <c r="V5164" s="1" t="s">
        <v>23</v>
      </c>
      <c r="W5164" s="1" t="s">
        <v>24</v>
      </c>
      <c r="X5164" s="1">
        <v>1301</v>
      </c>
      <c r="Y5164" s="1" t="s">
        <v>24</v>
      </c>
      <c r="Z5164" s="1" t="s">
        <v>24</v>
      </c>
      <c r="AA5164" s="1" t="s">
        <v>24</v>
      </c>
      <c r="AB5164" s="1" t="s">
        <v>24</v>
      </c>
      <c r="AC5164" s="1" t="s">
        <v>24</v>
      </c>
      <c r="AD5164" s="1" t="s">
        <v>24</v>
      </c>
      <c r="AE5164" s="1" t="s">
        <v>24</v>
      </c>
      <c r="AF5164" s="22"/>
    </row>
    <row r="5165" spans="1:32" x14ac:dyDescent="0.2">
      <c r="A5165" s="1">
        <v>48292</v>
      </c>
      <c r="B5165" s="1" t="s">
        <v>15547</v>
      </c>
      <c r="C5165" s="5" t="s">
        <v>0</v>
      </c>
      <c r="D5165" s="1" t="s">
        <v>15548</v>
      </c>
      <c r="F5165" s="1" t="s">
        <v>85</v>
      </c>
      <c r="G5165" s="1" t="s">
        <v>61</v>
      </c>
      <c r="H5165" s="1" t="s">
        <v>86</v>
      </c>
      <c r="I5165" s="1" t="s">
        <v>16</v>
      </c>
      <c r="J5165" s="1">
        <v>1</v>
      </c>
      <c r="K5165" s="1">
        <v>4</v>
      </c>
      <c r="L5165" s="1" t="s">
        <v>31</v>
      </c>
      <c r="M5165" s="1" t="s">
        <v>18</v>
      </c>
      <c r="N5165" s="1" t="s">
        <v>18</v>
      </c>
      <c r="O5165" s="1">
        <v>3</v>
      </c>
      <c r="P5165" s="1">
        <v>7</v>
      </c>
      <c r="Q5165" s="7" t="s">
        <v>17633</v>
      </c>
      <c r="R5165" s="1" t="s">
        <v>19</v>
      </c>
      <c r="S5165" s="1" t="s">
        <v>20</v>
      </c>
      <c r="T5165" s="1" t="s">
        <v>21</v>
      </c>
      <c r="U5165" s="1" t="s">
        <v>22</v>
      </c>
      <c r="V5165" s="1" t="s">
        <v>23</v>
      </c>
      <c r="W5165" s="1" t="s">
        <v>24</v>
      </c>
      <c r="X5165" s="1">
        <v>1106</v>
      </c>
      <c r="Y5165" s="1" t="s">
        <v>24</v>
      </c>
      <c r="Z5165" s="1" t="s">
        <v>24</v>
      </c>
      <c r="AA5165" s="1" t="s">
        <v>24</v>
      </c>
      <c r="AB5165" s="1" t="s">
        <v>24</v>
      </c>
      <c r="AC5165" s="1" t="s">
        <v>24</v>
      </c>
      <c r="AD5165" s="1" t="s">
        <v>24</v>
      </c>
      <c r="AE5165" s="1" t="s">
        <v>24</v>
      </c>
      <c r="AF5165" s="22"/>
    </row>
    <row r="5166" spans="1:32" x14ac:dyDescent="0.2">
      <c r="A5166" s="1">
        <v>48293</v>
      </c>
      <c r="B5166" s="1" t="s">
        <v>15549</v>
      </c>
      <c r="C5166" s="5" t="s">
        <v>0</v>
      </c>
      <c r="E5166" s="1" t="s">
        <v>15550</v>
      </c>
      <c r="F5166" s="1" t="s">
        <v>272</v>
      </c>
      <c r="G5166" s="1" t="s">
        <v>61</v>
      </c>
      <c r="H5166" s="1" t="s">
        <v>30</v>
      </c>
      <c r="I5166" s="1" t="s">
        <v>16</v>
      </c>
      <c r="J5166" s="1">
        <v>1</v>
      </c>
      <c r="K5166" s="1">
        <v>1</v>
      </c>
      <c r="L5166" s="1" t="s">
        <v>31</v>
      </c>
      <c r="M5166" s="1" t="s">
        <v>18</v>
      </c>
      <c r="N5166" s="1" t="s">
        <v>18</v>
      </c>
      <c r="O5166" s="1">
        <v>3</v>
      </c>
      <c r="P5166" s="1">
        <v>7</v>
      </c>
      <c r="Q5166" s="7" t="s">
        <v>17633</v>
      </c>
      <c r="R5166" s="1" t="s">
        <v>19</v>
      </c>
      <c r="S5166" s="1" t="s">
        <v>63</v>
      </c>
      <c r="T5166" s="1" t="s">
        <v>21</v>
      </c>
      <c r="U5166" s="1" t="s">
        <v>22</v>
      </c>
      <c r="V5166" s="1" t="s">
        <v>23</v>
      </c>
      <c r="W5166" s="1" t="s">
        <v>24</v>
      </c>
      <c r="X5166" s="1">
        <v>2730</v>
      </c>
      <c r="Y5166" s="1">
        <v>2729</v>
      </c>
      <c r="Z5166" s="1" t="s">
        <v>24</v>
      </c>
      <c r="AA5166" s="1" t="s">
        <v>24</v>
      </c>
      <c r="AB5166" s="1" t="s">
        <v>24</v>
      </c>
      <c r="AC5166" s="1" t="s">
        <v>24</v>
      </c>
      <c r="AD5166" s="1" t="s">
        <v>24</v>
      </c>
      <c r="AE5166" s="1" t="s">
        <v>24</v>
      </c>
      <c r="AF5166" s="22"/>
    </row>
    <row r="5167" spans="1:32" x14ac:dyDescent="0.2">
      <c r="A5167" s="1">
        <v>48294</v>
      </c>
      <c r="B5167" s="1" t="s">
        <v>15551</v>
      </c>
      <c r="C5167" s="5" t="s">
        <v>0</v>
      </c>
      <c r="D5167" s="1" t="s">
        <v>15552</v>
      </c>
      <c r="F5167" s="1" t="s">
        <v>155</v>
      </c>
      <c r="G5167" s="1" t="s">
        <v>61</v>
      </c>
      <c r="H5167" s="1" t="s">
        <v>37</v>
      </c>
      <c r="I5167" s="1" t="s">
        <v>16</v>
      </c>
      <c r="J5167" s="1">
        <v>1</v>
      </c>
      <c r="K5167" s="1">
        <v>4</v>
      </c>
      <c r="L5167" s="1" t="s">
        <v>31</v>
      </c>
      <c r="M5167" s="1" t="s">
        <v>18</v>
      </c>
      <c r="N5167" s="1" t="s">
        <v>18</v>
      </c>
      <c r="O5167" s="1">
        <v>3</v>
      </c>
      <c r="P5167" s="1">
        <v>7</v>
      </c>
      <c r="Q5167" s="7" t="s">
        <v>17633</v>
      </c>
      <c r="R5167" s="1" t="s">
        <v>19</v>
      </c>
      <c r="S5167" s="1" t="s">
        <v>20</v>
      </c>
      <c r="T5167" s="1" t="s">
        <v>21</v>
      </c>
      <c r="U5167" s="1" t="s">
        <v>22</v>
      </c>
      <c r="V5167" s="1" t="s">
        <v>23</v>
      </c>
      <c r="W5167" s="1" t="s">
        <v>24</v>
      </c>
      <c r="X5167" s="1">
        <v>2713</v>
      </c>
      <c r="Y5167" s="1" t="s">
        <v>24</v>
      </c>
      <c r="Z5167" s="1" t="s">
        <v>24</v>
      </c>
      <c r="AA5167" s="1" t="s">
        <v>24</v>
      </c>
      <c r="AB5167" s="1" t="s">
        <v>24</v>
      </c>
      <c r="AC5167" s="1" t="s">
        <v>24</v>
      </c>
      <c r="AD5167" s="1" t="s">
        <v>24</v>
      </c>
      <c r="AE5167" s="1" t="s">
        <v>24</v>
      </c>
      <c r="AF5167" s="22"/>
    </row>
    <row r="5168" spans="1:32" x14ac:dyDescent="0.2">
      <c r="A5168" s="1">
        <v>48295</v>
      </c>
      <c r="B5168" s="1" t="s">
        <v>15553</v>
      </c>
      <c r="C5168" s="5" t="s">
        <v>0</v>
      </c>
      <c r="D5168" s="1" t="s">
        <v>15554</v>
      </c>
      <c r="F5168" s="1" t="s">
        <v>91</v>
      </c>
      <c r="G5168" s="1" t="s">
        <v>61</v>
      </c>
      <c r="H5168" s="1" t="s">
        <v>92</v>
      </c>
      <c r="I5168" s="1" t="s">
        <v>16</v>
      </c>
      <c r="J5168" s="1">
        <v>1</v>
      </c>
      <c r="K5168" s="1">
        <v>1</v>
      </c>
      <c r="L5168" s="1" t="s">
        <v>31</v>
      </c>
      <c r="M5168" s="1" t="s">
        <v>18</v>
      </c>
      <c r="N5168" s="1" t="s">
        <v>18</v>
      </c>
      <c r="O5168" s="1">
        <v>0</v>
      </c>
      <c r="P5168" s="1">
        <v>7</v>
      </c>
      <c r="Q5168" s="7" t="s">
        <v>17633</v>
      </c>
      <c r="R5168" s="1" t="s">
        <v>19</v>
      </c>
      <c r="S5168" s="1" t="s">
        <v>20</v>
      </c>
      <c r="T5168" s="1" t="s">
        <v>21</v>
      </c>
      <c r="U5168" s="1" t="s">
        <v>22</v>
      </c>
      <c r="V5168" s="1" t="s">
        <v>23</v>
      </c>
      <c r="W5168" s="1" t="s">
        <v>24</v>
      </c>
      <c r="X5168" s="1">
        <v>2403</v>
      </c>
      <c r="Y5168" s="1">
        <v>2406</v>
      </c>
      <c r="Z5168" s="1" t="s">
        <v>24</v>
      </c>
      <c r="AA5168" s="1" t="s">
        <v>24</v>
      </c>
      <c r="AB5168" s="1" t="s">
        <v>24</v>
      </c>
      <c r="AC5168" s="1" t="s">
        <v>24</v>
      </c>
      <c r="AD5168" s="1" t="s">
        <v>24</v>
      </c>
      <c r="AE5168" s="1" t="s">
        <v>24</v>
      </c>
      <c r="AF5168" s="22" t="s">
        <v>17679</v>
      </c>
    </row>
    <row r="5169" spans="1:32" x14ac:dyDescent="0.2">
      <c r="A5169" s="1">
        <v>48296</v>
      </c>
      <c r="B5169" s="1" t="s">
        <v>15555</v>
      </c>
      <c r="C5169" s="5" t="s">
        <v>0</v>
      </c>
      <c r="D5169" s="1" t="s">
        <v>15556</v>
      </c>
      <c r="F5169" s="1" t="s">
        <v>1683</v>
      </c>
      <c r="G5169" s="1" t="s">
        <v>61</v>
      </c>
      <c r="H5169" s="1" t="s">
        <v>116</v>
      </c>
      <c r="I5169" s="1" t="s">
        <v>16</v>
      </c>
      <c r="J5169" s="1">
        <v>1</v>
      </c>
      <c r="K5169" s="1">
        <v>1</v>
      </c>
      <c r="L5169" s="1" t="s">
        <v>31</v>
      </c>
      <c r="M5169" s="1" t="s">
        <v>70</v>
      </c>
      <c r="N5169" s="1" t="s">
        <v>75</v>
      </c>
      <c r="O5169" s="1">
        <v>2</v>
      </c>
      <c r="P5169" s="1">
        <v>6</v>
      </c>
      <c r="R5169" s="1" t="s">
        <v>19</v>
      </c>
      <c r="S5169" s="1" t="s">
        <v>20</v>
      </c>
      <c r="T5169" s="1" t="s">
        <v>21</v>
      </c>
      <c r="U5169" s="1" t="s">
        <v>22</v>
      </c>
      <c r="V5169" s="1" t="s">
        <v>23</v>
      </c>
      <c r="W5169" s="1" t="s">
        <v>24</v>
      </c>
      <c r="X5169" s="1">
        <v>2719</v>
      </c>
      <c r="Y5169" s="1">
        <v>2739</v>
      </c>
      <c r="Z5169" s="1" t="s">
        <v>24</v>
      </c>
      <c r="AA5169" s="1" t="s">
        <v>24</v>
      </c>
      <c r="AB5169" s="1" t="s">
        <v>24</v>
      </c>
      <c r="AC5169" s="1" t="s">
        <v>24</v>
      </c>
      <c r="AD5169" s="1" t="s">
        <v>24</v>
      </c>
      <c r="AE5169" s="1" t="s">
        <v>24</v>
      </c>
      <c r="AF5169" s="22"/>
    </row>
    <row r="5170" spans="1:32" x14ac:dyDescent="0.2">
      <c r="A5170" s="1">
        <v>48321</v>
      </c>
      <c r="B5170" s="1" t="s">
        <v>15557</v>
      </c>
      <c r="C5170" s="5" t="s">
        <v>0</v>
      </c>
      <c r="D5170" s="1" t="s">
        <v>15558</v>
      </c>
      <c r="E5170" s="1" t="s">
        <v>15559</v>
      </c>
      <c r="F5170" s="1" t="s">
        <v>159</v>
      </c>
      <c r="G5170" s="1" t="s">
        <v>160</v>
      </c>
      <c r="H5170" s="1" t="s">
        <v>30</v>
      </c>
      <c r="I5170" s="1" t="s">
        <v>16</v>
      </c>
      <c r="J5170" s="1">
        <v>1</v>
      </c>
      <c r="K5170" s="1">
        <v>6</v>
      </c>
      <c r="L5170" s="1" t="s">
        <v>42</v>
      </c>
      <c r="M5170" s="1" t="s">
        <v>18</v>
      </c>
      <c r="N5170" s="1" t="s">
        <v>18</v>
      </c>
      <c r="O5170" s="1">
        <v>2</v>
      </c>
      <c r="P5170" s="1">
        <v>6</v>
      </c>
      <c r="R5170" s="1" t="s">
        <v>19</v>
      </c>
      <c r="S5170" s="1" t="s">
        <v>20</v>
      </c>
      <c r="T5170" s="1" t="s">
        <v>21</v>
      </c>
      <c r="U5170" s="1" t="s">
        <v>22</v>
      </c>
      <c r="V5170" s="1" t="s">
        <v>23</v>
      </c>
      <c r="W5170" s="1" t="s">
        <v>24</v>
      </c>
      <c r="X5170" s="1">
        <v>3000</v>
      </c>
      <c r="Y5170" s="1" t="s">
        <v>24</v>
      </c>
      <c r="Z5170" s="1" t="s">
        <v>24</v>
      </c>
      <c r="AA5170" s="1" t="s">
        <v>24</v>
      </c>
      <c r="AB5170" s="1" t="s">
        <v>24</v>
      </c>
      <c r="AC5170" s="1" t="s">
        <v>24</v>
      </c>
      <c r="AD5170" s="1" t="s">
        <v>24</v>
      </c>
      <c r="AE5170" s="1" t="s">
        <v>24</v>
      </c>
      <c r="AF5170" s="22" t="s">
        <v>17670</v>
      </c>
    </row>
    <row r="5171" spans="1:32" x14ac:dyDescent="0.2">
      <c r="A5171" s="1">
        <v>48389</v>
      </c>
      <c r="B5171" s="1" t="s">
        <v>15560</v>
      </c>
      <c r="C5171" s="5" t="s">
        <v>0</v>
      </c>
      <c r="D5171" s="1" t="s">
        <v>15561</v>
      </c>
      <c r="F5171" s="1" t="s">
        <v>91</v>
      </c>
      <c r="G5171" s="1" t="s">
        <v>61</v>
      </c>
      <c r="H5171" s="1" t="s">
        <v>30</v>
      </c>
      <c r="I5171" s="1" t="s">
        <v>16</v>
      </c>
      <c r="J5171" s="1">
        <v>1</v>
      </c>
      <c r="K5171" s="1">
        <v>4</v>
      </c>
      <c r="L5171" s="1" t="s">
        <v>31</v>
      </c>
      <c r="M5171" s="1" t="s">
        <v>18</v>
      </c>
      <c r="N5171" s="1" t="s">
        <v>18</v>
      </c>
      <c r="O5171" s="1">
        <v>3</v>
      </c>
      <c r="P5171" s="1">
        <v>7</v>
      </c>
      <c r="Q5171" s="7" t="s">
        <v>17633</v>
      </c>
      <c r="R5171" s="1" t="s">
        <v>19</v>
      </c>
      <c r="S5171" s="1" t="s">
        <v>20</v>
      </c>
      <c r="T5171" s="1" t="s">
        <v>21</v>
      </c>
      <c r="U5171" s="1" t="s">
        <v>22</v>
      </c>
      <c r="V5171" s="1" t="s">
        <v>24</v>
      </c>
      <c r="W5171" s="1" t="s">
        <v>24</v>
      </c>
      <c r="X5171" s="1">
        <v>2705</v>
      </c>
      <c r="Y5171" s="1">
        <v>2713</v>
      </c>
      <c r="Z5171" s="1">
        <v>2905</v>
      </c>
      <c r="AA5171" s="1" t="s">
        <v>24</v>
      </c>
      <c r="AB5171" s="1" t="s">
        <v>24</v>
      </c>
      <c r="AC5171" s="1" t="s">
        <v>24</v>
      </c>
      <c r="AD5171" s="1" t="s">
        <v>24</v>
      </c>
      <c r="AE5171" s="1" t="s">
        <v>24</v>
      </c>
      <c r="AF5171" s="22" t="s">
        <v>17674</v>
      </c>
    </row>
    <row r="5172" spans="1:32" x14ac:dyDescent="0.2">
      <c r="A5172" s="1">
        <v>48482</v>
      </c>
      <c r="B5172" s="1" t="s">
        <v>15562</v>
      </c>
      <c r="C5172" s="5" t="s">
        <v>0</v>
      </c>
      <c r="D5172" s="1" t="s">
        <v>15563</v>
      </c>
      <c r="F5172" s="1" t="s">
        <v>85</v>
      </c>
      <c r="G5172" s="1" t="s">
        <v>61</v>
      </c>
      <c r="H5172" s="1" t="s">
        <v>30</v>
      </c>
      <c r="I5172" s="1" t="s">
        <v>16</v>
      </c>
      <c r="J5172" s="1">
        <v>1</v>
      </c>
      <c r="K5172" s="1">
        <v>4</v>
      </c>
      <c r="L5172" s="1" t="s">
        <v>31</v>
      </c>
      <c r="M5172" s="1" t="s">
        <v>87</v>
      </c>
      <c r="N5172" s="1" t="s">
        <v>199</v>
      </c>
      <c r="O5172" s="1">
        <v>3</v>
      </c>
      <c r="P5172" s="1">
        <v>5</v>
      </c>
      <c r="R5172" s="1" t="s">
        <v>19</v>
      </c>
      <c r="S5172" s="1" t="s">
        <v>20</v>
      </c>
      <c r="T5172" s="1" t="s">
        <v>21</v>
      </c>
      <c r="U5172" s="1" t="s">
        <v>22</v>
      </c>
      <c r="V5172" s="1" t="s">
        <v>23</v>
      </c>
      <c r="W5172" s="1" t="s">
        <v>24</v>
      </c>
      <c r="X5172" s="1">
        <v>2736</v>
      </c>
      <c r="Y5172" s="1" t="s">
        <v>24</v>
      </c>
      <c r="Z5172" s="1" t="s">
        <v>24</v>
      </c>
      <c r="AA5172" s="1" t="s">
        <v>24</v>
      </c>
      <c r="AB5172" s="1" t="s">
        <v>24</v>
      </c>
      <c r="AC5172" s="1" t="s">
        <v>24</v>
      </c>
      <c r="AD5172" s="1" t="s">
        <v>24</v>
      </c>
      <c r="AE5172" s="1" t="s">
        <v>24</v>
      </c>
      <c r="AF5172" s="22" t="s">
        <v>17670</v>
      </c>
    </row>
    <row r="5173" spans="1:32" x14ac:dyDescent="0.2">
      <c r="A5173" s="1">
        <v>48555</v>
      </c>
      <c r="B5173" s="1" t="s">
        <v>15564</v>
      </c>
      <c r="C5173" s="5" t="s">
        <v>0</v>
      </c>
      <c r="E5173" s="1" t="s">
        <v>15565</v>
      </c>
      <c r="F5173" s="1" t="s">
        <v>2299</v>
      </c>
      <c r="G5173" s="1" t="s">
        <v>2300</v>
      </c>
      <c r="H5173" s="1" t="s">
        <v>1957</v>
      </c>
      <c r="I5173" s="1" t="s">
        <v>16</v>
      </c>
      <c r="J5173" s="1">
        <v>1</v>
      </c>
      <c r="K5173" s="1">
        <v>1</v>
      </c>
      <c r="L5173" s="1" t="s">
        <v>31</v>
      </c>
      <c r="M5173" s="1" t="s">
        <v>10391</v>
      </c>
      <c r="N5173" s="1" t="s">
        <v>18</v>
      </c>
      <c r="O5173" s="1">
        <v>3</v>
      </c>
      <c r="P5173" s="1">
        <v>5</v>
      </c>
      <c r="R5173" s="1" t="s">
        <v>19</v>
      </c>
      <c r="S5173" s="1" t="s">
        <v>63</v>
      </c>
      <c r="T5173" s="1" t="s">
        <v>21</v>
      </c>
      <c r="U5173" s="1" t="s">
        <v>22</v>
      </c>
      <c r="V5173" s="1" t="s">
        <v>24</v>
      </c>
      <c r="W5173" s="1" t="s">
        <v>24</v>
      </c>
      <c r="X5173" s="1">
        <v>2712</v>
      </c>
      <c r="Y5173" s="1">
        <v>2724</v>
      </c>
      <c r="Z5173" s="1" t="s">
        <v>24</v>
      </c>
      <c r="AA5173" s="1" t="s">
        <v>24</v>
      </c>
      <c r="AB5173" s="1" t="s">
        <v>24</v>
      </c>
      <c r="AC5173" s="1" t="s">
        <v>24</v>
      </c>
      <c r="AD5173" s="1" t="s">
        <v>24</v>
      </c>
      <c r="AE5173" s="1" t="s">
        <v>24</v>
      </c>
      <c r="AF5173" s="22" t="s">
        <v>17670</v>
      </c>
    </row>
    <row r="5174" spans="1:32" x14ac:dyDescent="0.2">
      <c r="A5174" s="1">
        <v>48655</v>
      </c>
      <c r="B5174" s="1" t="s">
        <v>15566</v>
      </c>
      <c r="C5174" s="5" t="s">
        <v>0</v>
      </c>
      <c r="D5174" s="1" t="s">
        <v>15567</v>
      </c>
      <c r="E5174" s="1" t="s">
        <v>15568</v>
      </c>
      <c r="F5174" s="1" t="s">
        <v>15569</v>
      </c>
      <c r="G5174" s="1" t="s">
        <v>15569</v>
      </c>
      <c r="H5174" s="1" t="s">
        <v>899</v>
      </c>
      <c r="I5174" s="1" t="s">
        <v>16</v>
      </c>
      <c r="J5174" s="1">
        <v>1</v>
      </c>
      <c r="K5174" s="1">
        <v>4</v>
      </c>
      <c r="L5174" s="1" t="s">
        <v>42</v>
      </c>
      <c r="M5174" s="1" t="s">
        <v>18</v>
      </c>
      <c r="N5174" s="1" t="s">
        <v>18</v>
      </c>
      <c r="O5174" s="1">
        <v>2</v>
      </c>
      <c r="P5174" s="1">
        <v>6</v>
      </c>
      <c r="R5174" s="1" t="s">
        <v>19</v>
      </c>
      <c r="S5174" s="1" t="s">
        <v>20</v>
      </c>
      <c r="T5174" s="1" t="s">
        <v>21</v>
      </c>
      <c r="U5174" s="1" t="s">
        <v>22</v>
      </c>
      <c r="V5174" s="1" t="s">
        <v>24</v>
      </c>
      <c r="W5174" s="1" t="s">
        <v>24</v>
      </c>
      <c r="X5174" s="1">
        <v>3000</v>
      </c>
      <c r="Y5174" s="1" t="s">
        <v>24</v>
      </c>
      <c r="Z5174" s="1" t="s">
        <v>24</v>
      </c>
      <c r="AA5174" s="1" t="s">
        <v>24</v>
      </c>
      <c r="AB5174" s="1" t="s">
        <v>24</v>
      </c>
      <c r="AC5174" s="1" t="s">
        <v>24</v>
      </c>
      <c r="AD5174" s="1" t="s">
        <v>24</v>
      </c>
      <c r="AE5174" s="1" t="s">
        <v>24</v>
      </c>
      <c r="AF5174" s="22"/>
    </row>
    <row r="5175" spans="1:32" x14ac:dyDescent="0.2">
      <c r="A5175" s="1">
        <v>48744</v>
      </c>
      <c r="B5175" s="1" t="s">
        <v>15570</v>
      </c>
      <c r="C5175" s="5" t="s">
        <v>0</v>
      </c>
      <c r="D5175" s="1" t="s">
        <v>15571</v>
      </c>
      <c r="E5175" s="1" t="s">
        <v>15572</v>
      </c>
      <c r="F5175" s="1" t="s">
        <v>134</v>
      </c>
      <c r="G5175" s="1" t="s">
        <v>134</v>
      </c>
      <c r="H5175" s="1" t="s">
        <v>135</v>
      </c>
      <c r="I5175" s="1" t="s">
        <v>16</v>
      </c>
      <c r="J5175" s="1">
        <v>1</v>
      </c>
      <c r="K5175" s="1">
        <v>6</v>
      </c>
      <c r="L5175" s="1" t="s">
        <v>42</v>
      </c>
      <c r="M5175" s="1" t="s">
        <v>1612</v>
      </c>
      <c r="N5175" s="1" t="s">
        <v>18</v>
      </c>
      <c r="O5175" s="1">
        <v>3</v>
      </c>
      <c r="P5175" s="1">
        <v>5</v>
      </c>
      <c r="R5175" s="1" t="s">
        <v>19</v>
      </c>
      <c r="S5175" s="1" t="s">
        <v>20</v>
      </c>
      <c r="T5175" s="1" t="s">
        <v>21</v>
      </c>
      <c r="U5175" s="1" t="s">
        <v>22</v>
      </c>
      <c r="V5175" s="1" t="s">
        <v>24</v>
      </c>
      <c r="W5175" s="1" t="s">
        <v>24</v>
      </c>
      <c r="X5175" s="1">
        <v>2715</v>
      </c>
      <c r="Y5175" s="1">
        <v>2721</v>
      </c>
      <c r="Z5175" s="1" t="s">
        <v>24</v>
      </c>
      <c r="AA5175" s="1" t="s">
        <v>24</v>
      </c>
      <c r="AB5175" s="1" t="s">
        <v>24</v>
      </c>
      <c r="AC5175" s="1" t="s">
        <v>24</v>
      </c>
      <c r="AD5175" s="1" t="s">
        <v>24</v>
      </c>
      <c r="AE5175" s="1" t="s">
        <v>24</v>
      </c>
      <c r="AF5175" s="22"/>
    </row>
    <row r="5176" spans="1:32" x14ac:dyDescent="0.2">
      <c r="A5176" s="1">
        <v>48877</v>
      </c>
      <c r="B5176" s="1" t="s">
        <v>15573</v>
      </c>
      <c r="C5176" s="5" t="s">
        <v>0</v>
      </c>
      <c r="D5176" s="1" t="s">
        <v>15574</v>
      </c>
      <c r="E5176" s="1" t="s">
        <v>15575</v>
      </c>
      <c r="F5176" s="1" t="s">
        <v>8341</v>
      </c>
      <c r="G5176" s="1" t="s">
        <v>8341</v>
      </c>
      <c r="H5176" s="1" t="s">
        <v>37</v>
      </c>
      <c r="I5176" s="1" t="s">
        <v>16</v>
      </c>
      <c r="J5176" s="1">
        <v>1</v>
      </c>
      <c r="K5176" s="1">
        <v>3</v>
      </c>
      <c r="L5176" s="1" t="s">
        <v>42</v>
      </c>
      <c r="M5176" s="1" t="s">
        <v>18</v>
      </c>
      <c r="N5176" s="1" t="s">
        <v>18</v>
      </c>
      <c r="O5176" s="1">
        <v>1</v>
      </c>
      <c r="P5176" s="1">
        <v>6</v>
      </c>
      <c r="R5176" s="1" t="s">
        <v>19</v>
      </c>
      <c r="S5176" s="1" t="s">
        <v>20</v>
      </c>
      <c r="T5176" s="1" t="s">
        <v>21</v>
      </c>
      <c r="U5176" s="1" t="s">
        <v>22</v>
      </c>
      <c r="V5176" s="1" t="s">
        <v>24</v>
      </c>
      <c r="W5176" s="1" t="s">
        <v>24</v>
      </c>
      <c r="X5176" s="1">
        <v>2730</v>
      </c>
      <c r="Y5176" s="1" t="s">
        <v>24</v>
      </c>
      <c r="Z5176" s="1" t="s">
        <v>24</v>
      </c>
      <c r="AA5176" s="1" t="s">
        <v>24</v>
      </c>
      <c r="AB5176" s="1" t="s">
        <v>24</v>
      </c>
      <c r="AC5176" s="1" t="s">
        <v>24</v>
      </c>
      <c r="AD5176" s="1" t="s">
        <v>24</v>
      </c>
      <c r="AE5176" s="1" t="s">
        <v>24</v>
      </c>
      <c r="AF5176" s="22"/>
    </row>
    <row r="5177" spans="1:32" x14ac:dyDescent="0.2">
      <c r="A5177" s="1">
        <v>48932</v>
      </c>
      <c r="B5177" s="1" t="s">
        <v>15576</v>
      </c>
      <c r="C5177" s="5" t="s">
        <v>0</v>
      </c>
      <c r="D5177" s="1" t="s">
        <v>15577</v>
      </c>
      <c r="E5177" s="1" t="s">
        <v>15578</v>
      </c>
      <c r="F5177" s="1" t="s">
        <v>8442</v>
      </c>
      <c r="G5177" s="1" t="s">
        <v>8443</v>
      </c>
      <c r="H5177" s="1" t="s">
        <v>37</v>
      </c>
      <c r="I5177" s="1" t="s">
        <v>16</v>
      </c>
      <c r="J5177" s="1">
        <v>1</v>
      </c>
      <c r="K5177" s="1">
        <v>6</v>
      </c>
      <c r="L5177" s="1" t="s">
        <v>31</v>
      </c>
      <c r="M5177" s="1" t="s">
        <v>18</v>
      </c>
      <c r="N5177" s="1" t="s">
        <v>18</v>
      </c>
      <c r="O5177" s="1">
        <v>3</v>
      </c>
      <c r="P5177" s="1">
        <v>6</v>
      </c>
      <c r="R5177" s="1" t="s">
        <v>19</v>
      </c>
      <c r="S5177" s="1" t="s">
        <v>20</v>
      </c>
      <c r="T5177" s="1" t="s">
        <v>21</v>
      </c>
      <c r="U5177" s="1" t="s">
        <v>22</v>
      </c>
      <c r="V5177" s="1" t="s">
        <v>24</v>
      </c>
      <c r="W5177" s="1" t="s">
        <v>24</v>
      </c>
      <c r="X5177" s="1">
        <v>2700</v>
      </c>
      <c r="Y5177" s="1">
        <v>2736</v>
      </c>
      <c r="Z5177" s="1" t="s">
        <v>24</v>
      </c>
      <c r="AA5177" s="1" t="s">
        <v>24</v>
      </c>
      <c r="AB5177" s="1" t="s">
        <v>24</v>
      </c>
      <c r="AC5177" s="1" t="s">
        <v>24</v>
      </c>
      <c r="AD5177" s="1" t="s">
        <v>24</v>
      </c>
      <c r="AE5177" s="1" t="s">
        <v>24</v>
      </c>
      <c r="AF5177" s="22"/>
    </row>
    <row r="5178" spans="1:32" x14ac:dyDescent="0.2">
      <c r="A5178" s="1">
        <v>48957</v>
      </c>
      <c r="B5178" s="1" t="s">
        <v>15579</v>
      </c>
      <c r="C5178" s="5" t="s">
        <v>0</v>
      </c>
      <c r="D5178" s="1" t="s">
        <v>15580</v>
      </c>
      <c r="E5178" s="1" t="s">
        <v>15581</v>
      </c>
      <c r="F5178" s="1" t="s">
        <v>6914</v>
      </c>
      <c r="G5178" s="1" t="s">
        <v>6915</v>
      </c>
      <c r="H5178" s="1" t="s">
        <v>37</v>
      </c>
      <c r="I5178" s="1" t="s">
        <v>112</v>
      </c>
      <c r="J5178" s="1">
        <v>0</v>
      </c>
      <c r="K5178" s="1">
        <v>0</v>
      </c>
      <c r="L5178" s="1" t="s">
        <v>31</v>
      </c>
      <c r="M5178" s="1" t="s">
        <v>18</v>
      </c>
      <c r="N5178" s="1" t="s">
        <v>18</v>
      </c>
      <c r="O5178" s="1">
        <v>1</v>
      </c>
      <c r="P5178" s="1">
        <v>1</v>
      </c>
      <c r="R5178" s="1" t="s">
        <v>19</v>
      </c>
      <c r="S5178" s="1" t="s">
        <v>20</v>
      </c>
      <c r="T5178" s="1" t="s">
        <v>21</v>
      </c>
      <c r="U5178" s="1" t="s">
        <v>22</v>
      </c>
      <c r="V5178" s="1" t="s">
        <v>24</v>
      </c>
      <c r="W5178" s="1" t="s">
        <v>24</v>
      </c>
      <c r="X5178" s="1">
        <v>3002</v>
      </c>
      <c r="Y5178" s="1" t="s">
        <v>24</v>
      </c>
      <c r="Z5178" s="1" t="s">
        <v>24</v>
      </c>
      <c r="AA5178" s="1" t="s">
        <v>24</v>
      </c>
      <c r="AB5178" s="1" t="s">
        <v>24</v>
      </c>
      <c r="AC5178" s="1" t="s">
        <v>24</v>
      </c>
      <c r="AD5178" s="1" t="s">
        <v>24</v>
      </c>
      <c r="AE5178" s="1" t="s">
        <v>24</v>
      </c>
      <c r="AF5178" s="22"/>
    </row>
    <row r="5179" spans="1:32" x14ac:dyDescent="0.2">
      <c r="A5179" s="1">
        <v>48959</v>
      </c>
      <c r="B5179" s="1" t="s">
        <v>15582</v>
      </c>
      <c r="C5179" s="5" t="s">
        <v>0</v>
      </c>
      <c r="E5179" s="1" t="s">
        <v>15583</v>
      </c>
      <c r="F5179" s="1" t="s">
        <v>11251</v>
      </c>
      <c r="G5179" s="1" t="s">
        <v>11251</v>
      </c>
      <c r="H5179" s="1" t="s">
        <v>3228</v>
      </c>
      <c r="I5179" s="1" t="s">
        <v>16</v>
      </c>
      <c r="J5179" s="1">
        <v>1</v>
      </c>
      <c r="K5179" s="1">
        <v>1</v>
      </c>
      <c r="L5179" s="1" t="s">
        <v>42</v>
      </c>
      <c r="M5179" s="1" t="s">
        <v>18</v>
      </c>
      <c r="N5179" s="1" t="s">
        <v>18</v>
      </c>
      <c r="O5179" s="1">
        <v>1</v>
      </c>
      <c r="P5179" s="1">
        <v>1</v>
      </c>
      <c r="R5179" s="1" t="s">
        <v>19</v>
      </c>
      <c r="S5179" s="1" t="s">
        <v>63</v>
      </c>
      <c r="T5179" s="1" t="s">
        <v>21</v>
      </c>
      <c r="U5179" s="1" t="s">
        <v>22</v>
      </c>
      <c r="V5179" s="1" t="s">
        <v>23</v>
      </c>
      <c r="W5179" s="1" t="s">
        <v>24</v>
      </c>
      <c r="X5179" s="1">
        <v>2743</v>
      </c>
      <c r="Y5179" s="1" t="s">
        <v>24</v>
      </c>
      <c r="Z5179" s="1" t="s">
        <v>24</v>
      </c>
      <c r="AA5179" s="1" t="s">
        <v>24</v>
      </c>
      <c r="AB5179" s="1" t="s">
        <v>24</v>
      </c>
      <c r="AC5179" s="1" t="s">
        <v>24</v>
      </c>
      <c r="AD5179" s="1" t="s">
        <v>24</v>
      </c>
      <c r="AE5179" s="1" t="s">
        <v>24</v>
      </c>
      <c r="AF5179" s="22"/>
    </row>
    <row r="5180" spans="1:32" x14ac:dyDescent="0.2">
      <c r="A5180" s="1">
        <v>48960</v>
      </c>
      <c r="B5180" s="1" t="s">
        <v>15584</v>
      </c>
      <c r="C5180" s="5" t="s">
        <v>0</v>
      </c>
      <c r="E5180" s="1" t="s">
        <v>15585</v>
      </c>
      <c r="F5180" s="1" t="s">
        <v>11251</v>
      </c>
      <c r="G5180" s="1" t="s">
        <v>11251</v>
      </c>
      <c r="H5180" s="1" t="s">
        <v>3228</v>
      </c>
      <c r="I5180" s="1" t="s">
        <v>16</v>
      </c>
      <c r="J5180" s="1">
        <v>1</v>
      </c>
      <c r="K5180" s="1">
        <v>1</v>
      </c>
      <c r="L5180" s="1" t="s">
        <v>42</v>
      </c>
      <c r="M5180" s="1" t="s">
        <v>18</v>
      </c>
      <c r="N5180" s="1" t="s">
        <v>18</v>
      </c>
      <c r="O5180" s="1">
        <v>1</v>
      </c>
      <c r="P5180" s="1">
        <v>1</v>
      </c>
      <c r="R5180" s="1" t="s">
        <v>19</v>
      </c>
      <c r="S5180" s="1" t="s">
        <v>63</v>
      </c>
      <c r="T5180" s="1" t="s">
        <v>21</v>
      </c>
      <c r="U5180" s="1" t="s">
        <v>22</v>
      </c>
      <c r="V5180" s="1" t="s">
        <v>24</v>
      </c>
      <c r="W5180" s="1" t="s">
        <v>24</v>
      </c>
      <c r="X5180" s="1">
        <v>1312</v>
      </c>
      <c r="Y5180" s="1">
        <v>1303</v>
      </c>
      <c r="Z5180" s="1" t="s">
        <v>24</v>
      </c>
      <c r="AA5180" s="1" t="s">
        <v>24</v>
      </c>
      <c r="AB5180" s="1" t="s">
        <v>24</v>
      </c>
      <c r="AC5180" s="1" t="s">
        <v>24</v>
      </c>
      <c r="AD5180" s="1" t="s">
        <v>24</v>
      </c>
      <c r="AE5180" s="1" t="s">
        <v>24</v>
      </c>
      <c r="AF5180" s="22"/>
    </row>
    <row r="5181" spans="1:32" x14ac:dyDescent="0.2">
      <c r="A5181" s="1">
        <v>48961</v>
      </c>
      <c r="B5181" s="1" t="s">
        <v>15586</v>
      </c>
      <c r="C5181" s="5" t="s">
        <v>0</v>
      </c>
      <c r="E5181" s="1" t="s">
        <v>15587</v>
      </c>
      <c r="F5181" s="1" t="s">
        <v>11251</v>
      </c>
      <c r="G5181" s="1" t="s">
        <v>11251</v>
      </c>
      <c r="H5181" s="1" t="s">
        <v>3228</v>
      </c>
      <c r="I5181" s="1" t="s">
        <v>16</v>
      </c>
      <c r="J5181" s="1">
        <v>1</v>
      </c>
      <c r="K5181" s="1">
        <v>1</v>
      </c>
      <c r="L5181" s="1" t="s">
        <v>42</v>
      </c>
      <c r="M5181" s="1" t="s">
        <v>18</v>
      </c>
      <c r="N5181" s="1" t="s">
        <v>18</v>
      </c>
      <c r="O5181" s="1">
        <v>1</v>
      </c>
      <c r="P5181" s="1">
        <v>1</v>
      </c>
      <c r="R5181" s="1" t="s">
        <v>19</v>
      </c>
      <c r="S5181" s="1" t="s">
        <v>63</v>
      </c>
      <c r="T5181" s="1" t="s">
        <v>21</v>
      </c>
      <c r="U5181" s="1" t="s">
        <v>22</v>
      </c>
      <c r="V5181" s="1" t="s">
        <v>23</v>
      </c>
      <c r="W5181" s="1" t="s">
        <v>24</v>
      </c>
      <c r="X5181" s="1">
        <v>1303</v>
      </c>
      <c r="Y5181" s="1" t="s">
        <v>24</v>
      </c>
      <c r="Z5181" s="1" t="s">
        <v>24</v>
      </c>
      <c r="AA5181" s="1" t="s">
        <v>24</v>
      </c>
      <c r="AB5181" s="1" t="s">
        <v>24</v>
      </c>
      <c r="AC5181" s="1" t="s">
        <v>24</v>
      </c>
      <c r="AD5181" s="1" t="s">
        <v>24</v>
      </c>
      <c r="AE5181" s="1" t="s">
        <v>24</v>
      </c>
      <c r="AF5181" s="22"/>
    </row>
    <row r="5182" spans="1:32" x14ac:dyDescent="0.2">
      <c r="A5182" s="1">
        <v>48962</v>
      </c>
      <c r="B5182" s="1" t="s">
        <v>15588</v>
      </c>
      <c r="C5182" s="5" t="s">
        <v>0</v>
      </c>
      <c r="E5182" s="1" t="s">
        <v>15589</v>
      </c>
      <c r="F5182" s="1" t="s">
        <v>11251</v>
      </c>
      <c r="G5182" s="1" t="s">
        <v>11251</v>
      </c>
      <c r="H5182" s="1" t="s">
        <v>3228</v>
      </c>
      <c r="I5182" s="1" t="s">
        <v>16</v>
      </c>
      <c r="J5182" s="1">
        <v>1</v>
      </c>
      <c r="K5182" s="1">
        <v>1</v>
      </c>
      <c r="L5182" s="1" t="s">
        <v>42</v>
      </c>
      <c r="M5182" s="1" t="s">
        <v>18</v>
      </c>
      <c r="N5182" s="1" t="s">
        <v>18</v>
      </c>
      <c r="O5182" s="1">
        <v>1</v>
      </c>
      <c r="P5182" s="1">
        <v>1</v>
      </c>
      <c r="R5182" s="1" t="s">
        <v>19</v>
      </c>
      <c r="S5182" s="1" t="s">
        <v>63</v>
      </c>
      <c r="T5182" s="1" t="s">
        <v>21</v>
      </c>
      <c r="U5182" s="1" t="s">
        <v>22</v>
      </c>
      <c r="V5182" s="1" t="s">
        <v>24</v>
      </c>
      <c r="W5182" s="1" t="s">
        <v>24</v>
      </c>
      <c r="X5182" s="1">
        <v>1303</v>
      </c>
      <c r="Y5182" s="1">
        <v>1312</v>
      </c>
      <c r="Z5182" s="1">
        <v>1307</v>
      </c>
      <c r="AA5182" s="1">
        <v>1311</v>
      </c>
      <c r="AB5182" s="1" t="s">
        <v>24</v>
      </c>
      <c r="AC5182" s="1" t="s">
        <v>24</v>
      </c>
      <c r="AD5182" s="1" t="s">
        <v>24</v>
      </c>
      <c r="AE5182" s="1" t="s">
        <v>24</v>
      </c>
      <c r="AF5182" s="22"/>
    </row>
    <row r="5183" spans="1:32" x14ac:dyDescent="0.2">
      <c r="A5183" s="1">
        <v>48963</v>
      </c>
      <c r="B5183" s="1" t="s">
        <v>15590</v>
      </c>
      <c r="C5183" s="5" t="s">
        <v>0</v>
      </c>
      <c r="E5183" s="1" t="s">
        <v>15591</v>
      </c>
      <c r="F5183" s="1" t="s">
        <v>10191</v>
      </c>
      <c r="G5183" s="1" t="s">
        <v>10192</v>
      </c>
      <c r="H5183" s="1" t="s">
        <v>30</v>
      </c>
      <c r="I5183" s="1" t="s">
        <v>16</v>
      </c>
      <c r="J5183" s="1">
        <v>1</v>
      </c>
      <c r="K5183" s="1">
        <v>1</v>
      </c>
      <c r="L5183" s="1" t="s">
        <v>42</v>
      </c>
      <c r="M5183" s="1" t="s">
        <v>18</v>
      </c>
      <c r="N5183" s="1" t="s">
        <v>18</v>
      </c>
      <c r="O5183" s="1">
        <v>1</v>
      </c>
      <c r="P5183" s="1">
        <v>1</v>
      </c>
      <c r="R5183" s="1" t="s">
        <v>19</v>
      </c>
      <c r="S5183" s="1" t="s">
        <v>63</v>
      </c>
      <c r="T5183" s="1" t="s">
        <v>21</v>
      </c>
      <c r="U5183" s="1" t="s">
        <v>22</v>
      </c>
      <c r="V5183" s="1" t="s">
        <v>23</v>
      </c>
      <c r="W5183" s="1" t="s">
        <v>24</v>
      </c>
      <c r="X5183" s="1">
        <v>2701</v>
      </c>
      <c r="Y5183" s="1" t="s">
        <v>24</v>
      </c>
      <c r="Z5183" s="1" t="s">
        <v>24</v>
      </c>
      <c r="AA5183" s="1" t="s">
        <v>24</v>
      </c>
      <c r="AB5183" s="1" t="s">
        <v>24</v>
      </c>
      <c r="AC5183" s="1" t="s">
        <v>24</v>
      </c>
      <c r="AD5183" s="1" t="s">
        <v>24</v>
      </c>
      <c r="AE5183" s="1" t="s">
        <v>24</v>
      </c>
      <c r="AF5183" s="22"/>
    </row>
    <row r="5184" spans="1:32" x14ac:dyDescent="0.2">
      <c r="A5184" s="1">
        <v>48965</v>
      </c>
      <c r="B5184" s="1" t="s">
        <v>15592</v>
      </c>
      <c r="C5184" s="5" t="s">
        <v>0</v>
      </c>
      <c r="D5184" s="1" t="s">
        <v>15593</v>
      </c>
      <c r="E5184" s="1" t="s">
        <v>15594</v>
      </c>
      <c r="F5184" s="1" t="s">
        <v>12374</v>
      </c>
      <c r="G5184" s="1" t="s">
        <v>12374</v>
      </c>
      <c r="H5184" s="1" t="s">
        <v>37</v>
      </c>
      <c r="I5184" s="1" t="s">
        <v>16</v>
      </c>
      <c r="J5184" s="1">
        <v>1</v>
      </c>
      <c r="K5184" s="1">
        <v>2</v>
      </c>
      <c r="L5184" s="1" t="s">
        <v>42</v>
      </c>
      <c r="M5184" s="1" t="s">
        <v>18</v>
      </c>
      <c r="N5184" s="1" t="s">
        <v>18</v>
      </c>
      <c r="O5184" s="1">
        <v>1</v>
      </c>
      <c r="P5184" s="1">
        <v>1</v>
      </c>
      <c r="R5184" s="1" t="s">
        <v>19</v>
      </c>
      <c r="S5184" s="1" t="s">
        <v>20</v>
      </c>
      <c r="T5184" s="1" t="s">
        <v>21</v>
      </c>
      <c r="U5184" s="1" t="s">
        <v>22</v>
      </c>
      <c r="V5184" s="1" t="s">
        <v>23</v>
      </c>
      <c r="W5184" s="1" t="s">
        <v>24</v>
      </c>
      <c r="X5184" s="1">
        <v>2725</v>
      </c>
      <c r="Y5184" s="1" t="s">
        <v>24</v>
      </c>
      <c r="Z5184" s="1" t="s">
        <v>24</v>
      </c>
      <c r="AA5184" s="1" t="s">
        <v>24</v>
      </c>
      <c r="AB5184" s="1" t="s">
        <v>24</v>
      </c>
      <c r="AC5184" s="1" t="s">
        <v>24</v>
      </c>
      <c r="AD5184" s="1" t="s">
        <v>24</v>
      </c>
      <c r="AE5184" s="1" t="s">
        <v>24</v>
      </c>
      <c r="AF5184" s="22"/>
    </row>
    <row r="5185" spans="1:32" x14ac:dyDescent="0.2">
      <c r="A5185" s="1">
        <v>48977</v>
      </c>
      <c r="B5185" s="1" t="s">
        <v>15595</v>
      </c>
      <c r="C5185" s="5" t="s">
        <v>0</v>
      </c>
      <c r="D5185" s="1" t="s">
        <v>15596</v>
      </c>
      <c r="F5185" s="1" t="s">
        <v>5195</v>
      </c>
      <c r="G5185" s="1" t="s">
        <v>5195</v>
      </c>
      <c r="H5185" s="1" t="s">
        <v>693</v>
      </c>
      <c r="I5185" s="1" t="s">
        <v>16</v>
      </c>
      <c r="J5185" s="1">
        <v>1</v>
      </c>
      <c r="K5185" s="1">
        <v>4</v>
      </c>
      <c r="L5185" s="1" t="s">
        <v>42</v>
      </c>
      <c r="M5185" s="1" t="s">
        <v>18</v>
      </c>
      <c r="N5185" s="1" t="s">
        <v>18</v>
      </c>
      <c r="O5185" s="1">
        <v>1</v>
      </c>
      <c r="P5185" s="1">
        <v>1</v>
      </c>
      <c r="R5185" s="1" t="s">
        <v>19</v>
      </c>
      <c r="S5185" s="1" t="s">
        <v>20</v>
      </c>
      <c r="T5185" s="1" t="s">
        <v>21</v>
      </c>
      <c r="U5185" s="1" t="s">
        <v>22</v>
      </c>
      <c r="V5185" s="1" t="s">
        <v>24</v>
      </c>
      <c r="W5185" s="1" t="s">
        <v>24</v>
      </c>
      <c r="X5185" s="1">
        <v>2800</v>
      </c>
      <c r="Y5185" s="1" t="s">
        <v>24</v>
      </c>
      <c r="Z5185" s="1" t="s">
        <v>24</v>
      </c>
      <c r="AA5185" s="1" t="s">
        <v>24</v>
      </c>
      <c r="AB5185" s="1" t="s">
        <v>24</v>
      </c>
      <c r="AC5185" s="1" t="s">
        <v>24</v>
      </c>
      <c r="AD5185" s="1" t="s">
        <v>24</v>
      </c>
      <c r="AE5185" s="1" t="s">
        <v>24</v>
      </c>
      <c r="AF5185" s="22"/>
    </row>
    <row r="5186" spans="1:32" x14ac:dyDescent="0.2">
      <c r="A5186" s="1">
        <v>49030</v>
      </c>
      <c r="B5186" s="1" t="s">
        <v>15597</v>
      </c>
      <c r="C5186" s="5" t="s">
        <v>0</v>
      </c>
      <c r="D5186" s="1" t="s">
        <v>15598</v>
      </c>
      <c r="F5186" s="1" t="s">
        <v>15599</v>
      </c>
      <c r="G5186" s="1" t="s">
        <v>15599</v>
      </c>
      <c r="H5186" s="1" t="s">
        <v>249</v>
      </c>
      <c r="I5186" s="1" t="s">
        <v>16</v>
      </c>
      <c r="J5186" s="1">
        <v>1</v>
      </c>
      <c r="K5186" s="1">
        <v>6</v>
      </c>
      <c r="L5186" s="1" t="s">
        <v>17</v>
      </c>
      <c r="M5186" s="1" t="s">
        <v>250</v>
      </c>
      <c r="N5186" s="1" t="s">
        <v>3290</v>
      </c>
      <c r="O5186" s="1">
        <v>3</v>
      </c>
      <c r="P5186" s="1">
        <v>6</v>
      </c>
      <c r="R5186" s="1" t="s">
        <v>19</v>
      </c>
      <c r="S5186" s="1" t="s">
        <v>20</v>
      </c>
      <c r="T5186" s="1" t="s">
        <v>21</v>
      </c>
      <c r="U5186" s="1" t="s">
        <v>22</v>
      </c>
      <c r="V5186" s="1" t="s">
        <v>24</v>
      </c>
      <c r="W5186" s="1" t="s">
        <v>24</v>
      </c>
      <c r="X5186" s="1">
        <v>1300</v>
      </c>
      <c r="Y5186" s="1">
        <v>2700</v>
      </c>
      <c r="Z5186" s="1" t="s">
        <v>24</v>
      </c>
      <c r="AA5186" s="1" t="s">
        <v>24</v>
      </c>
      <c r="AB5186" s="1" t="s">
        <v>24</v>
      </c>
      <c r="AC5186" s="1" t="s">
        <v>24</v>
      </c>
      <c r="AD5186" s="1" t="s">
        <v>24</v>
      </c>
      <c r="AE5186" s="1" t="s">
        <v>24</v>
      </c>
      <c r="AF5186" s="22"/>
    </row>
    <row r="5187" spans="1:32" x14ac:dyDescent="0.2">
      <c r="A5187" s="1">
        <v>49043</v>
      </c>
      <c r="B5187" s="1" t="s">
        <v>15600</v>
      </c>
      <c r="C5187" s="5" t="s">
        <v>0</v>
      </c>
      <c r="D5187" s="1" t="s">
        <v>15601</v>
      </c>
      <c r="F5187" s="1" t="s">
        <v>15602</v>
      </c>
      <c r="G5187" s="1" t="s">
        <v>68</v>
      </c>
      <c r="H5187" s="1" t="s">
        <v>69</v>
      </c>
      <c r="I5187" s="1" t="s">
        <v>16</v>
      </c>
      <c r="J5187" s="1">
        <v>1</v>
      </c>
      <c r="K5187" s="1">
        <v>3</v>
      </c>
      <c r="L5187" s="1" t="s">
        <v>42</v>
      </c>
      <c r="M5187" s="1" t="s">
        <v>70</v>
      </c>
      <c r="N5187" s="1" t="s">
        <v>3659</v>
      </c>
      <c r="O5187" s="1">
        <v>3</v>
      </c>
      <c r="P5187" s="1">
        <v>5</v>
      </c>
      <c r="R5187" s="1" t="s">
        <v>19</v>
      </c>
      <c r="S5187" s="1" t="s">
        <v>20</v>
      </c>
      <c r="T5187" s="1" t="s">
        <v>21</v>
      </c>
      <c r="U5187" s="1" t="s">
        <v>22</v>
      </c>
      <c r="V5187" s="1" t="s">
        <v>24</v>
      </c>
      <c r="W5187" s="1" t="s">
        <v>24</v>
      </c>
      <c r="X5187" s="1">
        <v>2738</v>
      </c>
      <c r="Y5187" s="1" t="s">
        <v>24</v>
      </c>
      <c r="Z5187" s="1" t="s">
        <v>24</v>
      </c>
      <c r="AA5187" s="1" t="s">
        <v>24</v>
      </c>
      <c r="AB5187" s="1" t="s">
        <v>24</v>
      </c>
      <c r="AC5187" s="1" t="s">
        <v>24</v>
      </c>
      <c r="AD5187" s="1" t="s">
        <v>24</v>
      </c>
      <c r="AE5187" s="1" t="s">
        <v>24</v>
      </c>
      <c r="AF5187" s="22"/>
    </row>
    <row r="5188" spans="1:32" x14ac:dyDescent="0.2">
      <c r="A5188" s="1">
        <v>49184</v>
      </c>
      <c r="B5188" s="1" t="s">
        <v>15603</v>
      </c>
      <c r="C5188" s="5" t="s">
        <v>0</v>
      </c>
      <c r="E5188" s="1" t="s">
        <v>15604</v>
      </c>
      <c r="F5188" s="1" t="s">
        <v>167</v>
      </c>
      <c r="G5188" s="1" t="s">
        <v>130</v>
      </c>
      <c r="H5188" s="1" t="s">
        <v>168</v>
      </c>
      <c r="I5188" s="1" t="s">
        <v>16</v>
      </c>
      <c r="J5188" s="1">
        <v>1</v>
      </c>
      <c r="K5188" s="1">
        <v>1</v>
      </c>
      <c r="L5188" s="1" t="s">
        <v>31</v>
      </c>
      <c r="M5188" s="1" t="s">
        <v>18</v>
      </c>
      <c r="N5188" s="1" t="s">
        <v>18</v>
      </c>
      <c r="O5188" s="1">
        <v>1</v>
      </c>
      <c r="P5188" s="1">
        <v>1</v>
      </c>
      <c r="R5188" s="1" t="s">
        <v>19</v>
      </c>
      <c r="S5188" s="1" t="s">
        <v>63</v>
      </c>
      <c r="T5188" s="1" t="s">
        <v>21</v>
      </c>
      <c r="U5188" s="1" t="s">
        <v>22</v>
      </c>
      <c r="V5188" s="1" t="s">
        <v>24</v>
      </c>
      <c r="W5188" s="1" t="s">
        <v>24</v>
      </c>
      <c r="X5188" s="1">
        <v>1304</v>
      </c>
      <c r="Y5188" s="1">
        <v>2402</v>
      </c>
      <c r="Z5188" s="1" t="s">
        <v>24</v>
      </c>
      <c r="AA5188" s="1" t="s">
        <v>24</v>
      </c>
      <c r="AB5188" s="1" t="s">
        <v>24</v>
      </c>
      <c r="AC5188" s="1" t="s">
        <v>24</v>
      </c>
      <c r="AD5188" s="1" t="s">
        <v>24</v>
      </c>
      <c r="AE5188" s="1" t="s">
        <v>24</v>
      </c>
      <c r="AF5188" s="22"/>
    </row>
    <row r="5189" spans="1:32" x14ac:dyDescent="0.2">
      <c r="A5189" s="1">
        <v>49209</v>
      </c>
      <c r="B5189" s="1" t="s">
        <v>15605</v>
      </c>
      <c r="C5189" s="5" t="s">
        <v>0</v>
      </c>
      <c r="D5189" s="1" t="s">
        <v>15606</v>
      </c>
      <c r="E5189" s="1" t="s">
        <v>15607</v>
      </c>
      <c r="F5189" s="1" t="s">
        <v>15608</v>
      </c>
      <c r="G5189" s="1" t="s">
        <v>15608</v>
      </c>
      <c r="H5189" s="1" t="s">
        <v>2772</v>
      </c>
      <c r="I5189" s="1" t="s">
        <v>16</v>
      </c>
      <c r="J5189" s="1">
        <v>1</v>
      </c>
      <c r="K5189" s="1">
        <v>4</v>
      </c>
      <c r="L5189" s="1" t="s">
        <v>42</v>
      </c>
      <c r="M5189" s="1" t="s">
        <v>18</v>
      </c>
      <c r="N5189" s="1" t="s">
        <v>18</v>
      </c>
      <c r="O5189" s="1">
        <v>1</v>
      </c>
      <c r="P5189" s="1">
        <v>1</v>
      </c>
      <c r="R5189" s="1" t="s">
        <v>19</v>
      </c>
      <c r="S5189" s="1" t="s">
        <v>20</v>
      </c>
      <c r="T5189" s="1" t="s">
        <v>21</v>
      </c>
      <c r="U5189" s="1" t="s">
        <v>22</v>
      </c>
      <c r="V5189" s="1" t="s">
        <v>23</v>
      </c>
      <c r="W5189" s="1" t="s">
        <v>24</v>
      </c>
      <c r="X5189" s="1">
        <v>2728</v>
      </c>
      <c r="Y5189" s="1">
        <v>2748</v>
      </c>
      <c r="Z5189" s="1">
        <v>2808</v>
      </c>
      <c r="AA5189" s="1" t="s">
        <v>24</v>
      </c>
      <c r="AB5189" s="1" t="s">
        <v>24</v>
      </c>
      <c r="AC5189" s="1" t="s">
        <v>24</v>
      </c>
      <c r="AD5189" s="1" t="s">
        <v>24</v>
      </c>
      <c r="AE5189" s="1" t="s">
        <v>24</v>
      </c>
      <c r="AF5189" s="22"/>
    </row>
    <row r="5190" spans="1:32" x14ac:dyDescent="0.2">
      <c r="A5190" s="1">
        <v>49213</v>
      </c>
      <c r="B5190" s="1" t="s">
        <v>15609</v>
      </c>
      <c r="C5190" s="5" t="s">
        <v>0</v>
      </c>
      <c r="D5190" s="1" t="s">
        <v>15610</v>
      </c>
      <c r="E5190" s="1" t="s">
        <v>15611</v>
      </c>
      <c r="F5190" s="1" t="s">
        <v>10464</v>
      </c>
      <c r="G5190" s="1" t="s">
        <v>15047</v>
      </c>
      <c r="H5190" s="1" t="s">
        <v>1957</v>
      </c>
      <c r="I5190" s="1" t="s">
        <v>16</v>
      </c>
      <c r="J5190" s="1">
        <v>1</v>
      </c>
      <c r="K5190" s="1">
        <v>4</v>
      </c>
      <c r="L5190" s="1" t="s">
        <v>42</v>
      </c>
      <c r="M5190" s="1" t="s">
        <v>18</v>
      </c>
      <c r="N5190" s="1" t="s">
        <v>18</v>
      </c>
      <c r="O5190" s="1">
        <v>1</v>
      </c>
      <c r="P5190" s="1">
        <v>1</v>
      </c>
      <c r="R5190" s="1" t="s">
        <v>19</v>
      </c>
      <c r="S5190" s="1" t="s">
        <v>20</v>
      </c>
      <c r="T5190" s="1" t="s">
        <v>21</v>
      </c>
      <c r="U5190" s="1" t="s">
        <v>22</v>
      </c>
      <c r="V5190" s="1" t="s">
        <v>23</v>
      </c>
      <c r="W5190" s="1" t="s">
        <v>24</v>
      </c>
      <c r="X5190" s="1">
        <v>2705</v>
      </c>
      <c r="Y5190" s="1" t="s">
        <v>24</v>
      </c>
      <c r="Z5190" s="1" t="s">
        <v>24</v>
      </c>
      <c r="AA5190" s="1" t="s">
        <v>24</v>
      </c>
      <c r="AB5190" s="1" t="s">
        <v>24</v>
      </c>
      <c r="AC5190" s="1" t="s">
        <v>24</v>
      </c>
      <c r="AD5190" s="1" t="s">
        <v>24</v>
      </c>
      <c r="AE5190" s="1" t="s">
        <v>24</v>
      </c>
      <c r="AF5190" s="22"/>
    </row>
    <row r="5191" spans="1:32" x14ac:dyDescent="0.2">
      <c r="A5191" s="1">
        <v>49236</v>
      </c>
      <c r="B5191" s="1" t="s">
        <v>15612</v>
      </c>
      <c r="C5191" s="5" t="s">
        <v>0</v>
      </c>
      <c r="E5191" s="1" t="s">
        <v>15613</v>
      </c>
      <c r="F5191" s="1" t="s">
        <v>15614</v>
      </c>
      <c r="G5191" s="1" t="s">
        <v>15614</v>
      </c>
      <c r="H5191" s="1" t="s">
        <v>111</v>
      </c>
      <c r="I5191" s="1" t="s">
        <v>16</v>
      </c>
      <c r="J5191" s="1">
        <v>1</v>
      </c>
      <c r="K5191" s="1">
        <v>1</v>
      </c>
      <c r="L5191" s="1" t="s">
        <v>42</v>
      </c>
      <c r="M5191" s="1" t="s">
        <v>18</v>
      </c>
      <c r="N5191" s="1" t="s">
        <v>18</v>
      </c>
      <c r="O5191" s="1">
        <v>1</v>
      </c>
      <c r="P5191" s="1">
        <v>1</v>
      </c>
      <c r="R5191" s="1" t="s">
        <v>19</v>
      </c>
      <c r="S5191" s="1" t="s">
        <v>63</v>
      </c>
      <c r="T5191" s="1" t="s">
        <v>21</v>
      </c>
      <c r="U5191" s="1" t="s">
        <v>22</v>
      </c>
      <c r="V5191" s="1" t="s">
        <v>23</v>
      </c>
      <c r="W5191" s="1" t="s">
        <v>24</v>
      </c>
      <c r="X5191" s="1">
        <v>1302</v>
      </c>
      <c r="Y5191" s="1">
        <v>2805</v>
      </c>
      <c r="Z5191" s="1" t="s">
        <v>24</v>
      </c>
      <c r="AA5191" s="1" t="s">
        <v>24</v>
      </c>
      <c r="AB5191" s="1" t="s">
        <v>24</v>
      </c>
      <c r="AC5191" s="1" t="s">
        <v>24</v>
      </c>
      <c r="AD5191" s="1" t="s">
        <v>24</v>
      </c>
      <c r="AE5191" s="1" t="s">
        <v>24</v>
      </c>
      <c r="AF5191" s="22" t="s">
        <v>17673</v>
      </c>
    </row>
    <row r="5192" spans="1:32" x14ac:dyDescent="0.2">
      <c r="A5192" s="1">
        <v>49237</v>
      </c>
      <c r="B5192" s="1" t="s">
        <v>15615</v>
      </c>
      <c r="C5192" s="5" t="s">
        <v>0</v>
      </c>
      <c r="E5192" s="1" t="s">
        <v>15616</v>
      </c>
      <c r="F5192" s="1" t="s">
        <v>15614</v>
      </c>
      <c r="G5192" s="1" t="s">
        <v>15614</v>
      </c>
      <c r="H5192" s="1" t="s">
        <v>111</v>
      </c>
      <c r="I5192" s="1" t="s">
        <v>16</v>
      </c>
      <c r="J5192" s="1">
        <v>1</v>
      </c>
      <c r="K5192" s="1">
        <v>1</v>
      </c>
      <c r="L5192" s="1" t="s">
        <v>42</v>
      </c>
      <c r="M5192" s="1" t="s">
        <v>18</v>
      </c>
      <c r="N5192" s="1" t="s">
        <v>18</v>
      </c>
      <c r="O5192" s="1">
        <v>1</v>
      </c>
      <c r="P5192" s="1">
        <v>1</v>
      </c>
      <c r="R5192" s="1" t="s">
        <v>19</v>
      </c>
      <c r="S5192" s="1" t="s">
        <v>63</v>
      </c>
      <c r="T5192" s="1" t="s">
        <v>21</v>
      </c>
      <c r="U5192" s="1" t="s">
        <v>22</v>
      </c>
      <c r="V5192" s="1" t="s">
        <v>23</v>
      </c>
      <c r="W5192" s="1" t="s">
        <v>24</v>
      </c>
      <c r="X5192" s="1">
        <v>2804</v>
      </c>
      <c r="Y5192" s="1" t="s">
        <v>24</v>
      </c>
      <c r="Z5192" s="1" t="s">
        <v>24</v>
      </c>
      <c r="AA5192" s="1" t="s">
        <v>24</v>
      </c>
      <c r="AB5192" s="1" t="s">
        <v>24</v>
      </c>
      <c r="AC5192" s="1" t="s">
        <v>24</v>
      </c>
      <c r="AD5192" s="1" t="s">
        <v>24</v>
      </c>
      <c r="AE5192" s="1" t="s">
        <v>24</v>
      </c>
      <c r="AF5192" s="22" t="s">
        <v>17673</v>
      </c>
    </row>
    <row r="5193" spans="1:32" x14ac:dyDescent="0.2">
      <c r="A5193" s="1">
        <v>49238</v>
      </c>
      <c r="B5193" s="1" t="s">
        <v>15617</v>
      </c>
      <c r="C5193" s="5" t="s">
        <v>0</v>
      </c>
      <c r="E5193" s="1" t="s">
        <v>15618</v>
      </c>
      <c r="F5193" s="1" t="s">
        <v>15614</v>
      </c>
      <c r="G5193" s="1" t="s">
        <v>15614</v>
      </c>
      <c r="H5193" s="1" t="s">
        <v>111</v>
      </c>
      <c r="I5193" s="1" t="s">
        <v>16</v>
      </c>
      <c r="J5193" s="1">
        <v>1</v>
      </c>
      <c r="K5193" s="1">
        <v>1</v>
      </c>
      <c r="L5193" s="1" t="s">
        <v>42</v>
      </c>
      <c r="M5193" s="1" t="s">
        <v>18</v>
      </c>
      <c r="N5193" s="1" t="s">
        <v>18</v>
      </c>
      <c r="O5193" s="1">
        <v>1</v>
      </c>
      <c r="P5193" s="1">
        <v>1</v>
      </c>
      <c r="R5193" s="1" t="s">
        <v>19</v>
      </c>
      <c r="S5193" s="1" t="s">
        <v>63</v>
      </c>
      <c r="T5193" s="1" t="s">
        <v>21</v>
      </c>
      <c r="U5193" s="1" t="s">
        <v>22</v>
      </c>
      <c r="V5193" s="1" t="s">
        <v>24</v>
      </c>
      <c r="W5193" s="1" t="s">
        <v>24</v>
      </c>
      <c r="X5193" s="1">
        <v>1702</v>
      </c>
      <c r="Y5193" s="1">
        <v>2204</v>
      </c>
      <c r="Z5193" s="1" t="s">
        <v>24</v>
      </c>
      <c r="AA5193" s="1" t="s">
        <v>24</v>
      </c>
      <c r="AB5193" s="1" t="s">
        <v>24</v>
      </c>
      <c r="AC5193" s="1" t="s">
        <v>24</v>
      </c>
      <c r="AD5193" s="1" t="s">
        <v>24</v>
      </c>
      <c r="AE5193" s="1" t="s">
        <v>24</v>
      </c>
      <c r="AF5193" s="22" t="s">
        <v>17673</v>
      </c>
    </row>
    <row r="5194" spans="1:32" x14ac:dyDescent="0.2">
      <c r="A5194" s="1">
        <v>49239</v>
      </c>
      <c r="B5194" s="1" t="s">
        <v>15619</v>
      </c>
      <c r="C5194" s="5" t="s">
        <v>0</v>
      </c>
      <c r="D5194" s="1" t="s">
        <v>15620</v>
      </c>
      <c r="E5194" s="1" t="s">
        <v>15621</v>
      </c>
      <c r="F5194" s="1" t="s">
        <v>15614</v>
      </c>
      <c r="G5194" s="1" t="s">
        <v>15614</v>
      </c>
      <c r="H5194" s="1" t="s">
        <v>111</v>
      </c>
      <c r="I5194" s="1" t="s">
        <v>16</v>
      </c>
      <c r="J5194" s="1">
        <v>1</v>
      </c>
      <c r="K5194" s="1">
        <v>1</v>
      </c>
      <c r="L5194" s="1" t="s">
        <v>42</v>
      </c>
      <c r="M5194" s="1" t="s">
        <v>18</v>
      </c>
      <c r="N5194" s="1" t="s">
        <v>18</v>
      </c>
      <c r="O5194" s="1">
        <v>1</v>
      </c>
      <c r="P5194" s="1">
        <v>1</v>
      </c>
      <c r="R5194" s="1" t="s">
        <v>19</v>
      </c>
      <c r="S5194" s="1" t="s">
        <v>63</v>
      </c>
      <c r="T5194" s="1" t="s">
        <v>21</v>
      </c>
      <c r="U5194" s="1" t="s">
        <v>22</v>
      </c>
      <c r="V5194" s="1" t="s">
        <v>23</v>
      </c>
      <c r="W5194" s="1" t="s">
        <v>24</v>
      </c>
      <c r="X5194" s="1">
        <v>2800</v>
      </c>
      <c r="Y5194" s="1" t="s">
        <v>24</v>
      </c>
      <c r="Z5194" s="1" t="s">
        <v>24</v>
      </c>
      <c r="AA5194" s="1" t="s">
        <v>24</v>
      </c>
      <c r="AB5194" s="1" t="s">
        <v>24</v>
      </c>
      <c r="AC5194" s="1" t="s">
        <v>24</v>
      </c>
      <c r="AD5194" s="1" t="s">
        <v>24</v>
      </c>
      <c r="AE5194" s="1" t="s">
        <v>24</v>
      </c>
      <c r="AF5194" s="22" t="s">
        <v>17673</v>
      </c>
    </row>
    <row r="5195" spans="1:32" x14ac:dyDescent="0.2">
      <c r="A5195" s="1">
        <v>49240</v>
      </c>
      <c r="B5195" s="1" t="s">
        <v>15622</v>
      </c>
      <c r="C5195" s="5" t="s">
        <v>0</v>
      </c>
      <c r="E5195" s="1" t="s">
        <v>15623</v>
      </c>
      <c r="F5195" s="1" t="s">
        <v>15614</v>
      </c>
      <c r="G5195" s="1" t="s">
        <v>15614</v>
      </c>
      <c r="H5195" s="1" t="s">
        <v>111</v>
      </c>
      <c r="I5195" s="1" t="s">
        <v>16</v>
      </c>
      <c r="J5195" s="1">
        <v>1</v>
      </c>
      <c r="K5195" s="1">
        <v>1</v>
      </c>
      <c r="L5195" s="1" t="s">
        <v>42</v>
      </c>
      <c r="M5195" s="1" t="s">
        <v>18</v>
      </c>
      <c r="N5195" s="1" t="s">
        <v>18</v>
      </c>
      <c r="O5195" s="1">
        <v>1</v>
      </c>
      <c r="P5195" s="1">
        <v>1</v>
      </c>
      <c r="R5195" s="1" t="s">
        <v>19</v>
      </c>
      <c r="S5195" s="1" t="s">
        <v>63</v>
      </c>
      <c r="T5195" s="1" t="s">
        <v>21</v>
      </c>
      <c r="U5195" s="1" t="s">
        <v>22</v>
      </c>
      <c r="V5195" s="1" t="s">
        <v>24</v>
      </c>
      <c r="W5195" s="1" t="s">
        <v>24</v>
      </c>
      <c r="X5195" s="1">
        <v>2804</v>
      </c>
      <c r="Y5195" s="1">
        <v>1307</v>
      </c>
      <c r="Z5195" s="1" t="s">
        <v>24</v>
      </c>
      <c r="AA5195" s="1" t="s">
        <v>24</v>
      </c>
      <c r="AB5195" s="1" t="s">
        <v>24</v>
      </c>
      <c r="AC5195" s="1" t="s">
        <v>24</v>
      </c>
      <c r="AD5195" s="1" t="s">
        <v>24</v>
      </c>
      <c r="AE5195" s="1" t="s">
        <v>24</v>
      </c>
      <c r="AF5195" s="22" t="s">
        <v>17673</v>
      </c>
    </row>
    <row r="5196" spans="1:32" x14ac:dyDescent="0.2">
      <c r="A5196" s="1">
        <v>49261</v>
      </c>
      <c r="B5196" s="1" t="s">
        <v>15624</v>
      </c>
      <c r="C5196" s="5" t="s">
        <v>0</v>
      </c>
      <c r="D5196" s="1" t="s">
        <v>15625</v>
      </c>
      <c r="E5196" s="1" t="s">
        <v>15626</v>
      </c>
      <c r="F5196" s="1" t="s">
        <v>1412</v>
      </c>
      <c r="G5196" s="1" t="s">
        <v>1413</v>
      </c>
      <c r="H5196" s="1" t="s">
        <v>30</v>
      </c>
      <c r="I5196" s="1" t="s">
        <v>16</v>
      </c>
      <c r="J5196" s="1">
        <v>0</v>
      </c>
      <c r="K5196" s="1">
        <v>0</v>
      </c>
      <c r="L5196" s="1" t="s">
        <v>31</v>
      </c>
      <c r="M5196" s="1" t="s">
        <v>18</v>
      </c>
      <c r="N5196" s="1" t="s">
        <v>18</v>
      </c>
      <c r="O5196" s="1">
        <v>2</v>
      </c>
      <c r="P5196" s="1">
        <v>7</v>
      </c>
      <c r="Q5196" s="7" t="s">
        <v>17633</v>
      </c>
      <c r="R5196" s="1" t="s">
        <v>19</v>
      </c>
      <c r="S5196" s="1" t="s">
        <v>63</v>
      </c>
      <c r="T5196" s="1" t="s">
        <v>21</v>
      </c>
      <c r="U5196" s="1" t="s">
        <v>22</v>
      </c>
      <c r="V5196" s="1" t="s">
        <v>24</v>
      </c>
      <c r="W5196" s="1" t="s">
        <v>24</v>
      </c>
      <c r="X5196" s="1">
        <v>1602</v>
      </c>
      <c r="Y5196" s="1">
        <v>1706</v>
      </c>
      <c r="Z5196" s="1">
        <v>3105</v>
      </c>
      <c r="AA5196" s="1">
        <v>1500</v>
      </c>
      <c r="AB5196" s="1" t="s">
        <v>24</v>
      </c>
      <c r="AC5196" s="1" t="s">
        <v>24</v>
      </c>
      <c r="AD5196" s="1" t="s">
        <v>24</v>
      </c>
      <c r="AE5196" s="1" t="s">
        <v>24</v>
      </c>
      <c r="AF5196" s="22"/>
    </row>
    <row r="5197" spans="1:32" x14ac:dyDescent="0.2">
      <c r="A5197" s="1">
        <v>49270</v>
      </c>
      <c r="B5197" s="1" t="s">
        <v>15627</v>
      </c>
      <c r="C5197" s="5" t="s">
        <v>0</v>
      </c>
      <c r="D5197" s="1" t="s">
        <v>15628</v>
      </c>
      <c r="E5197" s="1" t="s">
        <v>15629</v>
      </c>
      <c r="F5197" s="1" t="s">
        <v>6405</v>
      </c>
      <c r="G5197" s="1" t="s">
        <v>6406</v>
      </c>
      <c r="H5197" s="1" t="s">
        <v>92</v>
      </c>
      <c r="I5197" s="1" t="s">
        <v>16</v>
      </c>
      <c r="J5197" s="1">
        <v>1</v>
      </c>
      <c r="K5197" s="1">
        <v>3</v>
      </c>
      <c r="L5197" s="1" t="s">
        <v>31</v>
      </c>
      <c r="M5197" s="1" t="s">
        <v>18</v>
      </c>
      <c r="N5197" s="1" t="s">
        <v>18</v>
      </c>
      <c r="O5197" s="1">
        <v>2</v>
      </c>
      <c r="P5197" s="1">
        <v>7</v>
      </c>
      <c r="Q5197" s="7" t="s">
        <v>17633</v>
      </c>
      <c r="R5197" s="1" t="s">
        <v>19</v>
      </c>
      <c r="S5197" s="1" t="s">
        <v>20</v>
      </c>
      <c r="T5197" s="1" t="s">
        <v>21</v>
      </c>
      <c r="V5197" s="1" t="s">
        <v>24</v>
      </c>
      <c r="W5197" s="1" t="s">
        <v>24</v>
      </c>
      <c r="X5197" s="1">
        <v>1313</v>
      </c>
      <c r="Y5197" s="1">
        <v>1308</v>
      </c>
      <c r="Z5197" s="1" t="s">
        <v>24</v>
      </c>
      <c r="AA5197" s="1" t="s">
        <v>24</v>
      </c>
      <c r="AB5197" s="1" t="s">
        <v>24</v>
      </c>
      <c r="AC5197" s="1" t="s">
        <v>24</v>
      </c>
      <c r="AD5197" s="1" t="s">
        <v>24</v>
      </c>
      <c r="AE5197" s="1" t="s">
        <v>24</v>
      </c>
      <c r="AF5197" s="22"/>
    </row>
    <row r="5198" spans="1:32" x14ac:dyDescent="0.2">
      <c r="A5198" s="1">
        <v>49271</v>
      </c>
      <c r="B5198" s="1" t="s">
        <v>15630</v>
      </c>
      <c r="C5198" s="5" t="s">
        <v>0</v>
      </c>
      <c r="D5198" s="1" t="s">
        <v>15631</v>
      </c>
      <c r="E5198" s="1" t="s">
        <v>15632</v>
      </c>
      <c r="F5198" s="1" t="s">
        <v>6405</v>
      </c>
      <c r="G5198" s="1" t="s">
        <v>6406</v>
      </c>
      <c r="H5198" s="1" t="s">
        <v>92</v>
      </c>
      <c r="I5198" s="1" t="s">
        <v>16</v>
      </c>
      <c r="J5198" s="1">
        <v>1</v>
      </c>
      <c r="K5198" s="1">
        <v>3</v>
      </c>
      <c r="L5198" s="1" t="s">
        <v>31</v>
      </c>
      <c r="M5198" s="1" t="s">
        <v>18</v>
      </c>
      <c r="N5198" s="1" t="s">
        <v>18</v>
      </c>
      <c r="O5198" s="1">
        <v>2</v>
      </c>
      <c r="P5198" s="1">
        <v>7</v>
      </c>
      <c r="Q5198" s="7" t="s">
        <v>17633</v>
      </c>
      <c r="R5198" s="1" t="s">
        <v>19</v>
      </c>
      <c r="S5198" s="1" t="s">
        <v>20</v>
      </c>
      <c r="T5198" s="1" t="s">
        <v>21</v>
      </c>
      <c r="U5198" s="1" t="s">
        <v>22</v>
      </c>
      <c r="V5198" s="1" t="s">
        <v>24</v>
      </c>
      <c r="W5198" s="1" t="s">
        <v>24</v>
      </c>
      <c r="X5198" s="1">
        <v>2806</v>
      </c>
      <c r="Y5198" s="1">
        <v>1307</v>
      </c>
      <c r="Z5198" s="1">
        <v>1309</v>
      </c>
      <c r="AA5198" s="1" t="s">
        <v>24</v>
      </c>
      <c r="AB5198" s="1" t="s">
        <v>24</v>
      </c>
      <c r="AC5198" s="1" t="s">
        <v>24</v>
      </c>
      <c r="AD5198" s="1" t="s">
        <v>24</v>
      </c>
      <c r="AE5198" s="1" t="s">
        <v>24</v>
      </c>
      <c r="AF5198" s="22"/>
    </row>
    <row r="5199" spans="1:32" x14ac:dyDescent="0.2">
      <c r="A5199" s="1">
        <v>49272</v>
      </c>
      <c r="B5199" s="1" t="s">
        <v>15633</v>
      </c>
      <c r="C5199" s="5" t="s">
        <v>0</v>
      </c>
      <c r="D5199" s="1" t="s">
        <v>15634</v>
      </c>
      <c r="F5199" s="1" t="s">
        <v>6405</v>
      </c>
      <c r="G5199" s="1" t="s">
        <v>6406</v>
      </c>
      <c r="H5199" s="1" t="s">
        <v>92</v>
      </c>
      <c r="I5199" s="1" t="s">
        <v>112</v>
      </c>
      <c r="J5199" s="1">
        <v>0</v>
      </c>
      <c r="K5199" s="1">
        <v>0</v>
      </c>
      <c r="L5199" s="1" t="s">
        <v>31</v>
      </c>
      <c r="M5199" s="1" t="s">
        <v>18</v>
      </c>
      <c r="N5199" s="1" t="s">
        <v>18</v>
      </c>
      <c r="O5199" s="1">
        <v>2</v>
      </c>
      <c r="P5199" s="1">
        <v>7</v>
      </c>
      <c r="Q5199" s="7" t="s">
        <v>17633</v>
      </c>
      <c r="R5199" s="1" t="s">
        <v>19</v>
      </c>
      <c r="S5199" s="1" t="s">
        <v>20</v>
      </c>
      <c r="T5199" s="1" t="s">
        <v>21</v>
      </c>
      <c r="V5199" s="1" t="s">
        <v>24</v>
      </c>
      <c r="W5199" s="1" t="s">
        <v>24</v>
      </c>
      <c r="X5199" s="1">
        <v>1313</v>
      </c>
      <c r="Y5199" s="1">
        <v>3002</v>
      </c>
      <c r="Z5199" s="1">
        <v>2730</v>
      </c>
      <c r="AA5199" s="1" t="s">
        <v>24</v>
      </c>
      <c r="AB5199" s="1" t="s">
        <v>24</v>
      </c>
      <c r="AC5199" s="1" t="s">
        <v>24</v>
      </c>
      <c r="AD5199" s="1" t="s">
        <v>24</v>
      </c>
      <c r="AE5199" s="1" t="s">
        <v>24</v>
      </c>
      <c r="AF5199" s="22"/>
    </row>
    <row r="5200" spans="1:32" x14ac:dyDescent="0.2">
      <c r="A5200" s="1">
        <v>49273</v>
      </c>
      <c r="B5200" s="1" t="s">
        <v>15635</v>
      </c>
      <c r="C5200" s="5" t="s">
        <v>0</v>
      </c>
      <c r="D5200" s="1" t="s">
        <v>15636</v>
      </c>
      <c r="F5200" s="1" t="s">
        <v>6405</v>
      </c>
      <c r="G5200" s="1" t="s">
        <v>6406</v>
      </c>
      <c r="H5200" s="1" t="s">
        <v>92</v>
      </c>
      <c r="I5200" s="1" t="s">
        <v>112</v>
      </c>
      <c r="J5200" s="1">
        <v>0</v>
      </c>
      <c r="K5200" s="1">
        <v>0</v>
      </c>
      <c r="L5200" s="1" t="s">
        <v>31</v>
      </c>
      <c r="M5200" s="1" t="s">
        <v>18</v>
      </c>
      <c r="N5200" s="1" t="s">
        <v>18</v>
      </c>
      <c r="O5200" s="1">
        <v>2</v>
      </c>
      <c r="P5200" s="1">
        <v>7</v>
      </c>
      <c r="Q5200" s="7" t="s">
        <v>17633</v>
      </c>
      <c r="R5200" s="1" t="s">
        <v>19</v>
      </c>
      <c r="S5200" s="1" t="s">
        <v>20</v>
      </c>
      <c r="T5200" s="1" t="s">
        <v>21</v>
      </c>
      <c r="V5200" s="1" t="s">
        <v>24</v>
      </c>
      <c r="W5200" s="1" t="s">
        <v>24</v>
      </c>
      <c r="X5200" s="1">
        <v>1313</v>
      </c>
      <c r="Y5200" s="1">
        <v>3002</v>
      </c>
      <c r="Z5200" s="1">
        <v>2725</v>
      </c>
      <c r="AA5200" s="1" t="s">
        <v>24</v>
      </c>
      <c r="AB5200" s="1" t="s">
        <v>24</v>
      </c>
      <c r="AC5200" s="1" t="s">
        <v>24</v>
      </c>
      <c r="AD5200" s="1" t="s">
        <v>24</v>
      </c>
      <c r="AE5200" s="1" t="s">
        <v>24</v>
      </c>
      <c r="AF5200" s="22"/>
    </row>
    <row r="5201" spans="1:32" x14ac:dyDescent="0.2">
      <c r="A5201" s="1">
        <v>49274</v>
      </c>
      <c r="B5201" s="1" t="s">
        <v>15637</v>
      </c>
      <c r="C5201" s="5" t="s">
        <v>0</v>
      </c>
      <c r="D5201" s="1" t="s">
        <v>15638</v>
      </c>
      <c r="F5201" s="1" t="s">
        <v>6405</v>
      </c>
      <c r="G5201" s="1" t="s">
        <v>6406</v>
      </c>
      <c r="H5201" s="1" t="s">
        <v>92</v>
      </c>
      <c r="I5201" s="1" t="s">
        <v>112</v>
      </c>
      <c r="J5201" s="1">
        <v>0</v>
      </c>
      <c r="K5201" s="1">
        <v>0</v>
      </c>
      <c r="L5201" s="1" t="s">
        <v>31</v>
      </c>
      <c r="M5201" s="1" t="s">
        <v>18</v>
      </c>
      <c r="N5201" s="1" t="s">
        <v>18</v>
      </c>
      <c r="O5201" s="1">
        <v>2</v>
      </c>
      <c r="P5201" s="1">
        <v>7</v>
      </c>
      <c r="Q5201" s="7" t="s">
        <v>17633</v>
      </c>
      <c r="R5201" s="1" t="s">
        <v>19</v>
      </c>
      <c r="S5201" s="1" t="s">
        <v>20</v>
      </c>
      <c r="T5201" s="1" t="s">
        <v>21</v>
      </c>
      <c r="V5201" s="1" t="s">
        <v>24</v>
      </c>
      <c r="W5201" s="1" t="s">
        <v>24</v>
      </c>
      <c r="X5201" s="1">
        <v>1313</v>
      </c>
      <c r="Y5201" s="1">
        <v>3002</v>
      </c>
      <c r="Z5201" s="1">
        <v>2705</v>
      </c>
      <c r="AA5201" s="1" t="s">
        <v>24</v>
      </c>
      <c r="AB5201" s="1" t="s">
        <v>24</v>
      </c>
      <c r="AC5201" s="1" t="s">
        <v>24</v>
      </c>
      <c r="AD5201" s="1" t="s">
        <v>24</v>
      </c>
      <c r="AE5201" s="1" t="s">
        <v>24</v>
      </c>
      <c r="AF5201" s="22"/>
    </row>
    <row r="5202" spans="1:32" x14ac:dyDescent="0.2">
      <c r="A5202" s="1">
        <v>49275</v>
      </c>
      <c r="B5202" s="1" t="s">
        <v>15639</v>
      </c>
      <c r="C5202" s="5" t="s">
        <v>0</v>
      </c>
      <c r="D5202" s="1" t="s">
        <v>15640</v>
      </c>
      <c r="F5202" s="1" t="s">
        <v>6405</v>
      </c>
      <c r="G5202" s="1" t="s">
        <v>6406</v>
      </c>
      <c r="H5202" s="1" t="s">
        <v>92</v>
      </c>
      <c r="I5202" s="1" t="s">
        <v>112</v>
      </c>
      <c r="J5202" s="1">
        <v>0</v>
      </c>
      <c r="K5202" s="1">
        <v>0</v>
      </c>
      <c r="L5202" s="1" t="s">
        <v>31</v>
      </c>
      <c r="M5202" s="1" t="s">
        <v>18</v>
      </c>
      <c r="N5202" s="1" t="s">
        <v>18</v>
      </c>
      <c r="O5202" s="1">
        <v>2</v>
      </c>
      <c r="P5202" s="1">
        <v>7</v>
      </c>
      <c r="Q5202" s="7" t="s">
        <v>17633</v>
      </c>
      <c r="R5202" s="1" t="s">
        <v>19</v>
      </c>
      <c r="S5202" s="1" t="s">
        <v>20</v>
      </c>
      <c r="T5202" s="1" t="s">
        <v>21</v>
      </c>
      <c r="V5202" s="1" t="s">
        <v>24</v>
      </c>
      <c r="W5202" s="1" t="s">
        <v>24</v>
      </c>
      <c r="X5202" s="1">
        <v>1313</v>
      </c>
      <c r="Y5202" s="1">
        <v>3002</v>
      </c>
      <c r="Z5202" s="1">
        <v>2728</v>
      </c>
      <c r="AA5202" s="1" t="s">
        <v>24</v>
      </c>
      <c r="AB5202" s="1" t="s">
        <v>24</v>
      </c>
      <c r="AC5202" s="1" t="s">
        <v>24</v>
      </c>
      <c r="AD5202" s="1" t="s">
        <v>24</v>
      </c>
      <c r="AE5202" s="1" t="s">
        <v>24</v>
      </c>
      <c r="AF5202" s="22"/>
    </row>
    <row r="5203" spans="1:32" x14ac:dyDescent="0.2">
      <c r="A5203" s="1">
        <v>49276</v>
      </c>
      <c r="B5203" s="1" t="s">
        <v>15641</v>
      </c>
      <c r="C5203" s="5" t="s">
        <v>0</v>
      </c>
      <c r="D5203" s="1" t="s">
        <v>15642</v>
      </c>
      <c r="F5203" s="1" t="s">
        <v>6405</v>
      </c>
      <c r="G5203" s="1" t="s">
        <v>6406</v>
      </c>
      <c r="H5203" s="1" t="s">
        <v>92</v>
      </c>
      <c r="I5203" s="1" t="s">
        <v>112</v>
      </c>
      <c r="J5203" s="1">
        <v>0</v>
      </c>
      <c r="K5203" s="1">
        <v>0</v>
      </c>
      <c r="L5203" s="1" t="s">
        <v>31</v>
      </c>
      <c r="M5203" s="1" t="s">
        <v>18</v>
      </c>
      <c r="N5203" s="1" t="s">
        <v>18</v>
      </c>
      <c r="O5203" s="1">
        <v>2</v>
      </c>
      <c r="P5203" s="1">
        <v>7</v>
      </c>
      <c r="Q5203" s="7" t="s">
        <v>17633</v>
      </c>
      <c r="R5203" s="1" t="s">
        <v>19</v>
      </c>
      <c r="S5203" s="1" t="s">
        <v>20</v>
      </c>
      <c r="T5203" s="1" t="s">
        <v>21</v>
      </c>
      <c r="V5203" s="1" t="s">
        <v>24</v>
      </c>
      <c r="W5203" s="1" t="s">
        <v>24</v>
      </c>
      <c r="X5203" s="1">
        <v>1313</v>
      </c>
      <c r="Y5203" s="1">
        <v>1605</v>
      </c>
      <c r="Z5203" s="1">
        <v>3002</v>
      </c>
      <c r="AA5203" s="1" t="s">
        <v>24</v>
      </c>
      <c r="AB5203" s="1" t="s">
        <v>24</v>
      </c>
      <c r="AC5203" s="1" t="s">
        <v>24</v>
      </c>
      <c r="AD5203" s="1" t="s">
        <v>24</v>
      </c>
      <c r="AE5203" s="1" t="s">
        <v>24</v>
      </c>
      <c r="AF5203" s="22"/>
    </row>
    <row r="5204" spans="1:32" x14ac:dyDescent="0.2">
      <c r="A5204" s="1">
        <v>49277</v>
      </c>
      <c r="B5204" s="1" t="s">
        <v>15643</v>
      </c>
      <c r="C5204" s="5" t="s">
        <v>0</v>
      </c>
      <c r="E5204" s="1" t="s">
        <v>15644</v>
      </c>
      <c r="F5204" s="1" t="s">
        <v>6405</v>
      </c>
      <c r="G5204" s="1" t="s">
        <v>6406</v>
      </c>
      <c r="H5204" s="1" t="s">
        <v>92</v>
      </c>
      <c r="I5204" s="1" t="s">
        <v>16</v>
      </c>
      <c r="J5204" s="1">
        <v>1</v>
      </c>
      <c r="K5204" s="1">
        <v>1</v>
      </c>
      <c r="L5204" s="1" t="s">
        <v>31</v>
      </c>
      <c r="M5204" s="1" t="s">
        <v>18</v>
      </c>
      <c r="N5204" s="1" t="s">
        <v>18</v>
      </c>
      <c r="O5204" s="1">
        <v>2</v>
      </c>
      <c r="P5204" s="1">
        <v>7</v>
      </c>
      <c r="Q5204" s="7" t="s">
        <v>17633</v>
      </c>
      <c r="R5204" s="1" t="s">
        <v>19</v>
      </c>
      <c r="S5204" s="1" t="s">
        <v>63</v>
      </c>
      <c r="T5204" s="1" t="s">
        <v>21</v>
      </c>
      <c r="V5204" s="1" t="s">
        <v>23</v>
      </c>
      <c r="W5204" s="1" t="s">
        <v>24</v>
      </c>
      <c r="X5204" s="1">
        <v>2725</v>
      </c>
      <c r="Y5204" s="1">
        <v>2726</v>
      </c>
      <c r="Z5204" s="1">
        <v>2736</v>
      </c>
      <c r="AA5204" s="1">
        <v>3004</v>
      </c>
      <c r="AB5204" s="1" t="s">
        <v>24</v>
      </c>
      <c r="AC5204" s="1" t="s">
        <v>24</v>
      </c>
      <c r="AD5204" s="1" t="s">
        <v>24</v>
      </c>
      <c r="AE5204" s="1" t="s">
        <v>24</v>
      </c>
      <c r="AF5204" s="22"/>
    </row>
    <row r="5205" spans="1:32" x14ac:dyDescent="0.2">
      <c r="A5205" s="1">
        <v>49278</v>
      </c>
      <c r="B5205" s="1" t="s">
        <v>15645</v>
      </c>
      <c r="C5205" s="5" t="s">
        <v>0</v>
      </c>
      <c r="E5205" s="1" t="s">
        <v>15646</v>
      </c>
      <c r="F5205" s="1" t="s">
        <v>6405</v>
      </c>
      <c r="G5205" s="1" t="s">
        <v>6406</v>
      </c>
      <c r="H5205" s="1" t="s">
        <v>92</v>
      </c>
      <c r="I5205" s="1" t="s">
        <v>16</v>
      </c>
      <c r="J5205" s="1">
        <v>1</v>
      </c>
      <c r="K5205" s="1">
        <v>1</v>
      </c>
      <c r="L5205" s="1" t="s">
        <v>31</v>
      </c>
      <c r="M5205" s="1" t="s">
        <v>18</v>
      </c>
      <c r="N5205" s="1" t="s">
        <v>18</v>
      </c>
      <c r="O5205" s="1">
        <v>3</v>
      </c>
      <c r="P5205" s="1">
        <v>7</v>
      </c>
      <c r="Q5205" s="7" t="s">
        <v>17633</v>
      </c>
      <c r="R5205" s="1" t="s">
        <v>19</v>
      </c>
      <c r="S5205" s="1" t="s">
        <v>63</v>
      </c>
      <c r="T5205" s="1" t="s">
        <v>21</v>
      </c>
      <c r="U5205" s="1" t="s">
        <v>22</v>
      </c>
      <c r="V5205" s="1" t="s">
        <v>23</v>
      </c>
      <c r="W5205" s="1" t="s">
        <v>24</v>
      </c>
      <c r="X5205" s="1">
        <v>2728</v>
      </c>
      <c r="Y5205" s="1">
        <v>2732</v>
      </c>
      <c r="Z5205" s="1" t="s">
        <v>24</v>
      </c>
      <c r="AA5205" s="1" t="s">
        <v>24</v>
      </c>
      <c r="AB5205" s="1" t="s">
        <v>24</v>
      </c>
      <c r="AC5205" s="1" t="s">
        <v>24</v>
      </c>
      <c r="AD5205" s="1" t="s">
        <v>24</v>
      </c>
      <c r="AE5205" s="1" t="s">
        <v>24</v>
      </c>
      <c r="AF5205" s="22"/>
    </row>
    <row r="5206" spans="1:32" x14ac:dyDescent="0.2">
      <c r="A5206" s="1">
        <v>49279</v>
      </c>
      <c r="B5206" s="1" t="s">
        <v>15647</v>
      </c>
      <c r="C5206" s="5" t="s">
        <v>0</v>
      </c>
      <c r="E5206" s="1" t="s">
        <v>15648</v>
      </c>
      <c r="F5206" s="1" t="s">
        <v>6405</v>
      </c>
      <c r="G5206" s="1" t="s">
        <v>6406</v>
      </c>
      <c r="H5206" s="1" t="s">
        <v>92</v>
      </c>
      <c r="I5206" s="1" t="s">
        <v>16</v>
      </c>
      <c r="J5206" s="1">
        <v>1</v>
      </c>
      <c r="K5206" s="1">
        <v>1</v>
      </c>
      <c r="L5206" s="1" t="s">
        <v>31</v>
      </c>
      <c r="M5206" s="1" t="s">
        <v>18</v>
      </c>
      <c r="N5206" s="1" t="s">
        <v>18</v>
      </c>
      <c r="O5206" s="1">
        <v>2</v>
      </c>
      <c r="P5206" s="1">
        <v>7</v>
      </c>
      <c r="Q5206" s="7" t="s">
        <v>17633</v>
      </c>
      <c r="R5206" s="1" t="s">
        <v>19</v>
      </c>
      <c r="S5206" s="1" t="s">
        <v>63</v>
      </c>
      <c r="T5206" s="1" t="s">
        <v>21</v>
      </c>
      <c r="U5206" s="1" t="s">
        <v>22</v>
      </c>
      <c r="V5206" s="1" t="s">
        <v>23</v>
      </c>
      <c r="W5206" s="1" t="s">
        <v>24</v>
      </c>
      <c r="X5206" s="1">
        <v>2729</v>
      </c>
      <c r="Y5206" s="1" t="s">
        <v>24</v>
      </c>
      <c r="Z5206" s="1" t="s">
        <v>24</v>
      </c>
      <c r="AA5206" s="1" t="s">
        <v>24</v>
      </c>
      <c r="AB5206" s="1" t="s">
        <v>24</v>
      </c>
      <c r="AC5206" s="1" t="s">
        <v>24</v>
      </c>
      <c r="AD5206" s="1" t="s">
        <v>24</v>
      </c>
      <c r="AE5206" s="1" t="s">
        <v>24</v>
      </c>
      <c r="AF5206" s="22"/>
    </row>
    <row r="5207" spans="1:32" x14ac:dyDescent="0.2">
      <c r="A5207" s="1">
        <v>49280</v>
      </c>
      <c r="B5207" s="1" t="s">
        <v>15649</v>
      </c>
      <c r="C5207" s="5" t="s">
        <v>0</v>
      </c>
      <c r="E5207" s="1" t="s">
        <v>15650</v>
      </c>
      <c r="F5207" s="1" t="s">
        <v>6405</v>
      </c>
      <c r="G5207" s="1" t="s">
        <v>6406</v>
      </c>
      <c r="H5207" s="1" t="s">
        <v>92</v>
      </c>
      <c r="I5207" s="1" t="s">
        <v>16</v>
      </c>
      <c r="J5207" s="1">
        <v>1</v>
      </c>
      <c r="K5207" s="1">
        <v>1</v>
      </c>
      <c r="L5207" s="1" t="s">
        <v>31</v>
      </c>
      <c r="M5207" s="1" t="s">
        <v>18</v>
      </c>
      <c r="N5207" s="1" t="s">
        <v>18</v>
      </c>
      <c r="O5207" s="1">
        <v>2</v>
      </c>
      <c r="P5207" s="1">
        <v>7</v>
      </c>
      <c r="Q5207" s="7" t="s">
        <v>17633</v>
      </c>
      <c r="R5207" s="1" t="s">
        <v>19</v>
      </c>
      <c r="S5207" s="1" t="s">
        <v>63</v>
      </c>
      <c r="T5207" s="1" t="s">
        <v>21</v>
      </c>
      <c r="V5207" s="1" t="s">
        <v>24</v>
      </c>
      <c r="W5207" s="1" t="s">
        <v>24</v>
      </c>
      <c r="X5207" s="1">
        <v>1110</v>
      </c>
      <c r="Y5207" s="1">
        <v>3003</v>
      </c>
      <c r="Z5207" s="1" t="s">
        <v>24</v>
      </c>
      <c r="AA5207" s="1" t="s">
        <v>24</v>
      </c>
      <c r="AB5207" s="1" t="s">
        <v>24</v>
      </c>
      <c r="AC5207" s="1" t="s">
        <v>24</v>
      </c>
      <c r="AD5207" s="1" t="s">
        <v>24</v>
      </c>
      <c r="AE5207" s="1" t="s">
        <v>24</v>
      </c>
      <c r="AF5207" s="22"/>
    </row>
    <row r="5208" spans="1:32" x14ac:dyDescent="0.2">
      <c r="A5208" s="1">
        <v>49281</v>
      </c>
      <c r="B5208" s="1" t="s">
        <v>15651</v>
      </c>
      <c r="C5208" s="5" t="s">
        <v>0</v>
      </c>
      <c r="D5208" s="1" t="s">
        <v>15652</v>
      </c>
      <c r="E5208" s="1" t="s">
        <v>15653</v>
      </c>
      <c r="F5208" s="1" t="s">
        <v>159</v>
      </c>
      <c r="G5208" s="1" t="s">
        <v>160</v>
      </c>
      <c r="H5208" s="1" t="s">
        <v>37</v>
      </c>
      <c r="I5208" s="1" t="s">
        <v>16</v>
      </c>
      <c r="J5208" s="1">
        <v>1</v>
      </c>
      <c r="K5208" s="1">
        <v>3</v>
      </c>
      <c r="L5208" s="1" t="s">
        <v>42</v>
      </c>
      <c r="M5208" s="1" t="s">
        <v>18</v>
      </c>
      <c r="N5208" s="1" t="s">
        <v>18</v>
      </c>
      <c r="O5208" s="1">
        <v>3</v>
      </c>
      <c r="P5208" s="1">
        <v>7</v>
      </c>
      <c r="Q5208" s="7" t="s">
        <v>17633</v>
      </c>
      <c r="R5208" s="1" t="s">
        <v>19</v>
      </c>
      <c r="S5208" s="1" t="s">
        <v>20</v>
      </c>
      <c r="T5208" s="1" t="s">
        <v>21</v>
      </c>
      <c r="V5208" s="1" t="s">
        <v>23</v>
      </c>
      <c r="W5208" s="1" t="s">
        <v>24</v>
      </c>
      <c r="X5208" s="1">
        <v>2715</v>
      </c>
      <c r="Y5208" s="1">
        <v>2721</v>
      </c>
      <c r="Z5208" s="1" t="s">
        <v>24</v>
      </c>
      <c r="AA5208" s="1" t="s">
        <v>24</v>
      </c>
      <c r="AB5208" s="1" t="s">
        <v>24</v>
      </c>
      <c r="AC5208" s="1" t="s">
        <v>24</v>
      </c>
      <c r="AD5208" s="1" t="s">
        <v>24</v>
      </c>
      <c r="AE5208" s="1" t="s">
        <v>24</v>
      </c>
      <c r="AF5208" s="22"/>
    </row>
    <row r="5209" spans="1:32" x14ac:dyDescent="0.2">
      <c r="A5209" s="1">
        <v>49282</v>
      </c>
      <c r="B5209" s="1" t="s">
        <v>15654</v>
      </c>
      <c r="C5209" s="5" t="s">
        <v>0</v>
      </c>
      <c r="D5209" s="1" t="s">
        <v>15655</v>
      </c>
      <c r="E5209" s="1" t="s">
        <v>15656</v>
      </c>
      <c r="F5209" s="1" t="s">
        <v>8442</v>
      </c>
      <c r="G5209" s="1" t="s">
        <v>8443</v>
      </c>
      <c r="H5209" s="1" t="s">
        <v>37</v>
      </c>
      <c r="I5209" s="1" t="s">
        <v>16</v>
      </c>
      <c r="J5209" s="1">
        <v>1</v>
      </c>
      <c r="K5209" s="1">
        <v>6</v>
      </c>
      <c r="L5209" s="1" t="s">
        <v>31</v>
      </c>
      <c r="M5209" s="1" t="s">
        <v>18</v>
      </c>
      <c r="N5209" s="1" t="s">
        <v>18</v>
      </c>
      <c r="O5209" s="1">
        <v>2</v>
      </c>
      <c r="P5209" s="1">
        <v>7</v>
      </c>
      <c r="Q5209" s="7" t="s">
        <v>17633</v>
      </c>
      <c r="R5209" s="1" t="s">
        <v>19</v>
      </c>
      <c r="S5209" s="1" t="s">
        <v>20</v>
      </c>
      <c r="T5209" s="1" t="s">
        <v>21</v>
      </c>
      <c r="V5209" s="1" t="s">
        <v>23</v>
      </c>
      <c r="W5209" s="1" t="s">
        <v>24</v>
      </c>
      <c r="X5209" s="1">
        <v>2712</v>
      </c>
      <c r="Y5209" s="1">
        <v>2724</v>
      </c>
      <c r="Z5209" s="1" t="s">
        <v>24</v>
      </c>
      <c r="AA5209" s="1" t="s">
        <v>24</v>
      </c>
      <c r="AB5209" s="1" t="s">
        <v>24</v>
      </c>
      <c r="AC5209" s="1" t="s">
        <v>24</v>
      </c>
      <c r="AD5209" s="1" t="s">
        <v>24</v>
      </c>
      <c r="AE5209" s="1" t="s">
        <v>24</v>
      </c>
      <c r="AF5209" s="22"/>
    </row>
    <row r="5210" spans="1:32" x14ac:dyDescent="0.2">
      <c r="A5210" s="1">
        <v>49283</v>
      </c>
      <c r="B5210" s="1" t="s">
        <v>15657</v>
      </c>
      <c r="C5210" s="5" t="s">
        <v>0</v>
      </c>
      <c r="D5210" s="1" t="s">
        <v>15658</v>
      </c>
      <c r="E5210" s="1" t="s">
        <v>15659</v>
      </c>
      <c r="F5210" s="1" t="s">
        <v>8442</v>
      </c>
      <c r="G5210" s="1" t="s">
        <v>8443</v>
      </c>
      <c r="H5210" s="1" t="s">
        <v>37</v>
      </c>
      <c r="I5210" s="1" t="s">
        <v>16</v>
      </c>
      <c r="J5210" s="1">
        <v>1</v>
      </c>
      <c r="K5210" s="1">
        <v>6</v>
      </c>
      <c r="L5210" s="1" t="s">
        <v>31</v>
      </c>
      <c r="M5210" s="1" t="s">
        <v>18</v>
      </c>
      <c r="N5210" s="1" t="s">
        <v>18</v>
      </c>
      <c r="O5210" s="1">
        <v>2</v>
      </c>
      <c r="P5210" s="1">
        <v>7</v>
      </c>
      <c r="Q5210" s="7" t="s">
        <v>17633</v>
      </c>
      <c r="R5210" s="1" t="s">
        <v>19</v>
      </c>
      <c r="S5210" s="1" t="s">
        <v>20</v>
      </c>
      <c r="T5210" s="1" t="s">
        <v>21</v>
      </c>
      <c r="V5210" s="1" t="s">
        <v>23</v>
      </c>
      <c r="W5210" s="1" t="s">
        <v>24</v>
      </c>
      <c r="X5210" s="1">
        <v>2728</v>
      </c>
      <c r="Y5210" s="1" t="s">
        <v>24</v>
      </c>
      <c r="Z5210" s="1" t="s">
        <v>24</v>
      </c>
      <c r="AA5210" s="1" t="s">
        <v>24</v>
      </c>
      <c r="AB5210" s="1" t="s">
        <v>24</v>
      </c>
      <c r="AC5210" s="1" t="s">
        <v>24</v>
      </c>
      <c r="AD5210" s="1" t="s">
        <v>24</v>
      </c>
      <c r="AE5210" s="1" t="s">
        <v>24</v>
      </c>
      <c r="AF5210" s="22"/>
    </row>
    <row r="5211" spans="1:32" x14ac:dyDescent="0.2">
      <c r="A5211" s="1">
        <v>49284</v>
      </c>
      <c r="B5211" s="1" t="s">
        <v>15660</v>
      </c>
      <c r="C5211" s="5" t="s">
        <v>0</v>
      </c>
      <c r="D5211" s="1" t="s">
        <v>15661</v>
      </c>
      <c r="E5211" s="1" t="s">
        <v>15662</v>
      </c>
      <c r="F5211" s="1" t="s">
        <v>8442</v>
      </c>
      <c r="G5211" s="1" t="s">
        <v>8443</v>
      </c>
      <c r="H5211" s="1" t="s">
        <v>37</v>
      </c>
      <c r="I5211" s="1" t="s">
        <v>16</v>
      </c>
      <c r="J5211" s="1">
        <v>1</v>
      </c>
      <c r="K5211" s="1">
        <v>6</v>
      </c>
      <c r="L5211" s="1" t="s">
        <v>31</v>
      </c>
      <c r="M5211" s="1" t="s">
        <v>18</v>
      </c>
      <c r="N5211" s="1" t="s">
        <v>18</v>
      </c>
      <c r="O5211" s="1">
        <v>2</v>
      </c>
      <c r="P5211" s="1">
        <v>7</v>
      </c>
      <c r="Q5211" s="7" t="s">
        <v>17633</v>
      </c>
      <c r="R5211" s="1" t="s">
        <v>19</v>
      </c>
      <c r="S5211" s="1" t="s">
        <v>20</v>
      </c>
      <c r="T5211" s="1" t="s">
        <v>21</v>
      </c>
      <c r="V5211" s="1" t="s">
        <v>23</v>
      </c>
      <c r="W5211" s="1" t="s">
        <v>24</v>
      </c>
      <c r="X5211" s="1">
        <v>2703</v>
      </c>
      <c r="Y5211" s="1" t="s">
        <v>24</v>
      </c>
      <c r="Z5211" s="1" t="s">
        <v>24</v>
      </c>
      <c r="AA5211" s="1" t="s">
        <v>24</v>
      </c>
      <c r="AB5211" s="1" t="s">
        <v>24</v>
      </c>
      <c r="AC5211" s="1" t="s">
        <v>24</v>
      </c>
      <c r="AD5211" s="1" t="s">
        <v>24</v>
      </c>
      <c r="AE5211" s="1" t="s">
        <v>24</v>
      </c>
      <c r="AF5211" s="22"/>
    </row>
    <row r="5212" spans="1:32" x14ac:dyDescent="0.2">
      <c r="A5212" s="1">
        <v>49285</v>
      </c>
      <c r="B5212" s="1" t="s">
        <v>15663</v>
      </c>
      <c r="C5212" s="5" t="s">
        <v>0</v>
      </c>
      <c r="D5212" s="1" t="s">
        <v>15664</v>
      </c>
      <c r="E5212" s="1" t="s">
        <v>15665</v>
      </c>
      <c r="F5212" s="1" t="s">
        <v>8442</v>
      </c>
      <c r="G5212" s="1" t="s">
        <v>8443</v>
      </c>
      <c r="H5212" s="1" t="s">
        <v>37</v>
      </c>
      <c r="I5212" s="1" t="s">
        <v>16</v>
      </c>
      <c r="J5212" s="1">
        <v>1</v>
      </c>
      <c r="K5212" s="1">
        <v>6</v>
      </c>
      <c r="L5212" s="1" t="s">
        <v>31</v>
      </c>
      <c r="M5212" s="1" t="s">
        <v>18</v>
      </c>
      <c r="N5212" s="1" t="s">
        <v>18</v>
      </c>
      <c r="O5212" s="1">
        <v>2</v>
      </c>
      <c r="P5212" s="1">
        <v>7</v>
      </c>
      <c r="Q5212" s="7" t="s">
        <v>17633</v>
      </c>
      <c r="R5212" s="1" t="s">
        <v>19</v>
      </c>
      <c r="S5212" s="1" t="s">
        <v>20</v>
      </c>
      <c r="T5212" s="1" t="s">
        <v>21</v>
      </c>
      <c r="U5212" s="1" t="s">
        <v>22</v>
      </c>
      <c r="V5212" s="1" t="s">
        <v>23</v>
      </c>
      <c r="W5212" s="1" t="s">
        <v>24</v>
      </c>
      <c r="X5212" s="1">
        <v>2728</v>
      </c>
      <c r="Y5212" s="1">
        <v>2738</v>
      </c>
      <c r="Z5212" s="1" t="s">
        <v>24</v>
      </c>
      <c r="AA5212" s="1" t="s">
        <v>24</v>
      </c>
      <c r="AB5212" s="1" t="s">
        <v>24</v>
      </c>
      <c r="AC5212" s="1" t="s">
        <v>24</v>
      </c>
      <c r="AD5212" s="1" t="s">
        <v>24</v>
      </c>
      <c r="AE5212" s="1" t="s">
        <v>24</v>
      </c>
      <c r="AF5212" s="22"/>
    </row>
    <row r="5213" spans="1:32" x14ac:dyDescent="0.2">
      <c r="A5213" s="1">
        <v>49286</v>
      </c>
      <c r="B5213" s="1" t="s">
        <v>15666</v>
      </c>
      <c r="C5213" s="5" t="s">
        <v>0</v>
      </c>
      <c r="D5213" s="1" t="s">
        <v>15667</v>
      </c>
      <c r="E5213" s="1" t="s">
        <v>15668</v>
      </c>
      <c r="F5213" s="1" t="s">
        <v>14762</v>
      </c>
      <c r="G5213" s="1" t="s">
        <v>8443</v>
      </c>
      <c r="H5213" s="1" t="s">
        <v>37</v>
      </c>
      <c r="I5213" s="1" t="s">
        <v>16</v>
      </c>
      <c r="J5213" s="1">
        <v>1</v>
      </c>
      <c r="K5213" s="1">
        <v>12</v>
      </c>
      <c r="L5213" s="1" t="s">
        <v>31</v>
      </c>
      <c r="M5213" s="1" t="s">
        <v>18</v>
      </c>
      <c r="N5213" s="1" t="s">
        <v>18</v>
      </c>
      <c r="O5213" s="1">
        <v>2</v>
      </c>
      <c r="P5213" s="1">
        <v>7</v>
      </c>
      <c r="Q5213" s="7" t="s">
        <v>17633</v>
      </c>
      <c r="R5213" s="1" t="s">
        <v>19</v>
      </c>
      <c r="S5213" s="1" t="s">
        <v>20</v>
      </c>
      <c r="T5213" s="1" t="s">
        <v>21</v>
      </c>
      <c r="V5213" s="1" t="s">
        <v>23</v>
      </c>
      <c r="W5213" s="1" t="s">
        <v>24</v>
      </c>
      <c r="X5213" s="1">
        <v>2700</v>
      </c>
      <c r="Y5213" s="1">
        <v>3000</v>
      </c>
      <c r="Z5213" s="1" t="s">
        <v>24</v>
      </c>
      <c r="AA5213" s="1" t="s">
        <v>24</v>
      </c>
      <c r="AB5213" s="1" t="s">
        <v>24</v>
      </c>
      <c r="AC5213" s="1" t="s">
        <v>24</v>
      </c>
      <c r="AD5213" s="1" t="s">
        <v>24</v>
      </c>
      <c r="AE5213" s="1" t="s">
        <v>24</v>
      </c>
      <c r="AF5213" s="22"/>
    </row>
    <row r="5214" spans="1:32" x14ac:dyDescent="0.2">
      <c r="A5214" s="1">
        <v>49287</v>
      </c>
      <c r="B5214" s="1" t="s">
        <v>15669</v>
      </c>
      <c r="C5214" s="5" t="s">
        <v>0</v>
      </c>
      <c r="D5214" s="1" t="s">
        <v>15670</v>
      </c>
      <c r="E5214" s="1" t="s">
        <v>15671</v>
      </c>
      <c r="F5214" s="1" t="s">
        <v>1412</v>
      </c>
      <c r="G5214" s="1" t="s">
        <v>1413</v>
      </c>
      <c r="H5214" s="1" t="s">
        <v>30</v>
      </c>
      <c r="I5214" s="1" t="s">
        <v>16</v>
      </c>
      <c r="J5214" s="1">
        <v>1</v>
      </c>
      <c r="K5214" s="1">
        <v>1</v>
      </c>
      <c r="L5214" s="1" t="s">
        <v>31</v>
      </c>
      <c r="M5214" s="1" t="s">
        <v>18</v>
      </c>
      <c r="N5214" s="1" t="s">
        <v>18</v>
      </c>
      <c r="O5214" s="1">
        <v>2</v>
      </c>
      <c r="P5214" s="1">
        <v>7</v>
      </c>
      <c r="Q5214" s="7" t="s">
        <v>17633</v>
      </c>
      <c r="R5214" s="1" t="s">
        <v>19</v>
      </c>
      <c r="S5214" s="1" t="s">
        <v>63</v>
      </c>
      <c r="T5214" s="1" t="s">
        <v>21</v>
      </c>
      <c r="V5214" s="1" t="s">
        <v>24</v>
      </c>
      <c r="W5214" s="1" t="s">
        <v>24</v>
      </c>
      <c r="X5214" s="1">
        <v>3003</v>
      </c>
      <c r="Y5214" s="1" t="s">
        <v>24</v>
      </c>
      <c r="Z5214" s="1" t="s">
        <v>24</v>
      </c>
      <c r="AA5214" s="1" t="s">
        <v>24</v>
      </c>
      <c r="AB5214" s="1" t="s">
        <v>24</v>
      </c>
      <c r="AC5214" s="1" t="s">
        <v>24</v>
      </c>
      <c r="AD5214" s="1" t="s">
        <v>24</v>
      </c>
      <c r="AE5214" s="1" t="s">
        <v>24</v>
      </c>
      <c r="AF5214" s="22"/>
    </row>
    <row r="5215" spans="1:32" x14ac:dyDescent="0.2">
      <c r="A5215" s="1">
        <v>49288</v>
      </c>
      <c r="B5215" s="1" t="s">
        <v>15672</v>
      </c>
      <c r="C5215" s="5" t="s">
        <v>0</v>
      </c>
      <c r="E5215" s="1" t="s">
        <v>15673</v>
      </c>
      <c r="F5215" s="1" t="s">
        <v>1412</v>
      </c>
      <c r="G5215" s="1" t="s">
        <v>1413</v>
      </c>
      <c r="H5215" s="1" t="s">
        <v>30</v>
      </c>
      <c r="I5215" s="1" t="s">
        <v>16</v>
      </c>
      <c r="J5215" s="1">
        <v>1</v>
      </c>
      <c r="K5215" s="1">
        <v>1</v>
      </c>
      <c r="L5215" s="1" t="s">
        <v>31</v>
      </c>
      <c r="M5215" s="1" t="s">
        <v>18</v>
      </c>
      <c r="N5215" s="1" t="s">
        <v>18</v>
      </c>
      <c r="O5215" s="1">
        <v>2</v>
      </c>
      <c r="P5215" s="1">
        <v>7</v>
      </c>
      <c r="Q5215" s="7" t="s">
        <v>17633</v>
      </c>
      <c r="R5215" s="1" t="s">
        <v>19</v>
      </c>
      <c r="S5215" s="1" t="s">
        <v>63</v>
      </c>
      <c r="T5215" s="1" t="s">
        <v>21</v>
      </c>
      <c r="V5215" s="1" t="s">
        <v>23</v>
      </c>
      <c r="W5215" s="1" t="s">
        <v>24</v>
      </c>
      <c r="X5215" s="1">
        <v>2730</v>
      </c>
      <c r="Y5215" s="1">
        <v>2736</v>
      </c>
      <c r="Z5215" s="1">
        <v>1306</v>
      </c>
      <c r="AA5215" s="1" t="s">
        <v>24</v>
      </c>
      <c r="AB5215" s="1" t="s">
        <v>24</v>
      </c>
      <c r="AC5215" s="1" t="s">
        <v>24</v>
      </c>
      <c r="AD5215" s="1" t="s">
        <v>24</v>
      </c>
      <c r="AE5215" s="1" t="s">
        <v>24</v>
      </c>
      <c r="AF5215" s="22"/>
    </row>
    <row r="5216" spans="1:32" x14ac:dyDescent="0.2">
      <c r="A5216" s="1">
        <v>49289</v>
      </c>
      <c r="B5216" s="1" t="s">
        <v>15674</v>
      </c>
      <c r="C5216" s="5" t="s">
        <v>0</v>
      </c>
      <c r="D5216" s="1" t="s">
        <v>15675</v>
      </c>
      <c r="E5216" s="1" t="s">
        <v>15676</v>
      </c>
      <c r="F5216" s="1" t="s">
        <v>1412</v>
      </c>
      <c r="G5216" s="1" t="s">
        <v>1413</v>
      </c>
      <c r="H5216" s="1" t="s">
        <v>30</v>
      </c>
      <c r="I5216" s="1" t="s">
        <v>16</v>
      </c>
      <c r="J5216" s="1">
        <v>1</v>
      </c>
      <c r="K5216" s="1">
        <v>1</v>
      </c>
      <c r="L5216" s="1" t="s">
        <v>31</v>
      </c>
      <c r="M5216" s="1" t="s">
        <v>18</v>
      </c>
      <c r="N5216" s="1" t="s">
        <v>18</v>
      </c>
      <c r="O5216" s="1">
        <v>2</v>
      </c>
      <c r="P5216" s="1">
        <v>7</v>
      </c>
      <c r="Q5216" s="7" t="s">
        <v>17633</v>
      </c>
      <c r="R5216" s="1" t="s">
        <v>19</v>
      </c>
      <c r="S5216" s="1" t="s">
        <v>63</v>
      </c>
      <c r="T5216" s="1" t="s">
        <v>21</v>
      </c>
      <c r="V5216" s="1" t="s">
        <v>23</v>
      </c>
      <c r="W5216" s="1" t="s">
        <v>24</v>
      </c>
      <c r="X5216" s="1">
        <v>2736</v>
      </c>
      <c r="Y5216" s="1">
        <v>2730</v>
      </c>
      <c r="Z5216" s="1">
        <v>3000</v>
      </c>
      <c r="AA5216" s="1" t="s">
        <v>24</v>
      </c>
      <c r="AB5216" s="1" t="s">
        <v>24</v>
      </c>
      <c r="AC5216" s="1" t="s">
        <v>24</v>
      </c>
      <c r="AD5216" s="1" t="s">
        <v>24</v>
      </c>
      <c r="AE5216" s="1" t="s">
        <v>24</v>
      </c>
      <c r="AF5216" s="22"/>
    </row>
    <row r="5217" spans="1:32" x14ac:dyDescent="0.2">
      <c r="A5217" s="1">
        <v>49290</v>
      </c>
      <c r="B5217" s="1" t="s">
        <v>15677</v>
      </c>
      <c r="C5217" s="5" t="s">
        <v>0</v>
      </c>
      <c r="D5217" s="1" t="s">
        <v>15678</v>
      </c>
      <c r="E5217" s="1" t="s">
        <v>15679</v>
      </c>
      <c r="F5217" s="1" t="s">
        <v>1412</v>
      </c>
      <c r="G5217" s="1" t="s">
        <v>1413</v>
      </c>
      <c r="H5217" s="1" t="s">
        <v>30</v>
      </c>
      <c r="I5217" s="1" t="s">
        <v>16</v>
      </c>
      <c r="J5217" s="1">
        <v>1</v>
      </c>
      <c r="K5217" s="1">
        <v>1</v>
      </c>
      <c r="L5217" s="1" t="s">
        <v>31</v>
      </c>
      <c r="M5217" s="1" t="s">
        <v>18</v>
      </c>
      <c r="N5217" s="1" t="s">
        <v>18</v>
      </c>
      <c r="O5217" s="1">
        <v>2</v>
      </c>
      <c r="P5217" s="1">
        <v>7</v>
      </c>
      <c r="Q5217" s="7" t="s">
        <v>17633</v>
      </c>
      <c r="R5217" s="1" t="s">
        <v>19</v>
      </c>
      <c r="S5217" s="1" t="s">
        <v>63</v>
      </c>
      <c r="T5217" s="1" t="s">
        <v>21</v>
      </c>
      <c r="V5217" s="1" t="s">
        <v>23</v>
      </c>
      <c r="W5217" s="1" t="s">
        <v>24</v>
      </c>
      <c r="X5217" s="1">
        <v>2721</v>
      </c>
      <c r="Y5217" s="1" t="s">
        <v>24</v>
      </c>
      <c r="Z5217" s="1" t="s">
        <v>24</v>
      </c>
      <c r="AA5217" s="1" t="s">
        <v>24</v>
      </c>
      <c r="AB5217" s="1" t="s">
        <v>24</v>
      </c>
      <c r="AC5217" s="1" t="s">
        <v>24</v>
      </c>
      <c r="AD5217" s="1" t="s">
        <v>24</v>
      </c>
      <c r="AE5217" s="1" t="s">
        <v>24</v>
      </c>
      <c r="AF5217" s="22"/>
    </row>
    <row r="5218" spans="1:32" x14ac:dyDescent="0.2">
      <c r="A5218" s="1">
        <v>49291</v>
      </c>
      <c r="B5218" s="1" t="s">
        <v>15680</v>
      </c>
      <c r="C5218" s="5" t="s">
        <v>0</v>
      </c>
      <c r="D5218" s="1" t="s">
        <v>15681</v>
      </c>
      <c r="E5218" s="1" t="s">
        <v>15682</v>
      </c>
      <c r="F5218" s="1" t="s">
        <v>1412</v>
      </c>
      <c r="G5218" s="1" t="s">
        <v>1413</v>
      </c>
      <c r="H5218" s="1" t="s">
        <v>30</v>
      </c>
      <c r="I5218" s="1" t="s">
        <v>16</v>
      </c>
      <c r="J5218" s="1">
        <v>1</v>
      </c>
      <c r="K5218" s="1">
        <v>1</v>
      </c>
      <c r="L5218" s="1" t="s">
        <v>31</v>
      </c>
      <c r="M5218" s="1" t="s">
        <v>18</v>
      </c>
      <c r="N5218" s="1" t="s">
        <v>18</v>
      </c>
      <c r="O5218" s="1">
        <v>2</v>
      </c>
      <c r="P5218" s="1">
        <v>7</v>
      </c>
      <c r="Q5218" s="7" t="s">
        <v>17633</v>
      </c>
      <c r="R5218" s="1" t="s">
        <v>19</v>
      </c>
      <c r="S5218" s="1" t="s">
        <v>63</v>
      </c>
      <c r="T5218" s="1" t="s">
        <v>21</v>
      </c>
      <c r="V5218" s="1" t="s">
        <v>23</v>
      </c>
      <c r="W5218" s="1" t="s">
        <v>24</v>
      </c>
      <c r="X5218" s="1">
        <v>2738</v>
      </c>
      <c r="Y5218" s="1">
        <v>2728</v>
      </c>
      <c r="Z5218" s="1" t="s">
        <v>24</v>
      </c>
      <c r="AA5218" s="1" t="s">
        <v>24</v>
      </c>
      <c r="AB5218" s="1" t="s">
        <v>24</v>
      </c>
      <c r="AC5218" s="1" t="s">
        <v>24</v>
      </c>
      <c r="AD5218" s="1" t="s">
        <v>24</v>
      </c>
      <c r="AE5218" s="1" t="s">
        <v>24</v>
      </c>
      <c r="AF5218" s="22"/>
    </row>
    <row r="5219" spans="1:32" x14ac:dyDescent="0.2">
      <c r="A5219" s="1">
        <v>49292</v>
      </c>
      <c r="B5219" s="1" t="s">
        <v>15683</v>
      </c>
      <c r="C5219" s="5" t="s">
        <v>0</v>
      </c>
      <c r="D5219" s="1" t="s">
        <v>15684</v>
      </c>
      <c r="E5219" s="1" t="s">
        <v>15685</v>
      </c>
      <c r="F5219" s="1" t="s">
        <v>1412</v>
      </c>
      <c r="G5219" s="1" t="s">
        <v>1413</v>
      </c>
      <c r="H5219" s="1" t="s">
        <v>30</v>
      </c>
      <c r="I5219" s="1" t="s">
        <v>16</v>
      </c>
      <c r="J5219" s="1">
        <v>1</v>
      </c>
      <c r="K5219" s="1">
        <v>1</v>
      </c>
      <c r="L5219" s="1" t="s">
        <v>31</v>
      </c>
      <c r="M5219" s="1" t="s">
        <v>18</v>
      </c>
      <c r="N5219" s="1" t="s">
        <v>18</v>
      </c>
      <c r="O5219" s="1">
        <v>2</v>
      </c>
      <c r="P5219" s="1">
        <v>7</v>
      </c>
      <c r="Q5219" s="7" t="s">
        <v>17633</v>
      </c>
      <c r="R5219" s="1" t="s">
        <v>19</v>
      </c>
      <c r="S5219" s="1" t="s">
        <v>63</v>
      </c>
      <c r="T5219" s="1" t="s">
        <v>21</v>
      </c>
      <c r="V5219" s="1" t="s">
        <v>23</v>
      </c>
      <c r="W5219" s="1" t="s">
        <v>24</v>
      </c>
      <c r="X5219" s="1">
        <v>2705</v>
      </c>
      <c r="Y5219" s="1">
        <v>2720</v>
      </c>
      <c r="Z5219" s="1" t="s">
        <v>24</v>
      </c>
      <c r="AA5219" s="1" t="s">
        <v>24</v>
      </c>
      <c r="AB5219" s="1" t="s">
        <v>24</v>
      </c>
      <c r="AC5219" s="1" t="s">
        <v>24</v>
      </c>
      <c r="AD5219" s="1" t="s">
        <v>24</v>
      </c>
      <c r="AE5219" s="1" t="s">
        <v>24</v>
      </c>
      <c r="AF5219" s="22"/>
    </row>
    <row r="5220" spans="1:32" x14ac:dyDescent="0.2">
      <c r="A5220" s="1">
        <v>49293</v>
      </c>
      <c r="B5220" s="1" t="s">
        <v>15686</v>
      </c>
      <c r="C5220" s="5" t="s">
        <v>0</v>
      </c>
      <c r="D5220" s="1" t="s">
        <v>15687</v>
      </c>
      <c r="E5220" s="1" t="s">
        <v>15688</v>
      </c>
      <c r="F5220" s="1" t="s">
        <v>1412</v>
      </c>
      <c r="G5220" s="1" t="s">
        <v>1413</v>
      </c>
      <c r="H5220" s="1" t="s">
        <v>30</v>
      </c>
      <c r="I5220" s="1" t="s">
        <v>16</v>
      </c>
      <c r="J5220" s="1">
        <v>1</v>
      </c>
      <c r="K5220" s="1">
        <v>1</v>
      </c>
      <c r="L5220" s="1" t="s">
        <v>31</v>
      </c>
      <c r="M5220" s="1" t="s">
        <v>18</v>
      </c>
      <c r="N5220" s="1" t="s">
        <v>18</v>
      </c>
      <c r="O5220" s="1">
        <v>2</v>
      </c>
      <c r="P5220" s="1">
        <v>7</v>
      </c>
      <c r="Q5220" s="7" t="s">
        <v>17633</v>
      </c>
      <c r="R5220" s="1" t="s">
        <v>19</v>
      </c>
      <c r="S5220" s="1" t="s">
        <v>63</v>
      </c>
      <c r="T5220" s="1" t="s">
        <v>21</v>
      </c>
      <c r="V5220" s="1" t="s">
        <v>23</v>
      </c>
      <c r="W5220" s="1" t="s">
        <v>24</v>
      </c>
      <c r="X5220" s="1">
        <v>2728</v>
      </c>
      <c r="Y5220" s="1" t="s">
        <v>24</v>
      </c>
      <c r="Z5220" s="1" t="s">
        <v>24</v>
      </c>
      <c r="AA5220" s="1" t="s">
        <v>24</v>
      </c>
      <c r="AB5220" s="1" t="s">
        <v>24</v>
      </c>
      <c r="AC5220" s="1" t="s">
        <v>24</v>
      </c>
      <c r="AD5220" s="1" t="s">
        <v>24</v>
      </c>
      <c r="AE5220" s="1" t="s">
        <v>24</v>
      </c>
      <c r="AF5220" s="22"/>
    </row>
    <row r="5221" spans="1:32" x14ac:dyDescent="0.2">
      <c r="A5221" s="1">
        <v>49294</v>
      </c>
      <c r="B5221" s="1" t="s">
        <v>15689</v>
      </c>
      <c r="C5221" s="5" t="s">
        <v>0</v>
      </c>
      <c r="D5221" s="1" t="s">
        <v>15690</v>
      </c>
      <c r="E5221" s="1" t="s">
        <v>15691</v>
      </c>
      <c r="F5221" s="1" t="s">
        <v>1412</v>
      </c>
      <c r="G5221" s="1" t="s">
        <v>1413</v>
      </c>
      <c r="H5221" s="1" t="s">
        <v>30</v>
      </c>
      <c r="I5221" s="1" t="s">
        <v>16</v>
      </c>
      <c r="J5221" s="1">
        <v>1</v>
      </c>
      <c r="K5221" s="1">
        <v>1</v>
      </c>
      <c r="L5221" s="1" t="s">
        <v>31</v>
      </c>
      <c r="M5221" s="1" t="s">
        <v>18</v>
      </c>
      <c r="N5221" s="1" t="s">
        <v>18</v>
      </c>
      <c r="O5221" s="1">
        <v>2</v>
      </c>
      <c r="P5221" s="1">
        <v>7</v>
      </c>
      <c r="Q5221" s="7" t="s">
        <v>17633</v>
      </c>
      <c r="R5221" s="1" t="s">
        <v>19</v>
      </c>
      <c r="S5221" s="1" t="s">
        <v>63</v>
      </c>
      <c r="T5221" s="1" t="s">
        <v>21</v>
      </c>
      <c r="V5221" s="1" t="s">
        <v>23</v>
      </c>
      <c r="W5221" s="1" t="s">
        <v>24</v>
      </c>
      <c r="X5221" s="1">
        <v>2725</v>
      </c>
      <c r="Y5221" s="1">
        <v>2406</v>
      </c>
      <c r="Z5221" s="1">
        <v>2713</v>
      </c>
      <c r="AA5221" s="1" t="s">
        <v>24</v>
      </c>
      <c r="AB5221" s="1" t="s">
        <v>24</v>
      </c>
      <c r="AC5221" s="1" t="s">
        <v>24</v>
      </c>
      <c r="AD5221" s="1" t="s">
        <v>24</v>
      </c>
      <c r="AE5221" s="1" t="s">
        <v>24</v>
      </c>
      <c r="AF5221" s="22"/>
    </row>
    <row r="5222" spans="1:32" x14ac:dyDescent="0.2">
      <c r="A5222" s="1">
        <v>49295</v>
      </c>
      <c r="B5222" s="1" t="s">
        <v>15692</v>
      </c>
      <c r="C5222" s="5" t="s">
        <v>0</v>
      </c>
      <c r="D5222" s="1" t="s">
        <v>15693</v>
      </c>
      <c r="E5222" s="1" t="s">
        <v>15694</v>
      </c>
      <c r="F5222" s="1" t="s">
        <v>1412</v>
      </c>
      <c r="G5222" s="1" t="s">
        <v>1413</v>
      </c>
      <c r="H5222" s="1" t="s">
        <v>30</v>
      </c>
      <c r="I5222" s="1" t="s">
        <v>16</v>
      </c>
      <c r="J5222" s="1">
        <v>1</v>
      </c>
      <c r="K5222" s="1">
        <v>1</v>
      </c>
      <c r="L5222" s="1" t="s">
        <v>31</v>
      </c>
      <c r="M5222" s="1" t="s">
        <v>18</v>
      </c>
      <c r="N5222" s="1" t="s">
        <v>18</v>
      </c>
      <c r="O5222" s="1">
        <v>2</v>
      </c>
      <c r="P5222" s="1">
        <v>7</v>
      </c>
      <c r="Q5222" s="7" t="s">
        <v>17633</v>
      </c>
      <c r="R5222" s="1" t="s">
        <v>19</v>
      </c>
      <c r="S5222" s="1" t="s">
        <v>63</v>
      </c>
      <c r="T5222" s="1" t="s">
        <v>21</v>
      </c>
      <c r="V5222" s="1" t="s">
        <v>23</v>
      </c>
      <c r="W5222" s="1" t="s">
        <v>24</v>
      </c>
      <c r="X5222" s="1">
        <v>2700</v>
      </c>
      <c r="Y5222" s="1" t="s">
        <v>24</v>
      </c>
      <c r="Z5222" s="1" t="s">
        <v>24</v>
      </c>
      <c r="AA5222" s="1" t="s">
        <v>24</v>
      </c>
      <c r="AB5222" s="1" t="s">
        <v>24</v>
      </c>
      <c r="AC5222" s="1" t="s">
        <v>24</v>
      </c>
      <c r="AD5222" s="1" t="s">
        <v>24</v>
      </c>
      <c r="AE5222" s="1" t="s">
        <v>24</v>
      </c>
      <c r="AF5222" s="22"/>
    </row>
    <row r="5223" spans="1:32" x14ac:dyDescent="0.2">
      <c r="A5223" s="1">
        <v>49296</v>
      </c>
      <c r="B5223" s="1" t="s">
        <v>15695</v>
      </c>
      <c r="C5223" s="5" t="s">
        <v>0</v>
      </c>
      <c r="D5223" s="1" t="s">
        <v>15696</v>
      </c>
      <c r="E5223" s="1" t="s">
        <v>15697</v>
      </c>
      <c r="F5223" s="1" t="s">
        <v>1412</v>
      </c>
      <c r="G5223" s="1" t="s">
        <v>1413</v>
      </c>
      <c r="H5223" s="1" t="s">
        <v>30</v>
      </c>
      <c r="I5223" s="1" t="s">
        <v>16</v>
      </c>
      <c r="J5223" s="1">
        <v>1</v>
      </c>
      <c r="K5223" s="1">
        <v>1</v>
      </c>
      <c r="L5223" s="1" t="s">
        <v>31</v>
      </c>
      <c r="M5223" s="1" t="s">
        <v>18</v>
      </c>
      <c r="N5223" s="1" t="s">
        <v>18</v>
      </c>
      <c r="O5223" s="1">
        <v>2</v>
      </c>
      <c r="P5223" s="1">
        <v>7</v>
      </c>
      <c r="Q5223" s="7" t="s">
        <v>17633</v>
      </c>
      <c r="R5223" s="1" t="s">
        <v>19</v>
      </c>
      <c r="S5223" s="1" t="s">
        <v>63</v>
      </c>
      <c r="T5223" s="1" t="s">
        <v>21</v>
      </c>
      <c r="V5223" s="1" t="s">
        <v>23</v>
      </c>
      <c r="W5223" s="1" t="s">
        <v>24</v>
      </c>
      <c r="X5223" s="1">
        <v>2708</v>
      </c>
      <c r="Y5223" s="1">
        <v>2730</v>
      </c>
      <c r="Z5223" s="1" t="s">
        <v>24</v>
      </c>
      <c r="AA5223" s="1" t="s">
        <v>24</v>
      </c>
      <c r="AB5223" s="1" t="s">
        <v>24</v>
      </c>
      <c r="AC5223" s="1" t="s">
        <v>24</v>
      </c>
      <c r="AD5223" s="1" t="s">
        <v>24</v>
      </c>
      <c r="AE5223" s="1" t="s">
        <v>24</v>
      </c>
      <c r="AF5223" s="22"/>
    </row>
    <row r="5224" spans="1:32" x14ac:dyDescent="0.2">
      <c r="A5224" s="1">
        <v>49297</v>
      </c>
      <c r="B5224" s="1" t="s">
        <v>15698</v>
      </c>
      <c r="C5224" s="5" t="s">
        <v>0</v>
      </c>
      <c r="D5224" s="1" t="s">
        <v>15699</v>
      </c>
      <c r="E5224" s="1" t="s">
        <v>15700</v>
      </c>
      <c r="F5224" s="1" t="s">
        <v>15701</v>
      </c>
      <c r="G5224" s="1" t="s">
        <v>1413</v>
      </c>
      <c r="H5224" s="1" t="s">
        <v>30</v>
      </c>
      <c r="I5224" s="1" t="s">
        <v>16</v>
      </c>
      <c r="J5224" s="1">
        <v>1</v>
      </c>
      <c r="K5224" s="1">
        <v>1</v>
      </c>
      <c r="L5224" s="1" t="s">
        <v>31</v>
      </c>
      <c r="M5224" s="1" t="s">
        <v>18</v>
      </c>
      <c r="N5224" s="1" t="s">
        <v>18</v>
      </c>
      <c r="O5224" s="1">
        <v>2</v>
      </c>
      <c r="P5224" s="1">
        <v>7</v>
      </c>
      <c r="Q5224" s="7" t="s">
        <v>17633</v>
      </c>
      <c r="R5224" s="1" t="s">
        <v>19</v>
      </c>
      <c r="S5224" s="1" t="s">
        <v>63</v>
      </c>
      <c r="T5224" s="1" t="s">
        <v>21</v>
      </c>
      <c r="V5224" s="1" t="s">
        <v>23</v>
      </c>
      <c r="W5224" s="1" t="s">
        <v>24</v>
      </c>
      <c r="X5224" s="1">
        <v>2729</v>
      </c>
      <c r="Y5224" s="1" t="s">
        <v>24</v>
      </c>
      <c r="Z5224" s="1" t="s">
        <v>24</v>
      </c>
      <c r="AA5224" s="1" t="s">
        <v>24</v>
      </c>
      <c r="AB5224" s="1" t="s">
        <v>24</v>
      </c>
      <c r="AC5224" s="1" t="s">
        <v>24</v>
      </c>
      <c r="AD5224" s="1" t="s">
        <v>24</v>
      </c>
      <c r="AE5224" s="1" t="s">
        <v>24</v>
      </c>
      <c r="AF5224" s="22"/>
    </row>
    <row r="5225" spans="1:32" x14ac:dyDescent="0.2">
      <c r="A5225" s="1">
        <v>49298</v>
      </c>
      <c r="B5225" s="1" t="s">
        <v>15702</v>
      </c>
      <c r="C5225" s="5" t="s">
        <v>0</v>
      </c>
      <c r="D5225" s="1" t="s">
        <v>15703</v>
      </c>
      <c r="E5225" s="1" t="s">
        <v>15704</v>
      </c>
      <c r="F5225" s="1" t="s">
        <v>1412</v>
      </c>
      <c r="G5225" s="1" t="s">
        <v>1413</v>
      </c>
      <c r="H5225" s="1" t="s">
        <v>30</v>
      </c>
      <c r="I5225" s="1" t="s">
        <v>16</v>
      </c>
      <c r="J5225" s="1">
        <v>1</v>
      </c>
      <c r="K5225" s="1">
        <v>1</v>
      </c>
      <c r="L5225" s="1" t="s">
        <v>31</v>
      </c>
      <c r="M5225" s="1" t="s">
        <v>18</v>
      </c>
      <c r="N5225" s="1" t="s">
        <v>18</v>
      </c>
      <c r="O5225" s="1">
        <v>2</v>
      </c>
      <c r="P5225" s="1">
        <v>7</v>
      </c>
      <c r="Q5225" s="7" t="s">
        <v>17633</v>
      </c>
      <c r="R5225" s="1" t="s">
        <v>19</v>
      </c>
      <c r="S5225" s="1" t="s">
        <v>63</v>
      </c>
      <c r="T5225" s="1" t="s">
        <v>21</v>
      </c>
      <c r="V5225" s="1" t="s">
        <v>23</v>
      </c>
      <c r="W5225" s="1" t="s">
        <v>24</v>
      </c>
      <c r="X5225" s="1">
        <v>2723</v>
      </c>
      <c r="Y5225" s="1" t="s">
        <v>24</v>
      </c>
      <c r="Z5225" s="1" t="s">
        <v>24</v>
      </c>
      <c r="AA5225" s="1" t="s">
        <v>24</v>
      </c>
      <c r="AB5225" s="1" t="s">
        <v>24</v>
      </c>
      <c r="AC5225" s="1" t="s">
        <v>24</v>
      </c>
      <c r="AD5225" s="1" t="s">
        <v>24</v>
      </c>
      <c r="AE5225" s="1" t="s">
        <v>24</v>
      </c>
      <c r="AF5225" s="22"/>
    </row>
    <row r="5226" spans="1:32" x14ac:dyDescent="0.2">
      <c r="A5226" s="1">
        <v>49299</v>
      </c>
      <c r="B5226" s="1" t="s">
        <v>15705</v>
      </c>
      <c r="C5226" s="5" t="s">
        <v>0</v>
      </c>
      <c r="E5226" s="1" t="s">
        <v>15706</v>
      </c>
      <c r="F5226" s="1" t="s">
        <v>1412</v>
      </c>
      <c r="G5226" s="1" t="s">
        <v>1413</v>
      </c>
      <c r="H5226" s="1" t="s">
        <v>30</v>
      </c>
      <c r="I5226" s="1" t="s">
        <v>16</v>
      </c>
      <c r="J5226" s="1">
        <v>1</v>
      </c>
      <c r="K5226" s="1">
        <v>1</v>
      </c>
      <c r="L5226" s="1" t="s">
        <v>31</v>
      </c>
      <c r="M5226" s="1" t="s">
        <v>18</v>
      </c>
      <c r="N5226" s="1" t="s">
        <v>18</v>
      </c>
      <c r="O5226" s="1">
        <v>2</v>
      </c>
      <c r="P5226" s="1">
        <v>7</v>
      </c>
      <c r="Q5226" s="7" t="s">
        <v>17633</v>
      </c>
      <c r="R5226" s="1" t="s">
        <v>19</v>
      </c>
      <c r="S5226" s="1" t="s">
        <v>63</v>
      </c>
      <c r="T5226" s="1" t="s">
        <v>21</v>
      </c>
      <c r="U5226" s="1" t="s">
        <v>22</v>
      </c>
      <c r="V5226" s="1" t="s">
        <v>23</v>
      </c>
      <c r="W5226" s="1" t="s">
        <v>24</v>
      </c>
      <c r="X5226" s="1">
        <v>2723</v>
      </c>
      <c r="Y5226" s="1">
        <v>2401</v>
      </c>
      <c r="Z5226" s="1">
        <v>2403</v>
      </c>
      <c r="AA5226" s="1" t="s">
        <v>24</v>
      </c>
      <c r="AB5226" s="1" t="s">
        <v>24</v>
      </c>
      <c r="AC5226" s="1" t="s">
        <v>24</v>
      </c>
      <c r="AD5226" s="1" t="s">
        <v>24</v>
      </c>
      <c r="AE5226" s="1" t="s">
        <v>24</v>
      </c>
      <c r="AF5226" s="22"/>
    </row>
    <row r="5227" spans="1:32" x14ac:dyDescent="0.2">
      <c r="A5227" s="1">
        <v>49300</v>
      </c>
      <c r="B5227" s="1" t="s">
        <v>15707</v>
      </c>
      <c r="C5227" s="5" t="s">
        <v>0</v>
      </c>
      <c r="D5227" s="1" t="s">
        <v>15708</v>
      </c>
      <c r="E5227" s="1" t="s">
        <v>15709</v>
      </c>
      <c r="F5227" s="1" t="s">
        <v>1412</v>
      </c>
      <c r="G5227" s="1" t="s">
        <v>1413</v>
      </c>
      <c r="H5227" s="1" t="s">
        <v>30</v>
      </c>
      <c r="I5227" s="1" t="s">
        <v>16</v>
      </c>
      <c r="J5227" s="1">
        <v>1</v>
      </c>
      <c r="K5227" s="1">
        <v>1</v>
      </c>
      <c r="L5227" s="1" t="s">
        <v>31</v>
      </c>
      <c r="M5227" s="1" t="s">
        <v>18</v>
      </c>
      <c r="N5227" s="1" t="s">
        <v>18</v>
      </c>
      <c r="O5227" s="1">
        <v>2</v>
      </c>
      <c r="P5227" s="1">
        <v>7</v>
      </c>
      <c r="Q5227" s="7" t="s">
        <v>17633</v>
      </c>
      <c r="R5227" s="1" t="s">
        <v>19</v>
      </c>
      <c r="S5227" s="1" t="s">
        <v>63</v>
      </c>
      <c r="T5227" s="1" t="s">
        <v>21</v>
      </c>
      <c r="V5227" s="1" t="s">
        <v>23</v>
      </c>
      <c r="W5227" s="1" t="s">
        <v>24</v>
      </c>
      <c r="X5227" s="1">
        <v>2732</v>
      </c>
      <c r="Y5227" s="1">
        <v>2745</v>
      </c>
      <c r="Z5227" s="1" t="s">
        <v>24</v>
      </c>
      <c r="AA5227" s="1" t="s">
        <v>24</v>
      </c>
      <c r="AB5227" s="1" t="s">
        <v>24</v>
      </c>
      <c r="AC5227" s="1" t="s">
        <v>24</v>
      </c>
      <c r="AD5227" s="1" t="s">
        <v>24</v>
      </c>
      <c r="AE5227" s="1" t="s">
        <v>24</v>
      </c>
      <c r="AF5227" s="22"/>
    </row>
    <row r="5228" spans="1:32" x14ac:dyDescent="0.2">
      <c r="A5228" s="1">
        <v>49301</v>
      </c>
      <c r="B5228" s="1" t="s">
        <v>15710</v>
      </c>
      <c r="C5228" s="5" t="s">
        <v>0</v>
      </c>
      <c r="D5228" s="1" t="s">
        <v>15711</v>
      </c>
      <c r="E5228" s="1" t="s">
        <v>15712</v>
      </c>
      <c r="F5228" s="1" t="s">
        <v>1412</v>
      </c>
      <c r="G5228" s="1" t="s">
        <v>1413</v>
      </c>
      <c r="H5228" s="1" t="s">
        <v>30</v>
      </c>
      <c r="I5228" s="1" t="s">
        <v>16</v>
      </c>
      <c r="J5228" s="1">
        <v>1</v>
      </c>
      <c r="K5228" s="1">
        <v>1</v>
      </c>
      <c r="L5228" s="1" t="s">
        <v>31</v>
      </c>
      <c r="M5228" s="1" t="s">
        <v>18</v>
      </c>
      <c r="N5228" s="1" t="s">
        <v>18</v>
      </c>
      <c r="O5228" s="1">
        <v>2</v>
      </c>
      <c r="P5228" s="1">
        <v>7</v>
      </c>
      <c r="Q5228" s="7" t="s">
        <v>17633</v>
      </c>
      <c r="R5228" s="1" t="s">
        <v>19</v>
      </c>
      <c r="S5228" s="1" t="s">
        <v>63</v>
      </c>
      <c r="T5228" s="1" t="s">
        <v>21</v>
      </c>
      <c r="V5228" s="1" t="s">
        <v>23</v>
      </c>
      <c r="W5228" s="1" t="s">
        <v>24</v>
      </c>
      <c r="X5228" s="1">
        <v>2720</v>
      </c>
      <c r="Y5228" s="1">
        <v>1307</v>
      </c>
      <c r="Z5228" s="1">
        <v>2403</v>
      </c>
      <c r="AA5228" s="1" t="s">
        <v>24</v>
      </c>
      <c r="AB5228" s="1" t="s">
        <v>24</v>
      </c>
      <c r="AC5228" s="1" t="s">
        <v>24</v>
      </c>
      <c r="AD5228" s="1" t="s">
        <v>24</v>
      </c>
      <c r="AE5228" s="1" t="s">
        <v>24</v>
      </c>
      <c r="AF5228" s="22"/>
    </row>
    <row r="5229" spans="1:32" x14ac:dyDescent="0.2">
      <c r="A5229" s="1">
        <v>49302</v>
      </c>
      <c r="B5229" s="1" t="s">
        <v>15713</v>
      </c>
      <c r="C5229" s="5" t="s">
        <v>0</v>
      </c>
      <c r="D5229" s="1" t="s">
        <v>15714</v>
      </c>
      <c r="E5229" s="1" t="s">
        <v>15715</v>
      </c>
      <c r="F5229" s="1" t="s">
        <v>1412</v>
      </c>
      <c r="G5229" s="1" t="s">
        <v>1413</v>
      </c>
      <c r="H5229" s="1" t="s">
        <v>30</v>
      </c>
      <c r="I5229" s="1" t="s">
        <v>16</v>
      </c>
      <c r="J5229" s="1">
        <v>1</v>
      </c>
      <c r="K5229" s="1">
        <v>1</v>
      </c>
      <c r="L5229" s="1" t="s">
        <v>31</v>
      </c>
      <c r="M5229" s="1" t="s">
        <v>18</v>
      </c>
      <c r="N5229" s="1" t="s">
        <v>18</v>
      </c>
      <c r="O5229" s="1">
        <v>2</v>
      </c>
      <c r="P5229" s="1">
        <v>7</v>
      </c>
      <c r="Q5229" s="7" t="s">
        <v>17633</v>
      </c>
      <c r="R5229" s="1" t="s">
        <v>19</v>
      </c>
      <c r="S5229" s="1" t="s">
        <v>63</v>
      </c>
      <c r="T5229" s="1" t="s">
        <v>21</v>
      </c>
      <c r="V5229" s="1" t="s">
        <v>24</v>
      </c>
      <c r="W5229" s="1" t="s">
        <v>24</v>
      </c>
      <c r="X5229" s="1">
        <v>1303</v>
      </c>
      <c r="Y5229" s="1">
        <v>1312</v>
      </c>
      <c r="Z5229" s="1" t="s">
        <v>24</v>
      </c>
      <c r="AA5229" s="1" t="s">
        <v>24</v>
      </c>
      <c r="AB5229" s="1" t="s">
        <v>24</v>
      </c>
      <c r="AC5229" s="1" t="s">
        <v>24</v>
      </c>
      <c r="AD5229" s="1" t="s">
        <v>24</v>
      </c>
      <c r="AE5229" s="1" t="s">
        <v>24</v>
      </c>
      <c r="AF5229" s="22"/>
    </row>
    <row r="5230" spans="1:32" x14ac:dyDescent="0.2">
      <c r="A5230" s="1">
        <v>49303</v>
      </c>
      <c r="B5230" s="1" t="s">
        <v>15716</v>
      </c>
      <c r="C5230" s="5" t="s">
        <v>0</v>
      </c>
      <c r="D5230" s="1" t="s">
        <v>15717</v>
      </c>
      <c r="E5230" s="1" t="s">
        <v>15718</v>
      </c>
      <c r="F5230" s="1" t="s">
        <v>15701</v>
      </c>
      <c r="G5230" s="1" t="s">
        <v>1413</v>
      </c>
      <c r="H5230" s="1" t="s">
        <v>30</v>
      </c>
      <c r="I5230" s="1" t="s">
        <v>16</v>
      </c>
      <c r="J5230" s="1">
        <v>1</v>
      </c>
      <c r="K5230" s="1">
        <v>1</v>
      </c>
      <c r="L5230" s="1" t="s">
        <v>31</v>
      </c>
      <c r="M5230" s="1" t="s">
        <v>18</v>
      </c>
      <c r="N5230" s="1" t="s">
        <v>18</v>
      </c>
      <c r="O5230" s="1">
        <v>2</v>
      </c>
      <c r="P5230" s="1">
        <v>7</v>
      </c>
      <c r="Q5230" s="7" t="s">
        <v>17633</v>
      </c>
      <c r="R5230" s="1" t="s">
        <v>19</v>
      </c>
      <c r="S5230" s="1" t="s">
        <v>63</v>
      </c>
      <c r="T5230" s="1" t="s">
        <v>21</v>
      </c>
      <c r="V5230" s="1" t="s">
        <v>23</v>
      </c>
      <c r="W5230" s="1" t="s">
        <v>24</v>
      </c>
      <c r="X5230" s="1">
        <v>2720</v>
      </c>
      <c r="Y5230" s="1" t="s">
        <v>24</v>
      </c>
      <c r="Z5230" s="1" t="s">
        <v>24</v>
      </c>
      <c r="AA5230" s="1" t="s">
        <v>24</v>
      </c>
      <c r="AB5230" s="1" t="s">
        <v>24</v>
      </c>
      <c r="AC5230" s="1" t="s">
        <v>24</v>
      </c>
      <c r="AD5230" s="1" t="s">
        <v>24</v>
      </c>
      <c r="AE5230" s="1" t="s">
        <v>24</v>
      </c>
      <c r="AF5230" s="22"/>
    </row>
    <row r="5231" spans="1:32" x14ac:dyDescent="0.2">
      <c r="A5231" s="1">
        <v>49304</v>
      </c>
      <c r="B5231" s="1" t="s">
        <v>15719</v>
      </c>
      <c r="C5231" s="5" t="s">
        <v>0</v>
      </c>
      <c r="D5231" s="1" t="s">
        <v>15720</v>
      </c>
      <c r="E5231" s="1" t="s">
        <v>15721</v>
      </c>
      <c r="F5231" s="1" t="s">
        <v>1412</v>
      </c>
      <c r="G5231" s="1" t="s">
        <v>1413</v>
      </c>
      <c r="H5231" s="1" t="s">
        <v>30</v>
      </c>
      <c r="I5231" s="1" t="s">
        <v>16</v>
      </c>
      <c r="J5231" s="1">
        <v>1</v>
      </c>
      <c r="K5231" s="1">
        <v>1</v>
      </c>
      <c r="L5231" s="1" t="s">
        <v>31</v>
      </c>
      <c r="M5231" s="1" t="s">
        <v>18</v>
      </c>
      <c r="N5231" s="1" t="s">
        <v>18</v>
      </c>
      <c r="O5231" s="1">
        <v>2</v>
      </c>
      <c r="P5231" s="1">
        <v>7</v>
      </c>
      <c r="Q5231" s="7" t="s">
        <v>17633</v>
      </c>
      <c r="R5231" s="1" t="s">
        <v>19</v>
      </c>
      <c r="S5231" s="1" t="s">
        <v>63</v>
      </c>
      <c r="T5231" s="1" t="s">
        <v>21</v>
      </c>
      <c r="V5231" s="1" t="s">
        <v>23</v>
      </c>
      <c r="W5231" s="1" t="s">
        <v>24</v>
      </c>
      <c r="X5231" s="1">
        <v>2728</v>
      </c>
      <c r="Y5231" s="1" t="s">
        <v>24</v>
      </c>
      <c r="Z5231" s="1" t="s">
        <v>24</v>
      </c>
      <c r="AA5231" s="1" t="s">
        <v>24</v>
      </c>
      <c r="AB5231" s="1" t="s">
        <v>24</v>
      </c>
      <c r="AC5231" s="1" t="s">
        <v>24</v>
      </c>
      <c r="AD5231" s="1" t="s">
        <v>24</v>
      </c>
      <c r="AE5231" s="1" t="s">
        <v>24</v>
      </c>
      <c r="AF5231" s="22"/>
    </row>
    <row r="5232" spans="1:32" x14ac:dyDescent="0.2">
      <c r="A5232" s="1">
        <v>49305</v>
      </c>
      <c r="B5232" s="1" t="s">
        <v>15722</v>
      </c>
      <c r="C5232" s="5" t="s">
        <v>0</v>
      </c>
      <c r="D5232" s="1" t="s">
        <v>15723</v>
      </c>
      <c r="E5232" s="1" t="s">
        <v>15724</v>
      </c>
      <c r="F5232" s="1" t="s">
        <v>1412</v>
      </c>
      <c r="G5232" s="1" t="s">
        <v>1413</v>
      </c>
      <c r="H5232" s="1" t="s">
        <v>30</v>
      </c>
      <c r="I5232" s="1" t="s">
        <v>16</v>
      </c>
      <c r="J5232" s="1">
        <v>1</v>
      </c>
      <c r="K5232" s="1">
        <v>1</v>
      </c>
      <c r="L5232" s="1" t="s">
        <v>31</v>
      </c>
      <c r="M5232" s="1" t="s">
        <v>18</v>
      </c>
      <c r="N5232" s="1" t="s">
        <v>18</v>
      </c>
      <c r="O5232" s="1">
        <v>2</v>
      </c>
      <c r="P5232" s="1">
        <v>7</v>
      </c>
      <c r="Q5232" s="7" t="s">
        <v>17633</v>
      </c>
      <c r="R5232" s="1" t="s">
        <v>19</v>
      </c>
      <c r="S5232" s="1" t="s">
        <v>63</v>
      </c>
      <c r="T5232" s="1" t="s">
        <v>21</v>
      </c>
      <c r="V5232" s="1" t="s">
        <v>23</v>
      </c>
      <c r="W5232" s="1" t="s">
        <v>24</v>
      </c>
      <c r="X5232" s="1">
        <v>2741</v>
      </c>
      <c r="Y5232" s="1">
        <v>3614</v>
      </c>
      <c r="Z5232" s="1" t="s">
        <v>24</v>
      </c>
      <c r="AA5232" s="1" t="s">
        <v>24</v>
      </c>
      <c r="AB5232" s="1" t="s">
        <v>24</v>
      </c>
      <c r="AC5232" s="1" t="s">
        <v>24</v>
      </c>
      <c r="AD5232" s="1" t="s">
        <v>24</v>
      </c>
      <c r="AE5232" s="1" t="s">
        <v>24</v>
      </c>
      <c r="AF5232" s="22"/>
    </row>
    <row r="5233" spans="1:32" x14ac:dyDescent="0.2">
      <c r="A5233" s="1">
        <v>49306</v>
      </c>
      <c r="B5233" s="1" t="s">
        <v>15725</v>
      </c>
      <c r="C5233" s="5" t="s">
        <v>0</v>
      </c>
      <c r="E5233" s="1" t="s">
        <v>15726</v>
      </c>
      <c r="F5233" s="1" t="s">
        <v>1412</v>
      </c>
      <c r="G5233" s="1" t="s">
        <v>1413</v>
      </c>
      <c r="H5233" s="1" t="s">
        <v>30</v>
      </c>
      <c r="I5233" s="1" t="s">
        <v>16</v>
      </c>
      <c r="J5233" s="1">
        <v>1</v>
      </c>
      <c r="K5233" s="1">
        <v>1</v>
      </c>
      <c r="L5233" s="1" t="s">
        <v>31</v>
      </c>
      <c r="M5233" s="1" t="s">
        <v>18</v>
      </c>
      <c r="N5233" s="1" t="s">
        <v>18</v>
      </c>
      <c r="O5233" s="1">
        <v>2</v>
      </c>
      <c r="P5233" s="1">
        <v>7</v>
      </c>
      <c r="Q5233" s="7" t="s">
        <v>17633</v>
      </c>
      <c r="R5233" s="1" t="s">
        <v>19</v>
      </c>
      <c r="S5233" s="1" t="s">
        <v>63</v>
      </c>
      <c r="T5233" s="1" t="s">
        <v>21</v>
      </c>
      <c r="V5233" s="1" t="s">
        <v>23</v>
      </c>
      <c r="W5233" s="1" t="s">
        <v>24</v>
      </c>
      <c r="X5233" s="1">
        <v>2721</v>
      </c>
      <c r="Y5233" s="1" t="s">
        <v>24</v>
      </c>
      <c r="Z5233" s="1" t="s">
        <v>24</v>
      </c>
      <c r="AA5233" s="1" t="s">
        <v>24</v>
      </c>
      <c r="AB5233" s="1" t="s">
        <v>24</v>
      </c>
      <c r="AC5233" s="1" t="s">
        <v>24</v>
      </c>
      <c r="AD5233" s="1" t="s">
        <v>24</v>
      </c>
      <c r="AE5233" s="1" t="s">
        <v>24</v>
      </c>
      <c r="AF5233" s="22"/>
    </row>
    <row r="5234" spans="1:32" x14ac:dyDescent="0.2">
      <c r="A5234" s="1">
        <v>49307</v>
      </c>
      <c r="B5234" s="1" t="s">
        <v>15727</v>
      </c>
      <c r="C5234" s="5" t="s">
        <v>0</v>
      </c>
      <c r="D5234" s="1" t="s">
        <v>15728</v>
      </c>
      <c r="E5234" s="1" t="s">
        <v>15729</v>
      </c>
      <c r="F5234" s="1" t="s">
        <v>1412</v>
      </c>
      <c r="G5234" s="1" t="s">
        <v>1413</v>
      </c>
      <c r="H5234" s="1" t="s">
        <v>30</v>
      </c>
      <c r="I5234" s="1" t="s">
        <v>16</v>
      </c>
      <c r="J5234" s="1">
        <v>1</v>
      </c>
      <c r="K5234" s="1">
        <v>1</v>
      </c>
      <c r="L5234" s="1" t="s">
        <v>31</v>
      </c>
      <c r="M5234" s="1" t="s">
        <v>18</v>
      </c>
      <c r="N5234" s="1" t="s">
        <v>18</v>
      </c>
      <c r="O5234" s="1">
        <v>2</v>
      </c>
      <c r="P5234" s="1">
        <v>7</v>
      </c>
      <c r="Q5234" s="7" t="s">
        <v>17633</v>
      </c>
      <c r="R5234" s="1" t="s">
        <v>19</v>
      </c>
      <c r="S5234" s="1" t="s">
        <v>63</v>
      </c>
      <c r="T5234" s="1" t="s">
        <v>21</v>
      </c>
      <c r="V5234" s="1" t="s">
        <v>24</v>
      </c>
      <c r="W5234" s="1" t="s">
        <v>24</v>
      </c>
      <c r="X5234" s="1">
        <v>1313</v>
      </c>
      <c r="Y5234" s="1">
        <v>1303</v>
      </c>
      <c r="Z5234" s="1">
        <v>3002</v>
      </c>
      <c r="AA5234" s="1" t="s">
        <v>24</v>
      </c>
      <c r="AB5234" s="1" t="s">
        <v>24</v>
      </c>
      <c r="AC5234" s="1" t="s">
        <v>24</v>
      </c>
      <c r="AD5234" s="1" t="s">
        <v>24</v>
      </c>
      <c r="AE5234" s="1" t="s">
        <v>24</v>
      </c>
      <c r="AF5234" s="22"/>
    </row>
    <row r="5235" spans="1:32" x14ac:dyDescent="0.2">
      <c r="A5235" s="1">
        <v>49308</v>
      </c>
      <c r="B5235" s="1" t="s">
        <v>15730</v>
      </c>
      <c r="C5235" s="5" t="s">
        <v>0</v>
      </c>
      <c r="D5235" s="1" t="s">
        <v>15731</v>
      </c>
      <c r="E5235" s="1" t="s">
        <v>15732</v>
      </c>
      <c r="F5235" s="1" t="s">
        <v>1412</v>
      </c>
      <c r="G5235" s="1" t="s">
        <v>1413</v>
      </c>
      <c r="H5235" s="1" t="s">
        <v>30</v>
      </c>
      <c r="I5235" s="1" t="s">
        <v>16</v>
      </c>
      <c r="J5235" s="1">
        <v>1</v>
      </c>
      <c r="K5235" s="1">
        <v>1</v>
      </c>
      <c r="L5235" s="1" t="s">
        <v>31</v>
      </c>
      <c r="M5235" s="1" t="s">
        <v>18</v>
      </c>
      <c r="N5235" s="1" t="s">
        <v>18</v>
      </c>
      <c r="O5235" s="1">
        <v>2</v>
      </c>
      <c r="P5235" s="1">
        <v>7</v>
      </c>
      <c r="Q5235" s="7" t="s">
        <v>17633</v>
      </c>
      <c r="R5235" s="1" t="s">
        <v>19</v>
      </c>
      <c r="S5235" s="1" t="s">
        <v>63</v>
      </c>
      <c r="T5235" s="1" t="s">
        <v>21</v>
      </c>
      <c r="V5235" s="1" t="s">
        <v>23</v>
      </c>
      <c r="W5235" s="1" t="s">
        <v>24</v>
      </c>
      <c r="X5235" s="1">
        <v>2715</v>
      </c>
      <c r="Y5235" s="1" t="s">
        <v>24</v>
      </c>
      <c r="Z5235" s="1" t="s">
        <v>24</v>
      </c>
      <c r="AA5235" s="1" t="s">
        <v>24</v>
      </c>
      <c r="AB5235" s="1" t="s">
        <v>24</v>
      </c>
      <c r="AC5235" s="1" t="s">
        <v>24</v>
      </c>
      <c r="AD5235" s="1" t="s">
        <v>24</v>
      </c>
      <c r="AE5235" s="1" t="s">
        <v>24</v>
      </c>
      <c r="AF5235" s="22"/>
    </row>
    <row r="5236" spans="1:32" x14ac:dyDescent="0.2">
      <c r="A5236" s="1">
        <v>49309</v>
      </c>
      <c r="B5236" s="1" t="s">
        <v>15733</v>
      </c>
      <c r="C5236" s="5" t="s">
        <v>0</v>
      </c>
      <c r="D5236" s="1" t="s">
        <v>15734</v>
      </c>
      <c r="E5236" s="1" t="s">
        <v>15735</v>
      </c>
      <c r="F5236" s="1" t="s">
        <v>1412</v>
      </c>
      <c r="G5236" s="1" t="s">
        <v>1413</v>
      </c>
      <c r="H5236" s="1" t="s">
        <v>30</v>
      </c>
      <c r="I5236" s="1" t="s">
        <v>16</v>
      </c>
      <c r="J5236" s="1">
        <v>1</v>
      </c>
      <c r="K5236" s="1">
        <v>1</v>
      </c>
      <c r="L5236" s="1" t="s">
        <v>31</v>
      </c>
      <c r="M5236" s="1" t="s">
        <v>18</v>
      </c>
      <c r="N5236" s="1" t="s">
        <v>18</v>
      </c>
      <c r="O5236" s="1">
        <v>2</v>
      </c>
      <c r="P5236" s="1">
        <v>7</v>
      </c>
      <c r="Q5236" s="7" t="s">
        <v>17633</v>
      </c>
      <c r="R5236" s="1" t="s">
        <v>19</v>
      </c>
      <c r="S5236" s="1" t="s">
        <v>63</v>
      </c>
      <c r="T5236" s="1" t="s">
        <v>21</v>
      </c>
      <c r="U5236" s="1" t="s">
        <v>22</v>
      </c>
      <c r="V5236" s="1" t="s">
        <v>23</v>
      </c>
      <c r="W5236" s="1" t="s">
        <v>24</v>
      </c>
      <c r="X5236" s="1">
        <v>2740</v>
      </c>
      <c r="Y5236" s="1" t="s">
        <v>24</v>
      </c>
      <c r="Z5236" s="1" t="s">
        <v>24</v>
      </c>
      <c r="AA5236" s="1" t="s">
        <v>24</v>
      </c>
      <c r="AB5236" s="1" t="s">
        <v>24</v>
      </c>
      <c r="AC5236" s="1" t="s">
        <v>24</v>
      </c>
      <c r="AD5236" s="1" t="s">
        <v>24</v>
      </c>
      <c r="AE5236" s="1" t="s">
        <v>24</v>
      </c>
      <c r="AF5236" s="22"/>
    </row>
    <row r="5237" spans="1:32" x14ac:dyDescent="0.2">
      <c r="A5237" s="1">
        <v>49310</v>
      </c>
      <c r="B5237" s="1" t="s">
        <v>15736</v>
      </c>
      <c r="C5237" s="5" t="s">
        <v>0</v>
      </c>
      <c r="D5237" s="1" t="s">
        <v>15737</v>
      </c>
      <c r="E5237" s="1" t="s">
        <v>15738</v>
      </c>
      <c r="F5237" s="1" t="s">
        <v>15701</v>
      </c>
      <c r="G5237" s="1" t="s">
        <v>1413</v>
      </c>
      <c r="H5237" s="1" t="s">
        <v>30</v>
      </c>
      <c r="I5237" s="1" t="s">
        <v>16</v>
      </c>
      <c r="J5237" s="1">
        <v>1</v>
      </c>
      <c r="K5237" s="1">
        <v>1</v>
      </c>
      <c r="L5237" s="1" t="s">
        <v>31</v>
      </c>
      <c r="M5237" s="1" t="s">
        <v>18</v>
      </c>
      <c r="N5237" s="1" t="s">
        <v>18</v>
      </c>
      <c r="O5237" s="1">
        <v>2</v>
      </c>
      <c r="P5237" s="1">
        <v>7</v>
      </c>
      <c r="Q5237" s="7" t="s">
        <v>17633</v>
      </c>
      <c r="R5237" s="1" t="s">
        <v>19</v>
      </c>
      <c r="S5237" s="1" t="s">
        <v>63</v>
      </c>
      <c r="T5237" s="1" t="s">
        <v>21</v>
      </c>
      <c r="V5237" s="1" t="s">
        <v>23</v>
      </c>
      <c r="W5237" s="1" t="s">
        <v>24</v>
      </c>
      <c r="X5237" s="1">
        <v>2715</v>
      </c>
      <c r="Y5237" s="1" t="s">
        <v>24</v>
      </c>
      <c r="Z5237" s="1" t="s">
        <v>24</v>
      </c>
      <c r="AA5237" s="1" t="s">
        <v>24</v>
      </c>
      <c r="AB5237" s="1" t="s">
        <v>24</v>
      </c>
      <c r="AC5237" s="1" t="s">
        <v>24</v>
      </c>
      <c r="AD5237" s="1" t="s">
        <v>24</v>
      </c>
      <c r="AE5237" s="1" t="s">
        <v>24</v>
      </c>
      <c r="AF5237" s="22"/>
    </row>
    <row r="5238" spans="1:32" x14ac:dyDescent="0.2">
      <c r="A5238" s="1">
        <v>49311</v>
      </c>
      <c r="B5238" s="1" t="s">
        <v>15739</v>
      </c>
      <c r="C5238" s="5" t="s">
        <v>0</v>
      </c>
      <c r="D5238" s="1" t="s">
        <v>15740</v>
      </c>
      <c r="E5238" s="1" t="s">
        <v>15741</v>
      </c>
      <c r="F5238" s="1" t="s">
        <v>1412</v>
      </c>
      <c r="G5238" s="1" t="s">
        <v>1413</v>
      </c>
      <c r="H5238" s="1" t="s">
        <v>30</v>
      </c>
      <c r="I5238" s="1" t="s">
        <v>16</v>
      </c>
      <c r="J5238" s="1">
        <v>1</v>
      </c>
      <c r="K5238" s="1">
        <v>1</v>
      </c>
      <c r="L5238" s="1" t="s">
        <v>31</v>
      </c>
      <c r="M5238" s="1" t="s">
        <v>18</v>
      </c>
      <c r="N5238" s="1" t="s">
        <v>18</v>
      </c>
      <c r="O5238" s="1">
        <v>2</v>
      </c>
      <c r="P5238" s="1">
        <v>7</v>
      </c>
      <c r="Q5238" s="7" t="s">
        <v>17633</v>
      </c>
      <c r="R5238" s="1" t="s">
        <v>19</v>
      </c>
      <c r="S5238" s="1" t="s">
        <v>63</v>
      </c>
      <c r="T5238" s="1" t="s">
        <v>21</v>
      </c>
      <c r="V5238" s="1" t="s">
        <v>23</v>
      </c>
      <c r="W5238" s="1" t="s">
        <v>24</v>
      </c>
      <c r="X5238" s="1">
        <v>1303</v>
      </c>
      <c r="Y5238" s="1" t="s">
        <v>24</v>
      </c>
      <c r="Z5238" s="1" t="s">
        <v>24</v>
      </c>
      <c r="AA5238" s="1" t="s">
        <v>24</v>
      </c>
      <c r="AB5238" s="1" t="s">
        <v>24</v>
      </c>
      <c r="AC5238" s="1" t="s">
        <v>24</v>
      </c>
      <c r="AD5238" s="1" t="s">
        <v>24</v>
      </c>
      <c r="AE5238" s="1" t="s">
        <v>24</v>
      </c>
      <c r="AF5238" s="22"/>
    </row>
    <row r="5239" spans="1:32" x14ac:dyDescent="0.2">
      <c r="A5239" s="1">
        <v>49312</v>
      </c>
      <c r="B5239" s="1" t="s">
        <v>15742</v>
      </c>
      <c r="C5239" s="5" t="s">
        <v>0</v>
      </c>
      <c r="D5239" s="1" t="s">
        <v>15743</v>
      </c>
      <c r="E5239" s="1" t="s">
        <v>15744</v>
      </c>
      <c r="F5239" s="1" t="s">
        <v>1412</v>
      </c>
      <c r="G5239" s="1" t="s">
        <v>1413</v>
      </c>
      <c r="H5239" s="1" t="s">
        <v>30</v>
      </c>
      <c r="I5239" s="1" t="s">
        <v>16</v>
      </c>
      <c r="J5239" s="1">
        <v>1</v>
      </c>
      <c r="K5239" s="1">
        <v>1</v>
      </c>
      <c r="L5239" s="1" t="s">
        <v>31</v>
      </c>
      <c r="M5239" s="1" t="s">
        <v>18</v>
      </c>
      <c r="N5239" s="1" t="s">
        <v>18</v>
      </c>
      <c r="O5239" s="1">
        <v>2</v>
      </c>
      <c r="P5239" s="1">
        <v>7</v>
      </c>
      <c r="Q5239" s="7" t="s">
        <v>17633</v>
      </c>
      <c r="R5239" s="1" t="s">
        <v>19</v>
      </c>
      <c r="S5239" s="1" t="s">
        <v>63</v>
      </c>
      <c r="T5239" s="1" t="s">
        <v>21</v>
      </c>
      <c r="V5239" s="1" t="s">
        <v>23</v>
      </c>
      <c r="W5239" s="1" t="s">
        <v>24</v>
      </c>
      <c r="X5239" s="1">
        <v>2730</v>
      </c>
      <c r="Y5239" s="1">
        <v>2748</v>
      </c>
      <c r="Z5239" s="1">
        <v>1306</v>
      </c>
      <c r="AA5239" s="1" t="s">
        <v>24</v>
      </c>
      <c r="AB5239" s="1" t="s">
        <v>24</v>
      </c>
      <c r="AC5239" s="1" t="s">
        <v>24</v>
      </c>
      <c r="AD5239" s="1" t="s">
        <v>24</v>
      </c>
      <c r="AE5239" s="1" t="s">
        <v>24</v>
      </c>
      <c r="AF5239" s="22"/>
    </row>
    <row r="5240" spans="1:32" x14ac:dyDescent="0.2">
      <c r="A5240" s="1">
        <v>49313</v>
      </c>
      <c r="B5240" s="1" t="s">
        <v>15745</v>
      </c>
      <c r="C5240" s="5" t="s">
        <v>0</v>
      </c>
      <c r="D5240" s="1" t="s">
        <v>15746</v>
      </c>
      <c r="E5240" s="1" t="s">
        <v>15747</v>
      </c>
      <c r="F5240" s="1" t="s">
        <v>1412</v>
      </c>
      <c r="G5240" s="1" t="s">
        <v>1413</v>
      </c>
      <c r="H5240" s="1" t="s">
        <v>30</v>
      </c>
      <c r="I5240" s="1" t="s">
        <v>16</v>
      </c>
      <c r="J5240" s="1">
        <v>1</v>
      </c>
      <c r="K5240" s="1">
        <v>1</v>
      </c>
      <c r="L5240" s="1" t="s">
        <v>31</v>
      </c>
      <c r="M5240" s="1" t="s">
        <v>18</v>
      </c>
      <c r="N5240" s="1" t="s">
        <v>18</v>
      </c>
      <c r="O5240" s="1">
        <v>2</v>
      </c>
      <c r="P5240" s="1">
        <v>7</v>
      </c>
      <c r="Q5240" s="7" t="s">
        <v>17633</v>
      </c>
      <c r="R5240" s="1" t="s">
        <v>19</v>
      </c>
      <c r="S5240" s="1" t="s">
        <v>63</v>
      </c>
      <c r="T5240" s="1" t="s">
        <v>21</v>
      </c>
      <c r="V5240" s="1" t="s">
        <v>23</v>
      </c>
      <c r="W5240" s="1" t="s">
        <v>24</v>
      </c>
      <c r="X5240" s="1">
        <v>2711</v>
      </c>
      <c r="Y5240" s="1" t="s">
        <v>24</v>
      </c>
      <c r="Z5240" s="1" t="s">
        <v>24</v>
      </c>
      <c r="AA5240" s="1" t="s">
        <v>24</v>
      </c>
      <c r="AB5240" s="1" t="s">
        <v>24</v>
      </c>
      <c r="AC5240" s="1" t="s">
        <v>24</v>
      </c>
      <c r="AD5240" s="1" t="s">
        <v>24</v>
      </c>
      <c r="AE5240" s="1" t="s">
        <v>24</v>
      </c>
      <c r="AF5240" s="22"/>
    </row>
    <row r="5241" spans="1:32" x14ac:dyDescent="0.2">
      <c r="A5241" s="1">
        <v>49314</v>
      </c>
      <c r="B5241" s="1" t="s">
        <v>15748</v>
      </c>
      <c r="C5241" s="5" t="s">
        <v>0</v>
      </c>
      <c r="D5241" s="1" t="s">
        <v>15749</v>
      </c>
      <c r="E5241" s="1" t="s">
        <v>15750</v>
      </c>
      <c r="F5241" s="1" t="s">
        <v>1412</v>
      </c>
      <c r="G5241" s="1" t="s">
        <v>1413</v>
      </c>
      <c r="H5241" s="1" t="s">
        <v>30</v>
      </c>
      <c r="I5241" s="1" t="s">
        <v>16</v>
      </c>
      <c r="J5241" s="1">
        <v>1</v>
      </c>
      <c r="K5241" s="1">
        <v>1</v>
      </c>
      <c r="L5241" s="1" t="s">
        <v>31</v>
      </c>
      <c r="M5241" s="1" t="s">
        <v>18</v>
      </c>
      <c r="N5241" s="1" t="s">
        <v>18</v>
      </c>
      <c r="O5241" s="1">
        <v>2</v>
      </c>
      <c r="P5241" s="1">
        <v>7</v>
      </c>
      <c r="Q5241" s="7" t="s">
        <v>17633</v>
      </c>
      <c r="R5241" s="1" t="s">
        <v>19</v>
      </c>
      <c r="S5241" s="1" t="s">
        <v>63</v>
      </c>
      <c r="T5241" s="1" t="s">
        <v>21</v>
      </c>
      <c r="U5241" s="1" t="s">
        <v>22</v>
      </c>
      <c r="V5241" s="1" t="s">
        <v>24</v>
      </c>
      <c r="W5241" s="1" t="s">
        <v>24</v>
      </c>
      <c r="X5241" s="1">
        <v>1303</v>
      </c>
      <c r="Y5241" s="1" t="s">
        <v>24</v>
      </c>
      <c r="Z5241" s="1" t="s">
        <v>24</v>
      </c>
      <c r="AA5241" s="1" t="s">
        <v>24</v>
      </c>
      <c r="AB5241" s="1" t="s">
        <v>24</v>
      </c>
      <c r="AC5241" s="1" t="s">
        <v>24</v>
      </c>
      <c r="AD5241" s="1" t="s">
        <v>24</v>
      </c>
      <c r="AE5241" s="1" t="s">
        <v>24</v>
      </c>
      <c r="AF5241" s="22"/>
    </row>
    <row r="5242" spans="1:32" x14ac:dyDescent="0.2">
      <c r="A5242" s="1">
        <v>49315</v>
      </c>
      <c r="B5242" s="1" t="s">
        <v>15751</v>
      </c>
      <c r="C5242" s="5" t="s">
        <v>0</v>
      </c>
      <c r="D5242" s="1" t="s">
        <v>15752</v>
      </c>
      <c r="E5242" s="1" t="s">
        <v>15753</v>
      </c>
      <c r="F5242" s="1" t="s">
        <v>4337</v>
      </c>
      <c r="G5242" s="1" t="s">
        <v>4338</v>
      </c>
      <c r="H5242" s="1" t="s">
        <v>30</v>
      </c>
      <c r="I5242" s="1" t="s">
        <v>16</v>
      </c>
      <c r="J5242" s="1">
        <v>1</v>
      </c>
      <c r="K5242" s="1">
        <v>6</v>
      </c>
      <c r="L5242" s="1" t="s">
        <v>31</v>
      </c>
      <c r="M5242" s="1" t="s">
        <v>18</v>
      </c>
      <c r="N5242" s="1" t="s">
        <v>18</v>
      </c>
      <c r="O5242" s="1">
        <v>3</v>
      </c>
      <c r="P5242" s="1">
        <v>7</v>
      </c>
      <c r="Q5242" s="7" t="s">
        <v>17633</v>
      </c>
      <c r="R5242" s="1" t="s">
        <v>19</v>
      </c>
      <c r="S5242" s="1" t="s">
        <v>20</v>
      </c>
      <c r="T5242" s="1" t="s">
        <v>21</v>
      </c>
      <c r="V5242" s="1" t="s">
        <v>23</v>
      </c>
      <c r="W5242" s="1" t="s">
        <v>24</v>
      </c>
      <c r="X5242" s="1">
        <v>2730</v>
      </c>
      <c r="Y5242" s="1">
        <v>2735</v>
      </c>
      <c r="Z5242" s="1" t="s">
        <v>24</v>
      </c>
      <c r="AA5242" s="1" t="s">
        <v>24</v>
      </c>
      <c r="AB5242" s="1" t="s">
        <v>24</v>
      </c>
      <c r="AC5242" s="1" t="s">
        <v>24</v>
      </c>
      <c r="AD5242" s="1" t="s">
        <v>24</v>
      </c>
      <c r="AE5242" s="1" t="s">
        <v>24</v>
      </c>
      <c r="AF5242" s="22"/>
    </row>
    <row r="5243" spans="1:32" x14ac:dyDescent="0.2">
      <c r="A5243" s="1">
        <v>49316</v>
      </c>
      <c r="B5243" s="1" t="s">
        <v>15754</v>
      </c>
      <c r="C5243" s="5" t="s">
        <v>0</v>
      </c>
      <c r="D5243" s="1" t="s">
        <v>15755</v>
      </c>
      <c r="E5243" s="1" t="s">
        <v>15756</v>
      </c>
      <c r="F5243" s="1" t="s">
        <v>4337</v>
      </c>
      <c r="G5243" s="1" t="s">
        <v>4338</v>
      </c>
      <c r="H5243" s="1" t="s">
        <v>30</v>
      </c>
      <c r="I5243" s="1" t="s">
        <v>16</v>
      </c>
      <c r="J5243" s="1">
        <v>1</v>
      </c>
      <c r="K5243" s="1">
        <v>4</v>
      </c>
      <c r="L5243" s="1" t="s">
        <v>31</v>
      </c>
      <c r="M5243" s="1" t="s">
        <v>18</v>
      </c>
      <c r="N5243" s="1" t="s">
        <v>18</v>
      </c>
      <c r="O5243" s="1">
        <v>3</v>
      </c>
      <c r="P5243" s="1">
        <v>7</v>
      </c>
      <c r="Q5243" s="7" t="s">
        <v>17633</v>
      </c>
      <c r="R5243" s="1" t="s">
        <v>19</v>
      </c>
      <c r="S5243" s="1" t="s">
        <v>20</v>
      </c>
      <c r="T5243" s="1" t="s">
        <v>21</v>
      </c>
      <c r="V5243" s="1" t="s">
        <v>23</v>
      </c>
      <c r="W5243" s="1" t="s">
        <v>24</v>
      </c>
      <c r="X5243" s="1">
        <v>2706</v>
      </c>
      <c r="Y5243" s="1">
        <v>2703</v>
      </c>
      <c r="Z5243" s="1" t="s">
        <v>24</v>
      </c>
      <c r="AA5243" s="1" t="s">
        <v>24</v>
      </c>
      <c r="AB5243" s="1" t="s">
        <v>24</v>
      </c>
      <c r="AC5243" s="1" t="s">
        <v>24</v>
      </c>
      <c r="AD5243" s="1" t="s">
        <v>24</v>
      </c>
      <c r="AE5243" s="1" t="s">
        <v>24</v>
      </c>
      <c r="AF5243" s="22"/>
    </row>
    <row r="5244" spans="1:32" x14ac:dyDescent="0.2">
      <c r="A5244" s="1">
        <v>49317</v>
      </c>
      <c r="B5244" s="1" t="s">
        <v>15757</v>
      </c>
      <c r="C5244" s="5" t="s">
        <v>0</v>
      </c>
      <c r="D5244" s="1" t="s">
        <v>15758</v>
      </c>
      <c r="E5244" s="1" t="s">
        <v>15759</v>
      </c>
      <c r="F5244" s="1" t="s">
        <v>4337</v>
      </c>
      <c r="G5244" s="1" t="s">
        <v>4338</v>
      </c>
      <c r="H5244" s="1" t="s">
        <v>30</v>
      </c>
      <c r="I5244" s="1" t="s">
        <v>16</v>
      </c>
      <c r="J5244" s="1">
        <v>1</v>
      </c>
      <c r="K5244" s="1">
        <v>6</v>
      </c>
      <c r="L5244" s="1" t="s">
        <v>31</v>
      </c>
      <c r="M5244" s="1" t="s">
        <v>18</v>
      </c>
      <c r="N5244" s="1" t="s">
        <v>18</v>
      </c>
      <c r="O5244" s="1">
        <v>3</v>
      </c>
      <c r="P5244" s="1">
        <v>7</v>
      </c>
      <c r="Q5244" s="7" t="s">
        <v>17633</v>
      </c>
      <c r="R5244" s="1" t="s">
        <v>19</v>
      </c>
      <c r="S5244" s="1" t="s">
        <v>20</v>
      </c>
      <c r="T5244" s="1" t="s">
        <v>21</v>
      </c>
      <c r="V5244" s="1" t="s">
        <v>23</v>
      </c>
      <c r="W5244" s="1" t="s">
        <v>24</v>
      </c>
      <c r="X5244" s="1">
        <v>2800</v>
      </c>
      <c r="Y5244" s="1" t="s">
        <v>24</v>
      </c>
      <c r="Z5244" s="1" t="s">
        <v>24</v>
      </c>
      <c r="AA5244" s="1" t="s">
        <v>24</v>
      </c>
      <c r="AB5244" s="1" t="s">
        <v>24</v>
      </c>
      <c r="AC5244" s="1" t="s">
        <v>24</v>
      </c>
      <c r="AD5244" s="1" t="s">
        <v>24</v>
      </c>
      <c r="AE5244" s="1" t="s">
        <v>24</v>
      </c>
      <c r="AF5244" s="22"/>
    </row>
    <row r="5245" spans="1:32" x14ac:dyDescent="0.2">
      <c r="A5245" s="1">
        <v>49318</v>
      </c>
      <c r="B5245" s="1" t="s">
        <v>15760</v>
      </c>
      <c r="C5245" s="5" t="s">
        <v>0</v>
      </c>
      <c r="D5245" s="1" t="s">
        <v>15761</v>
      </c>
      <c r="E5245" s="1" t="s">
        <v>15762</v>
      </c>
      <c r="F5245" s="1" t="s">
        <v>4337</v>
      </c>
      <c r="G5245" s="1" t="s">
        <v>4338</v>
      </c>
      <c r="H5245" s="1" t="s">
        <v>30</v>
      </c>
      <c r="I5245" s="1" t="s">
        <v>16</v>
      </c>
      <c r="J5245" s="1">
        <v>1</v>
      </c>
      <c r="K5245" s="1">
        <v>4</v>
      </c>
      <c r="L5245" s="1" t="s">
        <v>31</v>
      </c>
      <c r="M5245" s="1" t="s">
        <v>18</v>
      </c>
      <c r="N5245" s="1" t="s">
        <v>18</v>
      </c>
      <c r="O5245" s="1">
        <v>3</v>
      </c>
      <c r="P5245" s="1">
        <v>7</v>
      </c>
      <c r="Q5245" s="7" t="s">
        <v>17633</v>
      </c>
      <c r="R5245" s="1" t="s">
        <v>19</v>
      </c>
      <c r="S5245" s="1" t="s">
        <v>20</v>
      </c>
      <c r="T5245" s="1" t="s">
        <v>21</v>
      </c>
      <c r="V5245" s="1" t="s">
        <v>23</v>
      </c>
      <c r="W5245" s="1" t="s">
        <v>24</v>
      </c>
      <c r="X5245" s="1">
        <v>1106</v>
      </c>
      <c r="Y5245" s="1">
        <v>2739</v>
      </c>
      <c r="Z5245" s="1" t="s">
        <v>24</v>
      </c>
      <c r="AA5245" s="1" t="s">
        <v>24</v>
      </c>
      <c r="AB5245" s="1" t="s">
        <v>24</v>
      </c>
      <c r="AC5245" s="1" t="s">
        <v>24</v>
      </c>
      <c r="AD5245" s="1" t="s">
        <v>24</v>
      </c>
      <c r="AE5245" s="1" t="s">
        <v>24</v>
      </c>
      <c r="AF5245" s="22"/>
    </row>
    <row r="5246" spans="1:32" x14ac:dyDescent="0.2">
      <c r="A5246" s="1">
        <v>49319</v>
      </c>
      <c r="B5246" s="1" t="s">
        <v>15763</v>
      </c>
      <c r="C5246" s="5" t="s">
        <v>0</v>
      </c>
      <c r="D5246" s="1" t="s">
        <v>15764</v>
      </c>
      <c r="E5246" s="1" t="s">
        <v>15765</v>
      </c>
      <c r="F5246" s="1" t="s">
        <v>97</v>
      </c>
      <c r="G5246" s="1" t="s">
        <v>98</v>
      </c>
      <c r="H5246" s="1" t="s">
        <v>37</v>
      </c>
      <c r="I5246" s="1" t="s">
        <v>16</v>
      </c>
      <c r="J5246" s="1">
        <v>1</v>
      </c>
      <c r="K5246" s="1">
        <v>6</v>
      </c>
      <c r="L5246" s="1" t="s">
        <v>31</v>
      </c>
      <c r="M5246" s="1" t="s">
        <v>18</v>
      </c>
      <c r="N5246" s="1" t="s">
        <v>18</v>
      </c>
      <c r="O5246" s="1">
        <v>3</v>
      </c>
      <c r="P5246" s="1">
        <v>7</v>
      </c>
      <c r="Q5246" s="7" t="s">
        <v>17633</v>
      </c>
      <c r="R5246" s="1" t="s">
        <v>19</v>
      </c>
      <c r="S5246" s="1" t="s">
        <v>20</v>
      </c>
      <c r="T5246" s="1" t="s">
        <v>21</v>
      </c>
      <c r="U5246" s="1" t="s">
        <v>22</v>
      </c>
      <c r="V5246" s="1" t="s">
        <v>23</v>
      </c>
      <c r="W5246" s="1" t="s">
        <v>24</v>
      </c>
      <c r="X5246" s="1">
        <v>2736</v>
      </c>
      <c r="Y5246" s="1" t="s">
        <v>24</v>
      </c>
      <c r="Z5246" s="1" t="s">
        <v>24</v>
      </c>
      <c r="AA5246" s="1" t="s">
        <v>24</v>
      </c>
      <c r="AB5246" s="1" t="s">
        <v>24</v>
      </c>
      <c r="AC5246" s="1" t="s">
        <v>24</v>
      </c>
      <c r="AD5246" s="1" t="s">
        <v>24</v>
      </c>
      <c r="AE5246" s="1" t="s">
        <v>24</v>
      </c>
      <c r="AF5246" s="22"/>
    </row>
    <row r="5247" spans="1:32" x14ac:dyDescent="0.2">
      <c r="A5247" s="1">
        <v>49320</v>
      </c>
      <c r="B5247" s="1" t="s">
        <v>15766</v>
      </c>
      <c r="C5247" s="5" t="s">
        <v>0</v>
      </c>
      <c r="D5247" s="1" t="s">
        <v>15767</v>
      </c>
      <c r="E5247" s="1" t="s">
        <v>15768</v>
      </c>
      <c r="F5247" s="1" t="s">
        <v>97</v>
      </c>
      <c r="G5247" s="1" t="s">
        <v>98</v>
      </c>
      <c r="H5247" s="1" t="s">
        <v>37</v>
      </c>
      <c r="I5247" s="1" t="s">
        <v>16</v>
      </c>
      <c r="J5247" s="1">
        <v>1</v>
      </c>
      <c r="K5247" s="1">
        <v>6</v>
      </c>
      <c r="L5247" s="1" t="s">
        <v>31</v>
      </c>
      <c r="M5247" s="1" t="s">
        <v>18</v>
      </c>
      <c r="N5247" s="1" t="s">
        <v>18</v>
      </c>
      <c r="O5247" s="1">
        <v>3</v>
      </c>
      <c r="P5247" s="1">
        <v>7</v>
      </c>
      <c r="Q5247" s="7" t="s">
        <v>17633</v>
      </c>
      <c r="R5247" s="1" t="s">
        <v>19</v>
      </c>
      <c r="S5247" s="1" t="s">
        <v>20</v>
      </c>
      <c r="T5247" s="1" t="s">
        <v>21</v>
      </c>
      <c r="V5247" s="1" t="s">
        <v>23</v>
      </c>
      <c r="W5247" s="1" t="s">
        <v>24</v>
      </c>
      <c r="X5247" s="1">
        <v>3001</v>
      </c>
      <c r="Y5247" s="1">
        <v>3201</v>
      </c>
      <c r="Z5247" s="1" t="s">
        <v>24</v>
      </c>
      <c r="AA5247" s="1" t="s">
        <v>24</v>
      </c>
      <c r="AB5247" s="1" t="s">
        <v>24</v>
      </c>
      <c r="AC5247" s="1" t="s">
        <v>24</v>
      </c>
      <c r="AD5247" s="1" t="s">
        <v>24</v>
      </c>
      <c r="AE5247" s="1" t="s">
        <v>24</v>
      </c>
      <c r="AF5247" s="22"/>
    </row>
    <row r="5248" spans="1:32" x14ac:dyDescent="0.2">
      <c r="A5248" s="1">
        <v>49321</v>
      </c>
      <c r="B5248" s="1" t="s">
        <v>15769</v>
      </c>
      <c r="C5248" s="5" t="s">
        <v>0</v>
      </c>
      <c r="D5248" s="1" t="s">
        <v>15770</v>
      </c>
      <c r="E5248" s="1" t="s">
        <v>15771</v>
      </c>
      <c r="F5248" s="1" t="s">
        <v>97</v>
      </c>
      <c r="G5248" s="1" t="s">
        <v>98</v>
      </c>
      <c r="H5248" s="1" t="s">
        <v>37</v>
      </c>
      <c r="I5248" s="1" t="s">
        <v>16</v>
      </c>
      <c r="J5248" s="1">
        <v>1</v>
      </c>
      <c r="K5248" s="1">
        <v>6</v>
      </c>
      <c r="L5248" s="1" t="s">
        <v>31</v>
      </c>
      <c r="M5248" s="1" t="s">
        <v>18</v>
      </c>
      <c r="N5248" s="1" t="s">
        <v>18</v>
      </c>
      <c r="O5248" s="1">
        <v>3</v>
      </c>
      <c r="P5248" s="1">
        <v>7</v>
      </c>
      <c r="Q5248" s="7" t="s">
        <v>17633</v>
      </c>
      <c r="R5248" s="1" t="s">
        <v>19</v>
      </c>
      <c r="S5248" s="1" t="s">
        <v>20</v>
      </c>
      <c r="T5248" s="1" t="s">
        <v>21</v>
      </c>
      <c r="V5248" s="1" t="s">
        <v>23</v>
      </c>
      <c r="W5248" s="1" t="s">
        <v>24</v>
      </c>
      <c r="X5248" s="1">
        <v>2720</v>
      </c>
      <c r="Y5248" s="1" t="s">
        <v>24</v>
      </c>
      <c r="Z5248" s="1" t="s">
        <v>24</v>
      </c>
      <c r="AA5248" s="1" t="s">
        <v>24</v>
      </c>
      <c r="AB5248" s="1" t="s">
        <v>24</v>
      </c>
      <c r="AC5248" s="1" t="s">
        <v>24</v>
      </c>
      <c r="AD5248" s="1" t="s">
        <v>24</v>
      </c>
      <c r="AE5248" s="1" t="s">
        <v>24</v>
      </c>
      <c r="AF5248" s="22"/>
    </row>
    <row r="5249" spans="1:32" x14ac:dyDescent="0.2">
      <c r="A5249" s="1">
        <v>49322</v>
      </c>
      <c r="B5249" s="1" t="s">
        <v>15772</v>
      </c>
      <c r="C5249" s="5" t="s">
        <v>0</v>
      </c>
      <c r="E5249" s="1" t="s">
        <v>15773</v>
      </c>
      <c r="F5249" s="1" t="s">
        <v>2299</v>
      </c>
      <c r="G5249" s="1" t="s">
        <v>2300</v>
      </c>
      <c r="H5249" s="1" t="s">
        <v>37</v>
      </c>
      <c r="I5249" s="1" t="s">
        <v>16</v>
      </c>
      <c r="J5249" s="1">
        <v>0</v>
      </c>
      <c r="K5249" s="1">
        <v>0</v>
      </c>
      <c r="L5249" s="1" t="s">
        <v>31</v>
      </c>
      <c r="M5249" s="1" t="s">
        <v>18</v>
      </c>
      <c r="N5249" s="1" t="s">
        <v>18</v>
      </c>
      <c r="O5249" s="1">
        <v>3</v>
      </c>
      <c r="P5249" s="1">
        <v>7</v>
      </c>
      <c r="Q5249" s="7" t="s">
        <v>17633</v>
      </c>
      <c r="R5249" s="1" t="s">
        <v>19</v>
      </c>
      <c r="S5249" s="1" t="s">
        <v>63</v>
      </c>
      <c r="T5249" s="1" t="s">
        <v>21</v>
      </c>
      <c r="U5249" s="1" t="s">
        <v>22</v>
      </c>
      <c r="V5249" s="1" t="s">
        <v>23</v>
      </c>
      <c r="W5249" s="1" t="s">
        <v>24</v>
      </c>
      <c r="X5249" s="1">
        <v>1300</v>
      </c>
      <c r="Y5249" s="1">
        <v>2700</v>
      </c>
      <c r="Z5249" s="1" t="s">
        <v>24</v>
      </c>
      <c r="AA5249" s="1" t="s">
        <v>24</v>
      </c>
      <c r="AB5249" s="1" t="s">
        <v>24</v>
      </c>
      <c r="AC5249" s="1" t="s">
        <v>24</v>
      </c>
      <c r="AD5249" s="1" t="s">
        <v>24</v>
      </c>
      <c r="AE5249" s="1" t="s">
        <v>24</v>
      </c>
      <c r="AF5249" s="22"/>
    </row>
    <row r="5250" spans="1:32" x14ac:dyDescent="0.2">
      <c r="A5250" s="1">
        <v>49323</v>
      </c>
      <c r="B5250" s="1" t="s">
        <v>15774</v>
      </c>
      <c r="C5250" s="5" t="s">
        <v>0</v>
      </c>
      <c r="D5250" s="1" t="s">
        <v>15775</v>
      </c>
      <c r="F5250" s="1" t="s">
        <v>940</v>
      </c>
      <c r="G5250" s="1" t="s">
        <v>130</v>
      </c>
      <c r="H5250" s="1" t="s">
        <v>30</v>
      </c>
      <c r="I5250" s="1" t="s">
        <v>112</v>
      </c>
      <c r="J5250" s="1">
        <v>0</v>
      </c>
      <c r="K5250" s="1">
        <v>0</v>
      </c>
      <c r="L5250" s="1" t="s">
        <v>31</v>
      </c>
      <c r="M5250" s="1" t="s">
        <v>18</v>
      </c>
      <c r="N5250" s="1" t="s">
        <v>18</v>
      </c>
      <c r="O5250" s="1">
        <v>3</v>
      </c>
      <c r="P5250" s="1">
        <v>7</v>
      </c>
      <c r="Q5250" s="7" t="s">
        <v>17633</v>
      </c>
      <c r="R5250" s="1" t="s">
        <v>19</v>
      </c>
      <c r="S5250" s="1" t="s">
        <v>20</v>
      </c>
      <c r="T5250" s="1" t="s">
        <v>21</v>
      </c>
      <c r="U5250" s="1" t="s">
        <v>22</v>
      </c>
      <c r="V5250" s="1" t="s">
        <v>23</v>
      </c>
      <c r="W5250" s="1" t="s">
        <v>24</v>
      </c>
      <c r="X5250" s="1">
        <v>1306</v>
      </c>
      <c r="Y5250" s="1">
        <v>2730</v>
      </c>
      <c r="Z5250" s="1" t="s">
        <v>24</v>
      </c>
      <c r="AA5250" s="1" t="s">
        <v>24</v>
      </c>
      <c r="AB5250" s="1" t="s">
        <v>24</v>
      </c>
      <c r="AC5250" s="1" t="s">
        <v>24</v>
      </c>
      <c r="AD5250" s="1" t="s">
        <v>24</v>
      </c>
      <c r="AE5250" s="1" t="s">
        <v>24</v>
      </c>
      <c r="AF5250" s="22"/>
    </row>
    <row r="5251" spans="1:32" x14ac:dyDescent="0.2">
      <c r="A5251" s="1">
        <v>49324</v>
      </c>
      <c r="B5251" s="1" t="s">
        <v>15776</v>
      </c>
      <c r="C5251" s="5" t="s">
        <v>0</v>
      </c>
      <c r="D5251" s="1" t="s">
        <v>15777</v>
      </c>
      <c r="E5251" s="1" t="s">
        <v>15778</v>
      </c>
      <c r="F5251" s="1" t="s">
        <v>9596</v>
      </c>
      <c r="G5251" s="1" t="s">
        <v>130</v>
      </c>
      <c r="H5251" s="1" t="s">
        <v>4064</v>
      </c>
      <c r="I5251" s="1" t="s">
        <v>16</v>
      </c>
      <c r="J5251" s="1">
        <v>1</v>
      </c>
      <c r="K5251" s="1">
        <v>6</v>
      </c>
      <c r="L5251" s="1" t="s">
        <v>31</v>
      </c>
      <c r="M5251" s="1" t="s">
        <v>18</v>
      </c>
      <c r="N5251" s="1" t="s">
        <v>18</v>
      </c>
      <c r="O5251" s="1">
        <v>2</v>
      </c>
      <c r="P5251" s="1">
        <v>7</v>
      </c>
      <c r="Q5251" s="7" t="s">
        <v>17633</v>
      </c>
      <c r="R5251" s="1" t="s">
        <v>19</v>
      </c>
      <c r="S5251" s="1" t="s">
        <v>20</v>
      </c>
      <c r="T5251" s="1" t="s">
        <v>21</v>
      </c>
      <c r="U5251" s="1" t="s">
        <v>22</v>
      </c>
      <c r="V5251" s="1" t="s">
        <v>23</v>
      </c>
      <c r="W5251" s="1" t="s">
        <v>24</v>
      </c>
      <c r="X5251" s="1">
        <v>1311</v>
      </c>
      <c r="Y5251" s="1">
        <v>1102</v>
      </c>
      <c r="Z5251" s="1">
        <v>1103</v>
      </c>
      <c r="AA5251" s="1" t="s">
        <v>24</v>
      </c>
      <c r="AB5251" s="1" t="s">
        <v>24</v>
      </c>
      <c r="AC5251" s="1" t="s">
        <v>24</v>
      </c>
      <c r="AD5251" s="1" t="s">
        <v>24</v>
      </c>
      <c r="AE5251" s="1" t="s">
        <v>24</v>
      </c>
      <c r="AF5251" s="22"/>
    </row>
    <row r="5252" spans="1:32" x14ac:dyDescent="0.2">
      <c r="A5252" s="1">
        <v>49325</v>
      </c>
      <c r="B5252" s="1" t="s">
        <v>15779</v>
      </c>
      <c r="C5252" s="5" t="s">
        <v>0</v>
      </c>
      <c r="D5252" s="1" t="s">
        <v>15780</v>
      </c>
      <c r="E5252" s="1" t="s">
        <v>15781</v>
      </c>
      <c r="F5252" s="1" t="s">
        <v>198</v>
      </c>
      <c r="G5252" s="1" t="s">
        <v>130</v>
      </c>
      <c r="H5252" s="1" t="s">
        <v>86</v>
      </c>
      <c r="I5252" s="1" t="s">
        <v>16</v>
      </c>
      <c r="J5252" s="1">
        <v>1</v>
      </c>
      <c r="K5252" s="1">
        <v>6</v>
      </c>
      <c r="L5252" s="1" t="s">
        <v>31</v>
      </c>
      <c r="M5252" s="1" t="s">
        <v>87</v>
      </c>
      <c r="N5252" s="1" t="s">
        <v>199</v>
      </c>
      <c r="O5252" s="1">
        <v>3</v>
      </c>
      <c r="P5252" s="1">
        <v>6</v>
      </c>
      <c r="R5252" s="1" t="s">
        <v>19</v>
      </c>
      <c r="S5252" s="1" t="s">
        <v>20</v>
      </c>
      <c r="T5252" s="1" t="s">
        <v>21</v>
      </c>
      <c r="U5252" s="1" t="s">
        <v>22</v>
      </c>
      <c r="V5252" s="1" t="s">
        <v>23</v>
      </c>
      <c r="W5252" s="1" t="s">
        <v>24</v>
      </c>
      <c r="X5252" s="1">
        <v>2711</v>
      </c>
      <c r="Y5252" s="1" t="s">
        <v>24</v>
      </c>
      <c r="Z5252" s="1" t="s">
        <v>24</v>
      </c>
      <c r="AA5252" s="1" t="s">
        <v>24</v>
      </c>
      <c r="AB5252" s="1" t="s">
        <v>24</v>
      </c>
      <c r="AC5252" s="1" t="s">
        <v>24</v>
      </c>
      <c r="AD5252" s="1" t="s">
        <v>24</v>
      </c>
      <c r="AE5252" s="1" t="s">
        <v>24</v>
      </c>
      <c r="AF5252" s="22"/>
    </row>
    <row r="5253" spans="1:32" x14ac:dyDescent="0.2">
      <c r="A5253" s="1">
        <v>49326</v>
      </c>
      <c r="B5253" s="1" t="s">
        <v>15782</v>
      </c>
      <c r="C5253" s="5" t="s">
        <v>0</v>
      </c>
      <c r="D5253" s="1" t="s">
        <v>15783</v>
      </c>
      <c r="E5253" s="1" t="s">
        <v>15784</v>
      </c>
      <c r="F5253" s="1" t="s">
        <v>1977</v>
      </c>
      <c r="G5253" s="1" t="s">
        <v>130</v>
      </c>
      <c r="H5253" s="1" t="s">
        <v>899</v>
      </c>
      <c r="I5253" s="1" t="s">
        <v>16</v>
      </c>
      <c r="J5253" s="1">
        <v>1</v>
      </c>
      <c r="K5253" s="1">
        <v>4</v>
      </c>
      <c r="L5253" s="1" t="s">
        <v>31</v>
      </c>
      <c r="M5253" s="1" t="s">
        <v>18</v>
      </c>
      <c r="N5253" s="1" t="s">
        <v>18</v>
      </c>
      <c r="O5253" s="1">
        <v>3</v>
      </c>
      <c r="P5253" s="1">
        <v>7</v>
      </c>
      <c r="Q5253" s="7" t="s">
        <v>17633</v>
      </c>
      <c r="R5253" s="1" t="s">
        <v>19</v>
      </c>
      <c r="S5253" s="1" t="s">
        <v>20</v>
      </c>
      <c r="T5253" s="1" t="s">
        <v>21</v>
      </c>
      <c r="U5253" s="1" t="s">
        <v>22</v>
      </c>
      <c r="V5253" s="1" t="s">
        <v>23</v>
      </c>
      <c r="W5253" s="1" t="s">
        <v>24</v>
      </c>
      <c r="X5253" s="1">
        <v>2746</v>
      </c>
      <c r="Y5253" s="1">
        <v>2730</v>
      </c>
      <c r="Z5253" s="1" t="s">
        <v>24</v>
      </c>
      <c r="AA5253" s="1" t="s">
        <v>24</v>
      </c>
      <c r="AB5253" s="1" t="s">
        <v>24</v>
      </c>
      <c r="AC5253" s="1" t="s">
        <v>24</v>
      </c>
      <c r="AD5253" s="1" t="s">
        <v>24</v>
      </c>
      <c r="AE5253" s="1" t="s">
        <v>24</v>
      </c>
      <c r="AF5253" s="22"/>
    </row>
    <row r="5254" spans="1:32" x14ac:dyDescent="0.2">
      <c r="A5254" s="1">
        <v>49327</v>
      </c>
      <c r="B5254" s="1" t="s">
        <v>15785</v>
      </c>
      <c r="C5254" s="5" t="s">
        <v>0</v>
      </c>
      <c r="D5254" s="1" t="s">
        <v>15786</v>
      </c>
      <c r="E5254" s="1" t="s">
        <v>15787</v>
      </c>
      <c r="F5254" s="1" t="s">
        <v>1808</v>
      </c>
      <c r="G5254" s="1" t="s">
        <v>130</v>
      </c>
      <c r="H5254" s="1" t="s">
        <v>461</v>
      </c>
      <c r="I5254" s="1" t="s">
        <v>16</v>
      </c>
      <c r="J5254" s="1">
        <v>1</v>
      </c>
      <c r="K5254" s="1">
        <v>4</v>
      </c>
      <c r="L5254" s="1" t="s">
        <v>31</v>
      </c>
      <c r="M5254" s="1" t="s">
        <v>18</v>
      </c>
      <c r="N5254" s="1" t="s">
        <v>18</v>
      </c>
      <c r="O5254" s="1">
        <v>3</v>
      </c>
      <c r="P5254" s="1">
        <v>7</v>
      </c>
      <c r="Q5254" s="7" t="s">
        <v>17633</v>
      </c>
      <c r="R5254" s="1" t="s">
        <v>19</v>
      </c>
      <c r="S5254" s="1" t="s">
        <v>20</v>
      </c>
      <c r="T5254" s="1" t="s">
        <v>21</v>
      </c>
      <c r="U5254" s="1" t="s">
        <v>22</v>
      </c>
      <c r="V5254" s="1" t="s">
        <v>23</v>
      </c>
      <c r="W5254" s="1" t="s">
        <v>24</v>
      </c>
      <c r="X5254" s="1">
        <v>2712</v>
      </c>
      <c r="Y5254" s="1">
        <v>2724</v>
      </c>
      <c r="Z5254" s="1" t="s">
        <v>24</v>
      </c>
      <c r="AA5254" s="1" t="s">
        <v>24</v>
      </c>
      <c r="AB5254" s="1" t="s">
        <v>24</v>
      </c>
      <c r="AC5254" s="1" t="s">
        <v>24</v>
      </c>
      <c r="AD5254" s="1" t="s">
        <v>24</v>
      </c>
      <c r="AE5254" s="1" t="s">
        <v>24</v>
      </c>
      <c r="AF5254" s="22"/>
    </row>
    <row r="5255" spans="1:32" x14ac:dyDescent="0.2">
      <c r="A5255" s="1">
        <v>49328</v>
      </c>
      <c r="B5255" s="1" t="s">
        <v>15788</v>
      </c>
      <c r="C5255" s="5" t="s">
        <v>0</v>
      </c>
      <c r="D5255" s="1" t="s">
        <v>15789</v>
      </c>
      <c r="E5255" s="1" t="s">
        <v>15790</v>
      </c>
      <c r="F5255" s="1" t="s">
        <v>1808</v>
      </c>
      <c r="G5255" s="1" t="s">
        <v>130</v>
      </c>
      <c r="H5255" s="1" t="s">
        <v>461</v>
      </c>
      <c r="I5255" s="1" t="s">
        <v>16</v>
      </c>
      <c r="J5255" s="1">
        <v>1</v>
      </c>
      <c r="K5255" s="1">
        <v>3</v>
      </c>
      <c r="L5255" s="1" t="s">
        <v>31</v>
      </c>
      <c r="M5255" s="1" t="s">
        <v>18</v>
      </c>
      <c r="N5255" s="1" t="s">
        <v>18</v>
      </c>
      <c r="O5255" s="1">
        <v>3</v>
      </c>
      <c r="P5255" s="1">
        <v>7</v>
      </c>
      <c r="Q5255" s="7" t="s">
        <v>17633</v>
      </c>
      <c r="R5255" s="1" t="s">
        <v>19</v>
      </c>
      <c r="S5255" s="1" t="s">
        <v>20</v>
      </c>
      <c r="T5255" s="1" t="s">
        <v>21</v>
      </c>
      <c r="U5255" s="1" t="s">
        <v>22</v>
      </c>
      <c r="V5255" s="1" t="s">
        <v>23</v>
      </c>
      <c r="W5255" s="1" t="s">
        <v>24</v>
      </c>
      <c r="X5255" s="1">
        <v>2705</v>
      </c>
      <c r="Y5255" s="1">
        <v>2741</v>
      </c>
      <c r="Z5255" s="1" t="s">
        <v>24</v>
      </c>
      <c r="AA5255" s="1" t="s">
        <v>24</v>
      </c>
      <c r="AB5255" s="1" t="s">
        <v>24</v>
      </c>
      <c r="AC5255" s="1" t="s">
        <v>24</v>
      </c>
      <c r="AD5255" s="1" t="s">
        <v>24</v>
      </c>
      <c r="AE5255" s="1" t="s">
        <v>24</v>
      </c>
      <c r="AF5255" s="22"/>
    </row>
    <row r="5256" spans="1:32" x14ac:dyDescent="0.2">
      <c r="A5256" s="1">
        <v>49329</v>
      </c>
      <c r="B5256" s="1" t="s">
        <v>15791</v>
      </c>
      <c r="C5256" s="5" t="s">
        <v>0</v>
      </c>
      <c r="D5256" s="1" t="s">
        <v>15792</v>
      </c>
      <c r="E5256" s="1" t="s">
        <v>15793</v>
      </c>
      <c r="F5256" s="1" t="s">
        <v>217</v>
      </c>
      <c r="G5256" s="1" t="s">
        <v>130</v>
      </c>
      <c r="H5256" s="1" t="s">
        <v>92</v>
      </c>
      <c r="I5256" s="1" t="s">
        <v>16</v>
      </c>
      <c r="J5256" s="1">
        <v>1</v>
      </c>
      <c r="K5256" s="1">
        <v>4</v>
      </c>
      <c r="L5256" s="1" t="s">
        <v>31</v>
      </c>
      <c r="M5256" s="1" t="s">
        <v>18</v>
      </c>
      <c r="N5256" s="1" t="s">
        <v>18</v>
      </c>
      <c r="O5256" s="1">
        <v>2</v>
      </c>
      <c r="P5256" s="1">
        <v>7</v>
      </c>
      <c r="Q5256" s="7" t="s">
        <v>17633</v>
      </c>
      <c r="R5256" s="1" t="s">
        <v>19</v>
      </c>
      <c r="S5256" s="1" t="s">
        <v>20</v>
      </c>
      <c r="T5256" s="1" t="s">
        <v>21</v>
      </c>
      <c r="U5256" s="1" t="s">
        <v>22</v>
      </c>
      <c r="V5256" s="1" t="s">
        <v>23</v>
      </c>
      <c r="W5256" s="1" t="s">
        <v>24</v>
      </c>
      <c r="X5256" s="1">
        <v>2707</v>
      </c>
      <c r="Y5256" s="1" t="s">
        <v>24</v>
      </c>
      <c r="Z5256" s="1" t="s">
        <v>24</v>
      </c>
      <c r="AA5256" s="1" t="s">
        <v>24</v>
      </c>
      <c r="AB5256" s="1" t="s">
        <v>24</v>
      </c>
      <c r="AC5256" s="1" t="s">
        <v>24</v>
      </c>
      <c r="AD5256" s="1" t="s">
        <v>24</v>
      </c>
      <c r="AE5256" s="1" t="s">
        <v>24</v>
      </c>
      <c r="AF5256" s="22"/>
    </row>
    <row r="5257" spans="1:32" x14ac:dyDescent="0.2">
      <c r="A5257" s="1">
        <v>49330</v>
      </c>
      <c r="B5257" s="1" t="s">
        <v>15794</v>
      </c>
      <c r="C5257" s="5" t="s">
        <v>0</v>
      </c>
      <c r="D5257" s="1" t="s">
        <v>15795</v>
      </c>
      <c r="F5257" s="1" t="s">
        <v>217</v>
      </c>
      <c r="G5257" s="1" t="s">
        <v>130</v>
      </c>
      <c r="H5257" s="1" t="s">
        <v>92</v>
      </c>
      <c r="I5257" s="1" t="s">
        <v>112</v>
      </c>
      <c r="J5257" s="1">
        <v>0</v>
      </c>
      <c r="K5257" s="1">
        <v>0</v>
      </c>
      <c r="L5257" s="1" t="s">
        <v>31</v>
      </c>
      <c r="M5257" s="1" t="s">
        <v>18</v>
      </c>
      <c r="N5257" s="1" t="s">
        <v>18</v>
      </c>
      <c r="O5257" s="1">
        <v>3</v>
      </c>
      <c r="P5257" s="1">
        <v>7</v>
      </c>
      <c r="Q5257" s="7" t="s">
        <v>17633</v>
      </c>
      <c r="R5257" s="1" t="s">
        <v>19</v>
      </c>
      <c r="S5257" s="1" t="s">
        <v>20</v>
      </c>
      <c r="T5257" s="1" t="s">
        <v>21</v>
      </c>
      <c r="U5257" s="1" t="s">
        <v>22</v>
      </c>
      <c r="V5257" s="1" t="s">
        <v>23</v>
      </c>
      <c r="W5257" s="1" t="s">
        <v>24</v>
      </c>
      <c r="X5257" s="1">
        <v>1306</v>
      </c>
      <c r="Y5257" s="1">
        <v>2730</v>
      </c>
      <c r="Z5257" s="1" t="s">
        <v>24</v>
      </c>
      <c r="AA5257" s="1" t="s">
        <v>24</v>
      </c>
      <c r="AB5257" s="1" t="s">
        <v>24</v>
      </c>
      <c r="AC5257" s="1" t="s">
        <v>24</v>
      </c>
      <c r="AD5257" s="1" t="s">
        <v>24</v>
      </c>
      <c r="AE5257" s="1" t="s">
        <v>24</v>
      </c>
      <c r="AF5257" s="22" t="s">
        <v>17679</v>
      </c>
    </row>
    <row r="5258" spans="1:32" x14ac:dyDescent="0.2">
      <c r="A5258" s="1">
        <v>49331</v>
      </c>
      <c r="B5258" s="1" t="s">
        <v>15796</v>
      </c>
      <c r="C5258" s="5" t="s">
        <v>0</v>
      </c>
      <c r="D5258" s="1" t="s">
        <v>15797</v>
      </c>
      <c r="E5258" s="1" t="s">
        <v>15798</v>
      </c>
      <c r="F5258" s="1" t="s">
        <v>190</v>
      </c>
      <c r="G5258" s="1" t="s">
        <v>130</v>
      </c>
      <c r="H5258" s="1" t="s">
        <v>30</v>
      </c>
      <c r="I5258" s="1" t="s">
        <v>16</v>
      </c>
      <c r="J5258" s="1">
        <v>1</v>
      </c>
      <c r="K5258" s="1">
        <v>4</v>
      </c>
      <c r="L5258" s="1" t="s">
        <v>31</v>
      </c>
      <c r="M5258" s="1" t="s">
        <v>18</v>
      </c>
      <c r="N5258" s="1" t="s">
        <v>18</v>
      </c>
      <c r="O5258" s="1">
        <v>3</v>
      </c>
      <c r="P5258" s="1">
        <v>7</v>
      </c>
      <c r="Q5258" s="7" t="s">
        <v>17633</v>
      </c>
      <c r="R5258" s="1" t="s">
        <v>19</v>
      </c>
      <c r="S5258" s="1" t="s">
        <v>20</v>
      </c>
      <c r="T5258" s="1" t="s">
        <v>21</v>
      </c>
      <c r="U5258" s="1" t="s">
        <v>22</v>
      </c>
      <c r="V5258" s="1" t="s">
        <v>24</v>
      </c>
      <c r="W5258" s="1" t="s">
        <v>24</v>
      </c>
      <c r="X5258" s="1">
        <v>2802</v>
      </c>
      <c r="Y5258" s="1">
        <v>3202</v>
      </c>
      <c r="Z5258" s="1" t="s">
        <v>24</v>
      </c>
      <c r="AA5258" s="1" t="s">
        <v>24</v>
      </c>
      <c r="AB5258" s="1" t="s">
        <v>24</v>
      </c>
      <c r="AC5258" s="1" t="s">
        <v>24</v>
      </c>
      <c r="AD5258" s="1" t="s">
        <v>24</v>
      </c>
      <c r="AE5258" s="1" t="s">
        <v>24</v>
      </c>
      <c r="AF5258" s="22"/>
    </row>
    <row r="5259" spans="1:32" x14ac:dyDescent="0.2">
      <c r="A5259" s="1">
        <v>49332</v>
      </c>
      <c r="B5259" s="1" t="s">
        <v>15799</v>
      </c>
      <c r="C5259" s="5" t="s">
        <v>0</v>
      </c>
      <c r="E5259" s="1" t="s">
        <v>15800</v>
      </c>
      <c r="F5259" s="1" t="s">
        <v>179</v>
      </c>
      <c r="G5259" s="1" t="s">
        <v>130</v>
      </c>
      <c r="H5259" s="1" t="s">
        <v>30</v>
      </c>
      <c r="I5259" s="1" t="s">
        <v>16</v>
      </c>
      <c r="J5259" s="1">
        <v>1</v>
      </c>
      <c r="K5259" s="1">
        <v>1</v>
      </c>
      <c r="L5259" s="1" t="s">
        <v>31</v>
      </c>
      <c r="M5259" s="1" t="s">
        <v>18</v>
      </c>
      <c r="N5259" s="1" t="s">
        <v>18</v>
      </c>
      <c r="O5259" s="1">
        <v>2</v>
      </c>
      <c r="P5259" s="1">
        <v>7</v>
      </c>
      <c r="Q5259" s="7" t="s">
        <v>17633</v>
      </c>
      <c r="R5259" s="1" t="s">
        <v>19</v>
      </c>
      <c r="S5259" s="1" t="s">
        <v>63</v>
      </c>
      <c r="T5259" s="1" t="s">
        <v>21</v>
      </c>
      <c r="U5259" s="1" t="s">
        <v>22</v>
      </c>
      <c r="V5259" s="1" t="s">
        <v>23</v>
      </c>
      <c r="W5259" s="1" t="s">
        <v>24</v>
      </c>
      <c r="X5259" s="1">
        <v>2708</v>
      </c>
      <c r="Y5259" s="1" t="s">
        <v>24</v>
      </c>
      <c r="Z5259" s="1" t="s">
        <v>24</v>
      </c>
      <c r="AA5259" s="1" t="s">
        <v>24</v>
      </c>
      <c r="AB5259" s="1" t="s">
        <v>24</v>
      </c>
      <c r="AC5259" s="1" t="s">
        <v>24</v>
      </c>
      <c r="AD5259" s="1" t="s">
        <v>24</v>
      </c>
      <c r="AE5259" s="1" t="s">
        <v>24</v>
      </c>
      <c r="AF5259" s="22"/>
    </row>
    <row r="5260" spans="1:32" x14ac:dyDescent="0.2">
      <c r="A5260" s="1">
        <v>49333</v>
      </c>
      <c r="B5260" s="1" t="s">
        <v>15801</v>
      </c>
      <c r="C5260" s="5" t="s">
        <v>0</v>
      </c>
      <c r="D5260" s="1" t="s">
        <v>15802</v>
      </c>
      <c r="E5260" s="1" t="s">
        <v>15803</v>
      </c>
      <c r="F5260" s="1" t="s">
        <v>167</v>
      </c>
      <c r="G5260" s="1" t="s">
        <v>130</v>
      </c>
      <c r="H5260" s="1" t="s">
        <v>168</v>
      </c>
      <c r="I5260" s="1" t="s">
        <v>16</v>
      </c>
      <c r="J5260" s="1">
        <v>1</v>
      </c>
      <c r="K5260" s="1">
        <v>6</v>
      </c>
      <c r="L5260" s="1" t="s">
        <v>31</v>
      </c>
      <c r="M5260" s="1" t="s">
        <v>18</v>
      </c>
      <c r="N5260" s="1" t="s">
        <v>18</v>
      </c>
      <c r="O5260" s="1">
        <v>3</v>
      </c>
      <c r="P5260" s="1">
        <v>7</v>
      </c>
      <c r="Q5260" s="7" t="s">
        <v>17633</v>
      </c>
      <c r="R5260" s="1" t="s">
        <v>19</v>
      </c>
      <c r="S5260" s="1" t="s">
        <v>20</v>
      </c>
      <c r="T5260" s="1" t="s">
        <v>21</v>
      </c>
      <c r="U5260" s="1" t="s">
        <v>22</v>
      </c>
      <c r="V5260" s="1" t="s">
        <v>24</v>
      </c>
      <c r="W5260" s="1" t="s">
        <v>24</v>
      </c>
      <c r="X5260" s="1">
        <v>3003</v>
      </c>
      <c r="Y5260" s="1" t="s">
        <v>24</v>
      </c>
      <c r="Z5260" s="1" t="s">
        <v>24</v>
      </c>
      <c r="AA5260" s="1" t="s">
        <v>24</v>
      </c>
      <c r="AB5260" s="1" t="s">
        <v>24</v>
      </c>
      <c r="AC5260" s="1" t="s">
        <v>24</v>
      </c>
      <c r="AD5260" s="1" t="s">
        <v>24</v>
      </c>
      <c r="AE5260" s="1" t="s">
        <v>24</v>
      </c>
      <c r="AF5260" s="22"/>
    </row>
    <row r="5261" spans="1:32" x14ac:dyDescent="0.2">
      <c r="A5261" s="1">
        <v>49334</v>
      </c>
      <c r="B5261" s="1" t="s">
        <v>15804</v>
      </c>
      <c r="C5261" s="5" t="s">
        <v>0</v>
      </c>
      <c r="E5261" s="1" t="s">
        <v>15805</v>
      </c>
      <c r="F5261" s="1" t="s">
        <v>167</v>
      </c>
      <c r="G5261" s="1" t="s">
        <v>130</v>
      </c>
      <c r="H5261" s="1" t="s">
        <v>168</v>
      </c>
      <c r="I5261" s="1" t="s">
        <v>16</v>
      </c>
      <c r="J5261" s="1">
        <v>1</v>
      </c>
      <c r="K5261" s="1">
        <v>4</v>
      </c>
      <c r="L5261" s="1" t="s">
        <v>31</v>
      </c>
      <c r="M5261" s="1" t="s">
        <v>18</v>
      </c>
      <c r="N5261" s="1" t="s">
        <v>18</v>
      </c>
      <c r="O5261" s="1">
        <v>2</v>
      </c>
      <c r="P5261" s="1">
        <v>7</v>
      </c>
      <c r="Q5261" s="7" t="s">
        <v>17633</v>
      </c>
      <c r="R5261" s="1" t="s">
        <v>19</v>
      </c>
      <c r="S5261" s="1" t="s">
        <v>63</v>
      </c>
      <c r="T5261" s="1" t="s">
        <v>21</v>
      </c>
      <c r="U5261" s="1" t="s">
        <v>22</v>
      </c>
      <c r="V5261" s="1" t="s">
        <v>23</v>
      </c>
      <c r="W5261" s="1" t="s">
        <v>24</v>
      </c>
      <c r="X5261" s="1">
        <v>2731</v>
      </c>
      <c r="Y5261" s="1">
        <v>2725</v>
      </c>
      <c r="Z5261" s="1" t="s">
        <v>24</v>
      </c>
      <c r="AA5261" s="1" t="s">
        <v>24</v>
      </c>
      <c r="AB5261" s="1" t="s">
        <v>24</v>
      </c>
      <c r="AC5261" s="1" t="s">
        <v>24</v>
      </c>
      <c r="AD5261" s="1" t="s">
        <v>24</v>
      </c>
      <c r="AE5261" s="1" t="s">
        <v>24</v>
      </c>
      <c r="AF5261" s="22"/>
    </row>
    <row r="5262" spans="1:32" x14ac:dyDescent="0.2">
      <c r="A5262" s="1">
        <v>49335</v>
      </c>
      <c r="B5262" s="1" t="s">
        <v>15806</v>
      </c>
      <c r="C5262" s="5" t="s">
        <v>0</v>
      </c>
      <c r="E5262" s="1" t="s">
        <v>15807</v>
      </c>
      <c r="F5262" s="1" t="s">
        <v>167</v>
      </c>
      <c r="G5262" s="1" t="s">
        <v>130</v>
      </c>
      <c r="H5262" s="1" t="s">
        <v>168</v>
      </c>
      <c r="I5262" s="1" t="s">
        <v>16</v>
      </c>
      <c r="J5262" s="1">
        <v>1</v>
      </c>
      <c r="K5262" s="1">
        <v>1</v>
      </c>
      <c r="L5262" s="1" t="s">
        <v>31</v>
      </c>
      <c r="M5262" s="1" t="s">
        <v>18</v>
      </c>
      <c r="N5262" s="1" t="s">
        <v>18</v>
      </c>
      <c r="O5262" s="1">
        <v>3</v>
      </c>
      <c r="P5262" s="1">
        <v>7</v>
      </c>
      <c r="Q5262" s="7" t="s">
        <v>17633</v>
      </c>
      <c r="R5262" s="1" t="s">
        <v>19</v>
      </c>
      <c r="S5262" s="1" t="s">
        <v>63</v>
      </c>
      <c r="T5262" s="1" t="s">
        <v>21</v>
      </c>
      <c r="U5262" s="1" t="s">
        <v>22</v>
      </c>
      <c r="V5262" s="1" t="s">
        <v>23</v>
      </c>
      <c r="W5262" s="1" t="s">
        <v>24</v>
      </c>
      <c r="X5262" s="1">
        <v>2706</v>
      </c>
      <c r="Y5262" s="1" t="s">
        <v>24</v>
      </c>
      <c r="Z5262" s="1" t="s">
        <v>24</v>
      </c>
      <c r="AA5262" s="1" t="s">
        <v>24</v>
      </c>
      <c r="AB5262" s="1" t="s">
        <v>24</v>
      </c>
      <c r="AC5262" s="1" t="s">
        <v>24</v>
      </c>
      <c r="AD5262" s="1" t="s">
        <v>24</v>
      </c>
      <c r="AE5262" s="1" t="s">
        <v>24</v>
      </c>
      <c r="AF5262" s="22"/>
    </row>
    <row r="5263" spans="1:32" x14ac:dyDescent="0.2">
      <c r="A5263" s="1">
        <v>49336</v>
      </c>
      <c r="B5263" s="1" t="s">
        <v>15808</v>
      </c>
      <c r="C5263" s="5" t="s">
        <v>0</v>
      </c>
      <c r="D5263" s="1" t="s">
        <v>15809</v>
      </c>
      <c r="E5263" s="1" t="s">
        <v>15810</v>
      </c>
      <c r="F5263" s="1" t="s">
        <v>167</v>
      </c>
      <c r="G5263" s="1" t="s">
        <v>130</v>
      </c>
      <c r="H5263" s="1" t="s">
        <v>168</v>
      </c>
      <c r="I5263" s="1" t="s">
        <v>112</v>
      </c>
      <c r="J5263" s="1">
        <v>0</v>
      </c>
      <c r="K5263" s="1">
        <v>0</v>
      </c>
      <c r="L5263" s="1" t="s">
        <v>31</v>
      </c>
      <c r="M5263" s="1" t="s">
        <v>18</v>
      </c>
      <c r="N5263" s="1" t="s">
        <v>18</v>
      </c>
      <c r="O5263" s="1">
        <v>3</v>
      </c>
      <c r="P5263" s="1">
        <v>7</v>
      </c>
      <c r="Q5263" s="7" t="s">
        <v>17633</v>
      </c>
      <c r="R5263" s="1" t="s">
        <v>19</v>
      </c>
      <c r="S5263" s="1" t="s">
        <v>20</v>
      </c>
      <c r="T5263" s="1" t="s">
        <v>21</v>
      </c>
      <c r="U5263" s="1" t="s">
        <v>22</v>
      </c>
      <c r="V5263" s="1" t="s">
        <v>23</v>
      </c>
      <c r="W5263" s="1" t="s">
        <v>24</v>
      </c>
      <c r="X5263" s="1">
        <v>1301</v>
      </c>
      <c r="Y5263" s="1">
        <v>2701</v>
      </c>
      <c r="Z5263" s="1">
        <v>1311</v>
      </c>
      <c r="AA5263" s="1" t="s">
        <v>24</v>
      </c>
      <c r="AB5263" s="1" t="s">
        <v>24</v>
      </c>
      <c r="AC5263" s="1" t="s">
        <v>24</v>
      </c>
      <c r="AD5263" s="1" t="s">
        <v>24</v>
      </c>
      <c r="AE5263" s="1" t="s">
        <v>24</v>
      </c>
      <c r="AF5263" s="22"/>
    </row>
    <row r="5264" spans="1:32" x14ac:dyDescent="0.2">
      <c r="A5264" s="1">
        <v>49337</v>
      </c>
      <c r="B5264" s="1" t="s">
        <v>15811</v>
      </c>
      <c r="C5264" s="5" t="s">
        <v>0</v>
      </c>
      <c r="D5264" s="1" t="s">
        <v>15812</v>
      </c>
      <c r="F5264" s="1" t="s">
        <v>167</v>
      </c>
      <c r="G5264" s="1" t="s">
        <v>130</v>
      </c>
      <c r="H5264" s="1" t="s">
        <v>168</v>
      </c>
      <c r="I5264" s="1" t="s">
        <v>112</v>
      </c>
      <c r="J5264" s="1">
        <v>0</v>
      </c>
      <c r="K5264" s="1">
        <v>0</v>
      </c>
      <c r="L5264" s="1" t="s">
        <v>31</v>
      </c>
      <c r="M5264" s="1" t="s">
        <v>18</v>
      </c>
      <c r="N5264" s="1" t="s">
        <v>18</v>
      </c>
      <c r="O5264" s="1">
        <v>3</v>
      </c>
      <c r="P5264" s="1">
        <v>7</v>
      </c>
      <c r="Q5264" s="7" t="s">
        <v>17633</v>
      </c>
      <c r="R5264" s="1" t="s">
        <v>19</v>
      </c>
      <c r="S5264" s="1" t="s">
        <v>20</v>
      </c>
      <c r="T5264" s="1" t="s">
        <v>21</v>
      </c>
      <c r="U5264" s="1" t="s">
        <v>22</v>
      </c>
      <c r="V5264" s="1" t="s">
        <v>23</v>
      </c>
      <c r="W5264" s="1" t="s">
        <v>24</v>
      </c>
      <c r="X5264" s="1">
        <v>2712</v>
      </c>
      <c r="Y5264" s="1">
        <v>1310</v>
      </c>
      <c r="Z5264" s="1" t="s">
        <v>24</v>
      </c>
      <c r="AA5264" s="1" t="s">
        <v>24</v>
      </c>
      <c r="AB5264" s="1" t="s">
        <v>24</v>
      </c>
      <c r="AC5264" s="1" t="s">
        <v>24</v>
      </c>
      <c r="AD5264" s="1" t="s">
        <v>24</v>
      </c>
      <c r="AE5264" s="1" t="s">
        <v>24</v>
      </c>
      <c r="AF5264" s="22" t="s">
        <v>17679</v>
      </c>
    </row>
    <row r="5265" spans="1:32" x14ac:dyDescent="0.2">
      <c r="A5265" s="1">
        <v>49338</v>
      </c>
      <c r="B5265" s="1" t="s">
        <v>15813</v>
      </c>
      <c r="C5265" s="5" t="s">
        <v>0</v>
      </c>
      <c r="D5265" s="1" t="s">
        <v>15814</v>
      </c>
      <c r="F5265" s="1" t="s">
        <v>167</v>
      </c>
      <c r="G5265" s="1" t="s">
        <v>130</v>
      </c>
      <c r="H5265" s="1" t="s">
        <v>168</v>
      </c>
      <c r="I5265" s="1" t="s">
        <v>112</v>
      </c>
      <c r="J5265" s="1">
        <v>0</v>
      </c>
      <c r="K5265" s="1">
        <v>0</v>
      </c>
      <c r="L5265" s="1" t="s">
        <v>31</v>
      </c>
      <c r="M5265" s="1" t="s">
        <v>18</v>
      </c>
      <c r="N5265" s="1" t="s">
        <v>18</v>
      </c>
      <c r="O5265" s="1">
        <v>2</v>
      </c>
      <c r="P5265" s="1">
        <v>7</v>
      </c>
      <c r="Q5265" s="7" t="s">
        <v>17633</v>
      </c>
      <c r="R5265" s="1" t="s">
        <v>19</v>
      </c>
      <c r="S5265" s="1" t="s">
        <v>20</v>
      </c>
      <c r="T5265" s="1" t="s">
        <v>21</v>
      </c>
      <c r="U5265" s="1" t="s">
        <v>22</v>
      </c>
      <c r="V5265" s="1" t="s">
        <v>23</v>
      </c>
      <c r="W5265" s="1" t="s">
        <v>24</v>
      </c>
      <c r="X5265" s="1">
        <v>2800</v>
      </c>
      <c r="Y5265" s="1" t="s">
        <v>24</v>
      </c>
      <c r="Z5265" s="1" t="s">
        <v>24</v>
      </c>
      <c r="AA5265" s="1" t="s">
        <v>24</v>
      </c>
      <c r="AB5265" s="1" t="s">
        <v>24</v>
      </c>
      <c r="AC5265" s="1" t="s">
        <v>24</v>
      </c>
      <c r="AD5265" s="1" t="s">
        <v>24</v>
      </c>
      <c r="AE5265" s="1" t="s">
        <v>24</v>
      </c>
      <c r="AF5265" s="22" t="s">
        <v>17679</v>
      </c>
    </row>
    <row r="5266" spans="1:32" x14ac:dyDescent="0.2">
      <c r="A5266" s="1">
        <v>49339</v>
      </c>
      <c r="B5266" s="1" t="s">
        <v>15815</v>
      </c>
      <c r="C5266" s="5" t="s">
        <v>0</v>
      </c>
      <c r="D5266" s="1" t="s">
        <v>15816</v>
      </c>
      <c r="E5266" s="1" t="s">
        <v>15817</v>
      </c>
      <c r="F5266" s="1" t="s">
        <v>167</v>
      </c>
      <c r="G5266" s="1" t="s">
        <v>130</v>
      </c>
      <c r="H5266" s="1" t="s">
        <v>168</v>
      </c>
      <c r="I5266" s="1" t="s">
        <v>16</v>
      </c>
      <c r="J5266" s="1">
        <v>1</v>
      </c>
      <c r="K5266" s="1">
        <v>4</v>
      </c>
      <c r="L5266" s="1" t="s">
        <v>31</v>
      </c>
      <c r="M5266" s="1" t="s">
        <v>18</v>
      </c>
      <c r="N5266" s="1" t="s">
        <v>18</v>
      </c>
      <c r="O5266" s="1">
        <v>3</v>
      </c>
      <c r="P5266" s="1">
        <v>7</v>
      </c>
      <c r="Q5266" s="7" t="s">
        <v>17633</v>
      </c>
      <c r="R5266" s="1" t="s">
        <v>19</v>
      </c>
      <c r="S5266" s="1" t="s">
        <v>20</v>
      </c>
      <c r="T5266" s="1" t="s">
        <v>21</v>
      </c>
      <c r="U5266" s="1" t="s">
        <v>22</v>
      </c>
      <c r="V5266" s="1" t="s">
        <v>23</v>
      </c>
      <c r="W5266" s="1" t="s">
        <v>24</v>
      </c>
      <c r="X5266" s="1">
        <v>2732</v>
      </c>
      <c r="Y5266" s="1">
        <v>2737</v>
      </c>
      <c r="Z5266" s="1" t="s">
        <v>24</v>
      </c>
      <c r="AA5266" s="1" t="s">
        <v>24</v>
      </c>
      <c r="AB5266" s="1" t="s">
        <v>24</v>
      </c>
      <c r="AC5266" s="1" t="s">
        <v>24</v>
      </c>
      <c r="AD5266" s="1" t="s">
        <v>24</v>
      </c>
      <c r="AE5266" s="1" t="s">
        <v>24</v>
      </c>
      <c r="AF5266" s="22"/>
    </row>
    <row r="5267" spans="1:32" x14ac:dyDescent="0.2">
      <c r="A5267" s="1">
        <v>49340</v>
      </c>
      <c r="B5267" s="1" t="s">
        <v>15818</v>
      </c>
      <c r="C5267" s="5" t="s">
        <v>0</v>
      </c>
      <c r="E5267" s="1" t="s">
        <v>15819</v>
      </c>
      <c r="F5267" s="1" t="s">
        <v>167</v>
      </c>
      <c r="G5267" s="1" t="s">
        <v>130</v>
      </c>
      <c r="H5267" s="1" t="s">
        <v>168</v>
      </c>
      <c r="I5267" s="1" t="s">
        <v>16</v>
      </c>
      <c r="J5267" s="1">
        <v>1</v>
      </c>
      <c r="K5267" s="1">
        <v>1</v>
      </c>
      <c r="L5267" s="1" t="s">
        <v>31</v>
      </c>
      <c r="M5267" s="1" t="s">
        <v>18</v>
      </c>
      <c r="N5267" s="1" t="s">
        <v>18</v>
      </c>
      <c r="O5267" s="1">
        <v>3</v>
      </c>
      <c r="P5267" s="1">
        <v>7</v>
      </c>
      <c r="Q5267" s="7" t="s">
        <v>17633</v>
      </c>
      <c r="R5267" s="1" t="s">
        <v>19</v>
      </c>
      <c r="S5267" s="1" t="s">
        <v>63</v>
      </c>
      <c r="T5267" s="1" t="s">
        <v>21</v>
      </c>
      <c r="U5267" s="1" t="s">
        <v>22</v>
      </c>
      <c r="V5267" s="1" t="s">
        <v>24</v>
      </c>
      <c r="W5267" s="1" t="s">
        <v>24</v>
      </c>
      <c r="X5267" s="1">
        <v>2801</v>
      </c>
      <c r="Y5267" s="1" t="s">
        <v>24</v>
      </c>
      <c r="Z5267" s="1" t="s">
        <v>24</v>
      </c>
      <c r="AA5267" s="1" t="s">
        <v>24</v>
      </c>
      <c r="AB5267" s="1" t="s">
        <v>24</v>
      </c>
      <c r="AC5267" s="1" t="s">
        <v>24</v>
      </c>
      <c r="AD5267" s="1" t="s">
        <v>24</v>
      </c>
      <c r="AE5267" s="1" t="s">
        <v>24</v>
      </c>
      <c r="AF5267" s="22"/>
    </row>
    <row r="5268" spans="1:32" x14ac:dyDescent="0.2">
      <c r="A5268" s="1">
        <v>49341</v>
      </c>
      <c r="B5268" s="1" t="s">
        <v>15820</v>
      </c>
      <c r="C5268" s="5" t="s">
        <v>0</v>
      </c>
      <c r="D5268" s="1" t="s">
        <v>15821</v>
      </c>
      <c r="E5268" s="1" t="s">
        <v>15822</v>
      </c>
      <c r="F5268" s="1" t="s">
        <v>35</v>
      </c>
      <c r="G5268" s="1" t="s">
        <v>36</v>
      </c>
      <c r="H5268" s="1" t="s">
        <v>37</v>
      </c>
      <c r="I5268" s="1" t="s">
        <v>16</v>
      </c>
      <c r="J5268" s="1">
        <v>1</v>
      </c>
      <c r="K5268" s="1">
        <v>6</v>
      </c>
      <c r="L5268" s="1" t="s">
        <v>31</v>
      </c>
      <c r="M5268" s="1" t="s">
        <v>18</v>
      </c>
      <c r="N5268" s="1" t="s">
        <v>18</v>
      </c>
      <c r="O5268" s="1">
        <v>3</v>
      </c>
      <c r="P5268" s="1">
        <v>7</v>
      </c>
      <c r="Q5268" s="7" t="s">
        <v>17633</v>
      </c>
      <c r="R5268" s="1" t="s">
        <v>19</v>
      </c>
      <c r="S5268" s="1" t="s">
        <v>20</v>
      </c>
      <c r="T5268" s="1" t="s">
        <v>21</v>
      </c>
      <c r="U5268" s="1" t="s">
        <v>22</v>
      </c>
      <c r="V5268" s="1" t="s">
        <v>24</v>
      </c>
      <c r="W5268" s="1" t="s">
        <v>24</v>
      </c>
      <c r="X5268" s="1">
        <v>1303</v>
      </c>
      <c r="Y5268" s="1">
        <v>1312</v>
      </c>
      <c r="Z5268" s="1" t="s">
        <v>24</v>
      </c>
      <c r="AA5268" s="1" t="s">
        <v>24</v>
      </c>
      <c r="AB5268" s="1" t="s">
        <v>24</v>
      </c>
      <c r="AC5268" s="1" t="s">
        <v>24</v>
      </c>
      <c r="AD5268" s="1" t="s">
        <v>24</v>
      </c>
      <c r="AE5268" s="1" t="s">
        <v>24</v>
      </c>
      <c r="AF5268" s="22"/>
    </row>
    <row r="5269" spans="1:32" x14ac:dyDescent="0.2">
      <c r="A5269" s="1">
        <v>49342</v>
      </c>
      <c r="B5269" s="1" t="s">
        <v>15823</v>
      </c>
      <c r="C5269" s="5" t="s">
        <v>0</v>
      </c>
      <c r="D5269" s="1" t="s">
        <v>15824</v>
      </c>
      <c r="E5269" s="1" t="s">
        <v>15825</v>
      </c>
      <c r="F5269" s="1" t="s">
        <v>970</v>
      </c>
      <c r="G5269" s="1" t="s">
        <v>36</v>
      </c>
      <c r="H5269" s="1" t="s">
        <v>30</v>
      </c>
      <c r="I5269" s="1" t="s">
        <v>16</v>
      </c>
      <c r="J5269" s="1">
        <v>1</v>
      </c>
      <c r="K5269" s="1">
        <v>6</v>
      </c>
      <c r="L5269" s="1" t="s">
        <v>31</v>
      </c>
      <c r="M5269" s="1" t="s">
        <v>18</v>
      </c>
      <c r="N5269" s="1" t="s">
        <v>18</v>
      </c>
      <c r="O5269" s="1">
        <v>3</v>
      </c>
      <c r="P5269" s="1">
        <v>7</v>
      </c>
      <c r="Q5269" s="7" t="s">
        <v>17633</v>
      </c>
      <c r="R5269" s="1" t="s">
        <v>19</v>
      </c>
      <c r="S5269" s="1" t="s">
        <v>20</v>
      </c>
      <c r="T5269" s="1" t="s">
        <v>21</v>
      </c>
      <c r="U5269" s="1" t="s">
        <v>22</v>
      </c>
      <c r="V5269" s="1" t="s">
        <v>23</v>
      </c>
      <c r="W5269" s="1" t="s">
        <v>24</v>
      </c>
      <c r="X5269" s="1">
        <v>2723</v>
      </c>
      <c r="Y5269" s="1">
        <v>2733</v>
      </c>
      <c r="Z5269" s="1" t="s">
        <v>24</v>
      </c>
      <c r="AA5269" s="1" t="s">
        <v>24</v>
      </c>
      <c r="AB5269" s="1" t="s">
        <v>24</v>
      </c>
      <c r="AC5269" s="1" t="s">
        <v>24</v>
      </c>
      <c r="AD5269" s="1" t="s">
        <v>24</v>
      </c>
      <c r="AE5269" s="1" t="s">
        <v>24</v>
      </c>
      <c r="AF5269" s="22"/>
    </row>
    <row r="5270" spans="1:32" x14ac:dyDescent="0.2">
      <c r="A5270" s="1">
        <v>49343</v>
      </c>
      <c r="B5270" s="1" t="s">
        <v>15826</v>
      </c>
      <c r="C5270" s="5" t="s">
        <v>0</v>
      </c>
      <c r="D5270" s="1" t="s">
        <v>15827</v>
      </c>
      <c r="E5270" s="1" t="s">
        <v>15828</v>
      </c>
      <c r="F5270" s="1" t="s">
        <v>15829</v>
      </c>
      <c r="G5270" s="1" t="s">
        <v>460</v>
      </c>
      <c r="H5270" s="1" t="s">
        <v>461</v>
      </c>
      <c r="I5270" s="1" t="s">
        <v>16</v>
      </c>
      <c r="J5270" s="1">
        <v>1</v>
      </c>
      <c r="K5270" s="1">
        <v>4</v>
      </c>
      <c r="L5270" s="1" t="s">
        <v>42</v>
      </c>
      <c r="M5270" s="1" t="s">
        <v>1735</v>
      </c>
      <c r="N5270" s="1" t="s">
        <v>635</v>
      </c>
      <c r="O5270" s="1">
        <v>3</v>
      </c>
      <c r="P5270" s="1">
        <v>5</v>
      </c>
      <c r="R5270" s="1" t="s">
        <v>19</v>
      </c>
      <c r="S5270" s="1" t="s">
        <v>20</v>
      </c>
      <c r="T5270" s="1" t="s">
        <v>21</v>
      </c>
      <c r="U5270" s="1" t="s">
        <v>22</v>
      </c>
      <c r="V5270" s="1" t="s">
        <v>23</v>
      </c>
      <c r="W5270" s="1" t="s">
        <v>24</v>
      </c>
      <c r="X5270" s="1">
        <v>2733</v>
      </c>
      <c r="Y5270" s="1">
        <v>2730</v>
      </c>
      <c r="Z5270" s="1" t="s">
        <v>24</v>
      </c>
      <c r="AA5270" s="1" t="s">
        <v>24</v>
      </c>
      <c r="AB5270" s="1" t="s">
        <v>24</v>
      </c>
      <c r="AC5270" s="1" t="s">
        <v>24</v>
      </c>
      <c r="AD5270" s="1" t="s">
        <v>24</v>
      </c>
      <c r="AE5270" s="1" t="s">
        <v>24</v>
      </c>
      <c r="AF5270" s="22"/>
    </row>
    <row r="5271" spans="1:32" x14ac:dyDescent="0.2">
      <c r="A5271" s="1">
        <v>49344</v>
      </c>
      <c r="B5271" s="1" t="s">
        <v>15830</v>
      </c>
      <c r="C5271" s="5" t="s">
        <v>0</v>
      </c>
      <c r="D5271" s="1" t="s">
        <v>15831</v>
      </c>
      <c r="E5271" s="1" t="s">
        <v>15832</v>
      </c>
      <c r="F5271" s="1" t="s">
        <v>6173</v>
      </c>
      <c r="G5271" s="1" t="s">
        <v>6173</v>
      </c>
      <c r="H5271" s="1" t="s">
        <v>1384</v>
      </c>
      <c r="I5271" s="1" t="s">
        <v>16</v>
      </c>
      <c r="J5271" s="1">
        <v>1</v>
      </c>
      <c r="K5271" s="1">
        <v>4</v>
      </c>
      <c r="L5271" s="1" t="s">
        <v>42</v>
      </c>
      <c r="M5271" s="1" t="s">
        <v>3142</v>
      </c>
      <c r="N5271" s="1" t="s">
        <v>3142</v>
      </c>
      <c r="O5271" s="1">
        <v>2</v>
      </c>
      <c r="P5271" s="1">
        <v>6</v>
      </c>
      <c r="R5271" s="1" t="s">
        <v>19</v>
      </c>
      <c r="S5271" s="1" t="s">
        <v>20</v>
      </c>
      <c r="T5271" s="1" t="s">
        <v>21</v>
      </c>
      <c r="V5271" s="1" t="s">
        <v>23</v>
      </c>
      <c r="W5271" s="1" t="s">
        <v>24</v>
      </c>
      <c r="X5271" s="1">
        <v>2711</v>
      </c>
      <c r="Y5271" s="1" t="s">
        <v>24</v>
      </c>
      <c r="Z5271" s="1" t="s">
        <v>24</v>
      </c>
      <c r="AA5271" s="1" t="s">
        <v>24</v>
      </c>
      <c r="AB5271" s="1" t="s">
        <v>24</v>
      </c>
      <c r="AC5271" s="1" t="s">
        <v>24</v>
      </c>
      <c r="AD5271" s="1" t="s">
        <v>24</v>
      </c>
      <c r="AE5271" s="1" t="s">
        <v>24</v>
      </c>
      <c r="AF5271" s="22"/>
    </row>
    <row r="5272" spans="1:32" x14ac:dyDescent="0.2">
      <c r="A5272" s="1">
        <v>49345</v>
      </c>
      <c r="B5272" s="1" t="s">
        <v>15833</v>
      </c>
      <c r="C5272" s="5" t="s">
        <v>0</v>
      </c>
      <c r="D5272" s="1" t="s">
        <v>15834</v>
      </c>
      <c r="E5272" s="1" t="s">
        <v>15835</v>
      </c>
      <c r="F5272" s="1" t="s">
        <v>14199</v>
      </c>
      <c r="G5272" s="1" t="s">
        <v>14199</v>
      </c>
      <c r="H5272" s="1" t="s">
        <v>1957</v>
      </c>
      <c r="I5272" s="1" t="s">
        <v>16</v>
      </c>
      <c r="J5272" s="1">
        <v>1</v>
      </c>
      <c r="K5272" s="1">
        <v>4</v>
      </c>
      <c r="L5272" s="1" t="s">
        <v>42</v>
      </c>
      <c r="M5272" s="1" t="s">
        <v>18</v>
      </c>
      <c r="N5272" s="1" t="s">
        <v>18</v>
      </c>
      <c r="O5272" s="1">
        <v>2</v>
      </c>
      <c r="P5272" s="1">
        <v>6</v>
      </c>
      <c r="R5272" s="1" t="s">
        <v>19</v>
      </c>
      <c r="S5272" s="1" t="s">
        <v>20</v>
      </c>
      <c r="T5272" s="1" t="s">
        <v>21</v>
      </c>
      <c r="U5272" s="1" t="s">
        <v>22</v>
      </c>
      <c r="V5272" s="1" t="s">
        <v>23</v>
      </c>
      <c r="W5272" s="1" t="s">
        <v>24</v>
      </c>
      <c r="X5272" s="1">
        <v>3000</v>
      </c>
      <c r="Y5272" s="1" t="s">
        <v>24</v>
      </c>
      <c r="Z5272" s="1" t="s">
        <v>24</v>
      </c>
      <c r="AA5272" s="1" t="s">
        <v>24</v>
      </c>
      <c r="AB5272" s="1" t="s">
        <v>24</v>
      </c>
      <c r="AC5272" s="1" t="s">
        <v>24</v>
      </c>
      <c r="AD5272" s="1" t="s">
        <v>24</v>
      </c>
      <c r="AE5272" s="1" t="s">
        <v>24</v>
      </c>
      <c r="AF5272" s="22"/>
    </row>
    <row r="5273" spans="1:32" x14ac:dyDescent="0.2">
      <c r="A5273" s="1">
        <v>49346</v>
      </c>
      <c r="B5273" s="1" t="s">
        <v>15836</v>
      </c>
      <c r="C5273" s="5" t="s">
        <v>0</v>
      </c>
      <c r="D5273" s="1" t="s">
        <v>15837</v>
      </c>
      <c r="E5273" s="1" t="s">
        <v>15838</v>
      </c>
      <c r="F5273" s="1" t="s">
        <v>15839</v>
      </c>
      <c r="G5273" s="1" t="s">
        <v>15839</v>
      </c>
      <c r="H5273" s="1" t="s">
        <v>30</v>
      </c>
      <c r="I5273" s="1" t="s">
        <v>16</v>
      </c>
      <c r="J5273" s="1">
        <v>1</v>
      </c>
      <c r="K5273" s="1">
        <v>6</v>
      </c>
      <c r="L5273" s="1" t="s">
        <v>42</v>
      </c>
      <c r="M5273" s="1" t="s">
        <v>18</v>
      </c>
      <c r="N5273" s="1" t="s">
        <v>18</v>
      </c>
      <c r="O5273" s="1">
        <v>2</v>
      </c>
      <c r="P5273" s="1">
        <v>6</v>
      </c>
      <c r="R5273" s="1" t="s">
        <v>19</v>
      </c>
      <c r="S5273" s="1" t="s">
        <v>20</v>
      </c>
      <c r="T5273" s="1" t="s">
        <v>21</v>
      </c>
      <c r="U5273" s="1" t="s">
        <v>22</v>
      </c>
      <c r="V5273" s="1" t="s">
        <v>23</v>
      </c>
      <c r="W5273" s="1" t="s">
        <v>24</v>
      </c>
      <c r="X5273" s="1">
        <v>2728</v>
      </c>
      <c r="Y5273" s="1" t="s">
        <v>24</v>
      </c>
      <c r="Z5273" s="1" t="s">
        <v>24</v>
      </c>
      <c r="AA5273" s="1" t="s">
        <v>24</v>
      </c>
      <c r="AB5273" s="1" t="s">
        <v>24</v>
      </c>
      <c r="AC5273" s="1" t="s">
        <v>24</v>
      </c>
      <c r="AD5273" s="1" t="s">
        <v>24</v>
      </c>
      <c r="AE5273" s="1" t="s">
        <v>24</v>
      </c>
      <c r="AF5273" s="22"/>
    </row>
    <row r="5274" spans="1:32" x14ac:dyDescent="0.2">
      <c r="A5274" s="1">
        <v>49347</v>
      </c>
      <c r="B5274" s="1" t="s">
        <v>15840</v>
      </c>
      <c r="C5274" s="5" t="s">
        <v>0</v>
      </c>
      <c r="E5274" s="1" t="s">
        <v>15841</v>
      </c>
      <c r="F5274" s="1" t="s">
        <v>15842</v>
      </c>
      <c r="G5274" s="1" t="s">
        <v>15842</v>
      </c>
      <c r="H5274" s="1" t="s">
        <v>37</v>
      </c>
      <c r="I5274" s="1" t="s">
        <v>16</v>
      </c>
      <c r="J5274" s="1">
        <v>1</v>
      </c>
      <c r="K5274" s="1">
        <v>4</v>
      </c>
      <c r="L5274" s="1" t="s">
        <v>42</v>
      </c>
      <c r="M5274" s="1" t="s">
        <v>18</v>
      </c>
      <c r="N5274" s="1" t="s">
        <v>18</v>
      </c>
      <c r="O5274" s="1">
        <v>2</v>
      </c>
      <c r="P5274" s="1">
        <v>6</v>
      </c>
      <c r="R5274" s="1" t="s">
        <v>19</v>
      </c>
      <c r="S5274" s="1" t="s">
        <v>20</v>
      </c>
      <c r="T5274" s="1" t="s">
        <v>21</v>
      </c>
      <c r="V5274" s="1" t="s">
        <v>24</v>
      </c>
      <c r="W5274" s="1" t="s">
        <v>24</v>
      </c>
      <c r="X5274" s="1">
        <v>3003</v>
      </c>
      <c r="Y5274" s="1" t="s">
        <v>24</v>
      </c>
      <c r="Z5274" s="1" t="s">
        <v>24</v>
      </c>
      <c r="AA5274" s="1" t="s">
        <v>24</v>
      </c>
      <c r="AB5274" s="1" t="s">
        <v>24</v>
      </c>
      <c r="AC5274" s="1" t="s">
        <v>24</v>
      </c>
      <c r="AD5274" s="1" t="s">
        <v>24</v>
      </c>
      <c r="AE5274" s="1" t="s">
        <v>24</v>
      </c>
      <c r="AF5274" s="22"/>
    </row>
    <row r="5275" spans="1:32" x14ac:dyDescent="0.2">
      <c r="A5275" s="1">
        <v>49348</v>
      </c>
      <c r="B5275" s="1" t="s">
        <v>15843</v>
      </c>
      <c r="C5275" s="5" t="s">
        <v>0</v>
      </c>
      <c r="E5275" s="1" t="s">
        <v>15844</v>
      </c>
      <c r="F5275" s="1" t="s">
        <v>15845</v>
      </c>
      <c r="G5275" s="1" t="s">
        <v>15845</v>
      </c>
      <c r="H5275" s="1" t="s">
        <v>731</v>
      </c>
      <c r="I5275" s="1" t="s">
        <v>16</v>
      </c>
      <c r="J5275" s="1">
        <v>1</v>
      </c>
      <c r="K5275" s="1">
        <v>4</v>
      </c>
      <c r="L5275" s="1" t="s">
        <v>42</v>
      </c>
      <c r="M5275" s="1" t="s">
        <v>18</v>
      </c>
      <c r="N5275" s="1" t="s">
        <v>18</v>
      </c>
      <c r="O5275" s="1">
        <v>3</v>
      </c>
      <c r="P5275" s="1">
        <v>6</v>
      </c>
      <c r="R5275" s="1" t="s">
        <v>19</v>
      </c>
      <c r="S5275" s="1" t="s">
        <v>20</v>
      </c>
      <c r="T5275" s="1" t="s">
        <v>21</v>
      </c>
      <c r="V5275" s="1" t="s">
        <v>24</v>
      </c>
      <c r="W5275" s="1" t="s">
        <v>24</v>
      </c>
      <c r="X5275" s="1">
        <v>3003</v>
      </c>
      <c r="Y5275" s="1">
        <v>3004</v>
      </c>
      <c r="Z5275" s="1" t="s">
        <v>24</v>
      </c>
      <c r="AA5275" s="1" t="s">
        <v>24</v>
      </c>
      <c r="AB5275" s="1" t="s">
        <v>24</v>
      </c>
      <c r="AC5275" s="1" t="s">
        <v>24</v>
      </c>
      <c r="AD5275" s="1" t="s">
        <v>24</v>
      </c>
      <c r="AE5275" s="1" t="s">
        <v>24</v>
      </c>
      <c r="AF5275" s="22"/>
    </row>
    <row r="5276" spans="1:32" x14ac:dyDescent="0.2">
      <c r="A5276" s="1">
        <v>49349</v>
      </c>
      <c r="B5276" s="1" t="s">
        <v>15846</v>
      </c>
      <c r="C5276" s="5" t="s">
        <v>0</v>
      </c>
      <c r="D5276" s="1" t="s">
        <v>15847</v>
      </c>
      <c r="E5276" s="1" t="s">
        <v>15848</v>
      </c>
      <c r="F5276" s="1" t="s">
        <v>14452</v>
      </c>
      <c r="G5276" s="1" t="s">
        <v>14452</v>
      </c>
      <c r="H5276" s="1" t="s">
        <v>1957</v>
      </c>
      <c r="I5276" s="1" t="s">
        <v>16</v>
      </c>
      <c r="J5276" s="1">
        <v>1</v>
      </c>
      <c r="K5276" s="1">
        <v>4</v>
      </c>
      <c r="L5276" s="1" t="s">
        <v>42</v>
      </c>
      <c r="M5276" s="1" t="s">
        <v>18</v>
      </c>
      <c r="N5276" s="1" t="s">
        <v>18</v>
      </c>
      <c r="O5276" s="1">
        <v>3</v>
      </c>
      <c r="P5276" s="1">
        <v>6</v>
      </c>
      <c r="R5276" s="1" t="s">
        <v>19</v>
      </c>
      <c r="S5276" s="1" t="s">
        <v>20</v>
      </c>
      <c r="T5276" s="1" t="s">
        <v>21</v>
      </c>
      <c r="U5276" s="1" t="s">
        <v>22</v>
      </c>
      <c r="V5276" s="1" t="s">
        <v>23</v>
      </c>
      <c r="W5276" s="1" t="s">
        <v>24</v>
      </c>
      <c r="X5276" s="1">
        <v>2724</v>
      </c>
      <c r="Y5276" s="1" t="s">
        <v>24</v>
      </c>
      <c r="Z5276" s="1" t="s">
        <v>24</v>
      </c>
      <c r="AA5276" s="1" t="s">
        <v>24</v>
      </c>
      <c r="AB5276" s="1" t="s">
        <v>24</v>
      </c>
      <c r="AC5276" s="1" t="s">
        <v>24</v>
      </c>
      <c r="AD5276" s="1" t="s">
        <v>24</v>
      </c>
      <c r="AE5276" s="1" t="s">
        <v>24</v>
      </c>
      <c r="AF5276" s="22"/>
    </row>
    <row r="5277" spans="1:32" x14ac:dyDescent="0.2">
      <c r="A5277" s="1">
        <v>49350</v>
      </c>
      <c r="B5277" s="1" t="s">
        <v>15849</v>
      </c>
      <c r="C5277" s="5" t="s">
        <v>0</v>
      </c>
      <c r="E5277" s="1" t="s">
        <v>15850</v>
      </c>
      <c r="F5277" s="1" t="s">
        <v>15851</v>
      </c>
      <c r="G5277" s="1" t="s">
        <v>15851</v>
      </c>
      <c r="H5277" s="1" t="s">
        <v>1007</v>
      </c>
      <c r="I5277" s="1" t="s">
        <v>16</v>
      </c>
      <c r="J5277" s="1">
        <v>1</v>
      </c>
      <c r="K5277" s="1">
        <v>12</v>
      </c>
      <c r="L5277" s="1" t="s">
        <v>42</v>
      </c>
      <c r="M5277" s="1" t="s">
        <v>18</v>
      </c>
      <c r="N5277" s="1" t="s">
        <v>18</v>
      </c>
      <c r="O5277" s="1">
        <v>2</v>
      </c>
      <c r="P5277" s="1">
        <v>6</v>
      </c>
      <c r="R5277" s="1" t="s">
        <v>19</v>
      </c>
      <c r="S5277" s="1" t="s">
        <v>20</v>
      </c>
      <c r="T5277" s="1" t="s">
        <v>21</v>
      </c>
      <c r="V5277" s="1" t="s">
        <v>23</v>
      </c>
      <c r="W5277" s="1" t="s">
        <v>24</v>
      </c>
      <c r="X5277" s="1">
        <v>2724</v>
      </c>
      <c r="Y5277" s="1">
        <v>2712</v>
      </c>
      <c r="Z5277" s="1" t="s">
        <v>24</v>
      </c>
      <c r="AA5277" s="1" t="s">
        <v>24</v>
      </c>
      <c r="AB5277" s="1" t="s">
        <v>24</v>
      </c>
      <c r="AC5277" s="1" t="s">
        <v>24</v>
      </c>
      <c r="AD5277" s="1" t="s">
        <v>24</v>
      </c>
      <c r="AE5277" s="1" t="s">
        <v>24</v>
      </c>
      <c r="AF5277" s="22"/>
    </row>
    <row r="5278" spans="1:32" x14ac:dyDescent="0.2">
      <c r="A5278" s="1">
        <v>49351</v>
      </c>
      <c r="B5278" s="1" t="s">
        <v>15852</v>
      </c>
      <c r="C5278" s="5" t="s">
        <v>0</v>
      </c>
      <c r="E5278" s="1" t="s">
        <v>15853</v>
      </c>
      <c r="F5278" s="1" t="s">
        <v>15851</v>
      </c>
      <c r="G5278" s="1" t="s">
        <v>15851</v>
      </c>
      <c r="H5278" s="1" t="s">
        <v>1007</v>
      </c>
      <c r="I5278" s="1" t="s">
        <v>16</v>
      </c>
      <c r="J5278" s="1">
        <v>1</v>
      </c>
      <c r="K5278" s="1">
        <v>12</v>
      </c>
      <c r="L5278" s="1" t="s">
        <v>42</v>
      </c>
      <c r="M5278" s="1" t="s">
        <v>18</v>
      </c>
      <c r="N5278" s="1" t="s">
        <v>18</v>
      </c>
      <c r="O5278" s="1">
        <v>2</v>
      </c>
      <c r="P5278" s="1">
        <v>6</v>
      </c>
      <c r="R5278" s="1" t="s">
        <v>19</v>
      </c>
      <c r="S5278" s="1" t="s">
        <v>20</v>
      </c>
      <c r="T5278" s="1" t="s">
        <v>21</v>
      </c>
      <c r="V5278" s="1" t="s">
        <v>23</v>
      </c>
      <c r="W5278" s="1" t="s">
        <v>24</v>
      </c>
      <c r="X5278" s="1">
        <v>2705</v>
      </c>
      <c r="Y5278" s="1" t="s">
        <v>24</v>
      </c>
      <c r="Z5278" s="1" t="s">
        <v>24</v>
      </c>
      <c r="AA5278" s="1" t="s">
        <v>24</v>
      </c>
      <c r="AB5278" s="1" t="s">
        <v>24</v>
      </c>
      <c r="AC5278" s="1" t="s">
        <v>24</v>
      </c>
      <c r="AD5278" s="1" t="s">
        <v>24</v>
      </c>
      <c r="AE5278" s="1" t="s">
        <v>24</v>
      </c>
      <c r="AF5278" s="22"/>
    </row>
    <row r="5279" spans="1:32" x14ac:dyDescent="0.2">
      <c r="A5279" s="1">
        <v>49352</v>
      </c>
      <c r="B5279" s="1" t="s">
        <v>15854</v>
      </c>
      <c r="C5279" s="5" t="s">
        <v>0</v>
      </c>
      <c r="E5279" s="1" t="s">
        <v>15855</v>
      </c>
      <c r="F5279" s="1" t="s">
        <v>11079</v>
      </c>
      <c r="G5279" s="1" t="s">
        <v>11079</v>
      </c>
      <c r="H5279" s="1" t="s">
        <v>3228</v>
      </c>
      <c r="I5279" s="1" t="s">
        <v>16</v>
      </c>
      <c r="J5279" s="1">
        <v>1</v>
      </c>
      <c r="K5279" s="1">
        <v>1</v>
      </c>
      <c r="L5279" s="1" t="s">
        <v>42</v>
      </c>
      <c r="M5279" s="1" t="s">
        <v>18</v>
      </c>
      <c r="N5279" s="1" t="s">
        <v>18</v>
      </c>
      <c r="O5279" s="1">
        <v>3</v>
      </c>
      <c r="P5279" s="1">
        <v>6</v>
      </c>
      <c r="R5279" s="1" t="s">
        <v>19</v>
      </c>
      <c r="S5279" s="1" t="s">
        <v>20</v>
      </c>
      <c r="T5279" s="1" t="s">
        <v>21</v>
      </c>
      <c r="U5279" s="1" t="s">
        <v>22</v>
      </c>
      <c r="V5279" s="1" t="s">
        <v>23</v>
      </c>
      <c r="W5279" s="1" t="s">
        <v>24</v>
      </c>
      <c r="X5279" s="1">
        <v>2725</v>
      </c>
      <c r="Y5279" s="1">
        <v>2708</v>
      </c>
      <c r="Z5279" s="1">
        <v>2802</v>
      </c>
      <c r="AA5279" s="1">
        <v>2738</v>
      </c>
      <c r="AB5279" s="1" t="s">
        <v>24</v>
      </c>
      <c r="AC5279" s="1" t="s">
        <v>24</v>
      </c>
      <c r="AD5279" s="1" t="s">
        <v>24</v>
      </c>
      <c r="AE5279" s="1" t="s">
        <v>24</v>
      </c>
      <c r="AF5279" s="22"/>
    </row>
    <row r="5280" spans="1:32" x14ac:dyDescent="0.2">
      <c r="A5280" s="1">
        <v>49353</v>
      </c>
      <c r="B5280" s="1" t="s">
        <v>15856</v>
      </c>
      <c r="C5280" s="5" t="s">
        <v>0</v>
      </c>
      <c r="E5280" s="1" t="s">
        <v>15857</v>
      </c>
      <c r="F5280" s="1" t="s">
        <v>13079</v>
      </c>
      <c r="G5280" s="1" t="s">
        <v>13079</v>
      </c>
      <c r="H5280" s="1" t="s">
        <v>30</v>
      </c>
      <c r="I5280" s="1" t="s">
        <v>16</v>
      </c>
      <c r="J5280" s="1">
        <v>1</v>
      </c>
      <c r="K5280" s="1">
        <v>7</v>
      </c>
      <c r="L5280" s="1" t="s">
        <v>42</v>
      </c>
      <c r="M5280" s="1" t="s">
        <v>18</v>
      </c>
      <c r="N5280" s="1" t="s">
        <v>18</v>
      </c>
      <c r="O5280" s="1">
        <v>3</v>
      </c>
      <c r="P5280" s="1">
        <v>6</v>
      </c>
      <c r="R5280" s="1" t="s">
        <v>19</v>
      </c>
      <c r="S5280" s="1" t="s">
        <v>20</v>
      </c>
      <c r="T5280" s="1" t="s">
        <v>21</v>
      </c>
      <c r="V5280" s="1" t="s">
        <v>23</v>
      </c>
      <c r="W5280" s="1" t="s">
        <v>24</v>
      </c>
      <c r="X5280" s="1">
        <v>1306</v>
      </c>
      <c r="Y5280" s="1">
        <v>2730</v>
      </c>
      <c r="Z5280" s="1" t="s">
        <v>24</v>
      </c>
      <c r="AA5280" s="1" t="s">
        <v>24</v>
      </c>
      <c r="AB5280" s="1" t="s">
        <v>24</v>
      </c>
      <c r="AC5280" s="1" t="s">
        <v>24</v>
      </c>
      <c r="AD5280" s="1" t="s">
        <v>24</v>
      </c>
      <c r="AE5280" s="1" t="s">
        <v>24</v>
      </c>
      <c r="AF5280" s="22"/>
    </row>
    <row r="5281" spans="1:32" x14ac:dyDescent="0.2">
      <c r="A5281" s="1">
        <v>49354</v>
      </c>
      <c r="B5281" s="1" t="s">
        <v>15858</v>
      </c>
      <c r="C5281" s="5" t="s">
        <v>0</v>
      </c>
      <c r="D5281" s="1" t="s">
        <v>15859</v>
      </c>
      <c r="E5281" s="1" t="s">
        <v>15860</v>
      </c>
      <c r="F5281" s="1" t="s">
        <v>15861</v>
      </c>
      <c r="G5281" s="1" t="s">
        <v>15861</v>
      </c>
      <c r="H5281" s="1" t="s">
        <v>731</v>
      </c>
      <c r="I5281" s="1" t="s">
        <v>16</v>
      </c>
      <c r="J5281" s="1">
        <v>1</v>
      </c>
      <c r="K5281" s="1">
        <v>6</v>
      </c>
      <c r="L5281" s="1" t="s">
        <v>42</v>
      </c>
      <c r="M5281" s="1" t="s">
        <v>18</v>
      </c>
      <c r="N5281" s="1" t="s">
        <v>18</v>
      </c>
      <c r="O5281" s="1">
        <v>2</v>
      </c>
      <c r="P5281" s="1">
        <v>6</v>
      </c>
      <c r="R5281" s="1" t="s">
        <v>19</v>
      </c>
      <c r="S5281" s="1" t="s">
        <v>20</v>
      </c>
      <c r="T5281" s="1" t="s">
        <v>21</v>
      </c>
      <c r="V5281" s="1" t="s">
        <v>23</v>
      </c>
      <c r="W5281" s="1" t="s">
        <v>24</v>
      </c>
      <c r="X5281" s="1">
        <v>2705</v>
      </c>
      <c r="Y5281" s="1" t="s">
        <v>24</v>
      </c>
      <c r="Z5281" s="1" t="s">
        <v>24</v>
      </c>
      <c r="AA5281" s="1" t="s">
        <v>24</v>
      </c>
      <c r="AB5281" s="1" t="s">
        <v>24</v>
      </c>
      <c r="AC5281" s="1" t="s">
        <v>24</v>
      </c>
      <c r="AD5281" s="1" t="s">
        <v>24</v>
      </c>
      <c r="AE5281" s="1" t="s">
        <v>24</v>
      </c>
      <c r="AF5281" s="22"/>
    </row>
    <row r="5282" spans="1:32" x14ac:dyDescent="0.2">
      <c r="A5282" s="1">
        <v>49355</v>
      </c>
      <c r="B5282" s="1" t="s">
        <v>15862</v>
      </c>
      <c r="C5282" s="5" t="s">
        <v>0</v>
      </c>
      <c r="D5282" s="1" t="s">
        <v>15863</v>
      </c>
      <c r="F5282" s="1" t="s">
        <v>14212</v>
      </c>
      <c r="G5282" s="1" t="s">
        <v>14213</v>
      </c>
      <c r="H5282" s="1" t="s">
        <v>37</v>
      </c>
      <c r="I5282" s="1" t="s">
        <v>5001</v>
      </c>
      <c r="J5282" s="1">
        <v>1</v>
      </c>
      <c r="K5282" s="1">
        <v>4</v>
      </c>
      <c r="L5282" s="1" t="s">
        <v>31</v>
      </c>
      <c r="M5282" s="1" t="s">
        <v>18</v>
      </c>
      <c r="N5282" s="1" t="s">
        <v>18</v>
      </c>
      <c r="O5282" s="1">
        <v>0</v>
      </c>
      <c r="P5282" s="1">
        <v>5</v>
      </c>
      <c r="R5282" s="1" t="s">
        <v>19</v>
      </c>
      <c r="S5282" s="1" t="s">
        <v>20</v>
      </c>
      <c r="T5282" s="1" t="s">
        <v>21</v>
      </c>
      <c r="U5282" s="1" t="s">
        <v>22</v>
      </c>
      <c r="V5282" s="1" t="s">
        <v>24</v>
      </c>
      <c r="W5282" s="1" t="s">
        <v>24</v>
      </c>
      <c r="X5282" s="1">
        <v>3003</v>
      </c>
      <c r="Y5282" s="1" t="s">
        <v>24</v>
      </c>
      <c r="Z5282" s="1" t="s">
        <v>24</v>
      </c>
      <c r="AA5282" s="1" t="s">
        <v>24</v>
      </c>
      <c r="AB5282" s="1" t="s">
        <v>24</v>
      </c>
      <c r="AC5282" s="1" t="s">
        <v>24</v>
      </c>
      <c r="AD5282" s="1" t="s">
        <v>24</v>
      </c>
      <c r="AE5282" s="1" t="s">
        <v>24</v>
      </c>
      <c r="AF5282" s="22"/>
    </row>
    <row r="5283" spans="1:32" x14ac:dyDescent="0.2">
      <c r="A5283" s="1">
        <v>49356</v>
      </c>
      <c r="B5283" s="1" t="s">
        <v>15864</v>
      </c>
      <c r="C5283" s="5" t="s">
        <v>0</v>
      </c>
      <c r="D5283" s="1" t="s">
        <v>15865</v>
      </c>
      <c r="F5283" s="1" t="s">
        <v>14212</v>
      </c>
      <c r="G5283" s="1" t="s">
        <v>14213</v>
      </c>
      <c r="H5283" s="1" t="s">
        <v>37</v>
      </c>
      <c r="I5283" s="1" t="s">
        <v>5001</v>
      </c>
      <c r="J5283" s="1">
        <v>1</v>
      </c>
      <c r="K5283" s="1">
        <v>4</v>
      </c>
      <c r="L5283" s="1" t="s">
        <v>31</v>
      </c>
      <c r="M5283" s="1" t="s">
        <v>18</v>
      </c>
      <c r="N5283" s="1" t="s">
        <v>18</v>
      </c>
      <c r="O5283" s="1">
        <v>0</v>
      </c>
      <c r="P5283" s="1">
        <v>5</v>
      </c>
      <c r="R5283" s="1" t="s">
        <v>19</v>
      </c>
      <c r="S5283" s="1" t="s">
        <v>20</v>
      </c>
      <c r="T5283" s="1" t="s">
        <v>21</v>
      </c>
      <c r="U5283" s="1" t="s">
        <v>22</v>
      </c>
      <c r="V5283" s="1" t="s">
        <v>24</v>
      </c>
      <c r="W5283" s="1" t="s">
        <v>24</v>
      </c>
      <c r="X5283" s="1">
        <v>3003</v>
      </c>
      <c r="Y5283" s="1" t="s">
        <v>24</v>
      </c>
      <c r="Z5283" s="1" t="s">
        <v>24</v>
      </c>
      <c r="AA5283" s="1" t="s">
        <v>24</v>
      </c>
      <c r="AB5283" s="1" t="s">
        <v>24</v>
      </c>
      <c r="AC5283" s="1" t="s">
        <v>24</v>
      </c>
      <c r="AD5283" s="1" t="s">
        <v>24</v>
      </c>
      <c r="AE5283" s="1" t="s">
        <v>24</v>
      </c>
      <c r="AF5283" s="22"/>
    </row>
    <row r="5284" spans="1:32" x14ac:dyDescent="0.2">
      <c r="A5284" s="1">
        <v>49357</v>
      </c>
      <c r="B5284" s="1" t="s">
        <v>15866</v>
      </c>
      <c r="C5284" s="5" t="s">
        <v>0</v>
      </c>
      <c r="E5284" s="1" t="s">
        <v>15867</v>
      </c>
      <c r="F5284" s="1" t="s">
        <v>15868</v>
      </c>
      <c r="G5284" s="1" t="s">
        <v>15868</v>
      </c>
      <c r="H5284" s="1" t="s">
        <v>116</v>
      </c>
      <c r="I5284" s="1" t="s">
        <v>16</v>
      </c>
      <c r="J5284" s="1">
        <v>1</v>
      </c>
      <c r="K5284" s="1">
        <v>3</v>
      </c>
      <c r="L5284" s="1" t="s">
        <v>42</v>
      </c>
      <c r="M5284" s="1" t="s">
        <v>18</v>
      </c>
      <c r="N5284" s="1" t="s">
        <v>18</v>
      </c>
      <c r="O5284" s="1">
        <v>2</v>
      </c>
      <c r="P5284" s="1">
        <v>6</v>
      </c>
      <c r="R5284" s="1" t="s">
        <v>19</v>
      </c>
      <c r="S5284" s="1" t="s">
        <v>20</v>
      </c>
      <c r="T5284" s="1" t="s">
        <v>21</v>
      </c>
      <c r="U5284" s="1" t="s">
        <v>22</v>
      </c>
      <c r="V5284" s="1" t="s">
        <v>24</v>
      </c>
      <c r="W5284" s="1" t="s">
        <v>24</v>
      </c>
      <c r="X5284" s="1">
        <v>2701</v>
      </c>
      <c r="Y5284" s="1" t="s">
        <v>24</v>
      </c>
      <c r="Z5284" s="1" t="s">
        <v>24</v>
      </c>
      <c r="AA5284" s="1" t="s">
        <v>24</v>
      </c>
      <c r="AB5284" s="1" t="s">
        <v>24</v>
      </c>
      <c r="AC5284" s="1" t="s">
        <v>24</v>
      </c>
      <c r="AD5284" s="1" t="s">
        <v>24</v>
      </c>
      <c r="AE5284" s="1" t="s">
        <v>24</v>
      </c>
      <c r="AF5284" s="22"/>
    </row>
    <row r="5285" spans="1:32" x14ac:dyDescent="0.2">
      <c r="A5285" s="1">
        <v>49358</v>
      </c>
      <c r="B5285" s="1" t="s">
        <v>15869</v>
      </c>
      <c r="C5285" s="5" t="s">
        <v>0</v>
      </c>
      <c r="E5285" s="1" t="s">
        <v>15870</v>
      </c>
      <c r="F5285" s="1" t="s">
        <v>15869</v>
      </c>
      <c r="G5285" s="1" t="s">
        <v>15869</v>
      </c>
      <c r="H5285" s="1" t="s">
        <v>899</v>
      </c>
      <c r="I5285" s="1" t="s">
        <v>16</v>
      </c>
      <c r="J5285" s="1">
        <v>1</v>
      </c>
      <c r="K5285" s="1">
        <v>12</v>
      </c>
      <c r="L5285" s="1" t="s">
        <v>42</v>
      </c>
      <c r="M5285" s="1" t="s">
        <v>18</v>
      </c>
      <c r="N5285" s="1" t="s">
        <v>18</v>
      </c>
      <c r="O5285" s="1">
        <v>2</v>
      </c>
      <c r="P5285" s="1">
        <v>6</v>
      </c>
      <c r="R5285" s="1" t="s">
        <v>19</v>
      </c>
      <c r="S5285" s="1" t="s">
        <v>20</v>
      </c>
      <c r="T5285" s="1" t="s">
        <v>21</v>
      </c>
      <c r="V5285" s="1" t="s">
        <v>24</v>
      </c>
      <c r="W5285" s="1" t="s">
        <v>24</v>
      </c>
      <c r="X5285" s="1">
        <v>3003</v>
      </c>
      <c r="Y5285" s="1" t="s">
        <v>24</v>
      </c>
      <c r="Z5285" s="1" t="s">
        <v>24</v>
      </c>
      <c r="AA5285" s="1" t="s">
        <v>24</v>
      </c>
      <c r="AB5285" s="1" t="s">
        <v>24</v>
      </c>
      <c r="AC5285" s="1" t="s">
        <v>24</v>
      </c>
      <c r="AD5285" s="1" t="s">
        <v>24</v>
      </c>
      <c r="AE5285" s="1" t="s">
        <v>24</v>
      </c>
      <c r="AF5285" s="22"/>
    </row>
    <row r="5286" spans="1:32" x14ac:dyDescent="0.2">
      <c r="A5286" s="1">
        <v>49359</v>
      </c>
      <c r="B5286" s="1" t="s">
        <v>15871</v>
      </c>
      <c r="C5286" s="5" t="s">
        <v>0</v>
      </c>
      <c r="E5286" s="1" t="s">
        <v>15872</v>
      </c>
      <c r="F5286" s="1" t="s">
        <v>10608</v>
      </c>
      <c r="G5286" s="1" t="s">
        <v>10608</v>
      </c>
      <c r="H5286" s="1" t="s">
        <v>264</v>
      </c>
      <c r="I5286" s="1" t="s">
        <v>16</v>
      </c>
      <c r="J5286" s="1">
        <v>1</v>
      </c>
      <c r="K5286" s="1">
        <v>2</v>
      </c>
      <c r="L5286" s="1" t="s">
        <v>42</v>
      </c>
      <c r="M5286" s="1" t="s">
        <v>18</v>
      </c>
      <c r="N5286" s="1" t="s">
        <v>18</v>
      </c>
      <c r="O5286" s="1">
        <v>3</v>
      </c>
      <c r="P5286" s="1">
        <v>6</v>
      </c>
      <c r="R5286" s="1" t="s">
        <v>19</v>
      </c>
      <c r="S5286" s="1" t="s">
        <v>63</v>
      </c>
      <c r="T5286" s="1" t="s">
        <v>21</v>
      </c>
      <c r="U5286" s="1" t="s">
        <v>22</v>
      </c>
      <c r="V5286" s="1" t="s">
        <v>23</v>
      </c>
      <c r="W5286" s="1" t="s">
        <v>24</v>
      </c>
      <c r="X5286" s="1">
        <v>2701</v>
      </c>
      <c r="Y5286" s="1">
        <v>3001</v>
      </c>
      <c r="Z5286" s="1" t="s">
        <v>24</v>
      </c>
      <c r="AA5286" s="1" t="s">
        <v>24</v>
      </c>
      <c r="AB5286" s="1" t="s">
        <v>24</v>
      </c>
      <c r="AC5286" s="1" t="s">
        <v>24</v>
      </c>
      <c r="AD5286" s="1" t="s">
        <v>24</v>
      </c>
      <c r="AE5286" s="1" t="s">
        <v>24</v>
      </c>
      <c r="AF5286" s="22"/>
    </row>
    <row r="5287" spans="1:32" x14ac:dyDescent="0.2">
      <c r="A5287" s="1">
        <v>49360</v>
      </c>
      <c r="B5287" s="1" t="s">
        <v>15873</v>
      </c>
      <c r="C5287" s="5" t="s">
        <v>0</v>
      </c>
      <c r="E5287" s="1" t="s">
        <v>15874</v>
      </c>
      <c r="F5287" s="1" t="s">
        <v>10608</v>
      </c>
      <c r="G5287" s="1" t="s">
        <v>10608</v>
      </c>
      <c r="H5287" s="1" t="s">
        <v>264</v>
      </c>
      <c r="I5287" s="1" t="s">
        <v>16</v>
      </c>
      <c r="J5287" s="1">
        <v>1</v>
      </c>
      <c r="K5287" s="1">
        <v>1</v>
      </c>
      <c r="L5287" s="1" t="s">
        <v>42</v>
      </c>
      <c r="M5287" s="1" t="s">
        <v>18</v>
      </c>
      <c r="N5287" s="1" t="s">
        <v>18</v>
      </c>
      <c r="O5287" s="1">
        <v>3</v>
      </c>
      <c r="P5287" s="1">
        <v>6</v>
      </c>
      <c r="R5287" s="1" t="s">
        <v>19</v>
      </c>
      <c r="S5287" s="1" t="s">
        <v>63</v>
      </c>
      <c r="T5287" s="1" t="s">
        <v>21</v>
      </c>
      <c r="U5287" s="1" t="s">
        <v>22</v>
      </c>
      <c r="V5287" s="1" t="s">
        <v>23</v>
      </c>
      <c r="W5287" s="1" t="s">
        <v>24</v>
      </c>
      <c r="X5287" s="1">
        <v>2730</v>
      </c>
      <c r="Y5287" s="1" t="s">
        <v>24</v>
      </c>
      <c r="Z5287" s="1" t="s">
        <v>24</v>
      </c>
      <c r="AA5287" s="1" t="s">
        <v>24</v>
      </c>
      <c r="AB5287" s="1" t="s">
        <v>24</v>
      </c>
      <c r="AC5287" s="1" t="s">
        <v>24</v>
      </c>
      <c r="AD5287" s="1" t="s">
        <v>24</v>
      </c>
      <c r="AE5287" s="1" t="s">
        <v>24</v>
      </c>
      <c r="AF5287" s="22"/>
    </row>
    <row r="5288" spans="1:32" x14ac:dyDescent="0.2">
      <c r="A5288" s="1">
        <v>49361</v>
      </c>
      <c r="B5288" s="1" t="s">
        <v>15875</v>
      </c>
      <c r="C5288" s="5" t="s">
        <v>0</v>
      </c>
      <c r="E5288" s="1" t="s">
        <v>15876</v>
      </c>
      <c r="F5288" s="1" t="s">
        <v>15877</v>
      </c>
      <c r="G5288" s="1" t="s">
        <v>15877</v>
      </c>
      <c r="H5288" s="1" t="s">
        <v>899</v>
      </c>
      <c r="I5288" s="1" t="s">
        <v>16</v>
      </c>
      <c r="J5288" s="1">
        <v>1</v>
      </c>
      <c r="K5288" s="1">
        <v>6</v>
      </c>
      <c r="L5288" s="1" t="s">
        <v>42</v>
      </c>
      <c r="M5288" s="1" t="s">
        <v>18</v>
      </c>
      <c r="N5288" s="1" t="s">
        <v>18</v>
      </c>
      <c r="O5288" s="1">
        <v>2</v>
      </c>
      <c r="P5288" s="1">
        <v>6</v>
      </c>
      <c r="R5288" s="1" t="s">
        <v>19</v>
      </c>
      <c r="S5288" s="1" t="s">
        <v>20</v>
      </c>
      <c r="T5288" s="1" t="s">
        <v>21</v>
      </c>
      <c r="V5288" s="1" t="s">
        <v>24</v>
      </c>
      <c r="W5288" s="1" t="s">
        <v>24</v>
      </c>
      <c r="X5288" s="1">
        <v>3003</v>
      </c>
      <c r="Y5288" s="1" t="s">
        <v>24</v>
      </c>
      <c r="Z5288" s="1" t="s">
        <v>24</v>
      </c>
      <c r="AA5288" s="1" t="s">
        <v>24</v>
      </c>
      <c r="AB5288" s="1" t="s">
        <v>24</v>
      </c>
      <c r="AC5288" s="1" t="s">
        <v>24</v>
      </c>
      <c r="AD5288" s="1" t="s">
        <v>24</v>
      </c>
      <c r="AE5288" s="1" t="s">
        <v>24</v>
      </c>
      <c r="AF5288" s="22"/>
    </row>
    <row r="5289" spans="1:32" x14ac:dyDescent="0.2">
      <c r="A5289" s="1">
        <v>49362</v>
      </c>
      <c r="B5289" s="1" t="s">
        <v>15878</v>
      </c>
      <c r="C5289" s="5" t="s">
        <v>0</v>
      </c>
      <c r="D5289" s="1" t="s">
        <v>15879</v>
      </c>
      <c r="E5289" s="1" t="s">
        <v>15880</v>
      </c>
      <c r="F5289" s="1" t="s">
        <v>15878</v>
      </c>
      <c r="G5289" s="1" t="s">
        <v>15878</v>
      </c>
      <c r="H5289" s="1" t="s">
        <v>899</v>
      </c>
      <c r="I5289" s="1" t="s">
        <v>16</v>
      </c>
      <c r="J5289" s="1">
        <v>1</v>
      </c>
      <c r="K5289" s="1">
        <v>2</v>
      </c>
      <c r="L5289" s="1" t="s">
        <v>42</v>
      </c>
      <c r="M5289" s="1" t="s">
        <v>18</v>
      </c>
      <c r="N5289" s="1" t="s">
        <v>18</v>
      </c>
      <c r="O5289" s="1">
        <v>2</v>
      </c>
      <c r="P5289" s="1">
        <v>6</v>
      </c>
      <c r="R5289" s="1" t="s">
        <v>19</v>
      </c>
      <c r="S5289" s="1" t="s">
        <v>20</v>
      </c>
      <c r="T5289" s="1" t="s">
        <v>21</v>
      </c>
      <c r="V5289" s="1" t="s">
        <v>23</v>
      </c>
      <c r="W5289" s="1" t="s">
        <v>24</v>
      </c>
      <c r="X5289" s="1">
        <v>2736</v>
      </c>
      <c r="Y5289" s="1">
        <v>1313</v>
      </c>
      <c r="Z5289" s="1">
        <v>3002</v>
      </c>
      <c r="AA5289" s="1">
        <v>3003</v>
      </c>
      <c r="AB5289" s="1">
        <v>3004</v>
      </c>
      <c r="AC5289" s="1" t="s">
        <v>24</v>
      </c>
      <c r="AD5289" s="1" t="s">
        <v>24</v>
      </c>
      <c r="AE5289" s="1" t="s">
        <v>24</v>
      </c>
      <c r="AF5289" s="22"/>
    </row>
    <row r="5290" spans="1:32" x14ac:dyDescent="0.2">
      <c r="A5290" s="1">
        <v>49363</v>
      </c>
      <c r="B5290" s="1" t="s">
        <v>15881</v>
      </c>
      <c r="C5290" s="5" t="s">
        <v>0</v>
      </c>
      <c r="D5290" s="1" t="s">
        <v>15882</v>
      </c>
      <c r="F5290" s="1" t="s">
        <v>15883</v>
      </c>
      <c r="G5290" s="1" t="s">
        <v>15883</v>
      </c>
      <c r="H5290" s="1" t="s">
        <v>1384</v>
      </c>
      <c r="I5290" s="1" t="s">
        <v>16</v>
      </c>
      <c r="J5290" s="1">
        <v>1</v>
      </c>
      <c r="K5290" s="1">
        <v>4</v>
      </c>
      <c r="L5290" s="1" t="s">
        <v>42</v>
      </c>
      <c r="M5290" s="1" t="s">
        <v>3142</v>
      </c>
      <c r="N5290" s="1" t="s">
        <v>3142</v>
      </c>
      <c r="O5290" s="1">
        <v>3</v>
      </c>
      <c r="P5290" s="1">
        <v>6</v>
      </c>
      <c r="R5290" s="1" t="s">
        <v>19</v>
      </c>
      <c r="S5290" s="1" t="s">
        <v>20</v>
      </c>
      <c r="T5290" s="1" t="s">
        <v>21</v>
      </c>
      <c r="U5290" s="1" t="s">
        <v>22</v>
      </c>
      <c r="V5290" s="1" t="s">
        <v>23</v>
      </c>
      <c r="W5290" s="1" t="s">
        <v>24</v>
      </c>
      <c r="X5290" s="1">
        <v>2711</v>
      </c>
      <c r="Y5290" s="1" t="s">
        <v>24</v>
      </c>
      <c r="Z5290" s="1" t="s">
        <v>24</v>
      </c>
      <c r="AA5290" s="1" t="s">
        <v>24</v>
      </c>
      <c r="AB5290" s="1" t="s">
        <v>24</v>
      </c>
      <c r="AC5290" s="1" t="s">
        <v>24</v>
      </c>
      <c r="AD5290" s="1" t="s">
        <v>24</v>
      </c>
      <c r="AE5290" s="1" t="s">
        <v>24</v>
      </c>
      <c r="AF5290" s="22"/>
    </row>
    <row r="5291" spans="1:32" x14ac:dyDescent="0.2">
      <c r="A5291" s="1">
        <v>49364</v>
      </c>
      <c r="B5291" s="1" t="s">
        <v>15884</v>
      </c>
      <c r="C5291" s="5" t="s">
        <v>0</v>
      </c>
      <c r="D5291" s="1" t="s">
        <v>15885</v>
      </c>
      <c r="F5291" s="1" t="s">
        <v>15886</v>
      </c>
      <c r="G5291" s="1" t="s">
        <v>15886</v>
      </c>
      <c r="H5291" s="1" t="s">
        <v>899</v>
      </c>
      <c r="I5291" s="1" t="s">
        <v>16</v>
      </c>
      <c r="J5291" s="1">
        <v>1</v>
      </c>
      <c r="K5291" s="1">
        <v>4</v>
      </c>
      <c r="L5291" s="1" t="s">
        <v>42</v>
      </c>
      <c r="M5291" s="1" t="s">
        <v>18</v>
      </c>
      <c r="N5291" s="1" t="s">
        <v>18</v>
      </c>
      <c r="O5291" s="1">
        <v>3</v>
      </c>
      <c r="P5291" s="1">
        <v>6</v>
      </c>
      <c r="R5291" s="1" t="s">
        <v>19</v>
      </c>
      <c r="S5291" s="1" t="s">
        <v>20</v>
      </c>
      <c r="T5291" s="1" t="s">
        <v>21</v>
      </c>
      <c r="V5291" s="1" t="s">
        <v>24</v>
      </c>
      <c r="W5291" s="1" t="s">
        <v>24</v>
      </c>
      <c r="X5291" s="1">
        <v>3003</v>
      </c>
      <c r="Y5291" s="1" t="s">
        <v>24</v>
      </c>
      <c r="Z5291" s="1" t="s">
        <v>24</v>
      </c>
      <c r="AA5291" s="1" t="s">
        <v>24</v>
      </c>
      <c r="AB5291" s="1" t="s">
        <v>24</v>
      </c>
      <c r="AC5291" s="1" t="s">
        <v>24</v>
      </c>
      <c r="AD5291" s="1" t="s">
        <v>24</v>
      </c>
      <c r="AE5291" s="1" t="s">
        <v>24</v>
      </c>
      <c r="AF5291" s="22"/>
    </row>
    <row r="5292" spans="1:32" x14ac:dyDescent="0.2">
      <c r="A5292" s="1">
        <v>49365</v>
      </c>
      <c r="B5292" s="1" t="s">
        <v>15887</v>
      </c>
      <c r="C5292" s="5" t="s">
        <v>0</v>
      </c>
      <c r="D5292" s="1" t="s">
        <v>15888</v>
      </c>
      <c r="E5292" s="1" t="s">
        <v>15889</v>
      </c>
      <c r="F5292" s="1" t="s">
        <v>15890</v>
      </c>
      <c r="G5292" s="1" t="s">
        <v>15890</v>
      </c>
      <c r="H5292" s="1" t="s">
        <v>2772</v>
      </c>
      <c r="I5292" s="1" t="s">
        <v>16</v>
      </c>
      <c r="J5292" s="1">
        <v>1</v>
      </c>
      <c r="K5292" s="1">
        <v>4</v>
      </c>
      <c r="L5292" s="1" t="s">
        <v>42</v>
      </c>
      <c r="M5292" s="1" t="s">
        <v>18</v>
      </c>
      <c r="N5292" s="1" t="s">
        <v>18</v>
      </c>
      <c r="O5292" s="1">
        <v>3</v>
      </c>
      <c r="P5292" s="1">
        <v>6</v>
      </c>
      <c r="R5292" s="1" t="s">
        <v>19</v>
      </c>
      <c r="S5292" s="1" t="s">
        <v>20</v>
      </c>
      <c r="T5292" s="1" t="s">
        <v>21</v>
      </c>
      <c r="U5292" s="1" t="s">
        <v>22</v>
      </c>
      <c r="V5292" s="1" t="s">
        <v>23</v>
      </c>
      <c r="W5292" s="1" t="s">
        <v>24</v>
      </c>
      <c r="X5292" s="1">
        <v>2703</v>
      </c>
      <c r="Y5292" s="1" t="s">
        <v>24</v>
      </c>
      <c r="Z5292" s="1" t="s">
        <v>24</v>
      </c>
      <c r="AA5292" s="1" t="s">
        <v>24</v>
      </c>
      <c r="AB5292" s="1" t="s">
        <v>24</v>
      </c>
      <c r="AC5292" s="1" t="s">
        <v>24</v>
      </c>
      <c r="AD5292" s="1" t="s">
        <v>24</v>
      </c>
      <c r="AE5292" s="1" t="s">
        <v>24</v>
      </c>
      <c r="AF5292" s="22"/>
    </row>
    <row r="5293" spans="1:32" x14ac:dyDescent="0.2">
      <c r="A5293" s="1">
        <v>49366</v>
      </c>
      <c r="B5293" s="1" t="s">
        <v>15891</v>
      </c>
      <c r="C5293" s="5" t="s">
        <v>0</v>
      </c>
      <c r="D5293" s="1" t="s">
        <v>15892</v>
      </c>
      <c r="E5293" s="1" t="s">
        <v>15893</v>
      </c>
      <c r="F5293" s="1" t="s">
        <v>15894</v>
      </c>
      <c r="G5293" s="1" t="s">
        <v>15894</v>
      </c>
      <c r="H5293" s="1" t="s">
        <v>2772</v>
      </c>
      <c r="I5293" s="1" t="s">
        <v>16</v>
      </c>
      <c r="J5293" s="1">
        <v>1</v>
      </c>
      <c r="K5293" s="1">
        <v>6</v>
      </c>
      <c r="L5293" s="1" t="s">
        <v>42</v>
      </c>
      <c r="M5293" s="1" t="s">
        <v>4976</v>
      </c>
      <c r="N5293" s="1" t="s">
        <v>4976</v>
      </c>
      <c r="O5293" s="1">
        <v>2</v>
      </c>
      <c r="P5293" s="1">
        <v>6</v>
      </c>
      <c r="R5293" s="1" t="s">
        <v>19</v>
      </c>
      <c r="S5293" s="1" t="s">
        <v>20</v>
      </c>
      <c r="T5293" s="1" t="s">
        <v>21</v>
      </c>
      <c r="U5293" s="1" t="s">
        <v>22</v>
      </c>
      <c r="V5293" s="1" t="s">
        <v>23</v>
      </c>
      <c r="W5293" s="1" t="s">
        <v>24</v>
      </c>
      <c r="X5293" s="1">
        <v>2725</v>
      </c>
      <c r="Y5293" s="1">
        <v>2736</v>
      </c>
      <c r="Z5293" s="1" t="s">
        <v>24</v>
      </c>
      <c r="AA5293" s="1" t="s">
        <v>24</v>
      </c>
      <c r="AB5293" s="1" t="s">
        <v>24</v>
      </c>
      <c r="AC5293" s="1" t="s">
        <v>24</v>
      </c>
      <c r="AD5293" s="1" t="s">
        <v>24</v>
      </c>
      <c r="AE5293" s="1" t="s">
        <v>24</v>
      </c>
      <c r="AF5293" s="22"/>
    </row>
    <row r="5294" spans="1:32" x14ac:dyDescent="0.2">
      <c r="A5294" s="1">
        <v>49367</v>
      </c>
      <c r="B5294" s="1" t="s">
        <v>15895</v>
      </c>
      <c r="C5294" s="5" t="s">
        <v>0</v>
      </c>
      <c r="D5294" s="1" t="s">
        <v>15896</v>
      </c>
      <c r="E5294" s="1" t="s">
        <v>15897</v>
      </c>
      <c r="F5294" s="1" t="s">
        <v>10332</v>
      </c>
      <c r="G5294" s="1" t="s">
        <v>10332</v>
      </c>
      <c r="H5294" s="1" t="s">
        <v>30</v>
      </c>
      <c r="I5294" s="1" t="s">
        <v>16</v>
      </c>
      <c r="J5294" s="1">
        <v>1</v>
      </c>
      <c r="K5294" s="1">
        <v>4</v>
      </c>
      <c r="L5294" s="1" t="s">
        <v>42</v>
      </c>
      <c r="M5294" s="1" t="s">
        <v>18</v>
      </c>
      <c r="N5294" s="1" t="s">
        <v>18</v>
      </c>
      <c r="O5294" s="1">
        <v>3</v>
      </c>
      <c r="P5294" s="1">
        <v>6</v>
      </c>
      <c r="R5294" s="1" t="s">
        <v>19</v>
      </c>
      <c r="S5294" s="1" t="s">
        <v>63</v>
      </c>
      <c r="T5294" s="1" t="s">
        <v>21</v>
      </c>
      <c r="V5294" s="1" t="s">
        <v>23</v>
      </c>
      <c r="W5294" s="1" t="s">
        <v>24</v>
      </c>
      <c r="X5294" s="1">
        <v>2715</v>
      </c>
      <c r="Y5294" s="1" t="s">
        <v>24</v>
      </c>
      <c r="Z5294" s="1" t="s">
        <v>24</v>
      </c>
      <c r="AA5294" s="1" t="s">
        <v>24</v>
      </c>
      <c r="AB5294" s="1" t="s">
        <v>24</v>
      </c>
      <c r="AC5294" s="1" t="s">
        <v>24</v>
      </c>
      <c r="AD5294" s="1" t="s">
        <v>24</v>
      </c>
      <c r="AE5294" s="1" t="s">
        <v>24</v>
      </c>
      <c r="AF5294" s="22"/>
    </row>
    <row r="5295" spans="1:32" x14ac:dyDescent="0.2">
      <c r="A5295" s="1">
        <v>49368</v>
      </c>
      <c r="B5295" s="1" t="s">
        <v>15898</v>
      </c>
      <c r="C5295" s="5" t="s">
        <v>0</v>
      </c>
      <c r="D5295" s="1" t="s">
        <v>15899</v>
      </c>
      <c r="E5295" s="1" t="s">
        <v>15900</v>
      </c>
      <c r="F5295" s="1" t="s">
        <v>10332</v>
      </c>
      <c r="G5295" s="1" t="s">
        <v>10332</v>
      </c>
      <c r="H5295" s="1" t="s">
        <v>30</v>
      </c>
      <c r="I5295" s="1" t="s">
        <v>16</v>
      </c>
      <c r="J5295" s="1">
        <v>1</v>
      </c>
      <c r="K5295" s="1">
        <v>4</v>
      </c>
      <c r="L5295" s="1" t="s">
        <v>42</v>
      </c>
      <c r="M5295" s="1" t="s">
        <v>18</v>
      </c>
      <c r="N5295" s="1" t="s">
        <v>18</v>
      </c>
      <c r="O5295" s="1">
        <v>3</v>
      </c>
      <c r="P5295" s="1">
        <v>6</v>
      </c>
      <c r="R5295" s="1" t="s">
        <v>19</v>
      </c>
      <c r="S5295" s="1" t="s">
        <v>63</v>
      </c>
      <c r="T5295" s="1" t="s">
        <v>21</v>
      </c>
      <c r="V5295" s="1" t="s">
        <v>24</v>
      </c>
      <c r="W5295" s="1" t="s">
        <v>24</v>
      </c>
      <c r="X5295" s="1">
        <v>1303</v>
      </c>
      <c r="Y5295" s="1">
        <v>1311</v>
      </c>
      <c r="Z5295" s="1" t="s">
        <v>24</v>
      </c>
      <c r="AA5295" s="1" t="s">
        <v>24</v>
      </c>
      <c r="AB5295" s="1" t="s">
        <v>24</v>
      </c>
      <c r="AC5295" s="1" t="s">
        <v>24</v>
      </c>
      <c r="AD5295" s="1" t="s">
        <v>24</v>
      </c>
      <c r="AE5295" s="1" t="s">
        <v>24</v>
      </c>
      <c r="AF5295" s="22"/>
    </row>
    <row r="5296" spans="1:32" x14ac:dyDescent="0.2">
      <c r="A5296" s="1">
        <v>49369</v>
      </c>
      <c r="B5296" s="1" t="s">
        <v>15901</v>
      </c>
      <c r="C5296" s="5" t="s">
        <v>0</v>
      </c>
      <c r="D5296" s="1" t="s">
        <v>15902</v>
      </c>
      <c r="E5296" s="1" t="s">
        <v>15903</v>
      </c>
      <c r="F5296" s="1" t="s">
        <v>10332</v>
      </c>
      <c r="G5296" s="1" t="s">
        <v>10332</v>
      </c>
      <c r="H5296" s="1" t="s">
        <v>30</v>
      </c>
      <c r="I5296" s="1" t="s">
        <v>16</v>
      </c>
      <c r="J5296" s="1">
        <v>1</v>
      </c>
      <c r="K5296" s="1">
        <v>6</v>
      </c>
      <c r="L5296" s="1" t="s">
        <v>42</v>
      </c>
      <c r="M5296" s="1" t="s">
        <v>18</v>
      </c>
      <c r="N5296" s="1" t="s">
        <v>18</v>
      </c>
      <c r="O5296" s="1">
        <v>3</v>
      </c>
      <c r="P5296" s="1">
        <v>6</v>
      </c>
      <c r="R5296" s="1" t="s">
        <v>19</v>
      </c>
      <c r="S5296" s="1" t="s">
        <v>63</v>
      </c>
      <c r="T5296" s="1" t="s">
        <v>21</v>
      </c>
      <c r="V5296" s="1" t="s">
        <v>24</v>
      </c>
      <c r="W5296" s="1" t="s">
        <v>24</v>
      </c>
      <c r="X5296" s="1">
        <v>1315</v>
      </c>
      <c r="Y5296" s="1">
        <v>1307</v>
      </c>
      <c r="Z5296" s="1" t="s">
        <v>24</v>
      </c>
      <c r="AA5296" s="1" t="s">
        <v>24</v>
      </c>
      <c r="AB5296" s="1" t="s">
        <v>24</v>
      </c>
      <c r="AC5296" s="1" t="s">
        <v>24</v>
      </c>
      <c r="AD5296" s="1" t="s">
        <v>24</v>
      </c>
      <c r="AE5296" s="1" t="s">
        <v>24</v>
      </c>
      <c r="AF5296" s="22"/>
    </row>
    <row r="5297" spans="1:32" x14ac:dyDescent="0.2">
      <c r="A5297" s="1">
        <v>49370</v>
      </c>
      <c r="B5297" s="1" t="s">
        <v>15904</v>
      </c>
      <c r="C5297" s="5" t="s">
        <v>0</v>
      </c>
      <c r="D5297" s="1" t="s">
        <v>15905</v>
      </c>
      <c r="E5297" s="1" t="s">
        <v>15906</v>
      </c>
      <c r="F5297" s="1" t="s">
        <v>10332</v>
      </c>
      <c r="G5297" s="1" t="s">
        <v>10332</v>
      </c>
      <c r="H5297" s="1" t="s">
        <v>30</v>
      </c>
      <c r="I5297" s="1" t="s">
        <v>16</v>
      </c>
      <c r="J5297" s="1">
        <v>1</v>
      </c>
      <c r="K5297" s="1">
        <v>4</v>
      </c>
      <c r="L5297" s="1" t="s">
        <v>42</v>
      </c>
      <c r="M5297" s="1" t="s">
        <v>18</v>
      </c>
      <c r="N5297" s="1" t="s">
        <v>18</v>
      </c>
      <c r="O5297" s="1">
        <v>3</v>
      </c>
      <c r="P5297" s="1">
        <v>6</v>
      </c>
      <c r="R5297" s="1" t="s">
        <v>19</v>
      </c>
      <c r="S5297" s="1" t="s">
        <v>20</v>
      </c>
      <c r="T5297" s="1" t="s">
        <v>21</v>
      </c>
      <c r="V5297" s="1" t="s">
        <v>24</v>
      </c>
      <c r="W5297" s="1" t="s">
        <v>24</v>
      </c>
      <c r="X5297" s="1">
        <v>2743</v>
      </c>
      <c r="Y5297" s="1" t="s">
        <v>24</v>
      </c>
      <c r="Z5297" s="1" t="s">
        <v>24</v>
      </c>
      <c r="AA5297" s="1" t="s">
        <v>24</v>
      </c>
      <c r="AB5297" s="1" t="s">
        <v>24</v>
      </c>
      <c r="AC5297" s="1" t="s">
        <v>24</v>
      </c>
      <c r="AD5297" s="1" t="s">
        <v>24</v>
      </c>
      <c r="AE5297" s="1" t="s">
        <v>24</v>
      </c>
      <c r="AF5297" s="22"/>
    </row>
    <row r="5298" spans="1:32" x14ac:dyDescent="0.2">
      <c r="A5298" s="1">
        <v>49371</v>
      </c>
      <c r="B5298" s="1" t="s">
        <v>15907</v>
      </c>
      <c r="C5298" s="5" t="s">
        <v>0</v>
      </c>
      <c r="D5298" s="1" t="s">
        <v>15908</v>
      </c>
      <c r="E5298" s="1" t="s">
        <v>15909</v>
      </c>
      <c r="F5298" s="1" t="s">
        <v>10332</v>
      </c>
      <c r="G5298" s="1" t="s">
        <v>10332</v>
      </c>
      <c r="H5298" s="1" t="s">
        <v>30</v>
      </c>
      <c r="I5298" s="1" t="s">
        <v>16</v>
      </c>
      <c r="J5298" s="1">
        <v>1</v>
      </c>
      <c r="K5298" s="1">
        <v>4</v>
      </c>
      <c r="L5298" s="1" t="s">
        <v>42</v>
      </c>
      <c r="M5298" s="1" t="s">
        <v>18</v>
      </c>
      <c r="N5298" s="1" t="s">
        <v>18</v>
      </c>
      <c r="O5298" s="1">
        <v>3</v>
      </c>
      <c r="P5298" s="1">
        <v>6</v>
      </c>
      <c r="R5298" s="1" t="s">
        <v>19</v>
      </c>
      <c r="S5298" s="1" t="s">
        <v>20</v>
      </c>
      <c r="T5298" s="1" t="s">
        <v>21</v>
      </c>
      <c r="V5298" s="1" t="s">
        <v>24</v>
      </c>
      <c r="W5298" s="1" t="s">
        <v>24</v>
      </c>
      <c r="X5298" s="1">
        <v>1307</v>
      </c>
      <c r="Y5298" s="1">
        <v>1303</v>
      </c>
      <c r="Z5298" s="1">
        <v>1313</v>
      </c>
      <c r="AA5298" s="1" t="s">
        <v>24</v>
      </c>
      <c r="AB5298" s="1" t="s">
        <v>24</v>
      </c>
      <c r="AC5298" s="1" t="s">
        <v>24</v>
      </c>
      <c r="AD5298" s="1" t="s">
        <v>24</v>
      </c>
      <c r="AE5298" s="1" t="s">
        <v>24</v>
      </c>
      <c r="AF5298" s="22"/>
    </row>
    <row r="5299" spans="1:32" x14ac:dyDescent="0.2">
      <c r="A5299" s="1">
        <v>49372</v>
      </c>
      <c r="B5299" s="1" t="s">
        <v>15910</v>
      </c>
      <c r="C5299" s="5" t="s">
        <v>0</v>
      </c>
      <c r="D5299" s="1" t="s">
        <v>15911</v>
      </c>
      <c r="E5299" s="1" t="s">
        <v>15912</v>
      </c>
      <c r="F5299" s="1" t="s">
        <v>10332</v>
      </c>
      <c r="G5299" s="1" t="s">
        <v>10332</v>
      </c>
      <c r="H5299" s="1" t="s">
        <v>30</v>
      </c>
      <c r="I5299" s="1" t="s">
        <v>16</v>
      </c>
      <c r="J5299" s="1">
        <v>1</v>
      </c>
      <c r="K5299" s="1">
        <v>4</v>
      </c>
      <c r="L5299" s="1" t="s">
        <v>42</v>
      </c>
      <c r="M5299" s="1" t="s">
        <v>18</v>
      </c>
      <c r="N5299" s="1" t="s">
        <v>18</v>
      </c>
      <c r="O5299" s="1">
        <v>3</v>
      </c>
      <c r="P5299" s="1">
        <v>6</v>
      </c>
      <c r="R5299" s="1" t="s">
        <v>19</v>
      </c>
      <c r="S5299" s="1" t="s">
        <v>20</v>
      </c>
      <c r="T5299" s="1" t="s">
        <v>21</v>
      </c>
      <c r="V5299" s="1" t="s">
        <v>24</v>
      </c>
      <c r="W5299" s="1" t="s">
        <v>24</v>
      </c>
      <c r="X5299" s="1">
        <v>2406</v>
      </c>
      <c r="Y5299" s="1" t="s">
        <v>24</v>
      </c>
      <c r="Z5299" s="1" t="s">
        <v>24</v>
      </c>
      <c r="AA5299" s="1" t="s">
        <v>24</v>
      </c>
      <c r="AB5299" s="1" t="s">
        <v>24</v>
      </c>
      <c r="AC5299" s="1" t="s">
        <v>24</v>
      </c>
      <c r="AD5299" s="1" t="s">
        <v>24</v>
      </c>
      <c r="AE5299" s="1" t="s">
        <v>24</v>
      </c>
      <c r="AF5299" s="22"/>
    </row>
    <row r="5300" spans="1:32" x14ac:dyDescent="0.2">
      <c r="A5300" s="1">
        <v>49373</v>
      </c>
      <c r="B5300" s="1" t="s">
        <v>15913</v>
      </c>
      <c r="C5300" s="5" t="s">
        <v>0</v>
      </c>
      <c r="E5300" s="1" t="s">
        <v>15914</v>
      </c>
      <c r="F5300" s="1" t="s">
        <v>15915</v>
      </c>
      <c r="G5300" s="1" t="s">
        <v>15915</v>
      </c>
      <c r="H5300" s="1" t="s">
        <v>2672</v>
      </c>
      <c r="I5300" s="1" t="s">
        <v>16</v>
      </c>
      <c r="J5300" s="1">
        <v>1</v>
      </c>
      <c r="K5300" s="1">
        <v>1</v>
      </c>
      <c r="L5300" s="1" t="s">
        <v>42</v>
      </c>
      <c r="M5300" s="1" t="s">
        <v>18</v>
      </c>
      <c r="N5300" s="1" t="s">
        <v>18</v>
      </c>
      <c r="O5300" s="1">
        <v>2</v>
      </c>
      <c r="P5300" s="1">
        <v>6</v>
      </c>
      <c r="R5300" s="1" t="s">
        <v>19</v>
      </c>
      <c r="S5300" s="1" t="s">
        <v>63</v>
      </c>
      <c r="T5300" s="1" t="s">
        <v>21</v>
      </c>
      <c r="V5300" s="1" t="s">
        <v>23</v>
      </c>
      <c r="W5300" s="1" t="s">
        <v>24</v>
      </c>
      <c r="X5300" s="1">
        <v>2720</v>
      </c>
      <c r="Y5300" s="1" t="s">
        <v>24</v>
      </c>
      <c r="Z5300" s="1" t="s">
        <v>24</v>
      </c>
      <c r="AA5300" s="1" t="s">
        <v>24</v>
      </c>
      <c r="AB5300" s="1" t="s">
        <v>24</v>
      </c>
      <c r="AC5300" s="1" t="s">
        <v>24</v>
      </c>
      <c r="AD5300" s="1" t="s">
        <v>24</v>
      </c>
      <c r="AE5300" s="1" t="s">
        <v>24</v>
      </c>
      <c r="AF5300" s="22" t="s">
        <v>17670</v>
      </c>
    </row>
    <row r="5301" spans="1:32" x14ac:dyDescent="0.2">
      <c r="A5301" s="1">
        <v>49374</v>
      </c>
      <c r="B5301" s="1" t="s">
        <v>15916</v>
      </c>
      <c r="C5301" s="5" t="s">
        <v>0</v>
      </c>
      <c r="D5301" s="1" t="s">
        <v>15917</v>
      </c>
      <c r="F5301" s="1" t="s">
        <v>15918</v>
      </c>
      <c r="G5301" s="1" t="s">
        <v>15918</v>
      </c>
      <c r="H5301" s="1" t="s">
        <v>885</v>
      </c>
      <c r="I5301" s="1" t="s">
        <v>16</v>
      </c>
      <c r="J5301" s="1">
        <v>1</v>
      </c>
      <c r="K5301" s="1">
        <v>2</v>
      </c>
      <c r="L5301" s="1" t="s">
        <v>42</v>
      </c>
      <c r="M5301" s="1" t="s">
        <v>18</v>
      </c>
      <c r="N5301" s="1" t="s">
        <v>18</v>
      </c>
      <c r="O5301" s="1">
        <v>2</v>
      </c>
      <c r="P5301" s="1">
        <v>6</v>
      </c>
      <c r="R5301" s="1" t="s">
        <v>19</v>
      </c>
      <c r="S5301" s="1" t="s">
        <v>20</v>
      </c>
      <c r="T5301" s="1" t="s">
        <v>21</v>
      </c>
      <c r="U5301" s="1" t="s">
        <v>22</v>
      </c>
      <c r="V5301" s="1" t="s">
        <v>24</v>
      </c>
      <c r="W5301" s="1" t="s">
        <v>24</v>
      </c>
      <c r="X5301" s="1">
        <v>3003</v>
      </c>
      <c r="Y5301" s="1" t="s">
        <v>24</v>
      </c>
      <c r="Z5301" s="1" t="s">
        <v>24</v>
      </c>
      <c r="AA5301" s="1" t="s">
        <v>24</v>
      </c>
      <c r="AB5301" s="1" t="s">
        <v>24</v>
      </c>
      <c r="AC5301" s="1" t="s">
        <v>24</v>
      </c>
      <c r="AD5301" s="1" t="s">
        <v>24</v>
      </c>
      <c r="AE5301" s="1" t="s">
        <v>24</v>
      </c>
      <c r="AF5301" s="22"/>
    </row>
    <row r="5302" spans="1:32" x14ac:dyDescent="0.2">
      <c r="A5302" s="1">
        <v>49375</v>
      </c>
      <c r="B5302" s="1" t="s">
        <v>15919</v>
      </c>
      <c r="C5302" s="5" t="s">
        <v>0</v>
      </c>
      <c r="D5302" s="1" t="s">
        <v>15920</v>
      </c>
      <c r="F5302" s="1" t="s">
        <v>15921</v>
      </c>
      <c r="G5302" s="1" t="s">
        <v>15921</v>
      </c>
      <c r="H5302" s="1" t="s">
        <v>1957</v>
      </c>
      <c r="I5302" s="1" t="s">
        <v>16</v>
      </c>
      <c r="J5302" s="1">
        <v>1</v>
      </c>
      <c r="K5302" s="1">
        <v>4</v>
      </c>
      <c r="L5302" s="1" t="s">
        <v>42</v>
      </c>
      <c r="M5302" s="1" t="s">
        <v>18</v>
      </c>
      <c r="N5302" s="1" t="s">
        <v>18</v>
      </c>
      <c r="O5302" s="1">
        <v>3</v>
      </c>
      <c r="P5302" s="1">
        <v>6</v>
      </c>
      <c r="R5302" s="1" t="s">
        <v>19</v>
      </c>
      <c r="S5302" s="1" t="s">
        <v>20</v>
      </c>
      <c r="T5302" s="1" t="s">
        <v>21</v>
      </c>
      <c r="U5302" s="1" t="s">
        <v>22</v>
      </c>
      <c r="V5302" s="1" t="s">
        <v>24</v>
      </c>
      <c r="W5302" s="1" t="s">
        <v>24</v>
      </c>
      <c r="X5302" s="1">
        <v>2804</v>
      </c>
      <c r="Y5302" s="1">
        <v>2728</v>
      </c>
      <c r="Z5302" s="1" t="s">
        <v>24</v>
      </c>
      <c r="AA5302" s="1" t="s">
        <v>24</v>
      </c>
      <c r="AB5302" s="1" t="s">
        <v>24</v>
      </c>
      <c r="AC5302" s="1" t="s">
        <v>24</v>
      </c>
      <c r="AD5302" s="1" t="s">
        <v>24</v>
      </c>
      <c r="AE5302" s="1" t="s">
        <v>24</v>
      </c>
      <c r="AF5302" s="22"/>
    </row>
    <row r="5303" spans="1:32" x14ac:dyDescent="0.2">
      <c r="A5303" s="1">
        <v>49376</v>
      </c>
      <c r="B5303" s="1" t="s">
        <v>15922</v>
      </c>
      <c r="C5303" s="5" t="s">
        <v>0</v>
      </c>
      <c r="D5303" s="1" t="s">
        <v>15923</v>
      </c>
      <c r="E5303" s="1" t="s">
        <v>15924</v>
      </c>
      <c r="F5303" s="1" t="s">
        <v>296</v>
      </c>
      <c r="G5303" s="1" t="s">
        <v>36</v>
      </c>
      <c r="H5303" s="1" t="s">
        <v>264</v>
      </c>
      <c r="I5303" s="1" t="s">
        <v>16</v>
      </c>
      <c r="J5303" s="1">
        <v>1</v>
      </c>
      <c r="K5303" s="1">
        <v>4</v>
      </c>
      <c r="L5303" s="1" t="s">
        <v>31</v>
      </c>
      <c r="M5303" s="1" t="s">
        <v>18</v>
      </c>
      <c r="N5303" s="1" t="s">
        <v>18</v>
      </c>
      <c r="O5303" s="1">
        <v>3</v>
      </c>
      <c r="P5303" s="1">
        <v>7</v>
      </c>
      <c r="Q5303" s="7" t="s">
        <v>17633</v>
      </c>
      <c r="R5303" s="1" t="s">
        <v>19</v>
      </c>
      <c r="S5303" s="1" t="s">
        <v>20</v>
      </c>
      <c r="T5303" s="1" t="s">
        <v>21</v>
      </c>
      <c r="U5303" s="1" t="s">
        <v>22</v>
      </c>
      <c r="V5303" s="1" t="s">
        <v>23</v>
      </c>
      <c r="W5303" s="1" t="s">
        <v>24</v>
      </c>
      <c r="X5303" s="1">
        <v>2730</v>
      </c>
      <c r="Y5303" s="1">
        <v>2740</v>
      </c>
      <c r="Z5303" s="1" t="s">
        <v>24</v>
      </c>
      <c r="AA5303" s="1" t="s">
        <v>24</v>
      </c>
      <c r="AB5303" s="1" t="s">
        <v>24</v>
      </c>
      <c r="AC5303" s="1" t="s">
        <v>24</v>
      </c>
      <c r="AD5303" s="1" t="s">
        <v>24</v>
      </c>
      <c r="AE5303" s="1" t="s">
        <v>24</v>
      </c>
      <c r="AF5303" s="22"/>
    </row>
    <row r="5304" spans="1:32" x14ac:dyDescent="0.2">
      <c r="A5304" s="1">
        <v>49395</v>
      </c>
      <c r="B5304" s="1" t="s">
        <v>15925</v>
      </c>
      <c r="C5304" s="5" t="s">
        <v>0</v>
      </c>
      <c r="D5304" s="1" t="s">
        <v>15926</v>
      </c>
      <c r="E5304" s="1" t="s">
        <v>15927</v>
      </c>
      <c r="F5304" s="1" t="s">
        <v>493</v>
      </c>
      <c r="G5304" s="1" t="s">
        <v>98</v>
      </c>
      <c r="H5304" s="1" t="s">
        <v>30</v>
      </c>
      <c r="I5304" s="1" t="s">
        <v>16</v>
      </c>
      <c r="J5304" s="1">
        <v>1</v>
      </c>
      <c r="K5304" s="1">
        <v>4</v>
      </c>
      <c r="L5304" s="1" t="s">
        <v>31</v>
      </c>
      <c r="M5304" s="1" t="s">
        <v>18</v>
      </c>
      <c r="N5304" s="1" t="s">
        <v>18</v>
      </c>
      <c r="O5304" s="1">
        <v>1</v>
      </c>
      <c r="P5304" s="1">
        <v>1</v>
      </c>
      <c r="R5304" s="1" t="s">
        <v>19</v>
      </c>
      <c r="S5304" s="1" t="s">
        <v>20</v>
      </c>
      <c r="T5304" s="1" t="s">
        <v>21</v>
      </c>
      <c r="U5304" s="1" t="s">
        <v>22</v>
      </c>
      <c r="V5304" s="1" t="s">
        <v>23</v>
      </c>
      <c r="W5304" s="1" t="s">
        <v>24</v>
      </c>
      <c r="X5304" s="1">
        <v>2723</v>
      </c>
      <c r="Y5304" s="1">
        <v>2204</v>
      </c>
      <c r="Z5304" s="1">
        <v>3612</v>
      </c>
      <c r="AA5304" s="1" t="s">
        <v>24</v>
      </c>
      <c r="AB5304" s="1" t="s">
        <v>24</v>
      </c>
      <c r="AC5304" s="1" t="s">
        <v>24</v>
      </c>
      <c r="AD5304" s="1" t="s">
        <v>24</v>
      </c>
      <c r="AE5304" s="1" t="s">
        <v>24</v>
      </c>
      <c r="AF5304" s="22"/>
    </row>
    <row r="5305" spans="1:32" x14ac:dyDescent="0.2">
      <c r="A5305" s="1">
        <v>49416</v>
      </c>
      <c r="B5305" s="1" t="s">
        <v>15928</v>
      </c>
      <c r="C5305" s="5" t="s">
        <v>0</v>
      </c>
      <c r="E5305" s="1" t="s">
        <v>15929</v>
      </c>
      <c r="F5305" s="1" t="s">
        <v>11251</v>
      </c>
      <c r="G5305" s="1" t="s">
        <v>11251</v>
      </c>
      <c r="H5305" s="1" t="s">
        <v>3228</v>
      </c>
      <c r="I5305" s="1" t="s">
        <v>16</v>
      </c>
      <c r="J5305" s="1">
        <v>1</v>
      </c>
      <c r="K5305" s="1">
        <v>1</v>
      </c>
      <c r="L5305" s="1" t="s">
        <v>42</v>
      </c>
      <c r="M5305" s="1" t="s">
        <v>18</v>
      </c>
      <c r="N5305" s="1" t="s">
        <v>18</v>
      </c>
      <c r="O5305" s="1">
        <v>1</v>
      </c>
      <c r="P5305" s="1">
        <v>1</v>
      </c>
      <c r="R5305" s="1" t="s">
        <v>19</v>
      </c>
      <c r="S5305" s="1" t="s">
        <v>20</v>
      </c>
      <c r="T5305" s="1" t="s">
        <v>21</v>
      </c>
      <c r="U5305" s="1" t="s">
        <v>22</v>
      </c>
      <c r="V5305" s="1" t="s">
        <v>24</v>
      </c>
      <c r="W5305" s="1" t="s">
        <v>24</v>
      </c>
      <c r="X5305" s="1">
        <v>2800</v>
      </c>
      <c r="Y5305" s="1" t="s">
        <v>24</v>
      </c>
      <c r="Z5305" s="1" t="s">
        <v>24</v>
      </c>
      <c r="AA5305" s="1" t="s">
        <v>24</v>
      </c>
      <c r="AB5305" s="1" t="s">
        <v>24</v>
      </c>
      <c r="AC5305" s="1" t="s">
        <v>24</v>
      </c>
      <c r="AD5305" s="1" t="s">
        <v>24</v>
      </c>
      <c r="AE5305" s="1" t="s">
        <v>24</v>
      </c>
      <c r="AF5305" s="22"/>
    </row>
    <row r="5306" spans="1:32" x14ac:dyDescent="0.2">
      <c r="A5306" s="1">
        <v>49426</v>
      </c>
      <c r="B5306" s="1" t="s">
        <v>15930</v>
      </c>
      <c r="C5306" s="5" t="s">
        <v>0</v>
      </c>
      <c r="D5306" s="1" t="s">
        <v>15931</v>
      </c>
      <c r="E5306" s="1" t="s">
        <v>15932</v>
      </c>
      <c r="F5306" s="1" t="s">
        <v>15933</v>
      </c>
      <c r="G5306" s="1" t="s">
        <v>15933</v>
      </c>
      <c r="H5306" s="1" t="s">
        <v>2772</v>
      </c>
      <c r="I5306" s="1" t="s">
        <v>16</v>
      </c>
      <c r="J5306" s="1">
        <v>1</v>
      </c>
      <c r="K5306" s="1">
        <v>4</v>
      </c>
      <c r="L5306" s="1" t="s">
        <v>42</v>
      </c>
      <c r="M5306" s="1" t="s">
        <v>18</v>
      </c>
      <c r="N5306" s="1" t="s">
        <v>18</v>
      </c>
      <c r="O5306" s="1">
        <v>1</v>
      </c>
      <c r="P5306" s="1">
        <v>1</v>
      </c>
      <c r="R5306" s="1" t="s">
        <v>19</v>
      </c>
      <c r="S5306" s="1" t="s">
        <v>20</v>
      </c>
      <c r="T5306" s="1" t="s">
        <v>21</v>
      </c>
      <c r="U5306" s="1" t="s">
        <v>22</v>
      </c>
      <c r="V5306" s="1" t="s">
        <v>23</v>
      </c>
      <c r="W5306" s="1" t="s">
        <v>24</v>
      </c>
      <c r="X5306" s="1">
        <v>1306</v>
      </c>
      <c r="Y5306" s="1">
        <v>2730</v>
      </c>
      <c r="Z5306" s="1" t="s">
        <v>24</v>
      </c>
      <c r="AA5306" s="1" t="s">
        <v>24</v>
      </c>
      <c r="AB5306" s="1" t="s">
        <v>24</v>
      </c>
      <c r="AC5306" s="1" t="s">
        <v>24</v>
      </c>
      <c r="AD5306" s="1" t="s">
        <v>24</v>
      </c>
      <c r="AE5306" s="1" t="s">
        <v>24</v>
      </c>
      <c r="AF5306" s="22"/>
    </row>
    <row r="5307" spans="1:32" x14ac:dyDescent="0.2">
      <c r="A5307" s="1">
        <v>49438</v>
      </c>
      <c r="B5307" s="1" t="s">
        <v>15934</v>
      </c>
      <c r="C5307" s="5" t="s">
        <v>0</v>
      </c>
      <c r="D5307" s="1" t="s">
        <v>15935</v>
      </c>
      <c r="F5307" s="1" t="s">
        <v>15936</v>
      </c>
      <c r="G5307" s="1" t="s">
        <v>15936</v>
      </c>
      <c r="H5307" s="1" t="s">
        <v>1957</v>
      </c>
      <c r="I5307" s="1" t="s">
        <v>16</v>
      </c>
      <c r="J5307" s="1">
        <v>1</v>
      </c>
      <c r="K5307" s="1">
        <v>4</v>
      </c>
      <c r="L5307" s="1" t="s">
        <v>42</v>
      </c>
      <c r="M5307" s="1" t="s">
        <v>18</v>
      </c>
      <c r="N5307" s="1" t="s">
        <v>18</v>
      </c>
      <c r="O5307" s="1">
        <v>1</v>
      </c>
      <c r="P5307" s="1">
        <v>1</v>
      </c>
      <c r="R5307" s="1" t="s">
        <v>19</v>
      </c>
      <c r="S5307" s="1" t="s">
        <v>20</v>
      </c>
      <c r="T5307" s="1" t="s">
        <v>21</v>
      </c>
      <c r="U5307" s="1" t="s">
        <v>22</v>
      </c>
      <c r="V5307" s="1" t="s">
        <v>23</v>
      </c>
      <c r="W5307" s="1" t="s">
        <v>24</v>
      </c>
      <c r="X5307" s="1">
        <v>2705</v>
      </c>
      <c r="Y5307" s="1" t="s">
        <v>24</v>
      </c>
      <c r="Z5307" s="1" t="s">
        <v>24</v>
      </c>
      <c r="AA5307" s="1" t="s">
        <v>24</v>
      </c>
      <c r="AB5307" s="1" t="s">
        <v>24</v>
      </c>
      <c r="AC5307" s="1" t="s">
        <v>24</v>
      </c>
      <c r="AD5307" s="1" t="s">
        <v>24</v>
      </c>
      <c r="AE5307" s="1" t="s">
        <v>24</v>
      </c>
      <c r="AF5307" s="22"/>
    </row>
    <row r="5308" spans="1:32" x14ac:dyDescent="0.2">
      <c r="A5308" s="1">
        <v>49439</v>
      </c>
      <c r="B5308" s="1" t="s">
        <v>15937</v>
      </c>
      <c r="C5308" s="5" t="s">
        <v>0</v>
      </c>
      <c r="D5308" s="1" t="s">
        <v>15938</v>
      </c>
      <c r="F5308" s="1" t="s">
        <v>15939</v>
      </c>
      <c r="G5308" s="1" t="s">
        <v>15939</v>
      </c>
      <c r="H5308" s="1" t="s">
        <v>1957</v>
      </c>
      <c r="I5308" s="1" t="s">
        <v>16</v>
      </c>
      <c r="J5308" s="1">
        <v>1</v>
      </c>
      <c r="K5308" s="1">
        <v>4</v>
      </c>
      <c r="L5308" s="1" t="s">
        <v>42</v>
      </c>
      <c r="M5308" s="1" t="s">
        <v>18</v>
      </c>
      <c r="N5308" s="1" t="s">
        <v>18</v>
      </c>
      <c r="O5308" s="1">
        <v>1</v>
      </c>
      <c r="P5308" s="1">
        <v>1</v>
      </c>
      <c r="R5308" s="1" t="s">
        <v>19</v>
      </c>
      <c r="S5308" s="1" t="s">
        <v>20</v>
      </c>
      <c r="T5308" s="1" t="s">
        <v>21</v>
      </c>
      <c r="U5308" s="1" t="s">
        <v>22</v>
      </c>
      <c r="V5308" s="1" t="s">
        <v>23</v>
      </c>
      <c r="W5308" s="1" t="s">
        <v>24</v>
      </c>
      <c r="X5308" s="1">
        <v>2708</v>
      </c>
      <c r="Y5308" s="1" t="s">
        <v>24</v>
      </c>
      <c r="Z5308" s="1" t="s">
        <v>24</v>
      </c>
      <c r="AA5308" s="1" t="s">
        <v>24</v>
      </c>
      <c r="AB5308" s="1" t="s">
        <v>24</v>
      </c>
      <c r="AC5308" s="1" t="s">
        <v>24</v>
      </c>
      <c r="AD5308" s="1" t="s">
        <v>24</v>
      </c>
      <c r="AE5308" s="1" t="s">
        <v>24</v>
      </c>
      <c r="AF5308" s="22"/>
    </row>
    <row r="5309" spans="1:32" x14ac:dyDescent="0.2">
      <c r="A5309" s="1">
        <v>49445</v>
      </c>
      <c r="B5309" s="1" t="s">
        <v>15940</v>
      </c>
      <c r="C5309" s="5" t="s">
        <v>0</v>
      </c>
      <c r="D5309" s="1" t="s">
        <v>15941</v>
      </c>
      <c r="E5309" s="1" t="s">
        <v>15942</v>
      </c>
      <c r="F5309" s="1" t="s">
        <v>15943</v>
      </c>
      <c r="G5309" s="1" t="s">
        <v>15943</v>
      </c>
      <c r="H5309" s="1" t="s">
        <v>15944</v>
      </c>
      <c r="I5309" s="1" t="s">
        <v>16</v>
      </c>
      <c r="J5309" s="1">
        <v>1</v>
      </c>
      <c r="K5309" s="1">
        <v>6</v>
      </c>
      <c r="L5309" s="1" t="s">
        <v>42</v>
      </c>
      <c r="M5309" s="1" t="s">
        <v>18</v>
      </c>
      <c r="N5309" s="1" t="s">
        <v>18</v>
      </c>
      <c r="O5309" s="1">
        <v>3</v>
      </c>
      <c r="P5309" s="1">
        <v>6</v>
      </c>
      <c r="R5309" s="1" t="s">
        <v>19</v>
      </c>
      <c r="S5309" s="1" t="s">
        <v>63</v>
      </c>
      <c r="T5309" s="1" t="s">
        <v>21</v>
      </c>
      <c r="U5309" s="1" t="s">
        <v>22</v>
      </c>
      <c r="V5309" s="1" t="s">
        <v>24</v>
      </c>
      <c r="W5309" s="1" t="s">
        <v>24</v>
      </c>
      <c r="X5309" s="1">
        <v>2700</v>
      </c>
      <c r="Y5309" s="1" t="s">
        <v>24</v>
      </c>
      <c r="Z5309" s="1" t="s">
        <v>24</v>
      </c>
      <c r="AA5309" s="1" t="s">
        <v>24</v>
      </c>
      <c r="AB5309" s="1" t="s">
        <v>24</v>
      </c>
      <c r="AC5309" s="1" t="s">
        <v>24</v>
      </c>
      <c r="AD5309" s="1" t="s">
        <v>24</v>
      </c>
      <c r="AE5309" s="1" t="s">
        <v>24</v>
      </c>
      <c r="AF5309" s="22"/>
    </row>
    <row r="5310" spans="1:32" x14ac:dyDescent="0.2">
      <c r="A5310" s="1">
        <v>49463</v>
      </c>
      <c r="B5310" s="1" t="s">
        <v>15945</v>
      </c>
      <c r="C5310" s="5" t="s">
        <v>0</v>
      </c>
      <c r="D5310" s="1" t="s">
        <v>15946</v>
      </c>
      <c r="F5310" s="1" t="s">
        <v>15947</v>
      </c>
      <c r="G5310" s="1" t="s">
        <v>15947</v>
      </c>
      <c r="H5310" s="1" t="s">
        <v>1660</v>
      </c>
      <c r="I5310" s="1" t="s">
        <v>16</v>
      </c>
      <c r="J5310" s="1">
        <v>1</v>
      </c>
      <c r="K5310" s="1">
        <v>4</v>
      </c>
      <c r="L5310" s="1" t="s">
        <v>42</v>
      </c>
      <c r="M5310" s="1" t="s">
        <v>18</v>
      </c>
      <c r="N5310" s="1" t="s">
        <v>18</v>
      </c>
      <c r="O5310" s="1">
        <v>2</v>
      </c>
      <c r="P5310" s="1">
        <v>6</v>
      </c>
      <c r="R5310" s="1" t="s">
        <v>19</v>
      </c>
      <c r="S5310" s="1" t="s">
        <v>20</v>
      </c>
      <c r="T5310" s="1" t="s">
        <v>21</v>
      </c>
      <c r="U5310" s="1" t="s">
        <v>22</v>
      </c>
      <c r="V5310" s="1" t="s">
        <v>24</v>
      </c>
      <c r="W5310" s="1" t="s">
        <v>24</v>
      </c>
      <c r="X5310" s="1">
        <v>2712</v>
      </c>
      <c r="Y5310" s="1">
        <v>2724</v>
      </c>
      <c r="Z5310" s="1" t="s">
        <v>24</v>
      </c>
      <c r="AA5310" s="1" t="s">
        <v>24</v>
      </c>
      <c r="AB5310" s="1" t="s">
        <v>24</v>
      </c>
      <c r="AC5310" s="1" t="s">
        <v>24</v>
      </c>
      <c r="AD5310" s="1" t="s">
        <v>24</v>
      </c>
      <c r="AE5310" s="1" t="s">
        <v>24</v>
      </c>
      <c r="AF5310" s="22"/>
    </row>
    <row r="5311" spans="1:32" x14ac:dyDescent="0.2">
      <c r="A5311" s="1">
        <v>49468</v>
      </c>
      <c r="B5311" s="1" t="s">
        <v>15948</v>
      </c>
      <c r="C5311" s="5" t="s">
        <v>0</v>
      </c>
      <c r="D5311" s="1" t="s">
        <v>15949</v>
      </c>
      <c r="E5311" s="1" t="s">
        <v>15950</v>
      </c>
      <c r="F5311" s="1" t="s">
        <v>6405</v>
      </c>
      <c r="G5311" s="1" t="s">
        <v>6406</v>
      </c>
      <c r="H5311" s="1" t="s">
        <v>92</v>
      </c>
      <c r="I5311" s="1" t="s">
        <v>16</v>
      </c>
      <c r="J5311" s="1">
        <v>1</v>
      </c>
      <c r="K5311" s="1">
        <v>4</v>
      </c>
      <c r="L5311" s="1" t="s">
        <v>31</v>
      </c>
      <c r="M5311" s="1" t="s">
        <v>18</v>
      </c>
      <c r="N5311" s="1" t="s">
        <v>18</v>
      </c>
      <c r="O5311" s="1">
        <v>2</v>
      </c>
      <c r="P5311" s="1">
        <v>7</v>
      </c>
      <c r="Q5311" s="7" t="s">
        <v>17633</v>
      </c>
      <c r="R5311" s="1" t="s">
        <v>19</v>
      </c>
      <c r="S5311" s="1" t="s">
        <v>20</v>
      </c>
      <c r="T5311" s="1" t="s">
        <v>21</v>
      </c>
      <c r="V5311" s="1" t="s">
        <v>23</v>
      </c>
      <c r="W5311" s="1" t="s">
        <v>24</v>
      </c>
      <c r="X5311" s="1">
        <v>2735</v>
      </c>
      <c r="Y5311" s="1">
        <v>2738</v>
      </c>
      <c r="Z5311" s="1" t="s">
        <v>24</v>
      </c>
      <c r="AA5311" s="1" t="s">
        <v>24</v>
      </c>
      <c r="AB5311" s="1" t="s">
        <v>24</v>
      </c>
      <c r="AC5311" s="1" t="s">
        <v>24</v>
      </c>
      <c r="AD5311" s="1" t="s">
        <v>24</v>
      </c>
      <c r="AE5311" s="1" t="s">
        <v>24</v>
      </c>
      <c r="AF5311" s="22"/>
    </row>
    <row r="5312" spans="1:32" x14ac:dyDescent="0.2">
      <c r="A5312" s="1">
        <v>49478</v>
      </c>
      <c r="B5312" s="1" t="s">
        <v>15951</v>
      </c>
      <c r="C5312" s="5" t="s">
        <v>0</v>
      </c>
      <c r="D5312" s="1" t="s">
        <v>15952</v>
      </c>
      <c r="F5312" s="1" t="s">
        <v>303</v>
      </c>
      <c r="G5312" s="1" t="s">
        <v>61</v>
      </c>
      <c r="H5312" s="1" t="s">
        <v>30</v>
      </c>
      <c r="I5312" s="1" t="s">
        <v>16</v>
      </c>
      <c r="J5312" s="1">
        <v>1</v>
      </c>
      <c r="K5312" s="1">
        <v>4</v>
      </c>
      <c r="L5312" s="1" t="s">
        <v>31</v>
      </c>
      <c r="M5312" s="1" t="s">
        <v>18</v>
      </c>
      <c r="N5312" s="1" t="s">
        <v>18</v>
      </c>
      <c r="O5312" s="1">
        <v>2</v>
      </c>
      <c r="P5312" s="1">
        <v>7</v>
      </c>
      <c r="Q5312" s="7" t="s">
        <v>17633</v>
      </c>
      <c r="R5312" s="1" t="s">
        <v>19</v>
      </c>
      <c r="S5312" s="1" t="s">
        <v>20</v>
      </c>
      <c r="T5312" s="1" t="s">
        <v>21</v>
      </c>
      <c r="U5312" s="1" t="s">
        <v>22</v>
      </c>
      <c r="V5312" s="1" t="s">
        <v>23</v>
      </c>
      <c r="W5312" s="1" t="s">
        <v>24</v>
      </c>
      <c r="X5312" s="1">
        <v>2700</v>
      </c>
      <c r="Y5312" s="1" t="s">
        <v>24</v>
      </c>
      <c r="Z5312" s="1" t="s">
        <v>24</v>
      </c>
      <c r="AA5312" s="1" t="s">
        <v>24</v>
      </c>
      <c r="AB5312" s="1" t="s">
        <v>24</v>
      </c>
      <c r="AC5312" s="1" t="s">
        <v>24</v>
      </c>
      <c r="AD5312" s="1" t="s">
        <v>24</v>
      </c>
      <c r="AE5312" s="1" t="s">
        <v>24</v>
      </c>
      <c r="AF5312" s="22" t="s">
        <v>17679</v>
      </c>
    </row>
    <row r="5313" spans="1:32" x14ac:dyDescent="0.2">
      <c r="A5313" s="1">
        <v>49479</v>
      </c>
      <c r="B5313" s="1" t="s">
        <v>15953</v>
      </c>
      <c r="C5313" s="5" t="s">
        <v>0</v>
      </c>
      <c r="D5313" s="1" t="s">
        <v>15954</v>
      </c>
      <c r="F5313" s="1" t="s">
        <v>272</v>
      </c>
      <c r="G5313" s="1" t="s">
        <v>61</v>
      </c>
      <c r="H5313" s="1" t="s">
        <v>30</v>
      </c>
      <c r="I5313" s="1" t="s">
        <v>16</v>
      </c>
      <c r="J5313" s="1">
        <v>1</v>
      </c>
      <c r="K5313" s="1">
        <v>4</v>
      </c>
      <c r="L5313" s="1" t="s">
        <v>31</v>
      </c>
      <c r="M5313" s="1" t="s">
        <v>18</v>
      </c>
      <c r="N5313" s="1" t="s">
        <v>18</v>
      </c>
      <c r="O5313" s="1">
        <v>2</v>
      </c>
      <c r="P5313" s="1">
        <v>7</v>
      </c>
      <c r="Q5313" s="7" t="s">
        <v>17633</v>
      </c>
      <c r="R5313" s="1" t="s">
        <v>19</v>
      </c>
      <c r="S5313" s="1" t="s">
        <v>20</v>
      </c>
      <c r="T5313" s="1" t="s">
        <v>21</v>
      </c>
      <c r="U5313" s="1" t="s">
        <v>22</v>
      </c>
      <c r="V5313" s="1" t="s">
        <v>23</v>
      </c>
      <c r="W5313" s="1" t="s">
        <v>24</v>
      </c>
      <c r="X5313" s="1">
        <v>2705</v>
      </c>
      <c r="Y5313" s="1" t="s">
        <v>24</v>
      </c>
      <c r="Z5313" s="1" t="s">
        <v>24</v>
      </c>
      <c r="AA5313" s="1" t="s">
        <v>24</v>
      </c>
      <c r="AB5313" s="1" t="s">
        <v>24</v>
      </c>
      <c r="AC5313" s="1" t="s">
        <v>24</v>
      </c>
      <c r="AD5313" s="1" t="s">
        <v>24</v>
      </c>
      <c r="AE5313" s="1" t="s">
        <v>24</v>
      </c>
      <c r="AF5313" s="22"/>
    </row>
    <row r="5314" spans="1:32" x14ac:dyDescent="0.2">
      <c r="A5314" s="1">
        <v>49480</v>
      </c>
      <c r="B5314" s="1" t="s">
        <v>15955</v>
      </c>
      <c r="C5314" s="5" t="s">
        <v>0</v>
      </c>
      <c r="D5314" s="1" t="s">
        <v>15956</v>
      </c>
      <c r="F5314" s="1" t="s">
        <v>91</v>
      </c>
      <c r="G5314" s="1" t="s">
        <v>61</v>
      </c>
      <c r="H5314" s="1" t="s">
        <v>92</v>
      </c>
      <c r="I5314" s="1" t="s">
        <v>16</v>
      </c>
      <c r="J5314" s="1">
        <v>1</v>
      </c>
      <c r="K5314" s="1">
        <v>6</v>
      </c>
      <c r="L5314" s="1" t="s">
        <v>31</v>
      </c>
      <c r="M5314" s="1" t="s">
        <v>18</v>
      </c>
      <c r="N5314" s="1" t="s">
        <v>18</v>
      </c>
      <c r="O5314" s="1">
        <v>3</v>
      </c>
      <c r="P5314" s="1">
        <v>7</v>
      </c>
      <c r="Q5314" s="7" t="s">
        <v>17633</v>
      </c>
      <c r="R5314" s="1" t="s">
        <v>19</v>
      </c>
      <c r="S5314" s="1" t="s">
        <v>20</v>
      </c>
      <c r="T5314" s="1" t="s">
        <v>21</v>
      </c>
      <c r="U5314" s="1" t="s">
        <v>22</v>
      </c>
      <c r="V5314" s="1" t="s">
        <v>23</v>
      </c>
      <c r="W5314" s="1" t="s">
        <v>24</v>
      </c>
      <c r="X5314" s="1">
        <v>2725</v>
      </c>
      <c r="Y5314" s="1">
        <v>2726</v>
      </c>
      <c r="Z5314" s="1" t="s">
        <v>24</v>
      </c>
      <c r="AA5314" s="1" t="s">
        <v>24</v>
      </c>
      <c r="AB5314" s="1" t="s">
        <v>24</v>
      </c>
      <c r="AC5314" s="1" t="s">
        <v>24</v>
      </c>
      <c r="AD5314" s="1" t="s">
        <v>24</v>
      </c>
      <c r="AE5314" s="1" t="s">
        <v>24</v>
      </c>
      <c r="AF5314" s="22"/>
    </row>
    <row r="5315" spans="1:32" x14ac:dyDescent="0.2">
      <c r="A5315" s="1">
        <v>49481</v>
      </c>
      <c r="B5315" s="1" t="s">
        <v>15957</v>
      </c>
      <c r="C5315" s="5" t="s">
        <v>0</v>
      </c>
      <c r="D5315" s="1" t="s">
        <v>15958</v>
      </c>
      <c r="F5315" s="1" t="s">
        <v>155</v>
      </c>
      <c r="G5315" s="1" t="s">
        <v>61</v>
      </c>
      <c r="H5315" s="1" t="s">
        <v>37</v>
      </c>
      <c r="I5315" s="1" t="s">
        <v>16</v>
      </c>
      <c r="J5315" s="1">
        <v>1</v>
      </c>
      <c r="K5315" s="1">
        <v>1</v>
      </c>
      <c r="L5315" s="1" t="s">
        <v>31</v>
      </c>
      <c r="M5315" s="1" t="s">
        <v>18</v>
      </c>
      <c r="N5315" s="1" t="s">
        <v>18</v>
      </c>
      <c r="O5315" s="1">
        <v>3</v>
      </c>
      <c r="P5315" s="1">
        <v>7</v>
      </c>
      <c r="Q5315" s="7" t="s">
        <v>17633</v>
      </c>
      <c r="R5315" s="1" t="s">
        <v>19</v>
      </c>
      <c r="S5315" s="1" t="s">
        <v>63</v>
      </c>
      <c r="T5315" s="1" t="s">
        <v>21</v>
      </c>
      <c r="U5315" s="1" t="s">
        <v>22</v>
      </c>
      <c r="V5315" s="1" t="s">
        <v>24</v>
      </c>
      <c r="W5315" s="1" t="s">
        <v>24</v>
      </c>
      <c r="X5315" s="1">
        <v>2725</v>
      </c>
      <c r="Y5315" s="1">
        <v>2736</v>
      </c>
      <c r="Z5315" s="1">
        <v>3004</v>
      </c>
      <c r="AA5315" s="1" t="s">
        <v>24</v>
      </c>
      <c r="AB5315" s="1" t="s">
        <v>24</v>
      </c>
      <c r="AC5315" s="1" t="s">
        <v>24</v>
      </c>
      <c r="AD5315" s="1" t="s">
        <v>24</v>
      </c>
      <c r="AE5315" s="1" t="s">
        <v>24</v>
      </c>
      <c r="AF5315" s="22"/>
    </row>
    <row r="5316" spans="1:32" x14ac:dyDescent="0.2">
      <c r="A5316" s="1">
        <v>49482</v>
      </c>
      <c r="B5316" s="1" t="s">
        <v>15959</v>
      </c>
      <c r="C5316" s="5" t="s">
        <v>0</v>
      </c>
      <c r="D5316" s="1" t="s">
        <v>15960</v>
      </c>
      <c r="F5316" s="1" t="s">
        <v>91</v>
      </c>
      <c r="G5316" s="1" t="s">
        <v>61</v>
      </c>
      <c r="H5316" s="1" t="s">
        <v>92</v>
      </c>
      <c r="I5316" s="1" t="s">
        <v>16</v>
      </c>
      <c r="J5316" s="1">
        <v>1</v>
      </c>
      <c r="K5316" s="1">
        <v>4</v>
      </c>
      <c r="L5316" s="1" t="s">
        <v>31</v>
      </c>
      <c r="M5316" s="1" t="s">
        <v>18</v>
      </c>
      <c r="N5316" s="1" t="s">
        <v>18</v>
      </c>
      <c r="O5316" s="1">
        <v>2</v>
      </c>
      <c r="P5316" s="1">
        <v>7</v>
      </c>
      <c r="Q5316" s="7" t="s">
        <v>17633</v>
      </c>
      <c r="R5316" s="1" t="s">
        <v>19</v>
      </c>
      <c r="S5316" s="1" t="s">
        <v>20</v>
      </c>
      <c r="T5316" s="1" t="s">
        <v>21</v>
      </c>
      <c r="U5316" s="1" t="s">
        <v>22</v>
      </c>
      <c r="V5316" s="1" t="s">
        <v>23</v>
      </c>
      <c r="W5316" s="1" t="s">
        <v>24</v>
      </c>
      <c r="X5316" s="1">
        <v>2706</v>
      </c>
      <c r="Y5316" s="1">
        <v>2711</v>
      </c>
      <c r="Z5316" s="1" t="s">
        <v>24</v>
      </c>
      <c r="AA5316" s="1" t="s">
        <v>24</v>
      </c>
      <c r="AB5316" s="1" t="s">
        <v>24</v>
      </c>
      <c r="AC5316" s="1" t="s">
        <v>24</v>
      </c>
      <c r="AD5316" s="1" t="s">
        <v>24</v>
      </c>
      <c r="AE5316" s="1" t="s">
        <v>24</v>
      </c>
      <c r="AF5316" s="22" t="s">
        <v>17679</v>
      </c>
    </row>
    <row r="5317" spans="1:32" x14ac:dyDescent="0.2">
      <c r="A5317" s="1">
        <v>49483</v>
      </c>
      <c r="B5317" s="1" t="s">
        <v>15961</v>
      </c>
      <c r="C5317" s="5" t="s">
        <v>0</v>
      </c>
      <c r="D5317" s="1" t="s">
        <v>15962</v>
      </c>
      <c r="E5317" s="1" t="s">
        <v>15963</v>
      </c>
      <c r="F5317" s="1" t="s">
        <v>175</v>
      </c>
      <c r="G5317" s="1" t="s">
        <v>61</v>
      </c>
      <c r="H5317" s="1" t="s">
        <v>116</v>
      </c>
      <c r="I5317" s="1" t="s">
        <v>16</v>
      </c>
      <c r="J5317" s="1">
        <v>1</v>
      </c>
      <c r="K5317" s="1">
        <v>4</v>
      </c>
      <c r="L5317" s="1" t="s">
        <v>31</v>
      </c>
      <c r="M5317" s="1" t="s">
        <v>75</v>
      </c>
      <c r="N5317" s="1" t="s">
        <v>75</v>
      </c>
      <c r="O5317" s="1">
        <v>2</v>
      </c>
      <c r="P5317" s="1">
        <v>7</v>
      </c>
      <c r="Q5317" s="7" t="s">
        <v>17633</v>
      </c>
      <c r="R5317" s="1" t="s">
        <v>19</v>
      </c>
      <c r="S5317" s="1" t="s">
        <v>20</v>
      </c>
      <c r="T5317" s="1" t="s">
        <v>21</v>
      </c>
      <c r="U5317" s="1" t="s">
        <v>22</v>
      </c>
      <c r="V5317" s="1" t="s">
        <v>24</v>
      </c>
      <c r="W5317" s="1" t="s">
        <v>24</v>
      </c>
      <c r="X5317" s="1">
        <v>2746</v>
      </c>
      <c r="Y5317" s="1">
        <v>3500</v>
      </c>
      <c r="Z5317" s="1" t="s">
        <v>24</v>
      </c>
      <c r="AA5317" s="1" t="s">
        <v>24</v>
      </c>
      <c r="AB5317" s="1" t="s">
        <v>24</v>
      </c>
      <c r="AC5317" s="1" t="s">
        <v>24</v>
      </c>
      <c r="AD5317" s="1" t="s">
        <v>24</v>
      </c>
      <c r="AE5317" s="1" t="s">
        <v>24</v>
      </c>
      <c r="AF5317" s="22"/>
    </row>
    <row r="5318" spans="1:32" x14ac:dyDescent="0.2">
      <c r="A5318" s="1">
        <v>49484</v>
      </c>
      <c r="B5318" s="1" t="s">
        <v>15964</v>
      </c>
      <c r="C5318" s="5" t="s">
        <v>0</v>
      </c>
      <c r="D5318" s="1" t="s">
        <v>15965</v>
      </c>
      <c r="F5318" s="1" t="s">
        <v>91</v>
      </c>
      <c r="G5318" s="1" t="s">
        <v>61</v>
      </c>
      <c r="H5318" s="1" t="s">
        <v>92</v>
      </c>
      <c r="I5318" s="1" t="s">
        <v>16</v>
      </c>
      <c r="J5318" s="1">
        <v>1</v>
      </c>
      <c r="K5318" s="1">
        <v>1</v>
      </c>
      <c r="L5318" s="1" t="s">
        <v>31</v>
      </c>
      <c r="M5318" s="1" t="s">
        <v>18</v>
      </c>
      <c r="N5318" s="1" t="s">
        <v>18</v>
      </c>
      <c r="O5318" s="1">
        <v>3</v>
      </c>
      <c r="P5318" s="1">
        <v>7</v>
      </c>
      <c r="Q5318" s="7" t="s">
        <v>17633</v>
      </c>
      <c r="R5318" s="1" t="s">
        <v>19</v>
      </c>
      <c r="S5318" s="1" t="s">
        <v>63</v>
      </c>
      <c r="T5318" s="1" t="s">
        <v>21</v>
      </c>
      <c r="U5318" s="1" t="s">
        <v>22</v>
      </c>
      <c r="V5318" s="1" t="s">
        <v>24</v>
      </c>
      <c r="W5318" s="1" t="s">
        <v>24</v>
      </c>
      <c r="X5318" s="1">
        <v>1300</v>
      </c>
      <c r="Y5318" s="1" t="s">
        <v>24</v>
      </c>
      <c r="Z5318" s="1" t="s">
        <v>24</v>
      </c>
      <c r="AA5318" s="1" t="s">
        <v>24</v>
      </c>
      <c r="AB5318" s="1" t="s">
        <v>24</v>
      </c>
      <c r="AC5318" s="1" t="s">
        <v>24</v>
      </c>
      <c r="AD5318" s="1" t="s">
        <v>24</v>
      </c>
      <c r="AE5318" s="1" t="s">
        <v>24</v>
      </c>
      <c r="AF5318" s="22" t="s">
        <v>17678</v>
      </c>
    </row>
    <row r="5319" spans="1:32" x14ac:dyDescent="0.2">
      <c r="A5319" s="1">
        <v>49488</v>
      </c>
      <c r="B5319" s="1" t="s">
        <v>15966</v>
      </c>
      <c r="C5319" s="5" t="s">
        <v>0</v>
      </c>
      <c r="D5319" s="1" t="s">
        <v>15967</v>
      </c>
      <c r="E5319" s="1" t="s">
        <v>15968</v>
      </c>
      <c r="F5319" s="1" t="s">
        <v>15969</v>
      </c>
      <c r="G5319" s="1" t="s">
        <v>61</v>
      </c>
      <c r="H5319" s="1" t="s">
        <v>7640</v>
      </c>
      <c r="I5319" s="1" t="s">
        <v>16</v>
      </c>
      <c r="J5319" s="1">
        <v>1</v>
      </c>
      <c r="K5319" s="1">
        <v>4</v>
      </c>
      <c r="L5319" s="1" t="s">
        <v>31</v>
      </c>
      <c r="M5319" s="1" t="s">
        <v>18</v>
      </c>
      <c r="N5319" s="1" t="s">
        <v>18</v>
      </c>
      <c r="O5319" s="1">
        <v>3</v>
      </c>
      <c r="P5319" s="1">
        <v>6</v>
      </c>
      <c r="R5319" s="1" t="s">
        <v>19</v>
      </c>
      <c r="S5319" s="1" t="s">
        <v>20</v>
      </c>
      <c r="T5319" s="1" t="s">
        <v>21</v>
      </c>
      <c r="U5319" s="1" t="s">
        <v>22</v>
      </c>
      <c r="V5319" s="1" t="s">
        <v>24</v>
      </c>
      <c r="W5319" s="1" t="s">
        <v>24</v>
      </c>
      <c r="X5319" s="1">
        <v>1306</v>
      </c>
      <c r="Y5319" s="1">
        <v>2730</v>
      </c>
      <c r="Z5319" s="1" t="s">
        <v>24</v>
      </c>
      <c r="AA5319" s="1" t="s">
        <v>24</v>
      </c>
      <c r="AB5319" s="1" t="s">
        <v>24</v>
      </c>
      <c r="AC5319" s="1" t="s">
        <v>24</v>
      </c>
      <c r="AD5319" s="1" t="s">
        <v>24</v>
      </c>
      <c r="AE5319" s="1" t="s">
        <v>24</v>
      </c>
      <c r="AF5319" s="22"/>
    </row>
    <row r="5320" spans="1:32" x14ac:dyDescent="0.2">
      <c r="A5320" s="1">
        <v>49489</v>
      </c>
      <c r="B5320" s="1" t="s">
        <v>15970</v>
      </c>
      <c r="C5320" s="5" t="s">
        <v>0</v>
      </c>
      <c r="D5320" s="1" t="s">
        <v>15971</v>
      </c>
      <c r="F5320" s="1" t="s">
        <v>15972</v>
      </c>
      <c r="G5320" s="1" t="s">
        <v>61</v>
      </c>
      <c r="H5320" s="1" t="s">
        <v>7640</v>
      </c>
      <c r="I5320" s="1" t="s">
        <v>16</v>
      </c>
      <c r="J5320" s="1">
        <v>1</v>
      </c>
      <c r="K5320" s="1">
        <v>4</v>
      </c>
      <c r="L5320" s="1" t="s">
        <v>31</v>
      </c>
      <c r="M5320" s="1" t="s">
        <v>18</v>
      </c>
      <c r="N5320" s="1" t="s">
        <v>18</v>
      </c>
      <c r="O5320" s="1">
        <v>3</v>
      </c>
      <c r="P5320" s="1">
        <v>6</v>
      </c>
      <c r="R5320" s="1" t="s">
        <v>19</v>
      </c>
      <c r="S5320" s="1" t="s">
        <v>20</v>
      </c>
      <c r="T5320" s="1" t="s">
        <v>21</v>
      </c>
      <c r="U5320" s="1" t="s">
        <v>22</v>
      </c>
      <c r="V5320" s="1" t="s">
        <v>24</v>
      </c>
      <c r="W5320" s="1" t="s">
        <v>24</v>
      </c>
      <c r="X5320" s="1">
        <v>2705</v>
      </c>
      <c r="Y5320" s="1" t="s">
        <v>24</v>
      </c>
      <c r="Z5320" s="1" t="s">
        <v>24</v>
      </c>
      <c r="AA5320" s="1" t="s">
        <v>24</v>
      </c>
      <c r="AB5320" s="1" t="s">
        <v>24</v>
      </c>
      <c r="AC5320" s="1" t="s">
        <v>24</v>
      </c>
      <c r="AD5320" s="1" t="s">
        <v>24</v>
      </c>
      <c r="AE5320" s="1" t="s">
        <v>24</v>
      </c>
      <c r="AF5320" s="22"/>
    </row>
    <row r="5321" spans="1:32" x14ac:dyDescent="0.2">
      <c r="A5321" s="1">
        <v>49490</v>
      </c>
      <c r="B5321" s="1" t="s">
        <v>15973</v>
      </c>
      <c r="C5321" s="5" t="s">
        <v>0</v>
      </c>
      <c r="D5321" s="1" t="s">
        <v>15974</v>
      </c>
      <c r="F5321" s="1" t="s">
        <v>15975</v>
      </c>
      <c r="G5321" s="1" t="s">
        <v>61</v>
      </c>
      <c r="H5321" s="1" t="s">
        <v>7640</v>
      </c>
      <c r="I5321" s="1" t="s">
        <v>16</v>
      </c>
      <c r="J5321" s="1">
        <v>1</v>
      </c>
      <c r="K5321" s="1">
        <v>2</v>
      </c>
      <c r="L5321" s="1" t="s">
        <v>31</v>
      </c>
      <c r="M5321" s="1" t="s">
        <v>18</v>
      </c>
      <c r="N5321" s="1" t="s">
        <v>18</v>
      </c>
      <c r="O5321" s="1">
        <v>2</v>
      </c>
      <c r="P5321" s="1">
        <v>6</v>
      </c>
      <c r="R5321" s="1" t="s">
        <v>19</v>
      </c>
      <c r="S5321" s="1" t="s">
        <v>20</v>
      </c>
      <c r="T5321" s="1" t="s">
        <v>21</v>
      </c>
      <c r="V5321" s="1" t="s">
        <v>24</v>
      </c>
      <c r="W5321" s="1" t="s">
        <v>24</v>
      </c>
      <c r="X5321" s="1">
        <v>3003</v>
      </c>
      <c r="Y5321" s="1">
        <v>3611</v>
      </c>
      <c r="Z5321" s="1" t="s">
        <v>24</v>
      </c>
      <c r="AA5321" s="1" t="s">
        <v>24</v>
      </c>
      <c r="AB5321" s="1" t="s">
        <v>24</v>
      </c>
      <c r="AC5321" s="1" t="s">
        <v>24</v>
      </c>
      <c r="AD5321" s="1" t="s">
        <v>24</v>
      </c>
      <c r="AE5321" s="1" t="s">
        <v>24</v>
      </c>
      <c r="AF5321" s="22"/>
    </row>
    <row r="5322" spans="1:32" x14ac:dyDescent="0.2">
      <c r="A5322" s="1">
        <v>49641</v>
      </c>
      <c r="B5322" s="1" t="s">
        <v>15976</v>
      </c>
      <c r="C5322" s="5" t="s">
        <v>0</v>
      </c>
      <c r="D5322" s="1" t="s">
        <v>15977</v>
      </c>
      <c r="F5322" s="1" t="s">
        <v>91</v>
      </c>
      <c r="G5322" s="1" t="s">
        <v>61</v>
      </c>
      <c r="H5322" s="1" t="s">
        <v>92</v>
      </c>
      <c r="I5322" s="1" t="s">
        <v>16</v>
      </c>
      <c r="J5322" s="1">
        <v>1</v>
      </c>
      <c r="K5322" s="1">
        <v>4</v>
      </c>
      <c r="L5322" s="1" t="s">
        <v>31</v>
      </c>
      <c r="M5322" s="1" t="s">
        <v>18</v>
      </c>
      <c r="N5322" s="1" t="s">
        <v>18</v>
      </c>
      <c r="O5322" s="1">
        <v>3</v>
      </c>
      <c r="P5322" s="1">
        <v>7</v>
      </c>
      <c r="Q5322" s="7" t="s">
        <v>17633</v>
      </c>
      <c r="R5322" s="1" t="s">
        <v>19</v>
      </c>
      <c r="S5322" s="1" t="s">
        <v>20</v>
      </c>
      <c r="T5322" s="1" t="s">
        <v>21</v>
      </c>
      <c r="V5322" s="1" t="s">
        <v>23</v>
      </c>
      <c r="W5322" s="1" t="s">
        <v>24</v>
      </c>
      <c r="X5322" s="1">
        <v>2748</v>
      </c>
      <c r="Y5322" s="1" t="s">
        <v>24</v>
      </c>
      <c r="Z5322" s="1" t="s">
        <v>24</v>
      </c>
      <c r="AA5322" s="1" t="s">
        <v>24</v>
      </c>
      <c r="AB5322" s="1" t="s">
        <v>24</v>
      </c>
      <c r="AC5322" s="1" t="s">
        <v>24</v>
      </c>
      <c r="AD5322" s="1" t="s">
        <v>24</v>
      </c>
      <c r="AE5322" s="1" t="s">
        <v>24</v>
      </c>
      <c r="AF5322" s="22" t="s">
        <v>17678</v>
      </c>
    </row>
    <row r="5323" spans="1:32" x14ac:dyDescent="0.2">
      <c r="A5323" s="1">
        <v>49643</v>
      </c>
      <c r="B5323" s="1" t="s">
        <v>15978</v>
      </c>
      <c r="C5323" s="5" t="s">
        <v>0</v>
      </c>
      <c r="D5323" s="1" t="s">
        <v>15979</v>
      </c>
      <c r="F5323" s="1" t="s">
        <v>91</v>
      </c>
      <c r="G5323" s="1" t="s">
        <v>61</v>
      </c>
      <c r="H5323" s="1" t="s">
        <v>92</v>
      </c>
      <c r="I5323" s="1" t="s">
        <v>16</v>
      </c>
      <c r="J5323" s="1">
        <v>1</v>
      </c>
      <c r="K5323" s="1">
        <v>4</v>
      </c>
      <c r="L5323" s="1" t="s">
        <v>31</v>
      </c>
      <c r="M5323" s="1" t="s">
        <v>18</v>
      </c>
      <c r="N5323" s="1" t="s">
        <v>18</v>
      </c>
      <c r="O5323" s="1">
        <v>0</v>
      </c>
      <c r="P5323" s="1">
        <v>7</v>
      </c>
      <c r="Q5323" s="7" t="s">
        <v>17633</v>
      </c>
      <c r="R5323" s="1" t="s">
        <v>19</v>
      </c>
      <c r="S5323" s="1" t="s">
        <v>20</v>
      </c>
      <c r="T5323" s="1" t="s">
        <v>21</v>
      </c>
      <c r="V5323" s="1" t="s">
        <v>23</v>
      </c>
      <c r="W5323" s="1" t="s">
        <v>24</v>
      </c>
      <c r="X5323" s="1">
        <v>2747</v>
      </c>
      <c r="Y5323" s="1" t="s">
        <v>24</v>
      </c>
      <c r="Z5323" s="1" t="s">
        <v>24</v>
      </c>
      <c r="AA5323" s="1" t="s">
        <v>24</v>
      </c>
      <c r="AB5323" s="1" t="s">
        <v>24</v>
      </c>
      <c r="AC5323" s="1" t="s">
        <v>24</v>
      </c>
      <c r="AD5323" s="1" t="s">
        <v>24</v>
      </c>
      <c r="AE5323" s="1" t="s">
        <v>24</v>
      </c>
      <c r="AF5323" s="22" t="s">
        <v>17679</v>
      </c>
    </row>
    <row r="5324" spans="1:32" x14ac:dyDescent="0.2">
      <c r="A5324" s="1">
        <v>49644</v>
      </c>
      <c r="B5324" s="1" t="s">
        <v>15980</v>
      </c>
      <c r="C5324" s="5" t="s">
        <v>0</v>
      </c>
      <c r="D5324" s="1" t="s">
        <v>15981</v>
      </c>
      <c r="F5324" s="1" t="s">
        <v>155</v>
      </c>
      <c r="G5324" s="1" t="s">
        <v>61</v>
      </c>
      <c r="H5324" s="1" t="s">
        <v>37</v>
      </c>
      <c r="I5324" s="1" t="s">
        <v>16</v>
      </c>
      <c r="J5324" s="1">
        <v>1</v>
      </c>
      <c r="K5324" s="1">
        <v>4</v>
      </c>
      <c r="L5324" s="1" t="s">
        <v>31</v>
      </c>
      <c r="M5324" s="1" t="s">
        <v>18</v>
      </c>
      <c r="N5324" s="1" t="s">
        <v>18</v>
      </c>
      <c r="O5324" s="1">
        <v>2</v>
      </c>
      <c r="P5324" s="1">
        <v>7</v>
      </c>
      <c r="Q5324" s="7" t="s">
        <v>17633</v>
      </c>
      <c r="R5324" s="1" t="s">
        <v>19</v>
      </c>
      <c r="S5324" s="1" t="s">
        <v>20</v>
      </c>
      <c r="T5324" s="1" t="s">
        <v>21</v>
      </c>
      <c r="U5324" s="1" t="s">
        <v>22</v>
      </c>
      <c r="V5324" s="1" t="s">
        <v>23</v>
      </c>
      <c r="W5324" s="1" t="s">
        <v>24</v>
      </c>
      <c r="X5324" s="1">
        <v>2725</v>
      </c>
      <c r="Y5324" s="1">
        <v>2726</v>
      </c>
      <c r="Z5324" s="1" t="s">
        <v>24</v>
      </c>
      <c r="AA5324" s="1" t="s">
        <v>24</v>
      </c>
      <c r="AB5324" s="1" t="s">
        <v>24</v>
      </c>
      <c r="AC5324" s="1" t="s">
        <v>24</v>
      </c>
      <c r="AD5324" s="1" t="s">
        <v>24</v>
      </c>
      <c r="AE5324" s="1" t="s">
        <v>24</v>
      </c>
      <c r="AF5324" s="22"/>
    </row>
    <row r="5325" spans="1:32" x14ac:dyDescent="0.2">
      <c r="A5325" s="1">
        <v>49646</v>
      </c>
      <c r="B5325" s="1" t="s">
        <v>15982</v>
      </c>
      <c r="C5325" s="5" t="s">
        <v>0</v>
      </c>
      <c r="D5325" s="1" t="s">
        <v>15983</v>
      </c>
      <c r="F5325" s="1" t="s">
        <v>91</v>
      </c>
      <c r="G5325" s="1" t="s">
        <v>61</v>
      </c>
      <c r="H5325" s="1" t="s">
        <v>92</v>
      </c>
      <c r="I5325" s="1" t="s">
        <v>16</v>
      </c>
      <c r="J5325" s="1">
        <v>1</v>
      </c>
      <c r="K5325" s="1">
        <v>4</v>
      </c>
      <c r="L5325" s="1" t="s">
        <v>31</v>
      </c>
      <c r="M5325" s="1" t="s">
        <v>18</v>
      </c>
      <c r="N5325" s="1" t="s">
        <v>18</v>
      </c>
      <c r="O5325" s="1">
        <v>3</v>
      </c>
      <c r="P5325" s="1">
        <v>7</v>
      </c>
      <c r="Q5325" s="7" t="s">
        <v>17633</v>
      </c>
      <c r="R5325" s="1" t="s">
        <v>19</v>
      </c>
      <c r="S5325" s="1" t="s">
        <v>20</v>
      </c>
      <c r="T5325" s="1" t="s">
        <v>21</v>
      </c>
      <c r="U5325" s="1" t="s">
        <v>22</v>
      </c>
      <c r="V5325" s="1" t="s">
        <v>23</v>
      </c>
      <c r="W5325" s="1" t="s">
        <v>24</v>
      </c>
      <c r="X5325" s="1">
        <v>2748</v>
      </c>
      <c r="Y5325" s="1" t="s">
        <v>24</v>
      </c>
      <c r="Z5325" s="1" t="s">
        <v>24</v>
      </c>
      <c r="AA5325" s="1" t="s">
        <v>24</v>
      </c>
      <c r="AB5325" s="1" t="s">
        <v>24</v>
      </c>
      <c r="AC5325" s="1" t="s">
        <v>24</v>
      </c>
      <c r="AD5325" s="1" t="s">
        <v>24</v>
      </c>
      <c r="AE5325" s="1" t="s">
        <v>24</v>
      </c>
      <c r="AF5325" s="22" t="s">
        <v>17679</v>
      </c>
    </row>
    <row r="5326" spans="1:32" x14ac:dyDescent="0.2">
      <c r="A5326" s="1">
        <v>49763</v>
      </c>
      <c r="B5326" s="1" t="s">
        <v>15984</v>
      </c>
      <c r="C5326" s="5" t="s">
        <v>0</v>
      </c>
      <c r="D5326" s="1" t="s">
        <v>15985</v>
      </c>
      <c r="E5326" s="1" t="s">
        <v>15986</v>
      </c>
      <c r="F5326" s="1" t="s">
        <v>190</v>
      </c>
      <c r="G5326" s="1" t="s">
        <v>130</v>
      </c>
      <c r="H5326" s="1" t="s">
        <v>30</v>
      </c>
      <c r="I5326" s="1" t="s">
        <v>16</v>
      </c>
      <c r="J5326" s="1">
        <v>1</v>
      </c>
      <c r="K5326" s="1">
        <v>4</v>
      </c>
      <c r="L5326" s="1" t="s">
        <v>31</v>
      </c>
      <c r="M5326" s="1" t="s">
        <v>18</v>
      </c>
      <c r="N5326" s="1" t="s">
        <v>18</v>
      </c>
      <c r="O5326" s="1">
        <v>2</v>
      </c>
      <c r="P5326" s="1">
        <v>6</v>
      </c>
      <c r="R5326" s="1" t="s">
        <v>19</v>
      </c>
      <c r="S5326" s="1" t="s">
        <v>20</v>
      </c>
      <c r="T5326" s="1" t="s">
        <v>21</v>
      </c>
      <c r="U5326" s="1" t="s">
        <v>22</v>
      </c>
      <c r="V5326" s="1" t="s">
        <v>24</v>
      </c>
      <c r="W5326" s="1" t="s">
        <v>24</v>
      </c>
      <c r="X5326" s="1">
        <v>1502</v>
      </c>
      <c r="Y5326" s="1">
        <v>2204</v>
      </c>
      <c r="Z5326" s="1" t="s">
        <v>24</v>
      </c>
      <c r="AA5326" s="1" t="s">
        <v>24</v>
      </c>
      <c r="AB5326" s="1" t="s">
        <v>24</v>
      </c>
      <c r="AC5326" s="1" t="s">
        <v>24</v>
      </c>
      <c r="AD5326" s="1" t="s">
        <v>24</v>
      </c>
      <c r="AE5326" s="1" t="s">
        <v>24</v>
      </c>
      <c r="AF5326" s="22"/>
    </row>
    <row r="5327" spans="1:32" x14ac:dyDescent="0.2">
      <c r="A5327" s="1">
        <v>49888</v>
      </c>
      <c r="B5327" s="5" t="s">
        <v>15987</v>
      </c>
      <c r="C5327" s="5" t="s">
        <v>0</v>
      </c>
      <c r="D5327" s="1" t="s">
        <v>15988</v>
      </c>
      <c r="E5327" s="1" t="s">
        <v>15989</v>
      </c>
      <c r="F5327" s="1" t="s">
        <v>412</v>
      </c>
      <c r="G5327" s="1" t="s">
        <v>17607</v>
      </c>
      <c r="H5327" s="1" t="s">
        <v>168</v>
      </c>
      <c r="I5327" s="1" t="s">
        <v>16</v>
      </c>
      <c r="J5327" s="5">
        <v>1</v>
      </c>
      <c r="K5327" s="1">
        <v>4</v>
      </c>
      <c r="L5327" s="1" t="s">
        <v>31</v>
      </c>
      <c r="M5327" s="1" t="s">
        <v>18</v>
      </c>
      <c r="N5327" s="5" t="s">
        <v>18</v>
      </c>
      <c r="O5327" s="5">
        <v>3</v>
      </c>
      <c r="P5327" s="5">
        <v>7</v>
      </c>
      <c r="Q5327" s="7" t="s">
        <v>17633</v>
      </c>
      <c r="R5327" s="5" t="s">
        <v>19</v>
      </c>
      <c r="S5327" s="5" t="s">
        <v>20</v>
      </c>
      <c r="T5327" s="5" t="s">
        <v>21</v>
      </c>
      <c r="U5327" s="5"/>
      <c r="V5327" s="5"/>
      <c r="W5327" s="5"/>
      <c r="X5327" s="5">
        <v>2733</v>
      </c>
      <c r="Y5327" s="5"/>
      <c r="AF5327" s="22"/>
    </row>
    <row r="5328" spans="1:32" x14ac:dyDescent="0.2">
      <c r="A5328" s="1">
        <v>49901</v>
      </c>
      <c r="B5328" s="1" t="s">
        <v>15990</v>
      </c>
      <c r="C5328" s="5" t="s">
        <v>0</v>
      </c>
      <c r="D5328" s="1" t="s">
        <v>15991</v>
      </c>
      <c r="E5328" s="1" t="s">
        <v>15992</v>
      </c>
      <c r="F5328" s="1" t="s">
        <v>14308</v>
      </c>
      <c r="G5328" s="1" t="s">
        <v>14308</v>
      </c>
      <c r="H5328" s="1" t="s">
        <v>1957</v>
      </c>
      <c r="I5328" s="1" t="s">
        <v>16</v>
      </c>
      <c r="J5328" s="1">
        <v>1</v>
      </c>
      <c r="K5328" s="1">
        <v>4</v>
      </c>
      <c r="L5328" s="1" t="s">
        <v>42</v>
      </c>
      <c r="M5328" s="1" t="s">
        <v>10392</v>
      </c>
      <c r="N5328" s="1" t="s">
        <v>12245</v>
      </c>
      <c r="O5328" s="1">
        <v>3</v>
      </c>
      <c r="P5328" s="1">
        <v>5</v>
      </c>
      <c r="R5328" s="1" t="s">
        <v>19</v>
      </c>
      <c r="S5328" s="1" t="s">
        <v>20</v>
      </c>
      <c r="T5328" s="1" t="s">
        <v>21</v>
      </c>
      <c r="U5328" s="1" t="s">
        <v>22</v>
      </c>
      <c r="V5328" s="1" t="s">
        <v>24</v>
      </c>
      <c r="W5328" s="1" t="s">
        <v>24</v>
      </c>
      <c r="X5328" s="1">
        <v>2733</v>
      </c>
      <c r="Y5328" s="1" t="s">
        <v>24</v>
      </c>
      <c r="Z5328" s="1" t="s">
        <v>24</v>
      </c>
      <c r="AA5328" s="1" t="s">
        <v>24</v>
      </c>
      <c r="AB5328" s="1" t="s">
        <v>24</v>
      </c>
      <c r="AC5328" s="1" t="s">
        <v>24</v>
      </c>
      <c r="AD5328" s="1" t="s">
        <v>24</v>
      </c>
      <c r="AE5328" s="1" t="s">
        <v>24</v>
      </c>
      <c r="AF5328" s="22"/>
    </row>
    <row r="5329" spans="1:32" x14ac:dyDescent="0.2">
      <c r="A5329" s="1">
        <v>49926</v>
      </c>
      <c r="B5329" s="1" t="s">
        <v>15993</v>
      </c>
      <c r="C5329" s="5" t="s">
        <v>0</v>
      </c>
      <c r="D5329" s="1" t="s">
        <v>15994</v>
      </c>
      <c r="E5329" s="1" t="s">
        <v>15995</v>
      </c>
      <c r="F5329" s="1" t="s">
        <v>6405</v>
      </c>
      <c r="G5329" s="1" t="s">
        <v>6406</v>
      </c>
      <c r="H5329" s="1" t="s">
        <v>92</v>
      </c>
      <c r="I5329" s="1" t="s">
        <v>16</v>
      </c>
      <c r="J5329" s="1">
        <v>1</v>
      </c>
      <c r="K5329" s="1">
        <v>4</v>
      </c>
      <c r="L5329" s="1" t="s">
        <v>31</v>
      </c>
      <c r="M5329" s="1" t="s">
        <v>18</v>
      </c>
      <c r="N5329" s="1" t="s">
        <v>18</v>
      </c>
      <c r="O5329" s="1">
        <v>3</v>
      </c>
      <c r="P5329" s="1">
        <v>5</v>
      </c>
      <c r="R5329" s="1" t="s">
        <v>19</v>
      </c>
      <c r="S5329" s="1" t="s">
        <v>20</v>
      </c>
      <c r="T5329" s="1" t="s">
        <v>21</v>
      </c>
      <c r="U5329" s="1" t="s">
        <v>22</v>
      </c>
      <c r="V5329" s="1" t="s">
        <v>24</v>
      </c>
      <c r="W5329" s="1" t="s">
        <v>24</v>
      </c>
      <c r="X5329" s="1">
        <v>2725</v>
      </c>
      <c r="Y5329" s="1">
        <v>3004</v>
      </c>
      <c r="Z5329" s="1" t="s">
        <v>24</v>
      </c>
      <c r="AA5329" s="1" t="s">
        <v>24</v>
      </c>
      <c r="AB5329" s="1" t="s">
        <v>24</v>
      </c>
      <c r="AC5329" s="1" t="s">
        <v>24</v>
      </c>
      <c r="AD5329" s="1" t="s">
        <v>24</v>
      </c>
      <c r="AE5329" s="1" t="s">
        <v>24</v>
      </c>
      <c r="AF5329" s="22"/>
    </row>
    <row r="5330" spans="1:32" x14ac:dyDescent="0.2">
      <c r="A5330" s="1">
        <v>50091</v>
      </c>
      <c r="B5330" s="1" t="s">
        <v>15996</v>
      </c>
      <c r="C5330" s="5" t="s">
        <v>0</v>
      </c>
      <c r="D5330" s="1" t="s">
        <v>15997</v>
      </c>
      <c r="F5330" s="1" t="s">
        <v>91</v>
      </c>
      <c r="G5330" s="1" t="s">
        <v>61</v>
      </c>
      <c r="H5330" s="1" t="s">
        <v>30</v>
      </c>
      <c r="I5330" s="1" t="s">
        <v>16</v>
      </c>
      <c r="J5330" s="1">
        <v>1</v>
      </c>
      <c r="K5330" s="1">
        <v>4</v>
      </c>
      <c r="L5330" s="1" t="s">
        <v>31</v>
      </c>
      <c r="M5330" s="1" t="s">
        <v>18</v>
      </c>
      <c r="N5330" s="1" t="s">
        <v>18</v>
      </c>
      <c r="O5330" s="1">
        <v>3</v>
      </c>
      <c r="P5330" s="1">
        <v>7</v>
      </c>
      <c r="Q5330" s="7" t="s">
        <v>17633</v>
      </c>
      <c r="R5330" s="1" t="s">
        <v>19</v>
      </c>
      <c r="S5330" s="1" t="s">
        <v>63</v>
      </c>
      <c r="T5330" s="1" t="s">
        <v>21</v>
      </c>
      <c r="U5330" s="1" t="s">
        <v>22</v>
      </c>
      <c r="V5330" s="1" t="s">
        <v>23</v>
      </c>
      <c r="W5330" s="1" t="s">
        <v>24</v>
      </c>
      <c r="X5330" s="1">
        <v>3203</v>
      </c>
      <c r="Y5330" s="1">
        <v>2738</v>
      </c>
      <c r="Z5330" s="1" t="s">
        <v>24</v>
      </c>
      <c r="AA5330" s="1" t="s">
        <v>24</v>
      </c>
      <c r="AB5330" s="1" t="s">
        <v>24</v>
      </c>
      <c r="AC5330" s="1" t="s">
        <v>24</v>
      </c>
      <c r="AD5330" s="1" t="s">
        <v>24</v>
      </c>
      <c r="AE5330" s="1" t="s">
        <v>24</v>
      </c>
      <c r="AF5330" s="22" t="s">
        <v>17674</v>
      </c>
    </row>
    <row r="5331" spans="1:32" x14ac:dyDescent="0.2">
      <c r="A5331" s="1">
        <v>50092</v>
      </c>
      <c r="B5331" s="1" t="s">
        <v>15998</v>
      </c>
      <c r="C5331" s="5" t="s">
        <v>0</v>
      </c>
      <c r="D5331" s="1" t="s">
        <v>15999</v>
      </c>
      <c r="F5331" s="1" t="s">
        <v>91</v>
      </c>
      <c r="G5331" s="1" t="s">
        <v>61</v>
      </c>
      <c r="H5331" s="1" t="s">
        <v>92</v>
      </c>
      <c r="I5331" s="1" t="s">
        <v>16</v>
      </c>
      <c r="J5331" s="1">
        <v>1</v>
      </c>
      <c r="K5331" s="1">
        <v>4</v>
      </c>
      <c r="L5331" s="1" t="s">
        <v>31</v>
      </c>
      <c r="M5331" s="1" t="s">
        <v>18</v>
      </c>
      <c r="N5331" s="1" t="s">
        <v>18</v>
      </c>
      <c r="O5331" s="1">
        <v>2</v>
      </c>
      <c r="P5331" s="1">
        <v>7</v>
      </c>
      <c r="Q5331" s="7" t="s">
        <v>17633</v>
      </c>
      <c r="R5331" s="1" t="s">
        <v>19</v>
      </c>
      <c r="S5331" s="1" t="s">
        <v>20</v>
      </c>
      <c r="T5331" s="1" t="s">
        <v>21</v>
      </c>
      <c r="U5331" s="1" t="s">
        <v>22</v>
      </c>
      <c r="V5331" s="1" t="s">
        <v>24</v>
      </c>
      <c r="W5331" s="1" t="s">
        <v>24</v>
      </c>
      <c r="X5331" s="1">
        <v>2700</v>
      </c>
      <c r="Y5331" s="1">
        <v>1300</v>
      </c>
      <c r="Z5331" s="1" t="s">
        <v>24</v>
      </c>
      <c r="AA5331" s="1" t="s">
        <v>24</v>
      </c>
      <c r="AB5331" s="1" t="s">
        <v>24</v>
      </c>
      <c r="AC5331" s="1" t="s">
        <v>24</v>
      </c>
      <c r="AD5331" s="1" t="s">
        <v>24</v>
      </c>
      <c r="AE5331" s="1" t="s">
        <v>24</v>
      </c>
      <c r="AF5331" s="22" t="s">
        <v>17706</v>
      </c>
    </row>
    <row r="5332" spans="1:32" x14ac:dyDescent="0.2">
      <c r="A5332" s="1">
        <v>50096</v>
      </c>
      <c r="B5332" s="1" t="s">
        <v>16000</v>
      </c>
      <c r="C5332" s="5" t="s">
        <v>0</v>
      </c>
      <c r="E5332" s="1" t="s">
        <v>16001</v>
      </c>
      <c r="F5332" s="1" t="s">
        <v>91</v>
      </c>
      <c r="G5332" s="1" t="s">
        <v>61</v>
      </c>
      <c r="H5332" s="1" t="s">
        <v>30</v>
      </c>
      <c r="I5332" s="1" t="s">
        <v>16</v>
      </c>
      <c r="J5332" s="1">
        <v>1</v>
      </c>
      <c r="K5332" s="1">
        <v>6</v>
      </c>
      <c r="L5332" s="1" t="s">
        <v>31</v>
      </c>
      <c r="M5332" s="1" t="s">
        <v>18</v>
      </c>
      <c r="N5332" s="1" t="s">
        <v>18</v>
      </c>
      <c r="O5332" s="1">
        <v>3</v>
      </c>
      <c r="P5332" s="1">
        <v>7</v>
      </c>
      <c r="Q5332" s="7" t="s">
        <v>17633</v>
      </c>
      <c r="R5332" s="1" t="s">
        <v>19</v>
      </c>
      <c r="S5332" s="1" t="s">
        <v>20</v>
      </c>
      <c r="T5332" s="1" t="s">
        <v>21</v>
      </c>
      <c r="U5332" s="1" t="s">
        <v>22</v>
      </c>
      <c r="V5332" s="1" t="s">
        <v>23</v>
      </c>
      <c r="W5332" s="1" t="s">
        <v>24</v>
      </c>
      <c r="X5332" s="1">
        <v>1300</v>
      </c>
      <c r="Y5332" s="1" t="s">
        <v>24</v>
      </c>
      <c r="Z5332" s="1" t="s">
        <v>24</v>
      </c>
      <c r="AA5332" s="1" t="s">
        <v>24</v>
      </c>
      <c r="AB5332" s="1" t="s">
        <v>24</v>
      </c>
      <c r="AC5332" s="1" t="s">
        <v>24</v>
      </c>
      <c r="AD5332" s="1" t="s">
        <v>24</v>
      </c>
      <c r="AE5332" s="1" t="s">
        <v>24</v>
      </c>
      <c r="AF5332" s="22" t="s">
        <v>17670</v>
      </c>
    </row>
    <row r="5333" spans="1:32" x14ac:dyDescent="0.2">
      <c r="A5333" s="1">
        <v>50098</v>
      </c>
      <c r="B5333" s="1" t="s">
        <v>16002</v>
      </c>
      <c r="C5333" s="5" t="s">
        <v>0</v>
      </c>
      <c r="D5333" s="1" t="s">
        <v>16003</v>
      </c>
      <c r="F5333" s="1" t="s">
        <v>91</v>
      </c>
      <c r="G5333" s="1" t="s">
        <v>61</v>
      </c>
      <c r="H5333" s="1" t="s">
        <v>86</v>
      </c>
      <c r="I5333" s="1" t="s">
        <v>16</v>
      </c>
      <c r="J5333" s="1">
        <v>1</v>
      </c>
      <c r="K5333" s="1">
        <v>2</v>
      </c>
      <c r="L5333" s="1" t="s">
        <v>31</v>
      </c>
      <c r="M5333" s="1" t="s">
        <v>18</v>
      </c>
      <c r="N5333" s="1" t="s">
        <v>18</v>
      </c>
      <c r="O5333" s="1">
        <v>3</v>
      </c>
      <c r="P5333" s="1">
        <v>7</v>
      </c>
      <c r="Q5333" s="7" t="s">
        <v>17633</v>
      </c>
      <c r="R5333" s="1" t="s">
        <v>19</v>
      </c>
      <c r="S5333" s="1" t="s">
        <v>20</v>
      </c>
      <c r="T5333" s="1" t="s">
        <v>21</v>
      </c>
      <c r="U5333" s="1" t="s">
        <v>22</v>
      </c>
      <c r="V5333" s="1" t="s">
        <v>23</v>
      </c>
      <c r="W5333" s="1" t="s">
        <v>24</v>
      </c>
      <c r="X5333" s="1">
        <v>2732</v>
      </c>
      <c r="Y5333" s="1" t="s">
        <v>24</v>
      </c>
      <c r="Z5333" s="1" t="s">
        <v>24</v>
      </c>
      <c r="AA5333" s="1" t="s">
        <v>24</v>
      </c>
      <c r="AB5333" s="1" t="s">
        <v>24</v>
      </c>
      <c r="AC5333" s="1" t="s">
        <v>24</v>
      </c>
      <c r="AD5333" s="1" t="s">
        <v>24</v>
      </c>
      <c r="AE5333" s="1" t="s">
        <v>24</v>
      </c>
      <c r="AF5333" s="22" t="s">
        <v>17677</v>
      </c>
    </row>
    <row r="5334" spans="1:32" x14ac:dyDescent="0.2">
      <c r="A5334" s="1">
        <v>50099</v>
      </c>
      <c r="B5334" s="1" t="s">
        <v>16004</v>
      </c>
      <c r="C5334" s="5" t="s">
        <v>0</v>
      </c>
      <c r="D5334" s="1" t="s">
        <v>16005</v>
      </c>
      <c r="F5334" s="1" t="s">
        <v>91</v>
      </c>
      <c r="G5334" s="1" t="s">
        <v>61</v>
      </c>
      <c r="H5334" s="1" t="s">
        <v>37</v>
      </c>
      <c r="I5334" s="1" t="s">
        <v>16</v>
      </c>
      <c r="J5334" s="1">
        <v>1</v>
      </c>
      <c r="K5334" s="1">
        <v>4</v>
      </c>
      <c r="L5334" s="1" t="s">
        <v>31</v>
      </c>
      <c r="M5334" s="1" t="s">
        <v>18</v>
      </c>
      <c r="N5334" s="1" t="s">
        <v>18</v>
      </c>
      <c r="O5334" s="1">
        <v>2</v>
      </c>
      <c r="P5334" s="1">
        <v>7</v>
      </c>
      <c r="Q5334" s="7" t="s">
        <v>17633</v>
      </c>
      <c r="R5334" s="1" t="s">
        <v>19</v>
      </c>
      <c r="S5334" s="1" t="s">
        <v>20</v>
      </c>
      <c r="T5334" s="1" t="s">
        <v>21</v>
      </c>
      <c r="U5334" s="1" t="s">
        <v>22</v>
      </c>
      <c r="V5334" s="1" t="s">
        <v>23</v>
      </c>
      <c r="W5334" s="1" t="s">
        <v>24</v>
      </c>
      <c r="X5334" s="1">
        <v>2719</v>
      </c>
      <c r="Y5334" s="1">
        <v>2204</v>
      </c>
      <c r="Z5334" s="1" t="s">
        <v>24</v>
      </c>
      <c r="AA5334" s="1" t="s">
        <v>24</v>
      </c>
      <c r="AB5334" s="1" t="s">
        <v>24</v>
      </c>
      <c r="AC5334" s="1" t="s">
        <v>24</v>
      </c>
      <c r="AD5334" s="1" t="s">
        <v>24</v>
      </c>
      <c r="AE5334" s="1" t="s">
        <v>24</v>
      </c>
      <c r="AF5334" s="22" t="s">
        <v>17674</v>
      </c>
    </row>
    <row r="5335" spans="1:32" x14ac:dyDescent="0.2">
      <c r="A5335" s="1">
        <v>50151</v>
      </c>
      <c r="B5335" s="1" t="s">
        <v>16006</v>
      </c>
      <c r="C5335" s="5" t="s">
        <v>0</v>
      </c>
      <c r="D5335" s="1" t="s">
        <v>16007</v>
      </c>
      <c r="E5335" s="1" t="s">
        <v>16008</v>
      </c>
      <c r="F5335" s="1" t="s">
        <v>167</v>
      </c>
      <c r="G5335" s="1" t="s">
        <v>130</v>
      </c>
      <c r="H5335" s="1" t="s">
        <v>168</v>
      </c>
      <c r="I5335" s="1" t="s">
        <v>16</v>
      </c>
      <c r="J5335" s="1">
        <v>1</v>
      </c>
      <c r="K5335" s="1">
        <v>4</v>
      </c>
      <c r="L5335" s="1" t="s">
        <v>31</v>
      </c>
      <c r="M5335" s="1" t="s">
        <v>18</v>
      </c>
      <c r="N5335" s="1" t="s">
        <v>18</v>
      </c>
      <c r="O5335" s="1">
        <v>3</v>
      </c>
      <c r="P5335" s="1">
        <v>7</v>
      </c>
      <c r="Q5335" s="7" t="s">
        <v>17633</v>
      </c>
      <c r="R5335" s="1" t="s">
        <v>19</v>
      </c>
      <c r="S5335" s="1" t="s">
        <v>20</v>
      </c>
      <c r="T5335" s="1" t="s">
        <v>21</v>
      </c>
      <c r="U5335" s="1" t="s">
        <v>22</v>
      </c>
      <c r="V5335" s="1" t="s">
        <v>24</v>
      </c>
      <c r="W5335" s="1" t="s">
        <v>24</v>
      </c>
      <c r="X5335" s="1">
        <v>2204</v>
      </c>
      <c r="Y5335" s="1" t="s">
        <v>24</v>
      </c>
      <c r="Z5335" s="1" t="s">
        <v>24</v>
      </c>
      <c r="AA5335" s="1" t="s">
        <v>24</v>
      </c>
      <c r="AB5335" s="1" t="s">
        <v>24</v>
      </c>
      <c r="AC5335" s="1" t="s">
        <v>24</v>
      </c>
      <c r="AD5335" s="1" t="s">
        <v>24</v>
      </c>
      <c r="AE5335" s="1" t="s">
        <v>24</v>
      </c>
      <c r="AF5335" s="22"/>
    </row>
    <row r="5336" spans="1:32" x14ac:dyDescent="0.2">
      <c r="A5336" s="1">
        <v>50194</v>
      </c>
      <c r="B5336" s="1" t="s">
        <v>16009</v>
      </c>
      <c r="C5336" s="5" t="s">
        <v>0</v>
      </c>
      <c r="D5336" s="1" t="s">
        <v>16010</v>
      </c>
      <c r="E5336" s="1" t="s">
        <v>16011</v>
      </c>
      <c r="F5336" s="1" t="s">
        <v>10332</v>
      </c>
      <c r="G5336" s="1" t="s">
        <v>10332</v>
      </c>
      <c r="H5336" s="1" t="s">
        <v>30</v>
      </c>
      <c r="I5336" s="1" t="s">
        <v>16</v>
      </c>
      <c r="J5336" s="1">
        <v>1</v>
      </c>
      <c r="K5336" s="1">
        <v>12</v>
      </c>
      <c r="L5336" s="1" t="s">
        <v>42</v>
      </c>
      <c r="M5336" s="1" t="s">
        <v>18</v>
      </c>
      <c r="N5336" s="1" t="s">
        <v>18</v>
      </c>
      <c r="O5336" s="1">
        <v>3</v>
      </c>
      <c r="P5336" s="1">
        <v>6</v>
      </c>
      <c r="R5336" s="1" t="s">
        <v>19</v>
      </c>
      <c r="S5336" s="1" t="s">
        <v>63</v>
      </c>
      <c r="T5336" s="1" t="s">
        <v>21</v>
      </c>
      <c r="U5336" s="1" t="s">
        <v>22</v>
      </c>
      <c r="V5336" s="1" t="s">
        <v>24</v>
      </c>
      <c r="W5336" s="1" t="s">
        <v>24</v>
      </c>
      <c r="X5336" s="1">
        <v>2723</v>
      </c>
      <c r="Y5336" s="1">
        <v>2403</v>
      </c>
      <c r="Z5336" s="1">
        <v>3004</v>
      </c>
      <c r="AA5336" s="1" t="s">
        <v>24</v>
      </c>
      <c r="AB5336" s="1" t="s">
        <v>24</v>
      </c>
      <c r="AC5336" s="1" t="s">
        <v>24</v>
      </c>
      <c r="AD5336" s="1" t="s">
        <v>24</v>
      </c>
      <c r="AE5336" s="1" t="s">
        <v>24</v>
      </c>
      <c r="AF5336" s="22"/>
    </row>
    <row r="5337" spans="1:32" x14ac:dyDescent="0.2">
      <c r="A5337" s="1">
        <v>50196</v>
      </c>
      <c r="B5337" s="1" t="s">
        <v>16012</v>
      </c>
      <c r="C5337" s="5" t="s">
        <v>0</v>
      </c>
      <c r="E5337" s="1" t="s">
        <v>16013</v>
      </c>
      <c r="F5337" s="1" t="s">
        <v>751</v>
      </c>
      <c r="G5337" s="1" t="s">
        <v>36</v>
      </c>
      <c r="H5337" s="1" t="s">
        <v>37</v>
      </c>
      <c r="I5337" s="1" t="s">
        <v>16</v>
      </c>
      <c r="J5337" s="1">
        <v>1</v>
      </c>
      <c r="K5337" s="1">
        <v>9</v>
      </c>
      <c r="L5337" s="1" t="s">
        <v>31</v>
      </c>
      <c r="M5337" s="1" t="s">
        <v>18</v>
      </c>
      <c r="N5337" s="1" t="s">
        <v>18</v>
      </c>
      <c r="O5337" s="1">
        <v>3</v>
      </c>
      <c r="P5337" s="1">
        <v>6</v>
      </c>
      <c r="R5337" s="1" t="s">
        <v>19</v>
      </c>
      <c r="S5337" s="1" t="s">
        <v>20</v>
      </c>
      <c r="T5337" s="1" t="s">
        <v>21</v>
      </c>
      <c r="U5337" s="1" t="s">
        <v>22</v>
      </c>
      <c r="V5337" s="1" t="s">
        <v>23</v>
      </c>
      <c r="W5337" s="1" t="s">
        <v>24</v>
      </c>
      <c r="X5337" s="1">
        <v>2712</v>
      </c>
      <c r="Y5337" s="1">
        <v>2724</v>
      </c>
      <c r="Z5337" s="1" t="s">
        <v>24</v>
      </c>
      <c r="AA5337" s="1" t="s">
        <v>24</v>
      </c>
      <c r="AB5337" s="1" t="s">
        <v>24</v>
      </c>
      <c r="AC5337" s="1" t="s">
        <v>24</v>
      </c>
      <c r="AD5337" s="1" t="s">
        <v>24</v>
      </c>
      <c r="AE5337" s="1" t="s">
        <v>24</v>
      </c>
      <c r="AF5337" s="22"/>
    </row>
    <row r="5338" spans="1:32" x14ac:dyDescent="0.2">
      <c r="A5338" s="1">
        <v>50197</v>
      </c>
      <c r="B5338" s="1" t="s">
        <v>16014</v>
      </c>
      <c r="C5338" s="5" t="s">
        <v>0</v>
      </c>
      <c r="D5338" s="1" t="s">
        <v>16015</v>
      </c>
      <c r="F5338" s="1" t="s">
        <v>16016</v>
      </c>
      <c r="G5338" s="1" t="s">
        <v>16017</v>
      </c>
      <c r="H5338" s="1" t="s">
        <v>30</v>
      </c>
      <c r="I5338" s="1" t="s">
        <v>16</v>
      </c>
      <c r="J5338" s="1">
        <v>1</v>
      </c>
      <c r="K5338" s="1">
        <v>4</v>
      </c>
      <c r="L5338" s="1" t="s">
        <v>42</v>
      </c>
      <c r="M5338" s="1" t="s">
        <v>18</v>
      </c>
      <c r="N5338" s="1" t="s">
        <v>18</v>
      </c>
      <c r="O5338" s="1">
        <v>2</v>
      </c>
      <c r="P5338" s="1">
        <v>6</v>
      </c>
      <c r="R5338" s="1" t="s">
        <v>19</v>
      </c>
      <c r="S5338" s="1" t="s">
        <v>20</v>
      </c>
      <c r="T5338" s="1" t="s">
        <v>21</v>
      </c>
      <c r="U5338" s="1" t="s">
        <v>22</v>
      </c>
      <c r="V5338" s="1" t="s">
        <v>23</v>
      </c>
      <c r="W5338" s="1" t="s">
        <v>24</v>
      </c>
      <c r="X5338" s="1">
        <v>2719</v>
      </c>
      <c r="Y5338" s="1" t="s">
        <v>24</v>
      </c>
      <c r="Z5338" s="1" t="s">
        <v>24</v>
      </c>
      <c r="AA5338" s="1" t="s">
        <v>24</v>
      </c>
      <c r="AB5338" s="1" t="s">
        <v>24</v>
      </c>
      <c r="AC5338" s="1" t="s">
        <v>24</v>
      </c>
      <c r="AD5338" s="1" t="s">
        <v>24</v>
      </c>
      <c r="AE5338" s="1" t="s">
        <v>24</v>
      </c>
      <c r="AF5338" s="22"/>
    </row>
    <row r="5339" spans="1:32" x14ac:dyDescent="0.2">
      <c r="A5339" s="1">
        <v>50762</v>
      </c>
      <c r="B5339" s="1" t="s">
        <v>16018</v>
      </c>
      <c r="C5339" s="5" t="s">
        <v>0</v>
      </c>
      <c r="D5339" s="1" t="s">
        <v>16019</v>
      </c>
      <c r="E5339" s="1" t="s">
        <v>16020</v>
      </c>
      <c r="F5339" s="1" t="s">
        <v>856</v>
      </c>
      <c r="G5339" s="1" t="s">
        <v>857</v>
      </c>
      <c r="H5339" s="1" t="s">
        <v>30</v>
      </c>
      <c r="I5339" s="1" t="s">
        <v>16</v>
      </c>
      <c r="J5339" s="1">
        <v>1</v>
      </c>
      <c r="K5339" s="1">
        <v>8</v>
      </c>
      <c r="L5339" s="1" t="s">
        <v>42</v>
      </c>
      <c r="M5339" s="1" t="s">
        <v>18</v>
      </c>
      <c r="N5339" s="1" t="s">
        <v>18</v>
      </c>
      <c r="O5339" s="1">
        <v>3</v>
      </c>
      <c r="P5339" s="1">
        <v>6</v>
      </c>
      <c r="R5339" s="1" t="s">
        <v>19</v>
      </c>
      <c r="S5339" s="1" t="s">
        <v>20</v>
      </c>
      <c r="T5339" s="1" t="s">
        <v>21</v>
      </c>
      <c r="U5339" s="1" t="s">
        <v>22</v>
      </c>
      <c r="V5339" s="1" t="s">
        <v>24</v>
      </c>
      <c r="W5339" s="1" t="s">
        <v>24</v>
      </c>
      <c r="X5339" s="1">
        <v>2405</v>
      </c>
      <c r="Y5339" s="1">
        <v>2725</v>
      </c>
      <c r="Z5339" s="1">
        <v>2739</v>
      </c>
      <c r="AA5339" s="1">
        <v>2404</v>
      </c>
      <c r="AB5339" s="1" t="s">
        <v>24</v>
      </c>
      <c r="AC5339" s="1" t="s">
        <v>24</v>
      </c>
      <c r="AD5339" s="1" t="s">
        <v>24</v>
      </c>
      <c r="AE5339" s="1" t="s">
        <v>24</v>
      </c>
      <c r="AF5339" s="22" t="s">
        <v>17670</v>
      </c>
    </row>
    <row r="5340" spans="1:32" x14ac:dyDescent="0.2">
      <c r="A5340" s="1">
        <v>50891</v>
      </c>
      <c r="B5340" s="1" t="s">
        <v>16021</v>
      </c>
      <c r="C5340" s="5" t="s">
        <v>0</v>
      </c>
      <c r="D5340" s="1" t="s">
        <v>16022</v>
      </c>
      <c r="F5340" s="1" t="s">
        <v>16023</v>
      </c>
      <c r="G5340" s="1" t="s">
        <v>1066</v>
      </c>
      <c r="H5340" s="1" t="s">
        <v>1007</v>
      </c>
      <c r="I5340" s="1" t="s">
        <v>16</v>
      </c>
      <c r="J5340" s="1">
        <v>1</v>
      </c>
      <c r="K5340" s="1">
        <v>12</v>
      </c>
      <c r="L5340" s="1" t="s">
        <v>17</v>
      </c>
      <c r="M5340" s="1" t="s">
        <v>1008</v>
      </c>
      <c r="N5340" s="1" t="s">
        <v>4418</v>
      </c>
      <c r="O5340" s="1">
        <v>3</v>
      </c>
      <c r="P5340" s="1">
        <v>5</v>
      </c>
      <c r="R5340" s="1" t="s">
        <v>19</v>
      </c>
      <c r="S5340" s="1" t="s">
        <v>20</v>
      </c>
      <c r="T5340" s="1" t="s">
        <v>21</v>
      </c>
      <c r="U5340" s="1" t="s">
        <v>22</v>
      </c>
      <c r="V5340" s="1" t="s">
        <v>24</v>
      </c>
      <c r="W5340" s="1" t="s">
        <v>24</v>
      </c>
      <c r="X5340" s="1">
        <v>2731</v>
      </c>
      <c r="Y5340" s="1" t="s">
        <v>24</v>
      </c>
      <c r="Z5340" s="1" t="s">
        <v>24</v>
      </c>
      <c r="AA5340" s="1" t="s">
        <v>24</v>
      </c>
      <c r="AB5340" s="1" t="s">
        <v>24</v>
      </c>
      <c r="AC5340" s="1" t="s">
        <v>24</v>
      </c>
      <c r="AD5340" s="1" t="s">
        <v>24</v>
      </c>
      <c r="AE5340" s="1" t="s">
        <v>24</v>
      </c>
      <c r="AF5340" s="22"/>
    </row>
    <row r="5341" spans="1:32" x14ac:dyDescent="0.2">
      <c r="A5341" s="1">
        <v>50893</v>
      </c>
      <c r="B5341" s="1" t="s">
        <v>16024</v>
      </c>
      <c r="C5341" s="5" t="s">
        <v>0</v>
      </c>
      <c r="D5341" s="1" t="s">
        <v>16025</v>
      </c>
      <c r="F5341" s="1" t="s">
        <v>16026</v>
      </c>
      <c r="G5341" s="1" t="s">
        <v>1066</v>
      </c>
      <c r="H5341" s="1" t="s">
        <v>1007</v>
      </c>
      <c r="I5341" s="1" t="s">
        <v>16</v>
      </c>
      <c r="J5341" s="1">
        <v>1</v>
      </c>
      <c r="K5341" s="1">
        <v>12</v>
      </c>
      <c r="L5341" s="1" t="s">
        <v>42</v>
      </c>
      <c r="M5341" s="1" t="s">
        <v>4418</v>
      </c>
      <c r="N5341" s="1" t="s">
        <v>4418</v>
      </c>
      <c r="O5341" s="1">
        <v>3</v>
      </c>
      <c r="P5341" s="1">
        <v>6</v>
      </c>
      <c r="R5341" s="1" t="s">
        <v>19</v>
      </c>
      <c r="S5341" s="1" t="s">
        <v>20</v>
      </c>
      <c r="T5341" s="1" t="s">
        <v>21</v>
      </c>
      <c r="U5341" s="1" t="s">
        <v>22</v>
      </c>
      <c r="V5341" s="1" t="s">
        <v>24</v>
      </c>
      <c r="W5341" s="1" t="s">
        <v>24</v>
      </c>
      <c r="X5341" s="1">
        <v>2731</v>
      </c>
      <c r="Y5341" s="1" t="s">
        <v>24</v>
      </c>
      <c r="Z5341" s="1" t="s">
        <v>24</v>
      </c>
      <c r="AA5341" s="1" t="s">
        <v>24</v>
      </c>
      <c r="AB5341" s="1" t="s">
        <v>24</v>
      </c>
      <c r="AC5341" s="1" t="s">
        <v>24</v>
      </c>
      <c r="AD5341" s="1" t="s">
        <v>24</v>
      </c>
      <c r="AE5341" s="1" t="s">
        <v>24</v>
      </c>
      <c r="AF5341" s="22"/>
    </row>
    <row r="5342" spans="1:32" x14ac:dyDescent="0.2">
      <c r="A5342" s="1">
        <v>50922</v>
      </c>
      <c r="B5342" s="1" t="s">
        <v>16027</v>
      </c>
      <c r="C5342" s="5" t="s">
        <v>0</v>
      </c>
      <c r="D5342" s="1" t="s">
        <v>16028</v>
      </c>
      <c r="E5342" s="1" t="s">
        <v>16029</v>
      </c>
      <c r="F5342" s="1" t="s">
        <v>28</v>
      </c>
      <c r="G5342" s="1" t="s">
        <v>29</v>
      </c>
      <c r="H5342" s="1" t="s">
        <v>30</v>
      </c>
      <c r="I5342" s="1" t="s">
        <v>16</v>
      </c>
      <c r="J5342" s="1">
        <v>2</v>
      </c>
      <c r="K5342" s="1">
        <v>6</v>
      </c>
      <c r="L5342" s="1" t="s">
        <v>31</v>
      </c>
      <c r="M5342" s="1" t="s">
        <v>18</v>
      </c>
      <c r="N5342" s="1" t="s">
        <v>18</v>
      </c>
      <c r="O5342" s="1">
        <v>3</v>
      </c>
      <c r="P5342" s="1">
        <v>8</v>
      </c>
      <c r="Q5342" s="7" t="s">
        <v>17633</v>
      </c>
      <c r="R5342" s="1" t="s">
        <v>19</v>
      </c>
      <c r="S5342" s="1" t="s">
        <v>20</v>
      </c>
      <c r="T5342" s="1" t="s">
        <v>21</v>
      </c>
      <c r="U5342" s="1" t="s">
        <v>22</v>
      </c>
      <c r="V5342" s="1" t="s">
        <v>23</v>
      </c>
      <c r="W5342" s="1" t="s">
        <v>24</v>
      </c>
      <c r="X5342" s="1">
        <v>2706</v>
      </c>
      <c r="Y5342" s="1">
        <v>2746</v>
      </c>
      <c r="Z5342" s="1" t="s">
        <v>24</v>
      </c>
      <c r="AA5342" s="1" t="s">
        <v>24</v>
      </c>
      <c r="AB5342" s="1" t="s">
        <v>24</v>
      </c>
      <c r="AC5342" s="1" t="s">
        <v>24</v>
      </c>
      <c r="AD5342" s="1" t="s">
        <v>24</v>
      </c>
      <c r="AE5342" s="1" t="s">
        <v>24</v>
      </c>
      <c r="AF5342" s="22"/>
    </row>
    <row r="5343" spans="1:32" x14ac:dyDescent="0.2">
      <c r="A5343" s="1">
        <v>50955</v>
      </c>
      <c r="B5343" s="1" t="s">
        <v>16030</v>
      </c>
      <c r="C5343" s="5" t="s">
        <v>0</v>
      </c>
      <c r="E5343" s="1" t="s">
        <v>16031</v>
      </c>
      <c r="F5343" s="1" t="s">
        <v>6405</v>
      </c>
      <c r="G5343" s="1" t="s">
        <v>6406</v>
      </c>
      <c r="H5343" s="1" t="s">
        <v>92</v>
      </c>
      <c r="I5343" s="1" t="s">
        <v>16</v>
      </c>
      <c r="J5343" s="1">
        <v>1</v>
      </c>
      <c r="K5343" s="1">
        <v>1</v>
      </c>
      <c r="L5343" s="1" t="s">
        <v>31</v>
      </c>
      <c r="M5343" s="1" t="s">
        <v>18</v>
      </c>
      <c r="N5343" s="1" t="s">
        <v>18</v>
      </c>
      <c r="O5343" s="1">
        <v>3</v>
      </c>
      <c r="P5343" s="1">
        <v>7</v>
      </c>
      <c r="Q5343" s="7" t="s">
        <v>17633</v>
      </c>
      <c r="R5343" s="1" t="s">
        <v>19</v>
      </c>
      <c r="S5343" s="1" t="s">
        <v>63</v>
      </c>
      <c r="T5343" s="1" t="s">
        <v>21</v>
      </c>
      <c r="V5343" s="1" t="s">
        <v>23</v>
      </c>
      <c r="W5343" s="1" t="s">
        <v>24</v>
      </c>
      <c r="X5343" s="1">
        <v>1301</v>
      </c>
      <c r="Y5343" s="1">
        <v>1307</v>
      </c>
      <c r="Z5343" s="1">
        <v>2403</v>
      </c>
      <c r="AA5343" s="1">
        <v>2723</v>
      </c>
      <c r="AB5343" s="1" t="s">
        <v>24</v>
      </c>
      <c r="AC5343" s="1" t="s">
        <v>24</v>
      </c>
      <c r="AD5343" s="1" t="s">
        <v>24</v>
      </c>
      <c r="AE5343" s="1" t="s">
        <v>24</v>
      </c>
      <c r="AF5343" s="22"/>
    </row>
    <row r="5344" spans="1:32" x14ac:dyDescent="0.2">
      <c r="A5344" s="1">
        <v>50956</v>
      </c>
      <c r="B5344" s="1" t="s">
        <v>16032</v>
      </c>
      <c r="C5344" s="5" t="s">
        <v>0</v>
      </c>
      <c r="D5344" s="1" t="s">
        <v>16033</v>
      </c>
      <c r="E5344" s="1" t="s">
        <v>16034</v>
      </c>
      <c r="F5344" s="1" t="s">
        <v>6405</v>
      </c>
      <c r="G5344" s="1" t="s">
        <v>6406</v>
      </c>
      <c r="H5344" s="1" t="s">
        <v>92</v>
      </c>
      <c r="I5344" s="1" t="s">
        <v>16</v>
      </c>
      <c r="J5344" s="1">
        <v>1</v>
      </c>
      <c r="K5344" s="1">
        <v>2</v>
      </c>
      <c r="L5344" s="1" t="s">
        <v>31</v>
      </c>
      <c r="M5344" s="1" t="s">
        <v>18</v>
      </c>
      <c r="N5344" s="1" t="s">
        <v>18</v>
      </c>
      <c r="O5344" s="1">
        <v>2</v>
      </c>
      <c r="P5344" s="1">
        <v>7</v>
      </c>
      <c r="Q5344" s="7" t="s">
        <v>17633</v>
      </c>
      <c r="R5344" s="1" t="s">
        <v>19</v>
      </c>
      <c r="S5344" s="1" t="s">
        <v>20</v>
      </c>
      <c r="T5344" s="1" t="s">
        <v>21</v>
      </c>
      <c r="V5344" s="1" t="s">
        <v>24</v>
      </c>
      <c r="W5344" s="1" t="s">
        <v>24</v>
      </c>
      <c r="X5344" s="1">
        <v>2701</v>
      </c>
      <c r="Y5344" s="1">
        <v>1502</v>
      </c>
      <c r="Z5344" s="1">
        <v>2204</v>
      </c>
      <c r="AA5344" s="1" t="s">
        <v>24</v>
      </c>
      <c r="AB5344" s="1" t="s">
        <v>24</v>
      </c>
      <c r="AC5344" s="1" t="s">
        <v>24</v>
      </c>
      <c r="AD5344" s="1" t="s">
        <v>24</v>
      </c>
      <c r="AE5344" s="1" t="s">
        <v>24</v>
      </c>
      <c r="AF5344" s="22"/>
    </row>
    <row r="5345" spans="1:32" x14ac:dyDescent="0.2">
      <c r="A5345" s="1">
        <v>50957</v>
      </c>
      <c r="B5345" s="1" t="s">
        <v>16035</v>
      </c>
      <c r="C5345" s="5" t="s">
        <v>0</v>
      </c>
      <c r="D5345" s="1" t="s">
        <v>16036</v>
      </c>
      <c r="E5345" s="1" t="s">
        <v>16037</v>
      </c>
      <c r="F5345" s="1" t="s">
        <v>8442</v>
      </c>
      <c r="G5345" s="1" t="s">
        <v>8443</v>
      </c>
      <c r="H5345" s="1" t="s">
        <v>37</v>
      </c>
      <c r="I5345" s="1" t="s">
        <v>16</v>
      </c>
      <c r="J5345" s="1">
        <v>1</v>
      </c>
      <c r="K5345" s="1">
        <v>3</v>
      </c>
      <c r="L5345" s="1" t="s">
        <v>31</v>
      </c>
      <c r="M5345" s="1" t="s">
        <v>18</v>
      </c>
      <c r="N5345" s="1" t="s">
        <v>18</v>
      </c>
      <c r="O5345" s="1">
        <v>3</v>
      </c>
      <c r="P5345" s="1">
        <v>7</v>
      </c>
      <c r="Q5345" s="7" t="s">
        <v>17633</v>
      </c>
      <c r="R5345" s="1" t="s">
        <v>19</v>
      </c>
      <c r="S5345" s="1" t="s">
        <v>20</v>
      </c>
      <c r="T5345" s="1" t="s">
        <v>21</v>
      </c>
      <c r="U5345" s="1" t="s">
        <v>22</v>
      </c>
      <c r="V5345" s="1" t="s">
        <v>23</v>
      </c>
      <c r="W5345" s="1" t="s">
        <v>24</v>
      </c>
      <c r="X5345" s="1">
        <v>2719</v>
      </c>
      <c r="Y5345" s="1" t="s">
        <v>24</v>
      </c>
      <c r="Z5345" s="1" t="s">
        <v>24</v>
      </c>
      <c r="AA5345" s="1" t="s">
        <v>24</v>
      </c>
      <c r="AB5345" s="1" t="s">
        <v>24</v>
      </c>
      <c r="AC5345" s="1" t="s">
        <v>24</v>
      </c>
      <c r="AD5345" s="1" t="s">
        <v>24</v>
      </c>
      <c r="AE5345" s="1" t="s">
        <v>24</v>
      </c>
      <c r="AF5345" s="22"/>
    </row>
    <row r="5346" spans="1:32" x14ac:dyDescent="0.2">
      <c r="A5346" s="1">
        <v>50958</v>
      </c>
      <c r="B5346" s="1" t="s">
        <v>16038</v>
      </c>
      <c r="C5346" s="5" t="s">
        <v>0</v>
      </c>
      <c r="D5346" s="1" t="s">
        <v>16039</v>
      </c>
      <c r="E5346" s="1" t="s">
        <v>16040</v>
      </c>
      <c r="F5346" s="1" t="s">
        <v>1412</v>
      </c>
      <c r="G5346" s="1" t="s">
        <v>1413</v>
      </c>
      <c r="H5346" s="1" t="s">
        <v>30</v>
      </c>
      <c r="I5346" s="1" t="s">
        <v>16</v>
      </c>
      <c r="J5346" s="1">
        <v>1</v>
      </c>
      <c r="K5346" s="1">
        <v>1</v>
      </c>
      <c r="L5346" s="1" t="s">
        <v>31</v>
      </c>
      <c r="M5346" s="1" t="s">
        <v>18</v>
      </c>
      <c r="N5346" s="1" t="s">
        <v>18</v>
      </c>
      <c r="O5346" s="1">
        <v>2</v>
      </c>
      <c r="P5346" s="1">
        <v>7</v>
      </c>
      <c r="Q5346" s="7" t="s">
        <v>17633</v>
      </c>
      <c r="R5346" s="1" t="s">
        <v>19</v>
      </c>
      <c r="S5346" s="1" t="s">
        <v>63</v>
      </c>
      <c r="T5346" s="1" t="s">
        <v>21</v>
      </c>
      <c r="U5346" s="1" t="s">
        <v>22</v>
      </c>
      <c r="V5346" s="1" t="s">
        <v>23</v>
      </c>
      <c r="W5346" s="1" t="s">
        <v>24</v>
      </c>
      <c r="X5346" s="1">
        <v>1303</v>
      </c>
      <c r="Y5346" s="1">
        <v>1312</v>
      </c>
      <c r="Z5346" s="1" t="s">
        <v>24</v>
      </c>
      <c r="AA5346" s="1" t="s">
        <v>24</v>
      </c>
      <c r="AB5346" s="1" t="s">
        <v>24</v>
      </c>
      <c r="AC5346" s="1" t="s">
        <v>24</v>
      </c>
      <c r="AD5346" s="1" t="s">
        <v>24</v>
      </c>
      <c r="AE5346" s="1" t="s">
        <v>24</v>
      </c>
      <c r="AF5346" s="22"/>
    </row>
    <row r="5347" spans="1:32" x14ac:dyDescent="0.2">
      <c r="A5347" s="1">
        <v>50959</v>
      </c>
      <c r="B5347" s="1" t="s">
        <v>16041</v>
      </c>
      <c r="C5347" s="5" t="s">
        <v>0</v>
      </c>
      <c r="D5347" s="1" t="s">
        <v>16042</v>
      </c>
      <c r="E5347" s="1" t="s">
        <v>16043</v>
      </c>
      <c r="F5347" s="1" t="s">
        <v>1412</v>
      </c>
      <c r="G5347" s="1" t="s">
        <v>1413</v>
      </c>
      <c r="H5347" s="1" t="s">
        <v>30</v>
      </c>
      <c r="I5347" s="1" t="s">
        <v>16</v>
      </c>
      <c r="J5347" s="1">
        <v>1</v>
      </c>
      <c r="K5347" s="1">
        <v>1</v>
      </c>
      <c r="L5347" s="1" t="s">
        <v>31</v>
      </c>
      <c r="M5347" s="1" t="s">
        <v>18</v>
      </c>
      <c r="N5347" s="1" t="s">
        <v>18</v>
      </c>
      <c r="O5347" s="1">
        <v>2</v>
      </c>
      <c r="P5347" s="1">
        <v>7</v>
      </c>
      <c r="Q5347" s="7" t="s">
        <v>17633</v>
      </c>
      <c r="R5347" s="1" t="s">
        <v>19</v>
      </c>
      <c r="S5347" s="1" t="s">
        <v>63</v>
      </c>
      <c r="T5347" s="1" t="s">
        <v>21</v>
      </c>
      <c r="V5347" s="1" t="s">
        <v>23</v>
      </c>
      <c r="W5347" s="1" t="s">
        <v>24</v>
      </c>
      <c r="X5347" s="1">
        <v>2713</v>
      </c>
      <c r="Y5347" s="1" t="s">
        <v>24</v>
      </c>
      <c r="Z5347" s="1" t="s">
        <v>24</v>
      </c>
      <c r="AA5347" s="1" t="s">
        <v>24</v>
      </c>
      <c r="AB5347" s="1" t="s">
        <v>24</v>
      </c>
      <c r="AC5347" s="1" t="s">
        <v>24</v>
      </c>
      <c r="AD5347" s="1" t="s">
        <v>24</v>
      </c>
      <c r="AE5347" s="1" t="s">
        <v>24</v>
      </c>
      <c r="AF5347" s="22"/>
    </row>
    <row r="5348" spans="1:32" x14ac:dyDescent="0.2">
      <c r="A5348" s="1">
        <v>50960</v>
      </c>
      <c r="B5348" s="1" t="s">
        <v>16044</v>
      </c>
      <c r="C5348" s="5" t="s">
        <v>0</v>
      </c>
      <c r="D5348" s="1" t="s">
        <v>16045</v>
      </c>
      <c r="E5348" s="1" t="s">
        <v>16046</v>
      </c>
      <c r="F5348" s="1" t="s">
        <v>1412</v>
      </c>
      <c r="G5348" s="1" t="s">
        <v>1413</v>
      </c>
      <c r="H5348" s="1" t="s">
        <v>30</v>
      </c>
      <c r="I5348" s="1" t="s">
        <v>16</v>
      </c>
      <c r="J5348" s="1">
        <v>1</v>
      </c>
      <c r="K5348" s="1">
        <v>1</v>
      </c>
      <c r="L5348" s="1" t="s">
        <v>31</v>
      </c>
      <c r="M5348" s="1" t="s">
        <v>18</v>
      </c>
      <c r="N5348" s="1" t="s">
        <v>18</v>
      </c>
      <c r="O5348" s="1">
        <v>2</v>
      </c>
      <c r="P5348" s="1">
        <v>7</v>
      </c>
      <c r="Q5348" s="7" t="s">
        <v>17633</v>
      </c>
      <c r="R5348" s="1" t="s">
        <v>19</v>
      </c>
      <c r="S5348" s="1" t="s">
        <v>63</v>
      </c>
      <c r="T5348" s="1" t="s">
        <v>21</v>
      </c>
      <c r="V5348" s="1" t="s">
        <v>24</v>
      </c>
      <c r="W5348" s="1" t="s">
        <v>24</v>
      </c>
      <c r="X5348" s="1">
        <v>2716</v>
      </c>
      <c r="Y5348" s="1">
        <v>1311</v>
      </c>
      <c r="Z5348" s="1">
        <v>1312</v>
      </c>
      <c r="AA5348" s="1" t="s">
        <v>24</v>
      </c>
      <c r="AB5348" s="1" t="s">
        <v>24</v>
      </c>
      <c r="AC5348" s="1" t="s">
        <v>24</v>
      </c>
      <c r="AD5348" s="1" t="s">
        <v>24</v>
      </c>
      <c r="AE5348" s="1" t="s">
        <v>24</v>
      </c>
      <c r="AF5348" s="22"/>
    </row>
    <row r="5349" spans="1:32" x14ac:dyDescent="0.2">
      <c r="A5349" s="1">
        <v>50961</v>
      </c>
      <c r="B5349" s="1" t="s">
        <v>16047</v>
      </c>
      <c r="C5349" s="5" t="s">
        <v>0</v>
      </c>
      <c r="D5349" s="1" t="s">
        <v>16048</v>
      </c>
      <c r="E5349" s="1" t="s">
        <v>16049</v>
      </c>
      <c r="F5349" s="1" t="s">
        <v>1412</v>
      </c>
      <c r="G5349" s="1" t="s">
        <v>1413</v>
      </c>
      <c r="H5349" s="1" t="s">
        <v>30</v>
      </c>
      <c r="I5349" s="1" t="s">
        <v>16</v>
      </c>
      <c r="J5349" s="1">
        <v>1</v>
      </c>
      <c r="K5349" s="1">
        <v>1</v>
      </c>
      <c r="L5349" s="1" t="s">
        <v>31</v>
      </c>
      <c r="M5349" s="1" t="s">
        <v>18</v>
      </c>
      <c r="N5349" s="1" t="s">
        <v>18</v>
      </c>
      <c r="O5349" s="1">
        <v>2</v>
      </c>
      <c r="P5349" s="1">
        <v>7</v>
      </c>
      <c r="Q5349" s="7" t="s">
        <v>17633</v>
      </c>
      <c r="R5349" s="1" t="s">
        <v>19</v>
      </c>
      <c r="S5349" s="1" t="s">
        <v>63</v>
      </c>
      <c r="T5349" s="1" t="s">
        <v>21</v>
      </c>
      <c r="U5349" s="1" t="s">
        <v>22</v>
      </c>
      <c r="V5349" s="1" t="s">
        <v>23</v>
      </c>
      <c r="W5349" s="1" t="s">
        <v>24</v>
      </c>
      <c r="X5349" s="1">
        <v>2724</v>
      </c>
      <c r="Y5349" s="1" t="s">
        <v>24</v>
      </c>
      <c r="Z5349" s="1" t="s">
        <v>24</v>
      </c>
      <c r="AA5349" s="1" t="s">
        <v>24</v>
      </c>
      <c r="AB5349" s="1" t="s">
        <v>24</v>
      </c>
      <c r="AC5349" s="1" t="s">
        <v>24</v>
      </c>
      <c r="AD5349" s="1" t="s">
        <v>24</v>
      </c>
      <c r="AE5349" s="1" t="s">
        <v>24</v>
      </c>
      <c r="AF5349" s="22"/>
    </row>
    <row r="5350" spans="1:32" x14ac:dyDescent="0.2">
      <c r="A5350" s="1">
        <v>50962</v>
      </c>
      <c r="B5350" s="1" t="s">
        <v>16050</v>
      </c>
      <c r="C5350" s="5" t="s">
        <v>0</v>
      </c>
      <c r="D5350" s="1" t="s">
        <v>16051</v>
      </c>
      <c r="E5350" s="1" t="s">
        <v>16052</v>
      </c>
      <c r="F5350" s="1" t="s">
        <v>1412</v>
      </c>
      <c r="G5350" s="1" t="s">
        <v>1413</v>
      </c>
      <c r="H5350" s="1" t="s">
        <v>30</v>
      </c>
      <c r="I5350" s="1" t="s">
        <v>16</v>
      </c>
      <c r="J5350" s="1">
        <v>1</v>
      </c>
      <c r="K5350" s="1">
        <v>1</v>
      </c>
      <c r="L5350" s="1" t="s">
        <v>31</v>
      </c>
      <c r="M5350" s="1" t="s">
        <v>18</v>
      </c>
      <c r="N5350" s="1" t="s">
        <v>18</v>
      </c>
      <c r="O5350" s="1">
        <v>2</v>
      </c>
      <c r="P5350" s="1">
        <v>7</v>
      </c>
      <c r="Q5350" s="7" t="s">
        <v>17633</v>
      </c>
      <c r="R5350" s="1" t="s">
        <v>19</v>
      </c>
      <c r="S5350" s="1" t="s">
        <v>63</v>
      </c>
      <c r="T5350" s="1" t="s">
        <v>21</v>
      </c>
      <c r="U5350" s="1" t="s">
        <v>22</v>
      </c>
      <c r="V5350" s="1" t="s">
        <v>23</v>
      </c>
      <c r="W5350" s="1" t="s">
        <v>24</v>
      </c>
      <c r="X5350" s="1">
        <v>2723</v>
      </c>
      <c r="Y5350" s="1" t="s">
        <v>24</v>
      </c>
      <c r="Z5350" s="1" t="s">
        <v>24</v>
      </c>
      <c r="AA5350" s="1" t="s">
        <v>24</v>
      </c>
      <c r="AB5350" s="1" t="s">
        <v>24</v>
      </c>
      <c r="AC5350" s="1" t="s">
        <v>24</v>
      </c>
      <c r="AD5350" s="1" t="s">
        <v>24</v>
      </c>
      <c r="AE5350" s="1" t="s">
        <v>24</v>
      </c>
      <c r="AF5350" s="22"/>
    </row>
    <row r="5351" spans="1:32" x14ac:dyDescent="0.2">
      <c r="A5351" s="1">
        <v>50963</v>
      </c>
      <c r="B5351" s="1" t="s">
        <v>16053</v>
      </c>
      <c r="C5351" s="5" t="s">
        <v>0</v>
      </c>
      <c r="D5351" s="1" t="s">
        <v>16054</v>
      </c>
      <c r="E5351" s="1" t="s">
        <v>16055</v>
      </c>
      <c r="F5351" s="1" t="s">
        <v>1412</v>
      </c>
      <c r="G5351" s="1" t="s">
        <v>1413</v>
      </c>
      <c r="H5351" s="1" t="s">
        <v>30</v>
      </c>
      <c r="I5351" s="1" t="s">
        <v>16</v>
      </c>
      <c r="J5351" s="1">
        <v>1</v>
      </c>
      <c r="K5351" s="1">
        <v>1</v>
      </c>
      <c r="L5351" s="1" t="s">
        <v>31</v>
      </c>
      <c r="M5351" s="1" t="s">
        <v>18</v>
      </c>
      <c r="N5351" s="1" t="s">
        <v>18</v>
      </c>
      <c r="O5351" s="1">
        <v>2</v>
      </c>
      <c r="P5351" s="1">
        <v>7</v>
      </c>
      <c r="Q5351" s="7" t="s">
        <v>17633</v>
      </c>
      <c r="R5351" s="1" t="s">
        <v>19</v>
      </c>
      <c r="S5351" s="1" t="s">
        <v>63</v>
      </c>
      <c r="T5351" s="1" t="s">
        <v>21</v>
      </c>
      <c r="U5351" s="1" t="s">
        <v>22</v>
      </c>
      <c r="V5351" s="1" t="s">
        <v>23</v>
      </c>
      <c r="W5351" s="1" t="s">
        <v>24</v>
      </c>
      <c r="X5351" s="1">
        <v>2717</v>
      </c>
      <c r="Y5351" s="1" t="s">
        <v>24</v>
      </c>
      <c r="Z5351" s="1" t="s">
        <v>24</v>
      </c>
      <c r="AA5351" s="1" t="s">
        <v>24</v>
      </c>
      <c r="AB5351" s="1" t="s">
        <v>24</v>
      </c>
      <c r="AC5351" s="1" t="s">
        <v>24</v>
      </c>
      <c r="AD5351" s="1" t="s">
        <v>24</v>
      </c>
      <c r="AE5351" s="1" t="s">
        <v>24</v>
      </c>
      <c r="AF5351" s="22"/>
    </row>
    <row r="5352" spans="1:32" x14ac:dyDescent="0.2">
      <c r="A5352" s="1">
        <v>50964</v>
      </c>
      <c r="B5352" s="1" t="s">
        <v>16056</v>
      </c>
      <c r="C5352" s="5" t="s">
        <v>0</v>
      </c>
      <c r="D5352" s="1" t="s">
        <v>16057</v>
      </c>
      <c r="E5352" s="1" t="s">
        <v>16058</v>
      </c>
      <c r="F5352" s="1" t="s">
        <v>1412</v>
      </c>
      <c r="G5352" s="1" t="s">
        <v>1413</v>
      </c>
      <c r="H5352" s="1" t="s">
        <v>30</v>
      </c>
      <c r="I5352" s="1" t="s">
        <v>16</v>
      </c>
      <c r="J5352" s="1">
        <v>1</v>
      </c>
      <c r="K5352" s="1">
        <v>1</v>
      </c>
      <c r="L5352" s="1" t="s">
        <v>31</v>
      </c>
      <c r="M5352" s="1" t="s">
        <v>18</v>
      </c>
      <c r="N5352" s="1" t="s">
        <v>18</v>
      </c>
      <c r="O5352" s="1">
        <v>2</v>
      </c>
      <c r="P5352" s="1">
        <v>7</v>
      </c>
      <c r="Q5352" s="7" t="s">
        <v>17633</v>
      </c>
      <c r="R5352" s="1" t="s">
        <v>19</v>
      </c>
      <c r="S5352" s="1" t="s">
        <v>63</v>
      </c>
      <c r="T5352" s="1" t="s">
        <v>21</v>
      </c>
      <c r="V5352" s="1" t="s">
        <v>24</v>
      </c>
      <c r="W5352" s="1" t="s">
        <v>24</v>
      </c>
      <c r="X5352" s="1">
        <v>1303</v>
      </c>
      <c r="Y5352" s="1">
        <v>1312</v>
      </c>
      <c r="Z5352" s="1" t="s">
        <v>24</v>
      </c>
      <c r="AA5352" s="1" t="s">
        <v>24</v>
      </c>
      <c r="AB5352" s="1" t="s">
        <v>24</v>
      </c>
      <c r="AC5352" s="1" t="s">
        <v>24</v>
      </c>
      <c r="AD5352" s="1" t="s">
        <v>24</v>
      </c>
      <c r="AE5352" s="1" t="s">
        <v>24</v>
      </c>
      <c r="AF5352" s="22"/>
    </row>
    <row r="5353" spans="1:32" x14ac:dyDescent="0.2">
      <c r="A5353" s="1">
        <v>50965</v>
      </c>
      <c r="B5353" s="1" t="s">
        <v>16059</v>
      </c>
      <c r="C5353" s="5" t="s">
        <v>0</v>
      </c>
      <c r="D5353" s="1" t="s">
        <v>16060</v>
      </c>
      <c r="E5353" s="1" t="s">
        <v>16061</v>
      </c>
      <c r="F5353" s="1" t="s">
        <v>1412</v>
      </c>
      <c r="G5353" s="1" t="s">
        <v>1413</v>
      </c>
      <c r="H5353" s="1" t="s">
        <v>30</v>
      </c>
      <c r="I5353" s="1" t="s">
        <v>16</v>
      </c>
      <c r="J5353" s="1">
        <v>1</v>
      </c>
      <c r="K5353" s="1">
        <v>1</v>
      </c>
      <c r="L5353" s="1" t="s">
        <v>31</v>
      </c>
      <c r="M5353" s="1" t="s">
        <v>18</v>
      </c>
      <c r="N5353" s="1" t="s">
        <v>18</v>
      </c>
      <c r="O5353" s="1">
        <v>2</v>
      </c>
      <c r="P5353" s="1">
        <v>7</v>
      </c>
      <c r="Q5353" s="7" t="s">
        <v>17633</v>
      </c>
      <c r="R5353" s="1" t="s">
        <v>19</v>
      </c>
      <c r="S5353" s="1" t="s">
        <v>63</v>
      </c>
      <c r="T5353" s="1" t="s">
        <v>21</v>
      </c>
      <c r="U5353" s="1" t="s">
        <v>22</v>
      </c>
      <c r="V5353" s="1" t="s">
        <v>24</v>
      </c>
      <c r="W5353" s="1" t="s">
        <v>24</v>
      </c>
      <c r="X5353" s="1">
        <v>1303</v>
      </c>
      <c r="Y5353" s="1">
        <v>1312</v>
      </c>
      <c r="Z5353" s="1" t="s">
        <v>24</v>
      </c>
      <c r="AA5353" s="1" t="s">
        <v>24</v>
      </c>
      <c r="AB5353" s="1" t="s">
        <v>24</v>
      </c>
      <c r="AC5353" s="1" t="s">
        <v>24</v>
      </c>
      <c r="AD5353" s="1" t="s">
        <v>24</v>
      </c>
      <c r="AE5353" s="1" t="s">
        <v>24</v>
      </c>
      <c r="AF5353" s="22"/>
    </row>
    <row r="5354" spans="1:32" x14ac:dyDescent="0.2">
      <c r="A5354" s="1">
        <v>50966</v>
      </c>
      <c r="B5354" s="1" t="s">
        <v>16062</v>
      </c>
      <c r="C5354" s="5" t="s">
        <v>0</v>
      </c>
      <c r="D5354" s="1" t="s">
        <v>16063</v>
      </c>
      <c r="E5354" s="1" t="s">
        <v>16064</v>
      </c>
      <c r="F5354" s="1" t="s">
        <v>1412</v>
      </c>
      <c r="G5354" s="1" t="s">
        <v>1413</v>
      </c>
      <c r="H5354" s="1" t="s">
        <v>30</v>
      </c>
      <c r="I5354" s="1" t="s">
        <v>16</v>
      </c>
      <c r="J5354" s="1">
        <v>1</v>
      </c>
      <c r="K5354" s="1">
        <v>1</v>
      </c>
      <c r="L5354" s="1" t="s">
        <v>31</v>
      </c>
      <c r="M5354" s="1" t="s">
        <v>18</v>
      </c>
      <c r="N5354" s="1" t="s">
        <v>18</v>
      </c>
      <c r="O5354" s="1">
        <v>2</v>
      </c>
      <c r="P5354" s="1">
        <v>7</v>
      </c>
      <c r="Q5354" s="7" t="s">
        <v>17633</v>
      </c>
      <c r="R5354" s="1" t="s">
        <v>19</v>
      </c>
      <c r="S5354" s="1" t="s">
        <v>63</v>
      </c>
      <c r="T5354" s="1" t="s">
        <v>21</v>
      </c>
      <c r="U5354" s="1" t="s">
        <v>22</v>
      </c>
      <c r="V5354" s="1" t="s">
        <v>23</v>
      </c>
      <c r="W5354" s="1" t="s">
        <v>24</v>
      </c>
      <c r="X5354" s="1">
        <v>2712</v>
      </c>
      <c r="Y5354" s="1">
        <v>1310</v>
      </c>
      <c r="Z5354" s="1" t="s">
        <v>24</v>
      </c>
      <c r="AA5354" s="1" t="s">
        <v>24</v>
      </c>
      <c r="AB5354" s="1" t="s">
        <v>24</v>
      </c>
      <c r="AC5354" s="1" t="s">
        <v>24</v>
      </c>
      <c r="AD5354" s="1" t="s">
        <v>24</v>
      </c>
      <c r="AE5354" s="1" t="s">
        <v>24</v>
      </c>
      <c r="AF5354" s="22"/>
    </row>
    <row r="5355" spans="1:32" x14ac:dyDescent="0.2">
      <c r="A5355" s="1">
        <v>50967</v>
      </c>
      <c r="B5355" s="1" t="s">
        <v>16065</v>
      </c>
      <c r="C5355" s="5" t="s">
        <v>0</v>
      </c>
      <c r="D5355" s="1" t="s">
        <v>16066</v>
      </c>
      <c r="E5355" s="1" t="s">
        <v>16067</v>
      </c>
      <c r="F5355" s="1" t="s">
        <v>1412</v>
      </c>
      <c r="G5355" s="1" t="s">
        <v>1413</v>
      </c>
      <c r="H5355" s="1" t="s">
        <v>30</v>
      </c>
      <c r="I5355" s="1" t="s">
        <v>16</v>
      </c>
      <c r="J5355" s="1">
        <v>1</v>
      </c>
      <c r="K5355" s="1">
        <v>1</v>
      </c>
      <c r="L5355" s="1" t="s">
        <v>31</v>
      </c>
      <c r="M5355" s="1" t="s">
        <v>18</v>
      </c>
      <c r="N5355" s="1" t="s">
        <v>18</v>
      </c>
      <c r="O5355" s="1">
        <v>2</v>
      </c>
      <c r="P5355" s="1">
        <v>7</v>
      </c>
      <c r="Q5355" s="7" t="s">
        <v>17633</v>
      </c>
      <c r="R5355" s="1" t="s">
        <v>19</v>
      </c>
      <c r="S5355" s="1" t="s">
        <v>63</v>
      </c>
      <c r="T5355" s="1" t="s">
        <v>21</v>
      </c>
      <c r="V5355" s="1" t="s">
        <v>23</v>
      </c>
      <c r="W5355" s="1" t="s">
        <v>24</v>
      </c>
      <c r="X5355" s="1">
        <v>2725</v>
      </c>
      <c r="Y5355" s="1" t="s">
        <v>24</v>
      </c>
      <c r="Z5355" s="1" t="s">
        <v>24</v>
      </c>
      <c r="AA5355" s="1" t="s">
        <v>24</v>
      </c>
      <c r="AB5355" s="1" t="s">
        <v>24</v>
      </c>
      <c r="AC5355" s="1" t="s">
        <v>24</v>
      </c>
      <c r="AD5355" s="1" t="s">
        <v>24</v>
      </c>
      <c r="AE5355" s="1" t="s">
        <v>24</v>
      </c>
      <c r="AF5355" s="22"/>
    </row>
    <row r="5356" spans="1:32" x14ac:dyDescent="0.2">
      <c r="A5356" s="1">
        <v>50968</v>
      </c>
      <c r="B5356" s="1" t="s">
        <v>16068</v>
      </c>
      <c r="C5356" s="5" t="s">
        <v>0</v>
      </c>
      <c r="D5356" s="1" t="s">
        <v>16069</v>
      </c>
      <c r="E5356" s="1" t="s">
        <v>16070</v>
      </c>
      <c r="F5356" s="1" t="s">
        <v>1412</v>
      </c>
      <c r="G5356" s="1" t="s">
        <v>1413</v>
      </c>
      <c r="H5356" s="1" t="s">
        <v>30</v>
      </c>
      <c r="I5356" s="1" t="s">
        <v>16</v>
      </c>
      <c r="J5356" s="1">
        <v>1</v>
      </c>
      <c r="K5356" s="1">
        <v>1</v>
      </c>
      <c r="L5356" s="1" t="s">
        <v>31</v>
      </c>
      <c r="M5356" s="1" t="s">
        <v>18</v>
      </c>
      <c r="N5356" s="1" t="s">
        <v>18</v>
      </c>
      <c r="O5356" s="1">
        <v>2</v>
      </c>
      <c r="P5356" s="1">
        <v>7</v>
      </c>
      <c r="Q5356" s="7" t="s">
        <v>17633</v>
      </c>
      <c r="R5356" s="1" t="s">
        <v>19</v>
      </c>
      <c r="S5356" s="1" t="s">
        <v>63</v>
      </c>
      <c r="T5356" s="1" t="s">
        <v>21</v>
      </c>
      <c r="U5356" s="1" t="s">
        <v>22</v>
      </c>
      <c r="V5356" s="1" t="s">
        <v>23</v>
      </c>
      <c r="W5356" s="1" t="s">
        <v>24</v>
      </c>
      <c r="X5356" s="1">
        <v>2712</v>
      </c>
      <c r="Y5356" s="1" t="s">
        <v>24</v>
      </c>
      <c r="Z5356" s="1" t="s">
        <v>24</v>
      </c>
      <c r="AA5356" s="1" t="s">
        <v>24</v>
      </c>
      <c r="AB5356" s="1" t="s">
        <v>24</v>
      </c>
      <c r="AC5356" s="1" t="s">
        <v>24</v>
      </c>
      <c r="AD5356" s="1" t="s">
        <v>24</v>
      </c>
      <c r="AE5356" s="1" t="s">
        <v>24</v>
      </c>
      <c r="AF5356" s="22"/>
    </row>
    <row r="5357" spans="1:32" x14ac:dyDescent="0.2">
      <c r="A5357" s="1">
        <v>50969</v>
      </c>
      <c r="B5357" s="1" t="s">
        <v>16071</v>
      </c>
      <c r="C5357" s="5" t="s">
        <v>0</v>
      </c>
      <c r="D5357" s="1" t="s">
        <v>16072</v>
      </c>
      <c r="E5357" s="1" t="s">
        <v>16073</v>
      </c>
      <c r="F5357" s="1" t="s">
        <v>1412</v>
      </c>
      <c r="G5357" s="1" t="s">
        <v>1413</v>
      </c>
      <c r="H5357" s="1" t="s">
        <v>30</v>
      </c>
      <c r="I5357" s="1" t="s">
        <v>16</v>
      </c>
      <c r="J5357" s="1">
        <v>1</v>
      </c>
      <c r="K5357" s="1">
        <v>1</v>
      </c>
      <c r="L5357" s="1" t="s">
        <v>31</v>
      </c>
      <c r="M5357" s="1" t="s">
        <v>18</v>
      </c>
      <c r="N5357" s="1" t="s">
        <v>18</v>
      </c>
      <c r="O5357" s="1">
        <v>2</v>
      </c>
      <c r="P5357" s="1">
        <v>7</v>
      </c>
      <c r="Q5357" s="7" t="s">
        <v>17633</v>
      </c>
      <c r="R5357" s="1" t="s">
        <v>19</v>
      </c>
      <c r="S5357" s="1" t="s">
        <v>63</v>
      </c>
      <c r="T5357" s="1" t="s">
        <v>21</v>
      </c>
      <c r="V5357" s="1" t="s">
        <v>23</v>
      </c>
      <c r="W5357" s="1" t="s">
        <v>24</v>
      </c>
      <c r="X5357" s="1">
        <v>2720</v>
      </c>
      <c r="Y5357" s="1">
        <v>2730</v>
      </c>
      <c r="Z5357" s="1" t="s">
        <v>24</v>
      </c>
      <c r="AA5357" s="1" t="s">
        <v>24</v>
      </c>
      <c r="AB5357" s="1" t="s">
        <v>24</v>
      </c>
      <c r="AC5357" s="1" t="s">
        <v>24</v>
      </c>
      <c r="AD5357" s="1" t="s">
        <v>24</v>
      </c>
      <c r="AE5357" s="1" t="s">
        <v>24</v>
      </c>
      <c r="AF5357" s="22"/>
    </row>
    <row r="5358" spans="1:32" x14ac:dyDescent="0.2">
      <c r="A5358" s="1">
        <v>50970</v>
      </c>
      <c r="B5358" s="1" t="s">
        <v>16074</v>
      </c>
      <c r="C5358" s="5" t="s">
        <v>0</v>
      </c>
      <c r="D5358" s="1" t="s">
        <v>16075</v>
      </c>
      <c r="E5358" s="1" t="s">
        <v>16076</v>
      </c>
      <c r="F5358" s="1" t="s">
        <v>1412</v>
      </c>
      <c r="G5358" s="1" t="s">
        <v>1413</v>
      </c>
      <c r="H5358" s="1" t="s">
        <v>30</v>
      </c>
      <c r="I5358" s="1" t="s">
        <v>16</v>
      </c>
      <c r="J5358" s="1">
        <v>1</v>
      </c>
      <c r="K5358" s="1">
        <v>1</v>
      </c>
      <c r="L5358" s="1" t="s">
        <v>31</v>
      </c>
      <c r="M5358" s="1" t="s">
        <v>18</v>
      </c>
      <c r="N5358" s="1" t="s">
        <v>18</v>
      </c>
      <c r="O5358" s="1">
        <v>2</v>
      </c>
      <c r="P5358" s="1">
        <v>7</v>
      </c>
      <c r="Q5358" s="7" t="s">
        <v>17633</v>
      </c>
      <c r="R5358" s="1" t="s">
        <v>19</v>
      </c>
      <c r="S5358" s="1" t="s">
        <v>63</v>
      </c>
      <c r="T5358" s="1" t="s">
        <v>21</v>
      </c>
      <c r="V5358" s="1" t="s">
        <v>23</v>
      </c>
      <c r="W5358" s="1" t="s">
        <v>24</v>
      </c>
      <c r="X5358" s="1">
        <v>2740</v>
      </c>
      <c r="Y5358" s="1">
        <v>2730</v>
      </c>
      <c r="Z5358" s="1" t="s">
        <v>24</v>
      </c>
      <c r="AA5358" s="1" t="s">
        <v>24</v>
      </c>
      <c r="AB5358" s="1" t="s">
        <v>24</v>
      </c>
      <c r="AC5358" s="1" t="s">
        <v>24</v>
      </c>
      <c r="AD5358" s="1" t="s">
        <v>24</v>
      </c>
      <c r="AE5358" s="1" t="s">
        <v>24</v>
      </c>
      <c r="AF5358" s="22"/>
    </row>
    <row r="5359" spans="1:32" x14ac:dyDescent="0.2">
      <c r="A5359" s="1">
        <v>50971</v>
      </c>
      <c r="B5359" s="1" t="s">
        <v>16077</v>
      </c>
      <c r="C5359" s="5" t="s">
        <v>0</v>
      </c>
      <c r="D5359" s="1" t="s">
        <v>16078</v>
      </c>
      <c r="E5359" s="1" t="s">
        <v>16079</v>
      </c>
      <c r="F5359" s="1" t="s">
        <v>1412</v>
      </c>
      <c r="G5359" s="1" t="s">
        <v>1413</v>
      </c>
      <c r="H5359" s="1" t="s">
        <v>30</v>
      </c>
      <c r="I5359" s="1" t="s">
        <v>16</v>
      </c>
      <c r="J5359" s="1">
        <v>1</v>
      </c>
      <c r="K5359" s="1">
        <v>1</v>
      </c>
      <c r="L5359" s="1" t="s">
        <v>31</v>
      </c>
      <c r="M5359" s="1" t="s">
        <v>18</v>
      </c>
      <c r="N5359" s="1" t="s">
        <v>18</v>
      </c>
      <c r="O5359" s="1">
        <v>2</v>
      </c>
      <c r="P5359" s="1">
        <v>7</v>
      </c>
      <c r="Q5359" s="7" t="s">
        <v>17633</v>
      </c>
      <c r="R5359" s="1" t="s">
        <v>19</v>
      </c>
      <c r="S5359" s="1" t="s">
        <v>63</v>
      </c>
      <c r="T5359" s="1" t="s">
        <v>21</v>
      </c>
      <c r="V5359" s="1" t="s">
        <v>23</v>
      </c>
      <c r="W5359" s="1" t="s">
        <v>24</v>
      </c>
      <c r="X5359" s="1">
        <v>2720</v>
      </c>
      <c r="Y5359" s="1">
        <v>2730</v>
      </c>
      <c r="Z5359" s="1" t="s">
        <v>24</v>
      </c>
      <c r="AA5359" s="1" t="s">
        <v>24</v>
      </c>
      <c r="AB5359" s="1" t="s">
        <v>24</v>
      </c>
      <c r="AC5359" s="1" t="s">
        <v>24</v>
      </c>
      <c r="AD5359" s="1" t="s">
        <v>24</v>
      </c>
      <c r="AE5359" s="1" t="s">
        <v>24</v>
      </c>
      <c r="AF5359" s="22"/>
    </row>
    <row r="5360" spans="1:32" x14ac:dyDescent="0.2">
      <c r="A5360" s="1">
        <v>50972</v>
      </c>
      <c r="B5360" s="1" t="s">
        <v>16080</v>
      </c>
      <c r="C5360" s="5" t="s">
        <v>0</v>
      </c>
      <c r="D5360" s="1" t="s">
        <v>16081</v>
      </c>
      <c r="E5360" s="1" t="s">
        <v>16082</v>
      </c>
      <c r="F5360" s="1" t="s">
        <v>1412</v>
      </c>
      <c r="G5360" s="1" t="s">
        <v>1413</v>
      </c>
      <c r="H5360" s="1" t="s">
        <v>30</v>
      </c>
      <c r="I5360" s="1" t="s">
        <v>16</v>
      </c>
      <c r="J5360" s="1">
        <v>1</v>
      </c>
      <c r="K5360" s="1">
        <v>1</v>
      </c>
      <c r="L5360" s="1" t="s">
        <v>31</v>
      </c>
      <c r="M5360" s="1" t="s">
        <v>18</v>
      </c>
      <c r="N5360" s="1" t="s">
        <v>18</v>
      </c>
      <c r="O5360" s="1">
        <v>2</v>
      </c>
      <c r="P5360" s="1">
        <v>7</v>
      </c>
      <c r="Q5360" s="7" t="s">
        <v>17633</v>
      </c>
      <c r="R5360" s="1" t="s">
        <v>19</v>
      </c>
      <c r="S5360" s="1" t="s">
        <v>63</v>
      </c>
      <c r="T5360" s="1" t="s">
        <v>21</v>
      </c>
      <c r="V5360" s="1" t="s">
        <v>23</v>
      </c>
      <c r="W5360" s="1" t="s">
        <v>24</v>
      </c>
      <c r="X5360" s="1">
        <v>2725</v>
      </c>
      <c r="Y5360" s="1">
        <v>2713</v>
      </c>
      <c r="Z5360" s="1" t="s">
        <v>24</v>
      </c>
      <c r="AA5360" s="1" t="s">
        <v>24</v>
      </c>
      <c r="AB5360" s="1" t="s">
        <v>24</v>
      </c>
      <c r="AC5360" s="1" t="s">
        <v>24</v>
      </c>
      <c r="AD5360" s="1" t="s">
        <v>24</v>
      </c>
      <c r="AE5360" s="1" t="s">
        <v>24</v>
      </c>
      <c r="AF5360" s="22"/>
    </row>
    <row r="5361" spans="1:32" x14ac:dyDescent="0.2">
      <c r="A5361" s="1">
        <v>50973</v>
      </c>
      <c r="B5361" s="1" t="s">
        <v>16083</v>
      </c>
      <c r="C5361" s="5" t="s">
        <v>0</v>
      </c>
      <c r="D5361" s="1" t="s">
        <v>16084</v>
      </c>
      <c r="E5361" s="1" t="s">
        <v>16085</v>
      </c>
      <c r="F5361" s="1" t="s">
        <v>940</v>
      </c>
      <c r="G5361" s="1" t="s">
        <v>130</v>
      </c>
      <c r="H5361" s="1" t="s">
        <v>30</v>
      </c>
      <c r="I5361" s="1" t="s">
        <v>112</v>
      </c>
      <c r="J5361" s="1">
        <v>0</v>
      </c>
      <c r="K5361" s="1">
        <v>0</v>
      </c>
      <c r="L5361" s="1" t="s">
        <v>31</v>
      </c>
      <c r="M5361" s="1" t="s">
        <v>18</v>
      </c>
      <c r="N5361" s="1" t="s">
        <v>18</v>
      </c>
      <c r="O5361" s="1">
        <v>3</v>
      </c>
      <c r="P5361" s="1">
        <v>7</v>
      </c>
      <c r="Q5361" s="7" t="s">
        <v>17633</v>
      </c>
      <c r="R5361" s="1" t="s">
        <v>19</v>
      </c>
      <c r="S5361" s="1" t="s">
        <v>20</v>
      </c>
      <c r="T5361" s="1" t="s">
        <v>21</v>
      </c>
      <c r="V5361" s="1" t="s">
        <v>24</v>
      </c>
      <c r="W5361" s="1" t="s">
        <v>24</v>
      </c>
      <c r="X5361" s="1">
        <v>3607</v>
      </c>
      <c r="Y5361" s="1" t="s">
        <v>24</v>
      </c>
      <c r="Z5361" s="1" t="s">
        <v>24</v>
      </c>
      <c r="AA5361" s="1" t="s">
        <v>24</v>
      </c>
      <c r="AB5361" s="1" t="s">
        <v>24</v>
      </c>
      <c r="AC5361" s="1" t="s">
        <v>24</v>
      </c>
      <c r="AD5361" s="1" t="s">
        <v>24</v>
      </c>
      <c r="AE5361" s="1" t="s">
        <v>24</v>
      </c>
      <c r="AF5361" s="22"/>
    </row>
    <row r="5362" spans="1:32" x14ac:dyDescent="0.2">
      <c r="A5362" s="1">
        <v>50974</v>
      </c>
      <c r="B5362" s="1" t="s">
        <v>16086</v>
      </c>
      <c r="C5362" s="5" t="s">
        <v>0</v>
      </c>
      <c r="D5362" s="1" t="s">
        <v>16087</v>
      </c>
      <c r="E5362" s="1" t="s">
        <v>16088</v>
      </c>
      <c r="F5362" s="1" t="s">
        <v>920</v>
      </c>
      <c r="G5362" s="1" t="s">
        <v>921</v>
      </c>
      <c r="H5362" s="1" t="s">
        <v>92</v>
      </c>
      <c r="I5362" s="1" t="s">
        <v>112</v>
      </c>
      <c r="J5362" s="1">
        <v>1</v>
      </c>
      <c r="K5362" s="1">
        <v>2</v>
      </c>
      <c r="L5362" s="1" t="s">
        <v>31</v>
      </c>
      <c r="M5362" s="1" t="s">
        <v>18</v>
      </c>
      <c r="N5362" s="1" t="s">
        <v>18</v>
      </c>
      <c r="O5362" s="1">
        <v>3</v>
      </c>
      <c r="P5362" s="1">
        <v>6</v>
      </c>
      <c r="R5362" s="1" t="s">
        <v>19</v>
      </c>
      <c r="S5362" s="1" t="s">
        <v>20</v>
      </c>
      <c r="T5362" s="1" t="s">
        <v>21</v>
      </c>
      <c r="U5362" s="1" t="s">
        <v>22</v>
      </c>
      <c r="V5362" s="1" t="s">
        <v>23</v>
      </c>
      <c r="W5362" s="1" t="s">
        <v>24</v>
      </c>
      <c r="X5362" s="1">
        <v>2728</v>
      </c>
      <c r="Y5362" s="1" t="s">
        <v>24</v>
      </c>
      <c r="Z5362" s="1" t="s">
        <v>24</v>
      </c>
      <c r="AA5362" s="1" t="s">
        <v>24</v>
      </c>
      <c r="AB5362" s="1" t="s">
        <v>24</v>
      </c>
      <c r="AC5362" s="1" t="s">
        <v>24</v>
      </c>
      <c r="AD5362" s="1" t="s">
        <v>24</v>
      </c>
      <c r="AE5362" s="1" t="s">
        <v>24</v>
      </c>
      <c r="AF5362" s="22"/>
    </row>
    <row r="5363" spans="1:32" x14ac:dyDescent="0.2">
      <c r="A5363" s="1">
        <v>50975</v>
      </c>
      <c r="B5363" s="1" t="s">
        <v>16089</v>
      </c>
      <c r="C5363" s="5" t="s">
        <v>0</v>
      </c>
      <c r="D5363" s="1" t="s">
        <v>16090</v>
      </c>
      <c r="E5363" s="1" t="s">
        <v>16091</v>
      </c>
      <c r="F5363" s="1" t="s">
        <v>920</v>
      </c>
      <c r="G5363" s="1" t="s">
        <v>921</v>
      </c>
      <c r="H5363" s="1" t="s">
        <v>92</v>
      </c>
      <c r="I5363" s="1" t="s">
        <v>112</v>
      </c>
      <c r="J5363" s="1">
        <v>0</v>
      </c>
      <c r="K5363" s="1">
        <v>0</v>
      </c>
      <c r="L5363" s="1" t="s">
        <v>31</v>
      </c>
      <c r="M5363" s="1" t="s">
        <v>18</v>
      </c>
      <c r="N5363" s="1" t="s">
        <v>18</v>
      </c>
      <c r="O5363" s="1">
        <v>3</v>
      </c>
      <c r="P5363" s="1">
        <v>6</v>
      </c>
      <c r="R5363" s="1" t="s">
        <v>19</v>
      </c>
      <c r="S5363" s="1" t="s">
        <v>20</v>
      </c>
      <c r="T5363" s="1" t="s">
        <v>21</v>
      </c>
      <c r="U5363" s="1" t="s">
        <v>22</v>
      </c>
      <c r="V5363" s="1" t="s">
        <v>23</v>
      </c>
      <c r="W5363" s="1" t="s">
        <v>24</v>
      </c>
      <c r="X5363" s="1">
        <v>2700</v>
      </c>
      <c r="Y5363" s="1" t="s">
        <v>24</v>
      </c>
      <c r="Z5363" s="1" t="s">
        <v>24</v>
      </c>
      <c r="AA5363" s="1" t="s">
        <v>24</v>
      </c>
      <c r="AB5363" s="1" t="s">
        <v>24</v>
      </c>
      <c r="AC5363" s="1" t="s">
        <v>24</v>
      </c>
      <c r="AD5363" s="1" t="s">
        <v>24</v>
      </c>
      <c r="AE5363" s="1" t="s">
        <v>24</v>
      </c>
      <c r="AF5363" s="22"/>
    </row>
    <row r="5364" spans="1:32" x14ac:dyDescent="0.2">
      <c r="A5364" s="1">
        <v>50976</v>
      </c>
      <c r="B5364" s="1" t="s">
        <v>16092</v>
      </c>
      <c r="C5364" s="5" t="s">
        <v>0</v>
      </c>
      <c r="D5364" s="1" t="s">
        <v>16093</v>
      </c>
      <c r="F5364" s="1" t="s">
        <v>28</v>
      </c>
      <c r="G5364" s="1" t="s">
        <v>29</v>
      </c>
      <c r="H5364" s="1" t="s">
        <v>30</v>
      </c>
      <c r="I5364" s="1" t="s">
        <v>16</v>
      </c>
      <c r="J5364" s="1">
        <v>1</v>
      </c>
      <c r="K5364" s="1">
        <v>6</v>
      </c>
      <c r="L5364" s="1" t="s">
        <v>31</v>
      </c>
      <c r="M5364" s="1" t="s">
        <v>18</v>
      </c>
      <c r="N5364" s="1" t="s">
        <v>18</v>
      </c>
      <c r="O5364" s="1">
        <v>3</v>
      </c>
      <c r="P5364" s="1">
        <v>7</v>
      </c>
      <c r="Q5364" s="7" t="s">
        <v>17633</v>
      </c>
      <c r="R5364" s="1" t="s">
        <v>19</v>
      </c>
      <c r="S5364" s="1" t="s">
        <v>20</v>
      </c>
      <c r="T5364" s="1" t="s">
        <v>21</v>
      </c>
      <c r="U5364" s="1" t="s">
        <v>22</v>
      </c>
      <c r="V5364" s="1" t="s">
        <v>23</v>
      </c>
      <c r="W5364" s="1" t="s">
        <v>24</v>
      </c>
      <c r="X5364" s="1">
        <v>2902</v>
      </c>
      <c r="Y5364" s="1" t="s">
        <v>24</v>
      </c>
      <c r="Z5364" s="1" t="s">
        <v>24</v>
      </c>
      <c r="AA5364" s="1" t="s">
        <v>24</v>
      </c>
      <c r="AB5364" s="1" t="s">
        <v>24</v>
      </c>
      <c r="AC5364" s="1" t="s">
        <v>24</v>
      </c>
      <c r="AD5364" s="1" t="s">
        <v>24</v>
      </c>
      <c r="AE5364" s="1" t="s">
        <v>24</v>
      </c>
      <c r="AF5364" s="22"/>
    </row>
    <row r="5365" spans="1:32" x14ac:dyDescent="0.2">
      <c r="A5365" s="1">
        <v>50977</v>
      </c>
      <c r="B5365" s="1" t="s">
        <v>16094</v>
      </c>
      <c r="C5365" s="5" t="s">
        <v>0</v>
      </c>
      <c r="D5365" s="1" t="s">
        <v>16095</v>
      </c>
      <c r="F5365" s="1" t="s">
        <v>28</v>
      </c>
      <c r="G5365" s="1" t="s">
        <v>29</v>
      </c>
      <c r="H5365" s="1" t="s">
        <v>30</v>
      </c>
      <c r="I5365" s="1" t="s">
        <v>16</v>
      </c>
      <c r="J5365" s="1">
        <v>1</v>
      </c>
      <c r="K5365" s="1">
        <v>6</v>
      </c>
      <c r="L5365" s="1" t="s">
        <v>31</v>
      </c>
      <c r="M5365" s="1" t="s">
        <v>18</v>
      </c>
      <c r="N5365" s="1" t="s">
        <v>18</v>
      </c>
      <c r="O5365" s="1">
        <v>2</v>
      </c>
      <c r="P5365" s="1">
        <v>7</v>
      </c>
      <c r="Q5365" s="7" t="s">
        <v>17633</v>
      </c>
      <c r="R5365" s="1" t="s">
        <v>19</v>
      </c>
      <c r="S5365" s="1" t="s">
        <v>20</v>
      </c>
      <c r="T5365" s="1" t="s">
        <v>21</v>
      </c>
      <c r="U5365" s="1" t="s">
        <v>22</v>
      </c>
      <c r="V5365" s="1" t="s">
        <v>23</v>
      </c>
      <c r="W5365" s="1" t="s">
        <v>24</v>
      </c>
      <c r="X5365" s="1">
        <v>2906</v>
      </c>
      <c r="Y5365" s="1" t="s">
        <v>24</v>
      </c>
      <c r="Z5365" s="1" t="s">
        <v>24</v>
      </c>
      <c r="AA5365" s="1" t="s">
        <v>24</v>
      </c>
      <c r="AB5365" s="1" t="s">
        <v>24</v>
      </c>
      <c r="AC5365" s="1" t="s">
        <v>24</v>
      </c>
      <c r="AD5365" s="1" t="s">
        <v>24</v>
      </c>
      <c r="AE5365" s="1" t="s">
        <v>24</v>
      </c>
      <c r="AF5365" s="22"/>
    </row>
    <row r="5366" spans="1:32" x14ac:dyDescent="0.2">
      <c r="A5366" s="1">
        <v>50978</v>
      </c>
      <c r="B5366" s="1" t="s">
        <v>16096</v>
      </c>
      <c r="C5366" s="5" t="s">
        <v>0</v>
      </c>
      <c r="D5366" s="1" t="s">
        <v>16097</v>
      </c>
      <c r="F5366" s="1" t="s">
        <v>1897</v>
      </c>
      <c r="G5366" s="1" t="s">
        <v>1898</v>
      </c>
      <c r="H5366" s="1" t="s">
        <v>899</v>
      </c>
      <c r="I5366" s="1" t="s">
        <v>16</v>
      </c>
      <c r="J5366" s="1">
        <v>1</v>
      </c>
      <c r="K5366" s="1">
        <v>4</v>
      </c>
      <c r="L5366" s="1" t="s">
        <v>31</v>
      </c>
      <c r="M5366" s="1" t="s">
        <v>18</v>
      </c>
      <c r="N5366" s="1" t="s">
        <v>18</v>
      </c>
      <c r="O5366" s="1">
        <v>3</v>
      </c>
      <c r="P5366" s="1">
        <v>6</v>
      </c>
      <c r="R5366" s="1" t="s">
        <v>19</v>
      </c>
      <c r="S5366" s="1" t="s">
        <v>20</v>
      </c>
      <c r="T5366" s="1" t="s">
        <v>21</v>
      </c>
      <c r="U5366" s="1" t="s">
        <v>22</v>
      </c>
      <c r="V5366" s="1" t="s">
        <v>24</v>
      </c>
      <c r="W5366" s="1" t="s">
        <v>24</v>
      </c>
      <c r="X5366" s="1">
        <v>2736</v>
      </c>
      <c r="Y5366" s="1">
        <v>3004</v>
      </c>
      <c r="Z5366" s="1" t="s">
        <v>24</v>
      </c>
      <c r="AA5366" s="1" t="s">
        <v>24</v>
      </c>
      <c r="AB5366" s="1" t="s">
        <v>24</v>
      </c>
      <c r="AC5366" s="1" t="s">
        <v>24</v>
      </c>
      <c r="AD5366" s="1" t="s">
        <v>24</v>
      </c>
      <c r="AE5366" s="1" t="s">
        <v>24</v>
      </c>
      <c r="AF5366" s="22" t="s">
        <v>17679</v>
      </c>
    </row>
    <row r="5367" spans="1:32" x14ac:dyDescent="0.2">
      <c r="A5367" s="1">
        <v>50979</v>
      </c>
      <c r="B5367" s="1" t="s">
        <v>16098</v>
      </c>
      <c r="C5367" s="5" t="s">
        <v>0</v>
      </c>
      <c r="E5367" s="1" t="s">
        <v>16099</v>
      </c>
      <c r="F5367" s="1" t="s">
        <v>315</v>
      </c>
      <c r="G5367" s="1" t="s">
        <v>316</v>
      </c>
      <c r="H5367" s="1" t="s">
        <v>30</v>
      </c>
      <c r="I5367" s="1" t="s">
        <v>16</v>
      </c>
      <c r="J5367" s="1">
        <v>1</v>
      </c>
      <c r="K5367" s="1">
        <v>4</v>
      </c>
      <c r="L5367" s="1" t="s">
        <v>31</v>
      </c>
      <c r="M5367" s="1" t="s">
        <v>18</v>
      </c>
      <c r="N5367" s="1" t="s">
        <v>18</v>
      </c>
      <c r="O5367" s="1">
        <v>3</v>
      </c>
      <c r="P5367" s="1">
        <v>7</v>
      </c>
      <c r="Q5367" s="7" t="s">
        <v>17633</v>
      </c>
      <c r="R5367" s="1" t="s">
        <v>19</v>
      </c>
      <c r="S5367" s="1" t="s">
        <v>63</v>
      </c>
      <c r="T5367" s="1" t="s">
        <v>21</v>
      </c>
      <c r="U5367" s="1" t="s">
        <v>22</v>
      </c>
      <c r="V5367" s="1" t="s">
        <v>24</v>
      </c>
      <c r="W5367" s="1" t="s">
        <v>24</v>
      </c>
      <c r="X5367" s="1">
        <v>2715</v>
      </c>
      <c r="Y5367" s="1" t="s">
        <v>24</v>
      </c>
      <c r="Z5367" s="1" t="s">
        <v>24</v>
      </c>
      <c r="AA5367" s="1" t="s">
        <v>24</v>
      </c>
      <c r="AB5367" s="1" t="s">
        <v>24</v>
      </c>
      <c r="AC5367" s="1" t="s">
        <v>24</v>
      </c>
      <c r="AD5367" s="1" t="s">
        <v>24</v>
      </c>
      <c r="AE5367" s="1" t="s">
        <v>24</v>
      </c>
      <c r="AF5367" s="22"/>
    </row>
    <row r="5368" spans="1:32" x14ac:dyDescent="0.2">
      <c r="A5368" s="1">
        <v>50980</v>
      </c>
      <c r="B5368" s="1" t="s">
        <v>16100</v>
      </c>
      <c r="C5368" s="5" t="s">
        <v>0</v>
      </c>
      <c r="D5368" s="1" t="s">
        <v>16101</v>
      </c>
      <c r="E5368" s="1" t="s">
        <v>16102</v>
      </c>
      <c r="F5368" s="1" t="s">
        <v>97</v>
      </c>
      <c r="G5368" s="1" t="s">
        <v>98</v>
      </c>
      <c r="H5368" s="1" t="s">
        <v>37</v>
      </c>
      <c r="I5368" s="1" t="s">
        <v>16</v>
      </c>
      <c r="J5368" s="1">
        <v>1</v>
      </c>
      <c r="K5368" s="1">
        <v>4</v>
      </c>
      <c r="L5368" s="1" t="s">
        <v>31</v>
      </c>
      <c r="M5368" s="1" t="s">
        <v>18</v>
      </c>
      <c r="N5368" s="1" t="s">
        <v>18</v>
      </c>
      <c r="O5368" s="1">
        <v>3</v>
      </c>
      <c r="P5368" s="1">
        <v>7</v>
      </c>
      <c r="Q5368" s="7" t="s">
        <v>17633</v>
      </c>
      <c r="R5368" s="1" t="s">
        <v>19</v>
      </c>
      <c r="S5368" s="1" t="s">
        <v>20</v>
      </c>
      <c r="T5368" s="1" t="s">
        <v>21</v>
      </c>
      <c r="U5368" s="1" t="s">
        <v>22</v>
      </c>
      <c r="V5368" s="1" t="s">
        <v>23</v>
      </c>
      <c r="W5368" s="1" t="s">
        <v>24</v>
      </c>
      <c r="X5368" s="1">
        <v>2732</v>
      </c>
      <c r="Y5368" s="1" t="s">
        <v>24</v>
      </c>
      <c r="Z5368" s="1" t="s">
        <v>24</v>
      </c>
      <c r="AA5368" s="1" t="s">
        <v>24</v>
      </c>
      <c r="AB5368" s="1" t="s">
        <v>24</v>
      </c>
      <c r="AC5368" s="1" t="s">
        <v>24</v>
      </c>
      <c r="AD5368" s="1" t="s">
        <v>24</v>
      </c>
      <c r="AE5368" s="1" t="s">
        <v>24</v>
      </c>
      <c r="AF5368" s="22"/>
    </row>
    <row r="5369" spans="1:32" x14ac:dyDescent="0.2">
      <c r="A5369" s="1">
        <v>50981</v>
      </c>
      <c r="B5369" s="1" t="s">
        <v>16103</v>
      </c>
      <c r="C5369" s="5" t="s">
        <v>0</v>
      </c>
      <c r="D5369" s="1" t="s">
        <v>16104</v>
      </c>
      <c r="E5369" s="1" t="s">
        <v>16105</v>
      </c>
      <c r="F5369" s="1" t="s">
        <v>109</v>
      </c>
      <c r="G5369" s="1" t="s">
        <v>110</v>
      </c>
      <c r="H5369" s="1" t="s">
        <v>111</v>
      </c>
      <c r="I5369" s="1" t="s">
        <v>16</v>
      </c>
      <c r="J5369" s="1">
        <v>0</v>
      </c>
      <c r="K5369" s="1">
        <v>0</v>
      </c>
      <c r="L5369" s="1" t="s">
        <v>31</v>
      </c>
      <c r="M5369" s="1" t="s">
        <v>18</v>
      </c>
      <c r="N5369" s="1" t="s">
        <v>18</v>
      </c>
      <c r="O5369" s="1">
        <v>3</v>
      </c>
      <c r="P5369" s="1">
        <v>7</v>
      </c>
      <c r="Q5369" s="7" t="s">
        <v>17633</v>
      </c>
      <c r="R5369" s="1" t="s">
        <v>19</v>
      </c>
      <c r="S5369" s="1" t="s">
        <v>20</v>
      </c>
      <c r="T5369" s="1" t="s">
        <v>21</v>
      </c>
      <c r="U5369" s="1" t="s">
        <v>22</v>
      </c>
      <c r="V5369" s="1" t="s">
        <v>24</v>
      </c>
      <c r="W5369" s="1" t="s">
        <v>24</v>
      </c>
      <c r="X5369" s="1">
        <v>1300</v>
      </c>
      <c r="Y5369" s="1" t="s">
        <v>24</v>
      </c>
      <c r="Z5369" s="1" t="s">
        <v>24</v>
      </c>
      <c r="AA5369" s="1" t="s">
        <v>24</v>
      </c>
      <c r="AB5369" s="1" t="s">
        <v>24</v>
      </c>
      <c r="AC5369" s="1" t="s">
        <v>24</v>
      </c>
      <c r="AD5369" s="1" t="s">
        <v>24</v>
      </c>
      <c r="AE5369" s="1" t="s">
        <v>24</v>
      </c>
      <c r="AF5369" s="22"/>
    </row>
    <row r="5370" spans="1:32" x14ac:dyDescent="0.2">
      <c r="A5370" s="1">
        <v>50983</v>
      </c>
      <c r="B5370" s="1" t="s">
        <v>16106</v>
      </c>
      <c r="C5370" s="5" t="s">
        <v>0</v>
      </c>
      <c r="D5370" s="1" t="s">
        <v>16107</v>
      </c>
      <c r="E5370" s="1" t="s">
        <v>16108</v>
      </c>
      <c r="F5370" s="1" t="s">
        <v>493</v>
      </c>
      <c r="G5370" s="1" t="s">
        <v>98</v>
      </c>
      <c r="H5370" s="1" t="s">
        <v>30</v>
      </c>
      <c r="I5370" s="1" t="s">
        <v>16</v>
      </c>
      <c r="J5370" s="1">
        <v>1</v>
      </c>
      <c r="K5370" s="1">
        <v>6</v>
      </c>
      <c r="L5370" s="1" t="s">
        <v>31</v>
      </c>
      <c r="M5370" s="1" t="s">
        <v>18</v>
      </c>
      <c r="N5370" s="1" t="s">
        <v>18</v>
      </c>
      <c r="O5370" s="1">
        <v>3</v>
      </c>
      <c r="P5370" s="1">
        <v>7</v>
      </c>
      <c r="Q5370" s="7" t="s">
        <v>17633</v>
      </c>
      <c r="R5370" s="1" t="s">
        <v>19</v>
      </c>
      <c r="S5370" s="1" t="s">
        <v>20</v>
      </c>
      <c r="T5370" s="1" t="s">
        <v>21</v>
      </c>
      <c r="U5370" s="1" t="s">
        <v>22</v>
      </c>
      <c r="V5370" s="1" t="s">
        <v>23</v>
      </c>
      <c r="W5370" s="1" t="s">
        <v>24</v>
      </c>
      <c r="X5370" s="1">
        <v>2706</v>
      </c>
      <c r="Y5370" s="1">
        <v>1803</v>
      </c>
      <c r="Z5370" s="1">
        <v>2906</v>
      </c>
      <c r="AA5370" s="1" t="s">
        <v>24</v>
      </c>
      <c r="AB5370" s="1" t="s">
        <v>24</v>
      </c>
      <c r="AC5370" s="1" t="s">
        <v>24</v>
      </c>
      <c r="AD5370" s="1" t="s">
        <v>24</v>
      </c>
      <c r="AE5370" s="1" t="s">
        <v>24</v>
      </c>
      <c r="AF5370" s="22"/>
    </row>
    <row r="5371" spans="1:32" x14ac:dyDescent="0.2">
      <c r="A5371" s="1">
        <v>50984</v>
      </c>
      <c r="B5371" s="1" t="s">
        <v>16109</v>
      </c>
      <c r="C5371" s="5" t="s">
        <v>0</v>
      </c>
      <c r="D5371" s="1" t="s">
        <v>16110</v>
      </c>
      <c r="E5371" s="1" t="s">
        <v>16111</v>
      </c>
      <c r="F5371" s="1" t="s">
        <v>493</v>
      </c>
      <c r="G5371" s="1" t="s">
        <v>98</v>
      </c>
      <c r="H5371" s="1" t="s">
        <v>30</v>
      </c>
      <c r="I5371" s="1" t="s">
        <v>16</v>
      </c>
      <c r="J5371" s="1">
        <v>1</v>
      </c>
      <c r="K5371" s="1">
        <v>4</v>
      </c>
      <c r="L5371" s="1" t="s">
        <v>31</v>
      </c>
      <c r="M5371" s="1" t="s">
        <v>18</v>
      </c>
      <c r="N5371" s="1" t="s">
        <v>18</v>
      </c>
      <c r="O5371" s="1">
        <v>3</v>
      </c>
      <c r="P5371" s="1">
        <v>7</v>
      </c>
      <c r="Q5371" s="7" t="s">
        <v>17633</v>
      </c>
      <c r="R5371" s="1" t="s">
        <v>19</v>
      </c>
      <c r="S5371" s="1" t="s">
        <v>20</v>
      </c>
      <c r="T5371" s="1" t="s">
        <v>21</v>
      </c>
      <c r="V5371" s="1" t="s">
        <v>23</v>
      </c>
      <c r="W5371" s="1" t="s">
        <v>24</v>
      </c>
      <c r="X5371" s="1">
        <v>2746</v>
      </c>
      <c r="Y5371" s="1">
        <v>2705</v>
      </c>
      <c r="Z5371" s="1">
        <v>2735</v>
      </c>
      <c r="AA5371" s="1" t="s">
        <v>24</v>
      </c>
      <c r="AB5371" s="1" t="s">
        <v>24</v>
      </c>
      <c r="AC5371" s="1" t="s">
        <v>24</v>
      </c>
      <c r="AD5371" s="1" t="s">
        <v>24</v>
      </c>
      <c r="AE5371" s="1" t="s">
        <v>24</v>
      </c>
      <c r="AF5371" s="22"/>
    </row>
    <row r="5372" spans="1:32" x14ac:dyDescent="0.2">
      <c r="A5372" s="1">
        <v>50985</v>
      </c>
      <c r="B5372" s="1" t="s">
        <v>16112</v>
      </c>
      <c r="C5372" s="5" t="s">
        <v>0</v>
      </c>
      <c r="D5372" s="1" t="s">
        <v>16113</v>
      </c>
      <c r="E5372" s="1" t="s">
        <v>16114</v>
      </c>
      <c r="F5372" s="1" t="s">
        <v>167</v>
      </c>
      <c r="G5372" s="1" t="s">
        <v>130</v>
      </c>
      <c r="H5372" s="1" t="s">
        <v>168</v>
      </c>
      <c r="I5372" s="1" t="s">
        <v>16</v>
      </c>
      <c r="J5372" s="1">
        <v>1</v>
      </c>
      <c r="K5372" s="1">
        <v>1</v>
      </c>
      <c r="L5372" s="1" t="s">
        <v>31</v>
      </c>
      <c r="M5372" s="1" t="s">
        <v>18</v>
      </c>
      <c r="N5372" s="1" t="s">
        <v>18</v>
      </c>
      <c r="O5372" s="1">
        <v>3</v>
      </c>
      <c r="P5372" s="1">
        <v>7</v>
      </c>
      <c r="Q5372" s="7" t="s">
        <v>17633</v>
      </c>
      <c r="R5372" s="1" t="s">
        <v>19</v>
      </c>
      <c r="S5372" s="1" t="s">
        <v>63</v>
      </c>
      <c r="T5372" s="1" t="s">
        <v>21</v>
      </c>
      <c r="V5372" s="1" t="s">
        <v>24</v>
      </c>
      <c r="W5372" s="1" t="s">
        <v>24</v>
      </c>
      <c r="X5372" s="1">
        <v>1305</v>
      </c>
      <c r="Y5372" s="1">
        <v>1101</v>
      </c>
      <c r="Z5372" s="1">
        <v>2301</v>
      </c>
      <c r="AA5372" s="1" t="s">
        <v>24</v>
      </c>
      <c r="AB5372" s="1" t="s">
        <v>24</v>
      </c>
      <c r="AC5372" s="1" t="s">
        <v>24</v>
      </c>
      <c r="AD5372" s="1" t="s">
        <v>24</v>
      </c>
      <c r="AE5372" s="1" t="s">
        <v>24</v>
      </c>
      <c r="AF5372" s="22"/>
    </row>
    <row r="5373" spans="1:32" x14ac:dyDescent="0.2">
      <c r="A5373" s="1">
        <v>50986</v>
      </c>
      <c r="B5373" s="1" t="s">
        <v>16115</v>
      </c>
      <c r="C5373" s="5" t="s">
        <v>0</v>
      </c>
      <c r="D5373" s="1" t="s">
        <v>16116</v>
      </c>
      <c r="E5373" s="1" t="s">
        <v>16117</v>
      </c>
      <c r="F5373" s="1" t="s">
        <v>167</v>
      </c>
      <c r="G5373" s="1" t="s">
        <v>130</v>
      </c>
      <c r="H5373" s="1" t="s">
        <v>168</v>
      </c>
      <c r="I5373" s="1" t="s">
        <v>112</v>
      </c>
      <c r="J5373" s="1">
        <v>0</v>
      </c>
      <c r="K5373" s="1">
        <v>0</v>
      </c>
      <c r="L5373" s="1" t="s">
        <v>31</v>
      </c>
      <c r="M5373" s="1" t="s">
        <v>18</v>
      </c>
      <c r="N5373" s="1" t="s">
        <v>18</v>
      </c>
      <c r="O5373" s="1">
        <v>3</v>
      </c>
      <c r="P5373" s="1">
        <v>7</v>
      </c>
      <c r="Q5373" s="7" t="s">
        <v>17633</v>
      </c>
      <c r="R5373" s="1" t="s">
        <v>19</v>
      </c>
      <c r="S5373" s="1" t="s">
        <v>20</v>
      </c>
      <c r="T5373" s="1" t="s">
        <v>21</v>
      </c>
      <c r="V5373" s="1" t="s">
        <v>24</v>
      </c>
      <c r="W5373" s="1" t="s">
        <v>24</v>
      </c>
      <c r="X5373" s="1">
        <v>3003</v>
      </c>
      <c r="Y5373" s="1" t="s">
        <v>24</v>
      </c>
      <c r="Z5373" s="1" t="s">
        <v>24</v>
      </c>
      <c r="AA5373" s="1" t="s">
        <v>24</v>
      </c>
      <c r="AB5373" s="1" t="s">
        <v>24</v>
      </c>
      <c r="AC5373" s="1" t="s">
        <v>24</v>
      </c>
      <c r="AD5373" s="1" t="s">
        <v>24</v>
      </c>
      <c r="AE5373" s="1" t="s">
        <v>24</v>
      </c>
      <c r="AF5373" s="22"/>
    </row>
    <row r="5374" spans="1:32" x14ac:dyDescent="0.2">
      <c r="A5374" s="1">
        <v>50987</v>
      </c>
      <c r="B5374" s="1" t="s">
        <v>16118</v>
      </c>
      <c r="C5374" s="5" t="s">
        <v>0</v>
      </c>
      <c r="D5374" s="1" t="s">
        <v>16119</v>
      </c>
      <c r="F5374" s="1" t="s">
        <v>167</v>
      </c>
      <c r="G5374" s="1" t="s">
        <v>130</v>
      </c>
      <c r="H5374" s="1" t="s">
        <v>168</v>
      </c>
      <c r="I5374" s="1" t="s">
        <v>112</v>
      </c>
      <c r="J5374" s="1">
        <v>0</v>
      </c>
      <c r="K5374" s="1">
        <v>0</v>
      </c>
      <c r="L5374" s="1" t="s">
        <v>31</v>
      </c>
      <c r="M5374" s="1" t="s">
        <v>18</v>
      </c>
      <c r="N5374" s="1" t="s">
        <v>18</v>
      </c>
      <c r="O5374" s="1">
        <v>3</v>
      </c>
      <c r="P5374" s="1">
        <v>7</v>
      </c>
      <c r="Q5374" s="7" t="s">
        <v>17633</v>
      </c>
      <c r="R5374" s="1" t="s">
        <v>19</v>
      </c>
      <c r="S5374" s="1" t="s">
        <v>20</v>
      </c>
      <c r="T5374" s="1" t="s">
        <v>21</v>
      </c>
      <c r="V5374" s="1" t="s">
        <v>24</v>
      </c>
      <c r="W5374" s="1" t="s">
        <v>24</v>
      </c>
      <c r="X5374" s="1">
        <v>3003</v>
      </c>
      <c r="Y5374" s="1" t="s">
        <v>24</v>
      </c>
      <c r="Z5374" s="1" t="s">
        <v>24</v>
      </c>
      <c r="AA5374" s="1" t="s">
        <v>24</v>
      </c>
      <c r="AB5374" s="1" t="s">
        <v>24</v>
      </c>
      <c r="AC5374" s="1" t="s">
        <v>24</v>
      </c>
      <c r="AD5374" s="1" t="s">
        <v>24</v>
      </c>
      <c r="AE5374" s="1" t="s">
        <v>24</v>
      </c>
      <c r="AF5374" s="22"/>
    </row>
    <row r="5375" spans="1:32" x14ac:dyDescent="0.2">
      <c r="A5375" s="1">
        <v>50988</v>
      </c>
      <c r="B5375" s="1" t="s">
        <v>16120</v>
      </c>
      <c r="C5375" s="5" t="s">
        <v>0</v>
      </c>
      <c r="D5375" s="1" t="s">
        <v>16121</v>
      </c>
      <c r="E5375" s="1" t="s">
        <v>16122</v>
      </c>
      <c r="F5375" s="1" t="s">
        <v>167</v>
      </c>
      <c r="G5375" s="1" t="s">
        <v>130</v>
      </c>
      <c r="H5375" s="1" t="s">
        <v>168</v>
      </c>
      <c r="I5375" s="1" t="s">
        <v>112</v>
      </c>
      <c r="J5375" s="1">
        <v>0</v>
      </c>
      <c r="K5375" s="1">
        <v>0</v>
      </c>
      <c r="L5375" s="1" t="s">
        <v>31</v>
      </c>
      <c r="M5375" s="1" t="s">
        <v>18</v>
      </c>
      <c r="N5375" s="1" t="s">
        <v>18</v>
      </c>
      <c r="O5375" s="1">
        <v>3</v>
      </c>
      <c r="P5375" s="1">
        <v>7</v>
      </c>
      <c r="Q5375" s="7" t="s">
        <v>17633</v>
      </c>
      <c r="R5375" s="1" t="s">
        <v>19</v>
      </c>
      <c r="S5375" s="1" t="s">
        <v>20</v>
      </c>
      <c r="T5375" s="1" t="s">
        <v>21</v>
      </c>
      <c r="U5375" s="1" t="s">
        <v>22</v>
      </c>
      <c r="V5375" s="1" t="s">
        <v>23</v>
      </c>
      <c r="W5375" s="1" t="s">
        <v>24</v>
      </c>
      <c r="X5375" s="1">
        <v>2802</v>
      </c>
      <c r="Y5375" s="1" t="s">
        <v>24</v>
      </c>
      <c r="Z5375" s="1" t="s">
        <v>24</v>
      </c>
      <c r="AA5375" s="1" t="s">
        <v>24</v>
      </c>
      <c r="AB5375" s="1" t="s">
        <v>24</v>
      </c>
      <c r="AC5375" s="1" t="s">
        <v>24</v>
      </c>
      <c r="AD5375" s="1" t="s">
        <v>24</v>
      </c>
      <c r="AE5375" s="1" t="s">
        <v>24</v>
      </c>
      <c r="AF5375" s="22"/>
    </row>
    <row r="5376" spans="1:32" x14ac:dyDescent="0.2">
      <c r="A5376" s="1">
        <v>50989</v>
      </c>
      <c r="B5376" s="1" t="s">
        <v>16123</v>
      </c>
      <c r="C5376" s="5" t="s">
        <v>0</v>
      </c>
      <c r="E5376" s="1" t="s">
        <v>16124</v>
      </c>
      <c r="F5376" s="1" t="s">
        <v>167</v>
      </c>
      <c r="G5376" s="1" t="s">
        <v>130</v>
      </c>
      <c r="H5376" s="1" t="s">
        <v>168</v>
      </c>
      <c r="I5376" s="1" t="s">
        <v>16</v>
      </c>
      <c r="J5376" s="1">
        <v>1</v>
      </c>
      <c r="K5376" s="1">
        <v>1</v>
      </c>
      <c r="L5376" s="1" t="s">
        <v>31</v>
      </c>
      <c r="M5376" s="1" t="s">
        <v>18</v>
      </c>
      <c r="N5376" s="1" t="s">
        <v>18</v>
      </c>
      <c r="O5376" s="1">
        <v>3</v>
      </c>
      <c r="P5376" s="1">
        <v>7</v>
      </c>
      <c r="Q5376" s="7" t="s">
        <v>17633</v>
      </c>
      <c r="R5376" s="1" t="s">
        <v>19</v>
      </c>
      <c r="S5376" s="1" t="s">
        <v>63</v>
      </c>
      <c r="T5376" s="1" t="s">
        <v>21</v>
      </c>
      <c r="U5376" s="1" t="s">
        <v>22</v>
      </c>
      <c r="V5376" s="1" t="s">
        <v>24</v>
      </c>
      <c r="W5376" s="1" t="s">
        <v>24</v>
      </c>
      <c r="X5376" s="1">
        <v>2741</v>
      </c>
      <c r="Y5376" s="1" t="s">
        <v>24</v>
      </c>
      <c r="Z5376" s="1" t="s">
        <v>24</v>
      </c>
      <c r="AA5376" s="1" t="s">
        <v>24</v>
      </c>
      <c r="AB5376" s="1" t="s">
        <v>24</v>
      </c>
      <c r="AC5376" s="1" t="s">
        <v>24</v>
      </c>
      <c r="AD5376" s="1" t="s">
        <v>24</v>
      </c>
      <c r="AE5376" s="1" t="s">
        <v>24</v>
      </c>
      <c r="AF5376" s="22"/>
    </row>
    <row r="5377" spans="1:32" x14ac:dyDescent="0.2">
      <c r="A5377" s="1">
        <v>50990</v>
      </c>
      <c r="B5377" s="1" t="s">
        <v>16125</v>
      </c>
      <c r="C5377" s="5" t="s">
        <v>0</v>
      </c>
      <c r="E5377" s="1" t="s">
        <v>16126</v>
      </c>
      <c r="F5377" s="1" t="s">
        <v>167</v>
      </c>
      <c r="G5377" s="1" t="s">
        <v>2300</v>
      </c>
      <c r="H5377" s="1" t="s">
        <v>168</v>
      </c>
      <c r="I5377" s="1" t="s">
        <v>16</v>
      </c>
      <c r="J5377" s="1">
        <v>1</v>
      </c>
      <c r="K5377" s="1">
        <v>1</v>
      </c>
      <c r="L5377" s="1" t="s">
        <v>31</v>
      </c>
      <c r="M5377" s="1" t="s">
        <v>18</v>
      </c>
      <c r="N5377" s="1" t="s">
        <v>18</v>
      </c>
      <c r="O5377" s="1">
        <v>3</v>
      </c>
      <c r="P5377" s="1">
        <v>7</v>
      </c>
      <c r="Q5377" s="7" t="s">
        <v>17633</v>
      </c>
      <c r="R5377" s="1" t="s">
        <v>19</v>
      </c>
      <c r="S5377" s="1" t="s">
        <v>63</v>
      </c>
      <c r="T5377" s="1" t="s">
        <v>21</v>
      </c>
      <c r="V5377" s="1" t="s">
        <v>24</v>
      </c>
      <c r="W5377" s="1" t="s">
        <v>24</v>
      </c>
      <c r="X5377" s="1">
        <v>1605</v>
      </c>
      <c r="Y5377" s="1">
        <v>2736</v>
      </c>
      <c r="Z5377" s="1" t="s">
        <v>24</v>
      </c>
      <c r="AA5377" s="1" t="s">
        <v>24</v>
      </c>
      <c r="AB5377" s="1" t="s">
        <v>24</v>
      </c>
      <c r="AC5377" s="1" t="s">
        <v>24</v>
      </c>
      <c r="AD5377" s="1" t="s">
        <v>24</v>
      </c>
      <c r="AE5377" s="1" t="s">
        <v>24</v>
      </c>
      <c r="AF5377" s="22"/>
    </row>
    <row r="5378" spans="1:32" x14ac:dyDescent="0.2">
      <c r="A5378" s="1">
        <v>50991</v>
      </c>
      <c r="B5378" s="1" t="s">
        <v>16127</v>
      </c>
      <c r="C5378" s="5" t="s">
        <v>0</v>
      </c>
      <c r="D5378" s="1" t="s">
        <v>16128</v>
      </c>
      <c r="E5378" s="1" t="s">
        <v>16129</v>
      </c>
      <c r="F5378" s="1" t="s">
        <v>167</v>
      </c>
      <c r="G5378" s="1" t="s">
        <v>130</v>
      </c>
      <c r="H5378" s="1" t="s">
        <v>168</v>
      </c>
      <c r="I5378" s="1" t="s">
        <v>112</v>
      </c>
      <c r="J5378" s="1">
        <v>0</v>
      </c>
      <c r="K5378" s="1">
        <v>0</v>
      </c>
      <c r="L5378" s="1" t="s">
        <v>31</v>
      </c>
      <c r="M5378" s="1" t="s">
        <v>18</v>
      </c>
      <c r="N5378" s="1" t="s">
        <v>18</v>
      </c>
      <c r="O5378" s="1">
        <v>3</v>
      </c>
      <c r="P5378" s="1">
        <v>7</v>
      </c>
      <c r="Q5378" s="7" t="s">
        <v>17633</v>
      </c>
      <c r="R5378" s="1" t="s">
        <v>19</v>
      </c>
      <c r="S5378" s="1" t="s">
        <v>20</v>
      </c>
      <c r="T5378" s="1" t="s">
        <v>21</v>
      </c>
      <c r="V5378" s="1" t="s">
        <v>24</v>
      </c>
      <c r="W5378" s="1" t="s">
        <v>24</v>
      </c>
      <c r="X5378" s="1">
        <v>3003</v>
      </c>
      <c r="Y5378" s="1" t="s">
        <v>24</v>
      </c>
      <c r="Z5378" s="1" t="s">
        <v>24</v>
      </c>
      <c r="AA5378" s="1" t="s">
        <v>24</v>
      </c>
      <c r="AB5378" s="1" t="s">
        <v>24</v>
      </c>
      <c r="AC5378" s="1" t="s">
        <v>24</v>
      </c>
      <c r="AD5378" s="1" t="s">
        <v>24</v>
      </c>
      <c r="AE5378" s="1" t="s">
        <v>24</v>
      </c>
      <c r="AF5378" s="22"/>
    </row>
    <row r="5379" spans="1:32" x14ac:dyDescent="0.2">
      <c r="A5379" s="1">
        <v>50993</v>
      </c>
      <c r="B5379" s="1" t="s">
        <v>16130</v>
      </c>
      <c r="C5379" s="5" t="s">
        <v>0</v>
      </c>
      <c r="E5379" s="1" t="s">
        <v>16131</v>
      </c>
      <c r="F5379" s="1" t="s">
        <v>2299</v>
      </c>
      <c r="G5379" s="1" t="s">
        <v>2300</v>
      </c>
      <c r="H5379" s="1" t="s">
        <v>37</v>
      </c>
      <c r="I5379" s="1" t="s">
        <v>16</v>
      </c>
      <c r="J5379" s="1">
        <v>1</v>
      </c>
      <c r="K5379" s="1">
        <v>1</v>
      </c>
      <c r="L5379" s="1" t="s">
        <v>31</v>
      </c>
      <c r="M5379" s="1" t="s">
        <v>18</v>
      </c>
      <c r="N5379" s="1" t="s">
        <v>18</v>
      </c>
      <c r="O5379" s="1">
        <v>3</v>
      </c>
      <c r="P5379" s="1">
        <v>7</v>
      </c>
      <c r="Q5379" s="7" t="s">
        <v>17633</v>
      </c>
      <c r="R5379" s="1" t="s">
        <v>19</v>
      </c>
      <c r="S5379" s="1" t="s">
        <v>63</v>
      </c>
      <c r="T5379" s="1" t="s">
        <v>21</v>
      </c>
      <c r="V5379" s="1" t="s">
        <v>23</v>
      </c>
      <c r="W5379" s="1" t="s">
        <v>24</v>
      </c>
      <c r="X5379" s="1">
        <v>2723</v>
      </c>
      <c r="Y5379" s="1" t="s">
        <v>24</v>
      </c>
      <c r="Z5379" s="1" t="s">
        <v>24</v>
      </c>
      <c r="AA5379" s="1" t="s">
        <v>24</v>
      </c>
      <c r="AB5379" s="1" t="s">
        <v>24</v>
      </c>
      <c r="AC5379" s="1" t="s">
        <v>24</v>
      </c>
      <c r="AD5379" s="1" t="s">
        <v>24</v>
      </c>
      <c r="AE5379" s="1" t="s">
        <v>24</v>
      </c>
      <c r="AF5379" s="22"/>
    </row>
    <row r="5380" spans="1:32" x14ac:dyDescent="0.2">
      <c r="A5380" s="1">
        <v>50994</v>
      </c>
      <c r="B5380" s="1" t="s">
        <v>16132</v>
      </c>
      <c r="C5380" s="5" t="s">
        <v>0</v>
      </c>
      <c r="E5380" s="1" t="s">
        <v>16133</v>
      </c>
      <c r="F5380" s="1" t="s">
        <v>2299</v>
      </c>
      <c r="G5380" s="1" t="s">
        <v>2300</v>
      </c>
      <c r="H5380" s="1" t="s">
        <v>37</v>
      </c>
      <c r="I5380" s="1" t="s">
        <v>16</v>
      </c>
      <c r="J5380" s="1">
        <v>1</v>
      </c>
      <c r="K5380" s="1">
        <v>1</v>
      </c>
      <c r="L5380" s="1" t="s">
        <v>31</v>
      </c>
      <c r="M5380" s="1" t="s">
        <v>18</v>
      </c>
      <c r="N5380" s="1" t="s">
        <v>18</v>
      </c>
      <c r="O5380" s="1">
        <v>3</v>
      </c>
      <c r="P5380" s="1">
        <v>7</v>
      </c>
      <c r="Q5380" s="7" t="s">
        <v>17633</v>
      </c>
      <c r="R5380" s="1" t="s">
        <v>19</v>
      </c>
      <c r="S5380" s="1" t="s">
        <v>63</v>
      </c>
      <c r="T5380" s="1" t="s">
        <v>21</v>
      </c>
      <c r="V5380" s="1" t="s">
        <v>23</v>
      </c>
      <c r="W5380" s="1" t="s">
        <v>24</v>
      </c>
      <c r="X5380" s="1">
        <v>2730</v>
      </c>
      <c r="Y5380" s="1" t="s">
        <v>24</v>
      </c>
      <c r="Z5380" s="1" t="s">
        <v>24</v>
      </c>
      <c r="AA5380" s="1" t="s">
        <v>24</v>
      </c>
      <c r="AB5380" s="1" t="s">
        <v>24</v>
      </c>
      <c r="AC5380" s="1" t="s">
        <v>24</v>
      </c>
      <c r="AD5380" s="1" t="s">
        <v>24</v>
      </c>
      <c r="AE5380" s="1" t="s">
        <v>24</v>
      </c>
      <c r="AF5380" s="22"/>
    </row>
    <row r="5381" spans="1:32" x14ac:dyDescent="0.2">
      <c r="A5381" s="1">
        <v>50995</v>
      </c>
      <c r="B5381" s="1" t="s">
        <v>16134</v>
      </c>
      <c r="C5381" s="5" t="s">
        <v>0</v>
      </c>
      <c r="E5381" s="1" t="s">
        <v>16135</v>
      </c>
      <c r="F5381" s="1" t="s">
        <v>167</v>
      </c>
      <c r="G5381" s="1" t="s">
        <v>130</v>
      </c>
      <c r="H5381" s="1" t="s">
        <v>168</v>
      </c>
      <c r="I5381" s="1" t="s">
        <v>16</v>
      </c>
      <c r="J5381" s="1">
        <v>1</v>
      </c>
      <c r="K5381" s="1">
        <v>1</v>
      </c>
      <c r="L5381" s="1" t="s">
        <v>31</v>
      </c>
      <c r="M5381" s="1" t="s">
        <v>18</v>
      </c>
      <c r="N5381" s="1" t="s">
        <v>18</v>
      </c>
      <c r="O5381" s="1">
        <v>3</v>
      </c>
      <c r="P5381" s="1">
        <v>7</v>
      </c>
      <c r="Q5381" s="7" t="s">
        <v>17633</v>
      </c>
      <c r="R5381" s="1" t="s">
        <v>19</v>
      </c>
      <c r="S5381" s="1" t="s">
        <v>63</v>
      </c>
      <c r="T5381" s="1" t="s">
        <v>21</v>
      </c>
      <c r="V5381" s="1" t="s">
        <v>23</v>
      </c>
      <c r="W5381" s="1" t="s">
        <v>24</v>
      </c>
      <c r="X5381" s="1">
        <v>2719</v>
      </c>
      <c r="Y5381" s="1" t="s">
        <v>24</v>
      </c>
      <c r="Z5381" s="1" t="s">
        <v>24</v>
      </c>
      <c r="AA5381" s="1" t="s">
        <v>24</v>
      </c>
      <c r="AB5381" s="1" t="s">
        <v>24</v>
      </c>
      <c r="AC5381" s="1" t="s">
        <v>24</v>
      </c>
      <c r="AD5381" s="1" t="s">
        <v>24</v>
      </c>
      <c r="AE5381" s="1" t="s">
        <v>24</v>
      </c>
      <c r="AF5381" s="22"/>
    </row>
    <row r="5382" spans="1:32" x14ac:dyDescent="0.2">
      <c r="A5382" s="1">
        <v>50996</v>
      </c>
      <c r="B5382" s="1" t="s">
        <v>16136</v>
      </c>
      <c r="C5382" s="5" t="s">
        <v>0</v>
      </c>
      <c r="E5382" s="1" t="s">
        <v>16137</v>
      </c>
      <c r="F5382" s="1" t="s">
        <v>2299</v>
      </c>
      <c r="G5382" s="1" t="s">
        <v>2300</v>
      </c>
      <c r="H5382" s="1" t="s">
        <v>37</v>
      </c>
      <c r="I5382" s="1" t="s">
        <v>16</v>
      </c>
      <c r="J5382" s="1">
        <v>1</v>
      </c>
      <c r="K5382" s="1">
        <v>1</v>
      </c>
      <c r="L5382" s="1" t="s">
        <v>31</v>
      </c>
      <c r="M5382" s="1" t="s">
        <v>18</v>
      </c>
      <c r="N5382" s="1" t="s">
        <v>18</v>
      </c>
      <c r="O5382" s="1">
        <v>3</v>
      </c>
      <c r="P5382" s="1">
        <v>7</v>
      </c>
      <c r="Q5382" s="7" t="s">
        <v>17633</v>
      </c>
      <c r="R5382" s="1" t="s">
        <v>19</v>
      </c>
      <c r="S5382" s="1" t="s">
        <v>63</v>
      </c>
      <c r="T5382" s="1" t="s">
        <v>21</v>
      </c>
      <c r="V5382" s="1" t="s">
        <v>23</v>
      </c>
      <c r="W5382" s="1" t="s">
        <v>24</v>
      </c>
      <c r="X5382" s="1">
        <v>2406</v>
      </c>
      <c r="Y5382" s="1" t="s">
        <v>24</v>
      </c>
      <c r="Z5382" s="1" t="s">
        <v>24</v>
      </c>
      <c r="AA5382" s="1" t="s">
        <v>24</v>
      </c>
      <c r="AB5382" s="1" t="s">
        <v>24</v>
      </c>
      <c r="AC5382" s="1" t="s">
        <v>24</v>
      </c>
      <c r="AD5382" s="1" t="s">
        <v>24</v>
      </c>
      <c r="AE5382" s="1" t="s">
        <v>24</v>
      </c>
      <c r="AF5382" s="22"/>
    </row>
    <row r="5383" spans="1:32" x14ac:dyDescent="0.2">
      <c r="A5383" s="1">
        <v>50997</v>
      </c>
      <c r="B5383" s="1" t="s">
        <v>16138</v>
      </c>
      <c r="C5383" s="5" t="s">
        <v>0</v>
      </c>
      <c r="E5383" s="1" t="s">
        <v>16139</v>
      </c>
      <c r="F5383" s="1" t="s">
        <v>2299</v>
      </c>
      <c r="G5383" s="1" t="s">
        <v>2300</v>
      </c>
      <c r="H5383" s="1" t="s">
        <v>37</v>
      </c>
      <c r="I5383" s="1" t="s">
        <v>16</v>
      </c>
      <c r="J5383" s="1">
        <v>1</v>
      </c>
      <c r="K5383" s="1">
        <v>1</v>
      </c>
      <c r="L5383" s="1" t="s">
        <v>31</v>
      </c>
      <c r="M5383" s="1" t="s">
        <v>18</v>
      </c>
      <c r="N5383" s="1" t="s">
        <v>18</v>
      </c>
      <c r="O5383" s="1">
        <v>3</v>
      </c>
      <c r="P5383" s="1">
        <v>7</v>
      </c>
      <c r="Q5383" s="7" t="s">
        <v>17633</v>
      </c>
      <c r="R5383" s="1" t="s">
        <v>19</v>
      </c>
      <c r="S5383" s="1" t="s">
        <v>63</v>
      </c>
      <c r="T5383" s="1" t="s">
        <v>21</v>
      </c>
      <c r="V5383" s="1" t="s">
        <v>23</v>
      </c>
      <c r="W5383" s="1" t="s">
        <v>24</v>
      </c>
      <c r="X5383" s="1">
        <v>2703</v>
      </c>
      <c r="Y5383" s="1">
        <v>2801</v>
      </c>
      <c r="Z5383" s="1" t="s">
        <v>24</v>
      </c>
      <c r="AA5383" s="1" t="s">
        <v>24</v>
      </c>
      <c r="AB5383" s="1" t="s">
        <v>24</v>
      </c>
      <c r="AC5383" s="1" t="s">
        <v>24</v>
      </c>
      <c r="AD5383" s="1" t="s">
        <v>24</v>
      </c>
      <c r="AE5383" s="1" t="s">
        <v>24</v>
      </c>
      <c r="AF5383" s="22"/>
    </row>
    <row r="5384" spans="1:32" x14ac:dyDescent="0.2">
      <c r="A5384" s="1">
        <v>50998</v>
      </c>
      <c r="B5384" s="1" t="s">
        <v>16140</v>
      </c>
      <c r="C5384" s="5" t="s">
        <v>0</v>
      </c>
      <c r="E5384" s="1" t="s">
        <v>16141</v>
      </c>
      <c r="F5384" s="1" t="s">
        <v>2299</v>
      </c>
      <c r="G5384" s="1" t="s">
        <v>2300</v>
      </c>
      <c r="H5384" s="1" t="s">
        <v>37</v>
      </c>
      <c r="I5384" s="1" t="s">
        <v>16</v>
      </c>
      <c r="J5384" s="1">
        <v>1</v>
      </c>
      <c r="K5384" s="1">
        <v>1</v>
      </c>
      <c r="L5384" s="1" t="s">
        <v>31</v>
      </c>
      <c r="M5384" s="1" t="s">
        <v>18</v>
      </c>
      <c r="N5384" s="1" t="s">
        <v>18</v>
      </c>
      <c r="O5384" s="1">
        <v>3</v>
      </c>
      <c r="P5384" s="1">
        <v>7</v>
      </c>
      <c r="Q5384" s="7" t="s">
        <v>17633</v>
      </c>
      <c r="R5384" s="1" t="s">
        <v>19</v>
      </c>
      <c r="S5384" s="1" t="s">
        <v>63</v>
      </c>
      <c r="T5384" s="1" t="s">
        <v>21</v>
      </c>
      <c r="V5384" s="1" t="s">
        <v>23</v>
      </c>
      <c r="W5384" s="1" t="s">
        <v>24</v>
      </c>
      <c r="X5384" s="1">
        <v>2804</v>
      </c>
      <c r="Y5384" s="1">
        <v>2805</v>
      </c>
      <c r="Z5384" s="1">
        <v>2806</v>
      </c>
      <c r="AA5384" s="1" t="s">
        <v>24</v>
      </c>
      <c r="AB5384" s="1" t="s">
        <v>24</v>
      </c>
      <c r="AC5384" s="1" t="s">
        <v>24</v>
      </c>
      <c r="AD5384" s="1" t="s">
        <v>24</v>
      </c>
      <c r="AE5384" s="1" t="s">
        <v>24</v>
      </c>
      <c r="AF5384" s="22"/>
    </row>
    <row r="5385" spans="1:32" x14ac:dyDescent="0.2">
      <c r="A5385" s="1">
        <v>50999</v>
      </c>
      <c r="B5385" s="1" t="s">
        <v>16142</v>
      </c>
      <c r="C5385" s="5" t="s">
        <v>0</v>
      </c>
      <c r="E5385" s="1" t="s">
        <v>16143</v>
      </c>
      <c r="F5385" s="1" t="s">
        <v>555</v>
      </c>
      <c r="G5385" s="1" t="s">
        <v>36</v>
      </c>
      <c r="H5385" s="1" t="s">
        <v>37</v>
      </c>
      <c r="I5385" s="1" t="s">
        <v>16</v>
      </c>
      <c r="J5385" s="1">
        <v>1</v>
      </c>
      <c r="K5385" s="1">
        <v>6</v>
      </c>
      <c r="L5385" s="1" t="s">
        <v>31</v>
      </c>
      <c r="M5385" s="1" t="s">
        <v>18</v>
      </c>
      <c r="N5385" s="1" t="s">
        <v>18</v>
      </c>
      <c r="O5385" s="1">
        <v>3</v>
      </c>
      <c r="P5385" s="1">
        <v>7</v>
      </c>
      <c r="Q5385" s="7" t="s">
        <v>17633</v>
      </c>
      <c r="R5385" s="1" t="s">
        <v>19</v>
      </c>
      <c r="S5385" s="1" t="s">
        <v>20</v>
      </c>
      <c r="T5385" s="1" t="s">
        <v>21</v>
      </c>
      <c r="U5385" s="1" t="s">
        <v>22</v>
      </c>
      <c r="V5385" s="1" t="s">
        <v>23</v>
      </c>
      <c r="W5385" s="1" t="s">
        <v>24</v>
      </c>
      <c r="X5385" s="1">
        <v>2802</v>
      </c>
      <c r="Y5385" s="1" t="s">
        <v>24</v>
      </c>
      <c r="Z5385" s="1" t="s">
        <v>24</v>
      </c>
      <c r="AA5385" s="1" t="s">
        <v>24</v>
      </c>
      <c r="AB5385" s="1" t="s">
        <v>24</v>
      </c>
      <c r="AC5385" s="1" t="s">
        <v>24</v>
      </c>
      <c r="AD5385" s="1" t="s">
        <v>24</v>
      </c>
      <c r="AE5385" s="1" t="s">
        <v>24</v>
      </c>
      <c r="AF5385" s="22"/>
    </row>
    <row r="5386" spans="1:32" x14ac:dyDescent="0.2">
      <c r="A5386" s="1">
        <v>51000</v>
      </c>
      <c r="B5386" s="1" t="s">
        <v>16144</v>
      </c>
      <c r="C5386" s="5" t="s">
        <v>0</v>
      </c>
      <c r="E5386" s="1" t="s">
        <v>16145</v>
      </c>
      <c r="F5386" s="1" t="s">
        <v>555</v>
      </c>
      <c r="G5386" s="1" t="s">
        <v>36</v>
      </c>
      <c r="H5386" s="1" t="s">
        <v>37</v>
      </c>
      <c r="I5386" s="1" t="s">
        <v>16</v>
      </c>
      <c r="J5386" s="1">
        <v>1</v>
      </c>
      <c r="K5386" s="1">
        <v>4</v>
      </c>
      <c r="L5386" s="1" t="s">
        <v>31</v>
      </c>
      <c r="M5386" s="1" t="s">
        <v>18</v>
      </c>
      <c r="N5386" s="1" t="s">
        <v>18</v>
      </c>
      <c r="O5386" s="1">
        <v>3</v>
      </c>
      <c r="P5386" s="1">
        <v>7</v>
      </c>
      <c r="Q5386" s="7" t="s">
        <v>17633</v>
      </c>
      <c r="R5386" s="1" t="s">
        <v>19</v>
      </c>
      <c r="S5386" s="1" t="s">
        <v>20</v>
      </c>
      <c r="T5386" s="1" t="s">
        <v>21</v>
      </c>
      <c r="V5386" s="1" t="s">
        <v>23</v>
      </c>
      <c r="W5386" s="1" t="s">
        <v>24</v>
      </c>
      <c r="X5386" s="1">
        <v>2712</v>
      </c>
      <c r="Y5386" s="1" t="s">
        <v>24</v>
      </c>
      <c r="Z5386" s="1" t="s">
        <v>24</v>
      </c>
      <c r="AA5386" s="1" t="s">
        <v>24</v>
      </c>
      <c r="AB5386" s="1" t="s">
        <v>24</v>
      </c>
      <c r="AC5386" s="1" t="s">
        <v>24</v>
      </c>
      <c r="AD5386" s="1" t="s">
        <v>24</v>
      </c>
      <c r="AE5386" s="1" t="s">
        <v>24</v>
      </c>
      <c r="AF5386" s="22"/>
    </row>
    <row r="5387" spans="1:32" x14ac:dyDescent="0.2">
      <c r="A5387" s="1">
        <v>51001</v>
      </c>
      <c r="B5387" s="1" t="s">
        <v>16146</v>
      </c>
      <c r="C5387" s="5" t="s">
        <v>0</v>
      </c>
      <c r="E5387" s="1" t="s">
        <v>16147</v>
      </c>
      <c r="F5387" s="1" t="s">
        <v>16148</v>
      </c>
      <c r="G5387" s="1" t="s">
        <v>460</v>
      </c>
      <c r="H5387" s="1" t="s">
        <v>461</v>
      </c>
      <c r="I5387" s="1" t="s">
        <v>16</v>
      </c>
      <c r="J5387" s="1">
        <v>1</v>
      </c>
      <c r="K5387" s="1">
        <v>1</v>
      </c>
      <c r="L5387" s="1" t="s">
        <v>42</v>
      </c>
      <c r="M5387" s="1" t="s">
        <v>18</v>
      </c>
      <c r="N5387" s="1" t="s">
        <v>18</v>
      </c>
      <c r="O5387" s="1">
        <v>3</v>
      </c>
      <c r="P5387" s="1">
        <v>6</v>
      </c>
      <c r="R5387" s="1" t="s">
        <v>19</v>
      </c>
      <c r="S5387" s="1" t="s">
        <v>20</v>
      </c>
      <c r="T5387" s="1" t="s">
        <v>21</v>
      </c>
      <c r="V5387" s="1" t="s">
        <v>24</v>
      </c>
      <c r="W5387" s="1" t="s">
        <v>24</v>
      </c>
      <c r="X5387" s="1">
        <v>2728</v>
      </c>
      <c r="Y5387" s="1">
        <v>2738</v>
      </c>
      <c r="Z5387" s="1">
        <v>2736</v>
      </c>
      <c r="AA5387" s="1" t="s">
        <v>24</v>
      </c>
      <c r="AB5387" s="1" t="s">
        <v>24</v>
      </c>
      <c r="AC5387" s="1" t="s">
        <v>24</v>
      </c>
      <c r="AD5387" s="1" t="s">
        <v>24</v>
      </c>
      <c r="AE5387" s="1" t="s">
        <v>24</v>
      </c>
      <c r="AF5387" s="22"/>
    </row>
    <row r="5388" spans="1:32" x14ac:dyDescent="0.2">
      <c r="A5388" s="1">
        <v>51002</v>
      </c>
      <c r="B5388" s="1" t="s">
        <v>16149</v>
      </c>
      <c r="C5388" s="5" t="s">
        <v>0</v>
      </c>
      <c r="E5388" s="1" t="s">
        <v>16150</v>
      </c>
      <c r="F5388" s="1" t="s">
        <v>4152</v>
      </c>
      <c r="G5388" s="1" t="s">
        <v>4152</v>
      </c>
      <c r="H5388" s="1" t="s">
        <v>111</v>
      </c>
      <c r="I5388" s="1" t="s">
        <v>16</v>
      </c>
      <c r="J5388" s="1">
        <v>1</v>
      </c>
      <c r="K5388" s="1">
        <v>4</v>
      </c>
      <c r="L5388" s="1" t="s">
        <v>42</v>
      </c>
      <c r="M5388" s="1" t="s">
        <v>18</v>
      </c>
      <c r="N5388" s="1" t="s">
        <v>18</v>
      </c>
      <c r="O5388" s="1">
        <v>2</v>
      </c>
      <c r="P5388" s="1">
        <v>6</v>
      </c>
      <c r="R5388" s="1" t="s">
        <v>19</v>
      </c>
      <c r="S5388" s="1" t="s">
        <v>20</v>
      </c>
      <c r="T5388" s="1" t="s">
        <v>21</v>
      </c>
      <c r="V5388" s="1" t="s">
        <v>24</v>
      </c>
      <c r="W5388" s="1" t="s">
        <v>24</v>
      </c>
      <c r="X5388" s="1">
        <v>1308</v>
      </c>
      <c r="Y5388" s="1" t="s">
        <v>24</v>
      </c>
      <c r="Z5388" s="1" t="s">
        <v>24</v>
      </c>
      <c r="AA5388" s="1" t="s">
        <v>24</v>
      </c>
      <c r="AB5388" s="1" t="s">
        <v>24</v>
      </c>
      <c r="AC5388" s="1" t="s">
        <v>24</v>
      </c>
      <c r="AD5388" s="1" t="s">
        <v>24</v>
      </c>
      <c r="AE5388" s="1" t="s">
        <v>24</v>
      </c>
      <c r="AF5388" s="22"/>
    </row>
    <row r="5389" spans="1:32" x14ac:dyDescent="0.2">
      <c r="A5389" s="1">
        <v>51003</v>
      </c>
      <c r="B5389" s="1" t="s">
        <v>16151</v>
      </c>
      <c r="C5389" s="5" t="s">
        <v>0</v>
      </c>
      <c r="E5389" s="1" t="s">
        <v>16152</v>
      </c>
      <c r="F5389" s="1" t="s">
        <v>4152</v>
      </c>
      <c r="G5389" s="1" t="s">
        <v>4152</v>
      </c>
      <c r="H5389" s="1" t="s">
        <v>111</v>
      </c>
      <c r="I5389" s="1" t="s">
        <v>16</v>
      </c>
      <c r="J5389" s="1">
        <v>1</v>
      </c>
      <c r="K5389" s="1">
        <v>4</v>
      </c>
      <c r="L5389" s="1" t="s">
        <v>42</v>
      </c>
      <c r="M5389" s="1" t="s">
        <v>18</v>
      </c>
      <c r="N5389" s="1" t="s">
        <v>18</v>
      </c>
      <c r="O5389" s="1">
        <v>2</v>
      </c>
      <c r="P5389" s="1">
        <v>6</v>
      </c>
      <c r="R5389" s="1" t="s">
        <v>19</v>
      </c>
      <c r="S5389" s="1" t="s">
        <v>63</v>
      </c>
      <c r="T5389" s="1" t="s">
        <v>21</v>
      </c>
      <c r="V5389" s="1" t="s">
        <v>24</v>
      </c>
      <c r="W5389" s="1" t="s">
        <v>24</v>
      </c>
      <c r="X5389" s="1">
        <v>2502</v>
      </c>
      <c r="Y5389" s="1">
        <v>2204</v>
      </c>
      <c r="Z5389" s="1" t="s">
        <v>24</v>
      </c>
      <c r="AA5389" s="1" t="s">
        <v>24</v>
      </c>
      <c r="AB5389" s="1" t="s">
        <v>24</v>
      </c>
      <c r="AC5389" s="1" t="s">
        <v>24</v>
      </c>
      <c r="AD5389" s="1" t="s">
        <v>24</v>
      </c>
      <c r="AE5389" s="1" t="s">
        <v>24</v>
      </c>
      <c r="AF5389" s="22"/>
    </row>
    <row r="5390" spans="1:32" x14ac:dyDescent="0.2">
      <c r="A5390" s="1">
        <v>51004</v>
      </c>
      <c r="B5390" s="1" t="s">
        <v>16153</v>
      </c>
      <c r="C5390" s="5" t="s">
        <v>0</v>
      </c>
      <c r="D5390" s="1" t="s">
        <v>16154</v>
      </c>
      <c r="E5390" s="1" t="s">
        <v>16155</v>
      </c>
      <c r="F5390" s="1" t="s">
        <v>12374</v>
      </c>
      <c r="G5390" s="1" t="s">
        <v>12374</v>
      </c>
      <c r="H5390" s="1" t="s">
        <v>37</v>
      </c>
      <c r="I5390" s="1" t="s">
        <v>16</v>
      </c>
      <c r="J5390" s="1">
        <v>1</v>
      </c>
      <c r="K5390" s="1">
        <v>3</v>
      </c>
      <c r="L5390" s="1" t="s">
        <v>42</v>
      </c>
      <c r="M5390" s="1" t="s">
        <v>18</v>
      </c>
      <c r="N5390" s="1" t="s">
        <v>18</v>
      </c>
      <c r="O5390" s="1">
        <v>2</v>
      </c>
      <c r="P5390" s="1">
        <v>6</v>
      </c>
      <c r="R5390" s="1" t="s">
        <v>19</v>
      </c>
      <c r="S5390" s="1" t="s">
        <v>20</v>
      </c>
      <c r="T5390" s="1" t="s">
        <v>21</v>
      </c>
      <c r="U5390" s="1" t="s">
        <v>22</v>
      </c>
      <c r="V5390" s="1" t="s">
        <v>23</v>
      </c>
      <c r="W5390" s="1" t="s">
        <v>24</v>
      </c>
      <c r="X5390" s="1">
        <v>2720</v>
      </c>
      <c r="Y5390" s="1">
        <v>2730</v>
      </c>
      <c r="Z5390" s="1" t="s">
        <v>24</v>
      </c>
      <c r="AA5390" s="1" t="s">
        <v>24</v>
      </c>
      <c r="AB5390" s="1" t="s">
        <v>24</v>
      </c>
      <c r="AC5390" s="1" t="s">
        <v>24</v>
      </c>
      <c r="AD5390" s="1" t="s">
        <v>24</v>
      </c>
      <c r="AE5390" s="1" t="s">
        <v>24</v>
      </c>
      <c r="AF5390" s="22"/>
    </row>
    <row r="5391" spans="1:32" x14ac:dyDescent="0.2">
      <c r="A5391" s="1">
        <v>51005</v>
      </c>
      <c r="B5391" s="1" t="s">
        <v>16156</v>
      </c>
      <c r="C5391" s="5" t="s">
        <v>0</v>
      </c>
      <c r="D5391" s="1" t="s">
        <v>16157</v>
      </c>
      <c r="F5391" s="1" t="s">
        <v>10015</v>
      </c>
      <c r="G5391" s="1" t="s">
        <v>10015</v>
      </c>
      <c r="H5391" s="1" t="s">
        <v>6895</v>
      </c>
      <c r="I5391" s="1" t="s">
        <v>16</v>
      </c>
      <c r="J5391" s="1">
        <v>1</v>
      </c>
      <c r="K5391" s="1">
        <v>2</v>
      </c>
      <c r="L5391" s="1" t="s">
        <v>42</v>
      </c>
      <c r="M5391" s="1" t="s">
        <v>18</v>
      </c>
      <c r="N5391" s="1" t="s">
        <v>18</v>
      </c>
      <c r="O5391" s="1">
        <v>3</v>
      </c>
      <c r="P5391" s="1">
        <v>6</v>
      </c>
      <c r="R5391" s="1" t="s">
        <v>19</v>
      </c>
      <c r="S5391" s="1" t="s">
        <v>20</v>
      </c>
      <c r="T5391" s="1" t="s">
        <v>21</v>
      </c>
      <c r="U5391" s="1" t="s">
        <v>22</v>
      </c>
      <c r="V5391" s="1" t="s">
        <v>23</v>
      </c>
      <c r="W5391" s="1" t="s">
        <v>24</v>
      </c>
      <c r="X5391" s="1">
        <v>2705</v>
      </c>
      <c r="Y5391" s="1" t="s">
        <v>24</v>
      </c>
      <c r="Z5391" s="1" t="s">
        <v>24</v>
      </c>
      <c r="AA5391" s="1" t="s">
        <v>24</v>
      </c>
      <c r="AB5391" s="1" t="s">
        <v>24</v>
      </c>
      <c r="AC5391" s="1" t="s">
        <v>24</v>
      </c>
      <c r="AD5391" s="1" t="s">
        <v>24</v>
      </c>
      <c r="AE5391" s="1" t="s">
        <v>24</v>
      </c>
      <c r="AF5391" s="22"/>
    </row>
    <row r="5392" spans="1:32" x14ac:dyDescent="0.2">
      <c r="A5392" s="1">
        <v>51006</v>
      </c>
      <c r="B5392" s="1" t="s">
        <v>16158</v>
      </c>
      <c r="C5392" s="5" t="s">
        <v>0</v>
      </c>
      <c r="D5392" s="1" t="s">
        <v>16159</v>
      </c>
      <c r="F5392" s="1" t="s">
        <v>16160</v>
      </c>
      <c r="G5392" s="1" t="s">
        <v>16160</v>
      </c>
      <c r="H5392" s="1" t="s">
        <v>899</v>
      </c>
      <c r="I5392" s="1" t="s">
        <v>16</v>
      </c>
      <c r="J5392" s="1">
        <v>1</v>
      </c>
      <c r="K5392" s="1">
        <v>4</v>
      </c>
      <c r="L5392" s="1" t="s">
        <v>42</v>
      </c>
      <c r="M5392" s="1" t="s">
        <v>18</v>
      </c>
      <c r="N5392" s="1" t="s">
        <v>18</v>
      </c>
      <c r="O5392" s="1">
        <v>3</v>
      </c>
      <c r="P5392" s="1">
        <v>6</v>
      </c>
      <c r="R5392" s="1" t="s">
        <v>19</v>
      </c>
      <c r="S5392" s="1" t="s">
        <v>20</v>
      </c>
      <c r="T5392" s="1" t="s">
        <v>21</v>
      </c>
      <c r="V5392" s="1" t="s">
        <v>24</v>
      </c>
      <c r="W5392" s="1" t="s">
        <v>24</v>
      </c>
      <c r="X5392" s="1">
        <v>3003</v>
      </c>
      <c r="Y5392" s="1" t="s">
        <v>24</v>
      </c>
      <c r="Z5392" s="1" t="s">
        <v>24</v>
      </c>
      <c r="AA5392" s="1" t="s">
        <v>24</v>
      </c>
      <c r="AB5392" s="1" t="s">
        <v>24</v>
      </c>
      <c r="AC5392" s="1" t="s">
        <v>24</v>
      </c>
      <c r="AD5392" s="1" t="s">
        <v>24</v>
      </c>
      <c r="AE5392" s="1" t="s">
        <v>24</v>
      </c>
      <c r="AF5392" s="22"/>
    </row>
    <row r="5393" spans="1:32" x14ac:dyDescent="0.2">
      <c r="A5393" s="1">
        <v>51007</v>
      </c>
      <c r="B5393" s="1" t="s">
        <v>16161</v>
      </c>
      <c r="C5393" s="5" t="s">
        <v>0</v>
      </c>
      <c r="D5393" s="1" t="s">
        <v>16162</v>
      </c>
      <c r="E5393" s="1" t="s">
        <v>16163</v>
      </c>
      <c r="F5393" s="1" t="s">
        <v>16164</v>
      </c>
      <c r="G5393" s="1" t="s">
        <v>16164</v>
      </c>
      <c r="H5393" s="1" t="s">
        <v>2772</v>
      </c>
      <c r="I5393" s="1" t="s">
        <v>16</v>
      </c>
      <c r="J5393" s="1">
        <v>1</v>
      </c>
      <c r="K5393" s="1">
        <v>4</v>
      </c>
      <c r="L5393" s="1" t="s">
        <v>42</v>
      </c>
      <c r="M5393" s="1" t="s">
        <v>18</v>
      </c>
      <c r="N5393" s="1" t="s">
        <v>18</v>
      </c>
      <c r="O5393" s="1">
        <v>3</v>
      </c>
      <c r="P5393" s="1">
        <v>6</v>
      </c>
      <c r="R5393" s="1" t="s">
        <v>19</v>
      </c>
      <c r="S5393" s="1" t="s">
        <v>20</v>
      </c>
      <c r="T5393" s="1" t="s">
        <v>21</v>
      </c>
      <c r="V5393" s="1" t="s">
        <v>23</v>
      </c>
      <c r="W5393" s="1" t="s">
        <v>24</v>
      </c>
      <c r="X5393" s="1">
        <v>2723</v>
      </c>
      <c r="Y5393" s="1">
        <v>2708</v>
      </c>
      <c r="Z5393" s="1" t="s">
        <v>24</v>
      </c>
      <c r="AA5393" s="1" t="s">
        <v>24</v>
      </c>
      <c r="AB5393" s="1" t="s">
        <v>24</v>
      </c>
      <c r="AC5393" s="1" t="s">
        <v>24</v>
      </c>
      <c r="AD5393" s="1" t="s">
        <v>24</v>
      </c>
      <c r="AE5393" s="1" t="s">
        <v>24</v>
      </c>
      <c r="AF5393" s="22"/>
    </row>
    <row r="5394" spans="1:32" x14ac:dyDescent="0.2">
      <c r="A5394" s="1">
        <v>51008</v>
      </c>
      <c r="B5394" s="1" t="s">
        <v>16165</v>
      </c>
      <c r="C5394" s="5" t="s">
        <v>0</v>
      </c>
      <c r="D5394" s="1" t="s">
        <v>16166</v>
      </c>
      <c r="F5394" s="1" t="s">
        <v>12162</v>
      </c>
      <c r="G5394" s="1" t="s">
        <v>61</v>
      </c>
      <c r="H5394" s="1" t="s">
        <v>899</v>
      </c>
      <c r="I5394" s="1" t="s">
        <v>16</v>
      </c>
      <c r="J5394" s="1">
        <v>1</v>
      </c>
      <c r="K5394" s="1">
        <v>12</v>
      </c>
      <c r="L5394" s="1" t="s">
        <v>31</v>
      </c>
      <c r="M5394" s="1" t="s">
        <v>18</v>
      </c>
      <c r="N5394" s="1" t="s">
        <v>18</v>
      </c>
      <c r="O5394" s="1">
        <v>2</v>
      </c>
      <c r="P5394" s="1">
        <v>6</v>
      </c>
      <c r="R5394" s="1" t="s">
        <v>19</v>
      </c>
      <c r="S5394" s="1" t="s">
        <v>20</v>
      </c>
      <c r="T5394" s="1" t="s">
        <v>21</v>
      </c>
      <c r="U5394" s="1" t="s">
        <v>22</v>
      </c>
      <c r="V5394" s="1" t="s">
        <v>24</v>
      </c>
      <c r="W5394" s="1" t="s">
        <v>24</v>
      </c>
      <c r="X5394" s="1">
        <v>3002</v>
      </c>
      <c r="Y5394" s="1" t="s">
        <v>24</v>
      </c>
      <c r="Z5394" s="1" t="s">
        <v>24</v>
      </c>
      <c r="AA5394" s="1" t="s">
        <v>24</v>
      </c>
      <c r="AB5394" s="1" t="s">
        <v>24</v>
      </c>
      <c r="AC5394" s="1" t="s">
        <v>24</v>
      </c>
      <c r="AD5394" s="1" t="s">
        <v>24</v>
      </c>
      <c r="AE5394" s="1" t="s">
        <v>24</v>
      </c>
      <c r="AF5394" s="22" t="s">
        <v>17678</v>
      </c>
    </row>
    <row r="5395" spans="1:32" x14ac:dyDescent="0.2">
      <c r="A5395" s="1">
        <v>51010</v>
      </c>
      <c r="B5395" s="1" t="s">
        <v>16167</v>
      </c>
      <c r="C5395" s="5" t="s">
        <v>0</v>
      </c>
      <c r="D5395" s="1" t="s">
        <v>16168</v>
      </c>
      <c r="F5395" s="1" t="s">
        <v>16169</v>
      </c>
      <c r="G5395" s="1" t="s">
        <v>16169</v>
      </c>
      <c r="H5395" s="1" t="s">
        <v>731</v>
      </c>
      <c r="I5395" s="1" t="s">
        <v>16</v>
      </c>
      <c r="J5395" s="1">
        <v>1</v>
      </c>
      <c r="K5395" s="1">
        <v>3</v>
      </c>
      <c r="L5395" s="1" t="s">
        <v>42</v>
      </c>
      <c r="M5395" s="1" t="s">
        <v>18</v>
      </c>
      <c r="N5395" s="1" t="s">
        <v>18</v>
      </c>
      <c r="O5395" s="1">
        <v>2</v>
      </c>
      <c r="P5395" s="1">
        <v>6</v>
      </c>
      <c r="R5395" s="1" t="s">
        <v>19</v>
      </c>
      <c r="S5395" s="1" t="s">
        <v>20</v>
      </c>
      <c r="T5395" s="1" t="s">
        <v>21</v>
      </c>
      <c r="U5395" s="1" t="s">
        <v>22</v>
      </c>
      <c r="V5395" s="1" t="s">
        <v>23</v>
      </c>
      <c r="W5395" s="1" t="s">
        <v>24</v>
      </c>
      <c r="X5395" s="1">
        <v>2738</v>
      </c>
      <c r="Y5395" s="1" t="s">
        <v>24</v>
      </c>
      <c r="Z5395" s="1" t="s">
        <v>24</v>
      </c>
      <c r="AA5395" s="1" t="s">
        <v>24</v>
      </c>
      <c r="AB5395" s="1" t="s">
        <v>24</v>
      </c>
      <c r="AC5395" s="1" t="s">
        <v>24</v>
      </c>
      <c r="AD5395" s="1" t="s">
        <v>24</v>
      </c>
      <c r="AE5395" s="1" t="s">
        <v>24</v>
      </c>
      <c r="AF5395" s="22"/>
    </row>
    <row r="5396" spans="1:32" x14ac:dyDescent="0.2">
      <c r="A5396" s="1">
        <v>51011</v>
      </c>
      <c r="B5396" s="1" t="s">
        <v>16170</v>
      </c>
      <c r="C5396" s="5" t="s">
        <v>0</v>
      </c>
      <c r="D5396" s="1" t="s">
        <v>16171</v>
      </c>
      <c r="E5396" s="1" t="s">
        <v>16172</v>
      </c>
      <c r="F5396" s="1" t="s">
        <v>16173</v>
      </c>
      <c r="G5396" s="1" t="s">
        <v>16173</v>
      </c>
      <c r="H5396" s="1" t="s">
        <v>684</v>
      </c>
      <c r="I5396" s="1" t="s">
        <v>16</v>
      </c>
      <c r="J5396" s="1">
        <v>1</v>
      </c>
      <c r="K5396" s="1">
        <v>4</v>
      </c>
      <c r="L5396" s="1" t="s">
        <v>42</v>
      </c>
      <c r="M5396" s="1" t="s">
        <v>18</v>
      </c>
      <c r="N5396" s="1" t="s">
        <v>18</v>
      </c>
      <c r="O5396" s="1">
        <v>2</v>
      </c>
      <c r="P5396" s="1">
        <v>6</v>
      </c>
      <c r="R5396" s="1" t="s">
        <v>19</v>
      </c>
      <c r="S5396" s="1" t="s">
        <v>20</v>
      </c>
      <c r="T5396" s="1" t="s">
        <v>21</v>
      </c>
      <c r="V5396" s="1" t="s">
        <v>23</v>
      </c>
      <c r="W5396" s="1" t="s">
        <v>24</v>
      </c>
      <c r="X5396" s="1">
        <v>2705</v>
      </c>
      <c r="Y5396" s="1">
        <v>2706</v>
      </c>
      <c r="Z5396" s="1">
        <v>2703</v>
      </c>
      <c r="AA5396" s="1" t="s">
        <v>24</v>
      </c>
      <c r="AB5396" s="1" t="s">
        <v>24</v>
      </c>
      <c r="AC5396" s="1" t="s">
        <v>24</v>
      </c>
      <c r="AD5396" s="1" t="s">
        <v>24</v>
      </c>
      <c r="AE5396" s="1" t="s">
        <v>24</v>
      </c>
      <c r="AF5396" s="22"/>
    </row>
    <row r="5397" spans="1:32" x14ac:dyDescent="0.2">
      <c r="A5397" s="1">
        <v>51012</v>
      </c>
      <c r="B5397" s="1" t="s">
        <v>16174</v>
      </c>
      <c r="C5397" s="5" t="s">
        <v>0</v>
      </c>
      <c r="D5397" s="1" t="s">
        <v>16175</v>
      </c>
      <c r="E5397" s="1" t="s">
        <v>16176</v>
      </c>
      <c r="F5397" s="1" t="s">
        <v>15861</v>
      </c>
      <c r="G5397" s="1" t="s">
        <v>15861</v>
      </c>
      <c r="H5397" s="1" t="s">
        <v>731</v>
      </c>
      <c r="I5397" s="1" t="s">
        <v>16</v>
      </c>
      <c r="J5397" s="1">
        <v>1</v>
      </c>
      <c r="K5397" s="1">
        <v>6</v>
      </c>
      <c r="L5397" s="1" t="s">
        <v>42</v>
      </c>
      <c r="M5397" s="1" t="s">
        <v>18</v>
      </c>
      <c r="N5397" s="1" t="s">
        <v>18</v>
      </c>
      <c r="O5397" s="1">
        <v>3</v>
      </c>
      <c r="P5397" s="1">
        <v>6</v>
      </c>
      <c r="R5397" s="1" t="s">
        <v>19</v>
      </c>
      <c r="S5397" s="1" t="s">
        <v>20</v>
      </c>
      <c r="T5397" s="1" t="s">
        <v>21</v>
      </c>
      <c r="V5397" s="1" t="s">
        <v>23</v>
      </c>
      <c r="W5397" s="1" t="s">
        <v>24</v>
      </c>
      <c r="X5397" s="1">
        <v>2730</v>
      </c>
      <c r="Y5397" s="1">
        <v>1306</v>
      </c>
      <c r="Z5397" s="1" t="s">
        <v>24</v>
      </c>
      <c r="AA5397" s="1" t="s">
        <v>24</v>
      </c>
      <c r="AB5397" s="1" t="s">
        <v>24</v>
      </c>
      <c r="AC5397" s="1" t="s">
        <v>24</v>
      </c>
      <c r="AD5397" s="1" t="s">
        <v>24</v>
      </c>
      <c r="AE5397" s="1" t="s">
        <v>24</v>
      </c>
      <c r="AF5397" s="22"/>
    </row>
    <row r="5398" spans="1:32" x14ac:dyDescent="0.2">
      <c r="A5398" s="1">
        <v>51013</v>
      </c>
      <c r="B5398" s="1" t="s">
        <v>16177</v>
      </c>
      <c r="C5398" s="5" t="s">
        <v>0</v>
      </c>
      <c r="D5398" s="1" t="s">
        <v>16178</v>
      </c>
      <c r="E5398" s="1" t="s">
        <v>16179</v>
      </c>
      <c r="F5398" s="1" t="s">
        <v>16180</v>
      </c>
      <c r="G5398" s="1" t="s">
        <v>16180</v>
      </c>
      <c r="H5398" s="1" t="s">
        <v>37</v>
      </c>
      <c r="I5398" s="1" t="s">
        <v>16</v>
      </c>
      <c r="J5398" s="1">
        <v>1</v>
      </c>
      <c r="K5398" s="1">
        <v>4</v>
      </c>
      <c r="L5398" s="1" t="s">
        <v>42</v>
      </c>
      <c r="M5398" s="1" t="s">
        <v>18</v>
      </c>
      <c r="N5398" s="1" t="s">
        <v>18</v>
      </c>
      <c r="O5398" s="1">
        <v>3</v>
      </c>
      <c r="P5398" s="1">
        <v>6</v>
      </c>
      <c r="R5398" s="1" t="s">
        <v>19</v>
      </c>
      <c r="S5398" s="1" t="s">
        <v>20</v>
      </c>
      <c r="T5398" s="1" t="s">
        <v>21</v>
      </c>
      <c r="V5398" s="1" t="s">
        <v>23</v>
      </c>
      <c r="W5398" s="1" t="s">
        <v>24</v>
      </c>
      <c r="X5398" s="1">
        <v>2705</v>
      </c>
      <c r="Y5398" s="1" t="s">
        <v>24</v>
      </c>
      <c r="Z5398" s="1" t="s">
        <v>24</v>
      </c>
      <c r="AA5398" s="1" t="s">
        <v>24</v>
      </c>
      <c r="AB5398" s="1" t="s">
        <v>24</v>
      </c>
      <c r="AC5398" s="1" t="s">
        <v>24</v>
      </c>
      <c r="AD5398" s="1" t="s">
        <v>24</v>
      </c>
      <c r="AE5398" s="1" t="s">
        <v>24</v>
      </c>
      <c r="AF5398" s="22"/>
    </row>
    <row r="5399" spans="1:32" x14ac:dyDescent="0.2">
      <c r="A5399" s="1">
        <v>51014</v>
      </c>
      <c r="B5399" s="1" t="s">
        <v>16181</v>
      </c>
      <c r="C5399" s="5" t="s">
        <v>0</v>
      </c>
      <c r="D5399" s="1" t="s">
        <v>16182</v>
      </c>
      <c r="E5399" s="1" t="s">
        <v>16183</v>
      </c>
      <c r="F5399" s="1" t="s">
        <v>16184</v>
      </c>
      <c r="G5399" s="1" t="s">
        <v>16184</v>
      </c>
      <c r="H5399" s="1" t="s">
        <v>445</v>
      </c>
      <c r="I5399" s="1" t="s">
        <v>16</v>
      </c>
      <c r="J5399" s="1">
        <v>1</v>
      </c>
      <c r="K5399" s="1">
        <v>4</v>
      </c>
      <c r="L5399" s="1" t="s">
        <v>42</v>
      </c>
      <c r="M5399" s="1" t="s">
        <v>18</v>
      </c>
      <c r="N5399" s="1" t="s">
        <v>18</v>
      </c>
      <c r="O5399" s="1">
        <v>3</v>
      </c>
      <c r="P5399" s="1">
        <v>6</v>
      </c>
      <c r="R5399" s="1" t="s">
        <v>19</v>
      </c>
      <c r="S5399" s="1" t="s">
        <v>20</v>
      </c>
      <c r="T5399" s="1" t="s">
        <v>21</v>
      </c>
      <c r="U5399" s="1" t="s">
        <v>22</v>
      </c>
      <c r="V5399" s="1" t="s">
        <v>23</v>
      </c>
      <c r="W5399" s="1" t="s">
        <v>24</v>
      </c>
      <c r="X5399" s="1">
        <v>2730</v>
      </c>
      <c r="Y5399" s="1" t="s">
        <v>24</v>
      </c>
      <c r="Z5399" s="1" t="s">
        <v>24</v>
      </c>
      <c r="AA5399" s="1" t="s">
        <v>24</v>
      </c>
      <c r="AB5399" s="1" t="s">
        <v>24</v>
      </c>
      <c r="AC5399" s="1" t="s">
        <v>24</v>
      </c>
      <c r="AD5399" s="1" t="s">
        <v>24</v>
      </c>
      <c r="AE5399" s="1" t="s">
        <v>24</v>
      </c>
      <c r="AF5399" s="22"/>
    </row>
    <row r="5400" spans="1:32" x14ac:dyDescent="0.2">
      <c r="A5400" s="1">
        <v>51015</v>
      </c>
      <c r="B5400" s="1" t="s">
        <v>16185</v>
      </c>
      <c r="C5400" s="5" t="s">
        <v>0</v>
      </c>
      <c r="D5400" s="1" t="s">
        <v>16186</v>
      </c>
      <c r="E5400" s="1" t="s">
        <v>16187</v>
      </c>
      <c r="F5400" s="1" t="s">
        <v>16188</v>
      </c>
      <c r="G5400" s="1" t="s">
        <v>16188</v>
      </c>
      <c r="H5400" s="1" t="s">
        <v>899</v>
      </c>
      <c r="I5400" s="1" t="s">
        <v>16</v>
      </c>
      <c r="J5400" s="1">
        <v>1</v>
      </c>
      <c r="K5400" s="1">
        <v>2</v>
      </c>
      <c r="L5400" s="1" t="s">
        <v>42</v>
      </c>
      <c r="M5400" s="1" t="s">
        <v>18</v>
      </c>
      <c r="N5400" s="1" t="s">
        <v>18</v>
      </c>
      <c r="O5400" s="1">
        <v>2</v>
      </c>
      <c r="P5400" s="1">
        <v>6</v>
      </c>
      <c r="R5400" s="1" t="s">
        <v>19</v>
      </c>
      <c r="S5400" s="1" t="s">
        <v>20</v>
      </c>
      <c r="T5400" s="1" t="s">
        <v>21</v>
      </c>
      <c r="V5400" s="1" t="s">
        <v>24</v>
      </c>
      <c r="W5400" s="1" t="s">
        <v>24</v>
      </c>
      <c r="X5400" s="1">
        <v>3000</v>
      </c>
      <c r="Y5400" s="1" t="s">
        <v>24</v>
      </c>
      <c r="Z5400" s="1" t="s">
        <v>24</v>
      </c>
      <c r="AA5400" s="1" t="s">
        <v>24</v>
      </c>
      <c r="AB5400" s="1" t="s">
        <v>24</v>
      </c>
      <c r="AC5400" s="1" t="s">
        <v>24</v>
      </c>
      <c r="AD5400" s="1" t="s">
        <v>24</v>
      </c>
      <c r="AE5400" s="1" t="s">
        <v>24</v>
      </c>
      <c r="AF5400" s="22"/>
    </row>
    <row r="5401" spans="1:32" x14ac:dyDescent="0.2">
      <c r="A5401" s="1">
        <v>51016</v>
      </c>
      <c r="B5401" s="1" t="s">
        <v>16189</v>
      </c>
      <c r="C5401" s="5" t="s">
        <v>0</v>
      </c>
      <c r="D5401" s="1" t="s">
        <v>16190</v>
      </c>
      <c r="F5401" s="1" t="s">
        <v>16191</v>
      </c>
      <c r="G5401" s="1" t="s">
        <v>16191</v>
      </c>
      <c r="H5401" s="1" t="s">
        <v>899</v>
      </c>
      <c r="I5401" s="1" t="s">
        <v>16</v>
      </c>
      <c r="J5401" s="1">
        <v>1</v>
      </c>
      <c r="K5401" s="1">
        <v>6</v>
      </c>
      <c r="L5401" s="1" t="s">
        <v>42</v>
      </c>
      <c r="M5401" s="1" t="s">
        <v>18</v>
      </c>
      <c r="N5401" s="1" t="s">
        <v>18</v>
      </c>
      <c r="O5401" s="1">
        <v>2</v>
      </c>
      <c r="P5401" s="1">
        <v>6</v>
      </c>
      <c r="R5401" s="1" t="s">
        <v>19</v>
      </c>
      <c r="S5401" s="1" t="s">
        <v>20</v>
      </c>
      <c r="T5401" s="1" t="s">
        <v>21</v>
      </c>
      <c r="V5401" s="1" t="s">
        <v>24</v>
      </c>
      <c r="W5401" s="1" t="s">
        <v>24</v>
      </c>
      <c r="X5401" s="1">
        <v>3003</v>
      </c>
      <c r="Y5401" s="1" t="s">
        <v>24</v>
      </c>
      <c r="Z5401" s="1" t="s">
        <v>24</v>
      </c>
      <c r="AA5401" s="1" t="s">
        <v>24</v>
      </c>
      <c r="AB5401" s="1" t="s">
        <v>24</v>
      </c>
      <c r="AC5401" s="1" t="s">
        <v>24</v>
      </c>
      <c r="AD5401" s="1" t="s">
        <v>24</v>
      </c>
      <c r="AE5401" s="1" t="s">
        <v>24</v>
      </c>
      <c r="AF5401" s="22"/>
    </row>
    <row r="5402" spans="1:32" x14ac:dyDescent="0.2">
      <c r="A5402" s="1">
        <v>51017</v>
      </c>
      <c r="B5402" s="1" t="s">
        <v>16192</v>
      </c>
      <c r="C5402" s="5" t="s">
        <v>0</v>
      </c>
      <c r="D5402" s="1" t="s">
        <v>16193</v>
      </c>
      <c r="E5402" s="1" t="s">
        <v>16194</v>
      </c>
      <c r="F5402" s="1" t="s">
        <v>16195</v>
      </c>
      <c r="G5402" s="1" t="s">
        <v>16195</v>
      </c>
      <c r="H5402" s="1" t="s">
        <v>899</v>
      </c>
      <c r="I5402" s="1" t="s">
        <v>16</v>
      </c>
      <c r="J5402" s="1">
        <v>1</v>
      </c>
      <c r="K5402" s="1">
        <v>12</v>
      </c>
      <c r="L5402" s="1" t="s">
        <v>42</v>
      </c>
      <c r="M5402" s="1" t="s">
        <v>18</v>
      </c>
      <c r="N5402" s="1" t="s">
        <v>18</v>
      </c>
      <c r="O5402" s="1">
        <v>3</v>
      </c>
      <c r="P5402" s="1">
        <v>6</v>
      </c>
      <c r="R5402" s="1" t="s">
        <v>19</v>
      </c>
      <c r="S5402" s="1" t="s">
        <v>20</v>
      </c>
      <c r="T5402" s="1" t="s">
        <v>21</v>
      </c>
      <c r="V5402" s="1" t="s">
        <v>24</v>
      </c>
      <c r="W5402" s="1" t="s">
        <v>24</v>
      </c>
      <c r="X5402" s="1">
        <v>3003</v>
      </c>
      <c r="Y5402" s="1">
        <v>3002</v>
      </c>
      <c r="Z5402" s="1" t="s">
        <v>24</v>
      </c>
      <c r="AA5402" s="1" t="s">
        <v>24</v>
      </c>
      <c r="AB5402" s="1" t="s">
        <v>24</v>
      </c>
      <c r="AC5402" s="1" t="s">
        <v>24</v>
      </c>
      <c r="AD5402" s="1" t="s">
        <v>24</v>
      </c>
      <c r="AE5402" s="1" t="s">
        <v>24</v>
      </c>
      <c r="AF5402" s="22"/>
    </row>
    <row r="5403" spans="1:32" x14ac:dyDescent="0.2">
      <c r="A5403" s="1">
        <v>51018</v>
      </c>
      <c r="B5403" s="1" t="s">
        <v>16196</v>
      </c>
      <c r="C5403" s="5" t="s">
        <v>0</v>
      </c>
      <c r="D5403" s="1" t="s">
        <v>16197</v>
      </c>
      <c r="E5403" s="1" t="s">
        <v>16198</v>
      </c>
      <c r="F5403" s="1" t="s">
        <v>16196</v>
      </c>
      <c r="G5403" s="1" t="s">
        <v>16196</v>
      </c>
      <c r="H5403" s="1" t="s">
        <v>899</v>
      </c>
      <c r="I5403" s="1" t="s">
        <v>16</v>
      </c>
      <c r="J5403" s="1">
        <v>1</v>
      </c>
      <c r="K5403" s="1">
        <v>6</v>
      </c>
      <c r="L5403" s="1" t="s">
        <v>42</v>
      </c>
      <c r="M5403" s="1" t="s">
        <v>18</v>
      </c>
      <c r="N5403" s="1" t="s">
        <v>18</v>
      </c>
      <c r="O5403" s="1">
        <v>2</v>
      </c>
      <c r="P5403" s="1">
        <v>6</v>
      </c>
      <c r="R5403" s="1" t="s">
        <v>19</v>
      </c>
      <c r="S5403" s="1" t="s">
        <v>20</v>
      </c>
      <c r="T5403" s="1" t="s">
        <v>21</v>
      </c>
      <c r="V5403" s="1" t="s">
        <v>24</v>
      </c>
      <c r="W5403" s="1" t="s">
        <v>24</v>
      </c>
      <c r="X5403" s="1">
        <v>3002</v>
      </c>
      <c r="Y5403" s="1">
        <v>3003</v>
      </c>
      <c r="Z5403" s="1" t="s">
        <v>24</v>
      </c>
      <c r="AA5403" s="1" t="s">
        <v>24</v>
      </c>
      <c r="AB5403" s="1" t="s">
        <v>24</v>
      </c>
      <c r="AC5403" s="1" t="s">
        <v>24</v>
      </c>
      <c r="AD5403" s="1" t="s">
        <v>24</v>
      </c>
      <c r="AE5403" s="1" t="s">
        <v>24</v>
      </c>
      <c r="AF5403" s="22"/>
    </row>
    <row r="5404" spans="1:32" x14ac:dyDescent="0.2">
      <c r="A5404" s="1">
        <v>51019</v>
      </c>
      <c r="B5404" s="1" t="s">
        <v>16199</v>
      </c>
      <c r="C5404" s="5" t="s">
        <v>0</v>
      </c>
      <c r="D5404" s="1" t="s">
        <v>16200</v>
      </c>
      <c r="E5404" s="1" t="s">
        <v>16201</v>
      </c>
      <c r="F5404" s="1" t="s">
        <v>16202</v>
      </c>
      <c r="G5404" s="1" t="s">
        <v>16202</v>
      </c>
      <c r="H5404" s="1" t="s">
        <v>1957</v>
      </c>
      <c r="I5404" s="1" t="s">
        <v>16</v>
      </c>
      <c r="J5404" s="1">
        <v>1</v>
      </c>
      <c r="K5404" s="1">
        <v>2</v>
      </c>
      <c r="L5404" s="1" t="s">
        <v>42</v>
      </c>
      <c r="M5404" s="1" t="s">
        <v>18</v>
      </c>
      <c r="N5404" s="1" t="s">
        <v>18</v>
      </c>
      <c r="O5404" s="1">
        <v>2</v>
      </c>
      <c r="P5404" s="1">
        <v>6</v>
      </c>
      <c r="R5404" s="1" t="s">
        <v>19</v>
      </c>
      <c r="S5404" s="1" t="s">
        <v>20</v>
      </c>
      <c r="T5404" s="1" t="s">
        <v>21</v>
      </c>
      <c r="V5404" s="1" t="s">
        <v>24</v>
      </c>
      <c r="W5404" s="1" t="s">
        <v>24</v>
      </c>
      <c r="X5404" s="1">
        <v>1502</v>
      </c>
      <c r="Y5404" s="1">
        <v>2204</v>
      </c>
      <c r="Z5404" s="1">
        <v>2701</v>
      </c>
      <c r="AA5404" s="1">
        <v>3003</v>
      </c>
      <c r="AB5404" s="1" t="s">
        <v>24</v>
      </c>
      <c r="AC5404" s="1" t="s">
        <v>24</v>
      </c>
      <c r="AD5404" s="1" t="s">
        <v>24</v>
      </c>
      <c r="AE5404" s="1" t="s">
        <v>24</v>
      </c>
      <c r="AF5404" s="22"/>
    </row>
    <row r="5405" spans="1:32" x14ac:dyDescent="0.2">
      <c r="A5405" s="1">
        <v>51020</v>
      </c>
      <c r="B5405" s="1" t="s">
        <v>16203</v>
      </c>
      <c r="C5405" s="5" t="s">
        <v>0</v>
      </c>
      <c r="E5405" s="1" t="s">
        <v>16204</v>
      </c>
      <c r="F5405" s="1" t="s">
        <v>16205</v>
      </c>
      <c r="G5405" s="1" t="s">
        <v>16205</v>
      </c>
      <c r="H5405" s="1" t="s">
        <v>10527</v>
      </c>
      <c r="I5405" s="1" t="s">
        <v>16</v>
      </c>
      <c r="J5405" s="1">
        <v>1</v>
      </c>
      <c r="K5405" s="1">
        <v>4</v>
      </c>
      <c r="L5405" s="1" t="s">
        <v>42</v>
      </c>
      <c r="M5405" s="1" t="s">
        <v>18</v>
      </c>
      <c r="N5405" s="1" t="s">
        <v>18</v>
      </c>
      <c r="O5405" s="1">
        <v>3</v>
      </c>
      <c r="P5405" s="1">
        <v>6</v>
      </c>
      <c r="R5405" s="1" t="s">
        <v>19</v>
      </c>
      <c r="S5405" s="1" t="s">
        <v>20</v>
      </c>
      <c r="T5405" s="1" t="s">
        <v>21</v>
      </c>
      <c r="V5405" s="1" t="s">
        <v>23</v>
      </c>
      <c r="W5405" s="1" t="s">
        <v>24</v>
      </c>
      <c r="X5405" s="1">
        <v>2713</v>
      </c>
      <c r="Y5405" s="1" t="s">
        <v>24</v>
      </c>
      <c r="Z5405" s="1" t="s">
        <v>24</v>
      </c>
      <c r="AA5405" s="1" t="s">
        <v>24</v>
      </c>
      <c r="AB5405" s="1" t="s">
        <v>24</v>
      </c>
      <c r="AC5405" s="1" t="s">
        <v>24</v>
      </c>
      <c r="AD5405" s="1" t="s">
        <v>24</v>
      </c>
      <c r="AE5405" s="1" t="s">
        <v>24</v>
      </c>
      <c r="AF5405" s="22"/>
    </row>
    <row r="5406" spans="1:32" x14ac:dyDescent="0.2">
      <c r="A5406" s="1">
        <v>51021</v>
      </c>
      <c r="B5406" s="1" t="s">
        <v>16206</v>
      </c>
      <c r="C5406" s="5" t="s">
        <v>0</v>
      </c>
      <c r="D5406" s="1" t="s">
        <v>16207</v>
      </c>
      <c r="F5406" s="1" t="s">
        <v>16208</v>
      </c>
      <c r="G5406" s="1" t="s">
        <v>16208</v>
      </c>
      <c r="H5406" s="1" t="s">
        <v>30</v>
      </c>
      <c r="I5406" s="1" t="s">
        <v>16</v>
      </c>
      <c r="J5406" s="1">
        <v>1</v>
      </c>
      <c r="K5406" s="1">
        <v>4</v>
      </c>
      <c r="L5406" s="1" t="s">
        <v>42</v>
      </c>
      <c r="M5406" s="1" t="s">
        <v>18</v>
      </c>
      <c r="N5406" s="1" t="s">
        <v>18</v>
      </c>
      <c r="O5406" s="1">
        <v>1</v>
      </c>
      <c r="P5406" s="1">
        <v>6</v>
      </c>
      <c r="R5406" s="1" t="s">
        <v>19</v>
      </c>
      <c r="S5406" s="1" t="s">
        <v>20</v>
      </c>
      <c r="T5406" s="1" t="s">
        <v>21</v>
      </c>
      <c r="U5406" s="1" t="s">
        <v>22</v>
      </c>
      <c r="V5406" s="1" t="s">
        <v>23</v>
      </c>
      <c r="W5406" s="1" t="s">
        <v>24</v>
      </c>
      <c r="X5406" s="1">
        <v>2719</v>
      </c>
      <c r="Y5406" s="1" t="s">
        <v>24</v>
      </c>
      <c r="Z5406" s="1" t="s">
        <v>24</v>
      </c>
      <c r="AA5406" s="1" t="s">
        <v>24</v>
      </c>
      <c r="AB5406" s="1" t="s">
        <v>24</v>
      </c>
      <c r="AC5406" s="1" t="s">
        <v>24</v>
      </c>
      <c r="AD5406" s="1" t="s">
        <v>24</v>
      </c>
      <c r="AE5406" s="1" t="s">
        <v>24</v>
      </c>
      <c r="AF5406" s="22"/>
    </row>
    <row r="5407" spans="1:32" x14ac:dyDescent="0.2">
      <c r="A5407" s="1">
        <v>51022</v>
      </c>
      <c r="B5407" s="1" t="s">
        <v>16209</v>
      </c>
      <c r="C5407" s="5" t="s">
        <v>0</v>
      </c>
      <c r="D5407" s="1" t="s">
        <v>16210</v>
      </c>
      <c r="E5407" s="1" t="s">
        <v>16211</v>
      </c>
      <c r="F5407" s="1" t="s">
        <v>16212</v>
      </c>
      <c r="G5407" s="1" t="s">
        <v>16212</v>
      </c>
      <c r="H5407" s="1" t="s">
        <v>6895</v>
      </c>
      <c r="I5407" s="1" t="s">
        <v>16</v>
      </c>
      <c r="J5407" s="1">
        <v>1</v>
      </c>
      <c r="K5407" s="1">
        <v>4</v>
      </c>
      <c r="L5407" s="1" t="s">
        <v>42</v>
      </c>
      <c r="M5407" s="1" t="s">
        <v>18</v>
      </c>
      <c r="N5407" s="1" t="s">
        <v>18</v>
      </c>
      <c r="O5407" s="1">
        <v>2</v>
      </c>
      <c r="P5407" s="1">
        <v>6</v>
      </c>
      <c r="R5407" s="1" t="s">
        <v>19</v>
      </c>
      <c r="S5407" s="1" t="s">
        <v>20</v>
      </c>
      <c r="T5407" s="1" t="s">
        <v>21</v>
      </c>
      <c r="V5407" s="1" t="s">
        <v>23</v>
      </c>
      <c r="W5407" s="1" t="s">
        <v>24</v>
      </c>
      <c r="X5407" s="1">
        <v>2730</v>
      </c>
      <c r="Y5407" s="1">
        <v>2715</v>
      </c>
      <c r="Z5407" s="1" t="s">
        <v>24</v>
      </c>
      <c r="AA5407" s="1" t="s">
        <v>24</v>
      </c>
      <c r="AB5407" s="1" t="s">
        <v>24</v>
      </c>
      <c r="AC5407" s="1" t="s">
        <v>24</v>
      </c>
      <c r="AD5407" s="1" t="s">
        <v>24</v>
      </c>
      <c r="AE5407" s="1" t="s">
        <v>24</v>
      </c>
      <c r="AF5407" s="22"/>
    </row>
    <row r="5408" spans="1:32" x14ac:dyDescent="0.2">
      <c r="A5408" s="1">
        <v>51023</v>
      </c>
      <c r="B5408" s="1" t="s">
        <v>16213</v>
      </c>
      <c r="C5408" s="5" t="s">
        <v>0</v>
      </c>
      <c r="E5408" s="1" t="s">
        <v>16214</v>
      </c>
      <c r="F5408" s="1" t="s">
        <v>15915</v>
      </c>
      <c r="G5408" s="1" t="s">
        <v>15915</v>
      </c>
      <c r="H5408" s="1" t="s">
        <v>30</v>
      </c>
      <c r="I5408" s="1" t="s">
        <v>16</v>
      </c>
      <c r="J5408" s="1">
        <v>1</v>
      </c>
      <c r="K5408" s="1">
        <v>1</v>
      </c>
      <c r="L5408" s="1" t="s">
        <v>42</v>
      </c>
      <c r="M5408" s="1" t="s">
        <v>18</v>
      </c>
      <c r="N5408" s="1" t="s">
        <v>18</v>
      </c>
      <c r="O5408" s="1">
        <v>3</v>
      </c>
      <c r="P5408" s="1">
        <v>6</v>
      </c>
      <c r="R5408" s="1" t="s">
        <v>19</v>
      </c>
      <c r="S5408" s="1" t="s">
        <v>20</v>
      </c>
      <c r="T5408" s="1" t="s">
        <v>21</v>
      </c>
      <c r="V5408" s="1" t="s">
        <v>23</v>
      </c>
      <c r="W5408" s="1" t="s">
        <v>24</v>
      </c>
      <c r="X5408" s="1">
        <v>2705</v>
      </c>
      <c r="Y5408" s="1" t="s">
        <v>24</v>
      </c>
      <c r="Z5408" s="1" t="s">
        <v>24</v>
      </c>
      <c r="AA5408" s="1" t="s">
        <v>24</v>
      </c>
      <c r="AB5408" s="1" t="s">
        <v>24</v>
      </c>
      <c r="AC5408" s="1" t="s">
        <v>24</v>
      </c>
      <c r="AD5408" s="1" t="s">
        <v>24</v>
      </c>
      <c r="AE5408" s="1" t="s">
        <v>24</v>
      </c>
      <c r="AF5408" s="22"/>
    </row>
    <row r="5409" spans="1:32" x14ac:dyDescent="0.2">
      <c r="A5409" s="1">
        <v>51024</v>
      </c>
      <c r="B5409" s="1" t="s">
        <v>16215</v>
      </c>
      <c r="C5409" s="5" t="s">
        <v>0</v>
      </c>
      <c r="E5409" s="1" t="s">
        <v>16216</v>
      </c>
      <c r="F5409" s="1" t="s">
        <v>15915</v>
      </c>
      <c r="G5409" s="1" t="s">
        <v>15915</v>
      </c>
      <c r="H5409" s="1" t="s">
        <v>30</v>
      </c>
      <c r="I5409" s="1" t="s">
        <v>16</v>
      </c>
      <c r="J5409" s="1">
        <v>1</v>
      </c>
      <c r="K5409" s="1">
        <v>1</v>
      </c>
      <c r="L5409" s="1" t="s">
        <v>42</v>
      </c>
      <c r="M5409" s="1" t="s">
        <v>18</v>
      </c>
      <c r="N5409" s="1" t="s">
        <v>18</v>
      </c>
      <c r="O5409" s="1">
        <v>2</v>
      </c>
      <c r="P5409" s="1">
        <v>6</v>
      </c>
      <c r="R5409" s="1" t="s">
        <v>19</v>
      </c>
      <c r="S5409" s="1" t="s">
        <v>20</v>
      </c>
      <c r="T5409" s="1" t="s">
        <v>21</v>
      </c>
      <c r="V5409" s="1" t="s">
        <v>23</v>
      </c>
      <c r="W5409" s="1" t="s">
        <v>24</v>
      </c>
      <c r="X5409" s="1">
        <v>3000</v>
      </c>
      <c r="Y5409" s="1">
        <v>2736</v>
      </c>
      <c r="Z5409" s="1" t="s">
        <v>24</v>
      </c>
      <c r="AA5409" s="1" t="s">
        <v>24</v>
      </c>
      <c r="AB5409" s="1" t="s">
        <v>24</v>
      </c>
      <c r="AC5409" s="1" t="s">
        <v>24</v>
      </c>
      <c r="AD5409" s="1" t="s">
        <v>24</v>
      </c>
      <c r="AE5409" s="1" t="s">
        <v>24</v>
      </c>
      <c r="AF5409" s="22"/>
    </row>
    <row r="5410" spans="1:32" x14ac:dyDescent="0.2">
      <c r="A5410" s="1">
        <v>51025</v>
      </c>
      <c r="B5410" s="1" t="s">
        <v>16217</v>
      </c>
      <c r="C5410" s="5" t="s">
        <v>0</v>
      </c>
      <c r="D5410" s="1" t="s">
        <v>16218</v>
      </c>
      <c r="F5410" s="1" t="s">
        <v>16219</v>
      </c>
      <c r="G5410" s="1" t="s">
        <v>16219</v>
      </c>
      <c r="H5410" s="1" t="s">
        <v>1007</v>
      </c>
      <c r="I5410" s="1" t="s">
        <v>16</v>
      </c>
      <c r="J5410" s="1">
        <v>1</v>
      </c>
      <c r="K5410" s="1">
        <v>4</v>
      </c>
      <c r="L5410" s="1" t="s">
        <v>42</v>
      </c>
      <c r="M5410" s="1" t="s">
        <v>18</v>
      </c>
      <c r="N5410" s="1" t="s">
        <v>18</v>
      </c>
      <c r="O5410" s="1">
        <v>3</v>
      </c>
      <c r="P5410" s="1">
        <v>6</v>
      </c>
      <c r="R5410" s="1" t="s">
        <v>19</v>
      </c>
      <c r="S5410" s="1" t="s">
        <v>20</v>
      </c>
      <c r="T5410" s="1" t="s">
        <v>21</v>
      </c>
      <c r="V5410" s="1" t="s">
        <v>23</v>
      </c>
      <c r="W5410" s="1" t="s">
        <v>24</v>
      </c>
      <c r="X5410" s="1">
        <v>2711</v>
      </c>
      <c r="Y5410" s="1" t="s">
        <v>24</v>
      </c>
      <c r="Z5410" s="1" t="s">
        <v>24</v>
      </c>
      <c r="AA5410" s="1" t="s">
        <v>24</v>
      </c>
      <c r="AB5410" s="1" t="s">
        <v>24</v>
      </c>
      <c r="AC5410" s="1" t="s">
        <v>24</v>
      </c>
      <c r="AD5410" s="1" t="s">
        <v>24</v>
      </c>
      <c r="AE5410" s="1" t="s">
        <v>24</v>
      </c>
      <c r="AF5410" s="22"/>
    </row>
    <row r="5411" spans="1:32" x14ac:dyDescent="0.2">
      <c r="A5411" s="1">
        <v>51026</v>
      </c>
      <c r="B5411" s="1" t="s">
        <v>16220</v>
      </c>
      <c r="C5411" s="5" t="s">
        <v>0</v>
      </c>
      <c r="D5411" s="1" t="s">
        <v>16221</v>
      </c>
      <c r="E5411" s="1" t="s">
        <v>16222</v>
      </c>
      <c r="F5411" s="1" t="s">
        <v>16223</v>
      </c>
      <c r="G5411" s="1" t="s">
        <v>16223</v>
      </c>
      <c r="H5411" s="1" t="s">
        <v>4064</v>
      </c>
      <c r="I5411" s="1" t="s">
        <v>16</v>
      </c>
      <c r="J5411" s="1">
        <v>1</v>
      </c>
      <c r="K5411" s="1">
        <v>6</v>
      </c>
      <c r="L5411" s="1" t="s">
        <v>42</v>
      </c>
      <c r="M5411" s="1" t="s">
        <v>4065</v>
      </c>
      <c r="N5411" s="1" t="s">
        <v>9604</v>
      </c>
      <c r="O5411" s="1">
        <v>2</v>
      </c>
      <c r="P5411" s="1">
        <v>5</v>
      </c>
      <c r="R5411" s="1" t="s">
        <v>19</v>
      </c>
      <c r="S5411" s="1" t="s">
        <v>20</v>
      </c>
      <c r="T5411" s="1" t="s">
        <v>21</v>
      </c>
      <c r="V5411" s="1" t="s">
        <v>24</v>
      </c>
      <c r="W5411" s="1" t="s">
        <v>24</v>
      </c>
      <c r="X5411" s="1">
        <v>2705</v>
      </c>
      <c r="Y5411" s="1">
        <v>2736</v>
      </c>
      <c r="Z5411" s="1" t="s">
        <v>24</v>
      </c>
      <c r="AA5411" s="1" t="s">
        <v>24</v>
      </c>
      <c r="AB5411" s="1" t="s">
        <v>24</v>
      </c>
      <c r="AC5411" s="1" t="s">
        <v>24</v>
      </c>
      <c r="AD5411" s="1" t="s">
        <v>24</v>
      </c>
      <c r="AE5411" s="1" t="s">
        <v>24</v>
      </c>
      <c r="AF5411" s="22"/>
    </row>
    <row r="5412" spans="1:32" x14ac:dyDescent="0.2">
      <c r="A5412" s="1">
        <v>51027</v>
      </c>
      <c r="B5412" s="1" t="s">
        <v>16224</v>
      </c>
      <c r="C5412" s="5" t="s">
        <v>0</v>
      </c>
      <c r="D5412" s="1" t="s">
        <v>16225</v>
      </c>
      <c r="E5412" s="1" t="s">
        <v>16226</v>
      </c>
      <c r="F5412" s="1" t="s">
        <v>13621</v>
      </c>
      <c r="G5412" s="1" t="s">
        <v>13622</v>
      </c>
      <c r="H5412" s="1" t="s">
        <v>1957</v>
      </c>
      <c r="I5412" s="1" t="s">
        <v>16</v>
      </c>
      <c r="J5412" s="1">
        <v>1</v>
      </c>
      <c r="K5412" s="1">
        <v>4</v>
      </c>
      <c r="L5412" s="1" t="s">
        <v>42</v>
      </c>
      <c r="M5412" s="1" t="s">
        <v>18</v>
      </c>
      <c r="N5412" s="1" t="s">
        <v>18</v>
      </c>
      <c r="O5412" s="1">
        <v>3</v>
      </c>
      <c r="P5412" s="1">
        <v>6</v>
      </c>
      <c r="R5412" s="1" t="s">
        <v>19</v>
      </c>
      <c r="S5412" s="1" t="s">
        <v>20</v>
      </c>
      <c r="T5412" s="1" t="s">
        <v>21</v>
      </c>
      <c r="V5412" s="1" t="s">
        <v>23</v>
      </c>
      <c r="W5412" s="1" t="s">
        <v>24</v>
      </c>
      <c r="X5412" s="1">
        <v>2705</v>
      </c>
      <c r="Y5412" s="1" t="s">
        <v>24</v>
      </c>
      <c r="Z5412" s="1" t="s">
        <v>24</v>
      </c>
      <c r="AA5412" s="1" t="s">
        <v>24</v>
      </c>
      <c r="AB5412" s="1" t="s">
        <v>24</v>
      </c>
      <c r="AC5412" s="1" t="s">
        <v>24</v>
      </c>
      <c r="AD5412" s="1" t="s">
        <v>24</v>
      </c>
      <c r="AE5412" s="1" t="s">
        <v>24</v>
      </c>
      <c r="AF5412" s="22"/>
    </row>
    <row r="5413" spans="1:32" x14ac:dyDescent="0.2">
      <c r="A5413" s="1">
        <v>51098</v>
      </c>
      <c r="B5413" s="1" t="s">
        <v>16227</v>
      </c>
      <c r="C5413" s="5" t="s">
        <v>0</v>
      </c>
      <c r="D5413" s="1" t="s">
        <v>16228</v>
      </c>
      <c r="E5413" s="1" t="s">
        <v>16229</v>
      </c>
      <c r="F5413" s="1" t="s">
        <v>16212</v>
      </c>
      <c r="G5413" s="1" t="s">
        <v>16212</v>
      </c>
      <c r="H5413" s="1" t="s">
        <v>6895</v>
      </c>
      <c r="I5413" s="1" t="s">
        <v>16</v>
      </c>
      <c r="J5413" s="1">
        <v>1</v>
      </c>
      <c r="K5413" s="1">
        <v>4</v>
      </c>
      <c r="L5413" s="1" t="s">
        <v>42</v>
      </c>
      <c r="M5413" s="1" t="s">
        <v>18</v>
      </c>
      <c r="N5413" s="1" t="s">
        <v>18</v>
      </c>
      <c r="O5413" s="1">
        <v>3</v>
      </c>
      <c r="P5413" s="1">
        <v>6</v>
      </c>
      <c r="R5413" s="1" t="s">
        <v>19</v>
      </c>
      <c r="S5413" s="1" t="s">
        <v>20</v>
      </c>
      <c r="T5413" s="1" t="s">
        <v>21</v>
      </c>
      <c r="U5413" s="1" t="s">
        <v>22</v>
      </c>
      <c r="V5413" s="1" t="s">
        <v>23</v>
      </c>
      <c r="W5413" s="1" t="s">
        <v>24</v>
      </c>
      <c r="X5413" s="1">
        <v>2740</v>
      </c>
      <c r="Y5413" s="1" t="s">
        <v>24</v>
      </c>
      <c r="Z5413" s="1" t="s">
        <v>24</v>
      </c>
      <c r="AA5413" s="1" t="s">
        <v>24</v>
      </c>
      <c r="AB5413" s="1" t="s">
        <v>24</v>
      </c>
      <c r="AC5413" s="1" t="s">
        <v>24</v>
      </c>
      <c r="AD5413" s="1" t="s">
        <v>24</v>
      </c>
      <c r="AE5413" s="1" t="s">
        <v>24</v>
      </c>
      <c r="AF5413" s="22"/>
    </row>
    <row r="5414" spans="1:32" x14ac:dyDescent="0.2">
      <c r="A5414" s="1">
        <v>51104</v>
      </c>
      <c r="B5414" s="1" t="s">
        <v>16230</v>
      </c>
      <c r="C5414" s="5" t="s">
        <v>0</v>
      </c>
      <c r="D5414" s="1" t="s">
        <v>16231</v>
      </c>
      <c r="E5414" s="1" t="s">
        <v>16232</v>
      </c>
      <c r="F5414" s="1" t="s">
        <v>16233</v>
      </c>
      <c r="G5414" s="1" t="s">
        <v>16233</v>
      </c>
      <c r="H5414" s="1" t="s">
        <v>1957</v>
      </c>
      <c r="I5414" s="1" t="s">
        <v>16</v>
      </c>
      <c r="J5414" s="1">
        <v>1</v>
      </c>
      <c r="K5414" s="1">
        <v>4</v>
      </c>
      <c r="L5414" s="1" t="s">
        <v>42</v>
      </c>
      <c r="M5414" s="1" t="s">
        <v>18</v>
      </c>
      <c r="N5414" s="1" t="s">
        <v>18</v>
      </c>
      <c r="O5414" s="1">
        <v>3</v>
      </c>
      <c r="P5414" s="1">
        <v>5</v>
      </c>
      <c r="R5414" s="1" t="s">
        <v>19</v>
      </c>
      <c r="S5414" s="1" t="s">
        <v>20</v>
      </c>
      <c r="T5414" s="1" t="s">
        <v>21</v>
      </c>
      <c r="U5414" s="1" t="s">
        <v>22</v>
      </c>
      <c r="V5414" s="1" t="s">
        <v>23</v>
      </c>
      <c r="W5414" s="1" t="s">
        <v>24</v>
      </c>
      <c r="X5414" s="1">
        <v>2747</v>
      </c>
      <c r="Y5414" s="1" t="s">
        <v>24</v>
      </c>
      <c r="Z5414" s="1" t="s">
        <v>24</v>
      </c>
      <c r="AA5414" s="1" t="s">
        <v>24</v>
      </c>
      <c r="AB5414" s="1" t="s">
        <v>24</v>
      </c>
      <c r="AC5414" s="1" t="s">
        <v>24</v>
      </c>
      <c r="AD5414" s="1" t="s">
        <v>24</v>
      </c>
      <c r="AE5414" s="1" t="s">
        <v>24</v>
      </c>
      <c r="AF5414" s="22"/>
    </row>
    <row r="5415" spans="1:32" x14ac:dyDescent="0.2">
      <c r="A5415" s="1">
        <v>51115</v>
      </c>
      <c r="B5415" s="1" t="s">
        <v>16234</v>
      </c>
      <c r="C5415" s="5" t="s">
        <v>0</v>
      </c>
      <c r="D5415" s="1" t="s">
        <v>16235</v>
      </c>
      <c r="E5415" s="1" t="s">
        <v>16236</v>
      </c>
      <c r="F5415" s="1" t="s">
        <v>6914</v>
      </c>
      <c r="G5415" s="1" t="s">
        <v>6915</v>
      </c>
      <c r="H5415" s="1" t="s">
        <v>37</v>
      </c>
      <c r="I5415" s="1" t="s">
        <v>112</v>
      </c>
      <c r="J5415" s="1">
        <v>0</v>
      </c>
      <c r="K5415" s="1">
        <v>0</v>
      </c>
      <c r="L5415" s="1" t="s">
        <v>31</v>
      </c>
      <c r="M5415" s="1" t="s">
        <v>18</v>
      </c>
      <c r="N5415" s="1" t="s">
        <v>18</v>
      </c>
      <c r="O5415" s="1">
        <v>3</v>
      </c>
      <c r="P5415" s="1">
        <v>7</v>
      </c>
      <c r="Q5415" s="7" t="s">
        <v>17633</v>
      </c>
      <c r="R5415" s="1" t="s">
        <v>19</v>
      </c>
      <c r="S5415" s="1" t="s">
        <v>20</v>
      </c>
      <c r="T5415" s="1" t="s">
        <v>21</v>
      </c>
      <c r="U5415" s="1" t="s">
        <v>22</v>
      </c>
      <c r="V5415" s="1" t="s">
        <v>24</v>
      </c>
      <c r="W5415" s="1" t="s">
        <v>24</v>
      </c>
      <c r="X5415" s="1">
        <v>1303</v>
      </c>
      <c r="Y5415" s="1">
        <v>1312</v>
      </c>
      <c r="Z5415" s="1">
        <v>1600</v>
      </c>
      <c r="AA5415" s="1" t="s">
        <v>24</v>
      </c>
      <c r="AB5415" s="1" t="s">
        <v>24</v>
      </c>
      <c r="AC5415" s="1" t="s">
        <v>24</v>
      </c>
      <c r="AD5415" s="1" t="s">
        <v>24</v>
      </c>
      <c r="AE5415" s="1" t="s">
        <v>24</v>
      </c>
      <c r="AF5415" s="22"/>
    </row>
    <row r="5416" spans="1:32" x14ac:dyDescent="0.2">
      <c r="A5416" s="1">
        <v>51170</v>
      </c>
      <c r="B5416" s="1" t="s">
        <v>16237</v>
      </c>
      <c r="C5416" s="5" t="s">
        <v>0</v>
      </c>
      <c r="D5416" s="1" t="s">
        <v>16238</v>
      </c>
      <c r="E5416" s="1" t="s">
        <v>16239</v>
      </c>
      <c r="F5416" s="1" t="s">
        <v>55</v>
      </c>
      <c r="G5416" s="1" t="s">
        <v>56</v>
      </c>
      <c r="H5416" s="1" t="s">
        <v>37</v>
      </c>
      <c r="I5416" s="1" t="s">
        <v>16</v>
      </c>
      <c r="J5416" s="1">
        <v>1</v>
      </c>
      <c r="K5416" s="1">
        <v>6</v>
      </c>
      <c r="L5416" s="1" t="s">
        <v>31</v>
      </c>
      <c r="M5416" s="1" t="s">
        <v>18</v>
      </c>
      <c r="N5416" s="1" t="s">
        <v>18</v>
      </c>
      <c r="O5416" s="1">
        <v>3</v>
      </c>
      <c r="P5416" s="1">
        <v>7</v>
      </c>
      <c r="Q5416" s="7" t="s">
        <v>17633</v>
      </c>
      <c r="R5416" s="1" t="s">
        <v>19</v>
      </c>
      <c r="S5416" s="1" t="s">
        <v>20</v>
      </c>
      <c r="T5416" s="1" t="s">
        <v>21</v>
      </c>
      <c r="U5416" s="1" t="s">
        <v>22</v>
      </c>
      <c r="V5416" s="1" t="s">
        <v>24</v>
      </c>
      <c r="W5416" s="1" t="s">
        <v>24</v>
      </c>
      <c r="X5416" s="1">
        <v>2727</v>
      </c>
      <c r="Y5416" s="1">
        <v>2747</v>
      </c>
      <c r="Z5416" s="1" t="s">
        <v>24</v>
      </c>
      <c r="AA5416" s="1" t="s">
        <v>24</v>
      </c>
      <c r="AB5416" s="1" t="s">
        <v>24</v>
      </c>
      <c r="AC5416" s="1" t="s">
        <v>24</v>
      </c>
      <c r="AD5416" s="1" t="s">
        <v>24</v>
      </c>
      <c r="AE5416" s="1" t="s">
        <v>24</v>
      </c>
      <c r="AF5416" s="22"/>
    </row>
    <row r="5417" spans="1:32" x14ac:dyDescent="0.2">
      <c r="A5417" s="1">
        <v>51172</v>
      </c>
      <c r="B5417" s="1" t="s">
        <v>16240</v>
      </c>
      <c r="C5417" s="5" t="s">
        <v>0</v>
      </c>
      <c r="D5417" s="1" t="s">
        <v>16241</v>
      </c>
      <c r="E5417" s="1" t="s">
        <v>16242</v>
      </c>
      <c r="F5417" s="1" t="s">
        <v>751</v>
      </c>
      <c r="G5417" s="1" t="s">
        <v>36</v>
      </c>
      <c r="H5417" s="1" t="s">
        <v>37</v>
      </c>
      <c r="I5417" s="1" t="s">
        <v>16</v>
      </c>
      <c r="J5417" s="1">
        <v>1</v>
      </c>
      <c r="K5417" s="1">
        <v>6</v>
      </c>
      <c r="L5417" s="1" t="s">
        <v>31</v>
      </c>
      <c r="M5417" s="1" t="s">
        <v>18</v>
      </c>
      <c r="N5417" s="1" t="s">
        <v>18</v>
      </c>
      <c r="O5417" s="1">
        <v>3</v>
      </c>
      <c r="P5417" s="1">
        <v>7</v>
      </c>
      <c r="Q5417" s="7" t="s">
        <v>17633</v>
      </c>
      <c r="R5417" s="1" t="s">
        <v>19</v>
      </c>
      <c r="S5417" s="1" t="s">
        <v>20</v>
      </c>
      <c r="T5417" s="1" t="s">
        <v>21</v>
      </c>
      <c r="U5417" s="1" t="s">
        <v>22</v>
      </c>
      <c r="V5417" s="1" t="s">
        <v>23</v>
      </c>
      <c r="W5417" s="1" t="s">
        <v>24</v>
      </c>
      <c r="X5417" s="1">
        <v>2719</v>
      </c>
      <c r="Y5417" s="1">
        <v>2735</v>
      </c>
      <c r="Z5417" s="1">
        <v>2739</v>
      </c>
      <c r="AA5417" s="1">
        <v>2916</v>
      </c>
      <c r="AB5417" s="1" t="s">
        <v>24</v>
      </c>
      <c r="AC5417" s="1" t="s">
        <v>24</v>
      </c>
      <c r="AD5417" s="1" t="s">
        <v>24</v>
      </c>
      <c r="AE5417" s="1" t="s">
        <v>24</v>
      </c>
      <c r="AF5417" s="22"/>
    </row>
    <row r="5418" spans="1:32" x14ac:dyDescent="0.2">
      <c r="A5418" s="1">
        <v>51176</v>
      </c>
      <c r="B5418" s="1" t="s">
        <v>16243</v>
      </c>
      <c r="C5418" s="5" t="s">
        <v>0</v>
      </c>
      <c r="E5418" s="1" t="s">
        <v>16244</v>
      </c>
      <c r="F5418" s="1" t="s">
        <v>1177</v>
      </c>
      <c r="G5418" s="1" t="s">
        <v>61</v>
      </c>
      <c r="H5418" s="1" t="s">
        <v>37</v>
      </c>
      <c r="I5418" s="1" t="s">
        <v>16</v>
      </c>
      <c r="J5418" s="1">
        <v>1</v>
      </c>
      <c r="K5418" s="1">
        <v>4</v>
      </c>
      <c r="L5418" s="1" t="s">
        <v>31</v>
      </c>
      <c r="M5418" s="1" t="s">
        <v>18</v>
      </c>
      <c r="N5418" s="1" t="s">
        <v>18</v>
      </c>
      <c r="O5418" s="1">
        <v>3</v>
      </c>
      <c r="P5418" s="1">
        <v>7</v>
      </c>
      <c r="Q5418" s="7" t="s">
        <v>17633</v>
      </c>
      <c r="R5418" s="1" t="s">
        <v>19</v>
      </c>
      <c r="S5418" s="1" t="s">
        <v>63</v>
      </c>
      <c r="T5418" s="1" t="s">
        <v>21</v>
      </c>
      <c r="U5418" s="1" t="s">
        <v>22</v>
      </c>
      <c r="V5418" s="1" t="s">
        <v>23</v>
      </c>
      <c r="W5418" s="1" t="s">
        <v>24</v>
      </c>
      <c r="X5418" s="1">
        <v>2740</v>
      </c>
      <c r="Y5418" s="1" t="s">
        <v>24</v>
      </c>
      <c r="Z5418" s="1" t="s">
        <v>24</v>
      </c>
      <c r="AA5418" s="1" t="s">
        <v>24</v>
      </c>
      <c r="AB5418" s="1" t="s">
        <v>24</v>
      </c>
      <c r="AC5418" s="1" t="s">
        <v>24</v>
      </c>
      <c r="AD5418" s="1" t="s">
        <v>24</v>
      </c>
      <c r="AE5418" s="1" t="s">
        <v>24</v>
      </c>
      <c r="AF5418" s="22"/>
    </row>
    <row r="5419" spans="1:32" x14ac:dyDescent="0.2">
      <c r="A5419" s="1">
        <v>51215</v>
      </c>
      <c r="B5419" s="1" t="s">
        <v>16245</v>
      </c>
      <c r="C5419" s="5" t="s">
        <v>0</v>
      </c>
      <c r="D5419" s="1" t="s">
        <v>16246</v>
      </c>
      <c r="F5419" s="1" t="s">
        <v>91</v>
      </c>
      <c r="G5419" s="1" t="s">
        <v>61</v>
      </c>
      <c r="H5419" s="1" t="s">
        <v>92</v>
      </c>
      <c r="I5419" s="1" t="s">
        <v>16</v>
      </c>
      <c r="J5419" s="1">
        <v>1</v>
      </c>
      <c r="K5419" s="1">
        <v>4</v>
      </c>
      <c r="L5419" s="1" t="s">
        <v>31</v>
      </c>
      <c r="M5419" s="1" t="s">
        <v>18</v>
      </c>
      <c r="N5419" s="1" t="s">
        <v>18</v>
      </c>
      <c r="O5419" s="1">
        <v>2</v>
      </c>
      <c r="P5419" s="1">
        <v>6</v>
      </c>
      <c r="R5419" s="1" t="s">
        <v>19</v>
      </c>
      <c r="S5419" s="1" t="s">
        <v>20</v>
      </c>
      <c r="T5419" s="1" t="s">
        <v>21</v>
      </c>
      <c r="U5419" s="1" t="s">
        <v>22</v>
      </c>
      <c r="V5419" s="1" t="s">
        <v>24</v>
      </c>
      <c r="W5419" s="1" t="s">
        <v>24</v>
      </c>
      <c r="X5419" s="1">
        <v>2740</v>
      </c>
      <c r="Y5419" s="1" t="s">
        <v>24</v>
      </c>
      <c r="Z5419" s="1" t="s">
        <v>24</v>
      </c>
      <c r="AA5419" s="1" t="s">
        <v>24</v>
      </c>
      <c r="AB5419" s="1" t="s">
        <v>24</v>
      </c>
      <c r="AC5419" s="1" t="s">
        <v>24</v>
      </c>
      <c r="AD5419" s="1" t="s">
        <v>24</v>
      </c>
      <c r="AE5419" s="1" t="s">
        <v>24</v>
      </c>
      <c r="AF5419" s="22" t="s">
        <v>17679</v>
      </c>
    </row>
    <row r="5420" spans="1:32" x14ac:dyDescent="0.2">
      <c r="A5420" s="1">
        <v>51228</v>
      </c>
      <c r="B5420" s="1" t="s">
        <v>16247</v>
      </c>
      <c r="C5420" s="5" t="s">
        <v>0</v>
      </c>
      <c r="D5420" s="1" t="s">
        <v>16248</v>
      </c>
      <c r="F5420" s="1" t="s">
        <v>55</v>
      </c>
      <c r="G5420" s="1" t="s">
        <v>56</v>
      </c>
      <c r="H5420" s="1" t="s">
        <v>37</v>
      </c>
      <c r="I5420" s="1" t="s">
        <v>16</v>
      </c>
      <c r="J5420" s="1">
        <v>1</v>
      </c>
      <c r="K5420" s="1">
        <v>12</v>
      </c>
      <c r="L5420" s="1" t="s">
        <v>31</v>
      </c>
      <c r="M5420" s="1" t="s">
        <v>18</v>
      </c>
      <c r="N5420" s="1" t="s">
        <v>18</v>
      </c>
      <c r="O5420" s="1">
        <v>3</v>
      </c>
      <c r="P5420" s="1">
        <v>7</v>
      </c>
      <c r="Q5420" s="7" t="s">
        <v>17633</v>
      </c>
      <c r="R5420" s="1" t="s">
        <v>19</v>
      </c>
      <c r="S5420" s="1" t="s">
        <v>20</v>
      </c>
      <c r="T5420" s="1" t="s">
        <v>21</v>
      </c>
      <c r="U5420" s="1" t="s">
        <v>22</v>
      </c>
      <c r="V5420" s="1" t="s">
        <v>23</v>
      </c>
      <c r="W5420" s="1" t="s">
        <v>24</v>
      </c>
      <c r="X5420" s="1">
        <v>2705</v>
      </c>
      <c r="Y5420" s="1">
        <v>2741</v>
      </c>
      <c r="Z5420" s="1" t="s">
        <v>24</v>
      </c>
      <c r="AA5420" s="1" t="s">
        <v>24</v>
      </c>
      <c r="AB5420" s="1" t="s">
        <v>24</v>
      </c>
      <c r="AC5420" s="1" t="s">
        <v>24</v>
      </c>
      <c r="AD5420" s="1" t="s">
        <v>24</v>
      </c>
      <c r="AE5420" s="1" t="s">
        <v>24</v>
      </c>
      <c r="AF5420" s="22" t="s">
        <v>17679</v>
      </c>
    </row>
    <row r="5421" spans="1:32" x14ac:dyDescent="0.2">
      <c r="A5421" s="1">
        <v>51275</v>
      </c>
      <c r="B5421" s="1" t="s">
        <v>16249</v>
      </c>
      <c r="C5421" s="5" t="s">
        <v>0</v>
      </c>
      <c r="D5421" s="1" t="s">
        <v>16250</v>
      </c>
      <c r="E5421" s="1" t="s">
        <v>16251</v>
      </c>
      <c r="F5421" s="1" t="s">
        <v>1683</v>
      </c>
      <c r="G5421" s="1" t="s">
        <v>61</v>
      </c>
      <c r="H5421" s="1" t="s">
        <v>116</v>
      </c>
      <c r="I5421" s="1" t="s">
        <v>16</v>
      </c>
      <c r="J5421" s="1">
        <v>1</v>
      </c>
      <c r="K5421" s="1">
        <v>6</v>
      </c>
      <c r="L5421" s="1" t="s">
        <v>31</v>
      </c>
      <c r="M5421" s="1" t="s">
        <v>226</v>
      </c>
      <c r="N5421" s="1" t="s">
        <v>226</v>
      </c>
      <c r="O5421" s="1">
        <v>2</v>
      </c>
      <c r="P5421" s="1">
        <v>5</v>
      </c>
      <c r="R5421" s="1" t="s">
        <v>19</v>
      </c>
      <c r="S5421" s="1" t="s">
        <v>20</v>
      </c>
      <c r="T5421" s="1" t="s">
        <v>21</v>
      </c>
      <c r="U5421" s="1" t="s">
        <v>22</v>
      </c>
      <c r="V5421" s="1" t="s">
        <v>23</v>
      </c>
      <c r="W5421" s="1" t="s">
        <v>24</v>
      </c>
      <c r="X5421" s="1">
        <v>2741</v>
      </c>
      <c r="Y5421" s="1" t="s">
        <v>24</v>
      </c>
      <c r="Z5421" s="1" t="s">
        <v>24</v>
      </c>
      <c r="AA5421" s="1" t="s">
        <v>24</v>
      </c>
      <c r="AB5421" s="1" t="s">
        <v>24</v>
      </c>
      <c r="AC5421" s="1" t="s">
        <v>24</v>
      </c>
      <c r="AD5421" s="1" t="s">
        <v>24</v>
      </c>
      <c r="AE5421" s="1" t="s">
        <v>24</v>
      </c>
      <c r="AF5421" s="22"/>
    </row>
    <row r="5422" spans="1:32" x14ac:dyDescent="0.2">
      <c r="A5422" s="1">
        <v>51278</v>
      </c>
      <c r="B5422" s="1" t="s">
        <v>16252</v>
      </c>
      <c r="C5422" s="5" t="s">
        <v>0</v>
      </c>
      <c r="D5422" s="1" t="s">
        <v>16253</v>
      </c>
      <c r="F5422" s="1" t="s">
        <v>91</v>
      </c>
      <c r="G5422" s="1" t="s">
        <v>61</v>
      </c>
      <c r="H5422" s="1" t="s">
        <v>92</v>
      </c>
      <c r="I5422" s="1" t="s">
        <v>16</v>
      </c>
      <c r="J5422" s="1">
        <v>1</v>
      </c>
      <c r="K5422" s="1">
        <v>3</v>
      </c>
      <c r="L5422" s="1" t="s">
        <v>31</v>
      </c>
      <c r="M5422" s="1" t="s">
        <v>18</v>
      </c>
      <c r="N5422" s="1" t="s">
        <v>18</v>
      </c>
      <c r="O5422" s="1">
        <v>3</v>
      </c>
      <c r="P5422" s="1">
        <v>7</v>
      </c>
      <c r="Q5422" s="7" t="s">
        <v>17633</v>
      </c>
      <c r="R5422" s="1" t="s">
        <v>19</v>
      </c>
      <c r="S5422" s="1" t="s">
        <v>20</v>
      </c>
      <c r="T5422" s="1" t="s">
        <v>21</v>
      </c>
      <c r="U5422" s="1" t="s">
        <v>22</v>
      </c>
      <c r="V5422" s="1" t="s">
        <v>24</v>
      </c>
      <c r="W5422" s="1" t="s">
        <v>24</v>
      </c>
      <c r="X5422" s="1">
        <v>2746</v>
      </c>
      <c r="Y5422" s="1">
        <v>2732</v>
      </c>
      <c r="Z5422" s="1" t="s">
        <v>24</v>
      </c>
      <c r="AA5422" s="1" t="s">
        <v>24</v>
      </c>
      <c r="AB5422" s="1" t="s">
        <v>24</v>
      </c>
      <c r="AC5422" s="1" t="s">
        <v>24</v>
      </c>
      <c r="AD5422" s="1" t="s">
        <v>24</v>
      </c>
      <c r="AE5422" s="1" t="s">
        <v>24</v>
      </c>
      <c r="AF5422" s="22" t="s">
        <v>17678</v>
      </c>
    </row>
    <row r="5423" spans="1:32" x14ac:dyDescent="0.2">
      <c r="A5423" s="1">
        <v>51342</v>
      </c>
      <c r="B5423" s="1" t="s">
        <v>16254</v>
      </c>
      <c r="C5423" s="5" t="s">
        <v>0</v>
      </c>
      <c r="E5423" s="1" t="s">
        <v>16255</v>
      </c>
      <c r="F5423" s="1" t="s">
        <v>315</v>
      </c>
      <c r="G5423" s="1" t="s">
        <v>316</v>
      </c>
      <c r="H5423" s="1" t="s">
        <v>37</v>
      </c>
      <c r="I5423" s="1" t="s">
        <v>16</v>
      </c>
      <c r="J5423" s="1">
        <v>1</v>
      </c>
      <c r="K5423" s="1">
        <v>12</v>
      </c>
      <c r="L5423" s="1" t="s">
        <v>31</v>
      </c>
      <c r="M5423" s="1" t="s">
        <v>18</v>
      </c>
      <c r="N5423" s="1" t="s">
        <v>18</v>
      </c>
      <c r="O5423" s="1">
        <v>1</v>
      </c>
      <c r="P5423" s="1">
        <v>1</v>
      </c>
      <c r="R5423" s="1" t="s">
        <v>19</v>
      </c>
      <c r="S5423" s="1" t="s">
        <v>20</v>
      </c>
      <c r="T5423" s="1" t="s">
        <v>21</v>
      </c>
      <c r="U5423" s="1" t="s">
        <v>22</v>
      </c>
      <c r="V5423" s="1" t="s">
        <v>24</v>
      </c>
      <c r="W5423" s="1" t="s">
        <v>24</v>
      </c>
      <c r="X5423" s="1">
        <v>2730</v>
      </c>
      <c r="Y5423" s="1">
        <v>2720</v>
      </c>
      <c r="Z5423" s="1" t="s">
        <v>24</v>
      </c>
      <c r="AA5423" s="1" t="s">
        <v>24</v>
      </c>
      <c r="AB5423" s="1" t="s">
        <v>24</v>
      </c>
      <c r="AC5423" s="1" t="s">
        <v>24</v>
      </c>
      <c r="AD5423" s="1" t="s">
        <v>24</v>
      </c>
      <c r="AE5423" s="1" t="s">
        <v>24</v>
      </c>
      <c r="AF5423" s="22"/>
    </row>
    <row r="5424" spans="1:32" x14ac:dyDescent="0.2">
      <c r="A5424" s="1">
        <v>51362</v>
      </c>
      <c r="B5424" s="1" t="s">
        <v>16256</v>
      </c>
      <c r="C5424" s="5" t="s">
        <v>0</v>
      </c>
      <c r="E5424" s="1" t="s">
        <v>16257</v>
      </c>
      <c r="F5424" s="1" t="s">
        <v>16258</v>
      </c>
      <c r="G5424" s="1" t="s">
        <v>16258</v>
      </c>
      <c r="H5424" s="1" t="s">
        <v>30</v>
      </c>
      <c r="I5424" s="1" t="s">
        <v>16</v>
      </c>
      <c r="J5424" s="1">
        <v>1</v>
      </c>
      <c r="K5424" s="1">
        <v>12</v>
      </c>
      <c r="L5424" s="1" t="s">
        <v>42</v>
      </c>
      <c r="M5424" s="1" t="s">
        <v>18</v>
      </c>
      <c r="N5424" s="1" t="s">
        <v>18</v>
      </c>
      <c r="O5424" s="1">
        <v>2</v>
      </c>
      <c r="P5424" s="1">
        <v>6</v>
      </c>
      <c r="R5424" s="1" t="s">
        <v>19</v>
      </c>
      <c r="S5424" s="1" t="s">
        <v>20</v>
      </c>
      <c r="T5424" s="1" t="s">
        <v>21</v>
      </c>
      <c r="U5424" s="1" t="s">
        <v>22</v>
      </c>
      <c r="V5424" s="1" t="s">
        <v>24</v>
      </c>
      <c r="W5424" s="1" t="s">
        <v>24</v>
      </c>
      <c r="X5424" s="1">
        <v>3107</v>
      </c>
      <c r="Y5424" s="1">
        <v>1305</v>
      </c>
      <c r="Z5424" s="1" t="s">
        <v>24</v>
      </c>
      <c r="AA5424" s="1" t="s">
        <v>24</v>
      </c>
      <c r="AB5424" s="1" t="s">
        <v>24</v>
      </c>
      <c r="AC5424" s="1" t="s">
        <v>24</v>
      </c>
      <c r="AD5424" s="1" t="s">
        <v>24</v>
      </c>
      <c r="AE5424" s="1" t="s">
        <v>24</v>
      </c>
      <c r="AF5424" s="22"/>
    </row>
    <row r="5425" spans="1:32" x14ac:dyDescent="0.2">
      <c r="A5425" s="1">
        <v>51364</v>
      </c>
      <c r="B5425" s="1" t="s">
        <v>16259</v>
      </c>
      <c r="C5425" s="5" t="s">
        <v>0</v>
      </c>
      <c r="D5425" s="1" t="s">
        <v>16260</v>
      </c>
      <c r="E5425" s="1" t="s">
        <v>16261</v>
      </c>
      <c r="F5425" s="1" t="s">
        <v>1224</v>
      </c>
      <c r="G5425" s="1" t="s">
        <v>1224</v>
      </c>
      <c r="H5425" s="1" t="s">
        <v>30</v>
      </c>
      <c r="I5425" s="1" t="s">
        <v>16</v>
      </c>
      <c r="J5425" s="1">
        <v>1</v>
      </c>
      <c r="K5425" s="1">
        <v>12</v>
      </c>
      <c r="L5425" s="1" t="s">
        <v>42</v>
      </c>
      <c r="M5425" s="1" t="s">
        <v>18</v>
      </c>
      <c r="N5425" s="1" t="s">
        <v>18</v>
      </c>
      <c r="O5425" s="1">
        <v>1</v>
      </c>
      <c r="P5425" s="1">
        <v>1</v>
      </c>
      <c r="R5425" s="1" t="s">
        <v>19</v>
      </c>
      <c r="S5425" s="1" t="s">
        <v>20</v>
      </c>
      <c r="T5425" s="1" t="s">
        <v>21</v>
      </c>
      <c r="U5425" s="1" t="s">
        <v>22</v>
      </c>
      <c r="V5425" s="1" t="s">
        <v>24</v>
      </c>
      <c r="W5425" s="1" t="s">
        <v>24</v>
      </c>
      <c r="X5425" s="1">
        <v>2730</v>
      </c>
      <c r="Y5425" s="1" t="s">
        <v>24</v>
      </c>
      <c r="Z5425" s="1" t="s">
        <v>24</v>
      </c>
      <c r="AA5425" s="1" t="s">
        <v>24</v>
      </c>
      <c r="AB5425" s="1" t="s">
        <v>24</v>
      </c>
      <c r="AC5425" s="1" t="s">
        <v>24</v>
      </c>
      <c r="AD5425" s="1" t="s">
        <v>24</v>
      </c>
      <c r="AE5425" s="1" t="s">
        <v>24</v>
      </c>
      <c r="AF5425" s="22"/>
    </row>
    <row r="5426" spans="1:32" x14ac:dyDescent="0.2">
      <c r="A5426" s="1">
        <v>51365</v>
      </c>
      <c r="B5426" s="1" t="s">
        <v>16262</v>
      </c>
      <c r="C5426" s="5" t="s">
        <v>0</v>
      </c>
      <c r="E5426" s="1" t="s">
        <v>16263</v>
      </c>
      <c r="F5426" s="1" t="s">
        <v>669</v>
      </c>
      <c r="G5426" s="1" t="s">
        <v>311</v>
      </c>
      <c r="H5426" s="1" t="s">
        <v>30</v>
      </c>
      <c r="I5426" s="1" t="s">
        <v>16</v>
      </c>
      <c r="J5426" s="1">
        <v>1</v>
      </c>
      <c r="K5426" s="1">
        <v>4</v>
      </c>
      <c r="L5426" s="1" t="s">
        <v>31</v>
      </c>
      <c r="M5426" s="1" t="s">
        <v>18</v>
      </c>
      <c r="N5426" s="1" t="s">
        <v>18</v>
      </c>
      <c r="O5426" s="1">
        <v>1</v>
      </c>
      <c r="P5426" s="1">
        <v>1</v>
      </c>
      <c r="R5426" s="1" t="s">
        <v>19</v>
      </c>
      <c r="S5426" s="1" t="s">
        <v>20</v>
      </c>
      <c r="T5426" s="1" t="s">
        <v>21</v>
      </c>
      <c r="U5426" s="1" t="s">
        <v>22</v>
      </c>
      <c r="V5426" s="1" t="s">
        <v>24</v>
      </c>
      <c r="W5426" s="1" t="s">
        <v>24</v>
      </c>
      <c r="X5426" s="1">
        <v>3003</v>
      </c>
      <c r="Y5426" s="1">
        <v>2613</v>
      </c>
      <c r="Z5426" s="1" t="s">
        <v>24</v>
      </c>
      <c r="AA5426" s="1" t="s">
        <v>24</v>
      </c>
      <c r="AB5426" s="1" t="s">
        <v>24</v>
      </c>
      <c r="AC5426" s="1" t="s">
        <v>24</v>
      </c>
      <c r="AD5426" s="1" t="s">
        <v>24</v>
      </c>
      <c r="AE5426" s="1" t="s">
        <v>24</v>
      </c>
      <c r="AF5426" s="22"/>
    </row>
    <row r="5427" spans="1:32" x14ac:dyDescent="0.2">
      <c r="A5427" s="1">
        <v>51369</v>
      </c>
      <c r="B5427" s="1" t="s">
        <v>16264</v>
      </c>
      <c r="C5427" s="5" t="s">
        <v>0</v>
      </c>
      <c r="E5427" s="1" t="s">
        <v>16265</v>
      </c>
      <c r="F5427" s="1" t="s">
        <v>16266</v>
      </c>
      <c r="G5427" s="1" t="s">
        <v>16266</v>
      </c>
      <c r="H5427" s="1" t="s">
        <v>30</v>
      </c>
      <c r="I5427" s="1" t="s">
        <v>16</v>
      </c>
      <c r="J5427" s="1">
        <v>1</v>
      </c>
      <c r="K5427" s="1">
        <v>12</v>
      </c>
      <c r="L5427" s="1" t="s">
        <v>42</v>
      </c>
      <c r="M5427" s="1" t="s">
        <v>18</v>
      </c>
      <c r="N5427" s="1" t="s">
        <v>18</v>
      </c>
      <c r="O5427" s="1">
        <v>1</v>
      </c>
      <c r="P5427" s="1">
        <v>1</v>
      </c>
      <c r="R5427" s="1" t="s">
        <v>19</v>
      </c>
      <c r="S5427" s="1" t="s">
        <v>20</v>
      </c>
      <c r="T5427" s="1" t="s">
        <v>21</v>
      </c>
      <c r="U5427" s="1" t="s">
        <v>22</v>
      </c>
      <c r="V5427" s="1" t="s">
        <v>23</v>
      </c>
      <c r="W5427" s="1" t="s">
        <v>24</v>
      </c>
      <c r="X5427" s="1">
        <v>2730</v>
      </c>
      <c r="Y5427" s="1" t="s">
        <v>24</v>
      </c>
      <c r="Z5427" s="1" t="s">
        <v>24</v>
      </c>
      <c r="AA5427" s="1" t="s">
        <v>24</v>
      </c>
      <c r="AB5427" s="1" t="s">
        <v>24</v>
      </c>
      <c r="AC5427" s="1" t="s">
        <v>24</v>
      </c>
      <c r="AD5427" s="1" t="s">
        <v>24</v>
      </c>
      <c r="AE5427" s="1" t="s">
        <v>24</v>
      </c>
      <c r="AF5427" s="22"/>
    </row>
    <row r="5428" spans="1:32" x14ac:dyDescent="0.2">
      <c r="A5428" s="1">
        <v>51402</v>
      </c>
      <c r="B5428" s="1" t="s">
        <v>16267</v>
      </c>
      <c r="C5428" s="5" t="s">
        <v>0</v>
      </c>
      <c r="D5428" s="1" t="s">
        <v>16268</v>
      </c>
      <c r="E5428" s="1" t="s">
        <v>16269</v>
      </c>
      <c r="F5428" s="1" t="s">
        <v>1897</v>
      </c>
      <c r="G5428" s="1" t="s">
        <v>1898</v>
      </c>
      <c r="H5428" s="1" t="s">
        <v>899</v>
      </c>
      <c r="I5428" s="1" t="s">
        <v>16</v>
      </c>
      <c r="J5428" s="1">
        <v>1</v>
      </c>
      <c r="K5428" s="1">
        <v>2</v>
      </c>
      <c r="L5428" s="1" t="s">
        <v>31</v>
      </c>
      <c r="M5428" s="1" t="s">
        <v>18</v>
      </c>
      <c r="N5428" s="1" t="s">
        <v>18</v>
      </c>
      <c r="O5428" s="1">
        <v>1</v>
      </c>
      <c r="P5428" s="1">
        <v>1</v>
      </c>
      <c r="R5428" s="1" t="s">
        <v>19</v>
      </c>
      <c r="S5428" s="1" t="s">
        <v>20</v>
      </c>
      <c r="T5428" s="1" t="s">
        <v>21</v>
      </c>
      <c r="U5428" s="1" t="s">
        <v>22</v>
      </c>
      <c r="V5428" s="1" t="s">
        <v>24</v>
      </c>
      <c r="W5428" s="1" t="s">
        <v>24</v>
      </c>
      <c r="X5428" s="1">
        <v>3003</v>
      </c>
      <c r="Y5428" s="1">
        <v>3004</v>
      </c>
      <c r="Z5428" s="1">
        <v>3002</v>
      </c>
      <c r="AA5428" s="1" t="s">
        <v>24</v>
      </c>
      <c r="AB5428" s="1" t="s">
        <v>24</v>
      </c>
      <c r="AC5428" s="1" t="s">
        <v>24</v>
      </c>
      <c r="AD5428" s="1" t="s">
        <v>24</v>
      </c>
      <c r="AE5428" s="1" t="s">
        <v>24</v>
      </c>
      <c r="AF5428" s="22"/>
    </row>
    <row r="5429" spans="1:32" x14ac:dyDescent="0.2">
      <c r="A5429" s="1">
        <v>51406</v>
      </c>
      <c r="B5429" s="1" t="s">
        <v>16270</v>
      </c>
      <c r="C5429" s="5" t="s">
        <v>0</v>
      </c>
      <c r="D5429" s="1" t="s">
        <v>16271</v>
      </c>
      <c r="E5429" s="1" t="s">
        <v>16272</v>
      </c>
      <c r="F5429" s="1" t="s">
        <v>16273</v>
      </c>
      <c r="G5429" s="1" t="s">
        <v>80</v>
      </c>
      <c r="H5429" s="1" t="s">
        <v>37</v>
      </c>
      <c r="I5429" s="1" t="s">
        <v>16</v>
      </c>
      <c r="J5429" s="1">
        <v>1</v>
      </c>
      <c r="K5429" s="1">
        <v>4</v>
      </c>
      <c r="L5429" s="1" t="s">
        <v>31</v>
      </c>
      <c r="M5429" s="1" t="s">
        <v>18</v>
      </c>
      <c r="N5429" s="1" t="s">
        <v>18</v>
      </c>
      <c r="O5429" s="1">
        <v>3</v>
      </c>
      <c r="P5429" s="1">
        <v>6</v>
      </c>
      <c r="R5429" s="1" t="s">
        <v>19</v>
      </c>
      <c r="S5429" s="1" t="s">
        <v>20</v>
      </c>
      <c r="T5429" s="1" t="s">
        <v>21</v>
      </c>
      <c r="U5429" s="1" t="s">
        <v>22</v>
      </c>
      <c r="V5429" s="1" t="s">
        <v>23</v>
      </c>
      <c r="W5429" s="1" t="s">
        <v>24</v>
      </c>
      <c r="X5429" s="1">
        <v>2204</v>
      </c>
      <c r="Y5429" s="1">
        <v>2718</v>
      </c>
      <c r="Z5429" s="1">
        <v>1305</v>
      </c>
      <c r="AA5429" s="1">
        <v>2746</v>
      </c>
      <c r="AB5429" s="1" t="s">
        <v>24</v>
      </c>
      <c r="AC5429" s="1" t="s">
        <v>24</v>
      </c>
      <c r="AD5429" s="1" t="s">
        <v>24</v>
      </c>
      <c r="AE5429" s="1" t="s">
        <v>24</v>
      </c>
      <c r="AF5429" s="22"/>
    </row>
    <row r="5430" spans="1:32" x14ac:dyDescent="0.2">
      <c r="A5430" s="1">
        <v>51530</v>
      </c>
      <c r="B5430" s="1" t="s">
        <v>16274</v>
      </c>
      <c r="C5430" s="5" t="s">
        <v>0</v>
      </c>
      <c r="D5430" s="1" t="s">
        <v>16275</v>
      </c>
      <c r="F5430" s="1" t="s">
        <v>14870</v>
      </c>
      <c r="G5430" s="1" t="s">
        <v>14871</v>
      </c>
      <c r="H5430" s="1" t="s">
        <v>899</v>
      </c>
      <c r="I5430" s="1" t="s">
        <v>16</v>
      </c>
      <c r="J5430" s="1">
        <v>1</v>
      </c>
      <c r="K5430" s="1">
        <v>3</v>
      </c>
      <c r="L5430" s="1" t="s">
        <v>31</v>
      </c>
      <c r="M5430" s="1" t="s">
        <v>18</v>
      </c>
      <c r="N5430" s="1" t="s">
        <v>18</v>
      </c>
      <c r="O5430" s="1">
        <v>2</v>
      </c>
      <c r="P5430" s="1">
        <v>6</v>
      </c>
      <c r="R5430" s="1" t="s">
        <v>19</v>
      </c>
      <c r="S5430" s="1" t="s">
        <v>20</v>
      </c>
      <c r="T5430" s="1" t="s">
        <v>21</v>
      </c>
      <c r="U5430" s="1" t="s">
        <v>22</v>
      </c>
      <c r="V5430" s="1" t="s">
        <v>23</v>
      </c>
      <c r="W5430" s="1" t="s">
        <v>24</v>
      </c>
      <c r="X5430" s="1">
        <v>2703</v>
      </c>
      <c r="Y5430" s="1">
        <v>2741</v>
      </c>
      <c r="Z5430" s="1">
        <v>2746</v>
      </c>
      <c r="AA5430" s="1" t="s">
        <v>24</v>
      </c>
      <c r="AB5430" s="1" t="s">
        <v>24</v>
      </c>
      <c r="AC5430" s="1" t="s">
        <v>24</v>
      </c>
      <c r="AD5430" s="1" t="s">
        <v>24</v>
      </c>
      <c r="AE5430" s="1" t="s">
        <v>24</v>
      </c>
      <c r="AF5430" s="22"/>
    </row>
    <row r="5431" spans="1:32" x14ac:dyDescent="0.2">
      <c r="A5431" s="1">
        <v>51532</v>
      </c>
      <c r="B5431" s="1" t="s">
        <v>16276</v>
      </c>
      <c r="C5431" s="5" t="s">
        <v>0</v>
      </c>
      <c r="D5431" s="1" t="s">
        <v>16277</v>
      </c>
      <c r="F5431" s="1" t="s">
        <v>85</v>
      </c>
      <c r="G5431" s="1" t="s">
        <v>61</v>
      </c>
      <c r="H5431" s="1" t="s">
        <v>86</v>
      </c>
      <c r="I5431" s="1" t="s">
        <v>16</v>
      </c>
      <c r="J5431" s="1">
        <v>1</v>
      </c>
      <c r="K5431" s="1">
        <v>4</v>
      </c>
      <c r="L5431" s="1" t="s">
        <v>31</v>
      </c>
      <c r="M5431" s="1" t="s">
        <v>199</v>
      </c>
      <c r="N5431" s="1" t="s">
        <v>199</v>
      </c>
      <c r="O5431" s="1">
        <v>3</v>
      </c>
      <c r="P5431" s="1">
        <v>7</v>
      </c>
      <c r="Q5431" s="7" t="s">
        <v>17633</v>
      </c>
      <c r="R5431" s="1" t="s">
        <v>19</v>
      </c>
      <c r="S5431" s="1" t="s">
        <v>20</v>
      </c>
      <c r="T5431" s="1" t="s">
        <v>21</v>
      </c>
      <c r="U5431" s="1" t="s">
        <v>22</v>
      </c>
      <c r="V5431" s="1" t="s">
        <v>23</v>
      </c>
      <c r="W5431" s="1" t="s">
        <v>24</v>
      </c>
      <c r="X5431" s="1">
        <v>2718</v>
      </c>
      <c r="Y5431" s="1">
        <v>3605</v>
      </c>
      <c r="Z5431" s="1" t="s">
        <v>24</v>
      </c>
      <c r="AA5431" s="1" t="s">
        <v>24</v>
      </c>
      <c r="AB5431" s="1" t="s">
        <v>24</v>
      </c>
      <c r="AC5431" s="1" t="s">
        <v>24</v>
      </c>
      <c r="AD5431" s="1" t="s">
        <v>24</v>
      </c>
      <c r="AE5431" s="1" t="s">
        <v>24</v>
      </c>
      <c r="AF5431" s="22"/>
    </row>
    <row r="5432" spans="1:32" x14ac:dyDescent="0.2">
      <c r="A5432" s="1">
        <v>51533</v>
      </c>
      <c r="B5432" s="1" t="s">
        <v>16278</v>
      </c>
      <c r="C5432" s="5" t="s">
        <v>0</v>
      </c>
      <c r="D5432" s="1" t="s">
        <v>16279</v>
      </c>
      <c r="F5432" s="1" t="s">
        <v>6159</v>
      </c>
      <c r="G5432" s="1" t="s">
        <v>61</v>
      </c>
      <c r="H5432" s="1" t="s">
        <v>168</v>
      </c>
      <c r="I5432" s="1" t="s">
        <v>16</v>
      </c>
      <c r="J5432" s="1">
        <v>1</v>
      </c>
      <c r="K5432" s="1">
        <v>4</v>
      </c>
      <c r="L5432" s="1" t="s">
        <v>31</v>
      </c>
      <c r="M5432" s="1" t="s">
        <v>18</v>
      </c>
      <c r="N5432" s="1" t="s">
        <v>18</v>
      </c>
      <c r="O5432" s="1">
        <v>3</v>
      </c>
      <c r="P5432" s="1">
        <v>7</v>
      </c>
      <c r="Q5432" s="7" t="s">
        <v>17633</v>
      </c>
      <c r="R5432" s="1" t="s">
        <v>19</v>
      </c>
      <c r="S5432" s="1" t="s">
        <v>20</v>
      </c>
      <c r="T5432" s="1" t="s">
        <v>21</v>
      </c>
      <c r="U5432" s="1" t="s">
        <v>22</v>
      </c>
      <c r="V5432" s="1" t="s">
        <v>23</v>
      </c>
      <c r="W5432" s="1" t="s">
        <v>24</v>
      </c>
      <c r="X5432" s="1">
        <v>2730</v>
      </c>
      <c r="Y5432" s="1" t="s">
        <v>24</v>
      </c>
      <c r="Z5432" s="1" t="s">
        <v>24</v>
      </c>
      <c r="AA5432" s="1" t="s">
        <v>24</v>
      </c>
      <c r="AB5432" s="1" t="s">
        <v>24</v>
      </c>
      <c r="AC5432" s="1" t="s">
        <v>24</v>
      </c>
      <c r="AD5432" s="1" t="s">
        <v>24</v>
      </c>
      <c r="AE5432" s="1" t="s">
        <v>24</v>
      </c>
      <c r="AF5432" s="22"/>
    </row>
    <row r="5433" spans="1:32" x14ac:dyDescent="0.2">
      <c r="A5433" s="1">
        <v>51534</v>
      </c>
      <c r="B5433" s="1" t="s">
        <v>16280</v>
      </c>
      <c r="C5433" s="5" t="s">
        <v>0</v>
      </c>
      <c r="D5433" s="1" t="s">
        <v>16281</v>
      </c>
      <c r="F5433" s="1" t="s">
        <v>91</v>
      </c>
      <c r="G5433" s="1" t="s">
        <v>61</v>
      </c>
      <c r="H5433" s="1" t="s">
        <v>92</v>
      </c>
      <c r="I5433" s="1" t="s">
        <v>16</v>
      </c>
      <c r="J5433" s="1">
        <v>1</v>
      </c>
      <c r="K5433" s="1">
        <v>1</v>
      </c>
      <c r="L5433" s="1" t="s">
        <v>31</v>
      </c>
      <c r="M5433" s="1" t="s">
        <v>18</v>
      </c>
      <c r="N5433" s="1" t="s">
        <v>18</v>
      </c>
      <c r="O5433" s="1">
        <v>2</v>
      </c>
      <c r="P5433" s="1">
        <v>7</v>
      </c>
      <c r="Q5433" s="7" t="s">
        <v>17633</v>
      </c>
      <c r="R5433" s="1" t="s">
        <v>19</v>
      </c>
      <c r="S5433" s="1" t="s">
        <v>63</v>
      </c>
      <c r="T5433" s="1" t="s">
        <v>21</v>
      </c>
      <c r="U5433" s="1" t="s">
        <v>22</v>
      </c>
      <c r="V5433" s="1" t="s">
        <v>23</v>
      </c>
      <c r="W5433" s="1" t="s">
        <v>24</v>
      </c>
      <c r="X5433" s="1">
        <v>2725</v>
      </c>
      <c r="Y5433" s="1">
        <v>2404</v>
      </c>
      <c r="Z5433" s="1" t="s">
        <v>24</v>
      </c>
      <c r="AA5433" s="1" t="s">
        <v>24</v>
      </c>
      <c r="AB5433" s="1" t="s">
        <v>24</v>
      </c>
      <c r="AC5433" s="1" t="s">
        <v>24</v>
      </c>
      <c r="AD5433" s="1" t="s">
        <v>24</v>
      </c>
      <c r="AE5433" s="1" t="s">
        <v>24</v>
      </c>
      <c r="AF5433" s="22" t="s">
        <v>17678</v>
      </c>
    </row>
    <row r="5434" spans="1:32" x14ac:dyDescent="0.2">
      <c r="A5434" s="1">
        <v>51535</v>
      </c>
      <c r="B5434" s="1" t="s">
        <v>16282</v>
      </c>
      <c r="C5434" s="5" t="s">
        <v>0</v>
      </c>
      <c r="D5434" s="1" t="s">
        <v>16283</v>
      </c>
      <c r="F5434" s="1" t="s">
        <v>6159</v>
      </c>
      <c r="G5434" s="1" t="s">
        <v>61</v>
      </c>
      <c r="H5434" s="1" t="s">
        <v>168</v>
      </c>
      <c r="I5434" s="1" t="s">
        <v>16</v>
      </c>
      <c r="J5434" s="1">
        <v>1</v>
      </c>
      <c r="K5434" s="1">
        <v>12</v>
      </c>
      <c r="L5434" s="1" t="s">
        <v>31</v>
      </c>
      <c r="M5434" s="1" t="s">
        <v>18</v>
      </c>
      <c r="N5434" s="1" t="s">
        <v>18</v>
      </c>
      <c r="O5434" s="1">
        <v>2</v>
      </c>
      <c r="P5434" s="1">
        <v>7</v>
      </c>
      <c r="Q5434" s="7" t="s">
        <v>17633</v>
      </c>
      <c r="R5434" s="1" t="s">
        <v>19</v>
      </c>
      <c r="S5434" s="1" t="s">
        <v>20</v>
      </c>
      <c r="T5434" s="1" t="s">
        <v>21</v>
      </c>
      <c r="U5434" s="1" t="s">
        <v>22</v>
      </c>
      <c r="V5434" s="1" t="s">
        <v>23</v>
      </c>
      <c r="W5434" s="1" t="s">
        <v>24</v>
      </c>
      <c r="X5434" s="1">
        <v>2700</v>
      </c>
      <c r="Y5434" s="1" t="s">
        <v>24</v>
      </c>
      <c r="Z5434" s="1" t="s">
        <v>24</v>
      </c>
      <c r="AA5434" s="1" t="s">
        <v>24</v>
      </c>
      <c r="AB5434" s="1" t="s">
        <v>24</v>
      </c>
      <c r="AC5434" s="1" t="s">
        <v>24</v>
      </c>
      <c r="AD5434" s="1" t="s">
        <v>24</v>
      </c>
      <c r="AE5434" s="1" t="s">
        <v>24</v>
      </c>
      <c r="AF5434" s="22"/>
    </row>
    <row r="5435" spans="1:32" x14ac:dyDescent="0.2">
      <c r="A5435" s="1">
        <v>51536</v>
      </c>
      <c r="B5435" s="1" t="s">
        <v>16284</v>
      </c>
      <c r="C5435" s="5" t="s">
        <v>0</v>
      </c>
      <c r="D5435" s="1" t="s">
        <v>16285</v>
      </c>
      <c r="F5435" s="1" t="s">
        <v>248</v>
      </c>
      <c r="G5435" s="1" t="s">
        <v>61</v>
      </c>
      <c r="H5435" s="1" t="s">
        <v>249</v>
      </c>
      <c r="I5435" s="1" t="s">
        <v>16</v>
      </c>
      <c r="J5435" s="1">
        <v>1</v>
      </c>
      <c r="K5435" s="1">
        <v>2</v>
      </c>
      <c r="L5435" s="1" t="s">
        <v>31</v>
      </c>
      <c r="M5435" s="1" t="s">
        <v>18</v>
      </c>
      <c r="N5435" s="1" t="s">
        <v>18</v>
      </c>
      <c r="O5435" s="1">
        <v>3</v>
      </c>
      <c r="P5435" s="1">
        <v>7</v>
      </c>
      <c r="Q5435" s="7" t="s">
        <v>17633</v>
      </c>
      <c r="R5435" s="1" t="s">
        <v>19</v>
      </c>
      <c r="S5435" s="1" t="s">
        <v>20</v>
      </c>
      <c r="T5435" s="1" t="s">
        <v>21</v>
      </c>
      <c r="U5435" s="1" t="s">
        <v>22</v>
      </c>
      <c r="V5435" s="1" t="s">
        <v>23</v>
      </c>
      <c r="W5435" s="1" t="s">
        <v>24</v>
      </c>
      <c r="X5435" s="1">
        <v>2700</v>
      </c>
      <c r="Y5435" s="1" t="s">
        <v>24</v>
      </c>
      <c r="Z5435" s="1" t="s">
        <v>24</v>
      </c>
      <c r="AA5435" s="1" t="s">
        <v>24</v>
      </c>
      <c r="AB5435" s="1" t="s">
        <v>24</v>
      </c>
      <c r="AC5435" s="1" t="s">
        <v>24</v>
      </c>
      <c r="AD5435" s="1" t="s">
        <v>24</v>
      </c>
      <c r="AE5435" s="1" t="s">
        <v>24</v>
      </c>
      <c r="AF5435" s="22"/>
    </row>
    <row r="5436" spans="1:32" x14ac:dyDescent="0.2">
      <c r="A5436" s="1">
        <v>51537</v>
      </c>
      <c r="B5436" s="1" t="s">
        <v>16286</v>
      </c>
      <c r="C5436" s="5" t="s">
        <v>0</v>
      </c>
      <c r="E5436" s="1" t="s">
        <v>16287</v>
      </c>
      <c r="F5436" s="1" t="s">
        <v>91</v>
      </c>
      <c r="G5436" s="1" t="s">
        <v>61</v>
      </c>
      <c r="H5436" s="1" t="s">
        <v>92</v>
      </c>
      <c r="I5436" s="1" t="s">
        <v>16</v>
      </c>
      <c r="J5436" s="1">
        <v>1</v>
      </c>
      <c r="K5436" s="1">
        <v>1</v>
      </c>
      <c r="L5436" s="1" t="s">
        <v>31</v>
      </c>
      <c r="M5436" s="1" t="s">
        <v>18</v>
      </c>
      <c r="N5436" s="1" t="s">
        <v>18</v>
      </c>
      <c r="O5436" s="1">
        <v>3</v>
      </c>
      <c r="P5436" s="1">
        <v>7</v>
      </c>
      <c r="Q5436" s="7" t="s">
        <v>17633</v>
      </c>
      <c r="R5436" s="1" t="s">
        <v>19</v>
      </c>
      <c r="S5436" s="1" t="s">
        <v>63</v>
      </c>
      <c r="T5436" s="1" t="s">
        <v>21</v>
      </c>
      <c r="U5436" s="1" t="s">
        <v>22</v>
      </c>
      <c r="V5436" s="1" t="s">
        <v>23</v>
      </c>
      <c r="W5436" s="1" t="s">
        <v>24</v>
      </c>
      <c r="X5436" s="1">
        <v>2403</v>
      </c>
      <c r="Y5436" s="1">
        <v>2404</v>
      </c>
      <c r="Z5436" s="1">
        <v>2725</v>
      </c>
      <c r="AA5436" s="1">
        <v>2739</v>
      </c>
      <c r="AB5436" s="1" t="s">
        <v>24</v>
      </c>
      <c r="AC5436" s="1" t="s">
        <v>24</v>
      </c>
      <c r="AD5436" s="1" t="s">
        <v>24</v>
      </c>
      <c r="AE5436" s="1" t="s">
        <v>24</v>
      </c>
      <c r="AF5436" s="22"/>
    </row>
    <row r="5437" spans="1:32" x14ac:dyDescent="0.2">
      <c r="A5437" s="1">
        <v>51589</v>
      </c>
      <c r="B5437" s="1" t="s">
        <v>16288</v>
      </c>
      <c r="C5437" s="5" t="s">
        <v>0</v>
      </c>
      <c r="E5437" s="1" t="s">
        <v>16289</v>
      </c>
      <c r="F5437" s="1" t="s">
        <v>12818</v>
      </c>
      <c r="G5437" s="1" t="s">
        <v>12818</v>
      </c>
      <c r="H5437" s="1" t="s">
        <v>184</v>
      </c>
      <c r="I5437" s="1" t="s">
        <v>16</v>
      </c>
      <c r="J5437" s="1">
        <v>1</v>
      </c>
      <c r="K5437" s="1">
        <v>1</v>
      </c>
      <c r="L5437" s="1" t="s">
        <v>42</v>
      </c>
      <c r="M5437" s="1" t="s">
        <v>18</v>
      </c>
      <c r="N5437" s="1" t="s">
        <v>18</v>
      </c>
      <c r="O5437" s="1">
        <v>3</v>
      </c>
      <c r="P5437" s="1">
        <v>6</v>
      </c>
      <c r="R5437" s="1" t="s">
        <v>19</v>
      </c>
      <c r="S5437" s="1" t="s">
        <v>20</v>
      </c>
      <c r="T5437" s="1" t="s">
        <v>21</v>
      </c>
      <c r="V5437" s="1" t="s">
        <v>23</v>
      </c>
      <c r="W5437" s="1" t="s">
        <v>24</v>
      </c>
      <c r="X5437" s="1">
        <v>1302</v>
      </c>
      <c r="Y5437" s="1">
        <v>2717</v>
      </c>
      <c r="Z5437" s="1">
        <v>2722</v>
      </c>
      <c r="AA5437" s="1" t="s">
        <v>24</v>
      </c>
      <c r="AB5437" s="1" t="s">
        <v>24</v>
      </c>
      <c r="AC5437" s="1" t="s">
        <v>24</v>
      </c>
      <c r="AD5437" s="1" t="s">
        <v>24</v>
      </c>
      <c r="AE5437" s="1" t="s">
        <v>24</v>
      </c>
      <c r="AF5437" s="22"/>
    </row>
    <row r="5438" spans="1:32" x14ac:dyDescent="0.2">
      <c r="A5438" s="1">
        <v>51609</v>
      </c>
      <c r="B5438" s="1" t="s">
        <v>16290</v>
      </c>
      <c r="C5438" s="5" t="s">
        <v>0</v>
      </c>
      <c r="D5438" s="1" t="s">
        <v>16291</v>
      </c>
      <c r="E5438" s="1" t="s">
        <v>16292</v>
      </c>
      <c r="F5438" s="1" t="s">
        <v>16293</v>
      </c>
      <c r="G5438" s="1" t="s">
        <v>16294</v>
      </c>
      <c r="H5438" s="1" t="s">
        <v>116</v>
      </c>
      <c r="I5438" s="1" t="s">
        <v>16</v>
      </c>
      <c r="J5438" s="1">
        <v>1</v>
      </c>
      <c r="K5438" s="1">
        <v>4</v>
      </c>
      <c r="L5438" s="1" t="s">
        <v>42</v>
      </c>
      <c r="M5438" s="1" t="s">
        <v>226</v>
      </c>
      <c r="N5438" s="1" t="s">
        <v>118</v>
      </c>
      <c r="O5438" s="1">
        <v>3</v>
      </c>
      <c r="P5438" s="1">
        <v>5</v>
      </c>
      <c r="R5438" s="1" t="s">
        <v>19</v>
      </c>
      <c r="S5438" s="1" t="s">
        <v>20</v>
      </c>
      <c r="T5438" s="1" t="s">
        <v>21</v>
      </c>
      <c r="V5438" s="1" t="s">
        <v>23</v>
      </c>
      <c r="W5438" s="1" t="s">
        <v>24</v>
      </c>
      <c r="X5438" s="1">
        <v>2712</v>
      </c>
      <c r="Y5438" s="1" t="s">
        <v>24</v>
      </c>
      <c r="Z5438" s="1" t="s">
        <v>24</v>
      </c>
      <c r="AA5438" s="1" t="s">
        <v>24</v>
      </c>
      <c r="AB5438" s="1" t="s">
        <v>24</v>
      </c>
      <c r="AC5438" s="1" t="s">
        <v>24</v>
      </c>
      <c r="AD5438" s="1" t="s">
        <v>24</v>
      </c>
      <c r="AE5438" s="1" t="s">
        <v>24</v>
      </c>
      <c r="AF5438" s="22"/>
    </row>
    <row r="5439" spans="1:32" x14ac:dyDescent="0.2">
      <c r="A5439" s="1">
        <v>51729</v>
      </c>
      <c r="B5439" s="1" t="s">
        <v>16295</v>
      </c>
      <c r="C5439" s="5" t="s">
        <v>0</v>
      </c>
      <c r="E5439" s="1" t="s">
        <v>16296</v>
      </c>
      <c r="F5439" s="1" t="s">
        <v>16297</v>
      </c>
      <c r="G5439" s="1" t="s">
        <v>16297</v>
      </c>
      <c r="H5439" s="1" t="s">
        <v>51</v>
      </c>
      <c r="I5439" s="1" t="s">
        <v>16</v>
      </c>
      <c r="J5439" s="1">
        <v>1</v>
      </c>
      <c r="K5439" s="1">
        <v>4</v>
      </c>
      <c r="L5439" s="1" t="s">
        <v>42</v>
      </c>
      <c r="M5439" s="1" t="s">
        <v>18</v>
      </c>
      <c r="N5439" s="1" t="s">
        <v>18</v>
      </c>
      <c r="O5439" s="1">
        <v>3</v>
      </c>
      <c r="P5439" s="1">
        <v>5</v>
      </c>
      <c r="R5439" s="1" t="s">
        <v>19</v>
      </c>
      <c r="S5439" s="1" t="s">
        <v>20</v>
      </c>
      <c r="T5439" s="1" t="s">
        <v>21</v>
      </c>
      <c r="U5439" s="1" t="s">
        <v>22</v>
      </c>
      <c r="V5439" s="1" t="s">
        <v>24</v>
      </c>
      <c r="W5439" s="1" t="s">
        <v>24</v>
      </c>
      <c r="X5439" s="1">
        <v>2700</v>
      </c>
      <c r="Y5439" s="1" t="s">
        <v>24</v>
      </c>
      <c r="Z5439" s="1" t="s">
        <v>24</v>
      </c>
      <c r="AA5439" s="1" t="s">
        <v>24</v>
      </c>
      <c r="AB5439" s="1" t="s">
        <v>24</v>
      </c>
      <c r="AC5439" s="1" t="s">
        <v>24</v>
      </c>
      <c r="AD5439" s="1" t="s">
        <v>24</v>
      </c>
      <c r="AE5439" s="1" t="s">
        <v>24</v>
      </c>
      <c r="AF5439" s="22"/>
    </row>
    <row r="5440" spans="1:32" x14ac:dyDescent="0.2">
      <c r="A5440" s="1">
        <v>51731</v>
      </c>
      <c r="B5440" s="1" t="s">
        <v>16298</v>
      </c>
      <c r="C5440" s="5" t="s">
        <v>0</v>
      </c>
      <c r="D5440" s="1" t="s">
        <v>16299</v>
      </c>
      <c r="F5440" s="1" t="s">
        <v>493</v>
      </c>
      <c r="G5440" s="1" t="s">
        <v>98</v>
      </c>
      <c r="H5440" s="1" t="s">
        <v>30</v>
      </c>
      <c r="I5440" s="1" t="s">
        <v>16</v>
      </c>
      <c r="J5440" s="1">
        <v>1</v>
      </c>
      <c r="K5440" s="1">
        <v>6</v>
      </c>
      <c r="L5440" s="1" t="s">
        <v>31</v>
      </c>
      <c r="M5440" s="1" t="s">
        <v>18</v>
      </c>
      <c r="N5440" s="1" t="s">
        <v>18</v>
      </c>
      <c r="O5440" s="1">
        <v>3</v>
      </c>
      <c r="P5440" s="1">
        <v>7</v>
      </c>
      <c r="Q5440" s="7" t="s">
        <v>17633</v>
      </c>
      <c r="R5440" s="1" t="s">
        <v>19</v>
      </c>
      <c r="S5440" s="1" t="s">
        <v>20</v>
      </c>
      <c r="T5440" s="1" t="s">
        <v>21</v>
      </c>
      <c r="U5440" s="1" t="s">
        <v>22</v>
      </c>
      <c r="V5440" s="1" t="s">
        <v>24</v>
      </c>
      <c r="W5440" s="1" t="s">
        <v>24</v>
      </c>
      <c r="X5440" s="1">
        <v>2705</v>
      </c>
      <c r="Y5440" s="1">
        <v>2713</v>
      </c>
      <c r="Z5440" s="1" t="s">
        <v>24</v>
      </c>
      <c r="AA5440" s="1" t="s">
        <v>24</v>
      </c>
      <c r="AB5440" s="1" t="s">
        <v>24</v>
      </c>
      <c r="AC5440" s="1" t="s">
        <v>24</v>
      </c>
      <c r="AD5440" s="1" t="s">
        <v>24</v>
      </c>
      <c r="AE5440" s="1" t="s">
        <v>24</v>
      </c>
      <c r="AF5440" s="22" t="s">
        <v>17679</v>
      </c>
    </row>
    <row r="5441" spans="1:32" x14ac:dyDescent="0.2">
      <c r="A5441" s="1">
        <v>51779</v>
      </c>
      <c r="B5441" s="1" t="s">
        <v>16300</v>
      </c>
      <c r="C5441" s="5" t="s">
        <v>0</v>
      </c>
      <c r="E5441" s="1" t="s">
        <v>16301</v>
      </c>
      <c r="F5441" s="1" t="s">
        <v>751</v>
      </c>
      <c r="G5441" s="1" t="s">
        <v>36</v>
      </c>
      <c r="H5441" s="1" t="s">
        <v>37</v>
      </c>
      <c r="I5441" s="1" t="s">
        <v>16</v>
      </c>
      <c r="J5441" s="1">
        <v>1</v>
      </c>
      <c r="K5441" s="1">
        <v>4</v>
      </c>
      <c r="L5441" s="1" t="s">
        <v>31</v>
      </c>
      <c r="M5441" s="1" t="s">
        <v>18</v>
      </c>
      <c r="N5441" s="1" t="s">
        <v>18</v>
      </c>
      <c r="O5441" s="1">
        <v>3</v>
      </c>
      <c r="P5441" s="1">
        <v>7</v>
      </c>
      <c r="Q5441" s="7" t="s">
        <v>17633</v>
      </c>
      <c r="R5441" s="1" t="s">
        <v>19</v>
      </c>
      <c r="S5441" s="1" t="s">
        <v>20</v>
      </c>
      <c r="T5441" s="1" t="s">
        <v>21</v>
      </c>
      <c r="U5441" s="1" t="s">
        <v>22</v>
      </c>
      <c r="V5441" s="1" t="s">
        <v>23</v>
      </c>
      <c r="W5441" s="1" t="s">
        <v>24</v>
      </c>
      <c r="X5441" s="1">
        <v>2735</v>
      </c>
      <c r="Y5441" s="1" t="s">
        <v>24</v>
      </c>
      <c r="Z5441" s="1" t="s">
        <v>24</v>
      </c>
      <c r="AA5441" s="1" t="s">
        <v>24</v>
      </c>
      <c r="AB5441" s="1" t="s">
        <v>24</v>
      </c>
      <c r="AC5441" s="1" t="s">
        <v>24</v>
      </c>
      <c r="AD5441" s="1" t="s">
        <v>24</v>
      </c>
      <c r="AE5441" s="1" t="s">
        <v>24</v>
      </c>
      <c r="AF5441" s="22"/>
    </row>
    <row r="5442" spans="1:32" x14ac:dyDescent="0.2">
      <c r="A5442" s="1">
        <v>51794</v>
      </c>
      <c r="B5442" s="1" t="s">
        <v>16302</v>
      </c>
      <c r="C5442" s="5" t="s">
        <v>0</v>
      </c>
      <c r="E5442" s="1" t="s">
        <v>16303</v>
      </c>
      <c r="F5442" s="1" t="s">
        <v>1412</v>
      </c>
      <c r="G5442" s="1" t="s">
        <v>1413</v>
      </c>
      <c r="H5442" s="1" t="s">
        <v>30</v>
      </c>
      <c r="I5442" s="1" t="s">
        <v>16</v>
      </c>
      <c r="J5442" s="1">
        <v>1</v>
      </c>
      <c r="K5442" s="1">
        <v>1</v>
      </c>
      <c r="L5442" s="1" t="s">
        <v>31</v>
      </c>
      <c r="M5442" s="1" t="s">
        <v>18</v>
      </c>
      <c r="N5442" s="1" t="s">
        <v>18</v>
      </c>
      <c r="O5442" s="1">
        <v>2</v>
      </c>
      <c r="P5442" s="5">
        <v>6</v>
      </c>
      <c r="Q5442" s="10"/>
      <c r="R5442" s="1" t="s">
        <v>19</v>
      </c>
      <c r="S5442" s="1" t="s">
        <v>63</v>
      </c>
      <c r="T5442" s="1" t="s">
        <v>21</v>
      </c>
      <c r="U5442" s="1" t="s">
        <v>22</v>
      </c>
      <c r="V5442" s="1" t="s">
        <v>23</v>
      </c>
      <c r="W5442" s="1" t="s">
        <v>24</v>
      </c>
      <c r="X5442" s="1">
        <v>2708</v>
      </c>
      <c r="Y5442" s="1" t="s">
        <v>24</v>
      </c>
      <c r="Z5442" s="1" t="s">
        <v>24</v>
      </c>
      <c r="AA5442" s="1" t="s">
        <v>24</v>
      </c>
      <c r="AB5442" s="1" t="s">
        <v>24</v>
      </c>
      <c r="AC5442" s="1" t="s">
        <v>24</v>
      </c>
      <c r="AD5442" s="1" t="s">
        <v>24</v>
      </c>
      <c r="AE5442" s="1" t="s">
        <v>24</v>
      </c>
      <c r="AF5442" s="22"/>
    </row>
    <row r="5443" spans="1:32" x14ac:dyDescent="0.2">
      <c r="A5443" s="1">
        <v>51798</v>
      </c>
      <c r="B5443" s="1" t="s">
        <v>16304</v>
      </c>
      <c r="C5443" s="5" t="s">
        <v>0</v>
      </c>
      <c r="D5443" s="1" t="s">
        <v>16305</v>
      </c>
      <c r="E5443" s="1" t="s">
        <v>16306</v>
      </c>
      <c r="F5443" s="1" t="s">
        <v>1412</v>
      </c>
      <c r="G5443" s="1" t="s">
        <v>1413</v>
      </c>
      <c r="H5443" s="1" t="s">
        <v>30</v>
      </c>
      <c r="I5443" s="1" t="s">
        <v>16</v>
      </c>
      <c r="J5443" s="1">
        <v>1</v>
      </c>
      <c r="K5443" s="1">
        <v>1</v>
      </c>
      <c r="L5443" s="1" t="s">
        <v>31</v>
      </c>
      <c r="M5443" s="1" t="s">
        <v>18</v>
      </c>
      <c r="N5443" s="1" t="s">
        <v>18</v>
      </c>
      <c r="O5443" s="1">
        <v>3</v>
      </c>
      <c r="P5443" s="1">
        <v>7</v>
      </c>
      <c r="Q5443" s="7" t="s">
        <v>17633</v>
      </c>
      <c r="R5443" s="1" t="s">
        <v>19</v>
      </c>
      <c r="S5443" s="1" t="s">
        <v>63</v>
      </c>
      <c r="T5443" s="1" t="s">
        <v>21</v>
      </c>
      <c r="U5443" s="1" t="s">
        <v>22</v>
      </c>
      <c r="V5443" s="1" t="s">
        <v>23</v>
      </c>
      <c r="W5443" s="1" t="s">
        <v>24</v>
      </c>
      <c r="X5443" s="1">
        <v>2705</v>
      </c>
      <c r="Y5443" s="1" t="s">
        <v>24</v>
      </c>
      <c r="Z5443" s="1" t="s">
        <v>24</v>
      </c>
      <c r="AA5443" s="1" t="s">
        <v>24</v>
      </c>
      <c r="AB5443" s="1" t="s">
        <v>24</v>
      </c>
      <c r="AC5443" s="1" t="s">
        <v>24</v>
      </c>
      <c r="AD5443" s="1" t="s">
        <v>24</v>
      </c>
      <c r="AE5443" s="1" t="s">
        <v>24</v>
      </c>
      <c r="AF5443" s="22"/>
    </row>
    <row r="5444" spans="1:32" x14ac:dyDescent="0.2">
      <c r="A5444" s="1">
        <v>51799</v>
      </c>
      <c r="B5444" s="1" t="s">
        <v>16307</v>
      </c>
      <c r="C5444" s="5" t="s">
        <v>0</v>
      </c>
      <c r="D5444" s="1" t="s">
        <v>16308</v>
      </c>
      <c r="E5444" s="1" t="s">
        <v>16309</v>
      </c>
      <c r="F5444" s="1" t="s">
        <v>1412</v>
      </c>
      <c r="G5444" s="1" t="s">
        <v>1413</v>
      </c>
      <c r="H5444" s="1" t="s">
        <v>30</v>
      </c>
      <c r="I5444" s="1" t="s">
        <v>16</v>
      </c>
      <c r="J5444" s="1">
        <v>1</v>
      </c>
      <c r="K5444" s="1">
        <v>1</v>
      </c>
      <c r="L5444" s="1" t="s">
        <v>31</v>
      </c>
      <c r="M5444" s="1" t="s">
        <v>18</v>
      </c>
      <c r="N5444" s="1" t="s">
        <v>18</v>
      </c>
      <c r="O5444" s="1">
        <v>2</v>
      </c>
      <c r="P5444" s="1">
        <v>7</v>
      </c>
      <c r="Q5444" s="7" t="s">
        <v>17633</v>
      </c>
      <c r="R5444" s="1" t="s">
        <v>19</v>
      </c>
      <c r="S5444" s="1" t="s">
        <v>63</v>
      </c>
      <c r="T5444" s="1" t="s">
        <v>21</v>
      </c>
      <c r="U5444" s="1" t="s">
        <v>22</v>
      </c>
      <c r="V5444" s="1" t="s">
        <v>23</v>
      </c>
      <c r="W5444" s="1" t="s">
        <v>24</v>
      </c>
      <c r="X5444" s="1">
        <v>2712</v>
      </c>
      <c r="Y5444" s="1" t="s">
        <v>24</v>
      </c>
      <c r="Z5444" s="1" t="s">
        <v>24</v>
      </c>
      <c r="AA5444" s="1" t="s">
        <v>24</v>
      </c>
      <c r="AB5444" s="1" t="s">
        <v>24</v>
      </c>
      <c r="AC5444" s="1" t="s">
        <v>24</v>
      </c>
      <c r="AD5444" s="1" t="s">
        <v>24</v>
      </c>
      <c r="AE5444" s="1" t="s">
        <v>24</v>
      </c>
      <c r="AF5444" s="22"/>
    </row>
    <row r="5445" spans="1:32" x14ac:dyDescent="0.2">
      <c r="A5445" s="1">
        <v>51801</v>
      </c>
      <c r="B5445" s="1" t="s">
        <v>16310</v>
      </c>
      <c r="C5445" s="5" t="s">
        <v>0</v>
      </c>
      <c r="D5445" s="1" t="s">
        <v>16311</v>
      </c>
      <c r="E5445" s="1" t="s">
        <v>16312</v>
      </c>
      <c r="F5445" s="1" t="s">
        <v>1412</v>
      </c>
      <c r="G5445" s="1" t="s">
        <v>1413</v>
      </c>
      <c r="H5445" s="1" t="s">
        <v>30</v>
      </c>
      <c r="I5445" s="1" t="s">
        <v>16</v>
      </c>
      <c r="J5445" s="1">
        <v>1</v>
      </c>
      <c r="K5445" s="1">
        <v>1</v>
      </c>
      <c r="L5445" s="1" t="s">
        <v>31</v>
      </c>
      <c r="M5445" s="1" t="s">
        <v>18</v>
      </c>
      <c r="N5445" s="1" t="s">
        <v>18</v>
      </c>
      <c r="O5445" s="1">
        <v>3</v>
      </c>
      <c r="P5445" s="1">
        <v>7</v>
      </c>
      <c r="Q5445" s="7" t="s">
        <v>17633</v>
      </c>
      <c r="R5445" s="1" t="s">
        <v>19</v>
      </c>
      <c r="S5445" s="1" t="s">
        <v>63</v>
      </c>
      <c r="T5445" s="1" t="s">
        <v>21</v>
      </c>
      <c r="U5445" s="1" t="s">
        <v>22</v>
      </c>
      <c r="V5445" s="1" t="s">
        <v>24</v>
      </c>
      <c r="W5445" s="1" t="s">
        <v>24</v>
      </c>
      <c r="X5445" s="1">
        <v>2728</v>
      </c>
      <c r="Y5445" s="1">
        <v>2808</v>
      </c>
      <c r="Z5445" s="1" t="s">
        <v>24</v>
      </c>
      <c r="AA5445" s="1" t="s">
        <v>24</v>
      </c>
      <c r="AB5445" s="1" t="s">
        <v>24</v>
      </c>
      <c r="AC5445" s="1" t="s">
        <v>24</v>
      </c>
      <c r="AD5445" s="1" t="s">
        <v>24</v>
      </c>
      <c r="AE5445" s="1" t="s">
        <v>24</v>
      </c>
      <c r="AF5445" s="22"/>
    </row>
    <row r="5446" spans="1:32" x14ac:dyDescent="0.2">
      <c r="A5446" s="1">
        <v>51807</v>
      </c>
      <c r="B5446" s="1" t="s">
        <v>16313</v>
      </c>
      <c r="C5446" s="5" t="s">
        <v>0</v>
      </c>
      <c r="D5446" s="1" t="s">
        <v>16314</v>
      </c>
      <c r="E5446" s="1" t="s">
        <v>16315</v>
      </c>
      <c r="F5446" s="1" t="s">
        <v>79</v>
      </c>
      <c r="G5446" s="1" t="s">
        <v>80</v>
      </c>
      <c r="H5446" s="1" t="s">
        <v>81</v>
      </c>
      <c r="I5446" s="1" t="s">
        <v>16</v>
      </c>
      <c r="J5446" s="1">
        <v>1</v>
      </c>
      <c r="K5446" s="1">
        <v>4</v>
      </c>
      <c r="L5446" s="1" t="s">
        <v>31</v>
      </c>
      <c r="M5446" s="1" t="s">
        <v>18</v>
      </c>
      <c r="N5446" s="1" t="s">
        <v>18</v>
      </c>
      <c r="O5446" s="1">
        <v>3</v>
      </c>
      <c r="P5446" s="1">
        <v>6</v>
      </c>
      <c r="R5446" s="1" t="s">
        <v>19</v>
      </c>
      <c r="S5446" s="1" t="s">
        <v>20</v>
      </c>
      <c r="T5446" s="1" t="s">
        <v>21</v>
      </c>
      <c r="U5446" s="1" t="s">
        <v>22</v>
      </c>
      <c r="V5446" s="1" t="s">
        <v>24</v>
      </c>
      <c r="W5446" s="1" t="s">
        <v>24</v>
      </c>
      <c r="X5446" s="1">
        <v>2700</v>
      </c>
      <c r="Y5446" s="1" t="s">
        <v>24</v>
      </c>
      <c r="Z5446" s="1" t="s">
        <v>24</v>
      </c>
      <c r="AA5446" s="1" t="s">
        <v>24</v>
      </c>
      <c r="AB5446" s="1" t="s">
        <v>24</v>
      </c>
      <c r="AC5446" s="1" t="s">
        <v>24</v>
      </c>
      <c r="AD5446" s="1" t="s">
        <v>24</v>
      </c>
      <c r="AE5446" s="1" t="s">
        <v>24</v>
      </c>
      <c r="AF5446" s="22"/>
    </row>
    <row r="5447" spans="1:32" x14ac:dyDescent="0.2">
      <c r="A5447" s="1">
        <v>51815</v>
      </c>
      <c r="B5447" s="1" t="s">
        <v>16316</v>
      </c>
      <c r="C5447" s="5" t="s">
        <v>0</v>
      </c>
      <c r="D5447" s="1" t="s">
        <v>16317</v>
      </c>
      <c r="E5447" s="1" t="s">
        <v>16318</v>
      </c>
      <c r="F5447" s="1" t="s">
        <v>16319</v>
      </c>
      <c r="G5447" s="1" t="s">
        <v>16319</v>
      </c>
      <c r="H5447" s="1" t="s">
        <v>2772</v>
      </c>
      <c r="I5447" s="1" t="s">
        <v>16</v>
      </c>
      <c r="J5447" s="1">
        <v>1</v>
      </c>
      <c r="K5447" s="1">
        <v>6</v>
      </c>
      <c r="L5447" s="1" t="s">
        <v>42</v>
      </c>
      <c r="M5447" s="1" t="s">
        <v>18</v>
      </c>
      <c r="N5447" s="1" t="s">
        <v>18</v>
      </c>
      <c r="O5447" s="1">
        <v>3</v>
      </c>
      <c r="P5447" s="1">
        <v>5</v>
      </c>
      <c r="R5447" s="1" t="s">
        <v>19</v>
      </c>
      <c r="S5447" s="1" t="s">
        <v>20</v>
      </c>
      <c r="T5447" s="1" t="s">
        <v>21</v>
      </c>
      <c r="U5447" s="1" t="s">
        <v>22</v>
      </c>
      <c r="V5447" s="1" t="s">
        <v>24</v>
      </c>
      <c r="W5447" s="1" t="s">
        <v>24</v>
      </c>
      <c r="X5447" s="1">
        <v>2746</v>
      </c>
      <c r="Y5447" s="1" t="s">
        <v>24</v>
      </c>
      <c r="Z5447" s="1" t="s">
        <v>24</v>
      </c>
      <c r="AA5447" s="1" t="s">
        <v>24</v>
      </c>
      <c r="AB5447" s="1" t="s">
        <v>24</v>
      </c>
      <c r="AC5447" s="1" t="s">
        <v>24</v>
      </c>
      <c r="AD5447" s="1" t="s">
        <v>24</v>
      </c>
      <c r="AE5447" s="1" t="s">
        <v>24</v>
      </c>
      <c r="AF5447" s="22"/>
    </row>
    <row r="5448" spans="1:32" x14ac:dyDescent="0.2">
      <c r="A5448" s="1">
        <v>51824</v>
      </c>
      <c r="B5448" s="1" t="s">
        <v>16320</v>
      </c>
      <c r="C5448" s="5" t="s">
        <v>0</v>
      </c>
      <c r="D5448" s="1" t="s">
        <v>16321</v>
      </c>
      <c r="E5448" s="1" t="s">
        <v>16322</v>
      </c>
      <c r="F5448" s="1" t="s">
        <v>16323</v>
      </c>
      <c r="G5448" s="1" t="s">
        <v>16323</v>
      </c>
      <c r="H5448" s="1" t="s">
        <v>2772</v>
      </c>
      <c r="I5448" s="1" t="s">
        <v>16</v>
      </c>
      <c r="J5448" s="1">
        <v>1</v>
      </c>
      <c r="K5448" s="1">
        <v>6</v>
      </c>
      <c r="L5448" s="1" t="s">
        <v>42</v>
      </c>
      <c r="M5448" s="1" t="s">
        <v>18</v>
      </c>
      <c r="N5448" s="1" t="s">
        <v>18</v>
      </c>
      <c r="O5448" s="1">
        <v>3</v>
      </c>
      <c r="P5448" s="1">
        <v>6</v>
      </c>
      <c r="R5448" s="1" t="s">
        <v>19</v>
      </c>
      <c r="S5448" s="1" t="s">
        <v>20</v>
      </c>
      <c r="T5448" s="1" t="s">
        <v>21</v>
      </c>
      <c r="U5448" s="1" t="s">
        <v>22</v>
      </c>
      <c r="V5448" s="1" t="s">
        <v>23</v>
      </c>
      <c r="W5448" s="1" t="s">
        <v>24</v>
      </c>
      <c r="X5448" s="1">
        <v>2712</v>
      </c>
      <c r="Y5448" s="1" t="s">
        <v>24</v>
      </c>
      <c r="Z5448" s="1" t="s">
        <v>24</v>
      </c>
      <c r="AA5448" s="1" t="s">
        <v>24</v>
      </c>
      <c r="AB5448" s="1" t="s">
        <v>24</v>
      </c>
      <c r="AC5448" s="1" t="s">
        <v>24</v>
      </c>
      <c r="AD5448" s="1" t="s">
        <v>24</v>
      </c>
      <c r="AE5448" s="1" t="s">
        <v>24</v>
      </c>
      <c r="AF5448" s="22"/>
    </row>
    <row r="5449" spans="1:32" x14ac:dyDescent="0.2">
      <c r="A5449" s="1">
        <v>51839</v>
      </c>
      <c r="B5449" s="1" t="s">
        <v>16324</v>
      </c>
      <c r="C5449" s="5" t="s">
        <v>0</v>
      </c>
      <c r="E5449" s="1" t="s">
        <v>16325</v>
      </c>
      <c r="F5449" s="1" t="s">
        <v>12818</v>
      </c>
      <c r="G5449" s="1" t="s">
        <v>12818</v>
      </c>
      <c r="H5449" s="1" t="s">
        <v>184</v>
      </c>
      <c r="I5449" s="1" t="s">
        <v>16</v>
      </c>
      <c r="J5449" s="1">
        <v>1</v>
      </c>
      <c r="K5449" s="1">
        <v>1</v>
      </c>
      <c r="L5449" s="1" t="s">
        <v>42</v>
      </c>
      <c r="M5449" s="1" t="s">
        <v>18</v>
      </c>
      <c r="N5449" s="1" t="s">
        <v>18</v>
      </c>
      <c r="O5449" s="1">
        <v>2</v>
      </c>
      <c r="P5449" s="1">
        <v>6</v>
      </c>
      <c r="R5449" s="1" t="s">
        <v>19</v>
      </c>
      <c r="S5449" s="1" t="s">
        <v>63</v>
      </c>
      <c r="T5449" s="1" t="s">
        <v>21</v>
      </c>
      <c r="U5449" s="1" t="s">
        <v>22</v>
      </c>
      <c r="V5449" s="1" t="s">
        <v>24</v>
      </c>
      <c r="W5449" s="1" t="s">
        <v>24</v>
      </c>
      <c r="X5449" s="1">
        <v>3501</v>
      </c>
      <c r="Y5449" s="1">
        <v>2725</v>
      </c>
      <c r="Z5449" s="1">
        <v>2726</v>
      </c>
      <c r="AA5449" s="1" t="s">
        <v>24</v>
      </c>
      <c r="AB5449" s="1" t="s">
        <v>24</v>
      </c>
      <c r="AC5449" s="1" t="s">
        <v>24</v>
      </c>
      <c r="AD5449" s="1" t="s">
        <v>24</v>
      </c>
      <c r="AE5449" s="1" t="s">
        <v>24</v>
      </c>
      <c r="AF5449" s="22"/>
    </row>
    <row r="5450" spans="1:32" x14ac:dyDescent="0.2">
      <c r="A5450" s="1">
        <v>51840</v>
      </c>
      <c r="B5450" s="1" t="s">
        <v>16326</v>
      </c>
      <c r="C5450" s="5" t="s">
        <v>0</v>
      </c>
      <c r="D5450" s="1" t="s">
        <v>16327</v>
      </c>
      <c r="E5450" s="1" t="s">
        <v>16328</v>
      </c>
      <c r="F5450" s="1" t="s">
        <v>1949</v>
      </c>
      <c r="G5450" s="1" t="s">
        <v>1949</v>
      </c>
      <c r="H5450" s="1" t="s">
        <v>684</v>
      </c>
      <c r="I5450" s="1" t="s">
        <v>16</v>
      </c>
      <c r="J5450" s="1">
        <v>1</v>
      </c>
      <c r="K5450" s="1">
        <v>1</v>
      </c>
      <c r="L5450" s="1" t="s">
        <v>42</v>
      </c>
      <c r="M5450" s="1" t="s">
        <v>18</v>
      </c>
      <c r="N5450" s="1" t="s">
        <v>18</v>
      </c>
      <c r="O5450" s="1">
        <v>3</v>
      </c>
      <c r="P5450" s="1">
        <v>6</v>
      </c>
      <c r="R5450" s="1" t="s">
        <v>19</v>
      </c>
      <c r="S5450" s="1" t="s">
        <v>63</v>
      </c>
      <c r="T5450" s="1" t="s">
        <v>21</v>
      </c>
      <c r="U5450" s="1" t="s">
        <v>22</v>
      </c>
      <c r="V5450" s="1" t="s">
        <v>23</v>
      </c>
      <c r="W5450" s="1" t="s">
        <v>24</v>
      </c>
      <c r="X5450" s="1">
        <v>2738</v>
      </c>
      <c r="Y5450" s="1" t="s">
        <v>24</v>
      </c>
      <c r="Z5450" s="1" t="s">
        <v>24</v>
      </c>
      <c r="AA5450" s="1" t="s">
        <v>24</v>
      </c>
      <c r="AB5450" s="1" t="s">
        <v>24</v>
      </c>
      <c r="AC5450" s="1" t="s">
        <v>24</v>
      </c>
      <c r="AD5450" s="1" t="s">
        <v>24</v>
      </c>
      <c r="AE5450" s="1" t="s">
        <v>24</v>
      </c>
      <c r="AF5450" s="22"/>
    </row>
    <row r="5451" spans="1:32" x14ac:dyDescent="0.2">
      <c r="A5451" s="1">
        <v>51852</v>
      </c>
      <c r="B5451" s="1" t="s">
        <v>16329</v>
      </c>
      <c r="C5451" s="5" t="s">
        <v>0</v>
      </c>
      <c r="D5451" s="1" t="s">
        <v>16330</v>
      </c>
      <c r="E5451" s="1" t="s">
        <v>16331</v>
      </c>
      <c r="F5451" s="1" t="s">
        <v>16332</v>
      </c>
      <c r="G5451" s="1" t="s">
        <v>16332</v>
      </c>
      <c r="H5451" s="1" t="s">
        <v>3593</v>
      </c>
      <c r="I5451" s="1" t="s">
        <v>16</v>
      </c>
      <c r="J5451" s="1">
        <v>1</v>
      </c>
      <c r="K5451" s="1">
        <v>3</v>
      </c>
      <c r="L5451" s="1" t="s">
        <v>42</v>
      </c>
      <c r="M5451" s="1" t="s">
        <v>118</v>
      </c>
      <c r="N5451" s="1" t="s">
        <v>118</v>
      </c>
      <c r="O5451" s="1">
        <v>2</v>
      </c>
      <c r="P5451" s="1">
        <v>6</v>
      </c>
      <c r="R5451" s="1" t="s">
        <v>19</v>
      </c>
      <c r="S5451" s="1" t="s">
        <v>20</v>
      </c>
      <c r="T5451" s="1" t="s">
        <v>21</v>
      </c>
      <c r="U5451" s="1" t="s">
        <v>22</v>
      </c>
      <c r="V5451" s="1" t="s">
        <v>24</v>
      </c>
      <c r="W5451" s="1" t="s">
        <v>24</v>
      </c>
      <c r="X5451" s="1">
        <v>2403</v>
      </c>
      <c r="Y5451" s="1">
        <v>1313</v>
      </c>
      <c r="Z5451" s="1">
        <v>2723</v>
      </c>
      <c r="AA5451" s="1">
        <v>3002</v>
      </c>
      <c r="AB5451" s="1" t="s">
        <v>24</v>
      </c>
      <c r="AC5451" s="1" t="s">
        <v>24</v>
      </c>
      <c r="AD5451" s="1" t="s">
        <v>24</v>
      </c>
      <c r="AE5451" s="1" t="s">
        <v>24</v>
      </c>
      <c r="AF5451" s="22"/>
    </row>
    <row r="5452" spans="1:32" x14ac:dyDescent="0.2">
      <c r="A5452" s="1">
        <v>51856</v>
      </c>
      <c r="B5452" s="1" t="s">
        <v>16333</v>
      </c>
      <c r="C5452" s="5" t="s">
        <v>0</v>
      </c>
      <c r="D5452" s="1" t="s">
        <v>16334</v>
      </c>
      <c r="E5452" s="1" t="s">
        <v>16335</v>
      </c>
      <c r="F5452" s="1" t="s">
        <v>16336</v>
      </c>
      <c r="G5452" s="1" t="s">
        <v>16336</v>
      </c>
      <c r="H5452" s="1" t="s">
        <v>2772</v>
      </c>
      <c r="I5452" s="1" t="s">
        <v>16</v>
      </c>
      <c r="J5452" s="1">
        <v>1</v>
      </c>
      <c r="K5452" s="1">
        <v>4</v>
      </c>
      <c r="L5452" s="1" t="s">
        <v>42</v>
      </c>
      <c r="M5452" s="1" t="s">
        <v>18</v>
      </c>
      <c r="N5452" s="1" t="s">
        <v>18</v>
      </c>
      <c r="O5452" s="1">
        <v>2</v>
      </c>
      <c r="P5452" s="1">
        <v>5</v>
      </c>
      <c r="R5452" s="1" t="s">
        <v>19</v>
      </c>
      <c r="S5452" s="1" t="s">
        <v>20</v>
      </c>
      <c r="T5452" s="1" t="s">
        <v>21</v>
      </c>
      <c r="U5452" s="1" t="s">
        <v>22</v>
      </c>
      <c r="V5452" s="1" t="s">
        <v>24</v>
      </c>
      <c r="W5452" s="1" t="s">
        <v>24</v>
      </c>
      <c r="X5452" s="1">
        <v>2705</v>
      </c>
      <c r="Y5452" s="1">
        <v>2741</v>
      </c>
      <c r="Z5452" s="1" t="s">
        <v>24</v>
      </c>
      <c r="AA5452" s="1" t="s">
        <v>24</v>
      </c>
      <c r="AB5452" s="1" t="s">
        <v>24</v>
      </c>
      <c r="AC5452" s="1" t="s">
        <v>24</v>
      </c>
      <c r="AD5452" s="1" t="s">
        <v>24</v>
      </c>
      <c r="AE5452" s="1" t="s">
        <v>24</v>
      </c>
      <c r="AF5452" s="22"/>
    </row>
    <row r="5453" spans="1:32" x14ac:dyDescent="0.2">
      <c r="A5453" s="1">
        <v>51858</v>
      </c>
      <c r="B5453" s="1" t="s">
        <v>16337</v>
      </c>
      <c r="C5453" s="5" t="s">
        <v>0</v>
      </c>
      <c r="D5453" s="1" t="s">
        <v>16338</v>
      </c>
      <c r="F5453" s="1" t="s">
        <v>16339</v>
      </c>
      <c r="G5453" s="1" t="s">
        <v>16339</v>
      </c>
      <c r="H5453" s="1" t="s">
        <v>1007</v>
      </c>
      <c r="I5453" s="1" t="s">
        <v>16</v>
      </c>
      <c r="J5453" s="1">
        <v>1</v>
      </c>
      <c r="K5453" s="1">
        <v>12</v>
      </c>
      <c r="L5453" s="1" t="s">
        <v>42</v>
      </c>
      <c r="M5453" s="1" t="s">
        <v>18</v>
      </c>
      <c r="N5453" s="1" t="s">
        <v>18</v>
      </c>
      <c r="O5453" s="1">
        <v>3</v>
      </c>
      <c r="P5453" s="1">
        <v>5</v>
      </c>
      <c r="R5453" s="1" t="s">
        <v>19</v>
      </c>
      <c r="S5453" s="1" t="s">
        <v>20</v>
      </c>
      <c r="T5453" s="1" t="s">
        <v>21</v>
      </c>
      <c r="U5453" s="1" t="s">
        <v>22</v>
      </c>
      <c r="V5453" s="1" t="s">
        <v>24</v>
      </c>
      <c r="W5453" s="1" t="s">
        <v>24</v>
      </c>
      <c r="X5453" s="1">
        <v>2700</v>
      </c>
      <c r="Y5453" s="1">
        <v>1300</v>
      </c>
      <c r="Z5453" s="1" t="s">
        <v>24</v>
      </c>
      <c r="AA5453" s="1" t="s">
        <v>24</v>
      </c>
      <c r="AB5453" s="1" t="s">
        <v>24</v>
      </c>
      <c r="AC5453" s="1" t="s">
        <v>24</v>
      </c>
      <c r="AD5453" s="1" t="s">
        <v>24</v>
      </c>
      <c r="AE5453" s="1" t="s">
        <v>24</v>
      </c>
      <c r="AF5453" s="22"/>
    </row>
    <row r="5454" spans="1:32" x14ac:dyDescent="0.2">
      <c r="A5454" s="1">
        <v>51867</v>
      </c>
      <c r="B5454" s="1" t="s">
        <v>16340</v>
      </c>
      <c r="C5454" s="5" t="s">
        <v>0</v>
      </c>
      <c r="E5454" s="1" t="s">
        <v>16341</v>
      </c>
      <c r="F5454" s="1" t="s">
        <v>155</v>
      </c>
      <c r="G5454" s="1" t="s">
        <v>61</v>
      </c>
      <c r="H5454" s="1" t="s">
        <v>37</v>
      </c>
      <c r="I5454" s="1" t="s">
        <v>16</v>
      </c>
      <c r="J5454" s="1">
        <v>1</v>
      </c>
      <c r="K5454" s="1">
        <v>3</v>
      </c>
      <c r="L5454" s="1" t="s">
        <v>31</v>
      </c>
      <c r="M5454" s="1" t="s">
        <v>18</v>
      </c>
      <c r="N5454" s="1" t="s">
        <v>18</v>
      </c>
      <c r="O5454" s="1">
        <v>3</v>
      </c>
      <c r="P5454" s="1">
        <v>6</v>
      </c>
      <c r="R5454" s="1" t="s">
        <v>19</v>
      </c>
      <c r="S5454" s="1" t="s">
        <v>20</v>
      </c>
      <c r="T5454" s="1" t="s">
        <v>21</v>
      </c>
      <c r="U5454" s="1" t="s">
        <v>22</v>
      </c>
      <c r="V5454" s="1" t="s">
        <v>24</v>
      </c>
      <c r="W5454" s="1" t="s">
        <v>24</v>
      </c>
      <c r="X5454" s="1">
        <v>2712</v>
      </c>
      <c r="Y5454" s="1">
        <v>2916</v>
      </c>
      <c r="Z5454" s="1" t="s">
        <v>24</v>
      </c>
      <c r="AA5454" s="1" t="s">
        <v>24</v>
      </c>
      <c r="AB5454" s="1" t="s">
        <v>24</v>
      </c>
      <c r="AC5454" s="1" t="s">
        <v>24</v>
      </c>
      <c r="AD5454" s="1" t="s">
        <v>24</v>
      </c>
      <c r="AE5454" s="1" t="s">
        <v>24</v>
      </c>
      <c r="AF5454" s="22"/>
    </row>
    <row r="5455" spans="1:32" x14ac:dyDescent="0.2">
      <c r="A5455" s="1">
        <v>51928</v>
      </c>
      <c r="B5455" s="1" t="s">
        <v>16342</v>
      </c>
      <c r="C5455" s="5" t="s">
        <v>0</v>
      </c>
      <c r="D5455" s="1" t="s">
        <v>16343</v>
      </c>
      <c r="E5455" s="1" t="s">
        <v>16344</v>
      </c>
      <c r="F5455" s="1" t="s">
        <v>16345</v>
      </c>
      <c r="G5455" s="1" t="s">
        <v>16345</v>
      </c>
      <c r="H5455" s="1" t="s">
        <v>4064</v>
      </c>
      <c r="I5455" s="1" t="s">
        <v>16</v>
      </c>
      <c r="J5455" s="1">
        <v>1</v>
      </c>
      <c r="K5455" s="1">
        <v>4</v>
      </c>
      <c r="L5455" s="1" t="s">
        <v>42</v>
      </c>
      <c r="M5455" s="1" t="s">
        <v>4065</v>
      </c>
      <c r="N5455" s="1" t="s">
        <v>4066</v>
      </c>
      <c r="O5455" s="1">
        <v>2</v>
      </c>
      <c r="P5455" s="1">
        <v>6</v>
      </c>
      <c r="R5455" s="1" t="s">
        <v>19</v>
      </c>
      <c r="S5455" s="1" t="s">
        <v>20</v>
      </c>
      <c r="T5455" s="1" t="s">
        <v>21</v>
      </c>
      <c r="U5455" s="1" t="s">
        <v>22</v>
      </c>
      <c r="V5455" s="1" t="s">
        <v>23</v>
      </c>
      <c r="W5455" s="1" t="s">
        <v>24</v>
      </c>
      <c r="X5455" s="1">
        <v>2712</v>
      </c>
      <c r="Y5455" s="1">
        <v>2724</v>
      </c>
      <c r="Z5455" s="1">
        <v>1310</v>
      </c>
      <c r="AA5455" s="1" t="s">
        <v>24</v>
      </c>
      <c r="AB5455" s="1" t="s">
        <v>24</v>
      </c>
      <c r="AC5455" s="1" t="s">
        <v>24</v>
      </c>
      <c r="AD5455" s="1" t="s">
        <v>24</v>
      </c>
      <c r="AE5455" s="1" t="s">
        <v>24</v>
      </c>
      <c r="AF5455" s="22"/>
    </row>
    <row r="5456" spans="1:32" x14ac:dyDescent="0.2">
      <c r="A5456" s="1">
        <v>51932</v>
      </c>
      <c r="B5456" s="1" t="s">
        <v>16346</v>
      </c>
      <c r="C5456" s="5" t="s">
        <v>0</v>
      </c>
      <c r="D5456" s="1" t="s">
        <v>16347</v>
      </c>
      <c r="E5456" s="1" t="s">
        <v>16348</v>
      </c>
      <c r="F5456" s="1" t="s">
        <v>16349</v>
      </c>
      <c r="G5456" s="1" t="s">
        <v>16349</v>
      </c>
      <c r="H5456" s="1" t="s">
        <v>2772</v>
      </c>
      <c r="I5456" s="1" t="s">
        <v>16</v>
      </c>
      <c r="J5456" s="1">
        <v>1</v>
      </c>
      <c r="K5456" s="1">
        <v>4</v>
      </c>
      <c r="L5456" s="1" t="s">
        <v>42</v>
      </c>
      <c r="M5456" s="1" t="s">
        <v>18</v>
      </c>
      <c r="N5456" s="1" t="s">
        <v>18</v>
      </c>
      <c r="O5456" s="1">
        <v>3</v>
      </c>
      <c r="P5456" s="1">
        <v>6</v>
      </c>
      <c r="R5456" s="1" t="s">
        <v>19</v>
      </c>
      <c r="S5456" s="1" t="s">
        <v>20</v>
      </c>
      <c r="T5456" s="1" t="s">
        <v>21</v>
      </c>
      <c r="U5456" s="1" t="s">
        <v>22</v>
      </c>
      <c r="V5456" s="1" t="s">
        <v>23</v>
      </c>
      <c r="W5456" s="1" t="s">
        <v>24</v>
      </c>
      <c r="X5456" s="1">
        <v>2715</v>
      </c>
      <c r="Y5456" s="1">
        <v>2730</v>
      </c>
      <c r="Z5456" s="1">
        <v>1306</v>
      </c>
      <c r="AA5456" s="1" t="s">
        <v>24</v>
      </c>
      <c r="AB5456" s="1" t="s">
        <v>24</v>
      </c>
      <c r="AC5456" s="1" t="s">
        <v>24</v>
      </c>
      <c r="AD5456" s="1" t="s">
        <v>24</v>
      </c>
      <c r="AE5456" s="1" t="s">
        <v>24</v>
      </c>
      <c r="AF5456" s="22"/>
    </row>
    <row r="5457" spans="1:32" x14ac:dyDescent="0.2">
      <c r="A5457" s="1">
        <v>51933</v>
      </c>
      <c r="B5457" s="1" t="s">
        <v>16350</v>
      </c>
      <c r="C5457" s="5" t="s">
        <v>0</v>
      </c>
      <c r="D5457" s="1" t="s">
        <v>16351</v>
      </c>
      <c r="E5457" s="1" t="s">
        <v>16352</v>
      </c>
      <c r="F5457" s="1" t="s">
        <v>16353</v>
      </c>
      <c r="G5457" s="1" t="s">
        <v>16353</v>
      </c>
      <c r="H5457" s="1" t="s">
        <v>2772</v>
      </c>
      <c r="I5457" s="1" t="s">
        <v>16</v>
      </c>
      <c r="J5457" s="1">
        <v>1</v>
      </c>
      <c r="K5457" s="1">
        <v>4</v>
      </c>
      <c r="L5457" s="1" t="s">
        <v>42</v>
      </c>
      <c r="M5457" s="1" t="s">
        <v>18</v>
      </c>
      <c r="N5457" s="1" t="s">
        <v>18</v>
      </c>
      <c r="O5457" s="1">
        <v>2</v>
      </c>
      <c r="P5457" s="1">
        <v>6</v>
      </c>
      <c r="R5457" s="1" t="s">
        <v>19</v>
      </c>
      <c r="S5457" s="1" t="s">
        <v>20</v>
      </c>
      <c r="T5457" s="1" t="s">
        <v>21</v>
      </c>
      <c r="U5457" s="1" t="s">
        <v>22</v>
      </c>
      <c r="V5457" s="1" t="s">
        <v>24</v>
      </c>
      <c r="W5457" s="1" t="s">
        <v>24</v>
      </c>
      <c r="X5457" s="1">
        <v>2730</v>
      </c>
      <c r="Y5457" s="1">
        <v>2741</v>
      </c>
      <c r="Z5457" s="1" t="s">
        <v>24</v>
      </c>
      <c r="AA5457" s="1" t="s">
        <v>24</v>
      </c>
      <c r="AB5457" s="1" t="s">
        <v>24</v>
      </c>
      <c r="AC5457" s="1" t="s">
        <v>24</v>
      </c>
      <c r="AD5457" s="1" t="s">
        <v>24</v>
      </c>
      <c r="AE5457" s="1" t="s">
        <v>24</v>
      </c>
      <c r="AF5457" s="22"/>
    </row>
    <row r="5458" spans="1:32" x14ac:dyDescent="0.2">
      <c r="A5458" s="1">
        <v>52022</v>
      </c>
      <c r="B5458" s="1" t="s">
        <v>16354</v>
      </c>
      <c r="C5458" s="5" t="s">
        <v>0</v>
      </c>
      <c r="D5458" s="1" t="s">
        <v>16355</v>
      </c>
      <c r="E5458" s="1" t="s">
        <v>16356</v>
      </c>
      <c r="F5458" s="1" t="s">
        <v>85</v>
      </c>
      <c r="G5458" s="1" t="s">
        <v>3668</v>
      </c>
      <c r="H5458" s="1" t="s">
        <v>86</v>
      </c>
      <c r="I5458" s="1" t="s">
        <v>16</v>
      </c>
      <c r="J5458" s="1">
        <v>1</v>
      </c>
      <c r="K5458" s="1">
        <v>12</v>
      </c>
      <c r="L5458" s="1" t="s">
        <v>31</v>
      </c>
      <c r="M5458" s="1" t="s">
        <v>87</v>
      </c>
      <c r="N5458" s="1" t="s">
        <v>18</v>
      </c>
      <c r="O5458" s="1">
        <v>2</v>
      </c>
      <c r="P5458" s="1">
        <v>6</v>
      </c>
      <c r="R5458" s="1" t="s">
        <v>19</v>
      </c>
      <c r="S5458" s="1" t="s">
        <v>20</v>
      </c>
      <c r="T5458" s="1" t="s">
        <v>21</v>
      </c>
      <c r="U5458" s="1" t="s">
        <v>22</v>
      </c>
      <c r="V5458" s="1" t="s">
        <v>23</v>
      </c>
      <c r="W5458" s="1" t="s">
        <v>24</v>
      </c>
      <c r="X5458" s="1">
        <v>2741</v>
      </c>
      <c r="Y5458" s="1">
        <v>3614</v>
      </c>
      <c r="Z5458" s="1" t="s">
        <v>24</v>
      </c>
      <c r="AA5458" s="1" t="s">
        <v>24</v>
      </c>
      <c r="AB5458" s="1" t="s">
        <v>24</v>
      </c>
      <c r="AC5458" s="1" t="s">
        <v>24</v>
      </c>
      <c r="AD5458" s="1" t="s">
        <v>24</v>
      </c>
      <c r="AE5458" s="1" t="s">
        <v>24</v>
      </c>
      <c r="AF5458" s="22"/>
    </row>
    <row r="5459" spans="1:32" x14ac:dyDescent="0.2">
      <c r="A5459" s="1">
        <v>52124</v>
      </c>
      <c r="B5459" s="1" t="s">
        <v>16357</v>
      </c>
      <c r="C5459" s="5" t="s">
        <v>0</v>
      </c>
      <c r="D5459" s="1" t="s">
        <v>16358</v>
      </c>
      <c r="F5459" s="1" t="s">
        <v>16359</v>
      </c>
      <c r="G5459" s="1" t="s">
        <v>16360</v>
      </c>
      <c r="H5459" s="1" t="s">
        <v>1007</v>
      </c>
      <c r="I5459" s="1" t="s">
        <v>16</v>
      </c>
      <c r="J5459" s="1">
        <v>1</v>
      </c>
      <c r="K5459" s="1">
        <v>53</v>
      </c>
      <c r="L5459" s="1" t="s">
        <v>31</v>
      </c>
      <c r="M5459" s="1" t="s">
        <v>4418</v>
      </c>
      <c r="N5459" s="1" t="s">
        <v>4418</v>
      </c>
      <c r="O5459" s="1">
        <v>3</v>
      </c>
      <c r="P5459" s="1">
        <v>6</v>
      </c>
      <c r="R5459" s="1" t="s">
        <v>19</v>
      </c>
      <c r="S5459" s="1" t="s">
        <v>20</v>
      </c>
      <c r="T5459" s="1" t="s">
        <v>21</v>
      </c>
      <c r="U5459" s="1" t="s">
        <v>22</v>
      </c>
      <c r="V5459" s="1" t="s">
        <v>23</v>
      </c>
      <c r="W5459" s="1" t="s">
        <v>24</v>
      </c>
      <c r="X5459" s="1">
        <v>1308</v>
      </c>
      <c r="Y5459" s="1">
        <v>2204</v>
      </c>
      <c r="Z5459" s="1">
        <v>2732</v>
      </c>
      <c r="AA5459" s="1" t="s">
        <v>24</v>
      </c>
      <c r="AB5459" s="1" t="s">
        <v>24</v>
      </c>
      <c r="AC5459" s="1" t="s">
        <v>24</v>
      </c>
      <c r="AD5459" s="1" t="s">
        <v>24</v>
      </c>
      <c r="AE5459" s="1" t="s">
        <v>24</v>
      </c>
      <c r="AF5459" s="22"/>
    </row>
    <row r="5460" spans="1:32" x14ac:dyDescent="0.2">
      <c r="A5460" s="1">
        <v>52201</v>
      </c>
      <c r="B5460" s="1" t="s">
        <v>16361</v>
      </c>
      <c r="C5460" s="5" t="s">
        <v>0</v>
      </c>
      <c r="E5460" s="1" t="s">
        <v>16362</v>
      </c>
      <c r="F5460" s="1" t="s">
        <v>15614</v>
      </c>
      <c r="G5460" s="1" t="s">
        <v>15614</v>
      </c>
      <c r="H5460" s="1" t="s">
        <v>111</v>
      </c>
      <c r="I5460" s="1" t="s">
        <v>16</v>
      </c>
      <c r="J5460" s="1">
        <v>1</v>
      </c>
      <c r="K5460" s="1">
        <v>1</v>
      </c>
      <c r="L5460" s="1" t="s">
        <v>42</v>
      </c>
      <c r="M5460" s="1" t="s">
        <v>18</v>
      </c>
      <c r="N5460" s="1" t="s">
        <v>18</v>
      </c>
      <c r="O5460" s="1">
        <v>3</v>
      </c>
      <c r="P5460" s="1">
        <v>6</v>
      </c>
      <c r="R5460" s="1" t="s">
        <v>19</v>
      </c>
      <c r="S5460" s="1" t="s">
        <v>63</v>
      </c>
      <c r="T5460" s="1" t="s">
        <v>21</v>
      </c>
      <c r="U5460" s="1" t="s">
        <v>22</v>
      </c>
      <c r="V5460" s="1" t="s">
        <v>24</v>
      </c>
      <c r="W5460" s="1" t="s">
        <v>24</v>
      </c>
      <c r="X5460" s="1">
        <v>2728</v>
      </c>
      <c r="Y5460" s="1">
        <v>2808</v>
      </c>
      <c r="Z5460" s="1" t="s">
        <v>24</v>
      </c>
      <c r="AA5460" s="1" t="s">
        <v>24</v>
      </c>
      <c r="AB5460" s="1" t="s">
        <v>24</v>
      </c>
      <c r="AC5460" s="1" t="s">
        <v>24</v>
      </c>
      <c r="AD5460" s="1" t="s">
        <v>24</v>
      </c>
      <c r="AE5460" s="1" t="s">
        <v>24</v>
      </c>
      <c r="AF5460" s="22" t="s">
        <v>17673</v>
      </c>
    </row>
    <row r="5461" spans="1:32" x14ac:dyDescent="0.2">
      <c r="A5461" s="1">
        <v>52202</v>
      </c>
      <c r="B5461" s="1" t="s">
        <v>16363</v>
      </c>
      <c r="C5461" s="5" t="s">
        <v>0</v>
      </c>
      <c r="E5461" s="1" t="s">
        <v>16364</v>
      </c>
      <c r="F5461" s="1" t="s">
        <v>15614</v>
      </c>
      <c r="G5461" s="1" t="s">
        <v>15614</v>
      </c>
      <c r="H5461" s="1" t="s">
        <v>111</v>
      </c>
      <c r="I5461" s="1" t="s">
        <v>16</v>
      </c>
      <c r="J5461" s="1">
        <v>1</v>
      </c>
      <c r="K5461" s="1">
        <v>1</v>
      </c>
      <c r="L5461" s="1" t="s">
        <v>42</v>
      </c>
      <c r="M5461" s="1" t="s">
        <v>18</v>
      </c>
      <c r="N5461" s="1" t="s">
        <v>18</v>
      </c>
      <c r="O5461" s="1">
        <v>3</v>
      </c>
      <c r="P5461" s="1">
        <v>6</v>
      </c>
      <c r="R5461" s="1" t="s">
        <v>19</v>
      </c>
      <c r="S5461" s="1" t="s">
        <v>63</v>
      </c>
      <c r="T5461" s="1" t="s">
        <v>21</v>
      </c>
      <c r="U5461" s="1" t="s">
        <v>22</v>
      </c>
      <c r="V5461" s="1" t="s">
        <v>24</v>
      </c>
      <c r="W5461" s="1" t="s">
        <v>24</v>
      </c>
      <c r="X5461" s="1">
        <v>2736</v>
      </c>
      <c r="Y5461" s="1">
        <v>3004</v>
      </c>
      <c r="Z5461" s="1" t="s">
        <v>24</v>
      </c>
      <c r="AA5461" s="1" t="s">
        <v>24</v>
      </c>
      <c r="AB5461" s="1" t="s">
        <v>24</v>
      </c>
      <c r="AC5461" s="1" t="s">
        <v>24</v>
      </c>
      <c r="AD5461" s="1" t="s">
        <v>24</v>
      </c>
      <c r="AE5461" s="1" t="s">
        <v>24</v>
      </c>
      <c r="AF5461" s="22" t="s">
        <v>17673</v>
      </c>
    </row>
    <row r="5462" spans="1:32" x14ac:dyDescent="0.2">
      <c r="A5462" s="1">
        <v>52203</v>
      </c>
      <c r="B5462" s="1" t="s">
        <v>16365</v>
      </c>
      <c r="C5462" s="5" t="s">
        <v>0</v>
      </c>
      <c r="E5462" s="1" t="s">
        <v>16366</v>
      </c>
      <c r="F5462" s="1" t="s">
        <v>15614</v>
      </c>
      <c r="G5462" s="1" t="s">
        <v>15614</v>
      </c>
      <c r="H5462" s="1" t="s">
        <v>111</v>
      </c>
      <c r="I5462" s="1" t="s">
        <v>16</v>
      </c>
      <c r="J5462" s="1">
        <v>1</v>
      </c>
      <c r="K5462" s="1">
        <v>1</v>
      </c>
      <c r="L5462" s="1" t="s">
        <v>42</v>
      </c>
      <c r="M5462" s="1" t="s">
        <v>18</v>
      </c>
      <c r="N5462" s="1" t="s">
        <v>18</v>
      </c>
      <c r="O5462" s="1">
        <v>3</v>
      </c>
      <c r="P5462" s="1">
        <v>6</v>
      </c>
      <c r="R5462" s="1" t="s">
        <v>19</v>
      </c>
      <c r="S5462" s="1" t="s">
        <v>63</v>
      </c>
      <c r="T5462" s="1" t="s">
        <v>21</v>
      </c>
      <c r="U5462" s="1" t="s">
        <v>22</v>
      </c>
      <c r="V5462" s="1" t="s">
        <v>24</v>
      </c>
      <c r="W5462" s="1" t="s">
        <v>24</v>
      </c>
      <c r="X5462" s="1">
        <v>1314</v>
      </c>
      <c r="Y5462" s="1">
        <v>2737</v>
      </c>
      <c r="Z5462" s="1" t="s">
        <v>24</v>
      </c>
      <c r="AA5462" s="1" t="s">
        <v>24</v>
      </c>
      <c r="AB5462" s="1" t="s">
        <v>24</v>
      </c>
      <c r="AC5462" s="1" t="s">
        <v>24</v>
      </c>
      <c r="AD5462" s="1" t="s">
        <v>24</v>
      </c>
      <c r="AE5462" s="1" t="s">
        <v>24</v>
      </c>
      <c r="AF5462" s="22" t="s">
        <v>17673</v>
      </c>
    </row>
    <row r="5463" spans="1:32" x14ac:dyDescent="0.2">
      <c r="A5463" s="1">
        <v>52204</v>
      </c>
      <c r="B5463" s="1" t="s">
        <v>16367</v>
      </c>
      <c r="C5463" s="5" t="s">
        <v>0</v>
      </c>
      <c r="E5463" s="1" t="s">
        <v>16368</v>
      </c>
      <c r="F5463" s="1" t="s">
        <v>15614</v>
      </c>
      <c r="G5463" s="1" t="s">
        <v>15614</v>
      </c>
      <c r="H5463" s="1" t="s">
        <v>111</v>
      </c>
      <c r="I5463" s="1" t="s">
        <v>16</v>
      </c>
      <c r="J5463" s="1">
        <v>1</v>
      </c>
      <c r="K5463" s="1">
        <v>1</v>
      </c>
      <c r="L5463" s="1" t="s">
        <v>42</v>
      </c>
      <c r="M5463" s="1" t="s">
        <v>18</v>
      </c>
      <c r="N5463" s="1" t="s">
        <v>18</v>
      </c>
      <c r="O5463" s="1">
        <v>3</v>
      </c>
      <c r="P5463" s="1">
        <v>6</v>
      </c>
      <c r="R5463" s="1" t="s">
        <v>19</v>
      </c>
      <c r="S5463" s="1" t="s">
        <v>63</v>
      </c>
      <c r="T5463" s="1" t="s">
        <v>21</v>
      </c>
      <c r="U5463" s="1" t="s">
        <v>22</v>
      </c>
      <c r="V5463" s="1" t="s">
        <v>24</v>
      </c>
      <c r="W5463" s="1" t="s">
        <v>24</v>
      </c>
      <c r="X5463" s="1">
        <v>2738</v>
      </c>
      <c r="Y5463" s="1" t="s">
        <v>24</v>
      </c>
      <c r="Z5463" s="1" t="s">
        <v>24</v>
      </c>
      <c r="AA5463" s="1" t="s">
        <v>24</v>
      </c>
      <c r="AB5463" s="1" t="s">
        <v>24</v>
      </c>
      <c r="AC5463" s="1" t="s">
        <v>24</v>
      </c>
      <c r="AD5463" s="1" t="s">
        <v>24</v>
      </c>
      <c r="AE5463" s="1" t="s">
        <v>24</v>
      </c>
      <c r="AF5463" s="22" t="s">
        <v>17673</v>
      </c>
    </row>
    <row r="5464" spans="1:32" x14ac:dyDescent="0.2">
      <c r="A5464" s="1">
        <v>52214</v>
      </c>
      <c r="B5464" s="1" t="s">
        <v>16369</v>
      </c>
      <c r="C5464" s="5" t="s">
        <v>0</v>
      </c>
      <c r="D5464" s="1" t="s">
        <v>16370</v>
      </c>
      <c r="F5464" s="1" t="s">
        <v>16371</v>
      </c>
      <c r="G5464" s="1" t="s">
        <v>16371</v>
      </c>
      <c r="H5464" s="1" t="s">
        <v>233</v>
      </c>
      <c r="I5464" s="1" t="s">
        <v>16</v>
      </c>
      <c r="J5464" s="1">
        <v>1</v>
      </c>
      <c r="K5464" s="1">
        <v>4</v>
      </c>
      <c r="L5464" s="1" t="s">
        <v>42</v>
      </c>
      <c r="M5464" s="1" t="s">
        <v>118</v>
      </c>
      <c r="N5464" s="1" t="s">
        <v>226</v>
      </c>
      <c r="O5464" s="1">
        <v>2</v>
      </c>
      <c r="P5464" s="1">
        <v>6</v>
      </c>
      <c r="R5464" s="1" t="s">
        <v>19</v>
      </c>
      <c r="S5464" s="1" t="s">
        <v>20</v>
      </c>
      <c r="T5464" s="1" t="s">
        <v>21</v>
      </c>
      <c r="U5464" s="1" t="s">
        <v>22</v>
      </c>
      <c r="V5464" s="1" t="s">
        <v>24</v>
      </c>
      <c r="W5464" s="1" t="s">
        <v>24</v>
      </c>
      <c r="X5464" s="1">
        <v>2705</v>
      </c>
      <c r="Y5464" s="1" t="s">
        <v>24</v>
      </c>
      <c r="Z5464" s="1" t="s">
        <v>24</v>
      </c>
      <c r="AA5464" s="1" t="s">
        <v>24</v>
      </c>
      <c r="AB5464" s="1" t="s">
        <v>24</v>
      </c>
      <c r="AC5464" s="1" t="s">
        <v>24</v>
      </c>
      <c r="AD5464" s="1" t="s">
        <v>24</v>
      </c>
      <c r="AE5464" s="1" t="s">
        <v>24</v>
      </c>
      <c r="AF5464" s="22"/>
    </row>
    <row r="5465" spans="1:32" x14ac:dyDescent="0.2">
      <c r="A5465" s="1">
        <v>52373</v>
      </c>
      <c r="B5465" s="1" t="s">
        <v>16372</v>
      </c>
      <c r="C5465" s="5" t="s">
        <v>0</v>
      </c>
      <c r="D5465" s="1" t="s">
        <v>16373</v>
      </c>
      <c r="F5465" s="1" t="s">
        <v>91</v>
      </c>
      <c r="G5465" s="1" t="s">
        <v>61</v>
      </c>
      <c r="H5465" s="1" t="s">
        <v>92</v>
      </c>
      <c r="I5465" s="1" t="s">
        <v>16</v>
      </c>
      <c r="J5465" s="1">
        <v>1</v>
      </c>
      <c r="K5465" s="1">
        <v>1</v>
      </c>
      <c r="L5465" s="1" t="s">
        <v>31</v>
      </c>
      <c r="M5465" s="1" t="s">
        <v>18</v>
      </c>
      <c r="N5465" s="1" t="s">
        <v>18</v>
      </c>
      <c r="O5465" s="1">
        <v>3</v>
      </c>
      <c r="P5465" s="1">
        <v>7</v>
      </c>
      <c r="Q5465" s="7" t="s">
        <v>17633</v>
      </c>
      <c r="R5465" s="1" t="s">
        <v>19</v>
      </c>
      <c r="S5465" s="1" t="s">
        <v>63</v>
      </c>
      <c r="T5465" s="1" t="s">
        <v>21</v>
      </c>
      <c r="U5465" s="1" t="s">
        <v>22</v>
      </c>
      <c r="V5465" s="1" t="s">
        <v>24</v>
      </c>
      <c r="W5465" s="1" t="s">
        <v>24</v>
      </c>
      <c r="X5465" s="1">
        <v>1305</v>
      </c>
      <c r="Y5465" s="1">
        <v>1312</v>
      </c>
      <c r="Z5465" s="1">
        <v>3003</v>
      </c>
      <c r="AA5465" s="1" t="s">
        <v>24</v>
      </c>
      <c r="AB5465" s="1" t="s">
        <v>24</v>
      </c>
      <c r="AC5465" s="1" t="s">
        <v>24</v>
      </c>
      <c r="AD5465" s="1" t="s">
        <v>24</v>
      </c>
      <c r="AE5465" s="1" t="s">
        <v>24</v>
      </c>
      <c r="AF5465" s="22"/>
    </row>
    <row r="5466" spans="1:32" x14ac:dyDescent="0.2">
      <c r="A5466" s="1">
        <v>52374</v>
      </c>
      <c r="B5466" s="1" t="s">
        <v>16374</v>
      </c>
      <c r="C5466" s="5" t="s">
        <v>0</v>
      </c>
      <c r="D5466" s="1" t="s">
        <v>16375</v>
      </c>
      <c r="F5466" s="1" t="s">
        <v>6159</v>
      </c>
      <c r="G5466" s="1" t="s">
        <v>61</v>
      </c>
      <c r="H5466" s="1" t="s">
        <v>168</v>
      </c>
      <c r="I5466" s="1" t="s">
        <v>16</v>
      </c>
      <c r="J5466" s="1">
        <v>1</v>
      </c>
      <c r="K5466" s="1">
        <v>2</v>
      </c>
      <c r="L5466" s="1" t="s">
        <v>31</v>
      </c>
      <c r="M5466" s="1" t="s">
        <v>18</v>
      </c>
      <c r="N5466" s="1" t="s">
        <v>18</v>
      </c>
      <c r="O5466" s="1">
        <v>2</v>
      </c>
      <c r="P5466" s="1">
        <v>7</v>
      </c>
      <c r="Q5466" s="7" t="s">
        <v>17633</v>
      </c>
      <c r="R5466" s="1" t="s">
        <v>19</v>
      </c>
      <c r="S5466" s="1" t="s">
        <v>20</v>
      </c>
      <c r="T5466" s="1" t="s">
        <v>21</v>
      </c>
      <c r="U5466" s="1" t="s">
        <v>22</v>
      </c>
      <c r="V5466" s="1" t="s">
        <v>24</v>
      </c>
      <c r="W5466" s="1" t="s">
        <v>24</v>
      </c>
      <c r="X5466" s="1">
        <v>1307</v>
      </c>
      <c r="Y5466" s="1">
        <v>1312</v>
      </c>
      <c r="Z5466" s="1" t="s">
        <v>24</v>
      </c>
      <c r="AA5466" s="1" t="s">
        <v>24</v>
      </c>
      <c r="AB5466" s="1" t="s">
        <v>24</v>
      </c>
      <c r="AC5466" s="1" t="s">
        <v>24</v>
      </c>
      <c r="AD5466" s="1" t="s">
        <v>24</v>
      </c>
      <c r="AE5466" s="1" t="s">
        <v>24</v>
      </c>
      <c r="AF5466" s="22"/>
    </row>
    <row r="5467" spans="1:32" x14ac:dyDescent="0.2">
      <c r="A5467" s="1">
        <v>52375</v>
      </c>
      <c r="B5467" s="1" t="s">
        <v>16376</v>
      </c>
      <c r="C5467" s="5" t="s">
        <v>0</v>
      </c>
      <c r="D5467" s="1" t="s">
        <v>16377</v>
      </c>
      <c r="F5467" s="1" t="s">
        <v>6159</v>
      </c>
      <c r="G5467" s="1" t="s">
        <v>61</v>
      </c>
      <c r="H5467" s="1" t="s">
        <v>168</v>
      </c>
      <c r="I5467" s="1" t="s">
        <v>16</v>
      </c>
      <c r="J5467" s="1">
        <v>1</v>
      </c>
      <c r="K5467" s="1">
        <v>1</v>
      </c>
      <c r="L5467" s="1" t="s">
        <v>31</v>
      </c>
      <c r="M5467" s="1" t="s">
        <v>18</v>
      </c>
      <c r="N5467" s="1" t="s">
        <v>18</v>
      </c>
      <c r="O5467" s="1">
        <v>2</v>
      </c>
      <c r="P5467" s="1">
        <v>7</v>
      </c>
      <c r="Q5467" s="7" t="s">
        <v>17633</v>
      </c>
      <c r="R5467" s="1" t="s">
        <v>19</v>
      </c>
      <c r="S5467" s="1" t="s">
        <v>20</v>
      </c>
      <c r="T5467" s="1" t="s">
        <v>21</v>
      </c>
      <c r="U5467" s="1" t="s">
        <v>22</v>
      </c>
      <c r="V5467" s="1" t="s">
        <v>24</v>
      </c>
      <c r="W5467" s="1" t="s">
        <v>24</v>
      </c>
      <c r="X5467" s="1">
        <v>2705</v>
      </c>
      <c r="Y5467" s="1" t="s">
        <v>24</v>
      </c>
      <c r="Z5467" s="1" t="s">
        <v>24</v>
      </c>
      <c r="AA5467" s="1" t="s">
        <v>24</v>
      </c>
      <c r="AB5467" s="1" t="s">
        <v>24</v>
      </c>
      <c r="AC5467" s="1" t="s">
        <v>24</v>
      </c>
      <c r="AD5467" s="1" t="s">
        <v>24</v>
      </c>
      <c r="AE5467" s="1" t="s">
        <v>24</v>
      </c>
      <c r="AF5467" s="22"/>
    </row>
    <row r="5468" spans="1:32" x14ac:dyDescent="0.2">
      <c r="A5468" s="1">
        <v>52376</v>
      </c>
      <c r="B5468" s="1" t="s">
        <v>16378</v>
      </c>
      <c r="C5468" s="5" t="s">
        <v>0</v>
      </c>
      <c r="D5468" s="1" t="s">
        <v>16379</v>
      </c>
      <c r="F5468" s="1" t="s">
        <v>272</v>
      </c>
      <c r="G5468" s="1" t="s">
        <v>61</v>
      </c>
      <c r="H5468" s="1" t="s">
        <v>30</v>
      </c>
      <c r="I5468" s="1" t="s">
        <v>16</v>
      </c>
      <c r="J5468" s="1">
        <v>1</v>
      </c>
      <c r="K5468" s="1">
        <v>2</v>
      </c>
      <c r="L5468" s="1" t="s">
        <v>31</v>
      </c>
      <c r="M5468" s="1" t="s">
        <v>18</v>
      </c>
      <c r="N5468" s="1" t="s">
        <v>18</v>
      </c>
      <c r="O5468" s="1">
        <v>3</v>
      </c>
      <c r="P5468" s="1">
        <v>7</v>
      </c>
      <c r="Q5468" s="7" t="s">
        <v>17633</v>
      </c>
      <c r="R5468" s="1" t="s">
        <v>19</v>
      </c>
      <c r="S5468" s="1" t="s">
        <v>63</v>
      </c>
      <c r="T5468" s="1" t="s">
        <v>21</v>
      </c>
      <c r="U5468" s="1" t="s">
        <v>22</v>
      </c>
      <c r="V5468" s="1" t="s">
        <v>24</v>
      </c>
      <c r="W5468" s="1" t="s">
        <v>24</v>
      </c>
      <c r="X5468" s="1">
        <v>2719</v>
      </c>
      <c r="Y5468" s="1">
        <v>3001</v>
      </c>
      <c r="Z5468" s="1">
        <v>2001</v>
      </c>
      <c r="AA5468" s="1" t="s">
        <v>24</v>
      </c>
      <c r="AB5468" s="1" t="s">
        <v>24</v>
      </c>
      <c r="AC5468" s="1" t="s">
        <v>24</v>
      </c>
      <c r="AD5468" s="1" t="s">
        <v>24</v>
      </c>
      <c r="AE5468" s="1" t="s">
        <v>24</v>
      </c>
      <c r="AF5468" s="22"/>
    </row>
    <row r="5469" spans="1:32" x14ac:dyDescent="0.2">
      <c r="A5469" s="1">
        <v>52377</v>
      </c>
      <c r="B5469" s="1" t="s">
        <v>16380</v>
      </c>
      <c r="C5469" s="5" t="s">
        <v>0</v>
      </c>
      <c r="D5469" s="1" t="s">
        <v>16381</v>
      </c>
      <c r="F5469" s="1" t="s">
        <v>16382</v>
      </c>
      <c r="G5469" s="1" t="s">
        <v>61</v>
      </c>
      <c r="H5469" s="1" t="s">
        <v>16383</v>
      </c>
      <c r="I5469" s="1" t="s">
        <v>16</v>
      </c>
      <c r="J5469" s="1">
        <v>1</v>
      </c>
      <c r="K5469" s="1">
        <v>4</v>
      </c>
      <c r="L5469" s="1" t="s">
        <v>31</v>
      </c>
      <c r="M5469" s="1" t="s">
        <v>105</v>
      </c>
      <c r="N5469" s="1" t="s">
        <v>105</v>
      </c>
      <c r="O5469" s="1">
        <v>2</v>
      </c>
      <c r="P5469" s="1">
        <v>6</v>
      </c>
      <c r="R5469" s="1" t="s">
        <v>19</v>
      </c>
      <c r="S5469" s="1" t="s">
        <v>20</v>
      </c>
      <c r="T5469" s="1" t="s">
        <v>21</v>
      </c>
      <c r="U5469" s="1" t="s">
        <v>22</v>
      </c>
      <c r="V5469" s="1" t="s">
        <v>24</v>
      </c>
      <c r="W5469" s="1" t="s">
        <v>24</v>
      </c>
      <c r="X5469" s="1">
        <v>2748</v>
      </c>
      <c r="Y5469" s="1" t="s">
        <v>24</v>
      </c>
      <c r="Z5469" s="1" t="s">
        <v>24</v>
      </c>
      <c r="AA5469" s="1" t="s">
        <v>24</v>
      </c>
      <c r="AB5469" s="1" t="s">
        <v>24</v>
      </c>
      <c r="AC5469" s="1" t="s">
        <v>24</v>
      </c>
      <c r="AD5469" s="1" t="s">
        <v>24</v>
      </c>
      <c r="AE5469" s="1" t="s">
        <v>24</v>
      </c>
      <c r="AF5469" s="22"/>
    </row>
    <row r="5470" spans="1:32" x14ac:dyDescent="0.2">
      <c r="A5470" s="1">
        <v>52378</v>
      </c>
      <c r="B5470" s="1" t="s">
        <v>16384</v>
      </c>
      <c r="C5470" s="5" t="s">
        <v>0</v>
      </c>
      <c r="D5470" s="1" t="s">
        <v>16385</v>
      </c>
      <c r="F5470" s="1" t="s">
        <v>91</v>
      </c>
      <c r="G5470" s="1" t="s">
        <v>61</v>
      </c>
      <c r="H5470" s="1" t="s">
        <v>92</v>
      </c>
      <c r="I5470" s="1" t="s">
        <v>16</v>
      </c>
      <c r="J5470" s="1">
        <v>1</v>
      </c>
      <c r="K5470" s="1">
        <v>4</v>
      </c>
      <c r="L5470" s="1" t="s">
        <v>31</v>
      </c>
      <c r="M5470" s="1" t="s">
        <v>18</v>
      </c>
      <c r="N5470" s="1" t="s">
        <v>18</v>
      </c>
      <c r="O5470" s="1">
        <v>3</v>
      </c>
      <c r="P5470" s="1">
        <v>7</v>
      </c>
      <c r="Q5470" s="7" t="s">
        <v>17633</v>
      </c>
      <c r="R5470" s="1" t="s">
        <v>19</v>
      </c>
      <c r="S5470" s="1" t="s">
        <v>20</v>
      </c>
      <c r="T5470" s="1" t="s">
        <v>21</v>
      </c>
      <c r="U5470" s="1" t="s">
        <v>22</v>
      </c>
      <c r="V5470" s="1" t="s">
        <v>24</v>
      </c>
      <c r="W5470" s="1" t="s">
        <v>24</v>
      </c>
      <c r="X5470" s="1">
        <v>2732</v>
      </c>
      <c r="Y5470" s="1">
        <v>3612</v>
      </c>
      <c r="Z5470" s="1" t="s">
        <v>24</v>
      </c>
      <c r="AA5470" s="1" t="s">
        <v>24</v>
      </c>
      <c r="AB5470" s="1" t="s">
        <v>24</v>
      </c>
      <c r="AC5470" s="1" t="s">
        <v>24</v>
      </c>
      <c r="AD5470" s="1" t="s">
        <v>24</v>
      </c>
      <c r="AE5470" s="1" t="s">
        <v>24</v>
      </c>
      <c r="AF5470" s="22" t="s">
        <v>17679</v>
      </c>
    </row>
    <row r="5471" spans="1:32" x14ac:dyDescent="0.2">
      <c r="A5471" s="1">
        <v>52379</v>
      </c>
      <c r="B5471" s="1" t="s">
        <v>16386</v>
      </c>
      <c r="C5471" s="5" t="s">
        <v>0</v>
      </c>
      <c r="D5471" s="1" t="s">
        <v>16387</v>
      </c>
      <c r="F5471" s="1" t="s">
        <v>91</v>
      </c>
      <c r="G5471" s="1" t="s">
        <v>61</v>
      </c>
      <c r="H5471" s="1" t="s">
        <v>92</v>
      </c>
      <c r="I5471" s="1" t="s">
        <v>16</v>
      </c>
      <c r="J5471" s="1">
        <v>1</v>
      </c>
      <c r="K5471" s="1">
        <v>4</v>
      </c>
      <c r="L5471" s="1" t="s">
        <v>31</v>
      </c>
      <c r="M5471" s="1" t="s">
        <v>18</v>
      </c>
      <c r="N5471" s="1" t="s">
        <v>18</v>
      </c>
      <c r="O5471" s="1">
        <v>3</v>
      </c>
      <c r="P5471" s="1">
        <v>6</v>
      </c>
      <c r="R5471" s="1" t="s">
        <v>19</v>
      </c>
      <c r="S5471" s="1" t="s">
        <v>20</v>
      </c>
      <c r="T5471" s="1" t="s">
        <v>21</v>
      </c>
      <c r="V5471" s="1" t="s">
        <v>24</v>
      </c>
      <c r="W5471" s="1" t="s">
        <v>24</v>
      </c>
      <c r="X5471" s="1">
        <v>2707</v>
      </c>
      <c r="Y5471" s="1" t="s">
        <v>24</v>
      </c>
      <c r="Z5471" s="1" t="s">
        <v>24</v>
      </c>
      <c r="AA5471" s="1" t="s">
        <v>24</v>
      </c>
      <c r="AB5471" s="1" t="s">
        <v>24</v>
      </c>
      <c r="AC5471" s="1" t="s">
        <v>24</v>
      </c>
      <c r="AD5471" s="1" t="s">
        <v>24</v>
      </c>
      <c r="AE5471" s="1" t="s">
        <v>24</v>
      </c>
      <c r="AF5471" s="22"/>
    </row>
    <row r="5472" spans="1:32" x14ac:dyDescent="0.2">
      <c r="A5472" s="1">
        <v>52380</v>
      </c>
      <c r="B5472" s="1" t="s">
        <v>16388</v>
      </c>
      <c r="C5472" s="5" t="s">
        <v>0</v>
      </c>
      <c r="D5472" s="1" t="s">
        <v>16389</v>
      </c>
      <c r="F5472" s="1" t="s">
        <v>91</v>
      </c>
      <c r="G5472" s="1" t="s">
        <v>61</v>
      </c>
      <c r="H5472" s="1" t="s">
        <v>92</v>
      </c>
      <c r="I5472" s="1" t="s">
        <v>16</v>
      </c>
      <c r="J5472" s="1">
        <v>1</v>
      </c>
      <c r="K5472" s="1">
        <v>1</v>
      </c>
      <c r="L5472" s="1" t="s">
        <v>31</v>
      </c>
      <c r="M5472" s="1" t="s">
        <v>18</v>
      </c>
      <c r="N5472" s="1" t="s">
        <v>18</v>
      </c>
      <c r="O5472" s="1">
        <v>3</v>
      </c>
      <c r="P5472" s="1">
        <v>7</v>
      </c>
      <c r="Q5472" s="7" t="s">
        <v>17633</v>
      </c>
      <c r="R5472" s="1" t="s">
        <v>19</v>
      </c>
      <c r="S5472" s="1" t="s">
        <v>20</v>
      </c>
      <c r="T5472" s="1" t="s">
        <v>21</v>
      </c>
      <c r="V5472" s="1" t="s">
        <v>24</v>
      </c>
      <c r="W5472" s="1" t="s">
        <v>24</v>
      </c>
      <c r="X5472" s="1">
        <v>2701</v>
      </c>
      <c r="Y5472" s="1" t="s">
        <v>24</v>
      </c>
      <c r="Z5472" s="1" t="s">
        <v>24</v>
      </c>
      <c r="AA5472" s="1" t="s">
        <v>24</v>
      </c>
      <c r="AB5472" s="1" t="s">
        <v>24</v>
      </c>
      <c r="AC5472" s="1" t="s">
        <v>24</v>
      </c>
      <c r="AD5472" s="1" t="s">
        <v>24</v>
      </c>
      <c r="AE5472" s="1" t="s">
        <v>24</v>
      </c>
      <c r="AF5472" s="22" t="s">
        <v>17678</v>
      </c>
    </row>
    <row r="5473" spans="1:32" x14ac:dyDescent="0.2">
      <c r="A5473" s="1">
        <v>52593</v>
      </c>
      <c r="B5473" s="1" t="s">
        <v>16390</v>
      </c>
      <c r="C5473" s="5" t="s">
        <v>0</v>
      </c>
      <c r="D5473" s="1" t="s">
        <v>16391</v>
      </c>
      <c r="E5473" s="1" t="s">
        <v>16392</v>
      </c>
      <c r="F5473" s="1" t="s">
        <v>6914</v>
      </c>
      <c r="G5473" s="1" t="s">
        <v>6915</v>
      </c>
      <c r="H5473" s="1" t="s">
        <v>37</v>
      </c>
      <c r="I5473" s="1" t="s">
        <v>16</v>
      </c>
      <c r="J5473" s="1">
        <v>1</v>
      </c>
      <c r="K5473" s="1">
        <v>12</v>
      </c>
      <c r="L5473" s="1" t="s">
        <v>31</v>
      </c>
      <c r="M5473" s="1" t="s">
        <v>18</v>
      </c>
      <c r="N5473" s="1" t="s">
        <v>18</v>
      </c>
      <c r="O5473" s="1">
        <v>3</v>
      </c>
      <c r="P5473" s="1">
        <v>7</v>
      </c>
      <c r="Q5473" s="7" t="s">
        <v>17633</v>
      </c>
      <c r="R5473" s="1" t="s">
        <v>19</v>
      </c>
      <c r="S5473" s="1" t="s">
        <v>20</v>
      </c>
      <c r="T5473" s="1" t="s">
        <v>21</v>
      </c>
      <c r="U5473" s="1" t="s">
        <v>22</v>
      </c>
      <c r="V5473" s="1" t="s">
        <v>24</v>
      </c>
      <c r="W5473" s="1" t="s">
        <v>24</v>
      </c>
      <c r="X5473" s="1">
        <v>2304</v>
      </c>
      <c r="Y5473" s="1">
        <v>2739</v>
      </c>
      <c r="Z5473" s="1">
        <v>2308</v>
      </c>
      <c r="AA5473" s="1" t="s">
        <v>24</v>
      </c>
      <c r="AB5473" s="1" t="s">
        <v>24</v>
      </c>
      <c r="AC5473" s="1" t="s">
        <v>24</v>
      </c>
      <c r="AD5473" s="1" t="s">
        <v>24</v>
      </c>
      <c r="AE5473" s="1" t="s">
        <v>24</v>
      </c>
      <c r="AF5473" s="22"/>
    </row>
    <row r="5474" spans="1:32" x14ac:dyDescent="0.2">
      <c r="A5474" s="1">
        <v>52632</v>
      </c>
      <c r="B5474" s="1" t="s">
        <v>16393</v>
      </c>
      <c r="C5474" s="5" t="s">
        <v>0</v>
      </c>
      <c r="E5474" s="1" t="s">
        <v>16394</v>
      </c>
      <c r="F5474" s="1" t="s">
        <v>776</v>
      </c>
      <c r="G5474" s="1" t="s">
        <v>777</v>
      </c>
      <c r="H5474" s="1" t="s">
        <v>30</v>
      </c>
      <c r="I5474" s="1" t="s">
        <v>16</v>
      </c>
      <c r="J5474" s="1">
        <v>1</v>
      </c>
      <c r="K5474" s="1">
        <v>12</v>
      </c>
      <c r="L5474" s="1" t="s">
        <v>31</v>
      </c>
      <c r="M5474" s="1" t="s">
        <v>18</v>
      </c>
      <c r="N5474" s="1" t="s">
        <v>18</v>
      </c>
      <c r="O5474" s="1">
        <v>3</v>
      </c>
      <c r="P5474" s="1">
        <v>7</v>
      </c>
      <c r="Q5474" s="7" t="s">
        <v>17633</v>
      </c>
      <c r="R5474" s="1" t="s">
        <v>19</v>
      </c>
      <c r="S5474" s="1" t="s">
        <v>20</v>
      </c>
      <c r="T5474" s="1" t="s">
        <v>21</v>
      </c>
      <c r="U5474" s="1" t="s">
        <v>22</v>
      </c>
      <c r="V5474" s="1" t="s">
        <v>24</v>
      </c>
      <c r="W5474" s="1" t="s">
        <v>24</v>
      </c>
      <c r="X5474" s="1">
        <v>1301</v>
      </c>
      <c r="Y5474" s="1">
        <v>2204</v>
      </c>
      <c r="Z5474" s="1" t="s">
        <v>24</v>
      </c>
      <c r="AA5474" s="1" t="s">
        <v>24</v>
      </c>
      <c r="AB5474" s="1" t="s">
        <v>24</v>
      </c>
      <c r="AC5474" s="1" t="s">
        <v>24</v>
      </c>
      <c r="AD5474" s="1" t="s">
        <v>24</v>
      </c>
      <c r="AE5474" s="1" t="s">
        <v>24</v>
      </c>
      <c r="AF5474" s="22"/>
    </row>
    <row r="5475" spans="1:32" x14ac:dyDescent="0.2">
      <c r="A5475" s="1">
        <v>52633</v>
      </c>
      <c r="B5475" s="1" t="s">
        <v>16395</v>
      </c>
      <c r="C5475" s="5" t="s">
        <v>0</v>
      </c>
      <c r="D5475" s="1" t="s">
        <v>16396</v>
      </c>
      <c r="E5475" s="1" t="s">
        <v>16397</v>
      </c>
      <c r="F5475" s="1" t="s">
        <v>6405</v>
      </c>
      <c r="G5475" s="1" t="s">
        <v>6406</v>
      </c>
      <c r="H5475" s="1" t="s">
        <v>92</v>
      </c>
      <c r="I5475" s="1" t="s">
        <v>16</v>
      </c>
      <c r="J5475" s="1">
        <v>1</v>
      </c>
      <c r="K5475" s="1">
        <v>4</v>
      </c>
      <c r="L5475" s="1" t="s">
        <v>31</v>
      </c>
      <c r="M5475" s="1" t="s">
        <v>18</v>
      </c>
      <c r="N5475" s="1" t="s">
        <v>18</v>
      </c>
      <c r="O5475" s="1">
        <v>3</v>
      </c>
      <c r="P5475" s="1">
        <v>7</v>
      </c>
      <c r="Q5475" s="7" t="s">
        <v>17633</v>
      </c>
      <c r="R5475" s="1" t="s">
        <v>19</v>
      </c>
      <c r="S5475" s="1" t="s">
        <v>20</v>
      </c>
      <c r="T5475" s="1" t="s">
        <v>21</v>
      </c>
      <c r="V5475" s="1" t="s">
        <v>24</v>
      </c>
      <c r="W5475" s="1" t="s">
        <v>24</v>
      </c>
      <c r="X5475" s="1">
        <v>2730</v>
      </c>
      <c r="Y5475" s="1">
        <v>1306</v>
      </c>
      <c r="Z5475" s="1" t="s">
        <v>24</v>
      </c>
      <c r="AA5475" s="1" t="s">
        <v>24</v>
      </c>
      <c r="AB5475" s="1" t="s">
        <v>24</v>
      </c>
      <c r="AC5475" s="1" t="s">
        <v>24</v>
      </c>
      <c r="AD5475" s="1" t="s">
        <v>24</v>
      </c>
      <c r="AE5475" s="1" t="s">
        <v>24</v>
      </c>
      <c r="AF5475" s="22"/>
    </row>
    <row r="5476" spans="1:32" x14ac:dyDescent="0.2">
      <c r="A5476" s="1">
        <v>52634</v>
      </c>
      <c r="B5476" s="1" t="s">
        <v>16398</v>
      </c>
      <c r="C5476" s="5" t="s">
        <v>0</v>
      </c>
      <c r="D5476" s="1" t="s">
        <v>16399</v>
      </c>
      <c r="E5476" s="1" t="s">
        <v>16400</v>
      </c>
      <c r="F5476" s="1" t="s">
        <v>6405</v>
      </c>
      <c r="G5476" s="1" t="s">
        <v>6406</v>
      </c>
      <c r="H5476" s="1" t="s">
        <v>92</v>
      </c>
      <c r="I5476" s="1" t="s">
        <v>16</v>
      </c>
      <c r="J5476" s="1">
        <v>1</v>
      </c>
      <c r="K5476" s="1">
        <v>4</v>
      </c>
      <c r="L5476" s="1" t="s">
        <v>31</v>
      </c>
      <c r="M5476" s="1" t="s">
        <v>18</v>
      </c>
      <c r="N5476" s="1" t="s">
        <v>18</v>
      </c>
      <c r="O5476" s="1">
        <v>3</v>
      </c>
      <c r="P5476" s="1">
        <v>7</v>
      </c>
      <c r="Q5476" s="7" t="s">
        <v>17633</v>
      </c>
      <c r="R5476" s="1" t="s">
        <v>19</v>
      </c>
      <c r="S5476" s="1" t="s">
        <v>20</v>
      </c>
      <c r="T5476" s="1" t="s">
        <v>21</v>
      </c>
      <c r="V5476" s="1" t="s">
        <v>24</v>
      </c>
      <c r="W5476" s="1" t="s">
        <v>24</v>
      </c>
      <c r="X5476" s="1">
        <v>1305</v>
      </c>
      <c r="Y5476" s="1">
        <v>1502</v>
      </c>
      <c r="Z5476" s="1">
        <v>2402</v>
      </c>
      <c r="AA5476" s="1" t="s">
        <v>24</v>
      </c>
      <c r="AB5476" s="1" t="s">
        <v>24</v>
      </c>
      <c r="AC5476" s="1" t="s">
        <v>24</v>
      </c>
      <c r="AD5476" s="1" t="s">
        <v>24</v>
      </c>
      <c r="AE5476" s="1" t="s">
        <v>24</v>
      </c>
      <c r="AF5476" s="22"/>
    </row>
    <row r="5477" spans="1:32" x14ac:dyDescent="0.2">
      <c r="A5477" s="1">
        <v>52635</v>
      </c>
      <c r="B5477" s="1" t="s">
        <v>16401</v>
      </c>
      <c r="C5477" s="5" t="s">
        <v>0</v>
      </c>
      <c r="D5477" s="1" t="s">
        <v>16402</v>
      </c>
      <c r="E5477" s="1" t="s">
        <v>16403</v>
      </c>
      <c r="F5477" s="1" t="s">
        <v>6405</v>
      </c>
      <c r="G5477" s="1" t="s">
        <v>6406</v>
      </c>
      <c r="H5477" s="1" t="s">
        <v>92</v>
      </c>
      <c r="I5477" s="1" t="s">
        <v>16</v>
      </c>
      <c r="J5477" s="1">
        <v>1</v>
      </c>
      <c r="K5477" s="1">
        <v>4</v>
      </c>
      <c r="L5477" s="1" t="s">
        <v>31</v>
      </c>
      <c r="M5477" s="1" t="s">
        <v>18</v>
      </c>
      <c r="N5477" s="1" t="s">
        <v>18</v>
      </c>
      <c r="O5477" s="1">
        <v>3</v>
      </c>
      <c r="P5477" s="1">
        <v>7</v>
      </c>
      <c r="Q5477" s="7" t="s">
        <v>17633</v>
      </c>
      <c r="R5477" s="1" t="s">
        <v>19</v>
      </c>
      <c r="S5477" s="1" t="s">
        <v>20</v>
      </c>
      <c r="T5477" s="1" t="s">
        <v>21</v>
      </c>
      <c r="V5477" s="1" t="s">
        <v>24</v>
      </c>
      <c r="W5477" s="1" t="s">
        <v>24</v>
      </c>
      <c r="X5477" s="1">
        <v>2736</v>
      </c>
      <c r="Y5477" s="1">
        <v>2738</v>
      </c>
      <c r="Z5477" s="1">
        <v>3004</v>
      </c>
      <c r="AA5477" s="1" t="s">
        <v>24</v>
      </c>
      <c r="AB5477" s="1" t="s">
        <v>24</v>
      </c>
      <c r="AC5477" s="1" t="s">
        <v>24</v>
      </c>
      <c r="AD5477" s="1" t="s">
        <v>24</v>
      </c>
      <c r="AE5477" s="1" t="s">
        <v>24</v>
      </c>
      <c r="AF5477" s="22"/>
    </row>
    <row r="5478" spans="1:32" x14ac:dyDescent="0.2">
      <c r="A5478" s="1">
        <v>52636</v>
      </c>
      <c r="B5478" s="1" t="s">
        <v>16404</v>
      </c>
      <c r="C5478" s="5" t="s">
        <v>0</v>
      </c>
      <c r="D5478" s="1" t="s">
        <v>16405</v>
      </c>
      <c r="E5478" s="1" t="s">
        <v>16406</v>
      </c>
      <c r="F5478" s="1" t="s">
        <v>6405</v>
      </c>
      <c r="G5478" s="1" t="s">
        <v>6406</v>
      </c>
      <c r="H5478" s="1" t="s">
        <v>92</v>
      </c>
      <c r="I5478" s="1" t="s">
        <v>16</v>
      </c>
      <c r="J5478" s="1">
        <v>1</v>
      </c>
      <c r="K5478" s="1">
        <v>4</v>
      </c>
      <c r="L5478" s="1" t="s">
        <v>31</v>
      </c>
      <c r="M5478" s="1" t="s">
        <v>18</v>
      </c>
      <c r="N5478" s="1" t="s">
        <v>18</v>
      </c>
      <c r="O5478" s="1">
        <v>3</v>
      </c>
      <c r="P5478" s="1">
        <v>7</v>
      </c>
      <c r="Q5478" s="7" t="s">
        <v>17633</v>
      </c>
      <c r="R5478" s="1" t="s">
        <v>19</v>
      </c>
      <c r="S5478" s="1" t="s">
        <v>20</v>
      </c>
      <c r="T5478" s="1" t="s">
        <v>21</v>
      </c>
      <c r="V5478" s="1" t="s">
        <v>24</v>
      </c>
      <c r="W5478" s="1" t="s">
        <v>24</v>
      </c>
      <c r="X5478" s="1">
        <v>2204</v>
      </c>
      <c r="Y5478" s="1">
        <v>3001</v>
      </c>
      <c r="Z5478" s="1">
        <v>3003</v>
      </c>
      <c r="AA5478" s="1" t="s">
        <v>24</v>
      </c>
      <c r="AB5478" s="1" t="s">
        <v>24</v>
      </c>
      <c r="AC5478" s="1" t="s">
        <v>24</v>
      </c>
      <c r="AD5478" s="1" t="s">
        <v>24</v>
      </c>
      <c r="AE5478" s="1" t="s">
        <v>24</v>
      </c>
      <c r="AF5478" s="22"/>
    </row>
    <row r="5479" spans="1:32" x14ac:dyDescent="0.2">
      <c r="A5479" s="1">
        <v>52637</v>
      </c>
      <c r="B5479" s="1" t="s">
        <v>16407</v>
      </c>
      <c r="C5479" s="5" t="s">
        <v>0</v>
      </c>
      <c r="D5479" s="1" t="s">
        <v>16408</v>
      </c>
      <c r="E5479" s="1" t="s">
        <v>16409</v>
      </c>
      <c r="F5479" s="1" t="s">
        <v>6405</v>
      </c>
      <c r="G5479" s="1" t="s">
        <v>6406</v>
      </c>
      <c r="H5479" s="1" t="s">
        <v>92</v>
      </c>
      <c r="I5479" s="1" t="s">
        <v>16</v>
      </c>
      <c r="J5479" s="1">
        <v>1</v>
      </c>
      <c r="K5479" s="1">
        <v>4</v>
      </c>
      <c r="L5479" s="1" t="s">
        <v>31</v>
      </c>
      <c r="M5479" s="1" t="s">
        <v>18</v>
      </c>
      <c r="N5479" s="1" t="s">
        <v>18</v>
      </c>
      <c r="O5479" s="1">
        <v>3</v>
      </c>
      <c r="P5479" s="1">
        <v>7</v>
      </c>
      <c r="Q5479" s="7" t="s">
        <v>17633</v>
      </c>
      <c r="R5479" s="1" t="s">
        <v>19</v>
      </c>
      <c r="S5479" s="1" t="s">
        <v>20</v>
      </c>
      <c r="T5479" s="1" t="s">
        <v>21</v>
      </c>
      <c r="V5479" s="1" t="s">
        <v>24</v>
      </c>
      <c r="W5479" s="1" t="s">
        <v>24</v>
      </c>
      <c r="X5479" s="1">
        <v>2707</v>
      </c>
      <c r="Y5479" s="1">
        <v>3002</v>
      </c>
      <c r="Z5479" s="1" t="s">
        <v>24</v>
      </c>
      <c r="AA5479" s="1" t="s">
        <v>24</v>
      </c>
      <c r="AB5479" s="1" t="s">
        <v>24</v>
      </c>
      <c r="AC5479" s="1" t="s">
        <v>24</v>
      </c>
      <c r="AD5479" s="1" t="s">
        <v>24</v>
      </c>
      <c r="AE5479" s="1" t="s">
        <v>24</v>
      </c>
      <c r="AF5479" s="22"/>
    </row>
    <row r="5480" spans="1:32" x14ac:dyDescent="0.2">
      <c r="A5480" s="1">
        <v>52638</v>
      </c>
      <c r="B5480" s="1" t="s">
        <v>16410</v>
      </c>
      <c r="C5480" s="5" t="s">
        <v>0</v>
      </c>
      <c r="D5480" s="1" t="s">
        <v>16411</v>
      </c>
      <c r="E5480" s="1" t="s">
        <v>16412</v>
      </c>
      <c r="F5480" s="1" t="s">
        <v>8442</v>
      </c>
      <c r="G5480" s="1" t="s">
        <v>8443</v>
      </c>
      <c r="H5480" s="1" t="s">
        <v>37</v>
      </c>
      <c r="I5480" s="1" t="s">
        <v>16</v>
      </c>
      <c r="J5480" s="1">
        <v>1</v>
      </c>
      <c r="K5480" s="1">
        <v>4</v>
      </c>
      <c r="L5480" s="1" t="s">
        <v>31</v>
      </c>
      <c r="M5480" s="1" t="s">
        <v>18</v>
      </c>
      <c r="N5480" s="1" t="s">
        <v>18</v>
      </c>
      <c r="O5480" s="1">
        <v>3</v>
      </c>
      <c r="P5480" s="1">
        <v>7</v>
      </c>
      <c r="Q5480" s="7" t="s">
        <v>17633</v>
      </c>
      <c r="R5480" s="1" t="s">
        <v>19</v>
      </c>
      <c r="S5480" s="1" t="s">
        <v>20</v>
      </c>
      <c r="T5480" s="1" t="s">
        <v>21</v>
      </c>
      <c r="V5480" s="1" t="s">
        <v>23</v>
      </c>
      <c r="W5480" s="1" t="s">
        <v>24</v>
      </c>
      <c r="X5480" s="1">
        <v>2730</v>
      </c>
      <c r="Y5480" s="1">
        <v>2741</v>
      </c>
      <c r="Z5480" s="1" t="s">
        <v>24</v>
      </c>
      <c r="AA5480" s="1" t="s">
        <v>24</v>
      </c>
      <c r="AB5480" s="1" t="s">
        <v>24</v>
      </c>
      <c r="AC5480" s="1" t="s">
        <v>24</v>
      </c>
      <c r="AD5480" s="1" t="s">
        <v>24</v>
      </c>
      <c r="AE5480" s="1" t="s">
        <v>24</v>
      </c>
      <c r="AF5480" s="22"/>
    </row>
    <row r="5481" spans="1:32" x14ac:dyDescent="0.2">
      <c r="A5481" s="1">
        <v>52639</v>
      </c>
      <c r="B5481" s="1" t="s">
        <v>16413</v>
      </c>
      <c r="C5481" s="5" t="s">
        <v>0</v>
      </c>
      <c r="D5481" s="1" t="s">
        <v>16414</v>
      </c>
      <c r="E5481" s="1" t="s">
        <v>16415</v>
      </c>
      <c r="F5481" s="1" t="s">
        <v>8442</v>
      </c>
      <c r="G5481" s="1" t="s">
        <v>8443</v>
      </c>
      <c r="H5481" s="1" t="s">
        <v>37</v>
      </c>
      <c r="I5481" s="1" t="s">
        <v>16</v>
      </c>
      <c r="J5481" s="1">
        <v>1</v>
      </c>
      <c r="K5481" s="1">
        <v>6</v>
      </c>
      <c r="L5481" s="1" t="s">
        <v>31</v>
      </c>
      <c r="M5481" s="1" t="s">
        <v>18</v>
      </c>
      <c r="N5481" s="1" t="s">
        <v>18</v>
      </c>
      <c r="O5481" s="1">
        <v>3</v>
      </c>
      <c r="P5481" s="1">
        <v>7</v>
      </c>
      <c r="Q5481" s="7" t="s">
        <v>17633</v>
      </c>
      <c r="R5481" s="1" t="s">
        <v>19</v>
      </c>
      <c r="S5481" s="1" t="s">
        <v>20</v>
      </c>
      <c r="T5481" s="1" t="s">
        <v>21</v>
      </c>
      <c r="V5481" s="1" t="s">
        <v>23</v>
      </c>
      <c r="W5481" s="1" t="s">
        <v>24</v>
      </c>
      <c r="X5481" s="1">
        <v>2730</v>
      </c>
      <c r="Y5481" s="1">
        <v>2715</v>
      </c>
      <c r="Z5481" s="1" t="s">
        <v>24</v>
      </c>
      <c r="AA5481" s="1" t="s">
        <v>24</v>
      </c>
      <c r="AB5481" s="1" t="s">
        <v>24</v>
      </c>
      <c r="AC5481" s="1" t="s">
        <v>24</v>
      </c>
      <c r="AD5481" s="1" t="s">
        <v>24</v>
      </c>
      <c r="AE5481" s="1" t="s">
        <v>24</v>
      </c>
      <c r="AF5481" s="22"/>
    </row>
    <row r="5482" spans="1:32" x14ac:dyDescent="0.2">
      <c r="A5482" s="1">
        <v>52640</v>
      </c>
      <c r="B5482" s="1" t="s">
        <v>16416</v>
      </c>
      <c r="C5482" s="5" t="s">
        <v>0</v>
      </c>
      <c r="D5482" s="1" t="s">
        <v>16417</v>
      </c>
      <c r="F5482" s="1" t="s">
        <v>8442</v>
      </c>
      <c r="G5482" s="1" t="s">
        <v>8443</v>
      </c>
      <c r="H5482" s="1" t="s">
        <v>37</v>
      </c>
      <c r="I5482" s="1" t="s">
        <v>16</v>
      </c>
      <c r="J5482" s="1">
        <v>1</v>
      </c>
      <c r="K5482" s="1">
        <v>6</v>
      </c>
      <c r="L5482" s="1" t="s">
        <v>31</v>
      </c>
      <c r="M5482" s="1" t="s">
        <v>18</v>
      </c>
      <c r="N5482" s="1" t="s">
        <v>18</v>
      </c>
      <c r="O5482" s="1">
        <v>2</v>
      </c>
      <c r="P5482" s="1">
        <v>7</v>
      </c>
      <c r="Q5482" s="7" t="s">
        <v>17633</v>
      </c>
      <c r="R5482" s="1" t="s">
        <v>19</v>
      </c>
      <c r="S5482" s="1" t="s">
        <v>20</v>
      </c>
      <c r="T5482" s="1" t="s">
        <v>21</v>
      </c>
      <c r="V5482" s="1" t="s">
        <v>23</v>
      </c>
      <c r="W5482" s="1" t="s">
        <v>24</v>
      </c>
      <c r="X5482" s="1">
        <v>2730</v>
      </c>
      <c r="Y5482" s="1">
        <v>2740</v>
      </c>
      <c r="Z5482" s="1" t="s">
        <v>24</v>
      </c>
      <c r="AA5482" s="1" t="s">
        <v>24</v>
      </c>
      <c r="AB5482" s="1" t="s">
        <v>24</v>
      </c>
      <c r="AC5482" s="1" t="s">
        <v>24</v>
      </c>
      <c r="AD5482" s="1" t="s">
        <v>24</v>
      </c>
      <c r="AE5482" s="1" t="s">
        <v>24</v>
      </c>
      <c r="AF5482" s="22"/>
    </row>
    <row r="5483" spans="1:32" x14ac:dyDescent="0.2">
      <c r="A5483" s="1">
        <v>52641</v>
      </c>
      <c r="B5483" s="1" t="s">
        <v>16418</v>
      </c>
      <c r="C5483" s="5" t="s">
        <v>0</v>
      </c>
      <c r="D5483" s="1" t="s">
        <v>16419</v>
      </c>
      <c r="E5483" s="1" t="s">
        <v>16420</v>
      </c>
      <c r="F5483" s="1" t="s">
        <v>8442</v>
      </c>
      <c r="G5483" s="1" t="s">
        <v>8443</v>
      </c>
      <c r="H5483" s="1" t="s">
        <v>37</v>
      </c>
      <c r="I5483" s="1" t="s">
        <v>16</v>
      </c>
      <c r="J5483" s="1">
        <v>1</v>
      </c>
      <c r="K5483" s="1">
        <v>6</v>
      </c>
      <c r="L5483" s="1" t="s">
        <v>31</v>
      </c>
      <c r="M5483" s="1" t="s">
        <v>18</v>
      </c>
      <c r="N5483" s="1" t="s">
        <v>18</v>
      </c>
      <c r="O5483" s="1">
        <v>3</v>
      </c>
      <c r="P5483" s="1">
        <v>7</v>
      </c>
      <c r="Q5483" s="7" t="s">
        <v>17633</v>
      </c>
      <c r="R5483" s="1" t="s">
        <v>19</v>
      </c>
      <c r="S5483" s="1" t="s">
        <v>20</v>
      </c>
      <c r="T5483" s="1" t="s">
        <v>21</v>
      </c>
      <c r="V5483" s="1" t="s">
        <v>24</v>
      </c>
      <c r="W5483" s="1" t="s">
        <v>24</v>
      </c>
      <c r="X5483" s="1">
        <v>3002</v>
      </c>
      <c r="Y5483" s="1">
        <v>3003</v>
      </c>
      <c r="Z5483" s="1" t="s">
        <v>24</v>
      </c>
      <c r="AA5483" s="1" t="s">
        <v>24</v>
      </c>
      <c r="AB5483" s="1" t="s">
        <v>24</v>
      </c>
      <c r="AC5483" s="1" t="s">
        <v>24</v>
      </c>
      <c r="AD5483" s="1" t="s">
        <v>24</v>
      </c>
      <c r="AE5483" s="1" t="s">
        <v>24</v>
      </c>
      <c r="AF5483" s="22"/>
    </row>
    <row r="5484" spans="1:32" x14ac:dyDescent="0.2">
      <c r="A5484" s="1">
        <v>52642</v>
      </c>
      <c r="B5484" s="1" t="s">
        <v>16421</v>
      </c>
      <c r="C5484" s="5" t="s">
        <v>0</v>
      </c>
      <c r="E5484" s="1" t="s">
        <v>16422</v>
      </c>
      <c r="F5484" s="1" t="s">
        <v>517</v>
      </c>
      <c r="G5484" s="1" t="s">
        <v>36</v>
      </c>
      <c r="H5484" s="1" t="s">
        <v>30</v>
      </c>
      <c r="I5484" s="1" t="s">
        <v>16</v>
      </c>
      <c r="J5484" s="1">
        <v>1</v>
      </c>
      <c r="K5484" s="1">
        <v>6</v>
      </c>
      <c r="L5484" s="1" t="s">
        <v>31</v>
      </c>
      <c r="M5484" s="1" t="s">
        <v>18</v>
      </c>
      <c r="N5484" s="1" t="s">
        <v>18</v>
      </c>
      <c r="O5484" s="1">
        <v>2</v>
      </c>
      <c r="P5484" s="1">
        <v>7</v>
      </c>
      <c r="Q5484" s="7" t="s">
        <v>17633</v>
      </c>
      <c r="R5484" s="1" t="s">
        <v>19</v>
      </c>
      <c r="S5484" s="1" t="s">
        <v>20</v>
      </c>
      <c r="T5484" s="1" t="s">
        <v>21</v>
      </c>
      <c r="U5484" s="1" t="s">
        <v>22</v>
      </c>
      <c r="V5484" s="1" t="s">
        <v>23</v>
      </c>
      <c r="W5484" s="1" t="s">
        <v>24</v>
      </c>
      <c r="X5484" s="1">
        <v>2721</v>
      </c>
      <c r="Y5484" s="1" t="s">
        <v>24</v>
      </c>
      <c r="Z5484" s="1" t="s">
        <v>24</v>
      </c>
      <c r="AA5484" s="1" t="s">
        <v>24</v>
      </c>
      <c r="AB5484" s="1" t="s">
        <v>24</v>
      </c>
      <c r="AC5484" s="1" t="s">
        <v>24</v>
      </c>
      <c r="AD5484" s="1" t="s">
        <v>24</v>
      </c>
      <c r="AE5484" s="1" t="s">
        <v>24</v>
      </c>
      <c r="AF5484" s="22"/>
    </row>
    <row r="5485" spans="1:32" x14ac:dyDescent="0.2">
      <c r="A5485" s="1">
        <v>52643</v>
      </c>
      <c r="B5485" s="1" t="s">
        <v>16423</v>
      </c>
      <c r="C5485" s="5" t="s">
        <v>0</v>
      </c>
      <c r="D5485" s="1" t="s">
        <v>16424</v>
      </c>
      <c r="E5485" s="1" t="s">
        <v>16425</v>
      </c>
      <c r="F5485" s="1" t="s">
        <v>28</v>
      </c>
      <c r="G5485" s="1" t="s">
        <v>29</v>
      </c>
      <c r="H5485" s="1" t="s">
        <v>30</v>
      </c>
      <c r="I5485" s="1" t="s">
        <v>16</v>
      </c>
      <c r="J5485" s="1">
        <v>1</v>
      </c>
      <c r="K5485" s="1">
        <v>6</v>
      </c>
      <c r="L5485" s="1" t="s">
        <v>31</v>
      </c>
      <c r="M5485" s="1" t="s">
        <v>18</v>
      </c>
      <c r="N5485" s="1" t="s">
        <v>18</v>
      </c>
      <c r="O5485" s="1">
        <v>3</v>
      </c>
      <c r="P5485" s="1">
        <v>7</v>
      </c>
      <c r="Q5485" s="7" t="s">
        <v>17633</v>
      </c>
      <c r="R5485" s="1" t="s">
        <v>19</v>
      </c>
      <c r="S5485" s="1" t="s">
        <v>20</v>
      </c>
      <c r="T5485" s="1" t="s">
        <v>21</v>
      </c>
      <c r="U5485" s="1" t="s">
        <v>22</v>
      </c>
      <c r="V5485" s="1" t="s">
        <v>23</v>
      </c>
      <c r="W5485" s="1" t="s">
        <v>24</v>
      </c>
      <c r="X5485" s="1">
        <v>2728</v>
      </c>
      <c r="Y5485" s="1" t="s">
        <v>24</v>
      </c>
      <c r="Z5485" s="1" t="s">
        <v>24</v>
      </c>
      <c r="AA5485" s="1" t="s">
        <v>24</v>
      </c>
      <c r="AB5485" s="1" t="s">
        <v>24</v>
      </c>
      <c r="AC5485" s="1" t="s">
        <v>24</v>
      </c>
      <c r="AD5485" s="1" t="s">
        <v>24</v>
      </c>
      <c r="AE5485" s="1" t="s">
        <v>24</v>
      </c>
      <c r="AF5485" s="22"/>
    </row>
    <row r="5486" spans="1:32" x14ac:dyDescent="0.2">
      <c r="A5486" s="1">
        <v>52644</v>
      </c>
      <c r="B5486" s="1" t="s">
        <v>16426</v>
      </c>
      <c r="C5486" s="5" t="s">
        <v>0</v>
      </c>
      <c r="E5486" s="1" t="s">
        <v>16427</v>
      </c>
      <c r="F5486" s="1" t="s">
        <v>4337</v>
      </c>
      <c r="G5486" s="1" t="s">
        <v>4338</v>
      </c>
      <c r="H5486" s="1" t="s">
        <v>30</v>
      </c>
      <c r="I5486" s="1" t="s">
        <v>16</v>
      </c>
      <c r="J5486" s="1">
        <v>1</v>
      </c>
      <c r="K5486" s="1">
        <v>6</v>
      </c>
      <c r="L5486" s="1" t="s">
        <v>31</v>
      </c>
      <c r="M5486" s="1" t="s">
        <v>18</v>
      </c>
      <c r="N5486" s="1" t="s">
        <v>18</v>
      </c>
      <c r="O5486" s="1">
        <v>3</v>
      </c>
      <c r="P5486" s="1">
        <v>7</v>
      </c>
      <c r="Q5486" s="7" t="s">
        <v>17633</v>
      </c>
      <c r="R5486" s="1" t="s">
        <v>19</v>
      </c>
      <c r="S5486" s="1" t="s">
        <v>20</v>
      </c>
      <c r="T5486" s="1" t="s">
        <v>21</v>
      </c>
      <c r="V5486" s="1" t="s">
        <v>24</v>
      </c>
      <c r="W5486" s="1" t="s">
        <v>24</v>
      </c>
      <c r="X5486" s="1">
        <v>1300</v>
      </c>
      <c r="Y5486" s="1" t="s">
        <v>24</v>
      </c>
      <c r="Z5486" s="1" t="s">
        <v>24</v>
      </c>
      <c r="AA5486" s="1" t="s">
        <v>24</v>
      </c>
      <c r="AB5486" s="1" t="s">
        <v>24</v>
      </c>
      <c r="AC5486" s="1" t="s">
        <v>24</v>
      </c>
      <c r="AD5486" s="1" t="s">
        <v>24</v>
      </c>
      <c r="AE5486" s="1" t="s">
        <v>24</v>
      </c>
      <c r="AF5486" s="22"/>
    </row>
    <row r="5487" spans="1:32" x14ac:dyDescent="0.2">
      <c r="A5487" s="1">
        <v>52645</v>
      </c>
      <c r="B5487" s="1" t="s">
        <v>16428</v>
      </c>
      <c r="C5487" s="5" t="s">
        <v>0</v>
      </c>
      <c r="E5487" s="1" t="s">
        <v>16429</v>
      </c>
      <c r="F5487" s="1" t="s">
        <v>1897</v>
      </c>
      <c r="G5487" s="1" t="s">
        <v>1898</v>
      </c>
      <c r="H5487" s="1" t="s">
        <v>899</v>
      </c>
      <c r="I5487" s="1" t="s">
        <v>16</v>
      </c>
      <c r="J5487" s="1">
        <v>1</v>
      </c>
      <c r="K5487" s="1">
        <v>4</v>
      </c>
      <c r="L5487" s="1" t="s">
        <v>31</v>
      </c>
      <c r="M5487" s="1" t="s">
        <v>18</v>
      </c>
      <c r="N5487" s="1" t="s">
        <v>18</v>
      </c>
      <c r="O5487" s="1">
        <v>3</v>
      </c>
      <c r="P5487" s="1">
        <v>7</v>
      </c>
      <c r="Q5487" s="7" t="s">
        <v>17633</v>
      </c>
      <c r="R5487" s="1" t="s">
        <v>19</v>
      </c>
      <c r="S5487" s="1" t="s">
        <v>20</v>
      </c>
      <c r="T5487" s="1" t="s">
        <v>21</v>
      </c>
      <c r="V5487" s="1" t="s">
        <v>23</v>
      </c>
      <c r="W5487" s="1" t="s">
        <v>24</v>
      </c>
      <c r="X5487" s="1">
        <v>2730</v>
      </c>
      <c r="Y5487" s="1">
        <v>2741</v>
      </c>
      <c r="Z5487" s="1" t="s">
        <v>24</v>
      </c>
      <c r="AA5487" s="1" t="s">
        <v>24</v>
      </c>
      <c r="AB5487" s="1" t="s">
        <v>24</v>
      </c>
      <c r="AC5487" s="1" t="s">
        <v>24</v>
      </c>
      <c r="AD5487" s="1" t="s">
        <v>24</v>
      </c>
      <c r="AE5487" s="1" t="s">
        <v>24</v>
      </c>
      <c r="AF5487" s="22"/>
    </row>
    <row r="5488" spans="1:32" x14ac:dyDescent="0.2">
      <c r="A5488" s="1">
        <v>52646</v>
      </c>
      <c r="B5488" s="1" t="s">
        <v>16430</v>
      </c>
      <c r="C5488" s="5" t="s">
        <v>0</v>
      </c>
      <c r="E5488" s="1" t="s">
        <v>16431</v>
      </c>
      <c r="F5488" s="1" t="s">
        <v>315</v>
      </c>
      <c r="G5488" s="1" t="s">
        <v>316</v>
      </c>
      <c r="H5488" s="1" t="s">
        <v>37</v>
      </c>
      <c r="I5488" s="1" t="s">
        <v>16</v>
      </c>
      <c r="J5488" s="1">
        <v>1</v>
      </c>
      <c r="K5488" s="1">
        <v>1</v>
      </c>
      <c r="L5488" s="1" t="s">
        <v>31</v>
      </c>
      <c r="M5488" s="1" t="s">
        <v>18</v>
      </c>
      <c r="N5488" s="1" t="s">
        <v>18</v>
      </c>
      <c r="O5488" s="1">
        <v>3</v>
      </c>
      <c r="P5488" s="1">
        <v>7</v>
      </c>
      <c r="Q5488" s="7" t="s">
        <v>17633</v>
      </c>
      <c r="R5488" s="1" t="s">
        <v>19</v>
      </c>
      <c r="S5488" s="1" t="s">
        <v>63</v>
      </c>
      <c r="T5488" s="1" t="s">
        <v>21</v>
      </c>
      <c r="U5488" s="1" t="s">
        <v>22</v>
      </c>
      <c r="V5488" s="1" t="s">
        <v>24</v>
      </c>
      <c r="W5488" s="1" t="s">
        <v>24</v>
      </c>
      <c r="X5488" s="1">
        <v>1313</v>
      </c>
      <c r="Y5488" s="1">
        <v>3002</v>
      </c>
      <c r="Z5488" s="1" t="s">
        <v>24</v>
      </c>
      <c r="AA5488" s="1" t="s">
        <v>24</v>
      </c>
      <c r="AB5488" s="1" t="s">
        <v>24</v>
      </c>
      <c r="AC5488" s="1" t="s">
        <v>24</v>
      </c>
      <c r="AD5488" s="1" t="s">
        <v>24</v>
      </c>
      <c r="AE5488" s="1" t="s">
        <v>24</v>
      </c>
      <c r="AF5488" s="22"/>
    </row>
    <row r="5489" spans="1:32" x14ac:dyDescent="0.2">
      <c r="A5489" s="1">
        <v>52647</v>
      </c>
      <c r="B5489" s="1" t="s">
        <v>16432</v>
      </c>
      <c r="C5489" s="5" t="s">
        <v>0</v>
      </c>
      <c r="E5489" s="1" t="s">
        <v>16433</v>
      </c>
      <c r="F5489" s="1" t="s">
        <v>315</v>
      </c>
      <c r="G5489" s="1" t="s">
        <v>316</v>
      </c>
      <c r="H5489" s="1" t="s">
        <v>30</v>
      </c>
      <c r="I5489" s="1" t="s">
        <v>16</v>
      </c>
      <c r="J5489" s="1">
        <v>1</v>
      </c>
      <c r="K5489" s="1">
        <v>1</v>
      </c>
      <c r="L5489" s="1" t="s">
        <v>31</v>
      </c>
      <c r="M5489" s="1" t="s">
        <v>18</v>
      </c>
      <c r="N5489" s="1" t="s">
        <v>18</v>
      </c>
      <c r="O5489" s="1">
        <v>3</v>
      </c>
      <c r="P5489" s="1">
        <v>7</v>
      </c>
      <c r="Q5489" s="7" t="s">
        <v>17633</v>
      </c>
      <c r="R5489" s="1" t="s">
        <v>19</v>
      </c>
      <c r="S5489" s="1" t="s">
        <v>63</v>
      </c>
      <c r="T5489" s="1" t="s">
        <v>21</v>
      </c>
      <c r="U5489" s="1" t="s">
        <v>22</v>
      </c>
      <c r="V5489" s="1" t="s">
        <v>24</v>
      </c>
      <c r="W5489" s="1" t="s">
        <v>24</v>
      </c>
      <c r="X5489" s="1">
        <v>1306</v>
      </c>
      <c r="Y5489" s="1">
        <v>1312</v>
      </c>
      <c r="Z5489" s="1" t="s">
        <v>24</v>
      </c>
      <c r="AA5489" s="1" t="s">
        <v>24</v>
      </c>
      <c r="AB5489" s="1" t="s">
        <v>24</v>
      </c>
      <c r="AC5489" s="1" t="s">
        <v>24</v>
      </c>
      <c r="AD5489" s="1" t="s">
        <v>24</v>
      </c>
      <c r="AE5489" s="1" t="s">
        <v>24</v>
      </c>
      <c r="AF5489" s="22"/>
    </row>
    <row r="5490" spans="1:32" x14ac:dyDescent="0.2">
      <c r="A5490" s="1">
        <v>52648</v>
      </c>
      <c r="B5490" s="1" t="s">
        <v>16434</v>
      </c>
      <c r="C5490" s="5" t="s">
        <v>0</v>
      </c>
      <c r="D5490" s="1" t="s">
        <v>16435</v>
      </c>
      <c r="E5490" s="1" t="s">
        <v>16436</v>
      </c>
      <c r="F5490" s="1" t="s">
        <v>6914</v>
      </c>
      <c r="G5490" s="1" t="s">
        <v>6915</v>
      </c>
      <c r="H5490" s="1" t="s">
        <v>37</v>
      </c>
      <c r="I5490" s="1" t="s">
        <v>16</v>
      </c>
      <c r="J5490" s="1">
        <v>1</v>
      </c>
      <c r="K5490" s="1">
        <v>12</v>
      </c>
      <c r="L5490" s="1" t="s">
        <v>31</v>
      </c>
      <c r="M5490" s="1" t="s">
        <v>18</v>
      </c>
      <c r="N5490" s="1" t="s">
        <v>18</v>
      </c>
      <c r="O5490" s="1">
        <v>3</v>
      </c>
      <c r="P5490" s="1">
        <v>7</v>
      </c>
      <c r="Q5490" s="7" t="s">
        <v>17633</v>
      </c>
      <c r="R5490" s="1" t="s">
        <v>19</v>
      </c>
      <c r="S5490" s="1" t="s">
        <v>63</v>
      </c>
      <c r="T5490" s="1" t="s">
        <v>21</v>
      </c>
      <c r="U5490" s="1" t="s">
        <v>22</v>
      </c>
      <c r="V5490" s="1" t="s">
        <v>24</v>
      </c>
      <c r="W5490" s="1" t="s">
        <v>24</v>
      </c>
      <c r="X5490" s="1">
        <v>2307</v>
      </c>
      <c r="Y5490" s="1">
        <v>3005</v>
      </c>
      <c r="Z5490" s="1" t="s">
        <v>24</v>
      </c>
      <c r="AA5490" s="1" t="s">
        <v>24</v>
      </c>
      <c r="AB5490" s="1" t="s">
        <v>24</v>
      </c>
      <c r="AC5490" s="1" t="s">
        <v>24</v>
      </c>
      <c r="AD5490" s="1" t="s">
        <v>24</v>
      </c>
      <c r="AE5490" s="1" t="s">
        <v>24</v>
      </c>
      <c r="AF5490" s="22"/>
    </row>
    <row r="5491" spans="1:32" x14ac:dyDescent="0.2">
      <c r="A5491" s="1">
        <v>52649</v>
      </c>
      <c r="B5491" s="1" t="s">
        <v>16437</v>
      </c>
      <c r="C5491" s="5" t="s">
        <v>0</v>
      </c>
      <c r="D5491" s="1" t="s">
        <v>16438</v>
      </c>
      <c r="E5491" s="1" t="s">
        <v>16439</v>
      </c>
      <c r="F5491" s="1" t="s">
        <v>555</v>
      </c>
      <c r="G5491" s="1" t="s">
        <v>36</v>
      </c>
      <c r="H5491" s="1" t="s">
        <v>37</v>
      </c>
      <c r="I5491" s="1" t="s">
        <v>16</v>
      </c>
      <c r="J5491" s="1">
        <v>1</v>
      </c>
      <c r="K5491" s="1">
        <v>4</v>
      </c>
      <c r="L5491" s="1" t="s">
        <v>31</v>
      </c>
      <c r="M5491" s="1" t="s">
        <v>18</v>
      </c>
      <c r="N5491" s="1" t="s">
        <v>18</v>
      </c>
      <c r="O5491" s="1">
        <v>3</v>
      </c>
      <c r="P5491" s="1">
        <v>7</v>
      </c>
      <c r="Q5491" s="7" t="s">
        <v>17633</v>
      </c>
      <c r="R5491" s="1" t="s">
        <v>19</v>
      </c>
      <c r="S5491" s="1" t="s">
        <v>20</v>
      </c>
      <c r="T5491" s="1" t="s">
        <v>21</v>
      </c>
      <c r="U5491" s="1" t="s">
        <v>22</v>
      </c>
      <c r="V5491" s="1" t="s">
        <v>24</v>
      </c>
      <c r="W5491" s="1" t="s">
        <v>24</v>
      </c>
      <c r="X5491" s="1">
        <v>2736</v>
      </c>
      <c r="Y5491" s="1">
        <v>3003</v>
      </c>
      <c r="Z5491" s="1" t="s">
        <v>24</v>
      </c>
      <c r="AA5491" s="1" t="s">
        <v>24</v>
      </c>
      <c r="AB5491" s="1" t="s">
        <v>24</v>
      </c>
      <c r="AC5491" s="1" t="s">
        <v>24</v>
      </c>
      <c r="AD5491" s="1" t="s">
        <v>24</v>
      </c>
      <c r="AE5491" s="1" t="s">
        <v>24</v>
      </c>
      <c r="AF5491" s="22"/>
    </row>
    <row r="5492" spans="1:32" x14ac:dyDescent="0.2">
      <c r="A5492" s="1">
        <v>52650</v>
      </c>
      <c r="B5492" s="1" t="s">
        <v>16440</v>
      </c>
      <c r="C5492" s="5" t="s">
        <v>0</v>
      </c>
      <c r="D5492" s="1" t="s">
        <v>16441</v>
      </c>
      <c r="E5492" s="1" t="s">
        <v>16442</v>
      </c>
      <c r="F5492" s="1" t="s">
        <v>493</v>
      </c>
      <c r="G5492" s="1" t="s">
        <v>98</v>
      </c>
      <c r="H5492" s="1" t="s">
        <v>37</v>
      </c>
      <c r="I5492" s="1" t="s">
        <v>16</v>
      </c>
      <c r="J5492" s="1">
        <v>1</v>
      </c>
      <c r="K5492" s="1">
        <v>4</v>
      </c>
      <c r="L5492" s="1" t="s">
        <v>31</v>
      </c>
      <c r="M5492" s="1" t="s">
        <v>18</v>
      </c>
      <c r="N5492" s="1" t="s">
        <v>18</v>
      </c>
      <c r="O5492" s="1">
        <v>3</v>
      </c>
      <c r="P5492" s="1">
        <v>7</v>
      </c>
      <c r="Q5492" s="7" t="s">
        <v>17633</v>
      </c>
      <c r="R5492" s="1" t="s">
        <v>19</v>
      </c>
      <c r="S5492" s="1" t="s">
        <v>20</v>
      </c>
      <c r="T5492" s="1" t="s">
        <v>21</v>
      </c>
      <c r="V5492" s="1" t="s">
        <v>23</v>
      </c>
      <c r="W5492" s="1" t="s">
        <v>24</v>
      </c>
      <c r="X5492" s="1">
        <v>2705</v>
      </c>
      <c r="Y5492" s="1">
        <v>2706</v>
      </c>
      <c r="Z5492" s="1" t="s">
        <v>24</v>
      </c>
      <c r="AA5492" s="1" t="s">
        <v>24</v>
      </c>
      <c r="AB5492" s="1" t="s">
        <v>24</v>
      </c>
      <c r="AC5492" s="1" t="s">
        <v>24</v>
      </c>
      <c r="AD5492" s="1" t="s">
        <v>24</v>
      </c>
      <c r="AE5492" s="1" t="s">
        <v>24</v>
      </c>
      <c r="AF5492" s="22" t="s">
        <v>17670</v>
      </c>
    </row>
    <row r="5493" spans="1:32" x14ac:dyDescent="0.2">
      <c r="A5493" s="1">
        <v>52651</v>
      </c>
      <c r="B5493" s="1" t="s">
        <v>16443</v>
      </c>
      <c r="C5493" s="5" t="s">
        <v>0</v>
      </c>
      <c r="E5493" s="1" t="s">
        <v>16444</v>
      </c>
      <c r="F5493" s="1" t="s">
        <v>179</v>
      </c>
      <c r="G5493" s="1" t="s">
        <v>130</v>
      </c>
      <c r="H5493" s="1" t="s">
        <v>30</v>
      </c>
      <c r="I5493" s="1" t="s">
        <v>16</v>
      </c>
      <c r="J5493" s="1">
        <v>1</v>
      </c>
      <c r="K5493" s="1">
        <v>1</v>
      </c>
      <c r="L5493" s="1" t="s">
        <v>31</v>
      </c>
      <c r="M5493" s="1" t="s">
        <v>18</v>
      </c>
      <c r="N5493" s="1" t="s">
        <v>18</v>
      </c>
      <c r="O5493" s="1">
        <v>3</v>
      </c>
      <c r="P5493" s="1">
        <v>7</v>
      </c>
      <c r="Q5493" s="7" t="s">
        <v>17633</v>
      </c>
      <c r="R5493" s="1" t="s">
        <v>19</v>
      </c>
      <c r="S5493" s="1" t="s">
        <v>20</v>
      </c>
      <c r="T5493" s="1" t="s">
        <v>21</v>
      </c>
      <c r="V5493" s="1" t="s">
        <v>24</v>
      </c>
      <c r="W5493" s="1" t="s">
        <v>24</v>
      </c>
      <c r="X5493" s="1">
        <v>3003</v>
      </c>
      <c r="Y5493" s="1">
        <v>2736</v>
      </c>
      <c r="Z5493" s="1" t="s">
        <v>24</v>
      </c>
      <c r="AA5493" s="1" t="s">
        <v>24</v>
      </c>
      <c r="AB5493" s="1" t="s">
        <v>24</v>
      </c>
      <c r="AC5493" s="1" t="s">
        <v>24</v>
      </c>
      <c r="AD5493" s="1" t="s">
        <v>24</v>
      </c>
      <c r="AE5493" s="1" t="s">
        <v>24</v>
      </c>
      <c r="AF5493" s="22"/>
    </row>
    <row r="5494" spans="1:32" x14ac:dyDescent="0.2">
      <c r="A5494" s="1">
        <v>52652</v>
      </c>
      <c r="B5494" s="1" t="s">
        <v>16445</v>
      </c>
      <c r="C5494" s="5" t="s">
        <v>0</v>
      </c>
      <c r="E5494" s="1" t="s">
        <v>16446</v>
      </c>
      <c r="F5494" s="1" t="s">
        <v>179</v>
      </c>
      <c r="G5494" s="1" t="s">
        <v>130</v>
      </c>
      <c r="H5494" s="1" t="s">
        <v>30</v>
      </c>
      <c r="I5494" s="1" t="s">
        <v>16</v>
      </c>
      <c r="J5494" s="1">
        <v>1</v>
      </c>
      <c r="K5494" s="1">
        <v>1</v>
      </c>
      <c r="L5494" s="1" t="s">
        <v>31</v>
      </c>
      <c r="M5494" s="1" t="s">
        <v>18</v>
      </c>
      <c r="N5494" s="1" t="s">
        <v>18</v>
      </c>
      <c r="O5494" s="1">
        <v>3</v>
      </c>
      <c r="P5494" s="1">
        <v>7</v>
      </c>
      <c r="Q5494" s="7" t="s">
        <v>17633</v>
      </c>
      <c r="R5494" s="1" t="s">
        <v>19</v>
      </c>
      <c r="S5494" s="1" t="s">
        <v>20</v>
      </c>
      <c r="T5494" s="1" t="s">
        <v>21</v>
      </c>
      <c r="V5494" s="1" t="s">
        <v>24</v>
      </c>
      <c r="W5494" s="1" t="s">
        <v>24</v>
      </c>
      <c r="X5494" s="1">
        <v>3001</v>
      </c>
      <c r="Y5494" s="1">
        <v>3003</v>
      </c>
      <c r="Z5494" s="1" t="s">
        <v>24</v>
      </c>
      <c r="AA5494" s="1" t="s">
        <v>24</v>
      </c>
      <c r="AB5494" s="1" t="s">
        <v>24</v>
      </c>
      <c r="AC5494" s="1" t="s">
        <v>24</v>
      </c>
      <c r="AD5494" s="1" t="s">
        <v>24</v>
      </c>
      <c r="AE5494" s="1" t="s">
        <v>24</v>
      </c>
      <c r="AF5494" s="22"/>
    </row>
    <row r="5495" spans="1:32" x14ac:dyDescent="0.2">
      <c r="A5495" s="1">
        <v>52653</v>
      </c>
      <c r="B5495" s="1" t="s">
        <v>16447</v>
      </c>
      <c r="C5495" s="5" t="s">
        <v>0</v>
      </c>
      <c r="E5495" s="1" t="s">
        <v>16448</v>
      </c>
      <c r="F5495" s="1" t="s">
        <v>1808</v>
      </c>
      <c r="G5495" s="1" t="s">
        <v>130</v>
      </c>
      <c r="H5495" s="1" t="s">
        <v>461</v>
      </c>
      <c r="I5495" s="1" t="s">
        <v>16</v>
      </c>
      <c r="J5495" s="1">
        <v>1</v>
      </c>
      <c r="K5495" s="1">
        <v>2</v>
      </c>
      <c r="L5495" s="1" t="s">
        <v>31</v>
      </c>
      <c r="M5495" s="1" t="s">
        <v>18</v>
      </c>
      <c r="N5495" s="1" t="s">
        <v>18</v>
      </c>
      <c r="O5495" s="1">
        <v>3</v>
      </c>
      <c r="P5495" s="1">
        <v>7</v>
      </c>
      <c r="Q5495" s="7" t="s">
        <v>17633</v>
      </c>
      <c r="R5495" s="1" t="s">
        <v>19</v>
      </c>
      <c r="S5495" s="1" t="s">
        <v>20</v>
      </c>
      <c r="T5495" s="1" t="s">
        <v>21</v>
      </c>
      <c r="V5495" s="1" t="s">
        <v>23</v>
      </c>
      <c r="W5495" s="1" t="s">
        <v>24</v>
      </c>
      <c r="X5495" s="1">
        <v>2727</v>
      </c>
      <c r="Y5495" s="1" t="s">
        <v>24</v>
      </c>
      <c r="Z5495" s="1" t="s">
        <v>24</v>
      </c>
      <c r="AA5495" s="1" t="s">
        <v>24</v>
      </c>
      <c r="AB5495" s="1" t="s">
        <v>24</v>
      </c>
      <c r="AC5495" s="1" t="s">
        <v>24</v>
      </c>
      <c r="AD5495" s="1" t="s">
        <v>24</v>
      </c>
      <c r="AE5495" s="1" t="s">
        <v>24</v>
      </c>
      <c r="AF5495" s="22"/>
    </row>
    <row r="5496" spans="1:32" x14ac:dyDescent="0.2">
      <c r="A5496" s="1">
        <v>52654</v>
      </c>
      <c r="B5496" s="1" t="s">
        <v>16449</v>
      </c>
      <c r="C5496" s="5" t="s">
        <v>0</v>
      </c>
      <c r="E5496" s="1" t="s">
        <v>16450</v>
      </c>
      <c r="F5496" s="1" t="s">
        <v>1808</v>
      </c>
      <c r="G5496" s="1" t="s">
        <v>130</v>
      </c>
      <c r="H5496" s="1" t="s">
        <v>461</v>
      </c>
      <c r="I5496" s="1" t="s">
        <v>16</v>
      </c>
      <c r="J5496" s="1">
        <v>1</v>
      </c>
      <c r="K5496" s="1">
        <v>4</v>
      </c>
      <c r="L5496" s="1" t="s">
        <v>31</v>
      </c>
      <c r="M5496" s="1" t="s">
        <v>18</v>
      </c>
      <c r="N5496" s="1" t="s">
        <v>18</v>
      </c>
      <c r="O5496" s="1">
        <v>3</v>
      </c>
      <c r="P5496" s="1">
        <v>7</v>
      </c>
      <c r="Q5496" s="7" t="s">
        <v>17633</v>
      </c>
      <c r="R5496" s="1" t="s">
        <v>19</v>
      </c>
      <c r="S5496" s="1" t="s">
        <v>20</v>
      </c>
      <c r="T5496" s="1" t="s">
        <v>21</v>
      </c>
      <c r="V5496" s="1" t="s">
        <v>23</v>
      </c>
      <c r="W5496" s="1" t="s">
        <v>24</v>
      </c>
      <c r="X5496" s="1">
        <v>2730</v>
      </c>
      <c r="Y5496" s="1" t="s">
        <v>24</v>
      </c>
      <c r="Z5496" s="1" t="s">
        <v>24</v>
      </c>
      <c r="AA5496" s="1" t="s">
        <v>24</v>
      </c>
      <c r="AB5496" s="1" t="s">
        <v>24</v>
      </c>
      <c r="AC5496" s="1" t="s">
        <v>24</v>
      </c>
      <c r="AD5496" s="1" t="s">
        <v>24</v>
      </c>
      <c r="AE5496" s="1" t="s">
        <v>24</v>
      </c>
      <c r="AF5496" s="22"/>
    </row>
    <row r="5497" spans="1:32" x14ac:dyDescent="0.2">
      <c r="A5497" s="1">
        <v>52655</v>
      </c>
      <c r="B5497" s="1" t="s">
        <v>16451</v>
      </c>
      <c r="C5497" s="5" t="s">
        <v>0</v>
      </c>
      <c r="D5497" s="1" t="s">
        <v>16452</v>
      </c>
      <c r="E5497" s="1" t="s">
        <v>16453</v>
      </c>
      <c r="F5497" s="1" t="s">
        <v>217</v>
      </c>
      <c r="G5497" s="1" t="s">
        <v>130</v>
      </c>
      <c r="H5497" s="1" t="s">
        <v>92</v>
      </c>
      <c r="I5497" s="1" t="s">
        <v>16</v>
      </c>
      <c r="J5497" s="1">
        <v>1</v>
      </c>
      <c r="K5497" s="1">
        <v>6</v>
      </c>
      <c r="L5497" s="1" t="s">
        <v>31</v>
      </c>
      <c r="M5497" s="1" t="s">
        <v>18</v>
      </c>
      <c r="N5497" s="1" t="s">
        <v>18</v>
      </c>
      <c r="O5497" s="1">
        <v>3</v>
      </c>
      <c r="P5497" s="1">
        <v>7</v>
      </c>
      <c r="Q5497" s="7" t="s">
        <v>17633</v>
      </c>
      <c r="R5497" s="1" t="s">
        <v>19</v>
      </c>
      <c r="S5497" s="1" t="s">
        <v>20</v>
      </c>
      <c r="T5497" s="1" t="s">
        <v>21</v>
      </c>
      <c r="U5497" s="1" t="s">
        <v>22</v>
      </c>
      <c r="V5497" s="1" t="s">
        <v>24</v>
      </c>
      <c r="W5497" s="1" t="s">
        <v>24</v>
      </c>
      <c r="X5497" s="1">
        <v>3001</v>
      </c>
      <c r="Y5497" s="1">
        <v>3003</v>
      </c>
      <c r="Z5497" s="1" t="s">
        <v>24</v>
      </c>
      <c r="AA5497" s="1" t="s">
        <v>24</v>
      </c>
      <c r="AB5497" s="1" t="s">
        <v>24</v>
      </c>
      <c r="AC5497" s="1" t="s">
        <v>24</v>
      </c>
      <c r="AD5497" s="1" t="s">
        <v>24</v>
      </c>
      <c r="AE5497" s="1" t="s">
        <v>24</v>
      </c>
      <c r="AF5497" s="22"/>
    </row>
    <row r="5498" spans="1:32" x14ac:dyDescent="0.2">
      <c r="A5498" s="1">
        <v>52656</v>
      </c>
      <c r="B5498" s="1" t="s">
        <v>16454</v>
      </c>
      <c r="C5498" s="5" t="s">
        <v>0</v>
      </c>
      <c r="D5498" s="1" t="s">
        <v>16455</v>
      </c>
      <c r="E5498" s="1" t="s">
        <v>16456</v>
      </c>
      <c r="F5498" s="1" t="s">
        <v>167</v>
      </c>
      <c r="G5498" s="1" t="s">
        <v>130</v>
      </c>
      <c r="H5498" s="1" t="s">
        <v>168</v>
      </c>
      <c r="I5498" s="1" t="s">
        <v>16</v>
      </c>
      <c r="J5498" s="1">
        <v>1</v>
      </c>
      <c r="K5498" s="1">
        <v>4</v>
      </c>
      <c r="L5498" s="1" t="s">
        <v>31</v>
      </c>
      <c r="M5498" s="1" t="s">
        <v>18</v>
      </c>
      <c r="N5498" s="1" t="s">
        <v>18</v>
      </c>
      <c r="O5498" s="1">
        <v>3</v>
      </c>
      <c r="P5498" s="1">
        <v>7</v>
      </c>
      <c r="Q5498" s="7" t="s">
        <v>17633</v>
      </c>
      <c r="R5498" s="1" t="s">
        <v>19</v>
      </c>
      <c r="S5498" s="1" t="s">
        <v>20</v>
      </c>
      <c r="T5498" s="1" t="s">
        <v>21</v>
      </c>
      <c r="V5498" s="1" t="s">
        <v>23</v>
      </c>
      <c r="W5498" s="1" t="s">
        <v>24</v>
      </c>
      <c r="X5498" s="1">
        <v>2730</v>
      </c>
      <c r="Y5498" s="1">
        <v>2741</v>
      </c>
      <c r="Z5498" s="1" t="s">
        <v>24</v>
      </c>
      <c r="AA5498" s="1" t="s">
        <v>24</v>
      </c>
      <c r="AB5498" s="1" t="s">
        <v>24</v>
      </c>
      <c r="AC5498" s="1" t="s">
        <v>24</v>
      </c>
      <c r="AD5498" s="1" t="s">
        <v>24</v>
      </c>
      <c r="AE5498" s="1" t="s">
        <v>24</v>
      </c>
      <c r="AF5498" s="22"/>
    </row>
    <row r="5499" spans="1:32" x14ac:dyDescent="0.2">
      <c r="A5499" s="1">
        <v>52657</v>
      </c>
      <c r="B5499" s="1" t="s">
        <v>16457</v>
      </c>
      <c r="C5499" s="5" t="s">
        <v>0</v>
      </c>
      <c r="E5499" s="1" t="s">
        <v>16458</v>
      </c>
      <c r="F5499" s="1" t="s">
        <v>2299</v>
      </c>
      <c r="G5499" s="1" t="s">
        <v>2300</v>
      </c>
      <c r="H5499" s="1" t="s">
        <v>168</v>
      </c>
      <c r="I5499" s="1" t="s">
        <v>16</v>
      </c>
      <c r="J5499" s="1">
        <v>1</v>
      </c>
      <c r="K5499" s="1">
        <v>1</v>
      </c>
      <c r="L5499" s="1" t="s">
        <v>31</v>
      </c>
      <c r="M5499" s="1" t="s">
        <v>18</v>
      </c>
      <c r="N5499" s="1" t="s">
        <v>18</v>
      </c>
      <c r="O5499" s="1">
        <v>3</v>
      </c>
      <c r="P5499" s="1">
        <v>7</v>
      </c>
      <c r="Q5499" s="7" t="s">
        <v>17633</v>
      </c>
      <c r="R5499" s="1" t="s">
        <v>19</v>
      </c>
      <c r="S5499" s="1" t="s">
        <v>63</v>
      </c>
      <c r="T5499" s="1" t="s">
        <v>21</v>
      </c>
      <c r="V5499" s="1" t="s">
        <v>23</v>
      </c>
      <c r="W5499" s="1" t="s">
        <v>24</v>
      </c>
      <c r="X5499" s="1">
        <v>2701</v>
      </c>
      <c r="Y5499" s="1">
        <v>1313</v>
      </c>
      <c r="Z5499" s="1" t="s">
        <v>24</v>
      </c>
      <c r="AA5499" s="1" t="s">
        <v>24</v>
      </c>
      <c r="AB5499" s="1" t="s">
        <v>24</v>
      </c>
      <c r="AC5499" s="1" t="s">
        <v>24</v>
      </c>
      <c r="AD5499" s="1" t="s">
        <v>24</v>
      </c>
      <c r="AE5499" s="1" t="s">
        <v>24</v>
      </c>
      <c r="AF5499" s="22" t="s">
        <v>17670</v>
      </c>
    </row>
    <row r="5500" spans="1:32" x14ac:dyDescent="0.2">
      <c r="A5500" s="1">
        <v>52658</v>
      </c>
      <c r="B5500" s="1" t="s">
        <v>16459</v>
      </c>
      <c r="C5500" s="5" t="s">
        <v>0</v>
      </c>
      <c r="E5500" s="1" t="s">
        <v>16460</v>
      </c>
      <c r="F5500" s="1" t="s">
        <v>2299</v>
      </c>
      <c r="G5500" s="1" t="s">
        <v>2300</v>
      </c>
      <c r="H5500" s="1" t="s">
        <v>37</v>
      </c>
      <c r="I5500" s="1" t="s">
        <v>16</v>
      </c>
      <c r="J5500" s="1">
        <v>1</v>
      </c>
      <c r="K5500" s="1">
        <v>1</v>
      </c>
      <c r="L5500" s="1" t="s">
        <v>31</v>
      </c>
      <c r="M5500" s="1" t="s">
        <v>18</v>
      </c>
      <c r="N5500" s="1" t="s">
        <v>18</v>
      </c>
      <c r="O5500" s="1">
        <v>3</v>
      </c>
      <c r="P5500" s="1">
        <v>7</v>
      </c>
      <c r="Q5500" s="7" t="s">
        <v>17633</v>
      </c>
      <c r="R5500" s="1" t="s">
        <v>19</v>
      </c>
      <c r="S5500" s="1" t="s">
        <v>63</v>
      </c>
      <c r="T5500" s="1" t="s">
        <v>21</v>
      </c>
      <c r="U5500" s="1" t="s">
        <v>22</v>
      </c>
      <c r="V5500" s="1" t="s">
        <v>23</v>
      </c>
      <c r="W5500" s="1" t="s">
        <v>24</v>
      </c>
      <c r="X5500" s="1">
        <v>2728</v>
      </c>
      <c r="Y5500" s="1">
        <v>2804</v>
      </c>
      <c r="Z5500" s="1">
        <v>2805</v>
      </c>
      <c r="AA5500" s="1" t="s">
        <v>24</v>
      </c>
      <c r="AB5500" s="1" t="s">
        <v>24</v>
      </c>
      <c r="AC5500" s="1" t="s">
        <v>24</v>
      </c>
      <c r="AD5500" s="1" t="s">
        <v>24</v>
      </c>
      <c r="AE5500" s="1" t="s">
        <v>24</v>
      </c>
      <c r="AF5500" s="22"/>
    </row>
    <row r="5501" spans="1:32" x14ac:dyDescent="0.2">
      <c r="A5501" s="1">
        <v>52659</v>
      </c>
      <c r="B5501" s="1" t="s">
        <v>16461</v>
      </c>
      <c r="C5501" s="5" t="s">
        <v>0</v>
      </c>
      <c r="E5501" s="1" t="s">
        <v>16462</v>
      </c>
      <c r="F5501" s="1" t="s">
        <v>2299</v>
      </c>
      <c r="G5501" s="1" t="s">
        <v>2300</v>
      </c>
      <c r="H5501" s="1" t="s">
        <v>37</v>
      </c>
      <c r="I5501" s="1" t="s">
        <v>16</v>
      </c>
      <c r="J5501" s="1">
        <v>1</v>
      </c>
      <c r="K5501" s="1">
        <v>1</v>
      </c>
      <c r="L5501" s="1" t="s">
        <v>31</v>
      </c>
      <c r="M5501" s="1" t="s">
        <v>18</v>
      </c>
      <c r="N5501" s="1" t="s">
        <v>18</v>
      </c>
      <c r="O5501" s="1">
        <v>3</v>
      </c>
      <c r="P5501" s="1">
        <v>7</v>
      </c>
      <c r="Q5501" s="7" t="s">
        <v>17633</v>
      </c>
      <c r="R5501" s="1" t="s">
        <v>19</v>
      </c>
      <c r="S5501" s="1" t="s">
        <v>63</v>
      </c>
      <c r="T5501" s="1" t="s">
        <v>21</v>
      </c>
      <c r="V5501" s="1" t="s">
        <v>24</v>
      </c>
      <c r="W5501" s="1" t="s">
        <v>24</v>
      </c>
      <c r="X5501" s="1">
        <v>2725</v>
      </c>
      <c r="Y5501" s="1">
        <v>2726</v>
      </c>
      <c r="Z5501" s="1">
        <v>2736</v>
      </c>
      <c r="AA5501" s="1">
        <v>2739</v>
      </c>
      <c r="AB5501" s="1" t="s">
        <v>24</v>
      </c>
      <c r="AC5501" s="1" t="s">
        <v>24</v>
      </c>
      <c r="AD5501" s="1" t="s">
        <v>24</v>
      </c>
      <c r="AE5501" s="1" t="s">
        <v>24</v>
      </c>
      <c r="AF5501" s="22"/>
    </row>
    <row r="5502" spans="1:32" x14ac:dyDescent="0.2">
      <c r="A5502" s="1">
        <v>52660</v>
      </c>
      <c r="B5502" s="1" t="s">
        <v>16463</v>
      </c>
      <c r="C5502" s="5" t="s">
        <v>0</v>
      </c>
      <c r="E5502" s="1" t="s">
        <v>16464</v>
      </c>
      <c r="F5502" s="1" t="s">
        <v>2299</v>
      </c>
      <c r="G5502" s="1" t="s">
        <v>2300</v>
      </c>
      <c r="H5502" s="1" t="s">
        <v>37</v>
      </c>
      <c r="I5502" s="1" t="s">
        <v>16</v>
      </c>
      <c r="J5502" s="1">
        <v>1</v>
      </c>
      <c r="K5502" s="1">
        <v>1</v>
      </c>
      <c r="L5502" s="1" t="s">
        <v>31</v>
      </c>
      <c r="M5502" s="1" t="s">
        <v>18</v>
      </c>
      <c r="N5502" s="1" t="s">
        <v>18</v>
      </c>
      <c r="O5502" s="1">
        <v>3</v>
      </c>
      <c r="P5502" s="1">
        <v>7</v>
      </c>
      <c r="Q5502" s="7" t="s">
        <v>17633</v>
      </c>
      <c r="R5502" s="1" t="s">
        <v>19</v>
      </c>
      <c r="S5502" s="1" t="s">
        <v>63</v>
      </c>
      <c r="T5502" s="1" t="s">
        <v>21</v>
      </c>
      <c r="V5502" s="1" t="s">
        <v>24</v>
      </c>
      <c r="W5502" s="1" t="s">
        <v>24</v>
      </c>
      <c r="X5502" s="1">
        <v>2720</v>
      </c>
      <c r="Y5502" s="1">
        <v>2730</v>
      </c>
      <c r="Z5502" s="1">
        <v>1306</v>
      </c>
      <c r="AA5502" s="1" t="s">
        <v>24</v>
      </c>
      <c r="AB5502" s="1" t="s">
        <v>24</v>
      </c>
      <c r="AC5502" s="1" t="s">
        <v>24</v>
      </c>
      <c r="AD5502" s="1" t="s">
        <v>24</v>
      </c>
      <c r="AE5502" s="1" t="s">
        <v>24</v>
      </c>
      <c r="AF5502" s="22"/>
    </row>
    <row r="5503" spans="1:32" x14ac:dyDescent="0.2">
      <c r="A5503" s="1">
        <v>52661</v>
      </c>
      <c r="B5503" s="1" t="s">
        <v>16465</v>
      </c>
      <c r="C5503" s="5" t="s">
        <v>0</v>
      </c>
      <c r="E5503" s="1" t="s">
        <v>16466</v>
      </c>
      <c r="F5503" s="1" t="s">
        <v>9718</v>
      </c>
      <c r="G5503" s="1" t="s">
        <v>130</v>
      </c>
      <c r="H5503" s="1" t="s">
        <v>30</v>
      </c>
      <c r="I5503" s="1" t="s">
        <v>16</v>
      </c>
      <c r="J5503" s="1">
        <v>1</v>
      </c>
      <c r="K5503" s="1">
        <v>4</v>
      </c>
      <c r="L5503" s="1" t="s">
        <v>31</v>
      </c>
      <c r="M5503" s="1" t="s">
        <v>18</v>
      </c>
      <c r="N5503" s="1" t="s">
        <v>18</v>
      </c>
      <c r="O5503" s="1">
        <v>2</v>
      </c>
      <c r="P5503" s="1">
        <v>7</v>
      </c>
      <c r="Q5503" s="7" t="s">
        <v>17633</v>
      </c>
      <c r="R5503" s="1" t="s">
        <v>19</v>
      </c>
      <c r="S5503" s="1" t="s">
        <v>20</v>
      </c>
      <c r="T5503" s="1" t="s">
        <v>21</v>
      </c>
      <c r="V5503" s="1" t="s">
        <v>23</v>
      </c>
      <c r="W5503" s="1" t="s">
        <v>24</v>
      </c>
      <c r="X5503" s="1">
        <v>2708</v>
      </c>
      <c r="Y5503" s="1" t="s">
        <v>24</v>
      </c>
      <c r="Z5503" s="1" t="s">
        <v>24</v>
      </c>
      <c r="AA5503" s="1" t="s">
        <v>24</v>
      </c>
      <c r="AB5503" s="1" t="s">
        <v>24</v>
      </c>
      <c r="AC5503" s="1" t="s">
        <v>24</v>
      </c>
      <c r="AD5503" s="1" t="s">
        <v>24</v>
      </c>
      <c r="AE5503" s="1" t="s">
        <v>24</v>
      </c>
      <c r="AF5503" s="22"/>
    </row>
    <row r="5504" spans="1:32" x14ac:dyDescent="0.2">
      <c r="A5504" s="1">
        <v>52662</v>
      </c>
      <c r="B5504" s="1" t="s">
        <v>16467</v>
      </c>
      <c r="C5504" s="5" t="s">
        <v>0</v>
      </c>
      <c r="E5504" s="1" t="s">
        <v>16468</v>
      </c>
      <c r="F5504" s="1" t="s">
        <v>9718</v>
      </c>
      <c r="G5504" s="1" t="s">
        <v>130</v>
      </c>
      <c r="H5504" s="1" t="s">
        <v>30</v>
      </c>
      <c r="I5504" s="1" t="s">
        <v>16</v>
      </c>
      <c r="J5504" s="1">
        <v>1</v>
      </c>
      <c r="K5504" s="1">
        <v>4</v>
      </c>
      <c r="L5504" s="1" t="s">
        <v>31</v>
      </c>
      <c r="M5504" s="1" t="s">
        <v>18</v>
      </c>
      <c r="N5504" s="1" t="s">
        <v>18</v>
      </c>
      <c r="O5504" s="1">
        <v>2</v>
      </c>
      <c r="P5504" s="1">
        <v>7</v>
      </c>
      <c r="Q5504" s="7" t="s">
        <v>17633</v>
      </c>
      <c r="R5504" s="1" t="s">
        <v>19</v>
      </c>
      <c r="S5504" s="1" t="s">
        <v>20</v>
      </c>
      <c r="T5504" s="1" t="s">
        <v>21</v>
      </c>
      <c r="V5504" s="1" t="s">
        <v>23</v>
      </c>
      <c r="W5504" s="1" t="s">
        <v>24</v>
      </c>
      <c r="X5504" s="1">
        <v>2724</v>
      </c>
      <c r="Y5504" s="1" t="s">
        <v>24</v>
      </c>
      <c r="Z5504" s="1" t="s">
        <v>24</v>
      </c>
      <c r="AA5504" s="1" t="s">
        <v>24</v>
      </c>
      <c r="AB5504" s="1" t="s">
        <v>24</v>
      </c>
      <c r="AC5504" s="1" t="s">
        <v>24</v>
      </c>
      <c r="AD5504" s="1" t="s">
        <v>24</v>
      </c>
      <c r="AE5504" s="1" t="s">
        <v>24</v>
      </c>
      <c r="AF5504" s="22"/>
    </row>
    <row r="5505" spans="1:32" x14ac:dyDescent="0.2">
      <c r="A5505" s="1">
        <v>52663</v>
      </c>
      <c r="B5505" s="1" t="s">
        <v>16469</v>
      </c>
      <c r="C5505" s="5" t="s">
        <v>0</v>
      </c>
      <c r="E5505" s="1" t="s">
        <v>16470</v>
      </c>
      <c r="F5505" s="1" t="s">
        <v>9718</v>
      </c>
      <c r="G5505" s="1" t="s">
        <v>130</v>
      </c>
      <c r="H5505" s="1" t="s">
        <v>30</v>
      </c>
      <c r="I5505" s="1" t="s">
        <v>16</v>
      </c>
      <c r="J5505" s="1">
        <v>1</v>
      </c>
      <c r="K5505" s="1">
        <v>4</v>
      </c>
      <c r="L5505" s="1" t="s">
        <v>31</v>
      </c>
      <c r="M5505" s="1" t="s">
        <v>18</v>
      </c>
      <c r="N5505" s="1" t="s">
        <v>18</v>
      </c>
      <c r="O5505" s="1">
        <v>2</v>
      </c>
      <c r="P5505" s="1">
        <v>7</v>
      </c>
      <c r="Q5505" s="7" t="s">
        <v>17633</v>
      </c>
      <c r="R5505" s="1" t="s">
        <v>19</v>
      </c>
      <c r="S5505" s="1" t="s">
        <v>20</v>
      </c>
      <c r="T5505" s="1" t="s">
        <v>21</v>
      </c>
      <c r="V5505" s="1" t="s">
        <v>24</v>
      </c>
      <c r="W5505" s="1" t="s">
        <v>24</v>
      </c>
      <c r="X5505" s="1">
        <v>2729</v>
      </c>
      <c r="Y5505" s="1" t="s">
        <v>24</v>
      </c>
      <c r="Z5505" s="1" t="s">
        <v>24</v>
      </c>
      <c r="AA5505" s="1" t="s">
        <v>24</v>
      </c>
      <c r="AB5505" s="1" t="s">
        <v>24</v>
      </c>
      <c r="AC5505" s="1" t="s">
        <v>24</v>
      </c>
      <c r="AD5505" s="1" t="s">
        <v>24</v>
      </c>
      <c r="AE5505" s="1" t="s">
        <v>24</v>
      </c>
      <c r="AF5505" s="22"/>
    </row>
    <row r="5506" spans="1:32" x14ac:dyDescent="0.2">
      <c r="A5506" s="1">
        <v>52664</v>
      </c>
      <c r="B5506" s="1" t="s">
        <v>16471</v>
      </c>
      <c r="C5506" s="5" t="s">
        <v>0</v>
      </c>
      <c r="E5506" s="1" t="s">
        <v>16472</v>
      </c>
      <c r="F5506" s="1" t="s">
        <v>9718</v>
      </c>
      <c r="G5506" s="1" t="s">
        <v>130</v>
      </c>
      <c r="H5506" s="1" t="s">
        <v>30</v>
      </c>
      <c r="I5506" s="1" t="s">
        <v>16</v>
      </c>
      <c r="J5506" s="1">
        <v>1</v>
      </c>
      <c r="K5506" s="1">
        <v>4</v>
      </c>
      <c r="L5506" s="1" t="s">
        <v>31</v>
      </c>
      <c r="M5506" s="1" t="s">
        <v>18</v>
      </c>
      <c r="N5506" s="1" t="s">
        <v>18</v>
      </c>
      <c r="O5506" s="1">
        <v>2</v>
      </c>
      <c r="P5506" s="1">
        <v>7</v>
      </c>
      <c r="Q5506" s="7" t="s">
        <v>17633</v>
      </c>
      <c r="R5506" s="1" t="s">
        <v>19</v>
      </c>
      <c r="S5506" s="1" t="s">
        <v>20</v>
      </c>
      <c r="T5506" s="1" t="s">
        <v>21</v>
      </c>
      <c r="V5506" s="1" t="s">
        <v>23</v>
      </c>
      <c r="W5506" s="1" t="s">
        <v>24</v>
      </c>
      <c r="X5506" s="1">
        <v>2740</v>
      </c>
      <c r="Y5506" s="1" t="s">
        <v>24</v>
      </c>
      <c r="Z5506" s="1" t="s">
        <v>24</v>
      </c>
      <c r="AA5506" s="1" t="s">
        <v>24</v>
      </c>
      <c r="AB5506" s="1" t="s">
        <v>24</v>
      </c>
      <c r="AC5506" s="1" t="s">
        <v>24</v>
      </c>
      <c r="AD5506" s="1" t="s">
        <v>24</v>
      </c>
      <c r="AE5506" s="1" t="s">
        <v>24</v>
      </c>
      <c r="AF5506" s="22"/>
    </row>
    <row r="5507" spans="1:32" x14ac:dyDescent="0.2">
      <c r="A5507" s="1">
        <v>52665</v>
      </c>
      <c r="B5507" s="1" t="s">
        <v>16473</v>
      </c>
      <c r="C5507" s="5" t="s">
        <v>0</v>
      </c>
      <c r="E5507" s="1" t="s">
        <v>16474</v>
      </c>
      <c r="F5507" s="1" t="s">
        <v>9718</v>
      </c>
      <c r="G5507" s="1" t="s">
        <v>130</v>
      </c>
      <c r="H5507" s="1" t="s">
        <v>30</v>
      </c>
      <c r="I5507" s="1" t="s">
        <v>16</v>
      </c>
      <c r="J5507" s="1">
        <v>1</v>
      </c>
      <c r="K5507" s="1">
        <v>4</v>
      </c>
      <c r="L5507" s="1" t="s">
        <v>31</v>
      </c>
      <c r="M5507" s="1" t="s">
        <v>18</v>
      </c>
      <c r="N5507" s="1" t="s">
        <v>18</v>
      </c>
      <c r="O5507" s="1">
        <v>2</v>
      </c>
      <c r="P5507" s="1">
        <v>7</v>
      </c>
      <c r="Q5507" s="7" t="s">
        <v>17633</v>
      </c>
      <c r="R5507" s="1" t="s">
        <v>19</v>
      </c>
      <c r="S5507" s="1" t="s">
        <v>20</v>
      </c>
      <c r="T5507" s="1" t="s">
        <v>21</v>
      </c>
      <c r="V5507" s="1" t="s">
        <v>23</v>
      </c>
      <c r="W5507" s="1" t="s">
        <v>24</v>
      </c>
      <c r="X5507" s="1">
        <v>2717</v>
      </c>
      <c r="Y5507" s="1" t="s">
        <v>24</v>
      </c>
      <c r="Z5507" s="1" t="s">
        <v>24</v>
      </c>
      <c r="AA5507" s="1" t="s">
        <v>24</v>
      </c>
      <c r="AB5507" s="1" t="s">
        <v>24</v>
      </c>
      <c r="AC5507" s="1" t="s">
        <v>24</v>
      </c>
      <c r="AD5507" s="1" t="s">
        <v>24</v>
      </c>
      <c r="AE5507" s="1" t="s">
        <v>24</v>
      </c>
      <c r="AF5507" s="22"/>
    </row>
    <row r="5508" spans="1:32" x14ac:dyDescent="0.2">
      <c r="A5508" s="1">
        <v>52666</v>
      </c>
      <c r="B5508" s="1" t="s">
        <v>16475</v>
      </c>
      <c r="C5508" s="5" t="s">
        <v>0</v>
      </c>
      <c r="D5508" s="1" t="s">
        <v>16476</v>
      </c>
      <c r="E5508" s="1" t="s">
        <v>16477</v>
      </c>
      <c r="F5508" s="1" t="s">
        <v>651</v>
      </c>
      <c r="G5508" s="1" t="s">
        <v>36</v>
      </c>
      <c r="H5508" s="1" t="s">
        <v>168</v>
      </c>
      <c r="I5508" s="1" t="s">
        <v>16</v>
      </c>
      <c r="J5508" s="1">
        <v>1</v>
      </c>
      <c r="K5508" s="1">
        <v>6</v>
      </c>
      <c r="L5508" s="1" t="s">
        <v>31</v>
      </c>
      <c r="M5508" s="1" t="s">
        <v>18</v>
      </c>
      <c r="N5508" s="1" t="s">
        <v>18</v>
      </c>
      <c r="O5508" s="1">
        <v>3</v>
      </c>
      <c r="P5508" s="1">
        <v>7</v>
      </c>
      <c r="Q5508" s="7" t="s">
        <v>17633</v>
      </c>
      <c r="R5508" s="1" t="s">
        <v>19</v>
      </c>
      <c r="S5508" s="1" t="s">
        <v>20</v>
      </c>
      <c r="T5508" s="1" t="s">
        <v>21</v>
      </c>
      <c r="U5508" s="1" t="s">
        <v>22</v>
      </c>
      <c r="V5508" s="1" t="s">
        <v>24</v>
      </c>
      <c r="W5508" s="1" t="s">
        <v>24</v>
      </c>
      <c r="X5508" s="1">
        <v>2204</v>
      </c>
      <c r="Y5508" s="1">
        <v>2502</v>
      </c>
      <c r="Z5508" s="1">
        <v>3003</v>
      </c>
      <c r="AA5508" s="1" t="s">
        <v>24</v>
      </c>
      <c r="AB5508" s="1" t="s">
        <v>24</v>
      </c>
      <c r="AC5508" s="1" t="s">
        <v>24</v>
      </c>
      <c r="AD5508" s="1" t="s">
        <v>24</v>
      </c>
      <c r="AE5508" s="1" t="s">
        <v>24</v>
      </c>
      <c r="AF5508" s="22"/>
    </row>
    <row r="5509" spans="1:32" x14ac:dyDescent="0.2">
      <c r="A5509" s="1">
        <v>52667</v>
      </c>
      <c r="B5509" s="1" t="s">
        <v>16478</v>
      </c>
      <c r="C5509" s="5" t="s">
        <v>0</v>
      </c>
      <c r="D5509" s="1" t="s">
        <v>16479</v>
      </c>
      <c r="E5509" s="1" t="s">
        <v>16480</v>
      </c>
      <c r="F5509" s="1" t="s">
        <v>10332</v>
      </c>
      <c r="G5509" s="1" t="s">
        <v>10332</v>
      </c>
      <c r="H5509" s="1" t="s">
        <v>30</v>
      </c>
      <c r="I5509" s="1" t="s">
        <v>16</v>
      </c>
      <c r="J5509" s="1">
        <v>1</v>
      </c>
      <c r="K5509" s="1">
        <v>4</v>
      </c>
      <c r="L5509" s="1" t="s">
        <v>42</v>
      </c>
      <c r="M5509" s="1" t="s">
        <v>18</v>
      </c>
      <c r="N5509" s="1" t="s">
        <v>18</v>
      </c>
      <c r="O5509" s="1">
        <v>3</v>
      </c>
      <c r="P5509" s="1">
        <v>6</v>
      </c>
      <c r="R5509" s="1" t="s">
        <v>19</v>
      </c>
      <c r="S5509" s="1" t="s">
        <v>63</v>
      </c>
      <c r="T5509" s="1" t="s">
        <v>21</v>
      </c>
      <c r="V5509" s="1" t="s">
        <v>24</v>
      </c>
      <c r="W5509" s="1" t="s">
        <v>24</v>
      </c>
      <c r="X5509" s="1">
        <v>1307</v>
      </c>
      <c r="Y5509" s="1">
        <v>2722</v>
      </c>
      <c r="Z5509" s="1" t="s">
        <v>24</v>
      </c>
      <c r="AA5509" s="1" t="s">
        <v>24</v>
      </c>
      <c r="AB5509" s="1" t="s">
        <v>24</v>
      </c>
      <c r="AC5509" s="1" t="s">
        <v>24</v>
      </c>
      <c r="AD5509" s="1" t="s">
        <v>24</v>
      </c>
      <c r="AE5509" s="1" t="s">
        <v>24</v>
      </c>
      <c r="AF5509" s="22"/>
    </row>
    <row r="5510" spans="1:32" x14ac:dyDescent="0.2">
      <c r="A5510" s="1">
        <v>52668</v>
      </c>
      <c r="B5510" s="1" t="s">
        <v>16481</v>
      </c>
      <c r="C5510" s="5" t="s">
        <v>0</v>
      </c>
      <c r="D5510" s="1" t="s">
        <v>16482</v>
      </c>
      <c r="E5510" s="1" t="s">
        <v>16483</v>
      </c>
      <c r="F5510" s="1" t="s">
        <v>10332</v>
      </c>
      <c r="G5510" s="1" t="s">
        <v>10332</v>
      </c>
      <c r="H5510" s="1" t="s">
        <v>30</v>
      </c>
      <c r="I5510" s="1" t="s">
        <v>16</v>
      </c>
      <c r="J5510" s="1">
        <v>1</v>
      </c>
      <c r="K5510" s="1">
        <v>9</v>
      </c>
      <c r="L5510" s="1" t="s">
        <v>42</v>
      </c>
      <c r="M5510" s="1" t="s">
        <v>18</v>
      </c>
      <c r="N5510" s="1" t="s">
        <v>18</v>
      </c>
      <c r="O5510" s="1">
        <v>3</v>
      </c>
      <c r="P5510" s="1">
        <v>6</v>
      </c>
      <c r="R5510" s="1" t="s">
        <v>19</v>
      </c>
      <c r="S5510" s="1" t="s">
        <v>63</v>
      </c>
      <c r="T5510" s="1" t="s">
        <v>21</v>
      </c>
      <c r="U5510" s="1" t="s">
        <v>22</v>
      </c>
      <c r="V5510" s="1" t="s">
        <v>24</v>
      </c>
      <c r="W5510" s="1" t="s">
        <v>24</v>
      </c>
      <c r="X5510" s="1">
        <v>2723</v>
      </c>
      <c r="Y5510" s="1">
        <v>2730</v>
      </c>
      <c r="Z5510" s="1">
        <v>2403</v>
      </c>
      <c r="AA5510" s="1" t="s">
        <v>24</v>
      </c>
      <c r="AB5510" s="1" t="s">
        <v>24</v>
      </c>
      <c r="AC5510" s="1" t="s">
        <v>24</v>
      </c>
      <c r="AD5510" s="1" t="s">
        <v>24</v>
      </c>
      <c r="AE5510" s="1" t="s">
        <v>24</v>
      </c>
      <c r="AF5510" s="22"/>
    </row>
    <row r="5511" spans="1:32" x14ac:dyDescent="0.2">
      <c r="A5511" s="1">
        <v>52669</v>
      </c>
      <c r="B5511" s="1" t="s">
        <v>16484</v>
      </c>
      <c r="C5511" s="5" t="s">
        <v>0</v>
      </c>
      <c r="D5511" s="1" t="s">
        <v>16485</v>
      </c>
      <c r="E5511" s="1" t="s">
        <v>16486</v>
      </c>
      <c r="F5511" s="1" t="s">
        <v>16487</v>
      </c>
      <c r="G5511" s="1" t="s">
        <v>16487</v>
      </c>
      <c r="H5511" s="1" t="s">
        <v>30</v>
      </c>
      <c r="I5511" s="1" t="s">
        <v>16</v>
      </c>
      <c r="J5511" s="1">
        <v>1</v>
      </c>
      <c r="K5511" s="1">
        <v>6</v>
      </c>
      <c r="L5511" s="1" t="s">
        <v>42</v>
      </c>
      <c r="M5511" s="1" t="s">
        <v>18</v>
      </c>
      <c r="N5511" s="1" t="s">
        <v>18</v>
      </c>
      <c r="O5511" s="1">
        <v>3</v>
      </c>
      <c r="P5511" s="1">
        <v>6</v>
      </c>
      <c r="R5511" s="1" t="s">
        <v>19</v>
      </c>
      <c r="S5511" s="1" t="s">
        <v>20</v>
      </c>
      <c r="T5511" s="1" t="s">
        <v>21</v>
      </c>
      <c r="V5511" s="1" t="s">
        <v>23</v>
      </c>
      <c r="W5511" s="1" t="s">
        <v>24</v>
      </c>
      <c r="X5511" s="1">
        <v>2700</v>
      </c>
      <c r="Y5511" s="1" t="s">
        <v>24</v>
      </c>
      <c r="Z5511" s="1" t="s">
        <v>24</v>
      </c>
      <c r="AA5511" s="1" t="s">
        <v>24</v>
      </c>
      <c r="AB5511" s="1" t="s">
        <v>24</v>
      </c>
      <c r="AC5511" s="1" t="s">
        <v>24</v>
      </c>
      <c r="AD5511" s="1" t="s">
        <v>24</v>
      </c>
      <c r="AE5511" s="1" t="s">
        <v>24</v>
      </c>
      <c r="AF5511" s="22"/>
    </row>
    <row r="5512" spans="1:32" x14ac:dyDescent="0.2">
      <c r="A5512" s="1">
        <v>52670</v>
      </c>
      <c r="B5512" s="1" t="s">
        <v>16488</v>
      </c>
      <c r="C5512" s="5" t="s">
        <v>0</v>
      </c>
      <c r="D5512" s="1" t="s">
        <v>16489</v>
      </c>
      <c r="F5512" s="1" t="s">
        <v>16490</v>
      </c>
      <c r="G5512" s="1" t="s">
        <v>16491</v>
      </c>
      <c r="H5512" s="1" t="s">
        <v>899</v>
      </c>
      <c r="I5512" s="1" t="s">
        <v>16</v>
      </c>
      <c r="J5512" s="1">
        <v>1</v>
      </c>
      <c r="K5512" s="1">
        <v>4</v>
      </c>
      <c r="L5512" s="1" t="s">
        <v>31</v>
      </c>
      <c r="M5512" s="1" t="s">
        <v>18</v>
      </c>
      <c r="N5512" s="1" t="s">
        <v>18</v>
      </c>
      <c r="O5512" s="1">
        <v>3</v>
      </c>
      <c r="P5512" s="1">
        <v>6</v>
      </c>
      <c r="R5512" s="1" t="s">
        <v>19</v>
      </c>
      <c r="S5512" s="1" t="s">
        <v>20</v>
      </c>
      <c r="T5512" s="1" t="s">
        <v>21</v>
      </c>
      <c r="V5512" s="1" t="s">
        <v>23</v>
      </c>
      <c r="W5512" s="1" t="s">
        <v>24</v>
      </c>
      <c r="X5512" s="1">
        <v>2700</v>
      </c>
      <c r="Y5512" s="1">
        <v>3500</v>
      </c>
      <c r="Z5512" s="1">
        <v>2900</v>
      </c>
      <c r="AA5512" s="1">
        <v>1300</v>
      </c>
      <c r="AB5512" s="1" t="s">
        <v>24</v>
      </c>
      <c r="AC5512" s="1" t="s">
        <v>24</v>
      </c>
      <c r="AD5512" s="1" t="s">
        <v>24</v>
      </c>
      <c r="AE5512" s="1" t="s">
        <v>24</v>
      </c>
      <c r="AF5512" s="22"/>
    </row>
    <row r="5513" spans="1:32" x14ac:dyDescent="0.2">
      <c r="A5513" s="1">
        <v>52673</v>
      </c>
      <c r="B5513" s="1" t="s">
        <v>16492</v>
      </c>
      <c r="C5513" s="5" t="s">
        <v>0</v>
      </c>
      <c r="E5513" s="1" t="s">
        <v>16493</v>
      </c>
      <c r="F5513" s="1" t="s">
        <v>272</v>
      </c>
      <c r="G5513" s="1" t="s">
        <v>61</v>
      </c>
      <c r="H5513" s="1" t="s">
        <v>30</v>
      </c>
      <c r="I5513" s="1" t="s">
        <v>16</v>
      </c>
      <c r="J5513" s="1">
        <v>1</v>
      </c>
      <c r="K5513" s="1">
        <v>1</v>
      </c>
      <c r="L5513" s="1" t="s">
        <v>31</v>
      </c>
      <c r="M5513" s="1" t="s">
        <v>18</v>
      </c>
      <c r="N5513" s="1" t="s">
        <v>18</v>
      </c>
      <c r="O5513" s="1">
        <v>3</v>
      </c>
      <c r="P5513" s="1">
        <v>7</v>
      </c>
      <c r="Q5513" s="7" t="s">
        <v>17633</v>
      </c>
      <c r="R5513" s="1" t="s">
        <v>19</v>
      </c>
      <c r="S5513" s="1" t="s">
        <v>63</v>
      </c>
      <c r="T5513" s="1" t="s">
        <v>21</v>
      </c>
      <c r="U5513" s="1" t="s">
        <v>22</v>
      </c>
      <c r="V5513" s="1" t="s">
        <v>24</v>
      </c>
      <c r="W5513" s="1" t="s">
        <v>24</v>
      </c>
      <c r="X5513" s="1">
        <v>2728</v>
      </c>
      <c r="Y5513" s="1">
        <v>2741</v>
      </c>
      <c r="Z5513" s="1">
        <v>2805</v>
      </c>
      <c r="AA5513" s="1">
        <v>2808</v>
      </c>
      <c r="AB5513" s="1" t="s">
        <v>24</v>
      </c>
      <c r="AC5513" s="1" t="s">
        <v>24</v>
      </c>
      <c r="AD5513" s="1" t="s">
        <v>24</v>
      </c>
      <c r="AE5513" s="1" t="s">
        <v>24</v>
      </c>
      <c r="AF5513" s="22"/>
    </row>
    <row r="5514" spans="1:32" x14ac:dyDescent="0.2">
      <c r="A5514" s="1">
        <v>52791</v>
      </c>
      <c r="B5514" s="1" t="s">
        <v>16494</v>
      </c>
      <c r="C5514" s="5" t="s">
        <v>0</v>
      </c>
      <c r="D5514" s="1" t="s">
        <v>16495</v>
      </c>
      <c r="F5514" s="1" t="s">
        <v>16496</v>
      </c>
      <c r="G5514" s="1" t="s">
        <v>16496</v>
      </c>
      <c r="H5514" s="1" t="s">
        <v>37</v>
      </c>
      <c r="I5514" s="1" t="s">
        <v>16</v>
      </c>
      <c r="J5514" s="1">
        <v>1</v>
      </c>
      <c r="K5514" s="1">
        <v>1</v>
      </c>
      <c r="L5514" s="1" t="s">
        <v>31</v>
      </c>
      <c r="M5514" s="1" t="s">
        <v>18</v>
      </c>
      <c r="N5514" s="1" t="s">
        <v>18</v>
      </c>
      <c r="O5514" s="1">
        <v>3</v>
      </c>
      <c r="P5514" s="1">
        <v>6</v>
      </c>
      <c r="R5514" s="1" t="s">
        <v>19</v>
      </c>
      <c r="S5514" s="1" t="s">
        <v>63</v>
      </c>
      <c r="T5514" s="1" t="s">
        <v>21</v>
      </c>
      <c r="U5514" s="1" t="s">
        <v>22</v>
      </c>
      <c r="V5514" s="1" t="s">
        <v>24</v>
      </c>
      <c r="W5514" s="1" t="s">
        <v>24</v>
      </c>
      <c r="X5514" s="1">
        <v>2700</v>
      </c>
      <c r="Y5514" s="1">
        <v>1300</v>
      </c>
      <c r="Z5514" s="1">
        <v>2400</v>
      </c>
      <c r="AA5514" s="1">
        <v>3000</v>
      </c>
      <c r="AB5514" s="1" t="s">
        <v>24</v>
      </c>
      <c r="AC5514" s="1" t="s">
        <v>24</v>
      </c>
      <c r="AD5514" s="1" t="s">
        <v>24</v>
      </c>
      <c r="AE5514" s="1" t="s">
        <v>24</v>
      </c>
      <c r="AF5514" s="22"/>
    </row>
    <row r="5515" spans="1:32" x14ac:dyDescent="0.2">
      <c r="A5515" s="1">
        <v>52907</v>
      </c>
      <c r="B5515" s="1" t="s">
        <v>16497</v>
      </c>
      <c r="C5515" s="5" t="s">
        <v>0</v>
      </c>
      <c r="D5515" s="1" t="s">
        <v>16498</v>
      </c>
      <c r="E5515" s="1" t="s">
        <v>16499</v>
      </c>
      <c r="F5515" s="1" t="s">
        <v>16500</v>
      </c>
      <c r="G5515" s="1" t="s">
        <v>16500</v>
      </c>
      <c r="H5515" s="1" t="s">
        <v>1957</v>
      </c>
      <c r="I5515" s="1" t="s">
        <v>16</v>
      </c>
      <c r="J5515" s="1">
        <v>1</v>
      </c>
      <c r="K5515" s="1">
        <v>4</v>
      </c>
      <c r="L5515" s="1" t="s">
        <v>42</v>
      </c>
      <c r="M5515" s="1" t="s">
        <v>18</v>
      </c>
      <c r="N5515" s="1" t="s">
        <v>18</v>
      </c>
      <c r="O5515" s="1">
        <v>3</v>
      </c>
      <c r="P5515" s="1">
        <v>6</v>
      </c>
      <c r="R5515" s="1" t="s">
        <v>19</v>
      </c>
      <c r="S5515" s="1" t="s">
        <v>20</v>
      </c>
      <c r="T5515" s="1" t="s">
        <v>21</v>
      </c>
      <c r="U5515" s="1" t="s">
        <v>22</v>
      </c>
      <c r="V5515" s="1" t="s">
        <v>24</v>
      </c>
      <c r="W5515" s="1" t="s">
        <v>24</v>
      </c>
      <c r="X5515" s="1">
        <v>2705</v>
      </c>
      <c r="Y5515" s="1" t="s">
        <v>24</v>
      </c>
      <c r="Z5515" s="1" t="s">
        <v>24</v>
      </c>
      <c r="AA5515" s="1" t="s">
        <v>24</v>
      </c>
      <c r="AB5515" s="1" t="s">
        <v>24</v>
      </c>
      <c r="AC5515" s="1" t="s">
        <v>24</v>
      </c>
      <c r="AD5515" s="1" t="s">
        <v>24</v>
      </c>
      <c r="AE5515" s="1" t="s">
        <v>24</v>
      </c>
      <c r="AF5515" s="22"/>
    </row>
    <row r="5516" spans="1:32" x14ac:dyDescent="0.2">
      <c r="A5516" s="1">
        <v>52910</v>
      </c>
      <c r="B5516" s="1" t="s">
        <v>16501</v>
      </c>
      <c r="C5516" s="5" t="s">
        <v>0</v>
      </c>
      <c r="D5516" s="1" t="s">
        <v>16502</v>
      </c>
      <c r="F5516" s="1" t="s">
        <v>12243</v>
      </c>
      <c r="G5516" s="1" t="s">
        <v>61</v>
      </c>
      <c r="H5516" s="1" t="s">
        <v>1957</v>
      </c>
      <c r="I5516" s="1" t="s">
        <v>16</v>
      </c>
      <c r="J5516" s="1">
        <v>1</v>
      </c>
      <c r="K5516" s="1">
        <v>1</v>
      </c>
      <c r="L5516" s="1" t="s">
        <v>31</v>
      </c>
      <c r="M5516" s="1" t="s">
        <v>18</v>
      </c>
      <c r="N5516" s="1" t="s">
        <v>18</v>
      </c>
      <c r="O5516" s="1">
        <v>3</v>
      </c>
      <c r="P5516" s="1">
        <v>6</v>
      </c>
      <c r="R5516" s="1" t="s">
        <v>19</v>
      </c>
      <c r="S5516" s="1" t="s">
        <v>20</v>
      </c>
      <c r="T5516" s="1" t="s">
        <v>21</v>
      </c>
      <c r="U5516" s="1" t="s">
        <v>22</v>
      </c>
      <c r="V5516" s="1" t="s">
        <v>24</v>
      </c>
      <c r="W5516" s="1" t="s">
        <v>24</v>
      </c>
      <c r="X5516" s="1">
        <v>2700</v>
      </c>
      <c r="Y5516" s="1" t="s">
        <v>24</v>
      </c>
      <c r="Z5516" s="1" t="s">
        <v>24</v>
      </c>
      <c r="AA5516" s="1" t="s">
        <v>24</v>
      </c>
      <c r="AB5516" s="1" t="s">
        <v>24</v>
      </c>
      <c r="AC5516" s="1" t="s">
        <v>24</v>
      </c>
      <c r="AD5516" s="1" t="s">
        <v>24</v>
      </c>
      <c r="AE5516" s="1" t="s">
        <v>24</v>
      </c>
      <c r="AF5516" s="22"/>
    </row>
    <row r="5517" spans="1:32" x14ac:dyDescent="0.2">
      <c r="A5517" s="1">
        <v>52911</v>
      </c>
      <c r="B5517" s="1" t="s">
        <v>16503</v>
      </c>
      <c r="C5517" s="5" t="s">
        <v>0</v>
      </c>
      <c r="D5517" s="1" t="s">
        <v>16504</v>
      </c>
      <c r="F5517" s="1" t="s">
        <v>91</v>
      </c>
      <c r="G5517" s="1" t="s">
        <v>61</v>
      </c>
      <c r="H5517" s="1" t="s">
        <v>30</v>
      </c>
      <c r="I5517" s="1" t="s">
        <v>16</v>
      </c>
      <c r="J5517" s="1">
        <v>1</v>
      </c>
      <c r="K5517" s="1">
        <v>2</v>
      </c>
      <c r="L5517" s="1" t="s">
        <v>31</v>
      </c>
      <c r="M5517" s="1" t="s">
        <v>18</v>
      </c>
      <c r="N5517" s="1" t="s">
        <v>18</v>
      </c>
      <c r="O5517" s="1">
        <v>3</v>
      </c>
      <c r="P5517" s="1">
        <v>6</v>
      </c>
      <c r="R5517" s="1" t="s">
        <v>19</v>
      </c>
      <c r="S5517" s="1" t="s">
        <v>20</v>
      </c>
      <c r="T5517" s="1" t="s">
        <v>21</v>
      </c>
      <c r="U5517" s="1" t="s">
        <v>22</v>
      </c>
      <c r="V5517" s="1" t="s">
        <v>24</v>
      </c>
      <c r="W5517" s="1" t="s">
        <v>24</v>
      </c>
      <c r="X5517" s="1">
        <v>2729</v>
      </c>
      <c r="Y5517" s="1">
        <v>2730</v>
      </c>
      <c r="Z5517" s="1" t="s">
        <v>24</v>
      </c>
      <c r="AA5517" s="1" t="s">
        <v>24</v>
      </c>
      <c r="AB5517" s="1" t="s">
        <v>24</v>
      </c>
      <c r="AC5517" s="1" t="s">
        <v>24</v>
      </c>
      <c r="AD5517" s="1" t="s">
        <v>24</v>
      </c>
      <c r="AE5517" s="1" t="s">
        <v>24</v>
      </c>
      <c r="AF5517" s="22" t="s">
        <v>17670</v>
      </c>
    </row>
    <row r="5518" spans="1:32" x14ac:dyDescent="0.2">
      <c r="A5518" s="1">
        <v>52912</v>
      </c>
      <c r="B5518" s="1" t="s">
        <v>16505</v>
      </c>
      <c r="C5518" s="5" t="s">
        <v>0</v>
      </c>
      <c r="D5518" s="1" t="s">
        <v>16506</v>
      </c>
      <c r="F5518" s="1" t="s">
        <v>85</v>
      </c>
      <c r="G5518" s="1" t="s">
        <v>61</v>
      </c>
      <c r="H5518" s="1" t="s">
        <v>86</v>
      </c>
      <c r="I5518" s="1" t="s">
        <v>16</v>
      </c>
      <c r="J5518" s="1">
        <v>1</v>
      </c>
      <c r="K5518" s="1">
        <v>4</v>
      </c>
      <c r="L5518" s="1" t="s">
        <v>31</v>
      </c>
      <c r="M5518" s="1" t="s">
        <v>105</v>
      </c>
      <c r="N5518" s="1" t="s">
        <v>87</v>
      </c>
      <c r="O5518" s="1">
        <v>3</v>
      </c>
      <c r="P5518" s="1">
        <v>7</v>
      </c>
      <c r="Q5518" s="7" t="s">
        <v>17633</v>
      </c>
      <c r="R5518" s="1" t="s">
        <v>19</v>
      </c>
      <c r="S5518" s="1" t="s">
        <v>20</v>
      </c>
      <c r="T5518" s="1" t="s">
        <v>21</v>
      </c>
      <c r="U5518" s="1" t="s">
        <v>22</v>
      </c>
      <c r="V5518" s="1" t="s">
        <v>24</v>
      </c>
      <c r="W5518" s="1" t="s">
        <v>24</v>
      </c>
      <c r="X5518" s="1">
        <v>2706</v>
      </c>
      <c r="Y5518" s="1">
        <v>2711</v>
      </c>
      <c r="Z5518" s="1" t="s">
        <v>24</v>
      </c>
      <c r="AA5518" s="1" t="s">
        <v>24</v>
      </c>
      <c r="AB5518" s="1" t="s">
        <v>24</v>
      </c>
      <c r="AC5518" s="1" t="s">
        <v>24</v>
      </c>
      <c r="AD5518" s="1" t="s">
        <v>24</v>
      </c>
      <c r="AE5518" s="1" t="s">
        <v>24</v>
      </c>
      <c r="AF5518" s="22"/>
    </row>
    <row r="5519" spans="1:32" x14ac:dyDescent="0.2">
      <c r="A5519" s="1">
        <v>53056</v>
      </c>
      <c r="B5519" s="1" t="s">
        <v>16507</v>
      </c>
      <c r="C5519" s="5" t="s">
        <v>0</v>
      </c>
      <c r="D5519" s="1" t="s">
        <v>16508</v>
      </c>
      <c r="E5519" s="1" t="s">
        <v>16509</v>
      </c>
      <c r="F5519" s="1" t="s">
        <v>217</v>
      </c>
      <c r="G5519" s="1" t="s">
        <v>130</v>
      </c>
      <c r="H5519" s="1" t="s">
        <v>92</v>
      </c>
      <c r="I5519" s="1" t="s">
        <v>16</v>
      </c>
      <c r="J5519" s="1">
        <v>1</v>
      </c>
      <c r="K5519" s="1">
        <v>6</v>
      </c>
      <c r="L5519" s="1" t="s">
        <v>31</v>
      </c>
      <c r="M5519" s="1" t="s">
        <v>18</v>
      </c>
      <c r="N5519" s="1" t="s">
        <v>18</v>
      </c>
      <c r="O5519" s="1">
        <v>3</v>
      </c>
      <c r="P5519" s="1">
        <v>8</v>
      </c>
      <c r="Q5519" s="7" t="s">
        <v>17633</v>
      </c>
      <c r="R5519" s="1" t="s">
        <v>62</v>
      </c>
      <c r="S5519" s="1" t="s">
        <v>20</v>
      </c>
      <c r="T5519" s="1" t="s">
        <v>21</v>
      </c>
      <c r="U5519" s="1" t="s">
        <v>22</v>
      </c>
      <c r="V5519" s="1" t="s">
        <v>24</v>
      </c>
      <c r="W5519" s="1" t="s">
        <v>24</v>
      </c>
      <c r="X5519" s="1">
        <v>1306</v>
      </c>
      <c r="Y5519" s="1">
        <v>1313</v>
      </c>
      <c r="Z5519" s="1">
        <v>2730</v>
      </c>
      <c r="AA5519" s="1" t="s">
        <v>24</v>
      </c>
      <c r="AB5519" s="1" t="s">
        <v>24</v>
      </c>
      <c r="AC5519" s="1" t="s">
        <v>24</v>
      </c>
      <c r="AD5519" s="1" t="s">
        <v>24</v>
      </c>
      <c r="AE5519" s="1" t="s">
        <v>24</v>
      </c>
      <c r="AF5519" s="22"/>
    </row>
    <row r="5520" spans="1:32" x14ac:dyDescent="0.2">
      <c r="A5520" s="1">
        <v>53062</v>
      </c>
      <c r="B5520" s="1" t="s">
        <v>16510</v>
      </c>
      <c r="C5520" s="5" t="s">
        <v>0</v>
      </c>
      <c r="D5520" s="1" t="s">
        <v>16511</v>
      </c>
      <c r="F5520" s="1" t="s">
        <v>2822</v>
      </c>
      <c r="G5520" s="1" t="s">
        <v>61</v>
      </c>
      <c r="H5520" s="1" t="s">
        <v>37</v>
      </c>
      <c r="I5520" s="1" t="s">
        <v>16</v>
      </c>
      <c r="J5520" s="1">
        <v>1</v>
      </c>
      <c r="K5520" s="1">
        <v>1</v>
      </c>
      <c r="L5520" s="1" t="s">
        <v>31</v>
      </c>
      <c r="M5520" s="1" t="s">
        <v>18</v>
      </c>
      <c r="N5520" s="1" t="s">
        <v>18</v>
      </c>
      <c r="O5520" s="1">
        <v>3</v>
      </c>
      <c r="P5520" s="1">
        <v>7</v>
      </c>
      <c r="Q5520" s="7" t="s">
        <v>17633</v>
      </c>
      <c r="R5520" s="1" t="s">
        <v>19</v>
      </c>
      <c r="S5520" s="1" t="s">
        <v>20</v>
      </c>
      <c r="T5520" s="1" t="s">
        <v>21</v>
      </c>
      <c r="U5520" s="1" t="s">
        <v>22</v>
      </c>
      <c r="V5520" s="1" t="s">
        <v>24</v>
      </c>
      <c r="W5520" s="1" t="s">
        <v>24</v>
      </c>
      <c r="X5520" s="1">
        <v>2740</v>
      </c>
      <c r="Y5520" s="1" t="s">
        <v>24</v>
      </c>
      <c r="Z5520" s="1" t="s">
        <v>24</v>
      </c>
      <c r="AA5520" s="1" t="s">
        <v>24</v>
      </c>
      <c r="AB5520" s="1" t="s">
        <v>24</v>
      </c>
      <c r="AC5520" s="1" t="s">
        <v>24</v>
      </c>
      <c r="AD5520" s="1" t="s">
        <v>24</v>
      </c>
      <c r="AE5520" s="1" t="s">
        <v>24</v>
      </c>
      <c r="AF5520" s="22"/>
    </row>
    <row r="5521" spans="1:32" x14ac:dyDescent="0.2">
      <c r="A5521" s="1">
        <v>53063</v>
      </c>
      <c r="B5521" s="1" t="s">
        <v>16512</v>
      </c>
      <c r="C5521" s="5" t="s">
        <v>0</v>
      </c>
      <c r="E5521" s="1" t="s">
        <v>16513</v>
      </c>
      <c r="F5521" s="1" t="s">
        <v>517</v>
      </c>
      <c r="G5521" s="1" t="s">
        <v>36</v>
      </c>
      <c r="H5521" s="1" t="s">
        <v>30</v>
      </c>
      <c r="I5521" s="1" t="s">
        <v>16</v>
      </c>
      <c r="J5521" s="1">
        <v>1</v>
      </c>
      <c r="K5521" s="1">
        <v>6</v>
      </c>
      <c r="L5521" s="1" t="s">
        <v>31</v>
      </c>
      <c r="M5521" s="1" t="s">
        <v>18</v>
      </c>
      <c r="N5521" s="1" t="s">
        <v>18</v>
      </c>
      <c r="O5521" s="1">
        <v>3</v>
      </c>
      <c r="P5521" s="1">
        <v>7</v>
      </c>
      <c r="Q5521" s="7" t="s">
        <v>17633</v>
      </c>
      <c r="R5521" s="1" t="s">
        <v>62</v>
      </c>
      <c r="S5521" s="1" t="s">
        <v>20</v>
      </c>
      <c r="T5521" s="1" t="s">
        <v>21</v>
      </c>
      <c r="U5521" s="1" t="s">
        <v>22</v>
      </c>
      <c r="V5521" s="1" t="s">
        <v>24</v>
      </c>
      <c r="W5521" s="1" t="s">
        <v>24</v>
      </c>
      <c r="X5521" s="1">
        <v>1306</v>
      </c>
      <c r="Y5521" s="1">
        <v>2730</v>
      </c>
      <c r="Z5521" s="1" t="s">
        <v>24</v>
      </c>
      <c r="AA5521" s="1" t="s">
        <v>24</v>
      </c>
      <c r="AB5521" s="1" t="s">
        <v>24</v>
      </c>
      <c r="AC5521" s="1" t="s">
        <v>24</v>
      </c>
      <c r="AD5521" s="1" t="s">
        <v>24</v>
      </c>
      <c r="AE5521" s="1" t="s">
        <v>24</v>
      </c>
      <c r="AF5521" s="22"/>
    </row>
    <row r="5522" spans="1:32" x14ac:dyDescent="0.2">
      <c r="A5522" s="1">
        <v>53363</v>
      </c>
      <c r="B5522" s="1" t="s">
        <v>16514</v>
      </c>
      <c r="C5522" s="5" t="s">
        <v>0</v>
      </c>
      <c r="D5522" s="1" t="s">
        <v>16515</v>
      </c>
      <c r="E5522" s="1" t="s">
        <v>16516</v>
      </c>
      <c r="F5522" s="1" t="s">
        <v>217</v>
      </c>
      <c r="G5522" s="1" t="s">
        <v>130</v>
      </c>
      <c r="H5522" s="1" t="s">
        <v>92</v>
      </c>
      <c r="I5522" s="1" t="s">
        <v>16</v>
      </c>
      <c r="J5522" s="1">
        <v>1</v>
      </c>
      <c r="K5522" s="1">
        <v>4</v>
      </c>
      <c r="L5522" s="1" t="s">
        <v>31</v>
      </c>
      <c r="M5522" s="1" t="s">
        <v>18</v>
      </c>
      <c r="N5522" s="1" t="s">
        <v>18</v>
      </c>
      <c r="O5522" s="1">
        <v>3</v>
      </c>
      <c r="P5522" s="1">
        <v>7</v>
      </c>
      <c r="Q5522" s="7" t="s">
        <v>17633</v>
      </c>
      <c r="R5522" s="1" t="s">
        <v>19</v>
      </c>
      <c r="S5522" s="1" t="s">
        <v>20</v>
      </c>
      <c r="T5522" s="1" t="s">
        <v>21</v>
      </c>
      <c r="U5522" s="1" t="s">
        <v>22</v>
      </c>
      <c r="V5522" s="1" t="s">
        <v>24</v>
      </c>
      <c r="W5522" s="1" t="s">
        <v>24</v>
      </c>
      <c r="X5522" s="1">
        <v>2307</v>
      </c>
      <c r="Y5522" s="1">
        <v>3005</v>
      </c>
      <c r="Z5522" s="1" t="s">
        <v>24</v>
      </c>
      <c r="AA5522" s="1" t="s">
        <v>24</v>
      </c>
      <c r="AB5522" s="1" t="s">
        <v>24</v>
      </c>
      <c r="AC5522" s="1" t="s">
        <v>24</v>
      </c>
      <c r="AD5522" s="1" t="s">
        <v>24</v>
      </c>
      <c r="AE5522" s="1" t="s">
        <v>24</v>
      </c>
      <c r="AF5522" s="22"/>
    </row>
    <row r="5523" spans="1:32" x14ac:dyDescent="0.2">
      <c r="A5523" s="1">
        <v>53369</v>
      </c>
      <c r="B5523" s="1" t="s">
        <v>16517</v>
      </c>
      <c r="C5523" s="5" t="s">
        <v>0</v>
      </c>
      <c r="E5523" s="1" t="s">
        <v>16518</v>
      </c>
      <c r="F5523" s="1" t="s">
        <v>15614</v>
      </c>
      <c r="G5523" s="1" t="s">
        <v>15614</v>
      </c>
      <c r="H5523" s="1" t="s">
        <v>111</v>
      </c>
      <c r="I5523" s="1" t="s">
        <v>16</v>
      </c>
      <c r="J5523" s="1">
        <v>1</v>
      </c>
      <c r="K5523" s="1">
        <v>1</v>
      </c>
      <c r="L5523" s="1" t="s">
        <v>42</v>
      </c>
      <c r="M5523" s="1" t="s">
        <v>18</v>
      </c>
      <c r="N5523" s="1" t="s">
        <v>18</v>
      </c>
      <c r="O5523" s="1">
        <v>1</v>
      </c>
      <c r="P5523" s="1">
        <v>1</v>
      </c>
      <c r="R5523" s="1" t="s">
        <v>19</v>
      </c>
      <c r="S5523" s="1" t="s">
        <v>63</v>
      </c>
      <c r="T5523" s="1" t="s">
        <v>21</v>
      </c>
      <c r="U5523" s="1" t="s">
        <v>22</v>
      </c>
      <c r="V5523" s="1" t="s">
        <v>24</v>
      </c>
      <c r="W5523" s="1" t="s">
        <v>24</v>
      </c>
      <c r="X5523" s="1">
        <v>2404</v>
      </c>
      <c r="Y5523" s="1">
        <v>2726</v>
      </c>
      <c r="Z5523" s="1" t="s">
        <v>24</v>
      </c>
      <c r="AA5523" s="1" t="s">
        <v>24</v>
      </c>
      <c r="AB5523" s="1" t="s">
        <v>24</v>
      </c>
      <c r="AC5523" s="1" t="s">
        <v>24</v>
      </c>
      <c r="AD5523" s="1" t="s">
        <v>24</v>
      </c>
      <c r="AE5523" s="1" t="s">
        <v>24</v>
      </c>
      <c r="AF5523" s="22" t="s">
        <v>17673</v>
      </c>
    </row>
    <row r="5524" spans="1:32" x14ac:dyDescent="0.2">
      <c r="A5524" s="1">
        <v>53498</v>
      </c>
      <c r="B5524" s="1" t="s">
        <v>16519</v>
      </c>
      <c r="C5524" s="5" t="s">
        <v>0</v>
      </c>
      <c r="D5524" s="1" t="s">
        <v>16520</v>
      </c>
      <c r="E5524" s="1" t="s">
        <v>16521</v>
      </c>
      <c r="F5524" s="1" t="s">
        <v>167</v>
      </c>
      <c r="G5524" s="1" t="s">
        <v>130</v>
      </c>
      <c r="H5524" s="1" t="s">
        <v>168</v>
      </c>
      <c r="I5524" s="1" t="s">
        <v>16</v>
      </c>
      <c r="J5524" s="1">
        <v>1</v>
      </c>
      <c r="K5524" s="1">
        <v>4</v>
      </c>
      <c r="L5524" s="1" t="s">
        <v>31</v>
      </c>
      <c r="M5524" s="1" t="s">
        <v>18</v>
      </c>
      <c r="N5524" s="1" t="s">
        <v>18</v>
      </c>
      <c r="O5524" s="1">
        <v>3</v>
      </c>
      <c r="P5524" s="1">
        <v>7</v>
      </c>
      <c r="Q5524" s="7" t="s">
        <v>17633</v>
      </c>
      <c r="R5524" s="1" t="s">
        <v>19</v>
      </c>
      <c r="S5524" s="1" t="s">
        <v>20</v>
      </c>
      <c r="T5524" s="1" t="s">
        <v>21</v>
      </c>
      <c r="U5524" s="1" t="s">
        <v>22</v>
      </c>
      <c r="V5524" s="1" t="s">
        <v>24</v>
      </c>
      <c r="W5524" s="1" t="s">
        <v>24</v>
      </c>
      <c r="X5524" s="1">
        <v>1304</v>
      </c>
      <c r="Y5524" s="1">
        <v>1312</v>
      </c>
      <c r="Z5524" s="1">
        <v>1315</v>
      </c>
      <c r="AA5524" s="1" t="s">
        <v>24</v>
      </c>
      <c r="AB5524" s="1" t="s">
        <v>24</v>
      </c>
      <c r="AC5524" s="1" t="s">
        <v>24</v>
      </c>
      <c r="AD5524" s="1" t="s">
        <v>24</v>
      </c>
      <c r="AE5524" s="1" t="s">
        <v>24</v>
      </c>
      <c r="AF5524" s="22"/>
    </row>
    <row r="5525" spans="1:32" x14ac:dyDescent="0.2">
      <c r="A5525" s="1">
        <v>53499</v>
      </c>
      <c r="B5525" s="1" t="s">
        <v>16522</v>
      </c>
      <c r="C5525" s="5" t="s">
        <v>0</v>
      </c>
      <c r="D5525" s="1" t="s">
        <v>16523</v>
      </c>
      <c r="E5525" s="1" t="s">
        <v>16524</v>
      </c>
      <c r="F5525" s="1" t="s">
        <v>167</v>
      </c>
      <c r="G5525" s="1" t="s">
        <v>130</v>
      </c>
      <c r="H5525" s="1" t="s">
        <v>168</v>
      </c>
      <c r="I5525" s="1" t="s">
        <v>16</v>
      </c>
      <c r="J5525" s="1">
        <v>1</v>
      </c>
      <c r="K5525" s="1">
        <v>2</v>
      </c>
      <c r="L5525" s="1" t="s">
        <v>31</v>
      </c>
      <c r="M5525" s="1" t="s">
        <v>242</v>
      </c>
      <c r="N5525" s="1" t="s">
        <v>242</v>
      </c>
      <c r="O5525" s="1">
        <v>3</v>
      </c>
      <c r="P5525" s="1">
        <v>7</v>
      </c>
      <c r="Q5525" s="7" t="s">
        <v>17633</v>
      </c>
      <c r="R5525" s="1" t="s">
        <v>19</v>
      </c>
      <c r="S5525" s="1" t="s">
        <v>20</v>
      </c>
      <c r="T5525" s="1" t="s">
        <v>21</v>
      </c>
      <c r="U5525" s="1" t="s">
        <v>22</v>
      </c>
      <c r="V5525" s="1" t="s">
        <v>24</v>
      </c>
      <c r="W5525" s="1" t="s">
        <v>24</v>
      </c>
      <c r="X5525" s="1">
        <v>1312</v>
      </c>
      <c r="Y5525" s="1">
        <v>2741</v>
      </c>
      <c r="Z5525" s="1">
        <v>1315</v>
      </c>
      <c r="AA5525" s="1" t="s">
        <v>24</v>
      </c>
      <c r="AB5525" s="1" t="s">
        <v>24</v>
      </c>
      <c r="AC5525" s="1" t="s">
        <v>24</v>
      </c>
      <c r="AD5525" s="1" t="s">
        <v>24</v>
      </c>
      <c r="AE5525" s="1" t="s">
        <v>24</v>
      </c>
      <c r="AF5525" s="22"/>
    </row>
    <row r="5526" spans="1:32" x14ac:dyDescent="0.2">
      <c r="A5526" s="1">
        <v>53500</v>
      </c>
      <c r="B5526" s="1" t="s">
        <v>16525</v>
      </c>
      <c r="C5526" s="5" t="s">
        <v>0</v>
      </c>
      <c r="D5526" s="1" t="s">
        <v>16526</v>
      </c>
      <c r="E5526" s="1" t="s">
        <v>16527</v>
      </c>
      <c r="F5526" s="1" t="s">
        <v>9718</v>
      </c>
      <c r="G5526" s="1" t="s">
        <v>130</v>
      </c>
      <c r="H5526" s="1" t="s">
        <v>30</v>
      </c>
      <c r="I5526" s="1" t="s">
        <v>16</v>
      </c>
      <c r="J5526" s="1">
        <v>1</v>
      </c>
      <c r="K5526" s="1">
        <v>4</v>
      </c>
      <c r="L5526" s="1" t="s">
        <v>31</v>
      </c>
      <c r="M5526" s="1" t="s">
        <v>18</v>
      </c>
      <c r="N5526" s="1" t="s">
        <v>18</v>
      </c>
      <c r="O5526" s="1">
        <v>2</v>
      </c>
      <c r="P5526" s="1">
        <v>6</v>
      </c>
      <c r="R5526" s="1" t="s">
        <v>19</v>
      </c>
      <c r="S5526" s="1" t="s">
        <v>20</v>
      </c>
      <c r="T5526" s="1" t="s">
        <v>21</v>
      </c>
      <c r="U5526" s="1" t="s">
        <v>22</v>
      </c>
      <c r="V5526" s="1" t="s">
        <v>23</v>
      </c>
      <c r="W5526" s="1" t="s">
        <v>24</v>
      </c>
      <c r="X5526" s="1">
        <v>1303</v>
      </c>
      <c r="Y5526" s="1">
        <v>1312</v>
      </c>
      <c r="Z5526" s="1" t="s">
        <v>24</v>
      </c>
      <c r="AA5526" s="1" t="s">
        <v>24</v>
      </c>
      <c r="AB5526" s="1" t="s">
        <v>24</v>
      </c>
      <c r="AC5526" s="1" t="s">
        <v>24</v>
      </c>
      <c r="AD5526" s="1" t="s">
        <v>24</v>
      </c>
      <c r="AE5526" s="1" t="s">
        <v>24</v>
      </c>
      <c r="AF5526" s="22"/>
    </row>
    <row r="5527" spans="1:32" x14ac:dyDescent="0.2">
      <c r="A5527" s="1">
        <v>53501</v>
      </c>
      <c r="B5527" s="1" t="s">
        <v>16528</v>
      </c>
      <c r="C5527" s="5" t="s">
        <v>0</v>
      </c>
      <c r="D5527" s="1" t="s">
        <v>16529</v>
      </c>
      <c r="E5527" s="1" t="s">
        <v>16530</v>
      </c>
      <c r="F5527" s="1" t="s">
        <v>9718</v>
      </c>
      <c r="G5527" s="1" t="s">
        <v>130</v>
      </c>
      <c r="H5527" s="1" t="s">
        <v>30</v>
      </c>
      <c r="I5527" s="1" t="s">
        <v>16</v>
      </c>
      <c r="J5527" s="1">
        <v>1</v>
      </c>
      <c r="K5527" s="1">
        <v>6</v>
      </c>
      <c r="L5527" s="1" t="s">
        <v>31</v>
      </c>
      <c r="M5527" s="1" t="s">
        <v>18</v>
      </c>
      <c r="N5527" s="1" t="s">
        <v>18</v>
      </c>
      <c r="O5527" s="1">
        <v>2</v>
      </c>
      <c r="P5527" s="1">
        <v>6</v>
      </c>
      <c r="R5527" s="1" t="s">
        <v>19</v>
      </c>
      <c r="S5527" s="1" t="s">
        <v>20</v>
      </c>
      <c r="T5527" s="1" t="s">
        <v>21</v>
      </c>
      <c r="U5527" s="1" t="s">
        <v>22</v>
      </c>
      <c r="V5527" s="1" t="s">
        <v>23</v>
      </c>
      <c r="W5527" s="1" t="s">
        <v>24</v>
      </c>
      <c r="X5527" s="1">
        <v>1307</v>
      </c>
      <c r="Y5527" s="1">
        <v>2722</v>
      </c>
      <c r="Z5527" s="1">
        <v>2402</v>
      </c>
      <c r="AA5527" s="1" t="s">
        <v>24</v>
      </c>
      <c r="AB5527" s="1" t="s">
        <v>24</v>
      </c>
      <c r="AC5527" s="1" t="s">
        <v>24</v>
      </c>
      <c r="AD5527" s="1" t="s">
        <v>24</v>
      </c>
      <c r="AE5527" s="1" t="s">
        <v>24</v>
      </c>
      <c r="AF5527" s="22"/>
    </row>
    <row r="5528" spans="1:32" x14ac:dyDescent="0.2">
      <c r="A5528" s="1">
        <v>53502</v>
      </c>
      <c r="B5528" s="1" t="s">
        <v>16531</v>
      </c>
      <c r="C5528" s="5" t="s">
        <v>0</v>
      </c>
      <c r="D5528" s="1" t="s">
        <v>16532</v>
      </c>
      <c r="E5528" s="1" t="s">
        <v>16533</v>
      </c>
      <c r="F5528" s="1" t="s">
        <v>9718</v>
      </c>
      <c r="G5528" s="1" t="s">
        <v>130</v>
      </c>
      <c r="H5528" s="1" t="s">
        <v>30</v>
      </c>
      <c r="I5528" s="1" t="s">
        <v>16</v>
      </c>
      <c r="J5528" s="1">
        <v>1</v>
      </c>
      <c r="K5528" s="1">
        <v>6</v>
      </c>
      <c r="L5528" s="1" t="s">
        <v>31</v>
      </c>
      <c r="M5528" s="1" t="s">
        <v>18</v>
      </c>
      <c r="N5528" s="1" t="s">
        <v>18</v>
      </c>
      <c r="O5528" s="1">
        <v>2</v>
      </c>
      <c r="P5528" s="1">
        <v>6</v>
      </c>
      <c r="R5528" s="1" t="s">
        <v>19</v>
      </c>
      <c r="S5528" s="1" t="s">
        <v>20</v>
      </c>
      <c r="T5528" s="1" t="s">
        <v>21</v>
      </c>
      <c r="U5528" s="1" t="s">
        <v>22</v>
      </c>
      <c r="V5528" s="1" t="s">
        <v>23</v>
      </c>
      <c r="W5528" s="1" t="s">
        <v>24</v>
      </c>
      <c r="X5528" s="1">
        <v>2736</v>
      </c>
      <c r="Y5528" s="1">
        <v>3004</v>
      </c>
      <c r="Z5528" s="1" t="s">
        <v>24</v>
      </c>
      <c r="AA5528" s="1" t="s">
        <v>24</v>
      </c>
      <c r="AB5528" s="1" t="s">
        <v>24</v>
      </c>
      <c r="AC5528" s="1" t="s">
        <v>24</v>
      </c>
      <c r="AD5528" s="1" t="s">
        <v>24</v>
      </c>
      <c r="AE5528" s="1" t="s">
        <v>24</v>
      </c>
      <c r="AF5528" s="22"/>
    </row>
    <row r="5529" spans="1:32" x14ac:dyDescent="0.2">
      <c r="A5529" s="1">
        <v>53503</v>
      </c>
      <c r="B5529" s="1" t="s">
        <v>16534</v>
      </c>
      <c r="C5529" s="5" t="s">
        <v>0</v>
      </c>
      <c r="D5529" s="1" t="s">
        <v>16535</v>
      </c>
      <c r="E5529" s="1" t="s">
        <v>16536</v>
      </c>
      <c r="F5529" s="1" t="s">
        <v>167</v>
      </c>
      <c r="G5529" s="1" t="s">
        <v>130</v>
      </c>
      <c r="H5529" s="1" t="s">
        <v>168</v>
      </c>
      <c r="I5529" s="1" t="s">
        <v>16</v>
      </c>
      <c r="J5529" s="1">
        <v>1</v>
      </c>
      <c r="K5529" s="1">
        <v>6</v>
      </c>
      <c r="L5529" s="1" t="s">
        <v>31</v>
      </c>
      <c r="M5529" s="1" t="s">
        <v>18</v>
      </c>
      <c r="N5529" s="1" t="s">
        <v>18</v>
      </c>
      <c r="O5529" s="1">
        <v>3</v>
      </c>
      <c r="P5529" s="1">
        <v>7</v>
      </c>
      <c r="Q5529" s="7" t="s">
        <v>17633</v>
      </c>
      <c r="R5529" s="1" t="s">
        <v>19</v>
      </c>
      <c r="S5529" s="1" t="s">
        <v>20</v>
      </c>
      <c r="T5529" s="1" t="s">
        <v>21</v>
      </c>
      <c r="U5529" s="1" t="s">
        <v>22</v>
      </c>
      <c r="V5529" s="1" t="s">
        <v>23</v>
      </c>
      <c r="W5529" s="1" t="s">
        <v>24</v>
      </c>
      <c r="X5529" s="1">
        <v>2739</v>
      </c>
      <c r="Y5529" s="1" t="s">
        <v>24</v>
      </c>
      <c r="Z5529" s="1" t="s">
        <v>24</v>
      </c>
      <c r="AA5529" s="1" t="s">
        <v>24</v>
      </c>
      <c r="AB5529" s="1" t="s">
        <v>24</v>
      </c>
      <c r="AC5529" s="1" t="s">
        <v>24</v>
      </c>
      <c r="AD5529" s="1" t="s">
        <v>24</v>
      </c>
      <c r="AE5529" s="1" t="s">
        <v>24</v>
      </c>
      <c r="AF5529" s="22"/>
    </row>
    <row r="5530" spans="1:32" x14ac:dyDescent="0.2">
      <c r="A5530" s="1">
        <v>53524</v>
      </c>
      <c r="B5530" s="1" t="s">
        <v>16537</v>
      </c>
      <c r="C5530" s="5" t="s">
        <v>0</v>
      </c>
      <c r="E5530" s="1" t="s">
        <v>16538</v>
      </c>
      <c r="F5530" s="1" t="s">
        <v>1890</v>
      </c>
      <c r="G5530" s="1" t="s">
        <v>1890</v>
      </c>
      <c r="H5530" s="1" t="s">
        <v>684</v>
      </c>
      <c r="I5530" s="1" t="s">
        <v>16</v>
      </c>
      <c r="J5530" s="1">
        <v>1</v>
      </c>
      <c r="K5530" s="1">
        <v>3</v>
      </c>
      <c r="L5530" s="1" t="s">
        <v>42</v>
      </c>
      <c r="M5530" s="1" t="s">
        <v>18</v>
      </c>
      <c r="N5530" s="1" t="s">
        <v>18</v>
      </c>
      <c r="O5530" s="1">
        <v>3</v>
      </c>
      <c r="P5530" s="1">
        <v>6</v>
      </c>
      <c r="R5530" s="1" t="s">
        <v>19</v>
      </c>
      <c r="S5530" s="1" t="s">
        <v>20</v>
      </c>
      <c r="T5530" s="1" t="s">
        <v>21</v>
      </c>
      <c r="U5530" s="1" t="s">
        <v>22</v>
      </c>
      <c r="V5530" s="1" t="s">
        <v>23</v>
      </c>
      <c r="W5530" s="1" t="s">
        <v>24</v>
      </c>
      <c r="X5530" s="1">
        <v>1304</v>
      </c>
      <c r="Y5530" s="1">
        <v>1502</v>
      </c>
      <c r="Z5530" s="1">
        <v>2204</v>
      </c>
      <c r="AA5530" s="1">
        <v>2502</v>
      </c>
      <c r="AB5530" s="1" t="s">
        <v>24</v>
      </c>
      <c r="AC5530" s="1" t="s">
        <v>24</v>
      </c>
      <c r="AD5530" s="1" t="s">
        <v>24</v>
      </c>
      <c r="AE5530" s="1" t="s">
        <v>24</v>
      </c>
      <c r="AF5530" s="22"/>
    </row>
    <row r="5531" spans="1:32" x14ac:dyDescent="0.2">
      <c r="A5531" s="1">
        <v>53698</v>
      </c>
      <c r="B5531" s="1" t="s">
        <v>16539</v>
      </c>
      <c r="C5531" s="5" t="s">
        <v>0</v>
      </c>
      <c r="D5531" s="1" t="s">
        <v>16540</v>
      </c>
      <c r="E5531" s="1" t="s">
        <v>16541</v>
      </c>
      <c r="F5531" s="1" t="s">
        <v>1412</v>
      </c>
      <c r="G5531" s="1" t="s">
        <v>1413</v>
      </c>
      <c r="H5531" s="1" t="s">
        <v>30</v>
      </c>
      <c r="I5531" s="1" t="s">
        <v>16</v>
      </c>
      <c r="J5531" s="1">
        <v>1</v>
      </c>
      <c r="K5531" s="1">
        <v>4</v>
      </c>
      <c r="L5531" s="1" t="s">
        <v>31</v>
      </c>
      <c r="M5531" s="1" t="s">
        <v>18</v>
      </c>
      <c r="N5531" s="1" t="s">
        <v>18</v>
      </c>
      <c r="O5531" s="1">
        <v>3</v>
      </c>
      <c r="P5531" s="1">
        <v>6</v>
      </c>
      <c r="R5531" s="1" t="s">
        <v>19</v>
      </c>
      <c r="S5531" s="1" t="s">
        <v>63</v>
      </c>
      <c r="T5531" s="1" t="s">
        <v>21</v>
      </c>
      <c r="U5531" s="1" t="s">
        <v>22</v>
      </c>
      <c r="V5531" s="1" t="s">
        <v>23</v>
      </c>
      <c r="W5531" s="1" t="s">
        <v>24</v>
      </c>
      <c r="X5531" s="1">
        <v>1300</v>
      </c>
      <c r="Y5531" s="1">
        <v>2400</v>
      </c>
      <c r="Z5531" s="1" t="s">
        <v>24</v>
      </c>
      <c r="AA5531" s="1" t="s">
        <v>24</v>
      </c>
      <c r="AB5531" s="1" t="s">
        <v>24</v>
      </c>
      <c r="AC5531" s="1" t="s">
        <v>24</v>
      </c>
      <c r="AD5531" s="1" t="s">
        <v>24</v>
      </c>
      <c r="AE5531" s="1" t="s">
        <v>24</v>
      </c>
      <c r="AF5531" s="22"/>
    </row>
    <row r="5532" spans="1:32" x14ac:dyDescent="0.2">
      <c r="A5532" s="1">
        <v>53744</v>
      </c>
      <c r="B5532" s="1" t="s">
        <v>16542</v>
      </c>
      <c r="C5532" s="5" t="s">
        <v>0</v>
      </c>
      <c r="D5532" s="1" t="s">
        <v>16543</v>
      </c>
      <c r="E5532" s="1" t="s">
        <v>16544</v>
      </c>
      <c r="F5532" s="1" t="s">
        <v>493</v>
      </c>
      <c r="G5532" s="1" t="s">
        <v>98</v>
      </c>
      <c r="H5532" s="1" t="s">
        <v>37</v>
      </c>
      <c r="I5532" s="1" t="s">
        <v>16</v>
      </c>
      <c r="J5532" s="1">
        <v>1</v>
      </c>
      <c r="K5532" s="1">
        <v>3</v>
      </c>
      <c r="L5532" s="1" t="s">
        <v>31</v>
      </c>
      <c r="M5532" s="1" t="s">
        <v>18</v>
      </c>
      <c r="N5532" s="1" t="s">
        <v>18</v>
      </c>
      <c r="O5532" s="1">
        <v>3</v>
      </c>
      <c r="P5532" s="1">
        <v>7</v>
      </c>
      <c r="Q5532" s="7" t="s">
        <v>17633</v>
      </c>
      <c r="R5532" s="1" t="s">
        <v>19</v>
      </c>
      <c r="S5532" s="1" t="s">
        <v>20</v>
      </c>
      <c r="T5532" s="1" t="s">
        <v>21</v>
      </c>
      <c r="U5532" s="1" t="s">
        <v>22</v>
      </c>
      <c r="V5532" s="1" t="s">
        <v>24</v>
      </c>
      <c r="W5532" s="1" t="s">
        <v>24</v>
      </c>
      <c r="X5532" s="1">
        <v>2746</v>
      </c>
      <c r="Y5532" s="1">
        <v>2748</v>
      </c>
      <c r="Z5532" s="1" t="s">
        <v>24</v>
      </c>
      <c r="AA5532" s="1" t="s">
        <v>24</v>
      </c>
      <c r="AB5532" s="1" t="s">
        <v>24</v>
      </c>
      <c r="AC5532" s="1" t="s">
        <v>24</v>
      </c>
      <c r="AD5532" s="1" t="s">
        <v>24</v>
      </c>
      <c r="AE5532" s="1" t="s">
        <v>24</v>
      </c>
      <c r="AF5532" s="22" t="s">
        <v>17670</v>
      </c>
    </row>
    <row r="5533" spans="1:32" x14ac:dyDescent="0.2">
      <c r="A5533" s="1">
        <v>53873</v>
      </c>
      <c r="B5533" s="1" t="s">
        <v>16545</v>
      </c>
      <c r="C5533" s="5" t="s">
        <v>0</v>
      </c>
      <c r="D5533" s="1" t="s">
        <v>16546</v>
      </c>
      <c r="F5533" s="1" t="s">
        <v>272</v>
      </c>
      <c r="G5533" s="1" t="s">
        <v>61</v>
      </c>
      <c r="H5533" s="1" t="s">
        <v>30</v>
      </c>
      <c r="I5533" s="1" t="s">
        <v>16</v>
      </c>
      <c r="J5533" s="1">
        <v>0</v>
      </c>
      <c r="K5533" s="1">
        <v>0</v>
      </c>
      <c r="L5533" s="1" t="s">
        <v>31</v>
      </c>
      <c r="M5533" s="1" t="s">
        <v>18</v>
      </c>
      <c r="N5533" s="1" t="s">
        <v>18</v>
      </c>
      <c r="O5533" s="1">
        <v>3</v>
      </c>
      <c r="P5533" s="1">
        <v>7</v>
      </c>
      <c r="Q5533" s="7" t="s">
        <v>17633</v>
      </c>
      <c r="R5533" s="1" t="s">
        <v>19</v>
      </c>
      <c r="S5533" s="1" t="s">
        <v>63</v>
      </c>
      <c r="T5533" s="1" t="s">
        <v>21</v>
      </c>
      <c r="U5533" s="1" t="s">
        <v>22</v>
      </c>
      <c r="V5533" s="1" t="s">
        <v>23</v>
      </c>
      <c r="W5533" s="1" t="s">
        <v>24</v>
      </c>
      <c r="X5533" s="1">
        <v>2802</v>
      </c>
      <c r="Y5533" s="1">
        <v>2808</v>
      </c>
      <c r="Z5533" s="1">
        <v>2728</v>
      </c>
      <c r="AA5533" s="1" t="s">
        <v>24</v>
      </c>
      <c r="AB5533" s="1" t="s">
        <v>24</v>
      </c>
      <c r="AC5533" s="1" t="s">
        <v>24</v>
      </c>
      <c r="AD5533" s="1" t="s">
        <v>24</v>
      </c>
      <c r="AE5533" s="1" t="s">
        <v>24</v>
      </c>
      <c r="AF5533" s="22"/>
    </row>
    <row r="5534" spans="1:32" x14ac:dyDescent="0.2">
      <c r="A5534" s="1">
        <v>53874</v>
      </c>
      <c r="B5534" s="1" t="s">
        <v>16547</v>
      </c>
      <c r="C5534" s="5" t="s">
        <v>0</v>
      </c>
      <c r="D5534" s="1" t="s">
        <v>16548</v>
      </c>
      <c r="F5534" s="1" t="s">
        <v>6159</v>
      </c>
      <c r="G5534" s="1" t="s">
        <v>61</v>
      </c>
      <c r="H5534" s="1" t="s">
        <v>168</v>
      </c>
      <c r="I5534" s="1" t="s">
        <v>16</v>
      </c>
      <c r="J5534" s="1">
        <v>1</v>
      </c>
      <c r="K5534" s="1">
        <v>4</v>
      </c>
      <c r="L5534" s="1" t="s">
        <v>31</v>
      </c>
      <c r="M5534" s="1" t="s">
        <v>18</v>
      </c>
      <c r="N5534" s="1" t="s">
        <v>18</v>
      </c>
      <c r="O5534" s="1">
        <v>2</v>
      </c>
      <c r="P5534" s="1">
        <v>7</v>
      </c>
      <c r="Q5534" s="7" t="s">
        <v>17633</v>
      </c>
      <c r="R5534" s="1" t="s">
        <v>19</v>
      </c>
      <c r="S5534" s="1" t="s">
        <v>20</v>
      </c>
      <c r="T5534" s="1" t="s">
        <v>21</v>
      </c>
      <c r="U5534" s="1" t="s">
        <v>22</v>
      </c>
      <c r="V5534" s="1" t="s">
        <v>23</v>
      </c>
      <c r="W5534" s="1" t="s">
        <v>24</v>
      </c>
      <c r="X5534" s="1">
        <v>2728</v>
      </c>
      <c r="Y5534" s="1" t="s">
        <v>24</v>
      </c>
      <c r="Z5534" s="1" t="s">
        <v>24</v>
      </c>
      <c r="AA5534" s="1" t="s">
        <v>24</v>
      </c>
      <c r="AB5534" s="1" t="s">
        <v>24</v>
      </c>
      <c r="AC5534" s="1" t="s">
        <v>24</v>
      </c>
      <c r="AD5534" s="1" t="s">
        <v>24</v>
      </c>
      <c r="AE5534" s="1" t="s">
        <v>24</v>
      </c>
      <c r="AF5534" s="22"/>
    </row>
    <row r="5535" spans="1:32" x14ac:dyDescent="0.2">
      <c r="A5535" s="1">
        <v>53875</v>
      </c>
      <c r="B5535" s="1" t="s">
        <v>16549</v>
      </c>
      <c r="C5535" s="5" t="s">
        <v>0</v>
      </c>
      <c r="D5535" s="1" t="s">
        <v>16550</v>
      </c>
      <c r="F5535" s="1" t="s">
        <v>272</v>
      </c>
      <c r="G5535" s="1" t="s">
        <v>61</v>
      </c>
      <c r="H5535" s="1" t="s">
        <v>30</v>
      </c>
      <c r="I5535" s="1" t="s">
        <v>16</v>
      </c>
      <c r="J5535" s="1">
        <v>1</v>
      </c>
      <c r="K5535" s="1">
        <v>1</v>
      </c>
      <c r="L5535" s="1" t="s">
        <v>31</v>
      </c>
      <c r="M5535" s="1" t="s">
        <v>18</v>
      </c>
      <c r="N5535" s="1" t="s">
        <v>18</v>
      </c>
      <c r="O5535" s="1">
        <v>3</v>
      </c>
      <c r="P5535" s="1">
        <v>7</v>
      </c>
      <c r="Q5535" s="7" t="s">
        <v>17633</v>
      </c>
      <c r="R5535" s="1" t="s">
        <v>19</v>
      </c>
      <c r="S5535" s="1" t="s">
        <v>63</v>
      </c>
      <c r="T5535" s="1" t="s">
        <v>21</v>
      </c>
      <c r="U5535" s="1" t="s">
        <v>22</v>
      </c>
      <c r="V5535" s="1" t="s">
        <v>24</v>
      </c>
      <c r="W5535" s="1" t="s">
        <v>24</v>
      </c>
      <c r="X5535" s="1">
        <v>2734</v>
      </c>
      <c r="Y5535" s="1" t="s">
        <v>24</v>
      </c>
      <c r="Z5535" s="1" t="s">
        <v>24</v>
      </c>
      <c r="AA5535" s="1" t="s">
        <v>24</v>
      </c>
      <c r="AB5535" s="1" t="s">
        <v>24</v>
      </c>
      <c r="AC5535" s="1" t="s">
        <v>24</v>
      </c>
      <c r="AD5535" s="1" t="s">
        <v>24</v>
      </c>
      <c r="AE5535" s="1" t="s">
        <v>24</v>
      </c>
      <c r="AF5535" s="22"/>
    </row>
    <row r="5536" spans="1:32" x14ac:dyDescent="0.2">
      <c r="A5536" s="1">
        <v>53876</v>
      </c>
      <c r="B5536" s="1" t="s">
        <v>16551</v>
      </c>
      <c r="C5536" s="5" t="s">
        <v>0</v>
      </c>
      <c r="D5536" s="1" t="s">
        <v>16552</v>
      </c>
      <c r="F5536" s="1" t="s">
        <v>155</v>
      </c>
      <c r="G5536" s="1" t="s">
        <v>61</v>
      </c>
      <c r="H5536" s="1" t="s">
        <v>37</v>
      </c>
      <c r="I5536" s="1" t="s">
        <v>16</v>
      </c>
      <c r="J5536" s="1">
        <v>1</v>
      </c>
      <c r="K5536" s="1">
        <v>2</v>
      </c>
      <c r="L5536" s="1" t="s">
        <v>31</v>
      </c>
      <c r="M5536" s="1" t="s">
        <v>18</v>
      </c>
      <c r="N5536" s="1" t="s">
        <v>18</v>
      </c>
      <c r="O5536" s="1">
        <v>3</v>
      </c>
      <c r="P5536" s="1">
        <v>7</v>
      </c>
      <c r="Q5536" s="7" t="s">
        <v>17633</v>
      </c>
      <c r="R5536" s="1" t="s">
        <v>19</v>
      </c>
      <c r="S5536" s="1" t="s">
        <v>63</v>
      </c>
      <c r="T5536" s="1" t="s">
        <v>21</v>
      </c>
      <c r="U5536" s="1" t="s">
        <v>22</v>
      </c>
      <c r="V5536" s="1" t="s">
        <v>24</v>
      </c>
      <c r="W5536" s="1" t="s">
        <v>24</v>
      </c>
      <c r="X5536" s="1">
        <v>2720</v>
      </c>
      <c r="Y5536" s="1">
        <v>2730</v>
      </c>
      <c r="Z5536" s="1" t="s">
        <v>24</v>
      </c>
      <c r="AA5536" s="1" t="s">
        <v>24</v>
      </c>
      <c r="AB5536" s="1" t="s">
        <v>24</v>
      </c>
      <c r="AC5536" s="1" t="s">
        <v>24</v>
      </c>
      <c r="AD5536" s="1" t="s">
        <v>24</v>
      </c>
      <c r="AE5536" s="1" t="s">
        <v>24</v>
      </c>
      <c r="AF5536" s="22"/>
    </row>
    <row r="5537" spans="1:32" x14ac:dyDescent="0.2">
      <c r="A5537" s="1">
        <v>53877</v>
      </c>
      <c r="B5537" s="1" t="s">
        <v>16553</v>
      </c>
      <c r="C5537" s="5" t="s">
        <v>0</v>
      </c>
      <c r="D5537" s="1" t="s">
        <v>16554</v>
      </c>
      <c r="F5537" s="1" t="s">
        <v>6159</v>
      </c>
      <c r="G5537" s="1" t="s">
        <v>61</v>
      </c>
      <c r="H5537" s="1" t="s">
        <v>168</v>
      </c>
      <c r="I5537" s="1" t="s">
        <v>16</v>
      </c>
      <c r="J5537" s="1">
        <v>1</v>
      </c>
      <c r="K5537" s="1">
        <v>4</v>
      </c>
      <c r="L5537" s="1" t="s">
        <v>31</v>
      </c>
      <c r="M5537" s="1" t="s">
        <v>18</v>
      </c>
      <c r="N5537" s="1" t="s">
        <v>18</v>
      </c>
      <c r="O5537" s="1">
        <v>2</v>
      </c>
      <c r="P5537" s="1">
        <v>7</v>
      </c>
      <c r="Q5537" s="7" t="s">
        <v>17633</v>
      </c>
      <c r="R5537" s="1" t="s">
        <v>19</v>
      </c>
      <c r="S5537" s="1" t="s">
        <v>20</v>
      </c>
      <c r="T5537" s="1" t="s">
        <v>21</v>
      </c>
      <c r="U5537" s="1" t="s">
        <v>22</v>
      </c>
      <c r="V5537" s="1" t="s">
        <v>23</v>
      </c>
      <c r="W5537" s="1" t="s">
        <v>24</v>
      </c>
      <c r="X5537" s="1">
        <v>3304</v>
      </c>
      <c r="Y5537" s="1">
        <v>2801</v>
      </c>
      <c r="Z5537" s="1">
        <v>2802</v>
      </c>
      <c r="AA5537" s="1">
        <v>2805</v>
      </c>
      <c r="AB5537" s="1" t="s">
        <v>24</v>
      </c>
      <c r="AC5537" s="1" t="s">
        <v>24</v>
      </c>
      <c r="AD5537" s="1" t="s">
        <v>24</v>
      </c>
      <c r="AE5537" s="1" t="s">
        <v>24</v>
      </c>
      <c r="AF5537" s="22"/>
    </row>
    <row r="5538" spans="1:32" x14ac:dyDescent="0.2">
      <c r="A5538" s="1">
        <v>53878</v>
      </c>
      <c r="B5538" s="1" t="s">
        <v>16555</v>
      </c>
      <c r="C5538" s="5" t="s">
        <v>0</v>
      </c>
      <c r="D5538" s="1" t="s">
        <v>16556</v>
      </c>
      <c r="F5538" s="1" t="s">
        <v>91</v>
      </c>
      <c r="G5538" s="1" t="s">
        <v>61</v>
      </c>
      <c r="H5538" s="1" t="s">
        <v>92</v>
      </c>
      <c r="I5538" s="1" t="s">
        <v>16</v>
      </c>
      <c r="J5538" s="1">
        <v>1</v>
      </c>
      <c r="K5538" s="1">
        <v>4</v>
      </c>
      <c r="L5538" s="1" t="s">
        <v>31</v>
      </c>
      <c r="M5538" s="1" t="s">
        <v>18</v>
      </c>
      <c r="N5538" s="1" t="s">
        <v>18</v>
      </c>
      <c r="O5538" s="1">
        <v>3</v>
      </c>
      <c r="P5538" s="1">
        <v>7</v>
      </c>
      <c r="Q5538" s="7" t="s">
        <v>17633</v>
      </c>
      <c r="R5538" s="1" t="s">
        <v>19</v>
      </c>
      <c r="S5538" s="1" t="s">
        <v>20</v>
      </c>
      <c r="T5538" s="1" t="s">
        <v>21</v>
      </c>
      <c r="V5538" s="1" t="s">
        <v>23</v>
      </c>
      <c r="W5538" s="1" t="s">
        <v>24</v>
      </c>
      <c r="X5538" s="1">
        <v>2729</v>
      </c>
      <c r="Y5538" s="1" t="s">
        <v>24</v>
      </c>
      <c r="Z5538" s="1" t="s">
        <v>24</v>
      </c>
      <c r="AA5538" s="1" t="s">
        <v>24</v>
      </c>
      <c r="AB5538" s="1" t="s">
        <v>24</v>
      </c>
      <c r="AC5538" s="1" t="s">
        <v>24</v>
      </c>
      <c r="AD5538" s="1" t="s">
        <v>24</v>
      </c>
      <c r="AE5538" s="1" t="s">
        <v>24</v>
      </c>
      <c r="AF5538" s="22" t="s">
        <v>17679</v>
      </c>
    </row>
    <row r="5539" spans="1:32" x14ac:dyDescent="0.2">
      <c r="A5539" s="1">
        <v>53897</v>
      </c>
      <c r="B5539" s="1" t="s">
        <v>16557</v>
      </c>
      <c r="C5539" s="5" t="s">
        <v>0</v>
      </c>
      <c r="D5539" s="1" t="s">
        <v>16558</v>
      </c>
      <c r="F5539" s="1" t="s">
        <v>16559</v>
      </c>
      <c r="G5539" s="1" t="s">
        <v>1066</v>
      </c>
      <c r="H5539" s="1" t="s">
        <v>1007</v>
      </c>
      <c r="I5539" s="1" t="s">
        <v>16</v>
      </c>
      <c r="J5539" s="1">
        <v>1</v>
      </c>
      <c r="K5539" s="1">
        <v>4</v>
      </c>
      <c r="L5539" s="1" t="s">
        <v>42</v>
      </c>
      <c r="M5539" s="1" t="s">
        <v>18</v>
      </c>
      <c r="N5539" s="1" t="s">
        <v>18</v>
      </c>
      <c r="O5539" s="1">
        <v>3</v>
      </c>
      <c r="P5539" s="1">
        <v>6</v>
      </c>
      <c r="R5539" s="1" t="s">
        <v>19</v>
      </c>
      <c r="S5539" s="1" t="s">
        <v>20</v>
      </c>
      <c r="T5539" s="1" t="s">
        <v>21</v>
      </c>
      <c r="U5539" s="1" t="s">
        <v>22</v>
      </c>
      <c r="V5539" s="1" t="s">
        <v>24</v>
      </c>
      <c r="W5539" s="1" t="s">
        <v>24</v>
      </c>
      <c r="X5539" s="1">
        <v>1306</v>
      </c>
      <c r="Y5539" s="1">
        <v>2730</v>
      </c>
      <c r="Z5539" s="1" t="s">
        <v>24</v>
      </c>
      <c r="AA5539" s="1" t="s">
        <v>24</v>
      </c>
      <c r="AB5539" s="1" t="s">
        <v>24</v>
      </c>
      <c r="AC5539" s="1" t="s">
        <v>24</v>
      </c>
      <c r="AD5539" s="1" t="s">
        <v>24</v>
      </c>
      <c r="AE5539" s="1" t="s">
        <v>24</v>
      </c>
      <c r="AF5539" s="22"/>
    </row>
    <row r="5540" spans="1:32" x14ac:dyDescent="0.2">
      <c r="A5540" s="1">
        <v>53910</v>
      </c>
      <c r="B5540" s="1" t="s">
        <v>16560</v>
      </c>
      <c r="C5540" s="5" t="s">
        <v>0</v>
      </c>
      <c r="D5540" s="1" t="s">
        <v>16561</v>
      </c>
      <c r="F5540" s="1" t="s">
        <v>16562</v>
      </c>
      <c r="G5540" s="1" t="s">
        <v>16562</v>
      </c>
      <c r="H5540" s="1" t="s">
        <v>4064</v>
      </c>
      <c r="I5540" s="1" t="s">
        <v>16</v>
      </c>
      <c r="J5540" s="1">
        <v>1</v>
      </c>
      <c r="K5540" s="1">
        <v>4</v>
      </c>
      <c r="L5540" s="1" t="s">
        <v>42</v>
      </c>
      <c r="M5540" s="1" t="s">
        <v>9604</v>
      </c>
      <c r="N5540" s="1" t="s">
        <v>9604</v>
      </c>
      <c r="O5540" s="1">
        <v>2</v>
      </c>
      <c r="P5540" s="1">
        <v>5</v>
      </c>
      <c r="R5540" s="1" t="s">
        <v>19</v>
      </c>
      <c r="S5540" s="1" t="s">
        <v>20</v>
      </c>
      <c r="T5540" s="1" t="s">
        <v>21</v>
      </c>
      <c r="U5540" s="1" t="s">
        <v>22</v>
      </c>
      <c r="V5540" s="1" t="s">
        <v>23</v>
      </c>
      <c r="W5540" s="1" t="s">
        <v>24</v>
      </c>
      <c r="X5540" s="1">
        <v>1300</v>
      </c>
      <c r="Y5540" s="1">
        <v>2700</v>
      </c>
      <c r="Z5540" s="1" t="s">
        <v>24</v>
      </c>
      <c r="AA5540" s="1" t="s">
        <v>24</v>
      </c>
      <c r="AB5540" s="1" t="s">
        <v>24</v>
      </c>
      <c r="AC5540" s="1" t="s">
        <v>24</v>
      </c>
      <c r="AD5540" s="1" t="s">
        <v>24</v>
      </c>
      <c r="AE5540" s="1" t="s">
        <v>24</v>
      </c>
      <c r="AF5540" s="22"/>
    </row>
    <row r="5541" spans="1:32" x14ac:dyDescent="0.2">
      <c r="A5541" s="1">
        <v>53956</v>
      </c>
      <c r="B5541" s="1" t="s">
        <v>16563</v>
      </c>
      <c r="C5541" s="5" t="s">
        <v>0</v>
      </c>
      <c r="D5541" s="1" t="s">
        <v>16564</v>
      </c>
      <c r="E5541" s="1" t="s">
        <v>16565</v>
      </c>
      <c r="F5541" s="1" t="s">
        <v>4337</v>
      </c>
      <c r="G5541" s="1" t="s">
        <v>4338</v>
      </c>
      <c r="H5541" s="1" t="s">
        <v>30</v>
      </c>
      <c r="I5541" s="1" t="s">
        <v>16</v>
      </c>
      <c r="J5541" s="1">
        <v>1</v>
      </c>
      <c r="K5541" s="1">
        <v>4</v>
      </c>
      <c r="L5541" s="1" t="s">
        <v>31</v>
      </c>
      <c r="M5541" s="1" t="s">
        <v>18</v>
      </c>
      <c r="N5541" s="1" t="s">
        <v>18</v>
      </c>
      <c r="O5541" s="1">
        <v>1</v>
      </c>
      <c r="P5541" s="1">
        <v>1</v>
      </c>
      <c r="R5541" s="1" t="s">
        <v>19</v>
      </c>
      <c r="S5541" s="1" t="s">
        <v>20</v>
      </c>
      <c r="T5541" s="1" t="s">
        <v>21</v>
      </c>
      <c r="U5541" s="1" t="s">
        <v>22</v>
      </c>
      <c r="V5541" s="1" t="s">
        <v>23</v>
      </c>
      <c r="W5541" s="1" t="s">
        <v>24</v>
      </c>
      <c r="X5541" s="1">
        <v>2746</v>
      </c>
      <c r="Y5541" s="1">
        <v>2914</v>
      </c>
      <c r="Z5541" s="1">
        <v>2916</v>
      </c>
      <c r="AA5541" s="1" t="s">
        <v>24</v>
      </c>
      <c r="AB5541" s="1" t="s">
        <v>24</v>
      </c>
      <c r="AC5541" s="1" t="s">
        <v>24</v>
      </c>
      <c r="AD5541" s="1" t="s">
        <v>24</v>
      </c>
      <c r="AE5541" s="1" t="s">
        <v>24</v>
      </c>
      <c r="AF5541" s="22" t="s">
        <v>50546</v>
      </c>
    </row>
    <row r="5542" spans="1:32" x14ac:dyDescent="0.2">
      <c r="A5542" s="1">
        <v>53957</v>
      </c>
      <c r="B5542" s="1" t="s">
        <v>16566</v>
      </c>
      <c r="C5542" s="5" t="s">
        <v>0</v>
      </c>
      <c r="E5542" s="1" t="s">
        <v>16567</v>
      </c>
      <c r="F5542" s="1" t="s">
        <v>4337</v>
      </c>
      <c r="G5542" s="1" t="s">
        <v>4338</v>
      </c>
      <c r="H5542" s="1" t="s">
        <v>30</v>
      </c>
      <c r="I5542" s="1" t="s">
        <v>16</v>
      </c>
      <c r="J5542" s="1">
        <v>1</v>
      </c>
      <c r="K5542" s="1">
        <v>6</v>
      </c>
      <c r="L5542" s="1" t="s">
        <v>31</v>
      </c>
      <c r="M5542" s="1" t="s">
        <v>18</v>
      </c>
      <c r="N5542" s="1" t="s">
        <v>18</v>
      </c>
      <c r="O5542" s="1">
        <v>3</v>
      </c>
      <c r="P5542" s="1">
        <v>7</v>
      </c>
      <c r="Q5542" s="7" t="s">
        <v>17633</v>
      </c>
      <c r="R5542" s="1" t="s">
        <v>19</v>
      </c>
      <c r="S5542" s="1" t="s">
        <v>20</v>
      </c>
      <c r="T5542" s="1" t="s">
        <v>21</v>
      </c>
      <c r="U5542" s="1" t="s">
        <v>22</v>
      </c>
      <c r="V5542" s="1" t="s">
        <v>24</v>
      </c>
      <c r="W5542" s="1" t="s">
        <v>24</v>
      </c>
      <c r="X5542" s="1">
        <v>2403</v>
      </c>
      <c r="Y5542" s="1">
        <v>2723</v>
      </c>
      <c r="Z5542" s="1" t="s">
        <v>24</v>
      </c>
      <c r="AA5542" s="1" t="s">
        <v>24</v>
      </c>
      <c r="AB5542" s="1" t="s">
        <v>24</v>
      </c>
      <c r="AC5542" s="1" t="s">
        <v>24</v>
      </c>
      <c r="AD5542" s="1" t="s">
        <v>24</v>
      </c>
      <c r="AE5542" s="1" t="s">
        <v>24</v>
      </c>
      <c r="AF5542" s="22"/>
    </row>
    <row r="5543" spans="1:32" x14ac:dyDescent="0.2">
      <c r="A5543" s="1">
        <v>53990</v>
      </c>
      <c r="B5543" s="1" t="s">
        <v>16568</v>
      </c>
      <c r="C5543" s="5" t="s">
        <v>0</v>
      </c>
      <c r="D5543" s="1" t="s">
        <v>16569</v>
      </c>
      <c r="F5543" s="1" t="s">
        <v>2128</v>
      </c>
      <c r="G5543" s="1" t="s">
        <v>2128</v>
      </c>
      <c r="H5543" s="1" t="s">
        <v>30</v>
      </c>
      <c r="I5543" s="1" t="s">
        <v>16</v>
      </c>
      <c r="J5543" s="1">
        <v>1</v>
      </c>
      <c r="K5543" s="1">
        <v>12</v>
      </c>
      <c r="L5543" s="1" t="s">
        <v>42</v>
      </c>
      <c r="M5543" s="1" t="s">
        <v>18</v>
      </c>
      <c r="N5543" s="1" t="s">
        <v>18</v>
      </c>
      <c r="O5543" s="1">
        <v>3</v>
      </c>
      <c r="P5543" s="1">
        <v>7</v>
      </c>
      <c r="Q5543" s="7" t="s">
        <v>17633</v>
      </c>
      <c r="R5543" s="1" t="s">
        <v>62</v>
      </c>
      <c r="S5543" s="1" t="s">
        <v>20</v>
      </c>
      <c r="T5543" s="1" t="s">
        <v>21</v>
      </c>
      <c r="U5543" s="1" t="s">
        <v>22</v>
      </c>
      <c r="V5543" s="1" t="s">
        <v>24</v>
      </c>
      <c r="W5543" s="1" t="s">
        <v>24</v>
      </c>
      <c r="X5543" s="1">
        <v>2708</v>
      </c>
      <c r="Y5543" s="1" t="s">
        <v>24</v>
      </c>
      <c r="Z5543" s="1" t="s">
        <v>24</v>
      </c>
      <c r="AA5543" s="1" t="s">
        <v>24</v>
      </c>
      <c r="AB5543" s="1" t="s">
        <v>24</v>
      </c>
      <c r="AC5543" s="1" t="s">
        <v>24</v>
      </c>
      <c r="AD5543" s="1" t="s">
        <v>24</v>
      </c>
      <c r="AE5543" s="1" t="s">
        <v>24</v>
      </c>
      <c r="AF5543" s="22"/>
    </row>
    <row r="5544" spans="1:32" x14ac:dyDescent="0.2">
      <c r="A5544" s="1">
        <v>53993</v>
      </c>
      <c r="B5544" s="1" t="s">
        <v>16570</v>
      </c>
      <c r="C5544" s="5" t="s">
        <v>0</v>
      </c>
      <c r="D5544" s="1" t="s">
        <v>16571</v>
      </c>
      <c r="F5544" s="1" t="s">
        <v>2128</v>
      </c>
      <c r="G5544" s="1" t="s">
        <v>2128</v>
      </c>
      <c r="H5544" s="1" t="s">
        <v>30</v>
      </c>
      <c r="I5544" s="1" t="s">
        <v>16</v>
      </c>
      <c r="J5544" s="1">
        <v>1</v>
      </c>
      <c r="K5544" s="1">
        <v>22</v>
      </c>
      <c r="L5544" s="1" t="s">
        <v>42</v>
      </c>
      <c r="M5544" s="1" t="s">
        <v>18</v>
      </c>
      <c r="N5544" s="1" t="s">
        <v>18</v>
      </c>
      <c r="O5544" s="1">
        <v>3</v>
      </c>
      <c r="P5544" s="1">
        <v>8</v>
      </c>
      <c r="Q5544" s="7" t="s">
        <v>17633</v>
      </c>
      <c r="R5544" s="1" t="s">
        <v>62</v>
      </c>
      <c r="S5544" s="1" t="s">
        <v>20</v>
      </c>
      <c r="T5544" s="1" t="s">
        <v>21</v>
      </c>
      <c r="U5544" s="1" t="s">
        <v>22</v>
      </c>
      <c r="V5544" s="1" t="s">
        <v>23</v>
      </c>
      <c r="W5544" s="1" t="s">
        <v>24</v>
      </c>
      <c r="X5544" s="1">
        <v>2724</v>
      </c>
      <c r="Y5544" s="1" t="s">
        <v>24</v>
      </c>
      <c r="Z5544" s="1" t="s">
        <v>24</v>
      </c>
      <c r="AA5544" s="1" t="s">
        <v>24</v>
      </c>
      <c r="AB5544" s="1" t="s">
        <v>24</v>
      </c>
      <c r="AC5544" s="1" t="s">
        <v>24</v>
      </c>
      <c r="AD5544" s="1" t="s">
        <v>24</v>
      </c>
      <c r="AE5544" s="1" t="s">
        <v>24</v>
      </c>
      <c r="AF5544" s="22"/>
    </row>
    <row r="5545" spans="1:32" x14ac:dyDescent="0.2">
      <c r="A5545" s="1">
        <v>53997</v>
      </c>
      <c r="B5545" s="1" t="s">
        <v>16572</v>
      </c>
      <c r="C5545" s="5" t="s">
        <v>0</v>
      </c>
      <c r="D5545" s="1" t="s">
        <v>16573</v>
      </c>
      <c r="F5545" s="1" t="s">
        <v>2128</v>
      </c>
      <c r="G5545" s="1" t="s">
        <v>2128</v>
      </c>
      <c r="H5545" s="1" t="s">
        <v>30</v>
      </c>
      <c r="I5545" s="1" t="s">
        <v>16</v>
      </c>
      <c r="J5545" s="1">
        <v>1</v>
      </c>
      <c r="K5545" s="1">
        <v>12</v>
      </c>
      <c r="L5545" s="1" t="s">
        <v>42</v>
      </c>
      <c r="M5545" s="1" t="s">
        <v>18</v>
      </c>
      <c r="N5545" s="1" t="s">
        <v>18</v>
      </c>
      <c r="O5545" s="1">
        <v>3</v>
      </c>
      <c r="P5545" s="1">
        <v>7</v>
      </c>
      <c r="Q5545" s="7" t="s">
        <v>17633</v>
      </c>
      <c r="R5545" s="1" t="s">
        <v>62</v>
      </c>
      <c r="S5545" s="1" t="s">
        <v>20</v>
      </c>
      <c r="T5545" s="1" t="s">
        <v>21</v>
      </c>
      <c r="U5545" s="1" t="s">
        <v>22</v>
      </c>
      <c r="V5545" s="1" t="s">
        <v>24</v>
      </c>
      <c r="W5545" s="1" t="s">
        <v>24</v>
      </c>
      <c r="X5545" s="1">
        <v>1201</v>
      </c>
      <c r="Y5545" s="1">
        <v>2728</v>
      </c>
      <c r="Z5545" s="1" t="s">
        <v>24</v>
      </c>
      <c r="AA5545" s="1" t="s">
        <v>24</v>
      </c>
      <c r="AB5545" s="1" t="s">
        <v>24</v>
      </c>
      <c r="AC5545" s="1" t="s">
        <v>24</v>
      </c>
      <c r="AD5545" s="1" t="s">
        <v>24</v>
      </c>
      <c r="AE5545" s="1" t="s">
        <v>24</v>
      </c>
      <c r="AF5545" s="22"/>
    </row>
    <row r="5546" spans="1:32" x14ac:dyDescent="0.2">
      <c r="A5546" s="1">
        <v>53998</v>
      </c>
      <c r="B5546" s="1" t="s">
        <v>16574</v>
      </c>
      <c r="C5546" s="5" t="s">
        <v>0</v>
      </c>
      <c r="D5546" s="1" t="s">
        <v>16575</v>
      </c>
      <c r="F5546" s="1" t="s">
        <v>2128</v>
      </c>
      <c r="G5546" s="1" t="s">
        <v>2128</v>
      </c>
      <c r="H5546" s="1" t="s">
        <v>30</v>
      </c>
      <c r="I5546" s="1" t="s">
        <v>16</v>
      </c>
      <c r="J5546" s="1">
        <v>1</v>
      </c>
      <c r="K5546" s="1">
        <v>12</v>
      </c>
      <c r="L5546" s="1" t="s">
        <v>42</v>
      </c>
      <c r="M5546" s="1" t="s">
        <v>18</v>
      </c>
      <c r="N5546" s="1" t="s">
        <v>18</v>
      </c>
      <c r="O5546" s="1">
        <v>3</v>
      </c>
      <c r="P5546" s="1">
        <v>8</v>
      </c>
      <c r="Q5546" s="7" t="s">
        <v>17633</v>
      </c>
      <c r="R5546" s="1" t="s">
        <v>62</v>
      </c>
      <c r="S5546" s="1" t="s">
        <v>20</v>
      </c>
      <c r="T5546" s="1" t="s">
        <v>21</v>
      </c>
      <c r="U5546" s="1" t="s">
        <v>22</v>
      </c>
      <c r="V5546" s="1" t="s">
        <v>24</v>
      </c>
      <c r="W5546" s="1" t="s">
        <v>24</v>
      </c>
      <c r="X5546" s="1">
        <v>2731</v>
      </c>
      <c r="Y5546" s="1" t="s">
        <v>24</v>
      </c>
      <c r="Z5546" s="1" t="s">
        <v>24</v>
      </c>
      <c r="AA5546" s="1" t="s">
        <v>24</v>
      </c>
      <c r="AB5546" s="1" t="s">
        <v>24</v>
      </c>
      <c r="AC5546" s="1" t="s">
        <v>24</v>
      </c>
      <c r="AD5546" s="1" t="s">
        <v>24</v>
      </c>
      <c r="AE5546" s="1" t="s">
        <v>24</v>
      </c>
      <c r="AF5546" s="22"/>
    </row>
    <row r="5547" spans="1:32" x14ac:dyDescent="0.2">
      <c r="A5547" s="1">
        <v>53999</v>
      </c>
      <c r="B5547" s="1" t="s">
        <v>16576</v>
      </c>
      <c r="C5547" s="5" t="s">
        <v>0</v>
      </c>
      <c r="D5547" s="1" t="s">
        <v>16577</v>
      </c>
      <c r="F5547" s="1" t="s">
        <v>2128</v>
      </c>
      <c r="G5547" s="1" t="s">
        <v>2128</v>
      </c>
      <c r="H5547" s="1" t="s">
        <v>30</v>
      </c>
      <c r="I5547" s="1" t="s">
        <v>16</v>
      </c>
      <c r="J5547" s="1">
        <v>1</v>
      </c>
      <c r="K5547" s="1">
        <v>12</v>
      </c>
      <c r="L5547" s="1" t="s">
        <v>42</v>
      </c>
      <c r="M5547" s="1" t="s">
        <v>18</v>
      </c>
      <c r="N5547" s="1" t="s">
        <v>18</v>
      </c>
      <c r="O5547" s="1">
        <v>3</v>
      </c>
      <c r="P5547" s="1">
        <v>6</v>
      </c>
      <c r="R5547" s="1" t="s">
        <v>19</v>
      </c>
      <c r="S5547" s="1" t="s">
        <v>20</v>
      </c>
      <c r="T5547" s="1" t="s">
        <v>21</v>
      </c>
      <c r="U5547" s="1" t="s">
        <v>22</v>
      </c>
      <c r="V5547" s="1" t="s">
        <v>23</v>
      </c>
      <c r="W5547" s="1" t="s">
        <v>24</v>
      </c>
      <c r="X5547" s="1">
        <v>2733</v>
      </c>
      <c r="Y5547" s="1">
        <v>2746</v>
      </c>
      <c r="Z5547" s="1" t="s">
        <v>24</v>
      </c>
      <c r="AA5547" s="1" t="s">
        <v>24</v>
      </c>
      <c r="AB5547" s="1" t="s">
        <v>24</v>
      </c>
      <c r="AC5547" s="1" t="s">
        <v>24</v>
      </c>
      <c r="AD5547" s="1" t="s">
        <v>24</v>
      </c>
      <c r="AE5547" s="1" t="s">
        <v>24</v>
      </c>
      <c r="AF5547" s="22"/>
    </row>
    <row r="5548" spans="1:32" x14ac:dyDescent="0.2">
      <c r="A5548" s="1">
        <v>54000</v>
      </c>
      <c r="B5548" s="1" t="s">
        <v>16578</v>
      </c>
      <c r="C5548" s="5" t="s">
        <v>0</v>
      </c>
      <c r="D5548" s="1" t="s">
        <v>16579</v>
      </c>
      <c r="F5548" s="1" t="s">
        <v>2128</v>
      </c>
      <c r="G5548" s="1" t="s">
        <v>2128</v>
      </c>
      <c r="H5548" s="1" t="s">
        <v>30</v>
      </c>
      <c r="I5548" s="1" t="s">
        <v>16</v>
      </c>
      <c r="J5548" s="1">
        <v>1</v>
      </c>
      <c r="K5548" s="1">
        <v>12</v>
      </c>
      <c r="L5548" s="1" t="s">
        <v>42</v>
      </c>
      <c r="M5548" s="1" t="s">
        <v>18</v>
      </c>
      <c r="N5548" s="1" t="s">
        <v>18</v>
      </c>
      <c r="O5548" s="1">
        <v>3</v>
      </c>
      <c r="P5548" s="1">
        <v>7</v>
      </c>
      <c r="Q5548" s="7" t="s">
        <v>17633</v>
      </c>
      <c r="R5548" s="1" t="s">
        <v>62</v>
      </c>
      <c r="S5548" s="1" t="s">
        <v>20</v>
      </c>
      <c r="T5548" s="1" t="s">
        <v>21</v>
      </c>
      <c r="U5548" s="1" t="s">
        <v>22</v>
      </c>
      <c r="V5548" s="1" t="s">
        <v>23</v>
      </c>
      <c r="W5548" s="1" t="s">
        <v>24</v>
      </c>
      <c r="X5548" s="1">
        <v>2735</v>
      </c>
      <c r="Y5548" s="1" t="s">
        <v>24</v>
      </c>
      <c r="Z5548" s="1" t="s">
        <v>24</v>
      </c>
      <c r="AA5548" s="1" t="s">
        <v>24</v>
      </c>
      <c r="AB5548" s="1" t="s">
        <v>24</v>
      </c>
      <c r="AC5548" s="1" t="s">
        <v>24</v>
      </c>
      <c r="AD5548" s="1" t="s">
        <v>24</v>
      </c>
      <c r="AE5548" s="1" t="s">
        <v>24</v>
      </c>
      <c r="AF5548" s="22"/>
    </row>
    <row r="5549" spans="1:32" x14ac:dyDescent="0.2">
      <c r="A5549" s="1">
        <v>54001</v>
      </c>
      <c r="B5549" s="1" t="s">
        <v>16580</v>
      </c>
      <c r="C5549" s="5" t="s">
        <v>0</v>
      </c>
      <c r="D5549" s="1" t="s">
        <v>16581</v>
      </c>
      <c r="F5549" s="1" t="s">
        <v>2128</v>
      </c>
      <c r="G5549" s="1" t="s">
        <v>2128</v>
      </c>
      <c r="H5549" s="1" t="s">
        <v>30</v>
      </c>
      <c r="I5549" s="1" t="s">
        <v>16</v>
      </c>
      <c r="J5549" s="1">
        <v>1</v>
      </c>
      <c r="K5549" s="1">
        <v>12</v>
      </c>
      <c r="L5549" s="1" t="s">
        <v>42</v>
      </c>
      <c r="M5549" s="1" t="s">
        <v>18</v>
      </c>
      <c r="N5549" s="1" t="s">
        <v>18</v>
      </c>
      <c r="O5549" s="1">
        <v>3</v>
      </c>
      <c r="P5549" s="1">
        <v>6</v>
      </c>
      <c r="R5549" s="1" t="s">
        <v>62</v>
      </c>
      <c r="S5549" s="1" t="s">
        <v>20</v>
      </c>
      <c r="T5549" s="1" t="s">
        <v>21</v>
      </c>
      <c r="U5549" s="1" t="s">
        <v>22</v>
      </c>
      <c r="V5549" s="1" t="s">
        <v>24</v>
      </c>
      <c r="W5549" s="1" t="s">
        <v>24</v>
      </c>
      <c r="X5549" s="1">
        <v>1201</v>
      </c>
      <c r="Y5549" s="1">
        <v>2738</v>
      </c>
      <c r="Z5549" s="1" t="s">
        <v>24</v>
      </c>
      <c r="AA5549" s="1" t="s">
        <v>24</v>
      </c>
      <c r="AB5549" s="1" t="s">
        <v>24</v>
      </c>
      <c r="AC5549" s="1" t="s">
        <v>24</v>
      </c>
      <c r="AD5549" s="1" t="s">
        <v>24</v>
      </c>
      <c r="AE5549" s="1" t="s">
        <v>24</v>
      </c>
      <c r="AF5549" s="22"/>
    </row>
    <row r="5550" spans="1:32" x14ac:dyDescent="0.2">
      <c r="A5550" s="1">
        <v>54002</v>
      </c>
      <c r="B5550" s="1" t="s">
        <v>16582</v>
      </c>
      <c r="C5550" s="5" t="s">
        <v>0</v>
      </c>
      <c r="D5550" s="1" t="s">
        <v>16583</v>
      </c>
      <c r="F5550" s="1" t="s">
        <v>2128</v>
      </c>
      <c r="G5550" s="1" t="s">
        <v>2128</v>
      </c>
      <c r="H5550" s="1" t="s">
        <v>30</v>
      </c>
      <c r="I5550" s="1" t="s">
        <v>16</v>
      </c>
      <c r="J5550" s="1">
        <v>1</v>
      </c>
      <c r="K5550" s="1">
        <v>12</v>
      </c>
      <c r="L5550" s="1" t="s">
        <v>42</v>
      </c>
      <c r="M5550" s="1" t="s">
        <v>18</v>
      </c>
      <c r="N5550" s="1" t="s">
        <v>18</v>
      </c>
      <c r="O5550" s="1">
        <v>3</v>
      </c>
      <c r="P5550" s="1">
        <v>7</v>
      </c>
      <c r="Q5550" s="7" t="s">
        <v>17633</v>
      </c>
      <c r="R5550" s="1" t="s">
        <v>62</v>
      </c>
      <c r="S5550" s="1" t="s">
        <v>20</v>
      </c>
      <c r="T5550" s="1" t="s">
        <v>21</v>
      </c>
      <c r="U5550" s="1" t="s">
        <v>22</v>
      </c>
      <c r="V5550" s="1" t="s">
        <v>24</v>
      </c>
      <c r="W5550" s="1" t="s">
        <v>24</v>
      </c>
      <c r="X5550" s="1">
        <v>2746</v>
      </c>
      <c r="Y5550" s="1" t="s">
        <v>24</v>
      </c>
      <c r="Z5550" s="1" t="s">
        <v>24</v>
      </c>
      <c r="AA5550" s="1" t="s">
        <v>24</v>
      </c>
      <c r="AB5550" s="1" t="s">
        <v>24</v>
      </c>
      <c r="AC5550" s="1" t="s">
        <v>24</v>
      </c>
      <c r="AD5550" s="1" t="s">
        <v>24</v>
      </c>
      <c r="AE5550" s="1" t="s">
        <v>24</v>
      </c>
      <c r="AF5550" s="22"/>
    </row>
    <row r="5551" spans="1:32" x14ac:dyDescent="0.2">
      <c r="A5551" s="1">
        <v>54019</v>
      </c>
      <c r="B5551" s="1" t="s">
        <v>16584</v>
      </c>
      <c r="C5551" s="5" t="s">
        <v>0</v>
      </c>
      <c r="D5551" s="1" t="s">
        <v>16585</v>
      </c>
      <c r="E5551" s="1" t="s">
        <v>16586</v>
      </c>
      <c r="F5551" s="1" t="s">
        <v>4553</v>
      </c>
      <c r="G5551" s="1" t="s">
        <v>4553</v>
      </c>
      <c r="H5551" s="1" t="s">
        <v>1957</v>
      </c>
      <c r="I5551" s="1" t="s">
        <v>16</v>
      </c>
      <c r="J5551" s="1">
        <v>1</v>
      </c>
      <c r="K5551" s="1">
        <v>2</v>
      </c>
      <c r="L5551" s="1" t="s">
        <v>42</v>
      </c>
      <c r="M5551" s="1" t="s">
        <v>18</v>
      </c>
      <c r="N5551" s="1" t="s">
        <v>18</v>
      </c>
      <c r="O5551" s="1">
        <v>3</v>
      </c>
      <c r="P5551" s="1">
        <v>6</v>
      </c>
      <c r="R5551" s="1" t="s">
        <v>19</v>
      </c>
      <c r="S5551" s="1" t="s">
        <v>20</v>
      </c>
      <c r="T5551" s="1" t="s">
        <v>21</v>
      </c>
      <c r="U5551" s="1" t="s">
        <v>22</v>
      </c>
      <c r="V5551" s="1" t="s">
        <v>24</v>
      </c>
      <c r="W5551" s="1" t="s">
        <v>24</v>
      </c>
      <c r="X5551" s="1">
        <v>2405</v>
      </c>
      <c r="Y5551" s="1">
        <v>2725</v>
      </c>
      <c r="Z5551" s="1" t="s">
        <v>24</v>
      </c>
      <c r="AA5551" s="1" t="s">
        <v>24</v>
      </c>
      <c r="AB5551" s="1" t="s">
        <v>24</v>
      </c>
      <c r="AC5551" s="1" t="s">
        <v>24</v>
      </c>
      <c r="AD5551" s="1" t="s">
        <v>24</v>
      </c>
      <c r="AE5551" s="1" t="s">
        <v>24</v>
      </c>
      <c r="AF5551" s="22"/>
    </row>
    <row r="5552" spans="1:32" x14ac:dyDescent="0.2">
      <c r="A5552" s="1">
        <v>54307</v>
      </c>
      <c r="B5552" s="1" t="s">
        <v>16587</v>
      </c>
      <c r="C5552" s="5" t="s">
        <v>0</v>
      </c>
      <c r="D5552" s="1" t="s">
        <v>16588</v>
      </c>
      <c r="E5552" s="1" t="s">
        <v>16589</v>
      </c>
      <c r="F5552" s="1" t="s">
        <v>6914</v>
      </c>
      <c r="G5552" s="1" t="s">
        <v>6915</v>
      </c>
      <c r="H5552" s="1" t="s">
        <v>37</v>
      </c>
      <c r="I5552" s="1" t="s">
        <v>16</v>
      </c>
      <c r="J5552" s="1">
        <v>1</v>
      </c>
      <c r="K5552" s="1">
        <v>12</v>
      </c>
      <c r="L5552" s="1" t="s">
        <v>31</v>
      </c>
      <c r="M5552" s="1" t="s">
        <v>18</v>
      </c>
      <c r="N5552" s="1" t="s">
        <v>18</v>
      </c>
      <c r="O5552" s="1">
        <v>3</v>
      </c>
      <c r="P5552" s="1">
        <v>7</v>
      </c>
      <c r="Q5552" s="7" t="s">
        <v>17633</v>
      </c>
      <c r="R5552" s="1" t="s">
        <v>19</v>
      </c>
      <c r="S5552" s="1" t="s">
        <v>20</v>
      </c>
      <c r="T5552" s="1" t="s">
        <v>21</v>
      </c>
      <c r="U5552" s="1" t="s">
        <v>22</v>
      </c>
      <c r="V5552" s="1" t="s">
        <v>24</v>
      </c>
      <c r="W5552" s="1" t="s">
        <v>24</v>
      </c>
      <c r="X5552" s="1">
        <v>2500</v>
      </c>
      <c r="Y5552" s="1">
        <v>2204</v>
      </c>
      <c r="Z5552" s="1" t="s">
        <v>24</v>
      </c>
      <c r="AA5552" s="1" t="s">
        <v>24</v>
      </c>
      <c r="AB5552" s="1" t="s">
        <v>24</v>
      </c>
      <c r="AC5552" s="1" t="s">
        <v>24</v>
      </c>
      <c r="AD5552" s="1" t="s">
        <v>24</v>
      </c>
      <c r="AE5552" s="1" t="s">
        <v>24</v>
      </c>
      <c r="AF5552" s="22"/>
    </row>
    <row r="5553" spans="1:32" x14ac:dyDescent="0.2">
      <c r="A5553" s="1">
        <v>54358</v>
      </c>
      <c r="B5553" s="1" t="s">
        <v>16590</v>
      </c>
      <c r="C5553" s="5" t="s">
        <v>0</v>
      </c>
      <c r="E5553" s="1" t="s">
        <v>16591</v>
      </c>
      <c r="F5553" s="1" t="s">
        <v>315</v>
      </c>
      <c r="G5553" s="1" t="s">
        <v>316</v>
      </c>
      <c r="H5553" s="1" t="s">
        <v>37</v>
      </c>
      <c r="I5553" s="1" t="s">
        <v>16</v>
      </c>
      <c r="J5553" s="1">
        <v>1</v>
      </c>
      <c r="K5553" s="1">
        <v>1</v>
      </c>
      <c r="L5553" s="1" t="s">
        <v>31</v>
      </c>
      <c r="M5553" s="1" t="s">
        <v>18</v>
      </c>
      <c r="N5553" s="1" t="s">
        <v>18</v>
      </c>
      <c r="O5553" s="1">
        <v>3</v>
      </c>
      <c r="P5553" s="1">
        <v>7</v>
      </c>
      <c r="Q5553" s="7" t="s">
        <v>17633</v>
      </c>
      <c r="R5553" s="1" t="s">
        <v>19</v>
      </c>
      <c r="S5553" s="1" t="s">
        <v>63</v>
      </c>
      <c r="T5553" s="1" t="s">
        <v>21</v>
      </c>
      <c r="U5553" s="1" t="s">
        <v>22</v>
      </c>
      <c r="V5553" s="1" t="s">
        <v>24</v>
      </c>
      <c r="W5553" s="1" t="s">
        <v>24</v>
      </c>
      <c r="X5553" s="1">
        <v>2725</v>
      </c>
      <c r="Y5553" s="1">
        <v>2713</v>
      </c>
      <c r="Z5553" s="1">
        <v>3002</v>
      </c>
      <c r="AA5553" s="1">
        <v>2403</v>
      </c>
      <c r="AB5553" s="1">
        <v>2404</v>
      </c>
      <c r="AC5553" s="1">
        <v>2405</v>
      </c>
      <c r="AD5553" s="1">
        <v>2406</v>
      </c>
      <c r="AE5553" s="1" t="s">
        <v>24</v>
      </c>
      <c r="AF5553" s="22"/>
    </row>
    <row r="5554" spans="1:32" x14ac:dyDescent="0.2">
      <c r="A5554" s="1">
        <v>54361</v>
      </c>
      <c r="B5554" s="1" t="s">
        <v>16592</v>
      </c>
      <c r="C5554" s="5" t="s">
        <v>0</v>
      </c>
      <c r="E5554" s="1" t="s">
        <v>16593</v>
      </c>
      <c r="F5554" s="1" t="s">
        <v>15614</v>
      </c>
      <c r="G5554" s="1" t="s">
        <v>15614</v>
      </c>
      <c r="H5554" s="1" t="s">
        <v>111</v>
      </c>
      <c r="I5554" s="1" t="s">
        <v>16</v>
      </c>
      <c r="J5554" s="1">
        <v>1</v>
      </c>
      <c r="K5554" s="1">
        <v>1</v>
      </c>
      <c r="L5554" s="1" t="s">
        <v>42</v>
      </c>
      <c r="M5554" s="1" t="s">
        <v>18</v>
      </c>
      <c r="N5554" s="1" t="s">
        <v>18</v>
      </c>
      <c r="O5554" s="1">
        <v>1</v>
      </c>
      <c r="P5554" s="1">
        <v>1</v>
      </c>
      <c r="R5554" s="1" t="s">
        <v>19</v>
      </c>
      <c r="S5554" s="1" t="s">
        <v>63</v>
      </c>
      <c r="T5554" s="1" t="s">
        <v>21</v>
      </c>
      <c r="U5554" s="1" t="s">
        <v>22</v>
      </c>
      <c r="V5554" s="1" t="s">
        <v>24</v>
      </c>
      <c r="W5554" s="1" t="s">
        <v>24</v>
      </c>
      <c r="X5554" s="1">
        <v>2712</v>
      </c>
      <c r="Y5554" s="1" t="s">
        <v>24</v>
      </c>
      <c r="Z5554" s="1" t="s">
        <v>24</v>
      </c>
      <c r="AA5554" s="1" t="s">
        <v>24</v>
      </c>
      <c r="AB5554" s="1" t="s">
        <v>24</v>
      </c>
      <c r="AC5554" s="1" t="s">
        <v>24</v>
      </c>
      <c r="AD5554" s="1" t="s">
        <v>24</v>
      </c>
      <c r="AE5554" s="1" t="s">
        <v>24</v>
      </c>
      <c r="AF5554" s="22" t="s">
        <v>17673</v>
      </c>
    </row>
    <row r="5555" spans="1:32" x14ac:dyDescent="0.2">
      <c r="A5555" s="1">
        <v>54363</v>
      </c>
      <c r="B5555" s="1" t="s">
        <v>16594</v>
      </c>
      <c r="C5555" s="5" t="s">
        <v>0</v>
      </c>
      <c r="E5555" s="1" t="s">
        <v>16595</v>
      </c>
      <c r="F5555" s="1" t="s">
        <v>15614</v>
      </c>
      <c r="G5555" s="1" t="s">
        <v>15614</v>
      </c>
      <c r="H5555" s="1" t="s">
        <v>111</v>
      </c>
      <c r="I5555" s="1" t="s">
        <v>16</v>
      </c>
      <c r="J5555" s="1">
        <v>1</v>
      </c>
      <c r="K5555" s="1">
        <v>1</v>
      </c>
      <c r="L5555" s="1" t="s">
        <v>42</v>
      </c>
      <c r="M5555" s="1" t="s">
        <v>18</v>
      </c>
      <c r="N5555" s="1" t="s">
        <v>18</v>
      </c>
      <c r="O5555" s="1">
        <v>1</v>
      </c>
      <c r="P5555" s="1">
        <v>1</v>
      </c>
      <c r="R5555" s="1" t="s">
        <v>19</v>
      </c>
      <c r="S5555" s="1" t="s">
        <v>63</v>
      </c>
      <c r="T5555" s="1" t="s">
        <v>21</v>
      </c>
      <c r="U5555" s="1" t="s">
        <v>22</v>
      </c>
      <c r="V5555" s="1" t="s">
        <v>24</v>
      </c>
      <c r="W5555" s="1" t="s">
        <v>24</v>
      </c>
      <c r="X5555" s="1">
        <v>2403</v>
      </c>
      <c r="Y5555" s="1">
        <v>2723</v>
      </c>
      <c r="Z5555" s="1" t="s">
        <v>24</v>
      </c>
      <c r="AA5555" s="1" t="s">
        <v>24</v>
      </c>
      <c r="AB5555" s="1" t="s">
        <v>24</v>
      </c>
      <c r="AC5555" s="1" t="s">
        <v>24</v>
      </c>
      <c r="AD5555" s="1" t="s">
        <v>24</v>
      </c>
      <c r="AE5555" s="1" t="s">
        <v>24</v>
      </c>
      <c r="AF5555" s="22" t="s">
        <v>17673</v>
      </c>
    </row>
    <row r="5556" spans="1:32" x14ac:dyDescent="0.2">
      <c r="A5556" s="1">
        <v>54377</v>
      </c>
      <c r="B5556" s="1" t="s">
        <v>16596</v>
      </c>
      <c r="C5556" s="5" t="s">
        <v>0</v>
      </c>
      <c r="D5556" s="1" t="s">
        <v>16597</v>
      </c>
      <c r="E5556" s="1" t="s">
        <v>16598</v>
      </c>
      <c r="F5556" s="1" t="s">
        <v>1278</v>
      </c>
      <c r="G5556" s="1" t="s">
        <v>1279</v>
      </c>
      <c r="H5556" s="1" t="s">
        <v>30</v>
      </c>
      <c r="I5556" s="1" t="s">
        <v>16</v>
      </c>
      <c r="J5556" s="1">
        <v>1</v>
      </c>
      <c r="K5556" s="1">
        <v>4</v>
      </c>
      <c r="L5556" s="1" t="s">
        <v>42</v>
      </c>
      <c r="M5556" s="1" t="s">
        <v>18</v>
      </c>
      <c r="N5556" s="1" t="s">
        <v>18</v>
      </c>
      <c r="O5556" s="1">
        <v>2</v>
      </c>
      <c r="P5556" s="1">
        <v>7</v>
      </c>
      <c r="Q5556" s="7" t="s">
        <v>17633</v>
      </c>
      <c r="R5556" s="1" t="s">
        <v>19</v>
      </c>
      <c r="S5556" s="1" t="s">
        <v>20</v>
      </c>
      <c r="T5556" s="1" t="s">
        <v>21</v>
      </c>
      <c r="V5556" s="1" t="s">
        <v>23</v>
      </c>
      <c r="W5556" s="1" t="s">
        <v>24</v>
      </c>
      <c r="X5556" s="1">
        <v>1301</v>
      </c>
      <c r="Y5556" s="1">
        <v>1501</v>
      </c>
      <c r="Z5556" s="1">
        <v>2701</v>
      </c>
      <c r="AA5556" s="1" t="s">
        <v>24</v>
      </c>
      <c r="AB5556" s="1" t="s">
        <v>24</v>
      </c>
      <c r="AC5556" s="1" t="s">
        <v>24</v>
      </c>
      <c r="AD5556" s="1" t="s">
        <v>24</v>
      </c>
      <c r="AE5556" s="1" t="s">
        <v>24</v>
      </c>
      <c r="AF5556" s="22"/>
    </row>
    <row r="5557" spans="1:32" x14ac:dyDescent="0.2">
      <c r="A5557" s="1">
        <v>54378</v>
      </c>
      <c r="B5557" s="1" t="s">
        <v>16599</v>
      </c>
      <c r="C5557" s="5" t="s">
        <v>0</v>
      </c>
      <c r="D5557" s="1" t="s">
        <v>16600</v>
      </c>
      <c r="E5557" s="1" t="s">
        <v>16601</v>
      </c>
      <c r="F5557" s="1" t="s">
        <v>1278</v>
      </c>
      <c r="G5557" s="1" t="s">
        <v>1279</v>
      </c>
      <c r="H5557" s="1" t="s">
        <v>30</v>
      </c>
      <c r="I5557" s="1" t="s">
        <v>16</v>
      </c>
      <c r="J5557" s="1">
        <v>1</v>
      </c>
      <c r="K5557" s="1">
        <v>4</v>
      </c>
      <c r="L5557" s="1" t="s">
        <v>42</v>
      </c>
      <c r="M5557" s="1" t="s">
        <v>18</v>
      </c>
      <c r="N5557" s="1" t="s">
        <v>18</v>
      </c>
      <c r="O5557" s="1">
        <v>2</v>
      </c>
      <c r="P5557" s="1">
        <v>7</v>
      </c>
      <c r="Q5557" s="7" t="s">
        <v>17633</v>
      </c>
      <c r="R5557" s="1" t="s">
        <v>19</v>
      </c>
      <c r="S5557" s="1" t="s">
        <v>20</v>
      </c>
      <c r="T5557" s="1" t="s">
        <v>21</v>
      </c>
      <c r="V5557" s="1" t="s">
        <v>24</v>
      </c>
      <c r="W5557" s="1" t="s">
        <v>24</v>
      </c>
      <c r="X5557" s="1">
        <v>1304</v>
      </c>
      <c r="Y5557" s="1">
        <v>2702</v>
      </c>
      <c r="Z5557" s="1">
        <v>2737</v>
      </c>
      <c r="AA5557" s="1" t="s">
        <v>24</v>
      </c>
      <c r="AB5557" s="1" t="s">
        <v>24</v>
      </c>
      <c r="AC5557" s="1" t="s">
        <v>24</v>
      </c>
      <c r="AD5557" s="1" t="s">
        <v>24</v>
      </c>
      <c r="AE5557" s="1" t="s">
        <v>24</v>
      </c>
      <c r="AF5557" s="22"/>
    </row>
    <row r="5558" spans="1:32" x14ac:dyDescent="0.2">
      <c r="A5558" s="1">
        <v>54379</v>
      </c>
      <c r="B5558" s="1" t="s">
        <v>16602</v>
      </c>
      <c r="C5558" s="5" t="s">
        <v>0</v>
      </c>
      <c r="D5558" s="1" t="s">
        <v>16603</v>
      </c>
      <c r="E5558" s="1" t="s">
        <v>16604</v>
      </c>
      <c r="F5558" s="1" t="s">
        <v>1278</v>
      </c>
      <c r="G5558" s="1" t="s">
        <v>1279</v>
      </c>
      <c r="H5558" s="1" t="s">
        <v>30</v>
      </c>
      <c r="I5558" s="1" t="s">
        <v>16</v>
      </c>
      <c r="J5558" s="1">
        <v>1</v>
      </c>
      <c r="K5558" s="1">
        <v>2</v>
      </c>
      <c r="L5558" s="1" t="s">
        <v>42</v>
      </c>
      <c r="M5558" s="1" t="s">
        <v>18</v>
      </c>
      <c r="N5558" s="1" t="s">
        <v>18</v>
      </c>
      <c r="O5558" s="1">
        <v>2</v>
      </c>
      <c r="P5558" s="1">
        <v>7</v>
      </c>
      <c r="Q5558" s="7" t="s">
        <v>17633</v>
      </c>
      <c r="R5558" s="1" t="s">
        <v>19</v>
      </c>
      <c r="S5558" s="1" t="s">
        <v>20</v>
      </c>
      <c r="T5558" s="1" t="s">
        <v>21</v>
      </c>
      <c r="V5558" s="1" t="s">
        <v>23</v>
      </c>
      <c r="W5558" s="1" t="s">
        <v>24</v>
      </c>
      <c r="X5558" s="1">
        <v>2728</v>
      </c>
      <c r="Y5558" s="1">
        <v>2734</v>
      </c>
      <c r="Z5558" s="1">
        <v>2722</v>
      </c>
      <c r="AA5558" s="1">
        <v>2807</v>
      </c>
      <c r="AB5558" s="1" t="s">
        <v>24</v>
      </c>
      <c r="AC5558" s="1" t="s">
        <v>24</v>
      </c>
      <c r="AD5558" s="1" t="s">
        <v>24</v>
      </c>
      <c r="AE5558" s="1" t="s">
        <v>24</v>
      </c>
      <c r="AF5558" s="22"/>
    </row>
    <row r="5559" spans="1:32" x14ac:dyDescent="0.2">
      <c r="A5559" s="1">
        <v>54380</v>
      </c>
      <c r="B5559" s="1" t="s">
        <v>16605</v>
      </c>
      <c r="C5559" s="5" t="s">
        <v>0</v>
      </c>
      <c r="D5559" s="1" t="s">
        <v>16606</v>
      </c>
      <c r="E5559" s="1" t="s">
        <v>16607</v>
      </c>
      <c r="F5559" s="1" t="s">
        <v>6405</v>
      </c>
      <c r="G5559" s="1" t="s">
        <v>6406</v>
      </c>
      <c r="H5559" s="1" t="s">
        <v>92</v>
      </c>
      <c r="I5559" s="1" t="s">
        <v>16</v>
      </c>
      <c r="J5559" s="1">
        <v>1</v>
      </c>
      <c r="K5559" s="1">
        <v>3</v>
      </c>
      <c r="L5559" s="1" t="s">
        <v>31</v>
      </c>
      <c r="M5559" s="1" t="s">
        <v>18</v>
      </c>
      <c r="N5559" s="1" t="s">
        <v>18</v>
      </c>
      <c r="O5559" s="1">
        <v>3</v>
      </c>
      <c r="P5559" s="1">
        <v>7</v>
      </c>
      <c r="Q5559" s="7" t="s">
        <v>17633</v>
      </c>
      <c r="R5559" s="1" t="s">
        <v>19</v>
      </c>
      <c r="S5559" s="1" t="s">
        <v>20</v>
      </c>
      <c r="T5559" s="1" t="s">
        <v>21</v>
      </c>
      <c r="V5559" s="1" t="s">
        <v>24</v>
      </c>
      <c r="W5559" s="1" t="s">
        <v>24</v>
      </c>
      <c r="X5559" s="1">
        <v>2732</v>
      </c>
      <c r="Y5559" s="1">
        <v>2711</v>
      </c>
      <c r="Z5559" s="1" t="s">
        <v>24</v>
      </c>
      <c r="AA5559" s="1" t="s">
        <v>24</v>
      </c>
      <c r="AB5559" s="1" t="s">
        <v>24</v>
      </c>
      <c r="AC5559" s="1" t="s">
        <v>24</v>
      </c>
      <c r="AD5559" s="1" t="s">
        <v>24</v>
      </c>
      <c r="AE5559" s="1" t="s">
        <v>24</v>
      </c>
      <c r="AF5559" s="22"/>
    </row>
    <row r="5560" spans="1:32" x14ac:dyDescent="0.2">
      <c r="A5560" s="1">
        <v>54381</v>
      </c>
      <c r="B5560" s="1" t="s">
        <v>16608</v>
      </c>
      <c r="C5560" s="5" t="s">
        <v>0</v>
      </c>
      <c r="D5560" s="1" t="s">
        <v>16609</v>
      </c>
      <c r="E5560" s="1" t="s">
        <v>16610</v>
      </c>
      <c r="F5560" s="1" t="s">
        <v>6405</v>
      </c>
      <c r="G5560" s="1" t="s">
        <v>6406</v>
      </c>
      <c r="H5560" s="1" t="s">
        <v>92</v>
      </c>
      <c r="I5560" s="1" t="s">
        <v>16</v>
      </c>
      <c r="J5560" s="1">
        <v>1</v>
      </c>
      <c r="K5560" s="1">
        <v>3</v>
      </c>
      <c r="L5560" s="1" t="s">
        <v>31</v>
      </c>
      <c r="M5560" s="1" t="s">
        <v>18</v>
      </c>
      <c r="N5560" s="1" t="s">
        <v>18</v>
      </c>
      <c r="O5560" s="1">
        <v>3</v>
      </c>
      <c r="P5560" s="1">
        <v>7</v>
      </c>
      <c r="Q5560" s="7" t="s">
        <v>17633</v>
      </c>
      <c r="R5560" s="1" t="s">
        <v>19</v>
      </c>
      <c r="S5560" s="1" t="s">
        <v>20</v>
      </c>
      <c r="T5560" s="1" t="s">
        <v>21</v>
      </c>
      <c r="V5560" s="1" t="s">
        <v>24</v>
      </c>
      <c r="W5560" s="1" t="s">
        <v>24</v>
      </c>
      <c r="X5560" s="1">
        <v>1313</v>
      </c>
      <c r="Y5560" s="1">
        <v>1312</v>
      </c>
      <c r="Z5560" s="1" t="s">
        <v>24</v>
      </c>
      <c r="AA5560" s="1" t="s">
        <v>24</v>
      </c>
      <c r="AB5560" s="1" t="s">
        <v>24</v>
      </c>
      <c r="AC5560" s="1" t="s">
        <v>24</v>
      </c>
      <c r="AD5560" s="1" t="s">
        <v>24</v>
      </c>
      <c r="AE5560" s="1" t="s">
        <v>24</v>
      </c>
      <c r="AF5560" s="22"/>
    </row>
    <row r="5561" spans="1:32" x14ac:dyDescent="0.2">
      <c r="A5561" s="1">
        <v>54382</v>
      </c>
      <c r="B5561" s="1" t="s">
        <v>16611</v>
      </c>
      <c r="C5561" s="5" t="s">
        <v>0</v>
      </c>
      <c r="D5561" s="1" t="s">
        <v>16612</v>
      </c>
      <c r="E5561" s="1" t="s">
        <v>16613</v>
      </c>
      <c r="F5561" s="1" t="s">
        <v>6405</v>
      </c>
      <c r="G5561" s="1" t="s">
        <v>6406</v>
      </c>
      <c r="H5561" s="1" t="s">
        <v>92</v>
      </c>
      <c r="I5561" s="1" t="s">
        <v>16</v>
      </c>
      <c r="J5561" s="1">
        <v>1</v>
      </c>
      <c r="K5561" s="1">
        <v>3</v>
      </c>
      <c r="L5561" s="1" t="s">
        <v>31</v>
      </c>
      <c r="M5561" s="1" t="s">
        <v>18</v>
      </c>
      <c r="N5561" s="1" t="s">
        <v>18</v>
      </c>
      <c r="O5561" s="1">
        <v>3</v>
      </c>
      <c r="P5561" s="1">
        <v>7</v>
      </c>
      <c r="Q5561" s="7" t="s">
        <v>17633</v>
      </c>
      <c r="R5561" s="1" t="s">
        <v>19</v>
      </c>
      <c r="S5561" s="1" t="s">
        <v>20</v>
      </c>
      <c r="T5561" s="1" t="s">
        <v>21</v>
      </c>
      <c r="V5561" s="1" t="s">
        <v>24</v>
      </c>
      <c r="W5561" s="1" t="s">
        <v>24</v>
      </c>
      <c r="X5561" s="1">
        <v>2718</v>
      </c>
      <c r="Y5561" s="1">
        <v>3605</v>
      </c>
      <c r="Z5561" s="1" t="s">
        <v>24</v>
      </c>
      <c r="AA5561" s="1" t="s">
        <v>24</v>
      </c>
      <c r="AB5561" s="1" t="s">
        <v>24</v>
      </c>
      <c r="AC5561" s="1" t="s">
        <v>24</v>
      </c>
      <c r="AD5561" s="1" t="s">
        <v>24</v>
      </c>
      <c r="AE5561" s="1" t="s">
        <v>24</v>
      </c>
      <c r="AF5561" s="22"/>
    </row>
    <row r="5562" spans="1:32" x14ac:dyDescent="0.2">
      <c r="A5562" s="1">
        <v>54383</v>
      </c>
      <c r="B5562" s="1" t="s">
        <v>16614</v>
      </c>
      <c r="C5562" s="5" t="s">
        <v>0</v>
      </c>
      <c r="E5562" s="1" t="s">
        <v>16615</v>
      </c>
      <c r="F5562" s="1" t="s">
        <v>2299</v>
      </c>
      <c r="G5562" s="1" t="s">
        <v>2300</v>
      </c>
      <c r="H5562" s="1" t="s">
        <v>37</v>
      </c>
      <c r="I5562" s="1" t="s">
        <v>16</v>
      </c>
      <c r="J5562" s="1">
        <v>1</v>
      </c>
      <c r="K5562" s="1">
        <v>1</v>
      </c>
      <c r="L5562" s="1" t="s">
        <v>31</v>
      </c>
      <c r="M5562" s="1" t="s">
        <v>18</v>
      </c>
      <c r="N5562" s="1" t="s">
        <v>18</v>
      </c>
      <c r="O5562" s="1">
        <v>3</v>
      </c>
      <c r="P5562" s="1">
        <v>7</v>
      </c>
      <c r="Q5562" s="7" t="s">
        <v>17633</v>
      </c>
      <c r="R5562" s="1" t="s">
        <v>19</v>
      </c>
      <c r="S5562" s="1" t="s">
        <v>20</v>
      </c>
      <c r="T5562" s="1" t="s">
        <v>21</v>
      </c>
      <c r="U5562" s="1" t="s">
        <v>22</v>
      </c>
      <c r="V5562" s="1" t="s">
        <v>24</v>
      </c>
      <c r="W5562" s="1" t="s">
        <v>24</v>
      </c>
      <c r="X5562" s="1">
        <v>2738</v>
      </c>
      <c r="Y5562" s="1">
        <v>2803</v>
      </c>
      <c r="Z5562" s="1" t="s">
        <v>24</v>
      </c>
      <c r="AA5562" s="1" t="s">
        <v>24</v>
      </c>
      <c r="AB5562" s="1" t="s">
        <v>24</v>
      </c>
      <c r="AC5562" s="1" t="s">
        <v>24</v>
      </c>
      <c r="AD5562" s="1" t="s">
        <v>24</v>
      </c>
      <c r="AE5562" s="1" t="s">
        <v>24</v>
      </c>
      <c r="AF5562" s="22"/>
    </row>
    <row r="5563" spans="1:32" x14ac:dyDescent="0.2">
      <c r="A5563" s="1">
        <v>54384</v>
      </c>
      <c r="B5563" s="1" t="s">
        <v>16616</v>
      </c>
      <c r="C5563" s="5" t="s">
        <v>0</v>
      </c>
      <c r="D5563" s="1" t="s">
        <v>16617</v>
      </c>
      <c r="E5563" s="1" t="s">
        <v>16618</v>
      </c>
      <c r="F5563" s="1" t="s">
        <v>2299</v>
      </c>
      <c r="G5563" s="1" t="s">
        <v>2300</v>
      </c>
      <c r="H5563" s="1" t="s">
        <v>37</v>
      </c>
      <c r="I5563" s="1" t="s">
        <v>16</v>
      </c>
      <c r="J5563" s="1">
        <v>1</v>
      </c>
      <c r="K5563" s="1">
        <v>12</v>
      </c>
      <c r="L5563" s="1" t="s">
        <v>31</v>
      </c>
      <c r="M5563" s="1" t="s">
        <v>18</v>
      </c>
      <c r="N5563" s="1" t="s">
        <v>18</v>
      </c>
      <c r="O5563" s="1">
        <v>3</v>
      </c>
      <c r="P5563" s="1">
        <v>7</v>
      </c>
      <c r="Q5563" s="7" t="s">
        <v>17633</v>
      </c>
      <c r="R5563" s="1" t="s">
        <v>19</v>
      </c>
      <c r="S5563" s="1" t="s">
        <v>63</v>
      </c>
      <c r="T5563" s="1" t="s">
        <v>21</v>
      </c>
      <c r="V5563" s="1" t="s">
        <v>23</v>
      </c>
      <c r="W5563" s="1" t="s">
        <v>24</v>
      </c>
      <c r="X5563" s="1">
        <v>1310</v>
      </c>
      <c r="Y5563" s="1">
        <v>2712</v>
      </c>
      <c r="Z5563" s="1">
        <v>2735</v>
      </c>
      <c r="AA5563" s="1" t="s">
        <v>24</v>
      </c>
      <c r="AB5563" s="1" t="s">
        <v>24</v>
      </c>
      <c r="AC5563" s="1" t="s">
        <v>24</v>
      </c>
      <c r="AD5563" s="1" t="s">
        <v>24</v>
      </c>
      <c r="AE5563" s="1" t="s">
        <v>24</v>
      </c>
      <c r="AF5563" s="22"/>
    </row>
    <row r="5564" spans="1:32" x14ac:dyDescent="0.2">
      <c r="A5564" s="1">
        <v>54385</v>
      </c>
      <c r="B5564" s="1" t="s">
        <v>16619</v>
      </c>
      <c r="C5564" s="5" t="s">
        <v>0</v>
      </c>
      <c r="E5564" s="1" t="s">
        <v>16620</v>
      </c>
      <c r="F5564" s="1" t="s">
        <v>2299</v>
      </c>
      <c r="G5564" s="1" t="s">
        <v>2300</v>
      </c>
      <c r="H5564" s="1" t="s">
        <v>37</v>
      </c>
      <c r="I5564" s="1" t="s">
        <v>16</v>
      </c>
      <c r="J5564" s="1">
        <v>1</v>
      </c>
      <c r="K5564" s="1">
        <v>1</v>
      </c>
      <c r="L5564" s="1" t="s">
        <v>31</v>
      </c>
      <c r="M5564" s="1" t="s">
        <v>18</v>
      </c>
      <c r="N5564" s="1" t="s">
        <v>18</v>
      </c>
      <c r="O5564" s="1">
        <v>3</v>
      </c>
      <c r="P5564" s="1">
        <v>7</v>
      </c>
      <c r="Q5564" s="7" t="s">
        <v>17633</v>
      </c>
      <c r="R5564" s="1" t="s">
        <v>19</v>
      </c>
      <c r="S5564" s="1" t="s">
        <v>20</v>
      </c>
      <c r="T5564" s="1" t="s">
        <v>21</v>
      </c>
      <c r="V5564" s="1" t="s">
        <v>24</v>
      </c>
      <c r="W5564" s="1" t="s">
        <v>24</v>
      </c>
      <c r="X5564" s="1">
        <v>2404</v>
      </c>
      <c r="Y5564" s="1">
        <v>1303</v>
      </c>
      <c r="Z5564" s="1" t="s">
        <v>24</v>
      </c>
      <c r="AA5564" s="1" t="s">
        <v>24</v>
      </c>
      <c r="AB5564" s="1" t="s">
        <v>24</v>
      </c>
      <c r="AC5564" s="1" t="s">
        <v>24</v>
      </c>
      <c r="AD5564" s="1" t="s">
        <v>24</v>
      </c>
      <c r="AE5564" s="1" t="s">
        <v>24</v>
      </c>
      <c r="AF5564" s="22"/>
    </row>
    <row r="5565" spans="1:32" x14ac:dyDescent="0.2">
      <c r="A5565" s="1">
        <v>54386</v>
      </c>
      <c r="B5565" s="1" t="s">
        <v>16621</v>
      </c>
      <c r="C5565" s="5" t="s">
        <v>0</v>
      </c>
      <c r="E5565" s="1" t="s">
        <v>16622</v>
      </c>
      <c r="F5565" s="1" t="s">
        <v>2299</v>
      </c>
      <c r="G5565" s="1" t="s">
        <v>2300</v>
      </c>
      <c r="H5565" s="1" t="s">
        <v>37</v>
      </c>
      <c r="I5565" s="1" t="s">
        <v>16</v>
      </c>
      <c r="J5565" s="1">
        <v>1</v>
      </c>
      <c r="K5565" s="1">
        <v>1</v>
      </c>
      <c r="L5565" s="1" t="s">
        <v>31</v>
      </c>
      <c r="M5565" s="1" t="s">
        <v>18</v>
      </c>
      <c r="N5565" s="1" t="s">
        <v>18</v>
      </c>
      <c r="O5565" s="1">
        <v>3</v>
      </c>
      <c r="P5565" s="1">
        <v>7</v>
      </c>
      <c r="Q5565" s="7" t="s">
        <v>17633</v>
      </c>
      <c r="R5565" s="1" t="s">
        <v>19</v>
      </c>
      <c r="S5565" s="1" t="s">
        <v>63</v>
      </c>
      <c r="T5565" s="1" t="s">
        <v>21</v>
      </c>
      <c r="U5565" s="1" t="s">
        <v>22</v>
      </c>
      <c r="V5565" s="1" t="s">
        <v>24</v>
      </c>
      <c r="W5565" s="1" t="s">
        <v>24</v>
      </c>
      <c r="X5565" s="1">
        <v>2719</v>
      </c>
      <c r="Y5565" s="1">
        <v>2739</v>
      </c>
      <c r="Z5565" s="1" t="s">
        <v>24</v>
      </c>
      <c r="AA5565" s="1" t="s">
        <v>24</v>
      </c>
      <c r="AB5565" s="1" t="s">
        <v>24</v>
      </c>
      <c r="AC5565" s="1" t="s">
        <v>24</v>
      </c>
      <c r="AD5565" s="1" t="s">
        <v>24</v>
      </c>
      <c r="AE5565" s="1" t="s">
        <v>24</v>
      </c>
      <c r="AF5565" s="22"/>
    </row>
    <row r="5566" spans="1:32" x14ac:dyDescent="0.2">
      <c r="A5566" s="1">
        <v>54387</v>
      </c>
      <c r="B5566" s="1" t="s">
        <v>16623</v>
      </c>
      <c r="C5566" s="5" t="s">
        <v>0</v>
      </c>
      <c r="E5566" s="1" t="s">
        <v>16624</v>
      </c>
      <c r="F5566" s="1" t="s">
        <v>2299</v>
      </c>
      <c r="G5566" s="1" t="s">
        <v>2300</v>
      </c>
      <c r="H5566" s="1" t="s">
        <v>37</v>
      </c>
      <c r="I5566" s="1" t="s">
        <v>16</v>
      </c>
      <c r="J5566" s="1">
        <v>1</v>
      </c>
      <c r="K5566" s="1">
        <v>1</v>
      </c>
      <c r="L5566" s="1" t="s">
        <v>31</v>
      </c>
      <c r="M5566" s="1" t="s">
        <v>18</v>
      </c>
      <c r="N5566" s="1" t="s">
        <v>18</v>
      </c>
      <c r="O5566" s="1">
        <v>3</v>
      </c>
      <c r="P5566" s="1">
        <v>7</v>
      </c>
      <c r="Q5566" s="7" t="s">
        <v>17633</v>
      </c>
      <c r="R5566" s="1" t="s">
        <v>19</v>
      </c>
      <c r="S5566" s="1" t="s">
        <v>63</v>
      </c>
      <c r="T5566" s="1" t="s">
        <v>21</v>
      </c>
      <c r="V5566" s="1" t="s">
        <v>24</v>
      </c>
      <c r="W5566" s="1" t="s">
        <v>24</v>
      </c>
      <c r="X5566" s="1">
        <v>1307</v>
      </c>
      <c r="Y5566" s="1">
        <v>1309</v>
      </c>
      <c r="Z5566" s="1" t="s">
        <v>24</v>
      </c>
      <c r="AA5566" s="1" t="s">
        <v>24</v>
      </c>
      <c r="AB5566" s="1" t="s">
        <v>24</v>
      </c>
      <c r="AC5566" s="1" t="s">
        <v>24</v>
      </c>
      <c r="AD5566" s="1" t="s">
        <v>24</v>
      </c>
      <c r="AE5566" s="1" t="s">
        <v>24</v>
      </c>
      <c r="AF5566" s="22"/>
    </row>
    <row r="5567" spans="1:32" x14ac:dyDescent="0.2">
      <c r="A5567" s="1">
        <v>54388</v>
      </c>
      <c r="B5567" s="1" t="s">
        <v>16625</v>
      </c>
      <c r="C5567" s="5" t="s">
        <v>0</v>
      </c>
      <c r="E5567" s="1" t="s">
        <v>16626</v>
      </c>
      <c r="F5567" s="1" t="s">
        <v>2299</v>
      </c>
      <c r="G5567" s="1" t="s">
        <v>2300</v>
      </c>
      <c r="H5567" s="1" t="s">
        <v>37</v>
      </c>
      <c r="I5567" s="1" t="s">
        <v>16</v>
      </c>
      <c r="J5567" s="1">
        <v>1</v>
      </c>
      <c r="K5567" s="1">
        <v>1</v>
      </c>
      <c r="L5567" s="1" t="s">
        <v>31</v>
      </c>
      <c r="M5567" s="1" t="s">
        <v>18</v>
      </c>
      <c r="N5567" s="1" t="s">
        <v>18</v>
      </c>
      <c r="O5567" s="1">
        <v>3</v>
      </c>
      <c r="P5567" s="1">
        <v>7</v>
      </c>
      <c r="Q5567" s="7" t="s">
        <v>17633</v>
      </c>
      <c r="R5567" s="1" t="s">
        <v>19</v>
      </c>
      <c r="S5567" s="1" t="s">
        <v>63</v>
      </c>
      <c r="T5567" s="1" t="s">
        <v>21</v>
      </c>
      <c r="V5567" s="1" t="s">
        <v>24</v>
      </c>
      <c r="W5567" s="1" t="s">
        <v>24</v>
      </c>
      <c r="X5567" s="1">
        <v>2718</v>
      </c>
      <c r="Y5567" s="1">
        <v>1706</v>
      </c>
      <c r="Z5567" s="1" t="s">
        <v>24</v>
      </c>
      <c r="AA5567" s="1" t="s">
        <v>24</v>
      </c>
      <c r="AB5567" s="1" t="s">
        <v>24</v>
      </c>
      <c r="AC5567" s="1" t="s">
        <v>24</v>
      </c>
      <c r="AD5567" s="1" t="s">
        <v>24</v>
      </c>
      <c r="AE5567" s="1" t="s">
        <v>24</v>
      </c>
      <c r="AF5567" s="22"/>
    </row>
    <row r="5568" spans="1:32" x14ac:dyDescent="0.2">
      <c r="A5568" s="1">
        <v>54389</v>
      </c>
      <c r="B5568" s="1" t="s">
        <v>16627</v>
      </c>
      <c r="C5568" s="5" t="s">
        <v>0</v>
      </c>
      <c r="E5568" s="1" t="s">
        <v>16628</v>
      </c>
      <c r="F5568" s="1" t="s">
        <v>2299</v>
      </c>
      <c r="G5568" s="1" t="s">
        <v>2300</v>
      </c>
      <c r="H5568" s="1" t="s">
        <v>37</v>
      </c>
      <c r="I5568" s="1" t="s">
        <v>16</v>
      </c>
      <c r="J5568" s="1">
        <v>1</v>
      </c>
      <c r="K5568" s="1">
        <v>1</v>
      </c>
      <c r="L5568" s="1" t="s">
        <v>31</v>
      </c>
      <c r="M5568" s="1" t="s">
        <v>18</v>
      </c>
      <c r="N5568" s="1" t="s">
        <v>18</v>
      </c>
      <c r="O5568" s="1">
        <v>3</v>
      </c>
      <c r="P5568" s="1">
        <v>7</v>
      </c>
      <c r="Q5568" s="7" t="s">
        <v>17633</v>
      </c>
      <c r="R5568" s="1" t="s">
        <v>19</v>
      </c>
      <c r="S5568" s="1" t="s">
        <v>63</v>
      </c>
      <c r="T5568" s="1" t="s">
        <v>21</v>
      </c>
      <c r="V5568" s="1" t="s">
        <v>24</v>
      </c>
      <c r="W5568" s="1" t="s">
        <v>24</v>
      </c>
      <c r="X5568" s="1">
        <v>1307</v>
      </c>
      <c r="Y5568" s="1" t="s">
        <v>24</v>
      </c>
      <c r="Z5568" s="1" t="s">
        <v>24</v>
      </c>
      <c r="AA5568" s="1" t="s">
        <v>24</v>
      </c>
      <c r="AB5568" s="1" t="s">
        <v>24</v>
      </c>
      <c r="AC5568" s="1" t="s">
        <v>24</v>
      </c>
      <c r="AD5568" s="1" t="s">
        <v>24</v>
      </c>
      <c r="AE5568" s="1" t="s">
        <v>24</v>
      </c>
      <c r="AF5568" s="22"/>
    </row>
    <row r="5569" spans="1:32" x14ac:dyDescent="0.2">
      <c r="A5569" s="1">
        <v>54390</v>
      </c>
      <c r="B5569" s="1" t="s">
        <v>16629</v>
      </c>
      <c r="C5569" s="5" t="s">
        <v>0</v>
      </c>
      <c r="E5569" s="1" t="s">
        <v>16630</v>
      </c>
      <c r="F5569" s="1" t="s">
        <v>167</v>
      </c>
      <c r="G5569" s="1" t="s">
        <v>130</v>
      </c>
      <c r="H5569" s="1" t="s">
        <v>168</v>
      </c>
      <c r="I5569" s="1" t="s">
        <v>16</v>
      </c>
      <c r="J5569" s="1">
        <v>1</v>
      </c>
      <c r="K5569" s="1">
        <v>4</v>
      </c>
      <c r="L5569" s="1" t="s">
        <v>31</v>
      </c>
      <c r="M5569" s="1" t="s">
        <v>18</v>
      </c>
      <c r="N5569" s="1" t="s">
        <v>18</v>
      </c>
      <c r="O5569" s="1">
        <v>3</v>
      </c>
      <c r="P5569" s="1">
        <v>7</v>
      </c>
      <c r="Q5569" s="7" t="s">
        <v>17633</v>
      </c>
      <c r="R5569" s="1" t="s">
        <v>19</v>
      </c>
      <c r="S5569" s="1" t="s">
        <v>20</v>
      </c>
      <c r="T5569" s="1" t="s">
        <v>21</v>
      </c>
      <c r="V5569" s="1" t="s">
        <v>24</v>
      </c>
      <c r="W5569" s="1" t="s">
        <v>24</v>
      </c>
      <c r="X5569" s="1">
        <v>2748</v>
      </c>
      <c r="Y5569" s="1" t="s">
        <v>24</v>
      </c>
      <c r="Z5569" s="1" t="s">
        <v>24</v>
      </c>
      <c r="AA5569" s="1" t="s">
        <v>24</v>
      </c>
      <c r="AB5569" s="1" t="s">
        <v>24</v>
      </c>
      <c r="AC5569" s="1" t="s">
        <v>24</v>
      </c>
      <c r="AD5569" s="1" t="s">
        <v>24</v>
      </c>
      <c r="AE5569" s="1" t="s">
        <v>24</v>
      </c>
      <c r="AF5569" s="22"/>
    </row>
    <row r="5570" spans="1:32" x14ac:dyDescent="0.2">
      <c r="A5570" s="1">
        <v>54391</v>
      </c>
      <c r="B5570" s="1" t="s">
        <v>16631</v>
      </c>
      <c r="C5570" s="5" t="s">
        <v>0</v>
      </c>
      <c r="D5570" s="1" t="s">
        <v>16632</v>
      </c>
      <c r="E5570" s="1" t="s">
        <v>16633</v>
      </c>
      <c r="F5570" s="1" t="s">
        <v>8442</v>
      </c>
      <c r="G5570" s="1" t="s">
        <v>8443</v>
      </c>
      <c r="H5570" s="1" t="s">
        <v>37</v>
      </c>
      <c r="I5570" s="1" t="s">
        <v>16</v>
      </c>
      <c r="J5570" s="1">
        <v>1</v>
      </c>
      <c r="K5570" s="1">
        <v>6</v>
      </c>
      <c r="L5570" s="1" t="s">
        <v>31</v>
      </c>
      <c r="M5570" s="1" t="s">
        <v>18</v>
      </c>
      <c r="N5570" s="1" t="s">
        <v>18</v>
      </c>
      <c r="O5570" s="1">
        <v>3</v>
      </c>
      <c r="P5570" s="1">
        <v>7</v>
      </c>
      <c r="Q5570" s="7" t="s">
        <v>17633</v>
      </c>
      <c r="R5570" s="1" t="s">
        <v>19</v>
      </c>
      <c r="S5570" s="1" t="s">
        <v>20</v>
      </c>
      <c r="T5570" s="1" t="s">
        <v>21</v>
      </c>
      <c r="V5570" s="1" t="s">
        <v>24</v>
      </c>
      <c r="W5570" s="1" t="s">
        <v>24</v>
      </c>
      <c r="X5570" s="1">
        <v>2728</v>
      </c>
      <c r="Y5570" s="1">
        <v>2808</v>
      </c>
      <c r="Z5570" s="1" t="s">
        <v>24</v>
      </c>
      <c r="AA5570" s="1" t="s">
        <v>24</v>
      </c>
      <c r="AB5570" s="1" t="s">
        <v>24</v>
      </c>
      <c r="AC5570" s="1" t="s">
        <v>24</v>
      </c>
      <c r="AD5570" s="1" t="s">
        <v>24</v>
      </c>
      <c r="AE5570" s="1" t="s">
        <v>24</v>
      </c>
      <c r="AF5570" s="22"/>
    </row>
    <row r="5571" spans="1:32" x14ac:dyDescent="0.2">
      <c r="A5571" s="1">
        <v>54392</v>
      </c>
      <c r="B5571" s="1" t="s">
        <v>16634</v>
      </c>
      <c r="C5571" s="5" t="s">
        <v>0</v>
      </c>
      <c r="D5571" s="1" t="s">
        <v>16635</v>
      </c>
      <c r="E5571" s="1" t="s">
        <v>16636</v>
      </c>
      <c r="F5571" s="1" t="s">
        <v>920</v>
      </c>
      <c r="G5571" s="1" t="s">
        <v>921</v>
      </c>
      <c r="H5571" s="1" t="s">
        <v>92</v>
      </c>
      <c r="I5571" s="1" t="s">
        <v>16</v>
      </c>
      <c r="J5571" s="1">
        <v>1</v>
      </c>
      <c r="K5571" s="1">
        <v>4</v>
      </c>
      <c r="L5571" s="1" t="s">
        <v>31</v>
      </c>
      <c r="M5571" s="1" t="s">
        <v>18</v>
      </c>
      <c r="N5571" s="1" t="s">
        <v>18</v>
      </c>
      <c r="O5571" s="1">
        <v>3</v>
      </c>
      <c r="P5571" s="1">
        <v>7</v>
      </c>
      <c r="Q5571" s="7" t="s">
        <v>17633</v>
      </c>
      <c r="R5571" s="1" t="s">
        <v>19</v>
      </c>
      <c r="S5571" s="1" t="s">
        <v>20</v>
      </c>
      <c r="T5571" s="1" t="s">
        <v>21</v>
      </c>
      <c r="V5571" s="1" t="s">
        <v>23</v>
      </c>
      <c r="W5571" s="1" t="s">
        <v>24</v>
      </c>
      <c r="X5571" s="1">
        <v>2728</v>
      </c>
      <c r="Y5571" s="1">
        <v>2735</v>
      </c>
      <c r="Z5571" s="1" t="s">
        <v>24</v>
      </c>
      <c r="AA5571" s="1" t="s">
        <v>24</v>
      </c>
      <c r="AB5571" s="1" t="s">
        <v>24</v>
      </c>
      <c r="AC5571" s="1" t="s">
        <v>24</v>
      </c>
      <c r="AD5571" s="1" t="s">
        <v>24</v>
      </c>
      <c r="AE5571" s="1" t="s">
        <v>24</v>
      </c>
      <c r="AF5571" s="22"/>
    </row>
    <row r="5572" spans="1:32" x14ac:dyDescent="0.2">
      <c r="A5572" s="1">
        <v>54393</v>
      </c>
      <c r="B5572" s="1" t="s">
        <v>16637</v>
      </c>
      <c r="C5572" s="5" t="s">
        <v>0</v>
      </c>
      <c r="D5572" s="1" t="s">
        <v>16638</v>
      </c>
      <c r="E5572" s="1" t="s">
        <v>16639</v>
      </c>
      <c r="F5572" s="1" t="s">
        <v>920</v>
      </c>
      <c r="G5572" s="1" t="s">
        <v>921</v>
      </c>
      <c r="H5572" s="1" t="s">
        <v>92</v>
      </c>
      <c r="I5572" s="1" t="s">
        <v>16</v>
      </c>
      <c r="J5572" s="1">
        <v>1</v>
      </c>
      <c r="K5572" s="1">
        <v>4</v>
      </c>
      <c r="L5572" s="1" t="s">
        <v>31</v>
      </c>
      <c r="M5572" s="1" t="s">
        <v>18</v>
      </c>
      <c r="N5572" s="1" t="s">
        <v>18</v>
      </c>
      <c r="O5572" s="1">
        <v>3</v>
      </c>
      <c r="P5572" s="1">
        <v>7</v>
      </c>
      <c r="Q5572" s="7" t="s">
        <v>17633</v>
      </c>
      <c r="R5572" s="1" t="s">
        <v>19</v>
      </c>
      <c r="S5572" s="1" t="s">
        <v>20</v>
      </c>
      <c r="T5572" s="1" t="s">
        <v>21</v>
      </c>
      <c r="V5572" s="1" t="s">
        <v>23</v>
      </c>
      <c r="W5572" s="1" t="s">
        <v>24</v>
      </c>
      <c r="X5572" s="1">
        <v>2706</v>
      </c>
      <c r="Y5572" s="1">
        <v>2735</v>
      </c>
      <c r="Z5572" s="1" t="s">
        <v>24</v>
      </c>
      <c r="AA5572" s="1" t="s">
        <v>24</v>
      </c>
      <c r="AB5572" s="1" t="s">
        <v>24</v>
      </c>
      <c r="AC5572" s="1" t="s">
        <v>24</v>
      </c>
      <c r="AD5572" s="1" t="s">
        <v>24</v>
      </c>
      <c r="AE5572" s="1" t="s">
        <v>24</v>
      </c>
      <c r="AF5572" s="22"/>
    </row>
    <row r="5573" spans="1:32" x14ac:dyDescent="0.2">
      <c r="A5573" s="1">
        <v>54394</v>
      </c>
      <c r="B5573" s="1" t="s">
        <v>16640</v>
      </c>
      <c r="C5573" s="5" t="s">
        <v>0</v>
      </c>
      <c r="D5573" s="1" t="s">
        <v>16641</v>
      </c>
      <c r="E5573" s="1" t="s">
        <v>16642</v>
      </c>
      <c r="F5573" s="1" t="s">
        <v>920</v>
      </c>
      <c r="G5573" s="1" t="s">
        <v>921</v>
      </c>
      <c r="H5573" s="1" t="s">
        <v>92</v>
      </c>
      <c r="I5573" s="1" t="s">
        <v>16</v>
      </c>
      <c r="J5573" s="1">
        <v>1</v>
      </c>
      <c r="K5573" s="1">
        <v>4</v>
      </c>
      <c r="L5573" s="1" t="s">
        <v>31</v>
      </c>
      <c r="M5573" s="1" t="s">
        <v>18</v>
      </c>
      <c r="N5573" s="1" t="s">
        <v>18</v>
      </c>
      <c r="O5573" s="1">
        <v>3</v>
      </c>
      <c r="P5573" s="1">
        <v>7</v>
      </c>
      <c r="Q5573" s="7" t="s">
        <v>17633</v>
      </c>
      <c r="R5573" s="1" t="s">
        <v>19</v>
      </c>
      <c r="S5573" s="1" t="s">
        <v>63</v>
      </c>
      <c r="T5573" s="1" t="s">
        <v>21</v>
      </c>
      <c r="V5573" s="1" t="s">
        <v>23</v>
      </c>
      <c r="W5573" s="1" t="s">
        <v>24</v>
      </c>
      <c r="X5573" s="1">
        <v>2728</v>
      </c>
      <c r="Y5573" s="1">
        <v>2804</v>
      </c>
      <c r="Z5573" s="1" t="s">
        <v>24</v>
      </c>
      <c r="AA5573" s="1" t="s">
        <v>24</v>
      </c>
      <c r="AB5573" s="1" t="s">
        <v>24</v>
      </c>
      <c r="AC5573" s="1" t="s">
        <v>24</v>
      </c>
      <c r="AD5573" s="1" t="s">
        <v>24</v>
      </c>
      <c r="AE5573" s="1" t="s">
        <v>24</v>
      </c>
      <c r="AF5573" s="22"/>
    </row>
    <row r="5574" spans="1:32" x14ac:dyDescent="0.2">
      <c r="A5574" s="1">
        <v>54395</v>
      </c>
      <c r="B5574" s="1" t="s">
        <v>16643</v>
      </c>
      <c r="C5574" s="5" t="s">
        <v>0</v>
      </c>
      <c r="D5574" s="1" t="s">
        <v>16644</v>
      </c>
      <c r="E5574" s="1" t="s">
        <v>16645</v>
      </c>
      <c r="F5574" s="1" t="s">
        <v>920</v>
      </c>
      <c r="G5574" s="1" t="s">
        <v>921</v>
      </c>
      <c r="H5574" s="1" t="s">
        <v>92</v>
      </c>
      <c r="I5574" s="1" t="s">
        <v>16</v>
      </c>
      <c r="J5574" s="1">
        <v>1</v>
      </c>
      <c r="K5574" s="1">
        <v>4</v>
      </c>
      <c r="L5574" s="1" t="s">
        <v>31</v>
      </c>
      <c r="M5574" s="1" t="s">
        <v>18</v>
      </c>
      <c r="N5574" s="1" t="s">
        <v>18</v>
      </c>
      <c r="O5574" s="1">
        <v>3</v>
      </c>
      <c r="P5574" s="1">
        <v>7</v>
      </c>
      <c r="Q5574" s="7" t="s">
        <v>17633</v>
      </c>
      <c r="R5574" s="1" t="s">
        <v>19</v>
      </c>
      <c r="S5574" s="1" t="s">
        <v>20</v>
      </c>
      <c r="T5574" s="1" t="s">
        <v>21</v>
      </c>
      <c r="V5574" s="1" t="s">
        <v>24</v>
      </c>
      <c r="W5574" s="1" t="s">
        <v>24</v>
      </c>
      <c r="X5574" s="1">
        <v>2716</v>
      </c>
      <c r="Y5574" s="1">
        <v>2735</v>
      </c>
      <c r="Z5574" s="1" t="s">
        <v>24</v>
      </c>
      <c r="AA5574" s="1" t="s">
        <v>24</v>
      </c>
      <c r="AB5574" s="1" t="s">
        <v>24</v>
      </c>
      <c r="AC5574" s="1" t="s">
        <v>24</v>
      </c>
      <c r="AD5574" s="1" t="s">
        <v>24</v>
      </c>
      <c r="AE5574" s="1" t="s">
        <v>24</v>
      </c>
      <c r="AF5574" s="22"/>
    </row>
    <row r="5575" spans="1:32" x14ac:dyDescent="0.2">
      <c r="A5575" s="1">
        <v>54396</v>
      </c>
      <c r="B5575" s="1" t="s">
        <v>16646</v>
      </c>
      <c r="C5575" s="5" t="s">
        <v>0</v>
      </c>
      <c r="D5575" s="1" t="s">
        <v>16647</v>
      </c>
      <c r="E5575" s="1" t="s">
        <v>16648</v>
      </c>
      <c r="F5575" s="1" t="s">
        <v>920</v>
      </c>
      <c r="G5575" s="1" t="s">
        <v>921</v>
      </c>
      <c r="H5575" s="1" t="s">
        <v>92</v>
      </c>
      <c r="I5575" s="1" t="s">
        <v>16</v>
      </c>
      <c r="J5575" s="1">
        <v>1</v>
      </c>
      <c r="K5575" s="1">
        <v>4</v>
      </c>
      <c r="L5575" s="1" t="s">
        <v>31</v>
      </c>
      <c r="M5575" s="1" t="s">
        <v>18</v>
      </c>
      <c r="N5575" s="1" t="s">
        <v>18</v>
      </c>
      <c r="O5575" s="1">
        <v>2</v>
      </c>
      <c r="P5575" s="1">
        <v>7</v>
      </c>
      <c r="Q5575" s="7" t="s">
        <v>17633</v>
      </c>
      <c r="R5575" s="1" t="s">
        <v>19</v>
      </c>
      <c r="S5575" s="1" t="s">
        <v>20</v>
      </c>
      <c r="T5575" s="1" t="s">
        <v>21</v>
      </c>
      <c r="V5575" s="1" t="s">
        <v>23</v>
      </c>
      <c r="W5575" s="1" t="s">
        <v>24</v>
      </c>
      <c r="X5575" s="1">
        <v>2728</v>
      </c>
      <c r="Y5575" s="1">
        <v>2735</v>
      </c>
      <c r="Z5575" s="1">
        <v>2741</v>
      </c>
      <c r="AA5575" s="1" t="s">
        <v>24</v>
      </c>
      <c r="AB5575" s="1" t="s">
        <v>24</v>
      </c>
      <c r="AC5575" s="1" t="s">
        <v>24</v>
      </c>
      <c r="AD5575" s="1" t="s">
        <v>24</v>
      </c>
      <c r="AE5575" s="1" t="s">
        <v>24</v>
      </c>
      <c r="AF5575" s="22"/>
    </row>
    <row r="5576" spans="1:32" x14ac:dyDescent="0.2">
      <c r="A5576" s="1">
        <v>54397</v>
      </c>
      <c r="B5576" s="1" t="s">
        <v>16649</v>
      </c>
      <c r="C5576" s="5" t="s">
        <v>0</v>
      </c>
      <c r="D5576" s="1" t="s">
        <v>16650</v>
      </c>
      <c r="E5576" s="1" t="s">
        <v>16651</v>
      </c>
      <c r="F5576" s="1" t="s">
        <v>920</v>
      </c>
      <c r="G5576" s="1" t="s">
        <v>921</v>
      </c>
      <c r="H5576" s="1" t="s">
        <v>92</v>
      </c>
      <c r="I5576" s="1" t="s">
        <v>16</v>
      </c>
      <c r="J5576" s="1">
        <v>1</v>
      </c>
      <c r="K5576" s="1">
        <v>4</v>
      </c>
      <c r="L5576" s="1" t="s">
        <v>31</v>
      </c>
      <c r="M5576" s="1" t="s">
        <v>18</v>
      </c>
      <c r="N5576" s="1" t="s">
        <v>18</v>
      </c>
      <c r="O5576" s="1">
        <v>3</v>
      </c>
      <c r="P5576" s="1">
        <v>7</v>
      </c>
      <c r="Q5576" s="7" t="s">
        <v>17633</v>
      </c>
      <c r="R5576" s="1" t="s">
        <v>19</v>
      </c>
      <c r="S5576" s="1" t="s">
        <v>20</v>
      </c>
      <c r="T5576" s="1" t="s">
        <v>21</v>
      </c>
      <c r="V5576" s="1" t="s">
        <v>24</v>
      </c>
      <c r="W5576" s="1" t="s">
        <v>24</v>
      </c>
      <c r="X5576" s="1">
        <v>2741</v>
      </c>
      <c r="Y5576" s="1" t="s">
        <v>24</v>
      </c>
      <c r="Z5576" s="1" t="s">
        <v>24</v>
      </c>
      <c r="AA5576" s="1" t="s">
        <v>24</v>
      </c>
      <c r="AB5576" s="1" t="s">
        <v>24</v>
      </c>
      <c r="AC5576" s="1" t="s">
        <v>24</v>
      </c>
      <c r="AD5576" s="1" t="s">
        <v>24</v>
      </c>
      <c r="AE5576" s="1" t="s">
        <v>24</v>
      </c>
      <c r="AF5576" s="22"/>
    </row>
    <row r="5577" spans="1:32" x14ac:dyDescent="0.2">
      <c r="A5577" s="1">
        <v>54398</v>
      </c>
      <c r="B5577" s="1" t="s">
        <v>16652</v>
      </c>
      <c r="C5577" s="5" t="s">
        <v>0</v>
      </c>
      <c r="D5577" s="1" t="s">
        <v>16653</v>
      </c>
      <c r="E5577" s="1" t="s">
        <v>16654</v>
      </c>
      <c r="F5577" s="1" t="s">
        <v>4337</v>
      </c>
      <c r="G5577" s="1" t="s">
        <v>4338</v>
      </c>
      <c r="H5577" s="1" t="s">
        <v>30</v>
      </c>
      <c r="I5577" s="1" t="s">
        <v>16</v>
      </c>
      <c r="J5577" s="1">
        <v>1</v>
      </c>
      <c r="K5577" s="1">
        <v>6</v>
      </c>
      <c r="L5577" s="1" t="s">
        <v>31</v>
      </c>
      <c r="M5577" s="1" t="s">
        <v>18</v>
      </c>
      <c r="N5577" s="1" t="s">
        <v>18</v>
      </c>
      <c r="O5577" s="1">
        <v>3</v>
      </c>
      <c r="P5577" s="1">
        <v>7</v>
      </c>
      <c r="Q5577" s="7" t="s">
        <v>17633</v>
      </c>
      <c r="R5577" s="1" t="s">
        <v>19</v>
      </c>
      <c r="S5577" s="1" t="s">
        <v>20</v>
      </c>
      <c r="T5577" s="1" t="s">
        <v>21</v>
      </c>
      <c r="U5577" s="1" t="s">
        <v>22</v>
      </c>
      <c r="V5577" s="1" t="s">
        <v>24</v>
      </c>
      <c r="W5577" s="1" t="s">
        <v>24</v>
      </c>
      <c r="X5577" s="1">
        <v>1313</v>
      </c>
      <c r="Y5577" s="1">
        <v>2402</v>
      </c>
      <c r="Z5577" s="1">
        <v>2716</v>
      </c>
      <c r="AA5577" s="1">
        <v>1311</v>
      </c>
      <c r="AB5577" s="1">
        <v>3004</v>
      </c>
      <c r="AC5577" s="1" t="s">
        <v>24</v>
      </c>
      <c r="AD5577" s="1" t="s">
        <v>24</v>
      </c>
      <c r="AE5577" s="1" t="s">
        <v>24</v>
      </c>
      <c r="AF5577" s="22"/>
    </row>
    <row r="5578" spans="1:32" x14ac:dyDescent="0.2">
      <c r="A5578" s="1">
        <v>54399</v>
      </c>
      <c r="B5578" s="1" t="s">
        <v>16655</v>
      </c>
      <c r="C5578" s="5" t="s">
        <v>0</v>
      </c>
      <c r="D5578" s="1" t="s">
        <v>16656</v>
      </c>
      <c r="E5578" s="1" t="s">
        <v>16657</v>
      </c>
      <c r="F5578" s="1" t="s">
        <v>4337</v>
      </c>
      <c r="G5578" s="1" t="s">
        <v>4338</v>
      </c>
      <c r="H5578" s="1" t="s">
        <v>30</v>
      </c>
      <c r="I5578" s="1" t="s">
        <v>16</v>
      </c>
      <c r="J5578" s="1">
        <v>1</v>
      </c>
      <c r="K5578" s="1">
        <v>12</v>
      </c>
      <c r="L5578" s="1" t="s">
        <v>31</v>
      </c>
      <c r="M5578" s="1" t="s">
        <v>18</v>
      </c>
      <c r="N5578" s="1" t="s">
        <v>18</v>
      </c>
      <c r="O5578" s="1">
        <v>3</v>
      </c>
      <c r="P5578" s="1">
        <v>7</v>
      </c>
      <c r="Q5578" s="7" t="s">
        <v>17633</v>
      </c>
      <c r="R5578" s="1" t="s">
        <v>19</v>
      </c>
      <c r="S5578" s="1" t="s">
        <v>20</v>
      </c>
      <c r="T5578" s="1" t="s">
        <v>21</v>
      </c>
      <c r="V5578" s="1" t="s">
        <v>23</v>
      </c>
      <c r="W5578" s="1" t="s">
        <v>24</v>
      </c>
      <c r="X5578" s="1">
        <v>2706</v>
      </c>
      <c r="Y5578" s="1">
        <v>2711</v>
      </c>
      <c r="Z5578" s="1" t="s">
        <v>24</v>
      </c>
      <c r="AA5578" s="1" t="s">
        <v>24</v>
      </c>
      <c r="AB5578" s="1" t="s">
        <v>24</v>
      </c>
      <c r="AC5578" s="1" t="s">
        <v>24</v>
      </c>
      <c r="AD5578" s="1" t="s">
        <v>24</v>
      </c>
      <c r="AE5578" s="1" t="s">
        <v>24</v>
      </c>
      <c r="AF5578" s="22"/>
    </row>
    <row r="5579" spans="1:32" x14ac:dyDescent="0.2">
      <c r="A5579" s="1">
        <v>54400</v>
      </c>
      <c r="B5579" s="1" t="s">
        <v>16658</v>
      </c>
      <c r="C5579" s="5" t="s">
        <v>0</v>
      </c>
      <c r="D5579" s="1" t="s">
        <v>16659</v>
      </c>
      <c r="E5579" s="1" t="s">
        <v>16660</v>
      </c>
      <c r="F5579" s="1" t="s">
        <v>1897</v>
      </c>
      <c r="G5579" s="1" t="s">
        <v>1898</v>
      </c>
      <c r="H5579" s="1" t="s">
        <v>899</v>
      </c>
      <c r="I5579" s="1" t="s">
        <v>16</v>
      </c>
      <c r="J5579" s="1">
        <v>1</v>
      </c>
      <c r="K5579" s="1">
        <v>2</v>
      </c>
      <c r="L5579" s="1" t="s">
        <v>31</v>
      </c>
      <c r="M5579" s="1" t="s">
        <v>18</v>
      </c>
      <c r="N5579" s="1" t="s">
        <v>18</v>
      </c>
      <c r="O5579" s="1">
        <v>3</v>
      </c>
      <c r="P5579" s="1">
        <v>7</v>
      </c>
      <c r="Q5579" s="7" t="s">
        <v>17633</v>
      </c>
      <c r="R5579" s="1" t="s">
        <v>19</v>
      </c>
      <c r="S5579" s="1" t="s">
        <v>20</v>
      </c>
      <c r="T5579" s="1" t="s">
        <v>21</v>
      </c>
      <c r="V5579" s="1" t="s">
        <v>24</v>
      </c>
      <c r="W5579" s="1" t="s">
        <v>24</v>
      </c>
      <c r="X5579" s="1">
        <v>3003</v>
      </c>
      <c r="Y5579" s="1" t="s">
        <v>24</v>
      </c>
      <c r="Z5579" s="1" t="s">
        <v>24</v>
      </c>
      <c r="AA5579" s="1" t="s">
        <v>24</v>
      </c>
      <c r="AB5579" s="1" t="s">
        <v>24</v>
      </c>
      <c r="AC5579" s="1" t="s">
        <v>24</v>
      </c>
      <c r="AD5579" s="1" t="s">
        <v>24</v>
      </c>
      <c r="AE5579" s="1" t="s">
        <v>24</v>
      </c>
      <c r="AF5579" s="22"/>
    </row>
    <row r="5580" spans="1:32" x14ac:dyDescent="0.2">
      <c r="A5580" s="1">
        <v>54402</v>
      </c>
      <c r="B5580" s="1" t="s">
        <v>16661</v>
      </c>
      <c r="C5580" s="5" t="s">
        <v>0</v>
      </c>
      <c r="D5580" s="1" t="s">
        <v>16662</v>
      </c>
      <c r="E5580" s="1" t="s">
        <v>16663</v>
      </c>
      <c r="F5580" s="1" t="s">
        <v>1897</v>
      </c>
      <c r="G5580" s="1" t="s">
        <v>1898</v>
      </c>
      <c r="H5580" s="1" t="s">
        <v>899</v>
      </c>
      <c r="I5580" s="1" t="s">
        <v>16</v>
      </c>
      <c r="J5580" s="1">
        <v>1</v>
      </c>
      <c r="K5580" s="1">
        <v>4</v>
      </c>
      <c r="L5580" s="1" t="s">
        <v>31</v>
      </c>
      <c r="M5580" s="1" t="s">
        <v>18</v>
      </c>
      <c r="N5580" s="1" t="s">
        <v>18</v>
      </c>
      <c r="O5580" s="1">
        <v>3</v>
      </c>
      <c r="P5580" s="1">
        <v>7</v>
      </c>
      <c r="Q5580" s="7" t="s">
        <v>17633</v>
      </c>
      <c r="R5580" s="1" t="s">
        <v>19</v>
      </c>
      <c r="S5580" s="1" t="s">
        <v>20</v>
      </c>
      <c r="T5580" s="1" t="s">
        <v>21</v>
      </c>
      <c r="V5580" s="1" t="s">
        <v>24</v>
      </c>
      <c r="W5580" s="1" t="s">
        <v>24</v>
      </c>
      <c r="X5580" s="1">
        <v>3003</v>
      </c>
      <c r="Y5580" s="1" t="s">
        <v>24</v>
      </c>
      <c r="Z5580" s="1" t="s">
        <v>24</v>
      </c>
      <c r="AA5580" s="1" t="s">
        <v>24</v>
      </c>
      <c r="AB5580" s="1" t="s">
        <v>24</v>
      </c>
      <c r="AC5580" s="1" t="s">
        <v>24</v>
      </c>
      <c r="AD5580" s="1" t="s">
        <v>24</v>
      </c>
      <c r="AE5580" s="1" t="s">
        <v>24</v>
      </c>
      <c r="AF5580" s="22"/>
    </row>
    <row r="5581" spans="1:32" x14ac:dyDescent="0.2">
      <c r="A5581" s="1">
        <v>54403</v>
      </c>
      <c r="B5581" s="1" t="s">
        <v>16664</v>
      </c>
      <c r="C5581" s="5" t="s">
        <v>0</v>
      </c>
      <c r="E5581" s="1" t="s">
        <v>16665</v>
      </c>
      <c r="F5581" s="1" t="s">
        <v>315</v>
      </c>
      <c r="G5581" s="1" t="s">
        <v>316</v>
      </c>
      <c r="H5581" s="1" t="s">
        <v>37</v>
      </c>
      <c r="I5581" s="1" t="s">
        <v>16</v>
      </c>
      <c r="J5581" s="1">
        <v>1</v>
      </c>
      <c r="K5581" s="1">
        <v>1</v>
      </c>
      <c r="L5581" s="1" t="s">
        <v>31</v>
      </c>
      <c r="M5581" s="1" t="s">
        <v>18</v>
      </c>
      <c r="N5581" s="1" t="s">
        <v>18</v>
      </c>
      <c r="O5581" s="1">
        <v>3</v>
      </c>
      <c r="P5581" s="1">
        <v>7</v>
      </c>
      <c r="Q5581" s="7" t="s">
        <v>17633</v>
      </c>
      <c r="R5581" s="1" t="s">
        <v>19</v>
      </c>
      <c r="S5581" s="1" t="s">
        <v>20</v>
      </c>
      <c r="T5581" s="1" t="s">
        <v>21</v>
      </c>
      <c r="U5581" s="1" t="s">
        <v>22</v>
      </c>
      <c r="V5581" s="1" t="s">
        <v>24</v>
      </c>
      <c r="W5581" s="1" t="s">
        <v>24</v>
      </c>
      <c r="X5581" s="1">
        <v>2705</v>
      </c>
      <c r="Y5581" s="1" t="s">
        <v>24</v>
      </c>
      <c r="Z5581" s="1" t="s">
        <v>24</v>
      </c>
      <c r="AA5581" s="1" t="s">
        <v>24</v>
      </c>
      <c r="AB5581" s="1" t="s">
        <v>24</v>
      </c>
      <c r="AC5581" s="1" t="s">
        <v>24</v>
      </c>
      <c r="AD5581" s="1" t="s">
        <v>24</v>
      </c>
      <c r="AE5581" s="1" t="s">
        <v>24</v>
      </c>
      <c r="AF5581" s="22"/>
    </row>
    <row r="5582" spans="1:32" x14ac:dyDescent="0.2">
      <c r="A5582" s="1">
        <v>54404</v>
      </c>
      <c r="B5582" s="1" t="s">
        <v>16666</v>
      </c>
      <c r="C5582" s="5" t="s">
        <v>0</v>
      </c>
      <c r="E5582" s="1" t="s">
        <v>16667</v>
      </c>
      <c r="F5582" s="1" t="s">
        <v>315</v>
      </c>
      <c r="G5582" s="1" t="s">
        <v>316</v>
      </c>
      <c r="H5582" s="1" t="s">
        <v>37</v>
      </c>
      <c r="I5582" s="1" t="s">
        <v>16</v>
      </c>
      <c r="J5582" s="1">
        <v>1</v>
      </c>
      <c r="K5582" s="1">
        <v>9</v>
      </c>
      <c r="L5582" s="1" t="s">
        <v>31</v>
      </c>
      <c r="M5582" s="1" t="s">
        <v>18</v>
      </c>
      <c r="N5582" s="1" t="s">
        <v>18</v>
      </c>
      <c r="O5582" s="1">
        <v>3</v>
      </c>
      <c r="P5582" s="1">
        <v>7</v>
      </c>
      <c r="Q5582" s="7" t="s">
        <v>17633</v>
      </c>
      <c r="R5582" s="1" t="s">
        <v>19</v>
      </c>
      <c r="S5582" s="1" t="s">
        <v>20</v>
      </c>
      <c r="T5582" s="1" t="s">
        <v>21</v>
      </c>
      <c r="U5582" s="1" t="s">
        <v>22</v>
      </c>
      <c r="V5582" s="1" t="s">
        <v>23</v>
      </c>
      <c r="W5582" s="1" t="s">
        <v>24</v>
      </c>
      <c r="X5582" s="1">
        <v>2712</v>
      </c>
      <c r="Y5582" s="1">
        <v>2724</v>
      </c>
      <c r="Z5582" s="1" t="s">
        <v>24</v>
      </c>
      <c r="AA5582" s="1" t="s">
        <v>24</v>
      </c>
      <c r="AB5582" s="1" t="s">
        <v>24</v>
      </c>
      <c r="AC5582" s="1" t="s">
        <v>24</v>
      </c>
      <c r="AD5582" s="1" t="s">
        <v>24</v>
      </c>
      <c r="AE5582" s="1" t="s">
        <v>24</v>
      </c>
      <c r="AF5582" s="22"/>
    </row>
    <row r="5583" spans="1:32" x14ac:dyDescent="0.2">
      <c r="A5583" s="1">
        <v>54405</v>
      </c>
      <c r="B5583" s="1" t="s">
        <v>16668</v>
      </c>
      <c r="C5583" s="5" t="s">
        <v>0</v>
      </c>
      <c r="E5583" s="1" t="s">
        <v>16669</v>
      </c>
      <c r="F5583" s="1" t="s">
        <v>315</v>
      </c>
      <c r="G5583" s="1" t="s">
        <v>316</v>
      </c>
      <c r="H5583" s="1" t="s">
        <v>37</v>
      </c>
      <c r="I5583" s="1" t="s">
        <v>16</v>
      </c>
      <c r="J5583" s="1">
        <v>1</v>
      </c>
      <c r="K5583" s="1">
        <v>1</v>
      </c>
      <c r="L5583" s="1" t="s">
        <v>31</v>
      </c>
      <c r="M5583" s="1" t="s">
        <v>18</v>
      </c>
      <c r="N5583" s="1" t="s">
        <v>18</v>
      </c>
      <c r="O5583" s="1">
        <v>3</v>
      </c>
      <c r="P5583" s="1">
        <v>7</v>
      </c>
      <c r="Q5583" s="7" t="s">
        <v>17633</v>
      </c>
      <c r="R5583" s="1" t="s">
        <v>19</v>
      </c>
      <c r="S5583" s="1" t="s">
        <v>20</v>
      </c>
      <c r="T5583" s="1" t="s">
        <v>21</v>
      </c>
      <c r="V5583" s="1" t="s">
        <v>23</v>
      </c>
      <c r="W5583" s="1" t="s">
        <v>24</v>
      </c>
      <c r="X5583" s="1">
        <v>2730</v>
      </c>
      <c r="Y5583" s="1">
        <v>2712</v>
      </c>
      <c r="Z5583" s="1">
        <v>2722</v>
      </c>
      <c r="AA5583" s="1" t="s">
        <v>24</v>
      </c>
      <c r="AB5583" s="1" t="s">
        <v>24</v>
      </c>
      <c r="AC5583" s="1" t="s">
        <v>24</v>
      </c>
      <c r="AD5583" s="1" t="s">
        <v>24</v>
      </c>
      <c r="AE5583" s="1" t="s">
        <v>24</v>
      </c>
      <c r="AF5583" s="22"/>
    </row>
    <row r="5584" spans="1:32" x14ac:dyDescent="0.2">
      <c r="A5584" s="1">
        <v>54406</v>
      </c>
      <c r="B5584" s="1" t="s">
        <v>16670</v>
      </c>
      <c r="C5584" s="5" t="s">
        <v>0</v>
      </c>
      <c r="D5584" s="1" t="s">
        <v>16671</v>
      </c>
      <c r="E5584" s="1" t="s">
        <v>16672</v>
      </c>
      <c r="F5584" s="1" t="s">
        <v>493</v>
      </c>
      <c r="G5584" s="1" t="s">
        <v>98</v>
      </c>
      <c r="H5584" s="1" t="s">
        <v>30</v>
      </c>
      <c r="I5584" s="1" t="s">
        <v>16</v>
      </c>
      <c r="J5584" s="1">
        <v>1</v>
      </c>
      <c r="K5584" s="1">
        <v>6</v>
      </c>
      <c r="L5584" s="1" t="s">
        <v>31</v>
      </c>
      <c r="M5584" s="1" t="s">
        <v>18</v>
      </c>
      <c r="N5584" s="1" t="s">
        <v>18</v>
      </c>
      <c r="O5584" s="1">
        <v>3</v>
      </c>
      <c r="P5584" s="1">
        <v>7</v>
      </c>
      <c r="Q5584" s="7" t="s">
        <v>17633</v>
      </c>
      <c r="R5584" s="1" t="s">
        <v>19</v>
      </c>
      <c r="S5584" s="1" t="s">
        <v>20</v>
      </c>
      <c r="T5584" s="1" t="s">
        <v>21</v>
      </c>
      <c r="V5584" s="1" t="s">
        <v>23</v>
      </c>
      <c r="W5584" s="1" t="s">
        <v>24</v>
      </c>
      <c r="X5584" s="1">
        <v>2746</v>
      </c>
      <c r="Y5584" s="1">
        <v>2732</v>
      </c>
      <c r="Z5584" s="1">
        <v>2742</v>
      </c>
      <c r="AA5584" s="1">
        <v>2717</v>
      </c>
      <c r="AB5584" s="1" t="s">
        <v>24</v>
      </c>
      <c r="AC5584" s="1" t="s">
        <v>24</v>
      </c>
      <c r="AD5584" s="1" t="s">
        <v>24</v>
      </c>
      <c r="AE5584" s="1" t="s">
        <v>24</v>
      </c>
      <c r="AF5584" s="22"/>
    </row>
    <row r="5585" spans="1:32" x14ac:dyDescent="0.2">
      <c r="A5585" s="1">
        <v>54407</v>
      </c>
      <c r="B5585" s="1" t="s">
        <v>16673</v>
      </c>
      <c r="C5585" s="5" t="s">
        <v>0</v>
      </c>
      <c r="E5585" s="1" t="s">
        <v>16674</v>
      </c>
      <c r="F5585" s="1" t="s">
        <v>548</v>
      </c>
      <c r="G5585" s="1" t="s">
        <v>36</v>
      </c>
      <c r="H5585" s="1" t="s">
        <v>30</v>
      </c>
      <c r="I5585" s="1" t="s">
        <v>16</v>
      </c>
      <c r="J5585" s="1">
        <v>1</v>
      </c>
      <c r="K5585" s="1">
        <v>1</v>
      </c>
      <c r="L5585" s="1" t="s">
        <v>31</v>
      </c>
      <c r="M5585" s="1" t="s">
        <v>18</v>
      </c>
      <c r="N5585" s="1" t="s">
        <v>18</v>
      </c>
      <c r="O5585" s="1">
        <v>3</v>
      </c>
      <c r="P5585" s="1">
        <v>7</v>
      </c>
      <c r="Q5585" s="7" t="s">
        <v>17633</v>
      </c>
      <c r="R5585" s="1" t="s">
        <v>19</v>
      </c>
      <c r="S5585" s="1" t="s">
        <v>20</v>
      </c>
      <c r="T5585" s="1" t="s">
        <v>21</v>
      </c>
      <c r="V5585" s="1" t="s">
        <v>23</v>
      </c>
      <c r="W5585" s="1" t="s">
        <v>24</v>
      </c>
      <c r="X5585" s="1">
        <v>1306</v>
      </c>
      <c r="Y5585" s="1">
        <v>2730</v>
      </c>
      <c r="Z5585" s="1">
        <v>2741</v>
      </c>
      <c r="AA5585" s="1" t="s">
        <v>24</v>
      </c>
      <c r="AB5585" s="1" t="s">
        <v>24</v>
      </c>
      <c r="AC5585" s="1" t="s">
        <v>24</v>
      </c>
      <c r="AD5585" s="1" t="s">
        <v>24</v>
      </c>
      <c r="AE5585" s="1" t="s">
        <v>24</v>
      </c>
      <c r="AF5585" s="22"/>
    </row>
    <row r="5586" spans="1:32" x14ac:dyDescent="0.2">
      <c r="A5586" s="1">
        <v>54408</v>
      </c>
      <c r="B5586" s="1" t="s">
        <v>16675</v>
      </c>
      <c r="C5586" s="5" t="s">
        <v>0</v>
      </c>
      <c r="E5586" s="1" t="s">
        <v>16676</v>
      </c>
      <c r="F5586" s="1" t="s">
        <v>16677</v>
      </c>
      <c r="G5586" s="1" t="s">
        <v>16677</v>
      </c>
      <c r="H5586" s="1" t="s">
        <v>30</v>
      </c>
      <c r="I5586" s="1" t="s">
        <v>16</v>
      </c>
      <c r="J5586" s="1">
        <v>1</v>
      </c>
      <c r="K5586" s="1">
        <v>6</v>
      </c>
      <c r="L5586" s="1" t="s">
        <v>42</v>
      </c>
      <c r="M5586" s="1" t="s">
        <v>18</v>
      </c>
      <c r="N5586" s="1" t="s">
        <v>18</v>
      </c>
      <c r="O5586" s="1">
        <v>3</v>
      </c>
      <c r="P5586" s="1">
        <v>7</v>
      </c>
      <c r="Q5586" s="7" t="s">
        <v>17633</v>
      </c>
      <c r="R5586" s="1" t="s">
        <v>19</v>
      </c>
      <c r="S5586" s="1" t="s">
        <v>20</v>
      </c>
      <c r="T5586" s="1" t="s">
        <v>21</v>
      </c>
      <c r="V5586" s="1" t="s">
        <v>23</v>
      </c>
      <c r="W5586" s="1" t="s">
        <v>24</v>
      </c>
      <c r="X5586" s="1">
        <v>2705</v>
      </c>
      <c r="Y5586" s="1" t="s">
        <v>24</v>
      </c>
      <c r="Z5586" s="1" t="s">
        <v>24</v>
      </c>
      <c r="AA5586" s="1" t="s">
        <v>24</v>
      </c>
      <c r="AB5586" s="1" t="s">
        <v>24</v>
      </c>
      <c r="AC5586" s="1" t="s">
        <v>24</v>
      </c>
      <c r="AD5586" s="1" t="s">
        <v>24</v>
      </c>
      <c r="AE5586" s="1" t="s">
        <v>24</v>
      </c>
      <c r="AF5586" s="22"/>
    </row>
    <row r="5587" spans="1:32" x14ac:dyDescent="0.2">
      <c r="A5587" s="1">
        <v>54409</v>
      </c>
      <c r="B5587" s="1" t="s">
        <v>16678</v>
      </c>
      <c r="C5587" s="5" t="s">
        <v>0</v>
      </c>
      <c r="E5587" s="1" t="s">
        <v>16679</v>
      </c>
      <c r="F5587" s="1" t="s">
        <v>548</v>
      </c>
      <c r="G5587" s="1" t="s">
        <v>36</v>
      </c>
      <c r="H5587" s="1" t="s">
        <v>30</v>
      </c>
      <c r="I5587" s="1" t="s">
        <v>16</v>
      </c>
      <c r="J5587" s="1">
        <v>1</v>
      </c>
      <c r="K5587" s="1">
        <v>4</v>
      </c>
      <c r="L5587" s="1" t="s">
        <v>31</v>
      </c>
      <c r="M5587" s="1" t="s">
        <v>18</v>
      </c>
      <c r="N5587" s="1" t="s">
        <v>18</v>
      </c>
      <c r="O5587" s="1">
        <v>3</v>
      </c>
      <c r="P5587" s="1">
        <v>7</v>
      </c>
      <c r="Q5587" s="7" t="s">
        <v>17633</v>
      </c>
      <c r="R5587" s="1" t="s">
        <v>19</v>
      </c>
      <c r="S5587" s="1" t="s">
        <v>20</v>
      </c>
      <c r="T5587" s="1" t="s">
        <v>21</v>
      </c>
      <c r="U5587" s="1" t="s">
        <v>22</v>
      </c>
      <c r="V5587" s="1" t="s">
        <v>23</v>
      </c>
      <c r="W5587" s="1" t="s">
        <v>24</v>
      </c>
      <c r="X5587" s="1">
        <v>2404</v>
      </c>
      <c r="Y5587" s="1" t="s">
        <v>24</v>
      </c>
      <c r="Z5587" s="1" t="s">
        <v>24</v>
      </c>
      <c r="AA5587" s="1" t="s">
        <v>24</v>
      </c>
      <c r="AB5587" s="1" t="s">
        <v>24</v>
      </c>
      <c r="AC5587" s="1" t="s">
        <v>24</v>
      </c>
      <c r="AD5587" s="1" t="s">
        <v>24</v>
      </c>
      <c r="AE5587" s="1" t="s">
        <v>24</v>
      </c>
      <c r="AF5587" s="22"/>
    </row>
    <row r="5588" spans="1:32" x14ac:dyDescent="0.2">
      <c r="A5588" s="1">
        <v>54410</v>
      </c>
      <c r="B5588" s="1" t="s">
        <v>16680</v>
      </c>
      <c r="C5588" s="5" t="s">
        <v>0</v>
      </c>
      <c r="D5588" s="1" t="s">
        <v>16681</v>
      </c>
      <c r="E5588" s="1" t="s">
        <v>16682</v>
      </c>
      <c r="F5588" s="1" t="s">
        <v>548</v>
      </c>
      <c r="G5588" s="1" t="s">
        <v>36</v>
      </c>
      <c r="H5588" s="1" t="s">
        <v>30</v>
      </c>
      <c r="I5588" s="1" t="s">
        <v>16</v>
      </c>
      <c r="J5588" s="1">
        <v>1</v>
      </c>
      <c r="K5588" s="1">
        <v>6</v>
      </c>
      <c r="L5588" s="1" t="s">
        <v>31</v>
      </c>
      <c r="M5588" s="1" t="s">
        <v>18</v>
      </c>
      <c r="N5588" s="1" t="s">
        <v>18</v>
      </c>
      <c r="O5588" s="1">
        <v>3</v>
      </c>
      <c r="P5588" s="1">
        <v>7</v>
      </c>
      <c r="Q5588" s="7" t="s">
        <v>17633</v>
      </c>
      <c r="R5588" s="1" t="s">
        <v>19</v>
      </c>
      <c r="S5588" s="1" t="s">
        <v>20</v>
      </c>
      <c r="T5588" s="1" t="s">
        <v>21</v>
      </c>
      <c r="U5588" s="1" t="s">
        <v>22</v>
      </c>
      <c r="V5588" s="1" t="s">
        <v>24</v>
      </c>
      <c r="W5588" s="1" t="s">
        <v>24</v>
      </c>
      <c r="X5588" s="1">
        <v>1304</v>
      </c>
      <c r="Y5588" s="1">
        <v>2804</v>
      </c>
      <c r="Z5588" s="1" t="s">
        <v>24</v>
      </c>
      <c r="AA5588" s="1" t="s">
        <v>24</v>
      </c>
      <c r="AB5588" s="1" t="s">
        <v>24</v>
      </c>
      <c r="AC5588" s="1" t="s">
        <v>24</v>
      </c>
      <c r="AD5588" s="1" t="s">
        <v>24</v>
      </c>
      <c r="AE5588" s="1" t="s">
        <v>24</v>
      </c>
      <c r="AF5588" s="22"/>
    </row>
    <row r="5589" spans="1:32" x14ac:dyDescent="0.2">
      <c r="A5589" s="1">
        <v>54411</v>
      </c>
      <c r="B5589" s="1" t="s">
        <v>16683</v>
      </c>
      <c r="C5589" s="5" t="s">
        <v>0</v>
      </c>
      <c r="D5589" s="1" t="s">
        <v>16684</v>
      </c>
      <c r="E5589" s="1" t="s">
        <v>16685</v>
      </c>
      <c r="F5589" s="1" t="s">
        <v>669</v>
      </c>
      <c r="G5589" s="1" t="s">
        <v>311</v>
      </c>
      <c r="H5589" s="1" t="s">
        <v>30</v>
      </c>
      <c r="I5589" s="1" t="s">
        <v>16</v>
      </c>
      <c r="J5589" s="1">
        <v>1</v>
      </c>
      <c r="K5589" s="1">
        <v>4</v>
      </c>
      <c r="L5589" s="1" t="s">
        <v>31</v>
      </c>
      <c r="M5589" s="1" t="s">
        <v>18</v>
      </c>
      <c r="N5589" s="1" t="s">
        <v>18</v>
      </c>
      <c r="O5589" s="1">
        <v>3</v>
      </c>
      <c r="P5589" s="1">
        <v>7</v>
      </c>
      <c r="Q5589" s="7" t="s">
        <v>17633</v>
      </c>
      <c r="R5589" s="1" t="s">
        <v>19</v>
      </c>
      <c r="S5589" s="1" t="s">
        <v>20</v>
      </c>
      <c r="T5589" s="1" t="s">
        <v>21</v>
      </c>
      <c r="V5589" s="1" t="s">
        <v>24</v>
      </c>
      <c r="W5589" s="1" t="s">
        <v>24</v>
      </c>
      <c r="X5589" s="1">
        <v>2739</v>
      </c>
      <c r="Y5589" s="1">
        <v>2213</v>
      </c>
      <c r="Z5589" s="1">
        <v>3311</v>
      </c>
      <c r="AA5589" s="1" t="s">
        <v>24</v>
      </c>
      <c r="AB5589" s="1" t="s">
        <v>24</v>
      </c>
      <c r="AC5589" s="1" t="s">
        <v>24</v>
      </c>
      <c r="AD5589" s="1" t="s">
        <v>24</v>
      </c>
      <c r="AE5589" s="1" t="s">
        <v>24</v>
      </c>
      <c r="AF5589" s="22"/>
    </row>
    <row r="5590" spans="1:32" x14ac:dyDescent="0.2">
      <c r="A5590" s="1">
        <v>54412</v>
      </c>
      <c r="B5590" s="1" t="s">
        <v>16686</v>
      </c>
      <c r="C5590" s="5" t="s">
        <v>0</v>
      </c>
      <c r="D5590" s="1" t="s">
        <v>16687</v>
      </c>
      <c r="E5590" s="1" t="s">
        <v>16688</v>
      </c>
      <c r="F5590" s="1" t="s">
        <v>16689</v>
      </c>
      <c r="G5590" s="1" t="s">
        <v>460</v>
      </c>
      <c r="H5590" s="1" t="s">
        <v>461</v>
      </c>
      <c r="I5590" s="1" t="s">
        <v>16</v>
      </c>
      <c r="J5590" s="1">
        <v>1</v>
      </c>
      <c r="K5590" s="1">
        <v>4</v>
      </c>
      <c r="L5590" s="1" t="s">
        <v>42</v>
      </c>
      <c r="M5590" s="1" t="s">
        <v>18</v>
      </c>
      <c r="N5590" s="1" t="s">
        <v>18</v>
      </c>
      <c r="O5590" s="1">
        <v>3</v>
      </c>
      <c r="P5590" s="1">
        <v>6</v>
      </c>
      <c r="R5590" s="1" t="s">
        <v>19</v>
      </c>
      <c r="S5590" s="1" t="s">
        <v>20</v>
      </c>
      <c r="T5590" s="1" t="s">
        <v>21</v>
      </c>
      <c r="V5590" s="1" t="s">
        <v>24</v>
      </c>
      <c r="W5590" s="1" t="s">
        <v>24</v>
      </c>
      <c r="X5590" s="1">
        <v>2707</v>
      </c>
      <c r="Y5590" s="1">
        <v>3002</v>
      </c>
      <c r="Z5590" s="1" t="s">
        <v>24</v>
      </c>
      <c r="AA5590" s="1" t="s">
        <v>24</v>
      </c>
      <c r="AB5590" s="1" t="s">
        <v>24</v>
      </c>
      <c r="AC5590" s="1" t="s">
        <v>24</v>
      </c>
      <c r="AD5590" s="1" t="s">
        <v>24</v>
      </c>
      <c r="AE5590" s="1" t="s">
        <v>24</v>
      </c>
      <c r="AF5590" s="22"/>
    </row>
    <row r="5591" spans="1:32" x14ac:dyDescent="0.2">
      <c r="A5591" s="1">
        <v>54413</v>
      </c>
      <c r="B5591" s="1" t="s">
        <v>16690</v>
      </c>
      <c r="C5591" s="5" t="s">
        <v>0</v>
      </c>
      <c r="E5591" s="1" t="s">
        <v>16691</v>
      </c>
      <c r="F5591" s="1" t="s">
        <v>11079</v>
      </c>
      <c r="G5591" s="1" t="s">
        <v>11079</v>
      </c>
      <c r="H5591" s="1" t="s">
        <v>3228</v>
      </c>
      <c r="I5591" s="1" t="s">
        <v>16</v>
      </c>
      <c r="J5591" s="1">
        <v>1</v>
      </c>
      <c r="K5591" s="1">
        <v>1</v>
      </c>
      <c r="L5591" s="1" t="s">
        <v>42</v>
      </c>
      <c r="M5591" s="1" t="s">
        <v>18</v>
      </c>
      <c r="N5591" s="1" t="s">
        <v>18</v>
      </c>
      <c r="O5591" s="1">
        <v>3</v>
      </c>
      <c r="P5591" s="1">
        <v>7</v>
      </c>
      <c r="Q5591" s="7" t="s">
        <v>17633</v>
      </c>
      <c r="R5591" s="1" t="s">
        <v>19</v>
      </c>
      <c r="S5591" s="1" t="s">
        <v>63</v>
      </c>
      <c r="T5591" s="1" t="s">
        <v>21</v>
      </c>
      <c r="V5591" s="1" t="s">
        <v>24</v>
      </c>
      <c r="W5591" s="1" t="s">
        <v>24</v>
      </c>
      <c r="X5591" s="1">
        <v>3004</v>
      </c>
      <c r="Y5591" s="1">
        <v>2736</v>
      </c>
      <c r="Z5591" s="1">
        <v>1313</v>
      </c>
      <c r="AA5591" s="1" t="s">
        <v>24</v>
      </c>
      <c r="AB5591" s="1" t="s">
        <v>24</v>
      </c>
      <c r="AC5591" s="1" t="s">
        <v>24</v>
      </c>
      <c r="AD5591" s="1" t="s">
        <v>24</v>
      </c>
      <c r="AE5591" s="1" t="s">
        <v>24</v>
      </c>
      <c r="AF5591" s="22"/>
    </row>
    <row r="5592" spans="1:32" x14ac:dyDescent="0.2">
      <c r="A5592" s="1">
        <v>54414</v>
      </c>
      <c r="B5592" s="1" t="s">
        <v>16692</v>
      </c>
      <c r="C5592" s="5" t="s">
        <v>0</v>
      </c>
      <c r="E5592" s="1" t="s">
        <v>16693</v>
      </c>
      <c r="F5592" s="1" t="s">
        <v>11079</v>
      </c>
      <c r="G5592" s="1" t="s">
        <v>11079</v>
      </c>
      <c r="H5592" s="1" t="s">
        <v>3228</v>
      </c>
      <c r="I5592" s="1" t="s">
        <v>16</v>
      </c>
      <c r="J5592" s="1">
        <v>1</v>
      </c>
      <c r="K5592" s="1">
        <v>1</v>
      </c>
      <c r="L5592" s="1" t="s">
        <v>42</v>
      </c>
      <c r="M5592" s="1" t="s">
        <v>18</v>
      </c>
      <c r="N5592" s="1" t="s">
        <v>18</v>
      </c>
      <c r="O5592" s="1">
        <v>3</v>
      </c>
      <c r="P5592" s="1">
        <v>7</v>
      </c>
      <c r="Q5592" s="7" t="s">
        <v>17633</v>
      </c>
      <c r="R5592" s="1" t="s">
        <v>19</v>
      </c>
      <c r="S5592" s="1" t="s">
        <v>63</v>
      </c>
      <c r="T5592" s="1" t="s">
        <v>21</v>
      </c>
      <c r="V5592" s="1" t="s">
        <v>24</v>
      </c>
      <c r="W5592" s="1" t="s">
        <v>24</v>
      </c>
      <c r="X5592" s="1">
        <v>2730</v>
      </c>
      <c r="Y5592" s="1">
        <v>2720</v>
      </c>
      <c r="Z5592" s="1">
        <v>1306</v>
      </c>
      <c r="AA5592" s="1" t="s">
        <v>24</v>
      </c>
      <c r="AB5592" s="1" t="s">
        <v>24</v>
      </c>
      <c r="AC5592" s="1" t="s">
        <v>24</v>
      </c>
      <c r="AD5592" s="1" t="s">
        <v>24</v>
      </c>
      <c r="AE5592" s="1" t="s">
        <v>24</v>
      </c>
      <c r="AF5592" s="22"/>
    </row>
    <row r="5593" spans="1:32" x14ac:dyDescent="0.2">
      <c r="A5593" s="1">
        <v>54415</v>
      </c>
      <c r="B5593" s="1" t="s">
        <v>16694</v>
      </c>
      <c r="C5593" s="5" t="s">
        <v>0</v>
      </c>
      <c r="E5593" s="1" t="s">
        <v>16695</v>
      </c>
      <c r="F5593" s="1" t="s">
        <v>11079</v>
      </c>
      <c r="G5593" s="1" t="s">
        <v>11079</v>
      </c>
      <c r="H5593" s="1" t="s">
        <v>3228</v>
      </c>
      <c r="I5593" s="1" t="s">
        <v>16</v>
      </c>
      <c r="J5593" s="1">
        <v>1</v>
      </c>
      <c r="K5593" s="1">
        <v>1</v>
      </c>
      <c r="L5593" s="1" t="s">
        <v>42</v>
      </c>
      <c r="M5593" s="1" t="s">
        <v>18</v>
      </c>
      <c r="N5593" s="1" t="s">
        <v>18</v>
      </c>
      <c r="O5593" s="1">
        <v>3</v>
      </c>
      <c r="P5593" s="1">
        <v>7</v>
      </c>
      <c r="Q5593" s="7" t="s">
        <v>17633</v>
      </c>
      <c r="R5593" s="1" t="s">
        <v>19</v>
      </c>
      <c r="S5593" s="1" t="s">
        <v>63</v>
      </c>
      <c r="T5593" s="1" t="s">
        <v>21</v>
      </c>
      <c r="V5593" s="1" t="s">
        <v>23</v>
      </c>
      <c r="W5593" s="1" t="s">
        <v>24</v>
      </c>
      <c r="X5593" s="1">
        <v>2721</v>
      </c>
      <c r="Y5593" s="1" t="s">
        <v>24</v>
      </c>
      <c r="Z5593" s="1" t="s">
        <v>24</v>
      </c>
      <c r="AA5593" s="1" t="s">
        <v>24</v>
      </c>
      <c r="AB5593" s="1" t="s">
        <v>24</v>
      </c>
      <c r="AC5593" s="1" t="s">
        <v>24</v>
      </c>
      <c r="AD5593" s="1" t="s">
        <v>24</v>
      </c>
      <c r="AE5593" s="1" t="s">
        <v>24</v>
      </c>
      <c r="AF5593" s="22"/>
    </row>
    <row r="5594" spans="1:32" x14ac:dyDescent="0.2">
      <c r="A5594" s="1">
        <v>54416</v>
      </c>
      <c r="B5594" s="1" t="s">
        <v>16696</v>
      </c>
      <c r="C5594" s="5" t="s">
        <v>0</v>
      </c>
      <c r="E5594" s="1" t="s">
        <v>16697</v>
      </c>
      <c r="F5594" s="1" t="s">
        <v>11079</v>
      </c>
      <c r="G5594" s="1" t="s">
        <v>11079</v>
      </c>
      <c r="H5594" s="1" t="s">
        <v>3228</v>
      </c>
      <c r="I5594" s="1" t="s">
        <v>16</v>
      </c>
      <c r="J5594" s="1">
        <v>1</v>
      </c>
      <c r="K5594" s="1">
        <v>1</v>
      </c>
      <c r="L5594" s="1" t="s">
        <v>42</v>
      </c>
      <c r="M5594" s="1" t="s">
        <v>18</v>
      </c>
      <c r="N5594" s="1" t="s">
        <v>18</v>
      </c>
      <c r="O5594" s="1">
        <v>3</v>
      </c>
      <c r="P5594" s="1">
        <v>7</v>
      </c>
      <c r="Q5594" s="7" t="s">
        <v>17633</v>
      </c>
      <c r="R5594" s="1" t="s">
        <v>19</v>
      </c>
      <c r="S5594" s="1" t="s">
        <v>63</v>
      </c>
      <c r="T5594" s="1" t="s">
        <v>21</v>
      </c>
      <c r="V5594" s="1" t="s">
        <v>23</v>
      </c>
      <c r="W5594" s="1" t="s">
        <v>24</v>
      </c>
      <c r="X5594" s="1">
        <v>2735</v>
      </c>
      <c r="Y5594" s="1" t="s">
        <v>24</v>
      </c>
      <c r="Z5594" s="1" t="s">
        <v>24</v>
      </c>
      <c r="AA5594" s="1" t="s">
        <v>24</v>
      </c>
      <c r="AB5594" s="1" t="s">
        <v>24</v>
      </c>
      <c r="AC5594" s="1" t="s">
        <v>24</v>
      </c>
      <c r="AD5594" s="1" t="s">
        <v>24</v>
      </c>
      <c r="AE5594" s="1" t="s">
        <v>24</v>
      </c>
      <c r="AF5594" s="22"/>
    </row>
    <row r="5595" spans="1:32" x14ac:dyDescent="0.2">
      <c r="A5595" s="1">
        <v>54417</v>
      </c>
      <c r="B5595" s="1" t="s">
        <v>16698</v>
      </c>
      <c r="C5595" s="5" t="s">
        <v>0</v>
      </c>
      <c r="D5595" s="1" t="s">
        <v>16699</v>
      </c>
      <c r="E5595" s="1" t="s">
        <v>16700</v>
      </c>
      <c r="F5595" s="1" t="s">
        <v>1538</v>
      </c>
      <c r="G5595" s="1" t="s">
        <v>1538</v>
      </c>
      <c r="H5595" s="1" t="s">
        <v>30</v>
      </c>
      <c r="I5595" s="1" t="s">
        <v>112</v>
      </c>
      <c r="J5595" s="1">
        <v>0</v>
      </c>
      <c r="K5595" s="1">
        <v>0</v>
      </c>
      <c r="L5595" s="1" t="s">
        <v>42</v>
      </c>
      <c r="M5595" s="1" t="s">
        <v>18</v>
      </c>
      <c r="N5595" s="1" t="s">
        <v>18</v>
      </c>
      <c r="O5595" s="1">
        <v>3</v>
      </c>
      <c r="P5595" s="1">
        <v>6</v>
      </c>
      <c r="R5595" s="1" t="s">
        <v>19</v>
      </c>
      <c r="S5595" s="1" t="s">
        <v>20</v>
      </c>
      <c r="T5595" s="1" t="s">
        <v>21</v>
      </c>
      <c r="V5595" s="1" t="s">
        <v>24</v>
      </c>
      <c r="W5595" s="1" t="s">
        <v>24</v>
      </c>
      <c r="X5595" s="1">
        <v>1310</v>
      </c>
      <c r="Y5595" s="1">
        <v>2712</v>
      </c>
      <c r="Z5595" s="1" t="s">
        <v>24</v>
      </c>
      <c r="AA5595" s="1" t="s">
        <v>24</v>
      </c>
      <c r="AB5595" s="1" t="s">
        <v>24</v>
      </c>
      <c r="AC5595" s="1" t="s">
        <v>24</v>
      </c>
      <c r="AD5595" s="1" t="s">
        <v>24</v>
      </c>
      <c r="AE5595" s="1" t="s">
        <v>24</v>
      </c>
      <c r="AF5595" s="22"/>
    </row>
    <row r="5596" spans="1:32" x14ac:dyDescent="0.2">
      <c r="A5596" s="1">
        <v>54418</v>
      </c>
      <c r="B5596" s="1" t="s">
        <v>16701</v>
      </c>
      <c r="C5596" s="5" t="s">
        <v>0</v>
      </c>
      <c r="D5596" s="1" t="s">
        <v>16702</v>
      </c>
      <c r="E5596" s="1" t="s">
        <v>16703</v>
      </c>
      <c r="F5596" s="1" t="s">
        <v>7210</v>
      </c>
      <c r="G5596" s="1" t="s">
        <v>7210</v>
      </c>
      <c r="H5596" s="1" t="s">
        <v>30</v>
      </c>
      <c r="I5596" s="1" t="s">
        <v>16</v>
      </c>
      <c r="J5596" s="1">
        <v>1</v>
      </c>
      <c r="K5596" s="1">
        <v>12</v>
      </c>
      <c r="L5596" s="1" t="s">
        <v>42</v>
      </c>
      <c r="M5596" s="1" t="s">
        <v>18</v>
      </c>
      <c r="N5596" s="1" t="s">
        <v>18</v>
      </c>
      <c r="O5596" s="1">
        <v>3</v>
      </c>
      <c r="P5596" s="1">
        <v>6</v>
      </c>
      <c r="R5596" s="1" t="s">
        <v>19</v>
      </c>
      <c r="S5596" s="1" t="s">
        <v>20</v>
      </c>
      <c r="T5596" s="1" t="s">
        <v>21</v>
      </c>
      <c r="U5596" s="1" t="s">
        <v>22</v>
      </c>
      <c r="V5596" s="1" t="s">
        <v>23</v>
      </c>
      <c r="W5596" s="1" t="s">
        <v>24</v>
      </c>
      <c r="X5596" s="1">
        <v>1307</v>
      </c>
      <c r="Y5596" s="1">
        <v>1309</v>
      </c>
      <c r="Z5596" s="1" t="s">
        <v>24</v>
      </c>
      <c r="AA5596" s="1" t="s">
        <v>24</v>
      </c>
      <c r="AB5596" s="1" t="s">
        <v>24</v>
      </c>
      <c r="AC5596" s="1" t="s">
        <v>24</v>
      </c>
      <c r="AD5596" s="1" t="s">
        <v>24</v>
      </c>
      <c r="AE5596" s="1" t="s">
        <v>24</v>
      </c>
      <c r="AF5596" s="22"/>
    </row>
    <row r="5597" spans="1:32" x14ac:dyDescent="0.2">
      <c r="A5597" s="1">
        <v>54419</v>
      </c>
      <c r="B5597" s="1" t="s">
        <v>16704</v>
      </c>
      <c r="C5597" s="5" t="s">
        <v>0</v>
      </c>
      <c r="E5597" s="1" t="s">
        <v>16705</v>
      </c>
      <c r="F5597" s="1" t="s">
        <v>4152</v>
      </c>
      <c r="G5597" s="1" t="s">
        <v>4152</v>
      </c>
      <c r="H5597" s="1" t="s">
        <v>111</v>
      </c>
      <c r="I5597" s="1" t="s">
        <v>16</v>
      </c>
      <c r="J5597" s="1">
        <v>1</v>
      </c>
      <c r="K5597" s="1">
        <v>4</v>
      </c>
      <c r="L5597" s="1" t="s">
        <v>42</v>
      </c>
      <c r="M5597" s="1" t="s">
        <v>18</v>
      </c>
      <c r="N5597" s="1" t="s">
        <v>18</v>
      </c>
      <c r="O5597" s="1">
        <v>3</v>
      </c>
      <c r="P5597" s="1">
        <v>6</v>
      </c>
      <c r="R5597" s="1" t="s">
        <v>19</v>
      </c>
      <c r="S5597" s="1" t="s">
        <v>20</v>
      </c>
      <c r="T5597" s="1" t="s">
        <v>21</v>
      </c>
      <c r="V5597" s="1" t="s">
        <v>23</v>
      </c>
      <c r="W5597" s="1" t="s">
        <v>24</v>
      </c>
      <c r="X5597" s="1">
        <v>2701</v>
      </c>
      <c r="Y5597" s="1" t="s">
        <v>24</v>
      </c>
      <c r="Z5597" s="1" t="s">
        <v>24</v>
      </c>
      <c r="AA5597" s="1" t="s">
        <v>24</v>
      </c>
      <c r="AB5597" s="1" t="s">
        <v>24</v>
      </c>
      <c r="AC5597" s="1" t="s">
        <v>24</v>
      </c>
      <c r="AD5597" s="1" t="s">
        <v>24</v>
      </c>
      <c r="AE5597" s="1" t="s">
        <v>24</v>
      </c>
      <c r="AF5597" s="22"/>
    </row>
    <row r="5598" spans="1:32" x14ac:dyDescent="0.2">
      <c r="A5598" s="1">
        <v>54420</v>
      </c>
      <c r="B5598" s="1" t="s">
        <v>16706</v>
      </c>
      <c r="C5598" s="5" t="s">
        <v>0</v>
      </c>
      <c r="E5598" s="1" t="s">
        <v>16707</v>
      </c>
      <c r="F5598" s="1" t="s">
        <v>4152</v>
      </c>
      <c r="G5598" s="1" t="s">
        <v>4152</v>
      </c>
      <c r="H5598" s="1" t="s">
        <v>111</v>
      </c>
      <c r="I5598" s="1" t="s">
        <v>16</v>
      </c>
      <c r="J5598" s="1">
        <v>1</v>
      </c>
      <c r="K5598" s="1">
        <v>4</v>
      </c>
      <c r="L5598" s="1" t="s">
        <v>42</v>
      </c>
      <c r="M5598" s="1" t="s">
        <v>18</v>
      </c>
      <c r="N5598" s="1" t="s">
        <v>18</v>
      </c>
      <c r="O5598" s="1">
        <v>3</v>
      </c>
      <c r="P5598" s="1">
        <v>6</v>
      </c>
      <c r="R5598" s="1" t="s">
        <v>19</v>
      </c>
      <c r="S5598" s="1" t="s">
        <v>63</v>
      </c>
      <c r="T5598" s="1" t="s">
        <v>21</v>
      </c>
      <c r="V5598" s="1" t="s">
        <v>24</v>
      </c>
      <c r="W5598" s="1" t="s">
        <v>24</v>
      </c>
      <c r="X5598" s="1">
        <v>1303</v>
      </c>
      <c r="Y5598" s="1">
        <v>1312</v>
      </c>
      <c r="Z5598" s="1">
        <v>2712</v>
      </c>
      <c r="AA5598" s="1" t="s">
        <v>24</v>
      </c>
      <c r="AB5598" s="1" t="s">
        <v>24</v>
      </c>
      <c r="AC5598" s="1" t="s">
        <v>24</v>
      </c>
      <c r="AD5598" s="1" t="s">
        <v>24</v>
      </c>
      <c r="AE5598" s="1" t="s">
        <v>24</v>
      </c>
      <c r="AF5598" s="22"/>
    </row>
    <row r="5599" spans="1:32" x14ac:dyDescent="0.2">
      <c r="A5599" s="1">
        <v>54421</v>
      </c>
      <c r="B5599" s="1" t="s">
        <v>16708</v>
      </c>
      <c r="C5599" s="5" t="s">
        <v>0</v>
      </c>
      <c r="E5599" s="1" t="s">
        <v>16709</v>
      </c>
      <c r="F5599" s="1" t="s">
        <v>4152</v>
      </c>
      <c r="G5599" s="1" t="s">
        <v>4152</v>
      </c>
      <c r="H5599" s="1" t="s">
        <v>111</v>
      </c>
      <c r="I5599" s="1" t="s">
        <v>16</v>
      </c>
      <c r="J5599" s="1">
        <v>1</v>
      </c>
      <c r="K5599" s="1">
        <v>4</v>
      </c>
      <c r="L5599" s="1" t="s">
        <v>42</v>
      </c>
      <c r="M5599" s="1" t="s">
        <v>18</v>
      </c>
      <c r="N5599" s="1" t="s">
        <v>18</v>
      </c>
      <c r="O5599" s="1">
        <v>3</v>
      </c>
      <c r="P5599" s="1">
        <v>6</v>
      </c>
      <c r="R5599" s="1" t="s">
        <v>19</v>
      </c>
      <c r="S5599" s="1" t="s">
        <v>63</v>
      </c>
      <c r="T5599" s="1" t="s">
        <v>21</v>
      </c>
      <c r="V5599" s="1" t="s">
        <v>24</v>
      </c>
      <c r="W5599" s="1" t="s">
        <v>24</v>
      </c>
      <c r="X5599" s="1">
        <v>1300</v>
      </c>
      <c r="Y5599" s="1" t="s">
        <v>24</v>
      </c>
      <c r="Z5599" s="1" t="s">
        <v>24</v>
      </c>
      <c r="AA5599" s="1" t="s">
        <v>24</v>
      </c>
      <c r="AB5599" s="1" t="s">
        <v>24</v>
      </c>
      <c r="AC5599" s="1" t="s">
        <v>24</v>
      </c>
      <c r="AD5599" s="1" t="s">
        <v>24</v>
      </c>
      <c r="AE5599" s="1" t="s">
        <v>24</v>
      </c>
      <c r="AF5599" s="22"/>
    </row>
    <row r="5600" spans="1:32" x14ac:dyDescent="0.2">
      <c r="A5600" s="1">
        <v>54422</v>
      </c>
      <c r="B5600" s="1" t="s">
        <v>16710</v>
      </c>
      <c r="C5600" s="5" t="s">
        <v>0</v>
      </c>
      <c r="E5600" s="1" t="s">
        <v>16711</v>
      </c>
      <c r="F5600" s="1" t="s">
        <v>4152</v>
      </c>
      <c r="G5600" s="1" t="s">
        <v>4152</v>
      </c>
      <c r="H5600" s="1" t="s">
        <v>111</v>
      </c>
      <c r="I5600" s="1" t="s">
        <v>16</v>
      </c>
      <c r="J5600" s="1">
        <v>1</v>
      </c>
      <c r="K5600" s="1">
        <v>4</v>
      </c>
      <c r="L5600" s="1" t="s">
        <v>42</v>
      </c>
      <c r="M5600" s="1" t="s">
        <v>18</v>
      </c>
      <c r="N5600" s="1" t="s">
        <v>18</v>
      </c>
      <c r="O5600" s="1">
        <v>3</v>
      </c>
      <c r="P5600" s="1">
        <v>6</v>
      </c>
      <c r="R5600" s="1" t="s">
        <v>19</v>
      </c>
      <c r="S5600" s="1" t="s">
        <v>20</v>
      </c>
      <c r="T5600" s="1" t="s">
        <v>21</v>
      </c>
      <c r="V5600" s="1" t="s">
        <v>24</v>
      </c>
      <c r="W5600" s="1" t="s">
        <v>24</v>
      </c>
      <c r="X5600" s="1">
        <v>2800</v>
      </c>
      <c r="Y5600" s="1" t="s">
        <v>24</v>
      </c>
      <c r="Z5600" s="1" t="s">
        <v>24</v>
      </c>
      <c r="AA5600" s="1" t="s">
        <v>24</v>
      </c>
      <c r="AB5600" s="1" t="s">
        <v>24</v>
      </c>
      <c r="AC5600" s="1" t="s">
        <v>24</v>
      </c>
      <c r="AD5600" s="1" t="s">
        <v>24</v>
      </c>
      <c r="AE5600" s="1" t="s">
        <v>24</v>
      </c>
      <c r="AF5600" s="22"/>
    </row>
    <row r="5601" spans="1:32" x14ac:dyDescent="0.2">
      <c r="A5601" s="1">
        <v>54423</v>
      </c>
      <c r="B5601" s="1" t="s">
        <v>16712</v>
      </c>
      <c r="C5601" s="5" t="s">
        <v>0</v>
      </c>
      <c r="E5601" s="1" t="s">
        <v>16713</v>
      </c>
      <c r="F5601" s="1" t="s">
        <v>4152</v>
      </c>
      <c r="G5601" s="1" t="s">
        <v>4152</v>
      </c>
      <c r="H5601" s="1" t="s">
        <v>111</v>
      </c>
      <c r="I5601" s="1" t="s">
        <v>16</v>
      </c>
      <c r="J5601" s="1">
        <v>1</v>
      </c>
      <c r="K5601" s="1">
        <v>4</v>
      </c>
      <c r="L5601" s="1" t="s">
        <v>42</v>
      </c>
      <c r="M5601" s="1" t="s">
        <v>18</v>
      </c>
      <c r="N5601" s="1" t="s">
        <v>18</v>
      </c>
      <c r="O5601" s="1">
        <v>3</v>
      </c>
      <c r="P5601" s="1">
        <v>6</v>
      </c>
      <c r="R5601" s="1" t="s">
        <v>19</v>
      </c>
      <c r="S5601" s="1" t="s">
        <v>20</v>
      </c>
      <c r="T5601" s="1" t="s">
        <v>21</v>
      </c>
      <c r="V5601" s="1" t="s">
        <v>24</v>
      </c>
      <c r="W5601" s="1" t="s">
        <v>24</v>
      </c>
      <c r="X5601" s="1">
        <v>1303</v>
      </c>
      <c r="Y5601" s="1">
        <v>1312</v>
      </c>
      <c r="Z5601" s="1" t="s">
        <v>24</v>
      </c>
      <c r="AA5601" s="1" t="s">
        <v>24</v>
      </c>
      <c r="AB5601" s="1" t="s">
        <v>24</v>
      </c>
      <c r="AC5601" s="1" t="s">
        <v>24</v>
      </c>
      <c r="AD5601" s="1" t="s">
        <v>24</v>
      </c>
      <c r="AE5601" s="1" t="s">
        <v>24</v>
      </c>
      <c r="AF5601" s="22"/>
    </row>
    <row r="5602" spans="1:32" x14ac:dyDescent="0.2">
      <c r="A5602" s="1">
        <v>54424</v>
      </c>
      <c r="B5602" s="1" t="s">
        <v>16714</v>
      </c>
      <c r="C5602" s="5" t="s">
        <v>0</v>
      </c>
      <c r="D5602" s="1" t="s">
        <v>16715</v>
      </c>
      <c r="E5602" s="1" t="s">
        <v>16716</v>
      </c>
      <c r="F5602" s="1" t="s">
        <v>3358</v>
      </c>
      <c r="G5602" s="1" t="s">
        <v>3358</v>
      </c>
      <c r="H5602" s="1" t="s">
        <v>30</v>
      </c>
      <c r="I5602" s="1" t="s">
        <v>16</v>
      </c>
      <c r="J5602" s="1">
        <v>1</v>
      </c>
      <c r="K5602" s="1">
        <v>4</v>
      </c>
      <c r="L5602" s="1" t="s">
        <v>42</v>
      </c>
      <c r="M5602" s="1" t="s">
        <v>18</v>
      </c>
      <c r="N5602" s="1" t="s">
        <v>18</v>
      </c>
      <c r="O5602" s="1">
        <v>3</v>
      </c>
      <c r="P5602" s="1">
        <v>6</v>
      </c>
      <c r="R5602" s="1" t="s">
        <v>19</v>
      </c>
      <c r="S5602" s="1" t="s">
        <v>20</v>
      </c>
      <c r="T5602" s="1" t="s">
        <v>21</v>
      </c>
      <c r="V5602" s="1" t="s">
        <v>23</v>
      </c>
      <c r="W5602" s="1" t="s">
        <v>24</v>
      </c>
      <c r="X5602" s="1">
        <v>2735</v>
      </c>
      <c r="Y5602" s="1">
        <v>2919</v>
      </c>
      <c r="Z5602" s="1" t="s">
        <v>24</v>
      </c>
      <c r="AA5602" s="1" t="s">
        <v>24</v>
      </c>
      <c r="AB5602" s="1" t="s">
        <v>24</v>
      </c>
      <c r="AC5602" s="1" t="s">
        <v>24</v>
      </c>
      <c r="AD5602" s="1" t="s">
        <v>24</v>
      </c>
      <c r="AE5602" s="1" t="s">
        <v>24</v>
      </c>
      <c r="AF5602" s="22"/>
    </row>
    <row r="5603" spans="1:32" x14ac:dyDescent="0.2">
      <c r="A5603" s="1">
        <v>54425</v>
      </c>
      <c r="B5603" s="1" t="s">
        <v>16717</v>
      </c>
      <c r="C5603" s="5" t="s">
        <v>0</v>
      </c>
      <c r="E5603" s="1" t="s">
        <v>16718</v>
      </c>
      <c r="F5603" s="1" t="s">
        <v>16719</v>
      </c>
      <c r="G5603" s="1" t="s">
        <v>16720</v>
      </c>
      <c r="H5603" s="1" t="s">
        <v>4064</v>
      </c>
      <c r="I5603" s="1" t="s">
        <v>16</v>
      </c>
      <c r="J5603" s="1">
        <v>1</v>
      </c>
      <c r="K5603" s="1">
        <v>4</v>
      </c>
      <c r="L5603" s="1" t="s">
        <v>31</v>
      </c>
      <c r="M5603" s="1" t="s">
        <v>4065</v>
      </c>
      <c r="N5603" s="1" t="s">
        <v>9604</v>
      </c>
      <c r="O5603" s="1">
        <v>2</v>
      </c>
      <c r="P5603" s="1">
        <v>5</v>
      </c>
      <c r="R5603" s="1" t="s">
        <v>19</v>
      </c>
      <c r="S5603" s="1" t="s">
        <v>20</v>
      </c>
      <c r="T5603" s="1" t="s">
        <v>21</v>
      </c>
      <c r="V5603" s="1" t="s">
        <v>24</v>
      </c>
      <c r="W5603" s="1" t="s">
        <v>24</v>
      </c>
      <c r="X5603" s="1">
        <v>2738</v>
      </c>
      <c r="Y5603" s="1">
        <v>2800</v>
      </c>
      <c r="Z5603" s="1" t="s">
        <v>24</v>
      </c>
      <c r="AA5603" s="1" t="s">
        <v>24</v>
      </c>
      <c r="AB5603" s="1" t="s">
        <v>24</v>
      </c>
      <c r="AC5603" s="1" t="s">
        <v>24</v>
      </c>
      <c r="AD5603" s="1" t="s">
        <v>24</v>
      </c>
      <c r="AE5603" s="1" t="s">
        <v>24</v>
      </c>
      <c r="AF5603" s="22"/>
    </row>
    <row r="5604" spans="1:32" x14ac:dyDescent="0.2">
      <c r="A5604" s="1">
        <v>54426</v>
      </c>
      <c r="B5604" s="1" t="s">
        <v>16721</v>
      </c>
      <c r="C5604" s="5" t="s">
        <v>0</v>
      </c>
      <c r="E5604" s="1" t="s">
        <v>16722</v>
      </c>
      <c r="F5604" s="1" t="s">
        <v>16723</v>
      </c>
      <c r="G5604" s="1" t="s">
        <v>16723</v>
      </c>
      <c r="H5604" s="1" t="s">
        <v>135</v>
      </c>
      <c r="I5604" s="1" t="s">
        <v>16</v>
      </c>
      <c r="J5604" s="1">
        <v>1</v>
      </c>
      <c r="K5604" s="1">
        <v>1</v>
      </c>
      <c r="L5604" s="1" t="s">
        <v>42</v>
      </c>
      <c r="M5604" s="1" t="s">
        <v>1131</v>
      </c>
      <c r="N5604" s="1" t="s">
        <v>5887</v>
      </c>
      <c r="O5604" s="1">
        <v>2</v>
      </c>
      <c r="P5604" s="1">
        <v>6</v>
      </c>
      <c r="R5604" s="1" t="s">
        <v>19</v>
      </c>
      <c r="S5604" s="1" t="s">
        <v>20</v>
      </c>
      <c r="T5604" s="1" t="s">
        <v>21</v>
      </c>
      <c r="V5604" s="1" t="s">
        <v>24</v>
      </c>
      <c r="W5604" s="1" t="s">
        <v>24</v>
      </c>
      <c r="X5604" s="1">
        <v>2729</v>
      </c>
      <c r="Y5604" s="1" t="s">
        <v>24</v>
      </c>
      <c r="Z5604" s="1" t="s">
        <v>24</v>
      </c>
      <c r="AA5604" s="1" t="s">
        <v>24</v>
      </c>
      <c r="AB5604" s="1" t="s">
        <v>24</v>
      </c>
      <c r="AC5604" s="1" t="s">
        <v>24</v>
      </c>
      <c r="AD5604" s="1" t="s">
        <v>24</v>
      </c>
      <c r="AE5604" s="1" t="s">
        <v>24</v>
      </c>
      <c r="AF5604" s="22"/>
    </row>
    <row r="5605" spans="1:32" x14ac:dyDescent="0.2">
      <c r="A5605" s="1">
        <v>54427</v>
      </c>
      <c r="B5605" s="1" t="s">
        <v>16724</v>
      </c>
      <c r="C5605" s="5" t="s">
        <v>0</v>
      </c>
      <c r="D5605" s="1" t="s">
        <v>16725</v>
      </c>
      <c r="E5605" s="1" t="s">
        <v>16726</v>
      </c>
      <c r="F5605" s="1" t="s">
        <v>16727</v>
      </c>
      <c r="G5605" s="1" t="s">
        <v>16727</v>
      </c>
      <c r="H5605" s="1" t="s">
        <v>899</v>
      </c>
      <c r="I5605" s="1" t="s">
        <v>16</v>
      </c>
      <c r="J5605" s="1">
        <v>1</v>
      </c>
      <c r="K5605" s="1">
        <v>2</v>
      </c>
      <c r="L5605" s="1" t="s">
        <v>42</v>
      </c>
      <c r="M5605" s="1" t="s">
        <v>18</v>
      </c>
      <c r="N5605" s="1" t="s">
        <v>18</v>
      </c>
      <c r="O5605" s="1">
        <v>3</v>
      </c>
      <c r="P5605" s="1">
        <v>6</v>
      </c>
      <c r="R5605" s="1" t="s">
        <v>19</v>
      </c>
      <c r="S5605" s="1" t="s">
        <v>20</v>
      </c>
      <c r="T5605" s="1" t="s">
        <v>21</v>
      </c>
      <c r="U5605" s="1" t="s">
        <v>22</v>
      </c>
      <c r="V5605" s="1" t="s">
        <v>24</v>
      </c>
      <c r="W5605" s="1" t="s">
        <v>24</v>
      </c>
      <c r="X5605" s="1">
        <v>1314</v>
      </c>
      <c r="Y5605" s="1">
        <v>3000</v>
      </c>
      <c r="Z5605" s="1" t="s">
        <v>24</v>
      </c>
      <c r="AA5605" s="1" t="s">
        <v>24</v>
      </c>
      <c r="AB5605" s="1" t="s">
        <v>24</v>
      </c>
      <c r="AC5605" s="1" t="s">
        <v>24</v>
      </c>
      <c r="AD5605" s="1" t="s">
        <v>24</v>
      </c>
      <c r="AE5605" s="1" t="s">
        <v>24</v>
      </c>
      <c r="AF5605" s="22"/>
    </row>
    <row r="5606" spans="1:32" x14ac:dyDescent="0.2">
      <c r="A5606" s="1">
        <v>54428</v>
      </c>
      <c r="B5606" s="1" t="s">
        <v>16728</v>
      </c>
      <c r="C5606" s="5" t="s">
        <v>0</v>
      </c>
      <c r="D5606" s="1" t="s">
        <v>16729</v>
      </c>
      <c r="F5606" s="1" t="s">
        <v>16730</v>
      </c>
      <c r="G5606" s="1" t="s">
        <v>16730</v>
      </c>
      <c r="H5606" s="1" t="s">
        <v>1384</v>
      </c>
      <c r="I5606" s="1" t="s">
        <v>16</v>
      </c>
      <c r="J5606" s="1">
        <v>1</v>
      </c>
      <c r="K5606" s="1">
        <v>3</v>
      </c>
      <c r="L5606" s="1" t="s">
        <v>42</v>
      </c>
      <c r="M5606" s="1" t="s">
        <v>18</v>
      </c>
      <c r="N5606" s="1" t="s">
        <v>18</v>
      </c>
      <c r="O5606" s="1">
        <v>2</v>
      </c>
      <c r="P5606" s="1">
        <v>6</v>
      </c>
      <c r="R5606" s="1" t="s">
        <v>19</v>
      </c>
      <c r="S5606" s="1" t="s">
        <v>20</v>
      </c>
      <c r="T5606" s="1" t="s">
        <v>21</v>
      </c>
      <c r="V5606" s="1" t="s">
        <v>23</v>
      </c>
      <c r="W5606" s="1" t="s">
        <v>24</v>
      </c>
      <c r="X5606" s="1">
        <v>2403</v>
      </c>
      <c r="Y5606" s="1">
        <v>2723</v>
      </c>
      <c r="Z5606" s="1">
        <v>2740</v>
      </c>
      <c r="AA5606" s="1" t="s">
        <v>24</v>
      </c>
      <c r="AB5606" s="1" t="s">
        <v>24</v>
      </c>
      <c r="AC5606" s="1" t="s">
        <v>24</v>
      </c>
      <c r="AD5606" s="1" t="s">
        <v>24</v>
      </c>
      <c r="AE5606" s="1" t="s">
        <v>24</v>
      </c>
      <c r="AF5606" s="22"/>
    </row>
    <row r="5607" spans="1:32" x14ac:dyDescent="0.2">
      <c r="A5607" s="1">
        <v>54429</v>
      </c>
      <c r="B5607" s="1" t="s">
        <v>16731</v>
      </c>
      <c r="C5607" s="5" t="s">
        <v>0</v>
      </c>
      <c r="E5607" s="1" t="s">
        <v>16732</v>
      </c>
      <c r="F5607" s="1" t="s">
        <v>16733</v>
      </c>
      <c r="G5607" s="1" t="s">
        <v>16733</v>
      </c>
      <c r="H5607" s="1" t="s">
        <v>30</v>
      </c>
      <c r="I5607" s="1" t="s">
        <v>16</v>
      </c>
      <c r="J5607" s="1">
        <v>1</v>
      </c>
      <c r="K5607" s="1">
        <v>1</v>
      </c>
      <c r="L5607" s="1" t="s">
        <v>42</v>
      </c>
      <c r="M5607" s="1" t="s">
        <v>18</v>
      </c>
      <c r="N5607" s="1" t="s">
        <v>18</v>
      </c>
      <c r="O5607" s="1">
        <v>2</v>
      </c>
      <c r="P5607" s="1">
        <v>7</v>
      </c>
      <c r="Q5607" s="7" t="s">
        <v>17633</v>
      </c>
      <c r="R5607" s="1" t="s">
        <v>19</v>
      </c>
      <c r="S5607" s="1" t="s">
        <v>20</v>
      </c>
      <c r="T5607" s="1" t="s">
        <v>21</v>
      </c>
      <c r="V5607" s="1" t="s">
        <v>23</v>
      </c>
      <c r="W5607" s="1" t="s">
        <v>24</v>
      </c>
      <c r="X5607" s="1">
        <v>2705</v>
      </c>
      <c r="Y5607" s="1" t="s">
        <v>24</v>
      </c>
      <c r="Z5607" s="1" t="s">
        <v>24</v>
      </c>
      <c r="AA5607" s="1" t="s">
        <v>24</v>
      </c>
      <c r="AB5607" s="1" t="s">
        <v>24</v>
      </c>
      <c r="AC5607" s="1" t="s">
        <v>24</v>
      </c>
      <c r="AD5607" s="1" t="s">
        <v>24</v>
      </c>
      <c r="AE5607" s="1" t="s">
        <v>24</v>
      </c>
      <c r="AF5607" s="22"/>
    </row>
    <row r="5608" spans="1:32" x14ac:dyDescent="0.2">
      <c r="A5608" s="1">
        <v>54430</v>
      </c>
      <c r="B5608" s="1" t="s">
        <v>16734</v>
      </c>
      <c r="C5608" s="5" t="s">
        <v>0</v>
      </c>
      <c r="D5608" s="1" t="s">
        <v>16735</v>
      </c>
      <c r="F5608" s="1" t="s">
        <v>16736</v>
      </c>
      <c r="G5608" s="1" t="s">
        <v>16737</v>
      </c>
      <c r="H5608" s="1" t="s">
        <v>147</v>
      </c>
      <c r="I5608" s="1" t="s">
        <v>16</v>
      </c>
      <c r="J5608" s="1">
        <v>1</v>
      </c>
      <c r="K5608" s="1">
        <v>4</v>
      </c>
      <c r="L5608" s="1" t="s">
        <v>42</v>
      </c>
      <c r="M5608" s="1" t="s">
        <v>117</v>
      </c>
      <c r="N5608" s="1" t="s">
        <v>118</v>
      </c>
      <c r="O5608" s="1">
        <v>3</v>
      </c>
      <c r="P5608" s="1">
        <v>5</v>
      </c>
      <c r="R5608" s="1" t="s">
        <v>19</v>
      </c>
      <c r="S5608" s="1" t="s">
        <v>20</v>
      </c>
      <c r="T5608" s="1" t="s">
        <v>21</v>
      </c>
      <c r="V5608" s="1" t="s">
        <v>23</v>
      </c>
      <c r="W5608" s="1" t="s">
        <v>24</v>
      </c>
      <c r="X5608" s="1">
        <v>2712</v>
      </c>
      <c r="Y5608" s="1">
        <v>2724</v>
      </c>
      <c r="Z5608" s="1" t="s">
        <v>24</v>
      </c>
      <c r="AA5608" s="1" t="s">
        <v>24</v>
      </c>
      <c r="AB5608" s="1" t="s">
        <v>24</v>
      </c>
      <c r="AC5608" s="1" t="s">
        <v>24</v>
      </c>
      <c r="AD5608" s="1" t="s">
        <v>24</v>
      </c>
      <c r="AE5608" s="1" t="s">
        <v>24</v>
      </c>
      <c r="AF5608" s="22"/>
    </row>
    <row r="5609" spans="1:32" x14ac:dyDescent="0.2">
      <c r="A5609" s="1">
        <v>54431</v>
      </c>
      <c r="B5609" s="1" t="s">
        <v>16738</v>
      </c>
      <c r="C5609" s="5" t="s">
        <v>0</v>
      </c>
      <c r="D5609" s="1" t="s">
        <v>16739</v>
      </c>
      <c r="F5609" s="1" t="s">
        <v>16736</v>
      </c>
      <c r="G5609" s="1" t="s">
        <v>16737</v>
      </c>
      <c r="H5609" s="1" t="s">
        <v>147</v>
      </c>
      <c r="I5609" s="1" t="s">
        <v>16</v>
      </c>
      <c r="J5609" s="1">
        <v>1</v>
      </c>
      <c r="K5609" s="1">
        <v>3</v>
      </c>
      <c r="L5609" s="1" t="s">
        <v>31</v>
      </c>
      <c r="M5609" s="1" t="s">
        <v>117</v>
      </c>
      <c r="N5609" s="1" t="s">
        <v>118</v>
      </c>
      <c r="O5609" s="1">
        <v>3</v>
      </c>
      <c r="P5609" s="1">
        <v>5</v>
      </c>
      <c r="R5609" s="1" t="s">
        <v>19</v>
      </c>
      <c r="S5609" s="1" t="s">
        <v>20</v>
      </c>
      <c r="T5609" s="1" t="s">
        <v>21</v>
      </c>
      <c r="V5609" s="1" t="s">
        <v>24</v>
      </c>
      <c r="W5609" s="1" t="s">
        <v>24</v>
      </c>
      <c r="X5609" s="1">
        <v>2712</v>
      </c>
      <c r="Y5609" s="1">
        <v>2705</v>
      </c>
      <c r="Z5609" s="1" t="s">
        <v>24</v>
      </c>
      <c r="AA5609" s="1" t="s">
        <v>24</v>
      </c>
      <c r="AB5609" s="1" t="s">
        <v>24</v>
      </c>
      <c r="AC5609" s="1" t="s">
        <v>24</v>
      </c>
      <c r="AD5609" s="1" t="s">
        <v>24</v>
      </c>
      <c r="AE5609" s="1" t="s">
        <v>24</v>
      </c>
      <c r="AF5609" s="22"/>
    </row>
    <row r="5610" spans="1:32" x14ac:dyDescent="0.2">
      <c r="A5610" s="1">
        <v>54432</v>
      </c>
      <c r="B5610" s="1" t="s">
        <v>16740</v>
      </c>
      <c r="C5610" s="5" t="s">
        <v>0</v>
      </c>
      <c r="D5610" s="1" t="s">
        <v>16741</v>
      </c>
      <c r="E5610" s="1" t="s">
        <v>16742</v>
      </c>
      <c r="F5610" s="1" t="s">
        <v>16743</v>
      </c>
      <c r="G5610" s="1" t="s">
        <v>16743</v>
      </c>
      <c r="H5610" s="1" t="s">
        <v>2772</v>
      </c>
      <c r="I5610" s="1" t="s">
        <v>16</v>
      </c>
      <c r="J5610" s="1">
        <v>1</v>
      </c>
      <c r="K5610" s="1">
        <v>4</v>
      </c>
      <c r="L5610" s="1" t="s">
        <v>42</v>
      </c>
      <c r="M5610" s="1" t="s">
        <v>6208</v>
      </c>
      <c r="N5610" s="1" t="s">
        <v>4976</v>
      </c>
      <c r="O5610" s="1">
        <v>3</v>
      </c>
      <c r="P5610" s="1">
        <v>5</v>
      </c>
      <c r="R5610" s="1" t="s">
        <v>19</v>
      </c>
      <c r="S5610" s="1" t="s">
        <v>20</v>
      </c>
      <c r="T5610" s="1" t="s">
        <v>21</v>
      </c>
      <c r="V5610" s="1" t="s">
        <v>24</v>
      </c>
      <c r="W5610" s="1" t="s">
        <v>24</v>
      </c>
      <c r="X5610" s="1">
        <v>2700</v>
      </c>
      <c r="Y5610" s="1" t="s">
        <v>24</v>
      </c>
      <c r="Z5610" s="1" t="s">
        <v>24</v>
      </c>
      <c r="AA5610" s="1" t="s">
        <v>24</v>
      </c>
      <c r="AB5610" s="1" t="s">
        <v>24</v>
      </c>
      <c r="AC5610" s="1" t="s">
        <v>24</v>
      </c>
      <c r="AD5610" s="1" t="s">
        <v>24</v>
      </c>
      <c r="AE5610" s="1" t="s">
        <v>24</v>
      </c>
      <c r="AF5610" s="22"/>
    </row>
    <row r="5611" spans="1:32" x14ac:dyDescent="0.2">
      <c r="A5611" s="1">
        <v>54433</v>
      </c>
      <c r="B5611" s="1" t="s">
        <v>16744</v>
      </c>
      <c r="C5611" s="5" t="s">
        <v>0</v>
      </c>
      <c r="D5611" s="1" t="s">
        <v>16745</v>
      </c>
      <c r="E5611" s="1" t="s">
        <v>16746</v>
      </c>
      <c r="F5611" s="1" t="s">
        <v>16747</v>
      </c>
      <c r="G5611" s="1" t="s">
        <v>16748</v>
      </c>
      <c r="H5611" s="1" t="s">
        <v>461</v>
      </c>
      <c r="I5611" s="1" t="s">
        <v>16</v>
      </c>
      <c r="J5611" s="1">
        <v>1</v>
      </c>
      <c r="K5611" s="1">
        <v>6</v>
      </c>
      <c r="L5611" s="1" t="s">
        <v>42</v>
      </c>
      <c r="M5611" s="1" t="s">
        <v>18</v>
      </c>
      <c r="N5611" s="1" t="s">
        <v>18</v>
      </c>
      <c r="O5611" s="1">
        <v>3</v>
      </c>
      <c r="P5611" s="1">
        <v>6</v>
      </c>
      <c r="R5611" s="1" t="s">
        <v>19</v>
      </c>
      <c r="S5611" s="1" t="s">
        <v>20</v>
      </c>
      <c r="T5611" s="1" t="s">
        <v>21</v>
      </c>
      <c r="V5611" s="1" t="s">
        <v>24</v>
      </c>
      <c r="W5611" s="1" t="s">
        <v>24</v>
      </c>
      <c r="X5611" s="1">
        <v>3000</v>
      </c>
      <c r="Y5611" s="1">
        <v>2736</v>
      </c>
      <c r="Z5611" s="1" t="s">
        <v>24</v>
      </c>
      <c r="AA5611" s="1" t="s">
        <v>24</v>
      </c>
      <c r="AB5611" s="1" t="s">
        <v>24</v>
      </c>
      <c r="AC5611" s="1" t="s">
        <v>24</v>
      </c>
      <c r="AD5611" s="1" t="s">
        <v>24</v>
      </c>
      <c r="AE5611" s="1" t="s">
        <v>24</v>
      </c>
      <c r="AF5611" s="22"/>
    </row>
    <row r="5612" spans="1:32" x14ac:dyDescent="0.2">
      <c r="A5612" s="1">
        <v>54434</v>
      </c>
      <c r="B5612" s="1" t="s">
        <v>16749</v>
      </c>
      <c r="C5612" s="5" t="s">
        <v>0</v>
      </c>
      <c r="D5612" s="1" t="s">
        <v>16750</v>
      </c>
      <c r="E5612" s="1" t="s">
        <v>16751</v>
      </c>
      <c r="F5612" s="1" t="s">
        <v>16747</v>
      </c>
      <c r="G5612" s="1" t="s">
        <v>16748</v>
      </c>
      <c r="H5612" s="1" t="s">
        <v>461</v>
      </c>
      <c r="I5612" s="1" t="s">
        <v>16</v>
      </c>
      <c r="J5612" s="1">
        <v>1</v>
      </c>
      <c r="K5612" s="1">
        <v>4</v>
      </c>
      <c r="L5612" s="1" t="s">
        <v>42</v>
      </c>
      <c r="M5612" s="1" t="s">
        <v>18</v>
      </c>
      <c r="N5612" s="1" t="s">
        <v>18</v>
      </c>
      <c r="O5612" s="1">
        <v>2</v>
      </c>
      <c r="P5612" s="1">
        <v>6</v>
      </c>
      <c r="R5612" s="1" t="s">
        <v>19</v>
      </c>
      <c r="S5612" s="1" t="s">
        <v>20</v>
      </c>
      <c r="T5612" s="1" t="s">
        <v>21</v>
      </c>
      <c r="V5612" s="1" t="s">
        <v>24</v>
      </c>
      <c r="W5612" s="1" t="s">
        <v>24</v>
      </c>
      <c r="X5612" s="1">
        <v>2700</v>
      </c>
      <c r="Y5612" s="1" t="s">
        <v>24</v>
      </c>
      <c r="Z5612" s="1" t="s">
        <v>24</v>
      </c>
      <c r="AA5612" s="1" t="s">
        <v>24</v>
      </c>
      <c r="AB5612" s="1" t="s">
        <v>24</v>
      </c>
      <c r="AC5612" s="1" t="s">
        <v>24</v>
      </c>
      <c r="AD5612" s="1" t="s">
        <v>24</v>
      </c>
      <c r="AE5612" s="1" t="s">
        <v>24</v>
      </c>
      <c r="AF5612" s="22"/>
    </row>
    <row r="5613" spans="1:32" x14ac:dyDescent="0.2">
      <c r="A5613" s="1">
        <v>54435</v>
      </c>
      <c r="B5613" s="1" t="s">
        <v>16752</v>
      </c>
      <c r="C5613" s="5" t="s">
        <v>0</v>
      </c>
      <c r="E5613" s="1" t="s">
        <v>16753</v>
      </c>
      <c r="F5613" s="1" t="s">
        <v>16752</v>
      </c>
      <c r="G5613" s="1" t="s">
        <v>16752</v>
      </c>
      <c r="H5613" s="1" t="s">
        <v>899</v>
      </c>
      <c r="I5613" s="1" t="s">
        <v>16</v>
      </c>
      <c r="J5613" s="1">
        <v>1</v>
      </c>
      <c r="K5613" s="1">
        <v>4</v>
      </c>
      <c r="L5613" s="1" t="s">
        <v>42</v>
      </c>
      <c r="M5613" s="1" t="s">
        <v>18</v>
      </c>
      <c r="N5613" s="1" t="s">
        <v>18</v>
      </c>
      <c r="O5613" s="1">
        <v>2</v>
      </c>
      <c r="P5613" s="1">
        <v>6</v>
      </c>
      <c r="R5613" s="1" t="s">
        <v>19</v>
      </c>
      <c r="S5613" s="1" t="s">
        <v>20</v>
      </c>
      <c r="T5613" s="1" t="s">
        <v>21</v>
      </c>
      <c r="V5613" s="1" t="s">
        <v>24</v>
      </c>
      <c r="W5613" s="1" t="s">
        <v>24</v>
      </c>
      <c r="X5613" s="1">
        <v>2402</v>
      </c>
      <c r="Y5613" s="1">
        <v>3001</v>
      </c>
      <c r="Z5613" s="1" t="s">
        <v>24</v>
      </c>
      <c r="AA5613" s="1" t="s">
        <v>24</v>
      </c>
      <c r="AB5613" s="1" t="s">
        <v>24</v>
      </c>
      <c r="AC5613" s="1" t="s">
        <v>24</v>
      </c>
      <c r="AD5613" s="1" t="s">
        <v>24</v>
      </c>
      <c r="AE5613" s="1" t="s">
        <v>24</v>
      </c>
      <c r="AF5613" s="22"/>
    </row>
    <row r="5614" spans="1:32" x14ac:dyDescent="0.2">
      <c r="A5614" s="1">
        <v>54436</v>
      </c>
      <c r="B5614" s="1" t="s">
        <v>16754</v>
      </c>
      <c r="C5614" s="5" t="s">
        <v>0</v>
      </c>
      <c r="D5614" s="1" t="s">
        <v>16755</v>
      </c>
      <c r="E5614" s="1" t="s">
        <v>16756</v>
      </c>
      <c r="F5614" s="1" t="s">
        <v>16754</v>
      </c>
      <c r="G5614" s="1" t="s">
        <v>16754</v>
      </c>
      <c r="H5614" s="1" t="s">
        <v>899</v>
      </c>
      <c r="I5614" s="1" t="s">
        <v>16</v>
      </c>
      <c r="J5614" s="1">
        <v>1</v>
      </c>
      <c r="K5614" s="1">
        <v>6</v>
      </c>
      <c r="L5614" s="1" t="s">
        <v>42</v>
      </c>
      <c r="M5614" s="1" t="s">
        <v>18</v>
      </c>
      <c r="N5614" s="1" t="s">
        <v>18</v>
      </c>
      <c r="O5614" s="1">
        <v>3</v>
      </c>
      <c r="P5614" s="1">
        <v>6</v>
      </c>
      <c r="R5614" s="1" t="s">
        <v>19</v>
      </c>
      <c r="S5614" s="1" t="s">
        <v>20</v>
      </c>
      <c r="T5614" s="1" t="s">
        <v>21</v>
      </c>
      <c r="V5614" s="1" t="s">
        <v>24</v>
      </c>
      <c r="W5614" s="1" t="s">
        <v>24</v>
      </c>
      <c r="X5614" s="1">
        <v>3001</v>
      </c>
      <c r="Y5614" s="1">
        <v>3002</v>
      </c>
      <c r="Z5614" s="1" t="s">
        <v>24</v>
      </c>
      <c r="AA5614" s="1" t="s">
        <v>24</v>
      </c>
      <c r="AB5614" s="1" t="s">
        <v>24</v>
      </c>
      <c r="AC5614" s="1" t="s">
        <v>24</v>
      </c>
      <c r="AD5614" s="1" t="s">
        <v>24</v>
      </c>
      <c r="AE5614" s="1" t="s">
        <v>24</v>
      </c>
      <c r="AF5614" s="22"/>
    </row>
    <row r="5615" spans="1:32" x14ac:dyDescent="0.2">
      <c r="A5615" s="1">
        <v>54437</v>
      </c>
      <c r="B5615" s="1" t="s">
        <v>16757</v>
      </c>
      <c r="C5615" s="5" t="s">
        <v>0</v>
      </c>
      <c r="E5615" s="1" t="s">
        <v>16758</v>
      </c>
      <c r="F5615" s="1" t="s">
        <v>16757</v>
      </c>
      <c r="G5615" s="1" t="s">
        <v>16757</v>
      </c>
      <c r="H5615" s="1" t="s">
        <v>899</v>
      </c>
      <c r="I5615" s="1" t="s">
        <v>16</v>
      </c>
      <c r="J5615" s="1">
        <v>1</v>
      </c>
      <c r="K5615" s="1">
        <v>3</v>
      </c>
      <c r="L5615" s="1" t="s">
        <v>42</v>
      </c>
      <c r="M5615" s="1" t="s">
        <v>18</v>
      </c>
      <c r="N5615" s="1" t="s">
        <v>18</v>
      </c>
      <c r="O5615" s="1">
        <v>3</v>
      </c>
      <c r="P5615" s="1">
        <v>6</v>
      </c>
      <c r="R5615" s="1" t="s">
        <v>19</v>
      </c>
      <c r="S5615" s="1" t="s">
        <v>20</v>
      </c>
      <c r="T5615" s="1" t="s">
        <v>21</v>
      </c>
      <c r="V5615" s="1" t="s">
        <v>24</v>
      </c>
      <c r="W5615" s="1" t="s">
        <v>24</v>
      </c>
      <c r="X5615" s="1">
        <v>3003</v>
      </c>
      <c r="Y5615" s="1">
        <v>1313</v>
      </c>
      <c r="Z5615" s="1">
        <v>3002</v>
      </c>
      <c r="AA5615" s="1">
        <v>2736</v>
      </c>
      <c r="AB5615" s="1">
        <v>3004</v>
      </c>
      <c r="AC5615" s="1" t="s">
        <v>24</v>
      </c>
      <c r="AD5615" s="1" t="s">
        <v>24</v>
      </c>
      <c r="AE5615" s="1" t="s">
        <v>24</v>
      </c>
      <c r="AF5615" s="22"/>
    </row>
    <row r="5616" spans="1:32" x14ac:dyDescent="0.2">
      <c r="A5616" s="1">
        <v>54438</v>
      </c>
      <c r="B5616" s="1" t="s">
        <v>16759</v>
      </c>
      <c r="C5616" s="5" t="s">
        <v>0</v>
      </c>
      <c r="E5616" s="1" t="s">
        <v>16760</v>
      </c>
      <c r="F5616" s="1" t="s">
        <v>16761</v>
      </c>
      <c r="G5616" s="1" t="s">
        <v>16761</v>
      </c>
      <c r="H5616" s="1" t="s">
        <v>899</v>
      </c>
      <c r="I5616" s="1" t="s">
        <v>16</v>
      </c>
      <c r="J5616" s="1">
        <v>1</v>
      </c>
      <c r="K5616" s="1">
        <v>4</v>
      </c>
      <c r="L5616" s="1" t="s">
        <v>42</v>
      </c>
      <c r="M5616" s="1" t="s">
        <v>18</v>
      </c>
      <c r="N5616" s="1" t="s">
        <v>18</v>
      </c>
      <c r="O5616" s="1">
        <v>3</v>
      </c>
      <c r="P5616" s="1">
        <v>6</v>
      </c>
      <c r="R5616" s="1" t="s">
        <v>19</v>
      </c>
      <c r="S5616" s="1" t="s">
        <v>20</v>
      </c>
      <c r="T5616" s="1" t="s">
        <v>21</v>
      </c>
      <c r="V5616" s="1" t="s">
        <v>24</v>
      </c>
      <c r="W5616" s="1" t="s">
        <v>24</v>
      </c>
      <c r="X5616" s="1">
        <v>1313</v>
      </c>
      <c r="Y5616" s="1">
        <v>3000</v>
      </c>
      <c r="Z5616" s="1" t="s">
        <v>24</v>
      </c>
      <c r="AA5616" s="1" t="s">
        <v>24</v>
      </c>
      <c r="AB5616" s="1" t="s">
        <v>24</v>
      </c>
      <c r="AC5616" s="1" t="s">
        <v>24</v>
      </c>
      <c r="AD5616" s="1" t="s">
        <v>24</v>
      </c>
      <c r="AE5616" s="1" t="s">
        <v>24</v>
      </c>
      <c r="AF5616" s="22"/>
    </row>
    <row r="5617" spans="1:32" x14ac:dyDescent="0.2">
      <c r="A5617" s="1">
        <v>54439</v>
      </c>
      <c r="B5617" s="1" t="s">
        <v>16762</v>
      </c>
      <c r="C5617" s="5" t="s">
        <v>0</v>
      </c>
      <c r="D5617" s="1" t="s">
        <v>16763</v>
      </c>
      <c r="E5617" s="1" t="s">
        <v>16764</v>
      </c>
      <c r="F5617" s="1" t="s">
        <v>16765</v>
      </c>
      <c r="G5617" s="1" t="s">
        <v>16765</v>
      </c>
      <c r="H5617" s="1" t="s">
        <v>116</v>
      </c>
      <c r="I5617" s="1" t="s">
        <v>16</v>
      </c>
      <c r="J5617" s="1">
        <v>1</v>
      </c>
      <c r="K5617" s="1">
        <v>2</v>
      </c>
      <c r="L5617" s="1" t="s">
        <v>42</v>
      </c>
      <c r="M5617" s="1" t="s">
        <v>117</v>
      </c>
      <c r="N5617" s="1" t="s">
        <v>118</v>
      </c>
      <c r="O5617" s="1">
        <v>3</v>
      </c>
      <c r="P5617" s="1">
        <v>5</v>
      </c>
      <c r="R5617" s="1" t="s">
        <v>19</v>
      </c>
      <c r="S5617" s="1" t="s">
        <v>20</v>
      </c>
      <c r="T5617" s="1" t="s">
        <v>21</v>
      </c>
      <c r="V5617" s="1" t="s">
        <v>24</v>
      </c>
      <c r="W5617" s="1" t="s">
        <v>24</v>
      </c>
      <c r="X5617" s="1">
        <v>2739</v>
      </c>
      <c r="Y5617" s="1">
        <v>2307</v>
      </c>
      <c r="Z5617" s="1" t="s">
        <v>24</v>
      </c>
      <c r="AA5617" s="1" t="s">
        <v>24</v>
      </c>
      <c r="AB5617" s="1" t="s">
        <v>24</v>
      </c>
      <c r="AC5617" s="1" t="s">
        <v>24</v>
      </c>
      <c r="AD5617" s="1" t="s">
        <v>24</v>
      </c>
      <c r="AE5617" s="1" t="s">
        <v>24</v>
      </c>
      <c r="AF5617" s="22"/>
    </row>
    <row r="5618" spans="1:32" x14ac:dyDescent="0.2">
      <c r="A5618" s="1">
        <v>54440</v>
      </c>
      <c r="B5618" s="1" t="s">
        <v>16766</v>
      </c>
      <c r="C5618" s="5" t="s">
        <v>0</v>
      </c>
      <c r="D5618" s="1" t="s">
        <v>16767</v>
      </c>
      <c r="E5618" s="1" t="s">
        <v>16768</v>
      </c>
      <c r="F5618" s="1" t="s">
        <v>16769</v>
      </c>
      <c r="G5618" s="1" t="s">
        <v>16769</v>
      </c>
      <c r="H5618" s="1" t="s">
        <v>899</v>
      </c>
      <c r="I5618" s="1" t="s">
        <v>16</v>
      </c>
      <c r="J5618" s="1">
        <v>1</v>
      </c>
      <c r="K5618" s="1">
        <v>12</v>
      </c>
      <c r="L5618" s="1" t="s">
        <v>42</v>
      </c>
      <c r="M5618" s="1" t="s">
        <v>18</v>
      </c>
      <c r="N5618" s="1" t="s">
        <v>18</v>
      </c>
      <c r="O5618" s="1">
        <v>3</v>
      </c>
      <c r="P5618" s="1">
        <v>6</v>
      </c>
      <c r="R5618" s="1" t="s">
        <v>19</v>
      </c>
      <c r="S5618" s="1" t="s">
        <v>20</v>
      </c>
      <c r="T5618" s="1" t="s">
        <v>21</v>
      </c>
      <c r="V5618" s="1" t="s">
        <v>24</v>
      </c>
      <c r="W5618" s="1" t="s">
        <v>24</v>
      </c>
      <c r="X5618" s="1">
        <v>3003</v>
      </c>
      <c r="Y5618" s="1" t="s">
        <v>24</v>
      </c>
      <c r="Z5618" s="1" t="s">
        <v>24</v>
      </c>
      <c r="AA5618" s="1" t="s">
        <v>24</v>
      </c>
      <c r="AB5618" s="1" t="s">
        <v>24</v>
      </c>
      <c r="AC5618" s="1" t="s">
        <v>24</v>
      </c>
      <c r="AD5618" s="1" t="s">
        <v>24</v>
      </c>
      <c r="AE5618" s="1" t="s">
        <v>24</v>
      </c>
      <c r="AF5618" s="22"/>
    </row>
    <row r="5619" spans="1:32" x14ac:dyDescent="0.2">
      <c r="A5619" s="1">
        <v>54441</v>
      </c>
      <c r="B5619" s="1" t="s">
        <v>16770</v>
      </c>
      <c r="C5619" s="5" t="s">
        <v>0</v>
      </c>
      <c r="D5619" s="1" t="s">
        <v>16771</v>
      </c>
      <c r="E5619" s="1" t="s">
        <v>16772</v>
      </c>
      <c r="F5619" s="1" t="s">
        <v>13621</v>
      </c>
      <c r="G5619" s="1" t="s">
        <v>13621</v>
      </c>
      <c r="H5619" s="1" t="s">
        <v>1957</v>
      </c>
      <c r="I5619" s="1" t="s">
        <v>16</v>
      </c>
      <c r="J5619" s="1">
        <v>1</v>
      </c>
      <c r="K5619" s="1">
        <v>2</v>
      </c>
      <c r="L5619" s="1" t="s">
        <v>42</v>
      </c>
      <c r="M5619" s="1" t="s">
        <v>18</v>
      </c>
      <c r="N5619" s="1" t="s">
        <v>18</v>
      </c>
      <c r="O5619" s="1">
        <v>3</v>
      </c>
      <c r="P5619" s="1">
        <v>6</v>
      </c>
      <c r="R5619" s="1" t="s">
        <v>19</v>
      </c>
      <c r="S5619" s="1" t="s">
        <v>20</v>
      </c>
      <c r="T5619" s="1" t="s">
        <v>21</v>
      </c>
      <c r="U5619" s="1" t="s">
        <v>22</v>
      </c>
      <c r="V5619" s="1" t="s">
        <v>24</v>
      </c>
      <c r="W5619" s="1" t="s">
        <v>24</v>
      </c>
      <c r="X5619" s="1">
        <v>3000</v>
      </c>
      <c r="Y5619" s="1" t="s">
        <v>24</v>
      </c>
      <c r="Z5619" s="1" t="s">
        <v>24</v>
      </c>
      <c r="AA5619" s="1" t="s">
        <v>24</v>
      </c>
      <c r="AB5619" s="1" t="s">
        <v>24</v>
      </c>
      <c r="AC5619" s="1" t="s">
        <v>24</v>
      </c>
      <c r="AD5619" s="1" t="s">
        <v>24</v>
      </c>
      <c r="AE5619" s="1" t="s">
        <v>24</v>
      </c>
      <c r="AF5619" s="22"/>
    </row>
    <row r="5620" spans="1:32" x14ac:dyDescent="0.2">
      <c r="A5620" s="1">
        <v>54442</v>
      </c>
      <c r="B5620" s="1" t="s">
        <v>16773</v>
      </c>
      <c r="C5620" s="5" t="s">
        <v>0</v>
      </c>
      <c r="D5620" s="1" t="s">
        <v>16774</v>
      </c>
      <c r="F5620" s="1" t="s">
        <v>12182</v>
      </c>
      <c r="G5620" s="1" t="s">
        <v>12182</v>
      </c>
      <c r="H5620" s="1" t="s">
        <v>12183</v>
      </c>
      <c r="I5620" s="1" t="s">
        <v>16</v>
      </c>
      <c r="J5620" s="1">
        <v>1</v>
      </c>
      <c r="K5620" s="1">
        <v>1</v>
      </c>
      <c r="L5620" s="1" t="s">
        <v>42</v>
      </c>
      <c r="M5620" s="1" t="s">
        <v>18</v>
      </c>
      <c r="N5620" s="1" t="s">
        <v>18</v>
      </c>
      <c r="O5620" s="1">
        <v>3</v>
      </c>
      <c r="P5620" s="1">
        <v>5</v>
      </c>
      <c r="R5620" s="1" t="s">
        <v>19</v>
      </c>
      <c r="S5620" s="1" t="s">
        <v>20</v>
      </c>
      <c r="T5620" s="1" t="s">
        <v>21</v>
      </c>
      <c r="V5620" s="1" t="s">
        <v>24</v>
      </c>
      <c r="W5620" s="1" t="s">
        <v>24</v>
      </c>
      <c r="X5620" s="1">
        <v>3611</v>
      </c>
      <c r="Y5620" s="1" t="s">
        <v>24</v>
      </c>
      <c r="Z5620" s="1" t="s">
        <v>24</v>
      </c>
      <c r="AA5620" s="1" t="s">
        <v>24</v>
      </c>
      <c r="AB5620" s="1" t="s">
        <v>24</v>
      </c>
      <c r="AC5620" s="1" t="s">
        <v>24</v>
      </c>
      <c r="AD5620" s="1" t="s">
        <v>24</v>
      </c>
      <c r="AE5620" s="1" t="s">
        <v>24</v>
      </c>
      <c r="AF5620" s="22"/>
    </row>
    <row r="5621" spans="1:32" x14ac:dyDescent="0.2">
      <c r="A5621" s="1">
        <v>54452</v>
      </c>
      <c r="B5621" s="1" t="s">
        <v>16775</v>
      </c>
      <c r="C5621" s="5" t="s">
        <v>0</v>
      </c>
      <c r="E5621" s="1" t="s">
        <v>16776</v>
      </c>
      <c r="F5621" s="1" t="s">
        <v>16496</v>
      </c>
      <c r="G5621" s="1" t="s">
        <v>16496</v>
      </c>
      <c r="H5621" s="1" t="s">
        <v>37</v>
      </c>
      <c r="I5621" s="1" t="s">
        <v>16</v>
      </c>
      <c r="J5621" s="1">
        <v>1</v>
      </c>
      <c r="K5621" s="1">
        <v>1</v>
      </c>
      <c r="L5621" s="1" t="s">
        <v>42</v>
      </c>
      <c r="M5621" s="1" t="s">
        <v>18</v>
      </c>
      <c r="N5621" s="1" t="s">
        <v>18</v>
      </c>
      <c r="O5621" s="1">
        <v>2</v>
      </c>
      <c r="P5621" s="1">
        <v>6</v>
      </c>
      <c r="R5621" s="1" t="s">
        <v>19</v>
      </c>
      <c r="S5621" s="1" t="s">
        <v>63</v>
      </c>
      <c r="T5621" s="1" t="s">
        <v>21</v>
      </c>
      <c r="U5621" s="1" t="s">
        <v>22</v>
      </c>
      <c r="V5621" s="1" t="s">
        <v>24</v>
      </c>
      <c r="W5621" s="1" t="s">
        <v>24</v>
      </c>
      <c r="X5621" s="1">
        <v>2700</v>
      </c>
      <c r="Y5621" s="1" t="s">
        <v>24</v>
      </c>
      <c r="Z5621" s="1" t="s">
        <v>24</v>
      </c>
      <c r="AA5621" s="1" t="s">
        <v>24</v>
      </c>
      <c r="AB5621" s="1" t="s">
        <v>24</v>
      </c>
      <c r="AC5621" s="1" t="s">
        <v>24</v>
      </c>
      <c r="AD5621" s="1" t="s">
        <v>24</v>
      </c>
      <c r="AE5621" s="1" t="s">
        <v>24</v>
      </c>
      <c r="AF5621" s="22"/>
    </row>
    <row r="5622" spans="1:32" x14ac:dyDescent="0.2">
      <c r="A5622" s="1">
        <v>54498</v>
      </c>
      <c r="B5622" s="1" t="s">
        <v>16777</v>
      </c>
      <c r="C5622" s="5" t="s">
        <v>0</v>
      </c>
      <c r="D5622" s="1" t="s">
        <v>16778</v>
      </c>
      <c r="E5622" s="1" t="s">
        <v>16779</v>
      </c>
      <c r="F5622" s="1" t="s">
        <v>291</v>
      </c>
      <c r="G5622" s="1" t="s">
        <v>292</v>
      </c>
      <c r="H5622" s="1" t="s">
        <v>37</v>
      </c>
      <c r="I5622" s="1" t="s">
        <v>16</v>
      </c>
      <c r="J5622" s="1">
        <v>1</v>
      </c>
      <c r="K5622" s="1">
        <v>4</v>
      </c>
      <c r="L5622" s="1" t="s">
        <v>31</v>
      </c>
      <c r="M5622" s="1" t="s">
        <v>18</v>
      </c>
      <c r="N5622" s="1" t="s">
        <v>18</v>
      </c>
      <c r="O5622" s="1">
        <v>3</v>
      </c>
      <c r="P5622" s="1">
        <v>7</v>
      </c>
      <c r="Q5622" s="7" t="s">
        <v>17633</v>
      </c>
      <c r="R5622" s="1" t="s">
        <v>19</v>
      </c>
      <c r="S5622" s="1" t="s">
        <v>20</v>
      </c>
      <c r="T5622" s="1" t="s">
        <v>21</v>
      </c>
      <c r="U5622" s="1" t="s">
        <v>22</v>
      </c>
      <c r="V5622" s="1" t="s">
        <v>23</v>
      </c>
      <c r="W5622" s="1" t="s">
        <v>24</v>
      </c>
      <c r="X5622" s="1">
        <v>3616</v>
      </c>
      <c r="Y5622" s="1">
        <v>2733</v>
      </c>
      <c r="Z5622" s="1" t="s">
        <v>24</v>
      </c>
      <c r="AA5622" s="1" t="s">
        <v>24</v>
      </c>
      <c r="AB5622" s="1" t="s">
        <v>24</v>
      </c>
      <c r="AC5622" s="1" t="s">
        <v>24</v>
      </c>
      <c r="AD5622" s="1" t="s">
        <v>24</v>
      </c>
      <c r="AE5622" s="1" t="s">
        <v>24</v>
      </c>
      <c r="AF5622" s="22"/>
    </row>
    <row r="5623" spans="1:32" x14ac:dyDescent="0.2">
      <c r="A5623" s="1">
        <v>54518</v>
      </c>
      <c r="B5623" s="1" t="s">
        <v>16780</v>
      </c>
      <c r="C5623" s="5" t="s">
        <v>0</v>
      </c>
      <c r="E5623" s="1" t="s">
        <v>16781</v>
      </c>
      <c r="F5623" s="1" t="s">
        <v>35</v>
      </c>
      <c r="G5623" s="1" t="s">
        <v>36</v>
      </c>
      <c r="H5623" s="1" t="s">
        <v>37</v>
      </c>
      <c r="I5623" s="1" t="s">
        <v>16</v>
      </c>
      <c r="J5623" s="1">
        <v>3</v>
      </c>
      <c r="K5623" s="1">
        <v>3</v>
      </c>
      <c r="L5623" s="1" t="s">
        <v>31</v>
      </c>
      <c r="M5623" s="1" t="s">
        <v>18</v>
      </c>
      <c r="N5623" s="1" t="s">
        <v>18</v>
      </c>
      <c r="O5623" s="1">
        <v>3</v>
      </c>
      <c r="P5623" s="1">
        <v>7</v>
      </c>
      <c r="Q5623" s="7" t="s">
        <v>17633</v>
      </c>
      <c r="R5623" s="1" t="s">
        <v>19</v>
      </c>
      <c r="S5623" s="1" t="s">
        <v>20</v>
      </c>
      <c r="T5623" s="1" t="s">
        <v>21</v>
      </c>
      <c r="U5623" s="1" t="s">
        <v>22</v>
      </c>
      <c r="V5623" s="1" t="s">
        <v>24</v>
      </c>
      <c r="W5623" s="1" t="s">
        <v>24</v>
      </c>
      <c r="X5623" s="1">
        <v>2723</v>
      </c>
      <c r="Y5623" s="1">
        <v>2725</v>
      </c>
      <c r="Z5623" s="1">
        <v>2726</v>
      </c>
      <c r="AA5623" s="1">
        <v>2400</v>
      </c>
      <c r="AB5623" s="1" t="s">
        <v>24</v>
      </c>
      <c r="AC5623" s="1" t="s">
        <v>24</v>
      </c>
      <c r="AD5623" s="1" t="s">
        <v>24</v>
      </c>
      <c r="AE5623" s="1" t="s">
        <v>24</v>
      </c>
      <c r="AF5623" s="22"/>
    </row>
    <row r="5624" spans="1:32" x14ac:dyDescent="0.2">
      <c r="A5624" s="1">
        <v>54629</v>
      </c>
      <c r="B5624" s="1" t="s">
        <v>16782</v>
      </c>
      <c r="C5624" s="5" t="s">
        <v>0</v>
      </c>
      <c r="D5624" s="1" t="s">
        <v>16783</v>
      </c>
      <c r="F5624" s="1" t="s">
        <v>16784</v>
      </c>
      <c r="G5624" s="1" t="s">
        <v>16784</v>
      </c>
      <c r="H5624" s="1" t="s">
        <v>249</v>
      </c>
      <c r="I5624" s="1" t="s">
        <v>16</v>
      </c>
      <c r="J5624" s="1">
        <v>1</v>
      </c>
      <c r="K5624" s="1">
        <v>4</v>
      </c>
      <c r="L5624" s="1" t="s">
        <v>42</v>
      </c>
      <c r="M5624" s="1" t="s">
        <v>18</v>
      </c>
      <c r="N5624" s="1" t="s">
        <v>18</v>
      </c>
      <c r="O5624" s="1">
        <v>2</v>
      </c>
      <c r="P5624" s="1">
        <v>6</v>
      </c>
      <c r="R5624" s="1" t="s">
        <v>19</v>
      </c>
      <c r="S5624" s="1" t="s">
        <v>20</v>
      </c>
      <c r="T5624" s="1" t="s">
        <v>21</v>
      </c>
      <c r="U5624" s="1" t="s">
        <v>22</v>
      </c>
      <c r="V5624" s="1" t="s">
        <v>23</v>
      </c>
      <c r="W5624" s="1" t="s">
        <v>24</v>
      </c>
      <c r="X5624" s="1">
        <v>1303</v>
      </c>
      <c r="Y5624" s="1">
        <v>1312</v>
      </c>
      <c r="Z5624" s="1">
        <v>2700</v>
      </c>
      <c r="AA5624" s="1">
        <v>3004</v>
      </c>
      <c r="AB5624" s="1" t="s">
        <v>24</v>
      </c>
      <c r="AC5624" s="1" t="s">
        <v>24</v>
      </c>
      <c r="AD5624" s="1" t="s">
        <v>24</v>
      </c>
      <c r="AE5624" s="1" t="s">
        <v>24</v>
      </c>
      <c r="AF5624" s="22"/>
    </row>
    <row r="5625" spans="1:32" x14ac:dyDescent="0.2">
      <c r="A5625" s="1">
        <v>54677</v>
      </c>
      <c r="B5625" s="1" t="s">
        <v>16785</v>
      </c>
      <c r="C5625" s="5" t="s">
        <v>0</v>
      </c>
      <c r="D5625" s="1" t="s">
        <v>16786</v>
      </c>
      <c r="F5625" s="1" t="s">
        <v>6170</v>
      </c>
      <c r="G5625" s="1" t="s">
        <v>6170</v>
      </c>
      <c r="H5625" s="1" t="s">
        <v>30</v>
      </c>
      <c r="I5625" s="1" t="s">
        <v>16</v>
      </c>
      <c r="J5625" s="1">
        <v>0</v>
      </c>
      <c r="K5625" s="1">
        <v>0</v>
      </c>
      <c r="L5625" s="1" t="s">
        <v>42</v>
      </c>
      <c r="M5625" s="1" t="s">
        <v>18</v>
      </c>
      <c r="N5625" s="1" t="s">
        <v>18</v>
      </c>
      <c r="O5625" s="1">
        <v>3</v>
      </c>
      <c r="P5625" s="1">
        <v>6</v>
      </c>
      <c r="R5625" s="1" t="s">
        <v>19</v>
      </c>
      <c r="S5625" s="1" t="s">
        <v>20</v>
      </c>
      <c r="T5625" s="1" t="s">
        <v>21</v>
      </c>
      <c r="U5625" s="1" t="s">
        <v>22</v>
      </c>
      <c r="V5625" s="1" t="s">
        <v>24</v>
      </c>
      <c r="W5625" s="1" t="s">
        <v>24</v>
      </c>
      <c r="X5625" s="1">
        <v>2740</v>
      </c>
      <c r="Y5625" s="1" t="s">
        <v>24</v>
      </c>
      <c r="Z5625" s="1" t="s">
        <v>24</v>
      </c>
      <c r="AA5625" s="1" t="s">
        <v>24</v>
      </c>
      <c r="AB5625" s="1" t="s">
        <v>24</v>
      </c>
      <c r="AC5625" s="1" t="s">
        <v>24</v>
      </c>
      <c r="AD5625" s="1" t="s">
        <v>24</v>
      </c>
      <c r="AE5625" s="1" t="s">
        <v>24</v>
      </c>
      <c r="AF5625" s="22"/>
    </row>
    <row r="5626" spans="1:32" x14ac:dyDescent="0.2">
      <c r="A5626" s="1">
        <v>54709</v>
      </c>
      <c r="B5626" s="1" t="s">
        <v>16787</v>
      </c>
      <c r="C5626" s="5" t="s">
        <v>0</v>
      </c>
      <c r="D5626" s="1" t="s">
        <v>16788</v>
      </c>
      <c r="F5626" s="1" t="s">
        <v>2822</v>
      </c>
      <c r="G5626" s="1" t="s">
        <v>61</v>
      </c>
      <c r="H5626" s="1" t="s">
        <v>37</v>
      </c>
      <c r="I5626" s="1" t="s">
        <v>16</v>
      </c>
      <c r="J5626" s="1">
        <v>0</v>
      </c>
      <c r="K5626" s="1">
        <v>0</v>
      </c>
      <c r="L5626" s="1" t="s">
        <v>31</v>
      </c>
      <c r="M5626" s="1" t="s">
        <v>18</v>
      </c>
      <c r="N5626" s="1" t="s">
        <v>18</v>
      </c>
      <c r="O5626" s="1">
        <v>3</v>
      </c>
      <c r="P5626" s="1">
        <v>7</v>
      </c>
      <c r="Q5626" s="7" t="s">
        <v>17633</v>
      </c>
      <c r="R5626" s="1" t="s">
        <v>19</v>
      </c>
      <c r="S5626" s="1" t="s">
        <v>20</v>
      </c>
      <c r="T5626" s="1" t="s">
        <v>21</v>
      </c>
      <c r="U5626" s="1" t="s">
        <v>22</v>
      </c>
      <c r="V5626" s="1" t="s">
        <v>23</v>
      </c>
      <c r="W5626" s="1" t="s">
        <v>24</v>
      </c>
      <c r="X5626" s="1">
        <v>2712</v>
      </c>
      <c r="Y5626" s="1">
        <v>2724</v>
      </c>
      <c r="Z5626" s="1">
        <v>1310</v>
      </c>
      <c r="AA5626" s="1" t="s">
        <v>24</v>
      </c>
      <c r="AB5626" s="1" t="s">
        <v>24</v>
      </c>
      <c r="AC5626" s="1" t="s">
        <v>24</v>
      </c>
      <c r="AD5626" s="1" t="s">
        <v>24</v>
      </c>
      <c r="AE5626" s="1" t="s">
        <v>24</v>
      </c>
      <c r="AF5626" s="22"/>
    </row>
    <row r="5627" spans="1:32" x14ac:dyDescent="0.2">
      <c r="A5627" s="1">
        <v>54717</v>
      </c>
      <c r="B5627" s="1" t="s">
        <v>16789</v>
      </c>
      <c r="C5627" s="5" t="s">
        <v>0</v>
      </c>
      <c r="E5627" s="1" t="s">
        <v>16790</v>
      </c>
      <c r="F5627" s="1" t="s">
        <v>6405</v>
      </c>
      <c r="G5627" s="1" t="s">
        <v>6406</v>
      </c>
      <c r="H5627" s="1" t="s">
        <v>92</v>
      </c>
      <c r="I5627" s="1" t="s">
        <v>16</v>
      </c>
      <c r="J5627" s="1">
        <v>1</v>
      </c>
      <c r="K5627" s="1">
        <v>1</v>
      </c>
      <c r="L5627" s="1" t="s">
        <v>31</v>
      </c>
      <c r="M5627" s="1" t="s">
        <v>18</v>
      </c>
      <c r="N5627" s="1" t="s">
        <v>18</v>
      </c>
      <c r="O5627" s="1">
        <v>3</v>
      </c>
      <c r="P5627" s="1">
        <v>7</v>
      </c>
      <c r="Q5627" s="7" t="s">
        <v>17633</v>
      </c>
      <c r="R5627" s="1" t="s">
        <v>19</v>
      </c>
      <c r="S5627" s="1" t="s">
        <v>63</v>
      </c>
      <c r="T5627" s="1" t="s">
        <v>21</v>
      </c>
      <c r="V5627" s="1" t="s">
        <v>24</v>
      </c>
      <c r="W5627" s="1" t="s">
        <v>24</v>
      </c>
      <c r="X5627" s="1">
        <v>2734</v>
      </c>
      <c r="Y5627" s="1" t="s">
        <v>24</v>
      </c>
      <c r="Z5627" s="1" t="s">
        <v>24</v>
      </c>
      <c r="AA5627" s="1" t="s">
        <v>24</v>
      </c>
      <c r="AB5627" s="1" t="s">
        <v>24</v>
      </c>
      <c r="AC5627" s="1" t="s">
        <v>24</v>
      </c>
      <c r="AD5627" s="1" t="s">
        <v>24</v>
      </c>
      <c r="AE5627" s="1" t="s">
        <v>24</v>
      </c>
      <c r="AF5627" s="22"/>
    </row>
    <row r="5628" spans="1:32" x14ac:dyDescent="0.2">
      <c r="A5628" s="1">
        <v>54718</v>
      </c>
      <c r="B5628" s="1" t="s">
        <v>16791</v>
      </c>
      <c r="C5628" s="5" t="s">
        <v>0</v>
      </c>
      <c r="D5628" s="1" t="s">
        <v>16792</v>
      </c>
      <c r="E5628" s="1" t="s">
        <v>16793</v>
      </c>
      <c r="F5628" s="1" t="s">
        <v>1412</v>
      </c>
      <c r="G5628" s="1" t="s">
        <v>1413</v>
      </c>
      <c r="H5628" s="1" t="s">
        <v>30</v>
      </c>
      <c r="I5628" s="1" t="s">
        <v>16</v>
      </c>
      <c r="J5628" s="1">
        <v>1</v>
      </c>
      <c r="K5628" s="1">
        <v>1</v>
      </c>
      <c r="L5628" s="1" t="s">
        <v>31</v>
      </c>
      <c r="M5628" s="1" t="s">
        <v>18</v>
      </c>
      <c r="N5628" s="1" t="s">
        <v>18</v>
      </c>
      <c r="O5628" s="1">
        <v>2</v>
      </c>
      <c r="P5628" s="1">
        <v>6</v>
      </c>
      <c r="R5628" s="1" t="s">
        <v>19</v>
      </c>
      <c r="S5628" s="1" t="s">
        <v>63</v>
      </c>
      <c r="T5628" s="1" t="s">
        <v>21</v>
      </c>
      <c r="V5628" s="1" t="s">
        <v>23</v>
      </c>
      <c r="W5628" s="1" t="s">
        <v>24</v>
      </c>
      <c r="X5628" s="1">
        <v>2708</v>
      </c>
      <c r="Y5628" s="1" t="s">
        <v>24</v>
      </c>
      <c r="Z5628" s="1" t="s">
        <v>24</v>
      </c>
      <c r="AA5628" s="1" t="s">
        <v>24</v>
      </c>
      <c r="AB5628" s="1" t="s">
        <v>24</v>
      </c>
      <c r="AC5628" s="1" t="s">
        <v>24</v>
      </c>
      <c r="AD5628" s="1" t="s">
        <v>24</v>
      </c>
      <c r="AE5628" s="1" t="s">
        <v>24</v>
      </c>
      <c r="AF5628" s="22"/>
    </row>
    <row r="5629" spans="1:32" x14ac:dyDescent="0.2">
      <c r="A5629" s="1">
        <v>54719</v>
      </c>
      <c r="B5629" s="1" t="s">
        <v>16794</v>
      </c>
      <c r="C5629" s="5" t="s">
        <v>0</v>
      </c>
      <c r="D5629" s="1" t="s">
        <v>16795</v>
      </c>
      <c r="E5629" s="1" t="s">
        <v>16796</v>
      </c>
      <c r="F5629" s="1" t="s">
        <v>1412</v>
      </c>
      <c r="G5629" s="1" t="s">
        <v>1413</v>
      </c>
      <c r="H5629" s="1" t="s">
        <v>30</v>
      </c>
      <c r="I5629" s="1" t="s">
        <v>16</v>
      </c>
      <c r="J5629" s="1">
        <v>1</v>
      </c>
      <c r="K5629" s="1">
        <v>1</v>
      </c>
      <c r="L5629" s="1" t="s">
        <v>31</v>
      </c>
      <c r="M5629" s="1" t="s">
        <v>18</v>
      </c>
      <c r="N5629" s="1" t="s">
        <v>18</v>
      </c>
      <c r="O5629" s="1">
        <v>2</v>
      </c>
      <c r="P5629" s="1">
        <v>6</v>
      </c>
      <c r="R5629" s="1" t="s">
        <v>19</v>
      </c>
      <c r="S5629" s="1" t="s">
        <v>63</v>
      </c>
      <c r="T5629" s="1" t="s">
        <v>21</v>
      </c>
      <c r="V5629" s="1" t="s">
        <v>23</v>
      </c>
      <c r="W5629" s="1" t="s">
        <v>24</v>
      </c>
      <c r="X5629" s="1">
        <v>2712</v>
      </c>
      <c r="Y5629" s="1" t="s">
        <v>24</v>
      </c>
      <c r="Z5629" s="1" t="s">
        <v>24</v>
      </c>
      <c r="AA5629" s="1" t="s">
        <v>24</v>
      </c>
      <c r="AB5629" s="1" t="s">
        <v>24</v>
      </c>
      <c r="AC5629" s="1" t="s">
        <v>24</v>
      </c>
      <c r="AD5629" s="1" t="s">
        <v>24</v>
      </c>
      <c r="AE5629" s="1" t="s">
        <v>24</v>
      </c>
      <c r="AF5629" s="22"/>
    </row>
    <row r="5630" spans="1:32" x14ac:dyDescent="0.2">
      <c r="A5630" s="1">
        <v>54720</v>
      </c>
      <c r="B5630" s="1" t="s">
        <v>16797</v>
      </c>
      <c r="C5630" s="5" t="s">
        <v>0</v>
      </c>
      <c r="D5630" s="1" t="s">
        <v>16798</v>
      </c>
      <c r="E5630" s="1" t="s">
        <v>16799</v>
      </c>
      <c r="F5630" s="1" t="s">
        <v>1412</v>
      </c>
      <c r="G5630" s="1" t="s">
        <v>1413</v>
      </c>
      <c r="H5630" s="1" t="s">
        <v>30</v>
      </c>
      <c r="I5630" s="1" t="s">
        <v>16</v>
      </c>
      <c r="J5630" s="1">
        <v>1</v>
      </c>
      <c r="K5630" s="1">
        <v>1</v>
      </c>
      <c r="L5630" s="1" t="s">
        <v>31</v>
      </c>
      <c r="M5630" s="1" t="s">
        <v>18</v>
      </c>
      <c r="N5630" s="1" t="s">
        <v>18</v>
      </c>
      <c r="O5630" s="1">
        <v>2</v>
      </c>
      <c r="P5630" s="1">
        <v>6</v>
      </c>
      <c r="R5630" s="1" t="s">
        <v>19</v>
      </c>
      <c r="S5630" s="1" t="s">
        <v>63</v>
      </c>
      <c r="T5630" s="1" t="s">
        <v>21</v>
      </c>
      <c r="V5630" s="1" t="s">
        <v>23</v>
      </c>
      <c r="W5630" s="1" t="s">
        <v>24</v>
      </c>
      <c r="X5630" s="1">
        <v>2748</v>
      </c>
      <c r="Y5630" s="1" t="s">
        <v>24</v>
      </c>
      <c r="Z5630" s="1" t="s">
        <v>24</v>
      </c>
      <c r="AA5630" s="1" t="s">
        <v>24</v>
      </c>
      <c r="AB5630" s="1" t="s">
        <v>24</v>
      </c>
      <c r="AC5630" s="1" t="s">
        <v>24</v>
      </c>
      <c r="AD5630" s="1" t="s">
        <v>24</v>
      </c>
      <c r="AE5630" s="1" t="s">
        <v>24</v>
      </c>
      <c r="AF5630" s="22"/>
    </row>
    <row r="5631" spans="1:32" x14ac:dyDescent="0.2">
      <c r="A5631" s="1">
        <v>54721</v>
      </c>
      <c r="B5631" s="1" t="s">
        <v>16800</v>
      </c>
      <c r="C5631" s="5" t="s">
        <v>0</v>
      </c>
      <c r="D5631" s="1" t="s">
        <v>16801</v>
      </c>
      <c r="E5631" s="1" t="s">
        <v>16802</v>
      </c>
      <c r="F5631" s="1" t="s">
        <v>1412</v>
      </c>
      <c r="G5631" s="1" t="s">
        <v>1413</v>
      </c>
      <c r="H5631" s="1" t="s">
        <v>30</v>
      </c>
      <c r="I5631" s="1" t="s">
        <v>16</v>
      </c>
      <c r="J5631" s="1">
        <v>1</v>
      </c>
      <c r="K5631" s="1">
        <v>1</v>
      </c>
      <c r="L5631" s="1" t="s">
        <v>31</v>
      </c>
      <c r="M5631" s="1" t="s">
        <v>18</v>
      </c>
      <c r="N5631" s="1" t="s">
        <v>18</v>
      </c>
      <c r="O5631" s="1">
        <v>2</v>
      </c>
      <c r="P5631" s="1">
        <v>6</v>
      </c>
      <c r="R5631" s="1" t="s">
        <v>19</v>
      </c>
      <c r="S5631" s="1" t="s">
        <v>63</v>
      </c>
      <c r="T5631" s="1" t="s">
        <v>21</v>
      </c>
      <c r="V5631" s="1" t="s">
        <v>24</v>
      </c>
      <c r="W5631" s="1" t="s">
        <v>24</v>
      </c>
      <c r="X5631" s="1">
        <v>3500</v>
      </c>
      <c r="Y5631" s="1" t="s">
        <v>24</v>
      </c>
      <c r="Z5631" s="1" t="s">
        <v>24</v>
      </c>
      <c r="AA5631" s="1" t="s">
        <v>24</v>
      </c>
      <c r="AB5631" s="1" t="s">
        <v>24</v>
      </c>
      <c r="AC5631" s="1" t="s">
        <v>24</v>
      </c>
      <c r="AD5631" s="1" t="s">
        <v>24</v>
      </c>
      <c r="AE5631" s="1" t="s">
        <v>24</v>
      </c>
      <c r="AF5631" s="22"/>
    </row>
    <row r="5632" spans="1:32" x14ac:dyDescent="0.2">
      <c r="A5632" s="1">
        <v>54722</v>
      </c>
      <c r="B5632" s="1" t="s">
        <v>16803</v>
      </c>
      <c r="C5632" s="5" t="s">
        <v>0</v>
      </c>
      <c r="D5632" s="1" t="s">
        <v>16804</v>
      </c>
      <c r="E5632" s="1" t="s">
        <v>16805</v>
      </c>
      <c r="F5632" s="1" t="s">
        <v>1412</v>
      </c>
      <c r="G5632" s="1" t="s">
        <v>1413</v>
      </c>
      <c r="H5632" s="1" t="s">
        <v>30</v>
      </c>
      <c r="I5632" s="1" t="s">
        <v>16</v>
      </c>
      <c r="J5632" s="1">
        <v>1</v>
      </c>
      <c r="K5632" s="1">
        <v>1</v>
      </c>
      <c r="L5632" s="1" t="s">
        <v>31</v>
      </c>
      <c r="M5632" s="1" t="s">
        <v>18</v>
      </c>
      <c r="N5632" s="1" t="s">
        <v>18</v>
      </c>
      <c r="O5632" s="1">
        <v>2</v>
      </c>
      <c r="P5632" s="1">
        <v>6</v>
      </c>
      <c r="R5632" s="1" t="s">
        <v>19</v>
      </c>
      <c r="S5632" s="1" t="s">
        <v>63</v>
      </c>
      <c r="T5632" s="1" t="s">
        <v>21</v>
      </c>
      <c r="V5632" s="1" t="s">
        <v>23</v>
      </c>
      <c r="W5632" s="1" t="s">
        <v>24</v>
      </c>
      <c r="X5632" s="1">
        <v>2808</v>
      </c>
      <c r="Y5632" s="1" t="s">
        <v>24</v>
      </c>
      <c r="Z5632" s="1" t="s">
        <v>24</v>
      </c>
      <c r="AA5632" s="1" t="s">
        <v>24</v>
      </c>
      <c r="AB5632" s="1" t="s">
        <v>24</v>
      </c>
      <c r="AC5632" s="1" t="s">
        <v>24</v>
      </c>
      <c r="AD5632" s="1" t="s">
        <v>24</v>
      </c>
      <c r="AE5632" s="1" t="s">
        <v>24</v>
      </c>
      <c r="AF5632" s="22"/>
    </row>
    <row r="5633" spans="1:32" x14ac:dyDescent="0.2">
      <c r="A5633" s="1">
        <v>54723</v>
      </c>
      <c r="B5633" s="1" t="s">
        <v>16806</v>
      </c>
      <c r="C5633" s="5" t="s">
        <v>0</v>
      </c>
      <c r="D5633" s="1" t="s">
        <v>16807</v>
      </c>
      <c r="E5633" s="1" t="s">
        <v>16808</v>
      </c>
      <c r="F5633" s="1" t="s">
        <v>1412</v>
      </c>
      <c r="G5633" s="1" t="s">
        <v>1413</v>
      </c>
      <c r="H5633" s="1" t="s">
        <v>30</v>
      </c>
      <c r="I5633" s="1" t="s">
        <v>16</v>
      </c>
      <c r="J5633" s="1">
        <v>1</v>
      </c>
      <c r="K5633" s="1">
        <v>1</v>
      </c>
      <c r="L5633" s="1" t="s">
        <v>31</v>
      </c>
      <c r="M5633" s="1" t="s">
        <v>18</v>
      </c>
      <c r="N5633" s="1" t="s">
        <v>18</v>
      </c>
      <c r="O5633" s="1">
        <v>2</v>
      </c>
      <c r="P5633" s="1">
        <v>6</v>
      </c>
      <c r="R5633" s="1" t="s">
        <v>19</v>
      </c>
      <c r="S5633" s="1" t="s">
        <v>63</v>
      </c>
      <c r="T5633" s="1" t="s">
        <v>21</v>
      </c>
      <c r="V5633" s="1" t="s">
        <v>23</v>
      </c>
      <c r="W5633" s="1" t="s">
        <v>24</v>
      </c>
      <c r="X5633" s="1">
        <v>2735</v>
      </c>
      <c r="Y5633" s="1" t="s">
        <v>24</v>
      </c>
      <c r="Z5633" s="1" t="s">
        <v>24</v>
      </c>
      <c r="AA5633" s="1" t="s">
        <v>24</v>
      </c>
      <c r="AB5633" s="1" t="s">
        <v>24</v>
      </c>
      <c r="AC5633" s="1" t="s">
        <v>24</v>
      </c>
      <c r="AD5633" s="1" t="s">
        <v>24</v>
      </c>
      <c r="AE5633" s="1" t="s">
        <v>24</v>
      </c>
      <c r="AF5633" s="22"/>
    </row>
    <row r="5634" spans="1:32" x14ac:dyDescent="0.2">
      <c r="A5634" s="1">
        <v>54724</v>
      </c>
      <c r="B5634" s="1" t="s">
        <v>16809</v>
      </c>
      <c r="C5634" s="5" t="s">
        <v>0</v>
      </c>
      <c r="D5634" s="1" t="s">
        <v>16810</v>
      </c>
      <c r="E5634" s="1" t="s">
        <v>16811</v>
      </c>
      <c r="F5634" s="1" t="s">
        <v>1412</v>
      </c>
      <c r="G5634" s="1" t="s">
        <v>1413</v>
      </c>
      <c r="H5634" s="1" t="s">
        <v>30</v>
      </c>
      <c r="I5634" s="1" t="s">
        <v>16</v>
      </c>
      <c r="J5634" s="1">
        <v>1</v>
      </c>
      <c r="K5634" s="1">
        <v>1</v>
      </c>
      <c r="L5634" s="1" t="s">
        <v>31</v>
      </c>
      <c r="M5634" s="1" t="s">
        <v>18</v>
      </c>
      <c r="N5634" s="1" t="s">
        <v>18</v>
      </c>
      <c r="O5634" s="1">
        <v>2</v>
      </c>
      <c r="P5634" s="1">
        <v>6</v>
      </c>
      <c r="R5634" s="1" t="s">
        <v>19</v>
      </c>
      <c r="S5634" s="1" t="s">
        <v>63</v>
      </c>
      <c r="T5634" s="1" t="s">
        <v>21</v>
      </c>
      <c r="V5634" s="1" t="s">
        <v>23</v>
      </c>
      <c r="W5634" s="1" t="s">
        <v>24</v>
      </c>
      <c r="X5634" s="1">
        <v>2705</v>
      </c>
      <c r="Y5634" s="1" t="s">
        <v>24</v>
      </c>
      <c r="Z5634" s="1" t="s">
        <v>24</v>
      </c>
      <c r="AA5634" s="1" t="s">
        <v>24</v>
      </c>
      <c r="AB5634" s="1" t="s">
        <v>24</v>
      </c>
      <c r="AC5634" s="1" t="s">
        <v>24</v>
      </c>
      <c r="AD5634" s="1" t="s">
        <v>24</v>
      </c>
      <c r="AE5634" s="1" t="s">
        <v>24</v>
      </c>
      <c r="AF5634" s="22"/>
    </row>
    <row r="5635" spans="1:32" x14ac:dyDescent="0.2">
      <c r="A5635" s="1">
        <v>54725</v>
      </c>
      <c r="B5635" s="1" t="s">
        <v>16812</v>
      </c>
      <c r="C5635" s="5" t="s">
        <v>0</v>
      </c>
      <c r="E5635" s="1" t="s">
        <v>16813</v>
      </c>
      <c r="F5635" s="1" t="s">
        <v>1412</v>
      </c>
      <c r="G5635" s="1" t="s">
        <v>1413</v>
      </c>
      <c r="H5635" s="1" t="s">
        <v>30</v>
      </c>
      <c r="I5635" s="1" t="s">
        <v>16</v>
      </c>
      <c r="J5635" s="1">
        <v>1</v>
      </c>
      <c r="K5635" s="1">
        <v>1</v>
      </c>
      <c r="L5635" s="1" t="s">
        <v>31</v>
      </c>
      <c r="M5635" s="1" t="s">
        <v>18</v>
      </c>
      <c r="N5635" s="1" t="s">
        <v>18</v>
      </c>
      <c r="O5635" s="1">
        <v>2</v>
      </c>
      <c r="P5635" s="1">
        <v>6</v>
      </c>
      <c r="R5635" s="1" t="s">
        <v>19</v>
      </c>
      <c r="S5635" s="1" t="s">
        <v>63</v>
      </c>
      <c r="T5635" s="1" t="s">
        <v>21</v>
      </c>
      <c r="V5635" s="1" t="s">
        <v>23</v>
      </c>
      <c r="W5635" s="1" t="s">
        <v>24</v>
      </c>
      <c r="X5635" s="1">
        <v>2730</v>
      </c>
      <c r="Y5635" s="1">
        <v>1306</v>
      </c>
      <c r="Z5635" s="1">
        <v>2741</v>
      </c>
      <c r="AA5635" s="1" t="s">
        <v>24</v>
      </c>
      <c r="AB5635" s="1" t="s">
        <v>24</v>
      </c>
      <c r="AC5635" s="1" t="s">
        <v>24</v>
      </c>
      <c r="AD5635" s="1" t="s">
        <v>24</v>
      </c>
      <c r="AE5635" s="1" t="s">
        <v>24</v>
      </c>
      <c r="AF5635" s="22"/>
    </row>
    <row r="5636" spans="1:32" x14ac:dyDescent="0.2">
      <c r="A5636" s="1">
        <v>54726</v>
      </c>
      <c r="B5636" s="1" t="s">
        <v>16814</v>
      </c>
      <c r="C5636" s="5" t="s">
        <v>0</v>
      </c>
      <c r="D5636" s="1" t="s">
        <v>16815</v>
      </c>
      <c r="E5636" s="1" t="s">
        <v>16816</v>
      </c>
      <c r="F5636" s="1" t="s">
        <v>1412</v>
      </c>
      <c r="G5636" s="1" t="s">
        <v>1413</v>
      </c>
      <c r="H5636" s="1" t="s">
        <v>30</v>
      </c>
      <c r="I5636" s="1" t="s">
        <v>16</v>
      </c>
      <c r="J5636" s="1">
        <v>1</v>
      </c>
      <c r="K5636" s="1">
        <v>1</v>
      </c>
      <c r="L5636" s="1" t="s">
        <v>31</v>
      </c>
      <c r="M5636" s="1" t="s">
        <v>18</v>
      </c>
      <c r="N5636" s="1" t="s">
        <v>18</v>
      </c>
      <c r="O5636" s="1">
        <v>2</v>
      </c>
      <c r="P5636" s="1">
        <v>7</v>
      </c>
      <c r="Q5636" s="7" t="s">
        <v>17633</v>
      </c>
      <c r="R5636" s="1" t="s">
        <v>19</v>
      </c>
      <c r="S5636" s="1" t="s">
        <v>63</v>
      </c>
      <c r="T5636" s="1" t="s">
        <v>21</v>
      </c>
      <c r="V5636" s="1" t="s">
        <v>24</v>
      </c>
      <c r="W5636" s="1" t="s">
        <v>24</v>
      </c>
      <c r="X5636" s="1">
        <v>2804</v>
      </c>
      <c r="Y5636" s="1">
        <v>1307</v>
      </c>
      <c r="Z5636" s="1">
        <v>1303</v>
      </c>
      <c r="AA5636" s="1" t="s">
        <v>24</v>
      </c>
      <c r="AB5636" s="1" t="s">
        <v>24</v>
      </c>
      <c r="AC5636" s="1" t="s">
        <v>24</v>
      </c>
      <c r="AD5636" s="1" t="s">
        <v>24</v>
      </c>
      <c r="AE5636" s="1" t="s">
        <v>24</v>
      </c>
      <c r="AF5636" s="22"/>
    </row>
    <row r="5637" spans="1:32" x14ac:dyDescent="0.2">
      <c r="A5637" s="1">
        <v>54727</v>
      </c>
      <c r="B5637" s="1" t="s">
        <v>16817</v>
      </c>
      <c r="C5637" s="5" t="s">
        <v>0</v>
      </c>
      <c r="D5637" s="1" t="s">
        <v>16818</v>
      </c>
      <c r="E5637" s="1" t="s">
        <v>16819</v>
      </c>
      <c r="F5637" s="1" t="s">
        <v>1412</v>
      </c>
      <c r="G5637" s="1" t="s">
        <v>1413</v>
      </c>
      <c r="H5637" s="1" t="s">
        <v>30</v>
      </c>
      <c r="I5637" s="1" t="s">
        <v>16</v>
      </c>
      <c r="J5637" s="1">
        <v>1</v>
      </c>
      <c r="K5637" s="1">
        <v>1</v>
      </c>
      <c r="L5637" s="1" t="s">
        <v>31</v>
      </c>
      <c r="M5637" s="1" t="s">
        <v>18</v>
      </c>
      <c r="N5637" s="1" t="s">
        <v>18</v>
      </c>
      <c r="O5637" s="1">
        <v>2</v>
      </c>
      <c r="P5637" s="1">
        <v>7</v>
      </c>
      <c r="Q5637" s="7" t="s">
        <v>17633</v>
      </c>
      <c r="R5637" s="1" t="s">
        <v>19</v>
      </c>
      <c r="S5637" s="1" t="s">
        <v>63</v>
      </c>
      <c r="T5637" s="1" t="s">
        <v>21</v>
      </c>
      <c r="V5637" s="1" t="s">
        <v>23</v>
      </c>
      <c r="W5637" s="1" t="s">
        <v>24</v>
      </c>
      <c r="X5637" s="1">
        <v>2742</v>
      </c>
      <c r="Y5637" s="1">
        <v>3612</v>
      </c>
      <c r="Z5637" s="1" t="s">
        <v>24</v>
      </c>
      <c r="AA5637" s="1" t="s">
        <v>24</v>
      </c>
      <c r="AB5637" s="1" t="s">
        <v>24</v>
      </c>
      <c r="AC5637" s="1" t="s">
        <v>24</v>
      </c>
      <c r="AD5637" s="1" t="s">
        <v>24</v>
      </c>
      <c r="AE5637" s="1" t="s">
        <v>24</v>
      </c>
      <c r="AF5637" s="22"/>
    </row>
    <row r="5638" spans="1:32" x14ac:dyDescent="0.2">
      <c r="A5638" s="1">
        <v>54728</v>
      </c>
      <c r="B5638" s="1" t="s">
        <v>16820</v>
      </c>
      <c r="C5638" s="5" t="s">
        <v>0</v>
      </c>
      <c r="E5638" s="1" t="s">
        <v>16821</v>
      </c>
      <c r="F5638" s="1" t="s">
        <v>28</v>
      </c>
      <c r="G5638" s="1" t="s">
        <v>29</v>
      </c>
      <c r="H5638" s="1" t="s">
        <v>30</v>
      </c>
      <c r="I5638" s="1" t="s">
        <v>16</v>
      </c>
      <c r="J5638" s="1">
        <v>1</v>
      </c>
      <c r="K5638" s="1">
        <v>4</v>
      </c>
      <c r="L5638" s="1" t="s">
        <v>31</v>
      </c>
      <c r="M5638" s="1" t="s">
        <v>18</v>
      </c>
      <c r="N5638" s="1" t="s">
        <v>18</v>
      </c>
      <c r="O5638" s="1">
        <v>3</v>
      </c>
      <c r="P5638" s="1">
        <v>7</v>
      </c>
      <c r="Q5638" s="7" t="s">
        <v>17633</v>
      </c>
      <c r="R5638" s="1" t="s">
        <v>19</v>
      </c>
      <c r="S5638" s="1" t="s">
        <v>20</v>
      </c>
      <c r="T5638" s="1" t="s">
        <v>21</v>
      </c>
      <c r="V5638" s="1" t="s">
        <v>24</v>
      </c>
      <c r="W5638" s="1" t="s">
        <v>24</v>
      </c>
      <c r="X5638" s="1">
        <v>2705</v>
      </c>
      <c r="Y5638" s="1">
        <v>2712</v>
      </c>
      <c r="Z5638" s="1">
        <v>2724</v>
      </c>
      <c r="AA5638" s="1">
        <v>2807</v>
      </c>
      <c r="AB5638" s="1" t="s">
        <v>24</v>
      </c>
      <c r="AC5638" s="1" t="s">
        <v>24</v>
      </c>
      <c r="AD5638" s="1" t="s">
        <v>24</v>
      </c>
      <c r="AE5638" s="1" t="s">
        <v>24</v>
      </c>
      <c r="AF5638" s="22"/>
    </row>
    <row r="5639" spans="1:32" x14ac:dyDescent="0.2">
      <c r="A5639" s="1">
        <v>54729</v>
      </c>
      <c r="B5639" s="1" t="s">
        <v>16822</v>
      </c>
      <c r="C5639" s="5" t="s">
        <v>0</v>
      </c>
      <c r="E5639" s="1" t="s">
        <v>16823</v>
      </c>
      <c r="F5639" s="1" t="s">
        <v>55</v>
      </c>
      <c r="G5639" s="1" t="s">
        <v>56</v>
      </c>
      <c r="H5639" s="1" t="s">
        <v>37</v>
      </c>
      <c r="I5639" s="1" t="s">
        <v>16</v>
      </c>
      <c r="J5639" s="1">
        <v>1</v>
      </c>
      <c r="K5639" s="1">
        <v>1</v>
      </c>
      <c r="L5639" s="1" t="s">
        <v>31</v>
      </c>
      <c r="M5639" s="1" t="s">
        <v>18</v>
      </c>
      <c r="N5639" s="1" t="s">
        <v>18</v>
      </c>
      <c r="O5639" s="1">
        <v>3</v>
      </c>
      <c r="P5639" s="1">
        <v>7</v>
      </c>
      <c r="Q5639" s="7" t="s">
        <v>17633</v>
      </c>
      <c r="R5639" s="1" t="s">
        <v>19</v>
      </c>
      <c r="S5639" s="1" t="s">
        <v>20</v>
      </c>
      <c r="T5639" s="1" t="s">
        <v>21</v>
      </c>
      <c r="V5639" s="1" t="s">
        <v>24</v>
      </c>
      <c r="W5639" s="1" t="s">
        <v>24</v>
      </c>
      <c r="X5639" s="1">
        <v>1105</v>
      </c>
      <c r="Y5639" s="1">
        <v>2307</v>
      </c>
      <c r="Z5639" s="1">
        <v>2701</v>
      </c>
      <c r="AA5639" s="1" t="s">
        <v>24</v>
      </c>
      <c r="AB5639" s="1" t="s">
        <v>24</v>
      </c>
      <c r="AC5639" s="1" t="s">
        <v>24</v>
      </c>
      <c r="AD5639" s="1" t="s">
        <v>24</v>
      </c>
      <c r="AE5639" s="1" t="s">
        <v>24</v>
      </c>
      <c r="AF5639" s="22"/>
    </row>
    <row r="5640" spans="1:32" x14ac:dyDescent="0.2">
      <c r="A5640" s="1">
        <v>54730</v>
      </c>
      <c r="B5640" s="1" t="s">
        <v>16824</v>
      </c>
      <c r="C5640" s="5" t="s">
        <v>0</v>
      </c>
      <c r="D5640" s="1" t="s">
        <v>16825</v>
      </c>
      <c r="F5640" s="1" t="s">
        <v>724</v>
      </c>
      <c r="G5640" s="1" t="s">
        <v>725</v>
      </c>
      <c r="H5640" s="1" t="s">
        <v>37</v>
      </c>
      <c r="I5640" s="1" t="s">
        <v>16</v>
      </c>
      <c r="J5640" s="1">
        <v>1</v>
      </c>
      <c r="K5640" s="1">
        <v>1</v>
      </c>
      <c r="L5640" s="1" t="s">
        <v>31</v>
      </c>
      <c r="M5640" s="1" t="s">
        <v>18</v>
      </c>
      <c r="N5640" s="1" t="s">
        <v>18</v>
      </c>
      <c r="O5640" s="1">
        <v>3</v>
      </c>
      <c r="P5640" s="1">
        <v>7</v>
      </c>
      <c r="Q5640" s="7" t="s">
        <v>17633</v>
      </c>
      <c r="R5640" s="1" t="s">
        <v>19</v>
      </c>
      <c r="S5640" s="1" t="s">
        <v>20</v>
      </c>
      <c r="T5640" s="1" t="s">
        <v>21</v>
      </c>
      <c r="V5640" s="1" t="s">
        <v>23</v>
      </c>
      <c r="W5640" s="1" t="s">
        <v>24</v>
      </c>
      <c r="X5640" s="1">
        <v>1106</v>
      </c>
      <c r="Y5640" s="1">
        <v>2712</v>
      </c>
      <c r="Z5640" s="1" t="s">
        <v>24</v>
      </c>
      <c r="AA5640" s="1" t="s">
        <v>24</v>
      </c>
      <c r="AB5640" s="1" t="s">
        <v>24</v>
      </c>
      <c r="AC5640" s="1" t="s">
        <v>24</v>
      </c>
      <c r="AD5640" s="1" t="s">
        <v>24</v>
      </c>
      <c r="AE5640" s="1" t="s">
        <v>24</v>
      </c>
      <c r="AF5640" s="22"/>
    </row>
    <row r="5641" spans="1:32" x14ac:dyDescent="0.2">
      <c r="A5641" s="1">
        <v>54731</v>
      </c>
      <c r="B5641" s="1" t="s">
        <v>16826</v>
      </c>
      <c r="C5641" s="5" t="s">
        <v>0</v>
      </c>
      <c r="E5641" s="1" t="s">
        <v>16827</v>
      </c>
      <c r="F5641" s="1" t="s">
        <v>9967</v>
      </c>
      <c r="G5641" s="1" t="s">
        <v>130</v>
      </c>
      <c r="H5641" s="1" t="s">
        <v>168</v>
      </c>
      <c r="I5641" s="1" t="s">
        <v>16</v>
      </c>
      <c r="J5641" s="1">
        <v>1</v>
      </c>
      <c r="K5641" s="1">
        <v>4</v>
      </c>
      <c r="L5641" s="1" t="s">
        <v>31</v>
      </c>
      <c r="M5641" s="1" t="s">
        <v>18</v>
      </c>
      <c r="N5641" s="1" t="s">
        <v>18</v>
      </c>
      <c r="O5641" s="1">
        <v>3</v>
      </c>
      <c r="P5641" s="1">
        <v>7</v>
      </c>
      <c r="Q5641" s="7" t="s">
        <v>17633</v>
      </c>
      <c r="R5641" s="1" t="s">
        <v>19</v>
      </c>
      <c r="S5641" s="1" t="s">
        <v>20</v>
      </c>
      <c r="T5641" s="1" t="s">
        <v>21</v>
      </c>
      <c r="V5641" s="1" t="s">
        <v>23</v>
      </c>
      <c r="W5641" s="1" t="s">
        <v>24</v>
      </c>
      <c r="X5641" s="1">
        <v>1106</v>
      </c>
      <c r="Y5641" s="1">
        <v>2916</v>
      </c>
      <c r="Z5641" s="1" t="s">
        <v>24</v>
      </c>
      <c r="AA5641" s="1" t="s">
        <v>24</v>
      </c>
      <c r="AB5641" s="1" t="s">
        <v>24</v>
      </c>
      <c r="AC5641" s="1" t="s">
        <v>24</v>
      </c>
      <c r="AD5641" s="1" t="s">
        <v>24</v>
      </c>
      <c r="AE5641" s="1" t="s">
        <v>24</v>
      </c>
      <c r="AF5641" s="22" t="s">
        <v>17670</v>
      </c>
    </row>
    <row r="5642" spans="1:32" x14ac:dyDescent="0.2">
      <c r="A5642" s="1">
        <v>54732</v>
      </c>
      <c r="B5642" s="1" t="s">
        <v>16828</v>
      </c>
      <c r="C5642" s="5" t="s">
        <v>0</v>
      </c>
      <c r="E5642" s="1" t="s">
        <v>16829</v>
      </c>
      <c r="F5642" s="1" t="s">
        <v>16830</v>
      </c>
      <c r="G5642" s="1" t="s">
        <v>16831</v>
      </c>
      <c r="H5642" s="1" t="s">
        <v>86</v>
      </c>
      <c r="I5642" s="1" t="s">
        <v>16</v>
      </c>
      <c r="J5642" s="1">
        <v>1</v>
      </c>
      <c r="K5642" s="1">
        <v>4</v>
      </c>
      <c r="L5642" s="1" t="s">
        <v>42</v>
      </c>
      <c r="M5642" s="1" t="s">
        <v>18</v>
      </c>
      <c r="N5642" s="1" t="s">
        <v>18</v>
      </c>
      <c r="O5642" s="1">
        <v>3</v>
      </c>
      <c r="P5642" s="1">
        <v>6</v>
      </c>
      <c r="R5642" s="1" t="s">
        <v>19</v>
      </c>
      <c r="S5642" s="1" t="s">
        <v>20</v>
      </c>
      <c r="T5642" s="1" t="s">
        <v>21</v>
      </c>
      <c r="V5642" s="1" t="s">
        <v>24</v>
      </c>
      <c r="W5642" s="1" t="s">
        <v>24</v>
      </c>
      <c r="X5642" s="1">
        <v>2719</v>
      </c>
      <c r="Y5642" s="1">
        <v>2739</v>
      </c>
      <c r="Z5642" s="1" t="s">
        <v>24</v>
      </c>
      <c r="AA5642" s="1" t="s">
        <v>24</v>
      </c>
      <c r="AB5642" s="1" t="s">
        <v>24</v>
      </c>
      <c r="AC5642" s="1" t="s">
        <v>24</v>
      </c>
      <c r="AD5642" s="1" t="s">
        <v>24</v>
      </c>
      <c r="AE5642" s="1" t="s">
        <v>24</v>
      </c>
      <c r="AF5642" s="22"/>
    </row>
    <row r="5643" spans="1:32" x14ac:dyDescent="0.2">
      <c r="A5643" s="1">
        <v>54733</v>
      </c>
      <c r="B5643" s="1" t="s">
        <v>16832</v>
      </c>
      <c r="C5643" s="5" t="s">
        <v>0</v>
      </c>
      <c r="E5643" s="1" t="s">
        <v>16833</v>
      </c>
      <c r="F5643" s="1" t="s">
        <v>7866</v>
      </c>
      <c r="G5643" s="1" t="s">
        <v>7866</v>
      </c>
      <c r="H5643" s="1" t="s">
        <v>131</v>
      </c>
      <c r="I5643" s="1" t="s">
        <v>16</v>
      </c>
      <c r="J5643" s="1">
        <v>1</v>
      </c>
      <c r="K5643" s="1">
        <v>4</v>
      </c>
      <c r="L5643" s="1" t="s">
        <v>42</v>
      </c>
      <c r="M5643" s="1" t="s">
        <v>18</v>
      </c>
      <c r="N5643" s="1" t="s">
        <v>18</v>
      </c>
      <c r="O5643" s="1">
        <v>3</v>
      </c>
      <c r="P5643" s="1">
        <v>6</v>
      </c>
      <c r="R5643" s="1" t="s">
        <v>19</v>
      </c>
      <c r="S5643" s="1" t="s">
        <v>20</v>
      </c>
      <c r="T5643" s="1" t="s">
        <v>21</v>
      </c>
      <c r="V5643" s="1" t="s">
        <v>23</v>
      </c>
      <c r="W5643" s="1" t="s">
        <v>24</v>
      </c>
      <c r="X5643" s="1">
        <v>2730</v>
      </c>
      <c r="Y5643" s="1">
        <v>2728</v>
      </c>
      <c r="Z5643" s="1" t="s">
        <v>24</v>
      </c>
      <c r="AA5643" s="1" t="s">
        <v>24</v>
      </c>
      <c r="AB5643" s="1" t="s">
        <v>24</v>
      </c>
      <c r="AC5643" s="1" t="s">
        <v>24</v>
      </c>
      <c r="AD5643" s="1" t="s">
        <v>24</v>
      </c>
      <c r="AE5643" s="1" t="s">
        <v>24</v>
      </c>
      <c r="AF5643" s="22"/>
    </row>
    <row r="5644" spans="1:32" x14ac:dyDescent="0.2">
      <c r="A5644" s="1">
        <v>54734</v>
      </c>
      <c r="B5644" s="1" t="s">
        <v>16834</v>
      </c>
      <c r="C5644" s="5" t="s">
        <v>0</v>
      </c>
      <c r="D5644" s="1" t="s">
        <v>16835</v>
      </c>
      <c r="F5644" s="1" t="s">
        <v>7866</v>
      </c>
      <c r="G5644" s="1" t="s">
        <v>7866</v>
      </c>
      <c r="H5644" s="1" t="s">
        <v>131</v>
      </c>
      <c r="I5644" s="1" t="s">
        <v>16</v>
      </c>
      <c r="J5644" s="1">
        <v>1</v>
      </c>
      <c r="K5644" s="1">
        <v>4</v>
      </c>
      <c r="L5644" s="1" t="s">
        <v>42</v>
      </c>
      <c r="M5644" s="1" t="s">
        <v>413</v>
      </c>
      <c r="N5644" s="1" t="s">
        <v>679</v>
      </c>
      <c r="O5644" s="1">
        <v>3</v>
      </c>
      <c r="P5644" s="1">
        <v>5</v>
      </c>
      <c r="R5644" s="1" t="s">
        <v>19</v>
      </c>
      <c r="S5644" s="1" t="s">
        <v>20</v>
      </c>
      <c r="T5644" s="1" t="s">
        <v>21</v>
      </c>
      <c r="V5644" s="1" t="s">
        <v>23</v>
      </c>
      <c r="W5644" s="1" t="s">
        <v>24</v>
      </c>
      <c r="X5644" s="1">
        <v>2730</v>
      </c>
      <c r="Y5644" s="1" t="s">
        <v>24</v>
      </c>
      <c r="Z5644" s="1" t="s">
        <v>24</v>
      </c>
      <c r="AA5644" s="1" t="s">
        <v>24</v>
      </c>
      <c r="AB5644" s="1" t="s">
        <v>24</v>
      </c>
      <c r="AC5644" s="1" t="s">
        <v>24</v>
      </c>
      <c r="AD5644" s="1" t="s">
        <v>24</v>
      </c>
      <c r="AE5644" s="1" t="s">
        <v>24</v>
      </c>
      <c r="AF5644" s="22"/>
    </row>
    <row r="5645" spans="1:32" x14ac:dyDescent="0.2">
      <c r="A5645" s="1">
        <v>54735</v>
      </c>
      <c r="B5645" s="1" t="s">
        <v>16836</v>
      </c>
      <c r="C5645" s="5" t="s">
        <v>0</v>
      </c>
      <c r="E5645" s="1" t="s">
        <v>16837</v>
      </c>
      <c r="F5645" s="1" t="s">
        <v>7866</v>
      </c>
      <c r="G5645" s="1" t="s">
        <v>7866</v>
      </c>
      <c r="H5645" s="1" t="s">
        <v>131</v>
      </c>
      <c r="I5645" s="1" t="s">
        <v>16</v>
      </c>
      <c r="J5645" s="1">
        <v>1</v>
      </c>
      <c r="K5645" s="1">
        <v>4</v>
      </c>
      <c r="L5645" s="1" t="s">
        <v>42</v>
      </c>
      <c r="M5645" s="1" t="s">
        <v>413</v>
      </c>
      <c r="N5645" s="1" t="s">
        <v>679</v>
      </c>
      <c r="O5645" s="1">
        <v>3</v>
      </c>
      <c r="P5645" s="1">
        <v>5</v>
      </c>
      <c r="R5645" s="1" t="s">
        <v>19</v>
      </c>
      <c r="S5645" s="1" t="s">
        <v>20</v>
      </c>
      <c r="T5645" s="1" t="s">
        <v>21</v>
      </c>
      <c r="V5645" s="1" t="s">
        <v>23</v>
      </c>
      <c r="W5645" s="1" t="s">
        <v>24</v>
      </c>
      <c r="X5645" s="1">
        <v>2730</v>
      </c>
      <c r="Y5645" s="1" t="s">
        <v>24</v>
      </c>
      <c r="Z5645" s="1" t="s">
        <v>24</v>
      </c>
      <c r="AA5645" s="1" t="s">
        <v>24</v>
      </c>
      <c r="AB5645" s="1" t="s">
        <v>24</v>
      </c>
      <c r="AC5645" s="1" t="s">
        <v>24</v>
      </c>
      <c r="AD5645" s="1" t="s">
        <v>24</v>
      </c>
      <c r="AE5645" s="1" t="s">
        <v>24</v>
      </c>
      <c r="AF5645" s="22"/>
    </row>
    <row r="5646" spans="1:32" x14ac:dyDescent="0.2">
      <c r="A5646" s="1">
        <v>54736</v>
      </c>
      <c r="B5646" s="1" t="s">
        <v>16838</v>
      </c>
      <c r="C5646" s="5" t="s">
        <v>0</v>
      </c>
      <c r="D5646" s="1" t="s">
        <v>16839</v>
      </c>
      <c r="E5646" s="1" t="s">
        <v>16840</v>
      </c>
      <c r="F5646" s="1" t="s">
        <v>10332</v>
      </c>
      <c r="G5646" s="1" t="s">
        <v>10332</v>
      </c>
      <c r="H5646" s="1" t="s">
        <v>30</v>
      </c>
      <c r="I5646" s="1" t="s">
        <v>16</v>
      </c>
      <c r="J5646" s="1">
        <v>1</v>
      </c>
      <c r="K5646" s="1">
        <v>4</v>
      </c>
      <c r="L5646" s="1" t="s">
        <v>42</v>
      </c>
      <c r="M5646" s="1" t="s">
        <v>18</v>
      </c>
      <c r="N5646" s="1" t="s">
        <v>18</v>
      </c>
      <c r="O5646" s="1">
        <v>3</v>
      </c>
      <c r="P5646" s="1">
        <v>6</v>
      </c>
      <c r="R5646" s="1" t="s">
        <v>19</v>
      </c>
      <c r="S5646" s="1" t="s">
        <v>63</v>
      </c>
      <c r="T5646" s="1" t="s">
        <v>21</v>
      </c>
      <c r="V5646" s="1" t="s">
        <v>23</v>
      </c>
      <c r="W5646" s="1" t="s">
        <v>24</v>
      </c>
      <c r="X5646" s="1">
        <v>2204</v>
      </c>
      <c r="Y5646" s="1">
        <v>2502</v>
      </c>
      <c r="Z5646" s="1">
        <v>2701</v>
      </c>
      <c r="AA5646" s="1" t="s">
        <v>24</v>
      </c>
      <c r="AB5646" s="1" t="s">
        <v>24</v>
      </c>
      <c r="AC5646" s="1" t="s">
        <v>24</v>
      </c>
      <c r="AD5646" s="1" t="s">
        <v>24</v>
      </c>
      <c r="AE5646" s="1" t="s">
        <v>24</v>
      </c>
      <c r="AF5646" s="22"/>
    </row>
    <row r="5647" spans="1:32" x14ac:dyDescent="0.2">
      <c r="A5647" s="1">
        <v>54737</v>
      </c>
      <c r="B5647" s="1" t="s">
        <v>16841</v>
      </c>
      <c r="C5647" s="5" t="s">
        <v>0</v>
      </c>
      <c r="D5647" s="1" t="s">
        <v>16842</v>
      </c>
      <c r="E5647" s="1" t="s">
        <v>16843</v>
      </c>
      <c r="F5647" s="1" t="s">
        <v>10332</v>
      </c>
      <c r="G5647" s="1" t="s">
        <v>10332</v>
      </c>
      <c r="H5647" s="1" t="s">
        <v>30</v>
      </c>
      <c r="I5647" s="1" t="s">
        <v>16</v>
      </c>
      <c r="J5647" s="1">
        <v>1</v>
      </c>
      <c r="K5647" s="1">
        <v>4</v>
      </c>
      <c r="L5647" s="1" t="s">
        <v>42</v>
      </c>
      <c r="M5647" s="1" t="s">
        <v>18</v>
      </c>
      <c r="N5647" s="1" t="s">
        <v>18</v>
      </c>
      <c r="O5647" s="1">
        <v>3</v>
      </c>
      <c r="P5647" s="1">
        <v>6</v>
      </c>
      <c r="R5647" s="1" t="s">
        <v>19</v>
      </c>
      <c r="S5647" s="1" t="s">
        <v>63</v>
      </c>
      <c r="T5647" s="1" t="s">
        <v>21</v>
      </c>
      <c r="V5647" s="1" t="s">
        <v>24</v>
      </c>
      <c r="W5647" s="1" t="s">
        <v>24</v>
      </c>
      <c r="X5647" s="1">
        <v>1307</v>
      </c>
      <c r="Y5647" s="1">
        <v>1312</v>
      </c>
      <c r="Z5647" s="1">
        <v>1306</v>
      </c>
      <c r="AA5647" s="1" t="s">
        <v>24</v>
      </c>
      <c r="AB5647" s="1" t="s">
        <v>24</v>
      </c>
      <c r="AC5647" s="1" t="s">
        <v>24</v>
      </c>
      <c r="AD5647" s="1" t="s">
        <v>24</v>
      </c>
      <c r="AE5647" s="1" t="s">
        <v>24</v>
      </c>
      <c r="AF5647" s="22"/>
    </row>
    <row r="5648" spans="1:32" x14ac:dyDescent="0.2">
      <c r="A5648" s="1">
        <v>54738</v>
      </c>
      <c r="B5648" s="1" t="s">
        <v>16844</v>
      </c>
      <c r="C5648" s="5" t="s">
        <v>0</v>
      </c>
      <c r="D5648" s="1" t="s">
        <v>16845</v>
      </c>
      <c r="E5648" s="1" t="s">
        <v>16846</v>
      </c>
      <c r="F5648" s="1" t="s">
        <v>16847</v>
      </c>
      <c r="G5648" s="1" t="s">
        <v>16847</v>
      </c>
      <c r="H5648" s="1" t="s">
        <v>2147</v>
      </c>
      <c r="I5648" s="1" t="s">
        <v>16</v>
      </c>
      <c r="J5648" s="1">
        <v>1</v>
      </c>
      <c r="K5648" s="1">
        <v>1</v>
      </c>
      <c r="L5648" s="1" t="s">
        <v>42</v>
      </c>
      <c r="M5648" s="1" t="s">
        <v>18</v>
      </c>
      <c r="N5648" s="1" t="s">
        <v>18</v>
      </c>
      <c r="O5648" s="1">
        <v>2</v>
      </c>
      <c r="P5648" s="1">
        <v>6</v>
      </c>
      <c r="R5648" s="1" t="s">
        <v>19</v>
      </c>
      <c r="S5648" s="1" t="s">
        <v>63</v>
      </c>
      <c r="T5648" s="1" t="s">
        <v>21</v>
      </c>
      <c r="V5648" s="1" t="s">
        <v>24</v>
      </c>
      <c r="W5648" s="1" t="s">
        <v>24</v>
      </c>
      <c r="X5648" s="1">
        <v>1308</v>
      </c>
      <c r="Y5648" s="1" t="s">
        <v>24</v>
      </c>
      <c r="Z5648" s="1" t="s">
        <v>24</v>
      </c>
      <c r="AA5648" s="1" t="s">
        <v>24</v>
      </c>
      <c r="AB5648" s="1" t="s">
        <v>24</v>
      </c>
      <c r="AC5648" s="1" t="s">
        <v>24</v>
      </c>
      <c r="AD5648" s="1" t="s">
        <v>24</v>
      </c>
      <c r="AE5648" s="1" t="s">
        <v>24</v>
      </c>
      <c r="AF5648" s="22"/>
    </row>
    <row r="5649" spans="1:32" x14ac:dyDescent="0.2">
      <c r="A5649" s="1">
        <v>54739</v>
      </c>
      <c r="B5649" s="1" t="s">
        <v>16848</v>
      </c>
      <c r="C5649" s="5" t="s">
        <v>0</v>
      </c>
      <c r="E5649" s="1" t="s">
        <v>16849</v>
      </c>
      <c r="F5649" s="1" t="s">
        <v>12818</v>
      </c>
      <c r="G5649" s="1" t="s">
        <v>12818</v>
      </c>
      <c r="H5649" s="1" t="s">
        <v>184</v>
      </c>
      <c r="I5649" s="1" t="s">
        <v>16</v>
      </c>
      <c r="J5649" s="1">
        <v>1</v>
      </c>
      <c r="K5649" s="1">
        <v>1</v>
      </c>
      <c r="L5649" s="1" t="s">
        <v>42</v>
      </c>
      <c r="M5649" s="1" t="s">
        <v>18</v>
      </c>
      <c r="N5649" s="1" t="s">
        <v>18</v>
      </c>
      <c r="O5649" s="1">
        <v>3</v>
      </c>
      <c r="P5649" s="1">
        <v>6</v>
      </c>
      <c r="R5649" s="1" t="s">
        <v>19</v>
      </c>
      <c r="S5649" s="1" t="s">
        <v>63</v>
      </c>
      <c r="T5649" s="1" t="s">
        <v>21</v>
      </c>
      <c r="V5649" s="1" t="s">
        <v>24</v>
      </c>
      <c r="W5649" s="1" t="s">
        <v>24</v>
      </c>
      <c r="X5649" s="1">
        <v>1307</v>
      </c>
      <c r="Y5649" s="1">
        <v>2722</v>
      </c>
      <c r="Z5649" s="1" t="s">
        <v>24</v>
      </c>
      <c r="AA5649" s="1" t="s">
        <v>24</v>
      </c>
      <c r="AB5649" s="1" t="s">
        <v>24</v>
      </c>
      <c r="AC5649" s="1" t="s">
        <v>24</v>
      </c>
      <c r="AD5649" s="1" t="s">
        <v>24</v>
      </c>
      <c r="AE5649" s="1" t="s">
        <v>24</v>
      </c>
      <c r="AF5649" s="22"/>
    </row>
    <row r="5650" spans="1:32" x14ac:dyDescent="0.2">
      <c r="A5650" s="1">
        <v>54740</v>
      </c>
      <c r="B5650" s="1" t="s">
        <v>16850</v>
      </c>
      <c r="C5650" s="5" t="s">
        <v>0</v>
      </c>
      <c r="E5650" s="1" t="s">
        <v>16851</v>
      </c>
      <c r="F5650" s="1" t="s">
        <v>12818</v>
      </c>
      <c r="G5650" s="1" t="s">
        <v>12818</v>
      </c>
      <c r="H5650" s="1" t="s">
        <v>184</v>
      </c>
      <c r="I5650" s="1" t="s">
        <v>16</v>
      </c>
      <c r="J5650" s="1">
        <v>1</v>
      </c>
      <c r="K5650" s="1">
        <v>1</v>
      </c>
      <c r="L5650" s="1" t="s">
        <v>42</v>
      </c>
      <c r="M5650" s="1" t="s">
        <v>18</v>
      </c>
      <c r="N5650" s="1" t="s">
        <v>18</v>
      </c>
      <c r="O5650" s="1">
        <v>2</v>
      </c>
      <c r="P5650" s="1">
        <v>6</v>
      </c>
      <c r="R5650" s="1" t="s">
        <v>19</v>
      </c>
      <c r="S5650" s="1" t="s">
        <v>63</v>
      </c>
      <c r="T5650" s="1" t="s">
        <v>21</v>
      </c>
      <c r="V5650" s="1" t="s">
        <v>24</v>
      </c>
      <c r="W5650" s="1" t="s">
        <v>24</v>
      </c>
      <c r="X5650" s="1">
        <v>2713</v>
      </c>
      <c r="Y5650" s="1">
        <v>2301</v>
      </c>
      <c r="Z5650" s="1" t="s">
        <v>24</v>
      </c>
      <c r="AA5650" s="1" t="s">
        <v>24</v>
      </c>
      <c r="AB5650" s="1" t="s">
        <v>24</v>
      </c>
      <c r="AC5650" s="1" t="s">
        <v>24</v>
      </c>
      <c r="AD5650" s="1" t="s">
        <v>24</v>
      </c>
      <c r="AE5650" s="1" t="s">
        <v>24</v>
      </c>
      <c r="AF5650" s="22"/>
    </row>
    <row r="5651" spans="1:32" x14ac:dyDescent="0.2">
      <c r="A5651" s="1">
        <v>54741</v>
      </c>
      <c r="B5651" s="1" t="s">
        <v>16852</v>
      </c>
      <c r="C5651" s="5" t="s">
        <v>0</v>
      </c>
      <c r="D5651" s="1" t="s">
        <v>16853</v>
      </c>
      <c r="E5651" s="1" t="s">
        <v>16854</v>
      </c>
      <c r="F5651" s="1" t="s">
        <v>1949</v>
      </c>
      <c r="G5651" s="1" t="s">
        <v>1949</v>
      </c>
      <c r="H5651" s="1" t="s">
        <v>684</v>
      </c>
      <c r="I5651" s="1" t="s">
        <v>16</v>
      </c>
      <c r="J5651" s="1">
        <v>1</v>
      </c>
      <c r="K5651" s="1">
        <v>1</v>
      </c>
      <c r="L5651" s="1" t="s">
        <v>42</v>
      </c>
      <c r="M5651" s="1" t="s">
        <v>18</v>
      </c>
      <c r="N5651" s="1" t="s">
        <v>18</v>
      </c>
      <c r="O5651" s="1">
        <v>3</v>
      </c>
      <c r="P5651" s="1">
        <v>6</v>
      </c>
      <c r="R5651" s="1" t="s">
        <v>19</v>
      </c>
      <c r="S5651" s="1" t="s">
        <v>63</v>
      </c>
      <c r="T5651" s="1" t="s">
        <v>21</v>
      </c>
      <c r="U5651" s="1" t="s">
        <v>22</v>
      </c>
      <c r="V5651" s="1" t="s">
        <v>23</v>
      </c>
      <c r="W5651" s="1" t="s">
        <v>24</v>
      </c>
      <c r="X5651" s="1">
        <v>2740</v>
      </c>
      <c r="Y5651" s="1" t="s">
        <v>24</v>
      </c>
      <c r="Z5651" s="1" t="s">
        <v>24</v>
      </c>
      <c r="AA5651" s="1" t="s">
        <v>24</v>
      </c>
      <c r="AB5651" s="1" t="s">
        <v>24</v>
      </c>
      <c r="AC5651" s="1" t="s">
        <v>24</v>
      </c>
      <c r="AD5651" s="1" t="s">
        <v>24</v>
      </c>
      <c r="AE5651" s="1" t="s">
        <v>24</v>
      </c>
      <c r="AF5651" s="22"/>
    </row>
    <row r="5652" spans="1:32" x14ac:dyDescent="0.2">
      <c r="A5652" s="1">
        <v>54742</v>
      </c>
      <c r="B5652" s="1" t="s">
        <v>16855</v>
      </c>
      <c r="C5652" s="5" t="s">
        <v>0</v>
      </c>
      <c r="D5652" s="1" t="s">
        <v>16856</v>
      </c>
      <c r="E5652" s="1" t="s">
        <v>16857</v>
      </c>
      <c r="F5652" s="1" t="s">
        <v>1949</v>
      </c>
      <c r="G5652" s="1" t="s">
        <v>1949</v>
      </c>
      <c r="H5652" s="1" t="s">
        <v>684</v>
      </c>
      <c r="I5652" s="1" t="s">
        <v>16</v>
      </c>
      <c r="J5652" s="1">
        <v>1</v>
      </c>
      <c r="K5652" s="1">
        <v>1</v>
      </c>
      <c r="L5652" s="1" t="s">
        <v>42</v>
      </c>
      <c r="M5652" s="1" t="s">
        <v>18</v>
      </c>
      <c r="N5652" s="1" t="s">
        <v>18</v>
      </c>
      <c r="O5652" s="1">
        <v>3</v>
      </c>
      <c r="P5652" s="1">
        <v>6</v>
      </c>
      <c r="R5652" s="1" t="s">
        <v>19</v>
      </c>
      <c r="S5652" s="1" t="s">
        <v>63</v>
      </c>
      <c r="T5652" s="1" t="s">
        <v>21</v>
      </c>
      <c r="V5652" s="1" t="s">
        <v>23</v>
      </c>
      <c r="W5652" s="1" t="s">
        <v>24</v>
      </c>
      <c r="X5652" s="1">
        <v>2700</v>
      </c>
      <c r="Y5652" s="1" t="s">
        <v>24</v>
      </c>
      <c r="Z5652" s="1" t="s">
        <v>24</v>
      </c>
      <c r="AA5652" s="1" t="s">
        <v>24</v>
      </c>
      <c r="AB5652" s="1" t="s">
        <v>24</v>
      </c>
      <c r="AC5652" s="1" t="s">
        <v>24</v>
      </c>
      <c r="AD5652" s="1" t="s">
        <v>24</v>
      </c>
      <c r="AE5652" s="1" t="s">
        <v>24</v>
      </c>
      <c r="AF5652" s="22"/>
    </row>
    <row r="5653" spans="1:32" x14ac:dyDescent="0.2">
      <c r="A5653" s="1">
        <v>54743</v>
      </c>
      <c r="B5653" s="1" t="s">
        <v>16858</v>
      </c>
      <c r="C5653" s="5" t="s">
        <v>0</v>
      </c>
      <c r="D5653" s="1" t="s">
        <v>16859</v>
      </c>
      <c r="E5653" s="1" t="s">
        <v>16860</v>
      </c>
      <c r="F5653" s="1" t="s">
        <v>1949</v>
      </c>
      <c r="G5653" s="1" t="s">
        <v>1949</v>
      </c>
      <c r="H5653" s="1" t="s">
        <v>684</v>
      </c>
      <c r="I5653" s="1" t="s">
        <v>16</v>
      </c>
      <c r="J5653" s="1">
        <v>1</v>
      </c>
      <c r="K5653" s="1">
        <v>1</v>
      </c>
      <c r="L5653" s="1" t="s">
        <v>42</v>
      </c>
      <c r="M5653" s="1" t="s">
        <v>18</v>
      </c>
      <c r="N5653" s="1" t="s">
        <v>18</v>
      </c>
      <c r="O5653" s="1">
        <v>3</v>
      </c>
      <c r="P5653" s="1">
        <v>6</v>
      </c>
      <c r="R5653" s="1" t="s">
        <v>19</v>
      </c>
      <c r="S5653" s="1" t="s">
        <v>63</v>
      </c>
      <c r="T5653" s="1" t="s">
        <v>21</v>
      </c>
      <c r="V5653" s="1" t="s">
        <v>23</v>
      </c>
      <c r="W5653" s="1" t="s">
        <v>24</v>
      </c>
      <c r="X5653" s="1">
        <v>2712</v>
      </c>
      <c r="Y5653" s="1">
        <v>1310</v>
      </c>
      <c r="Z5653" s="1" t="s">
        <v>24</v>
      </c>
      <c r="AA5653" s="1" t="s">
        <v>24</v>
      </c>
      <c r="AB5653" s="1" t="s">
        <v>24</v>
      </c>
      <c r="AC5653" s="1" t="s">
        <v>24</v>
      </c>
      <c r="AD5653" s="1" t="s">
        <v>24</v>
      </c>
      <c r="AE5653" s="1" t="s">
        <v>24</v>
      </c>
      <c r="AF5653" s="22"/>
    </row>
    <row r="5654" spans="1:32" x14ac:dyDescent="0.2">
      <c r="A5654" s="1">
        <v>54744</v>
      </c>
      <c r="B5654" s="1" t="s">
        <v>16861</v>
      </c>
      <c r="C5654" s="5" t="s">
        <v>0</v>
      </c>
      <c r="D5654" s="1" t="s">
        <v>16862</v>
      </c>
      <c r="E5654" s="1" t="s">
        <v>16863</v>
      </c>
      <c r="F5654" s="1" t="s">
        <v>1949</v>
      </c>
      <c r="G5654" s="1" t="s">
        <v>1949</v>
      </c>
      <c r="H5654" s="1" t="s">
        <v>684</v>
      </c>
      <c r="I5654" s="1" t="s">
        <v>16</v>
      </c>
      <c r="J5654" s="1">
        <v>1</v>
      </c>
      <c r="K5654" s="1">
        <v>1</v>
      </c>
      <c r="L5654" s="1" t="s">
        <v>42</v>
      </c>
      <c r="M5654" s="1" t="s">
        <v>18</v>
      </c>
      <c r="N5654" s="1" t="s">
        <v>18</v>
      </c>
      <c r="O5654" s="1">
        <v>3</v>
      </c>
      <c r="P5654" s="1">
        <v>6</v>
      </c>
      <c r="R5654" s="1" t="s">
        <v>19</v>
      </c>
      <c r="S5654" s="1" t="s">
        <v>63</v>
      </c>
      <c r="T5654" s="1" t="s">
        <v>21</v>
      </c>
      <c r="V5654" s="1" t="s">
        <v>24</v>
      </c>
      <c r="W5654" s="1" t="s">
        <v>24</v>
      </c>
      <c r="X5654" s="1">
        <v>2727</v>
      </c>
      <c r="Y5654" s="1" t="s">
        <v>24</v>
      </c>
      <c r="Z5654" s="1" t="s">
        <v>24</v>
      </c>
      <c r="AA5654" s="1" t="s">
        <v>24</v>
      </c>
      <c r="AB5654" s="1" t="s">
        <v>24</v>
      </c>
      <c r="AC5654" s="1" t="s">
        <v>24</v>
      </c>
      <c r="AD5654" s="1" t="s">
        <v>24</v>
      </c>
      <c r="AE5654" s="1" t="s">
        <v>24</v>
      </c>
      <c r="AF5654" s="22"/>
    </row>
    <row r="5655" spans="1:32" x14ac:dyDescent="0.2">
      <c r="A5655" s="1">
        <v>54745</v>
      </c>
      <c r="B5655" s="1" t="s">
        <v>16864</v>
      </c>
      <c r="C5655" s="5" t="s">
        <v>0</v>
      </c>
      <c r="D5655" s="1" t="s">
        <v>16865</v>
      </c>
      <c r="E5655" s="1" t="s">
        <v>16866</v>
      </c>
      <c r="F5655" s="1" t="s">
        <v>1949</v>
      </c>
      <c r="G5655" s="1" t="s">
        <v>1949</v>
      </c>
      <c r="H5655" s="1" t="s">
        <v>684</v>
      </c>
      <c r="I5655" s="1" t="s">
        <v>16</v>
      </c>
      <c r="J5655" s="1">
        <v>1</v>
      </c>
      <c r="K5655" s="1">
        <v>1</v>
      </c>
      <c r="L5655" s="1" t="s">
        <v>42</v>
      </c>
      <c r="M5655" s="1" t="s">
        <v>18</v>
      </c>
      <c r="N5655" s="1" t="s">
        <v>18</v>
      </c>
      <c r="O5655" s="1">
        <v>3</v>
      </c>
      <c r="P5655" s="1">
        <v>6</v>
      </c>
      <c r="R5655" s="1" t="s">
        <v>19</v>
      </c>
      <c r="S5655" s="1" t="s">
        <v>63</v>
      </c>
      <c r="T5655" s="1" t="s">
        <v>21</v>
      </c>
      <c r="V5655" s="1" t="s">
        <v>24</v>
      </c>
      <c r="W5655" s="1" t="s">
        <v>24</v>
      </c>
      <c r="X5655" s="1">
        <v>2717</v>
      </c>
      <c r="Y5655" s="1">
        <v>1302</v>
      </c>
      <c r="Z5655" s="1" t="s">
        <v>24</v>
      </c>
      <c r="AA5655" s="1" t="s">
        <v>24</v>
      </c>
      <c r="AB5655" s="1" t="s">
        <v>24</v>
      </c>
      <c r="AC5655" s="1" t="s">
        <v>24</v>
      </c>
      <c r="AD5655" s="1" t="s">
        <v>24</v>
      </c>
      <c r="AE5655" s="1" t="s">
        <v>24</v>
      </c>
      <c r="AF5655" s="22"/>
    </row>
    <row r="5656" spans="1:32" x14ac:dyDescent="0.2">
      <c r="A5656" s="1">
        <v>54746</v>
      </c>
      <c r="B5656" s="1" t="s">
        <v>16867</v>
      </c>
      <c r="C5656" s="5" t="s">
        <v>0</v>
      </c>
      <c r="D5656" s="1" t="s">
        <v>16868</v>
      </c>
      <c r="E5656" s="1" t="s">
        <v>16869</v>
      </c>
      <c r="F5656" s="1" t="s">
        <v>1949</v>
      </c>
      <c r="G5656" s="1" t="s">
        <v>1949</v>
      </c>
      <c r="H5656" s="1" t="s">
        <v>684</v>
      </c>
      <c r="I5656" s="1" t="s">
        <v>16</v>
      </c>
      <c r="J5656" s="1">
        <v>1</v>
      </c>
      <c r="K5656" s="1">
        <v>1</v>
      </c>
      <c r="L5656" s="1" t="s">
        <v>42</v>
      </c>
      <c r="M5656" s="1" t="s">
        <v>18</v>
      </c>
      <c r="N5656" s="1" t="s">
        <v>18</v>
      </c>
      <c r="O5656" s="1">
        <v>3</v>
      </c>
      <c r="P5656" s="1">
        <v>6</v>
      </c>
      <c r="R5656" s="1" t="s">
        <v>19</v>
      </c>
      <c r="S5656" s="1" t="s">
        <v>63</v>
      </c>
      <c r="T5656" s="1" t="s">
        <v>21</v>
      </c>
      <c r="V5656" s="1" t="s">
        <v>24</v>
      </c>
      <c r="W5656" s="1" t="s">
        <v>24</v>
      </c>
      <c r="X5656" s="1">
        <v>2707</v>
      </c>
      <c r="Y5656" s="1" t="s">
        <v>24</v>
      </c>
      <c r="Z5656" s="1" t="s">
        <v>24</v>
      </c>
      <c r="AA5656" s="1" t="s">
        <v>24</v>
      </c>
      <c r="AB5656" s="1" t="s">
        <v>24</v>
      </c>
      <c r="AC5656" s="1" t="s">
        <v>24</v>
      </c>
      <c r="AD5656" s="1" t="s">
        <v>24</v>
      </c>
      <c r="AE5656" s="1" t="s">
        <v>24</v>
      </c>
      <c r="AF5656" s="22"/>
    </row>
    <row r="5657" spans="1:32" x14ac:dyDescent="0.2">
      <c r="A5657" s="1">
        <v>54747</v>
      </c>
      <c r="B5657" s="1" t="s">
        <v>16870</v>
      </c>
      <c r="C5657" s="5" t="s">
        <v>0</v>
      </c>
      <c r="D5657" s="1" t="s">
        <v>16871</v>
      </c>
      <c r="E5657" s="1" t="s">
        <v>16872</v>
      </c>
      <c r="F5657" s="1" t="s">
        <v>1949</v>
      </c>
      <c r="G5657" s="1" t="s">
        <v>1949</v>
      </c>
      <c r="H5657" s="1" t="s">
        <v>684</v>
      </c>
      <c r="I5657" s="1" t="s">
        <v>16</v>
      </c>
      <c r="J5657" s="1">
        <v>1</v>
      </c>
      <c r="K5657" s="1">
        <v>1</v>
      </c>
      <c r="L5657" s="1" t="s">
        <v>42</v>
      </c>
      <c r="M5657" s="1" t="s">
        <v>18</v>
      </c>
      <c r="N5657" s="1" t="s">
        <v>18</v>
      </c>
      <c r="O5657" s="1">
        <v>3</v>
      </c>
      <c r="P5657" s="1">
        <v>6</v>
      </c>
      <c r="R5657" s="1" t="s">
        <v>19</v>
      </c>
      <c r="S5657" s="1" t="s">
        <v>63</v>
      </c>
      <c r="T5657" s="1" t="s">
        <v>21</v>
      </c>
      <c r="V5657" s="1" t="s">
        <v>24</v>
      </c>
      <c r="W5657" s="1" t="s">
        <v>24</v>
      </c>
      <c r="X5657" s="1">
        <v>2733</v>
      </c>
      <c r="Y5657" s="1">
        <v>3613</v>
      </c>
      <c r="Z5657" s="1" t="s">
        <v>24</v>
      </c>
      <c r="AA5657" s="1" t="s">
        <v>24</v>
      </c>
      <c r="AB5657" s="1" t="s">
        <v>24</v>
      </c>
      <c r="AC5657" s="1" t="s">
        <v>24</v>
      </c>
      <c r="AD5657" s="1" t="s">
        <v>24</v>
      </c>
      <c r="AE5657" s="1" t="s">
        <v>24</v>
      </c>
      <c r="AF5657" s="22"/>
    </row>
    <row r="5658" spans="1:32" x14ac:dyDescent="0.2">
      <c r="A5658" s="1">
        <v>54748</v>
      </c>
      <c r="B5658" s="1" t="s">
        <v>16873</v>
      </c>
      <c r="C5658" s="5" t="s">
        <v>0</v>
      </c>
      <c r="D5658" s="1" t="s">
        <v>16874</v>
      </c>
      <c r="E5658" s="1" t="s">
        <v>16875</v>
      </c>
      <c r="F5658" s="1" t="s">
        <v>1949</v>
      </c>
      <c r="G5658" s="1" t="s">
        <v>1949</v>
      </c>
      <c r="H5658" s="1" t="s">
        <v>684</v>
      </c>
      <c r="I5658" s="1" t="s">
        <v>16</v>
      </c>
      <c r="J5658" s="1">
        <v>1</v>
      </c>
      <c r="K5658" s="1">
        <v>1</v>
      </c>
      <c r="L5658" s="1" t="s">
        <v>42</v>
      </c>
      <c r="M5658" s="1" t="s">
        <v>18</v>
      </c>
      <c r="N5658" s="1" t="s">
        <v>18</v>
      </c>
      <c r="O5658" s="1">
        <v>3</v>
      </c>
      <c r="P5658" s="1">
        <v>6</v>
      </c>
      <c r="R5658" s="1" t="s">
        <v>19</v>
      </c>
      <c r="S5658" s="1" t="s">
        <v>63</v>
      </c>
      <c r="T5658" s="1" t="s">
        <v>21</v>
      </c>
      <c r="V5658" s="1" t="s">
        <v>23</v>
      </c>
      <c r="W5658" s="1" t="s">
        <v>24</v>
      </c>
      <c r="X5658" s="1">
        <v>2731</v>
      </c>
      <c r="Y5658" s="1" t="s">
        <v>24</v>
      </c>
      <c r="Z5658" s="1" t="s">
        <v>24</v>
      </c>
      <c r="AA5658" s="1" t="s">
        <v>24</v>
      </c>
      <c r="AB5658" s="1" t="s">
        <v>24</v>
      </c>
      <c r="AC5658" s="1" t="s">
        <v>24</v>
      </c>
      <c r="AD5658" s="1" t="s">
        <v>24</v>
      </c>
      <c r="AE5658" s="1" t="s">
        <v>24</v>
      </c>
      <c r="AF5658" s="22"/>
    </row>
    <row r="5659" spans="1:32" x14ac:dyDescent="0.2">
      <c r="A5659" s="1">
        <v>54749</v>
      </c>
      <c r="B5659" s="1" t="s">
        <v>16876</v>
      </c>
      <c r="C5659" s="5" t="s">
        <v>0</v>
      </c>
      <c r="D5659" s="1" t="s">
        <v>16877</v>
      </c>
      <c r="E5659" s="1" t="s">
        <v>16878</v>
      </c>
      <c r="F5659" s="1" t="s">
        <v>1949</v>
      </c>
      <c r="G5659" s="1" t="s">
        <v>1949</v>
      </c>
      <c r="H5659" s="1" t="s">
        <v>684</v>
      </c>
      <c r="I5659" s="1" t="s">
        <v>16</v>
      </c>
      <c r="J5659" s="1">
        <v>1</v>
      </c>
      <c r="K5659" s="1">
        <v>1</v>
      </c>
      <c r="L5659" s="1" t="s">
        <v>42</v>
      </c>
      <c r="M5659" s="1" t="s">
        <v>18</v>
      </c>
      <c r="N5659" s="1" t="s">
        <v>18</v>
      </c>
      <c r="O5659" s="1">
        <v>3</v>
      </c>
      <c r="P5659" s="1">
        <v>6</v>
      </c>
      <c r="R5659" s="1" t="s">
        <v>19</v>
      </c>
      <c r="S5659" s="1" t="s">
        <v>63</v>
      </c>
      <c r="T5659" s="1" t="s">
        <v>21</v>
      </c>
      <c r="V5659" s="1" t="s">
        <v>23</v>
      </c>
      <c r="W5659" s="1" t="s">
        <v>24</v>
      </c>
      <c r="X5659" s="1">
        <v>2739</v>
      </c>
      <c r="Y5659" s="1" t="s">
        <v>24</v>
      </c>
      <c r="Z5659" s="1" t="s">
        <v>24</v>
      </c>
      <c r="AA5659" s="1" t="s">
        <v>24</v>
      </c>
      <c r="AB5659" s="1" t="s">
        <v>24</v>
      </c>
      <c r="AC5659" s="1" t="s">
        <v>24</v>
      </c>
      <c r="AD5659" s="1" t="s">
        <v>24</v>
      </c>
      <c r="AE5659" s="1" t="s">
        <v>24</v>
      </c>
      <c r="AF5659" s="22"/>
    </row>
    <row r="5660" spans="1:32" x14ac:dyDescent="0.2">
      <c r="A5660" s="1">
        <v>54750</v>
      </c>
      <c r="B5660" s="1" t="s">
        <v>16879</v>
      </c>
      <c r="C5660" s="5" t="s">
        <v>0</v>
      </c>
      <c r="D5660" s="1" t="s">
        <v>16880</v>
      </c>
      <c r="E5660" s="1" t="s">
        <v>16881</v>
      </c>
      <c r="F5660" s="1" t="s">
        <v>1949</v>
      </c>
      <c r="G5660" s="1" t="s">
        <v>1949</v>
      </c>
      <c r="H5660" s="1" t="s">
        <v>684</v>
      </c>
      <c r="I5660" s="1" t="s">
        <v>16</v>
      </c>
      <c r="J5660" s="1">
        <v>1</v>
      </c>
      <c r="K5660" s="1">
        <v>1</v>
      </c>
      <c r="L5660" s="1" t="s">
        <v>42</v>
      </c>
      <c r="M5660" s="1" t="s">
        <v>18</v>
      </c>
      <c r="N5660" s="1" t="s">
        <v>18</v>
      </c>
      <c r="O5660" s="1">
        <v>3</v>
      </c>
      <c r="P5660" s="1">
        <v>6</v>
      </c>
      <c r="R5660" s="1" t="s">
        <v>19</v>
      </c>
      <c r="S5660" s="1" t="s">
        <v>63</v>
      </c>
      <c r="T5660" s="1" t="s">
        <v>21</v>
      </c>
      <c r="V5660" s="1" t="s">
        <v>23</v>
      </c>
      <c r="W5660" s="1" t="s">
        <v>24</v>
      </c>
      <c r="X5660" s="1">
        <v>2739</v>
      </c>
      <c r="Y5660" s="1" t="s">
        <v>24</v>
      </c>
      <c r="Z5660" s="1" t="s">
        <v>24</v>
      </c>
      <c r="AA5660" s="1" t="s">
        <v>24</v>
      </c>
      <c r="AB5660" s="1" t="s">
        <v>24</v>
      </c>
      <c r="AC5660" s="1" t="s">
        <v>24</v>
      </c>
      <c r="AD5660" s="1" t="s">
        <v>24</v>
      </c>
      <c r="AE5660" s="1" t="s">
        <v>24</v>
      </c>
      <c r="AF5660" s="22"/>
    </row>
    <row r="5661" spans="1:32" x14ac:dyDescent="0.2">
      <c r="A5661" s="1">
        <v>54751</v>
      </c>
      <c r="B5661" s="1" t="s">
        <v>16882</v>
      </c>
      <c r="C5661" s="5" t="s">
        <v>0</v>
      </c>
      <c r="D5661" s="1" t="s">
        <v>16883</v>
      </c>
      <c r="E5661" s="1" t="s">
        <v>16884</v>
      </c>
      <c r="F5661" s="1" t="s">
        <v>1949</v>
      </c>
      <c r="G5661" s="1" t="s">
        <v>1949</v>
      </c>
      <c r="H5661" s="1" t="s">
        <v>684</v>
      </c>
      <c r="I5661" s="1" t="s">
        <v>16</v>
      </c>
      <c r="J5661" s="1">
        <v>1</v>
      </c>
      <c r="K5661" s="1">
        <v>1</v>
      </c>
      <c r="L5661" s="1" t="s">
        <v>42</v>
      </c>
      <c r="M5661" s="1" t="s">
        <v>18</v>
      </c>
      <c r="N5661" s="1" t="s">
        <v>18</v>
      </c>
      <c r="O5661" s="1">
        <v>3</v>
      </c>
      <c r="P5661" s="1">
        <v>6</v>
      </c>
      <c r="R5661" s="1" t="s">
        <v>19</v>
      </c>
      <c r="S5661" s="1" t="s">
        <v>63</v>
      </c>
      <c r="T5661" s="1" t="s">
        <v>21</v>
      </c>
      <c r="V5661" s="1" t="s">
        <v>24</v>
      </c>
      <c r="W5661" s="1" t="s">
        <v>24</v>
      </c>
      <c r="X5661" s="1">
        <v>2726</v>
      </c>
      <c r="Y5661" s="1">
        <v>1312</v>
      </c>
      <c r="Z5661" s="1">
        <v>2404</v>
      </c>
      <c r="AA5661" s="1" t="s">
        <v>24</v>
      </c>
      <c r="AB5661" s="1" t="s">
        <v>24</v>
      </c>
      <c r="AC5661" s="1" t="s">
        <v>24</v>
      </c>
      <c r="AD5661" s="1" t="s">
        <v>24</v>
      </c>
      <c r="AE5661" s="1" t="s">
        <v>24</v>
      </c>
      <c r="AF5661" s="22"/>
    </row>
    <row r="5662" spans="1:32" x14ac:dyDescent="0.2">
      <c r="A5662" s="1">
        <v>54752</v>
      </c>
      <c r="B5662" s="1" t="s">
        <v>16885</v>
      </c>
      <c r="C5662" s="5" t="s">
        <v>0</v>
      </c>
      <c r="D5662" s="1" t="s">
        <v>16886</v>
      </c>
      <c r="E5662" s="1" t="s">
        <v>16887</v>
      </c>
      <c r="F5662" s="1" t="s">
        <v>1949</v>
      </c>
      <c r="G5662" s="1" t="s">
        <v>1949</v>
      </c>
      <c r="H5662" s="1" t="s">
        <v>684</v>
      </c>
      <c r="I5662" s="1" t="s">
        <v>16</v>
      </c>
      <c r="J5662" s="1">
        <v>1</v>
      </c>
      <c r="K5662" s="1">
        <v>1</v>
      </c>
      <c r="L5662" s="1" t="s">
        <v>42</v>
      </c>
      <c r="M5662" s="1" t="s">
        <v>18</v>
      </c>
      <c r="N5662" s="1" t="s">
        <v>18</v>
      </c>
      <c r="O5662" s="1">
        <v>3</v>
      </c>
      <c r="P5662" s="1">
        <v>6</v>
      </c>
      <c r="R5662" s="1" t="s">
        <v>19</v>
      </c>
      <c r="S5662" s="1" t="s">
        <v>63</v>
      </c>
      <c r="T5662" s="1" t="s">
        <v>21</v>
      </c>
      <c r="V5662" s="1" t="s">
        <v>23</v>
      </c>
      <c r="W5662" s="1" t="s">
        <v>24</v>
      </c>
      <c r="X5662" s="1">
        <v>2732</v>
      </c>
      <c r="Y5662" s="1" t="s">
        <v>24</v>
      </c>
      <c r="Z5662" s="1" t="s">
        <v>24</v>
      </c>
      <c r="AA5662" s="1" t="s">
        <v>24</v>
      </c>
      <c r="AB5662" s="1" t="s">
        <v>24</v>
      </c>
      <c r="AC5662" s="1" t="s">
        <v>24</v>
      </c>
      <c r="AD5662" s="1" t="s">
        <v>24</v>
      </c>
      <c r="AE5662" s="1" t="s">
        <v>24</v>
      </c>
      <c r="AF5662" s="22"/>
    </row>
    <row r="5663" spans="1:32" x14ac:dyDescent="0.2">
      <c r="A5663" s="1">
        <v>54753</v>
      </c>
      <c r="B5663" s="1" t="s">
        <v>16888</v>
      </c>
      <c r="C5663" s="5" t="s">
        <v>0</v>
      </c>
      <c r="D5663" s="1" t="s">
        <v>16889</v>
      </c>
      <c r="E5663" s="1" t="s">
        <v>16890</v>
      </c>
      <c r="F5663" s="1" t="s">
        <v>1949</v>
      </c>
      <c r="G5663" s="1" t="s">
        <v>1949</v>
      </c>
      <c r="H5663" s="1" t="s">
        <v>684</v>
      </c>
      <c r="I5663" s="1" t="s">
        <v>16</v>
      </c>
      <c r="J5663" s="1">
        <v>1</v>
      </c>
      <c r="K5663" s="1">
        <v>1</v>
      </c>
      <c r="L5663" s="1" t="s">
        <v>42</v>
      </c>
      <c r="M5663" s="1" t="s">
        <v>18</v>
      </c>
      <c r="N5663" s="1" t="s">
        <v>18</v>
      </c>
      <c r="O5663" s="1">
        <v>3</v>
      </c>
      <c r="P5663" s="1">
        <v>6</v>
      </c>
      <c r="R5663" s="1" t="s">
        <v>19</v>
      </c>
      <c r="S5663" s="1" t="s">
        <v>63</v>
      </c>
      <c r="T5663" s="1" t="s">
        <v>21</v>
      </c>
      <c r="V5663" s="1" t="s">
        <v>24</v>
      </c>
      <c r="W5663" s="1" t="s">
        <v>24</v>
      </c>
      <c r="X5663" s="1">
        <v>1307</v>
      </c>
      <c r="Y5663" s="1">
        <v>1309</v>
      </c>
      <c r="Z5663" s="1">
        <v>1313</v>
      </c>
      <c r="AA5663" s="1" t="s">
        <v>24</v>
      </c>
      <c r="AB5663" s="1" t="s">
        <v>24</v>
      </c>
      <c r="AC5663" s="1" t="s">
        <v>24</v>
      </c>
      <c r="AD5663" s="1" t="s">
        <v>24</v>
      </c>
      <c r="AE5663" s="1" t="s">
        <v>24</v>
      </c>
      <c r="AF5663" s="22"/>
    </row>
    <row r="5664" spans="1:32" x14ac:dyDescent="0.2">
      <c r="A5664" s="1">
        <v>54754</v>
      </c>
      <c r="B5664" s="1" t="s">
        <v>16891</v>
      </c>
      <c r="C5664" s="5" t="s">
        <v>0</v>
      </c>
      <c r="D5664" s="1" t="s">
        <v>16892</v>
      </c>
      <c r="E5664" s="1" t="s">
        <v>16893</v>
      </c>
      <c r="F5664" s="1" t="s">
        <v>1949</v>
      </c>
      <c r="G5664" s="1" t="s">
        <v>1949</v>
      </c>
      <c r="H5664" s="1" t="s">
        <v>684</v>
      </c>
      <c r="I5664" s="1" t="s">
        <v>16</v>
      </c>
      <c r="J5664" s="1">
        <v>1</v>
      </c>
      <c r="K5664" s="1">
        <v>1</v>
      </c>
      <c r="L5664" s="1" t="s">
        <v>42</v>
      </c>
      <c r="M5664" s="1" t="s">
        <v>18</v>
      </c>
      <c r="N5664" s="1" t="s">
        <v>18</v>
      </c>
      <c r="O5664" s="1">
        <v>3</v>
      </c>
      <c r="P5664" s="1">
        <v>6</v>
      </c>
      <c r="R5664" s="1" t="s">
        <v>19</v>
      </c>
      <c r="S5664" s="1" t="s">
        <v>63</v>
      </c>
      <c r="T5664" s="1" t="s">
        <v>21</v>
      </c>
      <c r="V5664" s="1" t="s">
        <v>24</v>
      </c>
      <c r="W5664" s="1" t="s">
        <v>24</v>
      </c>
      <c r="X5664" s="1">
        <v>2746</v>
      </c>
      <c r="Y5664" s="1" t="s">
        <v>24</v>
      </c>
      <c r="Z5664" s="1" t="s">
        <v>24</v>
      </c>
      <c r="AA5664" s="1" t="s">
        <v>24</v>
      </c>
      <c r="AB5664" s="1" t="s">
        <v>24</v>
      </c>
      <c r="AC5664" s="1" t="s">
        <v>24</v>
      </c>
      <c r="AD5664" s="1" t="s">
        <v>24</v>
      </c>
      <c r="AE5664" s="1" t="s">
        <v>24</v>
      </c>
      <c r="AF5664" s="22"/>
    </row>
    <row r="5665" spans="1:32" x14ac:dyDescent="0.2">
      <c r="A5665" s="1">
        <v>54755</v>
      </c>
      <c r="B5665" s="1" t="s">
        <v>16894</v>
      </c>
      <c r="C5665" s="5" t="s">
        <v>0</v>
      </c>
      <c r="D5665" s="1" t="s">
        <v>16895</v>
      </c>
      <c r="E5665" s="1" t="s">
        <v>16896</v>
      </c>
      <c r="F5665" s="1" t="s">
        <v>1949</v>
      </c>
      <c r="G5665" s="1" t="s">
        <v>1949</v>
      </c>
      <c r="H5665" s="1" t="s">
        <v>684</v>
      </c>
      <c r="I5665" s="1" t="s">
        <v>16</v>
      </c>
      <c r="J5665" s="1">
        <v>1</v>
      </c>
      <c r="K5665" s="1">
        <v>1</v>
      </c>
      <c r="L5665" s="1" t="s">
        <v>42</v>
      </c>
      <c r="M5665" s="1" t="s">
        <v>18</v>
      </c>
      <c r="N5665" s="1" t="s">
        <v>18</v>
      </c>
      <c r="O5665" s="1">
        <v>3</v>
      </c>
      <c r="P5665" s="1">
        <v>6</v>
      </c>
      <c r="R5665" s="1" t="s">
        <v>19</v>
      </c>
      <c r="S5665" s="1" t="s">
        <v>63</v>
      </c>
      <c r="T5665" s="1" t="s">
        <v>21</v>
      </c>
      <c r="V5665" s="1" t="s">
        <v>23</v>
      </c>
      <c r="W5665" s="1" t="s">
        <v>24</v>
      </c>
      <c r="X5665" s="1">
        <v>2748</v>
      </c>
      <c r="Y5665" s="1">
        <v>2729</v>
      </c>
      <c r="Z5665" s="1" t="s">
        <v>24</v>
      </c>
      <c r="AA5665" s="1" t="s">
        <v>24</v>
      </c>
      <c r="AB5665" s="1" t="s">
        <v>24</v>
      </c>
      <c r="AC5665" s="1" t="s">
        <v>24</v>
      </c>
      <c r="AD5665" s="1" t="s">
        <v>24</v>
      </c>
      <c r="AE5665" s="1" t="s">
        <v>24</v>
      </c>
      <c r="AF5665" s="22"/>
    </row>
    <row r="5666" spans="1:32" x14ac:dyDescent="0.2">
      <c r="A5666" s="1">
        <v>54756</v>
      </c>
      <c r="B5666" s="1" t="s">
        <v>16897</v>
      </c>
      <c r="C5666" s="5" t="s">
        <v>0</v>
      </c>
      <c r="D5666" s="1" t="s">
        <v>16898</v>
      </c>
      <c r="E5666" s="1" t="s">
        <v>16899</v>
      </c>
      <c r="F5666" s="1" t="s">
        <v>1949</v>
      </c>
      <c r="G5666" s="1" t="s">
        <v>1949</v>
      </c>
      <c r="H5666" s="1" t="s">
        <v>684</v>
      </c>
      <c r="I5666" s="1" t="s">
        <v>16</v>
      </c>
      <c r="J5666" s="1">
        <v>1</v>
      </c>
      <c r="K5666" s="1">
        <v>1</v>
      </c>
      <c r="L5666" s="1" t="s">
        <v>42</v>
      </c>
      <c r="M5666" s="1" t="s">
        <v>18</v>
      </c>
      <c r="N5666" s="1" t="s">
        <v>18</v>
      </c>
      <c r="O5666" s="1">
        <v>3</v>
      </c>
      <c r="P5666" s="1">
        <v>6</v>
      </c>
      <c r="R5666" s="1" t="s">
        <v>19</v>
      </c>
      <c r="S5666" s="1" t="s">
        <v>63</v>
      </c>
      <c r="T5666" s="1" t="s">
        <v>21</v>
      </c>
      <c r="V5666" s="1" t="s">
        <v>23</v>
      </c>
      <c r="W5666" s="1" t="s">
        <v>24</v>
      </c>
      <c r="X5666" s="1">
        <v>2700</v>
      </c>
      <c r="Y5666" s="1">
        <v>3000</v>
      </c>
      <c r="Z5666" s="1" t="s">
        <v>24</v>
      </c>
      <c r="AA5666" s="1" t="s">
        <v>24</v>
      </c>
      <c r="AB5666" s="1" t="s">
        <v>24</v>
      </c>
      <c r="AC5666" s="1" t="s">
        <v>24</v>
      </c>
      <c r="AD5666" s="1" t="s">
        <v>24</v>
      </c>
      <c r="AE5666" s="1" t="s">
        <v>24</v>
      </c>
      <c r="AF5666" s="22"/>
    </row>
    <row r="5667" spans="1:32" x14ac:dyDescent="0.2">
      <c r="A5667" s="1">
        <v>54757</v>
      </c>
      <c r="B5667" s="1" t="s">
        <v>16900</v>
      </c>
      <c r="C5667" s="5" t="s">
        <v>0</v>
      </c>
      <c r="E5667" s="1" t="s">
        <v>16901</v>
      </c>
      <c r="F5667" s="1" t="s">
        <v>1949</v>
      </c>
      <c r="G5667" s="1" t="s">
        <v>1949</v>
      </c>
      <c r="H5667" s="1" t="s">
        <v>684</v>
      </c>
      <c r="I5667" s="1" t="s">
        <v>16</v>
      </c>
      <c r="J5667" s="1">
        <v>1</v>
      </c>
      <c r="K5667" s="1">
        <v>1</v>
      </c>
      <c r="L5667" s="1" t="s">
        <v>42</v>
      </c>
      <c r="M5667" s="1" t="s">
        <v>18</v>
      </c>
      <c r="N5667" s="1" t="s">
        <v>18</v>
      </c>
      <c r="O5667" s="1">
        <v>3</v>
      </c>
      <c r="P5667" s="1">
        <v>6</v>
      </c>
      <c r="R5667" s="1" t="s">
        <v>19</v>
      </c>
      <c r="S5667" s="1" t="s">
        <v>63</v>
      </c>
      <c r="T5667" s="1" t="s">
        <v>21</v>
      </c>
      <c r="V5667" s="1" t="s">
        <v>24</v>
      </c>
      <c r="W5667" s="1" t="s">
        <v>24</v>
      </c>
      <c r="X5667" s="1">
        <v>3004</v>
      </c>
      <c r="Y5667" s="1">
        <v>3005</v>
      </c>
      <c r="Z5667" s="1">
        <v>2310</v>
      </c>
      <c r="AA5667" s="1" t="s">
        <v>24</v>
      </c>
      <c r="AB5667" s="1" t="s">
        <v>24</v>
      </c>
      <c r="AC5667" s="1" t="s">
        <v>24</v>
      </c>
      <c r="AD5667" s="1" t="s">
        <v>24</v>
      </c>
      <c r="AE5667" s="1" t="s">
        <v>24</v>
      </c>
      <c r="AF5667" s="22"/>
    </row>
    <row r="5668" spans="1:32" x14ac:dyDescent="0.2">
      <c r="A5668" s="1">
        <v>54758</v>
      </c>
      <c r="B5668" s="1" t="s">
        <v>16902</v>
      </c>
      <c r="C5668" s="5" t="s">
        <v>0</v>
      </c>
      <c r="D5668" s="1" t="s">
        <v>16903</v>
      </c>
      <c r="E5668" s="1" t="s">
        <v>16904</v>
      </c>
      <c r="F5668" s="1" t="s">
        <v>1949</v>
      </c>
      <c r="G5668" s="1" t="s">
        <v>1949</v>
      </c>
      <c r="H5668" s="1" t="s">
        <v>684</v>
      </c>
      <c r="I5668" s="1" t="s">
        <v>16</v>
      </c>
      <c r="J5668" s="1">
        <v>1</v>
      </c>
      <c r="K5668" s="1">
        <v>1</v>
      </c>
      <c r="L5668" s="1" t="s">
        <v>42</v>
      </c>
      <c r="M5668" s="1" t="s">
        <v>18</v>
      </c>
      <c r="N5668" s="1" t="s">
        <v>18</v>
      </c>
      <c r="O5668" s="1">
        <v>3</v>
      </c>
      <c r="P5668" s="1">
        <v>6</v>
      </c>
      <c r="R5668" s="1" t="s">
        <v>19</v>
      </c>
      <c r="S5668" s="1" t="s">
        <v>63</v>
      </c>
      <c r="T5668" s="1" t="s">
        <v>21</v>
      </c>
      <c r="V5668" s="1" t="s">
        <v>23</v>
      </c>
      <c r="W5668" s="1" t="s">
        <v>24</v>
      </c>
      <c r="X5668" s="1">
        <v>2705</v>
      </c>
      <c r="Y5668" s="1">
        <v>1311</v>
      </c>
      <c r="Z5668" s="1">
        <v>2716</v>
      </c>
      <c r="AA5668" s="1" t="s">
        <v>24</v>
      </c>
      <c r="AB5668" s="1" t="s">
        <v>24</v>
      </c>
      <c r="AC5668" s="1" t="s">
        <v>24</v>
      </c>
      <c r="AD5668" s="1" t="s">
        <v>24</v>
      </c>
      <c r="AE5668" s="1" t="s">
        <v>24</v>
      </c>
      <c r="AF5668" s="22"/>
    </row>
    <row r="5669" spans="1:32" x14ac:dyDescent="0.2">
      <c r="A5669" s="1">
        <v>54759</v>
      </c>
      <c r="B5669" s="1" t="s">
        <v>16905</v>
      </c>
      <c r="C5669" s="5" t="s">
        <v>0</v>
      </c>
      <c r="E5669" s="1" t="s">
        <v>16906</v>
      </c>
      <c r="F5669" s="1" t="s">
        <v>1949</v>
      </c>
      <c r="G5669" s="1" t="s">
        <v>1949</v>
      </c>
      <c r="H5669" s="1" t="s">
        <v>684</v>
      </c>
      <c r="I5669" s="1" t="s">
        <v>16</v>
      </c>
      <c r="J5669" s="1">
        <v>1</v>
      </c>
      <c r="K5669" s="1">
        <v>1</v>
      </c>
      <c r="L5669" s="1" t="s">
        <v>42</v>
      </c>
      <c r="M5669" s="1" t="s">
        <v>18</v>
      </c>
      <c r="N5669" s="1" t="s">
        <v>18</v>
      </c>
      <c r="O5669" s="1">
        <v>3</v>
      </c>
      <c r="P5669" s="1">
        <v>6</v>
      </c>
      <c r="R5669" s="1" t="s">
        <v>19</v>
      </c>
      <c r="S5669" s="1" t="s">
        <v>63</v>
      </c>
      <c r="T5669" s="1" t="s">
        <v>21</v>
      </c>
      <c r="V5669" s="1" t="s">
        <v>23</v>
      </c>
      <c r="W5669" s="1" t="s">
        <v>24</v>
      </c>
      <c r="X5669" s="1">
        <v>2720</v>
      </c>
      <c r="Y5669" s="1" t="s">
        <v>24</v>
      </c>
      <c r="Z5669" s="1" t="s">
        <v>24</v>
      </c>
      <c r="AA5669" s="1" t="s">
        <v>24</v>
      </c>
      <c r="AB5669" s="1" t="s">
        <v>24</v>
      </c>
      <c r="AC5669" s="1" t="s">
        <v>24</v>
      </c>
      <c r="AD5669" s="1" t="s">
        <v>24</v>
      </c>
      <c r="AE5669" s="1" t="s">
        <v>24</v>
      </c>
      <c r="AF5669" s="22"/>
    </row>
    <row r="5670" spans="1:32" x14ac:dyDescent="0.2">
      <c r="A5670" s="1">
        <v>54760</v>
      </c>
      <c r="B5670" s="1" t="s">
        <v>16907</v>
      </c>
      <c r="C5670" s="5" t="s">
        <v>0</v>
      </c>
      <c r="D5670" s="1" t="s">
        <v>16908</v>
      </c>
      <c r="F5670" s="1" t="s">
        <v>10015</v>
      </c>
      <c r="G5670" s="1" t="s">
        <v>10015</v>
      </c>
      <c r="H5670" s="1" t="s">
        <v>6895</v>
      </c>
      <c r="I5670" s="1" t="s">
        <v>16</v>
      </c>
      <c r="J5670" s="1">
        <v>1</v>
      </c>
      <c r="K5670" s="1">
        <v>4</v>
      </c>
      <c r="L5670" s="1" t="s">
        <v>42</v>
      </c>
      <c r="M5670" s="1" t="s">
        <v>18</v>
      </c>
      <c r="N5670" s="1" t="s">
        <v>18</v>
      </c>
      <c r="O5670" s="1">
        <v>3</v>
      </c>
      <c r="P5670" s="1">
        <v>6</v>
      </c>
      <c r="R5670" s="1" t="s">
        <v>19</v>
      </c>
      <c r="S5670" s="1" t="s">
        <v>20</v>
      </c>
      <c r="T5670" s="1" t="s">
        <v>21</v>
      </c>
      <c r="V5670" s="1" t="s">
        <v>23</v>
      </c>
      <c r="W5670" s="1" t="s">
        <v>24</v>
      </c>
      <c r="X5670" s="1">
        <v>2706</v>
      </c>
      <c r="Y5670" s="1">
        <v>2740</v>
      </c>
      <c r="Z5670" s="1">
        <v>2735</v>
      </c>
      <c r="AA5670" s="1" t="s">
        <v>24</v>
      </c>
      <c r="AB5670" s="1" t="s">
        <v>24</v>
      </c>
      <c r="AC5670" s="1" t="s">
        <v>24</v>
      </c>
      <c r="AD5670" s="1" t="s">
        <v>24</v>
      </c>
      <c r="AE5670" s="1" t="s">
        <v>24</v>
      </c>
      <c r="AF5670" s="22"/>
    </row>
    <row r="5671" spans="1:32" x14ac:dyDescent="0.2">
      <c r="A5671" s="1">
        <v>54761</v>
      </c>
      <c r="B5671" s="1" t="s">
        <v>16909</v>
      </c>
      <c r="C5671" s="5" t="s">
        <v>0</v>
      </c>
      <c r="D5671" s="1" t="s">
        <v>16910</v>
      </c>
      <c r="E5671" s="1" t="s">
        <v>16911</v>
      </c>
      <c r="F5671" s="1" t="s">
        <v>16912</v>
      </c>
      <c r="G5671" s="1" t="s">
        <v>16912</v>
      </c>
      <c r="H5671" s="1" t="s">
        <v>4724</v>
      </c>
      <c r="I5671" s="1" t="s">
        <v>16</v>
      </c>
      <c r="J5671" s="1">
        <v>1</v>
      </c>
      <c r="K5671" s="1">
        <v>4</v>
      </c>
      <c r="L5671" s="1" t="s">
        <v>42</v>
      </c>
      <c r="M5671" s="1" t="s">
        <v>117</v>
      </c>
      <c r="N5671" s="1" t="s">
        <v>118</v>
      </c>
      <c r="O5671" s="1">
        <v>3</v>
      </c>
      <c r="P5671" s="1">
        <v>5</v>
      </c>
      <c r="R5671" s="1" t="s">
        <v>19</v>
      </c>
      <c r="S5671" s="1" t="s">
        <v>20</v>
      </c>
      <c r="T5671" s="1" t="s">
        <v>21</v>
      </c>
      <c r="V5671" s="1" t="s">
        <v>24</v>
      </c>
      <c r="W5671" s="1" t="s">
        <v>24</v>
      </c>
      <c r="X5671" s="1">
        <v>2745</v>
      </c>
      <c r="Y5671" s="1" t="s">
        <v>24</v>
      </c>
      <c r="Z5671" s="1" t="s">
        <v>24</v>
      </c>
      <c r="AA5671" s="1" t="s">
        <v>24</v>
      </c>
      <c r="AB5671" s="1" t="s">
        <v>24</v>
      </c>
      <c r="AC5671" s="1" t="s">
        <v>24</v>
      </c>
      <c r="AD5671" s="1" t="s">
        <v>24</v>
      </c>
      <c r="AE5671" s="1" t="s">
        <v>24</v>
      </c>
      <c r="AF5671" s="22"/>
    </row>
    <row r="5672" spans="1:32" x14ac:dyDescent="0.2">
      <c r="A5672" s="1">
        <v>54763</v>
      </c>
      <c r="B5672" s="1" t="s">
        <v>16913</v>
      </c>
      <c r="C5672" s="5" t="s">
        <v>0</v>
      </c>
      <c r="D5672" s="1" t="s">
        <v>16914</v>
      </c>
      <c r="F5672" s="1" t="s">
        <v>14429</v>
      </c>
      <c r="G5672" s="1" t="s">
        <v>14429</v>
      </c>
      <c r="H5672" s="1" t="s">
        <v>1384</v>
      </c>
      <c r="I5672" s="1" t="s">
        <v>16</v>
      </c>
      <c r="J5672" s="1">
        <v>1</v>
      </c>
      <c r="K5672" s="1">
        <v>3</v>
      </c>
      <c r="L5672" s="1" t="s">
        <v>42</v>
      </c>
      <c r="M5672" s="1" t="s">
        <v>1385</v>
      </c>
      <c r="N5672" s="1" t="s">
        <v>3142</v>
      </c>
      <c r="O5672" s="1">
        <v>3</v>
      </c>
      <c r="P5672" s="1">
        <v>5</v>
      </c>
      <c r="R5672" s="1" t="s">
        <v>19</v>
      </c>
      <c r="S5672" s="1" t="s">
        <v>20</v>
      </c>
      <c r="T5672" s="1" t="s">
        <v>21</v>
      </c>
      <c r="V5672" s="1" t="s">
        <v>24</v>
      </c>
      <c r="W5672" s="1" t="s">
        <v>24</v>
      </c>
      <c r="X5672" s="1">
        <v>2700</v>
      </c>
      <c r="Y5672" s="1" t="s">
        <v>24</v>
      </c>
      <c r="Z5672" s="1" t="s">
        <v>24</v>
      </c>
      <c r="AA5672" s="1" t="s">
        <v>24</v>
      </c>
      <c r="AB5672" s="1" t="s">
        <v>24</v>
      </c>
      <c r="AC5672" s="1" t="s">
        <v>24</v>
      </c>
      <c r="AD5672" s="1" t="s">
        <v>24</v>
      </c>
      <c r="AE5672" s="1" t="s">
        <v>24</v>
      </c>
      <c r="AF5672" s="22"/>
    </row>
    <row r="5673" spans="1:32" x14ac:dyDescent="0.2">
      <c r="A5673" s="1">
        <v>54764</v>
      </c>
      <c r="B5673" s="1" t="s">
        <v>16915</v>
      </c>
      <c r="C5673" s="5" t="s">
        <v>0</v>
      </c>
      <c r="D5673" s="1" t="s">
        <v>16916</v>
      </c>
      <c r="F5673" s="1" t="s">
        <v>16917</v>
      </c>
      <c r="G5673" s="1" t="s">
        <v>1066</v>
      </c>
      <c r="H5673" s="1" t="s">
        <v>1007</v>
      </c>
      <c r="I5673" s="1" t="s">
        <v>16</v>
      </c>
      <c r="J5673" s="1">
        <v>1</v>
      </c>
      <c r="K5673" s="1">
        <v>6</v>
      </c>
      <c r="L5673" s="1" t="s">
        <v>17</v>
      </c>
      <c r="M5673" s="1" t="s">
        <v>1008</v>
      </c>
      <c r="N5673" s="1" t="s">
        <v>4418</v>
      </c>
      <c r="O5673" s="1">
        <v>2</v>
      </c>
      <c r="P5673" s="1">
        <v>5</v>
      </c>
      <c r="R5673" s="1" t="s">
        <v>19</v>
      </c>
      <c r="S5673" s="1" t="s">
        <v>20</v>
      </c>
      <c r="T5673" s="1" t="s">
        <v>21</v>
      </c>
      <c r="V5673" s="1" t="s">
        <v>24</v>
      </c>
      <c r="W5673" s="1" t="s">
        <v>24</v>
      </c>
      <c r="X5673" s="1">
        <v>3003</v>
      </c>
      <c r="Y5673" s="1">
        <v>2730</v>
      </c>
      <c r="Z5673" s="1">
        <v>2736</v>
      </c>
      <c r="AA5673" s="1" t="s">
        <v>24</v>
      </c>
      <c r="AB5673" s="1" t="s">
        <v>24</v>
      </c>
      <c r="AC5673" s="1" t="s">
        <v>24</v>
      </c>
      <c r="AD5673" s="1" t="s">
        <v>24</v>
      </c>
      <c r="AE5673" s="1" t="s">
        <v>24</v>
      </c>
      <c r="AF5673" s="22"/>
    </row>
    <row r="5674" spans="1:32" x14ac:dyDescent="0.2">
      <c r="A5674" s="1">
        <v>54765</v>
      </c>
      <c r="B5674" s="1" t="s">
        <v>16918</v>
      </c>
      <c r="C5674" s="5" t="s">
        <v>0</v>
      </c>
      <c r="D5674" s="1" t="s">
        <v>16919</v>
      </c>
      <c r="E5674" s="1" t="s">
        <v>16920</v>
      </c>
      <c r="F5674" s="1" t="s">
        <v>3733</v>
      </c>
      <c r="G5674" s="1" t="s">
        <v>3733</v>
      </c>
      <c r="H5674" s="1" t="s">
        <v>111</v>
      </c>
      <c r="I5674" s="1" t="s">
        <v>16</v>
      </c>
      <c r="J5674" s="1">
        <v>1</v>
      </c>
      <c r="K5674" s="1">
        <v>12</v>
      </c>
      <c r="L5674" s="1" t="s">
        <v>42</v>
      </c>
      <c r="M5674" s="1" t="s">
        <v>18</v>
      </c>
      <c r="N5674" s="1" t="s">
        <v>18</v>
      </c>
      <c r="O5674" s="1">
        <v>3</v>
      </c>
      <c r="P5674" s="1">
        <v>6</v>
      </c>
      <c r="R5674" s="1" t="s">
        <v>19</v>
      </c>
      <c r="S5674" s="1" t="s">
        <v>20</v>
      </c>
      <c r="T5674" s="1" t="s">
        <v>21</v>
      </c>
      <c r="V5674" s="1" t="s">
        <v>24</v>
      </c>
      <c r="W5674" s="1" t="s">
        <v>24</v>
      </c>
      <c r="X5674" s="1">
        <v>2705</v>
      </c>
      <c r="Y5674" s="1" t="s">
        <v>24</v>
      </c>
      <c r="Z5674" s="1" t="s">
        <v>24</v>
      </c>
      <c r="AA5674" s="1" t="s">
        <v>24</v>
      </c>
      <c r="AB5674" s="1" t="s">
        <v>24</v>
      </c>
      <c r="AC5674" s="1" t="s">
        <v>24</v>
      </c>
      <c r="AD5674" s="1" t="s">
        <v>24</v>
      </c>
      <c r="AE5674" s="1" t="s">
        <v>24</v>
      </c>
      <c r="AF5674" s="22"/>
    </row>
    <row r="5675" spans="1:32" x14ac:dyDescent="0.2">
      <c r="A5675" s="1">
        <v>54766</v>
      </c>
      <c r="B5675" s="1" t="s">
        <v>16921</v>
      </c>
      <c r="C5675" s="5" t="s">
        <v>0</v>
      </c>
      <c r="D5675" s="1" t="s">
        <v>16922</v>
      </c>
      <c r="E5675" s="1" t="s">
        <v>16923</v>
      </c>
      <c r="F5675" s="1" t="s">
        <v>16924</v>
      </c>
      <c r="G5675" s="1" t="s">
        <v>16924</v>
      </c>
      <c r="H5675" s="1" t="s">
        <v>1384</v>
      </c>
      <c r="I5675" s="1" t="s">
        <v>16</v>
      </c>
      <c r="J5675" s="1">
        <v>1</v>
      </c>
      <c r="K5675" s="1">
        <v>4</v>
      </c>
      <c r="L5675" s="1" t="s">
        <v>42</v>
      </c>
      <c r="M5675" s="1" t="s">
        <v>18</v>
      </c>
      <c r="N5675" s="1" t="s">
        <v>18</v>
      </c>
      <c r="O5675" s="1">
        <v>3</v>
      </c>
      <c r="P5675" s="1">
        <v>6</v>
      </c>
      <c r="R5675" s="1" t="s">
        <v>19</v>
      </c>
      <c r="S5675" s="1" t="s">
        <v>20</v>
      </c>
      <c r="T5675" s="1" t="s">
        <v>21</v>
      </c>
      <c r="V5675" s="1" t="s">
        <v>24</v>
      </c>
      <c r="W5675" s="1" t="s">
        <v>24</v>
      </c>
      <c r="X5675" s="1">
        <v>2707</v>
      </c>
      <c r="Y5675" s="1" t="s">
        <v>24</v>
      </c>
      <c r="Z5675" s="1" t="s">
        <v>24</v>
      </c>
      <c r="AA5675" s="1" t="s">
        <v>24</v>
      </c>
      <c r="AB5675" s="1" t="s">
        <v>24</v>
      </c>
      <c r="AC5675" s="1" t="s">
        <v>24</v>
      </c>
      <c r="AD5675" s="1" t="s">
        <v>24</v>
      </c>
      <c r="AE5675" s="1" t="s">
        <v>24</v>
      </c>
      <c r="AF5675" s="22"/>
    </row>
    <row r="5676" spans="1:32" x14ac:dyDescent="0.2">
      <c r="A5676" s="1">
        <v>54767</v>
      </c>
      <c r="B5676" s="1" t="s">
        <v>16925</v>
      </c>
      <c r="C5676" s="5" t="s">
        <v>0</v>
      </c>
      <c r="D5676" s="1" t="s">
        <v>16926</v>
      </c>
      <c r="F5676" s="1" t="s">
        <v>16927</v>
      </c>
      <c r="G5676" s="1" t="s">
        <v>16927</v>
      </c>
      <c r="H5676" s="1" t="s">
        <v>453</v>
      </c>
      <c r="I5676" s="1" t="s">
        <v>16</v>
      </c>
      <c r="J5676" s="1">
        <v>1</v>
      </c>
      <c r="K5676" s="1">
        <v>4</v>
      </c>
      <c r="L5676" s="1" t="s">
        <v>42</v>
      </c>
      <c r="M5676" s="1" t="s">
        <v>18</v>
      </c>
      <c r="N5676" s="1" t="s">
        <v>18</v>
      </c>
      <c r="O5676" s="1">
        <v>2</v>
      </c>
      <c r="P5676" s="1">
        <v>6</v>
      </c>
      <c r="R5676" s="1" t="s">
        <v>19</v>
      </c>
      <c r="S5676" s="1" t="s">
        <v>20</v>
      </c>
      <c r="T5676" s="1" t="s">
        <v>21</v>
      </c>
      <c r="V5676" s="1" t="s">
        <v>24</v>
      </c>
      <c r="W5676" s="1" t="s">
        <v>24</v>
      </c>
      <c r="X5676" s="1">
        <v>2700</v>
      </c>
      <c r="Y5676" s="1">
        <v>3500</v>
      </c>
      <c r="Z5676" s="1" t="s">
        <v>24</v>
      </c>
      <c r="AA5676" s="1" t="s">
        <v>24</v>
      </c>
      <c r="AB5676" s="1" t="s">
        <v>24</v>
      </c>
      <c r="AC5676" s="1" t="s">
        <v>24</v>
      </c>
      <c r="AD5676" s="1" t="s">
        <v>24</v>
      </c>
      <c r="AE5676" s="1" t="s">
        <v>24</v>
      </c>
      <c r="AF5676" s="22"/>
    </row>
    <row r="5677" spans="1:32" x14ac:dyDescent="0.2">
      <c r="A5677" s="1">
        <v>54768</v>
      </c>
      <c r="B5677" s="1" t="s">
        <v>16928</v>
      </c>
      <c r="C5677" s="5" t="s">
        <v>0</v>
      </c>
      <c r="D5677" s="1" t="s">
        <v>16929</v>
      </c>
      <c r="F5677" s="1" t="s">
        <v>16928</v>
      </c>
      <c r="G5677" s="1" t="s">
        <v>16928</v>
      </c>
      <c r="H5677" s="1" t="s">
        <v>899</v>
      </c>
      <c r="I5677" s="1" t="s">
        <v>16</v>
      </c>
      <c r="J5677" s="1">
        <v>1</v>
      </c>
      <c r="K5677" s="1">
        <v>4</v>
      </c>
      <c r="L5677" s="1" t="s">
        <v>42</v>
      </c>
      <c r="M5677" s="1" t="s">
        <v>18</v>
      </c>
      <c r="N5677" s="1" t="s">
        <v>18</v>
      </c>
      <c r="O5677" s="1">
        <v>2</v>
      </c>
      <c r="P5677" s="1">
        <v>6</v>
      </c>
      <c r="R5677" s="1" t="s">
        <v>19</v>
      </c>
      <c r="S5677" s="1" t="s">
        <v>20</v>
      </c>
      <c r="T5677" s="1" t="s">
        <v>21</v>
      </c>
      <c r="V5677" s="1" t="s">
        <v>24</v>
      </c>
      <c r="W5677" s="1" t="s">
        <v>24</v>
      </c>
      <c r="X5677" s="1">
        <v>3000</v>
      </c>
      <c r="Y5677" s="1" t="s">
        <v>24</v>
      </c>
      <c r="Z5677" s="1" t="s">
        <v>24</v>
      </c>
      <c r="AA5677" s="1" t="s">
        <v>24</v>
      </c>
      <c r="AB5677" s="1" t="s">
        <v>24</v>
      </c>
      <c r="AC5677" s="1" t="s">
        <v>24</v>
      </c>
      <c r="AD5677" s="1" t="s">
        <v>24</v>
      </c>
      <c r="AE5677" s="1" t="s">
        <v>24</v>
      </c>
      <c r="AF5677" s="22"/>
    </row>
    <row r="5678" spans="1:32" x14ac:dyDescent="0.2">
      <c r="A5678" s="1">
        <v>54769</v>
      </c>
      <c r="B5678" s="1" t="s">
        <v>16930</v>
      </c>
      <c r="C5678" s="5" t="s">
        <v>0</v>
      </c>
      <c r="D5678" s="1" t="s">
        <v>16931</v>
      </c>
      <c r="F5678" s="1" t="s">
        <v>16932</v>
      </c>
      <c r="G5678" s="1" t="s">
        <v>16932</v>
      </c>
      <c r="H5678" s="1" t="s">
        <v>1384</v>
      </c>
      <c r="I5678" s="1" t="s">
        <v>16</v>
      </c>
      <c r="J5678" s="1">
        <v>1</v>
      </c>
      <c r="K5678" s="1">
        <v>2</v>
      </c>
      <c r="L5678" s="1" t="s">
        <v>42</v>
      </c>
      <c r="M5678" s="1" t="s">
        <v>1385</v>
      </c>
      <c r="N5678" s="1" t="s">
        <v>3142</v>
      </c>
      <c r="O5678" s="1">
        <v>3</v>
      </c>
      <c r="P5678" s="1">
        <v>5</v>
      </c>
      <c r="R5678" s="1" t="s">
        <v>19</v>
      </c>
      <c r="S5678" s="1" t="s">
        <v>20</v>
      </c>
      <c r="T5678" s="1" t="s">
        <v>21</v>
      </c>
      <c r="V5678" s="1" t="s">
        <v>23</v>
      </c>
      <c r="W5678" s="1" t="s">
        <v>24</v>
      </c>
      <c r="X5678" s="1">
        <v>2740</v>
      </c>
      <c r="Y5678" s="1" t="s">
        <v>24</v>
      </c>
      <c r="Z5678" s="1" t="s">
        <v>24</v>
      </c>
      <c r="AA5678" s="1" t="s">
        <v>24</v>
      </c>
      <c r="AB5678" s="1" t="s">
        <v>24</v>
      </c>
      <c r="AC5678" s="1" t="s">
        <v>24</v>
      </c>
      <c r="AD5678" s="1" t="s">
        <v>24</v>
      </c>
      <c r="AE5678" s="1" t="s">
        <v>24</v>
      </c>
      <c r="AF5678" s="22"/>
    </row>
    <row r="5679" spans="1:32" x14ac:dyDescent="0.2">
      <c r="A5679" s="1">
        <v>54770</v>
      </c>
      <c r="B5679" s="1" t="s">
        <v>16933</v>
      </c>
      <c r="C5679" s="5" t="s">
        <v>0</v>
      </c>
      <c r="D5679" s="1" t="s">
        <v>16934</v>
      </c>
      <c r="F5679" s="1" t="s">
        <v>16935</v>
      </c>
      <c r="G5679" s="1" t="s">
        <v>16935</v>
      </c>
      <c r="H5679" s="1" t="s">
        <v>12183</v>
      </c>
      <c r="I5679" s="1" t="s">
        <v>16</v>
      </c>
      <c r="J5679" s="1">
        <v>1</v>
      </c>
      <c r="K5679" s="1">
        <v>1</v>
      </c>
      <c r="L5679" s="1" t="s">
        <v>42</v>
      </c>
      <c r="M5679" s="1" t="s">
        <v>18</v>
      </c>
      <c r="N5679" s="1" t="s">
        <v>18</v>
      </c>
      <c r="O5679" s="1">
        <v>2</v>
      </c>
      <c r="P5679" s="1">
        <v>5</v>
      </c>
      <c r="R5679" s="1" t="s">
        <v>19</v>
      </c>
      <c r="S5679" s="1" t="s">
        <v>20</v>
      </c>
      <c r="T5679" s="1" t="s">
        <v>21</v>
      </c>
      <c r="V5679" s="1" t="s">
        <v>23</v>
      </c>
      <c r="W5679" s="1" t="s">
        <v>24</v>
      </c>
      <c r="X5679" s="1">
        <v>3611</v>
      </c>
      <c r="Y5679" s="1" t="s">
        <v>24</v>
      </c>
      <c r="Z5679" s="1" t="s">
        <v>24</v>
      </c>
      <c r="AA5679" s="1" t="s">
        <v>24</v>
      </c>
      <c r="AB5679" s="1" t="s">
        <v>24</v>
      </c>
      <c r="AC5679" s="1" t="s">
        <v>24</v>
      </c>
      <c r="AD5679" s="1" t="s">
        <v>24</v>
      </c>
      <c r="AE5679" s="1" t="s">
        <v>24</v>
      </c>
      <c r="AF5679" s="22"/>
    </row>
    <row r="5680" spans="1:32" x14ac:dyDescent="0.2">
      <c r="A5680" s="1">
        <v>54771</v>
      </c>
      <c r="B5680" s="1" t="s">
        <v>16936</v>
      </c>
      <c r="C5680" s="5" t="s">
        <v>0</v>
      </c>
      <c r="D5680" s="1" t="s">
        <v>16937</v>
      </c>
      <c r="E5680" s="1" t="s">
        <v>16938</v>
      </c>
      <c r="F5680" s="1" t="s">
        <v>14308</v>
      </c>
      <c r="G5680" s="1" t="s">
        <v>14308</v>
      </c>
      <c r="H5680" s="1" t="s">
        <v>1957</v>
      </c>
      <c r="I5680" s="1" t="s">
        <v>16</v>
      </c>
      <c r="J5680" s="1">
        <v>1</v>
      </c>
      <c r="K5680" s="1">
        <v>2</v>
      </c>
      <c r="L5680" s="1" t="s">
        <v>42</v>
      </c>
      <c r="M5680" s="1" t="s">
        <v>10391</v>
      </c>
      <c r="N5680" s="1" t="s">
        <v>10392</v>
      </c>
      <c r="O5680" s="1">
        <v>3</v>
      </c>
      <c r="P5680" s="1">
        <v>5</v>
      </c>
      <c r="R5680" s="1" t="s">
        <v>19</v>
      </c>
      <c r="S5680" s="1" t="s">
        <v>20</v>
      </c>
      <c r="T5680" s="1" t="s">
        <v>21</v>
      </c>
      <c r="V5680" s="1" t="s">
        <v>24</v>
      </c>
      <c r="W5680" s="1" t="s">
        <v>24</v>
      </c>
      <c r="X5680" s="1">
        <v>2700</v>
      </c>
      <c r="Y5680" s="1" t="s">
        <v>24</v>
      </c>
      <c r="Z5680" s="1" t="s">
        <v>24</v>
      </c>
      <c r="AA5680" s="1" t="s">
        <v>24</v>
      </c>
      <c r="AB5680" s="1" t="s">
        <v>24</v>
      </c>
      <c r="AC5680" s="1" t="s">
        <v>24</v>
      </c>
      <c r="AD5680" s="1" t="s">
        <v>24</v>
      </c>
      <c r="AE5680" s="1" t="s">
        <v>24</v>
      </c>
      <c r="AF5680" s="22"/>
    </row>
    <row r="5681" spans="1:32" x14ac:dyDescent="0.2">
      <c r="A5681" s="1">
        <v>54772</v>
      </c>
      <c r="B5681" s="1" t="s">
        <v>16939</v>
      </c>
      <c r="C5681" s="5" t="s">
        <v>0</v>
      </c>
      <c r="D5681" s="1" t="s">
        <v>16940</v>
      </c>
      <c r="E5681" s="1" t="s">
        <v>16941</v>
      </c>
      <c r="F5681" s="1" t="s">
        <v>14308</v>
      </c>
      <c r="G5681" s="1" t="s">
        <v>14308</v>
      </c>
      <c r="H5681" s="1" t="s">
        <v>1957</v>
      </c>
      <c r="I5681" s="1" t="s">
        <v>16</v>
      </c>
      <c r="J5681" s="1">
        <v>1</v>
      </c>
      <c r="K5681" s="1">
        <v>3</v>
      </c>
      <c r="L5681" s="1" t="s">
        <v>42</v>
      </c>
      <c r="M5681" s="1" t="s">
        <v>10391</v>
      </c>
      <c r="N5681" s="1" t="s">
        <v>10392</v>
      </c>
      <c r="O5681" s="1">
        <v>3</v>
      </c>
      <c r="P5681" s="1">
        <v>5</v>
      </c>
      <c r="R5681" s="1" t="s">
        <v>19</v>
      </c>
      <c r="S5681" s="1" t="s">
        <v>20</v>
      </c>
      <c r="T5681" s="1" t="s">
        <v>21</v>
      </c>
      <c r="V5681" s="1" t="s">
        <v>24</v>
      </c>
      <c r="W5681" s="1" t="s">
        <v>24</v>
      </c>
      <c r="X5681" s="1">
        <v>2735</v>
      </c>
      <c r="Y5681" s="1" t="s">
        <v>24</v>
      </c>
      <c r="Z5681" s="1" t="s">
        <v>24</v>
      </c>
      <c r="AA5681" s="1" t="s">
        <v>24</v>
      </c>
      <c r="AB5681" s="1" t="s">
        <v>24</v>
      </c>
      <c r="AC5681" s="1" t="s">
        <v>24</v>
      </c>
      <c r="AD5681" s="1" t="s">
        <v>24</v>
      </c>
      <c r="AE5681" s="1" t="s">
        <v>24</v>
      </c>
      <c r="AF5681" s="22"/>
    </row>
    <row r="5682" spans="1:32" x14ac:dyDescent="0.2">
      <c r="A5682" s="1">
        <v>54773</v>
      </c>
      <c r="B5682" s="1" t="s">
        <v>16942</v>
      </c>
      <c r="C5682" s="5" t="s">
        <v>0</v>
      </c>
      <c r="D5682" s="1" t="s">
        <v>16943</v>
      </c>
      <c r="E5682" s="1" t="s">
        <v>16944</v>
      </c>
      <c r="F5682" s="1" t="s">
        <v>14308</v>
      </c>
      <c r="G5682" s="1" t="s">
        <v>14308</v>
      </c>
      <c r="H5682" s="1" t="s">
        <v>1957</v>
      </c>
      <c r="I5682" s="1" t="s">
        <v>16</v>
      </c>
      <c r="J5682" s="1">
        <v>1</v>
      </c>
      <c r="K5682" s="1">
        <v>4</v>
      </c>
      <c r="L5682" s="1" t="s">
        <v>42</v>
      </c>
      <c r="M5682" s="1" t="s">
        <v>18</v>
      </c>
      <c r="N5682" s="1" t="s">
        <v>18</v>
      </c>
      <c r="O5682" s="1">
        <v>3</v>
      </c>
      <c r="P5682" s="1">
        <v>6</v>
      </c>
      <c r="R5682" s="1" t="s">
        <v>19</v>
      </c>
      <c r="S5682" s="1" t="s">
        <v>20</v>
      </c>
      <c r="T5682" s="1" t="s">
        <v>21</v>
      </c>
      <c r="V5682" s="1" t="s">
        <v>24</v>
      </c>
      <c r="W5682" s="1" t="s">
        <v>24</v>
      </c>
      <c r="X5682" s="1">
        <v>3002</v>
      </c>
      <c r="Y5682" s="1">
        <v>2707</v>
      </c>
      <c r="Z5682" s="1" t="s">
        <v>24</v>
      </c>
      <c r="AA5682" s="1" t="s">
        <v>24</v>
      </c>
      <c r="AB5682" s="1" t="s">
        <v>24</v>
      </c>
      <c r="AC5682" s="1" t="s">
        <v>24</v>
      </c>
      <c r="AD5682" s="1" t="s">
        <v>24</v>
      </c>
      <c r="AE5682" s="1" t="s">
        <v>24</v>
      </c>
      <c r="AF5682" s="22"/>
    </row>
    <row r="5683" spans="1:32" x14ac:dyDescent="0.2">
      <c r="A5683" s="1">
        <v>54774</v>
      </c>
      <c r="B5683" s="1" t="s">
        <v>16945</v>
      </c>
      <c r="C5683" s="5" t="s">
        <v>0</v>
      </c>
      <c r="D5683" s="1" t="s">
        <v>16946</v>
      </c>
      <c r="E5683" s="1" t="s">
        <v>16947</v>
      </c>
      <c r="F5683" s="1" t="s">
        <v>8784</v>
      </c>
      <c r="G5683" s="1" t="s">
        <v>8784</v>
      </c>
      <c r="H5683" s="1" t="s">
        <v>2147</v>
      </c>
      <c r="I5683" s="1" t="s">
        <v>16</v>
      </c>
      <c r="J5683" s="1">
        <v>1</v>
      </c>
      <c r="K5683" s="1">
        <v>4</v>
      </c>
      <c r="L5683" s="1" t="s">
        <v>42</v>
      </c>
      <c r="M5683" s="1" t="s">
        <v>18</v>
      </c>
      <c r="N5683" s="1" t="s">
        <v>18</v>
      </c>
      <c r="O5683" s="1">
        <v>3</v>
      </c>
      <c r="P5683" s="1">
        <v>5</v>
      </c>
      <c r="R5683" s="1" t="s">
        <v>19</v>
      </c>
      <c r="S5683" s="1" t="s">
        <v>20</v>
      </c>
      <c r="T5683" s="1" t="s">
        <v>21</v>
      </c>
      <c r="V5683" s="1" t="s">
        <v>23</v>
      </c>
      <c r="W5683" s="1" t="s">
        <v>24</v>
      </c>
      <c r="X5683" s="1">
        <v>2708</v>
      </c>
      <c r="Y5683" s="1">
        <v>2725</v>
      </c>
      <c r="Z5683" s="1">
        <v>2713</v>
      </c>
      <c r="AA5683" s="1" t="s">
        <v>24</v>
      </c>
      <c r="AB5683" s="1" t="s">
        <v>24</v>
      </c>
      <c r="AC5683" s="1" t="s">
        <v>24</v>
      </c>
      <c r="AD5683" s="1" t="s">
        <v>24</v>
      </c>
      <c r="AE5683" s="1" t="s">
        <v>24</v>
      </c>
      <c r="AF5683" s="22"/>
    </row>
    <row r="5684" spans="1:32" x14ac:dyDescent="0.2">
      <c r="A5684" s="1">
        <v>54775</v>
      </c>
      <c r="B5684" s="1" t="s">
        <v>16948</v>
      </c>
      <c r="C5684" s="5" t="s">
        <v>0</v>
      </c>
      <c r="D5684" s="1" t="s">
        <v>16949</v>
      </c>
      <c r="F5684" s="1" t="s">
        <v>16950</v>
      </c>
      <c r="G5684" s="1" t="s">
        <v>16950</v>
      </c>
      <c r="H5684" s="1" t="s">
        <v>1384</v>
      </c>
      <c r="I5684" s="1" t="s">
        <v>16</v>
      </c>
      <c r="J5684" s="1">
        <v>1</v>
      </c>
      <c r="K5684" s="1">
        <v>4</v>
      </c>
      <c r="L5684" s="1" t="s">
        <v>42</v>
      </c>
      <c r="M5684" s="1" t="s">
        <v>1385</v>
      </c>
      <c r="N5684" s="1" t="s">
        <v>3142</v>
      </c>
      <c r="O5684" s="1">
        <v>3</v>
      </c>
      <c r="P5684" s="1">
        <v>5</v>
      </c>
      <c r="R5684" s="1" t="s">
        <v>19</v>
      </c>
      <c r="S5684" s="1" t="s">
        <v>20</v>
      </c>
      <c r="T5684" s="1" t="s">
        <v>21</v>
      </c>
      <c r="V5684" s="1" t="s">
        <v>24</v>
      </c>
      <c r="W5684" s="1" t="s">
        <v>24</v>
      </c>
      <c r="X5684" s="1">
        <v>2700</v>
      </c>
      <c r="Y5684" s="1">
        <v>1300</v>
      </c>
      <c r="Z5684" s="1" t="s">
        <v>24</v>
      </c>
      <c r="AA5684" s="1" t="s">
        <v>24</v>
      </c>
      <c r="AB5684" s="1" t="s">
        <v>24</v>
      </c>
      <c r="AC5684" s="1" t="s">
        <v>24</v>
      </c>
      <c r="AD5684" s="1" t="s">
        <v>24</v>
      </c>
      <c r="AE5684" s="1" t="s">
        <v>24</v>
      </c>
      <c r="AF5684" s="22"/>
    </row>
    <row r="5685" spans="1:32" x14ac:dyDescent="0.2">
      <c r="A5685" s="1">
        <v>54776</v>
      </c>
      <c r="B5685" s="1" t="s">
        <v>16951</v>
      </c>
      <c r="C5685" s="5" t="s">
        <v>0</v>
      </c>
      <c r="D5685" s="1" t="s">
        <v>16952</v>
      </c>
      <c r="E5685" s="1" t="s">
        <v>16952</v>
      </c>
      <c r="F5685" s="1" t="s">
        <v>16953</v>
      </c>
      <c r="G5685" s="1" t="s">
        <v>16953</v>
      </c>
      <c r="H5685" s="1" t="s">
        <v>899</v>
      </c>
      <c r="I5685" s="1" t="s">
        <v>16</v>
      </c>
      <c r="J5685" s="1">
        <v>1</v>
      </c>
      <c r="K5685" s="1">
        <v>4</v>
      </c>
      <c r="L5685" s="1" t="s">
        <v>42</v>
      </c>
      <c r="M5685" s="1" t="s">
        <v>18</v>
      </c>
      <c r="N5685" s="1" t="s">
        <v>18</v>
      </c>
      <c r="O5685" s="1">
        <v>3</v>
      </c>
      <c r="P5685" s="1">
        <v>6</v>
      </c>
      <c r="R5685" s="1" t="s">
        <v>19</v>
      </c>
      <c r="S5685" s="1" t="s">
        <v>20</v>
      </c>
      <c r="T5685" s="1" t="s">
        <v>21</v>
      </c>
      <c r="V5685" s="1" t="s">
        <v>24</v>
      </c>
      <c r="W5685" s="1" t="s">
        <v>24</v>
      </c>
      <c r="X5685" s="1">
        <v>1110</v>
      </c>
      <c r="Y5685" s="1">
        <v>3002</v>
      </c>
      <c r="Z5685" s="1" t="s">
        <v>24</v>
      </c>
      <c r="AA5685" s="1" t="s">
        <v>24</v>
      </c>
      <c r="AB5685" s="1" t="s">
        <v>24</v>
      </c>
      <c r="AC5685" s="1" t="s">
        <v>24</v>
      </c>
      <c r="AD5685" s="1" t="s">
        <v>24</v>
      </c>
      <c r="AE5685" s="1" t="s">
        <v>24</v>
      </c>
      <c r="AF5685" s="22"/>
    </row>
    <row r="5686" spans="1:32" x14ac:dyDescent="0.2">
      <c r="A5686" s="1">
        <v>54777</v>
      </c>
      <c r="B5686" s="1" t="s">
        <v>16954</v>
      </c>
      <c r="C5686" s="5" t="s">
        <v>0</v>
      </c>
      <c r="D5686" s="1" t="s">
        <v>16955</v>
      </c>
      <c r="E5686" s="1" t="s">
        <v>16956</v>
      </c>
      <c r="F5686" s="1" t="s">
        <v>16957</v>
      </c>
      <c r="G5686" s="1" t="s">
        <v>16957</v>
      </c>
      <c r="H5686" s="1" t="s">
        <v>899</v>
      </c>
      <c r="I5686" s="1" t="s">
        <v>16</v>
      </c>
      <c r="J5686" s="1">
        <v>1</v>
      </c>
      <c r="K5686" s="1">
        <v>6</v>
      </c>
      <c r="L5686" s="1" t="s">
        <v>42</v>
      </c>
      <c r="M5686" s="1" t="s">
        <v>18</v>
      </c>
      <c r="N5686" s="1" t="s">
        <v>18</v>
      </c>
      <c r="O5686" s="1">
        <v>2</v>
      </c>
      <c r="P5686" s="1">
        <v>6</v>
      </c>
      <c r="R5686" s="1" t="s">
        <v>19</v>
      </c>
      <c r="S5686" s="1" t="s">
        <v>20</v>
      </c>
      <c r="T5686" s="1" t="s">
        <v>21</v>
      </c>
      <c r="V5686" s="1" t="s">
        <v>24</v>
      </c>
      <c r="W5686" s="1" t="s">
        <v>24</v>
      </c>
      <c r="X5686" s="1">
        <v>3003</v>
      </c>
      <c r="Y5686" s="1">
        <v>1305</v>
      </c>
      <c r="Z5686" s="1">
        <v>1303</v>
      </c>
      <c r="AA5686" s="1">
        <v>2204</v>
      </c>
      <c r="AB5686" s="1" t="s">
        <v>24</v>
      </c>
      <c r="AC5686" s="1" t="s">
        <v>24</v>
      </c>
      <c r="AD5686" s="1" t="s">
        <v>24</v>
      </c>
      <c r="AE5686" s="1" t="s">
        <v>24</v>
      </c>
      <c r="AF5686" s="22"/>
    </row>
    <row r="5687" spans="1:32" x14ac:dyDescent="0.2">
      <c r="A5687" s="1">
        <v>54778</v>
      </c>
      <c r="B5687" s="1" t="s">
        <v>16958</v>
      </c>
      <c r="C5687" s="5" t="s">
        <v>0</v>
      </c>
      <c r="D5687" s="1" t="s">
        <v>16959</v>
      </c>
      <c r="F5687" s="1" t="s">
        <v>16958</v>
      </c>
      <c r="G5687" s="1" t="s">
        <v>16958</v>
      </c>
      <c r="H5687" s="1" t="s">
        <v>899</v>
      </c>
      <c r="I5687" s="1" t="s">
        <v>16</v>
      </c>
      <c r="J5687" s="1">
        <v>1</v>
      </c>
      <c r="K5687" s="1">
        <v>12</v>
      </c>
      <c r="L5687" s="1" t="s">
        <v>42</v>
      </c>
      <c r="M5687" s="1" t="s">
        <v>18</v>
      </c>
      <c r="N5687" s="1" t="s">
        <v>18</v>
      </c>
      <c r="O5687" s="1">
        <v>3</v>
      </c>
      <c r="P5687" s="1">
        <v>6</v>
      </c>
      <c r="R5687" s="1" t="s">
        <v>19</v>
      </c>
      <c r="S5687" s="1" t="s">
        <v>20</v>
      </c>
      <c r="T5687" s="1" t="s">
        <v>21</v>
      </c>
      <c r="V5687" s="1" t="s">
        <v>24</v>
      </c>
      <c r="W5687" s="1" t="s">
        <v>24</v>
      </c>
      <c r="X5687" s="1">
        <v>3000</v>
      </c>
      <c r="Y5687" s="1">
        <v>2736</v>
      </c>
      <c r="Z5687" s="1" t="s">
        <v>24</v>
      </c>
      <c r="AA5687" s="1" t="s">
        <v>24</v>
      </c>
      <c r="AB5687" s="1" t="s">
        <v>24</v>
      </c>
      <c r="AC5687" s="1" t="s">
        <v>24</v>
      </c>
      <c r="AD5687" s="1" t="s">
        <v>24</v>
      </c>
      <c r="AE5687" s="1" t="s">
        <v>24</v>
      </c>
      <c r="AF5687" s="22"/>
    </row>
    <row r="5688" spans="1:32" x14ac:dyDescent="0.2">
      <c r="A5688" s="1">
        <v>54779</v>
      </c>
      <c r="B5688" s="1" t="s">
        <v>16960</v>
      </c>
      <c r="C5688" s="5" t="s">
        <v>0</v>
      </c>
      <c r="D5688" s="1" t="s">
        <v>16961</v>
      </c>
      <c r="F5688" s="1" t="s">
        <v>16962</v>
      </c>
      <c r="G5688" s="1" t="s">
        <v>16960</v>
      </c>
      <c r="H5688" s="1" t="s">
        <v>899</v>
      </c>
      <c r="I5688" s="1" t="s">
        <v>16</v>
      </c>
      <c r="J5688" s="1">
        <v>1</v>
      </c>
      <c r="K5688" s="1">
        <v>4</v>
      </c>
      <c r="L5688" s="1" t="s">
        <v>42</v>
      </c>
      <c r="M5688" s="1" t="s">
        <v>18</v>
      </c>
      <c r="N5688" s="1" t="s">
        <v>18</v>
      </c>
      <c r="O5688" s="1">
        <v>3</v>
      </c>
      <c r="P5688" s="1">
        <v>6</v>
      </c>
      <c r="R5688" s="1" t="s">
        <v>19</v>
      </c>
      <c r="S5688" s="1" t="s">
        <v>20</v>
      </c>
      <c r="T5688" s="1" t="s">
        <v>21</v>
      </c>
      <c r="V5688" s="1" t="s">
        <v>24</v>
      </c>
      <c r="W5688" s="1" t="s">
        <v>24</v>
      </c>
      <c r="X5688" s="1">
        <v>1300</v>
      </c>
      <c r="Y5688" s="1">
        <v>2700</v>
      </c>
      <c r="Z5688" s="1">
        <v>3000</v>
      </c>
      <c r="AA5688" s="1" t="s">
        <v>24</v>
      </c>
      <c r="AB5688" s="1" t="s">
        <v>24</v>
      </c>
      <c r="AC5688" s="1" t="s">
        <v>24</v>
      </c>
      <c r="AD5688" s="1" t="s">
        <v>24</v>
      </c>
      <c r="AE5688" s="1" t="s">
        <v>24</v>
      </c>
      <c r="AF5688" s="22"/>
    </row>
    <row r="5689" spans="1:32" x14ac:dyDescent="0.2">
      <c r="A5689" s="1">
        <v>54780</v>
      </c>
      <c r="B5689" s="1" t="s">
        <v>16963</v>
      </c>
      <c r="C5689" s="5" t="s">
        <v>0</v>
      </c>
      <c r="D5689" s="1" t="s">
        <v>16964</v>
      </c>
      <c r="E5689" s="1" t="s">
        <v>16965</v>
      </c>
      <c r="F5689" s="1" t="s">
        <v>16966</v>
      </c>
      <c r="G5689" s="1" t="s">
        <v>16966</v>
      </c>
      <c r="H5689" s="1" t="s">
        <v>731</v>
      </c>
      <c r="I5689" s="1" t="s">
        <v>16</v>
      </c>
      <c r="J5689" s="1">
        <v>1</v>
      </c>
      <c r="K5689" s="1">
        <v>6</v>
      </c>
      <c r="L5689" s="1" t="s">
        <v>42</v>
      </c>
      <c r="M5689" s="1" t="s">
        <v>18</v>
      </c>
      <c r="N5689" s="1" t="s">
        <v>18</v>
      </c>
      <c r="O5689" s="1">
        <v>3</v>
      </c>
      <c r="P5689" s="1">
        <v>6</v>
      </c>
      <c r="R5689" s="1" t="s">
        <v>19</v>
      </c>
      <c r="S5689" s="1" t="s">
        <v>20</v>
      </c>
      <c r="T5689" s="1" t="s">
        <v>21</v>
      </c>
      <c r="V5689" s="1" t="s">
        <v>23</v>
      </c>
      <c r="W5689" s="1" t="s">
        <v>24</v>
      </c>
      <c r="X5689" s="1">
        <v>1306</v>
      </c>
      <c r="Y5689" s="1">
        <v>2730</v>
      </c>
      <c r="Z5689" s="1">
        <v>2741</v>
      </c>
      <c r="AA5689" s="1" t="s">
        <v>24</v>
      </c>
      <c r="AB5689" s="1" t="s">
        <v>24</v>
      </c>
      <c r="AC5689" s="1" t="s">
        <v>24</v>
      </c>
      <c r="AD5689" s="1" t="s">
        <v>24</v>
      </c>
      <c r="AE5689" s="1" t="s">
        <v>24</v>
      </c>
      <c r="AF5689" s="22"/>
    </row>
    <row r="5690" spans="1:32" x14ac:dyDescent="0.2">
      <c r="A5690" s="1">
        <v>54781</v>
      </c>
      <c r="B5690" s="1" t="s">
        <v>16967</v>
      </c>
      <c r="C5690" s="5" t="s">
        <v>0</v>
      </c>
      <c r="D5690" s="1" t="s">
        <v>16968</v>
      </c>
      <c r="E5690" s="1" t="s">
        <v>16969</v>
      </c>
      <c r="F5690" s="1" t="s">
        <v>1956</v>
      </c>
      <c r="G5690" s="1" t="s">
        <v>1956</v>
      </c>
      <c r="H5690" s="1" t="s">
        <v>1957</v>
      </c>
      <c r="I5690" s="1" t="s">
        <v>16</v>
      </c>
      <c r="J5690" s="1">
        <v>1</v>
      </c>
      <c r="K5690" s="1">
        <v>4</v>
      </c>
      <c r="L5690" s="1" t="s">
        <v>42</v>
      </c>
      <c r="M5690" s="1" t="s">
        <v>18</v>
      </c>
      <c r="N5690" s="1" t="s">
        <v>18</v>
      </c>
      <c r="O5690" s="1">
        <v>3</v>
      </c>
      <c r="P5690" s="1">
        <v>6</v>
      </c>
      <c r="R5690" s="1" t="s">
        <v>19</v>
      </c>
      <c r="S5690" s="1" t="s">
        <v>20</v>
      </c>
      <c r="T5690" s="1" t="s">
        <v>21</v>
      </c>
      <c r="V5690" s="1" t="s">
        <v>23</v>
      </c>
      <c r="W5690" s="1" t="s">
        <v>24</v>
      </c>
      <c r="X5690" s="1">
        <v>2730</v>
      </c>
      <c r="Y5690" s="1">
        <v>1306</v>
      </c>
      <c r="Z5690" s="1" t="s">
        <v>24</v>
      </c>
      <c r="AA5690" s="1" t="s">
        <v>24</v>
      </c>
      <c r="AB5690" s="1" t="s">
        <v>24</v>
      </c>
      <c r="AC5690" s="1" t="s">
        <v>24</v>
      </c>
      <c r="AD5690" s="1" t="s">
        <v>24</v>
      </c>
      <c r="AE5690" s="1" t="s">
        <v>24</v>
      </c>
      <c r="AF5690" s="22"/>
    </row>
    <row r="5691" spans="1:32" x14ac:dyDescent="0.2">
      <c r="A5691" s="1">
        <v>54782</v>
      </c>
      <c r="B5691" s="1" t="s">
        <v>16970</v>
      </c>
      <c r="C5691" s="5" t="s">
        <v>0</v>
      </c>
      <c r="D5691" s="1" t="s">
        <v>16971</v>
      </c>
      <c r="E5691" s="1" t="s">
        <v>16971</v>
      </c>
      <c r="F5691" s="1" t="s">
        <v>16972</v>
      </c>
      <c r="G5691" s="1" t="s">
        <v>16972</v>
      </c>
      <c r="H5691" s="1" t="s">
        <v>1007</v>
      </c>
      <c r="I5691" s="1" t="s">
        <v>16</v>
      </c>
      <c r="J5691" s="1">
        <v>1</v>
      </c>
      <c r="K5691" s="1">
        <v>4</v>
      </c>
      <c r="L5691" s="1" t="s">
        <v>42</v>
      </c>
      <c r="M5691" s="1" t="s">
        <v>18</v>
      </c>
      <c r="N5691" s="1" t="s">
        <v>18</v>
      </c>
      <c r="O5691" s="1">
        <v>3</v>
      </c>
      <c r="P5691" s="1">
        <v>6</v>
      </c>
      <c r="R5691" s="1" t="s">
        <v>19</v>
      </c>
      <c r="S5691" s="1" t="s">
        <v>20</v>
      </c>
      <c r="T5691" s="1" t="s">
        <v>21</v>
      </c>
      <c r="V5691" s="1" t="s">
        <v>24</v>
      </c>
      <c r="W5691" s="1" t="s">
        <v>24</v>
      </c>
      <c r="X5691" s="1">
        <v>2741</v>
      </c>
      <c r="Y5691" s="1">
        <v>2715</v>
      </c>
      <c r="Z5691" s="1">
        <v>2721</v>
      </c>
      <c r="AA5691" s="1" t="s">
        <v>24</v>
      </c>
      <c r="AB5691" s="1" t="s">
        <v>24</v>
      </c>
      <c r="AC5691" s="1" t="s">
        <v>24</v>
      </c>
      <c r="AD5691" s="1" t="s">
        <v>24</v>
      </c>
      <c r="AE5691" s="1" t="s">
        <v>24</v>
      </c>
      <c r="AF5691" s="22"/>
    </row>
    <row r="5692" spans="1:32" x14ac:dyDescent="0.2">
      <c r="A5692" s="1">
        <v>54783</v>
      </c>
      <c r="B5692" s="1" t="s">
        <v>16973</v>
      </c>
      <c r="C5692" s="5" t="s">
        <v>0</v>
      </c>
      <c r="D5692" s="1" t="s">
        <v>16974</v>
      </c>
      <c r="E5692" s="1" t="s">
        <v>16975</v>
      </c>
      <c r="F5692" s="1" t="s">
        <v>13621</v>
      </c>
      <c r="G5692" s="1" t="s">
        <v>13621</v>
      </c>
      <c r="H5692" s="1" t="s">
        <v>1957</v>
      </c>
      <c r="I5692" s="1" t="s">
        <v>16</v>
      </c>
      <c r="J5692" s="1">
        <v>1</v>
      </c>
      <c r="K5692" s="1">
        <v>4</v>
      </c>
      <c r="L5692" s="1" t="s">
        <v>42</v>
      </c>
      <c r="M5692" s="1" t="s">
        <v>18</v>
      </c>
      <c r="N5692" s="1" t="s">
        <v>18</v>
      </c>
      <c r="O5692" s="1">
        <v>3</v>
      </c>
      <c r="P5692" s="1">
        <v>6</v>
      </c>
      <c r="R5692" s="1" t="s">
        <v>19</v>
      </c>
      <c r="S5692" s="1" t="s">
        <v>20</v>
      </c>
      <c r="T5692" s="1" t="s">
        <v>21</v>
      </c>
      <c r="U5692" s="1" t="s">
        <v>22</v>
      </c>
      <c r="V5692" s="1" t="s">
        <v>24</v>
      </c>
      <c r="W5692" s="1" t="s">
        <v>24</v>
      </c>
      <c r="X5692" s="1">
        <v>2700</v>
      </c>
      <c r="Y5692" s="1">
        <v>3003</v>
      </c>
      <c r="Z5692" s="1">
        <v>1300</v>
      </c>
      <c r="AA5692" s="1" t="s">
        <v>24</v>
      </c>
      <c r="AB5692" s="1" t="s">
        <v>24</v>
      </c>
      <c r="AC5692" s="1" t="s">
        <v>24</v>
      </c>
      <c r="AD5692" s="1" t="s">
        <v>24</v>
      </c>
      <c r="AE5692" s="1" t="s">
        <v>24</v>
      </c>
      <c r="AF5692" s="22"/>
    </row>
    <row r="5693" spans="1:32" x14ac:dyDescent="0.2">
      <c r="A5693" s="1">
        <v>54818</v>
      </c>
      <c r="B5693" s="1" t="s">
        <v>16976</v>
      </c>
      <c r="C5693" s="5" t="s">
        <v>0</v>
      </c>
      <c r="D5693" s="1" t="s">
        <v>16977</v>
      </c>
      <c r="F5693" s="1" t="s">
        <v>272</v>
      </c>
      <c r="G5693" s="1" t="s">
        <v>61</v>
      </c>
      <c r="H5693" s="1" t="s">
        <v>30</v>
      </c>
      <c r="I5693" s="1" t="s">
        <v>16</v>
      </c>
      <c r="J5693" s="1">
        <v>1</v>
      </c>
      <c r="K5693" s="1">
        <v>4</v>
      </c>
      <c r="L5693" s="1" t="s">
        <v>31</v>
      </c>
      <c r="M5693" s="1" t="s">
        <v>18</v>
      </c>
      <c r="N5693" s="1" t="s">
        <v>18</v>
      </c>
      <c r="O5693" s="1">
        <v>3</v>
      </c>
      <c r="P5693" s="1">
        <v>7</v>
      </c>
      <c r="Q5693" s="7" t="s">
        <v>17633</v>
      </c>
      <c r="R5693" s="1" t="s">
        <v>19</v>
      </c>
      <c r="S5693" s="1" t="s">
        <v>20</v>
      </c>
      <c r="T5693" s="1" t="s">
        <v>21</v>
      </c>
      <c r="U5693" s="1" t="s">
        <v>22</v>
      </c>
      <c r="V5693" s="1" t="s">
        <v>23</v>
      </c>
      <c r="W5693" s="1" t="s">
        <v>24</v>
      </c>
      <c r="X5693" s="1">
        <v>2708</v>
      </c>
      <c r="Y5693" s="1">
        <v>2746</v>
      </c>
      <c r="Z5693" s="1">
        <v>2914</v>
      </c>
      <c r="AA5693" s="1" t="s">
        <v>24</v>
      </c>
      <c r="AB5693" s="1" t="s">
        <v>24</v>
      </c>
      <c r="AC5693" s="1" t="s">
        <v>24</v>
      </c>
      <c r="AD5693" s="1" t="s">
        <v>24</v>
      </c>
      <c r="AE5693" s="1" t="s">
        <v>24</v>
      </c>
      <c r="AF5693" s="22"/>
    </row>
    <row r="5694" spans="1:32" x14ac:dyDescent="0.2">
      <c r="A5694" s="1">
        <v>54838</v>
      </c>
      <c r="B5694" s="1" t="s">
        <v>16978</v>
      </c>
      <c r="C5694" s="5" t="s">
        <v>0</v>
      </c>
      <c r="E5694" s="1" t="s">
        <v>16979</v>
      </c>
      <c r="F5694" s="1" t="s">
        <v>15614</v>
      </c>
      <c r="G5694" s="1" t="s">
        <v>15614</v>
      </c>
      <c r="H5694" s="1" t="s">
        <v>111</v>
      </c>
      <c r="I5694" s="1" t="s">
        <v>16</v>
      </c>
      <c r="J5694" s="1">
        <v>1</v>
      </c>
      <c r="K5694" s="1">
        <v>1</v>
      </c>
      <c r="L5694" s="1" t="s">
        <v>42</v>
      </c>
      <c r="M5694" s="1" t="s">
        <v>18</v>
      </c>
      <c r="N5694" s="1" t="s">
        <v>18</v>
      </c>
      <c r="O5694" s="1">
        <v>1</v>
      </c>
      <c r="P5694" s="1">
        <v>1</v>
      </c>
      <c r="R5694" s="1" t="s">
        <v>19</v>
      </c>
      <c r="S5694" s="1" t="s">
        <v>63</v>
      </c>
      <c r="T5694" s="1" t="s">
        <v>21</v>
      </c>
      <c r="U5694" s="1" t="s">
        <v>22</v>
      </c>
      <c r="V5694" s="1" t="s">
        <v>24</v>
      </c>
      <c r="W5694" s="1" t="s">
        <v>24</v>
      </c>
      <c r="X5694" s="1">
        <v>1311</v>
      </c>
      <c r="Y5694" s="1">
        <v>1313</v>
      </c>
      <c r="Z5694" s="1">
        <v>2716</v>
      </c>
      <c r="AA5694" s="1" t="s">
        <v>24</v>
      </c>
      <c r="AB5694" s="1" t="s">
        <v>24</v>
      </c>
      <c r="AC5694" s="1" t="s">
        <v>24</v>
      </c>
      <c r="AD5694" s="1" t="s">
        <v>24</v>
      </c>
      <c r="AE5694" s="1" t="s">
        <v>24</v>
      </c>
      <c r="AF5694" s="22" t="s">
        <v>17673</v>
      </c>
    </row>
    <row r="5695" spans="1:32" x14ac:dyDescent="0.2">
      <c r="A5695" s="1">
        <v>54891</v>
      </c>
      <c r="B5695" s="1" t="s">
        <v>16980</v>
      </c>
      <c r="C5695" s="5" t="s">
        <v>0</v>
      </c>
      <c r="D5695" s="1" t="s">
        <v>16981</v>
      </c>
      <c r="E5695" s="1" t="s">
        <v>16982</v>
      </c>
      <c r="F5695" s="1" t="s">
        <v>11896</v>
      </c>
      <c r="G5695" s="1" t="s">
        <v>11896</v>
      </c>
      <c r="H5695" s="1" t="s">
        <v>30</v>
      </c>
      <c r="I5695" s="1" t="s">
        <v>16</v>
      </c>
      <c r="J5695" s="1">
        <v>1</v>
      </c>
      <c r="K5695" s="1">
        <v>4</v>
      </c>
      <c r="L5695" s="1" t="s">
        <v>42</v>
      </c>
      <c r="M5695" s="1" t="s">
        <v>18</v>
      </c>
      <c r="N5695" s="1" t="s">
        <v>18</v>
      </c>
      <c r="O5695" s="1">
        <v>2</v>
      </c>
      <c r="P5695" s="1">
        <v>6</v>
      </c>
      <c r="R5695" s="1" t="s">
        <v>19</v>
      </c>
      <c r="S5695" s="1" t="s">
        <v>20</v>
      </c>
      <c r="T5695" s="1" t="s">
        <v>21</v>
      </c>
      <c r="U5695" s="1" t="s">
        <v>22</v>
      </c>
      <c r="V5695" s="1" t="s">
        <v>24</v>
      </c>
      <c r="W5695" s="1" t="s">
        <v>24</v>
      </c>
      <c r="X5695" s="1">
        <v>2741</v>
      </c>
      <c r="Y5695" s="1">
        <v>2718</v>
      </c>
      <c r="Z5695" s="1" t="s">
        <v>24</v>
      </c>
      <c r="AA5695" s="1" t="s">
        <v>24</v>
      </c>
      <c r="AB5695" s="1" t="s">
        <v>24</v>
      </c>
      <c r="AC5695" s="1" t="s">
        <v>24</v>
      </c>
      <c r="AD5695" s="1" t="s">
        <v>24</v>
      </c>
      <c r="AE5695" s="1" t="s">
        <v>24</v>
      </c>
      <c r="AF5695" s="22"/>
    </row>
    <row r="5696" spans="1:32" x14ac:dyDescent="0.2">
      <c r="A5696" s="1">
        <v>54992</v>
      </c>
      <c r="B5696" s="1" t="s">
        <v>16983</v>
      </c>
      <c r="C5696" s="5" t="s">
        <v>0</v>
      </c>
      <c r="D5696" s="1" t="s">
        <v>16984</v>
      </c>
      <c r="F5696" s="1" t="s">
        <v>6159</v>
      </c>
      <c r="G5696" s="1" t="s">
        <v>61</v>
      </c>
      <c r="H5696" s="1" t="s">
        <v>168</v>
      </c>
      <c r="I5696" s="1" t="s">
        <v>16</v>
      </c>
      <c r="J5696" s="1">
        <v>1</v>
      </c>
      <c r="K5696" s="1">
        <v>4</v>
      </c>
      <c r="L5696" s="1" t="s">
        <v>31</v>
      </c>
      <c r="M5696" s="1" t="s">
        <v>18</v>
      </c>
      <c r="N5696" s="1" t="s">
        <v>18</v>
      </c>
      <c r="O5696" s="1">
        <v>2</v>
      </c>
      <c r="P5696" s="1">
        <v>7</v>
      </c>
      <c r="Q5696" s="7" t="s">
        <v>17633</v>
      </c>
      <c r="R5696" s="1" t="s">
        <v>19</v>
      </c>
      <c r="S5696" s="1" t="s">
        <v>63</v>
      </c>
      <c r="T5696" s="1" t="s">
        <v>21</v>
      </c>
      <c r="V5696" s="1" t="s">
        <v>23</v>
      </c>
      <c r="W5696" s="1" t="s">
        <v>24</v>
      </c>
      <c r="X5696" s="1">
        <v>2707</v>
      </c>
      <c r="Y5696" s="1">
        <v>2703</v>
      </c>
      <c r="Z5696" s="1" t="s">
        <v>24</v>
      </c>
      <c r="AA5696" s="1" t="s">
        <v>24</v>
      </c>
      <c r="AB5696" s="1" t="s">
        <v>24</v>
      </c>
      <c r="AC5696" s="1" t="s">
        <v>24</v>
      </c>
      <c r="AD5696" s="1" t="s">
        <v>24</v>
      </c>
      <c r="AE5696" s="1" t="s">
        <v>24</v>
      </c>
      <c r="AF5696" s="22"/>
    </row>
    <row r="5697" spans="1:32" x14ac:dyDescent="0.2">
      <c r="A5697" s="1">
        <v>54993</v>
      </c>
      <c r="B5697" s="1" t="s">
        <v>16985</v>
      </c>
      <c r="C5697" s="5" t="s">
        <v>0</v>
      </c>
      <c r="D5697" s="1" t="s">
        <v>16986</v>
      </c>
      <c r="F5697" s="1" t="s">
        <v>91</v>
      </c>
      <c r="G5697" s="1" t="s">
        <v>61</v>
      </c>
      <c r="H5697" s="1" t="s">
        <v>92</v>
      </c>
      <c r="I5697" s="1" t="s">
        <v>16</v>
      </c>
      <c r="J5697" s="1">
        <v>1</v>
      </c>
      <c r="K5697" s="1">
        <v>4</v>
      </c>
      <c r="L5697" s="1" t="s">
        <v>31</v>
      </c>
      <c r="M5697" s="1" t="s">
        <v>18</v>
      </c>
      <c r="N5697" s="1" t="s">
        <v>18</v>
      </c>
      <c r="O5697" s="1">
        <v>2</v>
      </c>
      <c r="P5697" s="1">
        <v>7</v>
      </c>
      <c r="Q5697" s="7" t="s">
        <v>17633</v>
      </c>
      <c r="R5697" s="1" t="s">
        <v>19</v>
      </c>
      <c r="S5697" s="1" t="s">
        <v>20</v>
      </c>
      <c r="T5697" s="1" t="s">
        <v>21</v>
      </c>
      <c r="V5697" s="1" t="s">
        <v>24</v>
      </c>
      <c r="W5697" s="1" t="s">
        <v>24</v>
      </c>
      <c r="X5697" s="1">
        <v>2707</v>
      </c>
      <c r="Y5697" s="1">
        <v>2736</v>
      </c>
      <c r="Z5697" s="1">
        <v>3004</v>
      </c>
      <c r="AA5697" s="1" t="s">
        <v>24</v>
      </c>
      <c r="AB5697" s="1" t="s">
        <v>24</v>
      </c>
      <c r="AC5697" s="1" t="s">
        <v>24</v>
      </c>
      <c r="AD5697" s="1" t="s">
        <v>24</v>
      </c>
      <c r="AE5697" s="1" t="s">
        <v>24</v>
      </c>
      <c r="AF5697" s="22"/>
    </row>
    <row r="5698" spans="1:32" x14ac:dyDescent="0.2">
      <c r="A5698" s="1">
        <v>54994</v>
      </c>
      <c r="B5698" s="1" t="s">
        <v>16987</v>
      </c>
      <c r="C5698" s="5" t="s">
        <v>0</v>
      </c>
      <c r="D5698" s="1" t="s">
        <v>16988</v>
      </c>
      <c r="F5698" s="1" t="s">
        <v>91</v>
      </c>
      <c r="G5698" s="1" t="s">
        <v>61</v>
      </c>
      <c r="H5698" s="1" t="s">
        <v>92</v>
      </c>
      <c r="I5698" s="1" t="s">
        <v>16</v>
      </c>
      <c r="J5698" s="1">
        <v>1</v>
      </c>
      <c r="K5698" s="1">
        <v>3</v>
      </c>
      <c r="L5698" s="1" t="s">
        <v>31</v>
      </c>
      <c r="M5698" s="1" t="s">
        <v>18</v>
      </c>
      <c r="N5698" s="1" t="s">
        <v>18</v>
      </c>
      <c r="O5698" s="1">
        <v>3</v>
      </c>
      <c r="P5698" s="1">
        <v>7</v>
      </c>
      <c r="Q5698" s="7" t="s">
        <v>17633</v>
      </c>
      <c r="R5698" s="1" t="s">
        <v>19</v>
      </c>
      <c r="S5698" s="1" t="s">
        <v>20</v>
      </c>
      <c r="T5698" s="1" t="s">
        <v>21</v>
      </c>
      <c r="V5698" s="1" t="s">
        <v>23</v>
      </c>
      <c r="W5698" s="1" t="s">
        <v>24</v>
      </c>
      <c r="X5698" s="1">
        <v>2713</v>
      </c>
      <c r="Y5698" s="1">
        <v>2739</v>
      </c>
      <c r="Z5698" s="1">
        <v>2725</v>
      </c>
      <c r="AA5698" s="1">
        <v>2726</v>
      </c>
      <c r="AB5698" s="1" t="s">
        <v>24</v>
      </c>
      <c r="AC5698" s="1" t="s">
        <v>24</v>
      </c>
      <c r="AD5698" s="1" t="s">
        <v>24</v>
      </c>
      <c r="AE5698" s="1" t="s">
        <v>24</v>
      </c>
      <c r="AF5698" s="22" t="s">
        <v>17678</v>
      </c>
    </row>
    <row r="5699" spans="1:32" x14ac:dyDescent="0.2">
      <c r="A5699" s="1">
        <v>54995</v>
      </c>
      <c r="B5699" s="1" t="s">
        <v>16989</v>
      </c>
      <c r="C5699" s="5" t="s">
        <v>0</v>
      </c>
      <c r="D5699" s="1" t="s">
        <v>16990</v>
      </c>
      <c r="F5699" s="1" t="s">
        <v>6159</v>
      </c>
      <c r="G5699" s="1" t="s">
        <v>61</v>
      </c>
      <c r="H5699" s="1" t="s">
        <v>168</v>
      </c>
      <c r="I5699" s="1" t="s">
        <v>16</v>
      </c>
      <c r="J5699" s="1">
        <v>1</v>
      </c>
      <c r="K5699" s="1">
        <v>2</v>
      </c>
      <c r="L5699" s="1" t="s">
        <v>31</v>
      </c>
      <c r="M5699" s="1" t="s">
        <v>18</v>
      </c>
      <c r="N5699" s="1" t="s">
        <v>18</v>
      </c>
      <c r="O5699" s="1">
        <v>2</v>
      </c>
      <c r="P5699" s="1">
        <v>7</v>
      </c>
      <c r="Q5699" s="7" t="s">
        <v>17633</v>
      </c>
      <c r="R5699" s="1" t="s">
        <v>19</v>
      </c>
      <c r="S5699" s="1" t="s">
        <v>20</v>
      </c>
      <c r="T5699" s="1" t="s">
        <v>21</v>
      </c>
      <c r="U5699" s="1" t="s">
        <v>22</v>
      </c>
      <c r="V5699" s="1" t="s">
        <v>24</v>
      </c>
      <c r="W5699" s="1" t="s">
        <v>24</v>
      </c>
      <c r="X5699" s="1">
        <v>2707</v>
      </c>
      <c r="Y5699" s="1" t="s">
        <v>24</v>
      </c>
      <c r="Z5699" s="1" t="s">
        <v>24</v>
      </c>
      <c r="AA5699" s="1" t="s">
        <v>24</v>
      </c>
      <c r="AB5699" s="1" t="s">
        <v>24</v>
      </c>
      <c r="AC5699" s="1" t="s">
        <v>24</v>
      </c>
      <c r="AD5699" s="1" t="s">
        <v>24</v>
      </c>
      <c r="AE5699" s="1" t="s">
        <v>24</v>
      </c>
      <c r="AF5699" s="22"/>
    </row>
    <row r="5700" spans="1:32" x14ac:dyDescent="0.2">
      <c r="A5700" s="1">
        <v>54996</v>
      </c>
      <c r="B5700" s="1" t="s">
        <v>16991</v>
      </c>
      <c r="C5700" s="5" t="s">
        <v>0</v>
      </c>
      <c r="D5700" s="1" t="s">
        <v>16992</v>
      </c>
      <c r="F5700" s="1" t="s">
        <v>16993</v>
      </c>
      <c r="G5700" s="1" t="s">
        <v>61</v>
      </c>
      <c r="H5700" s="1" t="s">
        <v>7640</v>
      </c>
      <c r="I5700" s="1" t="s">
        <v>16</v>
      </c>
      <c r="J5700" s="1">
        <v>1</v>
      </c>
      <c r="K5700" s="1">
        <v>4</v>
      </c>
      <c r="L5700" s="1" t="s">
        <v>31</v>
      </c>
      <c r="M5700" s="1" t="s">
        <v>18</v>
      </c>
      <c r="N5700" s="1" t="s">
        <v>18</v>
      </c>
      <c r="O5700" s="1">
        <v>2</v>
      </c>
      <c r="P5700" s="1">
        <v>6</v>
      </c>
      <c r="R5700" s="1" t="s">
        <v>19</v>
      </c>
      <c r="S5700" s="1" t="s">
        <v>20</v>
      </c>
      <c r="T5700" s="1" t="s">
        <v>21</v>
      </c>
      <c r="V5700" s="1" t="s">
        <v>23</v>
      </c>
      <c r="W5700" s="1" t="s">
        <v>24</v>
      </c>
      <c r="X5700" s="1">
        <v>2740</v>
      </c>
      <c r="Y5700" s="1">
        <v>2725</v>
      </c>
      <c r="Z5700" s="1" t="s">
        <v>24</v>
      </c>
      <c r="AA5700" s="1" t="s">
        <v>24</v>
      </c>
      <c r="AB5700" s="1" t="s">
        <v>24</v>
      </c>
      <c r="AC5700" s="1" t="s">
        <v>24</v>
      </c>
      <c r="AD5700" s="1" t="s">
        <v>24</v>
      </c>
      <c r="AE5700" s="1" t="s">
        <v>24</v>
      </c>
      <c r="AF5700" s="22"/>
    </row>
    <row r="5701" spans="1:32" x14ac:dyDescent="0.2">
      <c r="A5701" s="1">
        <v>54997</v>
      </c>
      <c r="B5701" s="1" t="s">
        <v>16994</v>
      </c>
      <c r="C5701" s="5" t="s">
        <v>0</v>
      </c>
      <c r="D5701" s="1" t="s">
        <v>16995</v>
      </c>
      <c r="F5701" s="1" t="s">
        <v>91</v>
      </c>
      <c r="G5701" s="1" t="s">
        <v>61</v>
      </c>
      <c r="H5701" s="1" t="s">
        <v>92</v>
      </c>
      <c r="I5701" s="1" t="s">
        <v>16</v>
      </c>
      <c r="J5701" s="1">
        <v>1</v>
      </c>
      <c r="K5701" s="1">
        <v>2</v>
      </c>
      <c r="L5701" s="1" t="s">
        <v>31</v>
      </c>
      <c r="M5701" s="1" t="s">
        <v>18</v>
      </c>
      <c r="N5701" s="1" t="s">
        <v>18</v>
      </c>
      <c r="O5701" s="1">
        <v>2</v>
      </c>
      <c r="P5701" s="1">
        <v>7</v>
      </c>
      <c r="Q5701" s="7" t="s">
        <v>17633</v>
      </c>
      <c r="R5701" s="1" t="s">
        <v>19</v>
      </c>
      <c r="S5701" s="1" t="s">
        <v>20</v>
      </c>
      <c r="T5701" s="1" t="s">
        <v>21</v>
      </c>
      <c r="V5701" s="1" t="s">
        <v>23</v>
      </c>
      <c r="W5701" s="1" t="s">
        <v>24</v>
      </c>
      <c r="X5701" s="1">
        <v>2715</v>
      </c>
      <c r="Y5701" s="1">
        <v>2721</v>
      </c>
      <c r="Z5701" s="1">
        <v>2741</v>
      </c>
      <c r="AA5701" s="1">
        <v>2730</v>
      </c>
      <c r="AB5701" s="1" t="s">
        <v>24</v>
      </c>
      <c r="AC5701" s="1" t="s">
        <v>24</v>
      </c>
      <c r="AD5701" s="1" t="s">
        <v>24</v>
      </c>
      <c r="AE5701" s="1" t="s">
        <v>24</v>
      </c>
      <c r="AF5701" s="22" t="s">
        <v>17679</v>
      </c>
    </row>
    <row r="5702" spans="1:32" x14ac:dyDescent="0.2">
      <c r="A5702" s="1">
        <v>54998</v>
      </c>
      <c r="B5702" s="1" t="s">
        <v>16996</v>
      </c>
      <c r="C5702" s="5" t="s">
        <v>0</v>
      </c>
      <c r="D5702" s="1" t="s">
        <v>16997</v>
      </c>
      <c r="F5702" s="1" t="s">
        <v>6159</v>
      </c>
      <c r="G5702" s="1" t="s">
        <v>61</v>
      </c>
      <c r="H5702" s="1" t="s">
        <v>168</v>
      </c>
      <c r="I5702" s="1" t="s">
        <v>16</v>
      </c>
      <c r="J5702" s="1">
        <v>1</v>
      </c>
      <c r="K5702" s="1">
        <v>1</v>
      </c>
      <c r="L5702" s="1" t="s">
        <v>31</v>
      </c>
      <c r="M5702" s="1" t="s">
        <v>18</v>
      </c>
      <c r="N5702" s="1" t="s">
        <v>18</v>
      </c>
      <c r="O5702" s="1">
        <v>2</v>
      </c>
      <c r="P5702" s="1">
        <v>7</v>
      </c>
      <c r="Q5702" s="7" t="s">
        <v>17633</v>
      </c>
      <c r="R5702" s="1" t="s">
        <v>19</v>
      </c>
      <c r="S5702" s="1" t="s">
        <v>20</v>
      </c>
      <c r="T5702" s="1" t="s">
        <v>21</v>
      </c>
      <c r="U5702" s="1" t="s">
        <v>22</v>
      </c>
      <c r="V5702" s="1" t="s">
        <v>23</v>
      </c>
      <c r="W5702" s="1" t="s">
        <v>24</v>
      </c>
      <c r="X5702" s="1">
        <v>2738</v>
      </c>
      <c r="Y5702" s="1">
        <v>2717</v>
      </c>
      <c r="Z5702" s="1" t="s">
        <v>24</v>
      </c>
      <c r="AA5702" s="1" t="s">
        <v>24</v>
      </c>
      <c r="AB5702" s="1" t="s">
        <v>24</v>
      </c>
      <c r="AC5702" s="1" t="s">
        <v>24</v>
      </c>
      <c r="AD5702" s="1" t="s">
        <v>24</v>
      </c>
      <c r="AE5702" s="1" t="s">
        <v>24</v>
      </c>
      <c r="AF5702" s="22"/>
    </row>
    <row r="5703" spans="1:32" x14ac:dyDescent="0.2">
      <c r="A5703" s="1">
        <v>54999</v>
      </c>
      <c r="B5703" s="1" t="s">
        <v>16998</v>
      </c>
      <c r="C5703" s="5" t="s">
        <v>0</v>
      </c>
      <c r="D5703" s="1" t="s">
        <v>16999</v>
      </c>
      <c r="F5703" s="1" t="s">
        <v>17000</v>
      </c>
      <c r="G5703" s="1" t="s">
        <v>61</v>
      </c>
      <c r="H5703" s="1" t="s">
        <v>2772</v>
      </c>
      <c r="I5703" s="1" t="s">
        <v>16</v>
      </c>
      <c r="J5703" s="1">
        <v>1</v>
      </c>
      <c r="K5703" s="1">
        <v>1</v>
      </c>
      <c r="L5703" s="1" t="s">
        <v>31</v>
      </c>
      <c r="M5703" s="1" t="s">
        <v>18</v>
      </c>
      <c r="N5703" s="1" t="s">
        <v>18</v>
      </c>
      <c r="O5703" s="1">
        <v>3</v>
      </c>
      <c r="P5703" s="1">
        <v>6</v>
      </c>
      <c r="R5703" s="1" t="s">
        <v>19</v>
      </c>
      <c r="S5703" s="1" t="s">
        <v>20</v>
      </c>
      <c r="T5703" s="1" t="s">
        <v>21</v>
      </c>
      <c r="V5703" s="1" t="s">
        <v>23</v>
      </c>
      <c r="W5703" s="1" t="s">
        <v>24</v>
      </c>
      <c r="X5703" s="1">
        <v>2707</v>
      </c>
      <c r="Y5703" s="1" t="s">
        <v>24</v>
      </c>
      <c r="Z5703" s="1" t="s">
        <v>24</v>
      </c>
      <c r="AA5703" s="1" t="s">
        <v>24</v>
      </c>
      <c r="AB5703" s="1" t="s">
        <v>24</v>
      </c>
      <c r="AC5703" s="1" t="s">
        <v>24</v>
      </c>
      <c r="AD5703" s="1" t="s">
        <v>24</v>
      </c>
      <c r="AE5703" s="1" t="s">
        <v>24</v>
      </c>
      <c r="AF5703" s="22"/>
    </row>
    <row r="5704" spans="1:32" x14ac:dyDescent="0.2">
      <c r="A5704" s="1">
        <v>55000</v>
      </c>
      <c r="B5704" s="1" t="s">
        <v>17001</v>
      </c>
      <c r="C5704" s="5" t="s">
        <v>0</v>
      </c>
      <c r="D5704" s="1" t="s">
        <v>17002</v>
      </c>
      <c r="F5704" s="1" t="s">
        <v>272</v>
      </c>
      <c r="G5704" s="1" t="s">
        <v>61</v>
      </c>
      <c r="H5704" s="1" t="s">
        <v>30</v>
      </c>
      <c r="I5704" s="1" t="s">
        <v>16</v>
      </c>
      <c r="J5704" s="1">
        <v>1</v>
      </c>
      <c r="K5704" s="1">
        <v>6</v>
      </c>
      <c r="L5704" s="1" t="s">
        <v>31</v>
      </c>
      <c r="M5704" s="1" t="s">
        <v>18</v>
      </c>
      <c r="N5704" s="1" t="s">
        <v>18</v>
      </c>
      <c r="O5704" s="1">
        <v>3</v>
      </c>
      <c r="P5704" s="1">
        <v>7</v>
      </c>
      <c r="Q5704" s="7" t="s">
        <v>17633</v>
      </c>
      <c r="R5704" s="1" t="s">
        <v>19</v>
      </c>
      <c r="S5704" s="1" t="s">
        <v>20</v>
      </c>
      <c r="T5704" s="1" t="s">
        <v>21</v>
      </c>
      <c r="U5704" s="1" t="s">
        <v>22</v>
      </c>
      <c r="V5704" s="1" t="s">
        <v>23</v>
      </c>
      <c r="W5704" s="1" t="s">
        <v>24</v>
      </c>
      <c r="X5704" s="1">
        <v>2705</v>
      </c>
      <c r="Y5704" s="1" t="s">
        <v>24</v>
      </c>
      <c r="Z5704" s="1" t="s">
        <v>24</v>
      </c>
      <c r="AA5704" s="1" t="s">
        <v>24</v>
      </c>
      <c r="AB5704" s="1" t="s">
        <v>24</v>
      </c>
      <c r="AC5704" s="1" t="s">
        <v>24</v>
      </c>
      <c r="AD5704" s="1" t="s">
        <v>24</v>
      </c>
      <c r="AE5704" s="1" t="s">
        <v>24</v>
      </c>
      <c r="AF5704" s="22"/>
    </row>
    <row r="5705" spans="1:32" x14ac:dyDescent="0.2">
      <c r="A5705" s="1">
        <v>55003</v>
      </c>
      <c r="B5705" s="1" t="s">
        <v>17003</v>
      </c>
      <c r="C5705" s="5" t="s">
        <v>0</v>
      </c>
      <c r="D5705" s="1" t="s">
        <v>17004</v>
      </c>
      <c r="F5705" s="1" t="s">
        <v>155</v>
      </c>
      <c r="G5705" s="1" t="s">
        <v>61</v>
      </c>
      <c r="H5705" s="1" t="s">
        <v>37</v>
      </c>
      <c r="I5705" s="1" t="s">
        <v>16</v>
      </c>
      <c r="J5705" s="1">
        <v>1</v>
      </c>
      <c r="K5705" s="1">
        <v>4</v>
      </c>
      <c r="L5705" s="1" t="s">
        <v>31</v>
      </c>
      <c r="M5705" s="1" t="s">
        <v>18</v>
      </c>
      <c r="N5705" s="1" t="s">
        <v>18</v>
      </c>
      <c r="O5705" s="1">
        <v>2</v>
      </c>
      <c r="P5705" s="1">
        <v>7</v>
      </c>
      <c r="Q5705" s="7" t="s">
        <v>17633</v>
      </c>
      <c r="R5705" s="1" t="s">
        <v>19</v>
      </c>
      <c r="S5705" s="1" t="s">
        <v>20</v>
      </c>
      <c r="T5705" s="1" t="s">
        <v>21</v>
      </c>
      <c r="U5705" s="1" t="s">
        <v>22</v>
      </c>
      <c r="V5705" s="1" t="s">
        <v>24</v>
      </c>
      <c r="W5705" s="1" t="s">
        <v>24</v>
      </c>
      <c r="X5705" s="1">
        <v>2741</v>
      </c>
      <c r="Y5705" s="1">
        <v>2734</v>
      </c>
      <c r="Z5705" s="1" t="s">
        <v>24</v>
      </c>
      <c r="AA5705" s="1" t="s">
        <v>24</v>
      </c>
      <c r="AB5705" s="1" t="s">
        <v>24</v>
      </c>
      <c r="AC5705" s="1" t="s">
        <v>24</v>
      </c>
      <c r="AD5705" s="1" t="s">
        <v>24</v>
      </c>
      <c r="AE5705" s="1" t="s">
        <v>24</v>
      </c>
      <c r="AF5705" s="22"/>
    </row>
    <row r="5706" spans="1:32" x14ac:dyDescent="0.2">
      <c r="A5706" s="1">
        <v>55004</v>
      </c>
      <c r="B5706" s="1" t="s">
        <v>17005</v>
      </c>
      <c r="C5706" s="5" t="s">
        <v>0</v>
      </c>
      <c r="D5706" s="1" t="s">
        <v>17006</v>
      </c>
      <c r="F5706" s="1" t="s">
        <v>12162</v>
      </c>
      <c r="G5706" s="1" t="s">
        <v>61</v>
      </c>
      <c r="H5706" s="1" t="s">
        <v>899</v>
      </c>
      <c r="I5706" s="1" t="s">
        <v>16</v>
      </c>
      <c r="J5706" s="1">
        <v>1</v>
      </c>
      <c r="K5706" s="1">
        <v>12</v>
      </c>
      <c r="L5706" s="1" t="s">
        <v>31</v>
      </c>
      <c r="M5706" s="1" t="s">
        <v>18</v>
      </c>
      <c r="N5706" s="1" t="s">
        <v>18</v>
      </c>
      <c r="O5706" s="1">
        <v>2</v>
      </c>
      <c r="P5706" s="1">
        <v>7</v>
      </c>
      <c r="Q5706" s="7" t="s">
        <v>17633</v>
      </c>
      <c r="R5706" s="1" t="s">
        <v>19</v>
      </c>
      <c r="S5706" s="1" t="s">
        <v>20</v>
      </c>
      <c r="T5706" s="1" t="s">
        <v>21</v>
      </c>
      <c r="V5706" s="1" t="s">
        <v>24</v>
      </c>
      <c r="W5706" s="1" t="s">
        <v>24</v>
      </c>
      <c r="X5706" s="1">
        <v>3003</v>
      </c>
      <c r="Y5706" s="1" t="s">
        <v>24</v>
      </c>
      <c r="Z5706" s="1" t="s">
        <v>24</v>
      </c>
      <c r="AA5706" s="1" t="s">
        <v>24</v>
      </c>
      <c r="AB5706" s="1" t="s">
        <v>24</v>
      </c>
      <c r="AC5706" s="1" t="s">
        <v>24</v>
      </c>
      <c r="AD5706" s="1" t="s">
        <v>24</v>
      </c>
      <c r="AE5706" s="1" t="s">
        <v>24</v>
      </c>
      <c r="AF5706" s="22" t="s">
        <v>17702</v>
      </c>
    </row>
    <row r="5707" spans="1:32" x14ac:dyDescent="0.2">
      <c r="A5707" s="1">
        <v>55006</v>
      </c>
      <c r="B5707" s="1" t="s">
        <v>17007</v>
      </c>
      <c r="C5707" s="5" t="s">
        <v>0</v>
      </c>
      <c r="D5707" s="1" t="s">
        <v>17008</v>
      </c>
      <c r="E5707" s="1" t="s">
        <v>17009</v>
      </c>
      <c r="F5707" s="1" t="s">
        <v>272</v>
      </c>
      <c r="G5707" s="1" t="s">
        <v>61</v>
      </c>
      <c r="H5707" s="1" t="s">
        <v>30</v>
      </c>
      <c r="I5707" s="1" t="s">
        <v>16</v>
      </c>
      <c r="J5707" s="1">
        <v>1</v>
      </c>
      <c r="K5707" s="1">
        <v>4</v>
      </c>
      <c r="L5707" s="1" t="s">
        <v>31</v>
      </c>
      <c r="M5707" s="1" t="s">
        <v>18</v>
      </c>
      <c r="N5707" s="1" t="s">
        <v>18</v>
      </c>
      <c r="O5707" s="1">
        <v>3</v>
      </c>
      <c r="P5707" s="1">
        <v>7</v>
      </c>
      <c r="Q5707" s="7" t="s">
        <v>17633</v>
      </c>
      <c r="R5707" s="1" t="s">
        <v>19</v>
      </c>
      <c r="S5707" s="1" t="s">
        <v>20</v>
      </c>
      <c r="T5707" s="1" t="s">
        <v>21</v>
      </c>
      <c r="U5707" s="1" t="s">
        <v>22</v>
      </c>
      <c r="V5707" s="1" t="s">
        <v>24</v>
      </c>
      <c r="W5707" s="1" t="s">
        <v>24</v>
      </c>
      <c r="X5707" s="1">
        <v>2705</v>
      </c>
      <c r="Y5707" s="1">
        <v>2746</v>
      </c>
      <c r="Z5707" s="1" t="s">
        <v>24</v>
      </c>
      <c r="AA5707" s="1" t="s">
        <v>24</v>
      </c>
      <c r="AB5707" s="1" t="s">
        <v>24</v>
      </c>
      <c r="AC5707" s="1" t="s">
        <v>24</v>
      </c>
      <c r="AD5707" s="1" t="s">
        <v>24</v>
      </c>
      <c r="AE5707" s="1" t="s">
        <v>24</v>
      </c>
      <c r="AF5707" s="22"/>
    </row>
    <row r="5708" spans="1:32" x14ac:dyDescent="0.2">
      <c r="A5708" s="1">
        <v>55008</v>
      </c>
      <c r="B5708" s="1" t="s">
        <v>17010</v>
      </c>
      <c r="C5708" s="5" t="s">
        <v>0</v>
      </c>
      <c r="D5708" s="1" t="s">
        <v>17011</v>
      </c>
      <c r="F5708" s="1" t="s">
        <v>91</v>
      </c>
      <c r="G5708" s="1" t="s">
        <v>61</v>
      </c>
      <c r="H5708" s="1" t="s">
        <v>92</v>
      </c>
      <c r="I5708" s="1" t="s">
        <v>16</v>
      </c>
      <c r="J5708" s="1">
        <v>1</v>
      </c>
      <c r="K5708" s="1">
        <v>4</v>
      </c>
      <c r="L5708" s="1" t="s">
        <v>31</v>
      </c>
      <c r="M5708" s="1" t="s">
        <v>18</v>
      </c>
      <c r="N5708" s="1" t="s">
        <v>18</v>
      </c>
      <c r="O5708" s="1">
        <v>3</v>
      </c>
      <c r="P5708" s="1">
        <v>7</v>
      </c>
      <c r="Q5708" s="7" t="s">
        <v>17633</v>
      </c>
      <c r="R5708" s="1" t="s">
        <v>19</v>
      </c>
      <c r="S5708" s="1" t="s">
        <v>63</v>
      </c>
      <c r="T5708" s="1" t="s">
        <v>21</v>
      </c>
      <c r="U5708" s="1" t="s">
        <v>22</v>
      </c>
      <c r="V5708" s="1" t="s">
        <v>23</v>
      </c>
      <c r="W5708" s="1" t="s">
        <v>24</v>
      </c>
      <c r="X5708" s="1">
        <v>3004</v>
      </c>
      <c r="Y5708" s="1">
        <v>2736</v>
      </c>
      <c r="Z5708" s="1">
        <v>1106</v>
      </c>
      <c r="AA5708" s="1" t="s">
        <v>24</v>
      </c>
      <c r="AB5708" s="1" t="s">
        <v>24</v>
      </c>
      <c r="AC5708" s="1" t="s">
        <v>24</v>
      </c>
      <c r="AD5708" s="1" t="s">
        <v>24</v>
      </c>
      <c r="AE5708" s="1" t="s">
        <v>24</v>
      </c>
      <c r="AF5708" s="22" t="s">
        <v>17678</v>
      </c>
    </row>
    <row r="5709" spans="1:32" x14ac:dyDescent="0.2">
      <c r="A5709" s="1">
        <v>55010</v>
      </c>
      <c r="B5709" s="1" t="s">
        <v>17012</v>
      </c>
      <c r="C5709" s="5" t="s">
        <v>0</v>
      </c>
      <c r="D5709" s="1" t="s">
        <v>17013</v>
      </c>
      <c r="F5709" s="1" t="s">
        <v>91</v>
      </c>
      <c r="G5709" s="1" t="s">
        <v>61</v>
      </c>
      <c r="H5709" s="1" t="s">
        <v>92</v>
      </c>
      <c r="I5709" s="1" t="s">
        <v>16</v>
      </c>
      <c r="J5709" s="1">
        <v>1</v>
      </c>
      <c r="K5709" s="1">
        <v>1</v>
      </c>
      <c r="L5709" s="1" t="s">
        <v>31</v>
      </c>
      <c r="M5709" s="1" t="s">
        <v>18</v>
      </c>
      <c r="N5709" s="1" t="s">
        <v>18</v>
      </c>
      <c r="O5709" s="1">
        <v>2</v>
      </c>
      <c r="P5709" s="1">
        <v>7</v>
      </c>
      <c r="Q5709" s="7" t="s">
        <v>17633</v>
      </c>
      <c r="R5709" s="1" t="s">
        <v>19</v>
      </c>
      <c r="S5709" s="1" t="s">
        <v>63</v>
      </c>
      <c r="T5709" s="1" t="s">
        <v>21</v>
      </c>
      <c r="U5709" s="1" t="s">
        <v>22</v>
      </c>
      <c r="V5709" s="1" t="s">
        <v>24</v>
      </c>
      <c r="W5709" s="1" t="s">
        <v>24</v>
      </c>
      <c r="X5709" s="1">
        <v>1303</v>
      </c>
      <c r="Y5709" s="1">
        <v>1605</v>
      </c>
      <c r="Z5709" s="1" t="s">
        <v>24</v>
      </c>
      <c r="AA5709" s="1" t="s">
        <v>24</v>
      </c>
      <c r="AB5709" s="1" t="s">
        <v>24</v>
      </c>
      <c r="AC5709" s="1" t="s">
        <v>24</v>
      </c>
      <c r="AD5709" s="1" t="s">
        <v>24</v>
      </c>
      <c r="AE5709" s="1" t="s">
        <v>24</v>
      </c>
      <c r="AF5709" s="22" t="s">
        <v>17678</v>
      </c>
    </row>
    <row r="5710" spans="1:32" x14ac:dyDescent="0.2">
      <c r="A5710" s="1">
        <v>55012</v>
      </c>
      <c r="B5710" s="1" t="s">
        <v>17014</v>
      </c>
      <c r="C5710" s="5" t="s">
        <v>0</v>
      </c>
      <c r="D5710" s="1" t="s">
        <v>17015</v>
      </c>
      <c r="F5710" s="1" t="s">
        <v>17016</v>
      </c>
      <c r="G5710" s="1" t="s">
        <v>61</v>
      </c>
      <c r="H5710" s="1" t="s">
        <v>7640</v>
      </c>
      <c r="I5710" s="1" t="s">
        <v>16</v>
      </c>
      <c r="J5710" s="1">
        <v>1</v>
      </c>
      <c r="K5710" s="1">
        <v>4</v>
      </c>
      <c r="L5710" s="1" t="s">
        <v>31</v>
      </c>
      <c r="M5710" s="1" t="s">
        <v>18</v>
      </c>
      <c r="N5710" s="1" t="s">
        <v>18</v>
      </c>
      <c r="O5710" s="1">
        <v>3</v>
      </c>
      <c r="P5710" s="1">
        <v>6</v>
      </c>
      <c r="R5710" s="1" t="s">
        <v>19</v>
      </c>
      <c r="S5710" s="1" t="s">
        <v>20</v>
      </c>
      <c r="T5710" s="1" t="s">
        <v>21</v>
      </c>
      <c r="V5710" s="1" t="s">
        <v>23</v>
      </c>
      <c r="W5710" s="1" t="s">
        <v>24</v>
      </c>
      <c r="X5710" s="1">
        <v>2706</v>
      </c>
      <c r="Y5710" s="1" t="s">
        <v>24</v>
      </c>
      <c r="Z5710" s="1" t="s">
        <v>24</v>
      </c>
      <c r="AA5710" s="1" t="s">
        <v>24</v>
      </c>
      <c r="AB5710" s="1" t="s">
        <v>24</v>
      </c>
      <c r="AC5710" s="1" t="s">
        <v>24</v>
      </c>
      <c r="AD5710" s="1" t="s">
        <v>24</v>
      </c>
      <c r="AE5710" s="1" t="s">
        <v>24</v>
      </c>
      <c r="AF5710" s="22"/>
    </row>
    <row r="5711" spans="1:32" x14ac:dyDescent="0.2">
      <c r="A5711" s="1">
        <v>55013</v>
      </c>
      <c r="B5711" s="1" t="s">
        <v>17017</v>
      </c>
      <c r="C5711" s="5" t="s">
        <v>0</v>
      </c>
      <c r="D5711" s="1" t="s">
        <v>17018</v>
      </c>
      <c r="F5711" s="1" t="s">
        <v>17019</v>
      </c>
      <c r="G5711" s="1" t="s">
        <v>61</v>
      </c>
      <c r="H5711" s="1" t="s">
        <v>30</v>
      </c>
      <c r="I5711" s="1" t="s">
        <v>16</v>
      </c>
      <c r="J5711" s="1">
        <v>1</v>
      </c>
      <c r="K5711" s="1">
        <v>6</v>
      </c>
      <c r="L5711" s="1" t="s">
        <v>31</v>
      </c>
      <c r="M5711" s="1" t="s">
        <v>18</v>
      </c>
      <c r="N5711" s="1" t="s">
        <v>18</v>
      </c>
      <c r="O5711" s="1">
        <v>3</v>
      </c>
      <c r="P5711" s="1">
        <v>6</v>
      </c>
      <c r="R5711" s="1" t="s">
        <v>19</v>
      </c>
      <c r="S5711" s="1" t="s">
        <v>20</v>
      </c>
      <c r="T5711" s="1" t="s">
        <v>21</v>
      </c>
      <c r="U5711" s="1" t="s">
        <v>22</v>
      </c>
      <c r="V5711" s="1" t="s">
        <v>23</v>
      </c>
      <c r="W5711" s="1" t="s">
        <v>24</v>
      </c>
      <c r="X5711" s="1">
        <v>2723</v>
      </c>
      <c r="Y5711" s="1" t="s">
        <v>24</v>
      </c>
      <c r="Z5711" s="1" t="s">
        <v>24</v>
      </c>
      <c r="AA5711" s="1" t="s">
        <v>24</v>
      </c>
      <c r="AB5711" s="1" t="s">
        <v>24</v>
      </c>
      <c r="AC5711" s="1" t="s">
        <v>24</v>
      </c>
      <c r="AD5711" s="1" t="s">
        <v>24</v>
      </c>
      <c r="AE5711" s="1" t="s">
        <v>24</v>
      </c>
      <c r="AF5711" s="22"/>
    </row>
    <row r="5712" spans="1:32" x14ac:dyDescent="0.2">
      <c r="A5712" s="1">
        <v>55025</v>
      </c>
      <c r="B5712" s="1" t="s">
        <v>17020</v>
      </c>
      <c r="C5712" s="5" t="s">
        <v>0</v>
      </c>
      <c r="E5712" s="1" t="s">
        <v>17021</v>
      </c>
      <c r="F5712" s="1" t="s">
        <v>2299</v>
      </c>
      <c r="G5712" s="1" t="s">
        <v>2300</v>
      </c>
      <c r="H5712" s="1" t="s">
        <v>37</v>
      </c>
      <c r="I5712" s="1" t="s">
        <v>16</v>
      </c>
      <c r="J5712" s="1">
        <v>1</v>
      </c>
      <c r="K5712" s="1">
        <v>1</v>
      </c>
      <c r="L5712" s="1" t="s">
        <v>31</v>
      </c>
      <c r="M5712" s="1" t="s">
        <v>18</v>
      </c>
      <c r="N5712" s="1" t="s">
        <v>18</v>
      </c>
      <c r="O5712" s="1">
        <v>3</v>
      </c>
      <c r="P5712" s="1">
        <v>7</v>
      </c>
      <c r="Q5712" s="7" t="s">
        <v>17633</v>
      </c>
      <c r="R5712" s="1" t="s">
        <v>19</v>
      </c>
      <c r="S5712" s="1" t="s">
        <v>63</v>
      </c>
      <c r="T5712" s="1" t="s">
        <v>21</v>
      </c>
      <c r="U5712" s="1" t="s">
        <v>22</v>
      </c>
      <c r="V5712" s="1" t="s">
        <v>23</v>
      </c>
      <c r="W5712" s="1" t="s">
        <v>24</v>
      </c>
      <c r="X5712" s="1">
        <v>2701</v>
      </c>
      <c r="Y5712" s="1" t="s">
        <v>24</v>
      </c>
      <c r="Z5712" s="1" t="s">
        <v>24</v>
      </c>
      <c r="AA5712" s="1" t="s">
        <v>24</v>
      </c>
      <c r="AB5712" s="1" t="s">
        <v>24</v>
      </c>
      <c r="AC5712" s="1" t="s">
        <v>24</v>
      </c>
      <c r="AD5712" s="1" t="s">
        <v>24</v>
      </c>
      <c r="AE5712" s="1" t="s">
        <v>24</v>
      </c>
      <c r="AF5712" s="22"/>
    </row>
    <row r="5713" spans="1:32" x14ac:dyDescent="0.2">
      <c r="A5713" s="1">
        <v>55034</v>
      </c>
      <c r="B5713" s="1" t="s">
        <v>17022</v>
      </c>
      <c r="C5713" s="5" t="s">
        <v>0</v>
      </c>
      <c r="E5713" s="1" t="s">
        <v>17023</v>
      </c>
      <c r="F5713" s="1" t="s">
        <v>11666</v>
      </c>
      <c r="G5713" s="1" t="s">
        <v>11666</v>
      </c>
      <c r="H5713" s="1" t="s">
        <v>30</v>
      </c>
      <c r="I5713" s="1" t="s">
        <v>16</v>
      </c>
      <c r="J5713" s="1">
        <v>1</v>
      </c>
      <c r="K5713" s="1">
        <v>12</v>
      </c>
      <c r="L5713" s="1" t="s">
        <v>42</v>
      </c>
      <c r="M5713" s="1" t="s">
        <v>18</v>
      </c>
      <c r="N5713" s="1" t="s">
        <v>18</v>
      </c>
      <c r="O5713" s="1">
        <v>2</v>
      </c>
      <c r="P5713" s="1">
        <v>6</v>
      </c>
      <c r="R5713" s="1" t="s">
        <v>19</v>
      </c>
      <c r="S5713" s="1" t="s">
        <v>20</v>
      </c>
      <c r="T5713" s="1" t="s">
        <v>21</v>
      </c>
      <c r="U5713" s="1" t="s">
        <v>22</v>
      </c>
      <c r="V5713" s="1" t="s">
        <v>24</v>
      </c>
      <c r="W5713" s="1" t="s">
        <v>24</v>
      </c>
      <c r="X5713" s="1">
        <v>1502</v>
      </c>
      <c r="Y5713" s="1">
        <v>2204</v>
      </c>
      <c r="Z5713" s="1">
        <v>2701</v>
      </c>
      <c r="AA5713" s="1">
        <v>3003</v>
      </c>
      <c r="AB5713" s="1" t="s">
        <v>24</v>
      </c>
      <c r="AC5713" s="1" t="s">
        <v>24</v>
      </c>
      <c r="AD5713" s="1" t="s">
        <v>24</v>
      </c>
      <c r="AE5713" s="1" t="s">
        <v>24</v>
      </c>
      <c r="AF5713" s="22"/>
    </row>
    <row r="5714" spans="1:32" x14ac:dyDescent="0.2">
      <c r="A5714" s="1">
        <v>55043</v>
      </c>
      <c r="B5714" s="1" t="s">
        <v>17024</v>
      </c>
      <c r="C5714" s="5" t="s">
        <v>0</v>
      </c>
      <c r="D5714" s="1" t="s">
        <v>17025</v>
      </c>
      <c r="E5714" s="1" t="s">
        <v>17026</v>
      </c>
      <c r="F5714" s="1" t="s">
        <v>1412</v>
      </c>
      <c r="G5714" s="1" t="s">
        <v>1413</v>
      </c>
      <c r="H5714" s="1" t="s">
        <v>30</v>
      </c>
      <c r="I5714" s="1" t="s">
        <v>16</v>
      </c>
      <c r="J5714" s="1">
        <v>0</v>
      </c>
      <c r="K5714" s="1">
        <v>0</v>
      </c>
      <c r="L5714" s="1" t="s">
        <v>31</v>
      </c>
      <c r="M5714" s="1" t="s">
        <v>18</v>
      </c>
      <c r="N5714" s="1" t="s">
        <v>18</v>
      </c>
      <c r="O5714" s="1">
        <v>3</v>
      </c>
      <c r="P5714" s="1">
        <v>7</v>
      </c>
      <c r="Q5714" s="7" t="s">
        <v>17633</v>
      </c>
      <c r="R5714" s="1" t="s">
        <v>19</v>
      </c>
      <c r="S5714" s="1" t="s">
        <v>63</v>
      </c>
      <c r="T5714" s="1" t="s">
        <v>21</v>
      </c>
      <c r="U5714" s="1" t="s">
        <v>22</v>
      </c>
      <c r="V5714" s="1" t="s">
        <v>24</v>
      </c>
      <c r="W5714" s="1" t="s">
        <v>24</v>
      </c>
      <c r="X5714" s="1">
        <v>2712</v>
      </c>
      <c r="Y5714" s="1">
        <v>1310</v>
      </c>
      <c r="Z5714" s="1" t="s">
        <v>24</v>
      </c>
      <c r="AA5714" s="1" t="s">
        <v>24</v>
      </c>
      <c r="AB5714" s="1" t="s">
        <v>24</v>
      </c>
      <c r="AC5714" s="1" t="s">
        <v>24</v>
      </c>
      <c r="AD5714" s="1" t="s">
        <v>24</v>
      </c>
      <c r="AE5714" s="1" t="s">
        <v>24</v>
      </c>
      <c r="AF5714" s="22"/>
    </row>
    <row r="5715" spans="1:32" x14ac:dyDescent="0.2">
      <c r="A5715" s="1">
        <v>55044</v>
      </c>
      <c r="B5715" s="1" t="s">
        <v>17027</v>
      </c>
      <c r="C5715" s="5" t="s">
        <v>0</v>
      </c>
      <c r="D5715" s="1" t="s">
        <v>17028</v>
      </c>
      <c r="E5715" s="1" t="s">
        <v>17029</v>
      </c>
      <c r="F5715" s="1" t="s">
        <v>17030</v>
      </c>
      <c r="G5715" s="1" t="s">
        <v>17030</v>
      </c>
      <c r="H5715" s="1" t="s">
        <v>2772</v>
      </c>
      <c r="I5715" s="1" t="s">
        <v>16</v>
      </c>
      <c r="J5715" s="1">
        <v>1</v>
      </c>
      <c r="K5715" s="1">
        <v>6</v>
      </c>
      <c r="L5715" s="1" t="s">
        <v>42</v>
      </c>
      <c r="M5715" s="1" t="s">
        <v>6208</v>
      </c>
      <c r="N5715" s="1" t="s">
        <v>2773</v>
      </c>
      <c r="O5715" s="1">
        <v>3</v>
      </c>
      <c r="P5715" s="1">
        <v>6</v>
      </c>
      <c r="R5715" s="1" t="s">
        <v>19</v>
      </c>
      <c r="S5715" s="1" t="s">
        <v>20</v>
      </c>
      <c r="T5715" s="1" t="s">
        <v>21</v>
      </c>
      <c r="U5715" s="1" t="s">
        <v>22</v>
      </c>
      <c r="V5715" s="1" t="s">
        <v>24</v>
      </c>
      <c r="W5715" s="1" t="s">
        <v>24</v>
      </c>
      <c r="X5715" s="1">
        <v>2715</v>
      </c>
      <c r="Y5715" s="1" t="s">
        <v>24</v>
      </c>
      <c r="Z5715" s="1" t="s">
        <v>24</v>
      </c>
      <c r="AA5715" s="1" t="s">
        <v>24</v>
      </c>
      <c r="AB5715" s="1" t="s">
        <v>24</v>
      </c>
      <c r="AC5715" s="1" t="s">
        <v>24</v>
      </c>
      <c r="AD5715" s="1" t="s">
        <v>24</v>
      </c>
      <c r="AE5715" s="1" t="s">
        <v>24</v>
      </c>
      <c r="AF5715" s="22"/>
    </row>
    <row r="5716" spans="1:32" x14ac:dyDescent="0.2">
      <c r="A5716" s="1">
        <v>55046</v>
      </c>
      <c r="B5716" s="1" t="s">
        <v>17031</v>
      </c>
      <c r="C5716" s="5" t="s">
        <v>0</v>
      </c>
      <c r="D5716" s="1" t="s">
        <v>17032</v>
      </c>
      <c r="E5716" s="1" t="s">
        <v>17033</v>
      </c>
      <c r="F5716" s="1" t="s">
        <v>1412</v>
      </c>
      <c r="G5716" s="1" t="s">
        <v>1413</v>
      </c>
      <c r="H5716" s="1" t="s">
        <v>30</v>
      </c>
      <c r="I5716" s="1" t="s">
        <v>16</v>
      </c>
      <c r="J5716" s="1">
        <v>1</v>
      </c>
      <c r="K5716" s="1">
        <v>1</v>
      </c>
      <c r="L5716" s="1" t="s">
        <v>31</v>
      </c>
      <c r="M5716" s="1" t="s">
        <v>18</v>
      </c>
      <c r="N5716" s="1" t="s">
        <v>18</v>
      </c>
      <c r="O5716" s="1">
        <v>3</v>
      </c>
      <c r="P5716" s="1">
        <v>7</v>
      </c>
      <c r="Q5716" s="7" t="s">
        <v>17633</v>
      </c>
      <c r="R5716" s="1" t="s">
        <v>19</v>
      </c>
      <c r="S5716" s="1" t="s">
        <v>63</v>
      </c>
      <c r="T5716" s="1" t="s">
        <v>21</v>
      </c>
      <c r="U5716" s="1" t="s">
        <v>22</v>
      </c>
      <c r="V5716" s="1" t="s">
        <v>24</v>
      </c>
      <c r="W5716" s="1" t="s">
        <v>24</v>
      </c>
      <c r="X5716" s="1">
        <v>1311</v>
      </c>
      <c r="Y5716" s="1">
        <v>1312</v>
      </c>
      <c r="Z5716" s="1">
        <v>1303</v>
      </c>
      <c r="AA5716" s="1">
        <v>3003</v>
      </c>
      <c r="AB5716" s="1" t="s">
        <v>24</v>
      </c>
      <c r="AC5716" s="1" t="s">
        <v>24</v>
      </c>
      <c r="AD5716" s="1" t="s">
        <v>24</v>
      </c>
      <c r="AE5716" s="1" t="s">
        <v>24</v>
      </c>
      <c r="AF5716" s="22"/>
    </row>
    <row r="5717" spans="1:32" x14ac:dyDescent="0.2">
      <c r="A5717" s="1">
        <v>55121</v>
      </c>
      <c r="B5717" s="1" t="s">
        <v>17034</v>
      </c>
      <c r="C5717" s="5" t="s">
        <v>0</v>
      </c>
      <c r="D5717" s="1" t="s">
        <v>17035</v>
      </c>
      <c r="F5717" s="1" t="s">
        <v>97</v>
      </c>
      <c r="G5717" s="1" t="s">
        <v>98</v>
      </c>
      <c r="H5717" s="1" t="s">
        <v>37</v>
      </c>
      <c r="I5717" s="1" t="s">
        <v>16</v>
      </c>
      <c r="J5717" s="1">
        <v>1</v>
      </c>
      <c r="K5717" s="1">
        <v>4</v>
      </c>
      <c r="L5717" s="1" t="s">
        <v>31</v>
      </c>
      <c r="M5717" s="1" t="s">
        <v>18</v>
      </c>
      <c r="N5717" s="1" t="s">
        <v>18</v>
      </c>
      <c r="O5717" s="1">
        <v>3</v>
      </c>
      <c r="P5717" s="1">
        <v>7</v>
      </c>
      <c r="Q5717" s="7" t="s">
        <v>17633</v>
      </c>
      <c r="R5717" s="1" t="s">
        <v>19</v>
      </c>
      <c r="S5717" s="1" t="s">
        <v>20</v>
      </c>
      <c r="T5717" s="1" t="s">
        <v>21</v>
      </c>
      <c r="U5717" s="1" t="s">
        <v>22</v>
      </c>
      <c r="V5717" s="1" t="s">
        <v>24</v>
      </c>
      <c r="W5717" s="1" t="s">
        <v>24</v>
      </c>
      <c r="X5717" s="1">
        <v>2204</v>
      </c>
      <c r="Y5717" s="1">
        <v>3003</v>
      </c>
      <c r="Z5717" s="1">
        <v>1600</v>
      </c>
      <c r="AA5717" s="1">
        <v>2208</v>
      </c>
      <c r="AB5717" s="1">
        <v>2500</v>
      </c>
      <c r="AC5717" s="1">
        <v>2701</v>
      </c>
      <c r="AD5717" s="1" t="s">
        <v>24</v>
      </c>
      <c r="AE5717" s="1" t="s">
        <v>24</v>
      </c>
      <c r="AF5717" s="22" t="s">
        <v>17679</v>
      </c>
    </row>
    <row r="5718" spans="1:32" x14ac:dyDescent="0.2">
      <c r="A5718" s="1">
        <v>55159</v>
      </c>
      <c r="B5718" s="5" t="s">
        <v>17036</v>
      </c>
      <c r="C5718" s="5" t="s">
        <v>0</v>
      </c>
      <c r="D5718" s="1" t="s">
        <v>17037</v>
      </c>
      <c r="E5718" s="1" t="s">
        <v>17038</v>
      </c>
      <c r="F5718" s="1" t="s">
        <v>555</v>
      </c>
      <c r="G5718" s="1" t="s">
        <v>36</v>
      </c>
      <c r="H5718" s="1" t="s">
        <v>37</v>
      </c>
      <c r="I5718" s="1" t="s">
        <v>16</v>
      </c>
      <c r="J5718" s="1">
        <v>1</v>
      </c>
      <c r="K5718" s="1">
        <v>6</v>
      </c>
      <c r="L5718" s="1" t="s">
        <v>31</v>
      </c>
      <c r="M5718" s="1" t="s">
        <v>18</v>
      </c>
      <c r="N5718" s="5" t="s">
        <v>18</v>
      </c>
      <c r="O5718" s="1">
        <v>3</v>
      </c>
      <c r="P5718" s="1">
        <v>7</v>
      </c>
      <c r="Q5718" s="7" t="s">
        <v>17633</v>
      </c>
      <c r="R5718" s="5" t="s">
        <v>19</v>
      </c>
      <c r="S5718" s="1" t="s">
        <v>20</v>
      </c>
      <c r="T5718" s="1" t="s">
        <v>21</v>
      </c>
      <c r="U5718" s="1" t="s">
        <v>22</v>
      </c>
      <c r="V5718" s="1" t="s">
        <v>24</v>
      </c>
      <c r="W5718" s="1" t="s">
        <v>24</v>
      </c>
      <c r="X5718" s="1">
        <v>1310</v>
      </c>
      <c r="Y5718" s="1">
        <v>2712</v>
      </c>
      <c r="Z5718" s="1">
        <v>2743</v>
      </c>
      <c r="AA5718" s="1">
        <v>2748</v>
      </c>
      <c r="AB5718" s="1" t="s">
        <v>24</v>
      </c>
      <c r="AC5718" s="1" t="s">
        <v>24</v>
      </c>
      <c r="AD5718" s="1" t="s">
        <v>24</v>
      </c>
      <c r="AE5718" s="1" t="s">
        <v>24</v>
      </c>
      <c r="AF5718" s="22"/>
    </row>
    <row r="5719" spans="1:32" x14ac:dyDescent="0.2">
      <c r="A5719" s="1">
        <v>55174</v>
      </c>
      <c r="B5719" s="1" t="s">
        <v>17039</v>
      </c>
      <c r="C5719" s="5" t="s">
        <v>0</v>
      </c>
      <c r="D5719" s="1" t="s">
        <v>17040</v>
      </c>
      <c r="F5719" s="1" t="s">
        <v>412</v>
      </c>
      <c r="G5719" s="1" t="s">
        <v>372</v>
      </c>
      <c r="H5719" s="1" t="s">
        <v>30</v>
      </c>
      <c r="I5719" s="1" t="s">
        <v>16</v>
      </c>
      <c r="J5719" s="1">
        <v>1</v>
      </c>
      <c r="K5719" s="1">
        <v>12</v>
      </c>
      <c r="L5719" s="1" t="s">
        <v>31</v>
      </c>
      <c r="M5719" s="1" t="s">
        <v>242</v>
      </c>
      <c r="N5719" s="1" t="s">
        <v>18</v>
      </c>
      <c r="O5719" s="1">
        <v>3</v>
      </c>
      <c r="P5719" s="1">
        <v>6</v>
      </c>
      <c r="R5719" s="1" t="s">
        <v>19</v>
      </c>
      <c r="S5719" s="1" t="s">
        <v>20</v>
      </c>
      <c r="T5719" s="1" t="s">
        <v>21</v>
      </c>
      <c r="U5719" s="1" t="s">
        <v>22</v>
      </c>
      <c r="V5719" s="1" t="s">
        <v>24</v>
      </c>
      <c r="W5719" s="1" t="s">
        <v>24</v>
      </c>
      <c r="X5719" s="1">
        <v>3002</v>
      </c>
      <c r="Y5719" s="1" t="s">
        <v>24</v>
      </c>
      <c r="Z5719" s="1" t="s">
        <v>24</v>
      </c>
      <c r="AA5719" s="1" t="s">
        <v>24</v>
      </c>
      <c r="AB5719" s="1" t="s">
        <v>24</v>
      </c>
      <c r="AC5719" s="1" t="s">
        <v>24</v>
      </c>
      <c r="AD5719" s="1" t="s">
        <v>24</v>
      </c>
      <c r="AE5719" s="1" t="s">
        <v>24</v>
      </c>
      <c r="AF5719" s="22" t="s">
        <v>17674</v>
      </c>
    </row>
    <row r="5720" spans="1:32" x14ac:dyDescent="0.2">
      <c r="A5720" s="1">
        <v>55185</v>
      </c>
      <c r="B5720" s="1" t="s">
        <v>17041</v>
      </c>
      <c r="C5720" s="5" t="s">
        <v>0</v>
      </c>
      <c r="D5720" s="1" t="s">
        <v>17042</v>
      </c>
      <c r="F5720" s="1" t="s">
        <v>15267</v>
      </c>
      <c r="G5720" s="1" t="s">
        <v>254</v>
      </c>
      <c r="H5720" s="1" t="s">
        <v>168</v>
      </c>
      <c r="I5720" s="1" t="s">
        <v>16</v>
      </c>
      <c r="J5720" s="1">
        <v>1</v>
      </c>
      <c r="K5720" s="1">
        <v>4</v>
      </c>
      <c r="L5720" s="1" t="s">
        <v>31</v>
      </c>
      <c r="M5720" s="1" t="s">
        <v>18</v>
      </c>
      <c r="N5720" s="1" t="s">
        <v>18</v>
      </c>
      <c r="O5720" s="1">
        <v>3</v>
      </c>
      <c r="P5720" s="1">
        <v>5</v>
      </c>
      <c r="R5720" s="1" t="s">
        <v>19</v>
      </c>
      <c r="S5720" s="1" t="s">
        <v>20</v>
      </c>
      <c r="T5720" s="1" t="s">
        <v>21</v>
      </c>
      <c r="U5720" s="1" t="s">
        <v>22</v>
      </c>
      <c r="V5720" s="1" t="s">
        <v>23</v>
      </c>
      <c r="W5720" s="1" t="s">
        <v>24</v>
      </c>
      <c r="X5720" s="1">
        <v>2708</v>
      </c>
      <c r="Y5720" s="1">
        <v>2746</v>
      </c>
      <c r="Z5720" s="1" t="s">
        <v>24</v>
      </c>
      <c r="AA5720" s="1" t="s">
        <v>24</v>
      </c>
      <c r="AB5720" s="1" t="s">
        <v>24</v>
      </c>
      <c r="AC5720" s="1" t="s">
        <v>24</v>
      </c>
      <c r="AD5720" s="1" t="s">
        <v>24</v>
      </c>
      <c r="AE5720" s="1" t="s">
        <v>24</v>
      </c>
      <c r="AF5720" s="22" t="s">
        <v>17680</v>
      </c>
    </row>
    <row r="5721" spans="1:32" x14ac:dyDescent="0.2">
      <c r="A5721" s="1">
        <v>55217</v>
      </c>
      <c r="B5721" s="1" t="s">
        <v>17043</v>
      </c>
      <c r="C5721" s="5" t="s">
        <v>0</v>
      </c>
      <c r="E5721" s="1" t="s">
        <v>17044</v>
      </c>
      <c r="F5721" s="1" t="s">
        <v>17045</v>
      </c>
      <c r="G5721" s="1" t="s">
        <v>17045</v>
      </c>
      <c r="H5721" s="1" t="s">
        <v>30</v>
      </c>
      <c r="I5721" s="1" t="s">
        <v>16</v>
      </c>
      <c r="J5721" s="1">
        <v>1</v>
      </c>
      <c r="K5721" s="1">
        <v>1</v>
      </c>
      <c r="L5721" s="1" t="s">
        <v>42</v>
      </c>
      <c r="M5721" s="1" t="s">
        <v>18</v>
      </c>
      <c r="N5721" s="1" t="s">
        <v>18</v>
      </c>
      <c r="O5721" s="1">
        <v>3</v>
      </c>
      <c r="P5721" s="1">
        <v>6</v>
      </c>
      <c r="R5721" s="1" t="s">
        <v>19</v>
      </c>
      <c r="S5721" s="1" t="s">
        <v>63</v>
      </c>
      <c r="T5721" s="1" t="s">
        <v>21</v>
      </c>
      <c r="U5721" s="1" t="s">
        <v>22</v>
      </c>
      <c r="V5721" s="1" t="s">
        <v>24</v>
      </c>
      <c r="W5721" s="1" t="s">
        <v>24</v>
      </c>
      <c r="X5721" s="1">
        <v>1100</v>
      </c>
      <c r="Y5721" s="1">
        <v>1300</v>
      </c>
      <c r="Z5721" s="1">
        <v>2700</v>
      </c>
      <c r="AA5721" s="1">
        <v>2800</v>
      </c>
      <c r="AB5721" s="1" t="s">
        <v>24</v>
      </c>
      <c r="AC5721" s="1" t="s">
        <v>24</v>
      </c>
      <c r="AD5721" s="1" t="s">
        <v>24</v>
      </c>
      <c r="AE5721" s="1" t="s">
        <v>24</v>
      </c>
      <c r="AF5721" s="22"/>
    </row>
    <row r="5722" spans="1:32" x14ac:dyDescent="0.2">
      <c r="A5722" s="1">
        <v>55261</v>
      </c>
      <c r="B5722" s="1" t="s">
        <v>17046</v>
      </c>
      <c r="C5722" s="5" t="s">
        <v>0</v>
      </c>
      <c r="D5722" s="1" t="s">
        <v>17047</v>
      </c>
      <c r="E5722" s="1" t="s">
        <v>17048</v>
      </c>
      <c r="F5722" s="1" t="s">
        <v>1412</v>
      </c>
      <c r="G5722" s="1" t="s">
        <v>1413</v>
      </c>
      <c r="H5722" s="1" t="s">
        <v>30</v>
      </c>
      <c r="I5722" s="1" t="s">
        <v>16</v>
      </c>
      <c r="J5722" s="1">
        <v>0</v>
      </c>
      <c r="K5722" s="1">
        <v>0</v>
      </c>
      <c r="L5722" s="1" t="s">
        <v>31</v>
      </c>
      <c r="M5722" s="1" t="s">
        <v>18</v>
      </c>
      <c r="N5722" s="1" t="s">
        <v>18</v>
      </c>
      <c r="O5722" s="1">
        <v>3</v>
      </c>
      <c r="P5722" s="1">
        <v>6</v>
      </c>
      <c r="R5722" s="1" t="s">
        <v>19</v>
      </c>
      <c r="S5722" s="1" t="s">
        <v>63</v>
      </c>
      <c r="T5722" s="1" t="s">
        <v>21</v>
      </c>
      <c r="U5722" s="1" t="s">
        <v>22</v>
      </c>
      <c r="V5722" s="1" t="s">
        <v>24</v>
      </c>
      <c r="W5722" s="1" t="s">
        <v>24</v>
      </c>
      <c r="X5722" s="1">
        <v>1607</v>
      </c>
      <c r="Y5722" s="1">
        <v>1602</v>
      </c>
      <c r="Z5722" s="1">
        <v>3107</v>
      </c>
      <c r="AA5722" s="1" t="s">
        <v>24</v>
      </c>
      <c r="AB5722" s="1" t="s">
        <v>24</v>
      </c>
      <c r="AC5722" s="1" t="s">
        <v>24</v>
      </c>
      <c r="AD5722" s="1" t="s">
        <v>24</v>
      </c>
      <c r="AE5722" s="1" t="s">
        <v>24</v>
      </c>
      <c r="AF5722" s="22"/>
    </row>
    <row r="5723" spans="1:32" x14ac:dyDescent="0.2">
      <c r="A5723" s="1">
        <v>55269</v>
      </c>
      <c r="B5723" s="1" t="s">
        <v>17049</v>
      </c>
      <c r="C5723" s="5" t="s">
        <v>0</v>
      </c>
      <c r="D5723" s="1" t="s">
        <v>17050</v>
      </c>
      <c r="E5723" s="1" t="s">
        <v>17051</v>
      </c>
      <c r="F5723" s="1" t="s">
        <v>17052</v>
      </c>
      <c r="G5723" s="1" t="s">
        <v>17052</v>
      </c>
      <c r="H5723" s="1" t="s">
        <v>2772</v>
      </c>
      <c r="I5723" s="1" t="s">
        <v>16</v>
      </c>
      <c r="J5723" s="1">
        <v>1</v>
      </c>
      <c r="K5723" s="1">
        <v>4</v>
      </c>
      <c r="L5723" s="1" t="s">
        <v>42</v>
      </c>
      <c r="M5723" s="1" t="s">
        <v>18</v>
      </c>
      <c r="N5723" s="1" t="s">
        <v>18</v>
      </c>
      <c r="O5723" s="1">
        <v>1</v>
      </c>
      <c r="P5723" s="1">
        <v>1</v>
      </c>
      <c r="R5723" s="1" t="s">
        <v>19</v>
      </c>
      <c r="S5723" s="1" t="s">
        <v>20</v>
      </c>
      <c r="T5723" s="1" t="s">
        <v>21</v>
      </c>
      <c r="U5723" s="1" t="s">
        <v>22</v>
      </c>
      <c r="V5723" s="1" t="s">
        <v>23</v>
      </c>
      <c r="W5723" s="1" t="s">
        <v>24</v>
      </c>
      <c r="X5723" s="1">
        <v>2720</v>
      </c>
      <c r="Y5723" s="1" t="s">
        <v>24</v>
      </c>
      <c r="Z5723" s="1" t="s">
        <v>24</v>
      </c>
      <c r="AA5723" s="1" t="s">
        <v>24</v>
      </c>
      <c r="AB5723" s="1" t="s">
        <v>24</v>
      </c>
      <c r="AC5723" s="1" t="s">
        <v>24</v>
      </c>
      <c r="AD5723" s="1" t="s">
        <v>24</v>
      </c>
      <c r="AE5723" s="1" t="s">
        <v>24</v>
      </c>
      <c r="AF5723" s="22"/>
    </row>
    <row r="5724" spans="1:32" x14ac:dyDescent="0.2">
      <c r="A5724" s="1">
        <v>55296</v>
      </c>
      <c r="B5724" s="1" t="s">
        <v>17053</v>
      </c>
      <c r="C5724" s="5" t="s">
        <v>0</v>
      </c>
      <c r="E5724" s="1" t="s">
        <v>17054</v>
      </c>
      <c r="F5724" s="1" t="s">
        <v>2167</v>
      </c>
      <c r="G5724" s="1" t="s">
        <v>2168</v>
      </c>
      <c r="H5724" s="1" t="s">
        <v>30</v>
      </c>
      <c r="I5724" s="1" t="s">
        <v>16</v>
      </c>
      <c r="J5724" s="1">
        <v>1</v>
      </c>
      <c r="K5724" s="1">
        <v>24</v>
      </c>
      <c r="L5724" s="1" t="s">
        <v>42</v>
      </c>
      <c r="M5724" s="1" t="s">
        <v>18</v>
      </c>
      <c r="N5724" s="1" t="s">
        <v>18</v>
      </c>
      <c r="O5724" s="1">
        <v>3</v>
      </c>
      <c r="P5724" s="1">
        <v>8</v>
      </c>
      <c r="Q5724" s="7" t="s">
        <v>17633</v>
      </c>
      <c r="R5724" s="1" t="s">
        <v>19</v>
      </c>
      <c r="S5724" s="1" t="s">
        <v>20</v>
      </c>
      <c r="T5724" s="1" t="s">
        <v>21</v>
      </c>
      <c r="U5724" s="1" t="s">
        <v>22</v>
      </c>
      <c r="V5724" s="1" t="s">
        <v>23</v>
      </c>
      <c r="W5724" s="1" t="s">
        <v>24</v>
      </c>
      <c r="X5724" s="1">
        <v>2732</v>
      </c>
      <c r="Y5724" s="1">
        <v>2746</v>
      </c>
      <c r="Z5724" s="1" t="s">
        <v>24</v>
      </c>
      <c r="AA5724" s="1" t="s">
        <v>24</v>
      </c>
      <c r="AB5724" s="1" t="s">
        <v>24</v>
      </c>
      <c r="AC5724" s="1" t="s">
        <v>24</v>
      </c>
      <c r="AD5724" s="1" t="s">
        <v>24</v>
      </c>
      <c r="AE5724" s="1" t="s">
        <v>24</v>
      </c>
      <c r="AF5724" s="22" t="s">
        <v>50548</v>
      </c>
    </row>
    <row r="5725" spans="1:32" x14ac:dyDescent="0.2">
      <c r="A5725" s="1">
        <v>55302</v>
      </c>
      <c r="B5725" s="1" t="s">
        <v>17055</v>
      </c>
      <c r="C5725" s="5" t="s">
        <v>0</v>
      </c>
      <c r="D5725" s="1" t="s">
        <v>17056</v>
      </c>
      <c r="E5725" s="1" t="s">
        <v>17057</v>
      </c>
      <c r="F5725" s="1" t="s">
        <v>97</v>
      </c>
      <c r="G5725" s="1" t="s">
        <v>98</v>
      </c>
      <c r="H5725" s="1" t="s">
        <v>30</v>
      </c>
      <c r="I5725" s="1" t="s">
        <v>16</v>
      </c>
      <c r="J5725" s="1">
        <v>1</v>
      </c>
      <c r="K5725" s="1">
        <v>6</v>
      </c>
      <c r="L5725" s="1" t="s">
        <v>31</v>
      </c>
      <c r="M5725" s="1" t="s">
        <v>18</v>
      </c>
      <c r="N5725" s="1" t="s">
        <v>18</v>
      </c>
      <c r="O5725" s="1">
        <v>3</v>
      </c>
      <c r="P5725" s="1">
        <v>7</v>
      </c>
      <c r="Q5725" s="7" t="s">
        <v>17633</v>
      </c>
      <c r="R5725" s="1" t="s">
        <v>19</v>
      </c>
      <c r="S5725" s="1" t="s">
        <v>20</v>
      </c>
      <c r="T5725" s="1" t="s">
        <v>21</v>
      </c>
      <c r="U5725" s="1" t="s">
        <v>22</v>
      </c>
      <c r="V5725" s="1" t="s">
        <v>23</v>
      </c>
      <c r="W5725" s="1" t="s">
        <v>24</v>
      </c>
      <c r="X5725" s="1">
        <v>2736</v>
      </c>
      <c r="Y5725" s="1">
        <v>2739</v>
      </c>
      <c r="Z5725" s="1">
        <v>3001</v>
      </c>
      <c r="AA5725" s="1" t="s">
        <v>24</v>
      </c>
      <c r="AB5725" s="1" t="s">
        <v>24</v>
      </c>
      <c r="AC5725" s="1" t="s">
        <v>24</v>
      </c>
      <c r="AD5725" s="1" t="s">
        <v>24</v>
      </c>
      <c r="AE5725" s="1" t="s">
        <v>24</v>
      </c>
      <c r="AF5725" s="22" t="s">
        <v>17670</v>
      </c>
    </row>
    <row r="5726" spans="1:32" x14ac:dyDescent="0.2">
      <c r="A5726" s="1">
        <v>55305</v>
      </c>
      <c r="B5726" s="1" t="s">
        <v>17058</v>
      </c>
      <c r="C5726" s="5" t="s">
        <v>0</v>
      </c>
      <c r="D5726" s="1" t="s">
        <v>17059</v>
      </c>
      <c r="E5726" s="1" t="s">
        <v>17060</v>
      </c>
      <c r="F5726" s="1" t="s">
        <v>493</v>
      </c>
      <c r="G5726" s="1" t="s">
        <v>98</v>
      </c>
      <c r="H5726" s="1" t="s">
        <v>30</v>
      </c>
      <c r="I5726" s="1" t="s">
        <v>16</v>
      </c>
      <c r="J5726" s="1">
        <v>1</v>
      </c>
      <c r="K5726" s="1">
        <v>6</v>
      </c>
      <c r="L5726" s="1" t="s">
        <v>31</v>
      </c>
      <c r="M5726" s="1" t="s">
        <v>18</v>
      </c>
      <c r="N5726" s="1" t="s">
        <v>18</v>
      </c>
      <c r="O5726" s="1">
        <v>3</v>
      </c>
      <c r="P5726" s="1">
        <v>7</v>
      </c>
      <c r="Q5726" s="7" t="s">
        <v>17633</v>
      </c>
      <c r="R5726" s="1" t="s">
        <v>19</v>
      </c>
      <c r="S5726" s="1" t="s">
        <v>20</v>
      </c>
      <c r="T5726" s="1" t="s">
        <v>21</v>
      </c>
      <c r="U5726" s="1" t="s">
        <v>22</v>
      </c>
      <c r="V5726" s="1" t="s">
        <v>23</v>
      </c>
      <c r="W5726" s="1" t="s">
        <v>24</v>
      </c>
      <c r="X5726" s="1">
        <v>2403</v>
      </c>
      <c r="Y5726" s="1">
        <v>2708</v>
      </c>
      <c r="Z5726" s="1">
        <v>2725</v>
      </c>
      <c r="AA5726" s="1" t="s">
        <v>24</v>
      </c>
      <c r="AB5726" s="1" t="s">
        <v>24</v>
      </c>
      <c r="AC5726" s="1" t="s">
        <v>24</v>
      </c>
      <c r="AD5726" s="1" t="s">
        <v>24</v>
      </c>
      <c r="AE5726" s="1" t="s">
        <v>24</v>
      </c>
      <c r="AF5726" s="22"/>
    </row>
    <row r="5727" spans="1:32" x14ac:dyDescent="0.2">
      <c r="A5727" s="1">
        <v>55334</v>
      </c>
      <c r="B5727" s="1" t="s">
        <v>17061</v>
      </c>
      <c r="C5727" s="5" t="s">
        <v>0</v>
      </c>
      <c r="D5727" s="1" t="s">
        <v>17062</v>
      </c>
      <c r="F5727" s="1" t="s">
        <v>2299</v>
      </c>
      <c r="G5727" s="1" t="s">
        <v>2300</v>
      </c>
      <c r="H5727" s="1" t="s">
        <v>37</v>
      </c>
      <c r="I5727" s="1" t="s">
        <v>16</v>
      </c>
      <c r="J5727" s="1">
        <v>1</v>
      </c>
      <c r="K5727" s="1">
        <v>1</v>
      </c>
      <c r="L5727" s="1" t="s">
        <v>31</v>
      </c>
      <c r="M5727" s="1" t="s">
        <v>18</v>
      </c>
      <c r="N5727" s="1" t="s">
        <v>18</v>
      </c>
      <c r="O5727" s="1">
        <v>3</v>
      </c>
      <c r="P5727" s="1">
        <v>6</v>
      </c>
      <c r="R5727" s="1" t="s">
        <v>19</v>
      </c>
      <c r="S5727" s="1" t="s">
        <v>63</v>
      </c>
      <c r="T5727" s="1" t="s">
        <v>21</v>
      </c>
      <c r="U5727" s="1" t="s">
        <v>22</v>
      </c>
      <c r="V5727" s="1" t="s">
        <v>24</v>
      </c>
      <c r="W5727" s="1" t="s">
        <v>24</v>
      </c>
      <c r="X5727" s="1">
        <v>2736</v>
      </c>
      <c r="Y5727" s="1">
        <v>3004</v>
      </c>
      <c r="Z5727" s="1" t="s">
        <v>24</v>
      </c>
      <c r="AA5727" s="1" t="s">
        <v>24</v>
      </c>
      <c r="AB5727" s="1" t="s">
        <v>24</v>
      </c>
      <c r="AC5727" s="1" t="s">
        <v>24</v>
      </c>
      <c r="AD5727" s="1" t="s">
        <v>24</v>
      </c>
      <c r="AE5727" s="1" t="s">
        <v>24</v>
      </c>
      <c r="AF5727" s="22" t="s">
        <v>17678</v>
      </c>
    </row>
    <row r="5728" spans="1:32" x14ac:dyDescent="0.2">
      <c r="A5728" s="1">
        <v>55411</v>
      </c>
      <c r="B5728" s="1" t="s">
        <v>17063</v>
      </c>
      <c r="C5728" s="5" t="s">
        <v>0</v>
      </c>
      <c r="D5728" s="1" t="s">
        <v>17064</v>
      </c>
      <c r="E5728" s="1" t="s">
        <v>17065</v>
      </c>
      <c r="F5728" s="1" t="s">
        <v>412</v>
      </c>
      <c r="G5728" s="1" t="s">
        <v>372</v>
      </c>
      <c r="H5728" s="1" t="s">
        <v>168</v>
      </c>
      <c r="I5728" s="1" t="s">
        <v>16</v>
      </c>
      <c r="J5728" s="1">
        <v>1</v>
      </c>
      <c r="K5728" s="1">
        <v>4</v>
      </c>
      <c r="L5728" s="1" t="s">
        <v>31</v>
      </c>
      <c r="M5728" s="1" t="s">
        <v>413</v>
      </c>
      <c r="N5728" s="1" t="s">
        <v>18</v>
      </c>
      <c r="O5728" s="1">
        <v>2</v>
      </c>
      <c r="P5728" s="1">
        <v>6</v>
      </c>
      <c r="R5728" s="1" t="s">
        <v>19</v>
      </c>
      <c r="S5728" s="1" t="s">
        <v>63</v>
      </c>
      <c r="T5728" s="1" t="s">
        <v>21</v>
      </c>
      <c r="U5728" s="1" t="s">
        <v>22</v>
      </c>
      <c r="V5728" s="1" t="s">
        <v>24</v>
      </c>
      <c r="W5728" s="1" t="s">
        <v>24</v>
      </c>
      <c r="X5728" s="1">
        <v>2728</v>
      </c>
      <c r="Y5728" s="1">
        <v>2746</v>
      </c>
      <c r="Z5728" s="1" t="s">
        <v>24</v>
      </c>
      <c r="AA5728" s="1" t="s">
        <v>24</v>
      </c>
      <c r="AB5728" s="1" t="s">
        <v>24</v>
      </c>
      <c r="AC5728" s="1" t="s">
        <v>24</v>
      </c>
      <c r="AD5728" s="1" t="s">
        <v>24</v>
      </c>
      <c r="AE5728" s="1" t="s">
        <v>24</v>
      </c>
      <c r="AF5728" s="22"/>
    </row>
    <row r="5729" spans="1:32" x14ac:dyDescent="0.2">
      <c r="A5729" s="1">
        <v>55412</v>
      </c>
      <c r="B5729" s="1" t="s">
        <v>17066</v>
      </c>
      <c r="C5729" s="5" t="s">
        <v>0</v>
      </c>
      <c r="D5729" s="1" t="s">
        <v>17067</v>
      </c>
      <c r="E5729" s="1" t="s">
        <v>17068</v>
      </c>
      <c r="F5729" s="1" t="s">
        <v>412</v>
      </c>
      <c r="G5729" s="1" t="s">
        <v>372</v>
      </c>
      <c r="H5729" s="1" t="s">
        <v>168</v>
      </c>
      <c r="I5729" s="1" t="s">
        <v>16</v>
      </c>
      <c r="J5729" s="1">
        <v>1</v>
      </c>
      <c r="K5729" s="1">
        <v>4</v>
      </c>
      <c r="L5729" s="1" t="s">
        <v>31</v>
      </c>
      <c r="M5729" s="1" t="s">
        <v>413</v>
      </c>
      <c r="N5729" s="1" t="s">
        <v>18</v>
      </c>
      <c r="O5729" s="1">
        <v>2</v>
      </c>
      <c r="P5729" s="1">
        <v>6</v>
      </c>
      <c r="R5729" s="1" t="s">
        <v>19</v>
      </c>
      <c r="S5729" s="1" t="s">
        <v>63</v>
      </c>
      <c r="T5729" s="1" t="s">
        <v>21</v>
      </c>
      <c r="U5729" s="1" t="s">
        <v>22</v>
      </c>
      <c r="V5729" s="1" t="s">
        <v>24</v>
      </c>
      <c r="W5729" s="1" t="s">
        <v>24</v>
      </c>
      <c r="X5729" s="1">
        <v>2728</v>
      </c>
      <c r="Y5729" s="1">
        <v>2746</v>
      </c>
      <c r="Z5729" s="1" t="s">
        <v>24</v>
      </c>
      <c r="AA5729" s="1" t="s">
        <v>24</v>
      </c>
      <c r="AB5729" s="1" t="s">
        <v>24</v>
      </c>
      <c r="AC5729" s="1" t="s">
        <v>24</v>
      </c>
      <c r="AD5729" s="1" t="s">
        <v>24</v>
      </c>
      <c r="AE5729" s="1" t="s">
        <v>24</v>
      </c>
      <c r="AF5729" s="22"/>
    </row>
    <row r="5730" spans="1:32" x14ac:dyDescent="0.2">
      <c r="A5730" s="1">
        <v>55413</v>
      </c>
      <c r="B5730" s="1" t="s">
        <v>17069</v>
      </c>
      <c r="C5730" s="5" t="s">
        <v>0</v>
      </c>
      <c r="D5730" s="1" t="s">
        <v>17070</v>
      </c>
      <c r="E5730" s="1" t="s">
        <v>17071</v>
      </c>
      <c r="F5730" s="1" t="s">
        <v>371</v>
      </c>
      <c r="G5730" s="1" t="s">
        <v>372</v>
      </c>
      <c r="H5730" s="1" t="s">
        <v>30</v>
      </c>
      <c r="I5730" s="1" t="s">
        <v>16</v>
      </c>
      <c r="J5730" s="1">
        <v>1</v>
      </c>
      <c r="K5730" s="1">
        <v>6</v>
      </c>
      <c r="L5730" s="1" t="s">
        <v>31</v>
      </c>
      <c r="M5730" s="1" t="s">
        <v>18</v>
      </c>
      <c r="N5730" s="1" t="s">
        <v>18</v>
      </c>
      <c r="O5730" s="1">
        <v>3</v>
      </c>
      <c r="P5730" s="1">
        <v>7</v>
      </c>
      <c r="Q5730" s="7" t="s">
        <v>17633</v>
      </c>
      <c r="R5730" s="1" t="s">
        <v>19</v>
      </c>
      <c r="S5730" s="1" t="s">
        <v>63</v>
      </c>
      <c r="T5730" s="1" t="s">
        <v>21</v>
      </c>
      <c r="U5730" s="1" t="s">
        <v>22</v>
      </c>
      <c r="V5730" s="1" t="s">
        <v>24</v>
      </c>
      <c r="W5730" s="1" t="s">
        <v>24</v>
      </c>
      <c r="X5730" s="1">
        <v>2728</v>
      </c>
      <c r="Y5730" s="1" t="s">
        <v>24</v>
      </c>
      <c r="Z5730" s="1" t="s">
        <v>24</v>
      </c>
      <c r="AA5730" s="1" t="s">
        <v>24</v>
      </c>
      <c r="AB5730" s="1" t="s">
        <v>24</v>
      </c>
      <c r="AC5730" s="1" t="s">
        <v>24</v>
      </c>
      <c r="AD5730" s="1" t="s">
        <v>24</v>
      </c>
      <c r="AE5730" s="1" t="s">
        <v>24</v>
      </c>
      <c r="AF5730" s="22"/>
    </row>
    <row r="5731" spans="1:32" x14ac:dyDescent="0.2">
      <c r="A5731" s="1">
        <v>55559</v>
      </c>
      <c r="B5731" s="1" t="s">
        <v>17072</v>
      </c>
      <c r="C5731" s="5" t="s">
        <v>0</v>
      </c>
      <c r="D5731" s="1" t="s">
        <v>17073</v>
      </c>
      <c r="E5731" s="1" t="s">
        <v>17074</v>
      </c>
      <c r="F5731" s="1" t="s">
        <v>1708</v>
      </c>
      <c r="G5731" s="1" t="s">
        <v>1708</v>
      </c>
      <c r="H5731" s="1" t="s">
        <v>684</v>
      </c>
      <c r="I5731" s="1" t="s">
        <v>16</v>
      </c>
      <c r="J5731" s="1">
        <v>1</v>
      </c>
      <c r="K5731" s="1">
        <v>4</v>
      </c>
      <c r="L5731" s="1" t="s">
        <v>17</v>
      </c>
      <c r="M5731" s="1" t="s">
        <v>1755</v>
      </c>
      <c r="N5731" s="1" t="s">
        <v>1755</v>
      </c>
      <c r="O5731" s="1">
        <v>2</v>
      </c>
      <c r="P5731" s="1">
        <v>6</v>
      </c>
      <c r="R5731" s="1" t="s">
        <v>19</v>
      </c>
      <c r="S5731" s="1" t="s">
        <v>20</v>
      </c>
      <c r="T5731" s="1" t="s">
        <v>21</v>
      </c>
      <c r="U5731" s="1" t="s">
        <v>22</v>
      </c>
      <c r="V5731" s="1" t="s">
        <v>24</v>
      </c>
      <c r="W5731" s="1" t="s">
        <v>24</v>
      </c>
      <c r="X5731" s="1">
        <v>2708</v>
      </c>
      <c r="Y5731" s="1">
        <v>2722</v>
      </c>
      <c r="Z5731" s="1">
        <v>2734</v>
      </c>
      <c r="AA5731" s="1">
        <v>2737</v>
      </c>
      <c r="AB5731" s="1" t="s">
        <v>24</v>
      </c>
      <c r="AC5731" s="1" t="s">
        <v>24</v>
      </c>
      <c r="AD5731" s="1" t="s">
        <v>24</v>
      </c>
      <c r="AE5731" s="1" t="s">
        <v>24</v>
      </c>
      <c r="AF5731" s="22"/>
    </row>
    <row r="5732" spans="1:32" x14ac:dyDescent="0.2">
      <c r="A5732" s="1">
        <v>55561</v>
      </c>
      <c r="B5732" s="1" t="s">
        <v>17075</v>
      </c>
      <c r="C5732" s="5" t="s">
        <v>0</v>
      </c>
      <c r="E5732" s="1" t="s">
        <v>17076</v>
      </c>
      <c r="F5732" s="1" t="s">
        <v>17077</v>
      </c>
      <c r="G5732" s="1" t="s">
        <v>17077</v>
      </c>
      <c r="H5732" s="1" t="s">
        <v>37</v>
      </c>
      <c r="I5732" s="1" t="s">
        <v>16</v>
      </c>
      <c r="J5732" s="1">
        <v>1</v>
      </c>
      <c r="K5732" s="1">
        <v>1</v>
      </c>
      <c r="L5732" s="1" t="s">
        <v>42</v>
      </c>
      <c r="M5732" s="1" t="s">
        <v>18</v>
      </c>
      <c r="N5732" s="1" t="s">
        <v>18</v>
      </c>
      <c r="O5732" s="1">
        <v>2</v>
      </c>
      <c r="P5732" s="1">
        <v>6</v>
      </c>
      <c r="R5732" s="1" t="s">
        <v>19</v>
      </c>
      <c r="S5732" s="1" t="s">
        <v>63</v>
      </c>
      <c r="T5732" s="1" t="s">
        <v>21</v>
      </c>
      <c r="U5732" s="1" t="s">
        <v>22</v>
      </c>
      <c r="V5732" s="1" t="s">
        <v>24</v>
      </c>
      <c r="W5732" s="1" t="s">
        <v>24</v>
      </c>
      <c r="X5732" s="1">
        <v>1300</v>
      </c>
      <c r="Y5732" s="1">
        <v>2400</v>
      </c>
      <c r="Z5732" s="1">
        <v>2700</v>
      </c>
      <c r="AA5732" s="1">
        <v>2800</v>
      </c>
      <c r="AB5732" s="1" t="s">
        <v>24</v>
      </c>
      <c r="AC5732" s="1" t="s">
        <v>24</v>
      </c>
      <c r="AD5732" s="1" t="s">
        <v>24</v>
      </c>
      <c r="AE5732" s="1" t="s">
        <v>24</v>
      </c>
      <c r="AF5732" s="22"/>
    </row>
    <row r="5733" spans="1:32" x14ac:dyDescent="0.2">
      <c r="A5733" s="1">
        <v>55671</v>
      </c>
      <c r="B5733" s="1" t="s">
        <v>17078</v>
      </c>
      <c r="C5733" s="5" t="s">
        <v>0</v>
      </c>
      <c r="E5733" s="1" t="s">
        <v>17079</v>
      </c>
      <c r="F5733" s="1" t="s">
        <v>1307</v>
      </c>
      <c r="G5733" s="1" t="s">
        <v>1307</v>
      </c>
      <c r="H5733" s="1" t="s">
        <v>30</v>
      </c>
      <c r="I5733" s="1" t="s">
        <v>16</v>
      </c>
      <c r="J5733" s="1">
        <v>1</v>
      </c>
      <c r="K5733" s="1">
        <v>12</v>
      </c>
      <c r="L5733" s="1" t="s">
        <v>42</v>
      </c>
      <c r="M5733" s="1" t="s">
        <v>18</v>
      </c>
      <c r="N5733" s="1" t="s">
        <v>18</v>
      </c>
      <c r="O5733" s="1">
        <v>1</v>
      </c>
      <c r="P5733" s="1">
        <v>1</v>
      </c>
      <c r="R5733" s="1" t="s">
        <v>19</v>
      </c>
      <c r="S5733" s="1" t="s">
        <v>20</v>
      </c>
      <c r="T5733" s="1" t="s">
        <v>21</v>
      </c>
      <c r="U5733" s="1" t="s">
        <v>22</v>
      </c>
      <c r="V5733" s="1" t="s">
        <v>24</v>
      </c>
      <c r="W5733" s="1" t="s">
        <v>24</v>
      </c>
      <c r="X5733" s="1">
        <v>2700</v>
      </c>
      <c r="Y5733" s="1">
        <v>1300</v>
      </c>
      <c r="Z5733" s="1" t="s">
        <v>24</v>
      </c>
      <c r="AA5733" s="1" t="s">
        <v>24</v>
      </c>
      <c r="AB5733" s="1" t="s">
        <v>24</v>
      </c>
      <c r="AC5733" s="1" t="s">
        <v>24</v>
      </c>
      <c r="AD5733" s="1" t="s">
        <v>24</v>
      </c>
      <c r="AE5733" s="1" t="s">
        <v>24</v>
      </c>
      <c r="AF5733" s="22"/>
    </row>
    <row r="5734" spans="1:32" x14ac:dyDescent="0.2">
      <c r="A5734" s="1">
        <v>55695</v>
      </c>
      <c r="B5734" s="1" t="s">
        <v>17080</v>
      </c>
      <c r="C5734" s="5" t="s">
        <v>0</v>
      </c>
      <c r="D5734" s="1" t="s">
        <v>17081</v>
      </c>
      <c r="E5734" s="1" t="s">
        <v>17082</v>
      </c>
      <c r="F5734" s="1" t="s">
        <v>17083</v>
      </c>
      <c r="G5734" s="1" t="s">
        <v>17083</v>
      </c>
      <c r="H5734" s="1" t="s">
        <v>30</v>
      </c>
      <c r="I5734" s="1" t="s">
        <v>16</v>
      </c>
      <c r="J5734" s="1">
        <v>1</v>
      </c>
      <c r="K5734" s="1">
        <v>5</v>
      </c>
      <c r="L5734" s="1" t="s">
        <v>42</v>
      </c>
      <c r="M5734" s="1" t="s">
        <v>18</v>
      </c>
      <c r="N5734" s="1" t="s">
        <v>18</v>
      </c>
      <c r="O5734" s="1">
        <v>3</v>
      </c>
      <c r="P5734" s="1">
        <v>6</v>
      </c>
      <c r="R5734" s="1" t="s">
        <v>19</v>
      </c>
      <c r="S5734" s="1" t="s">
        <v>20</v>
      </c>
      <c r="T5734" s="1" t="s">
        <v>21</v>
      </c>
      <c r="U5734" s="1" t="s">
        <v>22</v>
      </c>
      <c r="V5734" s="1" t="s">
        <v>24</v>
      </c>
      <c r="W5734" s="1" t="s">
        <v>24</v>
      </c>
      <c r="X5734" s="1">
        <v>2725</v>
      </c>
      <c r="Y5734" s="1">
        <v>2736</v>
      </c>
      <c r="Z5734" s="1">
        <v>3004</v>
      </c>
      <c r="AA5734" s="1">
        <v>2406</v>
      </c>
      <c r="AB5734" s="1" t="s">
        <v>24</v>
      </c>
      <c r="AC5734" s="1" t="s">
        <v>24</v>
      </c>
      <c r="AD5734" s="1" t="s">
        <v>24</v>
      </c>
      <c r="AE5734" s="1" t="s">
        <v>24</v>
      </c>
      <c r="AF5734" s="22"/>
    </row>
    <row r="5735" spans="1:32" x14ac:dyDescent="0.2">
      <c r="A5735" s="1">
        <v>55702</v>
      </c>
      <c r="B5735" s="1" t="s">
        <v>17084</v>
      </c>
      <c r="C5735" s="5" t="s">
        <v>0</v>
      </c>
      <c r="E5735" s="1" t="s">
        <v>17085</v>
      </c>
      <c r="F5735" s="1" t="s">
        <v>6468</v>
      </c>
      <c r="G5735" s="1" t="s">
        <v>6468</v>
      </c>
      <c r="H5735" s="1" t="s">
        <v>1384</v>
      </c>
      <c r="I5735" s="1" t="s">
        <v>16</v>
      </c>
      <c r="J5735" s="1">
        <v>1</v>
      </c>
      <c r="K5735" s="1">
        <v>3</v>
      </c>
      <c r="L5735" s="1" t="s">
        <v>42</v>
      </c>
      <c r="M5735" s="1" t="s">
        <v>9409</v>
      </c>
      <c r="N5735" s="1" t="s">
        <v>9409</v>
      </c>
      <c r="O5735" s="1">
        <v>3</v>
      </c>
      <c r="P5735" s="1">
        <v>6</v>
      </c>
      <c r="R5735" s="1" t="s">
        <v>19</v>
      </c>
      <c r="S5735" s="1" t="s">
        <v>20</v>
      </c>
      <c r="T5735" s="1" t="s">
        <v>21</v>
      </c>
      <c r="U5735" s="1" t="s">
        <v>22</v>
      </c>
      <c r="V5735" s="1" t="s">
        <v>24</v>
      </c>
      <c r="W5735" s="1" t="s">
        <v>24</v>
      </c>
      <c r="X5735" s="1">
        <v>3000</v>
      </c>
      <c r="Y5735" s="1">
        <v>2736</v>
      </c>
      <c r="Z5735" s="1" t="s">
        <v>24</v>
      </c>
      <c r="AA5735" s="1" t="s">
        <v>24</v>
      </c>
      <c r="AB5735" s="1" t="s">
        <v>24</v>
      </c>
      <c r="AC5735" s="1" t="s">
        <v>24</v>
      </c>
      <c r="AD5735" s="1" t="s">
        <v>24</v>
      </c>
      <c r="AE5735" s="1" t="s">
        <v>24</v>
      </c>
      <c r="AF5735" s="22"/>
    </row>
    <row r="5736" spans="1:32" x14ac:dyDescent="0.2">
      <c r="A5736" s="1">
        <v>55715</v>
      </c>
      <c r="B5736" s="1" t="s">
        <v>17086</v>
      </c>
      <c r="C5736" s="5" t="s">
        <v>0</v>
      </c>
      <c r="D5736" s="1" t="s">
        <v>17087</v>
      </c>
      <c r="E5736" s="1" t="s">
        <v>17088</v>
      </c>
      <c r="F5736" s="1" t="s">
        <v>17089</v>
      </c>
      <c r="G5736" s="1" t="s">
        <v>130</v>
      </c>
      <c r="H5736" s="1" t="s">
        <v>168</v>
      </c>
      <c r="I5736" s="1" t="s">
        <v>16</v>
      </c>
      <c r="J5736" s="1">
        <v>1</v>
      </c>
      <c r="K5736" s="1">
        <v>8</v>
      </c>
      <c r="L5736" s="1" t="s">
        <v>31</v>
      </c>
      <c r="M5736" s="1" t="s">
        <v>413</v>
      </c>
      <c r="N5736" s="1" t="s">
        <v>18</v>
      </c>
      <c r="O5736" s="1">
        <v>1</v>
      </c>
      <c r="P5736" s="1">
        <v>1</v>
      </c>
      <c r="R5736" s="1" t="s">
        <v>19</v>
      </c>
      <c r="S5736" s="1" t="s">
        <v>20</v>
      </c>
      <c r="T5736" s="1" t="s">
        <v>21</v>
      </c>
      <c r="U5736" s="1" t="s">
        <v>22</v>
      </c>
      <c r="V5736" s="1" t="s">
        <v>23</v>
      </c>
      <c r="W5736" s="1" t="s">
        <v>24</v>
      </c>
      <c r="X5736" s="1">
        <v>2706</v>
      </c>
      <c r="Y5736" s="1">
        <v>2711</v>
      </c>
      <c r="Z5736" s="1">
        <v>2907</v>
      </c>
      <c r="AA5736" s="1">
        <v>2724</v>
      </c>
      <c r="AB5736" s="1" t="s">
        <v>24</v>
      </c>
      <c r="AC5736" s="1" t="s">
        <v>24</v>
      </c>
      <c r="AD5736" s="1" t="s">
        <v>24</v>
      </c>
      <c r="AE5736" s="1" t="s">
        <v>24</v>
      </c>
      <c r="AF5736" s="22"/>
    </row>
    <row r="5737" spans="1:32" x14ac:dyDescent="0.2">
      <c r="A5737" s="1">
        <v>55720</v>
      </c>
      <c r="B5737" s="1" t="s">
        <v>17090</v>
      </c>
      <c r="C5737" s="5" t="s">
        <v>0</v>
      </c>
      <c r="D5737" s="1" t="s">
        <v>17091</v>
      </c>
      <c r="E5737" s="1" t="s">
        <v>17092</v>
      </c>
      <c r="F5737" s="1" t="s">
        <v>17093</v>
      </c>
      <c r="G5737" s="1" t="s">
        <v>61</v>
      </c>
      <c r="H5737" s="1" t="s">
        <v>2772</v>
      </c>
      <c r="I5737" s="1" t="s">
        <v>16</v>
      </c>
      <c r="J5737" s="1">
        <v>1</v>
      </c>
      <c r="K5737" s="1">
        <v>4</v>
      </c>
      <c r="L5737" s="1" t="s">
        <v>31</v>
      </c>
      <c r="M5737" s="1" t="s">
        <v>18</v>
      </c>
      <c r="N5737" s="1" t="s">
        <v>18</v>
      </c>
      <c r="O5737" s="1">
        <v>3</v>
      </c>
      <c r="P5737" s="1">
        <v>6</v>
      </c>
      <c r="R5737" s="1" t="s">
        <v>19</v>
      </c>
      <c r="S5737" s="1" t="s">
        <v>20</v>
      </c>
      <c r="T5737" s="1" t="s">
        <v>21</v>
      </c>
      <c r="U5737" s="1" t="s">
        <v>22</v>
      </c>
      <c r="V5737" s="1" t="s">
        <v>23</v>
      </c>
      <c r="W5737" s="1" t="s">
        <v>24</v>
      </c>
      <c r="X5737" s="1">
        <v>2739</v>
      </c>
      <c r="Y5737" s="1">
        <v>1504</v>
      </c>
      <c r="Z5737" s="1">
        <v>2213</v>
      </c>
      <c r="AA5737" s="1">
        <v>3311</v>
      </c>
      <c r="AB5737" s="1" t="s">
        <v>24</v>
      </c>
      <c r="AC5737" s="1" t="s">
        <v>24</v>
      </c>
      <c r="AD5737" s="1" t="s">
        <v>24</v>
      </c>
      <c r="AE5737" s="1" t="s">
        <v>24</v>
      </c>
      <c r="AF5737" s="22"/>
    </row>
    <row r="5738" spans="1:32" x14ac:dyDescent="0.2">
      <c r="A5738" s="1">
        <v>55725</v>
      </c>
      <c r="B5738" s="1" t="s">
        <v>17094</v>
      </c>
      <c r="C5738" s="5" t="s">
        <v>0</v>
      </c>
      <c r="D5738" s="1" t="s">
        <v>17095</v>
      </c>
      <c r="E5738" s="1" t="s">
        <v>17096</v>
      </c>
      <c r="F5738" s="1" t="s">
        <v>17097</v>
      </c>
      <c r="G5738" s="1" t="s">
        <v>17097</v>
      </c>
      <c r="H5738" s="1" t="s">
        <v>69</v>
      </c>
      <c r="I5738" s="1" t="s">
        <v>16</v>
      </c>
      <c r="J5738" s="1">
        <v>1</v>
      </c>
      <c r="K5738" s="1">
        <v>4</v>
      </c>
      <c r="L5738" s="1" t="s">
        <v>42</v>
      </c>
      <c r="M5738" s="1" t="s">
        <v>18</v>
      </c>
      <c r="N5738" s="1" t="s">
        <v>18</v>
      </c>
      <c r="O5738" s="1">
        <v>3</v>
      </c>
      <c r="P5738" s="1">
        <v>6</v>
      </c>
      <c r="R5738" s="1" t="s">
        <v>19</v>
      </c>
      <c r="S5738" s="1" t="s">
        <v>20</v>
      </c>
      <c r="T5738" s="1" t="s">
        <v>21</v>
      </c>
      <c r="U5738" s="1" t="s">
        <v>22</v>
      </c>
      <c r="V5738" s="1" t="s">
        <v>24</v>
      </c>
      <c r="W5738" s="1" t="s">
        <v>24</v>
      </c>
      <c r="X5738" s="1">
        <v>2802</v>
      </c>
      <c r="Y5738" s="1">
        <v>2801</v>
      </c>
      <c r="Z5738" s="1">
        <v>2701</v>
      </c>
      <c r="AA5738" s="1" t="s">
        <v>24</v>
      </c>
      <c r="AB5738" s="1" t="s">
        <v>24</v>
      </c>
      <c r="AC5738" s="1" t="s">
        <v>24</v>
      </c>
      <c r="AD5738" s="1" t="s">
        <v>24</v>
      </c>
      <c r="AE5738" s="1" t="s">
        <v>24</v>
      </c>
      <c r="AF5738" s="22"/>
    </row>
    <row r="5739" spans="1:32" x14ac:dyDescent="0.2">
      <c r="A5739" s="1">
        <v>55726</v>
      </c>
      <c r="B5739" s="1" t="s">
        <v>17098</v>
      </c>
      <c r="C5739" s="5" t="s">
        <v>0</v>
      </c>
      <c r="D5739" s="1" t="s">
        <v>17099</v>
      </c>
      <c r="F5739" s="1" t="s">
        <v>10043</v>
      </c>
      <c r="G5739" s="1" t="s">
        <v>10044</v>
      </c>
      <c r="H5739" s="1" t="s">
        <v>37</v>
      </c>
      <c r="I5739" s="1" t="s">
        <v>16</v>
      </c>
      <c r="J5739" s="1">
        <v>1</v>
      </c>
      <c r="K5739" s="1">
        <v>4</v>
      </c>
      <c r="L5739" s="1" t="s">
        <v>31</v>
      </c>
      <c r="M5739" s="1" t="s">
        <v>18</v>
      </c>
      <c r="N5739" s="1" t="s">
        <v>18</v>
      </c>
      <c r="O5739" s="1">
        <v>2</v>
      </c>
      <c r="P5739" s="1">
        <v>6</v>
      </c>
      <c r="R5739" s="1" t="s">
        <v>19</v>
      </c>
      <c r="S5739" s="1" t="s">
        <v>20</v>
      </c>
      <c r="T5739" s="1" t="s">
        <v>21</v>
      </c>
      <c r="U5739" s="1" t="s">
        <v>22</v>
      </c>
      <c r="V5739" s="1" t="s">
        <v>24</v>
      </c>
      <c r="W5739" s="1" t="s">
        <v>24</v>
      </c>
      <c r="X5739" s="1">
        <v>2734</v>
      </c>
      <c r="Y5739" s="1">
        <v>3202</v>
      </c>
      <c r="Z5739" s="1">
        <v>2738</v>
      </c>
      <c r="AA5739" s="1">
        <v>3308</v>
      </c>
      <c r="AB5739" s="1" t="s">
        <v>24</v>
      </c>
      <c r="AC5739" s="1" t="s">
        <v>24</v>
      </c>
      <c r="AD5739" s="1" t="s">
        <v>24</v>
      </c>
      <c r="AE5739" s="1" t="s">
        <v>24</v>
      </c>
      <c r="AF5739" s="22"/>
    </row>
    <row r="5740" spans="1:32" x14ac:dyDescent="0.2">
      <c r="A5740" s="19">
        <v>55802</v>
      </c>
      <c r="B5740" s="19" t="s">
        <v>50542</v>
      </c>
      <c r="C5740" s="18" t="s">
        <v>0</v>
      </c>
      <c r="D5740" s="19"/>
      <c r="E5740" s="19" t="s">
        <v>50541</v>
      </c>
      <c r="F5740" s="19" t="s">
        <v>11078</v>
      </c>
      <c r="G5740" s="19" t="s">
        <v>11079</v>
      </c>
      <c r="H5740" s="19" t="s">
        <v>3228</v>
      </c>
      <c r="I5740" s="19" t="s">
        <v>16</v>
      </c>
      <c r="J5740" s="19">
        <v>1</v>
      </c>
      <c r="K5740" s="19">
        <v>1</v>
      </c>
      <c r="L5740" s="19" t="s">
        <v>42</v>
      </c>
      <c r="M5740" s="19" t="s">
        <v>18</v>
      </c>
      <c r="N5740" s="19" t="s">
        <v>18</v>
      </c>
      <c r="O5740" s="19">
        <v>3</v>
      </c>
      <c r="P5740" s="19">
        <v>6</v>
      </c>
      <c r="Q5740" s="18"/>
      <c r="R5740" s="19" t="s">
        <v>19</v>
      </c>
      <c r="S5740" s="19" t="s">
        <v>63</v>
      </c>
      <c r="T5740" s="19" t="s">
        <v>21</v>
      </c>
      <c r="U5740" s="19" t="s">
        <v>22</v>
      </c>
      <c r="V5740" s="19"/>
      <c r="W5740" s="19"/>
      <c r="X5740" s="19">
        <v>2748</v>
      </c>
      <c r="Y5740" s="19"/>
      <c r="Z5740" s="19"/>
      <c r="AA5740" s="19"/>
      <c r="AB5740" s="19"/>
      <c r="AC5740" s="19"/>
      <c r="AD5740" s="19"/>
      <c r="AE5740" s="19"/>
      <c r="AF5740" s="22"/>
    </row>
    <row r="5741" spans="1:32" x14ac:dyDescent="0.2">
      <c r="A5741" s="1">
        <v>55873</v>
      </c>
      <c r="B5741" s="1" t="s">
        <v>17100</v>
      </c>
      <c r="C5741" s="5" t="s">
        <v>0</v>
      </c>
      <c r="D5741" s="1" t="s">
        <v>17101</v>
      </c>
      <c r="F5741" s="1" t="s">
        <v>155</v>
      </c>
      <c r="G5741" s="1" t="s">
        <v>61</v>
      </c>
      <c r="H5741" s="1" t="s">
        <v>37</v>
      </c>
      <c r="I5741" s="1" t="s">
        <v>16</v>
      </c>
      <c r="J5741" s="1">
        <v>1</v>
      </c>
      <c r="K5741" s="1">
        <v>1</v>
      </c>
      <c r="L5741" s="1" t="s">
        <v>31</v>
      </c>
      <c r="M5741" s="1" t="s">
        <v>18</v>
      </c>
      <c r="N5741" s="1" t="s">
        <v>18</v>
      </c>
      <c r="O5741" s="1">
        <v>2</v>
      </c>
      <c r="P5741" s="1">
        <v>7</v>
      </c>
      <c r="Q5741" s="7" t="s">
        <v>17633</v>
      </c>
      <c r="R5741" s="1" t="s">
        <v>19</v>
      </c>
      <c r="S5741" s="1" t="s">
        <v>63</v>
      </c>
      <c r="T5741" s="1" t="s">
        <v>21</v>
      </c>
      <c r="U5741" s="1" t="s">
        <v>22</v>
      </c>
      <c r="V5741" s="1" t="s">
        <v>24</v>
      </c>
      <c r="W5741" s="1" t="s">
        <v>24</v>
      </c>
      <c r="X5741" s="1">
        <v>1605</v>
      </c>
      <c r="Y5741" s="1">
        <v>1303</v>
      </c>
      <c r="Z5741" s="1">
        <v>1106</v>
      </c>
      <c r="AA5741" s="1" t="s">
        <v>24</v>
      </c>
      <c r="AB5741" s="1" t="s">
        <v>24</v>
      </c>
      <c r="AC5741" s="1" t="s">
        <v>24</v>
      </c>
      <c r="AD5741" s="1" t="s">
        <v>24</v>
      </c>
      <c r="AE5741" s="1" t="s">
        <v>24</v>
      </c>
      <c r="AF5741" s="22"/>
    </row>
    <row r="5742" spans="1:32" x14ac:dyDescent="0.2">
      <c r="A5742" s="1">
        <v>55874</v>
      </c>
      <c r="B5742" s="1" t="s">
        <v>17102</v>
      </c>
      <c r="C5742" s="5" t="s">
        <v>0</v>
      </c>
      <c r="D5742" s="1" t="s">
        <v>17103</v>
      </c>
      <c r="F5742" s="1" t="s">
        <v>17104</v>
      </c>
      <c r="G5742" s="1" t="s">
        <v>61</v>
      </c>
      <c r="H5742" s="1" t="s">
        <v>116</v>
      </c>
      <c r="I5742" s="1" t="s">
        <v>16</v>
      </c>
      <c r="J5742" s="1">
        <v>1</v>
      </c>
      <c r="K5742" s="1">
        <v>4</v>
      </c>
      <c r="L5742" s="1" t="s">
        <v>31</v>
      </c>
      <c r="M5742" s="1" t="s">
        <v>117</v>
      </c>
      <c r="N5742" s="1" t="s">
        <v>118</v>
      </c>
      <c r="O5742" s="1">
        <v>3</v>
      </c>
      <c r="P5742" s="1">
        <v>5</v>
      </c>
      <c r="R5742" s="1" t="s">
        <v>19</v>
      </c>
      <c r="S5742" s="1" t="s">
        <v>20</v>
      </c>
      <c r="T5742" s="1" t="s">
        <v>21</v>
      </c>
      <c r="V5742" s="1" t="s">
        <v>24</v>
      </c>
      <c r="W5742" s="1" t="s">
        <v>24</v>
      </c>
      <c r="X5742" s="1">
        <v>2705</v>
      </c>
      <c r="Y5742" s="1">
        <v>2746</v>
      </c>
      <c r="Z5742" s="1" t="s">
        <v>24</v>
      </c>
      <c r="AA5742" s="1" t="s">
        <v>24</v>
      </c>
      <c r="AB5742" s="1" t="s">
        <v>24</v>
      </c>
      <c r="AC5742" s="1" t="s">
        <v>24</v>
      </c>
      <c r="AD5742" s="1" t="s">
        <v>24</v>
      </c>
      <c r="AE5742" s="1" t="s">
        <v>24</v>
      </c>
      <c r="AF5742" s="22"/>
    </row>
    <row r="5743" spans="1:32" x14ac:dyDescent="0.2">
      <c r="A5743" s="1">
        <v>55876</v>
      </c>
      <c r="B5743" s="1" t="s">
        <v>17105</v>
      </c>
      <c r="C5743" s="5" t="s">
        <v>0</v>
      </c>
      <c r="D5743" s="1" t="s">
        <v>17106</v>
      </c>
      <c r="F5743" s="1" t="s">
        <v>91</v>
      </c>
      <c r="G5743" s="1" t="s">
        <v>61</v>
      </c>
      <c r="H5743" s="1" t="s">
        <v>92</v>
      </c>
      <c r="I5743" s="1" t="s">
        <v>16</v>
      </c>
      <c r="J5743" s="1">
        <v>1</v>
      </c>
      <c r="K5743" s="1">
        <v>1</v>
      </c>
      <c r="L5743" s="1" t="s">
        <v>31</v>
      </c>
      <c r="M5743" s="1" t="s">
        <v>18</v>
      </c>
      <c r="N5743" s="1" t="s">
        <v>18</v>
      </c>
      <c r="O5743" s="1">
        <v>2</v>
      </c>
      <c r="P5743" s="1">
        <v>7</v>
      </c>
      <c r="Q5743" s="7" t="s">
        <v>17633</v>
      </c>
      <c r="R5743" s="1" t="s">
        <v>19</v>
      </c>
      <c r="S5743" s="1" t="s">
        <v>63</v>
      </c>
      <c r="T5743" s="1" t="s">
        <v>21</v>
      </c>
      <c r="U5743" s="1" t="s">
        <v>22</v>
      </c>
      <c r="V5743" s="1" t="s">
        <v>24</v>
      </c>
      <c r="W5743" s="1" t="s">
        <v>24</v>
      </c>
      <c r="X5743" s="1">
        <v>1303</v>
      </c>
      <c r="Y5743" s="1" t="s">
        <v>24</v>
      </c>
      <c r="Z5743" s="1" t="s">
        <v>24</v>
      </c>
      <c r="AA5743" s="1" t="s">
        <v>24</v>
      </c>
      <c r="AB5743" s="1" t="s">
        <v>24</v>
      </c>
      <c r="AC5743" s="1" t="s">
        <v>24</v>
      </c>
      <c r="AD5743" s="1" t="s">
        <v>24</v>
      </c>
      <c r="AE5743" s="1" t="s">
        <v>24</v>
      </c>
      <c r="AF5743" s="22" t="s">
        <v>17678</v>
      </c>
    </row>
    <row r="5744" spans="1:32" x14ac:dyDescent="0.2">
      <c r="A5744" s="1">
        <v>55878</v>
      </c>
      <c r="B5744" s="1" t="s">
        <v>17107</v>
      </c>
      <c r="C5744" s="5" t="s">
        <v>0</v>
      </c>
      <c r="D5744" s="1" t="s">
        <v>17108</v>
      </c>
      <c r="F5744" s="1" t="s">
        <v>175</v>
      </c>
      <c r="G5744" s="1" t="s">
        <v>61</v>
      </c>
      <c r="H5744" s="1" t="s">
        <v>116</v>
      </c>
      <c r="I5744" s="1" t="s">
        <v>16</v>
      </c>
      <c r="J5744" s="1">
        <v>1</v>
      </c>
      <c r="K5744" s="1">
        <v>4</v>
      </c>
      <c r="L5744" s="1" t="s">
        <v>31</v>
      </c>
      <c r="M5744" s="1" t="s">
        <v>117</v>
      </c>
      <c r="N5744" s="1" t="s">
        <v>118</v>
      </c>
      <c r="O5744" s="1">
        <v>3</v>
      </c>
      <c r="P5744" s="1">
        <v>6</v>
      </c>
      <c r="R5744" s="1" t="s">
        <v>19</v>
      </c>
      <c r="S5744" s="1" t="s">
        <v>20</v>
      </c>
      <c r="T5744" s="1" t="s">
        <v>21</v>
      </c>
      <c r="V5744" s="1" t="s">
        <v>23</v>
      </c>
      <c r="W5744" s="1" t="s">
        <v>24</v>
      </c>
      <c r="X5744" s="1">
        <v>2725</v>
      </c>
      <c r="Y5744" s="1">
        <v>2726</v>
      </c>
      <c r="Z5744" s="1">
        <v>2736</v>
      </c>
      <c r="AA5744" s="1" t="s">
        <v>24</v>
      </c>
      <c r="AB5744" s="1" t="s">
        <v>24</v>
      </c>
      <c r="AC5744" s="1" t="s">
        <v>24</v>
      </c>
      <c r="AD5744" s="1" t="s">
        <v>24</v>
      </c>
      <c r="AE5744" s="1" t="s">
        <v>24</v>
      </c>
      <c r="AF5744" s="22"/>
    </row>
    <row r="5745" spans="1:32" x14ac:dyDescent="0.2">
      <c r="A5745" s="1">
        <v>55880</v>
      </c>
      <c r="B5745" s="1" t="s">
        <v>17109</v>
      </c>
      <c r="C5745" s="5" t="s">
        <v>0</v>
      </c>
      <c r="D5745" s="1" t="s">
        <v>17110</v>
      </c>
      <c r="F5745" s="1" t="s">
        <v>17111</v>
      </c>
      <c r="G5745" s="1" t="s">
        <v>61</v>
      </c>
      <c r="H5745" s="1" t="s">
        <v>7640</v>
      </c>
      <c r="I5745" s="1" t="s">
        <v>16</v>
      </c>
      <c r="J5745" s="1">
        <v>1</v>
      </c>
      <c r="K5745" s="1">
        <v>2</v>
      </c>
      <c r="L5745" s="1" t="s">
        <v>31</v>
      </c>
      <c r="M5745" s="1" t="s">
        <v>18</v>
      </c>
      <c r="N5745" s="1" t="s">
        <v>18</v>
      </c>
      <c r="O5745" s="1">
        <v>3</v>
      </c>
      <c r="P5745" s="1">
        <v>6</v>
      </c>
      <c r="R5745" s="1" t="s">
        <v>19</v>
      </c>
      <c r="S5745" s="1" t="s">
        <v>20</v>
      </c>
      <c r="T5745" s="1" t="s">
        <v>21</v>
      </c>
      <c r="V5745" s="1" t="s">
        <v>24</v>
      </c>
      <c r="W5745" s="1" t="s">
        <v>24</v>
      </c>
      <c r="X5745" s="1">
        <v>3400</v>
      </c>
      <c r="Y5745" s="1" t="s">
        <v>24</v>
      </c>
      <c r="Z5745" s="1" t="s">
        <v>24</v>
      </c>
      <c r="AA5745" s="1" t="s">
        <v>24</v>
      </c>
      <c r="AB5745" s="1" t="s">
        <v>24</v>
      </c>
      <c r="AC5745" s="1" t="s">
        <v>24</v>
      </c>
      <c r="AD5745" s="1" t="s">
        <v>24</v>
      </c>
      <c r="AE5745" s="1" t="s">
        <v>24</v>
      </c>
      <c r="AF5745" s="22"/>
    </row>
    <row r="5746" spans="1:32" x14ac:dyDescent="0.2">
      <c r="A5746" s="1">
        <v>55882</v>
      </c>
      <c r="B5746" s="1" t="s">
        <v>17112</v>
      </c>
      <c r="C5746" s="5" t="s">
        <v>0</v>
      </c>
      <c r="D5746" s="1" t="s">
        <v>17113</v>
      </c>
      <c r="F5746" s="1" t="s">
        <v>85</v>
      </c>
      <c r="G5746" s="1" t="s">
        <v>61</v>
      </c>
      <c r="H5746" s="1" t="s">
        <v>86</v>
      </c>
      <c r="I5746" s="1" t="s">
        <v>16</v>
      </c>
      <c r="J5746" s="1">
        <v>1</v>
      </c>
      <c r="K5746" s="1">
        <v>1</v>
      </c>
      <c r="L5746" s="1" t="s">
        <v>31</v>
      </c>
      <c r="M5746" s="1" t="s">
        <v>87</v>
      </c>
      <c r="N5746" s="1" t="s">
        <v>199</v>
      </c>
      <c r="O5746" s="1">
        <v>0</v>
      </c>
      <c r="P5746" s="1">
        <v>6</v>
      </c>
      <c r="R5746" s="1" t="s">
        <v>19</v>
      </c>
      <c r="S5746" s="1" t="s">
        <v>63</v>
      </c>
      <c r="T5746" s="1" t="s">
        <v>21</v>
      </c>
      <c r="V5746" s="1" t="s">
        <v>24</v>
      </c>
      <c r="W5746" s="1" t="s">
        <v>24</v>
      </c>
      <c r="X5746" s="1">
        <v>2700</v>
      </c>
      <c r="Y5746" s="1" t="s">
        <v>24</v>
      </c>
      <c r="Z5746" s="1" t="s">
        <v>24</v>
      </c>
      <c r="AA5746" s="1" t="s">
        <v>24</v>
      </c>
      <c r="AB5746" s="1" t="s">
        <v>24</v>
      </c>
      <c r="AC5746" s="1" t="s">
        <v>24</v>
      </c>
      <c r="AD5746" s="1" t="s">
        <v>24</v>
      </c>
      <c r="AE5746" s="1" t="s">
        <v>24</v>
      </c>
      <c r="AF5746" s="22"/>
    </row>
    <row r="5747" spans="1:32" x14ac:dyDescent="0.2">
      <c r="A5747" s="1">
        <v>55883</v>
      </c>
      <c r="B5747" s="1" t="s">
        <v>17114</v>
      </c>
      <c r="C5747" s="5" t="s">
        <v>0</v>
      </c>
      <c r="D5747" s="1" t="s">
        <v>17115</v>
      </c>
      <c r="F5747" s="1" t="s">
        <v>2776</v>
      </c>
      <c r="G5747" s="1" t="s">
        <v>61</v>
      </c>
      <c r="H5747" s="1" t="s">
        <v>46</v>
      </c>
      <c r="I5747" s="1" t="s">
        <v>16</v>
      </c>
      <c r="J5747" s="1">
        <v>1</v>
      </c>
      <c r="K5747" s="1">
        <v>6</v>
      </c>
      <c r="L5747" s="1" t="s">
        <v>31</v>
      </c>
      <c r="M5747" s="1" t="s">
        <v>18</v>
      </c>
      <c r="N5747" s="1" t="s">
        <v>18</v>
      </c>
      <c r="O5747" s="1">
        <v>3</v>
      </c>
      <c r="P5747" s="1">
        <v>7</v>
      </c>
      <c r="Q5747" s="7" t="s">
        <v>17633</v>
      </c>
      <c r="R5747" s="1" t="s">
        <v>19</v>
      </c>
      <c r="S5747" s="1" t="s">
        <v>20</v>
      </c>
      <c r="T5747" s="1" t="s">
        <v>21</v>
      </c>
      <c r="V5747" s="1" t="s">
        <v>24</v>
      </c>
      <c r="W5747" s="1" t="s">
        <v>24</v>
      </c>
      <c r="X5747" s="1">
        <v>2700</v>
      </c>
      <c r="Y5747" s="1" t="s">
        <v>24</v>
      </c>
      <c r="Z5747" s="1" t="s">
        <v>24</v>
      </c>
      <c r="AA5747" s="1" t="s">
        <v>24</v>
      </c>
      <c r="AB5747" s="1" t="s">
        <v>24</v>
      </c>
      <c r="AC5747" s="1" t="s">
        <v>24</v>
      </c>
      <c r="AD5747" s="1" t="s">
        <v>24</v>
      </c>
      <c r="AE5747" s="1" t="s">
        <v>24</v>
      </c>
      <c r="AF5747" s="22"/>
    </row>
    <row r="5748" spans="1:32" x14ac:dyDescent="0.2">
      <c r="A5748" s="1">
        <v>55888</v>
      </c>
      <c r="B5748" s="1" t="s">
        <v>17116</v>
      </c>
      <c r="C5748" s="5" t="s">
        <v>0</v>
      </c>
      <c r="D5748" s="1" t="s">
        <v>17117</v>
      </c>
      <c r="E5748" s="1" t="s">
        <v>17118</v>
      </c>
      <c r="F5748" s="1" t="s">
        <v>155</v>
      </c>
      <c r="G5748" s="1" t="s">
        <v>61</v>
      </c>
      <c r="H5748" s="1" t="s">
        <v>37</v>
      </c>
      <c r="I5748" s="1" t="s">
        <v>16</v>
      </c>
      <c r="J5748" s="1">
        <v>1</v>
      </c>
      <c r="K5748" s="1">
        <v>4</v>
      </c>
      <c r="L5748" s="1" t="s">
        <v>31</v>
      </c>
      <c r="M5748" s="1" t="s">
        <v>18</v>
      </c>
      <c r="N5748" s="1" t="s">
        <v>18</v>
      </c>
      <c r="O5748" s="1">
        <v>3</v>
      </c>
      <c r="P5748" s="1">
        <v>7</v>
      </c>
      <c r="Q5748" s="7" t="s">
        <v>17633</v>
      </c>
      <c r="R5748" s="1" t="s">
        <v>19</v>
      </c>
      <c r="S5748" s="1" t="s">
        <v>20</v>
      </c>
      <c r="T5748" s="1" t="s">
        <v>21</v>
      </c>
      <c r="U5748" s="1" t="s">
        <v>22</v>
      </c>
      <c r="V5748" s="1" t="s">
        <v>23</v>
      </c>
      <c r="W5748" s="1" t="s">
        <v>24</v>
      </c>
      <c r="X5748" s="1">
        <v>2403</v>
      </c>
      <c r="Y5748" s="1">
        <v>2404</v>
      </c>
      <c r="Z5748" s="1">
        <v>2723</v>
      </c>
      <c r="AA5748" s="1">
        <v>2726</v>
      </c>
      <c r="AB5748" s="1" t="s">
        <v>24</v>
      </c>
      <c r="AC5748" s="1" t="s">
        <v>24</v>
      </c>
      <c r="AD5748" s="1" t="s">
        <v>24</v>
      </c>
      <c r="AE5748" s="1" t="s">
        <v>24</v>
      </c>
      <c r="AF5748" s="22"/>
    </row>
    <row r="5749" spans="1:32" x14ac:dyDescent="0.2">
      <c r="A5749" s="1">
        <v>55891</v>
      </c>
      <c r="B5749" s="1" t="s">
        <v>17119</v>
      </c>
      <c r="C5749" s="5" t="s">
        <v>0</v>
      </c>
      <c r="E5749" s="1" t="s">
        <v>17120</v>
      </c>
      <c r="F5749" s="1" t="s">
        <v>272</v>
      </c>
      <c r="G5749" s="1" t="s">
        <v>61</v>
      </c>
      <c r="H5749" s="1" t="s">
        <v>30</v>
      </c>
      <c r="I5749" s="1" t="s">
        <v>16</v>
      </c>
      <c r="J5749" s="1">
        <v>1</v>
      </c>
      <c r="K5749" s="1">
        <v>1</v>
      </c>
      <c r="L5749" s="1" t="s">
        <v>31</v>
      </c>
      <c r="M5749" s="1" t="s">
        <v>18</v>
      </c>
      <c r="N5749" s="1" t="s">
        <v>18</v>
      </c>
      <c r="O5749" s="1">
        <v>2</v>
      </c>
      <c r="P5749" s="1">
        <v>7</v>
      </c>
      <c r="Q5749" s="7" t="s">
        <v>17633</v>
      </c>
      <c r="R5749" s="1" t="s">
        <v>19</v>
      </c>
      <c r="S5749" s="1" t="s">
        <v>63</v>
      </c>
      <c r="T5749" s="1" t="s">
        <v>21</v>
      </c>
      <c r="U5749" s="1" t="s">
        <v>22</v>
      </c>
      <c r="V5749" s="1" t="s">
        <v>23</v>
      </c>
      <c r="W5749" s="1" t="s">
        <v>24</v>
      </c>
      <c r="X5749" s="1">
        <v>2735</v>
      </c>
      <c r="Y5749" s="1">
        <v>2746</v>
      </c>
      <c r="Z5749" s="1" t="s">
        <v>24</v>
      </c>
      <c r="AA5749" s="1" t="s">
        <v>24</v>
      </c>
      <c r="AB5749" s="1" t="s">
        <v>24</v>
      </c>
      <c r="AC5749" s="1" t="s">
        <v>24</v>
      </c>
      <c r="AD5749" s="1" t="s">
        <v>24</v>
      </c>
      <c r="AE5749" s="1" t="s">
        <v>24</v>
      </c>
      <c r="AF5749" s="22"/>
    </row>
    <row r="5750" spans="1:32" x14ac:dyDescent="0.2">
      <c r="A5750" s="1">
        <v>55892</v>
      </c>
      <c r="B5750" s="1" t="s">
        <v>17121</v>
      </c>
      <c r="C5750" s="5" t="s">
        <v>0</v>
      </c>
      <c r="D5750" s="1" t="s">
        <v>17122</v>
      </c>
      <c r="F5750" s="1" t="s">
        <v>155</v>
      </c>
      <c r="G5750" s="1" t="s">
        <v>61</v>
      </c>
      <c r="H5750" s="1" t="s">
        <v>37</v>
      </c>
      <c r="I5750" s="1" t="s">
        <v>16</v>
      </c>
      <c r="J5750" s="1">
        <v>1</v>
      </c>
      <c r="K5750" s="1">
        <v>3</v>
      </c>
      <c r="L5750" s="1" t="s">
        <v>31</v>
      </c>
      <c r="M5750" s="1" t="s">
        <v>18</v>
      </c>
      <c r="N5750" s="1" t="s">
        <v>18</v>
      </c>
      <c r="O5750" s="1">
        <v>3</v>
      </c>
      <c r="P5750" s="1">
        <v>7</v>
      </c>
      <c r="Q5750" s="7" t="s">
        <v>17633</v>
      </c>
      <c r="R5750" s="1" t="s">
        <v>19</v>
      </c>
      <c r="S5750" s="1" t="s">
        <v>20</v>
      </c>
      <c r="T5750" s="1" t="s">
        <v>21</v>
      </c>
      <c r="V5750" s="1" t="s">
        <v>24</v>
      </c>
      <c r="W5750" s="1" t="s">
        <v>24</v>
      </c>
      <c r="X5750" s="1">
        <v>2735</v>
      </c>
      <c r="Y5750" s="1">
        <v>3501</v>
      </c>
      <c r="Z5750" s="1" t="s">
        <v>24</v>
      </c>
      <c r="AA5750" s="1" t="s">
        <v>24</v>
      </c>
      <c r="AB5750" s="1" t="s">
        <v>24</v>
      </c>
      <c r="AC5750" s="1" t="s">
        <v>24</v>
      </c>
      <c r="AD5750" s="1" t="s">
        <v>24</v>
      </c>
      <c r="AE5750" s="1" t="s">
        <v>24</v>
      </c>
      <c r="AF5750" s="22"/>
    </row>
    <row r="5751" spans="1:32" x14ac:dyDescent="0.2">
      <c r="A5751" s="1">
        <v>55893</v>
      </c>
      <c r="B5751" s="1" t="s">
        <v>17123</v>
      </c>
      <c r="C5751" s="5" t="s">
        <v>0</v>
      </c>
      <c r="E5751" s="1" t="s">
        <v>17124</v>
      </c>
      <c r="F5751" s="1" t="s">
        <v>175</v>
      </c>
      <c r="G5751" s="1" t="s">
        <v>61</v>
      </c>
      <c r="H5751" s="1" t="s">
        <v>116</v>
      </c>
      <c r="I5751" s="1" t="s">
        <v>16</v>
      </c>
      <c r="J5751" s="1">
        <v>1</v>
      </c>
      <c r="K5751" s="1">
        <v>2</v>
      </c>
      <c r="L5751" s="1" t="s">
        <v>31</v>
      </c>
      <c r="M5751" s="1" t="s">
        <v>117</v>
      </c>
      <c r="N5751" s="1" t="s">
        <v>118</v>
      </c>
      <c r="O5751" s="1">
        <v>3</v>
      </c>
      <c r="P5751" s="1">
        <v>6</v>
      </c>
      <c r="R5751" s="1" t="s">
        <v>19</v>
      </c>
      <c r="S5751" s="1" t="s">
        <v>20</v>
      </c>
      <c r="T5751" s="1" t="s">
        <v>21</v>
      </c>
      <c r="V5751" s="1" t="s">
        <v>24</v>
      </c>
      <c r="W5751" s="1" t="s">
        <v>24</v>
      </c>
      <c r="X5751" s="1">
        <v>2715</v>
      </c>
      <c r="Y5751" s="1">
        <v>2746</v>
      </c>
      <c r="Z5751" s="1" t="s">
        <v>24</v>
      </c>
      <c r="AA5751" s="1" t="s">
        <v>24</v>
      </c>
      <c r="AB5751" s="1" t="s">
        <v>24</v>
      </c>
      <c r="AC5751" s="1" t="s">
        <v>24</v>
      </c>
      <c r="AD5751" s="1" t="s">
        <v>24</v>
      </c>
      <c r="AE5751" s="1" t="s">
        <v>24</v>
      </c>
      <c r="AF5751" s="22"/>
    </row>
    <row r="5752" spans="1:32" x14ac:dyDescent="0.2">
      <c r="A5752" s="1">
        <v>55894</v>
      </c>
      <c r="B5752" s="1" t="s">
        <v>17125</v>
      </c>
      <c r="C5752" s="5" t="s">
        <v>0</v>
      </c>
      <c r="D5752" s="1" t="s">
        <v>17126</v>
      </c>
      <c r="F5752" s="1" t="s">
        <v>175</v>
      </c>
      <c r="G5752" s="1" t="s">
        <v>61</v>
      </c>
      <c r="H5752" s="1" t="s">
        <v>116</v>
      </c>
      <c r="I5752" s="1" t="s">
        <v>16</v>
      </c>
      <c r="J5752" s="1">
        <v>1</v>
      </c>
      <c r="K5752" s="1">
        <v>2</v>
      </c>
      <c r="L5752" s="1" t="s">
        <v>31</v>
      </c>
      <c r="M5752" s="1" t="s">
        <v>70</v>
      </c>
      <c r="N5752" s="1" t="s">
        <v>75</v>
      </c>
      <c r="O5752" s="1">
        <v>3</v>
      </c>
      <c r="P5752" s="1">
        <v>6</v>
      </c>
      <c r="R5752" s="1" t="s">
        <v>19</v>
      </c>
      <c r="S5752" s="1" t="s">
        <v>20</v>
      </c>
      <c r="T5752" s="1" t="s">
        <v>21</v>
      </c>
      <c r="V5752" s="1" t="s">
        <v>24</v>
      </c>
      <c r="W5752" s="1" t="s">
        <v>24</v>
      </c>
      <c r="X5752" s="1">
        <v>2712</v>
      </c>
      <c r="Y5752" s="1" t="s">
        <v>24</v>
      </c>
      <c r="Z5752" s="1" t="s">
        <v>24</v>
      </c>
      <c r="AA5752" s="1" t="s">
        <v>24</v>
      </c>
      <c r="AB5752" s="1" t="s">
        <v>24</v>
      </c>
      <c r="AC5752" s="1" t="s">
        <v>24</v>
      </c>
      <c r="AD5752" s="1" t="s">
        <v>24</v>
      </c>
      <c r="AE5752" s="1" t="s">
        <v>24</v>
      </c>
      <c r="AF5752" s="22"/>
    </row>
    <row r="5753" spans="1:32" x14ac:dyDescent="0.2">
      <c r="A5753" s="1">
        <v>55895</v>
      </c>
      <c r="B5753" s="1" t="s">
        <v>17127</v>
      </c>
      <c r="C5753" s="5" t="s">
        <v>0</v>
      </c>
      <c r="D5753" s="1" t="s">
        <v>17128</v>
      </c>
      <c r="F5753" s="1" t="s">
        <v>272</v>
      </c>
      <c r="G5753" s="1" t="s">
        <v>61</v>
      </c>
      <c r="H5753" s="1" t="s">
        <v>30</v>
      </c>
      <c r="I5753" s="1" t="s">
        <v>16</v>
      </c>
      <c r="J5753" s="1">
        <v>1</v>
      </c>
      <c r="K5753" s="1">
        <v>6</v>
      </c>
      <c r="L5753" s="1" t="s">
        <v>31</v>
      </c>
      <c r="M5753" s="1" t="s">
        <v>18</v>
      </c>
      <c r="N5753" s="1" t="s">
        <v>18</v>
      </c>
      <c r="O5753" s="1">
        <v>3</v>
      </c>
      <c r="P5753" s="5">
        <v>7</v>
      </c>
      <c r="Q5753" s="8" t="s">
        <v>17633</v>
      </c>
      <c r="R5753" s="1" t="s">
        <v>19</v>
      </c>
      <c r="S5753" s="1" t="s">
        <v>20</v>
      </c>
      <c r="T5753" s="1" t="s">
        <v>21</v>
      </c>
      <c r="U5753" s="1" t="s">
        <v>22</v>
      </c>
      <c r="V5753" s="1" t="s">
        <v>23</v>
      </c>
      <c r="W5753" s="1" t="s">
        <v>24</v>
      </c>
      <c r="X5753" s="1">
        <v>2732</v>
      </c>
      <c r="Y5753" s="1" t="s">
        <v>24</v>
      </c>
      <c r="Z5753" s="1" t="s">
        <v>24</v>
      </c>
      <c r="AA5753" s="1" t="s">
        <v>24</v>
      </c>
      <c r="AB5753" s="1" t="s">
        <v>24</v>
      </c>
      <c r="AC5753" s="1" t="s">
        <v>24</v>
      </c>
      <c r="AD5753" s="1" t="s">
        <v>24</v>
      </c>
      <c r="AE5753" s="1" t="s">
        <v>24</v>
      </c>
      <c r="AF5753" s="22" t="s">
        <v>17675</v>
      </c>
    </row>
    <row r="5754" spans="1:32" x14ac:dyDescent="0.2">
      <c r="A5754" s="1">
        <v>55896</v>
      </c>
      <c r="B5754" s="1" t="s">
        <v>17129</v>
      </c>
      <c r="C5754" s="5" t="s">
        <v>0</v>
      </c>
      <c r="D5754" s="1" t="s">
        <v>17130</v>
      </c>
      <c r="F5754" s="1" t="s">
        <v>91</v>
      </c>
      <c r="G5754" s="1" t="s">
        <v>61</v>
      </c>
      <c r="H5754" s="1" t="s">
        <v>92</v>
      </c>
      <c r="I5754" s="1" t="s">
        <v>16</v>
      </c>
      <c r="J5754" s="1">
        <v>0</v>
      </c>
      <c r="K5754" s="1">
        <v>0</v>
      </c>
      <c r="L5754" s="1" t="s">
        <v>31</v>
      </c>
      <c r="M5754" s="1" t="s">
        <v>18</v>
      </c>
      <c r="N5754" s="1" t="s">
        <v>18</v>
      </c>
      <c r="O5754" s="1">
        <v>3</v>
      </c>
      <c r="P5754" s="1">
        <v>7</v>
      </c>
      <c r="Q5754" s="7" t="s">
        <v>17633</v>
      </c>
      <c r="R5754" s="1" t="s">
        <v>19</v>
      </c>
      <c r="S5754" s="1" t="s">
        <v>63</v>
      </c>
      <c r="T5754" s="1" t="s">
        <v>21</v>
      </c>
      <c r="U5754" s="1" t="s">
        <v>22</v>
      </c>
      <c r="V5754" s="1" t="s">
        <v>24</v>
      </c>
      <c r="W5754" s="1" t="s">
        <v>24</v>
      </c>
      <c r="X5754" s="1">
        <v>1303</v>
      </c>
      <c r="Y5754" s="1" t="s">
        <v>24</v>
      </c>
      <c r="Z5754" s="1" t="s">
        <v>24</v>
      </c>
      <c r="AA5754" s="1" t="s">
        <v>24</v>
      </c>
      <c r="AB5754" s="1" t="s">
        <v>24</v>
      </c>
      <c r="AC5754" s="1" t="s">
        <v>24</v>
      </c>
      <c r="AD5754" s="1" t="s">
        <v>24</v>
      </c>
      <c r="AE5754" s="1" t="s">
        <v>24</v>
      </c>
      <c r="AF5754" s="22" t="s">
        <v>17685</v>
      </c>
    </row>
    <row r="5755" spans="1:32" x14ac:dyDescent="0.2">
      <c r="A5755" s="1">
        <v>55899</v>
      </c>
      <c r="B5755" s="1" t="s">
        <v>17131</v>
      </c>
      <c r="C5755" s="5" t="s">
        <v>0</v>
      </c>
      <c r="D5755" s="1" t="s">
        <v>17132</v>
      </c>
      <c r="F5755" s="1" t="s">
        <v>6159</v>
      </c>
      <c r="G5755" s="1" t="s">
        <v>61</v>
      </c>
      <c r="H5755" s="1" t="s">
        <v>168</v>
      </c>
      <c r="I5755" s="1" t="s">
        <v>16</v>
      </c>
      <c r="J5755" s="1">
        <v>1</v>
      </c>
      <c r="K5755" s="1">
        <v>1</v>
      </c>
      <c r="L5755" s="1" t="s">
        <v>31</v>
      </c>
      <c r="M5755" s="1" t="s">
        <v>18</v>
      </c>
      <c r="N5755" s="1" t="s">
        <v>18</v>
      </c>
      <c r="O5755" s="1">
        <v>3</v>
      </c>
      <c r="P5755" s="1">
        <v>7</v>
      </c>
      <c r="Q5755" s="7" t="s">
        <v>17633</v>
      </c>
      <c r="R5755" s="1" t="s">
        <v>19</v>
      </c>
      <c r="S5755" s="1" t="s">
        <v>63</v>
      </c>
      <c r="T5755" s="1" t="s">
        <v>21</v>
      </c>
      <c r="U5755" s="1" t="s">
        <v>22</v>
      </c>
      <c r="V5755" s="1" t="s">
        <v>23</v>
      </c>
      <c r="W5755" s="1" t="s">
        <v>24</v>
      </c>
      <c r="X5755" s="1">
        <v>2746</v>
      </c>
      <c r="Y5755" s="1" t="s">
        <v>24</v>
      </c>
      <c r="Z5755" s="1" t="s">
        <v>24</v>
      </c>
      <c r="AA5755" s="1" t="s">
        <v>24</v>
      </c>
      <c r="AB5755" s="1" t="s">
        <v>24</v>
      </c>
      <c r="AC5755" s="1" t="s">
        <v>24</v>
      </c>
      <c r="AD5755" s="1" t="s">
        <v>24</v>
      </c>
      <c r="AE5755" s="1" t="s">
        <v>24</v>
      </c>
      <c r="AF5755" s="22"/>
    </row>
    <row r="5756" spans="1:32" x14ac:dyDescent="0.2">
      <c r="A5756" s="1">
        <v>55900</v>
      </c>
      <c r="B5756" s="1" t="s">
        <v>17133</v>
      </c>
      <c r="C5756" s="5" t="s">
        <v>0</v>
      </c>
      <c r="D5756" s="1" t="s">
        <v>17134</v>
      </c>
      <c r="F5756" s="1" t="s">
        <v>248</v>
      </c>
      <c r="G5756" s="1" t="s">
        <v>61</v>
      </c>
      <c r="H5756" s="1" t="s">
        <v>249</v>
      </c>
      <c r="I5756" s="1" t="s">
        <v>16</v>
      </c>
      <c r="J5756" s="1">
        <v>1</v>
      </c>
      <c r="K5756" s="1">
        <v>2</v>
      </c>
      <c r="L5756" s="1" t="s">
        <v>31</v>
      </c>
      <c r="M5756" s="1" t="s">
        <v>250</v>
      </c>
      <c r="N5756" s="1" t="s">
        <v>1463</v>
      </c>
      <c r="O5756" s="1">
        <v>2</v>
      </c>
      <c r="P5756" s="1">
        <v>6</v>
      </c>
      <c r="R5756" s="1" t="s">
        <v>19</v>
      </c>
      <c r="S5756" s="1" t="s">
        <v>20</v>
      </c>
      <c r="T5756" s="1" t="s">
        <v>21</v>
      </c>
      <c r="V5756" s="1" t="s">
        <v>24</v>
      </c>
      <c r="W5756" s="1" t="s">
        <v>24</v>
      </c>
      <c r="X5756" s="1">
        <v>1306</v>
      </c>
      <c r="Y5756" s="1">
        <v>2730</v>
      </c>
      <c r="Z5756" s="1" t="s">
        <v>24</v>
      </c>
      <c r="AA5756" s="1" t="s">
        <v>24</v>
      </c>
      <c r="AB5756" s="1" t="s">
        <v>24</v>
      </c>
      <c r="AC5756" s="1" t="s">
        <v>24</v>
      </c>
      <c r="AD5756" s="1" t="s">
        <v>24</v>
      </c>
      <c r="AE5756" s="1" t="s">
        <v>24</v>
      </c>
      <c r="AF5756" s="22"/>
    </row>
    <row r="5757" spans="1:32" x14ac:dyDescent="0.2">
      <c r="A5757" s="1">
        <v>55901</v>
      </c>
      <c r="B5757" s="1" t="s">
        <v>17135</v>
      </c>
      <c r="C5757" s="5" t="s">
        <v>0</v>
      </c>
      <c r="D5757" s="1" t="s">
        <v>17136</v>
      </c>
      <c r="F5757" s="1" t="s">
        <v>12162</v>
      </c>
      <c r="G5757" s="1" t="s">
        <v>61</v>
      </c>
      <c r="H5757" s="1" t="s">
        <v>899</v>
      </c>
      <c r="I5757" s="1" t="s">
        <v>16</v>
      </c>
      <c r="J5757" s="1">
        <v>1</v>
      </c>
      <c r="K5757" s="1">
        <v>4</v>
      </c>
      <c r="L5757" s="1" t="s">
        <v>31</v>
      </c>
      <c r="M5757" s="1" t="s">
        <v>18</v>
      </c>
      <c r="N5757" s="1" t="s">
        <v>18</v>
      </c>
      <c r="O5757" s="1">
        <v>3</v>
      </c>
      <c r="P5757" s="1">
        <v>7</v>
      </c>
      <c r="Q5757" s="7" t="s">
        <v>17633</v>
      </c>
      <c r="R5757" s="1" t="s">
        <v>19</v>
      </c>
      <c r="S5757" s="1" t="s">
        <v>63</v>
      </c>
      <c r="T5757" s="1" t="s">
        <v>21</v>
      </c>
      <c r="V5757" s="1" t="s">
        <v>24</v>
      </c>
      <c r="W5757" s="1" t="s">
        <v>24</v>
      </c>
      <c r="X5757" s="1">
        <v>1602</v>
      </c>
      <c r="Y5757" s="1">
        <v>1604</v>
      </c>
      <c r="Z5757" s="1">
        <v>2736</v>
      </c>
      <c r="AA5757" s="1">
        <v>3003</v>
      </c>
      <c r="AB5757" s="1" t="s">
        <v>24</v>
      </c>
      <c r="AC5757" s="1" t="s">
        <v>24</v>
      </c>
      <c r="AD5757" s="1" t="s">
        <v>24</v>
      </c>
      <c r="AE5757" s="1" t="s">
        <v>24</v>
      </c>
      <c r="AF5757" s="22" t="s">
        <v>17678</v>
      </c>
    </row>
    <row r="5758" spans="1:32" x14ac:dyDescent="0.2">
      <c r="A5758" s="1">
        <v>55902</v>
      </c>
      <c r="B5758" s="1" t="s">
        <v>17137</v>
      </c>
      <c r="C5758" s="5" t="s">
        <v>0</v>
      </c>
      <c r="D5758" s="1" t="s">
        <v>17138</v>
      </c>
      <c r="F5758" s="1" t="s">
        <v>324</v>
      </c>
      <c r="G5758" s="1" t="s">
        <v>61</v>
      </c>
      <c r="H5758" s="1" t="s">
        <v>30</v>
      </c>
      <c r="I5758" s="1" t="s">
        <v>16</v>
      </c>
      <c r="J5758" s="1">
        <v>1</v>
      </c>
      <c r="K5758" s="1">
        <v>6</v>
      </c>
      <c r="L5758" s="1" t="s">
        <v>31</v>
      </c>
      <c r="M5758" s="1" t="s">
        <v>18</v>
      </c>
      <c r="N5758" s="1" t="s">
        <v>18</v>
      </c>
      <c r="O5758" s="1">
        <v>3</v>
      </c>
      <c r="P5758" s="1">
        <v>7</v>
      </c>
      <c r="Q5758" s="7" t="s">
        <v>17633</v>
      </c>
      <c r="R5758" s="1" t="s">
        <v>19</v>
      </c>
      <c r="S5758" s="1" t="s">
        <v>20</v>
      </c>
      <c r="T5758" s="1" t="s">
        <v>21</v>
      </c>
      <c r="U5758" s="1" t="s">
        <v>22</v>
      </c>
      <c r="V5758" s="1" t="s">
        <v>24</v>
      </c>
      <c r="W5758" s="1" t="s">
        <v>24</v>
      </c>
      <c r="X5758" s="1">
        <v>1303</v>
      </c>
      <c r="Y5758" s="1">
        <v>1307</v>
      </c>
      <c r="Z5758" s="1">
        <v>1309</v>
      </c>
      <c r="AA5758" s="1">
        <v>1311</v>
      </c>
      <c r="AB5758" s="1" t="s">
        <v>24</v>
      </c>
      <c r="AC5758" s="1" t="s">
        <v>24</v>
      </c>
      <c r="AD5758" s="1" t="s">
        <v>24</v>
      </c>
      <c r="AE5758" s="1" t="s">
        <v>24</v>
      </c>
      <c r="AF5758" s="22"/>
    </row>
    <row r="5759" spans="1:32" x14ac:dyDescent="0.2">
      <c r="A5759" s="1">
        <v>55910</v>
      </c>
      <c r="B5759" s="1" t="s">
        <v>17139</v>
      </c>
      <c r="C5759" s="5" t="s">
        <v>0</v>
      </c>
      <c r="D5759" s="1" t="s">
        <v>17140</v>
      </c>
      <c r="F5759" s="1" t="s">
        <v>17141</v>
      </c>
      <c r="G5759" s="1" t="s">
        <v>17141</v>
      </c>
      <c r="H5759" s="1" t="s">
        <v>8766</v>
      </c>
      <c r="I5759" s="1" t="s">
        <v>16</v>
      </c>
      <c r="J5759" s="1">
        <v>1</v>
      </c>
      <c r="K5759" s="1">
        <v>2</v>
      </c>
      <c r="L5759" s="1" t="s">
        <v>42</v>
      </c>
      <c r="M5759" s="1" t="s">
        <v>18</v>
      </c>
      <c r="N5759" s="1" t="s">
        <v>18</v>
      </c>
      <c r="O5759" s="1">
        <v>3</v>
      </c>
      <c r="P5759" s="1">
        <v>6</v>
      </c>
      <c r="R5759" s="1" t="s">
        <v>19</v>
      </c>
      <c r="S5759" s="1" t="s">
        <v>20</v>
      </c>
      <c r="T5759" s="1" t="s">
        <v>21</v>
      </c>
      <c r="V5759" s="1" t="s">
        <v>23</v>
      </c>
      <c r="W5759" s="1" t="s">
        <v>24</v>
      </c>
      <c r="X5759" s="1">
        <v>2705</v>
      </c>
      <c r="Y5759" s="1" t="s">
        <v>24</v>
      </c>
      <c r="Z5759" s="1" t="s">
        <v>24</v>
      </c>
      <c r="AA5759" s="1" t="s">
        <v>24</v>
      </c>
      <c r="AB5759" s="1" t="s">
        <v>24</v>
      </c>
      <c r="AC5759" s="1" t="s">
        <v>24</v>
      </c>
      <c r="AD5759" s="1" t="s">
        <v>24</v>
      </c>
      <c r="AE5759" s="1" t="s">
        <v>24</v>
      </c>
      <c r="AF5759" s="22" t="s">
        <v>17678</v>
      </c>
    </row>
    <row r="5760" spans="1:32" x14ac:dyDescent="0.2">
      <c r="A5760" s="1">
        <v>56036</v>
      </c>
      <c r="B5760" s="1" t="s">
        <v>17142</v>
      </c>
      <c r="C5760" s="5" t="s">
        <v>0</v>
      </c>
      <c r="D5760" s="1" t="s">
        <v>17143</v>
      </c>
      <c r="F5760" s="1" t="s">
        <v>17144</v>
      </c>
      <c r="G5760" s="1" t="s">
        <v>1712</v>
      </c>
      <c r="H5760" s="1" t="s">
        <v>684</v>
      </c>
      <c r="I5760" s="1" t="s">
        <v>16</v>
      </c>
      <c r="J5760" s="1">
        <v>1</v>
      </c>
      <c r="K5760" s="1">
        <v>4</v>
      </c>
      <c r="L5760" s="1" t="s">
        <v>31</v>
      </c>
      <c r="M5760" s="1" t="s">
        <v>852</v>
      </c>
      <c r="N5760" s="1" t="s">
        <v>1755</v>
      </c>
      <c r="O5760" s="1">
        <v>3</v>
      </c>
      <c r="P5760" s="1">
        <v>5</v>
      </c>
      <c r="R5760" s="1" t="s">
        <v>19</v>
      </c>
      <c r="S5760" s="1" t="s">
        <v>20</v>
      </c>
      <c r="T5760" s="1" t="s">
        <v>21</v>
      </c>
      <c r="U5760" s="1" t="s">
        <v>22</v>
      </c>
      <c r="V5760" s="1" t="s">
        <v>24</v>
      </c>
      <c r="W5760" s="1" t="s">
        <v>24</v>
      </c>
      <c r="X5760" s="1">
        <v>2723</v>
      </c>
      <c r="Y5760" s="1" t="s">
        <v>24</v>
      </c>
      <c r="Z5760" s="1" t="s">
        <v>24</v>
      </c>
      <c r="AA5760" s="1" t="s">
        <v>24</v>
      </c>
      <c r="AB5760" s="1" t="s">
        <v>24</v>
      </c>
      <c r="AC5760" s="1" t="s">
        <v>24</v>
      </c>
      <c r="AD5760" s="1" t="s">
        <v>24</v>
      </c>
      <c r="AE5760" s="1" t="s">
        <v>24</v>
      </c>
      <c r="AF5760" s="22"/>
    </row>
    <row r="5761" spans="1:32" x14ac:dyDescent="0.2">
      <c r="A5761" s="1">
        <v>56059</v>
      </c>
      <c r="B5761" s="1" t="s">
        <v>17145</v>
      </c>
      <c r="C5761" s="5" t="s">
        <v>0</v>
      </c>
      <c r="D5761" s="1" t="s">
        <v>17146</v>
      </c>
      <c r="F5761" s="1" t="s">
        <v>17147</v>
      </c>
      <c r="G5761" s="1" t="s">
        <v>1898</v>
      </c>
      <c r="H5761" s="1" t="s">
        <v>1116</v>
      </c>
      <c r="I5761" s="1" t="s">
        <v>16</v>
      </c>
      <c r="J5761" s="1">
        <v>1</v>
      </c>
      <c r="K5761" s="1">
        <v>6</v>
      </c>
      <c r="L5761" s="1" t="s">
        <v>31</v>
      </c>
      <c r="M5761" s="1" t="s">
        <v>4418</v>
      </c>
      <c r="N5761" s="1" t="s">
        <v>18</v>
      </c>
      <c r="O5761" s="1">
        <v>2</v>
      </c>
      <c r="P5761" s="1">
        <v>5</v>
      </c>
      <c r="R5761" s="1" t="s">
        <v>19</v>
      </c>
      <c r="S5761" s="1" t="s">
        <v>20</v>
      </c>
      <c r="T5761" s="1" t="s">
        <v>21</v>
      </c>
      <c r="U5761" s="1" t="s">
        <v>22</v>
      </c>
      <c r="V5761" s="1" t="s">
        <v>24</v>
      </c>
      <c r="W5761" s="1" t="s">
        <v>24</v>
      </c>
      <c r="X5761" s="1">
        <v>2700</v>
      </c>
      <c r="Y5761" s="1" t="s">
        <v>24</v>
      </c>
      <c r="Z5761" s="1" t="s">
        <v>24</v>
      </c>
      <c r="AA5761" s="1" t="s">
        <v>24</v>
      </c>
      <c r="AB5761" s="1" t="s">
        <v>24</v>
      </c>
      <c r="AC5761" s="1" t="s">
        <v>24</v>
      </c>
      <c r="AD5761" s="1" t="s">
        <v>24</v>
      </c>
      <c r="AE5761" s="1" t="s">
        <v>24</v>
      </c>
      <c r="AF5761" s="22"/>
    </row>
    <row r="5762" spans="1:32" x14ac:dyDescent="0.2">
      <c r="A5762" s="1">
        <v>56302</v>
      </c>
      <c r="B5762" s="1" t="s">
        <v>17148</v>
      </c>
      <c r="C5762" s="5" t="s">
        <v>0</v>
      </c>
      <c r="D5762" s="1" t="s">
        <v>17149</v>
      </c>
      <c r="E5762" s="1" t="s">
        <v>17150</v>
      </c>
      <c r="F5762" s="1" t="s">
        <v>517</v>
      </c>
      <c r="G5762" s="1" t="s">
        <v>36</v>
      </c>
      <c r="H5762" s="1" t="s">
        <v>30</v>
      </c>
      <c r="I5762" s="1" t="s">
        <v>16</v>
      </c>
      <c r="J5762" s="1">
        <v>1</v>
      </c>
      <c r="K5762" s="1">
        <v>6</v>
      </c>
      <c r="L5762" s="1" t="s">
        <v>31</v>
      </c>
      <c r="M5762" s="1" t="s">
        <v>18</v>
      </c>
      <c r="N5762" s="1" t="s">
        <v>18</v>
      </c>
      <c r="O5762" s="1">
        <v>2</v>
      </c>
      <c r="P5762" s="1">
        <v>7</v>
      </c>
      <c r="Q5762" s="7" t="s">
        <v>17633</v>
      </c>
      <c r="R5762" s="1" t="s">
        <v>19</v>
      </c>
      <c r="S5762" s="1" t="s">
        <v>20</v>
      </c>
      <c r="T5762" s="1" t="s">
        <v>21</v>
      </c>
      <c r="U5762" s="1" t="s">
        <v>22</v>
      </c>
      <c r="V5762" s="1" t="s">
        <v>24</v>
      </c>
      <c r="W5762" s="1" t="s">
        <v>24</v>
      </c>
      <c r="X5762" s="1">
        <v>1309</v>
      </c>
      <c r="Y5762" s="1">
        <v>1307</v>
      </c>
      <c r="Z5762" s="1">
        <v>1312</v>
      </c>
      <c r="AA5762" s="1" t="s">
        <v>24</v>
      </c>
      <c r="AB5762" s="1" t="s">
        <v>24</v>
      </c>
      <c r="AC5762" s="1" t="s">
        <v>24</v>
      </c>
      <c r="AD5762" s="1" t="s">
        <v>24</v>
      </c>
      <c r="AE5762" s="1" t="s">
        <v>24</v>
      </c>
      <c r="AF5762" s="22"/>
    </row>
    <row r="5763" spans="1:32" x14ac:dyDescent="0.2">
      <c r="A5763" s="1">
        <v>56316</v>
      </c>
      <c r="B5763" s="1" t="s">
        <v>17151</v>
      </c>
      <c r="C5763" s="5" t="s">
        <v>0</v>
      </c>
      <c r="E5763" s="1" t="s">
        <v>17152</v>
      </c>
      <c r="F5763" s="1" t="s">
        <v>17153</v>
      </c>
      <c r="G5763" s="1" t="s">
        <v>17153</v>
      </c>
      <c r="H5763" s="1" t="s">
        <v>264</v>
      </c>
      <c r="I5763" s="1" t="s">
        <v>16</v>
      </c>
      <c r="J5763" s="1">
        <v>1</v>
      </c>
      <c r="K5763" s="1">
        <v>12</v>
      </c>
      <c r="L5763" s="1" t="s">
        <v>42</v>
      </c>
      <c r="M5763" s="1" t="s">
        <v>18</v>
      </c>
      <c r="N5763" s="1" t="s">
        <v>18</v>
      </c>
      <c r="O5763" s="1">
        <v>3</v>
      </c>
      <c r="P5763" s="1">
        <v>6</v>
      </c>
      <c r="R5763" s="1" t="s">
        <v>19</v>
      </c>
      <c r="S5763" s="1" t="s">
        <v>20</v>
      </c>
      <c r="T5763" s="1" t="s">
        <v>21</v>
      </c>
      <c r="V5763" s="1" t="s">
        <v>23</v>
      </c>
      <c r="W5763" s="1" t="s">
        <v>24</v>
      </c>
      <c r="X5763" s="1">
        <v>2700</v>
      </c>
      <c r="Y5763" s="1">
        <v>2900</v>
      </c>
      <c r="Z5763" s="1" t="s">
        <v>24</v>
      </c>
      <c r="AA5763" s="1" t="s">
        <v>24</v>
      </c>
      <c r="AB5763" s="1" t="s">
        <v>24</v>
      </c>
      <c r="AC5763" s="1" t="s">
        <v>24</v>
      </c>
      <c r="AD5763" s="1" t="s">
        <v>24</v>
      </c>
      <c r="AE5763" s="1" t="s">
        <v>24</v>
      </c>
      <c r="AF5763" s="22"/>
    </row>
    <row r="5764" spans="1:32" x14ac:dyDescent="0.2">
      <c r="A5764" s="1">
        <v>56585</v>
      </c>
      <c r="B5764" s="1" t="s">
        <v>17154</v>
      </c>
      <c r="C5764" s="5" t="s">
        <v>0</v>
      </c>
      <c r="D5764" s="1" t="s">
        <v>17155</v>
      </c>
      <c r="E5764" s="1" t="s">
        <v>17156</v>
      </c>
      <c r="F5764" s="1" t="s">
        <v>17157</v>
      </c>
      <c r="G5764" s="1" t="s">
        <v>17157</v>
      </c>
      <c r="H5764" s="1" t="s">
        <v>30</v>
      </c>
      <c r="I5764" s="1" t="s">
        <v>16</v>
      </c>
      <c r="J5764" s="1">
        <v>0</v>
      </c>
      <c r="K5764" s="1">
        <v>0</v>
      </c>
      <c r="L5764" s="1" t="s">
        <v>42</v>
      </c>
      <c r="M5764" s="1" t="s">
        <v>18</v>
      </c>
      <c r="N5764" s="1" t="s">
        <v>18</v>
      </c>
      <c r="O5764" s="1">
        <v>1</v>
      </c>
      <c r="P5764" s="1">
        <v>1</v>
      </c>
      <c r="R5764" s="1" t="s">
        <v>19</v>
      </c>
      <c r="S5764" s="1" t="s">
        <v>63</v>
      </c>
      <c r="T5764" s="1" t="s">
        <v>21</v>
      </c>
      <c r="U5764" s="1" t="s">
        <v>22</v>
      </c>
      <c r="V5764" s="1" t="s">
        <v>24</v>
      </c>
      <c r="W5764" s="1" t="s">
        <v>24</v>
      </c>
      <c r="X5764" s="1">
        <v>1300</v>
      </c>
      <c r="Y5764" s="1">
        <v>2400</v>
      </c>
      <c r="Z5764" s="1" t="s">
        <v>24</v>
      </c>
      <c r="AA5764" s="1" t="s">
        <v>24</v>
      </c>
      <c r="AB5764" s="1" t="s">
        <v>24</v>
      </c>
      <c r="AC5764" s="1" t="s">
        <v>24</v>
      </c>
      <c r="AD5764" s="1" t="s">
        <v>24</v>
      </c>
      <c r="AE5764" s="1" t="s">
        <v>24</v>
      </c>
      <c r="AF5764" s="22"/>
    </row>
    <row r="5765" spans="1:32" x14ac:dyDescent="0.2">
      <c r="A5765" s="1">
        <v>56586</v>
      </c>
      <c r="B5765" s="1" t="s">
        <v>17158</v>
      </c>
      <c r="C5765" s="5" t="s">
        <v>0</v>
      </c>
      <c r="D5765" s="1" t="s">
        <v>17159</v>
      </c>
      <c r="E5765" s="1" t="s">
        <v>17160</v>
      </c>
      <c r="F5765" s="1" t="s">
        <v>17157</v>
      </c>
      <c r="G5765" s="1" t="s">
        <v>17157</v>
      </c>
      <c r="H5765" s="1" t="s">
        <v>30</v>
      </c>
      <c r="I5765" s="1" t="s">
        <v>16</v>
      </c>
      <c r="J5765" s="1">
        <v>0</v>
      </c>
      <c r="K5765" s="1">
        <v>0</v>
      </c>
      <c r="L5765" s="1" t="s">
        <v>42</v>
      </c>
      <c r="M5765" s="1" t="s">
        <v>18</v>
      </c>
      <c r="N5765" s="1" t="s">
        <v>18</v>
      </c>
      <c r="O5765" s="1">
        <v>1</v>
      </c>
      <c r="P5765" s="1">
        <v>1</v>
      </c>
      <c r="R5765" s="1" t="s">
        <v>19</v>
      </c>
      <c r="S5765" s="1" t="s">
        <v>63</v>
      </c>
      <c r="T5765" s="1" t="s">
        <v>21</v>
      </c>
      <c r="U5765" s="1" t="s">
        <v>22</v>
      </c>
      <c r="V5765" s="1" t="s">
        <v>24</v>
      </c>
      <c r="W5765" s="1" t="s">
        <v>24</v>
      </c>
      <c r="X5765" s="1">
        <v>1300</v>
      </c>
      <c r="Y5765" s="1">
        <v>2400</v>
      </c>
      <c r="Z5765" s="1" t="s">
        <v>24</v>
      </c>
      <c r="AA5765" s="1" t="s">
        <v>24</v>
      </c>
      <c r="AB5765" s="1" t="s">
        <v>24</v>
      </c>
      <c r="AC5765" s="1" t="s">
        <v>24</v>
      </c>
      <c r="AD5765" s="1" t="s">
        <v>24</v>
      </c>
      <c r="AE5765" s="1" t="s">
        <v>24</v>
      </c>
      <c r="AF5765" s="22"/>
    </row>
    <row r="5766" spans="1:32" x14ac:dyDescent="0.2">
      <c r="A5766" s="1">
        <v>56607</v>
      </c>
      <c r="B5766" s="1" t="s">
        <v>17161</v>
      </c>
      <c r="C5766" s="5" t="s">
        <v>0</v>
      </c>
      <c r="D5766" s="1" t="s">
        <v>17162</v>
      </c>
      <c r="E5766" s="1" t="s">
        <v>17163</v>
      </c>
      <c r="F5766" s="1" t="s">
        <v>315</v>
      </c>
      <c r="G5766" s="1" t="s">
        <v>316</v>
      </c>
      <c r="H5766" s="1" t="s">
        <v>30</v>
      </c>
      <c r="I5766" s="1" t="s">
        <v>16</v>
      </c>
      <c r="J5766" s="1">
        <v>1</v>
      </c>
      <c r="K5766" s="1">
        <v>4</v>
      </c>
      <c r="L5766" s="1" t="s">
        <v>31</v>
      </c>
      <c r="M5766" s="1" t="s">
        <v>18</v>
      </c>
      <c r="N5766" s="1" t="s">
        <v>18</v>
      </c>
      <c r="O5766" s="1">
        <v>2</v>
      </c>
      <c r="P5766" s="1">
        <v>7</v>
      </c>
      <c r="Q5766" s="7" t="s">
        <v>17633</v>
      </c>
      <c r="R5766" s="1" t="s">
        <v>19</v>
      </c>
      <c r="S5766" s="1" t="s">
        <v>20</v>
      </c>
      <c r="T5766" s="1" t="s">
        <v>21</v>
      </c>
      <c r="U5766" s="1" t="s">
        <v>22</v>
      </c>
      <c r="V5766" s="1" t="s">
        <v>24</v>
      </c>
      <c r="W5766" s="1" t="s">
        <v>24</v>
      </c>
      <c r="X5766" s="1">
        <v>2727</v>
      </c>
      <c r="Y5766" s="1" t="s">
        <v>24</v>
      </c>
      <c r="Z5766" s="1" t="s">
        <v>24</v>
      </c>
      <c r="AA5766" s="1" t="s">
        <v>24</v>
      </c>
      <c r="AB5766" s="1" t="s">
        <v>24</v>
      </c>
      <c r="AC5766" s="1" t="s">
        <v>24</v>
      </c>
      <c r="AD5766" s="1" t="s">
        <v>24</v>
      </c>
      <c r="AE5766" s="1" t="s">
        <v>24</v>
      </c>
      <c r="AF5766" s="22"/>
    </row>
    <row r="5767" spans="1:32" x14ac:dyDescent="0.2">
      <c r="A5767" s="1">
        <v>56610</v>
      </c>
      <c r="B5767" s="1" t="s">
        <v>17164</v>
      </c>
      <c r="C5767" s="5" t="s">
        <v>0</v>
      </c>
      <c r="D5767" s="1" t="s">
        <v>17165</v>
      </c>
      <c r="E5767" s="1" t="s">
        <v>17166</v>
      </c>
      <c r="F5767" s="1" t="s">
        <v>109</v>
      </c>
      <c r="G5767" s="1" t="s">
        <v>110</v>
      </c>
      <c r="H5767" s="1" t="s">
        <v>111</v>
      </c>
      <c r="I5767" s="1" t="s">
        <v>16</v>
      </c>
      <c r="J5767" s="1">
        <v>1</v>
      </c>
      <c r="K5767" s="1">
        <v>4</v>
      </c>
      <c r="L5767" s="1" t="s">
        <v>31</v>
      </c>
      <c r="M5767" s="1" t="s">
        <v>18</v>
      </c>
      <c r="N5767" s="1" t="s">
        <v>18</v>
      </c>
      <c r="O5767" s="1">
        <v>3</v>
      </c>
      <c r="P5767" s="1">
        <v>7</v>
      </c>
      <c r="Q5767" s="7" t="s">
        <v>17633</v>
      </c>
      <c r="R5767" s="1" t="s">
        <v>19</v>
      </c>
      <c r="S5767" s="1" t="s">
        <v>20</v>
      </c>
      <c r="T5767" s="1" t="s">
        <v>21</v>
      </c>
      <c r="U5767" s="1" t="s">
        <v>22</v>
      </c>
      <c r="V5767" s="1" t="s">
        <v>24</v>
      </c>
      <c r="W5767" s="1" t="s">
        <v>24</v>
      </c>
      <c r="X5767" s="1">
        <v>2705</v>
      </c>
      <c r="Y5767" s="1">
        <v>2748</v>
      </c>
      <c r="Z5767" s="1" t="s">
        <v>24</v>
      </c>
      <c r="AA5767" s="1" t="s">
        <v>24</v>
      </c>
      <c r="AB5767" s="1" t="s">
        <v>24</v>
      </c>
      <c r="AC5767" s="1" t="s">
        <v>24</v>
      </c>
      <c r="AD5767" s="1" t="s">
        <v>24</v>
      </c>
      <c r="AE5767" s="1" t="s">
        <v>24</v>
      </c>
      <c r="AF5767" s="22"/>
    </row>
    <row r="5768" spans="1:32" x14ac:dyDescent="0.2">
      <c r="A5768" s="1">
        <v>56643</v>
      </c>
      <c r="B5768" s="1" t="s">
        <v>17167</v>
      </c>
      <c r="C5768" s="5" t="s">
        <v>0</v>
      </c>
      <c r="D5768" s="1" t="s">
        <v>17168</v>
      </c>
      <c r="E5768" s="1" t="s">
        <v>17169</v>
      </c>
      <c r="F5768" s="1" t="s">
        <v>11896</v>
      </c>
      <c r="G5768" s="1" t="s">
        <v>11896</v>
      </c>
      <c r="H5768" s="1" t="s">
        <v>30</v>
      </c>
      <c r="I5768" s="1" t="s">
        <v>16</v>
      </c>
      <c r="J5768" s="1">
        <v>1</v>
      </c>
      <c r="K5768" s="1">
        <v>4</v>
      </c>
      <c r="L5768" s="1" t="s">
        <v>42</v>
      </c>
      <c r="M5768" s="1" t="s">
        <v>18</v>
      </c>
      <c r="N5768" s="1" t="s">
        <v>18</v>
      </c>
      <c r="O5768" s="1">
        <v>3</v>
      </c>
      <c r="P5768" s="1">
        <v>6</v>
      </c>
      <c r="R5768" s="1" t="s">
        <v>19</v>
      </c>
      <c r="S5768" s="1" t="s">
        <v>20</v>
      </c>
      <c r="T5768" s="1" t="s">
        <v>21</v>
      </c>
      <c r="U5768" s="1" t="s">
        <v>22</v>
      </c>
      <c r="V5768" s="1" t="s">
        <v>24</v>
      </c>
      <c r="W5768" s="1" t="s">
        <v>24</v>
      </c>
      <c r="X5768" s="1">
        <v>1305</v>
      </c>
      <c r="Y5768" s="1">
        <v>1502</v>
      </c>
      <c r="Z5768" s="1">
        <v>2204</v>
      </c>
      <c r="AA5768" s="1">
        <v>2701</v>
      </c>
      <c r="AB5768" s="1" t="s">
        <v>24</v>
      </c>
      <c r="AC5768" s="1" t="s">
        <v>24</v>
      </c>
      <c r="AD5768" s="1" t="s">
        <v>24</v>
      </c>
      <c r="AE5768" s="1" t="s">
        <v>24</v>
      </c>
      <c r="AF5768" s="22"/>
    </row>
    <row r="5769" spans="1:32" x14ac:dyDescent="0.2">
      <c r="A5769" s="1">
        <v>56646</v>
      </c>
      <c r="B5769" s="5" t="s">
        <v>17170</v>
      </c>
      <c r="C5769" s="5" t="s">
        <v>50553</v>
      </c>
      <c r="E5769" s="1" t="s">
        <v>17171</v>
      </c>
      <c r="F5769" s="1" t="s">
        <v>17631</v>
      </c>
      <c r="G5769" s="1" t="s">
        <v>17631</v>
      </c>
      <c r="H5769" s="1" t="s">
        <v>30</v>
      </c>
      <c r="I5769" s="1" t="s">
        <v>16</v>
      </c>
      <c r="J5769" s="1">
        <v>1</v>
      </c>
      <c r="K5769" s="1">
        <v>12</v>
      </c>
      <c r="L5769" s="1" t="s">
        <v>42</v>
      </c>
      <c r="M5769" s="1" t="s">
        <v>18</v>
      </c>
      <c r="N5769" s="5" t="s">
        <v>18</v>
      </c>
      <c r="O5769" s="5">
        <v>3</v>
      </c>
      <c r="P5769" s="5">
        <v>6</v>
      </c>
      <c r="R5769" s="5" t="s">
        <v>19</v>
      </c>
      <c r="S5769" s="1" t="s">
        <v>20</v>
      </c>
      <c r="T5769" s="5" t="s">
        <v>21</v>
      </c>
      <c r="U5769" s="5"/>
      <c r="V5769" s="5"/>
      <c r="W5769" s="5"/>
      <c r="X5769" s="5">
        <v>1311</v>
      </c>
      <c r="Y5769" s="5">
        <v>1312</v>
      </c>
      <c r="Z5769" s="1">
        <v>2716</v>
      </c>
      <c r="AF5769" s="22"/>
    </row>
    <row r="5770" spans="1:32" x14ac:dyDescent="0.2">
      <c r="A5770" s="1">
        <v>56650</v>
      </c>
      <c r="B5770" s="5" t="s">
        <v>17172</v>
      </c>
      <c r="C5770" s="5" t="s">
        <v>0</v>
      </c>
      <c r="D5770" s="1" t="s">
        <v>17173</v>
      </c>
      <c r="E5770" s="1" t="s">
        <v>17174</v>
      </c>
      <c r="F5770" s="1" t="s">
        <v>17632</v>
      </c>
      <c r="G5770" s="1" t="s">
        <v>17632</v>
      </c>
      <c r="H5770" s="1" t="s">
        <v>30</v>
      </c>
      <c r="I5770" s="1" t="s">
        <v>16</v>
      </c>
      <c r="J5770" s="1">
        <v>1</v>
      </c>
      <c r="K5770" s="1">
        <v>12</v>
      </c>
      <c r="L5770" s="1" t="s">
        <v>42</v>
      </c>
      <c r="M5770" s="1" t="s">
        <v>18</v>
      </c>
      <c r="N5770" s="5" t="s">
        <v>18</v>
      </c>
      <c r="O5770" s="5">
        <v>3</v>
      </c>
      <c r="P5770" s="5">
        <v>6</v>
      </c>
      <c r="R5770" s="5" t="s">
        <v>19</v>
      </c>
      <c r="S5770" s="1" t="s">
        <v>20</v>
      </c>
      <c r="T5770" s="5" t="s">
        <v>21</v>
      </c>
      <c r="U5770" s="5"/>
      <c r="V5770" s="5"/>
      <c r="W5770" s="5"/>
      <c r="X5770" s="5">
        <v>2700</v>
      </c>
      <c r="Y5770" s="5"/>
      <c r="AF5770" s="22"/>
    </row>
    <row r="5771" spans="1:32" x14ac:dyDescent="0.2">
      <c r="A5771" s="1">
        <v>56853</v>
      </c>
      <c r="B5771" s="1" t="s">
        <v>17175</v>
      </c>
      <c r="C5771" s="5" t="s">
        <v>0</v>
      </c>
      <c r="D5771" s="1" t="s">
        <v>17176</v>
      </c>
      <c r="F5771" s="1" t="s">
        <v>272</v>
      </c>
      <c r="G5771" s="1" t="s">
        <v>61</v>
      </c>
      <c r="H5771" s="1" t="s">
        <v>30</v>
      </c>
      <c r="I5771" s="1" t="s">
        <v>16</v>
      </c>
      <c r="J5771" s="1">
        <v>1</v>
      </c>
      <c r="K5771" s="1">
        <v>4</v>
      </c>
      <c r="L5771" s="1" t="s">
        <v>31</v>
      </c>
      <c r="M5771" s="1" t="s">
        <v>18</v>
      </c>
      <c r="N5771" s="1" t="s">
        <v>18</v>
      </c>
      <c r="O5771" s="1">
        <v>3</v>
      </c>
      <c r="P5771" s="1">
        <v>7</v>
      </c>
      <c r="Q5771" s="7" t="s">
        <v>17633</v>
      </c>
      <c r="R5771" s="1" t="s">
        <v>19</v>
      </c>
      <c r="S5771" s="1" t="s">
        <v>20</v>
      </c>
      <c r="T5771" s="1" t="s">
        <v>21</v>
      </c>
      <c r="U5771" s="1" t="s">
        <v>22</v>
      </c>
      <c r="V5771" s="1" t="s">
        <v>24</v>
      </c>
      <c r="W5771" s="1" t="s">
        <v>24</v>
      </c>
      <c r="X5771" s="1">
        <v>1300</v>
      </c>
      <c r="Y5771" s="1">
        <v>2204</v>
      </c>
      <c r="Z5771" s="1">
        <v>2700</v>
      </c>
      <c r="AA5771" s="1">
        <v>3002</v>
      </c>
      <c r="AB5771" s="1" t="s">
        <v>24</v>
      </c>
      <c r="AC5771" s="1" t="s">
        <v>24</v>
      </c>
      <c r="AD5771" s="1" t="s">
        <v>24</v>
      </c>
      <c r="AE5771" s="1" t="s">
        <v>24</v>
      </c>
      <c r="AF5771" s="22"/>
    </row>
    <row r="5772" spans="1:32" x14ac:dyDescent="0.2">
      <c r="A5772" s="1">
        <v>57017</v>
      </c>
      <c r="B5772" s="5" t="s">
        <v>17177</v>
      </c>
      <c r="C5772" s="5" t="s">
        <v>0</v>
      </c>
      <c r="D5772" s="1" t="s">
        <v>17178</v>
      </c>
      <c r="F5772" s="1" t="s">
        <v>17179</v>
      </c>
      <c r="G5772" s="1" t="s">
        <v>17179</v>
      </c>
      <c r="H5772" s="1" t="s">
        <v>264</v>
      </c>
      <c r="I5772" s="1" t="s">
        <v>16</v>
      </c>
      <c r="J5772" s="1">
        <v>1</v>
      </c>
      <c r="K5772" s="1">
        <v>4</v>
      </c>
      <c r="L5772" s="1" t="s">
        <v>42</v>
      </c>
      <c r="M5772" s="1" t="s">
        <v>18</v>
      </c>
      <c r="N5772" s="5" t="s">
        <v>18</v>
      </c>
      <c r="O5772" s="1">
        <v>2</v>
      </c>
      <c r="P5772" s="1">
        <v>6</v>
      </c>
      <c r="R5772" s="5" t="s">
        <v>19</v>
      </c>
      <c r="S5772" s="1" t="s">
        <v>20</v>
      </c>
      <c r="T5772" s="1" t="s">
        <v>21</v>
      </c>
      <c r="U5772" s="1" t="s">
        <v>22</v>
      </c>
      <c r="V5772" s="1" t="s">
        <v>23</v>
      </c>
      <c r="W5772" s="1" t="s">
        <v>24</v>
      </c>
      <c r="X5772" s="1">
        <v>2711</v>
      </c>
      <c r="Y5772" s="1">
        <v>2907</v>
      </c>
      <c r="Z5772" s="1">
        <v>3604</v>
      </c>
      <c r="AA5772" s="1" t="s">
        <v>24</v>
      </c>
      <c r="AB5772" s="1" t="s">
        <v>24</v>
      </c>
      <c r="AC5772" s="1" t="s">
        <v>24</v>
      </c>
      <c r="AD5772" s="1" t="s">
        <v>24</v>
      </c>
      <c r="AE5772" s="1" t="s">
        <v>24</v>
      </c>
      <c r="AF5772" s="22"/>
    </row>
    <row r="5773" spans="1:32" x14ac:dyDescent="0.2">
      <c r="A5773" s="1">
        <v>57033</v>
      </c>
      <c r="B5773" s="1" t="s">
        <v>17180</v>
      </c>
      <c r="C5773" s="5" t="s">
        <v>0</v>
      </c>
      <c r="D5773" s="1" t="s">
        <v>17181</v>
      </c>
      <c r="E5773" s="1" t="s">
        <v>17182</v>
      </c>
      <c r="F5773" s="1" t="s">
        <v>1462</v>
      </c>
      <c r="G5773" s="1" t="s">
        <v>1462</v>
      </c>
      <c r="H5773" s="1" t="s">
        <v>249</v>
      </c>
      <c r="I5773" s="1" t="s">
        <v>16</v>
      </c>
      <c r="J5773" s="1">
        <v>1</v>
      </c>
      <c r="K5773" s="1">
        <v>4</v>
      </c>
      <c r="L5773" s="1" t="s">
        <v>42</v>
      </c>
      <c r="M5773" s="1" t="s">
        <v>18</v>
      </c>
      <c r="N5773" s="1" t="s">
        <v>18</v>
      </c>
      <c r="O5773" s="1">
        <v>3</v>
      </c>
      <c r="P5773" s="1">
        <v>6</v>
      </c>
      <c r="R5773" s="1" t="s">
        <v>19</v>
      </c>
      <c r="S5773" s="1" t="s">
        <v>20</v>
      </c>
      <c r="T5773" s="1" t="s">
        <v>21</v>
      </c>
      <c r="U5773" s="1" t="s">
        <v>22</v>
      </c>
      <c r="V5773" s="1" t="s">
        <v>23</v>
      </c>
      <c r="W5773" s="1" t="s">
        <v>24</v>
      </c>
      <c r="X5773" s="1">
        <v>2703</v>
      </c>
      <c r="Y5773" s="1">
        <v>2706</v>
      </c>
      <c r="Z5773" s="1" t="s">
        <v>24</v>
      </c>
      <c r="AA5773" s="1" t="s">
        <v>24</v>
      </c>
      <c r="AB5773" s="1" t="s">
        <v>24</v>
      </c>
      <c r="AC5773" s="1" t="s">
        <v>24</v>
      </c>
      <c r="AD5773" s="1" t="s">
        <v>24</v>
      </c>
      <c r="AE5773" s="1" t="s">
        <v>24</v>
      </c>
      <c r="AF5773" s="22"/>
    </row>
    <row r="5774" spans="1:32" x14ac:dyDescent="0.2">
      <c r="A5774" s="1">
        <v>57111</v>
      </c>
      <c r="B5774" s="1" t="s">
        <v>17183</v>
      </c>
      <c r="C5774" s="5" t="s">
        <v>0</v>
      </c>
      <c r="D5774" s="1" t="s">
        <v>17184</v>
      </c>
      <c r="E5774" s="1" t="s">
        <v>17185</v>
      </c>
      <c r="F5774" s="1" t="s">
        <v>1462</v>
      </c>
      <c r="G5774" s="1" t="s">
        <v>1462</v>
      </c>
      <c r="H5774" s="1" t="s">
        <v>249</v>
      </c>
      <c r="I5774" s="1" t="s">
        <v>16</v>
      </c>
      <c r="J5774" s="1">
        <v>1</v>
      </c>
      <c r="K5774" s="1">
        <v>6</v>
      </c>
      <c r="L5774" s="1" t="s">
        <v>42</v>
      </c>
      <c r="M5774" s="1" t="s">
        <v>3290</v>
      </c>
      <c r="N5774" s="1" t="s">
        <v>1463</v>
      </c>
      <c r="O5774" s="1">
        <v>3</v>
      </c>
      <c r="P5774" s="1">
        <v>6</v>
      </c>
      <c r="R5774" s="1" t="s">
        <v>19</v>
      </c>
      <c r="S5774" s="1" t="s">
        <v>20</v>
      </c>
      <c r="T5774" s="1" t="s">
        <v>21</v>
      </c>
      <c r="U5774" s="1" t="s">
        <v>22</v>
      </c>
      <c r="V5774" s="1" t="s">
        <v>24</v>
      </c>
      <c r="W5774" s="1" t="s">
        <v>24</v>
      </c>
      <c r="X5774" s="1">
        <v>2712</v>
      </c>
      <c r="Y5774" s="1">
        <v>2724</v>
      </c>
      <c r="Z5774" s="1" t="s">
        <v>24</v>
      </c>
      <c r="AA5774" s="1" t="s">
        <v>24</v>
      </c>
      <c r="AB5774" s="1" t="s">
        <v>24</v>
      </c>
      <c r="AC5774" s="1" t="s">
        <v>24</v>
      </c>
      <c r="AD5774" s="1" t="s">
        <v>24</v>
      </c>
      <c r="AE5774" s="1" t="s">
        <v>24</v>
      </c>
      <c r="AF5774" s="22"/>
    </row>
    <row r="5775" spans="1:32" x14ac:dyDescent="0.2">
      <c r="A5775" s="1">
        <v>57153</v>
      </c>
      <c r="B5775" s="1" t="s">
        <v>17186</v>
      </c>
      <c r="C5775" s="5" t="s">
        <v>0</v>
      </c>
      <c r="D5775" s="1" t="s">
        <v>17187</v>
      </c>
      <c r="E5775" s="1" t="s">
        <v>17130</v>
      </c>
      <c r="F5775" s="1" t="s">
        <v>17188</v>
      </c>
      <c r="G5775" s="1" t="s">
        <v>61</v>
      </c>
      <c r="H5775" s="1" t="s">
        <v>264</v>
      </c>
      <c r="I5775" s="1" t="s">
        <v>16</v>
      </c>
      <c r="J5775" s="1">
        <v>1</v>
      </c>
      <c r="K5775" s="1">
        <v>1</v>
      </c>
      <c r="L5775" s="1" t="s">
        <v>31</v>
      </c>
      <c r="M5775" s="1" t="s">
        <v>18</v>
      </c>
      <c r="N5775" s="1" t="s">
        <v>18</v>
      </c>
      <c r="O5775" s="1">
        <v>3</v>
      </c>
      <c r="P5775" s="1">
        <v>7</v>
      </c>
      <c r="Q5775" s="7" t="s">
        <v>17633</v>
      </c>
      <c r="R5775" s="1" t="s">
        <v>19</v>
      </c>
      <c r="S5775" s="1" t="s">
        <v>63</v>
      </c>
      <c r="T5775" s="1" t="s">
        <v>21</v>
      </c>
      <c r="U5775" s="1" t="s">
        <v>22</v>
      </c>
      <c r="V5775" s="1" t="s">
        <v>23</v>
      </c>
      <c r="W5775" s="1" t="s">
        <v>24</v>
      </c>
      <c r="X5775" s="1">
        <v>2707</v>
      </c>
      <c r="Y5775" s="1" t="s">
        <v>24</v>
      </c>
      <c r="Z5775" s="1" t="s">
        <v>24</v>
      </c>
      <c r="AA5775" s="1" t="s">
        <v>24</v>
      </c>
      <c r="AB5775" s="1" t="s">
        <v>24</v>
      </c>
      <c r="AC5775" s="1" t="s">
        <v>24</v>
      </c>
      <c r="AD5775" s="1" t="s">
        <v>24</v>
      </c>
      <c r="AE5775" s="1" t="s">
        <v>24</v>
      </c>
      <c r="AF5775" s="22"/>
    </row>
    <row r="5776" spans="1:32" x14ac:dyDescent="0.2">
      <c r="A5776" s="1">
        <v>57154</v>
      </c>
      <c r="B5776" s="1" t="s">
        <v>17189</v>
      </c>
      <c r="C5776" s="5" t="s">
        <v>0</v>
      </c>
      <c r="D5776" s="1" t="s">
        <v>17190</v>
      </c>
      <c r="F5776" s="1" t="s">
        <v>155</v>
      </c>
      <c r="G5776" s="1" t="s">
        <v>61</v>
      </c>
      <c r="H5776" s="1" t="s">
        <v>37</v>
      </c>
      <c r="I5776" s="1" t="s">
        <v>16</v>
      </c>
      <c r="J5776" s="1">
        <v>1</v>
      </c>
      <c r="K5776" s="1">
        <v>8</v>
      </c>
      <c r="L5776" s="1" t="s">
        <v>31</v>
      </c>
      <c r="M5776" s="1" t="s">
        <v>18</v>
      </c>
      <c r="N5776" s="1" t="s">
        <v>18</v>
      </c>
      <c r="O5776" s="1">
        <v>3</v>
      </c>
      <c r="P5776" s="1">
        <v>7</v>
      </c>
      <c r="Q5776" s="7" t="s">
        <v>17633</v>
      </c>
      <c r="R5776" s="1" t="s">
        <v>19</v>
      </c>
      <c r="S5776" s="1" t="s">
        <v>20</v>
      </c>
      <c r="T5776" s="1" t="s">
        <v>21</v>
      </c>
      <c r="U5776" s="1" t="s">
        <v>22</v>
      </c>
      <c r="V5776" s="1" t="s">
        <v>23</v>
      </c>
      <c r="W5776" s="1" t="s">
        <v>24</v>
      </c>
      <c r="X5776" s="1">
        <v>2730</v>
      </c>
      <c r="Y5776" s="1" t="s">
        <v>24</v>
      </c>
      <c r="Z5776" s="1" t="s">
        <v>24</v>
      </c>
      <c r="AA5776" s="1" t="s">
        <v>24</v>
      </c>
      <c r="AB5776" s="1" t="s">
        <v>24</v>
      </c>
      <c r="AC5776" s="1" t="s">
        <v>24</v>
      </c>
      <c r="AD5776" s="1" t="s">
        <v>24</v>
      </c>
      <c r="AE5776" s="1" t="s">
        <v>24</v>
      </c>
      <c r="AF5776" s="22"/>
    </row>
    <row r="5777" spans="1:32" x14ac:dyDescent="0.2">
      <c r="A5777" s="1">
        <v>57156</v>
      </c>
      <c r="B5777" s="1" t="s">
        <v>17191</v>
      </c>
      <c r="C5777" s="5" t="s">
        <v>0</v>
      </c>
      <c r="D5777" s="1" t="s">
        <v>17192</v>
      </c>
      <c r="E5777" s="1" t="s">
        <v>17193</v>
      </c>
      <c r="F5777" s="1" t="s">
        <v>17194</v>
      </c>
      <c r="G5777" s="1" t="s">
        <v>61</v>
      </c>
      <c r="H5777" s="1" t="s">
        <v>7640</v>
      </c>
      <c r="I5777" s="1" t="s">
        <v>16</v>
      </c>
      <c r="J5777" s="1">
        <v>1</v>
      </c>
      <c r="K5777" s="1">
        <v>4</v>
      </c>
      <c r="L5777" s="1" t="s">
        <v>31</v>
      </c>
      <c r="M5777" s="1" t="s">
        <v>18</v>
      </c>
      <c r="N5777" s="1" t="s">
        <v>18</v>
      </c>
      <c r="O5777" s="1">
        <v>3</v>
      </c>
      <c r="P5777" s="1">
        <v>6</v>
      </c>
      <c r="R5777" s="1" t="s">
        <v>19</v>
      </c>
      <c r="S5777" s="1" t="s">
        <v>20</v>
      </c>
      <c r="T5777" s="1" t="s">
        <v>21</v>
      </c>
      <c r="V5777" s="1" t="s">
        <v>23</v>
      </c>
      <c r="W5777" s="1" t="s">
        <v>24</v>
      </c>
      <c r="X5777" s="1">
        <v>2735</v>
      </c>
      <c r="Y5777" s="1">
        <v>2746</v>
      </c>
      <c r="Z5777" s="1" t="s">
        <v>24</v>
      </c>
      <c r="AA5777" s="1" t="s">
        <v>24</v>
      </c>
      <c r="AB5777" s="1" t="s">
        <v>24</v>
      </c>
      <c r="AC5777" s="1" t="s">
        <v>24</v>
      </c>
      <c r="AD5777" s="1" t="s">
        <v>24</v>
      </c>
      <c r="AE5777" s="1" t="s">
        <v>24</v>
      </c>
      <c r="AF5777" s="22"/>
    </row>
    <row r="5778" spans="1:32" x14ac:dyDescent="0.2">
      <c r="A5778" s="1">
        <v>57157</v>
      </c>
      <c r="B5778" s="1" t="s">
        <v>17195</v>
      </c>
      <c r="C5778" s="5" t="s">
        <v>0</v>
      </c>
      <c r="D5778" s="1" t="s">
        <v>17196</v>
      </c>
      <c r="E5778" s="1" t="s">
        <v>17197</v>
      </c>
      <c r="F5778" s="1" t="s">
        <v>91</v>
      </c>
      <c r="G5778" s="1" t="s">
        <v>61</v>
      </c>
      <c r="H5778" s="1" t="s">
        <v>92</v>
      </c>
      <c r="I5778" s="1" t="s">
        <v>16</v>
      </c>
      <c r="J5778" s="1">
        <v>1</v>
      </c>
      <c r="K5778" s="1">
        <v>4</v>
      </c>
      <c r="L5778" s="1" t="s">
        <v>31</v>
      </c>
      <c r="M5778" s="1" t="s">
        <v>18</v>
      </c>
      <c r="N5778" s="1" t="s">
        <v>18</v>
      </c>
      <c r="O5778" s="1">
        <v>3</v>
      </c>
      <c r="P5778" s="1">
        <v>7</v>
      </c>
      <c r="Q5778" s="7" t="s">
        <v>17633</v>
      </c>
      <c r="R5778" s="1" t="s">
        <v>19</v>
      </c>
      <c r="S5778" s="1" t="s">
        <v>20</v>
      </c>
      <c r="T5778" s="1" t="s">
        <v>21</v>
      </c>
      <c r="U5778" s="1" t="s">
        <v>22</v>
      </c>
      <c r="V5778" s="1" t="s">
        <v>23</v>
      </c>
      <c r="W5778" s="1" t="s">
        <v>24</v>
      </c>
      <c r="X5778" s="1">
        <v>2719</v>
      </c>
      <c r="Y5778" s="1" t="s">
        <v>24</v>
      </c>
      <c r="Z5778" s="1" t="s">
        <v>24</v>
      </c>
      <c r="AA5778" s="1" t="s">
        <v>24</v>
      </c>
      <c r="AB5778" s="1" t="s">
        <v>24</v>
      </c>
      <c r="AC5778" s="1" t="s">
        <v>24</v>
      </c>
      <c r="AD5778" s="1" t="s">
        <v>24</v>
      </c>
      <c r="AE5778" s="1" t="s">
        <v>24</v>
      </c>
      <c r="AF5778" s="22"/>
    </row>
    <row r="5779" spans="1:32" x14ac:dyDescent="0.2">
      <c r="A5779" s="1">
        <v>57160</v>
      </c>
      <c r="B5779" s="1" t="s">
        <v>17198</v>
      </c>
      <c r="C5779" s="5" t="s">
        <v>0</v>
      </c>
      <c r="E5779" s="1" t="s">
        <v>17199</v>
      </c>
      <c r="F5779" s="1" t="s">
        <v>155</v>
      </c>
      <c r="G5779" s="1" t="s">
        <v>61</v>
      </c>
      <c r="H5779" s="1" t="s">
        <v>37</v>
      </c>
      <c r="I5779" s="1" t="s">
        <v>16</v>
      </c>
      <c r="J5779" s="1">
        <v>1</v>
      </c>
      <c r="K5779" s="1">
        <v>1</v>
      </c>
      <c r="L5779" s="1" t="s">
        <v>31</v>
      </c>
      <c r="M5779" s="1" t="s">
        <v>18</v>
      </c>
      <c r="N5779" s="1" t="s">
        <v>18</v>
      </c>
      <c r="O5779" s="1">
        <v>3</v>
      </c>
      <c r="P5779" s="1">
        <v>7</v>
      </c>
      <c r="Q5779" s="7" t="s">
        <v>17633</v>
      </c>
      <c r="R5779" s="1" t="s">
        <v>19</v>
      </c>
      <c r="S5779" s="1" t="s">
        <v>20</v>
      </c>
      <c r="T5779" s="1" t="s">
        <v>21</v>
      </c>
      <c r="U5779" s="1" t="s">
        <v>22</v>
      </c>
      <c r="V5779" s="1" t="s">
        <v>23</v>
      </c>
      <c r="W5779" s="1" t="s">
        <v>24</v>
      </c>
      <c r="X5779" s="1">
        <v>2730</v>
      </c>
      <c r="Y5779" s="1">
        <v>2719</v>
      </c>
      <c r="Z5779" s="1" t="s">
        <v>24</v>
      </c>
      <c r="AA5779" s="1" t="s">
        <v>24</v>
      </c>
      <c r="AB5779" s="1" t="s">
        <v>24</v>
      </c>
      <c r="AC5779" s="1" t="s">
        <v>24</v>
      </c>
      <c r="AD5779" s="1" t="s">
        <v>24</v>
      </c>
      <c r="AE5779" s="1" t="s">
        <v>24</v>
      </c>
      <c r="AF5779" s="22"/>
    </row>
    <row r="5780" spans="1:32" x14ac:dyDescent="0.2">
      <c r="A5780" s="1">
        <v>57163</v>
      </c>
      <c r="B5780" s="1" t="s">
        <v>17200</v>
      </c>
      <c r="C5780" s="5" t="s">
        <v>0</v>
      </c>
      <c r="D5780" s="1" t="s">
        <v>17201</v>
      </c>
      <c r="F5780" s="1" t="s">
        <v>12162</v>
      </c>
      <c r="G5780" s="1" t="s">
        <v>61</v>
      </c>
      <c r="H5780" s="1" t="s">
        <v>899</v>
      </c>
      <c r="I5780" s="1" t="s">
        <v>16</v>
      </c>
      <c r="J5780" s="1">
        <v>1</v>
      </c>
      <c r="K5780" s="1">
        <v>4</v>
      </c>
      <c r="L5780" s="1" t="s">
        <v>31</v>
      </c>
      <c r="M5780" s="1" t="s">
        <v>18</v>
      </c>
      <c r="N5780" s="1" t="s">
        <v>18</v>
      </c>
      <c r="O5780" s="1">
        <v>2</v>
      </c>
      <c r="P5780" s="1">
        <v>7</v>
      </c>
      <c r="Q5780" s="7" t="s">
        <v>17633</v>
      </c>
      <c r="R5780" s="1" t="s">
        <v>19</v>
      </c>
      <c r="S5780" s="1" t="s">
        <v>20</v>
      </c>
      <c r="T5780" s="1" t="s">
        <v>21</v>
      </c>
      <c r="V5780" s="1" t="s">
        <v>23</v>
      </c>
      <c r="W5780" s="1" t="s">
        <v>24</v>
      </c>
      <c r="X5780" s="1">
        <v>2725</v>
      </c>
      <c r="Y5780" s="1">
        <v>2739</v>
      </c>
      <c r="Z5780" s="1">
        <v>3311</v>
      </c>
      <c r="AA5780" s="1" t="s">
        <v>24</v>
      </c>
      <c r="AB5780" s="1" t="s">
        <v>24</v>
      </c>
      <c r="AC5780" s="1" t="s">
        <v>24</v>
      </c>
      <c r="AD5780" s="1" t="s">
        <v>24</v>
      </c>
      <c r="AE5780" s="1" t="s">
        <v>24</v>
      </c>
      <c r="AF5780" s="22" t="s">
        <v>17679</v>
      </c>
    </row>
    <row r="5781" spans="1:32" x14ac:dyDescent="0.2">
      <c r="A5781" s="1">
        <v>57165</v>
      </c>
      <c r="B5781" s="1" t="s">
        <v>17202</v>
      </c>
      <c r="C5781" s="5" t="s">
        <v>0</v>
      </c>
      <c r="E5781" s="1" t="s">
        <v>17203</v>
      </c>
      <c r="F5781" s="1" t="s">
        <v>155</v>
      </c>
      <c r="G5781" s="1" t="s">
        <v>61</v>
      </c>
      <c r="H5781" s="1" t="s">
        <v>37</v>
      </c>
      <c r="I5781" s="1" t="s">
        <v>16</v>
      </c>
      <c r="J5781" s="1">
        <v>1</v>
      </c>
      <c r="K5781" s="1">
        <v>12</v>
      </c>
      <c r="L5781" s="1" t="s">
        <v>31</v>
      </c>
      <c r="M5781" s="1" t="s">
        <v>18</v>
      </c>
      <c r="N5781" s="1" t="s">
        <v>18</v>
      </c>
      <c r="O5781" s="1">
        <v>3</v>
      </c>
      <c r="P5781" s="1">
        <v>7</v>
      </c>
      <c r="Q5781" s="7" t="s">
        <v>17633</v>
      </c>
      <c r="R5781" s="1" t="s">
        <v>19</v>
      </c>
      <c r="S5781" s="1" t="s">
        <v>20</v>
      </c>
      <c r="T5781" s="1" t="s">
        <v>21</v>
      </c>
      <c r="U5781" s="1" t="s">
        <v>22</v>
      </c>
      <c r="V5781" s="1" t="s">
        <v>23</v>
      </c>
      <c r="W5781" s="1" t="s">
        <v>24</v>
      </c>
      <c r="X5781" s="1">
        <v>2700</v>
      </c>
      <c r="Y5781" s="1" t="s">
        <v>24</v>
      </c>
      <c r="Z5781" s="1" t="s">
        <v>24</v>
      </c>
      <c r="AA5781" s="1" t="s">
        <v>24</v>
      </c>
      <c r="AB5781" s="1" t="s">
        <v>24</v>
      </c>
      <c r="AC5781" s="1" t="s">
        <v>24</v>
      </c>
      <c r="AD5781" s="1" t="s">
        <v>24</v>
      </c>
      <c r="AE5781" s="1" t="s">
        <v>24</v>
      </c>
      <c r="AF5781" s="22"/>
    </row>
    <row r="5782" spans="1:32" x14ac:dyDescent="0.2">
      <c r="A5782" s="1">
        <v>57167</v>
      </c>
      <c r="B5782" s="1" t="s">
        <v>17204</v>
      </c>
      <c r="C5782" s="5" t="s">
        <v>0</v>
      </c>
      <c r="D5782" s="1" t="s">
        <v>17205</v>
      </c>
      <c r="E5782" s="1" t="s">
        <v>17206</v>
      </c>
      <c r="F5782" s="1" t="s">
        <v>85</v>
      </c>
      <c r="G5782" s="1" t="s">
        <v>61</v>
      </c>
      <c r="H5782" s="1" t="s">
        <v>86</v>
      </c>
      <c r="I5782" s="1" t="s">
        <v>16</v>
      </c>
      <c r="J5782" s="1">
        <v>1</v>
      </c>
      <c r="K5782" s="1">
        <v>4</v>
      </c>
      <c r="L5782" s="1" t="s">
        <v>31</v>
      </c>
      <c r="M5782" s="1" t="s">
        <v>87</v>
      </c>
      <c r="N5782" s="1" t="s">
        <v>199</v>
      </c>
      <c r="O5782" s="1">
        <v>3</v>
      </c>
      <c r="P5782" s="1">
        <v>6</v>
      </c>
      <c r="R5782" s="1" t="s">
        <v>19</v>
      </c>
      <c r="S5782" s="1" t="s">
        <v>20</v>
      </c>
      <c r="T5782" s="1" t="s">
        <v>21</v>
      </c>
      <c r="V5782" s="1" t="s">
        <v>23</v>
      </c>
      <c r="W5782" s="1" t="s">
        <v>24</v>
      </c>
      <c r="X5782" s="1">
        <v>2730</v>
      </c>
      <c r="Y5782" s="1">
        <v>2720</v>
      </c>
      <c r="Z5782" s="1">
        <v>2735</v>
      </c>
      <c r="AA5782" s="1" t="s">
        <v>24</v>
      </c>
      <c r="AB5782" s="1" t="s">
        <v>24</v>
      </c>
      <c r="AC5782" s="1" t="s">
        <v>24</v>
      </c>
      <c r="AD5782" s="1" t="s">
        <v>24</v>
      </c>
      <c r="AE5782" s="1" t="s">
        <v>24</v>
      </c>
      <c r="AF5782" s="22"/>
    </row>
    <row r="5783" spans="1:32" x14ac:dyDescent="0.2">
      <c r="A5783" s="1">
        <v>57168</v>
      </c>
      <c r="B5783" s="1" t="s">
        <v>17207</v>
      </c>
      <c r="C5783" s="5" t="s">
        <v>0</v>
      </c>
      <c r="E5783" s="1" t="s">
        <v>17208</v>
      </c>
      <c r="F5783" s="1" t="s">
        <v>6159</v>
      </c>
      <c r="G5783" s="1" t="s">
        <v>61</v>
      </c>
      <c r="H5783" s="1" t="s">
        <v>168</v>
      </c>
      <c r="I5783" s="1" t="s">
        <v>16</v>
      </c>
      <c r="J5783" s="1">
        <v>1</v>
      </c>
      <c r="K5783" s="1">
        <v>4</v>
      </c>
      <c r="L5783" s="1" t="s">
        <v>31</v>
      </c>
      <c r="M5783" s="1" t="s">
        <v>18</v>
      </c>
      <c r="N5783" s="1" t="s">
        <v>18</v>
      </c>
      <c r="O5783" s="1">
        <v>2</v>
      </c>
      <c r="P5783" s="1">
        <v>7</v>
      </c>
      <c r="Q5783" s="7" t="s">
        <v>17633</v>
      </c>
      <c r="R5783" s="1" t="s">
        <v>19</v>
      </c>
      <c r="S5783" s="1" t="s">
        <v>20</v>
      </c>
      <c r="T5783" s="1" t="s">
        <v>21</v>
      </c>
      <c r="U5783" s="1" t="s">
        <v>22</v>
      </c>
      <c r="V5783" s="1" t="s">
        <v>23</v>
      </c>
      <c r="W5783" s="1" t="s">
        <v>24</v>
      </c>
      <c r="X5783" s="1">
        <v>2715</v>
      </c>
      <c r="Y5783" s="1">
        <v>2741</v>
      </c>
      <c r="Z5783" s="1" t="s">
        <v>24</v>
      </c>
      <c r="AA5783" s="1" t="s">
        <v>24</v>
      </c>
      <c r="AB5783" s="1" t="s">
        <v>24</v>
      </c>
      <c r="AC5783" s="1" t="s">
        <v>24</v>
      </c>
      <c r="AD5783" s="1" t="s">
        <v>24</v>
      </c>
      <c r="AE5783" s="1" t="s">
        <v>24</v>
      </c>
      <c r="AF5783" s="22"/>
    </row>
    <row r="5784" spans="1:32" x14ac:dyDescent="0.2">
      <c r="A5784" s="1">
        <v>57336</v>
      </c>
      <c r="B5784" s="1" t="s">
        <v>17209</v>
      </c>
      <c r="C5784" s="5" t="s">
        <v>0</v>
      </c>
      <c r="D5784" s="1" t="s">
        <v>17210</v>
      </c>
      <c r="E5784" s="1" t="s">
        <v>17211</v>
      </c>
      <c r="F5784" s="1" t="s">
        <v>6405</v>
      </c>
      <c r="G5784" s="1" t="s">
        <v>6406</v>
      </c>
      <c r="H5784" s="1" t="s">
        <v>92</v>
      </c>
      <c r="I5784" s="1" t="s">
        <v>16</v>
      </c>
      <c r="J5784" s="1">
        <v>1</v>
      </c>
      <c r="K5784" s="1">
        <v>4</v>
      </c>
      <c r="L5784" s="1" t="s">
        <v>31</v>
      </c>
      <c r="M5784" s="1" t="s">
        <v>18</v>
      </c>
      <c r="N5784" s="1" t="s">
        <v>18</v>
      </c>
      <c r="O5784" s="1">
        <v>3</v>
      </c>
      <c r="P5784" s="1">
        <v>7</v>
      </c>
      <c r="Q5784" s="7" t="s">
        <v>17633</v>
      </c>
      <c r="R5784" s="1" t="s">
        <v>19</v>
      </c>
      <c r="S5784" s="1" t="s">
        <v>20</v>
      </c>
      <c r="T5784" s="1" t="s">
        <v>21</v>
      </c>
      <c r="V5784" s="1" t="s">
        <v>24</v>
      </c>
      <c r="W5784" s="1" t="s">
        <v>24</v>
      </c>
      <c r="X5784" s="1">
        <v>3003</v>
      </c>
      <c r="Y5784" s="1">
        <v>2204</v>
      </c>
      <c r="Z5784" s="1" t="s">
        <v>24</v>
      </c>
      <c r="AA5784" s="1" t="s">
        <v>24</v>
      </c>
      <c r="AB5784" s="1" t="s">
        <v>24</v>
      </c>
      <c r="AC5784" s="1" t="s">
        <v>24</v>
      </c>
      <c r="AD5784" s="1" t="s">
        <v>24</v>
      </c>
      <c r="AE5784" s="1" t="s">
        <v>24</v>
      </c>
      <c r="AF5784" s="22"/>
    </row>
    <row r="5785" spans="1:32" x14ac:dyDescent="0.2">
      <c r="A5785" s="1">
        <v>57337</v>
      </c>
      <c r="B5785" s="1" t="s">
        <v>17212</v>
      </c>
      <c r="C5785" s="5" t="s">
        <v>0</v>
      </c>
      <c r="E5785" s="1" t="s">
        <v>17213</v>
      </c>
      <c r="F5785" s="1" t="s">
        <v>2299</v>
      </c>
      <c r="G5785" s="1" t="s">
        <v>2300</v>
      </c>
      <c r="H5785" s="1" t="s">
        <v>37</v>
      </c>
      <c r="I5785" s="1" t="s">
        <v>16</v>
      </c>
      <c r="J5785" s="1">
        <v>1</v>
      </c>
      <c r="K5785" s="1">
        <v>1</v>
      </c>
      <c r="L5785" s="1" t="s">
        <v>31</v>
      </c>
      <c r="M5785" s="1" t="s">
        <v>18</v>
      </c>
      <c r="N5785" s="1" t="s">
        <v>18</v>
      </c>
      <c r="O5785" s="1">
        <v>3</v>
      </c>
      <c r="P5785" s="1">
        <v>7</v>
      </c>
      <c r="Q5785" s="7" t="s">
        <v>17633</v>
      </c>
      <c r="R5785" s="1" t="s">
        <v>19</v>
      </c>
      <c r="S5785" s="1" t="s">
        <v>63</v>
      </c>
      <c r="T5785" s="1" t="s">
        <v>21</v>
      </c>
      <c r="V5785" s="1" t="s">
        <v>24</v>
      </c>
      <c r="W5785" s="1" t="s">
        <v>24</v>
      </c>
      <c r="X5785" s="1">
        <v>2704</v>
      </c>
      <c r="Y5785" s="1">
        <v>1308</v>
      </c>
      <c r="Z5785" s="1">
        <v>1313</v>
      </c>
      <c r="AA5785" s="1" t="s">
        <v>24</v>
      </c>
      <c r="AB5785" s="1" t="s">
        <v>24</v>
      </c>
      <c r="AC5785" s="1" t="s">
        <v>24</v>
      </c>
      <c r="AD5785" s="1" t="s">
        <v>24</v>
      </c>
      <c r="AE5785" s="1" t="s">
        <v>24</v>
      </c>
      <c r="AF5785" s="22"/>
    </row>
    <row r="5786" spans="1:32" x14ac:dyDescent="0.2">
      <c r="A5786" s="1">
        <v>57338</v>
      </c>
      <c r="B5786" s="1" t="s">
        <v>17214</v>
      </c>
      <c r="C5786" s="5" t="s">
        <v>0</v>
      </c>
      <c r="E5786" s="1" t="s">
        <v>17215</v>
      </c>
      <c r="F5786" s="1" t="s">
        <v>2299</v>
      </c>
      <c r="G5786" s="1" t="s">
        <v>2300</v>
      </c>
      <c r="H5786" s="1" t="s">
        <v>37</v>
      </c>
      <c r="I5786" s="1" t="s">
        <v>16</v>
      </c>
      <c r="J5786" s="1">
        <v>1</v>
      </c>
      <c r="K5786" s="1">
        <v>1</v>
      </c>
      <c r="L5786" s="1" t="s">
        <v>31</v>
      </c>
      <c r="M5786" s="1" t="s">
        <v>18</v>
      </c>
      <c r="N5786" s="1" t="s">
        <v>18</v>
      </c>
      <c r="O5786" s="1">
        <v>3</v>
      </c>
      <c r="P5786" s="1">
        <v>7</v>
      </c>
      <c r="Q5786" s="7" t="s">
        <v>17633</v>
      </c>
      <c r="R5786" s="1" t="s">
        <v>19</v>
      </c>
      <c r="S5786" s="1" t="s">
        <v>63</v>
      </c>
      <c r="T5786" s="1" t="s">
        <v>21</v>
      </c>
      <c r="V5786" s="1" t="s">
        <v>24</v>
      </c>
      <c r="W5786" s="1" t="s">
        <v>24</v>
      </c>
      <c r="X5786" s="1">
        <v>2747</v>
      </c>
      <c r="Y5786" s="1">
        <v>2403</v>
      </c>
      <c r="Z5786" s="1" t="s">
        <v>24</v>
      </c>
      <c r="AA5786" s="1" t="s">
        <v>24</v>
      </c>
      <c r="AB5786" s="1" t="s">
        <v>24</v>
      </c>
      <c r="AC5786" s="1" t="s">
        <v>24</v>
      </c>
      <c r="AD5786" s="1" t="s">
        <v>24</v>
      </c>
      <c r="AE5786" s="1" t="s">
        <v>24</v>
      </c>
      <c r="AF5786" s="22"/>
    </row>
    <row r="5787" spans="1:32" x14ac:dyDescent="0.2">
      <c r="A5787" s="1">
        <v>57339</v>
      </c>
      <c r="B5787" s="1" t="s">
        <v>17216</v>
      </c>
      <c r="C5787" s="5" t="s">
        <v>0</v>
      </c>
      <c r="E5787" s="1" t="s">
        <v>17217</v>
      </c>
      <c r="F5787" s="1" t="s">
        <v>2299</v>
      </c>
      <c r="G5787" s="1" t="s">
        <v>2300</v>
      </c>
      <c r="H5787" s="1" t="s">
        <v>37</v>
      </c>
      <c r="I5787" s="1" t="s">
        <v>16</v>
      </c>
      <c r="J5787" s="1">
        <v>1</v>
      </c>
      <c r="K5787" s="1">
        <v>1</v>
      </c>
      <c r="L5787" s="1" t="s">
        <v>31</v>
      </c>
      <c r="M5787" s="1" t="s">
        <v>18</v>
      </c>
      <c r="N5787" s="1" t="s">
        <v>18</v>
      </c>
      <c r="O5787" s="1">
        <v>3</v>
      </c>
      <c r="P5787" s="1">
        <v>7</v>
      </c>
      <c r="Q5787" s="7" t="s">
        <v>17633</v>
      </c>
      <c r="R5787" s="1" t="s">
        <v>19</v>
      </c>
      <c r="S5787" s="1" t="s">
        <v>63</v>
      </c>
      <c r="T5787" s="1" t="s">
        <v>21</v>
      </c>
      <c r="V5787" s="1" t="s">
        <v>24</v>
      </c>
      <c r="W5787" s="1" t="s">
        <v>24</v>
      </c>
      <c r="X5787" s="1">
        <v>2804</v>
      </c>
      <c r="Y5787" s="1" t="s">
        <v>24</v>
      </c>
      <c r="Z5787" s="1" t="s">
        <v>24</v>
      </c>
      <c r="AA5787" s="1" t="s">
        <v>24</v>
      </c>
      <c r="AB5787" s="1" t="s">
        <v>24</v>
      </c>
      <c r="AC5787" s="1" t="s">
        <v>24</v>
      </c>
      <c r="AD5787" s="1" t="s">
        <v>24</v>
      </c>
      <c r="AE5787" s="1" t="s">
        <v>24</v>
      </c>
      <c r="AF5787" s="22"/>
    </row>
    <row r="5788" spans="1:32" x14ac:dyDescent="0.2">
      <c r="A5788" s="1">
        <v>57340</v>
      </c>
      <c r="B5788" s="1" t="s">
        <v>17218</v>
      </c>
      <c r="C5788" s="5" t="s">
        <v>0</v>
      </c>
      <c r="E5788" s="1" t="s">
        <v>17219</v>
      </c>
      <c r="F5788" s="1" t="s">
        <v>2299</v>
      </c>
      <c r="G5788" s="1" t="s">
        <v>2300</v>
      </c>
      <c r="H5788" s="1" t="s">
        <v>37</v>
      </c>
      <c r="I5788" s="1" t="s">
        <v>16</v>
      </c>
      <c r="J5788" s="1">
        <v>1</v>
      </c>
      <c r="K5788" s="1">
        <v>1</v>
      </c>
      <c r="L5788" s="1" t="s">
        <v>31</v>
      </c>
      <c r="M5788" s="1" t="s">
        <v>18</v>
      </c>
      <c r="N5788" s="1" t="s">
        <v>18</v>
      </c>
      <c r="O5788" s="1">
        <v>3</v>
      </c>
      <c r="P5788" s="1">
        <v>7</v>
      </c>
      <c r="Q5788" s="7" t="s">
        <v>17633</v>
      </c>
      <c r="R5788" s="1" t="s">
        <v>19</v>
      </c>
      <c r="S5788" s="1" t="s">
        <v>63</v>
      </c>
      <c r="T5788" s="1" t="s">
        <v>21</v>
      </c>
      <c r="V5788" s="1" t="s">
        <v>24</v>
      </c>
      <c r="W5788" s="1" t="s">
        <v>24</v>
      </c>
      <c r="X5788" s="1">
        <v>2718</v>
      </c>
      <c r="Y5788" s="1">
        <v>3605</v>
      </c>
      <c r="Z5788" s="1" t="s">
        <v>24</v>
      </c>
      <c r="AA5788" s="1" t="s">
        <v>24</v>
      </c>
      <c r="AB5788" s="1" t="s">
        <v>24</v>
      </c>
      <c r="AC5788" s="1" t="s">
        <v>24</v>
      </c>
      <c r="AD5788" s="1" t="s">
        <v>24</v>
      </c>
      <c r="AE5788" s="1" t="s">
        <v>24</v>
      </c>
      <c r="AF5788" s="22"/>
    </row>
    <row r="5789" spans="1:32" x14ac:dyDescent="0.2">
      <c r="A5789" s="1">
        <v>57341</v>
      </c>
      <c r="B5789" s="1" t="s">
        <v>17220</v>
      </c>
      <c r="C5789" s="5" t="s">
        <v>0</v>
      </c>
      <c r="D5789" s="1" t="s">
        <v>17221</v>
      </c>
      <c r="E5789" s="1" t="s">
        <v>17222</v>
      </c>
      <c r="F5789" s="1" t="s">
        <v>8442</v>
      </c>
      <c r="G5789" s="1" t="s">
        <v>8443</v>
      </c>
      <c r="H5789" s="1" t="s">
        <v>37</v>
      </c>
      <c r="I5789" s="1" t="s">
        <v>16</v>
      </c>
      <c r="J5789" s="1">
        <v>1</v>
      </c>
      <c r="K5789" s="1">
        <v>6</v>
      </c>
      <c r="L5789" s="1" t="s">
        <v>31</v>
      </c>
      <c r="M5789" s="1" t="s">
        <v>18</v>
      </c>
      <c r="N5789" s="1" t="s">
        <v>18</v>
      </c>
      <c r="O5789" s="1">
        <v>3</v>
      </c>
      <c r="P5789" s="1">
        <v>7</v>
      </c>
      <c r="Q5789" s="7" t="s">
        <v>17633</v>
      </c>
      <c r="R5789" s="1" t="s">
        <v>19</v>
      </c>
      <c r="S5789" s="1" t="s">
        <v>20</v>
      </c>
      <c r="T5789" s="1" t="s">
        <v>21</v>
      </c>
      <c r="V5789" s="1" t="s">
        <v>24</v>
      </c>
      <c r="W5789" s="1" t="s">
        <v>24</v>
      </c>
      <c r="X5789" s="1">
        <v>2720</v>
      </c>
      <c r="Y5789" s="1">
        <v>2730</v>
      </c>
      <c r="Z5789" s="1">
        <v>2736</v>
      </c>
      <c r="AA5789" s="1" t="s">
        <v>24</v>
      </c>
      <c r="AB5789" s="1" t="s">
        <v>24</v>
      </c>
      <c r="AC5789" s="1" t="s">
        <v>24</v>
      </c>
      <c r="AD5789" s="1" t="s">
        <v>24</v>
      </c>
      <c r="AE5789" s="1" t="s">
        <v>24</v>
      </c>
      <c r="AF5789" s="22"/>
    </row>
    <row r="5790" spans="1:32" x14ac:dyDescent="0.2">
      <c r="A5790" s="1">
        <v>57342</v>
      </c>
      <c r="B5790" s="1" t="s">
        <v>17223</v>
      </c>
      <c r="C5790" s="5" t="s">
        <v>0</v>
      </c>
      <c r="D5790" s="1" t="s">
        <v>17224</v>
      </c>
      <c r="E5790" s="1" t="s">
        <v>17225</v>
      </c>
      <c r="F5790" s="1" t="s">
        <v>1412</v>
      </c>
      <c r="G5790" s="1" t="s">
        <v>1413</v>
      </c>
      <c r="H5790" s="1" t="s">
        <v>30</v>
      </c>
      <c r="I5790" s="1" t="s">
        <v>16</v>
      </c>
      <c r="J5790" s="1">
        <v>1</v>
      </c>
      <c r="K5790" s="1">
        <v>1</v>
      </c>
      <c r="L5790" s="1" t="s">
        <v>31</v>
      </c>
      <c r="M5790" s="1" t="s">
        <v>18</v>
      </c>
      <c r="N5790" s="1" t="s">
        <v>18</v>
      </c>
      <c r="O5790" s="1">
        <v>2</v>
      </c>
      <c r="P5790" s="1">
        <v>7</v>
      </c>
      <c r="Q5790" s="7" t="s">
        <v>17633</v>
      </c>
      <c r="R5790" s="1" t="s">
        <v>19</v>
      </c>
      <c r="S5790" s="1" t="s">
        <v>63</v>
      </c>
      <c r="T5790" s="1" t="s">
        <v>21</v>
      </c>
      <c r="V5790" s="1" t="s">
        <v>24</v>
      </c>
      <c r="W5790" s="1" t="s">
        <v>24</v>
      </c>
      <c r="X5790" s="1">
        <v>2723</v>
      </c>
      <c r="Y5790" s="1">
        <v>2403</v>
      </c>
      <c r="Z5790" s="1" t="s">
        <v>24</v>
      </c>
      <c r="AA5790" s="1" t="s">
        <v>24</v>
      </c>
      <c r="AB5790" s="1" t="s">
        <v>24</v>
      </c>
      <c r="AC5790" s="1" t="s">
        <v>24</v>
      </c>
      <c r="AD5790" s="1" t="s">
        <v>24</v>
      </c>
      <c r="AE5790" s="1" t="s">
        <v>24</v>
      </c>
      <c r="AF5790" s="22"/>
    </row>
    <row r="5791" spans="1:32" x14ac:dyDescent="0.2">
      <c r="A5791" s="1">
        <v>57343</v>
      </c>
      <c r="B5791" s="1" t="s">
        <v>17226</v>
      </c>
      <c r="C5791" s="5" t="s">
        <v>0</v>
      </c>
      <c r="D5791" s="1" t="s">
        <v>17227</v>
      </c>
      <c r="E5791" s="1" t="s">
        <v>17228</v>
      </c>
      <c r="F5791" s="1" t="s">
        <v>1412</v>
      </c>
      <c r="G5791" s="1" t="s">
        <v>1413</v>
      </c>
      <c r="H5791" s="1" t="s">
        <v>30</v>
      </c>
      <c r="I5791" s="1" t="s">
        <v>16</v>
      </c>
      <c r="J5791" s="1">
        <v>1</v>
      </c>
      <c r="K5791" s="1">
        <v>1</v>
      </c>
      <c r="L5791" s="1" t="s">
        <v>31</v>
      </c>
      <c r="M5791" s="1" t="s">
        <v>18</v>
      </c>
      <c r="N5791" s="1" t="s">
        <v>18</v>
      </c>
      <c r="O5791" s="1">
        <v>2</v>
      </c>
      <c r="P5791" s="1">
        <v>7</v>
      </c>
      <c r="Q5791" s="7" t="s">
        <v>17633</v>
      </c>
      <c r="R5791" s="1" t="s">
        <v>19</v>
      </c>
      <c r="S5791" s="1" t="s">
        <v>63</v>
      </c>
      <c r="T5791" s="1" t="s">
        <v>21</v>
      </c>
      <c r="V5791" s="1" t="s">
        <v>24</v>
      </c>
      <c r="W5791" s="1" t="s">
        <v>24</v>
      </c>
      <c r="X5791" s="1">
        <v>2705</v>
      </c>
      <c r="Y5791" s="1" t="s">
        <v>24</v>
      </c>
      <c r="Z5791" s="1" t="s">
        <v>24</v>
      </c>
      <c r="AA5791" s="1" t="s">
        <v>24</v>
      </c>
      <c r="AB5791" s="1" t="s">
        <v>24</v>
      </c>
      <c r="AC5791" s="1" t="s">
        <v>24</v>
      </c>
      <c r="AD5791" s="1" t="s">
        <v>24</v>
      </c>
      <c r="AE5791" s="1" t="s">
        <v>24</v>
      </c>
      <c r="AF5791" s="22"/>
    </row>
    <row r="5792" spans="1:32" x14ac:dyDescent="0.2">
      <c r="A5792" s="1">
        <v>57344</v>
      </c>
      <c r="B5792" s="1" t="s">
        <v>17229</v>
      </c>
      <c r="C5792" s="5" t="s">
        <v>0</v>
      </c>
      <c r="D5792" s="1" t="s">
        <v>17230</v>
      </c>
      <c r="E5792" s="1" t="s">
        <v>17231</v>
      </c>
      <c r="F5792" s="1" t="s">
        <v>1412</v>
      </c>
      <c r="G5792" s="1" t="s">
        <v>1413</v>
      </c>
      <c r="H5792" s="1" t="s">
        <v>30</v>
      </c>
      <c r="I5792" s="1" t="s">
        <v>16</v>
      </c>
      <c r="J5792" s="1">
        <v>1</v>
      </c>
      <c r="K5792" s="1">
        <v>1</v>
      </c>
      <c r="L5792" s="1" t="s">
        <v>31</v>
      </c>
      <c r="M5792" s="1" t="s">
        <v>18</v>
      </c>
      <c r="N5792" s="1" t="s">
        <v>18</v>
      </c>
      <c r="O5792" s="1">
        <v>2</v>
      </c>
      <c r="P5792" s="1">
        <v>7</v>
      </c>
      <c r="Q5792" s="7" t="s">
        <v>17633</v>
      </c>
      <c r="R5792" s="1" t="s">
        <v>19</v>
      </c>
      <c r="S5792" s="1" t="s">
        <v>63</v>
      </c>
      <c r="T5792" s="1" t="s">
        <v>21</v>
      </c>
      <c r="V5792" s="1" t="s">
        <v>24</v>
      </c>
      <c r="W5792" s="1" t="s">
        <v>24</v>
      </c>
      <c r="X5792" s="1">
        <v>2730</v>
      </c>
      <c r="Y5792" s="1" t="s">
        <v>24</v>
      </c>
      <c r="Z5792" s="1" t="s">
        <v>24</v>
      </c>
      <c r="AA5792" s="1" t="s">
        <v>24</v>
      </c>
      <c r="AB5792" s="1" t="s">
        <v>24</v>
      </c>
      <c r="AC5792" s="1" t="s">
        <v>24</v>
      </c>
      <c r="AD5792" s="1" t="s">
        <v>24</v>
      </c>
      <c r="AE5792" s="1" t="s">
        <v>24</v>
      </c>
      <c r="AF5792" s="22"/>
    </row>
    <row r="5793" spans="1:32" x14ac:dyDescent="0.2">
      <c r="A5793" s="1">
        <v>57345</v>
      </c>
      <c r="B5793" s="1" t="s">
        <v>17232</v>
      </c>
      <c r="C5793" s="5" t="s">
        <v>0</v>
      </c>
      <c r="D5793" s="1" t="s">
        <v>17233</v>
      </c>
      <c r="E5793" s="1" t="s">
        <v>17234</v>
      </c>
      <c r="F5793" s="1" t="s">
        <v>1412</v>
      </c>
      <c r="G5793" s="1" t="s">
        <v>1413</v>
      </c>
      <c r="H5793" s="1" t="s">
        <v>30</v>
      </c>
      <c r="I5793" s="1" t="s">
        <v>16</v>
      </c>
      <c r="J5793" s="1">
        <v>1</v>
      </c>
      <c r="K5793" s="1">
        <v>1</v>
      </c>
      <c r="L5793" s="1" t="s">
        <v>31</v>
      </c>
      <c r="M5793" s="1" t="s">
        <v>18</v>
      </c>
      <c r="N5793" s="1" t="s">
        <v>18</v>
      </c>
      <c r="O5793" s="1">
        <v>2</v>
      </c>
      <c r="P5793" s="1">
        <v>7</v>
      </c>
      <c r="Q5793" s="7" t="s">
        <v>17633</v>
      </c>
      <c r="R5793" s="1" t="s">
        <v>19</v>
      </c>
      <c r="S5793" s="1" t="s">
        <v>63</v>
      </c>
      <c r="T5793" s="1" t="s">
        <v>21</v>
      </c>
      <c r="V5793" s="1" t="s">
        <v>24</v>
      </c>
      <c r="W5793" s="1" t="s">
        <v>24</v>
      </c>
      <c r="X5793" s="1">
        <v>2712</v>
      </c>
      <c r="Y5793" s="1" t="s">
        <v>24</v>
      </c>
      <c r="Z5793" s="1" t="s">
        <v>24</v>
      </c>
      <c r="AA5793" s="1" t="s">
        <v>24</v>
      </c>
      <c r="AB5793" s="1" t="s">
        <v>24</v>
      </c>
      <c r="AC5793" s="1" t="s">
        <v>24</v>
      </c>
      <c r="AD5793" s="1" t="s">
        <v>24</v>
      </c>
      <c r="AE5793" s="1" t="s">
        <v>24</v>
      </c>
      <c r="AF5793" s="22"/>
    </row>
    <row r="5794" spans="1:32" x14ac:dyDescent="0.2">
      <c r="A5794" s="1">
        <v>57346</v>
      </c>
      <c r="B5794" s="1" t="s">
        <v>17235</v>
      </c>
      <c r="C5794" s="5" t="s">
        <v>0</v>
      </c>
      <c r="D5794" s="1" t="s">
        <v>17236</v>
      </c>
      <c r="E5794" s="1" t="s">
        <v>17237</v>
      </c>
      <c r="F5794" s="1" t="s">
        <v>1412</v>
      </c>
      <c r="G5794" s="1" t="s">
        <v>1413</v>
      </c>
      <c r="H5794" s="1" t="s">
        <v>30</v>
      </c>
      <c r="I5794" s="1" t="s">
        <v>16</v>
      </c>
      <c r="J5794" s="1">
        <v>1</v>
      </c>
      <c r="K5794" s="1">
        <v>1</v>
      </c>
      <c r="L5794" s="1" t="s">
        <v>31</v>
      </c>
      <c r="M5794" s="1" t="s">
        <v>18</v>
      </c>
      <c r="N5794" s="1" t="s">
        <v>18</v>
      </c>
      <c r="O5794" s="1">
        <v>2</v>
      </c>
      <c r="P5794" s="1">
        <v>7</v>
      </c>
      <c r="Q5794" s="7" t="s">
        <v>17633</v>
      </c>
      <c r="R5794" s="1" t="s">
        <v>19</v>
      </c>
      <c r="S5794" s="1" t="s">
        <v>63</v>
      </c>
      <c r="T5794" s="1" t="s">
        <v>21</v>
      </c>
      <c r="V5794" s="1" t="s">
        <v>24</v>
      </c>
      <c r="W5794" s="1" t="s">
        <v>24</v>
      </c>
      <c r="X5794" s="1">
        <v>2741</v>
      </c>
      <c r="Y5794" s="1" t="s">
        <v>24</v>
      </c>
      <c r="Z5794" s="1" t="s">
        <v>24</v>
      </c>
      <c r="AA5794" s="1" t="s">
        <v>24</v>
      </c>
      <c r="AB5794" s="1" t="s">
        <v>24</v>
      </c>
      <c r="AC5794" s="1" t="s">
        <v>24</v>
      </c>
      <c r="AD5794" s="1" t="s">
        <v>24</v>
      </c>
      <c r="AE5794" s="1" t="s">
        <v>24</v>
      </c>
      <c r="AF5794" s="22"/>
    </row>
    <row r="5795" spans="1:32" x14ac:dyDescent="0.2">
      <c r="A5795" s="1">
        <v>57347</v>
      </c>
      <c r="B5795" s="1" t="s">
        <v>17238</v>
      </c>
      <c r="C5795" s="5" t="s">
        <v>0</v>
      </c>
      <c r="D5795" s="1" t="s">
        <v>17239</v>
      </c>
      <c r="E5795" s="1" t="s">
        <v>17240</v>
      </c>
      <c r="F5795" s="1" t="s">
        <v>17241</v>
      </c>
      <c r="G5795" s="1" t="s">
        <v>8041</v>
      </c>
      <c r="H5795" s="1" t="s">
        <v>111</v>
      </c>
      <c r="I5795" s="1" t="s">
        <v>16</v>
      </c>
      <c r="J5795" s="1">
        <v>1</v>
      </c>
      <c r="K5795" s="1">
        <v>4</v>
      </c>
      <c r="L5795" s="1" t="s">
        <v>31</v>
      </c>
      <c r="M5795" s="1" t="s">
        <v>18</v>
      </c>
      <c r="N5795" s="1" t="s">
        <v>18</v>
      </c>
      <c r="O5795" s="1">
        <v>2</v>
      </c>
      <c r="P5795" s="1">
        <v>7</v>
      </c>
      <c r="Q5795" s="7" t="s">
        <v>17633</v>
      </c>
      <c r="R5795" s="1" t="s">
        <v>19</v>
      </c>
      <c r="S5795" s="1" t="s">
        <v>20</v>
      </c>
      <c r="T5795" s="1" t="s">
        <v>21</v>
      </c>
      <c r="V5795" s="1" t="s">
        <v>24</v>
      </c>
      <c r="W5795" s="1" t="s">
        <v>24</v>
      </c>
      <c r="X5795" s="1">
        <v>2204</v>
      </c>
      <c r="Y5795" s="1">
        <v>2701</v>
      </c>
      <c r="Z5795" s="1">
        <v>3003</v>
      </c>
      <c r="AA5795" s="1" t="s">
        <v>24</v>
      </c>
      <c r="AB5795" s="1" t="s">
        <v>24</v>
      </c>
      <c r="AC5795" s="1" t="s">
        <v>24</v>
      </c>
      <c r="AD5795" s="1" t="s">
        <v>24</v>
      </c>
      <c r="AE5795" s="1" t="s">
        <v>24</v>
      </c>
      <c r="AF5795" s="22"/>
    </row>
    <row r="5796" spans="1:32" x14ac:dyDescent="0.2">
      <c r="A5796" s="1">
        <v>57348</v>
      </c>
      <c r="B5796" s="1" t="s">
        <v>17242</v>
      </c>
      <c r="C5796" s="5" t="s">
        <v>0</v>
      </c>
      <c r="D5796" s="1">
        <v>20796382</v>
      </c>
      <c r="F5796" s="1" t="s">
        <v>4152</v>
      </c>
      <c r="G5796" s="1" t="s">
        <v>4152</v>
      </c>
      <c r="H5796" s="1" t="s">
        <v>111</v>
      </c>
      <c r="I5796" s="1" t="s">
        <v>16</v>
      </c>
      <c r="J5796" s="1">
        <v>1</v>
      </c>
      <c r="K5796" s="1">
        <v>1</v>
      </c>
      <c r="L5796" s="1" t="s">
        <v>42</v>
      </c>
      <c r="M5796" s="1" t="s">
        <v>18</v>
      </c>
      <c r="N5796" s="1" t="s">
        <v>18</v>
      </c>
      <c r="O5796" s="1">
        <v>3</v>
      </c>
      <c r="P5796" s="1">
        <v>7</v>
      </c>
      <c r="Q5796" s="7" t="s">
        <v>17633</v>
      </c>
      <c r="R5796" s="1" t="s">
        <v>19</v>
      </c>
      <c r="S5796" s="1" t="s">
        <v>63</v>
      </c>
      <c r="T5796" s="1" t="s">
        <v>21</v>
      </c>
      <c r="V5796" s="1" t="s">
        <v>24</v>
      </c>
      <c r="W5796" s="1" t="s">
        <v>24</v>
      </c>
      <c r="X5796" s="1">
        <v>1303</v>
      </c>
      <c r="Y5796" s="1">
        <v>2404</v>
      </c>
      <c r="Z5796" s="1">
        <v>2725</v>
      </c>
      <c r="AA5796" s="1">
        <v>2726</v>
      </c>
      <c r="AB5796" s="1">
        <v>2736</v>
      </c>
      <c r="AC5796" s="1">
        <v>3000</v>
      </c>
      <c r="AD5796" s="1" t="s">
        <v>24</v>
      </c>
      <c r="AE5796" s="1" t="s">
        <v>24</v>
      </c>
      <c r="AF5796" s="22" t="s">
        <v>17683</v>
      </c>
    </row>
    <row r="5797" spans="1:32" x14ac:dyDescent="0.2">
      <c r="A5797" s="1">
        <v>57349</v>
      </c>
      <c r="B5797" s="1" t="s">
        <v>17243</v>
      </c>
      <c r="C5797" s="5" t="s">
        <v>0</v>
      </c>
      <c r="D5797" s="1">
        <v>20734468</v>
      </c>
      <c r="F5797" s="1" t="s">
        <v>4152</v>
      </c>
      <c r="G5797" s="1" t="s">
        <v>4152</v>
      </c>
      <c r="H5797" s="1" t="s">
        <v>111</v>
      </c>
      <c r="I5797" s="1" t="s">
        <v>16</v>
      </c>
      <c r="J5797" s="1">
        <v>1</v>
      </c>
      <c r="K5797" s="1">
        <v>1</v>
      </c>
      <c r="L5797" s="1" t="s">
        <v>42</v>
      </c>
      <c r="M5797" s="1" t="s">
        <v>18</v>
      </c>
      <c r="N5797" s="1" t="s">
        <v>18</v>
      </c>
      <c r="O5797" s="1">
        <v>3</v>
      </c>
      <c r="P5797" s="1">
        <v>7</v>
      </c>
      <c r="Q5797" s="7" t="s">
        <v>17633</v>
      </c>
      <c r="R5797" s="1" t="s">
        <v>19</v>
      </c>
      <c r="S5797" s="1" t="s">
        <v>63</v>
      </c>
      <c r="T5797" s="1" t="s">
        <v>21</v>
      </c>
      <c r="V5797" s="1" t="s">
        <v>24</v>
      </c>
      <c r="W5797" s="1" t="s">
        <v>24</v>
      </c>
      <c r="X5797" s="1">
        <v>3002</v>
      </c>
      <c r="Y5797" s="1">
        <v>2403</v>
      </c>
      <c r="Z5797" s="1">
        <v>2723</v>
      </c>
      <c r="AA5797" s="1" t="s">
        <v>24</v>
      </c>
      <c r="AB5797" s="1" t="s">
        <v>24</v>
      </c>
      <c r="AC5797" s="1" t="s">
        <v>24</v>
      </c>
      <c r="AD5797" s="1" t="s">
        <v>24</v>
      </c>
      <c r="AE5797" s="1" t="s">
        <v>24</v>
      </c>
      <c r="AF5797" s="22" t="s">
        <v>17684</v>
      </c>
    </row>
    <row r="5798" spans="1:32" x14ac:dyDescent="0.2">
      <c r="A5798" s="1">
        <v>57350</v>
      </c>
      <c r="B5798" s="1" t="s">
        <v>17244</v>
      </c>
      <c r="C5798" s="5" t="s">
        <v>0</v>
      </c>
      <c r="D5798" s="1" t="s">
        <v>17245</v>
      </c>
      <c r="F5798" s="1" t="s">
        <v>1897</v>
      </c>
      <c r="G5798" s="1" t="s">
        <v>1898</v>
      </c>
      <c r="H5798" s="1" t="s">
        <v>899</v>
      </c>
      <c r="I5798" s="1" t="s">
        <v>16</v>
      </c>
      <c r="J5798" s="1">
        <v>1</v>
      </c>
      <c r="K5798" s="1">
        <v>4</v>
      </c>
      <c r="L5798" s="1" t="s">
        <v>31</v>
      </c>
      <c r="M5798" s="1" t="s">
        <v>18</v>
      </c>
      <c r="N5798" s="1" t="s">
        <v>18</v>
      </c>
      <c r="O5798" s="1">
        <v>3</v>
      </c>
      <c r="P5798" s="1">
        <v>7</v>
      </c>
      <c r="Q5798" s="7" t="s">
        <v>17633</v>
      </c>
      <c r="R5798" s="1" t="s">
        <v>19</v>
      </c>
      <c r="S5798" s="1" t="s">
        <v>20</v>
      </c>
      <c r="T5798" s="1" t="s">
        <v>21</v>
      </c>
      <c r="V5798" s="1" t="s">
        <v>24</v>
      </c>
      <c r="W5798" s="1" t="s">
        <v>24</v>
      </c>
      <c r="X5798" s="1">
        <v>2735</v>
      </c>
      <c r="Y5798" s="1" t="s">
        <v>24</v>
      </c>
      <c r="Z5798" s="1" t="s">
        <v>24</v>
      </c>
      <c r="AA5798" s="1" t="s">
        <v>24</v>
      </c>
      <c r="AB5798" s="1" t="s">
        <v>24</v>
      </c>
      <c r="AC5798" s="1" t="s">
        <v>24</v>
      </c>
      <c r="AD5798" s="1" t="s">
        <v>24</v>
      </c>
      <c r="AE5798" s="1" t="s">
        <v>24</v>
      </c>
      <c r="AF5798" s="22"/>
    </row>
    <row r="5799" spans="1:32" x14ac:dyDescent="0.2">
      <c r="A5799" s="1">
        <v>57351</v>
      </c>
      <c r="B5799" s="1" t="s">
        <v>17246</v>
      </c>
      <c r="C5799" s="5" t="s">
        <v>0</v>
      </c>
      <c r="D5799" s="1" t="s">
        <v>17247</v>
      </c>
      <c r="E5799" s="1" t="s">
        <v>17248</v>
      </c>
      <c r="F5799" s="1" t="s">
        <v>1897</v>
      </c>
      <c r="G5799" s="1" t="s">
        <v>1898</v>
      </c>
      <c r="H5799" s="1" t="s">
        <v>899</v>
      </c>
      <c r="I5799" s="1" t="s">
        <v>16</v>
      </c>
      <c r="J5799" s="1">
        <v>1</v>
      </c>
      <c r="K5799" s="1">
        <v>4</v>
      </c>
      <c r="L5799" s="1" t="s">
        <v>31</v>
      </c>
      <c r="M5799" s="1" t="s">
        <v>18</v>
      </c>
      <c r="N5799" s="1" t="s">
        <v>18</v>
      </c>
      <c r="O5799" s="1">
        <v>3</v>
      </c>
      <c r="P5799" s="1">
        <v>7</v>
      </c>
      <c r="Q5799" s="7" t="s">
        <v>17633</v>
      </c>
      <c r="R5799" s="1" t="s">
        <v>19</v>
      </c>
      <c r="S5799" s="1" t="s">
        <v>20</v>
      </c>
      <c r="T5799" s="1" t="s">
        <v>21</v>
      </c>
      <c r="U5799" s="1" t="s">
        <v>22</v>
      </c>
      <c r="V5799" s="1" t="s">
        <v>24</v>
      </c>
      <c r="W5799" s="1" t="s">
        <v>24</v>
      </c>
      <c r="X5799" s="1">
        <v>2730</v>
      </c>
      <c r="Y5799" s="1">
        <v>1306</v>
      </c>
      <c r="Z5799" s="1" t="s">
        <v>24</v>
      </c>
      <c r="AA5799" s="1" t="s">
        <v>24</v>
      </c>
      <c r="AB5799" s="1" t="s">
        <v>24</v>
      </c>
      <c r="AC5799" s="1" t="s">
        <v>24</v>
      </c>
      <c r="AD5799" s="1" t="s">
        <v>24</v>
      </c>
      <c r="AE5799" s="1" t="s">
        <v>24</v>
      </c>
      <c r="AF5799" s="22"/>
    </row>
    <row r="5800" spans="1:32" x14ac:dyDescent="0.2">
      <c r="A5800" s="1">
        <v>57352</v>
      </c>
      <c r="B5800" s="1" t="s">
        <v>17249</v>
      </c>
      <c r="C5800" s="5" t="s">
        <v>0</v>
      </c>
      <c r="E5800" s="1" t="s">
        <v>17250</v>
      </c>
      <c r="F5800" s="1" t="s">
        <v>1897</v>
      </c>
      <c r="G5800" s="1" t="s">
        <v>1898</v>
      </c>
      <c r="H5800" s="1" t="s">
        <v>899</v>
      </c>
      <c r="I5800" s="1" t="s">
        <v>16</v>
      </c>
      <c r="J5800" s="1">
        <v>1</v>
      </c>
      <c r="K5800" s="1">
        <v>1</v>
      </c>
      <c r="L5800" s="1" t="s">
        <v>31</v>
      </c>
      <c r="M5800" s="1" t="s">
        <v>18</v>
      </c>
      <c r="N5800" s="1" t="s">
        <v>18</v>
      </c>
      <c r="O5800" s="1">
        <v>2</v>
      </c>
      <c r="P5800" s="1">
        <v>7</v>
      </c>
      <c r="Q5800" s="7" t="s">
        <v>17633</v>
      </c>
      <c r="R5800" s="1" t="s">
        <v>19</v>
      </c>
      <c r="S5800" s="1" t="s">
        <v>63</v>
      </c>
      <c r="T5800" s="1" t="s">
        <v>21</v>
      </c>
      <c r="U5800" s="1" t="s">
        <v>22</v>
      </c>
      <c r="V5800" s="1" t="s">
        <v>24</v>
      </c>
      <c r="W5800" s="1" t="s">
        <v>24</v>
      </c>
      <c r="X5800" s="1">
        <v>2741</v>
      </c>
      <c r="Y5800" s="1" t="s">
        <v>24</v>
      </c>
      <c r="Z5800" s="1" t="s">
        <v>24</v>
      </c>
      <c r="AA5800" s="1" t="s">
        <v>24</v>
      </c>
      <c r="AB5800" s="1" t="s">
        <v>24</v>
      </c>
      <c r="AC5800" s="1" t="s">
        <v>24</v>
      </c>
      <c r="AD5800" s="1" t="s">
        <v>24</v>
      </c>
      <c r="AE5800" s="1" t="s">
        <v>24</v>
      </c>
      <c r="AF5800" s="22"/>
    </row>
    <row r="5801" spans="1:32" x14ac:dyDescent="0.2">
      <c r="A5801" s="1">
        <v>57353</v>
      </c>
      <c r="B5801" s="1" t="s">
        <v>17251</v>
      </c>
      <c r="C5801" s="5" t="s">
        <v>0</v>
      </c>
      <c r="D5801" s="1" t="s">
        <v>17252</v>
      </c>
      <c r="E5801" s="1" t="s">
        <v>17253</v>
      </c>
      <c r="F5801" s="1" t="s">
        <v>1897</v>
      </c>
      <c r="G5801" s="1" t="s">
        <v>1898</v>
      </c>
      <c r="H5801" s="1" t="s">
        <v>899</v>
      </c>
      <c r="I5801" s="1" t="s">
        <v>16</v>
      </c>
      <c r="J5801" s="1">
        <v>1</v>
      </c>
      <c r="K5801" s="1">
        <v>4</v>
      </c>
      <c r="L5801" s="1" t="s">
        <v>31</v>
      </c>
      <c r="M5801" s="1" t="s">
        <v>18</v>
      </c>
      <c r="N5801" s="1" t="s">
        <v>18</v>
      </c>
      <c r="O5801" s="1">
        <v>2</v>
      </c>
      <c r="P5801" s="1">
        <v>7</v>
      </c>
      <c r="Q5801" s="7" t="s">
        <v>17633</v>
      </c>
      <c r="R5801" s="1" t="s">
        <v>19</v>
      </c>
      <c r="S5801" s="1" t="s">
        <v>20</v>
      </c>
      <c r="T5801" s="1" t="s">
        <v>21</v>
      </c>
      <c r="V5801" s="1" t="s">
        <v>24</v>
      </c>
      <c r="W5801" s="1" t="s">
        <v>24</v>
      </c>
      <c r="X5801" s="1">
        <v>2715</v>
      </c>
      <c r="Y5801" s="1">
        <v>2741</v>
      </c>
      <c r="Z5801" s="1" t="s">
        <v>24</v>
      </c>
      <c r="AA5801" s="1" t="s">
        <v>24</v>
      </c>
      <c r="AB5801" s="1" t="s">
        <v>24</v>
      </c>
      <c r="AC5801" s="1" t="s">
        <v>24</v>
      </c>
      <c r="AD5801" s="1" t="s">
        <v>24</v>
      </c>
      <c r="AE5801" s="1" t="s">
        <v>24</v>
      </c>
      <c r="AF5801" s="22"/>
    </row>
    <row r="5802" spans="1:32" x14ac:dyDescent="0.2">
      <c r="A5802" s="1">
        <v>57354</v>
      </c>
      <c r="B5802" s="1" t="s">
        <v>17254</v>
      </c>
      <c r="C5802" s="5" t="s">
        <v>0</v>
      </c>
      <c r="D5802" s="1" t="s">
        <v>17255</v>
      </c>
      <c r="E5802" s="1" t="s">
        <v>17256</v>
      </c>
      <c r="F5802" s="1" t="s">
        <v>1897</v>
      </c>
      <c r="G5802" s="1" t="s">
        <v>1898</v>
      </c>
      <c r="H5802" s="1" t="s">
        <v>899</v>
      </c>
      <c r="I5802" s="1" t="s">
        <v>16</v>
      </c>
      <c r="J5802" s="1">
        <v>1</v>
      </c>
      <c r="K5802" s="1">
        <v>4</v>
      </c>
      <c r="L5802" s="1" t="s">
        <v>31</v>
      </c>
      <c r="M5802" s="1" t="s">
        <v>18</v>
      </c>
      <c r="N5802" s="1" t="s">
        <v>18</v>
      </c>
      <c r="O5802" s="1">
        <v>3</v>
      </c>
      <c r="P5802" s="1">
        <v>7</v>
      </c>
      <c r="Q5802" s="7" t="s">
        <v>17633</v>
      </c>
      <c r="R5802" s="1" t="s">
        <v>19</v>
      </c>
      <c r="S5802" s="1" t="s">
        <v>20</v>
      </c>
      <c r="T5802" s="1" t="s">
        <v>21</v>
      </c>
      <c r="V5802" s="1" t="s">
        <v>24</v>
      </c>
      <c r="W5802" s="1" t="s">
        <v>24</v>
      </c>
      <c r="X5802" s="1">
        <v>2736</v>
      </c>
      <c r="Y5802" s="1">
        <v>3000</v>
      </c>
      <c r="Z5802" s="1">
        <v>3611</v>
      </c>
      <c r="AA5802" s="1" t="s">
        <v>24</v>
      </c>
      <c r="AB5802" s="1" t="s">
        <v>24</v>
      </c>
      <c r="AC5802" s="1" t="s">
        <v>24</v>
      </c>
      <c r="AD5802" s="1" t="s">
        <v>24</v>
      </c>
      <c r="AE5802" s="1" t="s">
        <v>24</v>
      </c>
      <c r="AF5802" s="22"/>
    </row>
    <row r="5803" spans="1:32" x14ac:dyDescent="0.2">
      <c r="A5803" s="1">
        <v>57355</v>
      </c>
      <c r="B5803" s="1" t="s">
        <v>17257</v>
      </c>
      <c r="C5803" s="5" t="s">
        <v>0</v>
      </c>
      <c r="D5803" s="1" t="s">
        <v>17258</v>
      </c>
      <c r="E5803" s="1" t="s">
        <v>17259</v>
      </c>
      <c r="F5803" s="1" t="s">
        <v>1897</v>
      </c>
      <c r="G5803" s="1" t="s">
        <v>1898</v>
      </c>
      <c r="H5803" s="1" t="s">
        <v>899</v>
      </c>
      <c r="I5803" s="1" t="s">
        <v>16</v>
      </c>
      <c r="J5803" s="1">
        <v>1</v>
      </c>
      <c r="K5803" s="1">
        <v>4</v>
      </c>
      <c r="L5803" s="1" t="s">
        <v>31</v>
      </c>
      <c r="M5803" s="1" t="s">
        <v>18</v>
      </c>
      <c r="N5803" s="1" t="s">
        <v>18</v>
      </c>
      <c r="O5803" s="1">
        <v>2</v>
      </c>
      <c r="P5803" s="1">
        <v>7</v>
      </c>
      <c r="Q5803" s="7" t="s">
        <v>17633</v>
      </c>
      <c r="R5803" s="1" t="s">
        <v>19</v>
      </c>
      <c r="S5803" s="1" t="s">
        <v>20</v>
      </c>
      <c r="T5803" s="1" t="s">
        <v>21</v>
      </c>
      <c r="V5803" s="1" t="s">
        <v>24</v>
      </c>
      <c r="W5803" s="1" t="s">
        <v>24</v>
      </c>
      <c r="X5803" s="1">
        <v>2736</v>
      </c>
      <c r="Y5803" s="1">
        <v>3000</v>
      </c>
      <c r="Z5803" s="1">
        <v>3611</v>
      </c>
      <c r="AA5803" s="1" t="s">
        <v>24</v>
      </c>
      <c r="AB5803" s="1" t="s">
        <v>24</v>
      </c>
      <c r="AC5803" s="1" t="s">
        <v>24</v>
      </c>
      <c r="AD5803" s="1" t="s">
        <v>24</v>
      </c>
      <c r="AE5803" s="1" t="s">
        <v>24</v>
      </c>
      <c r="AF5803" s="22"/>
    </row>
    <row r="5804" spans="1:32" x14ac:dyDescent="0.2">
      <c r="A5804" s="1">
        <v>57356</v>
      </c>
      <c r="B5804" s="1" t="s">
        <v>17260</v>
      </c>
      <c r="C5804" s="5" t="s">
        <v>0</v>
      </c>
      <c r="D5804" s="1" t="s">
        <v>17261</v>
      </c>
      <c r="E5804" s="1" t="s">
        <v>17262</v>
      </c>
      <c r="F5804" s="1" t="s">
        <v>55</v>
      </c>
      <c r="G5804" s="1" t="s">
        <v>56</v>
      </c>
      <c r="H5804" s="1" t="s">
        <v>37</v>
      </c>
      <c r="I5804" s="1" t="s">
        <v>16</v>
      </c>
      <c r="J5804" s="1">
        <v>1</v>
      </c>
      <c r="K5804" s="1">
        <v>4</v>
      </c>
      <c r="L5804" s="1" t="s">
        <v>31</v>
      </c>
      <c r="M5804" s="1" t="s">
        <v>18</v>
      </c>
      <c r="N5804" s="1" t="s">
        <v>18</v>
      </c>
      <c r="O5804" s="1">
        <v>3</v>
      </c>
      <c r="P5804" s="1">
        <v>7</v>
      </c>
      <c r="Q5804" s="7" t="s">
        <v>17633</v>
      </c>
      <c r="R5804" s="1" t="s">
        <v>19</v>
      </c>
      <c r="S5804" s="1" t="s">
        <v>20</v>
      </c>
      <c r="T5804" s="1" t="s">
        <v>21</v>
      </c>
      <c r="V5804" s="1" t="s">
        <v>24</v>
      </c>
      <c r="W5804" s="1" t="s">
        <v>24</v>
      </c>
      <c r="X5804" s="1">
        <v>2725</v>
      </c>
      <c r="Y5804" s="1">
        <v>2735</v>
      </c>
      <c r="Z5804" s="1" t="s">
        <v>24</v>
      </c>
      <c r="AA5804" s="1" t="s">
        <v>24</v>
      </c>
      <c r="AB5804" s="1" t="s">
        <v>24</v>
      </c>
      <c r="AC5804" s="1" t="s">
        <v>24</v>
      </c>
      <c r="AD5804" s="1" t="s">
        <v>24</v>
      </c>
      <c r="AE5804" s="1" t="s">
        <v>24</v>
      </c>
      <c r="AF5804" s="22"/>
    </row>
    <row r="5805" spans="1:32" x14ac:dyDescent="0.2">
      <c r="A5805" s="1">
        <v>57357</v>
      </c>
      <c r="B5805" s="1" t="s">
        <v>17263</v>
      </c>
      <c r="C5805" s="5" t="s">
        <v>0</v>
      </c>
      <c r="D5805" s="1" t="s">
        <v>17264</v>
      </c>
      <c r="E5805" s="1" t="s">
        <v>17265</v>
      </c>
      <c r="F5805" s="1" t="s">
        <v>689</v>
      </c>
      <c r="G5805" s="1" t="s">
        <v>311</v>
      </c>
      <c r="H5805" s="1" t="s">
        <v>37</v>
      </c>
      <c r="I5805" s="1" t="s">
        <v>16</v>
      </c>
      <c r="J5805" s="1">
        <v>1</v>
      </c>
      <c r="K5805" s="1">
        <v>4</v>
      </c>
      <c r="L5805" s="1" t="s">
        <v>31</v>
      </c>
      <c r="M5805" s="1" t="s">
        <v>18</v>
      </c>
      <c r="N5805" s="1" t="s">
        <v>18</v>
      </c>
      <c r="O5805" s="1">
        <v>3</v>
      </c>
      <c r="P5805" s="1">
        <v>7</v>
      </c>
      <c r="Q5805" s="7" t="s">
        <v>17633</v>
      </c>
      <c r="R5805" s="1" t="s">
        <v>19</v>
      </c>
      <c r="S5805" s="1" t="s">
        <v>20</v>
      </c>
      <c r="T5805" s="1" t="s">
        <v>21</v>
      </c>
      <c r="V5805" s="1" t="s">
        <v>24</v>
      </c>
      <c r="W5805" s="1" t="s">
        <v>24</v>
      </c>
      <c r="X5805" s="1">
        <v>2802</v>
      </c>
      <c r="Y5805" s="1">
        <v>2701</v>
      </c>
      <c r="Z5805" s="1">
        <v>2739</v>
      </c>
      <c r="AA5805" s="1" t="s">
        <v>24</v>
      </c>
      <c r="AB5805" s="1" t="s">
        <v>24</v>
      </c>
      <c r="AC5805" s="1" t="s">
        <v>24</v>
      </c>
      <c r="AD5805" s="1" t="s">
        <v>24</v>
      </c>
      <c r="AE5805" s="1" t="s">
        <v>24</v>
      </c>
      <c r="AF5805" s="22"/>
    </row>
    <row r="5806" spans="1:32" x14ac:dyDescent="0.2">
      <c r="A5806" s="1">
        <v>57358</v>
      </c>
      <c r="B5806" s="1" t="s">
        <v>17266</v>
      </c>
      <c r="C5806" s="5" t="s">
        <v>0</v>
      </c>
      <c r="D5806" s="1" t="s">
        <v>17267</v>
      </c>
      <c r="E5806" s="1" t="s">
        <v>17268</v>
      </c>
      <c r="F5806" s="1" t="s">
        <v>179</v>
      </c>
      <c r="G5806" s="1" t="s">
        <v>130</v>
      </c>
      <c r="H5806" s="1" t="s">
        <v>30</v>
      </c>
      <c r="I5806" s="1" t="s">
        <v>16</v>
      </c>
      <c r="J5806" s="1">
        <v>0</v>
      </c>
      <c r="K5806" s="1">
        <v>0</v>
      </c>
      <c r="L5806" s="1" t="s">
        <v>31</v>
      </c>
      <c r="M5806" s="1" t="s">
        <v>18</v>
      </c>
      <c r="N5806" s="1" t="s">
        <v>18</v>
      </c>
      <c r="O5806" s="1">
        <v>3</v>
      </c>
      <c r="P5806" s="1">
        <v>7</v>
      </c>
      <c r="Q5806" s="7" t="s">
        <v>17633</v>
      </c>
      <c r="R5806" s="1" t="s">
        <v>19</v>
      </c>
      <c r="S5806" s="1" t="s">
        <v>20</v>
      </c>
      <c r="T5806" s="1" t="s">
        <v>21</v>
      </c>
      <c r="V5806" s="1" t="s">
        <v>24</v>
      </c>
      <c r="W5806" s="1" t="s">
        <v>24</v>
      </c>
      <c r="X5806" s="1">
        <v>2705</v>
      </c>
      <c r="Y5806" s="1" t="s">
        <v>24</v>
      </c>
      <c r="Z5806" s="1" t="s">
        <v>24</v>
      </c>
      <c r="AA5806" s="1" t="s">
        <v>24</v>
      </c>
      <c r="AB5806" s="1" t="s">
        <v>24</v>
      </c>
      <c r="AC5806" s="1" t="s">
        <v>24</v>
      </c>
      <c r="AD5806" s="1" t="s">
        <v>24</v>
      </c>
      <c r="AE5806" s="1" t="s">
        <v>24</v>
      </c>
      <c r="AF5806" s="22"/>
    </row>
    <row r="5807" spans="1:32" x14ac:dyDescent="0.2">
      <c r="A5807" s="1">
        <v>57359</v>
      </c>
      <c r="B5807" s="1" t="s">
        <v>17269</v>
      </c>
      <c r="C5807" s="5" t="s">
        <v>0</v>
      </c>
      <c r="D5807" s="1" t="s">
        <v>17270</v>
      </c>
      <c r="E5807" s="1" t="s">
        <v>17271</v>
      </c>
      <c r="F5807" s="1" t="s">
        <v>540</v>
      </c>
      <c r="G5807" s="1" t="s">
        <v>130</v>
      </c>
      <c r="H5807" s="1" t="s">
        <v>684</v>
      </c>
      <c r="I5807" s="1" t="s">
        <v>16</v>
      </c>
      <c r="J5807" s="1">
        <v>1</v>
      </c>
      <c r="K5807" s="1">
        <v>6</v>
      </c>
      <c r="L5807" s="1" t="s">
        <v>31</v>
      </c>
      <c r="M5807" s="1" t="s">
        <v>18</v>
      </c>
      <c r="N5807" s="1" t="s">
        <v>18</v>
      </c>
      <c r="O5807" s="1">
        <v>3</v>
      </c>
      <c r="P5807" s="1">
        <v>7</v>
      </c>
      <c r="Q5807" s="7" t="s">
        <v>17633</v>
      </c>
      <c r="R5807" s="1" t="s">
        <v>19</v>
      </c>
      <c r="S5807" s="1" t="s">
        <v>20</v>
      </c>
      <c r="T5807" s="1" t="s">
        <v>21</v>
      </c>
      <c r="V5807" s="1" t="s">
        <v>24</v>
      </c>
      <c r="W5807" s="1" t="s">
        <v>24</v>
      </c>
      <c r="X5807" s="1">
        <v>2741</v>
      </c>
      <c r="Y5807" s="1" t="s">
        <v>24</v>
      </c>
      <c r="Z5807" s="1" t="s">
        <v>24</v>
      </c>
      <c r="AA5807" s="1" t="s">
        <v>24</v>
      </c>
      <c r="AB5807" s="1" t="s">
        <v>24</v>
      </c>
      <c r="AC5807" s="1" t="s">
        <v>24</v>
      </c>
      <c r="AD5807" s="1" t="s">
        <v>24</v>
      </c>
      <c r="AE5807" s="1" t="s">
        <v>24</v>
      </c>
      <c r="AF5807" s="22"/>
    </row>
    <row r="5808" spans="1:32" x14ac:dyDescent="0.2">
      <c r="A5808" s="1">
        <v>57360</v>
      </c>
      <c r="B5808" s="1" t="s">
        <v>17272</v>
      </c>
      <c r="C5808" s="5" t="s">
        <v>0</v>
      </c>
      <c r="D5808" s="1" t="s">
        <v>17273</v>
      </c>
      <c r="E5808" s="1" t="s">
        <v>17274</v>
      </c>
      <c r="F5808" s="1" t="s">
        <v>190</v>
      </c>
      <c r="G5808" s="1" t="s">
        <v>130</v>
      </c>
      <c r="H5808" s="1" t="s">
        <v>30</v>
      </c>
      <c r="I5808" s="1" t="s">
        <v>112</v>
      </c>
      <c r="J5808" s="1">
        <v>1</v>
      </c>
      <c r="K5808" s="1">
        <v>1</v>
      </c>
      <c r="L5808" s="1" t="s">
        <v>31</v>
      </c>
      <c r="M5808" s="1" t="s">
        <v>18</v>
      </c>
      <c r="N5808" s="1" t="s">
        <v>18</v>
      </c>
      <c r="O5808" s="1">
        <v>3</v>
      </c>
      <c r="P5808" s="1">
        <v>7</v>
      </c>
      <c r="Q5808" s="7" t="s">
        <v>17633</v>
      </c>
      <c r="R5808" s="1" t="s">
        <v>19</v>
      </c>
      <c r="S5808" s="1" t="s">
        <v>20</v>
      </c>
      <c r="T5808" s="1" t="s">
        <v>21</v>
      </c>
      <c r="V5808" s="1" t="s">
        <v>24</v>
      </c>
      <c r="W5808" s="1" t="s">
        <v>24</v>
      </c>
      <c r="X5808" s="1">
        <v>2204</v>
      </c>
      <c r="Y5808" s="1">
        <v>2502</v>
      </c>
      <c r="Z5808" s="1" t="s">
        <v>24</v>
      </c>
      <c r="AA5808" s="1" t="s">
        <v>24</v>
      </c>
      <c r="AB5808" s="1" t="s">
        <v>24</v>
      </c>
      <c r="AC5808" s="1" t="s">
        <v>24</v>
      </c>
      <c r="AD5808" s="1" t="s">
        <v>24</v>
      </c>
      <c r="AE5808" s="1" t="s">
        <v>24</v>
      </c>
      <c r="AF5808" s="22"/>
    </row>
    <row r="5809" spans="1:32" x14ac:dyDescent="0.2">
      <c r="A5809" s="1">
        <v>57361</v>
      </c>
      <c r="B5809" s="1" t="s">
        <v>17275</v>
      </c>
      <c r="C5809" s="5" t="s">
        <v>0</v>
      </c>
      <c r="D5809" s="1" t="s">
        <v>17276</v>
      </c>
      <c r="F5809" s="1" t="s">
        <v>13773</v>
      </c>
      <c r="G5809" s="1" t="s">
        <v>130</v>
      </c>
      <c r="H5809" s="1" t="s">
        <v>168</v>
      </c>
      <c r="I5809" s="1" t="s">
        <v>16</v>
      </c>
      <c r="J5809" s="1">
        <v>1</v>
      </c>
      <c r="K5809" s="1">
        <v>12</v>
      </c>
      <c r="L5809" s="1" t="s">
        <v>31</v>
      </c>
      <c r="M5809" s="1" t="s">
        <v>18</v>
      </c>
      <c r="N5809" s="1" t="s">
        <v>18</v>
      </c>
      <c r="O5809" s="1">
        <v>3</v>
      </c>
      <c r="P5809" s="1">
        <v>7</v>
      </c>
      <c r="Q5809" s="7" t="s">
        <v>17633</v>
      </c>
      <c r="R5809" s="1" t="s">
        <v>19</v>
      </c>
      <c r="S5809" s="1" t="s">
        <v>20</v>
      </c>
      <c r="T5809" s="1" t="s">
        <v>21</v>
      </c>
      <c r="V5809" s="1" t="s">
        <v>24</v>
      </c>
      <c r="W5809" s="1" t="s">
        <v>24</v>
      </c>
      <c r="X5809" s="1">
        <v>1313</v>
      </c>
      <c r="Y5809" s="1">
        <v>2736</v>
      </c>
      <c r="Z5809" s="1">
        <v>3001</v>
      </c>
      <c r="AA5809" s="1">
        <v>2204</v>
      </c>
      <c r="AB5809" s="1" t="s">
        <v>24</v>
      </c>
      <c r="AC5809" s="1" t="s">
        <v>24</v>
      </c>
      <c r="AD5809" s="1" t="s">
        <v>24</v>
      </c>
      <c r="AE5809" s="1" t="s">
        <v>24</v>
      </c>
      <c r="AF5809" s="22" t="s">
        <v>17678</v>
      </c>
    </row>
    <row r="5810" spans="1:32" x14ac:dyDescent="0.2">
      <c r="A5810" s="1">
        <v>57362</v>
      </c>
      <c r="B5810" s="1" t="s">
        <v>17277</v>
      </c>
      <c r="C5810" s="5" t="s">
        <v>0</v>
      </c>
      <c r="E5810" s="1" t="s">
        <v>17278</v>
      </c>
      <c r="F5810" s="1" t="s">
        <v>167</v>
      </c>
      <c r="G5810" s="1" t="s">
        <v>130</v>
      </c>
      <c r="H5810" s="1" t="s">
        <v>168</v>
      </c>
      <c r="I5810" s="1" t="s">
        <v>16</v>
      </c>
      <c r="J5810" s="1">
        <v>1</v>
      </c>
      <c r="K5810" s="1">
        <v>1</v>
      </c>
      <c r="L5810" s="1" t="s">
        <v>31</v>
      </c>
      <c r="M5810" s="1" t="s">
        <v>18</v>
      </c>
      <c r="N5810" s="1" t="s">
        <v>18</v>
      </c>
      <c r="O5810" s="1">
        <v>3</v>
      </c>
      <c r="P5810" s="1">
        <v>7</v>
      </c>
      <c r="Q5810" s="7" t="s">
        <v>17633</v>
      </c>
      <c r="R5810" s="1" t="s">
        <v>19</v>
      </c>
      <c r="S5810" s="1" t="s">
        <v>20</v>
      </c>
      <c r="T5810" s="1" t="s">
        <v>21</v>
      </c>
      <c r="V5810" s="1" t="s">
        <v>24</v>
      </c>
      <c r="W5810" s="1" t="s">
        <v>24</v>
      </c>
      <c r="X5810" s="1">
        <v>2740</v>
      </c>
      <c r="Y5810" s="1" t="s">
        <v>24</v>
      </c>
      <c r="Z5810" s="1" t="s">
        <v>24</v>
      </c>
      <c r="AA5810" s="1" t="s">
        <v>24</v>
      </c>
      <c r="AB5810" s="1" t="s">
        <v>24</v>
      </c>
      <c r="AC5810" s="1" t="s">
        <v>24</v>
      </c>
      <c r="AD5810" s="1" t="s">
        <v>24</v>
      </c>
      <c r="AE5810" s="1" t="s">
        <v>24</v>
      </c>
      <c r="AF5810" s="22"/>
    </row>
    <row r="5811" spans="1:32" x14ac:dyDescent="0.2">
      <c r="A5811" s="1">
        <v>57363</v>
      </c>
      <c r="B5811" s="1" t="s">
        <v>17279</v>
      </c>
      <c r="C5811" s="5" t="s">
        <v>0</v>
      </c>
      <c r="D5811" s="1" t="s">
        <v>17280</v>
      </c>
      <c r="E5811" s="1" t="s">
        <v>17281</v>
      </c>
      <c r="F5811" s="1" t="s">
        <v>310</v>
      </c>
      <c r="G5811" s="1" t="s">
        <v>311</v>
      </c>
      <c r="H5811" s="1" t="s">
        <v>37</v>
      </c>
      <c r="I5811" s="1" t="s">
        <v>16</v>
      </c>
      <c r="J5811" s="1">
        <v>1</v>
      </c>
      <c r="K5811" s="1">
        <v>4</v>
      </c>
      <c r="L5811" s="1" t="s">
        <v>31</v>
      </c>
      <c r="M5811" s="1" t="s">
        <v>18</v>
      </c>
      <c r="N5811" s="1" t="s">
        <v>18</v>
      </c>
      <c r="O5811" s="1">
        <v>2</v>
      </c>
      <c r="P5811" s="1">
        <v>7</v>
      </c>
      <c r="Q5811" s="7" t="s">
        <v>17633</v>
      </c>
      <c r="R5811" s="1" t="s">
        <v>19</v>
      </c>
      <c r="S5811" s="1" t="s">
        <v>20</v>
      </c>
      <c r="T5811" s="1" t="s">
        <v>21</v>
      </c>
      <c r="V5811" s="1" t="s">
        <v>24</v>
      </c>
      <c r="W5811" s="1" t="s">
        <v>24</v>
      </c>
      <c r="X5811" s="1">
        <v>2204</v>
      </c>
      <c r="Y5811" s="1">
        <v>2741</v>
      </c>
      <c r="Z5811" s="1">
        <v>2206</v>
      </c>
      <c r="AA5811" s="1">
        <v>1706</v>
      </c>
      <c r="AB5811" s="1" t="s">
        <v>24</v>
      </c>
      <c r="AC5811" s="1" t="s">
        <v>24</v>
      </c>
      <c r="AD5811" s="1" t="s">
        <v>24</v>
      </c>
      <c r="AE5811" s="1" t="s">
        <v>24</v>
      </c>
      <c r="AF5811" s="22"/>
    </row>
    <row r="5812" spans="1:32" x14ac:dyDescent="0.2">
      <c r="A5812" s="1">
        <v>57364</v>
      </c>
      <c r="B5812" s="1" t="s">
        <v>17282</v>
      </c>
      <c r="C5812" s="5" t="s">
        <v>0</v>
      </c>
      <c r="E5812" s="1" t="s">
        <v>17283</v>
      </c>
      <c r="F5812" s="1" t="s">
        <v>35</v>
      </c>
      <c r="G5812" s="1" t="s">
        <v>36</v>
      </c>
      <c r="H5812" s="1" t="s">
        <v>37</v>
      </c>
      <c r="I5812" s="1" t="s">
        <v>16</v>
      </c>
      <c r="J5812" s="1">
        <v>1</v>
      </c>
      <c r="K5812" s="1">
        <v>6</v>
      </c>
      <c r="L5812" s="1" t="s">
        <v>31</v>
      </c>
      <c r="M5812" s="1" t="s">
        <v>18</v>
      </c>
      <c r="N5812" s="1" t="s">
        <v>18</v>
      </c>
      <c r="O5812" s="1">
        <v>3</v>
      </c>
      <c r="P5812" s="1">
        <v>7</v>
      </c>
      <c r="Q5812" s="7" t="s">
        <v>17633</v>
      </c>
      <c r="R5812" s="1" t="s">
        <v>19</v>
      </c>
      <c r="S5812" s="1" t="s">
        <v>20</v>
      </c>
      <c r="T5812" s="1" t="s">
        <v>21</v>
      </c>
      <c r="V5812" s="1" t="s">
        <v>24</v>
      </c>
      <c r="W5812" s="1" t="s">
        <v>24</v>
      </c>
      <c r="X5812" s="1">
        <v>2728</v>
      </c>
      <c r="Y5812" s="1">
        <v>2808</v>
      </c>
      <c r="Z5812" s="1" t="s">
        <v>24</v>
      </c>
      <c r="AA5812" s="1" t="s">
        <v>24</v>
      </c>
      <c r="AB5812" s="1" t="s">
        <v>24</v>
      </c>
      <c r="AC5812" s="1" t="s">
        <v>24</v>
      </c>
      <c r="AD5812" s="1" t="s">
        <v>24</v>
      </c>
      <c r="AE5812" s="1" t="s">
        <v>24</v>
      </c>
      <c r="AF5812" s="22"/>
    </row>
    <row r="5813" spans="1:32" x14ac:dyDescent="0.2">
      <c r="A5813" s="1">
        <v>57365</v>
      </c>
      <c r="B5813" s="1" t="s">
        <v>17284</v>
      </c>
      <c r="C5813" s="5" t="s">
        <v>0</v>
      </c>
      <c r="D5813" s="1" t="s">
        <v>17285</v>
      </c>
      <c r="E5813" s="1" t="s">
        <v>17286</v>
      </c>
      <c r="F5813" s="1" t="s">
        <v>275</v>
      </c>
      <c r="G5813" s="1" t="s">
        <v>276</v>
      </c>
      <c r="H5813" s="1" t="s">
        <v>46</v>
      </c>
      <c r="I5813" s="1" t="s">
        <v>16</v>
      </c>
      <c r="J5813" s="1">
        <v>1</v>
      </c>
      <c r="K5813" s="1">
        <v>4</v>
      </c>
      <c r="L5813" s="1" t="s">
        <v>31</v>
      </c>
      <c r="M5813" s="1" t="s">
        <v>18</v>
      </c>
      <c r="N5813" s="1" t="s">
        <v>18</v>
      </c>
      <c r="O5813" s="1">
        <v>2</v>
      </c>
      <c r="P5813" s="1">
        <v>6</v>
      </c>
      <c r="R5813" s="1" t="s">
        <v>19</v>
      </c>
      <c r="S5813" s="1" t="s">
        <v>20</v>
      </c>
      <c r="T5813" s="1" t="s">
        <v>21</v>
      </c>
      <c r="V5813" s="1" t="s">
        <v>24</v>
      </c>
      <c r="W5813" s="1" t="s">
        <v>24</v>
      </c>
      <c r="X5813" s="1">
        <v>1502</v>
      </c>
      <c r="Y5813" s="1">
        <v>2204</v>
      </c>
      <c r="Z5813" s="1">
        <v>2701</v>
      </c>
      <c r="AA5813" s="1">
        <v>3003</v>
      </c>
      <c r="AB5813" s="1" t="s">
        <v>24</v>
      </c>
      <c r="AC5813" s="1" t="s">
        <v>24</v>
      </c>
      <c r="AD5813" s="1" t="s">
        <v>24</v>
      </c>
      <c r="AE5813" s="1" t="s">
        <v>24</v>
      </c>
      <c r="AF5813" s="22"/>
    </row>
    <row r="5814" spans="1:32" x14ac:dyDescent="0.2">
      <c r="A5814" s="1">
        <v>57366</v>
      </c>
      <c r="B5814" s="1" t="s">
        <v>17287</v>
      </c>
      <c r="C5814" s="5" t="s">
        <v>0</v>
      </c>
      <c r="E5814" s="1" t="s">
        <v>17288</v>
      </c>
      <c r="F5814" s="1" t="s">
        <v>11078</v>
      </c>
      <c r="G5814" s="1" t="s">
        <v>11078</v>
      </c>
      <c r="H5814" s="1" t="s">
        <v>37</v>
      </c>
      <c r="I5814" s="1" t="s">
        <v>16</v>
      </c>
      <c r="J5814" s="1">
        <v>1</v>
      </c>
      <c r="K5814" s="1">
        <v>1</v>
      </c>
      <c r="L5814" s="1" t="s">
        <v>42</v>
      </c>
      <c r="M5814" s="1" t="s">
        <v>18</v>
      </c>
      <c r="N5814" s="1" t="s">
        <v>18</v>
      </c>
      <c r="O5814" s="1">
        <v>3</v>
      </c>
      <c r="P5814" s="1">
        <v>6</v>
      </c>
      <c r="R5814" s="1" t="s">
        <v>19</v>
      </c>
      <c r="S5814" s="1" t="s">
        <v>63</v>
      </c>
      <c r="T5814" s="1" t="s">
        <v>21</v>
      </c>
      <c r="V5814" s="1" t="s">
        <v>24</v>
      </c>
      <c r="W5814" s="1" t="s">
        <v>24</v>
      </c>
      <c r="X5814" s="1">
        <v>2720</v>
      </c>
      <c r="Y5814" s="1" t="s">
        <v>24</v>
      </c>
      <c r="Z5814" s="1" t="s">
        <v>24</v>
      </c>
      <c r="AA5814" s="1" t="s">
        <v>24</v>
      </c>
      <c r="AB5814" s="1" t="s">
        <v>24</v>
      </c>
      <c r="AC5814" s="1" t="s">
        <v>24</v>
      </c>
      <c r="AD5814" s="1" t="s">
        <v>24</v>
      </c>
      <c r="AE5814" s="1" t="s">
        <v>24</v>
      </c>
      <c r="AF5814" s="22"/>
    </row>
    <row r="5815" spans="1:32" x14ac:dyDescent="0.2">
      <c r="A5815" s="1">
        <v>57367</v>
      </c>
      <c r="B5815" s="1" t="s">
        <v>17289</v>
      </c>
      <c r="C5815" s="5" t="s">
        <v>0</v>
      </c>
      <c r="D5815" s="1" t="s">
        <v>17290</v>
      </c>
      <c r="F5815" s="1" t="s">
        <v>1708</v>
      </c>
      <c r="G5815" s="1" t="s">
        <v>1708</v>
      </c>
      <c r="H5815" s="1" t="s">
        <v>684</v>
      </c>
      <c r="I5815" s="1" t="s">
        <v>16</v>
      </c>
      <c r="J5815" s="1">
        <v>1</v>
      </c>
      <c r="K5815" s="1">
        <v>4</v>
      </c>
      <c r="L5815" s="1" t="s">
        <v>17</v>
      </c>
      <c r="M5815" s="1" t="s">
        <v>685</v>
      </c>
      <c r="N5815" s="1" t="s">
        <v>1755</v>
      </c>
      <c r="O5815" s="1">
        <v>2</v>
      </c>
      <c r="P5815" s="1">
        <v>5</v>
      </c>
      <c r="R5815" s="1" t="s">
        <v>19</v>
      </c>
      <c r="S5815" s="1" t="s">
        <v>20</v>
      </c>
      <c r="T5815" s="1" t="s">
        <v>21</v>
      </c>
      <c r="V5815" s="1" t="s">
        <v>24</v>
      </c>
      <c r="W5815" s="1" t="s">
        <v>24</v>
      </c>
      <c r="X5815" s="1">
        <v>2708</v>
      </c>
      <c r="Y5815" s="1" t="s">
        <v>24</v>
      </c>
      <c r="Z5815" s="1" t="s">
        <v>24</v>
      </c>
      <c r="AA5815" s="1" t="s">
        <v>24</v>
      </c>
      <c r="AB5815" s="1" t="s">
        <v>24</v>
      </c>
      <c r="AC5815" s="1" t="s">
        <v>24</v>
      </c>
      <c r="AD5815" s="1" t="s">
        <v>24</v>
      </c>
      <c r="AE5815" s="1" t="s">
        <v>24</v>
      </c>
      <c r="AF5815" s="22"/>
    </row>
    <row r="5816" spans="1:32" x14ac:dyDescent="0.2">
      <c r="A5816" s="1">
        <v>57368</v>
      </c>
      <c r="B5816" s="1" t="s">
        <v>17291</v>
      </c>
      <c r="C5816" s="5" t="s">
        <v>0</v>
      </c>
      <c r="E5816" s="1" t="s">
        <v>17292</v>
      </c>
      <c r="F5816" s="1" t="s">
        <v>15614</v>
      </c>
      <c r="G5816" s="1" t="s">
        <v>15614</v>
      </c>
      <c r="H5816" s="1" t="s">
        <v>111</v>
      </c>
      <c r="I5816" s="1" t="s">
        <v>16</v>
      </c>
      <c r="J5816" s="1">
        <v>1</v>
      </c>
      <c r="K5816" s="1">
        <v>1</v>
      </c>
      <c r="L5816" s="1" t="s">
        <v>42</v>
      </c>
      <c r="M5816" s="1" t="s">
        <v>18</v>
      </c>
      <c r="N5816" s="1" t="s">
        <v>18</v>
      </c>
      <c r="O5816" s="1">
        <v>3</v>
      </c>
      <c r="P5816" s="1">
        <v>6</v>
      </c>
      <c r="R5816" s="1" t="s">
        <v>19</v>
      </c>
      <c r="S5816" s="1" t="s">
        <v>63</v>
      </c>
      <c r="T5816" s="1" t="s">
        <v>21</v>
      </c>
      <c r="U5816" s="1" t="s">
        <v>22</v>
      </c>
      <c r="V5816" s="1" t="s">
        <v>24</v>
      </c>
      <c r="W5816" s="1" t="s">
        <v>24</v>
      </c>
      <c r="X5816" s="1">
        <v>2404</v>
      </c>
      <c r="Y5816" s="1">
        <v>2726</v>
      </c>
      <c r="Z5816" s="1">
        <v>2725</v>
      </c>
      <c r="AA5816" s="1">
        <v>2403</v>
      </c>
      <c r="AB5816" s="1" t="s">
        <v>24</v>
      </c>
      <c r="AC5816" s="1" t="s">
        <v>24</v>
      </c>
      <c r="AD5816" s="1" t="s">
        <v>24</v>
      </c>
      <c r="AE5816" s="1" t="s">
        <v>24</v>
      </c>
      <c r="AF5816" s="22" t="s">
        <v>17673</v>
      </c>
    </row>
    <row r="5817" spans="1:32" x14ac:dyDescent="0.2">
      <c r="A5817" s="1">
        <v>57369</v>
      </c>
      <c r="B5817" s="1" t="s">
        <v>17293</v>
      </c>
      <c r="C5817" s="5" t="s">
        <v>0</v>
      </c>
      <c r="E5817" s="1" t="s">
        <v>17294</v>
      </c>
      <c r="F5817" s="1" t="s">
        <v>15614</v>
      </c>
      <c r="G5817" s="1" t="s">
        <v>15614</v>
      </c>
      <c r="H5817" s="1" t="s">
        <v>111</v>
      </c>
      <c r="I5817" s="1" t="s">
        <v>16</v>
      </c>
      <c r="J5817" s="1">
        <v>1</v>
      </c>
      <c r="K5817" s="1">
        <v>1</v>
      </c>
      <c r="L5817" s="1" t="s">
        <v>42</v>
      </c>
      <c r="M5817" s="1" t="s">
        <v>18</v>
      </c>
      <c r="N5817" s="1" t="s">
        <v>18</v>
      </c>
      <c r="O5817" s="1">
        <v>3</v>
      </c>
      <c r="P5817" s="1">
        <v>6</v>
      </c>
      <c r="R5817" s="1" t="s">
        <v>19</v>
      </c>
      <c r="S5817" s="1" t="s">
        <v>63</v>
      </c>
      <c r="T5817" s="1" t="s">
        <v>21</v>
      </c>
      <c r="U5817" s="1" t="s">
        <v>22</v>
      </c>
      <c r="V5817" s="1" t="s">
        <v>24</v>
      </c>
      <c r="W5817" s="1" t="s">
        <v>24</v>
      </c>
      <c r="X5817" s="1">
        <v>1306</v>
      </c>
      <c r="Y5817" s="1">
        <v>2730</v>
      </c>
      <c r="Z5817" s="1" t="s">
        <v>24</v>
      </c>
      <c r="AA5817" s="1" t="s">
        <v>24</v>
      </c>
      <c r="AB5817" s="1" t="s">
        <v>24</v>
      </c>
      <c r="AC5817" s="1" t="s">
        <v>24</v>
      </c>
      <c r="AD5817" s="1" t="s">
        <v>24</v>
      </c>
      <c r="AE5817" s="1" t="s">
        <v>24</v>
      </c>
      <c r="AF5817" s="22" t="s">
        <v>17673</v>
      </c>
    </row>
    <row r="5818" spans="1:32" x14ac:dyDescent="0.2">
      <c r="A5818" s="1">
        <v>57370</v>
      </c>
      <c r="B5818" s="1" t="s">
        <v>17295</v>
      </c>
      <c r="C5818" s="5" t="s">
        <v>0</v>
      </c>
      <c r="D5818" s="1" t="s">
        <v>17296</v>
      </c>
      <c r="F5818" s="1" t="s">
        <v>10608</v>
      </c>
      <c r="G5818" s="1" t="s">
        <v>10608</v>
      </c>
      <c r="H5818" s="1" t="s">
        <v>264</v>
      </c>
      <c r="I5818" s="1" t="s">
        <v>16</v>
      </c>
      <c r="J5818" s="1">
        <v>1</v>
      </c>
      <c r="K5818" s="1">
        <v>1</v>
      </c>
      <c r="L5818" s="1" t="s">
        <v>42</v>
      </c>
      <c r="M5818" s="1" t="s">
        <v>18</v>
      </c>
      <c r="N5818" s="1" t="s">
        <v>18</v>
      </c>
      <c r="O5818" s="1">
        <v>3</v>
      </c>
      <c r="P5818" s="1">
        <v>6</v>
      </c>
      <c r="R5818" s="1" t="s">
        <v>19</v>
      </c>
      <c r="S5818" s="1" t="s">
        <v>20</v>
      </c>
      <c r="T5818" s="1" t="s">
        <v>21</v>
      </c>
      <c r="V5818" s="1" t="s">
        <v>24</v>
      </c>
      <c r="W5818" s="1" t="s">
        <v>24</v>
      </c>
      <c r="X5818" s="1">
        <v>1303</v>
      </c>
      <c r="Y5818" s="1">
        <v>1311</v>
      </c>
      <c r="Z5818" s="1" t="s">
        <v>24</v>
      </c>
      <c r="AA5818" s="1" t="s">
        <v>24</v>
      </c>
      <c r="AB5818" s="1" t="s">
        <v>24</v>
      </c>
      <c r="AC5818" s="1" t="s">
        <v>24</v>
      </c>
      <c r="AD5818" s="1" t="s">
        <v>24</v>
      </c>
      <c r="AE5818" s="1" t="s">
        <v>24</v>
      </c>
      <c r="AF5818" s="22"/>
    </row>
    <row r="5819" spans="1:32" x14ac:dyDescent="0.2">
      <c r="A5819" s="1">
        <v>57371</v>
      </c>
      <c r="B5819" s="1" t="s">
        <v>17297</v>
      </c>
      <c r="C5819" s="5" t="s">
        <v>0</v>
      </c>
      <c r="D5819" s="1" t="s">
        <v>17298</v>
      </c>
      <c r="E5819" s="1" t="s">
        <v>17299</v>
      </c>
      <c r="F5819" s="1" t="s">
        <v>5951</v>
      </c>
      <c r="G5819" s="1" t="s">
        <v>5951</v>
      </c>
      <c r="H5819" s="1" t="s">
        <v>37</v>
      </c>
      <c r="I5819" s="1" t="s">
        <v>16</v>
      </c>
      <c r="J5819" s="1">
        <v>1</v>
      </c>
      <c r="K5819" s="1">
        <v>6</v>
      </c>
      <c r="L5819" s="1" t="s">
        <v>42</v>
      </c>
      <c r="M5819" s="1" t="s">
        <v>18</v>
      </c>
      <c r="N5819" s="1" t="s">
        <v>18</v>
      </c>
      <c r="O5819" s="1">
        <v>3</v>
      </c>
      <c r="P5819" s="1">
        <v>6</v>
      </c>
      <c r="R5819" s="1" t="s">
        <v>19</v>
      </c>
      <c r="S5819" s="1" t="s">
        <v>20</v>
      </c>
      <c r="T5819" s="1" t="s">
        <v>21</v>
      </c>
      <c r="V5819" s="1" t="s">
        <v>24</v>
      </c>
      <c r="W5819" s="1" t="s">
        <v>24</v>
      </c>
      <c r="X5819" s="1">
        <v>1306</v>
      </c>
      <c r="Y5819" s="1">
        <v>2730</v>
      </c>
      <c r="Z5819" s="1" t="s">
        <v>24</v>
      </c>
      <c r="AA5819" s="1" t="s">
        <v>24</v>
      </c>
      <c r="AB5819" s="1" t="s">
        <v>24</v>
      </c>
      <c r="AC5819" s="1" t="s">
        <v>24</v>
      </c>
      <c r="AD5819" s="1" t="s">
        <v>24</v>
      </c>
      <c r="AE5819" s="1" t="s">
        <v>24</v>
      </c>
      <c r="AF5819" s="22" t="s">
        <v>17670</v>
      </c>
    </row>
    <row r="5820" spans="1:32" x14ac:dyDescent="0.2">
      <c r="A5820" s="1">
        <v>57372</v>
      </c>
      <c r="B5820" s="1" t="s">
        <v>17300</v>
      </c>
      <c r="C5820" s="5" t="s">
        <v>0</v>
      </c>
      <c r="D5820" s="1" t="s">
        <v>17301</v>
      </c>
      <c r="E5820" s="1" t="s">
        <v>17302</v>
      </c>
      <c r="F5820" s="1" t="s">
        <v>5951</v>
      </c>
      <c r="G5820" s="1" t="s">
        <v>5951</v>
      </c>
      <c r="H5820" s="1" t="s">
        <v>37</v>
      </c>
      <c r="I5820" s="1" t="s">
        <v>16</v>
      </c>
      <c r="J5820" s="1">
        <v>1</v>
      </c>
      <c r="K5820" s="1">
        <v>6</v>
      </c>
      <c r="L5820" s="1" t="s">
        <v>42</v>
      </c>
      <c r="M5820" s="1" t="s">
        <v>18</v>
      </c>
      <c r="N5820" s="1" t="s">
        <v>18</v>
      </c>
      <c r="O5820" s="1">
        <v>3</v>
      </c>
      <c r="P5820" s="1">
        <v>6</v>
      </c>
      <c r="R5820" s="1" t="s">
        <v>19</v>
      </c>
      <c r="S5820" s="1" t="s">
        <v>20</v>
      </c>
      <c r="T5820" s="1" t="s">
        <v>21</v>
      </c>
      <c r="V5820" s="1" t="s">
        <v>24</v>
      </c>
      <c r="W5820" s="1" t="s">
        <v>24</v>
      </c>
      <c r="X5820" s="1">
        <v>1300</v>
      </c>
      <c r="Y5820" s="1">
        <v>2700</v>
      </c>
      <c r="Z5820" s="1">
        <v>2800</v>
      </c>
      <c r="AA5820" s="1">
        <v>3000</v>
      </c>
      <c r="AB5820" s="1" t="s">
        <v>24</v>
      </c>
      <c r="AC5820" s="1" t="s">
        <v>24</v>
      </c>
      <c r="AD5820" s="1" t="s">
        <v>24</v>
      </c>
      <c r="AE5820" s="1" t="s">
        <v>24</v>
      </c>
      <c r="AF5820" s="22" t="s">
        <v>17670</v>
      </c>
    </row>
    <row r="5821" spans="1:32" x14ac:dyDescent="0.2">
      <c r="A5821" s="1">
        <v>57373</v>
      </c>
      <c r="B5821" s="1" t="s">
        <v>17303</v>
      </c>
      <c r="C5821" s="5" t="s">
        <v>0</v>
      </c>
      <c r="D5821" s="1" t="s">
        <v>17304</v>
      </c>
      <c r="E5821" s="1" t="s">
        <v>17305</v>
      </c>
      <c r="F5821" s="1" t="s">
        <v>4553</v>
      </c>
      <c r="G5821" s="1" t="s">
        <v>4553</v>
      </c>
      <c r="H5821" s="1" t="s">
        <v>1957</v>
      </c>
      <c r="I5821" s="1" t="s">
        <v>16</v>
      </c>
      <c r="J5821" s="1">
        <v>1</v>
      </c>
      <c r="K5821" s="1">
        <v>4</v>
      </c>
      <c r="L5821" s="1" t="s">
        <v>42</v>
      </c>
      <c r="M5821" s="1" t="s">
        <v>18</v>
      </c>
      <c r="N5821" s="1" t="s">
        <v>18</v>
      </c>
      <c r="O5821" s="1">
        <v>3</v>
      </c>
      <c r="P5821" s="1">
        <v>6</v>
      </c>
      <c r="R5821" s="1" t="s">
        <v>19</v>
      </c>
      <c r="S5821" s="1" t="s">
        <v>20</v>
      </c>
      <c r="T5821" s="1" t="s">
        <v>21</v>
      </c>
      <c r="V5821" s="1" t="s">
        <v>24</v>
      </c>
      <c r="W5821" s="1" t="s">
        <v>24</v>
      </c>
      <c r="X5821" s="1">
        <v>2728</v>
      </c>
      <c r="Y5821" s="1" t="s">
        <v>24</v>
      </c>
      <c r="Z5821" s="1" t="s">
        <v>24</v>
      </c>
      <c r="AA5821" s="1" t="s">
        <v>24</v>
      </c>
      <c r="AB5821" s="1" t="s">
        <v>24</v>
      </c>
      <c r="AC5821" s="1" t="s">
        <v>24</v>
      </c>
      <c r="AD5821" s="1" t="s">
        <v>24</v>
      </c>
      <c r="AE5821" s="1" t="s">
        <v>24</v>
      </c>
      <c r="AF5821" s="22"/>
    </row>
    <row r="5822" spans="1:32" x14ac:dyDescent="0.2">
      <c r="A5822" s="1">
        <v>57397</v>
      </c>
      <c r="B5822" s="1" t="s">
        <v>17306</v>
      </c>
      <c r="C5822" s="5" t="s">
        <v>0</v>
      </c>
      <c r="D5822" s="4"/>
      <c r="E5822" s="4"/>
      <c r="F5822" s="1" t="s">
        <v>17307</v>
      </c>
      <c r="G5822" s="1" t="s">
        <v>17307</v>
      </c>
      <c r="H5822" s="1" t="s">
        <v>46</v>
      </c>
      <c r="I5822" s="1" t="s">
        <v>16</v>
      </c>
      <c r="J5822" s="1">
        <v>1</v>
      </c>
      <c r="K5822" s="1">
        <v>3</v>
      </c>
      <c r="L5822" s="1" t="s">
        <v>42</v>
      </c>
      <c r="M5822" s="1" t="s">
        <v>18</v>
      </c>
      <c r="N5822" s="1" t="s">
        <v>18</v>
      </c>
      <c r="O5822" s="1">
        <v>1</v>
      </c>
      <c r="P5822" s="1">
        <v>6</v>
      </c>
      <c r="R5822" s="1" t="s">
        <v>19</v>
      </c>
      <c r="S5822" s="1" t="s">
        <v>20</v>
      </c>
      <c r="T5822" s="1" t="s">
        <v>21</v>
      </c>
      <c r="U5822" s="1" t="s">
        <v>22</v>
      </c>
      <c r="V5822" s="1" t="s">
        <v>23</v>
      </c>
      <c r="W5822" s="1" t="s">
        <v>24</v>
      </c>
      <c r="X5822" s="1">
        <v>2700</v>
      </c>
      <c r="Y5822" s="1" t="s">
        <v>24</v>
      </c>
      <c r="Z5822" s="1" t="s">
        <v>24</v>
      </c>
      <c r="AA5822" s="1" t="s">
        <v>24</v>
      </c>
      <c r="AB5822" s="1" t="s">
        <v>24</v>
      </c>
      <c r="AC5822" s="1" t="s">
        <v>24</v>
      </c>
      <c r="AD5822" s="1" t="s">
        <v>24</v>
      </c>
      <c r="AE5822" s="1" t="s">
        <v>24</v>
      </c>
      <c r="AF5822" s="22" t="s">
        <v>17662</v>
      </c>
    </row>
    <row r="5823" spans="1:32" x14ac:dyDescent="0.2">
      <c r="A5823" s="1">
        <v>57398</v>
      </c>
      <c r="B5823" s="1" t="s">
        <v>17308</v>
      </c>
      <c r="C5823" s="5" t="s">
        <v>0</v>
      </c>
      <c r="D5823" s="1" t="s">
        <v>17309</v>
      </c>
      <c r="F5823" s="1" t="s">
        <v>17310</v>
      </c>
      <c r="G5823" s="1" t="s">
        <v>17311</v>
      </c>
      <c r="H5823" s="1" t="s">
        <v>1660</v>
      </c>
      <c r="I5823" s="1" t="s">
        <v>16</v>
      </c>
      <c r="J5823" s="1">
        <v>1</v>
      </c>
      <c r="K5823" s="1">
        <v>4</v>
      </c>
      <c r="L5823" s="1" t="s">
        <v>31</v>
      </c>
      <c r="M5823" s="1" t="s">
        <v>1662</v>
      </c>
      <c r="N5823" s="1" t="s">
        <v>18</v>
      </c>
      <c r="O5823" s="1">
        <v>3</v>
      </c>
      <c r="P5823" s="1">
        <v>6</v>
      </c>
      <c r="R5823" s="1" t="s">
        <v>19</v>
      </c>
      <c r="S5823" s="1" t="s">
        <v>20</v>
      </c>
      <c r="T5823" s="1" t="s">
        <v>21</v>
      </c>
      <c r="U5823" s="1" t="s">
        <v>22</v>
      </c>
      <c r="V5823" s="1" t="s">
        <v>24</v>
      </c>
      <c r="W5823" s="1" t="s">
        <v>24</v>
      </c>
      <c r="X5823" s="1">
        <v>2729</v>
      </c>
      <c r="Y5823" s="1">
        <v>2730</v>
      </c>
      <c r="Z5823" s="1" t="s">
        <v>24</v>
      </c>
      <c r="AA5823" s="1" t="s">
        <v>24</v>
      </c>
      <c r="AB5823" s="1" t="s">
        <v>24</v>
      </c>
      <c r="AC5823" s="1" t="s">
        <v>24</v>
      </c>
      <c r="AD5823" s="1" t="s">
        <v>24</v>
      </c>
      <c r="AE5823" s="1" t="s">
        <v>24</v>
      </c>
      <c r="AF5823" s="22"/>
    </row>
    <row r="5824" spans="1:32" x14ac:dyDescent="0.2">
      <c r="A5824" s="1">
        <v>57557</v>
      </c>
      <c r="B5824" s="1" t="s">
        <v>17312</v>
      </c>
      <c r="C5824" s="5" t="s">
        <v>0</v>
      </c>
      <c r="D5824" s="1" t="s">
        <v>17313</v>
      </c>
      <c r="F5824" s="1" t="s">
        <v>17314</v>
      </c>
      <c r="G5824" s="1" t="s">
        <v>17314</v>
      </c>
      <c r="H5824" s="1" t="s">
        <v>2672</v>
      </c>
      <c r="I5824" s="1" t="s">
        <v>16</v>
      </c>
      <c r="J5824" s="1">
        <v>1</v>
      </c>
      <c r="K5824" s="1">
        <v>4</v>
      </c>
      <c r="L5824" s="1" t="s">
        <v>42</v>
      </c>
      <c r="M5824" s="1" t="s">
        <v>18</v>
      </c>
      <c r="N5824" s="1" t="s">
        <v>18</v>
      </c>
      <c r="O5824" s="1">
        <v>3</v>
      </c>
      <c r="P5824" s="1">
        <v>6</v>
      </c>
      <c r="R5824" s="1" t="s">
        <v>19</v>
      </c>
      <c r="S5824" s="1" t="s">
        <v>20</v>
      </c>
      <c r="T5824" s="1" t="s">
        <v>21</v>
      </c>
      <c r="V5824" s="1" t="s">
        <v>24</v>
      </c>
      <c r="W5824" s="1" t="s">
        <v>24</v>
      </c>
      <c r="X5824" s="1">
        <v>2700</v>
      </c>
      <c r="Y5824" s="1" t="s">
        <v>24</v>
      </c>
      <c r="Z5824" s="1" t="s">
        <v>24</v>
      </c>
      <c r="AA5824" s="1" t="s">
        <v>24</v>
      </c>
      <c r="AB5824" s="1" t="s">
        <v>24</v>
      </c>
      <c r="AC5824" s="1" t="s">
        <v>24</v>
      </c>
      <c r="AD5824" s="1" t="s">
        <v>24</v>
      </c>
      <c r="AE5824" s="1" t="s">
        <v>24</v>
      </c>
      <c r="AF5824" s="22"/>
    </row>
    <row r="5825" spans="1:32" x14ac:dyDescent="0.2">
      <c r="A5825" s="1">
        <v>57681</v>
      </c>
      <c r="B5825" s="1" t="s">
        <v>17315</v>
      </c>
      <c r="C5825" s="5" t="s">
        <v>0</v>
      </c>
      <c r="E5825" s="1" t="s">
        <v>17316</v>
      </c>
      <c r="F5825" s="1" t="s">
        <v>17317</v>
      </c>
      <c r="G5825" s="1" t="s">
        <v>17317</v>
      </c>
      <c r="H5825" s="1" t="s">
        <v>1660</v>
      </c>
      <c r="I5825" s="1" t="s">
        <v>16</v>
      </c>
      <c r="J5825" s="1">
        <v>1</v>
      </c>
      <c r="K5825" s="1">
        <v>4</v>
      </c>
      <c r="L5825" s="1" t="s">
        <v>42</v>
      </c>
      <c r="M5825" s="1" t="s">
        <v>18</v>
      </c>
      <c r="N5825" s="1" t="s">
        <v>18</v>
      </c>
      <c r="O5825" s="1">
        <v>3</v>
      </c>
      <c r="P5825" s="1">
        <v>6</v>
      </c>
      <c r="R5825" s="1" t="s">
        <v>19</v>
      </c>
      <c r="S5825" s="1" t="s">
        <v>20</v>
      </c>
      <c r="T5825" s="1" t="s">
        <v>21</v>
      </c>
      <c r="U5825" s="1" t="s">
        <v>22</v>
      </c>
      <c r="V5825" s="1" t="s">
        <v>24</v>
      </c>
      <c r="W5825" s="1" t="s">
        <v>24</v>
      </c>
      <c r="X5825" s="1">
        <v>2400</v>
      </c>
      <c r="Y5825" s="1">
        <v>2725</v>
      </c>
      <c r="Z5825" s="1">
        <v>2726</v>
      </c>
      <c r="AA5825" s="1">
        <v>2713</v>
      </c>
      <c r="AB5825" s="1">
        <v>2739</v>
      </c>
      <c r="AC5825" s="1" t="s">
        <v>24</v>
      </c>
      <c r="AD5825" s="1" t="s">
        <v>24</v>
      </c>
      <c r="AE5825" s="1" t="s">
        <v>24</v>
      </c>
      <c r="AF5825" s="22"/>
    </row>
    <row r="5826" spans="1:32" x14ac:dyDescent="0.2">
      <c r="A5826" s="1">
        <v>57702</v>
      </c>
      <c r="B5826" s="1" t="s">
        <v>17318</v>
      </c>
      <c r="C5826" s="5" t="s">
        <v>0</v>
      </c>
      <c r="E5826" s="1" t="s">
        <v>17319</v>
      </c>
      <c r="F5826" s="1" t="s">
        <v>97</v>
      </c>
      <c r="G5826" s="1" t="s">
        <v>98</v>
      </c>
      <c r="H5826" s="1" t="s">
        <v>37</v>
      </c>
      <c r="I5826" s="1" t="s">
        <v>16</v>
      </c>
      <c r="J5826" s="1">
        <v>1</v>
      </c>
      <c r="K5826" s="1">
        <v>1</v>
      </c>
      <c r="L5826" s="1" t="s">
        <v>31</v>
      </c>
      <c r="M5826" s="1" t="s">
        <v>18</v>
      </c>
      <c r="N5826" s="1" t="s">
        <v>18</v>
      </c>
      <c r="O5826" s="1">
        <v>3</v>
      </c>
      <c r="P5826" s="1">
        <v>7</v>
      </c>
      <c r="Q5826" s="7" t="s">
        <v>17633</v>
      </c>
      <c r="R5826" s="1" t="s">
        <v>19</v>
      </c>
      <c r="S5826" s="1" t="s">
        <v>20</v>
      </c>
      <c r="T5826" s="1" t="s">
        <v>21</v>
      </c>
      <c r="U5826" s="1" t="s">
        <v>22</v>
      </c>
      <c r="V5826" s="1" t="s">
        <v>24</v>
      </c>
      <c r="W5826" s="1" t="s">
        <v>24</v>
      </c>
      <c r="X5826" s="1">
        <v>2701</v>
      </c>
      <c r="Y5826" s="1">
        <v>2502</v>
      </c>
      <c r="Z5826" s="1">
        <v>2204</v>
      </c>
      <c r="AA5826" s="1" t="s">
        <v>24</v>
      </c>
      <c r="AB5826" s="1" t="s">
        <v>24</v>
      </c>
      <c r="AC5826" s="1" t="s">
        <v>24</v>
      </c>
      <c r="AD5826" s="1" t="s">
        <v>24</v>
      </c>
      <c r="AE5826" s="1" t="s">
        <v>24</v>
      </c>
      <c r="AF5826" s="22"/>
    </row>
    <row r="5827" spans="1:32" x14ac:dyDescent="0.2">
      <c r="A5827" s="1">
        <v>57915</v>
      </c>
      <c r="B5827" s="1" t="s">
        <v>17320</v>
      </c>
      <c r="C5827" s="5" t="s">
        <v>0</v>
      </c>
      <c r="D5827" s="1" t="s">
        <v>17321</v>
      </c>
      <c r="E5827" s="1" t="s">
        <v>17322</v>
      </c>
      <c r="F5827" s="1" t="s">
        <v>6405</v>
      </c>
      <c r="G5827" s="1" t="s">
        <v>6406</v>
      </c>
      <c r="H5827" s="1" t="s">
        <v>92</v>
      </c>
      <c r="I5827" s="1" t="s">
        <v>16</v>
      </c>
      <c r="J5827" s="1">
        <v>1</v>
      </c>
      <c r="K5827" s="1">
        <v>4</v>
      </c>
      <c r="L5827" s="1" t="s">
        <v>31</v>
      </c>
      <c r="M5827" s="1" t="s">
        <v>18</v>
      </c>
      <c r="N5827" s="1" t="s">
        <v>18</v>
      </c>
      <c r="O5827" s="1">
        <v>3</v>
      </c>
      <c r="P5827" s="1">
        <v>7</v>
      </c>
      <c r="Q5827" s="7" t="s">
        <v>17633</v>
      </c>
      <c r="R5827" s="1" t="s">
        <v>19</v>
      </c>
      <c r="S5827" s="1" t="s">
        <v>20</v>
      </c>
      <c r="T5827" s="1" t="s">
        <v>21</v>
      </c>
      <c r="V5827" s="1" t="s">
        <v>24</v>
      </c>
      <c r="W5827" s="1" t="s">
        <v>24</v>
      </c>
      <c r="X5827" s="1">
        <v>1300</v>
      </c>
      <c r="Y5827" s="1">
        <v>1602</v>
      </c>
      <c r="Z5827" s="1">
        <v>1605</v>
      </c>
      <c r="AA5827" s="1">
        <v>3002</v>
      </c>
      <c r="AB5827" s="1">
        <v>2704</v>
      </c>
      <c r="AC5827" s="1" t="s">
        <v>24</v>
      </c>
      <c r="AD5827" s="1" t="s">
        <v>24</v>
      </c>
      <c r="AE5827" s="1" t="s">
        <v>24</v>
      </c>
      <c r="AF5827" s="22"/>
    </row>
    <row r="5828" spans="1:32" x14ac:dyDescent="0.2">
      <c r="A5828" s="1">
        <v>57916</v>
      </c>
      <c r="B5828" s="1" t="s">
        <v>17323</v>
      </c>
      <c r="C5828" s="5" t="s">
        <v>0</v>
      </c>
      <c r="E5828" s="1" t="s">
        <v>17324</v>
      </c>
      <c r="F5828" s="1" t="s">
        <v>2299</v>
      </c>
      <c r="G5828" s="1" t="s">
        <v>2300</v>
      </c>
      <c r="H5828" s="1" t="s">
        <v>37</v>
      </c>
      <c r="I5828" s="1" t="s">
        <v>16</v>
      </c>
      <c r="J5828" s="1">
        <v>1</v>
      </c>
      <c r="K5828" s="1">
        <v>1</v>
      </c>
      <c r="L5828" s="1" t="s">
        <v>31</v>
      </c>
      <c r="M5828" s="1" t="s">
        <v>18</v>
      </c>
      <c r="N5828" s="1" t="s">
        <v>18</v>
      </c>
      <c r="O5828" s="1">
        <v>3</v>
      </c>
      <c r="P5828" s="1">
        <v>7</v>
      </c>
      <c r="Q5828" s="7" t="s">
        <v>17633</v>
      </c>
      <c r="R5828" s="1" t="s">
        <v>19</v>
      </c>
      <c r="S5828" s="1" t="s">
        <v>63</v>
      </c>
      <c r="T5828" s="1" t="s">
        <v>21</v>
      </c>
      <c r="V5828" s="1" t="s">
        <v>24</v>
      </c>
      <c r="W5828" s="1" t="s">
        <v>24</v>
      </c>
      <c r="X5828" s="1">
        <v>2730</v>
      </c>
      <c r="Y5828" s="1">
        <v>1306</v>
      </c>
      <c r="Z5828" s="1">
        <v>2712</v>
      </c>
      <c r="AA5828" s="1" t="s">
        <v>24</v>
      </c>
      <c r="AB5828" s="1" t="s">
        <v>24</v>
      </c>
      <c r="AC5828" s="1" t="s">
        <v>24</v>
      </c>
      <c r="AD5828" s="1" t="s">
        <v>24</v>
      </c>
      <c r="AE5828" s="1" t="s">
        <v>24</v>
      </c>
      <c r="AF5828" s="22"/>
    </row>
    <row r="5829" spans="1:32" x14ac:dyDescent="0.2">
      <c r="A5829" s="1">
        <v>57917</v>
      </c>
      <c r="B5829" s="1" t="s">
        <v>17325</v>
      </c>
      <c r="C5829" s="5" t="s">
        <v>0</v>
      </c>
      <c r="E5829" s="1" t="s">
        <v>17326</v>
      </c>
      <c r="F5829" s="1" t="s">
        <v>2299</v>
      </c>
      <c r="G5829" s="1" t="s">
        <v>2300</v>
      </c>
      <c r="H5829" s="1" t="s">
        <v>37</v>
      </c>
      <c r="I5829" s="1" t="s">
        <v>16</v>
      </c>
      <c r="J5829" s="1">
        <v>1</v>
      </c>
      <c r="K5829" s="1">
        <v>1</v>
      </c>
      <c r="L5829" s="1" t="s">
        <v>31</v>
      </c>
      <c r="M5829" s="1" t="s">
        <v>18</v>
      </c>
      <c r="N5829" s="1" t="s">
        <v>18</v>
      </c>
      <c r="O5829" s="1">
        <v>3</v>
      </c>
      <c r="P5829" s="1">
        <v>7</v>
      </c>
      <c r="Q5829" s="7" t="s">
        <v>17633</v>
      </c>
      <c r="R5829" s="1" t="s">
        <v>19</v>
      </c>
      <c r="S5829" s="1" t="s">
        <v>63</v>
      </c>
      <c r="T5829" s="1" t="s">
        <v>21</v>
      </c>
      <c r="V5829" s="1" t="s">
        <v>24</v>
      </c>
      <c r="W5829" s="1" t="s">
        <v>24</v>
      </c>
      <c r="X5829" s="1">
        <v>2737</v>
      </c>
      <c r="Y5829" s="1">
        <v>1314</v>
      </c>
      <c r="Z5829" s="1">
        <v>2732</v>
      </c>
      <c r="AA5829" s="1" t="s">
        <v>24</v>
      </c>
      <c r="AB5829" s="1" t="s">
        <v>24</v>
      </c>
      <c r="AC5829" s="1" t="s">
        <v>24</v>
      </c>
      <c r="AD5829" s="1" t="s">
        <v>24</v>
      </c>
      <c r="AE5829" s="1" t="s">
        <v>24</v>
      </c>
      <c r="AF5829" s="22"/>
    </row>
    <row r="5830" spans="1:32" x14ac:dyDescent="0.2">
      <c r="A5830" s="1">
        <v>57918</v>
      </c>
      <c r="B5830" s="1" t="s">
        <v>17327</v>
      </c>
      <c r="C5830" s="5" t="s">
        <v>0</v>
      </c>
      <c r="E5830" s="1" t="s">
        <v>17328</v>
      </c>
      <c r="F5830" s="1" t="s">
        <v>2299</v>
      </c>
      <c r="G5830" s="1" t="s">
        <v>2300</v>
      </c>
      <c r="H5830" s="1" t="s">
        <v>37</v>
      </c>
      <c r="I5830" s="1" t="s">
        <v>16</v>
      </c>
      <c r="J5830" s="1">
        <v>1</v>
      </c>
      <c r="K5830" s="1">
        <v>1</v>
      </c>
      <c r="L5830" s="1" t="s">
        <v>31</v>
      </c>
      <c r="M5830" s="1" t="s">
        <v>18</v>
      </c>
      <c r="N5830" s="1" t="s">
        <v>18</v>
      </c>
      <c r="O5830" s="1">
        <v>3</v>
      </c>
      <c r="P5830" s="1">
        <v>7</v>
      </c>
      <c r="Q5830" s="7" t="s">
        <v>17633</v>
      </c>
      <c r="R5830" s="1" t="s">
        <v>19</v>
      </c>
      <c r="S5830" s="1" t="s">
        <v>63</v>
      </c>
      <c r="T5830" s="1" t="s">
        <v>21</v>
      </c>
      <c r="V5830" s="1" t="s">
        <v>24</v>
      </c>
      <c r="W5830" s="1" t="s">
        <v>24</v>
      </c>
      <c r="X5830" s="1">
        <v>2738</v>
      </c>
      <c r="Y5830" s="1">
        <v>2802</v>
      </c>
      <c r="Z5830" s="1">
        <v>2916</v>
      </c>
      <c r="AA5830" s="1" t="s">
        <v>24</v>
      </c>
      <c r="AB5830" s="1" t="s">
        <v>24</v>
      </c>
      <c r="AC5830" s="1" t="s">
        <v>24</v>
      </c>
      <c r="AD5830" s="1" t="s">
        <v>24</v>
      </c>
      <c r="AE5830" s="1" t="s">
        <v>24</v>
      </c>
      <c r="AF5830" s="22"/>
    </row>
    <row r="5831" spans="1:32" x14ac:dyDescent="0.2">
      <c r="A5831" s="1">
        <v>57919</v>
      </c>
      <c r="B5831" s="1" t="s">
        <v>17329</v>
      </c>
      <c r="C5831" s="5" t="s">
        <v>0</v>
      </c>
      <c r="E5831" s="1" t="s">
        <v>17330</v>
      </c>
      <c r="F5831" s="1" t="s">
        <v>2299</v>
      </c>
      <c r="G5831" s="1" t="s">
        <v>2300</v>
      </c>
      <c r="H5831" s="1" t="s">
        <v>37</v>
      </c>
      <c r="I5831" s="1" t="s">
        <v>16</v>
      </c>
      <c r="J5831" s="1">
        <v>1</v>
      </c>
      <c r="K5831" s="1">
        <v>1</v>
      </c>
      <c r="L5831" s="1" t="s">
        <v>31</v>
      </c>
      <c r="M5831" s="1" t="s">
        <v>18</v>
      </c>
      <c r="N5831" s="1" t="s">
        <v>18</v>
      </c>
      <c r="O5831" s="1">
        <v>3</v>
      </c>
      <c r="P5831" s="1">
        <v>7</v>
      </c>
      <c r="Q5831" s="7" t="s">
        <v>17633</v>
      </c>
      <c r="R5831" s="1" t="s">
        <v>19</v>
      </c>
      <c r="S5831" s="1" t="s">
        <v>63</v>
      </c>
      <c r="T5831" s="1" t="s">
        <v>21</v>
      </c>
      <c r="V5831" s="1" t="s">
        <v>24</v>
      </c>
      <c r="W5831" s="1" t="s">
        <v>24</v>
      </c>
      <c r="X5831" s="1">
        <v>2404</v>
      </c>
      <c r="Y5831" s="1">
        <v>2726</v>
      </c>
      <c r="Z5831" s="1" t="s">
        <v>24</v>
      </c>
      <c r="AA5831" s="1" t="s">
        <v>24</v>
      </c>
      <c r="AB5831" s="1" t="s">
        <v>24</v>
      </c>
      <c r="AC5831" s="1" t="s">
        <v>24</v>
      </c>
      <c r="AD5831" s="1" t="s">
        <v>24</v>
      </c>
      <c r="AE5831" s="1" t="s">
        <v>24</v>
      </c>
      <c r="AF5831" s="22"/>
    </row>
    <row r="5832" spans="1:32" x14ac:dyDescent="0.2">
      <c r="A5832" s="1">
        <v>57920</v>
      </c>
      <c r="B5832" s="1" t="s">
        <v>17331</v>
      </c>
      <c r="C5832" s="5" t="s">
        <v>0</v>
      </c>
      <c r="E5832" s="1" t="s">
        <v>17332</v>
      </c>
      <c r="F5832" s="1" t="s">
        <v>2299</v>
      </c>
      <c r="G5832" s="1" t="s">
        <v>2300</v>
      </c>
      <c r="H5832" s="1" t="s">
        <v>37</v>
      </c>
      <c r="I5832" s="1" t="s">
        <v>16</v>
      </c>
      <c r="J5832" s="1">
        <v>1</v>
      </c>
      <c r="K5832" s="1">
        <v>1</v>
      </c>
      <c r="L5832" s="1" t="s">
        <v>31</v>
      </c>
      <c r="M5832" s="1" t="s">
        <v>18</v>
      </c>
      <c r="N5832" s="1" t="s">
        <v>18</v>
      </c>
      <c r="O5832" s="1">
        <v>3</v>
      </c>
      <c r="P5832" s="1">
        <v>7</v>
      </c>
      <c r="Q5832" s="7" t="s">
        <v>17633</v>
      </c>
      <c r="R5832" s="1" t="s">
        <v>19</v>
      </c>
      <c r="S5832" s="1" t="s">
        <v>63</v>
      </c>
      <c r="T5832" s="1" t="s">
        <v>21</v>
      </c>
      <c r="V5832" s="1" t="s">
        <v>24</v>
      </c>
      <c r="W5832" s="1" t="s">
        <v>24</v>
      </c>
      <c r="X5832" s="1">
        <v>2746</v>
      </c>
      <c r="Y5832" s="1">
        <v>2703</v>
      </c>
      <c r="Z5832" s="1">
        <v>2706</v>
      </c>
      <c r="AA5832" s="1" t="s">
        <v>24</v>
      </c>
      <c r="AB5832" s="1" t="s">
        <v>24</v>
      </c>
      <c r="AC5832" s="1" t="s">
        <v>24</v>
      </c>
      <c r="AD5832" s="1" t="s">
        <v>24</v>
      </c>
      <c r="AE5832" s="1" t="s">
        <v>24</v>
      </c>
      <c r="AF5832" s="22"/>
    </row>
    <row r="5833" spans="1:32" x14ac:dyDescent="0.2">
      <c r="A5833" s="1">
        <v>57921</v>
      </c>
      <c r="B5833" s="1" t="s">
        <v>17333</v>
      </c>
      <c r="C5833" s="5" t="s">
        <v>0</v>
      </c>
      <c r="E5833" s="1" t="s">
        <v>17334</v>
      </c>
      <c r="F5833" s="1" t="s">
        <v>2299</v>
      </c>
      <c r="G5833" s="1" t="s">
        <v>2300</v>
      </c>
      <c r="H5833" s="1" t="s">
        <v>37</v>
      </c>
      <c r="I5833" s="1" t="s">
        <v>16</v>
      </c>
      <c r="J5833" s="1">
        <v>1</v>
      </c>
      <c r="K5833" s="1">
        <v>1</v>
      </c>
      <c r="L5833" s="1" t="s">
        <v>31</v>
      </c>
      <c r="M5833" s="1" t="s">
        <v>18</v>
      </c>
      <c r="N5833" s="1" t="s">
        <v>18</v>
      </c>
      <c r="O5833" s="1">
        <v>3</v>
      </c>
      <c r="P5833" s="1">
        <v>7</v>
      </c>
      <c r="Q5833" s="7" t="s">
        <v>17633</v>
      </c>
      <c r="R5833" s="1" t="s">
        <v>19</v>
      </c>
      <c r="S5833" s="1" t="s">
        <v>63</v>
      </c>
      <c r="T5833" s="1" t="s">
        <v>21</v>
      </c>
      <c r="V5833" s="1" t="s">
        <v>24</v>
      </c>
      <c r="W5833" s="1" t="s">
        <v>24</v>
      </c>
      <c r="X5833" s="1">
        <v>2725</v>
      </c>
      <c r="Y5833" s="1">
        <v>2739</v>
      </c>
      <c r="Z5833" s="1" t="s">
        <v>24</v>
      </c>
      <c r="AA5833" s="1" t="s">
        <v>24</v>
      </c>
      <c r="AB5833" s="1" t="s">
        <v>24</v>
      </c>
      <c r="AC5833" s="1" t="s">
        <v>24</v>
      </c>
      <c r="AD5833" s="1" t="s">
        <v>24</v>
      </c>
      <c r="AE5833" s="1" t="s">
        <v>24</v>
      </c>
      <c r="AF5833" s="22"/>
    </row>
    <row r="5834" spans="1:32" x14ac:dyDescent="0.2">
      <c r="A5834" s="1">
        <v>57922</v>
      </c>
      <c r="B5834" s="1" t="s">
        <v>17335</v>
      </c>
      <c r="C5834" s="5" t="s">
        <v>0</v>
      </c>
      <c r="E5834" s="1" t="s">
        <v>17336</v>
      </c>
      <c r="F5834" s="1" t="s">
        <v>2299</v>
      </c>
      <c r="G5834" s="1" t="s">
        <v>2300</v>
      </c>
      <c r="H5834" s="1" t="s">
        <v>37</v>
      </c>
      <c r="I5834" s="1" t="s">
        <v>16</v>
      </c>
      <c r="J5834" s="1">
        <v>1</v>
      </c>
      <c r="K5834" s="1">
        <v>1</v>
      </c>
      <c r="L5834" s="1" t="s">
        <v>31</v>
      </c>
      <c r="M5834" s="1" t="s">
        <v>18</v>
      </c>
      <c r="N5834" s="1" t="s">
        <v>18</v>
      </c>
      <c r="O5834" s="1">
        <v>3</v>
      </c>
      <c r="P5834" s="1">
        <v>7</v>
      </c>
      <c r="Q5834" s="7" t="s">
        <v>17633</v>
      </c>
      <c r="R5834" s="1" t="s">
        <v>19</v>
      </c>
      <c r="S5834" s="1" t="s">
        <v>63</v>
      </c>
      <c r="T5834" s="1" t="s">
        <v>21</v>
      </c>
      <c r="V5834" s="1" t="s">
        <v>24</v>
      </c>
      <c r="W5834" s="1" t="s">
        <v>24</v>
      </c>
      <c r="X5834" s="1">
        <v>2717</v>
      </c>
      <c r="Y5834" s="1">
        <v>2737</v>
      </c>
      <c r="Z5834" s="1">
        <v>1302</v>
      </c>
      <c r="AA5834" s="1" t="s">
        <v>24</v>
      </c>
      <c r="AB5834" s="1" t="s">
        <v>24</v>
      </c>
      <c r="AC5834" s="1" t="s">
        <v>24</v>
      </c>
      <c r="AD5834" s="1" t="s">
        <v>24</v>
      </c>
      <c r="AE5834" s="1" t="s">
        <v>24</v>
      </c>
      <c r="AF5834" s="22"/>
    </row>
    <row r="5835" spans="1:32" x14ac:dyDescent="0.2">
      <c r="A5835" s="1">
        <v>57923</v>
      </c>
      <c r="B5835" s="1" t="s">
        <v>17337</v>
      </c>
      <c r="C5835" s="5" t="s">
        <v>0</v>
      </c>
      <c r="D5835" s="1" t="s">
        <v>17338</v>
      </c>
      <c r="E5835" s="1" t="s">
        <v>17339</v>
      </c>
      <c r="F5835" s="1" t="s">
        <v>217</v>
      </c>
      <c r="G5835" s="1" t="s">
        <v>130</v>
      </c>
      <c r="H5835" s="1" t="s">
        <v>92</v>
      </c>
      <c r="I5835" s="1" t="s">
        <v>112</v>
      </c>
      <c r="J5835" s="1">
        <v>0</v>
      </c>
      <c r="K5835" s="1">
        <v>0</v>
      </c>
      <c r="L5835" s="1" t="s">
        <v>31</v>
      </c>
      <c r="M5835" s="1" t="s">
        <v>18</v>
      </c>
      <c r="N5835" s="1" t="s">
        <v>18</v>
      </c>
      <c r="O5835" s="1">
        <v>3</v>
      </c>
      <c r="P5835" s="1">
        <v>7</v>
      </c>
      <c r="Q5835" s="7" t="s">
        <v>17633</v>
      </c>
      <c r="R5835" s="1" t="s">
        <v>19</v>
      </c>
      <c r="S5835" s="1" t="s">
        <v>20</v>
      </c>
      <c r="T5835" s="1" t="s">
        <v>21</v>
      </c>
      <c r="V5835" s="1" t="s">
        <v>24</v>
      </c>
      <c r="W5835" s="1" t="s">
        <v>24</v>
      </c>
      <c r="X5835" s="1">
        <v>2701</v>
      </c>
      <c r="Y5835" s="1" t="s">
        <v>24</v>
      </c>
      <c r="Z5835" s="1" t="s">
        <v>24</v>
      </c>
      <c r="AA5835" s="1" t="s">
        <v>24</v>
      </c>
      <c r="AB5835" s="1" t="s">
        <v>24</v>
      </c>
      <c r="AC5835" s="1" t="s">
        <v>24</v>
      </c>
      <c r="AD5835" s="1" t="s">
        <v>24</v>
      </c>
      <c r="AE5835" s="1" t="s">
        <v>24</v>
      </c>
      <c r="AF5835" s="22"/>
    </row>
    <row r="5836" spans="1:32" x14ac:dyDescent="0.2">
      <c r="A5836" s="1">
        <v>57924</v>
      </c>
      <c r="B5836" s="1" t="s">
        <v>17340</v>
      </c>
      <c r="C5836" s="5" t="s">
        <v>0</v>
      </c>
      <c r="D5836" s="1" t="s">
        <v>17341</v>
      </c>
      <c r="E5836" s="1" t="s">
        <v>17342</v>
      </c>
      <c r="F5836" s="1" t="s">
        <v>1887</v>
      </c>
      <c r="G5836" s="1" t="s">
        <v>254</v>
      </c>
      <c r="H5836" s="1" t="s">
        <v>168</v>
      </c>
      <c r="I5836" s="1" t="s">
        <v>16</v>
      </c>
      <c r="J5836" s="1">
        <v>1</v>
      </c>
      <c r="K5836" s="1">
        <v>12</v>
      </c>
      <c r="L5836" s="1" t="s">
        <v>31</v>
      </c>
      <c r="M5836" s="1" t="s">
        <v>18</v>
      </c>
      <c r="N5836" s="1" t="s">
        <v>18</v>
      </c>
      <c r="O5836" s="1">
        <v>3</v>
      </c>
      <c r="P5836" s="1">
        <v>7</v>
      </c>
      <c r="Q5836" s="7" t="s">
        <v>17633</v>
      </c>
      <c r="R5836" s="1" t="s">
        <v>19</v>
      </c>
      <c r="S5836" s="1" t="s">
        <v>20</v>
      </c>
      <c r="T5836" s="1" t="s">
        <v>21</v>
      </c>
      <c r="V5836" s="1" t="s">
        <v>24</v>
      </c>
      <c r="W5836" s="1" t="s">
        <v>24</v>
      </c>
      <c r="X5836" s="1">
        <v>1310</v>
      </c>
      <c r="Y5836" s="1">
        <v>1312</v>
      </c>
      <c r="Z5836" s="1">
        <v>2712</v>
      </c>
      <c r="AA5836" s="1" t="s">
        <v>24</v>
      </c>
      <c r="AB5836" s="1" t="s">
        <v>24</v>
      </c>
      <c r="AC5836" s="1" t="s">
        <v>24</v>
      </c>
      <c r="AD5836" s="1" t="s">
        <v>24</v>
      </c>
      <c r="AE5836" s="1" t="s">
        <v>24</v>
      </c>
      <c r="AF5836" s="22"/>
    </row>
    <row r="5837" spans="1:32" x14ac:dyDescent="0.2">
      <c r="A5837" s="1">
        <v>57925</v>
      </c>
      <c r="B5837" s="1" t="s">
        <v>17343</v>
      </c>
      <c r="C5837" s="5" t="s">
        <v>0</v>
      </c>
      <c r="E5837" s="1" t="s">
        <v>17344</v>
      </c>
      <c r="F5837" s="1" t="s">
        <v>35</v>
      </c>
      <c r="G5837" s="1" t="s">
        <v>36</v>
      </c>
      <c r="H5837" s="1" t="s">
        <v>37</v>
      </c>
      <c r="I5837" s="1" t="s">
        <v>16</v>
      </c>
      <c r="J5837" s="1">
        <v>1</v>
      </c>
      <c r="K5837" s="1">
        <v>4</v>
      </c>
      <c r="L5837" s="1" t="s">
        <v>31</v>
      </c>
      <c r="M5837" s="1" t="s">
        <v>18</v>
      </c>
      <c r="N5837" s="1" t="s">
        <v>18</v>
      </c>
      <c r="O5837" s="1">
        <v>3</v>
      </c>
      <c r="P5837" s="1">
        <v>7</v>
      </c>
      <c r="Q5837" s="7" t="s">
        <v>17633</v>
      </c>
      <c r="R5837" s="1" t="s">
        <v>19</v>
      </c>
      <c r="S5837" s="1" t="s">
        <v>20</v>
      </c>
      <c r="T5837" s="1" t="s">
        <v>21</v>
      </c>
      <c r="V5837" s="1" t="s">
        <v>24</v>
      </c>
      <c r="W5837" s="1" t="s">
        <v>24</v>
      </c>
      <c r="X5837" s="1">
        <v>2741</v>
      </c>
      <c r="Y5837" s="1">
        <v>3614</v>
      </c>
      <c r="Z5837" s="1" t="s">
        <v>24</v>
      </c>
      <c r="AA5837" s="1" t="s">
        <v>24</v>
      </c>
      <c r="AB5837" s="1" t="s">
        <v>24</v>
      </c>
      <c r="AC5837" s="1" t="s">
        <v>24</v>
      </c>
      <c r="AD5837" s="1" t="s">
        <v>24</v>
      </c>
      <c r="AE5837" s="1" t="s">
        <v>24</v>
      </c>
      <c r="AF5837" s="22"/>
    </row>
    <row r="5838" spans="1:32" x14ac:dyDescent="0.2">
      <c r="A5838" s="1">
        <v>57926</v>
      </c>
      <c r="B5838" s="1" t="s">
        <v>17345</v>
      </c>
      <c r="C5838" s="5" t="s">
        <v>0</v>
      </c>
      <c r="E5838" s="1" t="s">
        <v>17346</v>
      </c>
      <c r="F5838" s="1" t="s">
        <v>2083</v>
      </c>
      <c r="G5838" s="1" t="s">
        <v>2083</v>
      </c>
      <c r="H5838" s="1" t="s">
        <v>30</v>
      </c>
      <c r="I5838" s="1" t="s">
        <v>16</v>
      </c>
      <c r="J5838" s="1">
        <v>1</v>
      </c>
      <c r="K5838" s="1">
        <v>8</v>
      </c>
      <c r="L5838" s="1" t="s">
        <v>42</v>
      </c>
      <c r="M5838" s="1" t="s">
        <v>18</v>
      </c>
      <c r="N5838" s="1" t="s">
        <v>18</v>
      </c>
      <c r="O5838" s="1">
        <v>3</v>
      </c>
      <c r="P5838" s="1">
        <v>6</v>
      </c>
      <c r="R5838" s="1" t="s">
        <v>19</v>
      </c>
      <c r="S5838" s="1" t="s">
        <v>20</v>
      </c>
      <c r="T5838" s="1" t="s">
        <v>21</v>
      </c>
      <c r="V5838" s="1" t="s">
        <v>24</v>
      </c>
      <c r="W5838" s="1" t="s">
        <v>24</v>
      </c>
      <c r="X5838" s="1">
        <v>2731</v>
      </c>
      <c r="Y5838" s="1">
        <v>2204</v>
      </c>
      <c r="Z5838" s="1" t="s">
        <v>24</v>
      </c>
      <c r="AA5838" s="1" t="s">
        <v>24</v>
      </c>
      <c r="AB5838" s="1" t="s">
        <v>24</v>
      </c>
      <c r="AC5838" s="1" t="s">
        <v>24</v>
      </c>
      <c r="AD5838" s="1" t="s">
        <v>24</v>
      </c>
      <c r="AE5838" s="1" t="s">
        <v>24</v>
      </c>
      <c r="AF5838" s="22"/>
    </row>
    <row r="5839" spans="1:32" x14ac:dyDescent="0.2">
      <c r="A5839" s="1">
        <v>57927</v>
      </c>
      <c r="B5839" s="1" t="s">
        <v>17347</v>
      </c>
      <c r="C5839" s="5" t="s">
        <v>0</v>
      </c>
      <c r="E5839" s="1" t="s">
        <v>17348</v>
      </c>
      <c r="F5839" s="1" t="s">
        <v>11078</v>
      </c>
      <c r="G5839" s="1" t="s">
        <v>11078</v>
      </c>
      <c r="H5839" s="1" t="s">
        <v>37</v>
      </c>
      <c r="I5839" s="1" t="s">
        <v>16</v>
      </c>
      <c r="J5839" s="1">
        <v>1</v>
      </c>
      <c r="K5839" s="1">
        <v>1</v>
      </c>
      <c r="L5839" s="1" t="s">
        <v>42</v>
      </c>
      <c r="M5839" s="1" t="s">
        <v>18</v>
      </c>
      <c r="N5839" s="1" t="s">
        <v>18</v>
      </c>
      <c r="O5839" s="1">
        <v>3</v>
      </c>
      <c r="P5839" s="1">
        <v>6</v>
      </c>
      <c r="R5839" s="1" t="s">
        <v>19</v>
      </c>
      <c r="S5839" s="1" t="s">
        <v>63</v>
      </c>
      <c r="T5839" s="1" t="s">
        <v>21</v>
      </c>
      <c r="V5839" s="1" t="s">
        <v>24</v>
      </c>
      <c r="W5839" s="1" t="s">
        <v>24</v>
      </c>
      <c r="X5839" s="1">
        <v>2204</v>
      </c>
      <c r="Y5839" s="1">
        <v>1706</v>
      </c>
      <c r="Z5839" s="1" t="s">
        <v>24</v>
      </c>
      <c r="AA5839" s="1" t="s">
        <v>24</v>
      </c>
      <c r="AB5839" s="1" t="s">
        <v>24</v>
      </c>
      <c r="AC5839" s="1" t="s">
        <v>24</v>
      </c>
      <c r="AD5839" s="1" t="s">
        <v>24</v>
      </c>
      <c r="AE5839" s="1" t="s">
        <v>24</v>
      </c>
      <c r="AF5839" s="22"/>
    </row>
    <row r="5840" spans="1:32" x14ac:dyDescent="0.2">
      <c r="A5840" s="1">
        <v>57928</v>
      </c>
      <c r="B5840" s="1" t="s">
        <v>17349</v>
      </c>
      <c r="C5840" s="5" t="s">
        <v>0</v>
      </c>
      <c r="D5840" s="1" t="s">
        <v>17350</v>
      </c>
      <c r="E5840" s="1" t="s">
        <v>17351</v>
      </c>
      <c r="F5840" s="1" t="s">
        <v>10332</v>
      </c>
      <c r="G5840" s="1" t="s">
        <v>10332</v>
      </c>
      <c r="H5840" s="1" t="s">
        <v>30</v>
      </c>
      <c r="I5840" s="1" t="s">
        <v>16</v>
      </c>
      <c r="J5840" s="1">
        <v>1</v>
      </c>
      <c r="K5840" s="1">
        <v>1</v>
      </c>
      <c r="L5840" s="1" t="s">
        <v>42</v>
      </c>
      <c r="M5840" s="1" t="s">
        <v>18</v>
      </c>
      <c r="N5840" s="1" t="s">
        <v>18</v>
      </c>
      <c r="O5840" s="1">
        <v>3</v>
      </c>
      <c r="P5840" s="1">
        <v>6</v>
      </c>
      <c r="R5840" s="1" t="s">
        <v>19</v>
      </c>
      <c r="S5840" s="1" t="s">
        <v>63</v>
      </c>
      <c r="T5840" s="1" t="s">
        <v>21</v>
      </c>
      <c r="V5840" s="1" t="s">
        <v>24</v>
      </c>
      <c r="W5840" s="1" t="s">
        <v>24</v>
      </c>
      <c r="X5840" s="1">
        <v>2700</v>
      </c>
      <c r="Y5840" s="1" t="s">
        <v>24</v>
      </c>
      <c r="Z5840" s="1" t="s">
        <v>24</v>
      </c>
      <c r="AA5840" s="1" t="s">
        <v>24</v>
      </c>
      <c r="AB5840" s="1" t="s">
        <v>24</v>
      </c>
      <c r="AC5840" s="1" t="s">
        <v>24</v>
      </c>
      <c r="AD5840" s="1" t="s">
        <v>24</v>
      </c>
      <c r="AE5840" s="1" t="s">
        <v>24</v>
      </c>
      <c r="AF5840" s="22"/>
    </row>
    <row r="5841" spans="1:32" x14ac:dyDescent="0.2">
      <c r="A5841" s="1">
        <v>57929</v>
      </c>
      <c r="B5841" s="1" t="s">
        <v>17352</v>
      </c>
      <c r="C5841" s="5" t="s">
        <v>0</v>
      </c>
      <c r="D5841" s="1" t="s">
        <v>17353</v>
      </c>
      <c r="E5841" s="1" t="s">
        <v>17354</v>
      </c>
      <c r="F5841" s="1" t="s">
        <v>10332</v>
      </c>
      <c r="G5841" s="1" t="s">
        <v>10332</v>
      </c>
      <c r="H5841" s="1" t="s">
        <v>30</v>
      </c>
      <c r="I5841" s="1" t="s">
        <v>16</v>
      </c>
      <c r="J5841" s="1">
        <v>1</v>
      </c>
      <c r="K5841" s="1">
        <v>4</v>
      </c>
      <c r="L5841" s="1" t="s">
        <v>42</v>
      </c>
      <c r="M5841" s="1" t="s">
        <v>18</v>
      </c>
      <c r="N5841" s="1" t="s">
        <v>18</v>
      </c>
      <c r="O5841" s="1">
        <v>3</v>
      </c>
      <c r="P5841" s="1">
        <v>6</v>
      </c>
      <c r="R5841" s="1" t="s">
        <v>19</v>
      </c>
      <c r="S5841" s="1" t="s">
        <v>20</v>
      </c>
      <c r="T5841" s="1" t="s">
        <v>21</v>
      </c>
      <c r="V5841" s="1" t="s">
        <v>24</v>
      </c>
      <c r="W5841" s="1" t="s">
        <v>24</v>
      </c>
      <c r="X5841" s="1">
        <v>1303</v>
      </c>
      <c r="Y5841" s="1">
        <v>1307</v>
      </c>
      <c r="Z5841" s="1">
        <v>2722</v>
      </c>
      <c r="AA5841" s="1" t="s">
        <v>24</v>
      </c>
      <c r="AB5841" s="1" t="s">
        <v>24</v>
      </c>
      <c r="AC5841" s="1" t="s">
        <v>24</v>
      </c>
      <c r="AD5841" s="1" t="s">
        <v>24</v>
      </c>
      <c r="AE5841" s="1" t="s">
        <v>24</v>
      </c>
      <c r="AF5841" s="22"/>
    </row>
    <row r="5842" spans="1:32" x14ac:dyDescent="0.2">
      <c r="A5842" s="1">
        <v>57930</v>
      </c>
      <c r="B5842" s="1" t="s">
        <v>17355</v>
      </c>
      <c r="C5842" s="5" t="s">
        <v>0</v>
      </c>
      <c r="D5842" s="1" t="s">
        <v>17356</v>
      </c>
      <c r="E5842" s="1" t="s">
        <v>17357</v>
      </c>
      <c r="F5842" s="1" t="s">
        <v>10332</v>
      </c>
      <c r="G5842" s="1" t="s">
        <v>10332</v>
      </c>
      <c r="H5842" s="1" t="s">
        <v>30</v>
      </c>
      <c r="I5842" s="1" t="s">
        <v>16</v>
      </c>
      <c r="J5842" s="1">
        <v>1</v>
      </c>
      <c r="K5842" s="1">
        <v>2</v>
      </c>
      <c r="L5842" s="1" t="s">
        <v>42</v>
      </c>
      <c r="M5842" s="1" t="s">
        <v>18</v>
      </c>
      <c r="N5842" s="1" t="s">
        <v>18</v>
      </c>
      <c r="O5842" s="1">
        <v>3</v>
      </c>
      <c r="P5842" s="1">
        <v>6</v>
      </c>
      <c r="R5842" s="1" t="s">
        <v>19</v>
      </c>
      <c r="S5842" s="1" t="s">
        <v>20</v>
      </c>
      <c r="T5842" s="1" t="s">
        <v>21</v>
      </c>
      <c r="V5842" s="1" t="s">
        <v>24</v>
      </c>
      <c r="W5842" s="1" t="s">
        <v>24</v>
      </c>
      <c r="X5842" s="1">
        <v>1303</v>
      </c>
      <c r="Y5842" s="1">
        <v>1307</v>
      </c>
      <c r="Z5842" s="1">
        <v>1309</v>
      </c>
      <c r="AA5842" s="1">
        <v>1312</v>
      </c>
      <c r="AB5842" s="1" t="s">
        <v>24</v>
      </c>
      <c r="AC5842" s="1" t="s">
        <v>24</v>
      </c>
      <c r="AD5842" s="1" t="s">
        <v>24</v>
      </c>
      <c r="AE5842" s="1" t="s">
        <v>24</v>
      </c>
      <c r="AF5842" s="22"/>
    </row>
    <row r="5843" spans="1:32" x14ac:dyDescent="0.2">
      <c r="A5843" s="1">
        <v>57931</v>
      </c>
      <c r="B5843" s="1" t="s">
        <v>17358</v>
      </c>
      <c r="C5843" s="5" t="s">
        <v>0</v>
      </c>
      <c r="D5843" s="1" t="s">
        <v>17359</v>
      </c>
      <c r="E5843" s="1" t="s">
        <v>17360</v>
      </c>
      <c r="F5843" s="1" t="s">
        <v>12243</v>
      </c>
      <c r="G5843" s="1" t="s">
        <v>12243</v>
      </c>
      <c r="H5843" s="1" t="s">
        <v>1957</v>
      </c>
      <c r="I5843" s="1" t="s">
        <v>16</v>
      </c>
      <c r="J5843" s="1">
        <v>1</v>
      </c>
      <c r="K5843" s="1">
        <v>4</v>
      </c>
      <c r="L5843" s="1" t="s">
        <v>42</v>
      </c>
      <c r="M5843" s="1" t="s">
        <v>18</v>
      </c>
      <c r="N5843" s="1" t="s">
        <v>18</v>
      </c>
      <c r="O5843" s="1">
        <v>3</v>
      </c>
      <c r="P5843" s="1">
        <v>6</v>
      </c>
      <c r="R5843" s="1" t="s">
        <v>19</v>
      </c>
      <c r="S5843" s="1" t="s">
        <v>20</v>
      </c>
      <c r="T5843" s="1" t="s">
        <v>21</v>
      </c>
      <c r="V5843" s="1" t="s">
        <v>24</v>
      </c>
      <c r="W5843" s="1" t="s">
        <v>24</v>
      </c>
      <c r="X5843" s="1">
        <v>2714</v>
      </c>
      <c r="Y5843" s="1">
        <v>2743</v>
      </c>
      <c r="Z5843" s="1">
        <v>2729</v>
      </c>
      <c r="AA5843" s="1" t="s">
        <v>24</v>
      </c>
      <c r="AB5843" s="1" t="s">
        <v>24</v>
      </c>
      <c r="AC5843" s="1" t="s">
        <v>24</v>
      </c>
      <c r="AD5843" s="1" t="s">
        <v>24</v>
      </c>
      <c r="AE5843" s="1" t="s">
        <v>24</v>
      </c>
      <c r="AF5843" s="22"/>
    </row>
    <row r="5844" spans="1:32" x14ac:dyDescent="0.2">
      <c r="A5844" s="1">
        <v>57932</v>
      </c>
      <c r="B5844" s="1" t="s">
        <v>17361</v>
      </c>
      <c r="C5844" s="5" t="s">
        <v>0</v>
      </c>
      <c r="E5844" s="1" t="s">
        <v>17362</v>
      </c>
      <c r="F5844" s="1" t="s">
        <v>35</v>
      </c>
      <c r="G5844" s="1" t="s">
        <v>36</v>
      </c>
      <c r="H5844" s="1" t="s">
        <v>37</v>
      </c>
      <c r="I5844" s="1" t="s">
        <v>16</v>
      </c>
      <c r="J5844" s="1">
        <v>1</v>
      </c>
      <c r="K5844" s="1">
        <v>2</v>
      </c>
      <c r="L5844" s="1" t="s">
        <v>31</v>
      </c>
      <c r="M5844" s="1" t="s">
        <v>18</v>
      </c>
      <c r="N5844" s="1" t="s">
        <v>18</v>
      </c>
      <c r="O5844" s="1">
        <v>3</v>
      </c>
      <c r="P5844" s="1">
        <v>7</v>
      </c>
      <c r="Q5844" s="7" t="s">
        <v>17633</v>
      </c>
      <c r="R5844" s="1" t="s">
        <v>19</v>
      </c>
      <c r="S5844" s="1" t="s">
        <v>20</v>
      </c>
      <c r="T5844" s="1" t="s">
        <v>21</v>
      </c>
      <c r="V5844" s="1" t="s">
        <v>24</v>
      </c>
      <c r="W5844" s="1" t="s">
        <v>24</v>
      </c>
      <c r="X5844" s="1">
        <v>1307</v>
      </c>
      <c r="Y5844" s="1" t="s">
        <v>24</v>
      </c>
      <c r="Z5844" s="1" t="s">
        <v>24</v>
      </c>
      <c r="AA5844" s="1" t="s">
        <v>24</v>
      </c>
      <c r="AB5844" s="1" t="s">
        <v>24</v>
      </c>
      <c r="AC5844" s="1" t="s">
        <v>24</v>
      </c>
      <c r="AD5844" s="1" t="s">
        <v>24</v>
      </c>
      <c r="AE5844" s="1" t="s">
        <v>24</v>
      </c>
      <c r="AF5844" s="22"/>
    </row>
    <row r="5845" spans="1:32" x14ac:dyDescent="0.2">
      <c r="A5845" s="1">
        <v>58132</v>
      </c>
      <c r="B5845" s="5" t="s">
        <v>17363</v>
      </c>
      <c r="C5845" s="5" t="s">
        <v>50553</v>
      </c>
      <c r="D5845" s="1" t="s">
        <v>17364</v>
      </c>
      <c r="E5845" s="1" t="s">
        <v>17365</v>
      </c>
      <c r="F5845" s="1" t="s">
        <v>371</v>
      </c>
      <c r="G5845" s="1" t="s">
        <v>17607</v>
      </c>
      <c r="H5845" s="1" t="s">
        <v>30</v>
      </c>
      <c r="I5845" s="1" t="s">
        <v>16</v>
      </c>
      <c r="J5845" s="1">
        <v>1</v>
      </c>
      <c r="K5845" s="1">
        <v>2</v>
      </c>
      <c r="L5845" s="1" t="s">
        <v>31</v>
      </c>
      <c r="M5845" s="1" t="s">
        <v>18</v>
      </c>
      <c r="N5845" s="5" t="s">
        <v>18</v>
      </c>
      <c r="O5845" s="5">
        <v>3</v>
      </c>
      <c r="P5845" s="5">
        <v>7</v>
      </c>
      <c r="Q5845" s="5" t="s">
        <v>17633</v>
      </c>
      <c r="R5845" s="5" t="s">
        <v>19</v>
      </c>
      <c r="S5845" s="1" t="s">
        <v>20</v>
      </c>
      <c r="T5845" s="5" t="s">
        <v>21</v>
      </c>
      <c r="U5845" s="5"/>
      <c r="V5845" s="5"/>
      <c r="W5845" s="5"/>
      <c r="X5845" s="5">
        <v>2732</v>
      </c>
      <c r="Y5845" s="5">
        <v>2746</v>
      </c>
      <c r="AF5845" s="22"/>
    </row>
    <row r="5846" spans="1:32" x14ac:dyDescent="0.2">
      <c r="A5846" s="1">
        <v>58190</v>
      </c>
      <c r="B5846" s="1" t="s">
        <v>17366</v>
      </c>
      <c r="C5846" s="5" t="s">
        <v>0</v>
      </c>
      <c r="D5846" s="1" t="s">
        <v>17367</v>
      </c>
      <c r="F5846" s="1" t="s">
        <v>17153</v>
      </c>
      <c r="G5846" s="1" t="s">
        <v>17153</v>
      </c>
      <c r="H5846" s="1" t="s">
        <v>264</v>
      </c>
      <c r="I5846" s="1" t="s">
        <v>16</v>
      </c>
      <c r="J5846" s="1">
        <v>1</v>
      </c>
      <c r="K5846" s="1">
        <v>12</v>
      </c>
      <c r="L5846" s="1" t="s">
        <v>42</v>
      </c>
      <c r="M5846" s="1" t="s">
        <v>18</v>
      </c>
      <c r="N5846" s="1" t="s">
        <v>18</v>
      </c>
      <c r="O5846" s="1">
        <v>3</v>
      </c>
      <c r="P5846" s="1">
        <v>6</v>
      </c>
      <c r="R5846" s="1" t="s">
        <v>19</v>
      </c>
      <c r="S5846" s="1" t="s">
        <v>20</v>
      </c>
      <c r="T5846" s="1" t="s">
        <v>21</v>
      </c>
      <c r="V5846" s="1" t="s">
        <v>23</v>
      </c>
      <c r="W5846" s="1" t="s">
        <v>24</v>
      </c>
      <c r="X5846" s="1">
        <v>2700</v>
      </c>
      <c r="Y5846" s="1">
        <v>2900</v>
      </c>
      <c r="Z5846" s="1" t="s">
        <v>24</v>
      </c>
      <c r="AA5846" s="1" t="s">
        <v>24</v>
      </c>
      <c r="AB5846" s="1" t="s">
        <v>24</v>
      </c>
      <c r="AC5846" s="1" t="s">
        <v>24</v>
      </c>
      <c r="AD5846" s="1" t="s">
        <v>24</v>
      </c>
      <c r="AE5846" s="1" t="s">
        <v>24</v>
      </c>
      <c r="AF5846" s="22"/>
    </row>
    <row r="5847" spans="1:32" x14ac:dyDescent="0.2">
      <c r="A5847" s="1">
        <v>58203</v>
      </c>
      <c r="B5847" s="1" t="s">
        <v>17368</v>
      </c>
      <c r="C5847" s="5" t="s">
        <v>0</v>
      </c>
      <c r="D5847" s="1" t="s">
        <v>17369</v>
      </c>
      <c r="F5847" s="1" t="s">
        <v>4131</v>
      </c>
      <c r="G5847" s="1" t="s">
        <v>4131</v>
      </c>
      <c r="H5847" s="1" t="s">
        <v>168</v>
      </c>
      <c r="I5847" s="1" t="s">
        <v>16</v>
      </c>
      <c r="J5847" s="1">
        <v>1</v>
      </c>
      <c r="K5847" s="1">
        <v>52</v>
      </c>
      <c r="L5847" s="1" t="s">
        <v>42</v>
      </c>
      <c r="M5847" s="1" t="s">
        <v>18</v>
      </c>
      <c r="N5847" s="1" t="s">
        <v>18</v>
      </c>
      <c r="O5847" s="1">
        <v>3</v>
      </c>
      <c r="P5847" s="1">
        <v>6</v>
      </c>
      <c r="R5847" s="1" t="s">
        <v>19</v>
      </c>
      <c r="S5847" s="1" t="s">
        <v>20</v>
      </c>
      <c r="T5847" s="1" t="s">
        <v>21</v>
      </c>
      <c r="U5847" s="1" t="s">
        <v>22</v>
      </c>
      <c r="V5847" s="1" t="s">
        <v>24</v>
      </c>
      <c r="W5847" s="1" t="s">
        <v>24</v>
      </c>
      <c r="X5847" s="1">
        <v>2700</v>
      </c>
      <c r="Y5847" s="1" t="s">
        <v>24</v>
      </c>
      <c r="Z5847" s="1" t="s">
        <v>24</v>
      </c>
      <c r="AA5847" s="1" t="s">
        <v>24</v>
      </c>
      <c r="AB5847" s="1" t="s">
        <v>24</v>
      </c>
      <c r="AC5847" s="1" t="s">
        <v>24</v>
      </c>
      <c r="AD5847" s="1" t="s">
        <v>24</v>
      </c>
      <c r="AE5847" s="1" t="s">
        <v>24</v>
      </c>
      <c r="AF5847" s="22"/>
    </row>
    <row r="5848" spans="1:32" x14ac:dyDescent="0.2">
      <c r="A5848" s="1">
        <v>58271</v>
      </c>
      <c r="B5848" s="1" t="s">
        <v>17370</v>
      </c>
      <c r="C5848" s="5" t="s">
        <v>0</v>
      </c>
      <c r="D5848" s="1" t="s">
        <v>17371</v>
      </c>
      <c r="F5848" s="1" t="s">
        <v>155</v>
      </c>
      <c r="G5848" s="1" t="s">
        <v>61</v>
      </c>
      <c r="H5848" s="1" t="s">
        <v>37</v>
      </c>
      <c r="I5848" s="1" t="s">
        <v>16</v>
      </c>
      <c r="J5848" s="1">
        <v>1</v>
      </c>
      <c r="K5848" s="1">
        <v>4</v>
      </c>
      <c r="L5848" s="1" t="s">
        <v>31</v>
      </c>
      <c r="M5848" s="1" t="s">
        <v>18</v>
      </c>
      <c r="N5848" s="1" t="s">
        <v>18</v>
      </c>
      <c r="O5848" s="1">
        <v>3</v>
      </c>
      <c r="P5848" s="1">
        <v>7</v>
      </c>
      <c r="Q5848" s="7" t="s">
        <v>17633</v>
      </c>
      <c r="R5848" s="1" t="s">
        <v>19</v>
      </c>
      <c r="S5848" s="1" t="s">
        <v>63</v>
      </c>
      <c r="T5848" s="1" t="s">
        <v>21</v>
      </c>
      <c r="U5848" s="1" t="s">
        <v>22</v>
      </c>
      <c r="V5848" s="1" t="s">
        <v>23</v>
      </c>
      <c r="W5848" s="1" t="s">
        <v>24</v>
      </c>
      <c r="X5848" s="1">
        <v>2700</v>
      </c>
      <c r="Y5848" s="1">
        <v>2746</v>
      </c>
      <c r="Z5848" s="1" t="s">
        <v>24</v>
      </c>
      <c r="AA5848" s="1" t="s">
        <v>24</v>
      </c>
      <c r="AB5848" s="1" t="s">
        <v>24</v>
      </c>
      <c r="AC5848" s="1" t="s">
        <v>24</v>
      </c>
      <c r="AD5848" s="1" t="s">
        <v>24</v>
      </c>
      <c r="AE5848" s="1" t="s">
        <v>24</v>
      </c>
      <c r="AF5848" s="22"/>
    </row>
    <row r="5849" spans="1:32" x14ac:dyDescent="0.2">
      <c r="A5849" s="1">
        <v>58276</v>
      </c>
      <c r="B5849" s="1" t="s">
        <v>17372</v>
      </c>
      <c r="C5849" s="5" t="s">
        <v>0</v>
      </c>
      <c r="D5849" s="1" t="s">
        <v>17373</v>
      </c>
      <c r="F5849" s="1" t="s">
        <v>272</v>
      </c>
      <c r="G5849" s="1" t="s">
        <v>61</v>
      </c>
      <c r="H5849" s="1" t="s">
        <v>30</v>
      </c>
      <c r="I5849" s="1" t="s">
        <v>16</v>
      </c>
      <c r="J5849" s="1">
        <v>1</v>
      </c>
      <c r="K5849" s="1">
        <v>1</v>
      </c>
      <c r="L5849" s="1" t="s">
        <v>31</v>
      </c>
      <c r="M5849" s="1" t="s">
        <v>18</v>
      </c>
      <c r="N5849" s="1" t="s">
        <v>18</v>
      </c>
      <c r="O5849" s="1">
        <v>3</v>
      </c>
      <c r="P5849" s="1">
        <v>7</v>
      </c>
      <c r="Q5849" s="7" t="s">
        <v>17633</v>
      </c>
      <c r="R5849" s="1" t="s">
        <v>19</v>
      </c>
      <c r="S5849" s="1" t="s">
        <v>20</v>
      </c>
      <c r="T5849" s="1" t="s">
        <v>21</v>
      </c>
      <c r="U5849" s="1" t="s">
        <v>22</v>
      </c>
      <c r="V5849" s="1" t="s">
        <v>24</v>
      </c>
      <c r="W5849" s="1" t="s">
        <v>24</v>
      </c>
      <c r="X5849" s="1">
        <v>1313</v>
      </c>
      <c r="Y5849" s="1">
        <v>1303</v>
      </c>
      <c r="Z5849" s="1">
        <v>1305</v>
      </c>
      <c r="AA5849" s="1">
        <v>1311</v>
      </c>
      <c r="AB5849" s="1" t="s">
        <v>24</v>
      </c>
      <c r="AC5849" s="1" t="s">
        <v>24</v>
      </c>
      <c r="AD5849" s="1" t="s">
        <v>24</v>
      </c>
      <c r="AE5849" s="1" t="s">
        <v>24</v>
      </c>
      <c r="AF5849" s="22"/>
    </row>
    <row r="5850" spans="1:32" x14ac:dyDescent="0.2">
      <c r="A5850" s="1">
        <v>58277</v>
      </c>
      <c r="B5850" s="1" t="s">
        <v>17374</v>
      </c>
      <c r="C5850" s="5" t="s">
        <v>0</v>
      </c>
      <c r="D5850" s="1" t="s">
        <v>17375</v>
      </c>
      <c r="F5850" s="1" t="s">
        <v>155</v>
      </c>
      <c r="G5850" s="1" t="s">
        <v>61</v>
      </c>
      <c r="H5850" s="1" t="s">
        <v>37</v>
      </c>
      <c r="I5850" s="1" t="s">
        <v>16</v>
      </c>
      <c r="J5850" s="1">
        <v>1</v>
      </c>
      <c r="K5850" s="1">
        <v>1</v>
      </c>
      <c r="L5850" s="1" t="s">
        <v>31</v>
      </c>
      <c r="M5850" s="1" t="s">
        <v>18</v>
      </c>
      <c r="N5850" s="1" t="s">
        <v>18</v>
      </c>
      <c r="O5850" s="1">
        <v>2</v>
      </c>
      <c r="P5850" s="1">
        <v>7</v>
      </c>
      <c r="Q5850" s="7" t="s">
        <v>17633</v>
      </c>
      <c r="R5850" s="1" t="s">
        <v>19</v>
      </c>
      <c r="S5850" s="1" t="s">
        <v>20</v>
      </c>
      <c r="T5850" s="1" t="s">
        <v>21</v>
      </c>
      <c r="U5850" s="1" t="s">
        <v>22</v>
      </c>
      <c r="V5850" s="1" t="s">
        <v>23</v>
      </c>
      <c r="W5850" s="1" t="s">
        <v>24</v>
      </c>
      <c r="X5850" s="1">
        <v>2725</v>
      </c>
      <c r="Y5850" s="1" t="s">
        <v>24</v>
      </c>
      <c r="Z5850" s="1" t="s">
        <v>24</v>
      </c>
      <c r="AA5850" s="1" t="s">
        <v>24</v>
      </c>
      <c r="AB5850" s="1" t="s">
        <v>24</v>
      </c>
      <c r="AC5850" s="1" t="s">
        <v>24</v>
      </c>
      <c r="AD5850" s="1" t="s">
        <v>24</v>
      </c>
      <c r="AE5850" s="1" t="s">
        <v>24</v>
      </c>
      <c r="AF5850" s="22"/>
    </row>
    <row r="5851" spans="1:32" x14ac:dyDescent="0.2">
      <c r="A5851" s="1">
        <v>58278</v>
      </c>
      <c r="B5851" s="1" t="s">
        <v>17376</v>
      </c>
      <c r="C5851" s="5" t="s">
        <v>0</v>
      </c>
      <c r="D5851" s="1" t="s">
        <v>17377</v>
      </c>
      <c r="F5851" s="1" t="s">
        <v>221</v>
      </c>
      <c r="G5851" s="1" t="s">
        <v>61</v>
      </c>
      <c r="H5851" s="1" t="s">
        <v>222</v>
      </c>
      <c r="I5851" s="1" t="s">
        <v>16</v>
      </c>
      <c r="J5851" s="1">
        <v>1</v>
      </c>
      <c r="K5851" s="1">
        <v>1</v>
      </c>
      <c r="L5851" s="1" t="s">
        <v>31</v>
      </c>
      <c r="M5851" s="1" t="s">
        <v>18</v>
      </c>
      <c r="N5851" s="1" t="s">
        <v>18</v>
      </c>
      <c r="O5851" s="1">
        <v>3</v>
      </c>
      <c r="P5851" s="1">
        <v>7</v>
      </c>
      <c r="Q5851" s="7" t="s">
        <v>17633</v>
      </c>
      <c r="R5851" s="1" t="s">
        <v>19</v>
      </c>
      <c r="S5851" s="1" t="s">
        <v>20</v>
      </c>
      <c r="T5851" s="1" t="s">
        <v>21</v>
      </c>
      <c r="U5851" s="1" t="s">
        <v>22</v>
      </c>
      <c r="V5851" s="1" t="s">
        <v>24</v>
      </c>
      <c r="W5851" s="1" t="s">
        <v>24</v>
      </c>
      <c r="X5851" s="1">
        <v>2705</v>
      </c>
      <c r="Y5851" s="1" t="s">
        <v>24</v>
      </c>
      <c r="Z5851" s="1" t="s">
        <v>24</v>
      </c>
      <c r="AA5851" s="1" t="s">
        <v>24</v>
      </c>
      <c r="AB5851" s="1" t="s">
        <v>24</v>
      </c>
      <c r="AC5851" s="1" t="s">
        <v>24</v>
      </c>
      <c r="AD5851" s="1" t="s">
        <v>24</v>
      </c>
      <c r="AE5851" s="1" t="s">
        <v>24</v>
      </c>
      <c r="AF5851" s="22"/>
    </row>
    <row r="5852" spans="1:32" x14ac:dyDescent="0.2">
      <c r="A5852" s="1">
        <v>58279</v>
      </c>
      <c r="B5852" s="1" t="s">
        <v>17378</v>
      </c>
      <c r="C5852" s="5" t="s">
        <v>0</v>
      </c>
      <c r="D5852" s="1" t="s">
        <v>17379</v>
      </c>
      <c r="F5852" s="1" t="s">
        <v>221</v>
      </c>
      <c r="G5852" s="1" t="s">
        <v>61</v>
      </c>
      <c r="H5852" s="1" t="s">
        <v>222</v>
      </c>
      <c r="I5852" s="1" t="s">
        <v>16</v>
      </c>
      <c r="J5852" s="1">
        <v>1</v>
      </c>
      <c r="K5852" s="1">
        <v>1</v>
      </c>
      <c r="L5852" s="1" t="s">
        <v>31</v>
      </c>
      <c r="M5852" s="1" t="s">
        <v>18</v>
      </c>
      <c r="N5852" s="1" t="s">
        <v>18</v>
      </c>
      <c r="O5852" s="1">
        <v>3</v>
      </c>
      <c r="P5852" s="1">
        <v>7</v>
      </c>
      <c r="Q5852" s="7" t="s">
        <v>17633</v>
      </c>
      <c r="R5852" s="1" t="s">
        <v>19</v>
      </c>
      <c r="S5852" s="1" t="s">
        <v>20</v>
      </c>
      <c r="T5852" s="1" t="s">
        <v>21</v>
      </c>
      <c r="U5852" s="1" t="s">
        <v>22</v>
      </c>
      <c r="V5852" s="1" t="s">
        <v>24</v>
      </c>
      <c r="W5852" s="1" t="s">
        <v>24</v>
      </c>
      <c r="X5852" s="1">
        <v>2712</v>
      </c>
      <c r="Y5852" s="1">
        <v>2705</v>
      </c>
      <c r="Z5852" s="1">
        <v>2737</v>
      </c>
      <c r="AA5852" s="1" t="s">
        <v>24</v>
      </c>
      <c r="AB5852" s="1" t="s">
        <v>24</v>
      </c>
      <c r="AC5852" s="1" t="s">
        <v>24</v>
      </c>
      <c r="AD5852" s="1" t="s">
        <v>24</v>
      </c>
      <c r="AE5852" s="1" t="s">
        <v>24</v>
      </c>
      <c r="AF5852" s="22"/>
    </row>
    <row r="5853" spans="1:32" x14ac:dyDescent="0.2">
      <c r="A5853" s="1">
        <v>58282</v>
      </c>
      <c r="B5853" s="1" t="s">
        <v>17380</v>
      </c>
      <c r="C5853" s="5" t="s">
        <v>0</v>
      </c>
      <c r="D5853" s="1" t="s">
        <v>17381</v>
      </c>
      <c r="F5853" s="1" t="s">
        <v>272</v>
      </c>
      <c r="G5853" s="1" t="s">
        <v>61</v>
      </c>
      <c r="H5853" s="1" t="s">
        <v>30</v>
      </c>
      <c r="I5853" s="1" t="s">
        <v>16</v>
      </c>
      <c r="J5853" s="1">
        <v>1</v>
      </c>
      <c r="K5853" s="1">
        <v>6</v>
      </c>
      <c r="L5853" s="1" t="s">
        <v>31</v>
      </c>
      <c r="M5853" s="1" t="s">
        <v>18</v>
      </c>
      <c r="N5853" s="1" t="s">
        <v>18</v>
      </c>
      <c r="O5853" s="1">
        <v>2</v>
      </c>
      <c r="P5853" s="1">
        <v>7</v>
      </c>
      <c r="Q5853" s="7" t="s">
        <v>17633</v>
      </c>
      <c r="R5853" s="1" t="s">
        <v>19</v>
      </c>
      <c r="S5853" s="1" t="s">
        <v>20</v>
      </c>
      <c r="T5853" s="1" t="s">
        <v>21</v>
      </c>
      <c r="U5853" s="1" t="s">
        <v>22</v>
      </c>
      <c r="V5853" s="1" t="s">
        <v>24</v>
      </c>
      <c r="W5853" s="1" t="s">
        <v>24</v>
      </c>
      <c r="X5853" s="1">
        <v>2748</v>
      </c>
      <c r="Y5853" s="1" t="s">
        <v>24</v>
      </c>
      <c r="Z5853" s="1" t="s">
        <v>24</v>
      </c>
      <c r="AA5853" s="1" t="s">
        <v>24</v>
      </c>
      <c r="AB5853" s="1" t="s">
        <v>24</v>
      </c>
      <c r="AC5853" s="1" t="s">
        <v>24</v>
      </c>
      <c r="AD5853" s="1" t="s">
        <v>24</v>
      </c>
      <c r="AE5853" s="1" t="s">
        <v>24</v>
      </c>
      <c r="AF5853" s="22"/>
    </row>
    <row r="5854" spans="1:32" x14ac:dyDescent="0.2">
      <c r="A5854" s="1">
        <v>58283</v>
      </c>
      <c r="B5854" s="1" t="s">
        <v>17382</v>
      </c>
      <c r="C5854" s="5" t="s">
        <v>0</v>
      </c>
      <c r="D5854" s="1" t="s">
        <v>17383</v>
      </c>
      <c r="F5854" s="1" t="s">
        <v>91</v>
      </c>
      <c r="G5854" s="1" t="s">
        <v>61</v>
      </c>
      <c r="H5854" s="1" t="s">
        <v>92</v>
      </c>
      <c r="I5854" s="1" t="s">
        <v>16</v>
      </c>
      <c r="J5854" s="1">
        <v>1</v>
      </c>
      <c r="K5854" s="1">
        <v>1</v>
      </c>
      <c r="L5854" s="1" t="s">
        <v>31</v>
      </c>
      <c r="M5854" s="1" t="s">
        <v>18</v>
      </c>
      <c r="N5854" s="1" t="s">
        <v>18</v>
      </c>
      <c r="O5854" s="1">
        <v>3</v>
      </c>
      <c r="P5854" s="1">
        <v>7</v>
      </c>
      <c r="Q5854" s="7" t="s">
        <v>17633</v>
      </c>
      <c r="R5854" s="1" t="s">
        <v>19</v>
      </c>
      <c r="S5854" s="1" t="s">
        <v>20</v>
      </c>
      <c r="T5854" s="1" t="s">
        <v>21</v>
      </c>
      <c r="U5854" s="1" t="s">
        <v>22</v>
      </c>
      <c r="V5854" s="1" t="s">
        <v>24</v>
      </c>
      <c r="W5854" s="1" t="s">
        <v>24</v>
      </c>
      <c r="X5854" s="1">
        <v>1311</v>
      </c>
      <c r="Y5854" s="1">
        <v>2716</v>
      </c>
      <c r="Z5854" s="1" t="s">
        <v>24</v>
      </c>
      <c r="AA5854" s="1" t="s">
        <v>24</v>
      </c>
      <c r="AB5854" s="1" t="s">
        <v>24</v>
      </c>
      <c r="AC5854" s="1" t="s">
        <v>24</v>
      </c>
      <c r="AD5854" s="1" t="s">
        <v>24</v>
      </c>
      <c r="AE5854" s="1" t="s">
        <v>24</v>
      </c>
      <c r="AF5854" s="22" t="s">
        <v>17678</v>
      </c>
    </row>
    <row r="5855" spans="1:32" x14ac:dyDescent="0.2">
      <c r="A5855" s="1">
        <v>58284</v>
      </c>
      <c r="B5855" s="1" t="s">
        <v>17384</v>
      </c>
      <c r="C5855" s="5" t="s">
        <v>0</v>
      </c>
      <c r="D5855" s="1" t="s">
        <v>17385</v>
      </c>
      <c r="F5855" s="1" t="s">
        <v>91</v>
      </c>
      <c r="G5855" s="1" t="s">
        <v>61</v>
      </c>
      <c r="H5855" s="1" t="s">
        <v>92</v>
      </c>
      <c r="I5855" s="1" t="s">
        <v>16</v>
      </c>
      <c r="J5855" s="1">
        <v>1</v>
      </c>
      <c r="K5855" s="1">
        <v>2</v>
      </c>
      <c r="L5855" s="1" t="s">
        <v>31</v>
      </c>
      <c r="M5855" s="1" t="s">
        <v>18</v>
      </c>
      <c r="N5855" s="1" t="s">
        <v>18</v>
      </c>
      <c r="O5855" s="1">
        <v>3</v>
      </c>
      <c r="P5855" s="1">
        <v>7</v>
      </c>
      <c r="Q5855" s="7" t="s">
        <v>17633</v>
      </c>
      <c r="R5855" s="1" t="s">
        <v>19</v>
      </c>
      <c r="S5855" s="1" t="s">
        <v>20</v>
      </c>
      <c r="T5855" s="1" t="s">
        <v>21</v>
      </c>
      <c r="U5855" s="1" t="s">
        <v>22</v>
      </c>
      <c r="V5855" s="1" t="s">
        <v>24</v>
      </c>
      <c r="W5855" s="1" t="s">
        <v>24</v>
      </c>
      <c r="X5855" s="1">
        <v>2734</v>
      </c>
      <c r="Y5855" s="1">
        <v>2737</v>
      </c>
      <c r="Z5855" s="1">
        <v>1313</v>
      </c>
      <c r="AA5855" s="1" t="s">
        <v>24</v>
      </c>
      <c r="AB5855" s="1" t="s">
        <v>24</v>
      </c>
      <c r="AC5855" s="1" t="s">
        <v>24</v>
      </c>
      <c r="AD5855" s="1" t="s">
        <v>24</v>
      </c>
      <c r="AE5855" s="1" t="s">
        <v>24</v>
      </c>
      <c r="AF5855" s="22" t="s">
        <v>17634</v>
      </c>
    </row>
    <row r="5856" spans="1:32" x14ac:dyDescent="0.2">
      <c r="A5856" s="1">
        <v>58285</v>
      </c>
      <c r="B5856" s="1" t="s">
        <v>17386</v>
      </c>
      <c r="C5856" s="5" t="s">
        <v>0</v>
      </c>
      <c r="D5856" s="1" t="s">
        <v>17387</v>
      </c>
      <c r="F5856" s="1" t="s">
        <v>175</v>
      </c>
      <c r="G5856" s="1" t="s">
        <v>61</v>
      </c>
      <c r="H5856" s="1" t="s">
        <v>116</v>
      </c>
      <c r="I5856" s="1" t="s">
        <v>16</v>
      </c>
      <c r="J5856" s="1">
        <v>1</v>
      </c>
      <c r="K5856" s="1">
        <v>4</v>
      </c>
      <c r="L5856" s="1" t="s">
        <v>31</v>
      </c>
      <c r="M5856" s="1" t="s">
        <v>226</v>
      </c>
      <c r="N5856" s="1" t="s">
        <v>226</v>
      </c>
      <c r="O5856" s="1">
        <v>3</v>
      </c>
      <c r="P5856" s="1">
        <v>6</v>
      </c>
      <c r="R5856" s="1" t="s">
        <v>19</v>
      </c>
      <c r="S5856" s="1" t="s">
        <v>20</v>
      </c>
      <c r="T5856" s="1" t="s">
        <v>21</v>
      </c>
      <c r="V5856" s="1" t="s">
        <v>23</v>
      </c>
      <c r="W5856" s="1" t="s">
        <v>24</v>
      </c>
      <c r="X5856" s="1">
        <v>2730</v>
      </c>
      <c r="Y5856" s="1">
        <v>1306</v>
      </c>
      <c r="Z5856" s="1" t="s">
        <v>24</v>
      </c>
      <c r="AA5856" s="1" t="s">
        <v>24</v>
      </c>
      <c r="AB5856" s="1" t="s">
        <v>24</v>
      </c>
      <c r="AC5856" s="1" t="s">
        <v>24</v>
      </c>
      <c r="AD5856" s="1" t="s">
        <v>24</v>
      </c>
      <c r="AE5856" s="1" t="s">
        <v>24</v>
      </c>
      <c r="AF5856" s="22"/>
    </row>
    <row r="5857" spans="1:32" x14ac:dyDescent="0.2">
      <c r="A5857" s="1">
        <v>58286</v>
      </c>
      <c r="B5857" s="1" t="s">
        <v>17388</v>
      </c>
      <c r="C5857" s="5" t="s">
        <v>50553</v>
      </c>
      <c r="D5857" s="1" t="s">
        <v>17389</v>
      </c>
      <c r="F5857" s="1" t="s">
        <v>175</v>
      </c>
      <c r="G5857" s="1" t="s">
        <v>61</v>
      </c>
      <c r="H5857" s="1" t="s">
        <v>116</v>
      </c>
      <c r="I5857" s="1" t="s">
        <v>16</v>
      </c>
      <c r="J5857" s="1">
        <v>1</v>
      </c>
      <c r="K5857" s="1">
        <v>4</v>
      </c>
      <c r="L5857" s="1" t="s">
        <v>31</v>
      </c>
      <c r="M5857" s="1" t="s">
        <v>117</v>
      </c>
      <c r="N5857" s="1" t="s">
        <v>226</v>
      </c>
      <c r="O5857" s="1">
        <v>3</v>
      </c>
      <c r="P5857" s="1">
        <v>6</v>
      </c>
      <c r="R5857" s="1" t="s">
        <v>19</v>
      </c>
      <c r="S5857" s="1" t="s">
        <v>20</v>
      </c>
      <c r="T5857" s="1" t="s">
        <v>21</v>
      </c>
      <c r="V5857" s="1" t="s">
        <v>23</v>
      </c>
      <c r="W5857" s="1" t="s">
        <v>24</v>
      </c>
      <c r="X5857" s="1">
        <v>2732</v>
      </c>
      <c r="Y5857" s="1">
        <v>2746</v>
      </c>
      <c r="Z5857" s="1" t="s">
        <v>24</v>
      </c>
      <c r="AA5857" s="1" t="s">
        <v>24</v>
      </c>
      <c r="AB5857" s="1" t="s">
        <v>24</v>
      </c>
      <c r="AC5857" s="1" t="s">
        <v>24</v>
      </c>
      <c r="AD5857" s="1" t="s">
        <v>24</v>
      </c>
      <c r="AE5857" s="1" t="s">
        <v>24</v>
      </c>
      <c r="AF5857" s="22"/>
    </row>
    <row r="5858" spans="1:32" x14ac:dyDescent="0.2">
      <c r="A5858" s="1">
        <v>58287</v>
      </c>
      <c r="B5858" s="1" t="s">
        <v>17390</v>
      </c>
      <c r="C5858" s="5" t="s">
        <v>0</v>
      </c>
      <c r="D5858" s="1" t="s">
        <v>17391</v>
      </c>
      <c r="F5858" s="1" t="s">
        <v>2776</v>
      </c>
      <c r="G5858" s="1" t="s">
        <v>61</v>
      </c>
      <c r="H5858" s="1" t="s">
        <v>46</v>
      </c>
      <c r="I5858" s="1" t="s">
        <v>16</v>
      </c>
      <c r="J5858" s="1">
        <v>1</v>
      </c>
      <c r="K5858" s="1">
        <v>1</v>
      </c>
      <c r="L5858" s="1" t="s">
        <v>31</v>
      </c>
      <c r="M5858" s="1" t="s">
        <v>18</v>
      </c>
      <c r="N5858" s="1" t="s">
        <v>18</v>
      </c>
      <c r="O5858" s="1">
        <v>3</v>
      </c>
      <c r="P5858" s="1">
        <v>6</v>
      </c>
      <c r="R5858" s="1" t="s">
        <v>19</v>
      </c>
      <c r="S5858" s="1" t="s">
        <v>63</v>
      </c>
      <c r="T5858" s="1" t="s">
        <v>21</v>
      </c>
      <c r="V5858" s="1" t="s">
        <v>23</v>
      </c>
      <c r="W5858" s="1" t="s">
        <v>24</v>
      </c>
      <c r="X5858" s="1">
        <v>2732</v>
      </c>
      <c r="Y5858" s="1" t="s">
        <v>24</v>
      </c>
      <c r="Z5858" s="1" t="s">
        <v>24</v>
      </c>
      <c r="AA5858" s="1" t="s">
        <v>24</v>
      </c>
      <c r="AB5858" s="1" t="s">
        <v>24</v>
      </c>
      <c r="AC5858" s="1" t="s">
        <v>24</v>
      </c>
      <c r="AD5858" s="1" t="s">
        <v>24</v>
      </c>
      <c r="AE5858" s="1" t="s">
        <v>24</v>
      </c>
      <c r="AF5858" s="22"/>
    </row>
    <row r="5859" spans="1:32" x14ac:dyDescent="0.2">
      <c r="A5859" s="1">
        <v>58288</v>
      </c>
      <c r="B5859" s="1" t="s">
        <v>17392</v>
      </c>
      <c r="C5859" s="5" t="s">
        <v>0</v>
      </c>
      <c r="D5859" s="1" t="s">
        <v>17393</v>
      </c>
      <c r="F5859" s="1" t="s">
        <v>17194</v>
      </c>
      <c r="G5859" s="1" t="s">
        <v>61</v>
      </c>
      <c r="H5859" s="1" t="s">
        <v>7640</v>
      </c>
      <c r="I5859" s="1" t="s">
        <v>16</v>
      </c>
      <c r="J5859" s="1">
        <v>1</v>
      </c>
      <c r="K5859" s="1">
        <v>4</v>
      </c>
      <c r="L5859" s="1" t="s">
        <v>31</v>
      </c>
      <c r="M5859" s="1" t="s">
        <v>18</v>
      </c>
      <c r="N5859" s="1" t="s">
        <v>18</v>
      </c>
      <c r="O5859" s="1">
        <v>3</v>
      </c>
      <c r="P5859" s="1">
        <v>6</v>
      </c>
      <c r="R5859" s="1" t="s">
        <v>19</v>
      </c>
      <c r="S5859" s="1" t="s">
        <v>20</v>
      </c>
      <c r="T5859" s="1" t="s">
        <v>21</v>
      </c>
      <c r="V5859" s="1" t="s">
        <v>24</v>
      </c>
      <c r="W5859" s="1" t="s">
        <v>24</v>
      </c>
      <c r="X5859" s="1">
        <v>2741</v>
      </c>
      <c r="Y5859" s="1">
        <v>3108</v>
      </c>
      <c r="Z5859" s="1">
        <v>3614</v>
      </c>
      <c r="AA5859" s="1" t="s">
        <v>24</v>
      </c>
      <c r="AB5859" s="1" t="s">
        <v>24</v>
      </c>
      <c r="AC5859" s="1" t="s">
        <v>24</v>
      </c>
      <c r="AD5859" s="1" t="s">
        <v>24</v>
      </c>
      <c r="AE5859" s="1" t="s">
        <v>24</v>
      </c>
      <c r="AF5859" s="22"/>
    </row>
    <row r="5860" spans="1:32" x14ac:dyDescent="0.2">
      <c r="A5860" s="1">
        <v>58345</v>
      </c>
      <c r="B5860" s="5" t="s">
        <v>17394</v>
      </c>
      <c r="C5860" s="5" t="s">
        <v>0</v>
      </c>
      <c r="D5860" s="1" t="s">
        <v>17395</v>
      </c>
      <c r="E5860" s="1" t="s">
        <v>17396</v>
      </c>
      <c r="F5860" s="1" t="s">
        <v>517</v>
      </c>
      <c r="G5860" s="1" t="s">
        <v>36</v>
      </c>
      <c r="H5860" s="1" t="s">
        <v>30</v>
      </c>
      <c r="I5860" s="1" t="s">
        <v>16</v>
      </c>
      <c r="J5860" s="1">
        <v>1</v>
      </c>
      <c r="K5860" s="1">
        <v>12</v>
      </c>
      <c r="L5860" s="1" t="s">
        <v>31</v>
      </c>
      <c r="M5860" s="1" t="s">
        <v>18</v>
      </c>
      <c r="N5860" s="5" t="s">
        <v>18</v>
      </c>
      <c r="O5860" s="1">
        <v>3</v>
      </c>
      <c r="P5860" s="1">
        <v>7</v>
      </c>
      <c r="Q5860" s="7" t="s">
        <v>17633</v>
      </c>
      <c r="R5860" s="1" t="s">
        <v>62</v>
      </c>
      <c r="S5860" s="1" t="s">
        <v>20</v>
      </c>
      <c r="T5860" s="1" t="s">
        <v>21</v>
      </c>
      <c r="U5860" s="1" t="s">
        <v>22</v>
      </c>
      <c r="V5860" s="1" t="s">
        <v>23</v>
      </c>
      <c r="W5860" s="1" t="s">
        <v>24</v>
      </c>
      <c r="X5860" s="1">
        <v>2403</v>
      </c>
      <c r="Y5860" s="1">
        <v>2723</v>
      </c>
      <c r="Z5860" s="1">
        <v>2745</v>
      </c>
      <c r="AA5860" s="1" t="s">
        <v>24</v>
      </c>
      <c r="AB5860" s="1" t="s">
        <v>24</v>
      </c>
      <c r="AC5860" s="1" t="s">
        <v>24</v>
      </c>
      <c r="AD5860" s="1" t="s">
        <v>24</v>
      </c>
      <c r="AE5860" s="1" t="s">
        <v>24</v>
      </c>
      <c r="AF5860" s="22"/>
    </row>
    <row r="5861" spans="1:32" x14ac:dyDescent="0.2">
      <c r="A5861" s="1">
        <v>58379</v>
      </c>
      <c r="B5861" s="1" t="s">
        <v>17397</v>
      </c>
      <c r="C5861" s="5" t="s">
        <v>0</v>
      </c>
      <c r="E5861" s="1" t="s">
        <v>17398</v>
      </c>
      <c r="F5861" s="1" t="s">
        <v>291</v>
      </c>
      <c r="G5861" s="1" t="s">
        <v>292</v>
      </c>
      <c r="H5861" s="1" t="s">
        <v>37</v>
      </c>
      <c r="I5861" s="1" t="s">
        <v>16</v>
      </c>
      <c r="J5861" s="1">
        <v>1</v>
      </c>
      <c r="K5861" s="1">
        <v>12</v>
      </c>
      <c r="L5861" s="1" t="s">
        <v>31</v>
      </c>
      <c r="M5861" s="1" t="s">
        <v>18</v>
      </c>
      <c r="N5861" s="1" t="s">
        <v>18</v>
      </c>
      <c r="O5861" s="1">
        <v>3</v>
      </c>
      <c r="P5861" s="1">
        <v>7</v>
      </c>
      <c r="Q5861" s="7" t="s">
        <v>17633</v>
      </c>
      <c r="R5861" s="1" t="s">
        <v>19</v>
      </c>
      <c r="S5861" s="1" t="s">
        <v>20</v>
      </c>
      <c r="T5861" s="1" t="s">
        <v>21</v>
      </c>
      <c r="U5861" s="1" t="s">
        <v>22</v>
      </c>
      <c r="V5861" s="1" t="s">
        <v>24</v>
      </c>
      <c r="W5861" s="1" t="s">
        <v>24</v>
      </c>
      <c r="X5861" s="1">
        <v>2736</v>
      </c>
      <c r="Y5861" s="1">
        <v>2719</v>
      </c>
      <c r="Z5861" s="1">
        <v>3001</v>
      </c>
      <c r="AA5861" s="1" t="s">
        <v>24</v>
      </c>
      <c r="AB5861" s="1" t="s">
        <v>24</v>
      </c>
      <c r="AC5861" s="1" t="s">
        <v>24</v>
      </c>
      <c r="AD5861" s="1" t="s">
        <v>24</v>
      </c>
      <c r="AE5861" s="1" t="s">
        <v>24</v>
      </c>
      <c r="AF5861" s="22"/>
    </row>
    <row r="5862" spans="1:32" x14ac:dyDescent="0.2">
      <c r="A5862" s="1">
        <v>58612</v>
      </c>
      <c r="B5862" s="1" t="s">
        <v>17399</v>
      </c>
      <c r="C5862" s="5" t="s">
        <v>0</v>
      </c>
      <c r="D5862" s="1" t="s">
        <v>17400</v>
      </c>
      <c r="E5862" s="1" t="s">
        <v>17401</v>
      </c>
      <c r="F5862" s="1" t="s">
        <v>167</v>
      </c>
      <c r="G5862" s="1" t="s">
        <v>130</v>
      </c>
      <c r="H5862" s="1" t="s">
        <v>168</v>
      </c>
      <c r="I5862" s="1" t="s">
        <v>16</v>
      </c>
      <c r="J5862" s="1">
        <v>1</v>
      </c>
      <c r="K5862" s="1">
        <v>6</v>
      </c>
      <c r="L5862" s="1" t="s">
        <v>31</v>
      </c>
      <c r="M5862" s="1" t="s">
        <v>18</v>
      </c>
      <c r="N5862" s="1" t="s">
        <v>18</v>
      </c>
      <c r="O5862" s="1">
        <v>3</v>
      </c>
      <c r="P5862" s="1">
        <v>7</v>
      </c>
      <c r="Q5862" s="7" t="s">
        <v>17633</v>
      </c>
      <c r="R5862" s="1" t="s">
        <v>19</v>
      </c>
      <c r="S5862" s="1" t="s">
        <v>20</v>
      </c>
      <c r="T5862" s="1" t="s">
        <v>21</v>
      </c>
      <c r="U5862" s="1" t="s">
        <v>22</v>
      </c>
      <c r="V5862" s="1" t="s">
        <v>24</v>
      </c>
      <c r="W5862" s="1" t="s">
        <v>24</v>
      </c>
      <c r="X5862" s="1">
        <v>2748</v>
      </c>
      <c r="Y5862" s="1" t="s">
        <v>24</v>
      </c>
      <c r="Z5862" s="1" t="s">
        <v>24</v>
      </c>
      <c r="AA5862" s="1" t="s">
        <v>24</v>
      </c>
      <c r="AB5862" s="1" t="s">
        <v>24</v>
      </c>
      <c r="AC5862" s="1" t="s">
        <v>24</v>
      </c>
      <c r="AD5862" s="1" t="s">
        <v>24</v>
      </c>
      <c r="AE5862" s="1" t="s">
        <v>24</v>
      </c>
      <c r="AF5862" s="22"/>
    </row>
    <row r="5863" spans="1:32" x14ac:dyDescent="0.2">
      <c r="A5863" s="1">
        <v>59027</v>
      </c>
      <c r="B5863" s="1" t="s">
        <v>17402</v>
      </c>
      <c r="C5863" s="5" t="s">
        <v>0</v>
      </c>
      <c r="D5863" s="1" t="s">
        <v>17403</v>
      </c>
      <c r="F5863" s="1" t="s">
        <v>17402</v>
      </c>
      <c r="G5863" s="1" t="s">
        <v>17402</v>
      </c>
      <c r="H5863" s="1" t="s">
        <v>8248</v>
      </c>
      <c r="I5863" s="1" t="s">
        <v>16</v>
      </c>
      <c r="J5863" s="1">
        <v>1</v>
      </c>
      <c r="K5863" s="1">
        <v>3</v>
      </c>
      <c r="L5863" s="1" t="s">
        <v>42</v>
      </c>
      <c r="M5863" s="1" t="s">
        <v>18</v>
      </c>
      <c r="N5863" s="1" t="s">
        <v>18</v>
      </c>
      <c r="O5863" s="1">
        <v>3</v>
      </c>
      <c r="P5863" s="1">
        <v>6</v>
      </c>
      <c r="R5863" s="1" t="s">
        <v>19</v>
      </c>
      <c r="S5863" s="1" t="s">
        <v>20</v>
      </c>
      <c r="T5863" s="1" t="s">
        <v>21</v>
      </c>
      <c r="V5863" s="1" t="s">
        <v>24</v>
      </c>
      <c r="W5863" s="1" t="s">
        <v>24</v>
      </c>
      <c r="X5863" s="1">
        <v>2404</v>
      </c>
      <c r="Y5863" s="1">
        <v>2406</v>
      </c>
      <c r="Z5863" s="1">
        <v>2726</v>
      </c>
      <c r="AA5863" s="1" t="s">
        <v>24</v>
      </c>
      <c r="AB5863" s="1" t="s">
        <v>24</v>
      </c>
      <c r="AC5863" s="1" t="s">
        <v>24</v>
      </c>
      <c r="AD5863" s="1" t="s">
        <v>24</v>
      </c>
      <c r="AE5863" s="1" t="s">
        <v>24</v>
      </c>
      <c r="AF5863" s="22"/>
    </row>
    <row r="5864" spans="1:32" x14ac:dyDescent="0.2">
      <c r="A5864" s="1">
        <v>59028</v>
      </c>
      <c r="B5864" s="1" t="s">
        <v>17404</v>
      </c>
      <c r="C5864" s="5" t="s">
        <v>50553</v>
      </c>
      <c r="D5864" s="1" t="s">
        <v>17405</v>
      </c>
      <c r="E5864" s="1" t="s">
        <v>17406</v>
      </c>
      <c r="F5864" s="1" t="s">
        <v>11896</v>
      </c>
      <c r="G5864" s="1" t="s">
        <v>11896</v>
      </c>
      <c r="H5864" s="1" t="s">
        <v>30</v>
      </c>
      <c r="I5864" s="1" t="s">
        <v>16</v>
      </c>
      <c r="J5864" s="1">
        <v>1</v>
      </c>
      <c r="K5864" s="1">
        <v>12</v>
      </c>
      <c r="L5864" s="1" t="s">
        <v>42</v>
      </c>
      <c r="M5864" s="1" t="s">
        <v>18</v>
      </c>
      <c r="N5864" s="1" t="s">
        <v>18</v>
      </c>
      <c r="O5864" s="1">
        <v>3</v>
      </c>
      <c r="P5864" s="1">
        <v>6</v>
      </c>
      <c r="R5864" s="1" t="s">
        <v>19</v>
      </c>
      <c r="S5864" s="1" t="s">
        <v>20</v>
      </c>
      <c r="T5864" s="1" t="s">
        <v>21</v>
      </c>
      <c r="V5864" s="1" t="s">
        <v>24</v>
      </c>
      <c r="W5864" s="1" t="s">
        <v>24</v>
      </c>
      <c r="X5864" s="1">
        <v>2201</v>
      </c>
      <c r="Y5864" s="1">
        <v>2204</v>
      </c>
      <c r="Z5864" s="1">
        <v>2701</v>
      </c>
      <c r="AA5864" s="1" t="s">
        <v>24</v>
      </c>
      <c r="AB5864" s="1" t="s">
        <v>24</v>
      </c>
      <c r="AC5864" s="1" t="s">
        <v>24</v>
      </c>
      <c r="AD5864" s="1" t="s">
        <v>24</v>
      </c>
      <c r="AE5864" s="1" t="s">
        <v>24</v>
      </c>
      <c r="AF5864" s="22"/>
    </row>
    <row r="5865" spans="1:32" x14ac:dyDescent="0.2">
      <c r="A5865" s="1">
        <v>59029</v>
      </c>
      <c r="B5865" s="1" t="s">
        <v>17407</v>
      </c>
      <c r="C5865" s="5" t="s">
        <v>50553</v>
      </c>
      <c r="D5865" s="1" t="s">
        <v>17408</v>
      </c>
      <c r="E5865" s="1" t="s">
        <v>17409</v>
      </c>
      <c r="F5865" s="1" t="s">
        <v>11896</v>
      </c>
      <c r="G5865" s="1" t="s">
        <v>11896</v>
      </c>
      <c r="H5865" s="1" t="s">
        <v>30</v>
      </c>
      <c r="I5865" s="1" t="s">
        <v>16</v>
      </c>
      <c r="J5865" s="1">
        <v>1</v>
      </c>
      <c r="K5865" s="1">
        <v>3</v>
      </c>
      <c r="L5865" s="1" t="s">
        <v>42</v>
      </c>
      <c r="M5865" s="1" t="s">
        <v>18</v>
      </c>
      <c r="N5865" s="1" t="s">
        <v>18</v>
      </c>
      <c r="O5865" s="1">
        <v>3</v>
      </c>
      <c r="P5865" s="1">
        <v>6</v>
      </c>
      <c r="R5865" s="1" t="s">
        <v>19</v>
      </c>
      <c r="S5865" s="1" t="s">
        <v>20</v>
      </c>
      <c r="T5865" s="1" t="s">
        <v>21</v>
      </c>
      <c r="V5865" s="1" t="s">
        <v>24</v>
      </c>
      <c r="W5865" s="1" t="s">
        <v>24</v>
      </c>
      <c r="X5865" s="1">
        <v>2204</v>
      </c>
      <c r="Y5865" s="1">
        <v>2701</v>
      </c>
      <c r="Z5865" s="1">
        <v>3003</v>
      </c>
      <c r="AA5865" s="1" t="s">
        <v>24</v>
      </c>
      <c r="AB5865" s="1" t="s">
        <v>24</v>
      </c>
      <c r="AC5865" s="1" t="s">
        <v>24</v>
      </c>
      <c r="AD5865" s="1" t="s">
        <v>24</v>
      </c>
      <c r="AE5865" s="1" t="s">
        <v>24</v>
      </c>
      <c r="AF5865" s="22"/>
    </row>
    <row r="5866" spans="1:32" x14ac:dyDescent="0.2">
      <c r="A5866" s="1">
        <v>59030</v>
      </c>
      <c r="B5866" s="1" t="s">
        <v>17410</v>
      </c>
      <c r="C5866" s="5" t="s">
        <v>50553</v>
      </c>
      <c r="D5866" s="1" t="s">
        <v>17411</v>
      </c>
      <c r="E5866" s="1" t="s">
        <v>17412</v>
      </c>
      <c r="F5866" s="1" t="s">
        <v>11896</v>
      </c>
      <c r="G5866" s="1" t="s">
        <v>11896</v>
      </c>
      <c r="H5866" s="1" t="s">
        <v>30</v>
      </c>
      <c r="I5866" s="1" t="s">
        <v>16</v>
      </c>
      <c r="J5866" s="1">
        <v>1</v>
      </c>
      <c r="K5866" s="1">
        <v>6</v>
      </c>
      <c r="L5866" s="1" t="s">
        <v>42</v>
      </c>
      <c r="M5866" s="1" t="s">
        <v>18</v>
      </c>
      <c r="N5866" s="1" t="s">
        <v>18</v>
      </c>
      <c r="O5866" s="1">
        <v>3</v>
      </c>
      <c r="P5866" s="1">
        <v>6</v>
      </c>
      <c r="R5866" s="1" t="s">
        <v>19</v>
      </c>
      <c r="S5866" s="1" t="s">
        <v>20</v>
      </c>
      <c r="T5866" s="1" t="s">
        <v>21</v>
      </c>
      <c r="V5866" s="1" t="s">
        <v>24</v>
      </c>
      <c r="W5866" s="1" t="s">
        <v>24</v>
      </c>
      <c r="X5866" s="1">
        <v>2800</v>
      </c>
      <c r="Y5866" s="1">
        <v>1707</v>
      </c>
      <c r="Z5866" s="1">
        <v>1711</v>
      </c>
      <c r="AA5866" s="1">
        <v>2204</v>
      </c>
      <c r="AB5866" s="1" t="s">
        <v>24</v>
      </c>
      <c r="AC5866" s="1" t="s">
        <v>24</v>
      </c>
      <c r="AD5866" s="1" t="s">
        <v>24</v>
      </c>
      <c r="AE5866" s="1" t="s">
        <v>24</v>
      </c>
      <c r="AF5866" s="22"/>
    </row>
    <row r="5867" spans="1:32" x14ac:dyDescent="0.2">
      <c r="A5867" s="1">
        <v>59031</v>
      </c>
      <c r="B5867" s="1" t="s">
        <v>17413</v>
      </c>
      <c r="C5867" s="5" t="s">
        <v>50553</v>
      </c>
      <c r="D5867" s="1" t="s">
        <v>17414</v>
      </c>
      <c r="E5867" s="1" t="s">
        <v>17415</v>
      </c>
      <c r="F5867" s="1" t="s">
        <v>11896</v>
      </c>
      <c r="G5867" s="1" t="s">
        <v>11896</v>
      </c>
      <c r="H5867" s="1" t="s">
        <v>30</v>
      </c>
      <c r="I5867" s="1" t="s">
        <v>16</v>
      </c>
      <c r="J5867" s="1">
        <v>1</v>
      </c>
      <c r="K5867" s="1">
        <v>3</v>
      </c>
      <c r="L5867" s="1" t="s">
        <v>42</v>
      </c>
      <c r="M5867" s="1" t="s">
        <v>18</v>
      </c>
      <c r="N5867" s="1" t="s">
        <v>18</v>
      </c>
      <c r="O5867" s="1">
        <v>3</v>
      </c>
      <c r="P5867" s="1">
        <v>6</v>
      </c>
      <c r="R5867" s="1" t="s">
        <v>19</v>
      </c>
      <c r="S5867" s="1" t="s">
        <v>20</v>
      </c>
      <c r="T5867" s="1" t="s">
        <v>21</v>
      </c>
      <c r="V5867" s="1" t="s">
        <v>24</v>
      </c>
      <c r="W5867" s="1" t="s">
        <v>24</v>
      </c>
      <c r="X5867" s="1">
        <v>1306</v>
      </c>
      <c r="Y5867" s="1">
        <v>2730</v>
      </c>
      <c r="Z5867" s="1" t="s">
        <v>24</v>
      </c>
      <c r="AA5867" s="1" t="s">
        <v>24</v>
      </c>
      <c r="AB5867" s="1" t="s">
        <v>24</v>
      </c>
      <c r="AC5867" s="1" t="s">
        <v>24</v>
      </c>
      <c r="AD5867" s="1" t="s">
        <v>24</v>
      </c>
      <c r="AE5867" s="1" t="s">
        <v>24</v>
      </c>
      <c r="AF5867" s="22"/>
    </row>
    <row r="5868" spans="1:32" x14ac:dyDescent="0.2">
      <c r="A5868" s="1">
        <v>59032</v>
      </c>
      <c r="B5868" s="1" t="s">
        <v>17416</v>
      </c>
      <c r="C5868" s="5" t="s">
        <v>50553</v>
      </c>
      <c r="D5868" s="1" t="s">
        <v>17417</v>
      </c>
      <c r="E5868" s="1" t="s">
        <v>17418</v>
      </c>
      <c r="F5868" s="1" t="s">
        <v>1278</v>
      </c>
      <c r="G5868" s="1" t="s">
        <v>1279</v>
      </c>
      <c r="H5868" s="1" t="s">
        <v>30</v>
      </c>
      <c r="I5868" s="1" t="s">
        <v>16</v>
      </c>
      <c r="J5868" s="1">
        <v>1</v>
      </c>
      <c r="K5868" s="1">
        <v>1</v>
      </c>
      <c r="L5868" s="1" t="s">
        <v>42</v>
      </c>
      <c r="M5868" s="1" t="s">
        <v>18</v>
      </c>
      <c r="N5868" s="1" t="s">
        <v>18</v>
      </c>
      <c r="O5868" s="1">
        <v>2</v>
      </c>
      <c r="P5868" s="1">
        <v>6</v>
      </c>
      <c r="R5868" s="1" t="s">
        <v>19</v>
      </c>
      <c r="S5868" s="1" t="s">
        <v>20</v>
      </c>
      <c r="T5868" s="1" t="s">
        <v>21</v>
      </c>
      <c r="V5868" s="1" t="s">
        <v>24</v>
      </c>
      <c r="W5868" s="1" t="s">
        <v>24</v>
      </c>
      <c r="X5868" s="1">
        <v>1706</v>
      </c>
      <c r="Y5868" s="1">
        <v>2718</v>
      </c>
      <c r="Z5868" s="1" t="s">
        <v>24</v>
      </c>
      <c r="AA5868" s="1" t="s">
        <v>24</v>
      </c>
      <c r="AB5868" s="1" t="s">
        <v>24</v>
      </c>
      <c r="AC5868" s="1" t="s">
        <v>24</v>
      </c>
      <c r="AD5868" s="1" t="s">
        <v>24</v>
      </c>
      <c r="AE5868" s="1" t="s">
        <v>24</v>
      </c>
      <c r="AF5868" s="22"/>
    </row>
    <row r="5869" spans="1:32" x14ac:dyDescent="0.2">
      <c r="A5869" s="1">
        <v>59033</v>
      </c>
      <c r="B5869" s="1" t="s">
        <v>17419</v>
      </c>
      <c r="C5869" s="5" t="s">
        <v>0</v>
      </c>
      <c r="D5869" s="1" t="s">
        <v>17420</v>
      </c>
      <c r="F5869" s="1" t="s">
        <v>6405</v>
      </c>
      <c r="G5869" s="1" t="s">
        <v>6406</v>
      </c>
      <c r="H5869" s="1" t="s">
        <v>92</v>
      </c>
      <c r="I5869" s="1" t="s">
        <v>112</v>
      </c>
      <c r="J5869" s="1">
        <v>0</v>
      </c>
      <c r="K5869" s="1">
        <v>0</v>
      </c>
      <c r="L5869" s="1" t="s">
        <v>31</v>
      </c>
      <c r="M5869" s="1" t="s">
        <v>18</v>
      </c>
      <c r="N5869" s="1" t="s">
        <v>18</v>
      </c>
      <c r="O5869" s="1">
        <v>3</v>
      </c>
      <c r="P5869" s="1">
        <v>7</v>
      </c>
      <c r="Q5869" s="7" t="s">
        <v>17633</v>
      </c>
      <c r="R5869" s="1" t="s">
        <v>19</v>
      </c>
      <c r="S5869" s="1" t="s">
        <v>20</v>
      </c>
      <c r="T5869" s="1" t="s">
        <v>21</v>
      </c>
      <c r="V5869" s="1" t="s">
        <v>24</v>
      </c>
      <c r="W5869" s="1" t="s">
        <v>24</v>
      </c>
      <c r="X5869" s="1">
        <v>1303</v>
      </c>
      <c r="Y5869" s="1">
        <v>1311</v>
      </c>
      <c r="Z5869" s="1">
        <v>1306</v>
      </c>
      <c r="AA5869" s="1" t="s">
        <v>24</v>
      </c>
      <c r="AB5869" s="1" t="s">
        <v>24</v>
      </c>
      <c r="AC5869" s="1" t="s">
        <v>24</v>
      </c>
      <c r="AD5869" s="1" t="s">
        <v>24</v>
      </c>
      <c r="AE5869" s="1" t="s">
        <v>24</v>
      </c>
      <c r="AF5869" s="22"/>
    </row>
    <row r="5870" spans="1:32" x14ac:dyDescent="0.2">
      <c r="A5870" s="1">
        <v>59034</v>
      </c>
      <c r="B5870" s="1" t="s">
        <v>17421</v>
      </c>
      <c r="C5870" s="5" t="s">
        <v>0</v>
      </c>
      <c r="D5870" s="1" t="s">
        <v>17422</v>
      </c>
      <c r="E5870" s="1" t="s">
        <v>17423</v>
      </c>
      <c r="F5870" s="1" t="s">
        <v>6405</v>
      </c>
      <c r="G5870" s="1" t="s">
        <v>6406</v>
      </c>
      <c r="H5870" s="1" t="s">
        <v>92</v>
      </c>
      <c r="I5870" s="1" t="s">
        <v>16</v>
      </c>
      <c r="J5870" s="1">
        <v>1</v>
      </c>
      <c r="K5870" s="1">
        <v>3</v>
      </c>
      <c r="L5870" s="1" t="s">
        <v>31</v>
      </c>
      <c r="M5870" s="1" t="s">
        <v>18</v>
      </c>
      <c r="N5870" s="1" t="s">
        <v>18</v>
      </c>
      <c r="O5870" s="1">
        <v>3</v>
      </c>
      <c r="P5870" s="1">
        <v>7</v>
      </c>
      <c r="Q5870" s="7" t="s">
        <v>17633</v>
      </c>
      <c r="R5870" s="1" t="s">
        <v>19</v>
      </c>
      <c r="S5870" s="1" t="s">
        <v>20</v>
      </c>
      <c r="T5870" s="1" t="s">
        <v>21</v>
      </c>
      <c r="V5870" s="1" t="s">
        <v>24</v>
      </c>
      <c r="W5870" s="1" t="s">
        <v>24</v>
      </c>
      <c r="X5870" s="1">
        <v>2801</v>
      </c>
      <c r="Y5870" s="1">
        <v>1502</v>
      </c>
      <c r="Z5870" s="1">
        <v>2204</v>
      </c>
      <c r="AA5870" s="1" t="s">
        <v>24</v>
      </c>
      <c r="AB5870" s="1" t="s">
        <v>24</v>
      </c>
      <c r="AC5870" s="1" t="s">
        <v>24</v>
      </c>
      <c r="AD5870" s="1" t="s">
        <v>24</v>
      </c>
      <c r="AE5870" s="1" t="s">
        <v>24</v>
      </c>
      <c r="AF5870" s="22"/>
    </row>
    <row r="5871" spans="1:32" x14ac:dyDescent="0.2">
      <c r="A5871" s="1">
        <v>59035</v>
      </c>
      <c r="B5871" s="1" t="s">
        <v>17424</v>
      </c>
      <c r="C5871" s="5" t="s">
        <v>0</v>
      </c>
      <c r="D5871" s="1" t="s">
        <v>17425</v>
      </c>
      <c r="F5871" s="1" t="s">
        <v>4643</v>
      </c>
      <c r="G5871" s="1" t="s">
        <v>4644</v>
      </c>
      <c r="H5871" s="1" t="s">
        <v>684</v>
      </c>
      <c r="I5871" s="1" t="s">
        <v>16</v>
      </c>
      <c r="J5871" s="1">
        <v>1</v>
      </c>
      <c r="K5871" s="1">
        <v>3</v>
      </c>
      <c r="L5871" s="1" t="s">
        <v>17</v>
      </c>
      <c r="M5871" s="1" t="s">
        <v>18</v>
      </c>
      <c r="N5871" s="1" t="s">
        <v>18</v>
      </c>
      <c r="O5871" s="1">
        <v>3</v>
      </c>
      <c r="P5871" s="1">
        <v>6</v>
      </c>
      <c r="R5871" s="1" t="s">
        <v>19</v>
      </c>
      <c r="S5871" s="1" t="s">
        <v>20</v>
      </c>
      <c r="T5871" s="1" t="s">
        <v>21</v>
      </c>
      <c r="V5871" s="1" t="s">
        <v>24</v>
      </c>
      <c r="W5871" s="1" t="s">
        <v>24</v>
      </c>
      <c r="X5871" s="1">
        <v>2728</v>
      </c>
      <c r="Y5871" s="1" t="s">
        <v>24</v>
      </c>
      <c r="Z5871" s="1" t="s">
        <v>24</v>
      </c>
      <c r="AA5871" s="1" t="s">
        <v>24</v>
      </c>
      <c r="AB5871" s="1" t="s">
        <v>24</v>
      </c>
      <c r="AC5871" s="1" t="s">
        <v>24</v>
      </c>
      <c r="AD5871" s="1" t="s">
        <v>24</v>
      </c>
      <c r="AE5871" s="1" t="s">
        <v>24</v>
      </c>
      <c r="AF5871" s="22"/>
    </row>
    <row r="5872" spans="1:32" x14ac:dyDescent="0.2">
      <c r="A5872" s="1">
        <v>59036</v>
      </c>
      <c r="B5872" s="1" t="s">
        <v>17426</v>
      </c>
      <c r="C5872" s="5" t="s">
        <v>0</v>
      </c>
      <c r="E5872" s="1" t="s">
        <v>17427</v>
      </c>
      <c r="F5872" s="1" t="s">
        <v>2299</v>
      </c>
      <c r="G5872" s="1" t="s">
        <v>2300</v>
      </c>
      <c r="H5872" s="1" t="s">
        <v>37</v>
      </c>
      <c r="I5872" s="1" t="s">
        <v>16</v>
      </c>
      <c r="J5872" s="1">
        <v>1</v>
      </c>
      <c r="K5872" s="1">
        <v>1</v>
      </c>
      <c r="L5872" s="1" t="s">
        <v>31</v>
      </c>
      <c r="M5872" s="1" t="s">
        <v>18</v>
      </c>
      <c r="N5872" s="1" t="s">
        <v>18</v>
      </c>
      <c r="O5872" s="1">
        <v>3</v>
      </c>
      <c r="P5872" s="1">
        <v>7</v>
      </c>
      <c r="Q5872" s="7" t="s">
        <v>17633</v>
      </c>
      <c r="R5872" s="1" t="s">
        <v>19</v>
      </c>
      <c r="S5872" s="1" t="s">
        <v>63</v>
      </c>
      <c r="T5872" s="1" t="s">
        <v>21</v>
      </c>
      <c r="V5872" s="1" t="s">
        <v>24</v>
      </c>
      <c r="W5872" s="1" t="s">
        <v>24</v>
      </c>
      <c r="X5872" s="1">
        <v>2739</v>
      </c>
      <c r="Y5872" s="1" t="s">
        <v>24</v>
      </c>
      <c r="Z5872" s="1" t="s">
        <v>24</v>
      </c>
      <c r="AA5872" s="1" t="s">
        <v>24</v>
      </c>
      <c r="AB5872" s="1" t="s">
        <v>24</v>
      </c>
      <c r="AC5872" s="1" t="s">
        <v>24</v>
      </c>
      <c r="AD5872" s="1" t="s">
        <v>24</v>
      </c>
      <c r="AE5872" s="1" t="s">
        <v>24</v>
      </c>
      <c r="AF5872" s="22"/>
    </row>
    <row r="5873" spans="1:32" x14ac:dyDescent="0.2">
      <c r="A5873" s="1">
        <v>59037</v>
      </c>
      <c r="B5873" s="1" t="s">
        <v>17428</v>
      </c>
      <c r="C5873" s="5" t="s">
        <v>0</v>
      </c>
      <c r="E5873" s="1" t="s">
        <v>17429</v>
      </c>
      <c r="F5873" s="1" t="s">
        <v>2299</v>
      </c>
      <c r="G5873" s="1" t="s">
        <v>2300</v>
      </c>
      <c r="H5873" s="1" t="s">
        <v>37</v>
      </c>
      <c r="I5873" s="1" t="s">
        <v>16</v>
      </c>
      <c r="J5873" s="1">
        <v>1</v>
      </c>
      <c r="K5873" s="1">
        <v>1</v>
      </c>
      <c r="L5873" s="1" t="s">
        <v>31</v>
      </c>
      <c r="M5873" s="1" t="s">
        <v>18</v>
      </c>
      <c r="N5873" s="1" t="s">
        <v>18</v>
      </c>
      <c r="O5873" s="1">
        <v>3</v>
      </c>
      <c r="P5873" s="1">
        <v>7</v>
      </c>
      <c r="Q5873" s="7" t="s">
        <v>17633</v>
      </c>
      <c r="R5873" s="1" t="s">
        <v>19</v>
      </c>
      <c r="S5873" s="1" t="s">
        <v>63</v>
      </c>
      <c r="T5873" s="1" t="s">
        <v>21</v>
      </c>
      <c r="V5873" s="1" t="s">
        <v>24</v>
      </c>
      <c r="W5873" s="1" t="s">
        <v>24</v>
      </c>
      <c r="X5873" s="1">
        <v>2706</v>
      </c>
      <c r="Y5873" s="1" t="s">
        <v>24</v>
      </c>
      <c r="Z5873" s="1" t="s">
        <v>24</v>
      </c>
      <c r="AA5873" s="1" t="s">
        <v>24</v>
      </c>
      <c r="AB5873" s="1" t="s">
        <v>24</v>
      </c>
      <c r="AC5873" s="1" t="s">
        <v>24</v>
      </c>
      <c r="AD5873" s="1" t="s">
        <v>24</v>
      </c>
      <c r="AE5873" s="1" t="s">
        <v>24</v>
      </c>
      <c r="AF5873" s="22"/>
    </row>
    <row r="5874" spans="1:32" x14ac:dyDescent="0.2">
      <c r="A5874" s="1">
        <v>59038</v>
      </c>
      <c r="B5874" s="1" t="s">
        <v>17430</v>
      </c>
      <c r="C5874" s="5" t="s">
        <v>0</v>
      </c>
      <c r="E5874" s="1" t="s">
        <v>17431</v>
      </c>
      <c r="F5874" s="1" t="s">
        <v>2299</v>
      </c>
      <c r="G5874" s="1" t="s">
        <v>2300</v>
      </c>
      <c r="H5874" s="1" t="s">
        <v>37</v>
      </c>
      <c r="I5874" s="1" t="s">
        <v>16</v>
      </c>
      <c r="J5874" s="1">
        <v>1</v>
      </c>
      <c r="K5874" s="1">
        <v>1</v>
      </c>
      <c r="L5874" s="1" t="s">
        <v>31</v>
      </c>
      <c r="M5874" s="1" t="s">
        <v>18</v>
      </c>
      <c r="N5874" s="1" t="s">
        <v>18</v>
      </c>
      <c r="O5874" s="1">
        <v>3</v>
      </c>
      <c r="P5874" s="1">
        <v>7</v>
      </c>
      <c r="Q5874" s="7" t="s">
        <v>17633</v>
      </c>
      <c r="R5874" s="1" t="s">
        <v>19</v>
      </c>
      <c r="S5874" s="1" t="s">
        <v>63</v>
      </c>
      <c r="T5874" s="1" t="s">
        <v>21</v>
      </c>
      <c r="V5874" s="1" t="s">
        <v>24</v>
      </c>
      <c r="W5874" s="1" t="s">
        <v>24</v>
      </c>
      <c r="X5874" s="1">
        <v>2741</v>
      </c>
      <c r="Y5874" s="1" t="s">
        <v>24</v>
      </c>
      <c r="Z5874" s="1" t="s">
        <v>24</v>
      </c>
      <c r="AA5874" s="1" t="s">
        <v>24</v>
      </c>
      <c r="AB5874" s="1" t="s">
        <v>24</v>
      </c>
      <c r="AC5874" s="1" t="s">
        <v>24</v>
      </c>
      <c r="AD5874" s="1" t="s">
        <v>24</v>
      </c>
      <c r="AE5874" s="1" t="s">
        <v>24</v>
      </c>
      <c r="AF5874" s="22"/>
    </row>
    <row r="5875" spans="1:32" x14ac:dyDescent="0.2">
      <c r="A5875" s="1">
        <v>59039</v>
      </c>
      <c r="B5875" s="1" t="s">
        <v>17432</v>
      </c>
      <c r="C5875" s="5" t="s">
        <v>0</v>
      </c>
      <c r="E5875" s="1" t="s">
        <v>17433</v>
      </c>
      <c r="F5875" s="1" t="s">
        <v>2299</v>
      </c>
      <c r="G5875" s="1" t="s">
        <v>2300</v>
      </c>
      <c r="H5875" s="1" t="s">
        <v>37</v>
      </c>
      <c r="I5875" s="1" t="s">
        <v>16</v>
      </c>
      <c r="J5875" s="1">
        <v>1</v>
      </c>
      <c r="K5875" s="1">
        <v>1</v>
      </c>
      <c r="L5875" s="1" t="s">
        <v>31</v>
      </c>
      <c r="M5875" s="1" t="s">
        <v>18</v>
      </c>
      <c r="N5875" s="1" t="s">
        <v>18</v>
      </c>
      <c r="O5875" s="1">
        <v>3</v>
      </c>
      <c r="P5875" s="1">
        <v>7</v>
      </c>
      <c r="Q5875" s="7" t="s">
        <v>17633</v>
      </c>
      <c r="R5875" s="1" t="s">
        <v>19</v>
      </c>
      <c r="S5875" s="1" t="s">
        <v>63</v>
      </c>
      <c r="T5875" s="1" t="s">
        <v>21</v>
      </c>
      <c r="V5875" s="1" t="s">
        <v>24</v>
      </c>
      <c r="W5875" s="1" t="s">
        <v>24</v>
      </c>
      <c r="X5875" s="1">
        <v>1307</v>
      </c>
      <c r="Y5875" s="1">
        <v>1309</v>
      </c>
      <c r="Z5875" s="1">
        <v>1312</v>
      </c>
      <c r="AA5875" s="1">
        <v>2204</v>
      </c>
      <c r="AB5875" s="1">
        <v>2701</v>
      </c>
      <c r="AC5875" s="1" t="s">
        <v>24</v>
      </c>
      <c r="AD5875" s="1" t="s">
        <v>24</v>
      </c>
      <c r="AE5875" s="1" t="s">
        <v>24</v>
      </c>
      <c r="AF5875" s="22"/>
    </row>
    <row r="5876" spans="1:32" x14ac:dyDescent="0.2">
      <c r="A5876" s="1">
        <v>59040</v>
      </c>
      <c r="B5876" s="1" t="s">
        <v>17434</v>
      </c>
      <c r="C5876" s="5" t="s">
        <v>0</v>
      </c>
      <c r="E5876" s="1" t="s">
        <v>17435</v>
      </c>
      <c r="F5876" s="1" t="s">
        <v>2299</v>
      </c>
      <c r="G5876" s="1" t="s">
        <v>2300</v>
      </c>
      <c r="H5876" s="1" t="s">
        <v>37</v>
      </c>
      <c r="I5876" s="1" t="s">
        <v>16</v>
      </c>
      <c r="J5876" s="1">
        <v>1</v>
      </c>
      <c r="K5876" s="1">
        <v>1</v>
      </c>
      <c r="L5876" s="1" t="s">
        <v>31</v>
      </c>
      <c r="M5876" s="1" t="s">
        <v>18</v>
      </c>
      <c r="N5876" s="1" t="s">
        <v>18</v>
      </c>
      <c r="O5876" s="1">
        <v>3</v>
      </c>
      <c r="P5876" s="1">
        <v>7</v>
      </c>
      <c r="Q5876" s="7" t="s">
        <v>17633</v>
      </c>
      <c r="R5876" s="1" t="s">
        <v>19</v>
      </c>
      <c r="S5876" s="1" t="s">
        <v>63</v>
      </c>
      <c r="T5876" s="1" t="s">
        <v>21</v>
      </c>
      <c r="V5876" s="1" t="s">
        <v>24</v>
      </c>
      <c r="W5876" s="1" t="s">
        <v>24</v>
      </c>
      <c r="X5876" s="1">
        <v>2730</v>
      </c>
      <c r="Y5876" s="1">
        <v>2723</v>
      </c>
      <c r="Z5876" s="1">
        <v>1306</v>
      </c>
      <c r="AA5876" s="1">
        <v>1313</v>
      </c>
      <c r="AB5876" s="1">
        <v>3004</v>
      </c>
      <c r="AC5876" s="1">
        <v>2403</v>
      </c>
      <c r="AD5876" s="1" t="s">
        <v>24</v>
      </c>
      <c r="AE5876" s="1" t="s">
        <v>24</v>
      </c>
      <c r="AF5876" s="22"/>
    </row>
    <row r="5877" spans="1:32" x14ac:dyDescent="0.2">
      <c r="A5877" s="1">
        <v>59041</v>
      </c>
      <c r="B5877" s="1" t="s">
        <v>17436</v>
      </c>
      <c r="C5877" s="5" t="s">
        <v>0</v>
      </c>
      <c r="E5877" s="1" t="s">
        <v>17437</v>
      </c>
      <c r="F5877" s="1" t="s">
        <v>2559</v>
      </c>
      <c r="G5877" s="1" t="s">
        <v>2560</v>
      </c>
      <c r="H5877" s="1" t="s">
        <v>37</v>
      </c>
      <c r="I5877" s="1" t="s">
        <v>16</v>
      </c>
      <c r="J5877" s="1">
        <v>1</v>
      </c>
      <c r="K5877" s="1">
        <v>1</v>
      </c>
      <c r="L5877" s="1" t="s">
        <v>42</v>
      </c>
      <c r="M5877" s="1" t="s">
        <v>18</v>
      </c>
      <c r="N5877" s="1" t="s">
        <v>18</v>
      </c>
      <c r="O5877" s="1">
        <v>3</v>
      </c>
      <c r="P5877" s="1">
        <v>7</v>
      </c>
      <c r="Q5877" s="7" t="s">
        <v>17633</v>
      </c>
      <c r="R5877" s="1" t="s">
        <v>19</v>
      </c>
      <c r="S5877" s="1" t="s">
        <v>63</v>
      </c>
      <c r="T5877" s="1" t="s">
        <v>21</v>
      </c>
      <c r="V5877" s="1" t="s">
        <v>24</v>
      </c>
      <c r="W5877" s="1" t="s">
        <v>24</v>
      </c>
      <c r="X5877" s="1">
        <v>1310</v>
      </c>
      <c r="Y5877" s="1">
        <v>2724</v>
      </c>
      <c r="Z5877" s="1">
        <v>2712</v>
      </c>
      <c r="AA5877" s="1" t="s">
        <v>24</v>
      </c>
      <c r="AB5877" s="1" t="s">
        <v>24</v>
      </c>
      <c r="AC5877" s="1" t="s">
        <v>24</v>
      </c>
      <c r="AD5877" s="1" t="s">
        <v>24</v>
      </c>
      <c r="AE5877" s="1" t="s">
        <v>24</v>
      </c>
      <c r="AF5877" s="22"/>
    </row>
    <row r="5878" spans="1:32" x14ac:dyDescent="0.2">
      <c r="A5878" s="1">
        <v>59042</v>
      </c>
      <c r="B5878" s="1" t="s">
        <v>17438</v>
      </c>
      <c r="C5878" s="5" t="s">
        <v>0</v>
      </c>
      <c r="E5878" s="1" t="s">
        <v>17439</v>
      </c>
      <c r="F5878" s="1" t="s">
        <v>2559</v>
      </c>
      <c r="G5878" s="1" t="s">
        <v>2560</v>
      </c>
      <c r="H5878" s="1" t="s">
        <v>37</v>
      </c>
      <c r="I5878" s="1" t="s">
        <v>16</v>
      </c>
      <c r="J5878" s="1">
        <v>1</v>
      </c>
      <c r="K5878" s="1">
        <v>1</v>
      </c>
      <c r="L5878" s="1" t="s">
        <v>42</v>
      </c>
      <c r="M5878" s="1" t="s">
        <v>18</v>
      </c>
      <c r="N5878" s="1" t="s">
        <v>18</v>
      </c>
      <c r="O5878" s="1">
        <v>3</v>
      </c>
      <c r="P5878" s="1">
        <v>7</v>
      </c>
      <c r="Q5878" s="7" t="s">
        <v>17633</v>
      </c>
      <c r="R5878" s="1" t="s">
        <v>19</v>
      </c>
      <c r="S5878" s="1" t="s">
        <v>63</v>
      </c>
      <c r="T5878" s="1" t="s">
        <v>21</v>
      </c>
      <c r="V5878" s="1" t="s">
        <v>24</v>
      </c>
      <c r="W5878" s="1" t="s">
        <v>24</v>
      </c>
      <c r="X5878" s="1">
        <v>2724</v>
      </c>
      <c r="Y5878" s="1">
        <v>2712</v>
      </c>
      <c r="Z5878" s="1" t="s">
        <v>24</v>
      </c>
      <c r="AA5878" s="1" t="s">
        <v>24</v>
      </c>
      <c r="AB5878" s="1" t="s">
        <v>24</v>
      </c>
      <c r="AC5878" s="1" t="s">
        <v>24</v>
      </c>
      <c r="AD5878" s="1" t="s">
        <v>24</v>
      </c>
      <c r="AE5878" s="1" t="s">
        <v>24</v>
      </c>
      <c r="AF5878" s="22"/>
    </row>
    <row r="5879" spans="1:32" x14ac:dyDescent="0.2">
      <c r="A5879" s="1">
        <v>59043</v>
      </c>
      <c r="B5879" s="1" t="s">
        <v>17440</v>
      </c>
      <c r="C5879" s="5" t="s">
        <v>0</v>
      </c>
      <c r="D5879" s="1" t="s">
        <v>17441</v>
      </c>
      <c r="E5879" s="1" t="s">
        <v>17442</v>
      </c>
      <c r="F5879" s="1" t="s">
        <v>17443</v>
      </c>
      <c r="G5879" s="1" t="s">
        <v>17443</v>
      </c>
      <c r="H5879" s="1" t="s">
        <v>1957</v>
      </c>
      <c r="I5879" s="1" t="s">
        <v>16</v>
      </c>
      <c r="J5879" s="1">
        <v>1</v>
      </c>
      <c r="K5879" s="1">
        <v>4</v>
      </c>
      <c r="L5879" s="1" t="s">
        <v>42</v>
      </c>
      <c r="M5879" s="1" t="s">
        <v>18</v>
      </c>
      <c r="N5879" s="1" t="s">
        <v>18</v>
      </c>
      <c r="O5879" s="1">
        <v>2</v>
      </c>
      <c r="P5879" s="1">
        <v>6</v>
      </c>
      <c r="R5879" s="1" t="s">
        <v>19</v>
      </c>
      <c r="S5879" s="1" t="s">
        <v>20</v>
      </c>
      <c r="T5879" s="1" t="s">
        <v>21</v>
      </c>
      <c r="V5879" s="1" t="s">
        <v>24</v>
      </c>
      <c r="W5879" s="1" t="s">
        <v>24</v>
      </c>
      <c r="X5879" s="1">
        <v>3005</v>
      </c>
      <c r="Y5879" s="1">
        <v>2734</v>
      </c>
      <c r="Z5879" s="1" t="s">
        <v>24</v>
      </c>
      <c r="AA5879" s="1" t="s">
        <v>24</v>
      </c>
      <c r="AB5879" s="1" t="s">
        <v>24</v>
      </c>
      <c r="AC5879" s="1" t="s">
        <v>24</v>
      </c>
      <c r="AD5879" s="1" t="s">
        <v>24</v>
      </c>
      <c r="AE5879" s="1" t="s">
        <v>24</v>
      </c>
      <c r="AF5879" s="22"/>
    </row>
    <row r="5880" spans="1:32" x14ac:dyDescent="0.2">
      <c r="A5880" s="1">
        <v>59044</v>
      </c>
      <c r="B5880" s="1" t="s">
        <v>17444</v>
      </c>
      <c r="C5880" s="5" t="s">
        <v>0</v>
      </c>
      <c r="E5880" s="1" t="s">
        <v>17445</v>
      </c>
      <c r="F5880" s="1" t="s">
        <v>11078</v>
      </c>
      <c r="G5880" s="1" t="s">
        <v>11079</v>
      </c>
      <c r="H5880" s="1" t="s">
        <v>37</v>
      </c>
      <c r="I5880" s="1" t="s">
        <v>16</v>
      </c>
      <c r="J5880" s="1">
        <v>1</v>
      </c>
      <c r="K5880" s="1">
        <v>1</v>
      </c>
      <c r="L5880" s="1" t="s">
        <v>42</v>
      </c>
      <c r="M5880" s="1" t="s">
        <v>18</v>
      </c>
      <c r="N5880" s="1" t="s">
        <v>18</v>
      </c>
      <c r="O5880" s="1">
        <v>2</v>
      </c>
      <c r="P5880" s="1">
        <v>6</v>
      </c>
      <c r="R5880" s="1" t="s">
        <v>19</v>
      </c>
      <c r="S5880" s="1" t="s">
        <v>63</v>
      </c>
      <c r="T5880" s="1" t="s">
        <v>21</v>
      </c>
      <c r="V5880" s="1" t="s">
        <v>24</v>
      </c>
      <c r="W5880" s="1" t="s">
        <v>24</v>
      </c>
      <c r="X5880" s="1">
        <v>2708</v>
      </c>
      <c r="Y5880" s="1">
        <v>2745</v>
      </c>
      <c r="Z5880" s="1" t="s">
        <v>24</v>
      </c>
      <c r="AA5880" s="1" t="s">
        <v>24</v>
      </c>
      <c r="AB5880" s="1" t="s">
        <v>24</v>
      </c>
      <c r="AC5880" s="1" t="s">
        <v>24</v>
      </c>
      <c r="AD5880" s="1" t="s">
        <v>24</v>
      </c>
      <c r="AE5880" s="1" t="s">
        <v>24</v>
      </c>
      <c r="AF5880" s="22"/>
    </row>
    <row r="5881" spans="1:32" x14ac:dyDescent="0.2">
      <c r="A5881" s="1">
        <v>59045</v>
      </c>
      <c r="B5881" s="1" t="s">
        <v>17446</v>
      </c>
      <c r="C5881" s="5" t="s">
        <v>0</v>
      </c>
      <c r="E5881" s="1" t="s">
        <v>17447</v>
      </c>
      <c r="F5881" s="1" t="s">
        <v>13079</v>
      </c>
      <c r="G5881" s="1" t="s">
        <v>13079</v>
      </c>
      <c r="H5881" s="1" t="s">
        <v>30</v>
      </c>
      <c r="I5881" s="1" t="s">
        <v>16</v>
      </c>
      <c r="J5881" s="1">
        <v>1</v>
      </c>
      <c r="K5881" s="1">
        <v>4</v>
      </c>
      <c r="L5881" s="1" t="s">
        <v>42</v>
      </c>
      <c r="M5881" s="1" t="s">
        <v>18</v>
      </c>
      <c r="N5881" s="1" t="s">
        <v>18</v>
      </c>
      <c r="O5881" s="1">
        <v>3</v>
      </c>
      <c r="P5881" s="1">
        <v>6</v>
      </c>
      <c r="R5881" s="1" t="s">
        <v>19</v>
      </c>
      <c r="S5881" s="1" t="s">
        <v>20</v>
      </c>
      <c r="T5881" s="1" t="s">
        <v>21</v>
      </c>
      <c r="V5881" s="1" t="s">
        <v>24</v>
      </c>
      <c r="W5881" s="1" t="s">
        <v>24</v>
      </c>
      <c r="X5881" s="1">
        <v>2720</v>
      </c>
      <c r="Y5881" s="1">
        <v>1306</v>
      </c>
      <c r="Z5881" s="1">
        <v>1307</v>
      </c>
      <c r="AA5881" s="1">
        <v>2730</v>
      </c>
      <c r="AB5881" s="1" t="s">
        <v>24</v>
      </c>
      <c r="AC5881" s="1" t="s">
        <v>24</v>
      </c>
      <c r="AD5881" s="1" t="s">
        <v>24</v>
      </c>
      <c r="AE5881" s="1" t="s">
        <v>24</v>
      </c>
      <c r="AF5881" s="22" t="s">
        <v>17663</v>
      </c>
    </row>
    <row r="5882" spans="1:32" x14ac:dyDescent="0.2">
      <c r="A5882" s="1">
        <v>59046</v>
      </c>
      <c r="B5882" s="1" t="s">
        <v>17448</v>
      </c>
      <c r="C5882" s="5" t="s">
        <v>0</v>
      </c>
      <c r="E5882" s="1" t="s">
        <v>17449</v>
      </c>
      <c r="F5882" s="1" t="s">
        <v>13079</v>
      </c>
      <c r="G5882" s="1" t="s">
        <v>13079</v>
      </c>
      <c r="H5882" s="1" t="s">
        <v>30</v>
      </c>
      <c r="I5882" s="1" t="s">
        <v>16</v>
      </c>
      <c r="J5882" s="1">
        <v>1</v>
      </c>
      <c r="K5882" s="1">
        <v>4</v>
      </c>
      <c r="L5882" s="1" t="s">
        <v>42</v>
      </c>
      <c r="M5882" s="1" t="s">
        <v>18</v>
      </c>
      <c r="N5882" s="1" t="s">
        <v>18</v>
      </c>
      <c r="O5882" s="1">
        <v>3</v>
      </c>
      <c r="P5882" s="1">
        <v>6</v>
      </c>
      <c r="R5882" s="1" t="s">
        <v>19</v>
      </c>
      <c r="S5882" s="1" t="s">
        <v>20</v>
      </c>
      <c r="T5882" s="1" t="s">
        <v>21</v>
      </c>
      <c r="V5882" s="1" t="s">
        <v>24</v>
      </c>
      <c r="W5882" s="1" t="s">
        <v>24</v>
      </c>
      <c r="X5882" s="1">
        <v>2705</v>
      </c>
      <c r="Y5882" s="1" t="s">
        <v>24</v>
      </c>
      <c r="Z5882" s="1" t="s">
        <v>24</v>
      </c>
      <c r="AA5882" s="1" t="s">
        <v>24</v>
      </c>
      <c r="AB5882" s="1" t="s">
        <v>24</v>
      </c>
      <c r="AC5882" s="1" t="s">
        <v>24</v>
      </c>
      <c r="AD5882" s="1" t="s">
        <v>24</v>
      </c>
      <c r="AE5882" s="1" t="s">
        <v>24</v>
      </c>
      <c r="AF5882" s="22"/>
    </row>
    <row r="5883" spans="1:32" x14ac:dyDescent="0.2">
      <c r="A5883" s="1">
        <v>59047</v>
      </c>
      <c r="B5883" s="1" t="s">
        <v>17450</v>
      </c>
      <c r="C5883" s="5" t="s">
        <v>0</v>
      </c>
      <c r="E5883" s="1" t="s">
        <v>17451</v>
      </c>
      <c r="F5883" s="1" t="s">
        <v>13079</v>
      </c>
      <c r="G5883" s="1" t="s">
        <v>13079</v>
      </c>
      <c r="H5883" s="1" t="s">
        <v>30</v>
      </c>
      <c r="I5883" s="1" t="s">
        <v>16</v>
      </c>
      <c r="J5883" s="1">
        <v>1</v>
      </c>
      <c r="K5883" s="1">
        <v>3</v>
      </c>
      <c r="L5883" s="1" t="s">
        <v>42</v>
      </c>
      <c r="M5883" s="1" t="s">
        <v>18</v>
      </c>
      <c r="N5883" s="1" t="s">
        <v>18</v>
      </c>
      <c r="O5883" s="1">
        <v>3</v>
      </c>
      <c r="P5883" s="1">
        <v>6</v>
      </c>
      <c r="R5883" s="1" t="s">
        <v>19</v>
      </c>
      <c r="S5883" s="1" t="s">
        <v>20</v>
      </c>
      <c r="T5883" s="1" t="s">
        <v>21</v>
      </c>
      <c r="V5883" s="1" t="s">
        <v>24</v>
      </c>
      <c r="W5883" s="1" t="s">
        <v>24</v>
      </c>
      <c r="X5883" s="1">
        <v>2403</v>
      </c>
      <c r="Y5883" s="1">
        <v>2723</v>
      </c>
      <c r="Z5883" s="1" t="s">
        <v>24</v>
      </c>
      <c r="AA5883" s="1" t="s">
        <v>24</v>
      </c>
      <c r="AB5883" s="1" t="s">
        <v>24</v>
      </c>
      <c r="AC5883" s="1" t="s">
        <v>24</v>
      </c>
      <c r="AD5883" s="1" t="s">
        <v>24</v>
      </c>
      <c r="AE5883" s="1" t="s">
        <v>24</v>
      </c>
      <c r="AF5883" s="22"/>
    </row>
    <row r="5884" spans="1:32" x14ac:dyDescent="0.2">
      <c r="A5884" s="1">
        <v>59048</v>
      </c>
      <c r="B5884" s="1" t="s">
        <v>17452</v>
      </c>
      <c r="C5884" s="5" t="s">
        <v>0</v>
      </c>
      <c r="E5884" s="1" t="s">
        <v>17453</v>
      </c>
      <c r="F5884" s="1" t="s">
        <v>13079</v>
      </c>
      <c r="G5884" s="1" t="s">
        <v>13079</v>
      </c>
      <c r="H5884" s="1" t="s">
        <v>30</v>
      </c>
      <c r="I5884" s="1" t="s">
        <v>16</v>
      </c>
      <c r="J5884" s="1">
        <v>1</v>
      </c>
      <c r="K5884" s="1">
        <v>4</v>
      </c>
      <c r="L5884" s="1" t="s">
        <v>42</v>
      </c>
      <c r="M5884" s="1" t="s">
        <v>18</v>
      </c>
      <c r="N5884" s="1" t="s">
        <v>18</v>
      </c>
      <c r="O5884" s="1">
        <v>3</v>
      </c>
      <c r="P5884" s="1">
        <v>6</v>
      </c>
      <c r="R5884" s="1" t="s">
        <v>19</v>
      </c>
      <c r="S5884" s="1" t="s">
        <v>20</v>
      </c>
      <c r="T5884" s="1" t="s">
        <v>21</v>
      </c>
      <c r="V5884" s="1" t="s">
        <v>24</v>
      </c>
      <c r="W5884" s="1" t="s">
        <v>24</v>
      </c>
      <c r="X5884" s="1">
        <v>2728</v>
      </c>
      <c r="Y5884" s="1">
        <v>2808</v>
      </c>
      <c r="Z5884" s="1" t="s">
        <v>24</v>
      </c>
      <c r="AA5884" s="1" t="s">
        <v>24</v>
      </c>
      <c r="AB5884" s="1" t="s">
        <v>24</v>
      </c>
      <c r="AC5884" s="1" t="s">
        <v>24</v>
      </c>
      <c r="AD5884" s="1" t="s">
        <v>24</v>
      </c>
      <c r="AE5884" s="1" t="s">
        <v>24</v>
      </c>
      <c r="AF5884" s="22"/>
    </row>
    <row r="5885" spans="1:32" x14ac:dyDescent="0.2">
      <c r="A5885" s="1">
        <v>59049</v>
      </c>
      <c r="B5885" s="1" t="s">
        <v>17454</v>
      </c>
      <c r="C5885" s="5" t="s">
        <v>0</v>
      </c>
      <c r="E5885" s="1" t="s">
        <v>17455</v>
      </c>
      <c r="F5885" s="1" t="s">
        <v>13079</v>
      </c>
      <c r="G5885" s="1" t="s">
        <v>13079</v>
      </c>
      <c r="H5885" s="1" t="s">
        <v>30</v>
      </c>
      <c r="I5885" s="1" t="s">
        <v>16</v>
      </c>
      <c r="J5885" s="1">
        <v>1</v>
      </c>
      <c r="K5885" s="1">
        <v>5</v>
      </c>
      <c r="L5885" s="1" t="s">
        <v>42</v>
      </c>
      <c r="M5885" s="1" t="s">
        <v>18</v>
      </c>
      <c r="N5885" s="1" t="s">
        <v>18</v>
      </c>
      <c r="O5885" s="1">
        <v>3</v>
      </c>
      <c r="P5885" s="1">
        <v>6</v>
      </c>
      <c r="R5885" s="1" t="s">
        <v>19</v>
      </c>
      <c r="S5885" s="1" t="s">
        <v>20</v>
      </c>
      <c r="T5885" s="1" t="s">
        <v>21</v>
      </c>
      <c r="V5885" s="1" t="s">
        <v>24</v>
      </c>
      <c r="W5885" s="1" t="s">
        <v>24</v>
      </c>
      <c r="X5885" s="1">
        <v>2741</v>
      </c>
      <c r="Y5885" s="1">
        <v>1312</v>
      </c>
      <c r="Z5885" s="1" t="s">
        <v>24</v>
      </c>
      <c r="AA5885" s="1" t="s">
        <v>24</v>
      </c>
      <c r="AB5885" s="1" t="s">
        <v>24</v>
      </c>
      <c r="AC5885" s="1" t="s">
        <v>24</v>
      </c>
      <c r="AD5885" s="1" t="s">
        <v>24</v>
      </c>
      <c r="AE5885" s="1" t="s">
        <v>24</v>
      </c>
      <c r="AF5885" s="22"/>
    </row>
    <row r="5886" spans="1:32" x14ac:dyDescent="0.2">
      <c r="A5886" s="1">
        <v>59050</v>
      </c>
      <c r="B5886" s="1" t="s">
        <v>17456</v>
      </c>
      <c r="C5886" s="5" t="s">
        <v>0</v>
      </c>
      <c r="E5886" s="1" t="s">
        <v>17457</v>
      </c>
      <c r="F5886" s="1" t="s">
        <v>13079</v>
      </c>
      <c r="G5886" s="1" t="s">
        <v>13079</v>
      </c>
      <c r="H5886" s="1" t="s">
        <v>30</v>
      </c>
      <c r="I5886" s="1" t="s">
        <v>16</v>
      </c>
      <c r="J5886" s="1">
        <v>1</v>
      </c>
      <c r="K5886" s="1">
        <v>3</v>
      </c>
      <c r="L5886" s="1" t="s">
        <v>42</v>
      </c>
      <c r="M5886" s="1" t="s">
        <v>18</v>
      </c>
      <c r="N5886" s="1" t="s">
        <v>18</v>
      </c>
      <c r="O5886" s="1">
        <v>3</v>
      </c>
      <c r="P5886" s="1">
        <v>6</v>
      </c>
      <c r="R5886" s="1" t="s">
        <v>19</v>
      </c>
      <c r="S5886" s="1" t="s">
        <v>20</v>
      </c>
      <c r="T5886" s="1" t="s">
        <v>21</v>
      </c>
      <c r="V5886" s="1" t="s">
        <v>24</v>
      </c>
      <c r="W5886" s="1" t="s">
        <v>24</v>
      </c>
      <c r="X5886" s="1">
        <v>1307</v>
      </c>
      <c r="Y5886" s="1">
        <v>1309</v>
      </c>
      <c r="Z5886" s="1">
        <v>1312</v>
      </c>
      <c r="AA5886" s="1" t="s">
        <v>24</v>
      </c>
      <c r="AB5886" s="1" t="s">
        <v>24</v>
      </c>
      <c r="AC5886" s="1" t="s">
        <v>24</v>
      </c>
      <c r="AD5886" s="1" t="s">
        <v>24</v>
      </c>
      <c r="AE5886" s="1" t="s">
        <v>24</v>
      </c>
      <c r="AF5886" s="22"/>
    </row>
    <row r="5887" spans="1:32" x14ac:dyDescent="0.2">
      <c r="A5887" s="1">
        <v>59051</v>
      </c>
      <c r="B5887" s="1" t="s">
        <v>17458</v>
      </c>
      <c r="C5887" s="5" t="s">
        <v>0</v>
      </c>
      <c r="E5887" s="1" t="s">
        <v>17459</v>
      </c>
      <c r="F5887" s="1" t="s">
        <v>13079</v>
      </c>
      <c r="G5887" s="1" t="s">
        <v>13079</v>
      </c>
      <c r="H5887" s="1" t="s">
        <v>30</v>
      </c>
      <c r="I5887" s="1" t="s">
        <v>16</v>
      </c>
      <c r="J5887" s="1">
        <v>1</v>
      </c>
      <c r="K5887" s="1">
        <v>4</v>
      </c>
      <c r="L5887" s="1" t="s">
        <v>42</v>
      </c>
      <c r="M5887" s="1" t="s">
        <v>18</v>
      </c>
      <c r="N5887" s="1" t="s">
        <v>18</v>
      </c>
      <c r="O5887" s="1">
        <v>3</v>
      </c>
      <c r="P5887" s="1">
        <v>6</v>
      </c>
      <c r="R5887" s="1" t="s">
        <v>19</v>
      </c>
      <c r="S5887" s="1" t="s">
        <v>20</v>
      </c>
      <c r="T5887" s="1" t="s">
        <v>21</v>
      </c>
      <c r="V5887" s="1" t="s">
        <v>24</v>
      </c>
      <c r="W5887" s="1" t="s">
        <v>24</v>
      </c>
      <c r="X5887" s="1">
        <v>2706</v>
      </c>
      <c r="Y5887" s="1">
        <v>2734</v>
      </c>
      <c r="Z5887" s="1" t="s">
        <v>24</v>
      </c>
      <c r="AA5887" s="1" t="s">
        <v>24</v>
      </c>
      <c r="AB5887" s="1" t="s">
        <v>24</v>
      </c>
      <c r="AC5887" s="1" t="s">
        <v>24</v>
      </c>
      <c r="AD5887" s="1" t="s">
        <v>24</v>
      </c>
      <c r="AE5887" s="1" t="s">
        <v>24</v>
      </c>
      <c r="AF5887" s="22"/>
    </row>
    <row r="5888" spans="1:32" x14ac:dyDescent="0.2">
      <c r="A5888" s="1">
        <v>59052</v>
      </c>
      <c r="B5888" s="1" t="s">
        <v>17460</v>
      </c>
      <c r="C5888" s="5" t="s">
        <v>0</v>
      </c>
      <c r="D5888" s="1" t="s">
        <v>17461</v>
      </c>
      <c r="E5888" s="1" t="s">
        <v>17462</v>
      </c>
      <c r="F5888" s="1" t="s">
        <v>17463</v>
      </c>
      <c r="G5888" s="1" t="s">
        <v>17463</v>
      </c>
      <c r="H5888" s="1" t="s">
        <v>37</v>
      </c>
      <c r="I5888" s="1" t="s">
        <v>16</v>
      </c>
      <c r="J5888" s="1">
        <v>1</v>
      </c>
      <c r="K5888" s="1">
        <v>2</v>
      </c>
      <c r="L5888" s="1" t="s">
        <v>42</v>
      </c>
      <c r="M5888" s="1" t="s">
        <v>18</v>
      </c>
      <c r="N5888" s="1" t="s">
        <v>18</v>
      </c>
      <c r="O5888" s="1">
        <v>3</v>
      </c>
      <c r="P5888" s="1">
        <v>6</v>
      </c>
      <c r="R5888" s="1" t="s">
        <v>19</v>
      </c>
      <c r="S5888" s="1" t="s">
        <v>20</v>
      </c>
      <c r="T5888" s="1" t="s">
        <v>21</v>
      </c>
      <c r="V5888" s="1" t="s">
        <v>24</v>
      </c>
      <c r="W5888" s="1" t="s">
        <v>24</v>
      </c>
      <c r="X5888" s="1">
        <v>2712</v>
      </c>
      <c r="Y5888" s="1" t="s">
        <v>24</v>
      </c>
      <c r="Z5888" s="1" t="s">
        <v>24</v>
      </c>
      <c r="AA5888" s="1" t="s">
        <v>24</v>
      </c>
      <c r="AB5888" s="1" t="s">
        <v>24</v>
      </c>
      <c r="AC5888" s="1" t="s">
        <v>24</v>
      </c>
      <c r="AD5888" s="1" t="s">
        <v>24</v>
      </c>
      <c r="AE5888" s="1" t="s">
        <v>24</v>
      </c>
      <c r="AF5888" s="22"/>
    </row>
    <row r="5889" spans="1:32" x14ac:dyDescent="0.2">
      <c r="A5889" s="1">
        <v>59053</v>
      </c>
      <c r="B5889" s="1" t="s">
        <v>17464</v>
      </c>
      <c r="C5889" s="5" t="s">
        <v>0</v>
      </c>
      <c r="D5889" s="1" t="s">
        <v>17465</v>
      </c>
      <c r="E5889" s="1" t="s">
        <v>17466</v>
      </c>
      <c r="F5889" s="1" t="s">
        <v>17463</v>
      </c>
      <c r="G5889" s="1" t="s">
        <v>17463</v>
      </c>
      <c r="H5889" s="1" t="s">
        <v>37</v>
      </c>
      <c r="I5889" s="1" t="s">
        <v>16</v>
      </c>
      <c r="J5889" s="1">
        <v>1</v>
      </c>
      <c r="K5889" s="1">
        <v>2</v>
      </c>
      <c r="L5889" s="1" t="s">
        <v>42</v>
      </c>
      <c r="M5889" s="1" t="s">
        <v>18</v>
      </c>
      <c r="N5889" s="1" t="s">
        <v>18</v>
      </c>
      <c r="O5889" s="1">
        <v>3</v>
      </c>
      <c r="P5889" s="1">
        <v>6</v>
      </c>
      <c r="R5889" s="1" t="s">
        <v>19</v>
      </c>
      <c r="S5889" s="1" t="s">
        <v>20</v>
      </c>
      <c r="T5889" s="1" t="s">
        <v>21</v>
      </c>
      <c r="V5889" s="1" t="s">
        <v>24</v>
      </c>
      <c r="W5889" s="1" t="s">
        <v>24</v>
      </c>
      <c r="X5889" s="1">
        <v>2740</v>
      </c>
      <c r="Y5889" s="1" t="s">
        <v>24</v>
      </c>
      <c r="Z5889" s="1" t="s">
        <v>24</v>
      </c>
      <c r="AA5889" s="1" t="s">
        <v>24</v>
      </c>
      <c r="AB5889" s="1" t="s">
        <v>24</v>
      </c>
      <c r="AC5889" s="1" t="s">
        <v>24</v>
      </c>
      <c r="AD5889" s="1" t="s">
        <v>24</v>
      </c>
      <c r="AE5889" s="1" t="s">
        <v>24</v>
      </c>
      <c r="AF5889" s="22"/>
    </row>
    <row r="5890" spans="1:32" x14ac:dyDescent="0.2">
      <c r="A5890" s="1">
        <v>59054</v>
      </c>
      <c r="B5890" s="1" t="s">
        <v>17467</v>
      </c>
      <c r="C5890" s="5" t="s">
        <v>0</v>
      </c>
      <c r="D5890" s="1" t="s">
        <v>17468</v>
      </c>
      <c r="E5890" s="1" t="s">
        <v>17469</v>
      </c>
      <c r="F5890" s="1" t="s">
        <v>1412</v>
      </c>
      <c r="G5890" s="1" t="s">
        <v>1413</v>
      </c>
      <c r="H5890" s="1" t="s">
        <v>30</v>
      </c>
      <c r="I5890" s="1" t="s">
        <v>16</v>
      </c>
      <c r="J5890" s="1">
        <v>1</v>
      </c>
      <c r="K5890" s="1">
        <v>1</v>
      </c>
      <c r="L5890" s="1" t="s">
        <v>31</v>
      </c>
      <c r="M5890" s="1" t="s">
        <v>18</v>
      </c>
      <c r="N5890" s="1" t="s">
        <v>18</v>
      </c>
      <c r="O5890" s="1">
        <v>2</v>
      </c>
      <c r="P5890" s="1">
        <v>6</v>
      </c>
      <c r="R5890" s="1" t="s">
        <v>19</v>
      </c>
      <c r="S5890" s="1" t="s">
        <v>63</v>
      </c>
      <c r="T5890" s="1" t="s">
        <v>21</v>
      </c>
      <c r="V5890" s="1" t="s">
        <v>24</v>
      </c>
      <c r="W5890" s="1" t="s">
        <v>24</v>
      </c>
      <c r="X5890" s="1">
        <v>2204</v>
      </c>
      <c r="Y5890" s="1" t="s">
        <v>24</v>
      </c>
      <c r="Z5890" s="1" t="s">
        <v>24</v>
      </c>
      <c r="AA5890" s="1" t="s">
        <v>24</v>
      </c>
      <c r="AB5890" s="1" t="s">
        <v>24</v>
      </c>
      <c r="AC5890" s="1" t="s">
        <v>24</v>
      </c>
      <c r="AD5890" s="1" t="s">
        <v>24</v>
      </c>
      <c r="AE5890" s="1" t="s">
        <v>24</v>
      </c>
      <c r="AF5890" s="22"/>
    </row>
    <row r="5891" spans="1:32" x14ac:dyDescent="0.2">
      <c r="A5891" s="1">
        <v>59055</v>
      </c>
      <c r="B5891" s="1" t="s">
        <v>17470</v>
      </c>
      <c r="C5891" s="5" t="s">
        <v>0</v>
      </c>
      <c r="D5891" s="1" t="s">
        <v>17471</v>
      </c>
      <c r="E5891" s="1" t="s">
        <v>17472</v>
      </c>
      <c r="F5891" s="1" t="s">
        <v>1412</v>
      </c>
      <c r="G5891" s="1" t="s">
        <v>1413</v>
      </c>
      <c r="H5891" s="1" t="s">
        <v>30</v>
      </c>
      <c r="I5891" s="1" t="s">
        <v>16</v>
      </c>
      <c r="J5891" s="1">
        <v>1</v>
      </c>
      <c r="K5891" s="1">
        <v>1</v>
      </c>
      <c r="L5891" s="1" t="s">
        <v>31</v>
      </c>
      <c r="M5891" s="1" t="s">
        <v>18</v>
      </c>
      <c r="N5891" s="1" t="s">
        <v>18</v>
      </c>
      <c r="O5891" s="1">
        <v>3</v>
      </c>
      <c r="P5891" s="1">
        <v>6</v>
      </c>
      <c r="R5891" s="1" t="s">
        <v>19</v>
      </c>
      <c r="S5891" s="1" t="s">
        <v>63</v>
      </c>
      <c r="T5891" s="1" t="s">
        <v>21</v>
      </c>
      <c r="V5891" s="1" t="s">
        <v>24</v>
      </c>
      <c r="W5891" s="1" t="s">
        <v>24</v>
      </c>
      <c r="X5891" s="1">
        <v>2728</v>
      </c>
      <c r="Y5891" s="1">
        <v>2808</v>
      </c>
      <c r="Z5891" s="1" t="s">
        <v>24</v>
      </c>
      <c r="AA5891" s="1" t="s">
        <v>24</v>
      </c>
      <c r="AB5891" s="1" t="s">
        <v>24</v>
      </c>
      <c r="AC5891" s="1" t="s">
        <v>24</v>
      </c>
      <c r="AD5891" s="1" t="s">
        <v>24</v>
      </c>
      <c r="AE5891" s="1" t="s">
        <v>24</v>
      </c>
      <c r="AF5891" s="22"/>
    </row>
    <row r="5892" spans="1:32" x14ac:dyDescent="0.2">
      <c r="A5892" s="1">
        <v>59056</v>
      </c>
      <c r="B5892" s="1" t="s">
        <v>17473</v>
      </c>
      <c r="C5892" s="5" t="s">
        <v>0</v>
      </c>
      <c r="D5892" s="1" t="s">
        <v>17474</v>
      </c>
      <c r="E5892" s="1" t="s">
        <v>17475</v>
      </c>
      <c r="F5892" s="1" t="s">
        <v>1412</v>
      </c>
      <c r="G5892" s="1" t="s">
        <v>1413</v>
      </c>
      <c r="H5892" s="1" t="s">
        <v>30</v>
      </c>
      <c r="I5892" s="1" t="s">
        <v>16</v>
      </c>
      <c r="J5892" s="1">
        <v>1</v>
      </c>
      <c r="K5892" s="1">
        <v>1</v>
      </c>
      <c r="L5892" s="1" t="s">
        <v>31</v>
      </c>
      <c r="M5892" s="1" t="s">
        <v>18</v>
      </c>
      <c r="N5892" s="1" t="s">
        <v>18</v>
      </c>
      <c r="O5892" s="1">
        <v>2</v>
      </c>
      <c r="P5892" s="1">
        <v>6</v>
      </c>
      <c r="R5892" s="1" t="s">
        <v>19</v>
      </c>
      <c r="S5892" s="1" t="s">
        <v>63</v>
      </c>
      <c r="T5892" s="1" t="s">
        <v>21</v>
      </c>
      <c r="V5892" s="1" t="s">
        <v>24</v>
      </c>
      <c r="W5892" s="1" t="s">
        <v>24</v>
      </c>
      <c r="X5892" s="1">
        <v>3203</v>
      </c>
      <c r="Y5892" s="1">
        <v>2738</v>
      </c>
      <c r="Z5892" s="1">
        <v>2802</v>
      </c>
      <c r="AA5892" s="1">
        <v>2805</v>
      </c>
      <c r="AB5892" s="1" t="s">
        <v>24</v>
      </c>
      <c r="AC5892" s="1" t="s">
        <v>24</v>
      </c>
      <c r="AD5892" s="1" t="s">
        <v>24</v>
      </c>
      <c r="AE5892" s="1" t="s">
        <v>24</v>
      </c>
      <c r="AF5892" s="22"/>
    </row>
    <row r="5893" spans="1:32" x14ac:dyDescent="0.2">
      <c r="A5893" s="1">
        <v>59057</v>
      </c>
      <c r="B5893" s="1" t="s">
        <v>17476</v>
      </c>
      <c r="C5893" s="5" t="s">
        <v>0</v>
      </c>
      <c r="D5893" s="1" t="s">
        <v>17477</v>
      </c>
      <c r="E5893" s="1" t="s">
        <v>17478</v>
      </c>
      <c r="F5893" s="1" t="s">
        <v>940</v>
      </c>
      <c r="G5893" s="1" t="s">
        <v>130</v>
      </c>
      <c r="H5893" s="1" t="s">
        <v>30</v>
      </c>
      <c r="I5893" s="1" t="s">
        <v>112</v>
      </c>
      <c r="J5893" s="1">
        <v>1</v>
      </c>
      <c r="K5893" s="1">
        <v>1</v>
      </c>
      <c r="L5893" s="1" t="s">
        <v>31</v>
      </c>
      <c r="M5893" s="1" t="s">
        <v>18</v>
      </c>
      <c r="N5893" s="1" t="s">
        <v>18</v>
      </c>
      <c r="O5893" s="1">
        <v>3</v>
      </c>
      <c r="P5893" s="1">
        <v>6</v>
      </c>
      <c r="R5893" s="1" t="s">
        <v>19</v>
      </c>
      <c r="S5893" s="1" t="s">
        <v>20</v>
      </c>
      <c r="T5893" s="1" t="s">
        <v>21</v>
      </c>
      <c r="V5893" s="1" t="s">
        <v>24</v>
      </c>
      <c r="W5893" s="1" t="s">
        <v>24</v>
      </c>
      <c r="X5893" s="1">
        <v>1306</v>
      </c>
      <c r="Y5893" s="1">
        <v>2730</v>
      </c>
      <c r="Z5893" s="1">
        <v>3002</v>
      </c>
      <c r="AA5893" s="1" t="s">
        <v>24</v>
      </c>
      <c r="AB5893" s="1" t="s">
        <v>24</v>
      </c>
      <c r="AC5893" s="1" t="s">
        <v>24</v>
      </c>
      <c r="AD5893" s="1" t="s">
        <v>24</v>
      </c>
      <c r="AE5893" s="1" t="s">
        <v>24</v>
      </c>
      <c r="AF5893" s="22"/>
    </row>
    <row r="5894" spans="1:32" x14ac:dyDescent="0.2">
      <c r="A5894" s="1">
        <v>59058</v>
      </c>
      <c r="B5894" s="1" t="s">
        <v>17479</v>
      </c>
      <c r="C5894" s="5" t="s">
        <v>0</v>
      </c>
      <c r="E5894" s="1" t="s">
        <v>17480</v>
      </c>
      <c r="F5894" s="1" t="s">
        <v>10332</v>
      </c>
      <c r="G5894" s="1" t="s">
        <v>10332</v>
      </c>
      <c r="H5894" s="1" t="s">
        <v>30</v>
      </c>
      <c r="I5894" s="1" t="s">
        <v>16</v>
      </c>
      <c r="J5894" s="1">
        <v>1</v>
      </c>
      <c r="K5894" s="1">
        <v>1</v>
      </c>
      <c r="L5894" s="1" t="s">
        <v>42</v>
      </c>
      <c r="M5894" s="1" t="s">
        <v>18</v>
      </c>
      <c r="N5894" s="1" t="s">
        <v>18</v>
      </c>
      <c r="O5894" s="1">
        <v>2</v>
      </c>
      <c r="P5894" s="1">
        <v>6</v>
      </c>
      <c r="R5894" s="1" t="s">
        <v>19</v>
      </c>
      <c r="S5894" s="1" t="s">
        <v>63</v>
      </c>
      <c r="T5894" s="1" t="s">
        <v>21</v>
      </c>
      <c r="V5894" s="1" t="s">
        <v>24</v>
      </c>
      <c r="W5894" s="1" t="s">
        <v>24</v>
      </c>
      <c r="X5894" s="1">
        <v>1310</v>
      </c>
      <c r="Y5894" s="1" t="s">
        <v>24</v>
      </c>
      <c r="Z5894" s="1" t="s">
        <v>24</v>
      </c>
      <c r="AA5894" s="1" t="s">
        <v>24</v>
      </c>
      <c r="AB5894" s="1" t="s">
        <v>24</v>
      </c>
      <c r="AC5894" s="1" t="s">
        <v>24</v>
      </c>
      <c r="AD5894" s="1" t="s">
        <v>24</v>
      </c>
      <c r="AE5894" s="1" t="s">
        <v>24</v>
      </c>
      <c r="AF5894" s="22"/>
    </row>
    <row r="5895" spans="1:32" x14ac:dyDescent="0.2">
      <c r="A5895" s="1">
        <v>59059</v>
      </c>
      <c r="B5895" s="1" t="s">
        <v>17481</v>
      </c>
      <c r="C5895" s="5" t="s">
        <v>0</v>
      </c>
      <c r="D5895" s="1" t="s">
        <v>17482</v>
      </c>
      <c r="E5895" s="1" t="s">
        <v>17483</v>
      </c>
      <c r="F5895" s="1" t="s">
        <v>10332</v>
      </c>
      <c r="G5895" s="1" t="s">
        <v>10332</v>
      </c>
      <c r="H5895" s="1" t="s">
        <v>30</v>
      </c>
      <c r="I5895" s="1" t="s">
        <v>16</v>
      </c>
      <c r="J5895" s="1">
        <v>1</v>
      </c>
      <c r="K5895" s="1">
        <v>1</v>
      </c>
      <c r="L5895" s="1" t="s">
        <v>42</v>
      </c>
      <c r="M5895" s="1" t="s">
        <v>18</v>
      </c>
      <c r="N5895" s="1" t="s">
        <v>18</v>
      </c>
      <c r="O5895" s="1">
        <v>3</v>
      </c>
      <c r="P5895" s="1">
        <v>6</v>
      </c>
      <c r="R5895" s="1" t="s">
        <v>19</v>
      </c>
      <c r="S5895" s="1" t="s">
        <v>63</v>
      </c>
      <c r="T5895" s="1" t="s">
        <v>21</v>
      </c>
      <c r="V5895" s="1" t="s">
        <v>24</v>
      </c>
      <c r="W5895" s="1" t="s">
        <v>24</v>
      </c>
      <c r="X5895" s="1">
        <v>1307</v>
      </c>
      <c r="Y5895" s="1">
        <v>2722</v>
      </c>
      <c r="Z5895" s="1">
        <v>2734</v>
      </c>
      <c r="AA5895" s="1">
        <v>2741</v>
      </c>
      <c r="AB5895" s="1" t="s">
        <v>24</v>
      </c>
      <c r="AC5895" s="1" t="s">
        <v>24</v>
      </c>
      <c r="AD5895" s="1" t="s">
        <v>24</v>
      </c>
      <c r="AE5895" s="1" t="s">
        <v>24</v>
      </c>
      <c r="AF5895" s="22"/>
    </row>
    <row r="5896" spans="1:32" x14ac:dyDescent="0.2">
      <c r="A5896" s="1">
        <v>59060</v>
      </c>
      <c r="B5896" s="1" t="s">
        <v>17484</v>
      </c>
      <c r="C5896" s="5" t="s">
        <v>0</v>
      </c>
      <c r="E5896" s="1" t="s">
        <v>17485</v>
      </c>
      <c r="F5896" s="1" t="s">
        <v>10332</v>
      </c>
      <c r="G5896" s="1" t="s">
        <v>10332</v>
      </c>
      <c r="H5896" s="1" t="s">
        <v>30</v>
      </c>
      <c r="I5896" s="1" t="s">
        <v>16</v>
      </c>
      <c r="J5896" s="1">
        <v>1</v>
      </c>
      <c r="K5896" s="1">
        <v>1</v>
      </c>
      <c r="L5896" s="1" t="s">
        <v>42</v>
      </c>
      <c r="M5896" s="1" t="s">
        <v>18</v>
      </c>
      <c r="N5896" s="1" t="s">
        <v>18</v>
      </c>
      <c r="O5896" s="1">
        <v>2</v>
      </c>
      <c r="P5896" s="1">
        <v>6</v>
      </c>
      <c r="R5896" s="1" t="s">
        <v>19</v>
      </c>
      <c r="S5896" s="1" t="s">
        <v>63</v>
      </c>
      <c r="T5896" s="1" t="s">
        <v>21</v>
      </c>
      <c r="V5896" s="1" t="s">
        <v>24</v>
      </c>
      <c r="W5896" s="1" t="s">
        <v>24</v>
      </c>
      <c r="X5896" s="1">
        <v>1312</v>
      </c>
      <c r="Y5896" s="1" t="s">
        <v>24</v>
      </c>
      <c r="Z5896" s="1" t="s">
        <v>24</v>
      </c>
      <c r="AA5896" s="1" t="s">
        <v>24</v>
      </c>
      <c r="AB5896" s="1" t="s">
        <v>24</v>
      </c>
      <c r="AC5896" s="1" t="s">
        <v>24</v>
      </c>
      <c r="AD5896" s="1" t="s">
        <v>24</v>
      </c>
      <c r="AE5896" s="1" t="s">
        <v>24</v>
      </c>
      <c r="AF5896" s="22"/>
    </row>
    <row r="5897" spans="1:32" x14ac:dyDescent="0.2">
      <c r="A5897" s="1">
        <v>59061</v>
      </c>
      <c r="B5897" s="1" t="s">
        <v>17486</v>
      </c>
      <c r="C5897" s="5" t="s">
        <v>0</v>
      </c>
      <c r="D5897" s="1" t="s">
        <v>17487</v>
      </c>
      <c r="E5897" s="1" t="s">
        <v>17488</v>
      </c>
      <c r="F5897" s="1" t="s">
        <v>10332</v>
      </c>
      <c r="G5897" s="1" t="s">
        <v>10332</v>
      </c>
      <c r="H5897" s="1" t="s">
        <v>30</v>
      </c>
      <c r="I5897" s="1" t="s">
        <v>16</v>
      </c>
      <c r="J5897" s="1">
        <v>1</v>
      </c>
      <c r="K5897" s="1">
        <v>1</v>
      </c>
      <c r="L5897" s="1" t="s">
        <v>42</v>
      </c>
      <c r="M5897" s="1" t="s">
        <v>18</v>
      </c>
      <c r="N5897" s="1" t="s">
        <v>18</v>
      </c>
      <c r="O5897" s="1">
        <v>3</v>
      </c>
      <c r="P5897" s="1">
        <v>6</v>
      </c>
      <c r="R5897" s="1" t="s">
        <v>19</v>
      </c>
      <c r="S5897" s="1" t="s">
        <v>63</v>
      </c>
      <c r="T5897" s="1" t="s">
        <v>21</v>
      </c>
      <c r="V5897" s="1" t="s">
        <v>24</v>
      </c>
      <c r="W5897" s="1" t="s">
        <v>24</v>
      </c>
      <c r="X5897" s="1">
        <v>1303</v>
      </c>
      <c r="Y5897" s="1">
        <v>1305</v>
      </c>
      <c r="Z5897" s="1">
        <v>1311</v>
      </c>
      <c r="AA5897" s="1">
        <v>2716</v>
      </c>
      <c r="AB5897" s="1">
        <v>1307</v>
      </c>
      <c r="AC5897" s="1">
        <v>2701</v>
      </c>
      <c r="AD5897" s="1" t="s">
        <v>24</v>
      </c>
      <c r="AE5897" s="1" t="s">
        <v>24</v>
      </c>
      <c r="AF5897" s="22"/>
    </row>
    <row r="5898" spans="1:32" x14ac:dyDescent="0.2">
      <c r="A5898" s="1">
        <v>59062</v>
      </c>
      <c r="B5898" s="1" t="s">
        <v>17489</v>
      </c>
      <c r="C5898" s="5" t="s">
        <v>0</v>
      </c>
      <c r="D5898" s="1" t="s">
        <v>17490</v>
      </c>
      <c r="E5898" s="1" t="s">
        <v>17491</v>
      </c>
      <c r="F5898" s="1" t="s">
        <v>28</v>
      </c>
      <c r="G5898" s="1" t="s">
        <v>29</v>
      </c>
      <c r="H5898" s="1" t="s">
        <v>30</v>
      </c>
      <c r="I5898" s="1" t="s">
        <v>16</v>
      </c>
      <c r="J5898" s="1">
        <v>1</v>
      </c>
      <c r="K5898" s="1">
        <v>3</v>
      </c>
      <c r="L5898" s="1" t="s">
        <v>31</v>
      </c>
      <c r="M5898" s="1" t="s">
        <v>18</v>
      </c>
      <c r="N5898" s="1" t="s">
        <v>18</v>
      </c>
      <c r="O5898" s="1">
        <v>3</v>
      </c>
      <c r="P5898" s="1">
        <v>6</v>
      </c>
      <c r="R5898" s="1" t="s">
        <v>19</v>
      </c>
      <c r="S5898" s="1" t="s">
        <v>20</v>
      </c>
      <c r="T5898" s="1" t="s">
        <v>21</v>
      </c>
      <c r="V5898" s="1" t="s">
        <v>24</v>
      </c>
      <c r="W5898" s="1" t="s">
        <v>24</v>
      </c>
      <c r="X5898" s="1">
        <v>2706</v>
      </c>
      <c r="Y5898" s="1">
        <v>2742</v>
      </c>
      <c r="Z5898" s="1">
        <v>3612</v>
      </c>
      <c r="AA5898" s="1" t="s">
        <v>24</v>
      </c>
      <c r="AB5898" s="1" t="s">
        <v>24</v>
      </c>
      <c r="AC5898" s="1" t="s">
        <v>24</v>
      </c>
      <c r="AD5898" s="1" t="s">
        <v>24</v>
      </c>
      <c r="AE5898" s="1" t="s">
        <v>24</v>
      </c>
      <c r="AF5898" s="22"/>
    </row>
    <row r="5899" spans="1:32" x14ac:dyDescent="0.2">
      <c r="A5899" s="1">
        <v>59063</v>
      </c>
      <c r="B5899" s="1" t="s">
        <v>17492</v>
      </c>
      <c r="C5899" s="5" t="s">
        <v>0</v>
      </c>
      <c r="E5899" s="1" t="s">
        <v>17493</v>
      </c>
      <c r="F5899" s="1" t="s">
        <v>28</v>
      </c>
      <c r="G5899" s="1" t="s">
        <v>29</v>
      </c>
      <c r="H5899" s="1" t="s">
        <v>30</v>
      </c>
      <c r="I5899" s="1" t="s">
        <v>16</v>
      </c>
      <c r="J5899" s="1">
        <v>1</v>
      </c>
      <c r="K5899" s="1">
        <v>3</v>
      </c>
      <c r="L5899" s="1" t="s">
        <v>31</v>
      </c>
      <c r="M5899" s="1" t="s">
        <v>18</v>
      </c>
      <c r="N5899" s="1" t="s">
        <v>18</v>
      </c>
      <c r="O5899" s="1">
        <v>2</v>
      </c>
      <c r="P5899" s="1">
        <v>7</v>
      </c>
      <c r="Q5899" s="7" t="s">
        <v>17633</v>
      </c>
      <c r="R5899" s="1" t="s">
        <v>19</v>
      </c>
      <c r="S5899" s="1" t="s">
        <v>20</v>
      </c>
      <c r="T5899" s="1" t="s">
        <v>21</v>
      </c>
      <c r="V5899" s="1" t="s">
        <v>24</v>
      </c>
      <c r="W5899" s="1" t="s">
        <v>24</v>
      </c>
      <c r="X5899" s="1">
        <v>2700</v>
      </c>
      <c r="Y5899" s="1" t="s">
        <v>24</v>
      </c>
      <c r="Z5899" s="1" t="s">
        <v>24</v>
      </c>
      <c r="AA5899" s="1" t="s">
        <v>24</v>
      </c>
      <c r="AB5899" s="1" t="s">
        <v>24</v>
      </c>
      <c r="AC5899" s="1" t="s">
        <v>24</v>
      </c>
      <c r="AD5899" s="1" t="s">
        <v>24</v>
      </c>
      <c r="AE5899" s="1" t="s">
        <v>24</v>
      </c>
      <c r="AF5899" s="22"/>
    </row>
    <row r="5900" spans="1:32" x14ac:dyDescent="0.2">
      <c r="A5900" s="1">
        <v>59064</v>
      </c>
      <c r="B5900" s="1" t="s">
        <v>17494</v>
      </c>
      <c r="C5900" s="5" t="s">
        <v>0</v>
      </c>
      <c r="D5900" s="1" t="s">
        <v>17495</v>
      </c>
      <c r="E5900" s="1" t="s">
        <v>17496</v>
      </c>
      <c r="F5900" s="1" t="s">
        <v>4337</v>
      </c>
      <c r="G5900" s="1" t="s">
        <v>4338</v>
      </c>
      <c r="H5900" s="1" t="s">
        <v>30</v>
      </c>
      <c r="I5900" s="1" t="s">
        <v>16</v>
      </c>
      <c r="J5900" s="1">
        <v>1</v>
      </c>
      <c r="K5900" s="1">
        <v>4</v>
      </c>
      <c r="L5900" s="1" t="s">
        <v>31</v>
      </c>
      <c r="M5900" s="1" t="s">
        <v>18</v>
      </c>
      <c r="N5900" s="1" t="s">
        <v>18</v>
      </c>
      <c r="O5900" s="1">
        <v>3</v>
      </c>
      <c r="P5900" s="1">
        <v>7</v>
      </c>
      <c r="Q5900" s="7" t="s">
        <v>17633</v>
      </c>
      <c r="R5900" s="1" t="s">
        <v>19</v>
      </c>
      <c r="S5900" s="1" t="s">
        <v>20</v>
      </c>
      <c r="T5900" s="1" t="s">
        <v>21</v>
      </c>
      <c r="V5900" s="1" t="s">
        <v>24</v>
      </c>
      <c r="W5900" s="1" t="s">
        <v>24</v>
      </c>
      <c r="X5900" s="1">
        <v>2716</v>
      </c>
      <c r="Y5900" s="1" t="s">
        <v>24</v>
      </c>
      <c r="Z5900" s="1" t="s">
        <v>24</v>
      </c>
      <c r="AA5900" s="1" t="s">
        <v>24</v>
      </c>
      <c r="AB5900" s="1" t="s">
        <v>24</v>
      </c>
      <c r="AC5900" s="1" t="s">
        <v>24</v>
      </c>
      <c r="AD5900" s="1" t="s">
        <v>24</v>
      </c>
      <c r="AE5900" s="1" t="s">
        <v>24</v>
      </c>
      <c r="AF5900" s="22"/>
    </row>
    <row r="5901" spans="1:32" x14ac:dyDescent="0.2">
      <c r="A5901" s="1">
        <v>59065</v>
      </c>
      <c r="B5901" s="1" t="s">
        <v>17497</v>
      </c>
      <c r="C5901" s="5" t="s">
        <v>0</v>
      </c>
      <c r="E5901" s="1" t="s">
        <v>17498</v>
      </c>
      <c r="F5901" s="1" t="s">
        <v>4152</v>
      </c>
      <c r="G5901" s="1" t="s">
        <v>4152</v>
      </c>
      <c r="H5901" s="1" t="s">
        <v>111</v>
      </c>
      <c r="I5901" s="1" t="s">
        <v>16</v>
      </c>
      <c r="J5901" s="1">
        <v>1</v>
      </c>
      <c r="K5901" s="1">
        <v>1</v>
      </c>
      <c r="L5901" s="1" t="s">
        <v>42</v>
      </c>
      <c r="M5901" s="1" t="s">
        <v>18</v>
      </c>
      <c r="N5901" s="1" t="s">
        <v>18</v>
      </c>
      <c r="O5901" s="1">
        <v>2</v>
      </c>
      <c r="P5901" s="1">
        <v>6</v>
      </c>
      <c r="R5901" s="1" t="s">
        <v>19</v>
      </c>
      <c r="S5901" s="1" t="s">
        <v>63</v>
      </c>
      <c r="T5901" s="1" t="s">
        <v>21</v>
      </c>
      <c r="V5901" s="1" t="s">
        <v>24</v>
      </c>
      <c r="W5901" s="1" t="s">
        <v>24</v>
      </c>
      <c r="X5901" s="1">
        <v>2700</v>
      </c>
      <c r="Y5901" s="1" t="s">
        <v>24</v>
      </c>
      <c r="Z5901" s="1" t="s">
        <v>24</v>
      </c>
      <c r="AA5901" s="1" t="s">
        <v>24</v>
      </c>
      <c r="AB5901" s="1" t="s">
        <v>24</v>
      </c>
      <c r="AC5901" s="1" t="s">
        <v>24</v>
      </c>
      <c r="AD5901" s="1" t="s">
        <v>24</v>
      </c>
      <c r="AE5901" s="1" t="s">
        <v>24</v>
      </c>
      <c r="AF5901" s="22"/>
    </row>
    <row r="5902" spans="1:32" x14ac:dyDescent="0.2">
      <c r="A5902" s="1">
        <v>59066</v>
      </c>
      <c r="B5902" s="1" t="s">
        <v>17499</v>
      </c>
      <c r="C5902" s="5" t="s">
        <v>0</v>
      </c>
      <c r="E5902" s="1" t="s">
        <v>17500</v>
      </c>
      <c r="F5902" s="1" t="s">
        <v>4152</v>
      </c>
      <c r="G5902" s="1" t="s">
        <v>4152</v>
      </c>
      <c r="H5902" s="1" t="s">
        <v>111</v>
      </c>
      <c r="I5902" s="1" t="s">
        <v>16</v>
      </c>
      <c r="J5902" s="1">
        <v>1</v>
      </c>
      <c r="K5902" s="1">
        <v>1</v>
      </c>
      <c r="L5902" s="1" t="s">
        <v>42</v>
      </c>
      <c r="M5902" s="1" t="s">
        <v>18</v>
      </c>
      <c r="N5902" s="1" t="s">
        <v>18</v>
      </c>
      <c r="O5902" s="1">
        <v>3</v>
      </c>
      <c r="P5902" s="1">
        <v>6</v>
      </c>
      <c r="R5902" s="1" t="s">
        <v>19</v>
      </c>
      <c r="S5902" s="1" t="s">
        <v>63</v>
      </c>
      <c r="T5902" s="1" t="s">
        <v>21</v>
      </c>
      <c r="V5902" s="1" t="s">
        <v>24</v>
      </c>
      <c r="W5902" s="1" t="s">
        <v>24</v>
      </c>
      <c r="X5902" s="1">
        <v>2400</v>
      </c>
      <c r="Y5902" s="1">
        <v>2725</v>
      </c>
      <c r="Z5902" s="1">
        <v>2726</v>
      </c>
      <c r="AA5902" s="1">
        <v>2723</v>
      </c>
      <c r="AB5902" s="1">
        <v>1312</v>
      </c>
      <c r="AC5902" s="1" t="s">
        <v>24</v>
      </c>
      <c r="AD5902" s="1" t="s">
        <v>24</v>
      </c>
      <c r="AE5902" s="1" t="s">
        <v>24</v>
      </c>
      <c r="AF5902" s="22"/>
    </row>
    <row r="5903" spans="1:32" x14ac:dyDescent="0.2">
      <c r="A5903" s="1">
        <v>59067</v>
      </c>
      <c r="B5903" s="1" t="s">
        <v>17501</v>
      </c>
      <c r="C5903" s="5" t="s">
        <v>0</v>
      </c>
      <c r="E5903" s="1" t="s">
        <v>17502</v>
      </c>
      <c r="F5903" s="1" t="s">
        <v>4152</v>
      </c>
      <c r="G5903" s="1" t="s">
        <v>4152</v>
      </c>
      <c r="H5903" s="1" t="s">
        <v>111</v>
      </c>
      <c r="I5903" s="1" t="s">
        <v>16</v>
      </c>
      <c r="J5903" s="1">
        <v>1</v>
      </c>
      <c r="K5903" s="1">
        <v>1</v>
      </c>
      <c r="L5903" s="1" t="s">
        <v>42</v>
      </c>
      <c r="M5903" s="1" t="s">
        <v>18</v>
      </c>
      <c r="N5903" s="1" t="s">
        <v>18</v>
      </c>
      <c r="O5903" s="1">
        <v>3</v>
      </c>
      <c r="P5903" s="1">
        <v>6</v>
      </c>
      <c r="R5903" s="1" t="s">
        <v>19</v>
      </c>
      <c r="S5903" s="1" t="s">
        <v>63</v>
      </c>
      <c r="T5903" s="1" t="s">
        <v>21</v>
      </c>
      <c r="V5903" s="1" t="s">
        <v>24</v>
      </c>
      <c r="W5903" s="1" t="s">
        <v>24</v>
      </c>
      <c r="X5903" s="1">
        <v>2403</v>
      </c>
      <c r="Y5903" s="1">
        <v>2725</v>
      </c>
      <c r="Z5903" s="1">
        <v>2736</v>
      </c>
      <c r="AA5903" s="1">
        <v>3002</v>
      </c>
      <c r="AB5903" s="1">
        <v>3004</v>
      </c>
      <c r="AC5903" s="1" t="s">
        <v>24</v>
      </c>
      <c r="AD5903" s="1" t="s">
        <v>24</v>
      </c>
      <c r="AE5903" s="1" t="s">
        <v>24</v>
      </c>
      <c r="AF5903" s="22"/>
    </row>
    <row r="5904" spans="1:32" x14ac:dyDescent="0.2">
      <c r="A5904" s="1">
        <v>59068</v>
      </c>
      <c r="B5904" s="1" t="s">
        <v>17503</v>
      </c>
      <c r="C5904" s="5" t="s">
        <v>0</v>
      </c>
      <c r="E5904" s="1" t="s">
        <v>17504</v>
      </c>
      <c r="F5904" s="1" t="s">
        <v>17505</v>
      </c>
      <c r="G5904" s="1" t="s">
        <v>17505</v>
      </c>
      <c r="H5904" s="1" t="s">
        <v>249</v>
      </c>
      <c r="I5904" s="1" t="s">
        <v>16</v>
      </c>
      <c r="J5904" s="1">
        <v>0</v>
      </c>
      <c r="K5904" s="1">
        <v>0</v>
      </c>
      <c r="L5904" s="1" t="s">
        <v>42</v>
      </c>
      <c r="M5904" s="1" t="s">
        <v>250</v>
      </c>
      <c r="N5904" s="1" t="s">
        <v>1463</v>
      </c>
      <c r="O5904" s="1">
        <v>2</v>
      </c>
      <c r="P5904" s="1">
        <v>5</v>
      </c>
      <c r="R5904" s="1" t="s">
        <v>19</v>
      </c>
      <c r="S5904" s="1" t="s">
        <v>20</v>
      </c>
      <c r="T5904" s="1" t="s">
        <v>21</v>
      </c>
      <c r="V5904" s="1" t="s">
        <v>24</v>
      </c>
      <c r="W5904" s="1" t="s">
        <v>24</v>
      </c>
      <c r="X5904" s="1">
        <v>3000</v>
      </c>
      <c r="Y5904" s="1" t="s">
        <v>24</v>
      </c>
      <c r="Z5904" s="1" t="s">
        <v>24</v>
      </c>
      <c r="AA5904" s="1" t="s">
        <v>24</v>
      </c>
      <c r="AB5904" s="1" t="s">
        <v>24</v>
      </c>
      <c r="AC5904" s="1" t="s">
        <v>24</v>
      </c>
      <c r="AD5904" s="1" t="s">
        <v>24</v>
      </c>
      <c r="AE5904" s="1" t="s">
        <v>24</v>
      </c>
      <c r="AF5904" s="22"/>
    </row>
    <row r="5905" spans="1:32" x14ac:dyDescent="0.2">
      <c r="A5905" s="1">
        <v>59069</v>
      </c>
      <c r="B5905" s="1" t="s">
        <v>17506</v>
      </c>
      <c r="C5905" s="5" t="s">
        <v>0</v>
      </c>
      <c r="D5905" s="1" t="s">
        <v>17507</v>
      </c>
      <c r="F5905" s="1" t="s">
        <v>17508</v>
      </c>
      <c r="G5905" s="1" t="s">
        <v>17508</v>
      </c>
      <c r="H5905" s="1" t="s">
        <v>9125</v>
      </c>
      <c r="I5905" s="1" t="s">
        <v>16</v>
      </c>
      <c r="J5905" s="1">
        <v>1</v>
      </c>
      <c r="K5905" s="1">
        <v>2</v>
      </c>
      <c r="L5905" s="1" t="s">
        <v>42</v>
      </c>
      <c r="M5905" s="1" t="s">
        <v>17509</v>
      </c>
      <c r="N5905" s="1" t="s">
        <v>17510</v>
      </c>
      <c r="O5905" s="1">
        <v>2</v>
      </c>
      <c r="P5905" s="1">
        <v>5</v>
      </c>
      <c r="R5905" s="1" t="s">
        <v>19</v>
      </c>
      <c r="S5905" s="1" t="s">
        <v>20</v>
      </c>
      <c r="T5905" s="1" t="s">
        <v>21</v>
      </c>
      <c r="V5905" s="1" t="s">
        <v>24</v>
      </c>
      <c r="W5905" s="1" t="s">
        <v>24</v>
      </c>
      <c r="X5905" s="1">
        <v>2728</v>
      </c>
      <c r="Y5905" s="1">
        <v>2808</v>
      </c>
      <c r="Z5905" s="1" t="s">
        <v>24</v>
      </c>
      <c r="AA5905" s="1" t="s">
        <v>24</v>
      </c>
      <c r="AB5905" s="1" t="s">
        <v>24</v>
      </c>
      <c r="AC5905" s="1" t="s">
        <v>24</v>
      </c>
      <c r="AD5905" s="1" t="s">
        <v>24</v>
      </c>
      <c r="AE5905" s="1" t="s">
        <v>24</v>
      </c>
      <c r="AF5905" s="22"/>
    </row>
    <row r="5906" spans="1:32" x14ac:dyDescent="0.2">
      <c r="A5906" s="1">
        <v>59070</v>
      </c>
      <c r="B5906" s="1" t="s">
        <v>17511</v>
      </c>
      <c r="C5906" s="5" t="s">
        <v>0</v>
      </c>
      <c r="D5906" s="1" t="s">
        <v>17512</v>
      </c>
      <c r="E5906" s="1" t="s">
        <v>17513</v>
      </c>
      <c r="F5906" s="1" t="s">
        <v>17514</v>
      </c>
      <c r="G5906" s="1" t="s">
        <v>17514</v>
      </c>
      <c r="H5906" s="1" t="s">
        <v>37</v>
      </c>
      <c r="I5906" s="1" t="s">
        <v>16</v>
      </c>
      <c r="J5906" s="1">
        <v>1</v>
      </c>
      <c r="K5906" s="1">
        <v>4</v>
      </c>
      <c r="L5906" s="1" t="s">
        <v>42</v>
      </c>
      <c r="M5906" s="1" t="s">
        <v>18</v>
      </c>
      <c r="N5906" s="1" t="s">
        <v>18</v>
      </c>
      <c r="O5906" s="1">
        <v>3</v>
      </c>
      <c r="P5906" s="1">
        <v>6</v>
      </c>
      <c r="R5906" s="1" t="s">
        <v>19</v>
      </c>
      <c r="S5906" s="1" t="s">
        <v>20</v>
      </c>
      <c r="T5906" s="1" t="s">
        <v>21</v>
      </c>
      <c r="V5906" s="1" t="s">
        <v>24</v>
      </c>
      <c r="W5906" s="1" t="s">
        <v>24</v>
      </c>
      <c r="X5906" s="1">
        <v>2730</v>
      </c>
      <c r="Y5906" s="1">
        <v>1306</v>
      </c>
      <c r="Z5906" s="1">
        <v>2734</v>
      </c>
      <c r="AA5906" s="1" t="s">
        <v>24</v>
      </c>
      <c r="AB5906" s="1" t="s">
        <v>24</v>
      </c>
      <c r="AC5906" s="1" t="s">
        <v>24</v>
      </c>
      <c r="AD5906" s="1" t="s">
        <v>24</v>
      </c>
      <c r="AE5906" s="1" t="s">
        <v>24</v>
      </c>
      <c r="AF5906" s="22"/>
    </row>
    <row r="5907" spans="1:32" x14ac:dyDescent="0.2">
      <c r="A5907" s="1">
        <v>59071</v>
      </c>
      <c r="B5907" s="1" t="s">
        <v>17515</v>
      </c>
      <c r="C5907" s="5" t="s">
        <v>0</v>
      </c>
      <c r="D5907" s="1" t="s">
        <v>17516</v>
      </c>
      <c r="F5907" s="1" t="s">
        <v>17141</v>
      </c>
      <c r="G5907" s="1" t="s">
        <v>17141</v>
      </c>
      <c r="H5907" s="1" t="s">
        <v>8766</v>
      </c>
      <c r="I5907" s="1" t="s">
        <v>16</v>
      </c>
      <c r="J5907" s="1">
        <v>1</v>
      </c>
      <c r="K5907" s="1">
        <v>1</v>
      </c>
      <c r="L5907" s="1" t="s">
        <v>42</v>
      </c>
      <c r="M5907" s="1" t="s">
        <v>18</v>
      </c>
      <c r="N5907" s="1" t="s">
        <v>18</v>
      </c>
      <c r="O5907" s="1">
        <v>2</v>
      </c>
      <c r="P5907" s="1">
        <v>6</v>
      </c>
      <c r="R5907" s="1" t="s">
        <v>19</v>
      </c>
      <c r="S5907" s="1" t="s">
        <v>63</v>
      </c>
      <c r="T5907" s="1" t="s">
        <v>21</v>
      </c>
      <c r="V5907" s="1" t="s">
        <v>24</v>
      </c>
      <c r="W5907" s="1" t="s">
        <v>24</v>
      </c>
      <c r="X5907" s="1">
        <v>2700</v>
      </c>
      <c r="Y5907" s="1" t="s">
        <v>24</v>
      </c>
      <c r="Z5907" s="1" t="s">
        <v>24</v>
      </c>
      <c r="AA5907" s="1" t="s">
        <v>24</v>
      </c>
      <c r="AB5907" s="1" t="s">
        <v>24</v>
      </c>
      <c r="AC5907" s="1" t="s">
        <v>24</v>
      </c>
      <c r="AD5907" s="1" t="s">
        <v>24</v>
      </c>
      <c r="AE5907" s="1" t="s">
        <v>24</v>
      </c>
      <c r="AF5907" s="22" t="s">
        <v>17678</v>
      </c>
    </row>
    <row r="5908" spans="1:32" x14ac:dyDescent="0.2">
      <c r="A5908" s="1">
        <v>59072</v>
      </c>
      <c r="B5908" s="1" t="s">
        <v>17517</v>
      </c>
      <c r="C5908" s="5" t="s">
        <v>0</v>
      </c>
      <c r="D5908" s="1" t="s">
        <v>17518</v>
      </c>
      <c r="F5908" s="1" t="s">
        <v>17141</v>
      </c>
      <c r="G5908" s="1" t="s">
        <v>17141</v>
      </c>
      <c r="H5908" s="1" t="s">
        <v>8766</v>
      </c>
      <c r="I5908" s="1" t="s">
        <v>16</v>
      </c>
      <c r="J5908" s="1">
        <v>1</v>
      </c>
      <c r="K5908" s="1">
        <v>1</v>
      </c>
      <c r="L5908" s="1" t="s">
        <v>42</v>
      </c>
      <c r="M5908" s="1" t="s">
        <v>18</v>
      </c>
      <c r="N5908" s="1" t="s">
        <v>18</v>
      </c>
      <c r="O5908" s="1">
        <v>2</v>
      </c>
      <c r="P5908" s="1">
        <v>6</v>
      </c>
      <c r="R5908" s="1" t="s">
        <v>19</v>
      </c>
      <c r="S5908" s="1" t="s">
        <v>63</v>
      </c>
      <c r="T5908" s="1" t="s">
        <v>21</v>
      </c>
      <c r="V5908" s="1" t="s">
        <v>24</v>
      </c>
      <c r="W5908" s="1" t="s">
        <v>24</v>
      </c>
      <c r="X5908" s="1">
        <v>2739</v>
      </c>
      <c r="Y5908" s="1" t="s">
        <v>24</v>
      </c>
      <c r="Z5908" s="1" t="s">
        <v>24</v>
      </c>
      <c r="AA5908" s="1" t="s">
        <v>24</v>
      </c>
      <c r="AB5908" s="1" t="s">
        <v>24</v>
      </c>
      <c r="AC5908" s="1" t="s">
        <v>24</v>
      </c>
      <c r="AD5908" s="1" t="s">
        <v>24</v>
      </c>
      <c r="AE5908" s="1" t="s">
        <v>24</v>
      </c>
      <c r="AF5908" s="22" t="s">
        <v>17678</v>
      </c>
    </row>
    <row r="5909" spans="1:32" x14ac:dyDescent="0.2">
      <c r="A5909" s="1">
        <v>59073</v>
      </c>
      <c r="B5909" s="1" t="s">
        <v>17519</v>
      </c>
      <c r="C5909" s="5" t="s">
        <v>0</v>
      </c>
      <c r="E5909" s="1" t="s">
        <v>17520</v>
      </c>
      <c r="F5909" s="1" t="s">
        <v>17141</v>
      </c>
      <c r="G5909" s="1" t="s">
        <v>17141</v>
      </c>
      <c r="H5909" s="1" t="s">
        <v>8766</v>
      </c>
      <c r="I5909" s="1" t="s">
        <v>16</v>
      </c>
      <c r="J5909" s="1">
        <v>1</v>
      </c>
      <c r="K5909" s="1">
        <v>1</v>
      </c>
      <c r="L5909" s="1" t="s">
        <v>42</v>
      </c>
      <c r="M5909" s="1" t="s">
        <v>18</v>
      </c>
      <c r="N5909" s="1" t="s">
        <v>18</v>
      </c>
      <c r="O5909" s="1">
        <v>2</v>
      </c>
      <c r="P5909" s="1">
        <v>6</v>
      </c>
      <c r="R5909" s="1" t="s">
        <v>19</v>
      </c>
      <c r="S5909" s="1" t="s">
        <v>63</v>
      </c>
      <c r="T5909" s="1" t="s">
        <v>21</v>
      </c>
      <c r="V5909" s="1" t="s">
        <v>24</v>
      </c>
      <c r="W5909" s="1" t="s">
        <v>24</v>
      </c>
      <c r="X5909" s="1">
        <v>2739</v>
      </c>
      <c r="Y5909" s="1" t="s">
        <v>24</v>
      </c>
      <c r="Z5909" s="1" t="s">
        <v>24</v>
      </c>
      <c r="AA5909" s="1" t="s">
        <v>24</v>
      </c>
      <c r="AB5909" s="1" t="s">
        <v>24</v>
      </c>
      <c r="AC5909" s="1" t="s">
        <v>24</v>
      </c>
      <c r="AD5909" s="1" t="s">
        <v>24</v>
      </c>
      <c r="AE5909" s="1" t="s">
        <v>24</v>
      </c>
      <c r="AF5909" s="22"/>
    </row>
    <row r="5910" spans="1:32" x14ac:dyDescent="0.2">
      <c r="A5910" s="1">
        <v>59074</v>
      </c>
      <c r="B5910" s="1" t="s">
        <v>17521</v>
      </c>
      <c r="C5910" s="5" t="s">
        <v>0</v>
      </c>
      <c r="E5910" s="1" t="s">
        <v>17522</v>
      </c>
      <c r="F5910" s="1" t="s">
        <v>17523</v>
      </c>
      <c r="G5910" s="1" t="s">
        <v>17523</v>
      </c>
      <c r="H5910" s="1" t="s">
        <v>4064</v>
      </c>
      <c r="I5910" s="1" t="s">
        <v>16</v>
      </c>
      <c r="J5910" s="1">
        <v>1</v>
      </c>
      <c r="K5910" s="1">
        <v>2</v>
      </c>
      <c r="L5910" s="1" t="s">
        <v>42</v>
      </c>
      <c r="M5910" s="1" t="s">
        <v>18</v>
      </c>
      <c r="N5910" s="1" t="s">
        <v>18</v>
      </c>
      <c r="O5910" s="1">
        <v>3</v>
      </c>
      <c r="P5910" s="1">
        <v>6</v>
      </c>
      <c r="R5910" s="1" t="s">
        <v>19</v>
      </c>
      <c r="S5910" s="1" t="s">
        <v>20</v>
      </c>
      <c r="T5910" s="1" t="s">
        <v>21</v>
      </c>
      <c r="V5910" s="1" t="s">
        <v>24</v>
      </c>
      <c r="W5910" s="1" t="s">
        <v>24</v>
      </c>
      <c r="X5910" s="1">
        <v>2705</v>
      </c>
      <c r="Y5910" s="1" t="s">
        <v>24</v>
      </c>
      <c r="Z5910" s="1" t="s">
        <v>24</v>
      </c>
      <c r="AA5910" s="1" t="s">
        <v>24</v>
      </c>
      <c r="AB5910" s="1" t="s">
        <v>24</v>
      </c>
      <c r="AC5910" s="1" t="s">
        <v>24</v>
      </c>
      <c r="AD5910" s="1" t="s">
        <v>24</v>
      </c>
      <c r="AE5910" s="1" t="s">
        <v>24</v>
      </c>
      <c r="AF5910" s="22"/>
    </row>
    <row r="5911" spans="1:32" x14ac:dyDescent="0.2">
      <c r="A5911" s="1">
        <v>59075</v>
      </c>
      <c r="B5911" s="1" t="s">
        <v>17524</v>
      </c>
      <c r="C5911" s="5" t="s">
        <v>0</v>
      </c>
      <c r="D5911" s="1" t="s">
        <v>17525</v>
      </c>
      <c r="E5911" s="1" t="s">
        <v>17526</v>
      </c>
      <c r="F5911" s="1" t="s">
        <v>109</v>
      </c>
      <c r="G5911" s="1" t="s">
        <v>110</v>
      </c>
      <c r="H5911" s="1" t="s">
        <v>111</v>
      </c>
      <c r="I5911" s="1" t="s">
        <v>16</v>
      </c>
      <c r="J5911" s="1">
        <v>1</v>
      </c>
      <c r="K5911" s="1">
        <v>4</v>
      </c>
      <c r="L5911" s="1" t="s">
        <v>31</v>
      </c>
      <c r="M5911" s="1" t="s">
        <v>18</v>
      </c>
      <c r="N5911" s="1" t="s">
        <v>18</v>
      </c>
      <c r="O5911" s="1">
        <v>3</v>
      </c>
      <c r="P5911" s="1">
        <v>7</v>
      </c>
      <c r="Q5911" s="7" t="s">
        <v>17633</v>
      </c>
      <c r="R5911" s="1" t="s">
        <v>19</v>
      </c>
      <c r="S5911" s="1" t="s">
        <v>20</v>
      </c>
      <c r="T5911" s="1" t="s">
        <v>21</v>
      </c>
      <c r="V5911" s="1" t="s">
        <v>24</v>
      </c>
      <c r="W5911" s="1" t="s">
        <v>24</v>
      </c>
      <c r="X5911" s="1">
        <v>2712</v>
      </c>
      <c r="Y5911" s="1" t="s">
        <v>24</v>
      </c>
      <c r="Z5911" s="1" t="s">
        <v>24</v>
      </c>
      <c r="AA5911" s="1" t="s">
        <v>24</v>
      </c>
      <c r="AB5911" s="1" t="s">
        <v>24</v>
      </c>
      <c r="AC5911" s="1" t="s">
        <v>24</v>
      </c>
      <c r="AD5911" s="1" t="s">
        <v>24</v>
      </c>
      <c r="AE5911" s="1" t="s">
        <v>24</v>
      </c>
      <c r="AF5911" s="22"/>
    </row>
    <row r="5912" spans="1:32" x14ac:dyDescent="0.2">
      <c r="A5912" s="1">
        <v>59076</v>
      </c>
      <c r="B5912" s="1" t="s">
        <v>17527</v>
      </c>
      <c r="C5912" s="5" t="s">
        <v>0</v>
      </c>
      <c r="D5912" s="1" t="s">
        <v>17528</v>
      </c>
      <c r="E5912" s="1" t="s">
        <v>17529</v>
      </c>
      <c r="F5912" s="1" t="s">
        <v>109</v>
      </c>
      <c r="G5912" s="1" t="s">
        <v>110</v>
      </c>
      <c r="H5912" s="1" t="s">
        <v>111</v>
      </c>
      <c r="I5912" s="1" t="s">
        <v>16</v>
      </c>
      <c r="J5912" s="1">
        <v>1</v>
      </c>
      <c r="K5912" s="1">
        <v>4</v>
      </c>
      <c r="L5912" s="1" t="s">
        <v>31</v>
      </c>
      <c r="M5912" s="1" t="s">
        <v>18</v>
      </c>
      <c r="N5912" s="1" t="s">
        <v>18</v>
      </c>
      <c r="O5912" s="1">
        <v>3</v>
      </c>
      <c r="P5912" s="1">
        <v>7</v>
      </c>
      <c r="Q5912" s="7" t="s">
        <v>17633</v>
      </c>
      <c r="R5912" s="1" t="s">
        <v>19</v>
      </c>
      <c r="S5912" s="1" t="s">
        <v>20</v>
      </c>
      <c r="T5912" s="1" t="s">
        <v>21</v>
      </c>
      <c r="V5912" s="1" t="s">
        <v>24</v>
      </c>
      <c r="W5912" s="1" t="s">
        <v>24</v>
      </c>
      <c r="X5912" s="1">
        <v>2705</v>
      </c>
      <c r="Y5912" s="1">
        <v>2728</v>
      </c>
      <c r="Z5912" s="1">
        <v>2746</v>
      </c>
      <c r="AA5912" s="1" t="s">
        <v>24</v>
      </c>
      <c r="AB5912" s="1" t="s">
        <v>24</v>
      </c>
      <c r="AC5912" s="1" t="s">
        <v>24</v>
      </c>
      <c r="AD5912" s="1" t="s">
        <v>24</v>
      </c>
      <c r="AE5912" s="1" t="s">
        <v>24</v>
      </c>
      <c r="AF5912" s="22"/>
    </row>
    <row r="5913" spans="1:32" x14ac:dyDescent="0.2">
      <c r="A5913" s="1">
        <v>59077</v>
      </c>
      <c r="B5913" s="1" t="s">
        <v>17530</v>
      </c>
      <c r="C5913" s="5" t="s">
        <v>50553</v>
      </c>
      <c r="D5913" s="1" t="s">
        <v>17531</v>
      </c>
      <c r="E5913" s="1" t="s">
        <v>17532</v>
      </c>
      <c r="F5913" s="1" t="s">
        <v>109</v>
      </c>
      <c r="G5913" s="1" t="s">
        <v>110</v>
      </c>
      <c r="H5913" s="1" t="s">
        <v>111</v>
      </c>
      <c r="I5913" s="1" t="s">
        <v>16</v>
      </c>
      <c r="J5913" s="1">
        <v>1</v>
      </c>
      <c r="K5913" s="1">
        <v>4</v>
      </c>
      <c r="L5913" s="1" t="s">
        <v>31</v>
      </c>
      <c r="M5913" s="1" t="s">
        <v>18</v>
      </c>
      <c r="N5913" s="1" t="s">
        <v>18</v>
      </c>
      <c r="O5913" s="1">
        <v>3</v>
      </c>
      <c r="P5913" s="1">
        <v>7</v>
      </c>
      <c r="Q5913" s="7" t="s">
        <v>17633</v>
      </c>
      <c r="R5913" s="1" t="s">
        <v>19</v>
      </c>
      <c r="S5913" s="1" t="s">
        <v>20</v>
      </c>
      <c r="T5913" s="1" t="s">
        <v>21</v>
      </c>
      <c r="V5913" s="1" t="s">
        <v>24</v>
      </c>
      <c r="W5913" s="1" t="s">
        <v>24</v>
      </c>
      <c r="X5913" s="1">
        <v>2721</v>
      </c>
      <c r="Y5913" s="1">
        <v>2730</v>
      </c>
      <c r="Z5913" s="1" t="s">
        <v>24</v>
      </c>
      <c r="AA5913" s="1" t="s">
        <v>24</v>
      </c>
      <c r="AB5913" s="1" t="s">
        <v>24</v>
      </c>
      <c r="AC5913" s="1" t="s">
        <v>24</v>
      </c>
      <c r="AD5913" s="1" t="s">
        <v>24</v>
      </c>
      <c r="AE5913" s="1" t="s">
        <v>24</v>
      </c>
      <c r="AF5913" s="22"/>
    </row>
    <row r="5914" spans="1:32" x14ac:dyDescent="0.2">
      <c r="A5914" s="1">
        <v>59078</v>
      </c>
      <c r="B5914" s="1" t="s">
        <v>17533</v>
      </c>
      <c r="C5914" s="5" t="s">
        <v>0</v>
      </c>
      <c r="E5914" s="1" t="s">
        <v>17534</v>
      </c>
      <c r="F5914" s="1" t="s">
        <v>109</v>
      </c>
      <c r="G5914" s="1" t="s">
        <v>110</v>
      </c>
      <c r="H5914" s="1" t="s">
        <v>111</v>
      </c>
      <c r="I5914" s="1" t="s">
        <v>16</v>
      </c>
      <c r="J5914" s="1">
        <v>1</v>
      </c>
      <c r="K5914" s="1">
        <v>1</v>
      </c>
      <c r="L5914" s="1" t="s">
        <v>31</v>
      </c>
      <c r="M5914" s="1" t="s">
        <v>18</v>
      </c>
      <c r="N5914" s="1" t="s">
        <v>18</v>
      </c>
      <c r="O5914" s="1">
        <v>3</v>
      </c>
      <c r="P5914" s="1">
        <v>7</v>
      </c>
      <c r="Q5914" s="7" t="s">
        <v>17633</v>
      </c>
      <c r="R5914" s="1" t="s">
        <v>19</v>
      </c>
      <c r="S5914" s="1" t="s">
        <v>20</v>
      </c>
      <c r="T5914" s="1" t="s">
        <v>21</v>
      </c>
      <c r="V5914" s="1" t="s">
        <v>24</v>
      </c>
      <c r="W5914" s="1" t="s">
        <v>24</v>
      </c>
      <c r="X5914" s="1">
        <v>1303</v>
      </c>
      <c r="Y5914" s="1">
        <v>1311</v>
      </c>
      <c r="Z5914" s="1" t="s">
        <v>24</v>
      </c>
      <c r="AA5914" s="1" t="s">
        <v>24</v>
      </c>
      <c r="AB5914" s="1" t="s">
        <v>24</v>
      </c>
      <c r="AC5914" s="1" t="s">
        <v>24</v>
      </c>
      <c r="AD5914" s="1" t="s">
        <v>24</v>
      </c>
      <c r="AE5914" s="1" t="s">
        <v>24</v>
      </c>
      <c r="AF5914" s="22"/>
    </row>
    <row r="5915" spans="1:32" x14ac:dyDescent="0.2">
      <c r="A5915" s="1">
        <v>59079</v>
      </c>
      <c r="B5915" s="1" t="s">
        <v>17535</v>
      </c>
      <c r="C5915" s="5" t="s">
        <v>0</v>
      </c>
      <c r="D5915" s="1" t="s">
        <v>17536</v>
      </c>
      <c r="E5915" s="1" t="s">
        <v>17537</v>
      </c>
      <c r="F5915" s="1" t="s">
        <v>109</v>
      </c>
      <c r="G5915" s="1" t="s">
        <v>110</v>
      </c>
      <c r="H5915" s="1" t="s">
        <v>111</v>
      </c>
      <c r="I5915" s="1" t="s">
        <v>16</v>
      </c>
      <c r="J5915" s="1">
        <v>1</v>
      </c>
      <c r="K5915" s="1">
        <v>2</v>
      </c>
      <c r="L5915" s="1" t="s">
        <v>31</v>
      </c>
      <c r="M5915" s="1" t="s">
        <v>18</v>
      </c>
      <c r="N5915" s="1" t="s">
        <v>18</v>
      </c>
      <c r="O5915" s="1">
        <v>3</v>
      </c>
      <c r="P5915" s="1">
        <v>7</v>
      </c>
      <c r="Q5915" s="7" t="s">
        <v>17633</v>
      </c>
      <c r="R5915" s="1" t="s">
        <v>19</v>
      </c>
      <c r="S5915" s="1" t="s">
        <v>20</v>
      </c>
      <c r="T5915" s="1" t="s">
        <v>21</v>
      </c>
      <c r="V5915" s="1" t="s">
        <v>24</v>
      </c>
      <c r="W5915" s="1" t="s">
        <v>24</v>
      </c>
      <c r="X5915" s="1">
        <v>2705</v>
      </c>
      <c r="Y5915" s="1" t="s">
        <v>24</v>
      </c>
      <c r="Z5915" s="1" t="s">
        <v>24</v>
      </c>
      <c r="AA5915" s="1" t="s">
        <v>24</v>
      </c>
      <c r="AB5915" s="1" t="s">
        <v>24</v>
      </c>
      <c r="AC5915" s="1" t="s">
        <v>24</v>
      </c>
      <c r="AD5915" s="1" t="s">
        <v>24</v>
      </c>
      <c r="AE5915" s="1" t="s">
        <v>24</v>
      </c>
      <c r="AF5915" s="22"/>
    </row>
    <row r="5916" spans="1:32" x14ac:dyDescent="0.2">
      <c r="A5916" s="1">
        <v>59080</v>
      </c>
      <c r="B5916" s="1" t="s">
        <v>17538</v>
      </c>
      <c r="C5916" s="5" t="s">
        <v>0</v>
      </c>
      <c r="E5916" s="1" t="s">
        <v>17539</v>
      </c>
      <c r="F5916" s="1" t="s">
        <v>97</v>
      </c>
      <c r="G5916" s="1" t="s">
        <v>98</v>
      </c>
      <c r="H5916" s="1" t="s">
        <v>37</v>
      </c>
      <c r="I5916" s="1" t="s">
        <v>16</v>
      </c>
      <c r="J5916" s="1">
        <v>1</v>
      </c>
      <c r="K5916" s="1">
        <v>1</v>
      </c>
      <c r="L5916" s="1" t="s">
        <v>31</v>
      </c>
      <c r="M5916" s="1" t="s">
        <v>18</v>
      </c>
      <c r="N5916" s="1" t="s">
        <v>18</v>
      </c>
      <c r="O5916" s="1">
        <v>2</v>
      </c>
      <c r="P5916" s="1">
        <v>7</v>
      </c>
      <c r="Q5916" s="7" t="s">
        <v>17633</v>
      </c>
      <c r="R5916" s="1" t="s">
        <v>19</v>
      </c>
      <c r="S5916" s="1" t="s">
        <v>63</v>
      </c>
      <c r="T5916" s="1" t="s">
        <v>21</v>
      </c>
      <c r="V5916" s="1" t="s">
        <v>24</v>
      </c>
      <c r="W5916" s="1" t="s">
        <v>24</v>
      </c>
      <c r="X5916" s="1">
        <v>2741</v>
      </c>
      <c r="Y5916" s="1">
        <v>3614</v>
      </c>
      <c r="Z5916" s="1" t="s">
        <v>24</v>
      </c>
      <c r="AA5916" s="1" t="s">
        <v>24</v>
      </c>
      <c r="AB5916" s="1" t="s">
        <v>24</v>
      </c>
      <c r="AC5916" s="1" t="s">
        <v>24</v>
      </c>
      <c r="AD5916" s="1" t="s">
        <v>24</v>
      </c>
      <c r="AE5916" s="1" t="s">
        <v>24</v>
      </c>
      <c r="AF5916" s="22"/>
    </row>
    <row r="5917" spans="1:32" x14ac:dyDescent="0.2">
      <c r="A5917" s="1">
        <v>59081</v>
      </c>
      <c r="B5917" s="1" t="s">
        <v>17540</v>
      </c>
      <c r="C5917" s="5" t="s">
        <v>0</v>
      </c>
      <c r="E5917" s="1" t="s">
        <v>17541</v>
      </c>
      <c r="F5917" s="1" t="s">
        <v>97</v>
      </c>
      <c r="G5917" s="1" t="s">
        <v>98</v>
      </c>
      <c r="H5917" s="1" t="s">
        <v>37</v>
      </c>
      <c r="I5917" s="1" t="s">
        <v>16</v>
      </c>
      <c r="J5917" s="1">
        <v>1</v>
      </c>
      <c r="K5917" s="1">
        <v>1</v>
      </c>
      <c r="L5917" s="1" t="s">
        <v>31</v>
      </c>
      <c r="M5917" s="1" t="s">
        <v>18</v>
      </c>
      <c r="N5917" s="1" t="s">
        <v>18</v>
      </c>
      <c r="O5917" s="1">
        <v>3</v>
      </c>
      <c r="P5917" s="1">
        <v>7</v>
      </c>
      <c r="Q5917" s="7" t="s">
        <v>17633</v>
      </c>
      <c r="R5917" s="1" t="s">
        <v>19</v>
      </c>
      <c r="S5917" s="1" t="s">
        <v>63</v>
      </c>
      <c r="T5917" s="1" t="s">
        <v>21</v>
      </c>
      <c r="V5917" s="1" t="s">
        <v>24</v>
      </c>
      <c r="W5917" s="1" t="s">
        <v>24</v>
      </c>
      <c r="X5917" s="1">
        <v>2705</v>
      </c>
      <c r="Y5917" s="1" t="s">
        <v>24</v>
      </c>
      <c r="Z5917" s="1" t="s">
        <v>24</v>
      </c>
      <c r="AA5917" s="1" t="s">
        <v>24</v>
      </c>
      <c r="AB5917" s="1" t="s">
        <v>24</v>
      </c>
      <c r="AC5917" s="1" t="s">
        <v>24</v>
      </c>
      <c r="AD5917" s="1" t="s">
        <v>24</v>
      </c>
      <c r="AE5917" s="1" t="s">
        <v>24</v>
      </c>
      <c r="AF5917" s="22"/>
    </row>
    <row r="5918" spans="1:32" x14ac:dyDescent="0.2">
      <c r="A5918" s="1">
        <v>59082</v>
      </c>
      <c r="B5918" s="1" t="s">
        <v>17542</v>
      </c>
      <c r="C5918" s="5" t="s">
        <v>0</v>
      </c>
      <c r="E5918" s="1" t="s">
        <v>17543</v>
      </c>
      <c r="F5918" s="1" t="s">
        <v>97</v>
      </c>
      <c r="G5918" s="1" t="s">
        <v>98</v>
      </c>
      <c r="H5918" s="1" t="s">
        <v>37</v>
      </c>
      <c r="I5918" s="1" t="s">
        <v>16</v>
      </c>
      <c r="J5918" s="1">
        <v>1</v>
      </c>
      <c r="K5918" s="1">
        <v>12</v>
      </c>
      <c r="L5918" s="1" t="s">
        <v>31</v>
      </c>
      <c r="M5918" s="1" t="s">
        <v>18</v>
      </c>
      <c r="N5918" s="1" t="s">
        <v>18</v>
      </c>
      <c r="O5918" s="1">
        <v>3</v>
      </c>
      <c r="P5918" s="1">
        <v>7</v>
      </c>
      <c r="Q5918" s="7" t="s">
        <v>17633</v>
      </c>
      <c r="R5918" s="1" t="s">
        <v>19</v>
      </c>
      <c r="S5918" s="1" t="s">
        <v>63</v>
      </c>
      <c r="T5918" s="1" t="s">
        <v>21</v>
      </c>
      <c r="V5918" s="1" t="s">
        <v>24</v>
      </c>
      <c r="W5918" s="1" t="s">
        <v>24</v>
      </c>
      <c r="X5918" s="1">
        <v>2700</v>
      </c>
      <c r="Y5918" s="1" t="s">
        <v>24</v>
      </c>
      <c r="Z5918" s="1" t="s">
        <v>24</v>
      </c>
      <c r="AA5918" s="1" t="s">
        <v>24</v>
      </c>
      <c r="AB5918" s="1" t="s">
        <v>24</v>
      </c>
      <c r="AC5918" s="1" t="s">
        <v>24</v>
      </c>
      <c r="AD5918" s="1" t="s">
        <v>24</v>
      </c>
      <c r="AE5918" s="1" t="s">
        <v>24</v>
      </c>
      <c r="AF5918" s="22"/>
    </row>
    <row r="5919" spans="1:32" x14ac:dyDescent="0.2">
      <c r="A5919" s="1">
        <v>59083</v>
      </c>
      <c r="B5919" s="1" t="s">
        <v>17544</v>
      </c>
      <c r="C5919" s="5" t="s">
        <v>0</v>
      </c>
      <c r="D5919" s="1" t="s">
        <v>17545</v>
      </c>
      <c r="E5919" s="1" t="s">
        <v>17545</v>
      </c>
      <c r="F5919" s="1" t="s">
        <v>97</v>
      </c>
      <c r="G5919" s="1" t="s">
        <v>98</v>
      </c>
      <c r="H5919" s="1" t="s">
        <v>37</v>
      </c>
      <c r="I5919" s="1" t="s">
        <v>16</v>
      </c>
      <c r="J5919" s="1">
        <v>1</v>
      </c>
      <c r="K5919" s="1">
        <v>1</v>
      </c>
      <c r="L5919" s="1" t="s">
        <v>31</v>
      </c>
      <c r="M5919" s="1" t="s">
        <v>18</v>
      </c>
      <c r="N5919" s="1" t="s">
        <v>18</v>
      </c>
      <c r="O5919" s="1">
        <v>3</v>
      </c>
      <c r="P5919" s="1">
        <v>7</v>
      </c>
      <c r="Q5919" s="7" t="s">
        <v>17633</v>
      </c>
      <c r="R5919" s="1" t="s">
        <v>19</v>
      </c>
      <c r="S5919" s="1" t="s">
        <v>63</v>
      </c>
      <c r="T5919" s="1" t="s">
        <v>21</v>
      </c>
      <c r="V5919" s="1" t="s">
        <v>24</v>
      </c>
      <c r="W5919" s="1" t="s">
        <v>24</v>
      </c>
      <c r="X5919" s="1">
        <v>2732</v>
      </c>
      <c r="Y5919" s="1" t="s">
        <v>24</v>
      </c>
      <c r="Z5919" s="1" t="s">
        <v>24</v>
      </c>
      <c r="AA5919" s="1" t="s">
        <v>24</v>
      </c>
      <c r="AB5919" s="1" t="s">
        <v>24</v>
      </c>
      <c r="AC5919" s="1" t="s">
        <v>24</v>
      </c>
      <c r="AD5919" s="1" t="s">
        <v>24</v>
      </c>
      <c r="AE5919" s="1" t="s">
        <v>24</v>
      </c>
      <c r="AF5919" s="22"/>
    </row>
    <row r="5920" spans="1:32" x14ac:dyDescent="0.2">
      <c r="A5920" s="1">
        <v>59084</v>
      </c>
      <c r="B5920" s="1" t="s">
        <v>17546</v>
      </c>
      <c r="C5920" s="5" t="s">
        <v>0</v>
      </c>
      <c r="D5920" s="1" t="s">
        <v>17547</v>
      </c>
      <c r="E5920" s="1" t="s">
        <v>17548</v>
      </c>
      <c r="F5920" s="1" t="s">
        <v>97</v>
      </c>
      <c r="G5920" s="1" t="s">
        <v>98</v>
      </c>
      <c r="H5920" s="1" t="s">
        <v>37</v>
      </c>
      <c r="I5920" s="1" t="s">
        <v>16</v>
      </c>
      <c r="J5920" s="1">
        <v>1</v>
      </c>
      <c r="K5920" s="1">
        <v>6</v>
      </c>
      <c r="L5920" s="1" t="s">
        <v>31</v>
      </c>
      <c r="M5920" s="1" t="s">
        <v>18</v>
      </c>
      <c r="N5920" s="1" t="s">
        <v>18</v>
      </c>
      <c r="O5920" s="1">
        <v>3</v>
      </c>
      <c r="P5920" s="1">
        <v>7</v>
      </c>
      <c r="Q5920" s="7" t="s">
        <v>17633</v>
      </c>
      <c r="R5920" s="1" t="s">
        <v>19</v>
      </c>
      <c r="S5920" s="1" t="s">
        <v>63</v>
      </c>
      <c r="T5920" s="1" t="s">
        <v>21</v>
      </c>
      <c r="V5920" s="1" t="s">
        <v>24</v>
      </c>
      <c r="W5920" s="1" t="s">
        <v>24</v>
      </c>
      <c r="X5920" s="1">
        <v>2725</v>
      </c>
      <c r="Y5920" s="1">
        <v>2736</v>
      </c>
      <c r="Z5920" s="1" t="s">
        <v>24</v>
      </c>
      <c r="AA5920" s="1" t="s">
        <v>24</v>
      </c>
      <c r="AB5920" s="1" t="s">
        <v>24</v>
      </c>
      <c r="AC5920" s="1" t="s">
        <v>24</v>
      </c>
      <c r="AD5920" s="1" t="s">
        <v>24</v>
      </c>
      <c r="AE5920" s="1" t="s">
        <v>24</v>
      </c>
      <c r="AF5920" s="22"/>
    </row>
    <row r="5921" spans="1:32" x14ac:dyDescent="0.2">
      <c r="A5921" s="1">
        <v>59085</v>
      </c>
      <c r="B5921" s="1" t="s">
        <v>17549</v>
      </c>
      <c r="C5921" s="5" t="s">
        <v>0</v>
      </c>
      <c r="E5921" s="1" t="s">
        <v>17550</v>
      </c>
      <c r="F5921" s="1" t="s">
        <v>13773</v>
      </c>
      <c r="G5921" s="1" t="s">
        <v>130</v>
      </c>
      <c r="H5921" s="1" t="s">
        <v>168</v>
      </c>
      <c r="I5921" s="1" t="s">
        <v>16</v>
      </c>
      <c r="J5921" s="1">
        <v>1</v>
      </c>
      <c r="K5921" s="1">
        <v>1</v>
      </c>
      <c r="L5921" s="1" t="s">
        <v>31</v>
      </c>
      <c r="M5921" s="1" t="s">
        <v>18</v>
      </c>
      <c r="N5921" s="1" t="s">
        <v>18</v>
      </c>
      <c r="O5921" s="1">
        <v>3</v>
      </c>
      <c r="P5921" s="1">
        <v>7</v>
      </c>
      <c r="Q5921" s="7" t="s">
        <v>17633</v>
      </c>
      <c r="R5921" s="1" t="s">
        <v>19</v>
      </c>
      <c r="S5921" s="1" t="s">
        <v>63</v>
      </c>
      <c r="T5921" s="1" t="s">
        <v>21</v>
      </c>
      <c r="V5921" s="1" t="s">
        <v>24</v>
      </c>
      <c r="W5921" s="1" t="s">
        <v>24</v>
      </c>
      <c r="X5921" s="1">
        <v>2803</v>
      </c>
      <c r="Y5921" s="1">
        <v>2738</v>
      </c>
      <c r="Z5921" s="1" t="s">
        <v>24</v>
      </c>
      <c r="AA5921" s="1" t="s">
        <v>24</v>
      </c>
      <c r="AB5921" s="1" t="s">
        <v>24</v>
      </c>
      <c r="AC5921" s="1" t="s">
        <v>24</v>
      </c>
      <c r="AD5921" s="1" t="s">
        <v>24</v>
      </c>
      <c r="AE5921" s="1" t="s">
        <v>24</v>
      </c>
      <c r="AF5921" s="22"/>
    </row>
    <row r="5922" spans="1:32" x14ac:dyDescent="0.2">
      <c r="A5922" s="1">
        <v>59086</v>
      </c>
      <c r="B5922" s="1" t="s">
        <v>17551</v>
      </c>
      <c r="C5922" s="5" t="s">
        <v>0</v>
      </c>
      <c r="E5922" s="1" t="s">
        <v>17552</v>
      </c>
      <c r="F5922" s="1" t="s">
        <v>13773</v>
      </c>
      <c r="G5922" s="1" t="s">
        <v>130</v>
      </c>
      <c r="H5922" s="1" t="s">
        <v>168</v>
      </c>
      <c r="I5922" s="1" t="s">
        <v>16</v>
      </c>
      <c r="J5922" s="1">
        <v>1</v>
      </c>
      <c r="K5922" s="1">
        <v>1</v>
      </c>
      <c r="L5922" s="1" t="s">
        <v>31</v>
      </c>
      <c r="M5922" s="1" t="s">
        <v>18</v>
      </c>
      <c r="N5922" s="1" t="s">
        <v>18</v>
      </c>
      <c r="O5922" s="1">
        <v>3</v>
      </c>
      <c r="P5922" s="1">
        <v>7</v>
      </c>
      <c r="Q5922" s="7" t="s">
        <v>17633</v>
      </c>
      <c r="R5922" s="1" t="s">
        <v>19</v>
      </c>
      <c r="S5922" s="1" t="s">
        <v>63</v>
      </c>
      <c r="T5922" s="1" t="s">
        <v>21</v>
      </c>
      <c r="V5922" s="1" t="s">
        <v>24</v>
      </c>
      <c r="W5922" s="1" t="s">
        <v>24</v>
      </c>
      <c r="X5922" s="1">
        <v>2502</v>
      </c>
      <c r="Y5922" s="1">
        <v>1501</v>
      </c>
      <c r="Z5922" s="1" t="s">
        <v>24</v>
      </c>
      <c r="AA5922" s="1" t="s">
        <v>24</v>
      </c>
      <c r="AB5922" s="1" t="s">
        <v>24</v>
      </c>
      <c r="AC5922" s="1" t="s">
        <v>24</v>
      </c>
      <c r="AD5922" s="1" t="s">
        <v>24</v>
      </c>
      <c r="AE5922" s="1" t="s">
        <v>24</v>
      </c>
      <c r="AF5922" s="22"/>
    </row>
    <row r="5923" spans="1:32" x14ac:dyDescent="0.2">
      <c r="A5923" s="1">
        <v>59087</v>
      </c>
      <c r="B5923" s="1" t="s">
        <v>17553</v>
      </c>
      <c r="C5923" s="5" t="s">
        <v>0</v>
      </c>
      <c r="D5923" s="1" t="s">
        <v>17554</v>
      </c>
      <c r="E5923" s="1" t="s">
        <v>17555</v>
      </c>
      <c r="F5923" s="1" t="s">
        <v>17556</v>
      </c>
      <c r="G5923" s="1" t="s">
        <v>130</v>
      </c>
      <c r="H5923" s="1" t="s">
        <v>37</v>
      </c>
      <c r="I5923" s="1" t="s">
        <v>16</v>
      </c>
      <c r="J5923" s="1">
        <v>1</v>
      </c>
      <c r="K5923" s="1">
        <v>1</v>
      </c>
      <c r="L5923" s="1" t="s">
        <v>31</v>
      </c>
      <c r="M5923" s="1" t="s">
        <v>18</v>
      </c>
      <c r="N5923" s="1" t="s">
        <v>18</v>
      </c>
      <c r="O5923" s="1">
        <v>3</v>
      </c>
      <c r="P5923" s="1">
        <v>7</v>
      </c>
      <c r="Q5923" s="7" t="s">
        <v>17633</v>
      </c>
      <c r="R5923" s="1" t="s">
        <v>19</v>
      </c>
      <c r="S5923" s="1" t="s">
        <v>20</v>
      </c>
      <c r="T5923" s="1" t="s">
        <v>21</v>
      </c>
      <c r="V5923" s="1" t="s">
        <v>24</v>
      </c>
      <c r="W5923" s="1" t="s">
        <v>24</v>
      </c>
      <c r="X5923" s="1">
        <v>2725</v>
      </c>
      <c r="Y5923" s="1">
        <v>2726</v>
      </c>
      <c r="Z5923" s="1" t="s">
        <v>24</v>
      </c>
      <c r="AA5923" s="1" t="s">
        <v>24</v>
      </c>
      <c r="AB5923" s="1" t="s">
        <v>24</v>
      </c>
      <c r="AC5923" s="1" t="s">
        <v>24</v>
      </c>
      <c r="AD5923" s="1" t="s">
        <v>24</v>
      </c>
      <c r="AE5923" s="1" t="s">
        <v>24</v>
      </c>
      <c r="AF5923" s="22"/>
    </row>
    <row r="5924" spans="1:32" x14ac:dyDescent="0.2">
      <c r="A5924" s="1">
        <v>59088</v>
      </c>
      <c r="B5924" s="1" t="s">
        <v>17557</v>
      </c>
      <c r="C5924" s="5" t="s">
        <v>0</v>
      </c>
      <c r="D5924" s="1" t="s">
        <v>17558</v>
      </c>
      <c r="E5924" s="1" t="s">
        <v>17559</v>
      </c>
      <c r="F5924" s="1" t="s">
        <v>17556</v>
      </c>
      <c r="G5924" s="1" t="s">
        <v>130</v>
      </c>
      <c r="H5924" s="1" t="s">
        <v>37</v>
      </c>
      <c r="I5924" s="1" t="s">
        <v>16</v>
      </c>
      <c r="J5924" s="1">
        <v>1</v>
      </c>
      <c r="K5924" s="1">
        <v>1</v>
      </c>
      <c r="L5924" s="1" t="s">
        <v>31</v>
      </c>
      <c r="M5924" s="1" t="s">
        <v>18</v>
      </c>
      <c r="N5924" s="1" t="s">
        <v>18</v>
      </c>
      <c r="O5924" s="1">
        <v>3</v>
      </c>
      <c r="P5924" s="1">
        <v>7</v>
      </c>
      <c r="Q5924" s="7" t="s">
        <v>17633</v>
      </c>
      <c r="R5924" s="1" t="s">
        <v>19</v>
      </c>
      <c r="S5924" s="1" t="s">
        <v>63</v>
      </c>
      <c r="T5924" s="1" t="s">
        <v>21</v>
      </c>
      <c r="V5924" s="1" t="s">
        <v>24</v>
      </c>
      <c r="W5924" s="1" t="s">
        <v>24</v>
      </c>
      <c r="X5924" s="1">
        <v>2728</v>
      </c>
      <c r="Y5924" s="1">
        <v>2808</v>
      </c>
      <c r="Z5924" s="1" t="s">
        <v>24</v>
      </c>
      <c r="AA5924" s="1" t="s">
        <v>24</v>
      </c>
      <c r="AB5924" s="1" t="s">
        <v>24</v>
      </c>
      <c r="AC5924" s="1" t="s">
        <v>24</v>
      </c>
      <c r="AD5924" s="1" t="s">
        <v>24</v>
      </c>
      <c r="AE5924" s="1" t="s">
        <v>24</v>
      </c>
      <c r="AF5924" s="22"/>
    </row>
    <row r="5925" spans="1:32" x14ac:dyDescent="0.2">
      <c r="A5925" s="1">
        <v>59089</v>
      </c>
      <c r="B5925" s="1" t="s">
        <v>17560</v>
      </c>
      <c r="C5925" s="5" t="s">
        <v>0</v>
      </c>
      <c r="D5925" s="1" t="s">
        <v>17561</v>
      </c>
      <c r="E5925" s="1" t="s">
        <v>17562</v>
      </c>
      <c r="F5925" s="1" t="s">
        <v>17556</v>
      </c>
      <c r="G5925" s="1" t="s">
        <v>130</v>
      </c>
      <c r="H5925" s="1" t="s">
        <v>37</v>
      </c>
      <c r="I5925" s="1" t="s">
        <v>16</v>
      </c>
      <c r="J5925" s="1">
        <v>1</v>
      </c>
      <c r="K5925" s="1">
        <v>2</v>
      </c>
      <c r="L5925" s="1" t="s">
        <v>31</v>
      </c>
      <c r="M5925" s="1" t="s">
        <v>18</v>
      </c>
      <c r="N5925" s="1" t="s">
        <v>18</v>
      </c>
      <c r="O5925" s="1">
        <v>3</v>
      </c>
      <c r="P5925" s="1">
        <v>7</v>
      </c>
      <c r="Q5925" s="7" t="s">
        <v>17633</v>
      </c>
      <c r="R5925" s="1" t="s">
        <v>19</v>
      </c>
      <c r="S5925" s="1" t="s">
        <v>20</v>
      </c>
      <c r="T5925" s="1" t="s">
        <v>21</v>
      </c>
      <c r="V5925" s="1" t="s">
        <v>24</v>
      </c>
      <c r="W5925" s="1" t="s">
        <v>24</v>
      </c>
      <c r="X5925" s="1">
        <v>2731</v>
      </c>
      <c r="Y5925" s="1" t="s">
        <v>24</v>
      </c>
      <c r="Z5925" s="1" t="s">
        <v>24</v>
      </c>
      <c r="AA5925" s="1" t="s">
        <v>24</v>
      </c>
      <c r="AB5925" s="1" t="s">
        <v>24</v>
      </c>
      <c r="AC5925" s="1" t="s">
        <v>24</v>
      </c>
      <c r="AD5925" s="1" t="s">
        <v>24</v>
      </c>
      <c r="AE5925" s="1" t="s">
        <v>24</v>
      </c>
      <c r="AF5925" s="22"/>
    </row>
    <row r="5926" spans="1:32" x14ac:dyDescent="0.2">
      <c r="A5926" s="1">
        <v>59090</v>
      </c>
      <c r="B5926" s="1" t="s">
        <v>17563</v>
      </c>
      <c r="C5926" s="5" t="s">
        <v>0</v>
      </c>
      <c r="D5926" s="1" t="s">
        <v>17564</v>
      </c>
      <c r="E5926" s="1" t="s">
        <v>17565</v>
      </c>
      <c r="F5926" s="1" t="s">
        <v>17556</v>
      </c>
      <c r="G5926" s="1" t="s">
        <v>130</v>
      </c>
      <c r="H5926" s="1" t="s">
        <v>37</v>
      </c>
      <c r="I5926" s="1" t="s">
        <v>16</v>
      </c>
      <c r="J5926" s="1">
        <v>1</v>
      </c>
      <c r="K5926" s="1">
        <v>2</v>
      </c>
      <c r="L5926" s="1" t="s">
        <v>31</v>
      </c>
      <c r="M5926" s="1" t="s">
        <v>18</v>
      </c>
      <c r="N5926" s="1" t="s">
        <v>18</v>
      </c>
      <c r="O5926" s="1">
        <v>3</v>
      </c>
      <c r="P5926" s="1">
        <v>7</v>
      </c>
      <c r="Q5926" s="7" t="s">
        <v>17633</v>
      </c>
      <c r="R5926" s="1" t="s">
        <v>19</v>
      </c>
      <c r="S5926" s="1" t="s">
        <v>63</v>
      </c>
      <c r="T5926" s="1" t="s">
        <v>21</v>
      </c>
      <c r="V5926" s="1" t="s">
        <v>24</v>
      </c>
      <c r="W5926" s="1" t="s">
        <v>24</v>
      </c>
      <c r="X5926" s="1">
        <v>2728</v>
      </c>
      <c r="Y5926" s="1">
        <v>2703</v>
      </c>
      <c r="Z5926" s="1" t="s">
        <v>24</v>
      </c>
      <c r="AA5926" s="1" t="s">
        <v>24</v>
      </c>
      <c r="AB5926" s="1" t="s">
        <v>24</v>
      </c>
      <c r="AC5926" s="1" t="s">
        <v>24</v>
      </c>
      <c r="AD5926" s="1" t="s">
        <v>24</v>
      </c>
      <c r="AE5926" s="1" t="s">
        <v>24</v>
      </c>
      <c r="AF5926" s="22"/>
    </row>
    <row r="5927" spans="1:32" x14ac:dyDescent="0.2">
      <c r="A5927" s="1">
        <v>59091</v>
      </c>
      <c r="B5927" s="1" t="s">
        <v>17566</v>
      </c>
      <c r="C5927" s="5" t="s">
        <v>50553</v>
      </c>
      <c r="D5927" s="1" t="s">
        <v>17567</v>
      </c>
      <c r="F5927" s="1" t="s">
        <v>17568</v>
      </c>
      <c r="G5927" s="1" t="s">
        <v>17568</v>
      </c>
      <c r="H5927" s="1" t="s">
        <v>17569</v>
      </c>
      <c r="I5927" s="1" t="s">
        <v>16</v>
      </c>
      <c r="J5927" s="1">
        <v>1</v>
      </c>
      <c r="K5927" s="1">
        <v>2</v>
      </c>
      <c r="L5927" s="1" t="s">
        <v>42</v>
      </c>
      <c r="M5927" s="1" t="s">
        <v>18</v>
      </c>
      <c r="N5927" s="1" t="s">
        <v>18</v>
      </c>
      <c r="O5927" s="1">
        <v>3</v>
      </c>
      <c r="P5927" s="1">
        <v>6</v>
      </c>
      <c r="R5927" s="1" t="s">
        <v>19</v>
      </c>
      <c r="S5927" s="1" t="s">
        <v>20</v>
      </c>
      <c r="T5927" s="1" t="s">
        <v>21</v>
      </c>
      <c r="V5927" s="1" t="s">
        <v>24</v>
      </c>
      <c r="W5927" s="1" t="s">
        <v>24</v>
      </c>
      <c r="X5927" s="1">
        <v>2746</v>
      </c>
      <c r="Y5927" s="1" t="s">
        <v>24</v>
      </c>
      <c r="Z5927" s="1" t="s">
        <v>24</v>
      </c>
      <c r="AA5927" s="1" t="s">
        <v>24</v>
      </c>
      <c r="AB5927" s="1" t="s">
        <v>24</v>
      </c>
      <c r="AC5927" s="1" t="s">
        <v>24</v>
      </c>
      <c r="AD5927" s="1" t="s">
        <v>24</v>
      </c>
      <c r="AE5927" s="1" t="s">
        <v>24</v>
      </c>
      <c r="AF5927" s="22"/>
    </row>
    <row r="5928" spans="1:32" x14ac:dyDescent="0.2">
      <c r="A5928" s="1">
        <v>59092</v>
      </c>
      <c r="B5928" s="1" t="s">
        <v>17570</v>
      </c>
      <c r="C5928" s="5" t="s">
        <v>0</v>
      </c>
      <c r="D5928" s="1" t="s">
        <v>17571</v>
      </c>
      <c r="E5928" s="1" t="s">
        <v>17572</v>
      </c>
      <c r="F5928" s="1" t="s">
        <v>371</v>
      </c>
      <c r="G5928" s="1" t="s">
        <v>372</v>
      </c>
      <c r="H5928" s="1" t="s">
        <v>30</v>
      </c>
      <c r="I5928" s="1" t="s">
        <v>16</v>
      </c>
      <c r="J5928" s="1">
        <v>1</v>
      </c>
      <c r="K5928" s="1">
        <v>2</v>
      </c>
      <c r="L5928" s="1" t="s">
        <v>31</v>
      </c>
      <c r="M5928" s="1" t="s">
        <v>18</v>
      </c>
      <c r="N5928" s="1" t="s">
        <v>18</v>
      </c>
      <c r="O5928" s="1">
        <v>3</v>
      </c>
      <c r="P5928" s="1">
        <v>7</v>
      </c>
      <c r="Q5928" s="7" t="s">
        <v>17633</v>
      </c>
      <c r="R5928" s="1" t="s">
        <v>19</v>
      </c>
      <c r="S5928" s="1" t="s">
        <v>20</v>
      </c>
      <c r="T5928" s="1" t="s">
        <v>21</v>
      </c>
      <c r="V5928" s="1" t="s">
        <v>24</v>
      </c>
      <c r="W5928" s="1" t="s">
        <v>24</v>
      </c>
      <c r="X5928" s="1">
        <v>2735</v>
      </c>
      <c r="Y5928" s="1">
        <v>2729</v>
      </c>
      <c r="Z5928" s="1" t="s">
        <v>24</v>
      </c>
      <c r="AA5928" s="1" t="s">
        <v>24</v>
      </c>
      <c r="AB5928" s="1" t="s">
        <v>24</v>
      </c>
      <c r="AC5928" s="1" t="s">
        <v>24</v>
      </c>
      <c r="AD5928" s="1" t="s">
        <v>24</v>
      </c>
      <c r="AE5928" s="1" t="s">
        <v>24</v>
      </c>
      <c r="AF5928" s="22"/>
    </row>
    <row r="5929" spans="1:32" x14ac:dyDescent="0.2">
      <c r="A5929" s="1">
        <v>59093</v>
      </c>
      <c r="B5929" s="1" t="s">
        <v>17573</v>
      </c>
      <c r="C5929" s="5" t="s">
        <v>0</v>
      </c>
      <c r="D5929" s="1" t="s">
        <v>17574</v>
      </c>
      <c r="E5929" s="1" t="s">
        <v>17575</v>
      </c>
      <c r="F5929" s="1" t="s">
        <v>371</v>
      </c>
      <c r="G5929" s="1" t="s">
        <v>372</v>
      </c>
      <c r="H5929" s="1" t="s">
        <v>30</v>
      </c>
      <c r="I5929" s="1" t="s">
        <v>16</v>
      </c>
      <c r="J5929" s="1">
        <v>1</v>
      </c>
      <c r="K5929" s="1">
        <v>4</v>
      </c>
      <c r="L5929" s="1" t="s">
        <v>31</v>
      </c>
      <c r="M5929" s="1" t="s">
        <v>18</v>
      </c>
      <c r="N5929" s="1" t="s">
        <v>18</v>
      </c>
      <c r="O5929" s="1">
        <v>3</v>
      </c>
      <c r="P5929" s="1">
        <v>7</v>
      </c>
      <c r="Q5929" s="7" t="s">
        <v>17633</v>
      </c>
      <c r="R5929" s="1" t="s">
        <v>19</v>
      </c>
      <c r="S5929" s="1" t="s">
        <v>20</v>
      </c>
      <c r="T5929" s="1" t="s">
        <v>21</v>
      </c>
      <c r="V5929" s="1" t="s">
        <v>24</v>
      </c>
      <c r="W5929" s="1" t="s">
        <v>24</v>
      </c>
      <c r="X5929" s="1">
        <v>2746</v>
      </c>
      <c r="Y5929" s="1">
        <v>2733</v>
      </c>
      <c r="Z5929" s="1">
        <v>3504</v>
      </c>
      <c r="AA5929" s="1" t="s">
        <v>24</v>
      </c>
      <c r="AB5929" s="1" t="s">
        <v>24</v>
      </c>
      <c r="AC5929" s="1" t="s">
        <v>24</v>
      </c>
      <c r="AD5929" s="1" t="s">
        <v>24</v>
      </c>
      <c r="AE5929" s="1" t="s">
        <v>24</v>
      </c>
      <c r="AF5929" s="22"/>
    </row>
    <row r="5930" spans="1:32" x14ac:dyDescent="0.2">
      <c r="A5930" s="1">
        <v>59094</v>
      </c>
      <c r="B5930" s="1" t="s">
        <v>17576</v>
      </c>
      <c r="C5930" s="5" t="s">
        <v>0</v>
      </c>
      <c r="D5930" s="1" t="s">
        <v>17577</v>
      </c>
      <c r="F5930" s="1" t="s">
        <v>412</v>
      </c>
      <c r="G5930" s="1" t="s">
        <v>372</v>
      </c>
      <c r="H5930" s="1" t="s">
        <v>168</v>
      </c>
      <c r="I5930" s="1" t="s">
        <v>16</v>
      </c>
      <c r="J5930" s="1">
        <v>1</v>
      </c>
      <c r="K5930" s="1">
        <v>1</v>
      </c>
      <c r="L5930" s="1" t="s">
        <v>31</v>
      </c>
      <c r="M5930" s="1" t="s">
        <v>18</v>
      </c>
      <c r="N5930" s="1" t="s">
        <v>18</v>
      </c>
      <c r="O5930" s="1">
        <v>3</v>
      </c>
      <c r="P5930" s="1">
        <v>7</v>
      </c>
      <c r="Q5930" s="7" t="s">
        <v>17633</v>
      </c>
      <c r="R5930" s="1" t="s">
        <v>19</v>
      </c>
      <c r="S5930" s="1" t="s">
        <v>20</v>
      </c>
      <c r="T5930" s="1" t="s">
        <v>21</v>
      </c>
      <c r="V5930" s="1" t="s">
        <v>24</v>
      </c>
      <c r="W5930" s="1" t="s">
        <v>24</v>
      </c>
      <c r="X5930" s="1">
        <v>2701</v>
      </c>
      <c r="Y5930" s="1">
        <v>2715</v>
      </c>
      <c r="Z5930" s="1" t="s">
        <v>24</v>
      </c>
      <c r="AA5930" s="1" t="s">
        <v>24</v>
      </c>
      <c r="AB5930" s="1" t="s">
        <v>24</v>
      </c>
      <c r="AC5930" s="1" t="s">
        <v>24</v>
      </c>
      <c r="AD5930" s="1" t="s">
        <v>24</v>
      </c>
      <c r="AE5930" s="1" t="s">
        <v>24</v>
      </c>
      <c r="AF5930" s="22"/>
    </row>
    <row r="5931" spans="1:32" x14ac:dyDescent="0.2">
      <c r="A5931" s="1">
        <v>59095</v>
      </c>
      <c r="B5931" s="1" t="s">
        <v>17578</v>
      </c>
      <c r="C5931" s="5" t="s">
        <v>0</v>
      </c>
      <c r="D5931" s="1" t="s">
        <v>17579</v>
      </c>
      <c r="E5931" s="1" t="s">
        <v>17580</v>
      </c>
      <c r="F5931" s="1" t="s">
        <v>412</v>
      </c>
      <c r="G5931" s="1" t="s">
        <v>372</v>
      </c>
      <c r="H5931" s="1" t="s">
        <v>168</v>
      </c>
      <c r="I5931" s="1" t="s">
        <v>16</v>
      </c>
      <c r="J5931" s="1">
        <v>1</v>
      </c>
      <c r="K5931" s="1">
        <v>1</v>
      </c>
      <c r="L5931" s="1" t="s">
        <v>31</v>
      </c>
      <c r="M5931" s="1" t="s">
        <v>18</v>
      </c>
      <c r="N5931" s="1" t="s">
        <v>18</v>
      </c>
      <c r="O5931" s="1">
        <v>3</v>
      </c>
      <c r="P5931" s="1">
        <v>7</v>
      </c>
      <c r="Q5931" s="7" t="s">
        <v>17633</v>
      </c>
      <c r="R5931" s="1" t="s">
        <v>19</v>
      </c>
      <c r="S5931" s="1" t="s">
        <v>20</v>
      </c>
      <c r="T5931" s="1" t="s">
        <v>21</v>
      </c>
      <c r="V5931" s="1" t="s">
        <v>24</v>
      </c>
      <c r="W5931" s="1" t="s">
        <v>24</v>
      </c>
      <c r="X5931" s="1">
        <v>2746</v>
      </c>
      <c r="Y5931" s="1">
        <v>2735</v>
      </c>
      <c r="Z5931" s="1" t="s">
        <v>24</v>
      </c>
      <c r="AA5931" s="1" t="s">
        <v>24</v>
      </c>
      <c r="AB5931" s="1" t="s">
        <v>24</v>
      </c>
      <c r="AC5931" s="1" t="s">
        <v>24</v>
      </c>
      <c r="AD5931" s="1" t="s">
        <v>24</v>
      </c>
      <c r="AE5931" s="1" t="s">
        <v>24</v>
      </c>
      <c r="AF5931" s="22"/>
    </row>
    <row r="5932" spans="1:32" x14ac:dyDescent="0.2">
      <c r="A5932" s="1">
        <v>59096</v>
      </c>
      <c r="B5932" s="1" t="s">
        <v>17581</v>
      </c>
      <c r="C5932" s="5" t="s">
        <v>0</v>
      </c>
      <c r="D5932" s="1" t="s">
        <v>17582</v>
      </c>
      <c r="E5932" s="1" t="s">
        <v>17583</v>
      </c>
      <c r="F5932" s="1" t="s">
        <v>371</v>
      </c>
      <c r="G5932" s="1" t="s">
        <v>372</v>
      </c>
      <c r="H5932" s="1" t="s">
        <v>168</v>
      </c>
      <c r="I5932" s="1" t="s">
        <v>16</v>
      </c>
      <c r="J5932" s="1">
        <v>1</v>
      </c>
      <c r="K5932" s="1">
        <v>4</v>
      </c>
      <c r="L5932" s="1" t="s">
        <v>31</v>
      </c>
      <c r="M5932" s="1" t="s">
        <v>18</v>
      </c>
      <c r="N5932" s="1" t="s">
        <v>18</v>
      </c>
      <c r="O5932" s="1">
        <v>3</v>
      </c>
      <c r="P5932" s="1">
        <v>7</v>
      </c>
      <c r="Q5932" s="7" t="s">
        <v>17633</v>
      </c>
      <c r="R5932" s="1" t="s">
        <v>19</v>
      </c>
      <c r="S5932" s="1" t="s">
        <v>20</v>
      </c>
      <c r="T5932" s="1" t="s">
        <v>21</v>
      </c>
      <c r="V5932" s="1" t="s">
        <v>24</v>
      </c>
      <c r="W5932" s="1" t="s">
        <v>24</v>
      </c>
      <c r="X5932" s="1">
        <v>2746</v>
      </c>
      <c r="Y5932" s="1">
        <v>2728</v>
      </c>
      <c r="Z5932" s="1">
        <v>2732</v>
      </c>
      <c r="AA5932" s="1" t="s">
        <v>24</v>
      </c>
      <c r="AB5932" s="1" t="s">
        <v>24</v>
      </c>
      <c r="AC5932" s="1" t="s">
        <v>24</v>
      </c>
      <c r="AD5932" s="1" t="s">
        <v>24</v>
      </c>
      <c r="AE5932" s="1" t="s">
        <v>24</v>
      </c>
      <c r="AF5932" s="22" t="s">
        <v>17670</v>
      </c>
    </row>
    <row r="5933" spans="1:32" x14ac:dyDescent="0.2">
      <c r="A5933" s="1">
        <v>59097</v>
      </c>
      <c r="B5933" s="1" t="s">
        <v>17584</v>
      </c>
      <c r="C5933" s="5" t="s">
        <v>0</v>
      </c>
      <c r="D5933" s="1" t="s">
        <v>17585</v>
      </c>
      <c r="E5933" s="1" t="s">
        <v>17586</v>
      </c>
      <c r="F5933" s="1" t="s">
        <v>371</v>
      </c>
      <c r="G5933" s="1" t="s">
        <v>372</v>
      </c>
      <c r="H5933" s="1" t="s">
        <v>168</v>
      </c>
      <c r="I5933" s="1" t="s">
        <v>16</v>
      </c>
      <c r="J5933" s="1">
        <v>1</v>
      </c>
      <c r="K5933" s="1">
        <v>2</v>
      </c>
      <c r="L5933" s="1" t="s">
        <v>31</v>
      </c>
      <c r="M5933" s="1" t="s">
        <v>18</v>
      </c>
      <c r="N5933" s="1" t="s">
        <v>18</v>
      </c>
      <c r="O5933" s="1">
        <v>3</v>
      </c>
      <c r="P5933" s="1">
        <v>7</v>
      </c>
      <c r="Q5933" s="7" t="s">
        <v>17633</v>
      </c>
      <c r="R5933" s="1" t="s">
        <v>19</v>
      </c>
      <c r="S5933" s="1" t="s">
        <v>20</v>
      </c>
      <c r="T5933" s="1" t="s">
        <v>21</v>
      </c>
      <c r="V5933" s="1" t="s">
        <v>24</v>
      </c>
      <c r="W5933" s="1" t="s">
        <v>24</v>
      </c>
      <c r="X5933" s="1">
        <v>2746</v>
      </c>
      <c r="Y5933" s="1">
        <v>2728</v>
      </c>
      <c r="Z5933" s="1" t="s">
        <v>24</v>
      </c>
      <c r="AA5933" s="1" t="s">
        <v>24</v>
      </c>
      <c r="AB5933" s="1" t="s">
        <v>24</v>
      </c>
      <c r="AC5933" s="1" t="s">
        <v>24</v>
      </c>
      <c r="AD5933" s="1" t="s">
        <v>24</v>
      </c>
      <c r="AE5933" s="1" t="s">
        <v>24</v>
      </c>
      <c r="AF5933" s="22" t="s">
        <v>17670</v>
      </c>
    </row>
    <row r="5934" spans="1:32" x14ac:dyDescent="0.2">
      <c r="A5934" s="1">
        <v>59098</v>
      </c>
      <c r="B5934" s="1" t="s">
        <v>17587</v>
      </c>
      <c r="C5934" s="5" t="s">
        <v>0</v>
      </c>
      <c r="E5934" s="1" t="s">
        <v>17588</v>
      </c>
      <c r="F5934" s="1" t="s">
        <v>412</v>
      </c>
      <c r="G5934" s="1" t="s">
        <v>372</v>
      </c>
      <c r="H5934" s="1" t="s">
        <v>168</v>
      </c>
      <c r="I5934" s="1" t="s">
        <v>16</v>
      </c>
      <c r="J5934" s="1">
        <v>1</v>
      </c>
      <c r="K5934" s="1">
        <v>2</v>
      </c>
      <c r="L5934" s="1" t="s">
        <v>31</v>
      </c>
      <c r="M5934" s="1" t="s">
        <v>18</v>
      </c>
      <c r="N5934" s="1" t="s">
        <v>18</v>
      </c>
      <c r="O5934" s="1">
        <v>3</v>
      </c>
      <c r="P5934" s="1">
        <v>7</v>
      </c>
      <c r="Q5934" s="7" t="s">
        <v>17633</v>
      </c>
      <c r="R5934" s="1" t="s">
        <v>19</v>
      </c>
      <c r="S5934" s="1" t="s">
        <v>20</v>
      </c>
      <c r="T5934" s="1" t="s">
        <v>21</v>
      </c>
      <c r="V5934" s="1" t="s">
        <v>24</v>
      </c>
      <c r="W5934" s="1" t="s">
        <v>24</v>
      </c>
      <c r="X5934" s="1">
        <v>2730</v>
      </c>
      <c r="Y5934" s="1">
        <v>1306</v>
      </c>
      <c r="Z5934" s="1" t="s">
        <v>24</v>
      </c>
      <c r="AA5934" s="1" t="s">
        <v>24</v>
      </c>
      <c r="AB5934" s="1" t="s">
        <v>24</v>
      </c>
      <c r="AC5934" s="1" t="s">
        <v>24</v>
      </c>
      <c r="AD5934" s="1" t="s">
        <v>24</v>
      </c>
      <c r="AE5934" s="1" t="s">
        <v>24</v>
      </c>
      <c r="AF5934" s="22"/>
    </row>
    <row r="5935" spans="1:32" x14ac:dyDescent="0.2">
      <c r="A5935" s="1">
        <v>59099</v>
      </c>
      <c r="B5935" s="1" t="s">
        <v>17589</v>
      </c>
      <c r="C5935" s="5" t="s">
        <v>0</v>
      </c>
      <c r="D5935" s="1" t="s">
        <v>17590</v>
      </c>
      <c r="F5935" s="1" t="s">
        <v>412</v>
      </c>
      <c r="G5935" s="1" t="s">
        <v>372</v>
      </c>
      <c r="H5935" s="1" t="s">
        <v>168</v>
      </c>
      <c r="I5935" s="1" t="s">
        <v>16</v>
      </c>
      <c r="J5935" s="1">
        <v>1</v>
      </c>
      <c r="K5935" s="1">
        <v>3</v>
      </c>
      <c r="L5935" s="1" t="s">
        <v>31</v>
      </c>
      <c r="M5935" s="1" t="s">
        <v>18</v>
      </c>
      <c r="N5935" s="1" t="s">
        <v>18</v>
      </c>
      <c r="O5935" s="1">
        <v>2</v>
      </c>
      <c r="P5935" s="1">
        <v>7</v>
      </c>
      <c r="Q5935" s="7" t="s">
        <v>17633</v>
      </c>
      <c r="R5935" s="1" t="s">
        <v>19</v>
      </c>
      <c r="S5935" s="1" t="s">
        <v>20</v>
      </c>
      <c r="T5935" s="1" t="s">
        <v>21</v>
      </c>
      <c r="V5935" s="1" t="s">
        <v>24</v>
      </c>
      <c r="W5935" s="1" t="s">
        <v>24</v>
      </c>
      <c r="X5935" s="1">
        <v>2705</v>
      </c>
      <c r="Y5935" s="1">
        <v>2746</v>
      </c>
      <c r="Z5935" s="1">
        <v>2740</v>
      </c>
      <c r="AA5935" s="1" t="s">
        <v>24</v>
      </c>
      <c r="AB5935" s="1" t="s">
        <v>24</v>
      </c>
      <c r="AC5935" s="1" t="s">
        <v>24</v>
      </c>
      <c r="AD5935" s="1" t="s">
        <v>24</v>
      </c>
      <c r="AE5935" s="1" t="s">
        <v>24</v>
      </c>
      <c r="AF5935" s="22"/>
    </row>
    <row r="5936" spans="1:32" x14ac:dyDescent="0.2">
      <c r="A5936" s="1">
        <v>59100</v>
      </c>
      <c r="B5936" s="1" t="s">
        <v>17591</v>
      </c>
      <c r="C5936" s="5" t="s">
        <v>0</v>
      </c>
      <c r="E5936" s="1" t="s">
        <v>17592</v>
      </c>
      <c r="F5936" s="1" t="s">
        <v>17593</v>
      </c>
      <c r="G5936" s="1" t="s">
        <v>17593</v>
      </c>
      <c r="H5936" s="1" t="s">
        <v>16383</v>
      </c>
      <c r="I5936" s="1" t="s">
        <v>16</v>
      </c>
      <c r="J5936" s="1">
        <v>1</v>
      </c>
      <c r="K5936" s="1">
        <v>4</v>
      </c>
      <c r="L5936" s="1" t="s">
        <v>42</v>
      </c>
      <c r="M5936" s="1" t="s">
        <v>18</v>
      </c>
      <c r="N5936" s="1" t="s">
        <v>18</v>
      </c>
      <c r="O5936" s="1">
        <v>3</v>
      </c>
      <c r="P5936" s="1">
        <v>6</v>
      </c>
      <c r="R5936" s="1" t="s">
        <v>19</v>
      </c>
      <c r="S5936" s="1" t="s">
        <v>20</v>
      </c>
      <c r="T5936" s="1" t="s">
        <v>21</v>
      </c>
      <c r="V5936" s="1" t="s">
        <v>24</v>
      </c>
      <c r="W5936" s="1" t="s">
        <v>24</v>
      </c>
      <c r="X5936" s="1">
        <v>1300</v>
      </c>
      <c r="Y5936" s="1">
        <v>2700</v>
      </c>
      <c r="Z5936" s="1" t="s">
        <v>24</v>
      </c>
      <c r="AA5936" s="1" t="s">
        <v>24</v>
      </c>
      <c r="AB5936" s="1" t="s">
        <v>24</v>
      </c>
      <c r="AC5936" s="1" t="s">
        <v>24</v>
      </c>
      <c r="AD5936" s="1" t="s">
        <v>24</v>
      </c>
      <c r="AE5936" s="1" t="s">
        <v>24</v>
      </c>
      <c r="AF5936" s="22"/>
    </row>
    <row r="5937" spans="1:32" x14ac:dyDescent="0.2">
      <c r="A5937" s="1">
        <v>59101</v>
      </c>
      <c r="B5937" s="1" t="s">
        <v>17594</v>
      </c>
      <c r="C5937" s="5" t="s">
        <v>50553</v>
      </c>
      <c r="D5937" s="1" t="s">
        <v>17595</v>
      </c>
      <c r="F5937" s="1" t="s">
        <v>17596</v>
      </c>
      <c r="G5937" s="1" t="s">
        <v>17596</v>
      </c>
      <c r="H5937" s="1" t="s">
        <v>8248</v>
      </c>
      <c r="I5937" s="1" t="s">
        <v>16</v>
      </c>
      <c r="J5937" s="1">
        <v>1</v>
      </c>
      <c r="K5937" s="1">
        <v>3</v>
      </c>
      <c r="L5937" s="1" t="s">
        <v>42</v>
      </c>
      <c r="M5937" s="1" t="s">
        <v>18</v>
      </c>
      <c r="N5937" s="1" t="s">
        <v>18</v>
      </c>
      <c r="O5937" s="1">
        <v>2</v>
      </c>
      <c r="P5937" s="1">
        <v>6</v>
      </c>
      <c r="R5937" s="1" t="s">
        <v>19</v>
      </c>
      <c r="S5937" s="1" t="s">
        <v>20</v>
      </c>
      <c r="T5937" s="1" t="s">
        <v>21</v>
      </c>
      <c r="V5937" s="1" t="s">
        <v>24</v>
      </c>
      <c r="W5937" s="1" t="s">
        <v>24</v>
      </c>
      <c r="X5937" s="1">
        <v>2736</v>
      </c>
      <c r="Y5937" s="1">
        <v>3000</v>
      </c>
      <c r="Z5937" s="1" t="s">
        <v>24</v>
      </c>
      <c r="AA5937" s="1" t="s">
        <v>24</v>
      </c>
      <c r="AB5937" s="1" t="s">
        <v>24</v>
      </c>
      <c r="AC5937" s="1" t="s">
        <v>24</v>
      </c>
      <c r="AD5937" s="1" t="s">
        <v>24</v>
      </c>
      <c r="AE5937" s="1" t="s">
        <v>24</v>
      </c>
      <c r="AF5937" s="22"/>
    </row>
    <row r="5938" spans="1:32" x14ac:dyDescent="0.2">
      <c r="A5938" s="1">
        <v>59102</v>
      </c>
      <c r="B5938" s="1" t="s">
        <v>17597</v>
      </c>
      <c r="C5938" s="5" t="s">
        <v>0</v>
      </c>
      <c r="E5938" s="1" t="s">
        <v>17598</v>
      </c>
      <c r="F5938" s="1" t="s">
        <v>35</v>
      </c>
      <c r="G5938" s="1" t="s">
        <v>36</v>
      </c>
      <c r="H5938" s="1" t="s">
        <v>37</v>
      </c>
      <c r="I5938" s="1" t="s">
        <v>16</v>
      </c>
      <c r="J5938" s="1">
        <v>1</v>
      </c>
      <c r="K5938" s="1">
        <v>2</v>
      </c>
      <c r="L5938" s="1" t="s">
        <v>31</v>
      </c>
      <c r="M5938" s="1" t="s">
        <v>18</v>
      </c>
      <c r="N5938" s="1" t="s">
        <v>18</v>
      </c>
      <c r="O5938" s="1">
        <v>3</v>
      </c>
      <c r="P5938" s="1">
        <v>7</v>
      </c>
      <c r="Q5938" s="7" t="s">
        <v>17633</v>
      </c>
      <c r="R5938" s="1" t="s">
        <v>19</v>
      </c>
      <c r="S5938" s="1" t="s">
        <v>63</v>
      </c>
      <c r="T5938" s="1" t="s">
        <v>21</v>
      </c>
      <c r="V5938" s="1" t="s">
        <v>24</v>
      </c>
      <c r="W5938" s="1" t="s">
        <v>24</v>
      </c>
      <c r="X5938" s="1">
        <v>2802</v>
      </c>
      <c r="Y5938" s="1">
        <v>2743</v>
      </c>
      <c r="Z5938" s="1">
        <v>2708</v>
      </c>
      <c r="AA5938" s="1">
        <v>2748</v>
      </c>
      <c r="AB5938" s="1" t="s">
        <v>24</v>
      </c>
      <c r="AC5938" s="1" t="s">
        <v>24</v>
      </c>
      <c r="AD5938" s="1" t="s">
        <v>24</v>
      </c>
      <c r="AE5938" s="1" t="s">
        <v>24</v>
      </c>
      <c r="AF5938" s="22"/>
    </row>
    <row r="5939" spans="1:32" x14ac:dyDescent="0.2">
      <c r="A5939" s="1">
        <v>59103</v>
      </c>
      <c r="B5939" s="1" t="s">
        <v>17599</v>
      </c>
      <c r="C5939" s="5" t="s">
        <v>0</v>
      </c>
      <c r="E5939" s="1" t="s">
        <v>17600</v>
      </c>
      <c r="F5939" s="1" t="s">
        <v>35</v>
      </c>
      <c r="G5939" s="1" t="s">
        <v>36</v>
      </c>
      <c r="H5939" s="1" t="s">
        <v>37</v>
      </c>
      <c r="I5939" s="1" t="s">
        <v>16</v>
      </c>
      <c r="J5939" s="1">
        <v>1</v>
      </c>
      <c r="K5939" s="1">
        <v>1</v>
      </c>
      <c r="L5939" s="1" t="s">
        <v>31</v>
      </c>
      <c r="M5939" s="1" t="s">
        <v>18</v>
      </c>
      <c r="N5939" s="1" t="s">
        <v>18</v>
      </c>
      <c r="O5939" s="1">
        <v>3</v>
      </c>
      <c r="P5939" s="1">
        <v>7</v>
      </c>
      <c r="Q5939" s="7" t="s">
        <v>17633</v>
      </c>
      <c r="R5939" s="1" t="s">
        <v>19</v>
      </c>
      <c r="S5939" s="1" t="s">
        <v>63</v>
      </c>
      <c r="T5939" s="1" t="s">
        <v>21</v>
      </c>
      <c r="V5939" s="1" t="s">
        <v>24</v>
      </c>
      <c r="W5939" s="1" t="s">
        <v>24</v>
      </c>
      <c r="X5939" s="1">
        <v>2743</v>
      </c>
      <c r="Y5939" s="1">
        <v>2748</v>
      </c>
      <c r="Z5939" s="1">
        <v>2729</v>
      </c>
      <c r="AA5939" s="1">
        <v>2708</v>
      </c>
      <c r="AB5939" s="1" t="s">
        <v>24</v>
      </c>
      <c r="AC5939" s="1" t="s">
        <v>24</v>
      </c>
      <c r="AD5939" s="1" t="s">
        <v>24</v>
      </c>
      <c r="AE5939" s="1" t="s">
        <v>24</v>
      </c>
      <c r="AF5939" s="22"/>
    </row>
    <row r="5940" spans="1:32" x14ac:dyDescent="0.2">
      <c r="A5940" s="1">
        <v>59104</v>
      </c>
      <c r="B5940" s="1" t="s">
        <v>17601</v>
      </c>
      <c r="C5940" s="5" t="s">
        <v>0</v>
      </c>
      <c r="D5940" s="1" t="s">
        <v>17602</v>
      </c>
      <c r="E5940" s="1" t="s">
        <v>17603</v>
      </c>
      <c r="F5940" s="1" t="s">
        <v>17604</v>
      </c>
      <c r="G5940" s="1" t="s">
        <v>17604</v>
      </c>
      <c r="H5940" s="1" t="s">
        <v>6895</v>
      </c>
      <c r="I5940" s="1" t="s">
        <v>16</v>
      </c>
      <c r="J5940" s="1">
        <v>1</v>
      </c>
      <c r="K5940" s="1">
        <v>12</v>
      </c>
      <c r="L5940" s="1" t="s">
        <v>42</v>
      </c>
      <c r="M5940" s="1" t="s">
        <v>18</v>
      </c>
      <c r="N5940" s="1" t="s">
        <v>18</v>
      </c>
      <c r="O5940" s="1">
        <v>3</v>
      </c>
      <c r="P5940" s="1">
        <v>6</v>
      </c>
      <c r="R5940" s="1" t="s">
        <v>19</v>
      </c>
      <c r="S5940" s="1" t="s">
        <v>20</v>
      </c>
      <c r="T5940" s="1" t="s">
        <v>21</v>
      </c>
      <c r="V5940" s="1" t="s">
        <v>24</v>
      </c>
      <c r="W5940" s="1" t="s">
        <v>24</v>
      </c>
      <c r="X5940" s="1">
        <v>2715</v>
      </c>
      <c r="Y5940" s="1">
        <v>2721</v>
      </c>
      <c r="Z5940" s="1" t="s">
        <v>24</v>
      </c>
      <c r="AA5940" s="1" t="s">
        <v>24</v>
      </c>
      <c r="AB5940" s="1" t="s">
        <v>24</v>
      </c>
      <c r="AC5940" s="1" t="s">
        <v>24</v>
      </c>
      <c r="AD5940" s="1" t="s">
        <v>24</v>
      </c>
      <c r="AE5940" s="1" t="s">
        <v>24</v>
      </c>
      <c r="AF5940" s="22"/>
    </row>
    <row r="5941" spans="1:32" x14ac:dyDescent="0.2">
      <c r="A5941" s="1">
        <v>59401</v>
      </c>
      <c r="B5941" s="1" t="s">
        <v>17605</v>
      </c>
      <c r="C5941" s="5" t="s">
        <v>0</v>
      </c>
      <c r="D5941" s="1">
        <v>23148861</v>
      </c>
      <c r="E5941" s="1">
        <v>23147156</v>
      </c>
      <c r="F5941" s="1" t="s">
        <v>1412</v>
      </c>
      <c r="G5941" s="1" t="s">
        <v>1413</v>
      </c>
      <c r="H5941" s="1" t="s">
        <v>30</v>
      </c>
      <c r="I5941" s="1" t="s">
        <v>16</v>
      </c>
      <c r="J5941" s="1">
        <v>1</v>
      </c>
      <c r="K5941" s="1">
        <v>1</v>
      </c>
      <c r="L5941" s="1" t="s">
        <v>31</v>
      </c>
      <c r="M5941" s="1" t="s">
        <v>18</v>
      </c>
      <c r="N5941" s="1" t="s">
        <v>18</v>
      </c>
      <c r="O5941" s="1">
        <v>3</v>
      </c>
      <c r="P5941" s="1">
        <v>7</v>
      </c>
      <c r="Q5941" s="7" t="s">
        <v>17633</v>
      </c>
      <c r="R5941" s="1" t="s">
        <v>19</v>
      </c>
      <c r="S5941" s="1" t="s">
        <v>63</v>
      </c>
      <c r="T5941" s="1" t="s">
        <v>21</v>
      </c>
      <c r="U5941" s="1" t="s">
        <v>22</v>
      </c>
      <c r="X5941" s="1">
        <v>2403</v>
      </c>
      <c r="Y5941" s="1">
        <v>2723</v>
      </c>
      <c r="AF5941" s="22"/>
    </row>
    <row r="5942" spans="1:32" x14ac:dyDescent="0.2">
      <c r="A5942" s="4"/>
      <c r="B5942" s="1" t="s">
        <v>17635</v>
      </c>
      <c r="C5942" s="5" t="s">
        <v>50553</v>
      </c>
      <c r="E5942" s="1" t="s">
        <v>17636</v>
      </c>
      <c r="F5942" s="1" t="s">
        <v>91</v>
      </c>
      <c r="G5942" s="1" t="s">
        <v>61</v>
      </c>
      <c r="H5942" s="1" t="s">
        <v>92</v>
      </c>
      <c r="I5942" s="1" t="s">
        <v>16</v>
      </c>
      <c r="J5942" s="1" t="s">
        <v>17637</v>
      </c>
      <c r="K5942" s="1">
        <v>4</v>
      </c>
      <c r="L5942" s="1" t="s">
        <v>31</v>
      </c>
      <c r="M5942" s="1" t="s">
        <v>18</v>
      </c>
      <c r="N5942" s="1" t="s">
        <v>18</v>
      </c>
      <c r="O5942" s="1" t="s">
        <v>17659</v>
      </c>
      <c r="P5942" s="1" t="s">
        <v>17658</v>
      </c>
      <c r="Q5942" s="1" t="s">
        <v>17633</v>
      </c>
      <c r="R5942" s="1" t="s">
        <v>19</v>
      </c>
      <c r="S5942" s="1" t="s">
        <v>20</v>
      </c>
      <c r="T5942" s="1" t="s">
        <v>21</v>
      </c>
      <c r="U5942" s="1" t="s">
        <v>22</v>
      </c>
      <c r="X5942" s="5" t="s">
        <v>17686</v>
      </c>
      <c r="Y5942" s="5" t="s">
        <v>17690</v>
      </c>
    </row>
    <row r="5943" spans="1:32" x14ac:dyDescent="0.2">
      <c r="A5943" s="4"/>
      <c r="B5943" s="1" t="s">
        <v>17640</v>
      </c>
      <c r="C5943" s="5" t="s">
        <v>50553</v>
      </c>
      <c r="E5943" s="1" t="s">
        <v>17641</v>
      </c>
      <c r="F5943" s="1" t="s">
        <v>91</v>
      </c>
      <c r="G5943" s="1" t="s">
        <v>61</v>
      </c>
      <c r="H5943" s="1" t="s">
        <v>92</v>
      </c>
      <c r="I5943" s="1" t="s">
        <v>16</v>
      </c>
      <c r="J5943" s="1" t="s">
        <v>17637</v>
      </c>
      <c r="K5943" s="1">
        <v>4</v>
      </c>
      <c r="L5943" s="1" t="s">
        <v>31</v>
      </c>
      <c r="M5943" s="1" t="s">
        <v>18</v>
      </c>
      <c r="N5943" s="1" t="s">
        <v>18</v>
      </c>
      <c r="O5943" s="1" t="s">
        <v>17639</v>
      </c>
      <c r="P5943" s="1" t="s">
        <v>17658</v>
      </c>
      <c r="Q5943" s="1" t="s">
        <v>17633</v>
      </c>
      <c r="R5943" s="1" t="s">
        <v>19</v>
      </c>
      <c r="S5943" s="1" t="s">
        <v>20</v>
      </c>
      <c r="T5943" s="1" t="s">
        <v>21</v>
      </c>
      <c r="U5943" s="1" t="s">
        <v>22</v>
      </c>
      <c r="X5943" s="5" t="s">
        <v>17691</v>
      </c>
      <c r="Y5943" s="5" t="s">
        <v>17692</v>
      </c>
    </row>
    <row r="5944" spans="1:32" x14ac:dyDescent="0.2">
      <c r="A5944" s="4"/>
      <c r="B5944" s="1" t="s">
        <v>17644</v>
      </c>
      <c r="C5944" s="5" t="s">
        <v>50553</v>
      </c>
      <c r="E5944" s="1" t="s">
        <v>17645</v>
      </c>
      <c r="F5944" s="1" t="s">
        <v>91</v>
      </c>
      <c r="G5944" s="1" t="s">
        <v>61</v>
      </c>
      <c r="H5944" s="1" t="s">
        <v>92</v>
      </c>
      <c r="I5944" s="1" t="s">
        <v>16</v>
      </c>
      <c r="J5944" s="1" t="s">
        <v>17637</v>
      </c>
      <c r="K5944" s="1" t="s">
        <v>17637</v>
      </c>
      <c r="L5944" s="1" t="s">
        <v>31</v>
      </c>
      <c r="M5944" s="1" t="s">
        <v>18</v>
      </c>
      <c r="N5944" s="1" t="s">
        <v>18</v>
      </c>
      <c r="O5944" s="1" t="s">
        <v>17639</v>
      </c>
      <c r="P5944" s="1" t="s">
        <v>17658</v>
      </c>
      <c r="Q5944" s="1" t="s">
        <v>17633</v>
      </c>
      <c r="R5944" s="1" t="s">
        <v>19</v>
      </c>
      <c r="S5944" s="1" t="s">
        <v>20</v>
      </c>
      <c r="T5944" s="1" t="s">
        <v>21</v>
      </c>
      <c r="U5944" s="1" t="s">
        <v>22</v>
      </c>
      <c r="X5944" s="5" t="s">
        <v>17698</v>
      </c>
      <c r="Y5944" s="5" t="s">
        <v>17699</v>
      </c>
    </row>
    <row r="5945" spans="1:32" x14ac:dyDescent="0.2">
      <c r="A5945" s="4"/>
      <c r="B5945" s="1" t="s">
        <v>17651</v>
      </c>
      <c r="C5945" s="5" t="s">
        <v>50553</v>
      </c>
      <c r="E5945" s="1" t="s">
        <v>17652</v>
      </c>
      <c r="F5945" s="1" t="s">
        <v>2776</v>
      </c>
      <c r="G5945" s="1" t="s">
        <v>61</v>
      </c>
      <c r="H5945" s="1" t="s">
        <v>46</v>
      </c>
      <c r="I5945" s="1" t="s">
        <v>16</v>
      </c>
      <c r="J5945" s="1">
        <v>1</v>
      </c>
      <c r="K5945" s="1" t="s">
        <v>17638</v>
      </c>
      <c r="L5945" s="1" t="s">
        <v>31</v>
      </c>
      <c r="M5945" s="1" t="s">
        <v>18</v>
      </c>
      <c r="N5945" s="1" t="s">
        <v>18</v>
      </c>
      <c r="O5945" s="1" t="s">
        <v>17659</v>
      </c>
      <c r="P5945" s="1" t="s">
        <v>17658</v>
      </c>
      <c r="Q5945" s="1" t="s">
        <v>17633</v>
      </c>
      <c r="R5945" s="1" t="s">
        <v>19</v>
      </c>
      <c r="S5945" s="1" t="s">
        <v>20</v>
      </c>
      <c r="T5945" s="1" t="s">
        <v>21</v>
      </c>
      <c r="X5945" s="5" t="s">
        <v>17687</v>
      </c>
      <c r="Y5945" s="5" t="s">
        <v>17688</v>
      </c>
      <c r="Z5945" s="5" t="s">
        <v>17689</v>
      </c>
    </row>
    <row r="5946" spans="1:32" x14ac:dyDescent="0.2">
      <c r="A5946" s="4"/>
      <c r="B5946" s="1" t="s">
        <v>17653</v>
      </c>
      <c r="C5946" s="5" t="s">
        <v>50553</v>
      </c>
      <c r="D5946" s="1" t="s">
        <v>17654</v>
      </c>
      <c r="F5946" s="1" t="s">
        <v>2776</v>
      </c>
      <c r="G5946" s="1" t="s">
        <v>61</v>
      </c>
      <c r="H5946" s="1" t="s">
        <v>46</v>
      </c>
      <c r="I5946" s="1" t="s">
        <v>16</v>
      </c>
      <c r="J5946" s="1">
        <v>1</v>
      </c>
      <c r="K5946" s="1" t="s">
        <v>17655</v>
      </c>
      <c r="L5946" s="1" t="s">
        <v>31</v>
      </c>
      <c r="M5946" s="1" t="s">
        <v>18</v>
      </c>
      <c r="N5946" s="1" t="s">
        <v>18</v>
      </c>
      <c r="O5946" s="1" t="s">
        <v>17639</v>
      </c>
      <c r="P5946" s="1" t="s">
        <v>17658</v>
      </c>
      <c r="Q5946" s="1" t="s">
        <v>17633</v>
      </c>
      <c r="R5946" s="1" t="s">
        <v>19</v>
      </c>
      <c r="S5946" s="1" t="s">
        <v>20</v>
      </c>
      <c r="T5946" s="1" t="s">
        <v>21</v>
      </c>
      <c r="V5946" s="1" t="s">
        <v>23</v>
      </c>
      <c r="X5946" s="5" t="s">
        <v>17693</v>
      </c>
    </row>
    <row r="5947" spans="1:32" x14ac:dyDescent="0.2">
      <c r="A5947" s="4"/>
      <c r="B5947" s="1" t="s">
        <v>17648</v>
      </c>
      <c r="C5947" s="5" t="s">
        <v>50553</v>
      </c>
      <c r="D5947" s="1" t="s">
        <v>17649</v>
      </c>
      <c r="E5947" s="1" t="s">
        <v>17650</v>
      </c>
      <c r="F5947" s="1" t="s">
        <v>175</v>
      </c>
      <c r="G5947" s="1" t="s">
        <v>61</v>
      </c>
      <c r="H5947" s="1" t="s">
        <v>116</v>
      </c>
      <c r="I5947" s="1" t="s">
        <v>16</v>
      </c>
      <c r="J5947" s="1">
        <v>1</v>
      </c>
      <c r="K5947" s="1" t="s">
        <v>17638</v>
      </c>
      <c r="L5947" s="1" t="s">
        <v>31</v>
      </c>
      <c r="M5947" s="1" t="s">
        <v>70</v>
      </c>
      <c r="N5947" s="1" t="s">
        <v>75</v>
      </c>
      <c r="O5947" s="1" t="s">
        <v>17639</v>
      </c>
      <c r="P5947" s="1" t="s">
        <v>17655</v>
      </c>
      <c r="Q5947" s="1"/>
      <c r="R5947" s="1" t="s">
        <v>19</v>
      </c>
      <c r="S5947" s="1" t="s">
        <v>20</v>
      </c>
      <c r="T5947" s="1" t="s">
        <v>21</v>
      </c>
      <c r="X5947" s="5">
        <v>2705</v>
      </c>
      <c r="Y5947" s="5" t="s">
        <v>17686</v>
      </c>
    </row>
    <row r="5948" spans="1:32" x14ac:dyDescent="0.2">
      <c r="A5948" s="4"/>
      <c r="B5948" s="1" t="s">
        <v>17646</v>
      </c>
      <c r="C5948" s="5" t="s">
        <v>50553</v>
      </c>
      <c r="E5948" s="1" t="s">
        <v>17647</v>
      </c>
      <c r="F5948" s="1" t="s">
        <v>272</v>
      </c>
      <c r="G5948" s="1" t="s">
        <v>61</v>
      </c>
      <c r="H5948" s="1" t="s">
        <v>30</v>
      </c>
      <c r="I5948" s="1" t="s">
        <v>16</v>
      </c>
      <c r="J5948" s="1" t="s">
        <v>17637</v>
      </c>
      <c r="K5948" s="1" t="s">
        <v>17637</v>
      </c>
      <c r="L5948" s="1" t="s">
        <v>31</v>
      </c>
      <c r="M5948" s="1" t="s">
        <v>18</v>
      </c>
      <c r="N5948" s="1" t="s">
        <v>18</v>
      </c>
      <c r="O5948" s="1" t="s">
        <v>17639</v>
      </c>
      <c r="P5948" s="1" t="s">
        <v>17658</v>
      </c>
      <c r="Q5948" s="1" t="s">
        <v>17633</v>
      </c>
      <c r="R5948" s="1" t="s">
        <v>19</v>
      </c>
      <c r="S5948" s="1" t="s">
        <v>20</v>
      </c>
      <c r="T5948" s="1" t="s">
        <v>21</v>
      </c>
      <c r="U5948" s="1" t="s">
        <v>22</v>
      </c>
      <c r="X5948" s="5" t="s">
        <v>17691</v>
      </c>
      <c r="Y5948" s="5" t="s">
        <v>17700</v>
      </c>
      <c r="Z5948" s="5" t="s">
        <v>17701</v>
      </c>
    </row>
    <row r="5949" spans="1:32" s="15" customFormat="1" x14ac:dyDescent="0.2">
      <c r="A5949" s="4"/>
      <c r="B5949" s="1" t="s">
        <v>17642</v>
      </c>
      <c r="C5949" s="5" t="s">
        <v>50553</v>
      </c>
      <c r="D5949" s="1" t="s">
        <v>17643</v>
      </c>
      <c r="E5949" s="1"/>
      <c r="F5949" s="1" t="s">
        <v>155</v>
      </c>
      <c r="G5949" s="1" t="s">
        <v>61</v>
      </c>
      <c r="H5949" s="1" t="s">
        <v>37</v>
      </c>
      <c r="I5949" s="1" t="s">
        <v>16</v>
      </c>
      <c r="J5949" s="1">
        <v>1</v>
      </c>
      <c r="K5949" s="1" t="s">
        <v>17638</v>
      </c>
      <c r="L5949" s="1" t="s">
        <v>31</v>
      </c>
      <c r="M5949" s="1" t="s">
        <v>18</v>
      </c>
      <c r="N5949" s="1" t="s">
        <v>18</v>
      </c>
      <c r="O5949" s="1" t="s">
        <v>17639</v>
      </c>
      <c r="P5949" s="1" t="s">
        <v>17658</v>
      </c>
      <c r="Q5949" s="1" t="s">
        <v>17633</v>
      </c>
      <c r="R5949" s="1" t="s">
        <v>19</v>
      </c>
      <c r="S5949" s="1" t="s">
        <v>20</v>
      </c>
      <c r="T5949" s="1" t="s">
        <v>21</v>
      </c>
      <c r="U5949" s="1" t="s">
        <v>22</v>
      </c>
      <c r="V5949" s="1"/>
      <c r="W5949" s="1"/>
      <c r="X5949" s="5" t="s">
        <v>17694</v>
      </c>
      <c r="Y5949" s="5" t="s">
        <v>17695</v>
      </c>
      <c r="Z5949" s="5" t="s">
        <v>17696</v>
      </c>
      <c r="AA5949" s="5" t="s">
        <v>17697</v>
      </c>
      <c r="AB5949" s="1"/>
      <c r="AC5949" s="1"/>
      <c r="AD5949" s="1"/>
      <c r="AE5949" s="20"/>
      <c r="AF5949" s="22"/>
    </row>
  </sheetData>
  <autoFilter ref="A1:AE5949"/>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L8524"/>
  <sheetViews>
    <sheetView tabSelected="1" zoomScaleNormal="100" workbookViewId="0">
      <pane ySplit="1" topLeftCell="A1371" activePane="bottomLeft" state="frozen"/>
      <selection pane="bottomLeft"/>
    </sheetView>
  </sheetViews>
  <sheetFormatPr defaultRowHeight="12.75" x14ac:dyDescent="0.2"/>
  <cols>
    <col min="1" max="1" width="37.140625" customWidth="1"/>
    <col min="2" max="2" width="13.28515625" customWidth="1"/>
    <col min="3" max="3" width="9.5703125" customWidth="1"/>
    <col min="5" max="5" width="12.7109375" customWidth="1"/>
    <col min="7" max="7" width="8.5703125" customWidth="1"/>
    <col min="12" max="12" width="10.5703125" customWidth="1"/>
    <col min="13" max="16384" width="9.140625" style="35"/>
  </cols>
  <sheetData>
    <row r="1" spans="1:12" ht="25.5" customHeight="1" x14ac:dyDescent="0.2">
      <c r="A1" s="41" t="s">
        <v>55888</v>
      </c>
      <c r="B1" s="41" t="s">
        <v>55882</v>
      </c>
      <c r="C1" s="42" t="s">
        <v>50557</v>
      </c>
      <c r="D1" s="43" t="s">
        <v>50558</v>
      </c>
      <c r="E1" s="41" t="s">
        <v>17610</v>
      </c>
      <c r="F1" s="41" t="s">
        <v>17612</v>
      </c>
      <c r="G1" s="41" t="s">
        <v>50559</v>
      </c>
      <c r="H1" s="44" t="s">
        <v>50560</v>
      </c>
      <c r="I1" s="44" t="s">
        <v>50561</v>
      </c>
      <c r="J1" s="44" t="s">
        <v>50562</v>
      </c>
      <c r="K1" s="44" t="s">
        <v>56717</v>
      </c>
      <c r="L1" s="44" t="s">
        <v>50563</v>
      </c>
    </row>
    <row r="2" spans="1:12" s="37" customFormat="1" ht="11.25" x14ac:dyDescent="0.2">
      <c r="A2" s="45" t="s">
        <v>31199</v>
      </c>
      <c r="B2" s="45" t="s">
        <v>31201</v>
      </c>
      <c r="C2" s="51" t="s">
        <v>31202</v>
      </c>
      <c r="D2" s="51"/>
      <c r="E2" s="45" t="s">
        <v>56503</v>
      </c>
      <c r="F2" s="45" t="s">
        <v>18242</v>
      </c>
      <c r="G2" s="45" t="s">
        <v>50605</v>
      </c>
      <c r="H2" s="56"/>
      <c r="I2" s="56" t="s">
        <v>50564</v>
      </c>
      <c r="J2" s="56"/>
      <c r="K2" s="50"/>
      <c r="L2" s="56" t="s">
        <v>56716</v>
      </c>
    </row>
    <row r="3" spans="1:12" s="37" customFormat="1" ht="11.25" x14ac:dyDescent="0.2">
      <c r="A3" s="45" t="s">
        <v>42482</v>
      </c>
      <c r="B3" s="45" t="s">
        <v>42484</v>
      </c>
      <c r="C3" s="51" t="s">
        <v>42485</v>
      </c>
      <c r="D3" s="51"/>
      <c r="E3" s="45" t="s">
        <v>42486</v>
      </c>
      <c r="F3" s="45" t="s">
        <v>18242</v>
      </c>
      <c r="G3" s="45" t="s">
        <v>50604</v>
      </c>
      <c r="H3" s="56"/>
      <c r="I3" s="56" t="s">
        <v>50564</v>
      </c>
      <c r="J3" s="56"/>
      <c r="K3" s="50"/>
      <c r="L3" s="56" t="s">
        <v>56716</v>
      </c>
    </row>
    <row r="4" spans="1:12" s="37" customFormat="1" ht="11.25" x14ac:dyDescent="0.2">
      <c r="A4" s="45" t="s">
        <v>46810</v>
      </c>
      <c r="B4" s="45" t="s">
        <v>46812</v>
      </c>
      <c r="C4" s="51" t="s">
        <v>46814</v>
      </c>
      <c r="D4" s="51" t="s">
        <v>46813</v>
      </c>
      <c r="E4" s="45" t="s">
        <v>46815</v>
      </c>
      <c r="F4" s="45" t="s">
        <v>18242</v>
      </c>
      <c r="G4" s="45" t="s">
        <v>50605</v>
      </c>
      <c r="H4" s="56"/>
      <c r="I4" s="56" t="s">
        <v>50564</v>
      </c>
      <c r="J4" s="56"/>
      <c r="K4" s="50"/>
      <c r="L4" s="56" t="s">
        <v>56716</v>
      </c>
    </row>
    <row r="5" spans="1:12" s="37" customFormat="1" ht="11.25" x14ac:dyDescent="0.2">
      <c r="A5" s="45" t="s">
        <v>50311</v>
      </c>
      <c r="B5" s="45" t="s">
        <v>50313</v>
      </c>
      <c r="C5" s="51" t="s">
        <v>50314</v>
      </c>
      <c r="D5" s="51"/>
      <c r="E5" s="45" t="s">
        <v>1065</v>
      </c>
      <c r="F5" s="45" t="s">
        <v>17958</v>
      </c>
      <c r="G5" s="45" t="s">
        <v>50586</v>
      </c>
      <c r="H5" s="56"/>
      <c r="I5" s="56" t="s">
        <v>50564</v>
      </c>
      <c r="J5" s="56"/>
      <c r="K5" s="50"/>
      <c r="L5" s="56" t="s">
        <v>56716</v>
      </c>
    </row>
    <row r="6" spans="1:12" s="37" customFormat="1" ht="11.25" x14ac:dyDescent="0.2">
      <c r="A6" s="45" t="s">
        <v>17737</v>
      </c>
      <c r="B6" s="45" t="s">
        <v>17739</v>
      </c>
      <c r="C6" s="51" t="s">
        <v>17743</v>
      </c>
      <c r="D6" s="51" t="s">
        <v>17742</v>
      </c>
      <c r="E6" s="45" t="s">
        <v>55</v>
      </c>
      <c r="F6" s="45" t="s">
        <v>50646</v>
      </c>
      <c r="G6" s="45" t="s">
        <v>50584</v>
      </c>
      <c r="H6" s="56"/>
      <c r="I6" s="56" t="s">
        <v>50564</v>
      </c>
      <c r="J6" s="56"/>
      <c r="K6" s="50"/>
      <c r="L6" s="56" t="s">
        <v>56716</v>
      </c>
    </row>
    <row r="7" spans="1:12" s="37" customFormat="1" ht="11.25" x14ac:dyDescent="0.2">
      <c r="A7" s="46" t="s">
        <v>16112</v>
      </c>
      <c r="B7" s="46" t="s">
        <v>16112</v>
      </c>
      <c r="C7" s="58" t="str">
        <f>"2190572X"</f>
        <v>2190572X</v>
      </c>
      <c r="D7" s="58" t="str">
        <f>"21905738"</f>
        <v>21905738</v>
      </c>
      <c r="E7" s="46" t="s">
        <v>167</v>
      </c>
      <c r="F7" s="46" t="s">
        <v>18158</v>
      </c>
      <c r="G7" s="46" t="s">
        <v>50584</v>
      </c>
      <c r="H7" s="48" t="s">
        <v>56716</v>
      </c>
      <c r="I7" s="48" t="s">
        <v>50564</v>
      </c>
      <c r="J7" s="48" t="s">
        <v>56716</v>
      </c>
      <c r="K7" s="50"/>
      <c r="L7" s="48"/>
    </row>
    <row r="8" spans="1:12" s="37" customFormat="1" ht="11.25" x14ac:dyDescent="0.2">
      <c r="A8" s="46" t="s">
        <v>17492</v>
      </c>
      <c r="B8" s="46" t="s">
        <v>56316</v>
      </c>
      <c r="C8" s="58" t="str">
        <f>""</f>
        <v/>
      </c>
      <c r="D8" s="58" t="str">
        <f>"23257237"</f>
        <v>23257237</v>
      </c>
      <c r="E8" s="46" t="s">
        <v>28</v>
      </c>
      <c r="F8" s="46" t="s">
        <v>17759</v>
      </c>
      <c r="G8" s="46" t="s">
        <v>50584</v>
      </c>
      <c r="H8" s="48" t="s">
        <v>56716</v>
      </c>
      <c r="I8" s="48" t="s">
        <v>50564</v>
      </c>
      <c r="J8" s="48" t="s">
        <v>56716</v>
      </c>
      <c r="K8" s="50"/>
      <c r="L8" s="48"/>
    </row>
    <row r="9" spans="1:12" s="37" customFormat="1" ht="11.25" x14ac:dyDescent="0.2">
      <c r="A9" s="45" t="s">
        <v>17752</v>
      </c>
      <c r="B9" s="45" t="s">
        <v>17754</v>
      </c>
      <c r="C9" s="51" t="s">
        <v>17757</v>
      </c>
      <c r="D9" s="51" t="s">
        <v>17756</v>
      </c>
      <c r="E9" s="45" t="s">
        <v>17758</v>
      </c>
      <c r="F9" s="45" t="s">
        <v>17759</v>
      </c>
      <c r="G9" s="45" t="s">
        <v>50584</v>
      </c>
      <c r="H9" s="56"/>
      <c r="I9" s="56" t="s">
        <v>50564</v>
      </c>
      <c r="J9" s="56"/>
      <c r="K9" s="50"/>
      <c r="L9" s="56" t="s">
        <v>56716</v>
      </c>
    </row>
    <row r="10" spans="1:12" s="37" customFormat="1" ht="11.25" x14ac:dyDescent="0.2">
      <c r="A10" s="46" t="s">
        <v>10182</v>
      </c>
      <c r="B10" s="46" t="s">
        <v>50694</v>
      </c>
      <c r="C10" s="58" t="str">
        <f>"00946354"</f>
        <v>00946354</v>
      </c>
      <c r="D10" s="58" t="str">
        <f>""</f>
        <v/>
      </c>
      <c r="E10" s="46" t="s">
        <v>10184</v>
      </c>
      <c r="F10" s="46" t="s">
        <v>17759</v>
      </c>
      <c r="G10" s="46" t="s">
        <v>50584</v>
      </c>
      <c r="H10" s="48" t="s">
        <v>56716</v>
      </c>
      <c r="I10" s="48" t="s">
        <v>50564</v>
      </c>
      <c r="J10" s="48"/>
      <c r="K10" s="50"/>
      <c r="L10" s="48" t="s">
        <v>56716</v>
      </c>
    </row>
    <row r="11" spans="1:12" s="37" customFormat="1" ht="11.25" x14ac:dyDescent="0.2">
      <c r="A11" s="46" t="s">
        <v>16115</v>
      </c>
      <c r="B11" s="46" t="s">
        <v>50695</v>
      </c>
      <c r="C11" s="58" t="str">
        <f>"22107371"</f>
        <v>22107371</v>
      </c>
      <c r="D11" s="58" t="str">
        <f>"2210738X"</f>
        <v>2210738X</v>
      </c>
      <c r="E11" s="46" t="s">
        <v>167</v>
      </c>
      <c r="F11" s="46" t="s">
        <v>18158</v>
      </c>
      <c r="G11" s="46" t="s">
        <v>50584</v>
      </c>
      <c r="H11" s="48" t="s">
        <v>56716</v>
      </c>
      <c r="I11" s="48" t="s">
        <v>50565</v>
      </c>
      <c r="J11" s="48" t="s">
        <v>56716</v>
      </c>
      <c r="K11" s="50"/>
      <c r="L11" s="48"/>
    </row>
    <row r="12" spans="1:12" s="37" customFormat="1" ht="11.25" x14ac:dyDescent="0.2">
      <c r="A12" s="46" t="s">
        <v>11438</v>
      </c>
      <c r="B12" s="46" t="s">
        <v>50696</v>
      </c>
      <c r="C12" s="58" t="str">
        <f>""</f>
        <v/>
      </c>
      <c r="D12" s="58" t="str">
        <f>"15507416"</f>
        <v>15507416</v>
      </c>
      <c r="E12" s="46" t="s">
        <v>56305</v>
      </c>
      <c r="F12" s="46" t="s">
        <v>17759</v>
      </c>
      <c r="G12" s="46" t="s">
        <v>50584</v>
      </c>
      <c r="H12" s="48" t="s">
        <v>56716</v>
      </c>
      <c r="I12" s="48" t="s">
        <v>50564</v>
      </c>
      <c r="J12" s="48"/>
      <c r="K12" s="50" t="s">
        <v>56716</v>
      </c>
      <c r="L12" s="48" t="s">
        <v>56716</v>
      </c>
    </row>
    <row r="13" spans="1:12" s="37" customFormat="1" ht="11.25" x14ac:dyDescent="0.2">
      <c r="A13" s="46" t="s">
        <v>10242</v>
      </c>
      <c r="B13" s="46" t="s">
        <v>10242</v>
      </c>
      <c r="C13" s="58" t="str">
        <f>""</f>
        <v/>
      </c>
      <c r="D13" s="58" t="str">
        <f>"15309932"</f>
        <v>15309932</v>
      </c>
      <c r="E13" s="46" t="s">
        <v>56305</v>
      </c>
      <c r="F13" s="46" t="s">
        <v>17759</v>
      </c>
      <c r="G13" s="46" t="s">
        <v>50584</v>
      </c>
      <c r="H13" s="48" t="s">
        <v>56716</v>
      </c>
      <c r="I13" s="48" t="s">
        <v>50564</v>
      </c>
      <c r="J13" s="48" t="s">
        <v>56716</v>
      </c>
      <c r="K13" s="50" t="s">
        <v>56716</v>
      </c>
      <c r="L13" s="48" t="s">
        <v>56716</v>
      </c>
    </row>
    <row r="14" spans="1:12" s="37" customFormat="1" ht="11.25" x14ac:dyDescent="0.2">
      <c r="A14" s="46" t="s">
        <v>6066</v>
      </c>
      <c r="B14" s="46" t="s">
        <v>50697</v>
      </c>
      <c r="C14" s="58" t="str">
        <f>"09428925"</f>
        <v>09428925</v>
      </c>
      <c r="D14" s="58" t="str">
        <f>"14320509"</f>
        <v>14320509</v>
      </c>
      <c r="E14" s="46" t="s">
        <v>56305</v>
      </c>
      <c r="F14" s="46" t="s">
        <v>17759</v>
      </c>
      <c r="G14" s="46" t="s">
        <v>50584</v>
      </c>
      <c r="H14" s="48" t="s">
        <v>56716</v>
      </c>
      <c r="I14" s="48" t="s">
        <v>50564</v>
      </c>
      <c r="J14" s="48" t="s">
        <v>56716</v>
      </c>
      <c r="K14" s="50" t="s">
        <v>56716</v>
      </c>
      <c r="L14" s="48" t="s">
        <v>56716</v>
      </c>
    </row>
    <row r="15" spans="1:12" s="37" customFormat="1" ht="11.25" x14ac:dyDescent="0.2">
      <c r="A15" s="46" t="s">
        <v>6581</v>
      </c>
      <c r="B15" s="46" t="s">
        <v>50698</v>
      </c>
      <c r="C15" s="58" t="str">
        <f>"10696563"</f>
        <v>10696563</v>
      </c>
      <c r="D15" s="58" t="str">
        <f>"15532712"</f>
        <v>15532712</v>
      </c>
      <c r="E15" s="46" t="s">
        <v>548</v>
      </c>
      <c r="F15" s="46" t="s">
        <v>17759</v>
      </c>
      <c r="G15" s="46" t="s">
        <v>50584</v>
      </c>
      <c r="H15" s="48" t="s">
        <v>56716</v>
      </c>
      <c r="I15" s="48" t="s">
        <v>50564</v>
      </c>
      <c r="J15" s="48" t="s">
        <v>56716</v>
      </c>
      <c r="K15" s="50" t="s">
        <v>56716</v>
      </c>
      <c r="L15" s="48" t="s">
        <v>56716</v>
      </c>
    </row>
    <row r="16" spans="1:12" s="37" customFormat="1" ht="11.25" x14ac:dyDescent="0.2">
      <c r="A16" s="46" t="s">
        <v>8790</v>
      </c>
      <c r="B16" s="46" t="s">
        <v>50699</v>
      </c>
      <c r="C16" s="58" t="str">
        <f>"0258879X"</f>
        <v>0258879X</v>
      </c>
      <c r="D16" s="58" t="str">
        <f>""</f>
        <v/>
      </c>
      <c r="E16" s="46" t="s">
        <v>8792</v>
      </c>
      <c r="F16" s="46" t="s">
        <v>17958</v>
      </c>
      <c r="G16" s="46" t="s">
        <v>50580</v>
      </c>
      <c r="H16" s="48" t="s">
        <v>56716</v>
      </c>
      <c r="I16" s="48" t="s">
        <v>50564</v>
      </c>
      <c r="J16" s="48"/>
      <c r="K16" s="50"/>
      <c r="L16" s="48"/>
    </row>
    <row r="17" spans="1:12" s="37" customFormat="1" ht="11.25" x14ac:dyDescent="0.2">
      <c r="A17" s="45" t="s">
        <v>17810</v>
      </c>
      <c r="B17" s="45" t="s">
        <v>17812</v>
      </c>
      <c r="C17" s="51" t="s">
        <v>17815</v>
      </c>
      <c r="D17" s="51" t="s">
        <v>17814</v>
      </c>
      <c r="E17" s="45" t="s">
        <v>17816</v>
      </c>
      <c r="F17" s="45" t="s">
        <v>17759</v>
      </c>
      <c r="G17" s="45" t="s">
        <v>50584</v>
      </c>
      <c r="H17" s="56"/>
      <c r="I17" s="56" t="s">
        <v>50564</v>
      </c>
      <c r="J17" s="56"/>
      <c r="K17" s="50"/>
      <c r="L17" s="56" t="s">
        <v>56716</v>
      </c>
    </row>
    <row r="18" spans="1:12" s="37" customFormat="1" ht="11.25" x14ac:dyDescent="0.2">
      <c r="A18" s="46" t="s">
        <v>13085</v>
      </c>
      <c r="B18" s="46" t="s">
        <v>50700</v>
      </c>
      <c r="C18" s="58" t="str">
        <f>"18762859"</f>
        <v>18762859</v>
      </c>
      <c r="D18" s="58" t="str">
        <f>"18762867"</f>
        <v>18762867</v>
      </c>
      <c r="E18" s="46" t="s">
        <v>272</v>
      </c>
      <c r="F18" s="46" t="s">
        <v>17759</v>
      </c>
      <c r="G18" s="46" t="s">
        <v>50584</v>
      </c>
      <c r="H18" s="48" t="s">
        <v>56716</v>
      </c>
      <c r="I18" s="48" t="s">
        <v>50564</v>
      </c>
      <c r="J18" s="48"/>
      <c r="K18" s="50" t="s">
        <v>56716</v>
      </c>
      <c r="L18" s="48" t="s">
        <v>56716</v>
      </c>
    </row>
    <row r="19" spans="1:12" s="37" customFormat="1" ht="11.25" x14ac:dyDescent="0.2">
      <c r="A19" s="45" t="s">
        <v>17827</v>
      </c>
      <c r="B19" s="45" t="s">
        <v>17829</v>
      </c>
      <c r="C19" s="51" t="s">
        <v>17832</v>
      </c>
      <c r="D19" s="51" t="s">
        <v>17831</v>
      </c>
      <c r="E19" s="45" t="s">
        <v>17833</v>
      </c>
      <c r="F19" s="45" t="s">
        <v>17759</v>
      </c>
      <c r="G19" s="45" t="s">
        <v>50584</v>
      </c>
      <c r="H19" s="56"/>
      <c r="I19" s="56" t="s">
        <v>50564</v>
      </c>
      <c r="J19" s="56"/>
      <c r="K19" s="50"/>
      <c r="L19" s="56" t="s">
        <v>56716</v>
      </c>
    </row>
    <row r="20" spans="1:12" s="37" customFormat="1" ht="11.25" x14ac:dyDescent="0.2">
      <c r="A20" s="46" t="s">
        <v>7646</v>
      </c>
      <c r="B20" s="46" t="s">
        <v>50701</v>
      </c>
      <c r="C20" s="58" t="str">
        <f>"10766332"</f>
        <v>10766332</v>
      </c>
      <c r="D20" s="58" t="str">
        <f>"18784046"</f>
        <v>18784046</v>
      </c>
      <c r="E20" s="46" t="s">
        <v>673</v>
      </c>
      <c r="F20" s="46" t="s">
        <v>17759</v>
      </c>
      <c r="G20" s="46" t="s">
        <v>50584</v>
      </c>
      <c r="H20" s="48" t="s">
        <v>56716</v>
      </c>
      <c r="I20" s="48" t="s">
        <v>50564</v>
      </c>
      <c r="J20" s="48" t="s">
        <v>56716</v>
      </c>
      <c r="K20" s="50" t="s">
        <v>56716</v>
      </c>
      <c r="L20" s="48" t="s">
        <v>56716</v>
      </c>
    </row>
    <row r="21" spans="1:12" s="37" customFormat="1" ht="11.25" x14ac:dyDescent="0.2">
      <c r="A21" s="45" t="s">
        <v>17860</v>
      </c>
      <c r="B21" s="45" t="s">
        <v>17862</v>
      </c>
      <c r="C21" s="51" t="s">
        <v>17864</v>
      </c>
      <c r="D21" s="51" t="s">
        <v>17863</v>
      </c>
      <c r="E21" s="45" t="s">
        <v>17865</v>
      </c>
      <c r="F21" s="45" t="s">
        <v>50646</v>
      </c>
      <c r="G21" s="45" t="s">
        <v>50584</v>
      </c>
      <c r="H21" s="56"/>
      <c r="I21" s="56" t="s">
        <v>50564</v>
      </c>
      <c r="J21" s="56"/>
      <c r="K21" s="50"/>
      <c r="L21" s="56" t="s">
        <v>56716</v>
      </c>
    </row>
    <row r="22" spans="1:12" s="37" customFormat="1" ht="11.25" x14ac:dyDescent="0.2">
      <c r="A22" s="45" t="s">
        <v>17869</v>
      </c>
      <c r="B22" s="45" t="s">
        <v>17871</v>
      </c>
      <c r="C22" s="51" t="s">
        <v>17873</v>
      </c>
      <c r="D22" s="51" t="s">
        <v>17872</v>
      </c>
      <c r="E22" s="45" t="s">
        <v>291</v>
      </c>
      <c r="F22" s="45" t="s">
        <v>17759</v>
      </c>
      <c r="G22" s="45" t="s">
        <v>50584</v>
      </c>
      <c r="H22" s="56"/>
      <c r="I22" s="56" t="s">
        <v>50564</v>
      </c>
      <c r="J22" s="56"/>
      <c r="K22" s="50"/>
      <c r="L22" s="56" t="s">
        <v>56716</v>
      </c>
    </row>
    <row r="23" spans="1:12" s="37" customFormat="1" ht="11.25" x14ac:dyDescent="0.2">
      <c r="A23" s="45" t="s">
        <v>17876</v>
      </c>
      <c r="B23" s="45" t="s">
        <v>17878</v>
      </c>
      <c r="C23" s="51" t="s">
        <v>17880</v>
      </c>
      <c r="D23" s="51" t="s">
        <v>17879</v>
      </c>
      <c r="E23" s="45" t="s">
        <v>17881</v>
      </c>
      <c r="F23" s="45" t="s">
        <v>17759</v>
      </c>
      <c r="G23" s="45" t="s">
        <v>50584</v>
      </c>
      <c r="H23" s="56"/>
      <c r="I23" s="56" t="s">
        <v>50564</v>
      </c>
      <c r="J23" s="56"/>
      <c r="K23" s="50"/>
      <c r="L23" s="56" t="s">
        <v>56716</v>
      </c>
    </row>
    <row r="24" spans="1:12" s="37" customFormat="1" ht="11.25" x14ac:dyDescent="0.2">
      <c r="A24" s="45" t="s">
        <v>17885</v>
      </c>
      <c r="B24" s="45" t="s">
        <v>17887</v>
      </c>
      <c r="C24" s="51" t="s">
        <v>17889</v>
      </c>
      <c r="D24" s="51" t="s">
        <v>17888</v>
      </c>
      <c r="E24" s="45" t="s">
        <v>776</v>
      </c>
      <c r="F24" s="45" t="s">
        <v>17759</v>
      </c>
      <c r="G24" s="45" t="s">
        <v>50584</v>
      </c>
      <c r="H24" s="56"/>
      <c r="I24" s="56" t="s">
        <v>50564</v>
      </c>
      <c r="J24" s="56"/>
      <c r="K24" s="50"/>
      <c r="L24" s="56" t="s">
        <v>56716</v>
      </c>
    </row>
    <row r="25" spans="1:12" s="37" customFormat="1" ht="11.25" x14ac:dyDescent="0.2">
      <c r="A25" s="46" t="s">
        <v>11768</v>
      </c>
      <c r="B25" s="46" t="s">
        <v>50702</v>
      </c>
      <c r="C25" s="58" t="str">
        <f>"15548929"</f>
        <v>15548929</v>
      </c>
      <c r="D25" s="58" t="str">
        <f>"15548937"</f>
        <v>15548937</v>
      </c>
      <c r="E25" s="46" t="s">
        <v>776</v>
      </c>
      <c r="F25" s="46" t="s">
        <v>17759</v>
      </c>
      <c r="G25" s="46" t="s">
        <v>50584</v>
      </c>
      <c r="H25" s="48" t="s">
        <v>56716</v>
      </c>
      <c r="I25" s="48" t="s">
        <v>50564</v>
      </c>
      <c r="J25" s="48" t="s">
        <v>56716</v>
      </c>
      <c r="K25" s="50"/>
      <c r="L25" s="48" t="s">
        <v>56716</v>
      </c>
    </row>
    <row r="26" spans="1:12" s="37" customFormat="1" ht="11.25" x14ac:dyDescent="0.2">
      <c r="A26" s="46" t="s">
        <v>14329</v>
      </c>
      <c r="B26" s="46" t="s">
        <v>50703</v>
      </c>
      <c r="C26" s="58" t="str">
        <f>""</f>
        <v/>
      </c>
      <c r="D26" s="58" t="str">
        <f>"19487193"</f>
        <v>19487193</v>
      </c>
      <c r="E26" s="46" t="s">
        <v>776</v>
      </c>
      <c r="F26" s="46" t="s">
        <v>17759</v>
      </c>
      <c r="G26" s="46" t="s">
        <v>50584</v>
      </c>
      <c r="H26" s="48" t="s">
        <v>56716</v>
      </c>
      <c r="I26" s="48" t="s">
        <v>50564</v>
      </c>
      <c r="J26" s="48" t="s">
        <v>56716</v>
      </c>
      <c r="K26" s="50"/>
      <c r="L26" s="48" t="s">
        <v>56716</v>
      </c>
    </row>
    <row r="27" spans="1:12" s="37" customFormat="1" ht="11.25" x14ac:dyDescent="0.2">
      <c r="A27" s="45" t="s">
        <v>17902</v>
      </c>
      <c r="B27" s="45" t="s">
        <v>17904</v>
      </c>
      <c r="C27" s="51" t="s">
        <v>17907</v>
      </c>
      <c r="D27" s="51" t="s">
        <v>17906</v>
      </c>
      <c r="E27" s="45" t="s">
        <v>776</v>
      </c>
      <c r="F27" s="45" t="s">
        <v>17759</v>
      </c>
      <c r="G27" s="45" t="s">
        <v>50584</v>
      </c>
      <c r="H27" s="56"/>
      <c r="I27" s="56" t="s">
        <v>50564</v>
      </c>
      <c r="J27" s="56"/>
      <c r="K27" s="50"/>
      <c r="L27" s="56" t="s">
        <v>56716</v>
      </c>
    </row>
    <row r="28" spans="1:12" s="37" customFormat="1" ht="11.25" x14ac:dyDescent="0.2">
      <c r="A28" s="46" t="s">
        <v>14629</v>
      </c>
      <c r="B28" s="46" t="s">
        <v>50704</v>
      </c>
      <c r="C28" s="58" t="str">
        <f>""</f>
        <v/>
      </c>
      <c r="D28" s="58" t="str">
        <f>"19485875"</f>
        <v>19485875</v>
      </c>
      <c r="E28" s="46" t="s">
        <v>776</v>
      </c>
      <c r="F28" s="46" t="s">
        <v>17759</v>
      </c>
      <c r="G28" s="46" t="s">
        <v>50584</v>
      </c>
      <c r="H28" s="48" t="s">
        <v>56716</v>
      </c>
      <c r="I28" s="48" t="s">
        <v>50564</v>
      </c>
      <c r="J28" s="48" t="s">
        <v>56716</v>
      </c>
      <c r="K28" s="50"/>
      <c r="L28" s="48"/>
    </row>
    <row r="29" spans="1:12" s="37" customFormat="1" ht="11.25" x14ac:dyDescent="0.2">
      <c r="A29" s="45" t="s">
        <v>17911</v>
      </c>
      <c r="B29" s="45" t="s">
        <v>17913</v>
      </c>
      <c r="C29" s="51" t="s">
        <v>17915</v>
      </c>
      <c r="D29" s="51" t="s">
        <v>17914</v>
      </c>
      <c r="E29" s="45" t="s">
        <v>776</v>
      </c>
      <c r="F29" s="45" t="s">
        <v>17759</v>
      </c>
      <c r="G29" s="45" t="s">
        <v>50584</v>
      </c>
      <c r="H29" s="56"/>
      <c r="I29" s="56" t="s">
        <v>50564</v>
      </c>
      <c r="J29" s="56"/>
      <c r="K29" s="50"/>
      <c r="L29" s="56" t="s">
        <v>56716</v>
      </c>
    </row>
    <row r="30" spans="1:12" s="37" customFormat="1" ht="11.25" x14ac:dyDescent="0.2">
      <c r="A30" s="46" t="s">
        <v>16393</v>
      </c>
      <c r="B30" s="46" t="s">
        <v>50705</v>
      </c>
      <c r="C30" s="58" t="str">
        <f>""</f>
        <v/>
      </c>
      <c r="D30" s="58" t="str">
        <f>"21615063"</f>
        <v>21615063</v>
      </c>
      <c r="E30" s="46" t="s">
        <v>776</v>
      </c>
      <c r="F30" s="46" t="s">
        <v>17759</v>
      </c>
      <c r="G30" s="46" t="s">
        <v>50584</v>
      </c>
      <c r="H30" s="48" t="s">
        <v>56716</v>
      </c>
      <c r="I30" s="48" t="s">
        <v>50564</v>
      </c>
      <c r="J30" s="48" t="s">
        <v>56716</v>
      </c>
      <c r="K30" s="50"/>
      <c r="L30" s="48" t="s">
        <v>56716</v>
      </c>
    </row>
    <row r="31" spans="1:12" s="37" customFormat="1" ht="11.25" x14ac:dyDescent="0.2">
      <c r="A31" s="46" t="s">
        <v>11064</v>
      </c>
      <c r="B31" s="46" t="s">
        <v>50706</v>
      </c>
      <c r="C31" s="58" t="str">
        <f>"1000503X"</f>
        <v>1000503X</v>
      </c>
      <c r="D31" s="58" t="str">
        <f>""</f>
        <v/>
      </c>
      <c r="E31" s="46" t="s">
        <v>1006</v>
      </c>
      <c r="F31" s="46" t="s">
        <v>17958</v>
      </c>
      <c r="G31" s="46" t="s">
        <v>50580</v>
      </c>
      <c r="H31" s="48" t="s">
        <v>56716</v>
      </c>
      <c r="I31" s="48" t="s">
        <v>50564</v>
      </c>
      <c r="J31" s="48"/>
      <c r="K31" s="50"/>
      <c r="L31" s="48" t="s">
        <v>56716</v>
      </c>
    </row>
    <row r="32" spans="1:12" s="37" customFormat="1" ht="11.25" x14ac:dyDescent="0.2">
      <c r="A32" s="46" t="s">
        <v>11</v>
      </c>
      <c r="B32" s="46" t="s">
        <v>50707</v>
      </c>
      <c r="C32" s="58" t="str">
        <f>"00015164"</f>
        <v>00015164</v>
      </c>
      <c r="D32" s="58" t="str">
        <f>""</f>
        <v/>
      </c>
      <c r="E32" s="46" t="s">
        <v>13</v>
      </c>
      <c r="F32" s="46" t="s">
        <v>17929</v>
      </c>
      <c r="G32" s="46" t="s">
        <v>50584</v>
      </c>
      <c r="H32" s="48" t="s">
        <v>56716</v>
      </c>
      <c r="I32" s="48" t="s">
        <v>50564</v>
      </c>
      <c r="J32" s="48"/>
      <c r="K32" s="50" t="s">
        <v>56716</v>
      </c>
      <c r="L32" s="48" t="s">
        <v>56716</v>
      </c>
    </row>
    <row r="33" spans="1:12" s="37" customFormat="1" ht="11.25" x14ac:dyDescent="0.2">
      <c r="A33" s="46" t="s">
        <v>47</v>
      </c>
      <c r="B33" s="46" t="s">
        <v>50708</v>
      </c>
      <c r="C33" s="58" t="str">
        <f>"00015172"</f>
        <v>00015172</v>
      </c>
      <c r="D33" s="58" t="str">
        <f>"13996576"</f>
        <v>13996576</v>
      </c>
      <c r="E33" s="46" t="s">
        <v>50</v>
      </c>
      <c r="F33" s="46" t="s">
        <v>18305</v>
      </c>
      <c r="G33" s="46" t="s">
        <v>50584</v>
      </c>
      <c r="H33" s="48" t="s">
        <v>56716</v>
      </c>
      <c r="I33" s="48" t="s">
        <v>50564</v>
      </c>
      <c r="J33" s="48" t="s">
        <v>56716</v>
      </c>
      <c r="K33" s="50" t="s">
        <v>56716</v>
      </c>
      <c r="L33" s="48" t="s">
        <v>56716</v>
      </c>
    </row>
    <row r="34" spans="1:12" s="37" customFormat="1" ht="11.25" x14ac:dyDescent="0.2">
      <c r="A34" s="46" t="s">
        <v>4786</v>
      </c>
      <c r="B34" s="46" t="s">
        <v>50709</v>
      </c>
      <c r="C34" s="58" t="str">
        <f>"05152720"</f>
        <v>05152720</v>
      </c>
      <c r="D34" s="58" t="str">
        <f>"16005430"</f>
        <v>16005430</v>
      </c>
      <c r="E34" s="46" t="s">
        <v>35</v>
      </c>
      <c r="F34" s="46" t="s">
        <v>50646</v>
      </c>
      <c r="G34" s="46" t="s">
        <v>50584</v>
      </c>
      <c r="H34" s="48" t="s">
        <v>56716</v>
      </c>
      <c r="I34" s="48" t="s">
        <v>50564</v>
      </c>
      <c r="J34" s="48" t="s">
        <v>56716</v>
      </c>
      <c r="K34" s="50"/>
      <c r="L34" s="48" t="s">
        <v>56716</v>
      </c>
    </row>
    <row r="35" spans="1:12" s="37" customFormat="1" ht="11.25" x14ac:dyDescent="0.2">
      <c r="A35" s="46" t="s">
        <v>10286</v>
      </c>
      <c r="B35" s="46" t="s">
        <v>50710</v>
      </c>
      <c r="C35" s="58" t="str">
        <f>"18754597"</f>
        <v>18754597</v>
      </c>
      <c r="D35" s="58" t="str">
        <f>"1875452X"</f>
        <v>1875452X</v>
      </c>
      <c r="E35" s="46" t="s">
        <v>6113</v>
      </c>
      <c r="F35" s="46" t="s">
        <v>50654</v>
      </c>
      <c r="G35" s="46" t="s">
        <v>50584</v>
      </c>
      <c r="H35" s="48" t="s">
        <v>56716</v>
      </c>
      <c r="I35" s="48" t="s">
        <v>50564</v>
      </c>
      <c r="J35" s="48"/>
      <c r="K35" s="50" t="s">
        <v>56716</v>
      </c>
      <c r="L35" s="48" t="s">
        <v>56716</v>
      </c>
    </row>
    <row r="36" spans="1:12" s="37" customFormat="1" ht="11.25" x14ac:dyDescent="0.2">
      <c r="A36" s="46" t="s">
        <v>11070</v>
      </c>
      <c r="B36" s="46" t="s">
        <v>50711</v>
      </c>
      <c r="C36" s="58" t="str">
        <f>"05291356"</f>
        <v>05291356</v>
      </c>
      <c r="D36" s="58" t="str">
        <f>""</f>
        <v/>
      </c>
      <c r="E36" s="46" t="s">
        <v>1065</v>
      </c>
      <c r="F36" s="46" t="s">
        <v>17958</v>
      </c>
      <c r="G36" s="46" t="s">
        <v>50580</v>
      </c>
      <c r="H36" s="48" t="s">
        <v>56716</v>
      </c>
      <c r="I36" s="48" t="s">
        <v>50564</v>
      </c>
      <c r="J36" s="48"/>
      <c r="K36" s="50"/>
      <c r="L36" s="48"/>
    </row>
    <row r="37" spans="1:12" s="37" customFormat="1" ht="11.25" x14ac:dyDescent="0.2">
      <c r="A37" s="46" t="s">
        <v>7679</v>
      </c>
      <c r="B37" s="46" t="s">
        <v>50712</v>
      </c>
      <c r="C37" s="58" t="str">
        <f>"1234950X"</f>
        <v>1234950X</v>
      </c>
      <c r="D37" s="58" t="str">
        <f>"16443276"</f>
        <v>16443276</v>
      </c>
      <c r="E37" s="46" t="s">
        <v>1462</v>
      </c>
      <c r="F37" s="46" t="s">
        <v>17967</v>
      </c>
      <c r="G37" s="46" t="s">
        <v>50613</v>
      </c>
      <c r="H37" s="48" t="s">
        <v>56716</v>
      </c>
      <c r="I37" s="48" t="s">
        <v>50564</v>
      </c>
      <c r="J37" s="48"/>
      <c r="K37" s="50"/>
      <c r="L37" s="48"/>
    </row>
    <row r="38" spans="1:12" s="37" customFormat="1" ht="11.25" x14ac:dyDescent="0.2">
      <c r="A38" s="45" t="s">
        <v>17952</v>
      </c>
      <c r="B38" s="45" t="s">
        <v>17954</v>
      </c>
      <c r="C38" s="51" t="s">
        <v>17957</v>
      </c>
      <c r="D38" s="51" t="s">
        <v>17956</v>
      </c>
      <c r="E38" s="45" t="s">
        <v>55</v>
      </c>
      <c r="F38" s="45" t="s">
        <v>17958</v>
      </c>
      <c r="G38" s="45" t="s">
        <v>50584</v>
      </c>
      <c r="H38" s="56"/>
      <c r="I38" s="56" t="s">
        <v>50564</v>
      </c>
      <c r="J38" s="56"/>
      <c r="K38" s="50"/>
      <c r="L38" s="56" t="s">
        <v>56716</v>
      </c>
    </row>
    <row r="39" spans="1:12" s="37" customFormat="1" ht="11.25" x14ac:dyDescent="0.2">
      <c r="A39" s="45" t="s">
        <v>17961</v>
      </c>
      <c r="B39" s="45" t="s">
        <v>17963</v>
      </c>
      <c r="C39" s="51" t="s">
        <v>17965</v>
      </c>
      <c r="D39" s="51" t="s">
        <v>17964</v>
      </c>
      <c r="E39" s="45" t="s">
        <v>17966</v>
      </c>
      <c r="F39" s="45" t="s">
        <v>17967</v>
      </c>
      <c r="G39" s="45" t="s">
        <v>50584</v>
      </c>
      <c r="H39" s="56"/>
      <c r="I39" s="56" t="s">
        <v>50564</v>
      </c>
      <c r="J39" s="56"/>
      <c r="K39" s="50"/>
      <c r="L39" s="56" t="s">
        <v>56716</v>
      </c>
    </row>
    <row r="40" spans="1:12" s="37" customFormat="1" ht="11.25" x14ac:dyDescent="0.2">
      <c r="A40" s="46" t="s">
        <v>76</v>
      </c>
      <c r="B40" s="46" t="s">
        <v>50713</v>
      </c>
      <c r="C40" s="58" t="str">
        <f>"02365383"</f>
        <v>02365383</v>
      </c>
      <c r="D40" s="58" t="str">
        <f>"1588256X"</f>
        <v>1588256X</v>
      </c>
      <c r="E40" s="46" t="s">
        <v>79</v>
      </c>
      <c r="F40" s="46" t="s">
        <v>17976</v>
      </c>
      <c r="G40" s="46" t="s">
        <v>50584</v>
      </c>
      <c r="H40" s="48" t="s">
        <v>56716</v>
      </c>
      <c r="I40" s="48" t="s">
        <v>50564</v>
      </c>
      <c r="J40" s="48"/>
      <c r="K40" s="50"/>
      <c r="L40" s="48" t="s">
        <v>56716</v>
      </c>
    </row>
    <row r="41" spans="1:12" s="37" customFormat="1" ht="11.25" x14ac:dyDescent="0.2">
      <c r="A41" s="46" t="s">
        <v>8767</v>
      </c>
      <c r="B41" s="46" t="s">
        <v>50714</v>
      </c>
      <c r="C41" s="58" t="str">
        <f>"1588385X"</f>
        <v>1588385X</v>
      </c>
      <c r="D41" s="58" t="str">
        <f>"15884082"</f>
        <v>15884082</v>
      </c>
      <c r="E41" s="46" t="s">
        <v>8770</v>
      </c>
      <c r="F41" s="46" t="s">
        <v>17976</v>
      </c>
      <c r="G41" s="46" t="s">
        <v>50584</v>
      </c>
      <c r="H41" s="48" t="s">
        <v>56716</v>
      </c>
      <c r="I41" s="48" t="s">
        <v>50564</v>
      </c>
      <c r="J41" s="48"/>
      <c r="K41" s="50"/>
      <c r="L41" s="48"/>
    </row>
    <row r="42" spans="1:12" s="37" customFormat="1" ht="11.25" x14ac:dyDescent="0.2">
      <c r="A42" s="46" t="s">
        <v>11173</v>
      </c>
      <c r="B42" s="46" t="s">
        <v>50715</v>
      </c>
      <c r="C42" s="58" t="str">
        <f>"17427061"</f>
        <v>17427061</v>
      </c>
      <c r="D42" s="58" t="str">
        <f>"18787568"</f>
        <v>18787568</v>
      </c>
      <c r="E42" s="46" t="s">
        <v>155</v>
      </c>
      <c r="F42" s="46" t="s">
        <v>50646</v>
      </c>
      <c r="G42" s="46" t="s">
        <v>50584</v>
      </c>
      <c r="H42" s="48" t="s">
        <v>56716</v>
      </c>
      <c r="I42" s="48" t="s">
        <v>50564</v>
      </c>
      <c r="J42" s="48" t="s">
        <v>56716</v>
      </c>
      <c r="K42" s="50" t="s">
        <v>56716</v>
      </c>
      <c r="L42" s="48" t="s">
        <v>56716</v>
      </c>
    </row>
    <row r="43" spans="1:12" s="37" customFormat="1" ht="11.25" x14ac:dyDescent="0.2">
      <c r="A43" s="46" t="s">
        <v>680</v>
      </c>
      <c r="B43" s="46" t="s">
        <v>50716</v>
      </c>
      <c r="C43" s="58" t="str">
        <f>"03924203"</f>
        <v>03924203</v>
      </c>
      <c r="D43" s="58" t="str">
        <f>""</f>
        <v/>
      </c>
      <c r="E43" s="46" t="s">
        <v>682</v>
      </c>
      <c r="F43" s="46" t="s">
        <v>17991</v>
      </c>
      <c r="G43" s="46" t="s">
        <v>50602</v>
      </c>
      <c r="H43" s="48" t="s">
        <v>56716</v>
      </c>
      <c r="I43" s="48" t="s">
        <v>50564</v>
      </c>
      <c r="J43" s="48"/>
      <c r="K43" s="50"/>
      <c r="L43" s="48" t="s">
        <v>56716</v>
      </c>
    </row>
    <row r="44" spans="1:12" s="37" customFormat="1" ht="11.25" x14ac:dyDescent="0.2">
      <c r="A44" s="45" t="s">
        <v>17996</v>
      </c>
      <c r="B44" s="45" t="s">
        <v>17998</v>
      </c>
      <c r="C44" s="51" t="s">
        <v>18000</v>
      </c>
      <c r="D44" s="51" t="s">
        <v>17999</v>
      </c>
      <c r="E44" s="45" t="s">
        <v>17783</v>
      </c>
      <c r="F44" s="45" t="s">
        <v>18001</v>
      </c>
      <c r="G44" s="45" t="s">
        <v>50584</v>
      </c>
      <c r="H44" s="56"/>
      <c r="I44" s="56" t="s">
        <v>50564</v>
      </c>
      <c r="J44" s="56"/>
      <c r="K44" s="50"/>
      <c r="L44" s="56" t="s">
        <v>56716</v>
      </c>
    </row>
    <row r="45" spans="1:12" s="37" customFormat="1" ht="11.25" x14ac:dyDescent="0.2">
      <c r="A45" s="46" t="s">
        <v>99</v>
      </c>
      <c r="B45" s="46" t="s">
        <v>50717</v>
      </c>
      <c r="C45" s="58" t="str">
        <f>"00015385"</f>
        <v>00015385</v>
      </c>
      <c r="D45" s="58" t="str">
        <f>"03737934"</f>
        <v>03737934</v>
      </c>
      <c r="E45" s="46" t="s">
        <v>99</v>
      </c>
      <c r="F45" s="46" t="s">
        <v>17929</v>
      </c>
      <c r="G45" s="46" t="s">
        <v>50584</v>
      </c>
      <c r="H45" s="48" t="s">
        <v>56716</v>
      </c>
      <c r="I45" s="48" t="s">
        <v>50564</v>
      </c>
      <c r="J45" s="48"/>
      <c r="K45" s="50"/>
      <c r="L45" s="48" t="s">
        <v>56716</v>
      </c>
    </row>
    <row r="46" spans="1:12" s="37" customFormat="1" ht="11.25" x14ac:dyDescent="0.2">
      <c r="A46" s="46" t="s">
        <v>4415</v>
      </c>
      <c r="B46" s="46" t="s">
        <v>50718</v>
      </c>
      <c r="C46" s="58" t="str">
        <f>"10116842"</f>
        <v>10116842</v>
      </c>
      <c r="D46" s="58" t="str">
        <f>""</f>
        <v/>
      </c>
      <c r="E46" s="46" t="s">
        <v>4417</v>
      </c>
      <c r="F46" s="46" t="s">
        <v>50654</v>
      </c>
      <c r="G46" s="46" t="s">
        <v>50585</v>
      </c>
      <c r="H46" s="48" t="s">
        <v>56716</v>
      </c>
      <c r="I46" s="48" t="s">
        <v>50564</v>
      </c>
      <c r="J46" s="48"/>
      <c r="K46" s="50"/>
      <c r="L46" s="48"/>
    </row>
    <row r="47" spans="1:12" s="37" customFormat="1" ht="11.25" x14ac:dyDescent="0.2">
      <c r="A47" s="45" t="s">
        <v>18012</v>
      </c>
      <c r="B47" s="45" t="s">
        <v>18014</v>
      </c>
      <c r="C47" s="51" t="s">
        <v>18017</v>
      </c>
      <c r="D47" s="51" t="s">
        <v>18016</v>
      </c>
      <c r="E47" s="45" t="s">
        <v>18018</v>
      </c>
      <c r="F47" s="45" t="s">
        <v>18019</v>
      </c>
      <c r="G47" s="45" t="s">
        <v>50584</v>
      </c>
      <c r="H47" s="56"/>
      <c r="I47" s="56" t="s">
        <v>50564</v>
      </c>
      <c r="J47" s="56"/>
      <c r="K47" s="50"/>
      <c r="L47" s="56" t="s">
        <v>56716</v>
      </c>
    </row>
    <row r="48" spans="1:12" s="37" customFormat="1" ht="11.25" x14ac:dyDescent="0.2">
      <c r="A48" s="46" t="s">
        <v>132</v>
      </c>
      <c r="B48" s="46" t="s">
        <v>50719</v>
      </c>
      <c r="C48" s="58" t="str">
        <f>"00015415"</f>
        <v>00015415</v>
      </c>
      <c r="D48" s="58" t="str">
        <f>""</f>
        <v/>
      </c>
      <c r="E48" s="46" t="s">
        <v>134</v>
      </c>
      <c r="F48" s="46" t="s">
        <v>18025</v>
      </c>
      <c r="G48" s="46" t="s">
        <v>50627</v>
      </c>
      <c r="H48" s="48" t="s">
        <v>56716</v>
      </c>
      <c r="I48" s="48" t="s">
        <v>50564</v>
      </c>
      <c r="J48" s="48"/>
      <c r="K48" s="50"/>
      <c r="L48" s="48" t="s">
        <v>56716</v>
      </c>
    </row>
    <row r="49" spans="1:12" s="37" customFormat="1" ht="11.25" x14ac:dyDescent="0.2">
      <c r="A49" s="45" t="s">
        <v>18029</v>
      </c>
      <c r="B49" s="45" t="s">
        <v>18031</v>
      </c>
      <c r="C49" s="51" t="s">
        <v>18033</v>
      </c>
      <c r="D49" s="51" t="s">
        <v>18032</v>
      </c>
      <c r="E49" s="45" t="s">
        <v>18034</v>
      </c>
      <c r="F49" s="45" t="s">
        <v>18025</v>
      </c>
      <c r="G49" s="45" t="s">
        <v>50584</v>
      </c>
      <c r="H49" s="56"/>
      <c r="I49" s="56" t="s">
        <v>50564</v>
      </c>
      <c r="J49" s="56"/>
      <c r="K49" s="50"/>
      <c r="L49" s="56" t="s">
        <v>56716</v>
      </c>
    </row>
    <row r="50" spans="1:12" s="37" customFormat="1" ht="11.25" x14ac:dyDescent="0.2">
      <c r="A50" s="45" t="s">
        <v>18037</v>
      </c>
      <c r="B50" s="45" t="s">
        <v>18039</v>
      </c>
      <c r="C50" s="51" t="s">
        <v>18041</v>
      </c>
      <c r="D50" s="51"/>
      <c r="E50" s="45" t="s">
        <v>17928</v>
      </c>
      <c r="F50" s="45" t="s">
        <v>17929</v>
      </c>
      <c r="G50" s="45" t="s">
        <v>50590</v>
      </c>
      <c r="H50" s="56"/>
      <c r="I50" s="56" t="s">
        <v>50564</v>
      </c>
      <c r="J50" s="56"/>
      <c r="K50" s="50"/>
      <c r="L50" s="56" t="s">
        <v>56716</v>
      </c>
    </row>
    <row r="51" spans="1:12" s="37" customFormat="1" ht="11.25" x14ac:dyDescent="0.2">
      <c r="A51" s="45" t="s">
        <v>18044</v>
      </c>
      <c r="B51" s="45" t="s">
        <v>18046</v>
      </c>
      <c r="C51" s="51" t="s">
        <v>18048</v>
      </c>
      <c r="D51" s="51"/>
      <c r="E51" s="45" t="s">
        <v>18049</v>
      </c>
      <c r="F51" s="45" t="s">
        <v>18050</v>
      </c>
      <c r="G51" s="45" t="s">
        <v>50625</v>
      </c>
      <c r="H51" s="56"/>
      <c r="I51" s="56" t="s">
        <v>50564</v>
      </c>
      <c r="J51" s="56"/>
      <c r="K51" s="50"/>
      <c r="L51" s="56" t="s">
        <v>56716</v>
      </c>
    </row>
    <row r="52" spans="1:12" s="37" customFormat="1" ht="11.25" x14ac:dyDescent="0.2">
      <c r="A52" s="46" t="s">
        <v>144</v>
      </c>
      <c r="B52" s="46" t="s">
        <v>50720</v>
      </c>
      <c r="C52" s="58" t="str">
        <f>"00015504"</f>
        <v>00015504</v>
      </c>
      <c r="D52" s="58" t="str">
        <f>""</f>
        <v/>
      </c>
      <c r="E52" s="46" t="s">
        <v>146</v>
      </c>
      <c r="F52" s="46" t="s">
        <v>21505</v>
      </c>
      <c r="G52" s="46" t="s">
        <v>50631</v>
      </c>
      <c r="H52" s="48" t="s">
        <v>56716</v>
      </c>
      <c r="I52" s="48" t="s">
        <v>50564</v>
      </c>
      <c r="J52" s="48"/>
      <c r="K52" s="50"/>
      <c r="L52" s="48"/>
    </row>
    <row r="53" spans="1:12" s="37" customFormat="1" ht="11.25" x14ac:dyDescent="0.2">
      <c r="A53" s="46" t="s">
        <v>11370</v>
      </c>
      <c r="B53" s="46" t="s">
        <v>50721</v>
      </c>
      <c r="C53" s="58" t="str">
        <f>"01028650"</f>
        <v>01028650</v>
      </c>
      <c r="D53" s="58" t="str">
        <f>"16782674"</f>
        <v>16782674</v>
      </c>
      <c r="E53" s="46" t="s">
        <v>11373</v>
      </c>
      <c r="F53" s="46" t="s">
        <v>18058</v>
      </c>
      <c r="G53" s="46" t="s">
        <v>50614</v>
      </c>
      <c r="H53" s="48" t="s">
        <v>56716</v>
      </c>
      <c r="I53" s="48" t="s">
        <v>50564</v>
      </c>
      <c r="J53" s="48"/>
      <c r="K53" s="50"/>
      <c r="L53" s="48" t="s">
        <v>56716</v>
      </c>
    </row>
    <row r="54" spans="1:12" s="37" customFormat="1" ht="11.25" x14ac:dyDescent="0.2">
      <c r="A54" s="46" t="s">
        <v>102</v>
      </c>
      <c r="B54" s="46" t="s">
        <v>56726</v>
      </c>
      <c r="C54" s="58" t="str">
        <f>"00015512"</f>
        <v>00015512</v>
      </c>
      <c r="D54" s="58" t="str">
        <f>"22953337"</f>
        <v>22953337</v>
      </c>
      <c r="E54" s="46" t="s">
        <v>856</v>
      </c>
      <c r="F54" s="46" t="s">
        <v>50646</v>
      </c>
      <c r="G54" s="46" t="s">
        <v>50590</v>
      </c>
      <c r="H54" s="48" t="s">
        <v>56716</v>
      </c>
      <c r="I54" s="48" t="s">
        <v>50564</v>
      </c>
      <c r="J54" s="48"/>
      <c r="K54" s="50"/>
      <c r="L54" s="48" t="s">
        <v>56716</v>
      </c>
    </row>
    <row r="55" spans="1:12" s="37" customFormat="1" ht="11.25" x14ac:dyDescent="0.2">
      <c r="A55" s="46" t="s">
        <v>5618</v>
      </c>
      <c r="B55" s="46" t="s">
        <v>50722</v>
      </c>
      <c r="C55" s="58" t="str">
        <f>"03539466"</f>
        <v>03539466</v>
      </c>
      <c r="D55" s="58" t="str">
        <f>"13339451"</f>
        <v>13339451</v>
      </c>
      <c r="E55" s="46" t="s">
        <v>5621</v>
      </c>
      <c r="F55" s="46" t="s">
        <v>18079</v>
      </c>
      <c r="G55" s="46" t="s">
        <v>50584</v>
      </c>
      <c r="H55" s="48" t="s">
        <v>56716</v>
      </c>
      <c r="I55" s="48" t="s">
        <v>50564</v>
      </c>
      <c r="J55" s="48"/>
      <c r="K55" s="50"/>
      <c r="L55" s="48" t="s">
        <v>56716</v>
      </c>
    </row>
    <row r="56" spans="1:12" s="37" customFormat="1" ht="11.25" x14ac:dyDescent="0.2">
      <c r="A56" s="46" t="s">
        <v>8099</v>
      </c>
      <c r="B56" s="46" t="s">
        <v>50723</v>
      </c>
      <c r="C56" s="58" t="str">
        <f>"03539474"</f>
        <v>03539474</v>
      </c>
      <c r="D56" s="58" t="str">
        <f>""</f>
        <v/>
      </c>
      <c r="E56" s="46" t="s">
        <v>5621</v>
      </c>
      <c r="F56" s="46" t="s">
        <v>18079</v>
      </c>
      <c r="G56" s="46" t="s">
        <v>50584</v>
      </c>
      <c r="H56" s="48" t="s">
        <v>56716</v>
      </c>
      <c r="I56" s="48" t="s">
        <v>50564</v>
      </c>
      <c r="J56" s="48"/>
      <c r="K56" s="50"/>
      <c r="L56" s="48"/>
    </row>
    <row r="57" spans="1:12" s="37" customFormat="1" ht="11.25" x14ac:dyDescent="0.2">
      <c r="A57" s="46" t="s">
        <v>6657</v>
      </c>
      <c r="B57" s="46" t="s">
        <v>50724</v>
      </c>
      <c r="C57" s="58" t="str">
        <f>"03020029"</f>
        <v>03020029</v>
      </c>
      <c r="D57" s="58" t="str">
        <f>""</f>
        <v/>
      </c>
      <c r="E57" s="46" t="s">
        <v>6659</v>
      </c>
      <c r="F57" s="46" t="s">
        <v>18242</v>
      </c>
      <c r="G57" s="46" t="s">
        <v>50605</v>
      </c>
      <c r="H57" s="48" t="s">
        <v>56716</v>
      </c>
      <c r="I57" s="48" t="s">
        <v>50564</v>
      </c>
      <c r="J57" s="48"/>
      <c r="K57" s="50"/>
      <c r="L57" s="48"/>
    </row>
    <row r="58" spans="1:12" s="37" customFormat="1" ht="11.25" x14ac:dyDescent="0.2">
      <c r="A58" s="45" t="s">
        <v>18082</v>
      </c>
      <c r="B58" s="45" t="s">
        <v>18084</v>
      </c>
      <c r="C58" s="51" t="s">
        <v>18087</v>
      </c>
      <c r="D58" s="51" t="s">
        <v>18086</v>
      </c>
      <c r="E58" s="45" t="s">
        <v>970</v>
      </c>
      <c r="F58" s="45" t="s">
        <v>50646</v>
      </c>
      <c r="G58" s="45" t="s">
        <v>50584</v>
      </c>
      <c r="H58" s="56"/>
      <c r="I58" s="56" t="s">
        <v>50564</v>
      </c>
      <c r="J58" s="56"/>
      <c r="K58" s="50"/>
      <c r="L58" s="56" t="s">
        <v>56716</v>
      </c>
    </row>
    <row r="59" spans="1:12" s="37" customFormat="1" ht="11.25" x14ac:dyDescent="0.2">
      <c r="A59" s="45" t="s">
        <v>18091</v>
      </c>
      <c r="B59" s="45" t="s">
        <v>18093</v>
      </c>
      <c r="C59" s="51"/>
      <c r="D59" s="51" t="s">
        <v>18095</v>
      </c>
      <c r="E59" s="45" t="s">
        <v>50659</v>
      </c>
      <c r="F59" s="45" t="s">
        <v>17759</v>
      </c>
      <c r="G59" s="45" t="s">
        <v>50584</v>
      </c>
      <c r="H59" s="56"/>
      <c r="I59" s="56" t="s">
        <v>50564</v>
      </c>
      <c r="J59" s="56"/>
      <c r="K59" s="50"/>
      <c r="L59" s="56" t="s">
        <v>56716</v>
      </c>
    </row>
    <row r="60" spans="1:12" s="37" customFormat="1" ht="11.25" x14ac:dyDescent="0.2">
      <c r="A60" s="45" t="s">
        <v>18098</v>
      </c>
      <c r="B60" s="45" t="s">
        <v>18100</v>
      </c>
      <c r="C60" s="51"/>
      <c r="D60" s="51" t="s">
        <v>18102</v>
      </c>
      <c r="E60" s="45" t="s">
        <v>50659</v>
      </c>
      <c r="F60" s="45" t="s">
        <v>17759</v>
      </c>
      <c r="G60" s="45" t="s">
        <v>50584</v>
      </c>
      <c r="H60" s="56"/>
      <c r="I60" s="56" t="s">
        <v>50564</v>
      </c>
      <c r="J60" s="56"/>
      <c r="K60" s="50"/>
      <c r="L60" s="56" t="s">
        <v>56716</v>
      </c>
    </row>
    <row r="61" spans="1:12" s="37" customFormat="1" ht="11.25" x14ac:dyDescent="0.2">
      <c r="A61" s="45" t="s">
        <v>18104</v>
      </c>
      <c r="B61" s="45" t="s">
        <v>18106</v>
      </c>
      <c r="C61" s="51" t="s">
        <v>18108</v>
      </c>
      <c r="D61" s="51" t="s">
        <v>18107</v>
      </c>
      <c r="E61" s="45" t="s">
        <v>970</v>
      </c>
      <c r="F61" s="45" t="s">
        <v>17759</v>
      </c>
      <c r="G61" s="45" t="s">
        <v>50584</v>
      </c>
      <c r="H61" s="56"/>
      <c r="I61" s="56" t="s">
        <v>50564</v>
      </c>
      <c r="J61" s="56"/>
      <c r="K61" s="50"/>
      <c r="L61" s="56" t="s">
        <v>56716</v>
      </c>
    </row>
    <row r="62" spans="1:12" s="37" customFormat="1" ht="11.25" x14ac:dyDescent="0.2">
      <c r="A62" s="45" t="s">
        <v>18111</v>
      </c>
      <c r="B62" s="45" t="s">
        <v>18113</v>
      </c>
      <c r="C62" s="51"/>
      <c r="D62" s="51" t="s">
        <v>18115</v>
      </c>
      <c r="E62" s="45" t="s">
        <v>50660</v>
      </c>
      <c r="F62" s="45" t="s">
        <v>17759</v>
      </c>
      <c r="G62" s="45" t="s">
        <v>50584</v>
      </c>
      <c r="H62" s="56"/>
      <c r="I62" s="56" t="s">
        <v>50564</v>
      </c>
      <c r="J62" s="56"/>
      <c r="K62" s="50"/>
      <c r="L62" s="56" t="s">
        <v>56716</v>
      </c>
    </row>
    <row r="63" spans="1:12" s="37" customFormat="1" ht="11.25" x14ac:dyDescent="0.2">
      <c r="A63" s="46" t="s">
        <v>148</v>
      </c>
      <c r="B63" s="46" t="s">
        <v>50725</v>
      </c>
      <c r="C63" s="58" t="str">
        <f>"00015547"</f>
        <v>00015547</v>
      </c>
      <c r="D63" s="58" t="str">
        <f>"19382650"</f>
        <v>19382650</v>
      </c>
      <c r="E63" s="46" t="s">
        <v>109</v>
      </c>
      <c r="F63" s="46" t="s">
        <v>18123</v>
      </c>
      <c r="G63" s="46" t="s">
        <v>50584</v>
      </c>
      <c r="H63" s="48" t="s">
        <v>56716</v>
      </c>
      <c r="I63" s="48" t="s">
        <v>50564</v>
      </c>
      <c r="J63" s="48" t="s">
        <v>56716</v>
      </c>
      <c r="K63" s="50" t="s">
        <v>56716</v>
      </c>
      <c r="L63" s="48" t="s">
        <v>56716</v>
      </c>
    </row>
    <row r="64" spans="1:12" s="37" customFormat="1" ht="11.25" x14ac:dyDescent="0.2">
      <c r="A64" s="46" t="s">
        <v>180</v>
      </c>
      <c r="B64" s="46" t="s">
        <v>50726</v>
      </c>
      <c r="C64" s="58" t="str">
        <f>"00015555"</f>
        <v>00015555</v>
      </c>
      <c r="D64" s="58" t="str">
        <f>"16512057"</f>
        <v>16512057</v>
      </c>
      <c r="E64" s="46" t="s">
        <v>183</v>
      </c>
      <c r="F64" s="46" t="s">
        <v>18130</v>
      </c>
      <c r="G64" s="46" t="s">
        <v>50584</v>
      </c>
      <c r="H64" s="48" t="s">
        <v>56716</v>
      </c>
      <c r="I64" s="48" t="s">
        <v>50564</v>
      </c>
      <c r="J64" s="48" t="s">
        <v>56716</v>
      </c>
      <c r="K64" s="50"/>
      <c r="L64" s="48" t="s">
        <v>56716</v>
      </c>
    </row>
    <row r="65" spans="1:12" s="37" customFormat="1" ht="11.25" x14ac:dyDescent="0.2">
      <c r="A65" s="46" t="s">
        <v>4852</v>
      </c>
      <c r="B65" s="46" t="s">
        <v>50727</v>
      </c>
      <c r="C65" s="58" t="str">
        <f>"03658341"</f>
        <v>03658341</v>
      </c>
      <c r="D65" s="58" t="str">
        <f>""</f>
        <v/>
      </c>
      <c r="E65" s="46" t="s">
        <v>4854</v>
      </c>
      <c r="F65" s="46" t="s">
        <v>18130</v>
      </c>
      <c r="G65" s="46" t="s">
        <v>50584</v>
      </c>
      <c r="H65" s="48" t="s">
        <v>56716</v>
      </c>
      <c r="I65" s="48" t="s">
        <v>50564</v>
      </c>
      <c r="J65" s="48" t="s">
        <v>56716</v>
      </c>
      <c r="K65" s="50"/>
      <c r="L65" s="48"/>
    </row>
    <row r="66" spans="1:12" s="37" customFormat="1" ht="11.25" x14ac:dyDescent="0.2">
      <c r="A66" s="46" t="s">
        <v>6136</v>
      </c>
      <c r="B66" s="46" t="s">
        <v>50728</v>
      </c>
      <c r="C66" s="58" t="str">
        <f>"13184458"</f>
        <v>13184458</v>
      </c>
      <c r="D66" s="58" t="str">
        <f>""</f>
        <v/>
      </c>
      <c r="E66" s="46" t="s">
        <v>6138</v>
      </c>
      <c r="F66" s="46" t="s">
        <v>18019</v>
      </c>
      <c r="G66" s="46" t="s">
        <v>50584</v>
      </c>
      <c r="H66" s="48" t="s">
        <v>56716</v>
      </c>
      <c r="I66" s="48" t="s">
        <v>50564</v>
      </c>
      <c r="J66" s="48"/>
      <c r="K66" s="50"/>
      <c r="L66" s="48" t="s">
        <v>56716</v>
      </c>
    </row>
    <row r="67" spans="1:12" s="37" customFormat="1" ht="11.25" x14ac:dyDescent="0.2">
      <c r="A67" s="46" t="s">
        <v>6108</v>
      </c>
      <c r="B67" s="46" t="s">
        <v>50729</v>
      </c>
      <c r="C67" s="58" t="str">
        <f>"1330027X"</f>
        <v>1330027X</v>
      </c>
      <c r="D67" s="58" t="str">
        <f>""</f>
        <v/>
      </c>
      <c r="E67" s="46" t="s">
        <v>6110</v>
      </c>
      <c r="F67" s="46" t="s">
        <v>18079</v>
      </c>
      <c r="G67" s="46" t="s">
        <v>50626</v>
      </c>
      <c r="H67" s="48" t="s">
        <v>56716</v>
      </c>
      <c r="I67" s="48" t="s">
        <v>50564</v>
      </c>
      <c r="J67" s="48"/>
      <c r="K67" s="50"/>
      <c r="L67" s="48" t="s">
        <v>56716</v>
      </c>
    </row>
    <row r="68" spans="1:12" s="37" customFormat="1" ht="11.25" x14ac:dyDescent="0.2">
      <c r="A68" s="46" t="s">
        <v>5659</v>
      </c>
      <c r="B68" s="46" t="s">
        <v>50730</v>
      </c>
      <c r="C68" s="58" t="str">
        <f>"09405429"</f>
        <v>09405429</v>
      </c>
      <c r="D68" s="58" t="str">
        <f>"14325233"</f>
        <v>14325233</v>
      </c>
      <c r="E68" s="46" t="s">
        <v>55895</v>
      </c>
      <c r="F68" s="46" t="s">
        <v>17991</v>
      </c>
      <c r="G68" s="46" t="s">
        <v>50584</v>
      </c>
      <c r="H68" s="48" t="s">
        <v>56716</v>
      </c>
      <c r="I68" s="48" t="s">
        <v>50564</v>
      </c>
      <c r="J68" s="48" t="s">
        <v>56716</v>
      </c>
      <c r="K68" s="50" t="s">
        <v>56716</v>
      </c>
      <c r="L68" s="48" t="s">
        <v>56716</v>
      </c>
    </row>
    <row r="69" spans="1:12" s="37" customFormat="1" ht="11.25" x14ac:dyDescent="0.2">
      <c r="A69" s="46" t="s">
        <v>195</v>
      </c>
      <c r="B69" s="46" t="s">
        <v>50731</v>
      </c>
      <c r="C69" s="58" t="str">
        <f>"0240642X"</f>
        <v>0240642X</v>
      </c>
      <c r="D69" s="58" t="str">
        <f>"19585454"</f>
        <v>19585454</v>
      </c>
      <c r="E69" s="46" t="s">
        <v>11245</v>
      </c>
      <c r="F69" s="46" t="s">
        <v>20359</v>
      </c>
      <c r="G69" s="46" t="s">
        <v>50590</v>
      </c>
      <c r="H69" s="48" t="s">
        <v>56716</v>
      </c>
      <c r="I69" s="48" t="s">
        <v>50564</v>
      </c>
      <c r="J69" s="48"/>
      <c r="K69" s="50" t="s">
        <v>56716</v>
      </c>
      <c r="L69" s="48"/>
    </row>
    <row r="70" spans="1:12" s="37" customFormat="1" ht="11.25" x14ac:dyDescent="0.2">
      <c r="A70" s="46" t="s">
        <v>13081</v>
      </c>
      <c r="B70" s="46" t="s">
        <v>50732</v>
      </c>
      <c r="C70" s="58" t="str">
        <f>"03516083"</f>
        <v>03516083</v>
      </c>
      <c r="D70" s="58" t="str">
        <f>"22172521"</f>
        <v>22172521</v>
      </c>
      <c r="E70" s="46" t="s">
        <v>13084</v>
      </c>
      <c r="F70" s="46" t="s">
        <v>18158</v>
      </c>
      <c r="G70" s="46" t="s">
        <v>50584</v>
      </c>
      <c r="H70" s="48" t="s">
        <v>56716</v>
      </c>
      <c r="I70" s="48" t="s">
        <v>50564</v>
      </c>
      <c r="J70" s="48"/>
      <c r="K70" s="50"/>
      <c r="L70" s="48"/>
    </row>
    <row r="71" spans="1:12" s="37" customFormat="1" ht="11.25" x14ac:dyDescent="0.2">
      <c r="A71" s="46" t="s">
        <v>56452</v>
      </c>
      <c r="B71" s="46" t="s">
        <v>56453</v>
      </c>
      <c r="C71" s="58" t="str">
        <f>"03012298"</f>
        <v>03012298</v>
      </c>
      <c r="D71" s="58" t="str">
        <f>"13386786"</f>
        <v>13386786</v>
      </c>
      <c r="E71" s="46" t="s">
        <v>56454</v>
      </c>
      <c r="F71" s="46" t="s">
        <v>18158</v>
      </c>
      <c r="G71" s="46" t="s">
        <v>50592</v>
      </c>
      <c r="H71" s="48" t="s">
        <v>56716</v>
      </c>
      <c r="I71" s="48" t="s">
        <v>50564</v>
      </c>
      <c r="J71" s="48" t="s">
        <v>56716</v>
      </c>
      <c r="K71" s="50"/>
      <c r="L71" s="48"/>
    </row>
    <row r="72" spans="1:12" s="37" customFormat="1" ht="11.25" x14ac:dyDescent="0.2">
      <c r="A72" s="46" t="s">
        <v>210</v>
      </c>
      <c r="B72" s="46" t="s">
        <v>50733</v>
      </c>
      <c r="C72" s="58" t="str">
        <f>"00015644"</f>
        <v>00015644</v>
      </c>
      <c r="D72" s="58" t="str">
        <f>""</f>
        <v/>
      </c>
      <c r="E72" s="46" t="s">
        <v>212</v>
      </c>
      <c r="F72" s="46" t="s">
        <v>17929</v>
      </c>
      <c r="G72" s="46" t="s">
        <v>50590</v>
      </c>
      <c r="H72" s="48" t="s">
        <v>56716</v>
      </c>
      <c r="I72" s="48" t="s">
        <v>50564</v>
      </c>
      <c r="J72" s="48"/>
      <c r="K72" s="50"/>
      <c r="L72" s="48" t="s">
        <v>56716</v>
      </c>
    </row>
    <row r="73" spans="1:12" s="37" customFormat="1" ht="11.25" x14ac:dyDescent="0.2">
      <c r="A73" s="46" t="s">
        <v>230</v>
      </c>
      <c r="B73" s="46" t="s">
        <v>50734</v>
      </c>
      <c r="C73" s="58" t="str">
        <f>"03009033"</f>
        <v>03009033</v>
      </c>
      <c r="D73" s="58" t="str">
        <f>"03009033"</f>
        <v>03009033</v>
      </c>
      <c r="E73" s="46" t="s">
        <v>232</v>
      </c>
      <c r="F73" s="46" t="s">
        <v>18169</v>
      </c>
      <c r="G73" s="46" t="s">
        <v>50632</v>
      </c>
      <c r="H73" s="48" t="s">
        <v>56716</v>
      </c>
      <c r="I73" s="48" t="s">
        <v>50564</v>
      </c>
      <c r="J73" s="48"/>
      <c r="K73" s="50"/>
      <c r="L73" s="48" t="s">
        <v>56716</v>
      </c>
    </row>
    <row r="74" spans="1:12" s="37" customFormat="1" ht="11.25" x14ac:dyDescent="0.2">
      <c r="A74" s="46" t="s">
        <v>113</v>
      </c>
      <c r="B74" s="46" t="s">
        <v>50735</v>
      </c>
      <c r="C74" s="58" t="str">
        <f>"00015776"</f>
        <v>00015776</v>
      </c>
      <c r="D74" s="58" t="str">
        <f>""</f>
        <v/>
      </c>
      <c r="E74" s="46" t="s">
        <v>115</v>
      </c>
      <c r="F74" s="46" t="s">
        <v>18439</v>
      </c>
      <c r="G74" s="46" t="s">
        <v>50632</v>
      </c>
      <c r="H74" s="48" t="s">
        <v>56716</v>
      </c>
      <c r="I74" s="48" t="s">
        <v>50564</v>
      </c>
      <c r="J74" s="48"/>
      <c r="K74" s="50"/>
      <c r="L74" s="48"/>
    </row>
    <row r="75" spans="1:12" s="37" customFormat="1" ht="11.25" x14ac:dyDescent="0.2">
      <c r="A75" s="46" t="s">
        <v>119</v>
      </c>
      <c r="B75" s="46" t="s">
        <v>50736</v>
      </c>
      <c r="C75" s="58" t="str">
        <f>"00015792"</f>
        <v>00015792</v>
      </c>
      <c r="D75" s="58" t="str">
        <f>"14219662"</f>
        <v>14219662</v>
      </c>
      <c r="E75" s="46" t="s">
        <v>109</v>
      </c>
      <c r="F75" s="46" t="s">
        <v>18123</v>
      </c>
      <c r="G75" s="46" t="s">
        <v>50584</v>
      </c>
      <c r="H75" s="48" t="s">
        <v>56716</v>
      </c>
      <c r="I75" s="48" t="s">
        <v>50564</v>
      </c>
      <c r="J75" s="48" t="s">
        <v>56716</v>
      </c>
      <c r="K75" s="50" t="s">
        <v>56716</v>
      </c>
      <c r="L75" s="48" t="s">
        <v>56716</v>
      </c>
    </row>
    <row r="76" spans="1:12" s="37" customFormat="1" ht="11.25" x14ac:dyDescent="0.2">
      <c r="A76" s="46" t="s">
        <v>246</v>
      </c>
      <c r="B76" s="46" t="s">
        <v>50737</v>
      </c>
      <c r="C76" s="58" t="str">
        <f>"00015814"</f>
        <v>00015814</v>
      </c>
      <c r="D76" s="58" t="str">
        <f>""</f>
        <v/>
      </c>
      <c r="E76" s="46" t="s">
        <v>56270</v>
      </c>
      <c r="F76" s="46" t="s">
        <v>17967</v>
      </c>
      <c r="G76" s="46" t="s">
        <v>50612</v>
      </c>
      <c r="H76" s="48" t="s">
        <v>56716</v>
      </c>
      <c r="I76" s="48" t="s">
        <v>50564</v>
      </c>
      <c r="J76" s="48"/>
      <c r="K76" s="50" t="s">
        <v>56716</v>
      </c>
      <c r="L76" s="48"/>
    </row>
    <row r="77" spans="1:12" s="37" customFormat="1" ht="11.25" x14ac:dyDescent="0.2">
      <c r="A77" s="46" t="s">
        <v>2796</v>
      </c>
      <c r="B77" s="46" t="s">
        <v>50738</v>
      </c>
      <c r="C77" s="58" t="str">
        <f>"04514203"</f>
        <v>04514203</v>
      </c>
      <c r="D77" s="58" t="str">
        <f>"18813593"</f>
        <v>18813593</v>
      </c>
      <c r="E77" s="46" t="s">
        <v>2799</v>
      </c>
      <c r="F77" s="46" t="s">
        <v>18242</v>
      </c>
      <c r="G77" s="46" t="s">
        <v>50604</v>
      </c>
      <c r="H77" s="48" t="s">
        <v>56716</v>
      </c>
      <c r="I77" s="48" t="s">
        <v>50564</v>
      </c>
      <c r="J77" s="48"/>
      <c r="K77" s="50"/>
      <c r="L77" s="48"/>
    </row>
    <row r="78" spans="1:12" s="37" customFormat="1" ht="11.25" x14ac:dyDescent="0.2">
      <c r="A78" s="46" t="s">
        <v>238</v>
      </c>
      <c r="B78" s="46" t="s">
        <v>50739</v>
      </c>
      <c r="C78" s="58" t="str">
        <f>"00651281"</f>
        <v>00651281</v>
      </c>
      <c r="D78" s="58" t="str">
        <f>"16180372"</f>
        <v>16180372</v>
      </c>
      <c r="E78" s="46" t="s">
        <v>241</v>
      </c>
      <c r="F78" s="46" t="s">
        <v>18158</v>
      </c>
      <c r="G78" s="46" t="s">
        <v>50592</v>
      </c>
      <c r="H78" s="48" t="s">
        <v>56716</v>
      </c>
      <c r="I78" s="48" t="s">
        <v>50564</v>
      </c>
      <c r="J78" s="48"/>
      <c r="K78" s="50" t="s">
        <v>56716</v>
      </c>
      <c r="L78" s="48" t="s">
        <v>56716</v>
      </c>
    </row>
    <row r="79" spans="1:12" s="37" customFormat="1" ht="11.25" x14ac:dyDescent="0.2">
      <c r="A79" s="45" t="s">
        <v>18188</v>
      </c>
      <c r="B79" s="45" t="s">
        <v>18190</v>
      </c>
      <c r="C79" s="51" t="s">
        <v>18191</v>
      </c>
      <c r="D79" s="51"/>
      <c r="E79" s="45" t="s">
        <v>18192</v>
      </c>
      <c r="F79" s="45" t="s">
        <v>18158</v>
      </c>
      <c r="G79" s="45" t="s">
        <v>50593</v>
      </c>
      <c r="H79" s="56"/>
      <c r="I79" s="56" t="s">
        <v>50564</v>
      </c>
      <c r="J79" s="56"/>
      <c r="K79" s="50"/>
      <c r="L79" s="56" t="s">
        <v>56716</v>
      </c>
    </row>
    <row r="80" spans="1:12" s="37" customFormat="1" ht="11.25" x14ac:dyDescent="0.2">
      <c r="A80" s="46" t="s">
        <v>12172</v>
      </c>
      <c r="B80" s="46" t="s">
        <v>50740</v>
      </c>
      <c r="C80" s="58" t="str">
        <f>"03538109"</f>
        <v>03538109</v>
      </c>
      <c r="D80" s="58" t="str">
        <f>"19865988"</f>
        <v>19865988</v>
      </c>
      <c r="E80" s="46" t="s">
        <v>12175</v>
      </c>
      <c r="F80" s="46" t="s">
        <v>50644</v>
      </c>
      <c r="G80" s="46" t="s">
        <v>50584</v>
      </c>
      <c r="H80" s="48" t="s">
        <v>56716</v>
      </c>
      <c r="I80" s="48" t="s">
        <v>50564</v>
      </c>
      <c r="J80" s="48"/>
      <c r="K80" s="50"/>
      <c r="L80" s="48"/>
    </row>
    <row r="81" spans="1:12" s="37" customFormat="1" ht="11.25" x14ac:dyDescent="0.2">
      <c r="A81" s="45" t="s">
        <v>18195</v>
      </c>
      <c r="B81" s="45" t="s">
        <v>18197</v>
      </c>
      <c r="C81" s="51" t="s">
        <v>18199</v>
      </c>
      <c r="D81" s="51"/>
      <c r="E81" s="45" t="s">
        <v>18200</v>
      </c>
      <c r="F81" s="45" t="s">
        <v>18025</v>
      </c>
      <c r="G81" s="45" t="s">
        <v>50584</v>
      </c>
      <c r="H81" s="56"/>
      <c r="I81" s="56" t="s">
        <v>50564</v>
      </c>
      <c r="J81" s="56"/>
      <c r="K81" s="50"/>
      <c r="L81" s="56" t="s">
        <v>56716</v>
      </c>
    </row>
    <row r="82" spans="1:12" s="37" customFormat="1" ht="11.25" x14ac:dyDescent="0.2">
      <c r="A82" s="45" t="s">
        <v>18203</v>
      </c>
      <c r="B82" s="45" t="s">
        <v>18205</v>
      </c>
      <c r="C82" s="51" t="s">
        <v>18208</v>
      </c>
      <c r="D82" s="51" t="s">
        <v>18207</v>
      </c>
      <c r="E82" s="45" t="s">
        <v>18209</v>
      </c>
      <c r="F82" s="45" t="s">
        <v>50644</v>
      </c>
      <c r="G82" s="45" t="s">
        <v>50584</v>
      </c>
      <c r="H82" s="56"/>
      <c r="I82" s="56" t="s">
        <v>50564</v>
      </c>
      <c r="J82" s="56"/>
      <c r="K82" s="50"/>
      <c r="L82" s="56" t="s">
        <v>56716</v>
      </c>
    </row>
    <row r="83" spans="1:12" s="37" customFormat="1" ht="11.25" x14ac:dyDescent="0.2">
      <c r="A83" s="46" t="s">
        <v>450</v>
      </c>
      <c r="B83" s="46" t="s">
        <v>50741</v>
      </c>
      <c r="C83" s="58" t="str">
        <f>"03241750"</f>
        <v>03241750</v>
      </c>
      <c r="D83" s="58" t="str">
        <f>""</f>
        <v/>
      </c>
      <c r="E83" s="46" t="s">
        <v>452</v>
      </c>
      <c r="F83" s="46" t="s">
        <v>19251</v>
      </c>
      <c r="G83" s="46" t="s">
        <v>50584</v>
      </c>
      <c r="H83" s="48" t="s">
        <v>56716</v>
      </c>
      <c r="I83" s="48" t="s">
        <v>50564</v>
      </c>
      <c r="J83" s="48"/>
      <c r="K83" s="50"/>
      <c r="L83" s="48"/>
    </row>
    <row r="84" spans="1:12" s="37" customFormat="1" ht="11.25" x14ac:dyDescent="0.2">
      <c r="A84" s="46" t="s">
        <v>5685</v>
      </c>
      <c r="B84" s="46" t="s">
        <v>50742</v>
      </c>
      <c r="C84" s="58" t="str">
        <f>"13300164"</f>
        <v>13300164</v>
      </c>
      <c r="D84" s="58" t="str">
        <f>""</f>
        <v/>
      </c>
      <c r="E84" s="46" t="s">
        <v>5687</v>
      </c>
      <c r="F84" s="46" t="s">
        <v>18079</v>
      </c>
      <c r="G84" s="46" t="s">
        <v>50598</v>
      </c>
      <c r="H84" s="48" t="s">
        <v>56716</v>
      </c>
      <c r="I84" s="48" t="s">
        <v>50564</v>
      </c>
      <c r="J84" s="48"/>
      <c r="K84" s="50"/>
      <c r="L84" s="48" t="s">
        <v>56716</v>
      </c>
    </row>
    <row r="85" spans="1:12" s="37" customFormat="1" ht="11.25" x14ac:dyDescent="0.2">
      <c r="A85" s="45" t="s">
        <v>18220</v>
      </c>
      <c r="B85" s="45" t="s">
        <v>18222</v>
      </c>
      <c r="C85" s="51" t="s">
        <v>18223</v>
      </c>
      <c r="D85" s="51"/>
      <c r="E85" s="45" t="s">
        <v>18224</v>
      </c>
      <c r="F85" s="45" t="s">
        <v>18225</v>
      </c>
      <c r="G85" s="45" t="s">
        <v>50584</v>
      </c>
      <c r="H85" s="56"/>
      <c r="I85" s="56" t="s">
        <v>50564</v>
      </c>
      <c r="J85" s="56"/>
      <c r="K85" s="50"/>
      <c r="L85" s="56" t="s">
        <v>56716</v>
      </c>
    </row>
    <row r="86" spans="1:12" s="37" customFormat="1" ht="11.25" x14ac:dyDescent="0.2">
      <c r="A86" s="46" t="s">
        <v>4549</v>
      </c>
      <c r="B86" s="46" t="s">
        <v>50743</v>
      </c>
      <c r="C86" s="58" t="str">
        <f>"00446025"</f>
        <v>00446025</v>
      </c>
      <c r="D86" s="58" t="str">
        <f>"17359694"</f>
        <v>17359694</v>
      </c>
      <c r="E86" s="46" t="s">
        <v>4552</v>
      </c>
      <c r="F86" s="46" t="s">
        <v>18232</v>
      </c>
      <c r="G86" s="46" t="s">
        <v>50584</v>
      </c>
      <c r="H86" s="48" t="s">
        <v>56716</v>
      </c>
      <c r="I86" s="48" t="s">
        <v>50564</v>
      </c>
      <c r="J86" s="48"/>
      <c r="K86" s="50"/>
      <c r="L86" s="48" t="s">
        <v>56716</v>
      </c>
    </row>
    <row r="87" spans="1:12" s="37" customFormat="1" ht="11.25" x14ac:dyDescent="0.2">
      <c r="A87" s="46" t="s">
        <v>56251</v>
      </c>
      <c r="B87" s="46" t="s">
        <v>56252</v>
      </c>
      <c r="C87" s="58" t="str">
        <f>"13358421"</f>
        <v>13358421</v>
      </c>
      <c r="D87" s="58" t="str">
        <f>"13384139"</f>
        <v>13384139</v>
      </c>
      <c r="E87" s="46" t="s">
        <v>56253</v>
      </c>
      <c r="F87" s="46" t="s">
        <v>17967</v>
      </c>
      <c r="G87" s="46" t="s">
        <v>50584</v>
      </c>
      <c r="H87" s="48" t="s">
        <v>56716</v>
      </c>
      <c r="I87" s="48" t="s">
        <v>50564</v>
      </c>
      <c r="J87" s="48" t="s">
        <v>56716</v>
      </c>
      <c r="K87" s="50"/>
      <c r="L87" s="48"/>
    </row>
    <row r="88" spans="1:12" s="37" customFormat="1" ht="11.25" x14ac:dyDescent="0.2">
      <c r="A88" s="46" t="s">
        <v>9367</v>
      </c>
      <c r="B88" s="46" t="s">
        <v>50744</v>
      </c>
      <c r="C88" s="58" t="str">
        <f>"03936384"</f>
        <v>03936384</v>
      </c>
      <c r="D88" s="58" t="str">
        <f>""</f>
        <v/>
      </c>
      <c r="E88" s="46" t="s">
        <v>9369</v>
      </c>
      <c r="F88" s="46" t="s">
        <v>17991</v>
      </c>
      <c r="G88" s="46" t="s">
        <v>50594</v>
      </c>
      <c r="H88" s="48" t="s">
        <v>56716</v>
      </c>
      <c r="I88" s="48" t="s">
        <v>50564</v>
      </c>
      <c r="J88" s="48"/>
      <c r="K88" s="50"/>
      <c r="L88" s="48"/>
    </row>
    <row r="89" spans="1:12" s="37" customFormat="1" ht="11.25" x14ac:dyDescent="0.2">
      <c r="A89" s="46" t="s">
        <v>457</v>
      </c>
      <c r="B89" s="46" t="s">
        <v>50745</v>
      </c>
      <c r="C89" s="58" t="str">
        <f>"00016055"</f>
        <v>00016055</v>
      </c>
      <c r="D89" s="58" t="str">
        <f>"00016055"</f>
        <v>00016055</v>
      </c>
      <c r="E89" s="46" t="s">
        <v>459</v>
      </c>
      <c r="F89" s="46" t="s">
        <v>18242</v>
      </c>
      <c r="G89" s="46" t="s">
        <v>50584</v>
      </c>
      <c r="H89" s="48" t="s">
        <v>56716</v>
      </c>
      <c r="I89" s="48" t="s">
        <v>50564</v>
      </c>
      <c r="J89" s="48"/>
      <c r="K89" s="50"/>
      <c r="L89" s="48"/>
    </row>
    <row r="90" spans="1:12" s="37" customFormat="1" ht="11.25" x14ac:dyDescent="0.2">
      <c r="A90" s="45" t="s">
        <v>18236</v>
      </c>
      <c r="B90" s="45" t="s">
        <v>18238</v>
      </c>
      <c r="C90" s="51" t="s">
        <v>18240</v>
      </c>
      <c r="D90" s="51"/>
      <c r="E90" s="45" t="s">
        <v>18241</v>
      </c>
      <c r="F90" s="45" t="s">
        <v>18242</v>
      </c>
      <c r="G90" s="45" t="s">
        <v>50584</v>
      </c>
      <c r="H90" s="56"/>
      <c r="I90" s="56" t="s">
        <v>50564</v>
      </c>
      <c r="J90" s="56"/>
      <c r="K90" s="50"/>
      <c r="L90" s="56" t="s">
        <v>56716</v>
      </c>
    </row>
    <row r="91" spans="1:12" s="37" customFormat="1" ht="11.25" x14ac:dyDescent="0.2">
      <c r="A91" s="46" t="s">
        <v>462</v>
      </c>
      <c r="B91" s="46" t="s">
        <v>50746</v>
      </c>
      <c r="C91" s="58" t="str">
        <f>"0870399X"</f>
        <v>0870399X</v>
      </c>
      <c r="D91" s="58" t="str">
        <f>"16460758"</f>
        <v>16460758</v>
      </c>
      <c r="E91" s="46" t="s">
        <v>465</v>
      </c>
      <c r="F91" s="46" t="s">
        <v>18249</v>
      </c>
      <c r="G91" s="46" t="s">
        <v>50614</v>
      </c>
      <c r="H91" s="48" t="s">
        <v>56716</v>
      </c>
      <c r="I91" s="48" t="s">
        <v>50564</v>
      </c>
      <c r="J91" s="48"/>
      <c r="K91" s="50"/>
      <c r="L91" s="48" t="s">
        <v>56716</v>
      </c>
    </row>
    <row r="92" spans="1:12" s="37" customFormat="1" ht="11.25" x14ac:dyDescent="0.2">
      <c r="A92" s="46" t="s">
        <v>12152</v>
      </c>
      <c r="B92" s="46" t="s">
        <v>50747</v>
      </c>
      <c r="C92" s="58" t="str">
        <f>"0350364X"</f>
        <v>0350364X</v>
      </c>
      <c r="D92" s="58" t="str">
        <f>"18403956"</f>
        <v>18403956</v>
      </c>
      <c r="E92" s="46" t="s">
        <v>12155</v>
      </c>
      <c r="F92" s="46" t="s">
        <v>50644</v>
      </c>
      <c r="G92" s="46" t="s">
        <v>50584</v>
      </c>
      <c r="H92" s="48" t="s">
        <v>56716</v>
      </c>
      <c r="I92" s="48" t="s">
        <v>50564</v>
      </c>
      <c r="J92" s="48"/>
      <c r="K92" s="50"/>
      <c r="L92" s="48"/>
    </row>
    <row r="93" spans="1:12" s="37" customFormat="1" ht="11.25" x14ac:dyDescent="0.2">
      <c r="A93" s="45" t="s">
        <v>18253</v>
      </c>
      <c r="B93" s="45" t="s">
        <v>18255</v>
      </c>
      <c r="C93" s="51" t="s">
        <v>18257</v>
      </c>
      <c r="D93" s="51" t="s">
        <v>18256</v>
      </c>
      <c r="E93" s="45" t="s">
        <v>18258</v>
      </c>
      <c r="F93" s="45" t="s">
        <v>18079</v>
      </c>
      <c r="G93" s="45" t="s">
        <v>50625</v>
      </c>
      <c r="H93" s="56"/>
      <c r="I93" s="56" t="s">
        <v>50564</v>
      </c>
      <c r="J93" s="56"/>
      <c r="K93" s="50"/>
      <c r="L93" s="56" t="s">
        <v>56716</v>
      </c>
    </row>
    <row r="94" spans="1:12" s="37" customFormat="1" ht="11.25" x14ac:dyDescent="0.2">
      <c r="A94" s="46" t="s">
        <v>9622</v>
      </c>
      <c r="B94" s="46" t="s">
        <v>50748</v>
      </c>
      <c r="C94" s="58" t="str">
        <f>"12178950"</f>
        <v>12178950</v>
      </c>
      <c r="D94" s="58" t="str">
        <f>"15882640"</f>
        <v>15882640</v>
      </c>
      <c r="E94" s="46" t="s">
        <v>79</v>
      </c>
      <c r="F94" s="45" t="s">
        <v>17976</v>
      </c>
      <c r="G94" s="46" t="s">
        <v>50584</v>
      </c>
      <c r="H94" s="48" t="s">
        <v>56716</v>
      </c>
      <c r="I94" s="48" t="s">
        <v>50564</v>
      </c>
      <c r="J94" s="48"/>
      <c r="K94" s="50"/>
      <c r="L94" s="48" t="s">
        <v>56716</v>
      </c>
    </row>
    <row r="95" spans="1:12" s="37" customFormat="1" ht="11.25" x14ac:dyDescent="0.2">
      <c r="A95" s="46" t="s">
        <v>442</v>
      </c>
      <c r="B95" s="46" t="s">
        <v>50749</v>
      </c>
      <c r="C95" s="58" t="str">
        <f>"04389573"</f>
        <v>04389573</v>
      </c>
      <c r="D95" s="58" t="str">
        <f>""</f>
        <v/>
      </c>
      <c r="E95" s="46" t="s">
        <v>444</v>
      </c>
      <c r="F95" s="46" t="s">
        <v>20969</v>
      </c>
      <c r="G95" s="46" t="s">
        <v>50596</v>
      </c>
      <c r="H95" s="48" t="s">
        <v>56716</v>
      </c>
      <c r="I95" s="48" t="s">
        <v>50564</v>
      </c>
      <c r="J95" s="48"/>
      <c r="K95" s="50"/>
      <c r="L95" s="48"/>
    </row>
    <row r="96" spans="1:12" s="37" customFormat="1" ht="11.25" x14ac:dyDescent="0.2">
      <c r="A96" s="46" t="s">
        <v>7979</v>
      </c>
      <c r="B96" s="46" t="s">
        <v>7979</v>
      </c>
      <c r="C96" s="58" t="str">
        <f>"11282460"</f>
        <v>11282460</v>
      </c>
      <c r="D96" s="58" t="str">
        <f>""</f>
        <v/>
      </c>
      <c r="E96" s="46" t="s">
        <v>1711</v>
      </c>
      <c r="F96" s="46" t="s">
        <v>17991</v>
      </c>
      <c r="G96" s="46" t="s">
        <v>50584</v>
      </c>
      <c r="H96" s="48" t="s">
        <v>56716</v>
      </c>
      <c r="I96" s="48" t="s">
        <v>50564</v>
      </c>
      <c r="J96" s="48"/>
      <c r="K96" s="50"/>
      <c r="L96" s="48" t="s">
        <v>56716</v>
      </c>
    </row>
    <row r="97" spans="1:12" s="37" customFormat="1" ht="11.25" x14ac:dyDescent="0.2">
      <c r="A97" s="45" t="s">
        <v>18274</v>
      </c>
      <c r="B97" s="45" t="s">
        <v>18276</v>
      </c>
      <c r="C97" s="51" t="s">
        <v>18279</v>
      </c>
      <c r="D97" s="51" t="s">
        <v>18278</v>
      </c>
      <c r="E97" s="45" t="s">
        <v>18280</v>
      </c>
      <c r="F97" s="45" t="s">
        <v>17967</v>
      </c>
      <c r="G97" s="45" t="s">
        <v>50584</v>
      </c>
      <c r="H97" s="56"/>
      <c r="I97" s="56" t="s">
        <v>50564</v>
      </c>
      <c r="J97" s="56"/>
      <c r="K97" s="50"/>
      <c r="L97" s="56" t="s">
        <v>56716</v>
      </c>
    </row>
    <row r="98" spans="1:12" s="37" customFormat="1" ht="11.25" x14ac:dyDescent="0.2">
      <c r="A98" s="46" t="s">
        <v>126</v>
      </c>
      <c r="B98" s="46" t="s">
        <v>50750</v>
      </c>
      <c r="C98" s="58" t="str">
        <f>"00016268"</f>
        <v>00016268</v>
      </c>
      <c r="D98" s="58" t="str">
        <f>"09420940"</f>
        <v>09420940</v>
      </c>
      <c r="E98" s="46" t="s">
        <v>55904</v>
      </c>
      <c r="F98" s="46" t="s">
        <v>18288</v>
      </c>
      <c r="G98" s="46" t="s">
        <v>50584</v>
      </c>
      <c r="H98" s="48" t="s">
        <v>56716</v>
      </c>
      <c r="I98" s="48" t="s">
        <v>50564</v>
      </c>
      <c r="J98" s="48" t="s">
        <v>56716</v>
      </c>
      <c r="K98" s="50" t="s">
        <v>56716</v>
      </c>
      <c r="L98" s="48" t="s">
        <v>56716</v>
      </c>
    </row>
    <row r="99" spans="1:12" s="37" customFormat="1" ht="11.25" x14ac:dyDescent="0.2">
      <c r="A99" s="46" t="s">
        <v>8842</v>
      </c>
      <c r="B99" s="46" t="s">
        <v>50751</v>
      </c>
      <c r="C99" s="58" t="str">
        <f>"00651419"</f>
        <v>00651419</v>
      </c>
      <c r="D99" s="58" t="str">
        <f>"21978395"</f>
        <v>21978395</v>
      </c>
      <c r="E99" s="46" t="s">
        <v>55904</v>
      </c>
      <c r="F99" s="46" t="s">
        <v>18288</v>
      </c>
      <c r="G99" s="46" t="s">
        <v>50584</v>
      </c>
      <c r="H99" s="48" t="s">
        <v>56716</v>
      </c>
      <c r="I99" s="48" t="s">
        <v>50565</v>
      </c>
      <c r="J99" s="48"/>
      <c r="K99" s="50"/>
      <c r="L99" s="48" t="s">
        <v>56716</v>
      </c>
    </row>
    <row r="100" spans="1:12" s="37" customFormat="1" ht="11.25" x14ac:dyDescent="0.2">
      <c r="A100" s="46" t="s">
        <v>537</v>
      </c>
      <c r="B100" s="46" t="s">
        <v>50752</v>
      </c>
      <c r="C100" s="58" t="str">
        <f>"03009009"</f>
        <v>03009009</v>
      </c>
      <c r="D100" s="58" t="str">
        <f>"22402993"</f>
        <v>22402993</v>
      </c>
      <c r="E100" s="46" t="s">
        <v>55895</v>
      </c>
      <c r="F100" s="46" t="s">
        <v>17991</v>
      </c>
      <c r="G100" s="46" t="s">
        <v>55894</v>
      </c>
      <c r="H100" s="48" t="s">
        <v>56716</v>
      </c>
      <c r="I100" s="48" t="s">
        <v>50564</v>
      </c>
      <c r="J100" s="48"/>
      <c r="K100" s="50" t="s">
        <v>56716</v>
      </c>
      <c r="L100" s="48" t="s">
        <v>56716</v>
      </c>
    </row>
    <row r="101" spans="1:12" s="37" customFormat="1" ht="11.25" x14ac:dyDescent="0.2">
      <c r="A101" s="46" t="s">
        <v>528</v>
      </c>
      <c r="B101" s="46" t="s">
        <v>50753</v>
      </c>
      <c r="C101" s="58" t="str">
        <f>"00016314"</f>
        <v>00016314</v>
      </c>
      <c r="D101" s="58" t="str">
        <f>"16000404"</f>
        <v>16000404</v>
      </c>
      <c r="E101" s="46" t="s">
        <v>35</v>
      </c>
      <c r="F101" s="46" t="s">
        <v>50646</v>
      </c>
      <c r="G101" s="46" t="s">
        <v>50584</v>
      </c>
      <c r="H101" s="48" t="s">
        <v>56716</v>
      </c>
      <c r="I101" s="48" t="s">
        <v>50564</v>
      </c>
      <c r="J101" s="48"/>
      <c r="K101" s="50" t="s">
        <v>56716</v>
      </c>
      <c r="L101" s="48" t="s">
        <v>56716</v>
      </c>
    </row>
    <row r="102" spans="1:12" s="37" customFormat="1" ht="11.25" x14ac:dyDescent="0.2">
      <c r="A102" s="46" t="s">
        <v>7477</v>
      </c>
      <c r="B102" s="46" t="s">
        <v>50754</v>
      </c>
      <c r="C102" s="58" t="str">
        <f>"1028768X"</f>
        <v>1028768X</v>
      </c>
      <c r="D102" s="58" t="str">
        <f>""</f>
        <v/>
      </c>
      <c r="E102" s="46" t="s">
        <v>7479</v>
      </c>
      <c r="F102" s="46" t="s">
        <v>50654</v>
      </c>
      <c r="G102" s="46" t="s">
        <v>50584</v>
      </c>
      <c r="H102" s="48" t="s">
        <v>56716</v>
      </c>
      <c r="I102" s="48" t="s">
        <v>50564</v>
      </c>
      <c r="J102" s="48"/>
      <c r="K102" s="50"/>
      <c r="L102" s="48" t="s">
        <v>56716</v>
      </c>
    </row>
    <row r="103" spans="1:12" s="37" customFormat="1" ht="11.25" x14ac:dyDescent="0.2">
      <c r="A103" s="46" t="s">
        <v>525</v>
      </c>
      <c r="B103" s="46" t="s">
        <v>50755</v>
      </c>
      <c r="C103" s="58" t="str">
        <f>"00016322"</f>
        <v>00016322</v>
      </c>
      <c r="D103" s="58" t="str">
        <f>"14320533"</f>
        <v>14320533</v>
      </c>
      <c r="E103" s="46" t="s">
        <v>167</v>
      </c>
      <c r="F103" s="46" t="s">
        <v>18158</v>
      </c>
      <c r="G103" s="46" t="s">
        <v>50584</v>
      </c>
      <c r="H103" s="48" t="s">
        <v>56716</v>
      </c>
      <c r="I103" s="48" t="s">
        <v>50564</v>
      </c>
      <c r="J103" s="48" t="s">
        <v>56716</v>
      </c>
      <c r="K103" s="50" t="s">
        <v>56716</v>
      </c>
      <c r="L103" s="48" t="s">
        <v>56716</v>
      </c>
    </row>
    <row r="104" spans="1:12" s="37" customFormat="1" ht="11.25" x14ac:dyDescent="0.2">
      <c r="A104" s="45" t="s">
        <v>56504</v>
      </c>
      <c r="B104" s="45" t="s">
        <v>56505</v>
      </c>
      <c r="C104" s="51"/>
      <c r="D104" s="51" t="s">
        <v>56506</v>
      </c>
      <c r="E104" s="45" t="s">
        <v>18570</v>
      </c>
      <c r="F104" s="45" t="s">
        <v>50646</v>
      </c>
      <c r="G104" s="45" t="s">
        <v>50584</v>
      </c>
      <c r="H104" s="56"/>
      <c r="I104" s="56" t="s">
        <v>50564</v>
      </c>
      <c r="J104" s="56"/>
      <c r="K104" s="50"/>
      <c r="L104" s="56" t="s">
        <v>56716</v>
      </c>
    </row>
    <row r="105" spans="1:12" s="37" customFormat="1" ht="11.25" x14ac:dyDescent="0.2">
      <c r="A105" s="46" t="s">
        <v>4806</v>
      </c>
      <c r="B105" s="46" t="s">
        <v>50756</v>
      </c>
      <c r="C105" s="58" t="str">
        <f>"09242708"</f>
        <v>09242708</v>
      </c>
      <c r="D105" s="58" t="str">
        <f>"16015215"</f>
        <v>16015215</v>
      </c>
      <c r="E105" s="46" t="s">
        <v>724</v>
      </c>
      <c r="F105" s="46" t="s">
        <v>50646</v>
      </c>
      <c r="G105" s="46" t="s">
        <v>50583</v>
      </c>
      <c r="H105" s="48" t="s">
        <v>56716</v>
      </c>
      <c r="I105" s="48" t="s">
        <v>50564</v>
      </c>
      <c r="J105" s="48"/>
      <c r="K105" s="50" t="s">
        <v>56716</v>
      </c>
      <c r="L105" s="48" t="s">
        <v>56716</v>
      </c>
    </row>
    <row r="106" spans="1:12" s="37" customFormat="1" ht="11.25" x14ac:dyDescent="0.2">
      <c r="A106" s="46" t="s">
        <v>10028</v>
      </c>
      <c r="B106" s="46" t="s">
        <v>50757</v>
      </c>
      <c r="C106" s="58" t="str">
        <f>"17307503"</f>
        <v>17307503</v>
      </c>
      <c r="D106" s="58" t="str">
        <f>""</f>
        <v/>
      </c>
      <c r="E106" s="46" t="s">
        <v>10030</v>
      </c>
      <c r="F106" s="46" t="s">
        <v>17967</v>
      </c>
      <c r="G106" s="46" t="s">
        <v>50584</v>
      </c>
      <c r="H106" s="48" t="s">
        <v>56716</v>
      </c>
      <c r="I106" s="48" t="s">
        <v>50564</v>
      </c>
      <c r="J106" s="48"/>
      <c r="K106" s="50"/>
      <c r="L106" s="48"/>
    </row>
    <row r="107" spans="1:12" s="37" customFormat="1" ht="11.25" x14ac:dyDescent="0.2">
      <c r="A107" s="46" t="s">
        <v>552</v>
      </c>
      <c r="B107" s="46" t="s">
        <v>50758</v>
      </c>
      <c r="C107" s="58" t="str">
        <f>"00016349"</f>
        <v>00016349</v>
      </c>
      <c r="D107" s="58" t="str">
        <f>"16000412"</f>
        <v>16000412</v>
      </c>
      <c r="E107" s="46" t="s">
        <v>555</v>
      </c>
      <c r="F107" s="46" t="s">
        <v>50646</v>
      </c>
      <c r="G107" s="46" t="s">
        <v>50584</v>
      </c>
      <c r="H107" s="48" t="s">
        <v>56716</v>
      </c>
      <c r="I107" s="48" t="s">
        <v>50564</v>
      </c>
      <c r="J107" s="48" t="s">
        <v>56716</v>
      </c>
      <c r="K107" s="50" t="s">
        <v>56716</v>
      </c>
      <c r="L107" s="48" t="s">
        <v>56716</v>
      </c>
    </row>
    <row r="108" spans="1:12" s="37" customFormat="1" ht="11.25" x14ac:dyDescent="0.2">
      <c r="A108" s="45" t="s">
        <v>18334</v>
      </c>
      <c r="B108" s="45" t="s">
        <v>18336</v>
      </c>
      <c r="C108" s="51" t="s">
        <v>18338</v>
      </c>
      <c r="D108" s="51" t="s">
        <v>18337</v>
      </c>
      <c r="E108" s="45" t="s">
        <v>18339</v>
      </c>
      <c r="F108" s="45" t="s">
        <v>18169</v>
      </c>
      <c r="G108" s="45" t="s">
        <v>50584</v>
      </c>
      <c r="H108" s="56"/>
      <c r="I108" s="56" t="s">
        <v>50564</v>
      </c>
      <c r="J108" s="56"/>
      <c r="K108" s="50"/>
      <c r="L108" s="56" t="s">
        <v>56716</v>
      </c>
    </row>
    <row r="109" spans="1:12" s="37" customFormat="1" ht="11.25" x14ac:dyDescent="0.2">
      <c r="A109" s="45" t="s">
        <v>18343</v>
      </c>
      <c r="B109" s="45" t="s">
        <v>18345</v>
      </c>
      <c r="C109" s="51" t="s">
        <v>18347</v>
      </c>
      <c r="D109" s="51" t="s">
        <v>18346</v>
      </c>
      <c r="E109" s="45" t="s">
        <v>291</v>
      </c>
      <c r="F109" s="45" t="s">
        <v>50646</v>
      </c>
      <c r="G109" s="45" t="s">
        <v>50584</v>
      </c>
      <c r="H109" s="56"/>
      <c r="I109" s="56" t="s">
        <v>50564</v>
      </c>
      <c r="J109" s="56"/>
      <c r="K109" s="50"/>
      <c r="L109" s="56" t="s">
        <v>56716</v>
      </c>
    </row>
    <row r="110" spans="1:12" s="37" customFormat="1" ht="11.25" x14ac:dyDescent="0.2">
      <c r="A110" s="45" t="s">
        <v>18350</v>
      </c>
      <c r="B110" s="45" t="s">
        <v>18352</v>
      </c>
      <c r="C110" s="51" t="s">
        <v>18353</v>
      </c>
      <c r="D110" s="51"/>
      <c r="E110" s="45" t="s">
        <v>18354</v>
      </c>
      <c r="F110" s="45" t="s">
        <v>17967</v>
      </c>
      <c r="G110" s="45" t="s">
        <v>50584</v>
      </c>
      <c r="H110" s="56"/>
      <c r="I110" s="56" t="s">
        <v>50564</v>
      </c>
      <c r="J110" s="56"/>
      <c r="K110" s="50"/>
      <c r="L110" s="56" t="s">
        <v>56716</v>
      </c>
    </row>
    <row r="111" spans="1:12" s="37" customFormat="1" ht="11.25" x14ac:dyDescent="0.2">
      <c r="A111" s="46" t="s">
        <v>4429</v>
      </c>
      <c r="B111" s="46" t="s">
        <v>50759</v>
      </c>
      <c r="C111" s="58" t="str">
        <f>"0284186X"</f>
        <v>0284186X</v>
      </c>
      <c r="D111" s="58" t="str">
        <f>"1651226X"</f>
        <v>1651226X</v>
      </c>
      <c r="E111" s="46" t="s">
        <v>291</v>
      </c>
      <c r="F111" s="46" t="s">
        <v>50646</v>
      </c>
      <c r="G111" s="46" t="s">
        <v>50584</v>
      </c>
      <c r="H111" s="48" t="s">
        <v>56716</v>
      </c>
      <c r="I111" s="48" t="s">
        <v>50564</v>
      </c>
      <c r="J111" s="48" t="s">
        <v>56716</v>
      </c>
      <c r="K111" s="50"/>
      <c r="L111" s="48" t="s">
        <v>56716</v>
      </c>
    </row>
    <row r="112" spans="1:12" s="37" customFormat="1" ht="11.25" x14ac:dyDescent="0.2">
      <c r="A112" s="46" t="s">
        <v>12778</v>
      </c>
      <c r="B112" s="46" t="s">
        <v>50760</v>
      </c>
      <c r="C112" s="58" t="str">
        <f>"1755375X"</f>
        <v>1755375X</v>
      </c>
      <c r="D112" s="58" t="str">
        <f>"17553768"</f>
        <v>17553768</v>
      </c>
      <c r="E112" s="46" t="s">
        <v>35</v>
      </c>
      <c r="F112" s="46" t="s">
        <v>50646</v>
      </c>
      <c r="G112" s="46" t="s">
        <v>50584</v>
      </c>
      <c r="H112" s="48" t="s">
        <v>56716</v>
      </c>
      <c r="I112" s="48" t="s">
        <v>50564</v>
      </c>
      <c r="J112" s="48" t="s">
        <v>56716</v>
      </c>
      <c r="K112" s="50" t="s">
        <v>56716</v>
      </c>
      <c r="L112" s="48" t="s">
        <v>56716</v>
      </c>
    </row>
    <row r="113" spans="1:12" s="37" customFormat="1" ht="11.25" x14ac:dyDescent="0.2">
      <c r="A113" s="46" t="s">
        <v>10767</v>
      </c>
      <c r="B113" s="46" t="s">
        <v>50761</v>
      </c>
      <c r="C113" s="58" t="str">
        <f>"17453674"</f>
        <v>17453674</v>
      </c>
      <c r="D113" s="58" t="str">
        <f>"17453682"</f>
        <v>17453682</v>
      </c>
      <c r="E113" s="46" t="s">
        <v>291</v>
      </c>
      <c r="F113" s="46" t="s">
        <v>50646</v>
      </c>
      <c r="G113" s="46" t="s">
        <v>50584</v>
      </c>
      <c r="H113" s="48" t="s">
        <v>56716</v>
      </c>
      <c r="I113" s="48" t="s">
        <v>50564</v>
      </c>
      <c r="J113" s="48"/>
      <c r="K113" s="50"/>
      <c r="L113" s="48" t="s">
        <v>56716</v>
      </c>
    </row>
    <row r="114" spans="1:12" s="37" customFormat="1" ht="11.25" x14ac:dyDescent="0.2">
      <c r="A114" s="45" t="s">
        <v>18384</v>
      </c>
      <c r="B114" s="45" t="s">
        <v>18386</v>
      </c>
      <c r="C114" s="51" t="s">
        <v>18388</v>
      </c>
      <c r="D114" s="51"/>
      <c r="E114" s="45" t="s">
        <v>17928</v>
      </c>
      <c r="F114" s="45" t="s">
        <v>17929</v>
      </c>
      <c r="G114" s="45" t="s">
        <v>50591</v>
      </c>
      <c r="H114" s="56"/>
      <c r="I114" s="56" t="s">
        <v>50564</v>
      </c>
      <c r="J114" s="56"/>
      <c r="K114" s="50"/>
      <c r="L114" s="56" t="s">
        <v>56716</v>
      </c>
    </row>
    <row r="115" spans="1:12" s="37" customFormat="1" ht="11.25" x14ac:dyDescent="0.2">
      <c r="A115" s="45" t="s">
        <v>18391</v>
      </c>
      <c r="B115" s="45" t="s">
        <v>18393</v>
      </c>
      <c r="C115" s="51" t="s">
        <v>18394</v>
      </c>
      <c r="D115" s="51"/>
      <c r="E115" s="45" t="s">
        <v>18395</v>
      </c>
      <c r="F115" s="45" t="s">
        <v>18396</v>
      </c>
      <c r="G115" s="45" t="s">
        <v>50639</v>
      </c>
      <c r="H115" s="56"/>
      <c r="I115" s="56" t="s">
        <v>50564</v>
      </c>
      <c r="J115" s="56"/>
      <c r="K115" s="50"/>
      <c r="L115" s="56" t="s">
        <v>56716</v>
      </c>
    </row>
    <row r="116" spans="1:12" s="37" customFormat="1" ht="11.25" x14ac:dyDescent="0.2">
      <c r="A116" s="45" t="s">
        <v>18406</v>
      </c>
      <c r="B116" s="45" t="s">
        <v>18408</v>
      </c>
      <c r="C116" s="51" t="s">
        <v>56507</v>
      </c>
      <c r="D116" s="51"/>
      <c r="E116" s="45" t="s">
        <v>18410</v>
      </c>
      <c r="F116" s="45" t="s">
        <v>18411</v>
      </c>
      <c r="G116" s="45" t="s">
        <v>50633</v>
      </c>
      <c r="H116" s="56"/>
      <c r="I116" s="56" t="s">
        <v>50564</v>
      </c>
      <c r="J116" s="56"/>
      <c r="K116" s="50"/>
      <c r="L116" s="56" t="s">
        <v>56716</v>
      </c>
    </row>
    <row r="117" spans="1:12" s="37" customFormat="1" ht="11.25" x14ac:dyDescent="0.2">
      <c r="A117" s="46" t="s">
        <v>556</v>
      </c>
      <c r="B117" s="46" t="s">
        <v>50762</v>
      </c>
      <c r="C117" s="58" t="str">
        <f>"00016489"</f>
        <v>00016489</v>
      </c>
      <c r="D117" s="58" t="str">
        <f>"16512251"</f>
        <v>16512251</v>
      </c>
      <c r="E117" s="46" t="s">
        <v>291</v>
      </c>
      <c r="F117" s="46" t="s">
        <v>50646</v>
      </c>
      <c r="G117" s="46" t="s">
        <v>50584</v>
      </c>
      <c r="H117" s="48" t="s">
        <v>56716</v>
      </c>
      <c r="I117" s="48" t="s">
        <v>50564</v>
      </c>
      <c r="J117" s="48" t="s">
        <v>56716</v>
      </c>
      <c r="K117" s="50"/>
      <c r="L117" s="48" t="s">
        <v>56716</v>
      </c>
    </row>
    <row r="118" spans="1:12" s="37" customFormat="1" ht="11.25" x14ac:dyDescent="0.2">
      <c r="A118" s="45" t="s">
        <v>18426</v>
      </c>
      <c r="B118" s="45" t="s">
        <v>18428</v>
      </c>
      <c r="C118" s="51" t="s">
        <v>18431</v>
      </c>
      <c r="D118" s="51" t="s">
        <v>18430</v>
      </c>
      <c r="E118" s="45" t="s">
        <v>18432</v>
      </c>
      <c r="F118" s="45" t="s">
        <v>17991</v>
      </c>
      <c r="G118" s="45" t="s">
        <v>50602</v>
      </c>
      <c r="H118" s="56"/>
      <c r="I118" s="56" t="s">
        <v>50564</v>
      </c>
      <c r="J118" s="56"/>
      <c r="K118" s="50"/>
      <c r="L118" s="56" t="s">
        <v>56716</v>
      </c>
    </row>
    <row r="119" spans="1:12" s="37" customFormat="1" ht="11.25" x14ac:dyDescent="0.2">
      <c r="A119" s="46" t="s">
        <v>562</v>
      </c>
      <c r="B119" s="46" t="s">
        <v>50763</v>
      </c>
      <c r="C119" s="58" t="str">
        <f>"00016519"</f>
        <v>00016519</v>
      </c>
      <c r="D119" s="58" t="str">
        <f>"19883013"</f>
        <v>19883013</v>
      </c>
      <c r="E119" s="46" t="s">
        <v>175</v>
      </c>
      <c r="F119" s="46" t="s">
        <v>18439</v>
      </c>
      <c r="G119" s="46" t="s">
        <v>50632</v>
      </c>
      <c r="H119" s="48" t="s">
        <v>56716</v>
      </c>
      <c r="I119" s="48" t="s">
        <v>50564</v>
      </c>
      <c r="J119" s="48"/>
      <c r="K119" s="50" t="s">
        <v>56716</v>
      </c>
      <c r="L119" s="48" t="s">
        <v>56716</v>
      </c>
    </row>
    <row r="120" spans="1:12" s="37" customFormat="1" ht="11.25" x14ac:dyDescent="0.2">
      <c r="A120" s="46" t="s">
        <v>5651</v>
      </c>
      <c r="B120" s="46" t="s">
        <v>50764</v>
      </c>
      <c r="C120" s="58" t="str">
        <f>"08035253"</f>
        <v>08035253</v>
      </c>
      <c r="D120" s="58" t="str">
        <f>"16512227"</f>
        <v>16512227</v>
      </c>
      <c r="E120" s="46" t="s">
        <v>35</v>
      </c>
      <c r="F120" s="46" t="s">
        <v>50646</v>
      </c>
      <c r="G120" s="46" t="s">
        <v>50584</v>
      </c>
      <c r="H120" s="48" t="s">
        <v>56716</v>
      </c>
      <c r="I120" s="48" t="s">
        <v>50564</v>
      </c>
      <c r="J120" s="48" t="s">
        <v>56716</v>
      </c>
      <c r="K120" s="50" t="s">
        <v>56716</v>
      </c>
      <c r="L120" s="48" t="s">
        <v>56716</v>
      </c>
    </row>
    <row r="121" spans="1:12" s="37" customFormat="1" ht="11.25" x14ac:dyDescent="0.2">
      <c r="A121" s="45" t="s">
        <v>18453</v>
      </c>
      <c r="B121" s="45" t="s">
        <v>18455</v>
      </c>
      <c r="C121" s="51" t="s">
        <v>18457</v>
      </c>
      <c r="D121" s="51" t="s">
        <v>18456</v>
      </c>
      <c r="E121" s="45" t="s">
        <v>18458</v>
      </c>
      <c r="F121" s="45" t="s">
        <v>17967</v>
      </c>
      <c r="G121" s="45" t="s">
        <v>50584</v>
      </c>
      <c r="H121" s="56"/>
      <c r="I121" s="56" t="s">
        <v>50564</v>
      </c>
      <c r="J121" s="56"/>
      <c r="K121" s="50"/>
      <c r="L121" s="56" t="s">
        <v>56716</v>
      </c>
    </row>
    <row r="122" spans="1:12" s="37" customFormat="1" ht="11.25" x14ac:dyDescent="0.2">
      <c r="A122" s="46" t="s">
        <v>568</v>
      </c>
      <c r="B122" s="46" t="s">
        <v>50765</v>
      </c>
      <c r="C122" s="58" t="str">
        <f>"00016640"</f>
        <v>00016640</v>
      </c>
      <c r="D122" s="58" t="str">
        <f>""</f>
        <v/>
      </c>
      <c r="E122" s="46" t="s">
        <v>570</v>
      </c>
      <c r="F122" s="46" t="s">
        <v>18439</v>
      </c>
      <c r="G122" s="46" t="s">
        <v>50632</v>
      </c>
      <c r="H122" s="48" t="s">
        <v>56716</v>
      </c>
      <c r="I122" s="48" t="s">
        <v>50564</v>
      </c>
      <c r="J122" s="48"/>
      <c r="K122" s="50"/>
      <c r="L122" s="48"/>
    </row>
    <row r="123" spans="1:12" s="37" customFormat="1" ht="11.25" x14ac:dyDescent="0.2">
      <c r="A123" s="46" t="s">
        <v>5902</v>
      </c>
      <c r="B123" s="46" t="s">
        <v>50766</v>
      </c>
      <c r="C123" s="58" t="str">
        <f>"13300075"</f>
        <v>13300075</v>
      </c>
      <c r="D123" s="58" t="str">
        <f>"18469558"</f>
        <v>18469558</v>
      </c>
      <c r="E123" s="46" t="s">
        <v>4988</v>
      </c>
      <c r="F123" s="46" t="s">
        <v>18158</v>
      </c>
      <c r="G123" s="46" t="s">
        <v>50584</v>
      </c>
      <c r="H123" s="48" t="s">
        <v>56716</v>
      </c>
      <c r="I123" s="48" t="s">
        <v>50564</v>
      </c>
      <c r="J123" s="48"/>
      <c r="K123" s="50"/>
      <c r="L123" s="48" t="s">
        <v>56716</v>
      </c>
    </row>
    <row r="124" spans="1:12" s="37" customFormat="1" ht="11.25" x14ac:dyDescent="0.2">
      <c r="A124" s="46" t="s">
        <v>579</v>
      </c>
      <c r="B124" s="46" t="s">
        <v>50767</v>
      </c>
      <c r="C124" s="58" t="str">
        <f>"00016659"</f>
        <v>00016659</v>
      </c>
      <c r="D124" s="58" t="str">
        <f>""</f>
        <v/>
      </c>
      <c r="E124" s="46" t="s">
        <v>581</v>
      </c>
      <c r="F124" s="45" t="s">
        <v>17976</v>
      </c>
      <c r="G124" s="46" t="s">
        <v>50599</v>
      </c>
      <c r="H124" s="48" t="s">
        <v>56716</v>
      </c>
      <c r="I124" s="48" t="s">
        <v>50564</v>
      </c>
      <c r="J124" s="48"/>
      <c r="K124" s="50"/>
      <c r="L124" s="48" t="s">
        <v>56716</v>
      </c>
    </row>
    <row r="125" spans="1:12" s="37" customFormat="1" ht="11.25" x14ac:dyDescent="0.2">
      <c r="A125" s="46" t="s">
        <v>11652</v>
      </c>
      <c r="B125" s="46" t="s">
        <v>50768</v>
      </c>
      <c r="C125" s="58" t="str">
        <f>"13072080"</f>
        <v>13072080</v>
      </c>
      <c r="D125" s="58" t="str">
        <f>""</f>
        <v/>
      </c>
      <c r="E125" s="46" t="s">
        <v>11178</v>
      </c>
      <c r="F125" s="46" t="s">
        <v>18396</v>
      </c>
      <c r="G125" s="46" t="s">
        <v>50584</v>
      </c>
      <c r="H125" s="48" t="s">
        <v>56716</v>
      </c>
      <c r="I125" s="48" t="s">
        <v>50564</v>
      </c>
      <c r="J125" s="48"/>
      <c r="K125" s="50"/>
      <c r="L125" s="48"/>
    </row>
    <row r="126" spans="1:12" s="37" customFormat="1" ht="11.25" x14ac:dyDescent="0.2">
      <c r="A126" s="46" t="s">
        <v>15536</v>
      </c>
      <c r="B126" s="46" t="s">
        <v>50769</v>
      </c>
      <c r="C126" s="58" t="str">
        <f>"22113835"</f>
        <v>22113835</v>
      </c>
      <c r="D126" s="58" t="str">
        <f>"22113843"</f>
        <v>22113843</v>
      </c>
      <c r="E126" s="46" t="s">
        <v>1006</v>
      </c>
      <c r="F126" s="46" t="s">
        <v>17958</v>
      </c>
      <c r="G126" s="46" t="s">
        <v>50584</v>
      </c>
      <c r="H126" s="48" t="s">
        <v>56716</v>
      </c>
      <c r="I126" s="48" t="s">
        <v>50564</v>
      </c>
      <c r="J126" s="48"/>
      <c r="K126" s="50" t="s">
        <v>56716</v>
      </c>
      <c r="L126" s="48"/>
    </row>
    <row r="127" spans="1:12" s="37" customFormat="1" ht="11.25" x14ac:dyDescent="0.2">
      <c r="A127" s="46" t="s">
        <v>1335</v>
      </c>
      <c r="B127" s="46" t="s">
        <v>50770</v>
      </c>
      <c r="C127" s="58" t="str">
        <f>"16714083"</f>
        <v>16714083</v>
      </c>
      <c r="D127" s="58" t="str">
        <f>"17457254"</f>
        <v>17457254</v>
      </c>
      <c r="E127" s="46" t="s">
        <v>315</v>
      </c>
      <c r="F127" s="46" t="s">
        <v>50646</v>
      </c>
      <c r="G127" s="46" t="s">
        <v>50585</v>
      </c>
      <c r="H127" s="48" t="s">
        <v>56716</v>
      </c>
      <c r="I127" s="48" t="s">
        <v>50564</v>
      </c>
      <c r="J127" s="48"/>
      <c r="K127" s="50"/>
      <c r="L127" s="48" t="s">
        <v>56716</v>
      </c>
    </row>
    <row r="128" spans="1:12" s="37" customFormat="1" ht="11.25" x14ac:dyDescent="0.2">
      <c r="A128" s="46" t="s">
        <v>3291</v>
      </c>
      <c r="B128" s="46" t="s">
        <v>50771</v>
      </c>
      <c r="C128" s="58" t="str">
        <f>"1593232X"</f>
        <v>1593232X</v>
      </c>
      <c r="D128" s="58" t="str">
        <f>"18271766"</f>
        <v>18271766</v>
      </c>
      <c r="E128" s="46" t="s">
        <v>1708</v>
      </c>
      <c r="F128" s="46" t="s">
        <v>17991</v>
      </c>
      <c r="G128" s="46" t="s">
        <v>50584</v>
      </c>
      <c r="H128" s="48" t="s">
        <v>56716</v>
      </c>
      <c r="I128" s="48" t="s">
        <v>50564</v>
      </c>
      <c r="J128" s="48"/>
      <c r="K128" s="50"/>
      <c r="L128" s="48"/>
    </row>
    <row r="129" spans="1:12" s="37" customFormat="1" ht="11.25" x14ac:dyDescent="0.2">
      <c r="A129" s="46" t="s">
        <v>11462</v>
      </c>
      <c r="B129" s="46" t="s">
        <v>50772</v>
      </c>
      <c r="C129" s="58" t="str">
        <f>"17481708"</f>
        <v>17481708</v>
      </c>
      <c r="D129" s="58" t="str">
        <f>"17481716"</f>
        <v>17481716</v>
      </c>
      <c r="E129" s="46" t="s">
        <v>35</v>
      </c>
      <c r="F129" s="46" t="s">
        <v>50646</v>
      </c>
      <c r="G129" s="46" t="s">
        <v>50584</v>
      </c>
      <c r="H129" s="48" t="s">
        <v>56716</v>
      </c>
      <c r="I129" s="48" t="s">
        <v>50564</v>
      </c>
      <c r="J129" s="48" t="s">
        <v>56716</v>
      </c>
      <c r="K129" s="50" t="s">
        <v>56716</v>
      </c>
      <c r="L129" s="48" t="s">
        <v>56716</v>
      </c>
    </row>
    <row r="130" spans="1:12" s="37" customFormat="1" ht="11.25" x14ac:dyDescent="0.2">
      <c r="A130" s="46" t="s">
        <v>576</v>
      </c>
      <c r="B130" s="46" t="s">
        <v>50773</v>
      </c>
      <c r="C130" s="58" t="str">
        <f>"0231424X"</f>
        <v>0231424X</v>
      </c>
      <c r="D130" s="58" t="str">
        <f>"15882683"</f>
        <v>15882683</v>
      </c>
      <c r="E130" s="46" t="s">
        <v>79</v>
      </c>
      <c r="F130" s="45" t="s">
        <v>17976</v>
      </c>
      <c r="G130" s="46" t="s">
        <v>50584</v>
      </c>
      <c r="H130" s="48" t="s">
        <v>56716</v>
      </c>
      <c r="I130" s="48" t="s">
        <v>50564</v>
      </c>
      <c r="J130" s="48"/>
      <c r="K130" s="50"/>
      <c r="L130" s="48" t="s">
        <v>56716</v>
      </c>
    </row>
    <row r="131" spans="1:12" s="37" customFormat="1" ht="11.25" x14ac:dyDescent="0.2">
      <c r="A131" s="46" t="s">
        <v>595</v>
      </c>
      <c r="B131" s="46" t="s">
        <v>50774</v>
      </c>
      <c r="C131" s="58" t="str">
        <f>"00016837"</f>
        <v>00016837</v>
      </c>
      <c r="D131" s="58" t="str">
        <f>""</f>
        <v/>
      </c>
      <c r="E131" s="46" t="s">
        <v>597</v>
      </c>
      <c r="F131" s="46" t="s">
        <v>17967</v>
      </c>
      <c r="G131" s="46" t="s">
        <v>50584</v>
      </c>
      <c r="H131" s="48" t="s">
        <v>56716</v>
      </c>
      <c r="I131" s="48" t="s">
        <v>50564</v>
      </c>
      <c r="J131" s="48"/>
      <c r="K131" s="50"/>
      <c r="L131" s="48" t="s">
        <v>56716</v>
      </c>
    </row>
    <row r="132" spans="1:12" s="37" customFormat="1" ht="11.25" x14ac:dyDescent="0.2">
      <c r="A132" s="46" t="s">
        <v>602</v>
      </c>
      <c r="B132" s="46" t="s">
        <v>50775</v>
      </c>
      <c r="C132" s="58" t="str">
        <f>"0001690X"</f>
        <v>0001690X</v>
      </c>
      <c r="D132" s="58" t="str">
        <f>"16000447"</f>
        <v>16000447</v>
      </c>
      <c r="E132" s="46" t="s">
        <v>35</v>
      </c>
      <c r="F132" s="46" t="s">
        <v>50646</v>
      </c>
      <c r="G132" s="46" t="s">
        <v>50584</v>
      </c>
      <c r="H132" s="48" t="s">
        <v>56716</v>
      </c>
      <c r="I132" s="48" t="s">
        <v>50564</v>
      </c>
      <c r="J132" s="48" t="s">
        <v>56716</v>
      </c>
      <c r="K132" s="50" t="s">
        <v>56716</v>
      </c>
      <c r="L132" s="48" t="s">
        <v>56716</v>
      </c>
    </row>
    <row r="133" spans="1:12" s="37" customFormat="1" ht="11.25" x14ac:dyDescent="0.2">
      <c r="A133" s="45" t="s">
        <v>18507</v>
      </c>
      <c r="B133" s="45" t="s">
        <v>18509</v>
      </c>
      <c r="C133" s="51" t="s">
        <v>18511</v>
      </c>
      <c r="D133" s="51" t="s">
        <v>18510</v>
      </c>
      <c r="E133" s="45" t="s">
        <v>18512</v>
      </c>
      <c r="F133" s="45" t="s">
        <v>18001</v>
      </c>
      <c r="G133" s="45" t="s">
        <v>50584</v>
      </c>
      <c r="H133" s="56"/>
      <c r="I133" s="56" t="s">
        <v>50564</v>
      </c>
      <c r="J133" s="56"/>
      <c r="K133" s="50"/>
      <c r="L133" s="56" t="s">
        <v>56716</v>
      </c>
    </row>
    <row r="134" spans="1:12" s="37" customFormat="1" ht="11.25" x14ac:dyDescent="0.2">
      <c r="A134" s="46" t="s">
        <v>4426</v>
      </c>
      <c r="B134" s="46" t="s">
        <v>50776</v>
      </c>
      <c r="C134" s="58" t="str">
        <f>"02841851"</f>
        <v>02841851</v>
      </c>
      <c r="D134" s="58" t="str">
        <f>"16000455"</f>
        <v>16000455</v>
      </c>
      <c r="E134" s="46" t="s">
        <v>97</v>
      </c>
      <c r="F134" s="46" t="s">
        <v>50646</v>
      </c>
      <c r="G134" s="46" t="s">
        <v>50584</v>
      </c>
      <c r="H134" s="48" t="s">
        <v>56716</v>
      </c>
      <c r="I134" s="48" t="s">
        <v>50564</v>
      </c>
      <c r="J134" s="48" t="s">
        <v>56716</v>
      </c>
      <c r="K134" s="50"/>
      <c r="L134" s="48" t="s">
        <v>56716</v>
      </c>
    </row>
    <row r="135" spans="1:12" s="37" customFormat="1" ht="11.25" x14ac:dyDescent="0.2">
      <c r="A135" s="46" t="s">
        <v>17538</v>
      </c>
      <c r="B135" s="46" t="s">
        <v>50777</v>
      </c>
      <c r="C135" s="58" t="str">
        <f>""</f>
        <v/>
      </c>
      <c r="D135" s="58" t="str">
        <f>"20479816"</f>
        <v>20479816</v>
      </c>
      <c r="E135" s="46" t="s">
        <v>97</v>
      </c>
      <c r="F135" s="46" t="s">
        <v>50646</v>
      </c>
      <c r="G135" s="46" t="s">
        <v>50584</v>
      </c>
      <c r="H135" s="48" t="s">
        <v>56716</v>
      </c>
      <c r="I135" s="48" t="s">
        <v>50564</v>
      </c>
      <c r="J135" s="48" t="s">
        <v>56716</v>
      </c>
      <c r="K135" s="50"/>
      <c r="L135" s="48"/>
    </row>
    <row r="136" spans="1:12" s="37" customFormat="1" ht="11.25" x14ac:dyDescent="0.2">
      <c r="A136" s="45" t="s">
        <v>18528</v>
      </c>
      <c r="B136" s="45" t="s">
        <v>18530</v>
      </c>
      <c r="C136" s="51" t="s">
        <v>18531</v>
      </c>
      <c r="D136" s="51"/>
      <c r="E136" s="45" t="s">
        <v>18532</v>
      </c>
      <c r="F136" s="45" t="s">
        <v>18249</v>
      </c>
      <c r="G136" s="45" t="s">
        <v>50611</v>
      </c>
      <c r="H136" s="56"/>
      <c r="I136" s="56" t="s">
        <v>50564</v>
      </c>
      <c r="J136" s="56"/>
      <c r="K136" s="50"/>
      <c r="L136" s="56" t="s">
        <v>56716</v>
      </c>
    </row>
    <row r="137" spans="1:12" s="37" customFormat="1" ht="11.25" x14ac:dyDescent="0.2">
      <c r="A137" s="46" t="s">
        <v>10844</v>
      </c>
      <c r="B137" s="46" t="s">
        <v>50778</v>
      </c>
      <c r="C137" s="58" t="str">
        <f>"16799283"</f>
        <v>16799283</v>
      </c>
      <c r="D137" s="58" t="str">
        <f>"1807863X"</f>
        <v>1807863X</v>
      </c>
      <c r="E137" s="46" t="s">
        <v>10847</v>
      </c>
      <c r="F137" s="46" t="s">
        <v>18058</v>
      </c>
      <c r="G137" s="46" t="s">
        <v>50616</v>
      </c>
      <c r="H137" s="48" t="s">
        <v>56716</v>
      </c>
      <c r="I137" s="48" t="s">
        <v>50564</v>
      </c>
      <c r="J137" s="48"/>
      <c r="K137" s="50"/>
      <c r="L137" s="48"/>
    </row>
    <row r="138" spans="1:12" s="37" customFormat="1" ht="11.25" x14ac:dyDescent="0.2">
      <c r="A138" s="46" t="s">
        <v>10848</v>
      </c>
      <c r="B138" s="46" t="s">
        <v>50779</v>
      </c>
      <c r="C138" s="58" t="str">
        <f>"16799291"</f>
        <v>16799291</v>
      </c>
      <c r="D138" s="58" t="str">
        <f>"18078648"</f>
        <v>18078648</v>
      </c>
      <c r="E138" s="46" t="s">
        <v>10847</v>
      </c>
      <c r="F138" s="46" t="s">
        <v>18058</v>
      </c>
      <c r="G138" s="46" t="s">
        <v>50616</v>
      </c>
      <c r="H138" s="48" t="s">
        <v>56716</v>
      </c>
      <c r="I138" s="48" t="s">
        <v>50564</v>
      </c>
      <c r="J138" s="48"/>
      <c r="K138" s="50"/>
      <c r="L138" s="48"/>
    </row>
    <row r="139" spans="1:12" s="37" customFormat="1" ht="11.25" x14ac:dyDescent="0.2">
      <c r="A139" s="45" t="s">
        <v>18536</v>
      </c>
      <c r="B139" s="45" t="s">
        <v>18538</v>
      </c>
      <c r="C139" s="51" t="s">
        <v>18540</v>
      </c>
      <c r="D139" s="51" t="s">
        <v>18539</v>
      </c>
      <c r="E139" s="45" t="s">
        <v>18541</v>
      </c>
      <c r="F139" s="45" t="s">
        <v>17967</v>
      </c>
      <c r="G139" s="45" t="s">
        <v>50611</v>
      </c>
      <c r="H139" s="56"/>
      <c r="I139" s="56" t="s">
        <v>50564</v>
      </c>
      <c r="J139" s="56"/>
      <c r="K139" s="50"/>
      <c r="L139" s="56" t="s">
        <v>56716</v>
      </c>
    </row>
    <row r="140" spans="1:12" s="37" customFormat="1" ht="11.25" x14ac:dyDescent="0.2">
      <c r="A140" s="46" t="s">
        <v>12156</v>
      </c>
      <c r="B140" s="46" t="s">
        <v>50780</v>
      </c>
      <c r="C140" s="58" t="str">
        <f>"00017019"</f>
        <v>00017019</v>
      </c>
      <c r="D140" s="58" t="str">
        <f>"18460410"</f>
        <v>18460410</v>
      </c>
      <c r="E140" s="46" t="s">
        <v>12159</v>
      </c>
      <c r="F140" s="46" t="s">
        <v>18079</v>
      </c>
      <c r="G140" s="46" t="s">
        <v>50584</v>
      </c>
      <c r="H140" s="48" t="s">
        <v>56716</v>
      </c>
      <c r="I140" s="48" t="s">
        <v>50564</v>
      </c>
      <c r="J140" s="48"/>
      <c r="K140" s="50"/>
      <c r="L140" s="48"/>
    </row>
    <row r="141" spans="1:12" s="37" customFormat="1" ht="11.25" x14ac:dyDescent="0.2">
      <c r="A141" s="46" t="s">
        <v>141</v>
      </c>
      <c r="B141" s="46" t="s">
        <v>50781</v>
      </c>
      <c r="C141" s="58" t="str">
        <f>"0001706X"</f>
        <v>0001706X</v>
      </c>
      <c r="D141" s="58" t="str">
        <f>"18736254"</f>
        <v>18736254</v>
      </c>
      <c r="E141" s="46" t="s">
        <v>91</v>
      </c>
      <c r="F141" s="46" t="s">
        <v>18001</v>
      </c>
      <c r="G141" s="46" t="s">
        <v>50584</v>
      </c>
      <c r="H141" s="48" t="s">
        <v>56716</v>
      </c>
      <c r="I141" s="48" t="s">
        <v>50564</v>
      </c>
      <c r="J141" s="48"/>
      <c r="K141" s="50" t="s">
        <v>56716</v>
      </c>
      <c r="L141" s="48" t="s">
        <v>56716</v>
      </c>
    </row>
    <row r="142" spans="1:12" s="37" customFormat="1" ht="11.25" x14ac:dyDescent="0.2">
      <c r="A142" s="45" t="s">
        <v>18551</v>
      </c>
      <c r="B142" s="45" t="s">
        <v>18553</v>
      </c>
      <c r="C142" s="51" t="s">
        <v>18554</v>
      </c>
      <c r="D142" s="51"/>
      <c r="E142" s="45" t="s">
        <v>18555</v>
      </c>
      <c r="F142" s="45" t="s">
        <v>18025</v>
      </c>
      <c r="G142" s="45" t="s">
        <v>56508</v>
      </c>
      <c r="H142" s="56"/>
      <c r="I142" s="56" t="s">
        <v>50564</v>
      </c>
      <c r="J142" s="56"/>
      <c r="K142" s="50"/>
      <c r="L142" s="56" t="s">
        <v>56716</v>
      </c>
    </row>
    <row r="143" spans="1:12" s="37" customFormat="1" ht="11.25" x14ac:dyDescent="0.2">
      <c r="A143" s="46" t="s">
        <v>56477</v>
      </c>
      <c r="B143" s="46" t="s">
        <v>56478</v>
      </c>
      <c r="C143" s="58" t="str">
        <f>"23414022"</f>
        <v>23414022</v>
      </c>
      <c r="D143" s="58" t="str">
        <f>"23870419"</f>
        <v>23870419</v>
      </c>
      <c r="E143" s="46" t="s">
        <v>175</v>
      </c>
      <c r="F143" s="46" t="s">
        <v>18439</v>
      </c>
      <c r="G143" s="46" t="s">
        <v>50614</v>
      </c>
      <c r="H143" s="48" t="s">
        <v>56716</v>
      </c>
      <c r="I143" s="48" t="s">
        <v>50564</v>
      </c>
      <c r="J143" s="48"/>
      <c r="K143" s="50"/>
      <c r="L143" s="48"/>
    </row>
    <row r="144" spans="1:12" s="37" customFormat="1" ht="11.25" x14ac:dyDescent="0.2">
      <c r="A144" s="45" t="s">
        <v>18558</v>
      </c>
      <c r="B144" s="45" t="s">
        <v>18560</v>
      </c>
      <c r="C144" s="51" t="s">
        <v>18562</v>
      </c>
      <c r="D144" s="51"/>
      <c r="E144" s="45" t="s">
        <v>17975</v>
      </c>
      <c r="F144" s="45" t="s">
        <v>17976</v>
      </c>
      <c r="G144" s="45" t="s">
        <v>50584</v>
      </c>
      <c r="H144" s="56"/>
      <c r="I144" s="56" t="s">
        <v>50564</v>
      </c>
      <c r="J144" s="56"/>
      <c r="K144" s="50"/>
      <c r="L144" s="56" t="s">
        <v>56716</v>
      </c>
    </row>
    <row r="145" spans="1:12" s="37" customFormat="1" ht="11.25" x14ac:dyDescent="0.2">
      <c r="A145" s="45" t="s">
        <v>18565</v>
      </c>
      <c r="B145" s="45" t="s">
        <v>18567</v>
      </c>
      <c r="C145" s="51" t="s">
        <v>18569</v>
      </c>
      <c r="D145" s="51" t="s">
        <v>18568</v>
      </c>
      <c r="E145" s="45" t="s">
        <v>18570</v>
      </c>
      <c r="F145" s="45" t="s">
        <v>50646</v>
      </c>
      <c r="G145" s="45" t="s">
        <v>50584</v>
      </c>
      <c r="H145" s="56"/>
      <c r="I145" s="56" t="s">
        <v>50564</v>
      </c>
      <c r="J145" s="56"/>
      <c r="K145" s="50"/>
      <c r="L145" s="56" t="s">
        <v>56716</v>
      </c>
    </row>
    <row r="146" spans="1:12" s="37" customFormat="1" ht="11.25" x14ac:dyDescent="0.2">
      <c r="A146" s="46" t="s">
        <v>690</v>
      </c>
      <c r="B146" s="46" t="s">
        <v>50782</v>
      </c>
      <c r="C146" s="58" t="str">
        <f>"0001723X"</f>
        <v>0001723X</v>
      </c>
      <c r="D146" s="58" t="str">
        <f>""</f>
        <v/>
      </c>
      <c r="E146" s="46" t="s">
        <v>692</v>
      </c>
      <c r="F146" s="46" t="s">
        <v>18577</v>
      </c>
      <c r="G146" s="46" t="s">
        <v>50584</v>
      </c>
      <c r="H146" s="48" t="s">
        <v>56716</v>
      </c>
      <c r="I146" s="48" t="s">
        <v>50564</v>
      </c>
      <c r="J146" s="48"/>
      <c r="K146" s="50"/>
      <c r="L146" s="48" t="s">
        <v>56716</v>
      </c>
    </row>
    <row r="147" spans="1:12" s="37" customFormat="1" ht="11.25" x14ac:dyDescent="0.2">
      <c r="A147" s="46" t="s">
        <v>17072</v>
      </c>
      <c r="B147" s="46" t="s">
        <v>17072</v>
      </c>
      <c r="C147" s="58" t="str">
        <f>"17212596"</f>
        <v>17212596</v>
      </c>
      <c r="D147" s="58" t="str">
        <f>"18271774"</f>
        <v>18271774</v>
      </c>
      <c r="E147" s="46" t="s">
        <v>1708</v>
      </c>
      <c r="F147" s="46" t="s">
        <v>17991</v>
      </c>
      <c r="G147" s="46" t="s">
        <v>50602</v>
      </c>
      <c r="H147" s="48" t="s">
        <v>56716</v>
      </c>
      <c r="I147" s="48" t="s">
        <v>50564</v>
      </c>
      <c r="J147" s="48"/>
      <c r="K147" s="50"/>
      <c r="L147" s="48"/>
    </row>
    <row r="148" spans="1:12" s="37" customFormat="1" ht="11.25" x14ac:dyDescent="0.2">
      <c r="A148" s="46" t="s">
        <v>172</v>
      </c>
      <c r="B148" s="46" t="s">
        <v>50783</v>
      </c>
      <c r="C148" s="58" t="str">
        <f>"00017310"</f>
        <v>00017310</v>
      </c>
      <c r="D148" s="58" t="str">
        <f>"15782190"</f>
        <v>15782190</v>
      </c>
      <c r="E148" s="46" t="s">
        <v>175</v>
      </c>
      <c r="F148" s="46" t="s">
        <v>18439</v>
      </c>
      <c r="G148" s="46" t="s">
        <v>50632</v>
      </c>
      <c r="H148" s="48" t="s">
        <v>56716</v>
      </c>
      <c r="I148" s="48" t="s">
        <v>50564</v>
      </c>
      <c r="J148" s="48"/>
      <c r="K148" s="50" t="s">
        <v>56716</v>
      </c>
      <c r="L148" s="48" t="s">
        <v>56716</v>
      </c>
    </row>
    <row r="149" spans="1:12" s="37" customFormat="1" ht="11.25" x14ac:dyDescent="0.2">
      <c r="A149" s="45" t="s">
        <v>18586</v>
      </c>
      <c r="B149" s="45" t="s">
        <v>18588</v>
      </c>
      <c r="C149" s="51" t="s">
        <v>18591</v>
      </c>
      <c r="D149" s="51" t="s">
        <v>18590</v>
      </c>
      <c r="E149" s="45" t="s">
        <v>18592</v>
      </c>
      <c r="F149" s="45" t="s">
        <v>18439</v>
      </c>
      <c r="G149" s="45" t="s">
        <v>50633</v>
      </c>
      <c r="H149" s="56"/>
      <c r="I149" s="56" t="s">
        <v>50564</v>
      </c>
      <c r="J149" s="56"/>
      <c r="K149" s="50"/>
      <c r="L149" s="56" t="s">
        <v>56716</v>
      </c>
    </row>
    <row r="150" spans="1:12" s="37" customFormat="1" ht="11.25" x14ac:dyDescent="0.2">
      <c r="A150" s="45" t="s">
        <v>18594</v>
      </c>
      <c r="B150" s="45" t="s">
        <v>18596</v>
      </c>
      <c r="C150" s="51" t="s">
        <v>18598</v>
      </c>
      <c r="D150" s="51" t="s">
        <v>18597</v>
      </c>
      <c r="E150" s="45" t="s">
        <v>18438</v>
      </c>
      <c r="F150" s="45" t="s">
        <v>18439</v>
      </c>
      <c r="G150" s="45" t="s">
        <v>50633</v>
      </c>
      <c r="H150" s="56"/>
      <c r="I150" s="56" t="s">
        <v>50564</v>
      </c>
      <c r="J150" s="56"/>
      <c r="K150" s="50"/>
      <c r="L150" s="56" t="s">
        <v>56716</v>
      </c>
    </row>
    <row r="151" spans="1:12" s="37" customFormat="1" ht="11.25" x14ac:dyDescent="0.2">
      <c r="A151" s="46" t="s">
        <v>13318</v>
      </c>
      <c r="B151" s="46" t="s">
        <v>50784</v>
      </c>
      <c r="C151" s="58" t="str">
        <f>"18029698"</f>
        <v>18029698</v>
      </c>
      <c r="D151" s="58" t="str">
        <f>""</f>
        <v/>
      </c>
      <c r="E151" s="46" t="s">
        <v>13320</v>
      </c>
      <c r="F151" s="46" t="s">
        <v>18025</v>
      </c>
      <c r="G151" s="46" t="s">
        <v>50584</v>
      </c>
      <c r="H151" s="48" t="s">
        <v>56716</v>
      </c>
      <c r="I151" s="48" t="s">
        <v>50564</v>
      </c>
      <c r="J151" s="48"/>
      <c r="K151" s="50"/>
      <c r="L151" s="48"/>
    </row>
    <row r="152" spans="1:12" s="37" customFormat="1" ht="11.25" x14ac:dyDescent="0.2">
      <c r="A152" s="46" t="s">
        <v>15595</v>
      </c>
      <c r="B152" s="46" t="s">
        <v>50785</v>
      </c>
      <c r="C152" s="58" t="str">
        <f>"1337933X"</f>
        <v>1337933X</v>
      </c>
      <c r="D152" s="58" t="str">
        <f>""</f>
        <v/>
      </c>
      <c r="E152" s="46" t="s">
        <v>5195</v>
      </c>
      <c r="F152" s="46" t="s">
        <v>18577</v>
      </c>
      <c r="G152" s="46" t="s">
        <v>50584</v>
      </c>
      <c r="H152" s="48" t="s">
        <v>56716</v>
      </c>
      <c r="I152" s="48" t="s">
        <v>50564</v>
      </c>
      <c r="J152" s="48"/>
      <c r="K152" s="50"/>
      <c r="L152" s="48"/>
    </row>
    <row r="153" spans="1:12" s="37" customFormat="1" ht="11.25" x14ac:dyDescent="0.2">
      <c r="A153" s="46" t="s">
        <v>8320</v>
      </c>
      <c r="B153" s="46" t="s">
        <v>50786</v>
      </c>
      <c r="C153" s="58" t="str">
        <f>"05153700"</f>
        <v>05153700</v>
      </c>
      <c r="D153" s="58" t="str">
        <f>""</f>
        <v/>
      </c>
      <c r="E153" s="46" t="s">
        <v>85</v>
      </c>
      <c r="F153" s="46" t="s">
        <v>20359</v>
      </c>
      <c r="G153" s="46" t="s">
        <v>50591</v>
      </c>
      <c r="H153" s="48" t="s">
        <v>56716</v>
      </c>
      <c r="I153" s="48" t="s">
        <v>50564</v>
      </c>
      <c r="J153" s="48"/>
      <c r="K153" s="50"/>
      <c r="L153" s="48"/>
    </row>
    <row r="154" spans="1:12" s="37" customFormat="1" ht="11.25" x14ac:dyDescent="0.2">
      <c r="A154" s="46" t="s">
        <v>5861</v>
      </c>
      <c r="B154" s="46" t="s">
        <v>50787</v>
      </c>
      <c r="C154" s="58" t="str">
        <f>"11320095"</f>
        <v>11320095</v>
      </c>
      <c r="D154" s="58" t="str">
        <f>""</f>
        <v/>
      </c>
      <c r="E154" s="46" t="s">
        <v>5154</v>
      </c>
      <c r="F154" s="46" t="s">
        <v>18439</v>
      </c>
      <c r="G154" s="46" t="s">
        <v>50632</v>
      </c>
      <c r="H154" s="48" t="s">
        <v>56716</v>
      </c>
      <c r="I154" s="48" t="s">
        <v>50564</v>
      </c>
      <c r="J154" s="48"/>
      <c r="K154" s="50"/>
      <c r="L154" s="48"/>
    </row>
    <row r="155" spans="1:12" s="37" customFormat="1" ht="11.25" x14ac:dyDescent="0.2">
      <c r="A155" s="46" t="s">
        <v>13046</v>
      </c>
      <c r="B155" s="46" t="s">
        <v>50788</v>
      </c>
      <c r="C155" s="58" t="str">
        <f>"16698975"</f>
        <v>16698975</v>
      </c>
      <c r="D155" s="58" t="str">
        <f>"16698983"</f>
        <v>16698983</v>
      </c>
      <c r="E155" s="46" t="s">
        <v>13049</v>
      </c>
      <c r="F155" s="46" t="s">
        <v>18169</v>
      </c>
      <c r="G155" s="46" t="s">
        <v>50632</v>
      </c>
      <c r="H155" s="48" t="s">
        <v>56716</v>
      </c>
      <c r="I155" s="48" t="s">
        <v>50564</v>
      </c>
      <c r="J155" s="48"/>
      <c r="K155" s="50"/>
      <c r="L155" s="48"/>
    </row>
    <row r="156" spans="1:12" s="37" customFormat="1" ht="11.25" x14ac:dyDescent="0.2">
      <c r="A156" s="45" t="s">
        <v>18602</v>
      </c>
      <c r="B156" s="45" t="s">
        <v>18604</v>
      </c>
      <c r="C156" s="51" t="s">
        <v>18605</v>
      </c>
      <c r="D156" s="51"/>
      <c r="E156" s="45" t="s">
        <v>18606</v>
      </c>
      <c r="F156" s="45" t="s">
        <v>17759</v>
      </c>
      <c r="G156" s="45" t="s">
        <v>50584</v>
      </c>
      <c r="H156" s="56"/>
      <c r="I156" s="56" t="s">
        <v>50564</v>
      </c>
      <c r="J156" s="56"/>
      <c r="K156" s="50"/>
      <c r="L156" s="56" t="s">
        <v>56716</v>
      </c>
    </row>
    <row r="157" spans="1:12" s="37" customFormat="1" ht="11.25" x14ac:dyDescent="0.2">
      <c r="A157" s="46" t="s">
        <v>16983</v>
      </c>
      <c r="B157" s="46" t="s">
        <v>50789</v>
      </c>
      <c r="C157" s="58" t="str">
        <f>"22117660"</f>
        <v>22117660</v>
      </c>
      <c r="D157" s="58" t="str">
        <f>""</f>
        <v/>
      </c>
      <c r="E157" s="46" t="s">
        <v>6159</v>
      </c>
      <c r="F157" s="46" t="s">
        <v>18158</v>
      </c>
      <c r="G157" s="46" t="s">
        <v>50584</v>
      </c>
      <c r="H157" s="48" t="s">
        <v>56716</v>
      </c>
      <c r="I157" s="48" t="s">
        <v>50564</v>
      </c>
      <c r="J157" s="48" t="s">
        <v>56716</v>
      </c>
      <c r="K157" s="50" t="s">
        <v>56716</v>
      </c>
      <c r="L157" s="48"/>
    </row>
    <row r="158" spans="1:12" s="37" customFormat="1" ht="11.25" x14ac:dyDescent="0.2">
      <c r="A158" s="45" t="s">
        <v>18610</v>
      </c>
      <c r="B158" s="45" t="s">
        <v>18612</v>
      </c>
      <c r="C158" s="51" t="s">
        <v>18615</v>
      </c>
      <c r="D158" s="51" t="s">
        <v>18614</v>
      </c>
      <c r="E158" s="45" t="s">
        <v>18616</v>
      </c>
      <c r="F158" s="45" t="s">
        <v>50646</v>
      </c>
      <c r="G158" s="45" t="s">
        <v>50584</v>
      </c>
      <c r="H158" s="56"/>
      <c r="I158" s="56" t="s">
        <v>50564</v>
      </c>
      <c r="J158" s="56"/>
      <c r="K158" s="50"/>
      <c r="L158" s="56" t="s">
        <v>56716</v>
      </c>
    </row>
    <row r="159" spans="1:12" s="37" customFormat="1" ht="11.25" x14ac:dyDescent="0.2">
      <c r="A159" s="46" t="s">
        <v>11502</v>
      </c>
      <c r="B159" s="46" t="s">
        <v>50790</v>
      </c>
      <c r="C159" s="58" t="str">
        <f>"17482941"</f>
        <v>17482941</v>
      </c>
      <c r="D159" s="58" t="str">
        <f>"1748295X"</f>
        <v>1748295X</v>
      </c>
      <c r="E159" s="46" t="s">
        <v>291</v>
      </c>
      <c r="F159" s="46" t="s">
        <v>50646</v>
      </c>
      <c r="G159" s="46" t="s">
        <v>50584</v>
      </c>
      <c r="H159" s="48" t="s">
        <v>56716</v>
      </c>
      <c r="I159" s="48" t="s">
        <v>50564</v>
      </c>
      <c r="J159" s="48" t="s">
        <v>56716</v>
      </c>
      <c r="K159" s="50"/>
      <c r="L159" s="48" t="s">
        <v>56716</v>
      </c>
    </row>
    <row r="160" spans="1:12" s="37" customFormat="1" ht="11.25" x14ac:dyDescent="0.2">
      <c r="A160" s="46" t="s">
        <v>13513</v>
      </c>
      <c r="B160" s="46" t="s">
        <v>50791</v>
      </c>
      <c r="C160" s="58" t="str">
        <f>"13695312"</f>
        <v>13695312</v>
      </c>
      <c r="D160" s="58" t="str">
        <f>"20403860"</f>
        <v>20403860</v>
      </c>
      <c r="E160" s="46" t="s">
        <v>13516</v>
      </c>
      <c r="F160" s="46" t="s">
        <v>50646</v>
      </c>
      <c r="G160" s="46" t="s">
        <v>50584</v>
      </c>
      <c r="H160" s="48" t="s">
        <v>56716</v>
      </c>
      <c r="I160" s="48" t="s">
        <v>50564</v>
      </c>
      <c r="J160" s="48"/>
      <c r="K160" s="50"/>
      <c r="L160" s="48"/>
    </row>
    <row r="161" spans="1:12" s="37" customFormat="1" ht="11.25" x14ac:dyDescent="0.2">
      <c r="A161" s="46" t="s">
        <v>10851</v>
      </c>
      <c r="B161" s="46" t="s">
        <v>50792</v>
      </c>
      <c r="C161" s="58" t="str">
        <f>"17474884"</f>
        <v>17474884</v>
      </c>
      <c r="D161" s="58" t="str">
        <f>"17474892"</f>
        <v>17474892</v>
      </c>
      <c r="E161" s="46" t="s">
        <v>8341</v>
      </c>
      <c r="F161" s="46" t="s">
        <v>50646</v>
      </c>
      <c r="G161" s="46" t="s">
        <v>50584</v>
      </c>
      <c r="H161" s="48" t="s">
        <v>56716</v>
      </c>
      <c r="I161" s="48" t="s">
        <v>50564</v>
      </c>
      <c r="J161" s="48"/>
      <c r="K161" s="50"/>
      <c r="L161" s="48" t="s">
        <v>56716</v>
      </c>
    </row>
    <row r="162" spans="1:12" s="37" customFormat="1" ht="11.25" x14ac:dyDescent="0.2">
      <c r="A162" s="45" t="s">
        <v>18630</v>
      </c>
      <c r="B162" s="45" t="s">
        <v>18632</v>
      </c>
      <c r="C162" s="51" t="s">
        <v>18634</v>
      </c>
      <c r="D162" s="51" t="s">
        <v>18633</v>
      </c>
      <c r="E162" s="45" t="s">
        <v>18635</v>
      </c>
      <c r="F162" s="45" t="s">
        <v>17759</v>
      </c>
      <c r="G162" s="45" t="s">
        <v>50584</v>
      </c>
      <c r="H162" s="56"/>
      <c r="I162" s="56" t="s">
        <v>50564</v>
      </c>
      <c r="J162" s="56"/>
      <c r="K162" s="50"/>
      <c r="L162" s="56" t="s">
        <v>56716</v>
      </c>
    </row>
    <row r="163" spans="1:12" s="37" customFormat="1" ht="11.25" x14ac:dyDescent="0.2">
      <c r="A163" s="45" t="s">
        <v>18638</v>
      </c>
      <c r="B163" s="45" t="s">
        <v>18640</v>
      </c>
      <c r="C163" s="51" t="s">
        <v>18643</v>
      </c>
      <c r="D163" s="51" t="s">
        <v>18642</v>
      </c>
      <c r="E163" s="45" t="s">
        <v>970</v>
      </c>
      <c r="F163" s="45" t="s">
        <v>50646</v>
      </c>
      <c r="G163" s="45" t="s">
        <v>50584</v>
      </c>
      <c r="H163" s="56"/>
      <c r="I163" s="56" t="s">
        <v>50564</v>
      </c>
      <c r="J163" s="56"/>
      <c r="K163" s="50"/>
      <c r="L163" s="56" t="s">
        <v>56716</v>
      </c>
    </row>
    <row r="164" spans="1:12" s="37" customFormat="1" ht="11.25" x14ac:dyDescent="0.2">
      <c r="A164" s="46" t="s">
        <v>7014</v>
      </c>
      <c r="B164" s="46" t="s">
        <v>50793</v>
      </c>
      <c r="C164" s="58" t="str">
        <f>"13556215"</f>
        <v>13556215</v>
      </c>
      <c r="D164" s="58" t="str">
        <f>"13691600"</f>
        <v>13691600</v>
      </c>
      <c r="E164" s="46" t="s">
        <v>35</v>
      </c>
      <c r="F164" s="46" t="s">
        <v>50646</v>
      </c>
      <c r="G164" s="46" t="s">
        <v>50584</v>
      </c>
      <c r="H164" s="48" t="s">
        <v>56716</v>
      </c>
      <c r="I164" s="48" t="s">
        <v>50564</v>
      </c>
      <c r="J164" s="48" t="s">
        <v>56716</v>
      </c>
      <c r="K164" s="50" t="s">
        <v>56716</v>
      </c>
      <c r="L164" s="48" t="s">
        <v>56716</v>
      </c>
    </row>
    <row r="165" spans="1:12" s="37" customFormat="1" ht="11.25" x14ac:dyDescent="0.2">
      <c r="A165" s="45" t="s">
        <v>18650</v>
      </c>
      <c r="B165" s="45" t="s">
        <v>18652</v>
      </c>
      <c r="C165" s="51" t="s">
        <v>18655</v>
      </c>
      <c r="D165" s="51" t="s">
        <v>18654</v>
      </c>
      <c r="E165" s="45" t="s">
        <v>18570</v>
      </c>
      <c r="F165" s="45" t="s">
        <v>50646</v>
      </c>
      <c r="G165" s="45" t="s">
        <v>50584</v>
      </c>
      <c r="H165" s="56"/>
      <c r="I165" s="56" t="s">
        <v>50564</v>
      </c>
      <c r="J165" s="56"/>
      <c r="K165" s="50"/>
      <c r="L165" s="56" t="s">
        <v>56716</v>
      </c>
    </row>
    <row r="166" spans="1:12" s="37" customFormat="1" ht="11.25" x14ac:dyDescent="0.2">
      <c r="A166" s="46" t="s">
        <v>152</v>
      </c>
      <c r="B166" s="46" t="s">
        <v>50794</v>
      </c>
      <c r="C166" s="58" t="str">
        <f>"03064603"</f>
        <v>03064603</v>
      </c>
      <c r="D166" s="58" t="str">
        <f>"18736327"</f>
        <v>18736327</v>
      </c>
      <c r="E166" s="46" t="s">
        <v>155</v>
      </c>
      <c r="F166" s="46" t="s">
        <v>50646</v>
      </c>
      <c r="G166" s="46" t="s">
        <v>50584</v>
      </c>
      <c r="H166" s="48" t="s">
        <v>56716</v>
      </c>
      <c r="I166" s="48" t="s">
        <v>50564</v>
      </c>
      <c r="J166" s="48"/>
      <c r="K166" s="50" t="s">
        <v>56716</v>
      </c>
      <c r="L166" s="48" t="s">
        <v>56716</v>
      </c>
    </row>
    <row r="167" spans="1:12" s="37" customFormat="1" ht="11.25" x14ac:dyDescent="0.2">
      <c r="A167" s="46" t="s">
        <v>56007</v>
      </c>
      <c r="B167" s="46" t="s">
        <v>56008</v>
      </c>
      <c r="C167" s="58" t="str">
        <f>""</f>
        <v/>
      </c>
      <c r="D167" s="58" t="str">
        <f>"23528532"</f>
        <v>23528532</v>
      </c>
      <c r="E167" s="46" t="s">
        <v>155</v>
      </c>
      <c r="F167" s="46" t="s">
        <v>50646</v>
      </c>
      <c r="G167" s="46" t="s">
        <v>50584</v>
      </c>
      <c r="H167" s="48" t="s">
        <v>56716</v>
      </c>
      <c r="I167" s="48" t="s">
        <v>50564</v>
      </c>
      <c r="J167" s="48" t="s">
        <v>56716</v>
      </c>
      <c r="K167" s="50"/>
      <c r="L167" s="48"/>
    </row>
    <row r="168" spans="1:12" s="37" customFormat="1" ht="11.25" x14ac:dyDescent="0.2">
      <c r="A168" s="46" t="s">
        <v>9398</v>
      </c>
      <c r="B168" s="46" t="s">
        <v>50795</v>
      </c>
      <c r="C168" s="58" t="str">
        <f>"15315754"</f>
        <v>15315754</v>
      </c>
      <c r="D168" s="58" t="str">
        <f>""</f>
        <v/>
      </c>
      <c r="E168" s="46" t="s">
        <v>28</v>
      </c>
      <c r="F168" s="46" t="s">
        <v>17759</v>
      </c>
      <c r="G168" s="46" t="s">
        <v>50584</v>
      </c>
      <c r="H168" s="48" t="s">
        <v>56716</v>
      </c>
      <c r="I168" s="48" t="s">
        <v>50564</v>
      </c>
      <c r="J168" s="48" t="s">
        <v>56716</v>
      </c>
      <c r="K168" s="50" t="s">
        <v>56716</v>
      </c>
      <c r="L168" s="48"/>
    </row>
    <row r="169" spans="1:12" s="37" customFormat="1" ht="11.25" x14ac:dyDescent="0.2">
      <c r="A169" s="46" t="s">
        <v>15223</v>
      </c>
      <c r="B169" s="46" t="s">
        <v>50796</v>
      </c>
      <c r="C169" s="58" t="str">
        <f>"18666116"</f>
        <v>18666116</v>
      </c>
      <c r="D169" s="58" t="str">
        <f>"18666647"</f>
        <v>18666647</v>
      </c>
      <c r="E169" s="46" t="s">
        <v>55904</v>
      </c>
      <c r="F169" s="46" t="s">
        <v>18288</v>
      </c>
      <c r="G169" s="46" t="s">
        <v>50584</v>
      </c>
      <c r="H169" s="48" t="s">
        <v>56716</v>
      </c>
      <c r="I169" s="48" t="s">
        <v>50564</v>
      </c>
      <c r="J169" s="48" t="s">
        <v>56716</v>
      </c>
      <c r="K169" s="50" t="s">
        <v>56716</v>
      </c>
      <c r="L169" s="48" t="s">
        <v>56716</v>
      </c>
    </row>
    <row r="170" spans="1:12" s="37" customFormat="1" ht="11.25" x14ac:dyDescent="0.2">
      <c r="A170" s="45" t="s">
        <v>18665</v>
      </c>
      <c r="B170" s="45" t="s">
        <v>18665</v>
      </c>
      <c r="C170" s="51" t="s">
        <v>18667</v>
      </c>
      <c r="D170" s="51"/>
      <c r="E170" s="45" t="s">
        <v>18668</v>
      </c>
      <c r="F170" s="45" t="s">
        <v>18439</v>
      </c>
      <c r="G170" s="45" t="s">
        <v>50633</v>
      </c>
      <c r="H170" s="56"/>
      <c r="I170" s="56" t="s">
        <v>50564</v>
      </c>
      <c r="J170" s="56"/>
      <c r="K170" s="50"/>
      <c r="L170" s="56" t="s">
        <v>56716</v>
      </c>
    </row>
    <row r="171" spans="1:12" s="37" customFormat="1" ht="11.25" x14ac:dyDescent="0.2">
      <c r="A171" s="46" t="s">
        <v>16478</v>
      </c>
      <c r="B171" s="46" t="s">
        <v>16478</v>
      </c>
      <c r="C171" s="58" t="str">
        <f>"21623945"</f>
        <v>21623945</v>
      </c>
      <c r="D171" s="58" t="str">
        <f>"2162397X"</f>
        <v>2162397X</v>
      </c>
      <c r="E171" s="46" t="s">
        <v>669</v>
      </c>
      <c r="F171" s="46" t="s">
        <v>17759</v>
      </c>
      <c r="G171" s="46" t="s">
        <v>50584</v>
      </c>
      <c r="H171" s="48" t="s">
        <v>56716</v>
      </c>
      <c r="I171" s="48" t="s">
        <v>50564</v>
      </c>
      <c r="J171" s="48"/>
      <c r="K171" s="50"/>
      <c r="L171" s="48"/>
    </row>
    <row r="172" spans="1:12" s="37" customFormat="1" ht="11.25" x14ac:dyDescent="0.2">
      <c r="A172" s="45" t="s">
        <v>18670</v>
      </c>
      <c r="B172" s="45" t="s">
        <v>18672</v>
      </c>
      <c r="C172" s="51" t="s">
        <v>18675</v>
      </c>
      <c r="D172" s="51" t="s">
        <v>18674</v>
      </c>
      <c r="E172" s="45" t="s">
        <v>17783</v>
      </c>
      <c r="F172" s="45" t="s">
        <v>17759</v>
      </c>
      <c r="G172" s="45" t="s">
        <v>50584</v>
      </c>
      <c r="H172" s="56"/>
      <c r="I172" s="56" t="s">
        <v>50564</v>
      </c>
      <c r="J172" s="56"/>
      <c r="K172" s="50"/>
      <c r="L172" s="56" t="s">
        <v>56716</v>
      </c>
    </row>
    <row r="173" spans="1:12" s="37" customFormat="1" ht="11.25" x14ac:dyDescent="0.2">
      <c r="A173" s="46" t="s">
        <v>16696</v>
      </c>
      <c r="B173" s="46" t="s">
        <v>50797</v>
      </c>
      <c r="C173" s="58" t="str">
        <f>""</f>
        <v/>
      </c>
      <c r="D173" s="58" t="str">
        <f>"1179318X"</f>
        <v>1179318X</v>
      </c>
      <c r="E173" s="46" t="s">
        <v>11079</v>
      </c>
      <c r="F173" s="46" t="s">
        <v>19483</v>
      </c>
      <c r="G173" s="46" t="s">
        <v>50584</v>
      </c>
      <c r="H173" s="48" t="s">
        <v>56716</v>
      </c>
      <c r="I173" s="48" t="s">
        <v>50564</v>
      </c>
      <c r="J173" s="48" t="s">
        <v>56716</v>
      </c>
      <c r="K173" s="50"/>
      <c r="L173" s="48"/>
    </row>
    <row r="174" spans="1:12" s="37" customFormat="1" ht="11.25" x14ac:dyDescent="0.2">
      <c r="A174" s="45" t="s">
        <v>18680</v>
      </c>
      <c r="B174" s="45" t="s">
        <v>18682</v>
      </c>
      <c r="C174" s="51" t="s">
        <v>18684</v>
      </c>
      <c r="D174" s="51"/>
      <c r="E174" s="45" t="s">
        <v>3358</v>
      </c>
      <c r="F174" s="45" t="s">
        <v>17759</v>
      </c>
      <c r="G174" s="45" t="s">
        <v>50584</v>
      </c>
      <c r="H174" s="56"/>
      <c r="I174" s="56" t="s">
        <v>50564</v>
      </c>
      <c r="J174" s="56"/>
      <c r="K174" s="50"/>
      <c r="L174" s="56" t="s">
        <v>56716</v>
      </c>
    </row>
    <row r="175" spans="1:12" s="37" customFormat="1" ht="11.25" x14ac:dyDescent="0.2">
      <c r="A175" s="46" t="s">
        <v>15948</v>
      </c>
      <c r="B175" s="46" t="s">
        <v>50798</v>
      </c>
      <c r="C175" s="58" t="str">
        <f>"22106766"</f>
        <v>22106766</v>
      </c>
      <c r="D175" s="58" t="str">
        <f>"22106774"</f>
        <v>22106774</v>
      </c>
      <c r="E175" s="46" t="s">
        <v>6405</v>
      </c>
      <c r="F175" s="46" t="s">
        <v>18001</v>
      </c>
      <c r="G175" s="46" t="s">
        <v>50584</v>
      </c>
      <c r="H175" s="48" t="s">
        <v>56716</v>
      </c>
      <c r="I175" s="48" t="s">
        <v>50564</v>
      </c>
      <c r="J175" s="48" t="s">
        <v>56716</v>
      </c>
      <c r="K175" s="50"/>
      <c r="L175" s="48"/>
    </row>
    <row r="176" spans="1:12" s="37" customFormat="1" ht="11.25" x14ac:dyDescent="0.2">
      <c r="A176" s="45" t="s">
        <v>18687</v>
      </c>
      <c r="B176" s="45" t="s">
        <v>18689</v>
      </c>
      <c r="C176" s="51" t="s">
        <v>18692</v>
      </c>
      <c r="D176" s="51" t="s">
        <v>18691</v>
      </c>
      <c r="E176" s="45" t="s">
        <v>18693</v>
      </c>
      <c r="F176" s="45" t="s">
        <v>17759</v>
      </c>
      <c r="G176" s="45" t="s">
        <v>50584</v>
      </c>
      <c r="H176" s="56"/>
      <c r="I176" s="56" t="s">
        <v>50564</v>
      </c>
      <c r="J176" s="56"/>
      <c r="K176" s="50"/>
      <c r="L176" s="56" t="s">
        <v>56716</v>
      </c>
    </row>
    <row r="177" spans="1:12" s="37" customFormat="1" ht="11.25" x14ac:dyDescent="0.2">
      <c r="A177" s="46" t="s">
        <v>4406</v>
      </c>
      <c r="B177" s="46" t="s">
        <v>50799</v>
      </c>
      <c r="C177" s="58" t="str">
        <f>"0169409X"</f>
        <v>0169409X</v>
      </c>
      <c r="D177" s="58" t="str">
        <f>"18728294"</f>
        <v>18728294</v>
      </c>
      <c r="E177" s="46" t="s">
        <v>91</v>
      </c>
      <c r="F177" s="46" t="s">
        <v>18001</v>
      </c>
      <c r="G177" s="46" t="s">
        <v>50584</v>
      </c>
      <c r="H177" s="48" t="s">
        <v>56716</v>
      </c>
      <c r="I177" s="48" t="s">
        <v>50564</v>
      </c>
      <c r="J177" s="48" t="s">
        <v>56716</v>
      </c>
      <c r="K177" s="50" t="s">
        <v>56716</v>
      </c>
      <c r="L177" s="48" t="s">
        <v>56716</v>
      </c>
    </row>
    <row r="178" spans="1:12" s="37" customFormat="1" ht="11.25" x14ac:dyDescent="0.2">
      <c r="A178" s="45" t="s">
        <v>18701</v>
      </c>
      <c r="B178" s="45" t="s">
        <v>18703</v>
      </c>
      <c r="C178" s="51" t="s">
        <v>18706</v>
      </c>
      <c r="D178" s="51" t="s">
        <v>18705</v>
      </c>
      <c r="E178" s="45" t="s">
        <v>17758</v>
      </c>
      <c r="F178" s="45" t="s">
        <v>17759</v>
      </c>
      <c r="G178" s="45" t="s">
        <v>50584</v>
      </c>
      <c r="H178" s="56"/>
      <c r="I178" s="56" t="s">
        <v>50564</v>
      </c>
      <c r="J178" s="56"/>
      <c r="K178" s="50"/>
      <c r="L178" s="56" t="s">
        <v>56716</v>
      </c>
    </row>
    <row r="179" spans="1:12" s="37" customFormat="1" ht="11.25" x14ac:dyDescent="0.2">
      <c r="A179" s="46" t="s">
        <v>16475</v>
      </c>
      <c r="B179" s="46" t="s">
        <v>50800</v>
      </c>
      <c r="C179" s="58" t="str">
        <f>"21922640"</f>
        <v>21922640</v>
      </c>
      <c r="D179" s="58" t="str">
        <f>"21922659"</f>
        <v>21922659</v>
      </c>
      <c r="E179" s="46" t="s">
        <v>651</v>
      </c>
      <c r="F179" s="46" t="s">
        <v>18158</v>
      </c>
      <c r="G179" s="46" t="s">
        <v>50584</v>
      </c>
      <c r="H179" s="48" t="s">
        <v>56716</v>
      </c>
      <c r="I179" s="48" t="s">
        <v>50564</v>
      </c>
      <c r="J179" s="48" t="s">
        <v>56716</v>
      </c>
      <c r="K179" s="50" t="s">
        <v>56716</v>
      </c>
      <c r="L179" s="48" t="s">
        <v>56716</v>
      </c>
    </row>
    <row r="180" spans="1:12" s="37" customFormat="1" ht="11.25" x14ac:dyDescent="0.2">
      <c r="A180" s="45" t="s">
        <v>18715</v>
      </c>
      <c r="B180" s="45" t="s">
        <v>18717</v>
      </c>
      <c r="C180" s="51" t="s">
        <v>18719</v>
      </c>
      <c r="D180" s="51" t="s">
        <v>18718</v>
      </c>
      <c r="E180" s="45" t="s">
        <v>18712</v>
      </c>
      <c r="F180" s="45" t="s">
        <v>18158</v>
      </c>
      <c r="G180" s="45" t="s">
        <v>50584</v>
      </c>
      <c r="H180" s="56"/>
      <c r="I180" s="56" t="s">
        <v>50564</v>
      </c>
      <c r="J180" s="56"/>
      <c r="K180" s="50"/>
      <c r="L180" s="56" t="s">
        <v>56716</v>
      </c>
    </row>
    <row r="181" spans="1:12" s="37" customFormat="1" ht="11.25" x14ac:dyDescent="0.2">
      <c r="A181" s="46" t="s">
        <v>16770</v>
      </c>
      <c r="B181" s="46" t="s">
        <v>50801</v>
      </c>
      <c r="C181" s="58" t="str">
        <f>"22285881"</f>
        <v>22285881</v>
      </c>
      <c r="D181" s="58" t="str">
        <f>"22517308"</f>
        <v>22517308</v>
      </c>
      <c r="E181" s="46" t="s">
        <v>13621</v>
      </c>
      <c r="F181" s="46" t="s">
        <v>18232</v>
      </c>
      <c r="G181" s="46" t="s">
        <v>50584</v>
      </c>
      <c r="H181" s="48" t="s">
        <v>56716</v>
      </c>
      <c r="I181" s="48" t="s">
        <v>50564</v>
      </c>
      <c r="J181" s="48"/>
      <c r="K181" s="50"/>
      <c r="L181" s="48"/>
    </row>
    <row r="182" spans="1:12" s="37" customFormat="1" ht="11.25" x14ac:dyDescent="0.2">
      <c r="A182" s="46" t="s">
        <v>17404</v>
      </c>
      <c r="B182" s="46" t="s">
        <v>50802</v>
      </c>
      <c r="C182" s="58" t="str">
        <f>"21646627"</f>
        <v>21646627</v>
      </c>
      <c r="D182" s="58" t="str">
        <f>"21646635"</f>
        <v>21646635</v>
      </c>
      <c r="E182" s="46" t="s">
        <v>11896</v>
      </c>
      <c r="F182" s="46" t="s">
        <v>17759</v>
      </c>
      <c r="G182" s="46" t="s">
        <v>50584</v>
      </c>
      <c r="H182" s="48" t="s">
        <v>56716</v>
      </c>
      <c r="I182" s="48" t="s">
        <v>50564</v>
      </c>
      <c r="J182" s="48"/>
      <c r="K182" s="50"/>
      <c r="L182" s="48"/>
    </row>
    <row r="183" spans="1:12" s="37" customFormat="1" ht="11.25" x14ac:dyDescent="0.2">
      <c r="A183" s="45" t="s">
        <v>18723</v>
      </c>
      <c r="B183" s="45" t="s">
        <v>18725</v>
      </c>
      <c r="C183" s="51" t="s">
        <v>18726</v>
      </c>
      <c r="D183" s="51"/>
      <c r="E183" s="45" t="s">
        <v>18727</v>
      </c>
      <c r="F183" s="45" t="s">
        <v>17759</v>
      </c>
      <c r="G183" s="45" t="s">
        <v>50584</v>
      </c>
      <c r="H183" s="56"/>
      <c r="I183" s="56" t="s">
        <v>50564</v>
      </c>
      <c r="J183" s="56"/>
      <c r="K183" s="50"/>
      <c r="L183" s="56" t="s">
        <v>56716</v>
      </c>
    </row>
    <row r="184" spans="1:12" s="37" customFormat="1" ht="11.25" x14ac:dyDescent="0.2">
      <c r="A184" s="46" t="s">
        <v>16086</v>
      </c>
      <c r="B184" s="46" t="s">
        <v>50803</v>
      </c>
      <c r="C184" s="58" t="str">
        <f>"22105727"</f>
        <v>22105727</v>
      </c>
      <c r="D184" s="58" t="str">
        <f>"22105735"</f>
        <v>22105735</v>
      </c>
      <c r="E184" s="46" t="s">
        <v>920</v>
      </c>
      <c r="F184" s="46" t="s">
        <v>18001</v>
      </c>
      <c r="G184" s="46" t="s">
        <v>50584</v>
      </c>
      <c r="H184" s="48" t="s">
        <v>56716</v>
      </c>
      <c r="I184" s="48" t="s">
        <v>50565</v>
      </c>
      <c r="J184" s="48"/>
      <c r="K184" s="50"/>
      <c r="L184" s="48"/>
    </row>
    <row r="185" spans="1:12" s="37" customFormat="1" ht="11.25" x14ac:dyDescent="0.2">
      <c r="A185" s="46" t="s">
        <v>10379</v>
      </c>
      <c r="B185" s="46" t="s">
        <v>50804</v>
      </c>
      <c r="C185" s="58" t="str">
        <f>"10724109"</f>
        <v>10724109</v>
      </c>
      <c r="D185" s="58" t="str">
        <f>"15334031"</f>
        <v>15334031</v>
      </c>
      <c r="E185" s="46" t="s">
        <v>28</v>
      </c>
      <c r="F185" s="46" t="s">
        <v>17759</v>
      </c>
      <c r="G185" s="46" t="s">
        <v>50584</v>
      </c>
      <c r="H185" s="48" t="s">
        <v>56716</v>
      </c>
      <c r="I185" s="48" t="s">
        <v>50564</v>
      </c>
      <c r="J185" s="48" t="s">
        <v>56716</v>
      </c>
      <c r="K185" s="50"/>
      <c r="L185" s="48" t="s">
        <v>56716</v>
      </c>
    </row>
    <row r="186" spans="1:12" s="37" customFormat="1" ht="11.25" x14ac:dyDescent="0.2">
      <c r="A186" s="45" t="s">
        <v>18735</v>
      </c>
      <c r="B186" s="45" t="s">
        <v>18737</v>
      </c>
      <c r="C186" s="51" t="s">
        <v>18739</v>
      </c>
      <c r="D186" s="51"/>
      <c r="E186" s="45" t="s">
        <v>167</v>
      </c>
      <c r="F186" s="45" t="s">
        <v>18158</v>
      </c>
      <c r="G186" s="45" t="s">
        <v>50584</v>
      </c>
      <c r="H186" s="56"/>
      <c r="I186" s="56" t="s">
        <v>50564</v>
      </c>
      <c r="J186" s="56"/>
      <c r="K186" s="50"/>
      <c r="L186" s="56" t="s">
        <v>56716</v>
      </c>
    </row>
    <row r="187" spans="1:12" s="37" customFormat="1" ht="11.25" x14ac:dyDescent="0.2">
      <c r="A187" s="46" t="s">
        <v>12653</v>
      </c>
      <c r="B187" s="46" t="s">
        <v>50805</v>
      </c>
      <c r="C187" s="58" t="str">
        <f>"10758593"</f>
        <v>10758593</v>
      </c>
      <c r="D187" s="58" t="str">
        <f>""</f>
        <v/>
      </c>
      <c r="E187" s="46" t="s">
        <v>155</v>
      </c>
      <c r="F187" s="46" t="s">
        <v>50646</v>
      </c>
      <c r="G187" s="46" t="s">
        <v>50584</v>
      </c>
      <c r="H187" s="48" t="s">
        <v>56716</v>
      </c>
      <c r="I187" s="48" t="s">
        <v>50565</v>
      </c>
      <c r="J187" s="48"/>
      <c r="K187" s="50"/>
      <c r="L187" s="48"/>
    </row>
    <row r="188" spans="1:12" s="37" customFormat="1" ht="11.25" x14ac:dyDescent="0.2">
      <c r="A188" s="46" t="s">
        <v>150</v>
      </c>
      <c r="B188" s="46" t="s">
        <v>50806</v>
      </c>
      <c r="C188" s="58" t="str">
        <f>"00652164"</f>
        <v>00652164</v>
      </c>
      <c r="D188" s="58" t="str">
        <f>""</f>
        <v/>
      </c>
      <c r="E188" s="46" t="s">
        <v>60</v>
      </c>
      <c r="F188" s="46" t="s">
        <v>17759</v>
      </c>
      <c r="G188" s="46" t="s">
        <v>50584</v>
      </c>
      <c r="H188" s="48" t="s">
        <v>56716</v>
      </c>
      <c r="I188" s="48" t="s">
        <v>50565</v>
      </c>
      <c r="J188" s="48"/>
      <c r="K188" s="50" t="s">
        <v>56716</v>
      </c>
      <c r="L188" s="48" t="s">
        <v>56716</v>
      </c>
    </row>
    <row r="189" spans="1:12" s="37" customFormat="1" ht="11.25" x14ac:dyDescent="0.2">
      <c r="A189" s="45" t="s">
        <v>18748</v>
      </c>
      <c r="B189" s="45" t="s">
        <v>18750</v>
      </c>
      <c r="C189" s="51" t="s">
        <v>18753</v>
      </c>
      <c r="D189" s="51" t="s">
        <v>18752</v>
      </c>
      <c r="E189" s="45" t="s">
        <v>167</v>
      </c>
      <c r="F189" s="45" t="s">
        <v>18158</v>
      </c>
      <c r="G189" s="45" t="s">
        <v>50584</v>
      </c>
      <c r="H189" s="56"/>
      <c r="I189" s="56" t="s">
        <v>50564</v>
      </c>
      <c r="J189" s="56"/>
      <c r="K189" s="50"/>
      <c r="L189" s="56" t="s">
        <v>56716</v>
      </c>
    </row>
    <row r="190" spans="1:12" s="37" customFormat="1" ht="11.25" x14ac:dyDescent="0.2">
      <c r="A190" s="45" t="s">
        <v>18756</v>
      </c>
      <c r="B190" s="45" t="s">
        <v>18758</v>
      </c>
      <c r="C190" s="51" t="s">
        <v>18761</v>
      </c>
      <c r="D190" s="51" t="s">
        <v>18760</v>
      </c>
      <c r="E190" s="45" t="s">
        <v>91</v>
      </c>
      <c r="F190" s="45" t="s">
        <v>50646</v>
      </c>
      <c r="G190" s="45" t="s">
        <v>50584</v>
      </c>
      <c r="H190" s="56"/>
      <c r="I190" s="56" t="s">
        <v>50564</v>
      </c>
      <c r="J190" s="56"/>
      <c r="K190" s="50"/>
      <c r="L190" s="56" t="s">
        <v>56716</v>
      </c>
    </row>
    <row r="191" spans="1:12" s="37" customFormat="1" ht="11.25" x14ac:dyDescent="0.2">
      <c r="A191" s="46" t="s">
        <v>5045</v>
      </c>
      <c r="B191" s="46" t="s">
        <v>50807</v>
      </c>
      <c r="C191" s="58" t="str">
        <f>"0065230X"</f>
        <v>0065230X</v>
      </c>
      <c r="D191" s="58" t="str">
        <f>""</f>
        <v/>
      </c>
      <c r="E191" s="46" t="s">
        <v>60</v>
      </c>
      <c r="F191" s="46" t="s">
        <v>17759</v>
      </c>
      <c r="G191" s="46" t="s">
        <v>50584</v>
      </c>
      <c r="H191" s="48" t="s">
        <v>56716</v>
      </c>
      <c r="I191" s="48" t="s">
        <v>50565</v>
      </c>
      <c r="J191" s="48" t="s">
        <v>56716</v>
      </c>
      <c r="K191" s="50" t="s">
        <v>56716</v>
      </c>
      <c r="L191" s="48" t="s">
        <v>56716</v>
      </c>
    </row>
    <row r="192" spans="1:12" s="37" customFormat="1" ht="11.25" x14ac:dyDescent="0.2">
      <c r="A192" s="46" t="s">
        <v>5047</v>
      </c>
      <c r="B192" s="46" t="s">
        <v>50808</v>
      </c>
      <c r="C192" s="58" t="str">
        <f>"00652318"</f>
        <v>00652318</v>
      </c>
      <c r="D192" s="58" t="str">
        <f>""</f>
        <v/>
      </c>
      <c r="E192" s="46" t="s">
        <v>60</v>
      </c>
      <c r="F192" s="46" t="s">
        <v>17759</v>
      </c>
      <c r="G192" s="46" t="s">
        <v>50584</v>
      </c>
      <c r="H192" s="48" t="s">
        <v>56716</v>
      </c>
      <c r="I192" s="48" t="s">
        <v>50565</v>
      </c>
      <c r="J192" s="48" t="s">
        <v>56716</v>
      </c>
      <c r="K192" s="50"/>
      <c r="L192" s="48" t="s">
        <v>56716</v>
      </c>
    </row>
    <row r="193" spans="1:12" s="37" customFormat="1" ht="11.25" x14ac:dyDescent="0.2">
      <c r="A193" s="46" t="s">
        <v>106</v>
      </c>
      <c r="B193" s="46" t="s">
        <v>50809</v>
      </c>
      <c r="C193" s="58" t="str">
        <f>"00652326"</f>
        <v>00652326</v>
      </c>
      <c r="D193" s="58" t="str">
        <f>"16622839"</f>
        <v>16622839</v>
      </c>
      <c r="E193" s="46" t="s">
        <v>109</v>
      </c>
      <c r="F193" s="46" t="s">
        <v>18123</v>
      </c>
      <c r="G193" s="46" t="s">
        <v>50584</v>
      </c>
      <c r="H193" s="48" t="s">
        <v>56716</v>
      </c>
      <c r="I193" s="48" t="s">
        <v>50565</v>
      </c>
      <c r="J193" s="48" t="s">
        <v>56716</v>
      </c>
      <c r="K193" s="50"/>
      <c r="L193" s="48" t="s">
        <v>56716</v>
      </c>
    </row>
    <row r="194" spans="1:12" s="37" customFormat="1" ht="11.25" x14ac:dyDescent="0.2">
      <c r="A194" s="46" t="s">
        <v>13767</v>
      </c>
      <c r="B194" s="46" t="s">
        <v>50810</v>
      </c>
      <c r="C194" s="58" t="str">
        <f>"0324833X"</f>
        <v>0324833X</v>
      </c>
      <c r="D194" s="58" t="str">
        <f>"20802218"</f>
        <v>20802218</v>
      </c>
      <c r="E194" s="46" t="s">
        <v>55986</v>
      </c>
      <c r="F194" s="46" t="s">
        <v>18158</v>
      </c>
      <c r="G194" s="46" t="s">
        <v>50584</v>
      </c>
      <c r="H194" s="48" t="s">
        <v>56716</v>
      </c>
      <c r="I194" s="48" t="s">
        <v>50564</v>
      </c>
      <c r="J194" s="48"/>
      <c r="K194" s="50"/>
      <c r="L194" s="48"/>
    </row>
    <row r="195" spans="1:12" s="37" customFormat="1" ht="11.25" x14ac:dyDescent="0.2">
      <c r="A195" s="45" t="s">
        <v>18774</v>
      </c>
      <c r="B195" s="45" t="s">
        <v>18776</v>
      </c>
      <c r="C195" s="51" t="s">
        <v>18777</v>
      </c>
      <c r="D195" s="51"/>
      <c r="E195" s="45" t="s">
        <v>601</v>
      </c>
      <c r="F195" s="45" t="s">
        <v>17759</v>
      </c>
      <c r="G195" s="45" t="s">
        <v>50584</v>
      </c>
      <c r="H195" s="56"/>
      <c r="I195" s="56" t="s">
        <v>50564</v>
      </c>
      <c r="J195" s="56"/>
      <c r="K195" s="50"/>
      <c r="L195" s="56" t="s">
        <v>56716</v>
      </c>
    </row>
    <row r="196" spans="1:12" s="37" customFormat="1" ht="11.25" x14ac:dyDescent="0.2">
      <c r="A196" s="45" t="s">
        <v>18780</v>
      </c>
      <c r="B196" s="45" t="s">
        <v>18782</v>
      </c>
      <c r="C196" s="51" t="s">
        <v>18783</v>
      </c>
      <c r="D196" s="51"/>
      <c r="E196" s="45" t="s">
        <v>18784</v>
      </c>
      <c r="F196" s="45" t="s">
        <v>17759</v>
      </c>
      <c r="G196" s="45" t="s">
        <v>50584</v>
      </c>
      <c r="H196" s="56"/>
      <c r="I196" s="56" t="s">
        <v>50564</v>
      </c>
      <c r="J196" s="56"/>
      <c r="K196" s="50"/>
      <c r="L196" s="56" t="s">
        <v>56716</v>
      </c>
    </row>
    <row r="197" spans="1:12" s="37" customFormat="1" ht="11.25" x14ac:dyDescent="0.2">
      <c r="A197" s="46" t="s">
        <v>10160</v>
      </c>
      <c r="B197" s="46" t="s">
        <v>50811</v>
      </c>
      <c r="C197" s="58" t="str">
        <f>"15485595"</f>
        <v>15485595</v>
      </c>
      <c r="D197" s="58" t="str">
        <f>"15485609"</f>
        <v>15485609</v>
      </c>
      <c r="E197" s="46" t="s">
        <v>303</v>
      </c>
      <c r="F197" s="46" t="s">
        <v>17759</v>
      </c>
      <c r="G197" s="46" t="s">
        <v>50584</v>
      </c>
      <c r="H197" s="48" t="s">
        <v>56716</v>
      </c>
      <c r="I197" s="48" t="s">
        <v>50564</v>
      </c>
      <c r="J197" s="48" t="s">
        <v>56716</v>
      </c>
      <c r="K197" s="50"/>
      <c r="L197" s="48" t="s">
        <v>56716</v>
      </c>
    </row>
    <row r="198" spans="1:12" s="37" customFormat="1" ht="11.25" x14ac:dyDescent="0.2">
      <c r="A198" s="46" t="s">
        <v>15597</v>
      </c>
      <c r="B198" s="46" t="s">
        <v>50812</v>
      </c>
      <c r="C198" s="58" t="str">
        <f>"18995276"</f>
        <v>18995276</v>
      </c>
      <c r="D198" s="58" t="str">
        <f>""</f>
        <v/>
      </c>
      <c r="E198" s="46" t="s">
        <v>15599</v>
      </c>
      <c r="F198" s="46" t="s">
        <v>17967</v>
      </c>
      <c r="G198" s="46" t="s">
        <v>50612</v>
      </c>
      <c r="H198" s="48" t="s">
        <v>56716</v>
      </c>
      <c r="I198" s="48" t="s">
        <v>50564</v>
      </c>
      <c r="J198" s="48"/>
      <c r="K198" s="50"/>
      <c r="L198" s="48" t="s">
        <v>56716</v>
      </c>
    </row>
    <row r="199" spans="1:12" s="37" customFormat="1" ht="11.25" x14ac:dyDescent="0.2">
      <c r="A199" s="45" t="s">
        <v>18800</v>
      </c>
      <c r="B199" s="45" t="s">
        <v>18802</v>
      </c>
      <c r="C199" s="51" t="s">
        <v>18803</v>
      </c>
      <c r="D199" s="51"/>
      <c r="E199" s="45" t="s">
        <v>601</v>
      </c>
      <c r="F199" s="45" t="s">
        <v>17759</v>
      </c>
      <c r="G199" s="45" t="s">
        <v>50584</v>
      </c>
      <c r="H199" s="56"/>
      <c r="I199" s="56" t="s">
        <v>50564</v>
      </c>
      <c r="J199" s="56"/>
      <c r="K199" s="50"/>
      <c r="L199" s="56" t="s">
        <v>56716</v>
      </c>
    </row>
    <row r="200" spans="1:12" s="37" customFormat="1" ht="11.25" x14ac:dyDescent="0.2">
      <c r="A200" s="45" t="s">
        <v>18807</v>
      </c>
      <c r="B200" s="45" t="s">
        <v>18809</v>
      </c>
      <c r="C200" s="51" t="s">
        <v>18811</v>
      </c>
      <c r="D200" s="51" t="s">
        <v>18810</v>
      </c>
      <c r="E200" s="45" t="s">
        <v>91</v>
      </c>
      <c r="F200" s="45" t="s">
        <v>18001</v>
      </c>
      <c r="G200" s="45" t="s">
        <v>50584</v>
      </c>
      <c r="H200" s="56"/>
      <c r="I200" s="56" t="s">
        <v>50564</v>
      </c>
      <c r="J200" s="56"/>
      <c r="K200" s="50"/>
      <c r="L200" s="56" t="s">
        <v>56716</v>
      </c>
    </row>
    <row r="201" spans="1:12" s="37" customFormat="1" ht="11.25" x14ac:dyDescent="0.2">
      <c r="A201" s="46" t="s">
        <v>16118</v>
      </c>
      <c r="B201" s="46" t="s">
        <v>50813</v>
      </c>
      <c r="C201" s="58" t="str">
        <f>"21926204"</f>
        <v>21926204</v>
      </c>
      <c r="D201" s="58" t="str">
        <f>""</f>
        <v/>
      </c>
      <c r="E201" s="46" t="s">
        <v>167</v>
      </c>
      <c r="F201" s="46" t="s">
        <v>18158</v>
      </c>
      <c r="G201" s="46" t="s">
        <v>50584</v>
      </c>
      <c r="H201" s="48" t="s">
        <v>56716</v>
      </c>
      <c r="I201" s="48" t="s">
        <v>50565</v>
      </c>
      <c r="J201" s="48" t="s">
        <v>56716</v>
      </c>
      <c r="K201" s="50"/>
      <c r="L201" s="48"/>
    </row>
    <row r="202" spans="1:12" s="37" customFormat="1" ht="11.25" x14ac:dyDescent="0.2">
      <c r="A202" s="45" t="s">
        <v>18815</v>
      </c>
      <c r="B202" s="45" t="s">
        <v>18817</v>
      </c>
      <c r="C202" s="51" t="s">
        <v>18819</v>
      </c>
      <c r="D202" s="51" t="s">
        <v>18818</v>
      </c>
      <c r="E202" s="45" t="s">
        <v>18820</v>
      </c>
      <c r="F202" s="45" t="s">
        <v>17759</v>
      </c>
      <c r="G202" s="45" t="s">
        <v>50584</v>
      </c>
      <c r="H202" s="56"/>
      <c r="I202" s="56" t="s">
        <v>50564</v>
      </c>
      <c r="J202" s="56"/>
      <c r="K202" s="50"/>
      <c r="L202" s="56" t="s">
        <v>56716</v>
      </c>
    </row>
    <row r="203" spans="1:12" s="37" customFormat="1" ht="11.25" x14ac:dyDescent="0.2">
      <c r="A203" s="46" t="s">
        <v>10814</v>
      </c>
      <c r="B203" s="46" t="s">
        <v>50814</v>
      </c>
      <c r="C203" s="58" t="str">
        <f>"15743349"</f>
        <v>15743349</v>
      </c>
      <c r="D203" s="58" t="str">
        <f>"18755275"</f>
        <v>18755275</v>
      </c>
      <c r="E203" s="46" t="s">
        <v>91</v>
      </c>
      <c r="F203" s="46" t="s">
        <v>18001</v>
      </c>
      <c r="G203" s="46" t="s">
        <v>50584</v>
      </c>
      <c r="H203" s="48" t="s">
        <v>56716</v>
      </c>
      <c r="I203" s="48" t="s">
        <v>50565</v>
      </c>
      <c r="J203" s="48"/>
      <c r="K203" s="50"/>
      <c r="L203" s="48"/>
    </row>
    <row r="204" spans="1:12" s="37" customFormat="1" ht="11.25" x14ac:dyDescent="0.2">
      <c r="A204" s="46" t="s">
        <v>56302</v>
      </c>
      <c r="B204" s="46" t="s">
        <v>56303</v>
      </c>
      <c r="C204" s="58" t="str">
        <f>"23519797"</f>
        <v>23519797</v>
      </c>
      <c r="D204" s="58" t="str">
        <f>"23519800"</f>
        <v>23519800</v>
      </c>
      <c r="E204" s="46" t="s">
        <v>6113</v>
      </c>
      <c r="F204" s="46" t="s">
        <v>50654</v>
      </c>
      <c r="G204" s="46" t="s">
        <v>50584</v>
      </c>
      <c r="H204" s="48" t="s">
        <v>56716</v>
      </c>
      <c r="I204" s="48" t="s">
        <v>50564</v>
      </c>
      <c r="J204" s="48" t="s">
        <v>56716</v>
      </c>
      <c r="K204" s="50" t="s">
        <v>56716</v>
      </c>
      <c r="L204" s="48"/>
    </row>
    <row r="205" spans="1:12" s="37" customFormat="1" ht="11.25" x14ac:dyDescent="0.2">
      <c r="A205" s="45" t="s">
        <v>18822</v>
      </c>
      <c r="B205" s="45" t="s">
        <v>18824</v>
      </c>
      <c r="C205" s="51"/>
      <c r="D205" s="51"/>
      <c r="E205" s="45" t="s">
        <v>18827</v>
      </c>
      <c r="F205" s="45" t="s">
        <v>17759</v>
      </c>
      <c r="G205" s="45" t="s">
        <v>50584</v>
      </c>
      <c r="H205" s="56"/>
      <c r="I205" s="56" t="s">
        <v>50564</v>
      </c>
      <c r="J205" s="56"/>
      <c r="K205" s="50"/>
      <c r="L205" s="56" t="s">
        <v>56716</v>
      </c>
    </row>
    <row r="206" spans="1:12" s="37" customFormat="1" ht="11.25" x14ac:dyDescent="0.2">
      <c r="A206" s="46" t="s">
        <v>5049</v>
      </c>
      <c r="B206" s="46" t="s">
        <v>50815</v>
      </c>
      <c r="C206" s="58" t="str">
        <f>"00652598"</f>
        <v>00652598</v>
      </c>
      <c r="D206" s="58" t="str">
        <f>"22148019"</f>
        <v>22148019</v>
      </c>
      <c r="E206" s="46" t="s">
        <v>56305</v>
      </c>
      <c r="F206" s="46" t="s">
        <v>17759</v>
      </c>
      <c r="G206" s="46" t="s">
        <v>50584</v>
      </c>
      <c r="H206" s="48" t="s">
        <v>56716</v>
      </c>
      <c r="I206" s="48" t="s">
        <v>50565</v>
      </c>
      <c r="J206" s="48" t="s">
        <v>56716</v>
      </c>
      <c r="K206" s="50"/>
      <c r="L206" s="48" t="s">
        <v>56716</v>
      </c>
    </row>
    <row r="207" spans="1:12" s="37" customFormat="1" ht="11.25" x14ac:dyDescent="0.2">
      <c r="A207" s="45" t="s">
        <v>18835</v>
      </c>
      <c r="B207" s="45" t="s">
        <v>18837</v>
      </c>
      <c r="C207" s="51" t="s">
        <v>18839</v>
      </c>
      <c r="D207" s="51"/>
      <c r="E207" s="45" t="s">
        <v>601</v>
      </c>
      <c r="F207" s="45" t="s">
        <v>17759</v>
      </c>
      <c r="G207" s="45" t="s">
        <v>50584</v>
      </c>
      <c r="H207" s="56"/>
      <c r="I207" s="56" t="s">
        <v>50564</v>
      </c>
      <c r="J207" s="56"/>
      <c r="K207" s="50"/>
      <c r="L207" s="56" t="s">
        <v>56716</v>
      </c>
    </row>
    <row r="208" spans="1:12" s="37" customFormat="1" ht="11.25" x14ac:dyDescent="0.2">
      <c r="A208" s="45" t="s">
        <v>18841</v>
      </c>
      <c r="B208" s="45" t="s">
        <v>18843</v>
      </c>
      <c r="C208" s="51" t="s">
        <v>18845</v>
      </c>
      <c r="D208" s="51"/>
      <c r="E208" s="45" t="s">
        <v>601</v>
      </c>
      <c r="F208" s="45" t="s">
        <v>17759</v>
      </c>
      <c r="G208" s="45" t="s">
        <v>50584</v>
      </c>
      <c r="H208" s="56"/>
      <c r="I208" s="56" t="s">
        <v>50564</v>
      </c>
      <c r="J208" s="56"/>
      <c r="K208" s="50"/>
      <c r="L208" s="56" t="s">
        <v>56716</v>
      </c>
    </row>
    <row r="209" spans="1:12" s="37" customFormat="1" ht="11.25" x14ac:dyDescent="0.2">
      <c r="A209" s="46" t="s">
        <v>17419</v>
      </c>
      <c r="B209" s="46" t="s">
        <v>50816</v>
      </c>
      <c r="C209" s="58" t="str">
        <f>"22136606"</f>
        <v>22136606</v>
      </c>
      <c r="D209" s="58" t="str">
        <f>""</f>
        <v/>
      </c>
      <c r="E209" s="46" t="s">
        <v>6405</v>
      </c>
      <c r="F209" s="46" t="s">
        <v>18001</v>
      </c>
      <c r="G209" s="46" t="s">
        <v>50584</v>
      </c>
      <c r="H209" s="48" t="s">
        <v>56716</v>
      </c>
      <c r="I209" s="48" t="s">
        <v>50565</v>
      </c>
      <c r="J209" s="48" t="s">
        <v>56716</v>
      </c>
      <c r="K209" s="50"/>
      <c r="L209" s="48"/>
    </row>
    <row r="210" spans="1:12" s="37" customFormat="1" ht="11.25" x14ac:dyDescent="0.2">
      <c r="A210" s="45" t="s">
        <v>18849</v>
      </c>
      <c r="B210" s="45" t="s">
        <v>18851</v>
      </c>
      <c r="C210" s="51" t="s">
        <v>18852</v>
      </c>
      <c r="D210" s="51"/>
      <c r="E210" s="45" t="s">
        <v>18853</v>
      </c>
      <c r="F210" s="45" t="s">
        <v>50653</v>
      </c>
      <c r="G210" s="45" t="s">
        <v>56509</v>
      </c>
      <c r="H210" s="56"/>
      <c r="I210" s="56" t="s">
        <v>50564</v>
      </c>
      <c r="J210" s="56"/>
      <c r="K210" s="50"/>
      <c r="L210" s="56" t="s">
        <v>56716</v>
      </c>
    </row>
    <row r="211" spans="1:12" s="37" customFormat="1" ht="11.25" x14ac:dyDescent="0.2">
      <c r="A211" s="45" t="s">
        <v>18858</v>
      </c>
      <c r="B211" s="45" t="s">
        <v>18860</v>
      </c>
      <c r="C211" s="51" t="s">
        <v>18861</v>
      </c>
      <c r="D211" s="51"/>
      <c r="E211" s="45" t="s">
        <v>18862</v>
      </c>
      <c r="F211" s="45" t="s">
        <v>18001</v>
      </c>
      <c r="G211" s="45" t="s">
        <v>50584</v>
      </c>
      <c r="H211" s="56"/>
      <c r="I211" s="56" t="s">
        <v>50564</v>
      </c>
      <c r="J211" s="56"/>
      <c r="K211" s="50"/>
      <c r="L211" s="56" t="s">
        <v>56716</v>
      </c>
    </row>
    <row r="212" spans="1:12" s="37" customFormat="1" ht="11.25" x14ac:dyDescent="0.2">
      <c r="A212" s="46" t="s">
        <v>12048</v>
      </c>
      <c r="B212" s="46" t="s">
        <v>50817</v>
      </c>
      <c r="C212" s="58" t="str">
        <f>"07312199"</f>
        <v>07312199</v>
      </c>
      <c r="D212" s="58" t="str">
        <f>""</f>
        <v/>
      </c>
      <c r="E212" s="46" t="s">
        <v>10043</v>
      </c>
      <c r="F212" s="46" t="s">
        <v>50646</v>
      </c>
      <c r="G212" s="46" t="s">
        <v>50584</v>
      </c>
      <c r="H212" s="48" t="s">
        <v>56716</v>
      </c>
      <c r="I212" s="48" t="s">
        <v>50565</v>
      </c>
      <c r="J212" s="48" t="s">
        <v>56716</v>
      </c>
      <c r="K212" s="50"/>
      <c r="L212" s="48" t="s">
        <v>56716</v>
      </c>
    </row>
    <row r="213" spans="1:12" s="37" customFormat="1" ht="11.25" x14ac:dyDescent="0.2">
      <c r="A213" s="45" t="s">
        <v>18871</v>
      </c>
      <c r="B213" s="45" t="s">
        <v>18873</v>
      </c>
      <c r="C213" s="51" t="s">
        <v>18875</v>
      </c>
      <c r="D213" s="51" t="s">
        <v>18874</v>
      </c>
      <c r="E213" s="45" t="s">
        <v>18876</v>
      </c>
      <c r="F213" s="45" t="s">
        <v>18001</v>
      </c>
      <c r="G213" s="45" t="s">
        <v>50584</v>
      </c>
      <c r="H213" s="56"/>
      <c r="I213" s="56" t="s">
        <v>50564</v>
      </c>
      <c r="J213" s="56"/>
      <c r="K213" s="50"/>
      <c r="L213" s="56" t="s">
        <v>56716</v>
      </c>
    </row>
    <row r="214" spans="1:12" s="37" customFormat="1" ht="11.25" x14ac:dyDescent="0.2">
      <c r="A214" s="46" t="s">
        <v>13917</v>
      </c>
      <c r="B214" s="46" t="s">
        <v>50818</v>
      </c>
      <c r="C214" s="58" t="str">
        <f>"16879104"</f>
        <v>16879104</v>
      </c>
      <c r="D214" s="58" t="str">
        <f>"16879112"</f>
        <v>16879112</v>
      </c>
      <c r="E214" s="46" t="s">
        <v>1412</v>
      </c>
      <c r="F214" s="46" t="s">
        <v>17759</v>
      </c>
      <c r="G214" s="46" t="s">
        <v>50584</v>
      </c>
      <c r="H214" s="48" t="s">
        <v>56716</v>
      </c>
      <c r="I214" s="48" t="s">
        <v>50564</v>
      </c>
      <c r="J214" s="48" t="s">
        <v>56716</v>
      </c>
      <c r="K214" s="50"/>
      <c r="L214" s="48"/>
    </row>
    <row r="215" spans="1:12" s="37" customFormat="1" ht="11.25" x14ac:dyDescent="0.2">
      <c r="A215" s="46" t="s">
        <v>161</v>
      </c>
      <c r="B215" s="46" t="s">
        <v>50819</v>
      </c>
      <c r="C215" s="58" t="str">
        <f>"00652776"</f>
        <v>00652776</v>
      </c>
      <c r="D215" s="58" t="str">
        <f>"15578445"</f>
        <v>15578445</v>
      </c>
      <c r="E215" s="46" t="s">
        <v>60</v>
      </c>
      <c r="F215" s="46" t="s">
        <v>17759</v>
      </c>
      <c r="G215" s="46" t="s">
        <v>50584</v>
      </c>
      <c r="H215" s="48" t="s">
        <v>56716</v>
      </c>
      <c r="I215" s="48" t="s">
        <v>50565</v>
      </c>
      <c r="J215" s="48" t="s">
        <v>56716</v>
      </c>
      <c r="K215" s="50" t="s">
        <v>56716</v>
      </c>
      <c r="L215" s="48" t="s">
        <v>56716</v>
      </c>
    </row>
    <row r="216" spans="1:12" s="37" customFormat="1" ht="11.25" x14ac:dyDescent="0.2">
      <c r="A216" s="46" t="s">
        <v>17186</v>
      </c>
      <c r="B216" s="46" t="s">
        <v>50820</v>
      </c>
      <c r="C216" s="58" t="str">
        <f>"22129588"</f>
        <v>22129588</v>
      </c>
      <c r="D216" s="58" t="str">
        <f>"22129596"</f>
        <v>22129596</v>
      </c>
      <c r="E216" s="46" t="s">
        <v>17188</v>
      </c>
      <c r="F216" s="46" t="s">
        <v>20082</v>
      </c>
      <c r="G216" s="46" t="s">
        <v>50584</v>
      </c>
      <c r="H216" s="48" t="s">
        <v>56716</v>
      </c>
      <c r="I216" s="48" t="s">
        <v>50564</v>
      </c>
      <c r="J216" s="48" t="s">
        <v>56716</v>
      </c>
      <c r="K216" s="50" t="s">
        <v>56716</v>
      </c>
      <c r="L216" s="48"/>
    </row>
    <row r="217" spans="1:12" s="37" customFormat="1" ht="11.25" x14ac:dyDescent="0.2">
      <c r="A217" s="45" t="s">
        <v>18884</v>
      </c>
      <c r="B217" s="45" t="s">
        <v>18886</v>
      </c>
      <c r="C217" s="51" t="s">
        <v>18889</v>
      </c>
      <c r="D217" s="51" t="s">
        <v>18888</v>
      </c>
      <c r="E217" s="45" t="s">
        <v>91</v>
      </c>
      <c r="F217" s="45" t="s">
        <v>18001</v>
      </c>
      <c r="G217" s="45" t="s">
        <v>50584</v>
      </c>
      <c r="H217" s="56"/>
      <c r="I217" s="56" t="s">
        <v>50564</v>
      </c>
      <c r="J217" s="56"/>
      <c r="K217" s="50"/>
      <c r="L217" s="56" t="s">
        <v>56716</v>
      </c>
    </row>
    <row r="218" spans="1:12" s="37" customFormat="1" ht="11.25" x14ac:dyDescent="0.2">
      <c r="A218" s="45" t="s">
        <v>18893</v>
      </c>
      <c r="B218" s="45" t="s">
        <v>18895</v>
      </c>
      <c r="C218" s="51" t="s">
        <v>18896</v>
      </c>
      <c r="D218" s="51"/>
      <c r="E218" s="45" t="s">
        <v>601</v>
      </c>
      <c r="F218" s="45" t="s">
        <v>17759</v>
      </c>
      <c r="G218" s="45" t="s">
        <v>50584</v>
      </c>
      <c r="H218" s="56"/>
      <c r="I218" s="56" t="s">
        <v>50564</v>
      </c>
      <c r="J218" s="56"/>
      <c r="K218" s="50"/>
      <c r="L218" s="56" t="s">
        <v>56716</v>
      </c>
    </row>
    <row r="219" spans="1:12" s="37" customFormat="1" ht="11.25" x14ac:dyDescent="0.2">
      <c r="A219" s="46" t="s">
        <v>12953</v>
      </c>
      <c r="B219" s="46" t="s">
        <v>50821</v>
      </c>
      <c r="C219" s="58" t="str">
        <f>"18961126"</f>
        <v>18961126</v>
      </c>
      <c r="D219" s="58" t="str">
        <f>"18984002"</f>
        <v>18984002</v>
      </c>
      <c r="E219" s="46" t="s">
        <v>12956</v>
      </c>
      <c r="F219" s="46" t="s">
        <v>18158</v>
      </c>
      <c r="G219" s="46" t="s">
        <v>50584</v>
      </c>
      <c r="H219" s="48" t="s">
        <v>56716</v>
      </c>
      <c r="I219" s="48" t="s">
        <v>50564</v>
      </c>
      <c r="J219" s="48"/>
      <c r="K219" s="50"/>
      <c r="L219" s="48" t="s">
        <v>56716</v>
      </c>
    </row>
    <row r="220" spans="1:12" s="37" customFormat="1" ht="11.25" x14ac:dyDescent="0.2">
      <c r="A220" s="46" t="s">
        <v>5051</v>
      </c>
      <c r="B220" s="46" t="s">
        <v>50822</v>
      </c>
      <c r="C220" s="58" t="str">
        <f>"00652911"</f>
        <v>00652911</v>
      </c>
      <c r="D220" s="58" t="str">
        <f>""</f>
        <v/>
      </c>
      <c r="E220" s="46" t="s">
        <v>601</v>
      </c>
      <c r="F220" s="46" t="s">
        <v>50646</v>
      </c>
      <c r="G220" s="46" t="s">
        <v>50584</v>
      </c>
      <c r="H220" s="48" t="s">
        <v>56716</v>
      </c>
      <c r="I220" s="48" t="s">
        <v>50565</v>
      </c>
      <c r="J220" s="48"/>
      <c r="K220" s="50"/>
      <c r="L220" s="48" t="s">
        <v>56716</v>
      </c>
    </row>
    <row r="221" spans="1:12" s="37" customFormat="1" ht="11.25" x14ac:dyDescent="0.2">
      <c r="A221" s="45" t="s">
        <v>18908</v>
      </c>
      <c r="B221" s="45" t="s">
        <v>18910</v>
      </c>
      <c r="C221" s="51" t="s">
        <v>18913</v>
      </c>
      <c r="D221" s="51" t="s">
        <v>18912</v>
      </c>
      <c r="E221" s="45" t="s">
        <v>19360</v>
      </c>
      <c r="F221" s="45" t="s">
        <v>17759</v>
      </c>
      <c r="G221" s="45" t="s">
        <v>50584</v>
      </c>
      <c r="H221" s="56"/>
      <c r="I221" s="56" t="s">
        <v>50564</v>
      </c>
      <c r="J221" s="56"/>
      <c r="K221" s="50"/>
      <c r="L221" s="56" t="s">
        <v>56716</v>
      </c>
    </row>
    <row r="222" spans="1:12" s="37" customFormat="1" ht="11.25" x14ac:dyDescent="0.2">
      <c r="A222" s="46" t="s">
        <v>14323</v>
      </c>
      <c r="B222" s="46" t="s">
        <v>50823</v>
      </c>
      <c r="C222" s="58" t="str">
        <f>"18720854"</f>
        <v>18720854</v>
      </c>
      <c r="D222" s="58" t="str">
        <f>"22122044"</f>
        <v>22122044</v>
      </c>
      <c r="E222" s="46" t="s">
        <v>91</v>
      </c>
      <c r="F222" s="46" t="s">
        <v>18001</v>
      </c>
      <c r="G222" s="46" t="s">
        <v>50584</v>
      </c>
      <c r="H222" s="48" t="s">
        <v>56716</v>
      </c>
      <c r="I222" s="48" t="s">
        <v>50565</v>
      </c>
      <c r="J222" s="48" t="s">
        <v>56716</v>
      </c>
      <c r="K222" s="50"/>
      <c r="L222" s="48"/>
    </row>
    <row r="223" spans="1:12" s="37" customFormat="1" ht="11.25" x14ac:dyDescent="0.2">
      <c r="A223" s="45" t="s">
        <v>18916</v>
      </c>
      <c r="B223" s="45" t="s">
        <v>18918</v>
      </c>
      <c r="C223" s="51" t="s">
        <v>18920</v>
      </c>
      <c r="D223" s="51" t="s">
        <v>18919</v>
      </c>
      <c r="E223" s="45" t="s">
        <v>18921</v>
      </c>
      <c r="F223" s="45" t="s">
        <v>17759</v>
      </c>
      <c r="G223" s="45" t="s">
        <v>50584</v>
      </c>
      <c r="H223" s="56"/>
      <c r="I223" s="56" t="s">
        <v>50564</v>
      </c>
      <c r="J223" s="56"/>
      <c r="K223" s="50"/>
      <c r="L223" s="56" t="s">
        <v>56716</v>
      </c>
    </row>
    <row r="224" spans="1:12" s="37" customFormat="1" ht="11.25" x14ac:dyDescent="0.2">
      <c r="A224" s="45" t="s">
        <v>56510</v>
      </c>
      <c r="B224" s="45" t="s">
        <v>56511</v>
      </c>
      <c r="C224" s="51" t="s">
        <v>56512</v>
      </c>
      <c r="D224" s="51"/>
      <c r="E224" s="45" t="s">
        <v>17783</v>
      </c>
      <c r="F224" s="45" t="s">
        <v>17759</v>
      </c>
      <c r="G224" s="45" t="s">
        <v>50584</v>
      </c>
      <c r="H224" s="56"/>
      <c r="I224" s="56" t="s">
        <v>50564</v>
      </c>
      <c r="J224" s="56"/>
      <c r="K224" s="50"/>
      <c r="L224" s="56" t="s">
        <v>56716</v>
      </c>
    </row>
    <row r="225" spans="1:12" s="37" customFormat="1" ht="11.25" x14ac:dyDescent="0.2">
      <c r="A225" s="46" t="s">
        <v>56406</v>
      </c>
      <c r="B225" s="46" t="s">
        <v>56407</v>
      </c>
      <c r="C225" s="58" t="str">
        <f>"02700794"</f>
        <v>02700794</v>
      </c>
      <c r="D225" s="58" t="str">
        <f>""</f>
        <v/>
      </c>
      <c r="E225" s="46" t="s">
        <v>56305</v>
      </c>
      <c r="F225" s="46" t="s">
        <v>17759</v>
      </c>
      <c r="G225" s="46" t="s">
        <v>50584</v>
      </c>
      <c r="H225" s="48" t="s">
        <v>56716</v>
      </c>
      <c r="I225" s="48" t="s">
        <v>50565</v>
      </c>
      <c r="J225" s="48" t="s">
        <v>56716</v>
      </c>
      <c r="K225" s="50"/>
      <c r="L225" s="48"/>
    </row>
    <row r="226" spans="1:12" s="37" customFormat="1" ht="11.25" x14ac:dyDescent="0.2">
      <c r="A226" s="46" t="s">
        <v>14878</v>
      </c>
      <c r="B226" s="46" t="s">
        <v>50824</v>
      </c>
      <c r="C226" s="58" t="str">
        <f>"1878948X"</f>
        <v>1878948X</v>
      </c>
      <c r="D226" s="58" t="str">
        <f>"18789498"</f>
        <v>18789498</v>
      </c>
      <c r="E226" s="46" t="s">
        <v>920</v>
      </c>
      <c r="F226" s="46" t="s">
        <v>18001</v>
      </c>
      <c r="G226" s="46" t="s">
        <v>50584</v>
      </c>
      <c r="H226" s="48" t="s">
        <v>56716</v>
      </c>
      <c r="I226" s="48" t="s">
        <v>50564</v>
      </c>
      <c r="J226" s="48" t="s">
        <v>56716</v>
      </c>
      <c r="K226" s="50"/>
      <c r="L226" s="48"/>
    </row>
    <row r="227" spans="1:12" s="37" customFormat="1" ht="11.25" x14ac:dyDescent="0.2">
      <c r="A227" s="45" t="s">
        <v>18924</v>
      </c>
      <c r="B227" s="45" t="s">
        <v>18926</v>
      </c>
      <c r="C227" s="51" t="s">
        <v>18928</v>
      </c>
      <c r="D227" s="51" t="s">
        <v>18927</v>
      </c>
      <c r="E227" s="45" t="s">
        <v>280</v>
      </c>
      <c r="F227" s="45" t="s">
        <v>17759</v>
      </c>
      <c r="G227" s="45" t="s">
        <v>50584</v>
      </c>
      <c r="H227" s="56"/>
      <c r="I227" s="56" t="s">
        <v>50564</v>
      </c>
      <c r="J227" s="56"/>
      <c r="K227" s="50"/>
      <c r="L227" s="56" t="s">
        <v>56716</v>
      </c>
    </row>
    <row r="228" spans="1:12" s="37" customFormat="1" ht="11.25" x14ac:dyDescent="0.2">
      <c r="A228" s="45" t="s">
        <v>18930</v>
      </c>
      <c r="B228" s="45" t="s">
        <v>18932</v>
      </c>
      <c r="C228" s="51" t="s">
        <v>18933</v>
      </c>
      <c r="D228" s="51"/>
      <c r="E228" s="45" t="s">
        <v>18934</v>
      </c>
      <c r="F228" s="45" t="s">
        <v>17759</v>
      </c>
      <c r="G228" s="45" t="s">
        <v>50584</v>
      </c>
      <c r="H228" s="56"/>
      <c r="I228" s="56" t="s">
        <v>50564</v>
      </c>
      <c r="J228" s="56"/>
      <c r="K228" s="50"/>
      <c r="L228" s="56" t="s">
        <v>56716</v>
      </c>
    </row>
    <row r="229" spans="1:12" s="37" customFormat="1" ht="11.25" x14ac:dyDescent="0.2">
      <c r="A229" s="45" t="s">
        <v>18936</v>
      </c>
      <c r="B229" s="45" t="s">
        <v>18938</v>
      </c>
      <c r="C229" s="51" t="s">
        <v>18940</v>
      </c>
      <c r="D229" s="51" t="s">
        <v>18939</v>
      </c>
      <c r="E229" s="45" t="s">
        <v>18122</v>
      </c>
      <c r="F229" s="45" t="s">
        <v>18123</v>
      </c>
      <c r="G229" s="45" t="s">
        <v>50584</v>
      </c>
      <c r="H229" s="56"/>
      <c r="I229" s="56" t="s">
        <v>50564</v>
      </c>
      <c r="J229" s="56"/>
      <c r="K229" s="50"/>
      <c r="L229" s="56" t="s">
        <v>56716</v>
      </c>
    </row>
    <row r="230" spans="1:12" s="37" customFormat="1" ht="11.25" x14ac:dyDescent="0.2">
      <c r="A230" s="46" t="s">
        <v>5053</v>
      </c>
      <c r="B230" s="46" t="s">
        <v>50825</v>
      </c>
      <c r="C230" s="58" t="str">
        <f>"0065308X"</f>
        <v>0065308X</v>
      </c>
      <c r="D230" s="58" t="str">
        <f>""</f>
        <v/>
      </c>
      <c r="E230" s="46" t="s">
        <v>601</v>
      </c>
      <c r="F230" s="46" t="s">
        <v>50646</v>
      </c>
      <c r="G230" s="46" t="s">
        <v>50584</v>
      </c>
      <c r="H230" s="48" t="s">
        <v>56716</v>
      </c>
      <c r="I230" s="48" t="s">
        <v>50565</v>
      </c>
      <c r="J230" s="48" t="s">
        <v>56716</v>
      </c>
      <c r="K230" s="50" t="s">
        <v>56716</v>
      </c>
      <c r="L230" s="48" t="s">
        <v>56716</v>
      </c>
    </row>
    <row r="231" spans="1:12" s="37" customFormat="1" ht="11.25" x14ac:dyDescent="0.2">
      <c r="A231" s="45" t="s">
        <v>18946</v>
      </c>
      <c r="B231" s="45" t="s">
        <v>18948</v>
      </c>
      <c r="C231" s="51" t="s">
        <v>18950</v>
      </c>
      <c r="D231" s="51" t="s">
        <v>18949</v>
      </c>
      <c r="E231" s="45" t="s">
        <v>18951</v>
      </c>
      <c r="F231" s="45" t="s">
        <v>17759</v>
      </c>
      <c r="G231" s="45" t="s">
        <v>50584</v>
      </c>
      <c r="H231" s="56"/>
      <c r="I231" s="56" t="s">
        <v>50564</v>
      </c>
      <c r="J231" s="56"/>
      <c r="K231" s="50"/>
      <c r="L231" s="56" t="s">
        <v>56716</v>
      </c>
    </row>
    <row r="232" spans="1:12" s="37" customFormat="1" ht="11.25" x14ac:dyDescent="0.2">
      <c r="A232" s="45" t="s">
        <v>18954</v>
      </c>
      <c r="B232" s="45" t="s">
        <v>18956</v>
      </c>
      <c r="C232" s="51" t="s">
        <v>18957</v>
      </c>
      <c r="D232" s="51"/>
      <c r="E232" s="45" t="s">
        <v>18958</v>
      </c>
      <c r="F232" s="45" t="s">
        <v>18959</v>
      </c>
      <c r="G232" s="45" t="s">
        <v>50584</v>
      </c>
      <c r="H232" s="56"/>
      <c r="I232" s="56" t="s">
        <v>50564</v>
      </c>
      <c r="J232" s="56"/>
      <c r="K232" s="50"/>
      <c r="L232" s="56" t="s">
        <v>56716</v>
      </c>
    </row>
    <row r="233" spans="1:12" s="37" customFormat="1" ht="11.25" x14ac:dyDescent="0.2">
      <c r="A233" s="46" t="s">
        <v>12403</v>
      </c>
      <c r="B233" s="46" t="s">
        <v>50826</v>
      </c>
      <c r="C233" s="58" t="str">
        <f>"16876334"</f>
        <v>16876334</v>
      </c>
      <c r="D233" s="58" t="str">
        <f>"16876342"</f>
        <v>16876342</v>
      </c>
      <c r="E233" s="46" t="s">
        <v>1412</v>
      </c>
      <c r="F233" s="46" t="s">
        <v>17759</v>
      </c>
      <c r="G233" s="46" t="s">
        <v>50584</v>
      </c>
      <c r="H233" s="48" t="s">
        <v>56716</v>
      </c>
      <c r="I233" s="48" t="s">
        <v>50564</v>
      </c>
      <c r="J233" s="48" t="s">
        <v>56716</v>
      </c>
      <c r="K233" s="50"/>
      <c r="L233" s="48"/>
    </row>
    <row r="234" spans="1:12" s="37" customFormat="1" ht="11.25" x14ac:dyDescent="0.2">
      <c r="A234" s="46" t="s">
        <v>10822</v>
      </c>
      <c r="B234" s="46" t="s">
        <v>50827</v>
      </c>
      <c r="C234" s="58" t="str">
        <f>"10543589"</f>
        <v>10543589</v>
      </c>
      <c r="D234" s="58" t="str">
        <f>"15578925"</f>
        <v>15578925</v>
      </c>
      <c r="E234" s="46" t="s">
        <v>60</v>
      </c>
      <c r="F234" s="46" t="s">
        <v>17759</v>
      </c>
      <c r="G234" s="46" t="s">
        <v>50584</v>
      </c>
      <c r="H234" s="48" t="s">
        <v>56716</v>
      </c>
      <c r="I234" s="48" t="s">
        <v>50565</v>
      </c>
      <c r="J234" s="48" t="s">
        <v>56716</v>
      </c>
      <c r="K234" s="50"/>
      <c r="L234" s="48" t="s">
        <v>56716</v>
      </c>
    </row>
    <row r="235" spans="1:12" s="37" customFormat="1" ht="11.25" x14ac:dyDescent="0.2">
      <c r="A235" s="45" t="s">
        <v>18967</v>
      </c>
      <c r="B235" s="45" t="s">
        <v>18969</v>
      </c>
      <c r="C235" s="51" t="s">
        <v>18971</v>
      </c>
      <c r="D235" s="51" t="s">
        <v>18970</v>
      </c>
      <c r="E235" s="45" t="s">
        <v>367</v>
      </c>
      <c r="F235" s="45" t="s">
        <v>17759</v>
      </c>
      <c r="G235" s="45" t="s">
        <v>50584</v>
      </c>
      <c r="H235" s="56"/>
      <c r="I235" s="56" t="s">
        <v>50564</v>
      </c>
      <c r="J235" s="56"/>
      <c r="K235" s="50"/>
      <c r="L235" s="56" t="s">
        <v>56716</v>
      </c>
    </row>
    <row r="236" spans="1:12" s="37" customFormat="1" ht="11.25" x14ac:dyDescent="0.2">
      <c r="A236" s="46" t="s">
        <v>17337</v>
      </c>
      <c r="B236" s="46" t="s">
        <v>50828</v>
      </c>
      <c r="C236" s="58" t="str">
        <f>"22113495"</f>
        <v>22113495</v>
      </c>
      <c r="D236" s="58" t="str">
        <f>"22113509"</f>
        <v>22113509</v>
      </c>
      <c r="E236" s="46" t="s">
        <v>18876</v>
      </c>
      <c r="F236" s="46" t="s">
        <v>18001</v>
      </c>
      <c r="G236" s="46" t="s">
        <v>50584</v>
      </c>
      <c r="H236" s="48" t="s">
        <v>56716</v>
      </c>
      <c r="I236" s="48" t="s">
        <v>50565</v>
      </c>
      <c r="J236" s="48" t="s">
        <v>56716</v>
      </c>
      <c r="K236" s="50"/>
      <c r="L236" s="48"/>
    </row>
    <row r="237" spans="1:12" s="37" customFormat="1" ht="11.25" x14ac:dyDescent="0.2">
      <c r="A237" s="46" t="s">
        <v>14697</v>
      </c>
      <c r="B237" s="46" t="s">
        <v>50829</v>
      </c>
      <c r="C237" s="58" t="str">
        <f>"18761623"</f>
        <v>18761623</v>
      </c>
      <c r="D237" s="58" t="str">
        <f>""</f>
        <v/>
      </c>
      <c r="E237" s="46" t="s">
        <v>60</v>
      </c>
      <c r="F237" s="46" t="s">
        <v>17759</v>
      </c>
      <c r="G237" s="46" t="s">
        <v>50584</v>
      </c>
      <c r="H237" s="48" t="s">
        <v>56716</v>
      </c>
      <c r="I237" s="48" t="s">
        <v>50565</v>
      </c>
      <c r="J237" s="48" t="s">
        <v>56716</v>
      </c>
      <c r="K237" s="50" t="s">
        <v>56716</v>
      </c>
      <c r="L237" s="48" t="s">
        <v>56716</v>
      </c>
    </row>
    <row r="238" spans="1:12" s="37" customFormat="1" ht="11.25" x14ac:dyDescent="0.2">
      <c r="A238" s="46" t="s">
        <v>8686</v>
      </c>
      <c r="B238" s="46" t="s">
        <v>50830</v>
      </c>
      <c r="C238" s="58" t="str">
        <f>"13555146"</f>
        <v>13555146</v>
      </c>
      <c r="D238" s="58" t="str">
        <f>"14721481"</f>
        <v>14721481</v>
      </c>
      <c r="E238" s="46" t="s">
        <v>841</v>
      </c>
      <c r="F238" s="46" t="s">
        <v>50646</v>
      </c>
      <c r="G238" s="46" t="s">
        <v>50584</v>
      </c>
      <c r="H238" s="48" t="s">
        <v>56716</v>
      </c>
      <c r="I238" s="48" t="s">
        <v>50564</v>
      </c>
      <c r="J238" s="48"/>
      <c r="K238" s="50"/>
      <c r="L238" s="48"/>
    </row>
    <row r="239" spans="1:12" s="37" customFormat="1" ht="11.25" x14ac:dyDescent="0.2">
      <c r="A239" s="45" t="s">
        <v>18981</v>
      </c>
      <c r="B239" s="45" t="s">
        <v>18983</v>
      </c>
      <c r="C239" s="51" t="s">
        <v>18986</v>
      </c>
      <c r="D239" s="51" t="s">
        <v>18985</v>
      </c>
      <c r="E239" s="45" t="s">
        <v>18122</v>
      </c>
      <c r="F239" s="45" t="s">
        <v>18123</v>
      </c>
      <c r="G239" s="45" t="s">
        <v>50584</v>
      </c>
      <c r="H239" s="56"/>
      <c r="I239" s="56" t="s">
        <v>50564</v>
      </c>
      <c r="J239" s="56"/>
      <c r="K239" s="50"/>
      <c r="L239" s="56" t="s">
        <v>56716</v>
      </c>
    </row>
    <row r="240" spans="1:12" s="37" customFormat="1" ht="11.25" x14ac:dyDescent="0.2">
      <c r="A240" s="45" t="s">
        <v>18988</v>
      </c>
      <c r="B240" s="45" t="s">
        <v>18990</v>
      </c>
      <c r="C240" s="51" t="s">
        <v>18993</v>
      </c>
      <c r="D240" s="51" t="s">
        <v>18992</v>
      </c>
      <c r="E240" s="45" t="s">
        <v>17758</v>
      </c>
      <c r="F240" s="45" t="s">
        <v>17759</v>
      </c>
      <c r="G240" s="45" t="s">
        <v>50584</v>
      </c>
      <c r="H240" s="56"/>
      <c r="I240" s="56" t="s">
        <v>50564</v>
      </c>
      <c r="J240" s="56"/>
      <c r="K240" s="50"/>
      <c r="L240" s="56" t="s">
        <v>56716</v>
      </c>
    </row>
    <row r="241" spans="1:12" s="37" customFormat="1" ht="11.25" x14ac:dyDescent="0.2">
      <c r="A241" s="45" t="s">
        <v>18996</v>
      </c>
      <c r="B241" s="45" t="s">
        <v>18998</v>
      </c>
      <c r="C241" s="51" t="s">
        <v>18999</v>
      </c>
      <c r="D241" s="51"/>
      <c r="E241" s="45" t="s">
        <v>91</v>
      </c>
      <c r="F241" s="45" t="s">
        <v>18001</v>
      </c>
      <c r="G241" s="45" t="s">
        <v>50584</v>
      </c>
      <c r="H241" s="56"/>
      <c r="I241" s="56" t="s">
        <v>50564</v>
      </c>
      <c r="J241" s="56"/>
      <c r="K241" s="50"/>
      <c r="L241" s="56" t="s">
        <v>56716</v>
      </c>
    </row>
    <row r="242" spans="1:12" s="37" customFormat="1" ht="11.25" x14ac:dyDescent="0.2">
      <c r="A242" s="45" t="s">
        <v>19002</v>
      </c>
      <c r="B242" s="45" t="s">
        <v>19004</v>
      </c>
      <c r="C242" s="51"/>
      <c r="D242" s="51"/>
      <c r="E242" s="45" t="s">
        <v>19006</v>
      </c>
      <c r="F242" s="45" t="s">
        <v>17759</v>
      </c>
      <c r="G242" s="45" t="s">
        <v>50584</v>
      </c>
      <c r="H242" s="56"/>
      <c r="I242" s="56" t="s">
        <v>50564</v>
      </c>
      <c r="J242" s="56"/>
      <c r="K242" s="50"/>
      <c r="L242" s="56" t="s">
        <v>56716</v>
      </c>
    </row>
    <row r="243" spans="1:12" s="37" customFormat="1" ht="11.25" x14ac:dyDescent="0.2">
      <c r="A243" s="46" t="s">
        <v>176</v>
      </c>
      <c r="B243" s="46" t="s">
        <v>50831</v>
      </c>
      <c r="C243" s="58" t="str">
        <f>"0741238X"</f>
        <v>0741238X</v>
      </c>
      <c r="D243" s="58" t="str">
        <f>"18658652"</f>
        <v>18658652</v>
      </c>
      <c r="E243" s="46" t="s">
        <v>17556</v>
      </c>
      <c r="F243" s="46" t="s">
        <v>17759</v>
      </c>
      <c r="G243" s="46" t="s">
        <v>50584</v>
      </c>
      <c r="H243" s="48" t="s">
        <v>56716</v>
      </c>
      <c r="I243" s="48" t="s">
        <v>50564</v>
      </c>
      <c r="J243" s="48"/>
      <c r="K243" s="50" t="s">
        <v>56716</v>
      </c>
      <c r="L243" s="48" t="s">
        <v>56716</v>
      </c>
    </row>
    <row r="244" spans="1:12" s="37" customFormat="1" ht="11.25" x14ac:dyDescent="0.2">
      <c r="A244" s="45" t="s">
        <v>19015</v>
      </c>
      <c r="B244" s="45" t="s">
        <v>19017</v>
      </c>
      <c r="C244" s="51" t="s">
        <v>19019</v>
      </c>
      <c r="D244" s="51" t="s">
        <v>19018</v>
      </c>
      <c r="E244" s="45" t="s">
        <v>601</v>
      </c>
      <c r="F244" s="45" t="s">
        <v>17759</v>
      </c>
      <c r="G244" s="45" t="s">
        <v>50584</v>
      </c>
      <c r="H244" s="56"/>
      <c r="I244" s="56" t="s">
        <v>50564</v>
      </c>
      <c r="J244" s="56"/>
      <c r="K244" s="50"/>
      <c r="L244" s="56" t="s">
        <v>56716</v>
      </c>
    </row>
    <row r="245" spans="1:12" s="37" customFormat="1" ht="11.25" x14ac:dyDescent="0.2">
      <c r="A245" s="46" t="s">
        <v>16655</v>
      </c>
      <c r="B245" s="46" t="s">
        <v>50832</v>
      </c>
      <c r="C245" s="58" t="str">
        <f>"21621918"</f>
        <v>21621918</v>
      </c>
      <c r="D245" s="58" t="str">
        <f>"21621934"</f>
        <v>21621934</v>
      </c>
      <c r="E245" s="46" t="s">
        <v>4337</v>
      </c>
      <c r="F245" s="46" t="s">
        <v>17759</v>
      </c>
      <c r="G245" s="46" t="s">
        <v>50584</v>
      </c>
      <c r="H245" s="48" t="s">
        <v>56716</v>
      </c>
      <c r="I245" s="48" t="s">
        <v>50564</v>
      </c>
      <c r="J245" s="48" t="s">
        <v>56716</v>
      </c>
      <c r="K245" s="50"/>
      <c r="L245" s="48"/>
    </row>
    <row r="246" spans="1:12" s="37" customFormat="1" ht="11.25" x14ac:dyDescent="0.2">
      <c r="A246" s="46" t="s">
        <v>169</v>
      </c>
      <c r="B246" s="46" t="s">
        <v>50833</v>
      </c>
      <c r="C246" s="58" t="str">
        <f>"00446394"</f>
        <v>00446394</v>
      </c>
      <c r="D246" s="58" t="str">
        <f>"21597774"</f>
        <v>21597774</v>
      </c>
      <c r="E246" s="46" t="s">
        <v>28</v>
      </c>
      <c r="F246" s="46" t="s">
        <v>50646</v>
      </c>
      <c r="G246" s="46" t="s">
        <v>50584</v>
      </c>
      <c r="H246" s="48" t="s">
        <v>56716</v>
      </c>
      <c r="I246" s="48" t="s">
        <v>50564</v>
      </c>
      <c r="J246" s="48"/>
      <c r="K246" s="50"/>
      <c r="L246" s="48"/>
    </row>
    <row r="247" spans="1:12" s="37" customFormat="1" ht="11.25" x14ac:dyDescent="0.2">
      <c r="A247" s="46" t="s">
        <v>7110</v>
      </c>
      <c r="B247" s="46" t="s">
        <v>7110</v>
      </c>
      <c r="C247" s="58" t="str">
        <f>"03935965"</f>
        <v>03935965</v>
      </c>
      <c r="D247" s="58" t="str">
        <f>"15733025"</f>
        <v>15733025</v>
      </c>
      <c r="E247" s="46" t="s">
        <v>18876</v>
      </c>
      <c r="F247" s="46" t="s">
        <v>18001</v>
      </c>
      <c r="G247" s="46" t="s">
        <v>50584</v>
      </c>
      <c r="H247" s="48" t="s">
        <v>56716</v>
      </c>
      <c r="I247" s="48" t="s">
        <v>50564</v>
      </c>
      <c r="J247" s="48" t="s">
        <v>56716</v>
      </c>
      <c r="K247" s="50" t="s">
        <v>56716</v>
      </c>
      <c r="L247" s="48"/>
    </row>
    <row r="248" spans="1:12" s="37" customFormat="1" ht="11.25" x14ac:dyDescent="0.2">
      <c r="A248" s="46" t="s">
        <v>666</v>
      </c>
      <c r="B248" s="46" t="s">
        <v>50834</v>
      </c>
      <c r="C248" s="58" t="str">
        <f>"02786826"</f>
        <v>02786826</v>
      </c>
      <c r="D248" s="58" t="str">
        <f>"15217388"</f>
        <v>15217388</v>
      </c>
      <c r="E248" s="46" t="s">
        <v>669</v>
      </c>
      <c r="F248" s="46" t="s">
        <v>17759</v>
      </c>
      <c r="G248" s="46" t="s">
        <v>50584</v>
      </c>
      <c r="H248" s="48" t="s">
        <v>56716</v>
      </c>
      <c r="I248" s="48" t="s">
        <v>50564</v>
      </c>
      <c r="J248" s="48" t="s">
        <v>56716</v>
      </c>
      <c r="K248" s="50"/>
      <c r="L248" s="48"/>
    </row>
    <row r="249" spans="1:12" s="37" customFormat="1" ht="11.25" x14ac:dyDescent="0.2">
      <c r="A249" s="45" t="s">
        <v>19021</v>
      </c>
      <c r="B249" s="45" t="s">
        <v>19023</v>
      </c>
      <c r="C249" s="51" t="s">
        <v>19025</v>
      </c>
      <c r="D249" s="51" t="s">
        <v>19024</v>
      </c>
      <c r="E249" s="45" t="s">
        <v>18727</v>
      </c>
      <c r="F249" s="45" t="s">
        <v>17759</v>
      </c>
      <c r="G249" s="45" t="s">
        <v>50584</v>
      </c>
      <c r="H249" s="56"/>
      <c r="I249" s="56" t="s">
        <v>50564</v>
      </c>
      <c r="J249" s="56"/>
      <c r="K249" s="50"/>
      <c r="L249" s="56" t="s">
        <v>56716</v>
      </c>
    </row>
    <row r="250" spans="1:12" s="37" customFormat="1" ht="11.25" x14ac:dyDescent="0.2">
      <c r="A250" s="46" t="s">
        <v>9007</v>
      </c>
      <c r="B250" s="46" t="s">
        <v>50835</v>
      </c>
      <c r="C250" s="58" t="str">
        <f>"1090820X"</f>
        <v>1090820X</v>
      </c>
      <c r="D250" s="58" t="str">
        <f>"1527330X"</f>
        <v>1527330X</v>
      </c>
      <c r="E250" s="46" t="s">
        <v>493</v>
      </c>
      <c r="F250" s="46" t="s">
        <v>17759</v>
      </c>
      <c r="G250" s="46" t="s">
        <v>50584</v>
      </c>
      <c r="H250" s="48" t="s">
        <v>56716</v>
      </c>
      <c r="I250" s="48" t="s">
        <v>50564</v>
      </c>
      <c r="J250" s="48" t="s">
        <v>56716</v>
      </c>
      <c r="K250" s="50"/>
      <c r="L250" s="48" t="s">
        <v>56716</v>
      </c>
    </row>
    <row r="251" spans="1:12" s="37" customFormat="1" ht="11.25" x14ac:dyDescent="0.2">
      <c r="A251" s="46" t="s">
        <v>10634</v>
      </c>
      <c r="B251" s="46" t="s">
        <v>50836</v>
      </c>
      <c r="C251" s="58" t="str">
        <f>"16806905"</f>
        <v>16806905</v>
      </c>
      <c r="D251" s="58" t="str">
        <f>""</f>
        <v/>
      </c>
      <c r="E251" s="46" t="s">
        <v>10636</v>
      </c>
      <c r="F251" s="46" t="s">
        <v>19039</v>
      </c>
      <c r="G251" s="46" t="s">
        <v>50584</v>
      </c>
      <c r="H251" s="48" t="s">
        <v>56716</v>
      </c>
      <c r="I251" s="48" t="s">
        <v>50564</v>
      </c>
      <c r="J251" s="48"/>
      <c r="K251" s="50"/>
      <c r="L251" s="48" t="s">
        <v>56716</v>
      </c>
    </row>
    <row r="252" spans="1:12" s="37" customFormat="1" ht="11.25" x14ac:dyDescent="0.2">
      <c r="A252" s="46" t="s">
        <v>9847</v>
      </c>
      <c r="B252" s="46" t="s">
        <v>50837</v>
      </c>
      <c r="C252" s="58" t="str">
        <f>"16085906"</f>
        <v>16085906</v>
      </c>
      <c r="D252" s="58" t="str">
        <f>"17279445"</f>
        <v>17279445</v>
      </c>
      <c r="E252" s="46" t="s">
        <v>689</v>
      </c>
      <c r="F252" s="46" t="s">
        <v>50646</v>
      </c>
      <c r="G252" s="46" t="s">
        <v>50584</v>
      </c>
      <c r="H252" s="48" t="s">
        <v>56716</v>
      </c>
      <c r="I252" s="48" t="s">
        <v>50564</v>
      </c>
      <c r="J252" s="48"/>
      <c r="K252" s="50"/>
      <c r="L252" s="48" t="s">
        <v>56716</v>
      </c>
    </row>
    <row r="253" spans="1:12" s="37" customFormat="1" ht="11.25" x14ac:dyDescent="0.2">
      <c r="A253" s="46" t="s">
        <v>12223</v>
      </c>
      <c r="B253" s="46" t="s">
        <v>50838</v>
      </c>
      <c r="C253" s="58" t="str">
        <f>"11195096"</f>
        <v>11195096</v>
      </c>
      <c r="D253" s="58" t="str">
        <f>""</f>
        <v/>
      </c>
      <c r="E253" s="46" t="s">
        <v>12225</v>
      </c>
      <c r="F253" s="46" t="s">
        <v>19049</v>
      </c>
      <c r="G253" s="46" t="s">
        <v>50584</v>
      </c>
      <c r="H253" s="48" t="s">
        <v>56716</v>
      </c>
      <c r="I253" s="48" t="s">
        <v>50564</v>
      </c>
      <c r="J253" s="48"/>
      <c r="K253" s="50"/>
      <c r="L253" s="48"/>
    </row>
    <row r="254" spans="1:12" s="37" customFormat="1" ht="11.25" x14ac:dyDescent="0.2">
      <c r="A254" s="46" t="s">
        <v>17402</v>
      </c>
      <c r="B254" s="46" t="s">
        <v>50839</v>
      </c>
      <c r="C254" s="58" t="str">
        <f>"1595689X"</f>
        <v>1595689X</v>
      </c>
      <c r="D254" s="58" t="str">
        <f>""</f>
        <v/>
      </c>
      <c r="E254" s="46" t="s">
        <v>17402</v>
      </c>
      <c r="F254" s="46" t="s">
        <v>19049</v>
      </c>
      <c r="G254" s="46" t="s">
        <v>50584</v>
      </c>
      <c r="H254" s="48" t="s">
        <v>56716</v>
      </c>
      <c r="I254" s="48" t="s">
        <v>50564</v>
      </c>
      <c r="J254" s="48"/>
      <c r="K254" s="50"/>
      <c r="L254" s="48"/>
    </row>
    <row r="255" spans="1:12" s="37" customFormat="1" ht="11.25" x14ac:dyDescent="0.2">
      <c r="A255" s="46" t="s">
        <v>17460</v>
      </c>
      <c r="B255" s="46" t="s">
        <v>50840</v>
      </c>
      <c r="C255" s="58" t="str">
        <f>"20428545"</f>
        <v>20428545</v>
      </c>
      <c r="D255" s="58" t="str">
        <f>"20534787"</f>
        <v>20534787</v>
      </c>
      <c r="E255" s="46" t="s">
        <v>17463</v>
      </c>
      <c r="F255" s="46" t="s">
        <v>50646</v>
      </c>
      <c r="G255" s="46" t="s">
        <v>50584</v>
      </c>
      <c r="H255" s="48" t="s">
        <v>56716</v>
      </c>
      <c r="I255" s="48" t="s">
        <v>50564</v>
      </c>
      <c r="J255" s="48"/>
      <c r="K255" s="50"/>
      <c r="L255" s="48"/>
    </row>
    <row r="256" spans="1:12" s="37" customFormat="1" ht="11.25" x14ac:dyDescent="0.2">
      <c r="A256" s="46" t="s">
        <v>15461</v>
      </c>
      <c r="B256" s="46" t="s">
        <v>50841</v>
      </c>
      <c r="C256" s="58" t="str">
        <f>"2211419X"</f>
        <v>2211419X</v>
      </c>
      <c r="D256" s="58" t="str">
        <f>""</f>
        <v/>
      </c>
      <c r="E256" s="46" t="s">
        <v>15463</v>
      </c>
      <c r="F256" s="46" t="s">
        <v>24311</v>
      </c>
      <c r="G256" s="46" t="s">
        <v>50584</v>
      </c>
      <c r="H256" s="48" t="s">
        <v>56716</v>
      </c>
      <c r="I256" s="48" t="s">
        <v>50564</v>
      </c>
      <c r="J256" s="48"/>
      <c r="K256" s="50" t="s">
        <v>56716</v>
      </c>
      <c r="L256" s="48"/>
    </row>
    <row r="257" spans="1:12" s="37" customFormat="1" ht="11.25" x14ac:dyDescent="0.2">
      <c r="A257" s="46" t="s">
        <v>14277</v>
      </c>
      <c r="B257" s="46" t="s">
        <v>50842</v>
      </c>
      <c r="C257" s="58" t="str">
        <f>"20060165"</f>
        <v>20060165</v>
      </c>
      <c r="D257" s="58" t="str">
        <f>""</f>
        <v/>
      </c>
      <c r="E257" s="46" t="s">
        <v>14279</v>
      </c>
      <c r="F257" s="46" t="s">
        <v>19049</v>
      </c>
      <c r="G257" s="46" t="s">
        <v>50584</v>
      </c>
      <c r="H257" s="48" t="s">
        <v>56716</v>
      </c>
      <c r="I257" s="48" t="s">
        <v>50564</v>
      </c>
      <c r="J257" s="48"/>
      <c r="K257" s="50"/>
      <c r="L257" s="48"/>
    </row>
    <row r="258" spans="1:12" s="37" customFormat="1" ht="11.25" x14ac:dyDescent="0.2">
      <c r="A258" s="46" t="s">
        <v>16844</v>
      </c>
      <c r="B258" s="46" t="s">
        <v>50843</v>
      </c>
      <c r="C258" s="58" t="str">
        <f>"22252002"</f>
        <v>22252002</v>
      </c>
      <c r="D258" s="58" t="str">
        <f>"22252010"</f>
        <v>22252010</v>
      </c>
      <c r="E258" s="46" t="s">
        <v>16847</v>
      </c>
      <c r="F258" s="46" t="s">
        <v>24311</v>
      </c>
      <c r="G258" s="46" t="s">
        <v>50584</v>
      </c>
      <c r="H258" s="48" t="s">
        <v>56716</v>
      </c>
      <c r="I258" s="48" t="s">
        <v>50564</v>
      </c>
      <c r="J258" s="48"/>
      <c r="K258" s="50"/>
      <c r="L258" s="48"/>
    </row>
    <row r="259" spans="1:12" s="37" customFormat="1" ht="11.25" x14ac:dyDescent="0.2">
      <c r="A259" s="45" t="s">
        <v>19043</v>
      </c>
      <c r="B259" s="45" t="s">
        <v>19045</v>
      </c>
      <c r="C259" s="51" t="s">
        <v>19047</v>
      </c>
      <c r="D259" s="51"/>
      <c r="E259" s="45" t="s">
        <v>19048</v>
      </c>
      <c r="F259" s="45" t="s">
        <v>19049</v>
      </c>
      <c r="G259" s="45" t="s">
        <v>50590</v>
      </c>
      <c r="H259" s="56"/>
      <c r="I259" s="56" t="s">
        <v>50564</v>
      </c>
      <c r="J259" s="56"/>
      <c r="K259" s="50"/>
      <c r="L259" s="56" t="s">
        <v>56716</v>
      </c>
    </row>
    <row r="260" spans="1:12" s="37" customFormat="1" ht="11.25" x14ac:dyDescent="0.2">
      <c r="A260" s="46" t="s">
        <v>343</v>
      </c>
      <c r="B260" s="46" t="s">
        <v>50844</v>
      </c>
      <c r="C260" s="58" t="str">
        <f>"10158618"</f>
        <v>10158618</v>
      </c>
      <c r="D260" s="58" t="str">
        <f>"19922647"</f>
        <v>19922647</v>
      </c>
      <c r="E260" s="46" t="s">
        <v>346</v>
      </c>
      <c r="F260" s="46" t="s">
        <v>20359</v>
      </c>
      <c r="G260" s="46" t="s">
        <v>50590</v>
      </c>
      <c r="H260" s="48" t="s">
        <v>56716</v>
      </c>
      <c r="I260" s="48" t="s">
        <v>50564</v>
      </c>
      <c r="J260" s="48"/>
      <c r="K260" s="50"/>
      <c r="L260" s="48"/>
    </row>
    <row r="261" spans="1:12" s="37" customFormat="1" ht="11.25" x14ac:dyDescent="0.2">
      <c r="A261" s="45" t="s">
        <v>19052</v>
      </c>
      <c r="B261" s="45" t="s">
        <v>19054</v>
      </c>
      <c r="C261" s="51" t="s">
        <v>19056</v>
      </c>
      <c r="D261" s="51" t="s">
        <v>19055</v>
      </c>
      <c r="E261" s="45" t="s">
        <v>19057</v>
      </c>
      <c r="F261" s="45" t="s">
        <v>19049</v>
      </c>
      <c r="G261" s="45" t="s">
        <v>50584</v>
      </c>
      <c r="H261" s="56"/>
      <c r="I261" s="56" t="s">
        <v>50564</v>
      </c>
      <c r="J261" s="56"/>
      <c r="K261" s="50"/>
      <c r="L261" s="56" t="s">
        <v>56716</v>
      </c>
    </row>
    <row r="262" spans="1:12" s="37" customFormat="1" ht="11.25" x14ac:dyDescent="0.2">
      <c r="A262" s="46" t="s">
        <v>12258</v>
      </c>
      <c r="B262" s="46" t="s">
        <v>50845</v>
      </c>
      <c r="C262" s="58" t="str">
        <f>"19948220"</f>
        <v>19948220</v>
      </c>
      <c r="D262" s="58" t="str">
        <f>""</f>
        <v/>
      </c>
      <c r="E262" s="46" t="s">
        <v>12010</v>
      </c>
      <c r="F262" s="46" t="s">
        <v>24311</v>
      </c>
      <c r="G262" s="46" t="s">
        <v>50584</v>
      </c>
      <c r="H262" s="48" t="s">
        <v>56716</v>
      </c>
      <c r="I262" s="48" t="s">
        <v>50564</v>
      </c>
      <c r="J262" s="48"/>
      <c r="K262" s="50"/>
      <c r="L262" s="48"/>
    </row>
    <row r="263" spans="1:12" s="37" customFormat="1" ht="11.25" x14ac:dyDescent="0.2">
      <c r="A263" s="45" t="s">
        <v>19061</v>
      </c>
      <c r="B263" s="45" t="s">
        <v>19063</v>
      </c>
      <c r="C263" s="51" t="s">
        <v>19064</v>
      </c>
      <c r="D263" s="51"/>
      <c r="E263" s="45" t="s">
        <v>19065</v>
      </c>
      <c r="F263" s="45" t="s">
        <v>19049</v>
      </c>
      <c r="G263" s="45" t="s">
        <v>50584</v>
      </c>
      <c r="H263" s="56"/>
      <c r="I263" s="56" t="s">
        <v>50564</v>
      </c>
      <c r="J263" s="56"/>
      <c r="K263" s="50"/>
      <c r="L263" s="56" t="s">
        <v>56716</v>
      </c>
    </row>
    <row r="264" spans="1:12" s="37" customFormat="1" ht="11.25" x14ac:dyDescent="0.2">
      <c r="A264" s="46" t="s">
        <v>17464</v>
      </c>
      <c r="B264" s="46" t="s">
        <v>50846</v>
      </c>
      <c r="C264" s="58" t="str">
        <f>"17475597"</f>
        <v>17475597</v>
      </c>
      <c r="D264" s="58" t="str">
        <f>"20532512"</f>
        <v>20532512</v>
      </c>
      <c r="E264" s="46" t="s">
        <v>17463</v>
      </c>
      <c r="F264" s="46" t="s">
        <v>50646</v>
      </c>
      <c r="G264" s="46" t="s">
        <v>50584</v>
      </c>
      <c r="H264" s="48" t="s">
        <v>56716</v>
      </c>
      <c r="I264" s="48" t="s">
        <v>50564</v>
      </c>
      <c r="J264" s="48"/>
      <c r="K264" s="50"/>
      <c r="L264" s="48"/>
    </row>
    <row r="265" spans="1:12" s="37" customFormat="1" ht="11.25" x14ac:dyDescent="0.2">
      <c r="A265" s="46" t="s">
        <v>10933</v>
      </c>
      <c r="B265" s="46" t="s">
        <v>50847</v>
      </c>
      <c r="C265" s="58" t="str">
        <f>"01896016"</f>
        <v>01896016</v>
      </c>
      <c r="D265" s="58" t="str">
        <f>"01896016"</f>
        <v>01896016</v>
      </c>
      <c r="E265" s="46" t="s">
        <v>10935</v>
      </c>
      <c r="F265" s="46" t="s">
        <v>19049</v>
      </c>
      <c r="G265" s="46" t="s">
        <v>50584</v>
      </c>
      <c r="H265" s="48" t="s">
        <v>56716</v>
      </c>
      <c r="I265" s="48" t="s">
        <v>50564</v>
      </c>
      <c r="J265" s="48"/>
      <c r="K265" s="50"/>
      <c r="L265" s="48" t="s">
        <v>56716</v>
      </c>
    </row>
    <row r="266" spans="1:12" s="37" customFormat="1" ht="11.25" x14ac:dyDescent="0.2">
      <c r="A266" s="46" t="s">
        <v>16380</v>
      </c>
      <c r="B266" s="46" t="s">
        <v>50848</v>
      </c>
      <c r="C266" s="58" t="str">
        <f>"11105704"</f>
        <v>11105704</v>
      </c>
      <c r="D266" s="58" t="str">
        <f>""</f>
        <v/>
      </c>
      <c r="E266" s="46" t="s">
        <v>16382</v>
      </c>
      <c r="F266" s="46" t="s">
        <v>30161</v>
      </c>
      <c r="G266" s="46" t="s">
        <v>50590</v>
      </c>
      <c r="H266" s="48" t="s">
        <v>56716</v>
      </c>
      <c r="I266" s="48" t="s">
        <v>50564</v>
      </c>
      <c r="J266" s="48"/>
      <c r="K266" s="50" t="s">
        <v>56716</v>
      </c>
      <c r="L266" s="48"/>
    </row>
    <row r="267" spans="1:12" s="37" customFormat="1" ht="11.25" x14ac:dyDescent="0.2">
      <c r="A267" s="46" t="s">
        <v>214</v>
      </c>
      <c r="B267" s="46" t="s">
        <v>214</v>
      </c>
      <c r="C267" s="58" t="str">
        <f>"01619152"</f>
        <v>01619152</v>
      </c>
      <c r="D267" s="58" t="str">
        <f>"15744647"</f>
        <v>15744647</v>
      </c>
      <c r="E267" s="46" t="s">
        <v>18876</v>
      </c>
      <c r="F267" s="46" t="s">
        <v>18001</v>
      </c>
      <c r="G267" s="46" t="s">
        <v>50584</v>
      </c>
      <c r="H267" s="48" t="s">
        <v>56716</v>
      </c>
      <c r="I267" s="48" t="s">
        <v>50564</v>
      </c>
      <c r="J267" s="48"/>
      <c r="K267" s="50"/>
      <c r="L267" s="48" t="s">
        <v>56716</v>
      </c>
    </row>
    <row r="268" spans="1:12" s="37" customFormat="1" ht="11.25" x14ac:dyDescent="0.2">
      <c r="A268" s="46" t="s">
        <v>52</v>
      </c>
      <c r="B268" s="46" t="s">
        <v>19081</v>
      </c>
      <c r="C268" s="58" t="str">
        <f>"00020729"</f>
        <v>00020729</v>
      </c>
      <c r="D268" s="58" t="str">
        <f>"14682834"</f>
        <v>14682834</v>
      </c>
      <c r="E268" s="46" t="s">
        <v>55</v>
      </c>
      <c r="F268" s="46" t="s">
        <v>50646</v>
      </c>
      <c r="G268" s="46" t="s">
        <v>50584</v>
      </c>
      <c r="H268" s="48" t="s">
        <v>56716</v>
      </c>
      <c r="I268" s="48" t="s">
        <v>50564</v>
      </c>
      <c r="J268" s="48" t="s">
        <v>56716</v>
      </c>
      <c r="K268" s="50"/>
      <c r="L268" s="48" t="s">
        <v>56716</v>
      </c>
    </row>
    <row r="269" spans="1:12" s="37" customFormat="1" ht="11.25" x14ac:dyDescent="0.2">
      <c r="A269" s="46" t="s">
        <v>16864</v>
      </c>
      <c r="B269" s="46" t="s">
        <v>50849</v>
      </c>
      <c r="C269" s="58" t="str">
        <f>"20367384"</f>
        <v>20367384</v>
      </c>
      <c r="D269" s="58" t="str">
        <f>"20367376"</f>
        <v>20367376</v>
      </c>
      <c r="E269" s="46" t="s">
        <v>1949</v>
      </c>
      <c r="F269" s="46" t="s">
        <v>17991</v>
      </c>
      <c r="G269" s="46" t="s">
        <v>50584</v>
      </c>
      <c r="H269" s="48" t="s">
        <v>56716</v>
      </c>
      <c r="I269" s="48" t="s">
        <v>50564</v>
      </c>
      <c r="J269" s="48"/>
      <c r="K269" s="50"/>
      <c r="L269" s="48"/>
    </row>
    <row r="270" spans="1:12" s="37" customFormat="1" ht="11.25" x14ac:dyDescent="0.2">
      <c r="A270" s="46" t="s">
        <v>9417</v>
      </c>
      <c r="B270" s="46" t="s">
        <v>50850</v>
      </c>
      <c r="C270" s="58" t="str">
        <f>"15681637"</f>
        <v>15681637</v>
      </c>
      <c r="D270" s="58" t="str">
        <f>"18729649"</f>
        <v>18729649</v>
      </c>
      <c r="E270" s="46" t="s">
        <v>221</v>
      </c>
      <c r="F270" s="46" t="s">
        <v>21771</v>
      </c>
      <c r="G270" s="46" t="s">
        <v>50584</v>
      </c>
      <c r="H270" s="48" t="s">
        <v>56716</v>
      </c>
      <c r="I270" s="48" t="s">
        <v>50564</v>
      </c>
      <c r="J270" s="48"/>
      <c r="K270" s="50" t="s">
        <v>56716</v>
      </c>
      <c r="L270" s="48" t="s">
        <v>56716</v>
      </c>
    </row>
    <row r="271" spans="1:12" s="37" customFormat="1" ht="11.25" x14ac:dyDescent="0.2">
      <c r="A271" s="46" t="s">
        <v>7053</v>
      </c>
      <c r="B271" s="46" t="s">
        <v>50851</v>
      </c>
      <c r="C271" s="58" t="str">
        <f>"13591789"</f>
        <v>13591789</v>
      </c>
      <c r="D271" s="58" t="str">
        <f>"18736335"</f>
        <v>18736335</v>
      </c>
      <c r="E271" s="46" t="s">
        <v>155</v>
      </c>
      <c r="F271" s="46" t="s">
        <v>50646</v>
      </c>
      <c r="G271" s="46" t="s">
        <v>50584</v>
      </c>
      <c r="H271" s="48" t="s">
        <v>56716</v>
      </c>
      <c r="I271" s="48" t="s">
        <v>50564</v>
      </c>
      <c r="J271" s="48" t="s">
        <v>56716</v>
      </c>
      <c r="K271" s="50" t="s">
        <v>56716</v>
      </c>
      <c r="L271" s="48"/>
    </row>
    <row r="272" spans="1:12" s="37" customFormat="1" ht="11.25" x14ac:dyDescent="0.2">
      <c r="A272" s="45" t="s">
        <v>19089</v>
      </c>
      <c r="B272" s="45" t="s">
        <v>19091</v>
      </c>
      <c r="C272" s="51" t="s">
        <v>19093</v>
      </c>
      <c r="D272" s="51" t="s">
        <v>19092</v>
      </c>
      <c r="E272" s="45" t="s">
        <v>19094</v>
      </c>
      <c r="F272" s="45" t="s">
        <v>17759</v>
      </c>
      <c r="G272" s="45" t="s">
        <v>50584</v>
      </c>
      <c r="H272" s="56"/>
      <c r="I272" s="56" t="s">
        <v>50564</v>
      </c>
      <c r="J272" s="56"/>
      <c r="K272" s="50"/>
      <c r="L272" s="56" t="s">
        <v>56716</v>
      </c>
    </row>
    <row r="273" spans="1:12" s="37" customFormat="1" ht="11.25" x14ac:dyDescent="0.2">
      <c r="A273" s="45" t="s">
        <v>19097</v>
      </c>
      <c r="B273" s="45" t="s">
        <v>19099</v>
      </c>
      <c r="C273" s="51" t="s">
        <v>56721</v>
      </c>
      <c r="D273" s="51"/>
      <c r="E273" s="45" t="s">
        <v>19101</v>
      </c>
      <c r="F273" s="45" t="s">
        <v>17759</v>
      </c>
      <c r="G273" s="45" t="s">
        <v>50584</v>
      </c>
      <c r="H273" s="56"/>
      <c r="I273" s="56" t="s">
        <v>50564</v>
      </c>
      <c r="J273" s="56"/>
      <c r="K273" s="50"/>
      <c r="L273" s="56" t="s">
        <v>56716</v>
      </c>
    </row>
    <row r="274" spans="1:12" s="37" customFormat="1" ht="11.25" x14ac:dyDescent="0.2">
      <c r="A274" s="45" t="s">
        <v>19103</v>
      </c>
      <c r="B274" s="45" t="s">
        <v>19105</v>
      </c>
      <c r="C274" s="51" t="s">
        <v>19107</v>
      </c>
      <c r="D274" s="51" t="s">
        <v>19106</v>
      </c>
      <c r="E274" s="45" t="s">
        <v>291</v>
      </c>
      <c r="F274" s="45" t="s">
        <v>50646</v>
      </c>
      <c r="G274" s="45" t="s">
        <v>50584</v>
      </c>
      <c r="H274" s="56"/>
      <c r="I274" s="56" t="s">
        <v>50564</v>
      </c>
      <c r="J274" s="56"/>
      <c r="K274" s="50"/>
      <c r="L274" s="56" t="s">
        <v>56716</v>
      </c>
    </row>
    <row r="275" spans="1:12" s="37" customFormat="1" ht="11.25" x14ac:dyDescent="0.2">
      <c r="A275" s="46" t="s">
        <v>56374</v>
      </c>
      <c r="B275" s="46" t="s">
        <v>56375</v>
      </c>
      <c r="C275" s="58" t="str">
        <f>""</f>
        <v/>
      </c>
      <c r="D275" s="58" t="str">
        <f>"21525250 "</f>
        <v xml:space="preserve">21525250 </v>
      </c>
      <c r="E275" s="46" t="s">
        <v>56376</v>
      </c>
      <c r="F275" s="46" t="s">
        <v>17759</v>
      </c>
      <c r="G275" s="46" t="s">
        <v>50584</v>
      </c>
      <c r="H275" s="48" t="s">
        <v>56716</v>
      </c>
      <c r="I275" s="48" t="s">
        <v>50564</v>
      </c>
      <c r="J275" s="48"/>
      <c r="K275" s="50"/>
      <c r="L275" s="48"/>
    </row>
    <row r="276" spans="1:12" s="37" customFormat="1" ht="11.25" x14ac:dyDescent="0.2">
      <c r="A276" s="46" t="s">
        <v>9932</v>
      </c>
      <c r="B276" s="46" t="s">
        <v>9932</v>
      </c>
      <c r="C276" s="58" t="str">
        <f>"14749718"</f>
        <v>14749718</v>
      </c>
      <c r="D276" s="58" t="str">
        <f>"14749726"</f>
        <v>14749726</v>
      </c>
      <c r="E276" s="46" t="s">
        <v>35</v>
      </c>
      <c r="F276" s="46" t="s">
        <v>50646</v>
      </c>
      <c r="G276" s="46" t="s">
        <v>50584</v>
      </c>
      <c r="H276" s="48" t="s">
        <v>56716</v>
      </c>
      <c r="I276" s="48" t="s">
        <v>50564</v>
      </c>
      <c r="J276" s="48" t="s">
        <v>56716</v>
      </c>
      <c r="K276" s="50" t="s">
        <v>56716</v>
      </c>
      <c r="L276" s="48" t="s">
        <v>56716</v>
      </c>
    </row>
    <row r="277" spans="1:12" s="37" customFormat="1" ht="11.25" x14ac:dyDescent="0.2">
      <c r="A277" s="46" t="s">
        <v>5371</v>
      </c>
      <c r="B277" s="46" t="s">
        <v>50852</v>
      </c>
      <c r="C277" s="58" t="str">
        <f>"15940667"</f>
        <v>15940667</v>
      </c>
      <c r="D277" s="58" t="str">
        <f>"17208319"</f>
        <v>17208319</v>
      </c>
      <c r="E277" s="46" t="s">
        <v>55920</v>
      </c>
      <c r="F277" s="46" t="s">
        <v>18123</v>
      </c>
      <c r="G277" s="46" t="s">
        <v>50584</v>
      </c>
      <c r="H277" s="48" t="s">
        <v>56716</v>
      </c>
      <c r="I277" s="48" t="s">
        <v>50564</v>
      </c>
      <c r="J277" s="48"/>
      <c r="K277" s="50"/>
      <c r="L277" s="48" t="s">
        <v>56716</v>
      </c>
    </row>
    <row r="278" spans="1:12" s="37" customFormat="1" ht="11.25" x14ac:dyDescent="0.2">
      <c r="A278" s="46" t="s">
        <v>11194</v>
      </c>
      <c r="B278" s="46" t="s">
        <v>11194</v>
      </c>
      <c r="C278" s="58" t="str">
        <f>"1745509X"</f>
        <v>1745509X</v>
      </c>
      <c r="D278" s="58" t="str">
        <f>"17455103"</f>
        <v>17455103</v>
      </c>
      <c r="E278" s="46" t="s">
        <v>8442</v>
      </c>
      <c r="F278" s="46" t="s">
        <v>50646</v>
      </c>
      <c r="G278" s="46" t="s">
        <v>50584</v>
      </c>
      <c r="H278" s="48" t="s">
        <v>56716</v>
      </c>
      <c r="I278" s="48" t="s">
        <v>50564</v>
      </c>
      <c r="J278" s="48"/>
      <c r="K278" s="50"/>
      <c r="L278" s="48"/>
    </row>
    <row r="279" spans="1:12" s="37" customFormat="1" ht="11.25" x14ac:dyDescent="0.2">
      <c r="A279" s="46" t="s">
        <v>7833</v>
      </c>
      <c r="B279" s="46" t="s">
        <v>7833</v>
      </c>
      <c r="C279" s="58" t="str">
        <f>"13685538"</f>
        <v>13685538</v>
      </c>
      <c r="D279" s="58" t="str">
        <f>"14730790"</f>
        <v>14730790</v>
      </c>
      <c r="E279" s="46" t="s">
        <v>291</v>
      </c>
      <c r="F279" s="46" t="s">
        <v>50646</v>
      </c>
      <c r="G279" s="46" t="s">
        <v>50584</v>
      </c>
      <c r="H279" s="48" t="s">
        <v>56716</v>
      </c>
      <c r="I279" s="48" t="s">
        <v>50564</v>
      </c>
      <c r="J279" s="48" t="s">
        <v>56716</v>
      </c>
      <c r="K279" s="50"/>
      <c r="L279" s="48" t="s">
        <v>56716</v>
      </c>
    </row>
    <row r="280" spans="1:12" s="37" customFormat="1" ht="11.25" x14ac:dyDescent="0.2">
      <c r="A280" s="45" t="s">
        <v>19122</v>
      </c>
      <c r="B280" s="45" t="s">
        <v>19124</v>
      </c>
      <c r="C280" s="51" t="s">
        <v>19125</v>
      </c>
      <c r="D280" s="51"/>
      <c r="E280" s="45" t="s">
        <v>19126</v>
      </c>
      <c r="F280" s="45" t="s">
        <v>18396</v>
      </c>
      <c r="G280" s="45" t="s">
        <v>50639</v>
      </c>
      <c r="H280" s="56"/>
      <c r="I280" s="56" t="s">
        <v>50564</v>
      </c>
      <c r="J280" s="56"/>
      <c r="K280" s="50"/>
      <c r="L280" s="56" t="s">
        <v>56716</v>
      </c>
    </row>
    <row r="281" spans="1:12" s="37" customFormat="1" ht="11.25" x14ac:dyDescent="0.2">
      <c r="A281" s="46" t="s">
        <v>4247</v>
      </c>
      <c r="B281" s="46" t="s">
        <v>4247</v>
      </c>
      <c r="C281" s="58" t="str">
        <f>"02699370"</f>
        <v>02699370</v>
      </c>
      <c r="D281" s="58" t="str">
        <f>"14735571"</f>
        <v>14735571</v>
      </c>
      <c r="E281" s="46" t="s">
        <v>28</v>
      </c>
      <c r="F281" s="46" t="s">
        <v>50646</v>
      </c>
      <c r="G281" s="46" t="s">
        <v>50584</v>
      </c>
      <c r="H281" s="48" t="s">
        <v>56716</v>
      </c>
      <c r="I281" s="48" t="s">
        <v>50564</v>
      </c>
      <c r="J281" s="48" t="s">
        <v>56716</v>
      </c>
      <c r="K281" s="50" t="s">
        <v>56716</v>
      </c>
      <c r="L281" s="48" t="s">
        <v>56716</v>
      </c>
    </row>
    <row r="282" spans="1:12" s="37" customFormat="1" ht="11.25" x14ac:dyDescent="0.2">
      <c r="A282" s="45" t="s">
        <v>19156</v>
      </c>
      <c r="B282" s="45" t="s">
        <v>19158</v>
      </c>
      <c r="C282" s="51" t="s">
        <v>19160</v>
      </c>
      <c r="D282" s="51" t="s">
        <v>19159</v>
      </c>
      <c r="E282" s="45" t="s">
        <v>19161</v>
      </c>
      <c r="F282" s="45" t="s">
        <v>17759</v>
      </c>
      <c r="G282" s="45" t="s">
        <v>50584</v>
      </c>
      <c r="H282" s="56"/>
      <c r="I282" s="56" t="s">
        <v>50564</v>
      </c>
      <c r="J282" s="56"/>
      <c r="K282" s="50"/>
      <c r="L282" s="56" t="s">
        <v>56716</v>
      </c>
    </row>
    <row r="283" spans="1:12" s="37" customFormat="1" ht="11.25" x14ac:dyDescent="0.2">
      <c r="A283" s="46" t="s">
        <v>5096</v>
      </c>
      <c r="B283" s="46" t="s">
        <v>50853</v>
      </c>
      <c r="C283" s="58" t="str">
        <f>"09540121"</f>
        <v>09540121</v>
      </c>
      <c r="D283" s="58" t="str">
        <f>"13600451"</f>
        <v>13600451</v>
      </c>
      <c r="E283" s="46" t="s">
        <v>689</v>
      </c>
      <c r="F283" s="46" t="s">
        <v>50646</v>
      </c>
      <c r="G283" s="46" t="s">
        <v>50584</v>
      </c>
      <c r="H283" s="48" t="s">
        <v>56716</v>
      </c>
      <c r="I283" s="48" t="s">
        <v>50564</v>
      </c>
      <c r="J283" s="48" t="s">
        <v>56716</v>
      </c>
      <c r="K283" s="50" t="s">
        <v>56716</v>
      </c>
      <c r="L283" s="48" t="s">
        <v>56716</v>
      </c>
    </row>
    <row r="284" spans="1:12" s="37" customFormat="1" ht="11.25" x14ac:dyDescent="0.2">
      <c r="A284" s="46" t="s">
        <v>5211</v>
      </c>
      <c r="B284" s="46" t="s">
        <v>50854</v>
      </c>
      <c r="C284" s="58" t="str">
        <f>"08999546"</f>
        <v>08999546</v>
      </c>
      <c r="D284" s="58" t="str">
        <f>""</f>
        <v/>
      </c>
      <c r="E284" s="46" t="s">
        <v>874</v>
      </c>
      <c r="F284" s="46" t="s">
        <v>17759</v>
      </c>
      <c r="G284" s="46" t="s">
        <v>50584</v>
      </c>
      <c r="H284" s="48" t="s">
        <v>56716</v>
      </c>
      <c r="I284" s="48" t="s">
        <v>50564</v>
      </c>
      <c r="J284" s="48"/>
      <c r="K284" s="50"/>
      <c r="L284" s="48" t="s">
        <v>56716</v>
      </c>
    </row>
    <row r="285" spans="1:12" s="37" customFormat="1" ht="11.25" x14ac:dyDescent="0.2">
      <c r="A285" s="46" t="s">
        <v>6973</v>
      </c>
      <c r="B285" s="46" t="s">
        <v>50855</v>
      </c>
      <c r="C285" s="58" t="str">
        <f>"10872914"</f>
        <v>10872914</v>
      </c>
      <c r="D285" s="58" t="str">
        <f>"15577449"</f>
        <v>15577449</v>
      </c>
      <c r="E285" s="46" t="s">
        <v>4337</v>
      </c>
      <c r="F285" s="46" t="s">
        <v>17759</v>
      </c>
      <c r="G285" s="46" t="s">
        <v>50584</v>
      </c>
      <c r="H285" s="48" t="s">
        <v>56716</v>
      </c>
      <c r="I285" s="48" t="s">
        <v>50564</v>
      </c>
      <c r="J285" s="48"/>
      <c r="K285" s="50"/>
      <c r="L285" s="48" t="s">
        <v>56716</v>
      </c>
    </row>
    <row r="286" spans="1:12" s="37" customFormat="1" ht="11.25" x14ac:dyDescent="0.2">
      <c r="A286" s="45" t="s">
        <v>19184</v>
      </c>
      <c r="B286" s="45" t="s">
        <v>19186</v>
      </c>
      <c r="C286" s="51" t="s">
        <v>19187</v>
      </c>
      <c r="D286" s="51"/>
      <c r="E286" s="45" t="s">
        <v>19188</v>
      </c>
      <c r="F286" s="45" t="s">
        <v>17759</v>
      </c>
      <c r="G286" s="45" t="s">
        <v>50584</v>
      </c>
      <c r="H286" s="56"/>
      <c r="I286" s="56" t="s">
        <v>50564</v>
      </c>
      <c r="J286" s="56"/>
      <c r="K286" s="50"/>
      <c r="L286" s="56" t="s">
        <v>56716</v>
      </c>
    </row>
    <row r="287" spans="1:12" s="37" customFormat="1" ht="11.25" x14ac:dyDescent="0.2">
      <c r="A287" s="46" t="s">
        <v>7367</v>
      </c>
      <c r="B287" s="46" t="s">
        <v>19194</v>
      </c>
      <c r="C287" s="58" t="str">
        <f>"10530894"</f>
        <v>10530894</v>
      </c>
      <c r="D287" s="58" t="str">
        <f>""</f>
        <v/>
      </c>
      <c r="E287" s="46" t="s">
        <v>7369</v>
      </c>
      <c r="F287" s="46" t="s">
        <v>17759</v>
      </c>
      <c r="G287" s="46" t="s">
        <v>50584</v>
      </c>
      <c r="H287" s="48" t="s">
        <v>56716</v>
      </c>
      <c r="I287" s="48" t="s">
        <v>50564</v>
      </c>
      <c r="J287" s="48"/>
      <c r="K287" s="50"/>
      <c r="L287" s="48" t="s">
        <v>56716</v>
      </c>
    </row>
    <row r="288" spans="1:12" s="37" customFormat="1" ht="11.25" x14ac:dyDescent="0.2">
      <c r="A288" s="46" t="s">
        <v>4339</v>
      </c>
      <c r="B288" s="46" t="s">
        <v>50856</v>
      </c>
      <c r="C288" s="58" t="str">
        <f>"08892229"</f>
        <v>08892229</v>
      </c>
      <c r="D288" s="58" t="str">
        <f>"19318405"</f>
        <v>19318405</v>
      </c>
      <c r="E288" s="46" t="s">
        <v>4337</v>
      </c>
      <c r="F288" s="46" t="s">
        <v>17759</v>
      </c>
      <c r="G288" s="46" t="s">
        <v>50584</v>
      </c>
      <c r="H288" s="48" t="s">
        <v>56716</v>
      </c>
      <c r="I288" s="48" t="s">
        <v>50564</v>
      </c>
      <c r="J288" s="48" t="s">
        <v>56716</v>
      </c>
      <c r="K288" s="50"/>
      <c r="L288" s="48" t="s">
        <v>56716</v>
      </c>
    </row>
    <row r="289" spans="1:12" s="37" customFormat="1" ht="11.25" x14ac:dyDescent="0.2">
      <c r="A289" s="46" t="s">
        <v>11028</v>
      </c>
      <c r="B289" s="46" t="s">
        <v>50857</v>
      </c>
      <c r="C289" s="58" t="str">
        <f>""</f>
        <v/>
      </c>
      <c r="D289" s="58" t="str">
        <f>"17426405"</f>
        <v>17426405</v>
      </c>
      <c r="E289" s="46" t="s">
        <v>2299</v>
      </c>
      <c r="F289" s="46" t="s">
        <v>50646</v>
      </c>
      <c r="G289" s="46" t="s">
        <v>50584</v>
      </c>
      <c r="H289" s="48" t="s">
        <v>56716</v>
      </c>
      <c r="I289" s="48" t="s">
        <v>50564</v>
      </c>
      <c r="J289" s="48" t="s">
        <v>56716</v>
      </c>
      <c r="K289" s="50" t="s">
        <v>56716</v>
      </c>
      <c r="L289" s="48"/>
    </row>
    <row r="290" spans="1:12" s="37" customFormat="1" ht="11.25" x14ac:dyDescent="0.2">
      <c r="A290" s="46" t="s">
        <v>8115</v>
      </c>
      <c r="B290" s="46" t="s">
        <v>50858</v>
      </c>
      <c r="C290" s="58" t="str">
        <f>"11396121"</f>
        <v>11396121</v>
      </c>
      <c r="D290" s="58" t="str">
        <f>""</f>
        <v/>
      </c>
      <c r="E290" s="46" t="s">
        <v>6609</v>
      </c>
      <c r="F290" s="46" t="s">
        <v>18439</v>
      </c>
      <c r="G290" s="46" t="s">
        <v>50584</v>
      </c>
      <c r="H290" s="48" t="s">
        <v>56716</v>
      </c>
      <c r="I290" s="48" t="s">
        <v>50564</v>
      </c>
      <c r="J290" s="48"/>
      <c r="K290" s="50"/>
      <c r="L290" s="48" t="s">
        <v>56716</v>
      </c>
    </row>
    <row r="291" spans="1:12" s="37" customFormat="1" ht="11.25" x14ac:dyDescent="0.2">
      <c r="A291" s="46" t="s">
        <v>7350</v>
      </c>
      <c r="B291" s="46" t="s">
        <v>50859</v>
      </c>
      <c r="C291" s="58" t="str">
        <f>"1067991X"</f>
        <v>1067991X</v>
      </c>
      <c r="D291" s="58" t="str">
        <f>"15326497"</f>
        <v>15326497</v>
      </c>
      <c r="E291" s="46" t="s">
        <v>194</v>
      </c>
      <c r="F291" s="46" t="s">
        <v>17759</v>
      </c>
      <c r="G291" s="46" t="s">
        <v>50584</v>
      </c>
      <c r="H291" s="48" t="s">
        <v>56716</v>
      </c>
      <c r="I291" s="48" t="s">
        <v>50564</v>
      </c>
      <c r="J291" s="48" t="s">
        <v>56716</v>
      </c>
      <c r="K291" s="50"/>
      <c r="L291" s="48" t="s">
        <v>56716</v>
      </c>
    </row>
    <row r="292" spans="1:12" s="37" customFormat="1" ht="11.25" x14ac:dyDescent="0.2">
      <c r="A292" s="46" t="s">
        <v>17570</v>
      </c>
      <c r="B292" s="46" t="s">
        <v>50860</v>
      </c>
      <c r="C292" s="58" t="str">
        <f>"21576998"</f>
        <v>21576998</v>
      </c>
      <c r="D292" s="58" t="str">
        <f>"21577005"</f>
        <v>21577005</v>
      </c>
      <c r="E292" s="46" t="s">
        <v>371</v>
      </c>
      <c r="F292" s="46" t="s">
        <v>17759</v>
      </c>
      <c r="G292" s="46" t="s">
        <v>50584</v>
      </c>
      <c r="H292" s="48" t="s">
        <v>56716</v>
      </c>
      <c r="I292" s="48" t="s">
        <v>50564</v>
      </c>
      <c r="J292" s="48" t="s">
        <v>56716</v>
      </c>
      <c r="K292" s="50" t="s">
        <v>56716</v>
      </c>
      <c r="L292" s="48"/>
    </row>
    <row r="293" spans="1:12" s="37" customFormat="1" ht="11.25" x14ac:dyDescent="0.2">
      <c r="A293" s="45" t="s">
        <v>19229</v>
      </c>
      <c r="B293" s="45" t="s">
        <v>19231</v>
      </c>
      <c r="C293" s="51" t="s">
        <v>19234</v>
      </c>
      <c r="D293" s="51" t="s">
        <v>19233</v>
      </c>
      <c r="E293" s="45" t="s">
        <v>7339</v>
      </c>
      <c r="F293" s="45" t="s">
        <v>17759</v>
      </c>
      <c r="G293" s="45" t="s">
        <v>50584</v>
      </c>
      <c r="H293" s="56"/>
      <c r="I293" s="56" t="s">
        <v>50564</v>
      </c>
      <c r="J293" s="56"/>
      <c r="K293" s="50"/>
      <c r="L293" s="56" t="s">
        <v>56716</v>
      </c>
    </row>
    <row r="294" spans="1:12" s="37" customFormat="1" ht="11.25" x14ac:dyDescent="0.2">
      <c r="A294" s="46" t="s">
        <v>15830</v>
      </c>
      <c r="B294" s="46" t="s">
        <v>50861</v>
      </c>
      <c r="C294" s="58" t="str">
        <f>"1309534X"</f>
        <v>1309534X</v>
      </c>
      <c r="D294" s="58" t="str">
        <f>"21462925"</f>
        <v>21462925</v>
      </c>
      <c r="E294" s="46" t="s">
        <v>6173</v>
      </c>
      <c r="F294" s="46" t="s">
        <v>18396</v>
      </c>
      <c r="G294" s="46" t="s">
        <v>50637</v>
      </c>
      <c r="H294" s="48" t="s">
        <v>56716</v>
      </c>
      <c r="I294" s="48" t="s">
        <v>50564</v>
      </c>
      <c r="J294" s="48"/>
      <c r="K294" s="50"/>
      <c r="L294" s="48"/>
    </row>
    <row r="295" spans="1:12" s="37" customFormat="1" ht="11.25" x14ac:dyDescent="0.2">
      <c r="A295" s="46" t="s">
        <v>9280</v>
      </c>
      <c r="B295" s="46" t="s">
        <v>50862</v>
      </c>
      <c r="C295" s="58" t="str">
        <f>"1210955X"</f>
        <v>1210955X</v>
      </c>
      <c r="D295" s="58" t="str">
        <f>""</f>
        <v/>
      </c>
      <c r="E295" s="46" t="s">
        <v>7990</v>
      </c>
      <c r="F295" s="46" t="s">
        <v>18025</v>
      </c>
      <c r="G295" s="46" t="s">
        <v>50581</v>
      </c>
      <c r="H295" s="48" t="s">
        <v>56716</v>
      </c>
      <c r="I295" s="48" t="s">
        <v>50564</v>
      </c>
      <c r="J295" s="48"/>
      <c r="K295" s="50"/>
      <c r="L295" s="48"/>
    </row>
    <row r="296" spans="1:12" s="37" customFormat="1" ht="11.25" x14ac:dyDescent="0.2">
      <c r="A296" s="46" t="s">
        <v>16721</v>
      </c>
      <c r="B296" s="46" t="s">
        <v>50863</v>
      </c>
      <c r="C296" s="58" t="str">
        <f>""</f>
        <v/>
      </c>
      <c r="D296" s="58" t="str">
        <f>"18039588"</f>
        <v>18039588</v>
      </c>
      <c r="E296" s="46" t="s">
        <v>16723</v>
      </c>
      <c r="F296" s="46" t="s">
        <v>18025</v>
      </c>
      <c r="G296" s="46" t="s">
        <v>50581</v>
      </c>
      <c r="H296" s="48" t="s">
        <v>56716</v>
      </c>
      <c r="I296" s="48" t="s">
        <v>50564</v>
      </c>
      <c r="J296" s="48"/>
      <c r="K296" s="50"/>
      <c r="L296" s="48"/>
    </row>
    <row r="297" spans="1:12" s="37" customFormat="1" ht="11.25" x14ac:dyDescent="0.2">
      <c r="A297" s="46" t="s">
        <v>11291</v>
      </c>
      <c r="B297" s="46" t="s">
        <v>50864</v>
      </c>
      <c r="C297" s="58" t="str">
        <f>"16419227"</f>
        <v>16419227</v>
      </c>
      <c r="D297" s="58" t="str">
        <f>""</f>
        <v/>
      </c>
      <c r="E297" s="46" t="s">
        <v>11293</v>
      </c>
      <c r="F297" s="46" t="s">
        <v>17967</v>
      </c>
      <c r="G297" s="46" t="s">
        <v>50613</v>
      </c>
      <c r="H297" s="48" t="s">
        <v>56716</v>
      </c>
      <c r="I297" s="48" t="s">
        <v>50564</v>
      </c>
      <c r="J297" s="48"/>
      <c r="K297" s="50"/>
      <c r="L297" s="48"/>
    </row>
    <row r="298" spans="1:12" s="37" customFormat="1" ht="11.25" x14ac:dyDescent="0.2">
      <c r="A298" s="46" t="s">
        <v>409</v>
      </c>
      <c r="B298" s="46" t="s">
        <v>50865</v>
      </c>
      <c r="C298" s="58" t="str">
        <f>"03402541"</f>
        <v>03402541</v>
      </c>
      <c r="D298" s="58" t="str">
        <f>"1438938X"</f>
        <v>1438938X</v>
      </c>
      <c r="E298" s="46" t="s">
        <v>412</v>
      </c>
      <c r="F298" s="46" t="s">
        <v>18158</v>
      </c>
      <c r="G298" s="46" t="s">
        <v>50593</v>
      </c>
      <c r="H298" s="48" t="s">
        <v>56716</v>
      </c>
      <c r="I298" s="48" t="s">
        <v>50564</v>
      </c>
      <c r="J298" s="48"/>
      <c r="K298" s="50" t="s">
        <v>56716</v>
      </c>
      <c r="L298" s="48"/>
    </row>
    <row r="299" spans="1:12" s="37" customFormat="1" ht="11.25" x14ac:dyDescent="0.2">
      <c r="A299" s="46" t="s">
        <v>8225</v>
      </c>
      <c r="B299" s="46" t="s">
        <v>50866</v>
      </c>
      <c r="C299" s="58" t="str">
        <f>"03410501"</f>
        <v>03410501</v>
      </c>
      <c r="D299" s="58" t="str">
        <f>"14389916"</f>
        <v>14389916</v>
      </c>
      <c r="E299" s="46" t="s">
        <v>412</v>
      </c>
      <c r="F299" s="46" t="s">
        <v>18158</v>
      </c>
      <c r="G299" s="46" t="s">
        <v>50593</v>
      </c>
      <c r="H299" s="48" t="s">
        <v>56716</v>
      </c>
      <c r="I299" s="48" t="s">
        <v>50564</v>
      </c>
      <c r="J299" s="48"/>
      <c r="K299" s="50"/>
      <c r="L299" s="48"/>
    </row>
    <row r="300" spans="1:12" s="37" customFormat="1" ht="11.25" x14ac:dyDescent="0.2">
      <c r="A300" s="46" t="s">
        <v>414</v>
      </c>
      <c r="B300" s="46" t="s">
        <v>50867</v>
      </c>
      <c r="C300" s="58" t="str">
        <f>"03024350"</f>
        <v>03024350</v>
      </c>
      <c r="D300" s="58" t="str">
        <f>"14389428"</f>
        <v>14389428</v>
      </c>
      <c r="E300" s="46" t="s">
        <v>412</v>
      </c>
      <c r="F300" s="46" t="s">
        <v>18158</v>
      </c>
      <c r="G300" s="46" t="s">
        <v>50593</v>
      </c>
      <c r="H300" s="48" t="s">
        <v>56716</v>
      </c>
      <c r="I300" s="48" t="s">
        <v>50564</v>
      </c>
      <c r="J300" s="48"/>
      <c r="K300" s="50" t="s">
        <v>56716</v>
      </c>
      <c r="L300" s="48"/>
    </row>
    <row r="301" spans="1:12" s="37" customFormat="1" ht="11.25" x14ac:dyDescent="0.2">
      <c r="A301" s="46" t="s">
        <v>10806</v>
      </c>
      <c r="B301" s="46" t="s">
        <v>50868</v>
      </c>
      <c r="C301" s="58" t="str">
        <f>"14372754"</f>
        <v>14372754</v>
      </c>
      <c r="D301" s="58" t="str">
        <f>"16117697"</f>
        <v>16117697</v>
      </c>
      <c r="E301" s="46" t="s">
        <v>412</v>
      </c>
      <c r="F301" s="46" t="s">
        <v>18158</v>
      </c>
      <c r="G301" s="46" t="s">
        <v>50593</v>
      </c>
      <c r="H301" s="48" t="s">
        <v>56716</v>
      </c>
      <c r="I301" s="48" t="s">
        <v>50564</v>
      </c>
      <c r="J301" s="48"/>
      <c r="K301" s="50"/>
      <c r="L301" s="48"/>
    </row>
    <row r="302" spans="1:12" s="37" customFormat="1" ht="11.25" x14ac:dyDescent="0.2">
      <c r="A302" s="46" t="s">
        <v>417</v>
      </c>
      <c r="B302" s="46" t="s">
        <v>50869</v>
      </c>
      <c r="C302" s="58" t="str">
        <f>"0341051X"</f>
        <v>0341051X</v>
      </c>
      <c r="D302" s="58" t="str">
        <f>"14389940"</f>
        <v>14389940</v>
      </c>
      <c r="E302" s="46" t="s">
        <v>412</v>
      </c>
      <c r="F302" s="46" t="s">
        <v>18158</v>
      </c>
      <c r="G302" s="46" t="s">
        <v>50593</v>
      </c>
      <c r="H302" s="48" t="s">
        <v>56716</v>
      </c>
      <c r="I302" s="48" t="s">
        <v>50564</v>
      </c>
      <c r="J302" s="48"/>
      <c r="K302" s="50" t="s">
        <v>56716</v>
      </c>
      <c r="L302" s="48"/>
    </row>
    <row r="303" spans="1:12" s="37" customFormat="1" ht="11.25" x14ac:dyDescent="0.2">
      <c r="A303" s="46" t="s">
        <v>7745</v>
      </c>
      <c r="B303" s="46" t="s">
        <v>50870</v>
      </c>
      <c r="C303" s="58" t="str">
        <f>"14337940"</f>
        <v>14337940</v>
      </c>
      <c r="D303" s="58" t="str">
        <f>""</f>
        <v/>
      </c>
      <c r="E303" s="46" t="s">
        <v>412</v>
      </c>
      <c r="F303" s="46" t="s">
        <v>18158</v>
      </c>
      <c r="G303" s="46" t="s">
        <v>50593</v>
      </c>
      <c r="H303" s="48" t="s">
        <v>56716</v>
      </c>
      <c r="I303" s="48" t="s">
        <v>50564</v>
      </c>
      <c r="J303" s="48"/>
      <c r="K303" s="50"/>
      <c r="L303" s="48"/>
    </row>
    <row r="304" spans="1:12" s="37" customFormat="1" ht="11.25" x14ac:dyDescent="0.2">
      <c r="A304" s="45" t="s">
        <v>19238</v>
      </c>
      <c r="B304" s="45" t="s">
        <v>19240</v>
      </c>
      <c r="C304" s="51" t="s">
        <v>19243</v>
      </c>
      <c r="D304" s="51" t="s">
        <v>19242</v>
      </c>
      <c r="E304" s="45" t="s">
        <v>19244</v>
      </c>
      <c r="F304" s="45" t="s">
        <v>18158</v>
      </c>
      <c r="G304" s="45" t="s">
        <v>50592</v>
      </c>
      <c r="H304" s="56"/>
      <c r="I304" s="56" t="s">
        <v>50564</v>
      </c>
      <c r="J304" s="56"/>
      <c r="K304" s="50"/>
      <c r="L304" s="56" t="s">
        <v>56716</v>
      </c>
    </row>
    <row r="305" spans="1:12" s="37" customFormat="1" ht="11.25" x14ac:dyDescent="0.2">
      <c r="A305" s="45" t="s">
        <v>19246</v>
      </c>
      <c r="B305" s="45" t="s">
        <v>19248</v>
      </c>
      <c r="C305" s="51" t="s">
        <v>56722</v>
      </c>
      <c r="D305" s="51"/>
      <c r="E305" s="45" t="s">
        <v>19250</v>
      </c>
      <c r="F305" s="45" t="s">
        <v>19251</v>
      </c>
      <c r="G305" s="45" t="s">
        <v>56513</v>
      </c>
      <c r="H305" s="56"/>
      <c r="I305" s="56" t="s">
        <v>50564</v>
      </c>
      <c r="J305" s="56"/>
      <c r="K305" s="50"/>
      <c r="L305" s="56" t="s">
        <v>56716</v>
      </c>
    </row>
    <row r="306" spans="1:12" s="37" customFormat="1" ht="11.25" x14ac:dyDescent="0.2">
      <c r="A306" s="45" t="s">
        <v>19261</v>
      </c>
      <c r="B306" s="45" t="s">
        <v>19263</v>
      </c>
      <c r="C306" s="51" t="s">
        <v>19264</v>
      </c>
      <c r="D306" s="51"/>
      <c r="E306" s="45" t="s">
        <v>19265</v>
      </c>
      <c r="F306" s="45" t="s">
        <v>17759</v>
      </c>
      <c r="G306" s="45" t="s">
        <v>50584</v>
      </c>
      <c r="H306" s="56"/>
      <c r="I306" s="56" t="s">
        <v>50564</v>
      </c>
      <c r="J306" s="56"/>
      <c r="K306" s="50"/>
      <c r="L306" s="56" t="s">
        <v>56716</v>
      </c>
    </row>
    <row r="307" spans="1:12" s="37" customFormat="1" ht="11.25" x14ac:dyDescent="0.2">
      <c r="A307" s="45" t="s">
        <v>19268</v>
      </c>
      <c r="B307" s="45" t="s">
        <v>19270</v>
      </c>
      <c r="C307" s="51" t="s">
        <v>19272</v>
      </c>
      <c r="D307" s="51"/>
      <c r="E307" s="45" t="s">
        <v>19273</v>
      </c>
      <c r="F307" s="45" t="s">
        <v>17759</v>
      </c>
      <c r="G307" s="45" t="s">
        <v>50584</v>
      </c>
      <c r="H307" s="56"/>
      <c r="I307" s="56" t="s">
        <v>50564</v>
      </c>
      <c r="J307" s="56"/>
      <c r="K307" s="50"/>
      <c r="L307" s="56" t="s">
        <v>56716</v>
      </c>
    </row>
    <row r="308" spans="1:12" s="37" customFormat="1" ht="11.25" x14ac:dyDescent="0.2">
      <c r="A308" s="45" t="s">
        <v>19277</v>
      </c>
      <c r="B308" s="45" t="s">
        <v>19279</v>
      </c>
      <c r="C308" s="51" t="s">
        <v>19281</v>
      </c>
      <c r="D308" s="51"/>
      <c r="E308" s="45" t="s">
        <v>19282</v>
      </c>
      <c r="F308" s="45" t="s">
        <v>18959</v>
      </c>
      <c r="G308" s="45" t="s">
        <v>50584</v>
      </c>
      <c r="H308" s="56"/>
      <c r="I308" s="56" t="s">
        <v>50564</v>
      </c>
      <c r="J308" s="56"/>
      <c r="K308" s="50"/>
      <c r="L308" s="56" t="s">
        <v>56716</v>
      </c>
    </row>
    <row r="309" spans="1:12" s="37" customFormat="1" ht="11.25" x14ac:dyDescent="0.2">
      <c r="A309" s="46" t="s">
        <v>429</v>
      </c>
      <c r="B309" s="46" t="s">
        <v>429</v>
      </c>
      <c r="C309" s="58" t="str">
        <f>"07418329"</f>
        <v>07418329</v>
      </c>
      <c r="D309" s="58" t="str">
        <f>"18736823"</f>
        <v>18736823</v>
      </c>
      <c r="E309" s="46" t="s">
        <v>272</v>
      </c>
      <c r="F309" s="46" t="s">
        <v>17759</v>
      </c>
      <c r="G309" s="46" t="s">
        <v>50584</v>
      </c>
      <c r="H309" s="48" t="s">
        <v>56716</v>
      </c>
      <c r="I309" s="48" t="s">
        <v>50564</v>
      </c>
      <c r="J309" s="48"/>
      <c r="K309" s="50" t="s">
        <v>56716</v>
      </c>
      <c r="L309" s="48" t="s">
        <v>56716</v>
      </c>
    </row>
    <row r="310" spans="1:12" s="37" customFormat="1" ht="11.25" x14ac:dyDescent="0.2">
      <c r="A310" s="46" t="s">
        <v>420</v>
      </c>
      <c r="B310" s="46" t="s">
        <v>50871</v>
      </c>
      <c r="C310" s="58" t="str">
        <f>"07350414"</f>
        <v>07350414</v>
      </c>
      <c r="D310" s="58" t="str">
        <f>"14643502"</f>
        <v>14643502</v>
      </c>
      <c r="E310" s="46" t="s">
        <v>55</v>
      </c>
      <c r="F310" s="46" t="s">
        <v>50646</v>
      </c>
      <c r="G310" s="46" t="s">
        <v>50584</v>
      </c>
      <c r="H310" s="48" t="s">
        <v>56716</v>
      </c>
      <c r="I310" s="48" t="s">
        <v>50564</v>
      </c>
      <c r="J310" s="48" t="s">
        <v>56716</v>
      </c>
      <c r="K310" s="50"/>
      <c r="L310" s="48" t="s">
        <v>56716</v>
      </c>
    </row>
    <row r="311" spans="1:12" s="37" customFormat="1" ht="11.25" x14ac:dyDescent="0.2">
      <c r="A311" s="45" t="s">
        <v>19300</v>
      </c>
      <c r="B311" s="45" t="s">
        <v>19302</v>
      </c>
      <c r="C311" s="51" t="s">
        <v>19305</v>
      </c>
      <c r="D311" s="51" t="s">
        <v>19304</v>
      </c>
      <c r="E311" s="45" t="s">
        <v>50661</v>
      </c>
      <c r="F311" s="45" t="s">
        <v>17759</v>
      </c>
      <c r="G311" s="45" t="s">
        <v>50584</v>
      </c>
      <c r="H311" s="56"/>
      <c r="I311" s="56" t="s">
        <v>50564</v>
      </c>
      <c r="J311" s="56"/>
      <c r="K311" s="50"/>
      <c r="L311" s="56" t="s">
        <v>56716</v>
      </c>
    </row>
    <row r="312" spans="1:12" s="37" customFormat="1" ht="11.25" x14ac:dyDescent="0.2">
      <c r="A312" s="46" t="s">
        <v>423</v>
      </c>
      <c r="B312" s="46" t="s">
        <v>423</v>
      </c>
      <c r="C312" s="58" t="str">
        <f>"0002502X"</f>
        <v>0002502X</v>
      </c>
      <c r="D312" s="58" t="str">
        <f>"13306170"</f>
        <v>13306170</v>
      </c>
      <c r="E312" s="46" t="s">
        <v>426</v>
      </c>
      <c r="F312" s="46" t="s">
        <v>18079</v>
      </c>
      <c r="G312" s="46" t="s">
        <v>50584</v>
      </c>
      <c r="H312" s="48" t="s">
        <v>56716</v>
      </c>
      <c r="I312" s="48" t="s">
        <v>50564</v>
      </c>
      <c r="J312" s="48"/>
      <c r="K312" s="50"/>
      <c r="L312" s="48"/>
    </row>
    <row r="313" spans="1:12" s="37" customFormat="1" ht="11.25" x14ac:dyDescent="0.2">
      <c r="A313" s="46" t="s">
        <v>686</v>
      </c>
      <c r="B313" s="46" t="s">
        <v>50872</v>
      </c>
      <c r="C313" s="58" t="str">
        <f>"07347324"</f>
        <v>07347324</v>
      </c>
      <c r="D313" s="58" t="str">
        <f>"15444538"</f>
        <v>15444538</v>
      </c>
      <c r="E313" s="46" t="s">
        <v>689</v>
      </c>
      <c r="F313" s="46" t="s">
        <v>17759</v>
      </c>
      <c r="G313" s="46" t="s">
        <v>50584</v>
      </c>
      <c r="H313" s="48" t="s">
        <v>56716</v>
      </c>
      <c r="I313" s="48" t="s">
        <v>50564</v>
      </c>
      <c r="J313" s="48"/>
      <c r="K313" s="50"/>
      <c r="L313" s="48"/>
    </row>
    <row r="314" spans="1:12" s="37" customFormat="1" ht="11.25" x14ac:dyDescent="0.2">
      <c r="A314" s="46" t="s">
        <v>138</v>
      </c>
      <c r="B314" s="46" t="s">
        <v>50873</v>
      </c>
      <c r="C314" s="58" t="str">
        <f>"01456008"</f>
        <v>01456008</v>
      </c>
      <c r="D314" s="58" t="str">
        <f>"15300277"</f>
        <v>15300277</v>
      </c>
      <c r="E314" s="46" t="s">
        <v>35</v>
      </c>
      <c r="F314" s="46" t="s">
        <v>50646</v>
      </c>
      <c r="G314" s="46" t="s">
        <v>50584</v>
      </c>
      <c r="H314" s="48" t="s">
        <v>56716</v>
      </c>
      <c r="I314" s="48" t="s">
        <v>50564</v>
      </c>
      <c r="J314" s="48" t="s">
        <v>56716</v>
      </c>
      <c r="K314" s="50" t="s">
        <v>56716</v>
      </c>
      <c r="L314" s="48" t="s">
        <v>56716</v>
      </c>
    </row>
    <row r="315" spans="1:12" s="37" customFormat="1" ht="11.25" x14ac:dyDescent="0.2">
      <c r="A315" s="46" t="s">
        <v>8312</v>
      </c>
      <c r="B315" s="46" t="s">
        <v>50874</v>
      </c>
      <c r="C315" s="58" t="str">
        <f>"14273101"</f>
        <v>14273101</v>
      </c>
      <c r="D315" s="58" t="str">
        <f>""</f>
        <v/>
      </c>
      <c r="E315" s="46" t="s">
        <v>8314</v>
      </c>
      <c r="F315" s="46" t="s">
        <v>17967</v>
      </c>
      <c r="G315" s="46" t="s">
        <v>50612</v>
      </c>
      <c r="H315" s="48" t="s">
        <v>56716</v>
      </c>
      <c r="I315" s="48" t="s">
        <v>50564</v>
      </c>
      <c r="J315" s="48"/>
      <c r="K315" s="50"/>
      <c r="L315" s="48"/>
    </row>
    <row r="316" spans="1:12" s="37" customFormat="1" ht="11.25" x14ac:dyDescent="0.2">
      <c r="A316" s="46" t="s">
        <v>8996</v>
      </c>
      <c r="B316" s="46" t="s">
        <v>8996</v>
      </c>
      <c r="C316" s="58" t="str">
        <f>"12123536"</f>
        <v>12123536</v>
      </c>
      <c r="D316" s="58" t="str">
        <f>""</f>
        <v/>
      </c>
      <c r="E316" s="46" t="s">
        <v>7990</v>
      </c>
      <c r="F316" s="46" t="s">
        <v>18025</v>
      </c>
      <c r="G316" s="46" t="s">
        <v>50581</v>
      </c>
      <c r="H316" s="48" t="s">
        <v>56716</v>
      </c>
      <c r="I316" s="48" t="s">
        <v>50564</v>
      </c>
      <c r="J316" s="48"/>
      <c r="K316" s="50"/>
      <c r="L316" s="48"/>
    </row>
    <row r="317" spans="1:12" s="37" customFormat="1" ht="11.25" x14ac:dyDescent="0.2">
      <c r="A317" s="46" t="s">
        <v>56275</v>
      </c>
      <c r="B317" s="46" t="s">
        <v>56276</v>
      </c>
      <c r="C317" s="58" t="str">
        <f>"23533854"</f>
        <v>23533854</v>
      </c>
      <c r="D317" s="58" t="str">
        <f>""</f>
        <v/>
      </c>
      <c r="E317" s="46" t="s">
        <v>56270</v>
      </c>
      <c r="F317" s="46" t="s">
        <v>17967</v>
      </c>
      <c r="G317" s="46" t="s">
        <v>50584</v>
      </c>
      <c r="H317" s="48" t="s">
        <v>56716</v>
      </c>
      <c r="I317" s="48" t="s">
        <v>50564</v>
      </c>
      <c r="J317" s="48"/>
      <c r="K317" s="50" t="s">
        <v>56716</v>
      </c>
      <c r="L317" s="48"/>
    </row>
    <row r="318" spans="1:12" s="37" customFormat="1" ht="11.25" x14ac:dyDescent="0.2">
      <c r="A318" s="46" t="s">
        <v>15538</v>
      </c>
      <c r="B318" s="46" t="s">
        <v>50875</v>
      </c>
      <c r="C318" s="58" t="str">
        <f>"20905068"</f>
        <v>20905068</v>
      </c>
      <c r="D318" s="58" t="str">
        <f>""</f>
        <v/>
      </c>
      <c r="E318" s="46" t="s">
        <v>15540</v>
      </c>
      <c r="F318" s="46" t="s">
        <v>21182</v>
      </c>
      <c r="G318" s="46" t="s">
        <v>50584</v>
      </c>
      <c r="H318" s="48" t="s">
        <v>56716</v>
      </c>
      <c r="I318" s="48" t="s">
        <v>50564</v>
      </c>
      <c r="J318" s="48"/>
      <c r="K318" s="50" t="s">
        <v>56716</v>
      </c>
      <c r="L318" s="48"/>
    </row>
    <row r="319" spans="1:12" s="37" customFormat="1" ht="11.25" x14ac:dyDescent="0.2">
      <c r="A319" s="46" t="s">
        <v>5024</v>
      </c>
      <c r="B319" s="46" t="s">
        <v>50876</v>
      </c>
      <c r="C319" s="58" t="str">
        <f>"02692813"</f>
        <v>02692813</v>
      </c>
      <c r="D319" s="58" t="str">
        <f>"13652036"</f>
        <v>13652036</v>
      </c>
      <c r="E319" s="46" t="s">
        <v>35</v>
      </c>
      <c r="F319" s="46" t="s">
        <v>50646</v>
      </c>
      <c r="G319" s="46" t="s">
        <v>50584</v>
      </c>
      <c r="H319" s="48" t="s">
        <v>56716</v>
      </c>
      <c r="I319" s="48" t="s">
        <v>50564</v>
      </c>
      <c r="J319" s="48" t="s">
        <v>56716</v>
      </c>
      <c r="K319" s="50" t="s">
        <v>56716</v>
      </c>
      <c r="L319" s="48" t="s">
        <v>56716</v>
      </c>
    </row>
    <row r="320" spans="1:12" s="37" customFormat="1" ht="11.25" x14ac:dyDescent="0.2">
      <c r="A320" s="46" t="s">
        <v>6020</v>
      </c>
      <c r="B320" s="46" t="s">
        <v>50877</v>
      </c>
      <c r="C320" s="58" t="str">
        <f>"09418849"</f>
        <v>09418849</v>
      </c>
      <c r="D320" s="58" t="str">
        <f>"21956405"</f>
        <v>21956405</v>
      </c>
      <c r="E320" s="46" t="s">
        <v>6022</v>
      </c>
      <c r="F320" s="46" t="s">
        <v>18158</v>
      </c>
      <c r="G320" s="46" t="s">
        <v>50592</v>
      </c>
      <c r="H320" s="48" t="s">
        <v>56716</v>
      </c>
      <c r="I320" s="48" t="s">
        <v>50564</v>
      </c>
      <c r="J320" s="48"/>
      <c r="K320" s="50"/>
      <c r="L320" s="48"/>
    </row>
    <row r="321" spans="1:12" s="37" customFormat="1" ht="11.25" x14ac:dyDescent="0.2">
      <c r="A321" s="46" t="s">
        <v>223</v>
      </c>
      <c r="B321" s="46" t="s">
        <v>50878</v>
      </c>
      <c r="C321" s="58" t="str">
        <f>"03010546"</f>
        <v>03010546</v>
      </c>
      <c r="D321" s="58" t="str">
        <f>"15781267"</f>
        <v>15781267</v>
      </c>
      <c r="E321" s="46" t="s">
        <v>175</v>
      </c>
      <c r="F321" s="46" t="s">
        <v>18439</v>
      </c>
      <c r="G321" s="46" t="s">
        <v>50631</v>
      </c>
      <c r="H321" s="48" t="s">
        <v>56716</v>
      </c>
      <c r="I321" s="48" t="s">
        <v>50564</v>
      </c>
      <c r="J321" s="48"/>
      <c r="K321" s="50" t="s">
        <v>56716</v>
      </c>
      <c r="L321" s="48" t="s">
        <v>56716</v>
      </c>
    </row>
    <row r="322" spans="1:12" s="37" customFormat="1" ht="11.25" x14ac:dyDescent="0.2">
      <c r="A322" s="46" t="s">
        <v>435</v>
      </c>
      <c r="B322" s="46" t="s">
        <v>435</v>
      </c>
      <c r="C322" s="58" t="str">
        <f>"03445062"</f>
        <v>03445062</v>
      </c>
      <c r="D322" s="58" t="str">
        <f>""</f>
        <v/>
      </c>
      <c r="E322" s="46" t="s">
        <v>437</v>
      </c>
      <c r="F322" s="46" t="s">
        <v>18158</v>
      </c>
      <c r="G322" s="46" t="s">
        <v>50593</v>
      </c>
      <c r="H322" s="48" t="s">
        <v>56716</v>
      </c>
      <c r="I322" s="48" t="s">
        <v>50564</v>
      </c>
      <c r="J322" s="48"/>
      <c r="K322" s="50"/>
      <c r="L322" s="48"/>
    </row>
    <row r="323" spans="1:12" s="37" customFormat="1" ht="11.25" x14ac:dyDescent="0.2">
      <c r="A323" s="46" t="s">
        <v>7701</v>
      </c>
      <c r="B323" s="46" t="s">
        <v>50879</v>
      </c>
      <c r="C323" s="58" t="str">
        <f>"13238930"</f>
        <v>13238930</v>
      </c>
      <c r="D323" s="58" t="str">
        <f>"14401592"</f>
        <v>14401592</v>
      </c>
      <c r="E323" s="46" t="s">
        <v>634</v>
      </c>
      <c r="F323" s="46" t="s">
        <v>18242</v>
      </c>
      <c r="G323" s="46" t="s">
        <v>50584</v>
      </c>
      <c r="H323" s="48" t="s">
        <v>56716</v>
      </c>
      <c r="I323" s="48" t="s">
        <v>50564</v>
      </c>
      <c r="J323" s="48" t="s">
        <v>56716</v>
      </c>
      <c r="K323" s="50" t="s">
        <v>56716</v>
      </c>
      <c r="L323" s="48" t="s">
        <v>56716</v>
      </c>
    </row>
    <row r="324" spans="1:12" s="37" customFormat="1" ht="11.25" x14ac:dyDescent="0.2">
      <c r="A324" s="46" t="s">
        <v>6831</v>
      </c>
      <c r="B324" s="46" t="s">
        <v>50880</v>
      </c>
      <c r="C324" s="58" t="str">
        <f>"10885412"</f>
        <v>10885412</v>
      </c>
      <c r="D324" s="58" t="str">
        <f>"15396304"</f>
        <v>15396304</v>
      </c>
      <c r="E324" s="46" t="s">
        <v>6834</v>
      </c>
      <c r="F324" s="46" t="s">
        <v>17759</v>
      </c>
      <c r="G324" s="46" t="s">
        <v>50584</v>
      </c>
      <c r="H324" s="48" t="s">
        <v>56716</v>
      </c>
      <c r="I324" s="48" t="s">
        <v>50564</v>
      </c>
      <c r="J324" s="48"/>
      <c r="K324" s="50"/>
      <c r="L324" s="48" t="s">
        <v>56716</v>
      </c>
    </row>
    <row r="325" spans="1:12" s="37" customFormat="1" ht="11.25" x14ac:dyDescent="0.2">
      <c r="A325" s="46" t="s">
        <v>11586</v>
      </c>
      <c r="B325" s="46" t="s">
        <v>50881</v>
      </c>
      <c r="C325" s="58" t="str">
        <f>"17101484"</f>
        <v>17101484</v>
      </c>
      <c r="D325" s="58" t="str">
        <f>"17101492"</f>
        <v>17101492</v>
      </c>
      <c r="E325" s="46" t="s">
        <v>2299</v>
      </c>
      <c r="F325" s="46" t="s">
        <v>50646</v>
      </c>
      <c r="G325" s="46" t="s">
        <v>50584</v>
      </c>
      <c r="H325" s="48" t="s">
        <v>56716</v>
      </c>
      <c r="I325" s="48" t="s">
        <v>50564</v>
      </c>
      <c r="J325" s="48"/>
      <c r="K325" s="50" t="s">
        <v>56716</v>
      </c>
      <c r="L325" s="48"/>
    </row>
    <row r="326" spans="1:12" s="37" customFormat="1" ht="11.25" x14ac:dyDescent="0.2">
      <c r="A326" s="46" t="s">
        <v>14423</v>
      </c>
      <c r="B326" s="46" t="s">
        <v>50882</v>
      </c>
      <c r="C326" s="58" t="str">
        <f>"20927355"</f>
        <v>20927355</v>
      </c>
      <c r="D326" s="58" t="str">
        <f>"20927363"</f>
        <v>20927363</v>
      </c>
      <c r="E326" s="46" t="s">
        <v>14426</v>
      </c>
      <c r="F326" s="46" t="s">
        <v>50649</v>
      </c>
      <c r="G326" s="46" t="s">
        <v>50584</v>
      </c>
      <c r="H326" s="48" t="s">
        <v>56716</v>
      </c>
      <c r="I326" s="48" t="s">
        <v>50564</v>
      </c>
      <c r="J326" s="48"/>
      <c r="K326" s="50"/>
      <c r="L326" s="48"/>
    </row>
    <row r="327" spans="1:12" s="37" customFormat="1" ht="11.25" x14ac:dyDescent="0.2">
      <c r="A327" s="46" t="s">
        <v>2842</v>
      </c>
      <c r="B327" s="46" t="s">
        <v>50883</v>
      </c>
      <c r="C327" s="58" t="str">
        <f>"01054538"</f>
        <v>01054538</v>
      </c>
      <c r="D327" s="58" t="str">
        <f>"13989995"</f>
        <v>13989995</v>
      </c>
      <c r="E327" s="46" t="s">
        <v>35</v>
      </c>
      <c r="F327" s="46" t="s">
        <v>50646</v>
      </c>
      <c r="G327" s="46" t="s">
        <v>50584</v>
      </c>
      <c r="H327" s="48" t="s">
        <v>56716</v>
      </c>
      <c r="I327" s="48" t="s">
        <v>50564</v>
      </c>
      <c r="J327" s="48" t="s">
        <v>56716</v>
      </c>
      <c r="K327" s="50" t="s">
        <v>56716</v>
      </c>
      <c r="L327" s="48" t="s">
        <v>56716</v>
      </c>
    </row>
    <row r="328" spans="1:12" s="37" customFormat="1" ht="11.25" x14ac:dyDescent="0.2">
      <c r="A328" s="46" t="s">
        <v>12678</v>
      </c>
      <c r="B328" s="46" t="s">
        <v>12678</v>
      </c>
      <c r="C328" s="58" t="str">
        <f>"18750672"</f>
        <v>18750672</v>
      </c>
      <c r="D328" s="58" t="str">
        <f>"18750680"</f>
        <v>18750680</v>
      </c>
      <c r="E328" s="46" t="s">
        <v>85</v>
      </c>
      <c r="F328" s="46" t="s">
        <v>20359</v>
      </c>
      <c r="G328" s="46" t="s">
        <v>50590</v>
      </c>
      <c r="H328" s="48" t="s">
        <v>56716</v>
      </c>
      <c r="I328" s="48" t="s">
        <v>50564</v>
      </c>
      <c r="J328" s="48" t="s">
        <v>56716</v>
      </c>
      <c r="K328" s="50" t="s">
        <v>56716</v>
      </c>
      <c r="L328" s="48"/>
    </row>
    <row r="329" spans="1:12" s="37" customFormat="1" ht="11.25" x14ac:dyDescent="0.2">
      <c r="A329" s="46" t="s">
        <v>7487</v>
      </c>
      <c r="B329" s="46" t="s">
        <v>50884</v>
      </c>
      <c r="C329" s="58" t="str">
        <f>"10895159"</f>
        <v>10895159</v>
      </c>
      <c r="D329" s="58" t="str">
        <f>""</f>
        <v/>
      </c>
      <c r="E329" s="46" t="s">
        <v>7489</v>
      </c>
      <c r="F329" s="46" t="s">
        <v>17759</v>
      </c>
      <c r="G329" s="46" t="s">
        <v>50584</v>
      </c>
      <c r="H329" s="48" t="s">
        <v>56716</v>
      </c>
      <c r="I329" s="48" t="s">
        <v>50564</v>
      </c>
      <c r="J329" s="48"/>
      <c r="K329" s="50"/>
      <c r="L329" s="48"/>
    </row>
    <row r="330" spans="1:12" s="37" customFormat="1" ht="11.25" x14ac:dyDescent="0.2">
      <c r="A330" s="46" t="s">
        <v>16867</v>
      </c>
      <c r="B330" s="46" t="s">
        <v>50885</v>
      </c>
      <c r="C330" s="58" t="str">
        <f>"20389477"</f>
        <v>20389477</v>
      </c>
      <c r="D330" s="58" t="str">
        <f>"20389485"</f>
        <v>20389485</v>
      </c>
      <c r="E330" s="46" t="s">
        <v>1949</v>
      </c>
      <c r="F330" s="46" t="s">
        <v>17991</v>
      </c>
      <c r="G330" s="46" t="s">
        <v>50584</v>
      </c>
      <c r="H330" s="48" t="s">
        <v>56716</v>
      </c>
      <c r="I330" s="48" t="s">
        <v>50564</v>
      </c>
      <c r="J330" s="48"/>
      <c r="K330" s="50"/>
      <c r="L330" s="48"/>
    </row>
    <row r="331" spans="1:12" s="37" customFormat="1" ht="11.25" x14ac:dyDescent="0.2">
      <c r="A331" s="45" t="s">
        <v>19356</v>
      </c>
      <c r="B331" s="45" t="s">
        <v>19358</v>
      </c>
      <c r="C331" s="51" t="s">
        <v>19359</v>
      </c>
      <c r="D331" s="51"/>
      <c r="E331" s="45" t="s">
        <v>19360</v>
      </c>
      <c r="F331" s="45" t="s">
        <v>17759</v>
      </c>
      <c r="G331" s="45" t="s">
        <v>50584</v>
      </c>
      <c r="H331" s="56"/>
      <c r="I331" s="56" t="s">
        <v>50564</v>
      </c>
      <c r="J331" s="56"/>
      <c r="K331" s="50"/>
      <c r="L331" s="56" t="s">
        <v>56716</v>
      </c>
    </row>
    <row r="332" spans="1:12" s="37" customFormat="1" ht="11.25" x14ac:dyDescent="0.2">
      <c r="A332" s="46" t="s">
        <v>9444</v>
      </c>
      <c r="B332" s="46" t="s">
        <v>9444</v>
      </c>
      <c r="C332" s="58" t="str">
        <f>"1868596X"</f>
        <v>1868596X</v>
      </c>
      <c r="D332" s="58" t="str">
        <f>"18688551"</f>
        <v>18688551</v>
      </c>
      <c r="E332" s="46" t="s">
        <v>6159</v>
      </c>
      <c r="F332" s="46" t="s">
        <v>18158</v>
      </c>
      <c r="G332" s="46" t="s">
        <v>50584</v>
      </c>
      <c r="H332" s="48" t="s">
        <v>56716</v>
      </c>
      <c r="I332" s="48" t="s">
        <v>50564</v>
      </c>
      <c r="J332" s="48"/>
      <c r="K332" s="50"/>
      <c r="L332" s="48" t="s">
        <v>56716</v>
      </c>
    </row>
    <row r="333" spans="1:12" s="37" customFormat="1" ht="11.25" x14ac:dyDescent="0.2">
      <c r="A333" s="46" t="s">
        <v>4557</v>
      </c>
      <c r="B333" s="46" t="s">
        <v>50886</v>
      </c>
      <c r="C333" s="58" t="str">
        <f>"08930341"</f>
        <v>08930341</v>
      </c>
      <c r="D333" s="58" t="str">
        <f>""</f>
        <v/>
      </c>
      <c r="E333" s="46" t="s">
        <v>28</v>
      </c>
      <c r="F333" s="46" t="s">
        <v>17759</v>
      </c>
      <c r="G333" s="46" t="s">
        <v>50584</v>
      </c>
      <c r="H333" s="48" t="s">
        <v>56716</v>
      </c>
      <c r="I333" s="48" t="s">
        <v>50564</v>
      </c>
      <c r="J333" s="48" t="s">
        <v>56716</v>
      </c>
      <c r="K333" s="50" t="s">
        <v>56716</v>
      </c>
      <c r="L333" s="48" t="s">
        <v>56716</v>
      </c>
    </row>
    <row r="334" spans="1:12" s="37" customFormat="1" ht="11.25" x14ac:dyDescent="0.2">
      <c r="A334" s="46" t="s">
        <v>11164</v>
      </c>
      <c r="B334" s="46" t="s">
        <v>50887</v>
      </c>
      <c r="C334" s="58" t="str">
        <f>"15525260"</f>
        <v>15525260</v>
      </c>
      <c r="D334" s="58" t="str">
        <f>"15525279"</f>
        <v>15525279</v>
      </c>
      <c r="E334" s="46" t="s">
        <v>272</v>
      </c>
      <c r="F334" s="46" t="s">
        <v>17759</v>
      </c>
      <c r="G334" s="46" t="s">
        <v>50584</v>
      </c>
      <c r="H334" s="48" t="s">
        <v>56716</v>
      </c>
      <c r="I334" s="48" t="s">
        <v>50564</v>
      </c>
      <c r="J334" s="48" t="s">
        <v>56716</v>
      </c>
      <c r="K334" s="50" t="s">
        <v>56716</v>
      </c>
      <c r="L334" s="48" t="s">
        <v>56716</v>
      </c>
    </row>
    <row r="335" spans="1:12" s="37" customFormat="1" ht="11.25" x14ac:dyDescent="0.2">
      <c r="A335" s="46" t="s">
        <v>15063</v>
      </c>
      <c r="B335" s="46" t="s">
        <v>50888</v>
      </c>
      <c r="C335" s="58" t="str">
        <f>"19352514"</f>
        <v>19352514</v>
      </c>
      <c r="D335" s="58" t="str">
        <f>""</f>
        <v/>
      </c>
      <c r="E335" s="46" t="s">
        <v>11878</v>
      </c>
      <c r="F335" s="46" t="s">
        <v>17759</v>
      </c>
      <c r="G335" s="46" t="s">
        <v>50584</v>
      </c>
      <c r="H335" s="48" t="s">
        <v>56716</v>
      </c>
      <c r="I335" s="48" t="s">
        <v>50564</v>
      </c>
      <c r="J335" s="48"/>
      <c r="K335" s="50"/>
      <c r="L335" s="48"/>
    </row>
    <row r="336" spans="1:12" s="37" customFormat="1" ht="11.25" x14ac:dyDescent="0.2">
      <c r="A336" s="46" t="s">
        <v>14042</v>
      </c>
      <c r="B336" s="46" t="s">
        <v>50889</v>
      </c>
      <c r="C336" s="58" t="str">
        <f>""</f>
        <v/>
      </c>
      <c r="D336" s="58" t="str">
        <f>"17589193"</f>
        <v>17589193</v>
      </c>
      <c r="E336" s="46" t="s">
        <v>2299</v>
      </c>
      <c r="F336" s="46" t="s">
        <v>50646</v>
      </c>
      <c r="G336" s="46" t="s">
        <v>50584</v>
      </c>
      <c r="H336" s="48" t="s">
        <v>56716</v>
      </c>
      <c r="I336" s="48" t="s">
        <v>50564</v>
      </c>
      <c r="J336" s="48" t="s">
        <v>56716</v>
      </c>
      <c r="K336" s="50" t="s">
        <v>56716</v>
      </c>
      <c r="L336" s="48"/>
    </row>
    <row r="337" spans="1:12" s="37" customFormat="1" ht="11.25" x14ac:dyDescent="0.2">
      <c r="A337" s="46" t="s">
        <v>15603</v>
      </c>
      <c r="B337" s="46" t="s">
        <v>15603</v>
      </c>
      <c r="C337" s="58" t="str">
        <f>""</f>
        <v/>
      </c>
      <c r="D337" s="58" t="str">
        <f>"21910855"</f>
        <v>21910855</v>
      </c>
      <c r="E337" s="46" t="s">
        <v>167</v>
      </c>
      <c r="F337" s="46" t="s">
        <v>18158</v>
      </c>
      <c r="G337" s="46" t="s">
        <v>50584</v>
      </c>
      <c r="H337" s="48" t="s">
        <v>56716</v>
      </c>
      <c r="I337" s="48" t="s">
        <v>50564</v>
      </c>
      <c r="J337" s="48"/>
      <c r="K337" s="50"/>
      <c r="L337" s="48"/>
    </row>
    <row r="338" spans="1:12" s="37" customFormat="1" ht="11.25" x14ac:dyDescent="0.2">
      <c r="A338" s="45" t="s">
        <v>19386</v>
      </c>
      <c r="B338" s="45" t="s">
        <v>19386</v>
      </c>
      <c r="C338" s="51" t="s">
        <v>19389</v>
      </c>
      <c r="D338" s="51" t="s">
        <v>19388</v>
      </c>
      <c r="E338" s="45" t="s">
        <v>19390</v>
      </c>
      <c r="F338" s="45" t="s">
        <v>18130</v>
      </c>
      <c r="G338" s="45" t="s">
        <v>50584</v>
      </c>
      <c r="H338" s="56"/>
      <c r="I338" s="56" t="s">
        <v>50564</v>
      </c>
      <c r="J338" s="56"/>
      <c r="K338" s="50"/>
      <c r="L338" s="56" t="s">
        <v>56716</v>
      </c>
    </row>
    <row r="339" spans="1:12" s="37" customFormat="1" ht="11.25" x14ac:dyDescent="0.2">
      <c r="A339" s="45" t="s">
        <v>19393</v>
      </c>
      <c r="B339" s="45" t="s">
        <v>19393</v>
      </c>
      <c r="C339" s="51" t="s">
        <v>19395</v>
      </c>
      <c r="D339" s="51"/>
      <c r="E339" s="45" t="s">
        <v>19396</v>
      </c>
      <c r="F339" s="45" t="s">
        <v>50646</v>
      </c>
      <c r="G339" s="45" t="s">
        <v>50584</v>
      </c>
      <c r="H339" s="56"/>
      <c r="I339" s="56" t="s">
        <v>50564</v>
      </c>
      <c r="J339" s="56"/>
      <c r="K339" s="50"/>
      <c r="L339" s="56" t="s">
        <v>56716</v>
      </c>
    </row>
    <row r="340" spans="1:12" s="37" customFormat="1" ht="11.25" x14ac:dyDescent="0.2">
      <c r="A340" s="46" t="s">
        <v>7107</v>
      </c>
      <c r="B340" s="46" t="s">
        <v>50890</v>
      </c>
      <c r="C340" s="58" t="str">
        <f>"09666532"</f>
        <v>09666532</v>
      </c>
      <c r="D340" s="58" t="str">
        <f>""</f>
        <v/>
      </c>
      <c r="E340" s="46" t="s">
        <v>7109</v>
      </c>
      <c r="F340" s="46" t="s">
        <v>50646</v>
      </c>
      <c r="G340" s="46" t="s">
        <v>50584</v>
      </c>
      <c r="H340" s="48" t="s">
        <v>56716</v>
      </c>
      <c r="I340" s="48" t="s">
        <v>50564</v>
      </c>
      <c r="J340" s="48"/>
      <c r="K340" s="50"/>
      <c r="L340" s="48"/>
    </row>
    <row r="341" spans="1:12" s="37" customFormat="1" ht="11.25" x14ac:dyDescent="0.2">
      <c r="A341" s="45" t="s">
        <v>19400</v>
      </c>
      <c r="B341" s="45" t="s">
        <v>19402</v>
      </c>
      <c r="C341" s="51" t="s">
        <v>19404</v>
      </c>
      <c r="D341" s="51"/>
      <c r="E341" s="45" t="s">
        <v>19405</v>
      </c>
      <c r="F341" s="45" t="s">
        <v>17759</v>
      </c>
      <c r="G341" s="45" t="s">
        <v>50584</v>
      </c>
      <c r="H341" s="56"/>
      <c r="I341" s="56" t="s">
        <v>50564</v>
      </c>
      <c r="J341" s="56"/>
      <c r="K341" s="50"/>
      <c r="L341" s="56" t="s">
        <v>56716</v>
      </c>
    </row>
    <row r="342" spans="1:12" s="37" customFormat="1" ht="11.25" x14ac:dyDescent="0.2">
      <c r="A342" s="46" t="s">
        <v>206</v>
      </c>
      <c r="B342" s="46" t="s">
        <v>50891</v>
      </c>
      <c r="C342" s="58" t="str">
        <f>"0002838X"</f>
        <v>0002838X</v>
      </c>
      <c r="D342" s="58" t="str">
        <f>"15320650"</f>
        <v>15320650</v>
      </c>
      <c r="E342" s="46" t="s">
        <v>209</v>
      </c>
      <c r="F342" s="46" t="s">
        <v>17759</v>
      </c>
      <c r="G342" s="46" t="s">
        <v>50584</v>
      </c>
      <c r="H342" s="48" t="s">
        <v>56716</v>
      </c>
      <c r="I342" s="48" t="s">
        <v>50564</v>
      </c>
      <c r="J342" s="48"/>
      <c r="K342" s="50"/>
      <c r="L342" s="48" t="s">
        <v>56716</v>
      </c>
    </row>
    <row r="343" spans="1:12" s="37" customFormat="1" ht="11.25" x14ac:dyDescent="0.2">
      <c r="A343" s="46" t="s">
        <v>13529</v>
      </c>
      <c r="B343" s="46" t="s">
        <v>50892</v>
      </c>
      <c r="C343" s="58" t="str">
        <f>"19422962"</f>
        <v>19422962</v>
      </c>
      <c r="D343" s="58" t="str">
        <f>"19422970"</f>
        <v>19422970</v>
      </c>
      <c r="E343" s="46" t="s">
        <v>13532</v>
      </c>
      <c r="F343" s="46" t="s">
        <v>17759</v>
      </c>
      <c r="G343" s="46" t="s">
        <v>50584</v>
      </c>
      <c r="H343" s="48" t="s">
        <v>56716</v>
      </c>
      <c r="I343" s="48" t="s">
        <v>50564</v>
      </c>
      <c r="J343" s="48"/>
      <c r="K343" s="50"/>
      <c r="L343" s="48"/>
    </row>
    <row r="344" spans="1:12" s="37" customFormat="1" ht="11.25" x14ac:dyDescent="0.2">
      <c r="A344" s="46" t="s">
        <v>12371</v>
      </c>
      <c r="B344" s="46" t="s">
        <v>50893</v>
      </c>
      <c r="C344" s="58" t="str">
        <f>"15419215"</f>
        <v>15419215</v>
      </c>
      <c r="D344" s="58" t="str">
        <f>"17517168"</f>
        <v>17517168</v>
      </c>
      <c r="E344" s="46" t="s">
        <v>12374</v>
      </c>
      <c r="F344" s="46" t="s">
        <v>50646</v>
      </c>
      <c r="G344" s="46" t="s">
        <v>50584</v>
      </c>
      <c r="H344" s="48" t="s">
        <v>56716</v>
      </c>
      <c r="I344" s="48" t="s">
        <v>50564</v>
      </c>
      <c r="J344" s="48" t="s">
        <v>56716</v>
      </c>
      <c r="K344" s="50"/>
      <c r="L344" s="48" t="s">
        <v>56716</v>
      </c>
    </row>
    <row r="345" spans="1:12" s="37" customFormat="1" ht="11.25" x14ac:dyDescent="0.2">
      <c r="A345" s="46" t="s">
        <v>243</v>
      </c>
      <c r="B345" s="46" t="s">
        <v>50894</v>
      </c>
      <c r="C345" s="58" t="str">
        <f>"00028703"</f>
        <v>00028703</v>
      </c>
      <c r="D345" s="58" t="str">
        <f>"10976744"</f>
        <v>10976744</v>
      </c>
      <c r="E345" s="46" t="s">
        <v>194</v>
      </c>
      <c r="F345" s="46" t="s">
        <v>17759</v>
      </c>
      <c r="G345" s="46" t="s">
        <v>50584</v>
      </c>
      <c r="H345" s="48" t="s">
        <v>56716</v>
      </c>
      <c r="I345" s="48" t="s">
        <v>50564</v>
      </c>
      <c r="J345" s="48" t="s">
        <v>56716</v>
      </c>
      <c r="K345" s="50" t="s">
        <v>56716</v>
      </c>
      <c r="L345" s="48" t="s">
        <v>56716</v>
      </c>
    </row>
    <row r="346" spans="1:12" s="37" customFormat="1" ht="11.25" x14ac:dyDescent="0.2">
      <c r="A346" s="45" t="s">
        <v>19437</v>
      </c>
      <c r="B346" s="45" t="s">
        <v>19439</v>
      </c>
      <c r="C346" s="51"/>
      <c r="D346" s="51" t="s">
        <v>19440</v>
      </c>
      <c r="E346" s="45" t="s">
        <v>19441</v>
      </c>
      <c r="F346" s="45" t="s">
        <v>17759</v>
      </c>
      <c r="G346" s="45" t="s">
        <v>50584</v>
      </c>
      <c r="H346" s="56"/>
      <c r="I346" s="56" t="s">
        <v>50564</v>
      </c>
      <c r="J346" s="56"/>
      <c r="K346" s="50"/>
      <c r="L346" s="56" t="s">
        <v>56716</v>
      </c>
    </row>
    <row r="347" spans="1:12" s="37" customFormat="1" ht="11.25" x14ac:dyDescent="0.2">
      <c r="A347" s="46" t="s">
        <v>8914</v>
      </c>
      <c r="B347" s="46" t="s">
        <v>50895</v>
      </c>
      <c r="C347" s="58" t="str">
        <f>"15333175"</f>
        <v>15333175</v>
      </c>
      <c r="D347" s="58" t="str">
        <f>"19382731"</f>
        <v>19382731</v>
      </c>
      <c r="E347" s="46" t="s">
        <v>493</v>
      </c>
      <c r="F347" s="46" t="s">
        <v>17759</v>
      </c>
      <c r="G347" s="46" t="s">
        <v>50584</v>
      </c>
      <c r="H347" s="48" t="s">
        <v>56716</v>
      </c>
      <c r="I347" s="48" t="s">
        <v>50564</v>
      </c>
      <c r="J347" s="48"/>
      <c r="K347" s="50"/>
      <c r="L347" s="48" t="s">
        <v>56716</v>
      </c>
    </row>
    <row r="348" spans="1:12" s="37" customFormat="1" ht="11.25" x14ac:dyDescent="0.2">
      <c r="A348" s="45" t="s">
        <v>19450</v>
      </c>
      <c r="B348" s="45" t="s">
        <v>19452</v>
      </c>
      <c r="C348" s="51" t="s">
        <v>19454</v>
      </c>
      <c r="D348" s="51" t="s">
        <v>19453</v>
      </c>
      <c r="E348" s="45" t="s">
        <v>19455</v>
      </c>
      <c r="F348" s="45" t="s">
        <v>17759</v>
      </c>
      <c r="G348" s="45" t="s">
        <v>50584</v>
      </c>
      <c r="H348" s="56"/>
      <c r="I348" s="56" t="s">
        <v>50564</v>
      </c>
      <c r="J348" s="56"/>
      <c r="K348" s="50"/>
      <c r="L348" s="56" t="s">
        <v>56716</v>
      </c>
    </row>
    <row r="349" spans="1:12" s="37" customFormat="1" ht="11.25" x14ac:dyDescent="0.2">
      <c r="A349" s="46" t="s">
        <v>11710</v>
      </c>
      <c r="B349" s="46" t="s">
        <v>50896</v>
      </c>
      <c r="C349" s="58" t="str">
        <f>"15533468"</f>
        <v>15533468</v>
      </c>
      <c r="D349" s="58" t="str">
        <f>""</f>
        <v/>
      </c>
      <c r="E349" s="46" t="s">
        <v>11712</v>
      </c>
      <c r="F349" s="46" t="s">
        <v>17759</v>
      </c>
      <c r="G349" s="46" t="s">
        <v>50584</v>
      </c>
      <c r="H349" s="48" t="s">
        <v>56716</v>
      </c>
      <c r="I349" s="48" t="s">
        <v>50564</v>
      </c>
      <c r="J349" s="48"/>
      <c r="K349" s="50"/>
      <c r="L349" s="48"/>
    </row>
    <row r="350" spans="1:12" s="37" customFormat="1" ht="11.25" x14ac:dyDescent="0.2">
      <c r="A350" s="46" t="s">
        <v>15015</v>
      </c>
      <c r="B350" s="46" t="s">
        <v>50897</v>
      </c>
      <c r="C350" s="58" t="str">
        <f>"21504210"</f>
        <v>21504210</v>
      </c>
      <c r="D350" s="58" t="str">
        <f>"21504253"</f>
        <v>21504253</v>
      </c>
      <c r="E350" s="46" t="s">
        <v>12434</v>
      </c>
      <c r="F350" s="46" t="s">
        <v>17759</v>
      </c>
      <c r="G350" s="46" t="s">
        <v>50584</v>
      </c>
      <c r="H350" s="48" t="s">
        <v>56716</v>
      </c>
      <c r="I350" s="48" t="s">
        <v>50564</v>
      </c>
      <c r="J350" s="48"/>
      <c r="K350" s="50"/>
      <c r="L350" s="48"/>
    </row>
    <row r="351" spans="1:12" s="37" customFormat="1" ht="11.25" x14ac:dyDescent="0.2">
      <c r="A351" s="46" t="s">
        <v>50670</v>
      </c>
      <c r="B351" s="46" t="s">
        <v>50898</v>
      </c>
      <c r="C351" s="58" t="str">
        <f>""</f>
        <v/>
      </c>
      <c r="D351" s="58" t="str">
        <f>"21601992"</f>
        <v>21601992</v>
      </c>
      <c r="E351" s="46" t="s">
        <v>13079</v>
      </c>
      <c r="F351" s="46" t="s">
        <v>17759</v>
      </c>
      <c r="G351" s="46" t="s">
        <v>50584</v>
      </c>
      <c r="H351" s="48" t="s">
        <v>56716</v>
      </c>
      <c r="I351" s="48" t="s">
        <v>50564</v>
      </c>
      <c r="J351" s="48"/>
      <c r="K351" s="50"/>
      <c r="L351" s="48"/>
    </row>
    <row r="352" spans="1:12" s="37" customFormat="1" ht="11.25" x14ac:dyDescent="0.2">
      <c r="A352" s="45" t="s">
        <v>19464</v>
      </c>
      <c r="B352" s="45" t="s">
        <v>19466</v>
      </c>
      <c r="C352" s="51" t="s">
        <v>19468</v>
      </c>
      <c r="D352" s="51" t="s">
        <v>19467</v>
      </c>
      <c r="E352" s="45" t="s">
        <v>19469</v>
      </c>
      <c r="F352" s="45" t="s">
        <v>17759</v>
      </c>
      <c r="G352" s="45" t="s">
        <v>50584</v>
      </c>
      <c r="H352" s="56"/>
      <c r="I352" s="56" t="s">
        <v>50564</v>
      </c>
      <c r="J352" s="56"/>
      <c r="K352" s="50"/>
      <c r="L352" s="56" t="s">
        <v>56716</v>
      </c>
    </row>
    <row r="353" spans="1:12" s="37" customFormat="1" ht="11.25" x14ac:dyDescent="0.2">
      <c r="A353" s="46" t="s">
        <v>15856</v>
      </c>
      <c r="B353" s="46" t="s">
        <v>50899</v>
      </c>
      <c r="C353" s="58" t="str">
        <f>""</f>
        <v/>
      </c>
      <c r="D353" s="58" t="str">
        <f>"21566976"</f>
        <v>21566976</v>
      </c>
      <c r="E353" s="46" t="s">
        <v>13079</v>
      </c>
      <c r="F353" s="46" t="s">
        <v>17759</v>
      </c>
      <c r="G353" s="46" t="s">
        <v>50584</v>
      </c>
      <c r="H353" s="48" t="s">
        <v>56716</v>
      </c>
      <c r="I353" s="48" t="s">
        <v>50564</v>
      </c>
      <c r="J353" s="48"/>
      <c r="K353" s="50"/>
      <c r="L353" s="48"/>
    </row>
    <row r="354" spans="1:12" s="37" customFormat="1" ht="11.25" x14ac:dyDescent="0.2">
      <c r="A354" s="46" t="s">
        <v>269</v>
      </c>
      <c r="B354" s="46" t="s">
        <v>50900</v>
      </c>
      <c r="C354" s="58" t="str">
        <f>"00029149"</f>
        <v>00029149</v>
      </c>
      <c r="D354" s="58" t="str">
        <f>"18791913"</f>
        <v>18791913</v>
      </c>
      <c r="E354" s="46" t="s">
        <v>272</v>
      </c>
      <c r="F354" s="46" t="s">
        <v>17759</v>
      </c>
      <c r="G354" s="46" t="s">
        <v>50584</v>
      </c>
      <c r="H354" s="48" t="s">
        <v>56716</v>
      </c>
      <c r="I354" s="48" t="s">
        <v>50564</v>
      </c>
      <c r="J354" s="48" t="s">
        <v>56716</v>
      </c>
      <c r="K354" s="50" t="s">
        <v>56716</v>
      </c>
      <c r="L354" s="48" t="s">
        <v>56716</v>
      </c>
    </row>
    <row r="355" spans="1:12" s="37" customFormat="1" ht="11.25" x14ac:dyDescent="0.2">
      <c r="A355" s="46" t="s">
        <v>17448</v>
      </c>
      <c r="B355" s="46" t="s">
        <v>50901</v>
      </c>
      <c r="C355" s="58" t="str">
        <f>""</f>
        <v/>
      </c>
      <c r="D355" s="58" t="str">
        <f>"2160200X"</f>
        <v>2160200X</v>
      </c>
      <c r="E355" s="46" t="s">
        <v>13079</v>
      </c>
      <c r="F355" s="46" t="s">
        <v>17759</v>
      </c>
      <c r="G355" s="46" t="s">
        <v>50584</v>
      </c>
      <c r="H355" s="48" t="s">
        <v>56716</v>
      </c>
      <c r="I355" s="48" t="s">
        <v>50564</v>
      </c>
      <c r="J355" s="48"/>
      <c r="K355" s="50"/>
      <c r="L355" s="48"/>
    </row>
    <row r="356" spans="1:12" s="37" customFormat="1" ht="11.25" x14ac:dyDescent="0.2">
      <c r="A356" s="46" t="s">
        <v>8931</v>
      </c>
      <c r="B356" s="46" t="s">
        <v>50902</v>
      </c>
      <c r="C356" s="58" t="str">
        <f>"11753277"</f>
        <v>11753277</v>
      </c>
      <c r="D356" s="58" t="str">
        <f>"1179187X"</f>
        <v>1179187X</v>
      </c>
      <c r="E356" s="46" t="s">
        <v>55920</v>
      </c>
      <c r="F356" s="46" t="s">
        <v>18123</v>
      </c>
      <c r="G356" s="46" t="s">
        <v>50584</v>
      </c>
      <c r="H356" s="48" t="s">
        <v>56716</v>
      </c>
      <c r="I356" s="48" t="s">
        <v>50564</v>
      </c>
      <c r="J356" s="48" t="s">
        <v>56716</v>
      </c>
      <c r="K356" s="50" t="s">
        <v>56716</v>
      </c>
      <c r="L356" s="48" t="s">
        <v>56716</v>
      </c>
    </row>
    <row r="357" spans="1:12" s="37" customFormat="1" ht="11.25" x14ac:dyDescent="0.2">
      <c r="A357" s="46" t="s">
        <v>14695</v>
      </c>
      <c r="B357" s="46" t="s">
        <v>50903</v>
      </c>
      <c r="C357" s="58" t="str">
        <f>""</f>
        <v/>
      </c>
      <c r="D357" s="58" t="str">
        <f>"19415923"</f>
        <v>19415923</v>
      </c>
      <c r="E357" s="46" t="s">
        <v>9858</v>
      </c>
      <c r="F357" s="46" t="s">
        <v>17967</v>
      </c>
      <c r="G357" s="46" t="s">
        <v>50584</v>
      </c>
      <c r="H357" s="48" t="s">
        <v>56716</v>
      </c>
      <c r="I357" s="48" t="s">
        <v>50564</v>
      </c>
      <c r="J357" s="48"/>
      <c r="K357" s="50"/>
      <c r="L357" s="48" t="s">
        <v>56716</v>
      </c>
    </row>
    <row r="358" spans="1:12" s="37" customFormat="1" ht="11.25" x14ac:dyDescent="0.2">
      <c r="A358" s="46" t="s">
        <v>273</v>
      </c>
      <c r="B358" s="46" t="s">
        <v>50904</v>
      </c>
      <c r="C358" s="58" t="str">
        <f>"0192415X"</f>
        <v>0192415X</v>
      </c>
      <c r="D358" s="58" t="str">
        <f>""</f>
        <v/>
      </c>
      <c r="E358" s="46" t="s">
        <v>275</v>
      </c>
      <c r="F358" s="46" t="s">
        <v>19491</v>
      </c>
      <c r="G358" s="46" t="s">
        <v>50584</v>
      </c>
      <c r="H358" s="48" t="s">
        <v>56716</v>
      </c>
      <c r="I358" s="48" t="s">
        <v>50564</v>
      </c>
      <c r="J358" s="48"/>
      <c r="K358" s="50"/>
      <c r="L358" s="48" t="s">
        <v>56716</v>
      </c>
    </row>
    <row r="359" spans="1:12" s="37" customFormat="1" ht="11.25" x14ac:dyDescent="0.2">
      <c r="A359" s="46" t="s">
        <v>17450</v>
      </c>
      <c r="B359" s="46" t="s">
        <v>50905</v>
      </c>
      <c r="C359" s="58" t="str">
        <f>""</f>
        <v/>
      </c>
      <c r="D359" s="58" t="str">
        <f>"21647712"</f>
        <v>21647712</v>
      </c>
      <c r="E359" s="46" t="s">
        <v>13079</v>
      </c>
      <c r="F359" s="46" t="s">
        <v>17759</v>
      </c>
      <c r="G359" s="46" t="s">
        <v>50584</v>
      </c>
      <c r="H359" s="48" t="s">
        <v>56716</v>
      </c>
      <c r="I359" s="48" t="s">
        <v>50564</v>
      </c>
      <c r="J359" s="48"/>
      <c r="K359" s="50"/>
      <c r="L359" s="48"/>
    </row>
    <row r="360" spans="1:12" s="37" customFormat="1" ht="11.25" x14ac:dyDescent="0.2">
      <c r="A360" s="46" t="s">
        <v>8683</v>
      </c>
      <c r="B360" s="46" t="s">
        <v>50906</v>
      </c>
      <c r="C360" s="58" t="str">
        <f>"11750561"</f>
        <v>11750561</v>
      </c>
      <c r="D360" s="58" t="str">
        <f>"11791888"</f>
        <v>11791888</v>
      </c>
      <c r="E360" s="46" t="s">
        <v>55920</v>
      </c>
      <c r="F360" s="46" t="s">
        <v>18123</v>
      </c>
      <c r="G360" s="46" t="s">
        <v>50584</v>
      </c>
      <c r="H360" s="48" t="s">
        <v>56716</v>
      </c>
      <c r="I360" s="48" t="s">
        <v>50564</v>
      </c>
      <c r="J360" s="48" t="s">
        <v>56716</v>
      </c>
      <c r="K360" s="50"/>
      <c r="L360" s="48" t="s">
        <v>56716</v>
      </c>
    </row>
    <row r="361" spans="1:12" s="37" customFormat="1" ht="11.25" x14ac:dyDescent="0.2">
      <c r="A361" s="46" t="s">
        <v>277</v>
      </c>
      <c r="B361" s="46" t="s">
        <v>50907</v>
      </c>
      <c r="C361" s="58" t="str">
        <f>"00029165"</f>
        <v>00029165</v>
      </c>
      <c r="D361" s="58" t="str">
        <f>"19383207"</f>
        <v>19383207</v>
      </c>
      <c r="E361" s="46" t="s">
        <v>280</v>
      </c>
      <c r="F361" s="46" t="s">
        <v>17759</v>
      </c>
      <c r="G361" s="46" t="s">
        <v>50584</v>
      </c>
      <c r="H361" s="48" t="s">
        <v>56716</v>
      </c>
      <c r="I361" s="48" t="s">
        <v>50564</v>
      </c>
      <c r="J361" s="48"/>
      <c r="K361" s="50"/>
      <c r="L361" s="48" t="s">
        <v>56716</v>
      </c>
    </row>
    <row r="362" spans="1:12" s="37" customFormat="1" ht="11.25" x14ac:dyDescent="0.2">
      <c r="A362" s="46" t="s">
        <v>281</v>
      </c>
      <c r="B362" s="46" t="s">
        <v>50908</v>
      </c>
      <c r="C362" s="58" t="str">
        <f>"02773732"</f>
        <v>02773732</v>
      </c>
      <c r="D362" s="58" t="str">
        <f>"1537453X"</f>
        <v>1537453X</v>
      </c>
      <c r="E362" s="46" t="s">
        <v>28</v>
      </c>
      <c r="F362" s="46" t="s">
        <v>17759</v>
      </c>
      <c r="G362" s="46" t="s">
        <v>50584</v>
      </c>
      <c r="H362" s="48" t="s">
        <v>56716</v>
      </c>
      <c r="I362" s="48" t="s">
        <v>50564</v>
      </c>
      <c r="J362" s="48"/>
      <c r="K362" s="50" t="s">
        <v>56716</v>
      </c>
      <c r="L362" s="48" t="s">
        <v>56716</v>
      </c>
    </row>
    <row r="363" spans="1:12" s="37" customFormat="1" ht="11.25" x14ac:dyDescent="0.2">
      <c r="A363" s="46" t="s">
        <v>284</v>
      </c>
      <c r="B363" s="46" t="s">
        <v>50909</v>
      </c>
      <c r="C363" s="58" t="str">
        <f>"00029173"</f>
        <v>00029173</v>
      </c>
      <c r="D363" s="58" t="str">
        <f>"19437722"</f>
        <v>19437722</v>
      </c>
      <c r="E363" s="46" t="s">
        <v>287</v>
      </c>
      <c r="F363" s="46" t="s">
        <v>17759</v>
      </c>
      <c r="G363" s="46" t="s">
        <v>50584</v>
      </c>
      <c r="H363" s="48" t="s">
        <v>56716</v>
      </c>
      <c r="I363" s="48" t="s">
        <v>50564</v>
      </c>
      <c r="J363" s="48" t="s">
        <v>56716</v>
      </c>
      <c r="K363" s="50"/>
      <c r="L363" s="48" t="s">
        <v>56716</v>
      </c>
    </row>
    <row r="364" spans="1:12" s="37" customFormat="1" ht="11.25" x14ac:dyDescent="0.2">
      <c r="A364" s="45" t="s">
        <v>19524</v>
      </c>
      <c r="B364" s="45" t="s">
        <v>19526</v>
      </c>
      <c r="C364" s="51" t="s">
        <v>19528</v>
      </c>
      <c r="D364" s="51" t="s">
        <v>19527</v>
      </c>
      <c r="E364" s="45" t="s">
        <v>18832</v>
      </c>
      <c r="F364" s="45" t="s">
        <v>17759</v>
      </c>
      <c r="G364" s="45" t="s">
        <v>50584</v>
      </c>
      <c r="H364" s="56"/>
      <c r="I364" s="56" t="s">
        <v>50564</v>
      </c>
      <c r="J364" s="56"/>
      <c r="K364" s="50"/>
      <c r="L364" s="56" t="s">
        <v>56716</v>
      </c>
    </row>
    <row r="365" spans="1:12" s="37" customFormat="1" ht="11.25" x14ac:dyDescent="0.2">
      <c r="A365" s="45" t="s">
        <v>19530</v>
      </c>
      <c r="B365" s="45" t="s">
        <v>19532</v>
      </c>
      <c r="C365" s="51" t="s">
        <v>19534</v>
      </c>
      <c r="D365" s="51" t="s">
        <v>19533</v>
      </c>
      <c r="E365" s="45" t="s">
        <v>19535</v>
      </c>
      <c r="F365" s="45" t="s">
        <v>17759</v>
      </c>
      <c r="G365" s="45" t="s">
        <v>50584</v>
      </c>
      <c r="H365" s="56"/>
      <c r="I365" s="56" t="s">
        <v>50564</v>
      </c>
      <c r="J365" s="56"/>
      <c r="K365" s="50"/>
      <c r="L365" s="56" t="s">
        <v>56716</v>
      </c>
    </row>
    <row r="366" spans="1:12" s="37" customFormat="1" ht="11.25" x14ac:dyDescent="0.2">
      <c r="A366" s="45" t="s">
        <v>19537</v>
      </c>
      <c r="B366" s="45" t="s">
        <v>19539</v>
      </c>
      <c r="C366" s="51" t="s">
        <v>19540</v>
      </c>
      <c r="D366" s="51"/>
      <c r="E366" s="45" t="s">
        <v>19541</v>
      </c>
      <c r="F366" s="45" t="s">
        <v>17759</v>
      </c>
      <c r="G366" s="45" t="s">
        <v>50584</v>
      </c>
      <c r="H366" s="56"/>
      <c r="I366" s="56" t="s">
        <v>50564</v>
      </c>
      <c r="J366" s="56"/>
      <c r="K366" s="50"/>
      <c r="L366" s="56" t="s">
        <v>56716</v>
      </c>
    </row>
    <row r="367" spans="1:12" s="37" customFormat="1" ht="11.25" x14ac:dyDescent="0.2">
      <c r="A367" s="46" t="s">
        <v>297</v>
      </c>
      <c r="B367" s="46" t="s">
        <v>50910</v>
      </c>
      <c r="C367" s="58" t="str">
        <f>"01931091"</f>
        <v>01931091</v>
      </c>
      <c r="D367" s="58" t="str">
        <f>"15330311"</f>
        <v>15330311</v>
      </c>
      <c r="E367" s="46" t="s">
        <v>28</v>
      </c>
      <c r="F367" s="46" t="s">
        <v>17759</v>
      </c>
      <c r="G367" s="46" t="s">
        <v>50584</v>
      </c>
      <c r="H367" s="48" t="s">
        <v>56716</v>
      </c>
      <c r="I367" s="48" t="s">
        <v>50564</v>
      </c>
      <c r="J367" s="48" t="s">
        <v>56716</v>
      </c>
      <c r="K367" s="50" t="s">
        <v>56716</v>
      </c>
      <c r="L367" s="48" t="s">
        <v>56716</v>
      </c>
    </row>
    <row r="368" spans="1:12" s="37" customFormat="1" ht="11.25" x14ac:dyDescent="0.2">
      <c r="A368" s="45" t="s">
        <v>19549</v>
      </c>
      <c r="B368" s="45" t="s">
        <v>19551</v>
      </c>
      <c r="C368" s="51" t="s">
        <v>19552</v>
      </c>
      <c r="D368" s="51"/>
      <c r="E368" s="45" t="s">
        <v>19553</v>
      </c>
      <c r="F368" s="45" t="s">
        <v>17759</v>
      </c>
      <c r="G368" s="45" t="s">
        <v>50584</v>
      </c>
      <c r="H368" s="56"/>
      <c r="I368" s="56" t="s">
        <v>50564</v>
      </c>
      <c r="J368" s="56"/>
      <c r="K368" s="50"/>
      <c r="L368" s="56" t="s">
        <v>56716</v>
      </c>
    </row>
    <row r="369" spans="1:12" s="37" customFormat="1" ht="11.25" x14ac:dyDescent="0.2">
      <c r="A369" s="46" t="s">
        <v>288</v>
      </c>
      <c r="B369" s="46" t="s">
        <v>50911</v>
      </c>
      <c r="C369" s="58" t="str">
        <f>"00952990"</f>
        <v>00952990</v>
      </c>
      <c r="D369" s="58" t="str">
        <f>"10979891"</f>
        <v>10979891</v>
      </c>
      <c r="E369" s="46" t="s">
        <v>291</v>
      </c>
      <c r="F369" s="46" t="s">
        <v>17759</v>
      </c>
      <c r="G369" s="46" t="s">
        <v>50584</v>
      </c>
      <c r="H369" s="48" t="s">
        <v>56716</v>
      </c>
      <c r="I369" s="48" t="s">
        <v>50564</v>
      </c>
      <c r="J369" s="48"/>
      <c r="K369" s="50"/>
      <c r="L369" s="48" t="s">
        <v>56716</v>
      </c>
    </row>
    <row r="370" spans="1:12" s="37" customFormat="1" ht="11.25" x14ac:dyDescent="0.2">
      <c r="A370" s="46" t="s">
        <v>15012</v>
      </c>
      <c r="B370" s="46" t="s">
        <v>50912</v>
      </c>
      <c r="C370" s="58" t="str">
        <f>"2150427X"</f>
        <v>2150427X</v>
      </c>
      <c r="D370" s="58" t="str">
        <f>"21504296"</f>
        <v>21504296</v>
      </c>
      <c r="E370" s="46" t="s">
        <v>12434</v>
      </c>
      <c r="F370" s="46" t="s">
        <v>17759</v>
      </c>
      <c r="G370" s="46" t="s">
        <v>50584</v>
      </c>
      <c r="H370" s="48" t="s">
        <v>56716</v>
      </c>
      <c r="I370" s="48" t="s">
        <v>50564</v>
      </c>
      <c r="J370" s="48"/>
      <c r="K370" s="50"/>
      <c r="L370" s="48"/>
    </row>
    <row r="371" spans="1:12" s="37" customFormat="1" ht="11.25" x14ac:dyDescent="0.2">
      <c r="A371" s="46" t="s">
        <v>300</v>
      </c>
      <c r="B371" s="46" t="s">
        <v>50913</v>
      </c>
      <c r="C371" s="58" t="str">
        <f>"07356757"</f>
        <v>07356757</v>
      </c>
      <c r="D371" s="58" t="str">
        <f>"15328171"</f>
        <v>15328171</v>
      </c>
      <c r="E371" s="46" t="s">
        <v>303</v>
      </c>
      <c r="F371" s="46" t="s">
        <v>17759</v>
      </c>
      <c r="G371" s="46" t="s">
        <v>50584</v>
      </c>
      <c r="H371" s="48" t="s">
        <v>56716</v>
      </c>
      <c r="I371" s="48" t="s">
        <v>50564</v>
      </c>
      <c r="J371" s="48" t="s">
        <v>56716</v>
      </c>
      <c r="K371" s="50" t="s">
        <v>56716</v>
      </c>
      <c r="L371" s="48" t="s">
        <v>56716</v>
      </c>
    </row>
    <row r="372" spans="1:12" s="37" customFormat="1" ht="11.25" x14ac:dyDescent="0.2">
      <c r="A372" s="46" t="s">
        <v>304</v>
      </c>
      <c r="B372" s="46" t="s">
        <v>50914</v>
      </c>
      <c r="C372" s="58" t="str">
        <f>"00029262"</f>
        <v>00029262</v>
      </c>
      <c r="D372" s="58" t="str">
        <f>"14766256"</f>
        <v>14766256</v>
      </c>
      <c r="E372" s="46" t="s">
        <v>55</v>
      </c>
      <c r="F372" s="46" t="s">
        <v>50646</v>
      </c>
      <c r="G372" s="46" t="s">
        <v>50584</v>
      </c>
      <c r="H372" s="48" t="s">
        <v>56716</v>
      </c>
      <c r="I372" s="48" t="s">
        <v>50564</v>
      </c>
      <c r="J372" s="48"/>
      <c r="K372" s="50"/>
      <c r="L372" s="48" t="s">
        <v>56716</v>
      </c>
    </row>
    <row r="373" spans="1:12" s="37" customFormat="1" ht="11.25" x14ac:dyDescent="0.2">
      <c r="A373" s="46" t="s">
        <v>6654</v>
      </c>
      <c r="B373" s="46" t="s">
        <v>50915</v>
      </c>
      <c r="C373" s="58" t="str">
        <f>"07331290"</f>
        <v>07331290</v>
      </c>
      <c r="D373" s="58" t="str">
        <f>""</f>
        <v/>
      </c>
      <c r="E373" s="46" t="s">
        <v>6656</v>
      </c>
      <c r="F373" s="46" t="s">
        <v>17759</v>
      </c>
      <c r="G373" s="46" t="s">
        <v>50584</v>
      </c>
      <c r="H373" s="48" t="s">
        <v>56716</v>
      </c>
      <c r="I373" s="48" t="s">
        <v>50564</v>
      </c>
      <c r="J373" s="48"/>
      <c r="K373" s="50"/>
      <c r="L373" s="48"/>
    </row>
    <row r="374" spans="1:12" s="37" customFormat="1" ht="11.25" x14ac:dyDescent="0.2">
      <c r="A374" s="46" t="s">
        <v>312</v>
      </c>
      <c r="B374" s="46" t="s">
        <v>50916</v>
      </c>
      <c r="C374" s="58" t="str">
        <f>"00029270"</f>
        <v>00029270</v>
      </c>
      <c r="D374" s="58" t="str">
        <f>"15720241"</f>
        <v>15720241</v>
      </c>
      <c r="E374" s="46" t="s">
        <v>315</v>
      </c>
      <c r="F374" s="46" t="s">
        <v>50646</v>
      </c>
      <c r="G374" s="46" t="s">
        <v>50584</v>
      </c>
      <c r="H374" s="48" t="s">
        <v>56716</v>
      </c>
      <c r="I374" s="48" t="s">
        <v>50564</v>
      </c>
      <c r="J374" s="48" t="s">
        <v>56716</v>
      </c>
      <c r="K374" s="50" t="s">
        <v>56716</v>
      </c>
      <c r="L374" s="48" t="s">
        <v>56716</v>
      </c>
    </row>
    <row r="375" spans="1:12" s="37" customFormat="1" ht="11.25" x14ac:dyDescent="0.2">
      <c r="A375" s="46" t="s">
        <v>6120</v>
      </c>
      <c r="B375" s="46" t="s">
        <v>50917</v>
      </c>
      <c r="C375" s="58" t="str">
        <f>"10647481"</f>
        <v>10647481</v>
      </c>
      <c r="D375" s="58" t="str">
        <f>"15457214"</f>
        <v>15457214</v>
      </c>
      <c r="E375" s="46" t="s">
        <v>91</v>
      </c>
      <c r="F375" s="46" t="s">
        <v>18001</v>
      </c>
      <c r="G375" s="46" t="s">
        <v>50584</v>
      </c>
      <c r="H375" s="48" t="s">
        <v>56716</v>
      </c>
      <c r="I375" s="48" t="s">
        <v>50564</v>
      </c>
      <c r="J375" s="48"/>
      <c r="K375" s="50"/>
      <c r="L375" s="48" t="s">
        <v>56716</v>
      </c>
    </row>
    <row r="376" spans="1:12" s="37" customFormat="1" ht="11.25" x14ac:dyDescent="0.2">
      <c r="A376" s="45" t="s">
        <v>19596</v>
      </c>
      <c r="B376" s="45" t="s">
        <v>19598</v>
      </c>
      <c r="C376" s="51" t="s">
        <v>19601</v>
      </c>
      <c r="D376" s="51" t="s">
        <v>19600</v>
      </c>
      <c r="E376" s="45" t="s">
        <v>19602</v>
      </c>
      <c r="F376" s="45" t="s">
        <v>17759</v>
      </c>
      <c r="G376" s="45" t="s">
        <v>50584</v>
      </c>
      <c r="H376" s="56"/>
      <c r="I376" s="56" t="s">
        <v>50564</v>
      </c>
      <c r="J376" s="56"/>
      <c r="K376" s="50"/>
      <c r="L376" s="56" t="s">
        <v>56716</v>
      </c>
    </row>
    <row r="377" spans="1:12" s="37" customFormat="1" ht="11.25" x14ac:dyDescent="0.2">
      <c r="A377" s="45" t="s">
        <v>19604</v>
      </c>
      <c r="B377" s="45" t="s">
        <v>19606</v>
      </c>
      <c r="C377" s="51" t="s">
        <v>19608</v>
      </c>
      <c r="D377" s="51"/>
      <c r="E377" s="45" t="s">
        <v>19609</v>
      </c>
      <c r="F377" s="45" t="s">
        <v>17759</v>
      </c>
      <c r="G377" s="45" t="s">
        <v>50584</v>
      </c>
      <c r="H377" s="56"/>
      <c r="I377" s="56" t="s">
        <v>50564</v>
      </c>
      <c r="J377" s="56"/>
      <c r="K377" s="50"/>
      <c r="L377" s="56" t="s">
        <v>56716</v>
      </c>
    </row>
    <row r="378" spans="1:12" s="37" customFormat="1" ht="11.25" x14ac:dyDescent="0.2">
      <c r="A378" s="46" t="s">
        <v>6545</v>
      </c>
      <c r="B378" s="46" t="s">
        <v>50918</v>
      </c>
      <c r="C378" s="58" t="str">
        <f>"10792082"</f>
        <v>10792082</v>
      </c>
      <c r="D378" s="58" t="str">
        <f>"15352900"</f>
        <v>15352900</v>
      </c>
      <c r="E378" s="46" t="s">
        <v>6548</v>
      </c>
      <c r="F378" s="46" t="s">
        <v>17759</v>
      </c>
      <c r="G378" s="46" t="s">
        <v>50584</v>
      </c>
      <c r="H378" s="48" t="s">
        <v>56716</v>
      </c>
      <c r="I378" s="48" t="s">
        <v>50564</v>
      </c>
      <c r="J378" s="48" t="s">
        <v>56716</v>
      </c>
      <c r="K378" s="50"/>
      <c r="L378" s="48" t="s">
        <v>56716</v>
      </c>
    </row>
    <row r="379" spans="1:12" s="37" customFormat="1" ht="11.25" x14ac:dyDescent="0.2">
      <c r="A379" s="46" t="s">
        <v>317</v>
      </c>
      <c r="B379" s="46" t="s">
        <v>50919</v>
      </c>
      <c r="C379" s="58" t="str">
        <f>"03618609"</f>
        <v>03618609</v>
      </c>
      <c r="D379" s="58" t="str">
        <f>"10968652"</f>
        <v>10968652</v>
      </c>
      <c r="E379" s="46" t="s">
        <v>320</v>
      </c>
      <c r="F379" s="46" t="s">
        <v>17759</v>
      </c>
      <c r="G379" s="46" t="s">
        <v>50584</v>
      </c>
      <c r="H379" s="48" t="s">
        <v>56716</v>
      </c>
      <c r="I379" s="48" t="s">
        <v>50564</v>
      </c>
      <c r="J379" s="48" t="s">
        <v>56716</v>
      </c>
      <c r="K379" s="50" t="s">
        <v>56716</v>
      </c>
      <c r="L379" s="48" t="s">
        <v>56716</v>
      </c>
    </row>
    <row r="380" spans="1:12" s="37" customFormat="1" ht="11.25" x14ac:dyDescent="0.2">
      <c r="A380" s="45" t="s">
        <v>19630</v>
      </c>
      <c r="B380" s="45" t="s">
        <v>19632</v>
      </c>
      <c r="C380" s="51" t="s">
        <v>19634</v>
      </c>
      <c r="D380" s="51" t="s">
        <v>19633</v>
      </c>
      <c r="E380" s="45" t="s">
        <v>970</v>
      </c>
      <c r="F380" s="45" t="s">
        <v>17759</v>
      </c>
      <c r="G380" s="45" t="s">
        <v>50584</v>
      </c>
      <c r="H380" s="56"/>
      <c r="I380" s="56" t="s">
        <v>50564</v>
      </c>
      <c r="J380" s="56"/>
      <c r="K380" s="50"/>
      <c r="L380" s="56" t="s">
        <v>56716</v>
      </c>
    </row>
    <row r="381" spans="1:12" s="37" customFormat="1" ht="11.25" x14ac:dyDescent="0.2">
      <c r="A381" s="46" t="s">
        <v>321</v>
      </c>
      <c r="B381" s="46" t="s">
        <v>50920</v>
      </c>
      <c r="C381" s="58" t="str">
        <f>"00029297"</f>
        <v>00029297</v>
      </c>
      <c r="D381" s="58" t="str">
        <f>"15376605"</f>
        <v>15376605</v>
      </c>
      <c r="E381" s="46" t="s">
        <v>324</v>
      </c>
      <c r="F381" s="46" t="s">
        <v>17759</v>
      </c>
      <c r="G381" s="46" t="s">
        <v>50584</v>
      </c>
      <c r="H381" s="48" t="s">
        <v>56716</v>
      </c>
      <c r="I381" s="48" t="s">
        <v>50564</v>
      </c>
      <c r="J381" s="48" t="s">
        <v>56716</v>
      </c>
      <c r="K381" s="50" t="s">
        <v>56716</v>
      </c>
      <c r="L381" s="48" t="s">
        <v>56716</v>
      </c>
    </row>
    <row r="382" spans="1:12" s="37" customFormat="1" ht="11.25" x14ac:dyDescent="0.2">
      <c r="A382" s="46" t="s">
        <v>4620</v>
      </c>
      <c r="B382" s="46" t="s">
        <v>50921</v>
      </c>
      <c r="C382" s="58" t="str">
        <f>"08957061"</f>
        <v>08957061</v>
      </c>
      <c r="D382" s="58" t="str">
        <f>"19417225"</f>
        <v>19417225</v>
      </c>
      <c r="E382" s="46" t="s">
        <v>55</v>
      </c>
      <c r="F382" s="46" t="s">
        <v>50646</v>
      </c>
      <c r="G382" s="46" t="s">
        <v>50584</v>
      </c>
      <c r="H382" s="48" t="s">
        <v>56716</v>
      </c>
      <c r="I382" s="48" t="s">
        <v>50564</v>
      </c>
      <c r="J382" s="48" t="s">
        <v>56716</v>
      </c>
      <c r="K382" s="50"/>
      <c r="L382" s="48" t="s">
        <v>56716</v>
      </c>
    </row>
    <row r="383" spans="1:12" s="37" customFormat="1" ht="11.25" x14ac:dyDescent="0.2">
      <c r="A383" s="46" t="s">
        <v>11713</v>
      </c>
      <c r="B383" s="46" t="s">
        <v>50922</v>
      </c>
      <c r="C383" s="58" t="str">
        <f>"1553619X"</f>
        <v>1553619X</v>
      </c>
      <c r="D383" s="58" t="str">
        <f>""</f>
        <v/>
      </c>
      <c r="E383" s="46" t="s">
        <v>11712</v>
      </c>
      <c r="F383" s="46" t="s">
        <v>17759</v>
      </c>
      <c r="G383" s="46" t="s">
        <v>50584</v>
      </c>
      <c r="H383" s="48" t="s">
        <v>56716</v>
      </c>
      <c r="I383" s="48" t="s">
        <v>50564</v>
      </c>
      <c r="J383" s="48"/>
      <c r="K383" s="50"/>
      <c r="L383" s="48"/>
    </row>
    <row r="384" spans="1:12" s="37" customFormat="1" ht="11.25" x14ac:dyDescent="0.2">
      <c r="A384" s="45" t="s">
        <v>19648</v>
      </c>
      <c r="B384" s="45" t="s">
        <v>19650</v>
      </c>
      <c r="C384" s="51" t="s">
        <v>19652</v>
      </c>
      <c r="D384" s="51" t="s">
        <v>19651</v>
      </c>
      <c r="E384" s="45" t="s">
        <v>970</v>
      </c>
      <c r="F384" s="45" t="s">
        <v>17759</v>
      </c>
      <c r="G384" s="45" t="s">
        <v>50584</v>
      </c>
      <c r="H384" s="56"/>
      <c r="I384" s="56" t="s">
        <v>50564</v>
      </c>
      <c r="J384" s="56"/>
      <c r="K384" s="50"/>
      <c r="L384" s="56" t="s">
        <v>56716</v>
      </c>
    </row>
    <row r="385" spans="1:12" s="37" customFormat="1" ht="11.25" x14ac:dyDescent="0.2">
      <c r="A385" s="46" t="s">
        <v>325</v>
      </c>
      <c r="B385" s="46" t="s">
        <v>50923</v>
      </c>
      <c r="C385" s="58" t="str">
        <f>"01966553"</f>
        <v>01966553</v>
      </c>
      <c r="D385" s="58" t="str">
        <f>"15273296"</f>
        <v>15273296</v>
      </c>
      <c r="E385" s="46" t="s">
        <v>194</v>
      </c>
      <c r="F385" s="46" t="s">
        <v>17759</v>
      </c>
      <c r="G385" s="46" t="s">
        <v>50584</v>
      </c>
      <c r="H385" s="48" t="s">
        <v>56716</v>
      </c>
      <c r="I385" s="48" t="s">
        <v>50564</v>
      </c>
      <c r="J385" s="48"/>
      <c r="K385" s="50" t="s">
        <v>56716</v>
      </c>
      <c r="L385" s="48" t="s">
        <v>56716</v>
      </c>
    </row>
    <row r="386" spans="1:12" s="37" customFormat="1" ht="11.25" x14ac:dyDescent="0.2">
      <c r="A386" s="46" t="s">
        <v>11715</v>
      </c>
      <c r="B386" s="46" t="s">
        <v>50924</v>
      </c>
      <c r="C386" s="58" t="str">
        <f>"15536203"</f>
        <v>15536203</v>
      </c>
      <c r="D386" s="58" t="str">
        <f>""</f>
        <v/>
      </c>
      <c r="E386" s="46" t="s">
        <v>11712</v>
      </c>
      <c r="F386" s="46" t="s">
        <v>17759</v>
      </c>
      <c r="G386" s="46" t="s">
        <v>50584</v>
      </c>
      <c r="H386" s="48" t="s">
        <v>56716</v>
      </c>
      <c r="I386" s="48" t="s">
        <v>50564</v>
      </c>
      <c r="J386" s="48"/>
      <c r="K386" s="50"/>
      <c r="L386" s="48"/>
    </row>
    <row r="387" spans="1:12" s="37" customFormat="1" ht="11.25" x14ac:dyDescent="0.2">
      <c r="A387" s="46" t="s">
        <v>328</v>
      </c>
      <c r="B387" s="46" t="s">
        <v>50925</v>
      </c>
      <c r="C387" s="58" t="str">
        <f>"02726386"</f>
        <v>02726386</v>
      </c>
      <c r="D387" s="58" t="str">
        <f>"15236838"</f>
        <v>15236838</v>
      </c>
      <c r="E387" s="46" t="s">
        <v>303</v>
      </c>
      <c r="F387" s="46" t="s">
        <v>17759</v>
      </c>
      <c r="G387" s="46" t="s">
        <v>50584</v>
      </c>
      <c r="H387" s="48" t="s">
        <v>56716</v>
      </c>
      <c r="I387" s="48" t="s">
        <v>50564</v>
      </c>
      <c r="J387" s="48"/>
      <c r="K387" s="50" t="s">
        <v>56716</v>
      </c>
      <c r="L387" s="48" t="s">
        <v>56716</v>
      </c>
    </row>
    <row r="388" spans="1:12" s="37" customFormat="1" ht="11.25" x14ac:dyDescent="0.2">
      <c r="A388" s="45" t="s">
        <v>19666</v>
      </c>
      <c r="B388" s="45" t="s">
        <v>19668</v>
      </c>
      <c r="C388" s="51" t="s">
        <v>19669</v>
      </c>
      <c r="D388" s="51"/>
      <c r="E388" s="45" t="s">
        <v>19670</v>
      </c>
      <c r="F388" s="45" t="s">
        <v>17759</v>
      </c>
      <c r="G388" s="45" t="s">
        <v>50584</v>
      </c>
      <c r="H388" s="56"/>
      <c r="I388" s="56" t="s">
        <v>50564</v>
      </c>
      <c r="J388" s="56"/>
      <c r="K388" s="50"/>
      <c r="L388" s="56" t="s">
        <v>56716</v>
      </c>
    </row>
    <row r="389" spans="1:12" s="37" customFormat="1" ht="11.25" x14ac:dyDescent="0.2">
      <c r="A389" s="46" t="s">
        <v>7460</v>
      </c>
      <c r="B389" s="46" t="s">
        <v>50926</v>
      </c>
      <c r="C389" s="58" t="str">
        <f>"10880224"</f>
        <v>10880224</v>
      </c>
      <c r="D389" s="58" t="str">
        <f>""</f>
        <v/>
      </c>
      <c r="E389" s="46" t="s">
        <v>7462</v>
      </c>
      <c r="F389" s="46" t="s">
        <v>17759</v>
      </c>
      <c r="G389" s="46" t="s">
        <v>50584</v>
      </c>
      <c r="H389" s="48" t="s">
        <v>56716</v>
      </c>
      <c r="I389" s="48" t="s">
        <v>50564</v>
      </c>
      <c r="J389" s="48" t="s">
        <v>56716</v>
      </c>
      <c r="K389" s="50"/>
      <c r="L389" s="48" t="s">
        <v>56716</v>
      </c>
    </row>
    <row r="390" spans="1:12" s="37" customFormat="1" ht="11.25" x14ac:dyDescent="0.2">
      <c r="A390" s="46" t="s">
        <v>334</v>
      </c>
      <c r="B390" s="46" t="s">
        <v>50927</v>
      </c>
      <c r="C390" s="58" t="str">
        <f>"15524825"</f>
        <v>15524825</v>
      </c>
      <c r="D390" s="58" t="str">
        <f>"15524833"</f>
        <v>15524833</v>
      </c>
      <c r="E390" s="46" t="s">
        <v>320</v>
      </c>
      <c r="F390" s="46" t="s">
        <v>17759</v>
      </c>
      <c r="G390" s="46" t="s">
        <v>50584</v>
      </c>
      <c r="H390" s="48" t="s">
        <v>56716</v>
      </c>
      <c r="I390" s="48" t="s">
        <v>50564</v>
      </c>
      <c r="J390" s="48" t="s">
        <v>56716</v>
      </c>
      <c r="K390" s="50" t="s">
        <v>56716</v>
      </c>
      <c r="L390" s="48" t="s">
        <v>56716</v>
      </c>
    </row>
    <row r="391" spans="1:12" s="37" customFormat="1" ht="11.25" x14ac:dyDescent="0.2">
      <c r="A391" s="46" t="s">
        <v>6490</v>
      </c>
      <c r="B391" s="46" t="s">
        <v>50928</v>
      </c>
      <c r="C391" s="58" t="str">
        <f>"15524841"</f>
        <v>15524841</v>
      </c>
      <c r="D391" s="58" t="str">
        <f>"1552485X"</f>
        <v>1552485X</v>
      </c>
      <c r="E391" s="46" t="s">
        <v>548</v>
      </c>
      <c r="F391" s="46" t="s">
        <v>17759</v>
      </c>
      <c r="G391" s="46" t="s">
        <v>50584</v>
      </c>
      <c r="H391" s="48" t="s">
        <v>56716</v>
      </c>
      <c r="I391" s="48" t="s">
        <v>50564</v>
      </c>
      <c r="J391" s="48" t="s">
        <v>56716</v>
      </c>
      <c r="K391" s="50" t="s">
        <v>56716</v>
      </c>
      <c r="L391" s="48" t="s">
        <v>56716</v>
      </c>
    </row>
    <row r="392" spans="1:12" s="37" customFormat="1" ht="11.25" x14ac:dyDescent="0.2">
      <c r="A392" s="46" t="s">
        <v>8365</v>
      </c>
      <c r="B392" s="46" t="s">
        <v>50929</v>
      </c>
      <c r="C392" s="58" t="str">
        <f>"15524868"</f>
        <v>15524868</v>
      </c>
      <c r="D392" s="58" t="str">
        <f>"15524876"</f>
        <v>15524876</v>
      </c>
      <c r="E392" s="46" t="s">
        <v>548</v>
      </c>
      <c r="F392" s="46" t="s">
        <v>17759</v>
      </c>
      <c r="G392" s="46" t="s">
        <v>50584</v>
      </c>
      <c r="H392" s="48" t="s">
        <v>56716</v>
      </c>
      <c r="I392" s="48" t="s">
        <v>50564</v>
      </c>
      <c r="J392" s="48" t="s">
        <v>56716</v>
      </c>
      <c r="K392" s="50" t="s">
        <v>56716</v>
      </c>
      <c r="L392" s="48" t="s">
        <v>56716</v>
      </c>
    </row>
    <row r="393" spans="1:12" s="37" customFormat="1" ht="11.25" x14ac:dyDescent="0.2">
      <c r="A393" s="45" t="s">
        <v>19695</v>
      </c>
      <c r="B393" s="45" t="s">
        <v>19697</v>
      </c>
      <c r="C393" s="51" t="s">
        <v>19700</v>
      </c>
      <c r="D393" s="51" t="s">
        <v>19699</v>
      </c>
      <c r="E393" s="45" t="s">
        <v>19447</v>
      </c>
      <c r="F393" s="45" t="s">
        <v>17759</v>
      </c>
      <c r="G393" s="45" t="s">
        <v>50584</v>
      </c>
      <c r="H393" s="56"/>
      <c r="I393" s="56" t="s">
        <v>50564</v>
      </c>
      <c r="J393" s="56"/>
      <c r="K393" s="50"/>
      <c r="L393" s="56" t="s">
        <v>56716</v>
      </c>
    </row>
    <row r="394" spans="1:12" s="37" customFormat="1" ht="11.25" x14ac:dyDescent="0.2">
      <c r="A394" s="46" t="s">
        <v>331</v>
      </c>
      <c r="B394" s="46" t="s">
        <v>50930</v>
      </c>
      <c r="C394" s="58" t="str">
        <f>"00029343"</f>
        <v>00029343</v>
      </c>
      <c r="D394" s="58" t="str">
        <f>"15557162"</f>
        <v>15557162</v>
      </c>
      <c r="E394" s="46" t="s">
        <v>272</v>
      </c>
      <c r="F394" s="46" t="s">
        <v>17759</v>
      </c>
      <c r="G394" s="46" t="s">
        <v>50584</v>
      </c>
      <c r="H394" s="48" t="s">
        <v>56716</v>
      </c>
      <c r="I394" s="48" t="s">
        <v>50564</v>
      </c>
      <c r="J394" s="48" t="s">
        <v>56716</v>
      </c>
      <c r="K394" s="50" t="s">
        <v>56716</v>
      </c>
      <c r="L394" s="48" t="s">
        <v>56716</v>
      </c>
    </row>
    <row r="395" spans="1:12" s="37" customFormat="1" ht="11.25" x14ac:dyDescent="0.2">
      <c r="A395" s="45" t="s">
        <v>19708</v>
      </c>
      <c r="B395" s="45" t="s">
        <v>19710</v>
      </c>
      <c r="C395" s="51" t="s">
        <v>19712</v>
      </c>
      <c r="D395" s="51" t="s">
        <v>19711</v>
      </c>
      <c r="E395" s="45" t="s">
        <v>19713</v>
      </c>
      <c r="F395" s="45" t="s">
        <v>17759</v>
      </c>
      <c r="G395" s="45" t="s">
        <v>50584</v>
      </c>
      <c r="H395" s="56"/>
      <c r="I395" s="56" t="s">
        <v>50564</v>
      </c>
      <c r="J395" s="56"/>
      <c r="K395" s="50"/>
      <c r="L395" s="56" t="s">
        <v>56716</v>
      </c>
    </row>
    <row r="396" spans="1:12" s="37" customFormat="1" ht="11.25" x14ac:dyDescent="0.2">
      <c r="A396" s="46" t="s">
        <v>340</v>
      </c>
      <c r="B396" s="46" t="s">
        <v>50931</v>
      </c>
      <c r="C396" s="58" t="str">
        <f>"02508095"</f>
        <v>02508095</v>
      </c>
      <c r="D396" s="58" t="str">
        <f>"14219670"</f>
        <v>14219670</v>
      </c>
      <c r="E396" s="46" t="s">
        <v>109</v>
      </c>
      <c r="F396" s="46" t="s">
        <v>18123</v>
      </c>
      <c r="G396" s="46" t="s">
        <v>50584</v>
      </c>
      <c r="H396" s="48" t="s">
        <v>56716</v>
      </c>
      <c r="I396" s="48" t="s">
        <v>50564</v>
      </c>
      <c r="J396" s="48" t="s">
        <v>56716</v>
      </c>
      <c r="K396" s="50" t="s">
        <v>56716</v>
      </c>
      <c r="L396" s="48" t="s">
        <v>56716</v>
      </c>
    </row>
    <row r="397" spans="1:12" s="37" customFormat="1" ht="11.25" x14ac:dyDescent="0.2">
      <c r="A397" s="46" t="s">
        <v>17452</v>
      </c>
      <c r="B397" s="46" t="s">
        <v>50932</v>
      </c>
      <c r="C397" s="58" t="str">
        <f>""</f>
        <v/>
      </c>
      <c r="D397" s="58" t="str">
        <f>"2165591X"</f>
        <v>2165591X</v>
      </c>
      <c r="E397" s="46" t="s">
        <v>13079</v>
      </c>
      <c r="F397" s="46" t="s">
        <v>17759</v>
      </c>
      <c r="G397" s="46" t="s">
        <v>50584</v>
      </c>
      <c r="H397" s="48" t="s">
        <v>56716</v>
      </c>
      <c r="I397" s="48" t="s">
        <v>50564</v>
      </c>
      <c r="J397" s="48"/>
      <c r="K397" s="50"/>
      <c r="L397" s="48"/>
    </row>
    <row r="398" spans="1:12" s="37" customFormat="1" ht="11.25" x14ac:dyDescent="0.2">
      <c r="A398" s="46" t="s">
        <v>38</v>
      </c>
      <c r="B398" s="46" t="s">
        <v>50933</v>
      </c>
      <c r="C398" s="58" t="str">
        <f>"01956108"</f>
        <v>01956108</v>
      </c>
      <c r="D398" s="58" t="str">
        <f>"1936959X"</f>
        <v>1936959X</v>
      </c>
      <c r="E398" s="46" t="s">
        <v>41</v>
      </c>
      <c r="F398" s="46" t="s">
        <v>17759</v>
      </c>
      <c r="G398" s="46" t="s">
        <v>50584</v>
      </c>
      <c r="H398" s="48" t="s">
        <v>56716</v>
      </c>
      <c r="I398" s="48" t="s">
        <v>50564</v>
      </c>
      <c r="J398" s="48"/>
      <c r="K398" s="50"/>
      <c r="L398" s="48" t="s">
        <v>56716</v>
      </c>
    </row>
    <row r="399" spans="1:12" s="37" customFormat="1" ht="11.25" x14ac:dyDescent="0.2">
      <c r="A399" s="46" t="s">
        <v>17454</v>
      </c>
      <c r="B399" s="46" t="s">
        <v>56377</v>
      </c>
      <c r="C399" s="58" t="str">
        <f>""</f>
        <v/>
      </c>
      <c r="D399" s="58" t="str">
        <f>"21608407"</f>
        <v>21608407</v>
      </c>
      <c r="E399" s="46" t="s">
        <v>13079</v>
      </c>
      <c r="F399" s="46" t="s">
        <v>17759</v>
      </c>
      <c r="G399" s="46" t="s">
        <v>50584</v>
      </c>
      <c r="H399" s="48" t="s">
        <v>56716</v>
      </c>
      <c r="I399" s="48" t="s">
        <v>50564</v>
      </c>
      <c r="J399" s="48"/>
      <c r="K399" s="50"/>
      <c r="L399" s="48"/>
    </row>
    <row r="400" spans="1:12" s="37" customFormat="1" ht="11.25" x14ac:dyDescent="0.2">
      <c r="A400" s="46" t="s">
        <v>347</v>
      </c>
      <c r="B400" s="46" t="s">
        <v>50934</v>
      </c>
      <c r="C400" s="58" t="str">
        <f>"00029378"</f>
        <v>00029378</v>
      </c>
      <c r="D400" s="58" t="str">
        <f>"10976868"</f>
        <v>10976868</v>
      </c>
      <c r="E400" s="46" t="s">
        <v>194</v>
      </c>
      <c r="F400" s="46" t="s">
        <v>17759</v>
      </c>
      <c r="G400" s="46" t="s">
        <v>50584</v>
      </c>
      <c r="H400" s="48" t="s">
        <v>56716</v>
      </c>
      <c r="I400" s="48" t="s">
        <v>50564</v>
      </c>
      <c r="J400" s="48" t="s">
        <v>56716</v>
      </c>
      <c r="K400" s="50" t="s">
        <v>56716</v>
      </c>
      <c r="L400" s="48" t="s">
        <v>56716</v>
      </c>
    </row>
    <row r="401" spans="1:12" s="37" customFormat="1" ht="11.25" x14ac:dyDescent="0.2">
      <c r="A401" s="46" t="s">
        <v>350</v>
      </c>
      <c r="B401" s="46" t="s">
        <v>50935</v>
      </c>
      <c r="C401" s="58" t="str">
        <f>"00029394"</f>
        <v>00029394</v>
      </c>
      <c r="D401" s="58" t="str">
        <f>"18791891"</f>
        <v>18791891</v>
      </c>
      <c r="E401" s="46" t="s">
        <v>272</v>
      </c>
      <c r="F401" s="46" t="s">
        <v>17759</v>
      </c>
      <c r="G401" s="46" t="s">
        <v>50584</v>
      </c>
      <c r="H401" s="48" t="s">
        <v>56716</v>
      </c>
      <c r="I401" s="48" t="s">
        <v>50564</v>
      </c>
      <c r="J401" s="48" t="s">
        <v>56716</v>
      </c>
      <c r="K401" s="50" t="s">
        <v>56716</v>
      </c>
      <c r="L401" s="48" t="s">
        <v>56716</v>
      </c>
    </row>
    <row r="402" spans="1:12" s="37" customFormat="1" ht="11.25" x14ac:dyDescent="0.2">
      <c r="A402" s="45" t="s">
        <v>19748</v>
      </c>
      <c r="B402" s="45" t="s">
        <v>19750</v>
      </c>
      <c r="C402" s="51" t="s">
        <v>19753</v>
      </c>
      <c r="D402" s="51" t="s">
        <v>19752</v>
      </c>
      <c r="E402" s="45" t="s">
        <v>91</v>
      </c>
      <c r="F402" s="45" t="s">
        <v>17759</v>
      </c>
      <c r="G402" s="45" t="s">
        <v>50584</v>
      </c>
      <c r="H402" s="56"/>
      <c r="I402" s="56" t="s">
        <v>50564</v>
      </c>
      <c r="J402" s="56"/>
      <c r="K402" s="50"/>
      <c r="L402" s="56" t="s">
        <v>56716</v>
      </c>
    </row>
    <row r="403" spans="1:12" s="37" customFormat="1" ht="11.25" x14ac:dyDescent="0.2">
      <c r="A403" s="45" t="s">
        <v>19756</v>
      </c>
      <c r="B403" s="45" t="s">
        <v>19758</v>
      </c>
      <c r="C403" s="51" t="s">
        <v>19761</v>
      </c>
      <c r="D403" s="51" t="s">
        <v>19760</v>
      </c>
      <c r="E403" s="45" t="s">
        <v>7128</v>
      </c>
      <c r="F403" s="45" t="s">
        <v>17759</v>
      </c>
      <c r="G403" s="45" t="s">
        <v>50584</v>
      </c>
      <c r="H403" s="56"/>
      <c r="I403" s="56" t="s">
        <v>50564</v>
      </c>
      <c r="J403" s="56"/>
      <c r="K403" s="50"/>
      <c r="L403" s="56" t="s">
        <v>56716</v>
      </c>
    </row>
    <row r="404" spans="1:12" s="37" customFormat="1" ht="11.25" x14ac:dyDescent="0.2">
      <c r="A404" s="46" t="s">
        <v>353</v>
      </c>
      <c r="B404" s="46" t="s">
        <v>50936</v>
      </c>
      <c r="C404" s="58" t="str">
        <f>"00029432"</f>
        <v>00029432</v>
      </c>
      <c r="D404" s="58" t="str">
        <f>"19390025"</f>
        <v>19390025</v>
      </c>
      <c r="E404" s="46" t="s">
        <v>356</v>
      </c>
      <c r="F404" s="46" t="s">
        <v>17759</v>
      </c>
      <c r="G404" s="46" t="s">
        <v>50584</v>
      </c>
      <c r="H404" s="48" t="s">
        <v>56716</v>
      </c>
      <c r="I404" s="48" t="s">
        <v>50564</v>
      </c>
      <c r="J404" s="48"/>
      <c r="K404" s="50" t="s">
        <v>56716</v>
      </c>
      <c r="L404" s="48" t="s">
        <v>56716</v>
      </c>
    </row>
    <row r="405" spans="1:12" s="37" customFormat="1" ht="11.25" x14ac:dyDescent="0.2">
      <c r="A405" s="46" t="s">
        <v>358</v>
      </c>
      <c r="B405" s="46" t="s">
        <v>50937</v>
      </c>
      <c r="C405" s="58" t="str">
        <f>"01960709"</f>
        <v>01960709</v>
      </c>
      <c r="D405" s="58" t="str">
        <f>"1532818X"</f>
        <v>1532818X</v>
      </c>
      <c r="E405" s="46" t="s">
        <v>303</v>
      </c>
      <c r="F405" s="46" t="s">
        <v>17759</v>
      </c>
      <c r="G405" s="46" t="s">
        <v>50584</v>
      </c>
      <c r="H405" s="48" t="s">
        <v>56716</v>
      </c>
      <c r="I405" s="48" t="s">
        <v>50564</v>
      </c>
      <c r="J405" s="48" t="s">
        <v>56716</v>
      </c>
      <c r="K405" s="50" t="s">
        <v>56716</v>
      </c>
      <c r="L405" s="48" t="s">
        <v>56716</v>
      </c>
    </row>
    <row r="406" spans="1:12" s="37" customFormat="1" ht="11.25" x14ac:dyDescent="0.2">
      <c r="A406" s="46" t="s">
        <v>361</v>
      </c>
      <c r="B406" s="46" t="s">
        <v>50938</v>
      </c>
      <c r="C406" s="58" t="str">
        <f>"00029440"</f>
        <v>00029440</v>
      </c>
      <c r="D406" s="58" t="str">
        <f>"15252191"</f>
        <v>15252191</v>
      </c>
      <c r="E406" s="46" t="s">
        <v>272</v>
      </c>
      <c r="F406" s="46" t="s">
        <v>17759</v>
      </c>
      <c r="G406" s="46" t="s">
        <v>50584</v>
      </c>
      <c r="H406" s="48" t="s">
        <v>56716</v>
      </c>
      <c r="I406" s="48" t="s">
        <v>50564</v>
      </c>
      <c r="J406" s="48" t="s">
        <v>56716</v>
      </c>
      <c r="K406" s="50" t="s">
        <v>56716</v>
      </c>
      <c r="L406" s="48" t="s">
        <v>56716</v>
      </c>
    </row>
    <row r="407" spans="1:12" s="37" customFormat="1" ht="11.25" x14ac:dyDescent="0.2">
      <c r="A407" s="46" t="s">
        <v>368</v>
      </c>
      <c r="B407" s="46" t="s">
        <v>50939</v>
      </c>
      <c r="C407" s="58" t="str">
        <f>"07351631"</f>
        <v>07351631</v>
      </c>
      <c r="D407" s="58" t="str">
        <f>"10988785"</f>
        <v>10988785</v>
      </c>
      <c r="E407" s="46" t="s">
        <v>371</v>
      </c>
      <c r="F407" s="46" t="s">
        <v>17759</v>
      </c>
      <c r="G407" s="46" t="s">
        <v>50584</v>
      </c>
      <c r="H407" s="48" t="s">
        <v>56716</v>
      </c>
      <c r="I407" s="48" t="s">
        <v>50564</v>
      </c>
      <c r="J407" s="48" t="s">
        <v>56716</v>
      </c>
      <c r="K407" s="50" t="s">
        <v>56716</v>
      </c>
      <c r="L407" s="48" t="s">
        <v>56716</v>
      </c>
    </row>
    <row r="408" spans="1:12" s="37" customFormat="1" ht="11.25" x14ac:dyDescent="0.2">
      <c r="A408" s="45" t="s">
        <v>19788</v>
      </c>
      <c r="B408" s="45" t="s">
        <v>19790</v>
      </c>
      <c r="C408" s="51" t="s">
        <v>19793</v>
      </c>
      <c r="D408" s="51" t="s">
        <v>19792</v>
      </c>
      <c r="E408" s="45" t="s">
        <v>19794</v>
      </c>
      <c r="F408" s="45" t="s">
        <v>17759</v>
      </c>
      <c r="G408" s="45" t="s">
        <v>50584</v>
      </c>
      <c r="H408" s="56"/>
      <c r="I408" s="56" t="s">
        <v>50564</v>
      </c>
      <c r="J408" s="56"/>
      <c r="K408" s="50"/>
      <c r="L408" s="56" t="s">
        <v>56716</v>
      </c>
    </row>
    <row r="409" spans="1:12" s="37" customFormat="1" ht="11.25" x14ac:dyDescent="0.2">
      <c r="A409" s="46" t="s">
        <v>11717</v>
      </c>
      <c r="B409" s="46" t="s">
        <v>50940</v>
      </c>
      <c r="C409" s="58" t="str">
        <f>"15574962"</f>
        <v>15574962</v>
      </c>
      <c r="D409" s="58" t="str">
        <f>"15574970"</f>
        <v>15574970</v>
      </c>
      <c r="E409" s="46" t="s">
        <v>11712</v>
      </c>
      <c r="F409" s="46" t="s">
        <v>17759</v>
      </c>
      <c r="G409" s="46" t="s">
        <v>50584</v>
      </c>
      <c r="H409" s="48" t="s">
        <v>56716</v>
      </c>
      <c r="I409" s="48" t="s">
        <v>50564</v>
      </c>
      <c r="J409" s="48"/>
      <c r="K409" s="50"/>
      <c r="L409" s="48"/>
    </row>
    <row r="410" spans="1:12" s="37" customFormat="1" ht="11.25" x14ac:dyDescent="0.2">
      <c r="A410" s="46" t="s">
        <v>14262</v>
      </c>
      <c r="B410" s="46" t="s">
        <v>50941</v>
      </c>
      <c r="C410" s="58" t="str">
        <f>"19454481"</f>
        <v>19454481</v>
      </c>
      <c r="D410" s="58" t="str">
        <f>"21642494"</f>
        <v>21642494</v>
      </c>
      <c r="E410" s="46" t="s">
        <v>14265</v>
      </c>
      <c r="F410" s="46" t="s">
        <v>17759</v>
      </c>
      <c r="G410" s="46" t="s">
        <v>50584</v>
      </c>
      <c r="H410" s="48" t="s">
        <v>56716</v>
      </c>
      <c r="I410" s="48" t="s">
        <v>50564</v>
      </c>
      <c r="J410" s="48"/>
      <c r="K410" s="50"/>
      <c r="L410" s="48"/>
    </row>
    <row r="411" spans="1:12" s="37" customFormat="1" ht="11.25" x14ac:dyDescent="0.2">
      <c r="A411" s="46" t="s">
        <v>379</v>
      </c>
      <c r="B411" s="46" t="s">
        <v>50942</v>
      </c>
      <c r="C411" s="58" t="str">
        <f>"00029483"</f>
        <v>00029483</v>
      </c>
      <c r="D411" s="58" t="str">
        <f>"10968644"</f>
        <v>10968644</v>
      </c>
      <c r="E411" s="46" t="s">
        <v>320</v>
      </c>
      <c r="F411" s="46" t="s">
        <v>17759</v>
      </c>
      <c r="G411" s="46" t="s">
        <v>50584</v>
      </c>
      <c r="H411" s="48" t="s">
        <v>56716</v>
      </c>
      <c r="I411" s="48" t="s">
        <v>50564</v>
      </c>
      <c r="J411" s="48"/>
      <c r="K411" s="50" t="s">
        <v>56716</v>
      </c>
      <c r="L411" s="48" t="s">
        <v>56716</v>
      </c>
    </row>
    <row r="412" spans="1:12" s="37" customFormat="1" ht="11.25" x14ac:dyDescent="0.2">
      <c r="A412" s="45" t="s">
        <v>19802</v>
      </c>
      <c r="B412" s="45" t="s">
        <v>19804</v>
      </c>
      <c r="C412" s="51" t="s">
        <v>19807</v>
      </c>
      <c r="D412" s="51" t="s">
        <v>19806</v>
      </c>
      <c r="E412" s="45" t="s">
        <v>17758</v>
      </c>
      <c r="F412" s="45" t="s">
        <v>17759</v>
      </c>
      <c r="G412" s="45" t="s">
        <v>50584</v>
      </c>
      <c r="H412" s="56"/>
      <c r="I412" s="56" t="s">
        <v>50564</v>
      </c>
      <c r="J412" s="56"/>
      <c r="K412" s="50"/>
      <c r="L412" s="56" t="s">
        <v>56716</v>
      </c>
    </row>
    <row r="413" spans="1:12" s="37" customFormat="1" ht="11.25" x14ac:dyDescent="0.2">
      <c r="A413" s="46" t="s">
        <v>364</v>
      </c>
      <c r="B413" s="46" t="s">
        <v>50943</v>
      </c>
      <c r="C413" s="58" t="str">
        <f>"03636143"</f>
        <v>03636143</v>
      </c>
      <c r="D413" s="58" t="str">
        <f>"15221563"</f>
        <v>15221563</v>
      </c>
      <c r="E413" s="46" t="s">
        <v>367</v>
      </c>
      <c r="F413" s="46" t="s">
        <v>17759</v>
      </c>
      <c r="G413" s="46" t="s">
        <v>50584</v>
      </c>
      <c r="H413" s="48" t="s">
        <v>56716</v>
      </c>
      <c r="I413" s="48" t="s">
        <v>50564</v>
      </c>
      <c r="J413" s="48" t="s">
        <v>56716</v>
      </c>
      <c r="K413" s="50"/>
      <c r="L413" s="48" t="s">
        <v>56716</v>
      </c>
    </row>
    <row r="414" spans="1:12" s="37" customFormat="1" ht="11.25" x14ac:dyDescent="0.2">
      <c r="A414" s="46" t="s">
        <v>373</v>
      </c>
      <c r="B414" s="46" t="s">
        <v>50944</v>
      </c>
      <c r="C414" s="58" t="str">
        <f>"01931849"</f>
        <v>01931849</v>
      </c>
      <c r="D414" s="58" t="str">
        <f>"15221555"</f>
        <v>15221555</v>
      </c>
      <c r="E414" s="46" t="s">
        <v>367</v>
      </c>
      <c r="F414" s="46" t="s">
        <v>17759</v>
      </c>
      <c r="G414" s="46" t="s">
        <v>50584</v>
      </c>
      <c r="H414" s="48" t="s">
        <v>56716</v>
      </c>
      <c r="I414" s="48" t="s">
        <v>50564</v>
      </c>
      <c r="J414" s="48" t="s">
        <v>56716</v>
      </c>
      <c r="K414" s="50"/>
      <c r="L414" s="48" t="s">
        <v>56716</v>
      </c>
    </row>
    <row r="415" spans="1:12" s="37" customFormat="1" ht="11.25" x14ac:dyDescent="0.2">
      <c r="A415" s="46" t="s">
        <v>573</v>
      </c>
      <c r="B415" s="46" t="s">
        <v>50945</v>
      </c>
      <c r="C415" s="58" t="str">
        <f>"01931857"</f>
        <v>01931857</v>
      </c>
      <c r="D415" s="58" t="str">
        <f>"15221547"</f>
        <v>15221547</v>
      </c>
      <c r="E415" s="46" t="s">
        <v>367</v>
      </c>
      <c r="F415" s="46" t="s">
        <v>17759</v>
      </c>
      <c r="G415" s="46" t="s">
        <v>50584</v>
      </c>
      <c r="H415" s="48" t="s">
        <v>56716</v>
      </c>
      <c r="I415" s="48" t="s">
        <v>50564</v>
      </c>
      <c r="J415" s="48" t="s">
        <v>56716</v>
      </c>
      <c r="K415" s="50"/>
      <c r="L415" s="48" t="s">
        <v>56716</v>
      </c>
    </row>
    <row r="416" spans="1:12" s="37" customFormat="1" ht="11.25" x14ac:dyDescent="0.2">
      <c r="A416" s="46" t="s">
        <v>382</v>
      </c>
      <c r="B416" s="46" t="s">
        <v>50946</v>
      </c>
      <c r="C416" s="58" t="str">
        <f>"03636135"</f>
        <v>03636135</v>
      </c>
      <c r="D416" s="58" t="str">
        <f>"15221539"</f>
        <v>15221539</v>
      </c>
      <c r="E416" s="46" t="s">
        <v>367</v>
      </c>
      <c r="F416" s="46" t="s">
        <v>17759</v>
      </c>
      <c r="G416" s="46" t="s">
        <v>50584</v>
      </c>
      <c r="H416" s="48" t="s">
        <v>56716</v>
      </c>
      <c r="I416" s="48" t="s">
        <v>50564</v>
      </c>
      <c r="J416" s="48" t="s">
        <v>56716</v>
      </c>
      <c r="K416" s="50"/>
      <c r="L416" s="48" t="s">
        <v>56716</v>
      </c>
    </row>
    <row r="417" spans="1:12" s="37" customFormat="1" ht="11.25" x14ac:dyDescent="0.2">
      <c r="A417" s="46" t="s">
        <v>4759</v>
      </c>
      <c r="B417" s="46" t="s">
        <v>50947</v>
      </c>
      <c r="C417" s="58" t="str">
        <f>"10400605"</f>
        <v>10400605</v>
      </c>
      <c r="D417" s="58" t="str">
        <f>"15221504"</f>
        <v>15221504</v>
      </c>
      <c r="E417" s="46" t="s">
        <v>367</v>
      </c>
      <c r="F417" s="46" t="s">
        <v>17759</v>
      </c>
      <c r="G417" s="46" t="s">
        <v>50584</v>
      </c>
      <c r="H417" s="48" t="s">
        <v>56716</v>
      </c>
      <c r="I417" s="48" t="s">
        <v>50564</v>
      </c>
      <c r="J417" s="48" t="s">
        <v>56716</v>
      </c>
      <c r="K417" s="50"/>
      <c r="L417" s="48" t="s">
        <v>56716</v>
      </c>
    </row>
    <row r="418" spans="1:12" s="37" customFormat="1" ht="11.25" x14ac:dyDescent="0.2">
      <c r="A418" s="46" t="s">
        <v>388</v>
      </c>
      <c r="B418" s="46" t="s">
        <v>50948</v>
      </c>
      <c r="C418" s="58" t="str">
        <f>"03636119"</f>
        <v>03636119</v>
      </c>
      <c r="D418" s="58" t="str">
        <f>"15221490"</f>
        <v>15221490</v>
      </c>
      <c r="E418" s="46" t="s">
        <v>367</v>
      </c>
      <c r="F418" s="46" t="s">
        <v>17759</v>
      </c>
      <c r="G418" s="46" t="s">
        <v>50584</v>
      </c>
      <c r="H418" s="48" t="s">
        <v>56716</v>
      </c>
      <c r="I418" s="48" t="s">
        <v>50564</v>
      </c>
      <c r="J418" s="48" t="s">
        <v>56716</v>
      </c>
      <c r="K418" s="50"/>
      <c r="L418" s="48" t="s">
        <v>56716</v>
      </c>
    </row>
    <row r="419" spans="1:12" s="37" customFormat="1" ht="11.25" x14ac:dyDescent="0.2">
      <c r="A419" s="46" t="s">
        <v>7415</v>
      </c>
      <c r="B419" s="46" t="s">
        <v>50949</v>
      </c>
      <c r="C419" s="58" t="str">
        <f>"03636127"</f>
        <v>03636127</v>
      </c>
      <c r="D419" s="58" t="str">
        <f>"15221466"</f>
        <v>15221466</v>
      </c>
      <c r="E419" s="46" t="s">
        <v>367</v>
      </c>
      <c r="F419" s="46" t="s">
        <v>17759</v>
      </c>
      <c r="G419" s="46" t="s">
        <v>50584</v>
      </c>
      <c r="H419" s="48" t="s">
        <v>56716</v>
      </c>
      <c r="I419" s="48" t="s">
        <v>50564</v>
      </c>
      <c r="J419" s="48" t="s">
        <v>56716</v>
      </c>
      <c r="K419" s="50"/>
      <c r="L419" s="48" t="s">
        <v>56716</v>
      </c>
    </row>
    <row r="420" spans="1:12" s="37" customFormat="1" ht="11.25" x14ac:dyDescent="0.2">
      <c r="A420" s="46" t="s">
        <v>376</v>
      </c>
      <c r="B420" s="46" t="s">
        <v>50950</v>
      </c>
      <c r="C420" s="58" t="str">
        <f>"07493797"</f>
        <v>07493797</v>
      </c>
      <c r="D420" s="58" t="str">
        <f>"18732607"</f>
        <v>18732607</v>
      </c>
      <c r="E420" s="46" t="s">
        <v>272</v>
      </c>
      <c r="F420" s="46" t="s">
        <v>17759</v>
      </c>
      <c r="G420" s="46" t="s">
        <v>50584</v>
      </c>
      <c r="H420" s="48" t="s">
        <v>56716</v>
      </c>
      <c r="I420" s="48" t="s">
        <v>50564</v>
      </c>
      <c r="J420" s="48"/>
      <c r="K420" s="50" t="s">
        <v>56716</v>
      </c>
      <c r="L420" s="48" t="s">
        <v>56716</v>
      </c>
    </row>
    <row r="421" spans="1:12" s="37" customFormat="1" ht="11.25" x14ac:dyDescent="0.2">
      <c r="A421" s="45" t="s">
        <v>19854</v>
      </c>
      <c r="B421" s="45" t="s">
        <v>19856</v>
      </c>
      <c r="C421" s="51" t="s">
        <v>19858</v>
      </c>
      <c r="D421" s="51" t="s">
        <v>19857</v>
      </c>
      <c r="E421" s="45" t="s">
        <v>970</v>
      </c>
      <c r="F421" s="45" t="s">
        <v>17759</v>
      </c>
      <c r="G421" s="45" t="s">
        <v>50584</v>
      </c>
      <c r="H421" s="56"/>
      <c r="I421" s="56" t="s">
        <v>50564</v>
      </c>
      <c r="J421" s="56"/>
      <c r="K421" s="50"/>
      <c r="L421" s="56" t="s">
        <v>56716</v>
      </c>
    </row>
    <row r="422" spans="1:12" s="37" customFormat="1" ht="11.25" x14ac:dyDescent="0.2">
      <c r="A422" s="46" t="s">
        <v>11348</v>
      </c>
      <c r="B422" s="46" t="s">
        <v>50951</v>
      </c>
      <c r="C422" s="58" t="str">
        <f>"15487768"</f>
        <v>15487768</v>
      </c>
      <c r="D422" s="58" t="str">
        <f>"15487776"</f>
        <v>15487776</v>
      </c>
      <c r="E422" s="46" t="s">
        <v>689</v>
      </c>
      <c r="F422" s="46" t="s">
        <v>17759</v>
      </c>
      <c r="G422" s="46" t="s">
        <v>50584</v>
      </c>
      <c r="H422" s="48" t="s">
        <v>56716</v>
      </c>
      <c r="I422" s="48" t="s">
        <v>50564</v>
      </c>
      <c r="J422" s="48" t="s">
        <v>56716</v>
      </c>
      <c r="K422" s="50"/>
      <c r="L422" s="48"/>
    </row>
    <row r="423" spans="1:12" s="37" customFormat="1" ht="11.25" x14ac:dyDescent="0.2">
      <c r="A423" s="46" t="s">
        <v>391</v>
      </c>
      <c r="B423" s="46" t="s">
        <v>50952</v>
      </c>
      <c r="C423" s="58" t="str">
        <f>"0002953X"</f>
        <v>0002953X</v>
      </c>
      <c r="D423" s="58" t="str">
        <f>"15357228"</f>
        <v>15357228</v>
      </c>
      <c r="E423" s="46" t="s">
        <v>394</v>
      </c>
      <c r="F423" s="46" t="s">
        <v>17759</v>
      </c>
      <c r="G423" s="46" t="s">
        <v>50584</v>
      </c>
      <c r="H423" s="48" t="s">
        <v>56716</v>
      </c>
      <c r="I423" s="48" t="s">
        <v>50564</v>
      </c>
      <c r="J423" s="48" t="s">
        <v>56716</v>
      </c>
      <c r="K423" s="50"/>
      <c r="L423" s="48" t="s">
        <v>56716</v>
      </c>
    </row>
    <row r="424" spans="1:12" s="37" customFormat="1" ht="11.25" x14ac:dyDescent="0.2">
      <c r="A424" s="45" t="s">
        <v>19868</v>
      </c>
      <c r="B424" s="45" t="s">
        <v>19870</v>
      </c>
      <c r="C424" s="51" t="s">
        <v>19872</v>
      </c>
      <c r="D424" s="51" t="s">
        <v>19871</v>
      </c>
      <c r="E424" s="45" t="s">
        <v>19873</v>
      </c>
      <c r="F424" s="45" t="s">
        <v>50646</v>
      </c>
      <c r="G424" s="45" t="s">
        <v>50584</v>
      </c>
      <c r="H424" s="56"/>
      <c r="I424" s="56" t="s">
        <v>50564</v>
      </c>
      <c r="J424" s="56"/>
      <c r="K424" s="50"/>
      <c r="L424" s="56" t="s">
        <v>56716</v>
      </c>
    </row>
    <row r="425" spans="1:12" s="37" customFormat="1" ht="11.25" x14ac:dyDescent="0.2">
      <c r="A425" s="45" t="s">
        <v>19884</v>
      </c>
      <c r="B425" s="45" t="s">
        <v>19886</v>
      </c>
      <c r="C425" s="51" t="s">
        <v>19888</v>
      </c>
      <c r="D425" s="51"/>
      <c r="E425" s="45" t="s">
        <v>19889</v>
      </c>
      <c r="F425" s="45" t="s">
        <v>17759</v>
      </c>
      <c r="G425" s="45" t="s">
        <v>50584</v>
      </c>
      <c r="H425" s="56"/>
      <c r="I425" s="56" t="s">
        <v>50564</v>
      </c>
      <c r="J425" s="56"/>
      <c r="K425" s="50"/>
      <c r="L425" s="56" t="s">
        <v>56716</v>
      </c>
    </row>
    <row r="426" spans="1:12" s="37" customFormat="1" ht="11.25" x14ac:dyDescent="0.2">
      <c r="A426" s="45" t="s">
        <v>19892</v>
      </c>
      <c r="B426" s="45" t="s">
        <v>19894</v>
      </c>
      <c r="C426" s="51" t="s">
        <v>19897</v>
      </c>
      <c r="D426" s="51" t="s">
        <v>19896</v>
      </c>
      <c r="E426" s="45" t="s">
        <v>19898</v>
      </c>
      <c r="F426" s="45" t="s">
        <v>17759</v>
      </c>
      <c r="G426" s="45" t="s">
        <v>50584</v>
      </c>
      <c r="H426" s="56"/>
      <c r="I426" s="56" t="s">
        <v>50564</v>
      </c>
      <c r="J426" s="56"/>
      <c r="K426" s="50"/>
      <c r="L426" s="56" t="s">
        <v>56716</v>
      </c>
    </row>
    <row r="427" spans="1:12" s="37" customFormat="1" ht="11.25" x14ac:dyDescent="0.2">
      <c r="A427" s="46" t="s">
        <v>32</v>
      </c>
      <c r="B427" s="46" t="s">
        <v>50953</v>
      </c>
      <c r="C427" s="58" t="str">
        <f>"10467408"</f>
        <v>10467408</v>
      </c>
      <c r="D427" s="58" t="str">
        <f>"16000897"</f>
        <v>16000897</v>
      </c>
      <c r="E427" s="46" t="s">
        <v>35</v>
      </c>
      <c r="F427" s="46" t="s">
        <v>50646</v>
      </c>
      <c r="G427" s="46" t="s">
        <v>50584</v>
      </c>
      <c r="H427" s="48" t="s">
        <v>56716</v>
      </c>
      <c r="I427" s="48" t="s">
        <v>50564</v>
      </c>
      <c r="J427" s="48" t="s">
        <v>56716</v>
      </c>
      <c r="K427" s="50" t="s">
        <v>56716</v>
      </c>
      <c r="L427" s="48" t="s">
        <v>56716</v>
      </c>
    </row>
    <row r="428" spans="1:12" s="37" customFormat="1" ht="11.25" x14ac:dyDescent="0.2">
      <c r="A428" s="46" t="s">
        <v>6167</v>
      </c>
      <c r="B428" s="46" t="s">
        <v>50954</v>
      </c>
      <c r="C428" s="58" t="str">
        <f>"1073449X"</f>
        <v>1073449X</v>
      </c>
      <c r="D428" s="58" t="str">
        <f>"15354970"</f>
        <v>15354970</v>
      </c>
      <c r="E428" s="46" t="s">
        <v>6170</v>
      </c>
      <c r="F428" s="46" t="s">
        <v>17759</v>
      </c>
      <c r="G428" s="46" t="s">
        <v>50584</v>
      </c>
      <c r="H428" s="48" t="s">
        <v>56716</v>
      </c>
      <c r="I428" s="48" t="s">
        <v>50564</v>
      </c>
      <c r="J428" s="48" t="s">
        <v>56716</v>
      </c>
      <c r="K428" s="50"/>
      <c r="L428" s="48" t="s">
        <v>56716</v>
      </c>
    </row>
    <row r="429" spans="1:12" s="37" customFormat="1" ht="11.25" x14ac:dyDescent="0.2">
      <c r="A429" s="46" t="s">
        <v>8330</v>
      </c>
      <c r="B429" s="46" t="s">
        <v>50955</v>
      </c>
      <c r="C429" s="58" t="str">
        <f>"10441549"</f>
        <v>10441549</v>
      </c>
      <c r="D429" s="58" t="str">
        <f>"15354989"</f>
        <v>15354989</v>
      </c>
      <c r="E429" s="46" t="s">
        <v>6170</v>
      </c>
      <c r="F429" s="46" t="s">
        <v>17759</v>
      </c>
      <c r="G429" s="46" t="s">
        <v>50584</v>
      </c>
      <c r="H429" s="48" t="s">
        <v>56716</v>
      </c>
      <c r="I429" s="48" t="s">
        <v>50564</v>
      </c>
      <c r="J429" s="48"/>
      <c r="K429" s="50"/>
      <c r="L429" s="48" t="s">
        <v>56716</v>
      </c>
    </row>
    <row r="430" spans="1:12" s="37" customFormat="1" ht="11.25" x14ac:dyDescent="0.2">
      <c r="A430" s="46" t="s">
        <v>13645</v>
      </c>
      <c r="B430" s="46" t="s">
        <v>50956</v>
      </c>
      <c r="C430" s="58" t="str">
        <f>"19458924"</f>
        <v>19458924</v>
      </c>
      <c r="D430" s="58" t="str">
        <f>"19458932"</f>
        <v>19458932</v>
      </c>
      <c r="E430" s="46" t="s">
        <v>6834</v>
      </c>
      <c r="F430" s="46" t="s">
        <v>17759</v>
      </c>
      <c r="G430" s="46" t="s">
        <v>50584</v>
      </c>
      <c r="H430" s="48" t="s">
        <v>56716</v>
      </c>
      <c r="I430" s="48" t="s">
        <v>50564</v>
      </c>
      <c r="J430" s="48"/>
      <c r="K430" s="50"/>
      <c r="L430" s="48" t="s">
        <v>56716</v>
      </c>
    </row>
    <row r="431" spans="1:12" s="37" customFormat="1" ht="11.25" x14ac:dyDescent="0.2">
      <c r="A431" s="46" t="s">
        <v>395</v>
      </c>
      <c r="B431" s="46" t="s">
        <v>50957</v>
      </c>
      <c r="C431" s="58" t="str">
        <f>"0361803X"</f>
        <v>0361803X</v>
      </c>
      <c r="D431" s="58" t="str">
        <f>"15463141"</f>
        <v>15463141</v>
      </c>
      <c r="E431" s="46" t="s">
        <v>398</v>
      </c>
      <c r="F431" s="46" t="s">
        <v>17759</v>
      </c>
      <c r="G431" s="46" t="s">
        <v>50584</v>
      </c>
      <c r="H431" s="48" t="s">
        <v>56716</v>
      </c>
      <c r="I431" s="48" t="s">
        <v>50564</v>
      </c>
      <c r="J431" s="48" t="s">
        <v>56716</v>
      </c>
      <c r="K431" s="50"/>
      <c r="L431" s="48" t="s">
        <v>56716</v>
      </c>
    </row>
    <row r="432" spans="1:12" s="37" customFormat="1" ht="11.25" x14ac:dyDescent="0.2">
      <c r="A432" s="45" t="s">
        <v>19925</v>
      </c>
      <c r="B432" s="45" t="s">
        <v>19927</v>
      </c>
      <c r="C432" s="51" t="s">
        <v>19929</v>
      </c>
      <c r="D432" s="51" t="s">
        <v>19928</v>
      </c>
      <c r="E432" s="45" t="s">
        <v>19455</v>
      </c>
      <c r="F432" s="45" t="s">
        <v>17759</v>
      </c>
      <c r="G432" s="45" t="s">
        <v>50584</v>
      </c>
      <c r="H432" s="56"/>
      <c r="I432" s="56" t="s">
        <v>50564</v>
      </c>
      <c r="J432" s="56"/>
      <c r="K432" s="50"/>
      <c r="L432" s="56" t="s">
        <v>56716</v>
      </c>
    </row>
    <row r="433" spans="1:12" s="37" customFormat="1" ht="11.25" x14ac:dyDescent="0.2">
      <c r="A433" s="46" t="s">
        <v>17456</v>
      </c>
      <c r="B433" s="46" t="s">
        <v>50958</v>
      </c>
      <c r="C433" s="58" t="str">
        <f>""</f>
        <v/>
      </c>
      <c r="D433" s="58" t="str">
        <f>"21604150"</f>
        <v>21604150</v>
      </c>
      <c r="E433" s="46" t="s">
        <v>13079</v>
      </c>
      <c r="F433" s="46" t="s">
        <v>17759</v>
      </c>
      <c r="G433" s="46" t="s">
        <v>50584</v>
      </c>
      <c r="H433" s="48" t="s">
        <v>56716</v>
      </c>
      <c r="I433" s="48" t="s">
        <v>50564</v>
      </c>
      <c r="J433" s="48"/>
      <c r="K433" s="50"/>
      <c r="L433" s="48"/>
    </row>
    <row r="434" spans="1:12" s="37" customFormat="1" ht="11.25" x14ac:dyDescent="0.2">
      <c r="A434" s="46" t="s">
        <v>399</v>
      </c>
      <c r="B434" s="46" t="s">
        <v>50959</v>
      </c>
      <c r="C434" s="58" t="str">
        <f>"00029610"</f>
        <v>00029610</v>
      </c>
      <c r="D434" s="58" t="str">
        <f>"18791883"</f>
        <v>18791883</v>
      </c>
      <c r="E434" s="46" t="s">
        <v>272</v>
      </c>
      <c r="F434" s="46" t="s">
        <v>17759</v>
      </c>
      <c r="G434" s="46" t="s">
        <v>50584</v>
      </c>
      <c r="H434" s="48" t="s">
        <v>56716</v>
      </c>
      <c r="I434" s="48" t="s">
        <v>50564</v>
      </c>
      <c r="J434" s="48" t="s">
        <v>56716</v>
      </c>
      <c r="K434" s="50" t="s">
        <v>56716</v>
      </c>
      <c r="L434" s="48" t="s">
        <v>56716</v>
      </c>
    </row>
    <row r="435" spans="1:12" s="37" customFormat="1" ht="11.25" x14ac:dyDescent="0.2">
      <c r="A435" s="46" t="s">
        <v>337</v>
      </c>
      <c r="B435" s="46" t="s">
        <v>50960</v>
      </c>
      <c r="C435" s="58" t="str">
        <f>"00029629"</f>
        <v>00029629</v>
      </c>
      <c r="D435" s="58" t="str">
        <f>"15382990"</f>
        <v>15382990</v>
      </c>
      <c r="E435" s="46" t="s">
        <v>28</v>
      </c>
      <c r="F435" s="46" t="s">
        <v>17759</v>
      </c>
      <c r="G435" s="46" t="s">
        <v>50584</v>
      </c>
      <c r="H435" s="48" t="s">
        <v>56716</v>
      </c>
      <c r="I435" s="48" t="s">
        <v>50564</v>
      </c>
      <c r="J435" s="48"/>
      <c r="K435" s="50" t="s">
        <v>56716</v>
      </c>
      <c r="L435" s="48" t="s">
        <v>56716</v>
      </c>
    </row>
    <row r="436" spans="1:12" s="37" customFormat="1" ht="11.25" x14ac:dyDescent="0.2">
      <c r="A436" s="46" t="s">
        <v>6302</v>
      </c>
      <c r="B436" s="46" t="s">
        <v>50961</v>
      </c>
      <c r="C436" s="58" t="str">
        <f>"10752765"</f>
        <v>10752765</v>
      </c>
      <c r="D436" s="58" t="str">
        <f>"15363686"</f>
        <v>15363686</v>
      </c>
      <c r="E436" s="46" t="s">
        <v>28</v>
      </c>
      <c r="F436" s="46" t="s">
        <v>17759</v>
      </c>
      <c r="G436" s="46" t="s">
        <v>50584</v>
      </c>
      <c r="H436" s="48" t="s">
        <v>56716</v>
      </c>
      <c r="I436" s="48" t="s">
        <v>50564</v>
      </c>
      <c r="J436" s="48" t="s">
        <v>56716</v>
      </c>
      <c r="K436" s="50" t="s">
        <v>56716</v>
      </c>
      <c r="L436" s="48" t="s">
        <v>56716</v>
      </c>
    </row>
    <row r="437" spans="1:12" s="37" customFormat="1" ht="11.25" x14ac:dyDescent="0.2">
      <c r="A437" s="46" t="s">
        <v>13707</v>
      </c>
      <c r="B437" s="46" t="s">
        <v>55834</v>
      </c>
      <c r="C437" s="58" t="str">
        <f>""</f>
        <v/>
      </c>
      <c r="D437" s="58" t="str">
        <f>"19438141"</f>
        <v>19438141</v>
      </c>
      <c r="E437" s="46" t="s">
        <v>13079</v>
      </c>
      <c r="F437" s="46" t="s">
        <v>17759</v>
      </c>
      <c r="G437" s="46" t="s">
        <v>50584</v>
      </c>
      <c r="H437" s="48" t="s">
        <v>56716</v>
      </c>
      <c r="I437" s="48" t="s">
        <v>50564</v>
      </c>
      <c r="J437" s="48"/>
      <c r="K437" s="50"/>
      <c r="L437" s="48"/>
    </row>
    <row r="438" spans="1:12" s="37" customFormat="1" ht="11.25" x14ac:dyDescent="0.2">
      <c r="A438" s="46" t="s">
        <v>8987</v>
      </c>
      <c r="B438" s="46" t="s">
        <v>50962</v>
      </c>
      <c r="C438" s="58" t="str">
        <f>"16006135"</f>
        <v>16006135</v>
      </c>
      <c r="D438" s="58" t="str">
        <f>"16006143"</f>
        <v>16006143</v>
      </c>
      <c r="E438" s="46" t="s">
        <v>35</v>
      </c>
      <c r="F438" s="46" t="s">
        <v>50646</v>
      </c>
      <c r="G438" s="46" t="s">
        <v>50584</v>
      </c>
      <c r="H438" s="48" t="s">
        <v>56716</v>
      </c>
      <c r="I438" s="48" t="s">
        <v>50564</v>
      </c>
      <c r="J438" s="48" t="s">
        <v>56716</v>
      </c>
      <c r="K438" s="50" t="s">
        <v>56716</v>
      </c>
      <c r="L438" s="48" t="s">
        <v>56716</v>
      </c>
    </row>
    <row r="439" spans="1:12" s="37" customFormat="1" ht="11.25" x14ac:dyDescent="0.2">
      <c r="A439" s="46" t="s">
        <v>402</v>
      </c>
      <c r="B439" s="46" t="s">
        <v>50963</v>
      </c>
      <c r="C439" s="58" t="str">
        <f>"00029637"</f>
        <v>00029637</v>
      </c>
      <c r="D439" s="58" t="str">
        <f>""</f>
        <v/>
      </c>
      <c r="E439" s="46" t="s">
        <v>404</v>
      </c>
      <c r="F439" s="46" t="s">
        <v>17759</v>
      </c>
      <c r="G439" s="46" t="s">
        <v>50584</v>
      </c>
      <c r="H439" s="48" t="s">
        <v>56716</v>
      </c>
      <c r="I439" s="48" t="s">
        <v>50564</v>
      </c>
      <c r="J439" s="48"/>
      <c r="K439" s="50"/>
      <c r="L439" s="48" t="s">
        <v>56716</v>
      </c>
    </row>
    <row r="440" spans="1:12" s="37" customFormat="1" ht="11.25" x14ac:dyDescent="0.2">
      <c r="A440" s="46" t="s">
        <v>405</v>
      </c>
      <c r="B440" s="46" t="s">
        <v>50964</v>
      </c>
      <c r="C440" s="58" t="str">
        <f>"00029645"</f>
        <v>00029645</v>
      </c>
      <c r="D440" s="58" t="str">
        <f>"19435681"</f>
        <v>19435681</v>
      </c>
      <c r="E440" s="46" t="s">
        <v>408</v>
      </c>
      <c r="F440" s="46" t="s">
        <v>17759</v>
      </c>
      <c r="G440" s="46" t="s">
        <v>50584</v>
      </c>
      <c r="H440" s="48" t="s">
        <v>56716</v>
      </c>
      <c r="I440" s="48" t="s">
        <v>50564</v>
      </c>
      <c r="J440" s="48"/>
      <c r="K440" s="50"/>
      <c r="L440" s="48" t="s">
        <v>56716</v>
      </c>
    </row>
    <row r="441" spans="1:12" s="37" customFormat="1" ht="11.25" x14ac:dyDescent="0.2">
      <c r="A441" s="46" t="s">
        <v>6117</v>
      </c>
      <c r="B441" s="46" t="s">
        <v>50965</v>
      </c>
      <c r="C441" s="58" t="str">
        <f>"10550496"</f>
        <v>10550496</v>
      </c>
      <c r="D441" s="58" t="str">
        <f>"15210391"</f>
        <v>15210391</v>
      </c>
      <c r="E441" s="46" t="s">
        <v>555</v>
      </c>
      <c r="F441" s="46" t="s">
        <v>50646</v>
      </c>
      <c r="G441" s="46" t="s">
        <v>50584</v>
      </c>
      <c r="H441" s="48" t="s">
        <v>56716</v>
      </c>
      <c r="I441" s="48" t="s">
        <v>50564</v>
      </c>
      <c r="J441" s="48"/>
      <c r="K441" s="50" t="s">
        <v>56716</v>
      </c>
      <c r="L441" s="48" t="s">
        <v>56716</v>
      </c>
    </row>
    <row r="442" spans="1:12" s="37" customFormat="1" ht="11.25" x14ac:dyDescent="0.2">
      <c r="A442" s="45" t="s">
        <v>19990</v>
      </c>
      <c r="B442" s="45" t="s">
        <v>19992</v>
      </c>
      <c r="C442" s="51" t="s">
        <v>19995</v>
      </c>
      <c r="D442" s="51" t="s">
        <v>19994</v>
      </c>
      <c r="E442" s="45" t="s">
        <v>19996</v>
      </c>
      <c r="F442" s="45" t="s">
        <v>17759</v>
      </c>
      <c r="G442" s="45" t="s">
        <v>50584</v>
      </c>
      <c r="H442" s="56"/>
      <c r="I442" s="56" t="s">
        <v>50564</v>
      </c>
      <c r="J442" s="56"/>
      <c r="K442" s="50"/>
      <c r="L442" s="56" t="s">
        <v>56716</v>
      </c>
    </row>
    <row r="443" spans="1:12" s="37" customFormat="1" ht="11.25" x14ac:dyDescent="0.2">
      <c r="A443" s="46" t="s">
        <v>9177</v>
      </c>
      <c r="B443" s="46" t="s">
        <v>50966</v>
      </c>
      <c r="C443" s="58" t="str">
        <f>"10998012"</f>
        <v>10998012</v>
      </c>
      <c r="D443" s="58" t="str">
        <f>""</f>
        <v/>
      </c>
      <c r="E443" s="46" t="s">
        <v>9179</v>
      </c>
      <c r="F443" s="46" t="s">
        <v>17759</v>
      </c>
      <c r="G443" s="46" t="s">
        <v>50584</v>
      </c>
      <c r="H443" s="48" t="s">
        <v>56716</v>
      </c>
      <c r="I443" s="48" t="s">
        <v>50564</v>
      </c>
      <c r="J443" s="48"/>
      <c r="K443" s="50"/>
      <c r="L443" s="48"/>
    </row>
    <row r="444" spans="1:12" s="37" customFormat="1" ht="11.25" x14ac:dyDescent="0.2">
      <c r="A444" s="45" t="s">
        <v>20029</v>
      </c>
      <c r="B444" s="45" t="s">
        <v>20031</v>
      </c>
      <c r="C444" s="51" t="s">
        <v>20033</v>
      </c>
      <c r="D444" s="51" t="s">
        <v>20032</v>
      </c>
      <c r="E444" s="45" t="s">
        <v>2247</v>
      </c>
      <c r="F444" s="45" t="s">
        <v>17759</v>
      </c>
      <c r="G444" s="45" t="s">
        <v>50584</v>
      </c>
      <c r="H444" s="56"/>
      <c r="I444" s="56" t="s">
        <v>50564</v>
      </c>
      <c r="J444" s="56"/>
      <c r="K444" s="50"/>
      <c r="L444" s="56" t="s">
        <v>56716</v>
      </c>
    </row>
    <row r="445" spans="1:12" s="37" customFormat="1" ht="11.25" x14ac:dyDescent="0.2">
      <c r="A445" s="46" t="s">
        <v>470</v>
      </c>
      <c r="B445" s="46" t="s">
        <v>50967</v>
      </c>
      <c r="C445" s="58" t="str">
        <f>"00031348"</f>
        <v>00031348</v>
      </c>
      <c r="D445" s="58" t="str">
        <f>""</f>
        <v/>
      </c>
      <c r="E445" s="46" t="s">
        <v>472</v>
      </c>
      <c r="F445" s="46" t="s">
        <v>17759</v>
      </c>
      <c r="G445" s="46" t="s">
        <v>50584</v>
      </c>
      <c r="H445" s="48" t="s">
        <v>56716</v>
      </c>
      <c r="I445" s="48" t="s">
        <v>50564</v>
      </c>
      <c r="J445" s="48"/>
      <c r="K445" s="50"/>
      <c r="L445" s="48" t="s">
        <v>56716</v>
      </c>
    </row>
    <row r="446" spans="1:12" s="37" customFormat="1" ht="11.25" x14ac:dyDescent="0.2">
      <c r="A446" s="45" t="s">
        <v>20049</v>
      </c>
      <c r="B446" s="45" t="s">
        <v>20051</v>
      </c>
      <c r="C446" s="51"/>
      <c r="D446" s="51" t="s">
        <v>20053</v>
      </c>
      <c r="E446" s="45" t="s">
        <v>20055</v>
      </c>
      <c r="F446" s="45" t="s">
        <v>17759</v>
      </c>
      <c r="G446" s="45" t="s">
        <v>50584</v>
      </c>
      <c r="H446" s="56"/>
      <c r="I446" s="56" t="s">
        <v>50564</v>
      </c>
      <c r="J446" s="56"/>
      <c r="K446" s="50"/>
      <c r="L446" s="56" t="s">
        <v>56716</v>
      </c>
    </row>
    <row r="447" spans="1:12" s="37" customFormat="1" ht="11.25" x14ac:dyDescent="0.2">
      <c r="A447" s="46" t="s">
        <v>5696</v>
      </c>
      <c r="B447" s="46" t="s">
        <v>5696</v>
      </c>
      <c r="C447" s="58" t="str">
        <f>"09394451"</f>
        <v>09394451</v>
      </c>
      <c r="D447" s="58" t="str">
        <f>"14382199"</f>
        <v>14382199</v>
      </c>
      <c r="E447" s="46" t="s">
        <v>55904</v>
      </c>
      <c r="F447" s="46" t="s">
        <v>18288</v>
      </c>
      <c r="G447" s="46" t="s">
        <v>50584</v>
      </c>
      <c r="H447" s="48" t="s">
        <v>56716</v>
      </c>
      <c r="I447" s="48" t="s">
        <v>50564</v>
      </c>
      <c r="J447" s="48" t="s">
        <v>56716</v>
      </c>
      <c r="K447" s="50" t="s">
        <v>56716</v>
      </c>
      <c r="L447" s="48" t="s">
        <v>56716</v>
      </c>
    </row>
    <row r="448" spans="1:12" s="37" customFormat="1" ht="11.25" x14ac:dyDescent="0.2">
      <c r="A448" s="46" t="s">
        <v>7374</v>
      </c>
      <c r="B448" s="46" t="s">
        <v>7374</v>
      </c>
      <c r="C448" s="58" t="str">
        <f>"13506129"</f>
        <v>13506129</v>
      </c>
      <c r="D448" s="58" t="str">
        <f>"17442818"</f>
        <v>17442818</v>
      </c>
      <c r="E448" s="46" t="s">
        <v>291</v>
      </c>
      <c r="F448" s="46" t="s">
        <v>50646</v>
      </c>
      <c r="G448" s="46" t="s">
        <v>50584</v>
      </c>
      <c r="H448" s="48" t="s">
        <v>56716</v>
      </c>
      <c r="I448" s="48" t="s">
        <v>50564</v>
      </c>
      <c r="J448" s="48" t="s">
        <v>56716</v>
      </c>
      <c r="K448" s="50"/>
      <c r="L448" s="48" t="s">
        <v>56716</v>
      </c>
    </row>
    <row r="449" spans="1:12" s="37" customFormat="1" ht="11.25" x14ac:dyDescent="0.2">
      <c r="A449" s="46" t="s">
        <v>4725</v>
      </c>
      <c r="B449" s="46" t="s">
        <v>50968</v>
      </c>
      <c r="C449" s="58" t="str">
        <f>"21678421"</f>
        <v>21678421</v>
      </c>
      <c r="D449" s="58" t="str">
        <f>"21679223"</f>
        <v>21679223</v>
      </c>
      <c r="E449" s="46" t="s">
        <v>291</v>
      </c>
      <c r="F449" s="46" t="s">
        <v>50646</v>
      </c>
      <c r="G449" s="46" t="s">
        <v>50584</v>
      </c>
      <c r="H449" s="48" t="s">
        <v>56716</v>
      </c>
      <c r="I449" s="48" t="s">
        <v>50564</v>
      </c>
      <c r="J449" s="48" t="s">
        <v>56716</v>
      </c>
      <c r="K449" s="50"/>
      <c r="L449" s="48" t="s">
        <v>56716</v>
      </c>
    </row>
    <row r="450" spans="1:12" s="37" customFormat="1" ht="11.25" x14ac:dyDescent="0.2">
      <c r="A450" s="46" t="s">
        <v>8867</v>
      </c>
      <c r="B450" s="46" t="s">
        <v>50969</v>
      </c>
      <c r="C450" s="58" t="str">
        <f>"13028723"</f>
        <v>13028723</v>
      </c>
      <c r="D450" s="58" t="str">
        <f>"13080032"</f>
        <v>13080032</v>
      </c>
      <c r="E450" s="46" t="s">
        <v>6173</v>
      </c>
      <c r="F450" s="46" t="s">
        <v>18396</v>
      </c>
      <c r="G450" s="46" t="s">
        <v>50584</v>
      </c>
      <c r="H450" s="48" t="s">
        <v>56716</v>
      </c>
      <c r="I450" s="48" t="s">
        <v>50564</v>
      </c>
      <c r="J450" s="48"/>
      <c r="K450" s="50"/>
      <c r="L450" s="48" t="s">
        <v>56716</v>
      </c>
    </row>
    <row r="451" spans="1:12" s="37" customFormat="1" ht="11.25" x14ac:dyDescent="0.2">
      <c r="A451" s="46" t="s">
        <v>10945</v>
      </c>
      <c r="B451" s="46" t="s">
        <v>50970</v>
      </c>
      <c r="C451" s="58" t="str">
        <f>"13026631"</f>
        <v>13026631</v>
      </c>
      <c r="D451" s="58" t="str">
        <f>""</f>
        <v/>
      </c>
      <c r="E451" s="46" t="s">
        <v>10947</v>
      </c>
      <c r="F451" s="46" t="s">
        <v>18396</v>
      </c>
      <c r="G451" s="46" t="s">
        <v>50638</v>
      </c>
      <c r="H451" s="48" t="s">
        <v>56716</v>
      </c>
      <c r="I451" s="48" t="s">
        <v>50564</v>
      </c>
      <c r="J451" s="48"/>
      <c r="K451" s="50"/>
      <c r="L451" s="48"/>
    </row>
    <row r="452" spans="1:12" s="37" customFormat="1" ht="11.25" x14ac:dyDescent="0.2">
      <c r="A452" s="46" t="s">
        <v>6434</v>
      </c>
      <c r="B452" s="46" t="s">
        <v>50971</v>
      </c>
      <c r="C452" s="58" t="str">
        <f>"0999792X"</f>
        <v>0999792X</v>
      </c>
      <c r="D452" s="58" t="str">
        <f>""</f>
        <v/>
      </c>
      <c r="E452" s="46" t="s">
        <v>6436</v>
      </c>
      <c r="F452" s="46" t="s">
        <v>20359</v>
      </c>
      <c r="G452" s="46" t="s">
        <v>50591</v>
      </c>
      <c r="H452" s="48" t="s">
        <v>56716</v>
      </c>
      <c r="I452" s="48" t="s">
        <v>50564</v>
      </c>
      <c r="J452" s="48"/>
      <c r="K452" s="50"/>
      <c r="L452" s="48"/>
    </row>
    <row r="453" spans="1:12" s="37" customFormat="1" ht="11.25" x14ac:dyDescent="0.2">
      <c r="A453" s="46" t="s">
        <v>6750</v>
      </c>
      <c r="B453" s="46" t="s">
        <v>6750</v>
      </c>
      <c r="C453" s="58" t="str">
        <f>"10759964"</f>
        <v>10759964</v>
      </c>
      <c r="D453" s="58" t="str">
        <f>"10958274"</f>
        <v>10958274</v>
      </c>
      <c r="E453" s="46" t="s">
        <v>601</v>
      </c>
      <c r="F453" s="46" t="s">
        <v>50646</v>
      </c>
      <c r="G453" s="46" t="s">
        <v>50584</v>
      </c>
      <c r="H453" s="48" t="s">
        <v>56716</v>
      </c>
      <c r="I453" s="48" t="s">
        <v>50564</v>
      </c>
      <c r="J453" s="48" t="s">
        <v>56716</v>
      </c>
      <c r="K453" s="50" t="s">
        <v>56716</v>
      </c>
      <c r="L453" s="48" t="s">
        <v>56716</v>
      </c>
    </row>
    <row r="454" spans="1:12" s="37" customFormat="1" ht="11.25" x14ac:dyDescent="0.2">
      <c r="A454" s="46" t="s">
        <v>473</v>
      </c>
      <c r="B454" s="46" t="s">
        <v>473</v>
      </c>
      <c r="C454" s="58" t="str">
        <f>"00032409"</f>
        <v>00032409</v>
      </c>
      <c r="D454" s="58" t="str">
        <f>"13652044"</f>
        <v>13652044</v>
      </c>
      <c r="E454" s="46" t="s">
        <v>35</v>
      </c>
      <c r="F454" s="46" t="s">
        <v>50646</v>
      </c>
      <c r="G454" s="46" t="s">
        <v>50584</v>
      </c>
      <c r="H454" s="48" t="s">
        <v>56716</v>
      </c>
      <c r="I454" s="48" t="s">
        <v>50564</v>
      </c>
      <c r="J454" s="48"/>
      <c r="K454" s="50" t="s">
        <v>56716</v>
      </c>
      <c r="L454" s="48" t="s">
        <v>56716</v>
      </c>
    </row>
    <row r="455" spans="1:12" s="37" customFormat="1" ht="11.25" x14ac:dyDescent="0.2">
      <c r="A455" s="46" t="s">
        <v>260</v>
      </c>
      <c r="B455" s="46" t="s">
        <v>50972</v>
      </c>
      <c r="C455" s="58" t="str">
        <f>"0310057X"</f>
        <v>0310057X</v>
      </c>
      <c r="D455" s="58" t="str">
        <f>"14480271"</f>
        <v>14480271</v>
      </c>
      <c r="E455" s="46" t="s">
        <v>263</v>
      </c>
      <c r="F455" s="46" t="s">
        <v>20082</v>
      </c>
      <c r="G455" s="46" t="s">
        <v>50584</v>
      </c>
      <c r="H455" s="48" t="s">
        <v>56716</v>
      </c>
      <c r="I455" s="48" t="s">
        <v>50564</v>
      </c>
      <c r="J455" s="48"/>
      <c r="K455" s="50"/>
      <c r="L455" s="48" t="s">
        <v>56716</v>
      </c>
    </row>
    <row r="456" spans="1:12" s="37" customFormat="1" ht="11.25" x14ac:dyDescent="0.2">
      <c r="A456" s="46" t="s">
        <v>11640</v>
      </c>
      <c r="B456" s="46" t="s">
        <v>50973</v>
      </c>
      <c r="C456" s="58" t="str">
        <f>"14720299"</f>
        <v>14720299</v>
      </c>
      <c r="D456" s="58" t="str">
        <f>"18787584"</f>
        <v>18787584</v>
      </c>
      <c r="E456" s="46" t="s">
        <v>155</v>
      </c>
      <c r="F456" s="46" t="s">
        <v>50646</v>
      </c>
      <c r="G456" s="46" t="s">
        <v>50584</v>
      </c>
      <c r="H456" s="48" t="s">
        <v>56716</v>
      </c>
      <c r="I456" s="48" t="s">
        <v>50564</v>
      </c>
      <c r="J456" s="48" t="s">
        <v>56716</v>
      </c>
      <c r="K456" s="50" t="s">
        <v>56716</v>
      </c>
      <c r="L456" s="48"/>
    </row>
    <row r="457" spans="1:12" s="37" customFormat="1" ht="11.25" x14ac:dyDescent="0.2">
      <c r="A457" s="46" t="s">
        <v>13605</v>
      </c>
      <c r="B457" s="46" t="s">
        <v>50974</v>
      </c>
      <c r="C457" s="58" t="str">
        <f>"16078322"</f>
        <v>16078322</v>
      </c>
      <c r="D457" s="58" t="str">
        <f>""</f>
        <v/>
      </c>
      <c r="E457" s="46" t="s">
        <v>13607</v>
      </c>
      <c r="F457" s="46" t="s">
        <v>34138</v>
      </c>
      <c r="G457" s="46" t="s">
        <v>50584</v>
      </c>
      <c r="H457" s="48" t="s">
        <v>56716</v>
      </c>
      <c r="I457" s="48" t="s">
        <v>50564</v>
      </c>
      <c r="J457" s="48"/>
      <c r="K457" s="50"/>
      <c r="L457" s="48"/>
    </row>
    <row r="458" spans="1:12" s="37" customFormat="1" ht="11.25" x14ac:dyDescent="0.2">
      <c r="A458" s="46" t="s">
        <v>8804</v>
      </c>
      <c r="B458" s="46" t="s">
        <v>50975</v>
      </c>
      <c r="C458" s="58" t="str">
        <f>"13104284"</f>
        <v>13104284</v>
      </c>
      <c r="D458" s="58" t="str">
        <f>""</f>
        <v/>
      </c>
      <c r="E458" s="46" t="s">
        <v>452</v>
      </c>
      <c r="F458" s="46" t="s">
        <v>19251</v>
      </c>
      <c r="G458" s="46" t="s">
        <v>50578</v>
      </c>
      <c r="H458" s="48" t="s">
        <v>56716</v>
      </c>
      <c r="I458" s="48" t="s">
        <v>50564</v>
      </c>
      <c r="J458" s="48"/>
      <c r="K458" s="50"/>
      <c r="L458" s="48"/>
    </row>
    <row r="459" spans="1:12" s="37" customFormat="1" ht="11.25" x14ac:dyDescent="0.2">
      <c r="A459" s="46" t="s">
        <v>17180</v>
      </c>
      <c r="B459" s="46" t="s">
        <v>50976</v>
      </c>
      <c r="C459" s="58" t="str">
        <f>"16425758"</f>
        <v>16425758</v>
      </c>
      <c r="D459" s="58" t="str">
        <f>"17312531"</f>
        <v>17312531</v>
      </c>
      <c r="E459" s="46" t="s">
        <v>1462</v>
      </c>
      <c r="F459" s="46" t="s">
        <v>17967</v>
      </c>
      <c r="G459" s="46" t="s">
        <v>50584</v>
      </c>
      <c r="H459" s="48" t="s">
        <v>56716</v>
      </c>
      <c r="I459" s="48" t="s">
        <v>50564</v>
      </c>
      <c r="J459" s="48"/>
      <c r="K459" s="50"/>
      <c r="L459" s="48" t="s">
        <v>56716</v>
      </c>
    </row>
    <row r="460" spans="1:12" s="37" customFormat="1" ht="11.25" x14ac:dyDescent="0.2">
      <c r="A460" s="46" t="s">
        <v>476</v>
      </c>
      <c r="B460" s="46" t="s">
        <v>476</v>
      </c>
      <c r="C460" s="58" t="str">
        <f>"00032417"</f>
        <v>00032417</v>
      </c>
      <c r="D460" s="58" t="str">
        <f>"1432055X"</f>
        <v>1432055X</v>
      </c>
      <c r="E460" s="46" t="s">
        <v>167</v>
      </c>
      <c r="F460" s="46" t="s">
        <v>18158</v>
      </c>
      <c r="G460" s="46" t="s">
        <v>50593</v>
      </c>
      <c r="H460" s="48" t="s">
        <v>56716</v>
      </c>
      <c r="I460" s="48" t="s">
        <v>50564</v>
      </c>
      <c r="J460" s="48"/>
      <c r="K460" s="50" t="s">
        <v>56716</v>
      </c>
      <c r="L460" s="48" t="s">
        <v>56716</v>
      </c>
    </row>
    <row r="461" spans="1:12" s="37" customFormat="1" ht="11.25" x14ac:dyDescent="0.2">
      <c r="A461" s="46" t="s">
        <v>71</v>
      </c>
      <c r="B461" s="46" t="s">
        <v>50977</v>
      </c>
      <c r="C461" s="58" t="str">
        <f>"03650596"</f>
        <v>03650596</v>
      </c>
      <c r="D461" s="58" t="str">
        <f>"18064841"</f>
        <v>18064841</v>
      </c>
      <c r="E461" s="46" t="s">
        <v>74</v>
      </c>
      <c r="F461" s="46" t="s">
        <v>18058</v>
      </c>
      <c r="G461" s="46" t="s">
        <v>50614</v>
      </c>
      <c r="H461" s="48" t="s">
        <v>56716</v>
      </c>
      <c r="I461" s="48" t="s">
        <v>50564</v>
      </c>
      <c r="J461" s="48"/>
      <c r="K461" s="50"/>
      <c r="L461" s="48" t="s">
        <v>56716</v>
      </c>
    </row>
    <row r="462" spans="1:12" s="37" customFormat="1" ht="11.25" x14ac:dyDescent="0.2">
      <c r="A462" s="45" t="s">
        <v>20097</v>
      </c>
      <c r="B462" s="45" t="s">
        <v>20099</v>
      </c>
      <c r="C462" s="51" t="s">
        <v>20101</v>
      </c>
      <c r="D462" s="51" t="s">
        <v>20100</v>
      </c>
      <c r="E462" s="45" t="s">
        <v>20102</v>
      </c>
      <c r="F462" s="45" t="s">
        <v>18058</v>
      </c>
      <c r="G462" s="45" t="s">
        <v>50611</v>
      </c>
      <c r="H462" s="56"/>
      <c r="I462" s="56" t="s">
        <v>50564</v>
      </c>
      <c r="J462" s="56"/>
      <c r="K462" s="50"/>
      <c r="L462" s="56" t="s">
        <v>56716</v>
      </c>
    </row>
    <row r="463" spans="1:12" s="37" customFormat="1" ht="11.25" x14ac:dyDescent="0.2">
      <c r="A463" s="46" t="s">
        <v>612</v>
      </c>
      <c r="B463" s="46" t="s">
        <v>50978</v>
      </c>
      <c r="C463" s="58" t="str">
        <f>"00340634"</f>
        <v>00340634</v>
      </c>
      <c r="D463" s="58" t="str">
        <f>"1697428X"</f>
        <v>1697428X</v>
      </c>
      <c r="E463" s="46" t="s">
        <v>614</v>
      </c>
      <c r="F463" s="46" t="s">
        <v>18439</v>
      </c>
      <c r="G463" s="46" t="s">
        <v>50632</v>
      </c>
      <c r="H463" s="48" t="s">
        <v>56716</v>
      </c>
      <c r="I463" s="48" t="s">
        <v>50564</v>
      </c>
      <c r="J463" s="48"/>
      <c r="K463" s="50"/>
      <c r="L463" s="48" t="s">
        <v>56716</v>
      </c>
    </row>
    <row r="464" spans="1:12" s="37" customFormat="1" ht="11.25" x14ac:dyDescent="0.2">
      <c r="A464" s="46" t="s">
        <v>12089</v>
      </c>
      <c r="B464" s="46" t="s">
        <v>50979</v>
      </c>
      <c r="C464" s="58" t="str">
        <f>"18875890"</f>
        <v>18875890</v>
      </c>
      <c r="D464" s="58" t="str">
        <f>"20138431"</f>
        <v>20138431</v>
      </c>
      <c r="E464" s="46" t="s">
        <v>56460</v>
      </c>
      <c r="F464" s="46" t="s">
        <v>18439</v>
      </c>
      <c r="G464" s="46" t="s">
        <v>50632</v>
      </c>
      <c r="H464" s="48" t="s">
        <v>56716</v>
      </c>
      <c r="I464" s="48" t="s">
        <v>50564</v>
      </c>
      <c r="J464" s="48"/>
      <c r="K464" s="50"/>
      <c r="L464" s="48"/>
    </row>
    <row r="465" spans="1:12" s="37" customFormat="1" ht="11.25" x14ac:dyDescent="0.2">
      <c r="A465" s="46" t="s">
        <v>9574</v>
      </c>
      <c r="B465" s="46" t="s">
        <v>50980</v>
      </c>
      <c r="C465" s="58" t="str">
        <f>"16954033"</f>
        <v>16954033</v>
      </c>
      <c r="D465" s="58" t="str">
        <f>"16959531"</f>
        <v>16959531</v>
      </c>
      <c r="E465" s="46" t="s">
        <v>175</v>
      </c>
      <c r="F465" s="46" t="s">
        <v>18439</v>
      </c>
      <c r="G465" s="46" t="s">
        <v>50584</v>
      </c>
      <c r="H465" s="48" t="s">
        <v>56716</v>
      </c>
      <c r="I465" s="48" t="s">
        <v>50564</v>
      </c>
      <c r="J465" s="48"/>
      <c r="K465" s="50" t="s">
        <v>56716</v>
      </c>
      <c r="L465" s="48" t="s">
        <v>56716</v>
      </c>
    </row>
    <row r="466" spans="1:12" s="37" customFormat="1" ht="11.25" x14ac:dyDescent="0.2">
      <c r="A466" s="46" t="s">
        <v>13309</v>
      </c>
      <c r="B466" s="46" t="s">
        <v>50981</v>
      </c>
      <c r="C466" s="58" t="str">
        <f>"16962818"</f>
        <v>16962818</v>
      </c>
      <c r="D466" s="58" t="str">
        <f>"16964608"</f>
        <v>16964608</v>
      </c>
      <c r="E466" s="46" t="s">
        <v>175</v>
      </c>
      <c r="F466" s="46" t="s">
        <v>18439</v>
      </c>
      <c r="G466" s="46" t="s">
        <v>50632</v>
      </c>
      <c r="H466" s="48" t="s">
        <v>56716</v>
      </c>
      <c r="I466" s="48" t="s">
        <v>50564</v>
      </c>
      <c r="J466" s="48"/>
      <c r="K466" s="50"/>
      <c r="L466" s="48"/>
    </row>
    <row r="467" spans="1:12" s="37" customFormat="1" ht="11.25" x14ac:dyDescent="0.2">
      <c r="A467" s="46" t="s">
        <v>7676</v>
      </c>
      <c r="B467" s="46" t="s">
        <v>50982</v>
      </c>
      <c r="C467" s="58" t="str">
        <f>"11376627"</f>
        <v>11376627</v>
      </c>
      <c r="D467" s="58" t="str">
        <f>""</f>
        <v/>
      </c>
      <c r="E467" s="46" t="s">
        <v>7678</v>
      </c>
      <c r="F467" s="46" t="s">
        <v>18439</v>
      </c>
      <c r="G467" s="46" t="s">
        <v>50632</v>
      </c>
      <c r="H467" s="48" t="s">
        <v>56716</v>
      </c>
      <c r="I467" s="48" t="s">
        <v>50564</v>
      </c>
      <c r="J467" s="48"/>
      <c r="K467" s="50"/>
      <c r="L467" s="48" t="s">
        <v>56716</v>
      </c>
    </row>
    <row r="468" spans="1:12" s="37" customFormat="1" ht="11.25" x14ac:dyDescent="0.2">
      <c r="A468" s="46" t="s">
        <v>88</v>
      </c>
      <c r="B468" s="46" t="s">
        <v>50983</v>
      </c>
      <c r="C468" s="58" t="str">
        <f>"00032670"</f>
        <v>00032670</v>
      </c>
      <c r="D468" s="58" t="str">
        <f>"18734324"</f>
        <v>18734324</v>
      </c>
      <c r="E468" s="46" t="s">
        <v>91</v>
      </c>
      <c r="F468" s="46" t="s">
        <v>18001</v>
      </c>
      <c r="G468" s="46" t="s">
        <v>50594</v>
      </c>
      <c r="H468" s="48" t="s">
        <v>56716</v>
      </c>
      <c r="I468" s="48" t="s">
        <v>50564</v>
      </c>
      <c r="J468" s="48" t="s">
        <v>56716</v>
      </c>
      <c r="K468" s="50" t="s">
        <v>56716</v>
      </c>
      <c r="L468" s="48" t="s">
        <v>56716</v>
      </c>
    </row>
    <row r="469" spans="1:12" s="37" customFormat="1" ht="11.25" x14ac:dyDescent="0.2">
      <c r="A469" s="45" t="s">
        <v>20141</v>
      </c>
      <c r="B469" s="45" t="s">
        <v>20143</v>
      </c>
      <c r="C469" s="51" t="s">
        <v>20146</v>
      </c>
      <c r="D469" s="51" t="s">
        <v>20145</v>
      </c>
      <c r="E469" s="45" t="s">
        <v>17089</v>
      </c>
      <c r="F469" s="45" t="s">
        <v>18158</v>
      </c>
      <c r="G469" s="45" t="s">
        <v>50584</v>
      </c>
      <c r="H469" s="56"/>
      <c r="I469" s="56" t="s">
        <v>50564</v>
      </c>
      <c r="J469" s="56"/>
      <c r="K469" s="50"/>
      <c r="L469" s="56" t="s">
        <v>56716</v>
      </c>
    </row>
    <row r="470" spans="1:12" s="37" customFormat="1" ht="11.25" x14ac:dyDescent="0.2">
      <c r="A470" s="46" t="s">
        <v>605</v>
      </c>
      <c r="B470" s="46" t="s">
        <v>50984</v>
      </c>
      <c r="C470" s="58" t="str">
        <f>"08846812"</f>
        <v>08846812</v>
      </c>
      <c r="D470" s="58" t="str">
        <f>""</f>
        <v/>
      </c>
      <c r="E470" s="46" t="s">
        <v>607</v>
      </c>
      <c r="F470" s="46" t="s">
        <v>17759</v>
      </c>
      <c r="G470" s="46" t="s">
        <v>50584</v>
      </c>
      <c r="H470" s="48" t="s">
        <v>56716</v>
      </c>
      <c r="I470" s="48" t="s">
        <v>50564</v>
      </c>
      <c r="J470" s="48" t="s">
        <v>56716</v>
      </c>
      <c r="K470" s="50"/>
      <c r="L470" s="48"/>
    </row>
    <row r="471" spans="1:12" s="37" customFormat="1" ht="11.25" x14ac:dyDescent="0.2">
      <c r="A471" s="45" t="s">
        <v>56514</v>
      </c>
      <c r="B471" s="45" t="s">
        <v>56515</v>
      </c>
      <c r="C471" s="51"/>
      <c r="D471" s="51"/>
      <c r="E471" s="45" t="s">
        <v>56516</v>
      </c>
      <c r="F471" s="45" t="s">
        <v>17759</v>
      </c>
      <c r="G471" s="45" t="s">
        <v>50584</v>
      </c>
      <c r="H471" s="56"/>
      <c r="I471" s="56" t="s">
        <v>50564</v>
      </c>
      <c r="J471" s="56"/>
      <c r="K471" s="50"/>
      <c r="L471" s="56" t="s">
        <v>56716</v>
      </c>
    </row>
    <row r="472" spans="1:12" s="37" customFormat="1" ht="11.25" x14ac:dyDescent="0.2">
      <c r="A472" s="46" t="s">
        <v>479</v>
      </c>
      <c r="B472" s="46" t="s">
        <v>50985</v>
      </c>
      <c r="C472" s="58" t="str">
        <f>"00032697"</f>
        <v>00032697</v>
      </c>
      <c r="D472" s="58" t="str">
        <f>"10960309"</f>
        <v>10960309</v>
      </c>
      <c r="E472" s="46" t="s">
        <v>60</v>
      </c>
      <c r="F472" s="46" t="s">
        <v>17759</v>
      </c>
      <c r="G472" s="46" t="s">
        <v>50584</v>
      </c>
      <c r="H472" s="48" t="s">
        <v>56716</v>
      </c>
      <c r="I472" s="48" t="s">
        <v>50564</v>
      </c>
      <c r="J472" s="48" t="s">
        <v>56716</v>
      </c>
      <c r="K472" s="50" t="s">
        <v>56716</v>
      </c>
      <c r="L472" s="48" t="s">
        <v>56716</v>
      </c>
    </row>
    <row r="473" spans="1:12" s="37" customFormat="1" ht="11.25" x14ac:dyDescent="0.2">
      <c r="A473" s="46" t="s">
        <v>15379</v>
      </c>
      <c r="B473" s="46" t="s">
        <v>50986</v>
      </c>
      <c r="C473" s="58" t="str">
        <f>"22107177"</f>
        <v>22107177</v>
      </c>
      <c r="D473" s="58" t="str">
        <f>"22107185"</f>
        <v>22107185</v>
      </c>
      <c r="E473" s="46" t="s">
        <v>1412</v>
      </c>
      <c r="F473" s="46" t="s">
        <v>17759</v>
      </c>
      <c r="G473" s="46" t="s">
        <v>50584</v>
      </c>
      <c r="H473" s="48" t="s">
        <v>56716</v>
      </c>
      <c r="I473" s="48" t="s">
        <v>50564</v>
      </c>
      <c r="J473" s="48" t="s">
        <v>56716</v>
      </c>
      <c r="K473" s="50"/>
      <c r="L473" s="48" t="s">
        <v>56716</v>
      </c>
    </row>
    <row r="474" spans="1:12" s="37" customFormat="1" ht="11.25" x14ac:dyDescent="0.2">
      <c r="A474" s="45" t="s">
        <v>20166</v>
      </c>
      <c r="B474" s="45" t="s">
        <v>20168</v>
      </c>
      <c r="C474" s="51" t="s">
        <v>20171</v>
      </c>
      <c r="D474" s="51" t="s">
        <v>20170</v>
      </c>
      <c r="E474" s="45" t="s">
        <v>17881</v>
      </c>
      <c r="F474" s="45" t="s">
        <v>17759</v>
      </c>
      <c r="G474" s="45" t="s">
        <v>50584</v>
      </c>
      <c r="H474" s="56"/>
      <c r="I474" s="56" t="s">
        <v>50564</v>
      </c>
      <c r="J474" s="56"/>
      <c r="K474" s="50"/>
      <c r="L474" s="56" t="s">
        <v>56716</v>
      </c>
    </row>
    <row r="475" spans="1:12" s="37" customFormat="1" ht="11.25" x14ac:dyDescent="0.2">
      <c r="A475" s="45" t="s">
        <v>20174</v>
      </c>
      <c r="B475" s="45" t="s">
        <v>20176</v>
      </c>
      <c r="C475" s="51" t="s">
        <v>20178</v>
      </c>
      <c r="D475" s="51" t="s">
        <v>20177</v>
      </c>
      <c r="E475" s="45" t="s">
        <v>20179</v>
      </c>
      <c r="F475" s="45" t="s">
        <v>18242</v>
      </c>
      <c r="G475" s="45" t="s">
        <v>50584</v>
      </c>
      <c r="H475" s="56"/>
      <c r="I475" s="56" t="s">
        <v>50564</v>
      </c>
      <c r="J475" s="56"/>
      <c r="K475" s="50"/>
      <c r="L475" s="56" t="s">
        <v>56716</v>
      </c>
    </row>
    <row r="476" spans="1:12" s="37" customFormat="1" ht="11.25" x14ac:dyDescent="0.2">
      <c r="A476" s="46" t="s">
        <v>5556</v>
      </c>
      <c r="B476" s="46" t="s">
        <v>50987</v>
      </c>
      <c r="C476" s="58" t="str">
        <f>"09392661"</f>
        <v>09392661</v>
      </c>
      <c r="D476" s="58" t="str">
        <f>"14391074"</f>
        <v>14391074</v>
      </c>
      <c r="E476" s="46" t="s">
        <v>412</v>
      </c>
      <c r="F476" s="46" t="s">
        <v>18158</v>
      </c>
      <c r="G476" s="46" t="s">
        <v>50593</v>
      </c>
      <c r="H476" s="48" t="s">
        <v>56716</v>
      </c>
      <c r="I476" s="48" t="s">
        <v>50564</v>
      </c>
      <c r="J476" s="48"/>
      <c r="K476" s="50"/>
      <c r="L476" s="48" t="s">
        <v>56716</v>
      </c>
    </row>
    <row r="477" spans="1:12" s="37" customFormat="1" ht="11.25" x14ac:dyDescent="0.2">
      <c r="A477" s="46" t="s">
        <v>504</v>
      </c>
      <c r="B477" s="46" t="s">
        <v>50988</v>
      </c>
      <c r="C477" s="58" t="str">
        <f>"01705334"</f>
        <v>01705334</v>
      </c>
      <c r="D477" s="58" t="str">
        <f>"14390256"</f>
        <v>14390256</v>
      </c>
      <c r="E477" s="46" t="s">
        <v>507</v>
      </c>
      <c r="F477" s="46" t="s">
        <v>18158</v>
      </c>
      <c r="G477" s="46" t="s">
        <v>50593</v>
      </c>
      <c r="H477" s="48" t="s">
        <v>56716</v>
      </c>
      <c r="I477" s="48" t="s">
        <v>50564</v>
      </c>
      <c r="J477" s="48"/>
      <c r="K477" s="50"/>
      <c r="L477" s="48"/>
    </row>
    <row r="478" spans="1:12" s="37" customFormat="1" ht="11.25" x14ac:dyDescent="0.2">
      <c r="A478" s="46" t="s">
        <v>12466</v>
      </c>
      <c r="B478" s="46" t="s">
        <v>50989</v>
      </c>
      <c r="C478" s="58" t="str">
        <f>"13068814"</f>
        <v>13068814</v>
      </c>
      <c r="D478" s="58" t="str">
        <f>"13071173"</f>
        <v>13071173</v>
      </c>
      <c r="E478" s="46" t="s">
        <v>12466</v>
      </c>
      <c r="F478" s="46" t="s">
        <v>18396</v>
      </c>
      <c r="G478" s="46" t="s">
        <v>50584</v>
      </c>
      <c r="H478" s="48" t="s">
        <v>56716</v>
      </c>
      <c r="I478" s="48" t="s">
        <v>50564</v>
      </c>
      <c r="J478" s="48"/>
      <c r="K478" s="50"/>
      <c r="L478" s="48"/>
    </row>
    <row r="479" spans="1:12" s="37" customFormat="1" ht="11.25" x14ac:dyDescent="0.2">
      <c r="A479" s="45" t="s">
        <v>20188</v>
      </c>
      <c r="B479" s="45" t="s">
        <v>20190</v>
      </c>
      <c r="C479" s="51" t="s">
        <v>20193</v>
      </c>
      <c r="D479" s="51" t="s">
        <v>20192</v>
      </c>
      <c r="E479" s="45" t="s">
        <v>970</v>
      </c>
      <c r="F479" s="45" t="s">
        <v>18158</v>
      </c>
      <c r="G479" s="45" t="s">
        <v>50584</v>
      </c>
      <c r="H479" s="56"/>
      <c r="I479" s="56" t="s">
        <v>50564</v>
      </c>
      <c r="J479" s="56"/>
      <c r="K479" s="50"/>
      <c r="L479" s="56" t="s">
        <v>56716</v>
      </c>
    </row>
    <row r="480" spans="1:12" s="37" customFormat="1" ht="11.25" x14ac:dyDescent="0.2">
      <c r="A480" s="45" t="s">
        <v>20196</v>
      </c>
      <c r="B480" s="45" t="s">
        <v>20198</v>
      </c>
      <c r="C480" s="51" t="s">
        <v>20200</v>
      </c>
      <c r="D480" s="51"/>
      <c r="E480" s="45" t="s">
        <v>20201</v>
      </c>
      <c r="F480" s="45" t="s">
        <v>17759</v>
      </c>
      <c r="G480" s="45" t="s">
        <v>50584</v>
      </c>
      <c r="H480" s="56"/>
      <c r="I480" s="56" t="s">
        <v>50564</v>
      </c>
      <c r="J480" s="56"/>
      <c r="K480" s="50"/>
      <c r="L480" s="56" t="s">
        <v>56716</v>
      </c>
    </row>
    <row r="481" spans="1:12" s="37" customFormat="1" ht="11.25" x14ac:dyDescent="0.2">
      <c r="A481" s="46" t="s">
        <v>11762</v>
      </c>
      <c r="B481" s="46" t="s">
        <v>50990</v>
      </c>
      <c r="C481" s="58" t="str">
        <f>"19328486"</f>
        <v>19328486</v>
      </c>
      <c r="D481" s="58" t="str">
        <f>"19328494"</f>
        <v>19328494</v>
      </c>
      <c r="E481" s="46" t="s">
        <v>548</v>
      </c>
      <c r="F481" s="46" t="s">
        <v>17759</v>
      </c>
      <c r="G481" s="46" t="s">
        <v>50584</v>
      </c>
      <c r="H481" s="48" t="s">
        <v>56716</v>
      </c>
      <c r="I481" s="48" t="s">
        <v>50564</v>
      </c>
      <c r="J481" s="48" t="s">
        <v>56716</v>
      </c>
      <c r="K481" s="50" t="s">
        <v>56716</v>
      </c>
      <c r="L481" s="48" t="s">
        <v>56716</v>
      </c>
    </row>
    <row r="482" spans="1:12" s="37" customFormat="1" ht="11.25" x14ac:dyDescent="0.2">
      <c r="A482" s="46" t="s">
        <v>9517</v>
      </c>
      <c r="B482" s="46" t="s">
        <v>50991</v>
      </c>
      <c r="C482" s="58" t="str">
        <f>"14476959"</f>
        <v>14476959</v>
      </c>
      <c r="D482" s="58" t="str">
        <f>"1447073X"</f>
        <v>1447073X</v>
      </c>
      <c r="E482" s="46" t="s">
        <v>23335</v>
      </c>
      <c r="F482" s="46" t="s">
        <v>18242</v>
      </c>
      <c r="G482" s="46" t="s">
        <v>50584</v>
      </c>
      <c r="H482" s="48" t="s">
        <v>56716</v>
      </c>
      <c r="I482" s="48" t="s">
        <v>50564</v>
      </c>
      <c r="J482" s="48" t="s">
        <v>56716</v>
      </c>
      <c r="K482" s="50" t="s">
        <v>56716</v>
      </c>
      <c r="L482" s="48" t="s">
        <v>56716</v>
      </c>
    </row>
    <row r="483" spans="1:12" s="37" customFormat="1" ht="11.25" x14ac:dyDescent="0.2">
      <c r="A483" s="45" t="s">
        <v>20215</v>
      </c>
      <c r="B483" s="45" t="s">
        <v>20217</v>
      </c>
      <c r="C483" s="51" t="s">
        <v>20219</v>
      </c>
      <c r="D483" s="51" t="s">
        <v>20218</v>
      </c>
      <c r="E483" s="45" t="s">
        <v>20220</v>
      </c>
      <c r="F483" s="45" t="s">
        <v>17759</v>
      </c>
      <c r="G483" s="45" t="s">
        <v>50584</v>
      </c>
      <c r="H483" s="56"/>
      <c r="I483" s="56" t="s">
        <v>50564</v>
      </c>
      <c r="J483" s="56"/>
      <c r="K483" s="50"/>
      <c r="L483" s="56" t="s">
        <v>56716</v>
      </c>
    </row>
    <row r="484" spans="1:12" s="37" customFormat="1" ht="11.25" x14ac:dyDescent="0.2">
      <c r="A484" s="46" t="s">
        <v>482</v>
      </c>
      <c r="B484" s="46" t="s">
        <v>482</v>
      </c>
      <c r="C484" s="58" t="str">
        <f>"03034569"</f>
        <v>03034569</v>
      </c>
      <c r="D484" s="58" t="str">
        <f>"14390272"</f>
        <v>14390272</v>
      </c>
      <c r="E484" s="46" t="s">
        <v>35</v>
      </c>
      <c r="F484" s="46" t="s">
        <v>50646</v>
      </c>
      <c r="G484" s="46" t="s">
        <v>50592</v>
      </c>
      <c r="H484" s="48" t="s">
        <v>56716</v>
      </c>
      <c r="I484" s="48" t="s">
        <v>50564</v>
      </c>
      <c r="J484" s="48"/>
      <c r="K484" s="50" t="s">
        <v>56716</v>
      </c>
      <c r="L484" s="48" t="s">
        <v>56716</v>
      </c>
    </row>
    <row r="485" spans="1:12" s="37" customFormat="1" ht="11.25" x14ac:dyDescent="0.2">
      <c r="A485" s="46" t="s">
        <v>17036</v>
      </c>
      <c r="B485" s="46" t="s">
        <v>17036</v>
      </c>
      <c r="C485" s="58" t="str">
        <f>"20472919"</f>
        <v>20472919</v>
      </c>
      <c r="D485" s="58" t="str">
        <f>"20472927"</f>
        <v>20472927</v>
      </c>
      <c r="E485" s="46" t="s">
        <v>35</v>
      </c>
      <c r="F485" s="46" t="s">
        <v>50646</v>
      </c>
      <c r="G485" s="46" t="s">
        <v>50584</v>
      </c>
      <c r="H485" s="48" t="s">
        <v>56716</v>
      </c>
      <c r="I485" s="48" t="s">
        <v>50564</v>
      </c>
      <c r="J485" s="48" t="s">
        <v>56716</v>
      </c>
      <c r="K485" s="50" t="s">
        <v>56716</v>
      </c>
      <c r="L485" s="48" t="s">
        <v>56716</v>
      </c>
    </row>
    <row r="486" spans="1:12" s="37" customFormat="1" ht="11.25" x14ac:dyDescent="0.2">
      <c r="A486" s="46" t="s">
        <v>9128</v>
      </c>
      <c r="B486" s="46" t="s">
        <v>50992</v>
      </c>
      <c r="C486" s="58" t="str">
        <f>"13000578"</f>
        <v>13000578</v>
      </c>
      <c r="D486" s="58" t="str">
        <f>""</f>
        <v/>
      </c>
      <c r="E486" s="46" t="s">
        <v>9128</v>
      </c>
      <c r="F486" s="46" t="s">
        <v>18396</v>
      </c>
      <c r="G486" s="46" t="s">
        <v>50638</v>
      </c>
      <c r="H486" s="48" t="s">
        <v>56716</v>
      </c>
      <c r="I486" s="48" t="s">
        <v>50564</v>
      </c>
      <c r="J486" s="48"/>
      <c r="K486" s="50"/>
      <c r="L486" s="48"/>
    </row>
    <row r="487" spans="1:12" s="37" customFormat="1" ht="11.25" x14ac:dyDescent="0.2">
      <c r="A487" s="46" t="s">
        <v>9814</v>
      </c>
      <c r="B487" s="46" t="s">
        <v>50993</v>
      </c>
      <c r="C487" s="58" t="str">
        <f>"12142158"</f>
        <v>12142158</v>
      </c>
      <c r="D487" s="58" t="str">
        <f>""</f>
        <v/>
      </c>
      <c r="E487" s="46" t="s">
        <v>1130</v>
      </c>
      <c r="F487" s="46" t="s">
        <v>18025</v>
      </c>
      <c r="G487" s="46" t="s">
        <v>50581</v>
      </c>
      <c r="H487" s="48" t="s">
        <v>56716</v>
      </c>
      <c r="I487" s="48" t="s">
        <v>50564</v>
      </c>
      <c r="J487" s="48"/>
      <c r="K487" s="50"/>
      <c r="L487" s="48"/>
    </row>
    <row r="488" spans="1:12" s="37" customFormat="1" ht="11.25" x14ac:dyDescent="0.2">
      <c r="A488" s="45" t="s">
        <v>20231</v>
      </c>
      <c r="B488" s="45" t="s">
        <v>20233</v>
      </c>
      <c r="C488" s="51" t="s">
        <v>20235</v>
      </c>
      <c r="D488" s="51"/>
      <c r="E488" s="45" t="s">
        <v>20236</v>
      </c>
      <c r="F488" s="45" t="s">
        <v>50653</v>
      </c>
      <c r="G488" s="45" t="s">
        <v>56509</v>
      </c>
      <c r="H488" s="56"/>
      <c r="I488" s="56" t="s">
        <v>50564</v>
      </c>
      <c r="J488" s="56"/>
      <c r="K488" s="50"/>
      <c r="L488" s="56" t="s">
        <v>56716</v>
      </c>
    </row>
    <row r="489" spans="1:12" s="37" customFormat="1" ht="11.25" x14ac:dyDescent="0.2">
      <c r="A489" s="46" t="s">
        <v>25</v>
      </c>
      <c r="B489" s="46" t="s">
        <v>50994</v>
      </c>
      <c r="C489" s="58" t="str">
        <f>"00032999"</f>
        <v>00032999</v>
      </c>
      <c r="D489" s="58" t="str">
        <f>"15267598"</f>
        <v>15267598</v>
      </c>
      <c r="E489" s="46" t="s">
        <v>28</v>
      </c>
      <c r="F489" s="46" t="s">
        <v>17759</v>
      </c>
      <c r="G489" s="46" t="s">
        <v>50584</v>
      </c>
      <c r="H489" s="48" t="s">
        <v>56716</v>
      </c>
      <c r="I489" s="48" t="s">
        <v>50564</v>
      </c>
      <c r="J489" s="48" t="s">
        <v>56716</v>
      </c>
      <c r="K489" s="50" t="s">
        <v>56716</v>
      </c>
      <c r="L489" s="48" t="s">
        <v>56716</v>
      </c>
    </row>
    <row r="490" spans="1:12" s="37" customFormat="1" ht="11.25" x14ac:dyDescent="0.2">
      <c r="A490" s="46" t="s">
        <v>6488</v>
      </c>
      <c r="B490" s="46" t="s">
        <v>50995</v>
      </c>
      <c r="C490" s="58" t="str">
        <f>"03851664"</f>
        <v>03851664</v>
      </c>
      <c r="D490" s="58" t="str">
        <f>""</f>
        <v/>
      </c>
      <c r="E490" s="46" t="s">
        <v>1814</v>
      </c>
      <c r="F490" s="46" t="s">
        <v>18242</v>
      </c>
      <c r="G490" s="46" t="s">
        <v>50605</v>
      </c>
      <c r="H490" s="48" t="s">
        <v>56716</v>
      </c>
      <c r="I490" s="48" t="s">
        <v>50564</v>
      </c>
      <c r="J490" s="48"/>
      <c r="K490" s="50"/>
      <c r="L490" s="48"/>
    </row>
    <row r="491" spans="1:12" s="37" customFormat="1" ht="11.25" x14ac:dyDescent="0.2">
      <c r="A491" s="45" t="s">
        <v>20244</v>
      </c>
      <c r="B491" s="45" t="s">
        <v>20246</v>
      </c>
      <c r="C491" s="51" t="s">
        <v>20248</v>
      </c>
      <c r="D491" s="51"/>
      <c r="E491" s="45" t="s">
        <v>20249</v>
      </c>
      <c r="F491" s="45" t="s">
        <v>17759</v>
      </c>
      <c r="G491" s="45" t="s">
        <v>50584</v>
      </c>
      <c r="H491" s="56"/>
      <c r="I491" s="56" t="s">
        <v>50564</v>
      </c>
      <c r="J491" s="56"/>
      <c r="K491" s="50"/>
      <c r="L491" s="56" t="s">
        <v>56716</v>
      </c>
    </row>
    <row r="492" spans="1:12" s="37" customFormat="1" ht="11.25" x14ac:dyDescent="0.2">
      <c r="A492" s="46" t="s">
        <v>56467</v>
      </c>
      <c r="B492" s="46" t="s">
        <v>56468</v>
      </c>
      <c r="C492" s="58" t="str">
        <f>"23525800"</f>
        <v>23525800</v>
      </c>
      <c r="D492" s="58" t="str">
        <f>"23525819"</f>
        <v>23525819</v>
      </c>
      <c r="E492" s="46" t="s">
        <v>4659</v>
      </c>
      <c r="F492" s="46" t="s">
        <v>17991</v>
      </c>
      <c r="G492" s="46" t="s">
        <v>50591</v>
      </c>
      <c r="H492" s="48" t="s">
        <v>56716</v>
      </c>
      <c r="I492" s="48" t="s">
        <v>50564</v>
      </c>
      <c r="J492" s="48"/>
      <c r="K492" s="50" t="s">
        <v>56716</v>
      </c>
      <c r="L492" s="48"/>
    </row>
    <row r="493" spans="1:12" s="37" customFormat="1" ht="11.25" x14ac:dyDescent="0.2">
      <c r="A493" s="46" t="s">
        <v>487</v>
      </c>
      <c r="B493" s="46" t="s">
        <v>487</v>
      </c>
      <c r="C493" s="58" t="str">
        <f>"00033022"</f>
        <v>00033022</v>
      </c>
      <c r="D493" s="58" t="str">
        <f>"15281175"</f>
        <v>15281175</v>
      </c>
      <c r="E493" s="46" t="s">
        <v>28</v>
      </c>
      <c r="F493" s="46" t="s">
        <v>17759</v>
      </c>
      <c r="G493" s="46" t="s">
        <v>50584</v>
      </c>
      <c r="H493" s="48" t="s">
        <v>56716</v>
      </c>
      <c r="I493" s="48" t="s">
        <v>50564</v>
      </c>
      <c r="J493" s="48" t="s">
        <v>56716</v>
      </c>
      <c r="K493" s="50" t="s">
        <v>56716</v>
      </c>
      <c r="L493" s="48" t="s">
        <v>56716</v>
      </c>
    </row>
    <row r="494" spans="1:12" s="37" customFormat="1" ht="11.25" x14ac:dyDescent="0.2">
      <c r="A494" s="46" t="s">
        <v>56133</v>
      </c>
      <c r="B494" s="46" t="s">
        <v>56134</v>
      </c>
      <c r="C494" s="58" t="str">
        <f>"22287523"</f>
        <v>22287523</v>
      </c>
      <c r="D494" s="58" t="str">
        <f>"22287531"</f>
        <v>22287531</v>
      </c>
      <c r="E494" s="46" t="s">
        <v>55898</v>
      </c>
      <c r="F494" s="46" t="s">
        <v>18232</v>
      </c>
      <c r="G494" s="46" t="s">
        <v>50584</v>
      </c>
      <c r="H494" s="48" t="s">
        <v>56716</v>
      </c>
      <c r="I494" s="48" t="s">
        <v>50564</v>
      </c>
      <c r="J494" s="48"/>
      <c r="K494" s="50"/>
      <c r="L494" s="48"/>
    </row>
    <row r="495" spans="1:12" s="37" customFormat="1" ht="11.25" x14ac:dyDescent="0.2">
      <c r="A495" s="46" t="s">
        <v>11646</v>
      </c>
      <c r="B495" s="46" t="s">
        <v>50996</v>
      </c>
      <c r="C495" s="58" t="str">
        <f>"19322275"</f>
        <v>19322275</v>
      </c>
      <c r="D495" s="58" t="str">
        <f>"22103538"</f>
        <v>22103538</v>
      </c>
      <c r="E495" s="46" t="s">
        <v>303</v>
      </c>
      <c r="F495" s="46" t="s">
        <v>17759</v>
      </c>
      <c r="G495" s="46" t="s">
        <v>50584</v>
      </c>
      <c r="H495" s="48" t="s">
        <v>56716</v>
      </c>
      <c r="I495" s="48" t="s">
        <v>50564</v>
      </c>
      <c r="J495" s="48"/>
      <c r="K495" s="50" t="s">
        <v>56716</v>
      </c>
      <c r="L495" s="48" t="s">
        <v>56716</v>
      </c>
    </row>
    <row r="496" spans="1:12" s="37" customFormat="1" ht="11.25" x14ac:dyDescent="0.2">
      <c r="A496" s="46" t="s">
        <v>12406</v>
      </c>
      <c r="B496" s="46" t="s">
        <v>50997</v>
      </c>
      <c r="C496" s="58" t="str">
        <f>"16876962"</f>
        <v>16876962</v>
      </c>
      <c r="D496" s="58" t="str">
        <f>"16876970"</f>
        <v>16876970</v>
      </c>
      <c r="E496" s="46" t="s">
        <v>1412</v>
      </c>
      <c r="F496" s="46" t="s">
        <v>17759</v>
      </c>
      <c r="G496" s="46" t="s">
        <v>50584</v>
      </c>
      <c r="H496" s="48" t="s">
        <v>56716</v>
      </c>
      <c r="I496" s="48" t="s">
        <v>50564</v>
      </c>
      <c r="J496" s="48" t="s">
        <v>56716</v>
      </c>
      <c r="K496" s="50"/>
      <c r="L496" s="48"/>
    </row>
    <row r="497" spans="1:12" s="37" customFormat="1" ht="11.25" x14ac:dyDescent="0.2">
      <c r="A497" s="46" t="s">
        <v>227</v>
      </c>
      <c r="B497" s="46" t="s">
        <v>227</v>
      </c>
      <c r="C497" s="58" t="str">
        <f>"00033049"</f>
        <v>00033049</v>
      </c>
      <c r="D497" s="58" t="str">
        <f>""</f>
        <v/>
      </c>
      <c r="E497" s="46" t="s">
        <v>229</v>
      </c>
      <c r="F497" s="46" t="s">
        <v>20359</v>
      </c>
      <c r="G497" s="46" t="s">
        <v>50591</v>
      </c>
      <c r="H497" s="48" t="s">
        <v>56716</v>
      </c>
      <c r="I497" s="48" t="s">
        <v>50564</v>
      </c>
      <c r="J497" s="48"/>
      <c r="K497" s="50"/>
      <c r="L497" s="48"/>
    </row>
    <row r="498" spans="1:12" s="37" customFormat="1" ht="11.25" x14ac:dyDescent="0.2">
      <c r="A498" s="45" t="s">
        <v>20261</v>
      </c>
      <c r="B498" s="45" t="s">
        <v>20263</v>
      </c>
      <c r="C498" s="51" t="s">
        <v>20266</v>
      </c>
      <c r="D498" s="51" t="s">
        <v>20265</v>
      </c>
      <c r="E498" s="45" t="s">
        <v>18712</v>
      </c>
      <c r="F498" s="45" t="s">
        <v>18158</v>
      </c>
      <c r="G498" s="45" t="s">
        <v>50584</v>
      </c>
      <c r="H498" s="56"/>
      <c r="I498" s="56" t="s">
        <v>50564</v>
      </c>
      <c r="J498" s="56"/>
      <c r="K498" s="50"/>
      <c r="L498" s="56" t="s">
        <v>56716</v>
      </c>
    </row>
    <row r="499" spans="1:12" s="37" customFormat="1" ht="11.25" x14ac:dyDescent="0.2">
      <c r="A499" s="46" t="s">
        <v>7545</v>
      </c>
      <c r="B499" s="46" t="s">
        <v>7545</v>
      </c>
      <c r="C499" s="58" t="str">
        <f>"09696970"</f>
        <v>09696970</v>
      </c>
      <c r="D499" s="58" t="str">
        <f>"15737209"</f>
        <v>15737209</v>
      </c>
      <c r="E499" s="46" t="s">
        <v>18876</v>
      </c>
      <c r="F499" s="46" t="s">
        <v>18001</v>
      </c>
      <c r="G499" s="46" t="s">
        <v>50584</v>
      </c>
      <c r="H499" s="48" t="s">
        <v>56716</v>
      </c>
      <c r="I499" s="48" t="s">
        <v>50564</v>
      </c>
      <c r="J499" s="48" t="s">
        <v>56716</v>
      </c>
      <c r="K499" s="50" t="s">
        <v>56716</v>
      </c>
      <c r="L499" s="48" t="s">
        <v>56716</v>
      </c>
    </row>
    <row r="500" spans="1:12" s="37" customFormat="1" ht="11.25" x14ac:dyDescent="0.2">
      <c r="A500" s="46" t="s">
        <v>494</v>
      </c>
      <c r="B500" s="46" t="s">
        <v>494</v>
      </c>
      <c r="C500" s="58" t="str">
        <f>"00033170"</f>
        <v>00033170</v>
      </c>
      <c r="D500" s="58" t="str">
        <f>"16952987"</f>
        <v>16952987</v>
      </c>
      <c r="E500" s="46" t="s">
        <v>497</v>
      </c>
      <c r="F500" s="46" t="s">
        <v>18439</v>
      </c>
      <c r="G500" s="46" t="s">
        <v>50632</v>
      </c>
      <c r="H500" s="48" t="s">
        <v>56716</v>
      </c>
      <c r="I500" s="48" t="s">
        <v>50564</v>
      </c>
      <c r="J500" s="48"/>
      <c r="K500" s="50" t="s">
        <v>56716</v>
      </c>
      <c r="L500" s="48"/>
    </row>
    <row r="501" spans="1:12" s="37" customFormat="1" ht="11.25" x14ac:dyDescent="0.2">
      <c r="A501" s="46" t="s">
        <v>17648</v>
      </c>
      <c r="B501" s="46" t="s">
        <v>50998</v>
      </c>
      <c r="C501" s="58" t="str">
        <f>"1646706X"</f>
        <v>1646706X</v>
      </c>
      <c r="D501" s="58" t="str">
        <f>"21830096"</f>
        <v>21830096</v>
      </c>
      <c r="E501" s="46" t="s">
        <v>175</v>
      </c>
      <c r="F501" s="46" t="s">
        <v>18439</v>
      </c>
      <c r="G501" s="46" t="s">
        <v>50614</v>
      </c>
      <c r="H501" s="48" t="s">
        <v>56716</v>
      </c>
      <c r="I501" s="48" t="s">
        <v>50564</v>
      </c>
      <c r="J501" s="48"/>
      <c r="K501" s="50" t="s">
        <v>56716</v>
      </c>
      <c r="L501" s="48"/>
    </row>
    <row r="502" spans="1:12" s="37" customFormat="1" ht="11.25" x14ac:dyDescent="0.2">
      <c r="A502" s="45" t="s">
        <v>20271</v>
      </c>
      <c r="B502" s="45" t="s">
        <v>20273</v>
      </c>
      <c r="C502" s="51" t="s">
        <v>20274</v>
      </c>
      <c r="D502" s="51"/>
      <c r="E502" s="45" t="s">
        <v>20275</v>
      </c>
      <c r="F502" s="45" t="s">
        <v>50653</v>
      </c>
      <c r="G502" s="45" t="s">
        <v>56509</v>
      </c>
      <c r="H502" s="56"/>
      <c r="I502" s="56" t="s">
        <v>50564</v>
      </c>
      <c r="J502" s="56"/>
      <c r="K502" s="50"/>
      <c r="L502" s="56" t="s">
        <v>56716</v>
      </c>
    </row>
    <row r="503" spans="1:12" s="37" customFormat="1" ht="11.25" x14ac:dyDescent="0.2">
      <c r="A503" s="46" t="s">
        <v>490</v>
      </c>
      <c r="B503" s="46" t="s">
        <v>490</v>
      </c>
      <c r="C503" s="58" t="str">
        <f>"00033197"</f>
        <v>00033197</v>
      </c>
      <c r="D503" s="58" t="str">
        <f>"19401574"</f>
        <v>19401574</v>
      </c>
      <c r="E503" s="46" t="s">
        <v>493</v>
      </c>
      <c r="F503" s="46" t="s">
        <v>17759</v>
      </c>
      <c r="G503" s="46" t="s">
        <v>50584</v>
      </c>
      <c r="H503" s="48" t="s">
        <v>56716</v>
      </c>
      <c r="I503" s="48" t="s">
        <v>50564</v>
      </c>
      <c r="J503" s="48"/>
      <c r="K503" s="50"/>
      <c r="L503" s="48" t="s">
        <v>56716</v>
      </c>
    </row>
    <row r="504" spans="1:12" s="37" customFormat="1" ht="11.25" x14ac:dyDescent="0.2">
      <c r="A504" s="46" t="s">
        <v>10070</v>
      </c>
      <c r="B504" s="46" t="s">
        <v>50999</v>
      </c>
      <c r="C504" s="58" t="str">
        <f>"09728066"</f>
        <v>09728066</v>
      </c>
      <c r="D504" s="58" t="str">
        <f>"09728074"</f>
        <v>09728074</v>
      </c>
      <c r="E504" s="46" t="s">
        <v>10070</v>
      </c>
      <c r="F504" s="46" t="s">
        <v>20446</v>
      </c>
      <c r="G504" s="46" t="s">
        <v>50584</v>
      </c>
      <c r="H504" s="48" t="s">
        <v>56716</v>
      </c>
      <c r="I504" s="48" t="s">
        <v>50564</v>
      </c>
      <c r="J504" s="48"/>
      <c r="K504" s="50"/>
      <c r="L504" s="48"/>
    </row>
    <row r="505" spans="1:12" s="37" customFormat="1" ht="11.25" x14ac:dyDescent="0.2">
      <c r="A505" s="45" t="s">
        <v>20289</v>
      </c>
      <c r="B505" s="45" t="s">
        <v>20291</v>
      </c>
      <c r="C505" s="51" t="s">
        <v>20294</v>
      </c>
      <c r="D505" s="51" t="s">
        <v>20293</v>
      </c>
      <c r="E505" s="45" t="s">
        <v>724</v>
      </c>
      <c r="F505" s="45" t="s">
        <v>50646</v>
      </c>
      <c r="G505" s="45" t="s">
        <v>50584</v>
      </c>
      <c r="H505" s="56"/>
      <c r="I505" s="56" t="s">
        <v>50564</v>
      </c>
      <c r="J505" s="56"/>
      <c r="K505" s="50"/>
      <c r="L505" s="56" t="s">
        <v>56716</v>
      </c>
    </row>
    <row r="506" spans="1:12" s="37" customFormat="1" ht="11.25" x14ac:dyDescent="0.2">
      <c r="A506" s="45" t="s">
        <v>20298</v>
      </c>
      <c r="B506" s="45" t="s">
        <v>20300</v>
      </c>
      <c r="C506" s="51" t="s">
        <v>20302</v>
      </c>
      <c r="D506" s="51" t="s">
        <v>20301</v>
      </c>
      <c r="E506" s="45" t="s">
        <v>291</v>
      </c>
      <c r="F506" s="45" t="s">
        <v>50646</v>
      </c>
      <c r="G506" s="45" t="s">
        <v>50584</v>
      </c>
      <c r="H506" s="56"/>
      <c r="I506" s="56" t="s">
        <v>50564</v>
      </c>
      <c r="J506" s="56"/>
      <c r="K506" s="50"/>
      <c r="L506" s="56" t="s">
        <v>56716</v>
      </c>
    </row>
    <row r="507" spans="1:12" s="37" customFormat="1" ht="11.25" x14ac:dyDescent="0.2">
      <c r="A507" s="45" t="s">
        <v>20306</v>
      </c>
      <c r="B507" s="45" t="s">
        <v>20308</v>
      </c>
      <c r="C507" s="51" t="s">
        <v>20310</v>
      </c>
      <c r="D507" s="51" t="s">
        <v>20309</v>
      </c>
      <c r="E507" s="45" t="s">
        <v>17783</v>
      </c>
      <c r="F507" s="45" t="s">
        <v>18158</v>
      </c>
      <c r="G507" s="45" t="s">
        <v>50584</v>
      </c>
      <c r="H507" s="56"/>
      <c r="I507" s="56" t="s">
        <v>50564</v>
      </c>
      <c r="J507" s="56"/>
      <c r="K507" s="50"/>
      <c r="L507" s="56" t="s">
        <v>56716</v>
      </c>
    </row>
    <row r="508" spans="1:12" s="37" customFormat="1" ht="11.25" x14ac:dyDescent="0.2">
      <c r="A508" s="45" t="s">
        <v>20312</v>
      </c>
      <c r="B508" s="45" t="s">
        <v>20314</v>
      </c>
      <c r="C508" s="51" t="s">
        <v>20317</v>
      </c>
      <c r="D508" s="51" t="s">
        <v>20316</v>
      </c>
      <c r="E508" s="45" t="s">
        <v>970</v>
      </c>
      <c r="F508" s="45" t="s">
        <v>50646</v>
      </c>
      <c r="G508" s="45" t="s">
        <v>50584</v>
      </c>
      <c r="H508" s="56"/>
      <c r="I508" s="56" t="s">
        <v>50564</v>
      </c>
      <c r="J508" s="56"/>
      <c r="K508" s="50"/>
      <c r="L508" s="56" t="s">
        <v>56716</v>
      </c>
    </row>
    <row r="509" spans="1:12" s="37" customFormat="1" ht="11.25" x14ac:dyDescent="0.2">
      <c r="A509" s="45" t="s">
        <v>20321</v>
      </c>
      <c r="B509" s="45" t="s">
        <v>20323</v>
      </c>
      <c r="C509" s="51" t="s">
        <v>20325</v>
      </c>
      <c r="D509" s="51" t="s">
        <v>20324</v>
      </c>
      <c r="E509" s="45" t="s">
        <v>20326</v>
      </c>
      <c r="F509" s="45" t="s">
        <v>50646</v>
      </c>
      <c r="G509" s="45" t="s">
        <v>50584</v>
      </c>
      <c r="H509" s="56"/>
      <c r="I509" s="56" t="s">
        <v>50564</v>
      </c>
      <c r="J509" s="56"/>
      <c r="K509" s="50"/>
      <c r="L509" s="56" t="s">
        <v>56716</v>
      </c>
    </row>
    <row r="510" spans="1:12" s="37" customFormat="1" ht="11.25" x14ac:dyDescent="0.2">
      <c r="A510" s="45" t="s">
        <v>20328</v>
      </c>
      <c r="B510" s="45" t="s">
        <v>20330</v>
      </c>
      <c r="C510" s="51" t="s">
        <v>20332</v>
      </c>
      <c r="D510" s="51" t="s">
        <v>20331</v>
      </c>
      <c r="E510" s="45" t="s">
        <v>20333</v>
      </c>
      <c r="F510" s="45" t="s">
        <v>18001</v>
      </c>
      <c r="G510" s="45" t="s">
        <v>50584</v>
      </c>
      <c r="H510" s="56"/>
      <c r="I510" s="56" t="s">
        <v>50564</v>
      </c>
      <c r="J510" s="56"/>
      <c r="K510" s="50"/>
      <c r="L510" s="56" t="s">
        <v>56716</v>
      </c>
    </row>
    <row r="511" spans="1:12" s="37" customFormat="1" ht="11.25" x14ac:dyDescent="0.2">
      <c r="A511" s="45" t="s">
        <v>20337</v>
      </c>
      <c r="B511" s="45" t="s">
        <v>20339</v>
      </c>
      <c r="C511" s="51" t="s">
        <v>20342</v>
      </c>
      <c r="D511" s="51" t="s">
        <v>20341</v>
      </c>
      <c r="E511" s="45" t="s">
        <v>20343</v>
      </c>
      <c r="F511" s="45" t="s">
        <v>20082</v>
      </c>
      <c r="G511" s="45" t="s">
        <v>50605</v>
      </c>
      <c r="H511" s="56"/>
      <c r="I511" s="56" t="s">
        <v>50564</v>
      </c>
      <c r="J511" s="56"/>
      <c r="K511" s="50"/>
      <c r="L511" s="56" t="s">
        <v>56716</v>
      </c>
    </row>
    <row r="512" spans="1:12" s="37" customFormat="1" ht="11.25" x14ac:dyDescent="0.2">
      <c r="A512" s="46" t="s">
        <v>12305</v>
      </c>
      <c r="B512" s="46" t="s">
        <v>51000</v>
      </c>
      <c r="C512" s="58" t="str">
        <f>"17420385"</f>
        <v>17420385</v>
      </c>
      <c r="D512" s="58" t="str">
        <f>""</f>
        <v/>
      </c>
      <c r="E512" s="46" t="s">
        <v>12307</v>
      </c>
      <c r="F512" s="46" t="s">
        <v>50646</v>
      </c>
      <c r="G512" s="46" t="s">
        <v>50584</v>
      </c>
      <c r="H512" s="48" t="s">
        <v>56716</v>
      </c>
      <c r="I512" s="48" t="s">
        <v>50564</v>
      </c>
      <c r="J512" s="48"/>
      <c r="K512" s="50"/>
      <c r="L512" s="48"/>
    </row>
    <row r="513" spans="1:12" s="37" customFormat="1" ht="11.25" x14ac:dyDescent="0.2">
      <c r="A513" s="46" t="s">
        <v>8998</v>
      </c>
      <c r="B513" s="46" t="s">
        <v>51001</v>
      </c>
      <c r="C513" s="58" t="str">
        <f>"09627286"</f>
        <v>09627286</v>
      </c>
      <c r="D513" s="58" t="str">
        <f>""</f>
        <v/>
      </c>
      <c r="E513" s="46" t="s">
        <v>9000</v>
      </c>
      <c r="F513" s="46" t="s">
        <v>50646</v>
      </c>
      <c r="G513" s="46" t="s">
        <v>50584</v>
      </c>
      <c r="H513" s="48" t="s">
        <v>56716</v>
      </c>
      <c r="I513" s="48" t="s">
        <v>50564</v>
      </c>
      <c r="J513" s="48"/>
      <c r="K513" s="50"/>
      <c r="L513" s="48"/>
    </row>
    <row r="514" spans="1:12" s="37" customFormat="1" ht="11.25" x14ac:dyDescent="0.2">
      <c r="A514" s="46" t="s">
        <v>7214</v>
      </c>
      <c r="B514" s="46" t="s">
        <v>51002</v>
      </c>
      <c r="C514" s="58" t="str">
        <f>"10153918"</f>
        <v>10153918</v>
      </c>
      <c r="D514" s="58" t="str">
        <f>""</f>
        <v/>
      </c>
      <c r="E514" s="46" t="s">
        <v>7216</v>
      </c>
      <c r="F514" s="46" t="s">
        <v>18396</v>
      </c>
      <c r="G514" s="46" t="s">
        <v>50638</v>
      </c>
      <c r="H514" s="48" t="s">
        <v>56716</v>
      </c>
      <c r="I514" s="48" t="s">
        <v>50564</v>
      </c>
      <c r="J514" s="48"/>
      <c r="K514" s="50"/>
      <c r="L514" s="48"/>
    </row>
    <row r="515" spans="1:12" s="37" customFormat="1" ht="11.25" x14ac:dyDescent="0.2">
      <c r="A515" s="45" t="s">
        <v>20346</v>
      </c>
      <c r="B515" s="45" t="s">
        <v>20348</v>
      </c>
      <c r="C515" s="51" t="s">
        <v>20350</v>
      </c>
      <c r="D515" s="51"/>
      <c r="E515" s="45" t="s">
        <v>20351</v>
      </c>
      <c r="F515" s="45" t="s">
        <v>17967</v>
      </c>
      <c r="G515" s="45" t="s">
        <v>50611</v>
      </c>
      <c r="H515" s="56"/>
      <c r="I515" s="56" t="s">
        <v>50564</v>
      </c>
      <c r="J515" s="56"/>
      <c r="K515" s="50"/>
      <c r="L515" s="56" t="s">
        <v>56716</v>
      </c>
    </row>
    <row r="516" spans="1:12" s="37" customFormat="1" ht="11.25" x14ac:dyDescent="0.2">
      <c r="A516" s="45" t="s">
        <v>20354</v>
      </c>
      <c r="B516" s="45" t="s">
        <v>20356</v>
      </c>
      <c r="C516" s="51" t="s">
        <v>20358</v>
      </c>
      <c r="D516" s="51" t="s">
        <v>20357</v>
      </c>
      <c r="E516" s="45" t="s">
        <v>948</v>
      </c>
      <c r="F516" s="45" t="s">
        <v>20359</v>
      </c>
      <c r="G516" s="45" t="s">
        <v>50590</v>
      </c>
      <c r="H516" s="56"/>
      <c r="I516" s="56" t="s">
        <v>50564</v>
      </c>
      <c r="J516" s="56"/>
      <c r="K516" s="50"/>
      <c r="L516" s="56" t="s">
        <v>56716</v>
      </c>
    </row>
    <row r="517" spans="1:12" s="37" customFormat="1" ht="11.25" x14ac:dyDescent="0.2">
      <c r="A517" s="46" t="s">
        <v>82</v>
      </c>
      <c r="B517" s="46" t="s">
        <v>51003</v>
      </c>
      <c r="C517" s="58" t="str">
        <f>"00033928"</f>
        <v>00033928</v>
      </c>
      <c r="D517" s="58" t="str">
        <f>"17683181"</f>
        <v>17683181</v>
      </c>
      <c r="E517" s="46" t="s">
        <v>85</v>
      </c>
      <c r="F517" s="46" t="s">
        <v>20359</v>
      </c>
      <c r="G517" s="46" t="s">
        <v>50591</v>
      </c>
      <c r="H517" s="48" t="s">
        <v>56716</v>
      </c>
      <c r="I517" s="48" t="s">
        <v>50564</v>
      </c>
      <c r="J517" s="48"/>
      <c r="K517" s="50" t="s">
        <v>56716</v>
      </c>
      <c r="L517" s="48" t="s">
        <v>56716</v>
      </c>
    </row>
    <row r="518" spans="1:12" s="37" customFormat="1" ht="11.25" x14ac:dyDescent="0.2">
      <c r="A518" s="45" t="s">
        <v>20369</v>
      </c>
      <c r="B518" s="45" t="s">
        <v>20371</v>
      </c>
      <c r="C518" s="51" t="s">
        <v>20374</v>
      </c>
      <c r="D518" s="51" t="s">
        <v>20373</v>
      </c>
      <c r="E518" s="45" t="s">
        <v>91</v>
      </c>
      <c r="F518" s="45" t="s">
        <v>20359</v>
      </c>
      <c r="G518" s="45" t="s">
        <v>50590</v>
      </c>
      <c r="H518" s="56"/>
      <c r="I518" s="56" t="s">
        <v>50564</v>
      </c>
      <c r="J518" s="56"/>
      <c r="K518" s="50"/>
      <c r="L518" s="56" t="s">
        <v>56716</v>
      </c>
    </row>
    <row r="519" spans="1:12" s="37" customFormat="1" ht="11.25" x14ac:dyDescent="0.2">
      <c r="A519" s="46" t="s">
        <v>185</v>
      </c>
      <c r="B519" s="46" t="s">
        <v>51004</v>
      </c>
      <c r="C519" s="58" t="str">
        <f>"01519638"</f>
        <v>01519638</v>
      </c>
      <c r="D519" s="58" t="str">
        <f>""</f>
        <v/>
      </c>
      <c r="E519" s="46" t="s">
        <v>85</v>
      </c>
      <c r="F519" s="46" t="s">
        <v>20359</v>
      </c>
      <c r="G519" s="46" t="s">
        <v>50591</v>
      </c>
      <c r="H519" s="48" t="s">
        <v>56716</v>
      </c>
      <c r="I519" s="48" t="s">
        <v>50564</v>
      </c>
      <c r="J519" s="48"/>
      <c r="K519" s="50" t="s">
        <v>56716</v>
      </c>
      <c r="L519" s="48" t="s">
        <v>56716</v>
      </c>
    </row>
    <row r="520" spans="1:12" s="37" customFormat="1" ht="11.25" x14ac:dyDescent="0.2">
      <c r="A520" s="46" t="s">
        <v>518</v>
      </c>
      <c r="B520" s="46" t="s">
        <v>51005</v>
      </c>
      <c r="C520" s="58" t="str">
        <f>"02426498"</f>
        <v>02426498</v>
      </c>
      <c r="D520" s="58" t="str">
        <f>""</f>
        <v/>
      </c>
      <c r="E520" s="46" t="s">
        <v>85</v>
      </c>
      <c r="F520" s="46" t="s">
        <v>20359</v>
      </c>
      <c r="G520" s="46" t="s">
        <v>50591</v>
      </c>
      <c r="H520" s="48" t="s">
        <v>56716</v>
      </c>
      <c r="I520" s="48" t="s">
        <v>50564</v>
      </c>
      <c r="J520" s="48"/>
      <c r="K520" s="50" t="s">
        <v>56716</v>
      </c>
      <c r="L520" s="48" t="s">
        <v>56716</v>
      </c>
    </row>
    <row r="521" spans="1:12" s="37" customFormat="1" ht="11.25" x14ac:dyDescent="0.2">
      <c r="A521" s="46" t="s">
        <v>485</v>
      </c>
      <c r="B521" s="46" t="s">
        <v>51006</v>
      </c>
      <c r="C521" s="58" t="str">
        <f>"00034266"</f>
        <v>00034266</v>
      </c>
      <c r="D521" s="58" t="str">
        <f>""</f>
        <v/>
      </c>
      <c r="E521" s="46" t="s">
        <v>85</v>
      </c>
      <c r="F521" s="46" t="s">
        <v>20359</v>
      </c>
      <c r="G521" s="46" t="s">
        <v>50591</v>
      </c>
      <c r="H521" s="48" t="s">
        <v>56716</v>
      </c>
      <c r="I521" s="48" t="s">
        <v>50564</v>
      </c>
      <c r="J521" s="48"/>
      <c r="K521" s="50" t="s">
        <v>56716</v>
      </c>
      <c r="L521" s="48" t="s">
        <v>56716</v>
      </c>
    </row>
    <row r="522" spans="1:12" s="37" customFormat="1" ht="11.25" x14ac:dyDescent="0.2">
      <c r="A522" s="46" t="s">
        <v>203</v>
      </c>
      <c r="B522" s="46" t="s">
        <v>51007</v>
      </c>
      <c r="C522" s="58" t="str">
        <f>"07507658"</f>
        <v>07507658</v>
      </c>
      <c r="D522" s="58" t="str">
        <f>"17696623"</f>
        <v>17696623</v>
      </c>
      <c r="E522" s="46" t="s">
        <v>85</v>
      </c>
      <c r="F522" s="46" t="s">
        <v>20359</v>
      </c>
      <c r="G522" s="46" t="s">
        <v>50591</v>
      </c>
      <c r="H522" s="48" t="s">
        <v>56716</v>
      </c>
      <c r="I522" s="48" t="s">
        <v>50564</v>
      </c>
      <c r="J522" s="48"/>
      <c r="K522" s="50" t="s">
        <v>56716</v>
      </c>
      <c r="L522" s="48" t="s">
        <v>56716</v>
      </c>
    </row>
    <row r="523" spans="1:12" s="37" customFormat="1" ht="11.25" x14ac:dyDescent="0.2">
      <c r="A523" s="46" t="s">
        <v>15779</v>
      </c>
      <c r="B523" s="46" t="s">
        <v>51008</v>
      </c>
      <c r="C523" s="58" t="str">
        <f>"21086524"</f>
        <v>21086524</v>
      </c>
      <c r="D523" s="58" t="str">
        <f>"21086591"</f>
        <v>21086591</v>
      </c>
      <c r="E523" s="46" t="s">
        <v>11245</v>
      </c>
      <c r="F523" s="46" t="s">
        <v>20359</v>
      </c>
      <c r="G523" s="46" t="s">
        <v>50591</v>
      </c>
      <c r="H523" s="48" t="s">
        <v>56716</v>
      </c>
      <c r="I523" s="48" t="s">
        <v>50564</v>
      </c>
      <c r="J523" s="48"/>
      <c r="K523" s="50"/>
      <c r="L523" s="48"/>
    </row>
    <row r="524" spans="1:12" s="37" customFormat="1" ht="11.25" x14ac:dyDescent="0.2">
      <c r="A524" s="46" t="s">
        <v>467</v>
      </c>
      <c r="B524" s="46" t="s">
        <v>51009</v>
      </c>
      <c r="C524" s="58" t="str">
        <f>"00034487"</f>
        <v>00034487</v>
      </c>
      <c r="D524" s="58" t="str">
        <f>"17696631"</f>
        <v>17696631</v>
      </c>
      <c r="E524" s="46" t="s">
        <v>85</v>
      </c>
      <c r="F524" s="46" t="s">
        <v>20359</v>
      </c>
      <c r="G524" s="46" t="s">
        <v>50591</v>
      </c>
      <c r="H524" s="48" t="s">
        <v>56716</v>
      </c>
      <c r="I524" s="48" t="s">
        <v>50564</v>
      </c>
      <c r="J524" s="48"/>
      <c r="K524" s="50" t="s">
        <v>56716</v>
      </c>
      <c r="L524" s="48"/>
    </row>
    <row r="525" spans="1:12" s="37" customFormat="1" ht="11.25" x14ac:dyDescent="0.2">
      <c r="A525" s="46" t="s">
        <v>511</v>
      </c>
      <c r="B525" s="46" t="s">
        <v>51010</v>
      </c>
      <c r="C525" s="58" t="str">
        <f>"05178606"</f>
        <v>05178606</v>
      </c>
      <c r="D525" s="58" t="str">
        <f>"16614011"</f>
        <v>16614011</v>
      </c>
      <c r="E525" s="46" t="s">
        <v>109</v>
      </c>
      <c r="F525" s="46" t="s">
        <v>18123</v>
      </c>
      <c r="G525" s="46" t="s">
        <v>50584</v>
      </c>
      <c r="H525" s="48" t="s">
        <v>56716</v>
      </c>
      <c r="I525" s="48" t="s">
        <v>50564</v>
      </c>
      <c r="J525" s="48"/>
      <c r="K525" s="50"/>
      <c r="L525" s="48"/>
    </row>
    <row r="526" spans="1:12" s="37" customFormat="1" ht="11.25" x14ac:dyDescent="0.2">
      <c r="A526" s="46" t="s">
        <v>571</v>
      </c>
      <c r="B526" s="46" t="s">
        <v>51011</v>
      </c>
      <c r="C526" s="58" t="str">
        <f>"00034509"</f>
        <v>00034509</v>
      </c>
      <c r="D526" s="58" t="str">
        <f>""</f>
        <v/>
      </c>
      <c r="E526" s="46" t="s">
        <v>85</v>
      </c>
      <c r="F526" s="46" t="s">
        <v>20359</v>
      </c>
      <c r="G526" s="46" t="s">
        <v>50591</v>
      </c>
      <c r="H526" s="48" t="s">
        <v>56716</v>
      </c>
      <c r="I526" s="48" t="s">
        <v>50564</v>
      </c>
      <c r="J526" s="48"/>
      <c r="K526" s="50" t="s">
        <v>56716</v>
      </c>
      <c r="L526" s="48" t="s">
        <v>56716</v>
      </c>
    </row>
    <row r="527" spans="1:12" s="37" customFormat="1" ht="11.25" x14ac:dyDescent="0.2">
      <c r="A527" s="45" t="s">
        <v>20406</v>
      </c>
      <c r="B527" s="45" t="s">
        <v>20408</v>
      </c>
      <c r="C527" s="51" t="s">
        <v>20409</v>
      </c>
      <c r="D527" s="51"/>
      <c r="E527" s="45" t="s">
        <v>20410</v>
      </c>
      <c r="F527" s="45" t="s">
        <v>17967</v>
      </c>
      <c r="G527" s="45" t="s">
        <v>50611</v>
      </c>
      <c r="H527" s="56"/>
      <c r="I527" s="56" t="s">
        <v>50564</v>
      </c>
      <c r="J527" s="56"/>
      <c r="K527" s="50"/>
      <c r="L527" s="56" t="s">
        <v>56716</v>
      </c>
    </row>
    <row r="528" spans="1:12" s="37" customFormat="1" ht="11.25" x14ac:dyDescent="0.2">
      <c r="A528" s="45" t="s">
        <v>20412</v>
      </c>
      <c r="B528" s="45" t="s">
        <v>20414</v>
      </c>
      <c r="C528" s="51" t="s">
        <v>20416</v>
      </c>
      <c r="D528" s="51"/>
      <c r="E528" s="45" t="s">
        <v>20417</v>
      </c>
      <c r="F528" s="45" t="s">
        <v>17991</v>
      </c>
      <c r="G528" s="45" t="s">
        <v>56517</v>
      </c>
      <c r="H528" s="56"/>
      <c r="I528" s="56" t="s">
        <v>50564</v>
      </c>
      <c r="J528" s="56"/>
      <c r="K528" s="50"/>
      <c r="L528" s="56" t="s">
        <v>56716</v>
      </c>
    </row>
    <row r="529" spans="1:12" s="37" customFormat="1" ht="11.25" x14ac:dyDescent="0.2">
      <c r="A529" s="45" t="s">
        <v>20419</v>
      </c>
      <c r="B529" s="45" t="s">
        <v>20421</v>
      </c>
      <c r="C529" s="51" t="s">
        <v>20423</v>
      </c>
      <c r="D529" s="51"/>
      <c r="E529" s="45" t="s">
        <v>1185</v>
      </c>
      <c r="F529" s="45" t="s">
        <v>17991</v>
      </c>
      <c r="G529" s="45" t="s">
        <v>50602</v>
      </c>
      <c r="H529" s="56"/>
      <c r="I529" s="56" t="s">
        <v>50564</v>
      </c>
      <c r="J529" s="56"/>
      <c r="K529" s="50"/>
      <c r="L529" s="56" t="s">
        <v>56716</v>
      </c>
    </row>
    <row r="530" spans="1:12" s="37" customFormat="1" ht="11.25" x14ac:dyDescent="0.2">
      <c r="A530" s="45" t="s">
        <v>20427</v>
      </c>
      <c r="B530" s="45" t="s">
        <v>20429</v>
      </c>
      <c r="C530" s="51" t="s">
        <v>20431</v>
      </c>
      <c r="D530" s="51" t="s">
        <v>20430</v>
      </c>
      <c r="E530" s="45" t="s">
        <v>20432</v>
      </c>
      <c r="F530" s="45" t="s">
        <v>17991</v>
      </c>
      <c r="G530" s="45" t="s">
        <v>50602</v>
      </c>
      <c r="H530" s="56"/>
      <c r="I530" s="56" t="s">
        <v>50564</v>
      </c>
      <c r="J530" s="56"/>
      <c r="K530" s="50"/>
      <c r="L530" s="56" t="s">
        <v>56716</v>
      </c>
    </row>
    <row r="531" spans="1:12" s="37" customFormat="1" ht="11.25" x14ac:dyDescent="0.2">
      <c r="A531" s="46" t="s">
        <v>10802</v>
      </c>
      <c r="B531" s="46" t="s">
        <v>51012</v>
      </c>
      <c r="C531" s="58" t="str">
        <f>"15926826"</f>
        <v>15926826</v>
      </c>
      <c r="D531" s="58" t="str">
        <f>""</f>
        <v/>
      </c>
      <c r="E531" s="46" t="s">
        <v>10804</v>
      </c>
      <c r="F531" s="46" t="s">
        <v>17991</v>
      </c>
      <c r="G531" s="46" t="s">
        <v>50603</v>
      </c>
      <c r="H531" s="48" t="s">
        <v>56716</v>
      </c>
      <c r="I531" s="48" t="s">
        <v>50564</v>
      </c>
      <c r="J531" s="48"/>
      <c r="K531" s="50"/>
      <c r="L531" s="48"/>
    </row>
    <row r="532" spans="1:12" s="37" customFormat="1" ht="11.25" x14ac:dyDescent="0.2">
      <c r="A532" s="45" t="s">
        <v>20435</v>
      </c>
      <c r="B532" s="45" t="s">
        <v>20437</v>
      </c>
      <c r="C532" s="51" t="s">
        <v>20439</v>
      </c>
      <c r="D532" s="51"/>
      <c r="E532" s="45" t="s">
        <v>20440</v>
      </c>
      <c r="F532" s="45" t="s">
        <v>17759</v>
      </c>
      <c r="G532" s="45" t="s">
        <v>50584</v>
      </c>
      <c r="H532" s="56"/>
      <c r="I532" s="56" t="s">
        <v>50564</v>
      </c>
      <c r="J532" s="56"/>
      <c r="K532" s="50"/>
      <c r="L532" s="56" t="s">
        <v>56716</v>
      </c>
    </row>
    <row r="533" spans="1:12" s="37" customFormat="1" ht="11.25" x14ac:dyDescent="0.2">
      <c r="A533" s="46" t="s">
        <v>10631</v>
      </c>
      <c r="B533" s="46" t="s">
        <v>51013</v>
      </c>
      <c r="C533" s="58" t="str">
        <f>"15963519"</f>
        <v>15963519</v>
      </c>
      <c r="D533" s="58" t="str">
        <f>"09755764"</f>
        <v>09755764</v>
      </c>
      <c r="E533" s="46" t="s">
        <v>19057</v>
      </c>
      <c r="F533" s="46" t="s">
        <v>20446</v>
      </c>
      <c r="G533" s="46" t="s">
        <v>50584</v>
      </c>
      <c r="H533" s="48" t="s">
        <v>56716</v>
      </c>
      <c r="I533" s="48" t="s">
        <v>50564</v>
      </c>
      <c r="J533" s="48"/>
      <c r="K533" s="50"/>
      <c r="L533" s="48" t="s">
        <v>56716</v>
      </c>
    </row>
    <row r="534" spans="1:12" s="37" customFormat="1" ht="11.25" x14ac:dyDescent="0.2">
      <c r="A534" s="46" t="s">
        <v>7663</v>
      </c>
      <c r="B534" s="46" t="s">
        <v>51014</v>
      </c>
      <c r="C534" s="58" t="str">
        <f>"12321966"</f>
        <v>12321966</v>
      </c>
      <c r="D534" s="58" t="str">
        <f>"18982263"</f>
        <v>18982263</v>
      </c>
      <c r="E534" s="46" t="s">
        <v>7666</v>
      </c>
      <c r="F534" s="46" t="s">
        <v>17967</v>
      </c>
      <c r="G534" s="46" t="s">
        <v>50584</v>
      </c>
      <c r="H534" s="48" t="s">
        <v>56716</v>
      </c>
      <c r="I534" s="48" t="s">
        <v>50564</v>
      </c>
      <c r="J534" s="48"/>
      <c r="K534" s="50"/>
      <c r="L534" s="48" t="s">
        <v>56716</v>
      </c>
    </row>
    <row r="535" spans="1:12" s="37" customFormat="1" ht="11.25" x14ac:dyDescent="0.2">
      <c r="A535" s="46" t="s">
        <v>6637</v>
      </c>
      <c r="B535" s="46" t="s">
        <v>51015</v>
      </c>
      <c r="C535" s="58" t="str">
        <f>"10811206"</f>
        <v>10811206</v>
      </c>
      <c r="D535" s="58" t="str">
        <f>"15344436"</f>
        <v>15344436</v>
      </c>
      <c r="E535" s="46" t="s">
        <v>6640</v>
      </c>
      <c r="F535" s="46" t="s">
        <v>17759</v>
      </c>
      <c r="G535" s="46" t="s">
        <v>50584</v>
      </c>
      <c r="H535" s="48" t="s">
        <v>56716</v>
      </c>
      <c r="I535" s="48" t="s">
        <v>50564</v>
      </c>
      <c r="J535" s="48" t="s">
        <v>56716</v>
      </c>
      <c r="K535" s="50" t="s">
        <v>56716</v>
      </c>
      <c r="L535" s="48" t="s">
        <v>56716</v>
      </c>
    </row>
    <row r="536" spans="1:12" s="37" customFormat="1" ht="11.25" x14ac:dyDescent="0.2">
      <c r="A536" s="46" t="s">
        <v>5869</v>
      </c>
      <c r="B536" s="46" t="s">
        <v>51016</v>
      </c>
      <c r="C536" s="58" t="str">
        <f>"09409602"</f>
        <v>09409602</v>
      </c>
      <c r="D536" s="58" t="str">
        <f>"16180402"</f>
        <v>16180402</v>
      </c>
      <c r="E536" s="46" t="s">
        <v>241</v>
      </c>
      <c r="F536" s="46" t="s">
        <v>18158</v>
      </c>
      <c r="G536" s="46" t="s">
        <v>50592</v>
      </c>
      <c r="H536" s="48" t="s">
        <v>56716</v>
      </c>
      <c r="I536" s="48" t="s">
        <v>50564</v>
      </c>
      <c r="J536" s="48"/>
      <c r="K536" s="50" t="s">
        <v>56716</v>
      </c>
      <c r="L536" s="48" t="s">
        <v>56716</v>
      </c>
    </row>
    <row r="537" spans="1:12" s="37" customFormat="1" ht="11.25" x14ac:dyDescent="0.2">
      <c r="A537" s="45" t="s">
        <v>20467</v>
      </c>
      <c r="B537" s="45" t="s">
        <v>20469</v>
      </c>
      <c r="C537" s="51" t="s">
        <v>20472</v>
      </c>
      <c r="D537" s="51" t="s">
        <v>20471</v>
      </c>
      <c r="E537" s="45" t="s">
        <v>20473</v>
      </c>
      <c r="F537" s="45" t="s">
        <v>17759</v>
      </c>
      <c r="G537" s="45" t="s">
        <v>50584</v>
      </c>
      <c r="H537" s="56"/>
      <c r="I537" s="56" t="s">
        <v>50564</v>
      </c>
      <c r="J537" s="56"/>
      <c r="K537" s="50"/>
      <c r="L537" s="56" t="s">
        <v>56716</v>
      </c>
    </row>
    <row r="538" spans="1:12" s="37" customFormat="1" ht="11.25" x14ac:dyDescent="0.2">
      <c r="A538" s="46" t="s">
        <v>8034</v>
      </c>
      <c r="B538" s="46" t="s">
        <v>20477</v>
      </c>
      <c r="C538" s="58" t="str">
        <f>"00906964"</f>
        <v>00906964</v>
      </c>
      <c r="D538" s="58" t="str">
        <f>"15739686"</f>
        <v>15739686</v>
      </c>
      <c r="E538" s="46" t="s">
        <v>18876</v>
      </c>
      <c r="F538" s="46" t="s">
        <v>18001</v>
      </c>
      <c r="G538" s="46" t="s">
        <v>50584</v>
      </c>
      <c r="H538" s="48" t="s">
        <v>56716</v>
      </c>
      <c r="I538" s="48" t="s">
        <v>50564</v>
      </c>
      <c r="J538" s="48" t="s">
        <v>56716</v>
      </c>
      <c r="K538" s="50" t="s">
        <v>56716</v>
      </c>
      <c r="L538" s="48" t="s">
        <v>56716</v>
      </c>
    </row>
    <row r="539" spans="1:12" s="37" customFormat="1" ht="11.25" x14ac:dyDescent="0.2">
      <c r="A539" s="45" t="s">
        <v>20480</v>
      </c>
      <c r="B539" s="45" t="s">
        <v>20482</v>
      </c>
      <c r="C539" s="51" t="s">
        <v>20484</v>
      </c>
      <c r="D539" s="51" t="s">
        <v>20483</v>
      </c>
      <c r="E539" s="45" t="s">
        <v>55</v>
      </c>
      <c r="F539" s="45" t="s">
        <v>50646</v>
      </c>
      <c r="G539" s="45" t="s">
        <v>50584</v>
      </c>
      <c r="H539" s="56"/>
      <c r="I539" s="56" t="s">
        <v>50564</v>
      </c>
      <c r="J539" s="56"/>
      <c r="K539" s="50"/>
      <c r="L539" s="56" t="s">
        <v>56716</v>
      </c>
    </row>
    <row r="540" spans="1:12" s="37" customFormat="1" ht="11.25" x14ac:dyDescent="0.2">
      <c r="A540" s="46" t="s">
        <v>9975</v>
      </c>
      <c r="B540" s="46" t="s">
        <v>51017</v>
      </c>
      <c r="C540" s="58" t="str">
        <f>"13446835"</f>
        <v>13446835</v>
      </c>
      <c r="D540" s="58" t="str">
        <f>""</f>
        <v/>
      </c>
      <c r="E540" s="46" t="s">
        <v>6442</v>
      </c>
      <c r="F540" s="46" t="s">
        <v>17759</v>
      </c>
      <c r="G540" s="46" t="s">
        <v>50584</v>
      </c>
      <c r="H540" s="48" t="s">
        <v>56716</v>
      </c>
      <c r="I540" s="48" t="s">
        <v>50564</v>
      </c>
      <c r="J540" s="48"/>
      <c r="K540" s="50"/>
      <c r="L540" s="48"/>
    </row>
    <row r="541" spans="1:12" s="37" customFormat="1" ht="11.25" x14ac:dyDescent="0.2">
      <c r="A541" s="46" t="s">
        <v>12928</v>
      </c>
      <c r="B541" s="46" t="s">
        <v>51018</v>
      </c>
      <c r="C541" s="58" t="str">
        <f>"09719784"</f>
        <v>09719784</v>
      </c>
      <c r="D541" s="58" t="str">
        <f>"09745181"</f>
        <v>09745181</v>
      </c>
      <c r="E541" s="46" t="s">
        <v>19057</v>
      </c>
      <c r="F541" s="46" t="s">
        <v>20446</v>
      </c>
      <c r="G541" s="46" t="s">
        <v>50584</v>
      </c>
      <c r="H541" s="48" t="s">
        <v>56716</v>
      </c>
      <c r="I541" s="48" t="s">
        <v>50564</v>
      </c>
      <c r="J541" s="48"/>
      <c r="K541" s="50"/>
      <c r="L541" s="48" t="s">
        <v>56716</v>
      </c>
    </row>
    <row r="542" spans="1:12" s="37" customFormat="1" ht="11.25" x14ac:dyDescent="0.2">
      <c r="A542" s="46" t="s">
        <v>122</v>
      </c>
      <c r="B542" s="46" t="s">
        <v>51019</v>
      </c>
      <c r="C542" s="58" t="str">
        <f>"00917370"</f>
        <v>00917370</v>
      </c>
      <c r="D542" s="58" t="str">
        <f>"15508080"</f>
        <v>15508080</v>
      </c>
      <c r="E542" s="46" t="s">
        <v>125</v>
      </c>
      <c r="F542" s="46" t="s">
        <v>17759</v>
      </c>
      <c r="G542" s="46" t="s">
        <v>50584</v>
      </c>
      <c r="H542" s="48" t="s">
        <v>56716</v>
      </c>
      <c r="I542" s="48" t="s">
        <v>50564</v>
      </c>
      <c r="J542" s="48" t="s">
        <v>56716</v>
      </c>
      <c r="K542" s="50"/>
      <c r="L542" s="48" t="s">
        <v>56716</v>
      </c>
    </row>
    <row r="543" spans="1:12" s="37" customFormat="1" ht="11.25" x14ac:dyDescent="0.2">
      <c r="A543" s="46" t="s">
        <v>56317</v>
      </c>
      <c r="B543" s="46" t="s">
        <v>56318</v>
      </c>
      <c r="C543" s="58" t="str">
        <f>""</f>
        <v/>
      </c>
      <c r="D543" s="58" t="str">
        <f>"23289503"</f>
        <v>23289503</v>
      </c>
      <c r="E543" s="46" t="s">
        <v>970</v>
      </c>
      <c r="F543" s="46" t="s">
        <v>17759</v>
      </c>
      <c r="G543" s="46" t="s">
        <v>50584</v>
      </c>
      <c r="H543" s="48" t="s">
        <v>56716</v>
      </c>
      <c r="I543" s="48" t="s">
        <v>50564</v>
      </c>
      <c r="J543" s="48" t="s">
        <v>56716</v>
      </c>
      <c r="K543" s="50"/>
      <c r="L543" s="48"/>
    </row>
    <row r="544" spans="1:12" s="37" customFormat="1" ht="11.25" x14ac:dyDescent="0.2">
      <c r="A544" s="46" t="s">
        <v>94</v>
      </c>
      <c r="B544" s="46" t="s">
        <v>51020</v>
      </c>
      <c r="C544" s="58" t="str">
        <f>"00045632"</f>
        <v>00045632</v>
      </c>
      <c r="D544" s="58" t="str">
        <f>"17581001"</f>
        <v>17581001</v>
      </c>
      <c r="E544" s="46" t="s">
        <v>97</v>
      </c>
      <c r="F544" s="46" t="s">
        <v>50646</v>
      </c>
      <c r="G544" s="46" t="s">
        <v>50584</v>
      </c>
      <c r="H544" s="48" t="s">
        <v>56716</v>
      </c>
      <c r="I544" s="48" t="s">
        <v>50564</v>
      </c>
      <c r="J544" s="48" t="s">
        <v>56716</v>
      </c>
      <c r="K544" s="50"/>
      <c r="L544" s="48" t="s">
        <v>56716</v>
      </c>
    </row>
    <row r="545" spans="1:12" s="37" customFormat="1" ht="11.25" x14ac:dyDescent="0.2">
      <c r="A545" s="46" t="s">
        <v>9764</v>
      </c>
      <c r="B545" s="46" t="s">
        <v>51021</v>
      </c>
      <c r="C545" s="58" t="str">
        <f>""</f>
        <v/>
      </c>
      <c r="D545" s="58" t="str">
        <f>"14760711"</f>
        <v>14760711</v>
      </c>
      <c r="E545" s="46" t="s">
        <v>2299</v>
      </c>
      <c r="F545" s="46" t="s">
        <v>50646</v>
      </c>
      <c r="G545" s="46" t="s">
        <v>50584</v>
      </c>
      <c r="H545" s="48" t="s">
        <v>56716</v>
      </c>
      <c r="I545" s="48" t="s">
        <v>50564</v>
      </c>
      <c r="J545" s="48"/>
      <c r="K545" s="50" t="s">
        <v>56716</v>
      </c>
      <c r="L545" s="48" t="s">
        <v>56716</v>
      </c>
    </row>
    <row r="546" spans="1:12" s="37" customFormat="1" ht="11.25" x14ac:dyDescent="0.2">
      <c r="A546" s="46" t="s">
        <v>4922</v>
      </c>
      <c r="B546" s="46" t="s">
        <v>51022</v>
      </c>
      <c r="C546" s="58" t="str">
        <f>"10401237"</f>
        <v>10401237</v>
      </c>
      <c r="D546" s="58" t="str">
        <f>"15473325"</f>
        <v>15473325</v>
      </c>
      <c r="E546" s="46" t="s">
        <v>4925</v>
      </c>
      <c r="F546" s="46" t="s">
        <v>17759</v>
      </c>
      <c r="G546" s="46" t="s">
        <v>50584</v>
      </c>
      <c r="H546" s="48" t="s">
        <v>56716</v>
      </c>
      <c r="I546" s="48" t="s">
        <v>50564</v>
      </c>
      <c r="J546" s="48" t="s">
        <v>56716</v>
      </c>
      <c r="K546" s="50"/>
      <c r="L546" s="48" t="s">
        <v>56716</v>
      </c>
    </row>
    <row r="547" spans="1:12" s="37" customFormat="1" ht="11.25" x14ac:dyDescent="0.2">
      <c r="A547" s="46" t="s">
        <v>17027</v>
      </c>
      <c r="B547" s="46" t="s">
        <v>56476</v>
      </c>
      <c r="C547" s="58" t="str">
        <f>"22879714"</f>
        <v>22879714</v>
      </c>
      <c r="D547" s="58" t="str">
        <f>"22879722"</f>
        <v>22879722</v>
      </c>
      <c r="E547" s="46" t="s">
        <v>17030</v>
      </c>
      <c r="F547" s="46" t="s">
        <v>50649</v>
      </c>
      <c r="G547" s="46" t="s">
        <v>50606</v>
      </c>
      <c r="H547" s="48" t="s">
        <v>56716</v>
      </c>
      <c r="I547" s="48" t="s">
        <v>50564</v>
      </c>
      <c r="J547" s="48"/>
      <c r="K547" s="50"/>
      <c r="L547" s="48"/>
    </row>
    <row r="548" spans="1:12" s="37" customFormat="1" ht="11.25" x14ac:dyDescent="0.2">
      <c r="A548" s="46" t="s">
        <v>8249</v>
      </c>
      <c r="B548" s="46" t="s">
        <v>51023</v>
      </c>
      <c r="C548" s="58" t="str">
        <f>"10929134"</f>
        <v>10929134</v>
      </c>
      <c r="D548" s="58" t="str">
        <f>"15328198"</f>
        <v>15328198</v>
      </c>
      <c r="E548" s="46" t="s">
        <v>303</v>
      </c>
      <c r="F548" s="46" t="s">
        <v>17759</v>
      </c>
      <c r="G548" s="46" t="s">
        <v>50584</v>
      </c>
      <c r="H548" s="48" t="s">
        <v>56716</v>
      </c>
      <c r="I548" s="48" t="s">
        <v>50564</v>
      </c>
      <c r="J548" s="48" t="s">
        <v>56716</v>
      </c>
      <c r="K548" s="50" t="s">
        <v>56716</v>
      </c>
      <c r="L548" s="48" t="s">
        <v>56716</v>
      </c>
    </row>
    <row r="549" spans="1:12" s="37" customFormat="1" ht="11.25" x14ac:dyDescent="0.2">
      <c r="A549" s="45" t="s">
        <v>20519</v>
      </c>
      <c r="B549" s="45" t="s">
        <v>20521</v>
      </c>
      <c r="C549" s="51" t="s">
        <v>20524</v>
      </c>
      <c r="D549" s="51" t="s">
        <v>20523</v>
      </c>
      <c r="E549" s="45" t="s">
        <v>20525</v>
      </c>
      <c r="F549" s="45" t="s">
        <v>17759</v>
      </c>
      <c r="G549" s="45" t="s">
        <v>50584</v>
      </c>
      <c r="H549" s="56"/>
      <c r="I549" s="56" t="s">
        <v>50564</v>
      </c>
      <c r="J549" s="56"/>
      <c r="K549" s="50"/>
      <c r="L549" s="56" t="s">
        <v>56716</v>
      </c>
    </row>
    <row r="550" spans="1:12" s="37" customFormat="1" ht="11.25" x14ac:dyDescent="0.2">
      <c r="A550" s="46" t="s">
        <v>191</v>
      </c>
      <c r="B550" s="46" t="s">
        <v>51024</v>
      </c>
      <c r="C550" s="58" t="str">
        <f>"01960644"</f>
        <v>01960644</v>
      </c>
      <c r="D550" s="58" t="str">
        <f>"10976760"</f>
        <v>10976760</v>
      </c>
      <c r="E550" s="46" t="s">
        <v>194</v>
      </c>
      <c r="F550" s="46" t="s">
        <v>17759</v>
      </c>
      <c r="G550" s="46" t="s">
        <v>50584</v>
      </c>
      <c r="H550" s="48" t="s">
        <v>56716</v>
      </c>
      <c r="I550" s="48" t="s">
        <v>50564</v>
      </c>
      <c r="J550" s="48" t="s">
        <v>56716</v>
      </c>
      <c r="K550" s="50" t="s">
        <v>56716</v>
      </c>
      <c r="L550" s="48" t="s">
        <v>56716</v>
      </c>
    </row>
    <row r="551" spans="1:12" s="37" customFormat="1" ht="11.25" x14ac:dyDescent="0.2">
      <c r="A551" s="46" t="s">
        <v>5412</v>
      </c>
      <c r="B551" s="46" t="s">
        <v>51025</v>
      </c>
      <c r="C551" s="58" t="str">
        <f>"10472797"</f>
        <v>10472797</v>
      </c>
      <c r="D551" s="58" t="str">
        <f>"18732585"</f>
        <v>18732585</v>
      </c>
      <c r="E551" s="46" t="s">
        <v>272</v>
      </c>
      <c r="F551" s="46" t="s">
        <v>17759</v>
      </c>
      <c r="G551" s="46" t="s">
        <v>50584</v>
      </c>
      <c r="H551" s="48" t="s">
        <v>56716</v>
      </c>
      <c r="I551" s="48" t="s">
        <v>50564</v>
      </c>
      <c r="J551" s="48" t="s">
        <v>56716</v>
      </c>
      <c r="K551" s="50" t="s">
        <v>56716</v>
      </c>
      <c r="L551" s="48" t="s">
        <v>56716</v>
      </c>
    </row>
    <row r="552" spans="1:12" s="37" customFormat="1" ht="11.25" x14ac:dyDescent="0.2">
      <c r="A552" s="45" t="s">
        <v>20538</v>
      </c>
      <c r="B552" s="45" t="s">
        <v>20540</v>
      </c>
      <c r="C552" s="51" t="s">
        <v>20542</v>
      </c>
      <c r="D552" s="51" t="s">
        <v>20541</v>
      </c>
      <c r="E552" s="45" t="s">
        <v>20543</v>
      </c>
      <c r="F552" s="45" t="s">
        <v>17759</v>
      </c>
      <c r="G552" s="45" t="s">
        <v>50584</v>
      </c>
      <c r="H552" s="56"/>
      <c r="I552" s="56" t="s">
        <v>50564</v>
      </c>
      <c r="J552" s="56"/>
      <c r="K552" s="50"/>
      <c r="L552" s="56" t="s">
        <v>56716</v>
      </c>
    </row>
    <row r="553" spans="1:12" s="37" customFormat="1" ht="11.25" x14ac:dyDescent="0.2">
      <c r="A553" s="46" t="s">
        <v>11609</v>
      </c>
      <c r="B553" s="46" t="s">
        <v>51026</v>
      </c>
      <c r="C553" s="58" t="str">
        <f>"11087471"</f>
        <v>11087471</v>
      </c>
      <c r="D553" s="58" t="str">
        <f>"17927463"</f>
        <v>17927463</v>
      </c>
      <c r="E553" s="46" t="s">
        <v>11612</v>
      </c>
      <c r="F553" s="46" t="s">
        <v>20969</v>
      </c>
      <c r="G553" s="46" t="s">
        <v>50597</v>
      </c>
      <c r="H553" s="48" t="s">
        <v>56716</v>
      </c>
      <c r="I553" s="48" t="s">
        <v>50564</v>
      </c>
      <c r="J553" s="48"/>
      <c r="K553" s="50"/>
      <c r="L553" s="48"/>
    </row>
    <row r="554" spans="1:12" s="37" customFormat="1" ht="11.25" x14ac:dyDescent="0.2">
      <c r="A554" s="46" t="s">
        <v>10730</v>
      </c>
      <c r="B554" s="46" t="s">
        <v>51027</v>
      </c>
      <c r="C554" s="58" t="str">
        <f>""</f>
        <v/>
      </c>
      <c r="D554" s="58" t="str">
        <f>"1744859X"</f>
        <v>1744859X</v>
      </c>
      <c r="E554" s="46" t="s">
        <v>2299</v>
      </c>
      <c r="F554" s="46" t="s">
        <v>50646</v>
      </c>
      <c r="G554" s="46" t="s">
        <v>50584</v>
      </c>
      <c r="H554" s="48" t="s">
        <v>56716</v>
      </c>
      <c r="I554" s="48" t="s">
        <v>50564</v>
      </c>
      <c r="J554" s="48"/>
      <c r="K554" s="50"/>
      <c r="L554" s="48"/>
    </row>
    <row r="555" spans="1:12" s="37" customFormat="1" ht="11.25" x14ac:dyDescent="0.2">
      <c r="A555" s="46" t="s">
        <v>50669</v>
      </c>
      <c r="B555" s="46" t="s">
        <v>51028</v>
      </c>
      <c r="C555" s="58" t="str">
        <f>"22149996"</f>
        <v>22149996</v>
      </c>
      <c r="D555" s="58" t="str">
        <f>""</f>
        <v/>
      </c>
      <c r="E555" s="46" t="s">
        <v>673</v>
      </c>
      <c r="F555" s="46" t="s">
        <v>17759</v>
      </c>
      <c r="G555" s="46" t="s">
        <v>50584</v>
      </c>
      <c r="H555" s="48" t="s">
        <v>56716</v>
      </c>
      <c r="I555" s="48" t="s">
        <v>50564</v>
      </c>
      <c r="J555" s="48"/>
      <c r="K555" s="50"/>
      <c r="L555" s="48" t="s">
        <v>56716</v>
      </c>
    </row>
    <row r="556" spans="1:12" s="37" customFormat="1" ht="11.25" x14ac:dyDescent="0.2">
      <c r="A556" s="45" t="s">
        <v>20552</v>
      </c>
      <c r="B556" s="45" t="s">
        <v>20554</v>
      </c>
      <c r="C556" s="51" t="s">
        <v>20555</v>
      </c>
      <c r="D556" s="51"/>
      <c r="E556" s="45" t="s">
        <v>20556</v>
      </c>
      <c r="F556" s="45" t="s">
        <v>17759</v>
      </c>
      <c r="G556" s="45" t="s">
        <v>50584</v>
      </c>
      <c r="H556" s="56"/>
      <c r="I556" s="56" t="s">
        <v>50564</v>
      </c>
      <c r="J556" s="56"/>
      <c r="K556" s="50"/>
      <c r="L556" s="56" t="s">
        <v>56716</v>
      </c>
    </row>
    <row r="557" spans="1:12" s="37" customFormat="1" ht="11.25" x14ac:dyDescent="0.2">
      <c r="A557" s="46" t="s">
        <v>5542</v>
      </c>
      <c r="B557" s="46" t="s">
        <v>51029</v>
      </c>
      <c r="C557" s="58" t="str">
        <f>"09395555"</f>
        <v>09395555</v>
      </c>
      <c r="D557" s="58" t="str">
        <f>"14320584"</f>
        <v>14320584</v>
      </c>
      <c r="E557" s="46" t="s">
        <v>167</v>
      </c>
      <c r="F557" s="46" t="s">
        <v>18158</v>
      </c>
      <c r="G557" s="46" t="s">
        <v>50584</v>
      </c>
      <c r="H557" s="48" t="s">
        <v>56716</v>
      </c>
      <c r="I557" s="48" t="s">
        <v>50564</v>
      </c>
      <c r="J557" s="48" t="s">
        <v>56716</v>
      </c>
      <c r="K557" s="50" t="s">
        <v>56716</v>
      </c>
      <c r="L557" s="48" t="s">
        <v>56716</v>
      </c>
    </row>
    <row r="558" spans="1:12" s="37" customFormat="1" ht="11.25" x14ac:dyDescent="0.2">
      <c r="A558" s="46" t="s">
        <v>11306</v>
      </c>
      <c r="B558" s="46" t="s">
        <v>51030</v>
      </c>
      <c r="C558" s="58" t="str">
        <f>"16652681"</f>
        <v>16652681</v>
      </c>
      <c r="D558" s="58" t="str">
        <f>""</f>
        <v/>
      </c>
      <c r="E558" s="46" t="s">
        <v>11308</v>
      </c>
      <c r="F558" s="46" t="s">
        <v>18411</v>
      </c>
      <c r="G558" s="46" t="s">
        <v>50584</v>
      </c>
      <c r="H558" s="48" t="s">
        <v>56716</v>
      </c>
      <c r="I558" s="48" t="s">
        <v>50564</v>
      </c>
      <c r="J558" s="48"/>
      <c r="K558" s="50"/>
      <c r="L558" s="48" t="s">
        <v>56716</v>
      </c>
    </row>
    <row r="559" spans="1:12" s="37" customFormat="1" ht="11.25" x14ac:dyDescent="0.2">
      <c r="A559" s="45" t="s">
        <v>20570</v>
      </c>
      <c r="B559" s="45" t="s">
        <v>20572</v>
      </c>
      <c r="C559" s="51" t="s">
        <v>20574</v>
      </c>
      <c r="D559" s="51" t="s">
        <v>20573</v>
      </c>
      <c r="E559" s="45" t="s">
        <v>291</v>
      </c>
      <c r="F559" s="45" t="s">
        <v>50646</v>
      </c>
      <c r="G559" s="45" t="s">
        <v>50584</v>
      </c>
      <c r="H559" s="56"/>
      <c r="I559" s="56" t="s">
        <v>50564</v>
      </c>
      <c r="J559" s="56"/>
      <c r="K559" s="50"/>
      <c r="L559" s="56" t="s">
        <v>56716</v>
      </c>
    </row>
    <row r="560" spans="1:12" s="37" customFormat="1" ht="11.25" x14ac:dyDescent="0.2">
      <c r="A560" s="46" t="s">
        <v>498</v>
      </c>
      <c r="B560" s="46" t="s">
        <v>51031</v>
      </c>
      <c r="C560" s="58" t="str">
        <f>"00034800"</f>
        <v>00034800</v>
      </c>
      <c r="D560" s="58" t="str">
        <f>"14691809"</f>
        <v>14691809</v>
      </c>
      <c r="E560" s="46" t="s">
        <v>35</v>
      </c>
      <c r="F560" s="46" t="s">
        <v>50646</v>
      </c>
      <c r="G560" s="46" t="s">
        <v>50584</v>
      </c>
      <c r="H560" s="48" t="s">
        <v>56716</v>
      </c>
      <c r="I560" s="48" t="s">
        <v>50564</v>
      </c>
      <c r="J560" s="48" t="s">
        <v>56716</v>
      </c>
      <c r="K560" s="50" t="s">
        <v>56716</v>
      </c>
      <c r="L560" s="48" t="s">
        <v>56716</v>
      </c>
    </row>
    <row r="561" spans="1:12" s="37" customFormat="1" ht="11.25" x14ac:dyDescent="0.2">
      <c r="A561" s="46" t="s">
        <v>11548</v>
      </c>
      <c r="B561" s="46" t="s">
        <v>51032</v>
      </c>
      <c r="C561" s="58" t="str">
        <f>"09722327"</f>
        <v>09722327</v>
      </c>
      <c r="D561" s="58" t="str">
        <f>"19983549"</f>
        <v>19983549</v>
      </c>
      <c r="E561" s="46" t="s">
        <v>19057</v>
      </c>
      <c r="F561" s="46" t="s">
        <v>20446</v>
      </c>
      <c r="G561" s="46" t="s">
        <v>50584</v>
      </c>
      <c r="H561" s="48" t="s">
        <v>56716</v>
      </c>
      <c r="I561" s="48" t="s">
        <v>50564</v>
      </c>
      <c r="J561" s="48"/>
      <c r="K561" s="50"/>
      <c r="L561" s="48"/>
    </row>
    <row r="562" spans="1:12" s="37" customFormat="1" ht="11.25" x14ac:dyDescent="0.2">
      <c r="A562" s="46" t="s">
        <v>15806</v>
      </c>
      <c r="B562" s="46" t="s">
        <v>51033</v>
      </c>
      <c r="C562" s="58" t="str">
        <f>""</f>
        <v/>
      </c>
      <c r="D562" s="58" t="str">
        <f>"21105820"</f>
        <v>21105820</v>
      </c>
      <c r="E562" s="46" t="s">
        <v>167</v>
      </c>
      <c r="F562" s="46" t="s">
        <v>18158</v>
      </c>
      <c r="G562" s="46" t="s">
        <v>50584</v>
      </c>
      <c r="H562" s="48" t="s">
        <v>56716</v>
      </c>
      <c r="I562" s="48" t="s">
        <v>50564</v>
      </c>
      <c r="J562" s="48" t="s">
        <v>56716</v>
      </c>
      <c r="K562" s="50"/>
      <c r="L562" s="48"/>
    </row>
    <row r="563" spans="1:12" s="37" customFormat="1" ht="11.25" x14ac:dyDescent="0.2">
      <c r="A563" s="46" t="s">
        <v>256</v>
      </c>
      <c r="B563" s="46" t="s">
        <v>51034</v>
      </c>
      <c r="C563" s="58" t="str">
        <f>"00034819"</f>
        <v>00034819</v>
      </c>
      <c r="D563" s="58" t="str">
        <f>"15393704"</f>
        <v>15393704</v>
      </c>
      <c r="E563" s="46" t="s">
        <v>259</v>
      </c>
      <c r="F563" s="46" t="s">
        <v>17759</v>
      </c>
      <c r="G563" s="46" t="s">
        <v>50584</v>
      </c>
      <c r="H563" s="48" t="s">
        <v>56716</v>
      </c>
      <c r="I563" s="48" t="s">
        <v>50564</v>
      </c>
      <c r="J563" s="48" t="s">
        <v>56716</v>
      </c>
      <c r="K563" s="50"/>
      <c r="L563" s="48" t="s">
        <v>56716</v>
      </c>
    </row>
    <row r="564" spans="1:12" s="37" customFormat="1" ht="11.25" x14ac:dyDescent="0.2">
      <c r="A564" s="45" t="s">
        <v>20591</v>
      </c>
      <c r="B564" s="45" t="s">
        <v>20593</v>
      </c>
      <c r="C564" s="51" t="s">
        <v>20596</v>
      </c>
      <c r="D564" s="51" t="s">
        <v>20595</v>
      </c>
      <c r="E564" s="45" t="s">
        <v>20597</v>
      </c>
      <c r="F564" s="45" t="s">
        <v>50649</v>
      </c>
      <c r="G564" s="45" t="s">
        <v>50584</v>
      </c>
      <c r="H564" s="56"/>
      <c r="I564" s="56" t="s">
        <v>50564</v>
      </c>
      <c r="J564" s="56"/>
      <c r="K564" s="50"/>
      <c r="L564" s="56" t="s">
        <v>56716</v>
      </c>
    </row>
    <row r="565" spans="1:12" s="37" customFormat="1" ht="11.25" x14ac:dyDescent="0.2">
      <c r="A565" s="46" t="s">
        <v>7847</v>
      </c>
      <c r="B565" s="46" t="s">
        <v>51035</v>
      </c>
      <c r="C565" s="58" t="str">
        <f>"15247929"</f>
        <v>15247929</v>
      </c>
      <c r="D565" s="58" t="str">
        <f>"19435010"</f>
        <v>19435010</v>
      </c>
      <c r="E565" s="46" t="s">
        <v>7845</v>
      </c>
      <c r="F565" s="46" t="s">
        <v>17759</v>
      </c>
      <c r="G565" s="46" t="s">
        <v>50584</v>
      </c>
      <c r="H565" s="48" t="s">
        <v>56716</v>
      </c>
      <c r="I565" s="48" t="s">
        <v>50564</v>
      </c>
      <c r="J565" s="48"/>
      <c r="K565" s="50"/>
      <c r="L565" s="48"/>
    </row>
    <row r="566" spans="1:12" s="37" customFormat="1" ht="11.25" x14ac:dyDescent="0.2">
      <c r="A566" s="46" t="s">
        <v>4626</v>
      </c>
      <c r="B566" s="46" t="s">
        <v>51036</v>
      </c>
      <c r="C566" s="58" t="str">
        <f>"07853890"</f>
        <v>07853890</v>
      </c>
      <c r="D566" s="58" t="str">
        <f>"13652060"</f>
        <v>13652060</v>
      </c>
      <c r="E566" s="46" t="s">
        <v>291</v>
      </c>
      <c r="F566" s="46" t="s">
        <v>50646</v>
      </c>
      <c r="G566" s="46" t="s">
        <v>50584</v>
      </c>
      <c r="H566" s="48" t="s">
        <v>56716</v>
      </c>
      <c r="I566" s="48" t="s">
        <v>50564</v>
      </c>
      <c r="J566" s="48" t="s">
        <v>56716</v>
      </c>
      <c r="K566" s="50"/>
      <c r="L566" s="48" t="s">
        <v>56716</v>
      </c>
    </row>
    <row r="567" spans="1:12" s="37" customFormat="1" ht="11.25" x14ac:dyDescent="0.2">
      <c r="A567" s="46" t="s">
        <v>17370</v>
      </c>
      <c r="B567" s="46" t="s">
        <v>51037</v>
      </c>
      <c r="C567" s="58" t="str">
        <f>"20490801"</f>
        <v>20490801</v>
      </c>
      <c r="D567" s="58" t="str">
        <f>""</f>
        <v/>
      </c>
      <c r="E567" s="46" t="s">
        <v>155</v>
      </c>
      <c r="F567" s="46" t="s">
        <v>50646</v>
      </c>
      <c r="G567" s="46" t="s">
        <v>50584</v>
      </c>
      <c r="H567" s="48" t="s">
        <v>56716</v>
      </c>
      <c r="I567" s="48" t="s">
        <v>50564</v>
      </c>
      <c r="J567" s="48" t="s">
        <v>56716</v>
      </c>
      <c r="K567" s="50"/>
      <c r="L567" s="48"/>
    </row>
    <row r="568" spans="1:12" s="37" customFormat="1" ht="11.25" x14ac:dyDescent="0.2">
      <c r="A568" s="46" t="s">
        <v>514</v>
      </c>
      <c r="B568" s="46" t="s">
        <v>51038</v>
      </c>
      <c r="C568" s="58" t="str">
        <f>"03645134"</f>
        <v>03645134</v>
      </c>
      <c r="D568" s="58" t="str">
        <f>"15318249"</f>
        <v>15318249</v>
      </c>
      <c r="E568" s="46" t="s">
        <v>517</v>
      </c>
      <c r="F568" s="46" t="s">
        <v>17759</v>
      </c>
      <c r="G568" s="46" t="s">
        <v>50584</v>
      </c>
      <c r="H568" s="48" t="s">
        <v>56716</v>
      </c>
      <c r="I568" s="48" t="s">
        <v>50564</v>
      </c>
      <c r="J568" s="48" t="s">
        <v>56716</v>
      </c>
      <c r="K568" s="50" t="s">
        <v>56716</v>
      </c>
      <c r="L568" s="48" t="s">
        <v>56716</v>
      </c>
    </row>
    <row r="569" spans="1:12" s="37" customFormat="1" ht="11.25" x14ac:dyDescent="0.2">
      <c r="A569" s="46" t="s">
        <v>15038</v>
      </c>
      <c r="B569" s="46" t="s">
        <v>51039</v>
      </c>
      <c r="C569" s="58" t="str">
        <f>"09727531"</f>
        <v>09727531</v>
      </c>
      <c r="D569" s="58" t="str">
        <f>"09763260"</f>
        <v>09763260</v>
      </c>
      <c r="E569" s="46" t="s">
        <v>15041</v>
      </c>
      <c r="F569" s="46" t="s">
        <v>20446</v>
      </c>
      <c r="G569" s="46" t="s">
        <v>50584</v>
      </c>
      <c r="H569" s="48" t="s">
        <v>56716</v>
      </c>
      <c r="I569" s="48" t="s">
        <v>50564</v>
      </c>
      <c r="J569" s="48"/>
      <c r="K569" s="50"/>
      <c r="L569" s="48"/>
    </row>
    <row r="570" spans="1:12" s="37" customFormat="1" ht="11.25" x14ac:dyDescent="0.2">
      <c r="A570" s="46" t="s">
        <v>7026</v>
      </c>
      <c r="B570" s="46" t="s">
        <v>51040</v>
      </c>
      <c r="C570" s="58" t="str">
        <f>"1082720X"</f>
        <v>1082720X</v>
      </c>
      <c r="D570" s="58" t="str">
        <f>"1542474X"</f>
        <v>1542474X</v>
      </c>
      <c r="E570" s="46" t="s">
        <v>548</v>
      </c>
      <c r="F570" s="46" t="s">
        <v>17759</v>
      </c>
      <c r="G570" s="46" t="s">
        <v>50584</v>
      </c>
      <c r="H570" s="48" t="s">
        <v>56716</v>
      </c>
      <c r="I570" s="48" t="s">
        <v>50564</v>
      </c>
      <c r="J570" s="48" t="s">
        <v>56716</v>
      </c>
      <c r="K570" s="50" t="s">
        <v>56716</v>
      </c>
      <c r="L570" s="48" t="s">
        <v>56716</v>
      </c>
    </row>
    <row r="571" spans="1:12" s="37" customFormat="1" ht="11.25" x14ac:dyDescent="0.2">
      <c r="A571" s="46" t="s">
        <v>4519</v>
      </c>
      <c r="B571" s="46" t="s">
        <v>51041</v>
      </c>
      <c r="C571" s="58" t="str">
        <f>"09147187"</f>
        <v>09147187</v>
      </c>
      <c r="D571" s="58" t="str">
        <f>"18646433"</f>
        <v>18646433</v>
      </c>
      <c r="E571" s="46" t="s">
        <v>23335</v>
      </c>
      <c r="F571" s="46" t="s">
        <v>18242</v>
      </c>
      <c r="G571" s="46" t="s">
        <v>50584</v>
      </c>
      <c r="H571" s="48" t="s">
        <v>56716</v>
      </c>
      <c r="I571" s="48" t="s">
        <v>50564</v>
      </c>
      <c r="J571" s="48" t="s">
        <v>56716</v>
      </c>
      <c r="K571" s="50" t="s">
        <v>56716</v>
      </c>
      <c r="L571" s="48" t="s">
        <v>56716</v>
      </c>
    </row>
    <row r="572" spans="1:12" s="37" customFormat="1" ht="11.25" x14ac:dyDescent="0.2">
      <c r="A572" s="46" t="s">
        <v>542</v>
      </c>
      <c r="B572" s="46" t="s">
        <v>51042</v>
      </c>
      <c r="C572" s="58" t="str">
        <f>"02506807"</f>
        <v>02506807</v>
      </c>
      <c r="D572" s="58" t="str">
        <f>"14219697"</f>
        <v>14219697</v>
      </c>
      <c r="E572" s="46" t="s">
        <v>109</v>
      </c>
      <c r="F572" s="46" t="s">
        <v>18123</v>
      </c>
      <c r="G572" s="46" t="s">
        <v>50584</v>
      </c>
      <c r="H572" s="48" t="s">
        <v>56716</v>
      </c>
      <c r="I572" s="48" t="s">
        <v>50564</v>
      </c>
      <c r="J572" s="48" t="s">
        <v>56716</v>
      </c>
      <c r="K572" s="50" t="s">
        <v>56716</v>
      </c>
      <c r="L572" s="48" t="s">
        <v>56716</v>
      </c>
    </row>
    <row r="573" spans="1:12" s="37" customFormat="1" ht="11.25" x14ac:dyDescent="0.2">
      <c r="A573" s="46" t="s">
        <v>17426</v>
      </c>
      <c r="B573" s="46" t="s">
        <v>51043</v>
      </c>
      <c r="C573" s="58" t="str">
        <f>""</f>
        <v/>
      </c>
      <c r="D573" s="58" t="str">
        <f>"20524374"</f>
        <v>20524374</v>
      </c>
      <c r="E573" s="46" t="s">
        <v>2299</v>
      </c>
      <c r="F573" s="46" t="s">
        <v>50646</v>
      </c>
      <c r="G573" s="46" t="s">
        <v>50584</v>
      </c>
      <c r="H573" s="48" t="s">
        <v>56716</v>
      </c>
      <c r="I573" s="48" t="s">
        <v>50564</v>
      </c>
      <c r="J573" s="48" t="s">
        <v>56716</v>
      </c>
      <c r="K573" s="50"/>
      <c r="L573" s="48"/>
    </row>
    <row r="574" spans="1:12" s="37" customFormat="1" ht="11.25" x14ac:dyDescent="0.2">
      <c r="A574" s="46" t="s">
        <v>5166</v>
      </c>
      <c r="B574" s="46" t="s">
        <v>51044</v>
      </c>
      <c r="C574" s="58" t="str">
        <f>"09237534"</f>
        <v>09237534</v>
      </c>
      <c r="D574" s="58" t="str">
        <f>"15698041"</f>
        <v>15698041</v>
      </c>
      <c r="E574" s="46" t="s">
        <v>55</v>
      </c>
      <c r="F574" s="46" t="s">
        <v>50646</v>
      </c>
      <c r="G574" s="46" t="s">
        <v>50584</v>
      </c>
      <c r="H574" s="48" t="s">
        <v>56716</v>
      </c>
      <c r="I574" s="48" t="s">
        <v>50564</v>
      </c>
      <c r="J574" s="48" t="s">
        <v>56716</v>
      </c>
      <c r="K574" s="50"/>
      <c r="L574" s="48" t="s">
        <v>56716</v>
      </c>
    </row>
    <row r="575" spans="1:12" s="37" customFormat="1" ht="11.25" x14ac:dyDescent="0.2">
      <c r="A575" s="46" t="s">
        <v>559</v>
      </c>
      <c r="B575" s="46" t="s">
        <v>51045</v>
      </c>
      <c r="C575" s="58" t="str">
        <f>"00034894"</f>
        <v>00034894</v>
      </c>
      <c r="D575" s="58" t="str">
        <f>""</f>
        <v/>
      </c>
      <c r="E575" s="46" t="s">
        <v>561</v>
      </c>
      <c r="F575" s="46" t="s">
        <v>17759</v>
      </c>
      <c r="G575" s="46" t="s">
        <v>50584</v>
      </c>
      <c r="H575" s="48" t="s">
        <v>56716</v>
      </c>
      <c r="I575" s="48" t="s">
        <v>50564</v>
      </c>
      <c r="J575" s="48" t="s">
        <v>56716</v>
      </c>
      <c r="K575" s="50"/>
      <c r="L575" s="48" t="s">
        <v>56716</v>
      </c>
    </row>
    <row r="576" spans="1:12" s="37" customFormat="1" ht="11.25" x14ac:dyDescent="0.2">
      <c r="A576" s="45" t="s">
        <v>20652</v>
      </c>
      <c r="B576" s="45" t="s">
        <v>20654</v>
      </c>
      <c r="C576" s="51" t="s">
        <v>20656</v>
      </c>
      <c r="D576" s="51"/>
      <c r="E576" s="45" t="s">
        <v>20657</v>
      </c>
      <c r="F576" s="45" t="s">
        <v>17967</v>
      </c>
      <c r="G576" s="45" t="s">
        <v>50584</v>
      </c>
      <c r="H576" s="56"/>
      <c r="I576" s="56" t="s">
        <v>50564</v>
      </c>
      <c r="J576" s="56"/>
      <c r="K576" s="50"/>
      <c r="L576" s="56" t="s">
        <v>56716</v>
      </c>
    </row>
    <row r="577" spans="1:12" s="37" customFormat="1" ht="11.25" x14ac:dyDescent="0.2">
      <c r="A577" s="46" t="s">
        <v>13128</v>
      </c>
      <c r="B577" s="46" t="s">
        <v>51046</v>
      </c>
      <c r="C577" s="58" t="str">
        <f>"09742069"</f>
        <v>09742069</v>
      </c>
      <c r="D577" s="58" t="str">
        <f>"09745149"</f>
        <v>09745149</v>
      </c>
      <c r="E577" s="46" t="s">
        <v>19057</v>
      </c>
      <c r="F577" s="46" t="s">
        <v>20446</v>
      </c>
      <c r="G577" s="46" t="s">
        <v>50584</v>
      </c>
      <c r="H577" s="48" t="s">
        <v>56716</v>
      </c>
      <c r="I577" s="48" t="s">
        <v>50564</v>
      </c>
      <c r="J577" s="48"/>
      <c r="K577" s="50"/>
      <c r="L577" s="48"/>
    </row>
    <row r="578" spans="1:12" s="37" customFormat="1" ht="11.25" x14ac:dyDescent="0.2">
      <c r="A578" s="46" t="s">
        <v>56179</v>
      </c>
      <c r="B578" s="46" t="s">
        <v>56180</v>
      </c>
      <c r="C578" s="58" t="str">
        <f>"22871012"</f>
        <v>22871012</v>
      </c>
      <c r="D578" s="58" t="str">
        <f>"22871292"</f>
        <v>22871292</v>
      </c>
      <c r="E578" s="46" t="s">
        <v>56181</v>
      </c>
      <c r="F578" s="46" t="s">
        <v>50649</v>
      </c>
      <c r="G578" s="46" t="s">
        <v>50584</v>
      </c>
      <c r="H578" s="48" t="s">
        <v>56716</v>
      </c>
      <c r="I578" s="48" t="s">
        <v>50564</v>
      </c>
      <c r="J578" s="48"/>
      <c r="K578" s="50"/>
      <c r="L578" s="48"/>
    </row>
    <row r="579" spans="1:12" s="37" customFormat="1" ht="11.25" x14ac:dyDescent="0.2">
      <c r="A579" s="46" t="s">
        <v>5817</v>
      </c>
      <c r="B579" s="46" t="s">
        <v>51047</v>
      </c>
      <c r="C579" s="58" t="str">
        <f>"10600280"</f>
        <v>10600280</v>
      </c>
      <c r="D579" s="58" t="str">
        <f>"15426270"</f>
        <v>15426270</v>
      </c>
      <c r="E579" s="46" t="s">
        <v>493</v>
      </c>
      <c r="F579" s="46" t="s">
        <v>17759</v>
      </c>
      <c r="G579" s="46" t="s">
        <v>50584</v>
      </c>
      <c r="H579" s="48" t="s">
        <v>56716</v>
      </c>
      <c r="I579" s="48" t="s">
        <v>50564</v>
      </c>
      <c r="J579" s="48" t="s">
        <v>56716</v>
      </c>
      <c r="K579" s="50"/>
      <c r="L579" s="48" t="s">
        <v>56716</v>
      </c>
    </row>
    <row r="580" spans="1:12" s="37" customFormat="1" ht="11.25" x14ac:dyDescent="0.2">
      <c r="A580" s="46" t="s">
        <v>12907</v>
      </c>
      <c r="B580" s="46" t="s">
        <v>51048</v>
      </c>
      <c r="C580" s="58" t="str">
        <f>"18770657"</f>
        <v>18770657</v>
      </c>
      <c r="D580" s="58" t="str">
        <f>"18770665"</f>
        <v>18770665</v>
      </c>
      <c r="E580" s="46" t="s">
        <v>85</v>
      </c>
      <c r="F580" s="46" t="s">
        <v>20359</v>
      </c>
      <c r="G580" s="46" t="s">
        <v>50590</v>
      </c>
      <c r="H580" s="48" t="s">
        <v>56716</v>
      </c>
      <c r="I580" s="48" t="s">
        <v>50564</v>
      </c>
      <c r="J580" s="48"/>
      <c r="K580" s="50" t="s">
        <v>56716</v>
      </c>
      <c r="L580" s="48" t="s">
        <v>56716</v>
      </c>
    </row>
    <row r="581" spans="1:12" s="37" customFormat="1" ht="11.25" x14ac:dyDescent="0.2">
      <c r="A581" s="45" t="s">
        <v>20672</v>
      </c>
      <c r="B581" s="45" t="s">
        <v>20674</v>
      </c>
      <c r="C581" s="51" t="s">
        <v>20676</v>
      </c>
      <c r="D581" s="51" t="s">
        <v>20675</v>
      </c>
      <c r="E581" s="45" t="s">
        <v>20677</v>
      </c>
      <c r="F581" s="45" t="s">
        <v>17759</v>
      </c>
      <c r="G581" s="45" t="s">
        <v>50584</v>
      </c>
      <c r="H581" s="56"/>
      <c r="I581" s="56" t="s">
        <v>50564</v>
      </c>
      <c r="J581" s="56"/>
      <c r="K581" s="50"/>
      <c r="L581" s="56" t="s">
        <v>56716</v>
      </c>
    </row>
    <row r="582" spans="1:12" s="37" customFormat="1" ht="11.25" x14ac:dyDescent="0.2">
      <c r="A582" s="46" t="s">
        <v>15097</v>
      </c>
      <c r="B582" s="46" t="s">
        <v>51049</v>
      </c>
      <c r="C582" s="58" t="str">
        <f>"20424701"</f>
        <v>20424701</v>
      </c>
      <c r="D582" s="58" t="str">
        <f>""</f>
        <v/>
      </c>
      <c r="E582" s="46" t="s">
        <v>14922</v>
      </c>
      <c r="F582" s="46" t="s">
        <v>50646</v>
      </c>
      <c r="G582" s="46" t="s">
        <v>50584</v>
      </c>
      <c r="H582" s="48" t="s">
        <v>56716</v>
      </c>
      <c r="I582" s="48" t="s">
        <v>50564</v>
      </c>
      <c r="J582" s="48"/>
      <c r="K582" s="50"/>
      <c r="L582" s="48"/>
    </row>
    <row r="583" spans="1:12" s="37" customFormat="1" ht="11.25" x14ac:dyDescent="0.2">
      <c r="A583" s="46" t="s">
        <v>4886</v>
      </c>
      <c r="B583" s="46" t="s">
        <v>51050</v>
      </c>
      <c r="C583" s="58" t="str">
        <f>"02564947"</f>
        <v>02564947</v>
      </c>
      <c r="D583" s="58" t="str">
        <f>"09754466"</f>
        <v>09754466</v>
      </c>
      <c r="E583" s="46" t="s">
        <v>4889</v>
      </c>
      <c r="F583" s="46" t="s">
        <v>20446</v>
      </c>
      <c r="G583" s="46" t="s">
        <v>50584</v>
      </c>
      <c r="H583" s="48" t="s">
        <v>56716</v>
      </c>
      <c r="I583" s="48" t="s">
        <v>50564</v>
      </c>
      <c r="J583" s="48" t="s">
        <v>56716</v>
      </c>
      <c r="K583" s="50"/>
      <c r="L583" s="48" t="s">
        <v>56716</v>
      </c>
    </row>
    <row r="584" spans="1:12" s="37" customFormat="1" ht="11.25" x14ac:dyDescent="0.2">
      <c r="A584" s="45" t="s">
        <v>20685</v>
      </c>
      <c r="B584" s="45" t="s">
        <v>20687</v>
      </c>
      <c r="C584" s="51" t="s">
        <v>20688</v>
      </c>
      <c r="D584" s="51"/>
      <c r="E584" s="45" t="s">
        <v>18404</v>
      </c>
      <c r="F584" s="45" t="s">
        <v>50646</v>
      </c>
      <c r="G584" s="45" t="s">
        <v>50584</v>
      </c>
      <c r="H584" s="56"/>
      <c r="I584" s="56" t="s">
        <v>50564</v>
      </c>
      <c r="J584" s="56"/>
      <c r="K584" s="50"/>
      <c r="L584" s="56" t="s">
        <v>56716</v>
      </c>
    </row>
    <row r="585" spans="1:12" s="37" customFormat="1" ht="11.25" x14ac:dyDescent="0.2">
      <c r="A585" s="46" t="s">
        <v>531</v>
      </c>
      <c r="B585" s="46" t="s">
        <v>51051</v>
      </c>
      <c r="C585" s="58" t="str">
        <f>"00034932"</f>
        <v>00034932</v>
      </c>
      <c r="D585" s="58" t="str">
        <f>"15281140"</f>
        <v>15281140</v>
      </c>
      <c r="E585" s="46" t="s">
        <v>28</v>
      </c>
      <c r="F585" s="46" t="s">
        <v>17759</v>
      </c>
      <c r="G585" s="46" t="s">
        <v>50584</v>
      </c>
      <c r="H585" s="48" t="s">
        <v>56716</v>
      </c>
      <c r="I585" s="48" t="s">
        <v>50564</v>
      </c>
      <c r="J585" s="48" t="s">
        <v>56716</v>
      </c>
      <c r="K585" s="50" t="s">
        <v>56716</v>
      </c>
      <c r="L585" s="48" t="s">
        <v>56716</v>
      </c>
    </row>
    <row r="586" spans="1:12" s="37" customFormat="1" ht="11.25" x14ac:dyDescent="0.2">
      <c r="A586" s="46" t="s">
        <v>7598</v>
      </c>
      <c r="B586" s="46" t="s">
        <v>51052</v>
      </c>
      <c r="C586" s="58" t="str">
        <f>"10689265"</f>
        <v>10689265</v>
      </c>
      <c r="D586" s="58" t="str">
        <f>"15344681"</f>
        <v>15344681</v>
      </c>
      <c r="E586" s="46" t="s">
        <v>56305</v>
      </c>
      <c r="F586" s="46" t="s">
        <v>17759</v>
      </c>
      <c r="G586" s="46" t="s">
        <v>50584</v>
      </c>
      <c r="H586" s="48" t="s">
        <v>56716</v>
      </c>
      <c r="I586" s="48" t="s">
        <v>50564</v>
      </c>
      <c r="J586" s="48"/>
      <c r="K586" s="50" t="s">
        <v>56716</v>
      </c>
      <c r="L586" s="48" t="s">
        <v>56716</v>
      </c>
    </row>
    <row r="587" spans="1:12" s="37" customFormat="1" ht="11.25" x14ac:dyDescent="0.2">
      <c r="A587" s="46" t="s">
        <v>43</v>
      </c>
      <c r="B587" s="46" t="s">
        <v>51053</v>
      </c>
      <c r="C587" s="58" t="str">
        <f>"03044602"</f>
        <v>03044602</v>
      </c>
      <c r="D587" s="58" t="str">
        <f>""</f>
        <v/>
      </c>
      <c r="E587" s="46" t="s">
        <v>45</v>
      </c>
      <c r="F587" s="46" t="s">
        <v>19491</v>
      </c>
      <c r="G587" s="46" t="s">
        <v>50584</v>
      </c>
      <c r="H587" s="48" t="s">
        <v>56716</v>
      </c>
      <c r="I587" s="48" t="s">
        <v>50564</v>
      </c>
      <c r="J587" s="48"/>
      <c r="K587" s="50"/>
      <c r="L587" s="48" t="s">
        <v>56716</v>
      </c>
    </row>
    <row r="588" spans="1:12" s="37" customFormat="1" ht="11.25" x14ac:dyDescent="0.2">
      <c r="A588" s="46" t="s">
        <v>16785</v>
      </c>
      <c r="B588" s="46" t="s">
        <v>55833</v>
      </c>
      <c r="C588" s="58" t="str">
        <f>"23256621"</f>
        <v>23256621</v>
      </c>
      <c r="D588" s="58" t="str">
        <f>""</f>
        <v/>
      </c>
      <c r="E588" s="46" t="s">
        <v>6170</v>
      </c>
      <c r="F588" s="46" t="s">
        <v>17759</v>
      </c>
      <c r="G588" s="46" t="s">
        <v>50584</v>
      </c>
      <c r="H588" s="48" t="s">
        <v>56716</v>
      </c>
      <c r="I588" s="48" t="s">
        <v>50564</v>
      </c>
      <c r="J588" s="48"/>
      <c r="K588" s="50"/>
      <c r="L588" s="48" t="s">
        <v>56716</v>
      </c>
    </row>
    <row r="589" spans="1:12" s="37" customFormat="1" ht="11.25" x14ac:dyDescent="0.2">
      <c r="A589" s="46" t="s">
        <v>501</v>
      </c>
      <c r="B589" s="46" t="s">
        <v>51054</v>
      </c>
      <c r="C589" s="58" t="str">
        <f>"01466453"</f>
        <v>01466453</v>
      </c>
      <c r="D589" s="58" t="str">
        <f>"1872969X"</f>
        <v>1872969X</v>
      </c>
      <c r="E589" s="46" t="s">
        <v>97</v>
      </c>
      <c r="F589" s="46" t="s">
        <v>50646</v>
      </c>
      <c r="G589" s="46" t="s">
        <v>50584</v>
      </c>
      <c r="H589" s="48" t="s">
        <v>56716</v>
      </c>
      <c r="I589" s="48" t="s">
        <v>50564</v>
      </c>
      <c r="J589" s="48"/>
      <c r="K589" s="50"/>
      <c r="L589" s="48" t="s">
        <v>56716</v>
      </c>
    </row>
    <row r="590" spans="1:12" s="37" customFormat="1" ht="11.25" x14ac:dyDescent="0.2">
      <c r="A590" s="46" t="s">
        <v>545</v>
      </c>
      <c r="B590" s="46" t="s">
        <v>51055</v>
      </c>
      <c r="C590" s="58" t="str">
        <f>"00778923"</f>
        <v>00778923</v>
      </c>
      <c r="D590" s="58" t="str">
        <f>"17496632"</f>
        <v>17496632</v>
      </c>
      <c r="E590" s="46" t="s">
        <v>548</v>
      </c>
      <c r="F590" s="46" t="s">
        <v>17759</v>
      </c>
      <c r="G590" s="46" t="s">
        <v>50584</v>
      </c>
      <c r="H590" s="48" t="s">
        <v>56716</v>
      </c>
      <c r="I590" s="48" t="s">
        <v>50565</v>
      </c>
      <c r="J590" s="48"/>
      <c r="K590" s="50" t="s">
        <v>56716</v>
      </c>
      <c r="L590" s="48" t="s">
        <v>56716</v>
      </c>
    </row>
    <row r="591" spans="1:12" s="37" customFormat="1" ht="11.25" x14ac:dyDescent="0.2">
      <c r="A591" s="46" t="s">
        <v>623</v>
      </c>
      <c r="B591" s="46" t="s">
        <v>51056</v>
      </c>
      <c r="C591" s="58" t="str">
        <f>"00034967"</f>
        <v>00034967</v>
      </c>
      <c r="D591" s="58" t="str">
        <f>"14682060"</f>
        <v>14682060</v>
      </c>
      <c r="E591" s="46" t="s">
        <v>159</v>
      </c>
      <c r="F591" s="46" t="s">
        <v>50646</v>
      </c>
      <c r="G591" s="46" t="s">
        <v>50584</v>
      </c>
      <c r="H591" s="48" t="s">
        <v>56716</v>
      </c>
      <c r="I591" s="48" t="s">
        <v>50564</v>
      </c>
      <c r="J591" s="48" t="s">
        <v>56716</v>
      </c>
      <c r="K591" s="50" t="s">
        <v>56716</v>
      </c>
      <c r="L591" s="48" t="s">
        <v>56716</v>
      </c>
    </row>
    <row r="592" spans="1:12" s="37" customFormat="1" ht="11.25" x14ac:dyDescent="0.2">
      <c r="A592" s="45" t="s">
        <v>20748</v>
      </c>
      <c r="B592" s="45" t="s">
        <v>20750</v>
      </c>
      <c r="C592" s="51" t="s">
        <v>20752</v>
      </c>
      <c r="D592" s="51" t="s">
        <v>20751</v>
      </c>
      <c r="E592" s="45" t="s">
        <v>20753</v>
      </c>
      <c r="F592" s="45" t="s">
        <v>50646</v>
      </c>
      <c r="G592" s="45" t="s">
        <v>50584</v>
      </c>
      <c r="H592" s="56"/>
      <c r="I592" s="56" t="s">
        <v>50564</v>
      </c>
      <c r="J592" s="56"/>
      <c r="K592" s="50"/>
      <c r="L592" s="56" t="s">
        <v>56716</v>
      </c>
    </row>
    <row r="593" spans="1:12" s="37" customFormat="1" ht="11.25" x14ac:dyDescent="0.2">
      <c r="A593" s="45" t="s">
        <v>20755</v>
      </c>
      <c r="B593" s="45" t="s">
        <v>20757</v>
      </c>
      <c r="C593" s="51" t="s">
        <v>20759</v>
      </c>
      <c r="D593" s="51" t="s">
        <v>20758</v>
      </c>
      <c r="E593" s="45" t="s">
        <v>20760</v>
      </c>
      <c r="F593" s="45" t="s">
        <v>18242</v>
      </c>
      <c r="G593" s="45" t="s">
        <v>50584</v>
      </c>
      <c r="H593" s="56"/>
      <c r="I593" s="56" t="s">
        <v>50564</v>
      </c>
      <c r="J593" s="56"/>
      <c r="K593" s="50"/>
      <c r="L593" s="56" t="s">
        <v>56716</v>
      </c>
    </row>
    <row r="594" spans="1:12" s="37" customFormat="1" ht="11.25" x14ac:dyDescent="0.2">
      <c r="A594" s="46" t="s">
        <v>11551</v>
      </c>
      <c r="B594" s="46" t="s">
        <v>51057</v>
      </c>
      <c r="C594" s="58" t="str">
        <f>"18171737"</f>
        <v>18171737</v>
      </c>
      <c r="D594" s="58" t="str">
        <f>"19983557"</f>
        <v>19983557</v>
      </c>
      <c r="E594" s="46" t="s">
        <v>19057</v>
      </c>
      <c r="F594" s="46" t="s">
        <v>20446</v>
      </c>
      <c r="G594" s="46" t="s">
        <v>50584</v>
      </c>
      <c r="H594" s="48" t="s">
        <v>56716</v>
      </c>
      <c r="I594" s="48" t="s">
        <v>50564</v>
      </c>
      <c r="J594" s="48"/>
      <c r="K594" s="50"/>
      <c r="L594" s="48"/>
    </row>
    <row r="595" spans="1:12" s="37" customFormat="1" ht="11.25" x14ac:dyDescent="0.2">
      <c r="A595" s="46" t="s">
        <v>670</v>
      </c>
      <c r="B595" s="46" t="s">
        <v>51058</v>
      </c>
      <c r="C595" s="58" t="str">
        <f>"00034975"</f>
        <v>00034975</v>
      </c>
      <c r="D595" s="58" t="str">
        <f>"15526259"</f>
        <v>15526259</v>
      </c>
      <c r="E595" s="46" t="s">
        <v>673</v>
      </c>
      <c r="F595" s="46" t="s">
        <v>17759</v>
      </c>
      <c r="G595" s="46" t="s">
        <v>50584</v>
      </c>
      <c r="H595" s="48" t="s">
        <v>56716</v>
      </c>
      <c r="I595" s="48" t="s">
        <v>50564</v>
      </c>
      <c r="J595" s="48" t="s">
        <v>56716</v>
      </c>
      <c r="K595" s="50" t="s">
        <v>56716</v>
      </c>
      <c r="L595" s="48" t="s">
        <v>56716</v>
      </c>
    </row>
    <row r="596" spans="1:12" s="37" customFormat="1" ht="11.25" x14ac:dyDescent="0.2">
      <c r="A596" s="46" t="s">
        <v>13780</v>
      </c>
      <c r="B596" s="46" t="s">
        <v>51059</v>
      </c>
      <c r="C596" s="58" t="str">
        <f>"14259524"</f>
        <v>14259524</v>
      </c>
      <c r="D596" s="58" t="str">
        <f>""</f>
        <v/>
      </c>
      <c r="E596" s="46" t="s">
        <v>9858</v>
      </c>
      <c r="F596" s="46" t="s">
        <v>17967</v>
      </c>
      <c r="G596" s="46" t="s">
        <v>50584</v>
      </c>
      <c r="H596" s="48" t="s">
        <v>56716</v>
      </c>
      <c r="I596" s="48" t="s">
        <v>50564</v>
      </c>
      <c r="J596" s="48"/>
      <c r="K596" s="50"/>
      <c r="L596" s="48" t="s">
        <v>56716</v>
      </c>
    </row>
    <row r="597" spans="1:12" s="37" customFormat="1" ht="11.25" x14ac:dyDescent="0.2">
      <c r="A597" s="46" t="s">
        <v>13125</v>
      </c>
      <c r="B597" s="46" t="s">
        <v>51060</v>
      </c>
      <c r="C597" s="58" t="str">
        <f>"17556783"</f>
        <v>17556783</v>
      </c>
      <c r="D597" s="58" t="str">
        <f>"09746005"</f>
        <v>09746005</v>
      </c>
      <c r="E597" s="46" t="s">
        <v>19057</v>
      </c>
      <c r="F597" s="46" t="s">
        <v>20446</v>
      </c>
      <c r="G597" s="46" t="s">
        <v>50584</v>
      </c>
      <c r="H597" s="48" t="s">
        <v>56716</v>
      </c>
      <c r="I597" s="48" t="s">
        <v>50564</v>
      </c>
      <c r="J597" s="48"/>
      <c r="K597" s="50"/>
      <c r="L597" s="48"/>
    </row>
    <row r="598" spans="1:12" s="37" customFormat="1" ht="11.25" x14ac:dyDescent="0.2">
      <c r="A598" s="46" t="s">
        <v>5105</v>
      </c>
      <c r="B598" s="46" t="s">
        <v>51061</v>
      </c>
      <c r="C598" s="58" t="str">
        <f>"08905096"</f>
        <v>08905096</v>
      </c>
      <c r="D598" s="58" t="str">
        <f>"16155947"</f>
        <v>16155947</v>
      </c>
      <c r="E598" s="46" t="s">
        <v>272</v>
      </c>
      <c r="F598" s="46" t="s">
        <v>17759</v>
      </c>
      <c r="G598" s="46" t="s">
        <v>50584</v>
      </c>
      <c r="H598" s="48" t="s">
        <v>56716</v>
      </c>
      <c r="I598" s="48" t="s">
        <v>50564</v>
      </c>
      <c r="J598" s="48" t="s">
        <v>56716</v>
      </c>
      <c r="K598" s="50" t="s">
        <v>56716</v>
      </c>
      <c r="L598" s="48" t="s">
        <v>56716</v>
      </c>
    </row>
    <row r="599" spans="1:12" s="37" customFormat="1" ht="11.25" x14ac:dyDescent="0.2">
      <c r="A599" s="46" t="s">
        <v>3817</v>
      </c>
      <c r="B599" s="46" t="s">
        <v>51062</v>
      </c>
      <c r="C599" s="58" t="str">
        <f>"05598680"</f>
        <v>05598680</v>
      </c>
      <c r="D599" s="58" t="str">
        <f>""</f>
        <v/>
      </c>
      <c r="E599" s="46" t="s">
        <v>3819</v>
      </c>
      <c r="F599" s="46" t="s">
        <v>18242</v>
      </c>
      <c r="G599" s="46" t="s">
        <v>50605</v>
      </c>
      <c r="H599" s="48" t="s">
        <v>56716</v>
      </c>
      <c r="I599" s="48" t="s">
        <v>50564</v>
      </c>
      <c r="J599" s="48"/>
      <c r="K599" s="50"/>
      <c r="L599" s="48"/>
    </row>
    <row r="600" spans="1:12" s="37" customFormat="1" ht="11.25" x14ac:dyDescent="0.2">
      <c r="A600" s="46" t="s">
        <v>10825</v>
      </c>
      <c r="B600" s="46" t="s">
        <v>51063</v>
      </c>
      <c r="C600" s="58" t="str">
        <f>"00657743"</f>
        <v>00657743</v>
      </c>
      <c r="D600" s="58" t="str">
        <f>""</f>
        <v/>
      </c>
      <c r="E600" s="46" t="s">
        <v>60</v>
      </c>
      <c r="F600" s="46" t="s">
        <v>17759</v>
      </c>
      <c r="G600" s="46" t="s">
        <v>50584</v>
      </c>
      <c r="H600" s="48" t="s">
        <v>56716</v>
      </c>
      <c r="I600" s="48" t="s">
        <v>50565</v>
      </c>
      <c r="J600" s="48" t="s">
        <v>56716</v>
      </c>
      <c r="K600" s="50"/>
      <c r="L600" s="48"/>
    </row>
    <row r="601" spans="1:12" s="37" customFormat="1" ht="11.25" x14ac:dyDescent="0.2">
      <c r="A601" s="45" t="s">
        <v>20779</v>
      </c>
      <c r="B601" s="45" t="s">
        <v>20781</v>
      </c>
      <c r="C601" s="51" t="s">
        <v>20783</v>
      </c>
      <c r="D601" s="51" t="s">
        <v>20782</v>
      </c>
      <c r="E601" s="45" t="s">
        <v>20784</v>
      </c>
      <c r="F601" s="45" t="s">
        <v>17759</v>
      </c>
      <c r="G601" s="45" t="s">
        <v>50584</v>
      </c>
      <c r="H601" s="56"/>
      <c r="I601" s="56" t="s">
        <v>50564</v>
      </c>
      <c r="J601" s="56"/>
      <c r="K601" s="50"/>
      <c r="L601" s="56" t="s">
        <v>56716</v>
      </c>
    </row>
    <row r="602" spans="1:12" s="37" customFormat="1" ht="11.25" x14ac:dyDescent="0.2">
      <c r="A602" s="45" t="s">
        <v>56518</v>
      </c>
      <c r="B602" s="45" t="s">
        <v>56519</v>
      </c>
      <c r="C602" s="51" t="s">
        <v>56520</v>
      </c>
      <c r="D602" s="51" t="s">
        <v>56521</v>
      </c>
      <c r="E602" s="45" t="s">
        <v>20784</v>
      </c>
      <c r="F602" s="45" t="s">
        <v>17759</v>
      </c>
      <c r="G602" s="45" t="s">
        <v>50584</v>
      </c>
      <c r="H602" s="56"/>
      <c r="I602" s="56" t="s">
        <v>50564</v>
      </c>
      <c r="J602" s="56"/>
      <c r="K602" s="50"/>
      <c r="L602" s="56" t="s">
        <v>56716</v>
      </c>
    </row>
    <row r="603" spans="1:12" s="37" customFormat="1" ht="11.25" x14ac:dyDescent="0.2">
      <c r="A603" s="46" t="s">
        <v>615</v>
      </c>
      <c r="B603" s="46" t="s">
        <v>51064</v>
      </c>
      <c r="C603" s="58" t="str">
        <f>"00664154"</f>
        <v>00664154</v>
      </c>
      <c r="D603" s="58" t="str">
        <f>"15454509"</f>
        <v>15454509</v>
      </c>
      <c r="E603" s="46" t="s">
        <v>618</v>
      </c>
      <c r="F603" s="46" t="s">
        <v>17759</v>
      </c>
      <c r="G603" s="46" t="s">
        <v>50584</v>
      </c>
      <c r="H603" s="48" t="s">
        <v>56716</v>
      </c>
      <c r="I603" s="48" t="s">
        <v>50565</v>
      </c>
      <c r="J603" s="48" t="s">
        <v>56716</v>
      </c>
      <c r="K603" s="50"/>
      <c r="L603" s="48" t="s">
        <v>56716</v>
      </c>
    </row>
    <row r="604" spans="1:12" s="37" customFormat="1" ht="11.25" x14ac:dyDescent="0.2">
      <c r="A604" s="46" t="s">
        <v>8486</v>
      </c>
      <c r="B604" s="46" t="s">
        <v>51065</v>
      </c>
      <c r="C604" s="58" t="str">
        <f>"15239829"</f>
        <v>15239829</v>
      </c>
      <c r="D604" s="58" t="str">
        <f>"15454274"</f>
        <v>15454274</v>
      </c>
      <c r="E604" s="46" t="s">
        <v>618</v>
      </c>
      <c r="F604" s="46" t="s">
        <v>17759</v>
      </c>
      <c r="G604" s="46" t="s">
        <v>50584</v>
      </c>
      <c r="H604" s="48" t="s">
        <v>56716</v>
      </c>
      <c r="I604" s="48" t="s">
        <v>50565</v>
      </c>
      <c r="J604" s="48"/>
      <c r="K604" s="50"/>
      <c r="L604" s="48" t="s">
        <v>56716</v>
      </c>
    </row>
    <row r="605" spans="1:12" s="37" customFormat="1" ht="11.25" x14ac:dyDescent="0.2">
      <c r="A605" s="46" t="s">
        <v>8427</v>
      </c>
      <c r="B605" s="46" t="s">
        <v>51066</v>
      </c>
      <c r="C605" s="58" t="str">
        <f>"18068774"</f>
        <v>18068774</v>
      </c>
      <c r="D605" s="58" t="str">
        <f>""</f>
        <v/>
      </c>
      <c r="E605" s="46" t="s">
        <v>8429</v>
      </c>
      <c r="F605" s="46" t="s">
        <v>18058</v>
      </c>
      <c r="G605" s="46" t="s">
        <v>50616</v>
      </c>
      <c r="H605" s="48" t="s">
        <v>56716</v>
      </c>
      <c r="I605" s="48" t="s">
        <v>50564</v>
      </c>
      <c r="J605" s="48"/>
      <c r="K605" s="50"/>
      <c r="L605" s="48"/>
    </row>
    <row r="606" spans="1:12" s="37" customFormat="1" ht="11.25" x14ac:dyDescent="0.2">
      <c r="A606" s="46" t="s">
        <v>12904</v>
      </c>
      <c r="B606" s="46" t="s">
        <v>51067</v>
      </c>
      <c r="C606" s="58" t="str">
        <f>"1936122X"</f>
        <v>1936122X</v>
      </c>
      <c r="D606" s="58" t="str">
        <f>"19361238"</f>
        <v>19361238</v>
      </c>
      <c r="E606" s="46" t="s">
        <v>618</v>
      </c>
      <c r="F606" s="46" t="s">
        <v>17759</v>
      </c>
      <c r="G606" s="46" t="s">
        <v>50584</v>
      </c>
      <c r="H606" s="48" t="s">
        <v>56716</v>
      </c>
      <c r="I606" s="48" t="s">
        <v>50565</v>
      </c>
      <c r="J606" s="48" t="s">
        <v>56716</v>
      </c>
      <c r="K606" s="50"/>
      <c r="L606" s="48" t="s">
        <v>56716</v>
      </c>
    </row>
    <row r="607" spans="1:12" s="37" customFormat="1" ht="11.25" x14ac:dyDescent="0.2">
      <c r="A607" s="46" t="s">
        <v>6919</v>
      </c>
      <c r="B607" s="46" t="s">
        <v>51068</v>
      </c>
      <c r="C607" s="58" t="str">
        <f>"10810706"</f>
        <v>10810706</v>
      </c>
      <c r="D607" s="58" t="str">
        <f>"15308995"</f>
        <v>15308995</v>
      </c>
      <c r="E607" s="46" t="s">
        <v>618</v>
      </c>
      <c r="F607" s="46" t="s">
        <v>17759</v>
      </c>
      <c r="G607" s="46" t="s">
        <v>50584</v>
      </c>
      <c r="H607" s="48" t="s">
        <v>56716</v>
      </c>
      <c r="I607" s="48" t="s">
        <v>50565</v>
      </c>
      <c r="J607" s="48" t="s">
        <v>56716</v>
      </c>
      <c r="K607" s="50"/>
      <c r="L607" s="48" t="s">
        <v>56716</v>
      </c>
    </row>
    <row r="608" spans="1:12" s="37" customFormat="1" ht="11.25" x14ac:dyDescent="0.2">
      <c r="A608" s="45" t="s">
        <v>20807</v>
      </c>
      <c r="B608" s="45" t="s">
        <v>20809</v>
      </c>
      <c r="C608" s="51" t="s">
        <v>20811</v>
      </c>
      <c r="D608" s="51" t="s">
        <v>20810</v>
      </c>
      <c r="E608" s="45" t="s">
        <v>20784</v>
      </c>
      <c r="F608" s="45" t="s">
        <v>17759</v>
      </c>
      <c r="G608" s="45" t="s">
        <v>50584</v>
      </c>
      <c r="H608" s="56"/>
      <c r="I608" s="56" t="s">
        <v>50564</v>
      </c>
      <c r="J608" s="56"/>
      <c r="K608" s="50"/>
      <c r="L608" s="56" t="s">
        <v>56716</v>
      </c>
    </row>
    <row r="609" spans="1:12" s="37" customFormat="1" ht="11.25" x14ac:dyDescent="0.2">
      <c r="A609" s="46" t="s">
        <v>10948</v>
      </c>
      <c r="B609" s="46" t="s">
        <v>51069</v>
      </c>
      <c r="C609" s="58" t="str">
        <f>"15485943"</f>
        <v>15485943</v>
      </c>
      <c r="D609" s="58" t="str">
        <f>"15485951"</f>
        <v>15485951</v>
      </c>
      <c r="E609" s="46" t="s">
        <v>618</v>
      </c>
      <c r="F609" s="46" t="s">
        <v>17759</v>
      </c>
      <c r="G609" s="46" t="s">
        <v>50584</v>
      </c>
      <c r="H609" s="48" t="s">
        <v>56716</v>
      </c>
      <c r="I609" s="48" t="s">
        <v>50565</v>
      </c>
      <c r="J609" s="48"/>
      <c r="K609" s="50"/>
      <c r="L609" s="48" t="s">
        <v>56716</v>
      </c>
    </row>
    <row r="610" spans="1:12" s="37" customFormat="1" ht="11.25" x14ac:dyDescent="0.2">
      <c r="A610" s="46" t="s">
        <v>12934</v>
      </c>
      <c r="B610" s="46" t="s">
        <v>51070</v>
      </c>
      <c r="C610" s="58" t="str">
        <f>"15548716"</f>
        <v>15548716</v>
      </c>
      <c r="D610" s="58" t="str">
        <f>""</f>
        <v/>
      </c>
      <c r="E610" s="46" t="s">
        <v>55905</v>
      </c>
      <c r="F610" s="46" t="s">
        <v>17929</v>
      </c>
      <c r="G610" s="46" t="s">
        <v>50584</v>
      </c>
      <c r="H610" s="48" t="s">
        <v>56716</v>
      </c>
      <c r="I610" s="48" t="s">
        <v>50564</v>
      </c>
      <c r="J610" s="48"/>
      <c r="K610" s="50"/>
      <c r="L610" s="48"/>
    </row>
    <row r="611" spans="1:12" s="37" customFormat="1" ht="11.25" x14ac:dyDescent="0.2">
      <c r="A611" s="45" t="s">
        <v>20817</v>
      </c>
      <c r="B611" s="45" t="s">
        <v>20819</v>
      </c>
      <c r="C611" s="51" t="s">
        <v>20821</v>
      </c>
      <c r="D611" s="51" t="s">
        <v>20820</v>
      </c>
      <c r="E611" s="45" t="s">
        <v>20822</v>
      </c>
      <c r="F611" s="45" t="s">
        <v>17759</v>
      </c>
      <c r="G611" s="45" t="s">
        <v>50584</v>
      </c>
      <c r="H611" s="56"/>
      <c r="I611" s="56" t="s">
        <v>50564</v>
      </c>
      <c r="J611" s="56"/>
      <c r="K611" s="50"/>
      <c r="L611" s="56" t="s">
        <v>56716</v>
      </c>
    </row>
    <row r="612" spans="1:12" s="37" customFormat="1" ht="11.25" x14ac:dyDescent="0.2">
      <c r="A612" s="45" t="s">
        <v>20824</v>
      </c>
      <c r="B612" s="45" t="s">
        <v>20826</v>
      </c>
      <c r="C612" s="51" t="s">
        <v>20828</v>
      </c>
      <c r="D612" s="51" t="s">
        <v>20827</v>
      </c>
      <c r="E612" s="45" t="s">
        <v>20784</v>
      </c>
      <c r="F612" s="45" t="s">
        <v>17759</v>
      </c>
      <c r="G612" s="45" t="s">
        <v>50584</v>
      </c>
      <c r="H612" s="56"/>
      <c r="I612" s="56" t="s">
        <v>50564</v>
      </c>
      <c r="J612" s="56"/>
      <c r="K612" s="50"/>
      <c r="L612" s="56" t="s">
        <v>56716</v>
      </c>
    </row>
    <row r="613" spans="1:12" s="37" customFormat="1" ht="11.25" x14ac:dyDescent="0.2">
      <c r="A613" s="46" t="s">
        <v>4846</v>
      </c>
      <c r="B613" s="46" t="s">
        <v>51071</v>
      </c>
      <c r="C613" s="58" t="str">
        <f>"00664197"</f>
        <v>00664197</v>
      </c>
      <c r="D613" s="58" t="str">
        <f>"15452948"</f>
        <v>15452948</v>
      </c>
      <c r="E613" s="46" t="s">
        <v>618</v>
      </c>
      <c r="F613" s="46" t="s">
        <v>17759</v>
      </c>
      <c r="G613" s="46" t="s">
        <v>50584</v>
      </c>
      <c r="H613" s="48" t="s">
        <v>56716</v>
      </c>
      <c r="I613" s="48" t="s">
        <v>50565</v>
      </c>
      <c r="J613" s="48" t="s">
        <v>56716</v>
      </c>
      <c r="K613" s="50"/>
      <c r="L613" s="48" t="s">
        <v>56716</v>
      </c>
    </row>
    <row r="614" spans="1:12" s="37" customFormat="1" ht="11.25" x14ac:dyDescent="0.2">
      <c r="A614" s="46" t="s">
        <v>8836</v>
      </c>
      <c r="B614" s="46" t="s">
        <v>51072</v>
      </c>
      <c r="C614" s="58" t="str">
        <f>"15278204"</f>
        <v>15278204</v>
      </c>
      <c r="D614" s="58" t="str">
        <f>"1545293X"</f>
        <v>1545293X</v>
      </c>
      <c r="E614" s="46" t="s">
        <v>618</v>
      </c>
      <c r="F614" s="46" t="s">
        <v>17759</v>
      </c>
      <c r="G614" s="46" t="s">
        <v>50584</v>
      </c>
      <c r="H614" s="48" t="s">
        <v>56716</v>
      </c>
      <c r="I614" s="48" t="s">
        <v>50565</v>
      </c>
      <c r="J614" s="48"/>
      <c r="K614" s="50"/>
      <c r="L614" s="48" t="s">
        <v>56716</v>
      </c>
    </row>
    <row r="615" spans="1:12" s="37" customFormat="1" ht="11.25" x14ac:dyDescent="0.2">
      <c r="A615" s="46" t="s">
        <v>13170</v>
      </c>
      <c r="B615" s="46" t="s">
        <v>51073</v>
      </c>
      <c r="C615" s="58" t="str">
        <f>"01988794"</f>
        <v>01988794</v>
      </c>
      <c r="D615" s="58" t="str">
        <f>"19444036"</f>
        <v>19444036</v>
      </c>
      <c r="E615" s="46" t="s">
        <v>4289</v>
      </c>
      <c r="F615" s="46" t="s">
        <v>17759</v>
      </c>
      <c r="G615" s="46" t="s">
        <v>50584</v>
      </c>
      <c r="H615" s="48" t="s">
        <v>56716</v>
      </c>
      <c r="I615" s="48" t="s">
        <v>50565</v>
      </c>
      <c r="J615" s="48"/>
      <c r="K615" s="50"/>
      <c r="L615" s="48"/>
    </row>
    <row r="616" spans="1:12" s="37" customFormat="1" ht="11.25" x14ac:dyDescent="0.2">
      <c r="A616" s="46" t="s">
        <v>4796</v>
      </c>
      <c r="B616" s="46" t="s">
        <v>51074</v>
      </c>
      <c r="C616" s="58" t="str">
        <f>"07320582"</f>
        <v>07320582</v>
      </c>
      <c r="D616" s="58" t="str">
        <f>"15453278"</f>
        <v>15453278</v>
      </c>
      <c r="E616" s="46" t="s">
        <v>618</v>
      </c>
      <c r="F616" s="46" t="s">
        <v>17759</v>
      </c>
      <c r="G616" s="46" t="s">
        <v>50584</v>
      </c>
      <c r="H616" s="48" t="s">
        <v>56716</v>
      </c>
      <c r="I616" s="48" t="s">
        <v>50565</v>
      </c>
      <c r="J616" s="48" t="s">
        <v>56716</v>
      </c>
      <c r="K616" s="50"/>
      <c r="L616" s="48" t="s">
        <v>56716</v>
      </c>
    </row>
    <row r="617" spans="1:12" s="37" customFormat="1" ht="11.25" x14ac:dyDescent="0.2">
      <c r="A617" s="45" t="s">
        <v>20844</v>
      </c>
      <c r="B617" s="45" t="s">
        <v>20846</v>
      </c>
      <c r="C617" s="51" t="s">
        <v>20848</v>
      </c>
      <c r="D617" s="51" t="s">
        <v>20847</v>
      </c>
      <c r="E617" s="45" t="s">
        <v>20784</v>
      </c>
      <c r="F617" s="45" t="s">
        <v>17759</v>
      </c>
      <c r="G617" s="45" t="s">
        <v>50584</v>
      </c>
      <c r="H617" s="56"/>
      <c r="I617" s="56" t="s">
        <v>50564</v>
      </c>
      <c r="J617" s="56"/>
      <c r="K617" s="50"/>
      <c r="L617" s="56" t="s">
        <v>56716</v>
      </c>
    </row>
    <row r="618" spans="1:12" s="37" customFormat="1" ht="11.25" x14ac:dyDescent="0.2">
      <c r="A618" s="46" t="s">
        <v>4741</v>
      </c>
      <c r="B618" s="46" t="s">
        <v>51075</v>
      </c>
      <c r="C618" s="58" t="str">
        <f>"00664219"</f>
        <v>00664219</v>
      </c>
      <c r="D618" s="58" t="str">
        <f>"1545326X"</f>
        <v>1545326X</v>
      </c>
      <c r="E618" s="46" t="s">
        <v>618</v>
      </c>
      <c r="F618" s="46" t="s">
        <v>17759</v>
      </c>
      <c r="G618" s="46" t="s">
        <v>50584</v>
      </c>
      <c r="H618" s="48" t="s">
        <v>56716</v>
      </c>
      <c r="I618" s="48" t="s">
        <v>50565</v>
      </c>
      <c r="J618" s="48" t="s">
        <v>56716</v>
      </c>
      <c r="K618" s="50"/>
      <c r="L618" s="48" t="s">
        <v>56716</v>
      </c>
    </row>
    <row r="619" spans="1:12" s="37" customFormat="1" ht="11.25" x14ac:dyDescent="0.2">
      <c r="A619" s="46" t="s">
        <v>4843</v>
      </c>
      <c r="B619" s="46" t="s">
        <v>51076</v>
      </c>
      <c r="C619" s="58" t="str">
        <f>"00664227"</f>
        <v>00664227</v>
      </c>
      <c r="D619" s="58" t="str">
        <f>"15453251"</f>
        <v>15453251</v>
      </c>
      <c r="E619" s="46" t="s">
        <v>618</v>
      </c>
      <c r="F619" s="46" t="s">
        <v>17759</v>
      </c>
      <c r="G619" s="46" t="s">
        <v>50584</v>
      </c>
      <c r="H619" s="48" t="s">
        <v>56716</v>
      </c>
      <c r="I619" s="48" t="s">
        <v>50565</v>
      </c>
      <c r="J619" s="48" t="s">
        <v>56716</v>
      </c>
      <c r="K619" s="50"/>
      <c r="L619" s="48" t="s">
        <v>56716</v>
      </c>
    </row>
    <row r="620" spans="1:12" s="37" customFormat="1" ht="11.25" x14ac:dyDescent="0.2">
      <c r="A620" s="46" t="s">
        <v>639</v>
      </c>
      <c r="B620" s="46" t="s">
        <v>51077</v>
      </c>
      <c r="C620" s="58" t="str">
        <f>"0147006X"</f>
        <v>0147006X</v>
      </c>
      <c r="D620" s="58" t="str">
        <f>"15454126"</f>
        <v>15454126</v>
      </c>
      <c r="E620" s="46" t="s">
        <v>618</v>
      </c>
      <c r="F620" s="46" t="s">
        <v>17759</v>
      </c>
      <c r="G620" s="46" t="s">
        <v>50584</v>
      </c>
      <c r="H620" s="48" t="s">
        <v>56716</v>
      </c>
      <c r="I620" s="48" t="s">
        <v>50565</v>
      </c>
      <c r="J620" s="48" t="s">
        <v>56716</v>
      </c>
      <c r="K620" s="50"/>
      <c r="L620" s="48" t="s">
        <v>56716</v>
      </c>
    </row>
    <row r="621" spans="1:12" s="37" customFormat="1" ht="11.25" x14ac:dyDescent="0.2">
      <c r="A621" s="45" t="s">
        <v>20863</v>
      </c>
      <c r="B621" s="45" t="s">
        <v>20865</v>
      </c>
      <c r="C621" s="51" t="s">
        <v>20866</v>
      </c>
      <c r="D621" s="51"/>
      <c r="E621" s="45" t="s">
        <v>20867</v>
      </c>
      <c r="F621" s="45" t="s">
        <v>17759</v>
      </c>
      <c r="G621" s="45" t="s">
        <v>50584</v>
      </c>
      <c r="H621" s="56"/>
      <c r="I621" s="56" t="s">
        <v>50564</v>
      </c>
      <c r="J621" s="56"/>
      <c r="K621" s="50"/>
      <c r="L621" s="56" t="s">
        <v>56716</v>
      </c>
    </row>
    <row r="622" spans="1:12" s="37" customFormat="1" ht="11.25" x14ac:dyDescent="0.2">
      <c r="A622" s="46" t="s">
        <v>4840</v>
      </c>
      <c r="B622" s="46" t="s">
        <v>51078</v>
      </c>
      <c r="C622" s="58" t="str">
        <f>"01999885"</f>
        <v>01999885</v>
      </c>
      <c r="D622" s="58" t="str">
        <f>"15454312"</f>
        <v>15454312</v>
      </c>
      <c r="E622" s="46" t="s">
        <v>618</v>
      </c>
      <c r="F622" s="46" t="s">
        <v>17759</v>
      </c>
      <c r="G622" s="46" t="s">
        <v>50584</v>
      </c>
      <c r="H622" s="48" t="s">
        <v>56716</v>
      </c>
      <c r="I622" s="48" t="s">
        <v>50565</v>
      </c>
      <c r="J622" s="48" t="s">
        <v>56716</v>
      </c>
      <c r="K622" s="50"/>
      <c r="L622" s="48" t="s">
        <v>56716</v>
      </c>
    </row>
    <row r="623" spans="1:12" s="37" customFormat="1" ht="11.25" x14ac:dyDescent="0.2">
      <c r="A623" s="46" t="s">
        <v>10951</v>
      </c>
      <c r="B623" s="46" t="s">
        <v>51079</v>
      </c>
      <c r="C623" s="58" t="str">
        <f>"15534006"</f>
        <v>15534006</v>
      </c>
      <c r="D623" s="58" t="str">
        <f>"15534014"</f>
        <v>15534014</v>
      </c>
      <c r="E623" s="46" t="s">
        <v>618</v>
      </c>
      <c r="F623" s="46" t="s">
        <v>17759</v>
      </c>
      <c r="G623" s="46" t="s">
        <v>50584</v>
      </c>
      <c r="H623" s="48" t="s">
        <v>56716</v>
      </c>
      <c r="I623" s="48" t="s">
        <v>50565</v>
      </c>
      <c r="J623" s="48" t="s">
        <v>56716</v>
      </c>
      <c r="K623" s="50"/>
      <c r="L623" s="48" t="s">
        <v>56716</v>
      </c>
    </row>
    <row r="624" spans="1:12" s="37" customFormat="1" ht="11.25" x14ac:dyDescent="0.2">
      <c r="A624" s="46" t="s">
        <v>652</v>
      </c>
      <c r="B624" s="46" t="s">
        <v>51080</v>
      </c>
      <c r="C624" s="58" t="str">
        <f>"03621642"</f>
        <v>03621642</v>
      </c>
      <c r="D624" s="58" t="str">
        <f>"15454304"</f>
        <v>15454304</v>
      </c>
      <c r="E624" s="46" t="s">
        <v>618</v>
      </c>
      <c r="F624" s="46" t="s">
        <v>17759</v>
      </c>
      <c r="G624" s="46" t="s">
        <v>50584</v>
      </c>
      <c r="H624" s="48" t="s">
        <v>56716</v>
      </c>
      <c r="I624" s="48" t="s">
        <v>50565</v>
      </c>
      <c r="J624" s="48" t="s">
        <v>56716</v>
      </c>
      <c r="K624" s="50"/>
      <c r="L624" s="48" t="s">
        <v>56716</v>
      </c>
    </row>
    <row r="625" spans="1:12" s="37" customFormat="1" ht="11.25" x14ac:dyDescent="0.2">
      <c r="A625" s="45" t="s">
        <v>20883</v>
      </c>
      <c r="B625" s="45" t="s">
        <v>20885</v>
      </c>
      <c r="C625" s="51" t="s">
        <v>20887</v>
      </c>
      <c r="D625" s="51" t="s">
        <v>20886</v>
      </c>
      <c r="E625" s="45" t="s">
        <v>20784</v>
      </c>
      <c r="F625" s="45" t="s">
        <v>17759</v>
      </c>
      <c r="G625" s="45" t="s">
        <v>50584</v>
      </c>
      <c r="H625" s="56"/>
      <c r="I625" s="56" t="s">
        <v>50564</v>
      </c>
      <c r="J625" s="56"/>
      <c r="K625" s="50"/>
      <c r="L625" s="56" t="s">
        <v>56716</v>
      </c>
    </row>
    <row r="626" spans="1:12" s="37" customFormat="1" ht="11.25" x14ac:dyDescent="0.2">
      <c r="A626" s="46" t="s">
        <v>645</v>
      </c>
      <c r="B626" s="46" t="s">
        <v>51081</v>
      </c>
      <c r="C626" s="58" t="str">
        <f>"00664278"</f>
        <v>00664278</v>
      </c>
      <c r="D626" s="58" t="str">
        <f>"15451585"</f>
        <v>15451585</v>
      </c>
      <c r="E626" s="46" t="s">
        <v>618</v>
      </c>
      <c r="F626" s="46" t="s">
        <v>17759</v>
      </c>
      <c r="G626" s="46" t="s">
        <v>50584</v>
      </c>
      <c r="H626" s="48" t="s">
        <v>56716</v>
      </c>
      <c r="I626" s="48" t="s">
        <v>50565</v>
      </c>
      <c r="J626" s="48" t="s">
        <v>56716</v>
      </c>
      <c r="K626" s="50"/>
      <c r="L626" s="48" t="s">
        <v>56716</v>
      </c>
    </row>
    <row r="627" spans="1:12" s="37" customFormat="1" ht="11.25" x14ac:dyDescent="0.2">
      <c r="A627" s="45" t="s">
        <v>20893</v>
      </c>
      <c r="B627" s="45" t="s">
        <v>20895</v>
      </c>
      <c r="C627" s="51" t="s">
        <v>20896</v>
      </c>
      <c r="D627" s="51"/>
      <c r="E627" s="45" t="s">
        <v>20784</v>
      </c>
      <c r="F627" s="45" t="s">
        <v>17759</v>
      </c>
      <c r="G627" s="45" t="s">
        <v>50584</v>
      </c>
      <c r="H627" s="56"/>
      <c r="I627" s="56" t="s">
        <v>50564</v>
      </c>
      <c r="J627" s="56"/>
      <c r="K627" s="50"/>
      <c r="L627" s="56" t="s">
        <v>56716</v>
      </c>
    </row>
    <row r="628" spans="1:12" s="37" customFormat="1" ht="11.25" x14ac:dyDescent="0.2">
      <c r="A628" s="45" t="s">
        <v>20898</v>
      </c>
      <c r="B628" s="45" t="s">
        <v>20900</v>
      </c>
      <c r="C628" s="51" t="s">
        <v>20903</v>
      </c>
      <c r="D628" s="51" t="s">
        <v>20902</v>
      </c>
      <c r="E628" s="45" t="s">
        <v>618</v>
      </c>
      <c r="F628" s="45" t="s">
        <v>17759</v>
      </c>
      <c r="G628" s="45" t="s">
        <v>50584</v>
      </c>
      <c r="H628" s="56"/>
      <c r="I628" s="56" t="s">
        <v>50564</v>
      </c>
      <c r="J628" s="56"/>
      <c r="K628" s="50"/>
      <c r="L628" s="56" t="s">
        <v>56716</v>
      </c>
    </row>
    <row r="629" spans="1:12" s="37" customFormat="1" ht="11.25" x14ac:dyDescent="0.2">
      <c r="A629" s="45" t="s">
        <v>20905</v>
      </c>
      <c r="B629" s="45" t="s">
        <v>20907</v>
      </c>
      <c r="C629" s="51" t="s">
        <v>20909</v>
      </c>
      <c r="D629" s="51" t="s">
        <v>20908</v>
      </c>
      <c r="E629" s="45" t="s">
        <v>20784</v>
      </c>
      <c r="F629" s="45" t="s">
        <v>17759</v>
      </c>
      <c r="G629" s="45" t="s">
        <v>50584</v>
      </c>
      <c r="H629" s="56"/>
      <c r="I629" s="56" t="s">
        <v>50564</v>
      </c>
      <c r="J629" s="56"/>
      <c r="K629" s="50"/>
      <c r="L629" s="56" t="s">
        <v>56716</v>
      </c>
    </row>
    <row r="630" spans="1:12" s="37" customFormat="1" ht="11.25" x14ac:dyDescent="0.2">
      <c r="A630" s="46" t="s">
        <v>4744</v>
      </c>
      <c r="B630" s="46" t="s">
        <v>51082</v>
      </c>
      <c r="C630" s="58" t="str">
        <f>"01637525"</f>
        <v>01637525</v>
      </c>
      <c r="D630" s="58" t="str">
        <f>"15452093"</f>
        <v>15452093</v>
      </c>
      <c r="E630" s="46" t="s">
        <v>618</v>
      </c>
      <c r="F630" s="46" t="s">
        <v>17759</v>
      </c>
      <c r="G630" s="46" t="s">
        <v>50584</v>
      </c>
      <c r="H630" s="48" t="s">
        <v>56716</v>
      </c>
      <c r="I630" s="48" t="s">
        <v>50565</v>
      </c>
      <c r="J630" s="48" t="s">
        <v>56716</v>
      </c>
      <c r="K630" s="50"/>
      <c r="L630" s="48" t="s">
        <v>56716</v>
      </c>
    </row>
    <row r="631" spans="1:12" s="37" customFormat="1" ht="11.25" x14ac:dyDescent="0.2">
      <c r="A631" s="46" t="s">
        <v>56319</v>
      </c>
      <c r="B631" s="46" t="s">
        <v>56320</v>
      </c>
      <c r="C631" s="58" t="str">
        <f>"2327056X"</f>
        <v>2327056X</v>
      </c>
      <c r="D631" s="58" t="str">
        <f>"23270578"</f>
        <v>23270578</v>
      </c>
      <c r="E631" s="46" t="s">
        <v>618</v>
      </c>
      <c r="F631" s="46" t="s">
        <v>17759</v>
      </c>
      <c r="G631" s="46" t="s">
        <v>50584</v>
      </c>
      <c r="H631" s="48" t="s">
        <v>56716</v>
      </c>
      <c r="I631" s="48" t="s">
        <v>50564</v>
      </c>
      <c r="J631" s="48" t="s">
        <v>56716</v>
      </c>
      <c r="K631" s="50"/>
      <c r="L631" s="48"/>
    </row>
    <row r="632" spans="1:12" s="37" customFormat="1" ht="11.25" x14ac:dyDescent="0.2">
      <c r="A632" s="45" t="s">
        <v>20915</v>
      </c>
      <c r="B632" s="45" t="s">
        <v>20917</v>
      </c>
      <c r="C632" s="51" t="s">
        <v>20920</v>
      </c>
      <c r="D632" s="51" t="s">
        <v>20919</v>
      </c>
      <c r="E632" s="45" t="s">
        <v>20921</v>
      </c>
      <c r="F632" s="45" t="s">
        <v>17759</v>
      </c>
      <c r="G632" s="45" t="s">
        <v>50584</v>
      </c>
      <c r="H632" s="56"/>
      <c r="I632" s="56" t="s">
        <v>50564</v>
      </c>
      <c r="J632" s="56"/>
      <c r="K632" s="50"/>
      <c r="L632" s="56" t="s">
        <v>56716</v>
      </c>
    </row>
    <row r="633" spans="1:12" s="37" customFormat="1" ht="11.25" x14ac:dyDescent="0.2">
      <c r="A633" s="45" t="s">
        <v>20924</v>
      </c>
      <c r="B633" s="45" t="s">
        <v>20926</v>
      </c>
      <c r="C633" s="51" t="s">
        <v>20928</v>
      </c>
      <c r="D633" s="51" t="s">
        <v>20927</v>
      </c>
      <c r="E633" s="45" t="s">
        <v>17758</v>
      </c>
      <c r="F633" s="45" t="s">
        <v>17759</v>
      </c>
      <c r="G633" s="45" t="s">
        <v>50584</v>
      </c>
      <c r="H633" s="56"/>
      <c r="I633" s="56" t="s">
        <v>50564</v>
      </c>
      <c r="J633" s="56"/>
      <c r="K633" s="50"/>
      <c r="L633" s="56" t="s">
        <v>56716</v>
      </c>
    </row>
    <row r="634" spans="1:12" s="37" customFormat="1" ht="11.25" x14ac:dyDescent="0.2">
      <c r="A634" s="45" t="s">
        <v>20930</v>
      </c>
      <c r="B634" s="45" t="s">
        <v>20932</v>
      </c>
      <c r="C634" s="51" t="s">
        <v>20934</v>
      </c>
      <c r="D634" s="51"/>
      <c r="E634" s="45" t="s">
        <v>20935</v>
      </c>
      <c r="F634" s="45" t="s">
        <v>18158</v>
      </c>
      <c r="G634" s="45" t="s">
        <v>50592</v>
      </c>
      <c r="H634" s="56"/>
      <c r="I634" s="56" t="s">
        <v>50564</v>
      </c>
      <c r="J634" s="56"/>
      <c r="K634" s="50"/>
      <c r="L634" s="56" t="s">
        <v>56716</v>
      </c>
    </row>
    <row r="635" spans="1:12" s="37" customFormat="1" ht="11.25" x14ac:dyDescent="0.2">
      <c r="A635" s="46" t="s">
        <v>7331</v>
      </c>
      <c r="B635" s="46" t="s">
        <v>51083</v>
      </c>
      <c r="C635" s="58" t="str">
        <f>"13648470"</f>
        <v>13648470</v>
      </c>
      <c r="D635" s="58" t="str">
        <f>"14692910"</f>
        <v>14692910</v>
      </c>
      <c r="E635" s="46" t="s">
        <v>689</v>
      </c>
      <c r="F635" s="46" t="s">
        <v>50646</v>
      </c>
      <c r="G635" s="46" t="s">
        <v>50584</v>
      </c>
      <c r="H635" s="48" t="s">
        <v>56716</v>
      </c>
      <c r="I635" s="48" t="s">
        <v>50564</v>
      </c>
      <c r="J635" s="48" t="s">
        <v>56716</v>
      </c>
      <c r="K635" s="50" t="s">
        <v>56716</v>
      </c>
      <c r="L635" s="48" t="s">
        <v>56716</v>
      </c>
    </row>
    <row r="636" spans="1:12" s="37" customFormat="1" ht="11.25" x14ac:dyDescent="0.2">
      <c r="A636" s="46" t="s">
        <v>17242</v>
      </c>
      <c r="B636" s="46" t="s">
        <v>17242</v>
      </c>
      <c r="C636" s="58" t="str">
        <f>""</f>
        <v/>
      </c>
      <c r="D636" s="58" t="str">
        <f>"20796382"</f>
        <v>20796382</v>
      </c>
      <c r="E636" s="46" t="s">
        <v>4152</v>
      </c>
      <c r="F636" s="46" t="s">
        <v>18123</v>
      </c>
      <c r="G636" s="46" t="s">
        <v>50584</v>
      </c>
      <c r="H636" s="48" t="s">
        <v>56716</v>
      </c>
      <c r="I636" s="48" t="s">
        <v>50564</v>
      </c>
      <c r="J636" s="48" t="s">
        <v>56716</v>
      </c>
      <c r="K636" s="50"/>
      <c r="L636" s="48"/>
    </row>
    <row r="637" spans="1:12" s="37" customFormat="1" ht="11.25" x14ac:dyDescent="0.2">
      <c r="A637" s="45" t="s">
        <v>20945</v>
      </c>
      <c r="B637" s="45" t="s">
        <v>20947</v>
      </c>
      <c r="C637" s="51" t="s">
        <v>20949</v>
      </c>
      <c r="D637" s="51"/>
      <c r="E637" s="45" t="s">
        <v>20950</v>
      </c>
      <c r="F637" s="45" t="s">
        <v>50653</v>
      </c>
      <c r="G637" s="45" t="s">
        <v>56509</v>
      </c>
      <c r="H637" s="56"/>
      <c r="I637" s="56" t="s">
        <v>50564</v>
      </c>
      <c r="J637" s="56"/>
      <c r="K637" s="50"/>
      <c r="L637" s="56" t="s">
        <v>56716</v>
      </c>
    </row>
    <row r="638" spans="1:12" s="37" customFormat="1" ht="11.25" x14ac:dyDescent="0.2">
      <c r="A638" s="46" t="s">
        <v>17243</v>
      </c>
      <c r="B638" s="46" t="s">
        <v>17243</v>
      </c>
      <c r="C638" s="58" t="str">
        <f>"2073-446"</f>
        <v>2073-446</v>
      </c>
      <c r="D638" s="58" t="str">
        <f>"20734468"</f>
        <v>20734468</v>
      </c>
      <c r="E638" s="46" t="s">
        <v>4152</v>
      </c>
      <c r="F638" s="46" t="s">
        <v>18123</v>
      </c>
      <c r="G638" s="46" t="s">
        <v>50584</v>
      </c>
      <c r="H638" s="48" t="s">
        <v>56716</v>
      </c>
      <c r="I638" s="48" t="s">
        <v>50564</v>
      </c>
      <c r="J638" s="48" t="s">
        <v>56716</v>
      </c>
      <c r="K638" s="50"/>
      <c r="L638" s="48"/>
    </row>
    <row r="639" spans="1:12" s="37" customFormat="1" ht="11.25" x14ac:dyDescent="0.2">
      <c r="A639" s="46" t="s">
        <v>10882</v>
      </c>
      <c r="B639" s="46" t="s">
        <v>51084</v>
      </c>
      <c r="C639" s="58" t="str">
        <f>"18715206"</f>
        <v>18715206</v>
      </c>
      <c r="D639" s="58" t="str">
        <f>"18755992"</f>
        <v>18755992</v>
      </c>
      <c r="E639" s="46" t="s">
        <v>6405</v>
      </c>
      <c r="F639" s="46" t="s">
        <v>18001</v>
      </c>
      <c r="G639" s="46" t="s">
        <v>50584</v>
      </c>
      <c r="H639" s="48" t="s">
        <v>56716</v>
      </c>
      <c r="I639" s="48" t="s">
        <v>50564</v>
      </c>
      <c r="J639" s="48"/>
      <c r="K639" s="50"/>
      <c r="L639" s="48" t="s">
        <v>56716</v>
      </c>
    </row>
    <row r="640" spans="1:12" s="37" customFormat="1" ht="11.25" x14ac:dyDescent="0.2">
      <c r="A640" s="46" t="s">
        <v>5340</v>
      </c>
      <c r="B640" s="46" t="s">
        <v>5340</v>
      </c>
      <c r="C640" s="58" t="str">
        <f>"09594973"</f>
        <v>09594973</v>
      </c>
      <c r="D640" s="58" t="str">
        <f>"14735741"</f>
        <v>14735741</v>
      </c>
      <c r="E640" s="46" t="s">
        <v>28</v>
      </c>
      <c r="F640" s="46" t="s">
        <v>50646</v>
      </c>
      <c r="G640" s="46" t="s">
        <v>50584</v>
      </c>
      <c r="H640" s="48" t="s">
        <v>56716</v>
      </c>
      <c r="I640" s="48" t="s">
        <v>50564</v>
      </c>
      <c r="J640" s="48" t="s">
        <v>56716</v>
      </c>
      <c r="K640" s="50" t="s">
        <v>56716</v>
      </c>
      <c r="L640" s="48" t="s">
        <v>56716</v>
      </c>
    </row>
    <row r="641" spans="1:12" s="37" customFormat="1" ht="11.25" x14ac:dyDescent="0.2">
      <c r="A641" s="46" t="s">
        <v>534</v>
      </c>
      <c r="B641" s="46" t="s">
        <v>51085</v>
      </c>
      <c r="C641" s="58" t="str">
        <f>"02507005"</f>
        <v>02507005</v>
      </c>
      <c r="D641" s="58" t="str">
        <f>""</f>
        <v/>
      </c>
      <c r="E641" s="46" t="s">
        <v>536</v>
      </c>
      <c r="F641" s="46" t="s">
        <v>20969</v>
      </c>
      <c r="G641" s="46" t="s">
        <v>50584</v>
      </c>
      <c r="H641" s="48" t="s">
        <v>56716</v>
      </c>
      <c r="I641" s="48" t="s">
        <v>50564</v>
      </c>
      <c r="J641" s="48" t="s">
        <v>56716</v>
      </c>
      <c r="K641" s="50"/>
      <c r="L641" s="48" t="s">
        <v>56716</v>
      </c>
    </row>
    <row r="642" spans="1:12" s="37" customFormat="1" ht="11.25" x14ac:dyDescent="0.2">
      <c r="A642" s="46" t="s">
        <v>15993</v>
      </c>
      <c r="B642" s="46" t="s">
        <v>51086</v>
      </c>
      <c r="C642" s="58" t="str">
        <f>"22113525"</f>
        <v>22113525</v>
      </c>
      <c r="D642" s="58" t="str">
        <f>"22113533"</f>
        <v>22113533</v>
      </c>
      <c r="E642" s="46" t="s">
        <v>6405</v>
      </c>
      <c r="F642" s="46" t="s">
        <v>18001</v>
      </c>
      <c r="G642" s="46" t="s">
        <v>50584</v>
      </c>
      <c r="H642" s="48" t="s">
        <v>56716</v>
      </c>
      <c r="I642" s="48" t="s">
        <v>50564</v>
      </c>
      <c r="J642" s="48"/>
      <c r="K642" s="50"/>
      <c r="L642" s="48"/>
    </row>
    <row r="643" spans="1:12" s="37" customFormat="1" ht="11.25" x14ac:dyDescent="0.2">
      <c r="A643" s="46" t="s">
        <v>10910</v>
      </c>
      <c r="B643" s="46" t="s">
        <v>51087</v>
      </c>
      <c r="C643" s="58" t="str">
        <f>"18715230"</f>
        <v>18715230</v>
      </c>
      <c r="D643" s="58" t="str">
        <f>"1875614X"</f>
        <v>1875614X</v>
      </c>
      <c r="E643" s="46" t="s">
        <v>6405</v>
      </c>
      <c r="F643" s="46" t="s">
        <v>18001</v>
      </c>
      <c r="G643" s="46" t="s">
        <v>50584</v>
      </c>
      <c r="H643" s="48" t="s">
        <v>56716</v>
      </c>
      <c r="I643" s="48" t="s">
        <v>50564</v>
      </c>
      <c r="J643" s="48"/>
      <c r="K643" s="50"/>
      <c r="L643" s="48" t="s">
        <v>56716</v>
      </c>
    </row>
    <row r="644" spans="1:12" s="37" customFormat="1" ht="11.25" x14ac:dyDescent="0.2">
      <c r="A644" s="46" t="s">
        <v>438</v>
      </c>
      <c r="B644" s="46" t="s">
        <v>51088</v>
      </c>
      <c r="C644" s="58" t="str">
        <f>"00664804"</f>
        <v>00664804</v>
      </c>
      <c r="D644" s="58" t="str">
        <f>"10986596"</f>
        <v>10986596</v>
      </c>
      <c r="E644" s="46" t="s">
        <v>441</v>
      </c>
      <c r="F644" s="46" t="s">
        <v>17759</v>
      </c>
      <c r="G644" s="46" t="s">
        <v>50584</v>
      </c>
      <c r="H644" s="48" t="s">
        <v>56716</v>
      </c>
      <c r="I644" s="48" t="s">
        <v>50564</v>
      </c>
      <c r="J644" s="48" t="s">
        <v>56716</v>
      </c>
      <c r="K644" s="50"/>
      <c r="L644" s="48" t="s">
        <v>56716</v>
      </c>
    </row>
    <row r="645" spans="1:12" s="37" customFormat="1" ht="11.25" x14ac:dyDescent="0.2">
      <c r="A645" s="46" t="s">
        <v>16461</v>
      </c>
      <c r="B645" s="46" t="s">
        <v>51089</v>
      </c>
      <c r="C645" s="58" t="str">
        <f>""</f>
        <v/>
      </c>
      <c r="D645" s="58" t="str">
        <f>"20472994"</f>
        <v>20472994</v>
      </c>
      <c r="E645" s="46" t="s">
        <v>2299</v>
      </c>
      <c r="F645" s="46" t="s">
        <v>50646</v>
      </c>
      <c r="G645" s="46" t="s">
        <v>50584</v>
      </c>
      <c r="H645" s="48" t="s">
        <v>56716</v>
      </c>
      <c r="I645" s="48" t="s">
        <v>50564</v>
      </c>
      <c r="J645" s="48" t="s">
        <v>56716</v>
      </c>
      <c r="K645" s="50" t="s">
        <v>56716</v>
      </c>
      <c r="L645" s="48"/>
    </row>
    <row r="646" spans="1:12" s="37" customFormat="1" ht="11.25" x14ac:dyDescent="0.2">
      <c r="A646" s="46" t="s">
        <v>8236</v>
      </c>
      <c r="B646" s="46" t="s">
        <v>51090</v>
      </c>
      <c r="C646" s="58" t="str">
        <f>"15230864"</f>
        <v>15230864</v>
      </c>
      <c r="D646" s="58" t="str">
        <f>"15577716"</f>
        <v>15577716</v>
      </c>
      <c r="E646" s="46" t="s">
        <v>4337</v>
      </c>
      <c r="F646" s="46" t="s">
        <v>17759</v>
      </c>
      <c r="G646" s="46" t="s">
        <v>50584</v>
      </c>
      <c r="H646" s="48" t="s">
        <v>56716</v>
      </c>
      <c r="I646" s="48" t="s">
        <v>50564</v>
      </c>
      <c r="J646" s="48" t="s">
        <v>56716</v>
      </c>
      <c r="K646" s="50"/>
      <c r="L646" s="48" t="s">
        <v>56716</v>
      </c>
    </row>
    <row r="647" spans="1:12" s="37" customFormat="1" ht="11.25" x14ac:dyDescent="0.2">
      <c r="A647" s="46" t="s">
        <v>16915</v>
      </c>
      <c r="B647" s="46" t="s">
        <v>51091</v>
      </c>
      <c r="C647" s="58" t="str">
        <f>"20951264"</f>
        <v>20951264</v>
      </c>
      <c r="D647" s="58" t="str">
        <f>""</f>
        <v/>
      </c>
      <c r="E647" s="46" t="s">
        <v>16917</v>
      </c>
      <c r="F647" s="46" t="s">
        <v>17958</v>
      </c>
      <c r="G647" s="46" t="s">
        <v>50580</v>
      </c>
      <c r="H647" s="48" t="s">
        <v>56716</v>
      </c>
      <c r="I647" s="48" t="s">
        <v>50564</v>
      </c>
      <c r="J647" s="48"/>
      <c r="K647" s="50"/>
      <c r="L647" s="48"/>
    </row>
    <row r="648" spans="1:12" s="37" customFormat="1" ht="11.25" x14ac:dyDescent="0.2">
      <c r="A648" s="46" t="s">
        <v>5102</v>
      </c>
      <c r="B648" s="46" t="s">
        <v>51092</v>
      </c>
      <c r="C648" s="58" t="str">
        <f>"09563202"</f>
        <v>09563202</v>
      </c>
      <c r="D648" s="58" t="str">
        <f>""</f>
        <v/>
      </c>
      <c r="E648" s="46" t="s">
        <v>5104</v>
      </c>
      <c r="F648" s="46" t="s">
        <v>50646</v>
      </c>
      <c r="G648" s="46" t="s">
        <v>50584</v>
      </c>
      <c r="H648" s="48" t="s">
        <v>56716</v>
      </c>
      <c r="I648" s="48" t="s">
        <v>50564</v>
      </c>
      <c r="J648" s="48" t="s">
        <v>56716</v>
      </c>
      <c r="K648" s="50"/>
      <c r="L648" s="48" t="s">
        <v>56716</v>
      </c>
    </row>
    <row r="649" spans="1:12" s="37" customFormat="1" ht="11.25" x14ac:dyDescent="0.2">
      <c r="A649" s="46" t="s">
        <v>660</v>
      </c>
      <c r="B649" s="46" t="s">
        <v>51093</v>
      </c>
      <c r="C649" s="58" t="str">
        <f>"01663542"</f>
        <v>01663542</v>
      </c>
      <c r="D649" s="58" t="str">
        <f>"18729096"</f>
        <v>18729096</v>
      </c>
      <c r="E649" s="46" t="s">
        <v>91</v>
      </c>
      <c r="F649" s="46" t="s">
        <v>18001</v>
      </c>
      <c r="G649" s="46" t="s">
        <v>50584</v>
      </c>
      <c r="H649" s="48" t="s">
        <v>56716</v>
      </c>
      <c r="I649" s="48" t="s">
        <v>50564</v>
      </c>
      <c r="J649" s="48" t="s">
        <v>56716</v>
      </c>
      <c r="K649" s="50" t="s">
        <v>56716</v>
      </c>
      <c r="L649" s="48" t="s">
        <v>56716</v>
      </c>
    </row>
    <row r="650" spans="1:12" s="37" customFormat="1" ht="11.25" x14ac:dyDescent="0.2">
      <c r="A650" s="46" t="s">
        <v>7065</v>
      </c>
      <c r="B650" s="46" t="s">
        <v>51094</v>
      </c>
      <c r="C650" s="58" t="str">
        <f>"13596535"</f>
        <v>13596535</v>
      </c>
      <c r="D650" s="58" t="str">
        <f>"20402058"</f>
        <v>20402058</v>
      </c>
      <c r="E650" s="46" t="s">
        <v>5104</v>
      </c>
      <c r="F650" s="46" t="s">
        <v>50646</v>
      </c>
      <c r="G650" s="46" t="s">
        <v>50584</v>
      </c>
      <c r="H650" s="48" t="s">
        <v>56716</v>
      </c>
      <c r="I650" s="48" t="s">
        <v>50564</v>
      </c>
      <c r="J650" s="48" t="s">
        <v>56716</v>
      </c>
      <c r="K650" s="50"/>
      <c r="L650" s="48" t="s">
        <v>56716</v>
      </c>
    </row>
    <row r="651" spans="1:12" s="37" customFormat="1" ht="11.25" x14ac:dyDescent="0.2">
      <c r="A651" s="46" t="s">
        <v>432</v>
      </c>
      <c r="B651" s="46" t="s">
        <v>51095</v>
      </c>
      <c r="C651" s="58" t="str">
        <f>"00036072"</f>
        <v>00036072</v>
      </c>
      <c r="D651" s="58" t="str">
        <f>"15729699"</f>
        <v>15729699</v>
      </c>
      <c r="E651" s="46" t="s">
        <v>18876</v>
      </c>
      <c r="F651" s="46" t="s">
        <v>18001</v>
      </c>
      <c r="G651" s="46" t="s">
        <v>50584</v>
      </c>
      <c r="H651" s="48" t="s">
        <v>56716</v>
      </c>
      <c r="I651" s="48" t="s">
        <v>50564</v>
      </c>
      <c r="J651" s="48" t="s">
        <v>56716</v>
      </c>
      <c r="K651" s="50" t="s">
        <v>56716</v>
      </c>
      <c r="L651" s="48" t="s">
        <v>56716</v>
      </c>
    </row>
    <row r="652" spans="1:12" s="37" customFormat="1" ht="11.25" x14ac:dyDescent="0.2">
      <c r="A652" s="45" t="s">
        <v>21014</v>
      </c>
      <c r="B652" s="45" t="s">
        <v>21016</v>
      </c>
      <c r="C652" s="51" t="s">
        <v>21019</v>
      </c>
      <c r="D652" s="51" t="s">
        <v>21018</v>
      </c>
      <c r="E652" s="45" t="s">
        <v>291</v>
      </c>
      <c r="F652" s="45" t="s">
        <v>50646</v>
      </c>
      <c r="G652" s="45" t="s">
        <v>50584</v>
      </c>
      <c r="H652" s="56"/>
      <c r="I652" s="56" t="s">
        <v>50564</v>
      </c>
      <c r="J652" s="56"/>
      <c r="K652" s="50"/>
      <c r="L652" s="56" t="s">
        <v>56716</v>
      </c>
    </row>
    <row r="653" spans="1:12" s="37" customFormat="1" ht="11.25" x14ac:dyDescent="0.2">
      <c r="A653" s="45" t="s">
        <v>21022</v>
      </c>
      <c r="B653" s="45" t="s">
        <v>21024</v>
      </c>
      <c r="C653" s="51" t="s">
        <v>21027</v>
      </c>
      <c r="D653" s="51" t="s">
        <v>21026</v>
      </c>
      <c r="E653" s="45" t="s">
        <v>14618</v>
      </c>
      <c r="F653" s="45" t="s">
        <v>20082</v>
      </c>
      <c r="G653" s="45" t="s">
        <v>50584</v>
      </c>
      <c r="H653" s="56"/>
      <c r="I653" s="56" t="s">
        <v>50564</v>
      </c>
      <c r="J653" s="56"/>
      <c r="K653" s="50"/>
      <c r="L653" s="56" t="s">
        <v>56716</v>
      </c>
    </row>
    <row r="654" spans="1:12" s="37" customFormat="1" ht="11.25" x14ac:dyDescent="0.2">
      <c r="A654" s="45" t="s">
        <v>21029</v>
      </c>
      <c r="B654" s="45" t="s">
        <v>21031</v>
      </c>
      <c r="C654" s="51" t="s">
        <v>21034</v>
      </c>
      <c r="D654" s="51" t="s">
        <v>21033</v>
      </c>
      <c r="E654" s="45" t="s">
        <v>91</v>
      </c>
      <c r="F654" s="45" t="s">
        <v>17759</v>
      </c>
      <c r="G654" s="45" t="s">
        <v>50584</v>
      </c>
      <c r="H654" s="56"/>
      <c r="I654" s="56" t="s">
        <v>50564</v>
      </c>
      <c r="J654" s="56"/>
      <c r="K654" s="50"/>
      <c r="L654" s="56" t="s">
        <v>56716</v>
      </c>
    </row>
    <row r="655" spans="1:12" s="37" customFormat="1" ht="11.25" x14ac:dyDescent="0.2">
      <c r="A655" s="46" t="s">
        <v>4239</v>
      </c>
      <c r="B655" s="46" t="s">
        <v>4239</v>
      </c>
      <c r="C655" s="58" t="str">
        <f>"02687038"</f>
        <v>02687038</v>
      </c>
      <c r="D655" s="58" t="str">
        <f>"14645041"</f>
        <v>14645041</v>
      </c>
      <c r="E655" s="46" t="s">
        <v>689</v>
      </c>
      <c r="F655" s="46" t="s">
        <v>50646</v>
      </c>
      <c r="G655" s="46" t="s">
        <v>50584</v>
      </c>
      <c r="H655" s="48" t="s">
        <v>56716</v>
      </c>
      <c r="I655" s="48" t="s">
        <v>50564</v>
      </c>
      <c r="J655" s="48"/>
      <c r="K655" s="50" t="s">
        <v>56716</v>
      </c>
      <c r="L655" s="48"/>
    </row>
    <row r="656" spans="1:12" s="37" customFormat="1" ht="11.25" x14ac:dyDescent="0.2">
      <c r="A656" s="46" t="s">
        <v>4503</v>
      </c>
      <c r="B656" s="46" t="s">
        <v>4503</v>
      </c>
      <c r="C656" s="58" t="str">
        <f>"09034641"</f>
        <v>09034641</v>
      </c>
      <c r="D656" s="58" t="str">
        <f>"16000463"</f>
        <v>16000463</v>
      </c>
      <c r="E656" s="46" t="s">
        <v>50</v>
      </c>
      <c r="F656" s="46" t="s">
        <v>18305</v>
      </c>
      <c r="G656" s="46" t="s">
        <v>50584</v>
      </c>
      <c r="H656" s="48" t="s">
        <v>56716</v>
      </c>
      <c r="I656" s="48" t="s">
        <v>50564</v>
      </c>
      <c r="J656" s="48" t="s">
        <v>56716</v>
      </c>
      <c r="K656" s="50" t="s">
        <v>56716</v>
      </c>
      <c r="L656" s="48" t="s">
        <v>56716</v>
      </c>
    </row>
    <row r="657" spans="1:12" s="37" customFormat="1" ht="11.25" x14ac:dyDescent="0.2">
      <c r="A657" s="46" t="s">
        <v>7056</v>
      </c>
      <c r="B657" s="46" t="s">
        <v>7056</v>
      </c>
      <c r="C657" s="58" t="str">
        <f>"13608185"</f>
        <v>13608185</v>
      </c>
      <c r="D657" s="58" t="str">
        <f>"1573675X"</f>
        <v>1573675X</v>
      </c>
      <c r="E657" s="46" t="s">
        <v>56305</v>
      </c>
      <c r="F657" s="46" t="s">
        <v>17759</v>
      </c>
      <c r="G657" s="46" t="s">
        <v>50584</v>
      </c>
      <c r="H657" s="48" t="s">
        <v>56716</v>
      </c>
      <c r="I657" s="48" t="s">
        <v>50564</v>
      </c>
      <c r="J657" s="48" t="s">
        <v>56716</v>
      </c>
      <c r="K657" s="50" t="s">
        <v>56716</v>
      </c>
      <c r="L657" s="48" t="s">
        <v>56716</v>
      </c>
    </row>
    <row r="658" spans="1:12" s="37" customFormat="1" ht="11.25" x14ac:dyDescent="0.2">
      <c r="A658" s="46" t="s">
        <v>598</v>
      </c>
      <c r="B658" s="46" t="s">
        <v>598</v>
      </c>
      <c r="C658" s="58" t="str">
        <f>"01956663"</f>
        <v>01956663</v>
      </c>
      <c r="D658" s="58" t="str">
        <f>"10958304"</f>
        <v>10958304</v>
      </c>
      <c r="E658" s="46" t="s">
        <v>601</v>
      </c>
      <c r="F658" s="46" t="s">
        <v>50646</v>
      </c>
      <c r="G658" s="46" t="s">
        <v>50584</v>
      </c>
      <c r="H658" s="48" t="s">
        <v>56716</v>
      </c>
      <c r="I658" s="48" t="s">
        <v>50564</v>
      </c>
      <c r="J658" s="48"/>
      <c r="K658" s="50" t="s">
        <v>56716</v>
      </c>
      <c r="L658" s="48" t="s">
        <v>56716</v>
      </c>
    </row>
    <row r="659" spans="1:12" s="37" customFormat="1" ht="11.25" x14ac:dyDescent="0.2">
      <c r="A659" s="46" t="s">
        <v>13703</v>
      </c>
      <c r="B659" s="46" t="s">
        <v>51096</v>
      </c>
      <c r="C659" s="58" t="str">
        <f>""</f>
        <v/>
      </c>
      <c r="D659" s="58" t="str">
        <f>"1178704X"</f>
        <v>1178704X</v>
      </c>
      <c r="E659" s="46" t="s">
        <v>11079</v>
      </c>
      <c r="F659" s="46" t="s">
        <v>19483</v>
      </c>
      <c r="G659" s="46" t="s">
        <v>50584</v>
      </c>
      <c r="H659" s="48" t="s">
        <v>56716</v>
      </c>
      <c r="I659" s="48" t="s">
        <v>50564</v>
      </c>
      <c r="J659" s="48"/>
      <c r="K659" s="50"/>
      <c r="L659" s="48"/>
    </row>
    <row r="660" spans="1:12" s="37" customFormat="1" ht="11.25" x14ac:dyDescent="0.2">
      <c r="A660" s="45" t="s">
        <v>21057</v>
      </c>
      <c r="B660" s="45" t="s">
        <v>21059</v>
      </c>
      <c r="C660" s="51" t="s">
        <v>21062</v>
      </c>
      <c r="D660" s="51" t="s">
        <v>21061</v>
      </c>
      <c r="E660" s="45" t="s">
        <v>21063</v>
      </c>
      <c r="F660" s="45" t="s">
        <v>17759</v>
      </c>
      <c r="G660" s="45" t="s">
        <v>50584</v>
      </c>
      <c r="H660" s="56"/>
      <c r="I660" s="56" t="s">
        <v>50564</v>
      </c>
      <c r="J660" s="56"/>
      <c r="K660" s="50"/>
      <c r="L660" s="56" t="s">
        <v>56716</v>
      </c>
    </row>
    <row r="661" spans="1:12" s="37" customFormat="1" ht="11.25" x14ac:dyDescent="0.2">
      <c r="A661" s="46" t="s">
        <v>16372</v>
      </c>
      <c r="B661" s="46" t="s">
        <v>51097</v>
      </c>
      <c r="C661" s="58" t="str">
        <f>"22120661"</f>
        <v>22120661</v>
      </c>
      <c r="D661" s="58" t="str">
        <f>""</f>
        <v/>
      </c>
      <c r="E661" s="46" t="s">
        <v>91</v>
      </c>
      <c r="F661" s="46" t="s">
        <v>18001</v>
      </c>
      <c r="G661" s="46" t="s">
        <v>50584</v>
      </c>
      <c r="H661" s="48" t="s">
        <v>56716</v>
      </c>
      <c r="I661" s="48" t="s">
        <v>50564</v>
      </c>
      <c r="J661" s="48" t="s">
        <v>56716</v>
      </c>
      <c r="K661" s="50" t="s">
        <v>56716</v>
      </c>
      <c r="L661" s="48"/>
    </row>
    <row r="662" spans="1:12" s="37" customFormat="1" ht="11.25" x14ac:dyDescent="0.2">
      <c r="A662" s="46" t="s">
        <v>10790</v>
      </c>
      <c r="B662" s="46" t="s">
        <v>51098</v>
      </c>
      <c r="C662" s="58" t="str">
        <f>"02732289"</f>
        <v>02732289</v>
      </c>
      <c r="D662" s="58" t="str">
        <f>"15590291"</f>
        <v>15590291</v>
      </c>
      <c r="E662" s="46" t="s">
        <v>40314</v>
      </c>
      <c r="F662" s="46" t="s">
        <v>17759</v>
      </c>
      <c r="G662" s="46" t="s">
        <v>50584</v>
      </c>
      <c r="H662" s="48" t="s">
        <v>56716</v>
      </c>
      <c r="I662" s="48" t="s">
        <v>50564</v>
      </c>
      <c r="J662" s="48"/>
      <c r="K662" s="50" t="s">
        <v>56716</v>
      </c>
      <c r="L662" s="48" t="s">
        <v>56716</v>
      </c>
    </row>
    <row r="663" spans="1:12" s="37" customFormat="1" ht="11.25" x14ac:dyDescent="0.2">
      <c r="A663" s="46" t="s">
        <v>11738</v>
      </c>
      <c r="B663" s="46" t="s">
        <v>51099</v>
      </c>
      <c r="C663" s="58" t="str">
        <f>"11762322"</f>
        <v>11762322</v>
      </c>
      <c r="D663" s="58" t="str">
        <f>"17542103"</f>
        <v>17542103</v>
      </c>
      <c r="E663" s="46" t="s">
        <v>920</v>
      </c>
      <c r="F663" s="46" t="s">
        <v>18001</v>
      </c>
      <c r="G663" s="46" t="s">
        <v>50584</v>
      </c>
      <c r="H663" s="48" t="s">
        <v>56716</v>
      </c>
      <c r="I663" s="48" t="s">
        <v>50564</v>
      </c>
      <c r="J663" s="48" t="s">
        <v>56716</v>
      </c>
      <c r="K663" s="50"/>
      <c r="L663" s="48"/>
    </row>
    <row r="664" spans="1:12" s="37" customFormat="1" ht="11.25" x14ac:dyDescent="0.2">
      <c r="A664" s="46" t="s">
        <v>4910</v>
      </c>
      <c r="B664" s="46" t="s">
        <v>51100</v>
      </c>
      <c r="C664" s="58" t="str">
        <f>"09205268"</f>
        <v>09205268</v>
      </c>
      <c r="D664" s="58" t="str">
        <f>"1573790X"</f>
        <v>1573790X</v>
      </c>
      <c r="E664" s="46" t="s">
        <v>4912</v>
      </c>
      <c r="F664" s="46" t="s">
        <v>18158</v>
      </c>
      <c r="G664" s="46" t="s">
        <v>50584</v>
      </c>
      <c r="H664" s="48" t="s">
        <v>56716</v>
      </c>
      <c r="I664" s="48" t="s">
        <v>50564</v>
      </c>
      <c r="J664" s="48" t="s">
        <v>56716</v>
      </c>
      <c r="K664" s="50"/>
      <c r="L664" s="48"/>
    </row>
    <row r="665" spans="1:12" s="37" customFormat="1" ht="11.25" x14ac:dyDescent="0.2">
      <c r="A665" s="45" t="s">
        <v>21071</v>
      </c>
      <c r="B665" s="45" t="s">
        <v>21073</v>
      </c>
      <c r="C665" s="51"/>
      <c r="D665" s="51" t="s">
        <v>21074</v>
      </c>
      <c r="E665" s="45" t="s">
        <v>21075</v>
      </c>
      <c r="F665" s="45" t="s">
        <v>18158</v>
      </c>
      <c r="G665" s="45" t="s">
        <v>50584</v>
      </c>
      <c r="H665" s="56"/>
      <c r="I665" s="56" t="s">
        <v>50564</v>
      </c>
      <c r="J665" s="56"/>
      <c r="K665" s="50"/>
      <c r="L665" s="56" t="s">
        <v>56716</v>
      </c>
    </row>
    <row r="666" spans="1:12" s="37" customFormat="1" ht="11.25" x14ac:dyDescent="0.2">
      <c r="A666" s="46" t="s">
        <v>56197</v>
      </c>
      <c r="B666" s="46" t="s">
        <v>56198</v>
      </c>
      <c r="C666" s="58" t="str">
        <f>"2213476X"</f>
        <v>2213476X</v>
      </c>
      <c r="D666" s="58" t="str">
        <f>"22134778"</f>
        <v>22134778</v>
      </c>
      <c r="E666" s="46" t="s">
        <v>6405</v>
      </c>
      <c r="F666" s="46" t="s">
        <v>18001</v>
      </c>
      <c r="G666" s="46" t="s">
        <v>50584</v>
      </c>
      <c r="H666" s="48" t="s">
        <v>56716</v>
      </c>
      <c r="I666" s="48" t="s">
        <v>50564</v>
      </c>
      <c r="J666" s="48" t="s">
        <v>56716</v>
      </c>
      <c r="K666" s="50"/>
      <c r="L666" s="48"/>
    </row>
    <row r="667" spans="1:12" s="37" customFormat="1" ht="11.25" x14ac:dyDescent="0.2">
      <c r="A667" s="46" t="s">
        <v>8643</v>
      </c>
      <c r="B667" s="46" t="s">
        <v>51101</v>
      </c>
      <c r="C667" s="58" t="str">
        <f>"08884080"</f>
        <v>08884080</v>
      </c>
      <c r="D667" s="58" t="str">
        <f>"10990720"</f>
        <v>10990720</v>
      </c>
      <c r="E667" s="46" t="s">
        <v>751</v>
      </c>
      <c r="F667" s="46" t="s">
        <v>50646</v>
      </c>
      <c r="G667" s="46" t="s">
        <v>50584</v>
      </c>
      <c r="H667" s="48" t="s">
        <v>56716</v>
      </c>
      <c r="I667" s="48" t="s">
        <v>50564</v>
      </c>
      <c r="J667" s="48" t="s">
        <v>56716</v>
      </c>
      <c r="K667" s="50" t="s">
        <v>56716</v>
      </c>
      <c r="L667" s="48"/>
    </row>
    <row r="668" spans="1:12" s="37" customFormat="1" ht="11.25" x14ac:dyDescent="0.2">
      <c r="A668" s="46" t="s">
        <v>200</v>
      </c>
      <c r="B668" s="46" t="s">
        <v>51102</v>
      </c>
      <c r="C668" s="58" t="str">
        <f>"00036870"</f>
        <v>00036870</v>
      </c>
      <c r="D668" s="58" t="str">
        <f>"18729126"</f>
        <v>18729126</v>
      </c>
      <c r="E668" s="46" t="s">
        <v>155</v>
      </c>
      <c r="F668" s="46" t="s">
        <v>50646</v>
      </c>
      <c r="G668" s="46" t="s">
        <v>50584</v>
      </c>
      <c r="H668" s="48" t="s">
        <v>56716</v>
      </c>
      <c r="I668" s="48" t="s">
        <v>50564</v>
      </c>
      <c r="J668" s="48"/>
      <c r="K668" s="50"/>
      <c r="L668" s="48" t="s">
        <v>56716</v>
      </c>
    </row>
    <row r="669" spans="1:12" s="37" customFormat="1" ht="11.25" x14ac:dyDescent="0.2">
      <c r="A669" s="46" t="s">
        <v>10021</v>
      </c>
      <c r="B669" s="46" t="s">
        <v>51103</v>
      </c>
      <c r="C669" s="58" t="str">
        <f>"11755652"</f>
        <v>11755652</v>
      </c>
      <c r="D669" s="58" t="str">
        <f>"11791896"</f>
        <v>11791896</v>
      </c>
      <c r="E669" s="46" t="s">
        <v>55920</v>
      </c>
      <c r="F669" s="46" t="s">
        <v>18123</v>
      </c>
      <c r="G669" s="46" t="s">
        <v>50584</v>
      </c>
      <c r="H669" s="48" t="s">
        <v>56716</v>
      </c>
      <c r="I669" s="48" t="s">
        <v>50564</v>
      </c>
      <c r="J669" s="48"/>
      <c r="K669" s="50" t="s">
        <v>56716</v>
      </c>
      <c r="L669" s="48" t="s">
        <v>56716</v>
      </c>
    </row>
    <row r="670" spans="1:12" s="37" customFormat="1" ht="11.25" x14ac:dyDescent="0.2">
      <c r="A670" s="46" t="s">
        <v>8631</v>
      </c>
      <c r="B670" s="46" t="s">
        <v>51104</v>
      </c>
      <c r="C670" s="58" t="str">
        <f>"15412016"</f>
        <v>15412016</v>
      </c>
      <c r="D670" s="58" t="str">
        <f>"15334058"</f>
        <v>15334058</v>
      </c>
      <c r="E670" s="46" t="s">
        <v>28</v>
      </c>
      <c r="F670" s="46" t="s">
        <v>17759</v>
      </c>
      <c r="G670" s="46" t="s">
        <v>50584</v>
      </c>
      <c r="H670" s="48" t="s">
        <v>56716</v>
      </c>
      <c r="I670" s="48" t="s">
        <v>50564</v>
      </c>
      <c r="J670" s="48" t="s">
        <v>56716</v>
      </c>
      <c r="K670" s="50" t="s">
        <v>56716</v>
      </c>
      <c r="L670" s="48" t="s">
        <v>56716</v>
      </c>
    </row>
    <row r="671" spans="1:12" s="37" customFormat="1" ht="11.25" x14ac:dyDescent="0.2">
      <c r="A671" s="46" t="s">
        <v>447</v>
      </c>
      <c r="B671" s="46" t="s">
        <v>51105</v>
      </c>
      <c r="C671" s="58" t="str">
        <f>"01757598"</f>
        <v>01757598</v>
      </c>
      <c r="D671" s="58" t="str">
        <f>"14320614"</f>
        <v>14320614</v>
      </c>
      <c r="E671" s="46" t="s">
        <v>167</v>
      </c>
      <c r="F671" s="46" t="s">
        <v>18158</v>
      </c>
      <c r="G671" s="46" t="s">
        <v>50584</v>
      </c>
      <c r="H671" s="48" t="s">
        <v>56716</v>
      </c>
      <c r="I671" s="48" t="s">
        <v>50564</v>
      </c>
      <c r="J671" s="48"/>
      <c r="K671" s="50" t="s">
        <v>56716</v>
      </c>
      <c r="L671" s="48" t="s">
        <v>56716</v>
      </c>
    </row>
    <row r="672" spans="1:12" s="37" customFormat="1" ht="11.25" x14ac:dyDescent="0.2">
      <c r="A672" s="45" t="s">
        <v>21102</v>
      </c>
      <c r="B672" s="45" t="s">
        <v>21104</v>
      </c>
      <c r="C672" s="51" t="s">
        <v>56522</v>
      </c>
      <c r="D672" s="51" t="s">
        <v>56523</v>
      </c>
      <c r="E672" s="45" t="s">
        <v>21108</v>
      </c>
      <c r="F672" s="45" t="s">
        <v>17759</v>
      </c>
      <c r="G672" s="45" t="s">
        <v>50584</v>
      </c>
      <c r="H672" s="56"/>
      <c r="I672" s="56" t="s">
        <v>50564</v>
      </c>
      <c r="J672" s="56"/>
      <c r="K672" s="50"/>
      <c r="L672" s="56" t="s">
        <v>56716</v>
      </c>
    </row>
    <row r="673" spans="1:12" s="37" customFormat="1" ht="11.25" x14ac:dyDescent="0.2">
      <c r="A673" s="45" t="s">
        <v>21111</v>
      </c>
      <c r="B673" s="45" t="s">
        <v>21113</v>
      </c>
      <c r="C673" s="51" t="s">
        <v>21115</v>
      </c>
      <c r="D673" s="51" t="s">
        <v>21114</v>
      </c>
      <c r="E673" s="45" t="s">
        <v>21108</v>
      </c>
      <c r="F673" s="45" t="s">
        <v>17759</v>
      </c>
      <c r="G673" s="45" t="s">
        <v>50584</v>
      </c>
      <c r="H673" s="56"/>
      <c r="I673" s="56" t="s">
        <v>50564</v>
      </c>
      <c r="J673" s="56"/>
      <c r="K673" s="50"/>
      <c r="L673" s="56" t="s">
        <v>56716</v>
      </c>
    </row>
    <row r="674" spans="1:12" s="37" customFormat="1" ht="11.25" x14ac:dyDescent="0.2">
      <c r="A674" s="45" t="s">
        <v>21119</v>
      </c>
      <c r="B674" s="45" t="s">
        <v>21121</v>
      </c>
      <c r="C674" s="51" t="s">
        <v>21123</v>
      </c>
      <c r="D674" s="51" t="s">
        <v>21122</v>
      </c>
      <c r="E674" s="45" t="s">
        <v>303</v>
      </c>
      <c r="F674" s="45" t="s">
        <v>17759</v>
      </c>
      <c r="G674" s="45" t="s">
        <v>50584</v>
      </c>
      <c r="H674" s="56"/>
      <c r="I674" s="56" t="s">
        <v>50564</v>
      </c>
      <c r="J674" s="56"/>
      <c r="K674" s="50"/>
      <c r="L674" s="56" t="s">
        <v>56716</v>
      </c>
    </row>
    <row r="675" spans="1:12" s="37" customFormat="1" ht="11.25" x14ac:dyDescent="0.2">
      <c r="A675" s="45" t="s">
        <v>21125</v>
      </c>
      <c r="B675" s="45" t="s">
        <v>21127</v>
      </c>
      <c r="C675" s="51" t="s">
        <v>21129</v>
      </c>
      <c r="D675" s="51" t="s">
        <v>21128</v>
      </c>
      <c r="E675" s="45" t="s">
        <v>16258</v>
      </c>
      <c r="F675" s="45" t="s">
        <v>17759</v>
      </c>
      <c r="G675" s="45" t="s">
        <v>50584</v>
      </c>
      <c r="H675" s="56"/>
      <c r="I675" s="56" t="s">
        <v>50564</v>
      </c>
      <c r="J675" s="56"/>
      <c r="K675" s="50"/>
      <c r="L675" s="56" t="s">
        <v>56716</v>
      </c>
    </row>
    <row r="676" spans="1:12" s="37" customFormat="1" ht="11.25" x14ac:dyDescent="0.2">
      <c r="A676" s="45" t="s">
        <v>21132</v>
      </c>
      <c r="B676" s="45" t="s">
        <v>21134</v>
      </c>
      <c r="C676" s="51" t="s">
        <v>21137</v>
      </c>
      <c r="D676" s="51" t="s">
        <v>21136</v>
      </c>
      <c r="E676" s="45" t="s">
        <v>21138</v>
      </c>
      <c r="F676" s="45" t="s">
        <v>18959</v>
      </c>
      <c r="G676" s="45" t="s">
        <v>50590</v>
      </c>
      <c r="H676" s="56"/>
      <c r="I676" s="56" t="s">
        <v>50564</v>
      </c>
      <c r="J676" s="56"/>
      <c r="K676" s="50"/>
      <c r="L676" s="56" t="s">
        <v>56716</v>
      </c>
    </row>
    <row r="677" spans="1:12" s="37" customFormat="1" ht="11.25" x14ac:dyDescent="0.2">
      <c r="A677" s="45" t="s">
        <v>21141</v>
      </c>
      <c r="B677" s="45" t="s">
        <v>21143</v>
      </c>
      <c r="C677" s="51" t="s">
        <v>21145</v>
      </c>
      <c r="D677" s="51" t="s">
        <v>21144</v>
      </c>
      <c r="E677" s="45" t="s">
        <v>21146</v>
      </c>
      <c r="F677" s="45" t="s">
        <v>50646</v>
      </c>
      <c r="G677" s="45" t="s">
        <v>50584</v>
      </c>
      <c r="H677" s="56"/>
      <c r="I677" s="56" t="s">
        <v>50564</v>
      </c>
      <c r="J677" s="56"/>
      <c r="K677" s="50"/>
      <c r="L677" s="56" t="s">
        <v>56716</v>
      </c>
    </row>
    <row r="678" spans="1:12" s="37" customFormat="1" ht="11.25" x14ac:dyDescent="0.2">
      <c r="A678" s="45" t="s">
        <v>21148</v>
      </c>
      <c r="B678" s="45" t="s">
        <v>21150</v>
      </c>
      <c r="C678" s="51" t="s">
        <v>21153</v>
      </c>
      <c r="D678" s="51" t="s">
        <v>21152</v>
      </c>
      <c r="E678" s="45" t="s">
        <v>18832</v>
      </c>
      <c r="F678" s="45" t="s">
        <v>17759</v>
      </c>
      <c r="G678" s="45" t="s">
        <v>50584</v>
      </c>
      <c r="H678" s="56"/>
      <c r="I678" s="56" t="s">
        <v>50564</v>
      </c>
      <c r="J678" s="56"/>
      <c r="K678" s="50"/>
      <c r="L678" s="56" t="s">
        <v>56716</v>
      </c>
    </row>
    <row r="679" spans="1:12" s="37" customFormat="1" ht="11.25" x14ac:dyDescent="0.2">
      <c r="A679" s="46" t="s">
        <v>636</v>
      </c>
      <c r="B679" s="46" t="s">
        <v>51106</v>
      </c>
      <c r="C679" s="58" t="str">
        <f>"09698043"</f>
        <v>09698043</v>
      </c>
      <c r="D679" s="58" t="str">
        <f>"18729800"</f>
        <v>18729800</v>
      </c>
      <c r="E679" s="46" t="s">
        <v>155</v>
      </c>
      <c r="F679" s="46" t="s">
        <v>50646</v>
      </c>
      <c r="G679" s="46" t="s">
        <v>50584</v>
      </c>
      <c r="H679" s="48" t="s">
        <v>56716</v>
      </c>
      <c r="I679" s="48" t="s">
        <v>50564</v>
      </c>
      <c r="J679" s="48" t="s">
        <v>56716</v>
      </c>
      <c r="K679" s="50" t="s">
        <v>56716</v>
      </c>
      <c r="L679" s="48" t="s">
        <v>56716</v>
      </c>
    </row>
    <row r="680" spans="1:12" s="37" customFormat="1" ht="11.25" x14ac:dyDescent="0.2">
      <c r="A680" s="46" t="s">
        <v>626</v>
      </c>
      <c r="B680" s="46" t="s">
        <v>51107</v>
      </c>
      <c r="C680" s="58" t="str">
        <f>"01609963"</f>
        <v>01609963</v>
      </c>
      <c r="D680" s="58" t="str">
        <f>"18792898"</f>
        <v>18792898</v>
      </c>
      <c r="E680" s="46" t="s">
        <v>629</v>
      </c>
      <c r="F680" s="46" t="s">
        <v>17759</v>
      </c>
      <c r="G680" s="46" t="s">
        <v>50584</v>
      </c>
      <c r="H680" s="48" t="s">
        <v>56716</v>
      </c>
      <c r="I680" s="48" t="s">
        <v>50564</v>
      </c>
      <c r="J680" s="48"/>
      <c r="K680" s="50"/>
      <c r="L680" s="48"/>
    </row>
    <row r="681" spans="1:12" s="37" customFormat="1" ht="11.25" x14ac:dyDescent="0.2">
      <c r="A681" s="45" t="s">
        <v>21162</v>
      </c>
      <c r="B681" s="45" t="s">
        <v>21164</v>
      </c>
      <c r="C681" s="51" t="s">
        <v>21167</v>
      </c>
      <c r="D681" s="51" t="s">
        <v>21166</v>
      </c>
      <c r="E681" s="45" t="s">
        <v>21168</v>
      </c>
      <c r="F681" s="45" t="s">
        <v>17759</v>
      </c>
      <c r="G681" s="45" t="s">
        <v>50584</v>
      </c>
      <c r="H681" s="56"/>
      <c r="I681" s="56" t="s">
        <v>50564</v>
      </c>
      <c r="J681" s="56"/>
      <c r="K681" s="50"/>
      <c r="L681" s="56" t="s">
        <v>56716</v>
      </c>
    </row>
    <row r="682" spans="1:12" s="37" customFormat="1" ht="11.25" x14ac:dyDescent="0.2">
      <c r="A682" s="46" t="s">
        <v>12127</v>
      </c>
      <c r="B682" s="46" t="s">
        <v>51108</v>
      </c>
      <c r="C682" s="58" t="str">
        <f>""</f>
        <v/>
      </c>
      <c r="D682" s="58" t="str">
        <f>"18866581"</f>
        <v>18866581</v>
      </c>
      <c r="E682" s="46" t="s">
        <v>175</v>
      </c>
      <c r="F682" s="46" t="s">
        <v>18439</v>
      </c>
      <c r="G682" s="46" t="s">
        <v>50632</v>
      </c>
      <c r="H682" s="48" t="s">
        <v>56716</v>
      </c>
      <c r="I682" s="48" t="s">
        <v>50564</v>
      </c>
      <c r="J682" s="48"/>
      <c r="K682" s="50" t="s">
        <v>56716</v>
      </c>
      <c r="L682" s="48"/>
    </row>
    <row r="683" spans="1:12" s="37" customFormat="1" ht="11.25" x14ac:dyDescent="0.2">
      <c r="A683" s="46" t="s">
        <v>609</v>
      </c>
      <c r="B683" s="46" t="s">
        <v>51109</v>
      </c>
      <c r="C683" s="58" t="str">
        <f>"0166445X"</f>
        <v>0166445X</v>
      </c>
      <c r="D683" s="58" t="str">
        <f>"18791514"</f>
        <v>18791514</v>
      </c>
      <c r="E683" s="46" t="s">
        <v>91</v>
      </c>
      <c r="F683" s="46" t="s">
        <v>18001</v>
      </c>
      <c r="G683" s="46" t="s">
        <v>50584</v>
      </c>
      <c r="H683" s="48" t="s">
        <v>56716</v>
      </c>
      <c r="I683" s="48" t="s">
        <v>50564</v>
      </c>
      <c r="J683" s="48" t="s">
        <v>56716</v>
      </c>
      <c r="K683" s="50" t="s">
        <v>56716</v>
      </c>
      <c r="L683" s="48" t="s">
        <v>56716</v>
      </c>
    </row>
    <row r="684" spans="1:12" s="37" customFormat="1" ht="11.25" x14ac:dyDescent="0.2">
      <c r="A684" s="46" t="s">
        <v>13740</v>
      </c>
      <c r="B684" s="46" t="s">
        <v>51110</v>
      </c>
      <c r="C684" s="58" t="str">
        <f>"16871979"</f>
        <v>16871979</v>
      </c>
      <c r="D684" s="58" t="str">
        <f>"20902387"</f>
        <v>20902387</v>
      </c>
      <c r="E684" s="46" t="s">
        <v>155</v>
      </c>
      <c r="F684" s="46" t="s">
        <v>50646</v>
      </c>
      <c r="G684" s="46" t="s">
        <v>50584</v>
      </c>
      <c r="H684" s="48" t="s">
        <v>56716</v>
      </c>
      <c r="I684" s="48" t="s">
        <v>50564</v>
      </c>
      <c r="J684" s="48" t="s">
        <v>56716</v>
      </c>
      <c r="K684" s="50" t="s">
        <v>56716</v>
      </c>
      <c r="L684" s="48" t="s">
        <v>56716</v>
      </c>
    </row>
    <row r="685" spans="1:12" s="37" customFormat="1" ht="11.25" x14ac:dyDescent="0.2">
      <c r="A685" s="45" t="s">
        <v>21184</v>
      </c>
      <c r="B685" s="45" t="s">
        <v>21186</v>
      </c>
      <c r="C685" s="51" t="s">
        <v>21187</v>
      </c>
      <c r="D685" s="51"/>
      <c r="E685" s="45" t="s">
        <v>21188</v>
      </c>
      <c r="F685" s="45" t="s">
        <v>21189</v>
      </c>
      <c r="G685" s="45" t="s">
        <v>56524</v>
      </c>
      <c r="H685" s="56"/>
      <c r="I685" s="56" t="s">
        <v>50564</v>
      </c>
      <c r="J685" s="56"/>
      <c r="K685" s="50"/>
      <c r="L685" s="56" t="s">
        <v>56716</v>
      </c>
    </row>
    <row r="686" spans="1:12" s="37" customFormat="1" ht="11.25" x14ac:dyDescent="0.2">
      <c r="A686" s="46" t="s">
        <v>15464</v>
      </c>
      <c r="B686" s="46" t="s">
        <v>51111</v>
      </c>
      <c r="C686" s="58" t="str">
        <f>"2090598X"</f>
        <v>2090598X</v>
      </c>
      <c r="D686" s="58" t="str">
        <f>"20905998"</f>
        <v>20905998</v>
      </c>
      <c r="E686" s="46" t="s">
        <v>15467</v>
      </c>
      <c r="F686" s="46" t="s">
        <v>21182</v>
      </c>
      <c r="G686" s="46" t="s">
        <v>50584</v>
      </c>
      <c r="H686" s="48" t="s">
        <v>56716</v>
      </c>
      <c r="I686" s="48" t="s">
        <v>50564</v>
      </c>
      <c r="J686" s="48"/>
      <c r="K686" s="50" t="s">
        <v>56716</v>
      </c>
      <c r="L686" s="48"/>
    </row>
    <row r="687" spans="1:12" s="37" customFormat="1" ht="11.25" x14ac:dyDescent="0.2">
      <c r="A687" s="45" t="s">
        <v>21200</v>
      </c>
      <c r="B687" s="45" t="s">
        <v>21202</v>
      </c>
      <c r="C687" s="51" t="s">
        <v>21204</v>
      </c>
      <c r="D687" s="51" t="s">
        <v>21203</v>
      </c>
      <c r="E687" s="45" t="s">
        <v>21205</v>
      </c>
      <c r="F687" s="45" t="s">
        <v>17759</v>
      </c>
      <c r="G687" s="45" t="s">
        <v>50584</v>
      </c>
      <c r="H687" s="56"/>
      <c r="I687" s="56" t="s">
        <v>50564</v>
      </c>
      <c r="J687" s="56"/>
      <c r="K687" s="50"/>
      <c r="L687" s="56" t="s">
        <v>56716</v>
      </c>
    </row>
    <row r="688" spans="1:12" s="37" customFormat="1" ht="11.25" x14ac:dyDescent="0.2">
      <c r="A688" s="45" t="s">
        <v>21207</v>
      </c>
      <c r="B688" s="45" t="s">
        <v>21209</v>
      </c>
      <c r="C688" s="51" t="s">
        <v>21211</v>
      </c>
      <c r="D688" s="51"/>
      <c r="E688" s="45" t="s">
        <v>21212</v>
      </c>
      <c r="F688" s="45" t="s">
        <v>17759</v>
      </c>
      <c r="G688" s="45" t="s">
        <v>50584</v>
      </c>
      <c r="H688" s="56"/>
      <c r="I688" s="56" t="s">
        <v>50564</v>
      </c>
      <c r="J688" s="56"/>
      <c r="K688" s="50"/>
      <c r="L688" s="56" t="s">
        <v>56716</v>
      </c>
    </row>
    <row r="689" spans="1:12" s="37" customFormat="1" ht="11.25" x14ac:dyDescent="0.2">
      <c r="A689" s="46" t="s">
        <v>648</v>
      </c>
      <c r="B689" s="46" t="s">
        <v>51112</v>
      </c>
      <c r="C689" s="58" t="str">
        <f>"03656233"</f>
        <v>03656233</v>
      </c>
      <c r="D689" s="58" t="str">
        <f>"15214184"</f>
        <v>15214184</v>
      </c>
      <c r="E689" s="46" t="s">
        <v>651</v>
      </c>
      <c r="F689" s="46" t="s">
        <v>18158</v>
      </c>
      <c r="G689" s="46" t="s">
        <v>50584</v>
      </c>
      <c r="H689" s="48" t="s">
        <v>56716</v>
      </c>
      <c r="I689" s="48" t="s">
        <v>50564</v>
      </c>
      <c r="J689" s="48" t="s">
        <v>56716</v>
      </c>
      <c r="K689" s="50" t="s">
        <v>56716</v>
      </c>
      <c r="L689" s="48" t="s">
        <v>56716</v>
      </c>
    </row>
    <row r="690" spans="1:12" s="37" customFormat="1" ht="11.25" x14ac:dyDescent="0.2">
      <c r="A690" s="45" t="s">
        <v>21222</v>
      </c>
      <c r="B690" s="45" t="s">
        <v>21224</v>
      </c>
      <c r="C690" s="51" t="s">
        <v>21226</v>
      </c>
      <c r="D690" s="51"/>
      <c r="E690" s="45" t="s">
        <v>21227</v>
      </c>
      <c r="F690" s="45" t="s">
        <v>18158</v>
      </c>
      <c r="G690" s="45" t="s">
        <v>50592</v>
      </c>
      <c r="H690" s="56"/>
      <c r="I690" s="56" t="s">
        <v>50564</v>
      </c>
      <c r="J690" s="56"/>
      <c r="K690" s="50"/>
      <c r="L690" s="56" t="s">
        <v>56716</v>
      </c>
    </row>
    <row r="691" spans="1:12" s="37" customFormat="1" ht="11.25" x14ac:dyDescent="0.2">
      <c r="A691" s="46" t="s">
        <v>7146</v>
      </c>
      <c r="B691" s="46" t="s">
        <v>51113</v>
      </c>
      <c r="C691" s="58" t="str">
        <f>"03547310"</f>
        <v>03547310</v>
      </c>
      <c r="D691" s="58" t="str">
        <f>"14509520"</f>
        <v>14509520</v>
      </c>
      <c r="E691" s="46" t="s">
        <v>7149</v>
      </c>
      <c r="F691" s="46" t="s">
        <v>18050</v>
      </c>
      <c r="G691" s="46" t="s">
        <v>50584</v>
      </c>
      <c r="H691" s="48" t="s">
        <v>56716</v>
      </c>
      <c r="I691" s="48" t="s">
        <v>50564</v>
      </c>
      <c r="J691" s="48"/>
      <c r="K691" s="50"/>
      <c r="L691" s="48"/>
    </row>
    <row r="692" spans="1:12" s="37" customFormat="1" ht="11.25" x14ac:dyDescent="0.2">
      <c r="A692" s="45" t="s">
        <v>21229</v>
      </c>
      <c r="B692" s="45" t="s">
        <v>21231</v>
      </c>
      <c r="C692" s="51" t="s">
        <v>21234</v>
      </c>
      <c r="D692" s="51" t="s">
        <v>21233</v>
      </c>
      <c r="E692" s="45" t="s">
        <v>21235</v>
      </c>
      <c r="F692" s="45" t="s">
        <v>21236</v>
      </c>
      <c r="G692" s="45" t="s">
        <v>50590</v>
      </c>
      <c r="H692" s="56"/>
      <c r="I692" s="56" t="s">
        <v>50564</v>
      </c>
      <c r="J692" s="56"/>
      <c r="K692" s="50"/>
      <c r="L692" s="56" t="s">
        <v>56716</v>
      </c>
    </row>
    <row r="693" spans="1:12" s="37" customFormat="1" ht="11.25" x14ac:dyDescent="0.2">
      <c r="A693" s="45" t="s">
        <v>21238</v>
      </c>
      <c r="B693" s="45" t="s">
        <v>21240</v>
      </c>
      <c r="C693" s="51" t="s">
        <v>21242</v>
      </c>
      <c r="D693" s="51"/>
      <c r="E693" s="45" t="s">
        <v>56525</v>
      </c>
      <c r="F693" s="45" t="s">
        <v>21243</v>
      </c>
      <c r="G693" s="45" t="s">
        <v>50590</v>
      </c>
      <c r="H693" s="56"/>
      <c r="I693" s="56" t="s">
        <v>50564</v>
      </c>
      <c r="J693" s="56"/>
      <c r="K693" s="50"/>
      <c r="L693" s="56" t="s">
        <v>56716</v>
      </c>
    </row>
    <row r="694" spans="1:12" s="37" customFormat="1" ht="11.25" x14ac:dyDescent="0.2">
      <c r="A694" s="46" t="s">
        <v>6183</v>
      </c>
      <c r="B694" s="46" t="s">
        <v>51114</v>
      </c>
      <c r="C694" s="58" t="str">
        <f>"0929693X"</f>
        <v>0929693X</v>
      </c>
      <c r="D694" s="58" t="str">
        <f>"1769664X"</f>
        <v>1769664X</v>
      </c>
      <c r="E694" s="46" t="s">
        <v>85</v>
      </c>
      <c r="F694" s="46" t="s">
        <v>20359</v>
      </c>
      <c r="G694" s="46" t="s">
        <v>50591</v>
      </c>
      <c r="H694" s="48" t="s">
        <v>56716</v>
      </c>
      <c r="I694" s="48" t="s">
        <v>50564</v>
      </c>
      <c r="J694" s="48"/>
      <c r="K694" s="50" t="s">
        <v>56716</v>
      </c>
      <c r="L694" s="48" t="s">
        <v>56716</v>
      </c>
    </row>
    <row r="695" spans="1:12" s="37" customFormat="1" ht="11.25" x14ac:dyDescent="0.2">
      <c r="A695" s="46" t="s">
        <v>6543</v>
      </c>
      <c r="B695" s="46" t="s">
        <v>51115</v>
      </c>
      <c r="C695" s="58" t="str">
        <f>"1261694X"</f>
        <v>1261694X</v>
      </c>
      <c r="D695" s="58" t="str">
        <f>""</f>
        <v/>
      </c>
      <c r="E695" s="46" t="s">
        <v>85</v>
      </c>
      <c r="F695" s="46" t="s">
        <v>20359</v>
      </c>
      <c r="G695" s="46" t="s">
        <v>50591</v>
      </c>
      <c r="H695" s="48" t="s">
        <v>56716</v>
      </c>
      <c r="I695" s="48" t="s">
        <v>50564</v>
      </c>
      <c r="J695" s="48"/>
      <c r="K695" s="50"/>
      <c r="L695" s="48"/>
    </row>
    <row r="696" spans="1:12" s="37" customFormat="1" ht="11.25" x14ac:dyDescent="0.2">
      <c r="A696" s="45" t="s">
        <v>21251</v>
      </c>
      <c r="B696" s="45" t="s">
        <v>21253</v>
      </c>
      <c r="C696" s="51" t="s">
        <v>21255</v>
      </c>
      <c r="D696" s="51"/>
      <c r="E696" s="45" t="s">
        <v>21256</v>
      </c>
      <c r="F696" s="45" t="s">
        <v>20359</v>
      </c>
      <c r="G696" s="45" t="s">
        <v>50591</v>
      </c>
      <c r="H696" s="56"/>
      <c r="I696" s="56" t="s">
        <v>50564</v>
      </c>
      <c r="J696" s="56"/>
      <c r="K696" s="50"/>
      <c r="L696" s="56" t="s">
        <v>56716</v>
      </c>
    </row>
    <row r="697" spans="1:12" s="37" customFormat="1" ht="11.25" x14ac:dyDescent="0.2">
      <c r="A697" s="45" t="s">
        <v>21258</v>
      </c>
      <c r="B697" s="45" t="s">
        <v>21260</v>
      </c>
      <c r="C697" s="51" t="s">
        <v>21261</v>
      </c>
      <c r="D697" s="51"/>
      <c r="E697" s="45" t="s">
        <v>21262</v>
      </c>
      <c r="F697" s="45" t="s">
        <v>17991</v>
      </c>
      <c r="G697" s="45" t="s">
        <v>50591</v>
      </c>
      <c r="H697" s="56"/>
      <c r="I697" s="56" t="s">
        <v>50564</v>
      </c>
      <c r="J697" s="56"/>
      <c r="K697" s="50"/>
      <c r="L697" s="56" t="s">
        <v>56716</v>
      </c>
    </row>
    <row r="698" spans="1:12" s="37" customFormat="1" ht="11.25" x14ac:dyDescent="0.2">
      <c r="A698" s="45" t="s">
        <v>21265</v>
      </c>
      <c r="B698" s="45" t="s">
        <v>21267</v>
      </c>
      <c r="C698" s="51" t="s">
        <v>21270</v>
      </c>
      <c r="D698" s="51" t="s">
        <v>21269</v>
      </c>
      <c r="E698" s="45" t="s">
        <v>18404</v>
      </c>
      <c r="F698" s="45" t="s">
        <v>50646</v>
      </c>
      <c r="G698" s="45" t="s">
        <v>50584</v>
      </c>
      <c r="H698" s="56"/>
      <c r="I698" s="56" t="s">
        <v>50564</v>
      </c>
      <c r="J698" s="56"/>
      <c r="K698" s="50"/>
      <c r="L698" s="56" t="s">
        <v>56716</v>
      </c>
    </row>
    <row r="699" spans="1:12" s="37" customFormat="1" ht="11.25" x14ac:dyDescent="0.2">
      <c r="A699" s="46" t="s">
        <v>57</v>
      </c>
      <c r="B699" s="46" t="s">
        <v>51116</v>
      </c>
      <c r="C699" s="58" t="str">
        <f>"00039861"</f>
        <v>00039861</v>
      </c>
      <c r="D699" s="58" t="str">
        <f>"10960384"</f>
        <v>10960384</v>
      </c>
      <c r="E699" s="46" t="s">
        <v>60</v>
      </c>
      <c r="F699" s="46" t="s">
        <v>17759</v>
      </c>
      <c r="G699" s="46" t="s">
        <v>50584</v>
      </c>
      <c r="H699" s="48" t="s">
        <v>56716</v>
      </c>
      <c r="I699" s="48" t="s">
        <v>50564</v>
      </c>
      <c r="J699" s="48" t="s">
        <v>56716</v>
      </c>
      <c r="K699" s="50" t="s">
        <v>56716</v>
      </c>
      <c r="L699" s="48" t="s">
        <v>56716</v>
      </c>
    </row>
    <row r="700" spans="1:12" s="37" customFormat="1" ht="11.25" x14ac:dyDescent="0.2">
      <c r="A700" s="46" t="s">
        <v>12690</v>
      </c>
      <c r="B700" s="46" t="s">
        <v>51117</v>
      </c>
      <c r="C700" s="58" t="str">
        <f>"18752136"</f>
        <v>18752136</v>
      </c>
      <c r="D700" s="58" t="str">
        <f>"18752128"</f>
        <v>18752128</v>
      </c>
      <c r="E700" s="46" t="s">
        <v>85</v>
      </c>
      <c r="F700" s="46" t="s">
        <v>20359</v>
      </c>
      <c r="G700" s="46" t="s">
        <v>50584</v>
      </c>
      <c r="H700" s="48" t="s">
        <v>56716</v>
      </c>
      <c r="I700" s="48" t="s">
        <v>50564</v>
      </c>
      <c r="J700" s="48"/>
      <c r="K700" s="50" t="s">
        <v>56716</v>
      </c>
      <c r="L700" s="48" t="s">
        <v>56716</v>
      </c>
    </row>
    <row r="701" spans="1:12" s="37" customFormat="1" ht="11.25" x14ac:dyDescent="0.2">
      <c r="A701" s="46" t="s">
        <v>14361</v>
      </c>
      <c r="B701" s="46" t="s">
        <v>51117</v>
      </c>
      <c r="C701" s="58" t="str">
        <f>"18786480"</f>
        <v>18786480</v>
      </c>
      <c r="D701" s="58" t="str">
        <f>"18786502"</f>
        <v>18786502</v>
      </c>
      <c r="E701" s="46" t="s">
        <v>85</v>
      </c>
      <c r="F701" s="46" t="s">
        <v>20359</v>
      </c>
      <c r="G701" s="46" t="s">
        <v>50584</v>
      </c>
      <c r="H701" s="48" t="s">
        <v>56716</v>
      </c>
      <c r="I701" s="48" t="s">
        <v>50564</v>
      </c>
      <c r="J701" s="48" t="s">
        <v>56716</v>
      </c>
      <c r="K701" s="50"/>
      <c r="L701" s="48"/>
    </row>
    <row r="702" spans="1:12" s="37" customFormat="1" ht="11.25" x14ac:dyDescent="0.2">
      <c r="A702" s="46" t="s">
        <v>56224</v>
      </c>
      <c r="B702" s="46" t="s">
        <v>56225</v>
      </c>
      <c r="C702" s="58" t="str">
        <f>"23225327"</f>
        <v>23225327</v>
      </c>
      <c r="D702" s="58" t="str">
        <f>"23225319"</f>
        <v>23225319</v>
      </c>
      <c r="E702" s="46" t="s">
        <v>56226</v>
      </c>
      <c r="F702" s="46" t="s">
        <v>18001</v>
      </c>
      <c r="G702" s="46" t="s">
        <v>50584</v>
      </c>
      <c r="H702" s="48" t="s">
        <v>56716</v>
      </c>
      <c r="I702" s="48" t="s">
        <v>50564</v>
      </c>
      <c r="J702" s="48"/>
      <c r="K702" s="50"/>
      <c r="L702" s="48"/>
    </row>
    <row r="703" spans="1:12" s="37" customFormat="1" ht="11.25" x14ac:dyDescent="0.2">
      <c r="A703" s="46" t="s">
        <v>50684</v>
      </c>
      <c r="B703" s="46" t="s">
        <v>51118</v>
      </c>
      <c r="C703" s="58" t="str">
        <f>"23452641"</f>
        <v>23452641</v>
      </c>
      <c r="D703" s="58" t="str">
        <f>"20081081"</f>
        <v>20081081</v>
      </c>
      <c r="E703" s="46" t="s">
        <v>55898</v>
      </c>
      <c r="F703" s="46" t="s">
        <v>18232</v>
      </c>
      <c r="G703" s="46" t="s">
        <v>50584</v>
      </c>
      <c r="H703" s="48" t="s">
        <v>56716</v>
      </c>
      <c r="I703" s="48" t="s">
        <v>50564</v>
      </c>
      <c r="J703" s="48"/>
      <c r="K703" s="50"/>
      <c r="L703" s="48"/>
    </row>
    <row r="704" spans="1:12" s="37" customFormat="1" ht="11.25" x14ac:dyDescent="0.2">
      <c r="A704" s="45" t="s">
        <v>21284</v>
      </c>
      <c r="B704" s="45" t="s">
        <v>21286</v>
      </c>
      <c r="C704" s="51" t="s">
        <v>21288</v>
      </c>
      <c r="D704" s="51" t="s">
        <v>21287</v>
      </c>
      <c r="E704" s="45" t="s">
        <v>55</v>
      </c>
      <c r="F704" s="45" t="s">
        <v>17759</v>
      </c>
      <c r="G704" s="45" t="s">
        <v>50584</v>
      </c>
      <c r="H704" s="56"/>
      <c r="I704" s="56" t="s">
        <v>50564</v>
      </c>
      <c r="J704" s="56"/>
      <c r="K704" s="50"/>
      <c r="L704" s="56" t="s">
        <v>56716</v>
      </c>
    </row>
    <row r="705" spans="1:12" s="37" customFormat="1" ht="11.25" x14ac:dyDescent="0.2">
      <c r="A705" s="46" t="s">
        <v>164</v>
      </c>
      <c r="B705" s="46" t="s">
        <v>51119</v>
      </c>
      <c r="C705" s="58" t="str">
        <f>"03403696"</f>
        <v>03403696</v>
      </c>
      <c r="D705" s="58" t="str">
        <f>"1432069X"</f>
        <v>1432069X</v>
      </c>
      <c r="E705" s="46" t="s">
        <v>167</v>
      </c>
      <c r="F705" s="46" t="s">
        <v>18158</v>
      </c>
      <c r="G705" s="46" t="s">
        <v>50584</v>
      </c>
      <c r="H705" s="48" t="s">
        <v>56716</v>
      </c>
      <c r="I705" s="48" t="s">
        <v>50564</v>
      </c>
      <c r="J705" s="48" t="s">
        <v>56716</v>
      </c>
      <c r="K705" s="50" t="s">
        <v>56716</v>
      </c>
      <c r="L705" s="48" t="s">
        <v>56716</v>
      </c>
    </row>
    <row r="706" spans="1:12" s="37" customFormat="1" ht="11.25" x14ac:dyDescent="0.2">
      <c r="A706" s="46" t="s">
        <v>156</v>
      </c>
      <c r="B706" s="46" t="s">
        <v>51120</v>
      </c>
      <c r="C706" s="58" t="str">
        <f>"00039888"</f>
        <v>00039888</v>
      </c>
      <c r="D706" s="58" t="str">
        <f>"14682044"</f>
        <v>14682044</v>
      </c>
      <c r="E706" s="46" t="s">
        <v>159</v>
      </c>
      <c r="F706" s="46" t="s">
        <v>50646</v>
      </c>
      <c r="G706" s="46" t="s">
        <v>50584</v>
      </c>
      <c r="H706" s="48" t="s">
        <v>56716</v>
      </c>
      <c r="I706" s="48" t="s">
        <v>50564</v>
      </c>
      <c r="J706" s="48" t="s">
        <v>56716</v>
      </c>
      <c r="K706" s="50" t="s">
        <v>56716</v>
      </c>
      <c r="L706" s="48" t="s">
        <v>56716</v>
      </c>
    </row>
    <row r="707" spans="1:12" s="37" customFormat="1" ht="11.25" x14ac:dyDescent="0.2">
      <c r="A707" s="46" t="s">
        <v>10239</v>
      </c>
      <c r="B707" s="46" t="s">
        <v>51121</v>
      </c>
      <c r="C707" s="58" t="str">
        <f>"17430585"</f>
        <v>17430585</v>
      </c>
      <c r="D707" s="58" t="str">
        <f>"17430593"</f>
        <v>17430593</v>
      </c>
      <c r="E707" s="46" t="s">
        <v>159</v>
      </c>
      <c r="F707" s="46" t="s">
        <v>50646</v>
      </c>
      <c r="G707" s="46" t="s">
        <v>50584</v>
      </c>
      <c r="H707" s="48" t="s">
        <v>56716</v>
      </c>
      <c r="I707" s="48" t="s">
        <v>50564</v>
      </c>
      <c r="J707" s="48" t="s">
        <v>56716</v>
      </c>
      <c r="K707" s="50"/>
      <c r="L707" s="48" t="s">
        <v>56716</v>
      </c>
    </row>
    <row r="708" spans="1:12" s="37" customFormat="1" ht="11.25" x14ac:dyDescent="0.2">
      <c r="A708" s="46" t="s">
        <v>7592</v>
      </c>
      <c r="B708" s="46" t="s">
        <v>51122</v>
      </c>
      <c r="C708" s="58" t="str">
        <f>"13592998"</f>
        <v>13592998</v>
      </c>
      <c r="D708" s="58" t="str">
        <f>"14682052"</f>
        <v>14682052</v>
      </c>
      <c r="E708" s="46" t="s">
        <v>159</v>
      </c>
      <c r="F708" s="46" t="s">
        <v>50646</v>
      </c>
      <c r="G708" s="46" t="s">
        <v>50584</v>
      </c>
      <c r="H708" s="48" t="s">
        <v>56716</v>
      </c>
      <c r="I708" s="48" t="s">
        <v>50564</v>
      </c>
      <c r="J708" s="48" t="s">
        <v>56716</v>
      </c>
      <c r="K708" s="50" t="s">
        <v>56716</v>
      </c>
      <c r="L708" s="48" t="s">
        <v>56716</v>
      </c>
    </row>
    <row r="709" spans="1:12" s="37" customFormat="1" ht="11.25" x14ac:dyDescent="0.2">
      <c r="A709" s="46" t="s">
        <v>11604</v>
      </c>
      <c r="B709" s="46" t="s">
        <v>56313</v>
      </c>
      <c r="C709" s="58" t="str">
        <f>"19338244"</f>
        <v>19338244</v>
      </c>
      <c r="D709" s="58" t="str">
        <f>"21544700"</f>
        <v>21544700</v>
      </c>
      <c r="E709" s="46" t="s">
        <v>669</v>
      </c>
      <c r="F709" s="46" t="s">
        <v>17759</v>
      </c>
      <c r="G709" s="46" t="s">
        <v>50584</v>
      </c>
      <c r="H709" s="48" t="s">
        <v>56716</v>
      </c>
      <c r="I709" s="48" t="s">
        <v>50564</v>
      </c>
      <c r="J709" s="48" t="s">
        <v>56716</v>
      </c>
      <c r="K709" s="50"/>
      <c r="L709" s="48" t="s">
        <v>56716</v>
      </c>
    </row>
    <row r="710" spans="1:12" s="37" customFormat="1" ht="11.25" x14ac:dyDescent="0.2">
      <c r="A710" s="46" t="s">
        <v>187</v>
      </c>
      <c r="B710" s="46" t="s">
        <v>51123</v>
      </c>
      <c r="C710" s="58" t="str">
        <f>"00904341"</f>
        <v>00904341</v>
      </c>
      <c r="D710" s="58" t="str">
        <f>"14320703"</f>
        <v>14320703</v>
      </c>
      <c r="E710" s="46" t="s">
        <v>56305</v>
      </c>
      <c r="F710" s="46" t="s">
        <v>17759</v>
      </c>
      <c r="G710" s="46" t="s">
        <v>50584</v>
      </c>
      <c r="H710" s="48" t="s">
        <v>56716</v>
      </c>
      <c r="I710" s="48" t="s">
        <v>50564</v>
      </c>
      <c r="J710" s="48" t="s">
        <v>56716</v>
      </c>
      <c r="K710" s="50" t="s">
        <v>56716</v>
      </c>
      <c r="L710" s="48" t="s">
        <v>56716</v>
      </c>
    </row>
    <row r="711" spans="1:12" s="37" customFormat="1" ht="11.25" x14ac:dyDescent="0.2">
      <c r="A711" s="46" t="s">
        <v>5849</v>
      </c>
      <c r="B711" s="46" t="s">
        <v>51124</v>
      </c>
      <c r="C711" s="58" t="str">
        <f>"03542440"</f>
        <v>03542440</v>
      </c>
      <c r="D711" s="58" t="str">
        <f>""</f>
        <v/>
      </c>
      <c r="E711" s="46" t="s">
        <v>5851</v>
      </c>
      <c r="F711" s="46" t="s">
        <v>18050</v>
      </c>
      <c r="G711" s="46" t="s">
        <v>50622</v>
      </c>
      <c r="H711" s="48" t="s">
        <v>56716</v>
      </c>
      <c r="I711" s="48" t="s">
        <v>50564</v>
      </c>
      <c r="J711" s="48"/>
      <c r="K711" s="50"/>
      <c r="L711" s="48"/>
    </row>
    <row r="712" spans="1:12" s="37" customFormat="1" ht="11.25" x14ac:dyDescent="0.2">
      <c r="A712" s="46" t="s">
        <v>218</v>
      </c>
      <c r="B712" s="46" t="s">
        <v>51125</v>
      </c>
      <c r="C712" s="58" t="str">
        <f>"01674943"</f>
        <v>01674943</v>
      </c>
      <c r="D712" s="58" t="str">
        <f>"18726976"</f>
        <v>18726976</v>
      </c>
      <c r="E712" s="46" t="s">
        <v>221</v>
      </c>
      <c r="F712" s="46" t="s">
        <v>21771</v>
      </c>
      <c r="G712" s="46" t="s">
        <v>50584</v>
      </c>
      <c r="H712" s="48" t="s">
        <v>56716</v>
      </c>
      <c r="I712" s="48" t="s">
        <v>50564</v>
      </c>
      <c r="J712" s="48" t="s">
        <v>56716</v>
      </c>
      <c r="K712" s="50" t="s">
        <v>56716</v>
      </c>
      <c r="L712" s="48" t="s">
        <v>56716</v>
      </c>
    </row>
    <row r="713" spans="1:12" s="37" customFormat="1" ht="11.25" x14ac:dyDescent="0.2">
      <c r="A713" s="46" t="s">
        <v>4487</v>
      </c>
      <c r="B713" s="46" t="s">
        <v>51126</v>
      </c>
      <c r="C713" s="58" t="str">
        <f>"09320067"</f>
        <v>09320067</v>
      </c>
      <c r="D713" s="58" t="str">
        <f>"14320711"</f>
        <v>14320711</v>
      </c>
      <c r="E713" s="46" t="s">
        <v>167</v>
      </c>
      <c r="F713" s="46" t="s">
        <v>18158</v>
      </c>
      <c r="G713" s="46" t="s">
        <v>50584</v>
      </c>
      <c r="H713" s="48" t="s">
        <v>56716</v>
      </c>
      <c r="I713" s="48" t="s">
        <v>50564</v>
      </c>
      <c r="J713" s="48"/>
      <c r="K713" s="50" t="s">
        <v>56716</v>
      </c>
      <c r="L713" s="48" t="s">
        <v>56716</v>
      </c>
    </row>
    <row r="714" spans="1:12" s="37" customFormat="1" ht="11.25" x14ac:dyDescent="0.2">
      <c r="A714" s="46" t="s">
        <v>6864</v>
      </c>
      <c r="B714" s="46" t="s">
        <v>51127</v>
      </c>
      <c r="C714" s="58" t="str">
        <f>"11053992"</f>
        <v>11053992</v>
      </c>
      <c r="D714" s="58" t="str">
        <f>""</f>
        <v/>
      </c>
      <c r="E714" s="46" t="s">
        <v>6866</v>
      </c>
      <c r="F714" s="46" t="s">
        <v>20969</v>
      </c>
      <c r="G714" s="46" t="s">
        <v>50597</v>
      </c>
      <c r="H714" s="48" t="s">
        <v>56716</v>
      </c>
      <c r="I714" s="48" t="s">
        <v>50564</v>
      </c>
      <c r="J714" s="48"/>
      <c r="K714" s="50"/>
      <c r="L714" s="48"/>
    </row>
    <row r="715" spans="1:12" s="37" customFormat="1" ht="11.25" x14ac:dyDescent="0.2">
      <c r="A715" s="45" t="s">
        <v>21337</v>
      </c>
      <c r="B715" s="45" t="s">
        <v>21339</v>
      </c>
      <c r="C715" s="51" t="s">
        <v>21342</v>
      </c>
      <c r="D715" s="51" t="s">
        <v>21341</v>
      </c>
      <c r="E715" s="45" t="s">
        <v>21343</v>
      </c>
      <c r="F715" s="45" t="s">
        <v>18242</v>
      </c>
      <c r="G715" s="45" t="s">
        <v>50584</v>
      </c>
      <c r="H715" s="56"/>
      <c r="I715" s="56" t="s">
        <v>50564</v>
      </c>
      <c r="J715" s="56"/>
      <c r="K715" s="50"/>
      <c r="L715" s="56" t="s">
        <v>56716</v>
      </c>
    </row>
    <row r="716" spans="1:12" s="37" customFormat="1" ht="11.25" x14ac:dyDescent="0.2">
      <c r="A716" s="45" t="s">
        <v>21346</v>
      </c>
      <c r="B716" s="45" t="s">
        <v>21348</v>
      </c>
      <c r="C716" s="51" t="s">
        <v>21350</v>
      </c>
      <c r="D716" s="51" t="s">
        <v>21349</v>
      </c>
      <c r="E716" s="45" t="s">
        <v>19094</v>
      </c>
      <c r="F716" s="45" t="s">
        <v>17759</v>
      </c>
      <c r="G716" s="45" t="s">
        <v>50584</v>
      </c>
      <c r="H716" s="56"/>
      <c r="I716" s="56" t="s">
        <v>50564</v>
      </c>
      <c r="J716" s="56"/>
      <c r="K716" s="50"/>
      <c r="L716" s="56" t="s">
        <v>56716</v>
      </c>
    </row>
    <row r="717" spans="1:12" s="37" customFormat="1" ht="11.25" x14ac:dyDescent="0.2">
      <c r="A717" s="46" t="s">
        <v>9130</v>
      </c>
      <c r="B717" s="46" t="s">
        <v>51128</v>
      </c>
      <c r="C717" s="58" t="str">
        <f>"10292977"</f>
        <v>10292977</v>
      </c>
      <c r="D717" s="58" t="str">
        <f>"17353947"</f>
        <v>17353947</v>
      </c>
      <c r="E717" s="46" t="s">
        <v>9133</v>
      </c>
      <c r="F717" s="46" t="s">
        <v>18232</v>
      </c>
      <c r="G717" s="46" t="s">
        <v>50584</v>
      </c>
      <c r="H717" s="48" t="s">
        <v>56716</v>
      </c>
      <c r="I717" s="48" t="s">
        <v>50564</v>
      </c>
      <c r="J717" s="48"/>
      <c r="K717" s="50"/>
      <c r="L717" s="48" t="s">
        <v>56716</v>
      </c>
    </row>
    <row r="718" spans="1:12" s="37" customFormat="1" ht="11.25" x14ac:dyDescent="0.2">
      <c r="A718" s="46" t="s">
        <v>6010</v>
      </c>
      <c r="B718" s="46" t="s">
        <v>51129</v>
      </c>
      <c r="C718" s="58" t="str">
        <f>"01884409"</f>
        <v>01884409</v>
      </c>
      <c r="D718" s="58" t="str">
        <f>"18735487"</f>
        <v>18735487</v>
      </c>
      <c r="E718" s="46" t="s">
        <v>272</v>
      </c>
      <c r="F718" s="46" t="s">
        <v>17759</v>
      </c>
      <c r="G718" s="46" t="s">
        <v>50584</v>
      </c>
      <c r="H718" s="48" t="s">
        <v>56716</v>
      </c>
      <c r="I718" s="48" t="s">
        <v>50564</v>
      </c>
      <c r="J718" s="48"/>
      <c r="K718" s="50"/>
      <c r="L718" s="48" t="s">
        <v>56716</v>
      </c>
    </row>
    <row r="719" spans="1:12" s="37" customFormat="1" ht="11.25" x14ac:dyDescent="0.2">
      <c r="A719" s="46" t="s">
        <v>11380</v>
      </c>
      <c r="B719" s="46" t="s">
        <v>51130</v>
      </c>
      <c r="C719" s="58" t="str">
        <f>"17341922"</f>
        <v>17341922</v>
      </c>
      <c r="D719" s="58" t="str">
        <f>"18969151"</f>
        <v>18969151</v>
      </c>
      <c r="E719" s="46" t="s">
        <v>3134</v>
      </c>
      <c r="F719" s="46" t="s">
        <v>17967</v>
      </c>
      <c r="G719" s="46" t="s">
        <v>50584</v>
      </c>
      <c r="H719" s="48" t="s">
        <v>56716</v>
      </c>
      <c r="I719" s="48" t="s">
        <v>50564</v>
      </c>
      <c r="J719" s="48"/>
      <c r="K719" s="50"/>
      <c r="L719" s="48"/>
    </row>
    <row r="720" spans="1:12" s="37" customFormat="1" ht="11.25" x14ac:dyDescent="0.2">
      <c r="A720" s="46" t="s">
        <v>454</v>
      </c>
      <c r="B720" s="46" t="s">
        <v>51131</v>
      </c>
      <c r="C720" s="58" t="str">
        <f>"03028933"</f>
        <v>03028933</v>
      </c>
      <c r="D720" s="58" t="str">
        <f>"1432072X"</f>
        <v>1432072X</v>
      </c>
      <c r="E720" s="46" t="s">
        <v>167</v>
      </c>
      <c r="F720" s="46" t="s">
        <v>18158</v>
      </c>
      <c r="G720" s="46" t="s">
        <v>50584</v>
      </c>
      <c r="H720" s="48" t="s">
        <v>56716</v>
      </c>
      <c r="I720" s="48" t="s">
        <v>50564</v>
      </c>
      <c r="J720" s="48" t="s">
        <v>56716</v>
      </c>
      <c r="K720" s="50" t="s">
        <v>56716</v>
      </c>
      <c r="L720" s="48" t="s">
        <v>56716</v>
      </c>
    </row>
    <row r="721" spans="1:12" s="37" customFormat="1" ht="11.25" x14ac:dyDescent="0.2">
      <c r="A721" s="46" t="s">
        <v>56227</v>
      </c>
      <c r="B721" s="46" t="s">
        <v>56228</v>
      </c>
      <c r="C721" s="58" t="str">
        <f>"23223944"</f>
        <v>23223944</v>
      </c>
      <c r="D721" s="58" t="str">
        <f>"23225769"</f>
        <v>23225769</v>
      </c>
      <c r="E721" s="46" t="s">
        <v>56226</v>
      </c>
      <c r="F721" s="46" t="s">
        <v>18001</v>
      </c>
      <c r="G721" s="46" t="s">
        <v>50584</v>
      </c>
      <c r="H721" s="48" t="s">
        <v>56716</v>
      </c>
      <c r="I721" s="48" t="s">
        <v>50564</v>
      </c>
      <c r="J721" s="48"/>
      <c r="K721" s="50"/>
      <c r="L721" s="48"/>
    </row>
    <row r="722" spans="1:12" s="37" customFormat="1" ht="11.25" x14ac:dyDescent="0.2">
      <c r="A722" s="45" t="s">
        <v>21368</v>
      </c>
      <c r="B722" s="45" t="s">
        <v>21370</v>
      </c>
      <c r="C722" s="51" t="s">
        <v>21372</v>
      </c>
      <c r="D722" s="51" t="s">
        <v>21371</v>
      </c>
      <c r="E722" s="45" t="s">
        <v>17865</v>
      </c>
      <c r="F722" s="45" t="s">
        <v>50646</v>
      </c>
      <c r="G722" s="45" t="s">
        <v>50584</v>
      </c>
      <c r="H722" s="56"/>
      <c r="I722" s="56" t="s">
        <v>50564</v>
      </c>
      <c r="J722" s="56"/>
      <c r="K722" s="50"/>
      <c r="L722" s="56" t="s">
        <v>56716</v>
      </c>
    </row>
    <row r="723" spans="1:12" s="37" customFormat="1" ht="11.25" x14ac:dyDescent="0.2">
      <c r="A723" s="46" t="s">
        <v>5021</v>
      </c>
      <c r="B723" s="46" t="s">
        <v>51132</v>
      </c>
      <c r="C723" s="58" t="str">
        <f>"09368051"</f>
        <v>09368051</v>
      </c>
      <c r="D723" s="58" t="str">
        <f>"14343916"</f>
        <v>14343916</v>
      </c>
      <c r="E723" s="46" t="s">
        <v>167</v>
      </c>
      <c r="F723" s="46" t="s">
        <v>18158</v>
      </c>
      <c r="G723" s="46" t="s">
        <v>50584</v>
      </c>
      <c r="H723" s="48" t="s">
        <v>56716</v>
      </c>
      <c r="I723" s="48" t="s">
        <v>50564</v>
      </c>
      <c r="J723" s="48" t="s">
        <v>56716</v>
      </c>
      <c r="K723" s="50" t="s">
        <v>56716</v>
      </c>
      <c r="L723" s="48" t="s">
        <v>56716</v>
      </c>
    </row>
    <row r="724" spans="1:12" s="37" customFormat="1" ht="11.25" x14ac:dyDescent="0.2">
      <c r="A724" s="46" t="s">
        <v>11732</v>
      </c>
      <c r="B724" s="46" t="s">
        <v>51133</v>
      </c>
      <c r="C724" s="58" t="str">
        <f>"18623522"</f>
        <v>18623522</v>
      </c>
      <c r="D724" s="58" t="str">
        <f>"18623514"</f>
        <v>18623514</v>
      </c>
      <c r="E724" s="46" t="s">
        <v>56002</v>
      </c>
      <c r="F724" s="46" t="s">
        <v>50646</v>
      </c>
      <c r="G724" s="46" t="s">
        <v>50584</v>
      </c>
      <c r="H724" s="48" t="s">
        <v>56716</v>
      </c>
      <c r="I724" s="48" t="s">
        <v>50564</v>
      </c>
      <c r="J724" s="48" t="s">
        <v>56716</v>
      </c>
      <c r="K724" s="50"/>
      <c r="L724" s="48" t="s">
        <v>56716</v>
      </c>
    </row>
    <row r="725" spans="1:12" s="37" customFormat="1" ht="11.25" x14ac:dyDescent="0.2">
      <c r="A725" s="45" t="s">
        <v>21385</v>
      </c>
      <c r="B725" s="45" t="s">
        <v>21387</v>
      </c>
      <c r="C725" s="51" t="s">
        <v>21390</v>
      </c>
      <c r="D725" s="51" t="s">
        <v>21389</v>
      </c>
      <c r="E725" s="45" t="s">
        <v>21391</v>
      </c>
      <c r="F725" s="45" t="s">
        <v>17759</v>
      </c>
      <c r="G725" s="45" t="s">
        <v>50584</v>
      </c>
      <c r="H725" s="56"/>
      <c r="I725" s="56" t="s">
        <v>50564</v>
      </c>
      <c r="J725" s="56"/>
      <c r="K725" s="50"/>
      <c r="L725" s="56" t="s">
        <v>56716</v>
      </c>
    </row>
    <row r="726" spans="1:12" s="37" customFormat="1" ht="11.25" x14ac:dyDescent="0.2">
      <c r="A726" s="46" t="s">
        <v>5148</v>
      </c>
      <c r="B726" s="46" t="s">
        <v>51134</v>
      </c>
      <c r="C726" s="58" t="str">
        <f>"02536269"</f>
        <v>02536269</v>
      </c>
      <c r="D726" s="58" t="str">
        <f>"19763786"</f>
        <v>19763786</v>
      </c>
      <c r="E726" s="46" t="s">
        <v>5151</v>
      </c>
      <c r="F726" s="46" t="s">
        <v>50649</v>
      </c>
      <c r="G726" s="46" t="s">
        <v>50584</v>
      </c>
      <c r="H726" s="48" t="s">
        <v>56716</v>
      </c>
      <c r="I726" s="48" t="s">
        <v>50564</v>
      </c>
      <c r="J726" s="48"/>
      <c r="K726" s="50" t="s">
        <v>56716</v>
      </c>
      <c r="L726" s="48" t="s">
        <v>56716</v>
      </c>
    </row>
    <row r="727" spans="1:12" s="37" customFormat="1" ht="11.25" x14ac:dyDescent="0.2">
      <c r="A727" s="46" t="s">
        <v>15840</v>
      </c>
      <c r="B727" s="46" t="s">
        <v>51135</v>
      </c>
      <c r="C727" s="58" t="str">
        <f>""</f>
        <v/>
      </c>
      <c r="D727" s="58" t="str">
        <f>"2045080X"</f>
        <v>2045080X</v>
      </c>
      <c r="E727" s="46" t="s">
        <v>15842</v>
      </c>
      <c r="F727" s="46" t="s">
        <v>50646</v>
      </c>
      <c r="G727" s="46" t="s">
        <v>50584</v>
      </c>
      <c r="H727" s="48" t="s">
        <v>56716</v>
      </c>
      <c r="I727" s="48" t="s">
        <v>50564</v>
      </c>
      <c r="J727" s="48"/>
      <c r="K727" s="50"/>
      <c r="L727" s="48"/>
    </row>
    <row r="728" spans="1:12" s="37" customFormat="1" ht="11.25" x14ac:dyDescent="0.2">
      <c r="A728" s="46" t="s">
        <v>592</v>
      </c>
      <c r="B728" s="46" t="s">
        <v>51136</v>
      </c>
      <c r="C728" s="58" t="str">
        <f>"00039993"</f>
        <v>00039993</v>
      </c>
      <c r="D728" s="58" t="str">
        <f>"1532821X"</f>
        <v>1532821X</v>
      </c>
      <c r="E728" s="46" t="s">
        <v>303</v>
      </c>
      <c r="F728" s="46" t="s">
        <v>17759</v>
      </c>
      <c r="G728" s="46" t="s">
        <v>50584</v>
      </c>
      <c r="H728" s="48" t="s">
        <v>56716</v>
      </c>
      <c r="I728" s="48" t="s">
        <v>50564</v>
      </c>
      <c r="J728" s="48"/>
      <c r="K728" s="50" t="s">
        <v>56716</v>
      </c>
      <c r="L728" s="48" t="s">
        <v>56716</v>
      </c>
    </row>
    <row r="729" spans="1:12" s="37" customFormat="1" ht="11.25" x14ac:dyDescent="0.2">
      <c r="A729" s="45" t="s">
        <v>21403</v>
      </c>
      <c r="B729" s="45" t="s">
        <v>21405</v>
      </c>
      <c r="C729" s="51" t="s">
        <v>21408</v>
      </c>
      <c r="D729" s="51" t="s">
        <v>21407</v>
      </c>
      <c r="E729" s="45" t="s">
        <v>291</v>
      </c>
      <c r="F729" s="45" t="s">
        <v>50646</v>
      </c>
      <c r="G729" s="45" t="s">
        <v>50584</v>
      </c>
      <c r="H729" s="56"/>
      <c r="I729" s="56" t="s">
        <v>50564</v>
      </c>
      <c r="J729" s="56"/>
      <c r="K729" s="50"/>
      <c r="L729" s="56" t="s">
        <v>56716</v>
      </c>
    </row>
    <row r="730" spans="1:12" s="37" customFormat="1" ht="11.25" x14ac:dyDescent="0.2">
      <c r="A730" s="46" t="s">
        <v>16316</v>
      </c>
      <c r="B730" s="46" t="s">
        <v>51137</v>
      </c>
      <c r="C730" s="58" t="str">
        <f>"22346163"</f>
        <v>22346163</v>
      </c>
      <c r="D730" s="58" t="str">
        <f>"22346171"</f>
        <v>22346171</v>
      </c>
      <c r="E730" s="46" t="s">
        <v>16319</v>
      </c>
      <c r="F730" s="46" t="s">
        <v>50649</v>
      </c>
      <c r="G730" s="46" t="s">
        <v>50584</v>
      </c>
      <c r="H730" s="48" t="s">
        <v>56716</v>
      </c>
      <c r="I730" s="48" t="s">
        <v>50564</v>
      </c>
      <c r="J730" s="48"/>
      <c r="K730" s="50"/>
      <c r="L730" s="48"/>
    </row>
    <row r="731" spans="1:12" s="37" customFormat="1" ht="11.25" x14ac:dyDescent="0.2">
      <c r="A731" s="45" t="s">
        <v>21411</v>
      </c>
      <c r="B731" s="45" t="s">
        <v>21413</v>
      </c>
      <c r="C731" s="51" t="s">
        <v>21415</v>
      </c>
      <c r="D731" s="51" t="s">
        <v>21414</v>
      </c>
      <c r="E731" s="45" t="s">
        <v>303</v>
      </c>
      <c r="F731" s="45" t="s">
        <v>17759</v>
      </c>
      <c r="G731" s="45" t="s">
        <v>50584</v>
      </c>
      <c r="H731" s="56"/>
      <c r="I731" s="56" t="s">
        <v>50564</v>
      </c>
      <c r="J731" s="56"/>
      <c r="K731" s="50"/>
      <c r="L731" s="56" t="s">
        <v>56716</v>
      </c>
    </row>
    <row r="732" spans="1:12" s="37" customFormat="1" ht="11.25" x14ac:dyDescent="0.2">
      <c r="A732" s="46" t="s">
        <v>8511</v>
      </c>
      <c r="B732" s="46" t="s">
        <v>51138</v>
      </c>
      <c r="C732" s="58" t="str">
        <f>"15092046"</f>
        <v>15092046</v>
      </c>
      <c r="D732" s="58" t="str">
        <f>"2083828X"</f>
        <v>2083828X</v>
      </c>
      <c r="E732" s="46" t="s">
        <v>3486</v>
      </c>
      <c r="F732" s="46" t="s">
        <v>17967</v>
      </c>
      <c r="G732" s="46" t="s">
        <v>50584</v>
      </c>
      <c r="H732" s="48" t="s">
        <v>56716</v>
      </c>
      <c r="I732" s="48" t="s">
        <v>50564</v>
      </c>
      <c r="J732" s="48"/>
      <c r="K732" s="50"/>
      <c r="L732" s="48"/>
    </row>
    <row r="733" spans="1:12" s="37" customFormat="1" ht="11.25" x14ac:dyDescent="0.2">
      <c r="A733" s="45" t="s">
        <v>21418</v>
      </c>
      <c r="B733" s="45" t="s">
        <v>21420</v>
      </c>
      <c r="C733" s="51" t="s">
        <v>21422</v>
      </c>
      <c r="D733" s="51" t="s">
        <v>21421</v>
      </c>
      <c r="E733" s="45" t="s">
        <v>18832</v>
      </c>
      <c r="F733" s="45" t="s">
        <v>17759</v>
      </c>
      <c r="G733" s="45" t="s">
        <v>50584</v>
      </c>
      <c r="H733" s="56"/>
      <c r="I733" s="56" t="s">
        <v>50564</v>
      </c>
      <c r="J733" s="56"/>
      <c r="K733" s="50"/>
      <c r="L733" s="56" t="s">
        <v>56716</v>
      </c>
    </row>
    <row r="734" spans="1:12" s="37" customFormat="1" ht="11.25" x14ac:dyDescent="0.2">
      <c r="A734" s="45" t="s">
        <v>21426</v>
      </c>
      <c r="B734" s="45" t="s">
        <v>21428</v>
      </c>
      <c r="C734" s="51" t="s">
        <v>21430</v>
      </c>
      <c r="D734" s="51" t="s">
        <v>21429</v>
      </c>
      <c r="E734" s="45" t="s">
        <v>291</v>
      </c>
      <c r="F734" s="45" t="s">
        <v>50646</v>
      </c>
      <c r="G734" s="45" t="s">
        <v>50584</v>
      </c>
      <c r="H734" s="56"/>
      <c r="I734" s="56" t="s">
        <v>50564</v>
      </c>
      <c r="J734" s="56"/>
      <c r="K734" s="50"/>
      <c r="L734" s="56" t="s">
        <v>56716</v>
      </c>
    </row>
    <row r="735" spans="1:12" s="37" customFormat="1" ht="11.25" x14ac:dyDescent="0.2">
      <c r="A735" s="46" t="s">
        <v>9360</v>
      </c>
      <c r="B735" s="46" t="s">
        <v>51139</v>
      </c>
      <c r="C735" s="58" t="str">
        <f>"15849244"</f>
        <v>15849244</v>
      </c>
      <c r="D735" s="58" t="str">
        <f>""</f>
        <v/>
      </c>
      <c r="E735" s="46" t="s">
        <v>9362</v>
      </c>
      <c r="F735" s="46" t="s">
        <v>22017</v>
      </c>
      <c r="G735" s="46" t="s">
        <v>50590</v>
      </c>
      <c r="H735" s="48" t="s">
        <v>56716</v>
      </c>
      <c r="I735" s="48" t="s">
        <v>50564</v>
      </c>
      <c r="J735" s="48"/>
      <c r="K735" s="50"/>
      <c r="L735" s="48"/>
    </row>
    <row r="736" spans="1:12" s="37" customFormat="1" ht="11.25" x14ac:dyDescent="0.2">
      <c r="A736" s="46" t="s">
        <v>663</v>
      </c>
      <c r="B736" s="46" t="s">
        <v>51140</v>
      </c>
      <c r="C736" s="58" t="str">
        <f>"03405761"</f>
        <v>03405761</v>
      </c>
      <c r="D736" s="58" t="str">
        <f>"14320738"</f>
        <v>14320738</v>
      </c>
      <c r="E736" s="46" t="s">
        <v>167</v>
      </c>
      <c r="F736" s="46" t="s">
        <v>18158</v>
      </c>
      <c r="G736" s="46" t="s">
        <v>50584</v>
      </c>
      <c r="H736" s="48" t="s">
        <v>56716</v>
      </c>
      <c r="I736" s="48" t="s">
        <v>50564</v>
      </c>
      <c r="J736" s="48" t="s">
        <v>56716</v>
      </c>
      <c r="K736" s="50" t="s">
        <v>56716</v>
      </c>
      <c r="L736" s="48" t="s">
        <v>56716</v>
      </c>
    </row>
    <row r="737" spans="1:12" s="37" customFormat="1" ht="11.25" x14ac:dyDescent="0.2">
      <c r="A737" s="46" t="s">
        <v>56229</v>
      </c>
      <c r="B737" s="46" t="s">
        <v>56230</v>
      </c>
      <c r="C737" s="58" t="str">
        <f>"2251953X"</f>
        <v>2251953X</v>
      </c>
      <c r="D737" s="58" t="str">
        <f>"22519599"</f>
        <v>22519599</v>
      </c>
      <c r="E737" s="46" t="s">
        <v>56226</v>
      </c>
      <c r="F737" s="46" t="s">
        <v>18001</v>
      </c>
      <c r="G737" s="46" t="s">
        <v>50584</v>
      </c>
      <c r="H737" s="48" t="s">
        <v>56716</v>
      </c>
      <c r="I737" s="48" t="s">
        <v>50564</v>
      </c>
      <c r="J737" s="48"/>
      <c r="K737" s="50"/>
      <c r="L737" s="48"/>
    </row>
    <row r="738" spans="1:12" s="37" customFormat="1" ht="11.25" x14ac:dyDescent="0.2">
      <c r="A738" s="45" t="s">
        <v>21437</v>
      </c>
      <c r="B738" s="45" t="s">
        <v>21439</v>
      </c>
      <c r="C738" s="51" t="s">
        <v>21442</v>
      </c>
      <c r="D738" s="51" t="s">
        <v>21441</v>
      </c>
      <c r="E738" s="45" t="s">
        <v>18727</v>
      </c>
      <c r="F738" s="45" t="s">
        <v>18288</v>
      </c>
      <c r="G738" s="45" t="s">
        <v>50584</v>
      </c>
      <c r="H738" s="56"/>
      <c r="I738" s="56" t="s">
        <v>50564</v>
      </c>
      <c r="J738" s="56"/>
      <c r="K738" s="50"/>
      <c r="L738" s="56" t="s">
        <v>56716</v>
      </c>
    </row>
    <row r="739" spans="1:12" s="37" customFormat="1" ht="11.25" x14ac:dyDescent="0.2">
      <c r="A739" s="46" t="s">
        <v>8195</v>
      </c>
      <c r="B739" s="46" t="s">
        <v>51141</v>
      </c>
      <c r="C739" s="58" t="str">
        <f>"14341816"</f>
        <v>14341816</v>
      </c>
      <c r="D739" s="58" t="str">
        <f>"14351102"</f>
        <v>14351102</v>
      </c>
      <c r="E739" s="46" t="s">
        <v>55904</v>
      </c>
      <c r="F739" s="46" t="s">
        <v>18288</v>
      </c>
      <c r="G739" s="46" t="s">
        <v>50584</v>
      </c>
      <c r="H739" s="48" t="s">
        <v>56716</v>
      </c>
      <c r="I739" s="48" t="s">
        <v>50564</v>
      </c>
      <c r="J739" s="48" t="s">
        <v>56716</v>
      </c>
      <c r="K739" s="50" t="s">
        <v>56716</v>
      </c>
      <c r="L739" s="48" t="s">
        <v>56716</v>
      </c>
    </row>
    <row r="740" spans="1:12" s="37" customFormat="1" ht="11.25" x14ac:dyDescent="0.2">
      <c r="A740" s="46" t="s">
        <v>6690</v>
      </c>
      <c r="B740" s="46" t="s">
        <v>51142</v>
      </c>
      <c r="C740" s="58" t="str">
        <f>"11243562"</f>
        <v>11243562</v>
      </c>
      <c r="D740" s="58" t="str">
        <f>"22824197"</f>
        <v>22824197</v>
      </c>
      <c r="E740" s="46" t="s">
        <v>6693</v>
      </c>
      <c r="F740" s="46" t="s">
        <v>17991</v>
      </c>
      <c r="G740" s="46" t="s">
        <v>50584</v>
      </c>
      <c r="H740" s="48" t="s">
        <v>56716</v>
      </c>
      <c r="I740" s="48" t="s">
        <v>50564</v>
      </c>
      <c r="J740" s="48"/>
      <c r="K740" s="50"/>
      <c r="L740" s="48" t="s">
        <v>56716</v>
      </c>
    </row>
    <row r="741" spans="1:12" s="37" customFormat="1" ht="11.25" x14ac:dyDescent="0.2">
      <c r="A741" s="46" t="s">
        <v>234</v>
      </c>
      <c r="B741" s="46" t="s">
        <v>51143</v>
      </c>
      <c r="C741" s="58" t="str">
        <f>"03250075"</f>
        <v>03250075</v>
      </c>
      <c r="D741" s="58" t="str">
        <f>"16683501"</f>
        <v>16683501</v>
      </c>
      <c r="E741" s="46" t="s">
        <v>237</v>
      </c>
      <c r="F741" s="46" t="s">
        <v>18169</v>
      </c>
      <c r="G741" s="46" t="s">
        <v>50632</v>
      </c>
      <c r="H741" s="48" t="s">
        <v>56716</v>
      </c>
      <c r="I741" s="48" t="s">
        <v>50564</v>
      </c>
      <c r="J741" s="48"/>
      <c r="K741" s="50"/>
      <c r="L741" s="48" t="s">
        <v>56716</v>
      </c>
    </row>
    <row r="742" spans="1:12" s="37" customFormat="1" ht="11.25" x14ac:dyDescent="0.2">
      <c r="A742" s="46" t="s">
        <v>620</v>
      </c>
      <c r="B742" s="46" t="s">
        <v>51144</v>
      </c>
      <c r="C742" s="58" t="str">
        <f>"03002896"</f>
        <v>03002896</v>
      </c>
      <c r="D742" s="58" t="str">
        <f>"15792129"</f>
        <v>15792129</v>
      </c>
      <c r="E742" s="46" t="s">
        <v>175</v>
      </c>
      <c r="F742" s="46" t="s">
        <v>18439</v>
      </c>
      <c r="G742" s="46" t="s">
        <v>50632</v>
      </c>
      <c r="H742" s="48" t="s">
        <v>56716</v>
      </c>
      <c r="I742" s="48" t="s">
        <v>50564</v>
      </c>
      <c r="J742" s="48"/>
      <c r="K742" s="50" t="s">
        <v>56716</v>
      </c>
      <c r="L742" s="48" t="s">
        <v>56716</v>
      </c>
    </row>
    <row r="743" spans="1:12" s="37" customFormat="1" ht="11.25" x14ac:dyDescent="0.2">
      <c r="A743" s="46" t="s">
        <v>8925</v>
      </c>
      <c r="B743" s="46" t="s">
        <v>51145</v>
      </c>
      <c r="C743" s="58" t="str">
        <f>"14059940"</f>
        <v>14059940</v>
      </c>
      <c r="D743" s="58" t="str">
        <f>""</f>
        <v/>
      </c>
      <c r="E743" s="46" t="s">
        <v>8927</v>
      </c>
      <c r="F743" s="46" t="s">
        <v>18411</v>
      </c>
      <c r="G743" s="46" t="s">
        <v>50632</v>
      </c>
      <c r="H743" s="48" t="s">
        <v>56716</v>
      </c>
      <c r="I743" s="48" t="s">
        <v>50564</v>
      </c>
      <c r="J743" s="48"/>
      <c r="K743" s="50"/>
      <c r="L743" s="48" t="s">
        <v>56716</v>
      </c>
    </row>
    <row r="744" spans="1:12" s="37" customFormat="1" ht="11.25" x14ac:dyDescent="0.2">
      <c r="A744" s="45" t="s">
        <v>21477</v>
      </c>
      <c r="B744" s="45" t="s">
        <v>21479</v>
      </c>
      <c r="C744" s="51" t="s">
        <v>21482</v>
      </c>
      <c r="D744" s="51" t="s">
        <v>21481</v>
      </c>
      <c r="E744" s="45" t="s">
        <v>175</v>
      </c>
      <c r="F744" s="45" t="s">
        <v>18439</v>
      </c>
      <c r="G744" s="45" t="s">
        <v>50632</v>
      </c>
      <c r="H744" s="56"/>
      <c r="I744" s="56" t="s">
        <v>50564</v>
      </c>
      <c r="J744" s="56"/>
      <c r="K744" s="50"/>
      <c r="L744" s="56" t="s">
        <v>56716</v>
      </c>
    </row>
    <row r="745" spans="1:12" s="37" customFormat="1" ht="11.25" x14ac:dyDescent="0.2">
      <c r="A745" s="46" t="s">
        <v>10930</v>
      </c>
      <c r="B745" s="46" t="s">
        <v>51146</v>
      </c>
      <c r="C745" s="58" t="str">
        <f>""</f>
        <v/>
      </c>
      <c r="D745" s="58" t="str">
        <f>"16989465"</f>
        <v>16989465</v>
      </c>
      <c r="E745" s="46" t="s">
        <v>10932</v>
      </c>
      <c r="F745" s="46" t="s">
        <v>18439</v>
      </c>
      <c r="G745" s="46" t="s">
        <v>50632</v>
      </c>
      <c r="H745" s="48" t="s">
        <v>56716</v>
      </c>
      <c r="I745" s="48" t="s">
        <v>50564</v>
      </c>
      <c r="J745" s="48"/>
      <c r="K745" s="50"/>
      <c r="L745" s="48"/>
    </row>
    <row r="746" spans="1:12" s="37" customFormat="1" ht="11.25" x14ac:dyDescent="0.2">
      <c r="A746" s="46" t="s">
        <v>7630</v>
      </c>
      <c r="B746" s="46" t="s">
        <v>51147</v>
      </c>
      <c r="C746" s="58" t="str">
        <f>"10285938"</f>
        <v>10285938</v>
      </c>
      <c r="D746" s="58" t="str">
        <f>"01874705"</f>
        <v>01874705</v>
      </c>
      <c r="E746" s="46" t="s">
        <v>7632</v>
      </c>
      <c r="F746" s="46" t="s">
        <v>18411</v>
      </c>
      <c r="G746" s="46" t="s">
        <v>50631</v>
      </c>
      <c r="H746" s="48" t="s">
        <v>56716</v>
      </c>
      <c r="I746" s="48" t="s">
        <v>50564</v>
      </c>
      <c r="J746" s="48"/>
      <c r="K746" s="50"/>
      <c r="L746" s="48"/>
    </row>
    <row r="747" spans="1:12" s="37" customFormat="1" ht="11.25" x14ac:dyDescent="0.2">
      <c r="A747" s="45" t="s">
        <v>21484</v>
      </c>
      <c r="B747" s="45" t="s">
        <v>21486</v>
      </c>
      <c r="C747" s="51" t="s">
        <v>21489</v>
      </c>
      <c r="D747" s="51" t="s">
        <v>21488</v>
      </c>
      <c r="E747" s="45" t="s">
        <v>56526</v>
      </c>
      <c r="F747" s="45" t="s">
        <v>18439</v>
      </c>
      <c r="G747" s="45" t="s">
        <v>50633</v>
      </c>
      <c r="H747" s="56"/>
      <c r="I747" s="56" t="s">
        <v>50564</v>
      </c>
      <c r="J747" s="56"/>
      <c r="K747" s="50"/>
      <c r="L747" s="56" t="s">
        <v>56716</v>
      </c>
    </row>
    <row r="748" spans="1:12" s="37" customFormat="1" ht="11.25" x14ac:dyDescent="0.2">
      <c r="A748" s="46" t="s">
        <v>8398</v>
      </c>
      <c r="B748" s="46" t="s">
        <v>51148</v>
      </c>
      <c r="C748" s="58" t="str">
        <f>"15760367"</f>
        <v>15760367</v>
      </c>
      <c r="D748" s="58" t="str">
        <f>""</f>
        <v/>
      </c>
      <c r="E748" s="46" t="s">
        <v>8400</v>
      </c>
      <c r="F748" s="46" t="s">
        <v>18439</v>
      </c>
      <c r="G748" s="46" t="s">
        <v>50632</v>
      </c>
      <c r="H748" s="48" t="s">
        <v>56716</v>
      </c>
      <c r="I748" s="48" t="s">
        <v>50564</v>
      </c>
      <c r="J748" s="48"/>
      <c r="K748" s="50"/>
      <c r="L748" s="48"/>
    </row>
    <row r="749" spans="1:12" s="37" customFormat="1" ht="11.25" x14ac:dyDescent="0.2">
      <c r="A749" s="45" t="s">
        <v>21492</v>
      </c>
      <c r="B749" s="45" t="s">
        <v>21494</v>
      </c>
      <c r="C749" s="51" t="s">
        <v>21496</v>
      </c>
      <c r="D749" s="51" t="s">
        <v>21495</v>
      </c>
      <c r="E749" s="45" t="s">
        <v>21497</v>
      </c>
      <c r="F749" s="45" t="s">
        <v>18439</v>
      </c>
      <c r="G749" s="45" t="s">
        <v>50633</v>
      </c>
      <c r="H749" s="56"/>
      <c r="I749" s="56" t="s">
        <v>50564</v>
      </c>
      <c r="J749" s="56"/>
      <c r="K749" s="50"/>
      <c r="L749" s="56" t="s">
        <v>56716</v>
      </c>
    </row>
    <row r="750" spans="1:12" s="37" customFormat="1" ht="11.25" x14ac:dyDescent="0.2">
      <c r="A750" s="45" t="s">
        <v>21499</v>
      </c>
      <c r="B750" s="45" t="s">
        <v>21501</v>
      </c>
      <c r="C750" s="51" t="s">
        <v>21503</v>
      </c>
      <c r="D750" s="51"/>
      <c r="E750" s="45" t="s">
        <v>21504</v>
      </c>
      <c r="F750" s="45" t="s">
        <v>21505</v>
      </c>
      <c r="G750" s="45" t="s">
        <v>50633</v>
      </c>
      <c r="H750" s="56"/>
      <c r="I750" s="56" t="s">
        <v>50564</v>
      </c>
      <c r="J750" s="56"/>
      <c r="K750" s="50"/>
      <c r="L750" s="56" t="s">
        <v>56716</v>
      </c>
    </row>
    <row r="751" spans="1:12" s="37" customFormat="1" ht="11.25" x14ac:dyDescent="0.2">
      <c r="A751" s="46" t="s">
        <v>11771</v>
      </c>
      <c r="B751" s="46" t="s">
        <v>51149</v>
      </c>
      <c r="C751" s="58" t="str">
        <f>"07980264"</f>
        <v>07980264</v>
      </c>
      <c r="D751" s="58" t="str">
        <f>""</f>
        <v/>
      </c>
      <c r="E751" s="46" t="s">
        <v>11773</v>
      </c>
      <c r="F751" s="46" t="s">
        <v>21505</v>
      </c>
      <c r="G751" s="46" t="s">
        <v>50631</v>
      </c>
      <c r="H751" s="48" t="s">
        <v>56716</v>
      </c>
      <c r="I751" s="48" t="s">
        <v>50564</v>
      </c>
      <c r="J751" s="48"/>
      <c r="K751" s="50"/>
      <c r="L751" s="48"/>
    </row>
    <row r="752" spans="1:12" s="37" customFormat="1" ht="11.25" x14ac:dyDescent="0.2">
      <c r="A752" s="46" t="s">
        <v>265</v>
      </c>
      <c r="B752" s="46" t="s">
        <v>51150</v>
      </c>
      <c r="C752" s="58" t="str">
        <f>"0004069X"</f>
        <v>0004069X</v>
      </c>
      <c r="D752" s="58" t="str">
        <f>"16614917"</f>
        <v>16614917</v>
      </c>
      <c r="E752" s="46" t="s">
        <v>55921</v>
      </c>
      <c r="F752" s="46" t="s">
        <v>18123</v>
      </c>
      <c r="G752" s="46" t="s">
        <v>50584</v>
      </c>
      <c r="H752" s="48" t="s">
        <v>56716</v>
      </c>
      <c r="I752" s="48" t="s">
        <v>50564</v>
      </c>
      <c r="J752" s="48"/>
      <c r="K752" s="50" t="s">
        <v>56716</v>
      </c>
      <c r="L752" s="48" t="s">
        <v>56716</v>
      </c>
    </row>
    <row r="753" spans="1:12" s="37" customFormat="1" ht="11.25" x14ac:dyDescent="0.2">
      <c r="A753" s="45" t="s">
        <v>21513</v>
      </c>
      <c r="B753" s="45" t="s">
        <v>21515</v>
      </c>
      <c r="C753" s="51" t="s">
        <v>21517</v>
      </c>
      <c r="D753" s="51" t="s">
        <v>56527</v>
      </c>
      <c r="E753" s="45" t="s">
        <v>56528</v>
      </c>
      <c r="F753" s="45" t="s">
        <v>17967</v>
      </c>
      <c r="G753" s="45" t="s">
        <v>50611</v>
      </c>
      <c r="H753" s="56"/>
      <c r="I753" s="56" t="s">
        <v>50564</v>
      </c>
      <c r="J753" s="56"/>
      <c r="K753" s="50"/>
      <c r="L753" s="56" t="s">
        <v>56716</v>
      </c>
    </row>
    <row r="754" spans="1:12" s="37" customFormat="1" ht="11.25" x14ac:dyDescent="0.2">
      <c r="A754" s="46" t="s">
        <v>4818</v>
      </c>
      <c r="B754" s="46" t="s">
        <v>51151</v>
      </c>
      <c r="C754" s="58" t="str">
        <f>"11208651"</f>
        <v>11208651</v>
      </c>
      <c r="D754" s="58" t="str">
        <f>""</f>
        <v/>
      </c>
      <c r="E754" s="46" t="s">
        <v>1289</v>
      </c>
      <c r="F754" s="46" t="s">
        <v>17991</v>
      </c>
      <c r="G754" s="46" t="s">
        <v>50603</v>
      </c>
      <c r="H754" s="48" t="s">
        <v>56716</v>
      </c>
      <c r="I754" s="48" t="s">
        <v>50564</v>
      </c>
      <c r="J754" s="48"/>
      <c r="K754" s="50"/>
      <c r="L754" s="48"/>
    </row>
    <row r="755" spans="1:12" s="37" customFormat="1" ht="11.25" x14ac:dyDescent="0.2">
      <c r="A755" s="45" t="s">
        <v>21526</v>
      </c>
      <c r="B755" s="45" t="s">
        <v>21528</v>
      </c>
      <c r="C755" s="51" t="s">
        <v>21529</v>
      </c>
      <c r="D755" s="51"/>
      <c r="E755" s="45" t="s">
        <v>21530</v>
      </c>
      <c r="F755" s="45" t="s">
        <v>18001</v>
      </c>
      <c r="G755" s="45" t="s">
        <v>56529</v>
      </c>
      <c r="H755" s="56"/>
      <c r="I755" s="56" t="s">
        <v>50564</v>
      </c>
      <c r="J755" s="56"/>
      <c r="K755" s="50"/>
      <c r="L755" s="56" t="s">
        <v>56716</v>
      </c>
    </row>
    <row r="756" spans="1:12" s="37" customFormat="1" ht="11.25" x14ac:dyDescent="0.2">
      <c r="A756" s="46" t="s">
        <v>13922</v>
      </c>
      <c r="B756" s="46" t="s">
        <v>51152</v>
      </c>
      <c r="C756" s="58" t="str">
        <f>"00041963"</f>
        <v>00041963</v>
      </c>
      <c r="D756" s="58" t="str">
        <f>""</f>
        <v/>
      </c>
      <c r="E756" s="46" t="s">
        <v>13924</v>
      </c>
      <c r="F756" s="46" t="s">
        <v>18050</v>
      </c>
      <c r="G756" s="46" t="s">
        <v>50623</v>
      </c>
      <c r="H756" s="48" t="s">
        <v>56716</v>
      </c>
      <c r="I756" s="48" t="s">
        <v>50564</v>
      </c>
      <c r="J756" s="48"/>
      <c r="K756" s="50"/>
      <c r="L756" s="48"/>
    </row>
    <row r="757" spans="1:12" s="37" customFormat="1" ht="11.25" x14ac:dyDescent="0.2">
      <c r="A757" s="46" t="s">
        <v>251</v>
      </c>
      <c r="B757" s="46" t="s">
        <v>51153</v>
      </c>
      <c r="C757" s="58" t="str">
        <f>"00041254"</f>
        <v>00041254</v>
      </c>
      <c r="D757" s="58" t="str">
        <f>""</f>
        <v/>
      </c>
      <c r="E757" s="46" t="s">
        <v>253</v>
      </c>
      <c r="F757" s="46" t="s">
        <v>18158</v>
      </c>
      <c r="G757" s="46" t="s">
        <v>50598</v>
      </c>
      <c r="H757" s="48" t="s">
        <v>56716</v>
      </c>
      <c r="I757" s="48" t="s">
        <v>50564</v>
      </c>
      <c r="J757" s="48"/>
      <c r="K757" s="50"/>
      <c r="L757" s="48" t="s">
        <v>56716</v>
      </c>
    </row>
    <row r="758" spans="1:12" s="37" customFormat="1" ht="11.25" x14ac:dyDescent="0.2">
      <c r="A758" s="45" t="s">
        <v>21539</v>
      </c>
      <c r="B758" s="45" t="s">
        <v>21541</v>
      </c>
      <c r="C758" s="51" t="s">
        <v>21544</v>
      </c>
      <c r="D758" s="51" t="s">
        <v>21543</v>
      </c>
      <c r="E758" s="45" t="s">
        <v>21545</v>
      </c>
      <c r="F758" s="45" t="s">
        <v>50653</v>
      </c>
      <c r="G758" s="45" t="s">
        <v>56509</v>
      </c>
      <c r="H758" s="56"/>
      <c r="I758" s="56" t="s">
        <v>50564</v>
      </c>
      <c r="J758" s="56"/>
      <c r="K758" s="50"/>
      <c r="L758" s="56" t="s">
        <v>56716</v>
      </c>
    </row>
    <row r="759" spans="1:12" s="37" customFormat="1" ht="11.25" x14ac:dyDescent="0.2">
      <c r="A759" s="46" t="s">
        <v>65</v>
      </c>
      <c r="B759" s="46" t="s">
        <v>51154</v>
      </c>
      <c r="C759" s="58" t="str">
        <f>"0066782X"</f>
        <v>0066782X</v>
      </c>
      <c r="D759" s="58" t="str">
        <f>"16784170"</f>
        <v>16784170</v>
      </c>
      <c r="E759" s="46" t="s">
        <v>65</v>
      </c>
      <c r="F759" s="46" t="s">
        <v>18058</v>
      </c>
      <c r="G759" s="46" t="s">
        <v>50614</v>
      </c>
      <c r="H759" s="48" t="s">
        <v>56716</v>
      </c>
      <c r="I759" s="48" t="s">
        <v>50564</v>
      </c>
      <c r="J759" s="48"/>
      <c r="K759" s="50"/>
      <c r="L759" s="48" t="s">
        <v>56716</v>
      </c>
    </row>
    <row r="760" spans="1:12" s="37" customFormat="1" ht="11.25" x14ac:dyDescent="0.2">
      <c r="A760" s="45" t="s">
        <v>21553</v>
      </c>
      <c r="B760" s="45" t="s">
        <v>21555</v>
      </c>
      <c r="C760" s="51" t="s">
        <v>21556</v>
      </c>
      <c r="D760" s="51" t="s">
        <v>56530</v>
      </c>
      <c r="E760" s="45" t="s">
        <v>21557</v>
      </c>
      <c r="F760" s="45" t="s">
        <v>18058</v>
      </c>
      <c r="G760" s="45" t="s">
        <v>50584</v>
      </c>
      <c r="H760" s="56"/>
      <c r="I760" s="56" t="s">
        <v>50564</v>
      </c>
      <c r="J760" s="56"/>
      <c r="K760" s="50"/>
      <c r="L760" s="56" t="s">
        <v>56716</v>
      </c>
    </row>
    <row r="761" spans="1:12" s="37" customFormat="1" ht="11.25" x14ac:dyDescent="0.2">
      <c r="A761" s="45" t="s">
        <v>21560</v>
      </c>
      <c r="B761" s="45" t="s">
        <v>21562</v>
      </c>
      <c r="C761" s="51" t="s">
        <v>21565</v>
      </c>
      <c r="D761" s="51" t="s">
        <v>21564</v>
      </c>
      <c r="E761" s="45" t="s">
        <v>21566</v>
      </c>
      <c r="F761" s="45" t="s">
        <v>18058</v>
      </c>
      <c r="G761" s="45" t="s">
        <v>50611</v>
      </c>
      <c r="H761" s="56"/>
      <c r="I761" s="56" t="s">
        <v>50564</v>
      </c>
      <c r="J761" s="56"/>
      <c r="K761" s="50"/>
      <c r="L761" s="56" t="s">
        <v>56716</v>
      </c>
    </row>
    <row r="762" spans="1:12" s="37" customFormat="1" ht="11.25" x14ac:dyDescent="0.2">
      <c r="A762" s="45" t="s">
        <v>21571</v>
      </c>
      <c r="B762" s="45" t="s">
        <v>21573</v>
      </c>
      <c r="C762" s="51" t="s">
        <v>21576</v>
      </c>
      <c r="D762" s="51" t="s">
        <v>21575</v>
      </c>
      <c r="E762" s="45" t="s">
        <v>21577</v>
      </c>
      <c r="F762" s="45" t="s">
        <v>18058</v>
      </c>
      <c r="G762" s="45" t="s">
        <v>50615</v>
      </c>
      <c r="H762" s="56"/>
      <c r="I762" s="56" t="s">
        <v>50564</v>
      </c>
      <c r="J762" s="56"/>
      <c r="K762" s="50"/>
      <c r="L762" s="56" t="s">
        <v>56716</v>
      </c>
    </row>
    <row r="763" spans="1:12" s="37" customFormat="1" ht="11.25" x14ac:dyDescent="0.2">
      <c r="A763" s="46" t="s">
        <v>655</v>
      </c>
      <c r="B763" s="46" t="s">
        <v>51155</v>
      </c>
      <c r="C763" s="58" t="str">
        <f>"00042803"</f>
        <v>00042803</v>
      </c>
      <c r="D763" s="58" t="str">
        <f>"16784219"</f>
        <v>16784219</v>
      </c>
      <c r="E763" s="46" t="s">
        <v>658</v>
      </c>
      <c r="F763" s="46" t="s">
        <v>18058</v>
      </c>
      <c r="G763" s="46" t="s">
        <v>50614</v>
      </c>
      <c r="H763" s="48" t="s">
        <v>56716</v>
      </c>
      <c r="I763" s="48" t="s">
        <v>50564</v>
      </c>
      <c r="J763" s="48"/>
      <c r="K763" s="50"/>
      <c r="L763" s="48" t="s">
        <v>56716</v>
      </c>
    </row>
    <row r="764" spans="1:12" s="37" customFormat="1" ht="11.25" x14ac:dyDescent="0.2">
      <c r="A764" s="46" t="s">
        <v>4734</v>
      </c>
      <c r="B764" s="46" t="s">
        <v>51156</v>
      </c>
      <c r="C764" s="58" t="str">
        <f>"08713413"</f>
        <v>08713413</v>
      </c>
      <c r="D764" s="58" t="str">
        <f>""</f>
        <v/>
      </c>
      <c r="E764" s="46" t="s">
        <v>4736</v>
      </c>
      <c r="F764" s="46" t="s">
        <v>18249</v>
      </c>
      <c r="G764" s="46" t="s">
        <v>50616</v>
      </c>
      <c r="H764" s="48" t="s">
        <v>56716</v>
      </c>
      <c r="I764" s="48" t="s">
        <v>50564</v>
      </c>
      <c r="J764" s="48"/>
      <c r="K764" s="50"/>
      <c r="L764" s="48"/>
    </row>
    <row r="765" spans="1:12" s="37" customFormat="1" ht="11.25" x14ac:dyDescent="0.2">
      <c r="A765" s="46" t="s">
        <v>520</v>
      </c>
      <c r="B765" s="46" t="s">
        <v>51157</v>
      </c>
      <c r="C765" s="58" t="str">
        <f>"0004282X"</f>
        <v>0004282X</v>
      </c>
      <c r="D765" s="58" t="str">
        <f>"16784227"</f>
        <v>16784227</v>
      </c>
      <c r="E765" s="46" t="s">
        <v>523</v>
      </c>
      <c r="F765" s="46" t="s">
        <v>18058</v>
      </c>
      <c r="G765" s="46" t="s">
        <v>50635</v>
      </c>
      <c r="H765" s="48" t="s">
        <v>56716</v>
      </c>
      <c r="I765" s="48" t="s">
        <v>50564</v>
      </c>
      <c r="J765" s="48"/>
      <c r="K765" s="50"/>
      <c r="L765" s="48" t="s">
        <v>56716</v>
      </c>
    </row>
    <row r="766" spans="1:12" s="37" customFormat="1" ht="11.25" x14ac:dyDescent="0.2">
      <c r="A766" s="46" t="s">
        <v>56069</v>
      </c>
      <c r="B766" s="46" t="s">
        <v>56070</v>
      </c>
      <c r="C766" s="58" t="str">
        <f>"20503369"</f>
        <v>20503369</v>
      </c>
      <c r="D766" s="58" t="str">
        <f>"20503377"</f>
        <v>20503377</v>
      </c>
      <c r="E766" s="46" t="s">
        <v>12701</v>
      </c>
      <c r="F766" s="46" t="s">
        <v>50646</v>
      </c>
      <c r="G766" s="46" t="s">
        <v>50584</v>
      </c>
      <c r="H766" s="48" t="s">
        <v>56716</v>
      </c>
      <c r="I766" s="48" t="s">
        <v>50564</v>
      </c>
      <c r="J766" s="48"/>
      <c r="K766" s="50"/>
      <c r="L766" s="48"/>
    </row>
    <row r="767" spans="1:12" s="37" customFormat="1" ht="11.25" x14ac:dyDescent="0.2">
      <c r="A767" s="46" t="s">
        <v>56254</v>
      </c>
      <c r="B767" s="46" t="s">
        <v>56254</v>
      </c>
      <c r="C767" s="58" t="str">
        <f>"12239666"</f>
        <v>12239666</v>
      </c>
      <c r="D767" s="58" t="str">
        <f>"18414036"</f>
        <v>18414036</v>
      </c>
      <c r="E767" s="46" t="s">
        <v>56253</v>
      </c>
      <c r="F767" s="46" t="s">
        <v>17967</v>
      </c>
      <c r="G767" s="46" t="s">
        <v>50584</v>
      </c>
      <c r="H767" s="48" t="s">
        <v>56716</v>
      </c>
      <c r="I767" s="48" t="s">
        <v>50564</v>
      </c>
      <c r="J767" s="48" t="s">
        <v>56716</v>
      </c>
      <c r="K767" s="50"/>
      <c r="L767" s="48"/>
    </row>
    <row r="768" spans="1:12" s="37" customFormat="1" ht="11.25" x14ac:dyDescent="0.2">
      <c r="A768" s="46" t="s">
        <v>583</v>
      </c>
      <c r="B768" s="46" t="s">
        <v>51158</v>
      </c>
      <c r="C768" s="58" t="str">
        <f>"00042927"</f>
        <v>00042927</v>
      </c>
      <c r="D768" s="58" t="str">
        <f>"00042927"</f>
        <v>00042927</v>
      </c>
      <c r="E768" s="46" t="s">
        <v>585</v>
      </c>
      <c r="F768" s="46" t="s">
        <v>18439</v>
      </c>
      <c r="G768" s="46" t="s">
        <v>50632</v>
      </c>
      <c r="H768" s="48" t="s">
        <v>56716</v>
      </c>
      <c r="I768" s="48" t="s">
        <v>50564</v>
      </c>
      <c r="J768" s="48"/>
      <c r="K768" s="50"/>
      <c r="L768" s="48"/>
    </row>
    <row r="769" spans="1:12" s="37" customFormat="1" ht="11.25" x14ac:dyDescent="0.2">
      <c r="A769" s="46" t="s">
        <v>6552</v>
      </c>
      <c r="B769" s="46" t="s">
        <v>51159</v>
      </c>
      <c r="C769" s="58" t="str">
        <f>"10795642"</f>
        <v>10795642</v>
      </c>
      <c r="D769" s="58" t="str">
        <f>"15244636"</f>
        <v>15244636</v>
      </c>
      <c r="E769" s="46" t="s">
        <v>28</v>
      </c>
      <c r="F769" s="46" t="s">
        <v>17759</v>
      </c>
      <c r="G769" s="46" t="s">
        <v>50584</v>
      </c>
      <c r="H769" s="48" t="s">
        <v>56716</v>
      </c>
      <c r="I769" s="48" t="s">
        <v>50564</v>
      </c>
      <c r="J769" s="48" t="s">
        <v>56716</v>
      </c>
      <c r="K769" s="50" t="s">
        <v>56716</v>
      </c>
      <c r="L769" s="48" t="s">
        <v>56716</v>
      </c>
    </row>
    <row r="770" spans="1:12" s="37" customFormat="1" ht="11.25" x14ac:dyDescent="0.2">
      <c r="A770" s="46" t="s">
        <v>12110</v>
      </c>
      <c r="B770" s="46" t="s">
        <v>51160</v>
      </c>
      <c r="C770" s="58" t="str">
        <f>"18729312"</f>
        <v>18729312</v>
      </c>
      <c r="D770" s="58" t="str">
        <f>"18764401"</f>
        <v>18764401</v>
      </c>
      <c r="E770" s="46" t="s">
        <v>155</v>
      </c>
      <c r="F770" s="46" t="s">
        <v>50646</v>
      </c>
      <c r="G770" s="46" t="s">
        <v>50584</v>
      </c>
      <c r="H770" s="48" t="s">
        <v>56716</v>
      </c>
      <c r="I770" s="48" t="s">
        <v>50564</v>
      </c>
      <c r="J770" s="48" t="s">
        <v>56716</v>
      </c>
      <c r="K770" s="50" t="s">
        <v>56716</v>
      </c>
      <c r="L770" s="48"/>
    </row>
    <row r="771" spans="1:12" s="37" customFormat="1" ht="11.25" x14ac:dyDescent="0.2">
      <c r="A771" s="46" t="s">
        <v>15707</v>
      </c>
      <c r="B771" s="46" t="s">
        <v>15707</v>
      </c>
      <c r="C771" s="58" t="str">
        <f>"20901984"</f>
        <v>20901984</v>
      </c>
      <c r="D771" s="58" t="str">
        <f>"20901992"</f>
        <v>20901992</v>
      </c>
      <c r="E771" s="46" t="s">
        <v>1412</v>
      </c>
      <c r="F771" s="46" t="s">
        <v>17759</v>
      </c>
      <c r="G771" s="46" t="s">
        <v>50584</v>
      </c>
      <c r="H771" s="48" t="s">
        <v>56716</v>
      </c>
      <c r="I771" s="48" t="s">
        <v>50564</v>
      </c>
      <c r="J771" s="48" t="s">
        <v>56716</v>
      </c>
      <c r="K771" s="50"/>
      <c r="L771" s="48"/>
    </row>
    <row r="772" spans="1:12" s="37" customFormat="1" ht="11.25" x14ac:dyDescent="0.2">
      <c r="A772" s="46" t="s">
        <v>17394</v>
      </c>
      <c r="B772" s="46" t="s">
        <v>51161</v>
      </c>
      <c r="C772" s="58" t="str">
        <f>"23265191"</f>
        <v>23265191</v>
      </c>
      <c r="D772" s="58" t="str">
        <f>"23265205"</f>
        <v>23265205</v>
      </c>
      <c r="E772" s="46" t="s">
        <v>517</v>
      </c>
      <c r="F772" s="46" t="s">
        <v>17759</v>
      </c>
      <c r="G772" s="46" t="s">
        <v>50584</v>
      </c>
      <c r="H772" s="48" t="s">
        <v>56716</v>
      </c>
      <c r="I772" s="48" t="s">
        <v>50564</v>
      </c>
      <c r="J772" s="48" t="s">
        <v>56716</v>
      </c>
      <c r="K772" s="50"/>
      <c r="L772" s="48" t="s">
        <v>56716</v>
      </c>
    </row>
    <row r="773" spans="1:12" s="37" customFormat="1" ht="11.25" x14ac:dyDescent="0.2">
      <c r="A773" s="46" t="s">
        <v>4880</v>
      </c>
      <c r="B773" s="46" t="s">
        <v>51162</v>
      </c>
      <c r="C773" s="58" t="str">
        <f>"2151464X"</f>
        <v>2151464X</v>
      </c>
      <c r="D773" s="58" t="str">
        <f>"21514658"</f>
        <v>21514658</v>
      </c>
      <c r="E773" s="46" t="s">
        <v>517</v>
      </c>
      <c r="F773" s="46" t="s">
        <v>17759</v>
      </c>
      <c r="G773" s="46" t="s">
        <v>50584</v>
      </c>
      <c r="H773" s="48" t="s">
        <v>56716</v>
      </c>
      <c r="I773" s="48" t="s">
        <v>50564</v>
      </c>
      <c r="J773" s="48"/>
      <c r="K773" s="50"/>
      <c r="L773" s="48" t="s">
        <v>56716</v>
      </c>
    </row>
    <row r="774" spans="1:12" s="37" customFormat="1" ht="11.25" x14ac:dyDescent="0.2">
      <c r="A774" s="46" t="s">
        <v>9605</v>
      </c>
      <c r="B774" s="46" t="s">
        <v>51163</v>
      </c>
      <c r="C774" s="58" t="str">
        <f>"14786354"</f>
        <v>14786354</v>
      </c>
      <c r="D774" s="58" t="str">
        <f>"14786362"</f>
        <v>14786362</v>
      </c>
      <c r="E774" s="46" t="s">
        <v>2299</v>
      </c>
      <c r="F774" s="46" t="s">
        <v>50646</v>
      </c>
      <c r="G774" s="46" t="s">
        <v>50584</v>
      </c>
      <c r="H774" s="48" t="s">
        <v>56716</v>
      </c>
      <c r="I774" s="48" t="s">
        <v>50564</v>
      </c>
      <c r="J774" s="48"/>
      <c r="K774" s="50" t="s">
        <v>56716</v>
      </c>
      <c r="L774" s="48" t="s">
        <v>56716</v>
      </c>
    </row>
    <row r="775" spans="1:12" s="37" customFormat="1" ht="11.25" x14ac:dyDescent="0.2">
      <c r="A775" s="46" t="s">
        <v>8817</v>
      </c>
      <c r="B775" s="46" t="s">
        <v>51164</v>
      </c>
      <c r="C775" s="58" t="str">
        <f>"14678039"</f>
        <v>14678039</v>
      </c>
      <c r="D775" s="58" t="str">
        <f>"18735495"</f>
        <v>18735495</v>
      </c>
      <c r="E775" s="46" t="s">
        <v>155</v>
      </c>
      <c r="F775" s="46" t="s">
        <v>50646</v>
      </c>
      <c r="G775" s="46" t="s">
        <v>50584</v>
      </c>
      <c r="H775" s="48" t="s">
        <v>56716</v>
      </c>
      <c r="I775" s="48" t="s">
        <v>50564</v>
      </c>
      <c r="J775" s="48"/>
      <c r="K775" s="50" t="s">
        <v>56716</v>
      </c>
      <c r="L775" s="48" t="s">
        <v>56716</v>
      </c>
    </row>
    <row r="776" spans="1:12" s="37" customFormat="1" ht="11.25" x14ac:dyDescent="0.2">
      <c r="A776" s="46" t="s">
        <v>9544</v>
      </c>
      <c r="B776" s="46" t="s">
        <v>56366</v>
      </c>
      <c r="C776" s="58" t="str">
        <f>"07498063"</f>
        <v>07498063</v>
      </c>
      <c r="D776" s="58" t="str">
        <f>"15263231"</f>
        <v>15263231</v>
      </c>
      <c r="E776" s="46" t="s">
        <v>303</v>
      </c>
      <c r="F776" s="46" t="s">
        <v>17759</v>
      </c>
      <c r="G776" s="46" t="s">
        <v>50584</v>
      </c>
      <c r="H776" s="48" t="s">
        <v>56716</v>
      </c>
      <c r="I776" s="48" t="s">
        <v>50564</v>
      </c>
      <c r="J776" s="48"/>
      <c r="K776" s="50" t="s">
        <v>56716</v>
      </c>
      <c r="L776" s="48" t="s">
        <v>56716</v>
      </c>
    </row>
    <row r="777" spans="1:12" s="37" customFormat="1" ht="11.25" x14ac:dyDescent="0.2">
      <c r="A777" s="46" t="s">
        <v>16002</v>
      </c>
      <c r="B777" s="46" t="s">
        <v>51165</v>
      </c>
      <c r="C777" s="58" t="str">
        <f>"22126287"</f>
        <v>22126287</v>
      </c>
      <c r="D777" s="58" t="str">
        <f>"22126287"</f>
        <v>22126287</v>
      </c>
      <c r="E777" s="46" t="s">
        <v>91</v>
      </c>
      <c r="F777" s="46" t="s">
        <v>18001</v>
      </c>
      <c r="G777" s="46" t="s">
        <v>50584</v>
      </c>
      <c r="H777" s="48" t="s">
        <v>56716</v>
      </c>
      <c r="I777" s="48" t="s">
        <v>50564</v>
      </c>
      <c r="J777" s="48" t="s">
        <v>56716</v>
      </c>
      <c r="K777" s="50" t="s">
        <v>56716</v>
      </c>
      <c r="L777" s="48"/>
    </row>
    <row r="778" spans="1:12" s="37" customFormat="1" ht="11.25" x14ac:dyDescent="0.2">
      <c r="A778" s="46" t="s">
        <v>4376</v>
      </c>
      <c r="B778" s="46" t="s">
        <v>56061</v>
      </c>
      <c r="C778" s="58" t="str">
        <f>"21691401"</f>
        <v>21691401</v>
      </c>
      <c r="D778" s="58" t="str">
        <f>"2169141X"</f>
        <v>2169141X</v>
      </c>
      <c r="E778" s="46" t="s">
        <v>291</v>
      </c>
      <c r="F778" s="46" t="s">
        <v>50646</v>
      </c>
      <c r="G778" s="46" t="s">
        <v>50584</v>
      </c>
      <c r="H778" s="48" t="s">
        <v>56716</v>
      </c>
      <c r="I778" s="48" t="s">
        <v>50564</v>
      </c>
      <c r="J778" s="48"/>
      <c r="K778" s="50"/>
      <c r="L778" s="48" t="s">
        <v>56716</v>
      </c>
    </row>
    <row r="779" spans="1:12" s="37" customFormat="1" ht="11.25" x14ac:dyDescent="0.2">
      <c r="A779" s="46" t="s">
        <v>15275</v>
      </c>
      <c r="B779" s="46" t="s">
        <v>51166</v>
      </c>
      <c r="C779" s="58" t="str">
        <f>"1949095X"</f>
        <v>1949095X</v>
      </c>
      <c r="D779" s="58" t="str">
        <f>"19490968"</f>
        <v>19490968</v>
      </c>
      <c r="E779" s="46" t="s">
        <v>669</v>
      </c>
      <c r="F779" s="46" t="s">
        <v>17759</v>
      </c>
      <c r="G779" s="46" t="s">
        <v>50584</v>
      </c>
      <c r="H779" s="48" t="s">
        <v>56716</v>
      </c>
      <c r="I779" s="48" t="s">
        <v>50564</v>
      </c>
      <c r="J779" s="48"/>
      <c r="K779" s="50"/>
      <c r="L779" s="48" t="s">
        <v>56716</v>
      </c>
    </row>
    <row r="780" spans="1:12" s="37" customFormat="1" ht="11.25" x14ac:dyDescent="0.2">
      <c r="A780" s="46" t="s">
        <v>5550</v>
      </c>
      <c r="B780" s="46" t="s">
        <v>51167</v>
      </c>
      <c r="C780" s="58" t="str">
        <f>"09333657"</f>
        <v>09333657</v>
      </c>
      <c r="D780" s="58" t="str">
        <f>"18732860"</f>
        <v>18732860</v>
      </c>
      <c r="E780" s="46" t="s">
        <v>91</v>
      </c>
      <c r="F780" s="46" t="s">
        <v>18001</v>
      </c>
      <c r="G780" s="46" t="s">
        <v>50584</v>
      </c>
      <c r="H780" s="48" t="s">
        <v>56716</v>
      </c>
      <c r="I780" s="48" t="s">
        <v>50564</v>
      </c>
      <c r="J780" s="48" t="s">
        <v>56716</v>
      </c>
      <c r="K780" s="50" t="s">
        <v>56716</v>
      </c>
      <c r="L780" s="48" t="s">
        <v>56716</v>
      </c>
    </row>
    <row r="781" spans="1:12" s="37" customFormat="1" ht="11.25" x14ac:dyDescent="0.2">
      <c r="A781" s="45" t="s">
        <v>21637</v>
      </c>
      <c r="B781" s="45" t="s">
        <v>21639</v>
      </c>
      <c r="C781" s="51" t="s">
        <v>21641</v>
      </c>
      <c r="D781" s="51" t="s">
        <v>21640</v>
      </c>
      <c r="E781" s="45" t="s">
        <v>21642</v>
      </c>
      <c r="F781" s="45" t="s">
        <v>17759</v>
      </c>
      <c r="G781" s="45" t="s">
        <v>50584</v>
      </c>
      <c r="H781" s="56"/>
      <c r="I781" s="56" t="s">
        <v>50564</v>
      </c>
      <c r="J781" s="56"/>
      <c r="K781" s="50"/>
      <c r="L781" s="56" t="s">
        <v>56716</v>
      </c>
    </row>
    <row r="782" spans="1:12" s="37" customFormat="1" ht="11.25" x14ac:dyDescent="0.2">
      <c r="A782" s="46" t="s">
        <v>642</v>
      </c>
      <c r="B782" s="46" t="s">
        <v>51168</v>
      </c>
      <c r="C782" s="58" t="str">
        <f>"0160564X"</f>
        <v>0160564X</v>
      </c>
      <c r="D782" s="58" t="str">
        <f>"15251594"</f>
        <v>15251594</v>
      </c>
      <c r="E782" s="46" t="s">
        <v>548</v>
      </c>
      <c r="F782" s="46" t="s">
        <v>17759</v>
      </c>
      <c r="G782" s="46" t="s">
        <v>50584</v>
      </c>
      <c r="H782" s="48" t="s">
        <v>56716</v>
      </c>
      <c r="I782" s="48" t="s">
        <v>50564</v>
      </c>
      <c r="J782" s="48" t="s">
        <v>56716</v>
      </c>
      <c r="K782" s="50" t="s">
        <v>56716</v>
      </c>
      <c r="L782" s="48" t="s">
        <v>56716</v>
      </c>
    </row>
    <row r="783" spans="1:12" s="37" customFormat="1" ht="11.25" x14ac:dyDescent="0.2">
      <c r="A783" s="46" t="s">
        <v>565</v>
      </c>
      <c r="B783" s="46" t="s">
        <v>51169</v>
      </c>
      <c r="C783" s="58" t="str">
        <f>"01974556"</f>
        <v>01974556</v>
      </c>
      <c r="D783" s="58" t="str">
        <f>"18735878"</f>
        <v>18735878</v>
      </c>
      <c r="E783" s="46" t="s">
        <v>155</v>
      </c>
      <c r="F783" s="46" t="s">
        <v>50646</v>
      </c>
      <c r="G783" s="46" t="s">
        <v>50584</v>
      </c>
      <c r="H783" s="48" t="s">
        <v>56716</v>
      </c>
      <c r="I783" s="48" t="s">
        <v>50564</v>
      </c>
      <c r="J783" s="48" t="s">
        <v>56716</v>
      </c>
      <c r="K783" s="50" t="s">
        <v>56716</v>
      </c>
      <c r="L783" s="48"/>
    </row>
    <row r="784" spans="1:12" s="37" customFormat="1" ht="11.25" x14ac:dyDescent="0.2">
      <c r="A784" s="46" t="s">
        <v>15609</v>
      </c>
      <c r="B784" s="46" t="s">
        <v>51170</v>
      </c>
      <c r="C784" s="58" t="str">
        <f>"17353955"</f>
        <v>17353955</v>
      </c>
      <c r="D784" s="58" t="str">
        <f>"22516638"</f>
        <v>22516638</v>
      </c>
      <c r="E784" s="46" t="s">
        <v>10464</v>
      </c>
      <c r="F784" s="46" t="s">
        <v>18232</v>
      </c>
      <c r="G784" s="46" t="s">
        <v>50584</v>
      </c>
      <c r="H784" s="48" t="s">
        <v>56716</v>
      </c>
      <c r="I784" s="48" t="s">
        <v>50564</v>
      </c>
      <c r="J784" s="48"/>
      <c r="K784" s="50"/>
      <c r="L784" s="48"/>
    </row>
    <row r="785" spans="1:12" s="37" customFormat="1" ht="11.25" x14ac:dyDescent="0.2">
      <c r="A785" s="46" t="s">
        <v>4822</v>
      </c>
      <c r="B785" s="46" t="s">
        <v>4822</v>
      </c>
      <c r="C785" s="58" t="str">
        <f>"07236913"</f>
        <v>07236913</v>
      </c>
      <c r="D785" s="58" t="str">
        <f>""</f>
        <v/>
      </c>
      <c r="E785" s="46" t="s">
        <v>2997</v>
      </c>
      <c r="F785" s="46" t="s">
        <v>18158</v>
      </c>
      <c r="G785" s="46" t="s">
        <v>50593</v>
      </c>
      <c r="H785" s="48" t="s">
        <v>56716</v>
      </c>
      <c r="I785" s="48" t="s">
        <v>50564</v>
      </c>
      <c r="J785" s="48"/>
      <c r="K785" s="50"/>
      <c r="L785" s="48"/>
    </row>
    <row r="786" spans="1:12" s="37" customFormat="1" ht="11.25" x14ac:dyDescent="0.2">
      <c r="A786" s="46" t="s">
        <v>5899</v>
      </c>
      <c r="B786" s="46" t="s">
        <v>51171</v>
      </c>
      <c r="C786" s="58" t="str">
        <f>"10582916"</f>
        <v>10582916</v>
      </c>
      <c r="D786" s="58" t="str">
        <f>"1538943X"</f>
        <v>1538943X</v>
      </c>
      <c r="E786" s="46" t="s">
        <v>28</v>
      </c>
      <c r="F786" s="46" t="s">
        <v>17759</v>
      </c>
      <c r="G786" s="46" t="s">
        <v>50584</v>
      </c>
      <c r="H786" s="48" t="s">
        <v>56716</v>
      </c>
      <c r="I786" s="48" t="s">
        <v>50564</v>
      </c>
      <c r="J786" s="48" t="s">
        <v>56716</v>
      </c>
      <c r="K786" s="50" t="s">
        <v>56716</v>
      </c>
      <c r="L786" s="48" t="s">
        <v>56716</v>
      </c>
    </row>
    <row r="787" spans="1:12" s="37" customFormat="1" ht="11.25" x14ac:dyDescent="0.2">
      <c r="A787" s="46" t="s">
        <v>11309</v>
      </c>
      <c r="B787" s="46" t="s">
        <v>51172</v>
      </c>
      <c r="C787" s="58" t="str">
        <f>"10707212"</f>
        <v>10707212</v>
      </c>
      <c r="D787" s="58" t="str">
        <f>"1878755X"</f>
        <v>1878755X</v>
      </c>
      <c r="E787" s="46" t="s">
        <v>194</v>
      </c>
      <c r="F787" s="46" t="s">
        <v>17759</v>
      </c>
      <c r="G787" s="46" t="s">
        <v>50584</v>
      </c>
      <c r="H787" s="48" t="s">
        <v>56716</v>
      </c>
      <c r="I787" s="48" t="s">
        <v>50564</v>
      </c>
      <c r="J787" s="48"/>
      <c r="K787" s="50"/>
      <c r="L787" s="48"/>
    </row>
    <row r="788" spans="1:12" s="37" customFormat="1" ht="11.25" x14ac:dyDescent="0.2">
      <c r="A788" s="46" t="s">
        <v>16161</v>
      </c>
      <c r="B788" s="46" t="s">
        <v>16161</v>
      </c>
      <c r="C788" s="58" t="str">
        <f>"22338276"</f>
        <v>22338276</v>
      </c>
      <c r="D788" s="58" t="str">
        <f>"22338268"</f>
        <v>22338268</v>
      </c>
      <c r="E788" s="46" t="s">
        <v>16164</v>
      </c>
      <c r="F788" s="46" t="s">
        <v>50649</v>
      </c>
      <c r="G788" s="46" t="s">
        <v>50584</v>
      </c>
      <c r="H788" s="48" t="s">
        <v>56716</v>
      </c>
      <c r="I788" s="48" t="s">
        <v>50564</v>
      </c>
      <c r="J788" s="48"/>
      <c r="K788" s="50"/>
      <c r="L788" s="48"/>
    </row>
    <row r="789" spans="1:12" s="37" customFormat="1" ht="11.25" x14ac:dyDescent="0.2">
      <c r="A789" s="45" t="s">
        <v>21653</v>
      </c>
      <c r="B789" s="45" t="s">
        <v>21655</v>
      </c>
      <c r="C789" s="51" t="s">
        <v>21658</v>
      </c>
      <c r="D789" s="51" t="s">
        <v>21657</v>
      </c>
      <c r="E789" s="45" t="s">
        <v>21659</v>
      </c>
      <c r="F789" s="45" t="s">
        <v>20082</v>
      </c>
      <c r="G789" s="45" t="s">
        <v>50584</v>
      </c>
      <c r="H789" s="56"/>
      <c r="I789" s="56" t="s">
        <v>50564</v>
      </c>
      <c r="J789" s="56"/>
      <c r="K789" s="50"/>
      <c r="L789" s="56" t="s">
        <v>56716</v>
      </c>
    </row>
    <row r="790" spans="1:12" s="37" customFormat="1" ht="11.25" x14ac:dyDescent="0.2">
      <c r="A790" s="46" t="s">
        <v>8545</v>
      </c>
      <c r="B790" s="46" t="s">
        <v>51173</v>
      </c>
      <c r="C790" s="58" t="str">
        <f>"13852140"</f>
        <v>13852140</v>
      </c>
      <c r="D790" s="58" t="str">
        <f>""</f>
        <v/>
      </c>
      <c r="E790" s="46" t="s">
        <v>8547</v>
      </c>
      <c r="F790" s="46" t="s">
        <v>20082</v>
      </c>
      <c r="G790" s="46" t="s">
        <v>50584</v>
      </c>
      <c r="H790" s="48" t="s">
        <v>56716</v>
      </c>
      <c r="I790" s="48" t="s">
        <v>50564</v>
      </c>
      <c r="J790" s="48" t="s">
        <v>56716</v>
      </c>
      <c r="K790" s="50"/>
      <c r="L790" s="48"/>
    </row>
    <row r="791" spans="1:12" s="37" customFormat="1" ht="11.25" x14ac:dyDescent="0.2">
      <c r="A791" s="46" t="s">
        <v>56135</v>
      </c>
      <c r="B791" s="46" t="s">
        <v>56136</v>
      </c>
      <c r="C791" s="58" t="str">
        <f>"23222611"</f>
        <v>23222611</v>
      </c>
      <c r="D791" s="58" t="str">
        <f>"23224320"</f>
        <v>23224320</v>
      </c>
      <c r="E791" s="46" t="s">
        <v>14308</v>
      </c>
      <c r="F791" s="46" t="s">
        <v>18232</v>
      </c>
      <c r="G791" s="46" t="s">
        <v>50584</v>
      </c>
      <c r="H791" s="48" t="s">
        <v>56716</v>
      </c>
      <c r="I791" s="48" t="s">
        <v>50564</v>
      </c>
      <c r="J791" s="48"/>
      <c r="K791" s="50"/>
      <c r="L791" s="48"/>
    </row>
    <row r="792" spans="1:12" s="37" customFormat="1" ht="11.25" x14ac:dyDescent="0.2">
      <c r="A792" s="46" t="s">
        <v>13384</v>
      </c>
      <c r="B792" s="46" t="s">
        <v>51174</v>
      </c>
      <c r="C792" s="58" t="str">
        <f>"19057415"</f>
        <v>19057415</v>
      </c>
      <c r="D792" s="58" t="str">
        <f>"1875855X"</f>
        <v>1875855X</v>
      </c>
      <c r="E792" s="46" t="s">
        <v>13384</v>
      </c>
      <c r="F792" s="46" t="s">
        <v>21693</v>
      </c>
      <c r="G792" s="46" t="s">
        <v>50584</v>
      </c>
      <c r="H792" s="48" t="s">
        <v>56716</v>
      </c>
      <c r="I792" s="48" t="s">
        <v>50564</v>
      </c>
      <c r="J792" s="48"/>
      <c r="K792" s="50"/>
      <c r="L792" s="48"/>
    </row>
    <row r="793" spans="1:12" s="37" customFormat="1" ht="11.25" x14ac:dyDescent="0.2">
      <c r="A793" s="46" t="s">
        <v>7498</v>
      </c>
      <c r="B793" s="46" t="s">
        <v>51175</v>
      </c>
      <c r="C793" s="58" t="str">
        <f>"02184923"</f>
        <v>02184923</v>
      </c>
      <c r="D793" s="58" t="str">
        <f>"18165370"</f>
        <v>18165370</v>
      </c>
      <c r="E793" s="46" t="s">
        <v>493</v>
      </c>
      <c r="F793" s="46" t="s">
        <v>17759</v>
      </c>
      <c r="G793" s="46" t="s">
        <v>50584</v>
      </c>
      <c r="H793" s="48" t="s">
        <v>56716</v>
      </c>
      <c r="I793" s="48" t="s">
        <v>50564</v>
      </c>
      <c r="J793" s="48"/>
      <c r="K793" s="50"/>
      <c r="L793" s="48" t="s">
        <v>56716</v>
      </c>
    </row>
    <row r="794" spans="1:12" s="37" customFormat="1" ht="11.25" x14ac:dyDescent="0.2">
      <c r="A794" s="46" t="s">
        <v>8528</v>
      </c>
      <c r="B794" s="46" t="s">
        <v>51176</v>
      </c>
      <c r="C794" s="58" t="str">
        <f>"1008682X"</f>
        <v>1008682X</v>
      </c>
      <c r="D794" s="58" t="str">
        <f>"17457262"</f>
        <v>17457262</v>
      </c>
      <c r="E794" s="46" t="s">
        <v>19057</v>
      </c>
      <c r="F794" s="46" t="s">
        <v>20446</v>
      </c>
      <c r="G794" s="46" t="s">
        <v>50584</v>
      </c>
      <c r="H794" s="48" t="s">
        <v>56716</v>
      </c>
      <c r="I794" s="48" t="s">
        <v>50564</v>
      </c>
      <c r="J794" s="48"/>
      <c r="K794" s="50"/>
      <c r="L794" s="48" t="s">
        <v>56716</v>
      </c>
    </row>
    <row r="795" spans="1:12" s="37" customFormat="1" ht="11.25" x14ac:dyDescent="0.2">
      <c r="A795" s="45" t="s">
        <v>21670</v>
      </c>
      <c r="B795" s="45" t="s">
        <v>21672</v>
      </c>
      <c r="C795" s="51" t="s">
        <v>21674</v>
      </c>
      <c r="D795" s="51" t="s">
        <v>21673</v>
      </c>
      <c r="E795" s="45" t="s">
        <v>3029</v>
      </c>
      <c r="F795" s="45" t="s">
        <v>18242</v>
      </c>
      <c r="G795" s="45" t="s">
        <v>50584</v>
      </c>
      <c r="H795" s="56"/>
      <c r="I795" s="56" t="s">
        <v>50564</v>
      </c>
      <c r="J795" s="56"/>
      <c r="K795" s="50"/>
      <c r="L795" s="56" t="s">
        <v>56716</v>
      </c>
    </row>
    <row r="796" spans="1:12" s="37" customFormat="1" ht="11.25" x14ac:dyDescent="0.2">
      <c r="A796" s="46" t="s">
        <v>13134</v>
      </c>
      <c r="B796" s="46" t="s">
        <v>51177</v>
      </c>
      <c r="C796" s="58" t="str">
        <f>"19921462"</f>
        <v>19921462</v>
      </c>
      <c r="D796" s="58" t="str">
        <f>"2077205X"</f>
        <v>2077205X</v>
      </c>
      <c r="E796" s="46" t="s">
        <v>10959</v>
      </c>
      <c r="F796" s="46" t="s">
        <v>34138</v>
      </c>
      <c r="G796" s="46" t="s">
        <v>50584</v>
      </c>
      <c r="H796" s="48" t="s">
        <v>56716</v>
      </c>
      <c r="I796" s="48" t="s">
        <v>50564</v>
      </c>
      <c r="J796" s="48"/>
      <c r="K796" s="50"/>
      <c r="L796" s="48"/>
    </row>
    <row r="797" spans="1:12" s="37" customFormat="1" ht="11.25" x14ac:dyDescent="0.2">
      <c r="A797" s="46" t="s">
        <v>8758</v>
      </c>
      <c r="B797" s="46" t="s">
        <v>51178</v>
      </c>
      <c r="C797" s="58" t="str">
        <f>"09723005"</f>
        <v>09723005</v>
      </c>
      <c r="D797" s="58" t="str">
        <f>""</f>
        <v/>
      </c>
      <c r="E797" s="46" t="s">
        <v>56112</v>
      </c>
      <c r="F797" s="46" t="s">
        <v>20446</v>
      </c>
      <c r="G797" s="46" t="s">
        <v>50584</v>
      </c>
      <c r="H797" s="48" t="s">
        <v>56716</v>
      </c>
      <c r="I797" s="48" t="s">
        <v>50564</v>
      </c>
      <c r="J797" s="48"/>
      <c r="K797" s="50"/>
      <c r="L797" s="48"/>
    </row>
    <row r="798" spans="1:12" s="37" customFormat="1" ht="11.25" x14ac:dyDescent="0.2">
      <c r="A798" s="46" t="s">
        <v>13954</v>
      </c>
      <c r="B798" s="46" t="s">
        <v>51179</v>
      </c>
      <c r="C798" s="58" t="str">
        <f>"09742441"</f>
        <v>09742441</v>
      </c>
      <c r="D798" s="58" t="str">
        <f>""</f>
        <v/>
      </c>
      <c r="E798" s="46" t="s">
        <v>13954</v>
      </c>
      <c r="F798" s="46" t="s">
        <v>20446</v>
      </c>
      <c r="G798" s="46" t="s">
        <v>50584</v>
      </c>
      <c r="H798" s="48" t="s">
        <v>56716</v>
      </c>
      <c r="I798" s="48" t="s">
        <v>50564</v>
      </c>
      <c r="J798" s="48"/>
      <c r="K798" s="50"/>
      <c r="L798" s="48"/>
    </row>
    <row r="799" spans="1:12" s="37" customFormat="1" ht="11.25" x14ac:dyDescent="0.2">
      <c r="A799" s="46" t="s">
        <v>15566</v>
      </c>
      <c r="B799" s="46" t="s">
        <v>51180</v>
      </c>
      <c r="C799" s="58" t="str">
        <f>"22501444"</f>
        <v>22501444</v>
      </c>
      <c r="D799" s="58" t="str">
        <f>"22501460"</f>
        <v>22501460</v>
      </c>
      <c r="E799" s="46" t="s">
        <v>15569</v>
      </c>
      <c r="F799" s="46" t="s">
        <v>20446</v>
      </c>
      <c r="G799" s="46" t="s">
        <v>50584</v>
      </c>
      <c r="H799" s="48" t="s">
        <v>56716</v>
      </c>
      <c r="I799" s="48" t="s">
        <v>50564</v>
      </c>
      <c r="J799" s="48"/>
      <c r="K799" s="50"/>
      <c r="L799" s="48"/>
    </row>
    <row r="800" spans="1:12" s="37" customFormat="1" ht="11.25" x14ac:dyDescent="0.2">
      <c r="A800" s="46" t="s">
        <v>13973</v>
      </c>
      <c r="B800" s="46" t="s">
        <v>51181</v>
      </c>
      <c r="C800" s="58" t="str">
        <f>"18180876"</f>
        <v>18180876</v>
      </c>
      <c r="D800" s="58" t="str">
        <f>"2221285X"</f>
        <v>2221285X</v>
      </c>
      <c r="E800" s="46" t="s">
        <v>13975</v>
      </c>
      <c r="F800" s="46" t="s">
        <v>17958</v>
      </c>
      <c r="G800" s="46" t="s">
        <v>50584</v>
      </c>
      <c r="H800" s="48" t="s">
        <v>56716</v>
      </c>
      <c r="I800" s="48" t="s">
        <v>50564</v>
      </c>
      <c r="J800" s="48"/>
      <c r="K800" s="50" t="s">
        <v>56716</v>
      </c>
      <c r="L800" s="48"/>
    </row>
    <row r="801" spans="1:12" s="37" customFormat="1" ht="11.25" x14ac:dyDescent="0.2">
      <c r="A801" s="46" t="s">
        <v>13199</v>
      </c>
      <c r="B801" s="46" t="s">
        <v>51182</v>
      </c>
      <c r="C801" s="58" t="str">
        <f>"09738398"</f>
        <v>09738398</v>
      </c>
      <c r="D801" s="58" t="str">
        <f>"1998409X"</f>
        <v>1998409X</v>
      </c>
      <c r="E801" s="46" t="s">
        <v>19057</v>
      </c>
      <c r="F801" s="46" t="s">
        <v>20446</v>
      </c>
      <c r="G801" s="46" t="s">
        <v>50584</v>
      </c>
      <c r="H801" s="48" t="s">
        <v>56716</v>
      </c>
      <c r="I801" s="48" t="s">
        <v>50564</v>
      </c>
      <c r="J801" s="48"/>
      <c r="K801" s="50"/>
      <c r="L801" s="48"/>
    </row>
    <row r="802" spans="1:12" s="37" customFormat="1" ht="11.25" x14ac:dyDescent="0.2">
      <c r="A802" s="46" t="s">
        <v>14988</v>
      </c>
      <c r="B802" s="46" t="s">
        <v>51183</v>
      </c>
      <c r="C802" s="58" t="str">
        <f>"16082281"</f>
        <v>16082281</v>
      </c>
      <c r="D802" s="58" t="str">
        <f>""</f>
        <v/>
      </c>
      <c r="E802" s="46" t="s">
        <v>14990</v>
      </c>
      <c r="F802" s="46" t="s">
        <v>50647</v>
      </c>
      <c r="G802" s="46" t="s">
        <v>50584</v>
      </c>
      <c r="H802" s="48" t="s">
        <v>56716</v>
      </c>
      <c r="I802" s="48" t="s">
        <v>50564</v>
      </c>
      <c r="J802" s="48"/>
      <c r="K802" s="50"/>
      <c r="L802" s="48"/>
    </row>
    <row r="803" spans="1:12" s="37" customFormat="1" ht="11.25" x14ac:dyDescent="0.2">
      <c r="A803" s="46" t="s">
        <v>12882</v>
      </c>
      <c r="B803" s="46" t="s">
        <v>51184</v>
      </c>
      <c r="C803" s="58" t="str">
        <f>"18762018"</f>
        <v>18762018</v>
      </c>
      <c r="D803" s="58" t="str">
        <f>"18762026"</f>
        <v>18762026</v>
      </c>
      <c r="E803" s="46" t="s">
        <v>91</v>
      </c>
      <c r="F803" s="46" t="s">
        <v>18001</v>
      </c>
      <c r="G803" s="46" t="s">
        <v>50584</v>
      </c>
      <c r="H803" s="48" t="s">
        <v>56716</v>
      </c>
      <c r="I803" s="48" t="s">
        <v>50564</v>
      </c>
      <c r="J803" s="48" t="s">
        <v>56716</v>
      </c>
      <c r="K803" s="50" t="s">
        <v>56716</v>
      </c>
      <c r="L803" s="48" t="s">
        <v>56716</v>
      </c>
    </row>
    <row r="804" spans="1:12" s="37" customFormat="1" ht="11.25" x14ac:dyDescent="0.2">
      <c r="A804" s="45" t="s">
        <v>21682</v>
      </c>
      <c r="B804" s="45" t="s">
        <v>21684</v>
      </c>
      <c r="C804" s="51" t="s">
        <v>21687</v>
      </c>
      <c r="D804" s="51" t="s">
        <v>21686</v>
      </c>
      <c r="E804" s="45" t="s">
        <v>21688</v>
      </c>
      <c r="F804" s="45" t="s">
        <v>17958</v>
      </c>
      <c r="G804" s="45" t="s">
        <v>50584</v>
      </c>
      <c r="H804" s="56"/>
      <c r="I804" s="56" t="s">
        <v>50564</v>
      </c>
      <c r="J804" s="56"/>
      <c r="K804" s="50"/>
      <c r="L804" s="56" t="s">
        <v>56716</v>
      </c>
    </row>
    <row r="805" spans="1:12" s="37" customFormat="1" ht="11.25" x14ac:dyDescent="0.2">
      <c r="A805" s="46" t="s">
        <v>56293</v>
      </c>
      <c r="B805" s="46" t="s">
        <v>56294</v>
      </c>
      <c r="C805" s="58" t="str">
        <f>""</f>
        <v/>
      </c>
      <c r="D805" s="58" t="str">
        <f>"22143890"</f>
        <v>22143890</v>
      </c>
      <c r="E805" s="46" t="s">
        <v>2776</v>
      </c>
      <c r="F805" s="46" t="s">
        <v>19491</v>
      </c>
      <c r="G805" s="46" t="s">
        <v>50584</v>
      </c>
      <c r="H805" s="48" t="s">
        <v>56716</v>
      </c>
      <c r="I805" s="48" t="s">
        <v>50564</v>
      </c>
      <c r="J805" s="48"/>
      <c r="K805" s="50"/>
      <c r="L805" s="48"/>
    </row>
    <row r="806" spans="1:12" s="37" customFormat="1" ht="11.25" x14ac:dyDescent="0.2">
      <c r="A806" s="46" t="s">
        <v>12668</v>
      </c>
      <c r="B806" s="46" t="s">
        <v>51185</v>
      </c>
      <c r="C806" s="58" t="str">
        <f>"19761317"</f>
        <v>19761317</v>
      </c>
      <c r="D806" s="58" t="str">
        <f>"20937482"</f>
        <v>20937482</v>
      </c>
      <c r="E806" s="46" t="s">
        <v>12671</v>
      </c>
      <c r="F806" s="46" t="s">
        <v>50649</v>
      </c>
      <c r="G806" s="46" t="s">
        <v>50584</v>
      </c>
      <c r="H806" s="48" t="s">
        <v>56716</v>
      </c>
      <c r="I806" s="48" t="s">
        <v>50564</v>
      </c>
      <c r="J806" s="48" t="s">
        <v>56716</v>
      </c>
      <c r="K806" s="50" t="s">
        <v>56716</v>
      </c>
      <c r="L806" s="48" t="s">
        <v>56716</v>
      </c>
    </row>
    <row r="807" spans="1:12" s="37" customFormat="1" ht="11.25" x14ac:dyDescent="0.2">
      <c r="A807" s="46" t="s">
        <v>586</v>
      </c>
      <c r="B807" s="46" t="s">
        <v>51186</v>
      </c>
      <c r="C807" s="58" t="str">
        <f>"0125877X"</f>
        <v>0125877X</v>
      </c>
      <c r="D807" s="58" t="str">
        <f>"22288694"</f>
        <v>22288694</v>
      </c>
      <c r="E807" s="46" t="s">
        <v>589</v>
      </c>
      <c r="F807" s="46" t="s">
        <v>21693</v>
      </c>
      <c r="G807" s="46" t="s">
        <v>50584</v>
      </c>
      <c r="H807" s="48" t="s">
        <v>56716</v>
      </c>
      <c r="I807" s="48" t="s">
        <v>50564</v>
      </c>
      <c r="J807" s="48"/>
      <c r="K807" s="50"/>
      <c r="L807" s="48" t="s">
        <v>56716</v>
      </c>
    </row>
    <row r="808" spans="1:12" s="37" customFormat="1" ht="11.25" x14ac:dyDescent="0.2">
      <c r="A808" s="45" t="s">
        <v>21696</v>
      </c>
      <c r="B808" s="45" t="s">
        <v>21698</v>
      </c>
      <c r="C808" s="51" t="s">
        <v>21699</v>
      </c>
      <c r="D808" s="51"/>
      <c r="E808" s="45" t="s">
        <v>21700</v>
      </c>
      <c r="F808" s="45" t="s">
        <v>21693</v>
      </c>
      <c r="G808" s="45" t="s">
        <v>50584</v>
      </c>
      <c r="H808" s="56"/>
      <c r="I808" s="56" t="s">
        <v>50564</v>
      </c>
      <c r="J808" s="56"/>
      <c r="K808" s="50"/>
      <c r="L808" s="56" t="s">
        <v>56716</v>
      </c>
    </row>
    <row r="809" spans="1:12" s="37" customFormat="1" ht="11.25" x14ac:dyDescent="0.2">
      <c r="A809" s="46" t="s">
        <v>15545</v>
      </c>
      <c r="B809" s="46" t="s">
        <v>51187</v>
      </c>
      <c r="C809" s="58" t="str">
        <f>"22211691"</f>
        <v>22211691</v>
      </c>
      <c r="D809" s="58" t="str">
        <f>""</f>
        <v/>
      </c>
      <c r="E809" s="46" t="s">
        <v>56199</v>
      </c>
      <c r="F809" s="46" t="s">
        <v>18001</v>
      </c>
      <c r="G809" s="46" t="s">
        <v>50584</v>
      </c>
      <c r="H809" s="48" t="s">
        <v>56716</v>
      </c>
      <c r="I809" s="48" t="s">
        <v>50564</v>
      </c>
      <c r="J809" s="48" t="s">
        <v>56716</v>
      </c>
      <c r="K809" s="50"/>
      <c r="L809" s="48"/>
    </row>
    <row r="810" spans="1:12" s="37" customFormat="1" ht="11.25" x14ac:dyDescent="0.2">
      <c r="A810" s="46" t="s">
        <v>15955</v>
      </c>
      <c r="B810" s="46" t="s">
        <v>51188</v>
      </c>
      <c r="C810" s="58" t="str">
        <f>"22221808"</f>
        <v>22221808</v>
      </c>
      <c r="D810" s="58" t="str">
        <f>""</f>
        <v/>
      </c>
      <c r="E810" s="46" t="s">
        <v>91</v>
      </c>
      <c r="F810" s="46" t="s">
        <v>18001</v>
      </c>
      <c r="G810" s="46" t="s">
        <v>50584</v>
      </c>
      <c r="H810" s="48" t="s">
        <v>56716</v>
      </c>
      <c r="I810" s="48" t="s">
        <v>50564</v>
      </c>
      <c r="J810" s="48" t="s">
        <v>56716</v>
      </c>
      <c r="K810" s="50"/>
      <c r="L810" s="48"/>
    </row>
    <row r="811" spans="1:12" s="37" customFormat="1" ht="11.25" x14ac:dyDescent="0.2">
      <c r="A811" s="46" t="s">
        <v>14364</v>
      </c>
      <c r="B811" s="46" t="s">
        <v>51189</v>
      </c>
      <c r="C811" s="58" t="str">
        <f>"19957645"</f>
        <v>19957645</v>
      </c>
      <c r="D811" s="58" t="str">
        <f>""</f>
        <v/>
      </c>
      <c r="E811" s="46" t="s">
        <v>2776</v>
      </c>
      <c r="F811" s="46" t="s">
        <v>19491</v>
      </c>
      <c r="G811" s="46" t="s">
        <v>50584</v>
      </c>
      <c r="H811" s="48" t="s">
        <v>56716</v>
      </c>
      <c r="I811" s="48" t="s">
        <v>50564</v>
      </c>
      <c r="J811" s="48" t="s">
        <v>56716</v>
      </c>
      <c r="K811" s="50"/>
      <c r="L811" s="48"/>
    </row>
    <row r="812" spans="1:12" s="37" customFormat="1" ht="11.25" x14ac:dyDescent="0.2">
      <c r="A812" s="46" t="s">
        <v>11050</v>
      </c>
      <c r="B812" s="46" t="s">
        <v>51190</v>
      </c>
      <c r="C812" s="58" t="str">
        <f>"17437555"</f>
        <v>17437555</v>
      </c>
      <c r="D812" s="58" t="str">
        <f>"17437563"</f>
        <v>17437563</v>
      </c>
      <c r="E812" s="46" t="s">
        <v>35</v>
      </c>
      <c r="F812" s="46" t="s">
        <v>50646</v>
      </c>
      <c r="G812" s="46" t="s">
        <v>50584</v>
      </c>
      <c r="H812" s="48" t="s">
        <v>56716</v>
      </c>
      <c r="I812" s="48" t="s">
        <v>50564</v>
      </c>
      <c r="J812" s="48" t="s">
        <v>56716</v>
      </c>
      <c r="K812" s="50" t="s">
        <v>56716</v>
      </c>
      <c r="L812" s="48" t="s">
        <v>56716</v>
      </c>
    </row>
    <row r="813" spans="1:12" s="37" customFormat="1" ht="11.25" x14ac:dyDescent="0.2">
      <c r="A813" s="45" t="s">
        <v>21716</v>
      </c>
      <c r="B813" s="45" t="s">
        <v>21718</v>
      </c>
      <c r="C813" s="51" t="s">
        <v>21720</v>
      </c>
      <c r="D813" s="51" t="s">
        <v>21719</v>
      </c>
      <c r="E813" s="45" t="s">
        <v>21721</v>
      </c>
      <c r="F813" s="45" t="s">
        <v>17958</v>
      </c>
      <c r="G813" s="45" t="s">
        <v>50584</v>
      </c>
      <c r="H813" s="56"/>
      <c r="I813" s="56" t="s">
        <v>50564</v>
      </c>
      <c r="J813" s="56"/>
      <c r="K813" s="50"/>
      <c r="L813" s="56" t="s">
        <v>56716</v>
      </c>
    </row>
    <row r="814" spans="1:12" s="37" customFormat="1" ht="11.25" x14ac:dyDescent="0.2">
      <c r="A814" s="46" t="s">
        <v>17651</v>
      </c>
      <c r="B814" s="46" t="s">
        <v>51191</v>
      </c>
      <c r="C814" s="58" t="str">
        <f>""</f>
        <v/>
      </c>
      <c r="D814" s="58" t="str">
        <f>"22146873"</f>
        <v>22146873</v>
      </c>
      <c r="E814" s="46" t="s">
        <v>2776</v>
      </c>
      <c r="F814" s="46" t="s">
        <v>19491</v>
      </c>
      <c r="G814" s="46" t="s">
        <v>50584</v>
      </c>
      <c r="H814" s="48" t="s">
        <v>56716</v>
      </c>
      <c r="I814" s="48" t="s">
        <v>50564</v>
      </c>
      <c r="J814" s="48" t="s">
        <v>56716</v>
      </c>
      <c r="K814" s="50" t="s">
        <v>56716</v>
      </c>
      <c r="L814" s="48"/>
    </row>
    <row r="815" spans="1:12" s="37" customFormat="1" ht="11.25" x14ac:dyDescent="0.2">
      <c r="A815" s="46" t="s">
        <v>14180</v>
      </c>
      <c r="B815" s="46" t="s">
        <v>14180</v>
      </c>
      <c r="C815" s="58" t="str">
        <f>"17585864"</f>
        <v>17585864</v>
      </c>
      <c r="D815" s="58" t="str">
        <f>"17585872"</f>
        <v>17585872</v>
      </c>
      <c r="E815" s="46" t="s">
        <v>970</v>
      </c>
      <c r="F815" s="46" t="s">
        <v>17759</v>
      </c>
      <c r="G815" s="46" t="s">
        <v>50584</v>
      </c>
      <c r="H815" s="48" t="s">
        <v>56716</v>
      </c>
      <c r="I815" s="48" t="s">
        <v>50564</v>
      </c>
      <c r="J815" s="48" t="s">
        <v>56716</v>
      </c>
      <c r="K815" s="50" t="s">
        <v>56716</v>
      </c>
      <c r="L815" s="48" t="s">
        <v>56716</v>
      </c>
    </row>
    <row r="816" spans="1:12" s="37" customFormat="1" ht="11.25" x14ac:dyDescent="0.2">
      <c r="A816" s="46" t="s">
        <v>16728</v>
      </c>
      <c r="B816" s="46" t="s">
        <v>51192</v>
      </c>
      <c r="C816" s="58" t="str">
        <f>"13089234"</f>
        <v>13089234</v>
      </c>
      <c r="D816" s="58" t="str">
        <f>""</f>
        <v/>
      </c>
      <c r="E816" s="46" t="s">
        <v>16730</v>
      </c>
      <c r="F816" s="46" t="s">
        <v>18396</v>
      </c>
      <c r="G816" s="46" t="s">
        <v>50584</v>
      </c>
      <c r="H816" s="48" t="s">
        <v>56716</v>
      </c>
      <c r="I816" s="48" t="s">
        <v>50564</v>
      </c>
      <c r="J816" s="48"/>
      <c r="K816" s="50"/>
      <c r="L816" s="48"/>
    </row>
    <row r="817" spans="1:12" s="37" customFormat="1" ht="11.25" x14ac:dyDescent="0.2">
      <c r="A817" s="46" t="s">
        <v>16717</v>
      </c>
      <c r="B817" s="46" t="s">
        <v>51193</v>
      </c>
      <c r="C817" s="58" t="str">
        <f>""</f>
        <v/>
      </c>
      <c r="D817" s="58" t="str">
        <f>"19996489"</f>
        <v>19996489</v>
      </c>
      <c r="E817" s="46" t="s">
        <v>16719</v>
      </c>
      <c r="F817" s="46" t="s">
        <v>50653</v>
      </c>
      <c r="G817" s="46" t="s">
        <v>50617</v>
      </c>
      <c r="H817" s="48" t="s">
        <v>56716</v>
      </c>
      <c r="I817" s="48" t="s">
        <v>50564</v>
      </c>
      <c r="J817" s="48"/>
      <c r="K817" s="50"/>
      <c r="L817" s="48"/>
    </row>
    <row r="818" spans="1:12" s="37" customFormat="1" ht="11.25" x14ac:dyDescent="0.2">
      <c r="A818" s="46" t="s">
        <v>13958</v>
      </c>
      <c r="B818" s="46" t="s">
        <v>13958</v>
      </c>
      <c r="C818" s="58" t="str">
        <f>""</f>
        <v/>
      </c>
      <c r="D818" s="58" t="str">
        <f>"17590914"</f>
        <v>17590914</v>
      </c>
      <c r="E818" s="46" t="s">
        <v>744</v>
      </c>
      <c r="F818" s="46" t="s">
        <v>50646</v>
      </c>
      <c r="G818" s="46" t="s">
        <v>50584</v>
      </c>
      <c r="H818" s="48" t="s">
        <v>56716</v>
      </c>
      <c r="I818" s="48" t="s">
        <v>50564</v>
      </c>
      <c r="J818" s="48"/>
      <c r="K818" s="50"/>
      <c r="L818" s="48" t="s">
        <v>56716</v>
      </c>
    </row>
    <row r="819" spans="1:12" s="37" customFormat="1" ht="11.25" x14ac:dyDescent="0.2">
      <c r="A819" s="46" t="s">
        <v>9835</v>
      </c>
      <c r="B819" s="46" t="s">
        <v>51194</v>
      </c>
      <c r="C819" s="58" t="str">
        <f>"1540658X"</f>
        <v>1540658X</v>
      </c>
      <c r="D819" s="58" t="str">
        <f>"15578127"</f>
        <v>15578127</v>
      </c>
      <c r="E819" s="46" t="s">
        <v>4337</v>
      </c>
      <c r="F819" s="46" t="s">
        <v>17759</v>
      </c>
      <c r="G819" s="46" t="s">
        <v>50584</v>
      </c>
      <c r="H819" s="48" t="s">
        <v>56716</v>
      </c>
      <c r="I819" s="48" t="s">
        <v>50564</v>
      </c>
      <c r="J819" s="48"/>
      <c r="K819" s="50"/>
      <c r="L819" s="48" t="s">
        <v>56716</v>
      </c>
    </row>
    <row r="820" spans="1:12" s="37" customFormat="1" ht="11.25" x14ac:dyDescent="0.2">
      <c r="A820" s="45" t="s">
        <v>21740</v>
      </c>
      <c r="B820" s="45" t="s">
        <v>21740</v>
      </c>
      <c r="C820" s="51" t="s">
        <v>21743</v>
      </c>
      <c r="D820" s="51" t="s">
        <v>21742</v>
      </c>
      <c r="E820" s="45" t="s">
        <v>19447</v>
      </c>
      <c r="F820" s="45" t="s">
        <v>17759</v>
      </c>
      <c r="G820" s="45" t="s">
        <v>50584</v>
      </c>
      <c r="H820" s="56"/>
      <c r="I820" s="56" t="s">
        <v>50564</v>
      </c>
      <c r="J820" s="56"/>
      <c r="K820" s="50"/>
      <c r="L820" s="56" t="s">
        <v>56716</v>
      </c>
    </row>
    <row r="821" spans="1:12" s="37" customFormat="1" ht="11.25" x14ac:dyDescent="0.2">
      <c r="A821" s="45" t="s">
        <v>21745</v>
      </c>
      <c r="B821" s="45" t="s">
        <v>21747</v>
      </c>
      <c r="C821" s="51" t="s">
        <v>21750</v>
      </c>
      <c r="D821" s="51" t="s">
        <v>21749</v>
      </c>
      <c r="E821" s="45" t="s">
        <v>21751</v>
      </c>
      <c r="F821" s="45" t="s">
        <v>17991</v>
      </c>
      <c r="G821" s="45" t="s">
        <v>50602</v>
      </c>
      <c r="H821" s="56"/>
      <c r="I821" s="56" t="s">
        <v>50564</v>
      </c>
      <c r="J821" s="56"/>
      <c r="K821" s="50"/>
      <c r="L821" s="56" t="s">
        <v>56716</v>
      </c>
    </row>
    <row r="822" spans="1:12" s="37" customFormat="1" ht="11.25" x14ac:dyDescent="0.2">
      <c r="A822" s="45" t="s">
        <v>21753</v>
      </c>
      <c r="B822" s="45" t="s">
        <v>21755</v>
      </c>
      <c r="C822" s="51" t="s">
        <v>21756</v>
      </c>
      <c r="D822" s="51" t="s">
        <v>56531</v>
      </c>
      <c r="E822" s="45" t="s">
        <v>18404</v>
      </c>
      <c r="F822" s="45" t="s">
        <v>17759</v>
      </c>
      <c r="G822" s="45" t="s">
        <v>50584</v>
      </c>
      <c r="H822" s="56"/>
      <c r="I822" s="56" t="s">
        <v>50564</v>
      </c>
      <c r="J822" s="56"/>
      <c r="K822" s="50"/>
      <c r="L822" s="56" t="s">
        <v>56716</v>
      </c>
    </row>
    <row r="823" spans="1:12" s="37" customFormat="1" ht="11.25" x14ac:dyDescent="0.2">
      <c r="A823" s="45" t="s">
        <v>21760</v>
      </c>
      <c r="B823" s="45" t="s">
        <v>21760</v>
      </c>
      <c r="C823" s="51" t="s">
        <v>21763</v>
      </c>
      <c r="D823" s="51" t="s">
        <v>21762</v>
      </c>
      <c r="E823" s="45" t="s">
        <v>19180</v>
      </c>
      <c r="F823" s="45" t="s">
        <v>17759</v>
      </c>
      <c r="G823" s="45" t="s">
        <v>50584</v>
      </c>
      <c r="H823" s="56"/>
      <c r="I823" s="56" t="s">
        <v>50564</v>
      </c>
      <c r="J823" s="56"/>
      <c r="K823" s="50"/>
      <c r="L823" s="56" t="s">
        <v>56716</v>
      </c>
    </row>
    <row r="824" spans="1:12" s="37" customFormat="1" ht="11.25" x14ac:dyDescent="0.2">
      <c r="A824" s="46" t="s">
        <v>677</v>
      </c>
      <c r="B824" s="46" t="s">
        <v>51195</v>
      </c>
      <c r="C824" s="58" t="str">
        <f>"03413055"</f>
        <v>03413055</v>
      </c>
      <c r="D824" s="58" t="str">
        <f>""</f>
        <v/>
      </c>
      <c r="E824" s="46" t="s">
        <v>437</v>
      </c>
      <c r="F824" s="46" t="s">
        <v>18158</v>
      </c>
      <c r="G824" s="46" t="s">
        <v>50593</v>
      </c>
      <c r="H824" s="48" t="s">
        <v>56716</v>
      </c>
      <c r="I824" s="48" t="s">
        <v>50564</v>
      </c>
      <c r="J824" s="48"/>
      <c r="K824" s="50"/>
      <c r="L824" s="48"/>
    </row>
    <row r="825" spans="1:12" s="37" customFormat="1" ht="11.25" x14ac:dyDescent="0.2">
      <c r="A825" s="46" t="s">
        <v>8120</v>
      </c>
      <c r="B825" s="46" t="s">
        <v>51196</v>
      </c>
      <c r="C825" s="58" t="str">
        <f>"11397357"</f>
        <v>11397357</v>
      </c>
      <c r="D825" s="58" t="str">
        <f>""</f>
        <v/>
      </c>
      <c r="E825" s="46" t="s">
        <v>8122</v>
      </c>
      <c r="F825" s="46" t="s">
        <v>18439</v>
      </c>
      <c r="G825" s="46" t="s">
        <v>50632</v>
      </c>
      <c r="H825" s="48" t="s">
        <v>56716</v>
      </c>
      <c r="I825" s="48" t="s">
        <v>50564</v>
      </c>
      <c r="J825" s="48"/>
      <c r="K825" s="50"/>
      <c r="L825" s="48"/>
    </row>
    <row r="826" spans="1:12" s="37" customFormat="1" ht="11.25" x14ac:dyDescent="0.2">
      <c r="A826" s="46" t="s">
        <v>5030</v>
      </c>
      <c r="B826" s="46" t="s">
        <v>51197</v>
      </c>
      <c r="C826" s="58" t="str">
        <f>"02126567"</f>
        <v>02126567</v>
      </c>
      <c r="D826" s="58" t="str">
        <f>"15781275"</f>
        <v>15781275</v>
      </c>
      <c r="E826" s="46" t="s">
        <v>175</v>
      </c>
      <c r="F826" s="46" t="s">
        <v>18439</v>
      </c>
      <c r="G826" s="46" t="s">
        <v>50632</v>
      </c>
      <c r="H826" s="48" t="s">
        <v>56716</v>
      </c>
      <c r="I826" s="48" t="s">
        <v>50564</v>
      </c>
      <c r="J826" s="48"/>
      <c r="K826" s="50" t="s">
        <v>56716</v>
      </c>
      <c r="L826" s="48" t="s">
        <v>56716</v>
      </c>
    </row>
    <row r="827" spans="1:12" s="37" customFormat="1" ht="11.25" x14ac:dyDescent="0.2">
      <c r="A827" s="46" t="s">
        <v>674</v>
      </c>
      <c r="B827" s="46" t="s">
        <v>674</v>
      </c>
      <c r="C827" s="58" t="str">
        <f>"00219150"</f>
        <v>00219150</v>
      </c>
      <c r="D827" s="58" t="str">
        <f>"18791484"</f>
        <v>18791484</v>
      </c>
      <c r="E827" s="46" t="s">
        <v>221</v>
      </c>
      <c r="F827" s="46" t="s">
        <v>21771</v>
      </c>
      <c r="G827" s="46" t="s">
        <v>50584</v>
      </c>
      <c r="H827" s="48" t="s">
        <v>56716</v>
      </c>
      <c r="I827" s="48" t="s">
        <v>50564</v>
      </c>
      <c r="J827" s="48" t="s">
        <v>56716</v>
      </c>
      <c r="K827" s="50" t="s">
        <v>56716</v>
      </c>
      <c r="L827" s="48" t="s">
        <v>56716</v>
      </c>
    </row>
    <row r="828" spans="1:12" s="37" customFormat="1" ht="11.25" x14ac:dyDescent="0.2">
      <c r="A828" s="46" t="s">
        <v>10064</v>
      </c>
      <c r="B828" s="46" t="s">
        <v>51198</v>
      </c>
      <c r="C828" s="58" t="str">
        <f>"15675688"</f>
        <v>15675688</v>
      </c>
      <c r="D828" s="58" t="str">
        <f>"18785050"</f>
        <v>18785050</v>
      </c>
      <c r="E828" s="46" t="s">
        <v>221</v>
      </c>
      <c r="F828" s="46" t="s">
        <v>21771</v>
      </c>
      <c r="G828" s="46" t="s">
        <v>50584</v>
      </c>
      <c r="H828" s="48" t="s">
        <v>56716</v>
      </c>
      <c r="I828" s="48" t="s">
        <v>50564</v>
      </c>
      <c r="J828" s="48" t="s">
        <v>56716</v>
      </c>
      <c r="K828" s="50"/>
      <c r="L828" s="48" t="s">
        <v>56716</v>
      </c>
    </row>
    <row r="829" spans="1:12" s="37" customFormat="1" ht="11.25" x14ac:dyDescent="0.2">
      <c r="A829" s="46" t="s">
        <v>7924</v>
      </c>
      <c r="B829" s="46" t="s">
        <v>51199</v>
      </c>
      <c r="C829" s="58" t="str">
        <f>"02611929"</f>
        <v>02611929</v>
      </c>
      <c r="D829" s="58" t="str">
        <f>""</f>
        <v/>
      </c>
      <c r="E829" s="46" t="s">
        <v>7926</v>
      </c>
      <c r="F829" s="46" t="s">
        <v>50646</v>
      </c>
      <c r="G829" s="46" t="s">
        <v>50584</v>
      </c>
      <c r="H829" s="48" t="s">
        <v>56716</v>
      </c>
      <c r="I829" s="48" t="s">
        <v>50564</v>
      </c>
      <c r="J829" s="48" t="s">
        <v>56716</v>
      </c>
      <c r="K829" s="50"/>
      <c r="L829" s="48" t="s">
        <v>56716</v>
      </c>
    </row>
    <row r="830" spans="1:12" s="37" customFormat="1" ht="11.25" x14ac:dyDescent="0.2">
      <c r="A830" s="45" t="s">
        <v>21777</v>
      </c>
      <c r="B830" s="45" t="s">
        <v>21779</v>
      </c>
      <c r="C830" s="51" t="s">
        <v>21781</v>
      </c>
      <c r="D830" s="51" t="s">
        <v>21780</v>
      </c>
      <c r="E830" s="45" t="s">
        <v>20259</v>
      </c>
      <c r="F830" s="45" t="s">
        <v>17759</v>
      </c>
      <c r="G830" s="45" t="s">
        <v>50584</v>
      </c>
      <c r="H830" s="56"/>
      <c r="I830" s="56" t="s">
        <v>50564</v>
      </c>
      <c r="J830" s="56"/>
      <c r="K830" s="50"/>
      <c r="L830" s="56" t="s">
        <v>56716</v>
      </c>
    </row>
    <row r="831" spans="1:12" s="37" customFormat="1" ht="11.25" x14ac:dyDescent="0.2">
      <c r="A831" s="46" t="s">
        <v>6313</v>
      </c>
      <c r="B831" s="46" t="s">
        <v>51200</v>
      </c>
      <c r="C831" s="58" t="str">
        <f>"13522310"</f>
        <v>13522310</v>
      </c>
      <c r="D831" s="58" t="str">
        <f>"18732844"</f>
        <v>18732844</v>
      </c>
      <c r="E831" s="46" t="s">
        <v>155</v>
      </c>
      <c r="F831" s="46" t="s">
        <v>50646</v>
      </c>
      <c r="G831" s="46" t="s">
        <v>50584</v>
      </c>
      <c r="H831" s="48" t="s">
        <v>56716</v>
      </c>
      <c r="I831" s="48" t="s">
        <v>50564</v>
      </c>
      <c r="J831" s="48" t="s">
        <v>56716</v>
      </c>
      <c r="K831" s="50" t="s">
        <v>56716</v>
      </c>
      <c r="L831" s="48"/>
    </row>
    <row r="832" spans="1:12" s="37" customFormat="1" ht="11.25" x14ac:dyDescent="0.2">
      <c r="A832" s="45" t="s">
        <v>21783</v>
      </c>
      <c r="B832" s="45" t="s">
        <v>21785</v>
      </c>
      <c r="C832" s="51" t="s">
        <v>21787</v>
      </c>
      <c r="D832" s="51" t="s">
        <v>21786</v>
      </c>
      <c r="E832" s="45" t="s">
        <v>291</v>
      </c>
      <c r="F832" s="45" t="s">
        <v>50646</v>
      </c>
      <c r="G832" s="45" t="s">
        <v>50584</v>
      </c>
      <c r="H832" s="56"/>
      <c r="I832" s="56" t="s">
        <v>50564</v>
      </c>
      <c r="J832" s="56"/>
      <c r="K832" s="50"/>
      <c r="L832" s="56" t="s">
        <v>56716</v>
      </c>
    </row>
    <row r="833" spans="1:12" s="37" customFormat="1" ht="11.25" x14ac:dyDescent="0.2">
      <c r="A833" s="45" t="s">
        <v>21796</v>
      </c>
      <c r="B833" s="45" t="s">
        <v>21798</v>
      </c>
      <c r="C833" s="51" t="s">
        <v>21801</v>
      </c>
      <c r="D833" s="51" t="s">
        <v>21800</v>
      </c>
      <c r="E833" s="45" t="s">
        <v>17783</v>
      </c>
      <c r="F833" s="45" t="s">
        <v>17759</v>
      </c>
      <c r="G833" s="45" t="s">
        <v>50584</v>
      </c>
      <c r="H833" s="56"/>
      <c r="I833" s="56" t="s">
        <v>50564</v>
      </c>
      <c r="J833" s="56"/>
      <c r="K833" s="50"/>
      <c r="L833" s="56" t="s">
        <v>56716</v>
      </c>
    </row>
    <row r="834" spans="1:12" s="37" customFormat="1" ht="11.25" x14ac:dyDescent="0.2">
      <c r="A834" s="46" t="s">
        <v>55922</v>
      </c>
      <c r="B834" s="46" t="s">
        <v>55923</v>
      </c>
      <c r="C834" s="58" t="str">
        <f>"14203030"</f>
        <v>14203030</v>
      </c>
      <c r="D834" s="58" t="str">
        <f>"14219700"</f>
        <v>14219700</v>
      </c>
      <c r="E834" s="46" t="s">
        <v>109</v>
      </c>
      <c r="F834" s="46" t="s">
        <v>18123</v>
      </c>
      <c r="G834" s="46" t="s">
        <v>50584</v>
      </c>
      <c r="H834" s="48" t="s">
        <v>56716</v>
      </c>
      <c r="I834" s="48" t="s">
        <v>50564</v>
      </c>
      <c r="J834" s="48" t="s">
        <v>56716</v>
      </c>
      <c r="K834" s="50" t="s">
        <v>56716</v>
      </c>
      <c r="L834" s="48" t="s">
        <v>56716</v>
      </c>
    </row>
    <row r="835" spans="1:12" s="37" customFormat="1" ht="11.25" x14ac:dyDescent="0.2">
      <c r="A835" s="46" t="s">
        <v>55924</v>
      </c>
      <c r="B835" s="46" t="s">
        <v>55925</v>
      </c>
      <c r="C835" s="58" t="str">
        <f>""</f>
        <v/>
      </c>
      <c r="D835" s="58" t="str">
        <f>"16645537"</f>
        <v>16645537</v>
      </c>
      <c r="E835" s="46" t="s">
        <v>109</v>
      </c>
      <c r="F835" s="46" t="s">
        <v>18123</v>
      </c>
      <c r="G835" s="46" t="s">
        <v>50584</v>
      </c>
      <c r="H835" s="48" t="s">
        <v>56716</v>
      </c>
      <c r="I835" s="48" t="s">
        <v>50564</v>
      </c>
      <c r="J835" s="48" t="s">
        <v>56716</v>
      </c>
      <c r="K835" s="50"/>
      <c r="L835" s="48"/>
    </row>
    <row r="836" spans="1:12" s="37" customFormat="1" ht="11.25" x14ac:dyDescent="0.2">
      <c r="A836" s="46" t="s">
        <v>16870</v>
      </c>
      <c r="B836" s="46" t="s">
        <v>51201</v>
      </c>
      <c r="C836" s="58" t="str">
        <f>"20394330"</f>
        <v>20394330</v>
      </c>
      <c r="D836" s="58" t="str">
        <f>"20394349"</f>
        <v>20394349</v>
      </c>
      <c r="E836" s="46" t="s">
        <v>1949</v>
      </c>
      <c r="F836" s="46" t="s">
        <v>17991</v>
      </c>
      <c r="G836" s="46" t="s">
        <v>50584</v>
      </c>
      <c r="H836" s="48" t="s">
        <v>56716</v>
      </c>
      <c r="I836" s="48" t="s">
        <v>50564</v>
      </c>
      <c r="J836" s="48"/>
      <c r="K836" s="50"/>
      <c r="L836" s="48"/>
    </row>
    <row r="837" spans="1:12" s="37" customFormat="1" ht="11.25" x14ac:dyDescent="0.2">
      <c r="A837" s="45" t="s">
        <v>21811</v>
      </c>
      <c r="B837" s="45" t="s">
        <v>21813</v>
      </c>
      <c r="C837" s="51" t="s">
        <v>21815</v>
      </c>
      <c r="D837" s="51" t="s">
        <v>21814</v>
      </c>
      <c r="E837" s="45" t="s">
        <v>291</v>
      </c>
      <c r="F837" s="45" t="s">
        <v>50646</v>
      </c>
      <c r="G837" s="45" t="s">
        <v>50584</v>
      </c>
      <c r="H837" s="56"/>
      <c r="I837" s="56" t="s">
        <v>50564</v>
      </c>
      <c r="J837" s="56"/>
      <c r="K837" s="50"/>
      <c r="L837" s="56" t="s">
        <v>56716</v>
      </c>
    </row>
    <row r="838" spans="1:12" s="37" customFormat="1" ht="11.25" x14ac:dyDescent="0.2">
      <c r="A838" s="46" t="s">
        <v>508</v>
      </c>
      <c r="B838" s="46" t="s">
        <v>508</v>
      </c>
      <c r="C838" s="58" t="str">
        <f>"03858146"</f>
        <v>03858146</v>
      </c>
      <c r="D838" s="58" t="str">
        <f>"18791476"</f>
        <v>18791476</v>
      </c>
      <c r="E838" s="46" t="s">
        <v>221</v>
      </c>
      <c r="F838" s="46" t="s">
        <v>21771</v>
      </c>
      <c r="G838" s="46" t="s">
        <v>50584</v>
      </c>
      <c r="H838" s="48" t="s">
        <v>56716</v>
      </c>
      <c r="I838" s="48" t="s">
        <v>50564</v>
      </c>
      <c r="J838" s="48"/>
      <c r="K838" s="50" t="s">
        <v>56716</v>
      </c>
      <c r="L838" s="48" t="s">
        <v>56716</v>
      </c>
    </row>
    <row r="839" spans="1:12" s="37" customFormat="1" ht="11.25" x14ac:dyDescent="0.2">
      <c r="A839" s="46" t="s">
        <v>6935</v>
      </c>
      <c r="B839" s="46" t="s">
        <v>51202</v>
      </c>
      <c r="C839" s="58" t="str">
        <f>"10367128"</f>
        <v>10367128</v>
      </c>
      <c r="D839" s="58" t="str">
        <f>""</f>
        <v/>
      </c>
      <c r="E839" s="46" t="s">
        <v>6937</v>
      </c>
      <c r="F839" s="46" t="s">
        <v>20082</v>
      </c>
      <c r="G839" s="46" t="s">
        <v>50584</v>
      </c>
      <c r="H839" s="48" t="s">
        <v>56716</v>
      </c>
      <c r="I839" s="48" t="s">
        <v>50564</v>
      </c>
      <c r="J839" s="48"/>
      <c r="K839" s="50"/>
      <c r="L839" s="48"/>
    </row>
    <row r="840" spans="1:12" s="37" customFormat="1" ht="11.25" x14ac:dyDescent="0.2">
      <c r="A840" s="45" t="s">
        <v>21820</v>
      </c>
      <c r="B840" s="45" t="s">
        <v>21822</v>
      </c>
      <c r="C840" s="51" t="s">
        <v>21824</v>
      </c>
      <c r="D840" s="51"/>
      <c r="E840" s="45" t="s">
        <v>91</v>
      </c>
      <c r="F840" s="45" t="s">
        <v>18001</v>
      </c>
      <c r="G840" s="45" t="s">
        <v>50584</v>
      </c>
      <c r="H840" s="56"/>
      <c r="I840" s="56" t="s">
        <v>50564</v>
      </c>
      <c r="J840" s="56"/>
      <c r="K840" s="50"/>
      <c r="L840" s="56" t="s">
        <v>56716</v>
      </c>
    </row>
    <row r="841" spans="1:12" s="37" customFormat="1" ht="11.25" x14ac:dyDescent="0.2">
      <c r="A841" s="46" t="s">
        <v>293</v>
      </c>
      <c r="B841" s="46" t="s">
        <v>51203</v>
      </c>
      <c r="C841" s="58" t="str">
        <f>"00048380"</f>
        <v>00048380</v>
      </c>
      <c r="D841" s="58" t="str">
        <f>"14400960"</f>
        <v>14400960</v>
      </c>
      <c r="E841" s="46" t="s">
        <v>296</v>
      </c>
      <c r="F841" s="46" t="s">
        <v>20082</v>
      </c>
      <c r="G841" s="46" t="s">
        <v>50584</v>
      </c>
      <c r="H841" s="48" t="s">
        <v>56716</v>
      </c>
      <c r="I841" s="48" t="s">
        <v>50564</v>
      </c>
      <c r="J841" s="48"/>
      <c r="K841" s="50" t="s">
        <v>56716</v>
      </c>
      <c r="L841" s="48" t="s">
        <v>56716</v>
      </c>
    </row>
    <row r="842" spans="1:12" s="37" customFormat="1" ht="11.25" x14ac:dyDescent="0.2">
      <c r="A842" s="46" t="s">
        <v>17177</v>
      </c>
      <c r="B842" s="46" t="s">
        <v>51204</v>
      </c>
      <c r="C842" s="58" t="str">
        <f>"22027270"</f>
        <v>22027270</v>
      </c>
      <c r="D842" s="58" t="str">
        <f>""</f>
        <v/>
      </c>
      <c r="E842" s="46" t="s">
        <v>17179</v>
      </c>
      <c r="F842" s="46" t="s">
        <v>20082</v>
      </c>
      <c r="G842" s="46" t="s">
        <v>50584</v>
      </c>
      <c r="H842" s="48" t="s">
        <v>56716</v>
      </c>
      <c r="I842" s="48" t="s">
        <v>50564</v>
      </c>
      <c r="J842" s="48"/>
      <c r="K842" s="50"/>
      <c r="L842" s="48"/>
    </row>
    <row r="843" spans="1:12" s="37" customFormat="1" ht="11.25" x14ac:dyDescent="0.2">
      <c r="A843" s="45" t="s">
        <v>21831</v>
      </c>
      <c r="B843" s="45" t="s">
        <v>21833</v>
      </c>
      <c r="C843" s="51" t="s">
        <v>21836</v>
      </c>
      <c r="D843" s="51" t="s">
        <v>21835</v>
      </c>
      <c r="E843" s="45" t="s">
        <v>21837</v>
      </c>
      <c r="F843" s="45" t="s">
        <v>20082</v>
      </c>
      <c r="G843" s="45" t="s">
        <v>50584</v>
      </c>
      <c r="H843" s="56"/>
      <c r="I843" s="56" t="s">
        <v>50564</v>
      </c>
      <c r="J843" s="56"/>
      <c r="K843" s="50"/>
      <c r="L843" s="56" t="s">
        <v>56716</v>
      </c>
    </row>
    <row r="844" spans="1:12" s="37" customFormat="1" ht="11.25" x14ac:dyDescent="0.2">
      <c r="A844" s="46" t="s">
        <v>14500</v>
      </c>
      <c r="B844" s="46" t="s">
        <v>51205</v>
      </c>
      <c r="C844" s="58" t="str">
        <f>""</f>
        <v/>
      </c>
      <c r="D844" s="58" t="str">
        <f>"18361935"</f>
        <v>18361935</v>
      </c>
      <c r="E844" s="46" t="s">
        <v>14502</v>
      </c>
      <c r="F844" s="46" t="s">
        <v>20082</v>
      </c>
      <c r="G844" s="46" t="s">
        <v>50584</v>
      </c>
      <c r="H844" s="48" t="s">
        <v>56716</v>
      </c>
      <c r="I844" s="48" t="s">
        <v>50564</v>
      </c>
      <c r="J844" s="48"/>
      <c r="K844" s="50"/>
      <c r="L844" s="48"/>
    </row>
    <row r="845" spans="1:12" s="37" customFormat="1" ht="11.25" x14ac:dyDescent="0.2">
      <c r="A845" s="46" t="s">
        <v>8363</v>
      </c>
      <c r="B845" s="46" t="s">
        <v>51206</v>
      </c>
      <c r="C845" s="58" t="str">
        <f>"01589938"</f>
        <v>01589938</v>
      </c>
      <c r="D845" s="58" t="str">
        <f>"18795447"</f>
        <v>18795447</v>
      </c>
      <c r="E845" s="46" t="s">
        <v>18876</v>
      </c>
      <c r="F845" s="46" t="s">
        <v>18001</v>
      </c>
      <c r="G845" s="46" t="s">
        <v>50584</v>
      </c>
      <c r="H845" s="48" t="s">
        <v>56716</v>
      </c>
      <c r="I845" s="48" t="s">
        <v>50564</v>
      </c>
      <c r="J845" s="48" t="s">
        <v>56716</v>
      </c>
      <c r="K845" s="50" t="s">
        <v>56716</v>
      </c>
      <c r="L845" s="48" t="s">
        <v>56716</v>
      </c>
    </row>
    <row r="846" spans="1:12" s="37" customFormat="1" ht="11.25" x14ac:dyDescent="0.2">
      <c r="A846" s="46" t="s">
        <v>7469</v>
      </c>
      <c r="B846" s="46" t="s">
        <v>51207</v>
      </c>
      <c r="C846" s="58" t="str">
        <f>"10398562"</f>
        <v>10398562</v>
      </c>
      <c r="D846" s="58" t="str">
        <f>"14401665"</f>
        <v>14401665</v>
      </c>
      <c r="E846" s="46" t="s">
        <v>97</v>
      </c>
      <c r="F846" s="46" t="s">
        <v>50646</v>
      </c>
      <c r="G846" s="46" t="s">
        <v>50584</v>
      </c>
      <c r="H846" s="48" t="s">
        <v>56716</v>
      </c>
      <c r="I846" s="48" t="s">
        <v>50564</v>
      </c>
      <c r="J846" s="48"/>
      <c r="K846" s="50"/>
      <c r="L846" s="48" t="s">
        <v>56716</v>
      </c>
    </row>
    <row r="847" spans="1:12" s="37" customFormat="1" ht="11.25" x14ac:dyDescent="0.2">
      <c r="A847" s="46" t="s">
        <v>694</v>
      </c>
      <c r="B847" s="46" t="s">
        <v>51208</v>
      </c>
      <c r="C847" s="58" t="str">
        <f>"00048666"</f>
        <v>00048666</v>
      </c>
      <c r="D847" s="58" t="str">
        <f>"1479828X"</f>
        <v>1479828X</v>
      </c>
      <c r="E847" s="46" t="s">
        <v>296</v>
      </c>
      <c r="F847" s="46" t="s">
        <v>20082</v>
      </c>
      <c r="G847" s="46" t="s">
        <v>50584</v>
      </c>
      <c r="H847" s="48" t="s">
        <v>56716</v>
      </c>
      <c r="I847" s="48" t="s">
        <v>50564</v>
      </c>
      <c r="J847" s="48" t="s">
        <v>56716</v>
      </c>
      <c r="K847" s="50" t="s">
        <v>56716</v>
      </c>
      <c r="L847" s="48" t="s">
        <v>56716</v>
      </c>
    </row>
    <row r="848" spans="1:12" s="37" customFormat="1" ht="11.25" x14ac:dyDescent="0.2">
      <c r="A848" s="46" t="s">
        <v>549</v>
      </c>
      <c r="B848" s="46" t="s">
        <v>51209</v>
      </c>
      <c r="C848" s="58" t="str">
        <f>"00048674"</f>
        <v>00048674</v>
      </c>
      <c r="D848" s="58" t="str">
        <f>"14401614"</f>
        <v>14401614</v>
      </c>
      <c r="E848" s="46" t="s">
        <v>97</v>
      </c>
      <c r="F848" s="46" t="s">
        <v>50646</v>
      </c>
      <c r="G848" s="46" t="s">
        <v>50584</v>
      </c>
      <c r="H848" s="48" t="s">
        <v>56716</v>
      </c>
      <c r="I848" s="48" t="s">
        <v>50564</v>
      </c>
      <c r="J848" s="48"/>
      <c r="K848" s="50"/>
      <c r="L848" s="48" t="s">
        <v>56716</v>
      </c>
    </row>
    <row r="849" spans="1:12" s="37" customFormat="1" ht="11.25" x14ac:dyDescent="0.2">
      <c r="A849" s="45" t="s">
        <v>21858</v>
      </c>
      <c r="B849" s="45" t="s">
        <v>21860</v>
      </c>
      <c r="C849" s="51" t="s">
        <v>21863</v>
      </c>
      <c r="D849" s="51" t="s">
        <v>21862</v>
      </c>
      <c r="E849" s="45" t="s">
        <v>970</v>
      </c>
      <c r="F849" s="45" t="s">
        <v>20082</v>
      </c>
      <c r="G849" s="45" t="s">
        <v>50584</v>
      </c>
      <c r="H849" s="56"/>
      <c r="I849" s="56" t="s">
        <v>50564</v>
      </c>
      <c r="J849" s="56"/>
      <c r="K849" s="50"/>
      <c r="L849" s="56" t="s">
        <v>56716</v>
      </c>
    </row>
    <row r="850" spans="1:12" s="37" customFormat="1" ht="11.25" x14ac:dyDescent="0.2">
      <c r="A850" s="45" t="s">
        <v>21865</v>
      </c>
      <c r="B850" s="45" t="s">
        <v>21867</v>
      </c>
      <c r="C850" s="51" t="s">
        <v>21869</v>
      </c>
      <c r="D850" s="51"/>
      <c r="E850" s="45" t="s">
        <v>21870</v>
      </c>
      <c r="F850" s="45" t="s">
        <v>20082</v>
      </c>
      <c r="G850" s="45" t="s">
        <v>50584</v>
      </c>
      <c r="H850" s="56"/>
      <c r="I850" s="56" t="s">
        <v>50564</v>
      </c>
      <c r="J850" s="56"/>
      <c r="K850" s="50"/>
      <c r="L850" s="56" t="s">
        <v>56716</v>
      </c>
    </row>
    <row r="851" spans="1:12" s="37" customFormat="1" ht="11.25" x14ac:dyDescent="0.2">
      <c r="A851" s="45" t="s">
        <v>21872</v>
      </c>
      <c r="B851" s="45" t="s">
        <v>21874</v>
      </c>
      <c r="C851" s="51" t="s">
        <v>21877</v>
      </c>
      <c r="D851" s="51" t="s">
        <v>21876</v>
      </c>
      <c r="E851" s="45" t="s">
        <v>21878</v>
      </c>
      <c r="F851" s="45" t="s">
        <v>20082</v>
      </c>
      <c r="G851" s="45" t="s">
        <v>50584</v>
      </c>
      <c r="H851" s="56"/>
      <c r="I851" s="56" t="s">
        <v>50564</v>
      </c>
      <c r="J851" s="56"/>
      <c r="K851" s="50"/>
      <c r="L851" s="56" t="s">
        <v>56716</v>
      </c>
    </row>
    <row r="852" spans="1:12" s="37" customFormat="1" ht="11.25" x14ac:dyDescent="0.2">
      <c r="A852" s="45" t="s">
        <v>21881</v>
      </c>
      <c r="B852" s="45" t="s">
        <v>21883</v>
      </c>
      <c r="C852" s="51" t="s">
        <v>21886</v>
      </c>
      <c r="D852" s="51" t="s">
        <v>21885</v>
      </c>
      <c r="E852" s="45" t="s">
        <v>14618</v>
      </c>
      <c r="F852" s="45" t="s">
        <v>20082</v>
      </c>
      <c r="G852" s="45" t="s">
        <v>50584</v>
      </c>
      <c r="H852" s="56"/>
      <c r="I852" s="56" t="s">
        <v>50564</v>
      </c>
      <c r="J852" s="56"/>
      <c r="K852" s="50"/>
      <c r="L852" s="56" t="s">
        <v>56716</v>
      </c>
    </row>
    <row r="853" spans="1:12" s="37" customFormat="1" ht="11.25" x14ac:dyDescent="0.2">
      <c r="A853" s="45" t="s">
        <v>21888</v>
      </c>
      <c r="B853" s="45" t="s">
        <v>21890</v>
      </c>
      <c r="C853" s="51" t="s">
        <v>21892</v>
      </c>
      <c r="D853" s="51"/>
      <c r="E853" s="45" t="s">
        <v>21893</v>
      </c>
      <c r="F853" s="45" t="s">
        <v>20082</v>
      </c>
      <c r="G853" s="45" t="s">
        <v>50584</v>
      </c>
      <c r="H853" s="56"/>
      <c r="I853" s="56" t="s">
        <v>50564</v>
      </c>
      <c r="J853" s="56"/>
      <c r="K853" s="50"/>
      <c r="L853" s="56" t="s">
        <v>56716</v>
      </c>
    </row>
    <row r="854" spans="1:12" s="37" customFormat="1" ht="11.25" x14ac:dyDescent="0.2">
      <c r="A854" s="45" t="s">
        <v>21895</v>
      </c>
      <c r="B854" s="45" t="s">
        <v>21897</v>
      </c>
      <c r="C854" s="51" t="s">
        <v>21899</v>
      </c>
      <c r="D854" s="51" t="s">
        <v>21898</v>
      </c>
      <c r="E854" s="45" t="s">
        <v>21900</v>
      </c>
      <c r="F854" s="45" t="s">
        <v>20082</v>
      </c>
      <c r="G854" s="45" t="s">
        <v>50584</v>
      </c>
      <c r="H854" s="56"/>
      <c r="I854" s="56" t="s">
        <v>50564</v>
      </c>
      <c r="J854" s="56"/>
      <c r="K854" s="50"/>
      <c r="L854" s="56" t="s">
        <v>56716</v>
      </c>
    </row>
    <row r="855" spans="1:12" s="37" customFormat="1" ht="11.25" x14ac:dyDescent="0.2">
      <c r="A855" s="46" t="s">
        <v>307</v>
      </c>
      <c r="B855" s="46" t="s">
        <v>51210</v>
      </c>
      <c r="C855" s="58" t="str">
        <f>"00450618"</f>
        <v>00450618</v>
      </c>
      <c r="D855" s="58" t="str">
        <f>"1834562X"</f>
        <v>1834562X</v>
      </c>
      <c r="E855" s="46" t="s">
        <v>310</v>
      </c>
      <c r="F855" s="46" t="s">
        <v>50646</v>
      </c>
      <c r="G855" s="46" t="s">
        <v>50584</v>
      </c>
      <c r="H855" s="48" t="s">
        <v>56716</v>
      </c>
      <c r="I855" s="48" t="s">
        <v>50564</v>
      </c>
      <c r="J855" s="48"/>
      <c r="K855" s="50" t="s">
        <v>56716</v>
      </c>
      <c r="L855" s="48"/>
    </row>
    <row r="856" spans="1:12" s="37" customFormat="1" ht="11.25" x14ac:dyDescent="0.2">
      <c r="A856" s="46" t="s">
        <v>5760</v>
      </c>
      <c r="B856" s="46" t="s">
        <v>51211</v>
      </c>
      <c r="C856" s="58" t="str">
        <f>"10381643"</f>
        <v>10381643</v>
      </c>
      <c r="D856" s="58" t="str">
        <f>""</f>
        <v/>
      </c>
      <c r="E856" s="46" t="s">
        <v>5762</v>
      </c>
      <c r="F856" s="46" t="s">
        <v>20082</v>
      </c>
      <c r="G856" s="46" t="s">
        <v>50584</v>
      </c>
      <c r="H856" s="48" t="s">
        <v>56716</v>
      </c>
      <c r="I856" s="48" t="s">
        <v>50564</v>
      </c>
      <c r="J856" s="48"/>
      <c r="K856" s="50"/>
      <c r="L856" s="48"/>
    </row>
    <row r="857" spans="1:12" s="37" customFormat="1" ht="11.25" x14ac:dyDescent="0.2">
      <c r="A857" s="46" t="s">
        <v>385</v>
      </c>
      <c r="B857" s="46" t="s">
        <v>51212</v>
      </c>
      <c r="C857" s="58" t="str">
        <f>"03118002"</f>
        <v>03118002</v>
      </c>
      <c r="D857" s="58" t="str">
        <f>""</f>
        <v/>
      </c>
      <c r="E857" s="46" t="s">
        <v>387</v>
      </c>
      <c r="F857" s="46" t="s">
        <v>20082</v>
      </c>
      <c r="G857" s="46" t="s">
        <v>50584</v>
      </c>
      <c r="H857" s="48" t="s">
        <v>56716</v>
      </c>
      <c r="I857" s="48" t="s">
        <v>50564</v>
      </c>
      <c r="J857" s="48"/>
      <c r="K857" s="50"/>
      <c r="L857" s="48"/>
    </row>
    <row r="858" spans="1:12" s="37" customFormat="1" ht="11.25" x14ac:dyDescent="0.2">
      <c r="A858" s="46" t="s">
        <v>9216</v>
      </c>
      <c r="B858" s="46" t="s">
        <v>51213</v>
      </c>
      <c r="C858" s="58" t="str">
        <f>"14487527"</f>
        <v>14487527</v>
      </c>
      <c r="D858" s="58" t="str">
        <f>"18367399"</f>
        <v>18367399</v>
      </c>
      <c r="E858" s="46" t="s">
        <v>5124</v>
      </c>
      <c r="F858" s="46" t="s">
        <v>20082</v>
      </c>
      <c r="G858" s="46" t="s">
        <v>50584</v>
      </c>
      <c r="H858" s="48" t="s">
        <v>56716</v>
      </c>
      <c r="I858" s="48" t="s">
        <v>50564</v>
      </c>
      <c r="J858" s="48"/>
      <c r="K858" s="50"/>
      <c r="L858" s="48" t="s">
        <v>56716</v>
      </c>
    </row>
    <row r="859" spans="1:12" s="37" customFormat="1" ht="11.25" x14ac:dyDescent="0.2">
      <c r="A859" s="45" t="s">
        <v>56532</v>
      </c>
      <c r="B859" s="45" t="s">
        <v>56533</v>
      </c>
      <c r="C859" s="51" t="s">
        <v>56534</v>
      </c>
      <c r="D859" s="51"/>
      <c r="E859" s="45" t="s">
        <v>56535</v>
      </c>
      <c r="F859" s="45" t="s">
        <v>20082</v>
      </c>
      <c r="G859" s="45" t="s">
        <v>50584</v>
      </c>
      <c r="H859" s="56"/>
      <c r="I859" s="56" t="s">
        <v>50564</v>
      </c>
      <c r="J859" s="56"/>
      <c r="K859" s="50"/>
      <c r="L859" s="56" t="s">
        <v>56716</v>
      </c>
    </row>
    <row r="860" spans="1:12" s="37" customFormat="1" ht="11.25" x14ac:dyDescent="0.2">
      <c r="A860" s="45" t="s">
        <v>21933</v>
      </c>
      <c r="B860" s="45" t="s">
        <v>21935</v>
      </c>
      <c r="C860" s="51" t="s">
        <v>21938</v>
      </c>
      <c r="D860" s="51" t="s">
        <v>21937</v>
      </c>
      <c r="E860" s="45" t="s">
        <v>21146</v>
      </c>
      <c r="F860" s="45" t="s">
        <v>20082</v>
      </c>
      <c r="G860" s="45" t="s">
        <v>50584</v>
      </c>
      <c r="H860" s="56"/>
      <c r="I860" s="56" t="s">
        <v>50564</v>
      </c>
      <c r="J860" s="56"/>
      <c r="K860" s="50"/>
      <c r="L860" s="56" t="s">
        <v>56716</v>
      </c>
    </row>
    <row r="861" spans="1:12" s="37" customFormat="1" ht="11.25" x14ac:dyDescent="0.2">
      <c r="A861" s="45" t="s">
        <v>21940</v>
      </c>
      <c r="B861" s="45" t="s">
        <v>21942</v>
      </c>
      <c r="C861" s="51" t="s">
        <v>21943</v>
      </c>
      <c r="D861" s="51"/>
      <c r="E861" s="45" t="s">
        <v>21944</v>
      </c>
      <c r="F861" s="45" t="s">
        <v>20082</v>
      </c>
      <c r="G861" s="45" t="s">
        <v>50584</v>
      </c>
      <c r="H861" s="56"/>
      <c r="I861" s="56" t="s">
        <v>50564</v>
      </c>
      <c r="J861" s="56"/>
      <c r="K861" s="50"/>
      <c r="L861" s="56" t="s">
        <v>56716</v>
      </c>
    </row>
    <row r="862" spans="1:12" s="37" customFormat="1" ht="11.25" x14ac:dyDescent="0.2">
      <c r="A862" s="46" t="s">
        <v>6361</v>
      </c>
      <c r="B862" s="46" t="s">
        <v>51214</v>
      </c>
      <c r="C862" s="58" t="str">
        <f>"03128008"</f>
        <v>03128008</v>
      </c>
      <c r="D862" s="58" t="str">
        <f>""</f>
        <v/>
      </c>
      <c r="E862" s="46" t="s">
        <v>55900</v>
      </c>
      <c r="F862" s="46" t="s">
        <v>20082</v>
      </c>
      <c r="G862" s="46" t="s">
        <v>50584</v>
      </c>
      <c r="H862" s="48" t="s">
        <v>56716</v>
      </c>
      <c r="I862" s="48" t="s">
        <v>50564</v>
      </c>
      <c r="J862" s="48"/>
      <c r="K862" s="50"/>
      <c r="L862" s="48"/>
    </row>
    <row r="863" spans="1:12" s="37" customFormat="1" ht="11.25" x14ac:dyDescent="0.2">
      <c r="A863" s="45" t="s">
        <v>21946</v>
      </c>
      <c r="B863" s="45" t="s">
        <v>21948</v>
      </c>
      <c r="C863" s="51" t="s">
        <v>21951</v>
      </c>
      <c r="D863" s="51" t="s">
        <v>21950</v>
      </c>
      <c r="E863" s="45" t="s">
        <v>18377</v>
      </c>
      <c r="F863" s="45" t="s">
        <v>50646</v>
      </c>
      <c r="G863" s="45" t="s">
        <v>50584</v>
      </c>
      <c r="H863" s="56"/>
      <c r="I863" s="56" t="s">
        <v>50564</v>
      </c>
      <c r="J863" s="56"/>
      <c r="K863" s="50"/>
      <c r="L863" s="56" t="s">
        <v>56716</v>
      </c>
    </row>
    <row r="864" spans="1:12" s="37" customFormat="1" ht="11.25" x14ac:dyDescent="0.2">
      <c r="A864" s="46" t="s">
        <v>14299</v>
      </c>
      <c r="B864" s="46" t="s">
        <v>51215</v>
      </c>
      <c r="C864" s="58" t="str">
        <f>"19987773"</f>
        <v>19987773</v>
      </c>
      <c r="D864" s="58" t="str">
        <f>"19987781"</f>
        <v>19987781</v>
      </c>
      <c r="E864" s="46" t="s">
        <v>7866</v>
      </c>
      <c r="F864" s="46" t="s">
        <v>18288</v>
      </c>
      <c r="G864" s="46" t="s">
        <v>50593</v>
      </c>
      <c r="H864" s="48" t="s">
        <v>56716</v>
      </c>
      <c r="I864" s="48" t="s">
        <v>50564</v>
      </c>
      <c r="J864" s="48"/>
      <c r="K864" s="50"/>
      <c r="L864" s="48"/>
    </row>
    <row r="865" spans="1:12" s="37" customFormat="1" ht="11.25" x14ac:dyDescent="0.2">
      <c r="A865" s="46" t="s">
        <v>7887</v>
      </c>
      <c r="B865" s="46" t="s">
        <v>7887</v>
      </c>
      <c r="C865" s="58" t="str">
        <f>"13623613"</f>
        <v>13623613</v>
      </c>
      <c r="D865" s="58" t="str">
        <f>"14617005"</f>
        <v>14617005</v>
      </c>
      <c r="E865" s="46" t="s">
        <v>97</v>
      </c>
      <c r="F865" s="46" t="s">
        <v>50646</v>
      </c>
      <c r="G865" s="46" t="s">
        <v>50584</v>
      </c>
      <c r="H865" s="48" t="s">
        <v>56716</v>
      </c>
      <c r="I865" s="48" t="s">
        <v>50564</v>
      </c>
      <c r="J865" s="48" t="s">
        <v>56716</v>
      </c>
      <c r="K865" s="50"/>
      <c r="L865" s="48" t="s">
        <v>56716</v>
      </c>
    </row>
    <row r="866" spans="1:12" s="37" customFormat="1" ht="11.25" x14ac:dyDescent="0.2">
      <c r="A866" s="46" t="s">
        <v>12943</v>
      </c>
      <c r="B866" s="46" t="s">
        <v>51216</v>
      </c>
      <c r="C866" s="58" t="str">
        <f>"19393792"</f>
        <v>19393792</v>
      </c>
      <c r="D866" s="58" t="str">
        <f>"19393806"</f>
        <v>19393806</v>
      </c>
      <c r="E866" s="46" t="s">
        <v>517</v>
      </c>
      <c r="F866" s="46" t="s">
        <v>17759</v>
      </c>
      <c r="G866" s="46" t="s">
        <v>50584</v>
      </c>
      <c r="H866" s="48" t="s">
        <v>56716</v>
      </c>
      <c r="I866" s="48" t="s">
        <v>50564</v>
      </c>
      <c r="J866" s="48" t="s">
        <v>56716</v>
      </c>
      <c r="K866" s="50" t="s">
        <v>56716</v>
      </c>
      <c r="L866" s="48" t="s">
        <v>56716</v>
      </c>
    </row>
    <row r="867" spans="1:12" s="37" customFormat="1" ht="11.25" x14ac:dyDescent="0.2">
      <c r="A867" s="46" t="s">
        <v>15705</v>
      </c>
      <c r="B867" s="46" t="s">
        <v>51217</v>
      </c>
      <c r="C867" s="58" t="str">
        <f>"20900422"</f>
        <v>20900422</v>
      </c>
      <c r="D867" s="58" t="str">
        <f>"20900430"</f>
        <v>20900430</v>
      </c>
      <c r="E867" s="46" t="s">
        <v>1412</v>
      </c>
      <c r="F867" s="46" t="s">
        <v>17759</v>
      </c>
      <c r="G867" s="46" t="s">
        <v>50584</v>
      </c>
      <c r="H867" s="48" t="s">
        <v>56716</v>
      </c>
      <c r="I867" s="48" t="s">
        <v>50564</v>
      </c>
      <c r="J867" s="48" t="s">
        <v>56716</v>
      </c>
      <c r="K867" s="50"/>
      <c r="L867" s="48"/>
    </row>
    <row r="868" spans="1:12" s="37" customFormat="1" ht="11.25" x14ac:dyDescent="0.2">
      <c r="A868" s="46" t="s">
        <v>4441</v>
      </c>
      <c r="B868" s="46" t="s">
        <v>4441</v>
      </c>
      <c r="C868" s="58" t="str">
        <f>"08916934"</f>
        <v>08916934</v>
      </c>
      <c r="D868" s="58" t="str">
        <f>"1607842X"</f>
        <v>1607842X</v>
      </c>
      <c r="E868" s="46" t="s">
        <v>291</v>
      </c>
      <c r="F868" s="46" t="s">
        <v>50646</v>
      </c>
      <c r="G868" s="46" t="s">
        <v>50584</v>
      </c>
      <c r="H868" s="48" t="s">
        <v>56716</v>
      </c>
      <c r="I868" s="48" t="s">
        <v>50564</v>
      </c>
      <c r="J868" s="48"/>
      <c r="K868" s="50"/>
      <c r="L868" s="48" t="s">
        <v>56716</v>
      </c>
    </row>
    <row r="869" spans="1:12" s="37" customFormat="1" ht="11.25" x14ac:dyDescent="0.2">
      <c r="A869" s="46" t="s">
        <v>15220</v>
      </c>
      <c r="B869" s="46" t="s">
        <v>51218</v>
      </c>
      <c r="C869" s="58" t="str">
        <f>"20380305"</f>
        <v>20380305</v>
      </c>
      <c r="D869" s="58" t="str">
        <f>"20383274"</f>
        <v>20383274</v>
      </c>
      <c r="E869" s="46" t="s">
        <v>55895</v>
      </c>
      <c r="F869" s="46" t="s">
        <v>17991</v>
      </c>
      <c r="G869" s="46" t="s">
        <v>50584</v>
      </c>
      <c r="H869" s="48" t="s">
        <v>56716</v>
      </c>
      <c r="I869" s="48" t="s">
        <v>50564</v>
      </c>
      <c r="J869" s="48" t="s">
        <v>56716</v>
      </c>
      <c r="K869" s="50"/>
      <c r="L869" s="48"/>
    </row>
    <row r="870" spans="1:12" s="37" customFormat="1" ht="11.25" x14ac:dyDescent="0.2">
      <c r="A870" s="46" t="s">
        <v>9414</v>
      </c>
      <c r="B870" s="46" t="s">
        <v>51219</v>
      </c>
      <c r="C870" s="58" t="str">
        <f>"15689972"</f>
        <v>15689972</v>
      </c>
      <c r="D870" s="58" t="str">
        <f>"18730183"</f>
        <v>18730183</v>
      </c>
      <c r="E870" s="46" t="s">
        <v>91</v>
      </c>
      <c r="F870" s="46" t="s">
        <v>18001</v>
      </c>
      <c r="G870" s="46" t="s">
        <v>50584</v>
      </c>
      <c r="H870" s="48" t="s">
        <v>56716</v>
      </c>
      <c r="I870" s="48" t="s">
        <v>50564</v>
      </c>
      <c r="J870" s="48"/>
      <c r="K870" s="50" t="s">
        <v>56716</v>
      </c>
      <c r="L870" s="48" t="s">
        <v>56716</v>
      </c>
    </row>
    <row r="871" spans="1:12" s="37" customFormat="1" ht="11.25" x14ac:dyDescent="0.2">
      <c r="A871" s="46" t="s">
        <v>14608</v>
      </c>
      <c r="B871" s="46" t="s">
        <v>51220</v>
      </c>
      <c r="C871" s="58" t="str">
        <f>""</f>
        <v/>
      </c>
      <c r="D871" s="58" t="str">
        <f>"17594499"</f>
        <v>17594499</v>
      </c>
      <c r="E871" s="46" t="s">
        <v>2299</v>
      </c>
      <c r="F871" s="46" t="s">
        <v>50646</v>
      </c>
      <c r="G871" s="46" t="s">
        <v>50584</v>
      </c>
      <c r="H871" s="48" t="s">
        <v>56716</v>
      </c>
      <c r="I871" s="48" t="s">
        <v>50564</v>
      </c>
      <c r="J871" s="48" t="s">
        <v>56716</v>
      </c>
      <c r="K871" s="50"/>
      <c r="L871" s="48"/>
    </row>
    <row r="872" spans="1:12" s="37" customFormat="1" ht="11.25" x14ac:dyDescent="0.2">
      <c r="A872" s="46" t="s">
        <v>9538</v>
      </c>
      <c r="B872" s="46" t="s">
        <v>51221</v>
      </c>
      <c r="C872" s="58" t="str">
        <f>"14748665"</f>
        <v>14748665</v>
      </c>
      <c r="D872" s="58" t="str">
        <f>"14748673"</f>
        <v>14748673</v>
      </c>
      <c r="E872" s="46" t="s">
        <v>35</v>
      </c>
      <c r="F872" s="46" t="s">
        <v>50646</v>
      </c>
      <c r="G872" s="46" t="s">
        <v>50584</v>
      </c>
      <c r="H872" s="48" t="s">
        <v>56716</v>
      </c>
      <c r="I872" s="48" t="s">
        <v>50564</v>
      </c>
      <c r="J872" s="48"/>
      <c r="K872" s="50" t="s">
        <v>56716</v>
      </c>
      <c r="L872" s="48" t="s">
        <v>56716</v>
      </c>
    </row>
    <row r="873" spans="1:12" s="37" customFormat="1" ht="11.25" x14ac:dyDescent="0.2">
      <c r="A873" s="46" t="s">
        <v>8753</v>
      </c>
      <c r="B873" s="46" t="s">
        <v>51222</v>
      </c>
      <c r="C873" s="58" t="str">
        <f>"15660702"</f>
        <v>15660702</v>
      </c>
      <c r="D873" s="58" t="str">
        <f>"18727484"</f>
        <v>18727484</v>
      </c>
      <c r="E873" s="46" t="s">
        <v>91</v>
      </c>
      <c r="F873" s="46" t="s">
        <v>18001</v>
      </c>
      <c r="G873" s="46" t="s">
        <v>50584</v>
      </c>
      <c r="H873" s="48" t="s">
        <v>56716</v>
      </c>
      <c r="I873" s="48" t="s">
        <v>50564</v>
      </c>
      <c r="J873" s="48" t="s">
        <v>56716</v>
      </c>
      <c r="K873" s="50" t="s">
        <v>56716</v>
      </c>
      <c r="L873" s="48" t="s">
        <v>56716</v>
      </c>
    </row>
    <row r="874" spans="1:12" s="37" customFormat="1" ht="11.25" x14ac:dyDescent="0.2">
      <c r="A874" s="46" t="s">
        <v>11246</v>
      </c>
      <c r="B874" s="46" t="s">
        <v>11246</v>
      </c>
      <c r="C874" s="58" t="str">
        <f>"15548627"</f>
        <v>15548627</v>
      </c>
      <c r="D874" s="58" t="str">
        <f>"15548635"</f>
        <v>15548635</v>
      </c>
      <c r="E874" s="46" t="s">
        <v>669</v>
      </c>
      <c r="F874" s="46" t="s">
        <v>17759</v>
      </c>
      <c r="G874" s="46" t="s">
        <v>50584</v>
      </c>
      <c r="H874" s="48" t="s">
        <v>56716</v>
      </c>
      <c r="I874" s="48" t="s">
        <v>50564</v>
      </c>
      <c r="J874" s="48"/>
      <c r="K874" s="50"/>
      <c r="L874" s="48" t="s">
        <v>56716</v>
      </c>
    </row>
    <row r="875" spans="1:12" s="37" customFormat="1" ht="11.25" x14ac:dyDescent="0.2">
      <c r="A875" s="46" t="s">
        <v>15480</v>
      </c>
      <c r="B875" s="46" t="s">
        <v>51223</v>
      </c>
      <c r="C875" s="58" t="str">
        <f>"11343230"</f>
        <v>11343230</v>
      </c>
      <c r="D875" s="58" t="str">
        <f>""</f>
        <v/>
      </c>
      <c r="E875" s="46" t="s">
        <v>175</v>
      </c>
      <c r="F875" s="46" t="s">
        <v>18439</v>
      </c>
      <c r="G875" s="46" t="s">
        <v>50632</v>
      </c>
      <c r="H875" s="48" t="s">
        <v>56716</v>
      </c>
      <c r="I875" s="48" t="s">
        <v>50564</v>
      </c>
      <c r="J875" s="48"/>
      <c r="K875" s="50" t="s">
        <v>56716</v>
      </c>
      <c r="L875" s="48"/>
    </row>
    <row r="876" spans="1:12" s="37" customFormat="1" ht="11.25" x14ac:dyDescent="0.2">
      <c r="A876" s="45" t="s">
        <v>21984</v>
      </c>
      <c r="B876" s="45" t="s">
        <v>21986</v>
      </c>
      <c r="C876" s="51" t="s">
        <v>21988</v>
      </c>
      <c r="D876" s="51"/>
      <c r="E876" s="45" t="s">
        <v>21989</v>
      </c>
      <c r="F876" s="45" t="s">
        <v>50653</v>
      </c>
      <c r="G876" s="45" t="s">
        <v>56509</v>
      </c>
      <c r="H876" s="56"/>
      <c r="I876" s="56" t="s">
        <v>50564</v>
      </c>
      <c r="J876" s="56"/>
      <c r="K876" s="50"/>
      <c r="L876" s="56" t="s">
        <v>56716</v>
      </c>
    </row>
    <row r="877" spans="1:12" s="37" customFormat="1" ht="11.25" x14ac:dyDescent="0.2">
      <c r="A877" s="46" t="s">
        <v>13326</v>
      </c>
      <c r="B877" s="46" t="s">
        <v>51224</v>
      </c>
      <c r="C877" s="58" t="str">
        <f>"17581559"</f>
        <v>17581559</v>
      </c>
      <c r="D877" s="58" t="str">
        <f>""</f>
        <v/>
      </c>
      <c r="E877" s="46" t="s">
        <v>13328</v>
      </c>
      <c r="F877" s="46" t="s">
        <v>50646</v>
      </c>
      <c r="G877" s="46" t="s">
        <v>50584</v>
      </c>
      <c r="H877" s="48" t="s">
        <v>56716</v>
      </c>
      <c r="I877" s="48" t="s">
        <v>50564</v>
      </c>
      <c r="J877" s="48"/>
      <c r="K877" s="50"/>
      <c r="L877" s="48"/>
    </row>
    <row r="878" spans="1:12" s="37" customFormat="1" ht="11.25" x14ac:dyDescent="0.2">
      <c r="A878" s="45" t="s">
        <v>21992</v>
      </c>
      <c r="B878" s="45" t="s">
        <v>21994</v>
      </c>
      <c r="C878" s="51" t="s">
        <v>21995</v>
      </c>
      <c r="D878" s="51"/>
      <c r="E878" s="45" t="s">
        <v>21996</v>
      </c>
      <c r="F878" s="45" t="s">
        <v>17759</v>
      </c>
      <c r="G878" s="45" t="s">
        <v>50584</v>
      </c>
      <c r="H878" s="56"/>
      <c r="I878" s="56" t="s">
        <v>50564</v>
      </c>
      <c r="J878" s="56"/>
      <c r="K878" s="50"/>
      <c r="L878" s="56" t="s">
        <v>56716</v>
      </c>
    </row>
    <row r="879" spans="1:12" s="37" customFormat="1" ht="11.25" x14ac:dyDescent="0.2">
      <c r="A879" s="45" t="s">
        <v>21998</v>
      </c>
      <c r="B879" s="45" t="s">
        <v>22000</v>
      </c>
      <c r="C879" s="51" t="s">
        <v>22002</v>
      </c>
      <c r="D879" s="51" t="s">
        <v>22001</v>
      </c>
      <c r="E879" s="45" t="s">
        <v>291</v>
      </c>
      <c r="F879" s="45" t="s">
        <v>50646</v>
      </c>
      <c r="G879" s="45" t="s">
        <v>50594</v>
      </c>
      <c r="H879" s="56"/>
      <c r="I879" s="56" t="s">
        <v>50564</v>
      </c>
      <c r="J879" s="56"/>
      <c r="K879" s="50"/>
      <c r="L879" s="56" t="s">
        <v>56716</v>
      </c>
    </row>
    <row r="880" spans="1:12" s="37" customFormat="1" ht="11.25" x14ac:dyDescent="0.2">
      <c r="A880" s="45" t="s">
        <v>22004</v>
      </c>
      <c r="B880" s="45" t="s">
        <v>22006</v>
      </c>
      <c r="C880" s="51" t="s">
        <v>22008</v>
      </c>
      <c r="D880" s="51" t="s">
        <v>56536</v>
      </c>
      <c r="E880" s="45" t="s">
        <v>22009</v>
      </c>
      <c r="F880" s="45" t="s">
        <v>17759</v>
      </c>
      <c r="G880" s="45" t="s">
        <v>50584</v>
      </c>
      <c r="H880" s="56"/>
      <c r="I880" s="56" t="s">
        <v>50564</v>
      </c>
      <c r="J880" s="56"/>
      <c r="K880" s="50"/>
      <c r="L880" s="56" t="s">
        <v>56716</v>
      </c>
    </row>
    <row r="881" spans="1:12" s="37" customFormat="1" ht="11.25" x14ac:dyDescent="0.2">
      <c r="A881" s="46" t="s">
        <v>17515</v>
      </c>
      <c r="B881" s="46" t="s">
        <v>17515</v>
      </c>
      <c r="C881" s="58" t="str">
        <f>"22202749"</f>
        <v>22202749</v>
      </c>
      <c r="D881" s="58" t="str">
        <f>""</f>
        <v/>
      </c>
      <c r="E881" s="46" t="s">
        <v>17141</v>
      </c>
      <c r="F881" s="46" t="s">
        <v>50652</v>
      </c>
      <c r="G881" s="46" t="s">
        <v>50584</v>
      </c>
      <c r="H881" s="48" t="s">
        <v>56716</v>
      </c>
      <c r="I881" s="48" t="s">
        <v>50564</v>
      </c>
      <c r="J881" s="48"/>
      <c r="K881" s="50"/>
      <c r="L881" s="48"/>
    </row>
    <row r="882" spans="1:12" s="37" customFormat="1" ht="11.25" x14ac:dyDescent="0.2">
      <c r="A882" s="46" t="s">
        <v>14521</v>
      </c>
      <c r="B882" s="46" t="s">
        <v>51225</v>
      </c>
      <c r="C882" s="58" t="str">
        <f>"20082835"</f>
        <v>20082835</v>
      </c>
      <c r="D882" s="58" t="str">
        <f>"20084625"</f>
        <v>20084625</v>
      </c>
      <c r="E882" s="46" t="s">
        <v>12168</v>
      </c>
      <c r="F882" s="46" t="s">
        <v>18232</v>
      </c>
      <c r="G882" s="46" t="s">
        <v>50584</v>
      </c>
      <c r="H882" s="48" t="s">
        <v>56716</v>
      </c>
      <c r="I882" s="48" t="s">
        <v>50564</v>
      </c>
      <c r="J882" s="48"/>
      <c r="K882" s="50"/>
      <c r="L882" s="48"/>
    </row>
    <row r="883" spans="1:12" s="37" customFormat="1" ht="11.25" x14ac:dyDescent="0.2">
      <c r="A883" s="46" t="s">
        <v>16942</v>
      </c>
      <c r="B883" s="46" t="s">
        <v>51226</v>
      </c>
      <c r="C883" s="58" t="str">
        <f>"22287930"</f>
        <v>22287930</v>
      </c>
      <c r="D883" s="58" t="str">
        <f>"22287949"</f>
        <v>22287949</v>
      </c>
      <c r="E883" s="46" t="s">
        <v>14308</v>
      </c>
      <c r="F883" s="46" t="s">
        <v>18232</v>
      </c>
      <c r="G883" s="46" t="s">
        <v>50584</v>
      </c>
      <c r="H883" s="48" t="s">
        <v>56716</v>
      </c>
      <c r="I883" s="48" t="s">
        <v>50564</v>
      </c>
      <c r="J883" s="48"/>
      <c r="K883" s="50"/>
      <c r="L883" s="48"/>
    </row>
    <row r="884" spans="1:12" s="37" customFormat="1" ht="11.25" x14ac:dyDescent="0.2">
      <c r="A884" s="46" t="s">
        <v>9526</v>
      </c>
      <c r="B884" s="46" t="s">
        <v>51227</v>
      </c>
      <c r="C884" s="58" t="str">
        <f>"15227553"</f>
        <v>15227553</v>
      </c>
      <c r="D884" s="58" t="str">
        <f>""</f>
        <v/>
      </c>
      <c r="E884" s="46" t="s">
        <v>9528</v>
      </c>
      <c r="F884" s="46" t="s">
        <v>17759</v>
      </c>
      <c r="G884" s="46" t="s">
        <v>50584</v>
      </c>
      <c r="H884" s="48" t="s">
        <v>56716</v>
      </c>
      <c r="I884" s="48" t="s">
        <v>50564</v>
      </c>
      <c r="J884" s="48"/>
      <c r="K884" s="50"/>
      <c r="L884" s="48"/>
    </row>
    <row r="885" spans="1:12" s="37" customFormat="1" ht="11.25" x14ac:dyDescent="0.2">
      <c r="A885" s="46" t="s">
        <v>9121</v>
      </c>
      <c r="B885" s="46" t="s">
        <v>51228</v>
      </c>
      <c r="C885" s="58" t="str">
        <f>"00052523"</f>
        <v>00052523</v>
      </c>
      <c r="D885" s="58" t="str">
        <f>""</f>
        <v/>
      </c>
      <c r="E885" s="46" t="s">
        <v>9123</v>
      </c>
      <c r="F885" s="46" t="s">
        <v>50642</v>
      </c>
      <c r="G885" s="46" t="s">
        <v>50621</v>
      </c>
      <c r="H885" s="48" t="s">
        <v>56716</v>
      </c>
      <c r="I885" s="48" t="s">
        <v>50564</v>
      </c>
      <c r="J885" s="48"/>
      <c r="K885" s="50"/>
      <c r="L885" s="48"/>
    </row>
    <row r="886" spans="1:12" s="37" customFormat="1" ht="11.25" x14ac:dyDescent="0.2">
      <c r="A886" s="46" t="s">
        <v>13600</v>
      </c>
      <c r="B886" s="46" t="s">
        <v>51229</v>
      </c>
      <c r="C886" s="58" t="str">
        <f>"19941951"</f>
        <v>19941951</v>
      </c>
      <c r="D886" s="58" t="str">
        <f>""</f>
        <v/>
      </c>
      <c r="E886" s="46" t="s">
        <v>13602</v>
      </c>
      <c r="F886" s="46" t="s">
        <v>50642</v>
      </c>
      <c r="G886" s="46" t="s">
        <v>50576</v>
      </c>
      <c r="H886" s="48" t="s">
        <v>56716</v>
      </c>
      <c r="I886" s="48" t="s">
        <v>50564</v>
      </c>
      <c r="J886" s="48"/>
      <c r="K886" s="50"/>
      <c r="L886" s="48"/>
    </row>
    <row r="887" spans="1:12" s="37" customFormat="1" ht="11.25" x14ac:dyDescent="0.2">
      <c r="A887" s="45" t="s">
        <v>22011</v>
      </c>
      <c r="B887" s="45" t="s">
        <v>22013</v>
      </c>
      <c r="C887" s="51" t="s">
        <v>22015</v>
      </c>
      <c r="D887" s="51"/>
      <c r="E887" s="45" t="s">
        <v>22016</v>
      </c>
      <c r="F887" s="45" t="s">
        <v>22017</v>
      </c>
      <c r="G887" s="45" t="s">
        <v>50618</v>
      </c>
      <c r="H887" s="56"/>
      <c r="I887" s="56" t="s">
        <v>50564</v>
      </c>
      <c r="J887" s="56"/>
      <c r="K887" s="50"/>
      <c r="L887" s="56" t="s">
        <v>56716</v>
      </c>
    </row>
    <row r="888" spans="1:12" s="37" customFormat="1" ht="11.25" x14ac:dyDescent="0.2">
      <c r="A888" s="46" t="s">
        <v>15910</v>
      </c>
      <c r="B888" s="46" t="s">
        <v>15910</v>
      </c>
      <c r="C888" s="58" t="str">
        <f>"21597073"</f>
        <v>21597073</v>
      </c>
      <c r="D888" s="58" t="str">
        <f>"21597081"</f>
        <v>21597081</v>
      </c>
      <c r="E888" s="46" t="s">
        <v>669</v>
      </c>
      <c r="F888" s="46" t="s">
        <v>17759</v>
      </c>
      <c r="G888" s="46" t="s">
        <v>50584</v>
      </c>
      <c r="H888" s="48" t="s">
        <v>56716</v>
      </c>
      <c r="I888" s="48" t="s">
        <v>50564</v>
      </c>
      <c r="J888" s="48"/>
      <c r="K888" s="50"/>
      <c r="L888" s="48"/>
    </row>
    <row r="889" spans="1:12" s="37" customFormat="1" ht="11.25" x14ac:dyDescent="0.2">
      <c r="A889" s="46" t="s">
        <v>9171</v>
      </c>
      <c r="B889" s="46" t="s">
        <v>51230</v>
      </c>
      <c r="C889" s="58" t="str">
        <f>"16660390"</f>
        <v>16660390</v>
      </c>
      <c r="D889" s="58" t="str">
        <f>""</f>
        <v/>
      </c>
      <c r="E889" s="46" t="s">
        <v>9173</v>
      </c>
      <c r="F889" s="46" t="s">
        <v>18169</v>
      </c>
      <c r="G889" s="46" t="s">
        <v>50631</v>
      </c>
      <c r="H889" s="48" t="s">
        <v>56716</v>
      </c>
      <c r="I889" s="48" t="s">
        <v>50564</v>
      </c>
      <c r="J889" s="48"/>
      <c r="K889" s="50"/>
      <c r="L889" s="48"/>
    </row>
    <row r="890" spans="1:12" s="37" customFormat="1" ht="11.25" x14ac:dyDescent="0.2">
      <c r="A890" s="46" t="s">
        <v>5197</v>
      </c>
      <c r="B890" s="46" t="s">
        <v>51231</v>
      </c>
      <c r="C890" s="58" t="str">
        <f>"10128298"</f>
        <v>10128298</v>
      </c>
      <c r="D890" s="58" t="str">
        <f>""</f>
        <v/>
      </c>
      <c r="E890" s="46" t="s">
        <v>5197</v>
      </c>
      <c r="F890" s="46" t="s">
        <v>50643</v>
      </c>
      <c r="G890" s="46" t="s">
        <v>50584</v>
      </c>
      <c r="H890" s="48" t="s">
        <v>56716</v>
      </c>
      <c r="I890" s="48" t="s">
        <v>50564</v>
      </c>
      <c r="J890" s="48"/>
      <c r="K890" s="50"/>
      <c r="L890" s="48"/>
    </row>
    <row r="891" spans="1:12" s="37" customFormat="1" ht="11.25" x14ac:dyDescent="0.2">
      <c r="A891" s="46" t="s">
        <v>8328</v>
      </c>
      <c r="B891" s="46" t="s">
        <v>51232</v>
      </c>
      <c r="C891" s="58" t="str">
        <f>""</f>
        <v/>
      </c>
      <c r="D891" s="58" t="str">
        <f>"13110160"</f>
        <v>13110160</v>
      </c>
      <c r="E891" s="46" t="s">
        <v>1887</v>
      </c>
      <c r="F891" s="46" t="s">
        <v>18158</v>
      </c>
      <c r="G891" s="46" t="s">
        <v>50584</v>
      </c>
      <c r="H891" s="48" t="s">
        <v>56716</v>
      </c>
      <c r="I891" s="48" t="s">
        <v>50564</v>
      </c>
      <c r="J891" s="48"/>
      <c r="K891" s="50"/>
      <c r="L891" s="48"/>
    </row>
    <row r="892" spans="1:12" s="37" customFormat="1" ht="11.25" x14ac:dyDescent="0.2">
      <c r="A892" s="46" t="s">
        <v>15456</v>
      </c>
      <c r="B892" s="46" t="s">
        <v>51233</v>
      </c>
      <c r="C892" s="58" t="str">
        <f>"21463123"</f>
        <v>21463123</v>
      </c>
      <c r="D892" s="58" t="str">
        <f>"21463131"</f>
        <v>21463131</v>
      </c>
      <c r="E892" s="46" t="s">
        <v>6173</v>
      </c>
      <c r="F892" s="46" t="s">
        <v>18396</v>
      </c>
      <c r="G892" s="46" t="s">
        <v>50637</v>
      </c>
      <c r="H892" s="48" t="s">
        <v>56716</v>
      </c>
      <c r="I892" s="48" t="s">
        <v>50564</v>
      </c>
      <c r="J892" s="48"/>
      <c r="K892" s="50"/>
      <c r="L892" s="48"/>
    </row>
    <row r="893" spans="1:12" s="37" customFormat="1" ht="11.25" x14ac:dyDescent="0.2">
      <c r="A893" s="46" t="s">
        <v>15030</v>
      </c>
      <c r="B893" s="46" t="s">
        <v>51234</v>
      </c>
      <c r="C893" s="58" t="str">
        <f>"22234721"</f>
        <v>22234721</v>
      </c>
      <c r="D893" s="58" t="str">
        <f>"20760299"</f>
        <v>20760299</v>
      </c>
      <c r="E893" s="46" t="s">
        <v>15033</v>
      </c>
      <c r="F893" s="46" t="s">
        <v>22024</v>
      </c>
      <c r="G893" s="46" t="s">
        <v>50584</v>
      </c>
      <c r="H893" s="48" t="s">
        <v>56716</v>
      </c>
      <c r="I893" s="48" t="s">
        <v>50564</v>
      </c>
      <c r="J893" s="48"/>
      <c r="K893" s="50"/>
      <c r="L893" s="48"/>
    </row>
    <row r="894" spans="1:12" s="37" customFormat="1" ht="11.25" x14ac:dyDescent="0.2">
      <c r="A894" s="46" t="s">
        <v>5634</v>
      </c>
      <c r="B894" s="46" t="s">
        <v>51235</v>
      </c>
      <c r="C894" s="58" t="str">
        <f>"10184287"</f>
        <v>10184287</v>
      </c>
      <c r="D894" s="58" t="str">
        <f>""</f>
        <v/>
      </c>
      <c r="E894" s="46" t="s">
        <v>5636</v>
      </c>
      <c r="F894" s="46" t="s">
        <v>22024</v>
      </c>
      <c r="G894" s="46" t="s">
        <v>50584</v>
      </c>
      <c r="H894" s="48" t="s">
        <v>56716</v>
      </c>
      <c r="I894" s="48" t="s">
        <v>50564</v>
      </c>
      <c r="J894" s="48"/>
      <c r="K894" s="50"/>
      <c r="L894" s="48"/>
    </row>
    <row r="895" spans="1:12" s="37" customFormat="1" ht="11.25" x14ac:dyDescent="0.2">
      <c r="A895" s="46" t="s">
        <v>13269</v>
      </c>
      <c r="B895" s="46" t="s">
        <v>51236</v>
      </c>
      <c r="C895" s="58" t="str">
        <f>"1991007X"</f>
        <v>1991007X</v>
      </c>
      <c r="D895" s="58" t="str">
        <f>"19910088"</f>
        <v>19910088</v>
      </c>
      <c r="E895" s="46" t="s">
        <v>13272</v>
      </c>
      <c r="F895" s="46" t="s">
        <v>22024</v>
      </c>
      <c r="G895" s="46" t="s">
        <v>50584</v>
      </c>
      <c r="H895" s="48" t="s">
        <v>56716</v>
      </c>
      <c r="I895" s="48" t="s">
        <v>50564</v>
      </c>
      <c r="J895" s="48"/>
      <c r="K895" s="50"/>
      <c r="L895" s="48"/>
    </row>
    <row r="896" spans="1:12" s="37" customFormat="1" ht="11.25" x14ac:dyDescent="0.2">
      <c r="A896" s="46" t="s">
        <v>882</v>
      </c>
      <c r="B896" s="46" t="s">
        <v>51237</v>
      </c>
      <c r="C896" s="58" t="str">
        <f>"03779238"</f>
        <v>03779238</v>
      </c>
      <c r="D896" s="58" t="str">
        <f>""</f>
        <v/>
      </c>
      <c r="E896" s="46" t="s">
        <v>884</v>
      </c>
      <c r="F896" s="46" t="s">
        <v>22024</v>
      </c>
      <c r="G896" s="46" t="s">
        <v>50584</v>
      </c>
      <c r="H896" s="48" t="s">
        <v>56716</v>
      </c>
      <c r="I896" s="48" t="s">
        <v>50564</v>
      </c>
      <c r="J896" s="48"/>
      <c r="K896" s="50"/>
      <c r="L896" s="48" t="s">
        <v>56716</v>
      </c>
    </row>
    <row r="897" spans="1:12" s="37" customFormat="1" ht="11.25" x14ac:dyDescent="0.2">
      <c r="A897" s="46" t="s">
        <v>5270</v>
      </c>
      <c r="B897" s="46" t="s">
        <v>51238</v>
      </c>
      <c r="C897" s="58" t="str">
        <f>"10150889"</f>
        <v>10150889</v>
      </c>
      <c r="D897" s="58" t="str">
        <f>""</f>
        <v/>
      </c>
      <c r="E897" s="46" t="s">
        <v>5272</v>
      </c>
      <c r="F897" s="46" t="s">
        <v>22024</v>
      </c>
      <c r="G897" s="46" t="s">
        <v>50584</v>
      </c>
      <c r="H897" s="48" t="s">
        <v>56716</v>
      </c>
      <c r="I897" s="48" t="s">
        <v>50564</v>
      </c>
      <c r="J897" s="48"/>
      <c r="K897" s="50"/>
      <c r="L897" s="48"/>
    </row>
    <row r="898" spans="1:12" s="37" customFormat="1" ht="11.25" x14ac:dyDescent="0.2">
      <c r="A898" s="46" t="s">
        <v>50678</v>
      </c>
      <c r="B898" s="46" t="s">
        <v>51239</v>
      </c>
      <c r="C898" s="58" t="str">
        <f>"2168023X"</f>
        <v>2168023X</v>
      </c>
      <c r="D898" s="58" t="str">
        <f>"21680248"</f>
        <v>21680248</v>
      </c>
      <c r="E898" s="46" t="s">
        <v>4337</v>
      </c>
      <c r="F898" s="46" t="s">
        <v>17759</v>
      </c>
      <c r="G898" s="46" t="s">
        <v>50584</v>
      </c>
      <c r="H898" s="48" t="s">
        <v>56716</v>
      </c>
      <c r="I898" s="48" t="s">
        <v>50564</v>
      </c>
      <c r="J898" s="48"/>
      <c r="K898" s="50"/>
      <c r="L898" s="48"/>
    </row>
    <row r="899" spans="1:12" s="37" customFormat="1" ht="11.25" x14ac:dyDescent="0.2">
      <c r="A899" s="46" t="s">
        <v>15360</v>
      </c>
      <c r="B899" s="46" t="s">
        <v>15360</v>
      </c>
      <c r="C899" s="58" t="str">
        <f>"22105336"</f>
        <v>22105336</v>
      </c>
      <c r="D899" s="58" t="str">
        <f>""</f>
        <v/>
      </c>
      <c r="E899" s="46" t="s">
        <v>6159</v>
      </c>
      <c r="F899" s="46" t="s">
        <v>18158</v>
      </c>
      <c r="G899" s="46" t="s">
        <v>50584</v>
      </c>
      <c r="H899" s="48" t="s">
        <v>56716</v>
      </c>
      <c r="I899" s="48" t="s">
        <v>50564</v>
      </c>
      <c r="J899" s="48" t="s">
        <v>56716</v>
      </c>
      <c r="K899" s="50" t="s">
        <v>56716</v>
      </c>
      <c r="L899" s="48"/>
    </row>
    <row r="900" spans="1:12" s="37" customFormat="1" ht="11.25" x14ac:dyDescent="0.2">
      <c r="A900" s="46" t="s">
        <v>15919</v>
      </c>
      <c r="B900" s="46" t="s">
        <v>51240</v>
      </c>
      <c r="C900" s="58" t="str">
        <f>"2008126X"</f>
        <v>2008126X</v>
      </c>
      <c r="D900" s="58" t="str">
        <f>""</f>
        <v/>
      </c>
      <c r="E900" s="46" t="s">
        <v>15921</v>
      </c>
      <c r="F900" s="46" t="s">
        <v>18232</v>
      </c>
      <c r="G900" s="46" t="s">
        <v>50584</v>
      </c>
      <c r="H900" s="48" t="s">
        <v>56716</v>
      </c>
      <c r="I900" s="48" t="s">
        <v>50564</v>
      </c>
      <c r="J900" s="48"/>
      <c r="K900" s="50"/>
      <c r="L900" s="48"/>
    </row>
    <row r="901" spans="1:12" s="37" customFormat="1" ht="11.25" x14ac:dyDescent="0.2">
      <c r="A901" s="46" t="s">
        <v>10172</v>
      </c>
      <c r="B901" s="46" t="s">
        <v>51241</v>
      </c>
      <c r="C901" s="58" t="str">
        <f>"17427835"</f>
        <v>17427835</v>
      </c>
      <c r="D901" s="58" t="str">
        <f>"17427843"</f>
        <v>17427843</v>
      </c>
      <c r="E901" s="46" t="s">
        <v>35</v>
      </c>
      <c r="F901" s="46" t="s">
        <v>50646</v>
      </c>
      <c r="G901" s="46" t="s">
        <v>50584</v>
      </c>
      <c r="H901" s="48" t="s">
        <v>56716</v>
      </c>
      <c r="I901" s="48" t="s">
        <v>50564</v>
      </c>
      <c r="J901" s="48" t="s">
        <v>56716</v>
      </c>
      <c r="K901" s="50" t="s">
        <v>56716</v>
      </c>
      <c r="L901" s="48" t="s">
        <v>56716</v>
      </c>
    </row>
    <row r="902" spans="1:12" s="37" customFormat="1" ht="11.25" x14ac:dyDescent="0.2">
      <c r="A902" s="46" t="s">
        <v>909</v>
      </c>
      <c r="B902" s="46" t="s">
        <v>51242</v>
      </c>
      <c r="C902" s="58" t="str">
        <f>"03008428"</f>
        <v>03008428</v>
      </c>
      <c r="D902" s="58" t="str">
        <f>"14351803"</f>
        <v>14351803</v>
      </c>
      <c r="E902" s="46" t="s">
        <v>55961</v>
      </c>
      <c r="F902" s="46" t="s">
        <v>18158</v>
      </c>
      <c r="G902" s="46" t="s">
        <v>50584</v>
      </c>
      <c r="H902" s="48" t="s">
        <v>56716</v>
      </c>
      <c r="I902" s="48" t="s">
        <v>50564</v>
      </c>
      <c r="J902" s="48"/>
      <c r="K902" s="50"/>
      <c r="L902" s="48" t="s">
        <v>56716</v>
      </c>
    </row>
    <row r="903" spans="1:12" s="37" customFormat="1" ht="11.25" x14ac:dyDescent="0.2">
      <c r="A903" s="46" t="s">
        <v>17384</v>
      </c>
      <c r="B903" s="46" t="s">
        <v>51243</v>
      </c>
      <c r="C903" s="58" t="str">
        <f>"22146474"</f>
        <v>22146474</v>
      </c>
      <c r="D903" s="58" t="str">
        <f>""</f>
        <v/>
      </c>
      <c r="E903" s="46" t="s">
        <v>91</v>
      </c>
      <c r="F903" s="46" t="s">
        <v>18001</v>
      </c>
      <c r="G903" s="46" t="s">
        <v>50584</v>
      </c>
      <c r="H903" s="48" t="s">
        <v>56716</v>
      </c>
      <c r="I903" s="48" t="s">
        <v>50564</v>
      </c>
      <c r="J903" s="48" t="s">
        <v>56716</v>
      </c>
      <c r="K903" s="50"/>
      <c r="L903" s="48"/>
    </row>
    <row r="904" spans="1:12" s="37" customFormat="1" ht="11.25" x14ac:dyDescent="0.2">
      <c r="A904" s="45" t="s">
        <v>22036</v>
      </c>
      <c r="B904" s="45" t="s">
        <v>22038</v>
      </c>
      <c r="C904" s="51" t="s">
        <v>22039</v>
      </c>
      <c r="D904" s="51"/>
      <c r="E904" s="45" t="s">
        <v>22040</v>
      </c>
      <c r="F904" s="45" t="s">
        <v>17759</v>
      </c>
      <c r="G904" s="45" t="s">
        <v>50584</v>
      </c>
      <c r="H904" s="56"/>
      <c r="I904" s="56" t="s">
        <v>50564</v>
      </c>
      <c r="J904" s="56"/>
      <c r="K904" s="50"/>
      <c r="L904" s="56" t="s">
        <v>56716</v>
      </c>
    </row>
    <row r="905" spans="1:12" s="37" customFormat="1" ht="11.25" x14ac:dyDescent="0.2">
      <c r="A905" s="46" t="s">
        <v>764</v>
      </c>
      <c r="B905" s="46" t="s">
        <v>51244</v>
      </c>
      <c r="C905" s="58" t="str">
        <f>"00018244"</f>
        <v>00018244</v>
      </c>
      <c r="D905" s="58" t="str">
        <f>"15733297"</f>
        <v>15733297</v>
      </c>
      <c r="E905" s="46" t="s">
        <v>56305</v>
      </c>
      <c r="F905" s="46" t="s">
        <v>17759</v>
      </c>
      <c r="G905" s="46" t="s">
        <v>50584</v>
      </c>
      <c r="H905" s="48" t="s">
        <v>56716</v>
      </c>
      <c r="I905" s="48" t="s">
        <v>50564</v>
      </c>
      <c r="J905" s="48"/>
      <c r="K905" s="50" t="s">
        <v>56716</v>
      </c>
      <c r="L905" s="48" t="s">
        <v>56716</v>
      </c>
    </row>
    <row r="906" spans="1:12" s="37" customFormat="1" ht="11.25" x14ac:dyDescent="0.2">
      <c r="A906" s="45" t="s">
        <v>22048</v>
      </c>
      <c r="B906" s="45" t="s">
        <v>22050</v>
      </c>
      <c r="C906" s="51" t="s">
        <v>22052</v>
      </c>
      <c r="D906" s="51" t="s">
        <v>22051</v>
      </c>
      <c r="E906" s="45" t="s">
        <v>19447</v>
      </c>
      <c r="F906" s="45" t="s">
        <v>17759</v>
      </c>
      <c r="G906" s="45" t="s">
        <v>50584</v>
      </c>
      <c r="H906" s="56"/>
      <c r="I906" s="56" t="s">
        <v>50564</v>
      </c>
      <c r="J906" s="56"/>
      <c r="K906" s="50"/>
      <c r="L906" s="56" t="s">
        <v>56716</v>
      </c>
    </row>
    <row r="907" spans="1:12" s="37" customFormat="1" ht="11.25" x14ac:dyDescent="0.2">
      <c r="A907" s="45" t="s">
        <v>22054</v>
      </c>
      <c r="B907" s="45" t="s">
        <v>22056</v>
      </c>
      <c r="C907" s="51" t="s">
        <v>22059</v>
      </c>
      <c r="D907" s="51" t="s">
        <v>22058</v>
      </c>
      <c r="E907" s="45" t="s">
        <v>17783</v>
      </c>
      <c r="F907" s="45" t="s">
        <v>17759</v>
      </c>
      <c r="G907" s="45" t="s">
        <v>50584</v>
      </c>
      <c r="H907" s="56"/>
      <c r="I907" s="56" t="s">
        <v>50564</v>
      </c>
      <c r="J907" s="56"/>
      <c r="K907" s="50"/>
      <c r="L907" s="56" t="s">
        <v>56716</v>
      </c>
    </row>
    <row r="908" spans="1:12" s="37" customFormat="1" ht="11.25" x14ac:dyDescent="0.2">
      <c r="A908" s="46" t="s">
        <v>767</v>
      </c>
      <c r="B908" s="46" t="s">
        <v>51245</v>
      </c>
      <c r="C908" s="58" t="str">
        <f>"00057894"</f>
        <v>00057894</v>
      </c>
      <c r="D908" s="58" t="str">
        <f>"18781888"</f>
        <v>18781888</v>
      </c>
      <c r="E908" s="46" t="s">
        <v>272</v>
      </c>
      <c r="F908" s="46" t="s">
        <v>17759</v>
      </c>
      <c r="G908" s="46" t="s">
        <v>50584</v>
      </c>
      <c r="H908" s="48" t="s">
        <v>56716</v>
      </c>
      <c r="I908" s="48" t="s">
        <v>50564</v>
      </c>
      <c r="J908" s="48"/>
      <c r="K908" s="50" t="s">
        <v>56716</v>
      </c>
      <c r="L908" s="48" t="s">
        <v>56716</v>
      </c>
    </row>
    <row r="909" spans="1:12" s="37" customFormat="1" ht="11.25" x14ac:dyDescent="0.2">
      <c r="A909" s="46" t="s">
        <v>11030</v>
      </c>
      <c r="B909" s="46" t="s">
        <v>51246</v>
      </c>
      <c r="C909" s="58" t="str">
        <f>""</f>
        <v/>
      </c>
      <c r="D909" s="58" t="str">
        <f>"17449081"</f>
        <v>17449081</v>
      </c>
      <c r="E909" s="46" t="s">
        <v>2299</v>
      </c>
      <c r="F909" s="46" t="s">
        <v>50646</v>
      </c>
      <c r="G909" s="46" t="s">
        <v>50584</v>
      </c>
      <c r="H909" s="48" t="s">
        <v>56716</v>
      </c>
      <c r="I909" s="48" t="s">
        <v>50564</v>
      </c>
      <c r="J909" s="48" t="s">
        <v>56716</v>
      </c>
      <c r="K909" s="50" t="s">
        <v>56716</v>
      </c>
      <c r="L909" s="48" t="s">
        <v>56716</v>
      </c>
    </row>
    <row r="910" spans="1:12" s="37" customFormat="1" ht="11.25" x14ac:dyDescent="0.2">
      <c r="A910" s="46" t="s">
        <v>721</v>
      </c>
      <c r="B910" s="46" t="s">
        <v>51247</v>
      </c>
      <c r="C910" s="58" t="str">
        <f>"0140525X"</f>
        <v>0140525X</v>
      </c>
      <c r="D910" s="58" t="str">
        <f>"14691825"</f>
        <v>14691825</v>
      </c>
      <c r="E910" s="46" t="s">
        <v>724</v>
      </c>
      <c r="F910" s="46" t="s">
        <v>50646</v>
      </c>
      <c r="G910" s="46" t="s">
        <v>50584</v>
      </c>
      <c r="H910" s="48" t="s">
        <v>56716</v>
      </c>
      <c r="I910" s="48" t="s">
        <v>50564</v>
      </c>
      <c r="J910" s="48"/>
      <c r="K910" s="50" t="s">
        <v>56716</v>
      </c>
      <c r="L910" s="48" t="s">
        <v>56716</v>
      </c>
    </row>
    <row r="911" spans="1:12" s="37" customFormat="1" ht="11.25" x14ac:dyDescent="0.2">
      <c r="A911" s="45" t="s">
        <v>22079</v>
      </c>
      <c r="B911" s="45" t="s">
        <v>22081</v>
      </c>
      <c r="C911" s="51" t="s">
        <v>22084</v>
      </c>
      <c r="D911" s="51" t="s">
        <v>22083</v>
      </c>
      <c r="E911" s="45" t="s">
        <v>22085</v>
      </c>
      <c r="F911" s="45" t="s">
        <v>17759</v>
      </c>
      <c r="G911" s="45" t="s">
        <v>50584</v>
      </c>
      <c r="H911" s="56"/>
      <c r="I911" s="56" t="s">
        <v>50564</v>
      </c>
      <c r="J911" s="56"/>
      <c r="K911" s="50"/>
      <c r="L911" s="56" t="s">
        <v>56716</v>
      </c>
    </row>
    <row r="912" spans="1:12" s="37" customFormat="1" ht="11.25" x14ac:dyDescent="0.2">
      <c r="A912" s="46" t="s">
        <v>4635</v>
      </c>
      <c r="B912" s="46" t="s">
        <v>51248</v>
      </c>
      <c r="C912" s="58" t="str">
        <f>"08964289"</f>
        <v>08964289</v>
      </c>
      <c r="D912" s="58" t="str">
        <f>"19404026"</f>
        <v>19404026</v>
      </c>
      <c r="E912" s="46" t="s">
        <v>689</v>
      </c>
      <c r="F912" s="46" t="s">
        <v>17759</v>
      </c>
      <c r="G912" s="46" t="s">
        <v>50584</v>
      </c>
      <c r="H912" s="48" t="s">
        <v>56716</v>
      </c>
      <c r="I912" s="48" t="s">
        <v>50564</v>
      </c>
      <c r="J912" s="48"/>
      <c r="K912" s="50" t="s">
        <v>56716</v>
      </c>
      <c r="L912" s="48" t="s">
        <v>56716</v>
      </c>
    </row>
    <row r="913" spans="1:12" s="37" customFormat="1" ht="11.25" x14ac:dyDescent="0.2">
      <c r="A913" s="46" t="s">
        <v>758</v>
      </c>
      <c r="B913" s="46" t="s">
        <v>51249</v>
      </c>
      <c r="C913" s="58" t="str">
        <f>"07357044"</f>
        <v>07357044</v>
      </c>
      <c r="D913" s="58" t="str">
        <f>"19390084"</f>
        <v>19390084</v>
      </c>
      <c r="E913" s="46" t="s">
        <v>356</v>
      </c>
      <c r="F913" s="46" t="s">
        <v>17759</v>
      </c>
      <c r="G913" s="46" t="s">
        <v>50584</v>
      </c>
      <c r="H913" s="48" t="s">
        <v>56716</v>
      </c>
      <c r="I913" s="48" t="s">
        <v>50564</v>
      </c>
      <c r="J913" s="48"/>
      <c r="K913" s="50" t="s">
        <v>56716</v>
      </c>
      <c r="L913" s="48" t="s">
        <v>56716</v>
      </c>
    </row>
    <row r="914" spans="1:12" s="37" customFormat="1" ht="11.25" x14ac:dyDescent="0.2">
      <c r="A914" s="45" t="s">
        <v>22098</v>
      </c>
      <c r="B914" s="45" t="s">
        <v>22100</v>
      </c>
      <c r="C914" s="51" t="s">
        <v>22102</v>
      </c>
      <c r="D914" s="51" t="s">
        <v>22101</v>
      </c>
      <c r="E914" s="45" t="s">
        <v>22103</v>
      </c>
      <c r="F914" s="45" t="s">
        <v>17759</v>
      </c>
      <c r="G914" s="45" t="s">
        <v>50584</v>
      </c>
      <c r="H914" s="56"/>
      <c r="I914" s="56" t="s">
        <v>50564</v>
      </c>
      <c r="J914" s="56"/>
      <c r="K914" s="50"/>
      <c r="L914" s="56" t="s">
        <v>56716</v>
      </c>
    </row>
    <row r="915" spans="1:12" s="37" customFormat="1" ht="11.25" x14ac:dyDescent="0.2">
      <c r="A915" s="45" t="s">
        <v>22106</v>
      </c>
      <c r="B915" s="45" t="s">
        <v>22108</v>
      </c>
      <c r="C915" s="51" t="s">
        <v>22110</v>
      </c>
      <c r="D915" s="51" t="s">
        <v>22109</v>
      </c>
      <c r="E915" s="45" t="s">
        <v>689</v>
      </c>
      <c r="F915" s="45" t="s">
        <v>50646</v>
      </c>
      <c r="G915" s="45" t="s">
        <v>50584</v>
      </c>
      <c r="H915" s="56"/>
      <c r="I915" s="56" t="s">
        <v>50564</v>
      </c>
      <c r="J915" s="56"/>
      <c r="K915" s="50"/>
      <c r="L915" s="56" t="s">
        <v>56716</v>
      </c>
    </row>
    <row r="916" spans="1:12" s="37" customFormat="1" ht="11.25" x14ac:dyDescent="0.2">
      <c r="A916" s="46" t="s">
        <v>755</v>
      </c>
      <c r="B916" s="46" t="s">
        <v>51250</v>
      </c>
      <c r="C916" s="58" t="str">
        <f>"08134839"</f>
        <v>08134839</v>
      </c>
      <c r="D916" s="58" t="str">
        <f>"20497768"</f>
        <v>20497768</v>
      </c>
      <c r="E916" s="46" t="s">
        <v>724</v>
      </c>
      <c r="F916" s="46" t="s">
        <v>50646</v>
      </c>
      <c r="G916" s="46" t="s">
        <v>50584</v>
      </c>
      <c r="H916" s="48" t="s">
        <v>56716</v>
      </c>
      <c r="I916" s="48" t="s">
        <v>50564</v>
      </c>
      <c r="J916" s="48"/>
      <c r="K916" s="50"/>
      <c r="L916" s="48"/>
    </row>
    <row r="917" spans="1:12" s="37" customFormat="1" ht="11.25" x14ac:dyDescent="0.2">
      <c r="A917" s="46" t="s">
        <v>931</v>
      </c>
      <c r="B917" s="46" t="s">
        <v>51251</v>
      </c>
      <c r="C917" s="58" t="str">
        <f>"00057967"</f>
        <v>00057967</v>
      </c>
      <c r="D917" s="58" t="str">
        <f>"1873622X"</f>
        <v>1873622X</v>
      </c>
      <c r="E917" s="46" t="s">
        <v>155</v>
      </c>
      <c r="F917" s="46" t="s">
        <v>50646</v>
      </c>
      <c r="G917" s="46" t="s">
        <v>50584</v>
      </c>
      <c r="H917" s="48" t="s">
        <v>56716</v>
      </c>
      <c r="I917" s="48" t="s">
        <v>50564</v>
      </c>
      <c r="J917" s="48"/>
      <c r="K917" s="50"/>
      <c r="L917" s="48" t="s">
        <v>56716</v>
      </c>
    </row>
    <row r="918" spans="1:12" s="37" customFormat="1" ht="11.25" x14ac:dyDescent="0.2">
      <c r="A918" s="45" t="s">
        <v>22118</v>
      </c>
      <c r="B918" s="45" t="s">
        <v>22120</v>
      </c>
      <c r="C918" s="51" t="s">
        <v>22123</v>
      </c>
      <c r="D918" s="51" t="s">
        <v>22122</v>
      </c>
      <c r="E918" s="45" t="s">
        <v>724</v>
      </c>
      <c r="F918" s="45" t="s">
        <v>17759</v>
      </c>
      <c r="G918" s="45" t="s">
        <v>50584</v>
      </c>
      <c r="H918" s="56"/>
      <c r="I918" s="56" t="s">
        <v>50564</v>
      </c>
      <c r="J918" s="56"/>
      <c r="K918" s="50"/>
      <c r="L918" s="56" t="s">
        <v>56716</v>
      </c>
    </row>
    <row r="919" spans="1:12" s="37" customFormat="1" ht="11.25" x14ac:dyDescent="0.2">
      <c r="A919" s="46" t="s">
        <v>718</v>
      </c>
      <c r="B919" s="46" t="s">
        <v>51252</v>
      </c>
      <c r="C919" s="58" t="str">
        <f>"01664328"</f>
        <v>01664328</v>
      </c>
      <c r="D919" s="58" t="str">
        <f>"18727549"</f>
        <v>18727549</v>
      </c>
      <c r="E919" s="46" t="s">
        <v>91</v>
      </c>
      <c r="F919" s="46" t="s">
        <v>18001</v>
      </c>
      <c r="G919" s="46" t="s">
        <v>50584</v>
      </c>
      <c r="H919" s="48" t="s">
        <v>56716</v>
      </c>
      <c r="I919" s="48" t="s">
        <v>50564</v>
      </c>
      <c r="J919" s="48" t="s">
        <v>56716</v>
      </c>
      <c r="K919" s="50" t="s">
        <v>56716</v>
      </c>
      <c r="L919" s="48" t="s">
        <v>56716</v>
      </c>
    </row>
    <row r="920" spans="1:12" s="37" customFormat="1" ht="11.25" x14ac:dyDescent="0.2">
      <c r="A920" s="46" t="s">
        <v>5744</v>
      </c>
      <c r="B920" s="46" t="s">
        <v>51253</v>
      </c>
      <c r="C920" s="58" t="str">
        <f>"09534180"</f>
        <v>09534180</v>
      </c>
      <c r="D920" s="58" t="str">
        <f>"18758584"</f>
        <v>18758584</v>
      </c>
      <c r="E920" s="46" t="s">
        <v>1412</v>
      </c>
      <c r="F920" s="46" t="s">
        <v>18001</v>
      </c>
      <c r="G920" s="46" t="s">
        <v>50584</v>
      </c>
      <c r="H920" s="48" t="s">
        <v>56716</v>
      </c>
      <c r="I920" s="48" t="s">
        <v>50564</v>
      </c>
      <c r="J920" s="48" t="s">
        <v>56716</v>
      </c>
      <c r="K920" s="50"/>
      <c r="L920" s="48" t="s">
        <v>56716</v>
      </c>
    </row>
    <row r="921" spans="1:12" s="37" customFormat="1" ht="11.25" x14ac:dyDescent="0.2">
      <c r="A921" s="46" t="s">
        <v>5738</v>
      </c>
      <c r="B921" s="46" t="s">
        <v>51254</v>
      </c>
      <c r="C921" s="58" t="str">
        <f>"09558810"</f>
        <v>09558810</v>
      </c>
      <c r="D921" s="58" t="str">
        <f>"14735849"</f>
        <v>14735849</v>
      </c>
      <c r="E921" s="46" t="s">
        <v>28</v>
      </c>
      <c r="F921" s="46" t="s">
        <v>50646</v>
      </c>
      <c r="G921" s="46" t="s">
        <v>50584</v>
      </c>
      <c r="H921" s="48" t="s">
        <v>56716</v>
      </c>
      <c r="I921" s="48" t="s">
        <v>50564</v>
      </c>
      <c r="J921" s="48"/>
      <c r="K921" s="50" t="s">
        <v>56716</v>
      </c>
      <c r="L921" s="48" t="s">
        <v>56716</v>
      </c>
    </row>
    <row r="922" spans="1:12" s="37" customFormat="1" ht="11.25" x14ac:dyDescent="0.2">
      <c r="A922" s="46" t="s">
        <v>900</v>
      </c>
      <c r="B922" s="46" t="s">
        <v>51255</v>
      </c>
      <c r="C922" s="58" t="str">
        <f>"03766357"</f>
        <v>03766357</v>
      </c>
      <c r="D922" s="58" t="str">
        <f>"18728308"</f>
        <v>18728308</v>
      </c>
      <c r="E922" s="46" t="s">
        <v>91</v>
      </c>
      <c r="F922" s="46" t="s">
        <v>18001</v>
      </c>
      <c r="G922" s="46" t="s">
        <v>50590</v>
      </c>
      <c r="H922" s="48" t="s">
        <v>56716</v>
      </c>
      <c r="I922" s="48" t="s">
        <v>50564</v>
      </c>
      <c r="J922" s="48"/>
      <c r="K922" s="50" t="s">
        <v>56716</v>
      </c>
      <c r="L922" s="48" t="s">
        <v>56716</v>
      </c>
    </row>
    <row r="923" spans="1:12" s="37" customFormat="1" ht="11.25" x14ac:dyDescent="0.2">
      <c r="A923" s="45" t="s">
        <v>22146</v>
      </c>
      <c r="B923" s="45" t="s">
        <v>22148</v>
      </c>
      <c r="C923" s="51" t="s">
        <v>22150</v>
      </c>
      <c r="D923" s="51"/>
      <c r="E923" s="45" t="s">
        <v>22151</v>
      </c>
      <c r="F923" s="45" t="s">
        <v>17958</v>
      </c>
      <c r="G923" s="45" t="s">
        <v>50586</v>
      </c>
      <c r="H923" s="56"/>
      <c r="I923" s="56" t="s">
        <v>50564</v>
      </c>
      <c r="J923" s="56"/>
      <c r="K923" s="50"/>
      <c r="L923" s="56" t="s">
        <v>56716</v>
      </c>
    </row>
    <row r="924" spans="1:12" s="37" customFormat="1" ht="11.25" x14ac:dyDescent="0.2">
      <c r="A924" s="46" t="s">
        <v>15087</v>
      </c>
      <c r="B924" s="46" t="s">
        <v>51256</v>
      </c>
      <c r="C924" s="58" t="str">
        <f>"18762883"</f>
        <v>18762883</v>
      </c>
      <c r="D924" s="58" t="str">
        <f>"18762891"</f>
        <v>18762891</v>
      </c>
      <c r="E924" s="46" t="s">
        <v>13355</v>
      </c>
      <c r="F924" s="46" t="s">
        <v>18001</v>
      </c>
      <c r="G924" s="46" t="s">
        <v>50584</v>
      </c>
      <c r="H924" s="48" t="s">
        <v>56716</v>
      </c>
      <c r="I924" s="48" t="s">
        <v>50564</v>
      </c>
      <c r="J924" s="48"/>
      <c r="K924" s="50"/>
      <c r="L924" s="48" t="s">
        <v>56716</v>
      </c>
    </row>
    <row r="925" spans="1:12" s="37" customFormat="1" ht="11.25" x14ac:dyDescent="0.2">
      <c r="A925" s="45" t="s">
        <v>22158</v>
      </c>
      <c r="B925" s="45" t="s">
        <v>22160</v>
      </c>
      <c r="C925" s="51" t="s">
        <v>22161</v>
      </c>
      <c r="D925" s="51"/>
      <c r="E925" s="45" t="s">
        <v>22162</v>
      </c>
      <c r="F925" s="45" t="s">
        <v>17759</v>
      </c>
      <c r="G925" s="45" t="s">
        <v>50584</v>
      </c>
      <c r="H925" s="56"/>
      <c r="I925" s="56" t="s">
        <v>50564</v>
      </c>
      <c r="J925" s="56"/>
      <c r="K925" s="50"/>
      <c r="L925" s="56" t="s">
        <v>56716</v>
      </c>
    </row>
    <row r="926" spans="1:12" s="37" customFormat="1" ht="11.25" x14ac:dyDescent="0.2">
      <c r="A926" s="46" t="s">
        <v>11490</v>
      </c>
      <c r="B926" s="46" t="s">
        <v>11490</v>
      </c>
      <c r="C926" s="58" t="str">
        <f>"1781782X"</f>
        <v>1781782X</v>
      </c>
      <c r="D926" s="58" t="str">
        <f>""</f>
        <v/>
      </c>
      <c r="E926" s="46" t="s">
        <v>11492</v>
      </c>
      <c r="F926" s="46" t="s">
        <v>17929</v>
      </c>
      <c r="G926" s="46" t="s">
        <v>55894</v>
      </c>
      <c r="H926" s="48" t="s">
        <v>56716</v>
      </c>
      <c r="I926" s="48" t="s">
        <v>50564</v>
      </c>
      <c r="J926" s="48"/>
      <c r="K926" s="50"/>
      <c r="L926" s="48" t="s">
        <v>56716</v>
      </c>
    </row>
    <row r="927" spans="1:12" s="37" customFormat="1" ht="11.25" x14ac:dyDescent="0.2">
      <c r="A927" s="45" t="s">
        <v>22167</v>
      </c>
      <c r="B927" s="45" t="s">
        <v>22169</v>
      </c>
      <c r="C927" s="51" t="s">
        <v>22171</v>
      </c>
      <c r="D927" s="51" t="s">
        <v>22170</v>
      </c>
      <c r="E927" s="45" t="s">
        <v>18712</v>
      </c>
      <c r="F927" s="45" t="s">
        <v>18158</v>
      </c>
      <c r="G927" s="45" t="s">
        <v>50593</v>
      </c>
      <c r="H927" s="56"/>
      <c r="I927" s="56" t="s">
        <v>50564</v>
      </c>
      <c r="J927" s="56"/>
      <c r="K927" s="50"/>
      <c r="L927" s="56" t="s">
        <v>56716</v>
      </c>
    </row>
    <row r="928" spans="1:12" s="37" customFormat="1" ht="11.25" x14ac:dyDescent="0.2">
      <c r="A928" s="45" t="s">
        <v>22173</v>
      </c>
      <c r="B928" s="45" t="s">
        <v>22175</v>
      </c>
      <c r="C928" s="51" t="s">
        <v>22177</v>
      </c>
      <c r="D928" s="51"/>
      <c r="E928" s="45" t="s">
        <v>22178</v>
      </c>
      <c r="F928" s="45" t="s">
        <v>18158</v>
      </c>
      <c r="G928" s="45" t="s">
        <v>50592</v>
      </c>
      <c r="H928" s="56"/>
      <c r="I928" s="56" t="s">
        <v>50564</v>
      </c>
      <c r="J928" s="56"/>
      <c r="K928" s="50"/>
      <c r="L928" s="56" t="s">
        <v>56716</v>
      </c>
    </row>
    <row r="929" spans="1:12" s="37" customFormat="1" ht="11.25" x14ac:dyDescent="0.2">
      <c r="A929" s="46" t="s">
        <v>10125</v>
      </c>
      <c r="B929" s="46" t="s">
        <v>51258</v>
      </c>
      <c r="C929" s="58" t="str">
        <f>"15216896"</f>
        <v>15216896</v>
      </c>
      <c r="D929" s="58" t="str">
        <f>"1532169X"</f>
        <v>1532169X</v>
      </c>
      <c r="E929" s="46" t="s">
        <v>7414</v>
      </c>
      <c r="F929" s="46" t="s">
        <v>50646</v>
      </c>
      <c r="G929" s="46" t="s">
        <v>50584</v>
      </c>
      <c r="H929" s="48" t="s">
        <v>56716</v>
      </c>
      <c r="I929" s="48" t="s">
        <v>50564</v>
      </c>
      <c r="J929" s="48" t="s">
        <v>56716</v>
      </c>
      <c r="K929" s="50" t="s">
        <v>56716</v>
      </c>
      <c r="L929" s="48" t="s">
        <v>56716</v>
      </c>
    </row>
    <row r="930" spans="1:12" s="37" customFormat="1" ht="11.25" x14ac:dyDescent="0.2">
      <c r="A930" s="46" t="s">
        <v>10119</v>
      </c>
      <c r="B930" s="46" t="s">
        <v>51259</v>
      </c>
      <c r="C930" s="58" t="str">
        <f>"1521690X"</f>
        <v>1521690X</v>
      </c>
      <c r="D930" s="58" t="str">
        <f>"15321908"</f>
        <v>15321908</v>
      </c>
      <c r="E930" s="46" t="s">
        <v>7414</v>
      </c>
      <c r="F930" s="46" t="s">
        <v>50646</v>
      </c>
      <c r="G930" s="46" t="s">
        <v>50584</v>
      </c>
      <c r="H930" s="48" t="s">
        <v>56716</v>
      </c>
      <c r="I930" s="48" t="s">
        <v>50564</v>
      </c>
      <c r="J930" s="48"/>
      <c r="K930" s="50" t="s">
        <v>56716</v>
      </c>
      <c r="L930" s="48" t="s">
        <v>56716</v>
      </c>
    </row>
    <row r="931" spans="1:12" s="37" customFormat="1" ht="11.25" x14ac:dyDescent="0.2">
      <c r="A931" s="46" t="s">
        <v>10116</v>
      </c>
      <c r="B931" s="46" t="s">
        <v>51260</v>
      </c>
      <c r="C931" s="58" t="str">
        <f>"15216918"</f>
        <v>15216918</v>
      </c>
      <c r="D931" s="58" t="str">
        <f>"15321916"</f>
        <v>15321916</v>
      </c>
      <c r="E931" s="46" t="s">
        <v>7414</v>
      </c>
      <c r="F931" s="46" t="s">
        <v>50646</v>
      </c>
      <c r="G931" s="46" t="s">
        <v>50584</v>
      </c>
      <c r="H931" s="48" t="s">
        <v>56716</v>
      </c>
      <c r="I931" s="48" t="s">
        <v>50564</v>
      </c>
      <c r="J931" s="48"/>
      <c r="K931" s="50" t="s">
        <v>56716</v>
      </c>
      <c r="L931" s="48" t="s">
        <v>56716</v>
      </c>
    </row>
    <row r="932" spans="1:12" s="37" customFormat="1" ht="11.25" x14ac:dyDescent="0.2">
      <c r="A932" s="46" t="s">
        <v>10122</v>
      </c>
      <c r="B932" s="46" t="s">
        <v>51261</v>
      </c>
      <c r="C932" s="58" t="str">
        <f>"15216926"</f>
        <v>15216926</v>
      </c>
      <c r="D932" s="58" t="str">
        <f>"15321924"</f>
        <v>15321924</v>
      </c>
      <c r="E932" s="46" t="s">
        <v>7414</v>
      </c>
      <c r="F932" s="46" t="s">
        <v>50646</v>
      </c>
      <c r="G932" s="46" t="s">
        <v>50584</v>
      </c>
      <c r="H932" s="48" t="s">
        <v>56716</v>
      </c>
      <c r="I932" s="48" t="s">
        <v>50564</v>
      </c>
      <c r="J932" s="48" t="s">
        <v>56716</v>
      </c>
      <c r="K932" s="50"/>
      <c r="L932" s="48" t="s">
        <v>56716</v>
      </c>
    </row>
    <row r="933" spans="1:12" s="37" customFormat="1" ht="11.25" x14ac:dyDescent="0.2">
      <c r="A933" s="46" t="s">
        <v>10135</v>
      </c>
      <c r="B933" s="46" t="s">
        <v>51262</v>
      </c>
      <c r="C933" s="58" t="str">
        <f>"15216934"</f>
        <v>15216934</v>
      </c>
      <c r="D933" s="58" t="str">
        <f>"15321932"</f>
        <v>15321932</v>
      </c>
      <c r="E933" s="46" t="s">
        <v>7414</v>
      </c>
      <c r="F933" s="46" t="s">
        <v>50646</v>
      </c>
      <c r="G933" s="46" t="s">
        <v>50584</v>
      </c>
      <c r="H933" s="48" t="s">
        <v>56716</v>
      </c>
      <c r="I933" s="48" t="s">
        <v>50564</v>
      </c>
      <c r="J933" s="48" t="s">
        <v>56716</v>
      </c>
      <c r="K933" s="50" t="s">
        <v>56716</v>
      </c>
      <c r="L933" s="48" t="s">
        <v>56716</v>
      </c>
    </row>
    <row r="934" spans="1:12" s="37" customFormat="1" ht="11.25" x14ac:dyDescent="0.2">
      <c r="A934" s="46" t="s">
        <v>10128</v>
      </c>
      <c r="B934" s="46" t="s">
        <v>51263</v>
      </c>
      <c r="C934" s="58" t="str">
        <f>"15216942"</f>
        <v>15216942</v>
      </c>
      <c r="D934" s="58" t="str">
        <f>"15321770"</f>
        <v>15321770</v>
      </c>
      <c r="E934" s="46" t="s">
        <v>7414</v>
      </c>
      <c r="F934" s="46" t="s">
        <v>50646</v>
      </c>
      <c r="G934" s="46" t="s">
        <v>50584</v>
      </c>
      <c r="H934" s="48" t="s">
        <v>56716</v>
      </c>
      <c r="I934" s="48" t="s">
        <v>50564</v>
      </c>
      <c r="J934" s="48" t="s">
        <v>56716</v>
      </c>
      <c r="K934" s="50" t="s">
        <v>56716</v>
      </c>
      <c r="L934" s="48" t="s">
        <v>56716</v>
      </c>
    </row>
    <row r="935" spans="1:12" s="37" customFormat="1" ht="11.25" x14ac:dyDescent="0.2">
      <c r="A935" s="46" t="s">
        <v>11729</v>
      </c>
      <c r="B935" s="46" t="s">
        <v>51264</v>
      </c>
      <c r="C935" s="58" t="str">
        <f>"09464565"</f>
        <v>09464565</v>
      </c>
      <c r="D935" s="58" t="str">
        <f>"18628559"</f>
        <v>18628559</v>
      </c>
      <c r="E935" s="46" t="s">
        <v>167</v>
      </c>
      <c r="F935" s="46" t="s">
        <v>18158</v>
      </c>
      <c r="G935" s="46" t="s">
        <v>50593</v>
      </c>
      <c r="H935" s="48" t="s">
        <v>56716</v>
      </c>
      <c r="I935" s="48" t="s">
        <v>50564</v>
      </c>
      <c r="J935" s="48"/>
      <c r="K935" s="50"/>
      <c r="L935" s="48"/>
    </row>
    <row r="936" spans="1:12" s="37" customFormat="1" ht="11.25" x14ac:dyDescent="0.2">
      <c r="A936" s="45" t="s">
        <v>22219</v>
      </c>
      <c r="B936" s="45" t="s">
        <v>22221</v>
      </c>
      <c r="C936" s="51" t="s">
        <v>22222</v>
      </c>
      <c r="D936" s="51"/>
      <c r="E936" s="45" t="s">
        <v>22223</v>
      </c>
      <c r="F936" s="45" t="s">
        <v>17958</v>
      </c>
      <c r="G936" s="45" t="s">
        <v>50586</v>
      </c>
      <c r="H936" s="56"/>
      <c r="I936" s="56" t="s">
        <v>50564</v>
      </c>
      <c r="J936" s="56"/>
      <c r="K936" s="50"/>
      <c r="L936" s="56" t="s">
        <v>56716</v>
      </c>
    </row>
    <row r="937" spans="1:12" s="37" customFormat="1" ht="11.25" x14ac:dyDescent="0.2">
      <c r="A937" s="46" t="s">
        <v>15447</v>
      </c>
      <c r="B937" s="46" t="s">
        <v>51265</v>
      </c>
      <c r="C937" s="58" t="str">
        <f>"21605351"</f>
        <v>21605351</v>
      </c>
      <c r="D937" s="58" t="str">
        <f>"21605904"</f>
        <v>21605904</v>
      </c>
      <c r="E937" s="46" t="s">
        <v>15450</v>
      </c>
      <c r="F937" s="46" t="s">
        <v>17759</v>
      </c>
      <c r="G937" s="46" t="s">
        <v>50584</v>
      </c>
      <c r="H937" s="48" t="s">
        <v>56716</v>
      </c>
      <c r="I937" s="48" t="s">
        <v>50564</v>
      </c>
      <c r="J937" s="48" t="s">
        <v>56716</v>
      </c>
      <c r="K937" s="50"/>
      <c r="L937" s="48" t="s">
        <v>56716</v>
      </c>
    </row>
    <row r="938" spans="1:12" s="37" customFormat="1" ht="11.25" x14ac:dyDescent="0.2">
      <c r="A938" s="46" t="s">
        <v>17100</v>
      </c>
      <c r="B938" s="46" t="s">
        <v>51266</v>
      </c>
      <c r="C938" s="58" t="str">
        <f>"22126198"</f>
        <v>22126198</v>
      </c>
      <c r="D938" s="58" t="str">
        <f>""</f>
        <v/>
      </c>
      <c r="E938" s="46" t="s">
        <v>155</v>
      </c>
      <c r="F938" s="46" t="s">
        <v>50646</v>
      </c>
      <c r="G938" s="46" t="s">
        <v>50584</v>
      </c>
      <c r="H938" s="48" t="s">
        <v>56716</v>
      </c>
      <c r="I938" s="48" t="s">
        <v>50564</v>
      </c>
      <c r="J938" s="48" t="s">
        <v>56716</v>
      </c>
      <c r="K938" s="50"/>
      <c r="L938" s="48"/>
    </row>
    <row r="939" spans="1:12" s="37" customFormat="1" ht="11.25" x14ac:dyDescent="0.2">
      <c r="A939" s="46" t="s">
        <v>55962</v>
      </c>
      <c r="B939" s="46" t="s">
        <v>55963</v>
      </c>
      <c r="C939" s="58" t="str">
        <f>"18959091"</f>
        <v>18959091</v>
      </c>
      <c r="D939" s="58" t="str">
        <f>"1896530X"</f>
        <v>1896530X</v>
      </c>
      <c r="E939" s="46" t="s">
        <v>1887</v>
      </c>
      <c r="F939" s="46" t="s">
        <v>18158</v>
      </c>
      <c r="G939" s="46" t="s">
        <v>50584</v>
      </c>
      <c r="H939" s="48" t="s">
        <v>56716</v>
      </c>
      <c r="I939" s="48" t="s">
        <v>50564</v>
      </c>
      <c r="J939" s="48" t="s">
        <v>56716</v>
      </c>
      <c r="K939" s="50"/>
      <c r="L939" s="48"/>
    </row>
    <row r="940" spans="1:12" s="37" customFormat="1" ht="11.25" x14ac:dyDescent="0.2">
      <c r="A940" s="46" t="s">
        <v>14759</v>
      </c>
      <c r="B940" s="46" t="s">
        <v>14759</v>
      </c>
      <c r="C940" s="58" t="str">
        <f>"17576180"</f>
        <v>17576180</v>
      </c>
      <c r="D940" s="58" t="str">
        <f>"17576199"</f>
        <v>17576199</v>
      </c>
      <c r="E940" s="46" t="s">
        <v>14762</v>
      </c>
      <c r="F940" s="46" t="s">
        <v>50646</v>
      </c>
      <c r="G940" s="46" t="s">
        <v>50584</v>
      </c>
      <c r="H940" s="48" t="s">
        <v>56716</v>
      </c>
      <c r="I940" s="48" t="s">
        <v>50564</v>
      </c>
      <c r="J940" s="48"/>
      <c r="K940" s="50"/>
      <c r="L940" s="48" t="s">
        <v>56716</v>
      </c>
    </row>
    <row r="941" spans="1:12" s="37" customFormat="1" ht="11.25" x14ac:dyDescent="0.2">
      <c r="A941" s="46" t="s">
        <v>14382</v>
      </c>
      <c r="B941" s="46" t="s">
        <v>51267</v>
      </c>
      <c r="C941" s="58" t="str">
        <f>"18672086"</f>
        <v>18672086</v>
      </c>
      <c r="D941" s="58" t="str">
        <f>"18672094"</f>
        <v>18672094</v>
      </c>
      <c r="E941" s="46" t="s">
        <v>55904</v>
      </c>
      <c r="F941" s="46" t="s">
        <v>18288</v>
      </c>
      <c r="G941" s="46" t="s">
        <v>50584</v>
      </c>
      <c r="H941" s="48" t="s">
        <v>56716</v>
      </c>
      <c r="I941" s="48" t="s">
        <v>50564</v>
      </c>
      <c r="J941" s="48" t="s">
        <v>56716</v>
      </c>
      <c r="K941" s="50"/>
      <c r="L941" s="48"/>
    </row>
    <row r="942" spans="1:12" s="37" customFormat="1" ht="11.25" x14ac:dyDescent="0.2">
      <c r="A942" s="46" t="s">
        <v>15901</v>
      </c>
      <c r="B942" s="46" t="s">
        <v>15901</v>
      </c>
      <c r="C942" s="58" t="str">
        <f>"19490992"</f>
        <v>19490992</v>
      </c>
      <c r="D942" s="58" t="str">
        <f>"1949100X"</f>
        <v>1949100X</v>
      </c>
      <c r="E942" s="46" t="s">
        <v>669</v>
      </c>
      <c r="F942" s="46" t="s">
        <v>17759</v>
      </c>
      <c r="G942" s="46" t="s">
        <v>50584</v>
      </c>
      <c r="H942" s="48" t="s">
        <v>56716</v>
      </c>
      <c r="I942" s="48" t="s">
        <v>50564</v>
      </c>
      <c r="J942" s="48"/>
      <c r="K942" s="50"/>
      <c r="L942" s="48" t="s">
        <v>56716</v>
      </c>
    </row>
    <row r="943" spans="1:12" s="37" customFormat="1" ht="11.25" x14ac:dyDescent="0.2">
      <c r="A943" s="46" t="s">
        <v>7618</v>
      </c>
      <c r="B943" s="46" t="s">
        <v>51268</v>
      </c>
      <c r="C943" s="58" t="str">
        <f>"10242422"</f>
        <v>10242422</v>
      </c>
      <c r="D943" s="58" t="str">
        <f>"10292446"</f>
        <v>10292446</v>
      </c>
      <c r="E943" s="46" t="s">
        <v>291</v>
      </c>
      <c r="F943" s="46" t="s">
        <v>50646</v>
      </c>
      <c r="G943" s="46" t="s">
        <v>50584</v>
      </c>
      <c r="H943" s="48" t="s">
        <v>56716</v>
      </c>
      <c r="I943" s="48" t="s">
        <v>50564</v>
      </c>
      <c r="J943" s="48"/>
      <c r="K943" s="50"/>
      <c r="L943" s="48"/>
    </row>
    <row r="944" spans="1:12" s="37" customFormat="1" ht="11.25" x14ac:dyDescent="0.2">
      <c r="A944" s="46" t="s">
        <v>6224</v>
      </c>
      <c r="B944" s="46" t="s">
        <v>6224</v>
      </c>
      <c r="C944" s="58" t="str">
        <f>"03279545"</f>
        <v>03279545</v>
      </c>
      <c r="D944" s="58" t="str">
        <f>"16675746"</f>
        <v>16675746</v>
      </c>
      <c r="E944" s="46" t="s">
        <v>55899</v>
      </c>
      <c r="F944" s="46" t="s">
        <v>18169</v>
      </c>
      <c r="G944" s="46" t="s">
        <v>50584</v>
      </c>
      <c r="H944" s="48" t="s">
        <v>56716</v>
      </c>
      <c r="I944" s="48" t="s">
        <v>50564</v>
      </c>
      <c r="J944" s="48"/>
      <c r="K944" s="50"/>
      <c r="L944" s="48" t="s">
        <v>56716</v>
      </c>
    </row>
    <row r="945" spans="1:12" s="37" customFormat="1" ht="11.25" x14ac:dyDescent="0.2">
      <c r="A945" s="46" t="s">
        <v>5929</v>
      </c>
      <c r="B945" s="46" t="s">
        <v>51269</v>
      </c>
      <c r="C945" s="58" t="str">
        <f>"13300962"</f>
        <v>13300962</v>
      </c>
      <c r="D945" s="58" t="str">
        <f>""</f>
        <v/>
      </c>
      <c r="E945" s="46" t="s">
        <v>5931</v>
      </c>
      <c r="F945" s="46" t="s">
        <v>18079</v>
      </c>
      <c r="G945" s="46" t="s">
        <v>50598</v>
      </c>
      <c r="H945" s="48" t="s">
        <v>56716</v>
      </c>
      <c r="I945" s="48" t="s">
        <v>50564</v>
      </c>
      <c r="J945" s="48"/>
      <c r="K945" s="50"/>
      <c r="L945" s="48" t="s">
        <v>56716</v>
      </c>
    </row>
    <row r="946" spans="1:12" s="37" customFormat="1" ht="11.25" x14ac:dyDescent="0.2">
      <c r="A946" s="46" t="s">
        <v>715</v>
      </c>
      <c r="B946" s="46" t="s">
        <v>51270</v>
      </c>
      <c r="C946" s="58" t="str">
        <f>"0006291X"</f>
        <v>0006291X</v>
      </c>
      <c r="D946" s="58" t="str">
        <f>"10902104"</f>
        <v>10902104</v>
      </c>
      <c r="E946" s="46" t="s">
        <v>60</v>
      </c>
      <c r="F946" s="46" t="s">
        <v>17759</v>
      </c>
      <c r="G946" s="46" t="s">
        <v>50584</v>
      </c>
      <c r="H946" s="48" t="s">
        <v>56716</v>
      </c>
      <c r="I946" s="48" t="s">
        <v>50564</v>
      </c>
      <c r="J946" s="48" t="s">
        <v>56716</v>
      </c>
      <c r="K946" s="50" t="s">
        <v>56716</v>
      </c>
      <c r="L946" s="48" t="s">
        <v>56716</v>
      </c>
    </row>
    <row r="947" spans="1:12" s="37" customFormat="1" ht="11.25" x14ac:dyDescent="0.2">
      <c r="A947" s="46" t="s">
        <v>7932</v>
      </c>
      <c r="B947" s="46" t="s">
        <v>51271</v>
      </c>
      <c r="C947" s="58" t="str">
        <f>"1369703X"</f>
        <v>1369703X</v>
      </c>
      <c r="D947" s="58" t="str">
        <f>"1873295X"</f>
        <v>1873295X</v>
      </c>
      <c r="E947" s="46" t="s">
        <v>91</v>
      </c>
      <c r="F947" s="46" t="s">
        <v>18001</v>
      </c>
      <c r="G947" s="46" t="s">
        <v>50584</v>
      </c>
      <c r="H947" s="48" t="s">
        <v>56716</v>
      </c>
      <c r="I947" s="48" t="s">
        <v>50564</v>
      </c>
      <c r="J947" s="48" t="s">
        <v>56716</v>
      </c>
      <c r="K947" s="50" t="s">
        <v>56716</v>
      </c>
      <c r="L947" s="48"/>
    </row>
    <row r="948" spans="1:12" s="37" customFormat="1" ht="11.25" x14ac:dyDescent="0.2">
      <c r="A948" s="46" t="s">
        <v>784</v>
      </c>
      <c r="B948" s="46" t="s">
        <v>51272</v>
      </c>
      <c r="C948" s="58" t="str">
        <f>"00062928"</f>
        <v>00062928</v>
      </c>
      <c r="D948" s="58" t="str">
        <f>"15734927"</f>
        <v>15734927</v>
      </c>
      <c r="E948" s="46" t="s">
        <v>56305</v>
      </c>
      <c r="F948" s="46" t="s">
        <v>17759</v>
      </c>
      <c r="G948" s="46" t="s">
        <v>50584</v>
      </c>
      <c r="H948" s="48" t="s">
        <v>56716</v>
      </c>
      <c r="I948" s="48" t="s">
        <v>50564</v>
      </c>
      <c r="J948" s="48"/>
      <c r="K948" s="50" t="s">
        <v>56716</v>
      </c>
      <c r="L948" s="48" t="s">
        <v>56716</v>
      </c>
    </row>
    <row r="949" spans="1:12" s="37" customFormat="1" ht="11.25" x14ac:dyDescent="0.2">
      <c r="A949" s="46" t="s">
        <v>787</v>
      </c>
      <c r="B949" s="46" t="s">
        <v>51273</v>
      </c>
      <c r="C949" s="58" t="str">
        <f>"02646021"</f>
        <v>02646021</v>
      </c>
      <c r="D949" s="58" t="str">
        <f>"14708728"</f>
        <v>14708728</v>
      </c>
      <c r="E949" s="46" t="s">
        <v>744</v>
      </c>
      <c r="F949" s="46" t="s">
        <v>50646</v>
      </c>
      <c r="G949" s="46" t="s">
        <v>50584</v>
      </c>
      <c r="H949" s="48" t="s">
        <v>56716</v>
      </c>
      <c r="I949" s="48" t="s">
        <v>50564</v>
      </c>
      <c r="J949" s="48" t="s">
        <v>56716</v>
      </c>
      <c r="K949" s="50"/>
      <c r="L949" s="48" t="s">
        <v>56716</v>
      </c>
    </row>
    <row r="950" spans="1:12" s="37" customFormat="1" ht="11.25" x14ac:dyDescent="0.2">
      <c r="A950" s="46" t="s">
        <v>735</v>
      </c>
      <c r="B950" s="46" t="s">
        <v>51274</v>
      </c>
      <c r="C950" s="58" t="str">
        <f>"00062952"</f>
        <v>00062952</v>
      </c>
      <c r="D950" s="58" t="str">
        <f>"18732968"</f>
        <v>18732968</v>
      </c>
      <c r="E950" s="46" t="s">
        <v>272</v>
      </c>
      <c r="F950" s="46" t="s">
        <v>17759</v>
      </c>
      <c r="G950" s="46" t="s">
        <v>50584</v>
      </c>
      <c r="H950" s="48" t="s">
        <v>56716</v>
      </c>
      <c r="I950" s="48" t="s">
        <v>50564</v>
      </c>
      <c r="J950" s="48" t="s">
        <v>56716</v>
      </c>
      <c r="K950" s="50" t="s">
        <v>56716</v>
      </c>
      <c r="L950" s="48" t="s">
        <v>56716</v>
      </c>
    </row>
    <row r="951" spans="1:12" s="37" customFormat="1" ht="11.25" x14ac:dyDescent="0.2">
      <c r="A951" s="45" t="s">
        <v>22283</v>
      </c>
      <c r="B951" s="45" t="s">
        <v>22285</v>
      </c>
      <c r="C951" s="51" t="s">
        <v>22287</v>
      </c>
      <c r="D951" s="51" t="s">
        <v>22286</v>
      </c>
      <c r="E951" s="45" t="s">
        <v>21731</v>
      </c>
      <c r="F951" s="45" t="s">
        <v>50646</v>
      </c>
      <c r="G951" s="45" t="s">
        <v>50584</v>
      </c>
      <c r="H951" s="56"/>
      <c r="I951" s="56" t="s">
        <v>50564</v>
      </c>
      <c r="J951" s="56"/>
      <c r="K951" s="50"/>
      <c r="L951" s="56" t="s">
        <v>56716</v>
      </c>
    </row>
    <row r="952" spans="1:12" s="37" customFormat="1" ht="11.25" x14ac:dyDescent="0.2">
      <c r="A952" s="46" t="s">
        <v>741</v>
      </c>
      <c r="B952" s="46" t="s">
        <v>51275</v>
      </c>
      <c r="C952" s="58" t="str">
        <f>"03005127"</f>
        <v>03005127</v>
      </c>
      <c r="D952" s="58" t="str">
        <f>"14708752"</f>
        <v>14708752</v>
      </c>
      <c r="E952" s="46" t="s">
        <v>744</v>
      </c>
      <c r="F952" s="46" t="s">
        <v>50646</v>
      </c>
      <c r="G952" s="46" t="s">
        <v>50584</v>
      </c>
      <c r="H952" s="48" t="s">
        <v>56716</v>
      </c>
      <c r="I952" s="48" t="s">
        <v>50564</v>
      </c>
      <c r="J952" s="48" t="s">
        <v>56716</v>
      </c>
      <c r="K952" s="50"/>
      <c r="L952" s="48" t="s">
        <v>56716</v>
      </c>
    </row>
    <row r="953" spans="1:12" s="37" customFormat="1" ht="11.25" x14ac:dyDescent="0.2">
      <c r="A953" s="46" t="s">
        <v>773</v>
      </c>
      <c r="B953" s="46" t="s">
        <v>773</v>
      </c>
      <c r="C953" s="58" t="str">
        <f>"00062960"</f>
        <v>00062960</v>
      </c>
      <c r="D953" s="58" t="str">
        <f>"15204995"</f>
        <v>15204995</v>
      </c>
      <c r="E953" s="46" t="s">
        <v>776</v>
      </c>
      <c r="F953" s="46" t="s">
        <v>17759</v>
      </c>
      <c r="G953" s="46" t="s">
        <v>50584</v>
      </c>
      <c r="H953" s="48" t="s">
        <v>56716</v>
      </c>
      <c r="I953" s="48" t="s">
        <v>50564</v>
      </c>
      <c r="J953" s="48" t="s">
        <v>56716</v>
      </c>
      <c r="K953" s="50"/>
      <c r="L953" s="48" t="s">
        <v>56716</v>
      </c>
    </row>
    <row r="954" spans="1:12" s="37" customFormat="1" ht="11.25" x14ac:dyDescent="0.2">
      <c r="A954" s="46" t="s">
        <v>12338</v>
      </c>
      <c r="B954" s="46" t="s">
        <v>51276</v>
      </c>
      <c r="C954" s="58" t="str">
        <f>"19907478"</f>
        <v>19907478</v>
      </c>
      <c r="D954" s="58" t="str">
        <f>"19907494"</f>
        <v>19907494</v>
      </c>
      <c r="E954" s="46" t="s">
        <v>9596</v>
      </c>
      <c r="F954" s="46" t="s">
        <v>50653</v>
      </c>
      <c r="G954" s="46" t="s">
        <v>50584</v>
      </c>
      <c r="H954" s="48" t="s">
        <v>56716</v>
      </c>
      <c r="I954" s="48" t="s">
        <v>50564</v>
      </c>
      <c r="J954" s="48" t="s">
        <v>56716</v>
      </c>
      <c r="K954" s="50"/>
      <c r="L954" s="48"/>
    </row>
    <row r="955" spans="1:12" s="37" customFormat="1" ht="11.25" x14ac:dyDescent="0.2">
      <c r="A955" s="46" t="s">
        <v>12341</v>
      </c>
      <c r="B955" s="46" t="s">
        <v>51277</v>
      </c>
      <c r="C955" s="58" t="str">
        <f>"19907508"</f>
        <v>19907508</v>
      </c>
      <c r="D955" s="58" t="str">
        <f>"19907516"</f>
        <v>19907516</v>
      </c>
      <c r="E955" s="46" t="s">
        <v>9596</v>
      </c>
      <c r="F955" s="46" t="s">
        <v>50653</v>
      </c>
      <c r="G955" s="46" t="s">
        <v>50584</v>
      </c>
      <c r="H955" s="48" t="s">
        <v>56716</v>
      </c>
      <c r="I955" s="48" t="s">
        <v>50564</v>
      </c>
      <c r="J955" s="48" t="s">
        <v>56716</v>
      </c>
      <c r="K955" s="50"/>
      <c r="L955" s="48"/>
    </row>
    <row r="956" spans="1:12" s="37" customFormat="1" ht="11.25" x14ac:dyDescent="0.2">
      <c r="A956" s="46" t="s">
        <v>726</v>
      </c>
      <c r="B956" s="46" t="s">
        <v>51278</v>
      </c>
      <c r="C956" s="58" t="str">
        <f>"08298211"</f>
        <v>08298211</v>
      </c>
      <c r="D956" s="58" t="str">
        <f>"12086002"</f>
        <v>12086002</v>
      </c>
      <c r="E956" s="46" t="s">
        <v>729</v>
      </c>
      <c r="F956" s="46" t="s">
        <v>18959</v>
      </c>
      <c r="G956" s="46" t="s">
        <v>50584</v>
      </c>
      <c r="H956" s="48" t="s">
        <v>56716</v>
      </c>
      <c r="I956" s="48" t="s">
        <v>50564</v>
      </c>
      <c r="J956" s="48"/>
      <c r="K956" s="50"/>
      <c r="L956" s="48" t="s">
        <v>56716</v>
      </c>
    </row>
    <row r="957" spans="1:12" s="37" customFormat="1" ht="11.25" x14ac:dyDescent="0.2">
      <c r="A957" s="45" t="s">
        <v>22304</v>
      </c>
      <c r="B957" s="45" t="s">
        <v>22306</v>
      </c>
      <c r="C957" s="51" t="s">
        <v>22309</v>
      </c>
      <c r="D957" s="51" t="s">
        <v>22308</v>
      </c>
      <c r="E957" s="45" t="s">
        <v>22310</v>
      </c>
      <c r="F957" s="45" t="s">
        <v>17759</v>
      </c>
      <c r="G957" s="45" t="s">
        <v>50584</v>
      </c>
      <c r="H957" s="56"/>
      <c r="I957" s="56" t="s">
        <v>50564</v>
      </c>
      <c r="J957" s="56"/>
      <c r="K957" s="50"/>
      <c r="L957" s="56" t="s">
        <v>56716</v>
      </c>
    </row>
    <row r="958" spans="1:12" s="37" customFormat="1" ht="11.25" x14ac:dyDescent="0.2">
      <c r="A958" s="45" t="s">
        <v>22313</v>
      </c>
      <c r="B958" s="45" t="s">
        <v>22315</v>
      </c>
      <c r="C958" s="51" t="s">
        <v>22317</v>
      </c>
      <c r="D958" s="51" t="s">
        <v>22316</v>
      </c>
      <c r="E958" s="45" t="s">
        <v>22318</v>
      </c>
      <c r="F958" s="45" t="s">
        <v>17759</v>
      </c>
      <c r="G958" s="45" t="s">
        <v>50584</v>
      </c>
      <c r="H958" s="56"/>
      <c r="I958" s="56" t="s">
        <v>50564</v>
      </c>
      <c r="J958" s="56"/>
      <c r="K958" s="50"/>
      <c r="L958" s="56" t="s">
        <v>56716</v>
      </c>
    </row>
    <row r="959" spans="1:12" s="37" customFormat="1" ht="11.25" x14ac:dyDescent="0.2">
      <c r="A959" s="46" t="s">
        <v>14503</v>
      </c>
      <c r="B959" s="46" t="s">
        <v>51279</v>
      </c>
      <c r="C959" s="58" t="str">
        <f>"03930564"</f>
        <v>03930564</v>
      </c>
      <c r="D959" s="58" t="str">
        <f>""</f>
        <v/>
      </c>
      <c r="E959" s="46" t="s">
        <v>56472</v>
      </c>
      <c r="F959" s="46" t="s">
        <v>17991</v>
      </c>
      <c r="G959" s="46" t="s">
        <v>50603</v>
      </c>
      <c r="H959" s="48" t="s">
        <v>56716</v>
      </c>
      <c r="I959" s="48" t="s">
        <v>50564</v>
      </c>
      <c r="J959" s="48"/>
      <c r="K959" s="50"/>
      <c r="L959" s="48"/>
    </row>
    <row r="960" spans="1:12" s="37" customFormat="1" ht="11.25" x14ac:dyDescent="0.2">
      <c r="A960" s="46" t="s">
        <v>706</v>
      </c>
      <c r="B960" s="46" t="s">
        <v>51280</v>
      </c>
      <c r="C960" s="58" t="str">
        <f>"00052728"</f>
        <v>00052728</v>
      </c>
      <c r="D960" s="58" t="str">
        <f>"18792650"</f>
        <v>18792650</v>
      </c>
      <c r="E960" s="46" t="s">
        <v>91</v>
      </c>
      <c r="F960" s="46" t="s">
        <v>18001</v>
      </c>
      <c r="G960" s="46" t="s">
        <v>50584</v>
      </c>
      <c r="H960" s="48" t="s">
        <v>56716</v>
      </c>
      <c r="I960" s="48" t="s">
        <v>50564</v>
      </c>
      <c r="J960" s="48" t="s">
        <v>56716</v>
      </c>
      <c r="K960" s="50" t="s">
        <v>56716</v>
      </c>
      <c r="L960" s="48" t="s">
        <v>56716</v>
      </c>
    </row>
    <row r="961" spans="1:12" s="37" customFormat="1" ht="11.25" x14ac:dyDescent="0.2">
      <c r="A961" s="46" t="s">
        <v>709</v>
      </c>
      <c r="B961" s="46" t="s">
        <v>51281</v>
      </c>
      <c r="C961" s="58" t="str">
        <f>"00052736"</f>
        <v>00052736</v>
      </c>
      <c r="D961" s="58" t="str">
        <f>"18792642"</f>
        <v>18792642</v>
      </c>
      <c r="E961" s="46" t="s">
        <v>91</v>
      </c>
      <c r="F961" s="46" t="s">
        <v>18001</v>
      </c>
      <c r="G961" s="46" t="s">
        <v>50584</v>
      </c>
      <c r="H961" s="48" t="s">
        <v>56716</v>
      </c>
      <c r="I961" s="48" t="s">
        <v>50564</v>
      </c>
      <c r="J961" s="48" t="s">
        <v>56716</v>
      </c>
      <c r="K961" s="50" t="s">
        <v>56716</v>
      </c>
      <c r="L961" s="48" t="s">
        <v>56716</v>
      </c>
    </row>
    <row r="962" spans="1:12" s="37" customFormat="1" ht="11.25" x14ac:dyDescent="0.2">
      <c r="A962" s="46" t="s">
        <v>12684</v>
      </c>
      <c r="B962" s="46" t="s">
        <v>51282</v>
      </c>
      <c r="C962" s="58" t="str">
        <f>"18749399"</f>
        <v>18749399</v>
      </c>
      <c r="D962" s="58" t="str">
        <f>"18764320"</f>
        <v>18764320</v>
      </c>
      <c r="E962" s="46" t="s">
        <v>91</v>
      </c>
      <c r="F962" s="46" t="s">
        <v>18001</v>
      </c>
      <c r="G962" s="46" t="s">
        <v>50584</v>
      </c>
      <c r="H962" s="48" t="s">
        <v>56716</v>
      </c>
      <c r="I962" s="48" t="s">
        <v>50564</v>
      </c>
      <c r="J962" s="48" t="s">
        <v>56716</v>
      </c>
      <c r="K962" s="50" t="s">
        <v>56716</v>
      </c>
      <c r="L962" s="48" t="s">
        <v>56716</v>
      </c>
    </row>
    <row r="963" spans="1:12" s="37" customFormat="1" ht="11.25" x14ac:dyDescent="0.2">
      <c r="A963" s="46" t="s">
        <v>712</v>
      </c>
      <c r="B963" s="46" t="s">
        <v>51283</v>
      </c>
      <c r="C963" s="58" t="str">
        <f>"03044165"</f>
        <v>03044165</v>
      </c>
      <c r="D963" s="58" t="str">
        <f>"18728006"</f>
        <v>18728006</v>
      </c>
      <c r="E963" s="46" t="s">
        <v>91</v>
      </c>
      <c r="F963" s="46" t="s">
        <v>18001</v>
      </c>
      <c r="G963" s="46" t="s">
        <v>50584</v>
      </c>
      <c r="H963" s="48" t="s">
        <v>56716</v>
      </c>
      <c r="I963" s="48" t="s">
        <v>50564</v>
      </c>
      <c r="J963" s="48" t="s">
        <v>56716</v>
      </c>
      <c r="K963" s="50" t="s">
        <v>56716</v>
      </c>
      <c r="L963" s="48" t="s">
        <v>56716</v>
      </c>
    </row>
    <row r="964" spans="1:12" s="37" customFormat="1" ht="11.25" x14ac:dyDescent="0.2">
      <c r="A964" s="46" t="s">
        <v>8031</v>
      </c>
      <c r="B964" s="46" t="s">
        <v>51284</v>
      </c>
      <c r="C964" s="58" t="str">
        <f>"13881981"</f>
        <v>13881981</v>
      </c>
      <c r="D964" s="58" t="str">
        <f>"18792618"</f>
        <v>18792618</v>
      </c>
      <c r="E964" s="46" t="s">
        <v>91</v>
      </c>
      <c r="F964" s="46" t="s">
        <v>18001</v>
      </c>
      <c r="G964" s="46" t="s">
        <v>50584</v>
      </c>
      <c r="H964" s="48" t="s">
        <v>56716</v>
      </c>
      <c r="I964" s="48" t="s">
        <v>50564</v>
      </c>
      <c r="J964" s="48" t="s">
        <v>56716</v>
      </c>
      <c r="K964" s="50" t="s">
        <v>56716</v>
      </c>
      <c r="L964" s="48" t="s">
        <v>56716</v>
      </c>
    </row>
    <row r="965" spans="1:12" s="37" customFormat="1" ht="11.25" x14ac:dyDescent="0.2">
      <c r="A965" s="46" t="s">
        <v>5351</v>
      </c>
      <c r="B965" s="46" t="s">
        <v>51285</v>
      </c>
      <c r="C965" s="58" t="str">
        <f>"09254439"</f>
        <v>09254439</v>
      </c>
      <c r="D965" s="58" t="str">
        <f>"1879260X"</f>
        <v>1879260X</v>
      </c>
      <c r="E965" s="46" t="s">
        <v>91</v>
      </c>
      <c r="F965" s="46" t="s">
        <v>18001</v>
      </c>
      <c r="G965" s="46" t="s">
        <v>50584</v>
      </c>
      <c r="H965" s="48" t="s">
        <v>56716</v>
      </c>
      <c r="I965" s="48" t="s">
        <v>50564</v>
      </c>
      <c r="J965" s="48" t="s">
        <v>56716</v>
      </c>
      <c r="K965" s="50" t="s">
        <v>56716</v>
      </c>
      <c r="L965" s="48" t="s">
        <v>56716</v>
      </c>
    </row>
    <row r="966" spans="1:12" s="37" customFormat="1" ht="11.25" x14ac:dyDescent="0.2">
      <c r="A966" s="46" t="s">
        <v>700</v>
      </c>
      <c r="B966" s="46" t="s">
        <v>51286</v>
      </c>
      <c r="C966" s="58" t="str">
        <f>"01674889"</f>
        <v>01674889</v>
      </c>
      <c r="D966" s="58" t="str">
        <f>"18792596"</f>
        <v>18792596</v>
      </c>
      <c r="E966" s="46" t="s">
        <v>91</v>
      </c>
      <c r="F966" s="46" t="s">
        <v>18001</v>
      </c>
      <c r="G966" s="46" t="s">
        <v>50584</v>
      </c>
      <c r="H966" s="48" t="s">
        <v>56716</v>
      </c>
      <c r="I966" s="48" t="s">
        <v>50564</v>
      </c>
      <c r="J966" s="48" t="s">
        <v>56716</v>
      </c>
      <c r="K966" s="50" t="s">
        <v>56716</v>
      </c>
      <c r="L966" s="48" t="s">
        <v>56716</v>
      </c>
    </row>
    <row r="967" spans="1:12" s="37" customFormat="1" ht="11.25" x14ac:dyDescent="0.2">
      <c r="A967" s="46" t="s">
        <v>10054</v>
      </c>
      <c r="B967" s="46" t="s">
        <v>51287</v>
      </c>
      <c r="C967" s="58" t="str">
        <f>"15709639"</f>
        <v>15709639</v>
      </c>
      <c r="D967" s="58" t="str">
        <f>"18781454"</f>
        <v>18781454</v>
      </c>
      <c r="E967" s="46" t="s">
        <v>91</v>
      </c>
      <c r="F967" s="46" t="s">
        <v>18001</v>
      </c>
      <c r="G967" s="46" t="s">
        <v>50584</v>
      </c>
      <c r="H967" s="48" t="s">
        <v>56716</v>
      </c>
      <c r="I967" s="48" t="s">
        <v>50564</v>
      </c>
      <c r="J967" s="48" t="s">
        <v>56716</v>
      </c>
      <c r="K967" s="50" t="s">
        <v>56716</v>
      </c>
      <c r="L967" s="48" t="s">
        <v>56716</v>
      </c>
    </row>
    <row r="968" spans="1:12" s="37" customFormat="1" ht="11.25" x14ac:dyDescent="0.2">
      <c r="A968" s="46" t="s">
        <v>703</v>
      </c>
      <c r="B968" s="46" t="s">
        <v>51288</v>
      </c>
      <c r="C968" s="58" t="str">
        <f>"0304419X"</f>
        <v>0304419X</v>
      </c>
      <c r="D968" s="58" t="str">
        <f>"18792561"</f>
        <v>18792561</v>
      </c>
      <c r="E968" s="46" t="s">
        <v>91</v>
      </c>
      <c r="F968" s="46" t="s">
        <v>18001</v>
      </c>
      <c r="G968" s="46" t="s">
        <v>50584</v>
      </c>
      <c r="H968" s="48" t="s">
        <v>56716</v>
      </c>
      <c r="I968" s="48" t="s">
        <v>50564</v>
      </c>
      <c r="J968" s="48" t="s">
        <v>56716</v>
      </c>
      <c r="K968" s="50" t="s">
        <v>56716</v>
      </c>
      <c r="L968" s="48" t="s">
        <v>56716</v>
      </c>
    </row>
    <row r="969" spans="1:12" s="37" customFormat="1" ht="11.25" x14ac:dyDescent="0.2">
      <c r="A969" s="46" t="s">
        <v>781</v>
      </c>
      <c r="B969" s="46" t="s">
        <v>781</v>
      </c>
      <c r="C969" s="58" t="str">
        <f>"03009084"</f>
        <v>03009084</v>
      </c>
      <c r="D969" s="58" t="str">
        <f>"61831638"</f>
        <v>61831638</v>
      </c>
      <c r="E969" s="46" t="s">
        <v>91</v>
      </c>
      <c r="F969" s="46" t="s">
        <v>18001</v>
      </c>
      <c r="G969" s="46" t="s">
        <v>50584</v>
      </c>
      <c r="H969" s="48" t="s">
        <v>56716</v>
      </c>
      <c r="I969" s="48" t="s">
        <v>50564</v>
      </c>
      <c r="J969" s="48"/>
      <c r="K969" s="50" t="s">
        <v>56716</v>
      </c>
      <c r="L969" s="48" t="s">
        <v>56716</v>
      </c>
    </row>
    <row r="970" spans="1:12" s="37" customFormat="1" ht="11.25" x14ac:dyDescent="0.2">
      <c r="A970" s="46" t="s">
        <v>13771</v>
      </c>
      <c r="B970" s="46" t="s">
        <v>51289</v>
      </c>
      <c r="C970" s="58" t="str">
        <f>"19760280"</f>
        <v>19760280</v>
      </c>
      <c r="D970" s="58" t="str">
        <f>"20927843"</f>
        <v>20927843</v>
      </c>
      <c r="E970" s="46" t="s">
        <v>13773</v>
      </c>
      <c r="F970" s="46" t="s">
        <v>18158</v>
      </c>
      <c r="G970" s="46" t="s">
        <v>50584</v>
      </c>
      <c r="H970" s="48" t="s">
        <v>56716</v>
      </c>
      <c r="I970" s="48" t="s">
        <v>50564</v>
      </c>
      <c r="J970" s="48"/>
      <c r="K970" s="50"/>
      <c r="L970" s="48"/>
    </row>
    <row r="971" spans="1:12" s="37" customFormat="1" ht="11.25" x14ac:dyDescent="0.2">
      <c r="A971" s="46" t="s">
        <v>6929</v>
      </c>
      <c r="B971" s="46" t="s">
        <v>51290</v>
      </c>
      <c r="C971" s="58" t="str">
        <f>"10431802"</f>
        <v>10431802</v>
      </c>
      <c r="D971" s="58" t="str">
        <f>"15204812"</f>
        <v>15204812</v>
      </c>
      <c r="E971" s="46" t="s">
        <v>776</v>
      </c>
      <c r="F971" s="46" t="s">
        <v>17759</v>
      </c>
      <c r="G971" s="46" t="s">
        <v>50584</v>
      </c>
      <c r="H971" s="48" t="s">
        <v>56716</v>
      </c>
      <c r="I971" s="48" t="s">
        <v>50564</v>
      </c>
      <c r="J971" s="48"/>
      <c r="K971" s="50"/>
      <c r="L971" s="48" t="s">
        <v>56716</v>
      </c>
    </row>
    <row r="972" spans="1:12" s="37" customFormat="1" ht="11.25" x14ac:dyDescent="0.2">
      <c r="A972" s="46" t="s">
        <v>7941</v>
      </c>
      <c r="B972" s="46" t="s">
        <v>51291</v>
      </c>
      <c r="C972" s="58" t="str">
        <f>"13424815"</f>
        <v>13424815</v>
      </c>
      <c r="D972" s="58" t="str">
        <f>"18840205"</f>
        <v>18840205</v>
      </c>
      <c r="E972" s="46" t="s">
        <v>7944</v>
      </c>
      <c r="F972" s="46" t="s">
        <v>18242</v>
      </c>
      <c r="G972" s="46" t="s">
        <v>50584</v>
      </c>
      <c r="H972" s="48" t="s">
        <v>56716</v>
      </c>
      <c r="I972" s="48" t="s">
        <v>50564</v>
      </c>
      <c r="J972" s="48"/>
      <c r="K972" s="50"/>
      <c r="L972" s="48" t="s">
        <v>56716</v>
      </c>
    </row>
    <row r="973" spans="1:12" s="37" customFormat="1" ht="11.25" x14ac:dyDescent="0.2">
      <c r="A973" s="46" t="s">
        <v>13788</v>
      </c>
      <c r="B973" s="46" t="s">
        <v>51292</v>
      </c>
      <c r="C973" s="58" t="str">
        <f>"02085216"</f>
        <v>02085216</v>
      </c>
      <c r="D973" s="58" t="str">
        <f>""</f>
        <v/>
      </c>
      <c r="E973" s="46" t="s">
        <v>13790</v>
      </c>
      <c r="F973" s="46" t="s">
        <v>17967</v>
      </c>
      <c r="G973" s="46" t="s">
        <v>50584</v>
      </c>
      <c r="H973" s="48" t="s">
        <v>56716</v>
      </c>
      <c r="I973" s="48" t="s">
        <v>50564</v>
      </c>
      <c r="J973" s="48" t="s">
        <v>56716</v>
      </c>
      <c r="K973" s="50" t="s">
        <v>56716</v>
      </c>
      <c r="L973" s="48"/>
    </row>
    <row r="974" spans="1:12" s="37" customFormat="1" ht="11.25" x14ac:dyDescent="0.2">
      <c r="A974" s="46" t="s">
        <v>13066</v>
      </c>
      <c r="B974" s="46" t="s">
        <v>51293</v>
      </c>
      <c r="C974" s="58" t="str">
        <f>""</f>
        <v/>
      </c>
      <c r="D974" s="58" t="str">
        <f>"17560381"</f>
        <v>17560381</v>
      </c>
      <c r="E974" s="46" t="s">
        <v>2299</v>
      </c>
      <c r="F974" s="46" t="s">
        <v>50646</v>
      </c>
      <c r="G974" s="46" t="s">
        <v>50584</v>
      </c>
      <c r="H974" s="48" t="s">
        <v>56716</v>
      </c>
      <c r="I974" s="48" t="s">
        <v>50564</v>
      </c>
      <c r="J974" s="48" t="s">
        <v>56716</v>
      </c>
      <c r="K974" s="50" t="s">
        <v>56716</v>
      </c>
      <c r="L974" s="48"/>
    </row>
    <row r="975" spans="1:12" s="37" customFormat="1" ht="11.25" x14ac:dyDescent="0.2">
      <c r="A975" s="45" t="s">
        <v>22343</v>
      </c>
      <c r="B975" s="45" t="s">
        <v>22343</v>
      </c>
      <c r="C975" s="51" t="s">
        <v>22346</v>
      </c>
      <c r="D975" s="51" t="s">
        <v>22345</v>
      </c>
      <c r="E975" s="45" t="s">
        <v>18876</v>
      </c>
      <c r="F975" s="45" t="s">
        <v>18001</v>
      </c>
      <c r="G975" s="45" t="s">
        <v>50584</v>
      </c>
      <c r="H975" s="56"/>
      <c r="I975" s="56" t="s">
        <v>50564</v>
      </c>
      <c r="J975" s="56"/>
      <c r="K975" s="50"/>
      <c r="L975" s="56" t="s">
        <v>56716</v>
      </c>
    </row>
    <row r="976" spans="1:12" s="37" customFormat="1" ht="11.25" x14ac:dyDescent="0.2">
      <c r="A976" s="45" t="s">
        <v>22349</v>
      </c>
      <c r="B976" s="45" t="s">
        <v>22351</v>
      </c>
      <c r="C976" s="51" t="s">
        <v>22354</v>
      </c>
      <c r="D976" s="51" t="s">
        <v>22353</v>
      </c>
      <c r="E976" s="45" t="s">
        <v>689</v>
      </c>
      <c r="F976" s="45" t="s">
        <v>17759</v>
      </c>
      <c r="G976" s="45" t="s">
        <v>50584</v>
      </c>
      <c r="H976" s="56"/>
      <c r="I976" s="56" t="s">
        <v>50564</v>
      </c>
      <c r="J976" s="56"/>
      <c r="K976" s="50"/>
      <c r="L976" s="56" t="s">
        <v>56716</v>
      </c>
    </row>
    <row r="977" spans="1:12" s="37" customFormat="1" ht="11.25" x14ac:dyDescent="0.2">
      <c r="A977" s="46" t="s">
        <v>7292</v>
      </c>
      <c r="B977" s="46" t="s">
        <v>7292</v>
      </c>
      <c r="C977" s="58" t="str">
        <f>"11738804"</f>
        <v>11738804</v>
      </c>
      <c r="D977" s="58" t="str">
        <f>"1179190X"</f>
        <v>1179190X</v>
      </c>
      <c r="E977" s="46" t="s">
        <v>55920</v>
      </c>
      <c r="F977" s="46" t="s">
        <v>18123</v>
      </c>
      <c r="G977" s="46" t="s">
        <v>50584</v>
      </c>
      <c r="H977" s="48" t="s">
        <v>56716</v>
      </c>
      <c r="I977" s="48" t="s">
        <v>50564</v>
      </c>
      <c r="J977" s="48" t="s">
        <v>56716</v>
      </c>
      <c r="K977" s="50" t="s">
        <v>56716</v>
      </c>
      <c r="L977" s="48" t="s">
        <v>56716</v>
      </c>
    </row>
    <row r="978" spans="1:12" s="37" customFormat="1" ht="11.25" x14ac:dyDescent="0.2">
      <c r="A978" s="46" t="s">
        <v>8814</v>
      </c>
      <c r="B978" s="46" t="s">
        <v>8814</v>
      </c>
      <c r="C978" s="58" t="str">
        <f>"15675394"</f>
        <v>15675394</v>
      </c>
      <c r="D978" s="58" t="str">
        <f>"1878562X"</f>
        <v>1878562X</v>
      </c>
      <c r="E978" s="46" t="s">
        <v>91</v>
      </c>
      <c r="F978" s="46" t="s">
        <v>18001</v>
      </c>
      <c r="G978" s="46" t="s">
        <v>50584</v>
      </c>
      <c r="H978" s="48" t="s">
        <v>56716</v>
      </c>
      <c r="I978" s="48" t="s">
        <v>50564</v>
      </c>
      <c r="J978" s="48"/>
      <c r="K978" s="50" t="s">
        <v>56716</v>
      </c>
      <c r="L978" s="48" t="s">
        <v>56716</v>
      </c>
    </row>
    <row r="979" spans="1:12" s="37" customFormat="1" ht="11.25" x14ac:dyDescent="0.2">
      <c r="A979" s="45" t="s">
        <v>22367</v>
      </c>
      <c r="B979" s="45" t="s">
        <v>22367</v>
      </c>
      <c r="C979" s="51" t="s">
        <v>22370</v>
      </c>
      <c r="D979" s="51" t="s">
        <v>22369</v>
      </c>
      <c r="E979" s="45" t="s">
        <v>19094</v>
      </c>
      <c r="F979" s="45" t="s">
        <v>17759</v>
      </c>
      <c r="G979" s="45" t="s">
        <v>50584</v>
      </c>
      <c r="H979" s="56"/>
      <c r="I979" s="56" t="s">
        <v>50564</v>
      </c>
      <c r="J979" s="56"/>
      <c r="K979" s="50"/>
      <c r="L979" s="56" t="s">
        <v>56716</v>
      </c>
    </row>
    <row r="980" spans="1:12" s="37" customFormat="1" ht="11.25" x14ac:dyDescent="0.2">
      <c r="A980" s="45" t="s">
        <v>14582</v>
      </c>
      <c r="B980" s="45" t="s">
        <v>14582</v>
      </c>
      <c r="C980" s="51" t="s">
        <v>22376</v>
      </c>
      <c r="D980" s="51" t="s">
        <v>22375</v>
      </c>
      <c r="E980" s="45" t="s">
        <v>669</v>
      </c>
      <c r="F980" s="45" t="s">
        <v>17759</v>
      </c>
      <c r="G980" s="45" t="s">
        <v>50584</v>
      </c>
      <c r="H980" s="56" t="s">
        <v>56716</v>
      </c>
      <c r="I980" s="56" t="s">
        <v>50564</v>
      </c>
      <c r="J980" s="56"/>
      <c r="K980" s="50"/>
      <c r="L980" s="56" t="s">
        <v>56716</v>
      </c>
    </row>
    <row r="981" spans="1:12" s="37" customFormat="1" ht="11.25" x14ac:dyDescent="0.2">
      <c r="A981" s="46" t="s">
        <v>5840</v>
      </c>
      <c r="B981" s="46" t="s">
        <v>5840</v>
      </c>
      <c r="C981" s="58" t="str">
        <f>"02659247"</f>
        <v>02659247</v>
      </c>
      <c r="D981" s="58" t="str">
        <f>"15211878"</f>
        <v>15211878</v>
      </c>
      <c r="E981" s="46" t="s">
        <v>517</v>
      </c>
      <c r="F981" s="46" t="s">
        <v>17759</v>
      </c>
      <c r="G981" s="46" t="s">
        <v>50584</v>
      </c>
      <c r="H981" s="48" t="s">
        <v>56716</v>
      </c>
      <c r="I981" s="48" t="s">
        <v>50564</v>
      </c>
      <c r="J981" s="48"/>
      <c r="K981" s="50" t="s">
        <v>56716</v>
      </c>
      <c r="L981" s="48" t="s">
        <v>56716</v>
      </c>
    </row>
    <row r="982" spans="1:12" s="37" customFormat="1" ht="11.25" x14ac:dyDescent="0.2">
      <c r="A982" s="45" t="s">
        <v>22384</v>
      </c>
      <c r="B982" s="45" t="s">
        <v>22384</v>
      </c>
      <c r="C982" s="51" t="s">
        <v>22387</v>
      </c>
      <c r="D982" s="51" t="s">
        <v>22386</v>
      </c>
      <c r="E982" s="45" t="s">
        <v>970</v>
      </c>
      <c r="F982" s="45" t="s">
        <v>50646</v>
      </c>
      <c r="G982" s="45" t="s">
        <v>50584</v>
      </c>
      <c r="H982" s="56"/>
      <c r="I982" s="56" t="s">
        <v>50564</v>
      </c>
      <c r="J982" s="56"/>
      <c r="K982" s="50"/>
      <c r="L982" s="56" t="s">
        <v>56716</v>
      </c>
    </row>
    <row r="983" spans="1:12" s="37" customFormat="1" ht="11.25" x14ac:dyDescent="0.2">
      <c r="A983" s="45" t="s">
        <v>22390</v>
      </c>
      <c r="B983" s="45" t="s">
        <v>22390</v>
      </c>
      <c r="C983" s="51" t="s">
        <v>22393</v>
      </c>
      <c r="D983" s="51" t="s">
        <v>22392</v>
      </c>
      <c r="E983" s="45" t="s">
        <v>22394</v>
      </c>
      <c r="F983" s="45" t="s">
        <v>50646</v>
      </c>
      <c r="G983" s="45" t="s">
        <v>50584</v>
      </c>
      <c r="H983" s="56"/>
      <c r="I983" s="56" t="s">
        <v>50564</v>
      </c>
      <c r="J983" s="56"/>
      <c r="K983" s="50"/>
      <c r="L983" s="56" t="s">
        <v>56716</v>
      </c>
    </row>
    <row r="984" spans="1:12" s="37" customFormat="1" ht="11.25" x14ac:dyDescent="0.2">
      <c r="A984" s="46" t="s">
        <v>4604</v>
      </c>
      <c r="B984" s="46" t="s">
        <v>4604</v>
      </c>
      <c r="C984" s="58" t="str">
        <f>"09516433"</f>
        <v>09516433</v>
      </c>
      <c r="D984" s="58" t="str">
        <f>"18728081"</f>
        <v>18728081</v>
      </c>
      <c r="E984" s="46" t="s">
        <v>548</v>
      </c>
      <c r="F984" s="46" t="s">
        <v>17759</v>
      </c>
      <c r="G984" s="46" t="s">
        <v>50584</v>
      </c>
      <c r="H984" s="48" t="s">
        <v>56716</v>
      </c>
      <c r="I984" s="48" t="s">
        <v>50564</v>
      </c>
      <c r="J984" s="48" t="s">
        <v>56716</v>
      </c>
      <c r="K984" s="50" t="s">
        <v>56716</v>
      </c>
      <c r="L984" s="48" t="s">
        <v>56716</v>
      </c>
    </row>
    <row r="985" spans="1:12" s="37" customFormat="1" ht="11.25" x14ac:dyDescent="0.2">
      <c r="A985" s="45" t="s">
        <v>22402</v>
      </c>
      <c r="B985" s="45" t="s">
        <v>22402</v>
      </c>
      <c r="C985" s="51" t="s">
        <v>22404</v>
      </c>
      <c r="D985" s="51"/>
      <c r="E985" s="45" t="s">
        <v>22405</v>
      </c>
      <c r="F985" s="45" t="s">
        <v>50653</v>
      </c>
      <c r="G985" s="45" t="s">
        <v>56509</v>
      </c>
      <c r="H985" s="56"/>
      <c r="I985" s="56" t="s">
        <v>50564</v>
      </c>
      <c r="J985" s="56"/>
      <c r="K985" s="50"/>
      <c r="L985" s="56" t="s">
        <v>56716</v>
      </c>
    </row>
    <row r="986" spans="1:12" s="37" customFormat="1" ht="11.25" x14ac:dyDescent="0.2">
      <c r="A986" s="45" t="s">
        <v>22407</v>
      </c>
      <c r="B986" s="45" t="s">
        <v>22407</v>
      </c>
      <c r="C986" s="51" t="s">
        <v>22410</v>
      </c>
      <c r="D986" s="51" t="s">
        <v>22409</v>
      </c>
      <c r="E986" s="45" t="s">
        <v>291</v>
      </c>
      <c r="F986" s="45" t="s">
        <v>50646</v>
      </c>
      <c r="G986" s="45" t="s">
        <v>50584</v>
      </c>
      <c r="H986" s="56"/>
      <c r="I986" s="56" t="s">
        <v>50564</v>
      </c>
      <c r="J986" s="56"/>
      <c r="K986" s="50"/>
      <c r="L986" s="56" t="s">
        <v>56716</v>
      </c>
    </row>
    <row r="987" spans="1:12" s="37" customFormat="1" ht="11.25" x14ac:dyDescent="0.2">
      <c r="A987" s="46" t="s">
        <v>8539</v>
      </c>
      <c r="B987" s="46" t="s">
        <v>8539</v>
      </c>
      <c r="C987" s="58" t="str">
        <f>"13895729"</f>
        <v>13895729</v>
      </c>
      <c r="D987" s="58" t="str">
        <f>"15736768"</f>
        <v>15736768</v>
      </c>
      <c r="E987" s="46" t="s">
        <v>18876</v>
      </c>
      <c r="F987" s="46" t="s">
        <v>18001</v>
      </c>
      <c r="G987" s="46" t="s">
        <v>50584</v>
      </c>
      <c r="H987" s="48" t="s">
        <v>56716</v>
      </c>
      <c r="I987" s="48" t="s">
        <v>50564</v>
      </c>
      <c r="J987" s="48" t="s">
        <v>56716</v>
      </c>
      <c r="K987" s="50" t="s">
        <v>56716</v>
      </c>
      <c r="L987" s="48" t="s">
        <v>56716</v>
      </c>
    </row>
    <row r="988" spans="1:12" s="37" customFormat="1" ht="11.25" x14ac:dyDescent="0.2">
      <c r="A988" s="46" t="s">
        <v>16973</v>
      </c>
      <c r="B988" s="46" t="s">
        <v>16973</v>
      </c>
      <c r="C988" s="58" t="str">
        <f>"22285652"</f>
        <v>22285652</v>
      </c>
      <c r="D988" s="58" t="str">
        <f>"22285660"</f>
        <v>22285660</v>
      </c>
      <c r="E988" s="46" t="s">
        <v>13621</v>
      </c>
      <c r="F988" s="46" t="s">
        <v>18232</v>
      </c>
      <c r="G988" s="46" t="s">
        <v>50584</v>
      </c>
      <c r="H988" s="48" t="s">
        <v>56716</v>
      </c>
      <c r="I988" s="48" t="s">
        <v>50564</v>
      </c>
      <c r="J988" s="48"/>
      <c r="K988" s="50"/>
      <c r="L988" s="48"/>
    </row>
    <row r="989" spans="1:12" s="37" customFormat="1" ht="11.25" x14ac:dyDescent="0.2">
      <c r="A989" s="45" t="s">
        <v>22415</v>
      </c>
      <c r="B989" s="45" t="s">
        <v>22417</v>
      </c>
      <c r="C989" s="51" t="s">
        <v>22420</v>
      </c>
      <c r="D989" s="51" t="s">
        <v>22419</v>
      </c>
      <c r="E989" s="45" t="s">
        <v>55</v>
      </c>
      <c r="F989" s="45" t="s">
        <v>50646</v>
      </c>
      <c r="G989" s="45" t="s">
        <v>50584</v>
      </c>
      <c r="H989" s="56"/>
      <c r="I989" s="56" t="s">
        <v>50564</v>
      </c>
      <c r="J989" s="56"/>
      <c r="K989" s="50"/>
      <c r="L989" s="56" t="s">
        <v>56716</v>
      </c>
    </row>
    <row r="990" spans="1:12" s="37" customFormat="1" ht="11.25" x14ac:dyDescent="0.2">
      <c r="A990" s="46" t="s">
        <v>13068</v>
      </c>
      <c r="B990" s="46" t="s">
        <v>51294</v>
      </c>
      <c r="C990" s="58" t="str">
        <f>""</f>
        <v/>
      </c>
      <c r="D990" s="58" t="str">
        <f>"11779322"</f>
        <v>11779322</v>
      </c>
      <c r="E990" s="46" t="s">
        <v>11251</v>
      </c>
      <c r="F990" s="46" t="s">
        <v>19483</v>
      </c>
      <c r="G990" s="46" t="s">
        <v>50584</v>
      </c>
      <c r="H990" s="48" t="s">
        <v>56716</v>
      </c>
      <c r="I990" s="48" t="s">
        <v>50564</v>
      </c>
      <c r="J990" s="48"/>
      <c r="K990" s="50"/>
      <c r="L990" s="48"/>
    </row>
    <row r="991" spans="1:12" s="37" customFormat="1" ht="11.25" x14ac:dyDescent="0.2">
      <c r="A991" s="45" t="s">
        <v>22424</v>
      </c>
      <c r="B991" s="45" t="s">
        <v>22426</v>
      </c>
      <c r="C991" s="51" t="s">
        <v>22428</v>
      </c>
      <c r="D991" s="51" t="s">
        <v>22427</v>
      </c>
      <c r="E991" s="45" t="s">
        <v>10223</v>
      </c>
      <c r="F991" s="45" t="s">
        <v>50646</v>
      </c>
      <c r="G991" s="45" t="s">
        <v>50584</v>
      </c>
      <c r="H991" s="56"/>
      <c r="I991" s="56" t="s">
        <v>50564</v>
      </c>
      <c r="J991" s="56"/>
      <c r="K991" s="50"/>
      <c r="L991" s="56" t="s">
        <v>56716</v>
      </c>
    </row>
    <row r="992" spans="1:12" s="37" customFormat="1" ht="11.25" x14ac:dyDescent="0.2">
      <c r="A992" s="45" t="s">
        <v>22431</v>
      </c>
      <c r="B992" s="45" t="s">
        <v>22431</v>
      </c>
      <c r="C992" s="51" t="s">
        <v>22434</v>
      </c>
      <c r="D992" s="51" t="s">
        <v>22433</v>
      </c>
      <c r="E992" s="45" t="s">
        <v>56537</v>
      </c>
      <c r="F992" s="45" t="s">
        <v>17759</v>
      </c>
      <c r="G992" s="45" t="s">
        <v>50584</v>
      </c>
      <c r="H992" s="56"/>
      <c r="I992" s="56" t="s">
        <v>50564</v>
      </c>
      <c r="J992" s="56"/>
      <c r="K992" s="50"/>
      <c r="L992" s="56" t="s">
        <v>56716</v>
      </c>
    </row>
    <row r="993" spans="1:12" s="37" customFormat="1" ht="11.25" x14ac:dyDescent="0.2">
      <c r="A993" s="46" t="s">
        <v>6078</v>
      </c>
      <c r="B993" s="46" t="s">
        <v>51295</v>
      </c>
      <c r="C993" s="58" t="str">
        <f>"09186158"</f>
        <v>09186158</v>
      </c>
      <c r="D993" s="58" t="str">
        <f>"13475215"</f>
        <v>13475215</v>
      </c>
      <c r="E993" s="46" t="s">
        <v>1253</v>
      </c>
      <c r="F993" s="46" t="s">
        <v>18242</v>
      </c>
      <c r="G993" s="46" t="s">
        <v>50584</v>
      </c>
      <c r="H993" s="48" t="s">
        <v>56716</v>
      </c>
      <c r="I993" s="48" t="s">
        <v>50564</v>
      </c>
      <c r="J993" s="48"/>
      <c r="K993" s="50"/>
      <c r="L993" s="48" t="s">
        <v>56716</v>
      </c>
    </row>
    <row r="994" spans="1:12" s="37" customFormat="1" ht="11.25" x14ac:dyDescent="0.2">
      <c r="A994" s="46" t="s">
        <v>7185</v>
      </c>
      <c r="B994" s="46" t="s">
        <v>51296</v>
      </c>
      <c r="C994" s="58" t="str">
        <f>"14316730"</f>
        <v>14316730</v>
      </c>
      <c r="D994" s="58" t="str">
        <f>"14374315"</f>
        <v>14374315</v>
      </c>
      <c r="E994" s="46" t="s">
        <v>1887</v>
      </c>
      <c r="F994" s="46" t="s">
        <v>18158</v>
      </c>
      <c r="G994" s="46" t="s">
        <v>50584</v>
      </c>
      <c r="H994" s="48" t="s">
        <v>56716</v>
      </c>
      <c r="I994" s="48" t="s">
        <v>50564</v>
      </c>
      <c r="J994" s="48" t="s">
        <v>56716</v>
      </c>
      <c r="K994" s="50"/>
      <c r="L994" s="48" t="s">
        <v>56716</v>
      </c>
    </row>
    <row r="995" spans="1:12" s="37" customFormat="1" ht="11.25" x14ac:dyDescent="0.2">
      <c r="A995" s="45" t="s">
        <v>22457</v>
      </c>
      <c r="B995" s="45" t="s">
        <v>22459</v>
      </c>
      <c r="C995" s="51" t="s">
        <v>22462</v>
      </c>
      <c r="D995" s="51" t="s">
        <v>22461</v>
      </c>
      <c r="E995" s="45" t="s">
        <v>167</v>
      </c>
      <c r="F995" s="45" t="s">
        <v>18158</v>
      </c>
      <c r="G995" s="45" t="s">
        <v>50592</v>
      </c>
      <c r="H995" s="56"/>
      <c r="I995" s="56" t="s">
        <v>50564</v>
      </c>
      <c r="J995" s="56"/>
      <c r="K995" s="50"/>
      <c r="L995" s="56" t="s">
        <v>56716</v>
      </c>
    </row>
    <row r="996" spans="1:12" s="37" customFormat="1" ht="11.25" x14ac:dyDescent="0.2">
      <c r="A996" s="46" t="s">
        <v>9230</v>
      </c>
      <c r="B996" s="46" t="s">
        <v>51297</v>
      </c>
      <c r="C996" s="58" t="str">
        <f>"14809222"</f>
        <v>14809222</v>
      </c>
      <c r="D996" s="58" t="str">
        <f>"14809222"</f>
        <v>14809222</v>
      </c>
      <c r="E996" s="46" t="s">
        <v>2299</v>
      </c>
      <c r="F996" s="46" t="s">
        <v>50646</v>
      </c>
      <c r="G996" s="46" t="s">
        <v>50584</v>
      </c>
      <c r="H996" s="48" t="s">
        <v>56716</v>
      </c>
      <c r="I996" s="48" t="s">
        <v>50564</v>
      </c>
      <c r="J996" s="48"/>
      <c r="K996" s="50" t="s">
        <v>56716</v>
      </c>
      <c r="L996" s="48"/>
    </row>
    <row r="997" spans="1:12" s="37" customFormat="1" ht="11.25" x14ac:dyDescent="0.2">
      <c r="A997" s="46" t="s">
        <v>796</v>
      </c>
      <c r="B997" s="46" t="s">
        <v>51298</v>
      </c>
      <c r="C997" s="58" t="str">
        <f>"00063223"</f>
        <v>00063223</v>
      </c>
      <c r="D997" s="58" t="str">
        <f>"18732402"</f>
        <v>18732402</v>
      </c>
      <c r="E997" s="46" t="s">
        <v>673</v>
      </c>
      <c r="F997" s="46" t="s">
        <v>17759</v>
      </c>
      <c r="G997" s="46" t="s">
        <v>50584</v>
      </c>
      <c r="H997" s="48" t="s">
        <v>56716</v>
      </c>
      <c r="I997" s="48" t="s">
        <v>50564</v>
      </c>
      <c r="J997" s="48" t="s">
        <v>56716</v>
      </c>
      <c r="K997" s="50" t="s">
        <v>56716</v>
      </c>
      <c r="L997" s="48" t="s">
        <v>56716</v>
      </c>
    </row>
    <row r="998" spans="1:12" s="37" customFormat="1" ht="11.25" x14ac:dyDescent="0.2">
      <c r="A998" s="46" t="s">
        <v>865</v>
      </c>
      <c r="B998" s="46" t="s">
        <v>51299</v>
      </c>
      <c r="C998" s="58" t="str">
        <f>"03010511"</f>
        <v>03010511</v>
      </c>
      <c r="D998" s="58" t="str">
        <f>"18736246"</f>
        <v>18736246</v>
      </c>
      <c r="E998" s="46" t="s">
        <v>91</v>
      </c>
      <c r="F998" s="46" t="s">
        <v>18001</v>
      </c>
      <c r="G998" s="46" t="s">
        <v>50584</v>
      </c>
      <c r="H998" s="48" t="s">
        <v>56716</v>
      </c>
      <c r="I998" s="48" t="s">
        <v>50564</v>
      </c>
      <c r="J998" s="48" t="s">
        <v>56716</v>
      </c>
      <c r="K998" s="50"/>
      <c r="L998" s="48" t="s">
        <v>56716</v>
      </c>
    </row>
    <row r="999" spans="1:12" s="37" customFormat="1" ht="11.25" x14ac:dyDescent="0.2">
      <c r="A999" s="45" t="s">
        <v>22478</v>
      </c>
      <c r="B999" s="45" t="s">
        <v>22480</v>
      </c>
      <c r="C999" s="51" t="s">
        <v>22483</v>
      </c>
      <c r="D999" s="51" t="s">
        <v>22482</v>
      </c>
      <c r="E999" s="45" t="s">
        <v>22484</v>
      </c>
      <c r="F999" s="45" t="s">
        <v>50646</v>
      </c>
      <c r="G999" s="45" t="s">
        <v>50584</v>
      </c>
      <c r="H999" s="56"/>
      <c r="I999" s="56" t="s">
        <v>50564</v>
      </c>
      <c r="J999" s="56"/>
      <c r="K999" s="50"/>
      <c r="L999" s="56" t="s">
        <v>56716</v>
      </c>
    </row>
    <row r="1000" spans="1:12" s="37" customFormat="1" ht="11.25" x14ac:dyDescent="0.2">
      <c r="A1000" s="45" t="s">
        <v>22486</v>
      </c>
      <c r="B1000" s="45" t="s">
        <v>22488</v>
      </c>
      <c r="C1000" s="51" t="s">
        <v>22490</v>
      </c>
      <c r="D1000" s="51" t="s">
        <v>22489</v>
      </c>
      <c r="E1000" s="45" t="s">
        <v>19713</v>
      </c>
      <c r="F1000" s="45" t="s">
        <v>17759</v>
      </c>
      <c r="G1000" s="45" t="s">
        <v>50584</v>
      </c>
      <c r="H1000" s="56"/>
      <c r="I1000" s="56" t="s">
        <v>50564</v>
      </c>
      <c r="J1000" s="56"/>
      <c r="K1000" s="50"/>
      <c r="L1000" s="56" t="s">
        <v>56716</v>
      </c>
    </row>
    <row r="1001" spans="1:12" s="37" customFormat="1" ht="11.25" x14ac:dyDescent="0.2">
      <c r="A1001" s="45" t="s">
        <v>22493</v>
      </c>
      <c r="B1001" s="45" t="s">
        <v>22495</v>
      </c>
      <c r="C1001" s="51" t="s">
        <v>22498</v>
      </c>
      <c r="D1001" s="51" t="s">
        <v>22497</v>
      </c>
      <c r="E1001" s="45" t="s">
        <v>22500</v>
      </c>
      <c r="F1001" s="45" t="s">
        <v>50646</v>
      </c>
      <c r="G1001" s="45" t="s">
        <v>50584</v>
      </c>
      <c r="H1001" s="56"/>
      <c r="I1001" s="56" t="s">
        <v>50564</v>
      </c>
      <c r="J1001" s="56"/>
      <c r="K1001" s="50"/>
      <c r="L1001" s="56" t="s">
        <v>56716</v>
      </c>
    </row>
    <row r="1002" spans="1:12" s="37" customFormat="1" ht="11.25" x14ac:dyDescent="0.2">
      <c r="A1002" s="46" t="s">
        <v>6956</v>
      </c>
      <c r="B1002" s="46" t="s">
        <v>51300</v>
      </c>
      <c r="C1002" s="58" t="str">
        <f>"09291016"</f>
        <v>09291016</v>
      </c>
      <c r="D1002" s="58" t="str">
        <f>"17444179"</f>
        <v>17444179</v>
      </c>
      <c r="E1002" s="46" t="s">
        <v>310</v>
      </c>
      <c r="F1002" s="46" t="s">
        <v>50646</v>
      </c>
      <c r="G1002" s="46" t="s">
        <v>50584</v>
      </c>
      <c r="H1002" s="48" t="s">
        <v>56716</v>
      </c>
      <c r="I1002" s="48" t="s">
        <v>50564</v>
      </c>
      <c r="J1002" s="48"/>
      <c r="K1002" s="50" t="s">
        <v>56716</v>
      </c>
      <c r="L1002" s="48"/>
    </row>
    <row r="1003" spans="1:12" s="37" customFormat="1" ht="11.25" x14ac:dyDescent="0.2">
      <c r="A1003" s="46" t="s">
        <v>937</v>
      </c>
      <c r="B1003" s="46" t="s">
        <v>51301</v>
      </c>
      <c r="C1003" s="58" t="str">
        <f>"01634984"</f>
        <v>01634984</v>
      </c>
      <c r="D1003" s="58" t="str">
        <f>"15590720"</f>
        <v>15590720</v>
      </c>
      <c r="E1003" s="46" t="s">
        <v>40314</v>
      </c>
      <c r="F1003" s="46" t="s">
        <v>17759</v>
      </c>
      <c r="G1003" s="46" t="s">
        <v>50584</v>
      </c>
      <c r="H1003" s="48" t="s">
        <v>56716</v>
      </c>
      <c r="I1003" s="48" t="s">
        <v>50564</v>
      </c>
      <c r="J1003" s="48"/>
      <c r="K1003" s="50" t="s">
        <v>56716</v>
      </c>
      <c r="L1003" s="48" t="s">
        <v>56716</v>
      </c>
    </row>
    <row r="1004" spans="1:12" s="37" customFormat="1" ht="11.25" x14ac:dyDescent="0.2">
      <c r="A1004" s="46" t="s">
        <v>5430</v>
      </c>
      <c r="B1004" s="46" t="s">
        <v>5430</v>
      </c>
      <c r="C1004" s="58" t="str">
        <f>"10451056"</f>
        <v>10451056</v>
      </c>
      <c r="D1004" s="58" t="str">
        <f>"10958320"</f>
        <v>10958320</v>
      </c>
      <c r="E1004" s="46" t="s">
        <v>601</v>
      </c>
      <c r="F1004" s="46" t="s">
        <v>50646</v>
      </c>
      <c r="G1004" s="46" t="s">
        <v>50584</v>
      </c>
      <c r="H1004" s="48" t="s">
        <v>56716</v>
      </c>
      <c r="I1004" s="48" t="s">
        <v>50564</v>
      </c>
      <c r="J1004" s="48" t="s">
        <v>56716</v>
      </c>
      <c r="K1004" s="50" t="s">
        <v>56716</v>
      </c>
      <c r="L1004" s="48" t="s">
        <v>56716</v>
      </c>
    </row>
    <row r="1005" spans="1:12" s="37" customFormat="1" ht="11.25" x14ac:dyDescent="0.2">
      <c r="A1005" s="46" t="s">
        <v>16443</v>
      </c>
      <c r="B1005" s="46" t="s">
        <v>51302</v>
      </c>
      <c r="C1005" s="58" t="str">
        <f>"21955840"</f>
        <v>21955840</v>
      </c>
      <c r="D1005" s="58" t="str">
        <f>"21909164"</f>
        <v>21909164</v>
      </c>
      <c r="E1005" s="46" t="s">
        <v>17556</v>
      </c>
      <c r="F1005" s="46" t="s">
        <v>50646</v>
      </c>
      <c r="G1005" s="46" t="s">
        <v>50584</v>
      </c>
      <c r="H1005" s="48" t="s">
        <v>56716</v>
      </c>
      <c r="I1005" s="48" t="s">
        <v>50564</v>
      </c>
      <c r="J1005" s="48" t="s">
        <v>56716</v>
      </c>
      <c r="K1005" s="50"/>
      <c r="L1005" s="48"/>
    </row>
    <row r="1006" spans="1:12" s="37" customFormat="1" ht="11.25" x14ac:dyDescent="0.2">
      <c r="A1006" s="46" t="s">
        <v>13009</v>
      </c>
      <c r="B1006" s="46" t="s">
        <v>51303</v>
      </c>
      <c r="C1006" s="58" t="str">
        <f>"11775475"</f>
        <v>11775475</v>
      </c>
      <c r="D1006" s="58" t="str">
        <f>"11775491"</f>
        <v>11775491</v>
      </c>
      <c r="E1006" s="46" t="s">
        <v>11079</v>
      </c>
      <c r="F1006" s="46" t="s">
        <v>19483</v>
      </c>
      <c r="G1006" s="46" t="s">
        <v>50584</v>
      </c>
      <c r="H1006" s="48" t="s">
        <v>56716</v>
      </c>
      <c r="I1006" s="48" t="s">
        <v>50564</v>
      </c>
      <c r="J1006" s="48"/>
      <c r="K1006" s="50"/>
      <c r="L1006" s="48"/>
    </row>
    <row r="1007" spans="1:12" s="37" customFormat="1" ht="11.25" x14ac:dyDescent="0.2">
      <c r="A1007" s="45" t="s">
        <v>22513</v>
      </c>
      <c r="B1007" s="45" t="s">
        <v>22515</v>
      </c>
      <c r="C1007" s="51" t="s">
        <v>22518</v>
      </c>
      <c r="D1007" s="51" t="s">
        <v>22517</v>
      </c>
      <c r="E1007" s="45" t="s">
        <v>22519</v>
      </c>
      <c r="F1007" s="45" t="s">
        <v>20359</v>
      </c>
      <c r="G1007" s="45" t="s">
        <v>50591</v>
      </c>
      <c r="H1007" s="56"/>
      <c r="I1007" s="56" t="s">
        <v>50564</v>
      </c>
      <c r="J1007" s="56"/>
      <c r="K1007" s="50"/>
      <c r="L1007" s="56" t="s">
        <v>56716</v>
      </c>
    </row>
    <row r="1008" spans="1:12" s="37" customFormat="1" ht="11.25" x14ac:dyDescent="0.2">
      <c r="A1008" s="45" t="s">
        <v>22521</v>
      </c>
      <c r="B1008" s="45" t="s">
        <v>22523</v>
      </c>
      <c r="C1008" s="51" t="s">
        <v>22525</v>
      </c>
      <c r="D1008" s="51"/>
      <c r="E1008" s="45" t="s">
        <v>22526</v>
      </c>
      <c r="F1008" s="45" t="s">
        <v>50646</v>
      </c>
      <c r="G1008" s="45" t="s">
        <v>50584</v>
      </c>
      <c r="H1008" s="56"/>
      <c r="I1008" s="56" t="s">
        <v>50564</v>
      </c>
      <c r="J1008" s="56"/>
      <c r="K1008" s="50"/>
      <c r="L1008" s="56" t="s">
        <v>56716</v>
      </c>
    </row>
    <row r="1009" spans="1:12" s="37" customFormat="1" ht="11.25" x14ac:dyDescent="0.2">
      <c r="A1009" s="45" t="s">
        <v>22529</v>
      </c>
      <c r="B1009" s="45" t="s">
        <v>22531</v>
      </c>
      <c r="C1009" s="51"/>
      <c r="D1009" s="51" t="s">
        <v>22532</v>
      </c>
      <c r="E1009" s="45" t="s">
        <v>18570</v>
      </c>
      <c r="F1009" s="45" t="s">
        <v>50646</v>
      </c>
      <c r="G1009" s="45" t="s">
        <v>50584</v>
      </c>
      <c r="H1009" s="56"/>
      <c r="I1009" s="56" t="s">
        <v>50564</v>
      </c>
      <c r="J1009" s="56"/>
      <c r="K1009" s="50"/>
      <c r="L1009" s="56" t="s">
        <v>56716</v>
      </c>
    </row>
    <row r="1010" spans="1:12" s="37" customFormat="1" ht="11.25" x14ac:dyDescent="0.2">
      <c r="A1010" s="45" t="s">
        <v>22534</v>
      </c>
      <c r="B1010" s="45" t="s">
        <v>22536</v>
      </c>
      <c r="C1010" s="51" t="s">
        <v>22539</v>
      </c>
      <c r="D1010" s="51" t="s">
        <v>22538</v>
      </c>
      <c r="E1010" s="45" t="s">
        <v>22540</v>
      </c>
      <c r="F1010" s="45" t="s">
        <v>50646</v>
      </c>
      <c r="G1010" s="45" t="s">
        <v>50584</v>
      </c>
      <c r="H1010" s="56"/>
      <c r="I1010" s="56" t="s">
        <v>50564</v>
      </c>
      <c r="J1010" s="56"/>
      <c r="K1010" s="50"/>
      <c r="L1010" s="56" t="s">
        <v>56716</v>
      </c>
    </row>
    <row r="1011" spans="1:12" s="37" customFormat="1" ht="11.25" x14ac:dyDescent="0.2">
      <c r="A1011" s="46" t="s">
        <v>8536</v>
      </c>
      <c r="B1011" s="46" t="s">
        <v>51304</v>
      </c>
      <c r="C1011" s="58" t="str">
        <f>"10838791"</f>
        <v>10838791</v>
      </c>
      <c r="D1011" s="58" t="str">
        <f>"15236536"</f>
        <v>15236536</v>
      </c>
      <c r="E1011" s="46" t="s">
        <v>272</v>
      </c>
      <c r="F1011" s="46" t="s">
        <v>17759</v>
      </c>
      <c r="G1011" s="46" t="s">
        <v>50584</v>
      </c>
      <c r="H1011" s="48" t="s">
        <v>56716</v>
      </c>
      <c r="I1011" s="48" t="s">
        <v>50564</v>
      </c>
      <c r="J1011" s="48"/>
      <c r="K1011" s="50" t="s">
        <v>56716</v>
      </c>
      <c r="L1011" s="48" t="s">
        <v>56716</v>
      </c>
    </row>
    <row r="1012" spans="1:12" s="37" customFormat="1" ht="11.25" x14ac:dyDescent="0.2">
      <c r="A1012" s="46" t="s">
        <v>16614</v>
      </c>
      <c r="B1012" s="46" t="s">
        <v>51305</v>
      </c>
      <c r="C1012" s="58" t="str">
        <f>""</f>
        <v/>
      </c>
      <c r="D1012" s="58" t="str">
        <f>"20455380"</f>
        <v>20455380</v>
      </c>
      <c r="E1012" s="46" t="s">
        <v>2299</v>
      </c>
      <c r="F1012" s="46" t="s">
        <v>50646</v>
      </c>
      <c r="G1012" s="46" t="s">
        <v>50584</v>
      </c>
      <c r="H1012" s="48" t="s">
        <v>56716</v>
      </c>
      <c r="I1012" s="48" t="s">
        <v>50564</v>
      </c>
      <c r="J1012" s="48" t="s">
        <v>56716</v>
      </c>
      <c r="K1012" s="50"/>
      <c r="L1012" s="48"/>
    </row>
    <row r="1013" spans="1:12" s="37" customFormat="1" ht="11.25" x14ac:dyDescent="0.2">
      <c r="A1013" s="46" t="s">
        <v>805</v>
      </c>
      <c r="B1013" s="46" t="s">
        <v>51306</v>
      </c>
      <c r="C1013" s="58" t="str">
        <f>"00063363"</f>
        <v>00063363</v>
      </c>
      <c r="D1013" s="58" t="str">
        <f>"15297268"</f>
        <v>15297268</v>
      </c>
      <c r="E1013" s="46" t="s">
        <v>808</v>
      </c>
      <c r="F1013" s="46" t="s">
        <v>17759</v>
      </c>
      <c r="G1013" s="46" t="s">
        <v>50584</v>
      </c>
      <c r="H1013" s="48" t="s">
        <v>56716</v>
      </c>
      <c r="I1013" s="48" t="s">
        <v>50564</v>
      </c>
      <c r="J1013" s="48" t="s">
        <v>56716</v>
      </c>
      <c r="K1013" s="50"/>
      <c r="L1013" s="48" t="s">
        <v>56716</v>
      </c>
    </row>
    <row r="1014" spans="1:12" s="37" customFormat="1" ht="11.25" x14ac:dyDescent="0.2">
      <c r="A1014" s="46" t="s">
        <v>732</v>
      </c>
      <c r="B1014" s="46" t="s">
        <v>51307</v>
      </c>
      <c r="C1014" s="58" t="str">
        <f>"02484900"</f>
        <v>02484900</v>
      </c>
      <c r="D1014" s="58" t="str">
        <f>"1768322X"</f>
        <v>1768322X</v>
      </c>
      <c r="E1014" s="46" t="s">
        <v>555</v>
      </c>
      <c r="F1014" s="46" t="s">
        <v>50646</v>
      </c>
      <c r="G1014" s="46" t="s">
        <v>50584</v>
      </c>
      <c r="H1014" s="48" t="s">
        <v>56716</v>
      </c>
      <c r="I1014" s="48" t="s">
        <v>50564</v>
      </c>
      <c r="J1014" s="48" t="s">
        <v>56716</v>
      </c>
      <c r="K1014" s="50" t="s">
        <v>56716</v>
      </c>
      <c r="L1014" s="48" t="s">
        <v>56716</v>
      </c>
    </row>
    <row r="1015" spans="1:12" s="37" customFormat="1" ht="11.25" x14ac:dyDescent="0.2">
      <c r="A1015" s="46" t="s">
        <v>8657</v>
      </c>
      <c r="B1015" s="46" t="s">
        <v>8657</v>
      </c>
      <c r="C1015" s="58" t="str">
        <f>"15257797"</f>
        <v>15257797</v>
      </c>
      <c r="D1015" s="58" t="str">
        <f>"15264602"</f>
        <v>15264602</v>
      </c>
      <c r="E1015" s="46" t="s">
        <v>776</v>
      </c>
      <c r="F1015" s="46" t="s">
        <v>17759</v>
      </c>
      <c r="G1015" s="46" t="s">
        <v>50584</v>
      </c>
      <c r="H1015" s="48" t="s">
        <v>56716</v>
      </c>
      <c r="I1015" s="48" t="s">
        <v>50564</v>
      </c>
      <c r="J1015" s="48" t="s">
        <v>56716</v>
      </c>
      <c r="K1015" s="50"/>
      <c r="L1015" s="48" t="s">
        <v>56716</v>
      </c>
    </row>
    <row r="1016" spans="1:12" s="37" customFormat="1" ht="11.25" x14ac:dyDescent="0.2">
      <c r="A1016" s="46" t="s">
        <v>12226</v>
      </c>
      <c r="B1016" s="46" t="s">
        <v>12226</v>
      </c>
      <c r="C1016" s="58" t="str">
        <f>""</f>
        <v/>
      </c>
      <c r="D1016" s="58" t="str">
        <f>"11772719"</f>
        <v>11772719</v>
      </c>
      <c r="E1016" s="46" t="s">
        <v>11251</v>
      </c>
      <c r="F1016" s="46" t="s">
        <v>19483</v>
      </c>
      <c r="G1016" s="46" t="s">
        <v>50584</v>
      </c>
      <c r="H1016" s="48" t="s">
        <v>56716</v>
      </c>
      <c r="I1016" s="48" t="s">
        <v>50564</v>
      </c>
      <c r="J1016" s="48"/>
      <c r="K1016" s="50"/>
      <c r="L1016" s="48"/>
    </row>
    <row r="1017" spans="1:12" s="37" customFormat="1" ht="11.25" x14ac:dyDescent="0.2">
      <c r="A1017" s="46" t="s">
        <v>17212</v>
      </c>
      <c r="B1017" s="46" t="s">
        <v>51308</v>
      </c>
      <c r="C1017" s="58" t="str">
        <f>""</f>
        <v/>
      </c>
      <c r="D1017" s="58" t="str">
        <f>"20507771"</f>
        <v>20507771</v>
      </c>
      <c r="E1017" s="46" t="s">
        <v>2299</v>
      </c>
      <c r="F1017" s="46" t="s">
        <v>50646</v>
      </c>
      <c r="G1017" s="46" t="s">
        <v>50584</v>
      </c>
      <c r="H1017" s="48" t="s">
        <v>56716</v>
      </c>
      <c r="I1017" s="48" t="s">
        <v>50564</v>
      </c>
      <c r="J1017" s="48" t="s">
        <v>56716</v>
      </c>
      <c r="K1017" s="50"/>
      <c r="L1017" s="48"/>
    </row>
    <row r="1018" spans="1:12" s="37" customFormat="1" ht="11.25" x14ac:dyDescent="0.2">
      <c r="A1018" s="46" t="s">
        <v>7361</v>
      </c>
      <c r="B1018" s="46" t="s">
        <v>7361</v>
      </c>
      <c r="C1018" s="58" t="str">
        <f>"1354750X"</f>
        <v>1354750X</v>
      </c>
      <c r="D1018" s="58" t="str">
        <f>"13665804"</f>
        <v>13665804</v>
      </c>
      <c r="E1018" s="46" t="s">
        <v>291</v>
      </c>
      <c r="F1018" s="46" t="s">
        <v>50646</v>
      </c>
      <c r="G1018" s="46" t="s">
        <v>50584</v>
      </c>
      <c r="H1018" s="48" t="s">
        <v>56716</v>
      </c>
      <c r="I1018" s="48" t="s">
        <v>50564</v>
      </c>
      <c r="J1018" s="48"/>
      <c r="K1018" s="50"/>
      <c r="L1018" s="48" t="s">
        <v>56716</v>
      </c>
    </row>
    <row r="1019" spans="1:12" s="37" customFormat="1" ht="11.25" x14ac:dyDescent="0.2">
      <c r="A1019" s="46" t="s">
        <v>17175</v>
      </c>
      <c r="B1019" s="46" t="s">
        <v>51309</v>
      </c>
      <c r="C1019" s="58" t="str">
        <f>"22140247"</f>
        <v>22140247</v>
      </c>
      <c r="D1019" s="58" t="str">
        <f>""</f>
        <v/>
      </c>
      <c r="E1019" s="46" t="s">
        <v>272</v>
      </c>
      <c r="F1019" s="46" t="s">
        <v>17759</v>
      </c>
      <c r="G1019" s="46" t="s">
        <v>50584</v>
      </c>
      <c r="H1019" s="48" t="s">
        <v>56716</v>
      </c>
      <c r="I1019" s="48" t="s">
        <v>50564</v>
      </c>
      <c r="J1019" s="48" t="s">
        <v>56716</v>
      </c>
      <c r="K1019" s="50" t="s">
        <v>56716</v>
      </c>
      <c r="L1019" s="48"/>
    </row>
    <row r="1020" spans="1:12" s="37" customFormat="1" ht="11.25" x14ac:dyDescent="0.2">
      <c r="A1020" s="46" t="s">
        <v>12329</v>
      </c>
      <c r="B1020" s="46" t="s">
        <v>51310</v>
      </c>
      <c r="C1020" s="58" t="str">
        <f>"17520363"</f>
        <v>17520363</v>
      </c>
      <c r="D1020" s="58" t="str">
        <f>"17520371"</f>
        <v>17520371</v>
      </c>
      <c r="E1020" s="46" t="s">
        <v>8442</v>
      </c>
      <c r="F1020" s="46" t="s">
        <v>50646</v>
      </c>
      <c r="G1020" s="46" t="s">
        <v>50584</v>
      </c>
      <c r="H1020" s="48" t="s">
        <v>56716</v>
      </c>
      <c r="I1020" s="48" t="s">
        <v>50564</v>
      </c>
      <c r="J1020" s="48"/>
      <c r="K1020" s="50"/>
      <c r="L1020" s="48" t="s">
        <v>56716</v>
      </c>
    </row>
    <row r="1021" spans="1:12" s="37" customFormat="1" ht="11.25" x14ac:dyDescent="0.2">
      <c r="A1021" s="46" t="s">
        <v>790</v>
      </c>
      <c r="B1021" s="46" t="s">
        <v>790</v>
      </c>
      <c r="C1021" s="58" t="str">
        <f>"01429612"</f>
        <v>01429612</v>
      </c>
      <c r="D1021" s="58" t="str">
        <f>"18785905"</f>
        <v>18785905</v>
      </c>
      <c r="E1021" s="46" t="s">
        <v>155</v>
      </c>
      <c r="F1021" s="46" t="s">
        <v>50646</v>
      </c>
      <c r="G1021" s="46" t="s">
        <v>50584</v>
      </c>
      <c r="H1021" s="48" t="s">
        <v>56716</v>
      </c>
      <c r="I1021" s="48" t="s">
        <v>50564</v>
      </c>
      <c r="J1021" s="48" t="s">
        <v>56716</v>
      </c>
      <c r="K1021" s="50" t="s">
        <v>56716</v>
      </c>
      <c r="L1021" s="48" t="s">
        <v>56716</v>
      </c>
    </row>
    <row r="1022" spans="1:12" s="37" customFormat="1" ht="11.25" x14ac:dyDescent="0.2">
      <c r="A1022" s="46" t="s">
        <v>16587</v>
      </c>
      <c r="B1022" s="46" t="s">
        <v>51311</v>
      </c>
      <c r="C1022" s="58" t="str">
        <f>"20474830"</f>
        <v>20474830</v>
      </c>
      <c r="D1022" s="58" t="str">
        <f>"20474849"</f>
        <v>20474849</v>
      </c>
      <c r="E1022" s="46" t="s">
        <v>6914</v>
      </c>
      <c r="F1022" s="46" t="s">
        <v>50646</v>
      </c>
      <c r="G1022" s="46" t="s">
        <v>50584</v>
      </c>
      <c r="H1022" s="48" t="s">
        <v>56716</v>
      </c>
      <c r="I1022" s="48" t="s">
        <v>50564</v>
      </c>
      <c r="J1022" s="48" t="s">
        <v>56716</v>
      </c>
      <c r="K1022" s="50"/>
      <c r="L1022" s="48"/>
    </row>
    <row r="1023" spans="1:12" s="37" customFormat="1" ht="11.25" x14ac:dyDescent="0.2">
      <c r="A1023" s="46" t="s">
        <v>16838</v>
      </c>
      <c r="B1023" s="46" t="s">
        <v>16838</v>
      </c>
      <c r="C1023" s="58" t="str">
        <f>"21592527"</f>
        <v>21592527</v>
      </c>
      <c r="D1023" s="58" t="str">
        <f>"21592535"</f>
        <v>21592535</v>
      </c>
      <c r="E1023" s="46" t="s">
        <v>669</v>
      </c>
      <c r="F1023" s="46" t="s">
        <v>17759</v>
      </c>
      <c r="G1023" s="46" t="s">
        <v>50584</v>
      </c>
      <c r="H1023" s="48" t="s">
        <v>56716</v>
      </c>
      <c r="I1023" s="48" t="s">
        <v>50564</v>
      </c>
      <c r="J1023" s="48"/>
      <c r="K1023" s="50"/>
      <c r="L1023" s="48" t="s">
        <v>56716</v>
      </c>
    </row>
    <row r="1024" spans="1:12" s="37" customFormat="1" ht="11.25" x14ac:dyDescent="0.2">
      <c r="A1024" s="46" t="s">
        <v>9921</v>
      </c>
      <c r="B1024" s="46" t="s">
        <v>51312</v>
      </c>
      <c r="C1024" s="58" t="str">
        <f>"16177959"</f>
        <v>16177959</v>
      </c>
      <c r="D1024" s="58" t="str">
        <f>"16177940"</f>
        <v>16177940</v>
      </c>
      <c r="E1024" s="46" t="s">
        <v>167</v>
      </c>
      <c r="F1024" s="46" t="s">
        <v>18158</v>
      </c>
      <c r="G1024" s="46" t="s">
        <v>50584</v>
      </c>
      <c r="H1024" s="48" t="s">
        <v>56716</v>
      </c>
      <c r="I1024" s="48" t="s">
        <v>50564</v>
      </c>
      <c r="J1024" s="48" t="s">
        <v>56716</v>
      </c>
      <c r="K1024" s="50" t="s">
        <v>56716</v>
      </c>
      <c r="L1024" s="48" t="s">
        <v>56716</v>
      </c>
    </row>
    <row r="1025" spans="1:12" s="37" customFormat="1" ht="11.25" x14ac:dyDescent="0.2">
      <c r="A1025" s="46" t="s">
        <v>16539</v>
      </c>
      <c r="B1025" s="46" t="s">
        <v>51313</v>
      </c>
      <c r="C1025" s="58" t="str">
        <f>"23146133"</f>
        <v>23146133</v>
      </c>
      <c r="D1025" s="58" t="str">
        <f>"23146141"</f>
        <v>23146141</v>
      </c>
      <c r="E1025" s="46" t="s">
        <v>1412</v>
      </c>
      <c r="F1025" s="46" t="s">
        <v>17759</v>
      </c>
      <c r="G1025" s="46" t="s">
        <v>50584</v>
      </c>
      <c r="H1025" s="48" t="s">
        <v>56716</v>
      </c>
      <c r="I1025" s="48" t="s">
        <v>50564</v>
      </c>
      <c r="J1025" s="48"/>
      <c r="K1025" s="50"/>
      <c r="L1025" s="48" t="s">
        <v>56716</v>
      </c>
    </row>
    <row r="1026" spans="1:12" s="37" customFormat="1" ht="11.25" x14ac:dyDescent="0.2">
      <c r="A1026" s="45" t="s">
        <v>22587</v>
      </c>
      <c r="B1026" s="45" t="s">
        <v>22589</v>
      </c>
      <c r="C1026" s="51" t="s">
        <v>22590</v>
      </c>
      <c r="D1026" s="51"/>
      <c r="E1026" s="45" t="s">
        <v>13637</v>
      </c>
      <c r="F1026" s="45" t="s">
        <v>22591</v>
      </c>
      <c r="G1026" s="45" t="s">
        <v>50633</v>
      </c>
      <c r="H1026" s="56"/>
      <c r="I1026" s="56" t="s">
        <v>50564</v>
      </c>
      <c r="J1026" s="56"/>
      <c r="K1026" s="50"/>
      <c r="L1026" s="56" t="s">
        <v>56716</v>
      </c>
    </row>
    <row r="1027" spans="1:12" s="37" customFormat="1" ht="11.25" x14ac:dyDescent="0.2">
      <c r="A1027" s="45" t="s">
        <v>22593</v>
      </c>
      <c r="B1027" s="45" t="s">
        <v>22595</v>
      </c>
      <c r="C1027" s="51" t="s">
        <v>22596</v>
      </c>
      <c r="D1027" s="51"/>
      <c r="E1027" s="45" t="s">
        <v>601</v>
      </c>
      <c r="F1027" s="45" t="s">
        <v>17759</v>
      </c>
      <c r="G1027" s="45" t="s">
        <v>50584</v>
      </c>
      <c r="H1027" s="56"/>
      <c r="I1027" s="56" t="s">
        <v>50564</v>
      </c>
      <c r="J1027" s="56"/>
      <c r="K1027" s="50"/>
      <c r="L1027" s="56" t="s">
        <v>56716</v>
      </c>
    </row>
    <row r="1028" spans="1:12" s="37" customFormat="1" ht="11.25" x14ac:dyDescent="0.2">
      <c r="A1028" s="46" t="s">
        <v>16089</v>
      </c>
      <c r="B1028" s="46" t="s">
        <v>51314</v>
      </c>
      <c r="C1028" s="58" t="str">
        <f>"09296743"</f>
        <v>09296743</v>
      </c>
      <c r="D1028" s="58" t="str">
        <f>"18798098"</f>
        <v>18798098</v>
      </c>
      <c r="E1028" s="46" t="s">
        <v>920</v>
      </c>
      <c r="F1028" s="46" t="s">
        <v>18001</v>
      </c>
      <c r="G1028" s="46" t="s">
        <v>50584</v>
      </c>
      <c r="H1028" s="48" t="s">
        <v>56716</v>
      </c>
      <c r="I1028" s="48" t="s">
        <v>50565</v>
      </c>
      <c r="J1028" s="48"/>
      <c r="K1028" s="50"/>
      <c r="L1028" s="48"/>
    </row>
    <row r="1029" spans="1:12" s="37" customFormat="1" ht="11.25" x14ac:dyDescent="0.2">
      <c r="A1029" s="46" t="s">
        <v>13241</v>
      </c>
      <c r="B1029" s="46" t="s">
        <v>51315</v>
      </c>
      <c r="C1029" s="58" t="str">
        <f>"09746242"</f>
        <v>09746242</v>
      </c>
      <c r="D1029" s="58" t="str">
        <f>""</f>
        <v/>
      </c>
      <c r="E1029" s="46" t="s">
        <v>10650</v>
      </c>
      <c r="F1029" s="46" t="s">
        <v>20446</v>
      </c>
      <c r="G1029" s="46" t="s">
        <v>50584</v>
      </c>
      <c r="H1029" s="48" t="s">
        <v>56716</v>
      </c>
      <c r="I1029" s="48" t="s">
        <v>50564</v>
      </c>
      <c r="J1029" s="48"/>
      <c r="K1029" s="50"/>
      <c r="L1029" s="48"/>
    </row>
    <row r="1030" spans="1:12" s="37" customFormat="1" ht="11.25" x14ac:dyDescent="0.2">
      <c r="A1030" s="46" t="s">
        <v>4153</v>
      </c>
      <c r="B1030" s="46" t="s">
        <v>51316</v>
      </c>
      <c r="C1030" s="58" t="str">
        <f>"02693879"</f>
        <v>02693879</v>
      </c>
      <c r="D1030" s="58" t="str">
        <f>"10990801"</f>
        <v>10990801</v>
      </c>
      <c r="E1030" s="46" t="s">
        <v>751</v>
      </c>
      <c r="F1030" s="46" t="s">
        <v>50646</v>
      </c>
      <c r="G1030" s="46" t="s">
        <v>50584</v>
      </c>
      <c r="H1030" s="48" t="s">
        <v>56716</v>
      </c>
      <c r="I1030" s="48" t="s">
        <v>50564</v>
      </c>
      <c r="J1030" s="48"/>
      <c r="K1030" s="50" t="s">
        <v>56716</v>
      </c>
      <c r="L1030" s="48" t="s">
        <v>56716</v>
      </c>
    </row>
    <row r="1031" spans="1:12" s="37" customFormat="1" ht="11.25" x14ac:dyDescent="0.2">
      <c r="A1031" s="46" t="s">
        <v>793</v>
      </c>
      <c r="B1031" s="46" t="s">
        <v>51317</v>
      </c>
      <c r="C1031" s="58" t="str">
        <f>"00063398"</f>
        <v>00063398</v>
      </c>
      <c r="D1031" s="58" t="str">
        <f>"15738256"</f>
        <v>15738256</v>
      </c>
      <c r="E1031" s="46" t="s">
        <v>56305</v>
      </c>
      <c r="F1031" s="46" t="s">
        <v>17759</v>
      </c>
      <c r="G1031" s="46" t="s">
        <v>50584</v>
      </c>
      <c r="H1031" s="48" t="s">
        <v>56716</v>
      </c>
      <c r="I1031" s="48" t="s">
        <v>50564</v>
      </c>
      <c r="J1031" s="48" t="s">
        <v>56716</v>
      </c>
      <c r="K1031" s="50" t="s">
        <v>56716</v>
      </c>
      <c r="L1031" s="48"/>
    </row>
    <row r="1032" spans="1:12" s="37" customFormat="1" ht="11.25" x14ac:dyDescent="0.2">
      <c r="A1032" s="46" t="s">
        <v>6732</v>
      </c>
      <c r="B1032" s="46" t="s">
        <v>51318</v>
      </c>
      <c r="C1032" s="58" t="str">
        <f>"10162372"</f>
        <v>10162372</v>
      </c>
      <c r="D1032" s="58" t="str">
        <f>""</f>
        <v/>
      </c>
      <c r="E1032" s="46" t="s">
        <v>275</v>
      </c>
      <c r="F1032" s="46" t="s">
        <v>19491</v>
      </c>
      <c r="G1032" s="46" t="s">
        <v>50584</v>
      </c>
      <c r="H1032" s="48" t="s">
        <v>56716</v>
      </c>
      <c r="I1032" s="48" t="s">
        <v>50564</v>
      </c>
      <c r="J1032" s="48"/>
      <c r="K1032" s="50" t="s">
        <v>56716</v>
      </c>
      <c r="L1032" s="48"/>
    </row>
    <row r="1033" spans="1:12" s="37" customFormat="1" ht="11.25" x14ac:dyDescent="0.2">
      <c r="A1033" s="46" t="s">
        <v>16006</v>
      </c>
      <c r="B1033" s="46" t="s">
        <v>51319</v>
      </c>
      <c r="C1033" s="58" t="str">
        <f>"20939868"</f>
        <v>20939868</v>
      </c>
      <c r="D1033" s="58" t="str">
        <f>"2093985X"</f>
        <v>2093985X</v>
      </c>
      <c r="E1033" s="46" t="s">
        <v>167</v>
      </c>
      <c r="F1033" s="46" t="s">
        <v>18158</v>
      </c>
      <c r="G1033" s="46" t="s">
        <v>50584</v>
      </c>
      <c r="H1033" s="48" t="s">
        <v>56716</v>
      </c>
      <c r="I1033" s="48" t="s">
        <v>50564</v>
      </c>
      <c r="J1033" s="48" t="s">
        <v>56716</v>
      </c>
      <c r="K1033" s="50"/>
      <c r="L1033" s="48"/>
    </row>
    <row r="1034" spans="1:12" s="37" customFormat="1" ht="11.25" x14ac:dyDescent="0.2">
      <c r="A1034" s="46" t="s">
        <v>56004</v>
      </c>
      <c r="B1034" s="46" t="s">
        <v>51320</v>
      </c>
      <c r="C1034" s="58" t="str">
        <f>""</f>
        <v/>
      </c>
      <c r="D1034" s="58" t="str">
        <f>"1475925X"</f>
        <v>1475925X</v>
      </c>
      <c r="E1034" s="46" t="s">
        <v>2299</v>
      </c>
      <c r="F1034" s="46" t="s">
        <v>50646</v>
      </c>
      <c r="G1034" s="46" t="s">
        <v>50584</v>
      </c>
      <c r="H1034" s="48" t="s">
        <v>56716</v>
      </c>
      <c r="I1034" s="48" t="s">
        <v>50564</v>
      </c>
      <c r="J1034" s="48" t="s">
        <v>56716</v>
      </c>
      <c r="K1034" s="50" t="s">
        <v>56716</v>
      </c>
      <c r="L1034" s="48" t="s">
        <v>56716</v>
      </c>
    </row>
    <row r="1035" spans="1:12" s="37" customFormat="1" ht="11.25" x14ac:dyDescent="0.2">
      <c r="A1035" s="46" t="s">
        <v>12184</v>
      </c>
      <c r="B1035" s="46" t="s">
        <v>51321</v>
      </c>
      <c r="C1035" s="58" t="str">
        <f>""</f>
        <v/>
      </c>
      <c r="D1035" s="58" t="str">
        <f>"18235530"</f>
        <v>18235530</v>
      </c>
      <c r="E1035" s="46" t="s">
        <v>12186</v>
      </c>
      <c r="F1035" s="46" t="s">
        <v>39931</v>
      </c>
      <c r="G1035" s="46" t="s">
        <v>50584</v>
      </c>
      <c r="H1035" s="48" t="s">
        <v>56716</v>
      </c>
      <c r="I1035" s="48" t="s">
        <v>50564</v>
      </c>
      <c r="J1035" s="48"/>
      <c r="K1035" s="50"/>
      <c r="L1035" s="48"/>
    </row>
    <row r="1036" spans="1:12" s="37" customFormat="1" ht="11.25" x14ac:dyDescent="0.2">
      <c r="A1036" s="46" t="s">
        <v>4789</v>
      </c>
      <c r="B1036" s="46" t="s">
        <v>51322</v>
      </c>
      <c r="C1036" s="58" t="str">
        <f>"08998205"</f>
        <v>08998205</v>
      </c>
      <c r="D1036" s="58" t="str">
        <f>"19435967"</f>
        <v>19435967</v>
      </c>
      <c r="E1036" s="46" t="s">
        <v>4792</v>
      </c>
      <c r="F1036" s="46" t="s">
        <v>17759</v>
      </c>
      <c r="G1036" s="46" t="s">
        <v>50584</v>
      </c>
      <c r="H1036" s="48" t="s">
        <v>56716</v>
      </c>
      <c r="I1036" s="48" t="s">
        <v>50564</v>
      </c>
      <c r="J1036" s="48"/>
      <c r="K1036" s="50"/>
      <c r="L1036" s="48" t="s">
        <v>56716</v>
      </c>
    </row>
    <row r="1037" spans="1:12" s="37" customFormat="1" ht="11.25" x14ac:dyDescent="0.2">
      <c r="A1037" s="46" t="s">
        <v>17145</v>
      </c>
      <c r="B1037" s="46" t="s">
        <v>51323</v>
      </c>
      <c r="C1037" s="58" t="str">
        <f>"23194170"</f>
        <v>23194170</v>
      </c>
      <c r="D1037" s="58" t="str">
        <f>""</f>
        <v/>
      </c>
      <c r="E1037" s="46" t="s">
        <v>17147</v>
      </c>
      <c r="F1037" s="46" t="s">
        <v>50654</v>
      </c>
      <c r="G1037" s="46" t="s">
        <v>50585</v>
      </c>
      <c r="H1037" s="48" t="s">
        <v>56716</v>
      </c>
      <c r="I1037" s="48" t="s">
        <v>50564</v>
      </c>
      <c r="J1037" s="48"/>
      <c r="K1037" s="50"/>
      <c r="L1037" s="48" t="s">
        <v>56716</v>
      </c>
    </row>
    <row r="1038" spans="1:12" s="37" customFormat="1" ht="11.25" x14ac:dyDescent="0.2">
      <c r="A1038" s="46" t="s">
        <v>11415</v>
      </c>
      <c r="B1038" s="46" t="s">
        <v>51324</v>
      </c>
      <c r="C1038" s="58" t="str">
        <f>"17486041"</f>
        <v>17486041</v>
      </c>
      <c r="D1038" s="58" t="str">
        <f>"1748605X"</f>
        <v>1748605X</v>
      </c>
      <c r="E1038" s="46" t="s">
        <v>10223</v>
      </c>
      <c r="F1038" s="46" t="s">
        <v>50646</v>
      </c>
      <c r="G1038" s="46" t="s">
        <v>50584</v>
      </c>
      <c r="H1038" s="48" t="s">
        <v>56716</v>
      </c>
      <c r="I1038" s="48" t="s">
        <v>50564</v>
      </c>
      <c r="J1038" s="48"/>
      <c r="K1038" s="50"/>
      <c r="L1038" s="48" t="s">
        <v>56716</v>
      </c>
    </row>
    <row r="1039" spans="1:12" s="37" customFormat="1" ht="11.25" x14ac:dyDescent="0.2">
      <c r="A1039" s="46" t="s">
        <v>7543</v>
      </c>
      <c r="B1039" s="46" t="s">
        <v>51325</v>
      </c>
      <c r="C1039" s="58" t="str">
        <f>"09592989"</f>
        <v>09592989</v>
      </c>
      <c r="D1039" s="58" t="str">
        <f>"18783619"</f>
        <v>18783619</v>
      </c>
      <c r="E1039" s="46" t="s">
        <v>920</v>
      </c>
      <c r="F1039" s="46" t="s">
        <v>18001</v>
      </c>
      <c r="G1039" s="46" t="s">
        <v>50584</v>
      </c>
      <c r="H1039" s="48" t="s">
        <v>56716</v>
      </c>
      <c r="I1039" s="48" t="s">
        <v>50564</v>
      </c>
      <c r="J1039" s="48" t="s">
        <v>56716</v>
      </c>
      <c r="K1039" s="50"/>
      <c r="L1039" s="48" t="s">
        <v>56716</v>
      </c>
    </row>
    <row r="1040" spans="1:12" s="37" customFormat="1" ht="11.25" x14ac:dyDescent="0.2">
      <c r="A1040" s="46" t="s">
        <v>8447</v>
      </c>
      <c r="B1040" s="46" t="s">
        <v>51326</v>
      </c>
      <c r="C1040" s="58" t="str">
        <f>"13872176"</f>
        <v>13872176</v>
      </c>
      <c r="D1040" s="58" t="str">
        <f>"15728781"</f>
        <v>15728781</v>
      </c>
      <c r="E1040" s="46" t="s">
        <v>56305</v>
      </c>
      <c r="F1040" s="46" t="s">
        <v>17759</v>
      </c>
      <c r="G1040" s="46" t="s">
        <v>50584</v>
      </c>
      <c r="H1040" s="48" t="s">
        <v>56716</v>
      </c>
      <c r="I1040" s="48" t="s">
        <v>50564</v>
      </c>
      <c r="J1040" s="48" t="s">
        <v>56716</v>
      </c>
      <c r="K1040" s="50"/>
      <c r="L1040" s="48" t="s">
        <v>56716</v>
      </c>
    </row>
    <row r="1041" spans="1:12" s="37" customFormat="1" ht="11.25" x14ac:dyDescent="0.2">
      <c r="A1041" s="46" t="s">
        <v>16256</v>
      </c>
      <c r="B1041" s="46" t="s">
        <v>51327</v>
      </c>
      <c r="C1041" s="58" t="str">
        <f>""</f>
        <v/>
      </c>
      <c r="D1041" s="58" t="str">
        <f>"21567085"</f>
        <v>21567085</v>
      </c>
      <c r="E1041" s="46" t="s">
        <v>56378</v>
      </c>
      <c r="F1041" s="46" t="s">
        <v>17759</v>
      </c>
      <c r="G1041" s="46" t="s">
        <v>50584</v>
      </c>
      <c r="H1041" s="48" t="s">
        <v>56716</v>
      </c>
      <c r="I1041" s="48" t="s">
        <v>50564</v>
      </c>
      <c r="J1041" s="48"/>
      <c r="K1041" s="50"/>
      <c r="L1041" s="48"/>
    </row>
    <row r="1042" spans="1:12" s="37" customFormat="1" ht="11.25" x14ac:dyDescent="0.2">
      <c r="A1042" s="45" t="s">
        <v>22633</v>
      </c>
      <c r="B1042" s="45" t="s">
        <v>22635</v>
      </c>
      <c r="C1042" s="51" t="s">
        <v>22637</v>
      </c>
      <c r="D1042" s="51"/>
      <c r="E1042" s="45" t="s">
        <v>22638</v>
      </c>
      <c r="F1042" s="45" t="s">
        <v>18025</v>
      </c>
      <c r="G1042" s="45" t="s">
        <v>56538</v>
      </c>
      <c r="H1042" s="56"/>
      <c r="I1042" s="56" t="s">
        <v>50564</v>
      </c>
      <c r="J1042" s="56"/>
      <c r="K1042" s="50"/>
      <c r="L1042" s="56" t="s">
        <v>56716</v>
      </c>
    </row>
    <row r="1043" spans="1:12" s="37" customFormat="1" ht="11.25" x14ac:dyDescent="0.2">
      <c r="A1043" s="46" t="s">
        <v>17300</v>
      </c>
      <c r="B1043" s="46" t="s">
        <v>51328</v>
      </c>
      <c r="C1043" s="58" t="str">
        <f>"20499434"</f>
        <v>20499434</v>
      </c>
      <c r="D1043" s="58" t="str">
        <f>"20499442"</f>
        <v>20499442</v>
      </c>
      <c r="E1043" s="46" t="s">
        <v>5951</v>
      </c>
      <c r="F1043" s="46" t="s">
        <v>20969</v>
      </c>
      <c r="G1043" s="46" t="s">
        <v>50584</v>
      </c>
      <c r="H1043" s="48" t="s">
        <v>56716</v>
      </c>
      <c r="I1043" s="48" t="s">
        <v>50564</v>
      </c>
      <c r="J1043" s="48"/>
      <c r="K1043" s="50"/>
      <c r="L1043" s="48"/>
    </row>
    <row r="1044" spans="1:12" s="37" customFormat="1" ht="11.25" x14ac:dyDescent="0.2">
      <c r="A1044" s="46" t="s">
        <v>5108</v>
      </c>
      <c r="B1044" s="46" t="s">
        <v>51329</v>
      </c>
      <c r="C1044" s="58" t="str">
        <f>"0970938X"</f>
        <v>0970938X</v>
      </c>
      <c r="D1044" s="58" t="str">
        <f>""</f>
        <v/>
      </c>
      <c r="E1044" s="46" t="s">
        <v>5110</v>
      </c>
      <c r="F1044" s="46" t="s">
        <v>20446</v>
      </c>
      <c r="G1044" s="46" t="s">
        <v>50584</v>
      </c>
      <c r="H1044" s="48" t="s">
        <v>56716</v>
      </c>
      <c r="I1044" s="48" t="s">
        <v>50564</v>
      </c>
      <c r="J1044" s="48"/>
      <c r="K1044" s="50"/>
      <c r="L1044" s="48"/>
    </row>
    <row r="1045" spans="1:12" s="37" customFormat="1" ht="11.25" x14ac:dyDescent="0.2">
      <c r="A1045" s="46" t="s">
        <v>913</v>
      </c>
      <c r="B1045" s="46" t="s">
        <v>51329</v>
      </c>
      <c r="C1045" s="58" t="str">
        <f>"03886107"</f>
        <v>03886107</v>
      </c>
      <c r="D1045" s="58" t="str">
        <f>"1880313X"</f>
        <v>1880313X</v>
      </c>
      <c r="E1045" s="46" t="s">
        <v>916</v>
      </c>
      <c r="F1045" s="46" t="s">
        <v>18242</v>
      </c>
      <c r="G1045" s="46" t="s">
        <v>50584</v>
      </c>
      <c r="H1045" s="48" t="s">
        <v>56716</v>
      </c>
      <c r="I1045" s="48" t="s">
        <v>50564</v>
      </c>
      <c r="J1045" s="48"/>
      <c r="K1045" s="50"/>
      <c r="L1045" s="48" t="s">
        <v>56716</v>
      </c>
    </row>
    <row r="1046" spans="1:12" s="37" customFormat="1" ht="11.25" x14ac:dyDescent="0.2">
      <c r="A1046" s="46" t="s">
        <v>6512</v>
      </c>
      <c r="B1046" s="46" t="s">
        <v>51330</v>
      </c>
      <c r="C1046" s="58" t="str">
        <f>"1310392X"</f>
        <v>1310392X</v>
      </c>
      <c r="D1046" s="58" t="str">
        <f>"13141929"</f>
        <v>13141929</v>
      </c>
      <c r="E1046" s="46" t="s">
        <v>6515</v>
      </c>
      <c r="F1046" s="46" t="s">
        <v>19251</v>
      </c>
      <c r="G1046" s="46" t="s">
        <v>50584</v>
      </c>
      <c r="H1046" s="48" t="s">
        <v>56716</v>
      </c>
      <c r="I1046" s="48" t="s">
        <v>50564</v>
      </c>
      <c r="J1046" s="48"/>
      <c r="K1046" s="50"/>
      <c r="L1046" s="48"/>
    </row>
    <row r="1047" spans="1:12" s="37" customFormat="1" ht="11.25" x14ac:dyDescent="0.2">
      <c r="A1047" s="46" t="s">
        <v>886</v>
      </c>
      <c r="B1047" s="46" t="s">
        <v>51331</v>
      </c>
      <c r="C1047" s="58" t="str">
        <f>"00678856"</f>
        <v>00678856</v>
      </c>
      <c r="D1047" s="58" t="str">
        <f>""</f>
        <v/>
      </c>
      <c r="E1047" s="46" t="s">
        <v>888</v>
      </c>
      <c r="F1047" s="46" t="s">
        <v>17759</v>
      </c>
      <c r="G1047" s="46" t="s">
        <v>50584</v>
      </c>
      <c r="H1047" s="48" t="s">
        <v>56716</v>
      </c>
      <c r="I1047" s="48" t="s">
        <v>50564</v>
      </c>
      <c r="J1047" s="48"/>
      <c r="K1047" s="50"/>
      <c r="L1047" s="48" t="s">
        <v>56716</v>
      </c>
    </row>
    <row r="1048" spans="1:12" s="37" customFormat="1" ht="11.25" x14ac:dyDescent="0.2">
      <c r="A1048" s="46" t="s">
        <v>11155</v>
      </c>
      <c r="B1048" s="46" t="s">
        <v>51332</v>
      </c>
      <c r="C1048" s="58" t="str">
        <f>"17468094"</f>
        <v>17468094</v>
      </c>
      <c r="D1048" s="58" t="str">
        <f>"17468108"</f>
        <v>17468108</v>
      </c>
      <c r="E1048" s="46" t="s">
        <v>155</v>
      </c>
      <c r="F1048" s="46" t="s">
        <v>50646</v>
      </c>
      <c r="G1048" s="46" t="s">
        <v>50584</v>
      </c>
      <c r="H1048" s="48" t="s">
        <v>56716</v>
      </c>
      <c r="I1048" s="48" t="s">
        <v>50564</v>
      </c>
      <c r="J1048" s="48" t="s">
        <v>56716</v>
      </c>
      <c r="K1048" s="50" t="s">
        <v>56716</v>
      </c>
      <c r="L1048" s="48"/>
    </row>
    <row r="1049" spans="1:12" s="37" customFormat="1" ht="11.25" x14ac:dyDescent="0.2">
      <c r="A1049" s="46" t="s">
        <v>16649</v>
      </c>
      <c r="B1049" s="46" t="s">
        <v>51333</v>
      </c>
      <c r="C1049" s="58" t="str">
        <f>"22128794"</f>
        <v>22128794</v>
      </c>
      <c r="D1049" s="58" t="str">
        <f>"22128808"</f>
        <v>22128808</v>
      </c>
      <c r="E1049" s="46" t="s">
        <v>920</v>
      </c>
      <c r="F1049" s="46" t="s">
        <v>18001</v>
      </c>
      <c r="G1049" s="46" t="s">
        <v>50584</v>
      </c>
      <c r="H1049" s="48" t="s">
        <v>56716</v>
      </c>
      <c r="I1049" s="48" t="s">
        <v>50564</v>
      </c>
      <c r="J1049" s="48" t="s">
        <v>56716</v>
      </c>
      <c r="K1049" s="50"/>
      <c r="L1049" s="48"/>
    </row>
    <row r="1050" spans="1:12" s="37" customFormat="1" ht="11.25" x14ac:dyDescent="0.2">
      <c r="A1050" s="46" t="s">
        <v>7920</v>
      </c>
      <c r="B1050" s="46" t="s">
        <v>51334</v>
      </c>
      <c r="C1050" s="58" t="str">
        <f>"09702067"</f>
        <v>09702067</v>
      </c>
      <c r="D1050" s="58" t="str">
        <f>""</f>
        <v/>
      </c>
      <c r="E1050" s="46" t="s">
        <v>7922</v>
      </c>
      <c r="F1050" s="46" t="s">
        <v>20446</v>
      </c>
      <c r="G1050" s="46" t="s">
        <v>50584</v>
      </c>
      <c r="H1050" s="48" t="s">
        <v>56716</v>
      </c>
      <c r="I1050" s="48" t="s">
        <v>50564</v>
      </c>
      <c r="J1050" s="48"/>
      <c r="K1050" s="50"/>
      <c r="L1050" s="48"/>
    </row>
    <row r="1051" spans="1:12" s="37" customFormat="1" ht="11.25" x14ac:dyDescent="0.2">
      <c r="A1051" s="46" t="s">
        <v>15998</v>
      </c>
      <c r="B1051" s="46" t="s">
        <v>51335</v>
      </c>
      <c r="C1051" s="58" t="str">
        <f>"22118020"</f>
        <v>22118020</v>
      </c>
      <c r="D1051" s="58" t="str">
        <f>"22118039"</f>
        <v>22118039</v>
      </c>
      <c r="E1051" s="46" t="s">
        <v>56200</v>
      </c>
      <c r="F1051" s="46" t="s">
        <v>18001</v>
      </c>
      <c r="G1051" s="46" t="s">
        <v>50584</v>
      </c>
      <c r="H1051" s="48" t="s">
        <v>56716</v>
      </c>
      <c r="I1051" s="48" t="s">
        <v>50564</v>
      </c>
      <c r="J1051" s="48" t="s">
        <v>56716</v>
      </c>
      <c r="K1051" s="50"/>
      <c r="L1051" s="48"/>
    </row>
    <row r="1052" spans="1:12" s="37" customFormat="1" ht="11.25" x14ac:dyDescent="0.2">
      <c r="A1052" s="46" t="s">
        <v>799</v>
      </c>
      <c r="B1052" s="46" t="s">
        <v>51336</v>
      </c>
      <c r="C1052" s="58" t="str">
        <f>"07533322"</f>
        <v>07533322</v>
      </c>
      <c r="D1052" s="58" t="str">
        <f>"19506007"</f>
        <v>19506007</v>
      </c>
      <c r="E1052" s="46" t="s">
        <v>85</v>
      </c>
      <c r="F1052" s="46" t="s">
        <v>20359</v>
      </c>
      <c r="G1052" s="46" t="s">
        <v>50584</v>
      </c>
      <c r="H1052" s="48" t="s">
        <v>56716</v>
      </c>
      <c r="I1052" s="48" t="s">
        <v>50564</v>
      </c>
      <c r="J1052" s="48" t="s">
        <v>56716</v>
      </c>
      <c r="K1052" s="50" t="s">
        <v>56716</v>
      </c>
      <c r="L1052" s="48" t="s">
        <v>56716</v>
      </c>
    </row>
    <row r="1053" spans="1:12" s="37" customFormat="1" ht="11.25" x14ac:dyDescent="0.2">
      <c r="A1053" s="46" t="s">
        <v>15547</v>
      </c>
      <c r="B1053" s="46" t="s">
        <v>51337</v>
      </c>
      <c r="C1053" s="58" t="str">
        <f>"22105239"</f>
        <v>22105239</v>
      </c>
      <c r="D1053" s="58" t="str">
        <f>""</f>
        <v/>
      </c>
      <c r="E1053" s="46" t="s">
        <v>85</v>
      </c>
      <c r="F1053" s="46" t="s">
        <v>20359</v>
      </c>
      <c r="G1053" s="46" t="s">
        <v>50584</v>
      </c>
      <c r="H1053" s="48" t="s">
        <v>56716</v>
      </c>
      <c r="I1053" s="48" t="s">
        <v>50564</v>
      </c>
      <c r="J1053" s="48" t="s">
        <v>56716</v>
      </c>
      <c r="K1053" s="50"/>
      <c r="L1053" s="48"/>
    </row>
    <row r="1054" spans="1:12" s="37" customFormat="1" ht="11.25" x14ac:dyDescent="0.2">
      <c r="A1054" s="45" t="s">
        <v>22656</v>
      </c>
      <c r="B1054" s="45" t="s">
        <v>22658</v>
      </c>
      <c r="C1054" s="51" t="s">
        <v>56539</v>
      </c>
      <c r="D1054" s="51" t="s">
        <v>56540</v>
      </c>
      <c r="E1054" s="45" t="s">
        <v>22660</v>
      </c>
      <c r="F1054" s="45" t="s">
        <v>50653</v>
      </c>
      <c r="G1054" s="45" t="s">
        <v>56509</v>
      </c>
      <c r="H1054" s="56"/>
      <c r="I1054" s="56" t="s">
        <v>50564</v>
      </c>
      <c r="J1054" s="56"/>
      <c r="K1054" s="50"/>
      <c r="L1054" s="56" t="s">
        <v>56716</v>
      </c>
    </row>
    <row r="1055" spans="1:12" s="37" customFormat="1" ht="11.25" x14ac:dyDescent="0.2">
      <c r="A1055" s="46" t="s">
        <v>56449</v>
      </c>
      <c r="B1055" s="46" t="s">
        <v>56450</v>
      </c>
      <c r="C1055" s="58" t="str">
        <f>"00135585"</f>
        <v>00135585</v>
      </c>
      <c r="D1055" s="58" t="str">
        <f>""</f>
        <v/>
      </c>
      <c r="E1055" s="46" t="s">
        <v>1887</v>
      </c>
      <c r="F1055" s="46" t="s">
        <v>18158</v>
      </c>
      <c r="G1055" s="46" t="s">
        <v>50592</v>
      </c>
      <c r="H1055" s="48" t="s">
        <v>56716</v>
      </c>
      <c r="I1055" s="48" t="s">
        <v>50564</v>
      </c>
      <c r="J1055" s="48" t="s">
        <v>56716</v>
      </c>
      <c r="K1055" s="50"/>
      <c r="L1055" s="48" t="s">
        <v>56716</v>
      </c>
    </row>
    <row r="1056" spans="1:12" s="37" customFormat="1" ht="11.25" x14ac:dyDescent="0.2">
      <c r="A1056" s="46" t="s">
        <v>5968</v>
      </c>
      <c r="B1056" s="46" t="s">
        <v>5968</v>
      </c>
      <c r="C1056" s="58" t="str">
        <f>"09660844"</f>
        <v>09660844</v>
      </c>
      <c r="D1056" s="58" t="str">
        <f>"15728773"</f>
        <v>15728773</v>
      </c>
      <c r="E1056" s="46" t="s">
        <v>18876</v>
      </c>
      <c r="F1056" s="46" t="s">
        <v>18001</v>
      </c>
      <c r="G1056" s="46" t="s">
        <v>50584</v>
      </c>
      <c r="H1056" s="48" t="s">
        <v>56716</v>
      </c>
      <c r="I1056" s="48" t="s">
        <v>50564</v>
      </c>
      <c r="J1056" s="48"/>
      <c r="K1056" s="50" t="s">
        <v>56716</v>
      </c>
      <c r="L1056" s="48" t="s">
        <v>56716</v>
      </c>
    </row>
    <row r="1057" spans="1:12" s="37" customFormat="1" ht="11.25" x14ac:dyDescent="0.2">
      <c r="A1057" s="45" t="s">
        <v>22675</v>
      </c>
      <c r="B1057" s="45" t="s">
        <v>22677</v>
      </c>
      <c r="C1057" s="51" t="s">
        <v>22680</v>
      </c>
      <c r="D1057" s="51" t="s">
        <v>22679</v>
      </c>
      <c r="E1057" s="45" t="s">
        <v>21219</v>
      </c>
      <c r="F1057" s="45" t="s">
        <v>18158</v>
      </c>
      <c r="G1057" s="45" t="s">
        <v>50592</v>
      </c>
      <c r="H1057" s="56"/>
      <c r="I1057" s="56" t="s">
        <v>50564</v>
      </c>
      <c r="J1057" s="56"/>
      <c r="K1057" s="50"/>
      <c r="L1057" s="56" t="s">
        <v>56716</v>
      </c>
    </row>
    <row r="1058" spans="1:12" s="37" customFormat="1" ht="11.25" x14ac:dyDescent="0.2">
      <c r="A1058" s="45" t="s">
        <v>22684</v>
      </c>
      <c r="B1058" s="45" t="s">
        <v>22684</v>
      </c>
      <c r="C1058" s="51" t="s">
        <v>22687</v>
      </c>
      <c r="D1058" s="51" t="s">
        <v>22686</v>
      </c>
      <c r="E1058" s="45" t="s">
        <v>22688</v>
      </c>
      <c r="F1058" s="45" t="s">
        <v>17759</v>
      </c>
      <c r="G1058" s="45" t="s">
        <v>50584</v>
      </c>
      <c r="H1058" s="56"/>
      <c r="I1058" s="56" t="s">
        <v>50564</v>
      </c>
      <c r="J1058" s="56"/>
      <c r="K1058" s="50"/>
      <c r="L1058" s="56" t="s">
        <v>56716</v>
      </c>
    </row>
    <row r="1059" spans="1:12" s="37" customFormat="1" ht="11.25" x14ac:dyDescent="0.2">
      <c r="A1059" s="45" t="s">
        <v>56541</v>
      </c>
      <c r="B1059" s="45" t="s">
        <v>56542</v>
      </c>
      <c r="C1059" s="51" t="s">
        <v>56543</v>
      </c>
      <c r="D1059" s="51" t="s">
        <v>56544</v>
      </c>
      <c r="E1059" s="45" t="s">
        <v>32265</v>
      </c>
      <c r="F1059" s="45" t="s">
        <v>18158</v>
      </c>
      <c r="G1059" s="45" t="s">
        <v>50584</v>
      </c>
      <c r="H1059" s="56"/>
      <c r="I1059" s="56" t="s">
        <v>50564</v>
      </c>
      <c r="J1059" s="56"/>
      <c r="K1059" s="50"/>
      <c r="L1059" s="56" t="s">
        <v>56716</v>
      </c>
    </row>
    <row r="1060" spans="1:12" s="37" customFormat="1" ht="11.25" x14ac:dyDescent="0.2">
      <c r="A1060" s="46" t="s">
        <v>55964</v>
      </c>
      <c r="B1060" s="46" t="s">
        <v>55965</v>
      </c>
      <c r="C1060" s="58" t="str">
        <f>""</f>
        <v/>
      </c>
      <c r="D1060" s="58" t="str">
        <f>"22147535"</f>
        <v>22147535</v>
      </c>
      <c r="E1060" s="46" t="s">
        <v>6159</v>
      </c>
      <c r="F1060" s="46" t="s">
        <v>18158</v>
      </c>
      <c r="G1060" s="46" t="s">
        <v>50584</v>
      </c>
      <c r="H1060" s="48" t="s">
        <v>56716</v>
      </c>
      <c r="I1060" s="48" t="s">
        <v>50564</v>
      </c>
      <c r="J1060" s="48" t="s">
        <v>56716</v>
      </c>
      <c r="K1060" s="50"/>
      <c r="L1060" s="48"/>
    </row>
    <row r="1061" spans="1:12" s="37" customFormat="1" ht="11.25" x14ac:dyDescent="0.2">
      <c r="A1061" s="45" t="s">
        <v>22691</v>
      </c>
      <c r="B1061" s="45" t="s">
        <v>22693</v>
      </c>
      <c r="C1061" s="51" t="s">
        <v>22695</v>
      </c>
      <c r="D1061" s="51" t="s">
        <v>22694</v>
      </c>
      <c r="E1061" s="45" t="s">
        <v>17783</v>
      </c>
      <c r="F1061" s="45" t="s">
        <v>18001</v>
      </c>
      <c r="G1061" s="45" t="s">
        <v>50584</v>
      </c>
      <c r="H1061" s="56"/>
      <c r="I1061" s="56" t="s">
        <v>50564</v>
      </c>
      <c r="J1061" s="56"/>
      <c r="K1061" s="50"/>
      <c r="L1061" s="56" t="s">
        <v>56716</v>
      </c>
    </row>
    <row r="1062" spans="1:12" s="37" customFormat="1" ht="11.25" x14ac:dyDescent="0.2">
      <c r="A1062" s="46" t="s">
        <v>16712</v>
      </c>
      <c r="B1062" s="46" t="s">
        <v>16712</v>
      </c>
      <c r="C1062" s="58" t="str">
        <f>""</f>
        <v/>
      </c>
      <c r="D1062" s="58" t="str">
        <f>"2218273X"</f>
        <v>2218273X</v>
      </c>
      <c r="E1062" s="46" t="s">
        <v>4152</v>
      </c>
      <c r="F1062" s="46" t="s">
        <v>18123</v>
      </c>
      <c r="G1062" s="46" t="s">
        <v>50584</v>
      </c>
      <c r="H1062" s="48" t="s">
        <v>56716</v>
      </c>
      <c r="I1062" s="48" t="s">
        <v>50564</v>
      </c>
      <c r="J1062" s="48"/>
      <c r="K1062" s="50"/>
      <c r="L1062" s="48" t="s">
        <v>56716</v>
      </c>
    </row>
    <row r="1063" spans="1:12" s="37" customFormat="1" ht="11.25" x14ac:dyDescent="0.2">
      <c r="A1063" s="46" t="s">
        <v>13791</v>
      </c>
      <c r="B1063" s="46" t="s">
        <v>51338</v>
      </c>
      <c r="C1063" s="58" t="str">
        <f>"19769148"</f>
        <v>19769148</v>
      </c>
      <c r="D1063" s="58" t="str">
        <f>"20054483"</f>
        <v>20054483</v>
      </c>
      <c r="E1063" s="46" t="s">
        <v>13794</v>
      </c>
      <c r="F1063" s="46" t="s">
        <v>50649</v>
      </c>
      <c r="G1063" s="46" t="s">
        <v>50584</v>
      </c>
      <c r="H1063" s="48" t="s">
        <v>56716</v>
      </c>
      <c r="I1063" s="48" t="s">
        <v>50564</v>
      </c>
      <c r="J1063" s="48"/>
      <c r="K1063" s="50"/>
      <c r="L1063" s="48"/>
    </row>
    <row r="1064" spans="1:12" s="37" customFormat="1" ht="11.25" x14ac:dyDescent="0.2">
      <c r="A1064" s="46" t="s">
        <v>55966</v>
      </c>
      <c r="B1064" s="46" t="s">
        <v>55966</v>
      </c>
      <c r="C1064" s="58" t="str">
        <f>"21930651"</f>
        <v>21930651</v>
      </c>
      <c r="D1064" s="58" t="str">
        <f>"2193066X"</f>
        <v>2193066X</v>
      </c>
      <c r="E1064" s="46" t="s">
        <v>1887</v>
      </c>
      <c r="F1064" s="46" t="s">
        <v>18158</v>
      </c>
      <c r="G1064" s="46" t="s">
        <v>50584</v>
      </c>
      <c r="H1064" s="48" t="s">
        <v>56716</v>
      </c>
      <c r="I1064" s="48" t="s">
        <v>50564</v>
      </c>
      <c r="J1064" s="48" t="s">
        <v>56716</v>
      </c>
      <c r="K1064" s="50"/>
      <c r="L1064" s="48"/>
    </row>
    <row r="1065" spans="1:12" s="37" customFormat="1" ht="11.25" x14ac:dyDescent="0.2">
      <c r="A1065" s="46" t="s">
        <v>15984</v>
      </c>
      <c r="B1065" s="46" t="s">
        <v>15984</v>
      </c>
      <c r="C1065" s="58" t="str">
        <f>"21911630"</f>
        <v>21911630</v>
      </c>
      <c r="D1065" s="58" t="str">
        <f>"21911649"</f>
        <v>21911649</v>
      </c>
      <c r="E1065" s="46" t="s">
        <v>56305</v>
      </c>
      <c r="F1065" s="46" t="s">
        <v>17759</v>
      </c>
      <c r="G1065" s="46" t="s">
        <v>50584</v>
      </c>
      <c r="H1065" s="48" t="s">
        <v>56716</v>
      </c>
      <c r="I1065" s="48" t="s">
        <v>50564</v>
      </c>
      <c r="J1065" s="48"/>
      <c r="K1065" s="50"/>
      <c r="L1065" s="48"/>
    </row>
    <row r="1066" spans="1:12" s="37" customFormat="1" ht="11.25" x14ac:dyDescent="0.2">
      <c r="A1066" s="46" t="s">
        <v>6274</v>
      </c>
      <c r="B1066" s="46" t="s">
        <v>51339</v>
      </c>
      <c r="C1066" s="58" t="str">
        <f>"09680896"</f>
        <v>09680896</v>
      </c>
      <c r="D1066" s="58" t="str">
        <f>"14643391"</f>
        <v>14643391</v>
      </c>
      <c r="E1066" s="46" t="s">
        <v>155</v>
      </c>
      <c r="F1066" s="46" t="s">
        <v>50646</v>
      </c>
      <c r="G1066" s="46" t="s">
        <v>50584</v>
      </c>
      <c r="H1066" s="48" t="s">
        <v>56716</v>
      </c>
      <c r="I1066" s="48" t="s">
        <v>50564</v>
      </c>
      <c r="J1066" s="48"/>
      <c r="K1066" s="50" t="s">
        <v>56716</v>
      </c>
      <c r="L1066" s="48" t="s">
        <v>56716</v>
      </c>
    </row>
    <row r="1067" spans="1:12" s="37" customFormat="1" ht="11.25" x14ac:dyDescent="0.2">
      <c r="A1067" s="46" t="s">
        <v>5581</v>
      </c>
      <c r="B1067" s="46" t="s">
        <v>51340</v>
      </c>
      <c r="C1067" s="58" t="str">
        <f>"0960894X"</f>
        <v>0960894X</v>
      </c>
      <c r="D1067" s="58" t="str">
        <f>"14643405"</f>
        <v>14643405</v>
      </c>
      <c r="E1067" s="46" t="s">
        <v>155</v>
      </c>
      <c r="F1067" s="46" t="s">
        <v>50646</v>
      </c>
      <c r="G1067" s="46" t="s">
        <v>50584</v>
      </c>
      <c r="H1067" s="48" t="s">
        <v>56716</v>
      </c>
      <c r="I1067" s="48" t="s">
        <v>50564</v>
      </c>
      <c r="J1067" s="48"/>
      <c r="K1067" s="50" t="s">
        <v>56716</v>
      </c>
      <c r="L1067" s="48" t="s">
        <v>56716</v>
      </c>
    </row>
    <row r="1068" spans="1:12" s="37" customFormat="1" ht="11.25" x14ac:dyDescent="0.2">
      <c r="A1068" s="46" t="s">
        <v>890</v>
      </c>
      <c r="B1068" s="46" t="s">
        <v>51341</v>
      </c>
      <c r="C1068" s="58" t="str">
        <f>"00452068"</f>
        <v>00452068</v>
      </c>
      <c r="D1068" s="58" t="str">
        <f>"10902120"</f>
        <v>10902120</v>
      </c>
      <c r="E1068" s="46" t="s">
        <v>60</v>
      </c>
      <c r="F1068" s="46" t="s">
        <v>17759</v>
      </c>
      <c r="G1068" s="46" t="s">
        <v>50584</v>
      </c>
      <c r="H1068" s="48" t="s">
        <v>56716</v>
      </c>
      <c r="I1068" s="48" t="s">
        <v>50564</v>
      </c>
      <c r="J1068" s="48" t="s">
        <v>56716</v>
      </c>
      <c r="K1068" s="50"/>
      <c r="L1068" s="48" t="s">
        <v>56716</v>
      </c>
    </row>
    <row r="1069" spans="1:12" s="37" customFormat="1" ht="11.25" x14ac:dyDescent="0.2">
      <c r="A1069" s="45" t="s">
        <v>22714</v>
      </c>
      <c r="B1069" s="45" t="s">
        <v>22716</v>
      </c>
      <c r="C1069" s="51" t="s">
        <v>22717</v>
      </c>
      <c r="D1069" s="51"/>
      <c r="E1069" s="45" t="s">
        <v>22718</v>
      </c>
      <c r="F1069" s="45" t="s">
        <v>50653</v>
      </c>
      <c r="G1069" s="45" t="s">
        <v>56509</v>
      </c>
      <c r="H1069" s="56"/>
      <c r="I1069" s="56" t="s">
        <v>50564</v>
      </c>
      <c r="J1069" s="56"/>
      <c r="K1069" s="50"/>
      <c r="L1069" s="56" t="s">
        <v>56716</v>
      </c>
    </row>
    <row r="1070" spans="1:12" s="37" customFormat="1" ht="11.25" x14ac:dyDescent="0.2">
      <c r="A1070" s="46" t="s">
        <v>9560</v>
      </c>
      <c r="B1070" s="46" t="s">
        <v>51342</v>
      </c>
      <c r="C1070" s="58" t="str">
        <f>"1542166X"</f>
        <v>1542166X</v>
      </c>
      <c r="D1070" s="58" t="str">
        <f>"19391862"</f>
        <v>19391862</v>
      </c>
      <c r="E1070" s="46" t="s">
        <v>4828</v>
      </c>
      <c r="F1070" s="46" t="s">
        <v>17759</v>
      </c>
      <c r="G1070" s="46" t="s">
        <v>50584</v>
      </c>
      <c r="H1070" s="48" t="s">
        <v>56716</v>
      </c>
      <c r="I1070" s="48" t="s">
        <v>50566</v>
      </c>
      <c r="J1070" s="48"/>
      <c r="K1070" s="50"/>
      <c r="L1070" s="48"/>
    </row>
    <row r="1071" spans="1:12" s="37" customFormat="1" ht="11.25" x14ac:dyDescent="0.2">
      <c r="A1071" s="46" t="s">
        <v>748</v>
      </c>
      <c r="B1071" s="46" t="s">
        <v>51343</v>
      </c>
      <c r="C1071" s="58" t="str">
        <f>"01422782"</f>
        <v>01422782</v>
      </c>
      <c r="D1071" s="58" t="str">
        <f>"1099081X"</f>
        <v>1099081X</v>
      </c>
      <c r="E1071" s="46" t="s">
        <v>751</v>
      </c>
      <c r="F1071" s="46" t="s">
        <v>50646</v>
      </c>
      <c r="G1071" s="46" t="s">
        <v>50584</v>
      </c>
      <c r="H1071" s="48" t="s">
        <v>56716</v>
      </c>
      <c r="I1071" s="48" t="s">
        <v>50564</v>
      </c>
      <c r="J1071" s="48"/>
      <c r="K1071" s="50" t="s">
        <v>56716</v>
      </c>
      <c r="L1071" s="48" t="s">
        <v>56716</v>
      </c>
    </row>
    <row r="1072" spans="1:12" s="37" customFormat="1" ht="11.25" x14ac:dyDescent="0.2">
      <c r="A1072" s="46" t="s">
        <v>778</v>
      </c>
      <c r="B1072" s="46" t="s">
        <v>51344</v>
      </c>
      <c r="C1072" s="58" t="str">
        <f>"03014622"</f>
        <v>03014622</v>
      </c>
      <c r="D1072" s="58" t="str">
        <f>"18734200"</f>
        <v>18734200</v>
      </c>
      <c r="E1072" s="46" t="s">
        <v>91</v>
      </c>
      <c r="F1072" s="46" t="s">
        <v>18001</v>
      </c>
      <c r="G1072" s="46" t="s">
        <v>50584</v>
      </c>
      <c r="H1072" s="48" t="s">
        <v>56716</v>
      </c>
      <c r="I1072" s="48" t="s">
        <v>50564</v>
      </c>
      <c r="J1072" s="48" t="s">
        <v>56716</v>
      </c>
      <c r="K1072" s="50" t="s">
        <v>56716</v>
      </c>
      <c r="L1072" s="48" t="s">
        <v>56716</v>
      </c>
    </row>
    <row r="1073" spans="1:12" s="37" customFormat="1" ht="11.25" x14ac:dyDescent="0.2">
      <c r="A1073" s="45" t="s">
        <v>22729</v>
      </c>
      <c r="B1073" s="45" t="s">
        <v>22731</v>
      </c>
      <c r="C1073" s="51" t="s">
        <v>22733</v>
      </c>
      <c r="D1073" s="51" t="s">
        <v>22732</v>
      </c>
      <c r="E1073" s="45" t="s">
        <v>324</v>
      </c>
      <c r="F1073" s="45" t="s">
        <v>17759</v>
      </c>
      <c r="G1073" s="45" t="s">
        <v>50584</v>
      </c>
      <c r="H1073" s="56"/>
      <c r="I1073" s="56" t="s">
        <v>50564</v>
      </c>
      <c r="J1073" s="56"/>
      <c r="K1073" s="50"/>
      <c r="L1073" s="56" t="s">
        <v>56716</v>
      </c>
    </row>
    <row r="1074" spans="1:12" s="37" customFormat="1" ht="11.25" x14ac:dyDescent="0.2">
      <c r="A1074" s="46" t="s">
        <v>16519</v>
      </c>
      <c r="B1074" s="46" t="s">
        <v>51345</v>
      </c>
      <c r="C1074" s="58" t="str">
        <f>"18672450"</f>
        <v>18672450</v>
      </c>
      <c r="D1074" s="58" t="str">
        <f>"18672469"</f>
        <v>18672469</v>
      </c>
      <c r="E1074" s="46" t="s">
        <v>167</v>
      </c>
      <c r="F1074" s="46" t="s">
        <v>18158</v>
      </c>
      <c r="G1074" s="46" t="s">
        <v>50584</v>
      </c>
      <c r="H1074" s="48" t="s">
        <v>56716</v>
      </c>
      <c r="I1074" s="48" t="s">
        <v>50564</v>
      </c>
      <c r="J1074" s="48" t="s">
        <v>56716</v>
      </c>
      <c r="K1074" s="50"/>
      <c r="L1074" s="48"/>
    </row>
    <row r="1075" spans="1:12" s="37" customFormat="1" ht="11.25" x14ac:dyDescent="0.2">
      <c r="A1075" s="46" t="s">
        <v>11775</v>
      </c>
      <c r="B1075" s="46" t="s">
        <v>51346</v>
      </c>
      <c r="C1075" s="58" t="str">
        <f>"17930480"</f>
        <v>17930480</v>
      </c>
      <c r="D1075" s="58" t="str">
        <f>""</f>
        <v/>
      </c>
      <c r="E1075" s="46" t="s">
        <v>275</v>
      </c>
      <c r="F1075" s="46" t="s">
        <v>19491</v>
      </c>
      <c r="G1075" s="46" t="s">
        <v>50584</v>
      </c>
      <c r="H1075" s="48" t="s">
        <v>56716</v>
      </c>
      <c r="I1075" s="48" t="s">
        <v>50564</v>
      </c>
      <c r="J1075" s="48" t="s">
        <v>56716</v>
      </c>
      <c r="K1075" s="50" t="s">
        <v>56716</v>
      </c>
      <c r="L1075" s="48"/>
    </row>
    <row r="1076" spans="1:12" s="37" customFormat="1" ht="11.25" x14ac:dyDescent="0.2">
      <c r="A1076" s="46" t="s">
        <v>802</v>
      </c>
      <c r="B1076" s="46" t="s">
        <v>802</v>
      </c>
      <c r="C1076" s="58" t="str">
        <f>"00063525"</f>
        <v>00063525</v>
      </c>
      <c r="D1076" s="58" t="str">
        <f>"10970282"</f>
        <v>10970282</v>
      </c>
      <c r="E1076" s="46" t="s">
        <v>517</v>
      </c>
      <c r="F1076" s="46" t="s">
        <v>17759</v>
      </c>
      <c r="G1076" s="46" t="s">
        <v>50584</v>
      </c>
      <c r="H1076" s="48" t="s">
        <v>56716</v>
      </c>
      <c r="I1076" s="48" t="s">
        <v>50564</v>
      </c>
      <c r="J1076" s="48"/>
      <c r="K1076" s="50"/>
      <c r="L1076" s="48" t="s">
        <v>56716</v>
      </c>
    </row>
    <row r="1077" spans="1:12" s="37" customFormat="1" ht="11.25" x14ac:dyDescent="0.2">
      <c r="A1077" s="46" t="s">
        <v>13484</v>
      </c>
      <c r="B1077" s="46" t="s">
        <v>51347</v>
      </c>
      <c r="C1077" s="58" t="str">
        <f>"02337657"</f>
        <v>02337657</v>
      </c>
      <c r="D1077" s="58" t="str">
        <f>"19936842"</f>
        <v>19936842</v>
      </c>
      <c r="E1077" s="46" t="s">
        <v>13487</v>
      </c>
      <c r="F1077" s="46" t="s">
        <v>29064</v>
      </c>
      <c r="G1077" s="46" t="s">
        <v>50640</v>
      </c>
      <c r="H1077" s="48" t="s">
        <v>56716</v>
      </c>
      <c r="I1077" s="48" t="s">
        <v>50564</v>
      </c>
      <c r="J1077" s="48"/>
      <c r="K1077" s="50"/>
      <c r="L1077" s="48"/>
    </row>
    <row r="1078" spans="1:12" s="37" customFormat="1" ht="11.25" x14ac:dyDescent="0.2">
      <c r="A1078" s="46" t="s">
        <v>14688</v>
      </c>
      <c r="B1078" s="46" t="s">
        <v>51348</v>
      </c>
      <c r="C1078" s="58" t="str">
        <f>"19475535"</f>
        <v>19475535</v>
      </c>
      <c r="D1078" s="58" t="str">
        <f>"19475543"</f>
        <v>19475543</v>
      </c>
      <c r="E1078" s="46" t="s">
        <v>4337</v>
      </c>
      <c r="F1078" s="46" t="s">
        <v>17759</v>
      </c>
      <c r="G1078" s="46" t="s">
        <v>50584</v>
      </c>
      <c r="H1078" s="48" t="s">
        <v>56716</v>
      </c>
      <c r="I1078" s="48" t="s">
        <v>50564</v>
      </c>
      <c r="J1078" s="48" t="s">
        <v>56716</v>
      </c>
      <c r="K1078" s="50"/>
      <c r="L1078" s="48" t="s">
        <v>56716</v>
      </c>
    </row>
    <row r="1079" spans="1:12" s="37" customFormat="1" ht="11.25" x14ac:dyDescent="0.2">
      <c r="A1079" s="46" t="s">
        <v>8833</v>
      </c>
      <c r="B1079" s="46" t="s">
        <v>51349</v>
      </c>
      <c r="C1079" s="58" t="str">
        <f>"16157591"</f>
        <v>16157591</v>
      </c>
      <c r="D1079" s="58" t="str">
        <f>"16157605"</f>
        <v>16157605</v>
      </c>
      <c r="E1079" s="46" t="s">
        <v>167</v>
      </c>
      <c r="F1079" s="46" t="s">
        <v>18158</v>
      </c>
      <c r="G1079" s="46" t="s">
        <v>50584</v>
      </c>
      <c r="H1079" s="48" t="s">
        <v>56716</v>
      </c>
      <c r="I1079" s="48" t="s">
        <v>50564</v>
      </c>
      <c r="J1079" s="48" t="s">
        <v>56716</v>
      </c>
      <c r="K1079" s="50" t="s">
        <v>56716</v>
      </c>
      <c r="L1079" s="48" t="s">
        <v>56716</v>
      </c>
    </row>
    <row r="1080" spans="1:12" s="37" customFormat="1" ht="11.25" x14ac:dyDescent="0.2">
      <c r="A1080" s="46" t="s">
        <v>13350</v>
      </c>
      <c r="B1080" s="46" t="s">
        <v>51350</v>
      </c>
      <c r="C1080" s="58" t="str">
        <f>"15426319"</f>
        <v>15426319</v>
      </c>
      <c r="D1080" s="58" t="str">
        <f>""</f>
        <v/>
      </c>
      <c r="E1080" s="46" t="s">
        <v>13350</v>
      </c>
      <c r="F1080" s="46" t="s">
        <v>17759</v>
      </c>
      <c r="G1080" s="46" t="s">
        <v>50584</v>
      </c>
      <c r="H1080" s="48" t="s">
        <v>56716</v>
      </c>
      <c r="I1080" s="48" t="s">
        <v>50566</v>
      </c>
      <c r="J1080" s="48"/>
      <c r="K1080" s="50"/>
      <c r="L1080" s="48"/>
    </row>
    <row r="1081" spans="1:12" s="37" customFormat="1" ht="11.25" x14ac:dyDescent="0.2">
      <c r="A1081" s="46" t="s">
        <v>16426</v>
      </c>
      <c r="B1081" s="46" t="s">
        <v>16426</v>
      </c>
      <c r="C1081" s="58" t="str">
        <f>""</f>
        <v/>
      </c>
      <c r="D1081" s="58" t="str">
        <f>"21647860"</f>
        <v>21647860</v>
      </c>
      <c r="E1081" s="46" t="s">
        <v>4337</v>
      </c>
      <c r="F1081" s="46" t="s">
        <v>17759</v>
      </c>
      <c r="G1081" s="46" t="s">
        <v>50584</v>
      </c>
      <c r="H1081" s="48" t="s">
        <v>56716</v>
      </c>
      <c r="I1081" s="48" t="s">
        <v>50564</v>
      </c>
      <c r="J1081" s="48" t="s">
        <v>56716</v>
      </c>
      <c r="K1081" s="50"/>
      <c r="L1081" s="48"/>
    </row>
    <row r="1082" spans="1:12" s="37" customFormat="1" ht="11.25" x14ac:dyDescent="0.2">
      <c r="A1082" s="46" t="s">
        <v>5547</v>
      </c>
      <c r="B1082" s="46" t="s">
        <v>51351</v>
      </c>
      <c r="C1082" s="58" t="str">
        <f>"09608524"</f>
        <v>09608524</v>
      </c>
      <c r="D1082" s="58" t="str">
        <f>"18732976"</f>
        <v>18732976</v>
      </c>
      <c r="E1082" s="46" t="s">
        <v>155</v>
      </c>
      <c r="F1082" s="46" t="s">
        <v>50646</v>
      </c>
      <c r="G1082" s="46" t="s">
        <v>50584</v>
      </c>
      <c r="H1082" s="48" t="s">
        <v>56716</v>
      </c>
      <c r="I1082" s="48" t="s">
        <v>50564</v>
      </c>
      <c r="J1082" s="48" t="s">
        <v>56716</v>
      </c>
      <c r="K1082" s="50" t="s">
        <v>56716</v>
      </c>
      <c r="L1082" s="48" t="s">
        <v>56716</v>
      </c>
    </row>
    <row r="1083" spans="1:12" s="37" customFormat="1" ht="11.25" x14ac:dyDescent="0.2">
      <c r="A1083" s="46" t="s">
        <v>917</v>
      </c>
      <c r="B1083" s="46" t="s">
        <v>917</v>
      </c>
      <c r="C1083" s="58" t="str">
        <f>"0006355X"</f>
        <v>0006355X</v>
      </c>
      <c r="D1083" s="58" t="str">
        <f>"18785034"</f>
        <v>18785034</v>
      </c>
      <c r="E1083" s="46" t="s">
        <v>920</v>
      </c>
      <c r="F1083" s="46" t="s">
        <v>18001</v>
      </c>
      <c r="G1083" s="46" t="s">
        <v>50584</v>
      </c>
      <c r="H1083" s="48" t="s">
        <v>56716</v>
      </c>
      <c r="I1083" s="48" t="s">
        <v>50564</v>
      </c>
      <c r="J1083" s="48"/>
      <c r="K1083" s="50"/>
      <c r="L1083" s="48" t="s">
        <v>56716</v>
      </c>
    </row>
    <row r="1084" spans="1:12" s="37" customFormat="1" ht="11.25" x14ac:dyDescent="0.2">
      <c r="A1084" s="46" t="s">
        <v>925</v>
      </c>
      <c r="B1084" s="46" t="s">
        <v>51352</v>
      </c>
      <c r="C1084" s="58" t="str">
        <f>"01448463"</f>
        <v>01448463</v>
      </c>
      <c r="D1084" s="58" t="str">
        <f>"15734935"</f>
        <v>15734935</v>
      </c>
      <c r="E1084" s="46" t="s">
        <v>744</v>
      </c>
      <c r="F1084" s="46" t="s">
        <v>50646</v>
      </c>
      <c r="G1084" s="46" t="s">
        <v>50584</v>
      </c>
      <c r="H1084" s="48" t="s">
        <v>56716</v>
      </c>
      <c r="I1084" s="48" t="s">
        <v>50564</v>
      </c>
      <c r="J1084" s="48"/>
      <c r="K1084" s="50"/>
      <c r="L1084" s="48" t="s">
        <v>56716</v>
      </c>
    </row>
    <row r="1085" spans="1:12" s="37" customFormat="1" ht="11.25" x14ac:dyDescent="0.2">
      <c r="A1085" s="45" t="s">
        <v>22759</v>
      </c>
      <c r="B1085" s="45" t="s">
        <v>22761</v>
      </c>
      <c r="C1085" s="51" t="s">
        <v>22763</v>
      </c>
      <c r="D1085" s="51" t="s">
        <v>22762</v>
      </c>
      <c r="E1085" s="45" t="s">
        <v>22764</v>
      </c>
      <c r="F1085" s="45" t="s">
        <v>18242</v>
      </c>
      <c r="G1085" s="45" t="s">
        <v>50584</v>
      </c>
      <c r="H1085" s="56"/>
      <c r="I1085" s="56" t="s">
        <v>50564</v>
      </c>
      <c r="J1085" s="56"/>
      <c r="K1085" s="50"/>
      <c r="L1085" s="56" t="s">
        <v>56716</v>
      </c>
    </row>
    <row r="1086" spans="1:12" s="37" customFormat="1" ht="11.25" x14ac:dyDescent="0.2">
      <c r="A1086" s="45" t="s">
        <v>22766</v>
      </c>
      <c r="B1086" s="45" t="s">
        <v>22768</v>
      </c>
      <c r="C1086" s="51" t="s">
        <v>22771</v>
      </c>
      <c r="D1086" s="51" t="s">
        <v>22770</v>
      </c>
      <c r="E1086" s="45" t="s">
        <v>18404</v>
      </c>
      <c r="F1086" s="45" t="s">
        <v>50646</v>
      </c>
      <c r="G1086" s="45" t="s">
        <v>50584</v>
      </c>
      <c r="H1086" s="56"/>
      <c r="I1086" s="56" t="s">
        <v>50564</v>
      </c>
      <c r="J1086" s="56"/>
      <c r="K1086" s="50"/>
      <c r="L1086" s="56" t="s">
        <v>56716</v>
      </c>
    </row>
    <row r="1087" spans="1:12" s="37" customFormat="1" ht="11.25" x14ac:dyDescent="0.2">
      <c r="A1087" s="46" t="s">
        <v>10648</v>
      </c>
      <c r="B1087" s="46" t="s">
        <v>51353</v>
      </c>
      <c r="C1087" s="58" t="str">
        <f>"09731245"</f>
        <v>09731245</v>
      </c>
      <c r="D1087" s="58" t="str">
        <f>""</f>
        <v/>
      </c>
      <c r="E1087" s="46" t="s">
        <v>10650</v>
      </c>
      <c r="F1087" s="46" t="s">
        <v>20446</v>
      </c>
      <c r="G1087" s="46" t="s">
        <v>50584</v>
      </c>
      <c r="H1087" s="48" t="s">
        <v>56716</v>
      </c>
      <c r="I1087" s="48" t="s">
        <v>50564</v>
      </c>
      <c r="J1087" s="48"/>
      <c r="K1087" s="50"/>
      <c r="L1087" s="48"/>
    </row>
    <row r="1088" spans="1:12" s="37" customFormat="1" ht="11.25" x14ac:dyDescent="0.2">
      <c r="A1088" s="45" t="s">
        <v>22773</v>
      </c>
      <c r="B1088" s="45" t="s">
        <v>22775</v>
      </c>
      <c r="C1088" s="51" t="s">
        <v>22777</v>
      </c>
      <c r="D1088" s="51" t="s">
        <v>22776</v>
      </c>
      <c r="E1088" s="45" t="s">
        <v>19202</v>
      </c>
      <c r="F1088" s="45" t="s">
        <v>17759</v>
      </c>
      <c r="G1088" s="45" t="s">
        <v>50584</v>
      </c>
      <c r="H1088" s="56"/>
      <c r="I1088" s="56" t="s">
        <v>50564</v>
      </c>
      <c r="J1088" s="56"/>
      <c r="K1088" s="50"/>
      <c r="L1088" s="56" t="s">
        <v>56716</v>
      </c>
    </row>
    <row r="1089" spans="1:12" s="37" customFormat="1" ht="11.25" x14ac:dyDescent="0.2">
      <c r="A1089" s="46" t="s">
        <v>4150</v>
      </c>
      <c r="B1089" s="46" t="s">
        <v>4150</v>
      </c>
      <c r="C1089" s="58" t="str">
        <f>"0265928X"</f>
        <v>0265928X</v>
      </c>
      <c r="D1089" s="58" t="str">
        <f>"20796374"</f>
        <v>20796374</v>
      </c>
      <c r="E1089" s="46" t="s">
        <v>4152</v>
      </c>
      <c r="F1089" s="46" t="s">
        <v>18123</v>
      </c>
      <c r="G1089" s="46" t="s">
        <v>50584</v>
      </c>
      <c r="H1089" s="48" t="s">
        <v>56716</v>
      </c>
      <c r="I1089" s="48" t="s">
        <v>50564</v>
      </c>
      <c r="J1089" s="48"/>
      <c r="K1089" s="50"/>
      <c r="L1089" s="48"/>
    </row>
    <row r="1090" spans="1:12" s="37" customFormat="1" ht="11.25" x14ac:dyDescent="0.2">
      <c r="A1090" s="46" t="s">
        <v>5155</v>
      </c>
      <c r="B1090" s="46" t="s">
        <v>51354</v>
      </c>
      <c r="C1090" s="58" t="str">
        <f>"09565663"</f>
        <v>09565663</v>
      </c>
      <c r="D1090" s="58" t="str">
        <f>"18734235"</f>
        <v>18734235</v>
      </c>
      <c r="E1090" s="46" t="s">
        <v>155</v>
      </c>
      <c r="F1090" s="46" t="s">
        <v>50646</v>
      </c>
      <c r="G1090" s="46" t="s">
        <v>50584</v>
      </c>
      <c r="H1090" s="48" t="s">
        <v>56716</v>
      </c>
      <c r="I1090" s="48" t="s">
        <v>50564</v>
      </c>
      <c r="J1090" s="48"/>
      <c r="K1090" s="50" t="s">
        <v>56716</v>
      </c>
      <c r="L1090" s="48" t="s">
        <v>56716</v>
      </c>
    </row>
    <row r="1091" spans="1:12" s="37" customFormat="1" ht="11.25" x14ac:dyDescent="0.2">
      <c r="A1091" s="45" t="s">
        <v>22786</v>
      </c>
      <c r="B1091" s="45" t="s">
        <v>22788</v>
      </c>
      <c r="C1091" s="51" t="s">
        <v>22790</v>
      </c>
      <c r="D1091" s="51" t="s">
        <v>22789</v>
      </c>
      <c r="E1091" s="45" t="s">
        <v>55</v>
      </c>
      <c r="F1091" s="45" t="s">
        <v>50646</v>
      </c>
      <c r="G1091" s="45" t="s">
        <v>50584</v>
      </c>
      <c r="H1091" s="56"/>
      <c r="I1091" s="56" t="s">
        <v>50564</v>
      </c>
      <c r="J1091" s="56"/>
      <c r="K1091" s="50"/>
      <c r="L1091" s="56" t="s">
        <v>56716</v>
      </c>
    </row>
    <row r="1092" spans="1:12" s="37" customFormat="1" ht="11.25" x14ac:dyDescent="0.2">
      <c r="A1092" s="46" t="s">
        <v>934</v>
      </c>
      <c r="B1092" s="46" t="s">
        <v>934</v>
      </c>
      <c r="C1092" s="58" t="str">
        <f>"03032647"</f>
        <v>03032647</v>
      </c>
      <c r="D1092" s="58" t="str">
        <f>"18728324"</f>
        <v>18728324</v>
      </c>
      <c r="E1092" s="46" t="s">
        <v>221</v>
      </c>
      <c r="F1092" s="46" t="s">
        <v>21771</v>
      </c>
      <c r="G1092" s="46" t="s">
        <v>50584</v>
      </c>
      <c r="H1092" s="48" t="s">
        <v>56716</v>
      </c>
      <c r="I1092" s="48" t="s">
        <v>50564</v>
      </c>
      <c r="J1092" s="48"/>
      <c r="K1092" s="50" t="s">
        <v>56716</v>
      </c>
      <c r="L1092" s="48" t="s">
        <v>56716</v>
      </c>
    </row>
    <row r="1093" spans="1:12" s="37" customFormat="1" ht="11.25" x14ac:dyDescent="0.2">
      <c r="A1093" s="45" t="s">
        <v>22792</v>
      </c>
      <c r="B1093" s="45" t="s">
        <v>22794</v>
      </c>
      <c r="C1093" s="51" t="s">
        <v>22797</v>
      </c>
      <c r="D1093" s="51" t="s">
        <v>22796</v>
      </c>
      <c r="E1093" s="45" t="s">
        <v>291</v>
      </c>
      <c r="F1093" s="45" t="s">
        <v>50646</v>
      </c>
      <c r="G1093" s="45" t="s">
        <v>50584</v>
      </c>
      <c r="H1093" s="56"/>
      <c r="I1093" s="56" t="s">
        <v>50564</v>
      </c>
      <c r="J1093" s="56"/>
      <c r="K1093" s="50"/>
      <c r="L1093" s="56" t="s">
        <v>56716</v>
      </c>
    </row>
    <row r="1094" spans="1:12" s="37" customFormat="1" ht="11.25" x14ac:dyDescent="0.2">
      <c r="A1094" s="46" t="s">
        <v>941</v>
      </c>
      <c r="B1094" s="46" t="s">
        <v>941</v>
      </c>
      <c r="C1094" s="58" t="str">
        <f>"07366205"</f>
        <v>07366205</v>
      </c>
      <c r="D1094" s="58" t="str">
        <f>"19409818"</f>
        <v>19409818</v>
      </c>
      <c r="E1094" s="46" t="s">
        <v>944</v>
      </c>
      <c r="F1094" s="46" t="s">
        <v>17759</v>
      </c>
      <c r="G1094" s="46" t="s">
        <v>50584</v>
      </c>
      <c r="H1094" s="48" t="s">
        <v>56716</v>
      </c>
      <c r="I1094" s="48" t="s">
        <v>50564</v>
      </c>
      <c r="J1094" s="48"/>
      <c r="K1094" s="50"/>
      <c r="L1094" s="48" t="s">
        <v>56716</v>
      </c>
    </row>
    <row r="1095" spans="1:12" s="37" customFormat="1" ht="11.25" x14ac:dyDescent="0.2">
      <c r="A1095" s="45" t="s">
        <v>22810</v>
      </c>
      <c r="B1095" s="45" t="s">
        <v>22812</v>
      </c>
      <c r="C1095" s="51" t="s">
        <v>22814</v>
      </c>
      <c r="D1095" s="51" t="s">
        <v>22813</v>
      </c>
      <c r="E1095" s="45" t="s">
        <v>18661</v>
      </c>
      <c r="F1095" s="45" t="s">
        <v>50646</v>
      </c>
      <c r="G1095" s="45" t="s">
        <v>50584</v>
      </c>
      <c r="H1095" s="56"/>
      <c r="I1095" s="56" t="s">
        <v>50564</v>
      </c>
      <c r="J1095" s="56"/>
      <c r="K1095" s="50"/>
      <c r="L1095" s="56" t="s">
        <v>56716</v>
      </c>
    </row>
    <row r="1096" spans="1:12" s="37" customFormat="1" ht="11.25" x14ac:dyDescent="0.2">
      <c r="A1096" s="46" t="s">
        <v>697</v>
      </c>
      <c r="B1096" s="46" t="s">
        <v>51355</v>
      </c>
      <c r="C1096" s="58" t="str">
        <f>"08854513"</f>
        <v>08854513</v>
      </c>
      <c r="D1096" s="58" t="str">
        <f>"14708744"</f>
        <v>14708744</v>
      </c>
      <c r="E1096" s="46" t="s">
        <v>555</v>
      </c>
      <c r="F1096" s="46" t="s">
        <v>50646</v>
      </c>
      <c r="G1096" s="46" t="s">
        <v>50584</v>
      </c>
      <c r="H1096" s="48" t="s">
        <v>56716</v>
      </c>
      <c r="I1096" s="48" t="s">
        <v>50564</v>
      </c>
      <c r="J1096" s="48"/>
      <c r="K1096" s="50" t="s">
        <v>56716</v>
      </c>
      <c r="L1096" s="48" t="s">
        <v>56716</v>
      </c>
    </row>
    <row r="1097" spans="1:12" s="37" customFormat="1" ht="11.25" x14ac:dyDescent="0.2">
      <c r="A1097" s="46" t="s">
        <v>770</v>
      </c>
      <c r="B1097" s="46" t="s">
        <v>51356</v>
      </c>
      <c r="C1097" s="58" t="str">
        <f>"00063592"</f>
        <v>00063592</v>
      </c>
      <c r="D1097" s="58" t="str">
        <f>"10970290"</f>
        <v>10970290</v>
      </c>
      <c r="E1097" s="46" t="s">
        <v>517</v>
      </c>
      <c r="F1097" s="46" t="s">
        <v>17759</v>
      </c>
      <c r="G1097" s="46" t="s">
        <v>50584</v>
      </c>
      <c r="H1097" s="48" t="s">
        <v>56716</v>
      </c>
      <c r="I1097" s="48" t="s">
        <v>50564</v>
      </c>
      <c r="J1097" s="48"/>
      <c r="K1097" s="50" t="s">
        <v>56716</v>
      </c>
      <c r="L1097" s="48" t="s">
        <v>56716</v>
      </c>
    </row>
    <row r="1098" spans="1:12" s="37" customFormat="1" ht="11.25" x14ac:dyDescent="0.2">
      <c r="A1098" s="46" t="s">
        <v>10669</v>
      </c>
      <c r="B1098" s="46" t="s">
        <v>51357</v>
      </c>
      <c r="C1098" s="58" t="str">
        <f>"12268372"</f>
        <v>12268372</v>
      </c>
      <c r="D1098" s="58" t="str">
        <f>"19763816"</f>
        <v>19763816</v>
      </c>
      <c r="E1098" s="46" t="s">
        <v>10672</v>
      </c>
      <c r="F1098" s="46" t="s">
        <v>50649</v>
      </c>
      <c r="G1098" s="46" t="s">
        <v>50584</v>
      </c>
      <c r="H1098" s="48" t="s">
        <v>56716</v>
      </c>
      <c r="I1098" s="48" t="s">
        <v>50564</v>
      </c>
      <c r="J1098" s="48"/>
      <c r="K1098" s="50"/>
      <c r="L1098" s="48"/>
    </row>
    <row r="1099" spans="1:12" s="37" customFormat="1" ht="11.25" x14ac:dyDescent="0.2">
      <c r="A1099" s="46" t="s">
        <v>7655</v>
      </c>
      <c r="B1099" s="46" t="s">
        <v>51358</v>
      </c>
      <c r="C1099" s="58" t="str">
        <f>"02648725"</f>
        <v>02648725</v>
      </c>
      <c r="D1099" s="58" t="str">
        <f>"20465556"</f>
        <v>20465556</v>
      </c>
      <c r="E1099" s="46" t="s">
        <v>310</v>
      </c>
      <c r="F1099" s="46" t="s">
        <v>50646</v>
      </c>
      <c r="G1099" s="46" t="s">
        <v>50584</v>
      </c>
      <c r="H1099" s="48" t="s">
        <v>56716</v>
      </c>
      <c r="I1099" s="48" t="s">
        <v>50564</v>
      </c>
      <c r="J1099" s="48"/>
      <c r="K1099" s="50" t="s">
        <v>56716</v>
      </c>
      <c r="L1099" s="48" t="s">
        <v>56716</v>
      </c>
    </row>
    <row r="1100" spans="1:12" s="37" customFormat="1" ht="11.25" x14ac:dyDescent="0.2">
      <c r="A1100" s="46" t="s">
        <v>9850</v>
      </c>
      <c r="B1100" s="46" t="s">
        <v>51359</v>
      </c>
      <c r="C1100" s="58" t="str">
        <f>"13872656"</f>
        <v>13872656</v>
      </c>
      <c r="D1100" s="58" t="str">
        <f>"18755208"</f>
        <v>18755208</v>
      </c>
      <c r="E1100" s="46" t="s">
        <v>91</v>
      </c>
      <c r="F1100" s="46" t="s">
        <v>18001</v>
      </c>
      <c r="G1100" s="46" t="s">
        <v>50584</v>
      </c>
      <c r="H1100" s="48" t="s">
        <v>56716</v>
      </c>
      <c r="I1100" s="48" t="s">
        <v>50565</v>
      </c>
      <c r="J1100" s="48"/>
      <c r="K1100" s="50"/>
      <c r="L1100" s="48"/>
    </row>
    <row r="1101" spans="1:12" s="37" customFormat="1" ht="11.25" x14ac:dyDescent="0.2">
      <c r="A1101" s="46" t="s">
        <v>11777</v>
      </c>
      <c r="B1101" s="46" t="s">
        <v>51360</v>
      </c>
      <c r="C1101" s="58" t="str">
        <f>"18606768"</f>
        <v>18606768</v>
      </c>
      <c r="D1101" s="58" t="str">
        <f>"18607314"</f>
        <v>18607314</v>
      </c>
      <c r="E1101" s="46" t="s">
        <v>651</v>
      </c>
      <c r="F1101" s="46" t="s">
        <v>18158</v>
      </c>
      <c r="G1101" s="46" t="s">
        <v>50584</v>
      </c>
      <c r="H1101" s="48" t="s">
        <v>56716</v>
      </c>
      <c r="I1101" s="48" t="s">
        <v>50564</v>
      </c>
      <c r="J1101" s="48" t="s">
        <v>56716</v>
      </c>
      <c r="K1101" s="50" t="s">
        <v>56716</v>
      </c>
      <c r="L1101" s="48" t="s">
        <v>56716</v>
      </c>
    </row>
    <row r="1102" spans="1:12" s="37" customFormat="1" ht="11.25" x14ac:dyDescent="0.2">
      <c r="A1102" s="45" t="s">
        <v>22832</v>
      </c>
      <c r="B1102" s="45" t="s">
        <v>22834</v>
      </c>
      <c r="C1102" s="51" t="s">
        <v>22837</v>
      </c>
      <c r="D1102" s="51" t="s">
        <v>22836</v>
      </c>
      <c r="E1102" s="45" t="s">
        <v>18876</v>
      </c>
      <c r="F1102" s="45" t="s">
        <v>18001</v>
      </c>
      <c r="G1102" s="45" t="s">
        <v>50584</v>
      </c>
      <c r="H1102" s="56"/>
      <c r="I1102" s="56" t="s">
        <v>50564</v>
      </c>
      <c r="J1102" s="56"/>
      <c r="K1102" s="50"/>
      <c r="L1102" s="56" t="s">
        <v>56716</v>
      </c>
    </row>
    <row r="1103" spans="1:12" s="37" customFormat="1" ht="11.25" x14ac:dyDescent="0.2">
      <c r="A1103" s="45" t="s">
        <v>22840</v>
      </c>
      <c r="B1103" s="45" t="s">
        <v>22842</v>
      </c>
      <c r="C1103" s="51" t="s">
        <v>22844</v>
      </c>
      <c r="D1103" s="51" t="s">
        <v>22843</v>
      </c>
      <c r="E1103" s="45" t="s">
        <v>970</v>
      </c>
      <c r="F1103" s="45" t="s">
        <v>17759</v>
      </c>
      <c r="G1103" s="45" t="s">
        <v>50584</v>
      </c>
      <c r="H1103" s="56"/>
      <c r="I1103" s="56" t="s">
        <v>50564</v>
      </c>
      <c r="J1103" s="56"/>
      <c r="K1103" s="50"/>
      <c r="L1103" s="56" t="s">
        <v>56716</v>
      </c>
    </row>
    <row r="1104" spans="1:12" s="37" customFormat="1" ht="11.25" x14ac:dyDescent="0.2">
      <c r="A1104" s="46" t="s">
        <v>56201</v>
      </c>
      <c r="B1104" s="46" t="s">
        <v>56202</v>
      </c>
      <c r="C1104" s="58" t="str">
        <f>""</f>
        <v/>
      </c>
      <c r="D1104" s="58" t="str">
        <f>"2215017X"</f>
        <v>2215017X</v>
      </c>
      <c r="E1104" s="46" t="s">
        <v>91</v>
      </c>
      <c r="F1104" s="46" t="s">
        <v>18001</v>
      </c>
      <c r="G1104" s="46" t="s">
        <v>50584</v>
      </c>
      <c r="H1104" s="48" t="s">
        <v>56716</v>
      </c>
      <c r="I1104" s="48" t="s">
        <v>50564</v>
      </c>
      <c r="J1104" s="48" t="s">
        <v>56716</v>
      </c>
      <c r="K1104" s="50" t="s">
        <v>56716</v>
      </c>
      <c r="L1104" s="48"/>
    </row>
    <row r="1105" spans="1:12" s="37" customFormat="1" ht="11.25" x14ac:dyDescent="0.2">
      <c r="A1105" s="46" t="s">
        <v>5246</v>
      </c>
      <c r="B1105" s="46" t="s">
        <v>51361</v>
      </c>
      <c r="C1105" s="58" t="str">
        <f>"08644551"</f>
        <v>08644551</v>
      </c>
      <c r="D1105" s="58" t="str">
        <f>"10272852"</f>
        <v>10272852</v>
      </c>
      <c r="E1105" s="46" t="s">
        <v>5249</v>
      </c>
      <c r="F1105" s="46" t="s">
        <v>46397</v>
      </c>
      <c r="G1105" s="46" t="s">
        <v>50631</v>
      </c>
      <c r="H1105" s="48" t="s">
        <v>56716</v>
      </c>
      <c r="I1105" s="48" t="s">
        <v>50564</v>
      </c>
      <c r="J1105" s="48"/>
      <c r="K1105" s="50"/>
      <c r="L1105" s="48"/>
    </row>
    <row r="1106" spans="1:12" s="37" customFormat="1" ht="11.25" x14ac:dyDescent="0.2">
      <c r="A1106" s="46" t="s">
        <v>6284</v>
      </c>
      <c r="B1106" s="46" t="s">
        <v>51362</v>
      </c>
      <c r="C1106" s="58" t="str">
        <f>"09142223"</f>
        <v>09142223</v>
      </c>
      <c r="D1106" s="58" t="str">
        <f>""</f>
        <v/>
      </c>
      <c r="E1106" s="46" t="s">
        <v>6286</v>
      </c>
      <c r="F1106" s="46" t="s">
        <v>18242</v>
      </c>
      <c r="G1106" s="46" t="s">
        <v>50604</v>
      </c>
      <c r="H1106" s="48" t="s">
        <v>56716</v>
      </c>
      <c r="I1106" s="48" t="s">
        <v>50564</v>
      </c>
      <c r="J1106" s="48"/>
      <c r="K1106" s="50"/>
      <c r="L1106" s="48"/>
    </row>
    <row r="1107" spans="1:12" s="37" customFormat="1" ht="11.25" x14ac:dyDescent="0.2">
      <c r="A1107" s="46" t="s">
        <v>56009</v>
      </c>
      <c r="B1107" s="46" t="s">
        <v>56009</v>
      </c>
      <c r="C1107" s="58" t="str">
        <f>""</f>
        <v/>
      </c>
      <c r="D1107" s="58" t="str">
        <f>"23525738"</f>
        <v>23525738</v>
      </c>
      <c r="E1107" s="46" t="s">
        <v>155</v>
      </c>
      <c r="F1107" s="46" t="s">
        <v>50646</v>
      </c>
      <c r="G1107" s="46" t="s">
        <v>50584</v>
      </c>
      <c r="H1107" s="48" t="s">
        <v>56716</v>
      </c>
      <c r="I1107" s="48" t="s">
        <v>50564</v>
      </c>
      <c r="J1107" s="48" t="s">
        <v>56716</v>
      </c>
      <c r="K1107" s="50"/>
      <c r="L1107" s="48"/>
    </row>
    <row r="1108" spans="1:12" s="37" customFormat="1" ht="11.25" x14ac:dyDescent="0.2">
      <c r="A1108" s="46" t="s">
        <v>8460</v>
      </c>
      <c r="B1108" s="46" t="s">
        <v>51363</v>
      </c>
      <c r="C1108" s="58" t="str">
        <f>"13985647"</f>
        <v>13985647</v>
      </c>
      <c r="D1108" s="58" t="str">
        <f>"13995618"</f>
        <v>13995618</v>
      </c>
      <c r="E1108" s="46" t="s">
        <v>548</v>
      </c>
      <c r="F1108" s="46" t="s">
        <v>17759</v>
      </c>
      <c r="G1108" s="46" t="s">
        <v>50584</v>
      </c>
      <c r="H1108" s="48" t="s">
        <v>56716</v>
      </c>
      <c r="I1108" s="48" t="s">
        <v>50564</v>
      </c>
      <c r="J1108" s="48" t="s">
        <v>56716</v>
      </c>
      <c r="K1108" s="50" t="s">
        <v>56716</v>
      </c>
      <c r="L1108" s="48" t="s">
        <v>56716</v>
      </c>
    </row>
    <row r="1109" spans="1:12" s="37" customFormat="1" ht="11.25" x14ac:dyDescent="0.2">
      <c r="A1109" s="46" t="s">
        <v>15170</v>
      </c>
      <c r="B1109" s="46" t="s">
        <v>51364</v>
      </c>
      <c r="C1109" s="58" t="str">
        <f>""</f>
        <v/>
      </c>
      <c r="D1109" s="58" t="str">
        <f>""</f>
        <v/>
      </c>
      <c r="E1109" s="46" t="s">
        <v>15169</v>
      </c>
      <c r="F1109" s="46" t="s">
        <v>18123</v>
      </c>
      <c r="G1109" s="46" t="s">
        <v>50584</v>
      </c>
      <c r="H1109" s="48" t="s">
        <v>56716</v>
      </c>
      <c r="I1109" s="48" t="s">
        <v>50565</v>
      </c>
      <c r="J1109" s="48" t="s">
        <v>56716</v>
      </c>
      <c r="K1109" s="50"/>
      <c r="L1109" s="48"/>
    </row>
    <row r="1110" spans="1:12" s="37" customFormat="1" ht="11.25" x14ac:dyDescent="0.2">
      <c r="A1110" s="45" t="s">
        <v>22852</v>
      </c>
      <c r="B1110" s="45" t="s">
        <v>22854</v>
      </c>
      <c r="C1110" s="51" t="s">
        <v>22857</v>
      </c>
      <c r="D1110" s="51" t="s">
        <v>22856</v>
      </c>
      <c r="E1110" s="45" t="s">
        <v>970</v>
      </c>
      <c r="F1110" s="45" t="s">
        <v>17759</v>
      </c>
      <c r="G1110" s="45" t="s">
        <v>50584</v>
      </c>
      <c r="H1110" s="56"/>
      <c r="I1110" s="56" t="s">
        <v>50564</v>
      </c>
      <c r="J1110" s="56"/>
      <c r="K1110" s="50"/>
      <c r="L1110" s="56" t="s">
        <v>56716</v>
      </c>
    </row>
    <row r="1111" spans="1:12" s="37" customFormat="1" ht="11.25" x14ac:dyDescent="0.2">
      <c r="A1111" s="46" t="s">
        <v>9821</v>
      </c>
      <c r="B1111" s="46" t="s">
        <v>51365</v>
      </c>
      <c r="C1111" s="58" t="str">
        <f>"15420752"</f>
        <v>15420752</v>
      </c>
      <c r="D1111" s="58" t="str">
        <f>"15420760"</f>
        <v>15420760</v>
      </c>
      <c r="E1111" s="46" t="s">
        <v>517</v>
      </c>
      <c r="F1111" s="46" t="s">
        <v>17759</v>
      </c>
      <c r="G1111" s="46" t="s">
        <v>50584</v>
      </c>
      <c r="H1111" s="48" t="s">
        <v>56716</v>
      </c>
      <c r="I1111" s="48" t="s">
        <v>50564</v>
      </c>
      <c r="J1111" s="48" t="s">
        <v>56716</v>
      </c>
      <c r="K1111" s="50" t="s">
        <v>56716</v>
      </c>
      <c r="L1111" s="48" t="s">
        <v>56716</v>
      </c>
    </row>
    <row r="1112" spans="1:12" s="37" customFormat="1" ht="11.25" x14ac:dyDescent="0.2">
      <c r="A1112" s="46" t="s">
        <v>9824</v>
      </c>
      <c r="B1112" s="46" t="s">
        <v>51366</v>
      </c>
      <c r="C1112" s="58" t="str">
        <f>"15429733"</f>
        <v>15429733</v>
      </c>
      <c r="D1112" s="58" t="str">
        <f>"15429741"</f>
        <v>15429741</v>
      </c>
      <c r="E1112" s="46" t="s">
        <v>517</v>
      </c>
      <c r="F1112" s="46" t="s">
        <v>17759</v>
      </c>
      <c r="G1112" s="46" t="s">
        <v>50584</v>
      </c>
      <c r="H1112" s="48" t="s">
        <v>56716</v>
      </c>
      <c r="I1112" s="48" t="s">
        <v>50564</v>
      </c>
      <c r="J1112" s="48" t="s">
        <v>56716</v>
      </c>
      <c r="K1112" s="50" t="s">
        <v>56716</v>
      </c>
      <c r="L1112" s="48" t="s">
        <v>56716</v>
      </c>
    </row>
    <row r="1113" spans="1:12" s="37" customFormat="1" ht="11.25" x14ac:dyDescent="0.2">
      <c r="A1113" s="46" t="s">
        <v>9827</v>
      </c>
      <c r="B1113" s="46" t="s">
        <v>51367</v>
      </c>
      <c r="C1113" s="58" t="str">
        <f>"1542975X"</f>
        <v>1542975X</v>
      </c>
      <c r="D1113" s="58" t="str">
        <f>"15429768"</f>
        <v>15429768</v>
      </c>
      <c r="E1113" s="46" t="s">
        <v>517</v>
      </c>
      <c r="F1113" s="46" t="s">
        <v>17759</v>
      </c>
      <c r="G1113" s="46" t="s">
        <v>50584</v>
      </c>
      <c r="H1113" s="48" t="s">
        <v>56716</v>
      </c>
      <c r="I1113" s="48" t="s">
        <v>50564</v>
      </c>
      <c r="J1113" s="48" t="s">
        <v>56716</v>
      </c>
      <c r="K1113" s="50" t="s">
        <v>56716</v>
      </c>
      <c r="L1113" s="48" t="s">
        <v>56716</v>
      </c>
    </row>
    <row r="1114" spans="1:12" s="37" customFormat="1" ht="11.25" x14ac:dyDescent="0.2">
      <c r="A1114" s="46" t="s">
        <v>17503</v>
      </c>
      <c r="B1114" s="46" t="s">
        <v>51368</v>
      </c>
      <c r="C1114" s="58" t="str">
        <f>""</f>
        <v/>
      </c>
      <c r="D1114" s="58" t="str">
        <f>"20801602"</f>
        <v>20801602</v>
      </c>
      <c r="E1114" s="46" t="s">
        <v>17505</v>
      </c>
      <c r="F1114" s="46" t="s">
        <v>17967</v>
      </c>
      <c r="G1114" s="46" t="s">
        <v>50612</v>
      </c>
      <c r="H1114" s="48" t="s">
        <v>56716</v>
      </c>
      <c r="I1114" s="48" t="s">
        <v>50564</v>
      </c>
      <c r="J1114" s="48"/>
      <c r="K1114" s="50"/>
      <c r="L1114" s="48"/>
    </row>
    <row r="1115" spans="1:12" s="37" customFormat="1" ht="11.25" x14ac:dyDescent="0.2">
      <c r="A1115" s="46" t="s">
        <v>9346</v>
      </c>
      <c r="B1115" s="46" t="s">
        <v>51369</v>
      </c>
      <c r="C1115" s="58" t="str">
        <f>"14700328"</f>
        <v>14700328</v>
      </c>
      <c r="D1115" s="58" t="str">
        <f>"14710528"</f>
        <v>14710528</v>
      </c>
      <c r="E1115" s="46" t="s">
        <v>35</v>
      </c>
      <c r="F1115" s="46" t="s">
        <v>50646</v>
      </c>
      <c r="G1115" s="46" t="s">
        <v>50584</v>
      </c>
      <c r="H1115" s="48" t="s">
        <v>56716</v>
      </c>
      <c r="I1115" s="48" t="s">
        <v>50564</v>
      </c>
      <c r="J1115" s="48" t="s">
        <v>56716</v>
      </c>
      <c r="K1115" s="50" t="s">
        <v>56716</v>
      </c>
      <c r="L1115" s="48" t="s">
        <v>56716</v>
      </c>
    </row>
    <row r="1116" spans="1:12" s="37" customFormat="1" ht="11.25" x14ac:dyDescent="0.2">
      <c r="A1116" s="46" t="s">
        <v>8063</v>
      </c>
      <c r="B1116" s="46" t="s">
        <v>51370</v>
      </c>
      <c r="C1116" s="58" t="str">
        <f>"14644096"</f>
        <v>14644096</v>
      </c>
      <c r="D1116" s="58" t="str">
        <f>"1464410X"</f>
        <v>1464410X</v>
      </c>
      <c r="E1116" s="46" t="s">
        <v>35</v>
      </c>
      <c r="F1116" s="46" t="s">
        <v>50646</v>
      </c>
      <c r="G1116" s="46" t="s">
        <v>50584</v>
      </c>
      <c r="H1116" s="48" t="s">
        <v>56716</v>
      </c>
      <c r="I1116" s="48" t="s">
        <v>50564</v>
      </c>
      <c r="J1116" s="48" t="s">
        <v>56716</v>
      </c>
      <c r="K1116" s="50" t="s">
        <v>56716</v>
      </c>
      <c r="L1116" s="48" t="s">
        <v>56716</v>
      </c>
    </row>
    <row r="1117" spans="1:12" s="37" customFormat="1" ht="11.25" x14ac:dyDescent="0.2">
      <c r="A1117" s="46" t="s">
        <v>8066</v>
      </c>
      <c r="B1117" s="46" t="s">
        <v>51371</v>
      </c>
      <c r="C1117" s="58" t="str">
        <f>"14655101"</f>
        <v>14655101</v>
      </c>
      <c r="D1117" s="58" t="str">
        <f>"20512139"</f>
        <v>20512139</v>
      </c>
      <c r="E1117" s="46" t="s">
        <v>35</v>
      </c>
      <c r="F1117" s="46" t="s">
        <v>50646</v>
      </c>
      <c r="G1117" s="46" t="s">
        <v>50584</v>
      </c>
      <c r="H1117" s="48" t="s">
        <v>56716</v>
      </c>
      <c r="I1117" s="48" t="s">
        <v>50564</v>
      </c>
      <c r="J1117" s="48" t="s">
        <v>56716</v>
      </c>
      <c r="K1117" s="50"/>
      <c r="L1117" s="48"/>
    </row>
    <row r="1118" spans="1:12" s="37" customFormat="1" ht="11.25" x14ac:dyDescent="0.2">
      <c r="A1118" s="46" t="s">
        <v>858</v>
      </c>
      <c r="B1118" s="46" t="s">
        <v>858</v>
      </c>
      <c r="C1118" s="58" t="str">
        <f>"00064971"</f>
        <v>00064971</v>
      </c>
      <c r="D1118" s="58" t="str">
        <f>"15280020"</f>
        <v>15280020</v>
      </c>
      <c r="E1118" s="46" t="s">
        <v>861</v>
      </c>
      <c r="F1118" s="46" t="s">
        <v>17759</v>
      </c>
      <c r="G1118" s="46" t="s">
        <v>50584</v>
      </c>
      <c r="H1118" s="48" t="s">
        <v>56716</v>
      </c>
      <c r="I1118" s="48" t="s">
        <v>50564</v>
      </c>
      <c r="J1118" s="48" t="s">
        <v>56716</v>
      </c>
      <c r="K1118" s="50"/>
      <c r="L1118" s="48" t="s">
        <v>56716</v>
      </c>
    </row>
    <row r="1119" spans="1:12" s="37" customFormat="1" ht="11.25" x14ac:dyDescent="0.2">
      <c r="A1119" s="46" t="s">
        <v>16692</v>
      </c>
      <c r="B1119" s="46" t="s">
        <v>51372</v>
      </c>
      <c r="C1119" s="58" t="str">
        <f>""</f>
        <v/>
      </c>
      <c r="D1119" s="58" t="str">
        <f>"11799889"</f>
        <v>11799889</v>
      </c>
      <c r="E1119" s="46" t="s">
        <v>11079</v>
      </c>
      <c r="F1119" s="46" t="s">
        <v>19483</v>
      </c>
      <c r="G1119" s="46" t="s">
        <v>50584</v>
      </c>
      <c r="H1119" s="48" t="s">
        <v>56716</v>
      </c>
      <c r="I1119" s="48" t="s">
        <v>50564</v>
      </c>
      <c r="J1119" s="48" t="s">
        <v>56716</v>
      </c>
      <c r="K1119" s="50"/>
      <c r="L1119" s="48"/>
    </row>
    <row r="1120" spans="1:12" s="37" customFormat="1" ht="11.25" x14ac:dyDescent="0.2">
      <c r="A1120" s="46" t="s">
        <v>16254</v>
      </c>
      <c r="B1120" s="46" t="s">
        <v>51373</v>
      </c>
      <c r="C1120" s="58" t="str">
        <f>""</f>
        <v/>
      </c>
      <c r="D1120" s="58" t="str">
        <f>"20445385"</f>
        <v>20445385</v>
      </c>
      <c r="E1120" s="46" t="s">
        <v>315</v>
      </c>
      <c r="F1120" s="46" t="s">
        <v>50646</v>
      </c>
      <c r="G1120" s="46" t="s">
        <v>50584</v>
      </c>
      <c r="H1120" s="48" t="s">
        <v>56716</v>
      </c>
      <c r="I1120" s="48" t="s">
        <v>50564</v>
      </c>
      <c r="J1120" s="48"/>
      <c r="K1120" s="50"/>
      <c r="L1120" s="48" t="s">
        <v>56716</v>
      </c>
    </row>
    <row r="1121" spans="1:12" s="37" customFormat="1" ht="11.25" x14ac:dyDescent="0.2">
      <c r="A1121" s="46" t="s">
        <v>6456</v>
      </c>
      <c r="B1121" s="46" t="s">
        <v>51374</v>
      </c>
      <c r="C1121" s="58" t="str">
        <f>"10799796"</f>
        <v>10799796</v>
      </c>
      <c r="D1121" s="58" t="str">
        <f>"10960961"</f>
        <v>10960961</v>
      </c>
      <c r="E1121" s="46" t="s">
        <v>60</v>
      </c>
      <c r="F1121" s="46" t="s">
        <v>17759</v>
      </c>
      <c r="G1121" s="46" t="s">
        <v>50584</v>
      </c>
      <c r="H1121" s="48" t="s">
        <v>56716</v>
      </c>
      <c r="I1121" s="48" t="s">
        <v>50564</v>
      </c>
      <c r="J1121" s="48" t="s">
        <v>56716</v>
      </c>
      <c r="K1121" s="50" t="s">
        <v>56716</v>
      </c>
      <c r="L1121" s="48" t="s">
        <v>56716</v>
      </c>
    </row>
    <row r="1122" spans="1:12" s="37" customFormat="1" ht="11.25" x14ac:dyDescent="0.2">
      <c r="A1122" s="46" t="s">
        <v>5303</v>
      </c>
      <c r="B1122" s="46" t="s">
        <v>51375</v>
      </c>
      <c r="C1122" s="58" t="str">
        <f>"09575235"</f>
        <v>09575235</v>
      </c>
      <c r="D1122" s="58" t="str">
        <f>"14735733"</f>
        <v>14735733</v>
      </c>
      <c r="E1122" s="46" t="s">
        <v>28</v>
      </c>
      <c r="F1122" s="46" t="s">
        <v>50646</v>
      </c>
      <c r="G1122" s="46" t="s">
        <v>50584</v>
      </c>
      <c r="H1122" s="48" t="s">
        <v>56716</v>
      </c>
      <c r="I1122" s="48" t="s">
        <v>50564</v>
      </c>
      <c r="J1122" s="48" t="s">
        <v>56716</v>
      </c>
      <c r="K1122" s="50" t="s">
        <v>56716</v>
      </c>
      <c r="L1122" s="48" t="s">
        <v>56716</v>
      </c>
    </row>
    <row r="1123" spans="1:12" s="37" customFormat="1" ht="11.25" x14ac:dyDescent="0.2">
      <c r="A1123" s="46" t="s">
        <v>5911</v>
      </c>
      <c r="B1123" s="46" t="s">
        <v>51376</v>
      </c>
      <c r="C1123" s="58" t="str">
        <f>"08037051"</f>
        <v>08037051</v>
      </c>
      <c r="D1123" s="58" t="str">
        <f>"16511999"</f>
        <v>16511999</v>
      </c>
      <c r="E1123" s="46" t="s">
        <v>291</v>
      </c>
      <c r="F1123" s="46" t="s">
        <v>50646</v>
      </c>
      <c r="G1123" s="46" t="s">
        <v>50584</v>
      </c>
      <c r="H1123" s="48" t="s">
        <v>56716</v>
      </c>
      <c r="I1123" s="48" t="s">
        <v>50564</v>
      </c>
      <c r="J1123" s="48" t="s">
        <v>56716</v>
      </c>
      <c r="K1123" s="50"/>
      <c r="L1123" s="48" t="s">
        <v>56716</v>
      </c>
    </row>
    <row r="1124" spans="1:12" s="37" customFormat="1" ht="11.25" x14ac:dyDescent="0.2">
      <c r="A1124" s="46" t="s">
        <v>7059</v>
      </c>
      <c r="B1124" s="46" t="s">
        <v>51377</v>
      </c>
      <c r="C1124" s="58" t="str">
        <f>"13595237"</f>
        <v>13595237</v>
      </c>
      <c r="D1124" s="58" t="str">
        <f>"14735725"</f>
        <v>14735725</v>
      </c>
      <c r="E1124" s="46" t="s">
        <v>28</v>
      </c>
      <c r="F1124" s="46" t="s">
        <v>50646</v>
      </c>
      <c r="G1124" s="46" t="s">
        <v>50584</v>
      </c>
      <c r="H1124" s="48" t="s">
        <v>56716</v>
      </c>
      <c r="I1124" s="48" t="s">
        <v>50564</v>
      </c>
      <c r="J1124" s="48" t="s">
        <v>56716</v>
      </c>
      <c r="K1124" s="50" t="s">
        <v>56716</v>
      </c>
      <c r="L1124" s="48" t="s">
        <v>56716</v>
      </c>
    </row>
    <row r="1125" spans="1:12" s="37" customFormat="1" ht="11.25" x14ac:dyDescent="0.2">
      <c r="A1125" s="46" t="s">
        <v>862</v>
      </c>
      <c r="B1125" s="46" t="s">
        <v>51378</v>
      </c>
      <c r="C1125" s="58" t="str">
        <f>"02535068"</f>
        <v>02535068</v>
      </c>
      <c r="D1125" s="58" t="str">
        <f>"14219735"</f>
        <v>14219735</v>
      </c>
      <c r="E1125" s="46" t="s">
        <v>109</v>
      </c>
      <c r="F1125" s="46" t="s">
        <v>18123</v>
      </c>
      <c r="G1125" s="46" t="s">
        <v>50584</v>
      </c>
      <c r="H1125" s="48" t="s">
        <v>56716</v>
      </c>
      <c r="I1125" s="48" t="s">
        <v>50564</v>
      </c>
      <c r="J1125" s="48" t="s">
        <v>56716</v>
      </c>
      <c r="K1125" s="50" t="s">
        <v>56716</v>
      </c>
      <c r="L1125" s="48" t="s">
        <v>56716</v>
      </c>
    </row>
    <row r="1126" spans="1:12" s="37" customFormat="1" ht="11.25" x14ac:dyDescent="0.2">
      <c r="A1126" s="46" t="s">
        <v>17049</v>
      </c>
      <c r="B1126" s="46" t="s">
        <v>51379</v>
      </c>
      <c r="C1126" s="58" t="str">
        <f>"2287979X"</f>
        <v>2287979X</v>
      </c>
      <c r="D1126" s="58" t="str">
        <f>"22880011"</f>
        <v>22880011</v>
      </c>
      <c r="E1126" s="46" t="s">
        <v>17052</v>
      </c>
      <c r="F1126" s="46" t="s">
        <v>50649</v>
      </c>
      <c r="G1126" s="46" t="s">
        <v>50584</v>
      </c>
      <c r="H1126" s="48" t="s">
        <v>56716</v>
      </c>
      <c r="I1126" s="48" t="s">
        <v>50564</v>
      </c>
      <c r="J1126" s="48"/>
      <c r="K1126" s="50"/>
      <c r="L1126" s="48"/>
    </row>
    <row r="1127" spans="1:12" s="37" customFormat="1" ht="11.25" x14ac:dyDescent="0.2">
      <c r="A1127" s="46" t="s">
        <v>4493</v>
      </c>
      <c r="B1127" s="46" t="s">
        <v>51380</v>
      </c>
      <c r="C1127" s="58" t="str">
        <f>"0268960X"</f>
        <v>0268960X</v>
      </c>
      <c r="D1127" s="58" t="str">
        <f>"15321681"</f>
        <v>15321681</v>
      </c>
      <c r="E1127" s="46" t="s">
        <v>831</v>
      </c>
      <c r="F1127" s="46" t="s">
        <v>50646</v>
      </c>
      <c r="G1127" s="46" t="s">
        <v>50584</v>
      </c>
      <c r="H1127" s="48" t="s">
        <v>56716</v>
      </c>
      <c r="I1127" s="48" t="s">
        <v>50564</v>
      </c>
      <c r="J1127" s="48" t="s">
        <v>56716</v>
      </c>
      <c r="K1127" s="50" t="s">
        <v>56716</v>
      </c>
      <c r="L1127" s="48" t="s">
        <v>56716</v>
      </c>
    </row>
    <row r="1128" spans="1:12" s="37" customFormat="1" ht="11.25" x14ac:dyDescent="0.2">
      <c r="A1128" s="46" t="s">
        <v>12270</v>
      </c>
      <c r="B1128" s="46" t="s">
        <v>12270</v>
      </c>
      <c r="C1128" s="58" t="str">
        <f>"17232007"</f>
        <v>17232007</v>
      </c>
      <c r="D1128" s="58" t="str">
        <f>""</f>
        <v/>
      </c>
      <c r="E1128" s="46" t="s">
        <v>12272</v>
      </c>
      <c r="F1128" s="46" t="s">
        <v>17991</v>
      </c>
      <c r="G1128" s="46" t="s">
        <v>50603</v>
      </c>
      <c r="H1128" s="48" t="s">
        <v>56716</v>
      </c>
      <c r="I1128" s="48" t="s">
        <v>50564</v>
      </c>
      <c r="J1128" s="48"/>
      <c r="K1128" s="50"/>
      <c r="L1128" s="48" t="s">
        <v>56716</v>
      </c>
    </row>
    <row r="1129" spans="1:12" s="37" customFormat="1" ht="11.25" x14ac:dyDescent="0.2">
      <c r="A1129" s="46" t="s">
        <v>845</v>
      </c>
      <c r="B1129" s="46" t="s">
        <v>845</v>
      </c>
      <c r="C1129" s="58" t="str">
        <f>"00065250"</f>
        <v>00065250</v>
      </c>
      <c r="D1129" s="58" t="str">
        <f>""</f>
        <v/>
      </c>
      <c r="E1129" s="46" t="s">
        <v>847</v>
      </c>
      <c r="F1129" s="46" t="s">
        <v>18158</v>
      </c>
      <c r="G1129" s="46" t="s">
        <v>50593</v>
      </c>
      <c r="H1129" s="48" t="s">
        <v>56716</v>
      </c>
      <c r="I1129" s="48" t="s">
        <v>50564</v>
      </c>
      <c r="J1129" s="48"/>
      <c r="K1129" s="50"/>
      <c r="L1129" s="48"/>
    </row>
    <row r="1130" spans="1:12" s="37" customFormat="1" ht="11.25" x14ac:dyDescent="0.2">
      <c r="A1130" s="45" t="s">
        <v>22935</v>
      </c>
      <c r="B1130" s="45" t="s">
        <v>22937</v>
      </c>
      <c r="C1130" s="51" t="s">
        <v>22940</v>
      </c>
      <c r="D1130" s="51" t="s">
        <v>22939</v>
      </c>
      <c r="E1130" s="45" t="s">
        <v>22941</v>
      </c>
      <c r="F1130" s="45" t="s">
        <v>50649</v>
      </c>
      <c r="G1130" s="45" t="s">
        <v>50584</v>
      </c>
      <c r="H1130" s="56"/>
      <c r="I1130" s="56" t="s">
        <v>50564</v>
      </c>
      <c r="J1130" s="56"/>
      <c r="K1130" s="50"/>
      <c r="L1130" s="56" t="s">
        <v>56716</v>
      </c>
    </row>
    <row r="1131" spans="1:12" s="37" customFormat="1" ht="11.25" x14ac:dyDescent="0.2">
      <c r="A1131" s="46" t="s">
        <v>9707</v>
      </c>
      <c r="B1131" s="46" t="s">
        <v>51381</v>
      </c>
      <c r="C1131" s="58" t="str">
        <f>""</f>
        <v/>
      </c>
      <c r="D1131" s="58" t="str">
        <f>"14712253"</f>
        <v>14712253</v>
      </c>
      <c r="E1131" s="46" t="s">
        <v>2299</v>
      </c>
      <c r="F1131" s="46" t="s">
        <v>50646</v>
      </c>
      <c r="G1131" s="46" t="s">
        <v>50584</v>
      </c>
      <c r="H1131" s="48" t="s">
        <v>56716</v>
      </c>
      <c r="I1131" s="48" t="s">
        <v>50564</v>
      </c>
      <c r="J1131" s="48"/>
      <c r="K1131" s="50" t="s">
        <v>56716</v>
      </c>
      <c r="L1131" s="48" t="s">
        <v>56716</v>
      </c>
    </row>
    <row r="1132" spans="1:12" s="37" customFormat="1" ht="11.25" x14ac:dyDescent="0.2">
      <c r="A1132" s="46" t="s">
        <v>9637</v>
      </c>
      <c r="B1132" s="46" t="s">
        <v>51382</v>
      </c>
      <c r="C1132" s="58" t="str">
        <f>""</f>
        <v/>
      </c>
      <c r="D1132" s="58" t="str">
        <f>"14712091"</f>
        <v>14712091</v>
      </c>
      <c r="E1132" s="46" t="s">
        <v>2299</v>
      </c>
      <c r="F1132" s="46" t="s">
        <v>50646</v>
      </c>
      <c r="G1132" s="46" t="s">
        <v>50584</v>
      </c>
      <c r="H1132" s="48" t="s">
        <v>56716</v>
      </c>
      <c r="I1132" s="48" t="s">
        <v>50564</v>
      </c>
      <c r="J1132" s="48"/>
      <c r="K1132" s="50" t="s">
        <v>56716</v>
      </c>
      <c r="L1132" s="48" t="s">
        <v>56716</v>
      </c>
    </row>
    <row r="1133" spans="1:12" s="37" customFormat="1" ht="11.25" x14ac:dyDescent="0.2">
      <c r="A1133" s="45" t="s">
        <v>22947</v>
      </c>
      <c r="B1133" s="45" t="s">
        <v>22949</v>
      </c>
      <c r="C1133" s="51"/>
      <c r="D1133" s="51" t="s">
        <v>22950</v>
      </c>
      <c r="E1133" s="45" t="s">
        <v>18570</v>
      </c>
      <c r="F1133" s="45" t="s">
        <v>50646</v>
      </c>
      <c r="G1133" s="45" t="s">
        <v>50584</v>
      </c>
      <c r="H1133" s="56"/>
      <c r="I1133" s="56" t="s">
        <v>50564</v>
      </c>
      <c r="J1133" s="56"/>
      <c r="K1133" s="50"/>
      <c r="L1133" s="56" t="s">
        <v>56716</v>
      </c>
    </row>
    <row r="1134" spans="1:12" s="37" customFormat="1" ht="11.25" x14ac:dyDescent="0.2">
      <c r="A1134" s="45" t="s">
        <v>22952</v>
      </c>
      <c r="B1134" s="45" t="s">
        <v>22954</v>
      </c>
      <c r="C1134" s="51"/>
      <c r="D1134" s="51" t="s">
        <v>22956</v>
      </c>
      <c r="E1134" s="45" t="s">
        <v>18570</v>
      </c>
      <c r="F1134" s="45" t="s">
        <v>50646</v>
      </c>
      <c r="G1134" s="45" t="s">
        <v>50584</v>
      </c>
      <c r="H1134" s="56"/>
      <c r="I1134" s="56" t="s">
        <v>50564</v>
      </c>
      <c r="J1134" s="56"/>
      <c r="K1134" s="50"/>
      <c r="L1134" s="56" t="s">
        <v>56716</v>
      </c>
    </row>
    <row r="1135" spans="1:12" s="37" customFormat="1" ht="11.25" x14ac:dyDescent="0.2">
      <c r="A1135" s="46" t="s">
        <v>9709</v>
      </c>
      <c r="B1135" s="46" t="s">
        <v>51383</v>
      </c>
      <c r="C1135" s="58" t="str">
        <f>""</f>
        <v/>
      </c>
      <c r="D1135" s="58" t="str">
        <f>"14726750"</f>
        <v>14726750</v>
      </c>
      <c r="E1135" s="46" t="s">
        <v>2299</v>
      </c>
      <c r="F1135" s="46" t="s">
        <v>50646</v>
      </c>
      <c r="G1135" s="46" t="s">
        <v>50584</v>
      </c>
      <c r="H1135" s="48" t="s">
        <v>56716</v>
      </c>
      <c r="I1135" s="48" t="s">
        <v>50564</v>
      </c>
      <c r="J1135" s="48"/>
      <c r="K1135" s="50" t="s">
        <v>56716</v>
      </c>
      <c r="L1135" s="48" t="s">
        <v>56716</v>
      </c>
    </row>
    <row r="1136" spans="1:12" s="37" customFormat="1" ht="11.25" x14ac:dyDescent="0.2">
      <c r="A1136" s="46" t="s">
        <v>9711</v>
      </c>
      <c r="B1136" s="46" t="s">
        <v>51384</v>
      </c>
      <c r="C1136" s="58" t="str">
        <f>""</f>
        <v/>
      </c>
      <c r="D1136" s="58" t="str">
        <f>"14712326"</f>
        <v>14712326</v>
      </c>
      <c r="E1136" s="46" t="s">
        <v>2299</v>
      </c>
      <c r="F1136" s="46" t="s">
        <v>50646</v>
      </c>
      <c r="G1136" s="46" t="s">
        <v>50584</v>
      </c>
      <c r="H1136" s="48" t="s">
        <v>56716</v>
      </c>
      <c r="I1136" s="48" t="s">
        <v>50564</v>
      </c>
      <c r="J1136" s="48"/>
      <c r="K1136" s="50"/>
      <c r="L1136" s="48"/>
    </row>
    <row r="1137" spans="1:12" s="37" customFormat="1" ht="11.25" x14ac:dyDescent="0.2">
      <c r="A1137" s="46" t="s">
        <v>9713</v>
      </c>
      <c r="B1137" s="46" t="s">
        <v>9713</v>
      </c>
      <c r="C1137" s="58" t="str">
        <f>""</f>
        <v/>
      </c>
      <c r="D1137" s="58" t="str">
        <f>"14712407"</f>
        <v>14712407</v>
      </c>
      <c r="E1137" s="46" t="s">
        <v>2299</v>
      </c>
      <c r="F1137" s="46" t="s">
        <v>50646</v>
      </c>
      <c r="G1137" s="46" t="s">
        <v>50584</v>
      </c>
      <c r="H1137" s="48" t="s">
        <v>56716</v>
      </c>
      <c r="I1137" s="48" t="s">
        <v>50564</v>
      </c>
      <c r="J1137" s="48"/>
      <c r="K1137" s="50" t="s">
        <v>56716</v>
      </c>
      <c r="L1137" s="48" t="s">
        <v>56716</v>
      </c>
    </row>
    <row r="1138" spans="1:12" s="37" customFormat="1" ht="11.25" x14ac:dyDescent="0.2">
      <c r="A1138" s="46" t="s">
        <v>10085</v>
      </c>
      <c r="B1138" s="46" t="s">
        <v>51385</v>
      </c>
      <c r="C1138" s="58" t="str">
        <f>""</f>
        <v/>
      </c>
      <c r="D1138" s="58" t="str">
        <f>"14712261"</f>
        <v>14712261</v>
      </c>
      <c r="E1138" s="46" t="s">
        <v>2299</v>
      </c>
      <c r="F1138" s="46" t="s">
        <v>50646</v>
      </c>
      <c r="G1138" s="46" t="s">
        <v>50584</v>
      </c>
      <c r="H1138" s="48" t="s">
        <v>56716</v>
      </c>
      <c r="I1138" s="48" t="s">
        <v>50564</v>
      </c>
      <c r="J1138" s="48" t="s">
        <v>56716</v>
      </c>
      <c r="K1138" s="50" t="s">
        <v>56716</v>
      </c>
      <c r="L1138" s="48" t="s">
        <v>56716</v>
      </c>
    </row>
    <row r="1139" spans="1:12" s="37" customFormat="1" ht="11.25" x14ac:dyDescent="0.2">
      <c r="A1139" s="46" t="s">
        <v>9611</v>
      </c>
      <c r="B1139" s="46" t="s">
        <v>51386</v>
      </c>
      <c r="C1139" s="58" t="str">
        <f>""</f>
        <v/>
      </c>
      <c r="D1139" s="58" t="str">
        <f>"14712121"</f>
        <v>14712121</v>
      </c>
      <c r="E1139" s="46" t="s">
        <v>2299</v>
      </c>
      <c r="F1139" s="46" t="s">
        <v>50646</v>
      </c>
      <c r="G1139" s="46" t="s">
        <v>50584</v>
      </c>
      <c r="H1139" s="48" t="s">
        <v>56716</v>
      </c>
      <c r="I1139" s="48" t="s">
        <v>50564</v>
      </c>
      <c r="J1139" s="48"/>
      <c r="K1139" s="50" t="s">
        <v>56716</v>
      </c>
      <c r="L1139" s="48" t="s">
        <v>56716</v>
      </c>
    </row>
    <row r="1140" spans="1:12" s="37" customFormat="1" ht="11.25" x14ac:dyDescent="0.2">
      <c r="A1140" s="46" t="s">
        <v>9639</v>
      </c>
      <c r="B1140" s="46" t="s">
        <v>51387</v>
      </c>
      <c r="C1140" s="58" t="str">
        <f>""</f>
        <v/>
      </c>
      <c r="D1140" s="58" t="str">
        <f>"14726769"</f>
        <v>14726769</v>
      </c>
      <c r="E1140" s="46" t="s">
        <v>2299</v>
      </c>
      <c r="F1140" s="46" t="s">
        <v>50646</v>
      </c>
      <c r="G1140" s="46" t="s">
        <v>50584</v>
      </c>
      <c r="H1140" s="48" t="s">
        <v>56716</v>
      </c>
      <c r="I1140" s="48" t="s">
        <v>50564</v>
      </c>
      <c r="J1140" s="48"/>
      <c r="K1140" s="50"/>
      <c r="L1140" s="48"/>
    </row>
    <row r="1141" spans="1:12" s="37" customFormat="1" ht="11.25" x14ac:dyDescent="0.2">
      <c r="A1141" s="46" t="s">
        <v>9768</v>
      </c>
      <c r="B1141" s="46" t="s">
        <v>51388</v>
      </c>
      <c r="C1141" s="58" t="str">
        <f>""</f>
        <v/>
      </c>
      <c r="D1141" s="58" t="str">
        <f>"14726890"</f>
        <v>14726890</v>
      </c>
      <c r="E1141" s="46" t="s">
        <v>2299</v>
      </c>
      <c r="F1141" s="46" t="s">
        <v>50646</v>
      </c>
      <c r="G1141" s="46" t="s">
        <v>50584</v>
      </c>
      <c r="H1141" s="48" t="s">
        <v>56716</v>
      </c>
      <c r="I1141" s="48" t="s">
        <v>50564</v>
      </c>
      <c r="J1141" s="48"/>
      <c r="K1141" s="50"/>
      <c r="L1141" s="48"/>
    </row>
    <row r="1142" spans="1:12" s="37" customFormat="1" ht="11.25" x14ac:dyDescent="0.2">
      <c r="A1142" s="46" t="s">
        <v>9669</v>
      </c>
      <c r="B1142" s="46" t="s">
        <v>51389</v>
      </c>
      <c r="C1142" s="58" t="str">
        <f>""</f>
        <v/>
      </c>
      <c r="D1142" s="58" t="str">
        <f>"14726882"</f>
        <v>14726882</v>
      </c>
      <c r="E1142" s="46" t="s">
        <v>2299</v>
      </c>
      <c r="F1142" s="46" t="s">
        <v>50646</v>
      </c>
      <c r="G1142" s="46" t="s">
        <v>50584</v>
      </c>
      <c r="H1142" s="48" t="s">
        <v>56716</v>
      </c>
      <c r="I1142" s="48" t="s">
        <v>50564</v>
      </c>
      <c r="J1142" s="48"/>
      <c r="K1142" s="50" t="s">
        <v>56716</v>
      </c>
      <c r="L1142" s="48" t="s">
        <v>56716</v>
      </c>
    </row>
    <row r="1143" spans="1:12" s="37" customFormat="1" ht="11.25" x14ac:dyDescent="0.2">
      <c r="A1143" s="46" t="s">
        <v>9671</v>
      </c>
      <c r="B1143" s="46" t="s">
        <v>51390</v>
      </c>
      <c r="C1143" s="58" t="str">
        <f>""</f>
        <v/>
      </c>
      <c r="D1143" s="58" t="str">
        <f>"14715945"</f>
        <v>14715945</v>
      </c>
      <c r="E1143" s="46" t="s">
        <v>2299</v>
      </c>
      <c r="F1143" s="46" t="s">
        <v>50646</v>
      </c>
      <c r="G1143" s="46" t="s">
        <v>50584</v>
      </c>
      <c r="H1143" s="48" t="s">
        <v>56716</v>
      </c>
      <c r="I1143" s="48" t="s">
        <v>50564</v>
      </c>
      <c r="J1143" s="48"/>
      <c r="K1143" s="50" t="s">
        <v>56716</v>
      </c>
      <c r="L1143" s="48" t="s">
        <v>56716</v>
      </c>
    </row>
    <row r="1144" spans="1:12" s="37" customFormat="1" ht="11.25" x14ac:dyDescent="0.2">
      <c r="A1144" s="45" t="s">
        <v>22981</v>
      </c>
      <c r="B1144" s="45" t="s">
        <v>22983</v>
      </c>
      <c r="C1144" s="51"/>
      <c r="D1144" s="51" t="s">
        <v>22984</v>
      </c>
      <c r="E1144" s="45" t="s">
        <v>18570</v>
      </c>
      <c r="F1144" s="45" t="s">
        <v>50646</v>
      </c>
      <c r="G1144" s="45" t="s">
        <v>50584</v>
      </c>
      <c r="H1144" s="56"/>
      <c r="I1144" s="56" t="s">
        <v>50564</v>
      </c>
      <c r="J1144" s="56"/>
      <c r="K1144" s="50"/>
      <c r="L1144" s="56" t="s">
        <v>56716</v>
      </c>
    </row>
    <row r="1145" spans="1:12" s="37" customFormat="1" ht="11.25" x14ac:dyDescent="0.2">
      <c r="A1145" s="46" t="s">
        <v>9641</v>
      </c>
      <c r="B1145" s="46" t="s">
        <v>51391</v>
      </c>
      <c r="C1145" s="58" t="str">
        <f>""</f>
        <v/>
      </c>
      <c r="D1145" s="58" t="str">
        <f>"14726815"</f>
        <v>14726815</v>
      </c>
      <c r="E1145" s="46" t="s">
        <v>2299</v>
      </c>
      <c r="F1145" s="46" t="s">
        <v>50646</v>
      </c>
      <c r="G1145" s="46" t="s">
        <v>50584</v>
      </c>
      <c r="H1145" s="48" t="s">
        <v>56716</v>
      </c>
      <c r="I1145" s="48" t="s">
        <v>50564</v>
      </c>
      <c r="J1145" s="48"/>
      <c r="K1145" s="50" t="s">
        <v>56716</v>
      </c>
      <c r="L1145" s="48"/>
    </row>
    <row r="1146" spans="1:12" s="37" customFormat="1" ht="11.25" x14ac:dyDescent="0.2">
      <c r="A1146" s="45" t="s">
        <v>22987</v>
      </c>
      <c r="B1146" s="45" t="s">
        <v>22989</v>
      </c>
      <c r="C1146" s="51"/>
      <c r="D1146" s="51" t="s">
        <v>22990</v>
      </c>
      <c r="E1146" s="45" t="s">
        <v>18570</v>
      </c>
      <c r="F1146" s="45" t="s">
        <v>50646</v>
      </c>
      <c r="G1146" s="45" t="s">
        <v>50584</v>
      </c>
      <c r="H1146" s="56"/>
      <c r="I1146" s="56" t="s">
        <v>50564</v>
      </c>
      <c r="J1146" s="56"/>
      <c r="K1146" s="50"/>
      <c r="L1146" s="56" t="s">
        <v>56716</v>
      </c>
    </row>
    <row r="1147" spans="1:12" s="37" customFormat="1" ht="11.25" x14ac:dyDescent="0.2">
      <c r="A1147" s="46" t="s">
        <v>9673</v>
      </c>
      <c r="B1147" s="46" t="s">
        <v>51392</v>
      </c>
      <c r="C1147" s="58" t="str">
        <f>""</f>
        <v/>
      </c>
      <c r="D1147" s="58" t="str">
        <f>"1471227X"</f>
        <v>1471227X</v>
      </c>
      <c r="E1147" s="46" t="s">
        <v>2299</v>
      </c>
      <c r="F1147" s="46" t="s">
        <v>50646</v>
      </c>
      <c r="G1147" s="46" t="s">
        <v>50584</v>
      </c>
      <c r="H1147" s="48" t="s">
        <v>56716</v>
      </c>
      <c r="I1147" s="48" t="s">
        <v>50564</v>
      </c>
      <c r="J1147" s="48"/>
      <c r="K1147" s="50" t="s">
        <v>56716</v>
      </c>
      <c r="L1147" s="48" t="s">
        <v>56716</v>
      </c>
    </row>
    <row r="1148" spans="1:12" s="37" customFormat="1" ht="11.25" x14ac:dyDescent="0.2">
      <c r="A1148" s="46" t="s">
        <v>9675</v>
      </c>
      <c r="B1148" s="46" t="s">
        <v>51393</v>
      </c>
      <c r="C1148" s="58" t="str">
        <f>""</f>
        <v/>
      </c>
      <c r="D1148" s="58" t="str">
        <f>"14726823"</f>
        <v>14726823</v>
      </c>
      <c r="E1148" s="46" t="s">
        <v>2299</v>
      </c>
      <c r="F1148" s="46" t="s">
        <v>50646</v>
      </c>
      <c r="G1148" s="46" t="s">
        <v>50584</v>
      </c>
      <c r="H1148" s="48" t="s">
        <v>56716</v>
      </c>
      <c r="I1148" s="48" t="s">
        <v>50564</v>
      </c>
      <c r="J1148" s="48"/>
      <c r="K1148" s="50" t="s">
        <v>56716</v>
      </c>
      <c r="L1148" s="48" t="s">
        <v>56716</v>
      </c>
    </row>
    <row r="1149" spans="1:12" s="37" customFormat="1" ht="11.25" x14ac:dyDescent="0.2">
      <c r="A1149" s="45" t="s">
        <v>22996</v>
      </c>
      <c r="B1149" s="45" t="s">
        <v>22998</v>
      </c>
      <c r="C1149" s="51"/>
      <c r="D1149" s="51" t="s">
        <v>22999</v>
      </c>
      <c r="E1149" s="45" t="s">
        <v>18570</v>
      </c>
      <c r="F1149" s="45" t="s">
        <v>50646</v>
      </c>
      <c r="G1149" s="45" t="s">
        <v>50584</v>
      </c>
      <c r="H1149" s="56"/>
      <c r="I1149" s="56" t="s">
        <v>50564</v>
      </c>
      <c r="J1149" s="56"/>
      <c r="K1149" s="50"/>
      <c r="L1149" s="56" t="s">
        <v>56716</v>
      </c>
    </row>
    <row r="1150" spans="1:12" s="37" customFormat="1" ht="11.25" x14ac:dyDescent="0.2">
      <c r="A1150" s="45" t="s">
        <v>23001</v>
      </c>
      <c r="B1150" s="45" t="s">
        <v>23003</v>
      </c>
      <c r="C1150" s="51"/>
      <c r="D1150" s="51" t="s">
        <v>23004</v>
      </c>
      <c r="E1150" s="45" t="s">
        <v>18570</v>
      </c>
      <c r="F1150" s="45" t="s">
        <v>50646</v>
      </c>
      <c r="G1150" s="45" t="s">
        <v>50584</v>
      </c>
      <c r="H1150" s="56"/>
      <c r="I1150" s="56" t="s">
        <v>50564</v>
      </c>
      <c r="J1150" s="56"/>
      <c r="K1150" s="50"/>
      <c r="L1150" s="56" t="s">
        <v>56716</v>
      </c>
    </row>
    <row r="1151" spans="1:12" s="37" customFormat="1" ht="11.25" x14ac:dyDescent="0.2">
      <c r="A1151" s="46" t="s">
        <v>9677</v>
      </c>
      <c r="B1151" s="46" t="s">
        <v>51394</v>
      </c>
      <c r="C1151" s="58" t="str">
        <f>""</f>
        <v/>
      </c>
      <c r="D1151" s="58" t="str">
        <f>"1471230X"</f>
        <v>1471230X</v>
      </c>
      <c r="E1151" s="46" t="s">
        <v>2299</v>
      </c>
      <c r="F1151" s="46" t="s">
        <v>50646</v>
      </c>
      <c r="G1151" s="46" t="s">
        <v>50584</v>
      </c>
      <c r="H1151" s="48" t="s">
        <v>56716</v>
      </c>
      <c r="I1151" s="48" t="s">
        <v>50564</v>
      </c>
      <c r="J1151" s="48"/>
      <c r="K1151" s="50" t="s">
        <v>56716</v>
      </c>
      <c r="L1151" s="48" t="s">
        <v>56716</v>
      </c>
    </row>
    <row r="1152" spans="1:12" s="37" customFormat="1" ht="11.25" x14ac:dyDescent="0.2">
      <c r="A1152" s="46" t="s">
        <v>9679</v>
      </c>
      <c r="B1152" s="46" t="s">
        <v>51395</v>
      </c>
      <c r="C1152" s="58" t="str">
        <f>""</f>
        <v/>
      </c>
      <c r="D1152" s="58" t="str">
        <f>"14712156"</f>
        <v>14712156</v>
      </c>
      <c r="E1152" s="46" t="s">
        <v>2299</v>
      </c>
      <c r="F1152" s="46" t="s">
        <v>50646</v>
      </c>
      <c r="G1152" s="46" t="s">
        <v>50584</v>
      </c>
      <c r="H1152" s="48" t="s">
        <v>56716</v>
      </c>
      <c r="I1152" s="48" t="s">
        <v>50564</v>
      </c>
      <c r="J1152" s="48"/>
      <c r="K1152" s="50" t="s">
        <v>56716</v>
      </c>
      <c r="L1152" s="48" t="s">
        <v>56716</v>
      </c>
    </row>
    <row r="1153" spans="1:12" s="37" customFormat="1" ht="11.25" x14ac:dyDescent="0.2">
      <c r="A1153" s="46" t="s">
        <v>9681</v>
      </c>
      <c r="B1153" s="46" t="s">
        <v>9681</v>
      </c>
      <c r="C1153" s="58" t="str">
        <f>""</f>
        <v/>
      </c>
      <c r="D1153" s="58" t="str">
        <f>"14712164"</f>
        <v>14712164</v>
      </c>
      <c r="E1153" s="46" t="s">
        <v>2299</v>
      </c>
      <c r="F1153" s="46" t="s">
        <v>50646</v>
      </c>
      <c r="G1153" s="46" t="s">
        <v>50584</v>
      </c>
      <c r="H1153" s="48" t="s">
        <v>56716</v>
      </c>
      <c r="I1153" s="48" t="s">
        <v>50564</v>
      </c>
      <c r="J1153" s="48"/>
      <c r="K1153" s="50" t="s">
        <v>56716</v>
      </c>
      <c r="L1153" s="48" t="s">
        <v>56716</v>
      </c>
    </row>
    <row r="1154" spans="1:12" s="37" customFormat="1" ht="11.25" x14ac:dyDescent="0.2">
      <c r="A1154" s="45" t="s">
        <v>23017</v>
      </c>
      <c r="B1154" s="45" t="s">
        <v>23019</v>
      </c>
      <c r="C1154" s="51"/>
      <c r="D1154" s="51" t="s">
        <v>23020</v>
      </c>
      <c r="E1154" s="45" t="s">
        <v>18570</v>
      </c>
      <c r="F1154" s="45" t="s">
        <v>50646</v>
      </c>
      <c r="G1154" s="45" t="s">
        <v>50584</v>
      </c>
      <c r="H1154" s="56"/>
      <c r="I1154" s="56" t="s">
        <v>50564</v>
      </c>
      <c r="J1154" s="56"/>
      <c r="K1154" s="50"/>
      <c r="L1154" s="56" t="s">
        <v>56716</v>
      </c>
    </row>
    <row r="1155" spans="1:12" s="37" customFormat="1" ht="11.25" x14ac:dyDescent="0.2">
      <c r="A1155" s="45" t="s">
        <v>23022</v>
      </c>
      <c r="B1155" s="45" t="s">
        <v>23024</v>
      </c>
      <c r="C1155" s="51"/>
      <c r="D1155" s="51" t="s">
        <v>23025</v>
      </c>
      <c r="E1155" s="45" t="s">
        <v>18570</v>
      </c>
      <c r="F1155" s="45" t="s">
        <v>50646</v>
      </c>
      <c r="G1155" s="45" t="s">
        <v>50584</v>
      </c>
      <c r="H1155" s="56"/>
      <c r="I1155" s="56" t="s">
        <v>50564</v>
      </c>
      <c r="J1155" s="56"/>
      <c r="K1155" s="50"/>
      <c r="L1155" s="56" t="s">
        <v>56716</v>
      </c>
    </row>
    <row r="1156" spans="1:12" s="37" customFormat="1" ht="11.25" x14ac:dyDescent="0.2">
      <c r="A1156" s="46" t="s">
        <v>9683</v>
      </c>
      <c r="B1156" s="46" t="s">
        <v>51396</v>
      </c>
      <c r="C1156" s="58" t="str">
        <f>""</f>
        <v/>
      </c>
      <c r="D1156" s="58" t="str">
        <f>"14712172"</f>
        <v>14712172</v>
      </c>
      <c r="E1156" s="46" t="s">
        <v>2299</v>
      </c>
      <c r="F1156" s="46" t="s">
        <v>50646</v>
      </c>
      <c r="G1156" s="46" t="s">
        <v>50584</v>
      </c>
      <c r="H1156" s="48" t="s">
        <v>56716</v>
      </c>
      <c r="I1156" s="48" t="s">
        <v>50564</v>
      </c>
      <c r="J1156" s="48"/>
      <c r="K1156" s="50" t="s">
        <v>56716</v>
      </c>
      <c r="L1156" s="48" t="s">
        <v>56716</v>
      </c>
    </row>
    <row r="1157" spans="1:12" s="37" customFormat="1" ht="11.25" x14ac:dyDescent="0.2">
      <c r="A1157" s="46" t="s">
        <v>9613</v>
      </c>
      <c r="B1157" s="46" t="s">
        <v>51397</v>
      </c>
      <c r="C1157" s="58" t="str">
        <f>""</f>
        <v/>
      </c>
      <c r="D1157" s="58" t="str">
        <f>"14712334"</f>
        <v>14712334</v>
      </c>
      <c r="E1157" s="46" t="s">
        <v>2299</v>
      </c>
      <c r="F1157" s="46" t="s">
        <v>50646</v>
      </c>
      <c r="G1157" s="46" t="s">
        <v>50584</v>
      </c>
      <c r="H1157" s="48" t="s">
        <v>56716</v>
      </c>
      <c r="I1157" s="48" t="s">
        <v>50564</v>
      </c>
      <c r="J1157" s="48"/>
      <c r="K1157" s="50" t="s">
        <v>56716</v>
      </c>
      <c r="L1157" s="48" t="s">
        <v>56716</v>
      </c>
    </row>
    <row r="1158" spans="1:12" s="37" customFormat="1" ht="11.25" x14ac:dyDescent="0.2">
      <c r="A1158" s="46" t="s">
        <v>9643</v>
      </c>
      <c r="B1158" s="46" t="s">
        <v>51398</v>
      </c>
      <c r="C1158" s="58" t="str">
        <f>""</f>
        <v/>
      </c>
      <c r="D1158" s="58" t="str">
        <f>"1472698X"</f>
        <v>1472698X</v>
      </c>
      <c r="E1158" s="46" t="s">
        <v>2299</v>
      </c>
      <c r="F1158" s="46" t="s">
        <v>50646</v>
      </c>
      <c r="G1158" s="46" t="s">
        <v>50584</v>
      </c>
      <c r="H1158" s="48" t="s">
        <v>56716</v>
      </c>
      <c r="I1158" s="48" t="s">
        <v>50564</v>
      </c>
      <c r="J1158" s="48"/>
      <c r="K1158" s="50" t="s">
        <v>56716</v>
      </c>
      <c r="L1158" s="48" t="s">
        <v>56716</v>
      </c>
    </row>
    <row r="1159" spans="1:12" s="37" customFormat="1" ht="11.25" x14ac:dyDescent="0.2">
      <c r="A1159" s="45" t="s">
        <v>23039</v>
      </c>
      <c r="B1159" s="45" t="s">
        <v>23041</v>
      </c>
      <c r="C1159" s="51"/>
      <c r="D1159" s="51" t="s">
        <v>23042</v>
      </c>
      <c r="E1159" s="45" t="s">
        <v>18570</v>
      </c>
      <c r="F1159" s="45" t="s">
        <v>50646</v>
      </c>
      <c r="G1159" s="45" t="s">
        <v>50584</v>
      </c>
      <c r="H1159" s="56"/>
      <c r="I1159" s="56" t="s">
        <v>50564</v>
      </c>
      <c r="J1159" s="56"/>
      <c r="K1159" s="50"/>
      <c r="L1159" s="56" t="s">
        <v>56716</v>
      </c>
    </row>
    <row r="1160" spans="1:12" s="37" customFormat="1" ht="11.25" x14ac:dyDescent="0.2">
      <c r="A1160" s="45" t="s">
        <v>23044</v>
      </c>
      <c r="B1160" s="45" t="s">
        <v>23046</v>
      </c>
      <c r="C1160" s="51"/>
      <c r="D1160" s="51" t="s">
        <v>23047</v>
      </c>
      <c r="E1160" s="45" t="s">
        <v>18570</v>
      </c>
      <c r="F1160" s="45" t="s">
        <v>50646</v>
      </c>
      <c r="G1160" s="45" t="s">
        <v>50584</v>
      </c>
      <c r="H1160" s="56"/>
      <c r="I1160" s="56" t="s">
        <v>50564</v>
      </c>
      <c r="J1160" s="56"/>
      <c r="K1160" s="50"/>
      <c r="L1160" s="56" t="s">
        <v>56716</v>
      </c>
    </row>
    <row r="1161" spans="1:12" s="37" customFormat="1" ht="11.25" x14ac:dyDescent="0.2">
      <c r="A1161" s="46" t="s">
        <v>9685</v>
      </c>
      <c r="B1161" s="46" t="s">
        <v>51399</v>
      </c>
      <c r="C1161" s="58" t="str">
        <f>""</f>
        <v/>
      </c>
      <c r="D1161" s="58" t="str">
        <f>"14712350"</f>
        <v>14712350</v>
      </c>
      <c r="E1161" s="46" t="s">
        <v>2299</v>
      </c>
      <c r="F1161" s="46" t="s">
        <v>50646</v>
      </c>
      <c r="G1161" s="46" t="s">
        <v>50584</v>
      </c>
      <c r="H1161" s="48" t="s">
        <v>56716</v>
      </c>
      <c r="I1161" s="48" t="s">
        <v>50564</v>
      </c>
      <c r="J1161" s="48"/>
      <c r="K1161" s="50" t="s">
        <v>56716</v>
      </c>
      <c r="L1161" s="48" t="s">
        <v>56716</v>
      </c>
    </row>
    <row r="1162" spans="1:12" s="37" customFormat="1" ht="11.25" x14ac:dyDescent="0.2">
      <c r="A1162" s="46" t="s">
        <v>12998</v>
      </c>
      <c r="B1162" s="46" t="s">
        <v>51400</v>
      </c>
      <c r="C1162" s="58" t="str">
        <f>""</f>
        <v/>
      </c>
      <c r="D1162" s="58" t="str">
        <f>"17558794"</f>
        <v>17558794</v>
      </c>
      <c r="E1162" s="46" t="s">
        <v>2299</v>
      </c>
      <c r="F1162" s="46" t="s">
        <v>50646</v>
      </c>
      <c r="G1162" s="46" t="s">
        <v>50584</v>
      </c>
      <c r="H1162" s="48" t="s">
        <v>56716</v>
      </c>
      <c r="I1162" s="48" t="s">
        <v>50564</v>
      </c>
      <c r="J1162" s="48" t="s">
        <v>56716</v>
      </c>
      <c r="K1162" s="50" t="s">
        <v>56716</v>
      </c>
      <c r="L1162" s="48" t="s">
        <v>56716</v>
      </c>
    </row>
    <row r="1163" spans="1:12" s="37" customFormat="1" ht="11.25" x14ac:dyDescent="0.2">
      <c r="A1163" s="45" t="s">
        <v>23057</v>
      </c>
      <c r="B1163" s="45" t="s">
        <v>23059</v>
      </c>
      <c r="C1163" s="51"/>
      <c r="D1163" s="51" t="s">
        <v>23060</v>
      </c>
      <c r="E1163" s="45" t="s">
        <v>18570</v>
      </c>
      <c r="F1163" s="45" t="s">
        <v>50646</v>
      </c>
      <c r="G1163" s="45" t="s">
        <v>50584</v>
      </c>
      <c r="H1163" s="56"/>
      <c r="I1163" s="56" t="s">
        <v>50564</v>
      </c>
      <c r="J1163" s="56"/>
      <c r="K1163" s="50"/>
      <c r="L1163" s="56" t="s">
        <v>56716</v>
      </c>
    </row>
    <row r="1164" spans="1:12" s="37" customFormat="1" ht="11.25" x14ac:dyDescent="0.2">
      <c r="A1164" s="45" t="s">
        <v>23063</v>
      </c>
      <c r="B1164" s="45" t="s">
        <v>23065</v>
      </c>
      <c r="C1164" s="51"/>
      <c r="D1164" s="51" t="s">
        <v>23066</v>
      </c>
      <c r="E1164" s="45" t="s">
        <v>18570</v>
      </c>
      <c r="F1164" s="45" t="s">
        <v>50646</v>
      </c>
      <c r="G1164" s="45" t="s">
        <v>50584</v>
      </c>
      <c r="H1164" s="56"/>
      <c r="I1164" s="56" t="s">
        <v>50564</v>
      </c>
      <c r="J1164" s="56"/>
      <c r="K1164" s="50"/>
      <c r="L1164" s="56" t="s">
        <v>56716</v>
      </c>
    </row>
    <row r="1165" spans="1:12" s="37" customFormat="1" ht="11.25" x14ac:dyDescent="0.2">
      <c r="A1165" s="46" t="s">
        <v>12852</v>
      </c>
      <c r="B1165" s="46" t="s">
        <v>51401</v>
      </c>
      <c r="C1165" s="58" t="str">
        <f>""</f>
        <v/>
      </c>
      <c r="D1165" s="58" t="str">
        <f>"17566649"</f>
        <v>17566649</v>
      </c>
      <c r="E1165" s="46" t="s">
        <v>2299</v>
      </c>
      <c r="F1165" s="46" t="s">
        <v>50646</v>
      </c>
      <c r="G1165" s="46" t="s">
        <v>50584</v>
      </c>
      <c r="H1165" s="48" t="s">
        <v>56716</v>
      </c>
      <c r="I1165" s="48" t="s">
        <v>50564</v>
      </c>
      <c r="J1165" s="48"/>
      <c r="K1165" s="50" t="s">
        <v>56716</v>
      </c>
      <c r="L1165" s="48"/>
    </row>
    <row r="1166" spans="1:12" s="37" customFormat="1" ht="11.25" x14ac:dyDescent="0.2">
      <c r="A1166" s="45" t="s">
        <v>23068</v>
      </c>
      <c r="B1166" s="45" t="s">
        <v>23070</v>
      </c>
      <c r="C1166" s="51"/>
      <c r="D1166" s="51" t="s">
        <v>23071</v>
      </c>
      <c r="E1166" s="45" t="s">
        <v>18570</v>
      </c>
      <c r="F1166" s="45" t="s">
        <v>50646</v>
      </c>
      <c r="G1166" s="45" t="s">
        <v>50584</v>
      </c>
      <c r="H1166" s="56"/>
      <c r="I1166" s="56" t="s">
        <v>50564</v>
      </c>
      <c r="J1166" s="56"/>
      <c r="K1166" s="50"/>
      <c r="L1166" s="56" t="s">
        <v>56716</v>
      </c>
    </row>
    <row r="1167" spans="1:12" s="37" customFormat="1" ht="11.25" x14ac:dyDescent="0.2">
      <c r="A1167" s="46" t="s">
        <v>10250</v>
      </c>
      <c r="B1167" s="46" t="s">
        <v>51402</v>
      </c>
      <c r="C1167" s="58" t="str">
        <f>""</f>
        <v/>
      </c>
      <c r="D1167" s="58" t="str">
        <f>"17417015"</f>
        <v>17417015</v>
      </c>
      <c r="E1167" s="46" t="s">
        <v>2299</v>
      </c>
      <c r="F1167" s="46" t="s">
        <v>50646</v>
      </c>
      <c r="G1167" s="46" t="s">
        <v>50584</v>
      </c>
      <c r="H1167" s="48" t="s">
        <v>56716</v>
      </c>
      <c r="I1167" s="48" t="s">
        <v>50564</v>
      </c>
      <c r="J1167" s="48"/>
      <c r="K1167" s="50" t="s">
        <v>56716</v>
      </c>
      <c r="L1167" s="48" t="s">
        <v>56716</v>
      </c>
    </row>
    <row r="1168" spans="1:12" s="37" customFormat="1" ht="11.25" x14ac:dyDescent="0.2">
      <c r="A1168" s="46" t="s">
        <v>9649</v>
      </c>
      <c r="B1168" s="46" t="s">
        <v>51403</v>
      </c>
      <c r="C1168" s="58" t="str">
        <f>""</f>
        <v/>
      </c>
      <c r="D1168" s="58" t="str">
        <f>"14712180"</f>
        <v>14712180</v>
      </c>
      <c r="E1168" s="46" t="s">
        <v>2299</v>
      </c>
      <c r="F1168" s="46" t="s">
        <v>50646</v>
      </c>
      <c r="G1168" s="46" t="s">
        <v>50584</v>
      </c>
      <c r="H1168" s="48" t="s">
        <v>56716</v>
      </c>
      <c r="I1168" s="48" t="s">
        <v>50564</v>
      </c>
      <c r="J1168" s="48"/>
      <c r="K1168" s="50" t="s">
        <v>56716</v>
      </c>
      <c r="L1168" s="48" t="s">
        <v>56716</v>
      </c>
    </row>
    <row r="1169" spans="1:12" s="37" customFormat="1" ht="11.25" x14ac:dyDescent="0.2">
      <c r="A1169" s="46" t="s">
        <v>9687</v>
      </c>
      <c r="B1169" s="46" t="s">
        <v>51404</v>
      </c>
      <c r="C1169" s="58" t="str">
        <f>""</f>
        <v/>
      </c>
      <c r="D1169" s="58" t="str">
        <f>"14712199"</f>
        <v>14712199</v>
      </c>
      <c r="E1169" s="46" t="s">
        <v>2299</v>
      </c>
      <c r="F1169" s="46" t="s">
        <v>50646</v>
      </c>
      <c r="G1169" s="46" t="s">
        <v>50584</v>
      </c>
      <c r="H1169" s="48" t="s">
        <v>56716</v>
      </c>
      <c r="I1169" s="48" t="s">
        <v>50564</v>
      </c>
      <c r="J1169" s="48"/>
      <c r="K1169" s="50" t="s">
        <v>56716</v>
      </c>
      <c r="L1169" s="48" t="s">
        <v>56716</v>
      </c>
    </row>
    <row r="1170" spans="1:12" s="37" customFormat="1" ht="11.25" x14ac:dyDescent="0.2">
      <c r="A1170" s="46" t="s">
        <v>9651</v>
      </c>
      <c r="B1170" s="46" t="s">
        <v>51405</v>
      </c>
      <c r="C1170" s="58" t="str">
        <f>""</f>
        <v/>
      </c>
      <c r="D1170" s="58" t="str">
        <f>"14712474"</f>
        <v>14712474</v>
      </c>
      <c r="E1170" s="46" t="s">
        <v>2299</v>
      </c>
      <c r="F1170" s="46" t="s">
        <v>50646</v>
      </c>
      <c r="G1170" s="46" t="s">
        <v>50584</v>
      </c>
      <c r="H1170" s="48" t="s">
        <v>56716</v>
      </c>
      <c r="I1170" s="48" t="s">
        <v>50564</v>
      </c>
      <c r="J1170" s="48"/>
      <c r="K1170" s="50" t="s">
        <v>56716</v>
      </c>
      <c r="L1170" s="48" t="s">
        <v>56716</v>
      </c>
    </row>
    <row r="1171" spans="1:12" s="37" customFormat="1" ht="11.25" x14ac:dyDescent="0.2">
      <c r="A1171" s="46" t="s">
        <v>9653</v>
      </c>
      <c r="B1171" s="46" t="s">
        <v>51406</v>
      </c>
      <c r="C1171" s="58" t="str">
        <f>""</f>
        <v/>
      </c>
      <c r="D1171" s="58" t="str">
        <f>"14712369"</f>
        <v>14712369</v>
      </c>
      <c r="E1171" s="46" t="s">
        <v>2299</v>
      </c>
      <c r="F1171" s="46" t="s">
        <v>50646</v>
      </c>
      <c r="G1171" s="46" t="s">
        <v>50584</v>
      </c>
      <c r="H1171" s="48" t="s">
        <v>56716</v>
      </c>
      <c r="I1171" s="48" t="s">
        <v>50564</v>
      </c>
      <c r="J1171" s="48"/>
      <c r="K1171" s="50" t="s">
        <v>56716</v>
      </c>
      <c r="L1171" s="48" t="s">
        <v>56716</v>
      </c>
    </row>
    <row r="1172" spans="1:12" s="37" customFormat="1" ht="11.25" x14ac:dyDescent="0.2">
      <c r="A1172" s="46" t="s">
        <v>9689</v>
      </c>
      <c r="B1172" s="46" t="s">
        <v>51407</v>
      </c>
      <c r="C1172" s="58" t="str">
        <f>""</f>
        <v/>
      </c>
      <c r="D1172" s="58" t="str">
        <f>"14712377"</f>
        <v>14712377</v>
      </c>
      <c r="E1172" s="46" t="s">
        <v>2299</v>
      </c>
      <c r="F1172" s="46" t="s">
        <v>50646</v>
      </c>
      <c r="G1172" s="46" t="s">
        <v>50584</v>
      </c>
      <c r="H1172" s="48" t="s">
        <v>56716</v>
      </c>
      <c r="I1172" s="48" t="s">
        <v>50564</v>
      </c>
      <c r="J1172" s="48"/>
      <c r="K1172" s="50" t="s">
        <v>56716</v>
      </c>
      <c r="L1172" s="48" t="s">
        <v>56716</v>
      </c>
    </row>
    <row r="1173" spans="1:12" s="37" customFormat="1" ht="11.25" x14ac:dyDescent="0.2">
      <c r="A1173" s="46" t="s">
        <v>9691</v>
      </c>
      <c r="B1173" s="46" t="s">
        <v>51408</v>
      </c>
      <c r="C1173" s="58" t="str">
        <f>""</f>
        <v/>
      </c>
      <c r="D1173" s="58" t="str">
        <f>"14712202"</f>
        <v>14712202</v>
      </c>
      <c r="E1173" s="46" t="s">
        <v>2299</v>
      </c>
      <c r="F1173" s="46" t="s">
        <v>50646</v>
      </c>
      <c r="G1173" s="46" t="s">
        <v>50584</v>
      </c>
      <c r="H1173" s="48" t="s">
        <v>56716</v>
      </c>
      <c r="I1173" s="48" t="s">
        <v>50564</v>
      </c>
      <c r="J1173" s="48"/>
      <c r="K1173" s="50" t="s">
        <v>56716</v>
      </c>
      <c r="L1173" s="48" t="s">
        <v>56716</v>
      </c>
    </row>
    <row r="1174" spans="1:12" s="37" customFormat="1" ht="11.25" x14ac:dyDescent="0.2">
      <c r="A1174" s="46" t="s">
        <v>56010</v>
      </c>
      <c r="B1174" s="46" t="s">
        <v>56011</v>
      </c>
      <c r="C1174" s="58" t="str">
        <f>""</f>
        <v/>
      </c>
      <c r="D1174" s="58" t="str">
        <f>"20529538"</f>
        <v>20529538</v>
      </c>
      <c r="E1174" s="46" t="s">
        <v>2299</v>
      </c>
      <c r="F1174" s="46" t="s">
        <v>50646</v>
      </c>
      <c r="G1174" s="46" t="s">
        <v>50584</v>
      </c>
      <c r="H1174" s="48" t="s">
        <v>56716</v>
      </c>
      <c r="I1174" s="48" t="s">
        <v>50564</v>
      </c>
      <c r="J1174" s="48" t="s">
        <v>56716</v>
      </c>
      <c r="K1174" s="50"/>
      <c r="L1174" s="48"/>
    </row>
    <row r="1175" spans="1:12" s="37" customFormat="1" ht="11.25" x14ac:dyDescent="0.2">
      <c r="A1175" s="45" t="s">
        <v>23102</v>
      </c>
      <c r="B1175" s="45" t="s">
        <v>23104</v>
      </c>
      <c r="C1175" s="51"/>
      <c r="D1175" s="51" t="s">
        <v>23105</v>
      </c>
      <c r="E1175" s="45" t="s">
        <v>18570</v>
      </c>
      <c r="F1175" s="45" t="s">
        <v>50646</v>
      </c>
      <c r="G1175" s="45" t="s">
        <v>50584</v>
      </c>
      <c r="H1175" s="56"/>
      <c r="I1175" s="56" t="s">
        <v>50564</v>
      </c>
      <c r="J1175" s="56"/>
      <c r="K1175" s="50"/>
      <c r="L1175" s="56" t="s">
        <v>56716</v>
      </c>
    </row>
    <row r="1176" spans="1:12" s="37" customFormat="1" ht="11.25" x14ac:dyDescent="0.2">
      <c r="A1176" s="45" t="s">
        <v>23107</v>
      </c>
      <c r="B1176" s="45" t="s">
        <v>23109</v>
      </c>
      <c r="C1176" s="51"/>
      <c r="D1176" s="51" t="s">
        <v>23110</v>
      </c>
      <c r="E1176" s="45" t="s">
        <v>18570</v>
      </c>
      <c r="F1176" s="45" t="s">
        <v>50646</v>
      </c>
      <c r="G1176" s="45" t="s">
        <v>50584</v>
      </c>
      <c r="H1176" s="56"/>
      <c r="I1176" s="56" t="s">
        <v>50564</v>
      </c>
      <c r="J1176" s="56"/>
      <c r="K1176" s="50"/>
      <c r="L1176" s="56" t="s">
        <v>56716</v>
      </c>
    </row>
    <row r="1177" spans="1:12" s="37" customFormat="1" ht="11.25" x14ac:dyDescent="0.2">
      <c r="A1177" s="46" t="s">
        <v>9635</v>
      </c>
      <c r="B1177" s="46" t="s">
        <v>9635</v>
      </c>
      <c r="C1177" s="58" t="str">
        <f>""</f>
        <v/>
      </c>
      <c r="D1177" s="58" t="str">
        <f>"1472684X"</f>
        <v>1472684X</v>
      </c>
      <c r="E1177" s="46" t="s">
        <v>2299</v>
      </c>
      <c r="F1177" s="46" t="s">
        <v>50646</v>
      </c>
      <c r="G1177" s="46" t="s">
        <v>50584</v>
      </c>
      <c r="H1177" s="48" t="s">
        <v>56716</v>
      </c>
      <c r="I1177" s="48" t="s">
        <v>50564</v>
      </c>
      <c r="J1177" s="48"/>
      <c r="K1177" s="50" t="s">
        <v>56716</v>
      </c>
      <c r="L1177" s="48"/>
    </row>
    <row r="1178" spans="1:12" s="37" customFormat="1" ht="11.25" x14ac:dyDescent="0.2">
      <c r="A1178" s="46" t="s">
        <v>9693</v>
      </c>
      <c r="B1178" s="46" t="s">
        <v>51409</v>
      </c>
      <c r="C1178" s="58" t="str">
        <f>""</f>
        <v/>
      </c>
      <c r="D1178" s="58" t="str">
        <f>"14712431"</f>
        <v>14712431</v>
      </c>
      <c r="E1178" s="46" t="s">
        <v>2299</v>
      </c>
      <c r="F1178" s="46" t="s">
        <v>50646</v>
      </c>
      <c r="G1178" s="46" t="s">
        <v>50584</v>
      </c>
      <c r="H1178" s="48" t="s">
        <v>56716</v>
      </c>
      <c r="I1178" s="48" t="s">
        <v>50564</v>
      </c>
      <c r="J1178" s="48"/>
      <c r="K1178" s="50" t="s">
        <v>56716</v>
      </c>
      <c r="L1178" s="48" t="s">
        <v>56716</v>
      </c>
    </row>
    <row r="1179" spans="1:12" s="37" customFormat="1" ht="11.25" x14ac:dyDescent="0.2">
      <c r="A1179" s="46" t="s">
        <v>17061</v>
      </c>
      <c r="B1179" s="46" t="s">
        <v>51410</v>
      </c>
      <c r="C1179" s="58" t="str">
        <f>"20506511"</f>
        <v>20506511</v>
      </c>
      <c r="D1179" s="58" t="str">
        <f>"20506511"</f>
        <v>20506511</v>
      </c>
      <c r="E1179" s="46" t="s">
        <v>2299</v>
      </c>
      <c r="F1179" s="46" t="s">
        <v>50646</v>
      </c>
      <c r="G1179" s="46" t="s">
        <v>50584</v>
      </c>
      <c r="H1179" s="48" t="s">
        <v>56716</v>
      </c>
      <c r="I1179" s="48" t="s">
        <v>50564</v>
      </c>
      <c r="J1179" s="48"/>
      <c r="K1179" s="50" t="s">
        <v>56716</v>
      </c>
      <c r="L1179" s="48" t="s">
        <v>56716</v>
      </c>
    </row>
    <row r="1180" spans="1:12" s="37" customFormat="1" ht="11.25" x14ac:dyDescent="0.2">
      <c r="A1180" s="45" t="s">
        <v>23121</v>
      </c>
      <c r="B1180" s="45" t="s">
        <v>23123</v>
      </c>
      <c r="C1180" s="51"/>
      <c r="D1180" s="51" t="s">
        <v>23124</v>
      </c>
      <c r="E1180" s="45" t="s">
        <v>18570</v>
      </c>
      <c r="F1180" s="45" t="s">
        <v>50646</v>
      </c>
      <c r="G1180" s="45" t="s">
        <v>50584</v>
      </c>
      <c r="H1180" s="56"/>
      <c r="I1180" s="56" t="s">
        <v>50564</v>
      </c>
      <c r="J1180" s="56"/>
      <c r="K1180" s="50"/>
      <c r="L1180" s="56" t="s">
        <v>56716</v>
      </c>
    </row>
    <row r="1181" spans="1:12" s="37" customFormat="1" ht="11.25" x14ac:dyDescent="0.2">
      <c r="A1181" s="45" t="s">
        <v>23126</v>
      </c>
      <c r="B1181" s="45" t="s">
        <v>23128</v>
      </c>
      <c r="C1181" s="51"/>
      <c r="D1181" s="51" t="s">
        <v>23129</v>
      </c>
      <c r="E1181" s="45" t="s">
        <v>18570</v>
      </c>
      <c r="F1181" s="45" t="s">
        <v>50646</v>
      </c>
      <c r="G1181" s="45" t="s">
        <v>50584</v>
      </c>
      <c r="H1181" s="56"/>
      <c r="I1181" s="56" t="s">
        <v>50564</v>
      </c>
      <c r="J1181" s="56"/>
      <c r="K1181" s="50"/>
      <c r="L1181" s="56" t="s">
        <v>56716</v>
      </c>
    </row>
    <row r="1182" spans="1:12" s="37" customFormat="1" ht="11.25" x14ac:dyDescent="0.2">
      <c r="A1182" s="46" t="s">
        <v>9695</v>
      </c>
      <c r="B1182" s="46" t="s">
        <v>23133</v>
      </c>
      <c r="C1182" s="58" t="str">
        <f>""</f>
        <v/>
      </c>
      <c r="D1182" s="58" t="str">
        <f>"14712393"</f>
        <v>14712393</v>
      </c>
      <c r="E1182" s="46" t="s">
        <v>2299</v>
      </c>
      <c r="F1182" s="46" t="s">
        <v>50646</v>
      </c>
      <c r="G1182" s="46" t="s">
        <v>50584</v>
      </c>
      <c r="H1182" s="48" t="s">
        <v>56716</v>
      </c>
      <c r="I1182" s="48" t="s">
        <v>50564</v>
      </c>
      <c r="J1182" s="48"/>
      <c r="K1182" s="50" t="s">
        <v>56716</v>
      </c>
      <c r="L1182" s="48" t="s">
        <v>56716</v>
      </c>
    </row>
    <row r="1183" spans="1:12" s="37" customFormat="1" ht="11.25" x14ac:dyDescent="0.2">
      <c r="A1183" s="46" t="s">
        <v>15772</v>
      </c>
      <c r="B1183" s="46" t="s">
        <v>51411</v>
      </c>
      <c r="C1183" s="58" t="str">
        <f>""</f>
        <v/>
      </c>
      <c r="D1183" s="58" t="str">
        <f>"17536561"</f>
        <v>17536561</v>
      </c>
      <c r="E1183" s="46" t="s">
        <v>2299</v>
      </c>
      <c r="F1183" s="46" t="s">
        <v>50646</v>
      </c>
      <c r="G1183" s="46" t="s">
        <v>50584</v>
      </c>
      <c r="H1183" s="48" t="s">
        <v>56716</v>
      </c>
      <c r="I1183" s="48" t="s">
        <v>50564</v>
      </c>
      <c r="J1183" s="48" t="s">
        <v>56716</v>
      </c>
      <c r="K1183" s="50"/>
      <c r="L1183" s="48"/>
    </row>
    <row r="1184" spans="1:12" s="37" customFormat="1" ht="11.25" x14ac:dyDescent="0.2">
      <c r="A1184" s="46" t="s">
        <v>9697</v>
      </c>
      <c r="B1184" s="46" t="s">
        <v>9697</v>
      </c>
      <c r="C1184" s="58" t="str">
        <f>""</f>
        <v/>
      </c>
      <c r="D1184" s="58" t="str">
        <f>"1471244X"</f>
        <v>1471244X</v>
      </c>
      <c r="E1184" s="46" t="s">
        <v>2299</v>
      </c>
      <c r="F1184" s="46" t="s">
        <v>50646</v>
      </c>
      <c r="G1184" s="46" t="s">
        <v>50584</v>
      </c>
      <c r="H1184" s="48" t="s">
        <v>56716</v>
      </c>
      <c r="I1184" s="48" t="s">
        <v>50564</v>
      </c>
      <c r="J1184" s="48"/>
      <c r="K1184" s="50" t="s">
        <v>56716</v>
      </c>
      <c r="L1184" s="48" t="s">
        <v>56716</v>
      </c>
    </row>
    <row r="1185" spans="1:12" s="37" customFormat="1" ht="11.25" x14ac:dyDescent="0.2">
      <c r="A1185" s="45" t="s">
        <v>23138</v>
      </c>
      <c r="B1185" s="45" t="s">
        <v>23140</v>
      </c>
      <c r="C1185" s="51"/>
      <c r="D1185" s="51" t="s">
        <v>23141</v>
      </c>
      <c r="E1185" s="45" t="s">
        <v>18570</v>
      </c>
      <c r="F1185" s="45" t="s">
        <v>50646</v>
      </c>
      <c r="G1185" s="45" t="s">
        <v>50584</v>
      </c>
      <c r="H1185" s="56"/>
      <c r="I1185" s="56" t="s">
        <v>50564</v>
      </c>
      <c r="J1185" s="56"/>
      <c r="K1185" s="50"/>
      <c r="L1185" s="56" t="s">
        <v>56716</v>
      </c>
    </row>
    <row r="1186" spans="1:12" s="37" customFormat="1" ht="11.25" x14ac:dyDescent="0.2">
      <c r="A1186" s="46" t="s">
        <v>9699</v>
      </c>
      <c r="B1186" s="46" t="s">
        <v>51412</v>
      </c>
      <c r="C1186" s="58" t="str">
        <f>""</f>
        <v/>
      </c>
      <c r="D1186" s="58" t="str">
        <f>"14712466"</f>
        <v>14712466</v>
      </c>
      <c r="E1186" s="46" t="s">
        <v>2299</v>
      </c>
      <c r="F1186" s="46" t="s">
        <v>50646</v>
      </c>
      <c r="G1186" s="46" t="s">
        <v>50584</v>
      </c>
      <c r="H1186" s="48" t="s">
        <v>56716</v>
      </c>
      <c r="I1186" s="48" t="s">
        <v>50564</v>
      </c>
      <c r="J1186" s="48"/>
      <c r="K1186" s="50" t="s">
        <v>56716</v>
      </c>
      <c r="L1186" s="48" t="s">
        <v>56716</v>
      </c>
    </row>
    <row r="1187" spans="1:12" s="37" customFormat="1" ht="11.25" x14ac:dyDescent="0.2">
      <c r="A1187" s="45" t="s">
        <v>23147</v>
      </c>
      <c r="B1187" s="45" t="s">
        <v>23149</v>
      </c>
      <c r="C1187" s="51"/>
      <c r="D1187" s="51" t="s">
        <v>23150</v>
      </c>
      <c r="E1187" s="45" t="s">
        <v>23151</v>
      </c>
      <c r="F1187" s="45" t="s">
        <v>50646</v>
      </c>
      <c r="G1187" s="45" t="s">
        <v>50584</v>
      </c>
      <c r="H1187" s="56"/>
      <c r="I1187" s="56" t="s">
        <v>50564</v>
      </c>
      <c r="J1187" s="56"/>
      <c r="K1187" s="50"/>
      <c r="L1187" s="56" t="s">
        <v>56716</v>
      </c>
    </row>
    <row r="1188" spans="1:12" s="37" customFormat="1" ht="11.25" x14ac:dyDescent="0.2">
      <c r="A1188" s="46" t="s">
        <v>9645</v>
      </c>
      <c r="B1188" s="46" t="s">
        <v>51413</v>
      </c>
      <c r="C1188" s="58" t="str">
        <f>""</f>
        <v/>
      </c>
      <c r="D1188" s="58" t="str">
        <f>"14726807"</f>
        <v>14726807</v>
      </c>
      <c r="E1188" s="46" t="s">
        <v>2299</v>
      </c>
      <c r="F1188" s="46" t="s">
        <v>50646</v>
      </c>
      <c r="G1188" s="46" t="s">
        <v>50584</v>
      </c>
      <c r="H1188" s="48" t="s">
        <v>56716</v>
      </c>
      <c r="I1188" s="48" t="s">
        <v>50564</v>
      </c>
      <c r="J1188" s="48"/>
      <c r="K1188" s="50" t="s">
        <v>56716</v>
      </c>
      <c r="L1188" s="48" t="s">
        <v>56716</v>
      </c>
    </row>
    <row r="1189" spans="1:12" s="37" customFormat="1" ht="11.25" x14ac:dyDescent="0.2">
      <c r="A1189" s="45" t="s">
        <v>23157</v>
      </c>
      <c r="B1189" s="45" t="s">
        <v>23159</v>
      </c>
      <c r="C1189" s="51"/>
      <c r="D1189" s="51" t="s">
        <v>23160</v>
      </c>
      <c r="E1189" s="45" t="s">
        <v>18570</v>
      </c>
      <c r="F1189" s="45" t="s">
        <v>50646</v>
      </c>
      <c r="G1189" s="45" t="s">
        <v>50584</v>
      </c>
      <c r="H1189" s="56"/>
      <c r="I1189" s="56" t="s">
        <v>50564</v>
      </c>
      <c r="J1189" s="56"/>
      <c r="K1189" s="50"/>
      <c r="L1189" s="56" t="s">
        <v>56716</v>
      </c>
    </row>
    <row r="1190" spans="1:12" s="37" customFormat="1" ht="11.25" x14ac:dyDescent="0.2">
      <c r="A1190" s="45" t="s">
        <v>23162</v>
      </c>
      <c r="B1190" s="45" t="s">
        <v>23164</v>
      </c>
      <c r="C1190" s="51"/>
      <c r="D1190" s="51" t="s">
        <v>23165</v>
      </c>
      <c r="E1190" s="45" t="s">
        <v>18570</v>
      </c>
      <c r="F1190" s="45" t="s">
        <v>50646</v>
      </c>
      <c r="G1190" s="45" t="s">
        <v>50584</v>
      </c>
      <c r="H1190" s="56"/>
      <c r="I1190" s="56" t="s">
        <v>50564</v>
      </c>
      <c r="J1190" s="56"/>
      <c r="K1190" s="50"/>
      <c r="L1190" s="56" t="s">
        <v>56716</v>
      </c>
    </row>
    <row r="1191" spans="1:12" s="37" customFormat="1" ht="11.25" x14ac:dyDescent="0.2">
      <c r="A1191" s="46" t="s">
        <v>9647</v>
      </c>
      <c r="B1191" s="46" t="s">
        <v>51414</v>
      </c>
      <c r="C1191" s="58" t="str">
        <f>""</f>
        <v/>
      </c>
      <c r="D1191" s="58" t="str">
        <f>"14712490"</f>
        <v>14712490</v>
      </c>
      <c r="E1191" s="46" t="s">
        <v>2299</v>
      </c>
      <c r="F1191" s="46" t="s">
        <v>50646</v>
      </c>
      <c r="G1191" s="46" t="s">
        <v>50584</v>
      </c>
      <c r="H1191" s="48" t="s">
        <v>56716</v>
      </c>
      <c r="I1191" s="48" t="s">
        <v>50564</v>
      </c>
      <c r="J1191" s="48"/>
      <c r="K1191" s="50" t="s">
        <v>56716</v>
      </c>
      <c r="L1191" s="48" t="s">
        <v>56716</v>
      </c>
    </row>
    <row r="1192" spans="1:12" s="37" customFormat="1" ht="11.25" x14ac:dyDescent="0.2">
      <c r="A1192" s="45" t="s">
        <v>23172</v>
      </c>
      <c r="B1192" s="45" t="s">
        <v>23174</v>
      </c>
      <c r="C1192" s="51"/>
      <c r="D1192" s="51" t="s">
        <v>23175</v>
      </c>
      <c r="E1192" s="45" t="s">
        <v>18570</v>
      </c>
      <c r="F1192" s="45" t="s">
        <v>50646</v>
      </c>
      <c r="G1192" s="45" t="s">
        <v>50584</v>
      </c>
      <c r="H1192" s="56"/>
      <c r="I1192" s="56" t="s">
        <v>50564</v>
      </c>
      <c r="J1192" s="56"/>
      <c r="K1192" s="50"/>
      <c r="L1192" s="56" t="s">
        <v>56716</v>
      </c>
    </row>
    <row r="1193" spans="1:12" s="37" customFormat="1" ht="11.25" x14ac:dyDescent="0.2">
      <c r="A1193" s="46" t="s">
        <v>9701</v>
      </c>
      <c r="B1193" s="46" t="s">
        <v>9701</v>
      </c>
      <c r="C1193" s="58" t="str">
        <f>""</f>
        <v/>
      </c>
      <c r="D1193" s="58" t="str">
        <f>"14726874"</f>
        <v>14726874</v>
      </c>
      <c r="E1193" s="46" t="s">
        <v>2299</v>
      </c>
      <c r="F1193" s="46" t="s">
        <v>50646</v>
      </c>
      <c r="G1193" s="46" t="s">
        <v>50584</v>
      </c>
      <c r="H1193" s="48" t="s">
        <v>56716</v>
      </c>
      <c r="I1193" s="48" t="s">
        <v>50564</v>
      </c>
      <c r="J1193" s="48"/>
      <c r="K1193" s="50" t="s">
        <v>56716</v>
      </c>
      <c r="L1193" s="48" t="s">
        <v>56716</v>
      </c>
    </row>
    <row r="1194" spans="1:12" s="37" customFormat="1" ht="11.25" x14ac:dyDescent="0.2">
      <c r="A1194" s="46" t="s">
        <v>879</v>
      </c>
      <c r="B1194" s="46" t="s">
        <v>879</v>
      </c>
      <c r="C1194" s="58" t="str">
        <f>"09598146"</f>
        <v>09598146</v>
      </c>
      <c r="D1194" s="58" t="str">
        <f>"17561833"</f>
        <v>17561833</v>
      </c>
      <c r="E1194" s="46" t="s">
        <v>159</v>
      </c>
      <c r="F1194" s="46" t="s">
        <v>50646</v>
      </c>
      <c r="G1194" s="46" t="s">
        <v>50584</v>
      </c>
      <c r="H1194" s="48" t="s">
        <v>56716</v>
      </c>
      <c r="I1194" s="48" t="s">
        <v>50564</v>
      </c>
      <c r="J1194" s="48" t="s">
        <v>56716</v>
      </c>
      <c r="K1194" s="50"/>
      <c r="L1194" s="48" t="s">
        <v>56716</v>
      </c>
    </row>
    <row r="1195" spans="1:12" s="37" customFormat="1" ht="11.25" x14ac:dyDescent="0.2">
      <c r="A1195" s="46" t="s">
        <v>14859</v>
      </c>
      <c r="B1195" s="46" t="s">
        <v>51415</v>
      </c>
      <c r="C1195" s="58" t="str">
        <f>""</f>
        <v/>
      </c>
      <c r="D1195" s="58" t="str">
        <f>"1757790X"</f>
        <v>1757790X</v>
      </c>
      <c r="E1195" s="46" t="s">
        <v>159</v>
      </c>
      <c r="F1195" s="46" t="s">
        <v>50646</v>
      </c>
      <c r="G1195" s="46" t="s">
        <v>50584</v>
      </c>
      <c r="H1195" s="48" t="s">
        <v>56716</v>
      </c>
      <c r="I1195" s="48" t="s">
        <v>50564</v>
      </c>
      <c r="J1195" s="48" t="s">
        <v>56716</v>
      </c>
      <c r="K1195" s="50"/>
      <c r="L1195" s="48" t="s">
        <v>56716</v>
      </c>
    </row>
    <row r="1196" spans="1:12" s="37" customFormat="1" ht="11.25" x14ac:dyDescent="0.2">
      <c r="A1196" s="46" t="s">
        <v>15418</v>
      </c>
      <c r="B1196" s="46" t="s">
        <v>15418</v>
      </c>
      <c r="C1196" s="58" t="str">
        <f>""</f>
        <v/>
      </c>
      <c r="D1196" s="58" t="str">
        <f>"20446055"</f>
        <v>20446055</v>
      </c>
      <c r="E1196" s="46" t="s">
        <v>159</v>
      </c>
      <c r="F1196" s="46" t="s">
        <v>50646</v>
      </c>
      <c r="G1196" s="46" t="s">
        <v>50584</v>
      </c>
      <c r="H1196" s="48" t="s">
        <v>56716</v>
      </c>
      <c r="I1196" s="48" t="s">
        <v>50564</v>
      </c>
      <c r="J1196" s="48"/>
      <c r="K1196" s="50"/>
      <c r="L1196" s="48" t="s">
        <v>56716</v>
      </c>
    </row>
    <row r="1197" spans="1:12" s="37" customFormat="1" ht="11.25" x14ac:dyDescent="0.2">
      <c r="A1197" s="46" t="s">
        <v>15404</v>
      </c>
      <c r="B1197" s="46" t="s">
        <v>51416</v>
      </c>
      <c r="C1197" s="58" t="str">
        <f>"20445415"</f>
        <v>20445415</v>
      </c>
      <c r="D1197" s="58" t="str">
        <f>""</f>
        <v/>
      </c>
      <c r="E1197" s="46" t="s">
        <v>159</v>
      </c>
      <c r="F1197" s="46" t="s">
        <v>50646</v>
      </c>
      <c r="G1197" s="46" t="s">
        <v>50584</v>
      </c>
      <c r="H1197" s="48" t="s">
        <v>56716</v>
      </c>
      <c r="I1197" s="48" t="s">
        <v>50564</v>
      </c>
      <c r="J1197" s="48"/>
      <c r="K1197" s="50"/>
      <c r="L1197" s="48" t="s">
        <v>56716</v>
      </c>
    </row>
    <row r="1198" spans="1:12" s="37" customFormat="1" ht="11.25" x14ac:dyDescent="0.2">
      <c r="A1198" s="45" t="s">
        <v>23198</v>
      </c>
      <c r="B1198" s="45" t="s">
        <v>23200</v>
      </c>
      <c r="C1198" s="51" t="s">
        <v>23202</v>
      </c>
      <c r="D1198" s="51" t="s">
        <v>23201</v>
      </c>
      <c r="E1198" s="45" t="s">
        <v>159</v>
      </c>
      <c r="F1198" s="45" t="s">
        <v>50646</v>
      </c>
      <c r="G1198" s="45" t="s">
        <v>50584</v>
      </c>
      <c r="H1198" s="56"/>
      <c r="I1198" s="56" t="s">
        <v>50564</v>
      </c>
      <c r="J1198" s="56"/>
      <c r="K1198" s="50"/>
      <c r="L1198" s="56" t="s">
        <v>56716</v>
      </c>
    </row>
    <row r="1199" spans="1:12" s="37" customFormat="1" ht="11.25" x14ac:dyDescent="0.2">
      <c r="A1199" s="45" t="s">
        <v>23205</v>
      </c>
      <c r="B1199" s="45" t="s">
        <v>23207</v>
      </c>
      <c r="C1199" s="51" t="s">
        <v>23209</v>
      </c>
      <c r="D1199" s="51" t="s">
        <v>23208</v>
      </c>
      <c r="E1199" s="45" t="s">
        <v>91</v>
      </c>
      <c r="F1199" s="45" t="s">
        <v>18001</v>
      </c>
      <c r="G1199" s="45" t="s">
        <v>50584</v>
      </c>
      <c r="H1199" s="56"/>
      <c r="I1199" s="56" t="s">
        <v>50564</v>
      </c>
      <c r="J1199" s="56"/>
      <c r="K1199" s="50"/>
      <c r="L1199" s="56" t="s">
        <v>56716</v>
      </c>
    </row>
    <row r="1200" spans="1:12" s="37" customFormat="1" ht="11.25" x14ac:dyDescent="0.2">
      <c r="A1200" s="46" t="s">
        <v>11735</v>
      </c>
      <c r="B1200" s="46" t="s">
        <v>51417</v>
      </c>
      <c r="C1200" s="58" t="str">
        <f>"17432979"</f>
        <v>17432979</v>
      </c>
      <c r="D1200" s="58" t="str">
        <f>"17432987"</f>
        <v>17432987</v>
      </c>
      <c r="E1200" s="46" t="s">
        <v>310</v>
      </c>
      <c r="F1200" s="46" t="s">
        <v>50646</v>
      </c>
      <c r="G1200" s="46" t="s">
        <v>50584</v>
      </c>
      <c r="H1200" s="48" t="s">
        <v>56716</v>
      </c>
      <c r="I1200" s="48" t="s">
        <v>50564</v>
      </c>
      <c r="J1200" s="48" t="s">
        <v>56716</v>
      </c>
      <c r="K1200" s="50" t="s">
        <v>56716</v>
      </c>
      <c r="L1200" s="48"/>
    </row>
    <row r="1201" spans="1:12" s="37" customFormat="1" ht="11.25" x14ac:dyDescent="0.2">
      <c r="A1201" s="46" t="s">
        <v>8557</v>
      </c>
      <c r="B1201" s="46" t="s">
        <v>8557</v>
      </c>
      <c r="C1201" s="58" t="str">
        <f>"12120634"</f>
        <v>12120634</v>
      </c>
      <c r="D1201" s="58" t="str">
        <f>""</f>
        <v/>
      </c>
      <c r="E1201" s="46" t="s">
        <v>7990</v>
      </c>
      <c r="F1201" s="46" t="s">
        <v>18025</v>
      </c>
      <c r="G1201" s="46" t="s">
        <v>50581</v>
      </c>
      <c r="H1201" s="48" t="s">
        <v>56716</v>
      </c>
      <c r="I1201" s="48" t="s">
        <v>50564</v>
      </c>
      <c r="J1201" s="48"/>
      <c r="K1201" s="50"/>
      <c r="L1201" s="48"/>
    </row>
    <row r="1202" spans="1:12" s="37" customFormat="1" ht="11.25" x14ac:dyDescent="0.2">
      <c r="A1202" s="45" t="s">
        <v>23211</v>
      </c>
      <c r="B1202" s="45" t="s">
        <v>23213</v>
      </c>
      <c r="C1202" s="51" t="s">
        <v>23214</v>
      </c>
      <c r="D1202" s="51"/>
      <c r="E1202" s="45" t="s">
        <v>23215</v>
      </c>
      <c r="F1202" s="45" t="s">
        <v>23216</v>
      </c>
      <c r="G1202" s="45" t="s">
        <v>50633</v>
      </c>
      <c r="H1202" s="56"/>
      <c r="I1202" s="56" t="s">
        <v>50564</v>
      </c>
      <c r="J1202" s="56"/>
      <c r="K1202" s="50"/>
      <c r="L1202" s="56" t="s">
        <v>56716</v>
      </c>
    </row>
    <row r="1203" spans="1:12" s="37" customFormat="1" ht="11.25" x14ac:dyDescent="0.2">
      <c r="A1203" s="46" t="s">
        <v>13757</v>
      </c>
      <c r="B1203" s="46" t="s">
        <v>51418</v>
      </c>
      <c r="C1203" s="58" t="str">
        <f>""</f>
        <v/>
      </c>
      <c r="D1203" s="58" t="str">
        <f>"07177917"</f>
        <v>07177917</v>
      </c>
      <c r="E1203" s="46" t="s">
        <v>13759</v>
      </c>
      <c r="F1203" s="46" t="s">
        <v>46383</v>
      </c>
      <c r="G1203" s="46" t="s">
        <v>50631</v>
      </c>
      <c r="H1203" s="48" t="s">
        <v>56716</v>
      </c>
      <c r="I1203" s="48" t="s">
        <v>50564</v>
      </c>
      <c r="J1203" s="48"/>
      <c r="K1203" s="50"/>
      <c r="L1203" s="48"/>
    </row>
    <row r="1204" spans="1:12" s="37" customFormat="1" ht="11.25" x14ac:dyDescent="0.2">
      <c r="A1204" s="46" t="s">
        <v>875</v>
      </c>
      <c r="B1204" s="46" t="s">
        <v>51419</v>
      </c>
      <c r="C1204" s="58" t="str">
        <f>"16651146"</f>
        <v>16651146</v>
      </c>
      <c r="D1204" s="58" t="str">
        <f>""</f>
        <v/>
      </c>
      <c r="E1204" s="46" t="s">
        <v>877</v>
      </c>
      <c r="F1204" s="46" t="s">
        <v>18411</v>
      </c>
      <c r="G1204" s="46" t="s">
        <v>50584</v>
      </c>
      <c r="H1204" s="48" t="s">
        <v>56716</v>
      </c>
      <c r="I1204" s="48" t="s">
        <v>50564</v>
      </c>
      <c r="J1204" s="48"/>
      <c r="K1204" s="50"/>
      <c r="L1204" s="48"/>
    </row>
    <row r="1205" spans="1:12" s="37" customFormat="1" ht="11.25" x14ac:dyDescent="0.2">
      <c r="A1205" s="46" t="s">
        <v>849</v>
      </c>
      <c r="B1205" s="46" t="s">
        <v>51420</v>
      </c>
      <c r="C1205" s="58" t="str">
        <f>"0394560X"</f>
        <v>0394560X</v>
      </c>
      <c r="D1205" s="58" t="str">
        <f>""</f>
        <v/>
      </c>
      <c r="E1205" s="46" t="s">
        <v>851</v>
      </c>
      <c r="F1205" s="46" t="s">
        <v>17991</v>
      </c>
      <c r="G1205" s="46" t="s">
        <v>50603</v>
      </c>
      <c r="H1205" s="48" t="s">
        <v>56716</v>
      </c>
      <c r="I1205" s="48" t="s">
        <v>50564</v>
      </c>
      <c r="J1205" s="48"/>
      <c r="K1205" s="50"/>
      <c r="L1205" s="48"/>
    </row>
    <row r="1206" spans="1:12" s="37" customFormat="1" ht="11.25" x14ac:dyDescent="0.2">
      <c r="A1206" s="46" t="s">
        <v>893</v>
      </c>
      <c r="B1206" s="46" t="s">
        <v>893</v>
      </c>
      <c r="C1206" s="58" t="str">
        <f>"87563282"</f>
        <v>87563282</v>
      </c>
      <c r="D1206" s="58" t="str">
        <f>""</f>
        <v/>
      </c>
      <c r="E1206" s="46" t="s">
        <v>272</v>
      </c>
      <c r="F1206" s="46" t="s">
        <v>17759</v>
      </c>
      <c r="G1206" s="46" t="s">
        <v>50584</v>
      </c>
      <c r="H1206" s="48" t="s">
        <v>56716</v>
      </c>
      <c r="I1206" s="48" t="s">
        <v>50564</v>
      </c>
      <c r="J1206" s="48"/>
      <c r="K1206" s="50" t="s">
        <v>56716</v>
      </c>
      <c r="L1206" s="48" t="s">
        <v>56716</v>
      </c>
    </row>
    <row r="1207" spans="1:12" s="37" customFormat="1" ht="11.25" x14ac:dyDescent="0.2">
      <c r="A1207" s="46" t="s">
        <v>17053</v>
      </c>
      <c r="B1207" s="46" t="s">
        <v>51421</v>
      </c>
      <c r="C1207" s="58" t="str">
        <f>"20494394"</f>
        <v>20494394</v>
      </c>
      <c r="D1207" s="58" t="str">
        <f>"20494408"</f>
        <v>20494408</v>
      </c>
      <c r="E1207" s="46" t="s">
        <v>50671</v>
      </c>
      <c r="F1207" s="46" t="s">
        <v>50646</v>
      </c>
      <c r="G1207" s="46" t="s">
        <v>50584</v>
      </c>
      <c r="H1207" s="48" t="s">
        <v>56716</v>
      </c>
      <c r="I1207" s="48" t="s">
        <v>50564</v>
      </c>
      <c r="J1207" s="48" t="s">
        <v>56716</v>
      </c>
      <c r="K1207" s="50"/>
      <c r="L1207" s="48" t="s">
        <v>56716</v>
      </c>
    </row>
    <row r="1208" spans="1:12" s="37" customFormat="1" ht="11.25" x14ac:dyDescent="0.2">
      <c r="A1208" s="46" t="s">
        <v>15710</v>
      </c>
      <c r="B1208" s="46" t="s">
        <v>51422</v>
      </c>
      <c r="C1208" s="58" t="str">
        <f>"20902999"</f>
        <v>20902999</v>
      </c>
      <c r="D1208" s="58" t="str">
        <f>"20903006"</f>
        <v>20903006</v>
      </c>
      <c r="E1208" s="46" t="s">
        <v>1412</v>
      </c>
      <c r="F1208" s="46" t="s">
        <v>17759</v>
      </c>
      <c r="G1208" s="46" t="s">
        <v>50584</v>
      </c>
      <c r="H1208" s="48" t="s">
        <v>56716</v>
      </c>
      <c r="I1208" s="48" t="s">
        <v>50564</v>
      </c>
      <c r="J1208" s="48" t="s">
        <v>56716</v>
      </c>
      <c r="K1208" s="50"/>
      <c r="L1208" s="48"/>
    </row>
    <row r="1209" spans="1:12" s="37" customFormat="1" ht="11.25" x14ac:dyDescent="0.2">
      <c r="A1209" s="46" t="s">
        <v>4267</v>
      </c>
      <c r="B1209" s="46" t="s">
        <v>51423</v>
      </c>
      <c r="C1209" s="58" t="str">
        <f>"02683369"</f>
        <v>02683369</v>
      </c>
      <c r="D1209" s="58" t="str">
        <f>"14765365"</f>
        <v>14765365</v>
      </c>
      <c r="E1209" s="46" t="s">
        <v>315</v>
      </c>
      <c r="F1209" s="46" t="s">
        <v>50646</v>
      </c>
      <c r="G1209" s="46" t="s">
        <v>50584</v>
      </c>
      <c r="H1209" s="48" t="s">
        <v>56716</v>
      </c>
      <c r="I1209" s="48" t="s">
        <v>50564</v>
      </c>
      <c r="J1209" s="48" t="s">
        <v>56716</v>
      </c>
      <c r="K1209" s="50" t="s">
        <v>56716</v>
      </c>
      <c r="L1209" s="48" t="s">
        <v>56716</v>
      </c>
    </row>
    <row r="1210" spans="1:12" s="37" customFormat="1" ht="11.25" x14ac:dyDescent="0.2">
      <c r="A1210" s="46" t="s">
        <v>56321</v>
      </c>
      <c r="B1210" s="46" t="s">
        <v>56322</v>
      </c>
      <c r="C1210" s="58" t="str">
        <f>""</f>
        <v/>
      </c>
      <c r="D1210" s="58" t="str">
        <f>"23521872"</f>
        <v>23521872</v>
      </c>
      <c r="E1210" s="46" t="s">
        <v>272</v>
      </c>
      <c r="F1210" s="46" t="s">
        <v>17759</v>
      </c>
      <c r="G1210" s="46" t="s">
        <v>50584</v>
      </c>
      <c r="H1210" s="48" t="s">
        <v>56716</v>
      </c>
      <c r="I1210" s="48" t="s">
        <v>50564</v>
      </c>
      <c r="J1210" s="48" t="s">
        <v>56716</v>
      </c>
      <c r="K1210" s="50"/>
      <c r="L1210" s="48"/>
    </row>
    <row r="1211" spans="1:12" s="37" customFormat="1" ht="11.25" x14ac:dyDescent="0.2">
      <c r="A1211" s="46" t="s">
        <v>16668</v>
      </c>
      <c r="B1211" s="46" t="s">
        <v>51424</v>
      </c>
      <c r="C1211" s="58" t="str">
        <f>""</f>
        <v/>
      </c>
      <c r="D1211" s="58" t="str">
        <f>"20476396"</f>
        <v>20476396</v>
      </c>
      <c r="E1211" s="46" t="s">
        <v>315</v>
      </c>
      <c r="F1211" s="46" t="s">
        <v>50646</v>
      </c>
      <c r="G1211" s="46" t="s">
        <v>50584</v>
      </c>
      <c r="H1211" s="48" t="s">
        <v>56716</v>
      </c>
      <c r="I1211" s="48" t="s">
        <v>50564</v>
      </c>
      <c r="J1211" s="48" t="s">
        <v>56716</v>
      </c>
      <c r="K1211" s="50"/>
      <c r="L1211" s="48"/>
    </row>
    <row r="1212" spans="1:12" s="37" customFormat="1" ht="11.25" x14ac:dyDescent="0.2">
      <c r="A1212" s="45" t="s">
        <v>23247</v>
      </c>
      <c r="B1212" s="45" t="s">
        <v>23249</v>
      </c>
      <c r="C1212" s="51" t="s">
        <v>23251</v>
      </c>
      <c r="D1212" s="51" t="s">
        <v>23250</v>
      </c>
      <c r="E1212" s="45" t="s">
        <v>23252</v>
      </c>
      <c r="F1212" s="45" t="s">
        <v>50644</v>
      </c>
      <c r="G1212" s="45" t="s">
        <v>50584</v>
      </c>
      <c r="H1212" s="56"/>
      <c r="I1212" s="56" t="s">
        <v>50564</v>
      </c>
      <c r="J1212" s="56"/>
      <c r="K1212" s="50"/>
      <c r="L1212" s="56" t="s">
        <v>56716</v>
      </c>
    </row>
    <row r="1213" spans="1:12" s="37" customFormat="1" ht="11.25" x14ac:dyDescent="0.2">
      <c r="A1213" s="46" t="s">
        <v>13463</v>
      </c>
      <c r="B1213" s="46" t="s">
        <v>51425</v>
      </c>
      <c r="C1213" s="58" t="str">
        <f>"17547326"</f>
        <v>17547326</v>
      </c>
      <c r="D1213" s="58" t="str">
        <f>"17547318"</f>
        <v>17547318</v>
      </c>
      <c r="E1213" s="46" t="s">
        <v>8040</v>
      </c>
      <c r="F1213" s="46" t="s">
        <v>50646</v>
      </c>
      <c r="G1213" s="46" t="s">
        <v>50584</v>
      </c>
      <c r="H1213" s="48" t="s">
        <v>56716</v>
      </c>
      <c r="I1213" s="48" t="s">
        <v>50564</v>
      </c>
      <c r="J1213" s="48"/>
      <c r="K1213" s="50"/>
      <c r="L1213" s="48"/>
    </row>
    <row r="1214" spans="1:12" s="37" customFormat="1" ht="11.25" x14ac:dyDescent="0.2">
      <c r="A1214" s="46" t="s">
        <v>9355</v>
      </c>
      <c r="B1214" s="46" t="s">
        <v>9355</v>
      </c>
      <c r="C1214" s="58" t="str">
        <f>"15384721"</f>
        <v>15384721</v>
      </c>
      <c r="D1214" s="58" t="str">
        <f>"18731449"</f>
        <v>18731449</v>
      </c>
      <c r="E1214" s="46" t="s">
        <v>272</v>
      </c>
      <c r="F1214" s="46" t="s">
        <v>17759</v>
      </c>
      <c r="G1214" s="46" t="s">
        <v>50584</v>
      </c>
      <c r="H1214" s="48" t="s">
        <v>56716</v>
      </c>
      <c r="I1214" s="48" t="s">
        <v>50564</v>
      </c>
      <c r="J1214" s="48" t="s">
        <v>56716</v>
      </c>
      <c r="K1214" s="50" t="s">
        <v>56716</v>
      </c>
      <c r="L1214" s="48" t="s">
        <v>56716</v>
      </c>
    </row>
    <row r="1215" spans="1:12" s="37" customFormat="1" ht="11.25" x14ac:dyDescent="0.2">
      <c r="A1215" s="46" t="s">
        <v>903</v>
      </c>
      <c r="B1215" s="46" t="s">
        <v>903</v>
      </c>
      <c r="C1215" s="58" t="str">
        <f>"00068950"</f>
        <v>00068950</v>
      </c>
      <c r="D1215" s="58" t="str">
        <f>"14602156"</f>
        <v>14602156</v>
      </c>
      <c r="E1215" s="46" t="s">
        <v>55</v>
      </c>
      <c r="F1215" s="46" t="s">
        <v>50646</v>
      </c>
      <c r="G1215" s="46" t="s">
        <v>50584</v>
      </c>
      <c r="H1215" s="48" t="s">
        <v>56716</v>
      </c>
      <c r="I1215" s="48" t="s">
        <v>50564</v>
      </c>
      <c r="J1215" s="48" t="s">
        <v>56716</v>
      </c>
      <c r="K1215" s="50"/>
      <c r="L1215" s="48" t="s">
        <v>56716</v>
      </c>
    </row>
    <row r="1216" spans="1:12" s="37" customFormat="1" ht="11.25" x14ac:dyDescent="0.2">
      <c r="A1216" s="46" t="s">
        <v>16142</v>
      </c>
      <c r="B1216" s="46" t="s">
        <v>51426</v>
      </c>
      <c r="C1216" s="58" t="str">
        <f>""</f>
        <v/>
      </c>
      <c r="D1216" s="58" t="str">
        <f>"21623279"</f>
        <v>21623279</v>
      </c>
      <c r="E1216" s="46" t="s">
        <v>751</v>
      </c>
      <c r="F1216" s="46" t="s">
        <v>50646</v>
      </c>
      <c r="G1216" s="46" t="s">
        <v>50584</v>
      </c>
      <c r="H1216" s="48" t="s">
        <v>56716</v>
      </c>
      <c r="I1216" s="48" t="s">
        <v>50564</v>
      </c>
      <c r="J1216" s="48" t="s">
        <v>56716</v>
      </c>
      <c r="K1216" s="50" t="s">
        <v>56716</v>
      </c>
      <c r="L1216" s="48" t="s">
        <v>56716</v>
      </c>
    </row>
    <row r="1217" spans="1:12" s="37" customFormat="1" ht="11.25" x14ac:dyDescent="0.2">
      <c r="A1217" s="46" t="s">
        <v>6818</v>
      </c>
      <c r="B1217" s="46" t="s">
        <v>51427</v>
      </c>
      <c r="C1217" s="58" t="str">
        <f>"02782626"</f>
        <v>02782626</v>
      </c>
      <c r="D1217" s="58" t="str">
        <f>"10902147"</f>
        <v>10902147</v>
      </c>
      <c r="E1217" s="46" t="s">
        <v>60</v>
      </c>
      <c r="F1217" s="46" t="s">
        <v>17759</v>
      </c>
      <c r="G1217" s="46" t="s">
        <v>50584</v>
      </c>
      <c r="H1217" s="48" t="s">
        <v>56716</v>
      </c>
      <c r="I1217" s="48" t="s">
        <v>50564</v>
      </c>
      <c r="J1217" s="48" t="s">
        <v>56716</v>
      </c>
      <c r="K1217" s="50"/>
      <c r="L1217" s="48" t="s">
        <v>56716</v>
      </c>
    </row>
    <row r="1218" spans="1:12" s="37" customFormat="1" ht="11.25" x14ac:dyDescent="0.2">
      <c r="A1218" s="46" t="s">
        <v>752</v>
      </c>
      <c r="B1218" s="46" t="s">
        <v>51428</v>
      </c>
      <c r="C1218" s="58" t="str">
        <f>"03877604"</f>
        <v>03877604</v>
      </c>
      <c r="D1218" s="58" t="str">
        <f>"18727131"</f>
        <v>18727131</v>
      </c>
      <c r="E1218" s="46" t="s">
        <v>91</v>
      </c>
      <c r="F1218" s="46" t="s">
        <v>18001</v>
      </c>
      <c r="G1218" s="46" t="s">
        <v>50584</v>
      </c>
      <c r="H1218" s="48" t="s">
        <v>56716</v>
      </c>
      <c r="I1218" s="48" t="s">
        <v>50564</v>
      </c>
      <c r="J1218" s="48"/>
      <c r="K1218" s="50" t="s">
        <v>56716</v>
      </c>
      <c r="L1218" s="48" t="s">
        <v>56716</v>
      </c>
    </row>
    <row r="1219" spans="1:12" s="37" customFormat="1" ht="11.25" x14ac:dyDescent="0.2">
      <c r="A1219" s="46" t="s">
        <v>922</v>
      </c>
      <c r="B1219" s="46" t="s">
        <v>51429</v>
      </c>
      <c r="C1219" s="58" t="str">
        <f>"0093934X"</f>
        <v>0093934X</v>
      </c>
      <c r="D1219" s="58" t="str">
        <f>"10902155"</f>
        <v>10902155</v>
      </c>
      <c r="E1219" s="46" t="s">
        <v>60</v>
      </c>
      <c r="F1219" s="46" t="s">
        <v>17759</v>
      </c>
      <c r="G1219" s="46" t="s">
        <v>50584</v>
      </c>
      <c r="H1219" s="48" t="s">
        <v>56716</v>
      </c>
      <c r="I1219" s="48" t="s">
        <v>50564</v>
      </c>
      <c r="J1219" s="48"/>
      <c r="K1219" s="50" t="s">
        <v>56716</v>
      </c>
      <c r="L1219" s="48" t="s">
        <v>56716</v>
      </c>
    </row>
    <row r="1220" spans="1:12" s="37" customFormat="1" ht="11.25" x14ac:dyDescent="0.2">
      <c r="A1220" s="46" t="s">
        <v>3143</v>
      </c>
      <c r="B1220" s="46" t="s">
        <v>23282</v>
      </c>
      <c r="C1220" s="58" t="str">
        <f>"18816096"</f>
        <v>18816096</v>
      </c>
      <c r="D1220" s="58" t="str">
        <f>""</f>
        <v/>
      </c>
      <c r="E1220" s="46" t="s">
        <v>2802</v>
      </c>
      <c r="F1220" s="46" t="s">
        <v>18242</v>
      </c>
      <c r="G1220" s="46" t="s">
        <v>50604</v>
      </c>
      <c r="H1220" s="48" t="s">
        <v>56716</v>
      </c>
      <c r="I1220" s="48" t="s">
        <v>50564</v>
      </c>
      <c r="J1220" s="48"/>
      <c r="K1220" s="50"/>
      <c r="L1220" s="48" t="s">
        <v>56716</v>
      </c>
    </row>
    <row r="1221" spans="1:12" s="37" customFormat="1" ht="11.25" x14ac:dyDescent="0.2">
      <c r="A1221" s="46" t="s">
        <v>15757</v>
      </c>
      <c r="B1221" s="46" t="s">
        <v>15757</v>
      </c>
      <c r="C1221" s="58" t="str">
        <f>"21580014"</f>
        <v>21580014</v>
      </c>
      <c r="D1221" s="58" t="str">
        <f>"21580022"</f>
        <v>21580022</v>
      </c>
      <c r="E1221" s="46" t="s">
        <v>4337</v>
      </c>
      <c r="F1221" s="46" t="s">
        <v>17759</v>
      </c>
      <c r="G1221" s="46" t="s">
        <v>50584</v>
      </c>
      <c r="H1221" s="48" t="s">
        <v>56716</v>
      </c>
      <c r="I1221" s="48" t="s">
        <v>50564</v>
      </c>
      <c r="J1221" s="48" t="s">
        <v>56716</v>
      </c>
      <c r="K1221" s="50"/>
      <c r="L1221" s="48" t="s">
        <v>56716</v>
      </c>
    </row>
    <row r="1222" spans="1:12" s="37" customFormat="1" ht="11.25" x14ac:dyDescent="0.2">
      <c r="A1222" s="46" t="s">
        <v>11723</v>
      </c>
      <c r="B1222" s="46" t="s">
        <v>51430</v>
      </c>
      <c r="C1222" s="58" t="str">
        <f>"19317557"</f>
        <v>19317557</v>
      </c>
      <c r="D1222" s="58" t="str">
        <f>"19317565"</f>
        <v>19317565</v>
      </c>
      <c r="E1222" s="46" t="s">
        <v>56305</v>
      </c>
      <c r="F1222" s="46" t="s">
        <v>17759</v>
      </c>
      <c r="G1222" s="46" t="s">
        <v>50584</v>
      </c>
      <c r="H1222" s="48" t="s">
        <v>56716</v>
      </c>
      <c r="I1222" s="48" t="s">
        <v>50564</v>
      </c>
      <c r="J1222" s="48" t="s">
        <v>56716</v>
      </c>
      <c r="K1222" s="50" t="s">
        <v>56716</v>
      </c>
      <c r="L1222" s="48" t="s">
        <v>56716</v>
      </c>
    </row>
    <row r="1223" spans="1:12" s="37" customFormat="1" ht="11.25" x14ac:dyDescent="0.2">
      <c r="A1223" s="46" t="s">
        <v>13795</v>
      </c>
      <c r="B1223" s="46" t="s">
        <v>13795</v>
      </c>
      <c r="C1223" s="58" t="str">
        <f>"14439646"</f>
        <v>14439646</v>
      </c>
      <c r="D1223" s="58" t="str">
        <f>"18395252"</f>
        <v>18395252</v>
      </c>
      <c r="E1223" s="46" t="s">
        <v>724</v>
      </c>
      <c r="F1223" s="46" t="s">
        <v>50646</v>
      </c>
      <c r="G1223" s="46" t="s">
        <v>50584</v>
      </c>
      <c r="H1223" s="48" t="s">
        <v>56716</v>
      </c>
      <c r="I1223" s="48" t="s">
        <v>50564</v>
      </c>
      <c r="J1223" s="48"/>
      <c r="K1223" s="50" t="s">
        <v>56716</v>
      </c>
      <c r="L1223" s="48"/>
    </row>
    <row r="1224" spans="1:12" s="37" customFormat="1" ht="11.25" x14ac:dyDescent="0.2">
      <c r="A1224" s="46" t="s">
        <v>4522</v>
      </c>
      <c r="B1224" s="46" t="s">
        <v>51431</v>
      </c>
      <c r="C1224" s="58" t="str">
        <f>"02699052"</f>
        <v>02699052</v>
      </c>
      <c r="D1224" s="58" t="str">
        <f>"1362301X"</f>
        <v>1362301X</v>
      </c>
      <c r="E1224" s="46" t="s">
        <v>291</v>
      </c>
      <c r="F1224" s="46" t="s">
        <v>50646</v>
      </c>
      <c r="G1224" s="46" t="s">
        <v>50584</v>
      </c>
      <c r="H1224" s="48" t="s">
        <v>56716</v>
      </c>
      <c r="I1224" s="48" t="s">
        <v>50564</v>
      </c>
      <c r="J1224" s="48"/>
      <c r="K1224" s="50"/>
      <c r="L1224" s="48" t="s">
        <v>56716</v>
      </c>
    </row>
    <row r="1225" spans="1:12" s="37" customFormat="1" ht="11.25" x14ac:dyDescent="0.2">
      <c r="A1225" s="46" t="s">
        <v>5881</v>
      </c>
      <c r="B1225" s="46" t="s">
        <v>51432</v>
      </c>
      <c r="C1225" s="58" t="str">
        <f>"10156305"</f>
        <v>10156305</v>
      </c>
      <c r="D1225" s="58" t="str">
        <f>"17503639"</f>
        <v>17503639</v>
      </c>
      <c r="E1225" s="46" t="s">
        <v>35</v>
      </c>
      <c r="F1225" s="46" t="s">
        <v>50646</v>
      </c>
      <c r="G1225" s="46" t="s">
        <v>50584</v>
      </c>
      <c r="H1225" s="48" t="s">
        <v>56716</v>
      </c>
      <c r="I1225" s="48" t="s">
        <v>50564</v>
      </c>
      <c r="J1225" s="48"/>
      <c r="K1225" s="50" t="s">
        <v>56716</v>
      </c>
      <c r="L1225" s="48" t="s">
        <v>56716</v>
      </c>
    </row>
    <row r="1226" spans="1:12" s="37" customFormat="1" ht="11.25" x14ac:dyDescent="0.2">
      <c r="A1226" s="46" t="s">
        <v>928</v>
      </c>
      <c r="B1226" s="46" t="s">
        <v>51433</v>
      </c>
      <c r="C1226" s="58" t="str">
        <f>"00068993"</f>
        <v>00068993</v>
      </c>
      <c r="D1226" s="58" t="str">
        <f>"18726240"</f>
        <v>18726240</v>
      </c>
      <c r="E1226" s="46" t="s">
        <v>91</v>
      </c>
      <c r="F1226" s="46" t="s">
        <v>18001</v>
      </c>
      <c r="G1226" s="46" t="s">
        <v>50584</v>
      </c>
      <c r="H1226" s="48" t="s">
        <v>56716</v>
      </c>
      <c r="I1226" s="48" t="s">
        <v>50564</v>
      </c>
      <c r="J1226" s="48" t="s">
        <v>56716</v>
      </c>
      <c r="K1226" s="50" t="s">
        <v>56716</v>
      </c>
      <c r="L1226" s="48" t="s">
        <v>56716</v>
      </c>
    </row>
    <row r="1227" spans="1:12" s="37" customFormat="1" ht="11.25" x14ac:dyDescent="0.2">
      <c r="A1227" s="46" t="s">
        <v>906</v>
      </c>
      <c r="B1227" s="46" t="s">
        <v>51434</v>
      </c>
      <c r="C1227" s="58" t="str">
        <f>"03619230"</f>
        <v>03619230</v>
      </c>
      <c r="D1227" s="58" t="str">
        <f>"18732747"</f>
        <v>18732747</v>
      </c>
      <c r="E1227" s="46" t="s">
        <v>272</v>
      </c>
      <c r="F1227" s="46" t="s">
        <v>17759</v>
      </c>
      <c r="G1227" s="46" t="s">
        <v>50584</v>
      </c>
      <c r="H1227" s="48" t="s">
        <v>56716</v>
      </c>
      <c r="I1227" s="48" t="s">
        <v>50564</v>
      </c>
      <c r="J1227" s="48" t="s">
        <v>56716</v>
      </c>
      <c r="K1227" s="50"/>
      <c r="L1227" s="48" t="s">
        <v>56716</v>
      </c>
    </row>
    <row r="1228" spans="1:12" s="37" customFormat="1" ht="11.25" x14ac:dyDescent="0.2">
      <c r="A1228" s="46" t="s">
        <v>14612</v>
      </c>
      <c r="B1228" s="46" t="s">
        <v>51435</v>
      </c>
      <c r="C1228" s="58" t="str">
        <f>"19352875"</f>
        <v>19352875</v>
      </c>
      <c r="D1228" s="58" t="str">
        <f>""</f>
        <v/>
      </c>
      <c r="E1228" s="46" t="s">
        <v>11878</v>
      </c>
      <c r="F1228" s="46" t="s">
        <v>17759</v>
      </c>
      <c r="G1228" s="46" t="s">
        <v>50584</v>
      </c>
      <c r="H1228" s="48" t="s">
        <v>56716</v>
      </c>
      <c r="I1228" s="48" t="s">
        <v>50564</v>
      </c>
      <c r="J1228" s="48"/>
      <c r="K1228" s="50"/>
      <c r="L1228" s="48"/>
    </row>
    <row r="1229" spans="1:12" s="37" customFormat="1" ht="11.25" x14ac:dyDescent="0.2">
      <c r="A1229" s="46" t="s">
        <v>16710</v>
      </c>
      <c r="B1229" s="46" t="s">
        <v>51436</v>
      </c>
      <c r="C1229" s="58" t="str">
        <f>""</f>
        <v/>
      </c>
      <c r="D1229" s="58" t="str">
        <f>"20763425"</f>
        <v>20763425</v>
      </c>
      <c r="E1229" s="46" t="s">
        <v>4152</v>
      </c>
      <c r="F1229" s="46" t="s">
        <v>18123</v>
      </c>
      <c r="G1229" s="46" t="s">
        <v>50584</v>
      </c>
      <c r="H1229" s="48" t="s">
        <v>56716</v>
      </c>
      <c r="I1229" s="48" t="s">
        <v>50564</v>
      </c>
      <c r="J1229" s="48"/>
      <c r="K1229" s="50"/>
      <c r="L1229" s="48"/>
    </row>
    <row r="1230" spans="1:12" s="37" customFormat="1" ht="11.25" x14ac:dyDescent="0.2">
      <c r="A1230" s="46" t="s">
        <v>12675</v>
      </c>
      <c r="B1230" s="46" t="s">
        <v>51437</v>
      </c>
      <c r="C1230" s="58" t="str">
        <f>"1935861X"</f>
        <v>1935861X</v>
      </c>
      <c r="D1230" s="58" t="str">
        <f>"18764754"</f>
        <v>18764754</v>
      </c>
      <c r="E1230" s="46" t="s">
        <v>272</v>
      </c>
      <c r="F1230" s="46" t="s">
        <v>17759</v>
      </c>
      <c r="G1230" s="46" t="s">
        <v>50584</v>
      </c>
      <c r="H1230" s="48" t="s">
        <v>56716</v>
      </c>
      <c r="I1230" s="48" t="s">
        <v>50564</v>
      </c>
      <c r="J1230" s="48" t="s">
        <v>56716</v>
      </c>
      <c r="K1230" s="50" t="s">
        <v>56716</v>
      </c>
      <c r="L1230" s="48" t="s">
        <v>56716</v>
      </c>
    </row>
    <row r="1231" spans="1:12" s="37" customFormat="1" ht="11.25" x14ac:dyDescent="0.2">
      <c r="A1231" s="46" t="s">
        <v>12073</v>
      </c>
      <c r="B1231" s="46" t="s">
        <v>51438</v>
      </c>
      <c r="C1231" s="58" t="str">
        <f>"18632653"</f>
        <v>18632653</v>
      </c>
      <c r="D1231" s="58" t="str">
        <f>"18632661"</f>
        <v>18632661</v>
      </c>
      <c r="E1231" s="46" t="s">
        <v>167</v>
      </c>
      <c r="F1231" s="46" t="s">
        <v>18158</v>
      </c>
      <c r="G1231" s="46" t="s">
        <v>50584</v>
      </c>
      <c r="H1231" s="48" t="s">
        <v>56716</v>
      </c>
      <c r="I1231" s="48" t="s">
        <v>50564</v>
      </c>
      <c r="J1231" s="48" t="s">
        <v>56716</v>
      </c>
      <c r="K1231" s="50" t="s">
        <v>56716</v>
      </c>
      <c r="L1231" s="48" t="s">
        <v>56716</v>
      </c>
    </row>
    <row r="1232" spans="1:12" s="37" customFormat="1" ht="11.25" x14ac:dyDescent="0.2">
      <c r="A1232" s="46" t="s">
        <v>4858</v>
      </c>
      <c r="B1232" s="46" t="s">
        <v>51439</v>
      </c>
      <c r="C1232" s="58" t="str">
        <f>"08960267"</f>
        <v>08960267</v>
      </c>
      <c r="D1232" s="58" t="str">
        <f>"15736792"</f>
        <v>15736792</v>
      </c>
      <c r="E1232" s="46" t="s">
        <v>56305</v>
      </c>
      <c r="F1232" s="46" t="s">
        <v>17759</v>
      </c>
      <c r="G1232" s="46" t="s">
        <v>50584</v>
      </c>
      <c r="H1232" s="48" t="s">
        <v>56716</v>
      </c>
      <c r="I1232" s="48" t="s">
        <v>50564</v>
      </c>
      <c r="J1232" s="48" t="s">
        <v>56716</v>
      </c>
      <c r="K1232" s="50" t="s">
        <v>56716</v>
      </c>
      <c r="L1232" s="48" t="s">
        <v>56716</v>
      </c>
    </row>
    <row r="1233" spans="1:12" s="37" customFormat="1" ht="11.25" x14ac:dyDescent="0.2">
      <c r="A1233" s="46" t="s">
        <v>7667</v>
      </c>
      <c r="B1233" s="46" t="s">
        <v>51440</v>
      </c>
      <c r="C1233" s="58" t="str">
        <f>"14337398"</f>
        <v>14337398</v>
      </c>
      <c r="D1233" s="58" t="str">
        <f>"1861387X"</f>
        <v>1861387X</v>
      </c>
      <c r="E1233" s="46" t="s">
        <v>23335</v>
      </c>
      <c r="F1233" s="46" t="s">
        <v>18242</v>
      </c>
      <c r="G1233" s="46" t="s">
        <v>50584</v>
      </c>
      <c r="H1233" s="48" t="s">
        <v>56716</v>
      </c>
      <c r="I1233" s="48" t="s">
        <v>50564</v>
      </c>
      <c r="J1233" s="48"/>
      <c r="K1233" s="50" t="s">
        <v>56716</v>
      </c>
      <c r="L1233" s="48" t="s">
        <v>56716</v>
      </c>
    </row>
    <row r="1234" spans="1:12" s="37" customFormat="1" ht="11.25" x14ac:dyDescent="0.2">
      <c r="A1234" s="45" t="s">
        <v>23339</v>
      </c>
      <c r="B1234" s="45" t="s">
        <v>23341</v>
      </c>
      <c r="C1234" s="51" t="s">
        <v>23343</v>
      </c>
      <c r="D1234" s="51" t="s">
        <v>23342</v>
      </c>
      <c r="E1234" s="45" t="s">
        <v>18176</v>
      </c>
      <c r="F1234" s="45" t="s">
        <v>18123</v>
      </c>
      <c r="G1234" s="45" t="s">
        <v>50584</v>
      </c>
      <c r="H1234" s="56"/>
      <c r="I1234" s="56" t="s">
        <v>50564</v>
      </c>
      <c r="J1234" s="56"/>
      <c r="K1234" s="50"/>
      <c r="L1234" s="56" t="s">
        <v>56716</v>
      </c>
    </row>
    <row r="1235" spans="1:12" s="37" customFormat="1" ht="11.25" x14ac:dyDescent="0.2">
      <c r="A1235" s="46" t="s">
        <v>5093</v>
      </c>
      <c r="B1235" s="46" t="s">
        <v>51441</v>
      </c>
      <c r="C1235" s="58" t="str">
        <f>"08891591"</f>
        <v>08891591</v>
      </c>
      <c r="D1235" s="58" t="str">
        <f>"10902139"</f>
        <v>10902139</v>
      </c>
      <c r="E1235" s="46" t="s">
        <v>60</v>
      </c>
      <c r="F1235" s="46" t="s">
        <v>17759</v>
      </c>
      <c r="G1235" s="46" t="s">
        <v>50584</v>
      </c>
      <c r="H1235" s="48" t="s">
        <v>56716</v>
      </c>
      <c r="I1235" s="48" t="s">
        <v>50564</v>
      </c>
      <c r="J1235" s="48" t="s">
        <v>56716</v>
      </c>
      <c r="K1235" s="50" t="s">
        <v>56716</v>
      </c>
      <c r="L1235" s="48" t="s">
        <v>56716</v>
      </c>
    </row>
    <row r="1236" spans="1:12" s="37" customFormat="1" ht="11.25" x14ac:dyDescent="0.2">
      <c r="A1236" s="45" t="s">
        <v>23352</v>
      </c>
      <c r="B1236" s="45" t="s">
        <v>23354</v>
      </c>
      <c r="C1236" s="51" t="s">
        <v>23355</v>
      </c>
      <c r="D1236" s="51"/>
      <c r="E1236" s="45" t="s">
        <v>23356</v>
      </c>
      <c r="F1236" s="45" t="s">
        <v>18577</v>
      </c>
      <c r="G1236" s="45" t="s">
        <v>56545</v>
      </c>
      <c r="H1236" s="56"/>
      <c r="I1236" s="56" t="s">
        <v>50564</v>
      </c>
      <c r="J1236" s="56"/>
      <c r="K1236" s="50"/>
      <c r="L1236" s="56" t="s">
        <v>56716</v>
      </c>
    </row>
    <row r="1237" spans="1:12" s="37" customFormat="1" ht="11.25" x14ac:dyDescent="0.2">
      <c r="A1237" s="45" t="s">
        <v>23358</v>
      </c>
      <c r="B1237" s="45" t="s">
        <v>23360</v>
      </c>
      <c r="C1237" s="51" t="s">
        <v>23362</v>
      </c>
      <c r="D1237" s="51" t="s">
        <v>23361</v>
      </c>
      <c r="E1237" s="45" t="s">
        <v>23363</v>
      </c>
      <c r="F1237" s="45" t="s">
        <v>18058</v>
      </c>
      <c r="G1237" s="45" t="s">
        <v>50584</v>
      </c>
      <c r="H1237" s="56"/>
      <c r="I1237" s="56" t="s">
        <v>50564</v>
      </c>
      <c r="J1237" s="56"/>
      <c r="K1237" s="50"/>
      <c r="L1237" s="56" t="s">
        <v>56716</v>
      </c>
    </row>
    <row r="1238" spans="1:12" s="37" customFormat="1" ht="11.25" x14ac:dyDescent="0.2">
      <c r="A1238" s="45" t="s">
        <v>23371</v>
      </c>
      <c r="B1238" s="45" t="s">
        <v>23373</v>
      </c>
      <c r="C1238" s="51" t="s">
        <v>23376</v>
      </c>
      <c r="D1238" s="51" t="s">
        <v>23375</v>
      </c>
      <c r="E1238" s="45" t="s">
        <v>23377</v>
      </c>
      <c r="F1238" s="45" t="s">
        <v>18058</v>
      </c>
      <c r="G1238" s="45" t="s">
        <v>50584</v>
      </c>
      <c r="H1238" s="56"/>
      <c r="I1238" s="56" t="s">
        <v>50564</v>
      </c>
      <c r="J1238" s="56"/>
      <c r="K1238" s="50"/>
      <c r="L1238" s="56" t="s">
        <v>56716</v>
      </c>
    </row>
    <row r="1239" spans="1:12" s="37" customFormat="1" ht="11.25" x14ac:dyDescent="0.2">
      <c r="A1239" s="46" t="s">
        <v>8864</v>
      </c>
      <c r="B1239" s="46" t="s">
        <v>51442</v>
      </c>
      <c r="C1239" s="58" t="str">
        <f>"14138670"</f>
        <v>14138670</v>
      </c>
      <c r="D1239" s="58" t="str">
        <f>"16784391"</f>
        <v>16784391</v>
      </c>
      <c r="E1239" s="46" t="s">
        <v>2622</v>
      </c>
      <c r="F1239" s="46" t="s">
        <v>18058</v>
      </c>
      <c r="G1239" s="46" t="s">
        <v>50584</v>
      </c>
      <c r="H1239" s="48" t="s">
        <v>56716</v>
      </c>
      <c r="I1239" s="48" t="s">
        <v>50564</v>
      </c>
      <c r="J1239" s="48"/>
      <c r="K1239" s="50" t="s">
        <v>56716</v>
      </c>
      <c r="L1239" s="48" t="s">
        <v>56716</v>
      </c>
    </row>
    <row r="1240" spans="1:12" s="37" customFormat="1" ht="11.25" x14ac:dyDescent="0.2">
      <c r="A1240" s="46" t="s">
        <v>3564</v>
      </c>
      <c r="B1240" s="46" t="s">
        <v>51443</v>
      </c>
      <c r="C1240" s="58" t="str">
        <f>"0100879X"</f>
        <v>0100879X</v>
      </c>
      <c r="D1240" s="58" t="str">
        <f>"16784510"</f>
        <v>16784510</v>
      </c>
      <c r="E1240" s="46" t="s">
        <v>3567</v>
      </c>
      <c r="F1240" s="46" t="s">
        <v>18058</v>
      </c>
      <c r="G1240" s="46" t="s">
        <v>50584</v>
      </c>
      <c r="H1240" s="48" t="s">
        <v>56716</v>
      </c>
      <c r="I1240" s="48" t="s">
        <v>50564</v>
      </c>
      <c r="J1240" s="48"/>
      <c r="K1240" s="50"/>
      <c r="L1240" s="48" t="s">
        <v>56716</v>
      </c>
    </row>
    <row r="1241" spans="1:12" s="37" customFormat="1" ht="11.25" x14ac:dyDescent="0.2">
      <c r="A1241" s="45" t="s">
        <v>23391</v>
      </c>
      <c r="B1241" s="45" t="s">
        <v>23393</v>
      </c>
      <c r="C1241" s="51" t="s">
        <v>23396</v>
      </c>
      <c r="D1241" s="51" t="s">
        <v>23395</v>
      </c>
      <c r="E1241" s="45" t="s">
        <v>23397</v>
      </c>
      <c r="F1241" s="45" t="s">
        <v>18058</v>
      </c>
      <c r="G1241" s="45" t="s">
        <v>50611</v>
      </c>
      <c r="H1241" s="56"/>
      <c r="I1241" s="56" t="s">
        <v>50564</v>
      </c>
      <c r="J1241" s="56"/>
      <c r="K1241" s="50"/>
      <c r="L1241" s="56" t="s">
        <v>56716</v>
      </c>
    </row>
    <row r="1242" spans="1:12" s="37" customFormat="1" ht="11.25" x14ac:dyDescent="0.2">
      <c r="A1242" s="46" t="s">
        <v>55907</v>
      </c>
      <c r="B1242" s="46" t="s">
        <v>55908</v>
      </c>
      <c r="C1242" s="58" t="str">
        <f>"18088694"</f>
        <v>18088694</v>
      </c>
      <c r="D1242" s="58" t="str">
        <f>"18088686"</f>
        <v>18088686</v>
      </c>
      <c r="E1242" s="46" t="s">
        <v>2622</v>
      </c>
      <c r="F1242" s="46" t="s">
        <v>18058</v>
      </c>
      <c r="G1242" s="46" t="s">
        <v>50584</v>
      </c>
      <c r="H1242" s="48" t="s">
        <v>56716</v>
      </c>
      <c r="I1242" s="48" t="s">
        <v>50564</v>
      </c>
      <c r="J1242" s="48"/>
      <c r="K1242" s="50" t="s">
        <v>56716</v>
      </c>
      <c r="L1242" s="48" t="s">
        <v>56716</v>
      </c>
    </row>
    <row r="1243" spans="1:12" s="37" customFormat="1" ht="11.25" x14ac:dyDescent="0.2">
      <c r="A1243" s="46" t="s">
        <v>14703</v>
      </c>
      <c r="B1243" s="46" t="s">
        <v>51444</v>
      </c>
      <c r="C1243" s="58" t="str">
        <f>"19848250"</f>
        <v>19848250</v>
      </c>
      <c r="D1243" s="58" t="str">
        <f>"21759790"</f>
        <v>21759790</v>
      </c>
      <c r="E1243" s="46" t="s">
        <v>14706</v>
      </c>
      <c r="F1243" s="46" t="s">
        <v>18058</v>
      </c>
      <c r="G1243" s="46" t="s">
        <v>50584</v>
      </c>
      <c r="H1243" s="48" t="s">
        <v>56716</v>
      </c>
      <c r="I1243" s="48" t="s">
        <v>50564</v>
      </c>
      <c r="J1243" s="48"/>
      <c r="K1243" s="50"/>
      <c r="L1243" s="48"/>
    </row>
    <row r="1244" spans="1:12" s="37" customFormat="1" ht="11.25" x14ac:dyDescent="0.2">
      <c r="A1244" s="46" t="s">
        <v>11720</v>
      </c>
      <c r="B1244" s="46" t="s">
        <v>51445</v>
      </c>
      <c r="C1244" s="58" t="str">
        <f>"0102695X"</f>
        <v>0102695X</v>
      </c>
      <c r="D1244" s="58" t="str">
        <f>""</f>
        <v/>
      </c>
      <c r="E1244" s="46" t="s">
        <v>11722</v>
      </c>
      <c r="F1244" s="46" t="s">
        <v>18058</v>
      </c>
      <c r="G1244" s="46" t="s">
        <v>50616</v>
      </c>
      <c r="H1244" s="48" t="s">
        <v>56716</v>
      </c>
      <c r="I1244" s="48" t="s">
        <v>50564</v>
      </c>
      <c r="J1244" s="48"/>
      <c r="K1244" s="50"/>
      <c r="L1244" s="48"/>
    </row>
    <row r="1245" spans="1:12" s="37" customFormat="1" ht="11.25" x14ac:dyDescent="0.2">
      <c r="A1245" s="45" t="s">
        <v>23407</v>
      </c>
      <c r="B1245" s="45" t="s">
        <v>23409</v>
      </c>
      <c r="C1245" s="51" t="s">
        <v>23412</v>
      </c>
      <c r="D1245" s="51" t="s">
        <v>23411</v>
      </c>
      <c r="E1245" s="45" t="s">
        <v>50662</v>
      </c>
      <c r="F1245" s="45" t="s">
        <v>18058</v>
      </c>
      <c r="G1245" s="45" t="s">
        <v>50584</v>
      </c>
      <c r="H1245" s="56"/>
      <c r="I1245" s="56" t="s">
        <v>50564</v>
      </c>
      <c r="J1245" s="56"/>
      <c r="K1245" s="50"/>
      <c r="L1245" s="56" t="s">
        <v>56716</v>
      </c>
    </row>
    <row r="1246" spans="1:12" s="37" customFormat="1" ht="11.25" x14ac:dyDescent="0.2">
      <c r="A1246" s="45" t="s">
        <v>23414</v>
      </c>
      <c r="B1246" s="45" t="s">
        <v>23416</v>
      </c>
      <c r="C1246" s="51" t="s">
        <v>23419</v>
      </c>
      <c r="D1246" s="51" t="s">
        <v>23418</v>
      </c>
      <c r="E1246" s="45" t="s">
        <v>23420</v>
      </c>
      <c r="F1246" s="45" t="s">
        <v>18058</v>
      </c>
      <c r="G1246" s="45" t="s">
        <v>50584</v>
      </c>
      <c r="H1246" s="56"/>
      <c r="I1246" s="56" t="s">
        <v>50564</v>
      </c>
      <c r="J1246" s="56"/>
      <c r="K1246" s="50"/>
      <c r="L1246" s="56" t="s">
        <v>56716</v>
      </c>
    </row>
    <row r="1247" spans="1:12" s="37" customFormat="1" ht="11.25" x14ac:dyDescent="0.2">
      <c r="A1247" s="46" t="s">
        <v>5866</v>
      </c>
      <c r="B1247" s="46" t="s">
        <v>5866</v>
      </c>
      <c r="C1247" s="58" t="str">
        <f>"09609776"</f>
        <v>09609776</v>
      </c>
      <c r="D1247" s="58" t="str">
        <f>"15323080"</f>
        <v>15323080</v>
      </c>
      <c r="E1247" s="46" t="s">
        <v>831</v>
      </c>
      <c r="F1247" s="46" t="s">
        <v>50646</v>
      </c>
      <c r="G1247" s="46" t="s">
        <v>50584</v>
      </c>
      <c r="H1247" s="48" t="s">
        <v>56716</v>
      </c>
      <c r="I1247" s="48" t="s">
        <v>50564</v>
      </c>
      <c r="J1247" s="48" t="s">
        <v>56716</v>
      </c>
      <c r="K1247" s="50" t="s">
        <v>56716</v>
      </c>
      <c r="L1247" s="48" t="s">
        <v>56716</v>
      </c>
    </row>
    <row r="1248" spans="1:12" s="37" customFormat="1" ht="11.25" x14ac:dyDescent="0.2">
      <c r="A1248" s="46" t="s">
        <v>12965</v>
      </c>
      <c r="B1248" s="46" t="s">
        <v>12965</v>
      </c>
      <c r="C1248" s="58" t="str">
        <f>"13406868"</f>
        <v>13406868</v>
      </c>
      <c r="D1248" s="58" t="str">
        <f>"18804233"</f>
        <v>18804233</v>
      </c>
      <c r="E1248" s="46" t="s">
        <v>23335</v>
      </c>
      <c r="F1248" s="46" t="s">
        <v>18242</v>
      </c>
      <c r="G1248" s="46" t="s">
        <v>50584</v>
      </c>
      <c r="H1248" s="48" t="s">
        <v>56716</v>
      </c>
      <c r="I1248" s="48" t="s">
        <v>50564</v>
      </c>
      <c r="J1248" s="48" t="s">
        <v>56716</v>
      </c>
      <c r="K1248" s="50" t="s">
        <v>56716</v>
      </c>
      <c r="L1248" s="48" t="s">
        <v>56716</v>
      </c>
    </row>
    <row r="1249" spans="1:12" s="37" customFormat="1" ht="11.25" x14ac:dyDescent="0.2">
      <c r="A1249" s="46" t="s">
        <v>16410</v>
      </c>
      <c r="B1249" s="46" t="s">
        <v>51446</v>
      </c>
      <c r="C1249" s="58" t="str">
        <f>"17581923"</f>
        <v>17581923</v>
      </c>
      <c r="D1249" s="58" t="str">
        <f>"17581931"</f>
        <v>17581931</v>
      </c>
      <c r="E1249" s="46" t="s">
        <v>8442</v>
      </c>
      <c r="F1249" s="46" t="s">
        <v>50646</v>
      </c>
      <c r="G1249" s="46" t="s">
        <v>50584</v>
      </c>
      <c r="H1249" s="48" t="s">
        <v>56716</v>
      </c>
      <c r="I1249" s="48" t="s">
        <v>50564</v>
      </c>
      <c r="J1249" s="48" t="s">
        <v>56716</v>
      </c>
      <c r="K1249" s="50"/>
      <c r="L1249" s="48"/>
    </row>
    <row r="1250" spans="1:12" s="37" customFormat="1" ht="11.25" x14ac:dyDescent="0.2">
      <c r="A1250" s="46" t="s">
        <v>11056</v>
      </c>
      <c r="B1250" s="46" t="s">
        <v>11056</v>
      </c>
      <c r="C1250" s="58" t="str">
        <f>"14709031"</f>
        <v>14709031</v>
      </c>
      <c r="D1250" s="58" t="str">
        <f>"14709031"</f>
        <v>14709031</v>
      </c>
      <c r="E1250" s="46" t="s">
        <v>724</v>
      </c>
      <c r="F1250" s="46" t="s">
        <v>50646</v>
      </c>
      <c r="G1250" s="46" t="s">
        <v>50584</v>
      </c>
      <c r="H1250" s="48" t="s">
        <v>56716</v>
      </c>
      <c r="I1250" s="48" t="s">
        <v>50564</v>
      </c>
      <c r="J1250" s="48" t="s">
        <v>56716</v>
      </c>
      <c r="K1250" s="50"/>
      <c r="L1250" s="48"/>
    </row>
    <row r="1251" spans="1:12" s="37" customFormat="1" ht="11.25" x14ac:dyDescent="0.2">
      <c r="A1251" s="46" t="s">
        <v>8430</v>
      </c>
      <c r="B1251" s="46" t="s">
        <v>51447</v>
      </c>
      <c r="C1251" s="58" t="str">
        <f>"14655411"</f>
        <v>14655411</v>
      </c>
      <c r="D1251" s="58" t="str">
        <f>"1465542X"</f>
        <v>1465542X</v>
      </c>
      <c r="E1251" s="46" t="s">
        <v>2299</v>
      </c>
      <c r="F1251" s="46" t="s">
        <v>50646</v>
      </c>
      <c r="G1251" s="46" t="s">
        <v>50584</v>
      </c>
      <c r="H1251" s="48" t="s">
        <v>56716</v>
      </c>
      <c r="I1251" s="48" t="s">
        <v>50564</v>
      </c>
      <c r="J1251" s="48"/>
      <c r="K1251" s="50" t="s">
        <v>56716</v>
      </c>
      <c r="L1251" s="48" t="s">
        <v>56716</v>
      </c>
    </row>
    <row r="1252" spans="1:12" s="37" customFormat="1" ht="11.25" x14ac:dyDescent="0.2">
      <c r="A1252" s="46" t="s">
        <v>745</v>
      </c>
      <c r="B1252" s="46" t="s">
        <v>51448</v>
      </c>
      <c r="C1252" s="58" t="str">
        <f>"01676806"</f>
        <v>01676806</v>
      </c>
      <c r="D1252" s="58" t="str">
        <f>"15737217"</f>
        <v>15737217</v>
      </c>
      <c r="E1252" s="46" t="s">
        <v>56305</v>
      </c>
      <c r="F1252" s="46" t="s">
        <v>17759</v>
      </c>
      <c r="G1252" s="46" t="s">
        <v>50584</v>
      </c>
      <c r="H1252" s="48" t="s">
        <v>56716</v>
      </c>
      <c r="I1252" s="48" t="s">
        <v>50564</v>
      </c>
      <c r="J1252" s="48" t="s">
        <v>56716</v>
      </c>
      <c r="K1252" s="50" t="s">
        <v>56716</v>
      </c>
      <c r="L1252" s="48" t="s">
        <v>56716</v>
      </c>
    </row>
    <row r="1253" spans="1:12" s="37" customFormat="1" ht="11.25" x14ac:dyDescent="0.2">
      <c r="A1253" s="46" t="s">
        <v>13477</v>
      </c>
      <c r="B1253" s="46" t="s">
        <v>51449</v>
      </c>
      <c r="C1253" s="58" t="str">
        <f>""</f>
        <v/>
      </c>
      <c r="D1253" s="58" t="str">
        <f>"11782234"</f>
        <v>11782234</v>
      </c>
      <c r="E1253" s="46" t="s">
        <v>11251</v>
      </c>
      <c r="F1253" s="46" t="s">
        <v>19483</v>
      </c>
      <c r="G1253" s="46" t="s">
        <v>50584</v>
      </c>
      <c r="H1253" s="48" t="s">
        <v>56716</v>
      </c>
      <c r="I1253" s="48" t="s">
        <v>50564</v>
      </c>
      <c r="J1253" s="48"/>
      <c r="K1253" s="50"/>
      <c r="L1253" s="48"/>
    </row>
    <row r="1254" spans="1:12" s="37" customFormat="1" ht="11.25" x14ac:dyDescent="0.2">
      <c r="A1254" s="46" t="s">
        <v>14602</v>
      </c>
      <c r="B1254" s="46" t="s">
        <v>51450</v>
      </c>
      <c r="C1254" s="58" t="str">
        <f>""</f>
        <v/>
      </c>
      <c r="D1254" s="58" t="str">
        <f>"11791314"</f>
        <v>11791314</v>
      </c>
      <c r="E1254" s="46" t="s">
        <v>11079</v>
      </c>
      <c r="F1254" s="46" t="s">
        <v>50646</v>
      </c>
      <c r="G1254" s="46" t="s">
        <v>50584</v>
      </c>
      <c r="H1254" s="48" t="s">
        <v>56716</v>
      </c>
      <c r="I1254" s="48" t="s">
        <v>50564</v>
      </c>
      <c r="J1254" s="48"/>
      <c r="K1254" s="50"/>
      <c r="L1254" s="48"/>
    </row>
    <row r="1255" spans="1:12" s="37" customFormat="1" ht="11.25" x14ac:dyDescent="0.2">
      <c r="A1255" s="46" t="s">
        <v>10870</v>
      </c>
      <c r="B1255" s="46" t="s">
        <v>10870</v>
      </c>
      <c r="C1255" s="58" t="str">
        <f>"16613791"</f>
        <v>16613791</v>
      </c>
      <c r="D1255" s="58" t="str">
        <f>"16613805"</f>
        <v>16613805</v>
      </c>
      <c r="E1255" s="46" t="s">
        <v>109</v>
      </c>
      <c r="F1255" s="46" t="s">
        <v>18123</v>
      </c>
      <c r="G1255" s="46" t="s">
        <v>50584</v>
      </c>
      <c r="H1255" s="48" t="s">
        <v>56716</v>
      </c>
      <c r="I1255" s="48" t="s">
        <v>50564</v>
      </c>
      <c r="J1255" s="48" t="s">
        <v>56716</v>
      </c>
      <c r="K1255" s="50"/>
      <c r="L1255" s="48"/>
    </row>
    <row r="1256" spans="1:12" s="37" customFormat="1" ht="11.25" x14ac:dyDescent="0.2">
      <c r="A1256" s="46" t="s">
        <v>4463</v>
      </c>
      <c r="B1256" s="46" t="s">
        <v>51451</v>
      </c>
      <c r="C1256" s="58" t="str">
        <f>"08886008"</f>
        <v>08886008</v>
      </c>
      <c r="D1256" s="58" t="str">
        <f>"15581551"</f>
        <v>15581551</v>
      </c>
      <c r="E1256" s="46" t="s">
        <v>920</v>
      </c>
      <c r="F1256" s="46" t="s">
        <v>18001</v>
      </c>
      <c r="G1256" s="46" t="s">
        <v>50584</v>
      </c>
      <c r="H1256" s="48" t="s">
        <v>56716</v>
      </c>
      <c r="I1256" s="48" t="s">
        <v>50564</v>
      </c>
      <c r="J1256" s="48" t="s">
        <v>56716</v>
      </c>
      <c r="K1256" s="50"/>
      <c r="L1256" s="48" t="s">
        <v>56716</v>
      </c>
    </row>
    <row r="1257" spans="1:12" s="37" customFormat="1" ht="11.25" x14ac:dyDescent="0.2">
      <c r="A1257" s="46" t="s">
        <v>10097</v>
      </c>
      <c r="B1257" s="46" t="s">
        <v>51451</v>
      </c>
      <c r="C1257" s="58" t="str">
        <f>"1043321X"</f>
        <v>1043321X</v>
      </c>
      <c r="D1257" s="58" t="str">
        <f>"18781918"</f>
        <v>18781918</v>
      </c>
      <c r="E1257" s="46" t="s">
        <v>60</v>
      </c>
      <c r="F1257" s="46" t="s">
        <v>17759</v>
      </c>
      <c r="G1257" s="46" t="s">
        <v>50584</v>
      </c>
      <c r="H1257" s="48" t="s">
        <v>56716</v>
      </c>
      <c r="I1257" s="48" t="s">
        <v>50564</v>
      </c>
      <c r="J1257" s="48"/>
      <c r="K1257" s="50"/>
      <c r="L1257" s="48"/>
    </row>
    <row r="1258" spans="1:12" s="37" customFormat="1" ht="11.25" x14ac:dyDescent="0.2">
      <c r="A1258" s="46" t="s">
        <v>7047</v>
      </c>
      <c r="B1258" s="46" t="s">
        <v>51452</v>
      </c>
      <c r="C1258" s="58" t="str">
        <f>"1075122X"</f>
        <v>1075122X</v>
      </c>
      <c r="D1258" s="58" t="str">
        <f>"15244741"</f>
        <v>15244741</v>
      </c>
      <c r="E1258" s="46" t="s">
        <v>548</v>
      </c>
      <c r="F1258" s="46" t="s">
        <v>17759</v>
      </c>
      <c r="G1258" s="46" t="s">
        <v>50584</v>
      </c>
      <c r="H1258" s="48" t="s">
        <v>56716</v>
      </c>
      <c r="I1258" s="48" t="s">
        <v>50564</v>
      </c>
      <c r="J1258" s="48"/>
      <c r="K1258" s="50" t="s">
        <v>56716</v>
      </c>
      <c r="L1258" s="48" t="s">
        <v>56716</v>
      </c>
    </row>
    <row r="1259" spans="1:12" s="37" customFormat="1" ht="11.25" x14ac:dyDescent="0.2">
      <c r="A1259" s="46" t="s">
        <v>11780</v>
      </c>
      <c r="B1259" s="46" t="s">
        <v>51453</v>
      </c>
      <c r="C1259" s="58" t="str">
        <f>"15568253"</f>
        <v>15568253</v>
      </c>
      <c r="D1259" s="58" t="str">
        <f>"15568342"</f>
        <v>15568342</v>
      </c>
      <c r="E1259" s="46" t="s">
        <v>4337</v>
      </c>
      <c r="F1259" s="46" t="s">
        <v>17759</v>
      </c>
      <c r="G1259" s="46" t="s">
        <v>50584</v>
      </c>
      <c r="H1259" s="48" t="s">
        <v>56716</v>
      </c>
      <c r="I1259" s="48" t="s">
        <v>50564</v>
      </c>
      <c r="J1259" s="48" t="s">
        <v>56716</v>
      </c>
      <c r="K1259" s="50"/>
      <c r="L1259" s="48" t="s">
        <v>56716</v>
      </c>
    </row>
    <row r="1260" spans="1:12" s="37" customFormat="1" ht="11.25" x14ac:dyDescent="0.2">
      <c r="A1260" s="45" t="s">
        <v>23453</v>
      </c>
      <c r="B1260" s="45" t="s">
        <v>23455</v>
      </c>
      <c r="C1260" s="51" t="s">
        <v>23456</v>
      </c>
      <c r="D1260" s="51"/>
      <c r="E1260" s="45" t="s">
        <v>23457</v>
      </c>
      <c r="F1260" s="45" t="s">
        <v>20082</v>
      </c>
      <c r="G1260" s="45" t="s">
        <v>50584</v>
      </c>
      <c r="H1260" s="56"/>
      <c r="I1260" s="56" t="s">
        <v>50564</v>
      </c>
      <c r="J1260" s="56"/>
      <c r="K1260" s="50"/>
      <c r="L1260" s="56" t="s">
        <v>56716</v>
      </c>
    </row>
    <row r="1261" spans="1:12" s="37" customFormat="1" ht="11.25" x14ac:dyDescent="0.2">
      <c r="A1261" s="46" t="s">
        <v>14724</v>
      </c>
      <c r="B1261" s="46" t="s">
        <v>14724</v>
      </c>
      <c r="C1261" s="58" t="str">
        <f>"18106838"</f>
        <v>18106838</v>
      </c>
      <c r="D1261" s="58" t="str">
        <f>"20734735"</f>
        <v>20734735</v>
      </c>
      <c r="E1261" s="46" t="s">
        <v>4502</v>
      </c>
      <c r="F1261" s="46" t="s">
        <v>50646</v>
      </c>
      <c r="G1261" s="46" t="s">
        <v>50584</v>
      </c>
      <c r="H1261" s="48" t="s">
        <v>56716</v>
      </c>
      <c r="I1261" s="48" t="s">
        <v>50564</v>
      </c>
      <c r="J1261" s="48"/>
      <c r="K1261" s="50"/>
      <c r="L1261" s="48"/>
    </row>
    <row r="1262" spans="1:12" s="37" customFormat="1" ht="11.25" x14ac:dyDescent="0.2">
      <c r="A1262" s="45" t="s">
        <v>23460</v>
      </c>
      <c r="B1262" s="45" t="s">
        <v>23462</v>
      </c>
      <c r="C1262" s="51" t="s">
        <v>23464</v>
      </c>
      <c r="D1262" s="51" t="s">
        <v>23463</v>
      </c>
      <c r="E1262" s="45" t="s">
        <v>23465</v>
      </c>
      <c r="F1262" s="45" t="s">
        <v>50646</v>
      </c>
      <c r="G1262" s="45" t="s">
        <v>50584</v>
      </c>
      <c r="H1262" s="56"/>
      <c r="I1262" s="56" t="s">
        <v>50564</v>
      </c>
      <c r="J1262" s="56"/>
      <c r="K1262" s="50"/>
      <c r="L1262" s="56" t="s">
        <v>56716</v>
      </c>
    </row>
    <row r="1263" spans="1:12" s="37" customFormat="1" ht="11.25" x14ac:dyDescent="0.2">
      <c r="A1263" s="46" t="s">
        <v>15357</v>
      </c>
      <c r="B1263" s="46" t="s">
        <v>51454</v>
      </c>
      <c r="C1263" s="58" t="str">
        <f>"20412649"</f>
        <v>20412649</v>
      </c>
      <c r="D1263" s="58" t="str">
        <f>"20412657"</f>
        <v>20412657</v>
      </c>
      <c r="E1263" s="46" t="s">
        <v>55</v>
      </c>
      <c r="F1263" s="46" t="s">
        <v>50646</v>
      </c>
      <c r="G1263" s="46" t="s">
        <v>50584</v>
      </c>
      <c r="H1263" s="48" t="s">
        <v>56716</v>
      </c>
      <c r="I1263" s="48" t="s">
        <v>50564</v>
      </c>
      <c r="J1263" s="48"/>
      <c r="K1263" s="50"/>
      <c r="L1263" s="48" t="s">
        <v>56716</v>
      </c>
    </row>
    <row r="1264" spans="1:12" s="37" customFormat="1" ht="11.25" x14ac:dyDescent="0.2">
      <c r="A1264" s="45" t="s">
        <v>23473</v>
      </c>
      <c r="B1264" s="45" t="s">
        <v>23475</v>
      </c>
      <c r="C1264" s="51" t="s">
        <v>23478</v>
      </c>
      <c r="D1264" s="51" t="s">
        <v>23477</v>
      </c>
      <c r="E1264" s="45" t="s">
        <v>23479</v>
      </c>
      <c r="F1264" s="45" t="s">
        <v>50646</v>
      </c>
      <c r="G1264" s="45" t="s">
        <v>50584</v>
      </c>
      <c r="H1264" s="56"/>
      <c r="I1264" s="56" t="s">
        <v>50564</v>
      </c>
      <c r="J1264" s="56"/>
      <c r="K1264" s="50"/>
      <c r="L1264" s="56" t="s">
        <v>56716</v>
      </c>
    </row>
    <row r="1265" spans="1:12" s="37" customFormat="1" ht="11.25" x14ac:dyDescent="0.2">
      <c r="A1265" s="45" t="s">
        <v>23482</v>
      </c>
      <c r="B1265" s="45" t="s">
        <v>23484</v>
      </c>
      <c r="C1265" s="51" t="s">
        <v>23486</v>
      </c>
      <c r="D1265" s="51" t="s">
        <v>23485</v>
      </c>
      <c r="E1265" s="45" t="s">
        <v>724</v>
      </c>
      <c r="F1265" s="45" t="s">
        <v>50646</v>
      </c>
      <c r="G1265" s="45" t="s">
        <v>50584</v>
      </c>
      <c r="H1265" s="56"/>
      <c r="I1265" s="56" t="s">
        <v>50564</v>
      </c>
      <c r="J1265" s="56"/>
      <c r="K1265" s="50"/>
      <c r="L1265" s="56" t="s">
        <v>56716</v>
      </c>
    </row>
    <row r="1266" spans="1:12" s="37" customFormat="1" ht="11.25" x14ac:dyDescent="0.2">
      <c r="A1266" s="46" t="s">
        <v>810</v>
      </c>
      <c r="B1266" s="46" t="s">
        <v>51455</v>
      </c>
      <c r="C1266" s="58" t="str">
        <f>"00070912"</f>
        <v>00070912</v>
      </c>
      <c r="D1266" s="58" t="str">
        <f>"14716771"</f>
        <v>14716771</v>
      </c>
      <c r="E1266" s="46" t="s">
        <v>55</v>
      </c>
      <c r="F1266" s="46" t="s">
        <v>50646</v>
      </c>
      <c r="G1266" s="46" t="s">
        <v>50584</v>
      </c>
      <c r="H1266" s="48" t="s">
        <v>56716</v>
      </c>
      <c r="I1266" s="48" t="s">
        <v>50564</v>
      </c>
      <c r="J1266" s="48" t="s">
        <v>56716</v>
      </c>
      <c r="K1266" s="50"/>
      <c r="L1266" s="48" t="s">
        <v>56716</v>
      </c>
    </row>
    <row r="1267" spans="1:12" s="37" customFormat="1" ht="11.25" x14ac:dyDescent="0.2">
      <c r="A1267" s="46" t="s">
        <v>6032</v>
      </c>
      <c r="B1267" s="46" t="s">
        <v>51456</v>
      </c>
      <c r="C1267" s="58" t="str">
        <f>"09674845"</f>
        <v>09674845</v>
      </c>
      <c r="D1267" s="58" t="str">
        <f>""</f>
        <v/>
      </c>
      <c r="E1267" s="46" t="s">
        <v>6034</v>
      </c>
      <c r="F1267" s="46" t="s">
        <v>50646</v>
      </c>
      <c r="G1267" s="46" t="s">
        <v>50584</v>
      </c>
      <c r="H1267" s="48" t="s">
        <v>56716</v>
      </c>
      <c r="I1267" s="48" t="s">
        <v>50564</v>
      </c>
      <c r="J1267" s="48" t="s">
        <v>56716</v>
      </c>
      <c r="K1267" s="50"/>
      <c r="L1267" s="48" t="s">
        <v>56716</v>
      </c>
    </row>
    <row r="1268" spans="1:12" s="37" customFormat="1" ht="11.25" x14ac:dyDescent="0.2">
      <c r="A1268" s="46" t="s">
        <v>813</v>
      </c>
      <c r="B1268" s="46" t="s">
        <v>51457</v>
      </c>
      <c r="C1268" s="58" t="str">
        <f>"00070920"</f>
        <v>00070920</v>
      </c>
      <c r="D1268" s="58" t="str">
        <f>"15321827"</f>
        <v>15321827</v>
      </c>
      <c r="E1268" s="46" t="s">
        <v>315</v>
      </c>
      <c r="F1268" s="46" t="s">
        <v>50646</v>
      </c>
      <c r="G1268" s="46" t="s">
        <v>50584</v>
      </c>
      <c r="H1268" s="48" t="s">
        <v>56716</v>
      </c>
      <c r="I1268" s="48" t="s">
        <v>50564</v>
      </c>
      <c r="J1268" s="48" t="s">
        <v>56716</v>
      </c>
      <c r="K1268" s="50" t="s">
        <v>56716</v>
      </c>
      <c r="L1268" s="48" t="s">
        <v>56716</v>
      </c>
    </row>
    <row r="1269" spans="1:12" s="37" customFormat="1" ht="11.25" x14ac:dyDescent="0.2">
      <c r="A1269" s="46" t="s">
        <v>5843</v>
      </c>
      <c r="B1269" s="46" t="s">
        <v>51458</v>
      </c>
      <c r="C1269" s="58" t="str">
        <f>"09696113"</f>
        <v>09696113</v>
      </c>
      <c r="D1269" s="58" t="str">
        <f>""</f>
        <v/>
      </c>
      <c r="E1269" s="46" t="s">
        <v>5845</v>
      </c>
      <c r="F1269" s="46" t="s">
        <v>50646</v>
      </c>
      <c r="G1269" s="46" t="s">
        <v>50584</v>
      </c>
      <c r="H1269" s="48" t="s">
        <v>56716</v>
      </c>
      <c r="I1269" s="48" t="s">
        <v>50564</v>
      </c>
      <c r="J1269" s="48"/>
      <c r="K1269" s="50"/>
      <c r="L1269" s="48"/>
    </row>
    <row r="1270" spans="1:12" s="37" customFormat="1" ht="11.25" x14ac:dyDescent="0.2">
      <c r="A1270" s="46" t="s">
        <v>738</v>
      </c>
      <c r="B1270" s="46" t="s">
        <v>51459</v>
      </c>
      <c r="C1270" s="58" t="str">
        <f>"03065251"</f>
        <v>03065251</v>
      </c>
      <c r="D1270" s="58" t="str">
        <f>"13652125"</f>
        <v>13652125</v>
      </c>
      <c r="E1270" s="46" t="s">
        <v>35</v>
      </c>
      <c r="F1270" s="46" t="s">
        <v>50646</v>
      </c>
      <c r="G1270" s="46" t="s">
        <v>50584</v>
      </c>
      <c r="H1270" s="48" t="s">
        <v>56716</v>
      </c>
      <c r="I1270" s="48" t="s">
        <v>50564</v>
      </c>
      <c r="J1270" s="48" t="s">
        <v>56716</v>
      </c>
      <c r="K1270" s="50"/>
      <c r="L1270" s="48" t="s">
        <v>56716</v>
      </c>
    </row>
    <row r="1271" spans="1:12" s="37" customFormat="1" ht="11.25" x14ac:dyDescent="0.2">
      <c r="A1271" s="45" t="s">
        <v>23515</v>
      </c>
      <c r="B1271" s="45" t="s">
        <v>23517</v>
      </c>
      <c r="C1271" s="51" t="s">
        <v>23519</v>
      </c>
      <c r="D1271" s="51"/>
      <c r="E1271" s="45" t="s">
        <v>23520</v>
      </c>
      <c r="F1271" s="45" t="s">
        <v>50646</v>
      </c>
      <c r="G1271" s="45" t="s">
        <v>50584</v>
      </c>
      <c r="H1271" s="56"/>
      <c r="I1271" s="56" t="s">
        <v>50564</v>
      </c>
      <c r="J1271" s="56"/>
      <c r="K1271" s="50"/>
      <c r="L1271" s="56" t="s">
        <v>56716</v>
      </c>
    </row>
    <row r="1272" spans="1:12" s="37" customFormat="1" ht="11.25" x14ac:dyDescent="0.2">
      <c r="A1272" s="46" t="s">
        <v>816</v>
      </c>
      <c r="B1272" s="46" t="s">
        <v>51460</v>
      </c>
      <c r="C1272" s="58" t="str">
        <f>"00070963"</f>
        <v>00070963</v>
      </c>
      <c r="D1272" s="58" t="str">
        <f>"13652133"</f>
        <v>13652133</v>
      </c>
      <c r="E1272" s="46" t="s">
        <v>35</v>
      </c>
      <c r="F1272" s="46" t="s">
        <v>50646</v>
      </c>
      <c r="G1272" s="46" t="s">
        <v>50584</v>
      </c>
      <c r="H1272" s="48" t="s">
        <v>56716</v>
      </c>
      <c r="I1272" s="48" t="s">
        <v>50564</v>
      </c>
      <c r="J1272" s="48" t="s">
        <v>56716</v>
      </c>
      <c r="K1272" s="50" t="s">
        <v>56716</v>
      </c>
      <c r="L1272" s="48" t="s">
        <v>56716</v>
      </c>
    </row>
    <row r="1273" spans="1:12" s="37" customFormat="1" ht="11.25" x14ac:dyDescent="0.2">
      <c r="A1273" s="46" t="s">
        <v>9315</v>
      </c>
      <c r="B1273" s="46" t="s">
        <v>51461</v>
      </c>
      <c r="C1273" s="58" t="str">
        <f>"14746514"</f>
        <v>14746514</v>
      </c>
      <c r="D1273" s="58" t="str">
        <f>"17534305"</f>
        <v>17534305</v>
      </c>
      <c r="E1273" s="46" t="s">
        <v>97</v>
      </c>
      <c r="F1273" s="46" t="s">
        <v>50646</v>
      </c>
      <c r="G1273" s="46" t="s">
        <v>50584</v>
      </c>
      <c r="H1273" s="48" t="s">
        <v>56716</v>
      </c>
      <c r="I1273" s="48" t="s">
        <v>50564</v>
      </c>
      <c r="J1273" s="48"/>
      <c r="K1273" s="50"/>
      <c r="L1273" s="48"/>
    </row>
    <row r="1274" spans="1:12" s="37" customFormat="1" ht="11.25" x14ac:dyDescent="0.2">
      <c r="A1274" s="46" t="s">
        <v>5362</v>
      </c>
      <c r="B1274" s="46" t="s">
        <v>51462</v>
      </c>
      <c r="C1274" s="58" t="str">
        <f>"09601643"</f>
        <v>09601643</v>
      </c>
      <c r="D1274" s="58" t="str">
        <f>""</f>
        <v/>
      </c>
      <c r="E1274" s="46" t="s">
        <v>5364</v>
      </c>
      <c r="F1274" s="46" t="s">
        <v>50646</v>
      </c>
      <c r="G1274" s="46" t="s">
        <v>50584</v>
      </c>
      <c r="H1274" s="48" t="s">
        <v>56716</v>
      </c>
      <c r="I1274" s="48" t="s">
        <v>50564</v>
      </c>
      <c r="J1274" s="48"/>
      <c r="K1274" s="50"/>
      <c r="L1274" s="48" t="s">
        <v>56716</v>
      </c>
    </row>
    <row r="1275" spans="1:12" s="37" customFormat="1" ht="11.25" x14ac:dyDescent="0.2">
      <c r="A1275" s="46" t="s">
        <v>819</v>
      </c>
      <c r="B1275" s="46" t="s">
        <v>51463</v>
      </c>
      <c r="C1275" s="58" t="str">
        <f>"00071048"</f>
        <v>00071048</v>
      </c>
      <c r="D1275" s="58" t="str">
        <f>"13652141"</f>
        <v>13652141</v>
      </c>
      <c r="E1275" s="46" t="s">
        <v>35</v>
      </c>
      <c r="F1275" s="46" t="s">
        <v>50646</v>
      </c>
      <c r="G1275" s="46" t="s">
        <v>50584</v>
      </c>
      <c r="H1275" s="48" t="s">
        <v>56716</v>
      </c>
      <c r="I1275" s="48" t="s">
        <v>50564</v>
      </c>
      <c r="J1275" s="48" t="s">
        <v>56716</v>
      </c>
      <c r="K1275" s="50" t="s">
        <v>56716</v>
      </c>
      <c r="L1275" s="48" t="s">
        <v>56716</v>
      </c>
    </row>
    <row r="1276" spans="1:12" s="37" customFormat="1" ht="11.25" x14ac:dyDescent="0.2">
      <c r="A1276" s="45" t="s">
        <v>23556</v>
      </c>
      <c r="B1276" s="45" t="s">
        <v>23558</v>
      </c>
      <c r="C1276" s="51" t="s">
        <v>23561</v>
      </c>
      <c r="D1276" s="51" t="s">
        <v>23560</v>
      </c>
      <c r="E1276" s="45" t="s">
        <v>970</v>
      </c>
      <c r="F1276" s="45" t="s">
        <v>50646</v>
      </c>
      <c r="G1276" s="45" t="s">
        <v>50584</v>
      </c>
      <c r="H1276" s="56"/>
      <c r="I1276" s="56" t="s">
        <v>50564</v>
      </c>
      <c r="J1276" s="56"/>
      <c r="K1276" s="50"/>
      <c r="L1276" s="56" t="s">
        <v>56716</v>
      </c>
    </row>
    <row r="1277" spans="1:12" s="37" customFormat="1" ht="11.25" x14ac:dyDescent="0.2">
      <c r="A1277" s="45" t="s">
        <v>23563</v>
      </c>
      <c r="B1277" s="45" t="s">
        <v>23565</v>
      </c>
      <c r="C1277" s="51" t="s">
        <v>23567</v>
      </c>
      <c r="D1277" s="51"/>
      <c r="E1277" s="45" t="s">
        <v>23568</v>
      </c>
      <c r="F1277" s="45" t="s">
        <v>50646</v>
      </c>
      <c r="G1277" s="45" t="s">
        <v>50584</v>
      </c>
      <c r="H1277" s="56"/>
      <c r="I1277" s="56" t="s">
        <v>50564</v>
      </c>
      <c r="J1277" s="56"/>
      <c r="K1277" s="50"/>
      <c r="L1277" s="56" t="s">
        <v>56716</v>
      </c>
    </row>
    <row r="1278" spans="1:12" s="37" customFormat="1" ht="11.25" x14ac:dyDescent="0.2">
      <c r="A1278" s="46" t="s">
        <v>14675</v>
      </c>
      <c r="B1278" s="46" t="s">
        <v>51464</v>
      </c>
      <c r="C1278" s="58" t="str">
        <f>"17578515"</f>
        <v>17578515</v>
      </c>
      <c r="D1278" s="58" t="str">
        <f>""</f>
        <v/>
      </c>
      <c r="E1278" s="46" t="s">
        <v>14677</v>
      </c>
      <c r="F1278" s="46" t="s">
        <v>50646</v>
      </c>
      <c r="G1278" s="46" t="s">
        <v>50584</v>
      </c>
      <c r="H1278" s="48" t="s">
        <v>56716</v>
      </c>
      <c r="I1278" s="48" t="s">
        <v>50564</v>
      </c>
      <c r="J1278" s="48"/>
      <c r="K1278" s="50"/>
      <c r="L1278" s="48"/>
    </row>
    <row r="1279" spans="1:12" s="37" customFormat="1" ht="11.25" x14ac:dyDescent="0.2">
      <c r="A1279" s="46" t="s">
        <v>4513</v>
      </c>
      <c r="B1279" s="46" t="s">
        <v>51465</v>
      </c>
      <c r="C1279" s="58" t="str">
        <f>"02688697"</f>
        <v>02688697</v>
      </c>
      <c r="D1279" s="58" t="str">
        <f>"1360046X"</f>
        <v>1360046X</v>
      </c>
      <c r="E1279" s="46" t="s">
        <v>291</v>
      </c>
      <c r="F1279" s="46" t="s">
        <v>50646</v>
      </c>
      <c r="G1279" s="46" t="s">
        <v>50584</v>
      </c>
      <c r="H1279" s="48" t="s">
        <v>56716</v>
      </c>
      <c r="I1279" s="48" t="s">
        <v>50564</v>
      </c>
      <c r="J1279" s="48" t="s">
        <v>56716</v>
      </c>
      <c r="K1279" s="50"/>
      <c r="L1279" s="48" t="s">
        <v>56716</v>
      </c>
    </row>
    <row r="1280" spans="1:12" s="37" customFormat="1" ht="11.25" x14ac:dyDescent="0.2">
      <c r="A1280" s="45" t="s">
        <v>23584</v>
      </c>
      <c r="B1280" s="45" t="s">
        <v>23586</v>
      </c>
      <c r="C1280" s="51" t="s">
        <v>23588</v>
      </c>
      <c r="D1280" s="51"/>
      <c r="E1280" s="45" t="s">
        <v>23568</v>
      </c>
      <c r="F1280" s="45" t="s">
        <v>50646</v>
      </c>
      <c r="G1280" s="45" t="s">
        <v>50584</v>
      </c>
      <c r="H1280" s="56"/>
      <c r="I1280" s="56" t="s">
        <v>50564</v>
      </c>
      <c r="J1280" s="56"/>
      <c r="K1280" s="50"/>
      <c r="L1280" s="56" t="s">
        <v>56716</v>
      </c>
    </row>
    <row r="1281" spans="1:12" s="37" customFormat="1" ht="11.25" x14ac:dyDescent="0.2">
      <c r="A1281" s="46" t="s">
        <v>822</v>
      </c>
      <c r="B1281" s="46" t="s">
        <v>51466</v>
      </c>
      <c r="C1281" s="58" t="str">
        <f>"00071145"</f>
        <v>00071145</v>
      </c>
      <c r="D1281" s="58" t="str">
        <f>"14752662"</f>
        <v>14752662</v>
      </c>
      <c r="E1281" s="46" t="s">
        <v>724</v>
      </c>
      <c r="F1281" s="46" t="s">
        <v>50646</v>
      </c>
      <c r="G1281" s="46" t="s">
        <v>50584</v>
      </c>
      <c r="H1281" s="48" t="s">
        <v>56716</v>
      </c>
      <c r="I1281" s="48" t="s">
        <v>50564</v>
      </c>
      <c r="J1281" s="48"/>
      <c r="K1281" s="50" t="s">
        <v>56716</v>
      </c>
      <c r="L1281" s="48" t="s">
        <v>56716</v>
      </c>
    </row>
    <row r="1282" spans="1:12" s="37" customFormat="1" ht="11.25" x14ac:dyDescent="0.2">
      <c r="A1282" s="46" t="s">
        <v>825</v>
      </c>
      <c r="B1282" s="46" t="s">
        <v>51467</v>
      </c>
      <c r="C1282" s="58" t="str">
        <f>"00071161"</f>
        <v>00071161</v>
      </c>
      <c r="D1282" s="58" t="str">
        <f>"14682079"</f>
        <v>14682079</v>
      </c>
      <c r="E1282" s="46" t="s">
        <v>159</v>
      </c>
      <c r="F1282" s="46" t="s">
        <v>50646</v>
      </c>
      <c r="G1282" s="46" t="s">
        <v>50584</v>
      </c>
      <c r="H1282" s="48" t="s">
        <v>56716</v>
      </c>
      <c r="I1282" s="48" t="s">
        <v>50564</v>
      </c>
      <c r="J1282" s="48" t="s">
        <v>56716</v>
      </c>
      <c r="K1282" s="50" t="s">
        <v>56716</v>
      </c>
      <c r="L1282" s="48" t="s">
        <v>56716</v>
      </c>
    </row>
    <row r="1283" spans="1:12" s="37" customFormat="1" ht="11.25" x14ac:dyDescent="0.2">
      <c r="A1283" s="46" t="s">
        <v>828</v>
      </c>
      <c r="B1283" s="46" t="s">
        <v>51468</v>
      </c>
      <c r="C1283" s="58" t="str">
        <f>"02664356"</f>
        <v>02664356</v>
      </c>
      <c r="D1283" s="58" t="str">
        <f>"15321940"</f>
        <v>15321940</v>
      </c>
      <c r="E1283" s="46" t="s">
        <v>831</v>
      </c>
      <c r="F1283" s="46" t="s">
        <v>50646</v>
      </c>
      <c r="G1283" s="46" t="s">
        <v>50584</v>
      </c>
      <c r="H1283" s="48" t="s">
        <v>56716</v>
      </c>
      <c r="I1283" s="48" t="s">
        <v>50564</v>
      </c>
      <c r="J1283" s="48"/>
      <c r="K1283" s="50" t="s">
        <v>56716</v>
      </c>
      <c r="L1283" s="48" t="s">
        <v>56716</v>
      </c>
    </row>
    <row r="1284" spans="1:12" s="37" customFormat="1" ht="11.25" x14ac:dyDescent="0.2">
      <c r="A1284" s="46" t="s">
        <v>56012</v>
      </c>
      <c r="B1284" s="46" t="s">
        <v>56013</v>
      </c>
      <c r="C1284" s="58" t="str">
        <f>"20494637"</f>
        <v>20494637</v>
      </c>
      <c r="D1284" s="58" t="str">
        <f>"20494645"</f>
        <v>20494645</v>
      </c>
      <c r="E1284" s="46" t="s">
        <v>97</v>
      </c>
      <c r="F1284" s="46" t="s">
        <v>50646</v>
      </c>
      <c r="G1284" s="46" t="s">
        <v>50584</v>
      </c>
      <c r="H1284" s="48" t="s">
        <v>56716</v>
      </c>
      <c r="I1284" s="48" t="s">
        <v>50564</v>
      </c>
      <c r="J1284" s="48" t="s">
        <v>56716</v>
      </c>
      <c r="K1284" s="50"/>
      <c r="L1284" s="48"/>
    </row>
    <row r="1285" spans="1:12" s="37" customFormat="1" ht="11.25" x14ac:dyDescent="0.2">
      <c r="A1285" s="46" t="s">
        <v>832</v>
      </c>
      <c r="B1285" s="46" t="s">
        <v>51469</v>
      </c>
      <c r="C1285" s="58" t="str">
        <f>"00071188"</f>
        <v>00071188</v>
      </c>
      <c r="D1285" s="58" t="str">
        <f>"14765381"</f>
        <v>14765381</v>
      </c>
      <c r="E1285" s="46" t="s">
        <v>517</v>
      </c>
      <c r="F1285" s="46" t="s">
        <v>17759</v>
      </c>
      <c r="G1285" s="46" t="s">
        <v>50584</v>
      </c>
      <c r="H1285" s="48" t="s">
        <v>56716</v>
      </c>
      <c r="I1285" s="48" t="s">
        <v>50564</v>
      </c>
      <c r="J1285" s="48" t="s">
        <v>56716</v>
      </c>
      <c r="K1285" s="50" t="s">
        <v>56716</v>
      </c>
      <c r="L1285" s="48" t="s">
        <v>56716</v>
      </c>
    </row>
    <row r="1286" spans="1:12" s="37" customFormat="1" ht="11.25" x14ac:dyDescent="0.2">
      <c r="A1286" s="46" t="s">
        <v>838</v>
      </c>
      <c r="B1286" s="46" t="s">
        <v>51470</v>
      </c>
      <c r="C1286" s="58" t="str">
        <f>"00071250"</f>
        <v>00071250</v>
      </c>
      <c r="D1286" s="58" t="str">
        <f>"14721465"</f>
        <v>14721465</v>
      </c>
      <c r="E1286" s="46" t="s">
        <v>841</v>
      </c>
      <c r="F1286" s="46" t="s">
        <v>50646</v>
      </c>
      <c r="G1286" s="46" t="s">
        <v>50584</v>
      </c>
      <c r="H1286" s="48" t="s">
        <v>56716</v>
      </c>
      <c r="I1286" s="48" t="s">
        <v>50564</v>
      </c>
      <c r="J1286" s="48"/>
      <c r="K1286" s="50"/>
      <c r="L1286" s="48" t="s">
        <v>56716</v>
      </c>
    </row>
    <row r="1287" spans="1:12" s="37" customFormat="1" ht="11.25" x14ac:dyDescent="0.2">
      <c r="A1287" s="45" t="s">
        <v>23624</v>
      </c>
      <c r="B1287" s="45" t="s">
        <v>23626</v>
      </c>
      <c r="C1287" s="51" t="s">
        <v>23628</v>
      </c>
      <c r="D1287" s="51"/>
      <c r="E1287" s="45" t="s">
        <v>970</v>
      </c>
      <c r="F1287" s="45" t="s">
        <v>50646</v>
      </c>
      <c r="G1287" s="45" t="s">
        <v>50584</v>
      </c>
      <c r="H1287" s="56"/>
      <c r="I1287" s="56" t="s">
        <v>50564</v>
      </c>
      <c r="J1287" s="56"/>
      <c r="K1287" s="50"/>
      <c r="L1287" s="56" t="s">
        <v>56716</v>
      </c>
    </row>
    <row r="1288" spans="1:12" s="37" customFormat="1" ht="11.25" x14ac:dyDescent="0.2">
      <c r="A1288" s="46" t="s">
        <v>835</v>
      </c>
      <c r="B1288" s="46" t="s">
        <v>51471</v>
      </c>
      <c r="C1288" s="58" t="str">
        <f>"02659883"</f>
        <v>02659883</v>
      </c>
      <c r="D1288" s="58" t="str">
        <f>"17520118"</f>
        <v>17520118</v>
      </c>
      <c r="E1288" s="46" t="s">
        <v>35</v>
      </c>
      <c r="F1288" s="46" t="s">
        <v>50646</v>
      </c>
      <c r="G1288" s="46" t="s">
        <v>50584</v>
      </c>
      <c r="H1288" s="48" t="s">
        <v>56716</v>
      </c>
      <c r="I1288" s="48" t="s">
        <v>50564</v>
      </c>
      <c r="J1288" s="48"/>
      <c r="K1288" s="50" t="s">
        <v>56716</v>
      </c>
      <c r="L1288" s="48"/>
    </row>
    <row r="1289" spans="1:12" s="37" customFormat="1" ht="11.25" x14ac:dyDescent="0.2">
      <c r="A1289" s="46" t="s">
        <v>842</v>
      </c>
      <c r="B1289" s="46" t="s">
        <v>51472</v>
      </c>
      <c r="C1289" s="58" t="str">
        <f>"00071285"</f>
        <v>00071285</v>
      </c>
      <c r="D1289" s="58" t="str">
        <f>""</f>
        <v/>
      </c>
      <c r="E1289" s="46" t="s">
        <v>844</v>
      </c>
      <c r="F1289" s="46" t="s">
        <v>50646</v>
      </c>
      <c r="G1289" s="46" t="s">
        <v>50584</v>
      </c>
      <c r="H1289" s="48" t="s">
        <v>56716</v>
      </c>
      <c r="I1289" s="48" t="s">
        <v>50564</v>
      </c>
      <c r="J1289" s="48"/>
      <c r="K1289" s="50"/>
      <c r="L1289" s="48" t="s">
        <v>56716</v>
      </c>
    </row>
    <row r="1290" spans="1:12" s="37" customFormat="1" ht="11.25" x14ac:dyDescent="0.2">
      <c r="A1290" s="45" t="s">
        <v>23653</v>
      </c>
      <c r="B1290" s="45" t="s">
        <v>23655</v>
      </c>
      <c r="C1290" s="51" t="s">
        <v>23658</v>
      </c>
      <c r="D1290" s="51" t="s">
        <v>23657</v>
      </c>
      <c r="E1290" s="45" t="s">
        <v>159</v>
      </c>
      <c r="F1290" s="45" t="s">
        <v>50646</v>
      </c>
      <c r="G1290" s="45" t="s">
        <v>50584</v>
      </c>
      <c r="H1290" s="56"/>
      <c r="I1290" s="56" t="s">
        <v>50564</v>
      </c>
      <c r="J1290" s="56"/>
      <c r="K1290" s="50"/>
      <c r="L1290" s="56" t="s">
        <v>56716</v>
      </c>
    </row>
    <row r="1291" spans="1:12" s="37" customFormat="1" ht="11.25" x14ac:dyDescent="0.2">
      <c r="A1291" s="46" t="s">
        <v>868</v>
      </c>
      <c r="B1291" s="46" t="s">
        <v>51473</v>
      </c>
      <c r="C1291" s="58" t="str">
        <f>"00071420"</f>
        <v>00071420</v>
      </c>
      <c r="D1291" s="58" t="str">
        <f>"14718391"</f>
        <v>14718391</v>
      </c>
      <c r="E1291" s="46" t="s">
        <v>55</v>
      </c>
      <c r="F1291" s="46" t="s">
        <v>50646</v>
      </c>
      <c r="G1291" s="46" t="s">
        <v>50584</v>
      </c>
      <c r="H1291" s="48" t="s">
        <v>56716</v>
      </c>
      <c r="I1291" s="48" t="s">
        <v>50564</v>
      </c>
      <c r="J1291" s="48" t="s">
        <v>56716</v>
      </c>
      <c r="K1291" s="50"/>
      <c r="L1291" s="48" t="s">
        <v>56716</v>
      </c>
    </row>
    <row r="1292" spans="1:12" s="37" customFormat="1" ht="11.25" x14ac:dyDescent="0.2">
      <c r="A1292" s="45" t="s">
        <v>23673</v>
      </c>
      <c r="B1292" s="45" t="s">
        <v>23675</v>
      </c>
      <c r="C1292" s="51" t="s">
        <v>23677</v>
      </c>
      <c r="D1292" s="51" t="s">
        <v>23676</v>
      </c>
      <c r="E1292" s="45" t="s">
        <v>291</v>
      </c>
      <c r="F1292" s="45" t="s">
        <v>50646</v>
      </c>
      <c r="G1292" s="45" t="s">
        <v>50584</v>
      </c>
      <c r="H1292" s="56"/>
      <c r="I1292" s="56" t="s">
        <v>50564</v>
      </c>
      <c r="J1292" s="56"/>
      <c r="K1292" s="50"/>
      <c r="L1292" s="56" t="s">
        <v>56716</v>
      </c>
    </row>
    <row r="1293" spans="1:12" s="37" customFormat="1" ht="11.25" x14ac:dyDescent="0.2">
      <c r="A1293" s="45" t="s">
        <v>23680</v>
      </c>
      <c r="B1293" s="45" t="s">
        <v>23682</v>
      </c>
      <c r="C1293" s="51" t="s">
        <v>23683</v>
      </c>
      <c r="D1293" s="51"/>
      <c r="E1293" s="45" t="s">
        <v>23684</v>
      </c>
      <c r="F1293" s="45" t="s">
        <v>18001</v>
      </c>
      <c r="G1293" s="45" t="s">
        <v>56546</v>
      </c>
      <c r="H1293" s="56"/>
      <c r="I1293" s="56" t="s">
        <v>50564</v>
      </c>
      <c r="J1293" s="56"/>
      <c r="K1293" s="50"/>
      <c r="L1293" s="56" t="s">
        <v>56716</v>
      </c>
    </row>
    <row r="1294" spans="1:12" s="37" customFormat="1" ht="11.25" x14ac:dyDescent="0.2">
      <c r="A1294" s="45" t="s">
        <v>23687</v>
      </c>
      <c r="B1294" s="45" t="s">
        <v>23689</v>
      </c>
      <c r="C1294" s="51" t="s">
        <v>23690</v>
      </c>
      <c r="D1294" s="51"/>
      <c r="E1294" s="45" t="s">
        <v>23691</v>
      </c>
      <c r="F1294" s="45" t="s">
        <v>17929</v>
      </c>
      <c r="G1294" s="45" t="s">
        <v>50590</v>
      </c>
      <c r="H1294" s="56"/>
      <c r="I1294" s="56" t="s">
        <v>50564</v>
      </c>
      <c r="J1294" s="56"/>
      <c r="K1294" s="50"/>
      <c r="L1294" s="56" t="s">
        <v>56716</v>
      </c>
    </row>
    <row r="1295" spans="1:12" s="37" customFormat="1" ht="11.25" x14ac:dyDescent="0.2">
      <c r="A1295" s="45" t="s">
        <v>23695</v>
      </c>
      <c r="B1295" s="45" t="s">
        <v>23697</v>
      </c>
      <c r="C1295" s="51" t="s">
        <v>23699</v>
      </c>
      <c r="D1295" s="51"/>
      <c r="E1295" s="45" t="s">
        <v>17783</v>
      </c>
      <c r="F1295" s="45" t="s">
        <v>20359</v>
      </c>
      <c r="G1295" s="45" t="s">
        <v>50590</v>
      </c>
      <c r="H1295" s="56"/>
      <c r="I1295" s="56" t="s">
        <v>50564</v>
      </c>
      <c r="J1295" s="56"/>
      <c r="K1295" s="50"/>
      <c r="L1295" s="56" t="s">
        <v>56716</v>
      </c>
    </row>
    <row r="1296" spans="1:12" s="37" customFormat="1" ht="11.25" x14ac:dyDescent="0.2">
      <c r="A1296" s="45" t="s">
        <v>23701</v>
      </c>
      <c r="B1296" s="45" t="s">
        <v>23703</v>
      </c>
      <c r="C1296" s="51" t="s">
        <v>23704</v>
      </c>
      <c r="D1296" s="51"/>
      <c r="E1296" s="45" t="s">
        <v>23705</v>
      </c>
      <c r="F1296" s="45" t="s">
        <v>23706</v>
      </c>
      <c r="G1296" s="45" t="s">
        <v>50584</v>
      </c>
      <c r="H1296" s="56"/>
      <c r="I1296" s="56" t="s">
        <v>50564</v>
      </c>
      <c r="J1296" s="56"/>
      <c r="K1296" s="50"/>
      <c r="L1296" s="56" t="s">
        <v>56716</v>
      </c>
    </row>
    <row r="1297" spans="1:12" s="37" customFormat="1" ht="11.25" x14ac:dyDescent="0.2">
      <c r="A1297" s="45" t="s">
        <v>23709</v>
      </c>
      <c r="B1297" s="45" t="s">
        <v>23711</v>
      </c>
      <c r="C1297" s="51" t="s">
        <v>23713</v>
      </c>
      <c r="D1297" s="51"/>
      <c r="E1297" s="45" t="s">
        <v>91</v>
      </c>
      <c r="F1297" s="45" t="s">
        <v>18001</v>
      </c>
      <c r="G1297" s="45" t="s">
        <v>50590</v>
      </c>
      <c r="H1297" s="56"/>
      <c r="I1297" s="56" t="s">
        <v>50564</v>
      </c>
      <c r="J1297" s="56"/>
      <c r="K1297" s="50"/>
      <c r="L1297" s="56" t="s">
        <v>56716</v>
      </c>
    </row>
    <row r="1298" spans="1:12" s="37" customFormat="1" ht="11.25" x14ac:dyDescent="0.2">
      <c r="A1298" s="46" t="s">
        <v>945</v>
      </c>
      <c r="B1298" s="46" t="s">
        <v>51474</v>
      </c>
      <c r="C1298" s="58" t="str">
        <f>"00074551"</f>
        <v>00074551</v>
      </c>
      <c r="D1298" s="58" t="str">
        <f>"17696917"</f>
        <v>17696917</v>
      </c>
      <c r="E1298" s="46" t="s">
        <v>948</v>
      </c>
      <c r="F1298" s="46" t="s">
        <v>20359</v>
      </c>
      <c r="G1298" s="46" t="s">
        <v>50590</v>
      </c>
      <c r="H1298" s="48" t="s">
        <v>56716</v>
      </c>
      <c r="I1298" s="48" t="s">
        <v>50564</v>
      </c>
      <c r="J1298" s="48"/>
      <c r="K1298" s="50"/>
      <c r="L1298" s="48" t="s">
        <v>56716</v>
      </c>
    </row>
    <row r="1299" spans="1:12" s="37" customFormat="1" ht="11.25" x14ac:dyDescent="0.2">
      <c r="A1299" s="45" t="s">
        <v>23721</v>
      </c>
      <c r="B1299" s="45" t="s">
        <v>23723</v>
      </c>
      <c r="C1299" s="51" t="s">
        <v>23725</v>
      </c>
      <c r="D1299" s="51" t="s">
        <v>23724</v>
      </c>
      <c r="E1299" s="45" t="s">
        <v>56547</v>
      </c>
      <c r="F1299" s="45" t="s">
        <v>17929</v>
      </c>
      <c r="G1299" s="45" t="s">
        <v>50590</v>
      </c>
      <c r="H1299" s="56"/>
      <c r="I1299" s="56" t="s">
        <v>50564</v>
      </c>
      <c r="J1299" s="56"/>
      <c r="K1299" s="50"/>
      <c r="L1299" s="56" t="s">
        <v>56716</v>
      </c>
    </row>
    <row r="1300" spans="1:12" s="37" customFormat="1" ht="11.25" x14ac:dyDescent="0.2">
      <c r="A1300" s="45" t="s">
        <v>23728</v>
      </c>
      <c r="B1300" s="45" t="s">
        <v>23730</v>
      </c>
      <c r="C1300" s="51" t="s">
        <v>23732</v>
      </c>
      <c r="D1300" s="51"/>
      <c r="E1300" s="45" t="s">
        <v>23733</v>
      </c>
      <c r="F1300" s="45" t="s">
        <v>17929</v>
      </c>
      <c r="G1300" s="45" t="s">
        <v>50590</v>
      </c>
      <c r="H1300" s="56"/>
      <c r="I1300" s="56" t="s">
        <v>50564</v>
      </c>
      <c r="J1300" s="56"/>
      <c r="K1300" s="50"/>
      <c r="L1300" s="56" t="s">
        <v>56716</v>
      </c>
    </row>
    <row r="1301" spans="1:12" s="37" customFormat="1" ht="11.25" x14ac:dyDescent="0.2">
      <c r="A1301" s="45" t="s">
        <v>23735</v>
      </c>
      <c r="B1301" s="45" t="s">
        <v>23737</v>
      </c>
      <c r="C1301" s="51" t="s">
        <v>23739</v>
      </c>
      <c r="D1301" s="51"/>
      <c r="E1301" s="45" t="s">
        <v>23740</v>
      </c>
      <c r="F1301" s="45" t="s">
        <v>17759</v>
      </c>
      <c r="G1301" s="45" t="s">
        <v>50584</v>
      </c>
      <c r="H1301" s="56"/>
      <c r="I1301" s="56" t="s">
        <v>50564</v>
      </c>
      <c r="J1301" s="56"/>
      <c r="K1301" s="50"/>
      <c r="L1301" s="56" t="s">
        <v>56716</v>
      </c>
    </row>
    <row r="1302" spans="1:12" s="37" customFormat="1" ht="11.25" x14ac:dyDescent="0.2">
      <c r="A1302" s="46" t="s">
        <v>56137</v>
      </c>
      <c r="B1302" s="46" t="s">
        <v>56138</v>
      </c>
      <c r="C1302" s="58" t="str">
        <f>"23222522"</f>
        <v>23222522</v>
      </c>
      <c r="D1302" s="58" t="str">
        <f>"23223960"</f>
        <v>23223960</v>
      </c>
      <c r="E1302" s="46" t="s">
        <v>1956</v>
      </c>
      <c r="F1302" s="46" t="s">
        <v>18232</v>
      </c>
      <c r="G1302" s="46" t="s">
        <v>50584</v>
      </c>
      <c r="H1302" s="48" t="s">
        <v>56716</v>
      </c>
      <c r="I1302" s="48" t="s">
        <v>50564</v>
      </c>
      <c r="J1302" s="48"/>
      <c r="K1302" s="50"/>
      <c r="L1302" s="48"/>
    </row>
    <row r="1303" spans="1:12" s="37" customFormat="1" ht="11.25" x14ac:dyDescent="0.2">
      <c r="A1303" s="45" t="s">
        <v>23743</v>
      </c>
      <c r="B1303" s="45" t="s">
        <v>23745</v>
      </c>
      <c r="C1303" s="51" t="s">
        <v>23747</v>
      </c>
      <c r="D1303" s="51" t="s">
        <v>23746</v>
      </c>
      <c r="E1303" s="45" t="s">
        <v>23748</v>
      </c>
      <c r="F1303" s="45" t="s">
        <v>50646</v>
      </c>
      <c r="G1303" s="45" t="s">
        <v>50584</v>
      </c>
      <c r="H1303" s="56"/>
      <c r="I1303" s="56" t="s">
        <v>50564</v>
      </c>
      <c r="J1303" s="56"/>
      <c r="K1303" s="50"/>
      <c r="L1303" s="56" t="s">
        <v>56716</v>
      </c>
    </row>
    <row r="1304" spans="1:12" s="37" customFormat="1" ht="11.25" x14ac:dyDescent="0.2">
      <c r="A1304" s="45" t="s">
        <v>23751</v>
      </c>
      <c r="B1304" s="45" t="s">
        <v>23753</v>
      </c>
      <c r="C1304" s="51" t="s">
        <v>23755</v>
      </c>
      <c r="D1304" s="51" t="s">
        <v>23754</v>
      </c>
      <c r="E1304" s="45" t="s">
        <v>167</v>
      </c>
      <c r="F1304" s="45" t="s">
        <v>17759</v>
      </c>
      <c r="G1304" s="45" t="s">
        <v>50584</v>
      </c>
      <c r="H1304" s="56"/>
      <c r="I1304" s="56" t="s">
        <v>50564</v>
      </c>
      <c r="J1304" s="56"/>
      <c r="K1304" s="50"/>
      <c r="L1304" s="56" t="s">
        <v>56716</v>
      </c>
    </row>
    <row r="1305" spans="1:12" s="37" customFormat="1" ht="11.25" x14ac:dyDescent="0.2">
      <c r="A1305" s="46" t="s">
        <v>761</v>
      </c>
      <c r="B1305" s="46" t="s">
        <v>51475</v>
      </c>
      <c r="C1305" s="58" t="str">
        <f>"00074888"</f>
        <v>00074888</v>
      </c>
      <c r="D1305" s="58" t="str">
        <f>"15738221"</f>
        <v>15738221</v>
      </c>
      <c r="E1305" s="46" t="s">
        <v>56305</v>
      </c>
      <c r="F1305" s="46" t="s">
        <v>17759</v>
      </c>
      <c r="G1305" s="46" t="s">
        <v>50584</v>
      </c>
      <c r="H1305" s="48" t="s">
        <v>56716</v>
      </c>
      <c r="I1305" s="48" t="s">
        <v>50564</v>
      </c>
      <c r="J1305" s="48"/>
      <c r="K1305" s="50" t="s">
        <v>56716</v>
      </c>
      <c r="L1305" s="48" t="s">
        <v>56716</v>
      </c>
    </row>
    <row r="1306" spans="1:12" s="37" customFormat="1" ht="11.25" x14ac:dyDescent="0.2">
      <c r="A1306" s="46" t="s">
        <v>15973</v>
      </c>
      <c r="B1306" s="46" t="s">
        <v>51476</v>
      </c>
      <c r="C1306" s="58" t="str">
        <f>"11100931"</f>
        <v>11100931</v>
      </c>
      <c r="D1306" s="58" t="str">
        <f>""</f>
        <v/>
      </c>
      <c r="E1306" s="46" t="s">
        <v>15975</v>
      </c>
      <c r="F1306" s="46" t="s">
        <v>21182</v>
      </c>
      <c r="G1306" s="46" t="s">
        <v>50584</v>
      </c>
      <c r="H1306" s="48" t="s">
        <v>56716</v>
      </c>
      <c r="I1306" s="48" t="s">
        <v>50564</v>
      </c>
      <c r="J1306" s="48"/>
      <c r="K1306" s="50" t="s">
        <v>56716</v>
      </c>
      <c r="L1306" s="48"/>
    </row>
    <row r="1307" spans="1:12" s="37" customFormat="1" ht="11.25" x14ac:dyDescent="0.2">
      <c r="A1307" s="45" t="s">
        <v>23761</v>
      </c>
      <c r="B1307" s="45" t="s">
        <v>23763</v>
      </c>
      <c r="C1307" s="51" t="s">
        <v>23766</v>
      </c>
      <c r="D1307" s="51" t="s">
        <v>23765</v>
      </c>
      <c r="E1307" s="45" t="s">
        <v>17783</v>
      </c>
      <c r="F1307" s="45" t="s">
        <v>17759</v>
      </c>
      <c r="G1307" s="45" t="s">
        <v>50584</v>
      </c>
      <c r="H1307" s="56"/>
      <c r="I1307" s="56" t="s">
        <v>50564</v>
      </c>
      <c r="J1307" s="56"/>
      <c r="K1307" s="50"/>
      <c r="L1307" s="56" t="s">
        <v>56716</v>
      </c>
    </row>
    <row r="1308" spans="1:12" s="37" customFormat="1" ht="11.25" x14ac:dyDescent="0.2">
      <c r="A1308" s="46" t="s">
        <v>13798</v>
      </c>
      <c r="B1308" s="46" t="s">
        <v>51477</v>
      </c>
      <c r="C1308" s="58" t="str">
        <f>"11100052"</f>
        <v>11100052</v>
      </c>
      <c r="D1308" s="58" t="str">
        <f>""</f>
        <v/>
      </c>
      <c r="E1308" s="46" t="s">
        <v>13800</v>
      </c>
      <c r="F1308" s="46" t="s">
        <v>21182</v>
      </c>
      <c r="G1308" s="46" t="s">
        <v>50584</v>
      </c>
      <c r="H1308" s="48" t="s">
        <v>56716</v>
      </c>
      <c r="I1308" s="48" t="s">
        <v>50564</v>
      </c>
      <c r="J1308" s="48"/>
      <c r="K1308" s="50"/>
      <c r="L1308" s="48"/>
    </row>
    <row r="1309" spans="1:12" s="37" customFormat="1" ht="11.25" x14ac:dyDescent="0.2">
      <c r="A1309" s="45" t="s">
        <v>23770</v>
      </c>
      <c r="B1309" s="45" t="s">
        <v>23772</v>
      </c>
      <c r="C1309" s="51" t="s">
        <v>23773</v>
      </c>
      <c r="D1309" s="51"/>
      <c r="E1309" s="45" t="s">
        <v>23774</v>
      </c>
      <c r="F1309" s="45" t="s">
        <v>17759</v>
      </c>
      <c r="G1309" s="45" t="s">
        <v>50584</v>
      </c>
      <c r="H1309" s="56"/>
      <c r="I1309" s="56" t="s">
        <v>50564</v>
      </c>
      <c r="J1309" s="56"/>
      <c r="K1309" s="50"/>
      <c r="L1309" s="56" t="s">
        <v>56716</v>
      </c>
    </row>
    <row r="1310" spans="1:12" s="37" customFormat="1" ht="11.25" x14ac:dyDescent="0.2">
      <c r="A1310" s="45" t="s">
        <v>23777</v>
      </c>
      <c r="B1310" s="45" t="s">
        <v>23779</v>
      </c>
      <c r="C1310" s="51" t="s">
        <v>23782</v>
      </c>
      <c r="D1310" s="51" t="s">
        <v>23781</v>
      </c>
      <c r="E1310" s="45" t="s">
        <v>23783</v>
      </c>
      <c r="F1310" s="45" t="s">
        <v>17759</v>
      </c>
      <c r="G1310" s="45" t="s">
        <v>50584</v>
      </c>
      <c r="H1310" s="56"/>
      <c r="I1310" s="56" t="s">
        <v>50564</v>
      </c>
      <c r="J1310" s="56"/>
      <c r="K1310" s="50"/>
      <c r="L1310" s="56" t="s">
        <v>56716</v>
      </c>
    </row>
    <row r="1311" spans="1:12" s="37" customFormat="1" ht="11.25" x14ac:dyDescent="0.2">
      <c r="A1311" s="46" t="s">
        <v>56370</v>
      </c>
      <c r="B1311" s="46" t="s">
        <v>56371</v>
      </c>
      <c r="C1311" s="58" t="str">
        <f>"23284633"</f>
        <v>23284633</v>
      </c>
      <c r="D1311" s="58" t="str">
        <f>""</f>
        <v/>
      </c>
      <c r="E1311" s="46" t="s">
        <v>12263</v>
      </c>
      <c r="F1311" s="46" t="s">
        <v>17759</v>
      </c>
      <c r="G1311" s="46" t="s">
        <v>50584</v>
      </c>
      <c r="H1311" s="48" t="s">
        <v>56716</v>
      </c>
      <c r="I1311" s="48" t="s">
        <v>50564</v>
      </c>
      <c r="J1311" s="48"/>
      <c r="K1311" s="50"/>
      <c r="L1311" s="48" t="s">
        <v>56716</v>
      </c>
    </row>
    <row r="1312" spans="1:12" s="37" customFormat="1" ht="11.25" x14ac:dyDescent="0.2">
      <c r="A1312" s="46" t="s">
        <v>871</v>
      </c>
      <c r="B1312" s="46" t="s">
        <v>51478</v>
      </c>
      <c r="C1312" s="58" t="str">
        <f>"00259284"</f>
        <v>00259284</v>
      </c>
      <c r="D1312" s="58" t="str">
        <f>"19432828"</f>
        <v>19432828</v>
      </c>
      <c r="E1312" s="46" t="s">
        <v>874</v>
      </c>
      <c r="F1312" s="46" t="s">
        <v>17759</v>
      </c>
      <c r="G1312" s="46" t="s">
        <v>50584</v>
      </c>
      <c r="H1312" s="48" t="s">
        <v>56716</v>
      </c>
      <c r="I1312" s="48" t="s">
        <v>50564</v>
      </c>
      <c r="J1312" s="48"/>
      <c r="K1312" s="50"/>
      <c r="L1312" s="48" t="s">
        <v>56716</v>
      </c>
    </row>
    <row r="1313" spans="1:12" s="37" customFormat="1" ht="11.25" x14ac:dyDescent="0.2">
      <c r="A1313" s="46" t="s">
        <v>12260</v>
      </c>
      <c r="B1313" s="46" t="s">
        <v>51479</v>
      </c>
      <c r="C1313" s="58" t="str">
        <f>"19369719"</f>
        <v>19369719</v>
      </c>
      <c r="D1313" s="58" t="str">
        <f>"19369727"</f>
        <v>19369727</v>
      </c>
      <c r="E1313" s="46" t="s">
        <v>12263</v>
      </c>
      <c r="F1313" s="46" t="s">
        <v>17759</v>
      </c>
      <c r="G1313" s="46" t="s">
        <v>50584</v>
      </c>
      <c r="H1313" s="48" t="s">
        <v>56716</v>
      </c>
      <c r="I1313" s="48" t="s">
        <v>50564</v>
      </c>
      <c r="J1313" s="48"/>
      <c r="K1313" s="50"/>
      <c r="L1313" s="48"/>
    </row>
    <row r="1314" spans="1:12" s="37" customFormat="1" ht="11.25" x14ac:dyDescent="0.2">
      <c r="A1314" s="46" t="s">
        <v>952</v>
      </c>
      <c r="B1314" s="46" t="s">
        <v>51480</v>
      </c>
      <c r="C1314" s="58" t="str">
        <f>"00429686"</f>
        <v>00429686</v>
      </c>
      <c r="D1314" s="58" t="str">
        <f>"15640604"</f>
        <v>15640604</v>
      </c>
      <c r="E1314" s="46" t="s">
        <v>955</v>
      </c>
      <c r="F1314" s="46" t="s">
        <v>18123</v>
      </c>
      <c r="G1314" s="46" t="s">
        <v>50584</v>
      </c>
      <c r="H1314" s="48" t="s">
        <v>56716</v>
      </c>
      <c r="I1314" s="48" t="s">
        <v>50564</v>
      </c>
      <c r="J1314" s="48"/>
      <c r="K1314" s="50"/>
      <c r="L1314" s="48" t="s">
        <v>56716</v>
      </c>
    </row>
    <row r="1315" spans="1:12" s="37" customFormat="1" ht="11.25" x14ac:dyDescent="0.2">
      <c r="A1315" s="45" t="s">
        <v>23809</v>
      </c>
      <c r="B1315" s="45" t="s">
        <v>23811</v>
      </c>
      <c r="C1315" s="51" t="s">
        <v>23812</v>
      </c>
      <c r="D1315" s="51"/>
      <c r="E1315" s="45" t="s">
        <v>23813</v>
      </c>
      <c r="F1315" s="45" t="s">
        <v>17759</v>
      </c>
      <c r="G1315" s="45" t="s">
        <v>50584</v>
      </c>
      <c r="H1315" s="56"/>
      <c r="I1315" s="56" t="s">
        <v>50564</v>
      </c>
      <c r="J1315" s="56"/>
      <c r="K1315" s="50"/>
      <c r="L1315" s="56" t="s">
        <v>56716</v>
      </c>
    </row>
    <row r="1316" spans="1:12" s="37" customFormat="1" ht="11.25" x14ac:dyDescent="0.2">
      <c r="A1316" s="46" t="s">
        <v>895</v>
      </c>
      <c r="B1316" s="46" t="s">
        <v>51481</v>
      </c>
      <c r="C1316" s="58" t="str">
        <f>"03022404"</f>
        <v>03022404</v>
      </c>
      <c r="D1316" s="58" t="str">
        <f>""</f>
        <v/>
      </c>
      <c r="E1316" s="46" t="s">
        <v>897</v>
      </c>
      <c r="F1316" s="46" t="s">
        <v>20446</v>
      </c>
      <c r="G1316" s="46" t="s">
        <v>50584</v>
      </c>
      <c r="H1316" s="48" t="s">
        <v>56716</v>
      </c>
      <c r="I1316" s="48" t="s">
        <v>50564</v>
      </c>
      <c r="J1316" s="48"/>
      <c r="K1316" s="50"/>
      <c r="L1316" s="48"/>
    </row>
    <row r="1317" spans="1:12" s="37" customFormat="1" ht="11.25" x14ac:dyDescent="0.2">
      <c r="A1317" s="45" t="s">
        <v>23815</v>
      </c>
      <c r="B1317" s="45" t="s">
        <v>23817</v>
      </c>
      <c r="C1317" s="51" t="s">
        <v>23820</v>
      </c>
      <c r="D1317" s="51" t="s">
        <v>23819</v>
      </c>
      <c r="E1317" s="45" t="s">
        <v>17783</v>
      </c>
      <c r="F1317" s="45" t="s">
        <v>18158</v>
      </c>
      <c r="G1317" s="45" t="s">
        <v>50592</v>
      </c>
      <c r="H1317" s="56"/>
      <c r="I1317" s="56" t="s">
        <v>50564</v>
      </c>
      <c r="J1317" s="56"/>
      <c r="K1317" s="50"/>
      <c r="L1317" s="56" t="s">
        <v>56716</v>
      </c>
    </row>
    <row r="1318" spans="1:12" s="37" customFormat="1" ht="11.25" x14ac:dyDescent="0.2">
      <c r="A1318" s="46" t="s">
        <v>55967</v>
      </c>
      <c r="B1318" s="46" t="s">
        <v>55968</v>
      </c>
      <c r="C1318" s="58" t="str">
        <f>"22130586"</f>
        <v>22130586</v>
      </c>
      <c r="D1318" s="58" t="str">
        <f>""</f>
        <v/>
      </c>
      <c r="E1318" s="46" t="s">
        <v>6159</v>
      </c>
      <c r="F1318" s="46" t="s">
        <v>18158</v>
      </c>
      <c r="G1318" s="46" t="s">
        <v>50584</v>
      </c>
      <c r="H1318" s="48" t="s">
        <v>56716</v>
      </c>
      <c r="I1318" s="48" t="s">
        <v>50564</v>
      </c>
      <c r="J1318" s="48" t="s">
        <v>56716</v>
      </c>
      <c r="K1318" s="50" t="s">
        <v>56716</v>
      </c>
      <c r="L1318" s="48"/>
    </row>
    <row r="1319" spans="1:12" s="37" customFormat="1" ht="11.25" x14ac:dyDescent="0.2">
      <c r="A1319" s="46" t="s">
        <v>949</v>
      </c>
      <c r="B1319" s="46" t="s">
        <v>949</v>
      </c>
      <c r="C1319" s="58" t="str">
        <f>"03054179"</f>
        <v>03054179</v>
      </c>
      <c r="D1319" s="58" t="str">
        <f>"18791409"</f>
        <v>18791409</v>
      </c>
      <c r="E1319" s="46" t="s">
        <v>155</v>
      </c>
      <c r="F1319" s="46" t="s">
        <v>50646</v>
      </c>
      <c r="G1319" s="46" t="s">
        <v>50584</v>
      </c>
      <c r="H1319" s="48" t="s">
        <v>56716</v>
      </c>
      <c r="I1319" s="48" t="s">
        <v>50564</v>
      </c>
      <c r="J1319" s="48"/>
      <c r="K1319" s="50" t="s">
        <v>56716</v>
      </c>
      <c r="L1319" s="48" t="s">
        <v>56716</v>
      </c>
    </row>
    <row r="1320" spans="1:12" s="37" customFormat="1" ht="11.25" x14ac:dyDescent="0.2">
      <c r="A1320" s="46" t="s">
        <v>967</v>
      </c>
      <c r="B1320" s="46" t="s">
        <v>51482</v>
      </c>
      <c r="C1320" s="58" t="str">
        <f>"00079235"</f>
        <v>00079235</v>
      </c>
      <c r="D1320" s="58" t="str">
        <f>"15424863"</f>
        <v>15424863</v>
      </c>
      <c r="E1320" s="46" t="s">
        <v>970</v>
      </c>
      <c r="F1320" s="46" t="s">
        <v>17759</v>
      </c>
      <c r="G1320" s="46" t="s">
        <v>50584</v>
      </c>
      <c r="H1320" s="48" t="s">
        <v>56716</v>
      </c>
      <c r="I1320" s="48" t="s">
        <v>50564</v>
      </c>
      <c r="J1320" s="48" t="s">
        <v>56716</v>
      </c>
      <c r="K1320" s="50" t="s">
        <v>56716</v>
      </c>
      <c r="L1320" s="48" t="s">
        <v>56716</v>
      </c>
    </row>
    <row r="1321" spans="1:12" s="37" customFormat="1" ht="11.25" x14ac:dyDescent="0.2">
      <c r="A1321" s="45" t="s">
        <v>23830</v>
      </c>
      <c r="B1321" s="45" t="s">
        <v>23832</v>
      </c>
      <c r="C1321" s="51" t="s">
        <v>23834</v>
      </c>
      <c r="D1321" s="51" t="s">
        <v>23833</v>
      </c>
      <c r="E1321" s="45" t="s">
        <v>23835</v>
      </c>
      <c r="F1321" s="45" t="s">
        <v>18058</v>
      </c>
      <c r="G1321" s="45" t="s">
        <v>50615</v>
      </c>
      <c r="H1321" s="56"/>
      <c r="I1321" s="56" t="s">
        <v>50564</v>
      </c>
      <c r="J1321" s="56"/>
      <c r="K1321" s="50"/>
      <c r="L1321" s="56" t="s">
        <v>56716</v>
      </c>
    </row>
    <row r="1322" spans="1:12" s="37" customFormat="1" ht="11.25" x14ac:dyDescent="0.2">
      <c r="A1322" s="46" t="s">
        <v>14385</v>
      </c>
      <c r="B1322" s="46" t="s">
        <v>51483</v>
      </c>
      <c r="C1322" s="58" t="str">
        <f>"17605342"</f>
        <v>17605342</v>
      </c>
      <c r="D1322" s="58" t="str">
        <f>"17605350"</f>
        <v>17605350</v>
      </c>
      <c r="E1322" s="46" t="s">
        <v>11245</v>
      </c>
      <c r="F1322" s="46" t="s">
        <v>20359</v>
      </c>
      <c r="G1322" s="46" t="s">
        <v>50591</v>
      </c>
      <c r="H1322" s="48" t="s">
        <v>56716</v>
      </c>
      <c r="I1322" s="48" t="s">
        <v>50564</v>
      </c>
      <c r="J1322" s="48"/>
      <c r="K1322" s="50" t="s">
        <v>56716</v>
      </c>
      <c r="L1322" s="48"/>
    </row>
    <row r="1323" spans="1:12" s="37" customFormat="1" ht="11.25" x14ac:dyDescent="0.2">
      <c r="A1323" s="46" t="s">
        <v>1213</v>
      </c>
      <c r="B1323" s="46" t="s">
        <v>51484</v>
      </c>
      <c r="C1323" s="58" t="str">
        <f>"00079960"</f>
        <v>00079960</v>
      </c>
      <c r="D1323" s="58" t="str">
        <f>""</f>
        <v/>
      </c>
      <c r="E1323" s="46" t="s">
        <v>85</v>
      </c>
      <c r="F1323" s="46" t="s">
        <v>20359</v>
      </c>
      <c r="G1323" s="46" t="s">
        <v>50591</v>
      </c>
      <c r="H1323" s="48" t="s">
        <v>56716</v>
      </c>
      <c r="I1323" s="48" t="s">
        <v>50564</v>
      </c>
      <c r="J1323" s="48"/>
      <c r="K1323" s="50" t="s">
        <v>56716</v>
      </c>
      <c r="L1323" s="48"/>
    </row>
    <row r="1324" spans="1:12" s="37" customFormat="1" ht="11.25" x14ac:dyDescent="0.2">
      <c r="A1324" s="46" t="s">
        <v>1314</v>
      </c>
      <c r="B1324" s="46" t="s">
        <v>51485</v>
      </c>
      <c r="C1324" s="58" t="str">
        <f>"0171967X"</f>
        <v>0171967X</v>
      </c>
      <c r="D1324" s="58" t="str">
        <f>"14320827"</f>
        <v>14320827</v>
      </c>
      <c r="E1324" s="46" t="s">
        <v>56305</v>
      </c>
      <c r="F1324" s="46" t="s">
        <v>17759</v>
      </c>
      <c r="G1324" s="46" t="s">
        <v>50584</v>
      </c>
      <c r="H1324" s="48" t="s">
        <v>56716</v>
      </c>
      <c r="I1324" s="48" t="s">
        <v>50564</v>
      </c>
      <c r="J1324" s="48" t="s">
        <v>56716</v>
      </c>
      <c r="K1324" s="50" t="s">
        <v>56716</v>
      </c>
      <c r="L1324" s="48" t="s">
        <v>56716</v>
      </c>
    </row>
    <row r="1325" spans="1:12" s="37" customFormat="1" ht="11.25" x14ac:dyDescent="0.2">
      <c r="A1325" s="45" t="s">
        <v>23850</v>
      </c>
      <c r="B1325" s="45" t="s">
        <v>23852</v>
      </c>
      <c r="C1325" s="51" t="s">
        <v>23854</v>
      </c>
      <c r="D1325" s="51" t="s">
        <v>23853</v>
      </c>
      <c r="E1325" s="45" t="s">
        <v>724</v>
      </c>
      <c r="F1325" s="45" t="s">
        <v>17759</v>
      </c>
      <c r="G1325" s="45" t="s">
        <v>50584</v>
      </c>
      <c r="H1325" s="56"/>
      <c r="I1325" s="56" t="s">
        <v>50564</v>
      </c>
      <c r="J1325" s="56"/>
      <c r="K1325" s="50"/>
      <c r="L1325" s="56" t="s">
        <v>56716</v>
      </c>
    </row>
    <row r="1326" spans="1:12" s="37" customFormat="1" ht="11.25" x14ac:dyDescent="0.2">
      <c r="A1326" s="46" t="s">
        <v>2188</v>
      </c>
      <c r="B1326" s="46" t="s">
        <v>51486</v>
      </c>
      <c r="C1326" s="58" t="str">
        <f>"08465371"</f>
        <v>08465371</v>
      </c>
      <c r="D1326" s="58" t="str">
        <f>"14882361"</f>
        <v>14882361</v>
      </c>
      <c r="E1326" s="46" t="s">
        <v>1193</v>
      </c>
      <c r="F1326" s="46" t="s">
        <v>18959</v>
      </c>
      <c r="G1326" s="46" t="s">
        <v>50590</v>
      </c>
      <c r="H1326" s="48" t="s">
        <v>56716</v>
      </c>
      <c r="I1326" s="48" t="s">
        <v>50564</v>
      </c>
      <c r="J1326" s="48"/>
      <c r="K1326" s="50" t="s">
        <v>56716</v>
      </c>
      <c r="L1326" s="48" t="s">
        <v>56716</v>
      </c>
    </row>
    <row r="1327" spans="1:12" s="37" customFormat="1" ht="11.25" x14ac:dyDescent="0.2">
      <c r="A1327" s="45" t="s">
        <v>23876</v>
      </c>
      <c r="B1327" s="45" t="s">
        <v>23878</v>
      </c>
      <c r="C1327" s="51" t="s">
        <v>23880</v>
      </c>
      <c r="D1327" s="51"/>
      <c r="E1327" s="45" t="s">
        <v>23881</v>
      </c>
      <c r="F1327" s="45" t="s">
        <v>18959</v>
      </c>
      <c r="G1327" s="45" t="s">
        <v>50584</v>
      </c>
      <c r="H1327" s="56"/>
      <c r="I1327" s="56" t="s">
        <v>50564</v>
      </c>
      <c r="J1327" s="56"/>
      <c r="K1327" s="50"/>
      <c r="L1327" s="56" t="s">
        <v>56716</v>
      </c>
    </row>
    <row r="1328" spans="1:12" s="37" customFormat="1" ht="11.25" x14ac:dyDescent="0.2">
      <c r="A1328" s="46" t="s">
        <v>4331</v>
      </c>
      <c r="B1328" s="46" t="s">
        <v>51487</v>
      </c>
      <c r="C1328" s="58" t="str">
        <f>"0008350X"</f>
        <v>0008350X</v>
      </c>
      <c r="D1328" s="58" t="str">
        <f>""</f>
        <v/>
      </c>
      <c r="E1328" s="46" t="s">
        <v>4333</v>
      </c>
      <c r="F1328" s="46" t="s">
        <v>18959</v>
      </c>
      <c r="G1328" s="46" t="s">
        <v>50590</v>
      </c>
      <c r="H1328" s="48" t="s">
        <v>56716</v>
      </c>
      <c r="I1328" s="48" t="s">
        <v>50564</v>
      </c>
      <c r="J1328" s="48"/>
      <c r="K1328" s="50"/>
      <c r="L1328" s="48" t="s">
        <v>56716</v>
      </c>
    </row>
    <row r="1329" spans="1:12" s="37" customFormat="1" ht="11.25" x14ac:dyDescent="0.2">
      <c r="A1329" s="46" t="s">
        <v>4316</v>
      </c>
      <c r="B1329" s="46" t="s">
        <v>51488</v>
      </c>
      <c r="C1329" s="58" t="str">
        <f>"0832610X"</f>
        <v>0832610X</v>
      </c>
      <c r="D1329" s="58" t="str">
        <f>"14968975"</f>
        <v>14968975</v>
      </c>
      <c r="E1329" s="46" t="s">
        <v>56305</v>
      </c>
      <c r="F1329" s="46" t="s">
        <v>17759</v>
      </c>
      <c r="G1329" s="46" t="s">
        <v>50590</v>
      </c>
      <c r="H1329" s="48" t="s">
        <v>56716</v>
      </c>
      <c r="I1329" s="48" t="s">
        <v>50564</v>
      </c>
      <c r="J1329" s="48" t="s">
        <v>56716</v>
      </c>
      <c r="K1329" s="50" t="s">
        <v>56716</v>
      </c>
      <c r="L1329" s="48" t="s">
        <v>56716</v>
      </c>
    </row>
    <row r="1330" spans="1:12" s="37" customFormat="1" ht="11.25" x14ac:dyDescent="0.2">
      <c r="A1330" s="46" t="s">
        <v>1098</v>
      </c>
      <c r="B1330" s="46" t="s">
        <v>51489</v>
      </c>
      <c r="C1330" s="58" t="str">
        <f>"0828282X"</f>
        <v>0828282X</v>
      </c>
      <c r="D1330" s="58" t="str">
        <f>""</f>
        <v/>
      </c>
      <c r="E1330" s="46" t="s">
        <v>1100</v>
      </c>
      <c r="F1330" s="46" t="s">
        <v>18959</v>
      </c>
      <c r="G1330" s="46" t="s">
        <v>50584</v>
      </c>
      <c r="H1330" s="48" t="s">
        <v>56716</v>
      </c>
      <c r="I1330" s="48" t="s">
        <v>50564</v>
      </c>
      <c r="J1330" s="48"/>
      <c r="K1330" s="50" t="s">
        <v>56716</v>
      </c>
      <c r="L1330" s="48" t="s">
        <v>56716</v>
      </c>
    </row>
    <row r="1331" spans="1:12" s="37" customFormat="1" ht="11.25" x14ac:dyDescent="0.2">
      <c r="A1331" s="45" t="s">
        <v>23901</v>
      </c>
      <c r="B1331" s="45" t="s">
        <v>23903</v>
      </c>
      <c r="C1331" s="51" t="s">
        <v>23905</v>
      </c>
      <c r="D1331" s="51"/>
      <c r="E1331" s="45" t="s">
        <v>23906</v>
      </c>
      <c r="F1331" s="45" t="s">
        <v>18959</v>
      </c>
      <c r="G1331" s="45" t="s">
        <v>50590</v>
      </c>
      <c r="H1331" s="56"/>
      <c r="I1331" s="56" t="s">
        <v>50564</v>
      </c>
      <c r="J1331" s="56"/>
      <c r="K1331" s="50"/>
      <c r="L1331" s="56" t="s">
        <v>56716</v>
      </c>
    </row>
    <row r="1332" spans="1:12" s="37" customFormat="1" ht="11.25" x14ac:dyDescent="0.2">
      <c r="A1332" s="46" t="s">
        <v>9358</v>
      </c>
      <c r="B1332" s="46" t="s">
        <v>51490</v>
      </c>
      <c r="C1332" s="58" t="str">
        <f>"14992671"</f>
        <v>14992671</v>
      </c>
      <c r="D1332" s="58" t="str">
        <f>"23523840"</f>
        <v>23523840</v>
      </c>
      <c r="E1332" s="46" t="s">
        <v>91</v>
      </c>
      <c r="F1332" s="46" t="s">
        <v>18001</v>
      </c>
      <c r="G1332" s="46" t="s">
        <v>50584</v>
      </c>
      <c r="H1332" s="48" t="s">
        <v>56716</v>
      </c>
      <c r="I1332" s="48" t="s">
        <v>50564</v>
      </c>
      <c r="J1332" s="48"/>
      <c r="K1332" s="50" t="s">
        <v>56716</v>
      </c>
      <c r="L1332" s="48" t="s">
        <v>56716</v>
      </c>
    </row>
    <row r="1333" spans="1:12" s="37" customFormat="1" ht="11.25" x14ac:dyDescent="0.2">
      <c r="A1333" s="45" t="s">
        <v>23921</v>
      </c>
      <c r="B1333" s="45" t="s">
        <v>23923</v>
      </c>
      <c r="C1333" s="51" t="s">
        <v>23925</v>
      </c>
      <c r="D1333" s="51"/>
      <c r="E1333" s="45" t="s">
        <v>23926</v>
      </c>
      <c r="F1333" s="45" t="s">
        <v>18959</v>
      </c>
      <c r="G1333" s="45" t="s">
        <v>50590</v>
      </c>
      <c r="H1333" s="56"/>
      <c r="I1333" s="56" t="s">
        <v>50564</v>
      </c>
      <c r="J1333" s="56"/>
      <c r="K1333" s="50"/>
      <c r="L1333" s="56" t="s">
        <v>56716</v>
      </c>
    </row>
    <row r="1334" spans="1:12" s="37" customFormat="1" ht="11.25" x14ac:dyDescent="0.2">
      <c r="A1334" s="46" t="s">
        <v>9977</v>
      </c>
      <c r="B1334" s="46" t="s">
        <v>51491</v>
      </c>
      <c r="C1334" s="58" t="str">
        <f>"14818035"</f>
        <v>14818035</v>
      </c>
      <c r="D1334" s="58" t="str">
        <f>"14818043"</f>
        <v>14818043</v>
      </c>
      <c r="E1334" s="46" t="s">
        <v>7346</v>
      </c>
      <c r="F1334" s="46" t="s">
        <v>17759</v>
      </c>
      <c r="G1334" s="46" t="s">
        <v>50584</v>
      </c>
      <c r="H1334" s="48" t="s">
        <v>56716</v>
      </c>
      <c r="I1334" s="48" t="s">
        <v>50564</v>
      </c>
      <c r="J1334" s="48"/>
      <c r="K1334" s="50"/>
      <c r="L1334" s="48" t="s">
        <v>56716</v>
      </c>
    </row>
    <row r="1335" spans="1:12" s="37" customFormat="1" ht="11.25" x14ac:dyDescent="0.2">
      <c r="A1335" s="45" t="s">
        <v>23928</v>
      </c>
      <c r="B1335" s="45" t="s">
        <v>23930</v>
      </c>
      <c r="C1335" s="51" t="s">
        <v>23933</v>
      </c>
      <c r="D1335" s="51" t="s">
        <v>23932</v>
      </c>
      <c r="E1335" s="45" t="s">
        <v>23934</v>
      </c>
      <c r="F1335" s="45" t="s">
        <v>18959</v>
      </c>
      <c r="G1335" s="45" t="s">
        <v>50584</v>
      </c>
      <c r="H1335" s="56"/>
      <c r="I1335" s="56" t="s">
        <v>50564</v>
      </c>
      <c r="J1335" s="56"/>
      <c r="K1335" s="50"/>
      <c r="L1335" s="56" t="s">
        <v>56716</v>
      </c>
    </row>
    <row r="1336" spans="1:12" s="37" customFormat="1" ht="11.25" x14ac:dyDescent="0.2">
      <c r="A1336" s="46" t="s">
        <v>55910</v>
      </c>
      <c r="B1336" s="46" t="s">
        <v>55911</v>
      </c>
      <c r="C1336" s="58" t="str">
        <f>"22912789"</f>
        <v>22912789</v>
      </c>
      <c r="D1336" s="58" t="str">
        <f>"22912797"</f>
        <v>22912797</v>
      </c>
      <c r="E1336" s="46" t="s">
        <v>1100</v>
      </c>
      <c r="F1336" s="46" t="s">
        <v>18959</v>
      </c>
      <c r="G1336" s="46" t="s">
        <v>50584</v>
      </c>
      <c r="H1336" s="48" t="s">
        <v>56716</v>
      </c>
      <c r="I1336" s="48" t="s">
        <v>50564</v>
      </c>
      <c r="J1336" s="48" t="s">
        <v>56716</v>
      </c>
      <c r="K1336" s="50"/>
      <c r="L1336" s="48" t="s">
        <v>56716</v>
      </c>
    </row>
    <row r="1337" spans="1:12" s="37" customFormat="1" ht="11.25" x14ac:dyDescent="0.2">
      <c r="A1337" s="46" t="s">
        <v>1101</v>
      </c>
      <c r="B1337" s="46" t="s">
        <v>51492</v>
      </c>
      <c r="C1337" s="58" t="str">
        <f>"00084123"</f>
        <v>00084123</v>
      </c>
      <c r="D1337" s="58" t="str">
        <f>"19202903"</f>
        <v>19202903</v>
      </c>
      <c r="E1337" s="46" t="s">
        <v>1104</v>
      </c>
      <c r="F1337" s="46" t="s">
        <v>18959</v>
      </c>
      <c r="G1337" s="46" t="s">
        <v>50590</v>
      </c>
      <c r="H1337" s="48" t="s">
        <v>56716</v>
      </c>
      <c r="I1337" s="48" t="s">
        <v>50564</v>
      </c>
      <c r="J1337" s="48"/>
      <c r="K1337" s="50"/>
      <c r="L1337" s="48"/>
    </row>
    <row r="1338" spans="1:12" s="37" customFormat="1" ht="11.25" x14ac:dyDescent="0.2">
      <c r="A1338" s="46" t="s">
        <v>6851</v>
      </c>
      <c r="B1338" s="46" t="s">
        <v>51493</v>
      </c>
      <c r="C1338" s="58" t="str">
        <f>"11884517"</f>
        <v>11884517</v>
      </c>
      <c r="D1338" s="58" t="str">
        <f>"22917063"</f>
        <v>22917063</v>
      </c>
      <c r="E1338" s="46" t="s">
        <v>6854</v>
      </c>
      <c r="F1338" s="46" t="s">
        <v>18959</v>
      </c>
      <c r="G1338" s="46" t="s">
        <v>50584</v>
      </c>
      <c r="H1338" s="48" t="s">
        <v>56716</v>
      </c>
      <c r="I1338" s="48" t="s">
        <v>50564</v>
      </c>
      <c r="J1338" s="48"/>
      <c r="K1338" s="50"/>
      <c r="L1338" s="48"/>
    </row>
    <row r="1339" spans="1:12" s="37" customFormat="1" ht="11.25" x14ac:dyDescent="0.2">
      <c r="A1339" s="46" t="s">
        <v>10817</v>
      </c>
      <c r="B1339" s="46" t="s">
        <v>51494</v>
      </c>
      <c r="C1339" s="58" t="str">
        <f>"17129532"</f>
        <v>17129532</v>
      </c>
      <c r="D1339" s="58" t="str">
        <f>""</f>
        <v/>
      </c>
      <c r="E1339" s="46" t="s">
        <v>1100</v>
      </c>
      <c r="F1339" s="46" t="s">
        <v>18959</v>
      </c>
      <c r="G1339" s="46" t="s">
        <v>50584</v>
      </c>
      <c r="H1339" s="48" t="s">
        <v>56716</v>
      </c>
      <c r="I1339" s="48" t="s">
        <v>50564</v>
      </c>
      <c r="J1339" s="48"/>
      <c r="K1339" s="50"/>
      <c r="L1339" s="48"/>
    </row>
    <row r="1340" spans="1:12" s="37" customFormat="1" ht="11.25" x14ac:dyDescent="0.2">
      <c r="A1340" s="46" t="s">
        <v>56014</v>
      </c>
      <c r="B1340" s="46" t="s">
        <v>56015</v>
      </c>
      <c r="C1340" s="58" t="str">
        <f>""</f>
        <v/>
      </c>
      <c r="D1340" s="58" t="str">
        <f>"20543581"</f>
        <v>20543581</v>
      </c>
      <c r="E1340" s="46" t="s">
        <v>2299</v>
      </c>
      <c r="F1340" s="46" t="s">
        <v>50646</v>
      </c>
      <c r="G1340" s="46" t="s">
        <v>50584</v>
      </c>
      <c r="H1340" s="48" t="s">
        <v>56716</v>
      </c>
      <c r="I1340" s="48" t="s">
        <v>50564</v>
      </c>
      <c r="J1340" s="48" t="s">
        <v>56716</v>
      </c>
      <c r="K1340" s="50"/>
      <c r="L1340" s="48"/>
    </row>
    <row r="1341" spans="1:12" s="37" customFormat="1" ht="11.25" x14ac:dyDescent="0.2">
      <c r="A1341" s="46" t="s">
        <v>1105</v>
      </c>
      <c r="B1341" s="46" t="s">
        <v>51495</v>
      </c>
      <c r="C1341" s="58" t="str">
        <f>"00084166"</f>
        <v>00084166</v>
      </c>
      <c r="D1341" s="58" t="str">
        <f>"14803275"</f>
        <v>14803275</v>
      </c>
      <c r="E1341" s="46" t="s">
        <v>729</v>
      </c>
      <c r="F1341" s="46" t="s">
        <v>18959</v>
      </c>
      <c r="G1341" s="46" t="s">
        <v>50590</v>
      </c>
      <c r="H1341" s="48" t="s">
        <v>56716</v>
      </c>
      <c r="I1341" s="48" t="s">
        <v>50564</v>
      </c>
      <c r="J1341" s="48" t="s">
        <v>56716</v>
      </c>
      <c r="K1341" s="50"/>
      <c r="L1341" s="48" t="s">
        <v>56716</v>
      </c>
    </row>
    <row r="1342" spans="1:12" s="37" customFormat="1" ht="11.25" x14ac:dyDescent="0.2">
      <c r="A1342" s="46" t="s">
        <v>1108</v>
      </c>
      <c r="B1342" s="46" t="s">
        <v>51496</v>
      </c>
      <c r="C1342" s="58" t="str">
        <f>"03171671"</f>
        <v>03171671</v>
      </c>
      <c r="D1342" s="58" t="str">
        <f>""</f>
        <v/>
      </c>
      <c r="E1342" s="46" t="s">
        <v>1108</v>
      </c>
      <c r="F1342" s="46" t="s">
        <v>18959</v>
      </c>
      <c r="G1342" s="46" t="s">
        <v>50590</v>
      </c>
      <c r="H1342" s="48" t="s">
        <v>56716</v>
      </c>
      <c r="I1342" s="48" t="s">
        <v>50564</v>
      </c>
      <c r="J1342" s="48" t="s">
        <v>56716</v>
      </c>
      <c r="K1342" s="50"/>
      <c r="L1342" s="48" t="s">
        <v>56716</v>
      </c>
    </row>
    <row r="1343" spans="1:12" s="37" customFormat="1" ht="11.25" x14ac:dyDescent="0.2">
      <c r="A1343" s="45" t="s">
        <v>23952</v>
      </c>
      <c r="B1343" s="45" t="s">
        <v>23954</v>
      </c>
      <c r="C1343" s="51" t="s">
        <v>23956</v>
      </c>
      <c r="D1343" s="51"/>
      <c r="E1343" s="45" t="s">
        <v>23957</v>
      </c>
      <c r="F1343" s="45" t="s">
        <v>18959</v>
      </c>
      <c r="G1343" s="45" t="s">
        <v>50590</v>
      </c>
      <c r="H1343" s="56"/>
      <c r="I1343" s="56" t="s">
        <v>50564</v>
      </c>
      <c r="J1343" s="56"/>
      <c r="K1343" s="50"/>
      <c r="L1343" s="56" t="s">
        <v>56716</v>
      </c>
    </row>
    <row r="1344" spans="1:12" s="37" customFormat="1" ht="11.25" x14ac:dyDescent="0.2">
      <c r="A1344" s="45" t="s">
        <v>23967</v>
      </c>
      <c r="B1344" s="45" t="s">
        <v>23969</v>
      </c>
      <c r="C1344" s="51" t="s">
        <v>23972</v>
      </c>
      <c r="D1344" s="51" t="s">
        <v>23971</v>
      </c>
      <c r="E1344" s="45" t="s">
        <v>23973</v>
      </c>
      <c r="F1344" s="45" t="s">
        <v>17759</v>
      </c>
      <c r="G1344" s="45" t="s">
        <v>50590</v>
      </c>
      <c r="H1344" s="56"/>
      <c r="I1344" s="56" t="s">
        <v>50564</v>
      </c>
      <c r="J1344" s="56"/>
      <c r="K1344" s="50"/>
      <c r="L1344" s="56" t="s">
        <v>56716</v>
      </c>
    </row>
    <row r="1345" spans="1:12" s="37" customFormat="1" ht="11.25" x14ac:dyDescent="0.2">
      <c r="A1345" s="46" t="s">
        <v>962</v>
      </c>
      <c r="B1345" s="46" t="s">
        <v>51497</v>
      </c>
      <c r="C1345" s="58" t="str">
        <f>"00084182"</f>
        <v>00084182</v>
      </c>
      <c r="D1345" s="58" t="str">
        <f>"17153360"</f>
        <v>17153360</v>
      </c>
      <c r="E1345" s="46" t="s">
        <v>91</v>
      </c>
      <c r="F1345" s="46" t="s">
        <v>18001</v>
      </c>
      <c r="G1345" s="46" t="s">
        <v>50590</v>
      </c>
      <c r="H1345" s="48" t="s">
        <v>56716</v>
      </c>
      <c r="I1345" s="48" t="s">
        <v>50564</v>
      </c>
      <c r="J1345" s="48"/>
      <c r="K1345" s="50" t="s">
        <v>56716</v>
      </c>
      <c r="L1345" s="48" t="s">
        <v>56716</v>
      </c>
    </row>
    <row r="1346" spans="1:12" s="37" customFormat="1" ht="11.25" x14ac:dyDescent="0.2">
      <c r="A1346" s="46" t="s">
        <v>1117</v>
      </c>
      <c r="B1346" s="46" t="s">
        <v>51498</v>
      </c>
      <c r="C1346" s="58" t="str">
        <f>"00084212"</f>
        <v>00084212</v>
      </c>
      <c r="D1346" s="58" t="str">
        <f>"12057541"</f>
        <v>12057541</v>
      </c>
      <c r="E1346" s="46" t="s">
        <v>729</v>
      </c>
      <c r="F1346" s="46" t="s">
        <v>18959</v>
      </c>
      <c r="G1346" s="46" t="s">
        <v>50590</v>
      </c>
      <c r="H1346" s="48" t="s">
        <v>56716</v>
      </c>
      <c r="I1346" s="48" t="s">
        <v>50564</v>
      </c>
      <c r="J1346" s="48" t="s">
        <v>56716</v>
      </c>
      <c r="K1346" s="50"/>
      <c r="L1346" s="48" t="s">
        <v>56716</v>
      </c>
    </row>
    <row r="1347" spans="1:12" s="37" customFormat="1" ht="11.25" x14ac:dyDescent="0.2">
      <c r="A1347" s="46" t="s">
        <v>1120</v>
      </c>
      <c r="B1347" s="46" t="s">
        <v>51499</v>
      </c>
      <c r="C1347" s="58" t="str">
        <f>"07067437"</f>
        <v>07067437</v>
      </c>
      <c r="D1347" s="58" t="str">
        <f>"14970015"</f>
        <v>14970015</v>
      </c>
      <c r="E1347" s="46" t="s">
        <v>1123</v>
      </c>
      <c r="F1347" s="46" t="s">
        <v>18959</v>
      </c>
      <c r="G1347" s="46" t="s">
        <v>50590</v>
      </c>
      <c r="H1347" s="48" t="s">
        <v>56716</v>
      </c>
      <c r="I1347" s="48" t="s">
        <v>50564</v>
      </c>
      <c r="J1347" s="48"/>
      <c r="K1347" s="50"/>
      <c r="L1347" s="48" t="s">
        <v>56716</v>
      </c>
    </row>
    <row r="1348" spans="1:12" s="37" customFormat="1" ht="11.25" x14ac:dyDescent="0.2">
      <c r="A1348" s="45" t="s">
        <v>23995</v>
      </c>
      <c r="B1348" s="45" t="s">
        <v>23997</v>
      </c>
      <c r="C1348" s="51" t="s">
        <v>24000</v>
      </c>
      <c r="D1348" s="51" t="s">
        <v>23999</v>
      </c>
      <c r="E1348" s="45" t="s">
        <v>24001</v>
      </c>
      <c r="F1348" s="45" t="s">
        <v>18959</v>
      </c>
      <c r="G1348" s="45" t="s">
        <v>50590</v>
      </c>
      <c r="H1348" s="56"/>
      <c r="I1348" s="56" t="s">
        <v>50564</v>
      </c>
      <c r="J1348" s="56"/>
      <c r="K1348" s="50"/>
      <c r="L1348" s="56" t="s">
        <v>56716</v>
      </c>
    </row>
    <row r="1349" spans="1:12" s="37" customFormat="1" ht="11.25" x14ac:dyDescent="0.2">
      <c r="A1349" s="46" t="s">
        <v>8077</v>
      </c>
      <c r="B1349" s="46" t="s">
        <v>51500</v>
      </c>
      <c r="C1349" s="58" t="str">
        <f>"12059838"</f>
        <v>12059838</v>
      </c>
      <c r="D1349" s="58" t="str">
        <f>"23686820 "</f>
        <v xml:space="preserve">23686820 </v>
      </c>
      <c r="E1349" s="46" t="s">
        <v>8079</v>
      </c>
      <c r="F1349" s="46" t="s">
        <v>18959</v>
      </c>
      <c r="G1349" s="46" t="s">
        <v>50584</v>
      </c>
      <c r="H1349" s="48" t="s">
        <v>56716</v>
      </c>
      <c r="I1349" s="48" t="s">
        <v>50564</v>
      </c>
      <c r="J1349" s="48"/>
      <c r="K1349" s="50"/>
      <c r="L1349" s="48"/>
    </row>
    <row r="1350" spans="1:12" s="37" customFormat="1" ht="11.25" x14ac:dyDescent="0.2">
      <c r="A1350" s="45" t="s">
        <v>24003</v>
      </c>
      <c r="B1350" s="45" t="s">
        <v>24005</v>
      </c>
      <c r="C1350" s="51" t="s">
        <v>24007</v>
      </c>
      <c r="D1350" s="51" t="s">
        <v>24006</v>
      </c>
      <c r="E1350" s="45" t="s">
        <v>24008</v>
      </c>
      <c r="F1350" s="45" t="s">
        <v>18959</v>
      </c>
      <c r="G1350" s="45" t="s">
        <v>50590</v>
      </c>
      <c r="H1350" s="56"/>
      <c r="I1350" s="56" t="s">
        <v>50564</v>
      </c>
      <c r="J1350" s="56"/>
      <c r="K1350" s="50"/>
      <c r="L1350" s="56" t="s">
        <v>56716</v>
      </c>
    </row>
    <row r="1351" spans="1:12" s="37" customFormat="1" ht="11.25" x14ac:dyDescent="0.2">
      <c r="A1351" s="45" t="s">
        <v>24010</v>
      </c>
      <c r="B1351" s="45" t="s">
        <v>24012</v>
      </c>
      <c r="C1351" s="51" t="s">
        <v>24014</v>
      </c>
      <c r="D1351" s="51" t="s">
        <v>24013</v>
      </c>
      <c r="E1351" s="45" t="s">
        <v>1193</v>
      </c>
      <c r="F1351" s="45" t="s">
        <v>18959</v>
      </c>
      <c r="G1351" s="45" t="s">
        <v>50584</v>
      </c>
      <c r="H1351" s="56"/>
      <c r="I1351" s="56" t="s">
        <v>50564</v>
      </c>
      <c r="J1351" s="56"/>
      <c r="K1351" s="50"/>
      <c r="L1351" s="56" t="s">
        <v>56716</v>
      </c>
    </row>
    <row r="1352" spans="1:12" s="37" customFormat="1" ht="11.25" x14ac:dyDescent="0.2">
      <c r="A1352" s="46" t="s">
        <v>1124</v>
      </c>
      <c r="B1352" s="46" t="s">
        <v>51501</v>
      </c>
      <c r="C1352" s="58" t="str">
        <f>"08309000"</f>
        <v>08309000</v>
      </c>
      <c r="D1352" s="58" t="str">
        <f>""</f>
        <v/>
      </c>
      <c r="E1352" s="46" t="s">
        <v>24025</v>
      </c>
      <c r="F1352" s="46" t="s">
        <v>18959</v>
      </c>
      <c r="G1352" s="46" t="s">
        <v>50590</v>
      </c>
      <c r="H1352" s="48" t="s">
        <v>56716</v>
      </c>
      <c r="I1352" s="48" t="s">
        <v>50564</v>
      </c>
      <c r="J1352" s="48"/>
      <c r="K1352" s="50"/>
      <c r="L1352" s="48" t="s">
        <v>56716</v>
      </c>
    </row>
    <row r="1353" spans="1:12" s="37" customFormat="1" ht="11.25" x14ac:dyDescent="0.2">
      <c r="A1353" s="45" t="s">
        <v>24027</v>
      </c>
      <c r="B1353" s="45" t="s">
        <v>24029</v>
      </c>
      <c r="C1353" s="51" t="s">
        <v>24031</v>
      </c>
      <c r="D1353" s="51" t="s">
        <v>24030</v>
      </c>
      <c r="E1353" s="45" t="s">
        <v>24032</v>
      </c>
      <c r="F1353" s="45" t="s">
        <v>18959</v>
      </c>
      <c r="G1353" s="45" t="s">
        <v>50590</v>
      </c>
      <c r="H1353" s="56"/>
      <c r="I1353" s="56" t="s">
        <v>50564</v>
      </c>
      <c r="J1353" s="56"/>
      <c r="K1353" s="50"/>
      <c r="L1353" s="56" t="s">
        <v>56716</v>
      </c>
    </row>
    <row r="1354" spans="1:12" s="37" customFormat="1" ht="11.25" x14ac:dyDescent="0.2">
      <c r="A1354" s="45" t="s">
        <v>24041</v>
      </c>
      <c r="B1354" s="45" t="s">
        <v>24043</v>
      </c>
      <c r="C1354" s="51" t="s">
        <v>24044</v>
      </c>
      <c r="D1354" s="51"/>
      <c r="E1354" s="45" t="s">
        <v>24045</v>
      </c>
      <c r="F1354" s="45" t="s">
        <v>18959</v>
      </c>
      <c r="G1354" s="45" t="s">
        <v>50584</v>
      </c>
      <c r="H1354" s="56"/>
      <c r="I1354" s="56" t="s">
        <v>50564</v>
      </c>
      <c r="J1354" s="56"/>
      <c r="K1354" s="50"/>
      <c r="L1354" s="56" t="s">
        <v>56716</v>
      </c>
    </row>
    <row r="1355" spans="1:12" s="37" customFormat="1" ht="11.25" x14ac:dyDescent="0.2">
      <c r="A1355" s="46" t="s">
        <v>10867</v>
      </c>
      <c r="B1355" s="46" t="s">
        <v>51502</v>
      </c>
      <c r="C1355" s="58" t="str">
        <f>"17151635"</f>
        <v>17151635</v>
      </c>
      <c r="D1355" s="58" t="str">
        <f>"1913701X"</f>
        <v>1913701X</v>
      </c>
      <c r="E1355" s="46" t="s">
        <v>50672</v>
      </c>
      <c r="F1355" s="46" t="s">
        <v>18959</v>
      </c>
      <c r="G1355" s="46" t="s">
        <v>50590</v>
      </c>
      <c r="H1355" s="48" t="s">
        <v>56716</v>
      </c>
      <c r="I1355" s="48" t="s">
        <v>50564</v>
      </c>
      <c r="J1355" s="48"/>
      <c r="K1355" s="50"/>
      <c r="L1355" s="48"/>
    </row>
    <row r="1356" spans="1:12" s="37" customFormat="1" ht="11.25" x14ac:dyDescent="0.2">
      <c r="A1356" s="46" t="s">
        <v>6596</v>
      </c>
      <c r="B1356" s="46" t="s">
        <v>51503</v>
      </c>
      <c r="C1356" s="58" t="str">
        <f>"11982241"</f>
        <v>11982241</v>
      </c>
      <c r="D1356" s="58" t="str">
        <f>""</f>
        <v/>
      </c>
      <c r="E1356" s="46" t="s">
        <v>1100</v>
      </c>
      <c r="F1356" s="46" t="s">
        <v>18959</v>
      </c>
      <c r="G1356" s="46" t="s">
        <v>50584</v>
      </c>
      <c r="H1356" s="48" t="s">
        <v>56716</v>
      </c>
      <c r="I1356" s="48" t="s">
        <v>50564</v>
      </c>
      <c r="J1356" s="48" t="s">
        <v>56716</v>
      </c>
      <c r="K1356" s="50"/>
      <c r="L1356" s="48" t="s">
        <v>56716</v>
      </c>
    </row>
    <row r="1357" spans="1:12" s="37" customFormat="1" ht="11.25" x14ac:dyDescent="0.2">
      <c r="A1357" s="45" t="s">
        <v>24054</v>
      </c>
      <c r="B1357" s="45" t="s">
        <v>24056</v>
      </c>
      <c r="C1357" s="51" t="s">
        <v>24059</v>
      </c>
      <c r="D1357" s="51" t="s">
        <v>24058</v>
      </c>
      <c r="E1357" s="45" t="s">
        <v>20225</v>
      </c>
      <c r="F1357" s="45" t="s">
        <v>17759</v>
      </c>
      <c r="G1357" s="45" t="s">
        <v>50584</v>
      </c>
      <c r="H1357" s="56"/>
      <c r="I1357" s="56" t="s">
        <v>50564</v>
      </c>
      <c r="J1357" s="56"/>
      <c r="K1357" s="50"/>
      <c r="L1357" s="56" t="s">
        <v>56716</v>
      </c>
    </row>
    <row r="1358" spans="1:12" s="37" customFormat="1" ht="11.25" x14ac:dyDescent="0.2">
      <c r="A1358" s="46" t="s">
        <v>55912</v>
      </c>
      <c r="B1358" s="46" t="s">
        <v>55913</v>
      </c>
      <c r="C1358" s="58" t="str">
        <f>"19201214"</f>
        <v>19201214</v>
      </c>
      <c r="D1358" s="58" t="str">
        <f>""</f>
        <v/>
      </c>
      <c r="E1358" s="46" t="s">
        <v>55914</v>
      </c>
      <c r="F1358" s="46" t="s">
        <v>18959</v>
      </c>
      <c r="G1358" s="46" t="s">
        <v>50584</v>
      </c>
      <c r="H1358" s="48" t="s">
        <v>56716</v>
      </c>
      <c r="I1358" s="48" t="s">
        <v>50564</v>
      </c>
      <c r="J1358" s="48"/>
      <c r="K1358" s="50"/>
      <c r="L1358" s="48"/>
    </row>
    <row r="1359" spans="1:12" s="37" customFormat="1" ht="11.25" x14ac:dyDescent="0.2">
      <c r="A1359" s="46" t="s">
        <v>971</v>
      </c>
      <c r="B1359" s="46" t="s">
        <v>971</v>
      </c>
      <c r="C1359" s="58" t="str">
        <f>"0008543X"</f>
        <v>0008543X</v>
      </c>
      <c r="D1359" s="58" t="str">
        <f>"10970142"</f>
        <v>10970142</v>
      </c>
      <c r="E1359" s="46" t="s">
        <v>517</v>
      </c>
      <c r="F1359" s="46" t="s">
        <v>17759</v>
      </c>
      <c r="G1359" s="46" t="s">
        <v>50584</v>
      </c>
      <c r="H1359" s="48" t="s">
        <v>56716</v>
      </c>
      <c r="I1359" s="48" t="s">
        <v>50564</v>
      </c>
      <c r="J1359" s="48" t="s">
        <v>56716</v>
      </c>
      <c r="K1359" s="50" t="s">
        <v>56716</v>
      </c>
      <c r="L1359" s="48" t="s">
        <v>56716</v>
      </c>
    </row>
    <row r="1360" spans="1:12" s="37" customFormat="1" ht="11.25" x14ac:dyDescent="0.2">
      <c r="A1360" s="46" t="s">
        <v>11783</v>
      </c>
      <c r="B1360" s="46" t="s">
        <v>51504</v>
      </c>
      <c r="C1360" s="58" t="str">
        <f>"1885740X"</f>
        <v>1885740X</v>
      </c>
      <c r="D1360" s="58" t="str">
        <f>""</f>
        <v/>
      </c>
      <c r="E1360" s="46" t="s">
        <v>6609</v>
      </c>
      <c r="F1360" s="46" t="s">
        <v>18439</v>
      </c>
      <c r="G1360" s="46" t="s">
        <v>50584</v>
      </c>
      <c r="H1360" s="48" t="s">
        <v>56716</v>
      </c>
      <c r="I1360" s="48" t="s">
        <v>50564</v>
      </c>
      <c r="J1360" s="48"/>
      <c r="K1360" s="50"/>
      <c r="L1360" s="48"/>
    </row>
    <row r="1361" spans="1:12" s="37" customFormat="1" ht="11.25" x14ac:dyDescent="0.2">
      <c r="A1361" s="46" t="s">
        <v>17323</v>
      </c>
      <c r="B1361" s="46" t="s">
        <v>51505</v>
      </c>
      <c r="C1361" s="58" t="str">
        <f>""</f>
        <v/>
      </c>
      <c r="D1361" s="58" t="str">
        <f>"20493002"</f>
        <v>20493002</v>
      </c>
      <c r="E1361" s="46" t="s">
        <v>2299</v>
      </c>
      <c r="F1361" s="46" t="s">
        <v>50646</v>
      </c>
      <c r="G1361" s="46" t="s">
        <v>50584</v>
      </c>
      <c r="H1361" s="48" t="s">
        <v>56716</v>
      </c>
      <c r="I1361" s="48" t="s">
        <v>50564</v>
      </c>
      <c r="J1361" s="48" t="s">
        <v>56716</v>
      </c>
      <c r="K1361" s="50"/>
      <c r="L1361" s="48"/>
    </row>
    <row r="1362" spans="1:12" s="37" customFormat="1" ht="11.25" x14ac:dyDescent="0.2">
      <c r="A1362" s="46" t="s">
        <v>4864</v>
      </c>
      <c r="B1362" s="46" t="s">
        <v>51506</v>
      </c>
      <c r="C1362" s="58" t="str">
        <f>"01677659"</f>
        <v>01677659</v>
      </c>
      <c r="D1362" s="58" t="str">
        <f>"15737233"</f>
        <v>15737233</v>
      </c>
      <c r="E1362" s="46" t="s">
        <v>18876</v>
      </c>
      <c r="F1362" s="46" t="s">
        <v>18001</v>
      </c>
      <c r="G1362" s="46" t="s">
        <v>50584</v>
      </c>
      <c r="H1362" s="48" t="s">
        <v>56716</v>
      </c>
      <c r="I1362" s="48" t="s">
        <v>50564</v>
      </c>
      <c r="J1362" s="48" t="s">
        <v>56716</v>
      </c>
      <c r="K1362" s="50" t="s">
        <v>56716</v>
      </c>
      <c r="L1362" s="48" t="s">
        <v>56716</v>
      </c>
    </row>
    <row r="1363" spans="1:12" s="37" customFormat="1" ht="11.25" x14ac:dyDescent="0.2">
      <c r="A1363" s="46" t="s">
        <v>16557</v>
      </c>
      <c r="B1363" s="46" t="s">
        <v>51507</v>
      </c>
      <c r="C1363" s="58" t="str">
        <f>"20953941"</f>
        <v>20953941</v>
      </c>
      <c r="D1363" s="58" t="str">
        <f>""</f>
        <v/>
      </c>
      <c r="E1363" s="46" t="s">
        <v>16557</v>
      </c>
      <c r="F1363" s="46" t="s">
        <v>17958</v>
      </c>
      <c r="G1363" s="46" t="s">
        <v>50584</v>
      </c>
      <c r="H1363" s="48" t="s">
        <v>56716</v>
      </c>
      <c r="I1363" s="48" t="s">
        <v>50564</v>
      </c>
      <c r="J1363" s="48"/>
      <c r="K1363" s="50"/>
      <c r="L1363" s="48"/>
    </row>
    <row r="1364" spans="1:12" s="37" customFormat="1" ht="11.25" x14ac:dyDescent="0.2">
      <c r="A1364" s="46" t="s">
        <v>10329</v>
      </c>
      <c r="B1364" s="46" t="s">
        <v>51508</v>
      </c>
      <c r="C1364" s="58" t="str">
        <f>"15384047"</f>
        <v>15384047</v>
      </c>
      <c r="D1364" s="58" t="str">
        <f>"15558576"</f>
        <v>15558576</v>
      </c>
      <c r="E1364" s="46" t="s">
        <v>669</v>
      </c>
      <c r="F1364" s="46" t="s">
        <v>17759</v>
      </c>
      <c r="G1364" s="46" t="s">
        <v>50584</v>
      </c>
      <c r="H1364" s="48" t="s">
        <v>56716</v>
      </c>
      <c r="I1364" s="48" t="s">
        <v>50564</v>
      </c>
      <c r="J1364" s="48"/>
      <c r="K1364" s="50"/>
      <c r="L1364" s="48" t="s">
        <v>56716</v>
      </c>
    </row>
    <row r="1365" spans="1:12" s="37" customFormat="1" ht="11.25" x14ac:dyDescent="0.2">
      <c r="A1365" s="46" t="s">
        <v>11785</v>
      </c>
      <c r="B1365" s="46" t="s">
        <v>11785</v>
      </c>
      <c r="C1365" s="58" t="str">
        <f>"15740153"</f>
        <v>15740153</v>
      </c>
      <c r="D1365" s="58" t="str">
        <f>"18758592"</f>
        <v>18758592</v>
      </c>
      <c r="E1365" s="46" t="s">
        <v>920</v>
      </c>
      <c r="F1365" s="46" t="s">
        <v>18001</v>
      </c>
      <c r="G1365" s="46" t="s">
        <v>50584</v>
      </c>
      <c r="H1365" s="48" t="s">
        <v>56716</v>
      </c>
      <c r="I1365" s="48" t="s">
        <v>50564</v>
      </c>
      <c r="J1365" s="48" t="s">
        <v>56716</v>
      </c>
      <c r="K1365" s="50"/>
      <c r="L1365" s="48" t="s">
        <v>56716</v>
      </c>
    </row>
    <row r="1366" spans="1:12" s="37" customFormat="1" ht="11.25" x14ac:dyDescent="0.2">
      <c r="A1366" s="46" t="s">
        <v>7008</v>
      </c>
      <c r="B1366" s="46" t="s">
        <v>51509</v>
      </c>
      <c r="C1366" s="58" t="str">
        <f>"10849785"</f>
        <v>10849785</v>
      </c>
      <c r="D1366" s="58" t="str">
        <f>"15578852"</f>
        <v>15578852</v>
      </c>
      <c r="E1366" s="46" t="s">
        <v>4337</v>
      </c>
      <c r="F1366" s="46" t="s">
        <v>17759</v>
      </c>
      <c r="G1366" s="46" t="s">
        <v>50584</v>
      </c>
      <c r="H1366" s="48" t="s">
        <v>56716</v>
      </c>
      <c r="I1366" s="48" t="s">
        <v>50564</v>
      </c>
      <c r="J1366" s="48" t="s">
        <v>56716</v>
      </c>
      <c r="K1366" s="50"/>
      <c r="L1366" s="48" t="s">
        <v>56716</v>
      </c>
    </row>
    <row r="1367" spans="1:12" s="37" customFormat="1" ht="11.25" x14ac:dyDescent="0.2">
      <c r="A1367" s="46" t="s">
        <v>5427</v>
      </c>
      <c r="B1367" s="46" t="s">
        <v>24087</v>
      </c>
      <c r="C1367" s="58" t="str">
        <f>"09575243"</f>
        <v>09575243</v>
      </c>
      <c r="D1367" s="58" t="str">
        <f>"15737225"</f>
        <v>15737225</v>
      </c>
      <c r="E1367" s="46" t="s">
        <v>18876</v>
      </c>
      <c r="F1367" s="46" t="s">
        <v>18001</v>
      </c>
      <c r="G1367" s="46" t="s">
        <v>50584</v>
      </c>
      <c r="H1367" s="48" t="s">
        <v>56716</v>
      </c>
      <c r="I1367" s="48" t="s">
        <v>50564</v>
      </c>
      <c r="J1367" s="48" t="s">
        <v>56716</v>
      </c>
      <c r="K1367" s="50" t="s">
        <v>56716</v>
      </c>
      <c r="L1367" s="48" t="s">
        <v>56716</v>
      </c>
    </row>
    <row r="1368" spans="1:12" s="37" customFormat="1" ht="11.25" x14ac:dyDescent="0.2">
      <c r="A1368" s="46" t="s">
        <v>9303</v>
      </c>
      <c r="B1368" s="46" t="s">
        <v>9303</v>
      </c>
      <c r="C1368" s="58" t="str">
        <f>"15356108"</f>
        <v>15356108</v>
      </c>
      <c r="D1368" s="58" t="str">
        <f>"18783686"</f>
        <v>18783686</v>
      </c>
      <c r="E1368" s="46" t="s">
        <v>324</v>
      </c>
      <c r="F1368" s="46" t="s">
        <v>17759</v>
      </c>
      <c r="G1368" s="46" t="s">
        <v>50584</v>
      </c>
      <c r="H1368" s="48" t="s">
        <v>56716</v>
      </c>
      <c r="I1368" s="48" t="s">
        <v>50564</v>
      </c>
      <c r="J1368" s="48" t="s">
        <v>56716</v>
      </c>
      <c r="K1368" s="50" t="s">
        <v>56716</v>
      </c>
      <c r="L1368" s="48" t="s">
        <v>56716</v>
      </c>
    </row>
    <row r="1369" spans="1:12" s="37" customFormat="1" ht="11.25" x14ac:dyDescent="0.2">
      <c r="A1369" s="46" t="s">
        <v>9703</v>
      </c>
      <c r="B1369" s="46" t="s">
        <v>51510</v>
      </c>
      <c r="C1369" s="58" t="str">
        <f>""</f>
        <v/>
      </c>
      <c r="D1369" s="58" t="str">
        <f>"14752867"</f>
        <v>14752867</v>
      </c>
      <c r="E1369" s="46" t="s">
        <v>2299</v>
      </c>
      <c r="F1369" s="46" t="s">
        <v>50646</v>
      </c>
      <c r="G1369" s="46" t="s">
        <v>50584</v>
      </c>
      <c r="H1369" s="48" t="s">
        <v>56716</v>
      </c>
      <c r="I1369" s="48" t="s">
        <v>50564</v>
      </c>
      <c r="J1369" s="48"/>
      <c r="K1369" s="50" t="s">
        <v>56716</v>
      </c>
      <c r="L1369" s="48"/>
    </row>
    <row r="1370" spans="1:12" s="37" customFormat="1" ht="11.25" x14ac:dyDescent="0.2">
      <c r="A1370" s="46" t="s">
        <v>1013</v>
      </c>
      <c r="B1370" s="46" t="s">
        <v>51511</v>
      </c>
      <c r="C1370" s="58" t="str">
        <f>"03445704"</f>
        <v>03445704</v>
      </c>
      <c r="D1370" s="58" t="str">
        <f>"14320843"</f>
        <v>14320843</v>
      </c>
      <c r="E1370" s="46" t="s">
        <v>167</v>
      </c>
      <c r="F1370" s="46" t="s">
        <v>18158</v>
      </c>
      <c r="G1370" s="46" t="s">
        <v>50584</v>
      </c>
      <c r="H1370" s="48" t="s">
        <v>56716</v>
      </c>
      <c r="I1370" s="48" t="s">
        <v>50564</v>
      </c>
      <c r="J1370" s="48" t="s">
        <v>56716</v>
      </c>
      <c r="K1370" s="50" t="s">
        <v>56716</v>
      </c>
      <c r="L1370" s="48" t="s">
        <v>56716</v>
      </c>
    </row>
    <row r="1371" spans="1:12" s="37" customFormat="1" ht="11.25" x14ac:dyDescent="0.2">
      <c r="A1371" s="46" t="s">
        <v>6330</v>
      </c>
      <c r="B1371" s="46" t="s">
        <v>6330</v>
      </c>
      <c r="C1371" s="58" t="str">
        <f>"10732748"</f>
        <v>10732748</v>
      </c>
      <c r="D1371" s="58" t="str">
        <f>"15262359"</f>
        <v>15262359</v>
      </c>
      <c r="E1371" s="46" t="s">
        <v>6333</v>
      </c>
      <c r="F1371" s="46" t="s">
        <v>17759</v>
      </c>
      <c r="G1371" s="46" t="s">
        <v>50584</v>
      </c>
      <c r="H1371" s="48" t="s">
        <v>56716</v>
      </c>
      <c r="I1371" s="48" t="s">
        <v>50564</v>
      </c>
      <c r="J1371" s="48"/>
      <c r="K1371" s="50"/>
      <c r="L1371" s="48" t="s">
        <v>56716</v>
      </c>
    </row>
    <row r="1372" spans="1:12" s="37" customFormat="1" ht="11.25" x14ac:dyDescent="0.2">
      <c r="A1372" s="46" t="s">
        <v>16512</v>
      </c>
      <c r="B1372" s="46" t="s">
        <v>51512</v>
      </c>
      <c r="C1372" s="58" t="str">
        <f>"1934662X"</f>
        <v>1934662X</v>
      </c>
      <c r="D1372" s="58" t="str">
        <f>"19346638"</f>
        <v>19346638</v>
      </c>
      <c r="E1372" s="46" t="s">
        <v>517</v>
      </c>
      <c r="F1372" s="46" t="s">
        <v>17759</v>
      </c>
      <c r="G1372" s="46" t="s">
        <v>50584</v>
      </c>
      <c r="H1372" s="48" t="s">
        <v>56716</v>
      </c>
      <c r="I1372" s="48" t="s">
        <v>50564</v>
      </c>
      <c r="J1372" s="48" t="s">
        <v>56716</v>
      </c>
      <c r="K1372" s="50"/>
      <c r="L1372" s="48" t="s">
        <v>56716</v>
      </c>
    </row>
    <row r="1373" spans="1:12" s="37" customFormat="1" ht="11.25" x14ac:dyDescent="0.2">
      <c r="A1373" s="46" t="s">
        <v>16259</v>
      </c>
      <c r="B1373" s="46" t="s">
        <v>51513</v>
      </c>
      <c r="C1373" s="58" t="str">
        <f>"21598274"</f>
        <v>21598274</v>
      </c>
      <c r="D1373" s="58" t="str">
        <f>"21598290"</f>
        <v>21598290</v>
      </c>
      <c r="E1373" s="46" t="s">
        <v>1224</v>
      </c>
      <c r="F1373" s="46" t="s">
        <v>17759</v>
      </c>
      <c r="G1373" s="46" t="s">
        <v>50584</v>
      </c>
      <c r="H1373" s="48" t="s">
        <v>56716</v>
      </c>
      <c r="I1373" s="48" t="s">
        <v>50564</v>
      </c>
      <c r="J1373" s="48"/>
      <c r="K1373" s="50"/>
      <c r="L1373" s="48" t="s">
        <v>56716</v>
      </c>
    </row>
    <row r="1374" spans="1:12" s="37" customFormat="1" ht="11.25" x14ac:dyDescent="0.2">
      <c r="A1374" s="46" t="s">
        <v>17476</v>
      </c>
      <c r="B1374" s="46" t="s">
        <v>51514</v>
      </c>
      <c r="C1374" s="58" t="str">
        <f>"21969906"</f>
        <v>21969906</v>
      </c>
      <c r="D1374" s="58" t="str">
        <f>"21969914"</f>
        <v>21969914</v>
      </c>
      <c r="E1374" s="46" t="s">
        <v>40314</v>
      </c>
      <c r="F1374" s="46" t="s">
        <v>17759</v>
      </c>
      <c r="G1374" s="46" t="s">
        <v>50584</v>
      </c>
      <c r="H1374" s="48" t="s">
        <v>56716</v>
      </c>
      <c r="I1374" s="48" t="s">
        <v>50565</v>
      </c>
      <c r="J1374" s="48"/>
      <c r="K1374" s="50"/>
      <c r="L1374" s="48"/>
    </row>
    <row r="1375" spans="1:12" s="37" customFormat="1" ht="11.25" x14ac:dyDescent="0.2">
      <c r="A1375" s="46" t="s">
        <v>13394</v>
      </c>
      <c r="B1375" s="46" t="s">
        <v>51515</v>
      </c>
      <c r="C1375" s="58" t="str">
        <f>"18777821"</f>
        <v>18777821</v>
      </c>
      <c r="D1375" s="58" t="str">
        <f>"1877783X"</f>
        <v>1877783X</v>
      </c>
      <c r="E1375" s="46" t="s">
        <v>155</v>
      </c>
      <c r="F1375" s="46" t="s">
        <v>50646</v>
      </c>
      <c r="G1375" s="46" t="s">
        <v>50584</v>
      </c>
      <c r="H1375" s="48" t="s">
        <v>56716</v>
      </c>
      <c r="I1375" s="48" t="s">
        <v>50564</v>
      </c>
      <c r="J1375" s="48" t="s">
        <v>56716</v>
      </c>
      <c r="K1375" s="50" t="s">
        <v>56716</v>
      </c>
      <c r="L1375" s="48" t="s">
        <v>56716</v>
      </c>
    </row>
    <row r="1376" spans="1:12" s="37" customFormat="1" ht="11.25" x14ac:dyDescent="0.2">
      <c r="A1376" s="46" t="s">
        <v>5662</v>
      </c>
      <c r="B1376" s="46" t="s">
        <v>51516</v>
      </c>
      <c r="C1376" s="58" t="str">
        <f>"10559965"</f>
        <v>10559965</v>
      </c>
      <c r="D1376" s="58" t="str">
        <f>""</f>
        <v/>
      </c>
      <c r="E1376" s="46" t="s">
        <v>1224</v>
      </c>
      <c r="F1376" s="46" t="s">
        <v>17759</v>
      </c>
      <c r="G1376" s="46" t="s">
        <v>50584</v>
      </c>
      <c r="H1376" s="48" t="s">
        <v>56716</v>
      </c>
      <c r="I1376" s="48" t="s">
        <v>50564</v>
      </c>
      <c r="J1376" s="48" t="s">
        <v>56716</v>
      </c>
      <c r="K1376" s="50"/>
      <c r="L1376" s="48" t="s">
        <v>56716</v>
      </c>
    </row>
    <row r="1377" spans="1:12" s="37" customFormat="1" ht="11.25" x14ac:dyDescent="0.2">
      <c r="A1377" s="46" t="s">
        <v>5615</v>
      </c>
      <c r="B1377" s="46" t="s">
        <v>5615</v>
      </c>
      <c r="C1377" s="58" t="str">
        <f>"0311306X"</f>
        <v>0311306X</v>
      </c>
      <c r="D1377" s="58" t="str">
        <f>""</f>
        <v/>
      </c>
      <c r="E1377" s="46" t="s">
        <v>5617</v>
      </c>
      <c r="F1377" s="46" t="s">
        <v>20082</v>
      </c>
      <c r="G1377" s="46" t="s">
        <v>50584</v>
      </c>
      <c r="H1377" s="48" t="s">
        <v>56716</v>
      </c>
      <c r="I1377" s="48" t="s">
        <v>50564</v>
      </c>
      <c r="J1377" s="48"/>
      <c r="K1377" s="50"/>
      <c r="L1377" s="48"/>
    </row>
    <row r="1378" spans="1:12" s="37" customFormat="1" ht="11.25" x14ac:dyDescent="0.2">
      <c r="A1378" s="46" t="s">
        <v>7328</v>
      </c>
      <c r="B1378" s="46" t="s">
        <v>51517</v>
      </c>
      <c r="C1378" s="58" t="str">
        <f>"09291903"</f>
        <v>09291903</v>
      </c>
      <c r="D1378" s="58" t="str">
        <f>"14765500"</f>
        <v>14765500</v>
      </c>
      <c r="E1378" s="46" t="s">
        <v>315</v>
      </c>
      <c r="F1378" s="46" t="s">
        <v>17759</v>
      </c>
      <c r="G1378" s="46" t="s">
        <v>50584</v>
      </c>
      <c r="H1378" s="48" t="s">
        <v>56716</v>
      </c>
      <c r="I1378" s="48" t="s">
        <v>50564</v>
      </c>
      <c r="J1378" s="48" t="s">
        <v>56716</v>
      </c>
      <c r="K1378" s="50" t="s">
        <v>56716</v>
      </c>
      <c r="L1378" s="48" t="s">
        <v>56716</v>
      </c>
    </row>
    <row r="1379" spans="1:12" s="37" customFormat="1" ht="11.25" x14ac:dyDescent="0.2">
      <c r="A1379" s="46" t="s">
        <v>15409</v>
      </c>
      <c r="B1379" s="46" t="s">
        <v>51518</v>
      </c>
      <c r="C1379" s="58" t="str">
        <f>"22107762"</f>
        <v>22107762</v>
      </c>
      <c r="D1379" s="58" t="str">
        <f>"22107770"</f>
        <v>22107770</v>
      </c>
      <c r="E1379" s="46" t="s">
        <v>272</v>
      </c>
      <c r="F1379" s="46" t="s">
        <v>17759</v>
      </c>
      <c r="G1379" s="46" t="s">
        <v>50584</v>
      </c>
      <c r="H1379" s="48" t="s">
        <v>56716</v>
      </c>
      <c r="I1379" s="48" t="s">
        <v>50564</v>
      </c>
      <c r="J1379" s="48" t="s">
        <v>56716</v>
      </c>
      <c r="K1379" s="50" t="s">
        <v>56716</v>
      </c>
      <c r="L1379" s="48" t="s">
        <v>56716</v>
      </c>
    </row>
    <row r="1380" spans="1:12" s="37" customFormat="1" ht="11.25" x14ac:dyDescent="0.2">
      <c r="A1380" s="46" t="s">
        <v>10316</v>
      </c>
      <c r="B1380" s="46" t="s">
        <v>24136</v>
      </c>
      <c r="C1380" s="58" t="str">
        <f>"11096535"</f>
        <v>11096535</v>
      </c>
      <c r="D1380" s="58" t="str">
        <f>"17906245"</f>
        <v>17906245</v>
      </c>
      <c r="E1380" s="46" t="s">
        <v>536</v>
      </c>
      <c r="F1380" s="46" t="s">
        <v>20969</v>
      </c>
      <c r="G1380" s="46" t="s">
        <v>50584</v>
      </c>
      <c r="H1380" s="48" t="s">
        <v>56716</v>
      </c>
      <c r="I1380" s="48" t="s">
        <v>50564</v>
      </c>
      <c r="J1380" s="48"/>
      <c r="K1380" s="50"/>
      <c r="L1380" s="48" t="s">
        <v>56716</v>
      </c>
    </row>
    <row r="1381" spans="1:12" s="37" customFormat="1" ht="11.25" x14ac:dyDescent="0.2">
      <c r="A1381" s="46" t="s">
        <v>11788</v>
      </c>
      <c r="B1381" s="46" t="s">
        <v>11788</v>
      </c>
      <c r="C1381" s="58" t="str">
        <f>""</f>
        <v/>
      </c>
      <c r="D1381" s="58" t="str">
        <f>"14707330"</f>
        <v>14707330</v>
      </c>
      <c r="E1381" s="46" t="s">
        <v>2299</v>
      </c>
      <c r="F1381" s="46" t="s">
        <v>50646</v>
      </c>
      <c r="G1381" s="46" t="s">
        <v>50584</v>
      </c>
      <c r="H1381" s="48" t="s">
        <v>56716</v>
      </c>
      <c r="I1381" s="48" t="s">
        <v>50564</v>
      </c>
      <c r="J1381" s="48"/>
      <c r="K1381" s="50"/>
      <c r="L1381" s="48" t="s">
        <v>56716</v>
      </c>
    </row>
    <row r="1382" spans="1:12" s="37" customFormat="1" ht="11.25" x14ac:dyDescent="0.2">
      <c r="A1382" s="46" t="s">
        <v>10143</v>
      </c>
      <c r="B1382" s="46" t="s">
        <v>51519</v>
      </c>
      <c r="C1382" s="58" t="str">
        <f>"14249634"</f>
        <v>14249634</v>
      </c>
      <c r="D1382" s="58" t="str">
        <f>""</f>
        <v/>
      </c>
      <c r="E1382" s="46" t="s">
        <v>4002</v>
      </c>
      <c r="F1382" s="46" t="s">
        <v>17759</v>
      </c>
      <c r="G1382" s="46" t="s">
        <v>50584</v>
      </c>
      <c r="H1382" s="48" t="s">
        <v>56716</v>
      </c>
      <c r="I1382" s="48" t="s">
        <v>50564</v>
      </c>
      <c r="J1382" s="48"/>
      <c r="K1382" s="50"/>
      <c r="L1382" s="48" t="s">
        <v>56716</v>
      </c>
    </row>
    <row r="1383" spans="1:12" s="37" customFormat="1" ht="11.25" x14ac:dyDescent="0.2">
      <c r="A1383" s="46" t="s">
        <v>56372</v>
      </c>
      <c r="B1383" s="46" t="s">
        <v>56373</v>
      </c>
      <c r="C1383" s="58" t="str">
        <f>"23266066"</f>
        <v>23266066</v>
      </c>
      <c r="D1383" s="58" t="str">
        <f>"23266074"</f>
        <v>23266074</v>
      </c>
      <c r="E1383" s="46" t="s">
        <v>1224</v>
      </c>
      <c r="F1383" s="46" t="s">
        <v>17759</v>
      </c>
      <c r="G1383" s="46" t="s">
        <v>50584</v>
      </c>
      <c r="H1383" s="48" t="s">
        <v>56716</v>
      </c>
      <c r="I1383" s="48" t="s">
        <v>50564</v>
      </c>
      <c r="J1383" s="48"/>
      <c r="K1383" s="50"/>
      <c r="L1383" s="48" t="s">
        <v>56716</v>
      </c>
    </row>
    <row r="1384" spans="1:12" s="37" customFormat="1" ht="11.25" x14ac:dyDescent="0.2">
      <c r="A1384" s="46" t="s">
        <v>1080</v>
      </c>
      <c r="B1384" s="46" t="s">
        <v>51520</v>
      </c>
      <c r="C1384" s="58" t="str">
        <f>"03407004"</f>
        <v>03407004</v>
      </c>
      <c r="D1384" s="58" t="str">
        <f>"14320851"</f>
        <v>14320851</v>
      </c>
      <c r="E1384" s="46" t="s">
        <v>1070</v>
      </c>
      <c r="F1384" s="46" t="s">
        <v>18158</v>
      </c>
      <c r="G1384" s="46" t="s">
        <v>50584</v>
      </c>
      <c r="H1384" s="48" t="s">
        <v>56716</v>
      </c>
      <c r="I1384" s="48" t="s">
        <v>50564</v>
      </c>
      <c r="J1384" s="48" t="s">
        <v>56716</v>
      </c>
      <c r="K1384" s="50" t="s">
        <v>56716</v>
      </c>
      <c r="L1384" s="48" t="s">
        <v>56716</v>
      </c>
    </row>
    <row r="1385" spans="1:12" s="37" customFormat="1" ht="11.25" x14ac:dyDescent="0.2">
      <c r="A1385" s="46" t="s">
        <v>11249</v>
      </c>
      <c r="B1385" s="46" t="s">
        <v>11249</v>
      </c>
      <c r="C1385" s="58" t="str">
        <f>""</f>
        <v/>
      </c>
      <c r="D1385" s="58" t="str">
        <f>"11769351"</f>
        <v>11769351</v>
      </c>
      <c r="E1385" s="46" t="s">
        <v>11251</v>
      </c>
      <c r="F1385" s="46" t="s">
        <v>19483</v>
      </c>
      <c r="G1385" s="46" t="s">
        <v>50584</v>
      </c>
      <c r="H1385" s="48" t="s">
        <v>56716</v>
      </c>
      <c r="I1385" s="48" t="s">
        <v>50564</v>
      </c>
      <c r="J1385" s="48"/>
      <c r="K1385" s="50"/>
      <c r="L1385" s="48"/>
    </row>
    <row r="1386" spans="1:12" s="37" customFormat="1" ht="11.25" x14ac:dyDescent="0.2">
      <c r="A1386" s="46" t="s">
        <v>1086</v>
      </c>
      <c r="B1386" s="46" t="s">
        <v>51521</v>
      </c>
      <c r="C1386" s="58" t="str">
        <f>"07357907"</f>
        <v>07357907</v>
      </c>
      <c r="D1386" s="58" t="str">
        <f>"15324192"</f>
        <v>15324192</v>
      </c>
      <c r="E1386" s="46" t="s">
        <v>291</v>
      </c>
      <c r="F1386" s="46" t="s">
        <v>17759</v>
      </c>
      <c r="G1386" s="46" t="s">
        <v>50584</v>
      </c>
      <c r="H1386" s="48" t="s">
        <v>56716</v>
      </c>
      <c r="I1386" s="48" t="s">
        <v>50564</v>
      </c>
      <c r="J1386" s="48" t="s">
        <v>56716</v>
      </c>
      <c r="K1386" s="50"/>
      <c r="L1386" s="48" t="s">
        <v>56716</v>
      </c>
    </row>
    <row r="1387" spans="1:12" s="37" customFormat="1" ht="11.25" x14ac:dyDescent="0.2">
      <c r="A1387" s="46" t="s">
        <v>8595</v>
      </c>
      <c r="B1387" s="46" t="s">
        <v>51522</v>
      </c>
      <c r="C1387" s="58" t="str">
        <f>"15289117"</f>
        <v>15289117</v>
      </c>
      <c r="D1387" s="58" t="str">
        <f>"1540336X"</f>
        <v>1540336X</v>
      </c>
      <c r="E1387" s="46" t="s">
        <v>28</v>
      </c>
      <c r="F1387" s="46" t="s">
        <v>17759</v>
      </c>
      <c r="G1387" s="46" t="s">
        <v>50584</v>
      </c>
      <c r="H1387" s="48" t="s">
        <v>56716</v>
      </c>
      <c r="I1387" s="48" t="s">
        <v>50564</v>
      </c>
      <c r="J1387" s="48" t="s">
        <v>56716</v>
      </c>
      <c r="K1387" s="50"/>
      <c r="L1387" s="48" t="s">
        <v>56716</v>
      </c>
    </row>
    <row r="1388" spans="1:12" s="37" customFormat="1" ht="11.25" x14ac:dyDescent="0.2">
      <c r="A1388" s="46" t="s">
        <v>964</v>
      </c>
      <c r="B1388" s="46" t="s">
        <v>51523</v>
      </c>
      <c r="C1388" s="58" t="str">
        <f>"03043835"</f>
        <v>03043835</v>
      </c>
      <c r="D1388" s="58" t="str">
        <f>"18727980"</f>
        <v>18727980</v>
      </c>
      <c r="E1388" s="46" t="s">
        <v>221</v>
      </c>
      <c r="F1388" s="46" t="s">
        <v>21771</v>
      </c>
      <c r="G1388" s="46" t="s">
        <v>50584</v>
      </c>
      <c r="H1388" s="48" t="s">
        <v>56716</v>
      </c>
      <c r="I1388" s="48" t="s">
        <v>50564</v>
      </c>
      <c r="J1388" s="48" t="s">
        <v>56716</v>
      </c>
      <c r="K1388" s="50" t="s">
        <v>56716</v>
      </c>
      <c r="L1388" s="48" t="s">
        <v>56716</v>
      </c>
    </row>
    <row r="1389" spans="1:12" s="37" customFormat="1" ht="11.25" x14ac:dyDescent="0.2">
      <c r="A1389" s="46" t="s">
        <v>14111</v>
      </c>
      <c r="B1389" s="46" t="s">
        <v>51524</v>
      </c>
      <c r="C1389" s="58" t="str">
        <f>""</f>
        <v/>
      </c>
      <c r="D1389" s="58" t="str">
        <f>"11791322"</f>
        <v>11791322</v>
      </c>
      <c r="E1389" s="46" t="s">
        <v>11078</v>
      </c>
      <c r="F1389" s="46" t="s">
        <v>19483</v>
      </c>
      <c r="G1389" s="46" t="s">
        <v>50584</v>
      </c>
      <c r="H1389" s="48" t="s">
        <v>56716</v>
      </c>
      <c r="I1389" s="48" t="s">
        <v>50564</v>
      </c>
      <c r="J1389" s="48"/>
      <c r="K1389" s="50"/>
      <c r="L1389" s="48"/>
    </row>
    <row r="1390" spans="1:12" s="37" customFormat="1" ht="11.25" x14ac:dyDescent="0.2">
      <c r="A1390" s="46" t="s">
        <v>16673</v>
      </c>
      <c r="B1390" s="46" t="s">
        <v>51525</v>
      </c>
      <c r="C1390" s="58" t="str">
        <f>""</f>
        <v/>
      </c>
      <c r="D1390" s="58" t="str">
        <f>"20457634"</f>
        <v>20457634</v>
      </c>
      <c r="E1390" s="46" t="s">
        <v>35</v>
      </c>
      <c r="F1390" s="46" t="s">
        <v>50646</v>
      </c>
      <c r="G1390" s="46" t="s">
        <v>50584</v>
      </c>
      <c r="H1390" s="48" t="s">
        <v>56716</v>
      </c>
      <c r="I1390" s="48" t="s">
        <v>50564</v>
      </c>
      <c r="J1390" s="48" t="s">
        <v>56716</v>
      </c>
      <c r="K1390" s="50" t="s">
        <v>56716</v>
      </c>
      <c r="L1390" s="48" t="s">
        <v>56716</v>
      </c>
    </row>
    <row r="1391" spans="1:12" s="37" customFormat="1" ht="11.25" x14ac:dyDescent="0.2">
      <c r="A1391" s="46" t="s">
        <v>15794</v>
      </c>
      <c r="B1391" s="46" t="s">
        <v>51526</v>
      </c>
      <c r="C1391" s="58" t="str">
        <f>"15682102"</f>
        <v>15682102</v>
      </c>
      <c r="D1391" s="58" t="str">
        <f>"22151648"</f>
        <v>22151648</v>
      </c>
      <c r="E1391" s="46" t="s">
        <v>18876</v>
      </c>
      <c r="F1391" s="46" t="s">
        <v>18001</v>
      </c>
      <c r="G1391" s="46" t="s">
        <v>50584</v>
      </c>
      <c r="H1391" s="48" t="s">
        <v>56716</v>
      </c>
      <c r="I1391" s="48" t="s">
        <v>50565</v>
      </c>
      <c r="J1391" s="48" t="s">
        <v>56716</v>
      </c>
      <c r="K1391" s="50"/>
      <c r="L1391" s="48"/>
    </row>
    <row r="1392" spans="1:12" s="37" customFormat="1" ht="11.25" x14ac:dyDescent="0.2">
      <c r="A1392" s="46" t="s">
        <v>12971</v>
      </c>
      <c r="B1392" s="46" t="s">
        <v>12971</v>
      </c>
      <c r="C1392" s="58" t="str">
        <f>"18752292"</f>
        <v>18752292</v>
      </c>
      <c r="D1392" s="58" t="str">
        <f>"18752284"</f>
        <v>18752284</v>
      </c>
      <c r="E1392" s="46" t="s">
        <v>18876</v>
      </c>
      <c r="F1392" s="46" t="s">
        <v>18001</v>
      </c>
      <c r="G1392" s="46" t="s">
        <v>50584</v>
      </c>
      <c r="H1392" s="48" t="s">
        <v>56716</v>
      </c>
      <c r="I1392" s="48" t="s">
        <v>50564</v>
      </c>
      <c r="J1392" s="48" t="s">
        <v>56716</v>
      </c>
      <c r="K1392" s="50" t="s">
        <v>56716</v>
      </c>
      <c r="L1392" s="48"/>
    </row>
    <row r="1393" spans="1:12" s="37" customFormat="1" ht="11.25" x14ac:dyDescent="0.2">
      <c r="A1393" s="46" t="s">
        <v>15335</v>
      </c>
      <c r="B1393" s="46" t="s">
        <v>51527</v>
      </c>
      <c r="C1393" s="58" t="str">
        <f>"18686958"</f>
        <v>18686958</v>
      </c>
      <c r="D1393" s="58" t="str">
        <f>"18686966"</f>
        <v>18686966</v>
      </c>
      <c r="E1393" s="46" t="s">
        <v>55904</v>
      </c>
      <c r="F1393" s="46" t="s">
        <v>18288</v>
      </c>
      <c r="G1393" s="46" t="s">
        <v>50584</v>
      </c>
      <c r="H1393" s="48" t="s">
        <v>56716</v>
      </c>
      <c r="I1393" s="48" t="s">
        <v>50564</v>
      </c>
      <c r="J1393" s="48" t="s">
        <v>56716</v>
      </c>
      <c r="K1393" s="50"/>
      <c r="L1393" s="48"/>
    </row>
    <row r="1394" spans="1:12" s="37" customFormat="1" ht="11.25" x14ac:dyDescent="0.2">
      <c r="A1394" s="46" t="s">
        <v>4687</v>
      </c>
      <c r="B1394" s="46" t="s">
        <v>51528</v>
      </c>
      <c r="C1394" s="58" t="str">
        <f>"0162220X"</f>
        <v>0162220X</v>
      </c>
      <c r="D1394" s="58" t="str">
        <f>"15389804"</f>
        <v>15389804</v>
      </c>
      <c r="E1394" s="46" t="s">
        <v>28</v>
      </c>
      <c r="F1394" s="46" t="s">
        <v>17759</v>
      </c>
      <c r="G1394" s="46" t="s">
        <v>50584</v>
      </c>
      <c r="H1394" s="48" t="s">
        <v>56716</v>
      </c>
      <c r="I1394" s="48" t="s">
        <v>50564</v>
      </c>
      <c r="J1394" s="48" t="s">
        <v>56716</v>
      </c>
      <c r="K1394" s="50" t="s">
        <v>56716</v>
      </c>
      <c r="L1394" s="48" t="s">
        <v>56716</v>
      </c>
    </row>
    <row r="1395" spans="1:12" s="37" customFormat="1" ht="11.25" x14ac:dyDescent="0.2">
      <c r="A1395" s="46" t="s">
        <v>13109</v>
      </c>
      <c r="B1395" s="46" t="s">
        <v>51529</v>
      </c>
      <c r="C1395" s="58" t="str">
        <f>"19406207"</f>
        <v>19406207</v>
      </c>
      <c r="D1395" s="58" t="str">
        <f>"19406215"</f>
        <v>19406215</v>
      </c>
      <c r="E1395" s="46" t="s">
        <v>1224</v>
      </c>
      <c r="F1395" s="46" t="s">
        <v>17759</v>
      </c>
      <c r="G1395" s="46" t="s">
        <v>50584</v>
      </c>
      <c r="H1395" s="48" t="s">
        <v>56716</v>
      </c>
      <c r="I1395" s="48" t="s">
        <v>50564</v>
      </c>
      <c r="J1395" s="48" t="s">
        <v>56716</v>
      </c>
      <c r="K1395" s="50"/>
      <c r="L1395" s="48" t="s">
        <v>56716</v>
      </c>
    </row>
    <row r="1396" spans="1:12" s="37" customFormat="1" ht="11.25" x14ac:dyDescent="0.2">
      <c r="A1396" s="46" t="s">
        <v>1221</v>
      </c>
      <c r="B1396" s="46" t="s">
        <v>51530</v>
      </c>
      <c r="C1396" s="58" t="str">
        <f>"00085472"</f>
        <v>00085472</v>
      </c>
      <c r="D1396" s="58" t="str">
        <f>"15387445"</f>
        <v>15387445</v>
      </c>
      <c r="E1396" s="46" t="s">
        <v>1224</v>
      </c>
      <c r="F1396" s="46" t="s">
        <v>17759</v>
      </c>
      <c r="G1396" s="46" t="s">
        <v>50584</v>
      </c>
      <c r="H1396" s="48" t="s">
        <v>56716</v>
      </c>
      <c r="I1396" s="48" t="s">
        <v>50564</v>
      </c>
      <c r="J1396" s="48" t="s">
        <v>56716</v>
      </c>
      <c r="K1396" s="50"/>
      <c r="L1396" s="48" t="s">
        <v>56716</v>
      </c>
    </row>
    <row r="1397" spans="1:12" s="37" customFormat="1" ht="11.25" x14ac:dyDescent="0.2">
      <c r="A1397" s="46" t="s">
        <v>12220</v>
      </c>
      <c r="B1397" s="46" t="s">
        <v>51531</v>
      </c>
      <c r="C1397" s="58" t="str">
        <f>"10069801"</f>
        <v>10069801</v>
      </c>
      <c r="D1397" s="58" t="str">
        <f>""</f>
        <v/>
      </c>
      <c r="E1397" s="46" t="s">
        <v>12222</v>
      </c>
      <c r="F1397" s="46" t="s">
        <v>17958</v>
      </c>
      <c r="G1397" s="46" t="s">
        <v>50580</v>
      </c>
      <c r="H1397" s="48" t="s">
        <v>56716</v>
      </c>
      <c r="I1397" s="48" t="s">
        <v>50564</v>
      </c>
      <c r="J1397" s="48"/>
      <c r="K1397" s="50"/>
      <c r="L1397" s="48"/>
    </row>
    <row r="1398" spans="1:12" s="37" customFormat="1" ht="11.25" x14ac:dyDescent="0.2">
      <c r="A1398" s="46" t="s">
        <v>15930</v>
      </c>
      <c r="B1398" s="46" t="s">
        <v>51532</v>
      </c>
      <c r="C1398" s="58" t="s">
        <v>15931</v>
      </c>
      <c r="D1398" s="58" t="str">
        <f>"20059256"</f>
        <v>20059256</v>
      </c>
      <c r="E1398" s="46" t="s">
        <v>56182</v>
      </c>
      <c r="F1398" s="46" t="s">
        <v>50649</v>
      </c>
      <c r="G1398" s="46" t="s">
        <v>50584</v>
      </c>
      <c r="H1398" s="48" t="s">
        <v>56716</v>
      </c>
      <c r="I1398" s="48" t="s">
        <v>50564</v>
      </c>
      <c r="J1398" s="48"/>
      <c r="K1398" s="50"/>
      <c r="L1398" s="48"/>
    </row>
    <row r="1399" spans="1:12" s="37" customFormat="1" ht="11.25" x14ac:dyDescent="0.2">
      <c r="A1399" s="46" t="s">
        <v>9579</v>
      </c>
      <c r="B1399" s="46" t="s">
        <v>51533</v>
      </c>
      <c r="C1399" s="58" t="str">
        <f>"13479032"</f>
        <v>13479032</v>
      </c>
      <c r="D1399" s="58" t="str">
        <f>"13497006"</f>
        <v>13497006</v>
      </c>
      <c r="E1399" s="46" t="s">
        <v>35</v>
      </c>
      <c r="F1399" s="46" t="s">
        <v>50646</v>
      </c>
      <c r="G1399" s="46" t="s">
        <v>50584</v>
      </c>
      <c r="H1399" s="48" t="s">
        <v>56716</v>
      </c>
      <c r="I1399" s="48" t="s">
        <v>50564</v>
      </c>
      <c r="J1399" s="48" t="s">
        <v>56716</v>
      </c>
      <c r="K1399" s="50" t="s">
        <v>56716</v>
      </c>
      <c r="L1399" s="48" t="s">
        <v>56716</v>
      </c>
    </row>
    <row r="1400" spans="1:12" s="37" customFormat="1" ht="11.25" x14ac:dyDescent="0.2">
      <c r="A1400" s="46" t="s">
        <v>13080</v>
      </c>
      <c r="B1400" s="46" t="s">
        <v>51534</v>
      </c>
      <c r="C1400" s="58" t="str">
        <f>"15439135"</f>
        <v>15439135</v>
      </c>
      <c r="D1400" s="58" t="str">
        <f>"15439143"</f>
        <v>15439143</v>
      </c>
      <c r="E1400" s="46" t="s">
        <v>13080</v>
      </c>
      <c r="F1400" s="46" t="s">
        <v>20969</v>
      </c>
      <c r="G1400" s="46" t="s">
        <v>50584</v>
      </c>
      <c r="H1400" s="48" t="s">
        <v>56716</v>
      </c>
      <c r="I1400" s="48" t="s">
        <v>50564</v>
      </c>
      <c r="J1400" s="48"/>
      <c r="K1400" s="50"/>
      <c r="L1400" s="48"/>
    </row>
    <row r="1401" spans="1:12" s="37" customFormat="1" ht="11.25" x14ac:dyDescent="0.2">
      <c r="A1401" s="46" t="s">
        <v>13226</v>
      </c>
      <c r="B1401" s="46" t="s">
        <v>51535</v>
      </c>
      <c r="C1401" s="58" t="str">
        <f>"09273042"</f>
        <v>09273042</v>
      </c>
      <c r="D1401" s="58" t="str">
        <f>""</f>
        <v/>
      </c>
      <c r="E1401" s="46" t="s">
        <v>18876</v>
      </c>
      <c r="F1401" s="46" t="s">
        <v>18001</v>
      </c>
      <c r="G1401" s="46" t="s">
        <v>50584</v>
      </c>
      <c r="H1401" s="48" t="s">
        <v>56716</v>
      </c>
      <c r="I1401" s="48" t="s">
        <v>50565</v>
      </c>
      <c r="J1401" s="48" t="s">
        <v>56716</v>
      </c>
      <c r="K1401" s="50"/>
      <c r="L1401" s="48" t="s">
        <v>56716</v>
      </c>
    </row>
    <row r="1402" spans="1:12" s="37" customFormat="1" ht="11.25" x14ac:dyDescent="0.2">
      <c r="A1402" s="46" t="s">
        <v>17189</v>
      </c>
      <c r="B1402" s="46" t="s">
        <v>51536</v>
      </c>
      <c r="C1402" s="58" t="str">
        <f>"22130896"</f>
        <v>22130896</v>
      </c>
      <c r="D1402" s="58" t="str">
        <f>""</f>
        <v/>
      </c>
      <c r="E1402" s="46" t="s">
        <v>155</v>
      </c>
      <c r="F1402" s="46" t="s">
        <v>50646</v>
      </c>
      <c r="G1402" s="46" t="s">
        <v>50584</v>
      </c>
      <c r="H1402" s="48" t="s">
        <v>56716</v>
      </c>
      <c r="I1402" s="48" t="s">
        <v>50564</v>
      </c>
      <c r="J1402" s="48" t="s">
        <v>56716</v>
      </c>
      <c r="K1402" s="50" t="s">
        <v>56716</v>
      </c>
      <c r="L1402" s="48"/>
    </row>
    <row r="1403" spans="1:12" s="37" customFormat="1" ht="11.25" x14ac:dyDescent="0.2">
      <c r="A1403" s="46" t="s">
        <v>1317</v>
      </c>
      <c r="B1403" s="46" t="s">
        <v>51537</v>
      </c>
      <c r="C1403" s="58" t="str">
        <f>"03057372"</f>
        <v>03057372</v>
      </c>
      <c r="D1403" s="58" t="str">
        <f>"15321967"</f>
        <v>15321967</v>
      </c>
      <c r="E1403" s="46" t="s">
        <v>1177</v>
      </c>
      <c r="F1403" s="46" t="s">
        <v>50646</v>
      </c>
      <c r="G1403" s="46" t="s">
        <v>50584</v>
      </c>
      <c r="H1403" s="48" t="s">
        <v>56716</v>
      </c>
      <c r="I1403" s="48" t="s">
        <v>50564</v>
      </c>
      <c r="J1403" s="48"/>
      <c r="K1403" s="50" t="s">
        <v>56716</v>
      </c>
      <c r="L1403" s="48" t="s">
        <v>56716</v>
      </c>
    </row>
    <row r="1404" spans="1:12" s="37" customFormat="1" ht="11.25" x14ac:dyDescent="0.2">
      <c r="A1404" s="46" t="s">
        <v>7452</v>
      </c>
      <c r="B1404" s="46" t="s">
        <v>51538</v>
      </c>
      <c r="C1404" s="58" t="str">
        <f>"12783218"</f>
        <v>12783218</v>
      </c>
      <c r="D1404" s="58" t="str">
        <f>"17696658"</f>
        <v>17696658</v>
      </c>
      <c r="E1404" s="46" t="s">
        <v>85</v>
      </c>
      <c r="F1404" s="46" t="s">
        <v>20359</v>
      </c>
      <c r="G1404" s="46" t="s">
        <v>50591</v>
      </c>
      <c r="H1404" s="48" t="s">
        <v>56716</v>
      </c>
      <c r="I1404" s="48" t="s">
        <v>50564</v>
      </c>
      <c r="J1404" s="48" t="s">
        <v>56716</v>
      </c>
      <c r="K1404" s="50" t="s">
        <v>56716</v>
      </c>
      <c r="L1404" s="48" t="s">
        <v>56716</v>
      </c>
    </row>
    <row r="1405" spans="1:12" s="37" customFormat="1" ht="11.25" x14ac:dyDescent="0.2">
      <c r="A1405" s="46" t="s">
        <v>15282</v>
      </c>
      <c r="B1405" s="46" t="s">
        <v>15282</v>
      </c>
      <c r="C1405" s="58" t="str">
        <f>""</f>
        <v/>
      </c>
      <c r="D1405" s="58" t="str">
        <f>"20726694"</f>
        <v>20726694</v>
      </c>
      <c r="E1405" s="46" t="s">
        <v>4152</v>
      </c>
      <c r="F1405" s="46" t="s">
        <v>18123</v>
      </c>
      <c r="G1405" s="46" t="s">
        <v>50584</v>
      </c>
      <c r="H1405" s="48" t="s">
        <v>56716</v>
      </c>
      <c r="I1405" s="48" t="s">
        <v>50564</v>
      </c>
      <c r="J1405" s="48"/>
      <c r="K1405" s="50"/>
      <c r="L1405" s="48"/>
    </row>
    <row r="1406" spans="1:12" s="37" customFormat="1" ht="11.25" x14ac:dyDescent="0.2">
      <c r="A1406" s="45" t="s">
        <v>24213</v>
      </c>
      <c r="B1406" s="45" t="s">
        <v>24215</v>
      </c>
      <c r="C1406" s="51" t="s">
        <v>24217</v>
      </c>
      <c r="D1406" s="51"/>
      <c r="E1406" s="45" t="s">
        <v>23957</v>
      </c>
      <c r="F1406" s="45" t="s">
        <v>18959</v>
      </c>
      <c r="G1406" s="45" t="s">
        <v>50590</v>
      </c>
      <c r="H1406" s="56"/>
      <c r="I1406" s="56" t="s">
        <v>50564</v>
      </c>
      <c r="J1406" s="56"/>
      <c r="K1406" s="50"/>
      <c r="L1406" s="56" t="s">
        <v>56716</v>
      </c>
    </row>
    <row r="1407" spans="1:12" s="37" customFormat="1" ht="11.25" x14ac:dyDescent="0.2">
      <c r="A1407" s="45" t="s">
        <v>24225</v>
      </c>
      <c r="B1407" s="45" t="s">
        <v>24227</v>
      </c>
      <c r="C1407" s="51" t="s">
        <v>24229</v>
      </c>
      <c r="D1407" s="51" t="s">
        <v>24228</v>
      </c>
      <c r="E1407" s="45" t="s">
        <v>24230</v>
      </c>
      <c r="F1407" s="45" t="s">
        <v>50646</v>
      </c>
      <c r="G1407" s="45" t="s">
        <v>50584</v>
      </c>
      <c r="H1407" s="56"/>
      <c r="I1407" s="56" t="s">
        <v>50564</v>
      </c>
      <c r="J1407" s="56"/>
      <c r="K1407" s="50"/>
      <c r="L1407" s="56" t="s">
        <v>56716</v>
      </c>
    </row>
    <row r="1408" spans="1:12" s="37" customFormat="1" ht="11.25" x14ac:dyDescent="0.2">
      <c r="A1408" s="46" t="s">
        <v>5439</v>
      </c>
      <c r="B1408" s="46" t="s">
        <v>51539</v>
      </c>
      <c r="C1408" s="58" t="str">
        <f>"00086215"</f>
        <v>00086215</v>
      </c>
      <c r="D1408" s="58" t="str">
        <f>"1873426X"</f>
        <v>1873426X</v>
      </c>
      <c r="E1408" s="46" t="s">
        <v>155</v>
      </c>
      <c r="F1408" s="46" t="s">
        <v>50646</v>
      </c>
      <c r="G1408" s="46" t="s">
        <v>50584</v>
      </c>
      <c r="H1408" s="48" t="s">
        <v>56716</v>
      </c>
      <c r="I1408" s="48" t="s">
        <v>50564</v>
      </c>
      <c r="J1408" s="48" t="s">
        <v>56716</v>
      </c>
      <c r="K1408" s="50" t="s">
        <v>56716</v>
      </c>
      <c r="L1408" s="48" t="s">
        <v>56716</v>
      </c>
    </row>
    <row r="1409" spans="1:12" s="37" customFormat="1" ht="11.25" x14ac:dyDescent="0.2">
      <c r="A1409" s="46" t="s">
        <v>1280</v>
      </c>
      <c r="B1409" s="46" t="s">
        <v>1280</v>
      </c>
      <c r="C1409" s="58" t="str">
        <f>"01433334"</f>
        <v>01433334</v>
      </c>
      <c r="D1409" s="58" t="str">
        <f>"14602180"</f>
        <v>14602180</v>
      </c>
      <c r="E1409" s="46" t="s">
        <v>55</v>
      </c>
      <c r="F1409" s="46" t="s">
        <v>50646</v>
      </c>
      <c r="G1409" s="46" t="s">
        <v>50584</v>
      </c>
      <c r="H1409" s="48" t="s">
        <v>56716</v>
      </c>
      <c r="I1409" s="48" t="s">
        <v>50564</v>
      </c>
      <c r="J1409" s="48" t="s">
        <v>56716</v>
      </c>
      <c r="K1409" s="50"/>
      <c r="L1409" s="48" t="s">
        <v>56716</v>
      </c>
    </row>
    <row r="1410" spans="1:12" s="37" customFormat="1" ht="11.25" x14ac:dyDescent="0.2">
      <c r="A1410" s="46" t="s">
        <v>13863</v>
      </c>
      <c r="B1410" s="46" t="s">
        <v>51540</v>
      </c>
      <c r="C1410" s="58" t="str">
        <f>"18779182"</f>
        <v>18779182</v>
      </c>
      <c r="D1410" s="58" t="str">
        <f>"18779190"</f>
        <v>18779190</v>
      </c>
      <c r="E1410" s="46" t="s">
        <v>303</v>
      </c>
      <c r="F1410" s="46" t="s">
        <v>17759</v>
      </c>
      <c r="G1410" s="46" t="s">
        <v>50584</v>
      </c>
      <c r="H1410" s="48" t="s">
        <v>56716</v>
      </c>
      <c r="I1410" s="48" t="s">
        <v>50564</v>
      </c>
      <c r="J1410" s="48" t="s">
        <v>56716</v>
      </c>
      <c r="K1410" s="50" t="s">
        <v>56716</v>
      </c>
      <c r="L1410" s="48"/>
    </row>
    <row r="1411" spans="1:12" s="37" customFormat="1" ht="11.25" x14ac:dyDescent="0.2">
      <c r="A1411" s="46" t="s">
        <v>16902</v>
      </c>
      <c r="B1411" s="46" t="s">
        <v>16902</v>
      </c>
      <c r="C1411" s="58" t="str">
        <f>"20358253"</f>
        <v>20358253</v>
      </c>
      <c r="D1411" s="58" t="str">
        <f>"20358148"</f>
        <v>20358148</v>
      </c>
      <c r="E1411" s="46" t="s">
        <v>1949</v>
      </c>
      <c r="F1411" s="46" t="s">
        <v>17991</v>
      </c>
      <c r="G1411" s="46" t="s">
        <v>50584</v>
      </c>
      <c r="H1411" s="48" t="s">
        <v>56716</v>
      </c>
      <c r="I1411" s="48" t="s">
        <v>50564</v>
      </c>
      <c r="J1411" s="48"/>
      <c r="K1411" s="50"/>
      <c r="L1411" s="48"/>
    </row>
    <row r="1412" spans="1:12" s="37" customFormat="1" ht="11.25" x14ac:dyDescent="0.2">
      <c r="A1412" s="46" t="s">
        <v>12650</v>
      </c>
      <c r="B1412" s="46" t="s">
        <v>18009</v>
      </c>
      <c r="C1412" s="58" t="str">
        <f>"18118194"</f>
        <v>18118194</v>
      </c>
      <c r="D1412" s="58" t="str">
        <f>"19936117"</f>
        <v>19936117</v>
      </c>
      <c r="E1412" s="46" t="s">
        <v>12455</v>
      </c>
      <c r="F1412" s="46" t="s">
        <v>34138</v>
      </c>
      <c r="G1412" s="46" t="s">
        <v>50584</v>
      </c>
      <c r="H1412" s="48" t="s">
        <v>56716</v>
      </c>
      <c r="I1412" s="48" t="s">
        <v>50564</v>
      </c>
      <c r="J1412" s="48"/>
      <c r="K1412" s="50"/>
      <c r="L1412" s="48"/>
    </row>
    <row r="1413" spans="1:12" s="37" customFormat="1" ht="11.25" x14ac:dyDescent="0.2">
      <c r="A1413" s="46" t="s">
        <v>959</v>
      </c>
      <c r="B1413" s="46" t="s">
        <v>18009</v>
      </c>
      <c r="C1413" s="58" t="str">
        <f>"00086312"</f>
        <v>00086312</v>
      </c>
      <c r="D1413" s="58" t="str">
        <f>"14219751"</f>
        <v>14219751</v>
      </c>
      <c r="E1413" s="46" t="s">
        <v>109</v>
      </c>
      <c r="F1413" s="46" t="s">
        <v>18123</v>
      </c>
      <c r="G1413" s="46" t="s">
        <v>50584</v>
      </c>
      <c r="H1413" s="48" t="s">
        <v>56716</v>
      </c>
      <c r="I1413" s="48" t="s">
        <v>50564</v>
      </c>
      <c r="J1413" s="48" t="s">
        <v>56716</v>
      </c>
      <c r="K1413" s="50" t="s">
        <v>56716</v>
      </c>
      <c r="L1413" s="48" t="s">
        <v>56716</v>
      </c>
    </row>
    <row r="1414" spans="1:12" s="37" customFormat="1" ht="11.25" x14ac:dyDescent="0.2">
      <c r="A1414" s="46" t="s">
        <v>17266</v>
      </c>
      <c r="B1414" s="46" t="s">
        <v>51541</v>
      </c>
      <c r="C1414" s="58" t="str">
        <f>"21938261"</f>
        <v>21938261</v>
      </c>
      <c r="D1414" s="58" t="str">
        <f>"21936544"</f>
        <v>21936544</v>
      </c>
      <c r="E1414" s="46" t="s">
        <v>17556</v>
      </c>
      <c r="F1414" s="46" t="s">
        <v>50646</v>
      </c>
      <c r="G1414" s="46" t="s">
        <v>50584</v>
      </c>
      <c r="H1414" s="48" t="s">
        <v>56716</v>
      </c>
      <c r="I1414" s="48" t="s">
        <v>50564</v>
      </c>
      <c r="J1414" s="48" t="s">
        <v>56716</v>
      </c>
      <c r="K1414" s="50"/>
      <c r="L1414" s="48"/>
    </row>
    <row r="1415" spans="1:12" s="37" customFormat="1" ht="11.25" x14ac:dyDescent="0.2">
      <c r="A1415" s="46" t="s">
        <v>956</v>
      </c>
      <c r="B1415" s="46" t="s">
        <v>51542</v>
      </c>
      <c r="C1415" s="58" t="str">
        <f>"07338651"</f>
        <v>07338651</v>
      </c>
      <c r="D1415" s="58" t="str">
        <f>"15582264"</f>
        <v>15582264</v>
      </c>
      <c r="E1415" s="46" t="s">
        <v>303</v>
      </c>
      <c r="F1415" s="46" t="s">
        <v>17759</v>
      </c>
      <c r="G1415" s="46" t="s">
        <v>50584</v>
      </c>
      <c r="H1415" s="48" t="s">
        <v>56716</v>
      </c>
      <c r="I1415" s="48" t="s">
        <v>50564</v>
      </c>
      <c r="J1415" s="48" t="s">
        <v>56716</v>
      </c>
      <c r="K1415" s="50"/>
      <c r="L1415" s="48" t="s">
        <v>56716</v>
      </c>
    </row>
    <row r="1416" spans="1:12" s="37" customFormat="1" ht="11.25" x14ac:dyDescent="0.2">
      <c r="A1416" s="46" t="s">
        <v>5908</v>
      </c>
      <c r="B1416" s="46" t="s">
        <v>51543</v>
      </c>
      <c r="C1416" s="58" t="str">
        <f>"10615377"</f>
        <v>10615377</v>
      </c>
      <c r="D1416" s="58" t="str">
        <f>"15384683"</f>
        <v>15384683</v>
      </c>
      <c r="E1416" s="46" t="s">
        <v>28</v>
      </c>
      <c r="F1416" s="46" t="s">
        <v>17759</v>
      </c>
      <c r="G1416" s="46" t="s">
        <v>50584</v>
      </c>
      <c r="H1416" s="48" t="s">
        <v>56716</v>
      </c>
      <c r="I1416" s="48" t="s">
        <v>50564</v>
      </c>
      <c r="J1416" s="48"/>
      <c r="K1416" s="50" t="s">
        <v>56716</v>
      </c>
      <c r="L1416" s="48" t="s">
        <v>56716</v>
      </c>
    </row>
    <row r="1417" spans="1:12" s="37" customFormat="1" ht="11.25" x14ac:dyDescent="0.2">
      <c r="A1417" s="46" t="s">
        <v>8475</v>
      </c>
      <c r="B1417" s="46" t="s">
        <v>51544</v>
      </c>
      <c r="C1417" s="58" t="str">
        <f>"10479511"</f>
        <v>10479511</v>
      </c>
      <c r="D1417" s="58" t="str">
        <f>"14671107"</f>
        <v>14671107</v>
      </c>
      <c r="E1417" s="46" t="s">
        <v>724</v>
      </c>
      <c r="F1417" s="46" t="s">
        <v>50646</v>
      </c>
      <c r="G1417" s="46" t="s">
        <v>50584</v>
      </c>
      <c r="H1417" s="48" t="s">
        <v>56716</v>
      </c>
      <c r="I1417" s="48" t="s">
        <v>50564</v>
      </c>
      <c r="J1417" s="48"/>
      <c r="K1417" s="50" t="s">
        <v>56716</v>
      </c>
      <c r="L1417" s="48" t="s">
        <v>56716</v>
      </c>
    </row>
    <row r="1418" spans="1:12" s="37" customFormat="1" ht="11.25" x14ac:dyDescent="0.2">
      <c r="A1418" s="46" t="s">
        <v>12255</v>
      </c>
      <c r="B1418" s="46" t="s">
        <v>51545</v>
      </c>
      <c r="C1418" s="58" t="str">
        <f>"18975593"</f>
        <v>18975593</v>
      </c>
      <c r="D1418" s="58" t="str">
        <f>"1898018X"</f>
        <v>1898018X</v>
      </c>
      <c r="E1418" s="46" t="s">
        <v>1462</v>
      </c>
      <c r="F1418" s="46" t="s">
        <v>17967</v>
      </c>
      <c r="G1418" s="46" t="s">
        <v>50584</v>
      </c>
      <c r="H1418" s="48" t="s">
        <v>56716</v>
      </c>
      <c r="I1418" s="48" t="s">
        <v>50564</v>
      </c>
      <c r="J1418" s="48"/>
      <c r="K1418" s="50"/>
      <c r="L1418" s="48" t="s">
        <v>56716</v>
      </c>
    </row>
    <row r="1419" spans="1:12" s="37" customFormat="1" ht="11.25" x14ac:dyDescent="0.2">
      <c r="A1419" s="46" t="s">
        <v>15437</v>
      </c>
      <c r="B1419" s="46" t="s">
        <v>51546</v>
      </c>
      <c r="C1419" s="58" t="str">
        <f>"13383655"</f>
        <v>13383655</v>
      </c>
      <c r="D1419" s="58" t="str">
        <f>"13383760"</f>
        <v>13383760</v>
      </c>
      <c r="E1419" s="46" t="s">
        <v>15440</v>
      </c>
      <c r="F1419" s="46" t="s">
        <v>18577</v>
      </c>
      <c r="G1419" s="46" t="s">
        <v>50581</v>
      </c>
      <c r="H1419" s="48" t="s">
        <v>56716</v>
      </c>
      <c r="I1419" s="48" t="s">
        <v>50564</v>
      </c>
      <c r="J1419" s="48"/>
      <c r="K1419" s="50"/>
      <c r="L1419" s="48"/>
    </row>
    <row r="1420" spans="1:12" s="37" customFormat="1" ht="11.25" x14ac:dyDescent="0.2">
      <c r="A1420" s="46" t="s">
        <v>15858</v>
      </c>
      <c r="B1420" s="46" t="s">
        <v>51547</v>
      </c>
      <c r="C1420" s="58" t="str">
        <f>"19232829"</f>
        <v>19232829</v>
      </c>
      <c r="D1420" s="58" t="str">
        <f>"19232837"</f>
        <v>19232837</v>
      </c>
      <c r="E1420" s="46" t="s">
        <v>15861</v>
      </c>
      <c r="F1420" s="46" t="s">
        <v>18959</v>
      </c>
      <c r="G1420" s="46" t="s">
        <v>50584</v>
      </c>
      <c r="H1420" s="48" t="s">
        <v>56716</v>
      </c>
      <c r="I1420" s="48" t="s">
        <v>50564</v>
      </c>
      <c r="J1420" s="48"/>
      <c r="K1420" s="50"/>
      <c r="L1420" s="48"/>
    </row>
    <row r="1421" spans="1:12" s="37" customFormat="1" ht="11.25" x14ac:dyDescent="0.2">
      <c r="A1421" s="46" t="s">
        <v>15161</v>
      </c>
      <c r="B1421" s="46" t="s">
        <v>51548</v>
      </c>
      <c r="C1421" s="58" t="str">
        <f>"20908016"</f>
        <v>20908016</v>
      </c>
      <c r="D1421" s="58" t="str">
        <f>"20900597"</f>
        <v>20900597</v>
      </c>
      <c r="E1421" s="46" t="s">
        <v>1412</v>
      </c>
      <c r="F1421" s="46" t="s">
        <v>17759</v>
      </c>
      <c r="G1421" s="46" t="s">
        <v>50584</v>
      </c>
      <c r="H1421" s="48" t="s">
        <v>56716</v>
      </c>
      <c r="I1421" s="48" t="s">
        <v>50564</v>
      </c>
      <c r="J1421" s="48" t="s">
        <v>56716</v>
      </c>
      <c r="K1421" s="50"/>
      <c r="L1421" s="48"/>
    </row>
    <row r="1422" spans="1:12" s="37" customFormat="1" ht="11.25" x14ac:dyDescent="0.2">
      <c r="A1422" s="46" t="s">
        <v>7760</v>
      </c>
      <c r="B1422" s="46" t="s">
        <v>51543</v>
      </c>
      <c r="C1422" s="58" t="str">
        <f>"10926607"</f>
        <v>10926607</v>
      </c>
      <c r="D1422" s="58" t="str">
        <f>""</f>
        <v/>
      </c>
      <c r="E1422" s="46" t="s">
        <v>7462</v>
      </c>
      <c r="F1422" s="46" t="s">
        <v>17759</v>
      </c>
      <c r="G1422" s="46" t="s">
        <v>50584</v>
      </c>
      <c r="H1422" s="48" t="s">
        <v>56716</v>
      </c>
      <c r="I1422" s="48" t="s">
        <v>50564</v>
      </c>
      <c r="J1422" s="48"/>
      <c r="K1422" s="50"/>
      <c r="L1422" s="48"/>
    </row>
    <row r="1423" spans="1:12" s="37" customFormat="1" ht="11.25" x14ac:dyDescent="0.2">
      <c r="A1423" s="46" t="s">
        <v>17521</v>
      </c>
      <c r="B1423" s="46" t="s">
        <v>17521</v>
      </c>
      <c r="C1423" s="58" t="str">
        <f>""</f>
        <v/>
      </c>
      <c r="D1423" s="58" t="str">
        <f>"23047232"</f>
        <v>23047232</v>
      </c>
      <c r="E1423" s="46" t="s">
        <v>17523</v>
      </c>
      <c r="F1423" s="46" t="s">
        <v>50653</v>
      </c>
      <c r="G1423" s="46" t="s">
        <v>50584</v>
      </c>
      <c r="H1423" s="48" t="s">
        <v>56716</v>
      </c>
      <c r="I1423" s="48" t="s">
        <v>50564</v>
      </c>
      <c r="J1423" s="48"/>
      <c r="K1423" s="50"/>
      <c r="L1423" s="48"/>
    </row>
    <row r="1424" spans="1:12" s="37" customFormat="1" ht="11.25" x14ac:dyDescent="0.2">
      <c r="A1424" s="46" t="s">
        <v>17164</v>
      </c>
      <c r="B1424" s="46" t="s">
        <v>51549</v>
      </c>
      <c r="C1424" s="58" t="str">
        <f>"16643828"</f>
        <v>16643828</v>
      </c>
      <c r="D1424" s="58" t="str">
        <f>"16645502"</f>
        <v>16645502</v>
      </c>
      <c r="E1424" s="46" t="s">
        <v>109</v>
      </c>
      <c r="F1424" s="46" t="s">
        <v>18123</v>
      </c>
      <c r="G1424" s="46" t="s">
        <v>50584</v>
      </c>
      <c r="H1424" s="48" t="s">
        <v>56716</v>
      </c>
      <c r="I1424" s="48" t="s">
        <v>50564</v>
      </c>
      <c r="J1424" s="48" t="s">
        <v>56716</v>
      </c>
      <c r="K1424" s="50"/>
      <c r="L1424" s="48"/>
    </row>
    <row r="1425" spans="1:12" s="37" customFormat="1" ht="11.25" x14ac:dyDescent="0.2">
      <c r="A1425" s="46" t="s">
        <v>10885</v>
      </c>
      <c r="B1425" s="46" t="s">
        <v>51550</v>
      </c>
      <c r="C1425" s="58" t="str">
        <f>"18715257"</f>
        <v>18715257</v>
      </c>
      <c r="D1425" s="58" t="str">
        <f>"18756182"</f>
        <v>18756182</v>
      </c>
      <c r="E1425" s="46" t="s">
        <v>6405</v>
      </c>
      <c r="F1425" s="46" t="s">
        <v>18001</v>
      </c>
      <c r="G1425" s="46" t="s">
        <v>50584</v>
      </c>
      <c r="H1425" s="48" t="s">
        <v>56716</v>
      </c>
      <c r="I1425" s="48" t="s">
        <v>50564</v>
      </c>
      <c r="J1425" s="48"/>
      <c r="K1425" s="50"/>
      <c r="L1425" s="48" t="s">
        <v>56716</v>
      </c>
    </row>
    <row r="1426" spans="1:12" s="37" customFormat="1" ht="11.25" x14ac:dyDescent="0.2">
      <c r="A1426" s="46" t="s">
        <v>10891</v>
      </c>
      <c r="B1426" s="46" t="s">
        <v>51551</v>
      </c>
      <c r="C1426" s="58" t="str">
        <f>"1871529X"</f>
        <v>1871529X</v>
      </c>
      <c r="D1426" s="58" t="str">
        <f>""</f>
        <v/>
      </c>
      <c r="E1426" s="46" t="s">
        <v>6405</v>
      </c>
      <c r="F1426" s="46" t="s">
        <v>18001</v>
      </c>
      <c r="G1426" s="46" t="s">
        <v>50584</v>
      </c>
      <c r="H1426" s="48" t="s">
        <v>56716</v>
      </c>
      <c r="I1426" s="48" t="s">
        <v>50564</v>
      </c>
      <c r="J1426" s="48"/>
      <c r="K1426" s="50"/>
      <c r="L1426" s="48" t="s">
        <v>56716</v>
      </c>
    </row>
    <row r="1427" spans="1:12" s="37" customFormat="1" ht="11.25" x14ac:dyDescent="0.2">
      <c r="A1427" s="46" t="s">
        <v>974</v>
      </c>
      <c r="B1427" s="46" t="s">
        <v>51552</v>
      </c>
      <c r="C1427" s="58" t="str">
        <f>"01741551"</f>
        <v>01741551</v>
      </c>
      <c r="D1427" s="58" t="str">
        <f>"1432086X"</f>
        <v>1432086X</v>
      </c>
      <c r="E1427" s="46" t="s">
        <v>56305</v>
      </c>
      <c r="F1427" s="46" t="s">
        <v>17759</v>
      </c>
      <c r="G1427" s="46" t="s">
        <v>50584</v>
      </c>
      <c r="H1427" s="48" t="s">
        <v>56716</v>
      </c>
      <c r="I1427" s="48" t="s">
        <v>50564</v>
      </c>
      <c r="J1427" s="48" t="s">
        <v>56716</v>
      </c>
      <c r="K1427" s="50" t="s">
        <v>56716</v>
      </c>
      <c r="L1427" s="48" t="s">
        <v>56716</v>
      </c>
    </row>
    <row r="1428" spans="1:12" s="37" customFormat="1" ht="11.25" x14ac:dyDescent="0.2">
      <c r="A1428" s="46" t="s">
        <v>9705</v>
      </c>
      <c r="B1428" s="46" t="s">
        <v>51553</v>
      </c>
      <c r="C1428" s="58" t="str">
        <f>""</f>
        <v/>
      </c>
      <c r="D1428" s="58" t="str">
        <f>"14752840"</f>
        <v>14752840</v>
      </c>
      <c r="E1428" s="46" t="s">
        <v>2299</v>
      </c>
      <c r="F1428" s="46" t="s">
        <v>50646</v>
      </c>
      <c r="G1428" s="46" t="s">
        <v>50584</v>
      </c>
      <c r="H1428" s="48" t="s">
        <v>56716</v>
      </c>
      <c r="I1428" s="48" t="s">
        <v>50564</v>
      </c>
      <c r="J1428" s="48"/>
      <c r="K1428" s="50" t="s">
        <v>56716</v>
      </c>
      <c r="L1428" s="48" t="s">
        <v>56716</v>
      </c>
    </row>
    <row r="1429" spans="1:12" s="37" customFormat="1" ht="11.25" x14ac:dyDescent="0.2">
      <c r="A1429" s="46" t="s">
        <v>4244</v>
      </c>
      <c r="B1429" s="46" t="s">
        <v>51554</v>
      </c>
      <c r="C1429" s="58" t="str">
        <f>"09203206"</f>
        <v>09203206</v>
      </c>
      <c r="D1429" s="58" t="str">
        <f>"15737241"</f>
        <v>15737241</v>
      </c>
      <c r="E1429" s="46" t="s">
        <v>56305</v>
      </c>
      <c r="F1429" s="46" t="s">
        <v>17759</v>
      </c>
      <c r="G1429" s="46" t="s">
        <v>50584</v>
      </c>
      <c r="H1429" s="48" t="s">
        <v>56716</v>
      </c>
      <c r="I1429" s="48" t="s">
        <v>50564</v>
      </c>
      <c r="J1429" s="48" t="s">
        <v>56716</v>
      </c>
      <c r="K1429" s="50" t="s">
        <v>56716</v>
      </c>
      <c r="L1429" s="48" t="s">
        <v>56716</v>
      </c>
    </row>
    <row r="1430" spans="1:12" s="37" customFormat="1" ht="11.25" x14ac:dyDescent="0.2">
      <c r="A1430" s="46" t="s">
        <v>16820</v>
      </c>
      <c r="B1430" s="46" t="s">
        <v>51555</v>
      </c>
      <c r="C1430" s="58" t="str">
        <f>""</f>
        <v/>
      </c>
      <c r="D1430" s="58" t="str">
        <f>"2162688X"</f>
        <v>2162688X</v>
      </c>
      <c r="E1430" s="46" t="s">
        <v>28</v>
      </c>
      <c r="F1430" s="46" t="s">
        <v>17759</v>
      </c>
      <c r="G1430" s="46" t="s">
        <v>50584</v>
      </c>
      <c r="H1430" s="48" t="s">
        <v>56716</v>
      </c>
      <c r="I1430" s="48" t="s">
        <v>50564</v>
      </c>
      <c r="J1430" s="48" t="s">
        <v>56716</v>
      </c>
      <c r="K1430" s="50"/>
      <c r="L1430" s="48"/>
    </row>
    <row r="1431" spans="1:12" s="37" customFormat="1" ht="11.25" x14ac:dyDescent="0.2">
      <c r="A1431" s="46" t="s">
        <v>15299</v>
      </c>
      <c r="B1431" s="46" t="s">
        <v>51556</v>
      </c>
      <c r="C1431" s="58" t="str">
        <f>"1869408X"</f>
        <v>1869408X</v>
      </c>
      <c r="D1431" s="58" t="str">
        <f>"18694098"</f>
        <v>18694098</v>
      </c>
      <c r="E1431" s="46" t="s">
        <v>56305</v>
      </c>
      <c r="F1431" s="46" t="s">
        <v>17759</v>
      </c>
      <c r="G1431" s="46" t="s">
        <v>50584</v>
      </c>
      <c r="H1431" s="48" t="s">
        <v>56716</v>
      </c>
      <c r="I1431" s="48" t="s">
        <v>50564</v>
      </c>
      <c r="J1431" s="48" t="s">
        <v>56716</v>
      </c>
      <c r="K1431" s="50"/>
      <c r="L1431" s="48"/>
    </row>
    <row r="1432" spans="1:12" s="37" customFormat="1" ht="11.25" x14ac:dyDescent="0.2">
      <c r="A1432" s="46" t="s">
        <v>15385</v>
      </c>
      <c r="B1432" s="46" t="s">
        <v>51557</v>
      </c>
      <c r="C1432" s="58" t="str">
        <f>"18971199"</f>
        <v>18971199</v>
      </c>
      <c r="D1432" s="58" t="str">
        <f>""</f>
        <v/>
      </c>
      <c r="E1432" s="46" t="s">
        <v>1462</v>
      </c>
      <c r="F1432" s="46" t="s">
        <v>17967</v>
      </c>
      <c r="G1432" s="46" t="s">
        <v>50612</v>
      </c>
      <c r="H1432" s="48" t="s">
        <v>56716</v>
      </c>
      <c r="I1432" s="48" t="s">
        <v>50564</v>
      </c>
      <c r="J1432" s="48"/>
      <c r="K1432" s="50"/>
      <c r="L1432" s="48"/>
    </row>
    <row r="1433" spans="1:12" s="37" customFormat="1" ht="11.25" x14ac:dyDescent="0.2">
      <c r="A1433" s="46" t="s">
        <v>15788</v>
      </c>
      <c r="B1433" s="46" t="s">
        <v>51558</v>
      </c>
      <c r="C1433" s="58" t="str">
        <f>"18684300"</f>
        <v>18684300</v>
      </c>
      <c r="D1433" s="58" t="str">
        <f>"18684297"</f>
        <v>18684297</v>
      </c>
      <c r="E1433" s="46" t="s">
        <v>23335</v>
      </c>
      <c r="F1433" s="46" t="s">
        <v>18242</v>
      </c>
      <c r="G1433" s="46" t="s">
        <v>50584</v>
      </c>
      <c r="H1433" s="48" t="s">
        <v>56716</v>
      </c>
      <c r="I1433" s="48" t="s">
        <v>50564</v>
      </c>
      <c r="J1433" s="48" t="s">
        <v>56716</v>
      </c>
      <c r="K1433" s="50"/>
      <c r="L1433" s="48" t="s">
        <v>56716</v>
      </c>
    </row>
    <row r="1434" spans="1:12" s="37" customFormat="1" ht="11.25" x14ac:dyDescent="0.2">
      <c r="A1434" s="46" t="s">
        <v>12655</v>
      </c>
      <c r="B1434" s="46" t="s">
        <v>51559</v>
      </c>
      <c r="C1434" s="58" t="str">
        <f>"19951892"</f>
        <v>19951892</v>
      </c>
      <c r="D1434" s="58" t="str">
        <f>""</f>
        <v/>
      </c>
      <c r="E1434" s="46" t="s">
        <v>12657</v>
      </c>
      <c r="F1434" s="46" t="s">
        <v>24311</v>
      </c>
      <c r="G1434" s="46" t="s">
        <v>50584</v>
      </c>
      <c r="H1434" s="48" t="s">
        <v>56716</v>
      </c>
      <c r="I1434" s="48" t="s">
        <v>50564</v>
      </c>
      <c r="J1434" s="48"/>
      <c r="K1434" s="50"/>
      <c r="L1434" s="48" t="s">
        <v>56716</v>
      </c>
    </row>
    <row r="1435" spans="1:12" s="37" customFormat="1" ht="11.25" x14ac:dyDescent="0.2">
      <c r="A1435" s="46" t="s">
        <v>6053</v>
      </c>
      <c r="B1435" s="46" t="s">
        <v>51560</v>
      </c>
      <c r="C1435" s="58" t="str">
        <f>"10548807"</f>
        <v>10548807</v>
      </c>
      <c r="D1435" s="58" t="str">
        <f>"18791336"</f>
        <v>18791336</v>
      </c>
      <c r="E1435" s="46" t="s">
        <v>272</v>
      </c>
      <c r="F1435" s="46" t="s">
        <v>17759</v>
      </c>
      <c r="G1435" s="46" t="s">
        <v>50584</v>
      </c>
      <c r="H1435" s="48" t="s">
        <v>56716</v>
      </c>
      <c r="I1435" s="48" t="s">
        <v>50564</v>
      </c>
      <c r="J1435" s="48" t="s">
        <v>56716</v>
      </c>
      <c r="K1435" s="50" t="s">
        <v>56716</v>
      </c>
      <c r="L1435" s="48" t="s">
        <v>56716</v>
      </c>
    </row>
    <row r="1436" spans="1:12" s="37" customFormat="1" ht="11.25" x14ac:dyDescent="0.2">
      <c r="A1436" s="46" t="s">
        <v>14593</v>
      </c>
      <c r="B1436" s="46" t="s">
        <v>51561</v>
      </c>
      <c r="C1436" s="58" t="str">
        <f>"20900163"</f>
        <v>20900163</v>
      </c>
      <c r="D1436" s="58" t="str">
        <f>"20900171"</f>
        <v>20900171</v>
      </c>
      <c r="E1436" s="46" t="s">
        <v>1412</v>
      </c>
      <c r="F1436" s="46" t="s">
        <v>17759</v>
      </c>
      <c r="G1436" s="46" t="s">
        <v>50584</v>
      </c>
      <c r="H1436" s="48" t="s">
        <v>56716</v>
      </c>
      <c r="I1436" s="48" t="s">
        <v>50564</v>
      </c>
      <c r="J1436" s="48" t="s">
        <v>56716</v>
      </c>
      <c r="K1436" s="50"/>
      <c r="L1436" s="48"/>
    </row>
    <row r="1437" spans="1:12" s="37" customFormat="1" ht="11.25" x14ac:dyDescent="0.2">
      <c r="A1437" s="46" t="s">
        <v>1329</v>
      </c>
      <c r="B1437" s="46" t="s">
        <v>51562</v>
      </c>
      <c r="C1437" s="58" t="str">
        <f>"00086363"</f>
        <v>00086363</v>
      </c>
      <c r="D1437" s="58" t="str">
        <f>"17553245"</f>
        <v>17553245</v>
      </c>
      <c r="E1437" s="46" t="s">
        <v>55</v>
      </c>
      <c r="F1437" s="46" t="s">
        <v>50646</v>
      </c>
      <c r="G1437" s="46" t="s">
        <v>50584</v>
      </c>
      <c r="H1437" s="48" t="s">
        <v>56716</v>
      </c>
      <c r="I1437" s="48" t="s">
        <v>50564</v>
      </c>
      <c r="J1437" s="48" t="s">
        <v>56716</v>
      </c>
      <c r="K1437" s="50"/>
      <c r="L1437" s="48" t="s">
        <v>56716</v>
      </c>
    </row>
    <row r="1438" spans="1:12" s="37" customFormat="1" ht="11.25" x14ac:dyDescent="0.2">
      <c r="A1438" s="46" t="s">
        <v>10752</v>
      </c>
      <c r="B1438" s="46" t="s">
        <v>51563</v>
      </c>
      <c r="C1438" s="58" t="str">
        <f>"15538389"</f>
        <v>15538389</v>
      </c>
      <c r="D1438" s="58" t="str">
        <f>"18780938"</f>
        <v>18780938</v>
      </c>
      <c r="E1438" s="46" t="s">
        <v>272</v>
      </c>
      <c r="F1438" s="46" t="s">
        <v>17759</v>
      </c>
      <c r="G1438" s="46" t="s">
        <v>50584</v>
      </c>
      <c r="H1438" s="48" t="s">
        <v>56716</v>
      </c>
      <c r="I1438" s="48" t="s">
        <v>50564</v>
      </c>
      <c r="J1438" s="48" t="s">
        <v>56716</v>
      </c>
      <c r="K1438" s="50" t="s">
        <v>56716</v>
      </c>
      <c r="L1438" s="48" t="s">
        <v>56716</v>
      </c>
    </row>
    <row r="1439" spans="1:12" s="37" customFormat="1" ht="11.25" x14ac:dyDescent="0.2">
      <c r="A1439" s="46" t="s">
        <v>12757</v>
      </c>
      <c r="B1439" s="46" t="s">
        <v>51564</v>
      </c>
      <c r="C1439" s="58" t="str">
        <f>"17555914"</f>
        <v>17555914</v>
      </c>
      <c r="D1439" s="58" t="str">
        <f>"17555922"</f>
        <v>17555922</v>
      </c>
      <c r="E1439" s="46" t="s">
        <v>35</v>
      </c>
      <c r="F1439" s="46" t="s">
        <v>50646</v>
      </c>
      <c r="G1439" s="46" t="s">
        <v>50584</v>
      </c>
      <c r="H1439" s="48" t="s">
        <v>56716</v>
      </c>
      <c r="I1439" s="48" t="s">
        <v>50564</v>
      </c>
      <c r="J1439" s="48" t="s">
        <v>56716</v>
      </c>
      <c r="K1439" s="50"/>
      <c r="L1439" s="48" t="s">
        <v>56716</v>
      </c>
    </row>
    <row r="1440" spans="1:12" s="37" customFormat="1" ht="11.25" x14ac:dyDescent="0.2">
      <c r="A1440" s="46" t="s">
        <v>9297</v>
      </c>
      <c r="B1440" s="46" t="s">
        <v>51565</v>
      </c>
      <c r="C1440" s="58" t="str">
        <f>"15307905"</f>
        <v>15307905</v>
      </c>
      <c r="D1440" s="58" t="str">
        <f>"15590259"</f>
        <v>15590259</v>
      </c>
      <c r="E1440" s="46" t="s">
        <v>40314</v>
      </c>
      <c r="F1440" s="46" t="s">
        <v>17759</v>
      </c>
      <c r="G1440" s="46" t="s">
        <v>50584</v>
      </c>
      <c r="H1440" s="48" t="s">
        <v>56716</v>
      </c>
      <c r="I1440" s="48" t="s">
        <v>50564</v>
      </c>
      <c r="J1440" s="48" t="s">
        <v>56716</v>
      </c>
      <c r="K1440" s="50" t="s">
        <v>56716</v>
      </c>
      <c r="L1440" s="48" t="s">
        <v>56716</v>
      </c>
    </row>
    <row r="1441" spans="1:12" s="37" customFormat="1" ht="11.25" x14ac:dyDescent="0.2">
      <c r="A1441" s="46" t="s">
        <v>9667</v>
      </c>
      <c r="B1441" s="46" t="s">
        <v>51566</v>
      </c>
      <c r="C1441" s="58" t="str">
        <f>""</f>
        <v/>
      </c>
      <c r="D1441" s="58" t="str">
        <f>"14767120"</f>
        <v>14767120</v>
      </c>
      <c r="E1441" s="46" t="s">
        <v>2299</v>
      </c>
      <c r="F1441" s="46" t="s">
        <v>50646</v>
      </c>
      <c r="G1441" s="46" t="s">
        <v>50584</v>
      </c>
      <c r="H1441" s="48" t="s">
        <v>56716</v>
      </c>
      <c r="I1441" s="48" t="s">
        <v>50564</v>
      </c>
      <c r="J1441" s="48"/>
      <c r="K1441" s="50" t="s">
        <v>56716</v>
      </c>
      <c r="L1441" s="48" t="s">
        <v>56716</v>
      </c>
    </row>
    <row r="1442" spans="1:12" s="37" customFormat="1" ht="11.25" x14ac:dyDescent="0.2">
      <c r="A1442" s="45" t="s">
        <v>24346</v>
      </c>
      <c r="B1442" s="45" t="s">
        <v>24348</v>
      </c>
      <c r="C1442" s="51" t="s">
        <v>24350</v>
      </c>
      <c r="D1442" s="51"/>
      <c r="E1442" s="45" t="s">
        <v>20867</v>
      </c>
      <c r="F1442" s="45" t="s">
        <v>17759</v>
      </c>
      <c r="G1442" s="45" t="s">
        <v>50584</v>
      </c>
      <c r="H1442" s="56"/>
      <c r="I1442" s="56" t="s">
        <v>50564</v>
      </c>
      <c r="J1442" s="56"/>
      <c r="K1442" s="50"/>
      <c r="L1442" s="56" t="s">
        <v>56716</v>
      </c>
    </row>
    <row r="1443" spans="1:12" s="37" customFormat="1" ht="11.25" x14ac:dyDescent="0.2">
      <c r="A1443" s="45" t="s">
        <v>24353</v>
      </c>
      <c r="B1443" s="45" t="s">
        <v>24355</v>
      </c>
      <c r="C1443" s="51" t="s">
        <v>24357</v>
      </c>
      <c r="D1443" s="51" t="s">
        <v>24356</v>
      </c>
      <c r="E1443" s="45" t="s">
        <v>18176</v>
      </c>
      <c r="F1443" s="45" t="s">
        <v>18123</v>
      </c>
      <c r="G1443" s="45" t="s">
        <v>50584</v>
      </c>
      <c r="H1443" s="56"/>
      <c r="I1443" s="56" t="s">
        <v>50564</v>
      </c>
      <c r="J1443" s="56"/>
      <c r="K1443" s="50"/>
      <c r="L1443" s="56" t="s">
        <v>56716</v>
      </c>
    </row>
    <row r="1444" spans="1:12" s="37" customFormat="1" ht="11.25" x14ac:dyDescent="0.2">
      <c r="A1444" s="45" t="s">
        <v>24359</v>
      </c>
      <c r="B1444" s="45" t="s">
        <v>24361</v>
      </c>
      <c r="C1444" s="51" t="s">
        <v>24362</v>
      </c>
      <c r="D1444" s="51"/>
      <c r="E1444" s="45" t="s">
        <v>24363</v>
      </c>
      <c r="F1444" s="45" t="s">
        <v>17759</v>
      </c>
      <c r="G1444" s="45" t="s">
        <v>50584</v>
      </c>
      <c r="H1444" s="56"/>
      <c r="I1444" s="56" t="s">
        <v>50564</v>
      </c>
      <c r="J1444" s="56"/>
      <c r="K1444" s="50"/>
      <c r="L1444" s="56" t="s">
        <v>56716</v>
      </c>
    </row>
    <row r="1445" spans="1:12" s="37" customFormat="1" ht="11.25" x14ac:dyDescent="0.2">
      <c r="A1445" s="46" t="s">
        <v>15925</v>
      </c>
      <c r="B1445" s="46" t="s">
        <v>15925</v>
      </c>
      <c r="C1445" s="58" t="str">
        <f>"19476035"</f>
        <v>19476035</v>
      </c>
      <c r="D1445" s="58" t="str">
        <f>"19476043"</f>
        <v>19476043</v>
      </c>
      <c r="E1445" s="46" t="s">
        <v>493</v>
      </c>
      <c r="F1445" s="46" t="s">
        <v>17759</v>
      </c>
      <c r="G1445" s="46" t="s">
        <v>50584</v>
      </c>
      <c r="H1445" s="48" t="s">
        <v>56716</v>
      </c>
      <c r="I1445" s="48" t="s">
        <v>50564</v>
      </c>
      <c r="J1445" s="48"/>
      <c r="K1445" s="50"/>
      <c r="L1445" s="48"/>
    </row>
    <row r="1446" spans="1:12" s="37" customFormat="1" ht="11.25" x14ac:dyDescent="0.2">
      <c r="A1446" s="46" t="s">
        <v>17226</v>
      </c>
      <c r="B1446" s="46" t="s">
        <v>51567</v>
      </c>
      <c r="C1446" s="58" t="str">
        <f>"20906404"</f>
        <v>20906404</v>
      </c>
      <c r="D1446" s="58" t="str">
        <f>"20906412"</f>
        <v>20906412</v>
      </c>
      <c r="E1446" s="46" t="s">
        <v>1412</v>
      </c>
      <c r="F1446" s="46" t="s">
        <v>17759</v>
      </c>
      <c r="G1446" s="46" t="s">
        <v>50584</v>
      </c>
      <c r="H1446" s="48" t="s">
        <v>56716</v>
      </c>
      <c r="I1446" s="48" t="s">
        <v>50564</v>
      </c>
      <c r="J1446" s="48" t="s">
        <v>56716</v>
      </c>
      <c r="K1446" s="50"/>
      <c r="L1446" s="48"/>
    </row>
    <row r="1447" spans="1:12" s="37" customFormat="1" ht="11.25" x14ac:dyDescent="0.2">
      <c r="A1447" s="46" t="s">
        <v>14569</v>
      </c>
      <c r="B1447" s="46" t="s">
        <v>51568</v>
      </c>
      <c r="C1447" s="58" t="str">
        <f>""</f>
        <v/>
      </c>
      <c r="D1447" s="58" t="str">
        <f>"16626567"</f>
        <v>16626567</v>
      </c>
      <c r="E1447" s="46" t="s">
        <v>109</v>
      </c>
      <c r="F1447" s="46" t="s">
        <v>18123</v>
      </c>
      <c r="G1447" s="46" t="s">
        <v>50584</v>
      </c>
      <c r="H1447" s="48" t="s">
        <v>56716</v>
      </c>
      <c r="I1447" s="48" t="s">
        <v>50564</v>
      </c>
      <c r="J1447" s="48" t="s">
        <v>56716</v>
      </c>
      <c r="K1447" s="50"/>
      <c r="L1447" s="48"/>
    </row>
    <row r="1448" spans="1:12" s="37" customFormat="1" ht="11.25" x14ac:dyDescent="0.2">
      <c r="A1448" s="46" t="s">
        <v>17232</v>
      </c>
      <c r="B1448" s="46" t="s">
        <v>51569</v>
      </c>
      <c r="C1448" s="58" t="str">
        <f>"20906501"</f>
        <v>20906501</v>
      </c>
      <c r="D1448" s="58" t="str">
        <f>"2090651X"</f>
        <v>2090651X</v>
      </c>
      <c r="E1448" s="46" t="s">
        <v>1412</v>
      </c>
      <c r="F1448" s="46" t="s">
        <v>17759</v>
      </c>
      <c r="G1448" s="46" t="s">
        <v>50584</v>
      </c>
      <c r="H1448" s="48" t="s">
        <v>56716</v>
      </c>
      <c r="I1448" s="48" t="s">
        <v>50564</v>
      </c>
      <c r="J1448" s="48" t="s">
        <v>56716</v>
      </c>
      <c r="K1448" s="50"/>
      <c r="L1448" s="48"/>
    </row>
    <row r="1449" spans="1:12" s="37" customFormat="1" ht="11.25" x14ac:dyDescent="0.2">
      <c r="A1449" s="46" t="s">
        <v>14567</v>
      </c>
      <c r="B1449" s="46" t="s">
        <v>51570</v>
      </c>
      <c r="C1449" s="58" t="str">
        <f>""</f>
        <v/>
      </c>
      <c r="D1449" s="58" t="str">
        <f>"16620631"</f>
        <v>16620631</v>
      </c>
      <c r="E1449" s="46" t="s">
        <v>109</v>
      </c>
      <c r="F1449" s="46" t="s">
        <v>18123</v>
      </c>
      <c r="G1449" s="46" t="s">
        <v>50584</v>
      </c>
      <c r="H1449" s="48" t="s">
        <v>56716</v>
      </c>
      <c r="I1449" s="48" t="s">
        <v>50564</v>
      </c>
      <c r="J1449" s="48" t="s">
        <v>56716</v>
      </c>
      <c r="K1449" s="50"/>
      <c r="L1449" s="48"/>
    </row>
    <row r="1450" spans="1:12" s="37" customFormat="1" ht="11.25" x14ac:dyDescent="0.2">
      <c r="A1450" s="46" t="s">
        <v>17223</v>
      </c>
      <c r="B1450" s="46" t="s">
        <v>51571</v>
      </c>
      <c r="C1450" s="58" t="str">
        <f>"20906609"</f>
        <v>20906609</v>
      </c>
      <c r="D1450" s="58" t="str">
        <f>"20906617"</f>
        <v>20906617</v>
      </c>
      <c r="E1450" s="46" t="s">
        <v>1412</v>
      </c>
      <c r="F1450" s="46" t="s">
        <v>17759</v>
      </c>
      <c r="G1450" s="46" t="s">
        <v>50584</v>
      </c>
      <c r="H1450" s="48" t="s">
        <v>56716</v>
      </c>
      <c r="I1450" s="48" t="s">
        <v>50564</v>
      </c>
      <c r="J1450" s="48" t="s">
        <v>56716</v>
      </c>
      <c r="K1450" s="50"/>
      <c r="L1450" s="48"/>
    </row>
    <row r="1451" spans="1:12" s="37" customFormat="1" ht="11.25" x14ac:dyDescent="0.2">
      <c r="A1451" s="46" t="s">
        <v>15692</v>
      </c>
      <c r="B1451" s="46" t="s">
        <v>51572</v>
      </c>
      <c r="C1451" s="58" t="str">
        <f>"16879627"</f>
        <v>16879627</v>
      </c>
      <c r="D1451" s="58" t="str">
        <f>"16879635"</f>
        <v>16879635</v>
      </c>
      <c r="E1451" s="46" t="s">
        <v>1412</v>
      </c>
      <c r="F1451" s="46" t="s">
        <v>17759</v>
      </c>
      <c r="G1451" s="46" t="s">
        <v>50584</v>
      </c>
      <c r="H1451" s="48" t="s">
        <v>56716</v>
      </c>
      <c r="I1451" s="48" t="s">
        <v>50564</v>
      </c>
      <c r="J1451" s="48" t="s">
        <v>56716</v>
      </c>
      <c r="K1451" s="50"/>
      <c r="L1451" s="48"/>
    </row>
    <row r="1452" spans="1:12" s="37" customFormat="1" ht="11.25" x14ac:dyDescent="0.2">
      <c r="A1452" s="46" t="s">
        <v>55926</v>
      </c>
      <c r="B1452" s="46" t="s">
        <v>55927</v>
      </c>
      <c r="C1452" s="58" t="str">
        <f>""</f>
        <v/>
      </c>
      <c r="D1452" s="58" t="str">
        <f>"22969705"</f>
        <v>22969705</v>
      </c>
      <c r="E1452" s="46" t="s">
        <v>109</v>
      </c>
      <c r="F1452" s="46" t="s">
        <v>18123</v>
      </c>
      <c r="G1452" s="46" t="s">
        <v>50584</v>
      </c>
      <c r="H1452" s="48" t="s">
        <v>56716</v>
      </c>
      <c r="I1452" s="48" t="s">
        <v>50564</v>
      </c>
      <c r="J1452" s="48" t="s">
        <v>56716</v>
      </c>
      <c r="K1452" s="50"/>
      <c r="L1452" s="48"/>
    </row>
    <row r="1453" spans="1:12" s="37" customFormat="1" ht="11.25" x14ac:dyDescent="0.2">
      <c r="A1453" s="46" t="s">
        <v>14571</v>
      </c>
      <c r="B1453" s="46" t="s">
        <v>51573</v>
      </c>
      <c r="C1453" s="58" t="str">
        <f>"1662680X"</f>
        <v>1662680X</v>
      </c>
      <c r="D1453" s="58" t="str">
        <f>""</f>
        <v/>
      </c>
      <c r="E1453" s="46" t="s">
        <v>109</v>
      </c>
      <c r="F1453" s="46" t="s">
        <v>18123</v>
      </c>
      <c r="G1453" s="46" t="s">
        <v>50584</v>
      </c>
      <c r="H1453" s="48" t="s">
        <v>56716</v>
      </c>
      <c r="I1453" s="48" t="s">
        <v>50564</v>
      </c>
      <c r="J1453" s="48" t="s">
        <v>56716</v>
      </c>
      <c r="K1453" s="50"/>
      <c r="L1453" s="48"/>
    </row>
    <row r="1454" spans="1:12" s="37" customFormat="1" ht="11.25" x14ac:dyDescent="0.2">
      <c r="A1454" s="46" t="s">
        <v>17229</v>
      </c>
      <c r="B1454" s="46" t="s">
        <v>51574</v>
      </c>
      <c r="C1454" s="58" t="str">
        <f>"20906706"</f>
        <v>20906706</v>
      </c>
      <c r="D1454" s="58" t="str">
        <f>"20906714"</f>
        <v>20906714</v>
      </c>
      <c r="E1454" s="46" t="s">
        <v>1412</v>
      </c>
      <c r="F1454" s="46" t="s">
        <v>17759</v>
      </c>
      <c r="G1454" s="46" t="s">
        <v>50584</v>
      </c>
      <c r="H1454" s="48" t="s">
        <v>56716</v>
      </c>
      <c r="I1454" s="48" t="s">
        <v>50564</v>
      </c>
      <c r="J1454" s="48" t="s">
        <v>56716</v>
      </c>
      <c r="K1454" s="50"/>
      <c r="L1454" s="48"/>
    </row>
    <row r="1455" spans="1:12" s="37" customFormat="1" ht="11.25" x14ac:dyDescent="0.2">
      <c r="A1455" s="46" t="s">
        <v>14565</v>
      </c>
      <c r="B1455" s="46" t="s">
        <v>51575</v>
      </c>
      <c r="C1455" s="58" t="str">
        <f>""</f>
        <v/>
      </c>
      <c r="D1455" s="58" t="str">
        <f>"16626575"</f>
        <v>16626575</v>
      </c>
      <c r="E1455" s="46" t="s">
        <v>109</v>
      </c>
      <c r="F1455" s="46" t="s">
        <v>18123</v>
      </c>
      <c r="G1455" s="46" t="s">
        <v>50584</v>
      </c>
      <c r="H1455" s="48" t="s">
        <v>56716</v>
      </c>
      <c r="I1455" s="48" t="s">
        <v>50564</v>
      </c>
      <c r="J1455" s="48" t="s">
        <v>56716</v>
      </c>
      <c r="K1455" s="50"/>
      <c r="L1455" s="48"/>
    </row>
    <row r="1456" spans="1:12" s="37" customFormat="1" ht="11.25" x14ac:dyDescent="0.2">
      <c r="A1456" s="46" t="s">
        <v>14881</v>
      </c>
      <c r="B1456" s="46" t="s">
        <v>51576</v>
      </c>
      <c r="C1456" s="58" t="str">
        <f>""</f>
        <v/>
      </c>
      <c r="D1456" s="58" t="str">
        <f>"16632699"</f>
        <v>16632699</v>
      </c>
      <c r="E1456" s="46" t="s">
        <v>109</v>
      </c>
      <c r="F1456" s="46" t="s">
        <v>18123</v>
      </c>
      <c r="G1456" s="46" t="s">
        <v>50584</v>
      </c>
      <c r="H1456" s="48" t="s">
        <v>56716</v>
      </c>
      <c r="I1456" s="48" t="s">
        <v>50564</v>
      </c>
      <c r="J1456" s="48" t="s">
        <v>56716</v>
      </c>
      <c r="K1456" s="50"/>
      <c r="L1456" s="48"/>
    </row>
    <row r="1457" spans="1:12" s="37" customFormat="1" ht="11.25" x14ac:dyDescent="0.2">
      <c r="A1457" s="46" t="s">
        <v>56255</v>
      </c>
      <c r="B1457" s="46" t="s">
        <v>56256</v>
      </c>
      <c r="C1457" s="58" t="str">
        <f>"21928932"</f>
        <v>21928932</v>
      </c>
      <c r="D1457" s="58" t="str">
        <f>"21928959"</f>
        <v>21928959</v>
      </c>
      <c r="E1457" s="46" t="s">
        <v>56253</v>
      </c>
      <c r="F1457" s="46" t="s">
        <v>17967</v>
      </c>
      <c r="G1457" s="46" t="s">
        <v>50584</v>
      </c>
      <c r="H1457" s="48" t="s">
        <v>56716</v>
      </c>
      <c r="I1457" s="48" t="s">
        <v>50564</v>
      </c>
      <c r="J1457" s="48" t="s">
        <v>56716</v>
      </c>
      <c r="K1457" s="50"/>
      <c r="L1457" s="48"/>
    </row>
    <row r="1458" spans="1:12" s="37" customFormat="1" ht="11.25" x14ac:dyDescent="0.2">
      <c r="A1458" s="46" t="s">
        <v>56203</v>
      </c>
      <c r="B1458" s="46" t="s">
        <v>56204</v>
      </c>
      <c r="C1458" s="58" t="str">
        <f>"22149112"</f>
        <v>22149112</v>
      </c>
      <c r="D1458" s="58" t="str">
        <f>""</f>
        <v/>
      </c>
      <c r="E1458" s="46" t="s">
        <v>91</v>
      </c>
      <c r="F1458" s="46" t="s">
        <v>18001</v>
      </c>
      <c r="G1458" s="46" t="s">
        <v>50584</v>
      </c>
      <c r="H1458" s="48" t="s">
        <v>56716</v>
      </c>
      <c r="I1458" s="48" t="s">
        <v>50564</v>
      </c>
      <c r="J1458" s="48" t="s">
        <v>56716</v>
      </c>
      <c r="K1458" s="50" t="s">
        <v>56716</v>
      </c>
      <c r="L1458" s="48"/>
    </row>
    <row r="1459" spans="1:12" s="37" customFormat="1" ht="11.25" x14ac:dyDescent="0.2">
      <c r="A1459" s="46" t="s">
        <v>13119</v>
      </c>
      <c r="B1459" s="46" t="s">
        <v>51577</v>
      </c>
      <c r="C1459" s="58" t="str">
        <f>"17571626"</f>
        <v>17571626</v>
      </c>
      <c r="D1459" s="58" t="str">
        <f>"17571626"</f>
        <v>17571626</v>
      </c>
      <c r="E1459" s="46" t="s">
        <v>2299</v>
      </c>
      <c r="F1459" s="46" t="s">
        <v>50646</v>
      </c>
      <c r="G1459" s="46" t="s">
        <v>50584</v>
      </c>
      <c r="H1459" s="48" t="s">
        <v>56716</v>
      </c>
      <c r="I1459" s="48" t="s">
        <v>50564</v>
      </c>
      <c r="J1459" s="48"/>
      <c r="K1459" s="50"/>
      <c r="L1459" s="48"/>
    </row>
    <row r="1460" spans="1:12" s="37" customFormat="1" ht="11.25" x14ac:dyDescent="0.2">
      <c r="A1460" s="45" t="s">
        <v>24365</v>
      </c>
      <c r="B1460" s="45" t="s">
        <v>24367</v>
      </c>
      <c r="C1460" s="51" t="s">
        <v>24368</v>
      </c>
      <c r="D1460" s="51"/>
      <c r="E1460" s="45" t="s">
        <v>24369</v>
      </c>
      <c r="F1460" s="45" t="s">
        <v>18025</v>
      </c>
      <c r="G1460" s="45" t="s">
        <v>56508</v>
      </c>
      <c r="H1460" s="56"/>
      <c r="I1460" s="56" t="s">
        <v>50564</v>
      </c>
      <c r="J1460" s="56"/>
      <c r="K1460" s="50"/>
      <c r="L1460" s="56" t="s">
        <v>56716</v>
      </c>
    </row>
    <row r="1461" spans="1:12" s="37" customFormat="1" ht="11.25" x14ac:dyDescent="0.2">
      <c r="A1461" s="46" t="s">
        <v>15846</v>
      </c>
      <c r="B1461" s="46" t="s">
        <v>51578</v>
      </c>
      <c r="C1461" s="58" t="str">
        <f>"20086164"</f>
        <v>20086164</v>
      </c>
      <c r="D1461" s="58" t="str">
        <f>"20086172"</f>
        <v>20086172</v>
      </c>
      <c r="E1461" s="46" t="s">
        <v>14452</v>
      </c>
      <c r="F1461" s="46" t="s">
        <v>18232</v>
      </c>
      <c r="G1461" s="46" t="s">
        <v>50584</v>
      </c>
      <c r="H1461" s="48" t="s">
        <v>56716</v>
      </c>
      <c r="I1461" s="48" t="s">
        <v>50564</v>
      </c>
      <c r="J1461" s="48"/>
      <c r="K1461" s="50"/>
      <c r="L1461" s="48"/>
    </row>
    <row r="1462" spans="1:12" s="37" customFormat="1" ht="11.25" x14ac:dyDescent="0.2">
      <c r="A1462" s="46" t="s">
        <v>8157</v>
      </c>
      <c r="B1462" s="46" t="s">
        <v>51579</v>
      </c>
      <c r="C1462" s="58" t="str">
        <f>"15221946"</f>
        <v>15221946</v>
      </c>
      <c r="D1462" s="58" t="str">
        <f>"1522726X"</f>
        <v>1522726X</v>
      </c>
      <c r="E1462" s="46" t="s">
        <v>517</v>
      </c>
      <c r="F1462" s="46" t="s">
        <v>17759</v>
      </c>
      <c r="G1462" s="46" t="s">
        <v>50584</v>
      </c>
      <c r="H1462" s="48" t="s">
        <v>56716</v>
      </c>
      <c r="I1462" s="48" t="s">
        <v>50564</v>
      </c>
      <c r="J1462" s="48"/>
      <c r="K1462" s="50" t="s">
        <v>56716</v>
      </c>
      <c r="L1462" s="48" t="s">
        <v>56716</v>
      </c>
    </row>
    <row r="1463" spans="1:12" s="37" customFormat="1" ht="11.25" x14ac:dyDescent="0.2">
      <c r="A1463" s="45" t="s">
        <v>24377</v>
      </c>
      <c r="B1463" s="45" t="s">
        <v>24379</v>
      </c>
      <c r="C1463" s="51"/>
      <c r="D1463" s="51" t="s">
        <v>24381</v>
      </c>
      <c r="E1463" s="45" t="s">
        <v>5891</v>
      </c>
      <c r="F1463" s="45" t="s">
        <v>17759</v>
      </c>
      <c r="G1463" s="45" t="s">
        <v>50584</v>
      </c>
      <c r="H1463" s="56"/>
      <c r="I1463" s="56" t="s">
        <v>50564</v>
      </c>
      <c r="J1463" s="56"/>
      <c r="K1463" s="50"/>
      <c r="L1463" s="56" t="s">
        <v>56716</v>
      </c>
    </row>
    <row r="1464" spans="1:12" s="37" customFormat="1" ht="11.25" x14ac:dyDescent="0.2">
      <c r="A1464" s="45" t="s">
        <v>24384</v>
      </c>
      <c r="B1464" s="45" t="s">
        <v>24386</v>
      </c>
      <c r="C1464" s="51" t="s">
        <v>24388</v>
      </c>
      <c r="D1464" s="51"/>
      <c r="E1464" s="45" t="s">
        <v>24389</v>
      </c>
      <c r="F1464" s="45" t="s">
        <v>17759</v>
      </c>
      <c r="G1464" s="45" t="s">
        <v>50584</v>
      </c>
      <c r="H1464" s="56"/>
      <c r="I1464" s="56" t="s">
        <v>50564</v>
      </c>
      <c r="J1464" s="56"/>
      <c r="K1464" s="50"/>
      <c r="L1464" s="56" t="s">
        <v>56716</v>
      </c>
    </row>
    <row r="1465" spans="1:12" s="37" customFormat="1" ht="11.25" x14ac:dyDescent="0.2">
      <c r="A1465" s="46" t="s">
        <v>1028</v>
      </c>
      <c r="B1465" s="46" t="s">
        <v>1028</v>
      </c>
      <c r="C1465" s="58" t="str">
        <f>"00928674"</f>
        <v>00928674</v>
      </c>
      <c r="D1465" s="58" t="str">
        <f>"10974172"</f>
        <v>10974172</v>
      </c>
      <c r="E1465" s="46" t="s">
        <v>324</v>
      </c>
      <c r="F1465" s="46" t="s">
        <v>17759</v>
      </c>
      <c r="G1465" s="46" t="s">
        <v>50584</v>
      </c>
      <c r="H1465" s="48" t="s">
        <v>56716</v>
      </c>
      <c r="I1465" s="48" t="s">
        <v>50564</v>
      </c>
      <c r="J1465" s="48" t="s">
        <v>56716</v>
      </c>
      <c r="K1465" s="50" t="s">
        <v>56716</v>
      </c>
      <c r="L1465" s="48" t="s">
        <v>56716</v>
      </c>
    </row>
    <row r="1466" spans="1:12" s="37" customFormat="1" ht="11.25" x14ac:dyDescent="0.2">
      <c r="A1466" s="46" t="s">
        <v>13347</v>
      </c>
      <c r="B1466" s="46" t="s">
        <v>51580</v>
      </c>
      <c r="C1466" s="58" t="str">
        <f>"19336918"</f>
        <v>19336918</v>
      </c>
      <c r="D1466" s="58" t="str">
        <f>"19336926"</f>
        <v>19336926</v>
      </c>
      <c r="E1466" s="46" t="s">
        <v>669</v>
      </c>
      <c r="F1466" s="46" t="s">
        <v>17759</v>
      </c>
      <c r="G1466" s="46" t="s">
        <v>50584</v>
      </c>
      <c r="H1466" s="48" t="s">
        <v>56716</v>
      </c>
      <c r="I1466" s="48" t="s">
        <v>50564</v>
      </c>
      <c r="J1466" s="48"/>
      <c r="K1466" s="50"/>
      <c r="L1466" s="48" t="s">
        <v>56716</v>
      </c>
    </row>
    <row r="1467" spans="1:12" s="37" customFormat="1" ht="11.25" x14ac:dyDescent="0.2">
      <c r="A1467" s="45" t="s">
        <v>24398</v>
      </c>
      <c r="B1467" s="45" t="s">
        <v>24400</v>
      </c>
      <c r="C1467" s="51" t="s">
        <v>24402</v>
      </c>
      <c r="D1467" s="51" t="s">
        <v>24401</v>
      </c>
      <c r="E1467" s="45" t="s">
        <v>18876</v>
      </c>
      <c r="F1467" s="45" t="s">
        <v>18001</v>
      </c>
      <c r="G1467" s="45" t="s">
        <v>50584</v>
      </c>
      <c r="H1467" s="56"/>
      <c r="I1467" s="56" t="s">
        <v>50564</v>
      </c>
      <c r="J1467" s="56"/>
      <c r="K1467" s="50"/>
      <c r="L1467" s="56" t="s">
        <v>56716</v>
      </c>
    </row>
    <row r="1468" spans="1:12" s="37" customFormat="1" ht="11.25" x14ac:dyDescent="0.2">
      <c r="A1468" s="46" t="s">
        <v>1320</v>
      </c>
      <c r="B1468" s="46" t="s">
        <v>51581</v>
      </c>
      <c r="C1468" s="58" t="str">
        <f>"0302766X"</f>
        <v>0302766X</v>
      </c>
      <c r="D1468" s="58" t="str">
        <f>"14320878"</f>
        <v>14320878</v>
      </c>
      <c r="E1468" s="46" t="s">
        <v>167</v>
      </c>
      <c r="F1468" s="46" t="s">
        <v>18158</v>
      </c>
      <c r="G1468" s="46" t="s">
        <v>50584</v>
      </c>
      <c r="H1468" s="48" t="s">
        <v>56716</v>
      </c>
      <c r="I1468" s="48" t="s">
        <v>50564</v>
      </c>
      <c r="J1468" s="48" t="s">
        <v>56716</v>
      </c>
      <c r="K1468" s="50" t="s">
        <v>56716</v>
      </c>
      <c r="L1468" s="48" t="s">
        <v>56716</v>
      </c>
    </row>
    <row r="1469" spans="1:12" s="37" customFormat="1" ht="11.25" x14ac:dyDescent="0.2">
      <c r="A1469" s="45" t="s">
        <v>24410</v>
      </c>
      <c r="B1469" s="45" t="s">
        <v>24412</v>
      </c>
      <c r="C1469" s="51" t="s">
        <v>24415</v>
      </c>
      <c r="D1469" s="51" t="s">
        <v>24414</v>
      </c>
      <c r="E1469" s="45" t="s">
        <v>940</v>
      </c>
      <c r="F1469" s="45" t="s">
        <v>17759</v>
      </c>
      <c r="G1469" s="45" t="s">
        <v>50584</v>
      </c>
      <c r="H1469" s="56"/>
      <c r="I1469" s="56" t="s">
        <v>50564</v>
      </c>
      <c r="J1469" s="56"/>
      <c r="K1469" s="50"/>
      <c r="L1469" s="56" t="s">
        <v>56716</v>
      </c>
    </row>
    <row r="1470" spans="1:12" s="37" customFormat="1" ht="11.25" x14ac:dyDescent="0.2">
      <c r="A1470" s="46" t="s">
        <v>980</v>
      </c>
      <c r="B1470" s="46" t="s">
        <v>51582</v>
      </c>
      <c r="C1470" s="58" t="str">
        <f>"02636484"</f>
        <v>02636484</v>
      </c>
      <c r="D1470" s="58" t="str">
        <f>"10990844"</f>
        <v>10990844</v>
      </c>
      <c r="E1470" s="46" t="s">
        <v>751</v>
      </c>
      <c r="F1470" s="46" t="s">
        <v>50646</v>
      </c>
      <c r="G1470" s="46" t="s">
        <v>50584</v>
      </c>
      <c r="H1470" s="48" t="s">
        <v>56716</v>
      </c>
      <c r="I1470" s="48" t="s">
        <v>50564</v>
      </c>
      <c r="J1470" s="48" t="s">
        <v>56716</v>
      </c>
      <c r="K1470" s="50" t="s">
        <v>56716</v>
      </c>
      <c r="L1470" s="48" t="s">
        <v>56716</v>
      </c>
    </row>
    <row r="1471" spans="1:12" s="37" customFormat="1" ht="11.25" x14ac:dyDescent="0.2">
      <c r="A1471" s="46" t="s">
        <v>992</v>
      </c>
      <c r="B1471" s="46" t="s">
        <v>51583</v>
      </c>
      <c r="C1471" s="58" t="str">
        <f>"07422091"</f>
        <v>07422091</v>
      </c>
      <c r="D1471" s="58" t="str">
        <f>"15736822"</f>
        <v>15736822</v>
      </c>
      <c r="E1471" s="46" t="s">
        <v>18876</v>
      </c>
      <c r="F1471" s="46" t="s">
        <v>18001</v>
      </c>
      <c r="G1471" s="46" t="s">
        <v>50584</v>
      </c>
      <c r="H1471" s="48" t="s">
        <v>56716</v>
      </c>
      <c r="I1471" s="48" t="s">
        <v>50564</v>
      </c>
      <c r="J1471" s="48" t="s">
        <v>56716</v>
      </c>
      <c r="K1471" s="50" t="s">
        <v>56716</v>
      </c>
      <c r="L1471" s="48" t="s">
        <v>56716</v>
      </c>
    </row>
    <row r="1472" spans="1:12" s="37" customFormat="1" ht="11.25" x14ac:dyDescent="0.2">
      <c r="A1472" s="46" t="s">
        <v>6035</v>
      </c>
      <c r="B1472" s="46" t="s">
        <v>51584</v>
      </c>
      <c r="C1472" s="58" t="str">
        <f>"10656995"</f>
        <v>10656995</v>
      </c>
      <c r="D1472" s="58" t="str">
        <f>"10958355"</f>
        <v>10958355</v>
      </c>
      <c r="E1472" s="46" t="s">
        <v>555</v>
      </c>
      <c r="F1472" s="46" t="s">
        <v>50646</v>
      </c>
      <c r="G1472" s="46" t="s">
        <v>50584</v>
      </c>
      <c r="H1472" s="48" t="s">
        <v>56716</v>
      </c>
      <c r="I1472" s="48" t="s">
        <v>50564</v>
      </c>
      <c r="J1472" s="48"/>
      <c r="K1472" s="50" t="s">
        <v>56716</v>
      </c>
      <c r="L1472" s="48" t="s">
        <v>56716</v>
      </c>
    </row>
    <row r="1473" spans="1:12" s="37" customFormat="1" ht="11.25" x14ac:dyDescent="0.2">
      <c r="A1473" s="46" t="s">
        <v>50679</v>
      </c>
      <c r="B1473" s="46" t="s">
        <v>51585</v>
      </c>
      <c r="C1473" s="58" t="str">
        <f>""</f>
        <v/>
      </c>
      <c r="D1473" s="58" t="str">
        <f>"20415346"</f>
        <v>20415346</v>
      </c>
      <c r="E1473" s="46" t="s">
        <v>751</v>
      </c>
      <c r="F1473" s="46" t="s">
        <v>50646</v>
      </c>
      <c r="G1473" s="46" t="s">
        <v>50584</v>
      </c>
      <c r="H1473" s="48" t="s">
        <v>56716</v>
      </c>
      <c r="I1473" s="48" t="s">
        <v>50564</v>
      </c>
      <c r="J1473" s="48" t="s">
        <v>56716</v>
      </c>
      <c r="K1473" s="50" t="s">
        <v>56716</v>
      </c>
      <c r="L1473" s="48"/>
    </row>
    <row r="1474" spans="1:12" s="37" customFormat="1" ht="11.25" x14ac:dyDescent="0.2">
      <c r="A1474" s="46" t="s">
        <v>1022</v>
      </c>
      <c r="B1474" s="46" t="s">
        <v>1022</v>
      </c>
      <c r="C1474" s="58" t="str">
        <f>"01434160"</f>
        <v>01434160</v>
      </c>
      <c r="D1474" s="58" t="str">
        <f>"15321991"</f>
        <v>15321991</v>
      </c>
      <c r="E1474" s="46" t="s">
        <v>831</v>
      </c>
      <c r="F1474" s="46" t="s">
        <v>50646</v>
      </c>
      <c r="G1474" s="46" t="s">
        <v>50584</v>
      </c>
      <c r="H1474" s="48" t="s">
        <v>56716</v>
      </c>
      <c r="I1474" s="48" t="s">
        <v>50564</v>
      </c>
      <c r="J1474" s="48" t="s">
        <v>56716</v>
      </c>
      <c r="K1474" s="50" t="s">
        <v>56716</v>
      </c>
      <c r="L1474" s="48" t="s">
        <v>56716</v>
      </c>
    </row>
    <row r="1475" spans="1:12" s="37" customFormat="1" ht="11.25" x14ac:dyDescent="0.2">
      <c r="A1475" s="46" t="s">
        <v>9349</v>
      </c>
      <c r="B1475" s="46" t="s">
        <v>51586</v>
      </c>
      <c r="C1475" s="58" t="str">
        <f>"15419061"</f>
        <v>15419061</v>
      </c>
      <c r="D1475" s="58" t="str">
        <f>"15435180"</f>
        <v>15435180</v>
      </c>
      <c r="E1475" s="46" t="s">
        <v>291</v>
      </c>
      <c r="F1475" s="46" t="s">
        <v>50646</v>
      </c>
      <c r="G1475" s="46" t="s">
        <v>50584</v>
      </c>
      <c r="H1475" s="48" t="s">
        <v>56716</v>
      </c>
      <c r="I1475" s="48" t="s">
        <v>50564</v>
      </c>
      <c r="J1475" s="48" t="s">
        <v>56716</v>
      </c>
      <c r="K1475" s="50"/>
      <c r="L1475" s="48" t="s">
        <v>56716</v>
      </c>
    </row>
    <row r="1476" spans="1:12" s="37" customFormat="1" ht="11.25" x14ac:dyDescent="0.2">
      <c r="A1476" s="46" t="s">
        <v>11040</v>
      </c>
      <c r="B1476" s="46" t="s">
        <v>51587</v>
      </c>
      <c r="C1476" s="58" t="str">
        <f>""</f>
        <v/>
      </c>
      <c r="D1476" s="58" t="str">
        <f>"1478811X"</f>
        <v>1478811X</v>
      </c>
      <c r="E1476" s="46" t="s">
        <v>2299</v>
      </c>
      <c r="F1476" s="46" t="s">
        <v>50646</v>
      </c>
      <c r="G1476" s="46" t="s">
        <v>50584</v>
      </c>
      <c r="H1476" s="48" t="s">
        <v>56716</v>
      </c>
      <c r="I1476" s="48" t="s">
        <v>50564</v>
      </c>
      <c r="J1476" s="48" t="s">
        <v>56716</v>
      </c>
      <c r="K1476" s="50" t="s">
        <v>56716</v>
      </c>
      <c r="L1476" s="48" t="s">
        <v>56716</v>
      </c>
    </row>
    <row r="1477" spans="1:12" s="37" customFormat="1" ht="11.25" x14ac:dyDescent="0.2">
      <c r="A1477" s="46" t="s">
        <v>10370</v>
      </c>
      <c r="B1477" s="46" t="s">
        <v>10370</v>
      </c>
      <c r="C1477" s="58" t="str">
        <f>"15384101"</f>
        <v>15384101</v>
      </c>
      <c r="D1477" s="58" t="str">
        <f>"15514005"</f>
        <v>15514005</v>
      </c>
      <c r="E1477" s="46" t="s">
        <v>669</v>
      </c>
      <c r="F1477" s="46" t="s">
        <v>17759</v>
      </c>
      <c r="G1477" s="46" t="s">
        <v>50584</v>
      </c>
      <c r="H1477" s="48" t="s">
        <v>56716</v>
      </c>
      <c r="I1477" s="48" t="s">
        <v>50564</v>
      </c>
      <c r="J1477" s="48"/>
      <c r="K1477" s="50"/>
      <c r="L1477" s="48" t="s">
        <v>56716</v>
      </c>
    </row>
    <row r="1478" spans="1:12" s="37" customFormat="1" ht="11.25" x14ac:dyDescent="0.2">
      <c r="A1478" s="46" t="s">
        <v>6848</v>
      </c>
      <c r="B1478" s="46" t="s">
        <v>51588</v>
      </c>
      <c r="C1478" s="58" t="str">
        <f>"13509047"</f>
        <v>13509047</v>
      </c>
      <c r="D1478" s="58" t="str">
        <f>"14765403"</f>
        <v>14765403</v>
      </c>
      <c r="E1478" s="46" t="s">
        <v>315</v>
      </c>
      <c r="F1478" s="46" t="s">
        <v>50646</v>
      </c>
      <c r="G1478" s="46" t="s">
        <v>50584</v>
      </c>
      <c r="H1478" s="48" t="s">
        <v>56716</v>
      </c>
      <c r="I1478" s="48" t="s">
        <v>50564</v>
      </c>
      <c r="J1478" s="48" t="s">
        <v>56716</v>
      </c>
      <c r="K1478" s="50" t="s">
        <v>56716</v>
      </c>
      <c r="L1478" s="48" t="s">
        <v>56716</v>
      </c>
    </row>
    <row r="1479" spans="1:12" s="37" customFormat="1" ht="11.25" x14ac:dyDescent="0.2">
      <c r="A1479" s="46" t="s">
        <v>14588</v>
      </c>
      <c r="B1479" s="46" t="s">
        <v>51589</v>
      </c>
      <c r="C1479" s="58" t="str">
        <f>""</f>
        <v/>
      </c>
      <c r="D1479" s="58" t="str">
        <f>"20414889"</f>
        <v>20414889</v>
      </c>
      <c r="E1479" s="46" t="s">
        <v>315</v>
      </c>
      <c r="F1479" s="46" t="s">
        <v>50646</v>
      </c>
      <c r="G1479" s="46" t="s">
        <v>50584</v>
      </c>
      <c r="H1479" s="48" t="s">
        <v>56716</v>
      </c>
      <c r="I1479" s="48" t="s">
        <v>50564</v>
      </c>
      <c r="J1479" s="48" t="s">
        <v>56716</v>
      </c>
      <c r="K1479" s="50"/>
      <c r="L1479" s="48" t="s">
        <v>56716</v>
      </c>
    </row>
    <row r="1480" spans="1:12" s="37" customFormat="1" ht="11.25" x14ac:dyDescent="0.2">
      <c r="A1480" s="46" t="s">
        <v>14722</v>
      </c>
      <c r="B1480" s="46" t="s">
        <v>51590</v>
      </c>
      <c r="C1480" s="58" t="str">
        <f>""</f>
        <v/>
      </c>
      <c r="D1480" s="58" t="str">
        <f>"11791330"</f>
        <v>11791330</v>
      </c>
      <c r="E1480" s="46" t="s">
        <v>11079</v>
      </c>
      <c r="F1480" s="46" t="s">
        <v>19483</v>
      </c>
      <c r="G1480" s="46" t="s">
        <v>50584</v>
      </c>
      <c r="H1480" s="48" t="s">
        <v>56716</v>
      </c>
      <c r="I1480" s="48" t="s">
        <v>50564</v>
      </c>
      <c r="J1480" s="48"/>
      <c r="K1480" s="50"/>
      <c r="L1480" s="48"/>
    </row>
    <row r="1481" spans="1:12" s="37" customFormat="1" ht="11.25" x14ac:dyDescent="0.2">
      <c r="A1481" s="46" t="s">
        <v>12053</v>
      </c>
      <c r="B1481" s="46" t="s">
        <v>12053</v>
      </c>
      <c r="C1481" s="58" t="str">
        <f>"19313128"</f>
        <v>19313128</v>
      </c>
      <c r="D1481" s="58" t="str">
        <f>"19346069"</f>
        <v>19346069</v>
      </c>
      <c r="E1481" s="46" t="s">
        <v>324</v>
      </c>
      <c r="F1481" s="46" t="s">
        <v>17759</v>
      </c>
      <c r="G1481" s="46" t="s">
        <v>50584</v>
      </c>
      <c r="H1481" s="48" t="s">
        <v>56716</v>
      </c>
      <c r="I1481" s="48" t="s">
        <v>50564</v>
      </c>
      <c r="J1481" s="48" t="s">
        <v>56716</v>
      </c>
      <c r="K1481" s="50" t="s">
        <v>56716</v>
      </c>
      <c r="L1481" s="48" t="s">
        <v>56716</v>
      </c>
    </row>
    <row r="1482" spans="1:12" s="37" customFormat="1" ht="11.25" x14ac:dyDescent="0.2">
      <c r="A1482" s="46" t="s">
        <v>15527</v>
      </c>
      <c r="B1482" s="46" t="s">
        <v>51591</v>
      </c>
      <c r="C1482" s="58" t="str">
        <f>"22285806"</f>
        <v>22285806</v>
      </c>
      <c r="D1482" s="58" t="str">
        <f>"22285814"</f>
        <v>22285814</v>
      </c>
      <c r="E1482" s="46" t="s">
        <v>12597</v>
      </c>
      <c r="F1482" s="46" t="s">
        <v>18232</v>
      </c>
      <c r="G1482" s="46" t="s">
        <v>50584</v>
      </c>
      <c r="H1482" s="48" t="s">
        <v>56716</v>
      </c>
      <c r="I1482" s="48" t="s">
        <v>50564</v>
      </c>
      <c r="J1482" s="48"/>
      <c r="K1482" s="50"/>
      <c r="L1482" s="48"/>
    </row>
    <row r="1483" spans="1:12" s="37" customFormat="1" ht="11.25" x14ac:dyDescent="0.2">
      <c r="A1483" s="46" t="s">
        <v>13500</v>
      </c>
      <c r="B1483" s="46" t="s">
        <v>51592</v>
      </c>
      <c r="C1483" s="58" t="str">
        <f>"1308416X"</f>
        <v>1308416X</v>
      </c>
      <c r="D1483" s="58" t="str">
        <f>"13084178"</f>
        <v>13084178</v>
      </c>
      <c r="E1483" s="46" t="s">
        <v>13503</v>
      </c>
      <c r="F1483" s="46" t="s">
        <v>18396</v>
      </c>
      <c r="G1483" s="46" t="s">
        <v>50584</v>
      </c>
      <c r="H1483" s="48" t="s">
        <v>56716</v>
      </c>
      <c r="I1483" s="48" t="s">
        <v>50564</v>
      </c>
      <c r="J1483" s="48"/>
      <c r="K1483" s="50"/>
      <c r="L1483" s="48"/>
    </row>
    <row r="1484" spans="1:12" s="37" customFormat="1" ht="11.25" x14ac:dyDescent="0.2">
      <c r="A1484" s="46" t="s">
        <v>11061</v>
      </c>
      <c r="B1484" s="46" t="s">
        <v>51593</v>
      </c>
      <c r="C1484" s="58" t="str">
        <f>"15504131"</f>
        <v>15504131</v>
      </c>
      <c r="D1484" s="58" t="str">
        <f>"19327420"</f>
        <v>19327420</v>
      </c>
      <c r="E1484" s="46" t="s">
        <v>324</v>
      </c>
      <c r="F1484" s="46" t="s">
        <v>17759</v>
      </c>
      <c r="G1484" s="46" t="s">
        <v>50584</v>
      </c>
      <c r="H1484" s="48" t="s">
        <v>56716</v>
      </c>
      <c r="I1484" s="48" t="s">
        <v>50564</v>
      </c>
      <c r="J1484" s="48" t="s">
        <v>56716</v>
      </c>
      <c r="K1484" s="50" t="s">
        <v>56716</v>
      </c>
      <c r="L1484" s="48" t="s">
        <v>56716</v>
      </c>
    </row>
    <row r="1485" spans="1:12" s="37" customFormat="1" ht="11.25" x14ac:dyDescent="0.2">
      <c r="A1485" s="46" t="s">
        <v>5436</v>
      </c>
      <c r="B1485" s="46" t="s">
        <v>51594</v>
      </c>
      <c r="C1485" s="58" t="str">
        <f>"09607722"</f>
        <v>09607722</v>
      </c>
      <c r="D1485" s="58" t="str">
        <f>"13652184"</f>
        <v>13652184</v>
      </c>
      <c r="E1485" s="46" t="s">
        <v>35</v>
      </c>
      <c r="F1485" s="46" t="s">
        <v>50646</v>
      </c>
      <c r="G1485" s="46" t="s">
        <v>50584</v>
      </c>
      <c r="H1485" s="48" t="s">
        <v>56716</v>
      </c>
      <c r="I1485" s="48" t="s">
        <v>50564</v>
      </c>
      <c r="J1485" s="48"/>
      <c r="K1485" s="50" t="s">
        <v>56716</v>
      </c>
      <c r="L1485" s="48" t="s">
        <v>56716</v>
      </c>
    </row>
    <row r="1486" spans="1:12" s="37" customFormat="1" ht="11.25" x14ac:dyDescent="0.2">
      <c r="A1486" s="46" t="s">
        <v>16623</v>
      </c>
      <c r="B1486" s="46" t="s">
        <v>51595</v>
      </c>
      <c r="C1486" s="58" t="str">
        <f>""</f>
        <v/>
      </c>
      <c r="D1486" s="58" t="str">
        <f>"20459769"</f>
        <v>20459769</v>
      </c>
      <c r="E1486" s="46" t="s">
        <v>2299</v>
      </c>
      <c r="F1486" s="46" t="s">
        <v>50646</v>
      </c>
      <c r="G1486" s="46" t="s">
        <v>50584</v>
      </c>
      <c r="H1486" s="48" t="s">
        <v>56716</v>
      </c>
      <c r="I1486" s="48" t="s">
        <v>50564</v>
      </c>
      <c r="J1486" s="48" t="s">
        <v>56716</v>
      </c>
      <c r="K1486" s="50"/>
      <c r="L1486" s="48"/>
    </row>
    <row r="1487" spans="1:12" s="37" customFormat="1" ht="11.25" x14ac:dyDescent="0.2">
      <c r="A1487" s="46" t="s">
        <v>16000</v>
      </c>
      <c r="B1487" s="46" t="s">
        <v>51596</v>
      </c>
      <c r="C1487" s="58" t="str">
        <f>""</f>
        <v/>
      </c>
      <c r="D1487" s="58" t="str">
        <f>"22111247"</f>
        <v>22111247</v>
      </c>
      <c r="E1487" s="46" t="s">
        <v>91</v>
      </c>
      <c r="F1487" s="46" t="s">
        <v>18001</v>
      </c>
      <c r="G1487" s="46" t="s">
        <v>50584</v>
      </c>
      <c r="H1487" s="48" t="s">
        <v>56716</v>
      </c>
      <c r="I1487" s="48" t="s">
        <v>50564</v>
      </c>
      <c r="J1487" s="48" t="s">
        <v>56716</v>
      </c>
      <c r="K1487" s="50" t="s">
        <v>56716</v>
      </c>
      <c r="L1487" s="48" t="s">
        <v>56716</v>
      </c>
    </row>
    <row r="1488" spans="1:12" s="37" customFormat="1" ht="11.25" x14ac:dyDescent="0.2">
      <c r="A1488" s="45" t="s">
        <v>24477</v>
      </c>
      <c r="B1488" s="45" t="s">
        <v>24479</v>
      </c>
      <c r="C1488" s="51" t="s">
        <v>24481</v>
      </c>
      <c r="D1488" s="51" t="s">
        <v>24480</v>
      </c>
      <c r="E1488" s="45" t="s">
        <v>315</v>
      </c>
      <c r="F1488" s="45" t="s">
        <v>50646</v>
      </c>
      <c r="G1488" s="45" t="s">
        <v>50584</v>
      </c>
      <c r="H1488" s="56"/>
      <c r="I1488" s="56" t="s">
        <v>50564</v>
      </c>
      <c r="J1488" s="56"/>
      <c r="K1488" s="50"/>
      <c r="L1488" s="56" t="s">
        <v>56716</v>
      </c>
    </row>
    <row r="1489" spans="1:12" s="37" customFormat="1" ht="11.25" x14ac:dyDescent="0.2">
      <c r="A1489" s="46" t="s">
        <v>12056</v>
      </c>
      <c r="B1489" s="46" t="s">
        <v>12056</v>
      </c>
      <c r="C1489" s="58" t="str">
        <f>"19345909"</f>
        <v>19345909</v>
      </c>
      <c r="D1489" s="58" t="str">
        <f>"18759777"</f>
        <v>18759777</v>
      </c>
      <c r="E1489" s="46" t="s">
        <v>324</v>
      </c>
      <c r="F1489" s="46" t="s">
        <v>17759</v>
      </c>
      <c r="G1489" s="46" t="s">
        <v>50584</v>
      </c>
      <c r="H1489" s="48" t="s">
        <v>56716</v>
      </c>
      <c r="I1489" s="48" t="s">
        <v>50564</v>
      </c>
      <c r="J1489" s="48" t="s">
        <v>56716</v>
      </c>
      <c r="K1489" s="50" t="s">
        <v>56716</v>
      </c>
      <c r="L1489" s="48" t="s">
        <v>56716</v>
      </c>
    </row>
    <row r="1490" spans="1:12" s="37" customFormat="1" ht="11.25" x14ac:dyDescent="0.2">
      <c r="A1490" s="46" t="s">
        <v>7150</v>
      </c>
      <c r="B1490" s="46" t="s">
        <v>24488</v>
      </c>
      <c r="C1490" s="58" t="str">
        <f>"13558145"</f>
        <v>13558145</v>
      </c>
      <c r="D1490" s="58" t="str">
        <f>"14661268"</f>
        <v>14661268</v>
      </c>
      <c r="E1490" s="46" t="s">
        <v>7150</v>
      </c>
      <c r="F1490" s="46" t="s">
        <v>17759</v>
      </c>
      <c r="G1490" s="46" t="s">
        <v>50584</v>
      </c>
      <c r="H1490" s="48" t="s">
        <v>56716</v>
      </c>
      <c r="I1490" s="48" t="s">
        <v>50564</v>
      </c>
      <c r="J1490" s="48" t="s">
        <v>56716</v>
      </c>
      <c r="K1490" s="50" t="s">
        <v>56716</v>
      </c>
      <c r="L1490" s="48" t="s">
        <v>56716</v>
      </c>
    </row>
    <row r="1491" spans="1:12" s="37" customFormat="1" ht="11.25" x14ac:dyDescent="0.2">
      <c r="A1491" s="46" t="s">
        <v>1301</v>
      </c>
      <c r="B1491" s="46" t="s">
        <v>51597</v>
      </c>
      <c r="C1491" s="58" t="str">
        <f>"03867196"</f>
        <v>03867196</v>
      </c>
      <c r="D1491" s="58" t="str">
        <f>"13473700"</f>
        <v>13473700</v>
      </c>
      <c r="E1491" s="46" t="s">
        <v>1304</v>
      </c>
      <c r="F1491" s="46" t="s">
        <v>18242</v>
      </c>
      <c r="G1491" s="46" t="s">
        <v>50584</v>
      </c>
      <c r="H1491" s="48" t="s">
        <v>56716</v>
      </c>
      <c r="I1491" s="48" t="s">
        <v>50564</v>
      </c>
      <c r="J1491" s="48" t="s">
        <v>56716</v>
      </c>
      <c r="K1491" s="50"/>
      <c r="L1491" s="48" t="s">
        <v>56716</v>
      </c>
    </row>
    <row r="1492" spans="1:12" s="37" customFormat="1" ht="11.25" x14ac:dyDescent="0.2">
      <c r="A1492" s="46" t="s">
        <v>56323</v>
      </c>
      <c r="B1492" s="46" t="s">
        <v>56324</v>
      </c>
      <c r="C1492" s="58" t="str">
        <f>""</f>
        <v/>
      </c>
      <c r="D1492" s="58" t="str">
        <f>"24054712"</f>
        <v>24054712</v>
      </c>
      <c r="E1492" s="46" t="s">
        <v>324</v>
      </c>
      <c r="F1492" s="46" t="s">
        <v>17759</v>
      </c>
      <c r="G1492" s="46" t="s">
        <v>50584</v>
      </c>
      <c r="H1492" s="48" t="s">
        <v>56716</v>
      </c>
      <c r="I1492" s="48" t="s">
        <v>50564</v>
      </c>
      <c r="J1492" s="48" t="s">
        <v>56716</v>
      </c>
      <c r="K1492" s="50"/>
      <c r="L1492" s="48"/>
    </row>
    <row r="1493" spans="1:12" s="37" customFormat="1" ht="11.25" x14ac:dyDescent="0.2">
      <c r="A1493" s="46" t="s">
        <v>5764</v>
      </c>
      <c r="B1493" s="46" t="s">
        <v>51598</v>
      </c>
      <c r="C1493" s="58" t="str">
        <f>"09636897"</f>
        <v>09636897</v>
      </c>
      <c r="D1493" s="58" t="str">
        <f>""</f>
        <v/>
      </c>
      <c r="E1493" s="46" t="s">
        <v>5766</v>
      </c>
      <c r="F1493" s="46" t="s">
        <v>17759</v>
      </c>
      <c r="G1493" s="46" t="s">
        <v>50584</v>
      </c>
      <c r="H1493" s="48" t="s">
        <v>56716</v>
      </c>
      <c r="I1493" s="48" t="s">
        <v>50564</v>
      </c>
      <c r="J1493" s="48" t="s">
        <v>56716</v>
      </c>
      <c r="K1493" s="50"/>
      <c r="L1493" s="48" t="s">
        <v>56716</v>
      </c>
    </row>
    <row r="1494" spans="1:12" s="37" customFormat="1" ht="11.25" x14ac:dyDescent="0.2">
      <c r="A1494" s="46" t="s">
        <v>16708</v>
      </c>
      <c r="B1494" s="46" t="s">
        <v>16708</v>
      </c>
      <c r="C1494" s="58" t="str">
        <f>""</f>
        <v/>
      </c>
      <c r="D1494" s="58" t="str">
        <f>"20734409"</f>
        <v>20734409</v>
      </c>
      <c r="E1494" s="46" t="s">
        <v>4152</v>
      </c>
      <c r="F1494" s="46" t="s">
        <v>18123</v>
      </c>
      <c r="G1494" s="46" t="s">
        <v>50584</v>
      </c>
      <c r="H1494" s="48" t="s">
        <v>56716</v>
      </c>
      <c r="I1494" s="48" t="s">
        <v>50564</v>
      </c>
      <c r="J1494" s="48"/>
      <c r="K1494" s="50"/>
      <c r="L1494" s="48"/>
    </row>
    <row r="1495" spans="1:12" s="37" customFormat="1" ht="11.25" x14ac:dyDescent="0.2">
      <c r="A1495" s="46" t="s">
        <v>8117</v>
      </c>
      <c r="B1495" s="46" t="s">
        <v>8117</v>
      </c>
      <c r="C1495" s="58" t="str">
        <f>"14226405"</f>
        <v>14226405</v>
      </c>
      <c r="D1495" s="58" t="str">
        <f>"14226421"</f>
        <v>14226421</v>
      </c>
      <c r="E1495" s="46" t="s">
        <v>109</v>
      </c>
      <c r="F1495" s="46" t="s">
        <v>18123</v>
      </c>
      <c r="G1495" s="46" t="s">
        <v>50584</v>
      </c>
      <c r="H1495" s="48" t="s">
        <v>56716</v>
      </c>
      <c r="I1495" s="48" t="s">
        <v>50564</v>
      </c>
      <c r="J1495" s="48" t="s">
        <v>56716</v>
      </c>
      <c r="K1495" s="50" t="s">
        <v>56716</v>
      </c>
      <c r="L1495" s="48" t="s">
        <v>56716</v>
      </c>
    </row>
    <row r="1496" spans="1:12" s="37" customFormat="1" ht="11.25" x14ac:dyDescent="0.2">
      <c r="A1496" s="46" t="s">
        <v>13038</v>
      </c>
      <c r="B1496" s="46" t="s">
        <v>51599</v>
      </c>
      <c r="C1496" s="58" t="str">
        <f>"18655025"</f>
        <v>18655025</v>
      </c>
      <c r="D1496" s="58" t="str">
        <f>"18655033"</f>
        <v>18655033</v>
      </c>
      <c r="E1496" s="46" t="s">
        <v>56305</v>
      </c>
      <c r="F1496" s="46" t="s">
        <v>17759</v>
      </c>
      <c r="G1496" s="46" t="s">
        <v>50584</v>
      </c>
      <c r="H1496" s="48" t="s">
        <v>56716</v>
      </c>
      <c r="I1496" s="48" t="s">
        <v>50564</v>
      </c>
      <c r="J1496" s="48" t="s">
        <v>56716</v>
      </c>
      <c r="K1496" s="50" t="s">
        <v>56716</v>
      </c>
      <c r="L1496" s="48"/>
    </row>
    <row r="1497" spans="1:12" s="37" customFormat="1" ht="11.25" x14ac:dyDescent="0.2">
      <c r="A1497" s="46" t="s">
        <v>1195</v>
      </c>
      <c r="B1497" s="46" t="s">
        <v>51600</v>
      </c>
      <c r="C1497" s="58" t="str">
        <f>"01455680"</f>
        <v>01455680</v>
      </c>
      <c r="D1497" s="58" t="str">
        <f>"1165158X"</f>
        <v>1165158X</v>
      </c>
      <c r="E1497" s="46" t="s">
        <v>1198</v>
      </c>
      <c r="F1497" s="46" t="s">
        <v>20359</v>
      </c>
      <c r="G1497" s="46" t="s">
        <v>50584</v>
      </c>
      <c r="H1497" s="48" t="s">
        <v>56716</v>
      </c>
      <c r="I1497" s="48" t="s">
        <v>50564</v>
      </c>
      <c r="J1497" s="48"/>
      <c r="K1497" s="50"/>
      <c r="L1497" s="48" t="s">
        <v>56716</v>
      </c>
    </row>
    <row r="1498" spans="1:12" s="37" customFormat="1" ht="11.25" x14ac:dyDescent="0.2">
      <c r="A1498" s="46" t="s">
        <v>7652</v>
      </c>
      <c r="B1498" s="46" t="s">
        <v>51601</v>
      </c>
      <c r="C1498" s="58" t="str">
        <f>"14258153"</f>
        <v>14258153</v>
      </c>
      <c r="D1498" s="58" t="str">
        <f>"16891392"</f>
        <v>16891392</v>
      </c>
      <c r="E1498" s="46" t="s">
        <v>1887</v>
      </c>
      <c r="F1498" s="46" t="s">
        <v>18158</v>
      </c>
      <c r="G1498" s="46" t="s">
        <v>50584</v>
      </c>
      <c r="H1498" s="48" t="s">
        <v>56716</v>
      </c>
      <c r="I1498" s="48" t="s">
        <v>50564</v>
      </c>
      <c r="J1498" s="48"/>
      <c r="K1498" s="50"/>
      <c r="L1498" s="48" t="s">
        <v>56716</v>
      </c>
    </row>
    <row r="1499" spans="1:12" s="37" customFormat="1" ht="11.25" x14ac:dyDescent="0.2">
      <c r="A1499" s="46" t="s">
        <v>13760</v>
      </c>
      <c r="B1499" s="46" t="s">
        <v>51602</v>
      </c>
      <c r="C1499" s="58" t="str">
        <f>"16727681"</f>
        <v>16727681</v>
      </c>
      <c r="D1499" s="58" t="str">
        <f>""</f>
        <v/>
      </c>
      <c r="E1499" s="46" t="s">
        <v>55942</v>
      </c>
      <c r="F1499" s="46" t="s">
        <v>17958</v>
      </c>
      <c r="G1499" s="46" t="s">
        <v>50584</v>
      </c>
      <c r="H1499" s="48" t="s">
        <v>56716</v>
      </c>
      <c r="I1499" s="48" t="s">
        <v>50564</v>
      </c>
      <c r="J1499" s="48"/>
      <c r="K1499" s="50"/>
      <c r="L1499" s="48" t="s">
        <v>56716</v>
      </c>
    </row>
    <row r="1500" spans="1:12" s="37" customFormat="1" ht="11.25" x14ac:dyDescent="0.2">
      <c r="A1500" s="46" t="s">
        <v>7446</v>
      </c>
      <c r="B1500" s="46" t="s">
        <v>51603</v>
      </c>
      <c r="C1500" s="58" t="str">
        <f>"1420682X"</f>
        <v>1420682X</v>
      </c>
      <c r="D1500" s="58" t="str">
        <f>"14209071"</f>
        <v>14209071</v>
      </c>
      <c r="E1500" s="46" t="s">
        <v>55921</v>
      </c>
      <c r="F1500" s="46" t="s">
        <v>18123</v>
      </c>
      <c r="G1500" s="46" t="s">
        <v>50584</v>
      </c>
      <c r="H1500" s="48" t="s">
        <v>56716</v>
      </c>
      <c r="I1500" s="48" t="s">
        <v>50564</v>
      </c>
      <c r="J1500" s="48"/>
      <c r="K1500" s="50" t="s">
        <v>56716</v>
      </c>
      <c r="L1500" s="48" t="s">
        <v>56716</v>
      </c>
    </row>
    <row r="1501" spans="1:12" s="37" customFormat="1" ht="11.25" x14ac:dyDescent="0.2">
      <c r="A1501" s="46" t="s">
        <v>1201</v>
      </c>
      <c r="B1501" s="46" t="s">
        <v>51604</v>
      </c>
      <c r="C1501" s="58" t="str">
        <f>"02724340"</f>
        <v>02724340</v>
      </c>
      <c r="D1501" s="58" t="str">
        <f>"15736830"</f>
        <v>15736830</v>
      </c>
      <c r="E1501" s="46" t="s">
        <v>56305</v>
      </c>
      <c r="F1501" s="46" t="s">
        <v>17759</v>
      </c>
      <c r="G1501" s="46" t="s">
        <v>50584</v>
      </c>
      <c r="H1501" s="48" t="s">
        <v>56716</v>
      </c>
      <c r="I1501" s="48" t="s">
        <v>50564</v>
      </c>
      <c r="J1501" s="48" t="s">
        <v>56716</v>
      </c>
      <c r="K1501" s="50" t="s">
        <v>56716</v>
      </c>
      <c r="L1501" s="48" t="s">
        <v>56716</v>
      </c>
    </row>
    <row r="1502" spans="1:12" s="37" customFormat="1" ht="11.25" x14ac:dyDescent="0.2">
      <c r="A1502" s="46" t="s">
        <v>1152</v>
      </c>
      <c r="B1502" s="46" t="s">
        <v>51605</v>
      </c>
      <c r="C1502" s="58" t="str">
        <f>"00088749"</f>
        <v>00088749</v>
      </c>
      <c r="D1502" s="58" t="str">
        <f>"10902163"</f>
        <v>10902163</v>
      </c>
      <c r="E1502" s="46" t="s">
        <v>60</v>
      </c>
      <c r="F1502" s="46" t="s">
        <v>17759</v>
      </c>
      <c r="G1502" s="46" t="s">
        <v>50584</v>
      </c>
      <c r="H1502" s="48" t="s">
        <v>56716</v>
      </c>
      <c r="I1502" s="48" t="s">
        <v>50564</v>
      </c>
      <c r="J1502" s="48" t="s">
        <v>56716</v>
      </c>
      <c r="K1502" s="50" t="s">
        <v>56716</v>
      </c>
      <c r="L1502" s="48" t="s">
        <v>56716</v>
      </c>
    </row>
    <row r="1503" spans="1:12" s="37" customFormat="1" ht="11.25" x14ac:dyDescent="0.2">
      <c r="A1503" s="46" t="s">
        <v>15907</v>
      </c>
      <c r="B1503" s="46" t="s">
        <v>51606</v>
      </c>
      <c r="C1503" s="58" t="str">
        <f>"21592780"</f>
        <v>21592780</v>
      </c>
      <c r="D1503" s="58" t="str">
        <f>"21592799"</f>
        <v>21592799</v>
      </c>
      <c r="E1503" s="46" t="s">
        <v>669</v>
      </c>
      <c r="F1503" s="46" t="s">
        <v>17759</v>
      </c>
      <c r="G1503" s="46" t="s">
        <v>50584</v>
      </c>
      <c r="H1503" s="48" t="s">
        <v>56716</v>
      </c>
      <c r="I1503" s="48" t="s">
        <v>50564</v>
      </c>
      <c r="J1503" s="48"/>
      <c r="K1503" s="50"/>
      <c r="L1503" s="48"/>
    </row>
    <row r="1504" spans="1:12" s="37" customFormat="1" ht="11.25" x14ac:dyDescent="0.2">
      <c r="A1504" s="46" t="s">
        <v>8325</v>
      </c>
      <c r="B1504" s="46" t="s">
        <v>51607</v>
      </c>
      <c r="C1504" s="58" t="str">
        <f>"14625814"</f>
        <v>14625814</v>
      </c>
      <c r="D1504" s="58" t="str">
        <f>"14625822"</f>
        <v>14625822</v>
      </c>
      <c r="E1504" s="46" t="s">
        <v>35</v>
      </c>
      <c r="F1504" s="46" t="s">
        <v>50646</v>
      </c>
      <c r="G1504" s="46" t="s">
        <v>50584</v>
      </c>
      <c r="H1504" s="48" t="s">
        <v>56716</v>
      </c>
      <c r="I1504" s="48" t="s">
        <v>50564</v>
      </c>
      <c r="J1504" s="48" t="s">
        <v>56716</v>
      </c>
      <c r="K1504" s="50" t="s">
        <v>56716</v>
      </c>
      <c r="L1504" s="48" t="s">
        <v>56716</v>
      </c>
    </row>
    <row r="1505" spans="1:12" s="37" customFormat="1" ht="11.25" x14ac:dyDescent="0.2">
      <c r="A1505" s="46" t="s">
        <v>16507</v>
      </c>
      <c r="B1505" s="46" t="s">
        <v>51608</v>
      </c>
      <c r="C1505" s="58" t="str">
        <f>"22113428"</f>
        <v>22113428</v>
      </c>
      <c r="D1505" s="58" t="str">
        <f>"22113436"</f>
        <v>22113436</v>
      </c>
      <c r="E1505" s="46" t="s">
        <v>18876</v>
      </c>
      <c r="F1505" s="46" t="s">
        <v>18001</v>
      </c>
      <c r="G1505" s="46" t="s">
        <v>50584</v>
      </c>
      <c r="H1505" s="48" t="s">
        <v>56716</v>
      </c>
      <c r="I1505" s="48" t="s">
        <v>50564</v>
      </c>
      <c r="J1505" s="48" t="s">
        <v>56716</v>
      </c>
      <c r="K1505" s="50" t="s">
        <v>56716</v>
      </c>
      <c r="L1505" s="48" t="s">
        <v>56716</v>
      </c>
    </row>
    <row r="1506" spans="1:12" s="37" customFormat="1" ht="11.25" x14ac:dyDescent="0.2">
      <c r="A1506" s="46" t="s">
        <v>5289</v>
      </c>
      <c r="B1506" s="46" t="s">
        <v>51609</v>
      </c>
      <c r="C1506" s="58" t="str">
        <f>"10158987"</f>
        <v>10158987</v>
      </c>
      <c r="D1506" s="58" t="str">
        <f>"14219778"</f>
        <v>14219778</v>
      </c>
      <c r="E1506" s="46" t="s">
        <v>109</v>
      </c>
      <c r="F1506" s="46" t="s">
        <v>18123</v>
      </c>
      <c r="G1506" s="46" t="s">
        <v>50584</v>
      </c>
      <c r="H1506" s="48" t="s">
        <v>56716</v>
      </c>
      <c r="I1506" s="48" t="s">
        <v>50564</v>
      </c>
      <c r="J1506" s="48" t="s">
        <v>56716</v>
      </c>
      <c r="K1506" s="50" t="s">
        <v>56716</v>
      </c>
      <c r="L1506" s="48" t="s">
        <v>56716</v>
      </c>
    </row>
    <row r="1507" spans="1:12" s="37" customFormat="1" ht="11.25" x14ac:dyDescent="0.2">
      <c r="A1507" s="46" t="s">
        <v>14685</v>
      </c>
      <c r="B1507" s="46" t="s">
        <v>51610</v>
      </c>
      <c r="C1507" s="58" t="str">
        <f>"21524971"</f>
        <v>21524971</v>
      </c>
      <c r="D1507" s="58" t="str">
        <f>"21524998"</f>
        <v>21524998</v>
      </c>
      <c r="E1507" s="46" t="s">
        <v>4337</v>
      </c>
      <c r="F1507" s="46" t="s">
        <v>17759</v>
      </c>
      <c r="G1507" s="46" t="s">
        <v>50584</v>
      </c>
      <c r="H1507" s="48" t="s">
        <v>56716</v>
      </c>
      <c r="I1507" s="48" t="s">
        <v>50564</v>
      </c>
      <c r="J1507" s="48" t="s">
        <v>56716</v>
      </c>
      <c r="K1507" s="50"/>
      <c r="L1507" s="48" t="s">
        <v>56716</v>
      </c>
    </row>
    <row r="1508" spans="1:12" s="37" customFormat="1" ht="11.25" x14ac:dyDescent="0.2">
      <c r="A1508" s="46" t="s">
        <v>4855</v>
      </c>
      <c r="B1508" s="46" t="s">
        <v>51611</v>
      </c>
      <c r="C1508" s="58" t="str">
        <f>"08986568"</f>
        <v>08986568</v>
      </c>
      <c r="D1508" s="58" t="str">
        <f>"18733913"</f>
        <v>18733913</v>
      </c>
      <c r="E1508" s="46" t="s">
        <v>272</v>
      </c>
      <c r="F1508" s="46" t="s">
        <v>17759</v>
      </c>
      <c r="G1508" s="46" t="s">
        <v>50584</v>
      </c>
      <c r="H1508" s="48" t="s">
        <v>56716</v>
      </c>
      <c r="I1508" s="48" t="s">
        <v>50564</v>
      </c>
      <c r="J1508" s="48" t="s">
        <v>56716</v>
      </c>
      <c r="K1508" s="50" t="s">
        <v>56716</v>
      </c>
      <c r="L1508" s="48" t="s">
        <v>56716</v>
      </c>
    </row>
    <row r="1509" spans="1:12" s="37" customFormat="1" ht="11.25" x14ac:dyDescent="0.2">
      <c r="A1509" s="46" t="s">
        <v>13964</v>
      </c>
      <c r="B1509" s="46" t="s">
        <v>51612</v>
      </c>
      <c r="C1509" s="58" t="str">
        <f>"1867416X"</f>
        <v>1867416X</v>
      </c>
      <c r="D1509" s="58" t="str">
        <f>"18668836"</f>
        <v>18668836</v>
      </c>
      <c r="E1509" s="46" t="s">
        <v>13967</v>
      </c>
      <c r="F1509" s="46" t="s">
        <v>18158</v>
      </c>
      <c r="G1509" s="46" t="s">
        <v>50584</v>
      </c>
      <c r="H1509" s="48" t="s">
        <v>56716</v>
      </c>
      <c r="I1509" s="48" t="s">
        <v>50564</v>
      </c>
      <c r="J1509" s="48"/>
      <c r="K1509" s="50"/>
      <c r="L1509" s="48"/>
    </row>
    <row r="1510" spans="1:12" s="37" customFormat="1" ht="11.25" x14ac:dyDescent="0.2">
      <c r="A1510" s="46" t="s">
        <v>16447</v>
      </c>
      <c r="B1510" s="46" t="s">
        <v>51613</v>
      </c>
      <c r="C1510" s="58" t="str">
        <f>""</f>
        <v/>
      </c>
      <c r="D1510" s="58" t="str">
        <f>"21924449"</f>
        <v>21924449</v>
      </c>
      <c r="E1510" s="46" t="s">
        <v>23335</v>
      </c>
      <c r="F1510" s="46" t="s">
        <v>18242</v>
      </c>
      <c r="G1510" s="46" t="s">
        <v>50584</v>
      </c>
      <c r="H1510" s="48" t="s">
        <v>56716</v>
      </c>
      <c r="I1510" s="48" t="s">
        <v>50564</v>
      </c>
      <c r="J1510" s="48" t="s">
        <v>56716</v>
      </c>
      <c r="K1510" s="50"/>
      <c r="L1510" s="48"/>
    </row>
    <row r="1511" spans="1:12" s="37" customFormat="1" ht="11.25" x14ac:dyDescent="0.2">
      <c r="A1511" s="46" t="s">
        <v>50680</v>
      </c>
      <c r="B1511" s="46" t="s">
        <v>51614</v>
      </c>
      <c r="C1511" s="58" t="str">
        <f>"14263912"</f>
        <v>14263912</v>
      </c>
      <c r="D1511" s="58" t="str">
        <f>"16444124"</f>
        <v>16444124</v>
      </c>
      <c r="E1511" s="46" t="s">
        <v>3134</v>
      </c>
      <c r="F1511" s="46" t="s">
        <v>17967</v>
      </c>
      <c r="G1511" s="46" t="s">
        <v>50613</v>
      </c>
      <c r="H1511" s="48" t="s">
        <v>56716</v>
      </c>
      <c r="I1511" s="48" t="s">
        <v>50564</v>
      </c>
      <c r="J1511" s="48"/>
      <c r="K1511" s="50"/>
      <c r="L1511" s="48"/>
    </row>
    <row r="1512" spans="1:12" s="37" customFormat="1" ht="11.25" x14ac:dyDescent="0.2">
      <c r="A1512" s="45" t="s">
        <v>24571</v>
      </c>
      <c r="B1512" s="45" t="s">
        <v>24573</v>
      </c>
      <c r="C1512" s="51" t="s">
        <v>24575</v>
      </c>
      <c r="D1512" s="51"/>
      <c r="E1512" s="45" t="s">
        <v>24576</v>
      </c>
      <c r="F1512" s="45" t="s">
        <v>18025</v>
      </c>
      <c r="G1512" s="45" t="s">
        <v>50584</v>
      </c>
      <c r="H1512" s="56"/>
      <c r="I1512" s="56" t="s">
        <v>50564</v>
      </c>
      <c r="J1512" s="56"/>
      <c r="K1512" s="50"/>
      <c r="L1512" s="56" t="s">
        <v>56716</v>
      </c>
    </row>
    <row r="1513" spans="1:12" s="37" customFormat="1" ht="11.25" x14ac:dyDescent="0.2">
      <c r="A1513" s="46" t="s">
        <v>56277</v>
      </c>
      <c r="B1513" s="46" t="s">
        <v>56278</v>
      </c>
      <c r="C1513" s="58" t="str">
        <f>"20804806"</f>
        <v>20804806</v>
      </c>
      <c r="D1513" s="58" t="str">
        <f>"20804873"</f>
        <v>20804873</v>
      </c>
      <c r="E1513" s="46" t="s">
        <v>56279</v>
      </c>
      <c r="F1513" s="46" t="s">
        <v>17967</v>
      </c>
      <c r="G1513" s="46" t="s">
        <v>50584</v>
      </c>
      <c r="H1513" s="48" t="s">
        <v>56716</v>
      </c>
      <c r="I1513" s="48" t="s">
        <v>50564</v>
      </c>
      <c r="J1513" s="48"/>
      <c r="K1513" s="50"/>
      <c r="L1513" s="48"/>
    </row>
    <row r="1514" spans="1:12" s="37" customFormat="1" ht="11.25" x14ac:dyDescent="0.2">
      <c r="A1514" s="46" t="s">
        <v>17063</v>
      </c>
      <c r="B1514" s="46" t="s">
        <v>51615</v>
      </c>
      <c r="C1514" s="58" t="str">
        <f>"18684904"</f>
        <v>18684904</v>
      </c>
      <c r="D1514" s="58" t="str">
        <f>"18684912"</f>
        <v>18684912</v>
      </c>
      <c r="E1514" s="46" t="s">
        <v>412</v>
      </c>
      <c r="F1514" s="46" t="s">
        <v>18158</v>
      </c>
      <c r="G1514" s="46" t="s">
        <v>50593</v>
      </c>
      <c r="H1514" s="48" t="s">
        <v>56716</v>
      </c>
      <c r="I1514" s="48" t="s">
        <v>50564</v>
      </c>
      <c r="J1514" s="48"/>
      <c r="K1514" s="50"/>
      <c r="L1514" s="48"/>
    </row>
    <row r="1515" spans="1:12" s="37" customFormat="1" ht="11.25" x14ac:dyDescent="0.2">
      <c r="A1515" s="46" t="s">
        <v>10916</v>
      </c>
      <c r="B1515" s="46" t="s">
        <v>51616</v>
      </c>
      <c r="C1515" s="58" t="str">
        <f>"18715249"</f>
        <v>18715249</v>
      </c>
      <c r="D1515" s="58" t="str">
        <f>"18756166"</f>
        <v>18756166</v>
      </c>
      <c r="E1515" s="46" t="s">
        <v>6405</v>
      </c>
      <c r="F1515" s="46" t="s">
        <v>18001</v>
      </c>
      <c r="G1515" s="46" t="s">
        <v>50584</v>
      </c>
      <c r="H1515" s="48" t="s">
        <v>56716</v>
      </c>
      <c r="I1515" s="48" t="s">
        <v>50564</v>
      </c>
      <c r="J1515" s="48"/>
      <c r="K1515" s="50"/>
      <c r="L1515" s="48" t="s">
        <v>56716</v>
      </c>
    </row>
    <row r="1516" spans="1:12" s="37" customFormat="1" ht="11.25" x14ac:dyDescent="0.2">
      <c r="A1516" s="46" t="s">
        <v>1034</v>
      </c>
      <c r="B1516" s="46" t="s">
        <v>1034</v>
      </c>
      <c r="C1516" s="58" t="str">
        <f>"03331024"</f>
        <v>03331024</v>
      </c>
      <c r="D1516" s="58" t="str">
        <f>"14682982"</f>
        <v>14682982</v>
      </c>
      <c r="E1516" s="46" t="s">
        <v>97</v>
      </c>
      <c r="F1516" s="46" t="s">
        <v>50646</v>
      </c>
      <c r="G1516" s="46" t="s">
        <v>50584</v>
      </c>
      <c r="H1516" s="48" t="s">
        <v>56716</v>
      </c>
      <c r="I1516" s="48" t="s">
        <v>50564</v>
      </c>
      <c r="J1516" s="48"/>
      <c r="K1516" s="50"/>
      <c r="L1516" s="48" t="s">
        <v>56716</v>
      </c>
    </row>
    <row r="1517" spans="1:12" s="37" customFormat="1" ht="11.25" x14ac:dyDescent="0.2">
      <c r="A1517" s="46" t="s">
        <v>9306</v>
      </c>
      <c r="B1517" s="46" t="s">
        <v>9306</v>
      </c>
      <c r="C1517" s="58" t="str">
        <f>"14734222"</f>
        <v>14734222</v>
      </c>
      <c r="D1517" s="58" t="str">
        <f>"14734230"</f>
        <v>14734230</v>
      </c>
      <c r="E1517" s="46" t="s">
        <v>56305</v>
      </c>
      <c r="F1517" s="46" t="s">
        <v>17759</v>
      </c>
      <c r="G1517" s="46" t="s">
        <v>50584</v>
      </c>
      <c r="H1517" s="48" t="s">
        <v>56716</v>
      </c>
      <c r="I1517" s="48" t="s">
        <v>50564</v>
      </c>
      <c r="J1517" s="48" t="s">
        <v>56716</v>
      </c>
      <c r="K1517" s="50" t="s">
        <v>56716</v>
      </c>
      <c r="L1517" s="48" t="s">
        <v>56716</v>
      </c>
    </row>
    <row r="1518" spans="1:12" s="37" customFormat="1" ht="11.25" x14ac:dyDescent="0.2">
      <c r="A1518" s="46" t="s">
        <v>5834</v>
      </c>
      <c r="B1518" s="46" t="s">
        <v>51617</v>
      </c>
      <c r="C1518" s="58" t="str">
        <f>"10473211"</f>
        <v>10473211</v>
      </c>
      <c r="D1518" s="58" t="str">
        <f>"14602199"</f>
        <v>14602199</v>
      </c>
      <c r="E1518" s="46" t="s">
        <v>55</v>
      </c>
      <c r="F1518" s="46" t="s">
        <v>50646</v>
      </c>
      <c r="G1518" s="46" t="s">
        <v>50584</v>
      </c>
      <c r="H1518" s="48" t="s">
        <v>56716</v>
      </c>
      <c r="I1518" s="48" t="s">
        <v>50564</v>
      </c>
      <c r="J1518" s="48" t="s">
        <v>56716</v>
      </c>
      <c r="K1518" s="50"/>
      <c r="L1518" s="48" t="s">
        <v>56716</v>
      </c>
    </row>
    <row r="1519" spans="1:12" s="37" customFormat="1" ht="11.25" x14ac:dyDescent="0.2">
      <c r="A1519" s="46" t="s">
        <v>5292</v>
      </c>
      <c r="B1519" s="46" t="s">
        <v>51618</v>
      </c>
      <c r="C1519" s="58" t="str">
        <f>"10159770"</f>
        <v>10159770</v>
      </c>
      <c r="D1519" s="58" t="str">
        <f>"14219786"</f>
        <v>14219786</v>
      </c>
      <c r="E1519" s="46" t="s">
        <v>109</v>
      </c>
      <c r="F1519" s="46" t="s">
        <v>18123</v>
      </c>
      <c r="G1519" s="46" t="s">
        <v>50584</v>
      </c>
      <c r="H1519" s="48" t="s">
        <v>56716</v>
      </c>
      <c r="I1519" s="48" t="s">
        <v>50564</v>
      </c>
      <c r="J1519" s="48" t="s">
        <v>56716</v>
      </c>
      <c r="K1519" s="50" t="s">
        <v>56716</v>
      </c>
      <c r="L1519" s="48" t="s">
        <v>56716</v>
      </c>
    </row>
    <row r="1520" spans="1:12" s="37" customFormat="1" ht="11.25" x14ac:dyDescent="0.2">
      <c r="A1520" s="46" t="s">
        <v>55928</v>
      </c>
      <c r="B1520" s="46" t="s">
        <v>55929</v>
      </c>
      <c r="C1520" s="58" t="str">
        <f>""</f>
        <v/>
      </c>
      <c r="D1520" s="58" t="str">
        <f>"16645456"</f>
        <v>16645456</v>
      </c>
      <c r="E1520" s="46" t="s">
        <v>109</v>
      </c>
      <c r="F1520" s="46" t="s">
        <v>18123</v>
      </c>
      <c r="G1520" s="46" t="s">
        <v>50584</v>
      </c>
      <c r="H1520" s="48" t="s">
        <v>56716</v>
      </c>
      <c r="I1520" s="48" t="s">
        <v>50564</v>
      </c>
      <c r="J1520" s="48" t="s">
        <v>56716</v>
      </c>
      <c r="K1520" s="50"/>
      <c r="L1520" s="48"/>
    </row>
    <row r="1521" spans="1:12" s="37" customFormat="1" ht="11.25" x14ac:dyDescent="0.2">
      <c r="A1521" s="46" t="s">
        <v>6311</v>
      </c>
      <c r="B1521" s="46" t="s">
        <v>51619</v>
      </c>
      <c r="C1521" s="58" t="str">
        <f>"12107816"</f>
        <v>12107816</v>
      </c>
      <c r="D1521" s="58" t="str">
        <f>""</f>
        <v/>
      </c>
      <c r="E1521" s="46" t="s">
        <v>1130</v>
      </c>
      <c r="F1521" s="46" t="s">
        <v>18025</v>
      </c>
      <c r="G1521" s="46" t="s">
        <v>50628</v>
      </c>
      <c r="H1521" s="48" t="s">
        <v>56716</v>
      </c>
      <c r="I1521" s="48" t="s">
        <v>50564</v>
      </c>
      <c r="J1521" s="48"/>
      <c r="K1521" s="50"/>
      <c r="L1521" s="48" t="s">
        <v>56716</v>
      </c>
    </row>
    <row r="1522" spans="1:12" s="37" customFormat="1" ht="11.25" x14ac:dyDescent="0.2">
      <c r="A1522" s="46" t="s">
        <v>1127</v>
      </c>
      <c r="B1522" s="46" t="s">
        <v>51620</v>
      </c>
      <c r="C1522" s="58" t="str">
        <f>"12107859"</f>
        <v>12107859</v>
      </c>
      <c r="D1522" s="58" t="str">
        <f>"18024041"</f>
        <v>18024041</v>
      </c>
      <c r="E1522" s="46" t="s">
        <v>1130</v>
      </c>
      <c r="F1522" s="46" t="s">
        <v>18025</v>
      </c>
      <c r="G1522" s="46" t="s">
        <v>50581</v>
      </c>
      <c r="H1522" s="48" t="s">
        <v>56716</v>
      </c>
      <c r="I1522" s="48" t="s">
        <v>50564</v>
      </c>
      <c r="J1522" s="48"/>
      <c r="K1522" s="50"/>
      <c r="L1522" s="48"/>
    </row>
    <row r="1523" spans="1:12" s="37" customFormat="1" ht="11.25" x14ac:dyDescent="0.2">
      <c r="A1523" s="45" t="s">
        <v>24609</v>
      </c>
      <c r="B1523" s="45" t="s">
        <v>24611</v>
      </c>
      <c r="C1523" s="51" t="s">
        <v>24614</v>
      </c>
      <c r="D1523" s="51" t="s">
        <v>24613</v>
      </c>
      <c r="E1523" s="45" t="s">
        <v>24615</v>
      </c>
      <c r="F1523" s="45" t="s">
        <v>18025</v>
      </c>
      <c r="G1523" s="45" t="s">
        <v>56508</v>
      </c>
      <c r="H1523" s="56"/>
      <c r="I1523" s="56" t="s">
        <v>50564</v>
      </c>
      <c r="J1523" s="56"/>
      <c r="K1523" s="50"/>
      <c r="L1523" s="56" t="s">
        <v>56716</v>
      </c>
    </row>
    <row r="1524" spans="1:12" s="37" customFormat="1" ht="11.25" x14ac:dyDescent="0.2">
      <c r="A1524" s="46" t="s">
        <v>7752</v>
      </c>
      <c r="B1524" s="46" t="s">
        <v>51621</v>
      </c>
      <c r="C1524" s="58" t="str">
        <f>"12120383"</f>
        <v>12120383</v>
      </c>
      <c r="D1524" s="58" t="str">
        <f>""</f>
        <v/>
      </c>
      <c r="E1524" s="46" t="s">
        <v>1130</v>
      </c>
      <c r="F1524" s="46" t="s">
        <v>18025</v>
      </c>
      <c r="G1524" s="46" t="s">
        <v>50628</v>
      </c>
      <c r="H1524" s="48" t="s">
        <v>56716</v>
      </c>
      <c r="I1524" s="48" t="s">
        <v>50564</v>
      </c>
      <c r="J1524" s="48"/>
      <c r="K1524" s="50"/>
      <c r="L1524" s="48"/>
    </row>
    <row r="1525" spans="1:12" s="37" customFormat="1" ht="11.25" x14ac:dyDescent="0.2">
      <c r="A1525" s="45" t="s">
        <v>24617</v>
      </c>
      <c r="B1525" s="45" t="s">
        <v>24619</v>
      </c>
      <c r="C1525" s="51" t="s">
        <v>24621</v>
      </c>
      <c r="D1525" s="51"/>
      <c r="E1525" s="45" t="s">
        <v>24622</v>
      </c>
      <c r="F1525" s="45" t="s">
        <v>18025</v>
      </c>
      <c r="G1525" s="45" t="s">
        <v>56508</v>
      </c>
      <c r="H1525" s="56"/>
      <c r="I1525" s="56" t="s">
        <v>50564</v>
      </c>
      <c r="J1525" s="56"/>
      <c r="K1525" s="50"/>
      <c r="L1525" s="56" t="s">
        <v>56716</v>
      </c>
    </row>
    <row r="1526" spans="1:12" s="37" customFormat="1" ht="11.25" x14ac:dyDescent="0.2">
      <c r="A1526" s="46" t="s">
        <v>6319</v>
      </c>
      <c r="B1526" s="46" t="s">
        <v>51622</v>
      </c>
      <c r="C1526" s="58" t="str">
        <f>"12107883"</f>
        <v>12107883</v>
      </c>
      <c r="D1526" s="58" t="str">
        <f>""</f>
        <v/>
      </c>
      <c r="E1526" s="46" t="s">
        <v>1130</v>
      </c>
      <c r="F1526" s="46" t="s">
        <v>18025</v>
      </c>
      <c r="G1526" s="46" t="s">
        <v>50581</v>
      </c>
      <c r="H1526" s="48" t="s">
        <v>56716</v>
      </c>
      <c r="I1526" s="48" t="s">
        <v>50564</v>
      </c>
      <c r="J1526" s="48"/>
      <c r="K1526" s="50"/>
      <c r="L1526" s="48"/>
    </row>
    <row r="1527" spans="1:12" s="37" customFormat="1" ht="11.25" x14ac:dyDescent="0.2">
      <c r="A1527" s="46" t="s">
        <v>6287</v>
      </c>
      <c r="B1527" s="46" t="s">
        <v>51623</v>
      </c>
      <c r="C1527" s="58" t="str">
        <f>"12107905"</f>
        <v>12107905</v>
      </c>
      <c r="D1527" s="58" t="str">
        <f>""</f>
        <v/>
      </c>
      <c r="E1527" s="46" t="s">
        <v>1130</v>
      </c>
      <c r="F1527" s="46" t="s">
        <v>18025</v>
      </c>
      <c r="G1527" s="46" t="s">
        <v>50581</v>
      </c>
      <c r="H1527" s="48" t="s">
        <v>56716</v>
      </c>
      <c r="I1527" s="48" t="s">
        <v>50564</v>
      </c>
      <c r="J1527" s="48"/>
      <c r="K1527" s="50"/>
      <c r="L1527" s="48"/>
    </row>
    <row r="1528" spans="1:12" s="37" customFormat="1" ht="11.25" x14ac:dyDescent="0.2">
      <c r="A1528" s="45" t="s">
        <v>24624</v>
      </c>
      <c r="B1528" s="45" t="s">
        <v>24626</v>
      </c>
      <c r="C1528" s="51" t="s">
        <v>24627</v>
      </c>
      <c r="D1528" s="51"/>
      <c r="E1528" s="45" t="s">
        <v>24628</v>
      </c>
      <c r="F1528" s="45" t="s">
        <v>18025</v>
      </c>
      <c r="G1528" s="45" t="s">
        <v>56508</v>
      </c>
      <c r="H1528" s="56"/>
      <c r="I1528" s="56" t="s">
        <v>50564</v>
      </c>
      <c r="J1528" s="56"/>
      <c r="K1528" s="50"/>
      <c r="L1528" s="56" t="s">
        <v>56716</v>
      </c>
    </row>
    <row r="1529" spans="1:12" s="37" customFormat="1" ht="11.25" x14ac:dyDescent="0.2">
      <c r="A1529" s="45" t="s">
        <v>24630</v>
      </c>
      <c r="B1529" s="45" t="s">
        <v>24632</v>
      </c>
      <c r="C1529" s="51" t="s">
        <v>24633</v>
      </c>
      <c r="D1529" s="51"/>
      <c r="E1529" s="45" t="s">
        <v>24634</v>
      </c>
      <c r="F1529" s="45" t="s">
        <v>18025</v>
      </c>
      <c r="G1529" s="45" t="s">
        <v>50693</v>
      </c>
      <c r="H1529" s="56"/>
      <c r="I1529" s="56" t="s">
        <v>50564</v>
      </c>
      <c r="J1529" s="56"/>
      <c r="K1529" s="50"/>
      <c r="L1529" s="56" t="s">
        <v>56716</v>
      </c>
    </row>
    <row r="1530" spans="1:12" s="37" customFormat="1" ht="11.25" x14ac:dyDescent="0.2">
      <c r="A1530" s="46" t="s">
        <v>13140</v>
      </c>
      <c r="B1530" s="46" t="s">
        <v>13140</v>
      </c>
      <c r="C1530" s="58" t="str">
        <f>"19336950"</f>
        <v>19336950</v>
      </c>
      <c r="D1530" s="58" t="str">
        <f>"19336969"</f>
        <v>19336969</v>
      </c>
      <c r="E1530" s="46" t="s">
        <v>669</v>
      </c>
      <c r="F1530" s="46" t="s">
        <v>17759</v>
      </c>
      <c r="G1530" s="46" t="s">
        <v>50584</v>
      </c>
      <c r="H1530" s="48" t="s">
        <v>56716</v>
      </c>
      <c r="I1530" s="48" t="s">
        <v>50564</v>
      </c>
      <c r="J1530" s="48"/>
      <c r="K1530" s="50"/>
      <c r="L1530" s="48" t="s">
        <v>56716</v>
      </c>
    </row>
    <row r="1531" spans="1:12" s="37" customFormat="1" ht="11.25" x14ac:dyDescent="0.2">
      <c r="A1531" s="45" t="s">
        <v>24648</v>
      </c>
      <c r="B1531" s="45" t="s">
        <v>24650</v>
      </c>
      <c r="C1531" s="51" t="s">
        <v>24652</v>
      </c>
      <c r="D1531" s="51" t="s">
        <v>24651</v>
      </c>
      <c r="E1531" s="45" t="s">
        <v>24653</v>
      </c>
      <c r="F1531" s="45" t="s">
        <v>17759</v>
      </c>
      <c r="G1531" s="45" t="s">
        <v>50584</v>
      </c>
      <c r="H1531" s="56"/>
      <c r="I1531" s="56" t="s">
        <v>50564</v>
      </c>
      <c r="J1531" s="56"/>
      <c r="K1531" s="50"/>
      <c r="L1531" s="56" t="s">
        <v>56716</v>
      </c>
    </row>
    <row r="1532" spans="1:12" s="37" customFormat="1" ht="11.25" x14ac:dyDescent="0.2">
      <c r="A1532" s="46" t="s">
        <v>9062</v>
      </c>
      <c r="B1532" s="46" t="s">
        <v>9062</v>
      </c>
      <c r="C1532" s="58" t="str">
        <f>"14394227"</f>
        <v>14394227</v>
      </c>
      <c r="D1532" s="58" t="str">
        <f>"14397633"</f>
        <v>14397633</v>
      </c>
      <c r="E1532" s="46" t="s">
        <v>651</v>
      </c>
      <c r="F1532" s="46" t="s">
        <v>18158</v>
      </c>
      <c r="G1532" s="46" t="s">
        <v>50584</v>
      </c>
      <c r="H1532" s="48" t="s">
        <v>56716</v>
      </c>
      <c r="I1532" s="48" t="s">
        <v>50564</v>
      </c>
      <c r="J1532" s="48" t="s">
        <v>56716</v>
      </c>
      <c r="K1532" s="50" t="s">
        <v>56716</v>
      </c>
      <c r="L1532" s="48" t="s">
        <v>56716</v>
      </c>
    </row>
    <row r="1533" spans="1:12" s="37" customFormat="1" ht="11.25" x14ac:dyDescent="0.2">
      <c r="A1533" s="46" t="s">
        <v>1250</v>
      </c>
      <c r="B1533" s="46" t="s">
        <v>51624</v>
      </c>
      <c r="C1533" s="58" t="str">
        <f>"00092363"</f>
        <v>00092363</v>
      </c>
      <c r="D1533" s="58" t="str">
        <f>"13475223"</f>
        <v>13475223</v>
      </c>
      <c r="E1533" s="46" t="s">
        <v>1253</v>
      </c>
      <c r="F1533" s="46" t="s">
        <v>18242</v>
      </c>
      <c r="G1533" s="46" t="s">
        <v>50584</v>
      </c>
      <c r="H1533" s="48" t="s">
        <v>56716</v>
      </c>
      <c r="I1533" s="48" t="s">
        <v>50564</v>
      </c>
      <c r="J1533" s="48"/>
      <c r="K1533" s="50"/>
      <c r="L1533" s="48" t="s">
        <v>56716</v>
      </c>
    </row>
    <row r="1534" spans="1:12" s="37" customFormat="1" ht="11.25" x14ac:dyDescent="0.2">
      <c r="A1534" s="46" t="s">
        <v>11465</v>
      </c>
      <c r="B1534" s="46" t="s">
        <v>51625</v>
      </c>
      <c r="C1534" s="58" t="str">
        <f>"17470277"</f>
        <v>17470277</v>
      </c>
      <c r="D1534" s="58" t="str">
        <f>"17470285"</f>
        <v>17470285</v>
      </c>
      <c r="E1534" s="46" t="s">
        <v>35</v>
      </c>
      <c r="F1534" s="46" t="s">
        <v>50646</v>
      </c>
      <c r="G1534" s="46" t="s">
        <v>50584</v>
      </c>
      <c r="H1534" s="48" t="s">
        <v>56716</v>
      </c>
      <c r="I1534" s="48" t="s">
        <v>50564</v>
      </c>
      <c r="J1534" s="48" t="s">
        <v>56716</v>
      </c>
      <c r="K1534" s="50" t="s">
        <v>56716</v>
      </c>
      <c r="L1534" s="48" t="s">
        <v>56716</v>
      </c>
    </row>
    <row r="1535" spans="1:12" s="37" customFormat="1" ht="11.25" x14ac:dyDescent="0.2">
      <c r="A1535" s="46" t="s">
        <v>6911</v>
      </c>
      <c r="B1535" s="46" t="s">
        <v>51626</v>
      </c>
      <c r="C1535" s="58" t="str">
        <f>"13597345"</f>
        <v>13597345</v>
      </c>
      <c r="D1535" s="58" t="str">
        <f>"1364548X"</f>
        <v>1364548X</v>
      </c>
      <c r="E1535" s="46" t="s">
        <v>6914</v>
      </c>
      <c r="F1535" s="46" t="s">
        <v>50646</v>
      </c>
      <c r="G1535" s="46" t="s">
        <v>50584</v>
      </c>
      <c r="H1535" s="48" t="s">
        <v>56716</v>
      </c>
      <c r="I1535" s="48" t="s">
        <v>50564</v>
      </c>
      <c r="J1535" s="48"/>
      <c r="K1535" s="50"/>
      <c r="L1535" s="48" t="s">
        <v>56716</v>
      </c>
    </row>
    <row r="1536" spans="1:12" s="37" customFormat="1" ht="11.25" x14ac:dyDescent="0.2">
      <c r="A1536" s="46" t="s">
        <v>9632</v>
      </c>
      <c r="B1536" s="46" t="s">
        <v>51627</v>
      </c>
      <c r="C1536" s="58" t="str">
        <f>"16602242"</f>
        <v>16602242</v>
      </c>
      <c r="D1536" s="58" t="str">
        <f>"16622898"</f>
        <v>16622898</v>
      </c>
      <c r="E1536" s="46" t="s">
        <v>109</v>
      </c>
      <c r="F1536" s="46" t="s">
        <v>18123</v>
      </c>
      <c r="G1536" s="46" t="s">
        <v>50584</v>
      </c>
      <c r="H1536" s="48" t="s">
        <v>56716</v>
      </c>
      <c r="I1536" s="48" t="s">
        <v>50565</v>
      </c>
      <c r="J1536" s="48" t="s">
        <v>56716</v>
      </c>
      <c r="K1536" s="50"/>
      <c r="L1536" s="48" t="s">
        <v>56716</v>
      </c>
    </row>
    <row r="1537" spans="1:12" s="37" customFormat="1" ht="11.25" x14ac:dyDescent="0.2">
      <c r="A1537" s="45" t="s">
        <v>24683</v>
      </c>
      <c r="B1537" s="45" t="s">
        <v>24685</v>
      </c>
      <c r="C1537" s="51" t="s">
        <v>24687</v>
      </c>
      <c r="D1537" s="51" t="s">
        <v>24686</v>
      </c>
      <c r="E1537" s="45" t="s">
        <v>17805</v>
      </c>
      <c r="F1537" s="45" t="s">
        <v>17759</v>
      </c>
      <c r="G1537" s="45" t="s">
        <v>50584</v>
      </c>
      <c r="H1537" s="56"/>
      <c r="I1537" s="56" t="s">
        <v>50564</v>
      </c>
      <c r="J1537" s="56"/>
      <c r="K1537" s="50"/>
      <c r="L1537" s="56" t="s">
        <v>56716</v>
      </c>
    </row>
    <row r="1538" spans="1:12" s="37" customFormat="1" ht="11.25" x14ac:dyDescent="0.2">
      <c r="A1538" s="46" t="s">
        <v>4601</v>
      </c>
      <c r="B1538" s="46" t="s">
        <v>51628</v>
      </c>
      <c r="C1538" s="58" t="str">
        <f>"0893228X"</f>
        <v>0893228X</v>
      </c>
      <c r="D1538" s="58" t="str">
        <f>"15205010"</f>
        <v>15205010</v>
      </c>
      <c r="E1538" s="46" t="s">
        <v>776</v>
      </c>
      <c r="F1538" s="46" t="s">
        <v>17759</v>
      </c>
      <c r="G1538" s="46" t="s">
        <v>50584</v>
      </c>
      <c r="H1538" s="48" t="s">
        <v>56716</v>
      </c>
      <c r="I1538" s="48" t="s">
        <v>50564</v>
      </c>
      <c r="J1538" s="48"/>
      <c r="K1538" s="50"/>
      <c r="L1538" s="48" t="s">
        <v>56716</v>
      </c>
    </row>
    <row r="1539" spans="1:12" s="37" customFormat="1" ht="11.25" x14ac:dyDescent="0.2">
      <c r="A1539" s="45" t="s">
        <v>24694</v>
      </c>
      <c r="B1539" s="45" t="s">
        <v>24696</v>
      </c>
      <c r="C1539" s="51" t="s">
        <v>24698</v>
      </c>
      <c r="D1539" s="51" t="s">
        <v>24697</v>
      </c>
      <c r="E1539" s="45" t="s">
        <v>776</v>
      </c>
      <c r="F1539" s="45" t="s">
        <v>17759</v>
      </c>
      <c r="G1539" s="45" t="s">
        <v>50584</v>
      </c>
      <c r="H1539" s="56"/>
      <c r="I1539" s="56" t="s">
        <v>50564</v>
      </c>
      <c r="J1539" s="56"/>
      <c r="K1539" s="50"/>
      <c r="L1539" s="56" t="s">
        <v>56716</v>
      </c>
    </row>
    <row r="1540" spans="1:12" s="37" customFormat="1" ht="11.25" x14ac:dyDescent="0.2">
      <c r="A1540" s="46" t="s">
        <v>1071</v>
      </c>
      <c r="B1540" s="46" t="s">
        <v>51629</v>
      </c>
      <c r="C1540" s="58" t="str">
        <f>"0379864X"</f>
        <v>0379864X</v>
      </c>
      <c r="D1540" s="58" t="str">
        <f>"14643553"</f>
        <v>14643553</v>
      </c>
      <c r="E1540" s="46" t="s">
        <v>55</v>
      </c>
      <c r="F1540" s="46" t="s">
        <v>50646</v>
      </c>
      <c r="G1540" s="46" t="s">
        <v>50584</v>
      </c>
      <c r="H1540" s="48" t="s">
        <v>56716</v>
      </c>
      <c r="I1540" s="48" t="s">
        <v>50564</v>
      </c>
      <c r="J1540" s="48" t="s">
        <v>56716</v>
      </c>
      <c r="K1540" s="50"/>
      <c r="L1540" s="48" t="s">
        <v>56716</v>
      </c>
    </row>
    <row r="1541" spans="1:12" s="37" customFormat="1" ht="11.25" x14ac:dyDescent="0.2">
      <c r="A1541" s="45" t="s">
        <v>24707</v>
      </c>
      <c r="B1541" s="45" t="s">
        <v>24709</v>
      </c>
      <c r="C1541" s="51" t="s">
        <v>24712</v>
      </c>
      <c r="D1541" s="51" t="s">
        <v>24711</v>
      </c>
      <c r="E1541" s="45" t="s">
        <v>24713</v>
      </c>
      <c r="F1541" s="45" t="s">
        <v>50646</v>
      </c>
      <c r="G1541" s="45" t="s">
        <v>50584</v>
      </c>
      <c r="H1541" s="56"/>
      <c r="I1541" s="56" t="s">
        <v>50564</v>
      </c>
      <c r="J1541" s="56"/>
      <c r="K1541" s="50"/>
      <c r="L1541" s="56" t="s">
        <v>56716</v>
      </c>
    </row>
    <row r="1542" spans="1:12" s="37" customFormat="1" ht="11.25" x14ac:dyDescent="0.2">
      <c r="A1542" s="46" t="s">
        <v>983</v>
      </c>
      <c r="B1542" s="46" t="s">
        <v>51630</v>
      </c>
      <c r="C1542" s="58" t="str">
        <f>"00092797"</f>
        <v>00092797</v>
      </c>
      <c r="D1542" s="58" t="str">
        <f>"18727786"</f>
        <v>18727786</v>
      </c>
      <c r="E1542" s="46" t="s">
        <v>221</v>
      </c>
      <c r="F1542" s="46" t="s">
        <v>21771</v>
      </c>
      <c r="G1542" s="46" t="s">
        <v>50584</v>
      </c>
      <c r="H1542" s="48" t="s">
        <v>56716</v>
      </c>
      <c r="I1542" s="48" t="s">
        <v>50564</v>
      </c>
      <c r="J1542" s="48"/>
      <c r="K1542" s="50" t="s">
        <v>56716</v>
      </c>
      <c r="L1542" s="48" t="s">
        <v>56716</v>
      </c>
    </row>
    <row r="1543" spans="1:12" s="37" customFormat="1" ht="11.25" x14ac:dyDescent="0.2">
      <c r="A1543" s="45" t="s">
        <v>24730</v>
      </c>
      <c r="B1543" s="45" t="s">
        <v>17882</v>
      </c>
      <c r="C1543" s="51" t="s">
        <v>24734</v>
      </c>
      <c r="D1543" s="51" t="s">
        <v>24733</v>
      </c>
      <c r="E1543" s="45" t="s">
        <v>18712</v>
      </c>
      <c r="F1543" s="45" t="s">
        <v>18158</v>
      </c>
      <c r="G1543" s="45" t="s">
        <v>50584</v>
      </c>
      <c r="H1543" s="56"/>
      <c r="I1543" s="56" t="s">
        <v>50564</v>
      </c>
      <c r="J1543" s="56"/>
      <c r="K1543" s="50"/>
      <c r="L1543" s="56" t="s">
        <v>56716</v>
      </c>
    </row>
    <row r="1544" spans="1:12" s="37" customFormat="1" ht="11.25" x14ac:dyDescent="0.2">
      <c r="A1544" s="46" t="s">
        <v>10642</v>
      </c>
      <c r="B1544" s="46" t="s">
        <v>51631</v>
      </c>
      <c r="C1544" s="58" t="str">
        <f>"16121872"</f>
        <v>16121872</v>
      </c>
      <c r="D1544" s="58" t="str">
        <f>"16121880"</f>
        <v>16121880</v>
      </c>
      <c r="E1544" s="46" t="s">
        <v>651</v>
      </c>
      <c r="F1544" s="46" t="s">
        <v>18158</v>
      </c>
      <c r="G1544" s="46" t="s">
        <v>50584</v>
      </c>
      <c r="H1544" s="48" t="s">
        <v>56716</v>
      </c>
      <c r="I1544" s="48" t="s">
        <v>50564</v>
      </c>
      <c r="J1544" s="48"/>
      <c r="K1544" s="50"/>
      <c r="L1544" s="48" t="s">
        <v>56716</v>
      </c>
    </row>
    <row r="1545" spans="1:12" s="37" customFormat="1" ht="11.25" x14ac:dyDescent="0.2">
      <c r="A1545" s="46" t="s">
        <v>6579</v>
      </c>
      <c r="B1545" s="46" t="s">
        <v>51632</v>
      </c>
      <c r="C1545" s="58" t="str">
        <f>"10745521"</f>
        <v>10745521</v>
      </c>
      <c r="D1545" s="58" t="str">
        <f>""</f>
        <v/>
      </c>
      <c r="E1545" s="46" t="s">
        <v>155</v>
      </c>
      <c r="F1545" s="46" t="s">
        <v>50646</v>
      </c>
      <c r="G1545" s="46" t="s">
        <v>50584</v>
      </c>
      <c r="H1545" s="48" t="s">
        <v>56716</v>
      </c>
      <c r="I1545" s="48" t="s">
        <v>50564</v>
      </c>
      <c r="J1545" s="48" t="s">
        <v>56716</v>
      </c>
      <c r="K1545" s="50" t="s">
        <v>56716</v>
      </c>
      <c r="L1545" s="48" t="s">
        <v>56716</v>
      </c>
    </row>
    <row r="1546" spans="1:12" s="37" customFormat="1" ht="11.25" x14ac:dyDescent="0.2">
      <c r="A1546" s="46" t="s">
        <v>1261</v>
      </c>
      <c r="B1546" s="46" t="s">
        <v>51633</v>
      </c>
      <c r="C1546" s="58" t="str">
        <f>"00093084"</f>
        <v>00093084</v>
      </c>
      <c r="D1546" s="58" t="str">
        <f>"18732941"</f>
        <v>18732941</v>
      </c>
      <c r="E1546" s="46" t="s">
        <v>221</v>
      </c>
      <c r="F1546" s="46" t="s">
        <v>21771</v>
      </c>
      <c r="G1546" s="46" t="s">
        <v>50584</v>
      </c>
      <c r="H1546" s="48" t="s">
        <v>56716</v>
      </c>
      <c r="I1546" s="48" t="s">
        <v>50564</v>
      </c>
      <c r="J1546" s="48" t="s">
        <v>56716</v>
      </c>
      <c r="K1546" s="50"/>
      <c r="L1546" s="48" t="s">
        <v>56716</v>
      </c>
    </row>
    <row r="1547" spans="1:12" s="37" customFormat="1" ht="11.25" x14ac:dyDescent="0.2">
      <c r="A1547" s="45" t="s">
        <v>24743</v>
      </c>
      <c r="B1547" s="45" t="s">
        <v>24745</v>
      </c>
      <c r="C1547" s="51" t="s">
        <v>24747</v>
      </c>
      <c r="D1547" s="51" t="s">
        <v>24746</v>
      </c>
      <c r="E1547" s="45" t="s">
        <v>18712</v>
      </c>
      <c r="F1547" s="45" t="s">
        <v>18158</v>
      </c>
      <c r="G1547" s="45" t="s">
        <v>50584</v>
      </c>
      <c r="H1547" s="56"/>
      <c r="I1547" s="56" t="s">
        <v>50564</v>
      </c>
      <c r="J1547" s="56"/>
      <c r="K1547" s="50"/>
      <c r="L1547" s="56" t="s">
        <v>56716</v>
      </c>
    </row>
    <row r="1548" spans="1:12" s="37" customFormat="1" ht="11.25" x14ac:dyDescent="0.2">
      <c r="A1548" s="46" t="s">
        <v>11443</v>
      </c>
      <c r="B1548" s="46" t="s">
        <v>11443</v>
      </c>
      <c r="C1548" s="58" t="str">
        <f>"18607179"</f>
        <v>18607179</v>
      </c>
      <c r="D1548" s="58" t="str">
        <f>"18607187"</f>
        <v>18607187</v>
      </c>
      <c r="E1548" s="46" t="s">
        <v>751</v>
      </c>
      <c r="F1548" s="46" t="s">
        <v>50646</v>
      </c>
      <c r="G1548" s="46" t="s">
        <v>50584</v>
      </c>
      <c r="H1548" s="48" t="s">
        <v>56716</v>
      </c>
      <c r="I1548" s="48" t="s">
        <v>50564</v>
      </c>
      <c r="J1548" s="48" t="s">
        <v>56716</v>
      </c>
      <c r="K1548" s="50" t="s">
        <v>56716</v>
      </c>
      <c r="L1548" s="48" t="s">
        <v>56716</v>
      </c>
    </row>
    <row r="1549" spans="1:12" s="37" customFormat="1" ht="11.25" x14ac:dyDescent="0.2">
      <c r="A1549" s="46" t="s">
        <v>4328</v>
      </c>
      <c r="B1549" s="46" t="s">
        <v>51634</v>
      </c>
      <c r="C1549" s="58" t="str">
        <f>"01697439"</f>
        <v>01697439</v>
      </c>
      <c r="D1549" s="58" t="str">
        <f>"18733239"</f>
        <v>18733239</v>
      </c>
      <c r="E1549" s="46" t="s">
        <v>91</v>
      </c>
      <c r="F1549" s="46" t="s">
        <v>18001</v>
      </c>
      <c r="G1549" s="46" t="s">
        <v>50584</v>
      </c>
      <c r="H1549" s="48" t="s">
        <v>56716</v>
      </c>
      <c r="I1549" s="48" t="s">
        <v>50564</v>
      </c>
      <c r="J1549" s="48" t="s">
        <v>56716</v>
      </c>
      <c r="K1549" s="50" t="s">
        <v>56716</v>
      </c>
      <c r="L1549" s="48"/>
    </row>
    <row r="1550" spans="1:12" s="37" customFormat="1" ht="11.25" x14ac:dyDescent="0.2">
      <c r="A1550" s="46" t="s">
        <v>12974</v>
      </c>
      <c r="B1550" s="46" t="s">
        <v>12974</v>
      </c>
      <c r="C1550" s="58" t="str">
        <f>"19365802"</f>
        <v>19365802</v>
      </c>
      <c r="D1550" s="58" t="str">
        <f>"19365810"</f>
        <v>19365810</v>
      </c>
      <c r="E1550" s="46" t="s">
        <v>56305</v>
      </c>
      <c r="F1550" s="46" t="s">
        <v>17759</v>
      </c>
      <c r="G1550" s="46" t="s">
        <v>50584</v>
      </c>
      <c r="H1550" s="48" t="s">
        <v>56716</v>
      </c>
      <c r="I1550" s="48" t="s">
        <v>50564</v>
      </c>
      <c r="J1550" s="48" t="s">
        <v>56716</v>
      </c>
      <c r="K1550" s="50" t="s">
        <v>56716</v>
      </c>
      <c r="L1550" s="48"/>
    </row>
    <row r="1551" spans="1:12" s="37" customFormat="1" ht="11.25" x14ac:dyDescent="0.2">
      <c r="A1551" s="46" t="s">
        <v>1210</v>
      </c>
      <c r="B1551" s="46" t="s">
        <v>1210</v>
      </c>
      <c r="C1551" s="58" t="str">
        <f>"00456535"</f>
        <v>00456535</v>
      </c>
      <c r="D1551" s="58" t="str">
        <f>"18791298"</f>
        <v>18791298</v>
      </c>
      <c r="E1551" s="46" t="s">
        <v>155</v>
      </c>
      <c r="F1551" s="46" t="s">
        <v>50646</v>
      </c>
      <c r="G1551" s="46" t="s">
        <v>50584</v>
      </c>
      <c r="H1551" s="48" t="s">
        <v>56716</v>
      </c>
      <c r="I1551" s="48" t="s">
        <v>50564</v>
      </c>
      <c r="J1551" s="48"/>
      <c r="K1551" s="50" t="s">
        <v>56716</v>
      </c>
      <c r="L1551" s="48" t="s">
        <v>56716</v>
      </c>
    </row>
    <row r="1552" spans="1:12" s="37" customFormat="1" ht="11.25" x14ac:dyDescent="0.2">
      <c r="A1552" s="46" t="s">
        <v>1074</v>
      </c>
      <c r="B1552" s="46" t="s">
        <v>1074</v>
      </c>
      <c r="C1552" s="58" t="str">
        <f>"00093157"</f>
        <v>00093157</v>
      </c>
      <c r="D1552" s="58" t="str">
        <f>"14219794"</f>
        <v>14219794</v>
      </c>
      <c r="E1552" s="46" t="s">
        <v>109</v>
      </c>
      <c r="F1552" s="46" t="s">
        <v>18123</v>
      </c>
      <c r="G1552" s="46" t="s">
        <v>50584</v>
      </c>
      <c r="H1552" s="48" t="s">
        <v>56716</v>
      </c>
      <c r="I1552" s="48" t="s">
        <v>50564</v>
      </c>
      <c r="J1552" s="48" t="s">
        <v>56716</v>
      </c>
      <c r="K1552" s="50" t="s">
        <v>56716</v>
      </c>
      <c r="L1552" s="48" t="s">
        <v>56716</v>
      </c>
    </row>
    <row r="1553" spans="1:12" s="37" customFormat="1" ht="11.25" x14ac:dyDescent="0.2">
      <c r="A1553" s="46" t="s">
        <v>15674</v>
      </c>
      <c r="B1553" s="46" t="s">
        <v>51635</v>
      </c>
      <c r="C1553" s="58" t="str">
        <f>"20902107"</f>
        <v>20902107</v>
      </c>
      <c r="D1553" s="58" t="str">
        <f>"20902115"</f>
        <v>20902115</v>
      </c>
      <c r="E1553" s="46" t="s">
        <v>1412</v>
      </c>
      <c r="F1553" s="46" t="s">
        <v>17759</v>
      </c>
      <c r="G1553" s="46" t="s">
        <v>50584</v>
      </c>
      <c r="H1553" s="48" t="s">
        <v>56716</v>
      </c>
      <c r="I1553" s="48" t="s">
        <v>50564</v>
      </c>
      <c r="J1553" s="48" t="s">
        <v>56716</v>
      </c>
      <c r="K1553" s="50"/>
      <c r="L1553" s="48"/>
    </row>
    <row r="1554" spans="1:12" s="37" customFormat="1" ht="11.25" x14ac:dyDescent="0.2">
      <c r="A1554" s="45" t="s">
        <v>24760</v>
      </c>
      <c r="B1554" s="45" t="s">
        <v>24762</v>
      </c>
      <c r="C1554" s="51" t="s">
        <v>24765</v>
      </c>
      <c r="D1554" s="51" t="s">
        <v>24764</v>
      </c>
      <c r="E1554" s="45" t="s">
        <v>651</v>
      </c>
      <c r="F1554" s="45" t="s">
        <v>18158</v>
      </c>
      <c r="G1554" s="45" t="s">
        <v>50584</v>
      </c>
      <c r="H1554" s="56"/>
      <c r="I1554" s="56" t="s">
        <v>50564</v>
      </c>
      <c r="J1554" s="56"/>
      <c r="K1554" s="50"/>
      <c r="L1554" s="56" t="s">
        <v>56716</v>
      </c>
    </row>
    <row r="1555" spans="1:12" s="37" customFormat="1" ht="11.25" x14ac:dyDescent="0.2">
      <c r="A1555" s="45" t="s">
        <v>24768</v>
      </c>
      <c r="B1555" s="45" t="s">
        <v>24768</v>
      </c>
      <c r="C1555" s="51" t="s">
        <v>24772</v>
      </c>
      <c r="D1555" s="51" t="s">
        <v>24771</v>
      </c>
      <c r="E1555" s="45" t="s">
        <v>18712</v>
      </c>
      <c r="F1555" s="45" t="s">
        <v>18158</v>
      </c>
      <c r="G1555" s="45" t="s">
        <v>50584</v>
      </c>
      <c r="H1555" s="56"/>
      <c r="I1555" s="56" t="s">
        <v>50564</v>
      </c>
      <c r="J1555" s="56"/>
      <c r="K1555" s="50"/>
      <c r="L1555" s="56" t="s">
        <v>56716</v>
      </c>
    </row>
    <row r="1556" spans="1:12" s="37" customFormat="1" ht="11.25" x14ac:dyDescent="0.2">
      <c r="A1556" s="46" t="s">
        <v>1059</v>
      </c>
      <c r="B1556" s="46" t="s">
        <v>1059</v>
      </c>
      <c r="C1556" s="58" t="str">
        <f>"00123692"</f>
        <v>00123692</v>
      </c>
      <c r="D1556" s="58" t="str">
        <f>"19313543"</f>
        <v>19313543</v>
      </c>
      <c r="E1556" s="46" t="s">
        <v>1062</v>
      </c>
      <c r="F1556" s="46" t="s">
        <v>17759</v>
      </c>
      <c r="G1556" s="46" t="s">
        <v>50584</v>
      </c>
      <c r="H1556" s="48" t="s">
        <v>56716</v>
      </c>
      <c r="I1556" s="48" t="s">
        <v>50564</v>
      </c>
      <c r="J1556" s="48" t="s">
        <v>56716</v>
      </c>
      <c r="K1556" s="50"/>
      <c r="L1556" s="48" t="s">
        <v>56716</v>
      </c>
    </row>
    <row r="1557" spans="1:12" s="37" customFormat="1" ht="11.25" x14ac:dyDescent="0.2">
      <c r="A1557" s="46" t="s">
        <v>16852</v>
      </c>
      <c r="B1557" s="46" t="s">
        <v>51636</v>
      </c>
      <c r="C1557" s="58" t="str">
        <f>"20394764"</f>
        <v>20394764</v>
      </c>
      <c r="D1557" s="58" t="str">
        <f>"20394772"</f>
        <v>20394772</v>
      </c>
      <c r="E1557" s="46" t="s">
        <v>1949</v>
      </c>
      <c r="F1557" s="46" t="s">
        <v>17991</v>
      </c>
      <c r="G1557" s="46" t="s">
        <v>50584</v>
      </c>
      <c r="H1557" s="48" t="s">
        <v>56716</v>
      </c>
      <c r="I1557" s="48" t="s">
        <v>50564</v>
      </c>
      <c r="J1557" s="48"/>
      <c r="K1557" s="50"/>
      <c r="L1557" s="48"/>
    </row>
    <row r="1558" spans="1:12" s="37" customFormat="1" ht="11.25" x14ac:dyDescent="0.2">
      <c r="A1558" s="46" t="s">
        <v>1094</v>
      </c>
      <c r="B1558" s="46" t="s">
        <v>51637</v>
      </c>
      <c r="C1558" s="58" t="str">
        <f>"03035476"</f>
        <v>03035476</v>
      </c>
      <c r="D1558" s="58" t="str">
        <f>""</f>
        <v/>
      </c>
      <c r="E1558" s="46" t="s">
        <v>1096</v>
      </c>
      <c r="F1558" s="46" t="s">
        <v>18242</v>
      </c>
      <c r="G1558" s="46" t="s">
        <v>50605</v>
      </c>
      <c r="H1558" s="48" t="s">
        <v>56716</v>
      </c>
      <c r="I1558" s="48" t="s">
        <v>50564</v>
      </c>
      <c r="J1558" s="48"/>
      <c r="K1558" s="50"/>
      <c r="L1558" s="48"/>
    </row>
    <row r="1559" spans="1:12" s="37" customFormat="1" ht="11.25" x14ac:dyDescent="0.2">
      <c r="A1559" s="46" t="s">
        <v>4215</v>
      </c>
      <c r="B1559" s="46" t="s">
        <v>51638</v>
      </c>
      <c r="C1559" s="58" t="str">
        <f>"01452134"</f>
        <v>01452134</v>
      </c>
      <c r="D1559" s="58" t="str">
        <f>"18737757"</f>
        <v>18737757</v>
      </c>
      <c r="E1559" s="46" t="s">
        <v>155</v>
      </c>
      <c r="F1559" s="46" t="s">
        <v>50646</v>
      </c>
      <c r="G1559" s="46" t="s">
        <v>50584</v>
      </c>
      <c r="H1559" s="48" t="s">
        <v>56716</v>
      </c>
      <c r="I1559" s="48" t="s">
        <v>50564</v>
      </c>
      <c r="J1559" s="48"/>
      <c r="K1559" s="50" t="s">
        <v>56716</v>
      </c>
      <c r="L1559" s="48" t="s">
        <v>56716</v>
      </c>
    </row>
    <row r="1560" spans="1:12" s="37" customFormat="1" ht="11.25" x14ac:dyDescent="0.2">
      <c r="A1560" s="46" t="s">
        <v>10796</v>
      </c>
      <c r="B1560" s="46" t="s">
        <v>51639</v>
      </c>
      <c r="C1560" s="58" t="str">
        <f>"1475357X"</f>
        <v>1475357X</v>
      </c>
      <c r="D1560" s="58" t="str">
        <f>"14753588"</f>
        <v>14753588</v>
      </c>
      <c r="E1560" s="46" t="s">
        <v>35</v>
      </c>
      <c r="F1560" s="46" t="s">
        <v>50646</v>
      </c>
      <c r="G1560" s="46" t="s">
        <v>50584</v>
      </c>
      <c r="H1560" s="48" t="s">
        <v>56716</v>
      </c>
      <c r="I1560" s="48" t="s">
        <v>50564</v>
      </c>
      <c r="J1560" s="48" t="s">
        <v>56716</v>
      </c>
      <c r="K1560" s="50" t="s">
        <v>56716</v>
      </c>
      <c r="L1560" s="48"/>
    </row>
    <row r="1561" spans="1:12" s="37" customFormat="1" ht="11.25" x14ac:dyDescent="0.2">
      <c r="A1561" s="46" t="s">
        <v>6327</v>
      </c>
      <c r="B1561" s="46" t="s">
        <v>51640</v>
      </c>
      <c r="C1561" s="58" t="str">
        <f>"10564993"</f>
        <v>10564993</v>
      </c>
      <c r="D1561" s="58" t="str">
        <f>"15580490"</f>
        <v>15580490</v>
      </c>
      <c r="E1561" s="46" t="s">
        <v>303</v>
      </c>
      <c r="F1561" s="46" t="s">
        <v>17759</v>
      </c>
      <c r="G1561" s="46" t="s">
        <v>50584</v>
      </c>
      <c r="H1561" s="48" t="s">
        <v>56716</v>
      </c>
      <c r="I1561" s="48" t="s">
        <v>50564</v>
      </c>
      <c r="J1561" s="48" t="s">
        <v>56716</v>
      </c>
      <c r="K1561" s="50" t="s">
        <v>56716</v>
      </c>
      <c r="L1561" s="48" t="s">
        <v>56716</v>
      </c>
    </row>
    <row r="1562" spans="1:12" s="37" customFormat="1" ht="11.25" x14ac:dyDescent="0.2">
      <c r="A1562" s="46" t="s">
        <v>12419</v>
      </c>
      <c r="B1562" s="46" t="s">
        <v>51641</v>
      </c>
      <c r="C1562" s="58" t="str">
        <f>""</f>
        <v/>
      </c>
      <c r="D1562" s="58" t="str">
        <f>"17532000"</f>
        <v>17532000</v>
      </c>
      <c r="E1562" s="46" t="s">
        <v>2299</v>
      </c>
      <c r="F1562" s="46" t="s">
        <v>50646</v>
      </c>
      <c r="G1562" s="46" t="s">
        <v>50584</v>
      </c>
      <c r="H1562" s="48" t="s">
        <v>56716</v>
      </c>
      <c r="I1562" s="48" t="s">
        <v>50564</v>
      </c>
      <c r="J1562" s="48" t="s">
        <v>56716</v>
      </c>
      <c r="K1562" s="50" t="s">
        <v>56716</v>
      </c>
      <c r="L1562" s="48"/>
    </row>
    <row r="1563" spans="1:12" s="37" customFormat="1" ht="11.25" x14ac:dyDescent="0.2">
      <c r="A1563" s="45" t="s">
        <v>24789</v>
      </c>
      <c r="B1563" s="45" t="s">
        <v>24791</v>
      </c>
      <c r="C1563" s="51" t="s">
        <v>24793</v>
      </c>
      <c r="D1563" s="51" t="s">
        <v>24792</v>
      </c>
      <c r="E1563" s="45" t="s">
        <v>24794</v>
      </c>
      <c r="F1563" s="45" t="s">
        <v>17759</v>
      </c>
      <c r="G1563" s="45" t="s">
        <v>50584</v>
      </c>
      <c r="H1563" s="56"/>
      <c r="I1563" s="56" t="s">
        <v>50564</v>
      </c>
      <c r="J1563" s="56"/>
      <c r="K1563" s="50"/>
      <c r="L1563" s="56" t="s">
        <v>56716</v>
      </c>
    </row>
    <row r="1564" spans="1:12" s="37" customFormat="1" ht="11.25" x14ac:dyDescent="0.2">
      <c r="A1564" s="45" t="s">
        <v>24802</v>
      </c>
      <c r="B1564" s="45" t="s">
        <v>24804</v>
      </c>
      <c r="C1564" s="51" t="s">
        <v>24806</v>
      </c>
      <c r="D1564" s="51" t="s">
        <v>24805</v>
      </c>
      <c r="E1564" s="45" t="s">
        <v>19713</v>
      </c>
      <c r="F1564" s="45" t="s">
        <v>17759</v>
      </c>
      <c r="G1564" s="45" t="s">
        <v>50584</v>
      </c>
      <c r="H1564" s="56"/>
      <c r="I1564" s="56" t="s">
        <v>50564</v>
      </c>
      <c r="J1564" s="56"/>
      <c r="K1564" s="50"/>
      <c r="L1564" s="56" t="s">
        <v>56716</v>
      </c>
    </row>
    <row r="1565" spans="1:12" s="37" customFormat="1" ht="11.25" x14ac:dyDescent="0.2">
      <c r="A1565" s="46" t="s">
        <v>56062</v>
      </c>
      <c r="B1565" s="46" t="s">
        <v>56063</v>
      </c>
      <c r="C1565" s="58" t="str">
        <f>"09297049"</f>
        <v>09297049</v>
      </c>
      <c r="D1565" s="58" t="str">
        <f>"17444136"</f>
        <v>17444136</v>
      </c>
      <c r="E1565" s="46" t="s">
        <v>689</v>
      </c>
      <c r="F1565" s="46" t="s">
        <v>50646</v>
      </c>
      <c r="G1565" s="46" t="s">
        <v>50584</v>
      </c>
      <c r="H1565" s="48" t="s">
        <v>56716</v>
      </c>
      <c r="I1565" s="48" t="s">
        <v>50564</v>
      </c>
      <c r="J1565" s="48"/>
      <c r="K1565" s="50" t="s">
        <v>56716</v>
      </c>
      <c r="L1565" s="48" t="s">
        <v>56716</v>
      </c>
    </row>
    <row r="1566" spans="1:12" s="37" customFormat="1" ht="11.25" x14ac:dyDescent="0.2">
      <c r="A1566" s="45" t="s">
        <v>24815</v>
      </c>
      <c r="B1566" s="45" t="s">
        <v>24817</v>
      </c>
      <c r="C1566" s="51" t="s">
        <v>24819</v>
      </c>
      <c r="D1566" s="51" t="s">
        <v>24818</v>
      </c>
      <c r="E1566" s="45" t="s">
        <v>18832</v>
      </c>
      <c r="F1566" s="45" t="s">
        <v>17759</v>
      </c>
      <c r="G1566" s="45" t="s">
        <v>50584</v>
      </c>
      <c r="H1566" s="56"/>
      <c r="I1566" s="56" t="s">
        <v>50564</v>
      </c>
      <c r="J1566" s="56"/>
      <c r="K1566" s="50"/>
      <c r="L1566" s="56" t="s">
        <v>56716</v>
      </c>
    </row>
    <row r="1567" spans="1:12" s="37" customFormat="1" ht="11.25" x14ac:dyDescent="0.2">
      <c r="A1567" s="45" t="s">
        <v>24821</v>
      </c>
      <c r="B1567" s="45" t="s">
        <v>24823</v>
      </c>
      <c r="C1567" s="51" t="s">
        <v>24825</v>
      </c>
      <c r="D1567" s="51"/>
      <c r="E1567" s="45" t="s">
        <v>24826</v>
      </c>
      <c r="F1567" s="45" t="s">
        <v>17759</v>
      </c>
      <c r="G1567" s="45" t="s">
        <v>50584</v>
      </c>
      <c r="H1567" s="56"/>
      <c r="I1567" s="56" t="s">
        <v>50564</v>
      </c>
      <c r="J1567" s="56"/>
      <c r="K1567" s="50"/>
      <c r="L1567" s="56" t="s">
        <v>56716</v>
      </c>
    </row>
    <row r="1568" spans="1:12" s="37" customFormat="1" ht="11.25" x14ac:dyDescent="0.2">
      <c r="A1568" s="45" t="s">
        <v>24829</v>
      </c>
      <c r="B1568" s="45" t="s">
        <v>24831</v>
      </c>
      <c r="C1568" s="51" t="s">
        <v>24834</v>
      </c>
      <c r="D1568" s="51" t="s">
        <v>24833</v>
      </c>
      <c r="E1568" s="45" t="s">
        <v>24835</v>
      </c>
      <c r="F1568" s="45" t="s">
        <v>50646</v>
      </c>
      <c r="G1568" s="45" t="s">
        <v>50584</v>
      </c>
      <c r="H1568" s="56"/>
      <c r="I1568" s="56" t="s">
        <v>50564</v>
      </c>
      <c r="J1568" s="56"/>
      <c r="K1568" s="50"/>
      <c r="L1568" s="56" t="s">
        <v>56716</v>
      </c>
    </row>
    <row r="1569" spans="1:12" s="37" customFormat="1" ht="11.25" x14ac:dyDescent="0.2">
      <c r="A1569" s="45" t="s">
        <v>24837</v>
      </c>
      <c r="B1569" s="45" t="s">
        <v>24839</v>
      </c>
      <c r="C1569" s="51" t="s">
        <v>24842</v>
      </c>
      <c r="D1569" s="51" t="s">
        <v>24841</v>
      </c>
      <c r="E1569" s="45" t="s">
        <v>19202</v>
      </c>
      <c r="F1569" s="45" t="s">
        <v>17759</v>
      </c>
      <c r="G1569" s="45" t="s">
        <v>50584</v>
      </c>
      <c r="H1569" s="56"/>
      <c r="I1569" s="56" t="s">
        <v>50564</v>
      </c>
      <c r="J1569" s="56"/>
      <c r="K1569" s="50"/>
      <c r="L1569" s="56" t="s">
        <v>56716</v>
      </c>
    </row>
    <row r="1570" spans="1:12" s="37" customFormat="1" ht="11.25" x14ac:dyDescent="0.2">
      <c r="A1570" s="46" t="s">
        <v>7881</v>
      </c>
      <c r="B1570" s="46" t="s">
        <v>51642</v>
      </c>
      <c r="C1570" s="58" t="str">
        <f>"02739615"</f>
        <v>02739615</v>
      </c>
      <c r="D1570" s="58" t="str">
        <f>"15326888"</f>
        <v>15326888</v>
      </c>
      <c r="E1570" s="46" t="s">
        <v>689</v>
      </c>
      <c r="F1570" s="46" t="s">
        <v>17759</v>
      </c>
      <c r="G1570" s="46" t="s">
        <v>50584</v>
      </c>
      <c r="H1570" s="48" t="s">
        <v>56716</v>
      </c>
      <c r="I1570" s="48" t="s">
        <v>50564</v>
      </c>
      <c r="J1570" s="48"/>
      <c r="K1570" s="50" t="s">
        <v>56716</v>
      </c>
      <c r="L1570" s="48"/>
    </row>
    <row r="1571" spans="1:12" s="37" customFormat="1" ht="11.25" x14ac:dyDescent="0.2">
      <c r="A1571" s="46" t="s">
        <v>1225</v>
      </c>
      <c r="B1571" s="46" t="s">
        <v>51643</v>
      </c>
      <c r="C1571" s="58" t="str">
        <f>"02567040"</f>
        <v>02567040</v>
      </c>
      <c r="D1571" s="58" t="str">
        <f>"14330350"</f>
        <v>14330350</v>
      </c>
      <c r="E1571" s="46" t="s">
        <v>167</v>
      </c>
      <c r="F1571" s="46" t="s">
        <v>18158</v>
      </c>
      <c r="G1571" s="46" t="s">
        <v>50584</v>
      </c>
      <c r="H1571" s="48" t="s">
        <v>56716</v>
      </c>
      <c r="I1571" s="48" t="s">
        <v>50564</v>
      </c>
      <c r="J1571" s="48" t="s">
        <v>56716</v>
      </c>
      <c r="K1571" s="50" t="s">
        <v>56716</v>
      </c>
      <c r="L1571" s="48" t="s">
        <v>56716</v>
      </c>
    </row>
    <row r="1572" spans="1:12" s="37" customFormat="1" ht="11.25" x14ac:dyDescent="0.2">
      <c r="A1572" s="46" t="s">
        <v>15322</v>
      </c>
      <c r="B1572" s="46" t="s">
        <v>15322</v>
      </c>
      <c r="C1572" s="58" t="str">
        <f>"19381956"</f>
        <v>19381956</v>
      </c>
      <c r="D1572" s="58" t="str">
        <f>"19381964"</f>
        <v>19381964</v>
      </c>
      <c r="E1572" s="46" t="s">
        <v>669</v>
      </c>
      <c r="F1572" s="46" t="s">
        <v>17759</v>
      </c>
      <c r="G1572" s="46" t="s">
        <v>50584</v>
      </c>
      <c r="H1572" s="48" t="s">
        <v>56716</v>
      </c>
      <c r="I1572" s="48" t="s">
        <v>50564</v>
      </c>
      <c r="J1572" s="48"/>
      <c r="K1572" s="50"/>
      <c r="L1572" s="48" t="s">
        <v>56716</v>
      </c>
    </row>
    <row r="1573" spans="1:12" s="37" customFormat="1" ht="11.25" x14ac:dyDescent="0.2">
      <c r="A1573" s="45" t="s">
        <v>24854</v>
      </c>
      <c r="B1573" s="45" t="s">
        <v>24856</v>
      </c>
      <c r="C1573" s="51" t="s">
        <v>24858</v>
      </c>
      <c r="D1573" s="51"/>
      <c r="E1573" s="45" t="s">
        <v>24859</v>
      </c>
      <c r="F1573" s="45" t="s">
        <v>18123</v>
      </c>
      <c r="G1573" s="45" t="s">
        <v>50593</v>
      </c>
      <c r="H1573" s="56"/>
      <c r="I1573" s="56" t="s">
        <v>50564</v>
      </c>
      <c r="J1573" s="56"/>
      <c r="K1573" s="50"/>
      <c r="L1573" s="56" t="s">
        <v>56716</v>
      </c>
    </row>
    <row r="1574" spans="1:12" s="37" customFormat="1" ht="11.25" x14ac:dyDescent="0.2">
      <c r="A1574" s="46" t="s">
        <v>9991</v>
      </c>
      <c r="B1574" s="46" t="s">
        <v>51644</v>
      </c>
      <c r="C1574" s="58" t="str">
        <f>"10030603"</f>
        <v>10030603</v>
      </c>
      <c r="D1574" s="58" t="str">
        <f>""</f>
        <v/>
      </c>
      <c r="E1574" s="46" t="s">
        <v>9993</v>
      </c>
      <c r="F1574" s="46" t="s">
        <v>17958</v>
      </c>
      <c r="G1574" s="46" t="s">
        <v>50580</v>
      </c>
      <c r="H1574" s="48" t="s">
        <v>56716</v>
      </c>
      <c r="I1574" s="48" t="s">
        <v>50564</v>
      </c>
      <c r="J1574" s="48"/>
      <c r="K1574" s="50"/>
      <c r="L1574" s="48"/>
    </row>
    <row r="1575" spans="1:12" s="37" customFormat="1" ht="11.25" x14ac:dyDescent="0.2">
      <c r="A1575" s="46" t="s">
        <v>16985</v>
      </c>
      <c r="B1575" s="46" t="s">
        <v>51645</v>
      </c>
      <c r="C1575" s="58" t="str">
        <f>"16746384"</f>
        <v>16746384</v>
      </c>
      <c r="D1575" s="58" t="str">
        <f>""</f>
        <v/>
      </c>
      <c r="E1575" s="46" t="s">
        <v>91</v>
      </c>
      <c r="F1575" s="46" t="s">
        <v>18001</v>
      </c>
      <c r="G1575" s="46" t="s">
        <v>50584</v>
      </c>
      <c r="H1575" s="48" t="s">
        <v>56716</v>
      </c>
      <c r="I1575" s="48" t="s">
        <v>50564</v>
      </c>
      <c r="J1575" s="48" t="s">
        <v>56716</v>
      </c>
      <c r="K1575" s="50"/>
      <c r="L1575" s="48"/>
    </row>
    <row r="1576" spans="1:12" s="37" customFormat="1" ht="11.25" x14ac:dyDescent="0.2">
      <c r="A1576" s="46" t="s">
        <v>11359</v>
      </c>
      <c r="B1576" s="46" t="s">
        <v>51646</v>
      </c>
      <c r="C1576" s="58" t="str">
        <f>"10080848"</f>
        <v>10080848</v>
      </c>
      <c r="D1576" s="58" t="str">
        <f>""</f>
        <v/>
      </c>
      <c r="E1576" s="46" t="s">
        <v>11361</v>
      </c>
      <c r="F1576" s="46" t="s">
        <v>17958</v>
      </c>
      <c r="G1576" s="46" t="s">
        <v>50580</v>
      </c>
      <c r="H1576" s="48" t="s">
        <v>56716</v>
      </c>
      <c r="I1576" s="48" t="s">
        <v>50564</v>
      </c>
      <c r="J1576" s="48"/>
      <c r="K1576" s="50"/>
      <c r="L1576" s="48"/>
    </row>
    <row r="1577" spans="1:12" s="37" customFormat="1" ht="11.25" x14ac:dyDescent="0.2">
      <c r="A1577" s="46" t="s">
        <v>2760</v>
      </c>
      <c r="B1577" s="46" t="s">
        <v>51647</v>
      </c>
      <c r="C1577" s="58" t="str">
        <f>"10018689"</f>
        <v>10018689</v>
      </c>
      <c r="D1577" s="58" t="str">
        <f>""</f>
        <v/>
      </c>
      <c r="E1577" s="46" t="s">
        <v>2762</v>
      </c>
      <c r="F1577" s="46" t="s">
        <v>17958</v>
      </c>
      <c r="G1577" s="46" t="s">
        <v>50580</v>
      </c>
      <c r="H1577" s="48" t="s">
        <v>56716</v>
      </c>
      <c r="I1577" s="48" t="s">
        <v>50564</v>
      </c>
      <c r="J1577" s="48"/>
      <c r="K1577" s="50"/>
      <c r="L1577" s="48"/>
    </row>
    <row r="1578" spans="1:12" s="37" customFormat="1" ht="11.25" x14ac:dyDescent="0.2">
      <c r="A1578" s="46" t="s">
        <v>11791</v>
      </c>
      <c r="B1578" s="46" t="s">
        <v>51648</v>
      </c>
      <c r="C1578" s="58" t="str">
        <f>"10045503"</f>
        <v>10045503</v>
      </c>
      <c r="D1578" s="58" t="str">
        <f>""</f>
        <v/>
      </c>
      <c r="E1578" s="46" t="s">
        <v>11793</v>
      </c>
      <c r="F1578" s="46" t="s">
        <v>17958</v>
      </c>
      <c r="G1578" s="46" t="s">
        <v>50580</v>
      </c>
      <c r="H1578" s="48" t="s">
        <v>56716</v>
      </c>
      <c r="I1578" s="48" t="s">
        <v>50564</v>
      </c>
      <c r="J1578" s="48"/>
      <c r="K1578" s="50"/>
      <c r="L1578" s="48"/>
    </row>
    <row r="1579" spans="1:12" s="37" customFormat="1" ht="11.25" x14ac:dyDescent="0.2">
      <c r="A1579" s="46" t="s">
        <v>4144</v>
      </c>
      <c r="B1579" s="46" t="s">
        <v>51649</v>
      </c>
      <c r="C1579" s="58" t="str">
        <f>"02588021"</f>
        <v>02588021</v>
      </c>
      <c r="D1579" s="58" t="str">
        <f>""</f>
        <v/>
      </c>
      <c r="E1579" s="46" t="s">
        <v>1006</v>
      </c>
      <c r="F1579" s="46" t="s">
        <v>17958</v>
      </c>
      <c r="G1579" s="46" t="s">
        <v>50580</v>
      </c>
      <c r="H1579" s="48" t="s">
        <v>56716</v>
      </c>
      <c r="I1579" s="48" t="s">
        <v>50564</v>
      </c>
      <c r="J1579" s="48"/>
      <c r="K1579" s="50"/>
      <c r="L1579" s="48"/>
    </row>
    <row r="1580" spans="1:12" s="37" customFormat="1" ht="11.25" x14ac:dyDescent="0.2">
      <c r="A1580" s="46" t="s">
        <v>11794</v>
      </c>
      <c r="B1580" s="46" t="s">
        <v>51650</v>
      </c>
      <c r="C1580" s="58" t="str">
        <f>"10092587"</f>
        <v>10092587</v>
      </c>
      <c r="D1580" s="58" t="str">
        <f>""</f>
        <v/>
      </c>
      <c r="E1580" s="46" t="s">
        <v>11796</v>
      </c>
      <c r="F1580" s="46" t="s">
        <v>17958</v>
      </c>
      <c r="G1580" s="46" t="s">
        <v>50580</v>
      </c>
      <c r="H1580" s="48" t="s">
        <v>56716</v>
      </c>
      <c r="I1580" s="48" t="s">
        <v>50564</v>
      </c>
      <c r="J1580" s="48"/>
      <c r="K1580" s="50"/>
      <c r="L1580" s="48" t="s">
        <v>56716</v>
      </c>
    </row>
    <row r="1581" spans="1:12" s="37" customFormat="1" ht="11.25" x14ac:dyDescent="0.2">
      <c r="A1581" s="46" t="s">
        <v>13143</v>
      </c>
      <c r="B1581" s="46" t="s">
        <v>51651</v>
      </c>
      <c r="C1581" s="58" t="str">
        <f>"1000467X"</f>
        <v>1000467X</v>
      </c>
      <c r="D1581" s="58" t="str">
        <f>"1944446X"</f>
        <v>1944446X</v>
      </c>
      <c r="E1581" s="46" t="s">
        <v>10332</v>
      </c>
      <c r="F1581" s="46" t="s">
        <v>17759</v>
      </c>
      <c r="G1581" s="46" t="s">
        <v>50585</v>
      </c>
      <c r="H1581" s="48" t="s">
        <v>56716</v>
      </c>
      <c r="I1581" s="48" t="s">
        <v>50564</v>
      </c>
      <c r="J1581" s="48"/>
      <c r="K1581" s="50"/>
      <c r="L1581" s="48" t="s">
        <v>56716</v>
      </c>
    </row>
    <row r="1582" spans="1:12" s="37" customFormat="1" ht="11.25" x14ac:dyDescent="0.2">
      <c r="A1582" s="46" t="s">
        <v>12574</v>
      </c>
      <c r="B1582" s="46" t="s">
        <v>51652</v>
      </c>
      <c r="C1582" s="58" t="str">
        <f>"1007385X"</f>
        <v>1007385X</v>
      </c>
      <c r="D1582" s="58" t="str">
        <f>""</f>
        <v/>
      </c>
      <c r="E1582" s="46" t="s">
        <v>12576</v>
      </c>
      <c r="F1582" s="46" t="s">
        <v>17958</v>
      </c>
      <c r="G1582" s="46" t="s">
        <v>50580</v>
      </c>
      <c r="H1582" s="48" t="s">
        <v>56716</v>
      </c>
      <c r="I1582" s="48" t="s">
        <v>50564</v>
      </c>
      <c r="J1582" s="48"/>
      <c r="K1582" s="50"/>
      <c r="L1582" s="48"/>
    </row>
    <row r="1583" spans="1:12" s="37" customFormat="1" ht="11.25" x14ac:dyDescent="0.2">
      <c r="A1583" s="46" t="s">
        <v>9988</v>
      </c>
      <c r="B1583" s="46" t="s">
        <v>51653</v>
      </c>
      <c r="C1583" s="58" t="str">
        <f>"16735269"</f>
        <v>16735269</v>
      </c>
      <c r="D1583" s="58" t="str">
        <f>""</f>
        <v/>
      </c>
      <c r="E1583" s="46" t="s">
        <v>9990</v>
      </c>
      <c r="F1583" s="46" t="s">
        <v>17958</v>
      </c>
      <c r="G1583" s="46" t="s">
        <v>50580</v>
      </c>
      <c r="H1583" s="48" t="s">
        <v>56716</v>
      </c>
      <c r="I1583" s="48" t="s">
        <v>50564</v>
      </c>
      <c r="J1583" s="48"/>
      <c r="K1583" s="50"/>
      <c r="L1583" s="48"/>
    </row>
    <row r="1584" spans="1:12" s="37" customFormat="1" ht="11.25" x14ac:dyDescent="0.2">
      <c r="A1584" s="46" t="s">
        <v>7991</v>
      </c>
      <c r="B1584" s="46" t="s">
        <v>51654</v>
      </c>
      <c r="C1584" s="58" t="str">
        <f>"10009604"</f>
        <v>10009604</v>
      </c>
      <c r="D1584" s="58" t="str">
        <f>"19930631"</f>
        <v>19930631</v>
      </c>
      <c r="E1584" s="46" t="s">
        <v>56092</v>
      </c>
      <c r="F1584" s="46" t="s">
        <v>50647</v>
      </c>
      <c r="G1584" s="46" t="s">
        <v>50584</v>
      </c>
      <c r="H1584" s="48" t="s">
        <v>56716</v>
      </c>
      <c r="I1584" s="48" t="s">
        <v>50564</v>
      </c>
      <c r="J1584" s="48"/>
      <c r="K1584" s="50"/>
      <c r="L1584" s="48"/>
    </row>
    <row r="1585" spans="1:12" s="37" customFormat="1" ht="11.25" x14ac:dyDescent="0.2">
      <c r="A1585" s="46" t="s">
        <v>1063</v>
      </c>
      <c r="B1585" s="46" t="s">
        <v>51655</v>
      </c>
      <c r="C1585" s="58" t="str">
        <f>"02533758"</f>
        <v>02533758</v>
      </c>
      <c r="D1585" s="58" t="str">
        <f>""</f>
        <v/>
      </c>
      <c r="E1585" s="46" t="s">
        <v>1065</v>
      </c>
      <c r="F1585" s="46" t="s">
        <v>17958</v>
      </c>
      <c r="G1585" s="46" t="s">
        <v>50580</v>
      </c>
      <c r="H1585" s="48" t="s">
        <v>56716</v>
      </c>
      <c r="I1585" s="48" t="s">
        <v>50564</v>
      </c>
      <c r="J1585" s="48"/>
      <c r="K1585" s="50"/>
      <c r="L1585" s="48" t="s">
        <v>56716</v>
      </c>
    </row>
    <row r="1586" spans="1:12" s="37" customFormat="1" ht="11.25" x14ac:dyDescent="0.2">
      <c r="A1586" s="46" t="s">
        <v>11067</v>
      </c>
      <c r="B1586" s="46" t="s">
        <v>51656</v>
      </c>
      <c r="C1586" s="58" t="str">
        <f>"16725921"</f>
        <v>16725921</v>
      </c>
      <c r="D1586" s="58" t="str">
        <f>""</f>
        <v/>
      </c>
      <c r="E1586" s="46" t="s">
        <v>11069</v>
      </c>
      <c r="F1586" s="46" t="s">
        <v>17958</v>
      </c>
      <c r="G1586" s="46" t="s">
        <v>50580</v>
      </c>
      <c r="H1586" s="48" t="s">
        <v>56716</v>
      </c>
      <c r="I1586" s="48" t="s">
        <v>50564</v>
      </c>
      <c r="J1586" s="48"/>
      <c r="K1586" s="50"/>
      <c r="L1586" s="48"/>
    </row>
    <row r="1587" spans="1:12" s="37" customFormat="1" ht="11.25" x14ac:dyDescent="0.2">
      <c r="A1587" s="46" t="s">
        <v>11147</v>
      </c>
      <c r="B1587" s="46" t="s">
        <v>51657</v>
      </c>
      <c r="C1587" s="58" t="str">
        <f>"1674635X"</f>
        <v>1674635X</v>
      </c>
      <c r="D1587" s="58" t="str">
        <f>""</f>
        <v/>
      </c>
      <c r="E1587" s="46" t="s">
        <v>11149</v>
      </c>
      <c r="F1587" s="46" t="s">
        <v>17958</v>
      </c>
      <c r="G1587" s="46" t="s">
        <v>50580</v>
      </c>
      <c r="H1587" s="48" t="s">
        <v>56716</v>
      </c>
      <c r="I1587" s="48" t="s">
        <v>50564</v>
      </c>
      <c r="J1587" s="48"/>
      <c r="K1587" s="50"/>
      <c r="L1587" s="48"/>
    </row>
    <row r="1588" spans="1:12" s="37" customFormat="1" ht="11.25" x14ac:dyDescent="0.2">
      <c r="A1588" s="46" t="s">
        <v>4147</v>
      </c>
      <c r="B1588" s="46" t="s">
        <v>51658</v>
      </c>
      <c r="C1588" s="58" t="str">
        <f>"10008179"</f>
        <v>10008179</v>
      </c>
      <c r="D1588" s="58" t="str">
        <f>""</f>
        <v/>
      </c>
      <c r="E1588" s="46" t="s">
        <v>4149</v>
      </c>
      <c r="F1588" s="46" t="s">
        <v>17958</v>
      </c>
      <c r="G1588" s="46" t="s">
        <v>50580</v>
      </c>
      <c r="H1588" s="48" t="s">
        <v>56716</v>
      </c>
      <c r="I1588" s="48" t="s">
        <v>50564</v>
      </c>
      <c r="J1588" s="48"/>
      <c r="K1588" s="50"/>
      <c r="L1588" s="48"/>
    </row>
    <row r="1589" spans="1:12" s="37" customFormat="1" ht="11.25" x14ac:dyDescent="0.2">
      <c r="A1589" s="46" t="s">
        <v>11387</v>
      </c>
      <c r="B1589" s="46" t="s">
        <v>51659</v>
      </c>
      <c r="C1589" s="58" t="str">
        <f>"16726731"</f>
        <v>16726731</v>
      </c>
      <c r="D1589" s="58" t="str">
        <f>""</f>
        <v/>
      </c>
      <c r="E1589" s="46" t="s">
        <v>11389</v>
      </c>
      <c r="F1589" s="46" t="s">
        <v>17958</v>
      </c>
      <c r="G1589" s="46" t="s">
        <v>50580</v>
      </c>
      <c r="H1589" s="48" t="s">
        <v>56716</v>
      </c>
      <c r="I1589" s="48" t="s">
        <v>50564</v>
      </c>
      <c r="J1589" s="48"/>
      <c r="K1589" s="50"/>
      <c r="L1589" s="48"/>
    </row>
    <row r="1590" spans="1:12" s="37" customFormat="1" ht="11.25" x14ac:dyDescent="0.2">
      <c r="A1590" s="46" t="s">
        <v>10528</v>
      </c>
      <c r="B1590" s="46" t="s">
        <v>51660</v>
      </c>
      <c r="C1590" s="58" t="str">
        <f>"10088830"</f>
        <v>10088830</v>
      </c>
      <c r="D1590" s="58" t="str">
        <f>""</f>
        <v/>
      </c>
      <c r="E1590" s="46" t="s">
        <v>10530</v>
      </c>
      <c r="F1590" s="46" t="s">
        <v>17958</v>
      </c>
      <c r="G1590" s="46" t="s">
        <v>50585</v>
      </c>
      <c r="H1590" s="48" t="s">
        <v>56716</v>
      </c>
      <c r="I1590" s="48" t="s">
        <v>50564</v>
      </c>
      <c r="J1590" s="48"/>
      <c r="K1590" s="50"/>
      <c r="L1590" s="48" t="s">
        <v>56716</v>
      </c>
    </row>
    <row r="1591" spans="1:12" s="37" customFormat="1" ht="11.25" x14ac:dyDescent="0.2">
      <c r="A1591" s="46" t="s">
        <v>10499</v>
      </c>
      <c r="B1591" s="46" t="s">
        <v>51661</v>
      </c>
      <c r="C1591" s="58" t="str">
        <f>"10004955"</f>
        <v>10004955</v>
      </c>
      <c r="D1591" s="58" t="str">
        <f>""</f>
        <v/>
      </c>
      <c r="E1591" s="46" t="s">
        <v>1065</v>
      </c>
      <c r="F1591" s="46" t="s">
        <v>17958</v>
      </c>
      <c r="G1591" s="46" t="s">
        <v>50580</v>
      </c>
      <c r="H1591" s="48" t="s">
        <v>56716</v>
      </c>
      <c r="I1591" s="48" t="s">
        <v>50564</v>
      </c>
      <c r="J1591" s="48"/>
      <c r="K1591" s="50"/>
      <c r="L1591" s="48"/>
    </row>
    <row r="1592" spans="1:12" s="37" customFormat="1" ht="11.25" x14ac:dyDescent="0.2">
      <c r="A1592" s="46" t="s">
        <v>10355</v>
      </c>
      <c r="B1592" s="46" t="s">
        <v>51662</v>
      </c>
      <c r="C1592" s="58" t="str">
        <f>"16722531"</f>
        <v>16722531</v>
      </c>
      <c r="D1592" s="58" t="str">
        <f>""</f>
        <v/>
      </c>
      <c r="E1592" s="46" t="s">
        <v>10357</v>
      </c>
      <c r="F1592" s="46" t="s">
        <v>17958</v>
      </c>
      <c r="G1592" s="46" t="s">
        <v>50580</v>
      </c>
      <c r="H1592" s="48" t="s">
        <v>56716</v>
      </c>
      <c r="I1592" s="48" t="s">
        <v>50564</v>
      </c>
      <c r="J1592" s="48"/>
      <c r="K1592" s="50"/>
      <c r="L1592" s="48"/>
    </row>
    <row r="1593" spans="1:12" s="37" customFormat="1" ht="11.25" x14ac:dyDescent="0.2">
      <c r="A1593" s="46" t="s">
        <v>5255</v>
      </c>
      <c r="B1593" s="46" t="s">
        <v>51663</v>
      </c>
      <c r="C1593" s="58" t="str">
        <f>"10015728"</f>
        <v>10015728</v>
      </c>
      <c r="D1593" s="58" t="str">
        <f>""</f>
        <v/>
      </c>
      <c r="E1593" s="46" t="s">
        <v>5257</v>
      </c>
      <c r="F1593" s="46" t="s">
        <v>17958</v>
      </c>
      <c r="G1593" s="46" t="s">
        <v>50580</v>
      </c>
      <c r="H1593" s="48" t="s">
        <v>56716</v>
      </c>
      <c r="I1593" s="48" t="s">
        <v>50564</v>
      </c>
      <c r="J1593" s="48"/>
      <c r="K1593" s="50"/>
      <c r="L1593" s="48"/>
    </row>
    <row r="1594" spans="1:12" s="37" customFormat="1" ht="11.25" x14ac:dyDescent="0.2">
      <c r="A1594" s="46" t="s">
        <v>8726</v>
      </c>
      <c r="B1594" s="46" t="s">
        <v>51664</v>
      </c>
      <c r="C1594" s="58" t="str">
        <f>"10087125"</f>
        <v>10087125</v>
      </c>
      <c r="D1594" s="58" t="str">
        <f>""</f>
        <v/>
      </c>
      <c r="E1594" s="46" t="s">
        <v>8728</v>
      </c>
      <c r="F1594" s="46" t="s">
        <v>17958</v>
      </c>
      <c r="G1594" s="46" t="s">
        <v>50580</v>
      </c>
      <c r="H1594" s="48" t="s">
        <v>56716</v>
      </c>
      <c r="I1594" s="48" t="s">
        <v>50564</v>
      </c>
      <c r="J1594" s="48"/>
      <c r="K1594" s="50"/>
      <c r="L1594" s="48"/>
    </row>
    <row r="1595" spans="1:12" s="37" customFormat="1" ht="11.25" x14ac:dyDescent="0.2">
      <c r="A1595" s="46" t="s">
        <v>11140</v>
      </c>
      <c r="B1595" s="46" t="s">
        <v>51665</v>
      </c>
      <c r="C1595" s="58" t="str">
        <f>"10097708"</f>
        <v>10097708</v>
      </c>
      <c r="D1595" s="58" t="str">
        <f>""</f>
        <v/>
      </c>
      <c r="E1595" s="46" t="s">
        <v>11142</v>
      </c>
      <c r="F1595" s="46" t="s">
        <v>17958</v>
      </c>
      <c r="G1595" s="46" t="s">
        <v>50580</v>
      </c>
      <c r="H1595" s="48" t="s">
        <v>56716</v>
      </c>
      <c r="I1595" s="48" t="s">
        <v>50564</v>
      </c>
      <c r="J1595" s="48"/>
      <c r="K1595" s="50"/>
      <c r="L1595" s="48"/>
    </row>
    <row r="1596" spans="1:12" s="37" customFormat="1" ht="11.25" x14ac:dyDescent="0.2">
      <c r="A1596" s="46" t="s">
        <v>10351</v>
      </c>
      <c r="B1596" s="46" t="s">
        <v>51666</v>
      </c>
      <c r="C1596" s="58" t="str">
        <f>"16720415"</f>
        <v>16720415</v>
      </c>
      <c r="D1596" s="58" t="str">
        <f>"19930402"</f>
        <v>19930402</v>
      </c>
      <c r="E1596" s="46" t="s">
        <v>10354</v>
      </c>
      <c r="F1596" s="46" t="s">
        <v>17958</v>
      </c>
      <c r="G1596" s="46" t="s">
        <v>50584</v>
      </c>
      <c r="H1596" s="48" t="s">
        <v>56716</v>
      </c>
      <c r="I1596" s="48" t="s">
        <v>50564</v>
      </c>
      <c r="J1596" s="48" t="s">
        <v>56716</v>
      </c>
      <c r="K1596" s="50" t="s">
        <v>56716</v>
      </c>
      <c r="L1596" s="48" t="s">
        <v>56716</v>
      </c>
    </row>
    <row r="1597" spans="1:12" s="37" customFormat="1" ht="11.25" x14ac:dyDescent="0.2">
      <c r="A1597" s="46" t="s">
        <v>11130</v>
      </c>
      <c r="B1597" s="46" t="s">
        <v>51667</v>
      </c>
      <c r="C1597" s="58" t="str">
        <f>"16728475"</f>
        <v>16728475</v>
      </c>
      <c r="D1597" s="58" t="str">
        <f>""</f>
        <v/>
      </c>
      <c r="E1597" s="46" t="s">
        <v>11132</v>
      </c>
      <c r="F1597" s="46" t="s">
        <v>17958</v>
      </c>
      <c r="G1597" s="46" t="s">
        <v>50580</v>
      </c>
      <c r="H1597" s="48" t="s">
        <v>56716</v>
      </c>
      <c r="I1597" s="48" t="s">
        <v>50564</v>
      </c>
      <c r="J1597" s="48"/>
      <c r="K1597" s="50"/>
      <c r="L1597" s="48"/>
    </row>
    <row r="1598" spans="1:12" s="37" customFormat="1" ht="11.25" x14ac:dyDescent="0.2">
      <c r="A1598" s="46" t="s">
        <v>9210</v>
      </c>
      <c r="B1598" s="46" t="s">
        <v>51668</v>
      </c>
      <c r="C1598" s="58" t="str">
        <f>"10093419"</f>
        <v>10093419</v>
      </c>
      <c r="D1598" s="58" t="str">
        <f>"19996187"</f>
        <v>19996187</v>
      </c>
      <c r="E1598" s="46" t="s">
        <v>9210</v>
      </c>
      <c r="F1598" s="46" t="s">
        <v>17958</v>
      </c>
      <c r="G1598" s="46" t="s">
        <v>50580</v>
      </c>
      <c r="H1598" s="48" t="s">
        <v>56716</v>
      </c>
      <c r="I1598" s="48" t="s">
        <v>50564</v>
      </c>
      <c r="J1598" s="48"/>
      <c r="K1598" s="50"/>
      <c r="L1598" s="48" t="s">
        <v>56716</v>
      </c>
    </row>
    <row r="1599" spans="1:12" s="37" customFormat="1" ht="11.25" x14ac:dyDescent="0.2">
      <c r="A1599" s="46" t="s">
        <v>6592</v>
      </c>
      <c r="B1599" s="46" t="s">
        <v>51669</v>
      </c>
      <c r="C1599" s="58" t="str">
        <f>"10039406"</f>
        <v>10039406</v>
      </c>
      <c r="D1599" s="58" t="str">
        <f>""</f>
        <v/>
      </c>
      <c r="E1599" s="46" t="s">
        <v>6594</v>
      </c>
      <c r="F1599" s="46" t="s">
        <v>17958</v>
      </c>
      <c r="G1599" s="46" t="s">
        <v>50580</v>
      </c>
      <c r="H1599" s="48" t="s">
        <v>56716</v>
      </c>
      <c r="I1599" s="48" t="s">
        <v>50564</v>
      </c>
      <c r="J1599" s="48"/>
      <c r="K1599" s="50"/>
      <c r="L1599" s="48" t="s">
        <v>56716</v>
      </c>
    </row>
    <row r="1600" spans="1:12" s="37" customFormat="1" ht="11.25" x14ac:dyDescent="0.2">
      <c r="A1600" s="46" t="s">
        <v>11133</v>
      </c>
      <c r="B1600" s="46" t="s">
        <v>51670</v>
      </c>
      <c r="C1600" s="58" t="str">
        <f>"10033289"</f>
        <v>10033289</v>
      </c>
      <c r="D1600" s="58" t="str">
        <f>""</f>
        <v/>
      </c>
      <c r="E1600" s="46" t="s">
        <v>11135</v>
      </c>
      <c r="F1600" s="46" t="s">
        <v>17958</v>
      </c>
      <c r="G1600" s="46" t="s">
        <v>50580</v>
      </c>
      <c r="H1600" s="48" t="s">
        <v>56716</v>
      </c>
      <c r="I1600" s="48" t="s">
        <v>50564</v>
      </c>
      <c r="J1600" s="48"/>
      <c r="K1600" s="50"/>
      <c r="L1600" s="48"/>
    </row>
    <row r="1601" spans="1:12" s="37" customFormat="1" ht="11.25" x14ac:dyDescent="0.2">
      <c r="A1601" s="46" t="s">
        <v>5594</v>
      </c>
      <c r="B1601" s="46" t="s">
        <v>51671</v>
      </c>
      <c r="C1601" s="58" t="str">
        <f>"02545101"</f>
        <v>02545101</v>
      </c>
      <c r="D1601" s="58" t="str">
        <f>""</f>
        <v/>
      </c>
      <c r="E1601" s="46" t="s">
        <v>5596</v>
      </c>
      <c r="F1601" s="46" t="s">
        <v>17958</v>
      </c>
      <c r="G1601" s="46" t="s">
        <v>50580</v>
      </c>
      <c r="H1601" s="48" t="s">
        <v>56716</v>
      </c>
      <c r="I1601" s="48" t="s">
        <v>50564</v>
      </c>
      <c r="J1601" s="48"/>
      <c r="K1601" s="50"/>
      <c r="L1601" s="48"/>
    </row>
    <row r="1602" spans="1:12" s="37" customFormat="1" ht="11.25" x14ac:dyDescent="0.2">
      <c r="A1602" s="46" t="s">
        <v>9982</v>
      </c>
      <c r="B1602" s="46" t="s">
        <v>51672</v>
      </c>
      <c r="C1602" s="58" t="str">
        <f>""</f>
        <v/>
      </c>
      <c r="D1602" s="58" t="str">
        <f>"18755364"</f>
        <v>18755364</v>
      </c>
      <c r="E1602" s="46" t="s">
        <v>9984</v>
      </c>
      <c r="F1602" s="46" t="s">
        <v>17958</v>
      </c>
      <c r="G1602" s="46" t="s">
        <v>50585</v>
      </c>
      <c r="H1602" s="48" t="s">
        <v>56716</v>
      </c>
      <c r="I1602" s="48" t="s">
        <v>50564</v>
      </c>
      <c r="J1602" s="48"/>
      <c r="K1602" s="50"/>
      <c r="L1602" s="48" t="s">
        <v>56716</v>
      </c>
    </row>
    <row r="1603" spans="1:12" s="37" customFormat="1" ht="11.25" x14ac:dyDescent="0.2">
      <c r="A1603" s="46" t="s">
        <v>7455</v>
      </c>
      <c r="B1603" s="46" t="s">
        <v>51673</v>
      </c>
      <c r="C1603" s="58" t="str">
        <f>"10067876"</f>
        <v>10067876</v>
      </c>
      <c r="D1603" s="58" t="str">
        <f>""</f>
        <v/>
      </c>
      <c r="E1603" s="46" t="s">
        <v>1065</v>
      </c>
      <c r="F1603" s="46" t="s">
        <v>17958</v>
      </c>
      <c r="G1603" s="46" t="s">
        <v>50580</v>
      </c>
      <c r="H1603" s="48" t="s">
        <v>56716</v>
      </c>
      <c r="I1603" s="48" t="s">
        <v>50564</v>
      </c>
      <c r="J1603" s="48"/>
      <c r="K1603" s="50"/>
      <c r="L1603" s="48"/>
    </row>
    <row r="1604" spans="1:12" s="37" customFormat="1" ht="11.25" x14ac:dyDescent="0.2">
      <c r="A1604" s="46" t="s">
        <v>12598</v>
      </c>
      <c r="B1604" s="46" t="s">
        <v>51674</v>
      </c>
      <c r="C1604" s="58" t="str">
        <f>"10033734"</f>
        <v>10033734</v>
      </c>
      <c r="D1604" s="58" t="str">
        <f>""</f>
        <v/>
      </c>
      <c r="E1604" s="46" t="s">
        <v>12600</v>
      </c>
      <c r="F1604" s="46" t="s">
        <v>17958</v>
      </c>
      <c r="G1604" s="46" t="s">
        <v>50580</v>
      </c>
      <c r="H1604" s="48" t="s">
        <v>56716</v>
      </c>
      <c r="I1604" s="48" t="s">
        <v>50564</v>
      </c>
      <c r="J1604" s="48"/>
      <c r="K1604" s="50"/>
      <c r="L1604" s="48"/>
    </row>
    <row r="1605" spans="1:12" s="37" customFormat="1" ht="11.25" x14ac:dyDescent="0.2">
      <c r="A1605" s="46" t="s">
        <v>1004</v>
      </c>
      <c r="B1605" s="46" t="s">
        <v>51675</v>
      </c>
      <c r="C1605" s="58" t="str">
        <f>"02533766"</f>
        <v>02533766</v>
      </c>
      <c r="D1605" s="58" t="str">
        <f>""</f>
        <v/>
      </c>
      <c r="E1605" s="46" t="s">
        <v>1006</v>
      </c>
      <c r="F1605" s="46" t="s">
        <v>17958</v>
      </c>
      <c r="G1605" s="46" t="s">
        <v>50580</v>
      </c>
      <c r="H1605" s="48" t="s">
        <v>56716</v>
      </c>
      <c r="I1605" s="48" t="s">
        <v>50564</v>
      </c>
      <c r="J1605" s="48"/>
      <c r="K1605" s="50"/>
      <c r="L1605" s="48" t="s">
        <v>56716</v>
      </c>
    </row>
    <row r="1606" spans="1:12" s="37" customFormat="1" ht="11.25" x14ac:dyDescent="0.2">
      <c r="A1606" s="46" t="s">
        <v>11959</v>
      </c>
      <c r="B1606" s="46" t="s">
        <v>51676</v>
      </c>
      <c r="C1606" s="58" t="str">
        <f>"10058915"</f>
        <v>10058915</v>
      </c>
      <c r="D1606" s="58" t="str">
        <f>""</f>
        <v/>
      </c>
      <c r="E1606" s="46" t="s">
        <v>5004</v>
      </c>
      <c r="F1606" s="46" t="s">
        <v>17958</v>
      </c>
      <c r="G1606" s="46" t="s">
        <v>50580</v>
      </c>
      <c r="H1606" s="48" t="s">
        <v>56716</v>
      </c>
      <c r="I1606" s="48" t="s">
        <v>50564</v>
      </c>
      <c r="J1606" s="48"/>
      <c r="K1606" s="50"/>
      <c r="L1606" s="48"/>
    </row>
    <row r="1607" spans="1:12" s="37" customFormat="1" ht="11.25" x14ac:dyDescent="0.2">
      <c r="A1607" s="46" t="s">
        <v>4525</v>
      </c>
      <c r="B1607" s="46" t="s">
        <v>51677</v>
      </c>
      <c r="C1607" s="58" t="str">
        <f>"10003002"</f>
        <v>10003002</v>
      </c>
      <c r="D1607" s="58" t="str">
        <f>""</f>
        <v/>
      </c>
      <c r="E1607" s="46" t="s">
        <v>4525</v>
      </c>
      <c r="F1607" s="46" t="s">
        <v>17958</v>
      </c>
      <c r="G1607" s="46" t="s">
        <v>50580</v>
      </c>
      <c r="H1607" s="48" t="s">
        <v>56716</v>
      </c>
      <c r="I1607" s="48" t="s">
        <v>50564</v>
      </c>
      <c r="J1607" s="48"/>
      <c r="K1607" s="50"/>
      <c r="L1607" s="48"/>
    </row>
    <row r="1608" spans="1:12" s="37" customFormat="1" ht="11.25" x14ac:dyDescent="0.2">
      <c r="A1608" s="46" t="s">
        <v>1113</v>
      </c>
      <c r="B1608" s="46" t="s">
        <v>51678</v>
      </c>
      <c r="C1608" s="58" t="str">
        <f>"03044920"</f>
        <v>03044920</v>
      </c>
      <c r="D1608" s="58" t="str">
        <f>""</f>
        <v/>
      </c>
      <c r="E1608" s="46" t="s">
        <v>1115</v>
      </c>
      <c r="F1608" s="46" t="s">
        <v>50654</v>
      </c>
      <c r="G1608" s="46" t="s">
        <v>50585</v>
      </c>
      <c r="H1608" s="48" t="s">
        <v>56716</v>
      </c>
      <c r="I1608" s="48" t="s">
        <v>50564</v>
      </c>
      <c r="J1608" s="48"/>
      <c r="K1608" s="50"/>
      <c r="L1608" s="48" t="s">
        <v>56716</v>
      </c>
    </row>
    <row r="1609" spans="1:12" s="37" customFormat="1" ht="11.25" x14ac:dyDescent="0.2">
      <c r="A1609" s="46" t="s">
        <v>11413</v>
      </c>
      <c r="B1609" s="46" t="s">
        <v>51679</v>
      </c>
      <c r="C1609" s="58" t="str">
        <f>"10051201"</f>
        <v>10051201</v>
      </c>
      <c r="D1609" s="58" t="str">
        <f>""</f>
        <v/>
      </c>
      <c r="E1609" s="46" t="s">
        <v>1065</v>
      </c>
      <c r="F1609" s="46" t="s">
        <v>17958</v>
      </c>
      <c r="G1609" s="46" t="s">
        <v>50580</v>
      </c>
      <c r="H1609" s="48" t="s">
        <v>56716</v>
      </c>
      <c r="I1609" s="48" t="s">
        <v>50564</v>
      </c>
      <c r="J1609" s="48"/>
      <c r="K1609" s="50"/>
      <c r="L1609" s="48"/>
    </row>
    <row r="1610" spans="1:12" s="37" customFormat="1" ht="11.25" x14ac:dyDescent="0.2">
      <c r="A1610" s="46" t="s">
        <v>4945</v>
      </c>
      <c r="B1610" s="46" t="s">
        <v>51679</v>
      </c>
      <c r="C1610" s="58" t="str">
        <f>"10188940"</f>
        <v>10188940</v>
      </c>
      <c r="D1610" s="58" t="str">
        <f>""</f>
        <v/>
      </c>
      <c r="E1610" s="46" t="s">
        <v>4947</v>
      </c>
      <c r="F1610" s="46" t="s">
        <v>50654</v>
      </c>
      <c r="G1610" s="46" t="s">
        <v>50585</v>
      </c>
      <c r="H1610" s="48" t="s">
        <v>56716</v>
      </c>
      <c r="I1610" s="48" t="s">
        <v>50564</v>
      </c>
      <c r="J1610" s="48"/>
      <c r="K1610" s="50"/>
      <c r="L1610" s="48"/>
    </row>
    <row r="1611" spans="1:12" s="37" customFormat="1" ht="11.25" x14ac:dyDescent="0.2">
      <c r="A1611" s="46" t="s">
        <v>14962</v>
      </c>
      <c r="B1611" s="46" t="s">
        <v>51680</v>
      </c>
      <c r="C1611" s="58" t="str">
        <f>"10056661"</f>
        <v>10056661</v>
      </c>
      <c r="D1611" s="58" t="str">
        <f>""</f>
        <v/>
      </c>
      <c r="E1611" s="46" t="s">
        <v>14964</v>
      </c>
      <c r="F1611" s="46" t="s">
        <v>17958</v>
      </c>
      <c r="G1611" s="46" t="s">
        <v>50580</v>
      </c>
      <c r="H1611" s="48" t="s">
        <v>56716</v>
      </c>
      <c r="I1611" s="48" t="s">
        <v>50564</v>
      </c>
      <c r="J1611" s="48"/>
      <c r="K1611" s="50"/>
      <c r="L1611" s="48" t="s">
        <v>56716</v>
      </c>
    </row>
    <row r="1612" spans="1:12" s="37" customFormat="1" ht="11.25" x14ac:dyDescent="0.2">
      <c r="A1612" s="46" t="s">
        <v>16357</v>
      </c>
      <c r="B1612" s="46" t="s">
        <v>51681</v>
      </c>
      <c r="C1612" s="58" t="str">
        <f>"16738225"</f>
        <v>16738225</v>
      </c>
      <c r="D1612" s="58" t="str">
        <f>""</f>
        <v/>
      </c>
      <c r="E1612" s="46" t="s">
        <v>16359</v>
      </c>
      <c r="F1612" s="46" t="s">
        <v>17958</v>
      </c>
      <c r="G1612" s="46" t="s">
        <v>50585</v>
      </c>
      <c r="H1612" s="48" t="s">
        <v>56716</v>
      </c>
      <c r="I1612" s="48" t="s">
        <v>50564</v>
      </c>
      <c r="J1612" s="48"/>
      <c r="K1612" s="50"/>
      <c r="L1612" s="48"/>
    </row>
    <row r="1613" spans="1:12" s="37" customFormat="1" ht="11.25" x14ac:dyDescent="0.2">
      <c r="A1613" s="46" t="s">
        <v>9278</v>
      </c>
      <c r="B1613" s="46" t="s">
        <v>51682</v>
      </c>
      <c r="C1613" s="58" t="str">
        <f>"10081275"</f>
        <v>10081275</v>
      </c>
      <c r="D1613" s="58" t="str">
        <f>""</f>
        <v/>
      </c>
      <c r="E1613" s="46" t="s">
        <v>91</v>
      </c>
      <c r="F1613" s="46" t="s">
        <v>18001</v>
      </c>
      <c r="G1613" s="46" t="s">
        <v>50584</v>
      </c>
      <c r="H1613" s="48" t="s">
        <v>56716</v>
      </c>
      <c r="I1613" s="48" t="s">
        <v>50564</v>
      </c>
      <c r="J1613" s="48"/>
      <c r="K1613" s="50"/>
      <c r="L1613" s="48" t="s">
        <v>56716</v>
      </c>
    </row>
    <row r="1614" spans="1:12" s="37" customFormat="1" ht="11.25" x14ac:dyDescent="0.2">
      <c r="A1614" s="46" t="s">
        <v>1199</v>
      </c>
      <c r="B1614" s="46" t="s">
        <v>51683</v>
      </c>
      <c r="C1614" s="58" t="str">
        <f>"03666999"</f>
        <v>03666999</v>
      </c>
      <c r="D1614" s="58" t="str">
        <f>""</f>
        <v/>
      </c>
      <c r="E1614" s="46" t="s">
        <v>1065</v>
      </c>
      <c r="F1614" s="46" t="s">
        <v>17958</v>
      </c>
      <c r="G1614" s="46" t="s">
        <v>50584</v>
      </c>
      <c r="H1614" s="48" t="s">
        <v>56716</v>
      </c>
      <c r="I1614" s="48" t="s">
        <v>50564</v>
      </c>
      <c r="J1614" s="48"/>
      <c r="K1614" s="50"/>
      <c r="L1614" s="48" t="s">
        <v>56716</v>
      </c>
    </row>
    <row r="1615" spans="1:12" s="37" customFormat="1" ht="11.25" x14ac:dyDescent="0.2">
      <c r="A1615" s="46" t="s">
        <v>5467</v>
      </c>
      <c r="B1615" s="46" t="s">
        <v>51684</v>
      </c>
      <c r="C1615" s="58" t="str">
        <f>"10019294"</f>
        <v>10019294</v>
      </c>
      <c r="D1615" s="58" t="str">
        <f>""</f>
        <v/>
      </c>
      <c r="E1615" s="46" t="s">
        <v>155</v>
      </c>
      <c r="F1615" s="46" t="s">
        <v>50646</v>
      </c>
      <c r="G1615" s="46" t="s">
        <v>50584</v>
      </c>
      <c r="H1615" s="48" t="s">
        <v>56716</v>
      </c>
      <c r="I1615" s="48" t="s">
        <v>50564</v>
      </c>
      <c r="J1615" s="48"/>
      <c r="K1615" s="50"/>
      <c r="L1615" s="48" t="s">
        <v>56716</v>
      </c>
    </row>
    <row r="1616" spans="1:12" s="37" customFormat="1" ht="11.25" x14ac:dyDescent="0.2">
      <c r="A1616" s="46" t="s">
        <v>11660</v>
      </c>
      <c r="B1616" s="46" t="s">
        <v>51685</v>
      </c>
      <c r="C1616" s="58" t="str">
        <f>""</f>
        <v/>
      </c>
      <c r="D1616" s="58" t="str">
        <f>"17498546"</f>
        <v>17498546</v>
      </c>
      <c r="E1616" s="46" t="s">
        <v>2299</v>
      </c>
      <c r="F1616" s="46" t="s">
        <v>50646</v>
      </c>
      <c r="G1616" s="46" t="s">
        <v>50584</v>
      </c>
      <c r="H1616" s="48" t="s">
        <v>56716</v>
      </c>
      <c r="I1616" s="48" t="s">
        <v>50564</v>
      </c>
      <c r="J1616" s="48"/>
      <c r="K1616" s="50" t="s">
        <v>56716</v>
      </c>
      <c r="L1616" s="48"/>
    </row>
    <row r="1617" spans="1:12" s="37" customFormat="1" ht="11.25" x14ac:dyDescent="0.2">
      <c r="A1617" s="46" t="s">
        <v>5656</v>
      </c>
      <c r="B1617" s="46" t="s">
        <v>51686</v>
      </c>
      <c r="C1617" s="58" t="str">
        <f>"10012494"</f>
        <v>10012494</v>
      </c>
      <c r="D1617" s="58" t="str">
        <f>""</f>
        <v/>
      </c>
      <c r="E1617" s="46" t="s">
        <v>5658</v>
      </c>
      <c r="F1617" s="46" t="s">
        <v>17958</v>
      </c>
      <c r="G1617" s="46" t="s">
        <v>50580</v>
      </c>
      <c r="H1617" s="48" t="s">
        <v>56716</v>
      </c>
      <c r="I1617" s="48" t="s">
        <v>50564</v>
      </c>
      <c r="J1617" s="48"/>
      <c r="K1617" s="50"/>
      <c r="L1617" s="48"/>
    </row>
    <row r="1618" spans="1:12" s="37" customFormat="1" ht="11.25" x14ac:dyDescent="0.2">
      <c r="A1618" s="46" t="s">
        <v>5647</v>
      </c>
      <c r="B1618" s="46" t="s">
        <v>51687</v>
      </c>
      <c r="C1618" s="58" t="str">
        <f>"10011978"</f>
        <v>10011978</v>
      </c>
      <c r="D1618" s="58" t="str">
        <f>""</f>
        <v/>
      </c>
      <c r="E1618" s="46" t="s">
        <v>5649</v>
      </c>
      <c r="F1618" s="46" t="s">
        <v>17958</v>
      </c>
      <c r="G1618" s="46" t="s">
        <v>50585</v>
      </c>
      <c r="H1618" s="48" t="s">
        <v>56716</v>
      </c>
      <c r="I1618" s="48" t="s">
        <v>50564</v>
      </c>
      <c r="J1618" s="48"/>
      <c r="K1618" s="50"/>
      <c r="L1618" s="48"/>
    </row>
    <row r="1619" spans="1:12" s="37" customFormat="1" ht="11.25" x14ac:dyDescent="0.2">
      <c r="A1619" s="46" t="s">
        <v>11144</v>
      </c>
      <c r="B1619" s="46" t="s">
        <v>51688</v>
      </c>
      <c r="C1619" s="58" t="str">
        <f>"02532670"</f>
        <v>02532670</v>
      </c>
      <c r="D1619" s="58" t="str">
        <f>""</f>
        <v/>
      </c>
      <c r="E1619" s="46" t="s">
        <v>11146</v>
      </c>
      <c r="F1619" s="46" t="s">
        <v>17958</v>
      </c>
      <c r="G1619" s="46" t="s">
        <v>50580</v>
      </c>
      <c r="H1619" s="48" t="s">
        <v>56716</v>
      </c>
      <c r="I1619" s="48" t="s">
        <v>50564</v>
      </c>
      <c r="J1619" s="48"/>
      <c r="K1619" s="50"/>
      <c r="L1619" s="48"/>
    </row>
    <row r="1620" spans="1:12" s="37" customFormat="1" ht="11.25" x14ac:dyDescent="0.2">
      <c r="A1620" s="46" t="s">
        <v>7326</v>
      </c>
      <c r="B1620" s="46" t="s">
        <v>51689</v>
      </c>
      <c r="C1620" s="58" t="str">
        <f>"09302786"</f>
        <v>09302786</v>
      </c>
      <c r="D1620" s="58" t="str">
        <f>"21965668"</f>
        <v>21965668</v>
      </c>
      <c r="E1620" s="46" t="s">
        <v>6022</v>
      </c>
      <c r="F1620" s="46" t="s">
        <v>18158</v>
      </c>
      <c r="G1620" s="46" t="s">
        <v>50593</v>
      </c>
      <c r="H1620" s="48" t="s">
        <v>56716</v>
      </c>
      <c r="I1620" s="48" t="s">
        <v>50564</v>
      </c>
      <c r="J1620" s="48"/>
      <c r="K1620" s="50"/>
      <c r="L1620" s="48"/>
    </row>
    <row r="1621" spans="1:12" s="37" customFormat="1" ht="11.25" x14ac:dyDescent="0.2">
      <c r="A1621" s="46" t="s">
        <v>4861</v>
      </c>
      <c r="B1621" s="46" t="s">
        <v>4861</v>
      </c>
      <c r="C1621" s="58" t="str">
        <f>"08990042"</f>
        <v>08990042</v>
      </c>
      <c r="D1621" s="58" t="str">
        <f>"1520636X"</f>
        <v>1520636X</v>
      </c>
      <c r="E1621" s="46" t="s">
        <v>517</v>
      </c>
      <c r="F1621" s="46" t="s">
        <v>17759</v>
      </c>
      <c r="G1621" s="46" t="s">
        <v>50584</v>
      </c>
      <c r="H1621" s="48" t="s">
        <v>56716</v>
      </c>
      <c r="I1621" s="48" t="s">
        <v>50564</v>
      </c>
      <c r="J1621" s="48" t="s">
        <v>56716</v>
      </c>
      <c r="K1621" s="50" t="s">
        <v>56716</v>
      </c>
      <c r="L1621" s="48" t="s">
        <v>56716</v>
      </c>
    </row>
    <row r="1622" spans="1:12" s="37" customFormat="1" ht="11.25" x14ac:dyDescent="0.2">
      <c r="A1622" s="46" t="s">
        <v>14745</v>
      </c>
      <c r="B1622" s="46" t="s">
        <v>51690</v>
      </c>
      <c r="C1622" s="58" t="str">
        <f>"2045709X"</f>
        <v>2045709X</v>
      </c>
      <c r="D1622" s="58" t="str">
        <f>"2045709X"</f>
        <v>2045709X</v>
      </c>
      <c r="E1622" s="46" t="s">
        <v>2299</v>
      </c>
      <c r="F1622" s="46" t="s">
        <v>50646</v>
      </c>
      <c r="G1622" s="46" t="s">
        <v>50584</v>
      </c>
      <c r="H1622" s="48" t="s">
        <v>56716</v>
      </c>
      <c r="I1622" s="48" t="s">
        <v>50564</v>
      </c>
      <c r="J1622" s="48" t="s">
        <v>56716</v>
      </c>
      <c r="K1622" s="50" t="s">
        <v>56716</v>
      </c>
      <c r="L1622" s="48"/>
    </row>
    <row r="1623" spans="1:12" s="37" customFormat="1" ht="11.25" x14ac:dyDescent="0.2">
      <c r="A1623" s="45" t="s">
        <v>24916</v>
      </c>
      <c r="B1623" s="45" t="s">
        <v>24918</v>
      </c>
      <c r="C1623" s="51" t="s">
        <v>24920</v>
      </c>
      <c r="D1623" s="51"/>
      <c r="E1623" s="45" t="s">
        <v>24921</v>
      </c>
      <c r="F1623" s="45" t="s">
        <v>22017</v>
      </c>
      <c r="G1623" s="45" t="s">
        <v>50618</v>
      </c>
      <c r="H1623" s="56"/>
      <c r="I1623" s="56" t="s">
        <v>50564</v>
      </c>
      <c r="J1623" s="56"/>
      <c r="K1623" s="50"/>
      <c r="L1623" s="56" t="s">
        <v>56716</v>
      </c>
    </row>
    <row r="1624" spans="1:12" s="37" customFormat="1" ht="11.25" x14ac:dyDescent="0.2">
      <c r="A1624" s="46" t="s">
        <v>4896</v>
      </c>
      <c r="B1624" s="46" t="s">
        <v>51691</v>
      </c>
      <c r="C1624" s="58" t="str">
        <f>"03949508"</f>
        <v>03949508</v>
      </c>
      <c r="D1624" s="58" t="str">
        <f>""</f>
        <v/>
      </c>
      <c r="E1624" s="46" t="s">
        <v>1708</v>
      </c>
      <c r="F1624" s="46" t="s">
        <v>17991</v>
      </c>
      <c r="G1624" s="46" t="s">
        <v>50603</v>
      </c>
      <c r="H1624" s="48" t="s">
        <v>56716</v>
      </c>
      <c r="I1624" s="48" t="s">
        <v>50564</v>
      </c>
      <c r="J1624" s="48"/>
      <c r="K1624" s="50"/>
      <c r="L1624" s="48"/>
    </row>
    <row r="1625" spans="1:12" s="37" customFormat="1" ht="11.25" x14ac:dyDescent="0.2">
      <c r="A1625" s="46" t="s">
        <v>8407</v>
      </c>
      <c r="B1625" s="46" t="s">
        <v>51692</v>
      </c>
      <c r="C1625" s="58" t="str">
        <f>"12973203"</f>
        <v>12973203</v>
      </c>
      <c r="D1625" s="58" t="str">
        <f>"17696666"</f>
        <v>17696666</v>
      </c>
      <c r="E1625" s="46" t="s">
        <v>85</v>
      </c>
      <c r="F1625" s="46" t="s">
        <v>20359</v>
      </c>
      <c r="G1625" s="46" t="s">
        <v>50591</v>
      </c>
      <c r="H1625" s="48" t="s">
        <v>56716</v>
      </c>
      <c r="I1625" s="48" t="s">
        <v>50564</v>
      </c>
      <c r="J1625" s="48"/>
      <c r="K1625" s="50" t="s">
        <v>56716</v>
      </c>
      <c r="L1625" s="48" t="s">
        <v>56716</v>
      </c>
    </row>
    <row r="1626" spans="1:12" s="37" customFormat="1" ht="11.25" x14ac:dyDescent="0.2">
      <c r="A1626" s="46" t="s">
        <v>15139</v>
      </c>
      <c r="B1626" s="46" t="s">
        <v>15139</v>
      </c>
      <c r="C1626" s="58" t="str">
        <f>"20901283"</f>
        <v>20901283</v>
      </c>
      <c r="D1626" s="58" t="str">
        <f>"20901291"</f>
        <v>20901291</v>
      </c>
      <c r="E1626" s="46" t="s">
        <v>1412</v>
      </c>
      <c r="F1626" s="46" t="s">
        <v>17759</v>
      </c>
      <c r="G1626" s="46" t="s">
        <v>50584</v>
      </c>
      <c r="H1626" s="48" t="s">
        <v>56716</v>
      </c>
      <c r="I1626" s="48" t="s">
        <v>50564</v>
      </c>
      <c r="J1626" s="48" t="s">
        <v>56716</v>
      </c>
      <c r="K1626" s="50"/>
      <c r="L1626" s="48"/>
    </row>
    <row r="1627" spans="1:12" s="37" customFormat="1" ht="11.25" x14ac:dyDescent="0.2">
      <c r="A1627" s="46" t="s">
        <v>5451</v>
      </c>
      <c r="B1627" s="46" t="s">
        <v>5451</v>
      </c>
      <c r="C1627" s="58" t="str">
        <f>"00095893"</f>
        <v>00095893</v>
      </c>
      <c r="D1627" s="58" t="str">
        <f>"16121112"</f>
        <v>16121112</v>
      </c>
      <c r="E1627" s="46" t="s">
        <v>5454</v>
      </c>
      <c r="F1627" s="46" t="s">
        <v>18158</v>
      </c>
      <c r="G1627" s="46" t="s">
        <v>50584</v>
      </c>
      <c r="H1627" s="48" t="s">
        <v>56716</v>
      </c>
      <c r="I1627" s="48" t="s">
        <v>50564</v>
      </c>
      <c r="J1627" s="48" t="s">
        <v>56716</v>
      </c>
      <c r="K1627" s="50" t="s">
        <v>56716</v>
      </c>
      <c r="L1627" s="48"/>
    </row>
    <row r="1628" spans="1:12" s="37" customFormat="1" ht="11.25" x14ac:dyDescent="0.2">
      <c r="A1628" s="46" t="s">
        <v>1067</v>
      </c>
      <c r="B1628" s="46" t="s">
        <v>1067</v>
      </c>
      <c r="C1628" s="58" t="str">
        <f>"00095915"</f>
        <v>00095915</v>
      </c>
      <c r="D1628" s="58" t="str">
        <f>"14320886"</f>
        <v>14320886</v>
      </c>
      <c r="E1628" s="46" t="s">
        <v>1070</v>
      </c>
      <c r="F1628" s="46" t="s">
        <v>18158</v>
      </c>
      <c r="G1628" s="46" t="s">
        <v>50584</v>
      </c>
      <c r="H1628" s="48" t="s">
        <v>56716</v>
      </c>
      <c r="I1628" s="48" t="s">
        <v>50564</v>
      </c>
      <c r="J1628" s="48"/>
      <c r="K1628" s="50" t="s">
        <v>56716</v>
      </c>
      <c r="L1628" s="48" t="s">
        <v>56716</v>
      </c>
    </row>
    <row r="1629" spans="1:12" s="37" customFormat="1" ht="11.25" x14ac:dyDescent="0.2">
      <c r="A1629" s="46" t="s">
        <v>6044</v>
      </c>
      <c r="B1629" s="46" t="s">
        <v>51693</v>
      </c>
      <c r="C1629" s="58" t="str">
        <f>"09673849"</f>
        <v>09673849</v>
      </c>
      <c r="D1629" s="58" t="str">
        <f>"15736849"</f>
        <v>15736849</v>
      </c>
      <c r="E1629" s="46" t="s">
        <v>18876</v>
      </c>
      <c r="F1629" s="46" t="s">
        <v>18001</v>
      </c>
      <c r="G1629" s="46" t="s">
        <v>50584</v>
      </c>
      <c r="H1629" s="48" t="s">
        <v>56716</v>
      </c>
      <c r="I1629" s="48" t="s">
        <v>50564</v>
      </c>
      <c r="J1629" s="48" t="s">
        <v>56716</v>
      </c>
      <c r="K1629" s="50" t="s">
        <v>56716</v>
      </c>
      <c r="L1629" s="48" t="s">
        <v>56716</v>
      </c>
    </row>
    <row r="1630" spans="1:12" s="37" customFormat="1" ht="11.25" x14ac:dyDescent="0.2">
      <c r="A1630" s="46" t="s">
        <v>11275</v>
      </c>
      <c r="B1630" s="46" t="s">
        <v>51694</v>
      </c>
      <c r="C1630" s="58" t="str">
        <f>"17423953"</f>
        <v>17423953</v>
      </c>
      <c r="D1630" s="58" t="str">
        <f>"17459206"</f>
        <v>17459206</v>
      </c>
      <c r="E1630" s="46" t="s">
        <v>97</v>
      </c>
      <c r="F1630" s="46" t="s">
        <v>50646</v>
      </c>
      <c r="G1630" s="46" t="s">
        <v>50584</v>
      </c>
      <c r="H1630" s="48" t="s">
        <v>56716</v>
      </c>
      <c r="I1630" s="48" t="s">
        <v>50564</v>
      </c>
      <c r="J1630" s="48"/>
      <c r="K1630" s="50"/>
      <c r="L1630" s="48" t="s">
        <v>56716</v>
      </c>
    </row>
    <row r="1631" spans="1:12" s="37" customFormat="1" ht="11.25" x14ac:dyDescent="0.2">
      <c r="A1631" s="46" t="s">
        <v>10557</v>
      </c>
      <c r="B1631" s="46" t="s">
        <v>51695</v>
      </c>
      <c r="C1631" s="58" t="str">
        <f>"14799723"</f>
        <v>14799723</v>
      </c>
      <c r="D1631" s="58" t="str">
        <f>"14799731"</f>
        <v>14799731</v>
      </c>
      <c r="E1631" s="46" t="s">
        <v>97</v>
      </c>
      <c r="F1631" s="46" t="s">
        <v>50646</v>
      </c>
      <c r="G1631" s="46" t="s">
        <v>50584</v>
      </c>
      <c r="H1631" s="48" t="s">
        <v>56716</v>
      </c>
      <c r="I1631" s="48" t="s">
        <v>50564</v>
      </c>
      <c r="J1631" s="48" t="s">
        <v>56716</v>
      </c>
      <c r="K1631" s="50"/>
      <c r="L1631" s="48" t="s">
        <v>56716</v>
      </c>
    </row>
    <row r="1632" spans="1:12" s="37" customFormat="1" ht="11.25" x14ac:dyDescent="0.2">
      <c r="A1632" s="45" t="s">
        <v>24954</v>
      </c>
      <c r="B1632" s="45" t="s">
        <v>24956</v>
      </c>
      <c r="C1632" s="51" t="s">
        <v>24958</v>
      </c>
      <c r="D1632" s="51" t="s">
        <v>24957</v>
      </c>
      <c r="E1632" s="45" t="s">
        <v>291</v>
      </c>
      <c r="F1632" s="45" t="s">
        <v>50646</v>
      </c>
      <c r="G1632" s="45" t="s">
        <v>50584</v>
      </c>
      <c r="H1632" s="56"/>
      <c r="I1632" s="56" t="s">
        <v>50564</v>
      </c>
      <c r="J1632" s="56"/>
      <c r="K1632" s="50"/>
      <c r="L1632" s="56" t="s">
        <v>56716</v>
      </c>
    </row>
    <row r="1633" spans="1:12" s="37" customFormat="1" ht="11.25" x14ac:dyDescent="0.2">
      <c r="A1633" s="45" t="s">
        <v>24960</v>
      </c>
      <c r="B1633" s="45" t="s">
        <v>24962</v>
      </c>
      <c r="C1633" s="51" t="s">
        <v>24963</v>
      </c>
      <c r="D1633" s="51"/>
      <c r="E1633" s="45" t="s">
        <v>24964</v>
      </c>
      <c r="F1633" s="45" t="s">
        <v>18242</v>
      </c>
      <c r="G1633" s="45" t="s">
        <v>50605</v>
      </c>
      <c r="H1633" s="56"/>
      <c r="I1633" s="56" t="s">
        <v>50564</v>
      </c>
      <c r="J1633" s="56"/>
      <c r="K1633" s="50"/>
      <c r="L1633" s="56" t="s">
        <v>56716</v>
      </c>
    </row>
    <row r="1634" spans="1:12" s="37" customFormat="1" ht="11.25" x14ac:dyDescent="0.2">
      <c r="A1634" s="45" t="s">
        <v>24966</v>
      </c>
      <c r="B1634" s="45" t="s">
        <v>24968</v>
      </c>
      <c r="C1634" s="51" t="s">
        <v>24970</v>
      </c>
      <c r="D1634" s="51" t="s">
        <v>24969</v>
      </c>
      <c r="E1634" s="45" t="s">
        <v>24971</v>
      </c>
      <c r="F1634" s="45" t="s">
        <v>18058</v>
      </c>
      <c r="G1634" s="45" t="s">
        <v>50611</v>
      </c>
      <c r="H1634" s="56"/>
      <c r="I1634" s="56" t="s">
        <v>50564</v>
      </c>
      <c r="J1634" s="56"/>
      <c r="K1634" s="50"/>
      <c r="L1634" s="56" t="s">
        <v>56716</v>
      </c>
    </row>
    <row r="1635" spans="1:12" s="37" customFormat="1" ht="11.25" x14ac:dyDescent="0.2">
      <c r="A1635" s="46" t="s">
        <v>16627</v>
      </c>
      <c r="B1635" s="46" t="s">
        <v>16627</v>
      </c>
      <c r="C1635" s="58" t="str">
        <f>""</f>
        <v/>
      </c>
      <c r="D1635" s="58" t="str">
        <f>"20462530"</f>
        <v>20462530</v>
      </c>
      <c r="E1635" s="46" t="s">
        <v>2299</v>
      </c>
      <c r="F1635" s="46" t="s">
        <v>50646</v>
      </c>
      <c r="G1635" s="46" t="s">
        <v>50584</v>
      </c>
      <c r="H1635" s="48" t="s">
        <v>56716</v>
      </c>
      <c r="I1635" s="48" t="s">
        <v>50564</v>
      </c>
      <c r="J1635" s="48" t="s">
        <v>56716</v>
      </c>
      <c r="K1635" s="50"/>
      <c r="L1635" s="48"/>
    </row>
    <row r="1636" spans="1:12" s="37" customFormat="1" ht="11.25" x14ac:dyDescent="0.2">
      <c r="A1636" s="46" t="s">
        <v>56175</v>
      </c>
      <c r="B1636" s="46" t="s">
        <v>56176</v>
      </c>
      <c r="C1636" s="58" t="str">
        <f>"2005291X"</f>
        <v>2005291X</v>
      </c>
      <c r="D1636" s="58" t="str">
        <f>"20054408"</f>
        <v>20054408</v>
      </c>
      <c r="E1636" s="46" t="s">
        <v>14681</v>
      </c>
      <c r="F1636" s="46" t="s">
        <v>50649</v>
      </c>
      <c r="G1636" s="46" t="s">
        <v>50584</v>
      </c>
      <c r="H1636" s="48" t="s">
        <v>56716</v>
      </c>
      <c r="I1636" s="48" t="s">
        <v>50564</v>
      </c>
      <c r="J1636" s="48"/>
      <c r="K1636" s="50"/>
      <c r="L1636" s="48" t="s">
        <v>56716</v>
      </c>
    </row>
    <row r="1637" spans="1:12" s="37" customFormat="1" ht="11.25" x14ac:dyDescent="0.2">
      <c r="A1637" s="46" t="s">
        <v>1088</v>
      </c>
      <c r="B1637" s="46" t="s">
        <v>1088</v>
      </c>
      <c r="C1637" s="58" t="str">
        <f>"00097322"</f>
        <v>00097322</v>
      </c>
      <c r="D1637" s="58" t="str">
        <f>"15244539"</f>
        <v>15244539</v>
      </c>
      <c r="E1637" s="46" t="s">
        <v>28</v>
      </c>
      <c r="F1637" s="46" t="s">
        <v>17759</v>
      </c>
      <c r="G1637" s="46" t="s">
        <v>50584</v>
      </c>
      <c r="H1637" s="48" t="s">
        <v>56716</v>
      </c>
      <c r="I1637" s="48" t="s">
        <v>50564</v>
      </c>
      <c r="J1637" s="48" t="s">
        <v>56716</v>
      </c>
      <c r="K1637" s="50" t="s">
        <v>56716</v>
      </c>
      <c r="L1637" s="48" t="s">
        <v>56716</v>
      </c>
    </row>
    <row r="1638" spans="1:12" s="37" customFormat="1" ht="11.25" x14ac:dyDescent="0.2">
      <c r="A1638" s="46" t="s">
        <v>9252</v>
      </c>
      <c r="B1638" s="46" t="s">
        <v>51696</v>
      </c>
      <c r="C1638" s="58" t="str">
        <f>"13469843"</f>
        <v>13469843</v>
      </c>
      <c r="D1638" s="58" t="str">
        <f>"13474820"</f>
        <v>13474820</v>
      </c>
      <c r="E1638" s="46" t="s">
        <v>9255</v>
      </c>
      <c r="F1638" s="46" t="s">
        <v>18242</v>
      </c>
      <c r="G1638" s="46" t="s">
        <v>50584</v>
      </c>
      <c r="H1638" s="48" t="s">
        <v>56716</v>
      </c>
      <c r="I1638" s="48" t="s">
        <v>50564</v>
      </c>
      <c r="J1638" s="48"/>
      <c r="K1638" s="50"/>
      <c r="L1638" s="48" t="s">
        <v>56716</v>
      </c>
    </row>
    <row r="1639" spans="1:12" s="37" customFormat="1" ht="11.25" x14ac:dyDescent="0.2">
      <c r="A1639" s="46" t="s">
        <v>1091</v>
      </c>
      <c r="B1639" s="46" t="s">
        <v>51697</v>
      </c>
      <c r="C1639" s="58" t="str">
        <f>"00097330"</f>
        <v>00097330</v>
      </c>
      <c r="D1639" s="58" t="str">
        <f>"15244571"</f>
        <v>15244571</v>
      </c>
      <c r="E1639" s="46" t="s">
        <v>28</v>
      </c>
      <c r="F1639" s="46" t="s">
        <v>17759</v>
      </c>
      <c r="G1639" s="46" t="s">
        <v>50584</v>
      </c>
      <c r="H1639" s="48" t="s">
        <v>56716</v>
      </c>
      <c r="I1639" s="48" t="s">
        <v>50564</v>
      </c>
      <c r="J1639" s="48" t="s">
        <v>56716</v>
      </c>
      <c r="K1639" s="50" t="s">
        <v>56716</v>
      </c>
      <c r="L1639" s="48" t="s">
        <v>56716</v>
      </c>
    </row>
    <row r="1640" spans="1:12" s="37" customFormat="1" ht="11.25" x14ac:dyDescent="0.2">
      <c r="A1640" s="46" t="s">
        <v>13094</v>
      </c>
      <c r="B1640" s="46" t="s">
        <v>51698</v>
      </c>
      <c r="C1640" s="58" t="str">
        <f>"19413149"</f>
        <v>19413149</v>
      </c>
      <c r="D1640" s="58" t="str">
        <f>"19413084"</f>
        <v>19413084</v>
      </c>
      <c r="E1640" s="46" t="s">
        <v>28</v>
      </c>
      <c r="F1640" s="46" t="s">
        <v>17759</v>
      </c>
      <c r="G1640" s="46" t="s">
        <v>50584</v>
      </c>
      <c r="H1640" s="48" t="s">
        <v>56716</v>
      </c>
      <c r="I1640" s="48" t="s">
        <v>50564</v>
      </c>
      <c r="J1640" s="48" t="s">
        <v>56716</v>
      </c>
      <c r="K1640" s="50"/>
      <c r="L1640" s="48" t="s">
        <v>56716</v>
      </c>
    </row>
    <row r="1641" spans="1:12" s="37" customFormat="1" ht="11.25" x14ac:dyDescent="0.2">
      <c r="A1641" s="46" t="s">
        <v>13721</v>
      </c>
      <c r="B1641" s="46" t="s">
        <v>51699</v>
      </c>
      <c r="C1641" s="58" t="str">
        <f>"1942325X"</f>
        <v>1942325X</v>
      </c>
      <c r="D1641" s="58" t="str">
        <f>"19423268"</f>
        <v>19423268</v>
      </c>
      <c r="E1641" s="46" t="s">
        <v>28</v>
      </c>
      <c r="F1641" s="46" t="s">
        <v>17759</v>
      </c>
      <c r="G1641" s="46" t="s">
        <v>50584</v>
      </c>
      <c r="H1641" s="48" t="s">
        <v>56716</v>
      </c>
      <c r="I1641" s="48" t="s">
        <v>50564</v>
      </c>
      <c r="J1641" s="48" t="s">
        <v>56716</v>
      </c>
      <c r="K1641" s="50"/>
      <c r="L1641" s="48" t="s">
        <v>56716</v>
      </c>
    </row>
    <row r="1642" spans="1:12" s="37" customFormat="1" ht="11.25" x14ac:dyDescent="0.2">
      <c r="A1642" s="46" t="s">
        <v>13421</v>
      </c>
      <c r="B1642" s="46" t="s">
        <v>51700</v>
      </c>
      <c r="C1642" s="58" t="str">
        <f>"19419651"</f>
        <v>19419651</v>
      </c>
      <c r="D1642" s="58" t="str">
        <f>"19420080"</f>
        <v>19420080</v>
      </c>
      <c r="E1642" s="46" t="s">
        <v>28</v>
      </c>
      <c r="F1642" s="46" t="s">
        <v>17759</v>
      </c>
      <c r="G1642" s="46" t="s">
        <v>50584</v>
      </c>
      <c r="H1642" s="48" t="s">
        <v>56716</v>
      </c>
      <c r="I1642" s="48" t="s">
        <v>50564</v>
      </c>
      <c r="J1642" s="48" t="s">
        <v>56716</v>
      </c>
      <c r="K1642" s="50"/>
      <c r="L1642" s="48" t="s">
        <v>56716</v>
      </c>
    </row>
    <row r="1643" spans="1:12" s="37" customFormat="1" ht="11.25" x14ac:dyDescent="0.2">
      <c r="A1643" s="46" t="s">
        <v>13424</v>
      </c>
      <c r="B1643" s="46" t="s">
        <v>51701</v>
      </c>
      <c r="C1643" s="58" t="str">
        <f>"19417640"</f>
        <v>19417640</v>
      </c>
      <c r="D1643" s="58" t="str">
        <f>"19417632"</f>
        <v>19417632</v>
      </c>
      <c r="E1643" s="46" t="s">
        <v>28</v>
      </c>
      <c r="F1643" s="46" t="s">
        <v>17759</v>
      </c>
      <c r="G1643" s="46" t="s">
        <v>50584</v>
      </c>
      <c r="H1643" s="48" t="s">
        <v>56716</v>
      </c>
      <c r="I1643" s="48" t="s">
        <v>50564</v>
      </c>
      <c r="J1643" s="48" t="s">
        <v>56716</v>
      </c>
      <c r="K1643" s="50"/>
      <c r="L1643" s="48" t="s">
        <v>56716</v>
      </c>
    </row>
    <row r="1644" spans="1:12" s="37" customFormat="1" ht="11.25" x14ac:dyDescent="0.2">
      <c r="A1644" s="46" t="s">
        <v>13724</v>
      </c>
      <c r="B1644" s="46" t="s">
        <v>51702</v>
      </c>
      <c r="C1644" s="58" t="str">
        <f>"19417713"</f>
        <v>19417713</v>
      </c>
      <c r="D1644" s="58" t="str">
        <f>"19417705"</f>
        <v>19417705</v>
      </c>
      <c r="E1644" s="46" t="s">
        <v>28</v>
      </c>
      <c r="F1644" s="46" t="s">
        <v>17759</v>
      </c>
      <c r="G1644" s="46" t="s">
        <v>50584</v>
      </c>
      <c r="H1644" s="48" t="s">
        <v>56716</v>
      </c>
      <c r="I1644" s="48" t="s">
        <v>50564</v>
      </c>
      <c r="J1644" s="48" t="s">
        <v>56716</v>
      </c>
      <c r="K1644" s="50"/>
      <c r="L1644" s="48" t="s">
        <v>56716</v>
      </c>
    </row>
    <row r="1645" spans="1:12" s="37" customFormat="1" ht="11.25" x14ac:dyDescent="0.2">
      <c r="A1645" s="46" t="s">
        <v>13063</v>
      </c>
      <c r="B1645" s="46" t="s">
        <v>51703</v>
      </c>
      <c r="C1645" s="58" t="str">
        <f>"19413289"</f>
        <v>19413289</v>
      </c>
      <c r="D1645" s="58" t="str">
        <f>"19413297"</f>
        <v>19413297</v>
      </c>
      <c r="E1645" s="46" t="s">
        <v>28</v>
      </c>
      <c r="F1645" s="46" t="s">
        <v>17759</v>
      </c>
      <c r="G1645" s="46" t="s">
        <v>50584</v>
      </c>
      <c r="H1645" s="48" t="s">
        <v>56716</v>
      </c>
      <c r="I1645" s="48" t="s">
        <v>50564</v>
      </c>
      <c r="J1645" s="48" t="s">
        <v>56716</v>
      </c>
      <c r="K1645" s="50"/>
      <c r="L1645" s="48" t="s">
        <v>56716</v>
      </c>
    </row>
    <row r="1646" spans="1:12" s="37" customFormat="1" ht="11.25" x14ac:dyDescent="0.2">
      <c r="A1646" s="46" t="s">
        <v>17102</v>
      </c>
      <c r="B1646" s="46" t="s">
        <v>51704</v>
      </c>
      <c r="C1646" s="58" t="str">
        <f>"11340096"</f>
        <v>11340096</v>
      </c>
      <c r="D1646" s="58" t="str">
        <f>""</f>
        <v/>
      </c>
      <c r="E1646" s="46" t="s">
        <v>175</v>
      </c>
      <c r="F1646" s="46" t="s">
        <v>18439</v>
      </c>
      <c r="G1646" s="46" t="s">
        <v>50632</v>
      </c>
      <c r="H1646" s="48" t="s">
        <v>56716</v>
      </c>
      <c r="I1646" s="48" t="s">
        <v>50564</v>
      </c>
      <c r="J1646" s="48"/>
      <c r="K1646" s="50" t="s">
        <v>56716</v>
      </c>
      <c r="L1646" s="48"/>
    </row>
    <row r="1647" spans="1:12" s="37" customFormat="1" ht="11.25" x14ac:dyDescent="0.2">
      <c r="A1647" s="45" t="s">
        <v>25012</v>
      </c>
      <c r="B1647" s="45" t="s">
        <v>25014</v>
      </c>
      <c r="C1647" s="51" t="s">
        <v>25017</v>
      </c>
      <c r="D1647" s="51" t="s">
        <v>25016</v>
      </c>
      <c r="E1647" s="45" t="s">
        <v>18438</v>
      </c>
      <c r="F1647" s="45" t="s">
        <v>18439</v>
      </c>
      <c r="G1647" s="45" t="s">
        <v>50632</v>
      </c>
      <c r="H1647" s="56"/>
      <c r="I1647" s="56" t="s">
        <v>50564</v>
      </c>
      <c r="J1647" s="56"/>
      <c r="K1647" s="50"/>
      <c r="L1647" s="56" t="s">
        <v>56716</v>
      </c>
    </row>
    <row r="1648" spans="1:12" s="37" customFormat="1" ht="11.25" x14ac:dyDescent="0.2">
      <c r="A1648" s="45" t="s">
        <v>25020</v>
      </c>
      <c r="B1648" s="45" t="s">
        <v>25022</v>
      </c>
      <c r="C1648" s="51" t="s">
        <v>25023</v>
      </c>
      <c r="D1648" s="51"/>
      <c r="E1648" s="45" t="s">
        <v>25024</v>
      </c>
      <c r="F1648" s="45" t="s">
        <v>18439</v>
      </c>
      <c r="G1648" s="45" t="s">
        <v>50633</v>
      </c>
      <c r="H1648" s="56"/>
      <c r="I1648" s="56" t="s">
        <v>50564</v>
      </c>
      <c r="J1648" s="56"/>
      <c r="K1648" s="50"/>
      <c r="L1648" s="56" t="s">
        <v>56716</v>
      </c>
    </row>
    <row r="1649" spans="1:12" s="37" customFormat="1" ht="11.25" x14ac:dyDescent="0.2">
      <c r="A1649" s="45" t="s">
        <v>25026</v>
      </c>
      <c r="B1649" s="45" t="s">
        <v>25028</v>
      </c>
      <c r="C1649" s="51" t="s">
        <v>25029</v>
      </c>
      <c r="D1649" s="51"/>
      <c r="E1649" s="45" t="s">
        <v>25030</v>
      </c>
      <c r="F1649" s="45" t="s">
        <v>18411</v>
      </c>
      <c r="G1649" s="45" t="s">
        <v>50633</v>
      </c>
      <c r="H1649" s="56"/>
      <c r="I1649" s="56" t="s">
        <v>50564</v>
      </c>
      <c r="J1649" s="56"/>
      <c r="K1649" s="50"/>
      <c r="L1649" s="56" t="s">
        <v>56716</v>
      </c>
    </row>
    <row r="1650" spans="1:12" s="37" customFormat="1" ht="11.25" x14ac:dyDescent="0.2">
      <c r="A1650" s="46" t="s">
        <v>16167</v>
      </c>
      <c r="B1650" s="46" t="s">
        <v>51705</v>
      </c>
      <c r="C1650" s="58" t="str">
        <f>"19231210"</f>
        <v>19231210</v>
      </c>
      <c r="D1650" s="58" t="str">
        <f>""</f>
        <v/>
      </c>
      <c r="E1650" s="46" t="s">
        <v>16169</v>
      </c>
      <c r="F1650" s="46" t="s">
        <v>18959</v>
      </c>
      <c r="G1650" s="46" t="s">
        <v>50584</v>
      </c>
      <c r="H1650" s="48" t="s">
        <v>56716</v>
      </c>
      <c r="I1650" s="48" t="s">
        <v>50564</v>
      </c>
      <c r="J1650" s="48"/>
      <c r="K1650" s="50"/>
      <c r="L1650" s="48"/>
    </row>
    <row r="1651" spans="1:12" s="37" customFormat="1" ht="11.25" x14ac:dyDescent="0.2">
      <c r="A1651" s="46" t="s">
        <v>5584</v>
      </c>
      <c r="B1651" s="46" t="s">
        <v>51706</v>
      </c>
      <c r="C1651" s="58" t="str">
        <f>"10556656"</f>
        <v>10556656</v>
      </c>
      <c r="D1651" s="58" t="str">
        <f>"15451569"</f>
        <v>15451569</v>
      </c>
      <c r="E1651" s="46" t="s">
        <v>5587</v>
      </c>
      <c r="F1651" s="46" t="s">
        <v>17759</v>
      </c>
      <c r="G1651" s="46" t="s">
        <v>50584</v>
      </c>
      <c r="H1651" s="48" t="s">
        <v>56716</v>
      </c>
      <c r="I1651" s="48" t="s">
        <v>50564</v>
      </c>
      <c r="J1651" s="48" t="s">
        <v>56716</v>
      </c>
      <c r="K1651" s="50"/>
      <c r="L1651" s="48" t="s">
        <v>56716</v>
      </c>
    </row>
    <row r="1652" spans="1:12" s="37" customFormat="1" ht="11.25" x14ac:dyDescent="0.2">
      <c r="A1652" s="45" t="s">
        <v>25042</v>
      </c>
      <c r="B1652" s="45" t="s">
        <v>25044</v>
      </c>
      <c r="C1652" s="51" t="s">
        <v>25047</v>
      </c>
      <c r="D1652" s="51" t="s">
        <v>25046</v>
      </c>
      <c r="E1652" s="45" t="s">
        <v>25048</v>
      </c>
      <c r="F1652" s="45" t="s">
        <v>17759</v>
      </c>
      <c r="G1652" s="45" t="s">
        <v>50584</v>
      </c>
      <c r="H1652" s="56"/>
      <c r="I1652" s="56" t="s">
        <v>50564</v>
      </c>
      <c r="J1652" s="56"/>
      <c r="K1652" s="50"/>
      <c r="L1652" s="56" t="s">
        <v>56716</v>
      </c>
    </row>
    <row r="1653" spans="1:12" s="37" customFormat="1" ht="11.25" x14ac:dyDescent="0.2">
      <c r="A1653" s="46" t="s">
        <v>7836</v>
      </c>
      <c r="B1653" s="46" t="s">
        <v>7836</v>
      </c>
      <c r="C1653" s="58" t="str">
        <f>"13697137"</f>
        <v>13697137</v>
      </c>
      <c r="D1653" s="58" t="str">
        <f>"14730804"</f>
        <v>14730804</v>
      </c>
      <c r="E1653" s="46" t="s">
        <v>291</v>
      </c>
      <c r="F1653" s="46" t="s">
        <v>50646</v>
      </c>
      <c r="G1653" s="46" t="s">
        <v>50584</v>
      </c>
      <c r="H1653" s="48" t="s">
        <v>56716</v>
      </c>
      <c r="I1653" s="48" t="s">
        <v>50564</v>
      </c>
      <c r="J1653" s="48" t="s">
        <v>56716</v>
      </c>
      <c r="K1653" s="50"/>
      <c r="L1653" s="48" t="s">
        <v>56716</v>
      </c>
    </row>
    <row r="1654" spans="1:12" s="37" customFormat="1" ht="11.25" x14ac:dyDescent="0.2">
      <c r="A1654" s="46" t="s">
        <v>995</v>
      </c>
      <c r="B1654" s="46" t="s">
        <v>51707</v>
      </c>
      <c r="C1654" s="58" t="str">
        <f>"00098981"</f>
        <v>00098981</v>
      </c>
      <c r="D1654" s="58" t="str">
        <f>"18733492"</f>
        <v>18733492</v>
      </c>
      <c r="E1654" s="46" t="s">
        <v>91</v>
      </c>
      <c r="F1654" s="46" t="s">
        <v>18001</v>
      </c>
      <c r="G1654" s="46" t="s">
        <v>50584</v>
      </c>
      <c r="H1654" s="48" t="s">
        <v>56716</v>
      </c>
      <c r="I1654" s="48" t="s">
        <v>50564</v>
      </c>
      <c r="J1654" s="48" t="s">
        <v>56716</v>
      </c>
      <c r="K1654" s="50" t="s">
        <v>56716</v>
      </c>
      <c r="L1654" s="48" t="s">
        <v>56716</v>
      </c>
    </row>
    <row r="1655" spans="1:12" s="37" customFormat="1" ht="11.25" x14ac:dyDescent="0.2">
      <c r="A1655" s="46" t="s">
        <v>11797</v>
      </c>
      <c r="B1655" s="46" t="s">
        <v>51708</v>
      </c>
      <c r="C1655" s="58" t="str">
        <f>"02149168"</f>
        <v>02149168</v>
      </c>
      <c r="D1655" s="58" t="str">
        <f>"15781879"</f>
        <v>15781879</v>
      </c>
      <c r="E1655" s="46" t="s">
        <v>175</v>
      </c>
      <c r="F1655" s="46" t="s">
        <v>18439</v>
      </c>
      <c r="G1655" s="46" t="s">
        <v>50632</v>
      </c>
      <c r="H1655" s="48" t="s">
        <v>56716</v>
      </c>
      <c r="I1655" s="48" t="s">
        <v>50564</v>
      </c>
      <c r="J1655" s="48"/>
      <c r="K1655" s="50" t="s">
        <v>56716</v>
      </c>
      <c r="L1655" s="48" t="s">
        <v>56716</v>
      </c>
    </row>
    <row r="1656" spans="1:12" s="37" customFormat="1" ht="11.25" x14ac:dyDescent="0.2">
      <c r="A1656" s="46" t="s">
        <v>1077</v>
      </c>
      <c r="B1656" s="46" t="s">
        <v>51709</v>
      </c>
      <c r="C1656" s="58" t="str">
        <f>"0210573X"</f>
        <v>0210573X</v>
      </c>
      <c r="D1656" s="58" t="str">
        <f>"15789349"</f>
        <v>15789349</v>
      </c>
      <c r="E1656" s="46" t="s">
        <v>175</v>
      </c>
      <c r="F1656" s="46" t="s">
        <v>18439</v>
      </c>
      <c r="G1656" s="46" t="s">
        <v>50632</v>
      </c>
      <c r="H1656" s="48" t="s">
        <v>56716</v>
      </c>
      <c r="I1656" s="48" t="s">
        <v>50564</v>
      </c>
      <c r="J1656" s="48"/>
      <c r="K1656" s="50" t="s">
        <v>56716</v>
      </c>
      <c r="L1656" s="48"/>
    </row>
    <row r="1657" spans="1:12" s="37" customFormat="1" ht="11.25" x14ac:dyDescent="0.2">
      <c r="A1657" s="46" t="s">
        <v>1182</v>
      </c>
      <c r="B1657" s="46" t="s">
        <v>51710</v>
      </c>
      <c r="C1657" s="58" t="str">
        <f>"00099074"</f>
        <v>00099074</v>
      </c>
      <c r="D1657" s="58" t="str">
        <f>"19726007"</f>
        <v>19726007</v>
      </c>
      <c r="E1657" s="46" t="s">
        <v>1185</v>
      </c>
      <c r="F1657" s="46" t="s">
        <v>17991</v>
      </c>
      <c r="G1657" s="46" t="s">
        <v>50603</v>
      </c>
      <c r="H1657" s="48" t="s">
        <v>56716</v>
      </c>
      <c r="I1657" s="48" t="s">
        <v>50564</v>
      </c>
      <c r="J1657" s="48"/>
      <c r="K1657" s="50"/>
      <c r="L1657" s="48" t="s">
        <v>56716</v>
      </c>
    </row>
    <row r="1658" spans="1:12" s="37" customFormat="1" ht="11.25" x14ac:dyDescent="0.2">
      <c r="A1658" s="45" t="s">
        <v>25079</v>
      </c>
      <c r="B1658" s="45" t="s">
        <v>25081</v>
      </c>
      <c r="C1658" s="51" t="s">
        <v>25084</v>
      </c>
      <c r="D1658" s="51" t="s">
        <v>25083</v>
      </c>
      <c r="E1658" s="45" t="s">
        <v>970</v>
      </c>
      <c r="F1658" s="45" t="s">
        <v>20082</v>
      </c>
      <c r="G1658" s="45" t="s">
        <v>50584</v>
      </c>
      <c r="H1658" s="56"/>
      <c r="I1658" s="56" t="s">
        <v>50564</v>
      </c>
      <c r="J1658" s="56"/>
      <c r="K1658" s="50"/>
      <c r="L1658" s="56" t="s">
        <v>56716</v>
      </c>
    </row>
    <row r="1659" spans="1:12" s="37" customFormat="1" ht="11.25" x14ac:dyDescent="0.2">
      <c r="A1659" s="46" t="s">
        <v>10645</v>
      </c>
      <c r="B1659" s="46" t="s">
        <v>51711</v>
      </c>
      <c r="C1659" s="58" t="str">
        <f>"15430790"</f>
        <v>15430790</v>
      </c>
      <c r="D1659" s="58" t="str">
        <f>""</f>
        <v/>
      </c>
      <c r="E1659" s="46" t="s">
        <v>10647</v>
      </c>
      <c r="F1659" s="46" t="s">
        <v>17759</v>
      </c>
      <c r="G1659" s="46" t="s">
        <v>50584</v>
      </c>
      <c r="H1659" s="48" t="s">
        <v>56716</v>
      </c>
      <c r="I1659" s="48" t="s">
        <v>50564</v>
      </c>
      <c r="J1659" s="48"/>
      <c r="K1659" s="50"/>
      <c r="L1659" s="48" t="s">
        <v>56716</v>
      </c>
    </row>
    <row r="1660" spans="1:12" s="37" customFormat="1" ht="11.25" x14ac:dyDescent="0.2">
      <c r="A1660" s="45" t="s">
        <v>25098</v>
      </c>
      <c r="B1660" s="45" t="s">
        <v>25100</v>
      </c>
      <c r="C1660" s="51" t="s">
        <v>25101</v>
      </c>
      <c r="D1660" s="51"/>
      <c r="E1660" s="45" t="s">
        <v>291</v>
      </c>
      <c r="F1660" s="45" t="s">
        <v>17759</v>
      </c>
      <c r="G1660" s="45" t="s">
        <v>50584</v>
      </c>
      <c r="H1660" s="56"/>
      <c r="I1660" s="56" t="s">
        <v>50564</v>
      </c>
      <c r="J1660" s="56"/>
      <c r="K1660" s="50"/>
      <c r="L1660" s="56" t="s">
        <v>56716</v>
      </c>
    </row>
    <row r="1661" spans="1:12" s="37" customFormat="1" ht="11.25" x14ac:dyDescent="0.2">
      <c r="A1661" s="46" t="s">
        <v>4694</v>
      </c>
      <c r="B1661" s="46" t="s">
        <v>51712</v>
      </c>
      <c r="C1661" s="58" t="str">
        <f>"08973806"</f>
        <v>08973806</v>
      </c>
      <c r="D1661" s="58" t="str">
        <f>"10982353"</f>
        <v>10982353</v>
      </c>
      <c r="E1661" s="46" t="s">
        <v>517</v>
      </c>
      <c r="F1661" s="46" t="s">
        <v>17759</v>
      </c>
      <c r="G1661" s="46" t="s">
        <v>50584</v>
      </c>
      <c r="H1661" s="48" t="s">
        <v>56716</v>
      </c>
      <c r="I1661" s="48" t="s">
        <v>50564</v>
      </c>
      <c r="J1661" s="48" t="s">
        <v>56716</v>
      </c>
      <c r="K1661" s="50" t="s">
        <v>56716</v>
      </c>
      <c r="L1661" s="48" t="s">
        <v>56716</v>
      </c>
    </row>
    <row r="1662" spans="1:12" s="37" customFormat="1" ht="11.25" x14ac:dyDescent="0.2">
      <c r="A1662" s="46" t="s">
        <v>7041</v>
      </c>
      <c r="B1662" s="46" t="s">
        <v>51713</v>
      </c>
      <c r="C1662" s="58" t="str">
        <f>"10760296"</f>
        <v>10760296</v>
      </c>
      <c r="D1662" s="58" t="str">
        <f>"19382723"</f>
        <v>19382723</v>
      </c>
      <c r="E1662" s="46" t="s">
        <v>493</v>
      </c>
      <c r="F1662" s="46" t="s">
        <v>17759</v>
      </c>
      <c r="G1662" s="46" t="s">
        <v>50584</v>
      </c>
      <c r="H1662" s="48" t="s">
        <v>56716</v>
      </c>
      <c r="I1662" s="48" t="s">
        <v>50564</v>
      </c>
      <c r="J1662" s="48" t="s">
        <v>56716</v>
      </c>
      <c r="K1662" s="50"/>
      <c r="L1662" s="48" t="s">
        <v>56716</v>
      </c>
    </row>
    <row r="1663" spans="1:12" s="37" customFormat="1" ht="11.25" x14ac:dyDescent="0.2">
      <c r="A1663" s="46" t="s">
        <v>4777</v>
      </c>
      <c r="B1663" s="46" t="s">
        <v>51714</v>
      </c>
      <c r="C1663" s="58" t="str">
        <f>"09547894"</f>
        <v>09547894</v>
      </c>
      <c r="D1663" s="58" t="str">
        <f>"13652222"</f>
        <v>13652222</v>
      </c>
      <c r="E1663" s="46" t="s">
        <v>35</v>
      </c>
      <c r="F1663" s="46" t="s">
        <v>50646</v>
      </c>
      <c r="G1663" s="46" t="s">
        <v>50584</v>
      </c>
      <c r="H1663" s="48" t="s">
        <v>56716</v>
      </c>
      <c r="I1663" s="48" t="s">
        <v>50564</v>
      </c>
      <c r="J1663" s="48" t="s">
        <v>56716</v>
      </c>
      <c r="K1663" s="50"/>
      <c r="L1663" s="48" t="s">
        <v>56716</v>
      </c>
    </row>
    <row r="1664" spans="1:12" s="37" customFormat="1" ht="11.25" x14ac:dyDescent="0.2">
      <c r="A1664" s="46" t="s">
        <v>1025</v>
      </c>
      <c r="B1664" s="46" t="s">
        <v>51715</v>
      </c>
      <c r="C1664" s="58" t="str">
        <f>"03076938"</f>
        <v>03076938</v>
      </c>
      <c r="D1664" s="58" t="str">
        <f>"13652230"</f>
        <v>13652230</v>
      </c>
      <c r="E1664" s="46" t="s">
        <v>35</v>
      </c>
      <c r="F1664" s="46" t="s">
        <v>50646</v>
      </c>
      <c r="G1664" s="46" t="s">
        <v>50584</v>
      </c>
      <c r="H1664" s="48" t="s">
        <v>56716</v>
      </c>
      <c r="I1664" s="48" t="s">
        <v>50564</v>
      </c>
      <c r="J1664" s="48" t="s">
        <v>56716</v>
      </c>
      <c r="K1664" s="50" t="s">
        <v>56716</v>
      </c>
      <c r="L1664" s="48" t="s">
        <v>56716</v>
      </c>
    </row>
    <row r="1665" spans="1:12" s="37" customFormat="1" ht="11.25" x14ac:dyDescent="0.2">
      <c r="A1665" s="46" t="s">
        <v>5993</v>
      </c>
      <c r="B1665" s="46" t="s">
        <v>51716</v>
      </c>
      <c r="C1665" s="58" t="str">
        <f>"09663487"</f>
        <v>09663487</v>
      </c>
      <c r="D1665" s="58" t="str">
        <f>""</f>
        <v/>
      </c>
      <c r="E1665" s="46" t="s">
        <v>35</v>
      </c>
      <c r="F1665" s="46" t="s">
        <v>50646</v>
      </c>
      <c r="G1665" s="46" t="s">
        <v>50584</v>
      </c>
      <c r="H1665" s="48" t="s">
        <v>56716</v>
      </c>
      <c r="I1665" s="48" t="s">
        <v>50564</v>
      </c>
      <c r="J1665" s="48" t="s">
        <v>56716</v>
      </c>
      <c r="K1665" s="50"/>
      <c r="L1665" s="48"/>
    </row>
    <row r="1666" spans="1:12" s="37" customFormat="1" ht="11.25" x14ac:dyDescent="0.2">
      <c r="A1666" s="46" t="s">
        <v>14101</v>
      </c>
      <c r="B1666" s="46" t="s">
        <v>51717</v>
      </c>
      <c r="C1666" s="58" t="str">
        <f>""</f>
        <v/>
      </c>
      <c r="D1666" s="58" t="str">
        <f>"11787023"</f>
        <v>11787023</v>
      </c>
      <c r="E1666" s="46" t="s">
        <v>11078</v>
      </c>
      <c r="F1666" s="46" t="s">
        <v>19483</v>
      </c>
      <c r="G1666" s="46" t="s">
        <v>50584</v>
      </c>
      <c r="H1666" s="48" t="s">
        <v>56716</v>
      </c>
      <c r="I1666" s="48" t="s">
        <v>50564</v>
      </c>
      <c r="J1666" s="48"/>
      <c r="K1666" s="50"/>
      <c r="L1666" s="48"/>
    </row>
    <row r="1667" spans="1:12" s="37" customFormat="1" ht="11.25" x14ac:dyDescent="0.2">
      <c r="A1667" s="46" t="s">
        <v>6075</v>
      </c>
      <c r="B1667" s="46" t="s">
        <v>51718</v>
      </c>
      <c r="C1667" s="58" t="str">
        <f>"10641963"</f>
        <v>10641963</v>
      </c>
      <c r="D1667" s="58" t="str">
        <f>"15256006"</f>
        <v>15256006</v>
      </c>
      <c r="E1667" s="46" t="s">
        <v>291</v>
      </c>
      <c r="F1667" s="46" t="s">
        <v>17759</v>
      </c>
      <c r="G1667" s="46" t="s">
        <v>50584</v>
      </c>
      <c r="H1667" s="48" t="s">
        <v>56716</v>
      </c>
      <c r="I1667" s="48" t="s">
        <v>50564</v>
      </c>
      <c r="J1667" s="48"/>
      <c r="K1667" s="50"/>
      <c r="L1667" s="48" t="s">
        <v>56716</v>
      </c>
    </row>
    <row r="1668" spans="1:12" s="37" customFormat="1" ht="11.25" x14ac:dyDescent="0.2">
      <c r="A1668" s="46" t="s">
        <v>1041</v>
      </c>
      <c r="B1668" s="46" t="s">
        <v>51719</v>
      </c>
      <c r="C1668" s="58" t="str">
        <f>"00099104"</f>
        <v>00099104</v>
      </c>
      <c r="D1668" s="58" t="str">
        <f>"13652249"</f>
        <v>13652249</v>
      </c>
      <c r="E1668" s="46" t="s">
        <v>35</v>
      </c>
      <c r="F1668" s="46" t="s">
        <v>50646</v>
      </c>
      <c r="G1668" s="46" t="s">
        <v>50584</v>
      </c>
      <c r="H1668" s="48" t="s">
        <v>56716</v>
      </c>
      <c r="I1668" s="48" t="s">
        <v>50564</v>
      </c>
      <c r="J1668" s="48" t="s">
        <v>56716</v>
      </c>
      <c r="K1668" s="50" t="s">
        <v>56716</v>
      </c>
      <c r="L1668" s="48" t="s">
        <v>56716</v>
      </c>
    </row>
    <row r="1669" spans="1:12" s="37" customFormat="1" ht="11.25" x14ac:dyDescent="0.2">
      <c r="A1669" s="46" t="s">
        <v>8908</v>
      </c>
      <c r="B1669" s="46" t="s">
        <v>51720</v>
      </c>
      <c r="C1669" s="58" t="str">
        <f>"15918890"</f>
        <v>15918890</v>
      </c>
      <c r="D1669" s="58" t="str">
        <f>"15919528"</f>
        <v>15919528</v>
      </c>
      <c r="E1669" s="46" t="s">
        <v>55895</v>
      </c>
      <c r="F1669" s="46" t="s">
        <v>17991</v>
      </c>
      <c r="G1669" s="46" t="s">
        <v>50584</v>
      </c>
      <c r="H1669" s="48" t="s">
        <v>56716</v>
      </c>
      <c r="I1669" s="48" t="s">
        <v>50564</v>
      </c>
      <c r="J1669" s="48" t="s">
        <v>56716</v>
      </c>
      <c r="K1669" s="50" t="s">
        <v>56716</v>
      </c>
      <c r="L1669" s="48" t="s">
        <v>56716</v>
      </c>
    </row>
    <row r="1670" spans="1:12" s="37" customFormat="1" ht="11.25" x14ac:dyDescent="0.2">
      <c r="A1670" s="46" t="s">
        <v>1044</v>
      </c>
      <c r="B1670" s="46" t="s">
        <v>51721</v>
      </c>
      <c r="C1670" s="58" t="str">
        <f>"02620898"</f>
        <v>02620898</v>
      </c>
      <c r="D1670" s="58" t="str">
        <f>"15737276"</f>
        <v>15737276</v>
      </c>
      <c r="E1670" s="46" t="s">
        <v>18876</v>
      </c>
      <c r="F1670" s="46" t="s">
        <v>18001</v>
      </c>
      <c r="G1670" s="46" t="s">
        <v>50584</v>
      </c>
      <c r="H1670" s="48" t="s">
        <v>56716</v>
      </c>
      <c r="I1670" s="48" t="s">
        <v>50564</v>
      </c>
      <c r="J1670" s="48"/>
      <c r="K1670" s="50" t="s">
        <v>56716</v>
      </c>
      <c r="L1670" s="48" t="s">
        <v>56716</v>
      </c>
    </row>
    <row r="1671" spans="1:12" s="37" customFormat="1" ht="11.25" x14ac:dyDescent="0.2">
      <c r="A1671" s="46" t="s">
        <v>7817</v>
      </c>
      <c r="B1671" s="46" t="s">
        <v>51722</v>
      </c>
      <c r="C1671" s="58" t="str">
        <f>"13421751"</f>
        <v>13421751</v>
      </c>
      <c r="D1671" s="58" t="str">
        <f>"14377799"</f>
        <v>14377799</v>
      </c>
      <c r="E1671" s="46" t="s">
        <v>23335</v>
      </c>
      <c r="F1671" s="46" t="s">
        <v>18242</v>
      </c>
      <c r="G1671" s="46" t="s">
        <v>50584</v>
      </c>
      <c r="H1671" s="48" t="s">
        <v>56716</v>
      </c>
      <c r="I1671" s="48" t="s">
        <v>50564</v>
      </c>
      <c r="J1671" s="48"/>
      <c r="K1671" s="50" t="s">
        <v>56716</v>
      </c>
      <c r="L1671" s="48" t="s">
        <v>56716</v>
      </c>
    </row>
    <row r="1672" spans="1:12" s="37" customFormat="1" ht="11.25" x14ac:dyDescent="0.2">
      <c r="A1672" s="46" t="s">
        <v>14616</v>
      </c>
      <c r="B1672" s="46" t="s">
        <v>51723</v>
      </c>
      <c r="C1672" s="58" t="str">
        <f>""</f>
        <v/>
      </c>
      <c r="D1672" s="58" t="str">
        <f>"17591961"</f>
        <v>17591961</v>
      </c>
      <c r="E1672" s="46" t="s">
        <v>970</v>
      </c>
      <c r="F1672" s="46" t="s">
        <v>50646</v>
      </c>
      <c r="G1672" s="46" t="s">
        <v>50584</v>
      </c>
      <c r="H1672" s="48" t="s">
        <v>56716</v>
      </c>
      <c r="I1672" s="48" t="s">
        <v>50564</v>
      </c>
      <c r="J1672" s="48" t="s">
        <v>56716</v>
      </c>
      <c r="K1672" s="50" t="s">
        <v>56716</v>
      </c>
      <c r="L1672" s="48"/>
    </row>
    <row r="1673" spans="1:12" s="37" customFormat="1" ht="11.25" x14ac:dyDescent="0.2">
      <c r="A1673" s="46" t="s">
        <v>1031</v>
      </c>
      <c r="B1673" s="46" t="s">
        <v>51724</v>
      </c>
      <c r="C1673" s="58" t="str">
        <f>"03906663"</f>
        <v>03906663</v>
      </c>
      <c r="D1673" s="58" t="str">
        <f>""</f>
        <v/>
      </c>
      <c r="E1673" s="46" t="s">
        <v>1033</v>
      </c>
      <c r="F1673" s="46" t="s">
        <v>18959</v>
      </c>
      <c r="G1673" s="46" t="s">
        <v>50584</v>
      </c>
      <c r="H1673" s="48" t="s">
        <v>56716</v>
      </c>
      <c r="I1673" s="48" t="s">
        <v>50564</v>
      </c>
      <c r="J1673" s="48"/>
      <c r="K1673" s="50"/>
      <c r="L1673" s="48" t="s">
        <v>56716</v>
      </c>
    </row>
    <row r="1674" spans="1:12" s="37" customFormat="1" ht="11.25" x14ac:dyDescent="0.2">
      <c r="A1674" s="46" t="s">
        <v>8592</v>
      </c>
      <c r="B1674" s="46" t="s">
        <v>51725</v>
      </c>
      <c r="C1674" s="58" t="str">
        <f>"14426404"</f>
        <v>14426404</v>
      </c>
      <c r="D1674" s="58" t="str">
        <f>"14429071"</f>
        <v>14429071</v>
      </c>
      <c r="E1674" s="46" t="s">
        <v>296</v>
      </c>
      <c r="F1674" s="46" t="s">
        <v>20082</v>
      </c>
      <c r="G1674" s="46" t="s">
        <v>50584</v>
      </c>
      <c r="H1674" s="48" t="s">
        <v>56716</v>
      </c>
      <c r="I1674" s="48" t="s">
        <v>50564</v>
      </c>
      <c r="J1674" s="48"/>
      <c r="K1674" s="50" t="s">
        <v>56716</v>
      </c>
      <c r="L1674" s="48" t="s">
        <v>56716</v>
      </c>
    </row>
    <row r="1675" spans="1:12" s="37" customFormat="1" ht="11.25" x14ac:dyDescent="0.2">
      <c r="A1675" s="46" t="s">
        <v>1047</v>
      </c>
      <c r="B1675" s="46" t="s">
        <v>51726</v>
      </c>
      <c r="C1675" s="58" t="str">
        <f>"03051870"</f>
        <v>03051870</v>
      </c>
      <c r="D1675" s="58" t="str">
        <f>"14401681"</f>
        <v>14401681</v>
      </c>
      <c r="E1675" s="46" t="s">
        <v>296</v>
      </c>
      <c r="F1675" s="46" t="s">
        <v>20082</v>
      </c>
      <c r="G1675" s="46" t="s">
        <v>50584</v>
      </c>
      <c r="H1675" s="48" t="s">
        <v>56716</v>
      </c>
      <c r="I1675" s="48" t="s">
        <v>50564</v>
      </c>
      <c r="J1675" s="48"/>
      <c r="K1675" s="50"/>
      <c r="L1675" s="48" t="s">
        <v>56716</v>
      </c>
    </row>
    <row r="1676" spans="1:12" s="37" customFormat="1" ht="11.25" x14ac:dyDescent="0.2">
      <c r="A1676" s="46" t="s">
        <v>1037</v>
      </c>
      <c r="B1676" s="46" t="s">
        <v>51727</v>
      </c>
      <c r="C1676" s="58" t="str">
        <f>"0392856X"</f>
        <v>0392856X</v>
      </c>
      <c r="D1676" s="58" t="str">
        <f>"1593098X"</f>
        <v>1593098X</v>
      </c>
      <c r="E1676" s="46" t="s">
        <v>1040</v>
      </c>
      <c r="F1676" s="46" t="s">
        <v>17991</v>
      </c>
      <c r="G1676" s="46" t="s">
        <v>50584</v>
      </c>
      <c r="H1676" s="48" t="s">
        <v>56716</v>
      </c>
      <c r="I1676" s="48" t="s">
        <v>50564</v>
      </c>
      <c r="J1676" s="48" t="s">
        <v>56716</v>
      </c>
      <c r="K1676" s="50"/>
      <c r="L1676" s="48" t="s">
        <v>56716</v>
      </c>
    </row>
    <row r="1677" spans="1:12" s="37" customFormat="1" ht="11.25" x14ac:dyDescent="0.2">
      <c r="A1677" s="45" t="s">
        <v>25156</v>
      </c>
      <c r="B1677" s="45" t="s">
        <v>25158</v>
      </c>
      <c r="C1677" s="51" t="s">
        <v>25160</v>
      </c>
      <c r="D1677" s="51" t="s">
        <v>25159</v>
      </c>
      <c r="E1677" s="45" t="s">
        <v>25161</v>
      </c>
      <c r="F1677" s="45" t="s">
        <v>18959</v>
      </c>
      <c r="G1677" s="45" t="s">
        <v>50584</v>
      </c>
      <c r="H1677" s="56"/>
      <c r="I1677" s="56" t="s">
        <v>50564</v>
      </c>
      <c r="J1677" s="56"/>
      <c r="K1677" s="50"/>
      <c r="L1677" s="56" t="s">
        <v>56716</v>
      </c>
    </row>
    <row r="1678" spans="1:12" s="37" customFormat="1" ht="11.25" x14ac:dyDescent="0.2">
      <c r="A1678" s="46" t="s">
        <v>10252</v>
      </c>
      <c r="B1678" s="46" t="s">
        <v>51728</v>
      </c>
      <c r="C1678" s="58" t="str">
        <f>""</f>
        <v/>
      </c>
      <c r="D1678" s="58" t="str">
        <f>"14767961"</f>
        <v>14767961</v>
      </c>
      <c r="E1678" s="46" t="s">
        <v>2299</v>
      </c>
      <c r="F1678" s="46" t="s">
        <v>50646</v>
      </c>
      <c r="G1678" s="46" t="s">
        <v>50584</v>
      </c>
      <c r="H1678" s="48" t="s">
        <v>56716</v>
      </c>
      <c r="I1678" s="48" t="s">
        <v>50564</v>
      </c>
      <c r="J1678" s="48"/>
      <c r="K1678" s="50"/>
      <c r="L1678" s="48"/>
    </row>
    <row r="1679" spans="1:12" s="37" customFormat="1" ht="11.25" x14ac:dyDescent="0.2">
      <c r="A1679" s="46" t="s">
        <v>56177</v>
      </c>
      <c r="B1679" s="46" t="s">
        <v>56178</v>
      </c>
      <c r="C1679" s="58" t="str">
        <f>"22872728"</f>
        <v>22872728</v>
      </c>
      <c r="D1679" s="58" t="str">
        <f>"2287285X"</f>
        <v>2287285X</v>
      </c>
      <c r="E1679" s="46" t="s">
        <v>25169</v>
      </c>
      <c r="F1679" s="46" t="s">
        <v>50649</v>
      </c>
      <c r="G1679" s="46" t="s">
        <v>50584</v>
      </c>
      <c r="H1679" s="48" t="s">
        <v>56716</v>
      </c>
      <c r="I1679" s="48" t="s">
        <v>50564</v>
      </c>
      <c r="J1679" s="48"/>
      <c r="K1679" s="50"/>
      <c r="L1679" s="48" t="s">
        <v>56716</v>
      </c>
    </row>
    <row r="1680" spans="1:12" s="37" customFormat="1" ht="11.25" x14ac:dyDescent="0.2">
      <c r="A1680" s="46" t="s">
        <v>8796</v>
      </c>
      <c r="B1680" s="46" t="s">
        <v>51729</v>
      </c>
      <c r="C1680" s="58" t="str">
        <f>"08617880"</f>
        <v>08617880</v>
      </c>
      <c r="D1680" s="58" t="str">
        <f>""</f>
        <v/>
      </c>
      <c r="E1680" s="46" t="s">
        <v>452</v>
      </c>
      <c r="F1680" s="46" t="s">
        <v>19251</v>
      </c>
      <c r="G1680" s="46" t="s">
        <v>50578</v>
      </c>
      <c r="H1680" s="48" t="s">
        <v>56716</v>
      </c>
      <c r="I1680" s="48" t="s">
        <v>50564</v>
      </c>
      <c r="J1680" s="48"/>
      <c r="K1680" s="50"/>
      <c r="L1680" s="48"/>
    </row>
    <row r="1681" spans="1:12" s="37" customFormat="1" ht="11.25" x14ac:dyDescent="0.2">
      <c r="A1681" s="46" t="s">
        <v>16130</v>
      </c>
      <c r="B1681" s="46" t="s">
        <v>51730</v>
      </c>
      <c r="C1681" s="58" t="str">
        <f>""</f>
        <v/>
      </c>
      <c r="D1681" s="58" t="str">
        <f>"20457022"</f>
        <v>20457022</v>
      </c>
      <c r="E1681" s="46" t="s">
        <v>2299</v>
      </c>
      <c r="F1681" s="46" t="s">
        <v>50646</v>
      </c>
      <c r="G1681" s="46" t="s">
        <v>50584</v>
      </c>
      <c r="H1681" s="48" t="s">
        <v>56716</v>
      </c>
      <c r="I1681" s="48" t="s">
        <v>50564</v>
      </c>
      <c r="J1681" s="48" t="s">
        <v>56716</v>
      </c>
      <c r="K1681" s="50"/>
      <c r="L1681" s="48"/>
    </row>
    <row r="1682" spans="1:12" s="37" customFormat="1" ht="11.25" x14ac:dyDescent="0.2">
      <c r="A1682" s="46" t="s">
        <v>16098</v>
      </c>
      <c r="B1682" s="46" t="s">
        <v>51731</v>
      </c>
      <c r="C1682" s="58" t="str">
        <f>""</f>
        <v/>
      </c>
      <c r="D1682" s="58" t="str">
        <f>"2155384X"</f>
        <v>2155384X</v>
      </c>
      <c r="E1682" s="46" t="s">
        <v>315</v>
      </c>
      <c r="F1682" s="46" t="s">
        <v>17759</v>
      </c>
      <c r="G1682" s="46" t="s">
        <v>50584</v>
      </c>
      <c r="H1682" s="48" t="s">
        <v>56716</v>
      </c>
      <c r="I1682" s="48" t="s">
        <v>50564</v>
      </c>
      <c r="J1682" s="48" t="s">
        <v>56716</v>
      </c>
      <c r="K1682" s="50"/>
      <c r="L1682" s="48"/>
    </row>
    <row r="1683" spans="1:12" s="37" customFormat="1" ht="11.25" x14ac:dyDescent="0.2">
      <c r="A1683" s="46" t="s">
        <v>17269</v>
      </c>
      <c r="B1683" s="46" t="s">
        <v>51732</v>
      </c>
      <c r="C1683" s="58" t="str">
        <f>"22815872"</f>
        <v>22815872</v>
      </c>
      <c r="D1683" s="58" t="str">
        <f>"22817565"</f>
        <v>22817565</v>
      </c>
      <c r="E1683" s="46" t="s">
        <v>55895</v>
      </c>
      <c r="F1683" s="46" t="s">
        <v>17991</v>
      </c>
      <c r="G1683" s="46" t="s">
        <v>50584</v>
      </c>
      <c r="H1683" s="48" t="s">
        <v>56716</v>
      </c>
      <c r="I1683" s="48" t="s">
        <v>50564</v>
      </c>
      <c r="J1683" s="48" t="s">
        <v>56716</v>
      </c>
      <c r="K1683" s="50"/>
      <c r="L1683" s="48"/>
    </row>
    <row r="1684" spans="1:12" s="37" customFormat="1" ht="11.25" x14ac:dyDescent="0.2">
      <c r="A1684" s="46" t="s">
        <v>16457</v>
      </c>
      <c r="B1684" s="46" t="s">
        <v>51733</v>
      </c>
      <c r="C1684" s="58" t="str">
        <f>""</f>
        <v/>
      </c>
      <c r="D1684" s="58" t="str">
        <f>"20011326"</f>
        <v>20011326</v>
      </c>
      <c r="E1684" s="46" t="s">
        <v>2299</v>
      </c>
      <c r="F1684" s="46" t="s">
        <v>50646</v>
      </c>
      <c r="G1684" s="46" t="s">
        <v>50584</v>
      </c>
      <c r="H1684" s="48" t="s">
        <v>56716</v>
      </c>
      <c r="I1684" s="48" t="s">
        <v>50564</v>
      </c>
      <c r="J1684" s="48" t="s">
        <v>56716</v>
      </c>
      <c r="K1684" s="50" t="s">
        <v>56716</v>
      </c>
      <c r="L1684" s="48"/>
    </row>
    <row r="1685" spans="1:12" s="37" customFormat="1" ht="11.25" x14ac:dyDescent="0.2">
      <c r="A1685" s="46" t="s">
        <v>11124</v>
      </c>
      <c r="B1685" s="46" t="s">
        <v>51734</v>
      </c>
      <c r="C1685" s="58" t="str">
        <f>"1699048X"</f>
        <v>1699048X</v>
      </c>
      <c r="D1685" s="58" t="str">
        <f>"16993055"</f>
        <v>16993055</v>
      </c>
      <c r="E1685" s="46" t="s">
        <v>55895</v>
      </c>
      <c r="F1685" s="46" t="s">
        <v>17991</v>
      </c>
      <c r="G1685" s="46" t="s">
        <v>50632</v>
      </c>
      <c r="H1685" s="48" t="s">
        <v>56716</v>
      </c>
      <c r="I1685" s="48" t="s">
        <v>50564</v>
      </c>
      <c r="J1685" s="48"/>
      <c r="K1685" s="50" t="s">
        <v>56716</v>
      </c>
      <c r="L1685" s="48" t="s">
        <v>56716</v>
      </c>
    </row>
    <row r="1686" spans="1:12" s="37" customFormat="1" ht="11.25" x14ac:dyDescent="0.2">
      <c r="A1686" s="46" t="s">
        <v>12375</v>
      </c>
      <c r="B1686" s="46" t="s">
        <v>51735</v>
      </c>
      <c r="C1686" s="58" t="str">
        <f>"17528054"</f>
        <v>17528054</v>
      </c>
      <c r="D1686" s="58" t="str">
        <f>"17528062"</f>
        <v>17528062</v>
      </c>
      <c r="E1686" s="46" t="s">
        <v>35</v>
      </c>
      <c r="F1686" s="46" t="s">
        <v>50646</v>
      </c>
      <c r="G1686" s="46" t="s">
        <v>50584</v>
      </c>
      <c r="H1686" s="48" t="s">
        <v>56716</v>
      </c>
      <c r="I1686" s="48" t="s">
        <v>50564</v>
      </c>
      <c r="J1686" s="48" t="s">
        <v>56716</v>
      </c>
      <c r="K1686" s="50" t="s">
        <v>56716</v>
      </c>
      <c r="L1686" s="48" t="s">
        <v>56716</v>
      </c>
    </row>
    <row r="1687" spans="1:12" s="37" customFormat="1" ht="11.25" x14ac:dyDescent="0.2">
      <c r="A1687" s="46" t="s">
        <v>11431</v>
      </c>
      <c r="B1687" s="46" t="s">
        <v>51736</v>
      </c>
      <c r="C1687" s="58" t="str">
        <f>"15566811"</f>
        <v>15566811</v>
      </c>
      <c r="D1687" s="58" t="str">
        <f>"1556679X"</f>
        <v>1556679X</v>
      </c>
      <c r="E1687" s="46" t="s">
        <v>441</v>
      </c>
      <c r="F1687" s="46" t="s">
        <v>17759</v>
      </c>
      <c r="G1687" s="46" t="s">
        <v>50584</v>
      </c>
      <c r="H1687" s="48" t="s">
        <v>56716</v>
      </c>
      <c r="I1687" s="48" t="s">
        <v>50564</v>
      </c>
      <c r="J1687" s="48" t="s">
        <v>56716</v>
      </c>
      <c r="K1687" s="50"/>
      <c r="L1687" s="48" t="s">
        <v>56716</v>
      </c>
    </row>
    <row r="1688" spans="1:12" s="37" customFormat="1" ht="11.25" x14ac:dyDescent="0.2">
      <c r="A1688" s="46" t="s">
        <v>56205</v>
      </c>
      <c r="B1688" s="46" t="s">
        <v>56206</v>
      </c>
      <c r="C1688" s="58" t="str">
        <f>"22127038"</f>
        <v>22127038</v>
      </c>
      <c r="D1688" s="58" t="str">
        <f>"22127046"</f>
        <v>22127046</v>
      </c>
      <c r="E1688" s="46" t="s">
        <v>6405</v>
      </c>
      <c r="F1688" s="46" t="s">
        <v>18001</v>
      </c>
      <c r="G1688" s="46" t="s">
        <v>50584</v>
      </c>
      <c r="H1688" s="48" t="s">
        <v>56716</v>
      </c>
      <c r="I1688" s="48" t="s">
        <v>50564</v>
      </c>
      <c r="J1688" s="48" t="s">
        <v>56716</v>
      </c>
      <c r="K1688" s="50"/>
      <c r="L1688" s="48"/>
    </row>
    <row r="1689" spans="1:12" s="37" customFormat="1" ht="11.25" x14ac:dyDescent="0.2">
      <c r="A1689" s="46" t="s">
        <v>9086</v>
      </c>
      <c r="B1689" s="46" t="s">
        <v>51737</v>
      </c>
      <c r="C1689" s="58" t="str">
        <f>"13120832"</f>
        <v>13120832</v>
      </c>
      <c r="D1689" s="58" t="str">
        <f>""</f>
        <v/>
      </c>
      <c r="E1689" s="46" t="s">
        <v>9088</v>
      </c>
      <c r="F1689" s="46" t="s">
        <v>19251</v>
      </c>
      <c r="G1689" s="46" t="s">
        <v>50584</v>
      </c>
      <c r="H1689" s="48" t="s">
        <v>56716</v>
      </c>
      <c r="I1689" s="48" t="s">
        <v>50564</v>
      </c>
      <c r="J1689" s="48"/>
      <c r="K1689" s="50"/>
      <c r="L1689" s="48"/>
    </row>
    <row r="1690" spans="1:12" s="37" customFormat="1" ht="11.25" x14ac:dyDescent="0.2">
      <c r="A1690" s="46" t="s">
        <v>5455</v>
      </c>
      <c r="B1690" s="46" t="s">
        <v>51738</v>
      </c>
      <c r="C1690" s="58" t="str">
        <f>"09599851"</f>
        <v>09599851</v>
      </c>
      <c r="D1690" s="58" t="str">
        <f>"16191560"</f>
        <v>16191560</v>
      </c>
      <c r="E1690" s="46" t="s">
        <v>55961</v>
      </c>
      <c r="F1690" s="46" t="s">
        <v>18158</v>
      </c>
      <c r="G1690" s="46" t="s">
        <v>50584</v>
      </c>
      <c r="H1690" s="48" t="s">
        <v>56716</v>
      </c>
      <c r="I1690" s="48" t="s">
        <v>50564</v>
      </c>
      <c r="J1690" s="48"/>
      <c r="K1690" s="50" t="s">
        <v>56716</v>
      </c>
      <c r="L1690" s="48" t="s">
        <v>56716</v>
      </c>
    </row>
    <row r="1691" spans="1:12" s="37" customFormat="1" ht="11.25" x14ac:dyDescent="0.2">
      <c r="A1691" s="46" t="s">
        <v>1133</v>
      </c>
      <c r="B1691" s="46" t="s">
        <v>51739</v>
      </c>
      <c r="C1691" s="58" t="str">
        <f>"00099120"</f>
        <v>00099120</v>
      </c>
      <c r="D1691" s="58" t="str">
        <f>"18732933"</f>
        <v>18732933</v>
      </c>
      <c r="E1691" s="46" t="s">
        <v>272</v>
      </c>
      <c r="F1691" s="46" t="s">
        <v>17759</v>
      </c>
      <c r="G1691" s="46" t="s">
        <v>50584</v>
      </c>
      <c r="H1691" s="48" t="s">
        <v>56716</v>
      </c>
      <c r="I1691" s="48" t="s">
        <v>50564</v>
      </c>
      <c r="J1691" s="48" t="s">
        <v>56716</v>
      </c>
      <c r="K1691" s="50" t="s">
        <v>56716</v>
      </c>
      <c r="L1691" s="48" t="s">
        <v>56716</v>
      </c>
    </row>
    <row r="1692" spans="1:12" s="37" customFormat="1" ht="11.25" x14ac:dyDescent="0.2">
      <c r="A1692" s="46" t="s">
        <v>1136</v>
      </c>
      <c r="B1692" s="46" t="s">
        <v>51740</v>
      </c>
      <c r="C1692" s="58" t="str">
        <f>"02680033"</f>
        <v>02680033</v>
      </c>
      <c r="D1692" s="58" t="str">
        <f>"18791271"</f>
        <v>18791271</v>
      </c>
      <c r="E1692" s="46" t="s">
        <v>155</v>
      </c>
      <c r="F1692" s="46" t="s">
        <v>50646</v>
      </c>
      <c r="G1692" s="46" t="s">
        <v>50584</v>
      </c>
      <c r="H1692" s="48" t="s">
        <v>56716</v>
      </c>
      <c r="I1692" s="48" t="s">
        <v>50564</v>
      </c>
      <c r="J1692" s="48" t="s">
        <v>56716</v>
      </c>
      <c r="K1692" s="50" t="s">
        <v>56716</v>
      </c>
      <c r="L1692" s="48" t="s">
        <v>56716</v>
      </c>
    </row>
    <row r="1693" spans="1:12" s="37" customFormat="1" ht="11.25" x14ac:dyDescent="0.2">
      <c r="A1693" s="46" t="s">
        <v>8808</v>
      </c>
      <c r="B1693" s="46" t="s">
        <v>51741</v>
      </c>
      <c r="C1693" s="58" t="str">
        <f>"15268209"</f>
        <v>15268209</v>
      </c>
      <c r="D1693" s="58" t="str">
        <f>"19380666"</f>
        <v>19380666</v>
      </c>
      <c r="E1693" s="46" t="s">
        <v>272</v>
      </c>
      <c r="F1693" s="46" t="s">
        <v>17759</v>
      </c>
      <c r="G1693" s="46" t="s">
        <v>50584</v>
      </c>
      <c r="H1693" s="48" t="s">
        <v>56716</v>
      </c>
      <c r="I1693" s="48" t="s">
        <v>50564</v>
      </c>
      <c r="J1693" s="48"/>
      <c r="K1693" s="50" t="s">
        <v>56716</v>
      </c>
      <c r="L1693" s="48" t="s">
        <v>56716</v>
      </c>
    </row>
    <row r="1694" spans="1:12" s="37" customFormat="1" ht="11.25" x14ac:dyDescent="0.2">
      <c r="A1694" s="45" t="s">
        <v>25201</v>
      </c>
      <c r="B1694" s="45" t="s">
        <v>25203</v>
      </c>
      <c r="C1694" s="51" t="s">
        <v>25204</v>
      </c>
      <c r="D1694" s="51"/>
      <c r="E1694" s="45" t="s">
        <v>25205</v>
      </c>
      <c r="F1694" s="45" t="s">
        <v>18242</v>
      </c>
      <c r="G1694" s="45" t="s">
        <v>50604</v>
      </c>
      <c r="H1694" s="56"/>
      <c r="I1694" s="56" t="s">
        <v>50564</v>
      </c>
      <c r="J1694" s="56"/>
      <c r="K1694" s="50"/>
      <c r="L1694" s="56" t="s">
        <v>56716</v>
      </c>
    </row>
    <row r="1695" spans="1:12" s="37" customFormat="1" ht="11.25" x14ac:dyDescent="0.2">
      <c r="A1695" s="46" t="s">
        <v>56231</v>
      </c>
      <c r="B1695" s="46" t="s">
        <v>56232</v>
      </c>
      <c r="C1695" s="58" t="str">
        <f>"2212697X"</f>
        <v>2212697X</v>
      </c>
      <c r="D1695" s="58" t="str">
        <f>"22126988"</f>
        <v>22126988</v>
      </c>
      <c r="E1695" s="46" t="s">
        <v>6405</v>
      </c>
      <c r="F1695" s="46" t="s">
        <v>18001</v>
      </c>
      <c r="G1695" s="46" t="s">
        <v>50584</v>
      </c>
      <c r="H1695" s="48" t="s">
        <v>56716</v>
      </c>
      <c r="I1695" s="48" t="s">
        <v>50564</v>
      </c>
      <c r="J1695" s="48"/>
      <c r="K1695" s="50"/>
      <c r="L1695" s="48"/>
    </row>
    <row r="1696" spans="1:12" s="37" customFormat="1" ht="11.25" x14ac:dyDescent="0.2">
      <c r="A1696" s="46" t="s">
        <v>16428</v>
      </c>
      <c r="B1696" s="46" t="s">
        <v>51742</v>
      </c>
      <c r="C1696" s="58" t="str">
        <f>""</f>
        <v/>
      </c>
      <c r="D1696" s="58" t="str">
        <f>"22780513"</f>
        <v>22780513</v>
      </c>
      <c r="E1696" s="46" t="s">
        <v>19057</v>
      </c>
      <c r="F1696" s="46" t="s">
        <v>20446</v>
      </c>
      <c r="G1696" s="46" t="s">
        <v>50584</v>
      </c>
      <c r="H1696" s="48" t="s">
        <v>56716</v>
      </c>
      <c r="I1696" s="48" t="s">
        <v>50564</v>
      </c>
      <c r="J1696" s="48" t="s">
        <v>56716</v>
      </c>
      <c r="K1696" s="50"/>
      <c r="L1696" s="48"/>
    </row>
    <row r="1697" spans="1:12" s="37" customFormat="1" ht="11.25" x14ac:dyDescent="0.2">
      <c r="A1697" s="46" t="s">
        <v>6610</v>
      </c>
      <c r="B1697" s="46" t="s">
        <v>51743</v>
      </c>
      <c r="C1697" s="58" t="str">
        <f>"10780432"</f>
        <v>10780432</v>
      </c>
      <c r="D1697" s="58" t="str">
        <f>"15573265"</f>
        <v>15573265</v>
      </c>
      <c r="E1697" s="46" t="s">
        <v>1224</v>
      </c>
      <c r="F1697" s="46" t="s">
        <v>17759</v>
      </c>
      <c r="G1697" s="46" t="s">
        <v>50584</v>
      </c>
      <c r="H1697" s="48" t="s">
        <v>56716</v>
      </c>
      <c r="I1697" s="48" t="s">
        <v>50564</v>
      </c>
      <c r="J1697" s="48" t="s">
        <v>56716</v>
      </c>
      <c r="K1697" s="50"/>
      <c r="L1697" s="48" t="s">
        <v>56716</v>
      </c>
    </row>
    <row r="1698" spans="1:12" s="37" customFormat="1" ht="11.25" x14ac:dyDescent="0.2">
      <c r="A1698" s="46" t="s">
        <v>1139</v>
      </c>
      <c r="B1698" s="46" t="s">
        <v>51744</v>
      </c>
      <c r="C1698" s="58" t="str">
        <f>"01609289"</f>
        <v>01609289</v>
      </c>
      <c r="D1698" s="58" t="str">
        <f>"19328737"</f>
        <v>19328737</v>
      </c>
      <c r="E1698" s="46" t="s">
        <v>517</v>
      </c>
      <c r="F1698" s="46" t="s">
        <v>17759</v>
      </c>
      <c r="G1698" s="46" t="s">
        <v>50584</v>
      </c>
      <c r="H1698" s="48" t="s">
        <v>56716</v>
      </c>
      <c r="I1698" s="48" t="s">
        <v>50564</v>
      </c>
      <c r="J1698" s="48"/>
      <c r="K1698" s="50" t="s">
        <v>56716</v>
      </c>
      <c r="L1698" s="48" t="s">
        <v>56716</v>
      </c>
    </row>
    <row r="1699" spans="1:12" s="37" customFormat="1" ht="11.25" x14ac:dyDescent="0.2">
      <c r="A1699" s="46" t="s">
        <v>56016</v>
      </c>
      <c r="B1699" s="46" t="s">
        <v>56017</v>
      </c>
      <c r="C1699" s="58" t="str">
        <f>""</f>
        <v/>
      </c>
      <c r="D1699" s="58" t="str">
        <f>"20500904"</f>
        <v>20500904</v>
      </c>
      <c r="E1699" s="46" t="s">
        <v>555</v>
      </c>
      <c r="F1699" s="46" t="s">
        <v>50646</v>
      </c>
      <c r="G1699" s="46" t="s">
        <v>50584</v>
      </c>
      <c r="H1699" s="48" t="s">
        <v>56716</v>
      </c>
      <c r="I1699" s="48" t="s">
        <v>50564</v>
      </c>
      <c r="J1699" s="48" t="s">
        <v>56716</v>
      </c>
      <c r="K1699" s="50"/>
      <c r="L1699" s="48"/>
    </row>
    <row r="1700" spans="1:12" s="37" customFormat="1" ht="11.25" x14ac:dyDescent="0.2">
      <c r="A1700" s="46" t="s">
        <v>10336</v>
      </c>
      <c r="B1700" s="46" t="s">
        <v>51745</v>
      </c>
      <c r="C1700" s="58" t="str">
        <f>"15346501"</f>
        <v>15346501</v>
      </c>
      <c r="D1700" s="58" t="str">
        <f>"15523802"</f>
        <v>15523802</v>
      </c>
      <c r="E1700" s="46" t="s">
        <v>493</v>
      </c>
      <c r="F1700" s="46" t="s">
        <v>17759</v>
      </c>
      <c r="G1700" s="46" t="s">
        <v>50584</v>
      </c>
      <c r="H1700" s="48" t="s">
        <v>56716</v>
      </c>
      <c r="I1700" s="48" t="s">
        <v>50564</v>
      </c>
      <c r="J1700" s="48"/>
      <c r="K1700" s="50"/>
      <c r="L1700" s="48"/>
    </row>
    <row r="1701" spans="1:12" s="37" customFormat="1" ht="11.25" x14ac:dyDescent="0.2">
      <c r="A1701" s="46" t="s">
        <v>10333</v>
      </c>
      <c r="B1701" s="46" t="s">
        <v>51746</v>
      </c>
      <c r="C1701" s="58" t="str">
        <f>"17248914"</f>
        <v>17248914</v>
      </c>
      <c r="D1701" s="58" t="str">
        <f>"19713266"</f>
        <v>19713266</v>
      </c>
      <c r="E1701" s="46" t="s">
        <v>1716</v>
      </c>
      <c r="F1701" s="46" t="s">
        <v>17991</v>
      </c>
      <c r="G1701" s="46" t="s">
        <v>50584</v>
      </c>
      <c r="H1701" s="48" t="s">
        <v>56716</v>
      </c>
      <c r="I1701" s="48" t="s">
        <v>50564</v>
      </c>
      <c r="J1701" s="48"/>
      <c r="K1701" s="50"/>
      <c r="L1701" s="48"/>
    </row>
    <row r="1702" spans="1:12" s="37" customFormat="1" ht="11.25" x14ac:dyDescent="0.2">
      <c r="A1702" s="46" t="s">
        <v>1142</v>
      </c>
      <c r="B1702" s="46" t="s">
        <v>51747</v>
      </c>
      <c r="C1702" s="58" t="str">
        <f>"00099147"</f>
        <v>00099147</v>
      </c>
      <c r="D1702" s="58" t="str">
        <f>"15308561"</f>
        <v>15308561</v>
      </c>
      <c r="E1702" s="46" t="s">
        <v>1145</v>
      </c>
      <c r="F1702" s="46" t="s">
        <v>17759</v>
      </c>
      <c r="G1702" s="46" t="s">
        <v>50584</v>
      </c>
      <c r="H1702" s="48" t="s">
        <v>56716</v>
      </c>
      <c r="I1702" s="48" t="s">
        <v>50564</v>
      </c>
      <c r="J1702" s="48"/>
      <c r="K1702" s="50"/>
      <c r="L1702" s="48" t="s">
        <v>56716</v>
      </c>
    </row>
    <row r="1703" spans="1:12" s="37" customFormat="1" ht="11.25" x14ac:dyDescent="0.2">
      <c r="A1703" s="46" t="s">
        <v>7727</v>
      </c>
      <c r="B1703" s="46" t="s">
        <v>51748</v>
      </c>
      <c r="C1703" s="58" t="str">
        <f>"14346621"</f>
        <v>14346621</v>
      </c>
      <c r="D1703" s="58" t="str">
        <f>"14374331"</f>
        <v>14374331</v>
      </c>
      <c r="E1703" s="46" t="s">
        <v>1887</v>
      </c>
      <c r="F1703" s="46" t="s">
        <v>18158</v>
      </c>
      <c r="G1703" s="46" t="s">
        <v>50584</v>
      </c>
      <c r="H1703" s="48" t="s">
        <v>56716</v>
      </c>
      <c r="I1703" s="48" t="s">
        <v>50564</v>
      </c>
      <c r="J1703" s="48" t="s">
        <v>56716</v>
      </c>
      <c r="K1703" s="50"/>
      <c r="L1703" s="48" t="s">
        <v>56716</v>
      </c>
    </row>
    <row r="1704" spans="1:12" s="37" customFormat="1" ht="11.25" x14ac:dyDescent="0.2">
      <c r="A1704" s="45" t="s">
        <v>25230</v>
      </c>
      <c r="B1704" s="45" t="s">
        <v>25232</v>
      </c>
      <c r="C1704" s="51" t="s">
        <v>25234</v>
      </c>
      <c r="D1704" s="51" t="s">
        <v>25233</v>
      </c>
      <c r="E1704" s="45" t="s">
        <v>17783</v>
      </c>
      <c r="F1704" s="45" t="s">
        <v>17759</v>
      </c>
      <c r="G1704" s="45" t="s">
        <v>50584</v>
      </c>
      <c r="H1704" s="56"/>
      <c r="I1704" s="56" t="s">
        <v>50564</v>
      </c>
      <c r="J1704" s="56"/>
      <c r="K1704" s="50"/>
      <c r="L1704" s="56" t="s">
        <v>56716</v>
      </c>
    </row>
    <row r="1705" spans="1:12" s="37" customFormat="1" ht="11.25" x14ac:dyDescent="0.2">
      <c r="A1705" s="45" t="s">
        <v>25236</v>
      </c>
      <c r="B1705" s="45" t="s">
        <v>25238</v>
      </c>
      <c r="C1705" s="51" t="s">
        <v>25240</v>
      </c>
      <c r="D1705" s="51" t="s">
        <v>25239</v>
      </c>
      <c r="E1705" s="45" t="s">
        <v>19447</v>
      </c>
      <c r="F1705" s="45" t="s">
        <v>50646</v>
      </c>
      <c r="G1705" s="45" t="s">
        <v>50584</v>
      </c>
      <c r="H1705" s="56"/>
      <c r="I1705" s="56" t="s">
        <v>50564</v>
      </c>
      <c r="J1705" s="56"/>
      <c r="K1705" s="50"/>
      <c r="L1705" s="56" t="s">
        <v>56716</v>
      </c>
    </row>
    <row r="1706" spans="1:12" s="37" customFormat="1" ht="11.25" x14ac:dyDescent="0.2">
      <c r="A1706" s="46" t="s">
        <v>9112</v>
      </c>
      <c r="B1706" s="46" t="s">
        <v>51749</v>
      </c>
      <c r="C1706" s="58" t="str">
        <f>"15330028"</f>
        <v>15330028</v>
      </c>
      <c r="D1706" s="58" t="str">
        <f>"19380674"</f>
        <v>19380674</v>
      </c>
      <c r="E1706" s="46" t="s">
        <v>272</v>
      </c>
      <c r="F1706" s="46" t="s">
        <v>17759</v>
      </c>
      <c r="G1706" s="46" t="s">
        <v>50584</v>
      </c>
      <c r="H1706" s="48" t="s">
        <v>56716</v>
      </c>
      <c r="I1706" s="48" t="s">
        <v>50564</v>
      </c>
      <c r="J1706" s="48"/>
      <c r="K1706" s="50" t="s">
        <v>56716</v>
      </c>
      <c r="L1706" s="48" t="s">
        <v>56716</v>
      </c>
    </row>
    <row r="1707" spans="1:12" s="37" customFormat="1" ht="11.25" x14ac:dyDescent="0.2">
      <c r="A1707" s="46" t="s">
        <v>10424</v>
      </c>
      <c r="B1707" s="46" t="s">
        <v>51750</v>
      </c>
      <c r="C1707" s="58" t="str">
        <f>"08918929"</f>
        <v>08918929</v>
      </c>
      <c r="D1707" s="58" t="str">
        <f>""</f>
        <v/>
      </c>
      <c r="E1707" s="46" t="s">
        <v>1389</v>
      </c>
      <c r="F1707" s="46" t="s">
        <v>17759</v>
      </c>
      <c r="G1707" s="46" t="s">
        <v>50584</v>
      </c>
      <c r="H1707" s="48" t="s">
        <v>56716</v>
      </c>
      <c r="I1707" s="48" t="s">
        <v>50564</v>
      </c>
      <c r="J1707" s="48"/>
      <c r="K1707" s="50"/>
      <c r="L1707" s="48"/>
    </row>
    <row r="1708" spans="1:12" s="37" customFormat="1" ht="11.25" x14ac:dyDescent="0.2">
      <c r="A1708" s="46" t="s">
        <v>6516</v>
      </c>
      <c r="B1708" s="46" t="s">
        <v>51751</v>
      </c>
      <c r="C1708" s="58" t="str">
        <f>"11732563"</f>
        <v>11732563</v>
      </c>
      <c r="D1708" s="58" t="str">
        <f>"11791918"</f>
        <v>11791918</v>
      </c>
      <c r="E1708" s="46" t="s">
        <v>55920</v>
      </c>
      <c r="F1708" s="46" t="s">
        <v>18123</v>
      </c>
      <c r="G1708" s="46" t="s">
        <v>50584</v>
      </c>
      <c r="H1708" s="48" t="s">
        <v>56716</v>
      </c>
      <c r="I1708" s="48" t="s">
        <v>50564</v>
      </c>
      <c r="J1708" s="48" t="s">
        <v>56716</v>
      </c>
      <c r="K1708" s="50" t="s">
        <v>56716</v>
      </c>
      <c r="L1708" s="48" t="s">
        <v>56716</v>
      </c>
    </row>
    <row r="1709" spans="1:12" s="37" customFormat="1" ht="11.25" x14ac:dyDescent="0.2">
      <c r="A1709" s="46" t="s">
        <v>5673</v>
      </c>
      <c r="B1709" s="46" t="s">
        <v>51752</v>
      </c>
      <c r="C1709" s="58" t="str">
        <f>"09628827"</f>
        <v>09628827</v>
      </c>
      <c r="D1709" s="58" t="str">
        <f>"14735717"</f>
        <v>14735717</v>
      </c>
      <c r="E1709" s="46" t="s">
        <v>28</v>
      </c>
      <c r="F1709" s="46" t="s">
        <v>50646</v>
      </c>
      <c r="G1709" s="46" t="s">
        <v>50584</v>
      </c>
      <c r="H1709" s="48" t="s">
        <v>56716</v>
      </c>
      <c r="I1709" s="48" t="s">
        <v>50564</v>
      </c>
      <c r="J1709" s="48" t="s">
        <v>56716</v>
      </c>
      <c r="K1709" s="50" t="s">
        <v>56716</v>
      </c>
      <c r="L1709" s="48" t="s">
        <v>56716</v>
      </c>
    </row>
    <row r="1710" spans="1:12" s="37" customFormat="1" ht="11.25" x14ac:dyDescent="0.2">
      <c r="A1710" s="46" t="s">
        <v>10169</v>
      </c>
      <c r="B1710" s="46" t="s">
        <v>51753</v>
      </c>
      <c r="C1710" s="58" t="str">
        <f>"15500594"</f>
        <v>15500594</v>
      </c>
      <c r="D1710" s="58" t="str">
        <f>"21695202"</f>
        <v>21695202</v>
      </c>
      <c r="E1710" s="46" t="s">
        <v>493</v>
      </c>
      <c r="F1710" s="46" t="s">
        <v>17759</v>
      </c>
      <c r="G1710" s="46" t="s">
        <v>50584</v>
      </c>
      <c r="H1710" s="48" t="s">
        <v>56716</v>
      </c>
      <c r="I1710" s="48" t="s">
        <v>50564</v>
      </c>
      <c r="J1710" s="48" t="s">
        <v>56716</v>
      </c>
      <c r="K1710" s="50"/>
      <c r="L1710" s="48" t="s">
        <v>56716</v>
      </c>
    </row>
    <row r="1711" spans="1:12" s="37" customFormat="1" ht="11.25" x14ac:dyDescent="0.2">
      <c r="A1711" s="46" t="s">
        <v>1146</v>
      </c>
      <c r="B1711" s="46" t="s">
        <v>51754</v>
      </c>
      <c r="C1711" s="58" t="str">
        <f>"03000664"</f>
        <v>03000664</v>
      </c>
      <c r="D1711" s="58" t="str">
        <f>"13652265"</f>
        <v>13652265</v>
      </c>
      <c r="E1711" s="46" t="s">
        <v>35</v>
      </c>
      <c r="F1711" s="46" t="s">
        <v>50646</v>
      </c>
      <c r="G1711" s="46" t="s">
        <v>50584</v>
      </c>
      <c r="H1711" s="48" t="s">
        <v>56716</v>
      </c>
      <c r="I1711" s="48" t="s">
        <v>50564</v>
      </c>
      <c r="J1711" s="48" t="s">
        <v>56716</v>
      </c>
      <c r="K1711" s="50" t="s">
        <v>56716</v>
      </c>
      <c r="L1711" s="48" t="s">
        <v>56716</v>
      </c>
    </row>
    <row r="1712" spans="1:12" s="37" customFormat="1" ht="11.25" x14ac:dyDescent="0.2">
      <c r="A1712" s="46" t="s">
        <v>14107</v>
      </c>
      <c r="B1712" s="46" t="s">
        <v>51755</v>
      </c>
      <c r="C1712" s="58" t="str">
        <f>""</f>
        <v/>
      </c>
      <c r="D1712" s="58" t="str">
        <f>"11791349"</f>
        <v>11791349</v>
      </c>
      <c r="E1712" s="46" t="s">
        <v>11078</v>
      </c>
      <c r="F1712" s="46" t="s">
        <v>19483</v>
      </c>
      <c r="G1712" s="46" t="s">
        <v>50584</v>
      </c>
      <c r="H1712" s="48" t="s">
        <v>56716</v>
      </c>
      <c r="I1712" s="48" t="s">
        <v>50564</v>
      </c>
      <c r="J1712" s="48"/>
      <c r="K1712" s="50"/>
      <c r="L1712" s="48"/>
    </row>
    <row r="1713" spans="1:12" s="37" customFormat="1" ht="11.25" x14ac:dyDescent="0.2">
      <c r="A1713" s="46" t="s">
        <v>16987</v>
      </c>
      <c r="B1713" s="46" t="s">
        <v>51756</v>
      </c>
      <c r="C1713" s="58" t="str">
        <f>"22133984"</f>
        <v>22133984</v>
      </c>
      <c r="D1713" s="58" t="str">
        <f>"22133984"</f>
        <v>22133984</v>
      </c>
      <c r="E1713" s="46" t="s">
        <v>91</v>
      </c>
      <c r="F1713" s="46" t="s">
        <v>18001</v>
      </c>
      <c r="G1713" s="46" t="s">
        <v>50584</v>
      </c>
      <c r="H1713" s="48" t="s">
        <v>56716</v>
      </c>
      <c r="I1713" s="48" t="s">
        <v>50564</v>
      </c>
      <c r="J1713" s="48" t="s">
        <v>56716</v>
      </c>
      <c r="K1713" s="50" t="s">
        <v>56716</v>
      </c>
      <c r="L1713" s="48"/>
    </row>
    <row r="1714" spans="1:12" s="37" customFormat="1" ht="11.25" x14ac:dyDescent="0.2">
      <c r="A1714" s="46" t="s">
        <v>15261</v>
      </c>
      <c r="B1714" s="46" t="s">
        <v>51757</v>
      </c>
      <c r="C1714" s="58" t="str">
        <f>"18687075"</f>
        <v>18687075</v>
      </c>
      <c r="D1714" s="58" t="str">
        <f>"18687083"</f>
        <v>18687083</v>
      </c>
      <c r="E1714" s="46" t="s">
        <v>167</v>
      </c>
      <c r="F1714" s="46" t="s">
        <v>18158</v>
      </c>
      <c r="G1714" s="46" t="s">
        <v>50584</v>
      </c>
      <c r="H1714" s="48" t="s">
        <v>56716</v>
      </c>
      <c r="I1714" s="48" t="s">
        <v>50564</v>
      </c>
      <c r="J1714" s="48" t="s">
        <v>56716</v>
      </c>
      <c r="K1714" s="50"/>
      <c r="L1714" s="48"/>
    </row>
    <row r="1715" spans="1:12" s="37" customFormat="1" ht="11.25" x14ac:dyDescent="0.2">
      <c r="A1715" s="45" t="s">
        <v>25272</v>
      </c>
      <c r="B1715" s="45" t="s">
        <v>25274</v>
      </c>
      <c r="C1715" s="51" t="s">
        <v>25277</v>
      </c>
      <c r="D1715" s="51"/>
      <c r="E1715" s="45" t="s">
        <v>18616</v>
      </c>
      <c r="F1715" s="45" t="s">
        <v>50646</v>
      </c>
      <c r="G1715" s="45" t="s">
        <v>50584</v>
      </c>
      <c r="H1715" s="56"/>
      <c r="I1715" s="56" t="s">
        <v>50564</v>
      </c>
      <c r="J1715" s="56"/>
      <c r="K1715" s="50"/>
      <c r="L1715" s="56" t="s">
        <v>56716</v>
      </c>
    </row>
    <row r="1716" spans="1:12" s="37" customFormat="1" ht="11.25" x14ac:dyDescent="0.2">
      <c r="A1716" s="46" t="s">
        <v>9816</v>
      </c>
      <c r="B1716" s="46" t="s">
        <v>51758</v>
      </c>
      <c r="C1716" s="58" t="str">
        <f>"15423565"</f>
        <v>15423565</v>
      </c>
      <c r="D1716" s="58" t="str">
        <f>"15427714"</f>
        <v>15427714</v>
      </c>
      <c r="E1716" s="46" t="s">
        <v>303</v>
      </c>
      <c r="F1716" s="46" t="s">
        <v>17759</v>
      </c>
      <c r="G1716" s="46" t="s">
        <v>50584</v>
      </c>
      <c r="H1716" s="48" t="s">
        <v>56716</v>
      </c>
      <c r="I1716" s="48" t="s">
        <v>50564</v>
      </c>
      <c r="J1716" s="48"/>
      <c r="K1716" s="50" t="s">
        <v>56716</v>
      </c>
      <c r="L1716" s="48" t="s">
        <v>56716</v>
      </c>
    </row>
    <row r="1717" spans="1:12" s="37" customFormat="1" ht="11.25" x14ac:dyDescent="0.2">
      <c r="A1717" s="46" t="s">
        <v>1149</v>
      </c>
      <c r="B1717" s="46" t="s">
        <v>51759</v>
      </c>
      <c r="C1717" s="58" t="str">
        <f>"00099163"</f>
        <v>00099163</v>
      </c>
      <c r="D1717" s="58" t="str">
        <f>"13990004"</f>
        <v>13990004</v>
      </c>
      <c r="E1717" s="46" t="s">
        <v>35</v>
      </c>
      <c r="F1717" s="46" t="s">
        <v>50646</v>
      </c>
      <c r="G1717" s="46" t="s">
        <v>50584</v>
      </c>
      <c r="H1717" s="48" t="s">
        <v>56716</v>
      </c>
      <c r="I1717" s="48" t="s">
        <v>50564</v>
      </c>
      <c r="J1717" s="48" t="s">
        <v>56716</v>
      </c>
      <c r="K1717" s="50" t="s">
        <v>56716</v>
      </c>
      <c r="L1717" s="48" t="s">
        <v>56716</v>
      </c>
    </row>
    <row r="1718" spans="1:12" s="37" customFormat="1" ht="11.25" x14ac:dyDescent="0.2">
      <c r="A1718" s="46" t="s">
        <v>11440</v>
      </c>
      <c r="B1718" s="46" t="s">
        <v>51760</v>
      </c>
      <c r="C1718" s="58" t="str">
        <f>"15587673"</f>
        <v>15587673</v>
      </c>
      <c r="D1718" s="58" t="str">
        <f>"19380682"</f>
        <v>19380682</v>
      </c>
      <c r="E1718" s="46" t="s">
        <v>272</v>
      </c>
      <c r="F1718" s="46" t="s">
        <v>17759</v>
      </c>
      <c r="G1718" s="46" t="s">
        <v>50584</v>
      </c>
      <c r="H1718" s="48" t="s">
        <v>56716</v>
      </c>
      <c r="I1718" s="48" t="s">
        <v>50564</v>
      </c>
      <c r="J1718" s="48"/>
      <c r="K1718" s="50" t="s">
        <v>56716</v>
      </c>
      <c r="L1718" s="48" t="s">
        <v>56716</v>
      </c>
    </row>
    <row r="1719" spans="1:12" s="37" customFormat="1" ht="11.25" x14ac:dyDescent="0.2">
      <c r="A1719" s="46" t="s">
        <v>7843</v>
      </c>
      <c r="B1719" s="46" t="s">
        <v>51761</v>
      </c>
      <c r="C1719" s="58" t="str">
        <f>"10951598"</f>
        <v>10951598</v>
      </c>
      <c r="D1719" s="58" t="str">
        <f>""</f>
        <v/>
      </c>
      <c r="E1719" s="46" t="s">
        <v>7845</v>
      </c>
      <c r="F1719" s="46" t="s">
        <v>17759</v>
      </c>
      <c r="G1719" s="46" t="s">
        <v>50584</v>
      </c>
      <c r="H1719" s="48" t="s">
        <v>56716</v>
      </c>
      <c r="I1719" s="48" t="s">
        <v>50564</v>
      </c>
      <c r="J1719" s="48"/>
      <c r="K1719" s="50"/>
      <c r="L1719" s="48"/>
    </row>
    <row r="1720" spans="1:12" s="37" customFormat="1" ht="11.25" x14ac:dyDescent="0.2">
      <c r="A1720" s="46" t="s">
        <v>10040</v>
      </c>
      <c r="B1720" s="46" t="s">
        <v>51762</v>
      </c>
      <c r="C1720" s="58" t="str">
        <f>"14777274"</f>
        <v>14777274</v>
      </c>
      <c r="D1720" s="58" t="str">
        <f>"17586038"</f>
        <v>17586038</v>
      </c>
      <c r="E1720" s="46" t="s">
        <v>10043</v>
      </c>
      <c r="F1720" s="46" t="s">
        <v>50646</v>
      </c>
      <c r="G1720" s="46" t="s">
        <v>50584</v>
      </c>
      <c r="H1720" s="48" t="s">
        <v>56716</v>
      </c>
      <c r="I1720" s="48" t="s">
        <v>50564</v>
      </c>
      <c r="J1720" s="48" t="s">
        <v>56716</v>
      </c>
      <c r="K1720" s="50"/>
      <c r="L1720" s="48"/>
    </row>
    <row r="1721" spans="1:12" s="37" customFormat="1" ht="11.25" x14ac:dyDescent="0.2">
      <c r="A1721" s="46" t="s">
        <v>7474</v>
      </c>
      <c r="B1721" s="46" t="s">
        <v>51763</v>
      </c>
      <c r="C1721" s="58" t="str">
        <f>"13860291"</f>
        <v>13860291</v>
      </c>
      <c r="D1721" s="58" t="str">
        <f>"18758622"</f>
        <v>18758622</v>
      </c>
      <c r="E1721" s="46" t="s">
        <v>920</v>
      </c>
      <c r="F1721" s="46" t="s">
        <v>18001</v>
      </c>
      <c r="G1721" s="46" t="s">
        <v>50584</v>
      </c>
      <c r="H1721" s="48" t="s">
        <v>56716</v>
      </c>
      <c r="I1721" s="48" t="s">
        <v>50564</v>
      </c>
      <c r="J1721" s="48"/>
      <c r="K1721" s="50"/>
      <c r="L1721" s="48" t="s">
        <v>56716</v>
      </c>
    </row>
    <row r="1722" spans="1:12" s="37" customFormat="1" ht="11.25" x14ac:dyDescent="0.2">
      <c r="A1722" s="46" t="s">
        <v>4877</v>
      </c>
      <c r="B1722" s="46" t="s">
        <v>51764</v>
      </c>
      <c r="C1722" s="58" t="str">
        <f>"08997071"</f>
        <v>08997071</v>
      </c>
      <c r="D1722" s="58" t="str">
        <f>"18734499"</f>
        <v>18734499</v>
      </c>
      <c r="E1722" s="46" t="s">
        <v>272</v>
      </c>
      <c r="F1722" s="46" t="s">
        <v>17759</v>
      </c>
      <c r="G1722" s="46" t="s">
        <v>50584</v>
      </c>
      <c r="H1722" s="48" t="s">
        <v>56716</v>
      </c>
      <c r="I1722" s="48" t="s">
        <v>50564</v>
      </c>
      <c r="J1722" s="48" t="s">
        <v>56716</v>
      </c>
      <c r="K1722" s="50" t="s">
        <v>56716</v>
      </c>
      <c r="L1722" s="48" t="s">
        <v>56716</v>
      </c>
    </row>
    <row r="1723" spans="1:12" s="37" customFormat="1" ht="11.25" x14ac:dyDescent="0.2">
      <c r="A1723" s="46" t="s">
        <v>8096</v>
      </c>
      <c r="B1723" s="46" t="s">
        <v>51765</v>
      </c>
      <c r="C1723" s="58" t="str">
        <f>"15216616"</f>
        <v>15216616</v>
      </c>
      <c r="D1723" s="58" t="str">
        <f>"15217035"</f>
        <v>15217035</v>
      </c>
      <c r="E1723" s="46" t="s">
        <v>60</v>
      </c>
      <c r="F1723" s="46" t="s">
        <v>17759</v>
      </c>
      <c r="G1723" s="46" t="s">
        <v>50584</v>
      </c>
      <c r="H1723" s="48" t="s">
        <v>56716</v>
      </c>
      <c r="I1723" s="48" t="s">
        <v>50564</v>
      </c>
      <c r="J1723" s="48" t="s">
        <v>56716</v>
      </c>
      <c r="K1723" s="50" t="s">
        <v>56716</v>
      </c>
      <c r="L1723" s="48" t="s">
        <v>56716</v>
      </c>
    </row>
    <row r="1724" spans="1:12" s="37" customFormat="1" ht="11.25" x14ac:dyDescent="0.2">
      <c r="A1724" s="46" t="s">
        <v>56207</v>
      </c>
      <c r="B1724" s="46" t="s">
        <v>56208</v>
      </c>
      <c r="C1724" s="58" t="str">
        <f>"22127070"</f>
        <v>22127070</v>
      </c>
      <c r="D1724" s="58" t="str">
        <f>"22127089"</f>
        <v>22127089</v>
      </c>
      <c r="E1724" s="46" t="s">
        <v>6405</v>
      </c>
      <c r="F1724" s="46" t="s">
        <v>18001</v>
      </c>
      <c r="G1724" s="46" t="s">
        <v>50584</v>
      </c>
      <c r="H1724" s="48" t="s">
        <v>56716</v>
      </c>
      <c r="I1724" s="48" t="s">
        <v>50564</v>
      </c>
      <c r="J1724" s="48" t="s">
        <v>56716</v>
      </c>
      <c r="K1724" s="50"/>
      <c r="L1724" s="48"/>
    </row>
    <row r="1725" spans="1:12" s="37" customFormat="1" ht="11.25" x14ac:dyDescent="0.2">
      <c r="A1725" s="45" t="s">
        <v>25312</v>
      </c>
      <c r="B1725" s="45" t="s">
        <v>25314</v>
      </c>
      <c r="C1725" s="51" t="s">
        <v>25316</v>
      </c>
      <c r="D1725" s="51" t="s">
        <v>25315</v>
      </c>
      <c r="E1725" s="45" t="s">
        <v>25317</v>
      </c>
      <c r="F1725" s="45" t="s">
        <v>18959</v>
      </c>
      <c r="G1725" s="45" t="s">
        <v>50584</v>
      </c>
      <c r="H1725" s="56"/>
      <c r="I1725" s="56" t="s">
        <v>50564</v>
      </c>
      <c r="J1725" s="56"/>
      <c r="K1725" s="50"/>
      <c r="L1725" s="56" t="s">
        <v>56716</v>
      </c>
    </row>
    <row r="1726" spans="1:12" s="37" customFormat="1" ht="11.25" x14ac:dyDescent="0.2">
      <c r="A1726" s="46" t="s">
        <v>5757</v>
      </c>
      <c r="B1726" s="46" t="s">
        <v>51766</v>
      </c>
      <c r="C1726" s="58" t="str">
        <f>"10584838"</f>
        <v>10584838</v>
      </c>
      <c r="D1726" s="58" t="str">
        <f>"15376591"</f>
        <v>15376591</v>
      </c>
      <c r="E1726" s="46" t="s">
        <v>55</v>
      </c>
      <c r="F1726" s="46" t="s">
        <v>50646</v>
      </c>
      <c r="G1726" s="46" t="s">
        <v>50584</v>
      </c>
      <c r="H1726" s="48" t="s">
        <v>56716</v>
      </c>
      <c r="I1726" s="48" t="s">
        <v>50564</v>
      </c>
      <c r="J1726" s="48" t="s">
        <v>56716</v>
      </c>
      <c r="K1726" s="50"/>
      <c r="L1726" s="48" t="s">
        <v>56716</v>
      </c>
    </row>
    <row r="1727" spans="1:12" s="37" customFormat="1" ht="11.25" x14ac:dyDescent="0.2">
      <c r="A1727" s="46" t="s">
        <v>12228</v>
      </c>
      <c r="B1727" s="46" t="s">
        <v>51767</v>
      </c>
      <c r="C1727" s="58" t="str">
        <f>"11769092"</f>
        <v>11769092</v>
      </c>
      <c r="D1727" s="58" t="str">
        <f>"11781998"</f>
        <v>11781998</v>
      </c>
      <c r="E1727" s="46" t="s">
        <v>11079</v>
      </c>
      <c r="F1727" s="46" t="s">
        <v>19483</v>
      </c>
      <c r="G1727" s="46" t="s">
        <v>50584</v>
      </c>
      <c r="H1727" s="48" t="s">
        <v>56716</v>
      </c>
      <c r="I1727" s="48" t="s">
        <v>50564</v>
      </c>
      <c r="J1727" s="48"/>
      <c r="K1727" s="50"/>
      <c r="L1727" s="48" t="s">
        <v>56716</v>
      </c>
    </row>
    <row r="1728" spans="1:12" s="37" customFormat="1" ht="11.25" x14ac:dyDescent="0.2">
      <c r="A1728" s="46" t="s">
        <v>15666</v>
      </c>
      <c r="B1728" s="46" t="s">
        <v>51768</v>
      </c>
      <c r="C1728" s="58" t="str">
        <f>"20416792"</f>
        <v>20416792</v>
      </c>
      <c r="D1728" s="58" t="str">
        <f>"20416806"</f>
        <v>20416806</v>
      </c>
      <c r="E1728" s="46" t="s">
        <v>14762</v>
      </c>
      <c r="F1728" s="46" t="s">
        <v>50646</v>
      </c>
      <c r="G1728" s="46" t="s">
        <v>50584</v>
      </c>
      <c r="H1728" s="48" t="s">
        <v>56716</v>
      </c>
      <c r="I1728" s="48" t="s">
        <v>50564</v>
      </c>
      <c r="J1728" s="48" t="s">
        <v>56716</v>
      </c>
      <c r="K1728" s="50"/>
      <c r="L1728" s="48"/>
    </row>
    <row r="1729" spans="1:12" s="37" customFormat="1" ht="11.25" x14ac:dyDescent="0.2">
      <c r="A1729" s="46" t="s">
        <v>13097</v>
      </c>
      <c r="B1729" s="46" t="s">
        <v>51769</v>
      </c>
      <c r="C1729" s="58" t="str">
        <f>"18657257"</f>
        <v>18657257</v>
      </c>
      <c r="D1729" s="58" t="str">
        <f>"18657265"</f>
        <v>18657265</v>
      </c>
      <c r="E1729" s="46" t="s">
        <v>23335</v>
      </c>
      <c r="F1729" s="46" t="s">
        <v>18242</v>
      </c>
      <c r="G1729" s="46" t="s">
        <v>50584</v>
      </c>
      <c r="H1729" s="48" t="s">
        <v>56716</v>
      </c>
      <c r="I1729" s="48" t="s">
        <v>50564</v>
      </c>
      <c r="J1729" s="48" t="s">
        <v>56716</v>
      </c>
      <c r="K1729" s="50" t="s">
        <v>56716</v>
      </c>
      <c r="L1729" s="48" t="s">
        <v>56716</v>
      </c>
    </row>
    <row r="1730" spans="1:12" s="37" customFormat="1" ht="11.25" x14ac:dyDescent="0.2">
      <c r="A1730" s="45" t="s">
        <v>25330</v>
      </c>
      <c r="B1730" s="45" t="s">
        <v>25332</v>
      </c>
      <c r="C1730" s="51" t="s">
        <v>25334</v>
      </c>
      <c r="D1730" s="51" t="s">
        <v>25333</v>
      </c>
      <c r="E1730" s="45" t="s">
        <v>25335</v>
      </c>
      <c r="F1730" s="45" t="s">
        <v>17759</v>
      </c>
      <c r="G1730" s="45" t="s">
        <v>50584</v>
      </c>
      <c r="H1730" s="56"/>
      <c r="I1730" s="56" t="s">
        <v>50564</v>
      </c>
      <c r="J1730" s="56"/>
      <c r="K1730" s="50"/>
      <c r="L1730" s="56" t="s">
        <v>56716</v>
      </c>
    </row>
    <row r="1731" spans="1:12" s="37" customFormat="1" ht="11.25" x14ac:dyDescent="0.2">
      <c r="A1731" s="46" t="s">
        <v>1110</v>
      </c>
      <c r="B1731" s="46" t="s">
        <v>51770</v>
      </c>
      <c r="C1731" s="58" t="str">
        <f>"07498047"</f>
        <v>07498047</v>
      </c>
      <c r="D1731" s="58" t="str">
        <f>"15365409"</f>
        <v>15365409</v>
      </c>
      <c r="E1731" s="46" t="s">
        <v>28</v>
      </c>
      <c r="F1731" s="46" t="s">
        <v>17759</v>
      </c>
      <c r="G1731" s="46" t="s">
        <v>50584</v>
      </c>
      <c r="H1731" s="48" t="s">
        <v>56716</v>
      </c>
      <c r="I1731" s="48" t="s">
        <v>50564</v>
      </c>
      <c r="J1731" s="48" t="s">
        <v>56716</v>
      </c>
      <c r="K1731" s="50" t="s">
        <v>56716</v>
      </c>
      <c r="L1731" s="48" t="s">
        <v>56716</v>
      </c>
    </row>
    <row r="1732" spans="1:12" s="37" customFormat="1" ht="11.25" x14ac:dyDescent="0.2">
      <c r="A1732" s="46" t="s">
        <v>5368</v>
      </c>
      <c r="B1732" s="46" t="s">
        <v>51771</v>
      </c>
      <c r="C1732" s="58" t="str">
        <f>"1050642X"</f>
        <v>1050642X</v>
      </c>
      <c r="D1732" s="58" t="str">
        <f>"15363724"</f>
        <v>15363724</v>
      </c>
      <c r="E1732" s="46" t="s">
        <v>28</v>
      </c>
      <c r="F1732" s="46" t="s">
        <v>17759</v>
      </c>
      <c r="G1732" s="46" t="s">
        <v>50584</v>
      </c>
      <c r="H1732" s="48" t="s">
        <v>56716</v>
      </c>
      <c r="I1732" s="48" t="s">
        <v>50564</v>
      </c>
      <c r="J1732" s="48" t="s">
        <v>56716</v>
      </c>
      <c r="K1732" s="50" t="s">
        <v>56716</v>
      </c>
      <c r="L1732" s="48" t="s">
        <v>56716</v>
      </c>
    </row>
    <row r="1733" spans="1:12" s="37" customFormat="1" ht="11.25" x14ac:dyDescent="0.2">
      <c r="A1733" s="46" t="s">
        <v>12294</v>
      </c>
      <c r="B1733" s="46" t="s">
        <v>51772</v>
      </c>
      <c r="C1733" s="58" t="str">
        <f>"15559041"</f>
        <v>15559041</v>
      </c>
      <c r="D1733" s="58" t="str">
        <f>"1555905X"</f>
        <v>1555905X</v>
      </c>
      <c r="E1733" s="46" t="s">
        <v>5339</v>
      </c>
      <c r="F1733" s="46" t="s">
        <v>17759</v>
      </c>
      <c r="G1733" s="46" t="s">
        <v>50584</v>
      </c>
      <c r="H1733" s="48" t="s">
        <v>56716</v>
      </c>
      <c r="I1733" s="48" t="s">
        <v>50564</v>
      </c>
      <c r="J1733" s="48"/>
      <c r="K1733" s="50"/>
      <c r="L1733" s="48" t="s">
        <v>56716</v>
      </c>
    </row>
    <row r="1734" spans="1:12" s="37" customFormat="1" ht="11.25" x14ac:dyDescent="0.2">
      <c r="A1734" s="46" t="s">
        <v>16237</v>
      </c>
      <c r="B1734" s="46" t="s">
        <v>51773</v>
      </c>
      <c r="C1734" s="58" t="str">
        <f>"20488505"</f>
        <v>20488505</v>
      </c>
      <c r="D1734" s="58" t="str">
        <f>"20488513"</f>
        <v>20488513</v>
      </c>
      <c r="E1734" s="46" t="s">
        <v>55</v>
      </c>
      <c r="F1734" s="46" t="s">
        <v>50646</v>
      </c>
      <c r="G1734" s="46" t="s">
        <v>50584</v>
      </c>
      <c r="H1734" s="48" t="s">
        <v>56716</v>
      </c>
      <c r="I1734" s="48" t="s">
        <v>50564</v>
      </c>
      <c r="J1734" s="48" t="s">
        <v>56716</v>
      </c>
      <c r="K1734" s="50"/>
      <c r="L1734" s="48"/>
    </row>
    <row r="1735" spans="1:12" s="37" customFormat="1" ht="11.25" x14ac:dyDescent="0.2">
      <c r="A1735" s="46" t="s">
        <v>4554</v>
      </c>
      <c r="B1735" s="46" t="s">
        <v>51774</v>
      </c>
      <c r="C1735" s="58" t="str">
        <f>"08969620"</f>
        <v>08969620</v>
      </c>
      <c r="D1735" s="58" t="str">
        <f>""</f>
        <v/>
      </c>
      <c r="E1735" s="46" t="s">
        <v>4556</v>
      </c>
      <c r="F1735" s="46" t="s">
        <v>17759</v>
      </c>
      <c r="G1735" s="46" t="s">
        <v>50584</v>
      </c>
      <c r="H1735" s="48" t="s">
        <v>56716</v>
      </c>
      <c r="I1735" s="48" t="s">
        <v>50564</v>
      </c>
      <c r="J1735" s="48"/>
      <c r="K1735" s="50"/>
      <c r="L1735" s="48"/>
    </row>
    <row r="1736" spans="1:12" s="37" customFormat="1" ht="11.25" x14ac:dyDescent="0.2">
      <c r="A1736" s="46" t="s">
        <v>7449</v>
      </c>
      <c r="B1736" s="46" t="s">
        <v>51775</v>
      </c>
      <c r="C1736" s="58" t="str">
        <f>"14336510"</f>
        <v>14336510</v>
      </c>
      <c r="D1736" s="58" t="str">
        <f>""</f>
        <v/>
      </c>
      <c r="E1736" s="46" t="s">
        <v>7451</v>
      </c>
      <c r="F1736" s="46" t="s">
        <v>18158</v>
      </c>
      <c r="G1736" s="46" t="s">
        <v>50592</v>
      </c>
      <c r="H1736" s="48" t="s">
        <v>56716</v>
      </c>
      <c r="I1736" s="48" t="s">
        <v>50564</v>
      </c>
      <c r="J1736" s="48"/>
      <c r="K1736" s="50"/>
      <c r="L1736" s="48" t="s">
        <v>56716</v>
      </c>
    </row>
    <row r="1737" spans="1:12" s="37" customFormat="1" ht="11.25" x14ac:dyDescent="0.2">
      <c r="A1737" s="45" t="s">
        <v>25355</v>
      </c>
      <c r="B1737" s="45" t="s">
        <v>25357</v>
      </c>
      <c r="C1737" s="51" t="s">
        <v>25360</v>
      </c>
      <c r="D1737" s="51" t="s">
        <v>25359</v>
      </c>
      <c r="E1737" s="45" t="s">
        <v>25361</v>
      </c>
      <c r="F1737" s="45" t="s">
        <v>17759</v>
      </c>
      <c r="G1737" s="45" t="s">
        <v>50584</v>
      </c>
      <c r="H1737" s="56"/>
      <c r="I1737" s="56" t="s">
        <v>50564</v>
      </c>
      <c r="J1737" s="56"/>
      <c r="K1737" s="50"/>
      <c r="L1737" s="56" t="s">
        <v>56716</v>
      </c>
    </row>
    <row r="1738" spans="1:12" s="37" customFormat="1" ht="11.25" x14ac:dyDescent="0.2">
      <c r="A1738" s="46" t="s">
        <v>13112</v>
      </c>
      <c r="B1738" s="46" t="s">
        <v>51776</v>
      </c>
      <c r="C1738" s="58" t="str">
        <f>"19316925"</f>
        <v>19316925</v>
      </c>
      <c r="D1738" s="58" t="str">
        <f>"19380704"</f>
        <v>19380704</v>
      </c>
      <c r="E1738" s="46" t="s">
        <v>13115</v>
      </c>
      <c r="F1738" s="46" t="s">
        <v>17759</v>
      </c>
      <c r="G1738" s="46" t="s">
        <v>50584</v>
      </c>
      <c r="H1738" s="48" t="s">
        <v>56716</v>
      </c>
      <c r="I1738" s="48" t="s">
        <v>50564</v>
      </c>
      <c r="J1738" s="48"/>
      <c r="K1738" s="50"/>
      <c r="L1738" s="48"/>
    </row>
    <row r="1739" spans="1:12" s="37" customFormat="1" ht="11.25" x14ac:dyDescent="0.2">
      <c r="A1739" s="45" t="s">
        <v>25372</v>
      </c>
      <c r="B1739" s="45" t="s">
        <v>25374</v>
      </c>
      <c r="C1739" s="51" t="s">
        <v>25377</v>
      </c>
      <c r="D1739" s="51" t="s">
        <v>25376</v>
      </c>
      <c r="E1739" s="45" t="s">
        <v>291</v>
      </c>
      <c r="F1739" s="45" t="s">
        <v>50646</v>
      </c>
      <c r="G1739" s="45" t="s">
        <v>50584</v>
      </c>
      <c r="H1739" s="56"/>
      <c r="I1739" s="56" t="s">
        <v>50564</v>
      </c>
      <c r="J1739" s="56"/>
      <c r="K1739" s="50"/>
      <c r="L1739" s="56" t="s">
        <v>56716</v>
      </c>
    </row>
    <row r="1740" spans="1:12" s="37" customFormat="1" ht="11.25" x14ac:dyDescent="0.2">
      <c r="A1740" s="46" t="s">
        <v>13657</v>
      </c>
      <c r="B1740" s="46" t="s">
        <v>13657</v>
      </c>
      <c r="C1740" s="58" t="str">
        <f>"17584299"</f>
        <v>17584299</v>
      </c>
      <c r="D1740" s="58" t="str">
        <f>"17584302"</f>
        <v>17584302</v>
      </c>
      <c r="E1740" s="46" t="s">
        <v>8442</v>
      </c>
      <c r="F1740" s="46" t="s">
        <v>50646</v>
      </c>
      <c r="G1740" s="46" t="s">
        <v>50584</v>
      </c>
      <c r="H1740" s="48" t="s">
        <v>56716</v>
      </c>
      <c r="I1740" s="48" t="s">
        <v>50564</v>
      </c>
      <c r="J1740" s="48" t="s">
        <v>56716</v>
      </c>
      <c r="K1740" s="50"/>
      <c r="L1740" s="48"/>
    </row>
    <row r="1741" spans="1:12" s="37" customFormat="1" ht="11.25" x14ac:dyDescent="0.2">
      <c r="A1741" s="46" t="s">
        <v>16421</v>
      </c>
      <c r="B1741" s="46" t="s">
        <v>51777</v>
      </c>
      <c r="C1741" s="58" t="str">
        <f>""</f>
        <v/>
      </c>
      <c r="D1741" s="58" t="str">
        <f>"20462484"</f>
        <v>20462484</v>
      </c>
      <c r="E1741" s="46" t="s">
        <v>517</v>
      </c>
      <c r="F1741" s="46" t="s">
        <v>17759</v>
      </c>
      <c r="G1741" s="46" t="s">
        <v>50584</v>
      </c>
      <c r="H1741" s="48" t="s">
        <v>56716</v>
      </c>
      <c r="I1741" s="48" t="s">
        <v>50564</v>
      </c>
      <c r="J1741" s="48" t="s">
        <v>56716</v>
      </c>
      <c r="K1741" s="50"/>
      <c r="L1741" s="48"/>
    </row>
    <row r="1742" spans="1:12" s="37" customFormat="1" ht="11.25" x14ac:dyDescent="0.2">
      <c r="A1742" s="46" t="s">
        <v>8811</v>
      </c>
      <c r="B1742" s="46" t="s">
        <v>51778</v>
      </c>
      <c r="C1742" s="58" t="str">
        <f>"15257304"</f>
        <v>15257304</v>
      </c>
      <c r="D1742" s="58" t="str">
        <f>"19380690"</f>
        <v>19380690</v>
      </c>
      <c r="E1742" s="46" t="s">
        <v>272</v>
      </c>
      <c r="F1742" s="46" t="s">
        <v>17759</v>
      </c>
      <c r="G1742" s="46" t="s">
        <v>50584</v>
      </c>
      <c r="H1742" s="48" t="s">
        <v>56716</v>
      </c>
      <c r="I1742" s="48" t="s">
        <v>50564</v>
      </c>
      <c r="J1742" s="48"/>
      <c r="K1742" s="50" t="s">
        <v>56716</v>
      </c>
      <c r="L1742" s="48" t="s">
        <v>56716</v>
      </c>
    </row>
    <row r="1743" spans="1:12" s="37" customFormat="1" ht="11.25" x14ac:dyDescent="0.2">
      <c r="A1743" s="46" t="s">
        <v>15352</v>
      </c>
      <c r="B1743" s="46" t="s">
        <v>51779</v>
      </c>
      <c r="C1743" s="58" t="str">
        <f>"21522650"</f>
        <v>21522650</v>
      </c>
      <c r="D1743" s="58" t="str">
        <f>"21522669"</f>
        <v>21522669</v>
      </c>
      <c r="E1743" s="46" t="s">
        <v>272</v>
      </c>
      <c r="F1743" s="46" t="s">
        <v>17759</v>
      </c>
      <c r="G1743" s="46" t="s">
        <v>50584</v>
      </c>
      <c r="H1743" s="48" t="s">
        <v>56716</v>
      </c>
      <c r="I1743" s="48" t="s">
        <v>50564</v>
      </c>
      <c r="J1743" s="48"/>
      <c r="K1743" s="50" t="s">
        <v>56716</v>
      </c>
      <c r="L1743" s="48" t="s">
        <v>56716</v>
      </c>
    </row>
    <row r="1744" spans="1:12" s="37" customFormat="1" ht="11.25" x14ac:dyDescent="0.2">
      <c r="A1744" s="46" t="s">
        <v>11278</v>
      </c>
      <c r="B1744" s="46" t="s">
        <v>51780</v>
      </c>
      <c r="C1744" s="58" t="str">
        <f>"15394182"</f>
        <v>15394182</v>
      </c>
      <c r="D1744" s="58" t="str">
        <f>"15546179"</f>
        <v>15546179</v>
      </c>
      <c r="E1744" s="46" t="s">
        <v>11281</v>
      </c>
      <c r="F1744" s="46" t="s">
        <v>17759</v>
      </c>
      <c r="G1744" s="46" t="s">
        <v>50584</v>
      </c>
      <c r="H1744" s="48" t="s">
        <v>56716</v>
      </c>
      <c r="I1744" s="48" t="s">
        <v>50564</v>
      </c>
      <c r="J1744" s="48"/>
      <c r="K1744" s="50"/>
      <c r="L1744" s="48" t="s">
        <v>56716</v>
      </c>
    </row>
    <row r="1745" spans="1:12" s="37" customFormat="1" ht="11.25" x14ac:dyDescent="0.2">
      <c r="A1745" s="46" t="s">
        <v>14333</v>
      </c>
      <c r="B1745" s="46" t="s">
        <v>51781</v>
      </c>
      <c r="C1745" s="58" t="str">
        <f>"11795441"</f>
        <v>11795441</v>
      </c>
      <c r="D1745" s="58" t="str">
        <f>"11795441"</f>
        <v>11795441</v>
      </c>
      <c r="E1745" s="46" t="s">
        <v>11251</v>
      </c>
      <c r="F1745" s="46" t="s">
        <v>19483</v>
      </c>
      <c r="G1745" s="46" t="s">
        <v>50584</v>
      </c>
      <c r="H1745" s="48" t="s">
        <v>56716</v>
      </c>
      <c r="I1745" s="48" t="s">
        <v>50564</v>
      </c>
      <c r="J1745" s="48"/>
      <c r="K1745" s="50"/>
      <c r="L1745" s="48"/>
    </row>
    <row r="1746" spans="1:12" s="37" customFormat="1" ht="11.25" x14ac:dyDescent="0.2">
      <c r="A1746" s="46" t="s">
        <v>14338</v>
      </c>
      <c r="B1746" s="46" t="s">
        <v>51782</v>
      </c>
      <c r="C1746" s="58" t="str">
        <f>"1179545X"</f>
        <v>1179545X</v>
      </c>
      <c r="D1746" s="58" t="str">
        <f>"1179545X"</f>
        <v>1179545X</v>
      </c>
      <c r="E1746" s="46" t="s">
        <v>11251</v>
      </c>
      <c r="F1746" s="46" t="s">
        <v>19483</v>
      </c>
      <c r="G1746" s="46" t="s">
        <v>50584</v>
      </c>
      <c r="H1746" s="48" t="s">
        <v>56716</v>
      </c>
      <c r="I1746" s="48" t="s">
        <v>50564</v>
      </c>
      <c r="J1746" s="48"/>
      <c r="K1746" s="50"/>
      <c r="L1746" s="48"/>
    </row>
    <row r="1747" spans="1:12" s="37" customFormat="1" ht="11.25" x14ac:dyDescent="0.2">
      <c r="A1747" s="46" t="s">
        <v>14366</v>
      </c>
      <c r="B1747" s="46" t="s">
        <v>51783</v>
      </c>
      <c r="C1747" s="58" t="str">
        <f>"11795468"</f>
        <v>11795468</v>
      </c>
      <c r="D1747" s="58" t="str">
        <f>"11795468"</f>
        <v>11795468</v>
      </c>
      <c r="E1747" s="46" t="s">
        <v>11251</v>
      </c>
      <c r="F1747" s="46" t="s">
        <v>19483</v>
      </c>
      <c r="G1747" s="46" t="s">
        <v>50584</v>
      </c>
      <c r="H1747" s="48" t="s">
        <v>56716</v>
      </c>
      <c r="I1747" s="48" t="s">
        <v>50564</v>
      </c>
      <c r="J1747" s="48"/>
      <c r="K1747" s="50"/>
      <c r="L1747" s="48"/>
    </row>
    <row r="1748" spans="1:12" s="37" customFormat="1" ht="11.25" x14ac:dyDescent="0.2">
      <c r="A1748" s="46" t="s">
        <v>14343</v>
      </c>
      <c r="B1748" s="46" t="s">
        <v>51784</v>
      </c>
      <c r="C1748" s="58" t="str">
        <f>"11795476"</f>
        <v>11795476</v>
      </c>
      <c r="D1748" s="58" t="str">
        <f>"11795476"</f>
        <v>11795476</v>
      </c>
      <c r="E1748" s="46" t="s">
        <v>11251</v>
      </c>
      <c r="F1748" s="46" t="s">
        <v>19483</v>
      </c>
      <c r="G1748" s="46" t="s">
        <v>50584</v>
      </c>
      <c r="H1748" s="48" t="s">
        <v>56716</v>
      </c>
      <c r="I1748" s="48" t="s">
        <v>50564</v>
      </c>
      <c r="J1748" s="48"/>
      <c r="K1748" s="50"/>
      <c r="L1748" s="48"/>
    </row>
    <row r="1749" spans="1:12" s="37" customFormat="1" ht="11.25" x14ac:dyDescent="0.2">
      <c r="A1749" s="46" t="s">
        <v>14351</v>
      </c>
      <c r="B1749" s="46" t="s">
        <v>51785</v>
      </c>
      <c r="C1749" s="58" t="str">
        <f>"11795484"</f>
        <v>11795484</v>
      </c>
      <c r="D1749" s="58" t="str">
        <f>"11795484"</f>
        <v>11795484</v>
      </c>
      <c r="E1749" s="46" t="s">
        <v>11251</v>
      </c>
      <c r="F1749" s="46" t="s">
        <v>19483</v>
      </c>
      <c r="G1749" s="46" t="s">
        <v>50584</v>
      </c>
      <c r="H1749" s="48" t="s">
        <v>56716</v>
      </c>
      <c r="I1749" s="48" t="s">
        <v>50564</v>
      </c>
      <c r="J1749" s="48"/>
      <c r="K1749" s="50"/>
      <c r="L1749" s="48"/>
    </row>
    <row r="1750" spans="1:12" s="37" customFormat="1" ht="11.25" x14ac:dyDescent="0.2">
      <c r="A1750" s="46" t="s">
        <v>14319</v>
      </c>
      <c r="B1750" s="46" t="s">
        <v>51786</v>
      </c>
      <c r="C1750" s="58" t="str">
        <f>"11795514"</f>
        <v>11795514</v>
      </c>
      <c r="D1750" s="58" t="str">
        <f>"11795514"</f>
        <v>11795514</v>
      </c>
      <c r="E1750" s="46" t="s">
        <v>11251</v>
      </c>
      <c r="F1750" s="46" t="s">
        <v>19483</v>
      </c>
      <c r="G1750" s="46" t="s">
        <v>50584</v>
      </c>
      <c r="H1750" s="48" t="s">
        <v>56716</v>
      </c>
      <c r="I1750" s="48" t="s">
        <v>50564</v>
      </c>
      <c r="J1750" s="48"/>
      <c r="K1750" s="50"/>
      <c r="L1750" s="48"/>
    </row>
    <row r="1751" spans="1:12" s="37" customFormat="1" ht="11.25" x14ac:dyDescent="0.2">
      <c r="A1751" s="46" t="s">
        <v>14321</v>
      </c>
      <c r="B1751" s="46" t="s">
        <v>51787</v>
      </c>
      <c r="C1751" s="58" t="str">
        <f>"11795522"</f>
        <v>11795522</v>
      </c>
      <c r="D1751" s="58" t="str">
        <f>"11795522"</f>
        <v>11795522</v>
      </c>
      <c r="E1751" s="46" t="s">
        <v>11251</v>
      </c>
      <c r="F1751" s="46" t="s">
        <v>19483</v>
      </c>
      <c r="G1751" s="46" t="s">
        <v>50584</v>
      </c>
      <c r="H1751" s="48" t="s">
        <v>56716</v>
      </c>
      <c r="I1751" s="48" t="s">
        <v>50564</v>
      </c>
      <c r="J1751" s="48"/>
      <c r="K1751" s="50"/>
      <c r="L1751" s="48"/>
    </row>
    <row r="1752" spans="1:12" s="37" customFormat="1" ht="11.25" x14ac:dyDescent="0.2">
      <c r="A1752" s="46" t="s">
        <v>14325</v>
      </c>
      <c r="B1752" s="46" t="s">
        <v>51788</v>
      </c>
      <c r="C1752" s="58" t="str">
        <f>"11795530"</f>
        <v>11795530</v>
      </c>
      <c r="D1752" s="58" t="str">
        <f>"11795530"</f>
        <v>11795530</v>
      </c>
      <c r="E1752" s="46" t="s">
        <v>11251</v>
      </c>
      <c r="F1752" s="46" t="s">
        <v>19483</v>
      </c>
      <c r="G1752" s="46" t="s">
        <v>50584</v>
      </c>
      <c r="H1752" s="48" t="s">
        <v>56716</v>
      </c>
      <c r="I1752" s="48" t="s">
        <v>50564</v>
      </c>
      <c r="J1752" s="48"/>
      <c r="K1752" s="50"/>
      <c r="L1752" s="48"/>
    </row>
    <row r="1753" spans="1:12" s="37" customFormat="1" ht="11.25" x14ac:dyDescent="0.2">
      <c r="A1753" s="46" t="s">
        <v>14327</v>
      </c>
      <c r="B1753" s="46" t="s">
        <v>51789</v>
      </c>
      <c r="C1753" s="58" t="str">
        <f>"11795549"</f>
        <v>11795549</v>
      </c>
      <c r="D1753" s="58" t="str">
        <f>"11795549"</f>
        <v>11795549</v>
      </c>
      <c r="E1753" s="46" t="s">
        <v>11251</v>
      </c>
      <c r="F1753" s="46" t="s">
        <v>19483</v>
      </c>
      <c r="G1753" s="46" t="s">
        <v>50584</v>
      </c>
      <c r="H1753" s="48" t="s">
        <v>56716</v>
      </c>
      <c r="I1753" s="48" t="s">
        <v>50564</v>
      </c>
      <c r="J1753" s="48"/>
      <c r="K1753" s="50"/>
      <c r="L1753" s="48"/>
    </row>
    <row r="1754" spans="1:12" s="37" customFormat="1" ht="11.25" x14ac:dyDescent="0.2">
      <c r="A1754" s="46" t="s">
        <v>14380</v>
      </c>
      <c r="B1754" s="46" t="s">
        <v>51790</v>
      </c>
      <c r="C1754" s="58" t="str">
        <f>"11795557"</f>
        <v>11795557</v>
      </c>
      <c r="D1754" s="58" t="str">
        <f>""</f>
        <v/>
      </c>
      <c r="E1754" s="46" t="s">
        <v>11251</v>
      </c>
      <c r="F1754" s="46" t="s">
        <v>19483</v>
      </c>
      <c r="G1754" s="46" t="s">
        <v>50584</v>
      </c>
      <c r="H1754" s="48" t="s">
        <v>56716</v>
      </c>
      <c r="I1754" s="48" t="s">
        <v>50564</v>
      </c>
      <c r="J1754" s="48"/>
      <c r="K1754" s="50"/>
      <c r="L1754" s="48"/>
    </row>
    <row r="1755" spans="1:12" s="37" customFormat="1" ht="11.25" x14ac:dyDescent="0.2">
      <c r="A1755" s="46" t="s">
        <v>14359</v>
      </c>
      <c r="B1755" s="46" t="s">
        <v>51791</v>
      </c>
      <c r="C1755" s="58" t="str">
        <f>"1179559X"</f>
        <v>1179559X</v>
      </c>
      <c r="D1755" s="58" t="str">
        <f>"1179559X"</f>
        <v>1179559X</v>
      </c>
      <c r="E1755" s="46" t="s">
        <v>11251</v>
      </c>
      <c r="F1755" s="46" t="s">
        <v>19483</v>
      </c>
      <c r="G1755" s="46" t="s">
        <v>50584</v>
      </c>
      <c r="H1755" s="48" t="s">
        <v>56716</v>
      </c>
      <c r="I1755" s="48" t="s">
        <v>50564</v>
      </c>
      <c r="J1755" s="48"/>
      <c r="K1755" s="50"/>
      <c r="L1755" s="48"/>
    </row>
    <row r="1756" spans="1:12" s="37" customFormat="1" ht="11.25" x14ac:dyDescent="0.2">
      <c r="A1756" s="46" t="s">
        <v>8847</v>
      </c>
      <c r="B1756" s="46" t="s">
        <v>51792</v>
      </c>
      <c r="C1756" s="58" t="str">
        <f>"14702118"</f>
        <v>14702118</v>
      </c>
      <c r="D1756" s="58" t="str">
        <f>"14734893"</f>
        <v>14734893</v>
      </c>
      <c r="E1756" s="46" t="s">
        <v>8850</v>
      </c>
      <c r="F1756" s="46" t="s">
        <v>50646</v>
      </c>
      <c r="G1756" s="46" t="s">
        <v>50584</v>
      </c>
      <c r="H1756" s="48" t="s">
        <v>56716</v>
      </c>
      <c r="I1756" s="48" t="s">
        <v>50564</v>
      </c>
      <c r="J1756" s="48"/>
      <c r="K1756" s="50"/>
      <c r="L1756" s="48" t="s">
        <v>56716</v>
      </c>
    </row>
    <row r="1757" spans="1:12" s="37" customFormat="1" ht="11.25" x14ac:dyDescent="0.2">
      <c r="A1757" s="46" t="s">
        <v>7232</v>
      </c>
      <c r="B1757" s="46" t="s">
        <v>51793</v>
      </c>
      <c r="C1757" s="58" t="str">
        <f>"1198743X"</f>
        <v>1198743X</v>
      </c>
      <c r="D1757" s="58" t="str">
        <f>"14690691"</f>
        <v>14690691</v>
      </c>
      <c r="E1757" s="46" t="s">
        <v>91</v>
      </c>
      <c r="F1757" s="46" t="s">
        <v>50646</v>
      </c>
      <c r="G1757" s="46" t="s">
        <v>50584</v>
      </c>
      <c r="H1757" s="48" t="s">
        <v>56716</v>
      </c>
      <c r="I1757" s="48" t="s">
        <v>50564</v>
      </c>
      <c r="J1757" s="48" t="s">
        <v>56716</v>
      </c>
      <c r="K1757" s="50" t="s">
        <v>56716</v>
      </c>
      <c r="L1757" s="48" t="s">
        <v>56716</v>
      </c>
    </row>
    <row r="1758" spans="1:12" s="37" customFormat="1" ht="11.25" x14ac:dyDescent="0.2">
      <c r="A1758" s="46" t="s">
        <v>7113</v>
      </c>
      <c r="B1758" s="46" t="s">
        <v>51794</v>
      </c>
      <c r="C1758" s="58" t="str">
        <f>"01964399"</f>
        <v>01964399</v>
      </c>
      <c r="D1758" s="58" t="str">
        <f>"18734391"</f>
        <v>18734391</v>
      </c>
      <c r="E1758" s="46" t="s">
        <v>272</v>
      </c>
      <c r="F1758" s="46" t="s">
        <v>17759</v>
      </c>
      <c r="G1758" s="46" t="s">
        <v>50584</v>
      </c>
      <c r="H1758" s="48" t="s">
        <v>56716</v>
      </c>
      <c r="I1758" s="48" t="s">
        <v>50564</v>
      </c>
      <c r="J1758" s="48"/>
      <c r="K1758" s="50"/>
      <c r="L1758" s="48"/>
    </row>
    <row r="1759" spans="1:12" s="37" customFormat="1" ht="11.25" x14ac:dyDescent="0.2">
      <c r="A1759" s="46" t="s">
        <v>4559</v>
      </c>
      <c r="B1759" s="46" t="s">
        <v>51795</v>
      </c>
      <c r="C1759" s="58" t="str">
        <f>"08938512"</f>
        <v>08938512</v>
      </c>
      <c r="D1759" s="58" t="str">
        <f>"10986618"</f>
        <v>10986618</v>
      </c>
      <c r="E1759" s="46" t="s">
        <v>441</v>
      </c>
      <c r="F1759" s="46" t="s">
        <v>17759</v>
      </c>
      <c r="G1759" s="46" t="s">
        <v>50584</v>
      </c>
      <c r="H1759" s="48" t="s">
        <v>56716</v>
      </c>
      <c r="I1759" s="48" t="s">
        <v>50564</v>
      </c>
      <c r="J1759" s="48"/>
      <c r="K1759" s="50"/>
      <c r="L1759" s="48" t="s">
        <v>56716</v>
      </c>
    </row>
    <row r="1760" spans="1:12" s="37" customFormat="1" ht="11.25" x14ac:dyDescent="0.2">
      <c r="A1760" s="46" t="s">
        <v>1161</v>
      </c>
      <c r="B1760" s="46" t="s">
        <v>51796</v>
      </c>
      <c r="C1760" s="58" t="str">
        <f>"03010430"</f>
        <v>03010430</v>
      </c>
      <c r="D1760" s="58" t="str">
        <f>""</f>
        <v/>
      </c>
      <c r="E1760" s="46" t="s">
        <v>437</v>
      </c>
      <c r="F1760" s="46" t="s">
        <v>18158</v>
      </c>
      <c r="G1760" s="46" t="s">
        <v>50584</v>
      </c>
      <c r="H1760" s="48" t="s">
        <v>56716</v>
      </c>
      <c r="I1760" s="48" t="s">
        <v>50564</v>
      </c>
      <c r="J1760" s="48"/>
      <c r="K1760" s="50"/>
      <c r="L1760" s="48" t="s">
        <v>56716</v>
      </c>
    </row>
    <row r="1761" spans="1:12" s="37" customFormat="1" ht="11.25" x14ac:dyDescent="0.2">
      <c r="A1761" s="46" t="s">
        <v>55987</v>
      </c>
      <c r="B1761" s="46" t="s">
        <v>55988</v>
      </c>
      <c r="C1761" s="58" t="str">
        <f>""</f>
        <v/>
      </c>
      <c r="D1761" s="58" t="str">
        <f>"21965293"</f>
        <v>21965293</v>
      </c>
      <c r="E1761" s="46" t="s">
        <v>437</v>
      </c>
      <c r="F1761" s="46" t="s">
        <v>18158</v>
      </c>
      <c r="G1761" s="46" t="s">
        <v>50584</v>
      </c>
      <c r="H1761" s="48" t="s">
        <v>56716</v>
      </c>
      <c r="I1761" s="48" t="s">
        <v>50564</v>
      </c>
      <c r="J1761" s="48"/>
      <c r="K1761" s="50"/>
      <c r="L1761" s="48"/>
    </row>
    <row r="1762" spans="1:12" s="37" customFormat="1" ht="11.25" x14ac:dyDescent="0.2">
      <c r="A1762" s="46" t="s">
        <v>3641</v>
      </c>
      <c r="B1762" s="46" t="s">
        <v>51797</v>
      </c>
      <c r="C1762" s="58" t="str">
        <f>"0009918X"</f>
        <v>0009918X</v>
      </c>
      <c r="D1762" s="58" t="str">
        <f>""</f>
        <v/>
      </c>
      <c r="E1762" s="46" t="s">
        <v>3643</v>
      </c>
      <c r="F1762" s="46" t="s">
        <v>18242</v>
      </c>
      <c r="G1762" s="46" t="s">
        <v>50604</v>
      </c>
      <c r="H1762" s="48" t="s">
        <v>56716</v>
      </c>
      <c r="I1762" s="48" t="s">
        <v>50564</v>
      </c>
      <c r="J1762" s="48"/>
      <c r="K1762" s="50"/>
      <c r="L1762" s="48" t="s">
        <v>56716</v>
      </c>
    </row>
    <row r="1763" spans="1:12" s="37" customFormat="1" ht="11.25" x14ac:dyDescent="0.2">
      <c r="A1763" s="46" t="s">
        <v>1218</v>
      </c>
      <c r="B1763" s="46" t="s">
        <v>51798</v>
      </c>
      <c r="C1763" s="58" t="str">
        <f>"03038467"</f>
        <v>03038467</v>
      </c>
      <c r="D1763" s="58" t="str">
        <f>"18726968"</f>
        <v>18726968</v>
      </c>
      <c r="E1763" s="46" t="s">
        <v>91</v>
      </c>
      <c r="F1763" s="46" t="s">
        <v>18001</v>
      </c>
      <c r="G1763" s="46" t="s">
        <v>50584</v>
      </c>
      <c r="H1763" s="48" t="s">
        <v>56716</v>
      </c>
      <c r="I1763" s="48" t="s">
        <v>50564</v>
      </c>
      <c r="J1763" s="48"/>
      <c r="K1763" s="50" t="s">
        <v>56716</v>
      </c>
      <c r="L1763" s="48" t="s">
        <v>56716</v>
      </c>
    </row>
    <row r="1764" spans="1:12" s="37" customFormat="1" ht="11.25" x14ac:dyDescent="0.2">
      <c r="A1764" s="46" t="s">
        <v>1163</v>
      </c>
      <c r="B1764" s="46" t="s">
        <v>51799</v>
      </c>
      <c r="C1764" s="58" t="str">
        <f>"07225091"</f>
        <v>07225091</v>
      </c>
      <c r="D1764" s="58" t="str">
        <f>""</f>
        <v/>
      </c>
      <c r="E1764" s="46" t="s">
        <v>437</v>
      </c>
      <c r="F1764" s="46" t="s">
        <v>18158</v>
      </c>
      <c r="G1764" s="46" t="s">
        <v>50584</v>
      </c>
      <c r="H1764" s="48" t="s">
        <v>56716</v>
      </c>
      <c r="I1764" s="48" t="s">
        <v>50564</v>
      </c>
      <c r="J1764" s="48" t="s">
        <v>56716</v>
      </c>
      <c r="K1764" s="50"/>
      <c r="L1764" s="48" t="s">
        <v>56716</v>
      </c>
    </row>
    <row r="1765" spans="1:12" s="37" customFormat="1" ht="11.25" x14ac:dyDescent="0.2">
      <c r="A1765" s="46" t="s">
        <v>1158</v>
      </c>
      <c r="B1765" s="46" t="s">
        <v>51800</v>
      </c>
      <c r="C1765" s="58" t="str">
        <f>"03625664"</f>
        <v>03625664</v>
      </c>
      <c r="D1765" s="58" t="str">
        <f>"1537162X"</f>
        <v>1537162X</v>
      </c>
      <c r="E1765" s="46" t="s">
        <v>28</v>
      </c>
      <c r="F1765" s="46" t="s">
        <v>17759</v>
      </c>
      <c r="G1765" s="46" t="s">
        <v>50584</v>
      </c>
      <c r="H1765" s="48" t="s">
        <v>56716</v>
      </c>
      <c r="I1765" s="48" t="s">
        <v>50564</v>
      </c>
      <c r="J1765" s="48" t="s">
        <v>56716</v>
      </c>
      <c r="K1765" s="50" t="s">
        <v>56716</v>
      </c>
      <c r="L1765" s="48" t="s">
        <v>56716</v>
      </c>
    </row>
    <row r="1766" spans="1:12" s="37" customFormat="1" ht="11.25" x14ac:dyDescent="0.2">
      <c r="A1766" s="46" t="s">
        <v>8060</v>
      </c>
      <c r="B1766" s="46" t="s">
        <v>51801</v>
      </c>
      <c r="C1766" s="58" t="str">
        <f>"13882457"</f>
        <v>13882457</v>
      </c>
      <c r="D1766" s="58" t="str">
        <f>"18728952"</f>
        <v>18728952</v>
      </c>
      <c r="E1766" s="46" t="s">
        <v>221</v>
      </c>
      <c r="F1766" s="46" t="s">
        <v>21771</v>
      </c>
      <c r="G1766" s="46" t="s">
        <v>50584</v>
      </c>
      <c r="H1766" s="48" t="s">
        <v>56716</v>
      </c>
      <c r="I1766" s="48" t="s">
        <v>50564</v>
      </c>
      <c r="J1766" s="48" t="s">
        <v>56716</v>
      </c>
      <c r="K1766" s="50" t="s">
        <v>56716</v>
      </c>
      <c r="L1766" s="48" t="s">
        <v>56716</v>
      </c>
    </row>
    <row r="1767" spans="1:12" s="37" customFormat="1" ht="11.25" x14ac:dyDescent="0.2">
      <c r="A1767" s="46" t="s">
        <v>11207</v>
      </c>
      <c r="B1767" s="46" t="s">
        <v>51802</v>
      </c>
      <c r="C1767" s="58" t="str">
        <f>"17244935"</f>
        <v>17244935</v>
      </c>
      <c r="D1767" s="58" t="str">
        <f>""</f>
        <v/>
      </c>
      <c r="E1767" s="46" t="s">
        <v>11209</v>
      </c>
      <c r="F1767" s="46" t="s">
        <v>17991</v>
      </c>
      <c r="G1767" s="46" t="s">
        <v>50584</v>
      </c>
      <c r="H1767" s="48" t="s">
        <v>56716</v>
      </c>
      <c r="I1767" s="48" t="s">
        <v>50564</v>
      </c>
      <c r="J1767" s="48"/>
      <c r="K1767" s="50"/>
      <c r="L1767" s="48"/>
    </row>
    <row r="1768" spans="1:12" s="37" customFormat="1" ht="11.25" x14ac:dyDescent="0.2">
      <c r="A1768" s="46" t="s">
        <v>16146</v>
      </c>
      <c r="B1768" s="46" t="s">
        <v>51803</v>
      </c>
      <c r="C1768" s="58" t="str">
        <f>""</f>
        <v/>
      </c>
      <c r="D1768" s="58" t="str">
        <f>"18848826"</f>
        <v>18848826</v>
      </c>
      <c r="E1768" s="46" t="s">
        <v>16148</v>
      </c>
      <c r="F1768" s="46" t="s">
        <v>18242</v>
      </c>
      <c r="G1768" s="46" t="s">
        <v>50584</v>
      </c>
      <c r="H1768" s="48" t="s">
        <v>56716</v>
      </c>
      <c r="I1768" s="48" t="s">
        <v>50564</v>
      </c>
      <c r="J1768" s="48"/>
      <c r="K1768" s="50"/>
      <c r="L1768" s="48"/>
    </row>
    <row r="1769" spans="1:12" s="37" customFormat="1" ht="11.25" x14ac:dyDescent="0.2">
      <c r="A1769" s="46" t="s">
        <v>12045</v>
      </c>
      <c r="B1769" s="46" t="s">
        <v>51804</v>
      </c>
      <c r="C1769" s="58" t="str">
        <f>"18691439"</f>
        <v>18691439</v>
      </c>
      <c r="D1769" s="58" t="str">
        <f>"18691447"</f>
        <v>18691447</v>
      </c>
      <c r="E1769" s="46" t="s">
        <v>6022</v>
      </c>
      <c r="F1769" s="46" t="s">
        <v>18158</v>
      </c>
      <c r="G1769" s="46" t="s">
        <v>50593</v>
      </c>
      <c r="H1769" s="48" t="s">
        <v>56716</v>
      </c>
      <c r="I1769" s="48" t="s">
        <v>50564</v>
      </c>
      <c r="J1769" s="48"/>
      <c r="K1769" s="50" t="s">
        <v>56716</v>
      </c>
      <c r="L1769" s="48" t="s">
        <v>56716</v>
      </c>
    </row>
    <row r="1770" spans="1:12" s="37" customFormat="1" ht="11.25" x14ac:dyDescent="0.2">
      <c r="A1770" s="46" t="s">
        <v>13321</v>
      </c>
      <c r="B1770" s="46" t="s">
        <v>51805</v>
      </c>
      <c r="C1770" s="58" t="str">
        <f>"00694827"</f>
        <v>00694827</v>
      </c>
      <c r="D1770" s="58" t="str">
        <f>"0148396X"</f>
        <v>0148396X</v>
      </c>
      <c r="E1770" s="46" t="s">
        <v>50673</v>
      </c>
      <c r="F1770" s="46" t="s">
        <v>17759</v>
      </c>
      <c r="G1770" s="46" t="s">
        <v>50584</v>
      </c>
      <c r="H1770" s="48" t="s">
        <v>56716</v>
      </c>
      <c r="I1770" s="48" t="s">
        <v>50564</v>
      </c>
      <c r="J1770" s="48" t="s">
        <v>56716</v>
      </c>
      <c r="K1770" s="50"/>
      <c r="L1770" s="48" t="s">
        <v>56716</v>
      </c>
    </row>
    <row r="1771" spans="1:12" s="37" customFormat="1" ht="11.25" x14ac:dyDescent="0.2">
      <c r="A1771" s="46" t="s">
        <v>1215</v>
      </c>
      <c r="B1771" s="46" t="s">
        <v>51806</v>
      </c>
      <c r="C1771" s="58" t="str">
        <f>"03639762"</f>
        <v>03639762</v>
      </c>
      <c r="D1771" s="58" t="str">
        <f>"15360229"</f>
        <v>15360229</v>
      </c>
      <c r="E1771" s="46" t="s">
        <v>28</v>
      </c>
      <c r="F1771" s="46" t="s">
        <v>17759</v>
      </c>
      <c r="G1771" s="46" t="s">
        <v>50584</v>
      </c>
      <c r="H1771" s="48" t="s">
        <v>56716</v>
      </c>
      <c r="I1771" s="48" t="s">
        <v>50564</v>
      </c>
      <c r="J1771" s="48"/>
      <c r="K1771" s="50" t="s">
        <v>56716</v>
      </c>
      <c r="L1771" s="48" t="s">
        <v>56716</v>
      </c>
    </row>
    <row r="1772" spans="1:12" s="37" customFormat="1" ht="11.25" x14ac:dyDescent="0.2">
      <c r="A1772" s="45" t="s">
        <v>25462</v>
      </c>
      <c r="B1772" s="45" t="s">
        <v>25464</v>
      </c>
      <c r="C1772" s="51" t="s">
        <v>25466</v>
      </c>
      <c r="D1772" s="51" t="s">
        <v>25465</v>
      </c>
      <c r="E1772" s="45" t="s">
        <v>17758</v>
      </c>
      <c r="F1772" s="45" t="s">
        <v>17759</v>
      </c>
      <c r="G1772" s="45" t="s">
        <v>50584</v>
      </c>
      <c r="H1772" s="56"/>
      <c r="I1772" s="56" t="s">
        <v>50564</v>
      </c>
      <c r="J1772" s="56"/>
      <c r="K1772" s="50"/>
      <c r="L1772" s="56" t="s">
        <v>56716</v>
      </c>
    </row>
    <row r="1773" spans="1:12" s="37" customFormat="1" ht="11.25" x14ac:dyDescent="0.2">
      <c r="A1773" s="45" t="s">
        <v>25468</v>
      </c>
      <c r="B1773" s="45" t="s">
        <v>25470</v>
      </c>
      <c r="C1773" s="51" t="s">
        <v>25472</v>
      </c>
      <c r="D1773" s="51" t="s">
        <v>25471</v>
      </c>
      <c r="E1773" s="45" t="s">
        <v>25473</v>
      </c>
      <c r="F1773" s="45" t="s">
        <v>17759</v>
      </c>
      <c r="G1773" s="45" t="s">
        <v>50584</v>
      </c>
      <c r="H1773" s="56"/>
      <c r="I1773" s="56" t="s">
        <v>50564</v>
      </c>
      <c r="J1773" s="56"/>
      <c r="K1773" s="50"/>
      <c r="L1773" s="56" t="s">
        <v>56716</v>
      </c>
    </row>
    <row r="1774" spans="1:12" s="37" customFormat="1" ht="11.25" x14ac:dyDescent="0.2">
      <c r="A1774" s="46" t="s">
        <v>1165</v>
      </c>
      <c r="B1774" s="46" t="s">
        <v>51807</v>
      </c>
      <c r="C1774" s="58" t="str">
        <f>"02615614"</f>
        <v>02615614</v>
      </c>
      <c r="D1774" s="58" t="str">
        <f>"15321983"</f>
        <v>15321983</v>
      </c>
      <c r="E1774" s="46" t="s">
        <v>831</v>
      </c>
      <c r="F1774" s="46" t="s">
        <v>50646</v>
      </c>
      <c r="G1774" s="46" t="s">
        <v>50584</v>
      </c>
      <c r="H1774" s="48" t="s">
        <v>56716</v>
      </c>
      <c r="I1774" s="48" t="s">
        <v>50564</v>
      </c>
      <c r="J1774" s="48"/>
      <c r="K1774" s="50" t="s">
        <v>56716</v>
      </c>
      <c r="L1774" s="48" t="s">
        <v>56716</v>
      </c>
    </row>
    <row r="1775" spans="1:12" s="37" customFormat="1" ht="11.25" x14ac:dyDescent="0.2">
      <c r="A1775" s="46" t="s">
        <v>10714</v>
      </c>
      <c r="B1775" s="46" t="s">
        <v>51808</v>
      </c>
      <c r="C1775" s="58" t="str">
        <f>"17441161"</f>
        <v>17441161</v>
      </c>
      <c r="D1775" s="58" t="str">
        <f>"18783368"</f>
        <v>18783368</v>
      </c>
      <c r="E1775" s="46" t="s">
        <v>831</v>
      </c>
      <c r="F1775" s="46" t="s">
        <v>50646</v>
      </c>
      <c r="G1775" s="46" t="s">
        <v>50584</v>
      </c>
      <c r="H1775" s="48" t="s">
        <v>56716</v>
      </c>
      <c r="I1775" s="48" t="s">
        <v>50564</v>
      </c>
      <c r="J1775" s="48"/>
      <c r="K1775" s="50"/>
      <c r="L1775" s="48"/>
    </row>
    <row r="1776" spans="1:12" s="37" customFormat="1" ht="11.25" x14ac:dyDescent="0.2">
      <c r="A1776" s="46" t="s">
        <v>16144</v>
      </c>
      <c r="B1776" s="46" t="s">
        <v>51809</v>
      </c>
      <c r="C1776" s="58" t="str">
        <f>"17588103"</f>
        <v>17588103</v>
      </c>
      <c r="D1776" s="58" t="str">
        <f>"17588111"</f>
        <v>17588111</v>
      </c>
      <c r="E1776" s="46" t="s">
        <v>35</v>
      </c>
      <c r="F1776" s="46" t="s">
        <v>50646</v>
      </c>
      <c r="G1776" s="46" t="s">
        <v>50584</v>
      </c>
      <c r="H1776" s="48" t="s">
        <v>56716</v>
      </c>
      <c r="I1776" s="48" t="s">
        <v>50564</v>
      </c>
      <c r="J1776" s="48" t="s">
        <v>56716</v>
      </c>
      <c r="K1776" s="50" t="s">
        <v>56716</v>
      </c>
      <c r="L1776" s="48" t="s">
        <v>56716</v>
      </c>
    </row>
    <row r="1777" spans="1:12" s="37" customFormat="1" ht="11.25" x14ac:dyDescent="0.2">
      <c r="A1777" s="46" t="s">
        <v>1231</v>
      </c>
      <c r="B1777" s="46" t="s">
        <v>51810</v>
      </c>
      <c r="C1777" s="58" t="str">
        <f>"00099201"</f>
        <v>00099201</v>
      </c>
      <c r="D1777" s="58" t="str">
        <f>"15325520"</f>
        <v>15325520</v>
      </c>
      <c r="E1777" s="46" t="s">
        <v>28</v>
      </c>
      <c r="F1777" s="46" t="s">
        <v>17759</v>
      </c>
      <c r="G1777" s="46" t="s">
        <v>50584</v>
      </c>
      <c r="H1777" s="48" t="s">
        <v>56716</v>
      </c>
      <c r="I1777" s="48" t="s">
        <v>50564</v>
      </c>
      <c r="J1777" s="48"/>
      <c r="K1777" s="50" t="s">
        <v>56716</v>
      </c>
      <c r="L1777" s="48" t="s">
        <v>56716</v>
      </c>
    </row>
    <row r="1778" spans="1:12" s="37" customFormat="1" ht="11.25" x14ac:dyDescent="0.2">
      <c r="A1778" s="46" t="s">
        <v>5306</v>
      </c>
      <c r="B1778" s="46" t="s">
        <v>51811</v>
      </c>
      <c r="C1778" s="58" t="str">
        <f>"09366555"</f>
        <v>09366555</v>
      </c>
      <c r="D1778" s="58" t="str">
        <f>"14332981"</f>
        <v>14332981</v>
      </c>
      <c r="E1778" s="46" t="s">
        <v>155</v>
      </c>
      <c r="F1778" s="46" t="s">
        <v>50646</v>
      </c>
      <c r="G1778" s="46" t="s">
        <v>50584</v>
      </c>
      <c r="H1778" s="48" t="s">
        <v>56716</v>
      </c>
      <c r="I1778" s="48" t="s">
        <v>50564</v>
      </c>
      <c r="J1778" s="48" t="s">
        <v>56716</v>
      </c>
      <c r="K1778" s="50" t="s">
        <v>56716</v>
      </c>
      <c r="L1778" s="48" t="s">
        <v>56716</v>
      </c>
    </row>
    <row r="1779" spans="1:12" s="37" customFormat="1" ht="11.25" x14ac:dyDescent="0.2">
      <c r="A1779" s="46" t="s">
        <v>14115</v>
      </c>
      <c r="B1779" s="46" t="s">
        <v>51812</v>
      </c>
      <c r="C1779" s="58" t="str">
        <f>"11775467"</f>
        <v>11775467</v>
      </c>
      <c r="D1779" s="58" t="str">
        <f>"11775483"</f>
        <v>11775483</v>
      </c>
      <c r="E1779" s="46" t="s">
        <v>11078</v>
      </c>
      <c r="F1779" s="46" t="s">
        <v>19483</v>
      </c>
      <c r="G1779" s="46" t="s">
        <v>50584</v>
      </c>
      <c r="H1779" s="48" t="s">
        <v>56716</v>
      </c>
      <c r="I1779" s="48" t="s">
        <v>50564</v>
      </c>
      <c r="J1779" s="48"/>
      <c r="K1779" s="50"/>
      <c r="L1779" s="48"/>
    </row>
    <row r="1780" spans="1:12" s="37" customFormat="1" ht="11.25" x14ac:dyDescent="0.2">
      <c r="A1780" s="45" t="s">
        <v>25487</v>
      </c>
      <c r="B1780" s="45" t="s">
        <v>25489</v>
      </c>
      <c r="C1780" s="51" t="s">
        <v>25491</v>
      </c>
      <c r="D1780" s="51" t="s">
        <v>25490</v>
      </c>
      <c r="E1780" s="45" t="s">
        <v>21040</v>
      </c>
      <c r="F1780" s="45" t="s">
        <v>18305</v>
      </c>
      <c r="G1780" s="45" t="s">
        <v>50584</v>
      </c>
      <c r="H1780" s="56"/>
      <c r="I1780" s="56" t="s">
        <v>50564</v>
      </c>
      <c r="J1780" s="56"/>
      <c r="K1780" s="50"/>
      <c r="L1780" s="56" t="s">
        <v>56716</v>
      </c>
    </row>
    <row r="1781" spans="1:12" s="37" customFormat="1" ht="11.25" x14ac:dyDescent="0.2">
      <c r="A1781" s="45" t="s">
        <v>25493</v>
      </c>
      <c r="B1781" s="45" t="s">
        <v>25495</v>
      </c>
      <c r="C1781" s="51" t="s">
        <v>25497</v>
      </c>
      <c r="D1781" s="51" t="s">
        <v>25496</v>
      </c>
      <c r="E1781" s="45" t="s">
        <v>17089</v>
      </c>
      <c r="F1781" s="45" t="s">
        <v>18158</v>
      </c>
      <c r="G1781" s="45" t="s">
        <v>50584</v>
      </c>
      <c r="H1781" s="56"/>
      <c r="I1781" s="56" t="s">
        <v>50564</v>
      </c>
      <c r="J1781" s="56"/>
      <c r="K1781" s="50"/>
      <c r="L1781" s="56" t="s">
        <v>56716</v>
      </c>
    </row>
    <row r="1782" spans="1:12" s="37" customFormat="1" ht="11.25" x14ac:dyDescent="0.2">
      <c r="A1782" s="46" t="s">
        <v>1240</v>
      </c>
      <c r="B1782" s="46" t="s">
        <v>51813</v>
      </c>
      <c r="C1782" s="58" t="str">
        <f>"0009921X"</f>
        <v>0009921X</v>
      </c>
      <c r="D1782" s="58" t="str">
        <f>"15281132"</f>
        <v>15281132</v>
      </c>
      <c r="E1782" s="46" t="s">
        <v>56305</v>
      </c>
      <c r="F1782" s="46" t="s">
        <v>17759</v>
      </c>
      <c r="G1782" s="46" t="s">
        <v>50584</v>
      </c>
      <c r="H1782" s="48" t="s">
        <v>56716</v>
      </c>
      <c r="I1782" s="48" t="s">
        <v>50564</v>
      </c>
      <c r="J1782" s="48" t="s">
        <v>56716</v>
      </c>
      <c r="K1782" s="50" t="s">
        <v>56716</v>
      </c>
      <c r="L1782" s="48" t="s">
        <v>56716</v>
      </c>
    </row>
    <row r="1783" spans="1:12" s="37" customFormat="1" ht="11.25" x14ac:dyDescent="0.2">
      <c r="A1783" s="46" t="s">
        <v>10743</v>
      </c>
      <c r="B1783" s="46" t="s">
        <v>51814</v>
      </c>
      <c r="C1783" s="58" t="str">
        <f>"17494478"</f>
        <v>17494478</v>
      </c>
      <c r="D1783" s="58" t="str">
        <f>"17494486"</f>
        <v>17494486</v>
      </c>
      <c r="E1783" s="46" t="s">
        <v>35</v>
      </c>
      <c r="F1783" s="46" t="s">
        <v>50646</v>
      </c>
      <c r="G1783" s="46" t="s">
        <v>50584</v>
      </c>
      <c r="H1783" s="48" t="s">
        <v>56716</v>
      </c>
      <c r="I1783" s="48" t="s">
        <v>50564</v>
      </c>
      <c r="J1783" s="48" t="s">
        <v>56716</v>
      </c>
      <c r="K1783" s="50"/>
      <c r="L1783" s="48" t="s">
        <v>56716</v>
      </c>
    </row>
    <row r="1784" spans="1:12" s="37" customFormat="1" ht="11.25" x14ac:dyDescent="0.2">
      <c r="A1784" s="46" t="s">
        <v>16503</v>
      </c>
      <c r="B1784" s="46" t="s">
        <v>51815</v>
      </c>
      <c r="C1784" s="58" t="str">
        <f>"22129553"</f>
        <v>22129553</v>
      </c>
      <c r="D1784" s="58" t="str">
        <f>""</f>
        <v/>
      </c>
      <c r="E1784" s="46" t="s">
        <v>272</v>
      </c>
      <c r="F1784" s="46" t="s">
        <v>17759</v>
      </c>
      <c r="G1784" s="46" t="s">
        <v>50584</v>
      </c>
      <c r="H1784" s="48" t="s">
        <v>56716</v>
      </c>
      <c r="I1784" s="48" t="s">
        <v>50564</v>
      </c>
      <c r="J1784" s="48"/>
      <c r="K1784" s="50" t="s">
        <v>56716</v>
      </c>
      <c r="L1784" s="48"/>
    </row>
    <row r="1785" spans="1:12" s="37" customFormat="1" ht="11.25" x14ac:dyDescent="0.2">
      <c r="A1785" s="46" t="s">
        <v>9010</v>
      </c>
      <c r="B1785" s="46" t="s">
        <v>51816</v>
      </c>
      <c r="C1785" s="58" t="str">
        <f>"15228401"</f>
        <v>15228401</v>
      </c>
      <c r="D1785" s="58" t="str">
        <f>"15582310"</f>
        <v>15582310</v>
      </c>
      <c r="E1785" s="46" t="s">
        <v>1177</v>
      </c>
      <c r="F1785" s="46" t="s">
        <v>50646</v>
      </c>
      <c r="G1785" s="46" t="s">
        <v>50584</v>
      </c>
      <c r="H1785" s="48" t="s">
        <v>56716</v>
      </c>
      <c r="I1785" s="48" t="s">
        <v>50564</v>
      </c>
      <c r="J1785" s="48"/>
      <c r="K1785" s="50" t="s">
        <v>56716</v>
      </c>
      <c r="L1785" s="48"/>
    </row>
    <row r="1786" spans="1:12" s="37" customFormat="1" ht="11.25" x14ac:dyDescent="0.2">
      <c r="A1786" s="46" t="s">
        <v>6412</v>
      </c>
      <c r="B1786" s="46" t="s">
        <v>51817</v>
      </c>
      <c r="C1786" s="58" t="str">
        <f>"09185739"</f>
        <v>09185739</v>
      </c>
      <c r="D1786" s="58" t="str">
        <f>"13477358"</f>
        <v>13477358</v>
      </c>
      <c r="E1786" s="46" t="s">
        <v>6415</v>
      </c>
      <c r="F1786" s="46" t="s">
        <v>18242</v>
      </c>
      <c r="G1786" s="46" t="s">
        <v>50584</v>
      </c>
      <c r="H1786" s="48" t="s">
        <v>56716</v>
      </c>
      <c r="I1786" s="48" t="s">
        <v>50564</v>
      </c>
      <c r="J1786" s="48"/>
      <c r="K1786" s="50"/>
      <c r="L1786" s="48"/>
    </row>
    <row r="1787" spans="1:12" s="37" customFormat="1" ht="11.25" x14ac:dyDescent="0.2">
      <c r="A1787" s="46" t="s">
        <v>1254</v>
      </c>
      <c r="B1787" s="46" t="s">
        <v>51818</v>
      </c>
      <c r="C1787" s="58" t="str">
        <f>"00099228"</f>
        <v>00099228</v>
      </c>
      <c r="D1787" s="58" t="str">
        <f>"19382707"</f>
        <v>19382707</v>
      </c>
      <c r="E1787" s="46" t="s">
        <v>493</v>
      </c>
      <c r="F1787" s="46" t="s">
        <v>17759</v>
      </c>
      <c r="G1787" s="46" t="s">
        <v>50584</v>
      </c>
      <c r="H1787" s="48" t="s">
        <v>56716</v>
      </c>
      <c r="I1787" s="48" t="s">
        <v>50564</v>
      </c>
      <c r="J1787" s="48"/>
      <c r="K1787" s="50"/>
      <c r="L1787" s="48" t="s">
        <v>56716</v>
      </c>
    </row>
    <row r="1788" spans="1:12" s="37" customFormat="1" ht="11.25" x14ac:dyDescent="0.2">
      <c r="A1788" s="46" t="s">
        <v>15432</v>
      </c>
      <c r="B1788" s="46" t="s">
        <v>51819</v>
      </c>
      <c r="C1788" s="58" t="str">
        <f>"17589061"</f>
        <v>17589061</v>
      </c>
      <c r="D1788" s="58" t="str">
        <f>""</f>
        <v/>
      </c>
      <c r="E1788" s="46" t="s">
        <v>4831</v>
      </c>
      <c r="F1788" s="46" t="s">
        <v>50646</v>
      </c>
      <c r="G1788" s="46" t="s">
        <v>50584</v>
      </c>
      <c r="H1788" s="48" t="s">
        <v>56716</v>
      </c>
      <c r="I1788" s="48" t="s">
        <v>50564</v>
      </c>
      <c r="J1788" s="48"/>
      <c r="K1788" s="50"/>
      <c r="L1788" s="48"/>
    </row>
    <row r="1789" spans="1:12" s="37" customFormat="1" ht="11.25" x14ac:dyDescent="0.2">
      <c r="A1789" s="46" t="s">
        <v>1257</v>
      </c>
      <c r="B1789" s="46" t="s">
        <v>51820</v>
      </c>
      <c r="C1789" s="58" t="str">
        <f>"03125963"</f>
        <v>03125963</v>
      </c>
      <c r="D1789" s="58" t="str">
        <f>"11791926"</f>
        <v>11791926</v>
      </c>
      <c r="E1789" s="46" t="s">
        <v>55920</v>
      </c>
      <c r="F1789" s="46" t="s">
        <v>18123</v>
      </c>
      <c r="G1789" s="46" t="s">
        <v>50584</v>
      </c>
      <c r="H1789" s="48" t="s">
        <v>56716</v>
      </c>
      <c r="I1789" s="48" t="s">
        <v>50564</v>
      </c>
      <c r="J1789" s="48" t="s">
        <v>56716</v>
      </c>
      <c r="K1789" s="50" t="s">
        <v>56716</v>
      </c>
      <c r="L1789" s="48" t="s">
        <v>56716</v>
      </c>
    </row>
    <row r="1790" spans="1:12" s="37" customFormat="1" ht="11.25" x14ac:dyDescent="0.2">
      <c r="A1790" s="46" t="s">
        <v>1171</v>
      </c>
      <c r="B1790" s="46" t="s">
        <v>51821</v>
      </c>
      <c r="C1790" s="58" t="str">
        <f>"00099236"</f>
        <v>00099236</v>
      </c>
      <c r="D1790" s="58" t="str">
        <f>"15326535"</f>
        <v>15326535</v>
      </c>
      <c r="E1790" s="46" t="s">
        <v>315</v>
      </c>
      <c r="F1790" s="46" t="s">
        <v>50646</v>
      </c>
      <c r="G1790" s="46" t="s">
        <v>50584</v>
      </c>
      <c r="H1790" s="48" t="s">
        <v>56716</v>
      </c>
      <c r="I1790" s="48" t="s">
        <v>50564</v>
      </c>
      <c r="J1790" s="48" t="s">
        <v>56716</v>
      </c>
      <c r="K1790" s="50"/>
      <c r="L1790" s="48" t="s">
        <v>56716</v>
      </c>
    </row>
    <row r="1791" spans="1:12" s="37" customFormat="1" ht="11.25" x14ac:dyDescent="0.2">
      <c r="A1791" s="46" t="s">
        <v>16437</v>
      </c>
      <c r="B1791" s="46" t="s">
        <v>51822</v>
      </c>
      <c r="C1791" s="58" t="str">
        <f>"2160763X"</f>
        <v>2160763X</v>
      </c>
      <c r="D1791" s="58" t="str">
        <f>"21607648"</f>
        <v>21607648</v>
      </c>
      <c r="E1791" s="46" t="s">
        <v>35</v>
      </c>
      <c r="F1791" s="46" t="s">
        <v>50646</v>
      </c>
      <c r="G1791" s="46" t="s">
        <v>50584</v>
      </c>
      <c r="H1791" s="48" t="s">
        <v>56716</v>
      </c>
      <c r="I1791" s="48" t="s">
        <v>50564</v>
      </c>
      <c r="J1791" s="48" t="s">
        <v>56716</v>
      </c>
      <c r="K1791" s="50" t="s">
        <v>56716</v>
      </c>
      <c r="L1791" s="48"/>
    </row>
    <row r="1792" spans="1:12" s="37" customFormat="1" ht="11.25" x14ac:dyDescent="0.2">
      <c r="A1792" s="46" t="s">
        <v>14132</v>
      </c>
      <c r="B1792" s="46" t="s">
        <v>51823</v>
      </c>
      <c r="C1792" s="58" t="str">
        <f>""</f>
        <v/>
      </c>
      <c r="D1792" s="58" t="str">
        <f>"11791438"</f>
        <v>11791438</v>
      </c>
      <c r="E1792" s="46" t="s">
        <v>11078</v>
      </c>
      <c r="F1792" s="46" t="s">
        <v>19483</v>
      </c>
      <c r="G1792" s="46" t="s">
        <v>50584</v>
      </c>
      <c r="H1792" s="48" t="s">
        <v>56716</v>
      </c>
      <c r="I1792" s="48" t="s">
        <v>50564</v>
      </c>
      <c r="J1792" s="48"/>
      <c r="K1792" s="50"/>
      <c r="L1792" s="48"/>
    </row>
    <row r="1793" spans="1:12" s="37" customFormat="1" ht="11.25" x14ac:dyDescent="0.2">
      <c r="A1793" s="46" t="s">
        <v>9256</v>
      </c>
      <c r="B1793" s="46" t="s">
        <v>51824</v>
      </c>
      <c r="C1793" s="58" t="str">
        <f>"14750961"</f>
        <v>14750961</v>
      </c>
      <c r="D1793" s="58" t="str">
        <f>"1475097X"</f>
        <v>1475097X</v>
      </c>
      <c r="E1793" s="46" t="s">
        <v>35</v>
      </c>
      <c r="F1793" s="46" t="s">
        <v>50646</v>
      </c>
      <c r="G1793" s="46" t="s">
        <v>50584</v>
      </c>
      <c r="H1793" s="48" t="s">
        <v>56716</v>
      </c>
      <c r="I1793" s="48" t="s">
        <v>50564</v>
      </c>
      <c r="J1793" s="48" t="s">
        <v>56716</v>
      </c>
      <c r="K1793" s="50" t="s">
        <v>56716</v>
      </c>
      <c r="L1793" s="48" t="s">
        <v>56716</v>
      </c>
    </row>
    <row r="1794" spans="1:12" s="37" customFormat="1" ht="11.25" x14ac:dyDescent="0.2">
      <c r="A1794" s="46" t="s">
        <v>16989</v>
      </c>
      <c r="B1794" s="46" t="s">
        <v>51825</v>
      </c>
      <c r="C1794" s="58" t="str">
        <f>"22128166"</f>
        <v>22128166</v>
      </c>
      <c r="D1794" s="58" t="str">
        <f>""</f>
        <v/>
      </c>
      <c r="E1794" s="46" t="s">
        <v>6159</v>
      </c>
      <c r="F1794" s="46" t="s">
        <v>18158</v>
      </c>
      <c r="G1794" s="46" t="s">
        <v>50584</v>
      </c>
      <c r="H1794" s="48" t="s">
        <v>56716</v>
      </c>
      <c r="I1794" s="48" t="s">
        <v>50564</v>
      </c>
      <c r="J1794" s="48" t="s">
        <v>56716</v>
      </c>
      <c r="K1794" s="50" t="s">
        <v>56716</v>
      </c>
      <c r="L1794" s="48"/>
    </row>
    <row r="1795" spans="1:12" s="37" customFormat="1" ht="11.25" x14ac:dyDescent="0.2">
      <c r="A1795" s="46" t="s">
        <v>15576</v>
      </c>
      <c r="B1795" s="46" t="s">
        <v>51826</v>
      </c>
      <c r="C1795" s="58" t="str">
        <f>"20449038"</f>
        <v>20449038</v>
      </c>
      <c r="D1795" s="58" t="str">
        <f>"20449046"</f>
        <v>20449046</v>
      </c>
      <c r="E1795" s="46" t="s">
        <v>8442</v>
      </c>
      <c r="F1795" s="46" t="s">
        <v>50646</v>
      </c>
      <c r="G1795" s="46" t="s">
        <v>50584</v>
      </c>
      <c r="H1795" s="48" t="s">
        <v>56716</v>
      </c>
      <c r="I1795" s="48" t="s">
        <v>50564</v>
      </c>
      <c r="J1795" s="48"/>
      <c r="K1795" s="50"/>
      <c r="L1795" s="48"/>
    </row>
    <row r="1796" spans="1:12" s="37" customFormat="1" ht="11.25" x14ac:dyDescent="0.2">
      <c r="A1796" s="46" t="s">
        <v>11032</v>
      </c>
      <c r="B1796" s="46" t="s">
        <v>51827</v>
      </c>
      <c r="C1796" s="58" t="str">
        <f>""</f>
        <v/>
      </c>
      <c r="D1796" s="58" t="str">
        <f>"17450179"</f>
        <v>17450179</v>
      </c>
      <c r="E1796" s="46" t="s">
        <v>6405</v>
      </c>
      <c r="F1796" s="46" t="s">
        <v>18001</v>
      </c>
      <c r="G1796" s="46" t="s">
        <v>50584</v>
      </c>
      <c r="H1796" s="48" t="s">
        <v>56716</v>
      </c>
      <c r="I1796" s="48" t="s">
        <v>50564</v>
      </c>
      <c r="J1796" s="48"/>
      <c r="K1796" s="50"/>
      <c r="L1796" s="48"/>
    </row>
    <row r="1797" spans="1:12" s="37" customFormat="1" ht="11.25" x14ac:dyDescent="0.2">
      <c r="A1797" s="45" t="s">
        <v>25531</v>
      </c>
      <c r="B1797" s="45" t="s">
        <v>25533</v>
      </c>
      <c r="C1797" s="51"/>
      <c r="D1797" s="51"/>
      <c r="E1797" s="45" t="s">
        <v>25534</v>
      </c>
      <c r="F1797" s="45" t="s">
        <v>17759</v>
      </c>
      <c r="G1797" s="45" t="s">
        <v>50584</v>
      </c>
      <c r="H1797" s="56"/>
      <c r="I1797" s="56" t="s">
        <v>50564</v>
      </c>
      <c r="J1797" s="56"/>
      <c r="K1797" s="50"/>
      <c r="L1797" s="56" t="s">
        <v>56716</v>
      </c>
    </row>
    <row r="1798" spans="1:12" s="37" customFormat="1" ht="11.25" x14ac:dyDescent="0.2">
      <c r="A1798" s="46" t="s">
        <v>10319</v>
      </c>
      <c r="B1798" s="46" t="s">
        <v>51828</v>
      </c>
      <c r="C1798" s="58" t="str">
        <f>"15426416"</f>
        <v>15426416</v>
      </c>
      <c r="D1798" s="58" t="str">
        <f>"15590275"</f>
        <v>15590275</v>
      </c>
      <c r="E1798" s="46" t="s">
        <v>2299</v>
      </c>
      <c r="F1798" s="46" t="s">
        <v>50646</v>
      </c>
      <c r="G1798" s="46" t="s">
        <v>50584</v>
      </c>
      <c r="H1798" s="48" t="s">
        <v>56716</v>
      </c>
      <c r="I1798" s="48" t="s">
        <v>50564</v>
      </c>
      <c r="J1798" s="48" t="s">
        <v>56716</v>
      </c>
      <c r="K1798" s="50"/>
      <c r="L1798" s="48"/>
    </row>
    <row r="1799" spans="1:12" s="37" customFormat="1" ht="11.25" x14ac:dyDescent="0.2">
      <c r="A1799" s="45" t="s">
        <v>25536</v>
      </c>
      <c r="B1799" s="45" t="s">
        <v>25538</v>
      </c>
      <c r="C1799" s="51" t="s">
        <v>25540</v>
      </c>
      <c r="D1799" s="51" t="s">
        <v>25539</v>
      </c>
      <c r="E1799" s="45" t="s">
        <v>20207</v>
      </c>
      <c r="F1799" s="45" t="s">
        <v>50646</v>
      </c>
      <c r="G1799" s="45" t="s">
        <v>50584</v>
      </c>
      <c r="H1799" s="56"/>
      <c r="I1799" s="56" t="s">
        <v>50564</v>
      </c>
      <c r="J1799" s="56"/>
      <c r="K1799" s="50"/>
      <c r="L1799" s="56" t="s">
        <v>56716</v>
      </c>
    </row>
    <row r="1800" spans="1:12" s="37" customFormat="1" ht="11.25" x14ac:dyDescent="0.2">
      <c r="A1800" s="46" t="s">
        <v>1264</v>
      </c>
      <c r="B1800" s="46" t="s">
        <v>51829</v>
      </c>
      <c r="C1800" s="58" t="str">
        <f>"02727358"</f>
        <v>02727358</v>
      </c>
      <c r="D1800" s="58" t="str">
        <f>"18737811"</f>
        <v>18737811</v>
      </c>
      <c r="E1800" s="46" t="s">
        <v>272</v>
      </c>
      <c r="F1800" s="46" t="s">
        <v>17759</v>
      </c>
      <c r="G1800" s="46" t="s">
        <v>50584</v>
      </c>
      <c r="H1800" s="48" t="s">
        <v>56716</v>
      </c>
      <c r="I1800" s="48" t="s">
        <v>50564</v>
      </c>
      <c r="J1800" s="48"/>
      <c r="K1800" s="50" t="s">
        <v>56716</v>
      </c>
      <c r="L1800" s="48" t="s">
        <v>56716</v>
      </c>
    </row>
    <row r="1801" spans="1:12" s="37" customFormat="1" ht="11.25" x14ac:dyDescent="0.2">
      <c r="A1801" s="46" t="s">
        <v>10308</v>
      </c>
      <c r="B1801" s="46" t="s">
        <v>51830</v>
      </c>
      <c r="C1801" s="58" t="str">
        <f>"17381088"</f>
        <v>17381088</v>
      </c>
      <c r="D1801" s="58" t="str">
        <f>"20934327"</f>
        <v>20934327</v>
      </c>
      <c r="E1801" s="46" t="s">
        <v>10311</v>
      </c>
      <c r="F1801" s="46" t="s">
        <v>50649</v>
      </c>
      <c r="G1801" s="46" t="s">
        <v>50584</v>
      </c>
      <c r="H1801" s="48" t="s">
        <v>56716</v>
      </c>
      <c r="I1801" s="48" t="s">
        <v>50564</v>
      </c>
      <c r="J1801" s="48"/>
      <c r="K1801" s="50"/>
      <c r="L1801" s="48"/>
    </row>
    <row r="1802" spans="1:12" s="37" customFormat="1" ht="11.25" x14ac:dyDescent="0.2">
      <c r="A1802" s="46" t="s">
        <v>6381</v>
      </c>
      <c r="B1802" s="46" t="s">
        <v>51831</v>
      </c>
      <c r="C1802" s="58" t="str">
        <f>"10680640"</f>
        <v>10680640</v>
      </c>
      <c r="D1802" s="58" t="str">
        <f>"15365956"</f>
        <v>15365956</v>
      </c>
      <c r="E1802" s="46" t="s">
        <v>28</v>
      </c>
      <c r="F1802" s="46" t="s">
        <v>17759</v>
      </c>
      <c r="G1802" s="46" t="s">
        <v>50584</v>
      </c>
      <c r="H1802" s="48" t="s">
        <v>56716</v>
      </c>
      <c r="I1802" s="48" t="s">
        <v>50564</v>
      </c>
      <c r="J1802" s="48"/>
      <c r="K1802" s="50"/>
      <c r="L1802" s="48"/>
    </row>
    <row r="1803" spans="1:12" s="37" customFormat="1" ht="11.25" x14ac:dyDescent="0.2">
      <c r="A1803" s="46" t="s">
        <v>15976</v>
      </c>
      <c r="B1803" s="46" t="s">
        <v>51832</v>
      </c>
      <c r="C1803" s="58" t="str">
        <f>"22119477"</f>
        <v>22119477</v>
      </c>
      <c r="D1803" s="58" t="str">
        <f>"22119477"</f>
        <v>22119477</v>
      </c>
      <c r="E1803" s="46" t="s">
        <v>91</v>
      </c>
      <c r="F1803" s="46" t="s">
        <v>18001</v>
      </c>
      <c r="G1803" s="46" t="s">
        <v>50584</v>
      </c>
      <c r="H1803" s="48" t="s">
        <v>56716</v>
      </c>
      <c r="I1803" s="48" t="s">
        <v>50564</v>
      </c>
      <c r="J1803" s="48" t="s">
        <v>56716</v>
      </c>
      <c r="K1803" s="50" t="s">
        <v>56716</v>
      </c>
      <c r="L1803" s="48"/>
    </row>
    <row r="1804" spans="1:12" s="37" customFormat="1" ht="11.25" x14ac:dyDescent="0.2">
      <c r="A1804" s="46" t="s">
        <v>1174</v>
      </c>
      <c r="B1804" s="46" t="s">
        <v>51833</v>
      </c>
      <c r="C1804" s="58" t="str">
        <f>"00099260"</f>
        <v>00099260</v>
      </c>
      <c r="D1804" s="58" t="str">
        <f>"1365229X"</f>
        <v>1365229X</v>
      </c>
      <c r="E1804" s="46" t="s">
        <v>1177</v>
      </c>
      <c r="F1804" s="46" t="s">
        <v>50646</v>
      </c>
      <c r="G1804" s="46" t="s">
        <v>50584</v>
      </c>
      <c r="H1804" s="48" t="s">
        <v>56716</v>
      </c>
      <c r="I1804" s="48" t="s">
        <v>50564</v>
      </c>
      <c r="J1804" s="48" t="s">
        <v>56716</v>
      </c>
      <c r="K1804" s="50" t="s">
        <v>56716</v>
      </c>
      <c r="L1804" s="48" t="s">
        <v>56716</v>
      </c>
    </row>
    <row r="1805" spans="1:12" s="37" customFormat="1" ht="11.25" x14ac:dyDescent="0.2">
      <c r="A1805" s="45" t="s">
        <v>25553</v>
      </c>
      <c r="B1805" s="45" t="s">
        <v>25555</v>
      </c>
      <c r="C1805" s="51" t="s">
        <v>25557</v>
      </c>
      <c r="D1805" s="51" t="s">
        <v>25556</v>
      </c>
      <c r="E1805" s="45" t="s">
        <v>21721</v>
      </c>
      <c r="F1805" s="45" t="s">
        <v>50646</v>
      </c>
      <c r="G1805" s="45" t="s">
        <v>50584</v>
      </c>
      <c r="H1805" s="56"/>
      <c r="I1805" s="56" t="s">
        <v>50564</v>
      </c>
      <c r="J1805" s="56"/>
      <c r="K1805" s="50"/>
      <c r="L1805" s="56" t="s">
        <v>56716</v>
      </c>
    </row>
    <row r="1806" spans="1:12" s="37" customFormat="1" ht="11.25" x14ac:dyDescent="0.2">
      <c r="A1806" s="46" t="s">
        <v>5823</v>
      </c>
      <c r="B1806" s="46" t="s">
        <v>51834</v>
      </c>
      <c r="C1806" s="58" t="str">
        <f>"10601333"</f>
        <v>10601333</v>
      </c>
      <c r="D1806" s="58" t="str">
        <f>"15322521"</f>
        <v>15322521</v>
      </c>
      <c r="E1806" s="46" t="s">
        <v>291</v>
      </c>
      <c r="F1806" s="46" t="s">
        <v>17759</v>
      </c>
      <c r="G1806" s="46" t="s">
        <v>50584</v>
      </c>
      <c r="H1806" s="48" t="s">
        <v>56716</v>
      </c>
      <c r="I1806" s="48" t="s">
        <v>50564</v>
      </c>
      <c r="J1806" s="48"/>
      <c r="K1806" s="50"/>
      <c r="L1806" s="48"/>
    </row>
    <row r="1807" spans="1:12" s="37" customFormat="1" ht="11.25" x14ac:dyDescent="0.2">
      <c r="A1807" s="46" t="s">
        <v>10904</v>
      </c>
      <c r="B1807" s="46" t="s">
        <v>51835</v>
      </c>
      <c r="C1807" s="58" t="str">
        <f>"18610684"</f>
        <v>18610684</v>
      </c>
      <c r="D1807" s="58" t="str">
        <f>"18610692"</f>
        <v>18610692</v>
      </c>
      <c r="E1807" s="46" t="s">
        <v>55961</v>
      </c>
      <c r="F1807" s="46" t="s">
        <v>18158</v>
      </c>
      <c r="G1807" s="46" t="s">
        <v>50584</v>
      </c>
      <c r="H1807" s="48" t="s">
        <v>56716</v>
      </c>
      <c r="I1807" s="48" t="s">
        <v>50564</v>
      </c>
      <c r="J1807" s="48"/>
      <c r="K1807" s="50" t="s">
        <v>56716</v>
      </c>
      <c r="L1807" s="48" t="s">
        <v>56716</v>
      </c>
    </row>
    <row r="1808" spans="1:12" s="37" customFormat="1" ht="11.25" x14ac:dyDescent="0.2">
      <c r="A1808" s="46" t="s">
        <v>16522</v>
      </c>
      <c r="B1808" s="46" t="s">
        <v>51836</v>
      </c>
      <c r="C1808" s="58" t="str">
        <f>"18610706"</f>
        <v>18610706</v>
      </c>
      <c r="D1808" s="58" t="str">
        <f>"18610714"</f>
        <v>18610714</v>
      </c>
      <c r="E1808" s="46" t="s">
        <v>167</v>
      </c>
      <c r="F1808" s="46" t="s">
        <v>18158</v>
      </c>
      <c r="G1808" s="46" t="s">
        <v>50592</v>
      </c>
      <c r="H1808" s="48" t="s">
        <v>56716</v>
      </c>
      <c r="I1808" s="48" t="s">
        <v>50564</v>
      </c>
      <c r="J1808" s="48" t="s">
        <v>56716</v>
      </c>
      <c r="K1808" s="50"/>
      <c r="L1808" s="48" t="s">
        <v>56716</v>
      </c>
    </row>
    <row r="1809" spans="1:12" s="37" customFormat="1" ht="11.25" x14ac:dyDescent="0.2">
      <c r="A1809" s="46" t="s">
        <v>13018</v>
      </c>
      <c r="B1809" s="46" t="s">
        <v>51837</v>
      </c>
      <c r="C1809" s="58" t="str">
        <f>"17526981"</f>
        <v>17526981</v>
      </c>
      <c r="D1809" s="58" t="str">
        <f>"1752699X"</f>
        <v>1752699X</v>
      </c>
      <c r="E1809" s="46" t="s">
        <v>35</v>
      </c>
      <c r="F1809" s="46" t="s">
        <v>50646</v>
      </c>
      <c r="G1809" s="46" t="s">
        <v>50584</v>
      </c>
      <c r="H1809" s="48" t="s">
        <v>56716</v>
      </c>
      <c r="I1809" s="48" t="s">
        <v>50564</v>
      </c>
      <c r="J1809" s="48" t="s">
        <v>56716</v>
      </c>
      <c r="K1809" s="50" t="s">
        <v>56716</v>
      </c>
      <c r="L1809" s="48" t="s">
        <v>56716</v>
      </c>
    </row>
    <row r="1810" spans="1:12" s="37" customFormat="1" ht="11.25" x14ac:dyDescent="0.2">
      <c r="A1810" s="46" t="s">
        <v>7226</v>
      </c>
      <c r="B1810" s="46" t="s">
        <v>51838</v>
      </c>
      <c r="C1810" s="58" t="str">
        <f>"10800549"</f>
        <v>10800549</v>
      </c>
      <c r="D1810" s="58" t="str">
        <f>"15590267"</f>
        <v>15590267</v>
      </c>
      <c r="E1810" s="46" t="s">
        <v>40314</v>
      </c>
      <c r="F1810" s="46" t="s">
        <v>17759</v>
      </c>
      <c r="G1810" s="46" t="s">
        <v>50584</v>
      </c>
      <c r="H1810" s="48" t="s">
        <v>56716</v>
      </c>
      <c r="I1810" s="48" t="s">
        <v>50564</v>
      </c>
      <c r="J1810" s="48"/>
      <c r="K1810" s="50" t="s">
        <v>56716</v>
      </c>
      <c r="L1810" s="48" t="s">
        <v>56716</v>
      </c>
    </row>
    <row r="1811" spans="1:12" s="37" customFormat="1" ht="11.25" x14ac:dyDescent="0.2">
      <c r="A1811" s="46" t="s">
        <v>9300</v>
      </c>
      <c r="B1811" s="46" t="s">
        <v>51839</v>
      </c>
      <c r="C1811" s="58" t="str">
        <f>"15348644"</f>
        <v>15348644</v>
      </c>
      <c r="D1811" s="58" t="str">
        <f>"15590119"</f>
        <v>15590119</v>
      </c>
      <c r="E1811" s="46" t="s">
        <v>40314</v>
      </c>
      <c r="F1811" s="46" t="s">
        <v>17759</v>
      </c>
      <c r="G1811" s="46" t="s">
        <v>50584</v>
      </c>
      <c r="H1811" s="48" t="s">
        <v>56716</v>
      </c>
      <c r="I1811" s="48" t="s">
        <v>50564</v>
      </c>
      <c r="J1811" s="48"/>
      <c r="K1811" s="50" t="s">
        <v>56716</v>
      </c>
      <c r="L1811" s="48"/>
    </row>
    <row r="1812" spans="1:12" s="37" customFormat="1" ht="11.25" x14ac:dyDescent="0.2">
      <c r="A1812" s="46" t="s">
        <v>1178</v>
      </c>
      <c r="B1812" s="46" t="s">
        <v>51840</v>
      </c>
      <c r="C1812" s="58" t="str">
        <f>"07703198"</f>
        <v>07703198</v>
      </c>
      <c r="D1812" s="58" t="str">
        <f>"14349949"</f>
        <v>14349949</v>
      </c>
      <c r="E1812" s="46" t="s">
        <v>56002</v>
      </c>
      <c r="F1812" s="46" t="s">
        <v>50646</v>
      </c>
      <c r="G1812" s="46" t="s">
        <v>50584</v>
      </c>
      <c r="H1812" s="48" t="s">
        <v>56716</v>
      </c>
      <c r="I1812" s="48" t="s">
        <v>50564</v>
      </c>
      <c r="J1812" s="48" t="s">
        <v>56716</v>
      </c>
      <c r="K1812" s="50" t="s">
        <v>56716</v>
      </c>
      <c r="L1812" s="48" t="s">
        <v>56716</v>
      </c>
    </row>
    <row r="1813" spans="1:12" s="37" customFormat="1" ht="11.25" x14ac:dyDescent="0.2">
      <c r="A1813" s="46" t="s">
        <v>14976</v>
      </c>
      <c r="B1813" s="46" t="s">
        <v>51841</v>
      </c>
      <c r="C1813" s="58" t="str">
        <f>"09744630"</f>
        <v>09744630</v>
      </c>
      <c r="D1813" s="58" t="str">
        <f>"09756965"</f>
        <v>09756965</v>
      </c>
      <c r="E1813" s="46" t="s">
        <v>14870</v>
      </c>
      <c r="F1813" s="46" t="s">
        <v>20446</v>
      </c>
      <c r="G1813" s="46" t="s">
        <v>50584</v>
      </c>
      <c r="H1813" s="48" t="s">
        <v>56716</v>
      </c>
      <c r="I1813" s="48" t="s">
        <v>50564</v>
      </c>
      <c r="J1813" s="48"/>
      <c r="K1813" s="50"/>
      <c r="L1813" s="48"/>
    </row>
    <row r="1814" spans="1:12" s="37" customFormat="1" ht="11.25" x14ac:dyDescent="0.2">
      <c r="A1814" s="46" t="s">
        <v>16132</v>
      </c>
      <c r="B1814" s="46" t="s">
        <v>51842</v>
      </c>
      <c r="C1814" s="58" t="str">
        <f>""</f>
        <v/>
      </c>
      <c r="D1814" s="58" t="str">
        <f>"20453329"</f>
        <v>20453329</v>
      </c>
      <c r="E1814" s="46" t="s">
        <v>2299</v>
      </c>
      <c r="F1814" s="46" t="s">
        <v>50646</v>
      </c>
      <c r="G1814" s="46" t="s">
        <v>50584</v>
      </c>
      <c r="H1814" s="48" t="s">
        <v>56716</v>
      </c>
      <c r="I1814" s="48" t="s">
        <v>50564</v>
      </c>
      <c r="J1814" s="48" t="s">
        <v>56716</v>
      </c>
      <c r="K1814" s="50"/>
      <c r="L1814" s="48"/>
    </row>
    <row r="1815" spans="1:12" s="37" customFormat="1" ht="11.25" x14ac:dyDescent="0.2">
      <c r="A1815" s="46" t="s">
        <v>12623</v>
      </c>
      <c r="B1815" s="46" t="s">
        <v>51843</v>
      </c>
      <c r="C1815" s="58" t="str">
        <f>"19351232"</f>
        <v>19351232</v>
      </c>
      <c r="D1815" s="58" t="str">
        <f>"19412010"</f>
        <v>19412010</v>
      </c>
      <c r="E1815" s="46" t="s">
        <v>12625</v>
      </c>
      <c r="F1815" s="46" t="s">
        <v>17759</v>
      </c>
      <c r="G1815" s="46" t="s">
        <v>50584</v>
      </c>
      <c r="H1815" s="48" t="s">
        <v>56716</v>
      </c>
      <c r="I1815" s="48" t="s">
        <v>50564</v>
      </c>
      <c r="J1815" s="48"/>
      <c r="K1815" s="50"/>
      <c r="L1815" s="48" t="s">
        <v>56716</v>
      </c>
    </row>
    <row r="1816" spans="1:12" s="37" customFormat="1" ht="11.25" x14ac:dyDescent="0.2">
      <c r="A1816" s="46" t="s">
        <v>1299</v>
      </c>
      <c r="B1816" s="46" t="s">
        <v>51844</v>
      </c>
      <c r="C1816" s="58" t="str">
        <f>"01435221"</f>
        <v>01435221</v>
      </c>
      <c r="D1816" s="58" t="str">
        <f>""</f>
        <v/>
      </c>
      <c r="E1816" s="46" t="s">
        <v>744</v>
      </c>
      <c r="F1816" s="46" t="s">
        <v>50646</v>
      </c>
      <c r="G1816" s="46" t="s">
        <v>50584</v>
      </c>
      <c r="H1816" s="48" t="s">
        <v>56716</v>
      </c>
      <c r="I1816" s="48" t="s">
        <v>50564</v>
      </c>
      <c r="J1816" s="48" t="s">
        <v>56716</v>
      </c>
      <c r="K1816" s="50"/>
      <c r="L1816" s="48" t="s">
        <v>56716</v>
      </c>
    </row>
    <row r="1817" spans="1:12" s="37" customFormat="1" ht="11.25" x14ac:dyDescent="0.2">
      <c r="A1817" s="46" t="s">
        <v>1186</v>
      </c>
      <c r="B1817" s="46" t="s">
        <v>51845</v>
      </c>
      <c r="C1817" s="58" t="str">
        <f>"01492918"</f>
        <v>01492918</v>
      </c>
      <c r="D1817" s="58" t="str">
        <f>"1879114X"</f>
        <v>1879114X</v>
      </c>
      <c r="E1817" s="46" t="s">
        <v>1189</v>
      </c>
      <c r="F1817" s="46" t="s">
        <v>17759</v>
      </c>
      <c r="G1817" s="46" t="s">
        <v>50584</v>
      </c>
      <c r="H1817" s="48" t="s">
        <v>56716</v>
      </c>
      <c r="I1817" s="48" t="s">
        <v>50564</v>
      </c>
      <c r="J1817" s="48"/>
      <c r="K1817" s="50" t="s">
        <v>56716</v>
      </c>
      <c r="L1817" s="48" t="s">
        <v>56716</v>
      </c>
    </row>
    <row r="1818" spans="1:12" s="37" customFormat="1" ht="11.25" x14ac:dyDescent="0.2">
      <c r="A1818" s="46" t="s">
        <v>10770</v>
      </c>
      <c r="B1818" s="46" t="s">
        <v>51846</v>
      </c>
      <c r="C1818" s="58" t="str">
        <f>"15563650"</f>
        <v>15563650</v>
      </c>
      <c r="D1818" s="58" t="str">
        <f>"15569519"</f>
        <v>15569519</v>
      </c>
      <c r="E1818" s="46" t="s">
        <v>291</v>
      </c>
      <c r="F1818" s="46" t="s">
        <v>17759</v>
      </c>
      <c r="G1818" s="46" t="s">
        <v>50584</v>
      </c>
      <c r="H1818" s="48" t="s">
        <v>56716</v>
      </c>
      <c r="I1818" s="48" t="s">
        <v>50564</v>
      </c>
      <c r="J1818" s="48"/>
      <c r="K1818" s="50"/>
      <c r="L1818" s="48" t="s">
        <v>56716</v>
      </c>
    </row>
    <row r="1819" spans="1:12" s="37" customFormat="1" ht="11.25" x14ac:dyDescent="0.2">
      <c r="A1819" s="46" t="s">
        <v>4913</v>
      </c>
      <c r="B1819" s="46" t="s">
        <v>51847</v>
      </c>
      <c r="C1819" s="58" t="str">
        <f>"09020063"</f>
        <v>09020063</v>
      </c>
      <c r="D1819" s="58" t="str">
        <f>"13990012"</f>
        <v>13990012</v>
      </c>
      <c r="E1819" s="46" t="s">
        <v>35</v>
      </c>
      <c r="F1819" s="46" t="s">
        <v>50646</v>
      </c>
      <c r="G1819" s="46" t="s">
        <v>50584</v>
      </c>
      <c r="H1819" s="48" t="s">
        <v>56716</v>
      </c>
      <c r="I1819" s="48" t="s">
        <v>50564</v>
      </c>
      <c r="J1819" s="48" t="s">
        <v>56716</v>
      </c>
      <c r="K1819" s="50" t="s">
        <v>56716</v>
      </c>
      <c r="L1819" s="48" t="s">
        <v>56716</v>
      </c>
    </row>
    <row r="1820" spans="1:12" s="37" customFormat="1" ht="11.25" x14ac:dyDescent="0.2">
      <c r="A1820" s="45" t="s">
        <v>25619</v>
      </c>
      <c r="B1820" s="45" t="s">
        <v>25621</v>
      </c>
      <c r="C1820" s="51" t="s">
        <v>25623</v>
      </c>
      <c r="D1820" s="51"/>
      <c r="E1820" s="45" t="s">
        <v>25624</v>
      </c>
      <c r="F1820" s="45" t="s">
        <v>17759</v>
      </c>
      <c r="G1820" s="45" t="s">
        <v>50584</v>
      </c>
      <c r="H1820" s="56"/>
      <c r="I1820" s="56" t="s">
        <v>50564</v>
      </c>
      <c r="J1820" s="56"/>
      <c r="K1820" s="50"/>
      <c r="L1820" s="56" t="s">
        <v>56716</v>
      </c>
    </row>
    <row r="1821" spans="1:12" s="37" customFormat="1" ht="11.25" x14ac:dyDescent="0.2">
      <c r="A1821" s="46" t="s">
        <v>10563</v>
      </c>
      <c r="B1821" s="46" t="s">
        <v>51848</v>
      </c>
      <c r="C1821" s="58" t="str">
        <f>"17407745"</f>
        <v>17407745</v>
      </c>
      <c r="D1821" s="58" t="str">
        <f>"17407753"</f>
        <v>17407753</v>
      </c>
      <c r="E1821" s="46" t="s">
        <v>97</v>
      </c>
      <c r="F1821" s="46" t="s">
        <v>50646</v>
      </c>
      <c r="G1821" s="46" t="s">
        <v>50584</v>
      </c>
      <c r="H1821" s="48" t="s">
        <v>56716</v>
      </c>
      <c r="I1821" s="48" t="s">
        <v>50564</v>
      </c>
      <c r="J1821" s="48" t="s">
        <v>56716</v>
      </c>
      <c r="K1821" s="50"/>
      <c r="L1821" s="48" t="s">
        <v>56716</v>
      </c>
    </row>
    <row r="1822" spans="1:12" s="37" customFormat="1" ht="11.25" x14ac:dyDescent="0.2">
      <c r="A1822" s="46" t="s">
        <v>56209</v>
      </c>
      <c r="B1822" s="46" t="s">
        <v>56210</v>
      </c>
      <c r="C1822" s="58" t="str">
        <f>""</f>
        <v/>
      </c>
      <c r="D1822" s="58" t="str">
        <f>"24055875"</f>
        <v>24055875</v>
      </c>
      <c r="E1822" s="46" t="s">
        <v>91</v>
      </c>
      <c r="F1822" s="46" t="s">
        <v>18001</v>
      </c>
      <c r="G1822" s="46" t="s">
        <v>50584</v>
      </c>
      <c r="H1822" s="48" t="s">
        <v>56716</v>
      </c>
      <c r="I1822" s="48" t="s">
        <v>50564</v>
      </c>
      <c r="J1822" s="48" t="s">
        <v>56716</v>
      </c>
      <c r="K1822" s="50"/>
      <c r="L1822" s="48"/>
    </row>
    <row r="1823" spans="1:12" s="37" customFormat="1" ht="11.25" x14ac:dyDescent="0.2">
      <c r="A1823" s="46" t="s">
        <v>13948</v>
      </c>
      <c r="B1823" s="46" t="s">
        <v>51849</v>
      </c>
      <c r="C1823" s="58" t="str">
        <f>""</f>
        <v/>
      </c>
      <c r="D1823" s="58" t="str">
        <f>"11787015"</f>
        <v>11787015</v>
      </c>
      <c r="E1823" s="46" t="s">
        <v>11079</v>
      </c>
      <c r="F1823" s="46" t="s">
        <v>19483</v>
      </c>
      <c r="G1823" s="46" t="s">
        <v>50584</v>
      </c>
      <c r="H1823" s="48" t="s">
        <v>56716</v>
      </c>
      <c r="I1823" s="48" t="s">
        <v>50564</v>
      </c>
      <c r="J1823" s="48"/>
      <c r="K1823" s="50"/>
      <c r="L1823" s="48"/>
    </row>
    <row r="1824" spans="1:12" s="37" customFormat="1" ht="11.25" x14ac:dyDescent="0.2">
      <c r="A1824" s="46" t="s">
        <v>14118</v>
      </c>
      <c r="B1824" s="46" t="s">
        <v>51850</v>
      </c>
      <c r="C1824" s="58" t="str">
        <f>""</f>
        <v/>
      </c>
      <c r="D1824" s="58" t="str">
        <f>"11786981"</f>
        <v>11786981</v>
      </c>
      <c r="E1824" s="46" t="s">
        <v>11078</v>
      </c>
      <c r="F1824" s="46" t="s">
        <v>19483</v>
      </c>
      <c r="G1824" s="46" t="s">
        <v>50584</v>
      </c>
      <c r="H1824" s="48" t="s">
        <v>56716</v>
      </c>
      <c r="I1824" s="48" t="s">
        <v>50564</v>
      </c>
      <c r="J1824" s="48"/>
      <c r="K1824" s="50"/>
      <c r="L1824" s="48"/>
    </row>
    <row r="1825" spans="1:12" s="37" customFormat="1" ht="11.25" x14ac:dyDescent="0.2">
      <c r="A1825" s="45" t="s">
        <v>25632</v>
      </c>
      <c r="B1825" s="45" t="s">
        <v>25634</v>
      </c>
      <c r="C1825" s="51" t="s">
        <v>25637</v>
      </c>
      <c r="D1825" s="51" t="s">
        <v>25636</v>
      </c>
      <c r="E1825" s="45" t="s">
        <v>25638</v>
      </c>
      <c r="F1825" s="45" t="s">
        <v>18058</v>
      </c>
      <c r="G1825" s="45" t="s">
        <v>50584</v>
      </c>
      <c r="H1825" s="56"/>
      <c r="I1825" s="56" t="s">
        <v>50564</v>
      </c>
      <c r="J1825" s="56"/>
      <c r="K1825" s="50"/>
      <c r="L1825" s="56" t="s">
        <v>56716</v>
      </c>
    </row>
    <row r="1826" spans="1:12" s="37" customFormat="1" ht="11.25" x14ac:dyDescent="0.2">
      <c r="A1826" s="46" t="s">
        <v>16855</v>
      </c>
      <c r="B1826" s="46" t="s">
        <v>51826</v>
      </c>
      <c r="C1826" s="58" t="str">
        <f>"20397275"</f>
        <v>20397275</v>
      </c>
      <c r="D1826" s="58" t="str">
        <f>"20397283"</f>
        <v>20397283</v>
      </c>
      <c r="E1826" s="46" t="s">
        <v>1949</v>
      </c>
      <c r="F1826" s="46" t="s">
        <v>17991</v>
      </c>
      <c r="G1826" s="46" t="s">
        <v>50584</v>
      </c>
      <c r="H1826" s="48" t="s">
        <v>56716</v>
      </c>
      <c r="I1826" s="48" t="s">
        <v>50564</v>
      </c>
      <c r="J1826" s="48"/>
      <c r="K1826" s="50"/>
      <c r="L1826" s="48"/>
    </row>
    <row r="1827" spans="1:12" s="37" customFormat="1" ht="11.25" x14ac:dyDescent="0.2">
      <c r="A1827" s="46" t="s">
        <v>15406</v>
      </c>
      <c r="B1827" s="46" t="s">
        <v>51851</v>
      </c>
      <c r="C1827" s="58" t="str">
        <f>"22107401"</f>
        <v>22107401</v>
      </c>
      <c r="D1827" s="58" t="str">
        <f>"2210741X"</f>
        <v>2210741X</v>
      </c>
      <c r="E1827" s="46" t="s">
        <v>85</v>
      </c>
      <c r="F1827" s="46" t="s">
        <v>20359</v>
      </c>
      <c r="G1827" s="46" t="s">
        <v>50591</v>
      </c>
      <c r="H1827" s="48" t="s">
        <v>56716</v>
      </c>
      <c r="I1827" s="48" t="s">
        <v>50564</v>
      </c>
      <c r="J1827" s="48"/>
      <c r="K1827" s="50" t="s">
        <v>56716</v>
      </c>
      <c r="L1827" s="48" t="s">
        <v>56716</v>
      </c>
    </row>
    <row r="1828" spans="1:12" s="37" customFormat="1" ht="11.25" x14ac:dyDescent="0.2">
      <c r="A1828" s="46" t="s">
        <v>1001</v>
      </c>
      <c r="B1828" s="46" t="s">
        <v>51852</v>
      </c>
      <c r="C1828" s="58" t="str">
        <f>"02725231"</f>
        <v>02725231</v>
      </c>
      <c r="D1828" s="58" t="str">
        <f>"15578216"</f>
        <v>15578216</v>
      </c>
      <c r="E1828" s="46" t="s">
        <v>303</v>
      </c>
      <c r="F1828" s="46" t="s">
        <v>17759</v>
      </c>
      <c r="G1828" s="46" t="s">
        <v>50584</v>
      </c>
      <c r="H1828" s="48" t="s">
        <v>56716</v>
      </c>
      <c r="I1828" s="48" t="s">
        <v>50564</v>
      </c>
      <c r="J1828" s="48" t="s">
        <v>56716</v>
      </c>
      <c r="K1828" s="50" t="s">
        <v>56716</v>
      </c>
      <c r="L1828" s="48" t="s">
        <v>56716</v>
      </c>
    </row>
    <row r="1829" spans="1:12" s="37" customFormat="1" ht="11.25" x14ac:dyDescent="0.2">
      <c r="A1829" s="46" t="s">
        <v>4893</v>
      </c>
      <c r="B1829" s="46" t="s">
        <v>51853</v>
      </c>
      <c r="C1829" s="58" t="str">
        <f>"0738081X"</f>
        <v>0738081X</v>
      </c>
      <c r="D1829" s="58" t="str">
        <f>"18791131"</f>
        <v>18791131</v>
      </c>
      <c r="E1829" s="46" t="s">
        <v>272</v>
      </c>
      <c r="F1829" s="46" t="s">
        <v>17759</v>
      </c>
      <c r="G1829" s="46" t="s">
        <v>50584</v>
      </c>
      <c r="H1829" s="48" t="s">
        <v>56716</v>
      </c>
      <c r="I1829" s="48" t="s">
        <v>50564</v>
      </c>
      <c r="J1829" s="48" t="s">
        <v>56716</v>
      </c>
      <c r="K1829" s="50"/>
      <c r="L1829" s="48" t="s">
        <v>56716</v>
      </c>
    </row>
    <row r="1830" spans="1:12" s="37" customFormat="1" ht="11.25" x14ac:dyDescent="0.2">
      <c r="A1830" s="46" t="s">
        <v>1053</v>
      </c>
      <c r="B1830" s="46" t="s">
        <v>51854</v>
      </c>
      <c r="C1830" s="58" t="str">
        <f>"07490690"</f>
        <v>07490690</v>
      </c>
      <c r="D1830" s="58" t="str">
        <f>"18798853"</f>
        <v>18798853</v>
      </c>
      <c r="E1830" s="46" t="s">
        <v>303</v>
      </c>
      <c r="F1830" s="46" t="s">
        <v>17759</v>
      </c>
      <c r="G1830" s="46" t="s">
        <v>50584</v>
      </c>
      <c r="H1830" s="48" t="s">
        <v>56716</v>
      </c>
      <c r="I1830" s="48" t="s">
        <v>50564</v>
      </c>
      <c r="J1830" s="48"/>
      <c r="K1830" s="50" t="s">
        <v>56716</v>
      </c>
      <c r="L1830" s="48" t="s">
        <v>56716</v>
      </c>
    </row>
    <row r="1831" spans="1:12" s="37" customFormat="1" ht="11.25" x14ac:dyDescent="0.2">
      <c r="A1831" s="46" t="s">
        <v>1155</v>
      </c>
      <c r="B1831" s="46" t="s">
        <v>51855</v>
      </c>
      <c r="C1831" s="58" t="str">
        <f>"02722712"</f>
        <v>02722712</v>
      </c>
      <c r="D1831" s="58" t="str">
        <f>"15579832"</f>
        <v>15579832</v>
      </c>
      <c r="E1831" s="46" t="s">
        <v>303</v>
      </c>
      <c r="F1831" s="46" t="s">
        <v>17759</v>
      </c>
      <c r="G1831" s="46" t="s">
        <v>50584</v>
      </c>
      <c r="H1831" s="48" t="s">
        <v>56716</v>
      </c>
      <c r="I1831" s="48" t="s">
        <v>50564</v>
      </c>
      <c r="J1831" s="48" t="s">
        <v>56716</v>
      </c>
      <c r="K1831" s="50" t="s">
        <v>56716</v>
      </c>
      <c r="L1831" s="48" t="s">
        <v>56716</v>
      </c>
    </row>
    <row r="1832" spans="1:12" s="37" customFormat="1" ht="11.25" x14ac:dyDescent="0.2">
      <c r="A1832" s="46" t="s">
        <v>7627</v>
      </c>
      <c r="B1832" s="46" t="s">
        <v>51777</v>
      </c>
      <c r="C1832" s="58" t="str">
        <f>"10893261"</f>
        <v>10893261</v>
      </c>
      <c r="D1832" s="58" t="str">
        <f>"15578224"</f>
        <v>15578224</v>
      </c>
      <c r="E1832" s="46" t="s">
        <v>303</v>
      </c>
      <c r="F1832" s="46" t="s">
        <v>17759</v>
      </c>
      <c r="G1832" s="46" t="s">
        <v>50584</v>
      </c>
      <c r="H1832" s="48" t="s">
        <v>56716</v>
      </c>
      <c r="I1832" s="48" t="s">
        <v>50564</v>
      </c>
      <c r="J1832" s="48"/>
      <c r="K1832" s="50" t="s">
        <v>56716</v>
      </c>
      <c r="L1832" s="48" t="s">
        <v>56716</v>
      </c>
    </row>
    <row r="1833" spans="1:12" s="37" customFormat="1" ht="11.25" x14ac:dyDescent="0.2">
      <c r="A1833" s="46" t="s">
        <v>1168</v>
      </c>
      <c r="B1833" s="46" t="s">
        <v>51856</v>
      </c>
      <c r="C1833" s="58" t="str">
        <f>"00955108"</f>
        <v>00955108</v>
      </c>
      <c r="D1833" s="58" t="str">
        <f>"15579840"</f>
        <v>15579840</v>
      </c>
      <c r="E1833" s="46" t="s">
        <v>303</v>
      </c>
      <c r="F1833" s="46" t="s">
        <v>17759</v>
      </c>
      <c r="G1833" s="46" t="s">
        <v>50584</v>
      </c>
      <c r="H1833" s="48" t="s">
        <v>56716</v>
      </c>
      <c r="I1833" s="48" t="s">
        <v>50564</v>
      </c>
      <c r="J1833" s="48" t="s">
        <v>56716</v>
      </c>
      <c r="K1833" s="50" t="s">
        <v>56716</v>
      </c>
      <c r="L1833" s="48" t="s">
        <v>56716</v>
      </c>
    </row>
    <row r="1834" spans="1:12" s="37" customFormat="1" ht="11.25" x14ac:dyDescent="0.2">
      <c r="A1834" s="46" t="s">
        <v>1270</v>
      </c>
      <c r="B1834" s="46" t="s">
        <v>51857</v>
      </c>
      <c r="C1834" s="58" t="str">
        <f>"00941298"</f>
        <v>00941298</v>
      </c>
      <c r="D1834" s="58" t="str">
        <f>"15580504"</f>
        <v>15580504</v>
      </c>
      <c r="E1834" s="46" t="s">
        <v>303</v>
      </c>
      <c r="F1834" s="46" t="s">
        <v>17759</v>
      </c>
      <c r="G1834" s="46" t="s">
        <v>50584</v>
      </c>
      <c r="H1834" s="48" t="s">
        <v>56716</v>
      </c>
      <c r="I1834" s="48" t="s">
        <v>50564</v>
      </c>
      <c r="J1834" s="48"/>
      <c r="K1834" s="50" t="s">
        <v>56716</v>
      </c>
      <c r="L1834" s="48" t="s">
        <v>56716</v>
      </c>
    </row>
    <row r="1835" spans="1:12" s="37" customFormat="1" ht="11.25" x14ac:dyDescent="0.2">
      <c r="A1835" s="46" t="s">
        <v>1273</v>
      </c>
      <c r="B1835" s="46" t="s">
        <v>51858</v>
      </c>
      <c r="C1835" s="58" t="str">
        <f>"08918422"</f>
        <v>08918422</v>
      </c>
      <c r="D1835" s="58" t="str">
        <f>"15582302"</f>
        <v>15582302</v>
      </c>
      <c r="E1835" s="46" t="s">
        <v>303</v>
      </c>
      <c r="F1835" s="46" t="s">
        <v>17759</v>
      </c>
      <c r="G1835" s="46" t="s">
        <v>50584</v>
      </c>
      <c r="H1835" s="48" t="s">
        <v>56716</v>
      </c>
      <c r="I1835" s="48" t="s">
        <v>50564</v>
      </c>
      <c r="J1835" s="48" t="s">
        <v>56716</v>
      </c>
      <c r="K1835" s="50" t="s">
        <v>56716</v>
      </c>
      <c r="L1835" s="48" t="s">
        <v>56716</v>
      </c>
    </row>
    <row r="1836" spans="1:12" s="37" customFormat="1" ht="11.25" x14ac:dyDescent="0.2">
      <c r="A1836" s="46" t="s">
        <v>4168</v>
      </c>
      <c r="B1836" s="46" t="s">
        <v>51859</v>
      </c>
      <c r="C1836" s="58" t="str">
        <f>"02785919"</f>
        <v>02785919</v>
      </c>
      <c r="D1836" s="58" t="str">
        <f>"1556228X"</f>
        <v>1556228X</v>
      </c>
      <c r="E1836" s="46" t="s">
        <v>303</v>
      </c>
      <c r="F1836" s="46" t="s">
        <v>17759</v>
      </c>
      <c r="G1836" s="46" t="s">
        <v>50584</v>
      </c>
      <c r="H1836" s="48" t="s">
        <v>56716</v>
      </c>
      <c r="I1836" s="48" t="s">
        <v>50564</v>
      </c>
      <c r="J1836" s="48"/>
      <c r="K1836" s="50" t="s">
        <v>56716</v>
      </c>
      <c r="L1836" s="48" t="s">
        <v>56716</v>
      </c>
    </row>
    <row r="1837" spans="1:12" s="37" customFormat="1" ht="11.25" x14ac:dyDescent="0.2">
      <c r="A1837" s="45" t="s">
        <v>25690</v>
      </c>
      <c r="B1837" s="45" t="s">
        <v>25692</v>
      </c>
      <c r="C1837" s="51" t="s">
        <v>25693</v>
      </c>
      <c r="D1837" s="51"/>
      <c r="E1837" s="45" t="s">
        <v>25694</v>
      </c>
      <c r="F1837" s="45" t="s">
        <v>18001</v>
      </c>
      <c r="G1837" s="45" t="s">
        <v>50584</v>
      </c>
      <c r="H1837" s="56"/>
      <c r="I1837" s="56" t="s">
        <v>50564</v>
      </c>
      <c r="J1837" s="56"/>
      <c r="K1837" s="50"/>
      <c r="L1837" s="56" t="s">
        <v>56716</v>
      </c>
    </row>
    <row r="1838" spans="1:12" s="37" customFormat="1" ht="11.25" x14ac:dyDescent="0.2">
      <c r="A1838" s="46" t="s">
        <v>56281</v>
      </c>
      <c r="B1838" s="46" t="s">
        <v>56282</v>
      </c>
      <c r="C1838" s="58" t="str">
        <f>"12222119"</f>
        <v>12222119</v>
      </c>
      <c r="D1838" s="58" t="str">
        <f>"20668872"</f>
        <v>20668872</v>
      </c>
      <c r="E1838" s="46" t="s">
        <v>56283</v>
      </c>
      <c r="F1838" s="46" t="s">
        <v>22017</v>
      </c>
      <c r="G1838" s="46" t="s">
        <v>50584</v>
      </c>
      <c r="H1838" s="48" t="s">
        <v>56716</v>
      </c>
      <c r="I1838" s="48" t="s">
        <v>50564</v>
      </c>
      <c r="J1838" s="48"/>
      <c r="K1838" s="50"/>
      <c r="L1838" s="48"/>
    </row>
    <row r="1839" spans="1:12" s="37" customFormat="1" ht="11.25" x14ac:dyDescent="0.2">
      <c r="A1839" s="46" t="s">
        <v>1190</v>
      </c>
      <c r="B1839" s="46" t="s">
        <v>1190</v>
      </c>
      <c r="C1839" s="58" t="str">
        <f>"08203946"</f>
        <v>08203946</v>
      </c>
      <c r="D1839" s="58" t="str">
        <f>"14882329"</f>
        <v>14882329</v>
      </c>
      <c r="E1839" s="46" t="s">
        <v>1193</v>
      </c>
      <c r="F1839" s="46" t="s">
        <v>18959</v>
      </c>
      <c r="G1839" s="46" t="s">
        <v>50590</v>
      </c>
      <c r="H1839" s="48" t="s">
        <v>56716</v>
      </c>
      <c r="I1839" s="48" t="s">
        <v>50564</v>
      </c>
      <c r="J1839" s="48"/>
      <c r="K1839" s="50"/>
      <c r="L1839" s="48" t="s">
        <v>56716</v>
      </c>
    </row>
    <row r="1840" spans="1:12" s="37" customFormat="1" ht="11.25" x14ac:dyDescent="0.2">
      <c r="A1840" s="46" t="s">
        <v>8985</v>
      </c>
      <c r="B1840" s="46" t="s">
        <v>51860</v>
      </c>
      <c r="C1840" s="58" t="str">
        <f>"14751453"</f>
        <v>14751453</v>
      </c>
      <c r="D1840" s="58" t="str">
        <f>""</f>
        <v/>
      </c>
      <c r="E1840" s="46" t="s">
        <v>8341</v>
      </c>
      <c r="F1840" s="46" t="s">
        <v>50646</v>
      </c>
      <c r="G1840" s="46" t="s">
        <v>50584</v>
      </c>
      <c r="H1840" s="48" t="s">
        <v>56716</v>
      </c>
      <c r="I1840" s="48" t="s">
        <v>50564</v>
      </c>
      <c r="J1840" s="48"/>
      <c r="K1840" s="50"/>
      <c r="L1840" s="48"/>
    </row>
    <row r="1841" spans="1:12" s="37" customFormat="1" ht="11.25" x14ac:dyDescent="0.2">
      <c r="A1841" s="46" t="s">
        <v>7532</v>
      </c>
      <c r="B1841" s="46" t="s">
        <v>51861</v>
      </c>
      <c r="C1841" s="58" t="str">
        <f>"12199087"</f>
        <v>12199087</v>
      </c>
      <c r="D1841" s="58" t="str">
        <f>""</f>
        <v/>
      </c>
      <c r="E1841" s="46" t="s">
        <v>7534</v>
      </c>
      <c r="F1841" s="45" t="s">
        <v>17976</v>
      </c>
      <c r="G1841" s="46" t="s">
        <v>50584</v>
      </c>
      <c r="H1841" s="48" t="s">
        <v>56716</v>
      </c>
      <c r="I1841" s="48" t="s">
        <v>50564</v>
      </c>
      <c r="J1841" s="48"/>
      <c r="K1841" s="50"/>
      <c r="L1841" s="48"/>
    </row>
    <row r="1842" spans="1:12" s="37" customFormat="1" ht="11.25" x14ac:dyDescent="0.2">
      <c r="A1842" s="46" t="s">
        <v>56414</v>
      </c>
      <c r="B1842" s="46" t="s">
        <v>56415</v>
      </c>
      <c r="C1842" s="58" t="str">
        <f>""</f>
        <v/>
      </c>
      <c r="D1842" s="58" t="str">
        <f>"2352345X"</f>
        <v>2352345X</v>
      </c>
      <c r="E1842" s="46" t="s">
        <v>272</v>
      </c>
      <c r="F1842" s="46" t="s">
        <v>17759</v>
      </c>
      <c r="G1842" s="46" t="s">
        <v>50584</v>
      </c>
      <c r="H1842" s="48" t="s">
        <v>56716</v>
      </c>
      <c r="I1842" s="48" t="s">
        <v>50564</v>
      </c>
      <c r="J1842" s="48" t="s">
        <v>56716</v>
      </c>
      <c r="K1842" s="50"/>
      <c r="L1842" s="48"/>
    </row>
    <row r="1843" spans="1:12" s="37" customFormat="1" ht="11.25" x14ac:dyDescent="0.2">
      <c r="A1843" s="46" t="s">
        <v>10895</v>
      </c>
      <c r="B1843" s="46" t="s">
        <v>51862</v>
      </c>
      <c r="C1843" s="58" t="str">
        <f>"18715273"</f>
        <v>18715273</v>
      </c>
      <c r="D1843" s="58" t="str">
        <f>"19963181"</f>
        <v>19963181</v>
      </c>
      <c r="E1843" s="46" t="s">
        <v>6405</v>
      </c>
      <c r="F1843" s="46" t="s">
        <v>18001</v>
      </c>
      <c r="G1843" s="46" t="s">
        <v>50584</v>
      </c>
      <c r="H1843" s="48" t="s">
        <v>56716</v>
      </c>
      <c r="I1843" s="48" t="s">
        <v>50564</v>
      </c>
      <c r="J1843" s="48"/>
      <c r="K1843" s="50"/>
      <c r="L1843" s="48" t="s">
        <v>56716</v>
      </c>
    </row>
    <row r="1844" spans="1:12" s="37" customFormat="1" ht="11.25" x14ac:dyDescent="0.2">
      <c r="A1844" s="46" t="s">
        <v>6378</v>
      </c>
      <c r="B1844" s="46" t="s">
        <v>6378</v>
      </c>
      <c r="C1844" s="58" t="str">
        <f>"11727047"</f>
        <v>11727047</v>
      </c>
      <c r="D1844" s="58" t="str">
        <f>"11791934"</f>
        <v>11791934</v>
      </c>
      <c r="E1844" s="46" t="s">
        <v>55920</v>
      </c>
      <c r="F1844" s="46" t="s">
        <v>18123</v>
      </c>
      <c r="G1844" s="46" t="s">
        <v>50584</v>
      </c>
      <c r="H1844" s="48" t="s">
        <v>56716</v>
      </c>
      <c r="I1844" s="48" t="s">
        <v>50564</v>
      </c>
      <c r="J1844" s="48" t="s">
        <v>56716</v>
      </c>
      <c r="K1844" s="50" t="s">
        <v>56716</v>
      </c>
      <c r="L1844" s="48" t="s">
        <v>56716</v>
      </c>
    </row>
    <row r="1845" spans="1:12" s="37" customFormat="1" ht="11.25" x14ac:dyDescent="0.2">
      <c r="A1845" s="46" t="s">
        <v>12754</v>
      </c>
      <c r="B1845" s="46" t="s">
        <v>51863</v>
      </c>
      <c r="C1845" s="58" t="str">
        <f>"17555930"</f>
        <v>17555930</v>
      </c>
      <c r="D1845" s="58" t="str">
        <f>"17555949"</f>
        <v>17555949</v>
      </c>
      <c r="E1845" s="46" t="s">
        <v>35</v>
      </c>
      <c r="F1845" s="46" t="s">
        <v>50646</v>
      </c>
      <c r="G1845" s="46" t="s">
        <v>50584</v>
      </c>
      <c r="H1845" s="48" t="s">
        <v>56716</v>
      </c>
      <c r="I1845" s="48" t="s">
        <v>50564</v>
      </c>
      <c r="J1845" s="48"/>
      <c r="K1845" s="50" t="s">
        <v>56716</v>
      </c>
      <c r="L1845" s="48" t="s">
        <v>56716</v>
      </c>
    </row>
    <row r="1846" spans="1:12" s="37" customFormat="1" ht="11.25" x14ac:dyDescent="0.2">
      <c r="A1846" s="46" t="s">
        <v>16631</v>
      </c>
      <c r="B1846" s="46" t="s">
        <v>51864</v>
      </c>
      <c r="C1846" s="58" t="str">
        <f>"20450907"</f>
        <v>20450907</v>
      </c>
      <c r="D1846" s="58" t="str">
        <f>"20450915"</f>
        <v>20450915</v>
      </c>
      <c r="E1846" s="46" t="s">
        <v>8442</v>
      </c>
      <c r="F1846" s="46" t="s">
        <v>50646</v>
      </c>
      <c r="G1846" s="46" t="s">
        <v>50584</v>
      </c>
      <c r="H1846" s="48" t="s">
        <v>56716</v>
      </c>
      <c r="I1846" s="48" t="s">
        <v>50564</v>
      </c>
      <c r="J1846" s="48" t="s">
        <v>56716</v>
      </c>
      <c r="K1846" s="50"/>
      <c r="L1846" s="48" t="s">
        <v>56716</v>
      </c>
    </row>
    <row r="1847" spans="1:12" s="37" customFormat="1" ht="11.25" x14ac:dyDescent="0.2">
      <c r="A1847" s="46" t="s">
        <v>7850</v>
      </c>
      <c r="B1847" s="46" t="s">
        <v>51865</v>
      </c>
      <c r="C1847" s="58" t="str">
        <f>"10928529"</f>
        <v>10928529</v>
      </c>
      <c r="D1847" s="58" t="str">
        <f>""</f>
        <v/>
      </c>
      <c r="E1847" s="46" t="s">
        <v>724</v>
      </c>
      <c r="F1847" s="46" t="s">
        <v>50646</v>
      </c>
      <c r="G1847" s="46" t="s">
        <v>50584</v>
      </c>
      <c r="H1847" s="48" t="s">
        <v>56716</v>
      </c>
      <c r="I1847" s="48" t="s">
        <v>50564</v>
      </c>
      <c r="J1847" s="48" t="s">
        <v>56716</v>
      </c>
      <c r="K1847" s="50" t="s">
        <v>56716</v>
      </c>
      <c r="L1847" s="48" t="s">
        <v>56716</v>
      </c>
    </row>
    <row r="1848" spans="1:12" s="37" customFormat="1" ht="11.25" x14ac:dyDescent="0.2">
      <c r="A1848" s="45" t="s">
        <v>25720</v>
      </c>
      <c r="B1848" s="45" t="s">
        <v>25722</v>
      </c>
      <c r="C1848" s="51" t="s">
        <v>25724</v>
      </c>
      <c r="D1848" s="51" t="s">
        <v>25723</v>
      </c>
      <c r="E1848" s="45" t="s">
        <v>19396</v>
      </c>
      <c r="F1848" s="45" t="s">
        <v>50646</v>
      </c>
      <c r="G1848" s="45" t="s">
        <v>50584</v>
      </c>
      <c r="H1848" s="56"/>
      <c r="I1848" s="56" t="s">
        <v>50564</v>
      </c>
      <c r="J1848" s="56"/>
      <c r="K1848" s="50"/>
      <c r="L1848" s="56" t="s">
        <v>56716</v>
      </c>
    </row>
    <row r="1849" spans="1:12" s="37" customFormat="1" ht="11.25" x14ac:dyDescent="0.2">
      <c r="A1849" s="46" t="s">
        <v>13070</v>
      </c>
      <c r="B1849" s="46" t="s">
        <v>51866</v>
      </c>
      <c r="C1849" s="58" t="str">
        <f>"13071068"</f>
        <v>13071068</v>
      </c>
      <c r="D1849" s="58" t="str">
        <f>"13085271"</f>
        <v>13085271</v>
      </c>
      <c r="E1849" s="46" t="s">
        <v>6173</v>
      </c>
      <c r="F1849" s="46" t="s">
        <v>18396</v>
      </c>
      <c r="G1849" s="46" t="s">
        <v>50638</v>
      </c>
      <c r="H1849" s="48" t="s">
        <v>56716</v>
      </c>
      <c r="I1849" s="48" t="s">
        <v>50564</v>
      </c>
      <c r="J1849" s="48"/>
      <c r="K1849" s="50"/>
      <c r="L1849" s="48"/>
    </row>
    <row r="1850" spans="1:12" s="37" customFormat="1" ht="11.25" x14ac:dyDescent="0.2">
      <c r="A1850" s="46" t="s">
        <v>5604</v>
      </c>
      <c r="B1850" s="46" t="s">
        <v>51867</v>
      </c>
      <c r="C1850" s="58" t="str">
        <f>"00100161"</f>
        <v>00100161</v>
      </c>
      <c r="D1850" s="58" t="str">
        <f>""</f>
        <v/>
      </c>
      <c r="E1850" s="46" t="s">
        <v>5606</v>
      </c>
      <c r="F1850" s="46" t="s">
        <v>18396</v>
      </c>
      <c r="G1850" s="46" t="s">
        <v>50638</v>
      </c>
      <c r="H1850" s="48" t="s">
        <v>56716</v>
      </c>
      <c r="I1850" s="48" t="s">
        <v>50564</v>
      </c>
      <c r="J1850" s="48"/>
      <c r="K1850" s="50"/>
      <c r="L1850" s="48"/>
    </row>
    <row r="1851" spans="1:12" s="37" customFormat="1" ht="11.25" x14ac:dyDescent="0.2">
      <c r="A1851" s="45" t="s">
        <v>25734</v>
      </c>
      <c r="B1851" s="45" t="s">
        <v>25736</v>
      </c>
      <c r="C1851" s="51"/>
      <c r="D1851" s="51" t="s">
        <v>25738</v>
      </c>
      <c r="E1851" s="45" t="s">
        <v>50663</v>
      </c>
      <c r="F1851" s="45" t="s">
        <v>18058</v>
      </c>
      <c r="G1851" s="45" t="s">
        <v>50611</v>
      </c>
      <c r="H1851" s="56"/>
      <c r="I1851" s="56" t="s">
        <v>50564</v>
      </c>
      <c r="J1851" s="56"/>
      <c r="K1851" s="50"/>
      <c r="L1851" s="56" t="s">
        <v>56716</v>
      </c>
    </row>
    <row r="1852" spans="1:12" s="37" customFormat="1" ht="11.25" x14ac:dyDescent="0.2">
      <c r="A1852" s="46" t="s">
        <v>56018</v>
      </c>
      <c r="B1852" s="46" t="s">
        <v>56019</v>
      </c>
      <c r="C1852" s="58" t="str">
        <f>""</f>
        <v/>
      </c>
      <c r="D1852" s="58" t="str">
        <f>"2331205X"</f>
        <v>2331205X</v>
      </c>
      <c r="E1852" s="46" t="s">
        <v>56020</v>
      </c>
      <c r="F1852" s="46" t="s">
        <v>50646</v>
      </c>
      <c r="G1852" s="46" t="s">
        <v>50584</v>
      </c>
      <c r="H1852" s="48" t="s">
        <v>56716</v>
      </c>
      <c r="I1852" s="48" t="s">
        <v>50564</v>
      </c>
      <c r="J1852" s="48" t="s">
        <v>56716</v>
      </c>
      <c r="K1852" s="50"/>
      <c r="L1852" s="48"/>
    </row>
    <row r="1853" spans="1:12" s="37" customFormat="1" ht="11.25" x14ac:dyDescent="0.2">
      <c r="A1853" s="46" t="s">
        <v>7898</v>
      </c>
      <c r="B1853" s="46" t="s">
        <v>7898</v>
      </c>
      <c r="C1853" s="58" t="str">
        <f>"00100277"</f>
        <v>00100277</v>
      </c>
      <c r="D1853" s="58" t="str">
        <f>"18737838"</f>
        <v>18737838</v>
      </c>
      <c r="E1853" s="46" t="s">
        <v>91</v>
      </c>
      <c r="F1853" s="46" t="s">
        <v>18001</v>
      </c>
      <c r="G1853" s="46" t="s">
        <v>50584</v>
      </c>
      <c r="H1853" s="48" t="s">
        <v>56716</v>
      </c>
      <c r="I1853" s="48" t="s">
        <v>50564</v>
      </c>
      <c r="J1853" s="48" t="s">
        <v>56716</v>
      </c>
      <c r="K1853" s="50" t="s">
        <v>56716</v>
      </c>
      <c r="L1853" s="48" t="s">
        <v>56716</v>
      </c>
    </row>
    <row r="1854" spans="1:12" s="37" customFormat="1" ht="11.25" x14ac:dyDescent="0.2">
      <c r="A1854" s="46" t="s">
        <v>8277</v>
      </c>
      <c r="B1854" s="46" t="s">
        <v>51868</v>
      </c>
      <c r="C1854" s="58" t="str">
        <f>"02699931"</f>
        <v>02699931</v>
      </c>
      <c r="D1854" s="58" t="str">
        <f>"14640600"</f>
        <v>14640600</v>
      </c>
      <c r="E1854" s="46" t="s">
        <v>689</v>
      </c>
      <c r="F1854" s="46" t="s">
        <v>50646</v>
      </c>
      <c r="G1854" s="46" t="s">
        <v>50584</v>
      </c>
      <c r="H1854" s="48" t="s">
        <v>56716</v>
      </c>
      <c r="I1854" s="48" t="s">
        <v>50564</v>
      </c>
      <c r="J1854" s="48" t="s">
        <v>56716</v>
      </c>
      <c r="K1854" s="50" t="s">
        <v>56716</v>
      </c>
      <c r="L1854" s="48" t="s">
        <v>56716</v>
      </c>
    </row>
    <row r="1855" spans="1:12" s="37" customFormat="1" ht="11.25" x14ac:dyDescent="0.2">
      <c r="A1855" s="46" t="s">
        <v>9805</v>
      </c>
      <c r="B1855" s="46" t="s">
        <v>51869</v>
      </c>
      <c r="C1855" s="58" t="str">
        <f>"15433633"</f>
        <v>15433633</v>
      </c>
      <c r="D1855" s="58" t="str">
        <f>"15370887"</f>
        <v>15370887</v>
      </c>
      <c r="E1855" s="46" t="s">
        <v>28</v>
      </c>
      <c r="F1855" s="46" t="s">
        <v>17759</v>
      </c>
      <c r="G1855" s="46" t="s">
        <v>50584</v>
      </c>
      <c r="H1855" s="48" t="s">
        <v>56716</v>
      </c>
      <c r="I1855" s="48" t="s">
        <v>50564</v>
      </c>
      <c r="J1855" s="48" t="s">
        <v>56716</v>
      </c>
      <c r="K1855" s="50"/>
      <c r="L1855" s="48" t="s">
        <v>56716</v>
      </c>
    </row>
    <row r="1856" spans="1:12" s="37" customFormat="1" ht="11.25" x14ac:dyDescent="0.2">
      <c r="A1856" s="46" t="s">
        <v>6519</v>
      </c>
      <c r="B1856" s="46" t="s">
        <v>51870</v>
      </c>
      <c r="C1856" s="58" t="str">
        <f>"10777229"</f>
        <v>10777229</v>
      </c>
      <c r="D1856" s="58" t="str">
        <f>"1878187X"</f>
        <v>1878187X</v>
      </c>
      <c r="E1856" s="46" t="s">
        <v>272</v>
      </c>
      <c r="F1856" s="46" t="s">
        <v>17759</v>
      </c>
      <c r="G1856" s="46" t="s">
        <v>50584</v>
      </c>
      <c r="H1856" s="48" t="s">
        <v>56716</v>
      </c>
      <c r="I1856" s="48" t="s">
        <v>50564</v>
      </c>
      <c r="J1856" s="48" t="s">
        <v>56716</v>
      </c>
      <c r="K1856" s="50" t="s">
        <v>56716</v>
      </c>
      <c r="L1856" s="48"/>
    </row>
    <row r="1857" spans="1:12" s="37" customFormat="1" ht="11.25" x14ac:dyDescent="0.2">
      <c r="A1857" s="45" t="s">
        <v>25755</v>
      </c>
      <c r="B1857" s="45" t="s">
        <v>25757</v>
      </c>
      <c r="C1857" s="51" t="s">
        <v>25760</v>
      </c>
      <c r="D1857" s="51" t="s">
        <v>25759</v>
      </c>
      <c r="E1857" s="45" t="s">
        <v>291</v>
      </c>
      <c r="F1857" s="45" t="s">
        <v>50646</v>
      </c>
      <c r="G1857" s="45" t="s">
        <v>50584</v>
      </c>
      <c r="H1857" s="56"/>
      <c r="I1857" s="56" t="s">
        <v>50564</v>
      </c>
      <c r="J1857" s="56"/>
      <c r="K1857" s="50"/>
      <c r="L1857" s="56" t="s">
        <v>56716</v>
      </c>
    </row>
    <row r="1858" spans="1:12" s="37" customFormat="1" ht="11.25" x14ac:dyDescent="0.2">
      <c r="A1858" s="46" t="s">
        <v>11726</v>
      </c>
      <c r="B1858" s="46" t="s">
        <v>51871</v>
      </c>
      <c r="C1858" s="58" t="str">
        <f>"18714080"</f>
        <v>18714080</v>
      </c>
      <c r="D1858" s="58" t="str">
        <f>"18714099"</f>
        <v>18714099</v>
      </c>
      <c r="E1858" s="46" t="s">
        <v>18876</v>
      </c>
      <c r="F1858" s="46" t="s">
        <v>18001</v>
      </c>
      <c r="G1858" s="46" t="s">
        <v>50584</v>
      </c>
      <c r="H1858" s="48" t="s">
        <v>56716</v>
      </c>
      <c r="I1858" s="48" t="s">
        <v>50564</v>
      </c>
      <c r="J1858" s="48"/>
      <c r="K1858" s="50" t="s">
        <v>56716</v>
      </c>
      <c r="L1858" s="48"/>
    </row>
    <row r="1859" spans="1:12" s="37" customFormat="1" ht="11.25" x14ac:dyDescent="0.2">
      <c r="A1859" s="46" t="s">
        <v>8074</v>
      </c>
      <c r="B1859" s="46" t="s">
        <v>51872</v>
      </c>
      <c r="C1859" s="58" t="str">
        <f>"13546805"</f>
        <v>13546805</v>
      </c>
      <c r="D1859" s="58" t="str">
        <f>"14640619"</f>
        <v>14640619</v>
      </c>
      <c r="E1859" s="46" t="s">
        <v>689</v>
      </c>
      <c r="F1859" s="46" t="s">
        <v>50646</v>
      </c>
      <c r="G1859" s="46" t="s">
        <v>50584</v>
      </c>
      <c r="H1859" s="48" t="s">
        <v>56716</v>
      </c>
      <c r="I1859" s="48" t="s">
        <v>50564</v>
      </c>
      <c r="J1859" s="48" t="s">
        <v>56716</v>
      </c>
      <c r="K1859" s="50" t="s">
        <v>56716</v>
      </c>
      <c r="L1859" s="48" t="s">
        <v>56716</v>
      </c>
    </row>
    <row r="1860" spans="1:12" s="37" customFormat="1" ht="11.25" x14ac:dyDescent="0.2">
      <c r="A1860" s="45" t="s">
        <v>25767</v>
      </c>
      <c r="B1860" s="45" t="s">
        <v>25769</v>
      </c>
      <c r="C1860" s="51" t="s">
        <v>25771</v>
      </c>
      <c r="D1860" s="51" t="s">
        <v>25770</v>
      </c>
      <c r="E1860" s="45" t="s">
        <v>291</v>
      </c>
      <c r="F1860" s="45" t="s">
        <v>50646</v>
      </c>
      <c r="G1860" s="45" t="s">
        <v>50584</v>
      </c>
      <c r="H1860" s="56"/>
      <c r="I1860" s="56" t="s">
        <v>50564</v>
      </c>
      <c r="J1860" s="56"/>
      <c r="K1860" s="50"/>
      <c r="L1860" s="56" t="s">
        <v>56716</v>
      </c>
    </row>
    <row r="1861" spans="1:12" s="37" customFormat="1" ht="11.25" x14ac:dyDescent="0.2">
      <c r="A1861" s="46" t="s">
        <v>14751</v>
      </c>
      <c r="B1861" s="46" t="s">
        <v>51873</v>
      </c>
      <c r="C1861" s="58" t="str">
        <f>"17588928"</f>
        <v>17588928</v>
      </c>
      <c r="D1861" s="58" t="str">
        <f>"17588936"</f>
        <v>17588936</v>
      </c>
      <c r="E1861" s="46" t="s">
        <v>14754</v>
      </c>
      <c r="F1861" s="46" t="s">
        <v>50646</v>
      </c>
      <c r="G1861" s="46" t="s">
        <v>50584</v>
      </c>
      <c r="H1861" s="48" t="s">
        <v>56716</v>
      </c>
      <c r="I1861" s="48" t="s">
        <v>50564</v>
      </c>
      <c r="J1861" s="48"/>
      <c r="K1861" s="50" t="s">
        <v>56716</v>
      </c>
      <c r="L1861" s="48" t="s">
        <v>56716</v>
      </c>
    </row>
    <row r="1862" spans="1:12" s="37" customFormat="1" ht="11.25" x14ac:dyDescent="0.2">
      <c r="A1862" s="46" t="s">
        <v>10583</v>
      </c>
      <c r="B1862" s="46" t="s">
        <v>51874</v>
      </c>
      <c r="C1862" s="58" t="str">
        <f>"16124782"</f>
        <v>16124782</v>
      </c>
      <c r="D1862" s="58" t="str">
        <f>"16124790"</f>
        <v>16124790</v>
      </c>
      <c r="E1862" s="46" t="s">
        <v>167</v>
      </c>
      <c r="F1862" s="46" t="s">
        <v>18158</v>
      </c>
      <c r="G1862" s="46" t="s">
        <v>50584</v>
      </c>
      <c r="H1862" s="48" t="s">
        <v>56716</v>
      </c>
      <c r="I1862" s="48" t="s">
        <v>50564</v>
      </c>
      <c r="J1862" s="48" t="s">
        <v>56716</v>
      </c>
      <c r="K1862" s="50" t="s">
        <v>56716</v>
      </c>
      <c r="L1862" s="48" t="s">
        <v>56716</v>
      </c>
    </row>
    <row r="1863" spans="1:12" s="37" customFormat="1" ht="11.25" x14ac:dyDescent="0.2">
      <c r="A1863" s="45" t="s">
        <v>25781</v>
      </c>
      <c r="B1863" s="45" t="s">
        <v>25783</v>
      </c>
      <c r="C1863" s="51" t="s">
        <v>25785</v>
      </c>
      <c r="D1863" s="51" t="s">
        <v>25784</v>
      </c>
      <c r="E1863" s="45" t="s">
        <v>601</v>
      </c>
      <c r="F1863" s="45" t="s">
        <v>17759</v>
      </c>
      <c r="G1863" s="45" t="s">
        <v>50584</v>
      </c>
      <c r="H1863" s="56"/>
      <c r="I1863" s="56" t="s">
        <v>50564</v>
      </c>
      <c r="J1863" s="56"/>
      <c r="K1863" s="50"/>
      <c r="L1863" s="56" t="s">
        <v>56716</v>
      </c>
    </row>
    <row r="1864" spans="1:12" s="37" customFormat="1" ht="11.25" x14ac:dyDescent="0.2">
      <c r="A1864" s="45" t="s">
        <v>25787</v>
      </c>
      <c r="B1864" s="45" t="s">
        <v>25789</v>
      </c>
      <c r="C1864" s="51" t="s">
        <v>25792</v>
      </c>
      <c r="D1864" s="51" t="s">
        <v>25791</v>
      </c>
      <c r="E1864" s="45" t="s">
        <v>970</v>
      </c>
      <c r="F1864" s="45" t="s">
        <v>17759</v>
      </c>
      <c r="G1864" s="45" t="s">
        <v>50584</v>
      </c>
      <c r="H1864" s="56"/>
      <c r="I1864" s="56" t="s">
        <v>50564</v>
      </c>
      <c r="J1864" s="56"/>
      <c r="K1864" s="50"/>
      <c r="L1864" s="56" t="s">
        <v>56716</v>
      </c>
    </row>
    <row r="1865" spans="1:12" s="37" customFormat="1" ht="11.25" x14ac:dyDescent="0.2">
      <c r="A1865" s="46" t="s">
        <v>8481</v>
      </c>
      <c r="B1865" s="46" t="s">
        <v>51875</v>
      </c>
      <c r="C1865" s="58" t="str">
        <f>""</f>
        <v/>
      </c>
      <c r="D1865" s="58" t="str">
        <f>"13890417"</f>
        <v>13890417</v>
      </c>
      <c r="E1865" s="46" t="s">
        <v>91</v>
      </c>
      <c r="F1865" s="46" t="s">
        <v>18001</v>
      </c>
      <c r="G1865" s="46" t="s">
        <v>50584</v>
      </c>
      <c r="H1865" s="48" t="s">
        <v>56716</v>
      </c>
      <c r="I1865" s="48" t="s">
        <v>50564</v>
      </c>
      <c r="J1865" s="48" t="s">
        <v>56716</v>
      </c>
      <c r="K1865" s="50"/>
      <c r="L1865" s="48"/>
    </row>
    <row r="1866" spans="1:12" s="37" customFormat="1" ht="11.25" x14ac:dyDescent="0.2">
      <c r="A1866" s="46" t="s">
        <v>1311</v>
      </c>
      <c r="B1866" s="46" t="s">
        <v>51876</v>
      </c>
      <c r="C1866" s="58" t="str">
        <f>"01475916"</f>
        <v>01475916</v>
      </c>
      <c r="D1866" s="58" t="str">
        <f>"15732819"</f>
        <v>15732819</v>
      </c>
      <c r="E1866" s="46" t="s">
        <v>56305</v>
      </c>
      <c r="F1866" s="46" t="s">
        <v>17759</v>
      </c>
      <c r="G1866" s="46" t="s">
        <v>50584</v>
      </c>
      <c r="H1866" s="48" t="s">
        <v>56716</v>
      </c>
      <c r="I1866" s="48" t="s">
        <v>50564</v>
      </c>
      <c r="J1866" s="48"/>
      <c r="K1866" s="50" t="s">
        <v>56716</v>
      </c>
      <c r="L1866" s="48"/>
    </row>
    <row r="1867" spans="1:12" s="37" customFormat="1" ht="11.25" x14ac:dyDescent="0.2">
      <c r="A1867" s="45" t="s">
        <v>25794</v>
      </c>
      <c r="B1867" s="45" t="s">
        <v>25796</v>
      </c>
      <c r="C1867" s="51" t="s">
        <v>25799</v>
      </c>
      <c r="D1867" s="51" t="s">
        <v>25798</v>
      </c>
      <c r="E1867" s="45" t="s">
        <v>17783</v>
      </c>
      <c r="F1867" s="45" t="s">
        <v>17759</v>
      </c>
      <c r="G1867" s="45" t="s">
        <v>50584</v>
      </c>
      <c r="H1867" s="56"/>
      <c r="I1867" s="56" t="s">
        <v>50564</v>
      </c>
      <c r="J1867" s="56"/>
      <c r="K1867" s="50"/>
      <c r="L1867" s="56" t="s">
        <v>56716</v>
      </c>
    </row>
    <row r="1868" spans="1:12" s="37" customFormat="1" ht="11.25" x14ac:dyDescent="0.2">
      <c r="A1868" s="45" t="s">
        <v>25801</v>
      </c>
      <c r="B1868" s="45" t="s">
        <v>25803</v>
      </c>
      <c r="C1868" s="51"/>
      <c r="D1868" s="51" t="s">
        <v>25804</v>
      </c>
      <c r="E1868" s="45" t="s">
        <v>1307</v>
      </c>
      <c r="F1868" s="45" t="s">
        <v>17759</v>
      </c>
      <c r="G1868" s="45" t="s">
        <v>50584</v>
      </c>
      <c r="H1868" s="56"/>
      <c r="I1868" s="56" t="s">
        <v>50564</v>
      </c>
      <c r="J1868" s="56"/>
      <c r="K1868" s="50"/>
      <c r="L1868" s="56" t="s">
        <v>56716</v>
      </c>
    </row>
    <row r="1869" spans="1:12" s="37" customFormat="1" ht="11.25" x14ac:dyDescent="0.2">
      <c r="A1869" s="46" t="s">
        <v>17078</v>
      </c>
      <c r="B1869" s="46" t="s">
        <v>51877</v>
      </c>
      <c r="C1869" s="58" t="str">
        <f>""</f>
        <v/>
      </c>
      <c r="D1869" s="58" t="str">
        <f>"21571422"</f>
        <v>21571422</v>
      </c>
      <c r="E1869" s="46" t="s">
        <v>1307</v>
      </c>
      <c r="F1869" s="46" t="s">
        <v>17759</v>
      </c>
      <c r="G1869" s="46" t="s">
        <v>50584</v>
      </c>
      <c r="H1869" s="48" t="s">
        <v>56716</v>
      </c>
      <c r="I1869" s="48" t="s">
        <v>50564</v>
      </c>
      <c r="J1869" s="48"/>
      <c r="K1869" s="50"/>
      <c r="L1869" s="48" t="s">
        <v>56716</v>
      </c>
    </row>
    <row r="1870" spans="1:12" s="37" customFormat="1" ht="11.25" x14ac:dyDescent="0.2">
      <c r="A1870" s="46" t="s">
        <v>12235</v>
      </c>
      <c r="B1870" s="46" t="s">
        <v>51878</v>
      </c>
      <c r="C1870" s="58" t="str">
        <f>"19403402"</f>
        <v>19403402</v>
      </c>
      <c r="D1870" s="58" t="str">
        <f>"15596095"</f>
        <v>15596095</v>
      </c>
      <c r="E1870" s="46" t="s">
        <v>1307</v>
      </c>
      <c r="F1870" s="46" t="s">
        <v>17759</v>
      </c>
      <c r="G1870" s="46" t="s">
        <v>50584</v>
      </c>
      <c r="H1870" s="48" t="s">
        <v>56716</v>
      </c>
      <c r="I1870" s="48" t="s">
        <v>50564</v>
      </c>
      <c r="J1870" s="48"/>
      <c r="K1870" s="50"/>
      <c r="L1870" s="48" t="s">
        <v>56716</v>
      </c>
    </row>
    <row r="1871" spans="1:12" s="37" customFormat="1" ht="11.25" x14ac:dyDescent="0.2">
      <c r="A1871" s="46" t="s">
        <v>1305</v>
      </c>
      <c r="B1871" s="46" t="s">
        <v>51879</v>
      </c>
      <c r="C1871" s="58" t="str">
        <f>"00917451"</f>
        <v>00917451</v>
      </c>
      <c r="D1871" s="58" t="str">
        <f>""</f>
        <v/>
      </c>
      <c r="E1871" s="46" t="s">
        <v>1307</v>
      </c>
      <c r="F1871" s="46" t="s">
        <v>17759</v>
      </c>
      <c r="G1871" s="46" t="s">
        <v>50584</v>
      </c>
      <c r="H1871" s="48" t="s">
        <v>56716</v>
      </c>
      <c r="I1871" s="48" t="s">
        <v>50565</v>
      </c>
      <c r="J1871" s="48" t="s">
        <v>56716</v>
      </c>
      <c r="K1871" s="50"/>
      <c r="L1871" s="48" t="s">
        <v>56716</v>
      </c>
    </row>
    <row r="1872" spans="1:12" s="37" customFormat="1" ht="11.25" x14ac:dyDescent="0.2">
      <c r="A1872" s="45" t="s">
        <v>25820</v>
      </c>
      <c r="B1872" s="45" t="s">
        <v>25822</v>
      </c>
      <c r="C1872" s="51" t="s">
        <v>25823</v>
      </c>
      <c r="D1872" s="51"/>
      <c r="E1872" s="45" t="s">
        <v>25824</v>
      </c>
      <c r="F1872" s="45" t="s">
        <v>20082</v>
      </c>
      <c r="G1872" s="45" t="s">
        <v>50584</v>
      </c>
      <c r="H1872" s="56"/>
      <c r="I1872" s="56" t="s">
        <v>50564</v>
      </c>
      <c r="J1872" s="56"/>
      <c r="K1872" s="50"/>
      <c r="L1872" s="56" t="s">
        <v>56716</v>
      </c>
    </row>
    <row r="1873" spans="1:12" s="37" customFormat="1" ht="11.25" x14ac:dyDescent="0.2">
      <c r="A1873" s="45" t="s">
        <v>25826</v>
      </c>
      <c r="B1873" s="45" t="s">
        <v>25828</v>
      </c>
      <c r="C1873" s="51" t="s">
        <v>25829</v>
      </c>
      <c r="D1873" s="51"/>
      <c r="E1873" s="45" t="s">
        <v>25830</v>
      </c>
      <c r="F1873" s="45" t="s">
        <v>18079</v>
      </c>
      <c r="G1873" s="45" t="s">
        <v>50584</v>
      </c>
      <c r="H1873" s="56"/>
      <c r="I1873" s="56" t="s">
        <v>50564</v>
      </c>
      <c r="J1873" s="56"/>
      <c r="K1873" s="50"/>
      <c r="L1873" s="56" t="s">
        <v>56716</v>
      </c>
    </row>
    <row r="1874" spans="1:12" s="37" customFormat="1" ht="11.25" x14ac:dyDescent="0.2">
      <c r="A1874" s="46" t="s">
        <v>6762</v>
      </c>
      <c r="B1874" s="46" t="s">
        <v>51880</v>
      </c>
      <c r="C1874" s="58" t="str">
        <f>"0303402X"</f>
        <v>0303402X</v>
      </c>
      <c r="D1874" s="58" t="str">
        <f>"14351536"</f>
        <v>14351536</v>
      </c>
      <c r="E1874" s="46" t="s">
        <v>167</v>
      </c>
      <c r="F1874" s="46" t="s">
        <v>18158</v>
      </c>
      <c r="G1874" s="46" t="s">
        <v>50584</v>
      </c>
      <c r="H1874" s="48" t="s">
        <v>56716</v>
      </c>
      <c r="I1874" s="48" t="s">
        <v>50564</v>
      </c>
      <c r="J1874" s="48" t="s">
        <v>56716</v>
      </c>
      <c r="K1874" s="50" t="s">
        <v>56716</v>
      </c>
      <c r="L1874" s="48"/>
    </row>
    <row r="1875" spans="1:12" s="37" customFormat="1" ht="11.25" x14ac:dyDescent="0.2">
      <c r="A1875" s="46" t="s">
        <v>6756</v>
      </c>
      <c r="B1875" s="46" t="s">
        <v>51881</v>
      </c>
      <c r="C1875" s="58" t="str">
        <f>"09277757"</f>
        <v>09277757</v>
      </c>
      <c r="D1875" s="58" t="str">
        <f>"18734359"</f>
        <v>18734359</v>
      </c>
      <c r="E1875" s="46" t="s">
        <v>91</v>
      </c>
      <c r="F1875" s="46" t="s">
        <v>18001</v>
      </c>
      <c r="G1875" s="46" t="s">
        <v>50584</v>
      </c>
      <c r="H1875" s="48" t="s">
        <v>56716</v>
      </c>
      <c r="I1875" s="48" t="s">
        <v>50564</v>
      </c>
      <c r="J1875" s="48" t="s">
        <v>56716</v>
      </c>
      <c r="K1875" s="50" t="s">
        <v>56716</v>
      </c>
      <c r="L1875" s="48"/>
    </row>
    <row r="1876" spans="1:12" s="37" customFormat="1" ht="11.25" x14ac:dyDescent="0.2">
      <c r="A1876" s="46" t="s">
        <v>6759</v>
      </c>
      <c r="B1876" s="46" t="s">
        <v>51882</v>
      </c>
      <c r="C1876" s="58" t="str">
        <f>"09277765"</f>
        <v>09277765</v>
      </c>
      <c r="D1876" s="58" t="str">
        <f>"18734367"</f>
        <v>18734367</v>
      </c>
      <c r="E1876" s="46" t="s">
        <v>91</v>
      </c>
      <c r="F1876" s="46" t="s">
        <v>18001</v>
      </c>
      <c r="G1876" s="46" t="s">
        <v>50584</v>
      </c>
      <c r="H1876" s="48" t="s">
        <v>56716</v>
      </c>
      <c r="I1876" s="48" t="s">
        <v>50564</v>
      </c>
      <c r="J1876" s="48" t="s">
        <v>56716</v>
      </c>
      <c r="K1876" s="50" t="s">
        <v>56716</v>
      </c>
      <c r="L1876" s="48" t="s">
        <v>56716</v>
      </c>
    </row>
    <row r="1877" spans="1:12" s="37" customFormat="1" ht="11.25" x14ac:dyDescent="0.2">
      <c r="A1877" s="46" t="s">
        <v>11080</v>
      </c>
      <c r="B1877" s="46" t="s">
        <v>51883</v>
      </c>
      <c r="C1877" s="58" t="str">
        <f>"01208322"</f>
        <v>01208322</v>
      </c>
      <c r="D1877" s="58" t="str">
        <f>"16579534"</f>
        <v>16579534</v>
      </c>
      <c r="E1877" s="46" t="s">
        <v>11083</v>
      </c>
      <c r="F1877" s="46" t="s">
        <v>22591</v>
      </c>
      <c r="G1877" s="46" t="s">
        <v>50632</v>
      </c>
      <c r="H1877" s="48" t="s">
        <v>56716</v>
      </c>
      <c r="I1877" s="48" t="s">
        <v>50564</v>
      </c>
      <c r="J1877" s="48"/>
      <c r="K1877" s="50"/>
      <c r="L1877" s="48" t="s">
        <v>56716</v>
      </c>
    </row>
    <row r="1878" spans="1:12" s="37" customFormat="1" ht="11.25" x14ac:dyDescent="0.2">
      <c r="A1878" s="46" t="s">
        <v>7323</v>
      </c>
      <c r="B1878" s="46" t="s">
        <v>7323</v>
      </c>
      <c r="C1878" s="58" t="str">
        <f>"01742442"</f>
        <v>01742442</v>
      </c>
      <c r="D1878" s="58" t="str">
        <f>"16156730"</f>
        <v>16156730</v>
      </c>
      <c r="E1878" s="46" t="s">
        <v>6022</v>
      </c>
      <c r="F1878" s="46" t="s">
        <v>18158</v>
      </c>
      <c r="G1878" s="46" t="s">
        <v>50592</v>
      </c>
      <c r="H1878" s="48" t="s">
        <v>56716</v>
      </c>
      <c r="I1878" s="48" t="s">
        <v>50564</v>
      </c>
      <c r="J1878" s="48"/>
      <c r="K1878" s="50" t="s">
        <v>56716</v>
      </c>
      <c r="L1878" s="48"/>
    </row>
    <row r="1879" spans="1:12" s="37" customFormat="1" ht="11.25" x14ac:dyDescent="0.2">
      <c r="A1879" s="45" t="s">
        <v>25838</v>
      </c>
      <c r="B1879" s="45" t="s">
        <v>25840</v>
      </c>
      <c r="C1879" s="51" t="s">
        <v>25842</v>
      </c>
      <c r="D1879" s="51"/>
      <c r="E1879" s="45" t="s">
        <v>25843</v>
      </c>
      <c r="F1879" s="45" t="s">
        <v>17759</v>
      </c>
      <c r="G1879" s="45" t="s">
        <v>50584</v>
      </c>
      <c r="H1879" s="56"/>
      <c r="I1879" s="56" t="s">
        <v>50564</v>
      </c>
      <c r="J1879" s="56"/>
      <c r="K1879" s="50"/>
      <c r="L1879" s="56" t="s">
        <v>56716</v>
      </c>
    </row>
    <row r="1880" spans="1:12" s="37" customFormat="1" ht="11.25" x14ac:dyDescent="0.2">
      <c r="A1880" s="46" t="s">
        <v>16413</v>
      </c>
      <c r="B1880" s="46" t="s">
        <v>16413</v>
      </c>
      <c r="C1880" s="58" t="str">
        <f>"1758194X"</f>
        <v>1758194X</v>
      </c>
      <c r="D1880" s="58" t="str">
        <f>"17581958"</f>
        <v>17581958</v>
      </c>
      <c r="E1880" s="46" t="s">
        <v>8442</v>
      </c>
      <c r="F1880" s="46" t="s">
        <v>50646</v>
      </c>
      <c r="G1880" s="46" t="s">
        <v>50584</v>
      </c>
      <c r="H1880" s="48" t="s">
        <v>56716</v>
      </c>
      <c r="I1880" s="48" t="s">
        <v>50564</v>
      </c>
      <c r="J1880" s="48" t="s">
        <v>56716</v>
      </c>
      <c r="K1880" s="50"/>
      <c r="L1880" s="48"/>
    </row>
    <row r="1881" spans="1:12" s="37" customFormat="1" ht="11.25" x14ac:dyDescent="0.2">
      <c r="A1881" s="46" t="s">
        <v>8045</v>
      </c>
      <c r="B1881" s="46" t="s">
        <v>51884</v>
      </c>
      <c r="C1881" s="58" t="str">
        <f>"14628910"</f>
        <v>14628910</v>
      </c>
      <c r="D1881" s="58" t="str">
        <f>"14631318"</f>
        <v>14631318</v>
      </c>
      <c r="E1881" s="46" t="s">
        <v>35</v>
      </c>
      <c r="F1881" s="46" t="s">
        <v>50646</v>
      </c>
      <c r="G1881" s="46" t="s">
        <v>50584</v>
      </c>
      <c r="H1881" s="48" t="s">
        <v>56716</v>
      </c>
      <c r="I1881" s="48" t="s">
        <v>50564</v>
      </c>
      <c r="J1881" s="48" t="s">
        <v>56716</v>
      </c>
      <c r="K1881" s="50"/>
      <c r="L1881" s="48" t="s">
        <v>56716</v>
      </c>
    </row>
    <row r="1882" spans="1:12" s="37" customFormat="1" ht="11.25" x14ac:dyDescent="0.2">
      <c r="A1882" s="46" t="s">
        <v>16445</v>
      </c>
      <c r="B1882" s="46" t="s">
        <v>51885</v>
      </c>
      <c r="C1882" s="58" t="str">
        <f>"21955859"</f>
        <v>21955859</v>
      </c>
      <c r="D1882" s="58" t="str">
        <f>"21909180"</f>
        <v>21909180</v>
      </c>
      <c r="E1882" s="46" t="s">
        <v>17556</v>
      </c>
      <c r="F1882" s="46" t="s">
        <v>17759</v>
      </c>
      <c r="G1882" s="46" t="s">
        <v>50584</v>
      </c>
      <c r="H1882" s="48" t="s">
        <v>56716</v>
      </c>
      <c r="I1882" s="48" t="s">
        <v>50564</v>
      </c>
      <c r="J1882" s="48" t="s">
        <v>56716</v>
      </c>
      <c r="K1882" s="50"/>
      <c r="L1882" s="48"/>
    </row>
    <row r="1883" spans="1:12" s="37" customFormat="1" ht="11.25" x14ac:dyDescent="0.2">
      <c r="A1883" s="46" t="s">
        <v>7803</v>
      </c>
      <c r="B1883" s="46" t="s">
        <v>51886</v>
      </c>
      <c r="C1883" s="58" t="str">
        <f>"13862073"</f>
        <v>13862073</v>
      </c>
      <c r="D1883" s="58" t="str">
        <f>"18755402"</f>
        <v>18755402</v>
      </c>
      <c r="E1883" s="46" t="s">
        <v>6405</v>
      </c>
      <c r="F1883" s="46" t="s">
        <v>18001</v>
      </c>
      <c r="G1883" s="46" t="s">
        <v>50584</v>
      </c>
      <c r="H1883" s="48" t="s">
        <v>56716</v>
      </c>
      <c r="I1883" s="48" t="s">
        <v>50564</v>
      </c>
      <c r="J1883" s="48" t="s">
        <v>56716</v>
      </c>
      <c r="K1883" s="50"/>
      <c r="L1883" s="48" t="s">
        <v>56716</v>
      </c>
    </row>
    <row r="1884" spans="1:12" s="37" customFormat="1" ht="11.25" x14ac:dyDescent="0.2">
      <c r="A1884" s="46" t="s">
        <v>977</v>
      </c>
      <c r="B1884" s="46" t="s">
        <v>51887</v>
      </c>
      <c r="C1884" s="58" t="str">
        <f>"00102180"</f>
        <v>00102180</v>
      </c>
      <c r="D1884" s="58" t="str">
        <f>"15562921"</f>
        <v>15562921</v>
      </c>
      <c r="E1884" s="46" t="s">
        <v>272</v>
      </c>
      <c r="F1884" s="46" t="s">
        <v>17759</v>
      </c>
      <c r="G1884" s="46" t="s">
        <v>50584</v>
      </c>
      <c r="H1884" s="48" t="s">
        <v>56716</v>
      </c>
      <c r="I1884" s="48" t="s">
        <v>50564</v>
      </c>
      <c r="J1884" s="48" t="s">
        <v>56716</v>
      </c>
      <c r="K1884" s="50" t="s">
        <v>56716</v>
      </c>
      <c r="L1884" s="48"/>
    </row>
    <row r="1885" spans="1:12" s="37" customFormat="1" ht="11.25" x14ac:dyDescent="0.2">
      <c r="A1885" s="45" t="s">
        <v>25854</v>
      </c>
      <c r="B1885" s="45" t="s">
        <v>25856</v>
      </c>
      <c r="C1885" s="51" t="s">
        <v>25858</v>
      </c>
      <c r="D1885" s="51"/>
      <c r="E1885" s="45" t="s">
        <v>25859</v>
      </c>
      <c r="F1885" s="45" t="s">
        <v>20082</v>
      </c>
      <c r="G1885" s="45" t="s">
        <v>50584</v>
      </c>
      <c r="H1885" s="56"/>
      <c r="I1885" s="56" t="s">
        <v>50564</v>
      </c>
      <c r="J1885" s="56"/>
      <c r="K1885" s="50"/>
      <c r="L1885" s="56" t="s">
        <v>56716</v>
      </c>
    </row>
    <row r="1886" spans="1:12" s="37" customFormat="1" ht="11.25" x14ac:dyDescent="0.2">
      <c r="A1886" s="45" t="s">
        <v>25861</v>
      </c>
      <c r="B1886" s="45" t="s">
        <v>25863</v>
      </c>
      <c r="C1886" s="51" t="s">
        <v>25864</v>
      </c>
      <c r="D1886" s="51"/>
      <c r="E1886" s="45" t="s">
        <v>25865</v>
      </c>
      <c r="F1886" s="45" t="s">
        <v>17759</v>
      </c>
      <c r="G1886" s="45" t="s">
        <v>50584</v>
      </c>
      <c r="H1886" s="56"/>
      <c r="I1886" s="56" t="s">
        <v>50564</v>
      </c>
      <c r="J1886" s="56"/>
      <c r="K1886" s="50"/>
      <c r="L1886" s="56" t="s">
        <v>56716</v>
      </c>
    </row>
    <row r="1887" spans="1:12" s="37" customFormat="1" ht="11.25" x14ac:dyDescent="0.2">
      <c r="A1887" s="45" t="s">
        <v>25867</v>
      </c>
      <c r="B1887" s="45" t="s">
        <v>25869</v>
      </c>
      <c r="C1887" s="51" t="s">
        <v>25871</v>
      </c>
      <c r="D1887" s="51" t="s">
        <v>25870</v>
      </c>
      <c r="E1887" s="45" t="s">
        <v>25872</v>
      </c>
      <c r="F1887" s="45" t="s">
        <v>50646</v>
      </c>
      <c r="G1887" s="45" t="s">
        <v>50584</v>
      </c>
      <c r="H1887" s="56"/>
      <c r="I1887" s="56" t="s">
        <v>50564</v>
      </c>
      <c r="J1887" s="56"/>
      <c r="K1887" s="50"/>
      <c r="L1887" s="56" t="s">
        <v>56716</v>
      </c>
    </row>
    <row r="1888" spans="1:12" s="37" customFormat="1" ht="11.25" x14ac:dyDescent="0.2">
      <c r="A1888" s="46" t="s">
        <v>13060</v>
      </c>
      <c r="B1888" s="46" t="s">
        <v>51888</v>
      </c>
      <c r="C1888" s="58" t="str">
        <f>"15257401"</f>
        <v>15257401</v>
      </c>
      <c r="D1888" s="58" t="str">
        <f>"15384837"</f>
        <v>15384837</v>
      </c>
      <c r="E1888" s="46" t="s">
        <v>493</v>
      </c>
      <c r="F1888" s="46" t="s">
        <v>17759</v>
      </c>
      <c r="G1888" s="46" t="s">
        <v>50584</v>
      </c>
      <c r="H1888" s="48" t="s">
        <v>56716</v>
      </c>
      <c r="I1888" s="48" t="s">
        <v>50564</v>
      </c>
      <c r="J1888" s="48" t="s">
        <v>56716</v>
      </c>
      <c r="K1888" s="50"/>
      <c r="L1888" s="48"/>
    </row>
    <row r="1889" spans="1:12" s="37" customFormat="1" ht="11.25" x14ac:dyDescent="0.2">
      <c r="A1889" s="45" t="s">
        <v>25874</v>
      </c>
      <c r="B1889" s="45" t="s">
        <v>25876</v>
      </c>
      <c r="C1889" s="51" t="s">
        <v>25878</v>
      </c>
      <c r="D1889" s="51"/>
      <c r="E1889" s="45" t="s">
        <v>25879</v>
      </c>
      <c r="F1889" s="45" t="s">
        <v>17929</v>
      </c>
      <c r="G1889" s="45" t="s">
        <v>50584</v>
      </c>
      <c r="H1889" s="56"/>
      <c r="I1889" s="56" t="s">
        <v>50564</v>
      </c>
      <c r="J1889" s="56"/>
      <c r="K1889" s="50"/>
      <c r="L1889" s="56" t="s">
        <v>56716</v>
      </c>
    </row>
    <row r="1890" spans="1:12" s="37" customFormat="1" ht="11.25" x14ac:dyDescent="0.2">
      <c r="A1890" s="45" t="s">
        <v>25882</v>
      </c>
      <c r="B1890" s="45" t="s">
        <v>25884</v>
      </c>
      <c r="C1890" s="51" t="s">
        <v>25885</v>
      </c>
      <c r="D1890" s="51"/>
      <c r="E1890" s="45" t="s">
        <v>25886</v>
      </c>
      <c r="F1890" s="45" t="s">
        <v>50646</v>
      </c>
      <c r="G1890" s="45" t="s">
        <v>50584</v>
      </c>
      <c r="H1890" s="56"/>
      <c r="I1890" s="56" t="s">
        <v>50564</v>
      </c>
      <c r="J1890" s="56"/>
      <c r="K1890" s="50"/>
      <c r="L1890" s="56" t="s">
        <v>56716</v>
      </c>
    </row>
    <row r="1891" spans="1:12" s="37" customFormat="1" ht="11.25" x14ac:dyDescent="0.2">
      <c r="A1891" s="45" t="s">
        <v>25890</v>
      </c>
      <c r="B1891" s="45" t="s">
        <v>25892</v>
      </c>
      <c r="C1891" s="51" t="s">
        <v>25894</v>
      </c>
      <c r="D1891" s="51" t="s">
        <v>25893</v>
      </c>
      <c r="E1891" s="45" t="s">
        <v>25895</v>
      </c>
      <c r="F1891" s="45" t="s">
        <v>18305</v>
      </c>
      <c r="G1891" s="45" t="s">
        <v>50584</v>
      </c>
      <c r="H1891" s="56"/>
      <c r="I1891" s="56" t="s">
        <v>50564</v>
      </c>
      <c r="J1891" s="56"/>
      <c r="K1891" s="50"/>
      <c r="L1891" s="56" t="s">
        <v>56716</v>
      </c>
    </row>
    <row r="1892" spans="1:12" s="37" customFormat="1" ht="11.25" x14ac:dyDescent="0.2">
      <c r="A1892" s="45" t="s">
        <v>25898</v>
      </c>
      <c r="B1892" s="45" t="s">
        <v>25900</v>
      </c>
      <c r="C1892" s="51" t="s">
        <v>25902</v>
      </c>
      <c r="D1892" s="51" t="s">
        <v>25901</v>
      </c>
      <c r="E1892" s="45" t="s">
        <v>18832</v>
      </c>
      <c r="F1892" s="45" t="s">
        <v>17759</v>
      </c>
      <c r="G1892" s="45" t="s">
        <v>50584</v>
      </c>
      <c r="H1892" s="56"/>
      <c r="I1892" s="56" t="s">
        <v>50564</v>
      </c>
      <c r="J1892" s="56"/>
      <c r="K1892" s="50"/>
      <c r="L1892" s="56" t="s">
        <v>56716</v>
      </c>
    </row>
    <row r="1893" spans="1:12" s="37" customFormat="1" ht="11.25" x14ac:dyDescent="0.2">
      <c r="A1893" s="46" t="s">
        <v>10592</v>
      </c>
      <c r="B1893" s="46" t="s">
        <v>51889</v>
      </c>
      <c r="C1893" s="58" t="str">
        <f>"15485315"</f>
        <v>15485315</v>
      </c>
      <c r="D1893" s="58" t="str">
        <f>""</f>
        <v/>
      </c>
      <c r="E1893" s="46" t="s">
        <v>7128</v>
      </c>
      <c r="F1893" s="46" t="s">
        <v>17759</v>
      </c>
      <c r="G1893" s="46" t="s">
        <v>50584</v>
      </c>
      <c r="H1893" s="48" t="s">
        <v>56716</v>
      </c>
      <c r="I1893" s="48" t="s">
        <v>50564</v>
      </c>
      <c r="J1893" s="48"/>
      <c r="K1893" s="50"/>
      <c r="L1893" s="48"/>
    </row>
    <row r="1894" spans="1:12" s="37" customFormat="1" ht="11.25" x14ac:dyDescent="0.2">
      <c r="A1894" s="45" t="s">
        <v>25904</v>
      </c>
      <c r="B1894" s="45" t="s">
        <v>25906</v>
      </c>
      <c r="C1894" s="51" t="s">
        <v>25908</v>
      </c>
      <c r="D1894" s="51"/>
      <c r="E1894" s="45" t="s">
        <v>25909</v>
      </c>
      <c r="F1894" s="45" t="s">
        <v>50646</v>
      </c>
      <c r="G1894" s="45" t="s">
        <v>50584</v>
      </c>
      <c r="H1894" s="56"/>
      <c r="I1894" s="56" t="s">
        <v>50564</v>
      </c>
      <c r="J1894" s="56"/>
      <c r="K1894" s="50"/>
      <c r="L1894" s="56" t="s">
        <v>56716</v>
      </c>
    </row>
    <row r="1895" spans="1:12" s="37" customFormat="1" ht="11.25" x14ac:dyDescent="0.2">
      <c r="A1895" s="46" t="s">
        <v>11167</v>
      </c>
      <c r="B1895" s="46" t="s">
        <v>51890</v>
      </c>
      <c r="C1895" s="58" t="str">
        <f>"1744117X"</f>
        <v>1744117X</v>
      </c>
      <c r="D1895" s="58" t="str">
        <f>"18780407"</f>
        <v>18780407</v>
      </c>
      <c r="E1895" s="46" t="s">
        <v>272</v>
      </c>
      <c r="F1895" s="46" t="s">
        <v>17759</v>
      </c>
      <c r="G1895" s="46" t="s">
        <v>50584</v>
      </c>
      <c r="H1895" s="48" t="s">
        <v>56716</v>
      </c>
      <c r="I1895" s="48" t="s">
        <v>50564</v>
      </c>
      <c r="J1895" s="48" t="s">
        <v>56716</v>
      </c>
      <c r="K1895" s="50"/>
      <c r="L1895" s="48" t="s">
        <v>56716</v>
      </c>
    </row>
    <row r="1896" spans="1:12" s="37" customFormat="1" ht="11.25" x14ac:dyDescent="0.2">
      <c r="A1896" s="46" t="s">
        <v>56306</v>
      </c>
      <c r="B1896" s="46" t="s">
        <v>51891</v>
      </c>
      <c r="C1896" s="58" t="str">
        <f>"10964959"</f>
        <v>10964959</v>
      </c>
      <c r="D1896" s="58" t="str">
        <f>"18791107"</f>
        <v>18791107</v>
      </c>
      <c r="E1896" s="46" t="s">
        <v>272</v>
      </c>
      <c r="F1896" s="46" t="s">
        <v>17759</v>
      </c>
      <c r="G1896" s="46" t="s">
        <v>50584</v>
      </c>
      <c r="H1896" s="48" t="s">
        <v>56716</v>
      </c>
      <c r="I1896" s="48" t="s">
        <v>50564</v>
      </c>
      <c r="J1896" s="48" t="s">
        <v>56716</v>
      </c>
      <c r="K1896" s="50"/>
      <c r="L1896" s="48" t="s">
        <v>56716</v>
      </c>
    </row>
    <row r="1897" spans="1:12" s="37" customFormat="1" ht="11.25" x14ac:dyDescent="0.2">
      <c r="A1897" s="46" t="s">
        <v>56310</v>
      </c>
      <c r="B1897" s="46" t="s">
        <v>51892</v>
      </c>
      <c r="C1897" s="58" t="str">
        <f>"15320456"</f>
        <v>15320456</v>
      </c>
      <c r="D1897" s="58" t="str">
        <f>"18781659"</f>
        <v>18781659</v>
      </c>
      <c r="E1897" s="46" t="s">
        <v>272</v>
      </c>
      <c r="F1897" s="46" t="s">
        <v>17759</v>
      </c>
      <c r="G1897" s="46" t="s">
        <v>50584</v>
      </c>
      <c r="H1897" s="48" t="s">
        <v>56716</v>
      </c>
      <c r="I1897" s="48" t="s">
        <v>50564</v>
      </c>
      <c r="J1897" s="48" t="s">
        <v>56716</v>
      </c>
      <c r="K1897" s="50"/>
      <c r="L1897" s="48" t="s">
        <v>56716</v>
      </c>
    </row>
    <row r="1898" spans="1:12" s="37" customFormat="1" ht="11.25" x14ac:dyDescent="0.2">
      <c r="A1898" s="46" t="s">
        <v>56364</v>
      </c>
      <c r="B1898" s="46" t="s">
        <v>56365</v>
      </c>
      <c r="C1898" s="58" t="str">
        <f>"10956433"</f>
        <v>10956433</v>
      </c>
      <c r="D1898" s="58" t="str">
        <f>"15314332"</f>
        <v>15314332</v>
      </c>
      <c r="E1898" s="46" t="s">
        <v>272</v>
      </c>
      <c r="F1898" s="46" t="s">
        <v>17759</v>
      </c>
      <c r="G1898" s="46" t="s">
        <v>50584</v>
      </c>
      <c r="H1898" s="48" t="s">
        <v>56716</v>
      </c>
      <c r="I1898" s="48" t="s">
        <v>50564</v>
      </c>
      <c r="J1898" s="48"/>
      <c r="K1898" s="50" t="s">
        <v>56716</v>
      </c>
      <c r="L1898" s="48" t="s">
        <v>56716</v>
      </c>
    </row>
    <row r="1899" spans="1:12" s="37" customFormat="1" ht="11.25" x14ac:dyDescent="0.2">
      <c r="A1899" s="46" t="s">
        <v>1083</v>
      </c>
      <c r="B1899" s="46" t="s">
        <v>51893</v>
      </c>
      <c r="C1899" s="58" t="str">
        <f>"01479571"</f>
        <v>01479571</v>
      </c>
      <c r="D1899" s="58" t="str">
        <f>"18781667"</f>
        <v>18781667</v>
      </c>
      <c r="E1899" s="46" t="s">
        <v>155</v>
      </c>
      <c r="F1899" s="46" t="s">
        <v>50646</v>
      </c>
      <c r="G1899" s="46" t="s">
        <v>50584</v>
      </c>
      <c r="H1899" s="48" t="s">
        <v>56716</v>
      </c>
      <c r="I1899" s="48" t="s">
        <v>50564</v>
      </c>
      <c r="J1899" s="48"/>
      <c r="K1899" s="50" t="s">
        <v>56716</v>
      </c>
      <c r="L1899" s="48" t="s">
        <v>56716</v>
      </c>
    </row>
    <row r="1900" spans="1:12" s="37" customFormat="1" ht="11.25" x14ac:dyDescent="0.2">
      <c r="A1900" s="46" t="s">
        <v>8382</v>
      </c>
      <c r="B1900" s="46" t="s">
        <v>51894</v>
      </c>
      <c r="C1900" s="58" t="str">
        <f>"15320820"</f>
        <v>15320820</v>
      </c>
      <c r="D1900" s="58" t="str">
        <f>""</f>
        <v/>
      </c>
      <c r="E1900" s="46" t="s">
        <v>8384</v>
      </c>
      <c r="F1900" s="46" t="s">
        <v>17759</v>
      </c>
      <c r="G1900" s="46" t="s">
        <v>50584</v>
      </c>
      <c r="H1900" s="48" t="s">
        <v>56716</v>
      </c>
      <c r="I1900" s="48" t="s">
        <v>50564</v>
      </c>
      <c r="J1900" s="48"/>
      <c r="K1900" s="50"/>
      <c r="L1900" s="48" t="s">
        <v>56716</v>
      </c>
    </row>
    <row r="1901" spans="1:12" s="37" customFormat="1" ht="11.25" x14ac:dyDescent="0.2">
      <c r="A1901" s="45" t="s">
        <v>25952</v>
      </c>
      <c r="B1901" s="45" t="s">
        <v>25954</v>
      </c>
      <c r="C1901" s="51" t="s">
        <v>25957</v>
      </c>
      <c r="D1901" s="51" t="s">
        <v>25956</v>
      </c>
      <c r="E1901" s="45" t="s">
        <v>25958</v>
      </c>
      <c r="F1901" s="45" t="s">
        <v>17759</v>
      </c>
      <c r="G1901" s="45" t="s">
        <v>50584</v>
      </c>
      <c r="H1901" s="56"/>
      <c r="I1901" s="56" t="s">
        <v>50564</v>
      </c>
      <c r="J1901" s="56"/>
      <c r="K1901" s="50"/>
      <c r="L1901" s="56" t="s">
        <v>56716</v>
      </c>
    </row>
    <row r="1902" spans="1:12" s="37" customFormat="1" ht="11.25" x14ac:dyDescent="0.2">
      <c r="A1902" s="45" t="s">
        <v>25962</v>
      </c>
      <c r="B1902" s="45" t="s">
        <v>25964</v>
      </c>
      <c r="C1902" s="51" t="s">
        <v>25967</v>
      </c>
      <c r="D1902" s="51" t="s">
        <v>25966</v>
      </c>
      <c r="E1902" s="45" t="s">
        <v>91</v>
      </c>
      <c r="F1902" s="45" t="s">
        <v>50646</v>
      </c>
      <c r="G1902" s="45" t="s">
        <v>50584</v>
      </c>
      <c r="H1902" s="56"/>
      <c r="I1902" s="56" t="s">
        <v>50564</v>
      </c>
      <c r="J1902" s="56"/>
      <c r="K1902" s="50"/>
      <c r="L1902" s="56" t="s">
        <v>56716</v>
      </c>
    </row>
    <row r="1903" spans="1:12" s="37" customFormat="1" ht="11.25" x14ac:dyDescent="0.2">
      <c r="A1903" s="46" t="s">
        <v>6099</v>
      </c>
      <c r="B1903" s="46" t="s">
        <v>51895</v>
      </c>
      <c r="C1903" s="58" t="str">
        <f>"09652299"</f>
        <v>09652299</v>
      </c>
      <c r="D1903" s="58" t="str">
        <f>"18736963"</f>
        <v>18736963</v>
      </c>
      <c r="E1903" s="46" t="s">
        <v>831</v>
      </c>
      <c r="F1903" s="46" t="s">
        <v>50646</v>
      </c>
      <c r="G1903" s="46" t="s">
        <v>50584</v>
      </c>
      <c r="H1903" s="48" t="s">
        <v>56716</v>
      </c>
      <c r="I1903" s="48" t="s">
        <v>50564</v>
      </c>
      <c r="J1903" s="48"/>
      <c r="K1903" s="50" t="s">
        <v>56716</v>
      </c>
      <c r="L1903" s="48" t="s">
        <v>56716</v>
      </c>
    </row>
    <row r="1904" spans="1:12" s="37" customFormat="1" ht="11.25" x14ac:dyDescent="0.2">
      <c r="A1904" s="45" t="s">
        <v>25975</v>
      </c>
      <c r="B1904" s="45" t="s">
        <v>25977</v>
      </c>
      <c r="C1904" s="51"/>
      <c r="D1904" s="51" t="s">
        <v>25978</v>
      </c>
      <c r="E1904" s="45" t="s">
        <v>25979</v>
      </c>
      <c r="F1904" s="45" t="s">
        <v>17759</v>
      </c>
      <c r="G1904" s="45" t="s">
        <v>50584</v>
      </c>
      <c r="H1904" s="56"/>
      <c r="I1904" s="56" t="s">
        <v>50564</v>
      </c>
      <c r="J1904" s="56"/>
      <c r="K1904" s="50"/>
      <c r="L1904" s="56" t="s">
        <v>56716</v>
      </c>
    </row>
    <row r="1905" spans="1:12" s="37" customFormat="1" ht="11.25" x14ac:dyDescent="0.2">
      <c r="A1905" s="46" t="s">
        <v>1234</v>
      </c>
      <c r="B1905" s="46" t="s">
        <v>51896</v>
      </c>
      <c r="C1905" s="58" t="str">
        <f>"0010440X"</f>
        <v>0010440X</v>
      </c>
      <c r="D1905" s="58" t="str">
        <f>"15328384"</f>
        <v>15328384</v>
      </c>
      <c r="E1905" s="46" t="s">
        <v>303</v>
      </c>
      <c r="F1905" s="46" t="s">
        <v>17759</v>
      </c>
      <c r="G1905" s="46" t="s">
        <v>50584</v>
      </c>
      <c r="H1905" s="48" t="s">
        <v>56716</v>
      </c>
      <c r="I1905" s="48" t="s">
        <v>50564</v>
      </c>
      <c r="J1905" s="48"/>
      <c r="K1905" s="50" t="s">
        <v>56716</v>
      </c>
      <c r="L1905" s="48" t="s">
        <v>56716</v>
      </c>
    </row>
    <row r="1906" spans="1:12" s="37" customFormat="1" ht="11.25" x14ac:dyDescent="0.2">
      <c r="A1906" s="46" t="s">
        <v>1243</v>
      </c>
      <c r="B1906" s="46" t="s">
        <v>51897</v>
      </c>
      <c r="C1906" s="58" t="str">
        <f>"00988243"</f>
        <v>00988243</v>
      </c>
      <c r="D1906" s="58" t="str">
        <f>"15591190"</f>
        <v>15591190</v>
      </c>
      <c r="E1906" s="46" t="s">
        <v>40314</v>
      </c>
      <c r="F1906" s="46" t="s">
        <v>17759</v>
      </c>
      <c r="G1906" s="46" t="s">
        <v>50584</v>
      </c>
      <c r="H1906" s="48" t="s">
        <v>56716</v>
      </c>
      <c r="I1906" s="48" t="s">
        <v>50564</v>
      </c>
      <c r="J1906" s="48"/>
      <c r="K1906" s="50"/>
      <c r="L1906" s="48"/>
    </row>
    <row r="1907" spans="1:12" s="37" customFormat="1" ht="11.25" x14ac:dyDescent="0.2">
      <c r="A1907" s="46" t="s">
        <v>9340</v>
      </c>
      <c r="B1907" s="46" t="s">
        <v>51898</v>
      </c>
      <c r="C1907" s="58" t="str">
        <f>"16310691"</f>
        <v>16310691</v>
      </c>
      <c r="D1907" s="58" t="str">
        <f>"17683238"</f>
        <v>17683238</v>
      </c>
      <c r="E1907" s="46" t="s">
        <v>85</v>
      </c>
      <c r="F1907" s="46" t="s">
        <v>20359</v>
      </c>
      <c r="G1907" s="46" t="s">
        <v>50590</v>
      </c>
      <c r="H1907" s="48" t="s">
        <v>56716</v>
      </c>
      <c r="I1907" s="48" t="s">
        <v>50564</v>
      </c>
      <c r="J1907" s="48"/>
      <c r="K1907" s="50" t="s">
        <v>56716</v>
      </c>
      <c r="L1907" s="48" t="s">
        <v>56716</v>
      </c>
    </row>
    <row r="1908" spans="1:12" s="37" customFormat="1" ht="11.25" x14ac:dyDescent="0.2">
      <c r="A1908" s="46" t="s">
        <v>11531</v>
      </c>
      <c r="B1908" s="46" t="s">
        <v>51899</v>
      </c>
      <c r="C1908" s="58" t="str">
        <f>"1748670X"</f>
        <v>1748670X</v>
      </c>
      <c r="D1908" s="58" t="str">
        <f>"17486718"</f>
        <v>17486718</v>
      </c>
      <c r="E1908" s="46" t="s">
        <v>1412</v>
      </c>
      <c r="F1908" s="46" t="s">
        <v>17759</v>
      </c>
      <c r="G1908" s="46" t="s">
        <v>50584</v>
      </c>
      <c r="H1908" s="48" t="s">
        <v>56716</v>
      </c>
      <c r="I1908" s="48" t="s">
        <v>50564</v>
      </c>
      <c r="J1908" s="48"/>
      <c r="K1908" s="50"/>
      <c r="L1908" s="48" t="s">
        <v>56716</v>
      </c>
    </row>
    <row r="1909" spans="1:12" s="37" customFormat="1" ht="11.25" x14ac:dyDescent="0.2">
      <c r="A1909" s="46" t="s">
        <v>56298</v>
      </c>
      <c r="B1909" s="46" t="s">
        <v>56299</v>
      </c>
      <c r="C1909" s="58" t="str">
        <f>""</f>
        <v/>
      </c>
      <c r="D1909" s="58" t="str">
        <f>"20010370"</f>
        <v>20010370</v>
      </c>
      <c r="E1909" s="46" t="s">
        <v>91</v>
      </c>
      <c r="F1909" s="46" t="s">
        <v>18130</v>
      </c>
      <c r="G1909" s="46" t="s">
        <v>50584</v>
      </c>
      <c r="H1909" s="48" t="s">
        <v>56716</v>
      </c>
      <c r="I1909" s="48" t="s">
        <v>50564</v>
      </c>
      <c r="J1909" s="48" t="s">
        <v>56716</v>
      </c>
      <c r="K1909" s="50"/>
      <c r="L1909" s="48"/>
    </row>
    <row r="1910" spans="1:12" s="37" customFormat="1" ht="11.25" x14ac:dyDescent="0.2">
      <c r="A1910" s="45" t="s">
        <v>25996</v>
      </c>
      <c r="B1910" s="45" t="s">
        <v>25998</v>
      </c>
      <c r="C1910" s="51" t="s">
        <v>26001</v>
      </c>
      <c r="D1910" s="51" t="s">
        <v>26000</v>
      </c>
      <c r="E1910" s="45" t="s">
        <v>91</v>
      </c>
      <c r="F1910" s="45" t="s">
        <v>50646</v>
      </c>
      <c r="G1910" s="45" t="s">
        <v>50584</v>
      </c>
      <c r="H1910" s="56"/>
      <c r="I1910" s="56" t="s">
        <v>50564</v>
      </c>
      <c r="J1910" s="56"/>
      <c r="K1910" s="50"/>
      <c r="L1910" s="56" t="s">
        <v>56716</v>
      </c>
    </row>
    <row r="1911" spans="1:12" s="37" customFormat="1" ht="11.25" x14ac:dyDescent="0.2">
      <c r="A1911" s="45" t="s">
        <v>26004</v>
      </c>
      <c r="B1911" s="45" t="s">
        <v>26006</v>
      </c>
      <c r="C1911" s="51" t="s">
        <v>26008</v>
      </c>
      <c r="D1911" s="51" t="s">
        <v>26007</v>
      </c>
      <c r="E1911" s="45" t="s">
        <v>26009</v>
      </c>
      <c r="F1911" s="45" t="s">
        <v>17759</v>
      </c>
      <c r="G1911" s="45" t="s">
        <v>50584</v>
      </c>
      <c r="H1911" s="56"/>
      <c r="I1911" s="56" t="s">
        <v>50564</v>
      </c>
      <c r="J1911" s="56"/>
      <c r="K1911" s="50"/>
      <c r="L1911" s="56" t="s">
        <v>56716</v>
      </c>
    </row>
    <row r="1912" spans="1:12" s="37" customFormat="1" ht="11.25" x14ac:dyDescent="0.2">
      <c r="A1912" s="45" t="s">
        <v>26012</v>
      </c>
      <c r="B1912" s="45" t="s">
        <v>26014</v>
      </c>
      <c r="C1912" s="51" t="s">
        <v>26016</v>
      </c>
      <c r="D1912" s="51"/>
      <c r="E1912" s="45" t="s">
        <v>26017</v>
      </c>
      <c r="F1912" s="45" t="s">
        <v>17759</v>
      </c>
      <c r="G1912" s="45" t="s">
        <v>50584</v>
      </c>
      <c r="H1912" s="56"/>
      <c r="I1912" s="56" t="s">
        <v>50564</v>
      </c>
      <c r="J1912" s="56"/>
      <c r="K1912" s="50"/>
      <c r="L1912" s="56" t="s">
        <v>56716</v>
      </c>
    </row>
    <row r="1913" spans="1:12" s="37" customFormat="1" ht="11.25" x14ac:dyDescent="0.2">
      <c r="A1913" s="45" t="s">
        <v>26019</v>
      </c>
      <c r="B1913" s="45" t="s">
        <v>26021</v>
      </c>
      <c r="C1913" s="51" t="s">
        <v>26024</v>
      </c>
      <c r="D1913" s="51" t="s">
        <v>26023</v>
      </c>
      <c r="E1913" s="45" t="s">
        <v>291</v>
      </c>
      <c r="F1913" s="45" t="s">
        <v>50646</v>
      </c>
      <c r="G1913" s="45" t="s">
        <v>50584</v>
      </c>
      <c r="H1913" s="56"/>
      <c r="I1913" s="56" t="s">
        <v>50564</v>
      </c>
      <c r="J1913" s="56"/>
      <c r="K1913" s="50"/>
      <c r="L1913" s="56" t="s">
        <v>56716</v>
      </c>
    </row>
    <row r="1914" spans="1:12" s="37" customFormat="1" ht="11.25" x14ac:dyDescent="0.2">
      <c r="A1914" s="46" t="s">
        <v>1204</v>
      </c>
      <c r="B1914" s="46" t="s">
        <v>51900</v>
      </c>
      <c r="C1914" s="58" t="str">
        <f>"01692607"</f>
        <v>01692607</v>
      </c>
      <c r="D1914" s="58" t="str">
        <f>"18727565"</f>
        <v>18727565</v>
      </c>
      <c r="E1914" s="46" t="s">
        <v>221</v>
      </c>
      <c r="F1914" s="46" t="s">
        <v>21771</v>
      </c>
      <c r="G1914" s="46" t="s">
        <v>50584</v>
      </c>
      <c r="H1914" s="48" t="s">
        <v>56716</v>
      </c>
      <c r="I1914" s="48" t="s">
        <v>50564</v>
      </c>
      <c r="J1914" s="48"/>
      <c r="K1914" s="50" t="s">
        <v>56716</v>
      </c>
      <c r="L1914" s="48" t="s">
        <v>56716</v>
      </c>
    </row>
    <row r="1915" spans="1:12" s="37" customFormat="1" ht="11.25" x14ac:dyDescent="0.2">
      <c r="A1915" s="46" t="s">
        <v>12910</v>
      </c>
      <c r="B1915" s="46" t="s">
        <v>51901</v>
      </c>
      <c r="C1915" s="58" t="str">
        <f>"10255842"</f>
        <v>10255842</v>
      </c>
      <c r="D1915" s="58" t="str">
        <f>"14768259"</f>
        <v>14768259</v>
      </c>
      <c r="E1915" s="46" t="s">
        <v>310</v>
      </c>
      <c r="F1915" s="46" t="s">
        <v>50646</v>
      </c>
      <c r="G1915" s="46" t="s">
        <v>50584</v>
      </c>
      <c r="H1915" s="48" t="s">
        <v>56716</v>
      </c>
      <c r="I1915" s="48" t="s">
        <v>50564</v>
      </c>
      <c r="J1915" s="48" t="s">
        <v>56716</v>
      </c>
      <c r="K1915" s="50" t="s">
        <v>56716</v>
      </c>
      <c r="L1915" s="48" t="s">
        <v>56716</v>
      </c>
    </row>
    <row r="1916" spans="1:12" s="37" customFormat="1" ht="11.25" x14ac:dyDescent="0.2">
      <c r="A1916" s="46" t="s">
        <v>17279</v>
      </c>
      <c r="B1916" s="46" t="s">
        <v>51902</v>
      </c>
      <c r="C1916" s="58" t="str">
        <f>"21681163"</f>
        <v>21681163</v>
      </c>
      <c r="D1916" s="58" t="str">
        <f>"21681171"</f>
        <v>21681171</v>
      </c>
      <c r="E1916" s="46" t="s">
        <v>310</v>
      </c>
      <c r="F1916" s="46" t="s">
        <v>50646</v>
      </c>
      <c r="G1916" s="46" t="s">
        <v>50584</v>
      </c>
      <c r="H1916" s="48" t="s">
        <v>56716</v>
      </c>
      <c r="I1916" s="48" t="s">
        <v>50564</v>
      </c>
      <c r="J1916" s="48" t="s">
        <v>56716</v>
      </c>
      <c r="K1916" s="50" t="s">
        <v>56716</v>
      </c>
      <c r="L1916" s="48"/>
    </row>
    <row r="1917" spans="1:12" s="37" customFormat="1" ht="11.25" x14ac:dyDescent="0.2">
      <c r="A1917" s="46" t="s">
        <v>4598</v>
      </c>
      <c r="B1917" s="46" t="s">
        <v>51903</v>
      </c>
      <c r="C1917" s="58" t="str">
        <f>"08956111"</f>
        <v>08956111</v>
      </c>
      <c r="D1917" s="58" t="str">
        <f>"18790771"</f>
        <v>18790771</v>
      </c>
      <c r="E1917" s="46" t="s">
        <v>155</v>
      </c>
      <c r="F1917" s="46" t="s">
        <v>50646</v>
      </c>
      <c r="G1917" s="46" t="s">
        <v>50584</v>
      </c>
      <c r="H1917" s="48" t="s">
        <v>56716</v>
      </c>
      <c r="I1917" s="48" t="s">
        <v>50564</v>
      </c>
      <c r="J1917" s="48" t="s">
        <v>56716</v>
      </c>
      <c r="K1917" s="50" t="s">
        <v>56716</v>
      </c>
      <c r="L1917" s="48" t="s">
        <v>56716</v>
      </c>
    </row>
    <row r="1918" spans="1:12" s="37" customFormat="1" ht="11.25" x14ac:dyDescent="0.2">
      <c r="A1918" s="46" t="s">
        <v>986</v>
      </c>
      <c r="B1918" s="46" t="s">
        <v>51904</v>
      </c>
      <c r="C1918" s="58" t="str">
        <f>"00104825"</f>
        <v>00104825</v>
      </c>
      <c r="D1918" s="58" t="str">
        <f>"18790534"</f>
        <v>18790534</v>
      </c>
      <c r="E1918" s="46" t="s">
        <v>155</v>
      </c>
      <c r="F1918" s="46" t="s">
        <v>50646</v>
      </c>
      <c r="G1918" s="46" t="s">
        <v>50584</v>
      </c>
      <c r="H1918" s="48" t="s">
        <v>56716</v>
      </c>
      <c r="I1918" s="48" t="s">
        <v>50564</v>
      </c>
      <c r="J1918" s="48" t="s">
        <v>56716</v>
      </c>
      <c r="K1918" s="50" t="s">
        <v>56716</v>
      </c>
      <c r="L1918" s="48" t="s">
        <v>56716</v>
      </c>
    </row>
    <row r="1919" spans="1:12" s="37" customFormat="1" ht="11.25" x14ac:dyDescent="0.2">
      <c r="A1919" s="45" t="s">
        <v>26046</v>
      </c>
      <c r="B1919" s="45" t="s">
        <v>26048</v>
      </c>
      <c r="C1919" s="51" t="s">
        <v>26051</v>
      </c>
      <c r="D1919" s="51" t="s">
        <v>26050</v>
      </c>
      <c r="E1919" s="45" t="s">
        <v>17758</v>
      </c>
      <c r="F1919" s="45" t="s">
        <v>17759</v>
      </c>
      <c r="G1919" s="45" t="s">
        <v>50584</v>
      </c>
      <c r="H1919" s="56"/>
      <c r="I1919" s="56" t="s">
        <v>50564</v>
      </c>
      <c r="J1919" s="56"/>
      <c r="K1919" s="50"/>
      <c r="L1919" s="56" t="s">
        <v>56716</v>
      </c>
    </row>
    <row r="1920" spans="1:12" s="37" customFormat="1" ht="11.25" x14ac:dyDescent="0.2">
      <c r="A1920" s="45" t="s">
        <v>56548</v>
      </c>
      <c r="B1920" s="45" t="s">
        <v>26056</v>
      </c>
      <c r="C1920" s="51" t="s">
        <v>26058</v>
      </c>
      <c r="D1920" s="51"/>
      <c r="E1920" s="45" t="s">
        <v>26059</v>
      </c>
      <c r="F1920" s="45" t="s">
        <v>17759</v>
      </c>
      <c r="G1920" s="45" t="s">
        <v>50584</v>
      </c>
      <c r="H1920" s="56"/>
      <c r="I1920" s="56" t="s">
        <v>50564</v>
      </c>
      <c r="J1920" s="56"/>
      <c r="K1920" s="50"/>
      <c r="L1920" s="56" t="s">
        <v>56716</v>
      </c>
    </row>
    <row r="1921" spans="1:12" s="37" customFormat="1" ht="11.25" x14ac:dyDescent="0.2">
      <c r="A1921" s="46" t="s">
        <v>5955</v>
      </c>
      <c r="B1921" s="46" t="s">
        <v>51905</v>
      </c>
      <c r="C1921" s="58" t="str">
        <f>"11220279"</f>
        <v>11220279</v>
      </c>
      <c r="D1921" s="58" t="str">
        <f>""</f>
        <v/>
      </c>
      <c r="E1921" s="46" t="s">
        <v>5957</v>
      </c>
      <c r="F1921" s="46" t="s">
        <v>17991</v>
      </c>
      <c r="G1921" s="46" t="s">
        <v>50603</v>
      </c>
      <c r="H1921" s="48" t="s">
        <v>56716</v>
      </c>
      <c r="I1921" s="48" t="s">
        <v>50564</v>
      </c>
      <c r="J1921" s="48"/>
      <c r="K1921" s="50"/>
      <c r="L1921" s="48"/>
    </row>
    <row r="1922" spans="1:12" s="37" customFormat="1" ht="11.25" x14ac:dyDescent="0.2">
      <c r="A1922" s="46" t="s">
        <v>3764</v>
      </c>
      <c r="B1922" s="46" t="s">
        <v>51906</v>
      </c>
      <c r="C1922" s="58" t="str">
        <f>"09143505"</f>
        <v>09143505</v>
      </c>
      <c r="D1922" s="58" t="str">
        <f>"17414520"</f>
        <v>17414520</v>
      </c>
      <c r="E1922" s="46" t="s">
        <v>296</v>
      </c>
      <c r="F1922" s="46" t="s">
        <v>20082</v>
      </c>
      <c r="G1922" s="46" t="s">
        <v>50584</v>
      </c>
      <c r="H1922" s="48" t="s">
        <v>56716</v>
      </c>
      <c r="I1922" s="48" t="s">
        <v>50564</v>
      </c>
      <c r="J1922" s="48" t="s">
        <v>56716</v>
      </c>
      <c r="K1922" s="50"/>
      <c r="L1922" s="48" t="s">
        <v>56716</v>
      </c>
    </row>
    <row r="1923" spans="1:12" s="37" customFormat="1" ht="11.25" x14ac:dyDescent="0.2">
      <c r="A1923" s="46" t="s">
        <v>11047</v>
      </c>
      <c r="B1923" s="46" t="s">
        <v>51907</v>
      </c>
      <c r="C1923" s="58" t="str">
        <f>"1747079X"</f>
        <v>1747079X</v>
      </c>
      <c r="D1923" s="58" t="str">
        <f>"17470803"</f>
        <v>17470803</v>
      </c>
      <c r="E1923" s="46" t="s">
        <v>35</v>
      </c>
      <c r="F1923" s="46" t="s">
        <v>50646</v>
      </c>
      <c r="G1923" s="46" t="s">
        <v>50584</v>
      </c>
      <c r="H1923" s="48" t="s">
        <v>56716</v>
      </c>
      <c r="I1923" s="48" t="s">
        <v>50564</v>
      </c>
      <c r="J1923" s="48" t="s">
        <v>56716</v>
      </c>
      <c r="K1923" s="50" t="s">
        <v>56716</v>
      </c>
      <c r="L1923" s="48" t="s">
        <v>56716</v>
      </c>
    </row>
    <row r="1924" spans="1:12" s="37" customFormat="1" ht="11.25" x14ac:dyDescent="0.2">
      <c r="A1924" s="45" t="s">
        <v>26070</v>
      </c>
      <c r="B1924" s="45" t="s">
        <v>26072</v>
      </c>
      <c r="C1924" s="51" t="s">
        <v>26075</v>
      </c>
      <c r="D1924" s="51" t="s">
        <v>26074</v>
      </c>
      <c r="E1924" s="45" t="s">
        <v>26076</v>
      </c>
      <c r="F1924" s="45" t="s">
        <v>17759</v>
      </c>
      <c r="G1924" s="45" t="s">
        <v>50584</v>
      </c>
      <c r="H1924" s="56"/>
      <c r="I1924" s="56" t="s">
        <v>50564</v>
      </c>
      <c r="J1924" s="56"/>
      <c r="K1924" s="50"/>
      <c r="L1924" s="56" t="s">
        <v>56716</v>
      </c>
    </row>
    <row r="1925" spans="1:12" s="37" customFormat="1" ht="11.25" x14ac:dyDescent="0.2">
      <c r="A1925" s="45" t="s">
        <v>26078</v>
      </c>
      <c r="B1925" s="45" t="s">
        <v>26080</v>
      </c>
      <c r="C1925" s="51" t="s">
        <v>26082</v>
      </c>
      <c r="D1925" s="51"/>
      <c r="E1925" s="45" t="s">
        <v>26083</v>
      </c>
      <c r="F1925" s="45" t="s">
        <v>17759</v>
      </c>
      <c r="G1925" s="45" t="s">
        <v>50584</v>
      </c>
      <c r="H1925" s="56"/>
      <c r="I1925" s="56" t="s">
        <v>50564</v>
      </c>
      <c r="J1925" s="56"/>
      <c r="K1925" s="50"/>
      <c r="L1925" s="56" t="s">
        <v>56716</v>
      </c>
    </row>
    <row r="1926" spans="1:12" s="37" customFormat="1" ht="11.25" x14ac:dyDescent="0.2">
      <c r="A1926" s="46" t="s">
        <v>1332</v>
      </c>
      <c r="B1926" s="46" t="s">
        <v>51908</v>
      </c>
      <c r="C1926" s="58" t="str">
        <f>"03008207"</f>
        <v>03008207</v>
      </c>
      <c r="D1926" s="58" t="str">
        <f>"16078438"</f>
        <v>16078438</v>
      </c>
      <c r="E1926" s="46" t="s">
        <v>291</v>
      </c>
      <c r="F1926" s="46" t="s">
        <v>50646</v>
      </c>
      <c r="G1926" s="46" t="s">
        <v>50584</v>
      </c>
      <c r="H1926" s="48" t="s">
        <v>56716</v>
      </c>
      <c r="I1926" s="48" t="s">
        <v>50564</v>
      </c>
      <c r="J1926" s="48"/>
      <c r="K1926" s="50"/>
      <c r="L1926" s="48" t="s">
        <v>56716</v>
      </c>
    </row>
    <row r="1927" spans="1:12" s="37" customFormat="1" ht="11.25" x14ac:dyDescent="0.2">
      <c r="A1927" s="46" t="s">
        <v>8505</v>
      </c>
      <c r="B1927" s="46" t="s">
        <v>51909</v>
      </c>
      <c r="C1927" s="58" t="str">
        <f>"10538100"</f>
        <v>10538100</v>
      </c>
      <c r="D1927" s="58" t="str">
        <f>"10902376"</f>
        <v>10902376</v>
      </c>
      <c r="E1927" s="46" t="s">
        <v>60</v>
      </c>
      <c r="F1927" s="46" t="s">
        <v>17759</v>
      </c>
      <c r="G1927" s="46" t="s">
        <v>50584</v>
      </c>
      <c r="H1927" s="48" t="s">
        <v>56716</v>
      </c>
      <c r="I1927" s="48" t="s">
        <v>50564</v>
      </c>
      <c r="J1927" s="48"/>
      <c r="K1927" s="50" t="s">
        <v>56716</v>
      </c>
      <c r="L1927" s="48" t="s">
        <v>56716</v>
      </c>
    </row>
    <row r="1928" spans="1:12" s="37" customFormat="1" ht="11.25" x14ac:dyDescent="0.2">
      <c r="A1928" s="45" t="s">
        <v>26093</v>
      </c>
      <c r="B1928" s="45" t="s">
        <v>26095</v>
      </c>
      <c r="C1928" s="51" t="s">
        <v>26097</v>
      </c>
      <c r="D1928" s="51" t="s">
        <v>26096</v>
      </c>
      <c r="E1928" s="45" t="s">
        <v>26098</v>
      </c>
      <c r="F1928" s="45" t="s">
        <v>17759</v>
      </c>
      <c r="G1928" s="45" t="s">
        <v>50584</v>
      </c>
      <c r="H1928" s="56"/>
      <c r="I1928" s="56" t="s">
        <v>50564</v>
      </c>
      <c r="J1928" s="56"/>
      <c r="K1928" s="50"/>
      <c r="L1928" s="56" t="s">
        <v>56716</v>
      </c>
    </row>
    <row r="1929" spans="1:12" s="37" customFormat="1" ht="11.25" x14ac:dyDescent="0.2">
      <c r="A1929" s="46" t="s">
        <v>7080</v>
      </c>
      <c r="B1929" s="46" t="s">
        <v>7080</v>
      </c>
      <c r="C1929" s="58" t="str">
        <f>"00107069"</f>
        <v>00107069</v>
      </c>
      <c r="D1929" s="58" t="str">
        <f>""</f>
        <v/>
      </c>
      <c r="E1929" s="46" t="s">
        <v>7082</v>
      </c>
      <c r="F1929" s="46" t="s">
        <v>17759</v>
      </c>
      <c r="G1929" s="46" t="s">
        <v>50584</v>
      </c>
      <c r="H1929" s="48" t="s">
        <v>56716</v>
      </c>
      <c r="I1929" s="48" t="s">
        <v>50564</v>
      </c>
      <c r="J1929" s="48" t="s">
        <v>56716</v>
      </c>
      <c r="K1929" s="50"/>
      <c r="L1929" s="48"/>
    </row>
    <row r="1930" spans="1:12" s="37" customFormat="1" ht="11.25" x14ac:dyDescent="0.2">
      <c r="A1930" s="46" t="s">
        <v>9429</v>
      </c>
      <c r="B1930" s="46" t="s">
        <v>51910</v>
      </c>
      <c r="C1930" s="58" t="str">
        <f>"08885109"</f>
        <v>08885109</v>
      </c>
      <c r="D1930" s="58" t="str">
        <f>""</f>
        <v/>
      </c>
      <c r="E1930" s="46" t="s">
        <v>9431</v>
      </c>
      <c r="F1930" s="46" t="s">
        <v>17759</v>
      </c>
      <c r="G1930" s="46" t="s">
        <v>50584</v>
      </c>
      <c r="H1930" s="48" t="s">
        <v>56716</v>
      </c>
      <c r="I1930" s="48" t="s">
        <v>50564</v>
      </c>
      <c r="J1930" s="48"/>
      <c r="K1930" s="50"/>
      <c r="L1930" s="48" t="s">
        <v>56716</v>
      </c>
    </row>
    <row r="1931" spans="1:12" s="37" customFormat="1" ht="11.25" x14ac:dyDescent="0.2">
      <c r="A1931" s="45" t="s">
        <v>26106</v>
      </c>
      <c r="B1931" s="45" t="s">
        <v>26108</v>
      </c>
      <c r="C1931" s="51" t="s">
        <v>26110</v>
      </c>
      <c r="D1931" s="51"/>
      <c r="E1931" s="45" t="s">
        <v>26111</v>
      </c>
      <c r="F1931" s="45" t="s">
        <v>17759</v>
      </c>
      <c r="G1931" s="45" t="s">
        <v>50584</v>
      </c>
      <c r="H1931" s="56"/>
      <c r="I1931" s="56" t="s">
        <v>50564</v>
      </c>
      <c r="J1931" s="56"/>
      <c r="K1931" s="50"/>
      <c r="L1931" s="56" t="s">
        <v>56716</v>
      </c>
    </row>
    <row r="1932" spans="1:12" s="37" customFormat="1" ht="11.25" x14ac:dyDescent="0.2">
      <c r="A1932" s="46" t="s">
        <v>1228</v>
      </c>
      <c r="B1932" s="46" t="s">
        <v>1228</v>
      </c>
      <c r="C1932" s="58" t="str">
        <f>"01051873"</f>
        <v>01051873</v>
      </c>
      <c r="D1932" s="58" t="str">
        <f>"16000536"</f>
        <v>16000536</v>
      </c>
      <c r="E1932" s="46" t="s">
        <v>35</v>
      </c>
      <c r="F1932" s="46" t="s">
        <v>50646</v>
      </c>
      <c r="G1932" s="46" t="s">
        <v>50584</v>
      </c>
      <c r="H1932" s="48" t="s">
        <v>56716</v>
      </c>
      <c r="I1932" s="48" t="s">
        <v>50564</v>
      </c>
      <c r="J1932" s="48"/>
      <c r="K1932" s="50" t="s">
        <v>56716</v>
      </c>
      <c r="L1932" s="48" t="s">
        <v>56716</v>
      </c>
    </row>
    <row r="1933" spans="1:12" s="37" customFormat="1" ht="11.25" x14ac:dyDescent="0.2">
      <c r="A1933" s="46" t="s">
        <v>8562</v>
      </c>
      <c r="B1933" s="46" t="s">
        <v>51911</v>
      </c>
      <c r="C1933" s="58" t="str">
        <f>"13670484"</f>
        <v>13670484</v>
      </c>
      <c r="D1933" s="58" t="str">
        <f>"14765411"</f>
        <v>14765411</v>
      </c>
      <c r="E1933" s="46" t="s">
        <v>91</v>
      </c>
      <c r="F1933" s="46" t="s">
        <v>18001</v>
      </c>
      <c r="G1933" s="46" t="s">
        <v>50584</v>
      </c>
      <c r="H1933" s="48" t="s">
        <v>56716</v>
      </c>
      <c r="I1933" s="48" t="s">
        <v>50564</v>
      </c>
      <c r="J1933" s="48" t="s">
        <v>56716</v>
      </c>
      <c r="K1933" s="50" t="s">
        <v>56716</v>
      </c>
      <c r="L1933" s="48" t="s">
        <v>56716</v>
      </c>
    </row>
    <row r="1934" spans="1:12" s="37" customFormat="1" ht="11.25" x14ac:dyDescent="0.2">
      <c r="A1934" s="46" t="s">
        <v>10758</v>
      </c>
      <c r="B1934" s="46" t="s">
        <v>51912</v>
      </c>
      <c r="C1934" s="58" t="str">
        <f>"15517144"</f>
        <v>15517144</v>
      </c>
      <c r="D1934" s="58" t="str">
        <f>"15592030"</f>
        <v>15592030</v>
      </c>
      <c r="E1934" s="46" t="s">
        <v>272</v>
      </c>
      <c r="F1934" s="46" t="s">
        <v>17759</v>
      </c>
      <c r="G1934" s="46" t="s">
        <v>50584</v>
      </c>
      <c r="H1934" s="48" t="s">
        <v>56716</v>
      </c>
      <c r="I1934" s="48" t="s">
        <v>50564</v>
      </c>
      <c r="J1934" s="48"/>
      <c r="K1934" s="50" t="s">
        <v>56716</v>
      </c>
      <c r="L1934" s="48" t="s">
        <v>56716</v>
      </c>
    </row>
    <row r="1935" spans="1:12" s="37" customFormat="1" ht="11.25" x14ac:dyDescent="0.2">
      <c r="A1935" s="46" t="s">
        <v>56408</v>
      </c>
      <c r="B1935" s="46" t="s">
        <v>56409</v>
      </c>
      <c r="C1935" s="58" t="str">
        <f>"01968653"</f>
        <v>01968653</v>
      </c>
      <c r="D1935" s="58" t="str">
        <f>""</f>
        <v/>
      </c>
      <c r="E1935" s="46" t="s">
        <v>40314</v>
      </c>
      <c r="F1935" s="46" t="s">
        <v>17759</v>
      </c>
      <c r="G1935" s="46" t="s">
        <v>50584</v>
      </c>
      <c r="H1935" s="48" t="s">
        <v>56716</v>
      </c>
      <c r="I1935" s="48" t="s">
        <v>50565</v>
      </c>
      <c r="J1935" s="48" t="s">
        <v>56716</v>
      </c>
      <c r="K1935" s="50"/>
      <c r="L1935" s="48"/>
    </row>
    <row r="1936" spans="1:12" s="37" customFormat="1" ht="11.25" x14ac:dyDescent="0.2">
      <c r="A1936" s="45" t="s">
        <v>26129</v>
      </c>
      <c r="B1936" s="45" t="s">
        <v>26131</v>
      </c>
      <c r="C1936" s="51" t="s">
        <v>26132</v>
      </c>
      <c r="D1936" s="51"/>
      <c r="E1936" s="45" t="s">
        <v>18404</v>
      </c>
      <c r="F1936" s="45" t="s">
        <v>17759</v>
      </c>
      <c r="G1936" s="45" t="s">
        <v>50584</v>
      </c>
      <c r="H1936" s="56"/>
      <c r="I1936" s="56" t="s">
        <v>50564</v>
      </c>
      <c r="J1936" s="56"/>
      <c r="K1936" s="50"/>
      <c r="L1936" s="56" t="s">
        <v>56716</v>
      </c>
    </row>
    <row r="1937" spans="1:12" s="37" customFormat="1" ht="11.25" x14ac:dyDescent="0.2">
      <c r="A1937" s="46" t="s">
        <v>11267</v>
      </c>
      <c r="B1937" s="46" t="s">
        <v>51913</v>
      </c>
      <c r="C1937" s="58" t="str">
        <f>"10802371"</f>
        <v>10802371</v>
      </c>
      <c r="D1937" s="58" t="str">
        <f>"15386899"</f>
        <v>15386899</v>
      </c>
      <c r="E1937" s="46" t="s">
        <v>28</v>
      </c>
      <c r="F1937" s="46" t="s">
        <v>17759</v>
      </c>
      <c r="G1937" s="46" t="s">
        <v>50584</v>
      </c>
      <c r="H1937" s="48" t="s">
        <v>56716</v>
      </c>
      <c r="I1937" s="48" t="s">
        <v>50564</v>
      </c>
      <c r="J1937" s="48"/>
      <c r="K1937" s="50"/>
      <c r="L1937" s="48" t="s">
        <v>56716</v>
      </c>
    </row>
    <row r="1938" spans="1:12" s="37" customFormat="1" ht="11.25" x14ac:dyDescent="0.2">
      <c r="A1938" s="46" t="s">
        <v>12870</v>
      </c>
      <c r="B1938" s="46" t="s">
        <v>51914</v>
      </c>
      <c r="C1938" s="58" t="str">
        <f>"11394773"</f>
        <v>11394773</v>
      </c>
      <c r="D1938" s="58" t="str">
        <f>""</f>
        <v/>
      </c>
      <c r="E1938" s="46" t="s">
        <v>12872</v>
      </c>
      <c r="F1938" s="46" t="s">
        <v>18439</v>
      </c>
      <c r="G1938" s="46" t="s">
        <v>50632</v>
      </c>
      <c r="H1938" s="48" t="s">
        <v>56716</v>
      </c>
      <c r="I1938" s="48" t="s">
        <v>50564</v>
      </c>
      <c r="J1938" s="48"/>
      <c r="K1938" s="50"/>
      <c r="L1938" s="48"/>
    </row>
    <row r="1939" spans="1:12" s="37" customFormat="1" ht="11.25" x14ac:dyDescent="0.2">
      <c r="A1939" s="46" t="s">
        <v>1016</v>
      </c>
      <c r="B1939" s="46" t="s">
        <v>1016</v>
      </c>
      <c r="C1939" s="58" t="str">
        <f>"00107824"</f>
        <v>00107824</v>
      </c>
      <c r="D1939" s="58" t="str">
        <f>"18790518"</f>
        <v>18790518</v>
      </c>
      <c r="E1939" s="46" t="s">
        <v>673</v>
      </c>
      <c r="F1939" s="46" t="s">
        <v>17759</v>
      </c>
      <c r="G1939" s="46" t="s">
        <v>50584</v>
      </c>
      <c r="H1939" s="48" t="s">
        <v>56716</v>
      </c>
      <c r="I1939" s="48" t="s">
        <v>50564</v>
      </c>
      <c r="J1939" s="48"/>
      <c r="K1939" s="50" t="s">
        <v>56716</v>
      </c>
      <c r="L1939" s="48" t="s">
        <v>56716</v>
      </c>
    </row>
    <row r="1940" spans="1:12" s="37" customFormat="1" ht="11.25" x14ac:dyDescent="0.2">
      <c r="A1940" s="46" t="s">
        <v>13292</v>
      </c>
      <c r="B1940" s="46" t="s">
        <v>13292</v>
      </c>
      <c r="C1940" s="58" t="str">
        <f>""</f>
        <v/>
      </c>
      <c r="D1940" s="58" t="str">
        <f>""</f>
        <v/>
      </c>
      <c r="E1940" s="46" t="s">
        <v>56304</v>
      </c>
      <c r="F1940" s="46" t="s">
        <v>17759</v>
      </c>
      <c r="G1940" s="46" t="s">
        <v>50584</v>
      </c>
      <c r="H1940" s="48" t="s">
        <v>56716</v>
      </c>
      <c r="I1940" s="48" t="s">
        <v>50566</v>
      </c>
      <c r="J1940" s="48"/>
      <c r="K1940" s="50"/>
      <c r="L1940" s="48"/>
    </row>
    <row r="1941" spans="1:12" s="37" customFormat="1" ht="11.25" x14ac:dyDescent="0.2">
      <c r="A1941" s="46" t="s">
        <v>11802</v>
      </c>
      <c r="B1941" s="46" t="s">
        <v>51915</v>
      </c>
      <c r="C1941" s="58" t="str">
        <f>"15554309"</f>
        <v>15554309</v>
      </c>
      <c r="D1941" s="58" t="str">
        <f>"15554317"</f>
        <v>15554317</v>
      </c>
      <c r="E1941" s="46" t="s">
        <v>751</v>
      </c>
      <c r="F1941" s="46" t="s">
        <v>50646</v>
      </c>
      <c r="G1941" s="46" t="s">
        <v>50584</v>
      </c>
      <c r="H1941" s="48" t="s">
        <v>56716</v>
      </c>
      <c r="I1941" s="48" t="s">
        <v>50564</v>
      </c>
      <c r="J1941" s="48" t="s">
        <v>56716</v>
      </c>
      <c r="K1941" s="50" t="s">
        <v>56716</v>
      </c>
      <c r="L1941" s="48" t="s">
        <v>56716</v>
      </c>
    </row>
    <row r="1942" spans="1:12" s="37" customFormat="1" ht="11.25" x14ac:dyDescent="0.2">
      <c r="A1942" s="46" t="s">
        <v>1056</v>
      </c>
      <c r="B1942" s="46" t="s">
        <v>51916</v>
      </c>
      <c r="C1942" s="58" t="str">
        <f>"03044246"</f>
        <v>03044246</v>
      </c>
      <c r="D1942" s="58" t="str">
        <f>"16622901"</f>
        <v>16622901</v>
      </c>
      <c r="E1942" s="46" t="s">
        <v>109</v>
      </c>
      <c r="F1942" s="46" t="s">
        <v>18123</v>
      </c>
      <c r="G1942" s="46" t="s">
        <v>50584</v>
      </c>
      <c r="H1942" s="48" t="s">
        <v>56716</v>
      </c>
      <c r="I1942" s="48" t="s">
        <v>50565</v>
      </c>
      <c r="J1942" s="48" t="s">
        <v>56716</v>
      </c>
      <c r="K1942" s="50"/>
      <c r="L1942" s="48"/>
    </row>
    <row r="1943" spans="1:12" s="37" customFormat="1" ht="11.25" x14ac:dyDescent="0.2">
      <c r="A1943" s="45" t="s">
        <v>26146</v>
      </c>
      <c r="B1943" s="45" t="s">
        <v>26148</v>
      </c>
      <c r="C1943" s="51" t="s">
        <v>26151</v>
      </c>
      <c r="D1943" s="51" t="s">
        <v>26150</v>
      </c>
      <c r="E1943" s="45" t="s">
        <v>18122</v>
      </c>
      <c r="F1943" s="45" t="s">
        <v>18123</v>
      </c>
      <c r="G1943" s="45" t="s">
        <v>50584</v>
      </c>
      <c r="H1943" s="56"/>
      <c r="I1943" s="56" t="s">
        <v>50564</v>
      </c>
      <c r="J1943" s="56"/>
      <c r="K1943" s="50"/>
      <c r="L1943" s="56" t="s">
        <v>56716</v>
      </c>
    </row>
    <row r="1944" spans="1:12" s="37" customFormat="1" ht="11.25" x14ac:dyDescent="0.2">
      <c r="A1944" s="45" t="s">
        <v>26153</v>
      </c>
      <c r="B1944" s="45" t="s">
        <v>26155</v>
      </c>
      <c r="C1944" s="51" t="s">
        <v>26157</v>
      </c>
      <c r="D1944" s="51" t="s">
        <v>26156</v>
      </c>
      <c r="E1944" s="45" t="s">
        <v>18176</v>
      </c>
      <c r="F1944" s="45" t="s">
        <v>18123</v>
      </c>
      <c r="G1944" s="45" t="s">
        <v>50584</v>
      </c>
      <c r="H1944" s="56"/>
      <c r="I1944" s="56" t="s">
        <v>50564</v>
      </c>
      <c r="J1944" s="56"/>
      <c r="K1944" s="50"/>
      <c r="L1944" s="56" t="s">
        <v>56716</v>
      </c>
    </row>
    <row r="1945" spans="1:12" s="37" customFormat="1" ht="11.25" x14ac:dyDescent="0.2">
      <c r="A1945" s="46" t="s">
        <v>12731</v>
      </c>
      <c r="B1945" s="46" t="s">
        <v>51917</v>
      </c>
      <c r="C1945" s="58" t="str">
        <f>"02503220"</f>
        <v>02503220</v>
      </c>
      <c r="D1945" s="58" t="str">
        <f>"16622928"</f>
        <v>16622928</v>
      </c>
      <c r="E1945" s="46" t="s">
        <v>109</v>
      </c>
      <c r="F1945" s="46" t="s">
        <v>18123</v>
      </c>
      <c r="G1945" s="46" t="s">
        <v>50584</v>
      </c>
      <c r="H1945" s="48" t="s">
        <v>56716</v>
      </c>
      <c r="I1945" s="48" t="s">
        <v>50565</v>
      </c>
      <c r="J1945" s="48" t="s">
        <v>56716</v>
      </c>
      <c r="K1945" s="50"/>
      <c r="L1945" s="48"/>
    </row>
    <row r="1946" spans="1:12" s="37" customFormat="1" ht="11.25" x14ac:dyDescent="0.2">
      <c r="A1946" s="46" t="s">
        <v>10395</v>
      </c>
      <c r="B1946" s="46" t="s">
        <v>51918</v>
      </c>
      <c r="C1946" s="58" t="str">
        <f>"15412555"</f>
        <v>15412555</v>
      </c>
      <c r="D1946" s="58" t="str">
        <f>"15412563"</f>
        <v>15412563</v>
      </c>
      <c r="E1946" s="46" t="s">
        <v>291</v>
      </c>
      <c r="F1946" s="46" t="s">
        <v>17759</v>
      </c>
      <c r="G1946" s="46" t="s">
        <v>50584</v>
      </c>
      <c r="H1946" s="48" t="s">
        <v>56716</v>
      </c>
      <c r="I1946" s="48" t="s">
        <v>50564</v>
      </c>
      <c r="J1946" s="48" t="s">
        <v>56716</v>
      </c>
      <c r="K1946" s="50"/>
      <c r="L1946" s="48" t="s">
        <v>56716</v>
      </c>
    </row>
    <row r="1947" spans="1:12" s="37" customFormat="1" ht="11.25" x14ac:dyDescent="0.2">
      <c r="A1947" s="46" t="s">
        <v>1246</v>
      </c>
      <c r="B1947" s="46" t="s">
        <v>51919</v>
      </c>
      <c r="C1947" s="58" t="str">
        <f>"00108650"</f>
        <v>00108650</v>
      </c>
      <c r="D1947" s="58" t="str">
        <f>"18037712"</f>
        <v>18037712</v>
      </c>
      <c r="E1947" s="46" t="s">
        <v>1249</v>
      </c>
      <c r="F1947" s="46" t="s">
        <v>18025</v>
      </c>
      <c r="G1947" s="46" t="s">
        <v>50584</v>
      </c>
      <c r="H1947" s="48" t="s">
        <v>56716</v>
      </c>
      <c r="I1947" s="48" t="s">
        <v>50564</v>
      </c>
      <c r="J1947" s="48"/>
      <c r="K1947" s="50" t="s">
        <v>56716</v>
      </c>
      <c r="L1947" s="48"/>
    </row>
    <row r="1948" spans="1:12" s="37" customFormat="1" ht="11.25" x14ac:dyDescent="0.2">
      <c r="A1948" s="46" t="s">
        <v>11076</v>
      </c>
      <c r="B1948" s="46" t="s">
        <v>51920</v>
      </c>
      <c r="C1948" s="58" t="str">
        <f>"15551741"</f>
        <v>15551741</v>
      </c>
      <c r="D1948" s="58" t="str">
        <f>"1555175X"</f>
        <v>1555175X</v>
      </c>
      <c r="E1948" s="46" t="s">
        <v>11078</v>
      </c>
      <c r="F1948" s="46" t="s">
        <v>19483</v>
      </c>
      <c r="G1948" s="46" t="s">
        <v>50584</v>
      </c>
      <c r="H1948" s="48" t="s">
        <v>56716</v>
      </c>
      <c r="I1948" s="48" t="s">
        <v>50564</v>
      </c>
      <c r="J1948" s="48"/>
      <c r="K1948" s="50"/>
      <c r="L1948" s="48"/>
    </row>
    <row r="1949" spans="1:12" s="37" customFormat="1" ht="11.25" x14ac:dyDescent="0.2">
      <c r="A1949" s="46" t="s">
        <v>1237</v>
      </c>
      <c r="B1949" s="46" t="s">
        <v>1237</v>
      </c>
      <c r="C1949" s="58" t="str">
        <f>"02773740"</f>
        <v>02773740</v>
      </c>
      <c r="D1949" s="58" t="str">
        <f>"15364798"</f>
        <v>15364798</v>
      </c>
      <c r="E1949" s="46" t="s">
        <v>28</v>
      </c>
      <c r="F1949" s="46" t="s">
        <v>17759</v>
      </c>
      <c r="G1949" s="46" t="s">
        <v>50584</v>
      </c>
      <c r="H1949" s="48" t="s">
        <v>56716</v>
      </c>
      <c r="I1949" s="48" t="s">
        <v>50564</v>
      </c>
      <c r="J1949" s="48" t="s">
        <v>56716</v>
      </c>
      <c r="K1949" s="50" t="s">
        <v>56716</v>
      </c>
      <c r="L1949" s="48" t="s">
        <v>56716</v>
      </c>
    </row>
    <row r="1950" spans="1:12" s="37" customFormat="1" ht="11.25" x14ac:dyDescent="0.2">
      <c r="A1950" s="45" t="s">
        <v>26165</v>
      </c>
      <c r="B1950" s="45" t="s">
        <v>26167</v>
      </c>
      <c r="C1950" s="51" t="s">
        <v>26168</v>
      </c>
      <c r="D1950" s="51"/>
      <c r="E1950" s="45" t="s">
        <v>26169</v>
      </c>
      <c r="F1950" s="45" t="s">
        <v>17759</v>
      </c>
      <c r="G1950" s="45" t="s">
        <v>50584</v>
      </c>
      <c r="H1950" s="56"/>
      <c r="I1950" s="56" t="s">
        <v>50564</v>
      </c>
      <c r="J1950" s="56"/>
      <c r="K1950" s="50"/>
      <c r="L1950" s="56" t="s">
        <v>56716</v>
      </c>
    </row>
    <row r="1951" spans="1:12" s="37" customFormat="1" ht="11.25" x14ac:dyDescent="0.2">
      <c r="A1951" s="45" t="s">
        <v>26171</v>
      </c>
      <c r="B1951" s="45" t="s">
        <v>26173</v>
      </c>
      <c r="C1951" s="51" t="s">
        <v>26175</v>
      </c>
      <c r="D1951" s="51"/>
      <c r="E1951" s="45" t="s">
        <v>26176</v>
      </c>
      <c r="F1951" s="45" t="s">
        <v>17759</v>
      </c>
      <c r="G1951" s="45" t="s">
        <v>50584</v>
      </c>
      <c r="H1951" s="56"/>
      <c r="I1951" s="56" t="s">
        <v>50564</v>
      </c>
      <c r="J1951" s="56"/>
      <c r="K1951" s="50"/>
      <c r="L1951" s="56" t="s">
        <v>56716</v>
      </c>
    </row>
    <row r="1952" spans="1:12" s="37" customFormat="1" ht="11.25" x14ac:dyDescent="0.2">
      <c r="A1952" s="46" t="s">
        <v>5202</v>
      </c>
      <c r="B1952" s="46" t="s">
        <v>51921</v>
      </c>
      <c r="C1952" s="58" t="str">
        <f>"09546928"</f>
        <v>09546928</v>
      </c>
      <c r="D1952" s="58" t="str">
        <f>"14735830"</f>
        <v>14735830</v>
      </c>
      <c r="E1952" s="46" t="s">
        <v>28</v>
      </c>
      <c r="F1952" s="46" t="s">
        <v>50646</v>
      </c>
      <c r="G1952" s="46" t="s">
        <v>50584</v>
      </c>
      <c r="H1952" s="48" t="s">
        <v>56716</v>
      </c>
      <c r="I1952" s="48" t="s">
        <v>50564</v>
      </c>
      <c r="J1952" s="48" t="s">
        <v>56716</v>
      </c>
      <c r="K1952" s="50" t="s">
        <v>56716</v>
      </c>
      <c r="L1952" s="48" t="s">
        <v>56716</v>
      </c>
    </row>
    <row r="1953" spans="1:12" s="37" customFormat="1" ht="11.25" x14ac:dyDescent="0.2">
      <c r="A1953" s="46" t="s">
        <v>1286</v>
      </c>
      <c r="B1953" s="46" t="s">
        <v>1286</v>
      </c>
      <c r="C1953" s="58" t="str">
        <f>"00109452"</f>
        <v>00109452</v>
      </c>
      <c r="D1953" s="58" t="str">
        <f>"19738102"</f>
        <v>19738102</v>
      </c>
      <c r="E1953" s="46" t="s">
        <v>1289</v>
      </c>
      <c r="F1953" s="46" t="s">
        <v>17991</v>
      </c>
      <c r="G1953" s="46" t="s">
        <v>50584</v>
      </c>
      <c r="H1953" s="48" t="s">
        <v>56716</v>
      </c>
      <c r="I1953" s="48" t="s">
        <v>50564</v>
      </c>
      <c r="J1953" s="48"/>
      <c r="K1953" s="50" t="s">
        <v>56716</v>
      </c>
      <c r="L1953" s="48" t="s">
        <v>56716</v>
      </c>
    </row>
    <row r="1954" spans="1:12" s="37" customFormat="1" ht="11.25" x14ac:dyDescent="0.2">
      <c r="A1954" s="46" t="s">
        <v>10254</v>
      </c>
      <c r="B1954" s="46" t="s">
        <v>51922</v>
      </c>
      <c r="C1954" s="58" t="str">
        <f>""</f>
        <v/>
      </c>
      <c r="D1954" s="58" t="str">
        <f>"14787547"</f>
        <v>14787547</v>
      </c>
      <c r="E1954" s="46" t="s">
        <v>2299</v>
      </c>
      <c r="F1954" s="46" t="s">
        <v>50646</v>
      </c>
      <c r="G1954" s="46" t="s">
        <v>50584</v>
      </c>
      <c r="H1954" s="48" t="s">
        <v>56716</v>
      </c>
      <c r="I1954" s="48" t="s">
        <v>50564</v>
      </c>
      <c r="J1954" s="48"/>
      <c r="K1954" s="50"/>
      <c r="L1954" s="48"/>
    </row>
    <row r="1955" spans="1:12" s="37" customFormat="1" ht="11.25" x14ac:dyDescent="0.2">
      <c r="A1955" s="46" t="s">
        <v>11662</v>
      </c>
      <c r="B1955" s="46" t="s">
        <v>11662</v>
      </c>
      <c r="C1955" s="58" t="str">
        <f>""</f>
        <v/>
      </c>
      <c r="D1955" s="58" t="str">
        <f>"17459974"</f>
        <v>17459974</v>
      </c>
      <c r="E1955" s="46" t="s">
        <v>2299</v>
      </c>
      <c r="F1955" s="46" t="s">
        <v>50646</v>
      </c>
      <c r="G1955" s="46" t="s">
        <v>50584</v>
      </c>
      <c r="H1955" s="48" t="s">
        <v>56716</v>
      </c>
      <c r="I1955" s="48" t="s">
        <v>50564</v>
      </c>
      <c r="J1955" s="48" t="s">
        <v>56716</v>
      </c>
      <c r="K1955" s="50"/>
      <c r="L1955" s="48"/>
    </row>
    <row r="1956" spans="1:12" s="37" customFormat="1" ht="11.25" x14ac:dyDescent="0.2">
      <c r="A1956" s="46" t="s">
        <v>8339</v>
      </c>
      <c r="B1956" s="46" t="s">
        <v>51923</v>
      </c>
      <c r="C1956" s="58" t="str">
        <f>"13678930"</f>
        <v>13678930</v>
      </c>
      <c r="D1956" s="58" t="str">
        <f>""</f>
        <v/>
      </c>
      <c r="E1956" s="46" t="s">
        <v>8341</v>
      </c>
      <c r="F1956" s="46" t="s">
        <v>50646</v>
      </c>
      <c r="G1956" s="46" t="s">
        <v>50584</v>
      </c>
      <c r="H1956" s="48" t="s">
        <v>56716</v>
      </c>
      <c r="I1956" s="48" t="s">
        <v>50564</v>
      </c>
      <c r="J1956" s="48"/>
      <c r="K1956" s="50"/>
      <c r="L1956" s="48"/>
    </row>
    <row r="1957" spans="1:12" s="37" customFormat="1" ht="11.25" x14ac:dyDescent="0.2">
      <c r="A1957" s="46" t="s">
        <v>16664</v>
      </c>
      <c r="B1957" s="46" t="s">
        <v>51924</v>
      </c>
      <c r="C1957" s="58" t="str">
        <f>""</f>
        <v/>
      </c>
      <c r="D1957" s="58" t="str">
        <f>"21638306"</f>
        <v>21638306</v>
      </c>
      <c r="E1957" s="46" t="s">
        <v>315</v>
      </c>
      <c r="F1957" s="46" t="s">
        <v>50646</v>
      </c>
      <c r="G1957" s="46" t="s">
        <v>50584</v>
      </c>
      <c r="H1957" s="48" t="s">
        <v>56716</v>
      </c>
      <c r="I1957" s="48" t="s">
        <v>50564</v>
      </c>
      <c r="J1957" s="48" t="s">
        <v>56716</v>
      </c>
      <c r="K1957" s="50"/>
      <c r="L1957" s="48"/>
    </row>
    <row r="1958" spans="1:12" s="37" customFormat="1" ht="11.25" x14ac:dyDescent="0.2">
      <c r="A1958" s="45" t="s">
        <v>26189</v>
      </c>
      <c r="B1958" s="45" t="s">
        <v>26191</v>
      </c>
      <c r="C1958" s="51" t="s">
        <v>26193</v>
      </c>
      <c r="D1958" s="51"/>
      <c r="E1958" s="45" t="s">
        <v>19396</v>
      </c>
      <c r="F1958" s="45" t="s">
        <v>50646</v>
      </c>
      <c r="G1958" s="45" t="s">
        <v>50584</v>
      </c>
      <c r="H1958" s="56"/>
      <c r="I1958" s="56" t="s">
        <v>50564</v>
      </c>
      <c r="J1958" s="56"/>
      <c r="K1958" s="50"/>
      <c r="L1958" s="56" t="s">
        <v>56716</v>
      </c>
    </row>
    <row r="1959" spans="1:12" s="37" customFormat="1" ht="11.25" x14ac:dyDescent="0.2">
      <c r="A1959" s="46" t="s">
        <v>17573</v>
      </c>
      <c r="B1959" s="46" t="s">
        <v>51925</v>
      </c>
      <c r="C1959" s="58" t="str">
        <f>"19433875"</f>
        <v>19433875</v>
      </c>
      <c r="D1959" s="58" t="str">
        <f>"19433883"</f>
        <v>19433883</v>
      </c>
      <c r="E1959" s="46" t="s">
        <v>371</v>
      </c>
      <c r="F1959" s="46" t="s">
        <v>17759</v>
      </c>
      <c r="G1959" s="46" t="s">
        <v>50584</v>
      </c>
      <c r="H1959" s="48" t="s">
        <v>56716</v>
      </c>
      <c r="I1959" s="48" t="s">
        <v>50564</v>
      </c>
      <c r="J1959" s="48" t="s">
        <v>56716</v>
      </c>
      <c r="K1959" s="50" t="s">
        <v>56716</v>
      </c>
      <c r="L1959" s="48"/>
    </row>
    <row r="1960" spans="1:12" s="37" customFormat="1" ht="11.25" x14ac:dyDescent="0.2">
      <c r="A1960" s="45" t="s">
        <v>26196</v>
      </c>
      <c r="B1960" s="45" t="s">
        <v>26198</v>
      </c>
      <c r="C1960" s="51" t="s">
        <v>26200</v>
      </c>
      <c r="D1960" s="51"/>
      <c r="E1960" s="45" t="s">
        <v>26201</v>
      </c>
      <c r="F1960" s="45" t="s">
        <v>17759</v>
      </c>
      <c r="G1960" s="45" t="s">
        <v>50584</v>
      </c>
      <c r="H1960" s="56"/>
      <c r="I1960" s="56" t="s">
        <v>50564</v>
      </c>
      <c r="J1960" s="56"/>
      <c r="K1960" s="50"/>
      <c r="L1960" s="56" t="s">
        <v>56716</v>
      </c>
    </row>
    <row r="1961" spans="1:12" s="37" customFormat="1" ht="11.25" x14ac:dyDescent="0.2">
      <c r="A1961" s="46" t="s">
        <v>5820</v>
      </c>
      <c r="B1961" s="46" t="s">
        <v>51926</v>
      </c>
      <c r="C1961" s="58" t="str">
        <f>"09579664"</f>
        <v>09579664</v>
      </c>
      <c r="D1961" s="58" t="str">
        <f>"14712857"</f>
        <v>14712857</v>
      </c>
      <c r="E1961" s="46" t="s">
        <v>751</v>
      </c>
      <c r="F1961" s="46" t="s">
        <v>50646</v>
      </c>
      <c r="G1961" s="46" t="s">
        <v>50584</v>
      </c>
      <c r="H1961" s="48" t="s">
        <v>56716</v>
      </c>
      <c r="I1961" s="48" t="s">
        <v>50564</v>
      </c>
      <c r="J1961" s="48"/>
      <c r="K1961" s="50" t="s">
        <v>56716</v>
      </c>
      <c r="L1961" s="48" t="s">
        <v>56716</v>
      </c>
    </row>
    <row r="1962" spans="1:12" s="37" customFormat="1" ht="11.25" x14ac:dyDescent="0.2">
      <c r="A1962" s="45" t="s">
        <v>26209</v>
      </c>
      <c r="B1962" s="45" t="s">
        <v>26209</v>
      </c>
      <c r="C1962" s="51" t="s">
        <v>26211</v>
      </c>
      <c r="D1962" s="51"/>
      <c r="E1962" s="45" t="s">
        <v>26212</v>
      </c>
      <c r="F1962" s="45" t="s">
        <v>18959</v>
      </c>
      <c r="G1962" s="45" t="s">
        <v>50594</v>
      </c>
      <c r="H1962" s="56"/>
      <c r="I1962" s="56" t="s">
        <v>50564</v>
      </c>
      <c r="J1962" s="56"/>
      <c r="K1962" s="50"/>
      <c r="L1962" s="56" t="s">
        <v>56716</v>
      </c>
    </row>
    <row r="1963" spans="1:12" s="37" customFormat="1" ht="11.25" x14ac:dyDescent="0.2">
      <c r="A1963" s="46" t="s">
        <v>7317</v>
      </c>
      <c r="B1963" s="46" t="s">
        <v>51927</v>
      </c>
      <c r="C1963" s="58" t="str">
        <f>"13648535"</f>
        <v>13648535</v>
      </c>
      <c r="D1963" s="58" t="str">
        <f>"1466609X"</f>
        <v>1466609X</v>
      </c>
      <c r="E1963" s="46" t="s">
        <v>2299</v>
      </c>
      <c r="F1963" s="46" t="s">
        <v>50646</v>
      </c>
      <c r="G1963" s="46" t="s">
        <v>50584</v>
      </c>
      <c r="H1963" s="48" t="s">
        <v>56716</v>
      </c>
      <c r="I1963" s="48" t="s">
        <v>50564</v>
      </c>
      <c r="J1963" s="48" t="s">
        <v>56716</v>
      </c>
      <c r="K1963" s="50" t="s">
        <v>56716</v>
      </c>
      <c r="L1963" s="48" t="s">
        <v>56716</v>
      </c>
    </row>
    <row r="1964" spans="1:12" s="37" customFormat="1" ht="11.25" x14ac:dyDescent="0.2">
      <c r="A1964" s="45" t="s">
        <v>26218</v>
      </c>
      <c r="B1964" s="45" t="s">
        <v>26220</v>
      </c>
      <c r="C1964" s="51" t="s">
        <v>26221</v>
      </c>
      <c r="D1964" s="51"/>
      <c r="E1964" s="45" t="s">
        <v>26222</v>
      </c>
      <c r="F1964" s="45" t="s">
        <v>20082</v>
      </c>
      <c r="G1964" s="45" t="s">
        <v>50584</v>
      </c>
      <c r="H1964" s="56"/>
      <c r="I1964" s="56" t="s">
        <v>50564</v>
      </c>
      <c r="J1964" s="56"/>
      <c r="K1964" s="50"/>
      <c r="L1964" s="56" t="s">
        <v>56716</v>
      </c>
    </row>
    <row r="1965" spans="1:12" s="37" customFormat="1" ht="11.25" x14ac:dyDescent="0.2">
      <c r="A1965" s="46" t="s">
        <v>8963</v>
      </c>
      <c r="B1965" s="46" t="s">
        <v>51928</v>
      </c>
      <c r="C1965" s="58" t="str">
        <f>"14107767"</f>
        <v>14107767</v>
      </c>
      <c r="D1965" s="58" t="str">
        <f>""</f>
        <v/>
      </c>
      <c r="E1965" s="46" t="s">
        <v>8965</v>
      </c>
      <c r="F1965" s="46" t="s">
        <v>18225</v>
      </c>
      <c r="G1965" s="46" t="s">
        <v>50584</v>
      </c>
      <c r="H1965" s="48" t="s">
        <v>56716</v>
      </c>
      <c r="I1965" s="48" t="s">
        <v>50564</v>
      </c>
      <c r="J1965" s="48"/>
      <c r="K1965" s="50"/>
      <c r="L1965" s="48"/>
    </row>
    <row r="1966" spans="1:12" s="37" customFormat="1" ht="11.25" x14ac:dyDescent="0.2">
      <c r="A1966" s="46" t="s">
        <v>998</v>
      </c>
      <c r="B1966" s="46" t="s">
        <v>51929</v>
      </c>
      <c r="C1966" s="58" t="str">
        <f>"07490704"</f>
        <v>07490704</v>
      </c>
      <c r="D1966" s="58" t="str">
        <f>"15578232"</f>
        <v>15578232</v>
      </c>
      <c r="E1966" s="46" t="s">
        <v>303</v>
      </c>
      <c r="F1966" s="46" t="s">
        <v>17759</v>
      </c>
      <c r="G1966" s="46" t="s">
        <v>50584</v>
      </c>
      <c r="H1966" s="48" t="s">
        <v>56716</v>
      </c>
      <c r="I1966" s="48" t="s">
        <v>50564</v>
      </c>
      <c r="J1966" s="48" t="s">
        <v>56716</v>
      </c>
      <c r="K1966" s="50" t="s">
        <v>56716</v>
      </c>
      <c r="L1966" s="48" t="s">
        <v>56716</v>
      </c>
    </row>
    <row r="1967" spans="1:12" s="37" customFormat="1" ht="11.25" x14ac:dyDescent="0.2">
      <c r="A1967" s="46" t="s">
        <v>1010</v>
      </c>
      <c r="B1967" s="46" t="s">
        <v>51930</v>
      </c>
      <c r="C1967" s="58" t="str">
        <f>"00903493"</f>
        <v>00903493</v>
      </c>
      <c r="D1967" s="58" t="str">
        <f>"15300293"</f>
        <v>15300293</v>
      </c>
      <c r="E1967" s="46" t="s">
        <v>28</v>
      </c>
      <c r="F1967" s="46" t="s">
        <v>17759</v>
      </c>
      <c r="G1967" s="46" t="s">
        <v>50584</v>
      </c>
      <c r="H1967" s="48" t="s">
        <v>56716</v>
      </c>
      <c r="I1967" s="48" t="s">
        <v>50564</v>
      </c>
      <c r="J1967" s="48" t="s">
        <v>56716</v>
      </c>
      <c r="K1967" s="50" t="s">
        <v>56716</v>
      </c>
      <c r="L1967" s="48" t="s">
        <v>56716</v>
      </c>
    </row>
    <row r="1968" spans="1:12" s="37" customFormat="1" ht="11.25" x14ac:dyDescent="0.2">
      <c r="A1968" s="45" t="s">
        <v>26232</v>
      </c>
      <c r="B1968" s="45" t="s">
        <v>26234</v>
      </c>
      <c r="C1968" s="51" t="s">
        <v>26236</v>
      </c>
      <c r="D1968" s="51" t="s">
        <v>26235</v>
      </c>
      <c r="E1968" s="45" t="s">
        <v>26237</v>
      </c>
      <c r="F1968" s="45" t="s">
        <v>17759</v>
      </c>
      <c r="G1968" s="45" t="s">
        <v>50584</v>
      </c>
      <c r="H1968" s="56"/>
      <c r="I1968" s="56" t="s">
        <v>50564</v>
      </c>
      <c r="J1968" s="56"/>
      <c r="K1968" s="50"/>
      <c r="L1968" s="56" t="s">
        <v>56716</v>
      </c>
    </row>
    <row r="1969" spans="1:12" s="37" customFormat="1" ht="11.25" x14ac:dyDescent="0.2">
      <c r="A1969" s="45" t="s">
        <v>26239</v>
      </c>
      <c r="B1969" s="45" t="s">
        <v>26241</v>
      </c>
      <c r="C1969" s="51" t="s">
        <v>26243</v>
      </c>
      <c r="D1969" s="51" t="s">
        <v>26242</v>
      </c>
      <c r="E1969" s="45" t="s">
        <v>25648</v>
      </c>
      <c r="F1969" s="45" t="s">
        <v>17759</v>
      </c>
      <c r="G1969" s="45" t="s">
        <v>50584</v>
      </c>
      <c r="H1969" s="56"/>
      <c r="I1969" s="56" t="s">
        <v>50564</v>
      </c>
      <c r="J1969" s="56"/>
      <c r="K1969" s="50"/>
      <c r="L1969" s="56" t="s">
        <v>56716</v>
      </c>
    </row>
    <row r="1970" spans="1:12" s="37" customFormat="1" ht="11.25" x14ac:dyDescent="0.2">
      <c r="A1970" s="46" t="s">
        <v>4391</v>
      </c>
      <c r="B1970" s="46" t="s">
        <v>51931</v>
      </c>
      <c r="C1970" s="58" t="str">
        <f>"08879303"</f>
        <v>08879303</v>
      </c>
      <c r="D1970" s="58" t="str">
        <f>"15505111"</f>
        <v>15505111</v>
      </c>
      <c r="E1970" s="46" t="s">
        <v>28</v>
      </c>
      <c r="F1970" s="46" t="s">
        <v>17759</v>
      </c>
      <c r="G1970" s="46" t="s">
        <v>50584</v>
      </c>
      <c r="H1970" s="48" t="s">
        <v>56716</v>
      </c>
      <c r="I1970" s="48" t="s">
        <v>50564</v>
      </c>
      <c r="J1970" s="48"/>
      <c r="K1970" s="50"/>
      <c r="L1970" s="48" t="s">
        <v>56716</v>
      </c>
    </row>
    <row r="1971" spans="1:12" s="37" customFormat="1" ht="11.25" x14ac:dyDescent="0.2">
      <c r="A1971" s="46" t="s">
        <v>9508</v>
      </c>
      <c r="B1971" s="46" t="s">
        <v>51932</v>
      </c>
      <c r="C1971" s="58" t="str">
        <f>"1535282X"</f>
        <v>1535282X</v>
      </c>
      <c r="D1971" s="58" t="str">
        <f>"15352811"</f>
        <v>15352811</v>
      </c>
      <c r="E1971" s="46" t="s">
        <v>28</v>
      </c>
      <c r="F1971" s="46" t="s">
        <v>17759</v>
      </c>
      <c r="G1971" s="46" t="s">
        <v>50584</v>
      </c>
      <c r="H1971" s="48" t="s">
        <v>56716</v>
      </c>
      <c r="I1971" s="48" t="s">
        <v>50564</v>
      </c>
      <c r="J1971" s="48" t="s">
        <v>56716</v>
      </c>
      <c r="K1971" s="50"/>
      <c r="L1971" s="48" t="s">
        <v>56716</v>
      </c>
    </row>
    <row r="1972" spans="1:12" s="37" customFormat="1" ht="11.25" x14ac:dyDescent="0.2">
      <c r="A1972" s="46" t="s">
        <v>8949</v>
      </c>
      <c r="B1972" s="46" t="s">
        <v>51933</v>
      </c>
      <c r="C1972" s="58" t="str">
        <f>"09581596"</f>
        <v>09581596</v>
      </c>
      <c r="D1972" s="58" t="str">
        <f>"14693682"</f>
        <v>14693682</v>
      </c>
      <c r="E1972" s="46" t="s">
        <v>689</v>
      </c>
      <c r="F1972" s="46" t="s">
        <v>50646</v>
      </c>
      <c r="G1972" s="46" t="s">
        <v>50584</v>
      </c>
      <c r="H1972" s="48" t="s">
        <v>56716</v>
      </c>
      <c r="I1972" s="48" t="s">
        <v>50564</v>
      </c>
      <c r="J1972" s="48"/>
      <c r="K1972" s="50" t="s">
        <v>56716</v>
      </c>
      <c r="L1972" s="48"/>
    </row>
    <row r="1973" spans="1:12" s="37" customFormat="1" ht="11.25" x14ac:dyDescent="0.2">
      <c r="A1973" s="45" t="s">
        <v>56549</v>
      </c>
      <c r="B1973" s="45" t="s">
        <v>56550</v>
      </c>
      <c r="C1973" s="51" t="s">
        <v>56551</v>
      </c>
      <c r="D1973" s="51" t="s">
        <v>56552</v>
      </c>
      <c r="E1973" s="45" t="s">
        <v>32879</v>
      </c>
      <c r="F1973" s="45" t="s">
        <v>17759</v>
      </c>
      <c r="G1973" s="45" t="s">
        <v>50584</v>
      </c>
      <c r="H1973" s="56"/>
      <c r="I1973" s="56" t="s">
        <v>50564</v>
      </c>
      <c r="J1973" s="56"/>
      <c r="K1973" s="50"/>
      <c r="L1973" s="56" t="s">
        <v>56716</v>
      </c>
    </row>
    <row r="1974" spans="1:12" s="37" customFormat="1" ht="11.25" x14ac:dyDescent="0.2">
      <c r="A1974" s="46" t="s">
        <v>5067</v>
      </c>
      <c r="B1974" s="46" t="s">
        <v>51934</v>
      </c>
      <c r="C1974" s="58" t="str">
        <f>"10409238"</f>
        <v>10409238</v>
      </c>
      <c r="D1974" s="58" t="str">
        <f>"15497798"</f>
        <v>15497798</v>
      </c>
      <c r="E1974" s="46" t="s">
        <v>291</v>
      </c>
      <c r="F1974" s="46" t="s">
        <v>50646</v>
      </c>
      <c r="G1974" s="46" t="s">
        <v>50584</v>
      </c>
      <c r="H1974" s="48" t="s">
        <v>56716</v>
      </c>
      <c r="I1974" s="48" t="s">
        <v>50564</v>
      </c>
      <c r="J1974" s="48" t="s">
        <v>56716</v>
      </c>
      <c r="K1974" s="50"/>
      <c r="L1974" s="48" t="s">
        <v>56716</v>
      </c>
    </row>
    <row r="1975" spans="1:12" s="37" customFormat="1" ht="11.25" x14ac:dyDescent="0.2">
      <c r="A1975" s="46" t="s">
        <v>1276</v>
      </c>
      <c r="B1975" s="46" t="s">
        <v>51935</v>
      </c>
      <c r="C1975" s="58" t="str">
        <f>"0278940X"</f>
        <v>0278940X</v>
      </c>
      <c r="D1975" s="58" t="str">
        <f>""</f>
        <v/>
      </c>
      <c r="E1975" s="46" t="s">
        <v>1278</v>
      </c>
      <c r="F1975" s="46" t="s">
        <v>17759</v>
      </c>
      <c r="G1975" s="46" t="s">
        <v>50584</v>
      </c>
      <c r="H1975" s="48" t="s">
        <v>56716</v>
      </c>
      <c r="I1975" s="48" t="s">
        <v>50564</v>
      </c>
      <c r="J1975" s="48" t="s">
        <v>56716</v>
      </c>
      <c r="K1975" s="50"/>
      <c r="L1975" s="48" t="s">
        <v>56716</v>
      </c>
    </row>
    <row r="1976" spans="1:12" s="37" customFormat="1" ht="11.25" x14ac:dyDescent="0.2">
      <c r="A1976" s="46" t="s">
        <v>7612</v>
      </c>
      <c r="B1976" s="46" t="s">
        <v>51936</v>
      </c>
      <c r="C1976" s="58" t="str">
        <f>"07388551"</f>
        <v>07388551</v>
      </c>
      <c r="D1976" s="58" t="str">
        <f>"15497801"</f>
        <v>15497801</v>
      </c>
      <c r="E1976" s="46" t="s">
        <v>291</v>
      </c>
      <c r="F1976" s="46" t="s">
        <v>17759</v>
      </c>
      <c r="G1976" s="46" t="s">
        <v>50584</v>
      </c>
      <c r="H1976" s="48" t="s">
        <v>56716</v>
      </c>
      <c r="I1976" s="48" t="s">
        <v>50564</v>
      </c>
      <c r="J1976" s="48" t="s">
        <v>56716</v>
      </c>
      <c r="K1976" s="50"/>
      <c r="L1976" s="48" t="s">
        <v>56716</v>
      </c>
    </row>
    <row r="1977" spans="1:12" s="37" customFormat="1" ht="11.25" x14ac:dyDescent="0.2">
      <c r="A1977" s="46" t="s">
        <v>4747</v>
      </c>
      <c r="B1977" s="46" t="s">
        <v>51937</v>
      </c>
      <c r="C1977" s="58" t="str">
        <f>"10408363"</f>
        <v>10408363</v>
      </c>
      <c r="D1977" s="58" t="str">
        <f>"1549781X"</f>
        <v>1549781X</v>
      </c>
      <c r="E1977" s="46" t="s">
        <v>291</v>
      </c>
      <c r="F1977" s="46" t="s">
        <v>50646</v>
      </c>
      <c r="G1977" s="46" t="s">
        <v>50584</v>
      </c>
      <c r="H1977" s="48" t="s">
        <v>56716</v>
      </c>
      <c r="I1977" s="48" t="s">
        <v>50564</v>
      </c>
      <c r="J1977" s="48" t="s">
        <v>56716</v>
      </c>
      <c r="K1977" s="50"/>
      <c r="L1977" s="48" t="s">
        <v>56716</v>
      </c>
    </row>
    <row r="1978" spans="1:12" s="37" customFormat="1" ht="11.25" x14ac:dyDescent="0.2">
      <c r="A1978" s="46" t="s">
        <v>6212</v>
      </c>
      <c r="B1978" s="46" t="s">
        <v>51938</v>
      </c>
      <c r="C1978" s="58" t="str">
        <f>"10643389"</f>
        <v>10643389</v>
      </c>
      <c r="D1978" s="58" t="str">
        <f>"15476537"</f>
        <v>15476537</v>
      </c>
      <c r="E1978" s="46" t="s">
        <v>669</v>
      </c>
      <c r="F1978" s="46" t="s">
        <v>17759</v>
      </c>
      <c r="G1978" s="46" t="s">
        <v>50584</v>
      </c>
      <c r="H1978" s="48" t="s">
        <v>56716</v>
      </c>
      <c r="I1978" s="48" t="s">
        <v>50564</v>
      </c>
      <c r="J1978" s="48"/>
      <c r="K1978" s="50"/>
      <c r="L1978" s="48"/>
    </row>
    <row r="1979" spans="1:12" s="37" customFormat="1" ht="11.25" x14ac:dyDescent="0.2">
      <c r="A1979" s="46" t="s">
        <v>5184</v>
      </c>
      <c r="B1979" s="46" t="s">
        <v>51939</v>
      </c>
      <c r="C1979" s="58" t="str">
        <f>"10454403"</f>
        <v>10454403</v>
      </c>
      <c r="D1979" s="58" t="str">
        <f>""</f>
        <v/>
      </c>
      <c r="E1979" s="46" t="s">
        <v>1278</v>
      </c>
      <c r="F1979" s="46" t="s">
        <v>17759</v>
      </c>
      <c r="G1979" s="46" t="s">
        <v>50584</v>
      </c>
      <c r="H1979" s="48" t="s">
        <v>56716</v>
      </c>
      <c r="I1979" s="48" t="s">
        <v>50564</v>
      </c>
      <c r="J1979" s="48" t="s">
        <v>56716</v>
      </c>
      <c r="K1979" s="50"/>
      <c r="L1979" s="48" t="s">
        <v>56716</v>
      </c>
    </row>
    <row r="1980" spans="1:12" s="37" customFormat="1" ht="11.25" x14ac:dyDescent="0.2">
      <c r="A1980" s="45" t="s">
        <v>26281</v>
      </c>
      <c r="B1980" s="45" t="s">
        <v>26283</v>
      </c>
      <c r="C1980" s="51" t="s">
        <v>26286</v>
      </c>
      <c r="D1980" s="51" t="s">
        <v>26285</v>
      </c>
      <c r="E1980" s="45" t="s">
        <v>291</v>
      </c>
      <c r="F1980" s="45" t="s">
        <v>50646</v>
      </c>
      <c r="G1980" s="45" t="s">
        <v>50584</v>
      </c>
      <c r="H1980" s="56"/>
      <c r="I1980" s="56" t="s">
        <v>50564</v>
      </c>
      <c r="J1980" s="56"/>
      <c r="K1980" s="50"/>
      <c r="L1980" s="56" t="s">
        <v>56716</v>
      </c>
    </row>
    <row r="1981" spans="1:12" s="37" customFormat="1" ht="11.25" x14ac:dyDescent="0.2">
      <c r="A1981" s="46" t="s">
        <v>4799</v>
      </c>
      <c r="B1981" s="46" t="s">
        <v>51940</v>
      </c>
      <c r="C1981" s="58" t="str">
        <f>"10408401"</f>
        <v>10408401</v>
      </c>
      <c r="D1981" s="58" t="str">
        <f>""</f>
        <v/>
      </c>
      <c r="E1981" s="46" t="s">
        <v>1278</v>
      </c>
      <c r="F1981" s="46" t="s">
        <v>17759</v>
      </c>
      <c r="G1981" s="46" t="s">
        <v>50584</v>
      </c>
      <c r="H1981" s="48" t="s">
        <v>56716</v>
      </c>
      <c r="I1981" s="48" t="s">
        <v>50564</v>
      </c>
      <c r="J1981" s="48" t="s">
        <v>56716</v>
      </c>
      <c r="K1981" s="50"/>
      <c r="L1981" s="48" t="s">
        <v>56716</v>
      </c>
    </row>
    <row r="1982" spans="1:12" s="37" customFormat="1" ht="11.25" x14ac:dyDescent="0.2">
      <c r="A1982" s="46" t="s">
        <v>1293</v>
      </c>
      <c r="B1982" s="46" t="s">
        <v>51941</v>
      </c>
      <c r="C1982" s="58" t="str">
        <f>"1040841X"</f>
        <v>1040841X</v>
      </c>
      <c r="D1982" s="58" t="str">
        <f>"15497828"</f>
        <v>15497828</v>
      </c>
      <c r="E1982" s="46" t="s">
        <v>291</v>
      </c>
      <c r="F1982" s="46" t="s">
        <v>50646</v>
      </c>
      <c r="G1982" s="46" t="s">
        <v>50584</v>
      </c>
      <c r="H1982" s="48" t="s">
        <v>56716</v>
      </c>
      <c r="I1982" s="48" t="s">
        <v>50564</v>
      </c>
      <c r="J1982" s="48" t="s">
        <v>56716</v>
      </c>
      <c r="K1982" s="50"/>
      <c r="L1982" s="48" t="s">
        <v>56716</v>
      </c>
    </row>
    <row r="1983" spans="1:12" s="37" customFormat="1" ht="11.25" x14ac:dyDescent="0.2">
      <c r="A1983" s="46" t="s">
        <v>4473</v>
      </c>
      <c r="B1983" s="46" t="s">
        <v>51942</v>
      </c>
      <c r="C1983" s="58" t="str">
        <f>"08920915"</f>
        <v>08920915</v>
      </c>
      <c r="D1983" s="58" t="str">
        <f>""</f>
        <v/>
      </c>
      <c r="E1983" s="46" t="s">
        <v>1278</v>
      </c>
      <c r="F1983" s="46" t="s">
        <v>17759</v>
      </c>
      <c r="G1983" s="46" t="s">
        <v>50584</v>
      </c>
      <c r="H1983" s="48" t="s">
        <v>56716</v>
      </c>
      <c r="I1983" s="48" t="s">
        <v>50564</v>
      </c>
      <c r="J1983" s="48"/>
      <c r="K1983" s="50"/>
      <c r="L1983" s="48"/>
    </row>
    <row r="1984" spans="1:12" s="37" customFormat="1" ht="11.25" x14ac:dyDescent="0.2">
      <c r="A1984" s="46" t="s">
        <v>5644</v>
      </c>
      <c r="B1984" s="46" t="s">
        <v>51943</v>
      </c>
      <c r="C1984" s="58" t="str">
        <f>"08939675"</f>
        <v>08939675</v>
      </c>
      <c r="D1984" s="58" t="str">
        <f>"21626448"</f>
        <v>21626448</v>
      </c>
      <c r="E1984" s="46" t="s">
        <v>1278</v>
      </c>
      <c r="F1984" s="46" t="s">
        <v>17759</v>
      </c>
      <c r="G1984" s="46" t="s">
        <v>50584</v>
      </c>
      <c r="H1984" s="48" t="s">
        <v>56716</v>
      </c>
      <c r="I1984" s="48" t="s">
        <v>50564</v>
      </c>
      <c r="J1984" s="48" t="s">
        <v>56716</v>
      </c>
      <c r="K1984" s="50"/>
      <c r="L1984" s="48" t="s">
        <v>56716</v>
      </c>
    </row>
    <row r="1985" spans="1:12" s="37" customFormat="1" ht="11.25" x14ac:dyDescent="0.2">
      <c r="A1985" s="46" t="s">
        <v>1019</v>
      </c>
      <c r="B1985" s="46" t="s">
        <v>51944</v>
      </c>
      <c r="C1985" s="58" t="str">
        <f>"10408428"</f>
        <v>10408428</v>
      </c>
      <c r="D1985" s="58" t="str">
        <f>"18790461"</f>
        <v>18790461</v>
      </c>
      <c r="E1985" s="46" t="s">
        <v>221</v>
      </c>
      <c r="F1985" s="46" t="s">
        <v>21771</v>
      </c>
      <c r="G1985" s="46" t="s">
        <v>50584</v>
      </c>
      <c r="H1985" s="48" t="s">
        <v>56716</v>
      </c>
      <c r="I1985" s="48" t="s">
        <v>50564</v>
      </c>
      <c r="J1985" s="48"/>
      <c r="K1985" s="50" t="s">
        <v>56716</v>
      </c>
      <c r="L1985" s="48" t="s">
        <v>56716</v>
      </c>
    </row>
    <row r="1986" spans="1:12" s="37" customFormat="1" ht="11.25" x14ac:dyDescent="0.2">
      <c r="A1986" s="46" t="s">
        <v>6063</v>
      </c>
      <c r="B1986" s="46" t="s">
        <v>51945</v>
      </c>
      <c r="C1986" s="58" t="str">
        <f>"08962960"</f>
        <v>08962960</v>
      </c>
      <c r="D1986" s="58" t="str">
        <f>"21626553"</f>
        <v>21626553</v>
      </c>
      <c r="E1986" s="46" t="s">
        <v>1278</v>
      </c>
      <c r="F1986" s="46" t="s">
        <v>17759</v>
      </c>
      <c r="G1986" s="46" t="s">
        <v>50584</v>
      </c>
      <c r="H1986" s="48" t="s">
        <v>56716</v>
      </c>
      <c r="I1986" s="48" t="s">
        <v>50564</v>
      </c>
      <c r="J1986" s="48" t="s">
        <v>56716</v>
      </c>
      <c r="K1986" s="50"/>
      <c r="L1986" s="48"/>
    </row>
    <row r="1987" spans="1:12" s="37" customFormat="1" ht="11.25" x14ac:dyDescent="0.2">
      <c r="A1987" s="46" t="s">
        <v>1283</v>
      </c>
      <c r="B1987" s="46" t="s">
        <v>51946</v>
      </c>
      <c r="C1987" s="58" t="str">
        <f>"07434863"</f>
        <v>07434863</v>
      </c>
      <c r="D1987" s="58" t="str">
        <f>"2162660X"</f>
        <v>2162660X</v>
      </c>
      <c r="E1987" s="46" t="s">
        <v>1278</v>
      </c>
      <c r="F1987" s="46" t="s">
        <v>17759</v>
      </c>
      <c r="G1987" s="46" t="s">
        <v>50584</v>
      </c>
      <c r="H1987" s="48" t="s">
        <v>56716</v>
      </c>
      <c r="I1987" s="48" t="s">
        <v>50564</v>
      </c>
      <c r="J1987" s="48"/>
      <c r="K1987" s="50"/>
      <c r="L1987" s="48" t="s">
        <v>56716</v>
      </c>
    </row>
    <row r="1988" spans="1:12" s="37" customFormat="1" ht="11.25" x14ac:dyDescent="0.2">
      <c r="A1988" s="46" t="s">
        <v>1290</v>
      </c>
      <c r="B1988" s="46" t="s">
        <v>51947</v>
      </c>
      <c r="C1988" s="58" t="str">
        <f>"10408444"</f>
        <v>10408444</v>
      </c>
      <c r="D1988" s="58" t="str">
        <f>"15476898"</f>
        <v>15476898</v>
      </c>
      <c r="E1988" s="46" t="s">
        <v>291</v>
      </c>
      <c r="F1988" s="46" t="s">
        <v>17759</v>
      </c>
      <c r="G1988" s="46" t="s">
        <v>50584</v>
      </c>
      <c r="H1988" s="48" t="s">
        <v>56716</v>
      </c>
      <c r="I1988" s="48" t="s">
        <v>50564</v>
      </c>
      <c r="J1988" s="48"/>
      <c r="K1988" s="50"/>
      <c r="L1988" s="48" t="s">
        <v>56716</v>
      </c>
    </row>
    <row r="1989" spans="1:12" s="37" customFormat="1" ht="11.25" x14ac:dyDescent="0.2">
      <c r="A1989" s="46" t="s">
        <v>15284</v>
      </c>
      <c r="B1989" s="46" t="s">
        <v>51948</v>
      </c>
      <c r="C1989" s="58" t="str">
        <f>"20363176"</f>
        <v>20363176</v>
      </c>
      <c r="D1989" s="58" t="str">
        <f>"20367902"</f>
        <v>20367902</v>
      </c>
      <c r="E1989" s="46" t="s">
        <v>55895</v>
      </c>
      <c r="F1989" s="46" t="s">
        <v>17991</v>
      </c>
      <c r="G1989" s="46" t="s">
        <v>50584</v>
      </c>
      <c r="H1989" s="48" t="s">
        <v>56716</v>
      </c>
      <c r="I1989" s="48" t="s">
        <v>50564</v>
      </c>
      <c r="J1989" s="48" t="s">
        <v>56716</v>
      </c>
      <c r="K1989" s="50"/>
      <c r="L1989" s="48"/>
    </row>
    <row r="1990" spans="1:12" s="37" customFormat="1" ht="11.25" x14ac:dyDescent="0.2">
      <c r="A1990" s="46" t="s">
        <v>5774</v>
      </c>
      <c r="B1990" s="46" t="s">
        <v>51949</v>
      </c>
      <c r="C1990" s="58" t="str">
        <f>"03539504"</f>
        <v>03539504</v>
      </c>
      <c r="D1990" s="58" t="str">
        <f>"13328166"</f>
        <v>13328166</v>
      </c>
      <c r="E1990" s="46" t="s">
        <v>5147</v>
      </c>
      <c r="F1990" s="46" t="s">
        <v>18079</v>
      </c>
      <c r="G1990" s="46" t="s">
        <v>50584</v>
      </c>
      <c r="H1990" s="48" t="s">
        <v>56716</v>
      </c>
      <c r="I1990" s="48" t="s">
        <v>50564</v>
      </c>
      <c r="J1990" s="48"/>
      <c r="K1990" s="50"/>
      <c r="L1990" s="48" t="s">
        <v>56716</v>
      </c>
    </row>
    <row r="1991" spans="1:12" s="37" customFormat="1" ht="11.25" x14ac:dyDescent="0.2">
      <c r="A1991" s="45" t="s">
        <v>26321</v>
      </c>
      <c r="B1991" s="45" t="s">
        <v>26323</v>
      </c>
      <c r="C1991" s="51" t="s">
        <v>26324</v>
      </c>
      <c r="D1991" s="51"/>
      <c r="E1991" s="45" t="s">
        <v>26325</v>
      </c>
      <c r="F1991" s="45" t="s">
        <v>50646</v>
      </c>
      <c r="G1991" s="45" t="s">
        <v>50584</v>
      </c>
      <c r="H1991" s="56"/>
      <c r="I1991" s="56" t="s">
        <v>50564</v>
      </c>
      <c r="J1991" s="56"/>
      <c r="K1991" s="50"/>
      <c r="L1991" s="56" t="s">
        <v>56716</v>
      </c>
    </row>
    <row r="1992" spans="1:12" s="37" customFormat="1" ht="11.25" x14ac:dyDescent="0.2">
      <c r="A1992" s="46" t="s">
        <v>1296</v>
      </c>
      <c r="B1992" s="46" t="s">
        <v>1296</v>
      </c>
      <c r="C1992" s="58" t="str">
        <f>"00112240"</f>
        <v>00112240</v>
      </c>
      <c r="D1992" s="58" t="str">
        <f>"10902392"</f>
        <v>10902392</v>
      </c>
      <c r="E1992" s="46" t="s">
        <v>60</v>
      </c>
      <c r="F1992" s="46" t="s">
        <v>17759</v>
      </c>
      <c r="G1992" s="46" t="s">
        <v>50584</v>
      </c>
      <c r="H1992" s="48" t="s">
        <v>56716</v>
      </c>
      <c r="I1992" s="48" t="s">
        <v>50564</v>
      </c>
      <c r="J1992" s="48" t="s">
        <v>56716</v>
      </c>
      <c r="K1992" s="50" t="s">
        <v>56716</v>
      </c>
      <c r="L1992" s="48" t="s">
        <v>56716</v>
      </c>
    </row>
    <row r="1993" spans="1:12" s="37" customFormat="1" ht="11.25" x14ac:dyDescent="0.2">
      <c r="A1993" s="45" t="s">
        <v>26329</v>
      </c>
      <c r="B1993" s="45" t="s">
        <v>26331</v>
      </c>
      <c r="C1993" s="51" t="s">
        <v>26332</v>
      </c>
      <c r="D1993" s="51"/>
      <c r="E1993" s="45" t="s">
        <v>26333</v>
      </c>
      <c r="F1993" s="45" t="s">
        <v>18439</v>
      </c>
      <c r="G1993" s="45" t="s">
        <v>50633</v>
      </c>
      <c r="H1993" s="56"/>
      <c r="I1993" s="56" t="s">
        <v>50564</v>
      </c>
      <c r="J1993" s="56"/>
      <c r="K1993" s="50"/>
      <c r="L1993" s="56" t="s">
        <v>56716</v>
      </c>
    </row>
    <row r="1994" spans="1:12" s="37" customFormat="1" ht="11.25" x14ac:dyDescent="0.2">
      <c r="A1994" s="46" t="s">
        <v>7857</v>
      </c>
      <c r="B1994" s="46" t="s">
        <v>51950</v>
      </c>
      <c r="C1994" s="58" t="str">
        <f>"11350970"</f>
        <v>11350970</v>
      </c>
      <c r="D1994" s="58" t="str">
        <f>""</f>
        <v/>
      </c>
      <c r="E1994" s="46" t="s">
        <v>7859</v>
      </c>
      <c r="F1994" s="46" t="s">
        <v>18439</v>
      </c>
      <c r="G1994" s="46" t="s">
        <v>50632</v>
      </c>
      <c r="H1994" s="48" t="s">
        <v>56716</v>
      </c>
      <c r="I1994" s="48" t="s">
        <v>50564</v>
      </c>
      <c r="J1994" s="48"/>
      <c r="K1994" s="50"/>
      <c r="L1994" s="48"/>
    </row>
    <row r="1995" spans="1:12" s="37" customFormat="1" ht="11.25" x14ac:dyDescent="0.2">
      <c r="A1995" s="46" t="s">
        <v>8137</v>
      </c>
      <c r="B1995" s="46" t="s">
        <v>51951</v>
      </c>
      <c r="C1995" s="58" t="str">
        <f>"10999809"</f>
        <v>10999809</v>
      </c>
      <c r="D1995" s="58" t="str">
        <f>"19390106"</f>
        <v>19390106</v>
      </c>
      <c r="E1995" s="46" t="s">
        <v>356</v>
      </c>
      <c r="F1995" s="46" t="s">
        <v>17759</v>
      </c>
      <c r="G1995" s="46" t="s">
        <v>50584</v>
      </c>
      <c r="H1995" s="48" t="s">
        <v>56716</v>
      </c>
      <c r="I1995" s="48" t="s">
        <v>50564</v>
      </c>
      <c r="J1995" s="48"/>
      <c r="K1995" s="50" t="s">
        <v>56716</v>
      </c>
      <c r="L1995" s="48" t="s">
        <v>56716</v>
      </c>
    </row>
    <row r="1996" spans="1:12" s="37" customFormat="1" ht="11.25" x14ac:dyDescent="0.2">
      <c r="A1996" s="45" t="s">
        <v>26343</v>
      </c>
      <c r="B1996" s="45" t="s">
        <v>26345</v>
      </c>
      <c r="C1996" s="51" t="s">
        <v>26347</v>
      </c>
      <c r="D1996" s="51" t="s">
        <v>26346</v>
      </c>
      <c r="E1996" s="45" t="s">
        <v>291</v>
      </c>
      <c r="F1996" s="45" t="s">
        <v>50646</v>
      </c>
      <c r="G1996" s="45" t="s">
        <v>50584</v>
      </c>
      <c r="H1996" s="56"/>
      <c r="I1996" s="56" t="s">
        <v>50564</v>
      </c>
      <c r="J1996" s="56"/>
      <c r="K1996" s="50"/>
      <c r="L1996" s="56" t="s">
        <v>56716</v>
      </c>
    </row>
    <row r="1997" spans="1:12" s="37" customFormat="1" ht="11.25" x14ac:dyDescent="0.2">
      <c r="A1997" s="45" t="s">
        <v>26350</v>
      </c>
      <c r="B1997" s="45" t="s">
        <v>26352</v>
      </c>
      <c r="C1997" s="51" t="s">
        <v>26354</v>
      </c>
      <c r="D1997" s="51" t="s">
        <v>26353</v>
      </c>
      <c r="E1997" s="45" t="s">
        <v>21011</v>
      </c>
      <c r="F1997" s="45" t="s">
        <v>18001</v>
      </c>
      <c r="G1997" s="45" t="s">
        <v>50584</v>
      </c>
      <c r="H1997" s="56"/>
      <c r="I1997" s="56" t="s">
        <v>50564</v>
      </c>
      <c r="J1997" s="56"/>
      <c r="K1997" s="50"/>
      <c r="L1997" s="56" t="s">
        <v>56716</v>
      </c>
    </row>
    <row r="1998" spans="1:12" s="37" customFormat="1" ht="11.25" x14ac:dyDescent="0.2">
      <c r="A1998" s="45" t="s">
        <v>26357</v>
      </c>
      <c r="B1998" s="45" t="s">
        <v>26357</v>
      </c>
      <c r="C1998" s="51" t="s">
        <v>26361</v>
      </c>
      <c r="D1998" s="51" t="s">
        <v>26360</v>
      </c>
      <c r="E1998" s="45" t="s">
        <v>26362</v>
      </c>
      <c r="F1998" s="45" t="s">
        <v>24311</v>
      </c>
      <c r="G1998" s="45" t="s">
        <v>50589</v>
      </c>
      <c r="H1998" s="56"/>
      <c r="I1998" s="56" t="s">
        <v>50564</v>
      </c>
      <c r="J1998" s="56"/>
      <c r="K1998" s="50"/>
      <c r="L1998" s="56" t="s">
        <v>56716</v>
      </c>
    </row>
    <row r="1999" spans="1:12" s="37" customFormat="1" ht="11.25" x14ac:dyDescent="0.2">
      <c r="A1999" s="46" t="s">
        <v>12937</v>
      </c>
      <c r="B1999" s="46" t="s">
        <v>51952</v>
      </c>
      <c r="C1999" s="58" t="str">
        <f>"18746098"</f>
        <v>18746098</v>
      </c>
      <c r="D1999" s="58" t="str">
        <f>"18746128"</f>
        <v>18746128</v>
      </c>
      <c r="E1999" s="46" t="s">
        <v>6405</v>
      </c>
      <c r="F1999" s="46" t="s">
        <v>18001</v>
      </c>
      <c r="G1999" s="46" t="s">
        <v>50584</v>
      </c>
      <c r="H1999" s="48" t="s">
        <v>56716</v>
      </c>
      <c r="I1999" s="48" t="s">
        <v>50564</v>
      </c>
      <c r="J1999" s="48" t="s">
        <v>56716</v>
      </c>
      <c r="K1999" s="50"/>
      <c r="L1999" s="48" t="s">
        <v>56716</v>
      </c>
    </row>
    <row r="2000" spans="1:12" s="37" customFormat="1" ht="11.25" x14ac:dyDescent="0.2">
      <c r="A2000" s="46" t="s">
        <v>9719</v>
      </c>
      <c r="B2000" s="46" t="s">
        <v>51953</v>
      </c>
      <c r="C2000" s="58" t="str">
        <f>"15297322"</f>
        <v>15297322</v>
      </c>
      <c r="D2000" s="58" t="str">
        <f>"15346315"</f>
        <v>15346315</v>
      </c>
      <c r="E2000" s="46" t="s">
        <v>56325</v>
      </c>
      <c r="F2000" s="46" t="s">
        <v>17759</v>
      </c>
      <c r="G2000" s="46" t="s">
        <v>50584</v>
      </c>
      <c r="H2000" s="48" t="s">
        <v>56716</v>
      </c>
      <c r="I2000" s="48" t="s">
        <v>50564</v>
      </c>
      <c r="J2000" s="48"/>
      <c r="K2000" s="50"/>
      <c r="L2000" s="48" t="s">
        <v>56716</v>
      </c>
    </row>
    <row r="2001" spans="1:12" s="37" customFormat="1" ht="11.25" x14ac:dyDescent="0.2">
      <c r="A2001" s="46" t="s">
        <v>13801</v>
      </c>
      <c r="B2001" s="46" t="s">
        <v>51954</v>
      </c>
      <c r="C2001" s="58" t="str">
        <f>"16093607"</f>
        <v>16093607</v>
      </c>
      <c r="D2001" s="58" t="str">
        <f>"16093607"</f>
        <v>16093607</v>
      </c>
      <c r="E2001" s="46" t="s">
        <v>13803</v>
      </c>
      <c r="F2001" s="46" t="s">
        <v>24311</v>
      </c>
      <c r="G2001" s="46" t="s">
        <v>50584</v>
      </c>
      <c r="H2001" s="48" t="s">
        <v>56716</v>
      </c>
      <c r="I2001" s="48" t="s">
        <v>50564</v>
      </c>
      <c r="J2001" s="48"/>
      <c r="K2001" s="50"/>
      <c r="L2001" s="48"/>
    </row>
    <row r="2002" spans="1:12" s="37" customFormat="1" ht="11.25" x14ac:dyDescent="0.2">
      <c r="A2002" s="46" t="s">
        <v>10415</v>
      </c>
      <c r="B2002" s="46" t="s">
        <v>51955</v>
      </c>
      <c r="C2002" s="58" t="str">
        <f>"15672050"</f>
        <v>15672050</v>
      </c>
      <c r="D2002" s="58" t="str">
        <f>"18755828"</f>
        <v>18755828</v>
      </c>
      <c r="E2002" s="46" t="s">
        <v>6405</v>
      </c>
      <c r="F2002" s="46" t="s">
        <v>18001</v>
      </c>
      <c r="G2002" s="46" t="s">
        <v>50584</v>
      </c>
      <c r="H2002" s="48" t="s">
        <v>56716</v>
      </c>
      <c r="I2002" s="48" t="s">
        <v>50564</v>
      </c>
      <c r="J2002" s="48" t="s">
        <v>56716</v>
      </c>
      <c r="K2002" s="50"/>
      <c r="L2002" s="48" t="s">
        <v>56716</v>
      </c>
    </row>
    <row r="2003" spans="1:12" s="37" customFormat="1" ht="11.25" x14ac:dyDescent="0.2">
      <c r="A2003" s="46" t="s">
        <v>16395</v>
      </c>
      <c r="B2003" s="46" t="s">
        <v>51956</v>
      </c>
      <c r="C2003" s="58" t="str">
        <f>"22115528"</f>
        <v>22115528</v>
      </c>
      <c r="D2003" s="58" t="str">
        <f>"22115536"</f>
        <v>22115536</v>
      </c>
      <c r="E2003" s="46" t="s">
        <v>6405</v>
      </c>
      <c r="F2003" s="46" t="s">
        <v>18001</v>
      </c>
      <c r="G2003" s="46" t="s">
        <v>50584</v>
      </c>
      <c r="H2003" s="48" t="s">
        <v>56716</v>
      </c>
      <c r="I2003" s="48" t="s">
        <v>50564</v>
      </c>
      <c r="J2003" s="48" t="s">
        <v>56716</v>
      </c>
      <c r="K2003" s="50"/>
      <c r="L2003" s="48"/>
    </row>
    <row r="2004" spans="1:12" s="37" customFormat="1" ht="11.25" x14ac:dyDescent="0.2">
      <c r="A2004" s="45" t="s">
        <v>26380</v>
      </c>
      <c r="B2004" s="45" t="s">
        <v>26382</v>
      </c>
      <c r="C2004" s="51" t="s">
        <v>26385</v>
      </c>
      <c r="D2004" s="51" t="s">
        <v>26384</v>
      </c>
      <c r="E2004" s="45" t="s">
        <v>26386</v>
      </c>
      <c r="F2004" s="45" t="s">
        <v>17759</v>
      </c>
      <c r="G2004" s="45" t="s">
        <v>50584</v>
      </c>
      <c r="H2004" s="56"/>
      <c r="I2004" s="56" t="s">
        <v>50564</v>
      </c>
      <c r="J2004" s="56"/>
      <c r="K2004" s="50"/>
      <c r="L2004" s="56" t="s">
        <v>56716</v>
      </c>
    </row>
    <row r="2005" spans="1:12" s="37" customFormat="1" ht="11.25" x14ac:dyDescent="0.2">
      <c r="A2005" s="46" t="s">
        <v>9722</v>
      </c>
      <c r="B2005" s="46" t="s">
        <v>51957</v>
      </c>
      <c r="C2005" s="58" t="str">
        <f>"15233804"</f>
        <v>15233804</v>
      </c>
      <c r="D2005" s="58" t="str">
        <f>"15346242"</f>
        <v>15346242</v>
      </c>
      <c r="E2005" s="46" t="s">
        <v>56325</v>
      </c>
      <c r="F2005" s="46" t="s">
        <v>17759</v>
      </c>
      <c r="G2005" s="46" t="s">
        <v>50584</v>
      </c>
      <c r="H2005" s="48" t="s">
        <v>56716</v>
      </c>
      <c r="I2005" s="48" t="s">
        <v>50564</v>
      </c>
      <c r="J2005" s="48"/>
      <c r="K2005" s="50"/>
      <c r="L2005" s="48" t="s">
        <v>56716</v>
      </c>
    </row>
    <row r="2006" spans="1:12" s="37" customFormat="1" ht="11.25" x14ac:dyDescent="0.2">
      <c r="A2006" s="46" t="s">
        <v>11805</v>
      </c>
      <c r="B2006" s="46" t="s">
        <v>51958</v>
      </c>
      <c r="C2006" s="58" t="str">
        <f>"15734072"</f>
        <v>15734072</v>
      </c>
      <c r="D2006" s="58" t="str">
        <f>"18756646"</f>
        <v>18756646</v>
      </c>
      <c r="E2006" s="46" t="s">
        <v>6405</v>
      </c>
      <c r="F2006" s="46" t="s">
        <v>18001</v>
      </c>
      <c r="G2006" s="46" t="s">
        <v>50584</v>
      </c>
      <c r="H2006" s="48" t="s">
        <v>56716</v>
      </c>
      <c r="I2006" s="48" t="s">
        <v>50564</v>
      </c>
      <c r="J2006" s="48" t="s">
        <v>56716</v>
      </c>
      <c r="K2006" s="50"/>
      <c r="L2006" s="48"/>
    </row>
    <row r="2007" spans="1:12" s="37" customFormat="1" ht="11.25" x14ac:dyDescent="0.2">
      <c r="A2007" s="46" t="s">
        <v>11808</v>
      </c>
      <c r="B2007" s="46" t="s">
        <v>51959</v>
      </c>
      <c r="C2007" s="58" t="str">
        <f>"15748936"</f>
        <v>15748936</v>
      </c>
      <c r="D2007" s="58" t="str">
        <f>""</f>
        <v/>
      </c>
      <c r="E2007" s="46" t="s">
        <v>6405</v>
      </c>
      <c r="F2007" s="46" t="s">
        <v>18001</v>
      </c>
      <c r="G2007" s="46" t="s">
        <v>50584</v>
      </c>
      <c r="H2007" s="48" t="s">
        <v>56716</v>
      </c>
      <c r="I2007" s="48" t="s">
        <v>50564</v>
      </c>
      <c r="J2007" s="48" t="s">
        <v>56716</v>
      </c>
      <c r="K2007" s="50"/>
      <c r="L2007" s="48"/>
    </row>
    <row r="2008" spans="1:12" s="37" customFormat="1" ht="11.25" x14ac:dyDescent="0.2">
      <c r="A2008" s="45" t="s">
        <v>26394</v>
      </c>
      <c r="B2008" s="45" t="s">
        <v>26396</v>
      </c>
      <c r="C2008" s="51" t="s">
        <v>26398</v>
      </c>
      <c r="D2008" s="51" t="s">
        <v>26397</v>
      </c>
      <c r="E2008" s="45" t="s">
        <v>324</v>
      </c>
      <c r="F2008" s="45" t="s">
        <v>50646</v>
      </c>
      <c r="G2008" s="45" t="s">
        <v>50584</v>
      </c>
      <c r="H2008" s="56"/>
      <c r="I2008" s="56" t="s">
        <v>50564</v>
      </c>
      <c r="J2008" s="56"/>
      <c r="K2008" s="50"/>
      <c r="L2008" s="56" t="s">
        <v>56716</v>
      </c>
    </row>
    <row r="2009" spans="1:12" s="37" customFormat="1" ht="11.25" x14ac:dyDescent="0.2">
      <c r="A2009" s="46" t="s">
        <v>16398</v>
      </c>
      <c r="B2009" s="46" t="s">
        <v>51960</v>
      </c>
      <c r="C2009" s="58" t="str">
        <f>"22115501"</f>
        <v>22115501</v>
      </c>
      <c r="D2009" s="58" t="str">
        <f>"2211551X"</f>
        <v>2211551X</v>
      </c>
      <c r="E2009" s="46" t="s">
        <v>6405</v>
      </c>
      <c r="F2009" s="46" t="s">
        <v>18001</v>
      </c>
      <c r="G2009" s="46" t="s">
        <v>50584</v>
      </c>
      <c r="H2009" s="48" t="s">
        <v>56716</v>
      </c>
      <c r="I2009" s="48" t="s">
        <v>50564</v>
      </c>
      <c r="J2009" s="48" t="s">
        <v>56716</v>
      </c>
      <c r="K2009" s="50"/>
      <c r="L2009" s="48"/>
    </row>
    <row r="2010" spans="1:12" s="37" customFormat="1" ht="11.25" x14ac:dyDescent="0.2">
      <c r="A2010" s="46" t="s">
        <v>16525</v>
      </c>
      <c r="B2010" s="46" t="s">
        <v>51961</v>
      </c>
      <c r="C2010" s="58" t="str">
        <f>"19317212"</f>
        <v>19317212</v>
      </c>
      <c r="D2010" s="58" t="str">
        <f>"19317220"</f>
        <v>19317220</v>
      </c>
      <c r="E2010" s="46" t="s">
        <v>56325</v>
      </c>
      <c r="F2010" s="46" t="s">
        <v>17759</v>
      </c>
      <c r="G2010" s="46" t="s">
        <v>50584</v>
      </c>
      <c r="H2010" s="48" t="s">
        <v>56716</v>
      </c>
      <c r="I2010" s="48" t="s">
        <v>50564</v>
      </c>
      <c r="J2010" s="48"/>
      <c r="K2010" s="50"/>
      <c r="L2010" s="48"/>
    </row>
    <row r="2011" spans="1:12" s="37" customFormat="1" ht="11.25" x14ac:dyDescent="0.2">
      <c r="A2011" s="46" t="s">
        <v>13926</v>
      </c>
      <c r="B2011" s="46" t="s">
        <v>51962</v>
      </c>
      <c r="C2011" s="58" t="str">
        <f>"19434588"</f>
        <v>19434588</v>
      </c>
      <c r="D2011" s="58" t="str">
        <f>"19434596"</f>
        <v>19434596</v>
      </c>
      <c r="E2011" s="46" t="s">
        <v>56325</v>
      </c>
      <c r="F2011" s="46" t="s">
        <v>17759</v>
      </c>
      <c r="G2011" s="46" t="s">
        <v>50584</v>
      </c>
      <c r="H2011" s="48" t="s">
        <v>56716</v>
      </c>
      <c r="I2011" s="48" t="s">
        <v>50564</v>
      </c>
      <c r="J2011" s="48"/>
      <c r="K2011" s="50" t="s">
        <v>56716</v>
      </c>
      <c r="L2011" s="48"/>
    </row>
    <row r="2012" spans="1:12" s="37" customFormat="1" ht="11.25" x14ac:dyDescent="0.2">
      <c r="A2012" s="46" t="s">
        <v>9043</v>
      </c>
      <c r="B2012" s="46" t="s">
        <v>51963</v>
      </c>
      <c r="C2012" s="58" t="str">
        <f>"15680096"</f>
        <v>15680096</v>
      </c>
      <c r="D2012" s="58" t="str">
        <f>"18735576"</f>
        <v>18735576</v>
      </c>
      <c r="E2012" s="46" t="s">
        <v>6405</v>
      </c>
      <c r="F2012" s="46" t="s">
        <v>18001</v>
      </c>
      <c r="G2012" s="46" t="s">
        <v>50584</v>
      </c>
      <c r="H2012" s="48" t="s">
        <v>56716</v>
      </c>
      <c r="I2012" s="48" t="s">
        <v>50564</v>
      </c>
      <c r="J2012" s="48"/>
      <c r="K2012" s="50"/>
      <c r="L2012" s="48" t="s">
        <v>56716</v>
      </c>
    </row>
    <row r="2013" spans="1:12" s="37" customFormat="1" ht="11.25" x14ac:dyDescent="0.2">
      <c r="A2013" s="46" t="s">
        <v>15774</v>
      </c>
      <c r="B2013" s="46" t="s">
        <v>51964</v>
      </c>
      <c r="C2013" s="58" t="str">
        <f>"09400745"</f>
        <v>09400745</v>
      </c>
      <c r="D2013" s="58" t="str">
        <f>""</f>
        <v/>
      </c>
      <c r="E2013" s="46" t="s">
        <v>40314</v>
      </c>
      <c r="F2013" s="46" t="s">
        <v>17759</v>
      </c>
      <c r="G2013" s="46" t="s">
        <v>50584</v>
      </c>
      <c r="H2013" s="48" t="s">
        <v>56716</v>
      </c>
      <c r="I2013" s="48" t="s">
        <v>50565</v>
      </c>
      <c r="J2013" s="48" t="s">
        <v>56716</v>
      </c>
      <c r="K2013" s="50"/>
      <c r="L2013" s="48"/>
    </row>
    <row r="2014" spans="1:12" s="37" customFormat="1" ht="11.25" x14ac:dyDescent="0.2">
      <c r="A2014" s="46" t="s">
        <v>10974</v>
      </c>
      <c r="B2014" s="46" t="s">
        <v>51965</v>
      </c>
      <c r="C2014" s="58" t="str">
        <f>"15733947"</f>
        <v>15733947</v>
      </c>
      <c r="D2014" s="58" t="str">
        <f>"18756301"</f>
        <v>18756301</v>
      </c>
      <c r="E2014" s="46" t="s">
        <v>6405</v>
      </c>
      <c r="F2014" s="46" t="s">
        <v>18001</v>
      </c>
      <c r="G2014" s="46" t="s">
        <v>50584</v>
      </c>
      <c r="H2014" s="48" t="s">
        <v>56716</v>
      </c>
      <c r="I2014" s="48" t="s">
        <v>50564</v>
      </c>
      <c r="J2014" s="48" t="s">
        <v>56716</v>
      </c>
      <c r="K2014" s="50"/>
      <c r="L2014" s="48"/>
    </row>
    <row r="2015" spans="1:12" s="37" customFormat="1" ht="11.25" x14ac:dyDescent="0.2">
      <c r="A2015" s="46" t="s">
        <v>9725</v>
      </c>
      <c r="B2015" s="46" t="s">
        <v>51966</v>
      </c>
      <c r="C2015" s="58" t="str">
        <f>"15233782"</f>
        <v>15233782</v>
      </c>
      <c r="D2015" s="58" t="str">
        <f>"15343170"</f>
        <v>15343170</v>
      </c>
      <c r="E2015" s="46" t="s">
        <v>56325</v>
      </c>
      <c r="F2015" s="46" t="s">
        <v>17759</v>
      </c>
      <c r="G2015" s="46" t="s">
        <v>50584</v>
      </c>
      <c r="H2015" s="48" t="s">
        <v>56716</v>
      </c>
      <c r="I2015" s="48" t="s">
        <v>50564</v>
      </c>
      <c r="J2015" s="48"/>
      <c r="K2015" s="50"/>
      <c r="L2015" s="48" t="s">
        <v>56716</v>
      </c>
    </row>
    <row r="2016" spans="1:12" s="37" customFormat="1" ht="11.25" x14ac:dyDescent="0.2">
      <c r="A2016" s="46" t="s">
        <v>10977</v>
      </c>
      <c r="B2016" s="46" t="s">
        <v>51967</v>
      </c>
      <c r="C2016" s="58" t="str">
        <f>"1573403X"</f>
        <v>1573403X</v>
      </c>
      <c r="D2016" s="58" t="str">
        <f>"18756557"</f>
        <v>18756557</v>
      </c>
      <c r="E2016" s="46" t="s">
        <v>6405</v>
      </c>
      <c r="F2016" s="46" t="s">
        <v>18001</v>
      </c>
      <c r="G2016" s="46" t="s">
        <v>50584</v>
      </c>
      <c r="H2016" s="48" t="s">
        <v>56716</v>
      </c>
      <c r="I2016" s="48" t="s">
        <v>50564</v>
      </c>
      <c r="J2016" s="48" t="s">
        <v>56716</v>
      </c>
      <c r="K2016" s="50"/>
      <c r="L2016" s="48" t="s">
        <v>56716</v>
      </c>
    </row>
    <row r="2017" spans="1:12" s="37" customFormat="1" ht="11.25" x14ac:dyDescent="0.2">
      <c r="A2017" s="46" t="s">
        <v>16528</v>
      </c>
      <c r="B2017" s="46" t="s">
        <v>51968</v>
      </c>
      <c r="C2017" s="58" t="str">
        <f>"19419066"</f>
        <v>19419066</v>
      </c>
      <c r="D2017" s="58" t="str">
        <f>"19419074"</f>
        <v>19419074</v>
      </c>
      <c r="E2017" s="46" t="s">
        <v>56325</v>
      </c>
      <c r="F2017" s="46" t="s">
        <v>17759</v>
      </c>
      <c r="G2017" s="46" t="s">
        <v>50584</v>
      </c>
      <c r="H2017" s="48" t="s">
        <v>56716</v>
      </c>
      <c r="I2017" s="48" t="s">
        <v>50564</v>
      </c>
      <c r="J2017" s="48"/>
      <c r="K2017" s="50"/>
      <c r="L2017" s="48"/>
    </row>
    <row r="2018" spans="1:12" s="37" customFormat="1" ht="11.25" x14ac:dyDescent="0.2">
      <c r="A2018" s="46" t="s">
        <v>16531</v>
      </c>
      <c r="B2018" s="46" t="s">
        <v>51969</v>
      </c>
      <c r="C2018" s="58" t="str">
        <f>"19329520"</f>
        <v>19329520</v>
      </c>
      <c r="D2018" s="58" t="str">
        <f>"19329563"</f>
        <v>19329563</v>
      </c>
      <c r="E2018" s="46" t="s">
        <v>56325</v>
      </c>
      <c r="F2018" s="46" t="s">
        <v>17759</v>
      </c>
      <c r="G2018" s="46" t="s">
        <v>50584</v>
      </c>
      <c r="H2018" s="48" t="s">
        <v>56716</v>
      </c>
      <c r="I2018" s="48" t="s">
        <v>50564</v>
      </c>
      <c r="J2018" s="48"/>
      <c r="K2018" s="50"/>
      <c r="L2018" s="48"/>
    </row>
    <row r="2019" spans="1:12" s="37" customFormat="1" ht="11.25" x14ac:dyDescent="0.2">
      <c r="A2019" s="46" t="s">
        <v>12314</v>
      </c>
      <c r="B2019" s="46" t="s">
        <v>51970</v>
      </c>
      <c r="C2019" s="58" t="str">
        <f>"22127968"</f>
        <v>22127968</v>
      </c>
      <c r="D2019" s="58" t="str">
        <f>"18723136"</f>
        <v>18723136</v>
      </c>
      <c r="E2019" s="46" t="s">
        <v>6405</v>
      </c>
      <c r="F2019" s="46" t="s">
        <v>18001</v>
      </c>
      <c r="G2019" s="46" t="s">
        <v>50584</v>
      </c>
      <c r="H2019" s="48" t="s">
        <v>56716</v>
      </c>
      <c r="I2019" s="48" t="s">
        <v>50564</v>
      </c>
      <c r="J2019" s="48" t="s">
        <v>56716</v>
      </c>
      <c r="K2019" s="50"/>
      <c r="L2019" s="48"/>
    </row>
    <row r="2020" spans="1:12" s="37" customFormat="1" ht="11.25" x14ac:dyDescent="0.2">
      <c r="A2020" s="46" t="s">
        <v>13427</v>
      </c>
      <c r="B2020" s="46" t="s">
        <v>51971</v>
      </c>
      <c r="C2020" s="58" t="str">
        <f>""</f>
        <v/>
      </c>
      <c r="D2020" s="58" t="str">
        <f>"18753973"</f>
        <v>18753973</v>
      </c>
      <c r="E2020" s="46" t="s">
        <v>6405</v>
      </c>
      <c r="F2020" s="46" t="s">
        <v>18001</v>
      </c>
      <c r="G2020" s="46" t="s">
        <v>50584</v>
      </c>
      <c r="H2020" s="48" t="s">
        <v>56716</v>
      </c>
      <c r="I2020" s="48" t="s">
        <v>50564</v>
      </c>
      <c r="J2020" s="48" t="s">
        <v>56716</v>
      </c>
      <c r="K2020" s="50"/>
      <c r="L2020" s="48"/>
    </row>
    <row r="2021" spans="1:12" s="37" customFormat="1" ht="11.25" x14ac:dyDescent="0.2">
      <c r="A2021" s="46" t="s">
        <v>15171</v>
      </c>
      <c r="B2021" s="46" t="s">
        <v>51972</v>
      </c>
      <c r="C2021" s="58" t="str">
        <f>"15590585"</f>
        <v>15590585</v>
      </c>
      <c r="D2021" s="58" t="str">
        <f>""</f>
        <v/>
      </c>
      <c r="E2021" s="46" t="s">
        <v>40314</v>
      </c>
      <c r="F2021" s="46" t="s">
        <v>17759</v>
      </c>
      <c r="G2021" s="46" t="s">
        <v>50584</v>
      </c>
      <c r="H2021" s="48" t="s">
        <v>56716</v>
      </c>
      <c r="I2021" s="48" t="s">
        <v>50565</v>
      </c>
      <c r="J2021" s="48" t="s">
        <v>56716</v>
      </c>
      <c r="K2021" s="50"/>
      <c r="L2021" s="48"/>
    </row>
    <row r="2022" spans="1:12" s="37" customFormat="1" ht="11.25" x14ac:dyDescent="0.2">
      <c r="A2022" s="46" t="s">
        <v>11810</v>
      </c>
      <c r="B2022" s="46" t="s">
        <v>51973</v>
      </c>
      <c r="C2022" s="58" t="str">
        <f>"15748847"</f>
        <v>15748847</v>
      </c>
      <c r="D2022" s="58" t="str">
        <f>""</f>
        <v/>
      </c>
      <c r="E2022" s="46" t="s">
        <v>6405</v>
      </c>
      <c r="F2022" s="46" t="s">
        <v>18001</v>
      </c>
      <c r="G2022" s="46" t="s">
        <v>50584</v>
      </c>
      <c r="H2022" s="48" t="s">
        <v>56716</v>
      </c>
      <c r="I2022" s="48" t="s">
        <v>50564</v>
      </c>
      <c r="J2022" s="48" t="s">
        <v>56716</v>
      </c>
      <c r="K2022" s="50"/>
      <c r="L2022" s="48" t="s">
        <v>56716</v>
      </c>
    </row>
    <row r="2023" spans="1:12" s="37" customFormat="1" ht="11.25" x14ac:dyDescent="0.2">
      <c r="A2023" s="46" t="s">
        <v>13929</v>
      </c>
      <c r="B2023" s="46" t="s">
        <v>51974</v>
      </c>
      <c r="C2023" s="58" t="str">
        <f>"15563790"</f>
        <v>15563790</v>
      </c>
      <c r="D2023" s="58" t="str">
        <f>"15563804"</f>
        <v>15563804</v>
      </c>
      <c r="E2023" s="46" t="s">
        <v>56325</v>
      </c>
      <c r="F2023" s="46" t="s">
        <v>17759</v>
      </c>
      <c r="G2023" s="46" t="s">
        <v>50584</v>
      </c>
      <c r="H2023" s="48" t="s">
        <v>56716</v>
      </c>
      <c r="I2023" s="48" t="s">
        <v>50564</v>
      </c>
      <c r="J2023" s="48"/>
      <c r="K2023" s="50" t="s">
        <v>56716</v>
      </c>
      <c r="L2023" s="48"/>
    </row>
    <row r="2024" spans="1:12" s="37" customFormat="1" ht="11.25" x14ac:dyDescent="0.2">
      <c r="A2024" s="46" t="s">
        <v>10980</v>
      </c>
      <c r="B2024" s="46" t="s">
        <v>51975</v>
      </c>
      <c r="C2024" s="58" t="str">
        <f>"15734099"</f>
        <v>15734099</v>
      </c>
      <c r="D2024" s="58" t="str">
        <f>"18756697"</f>
        <v>18756697</v>
      </c>
      <c r="E2024" s="46" t="s">
        <v>6405</v>
      </c>
      <c r="F2024" s="46" t="s">
        <v>18001</v>
      </c>
      <c r="G2024" s="46" t="s">
        <v>50584</v>
      </c>
      <c r="H2024" s="48" t="s">
        <v>56716</v>
      </c>
      <c r="I2024" s="48" t="s">
        <v>50564</v>
      </c>
      <c r="J2024" s="48"/>
      <c r="K2024" s="50"/>
      <c r="L2024" s="48" t="s">
        <v>56716</v>
      </c>
    </row>
    <row r="2025" spans="1:12" s="37" customFormat="1" ht="11.25" x14ac:dyDescent="0.2">
      <c r="A2025" s="46" t="s">
        <v>16465</v>
      </c>
      <c r="B2025" s="46" t="s">
        <v>51976</v>
      </c>
      <c r="C2025" s="58" t="str">
        <f>""</f>
        <v/>
      </c>
      <c r="D2025" s="58" t="str">
        <f>"21624933"</f>
        <v>21624933</v>
      </c>
      <c r="E2025" s="46" t="s">
        <v>56325</v>
      </c>
      <c r="F2025" s="46" t="s">
        <v>17759</v>
      </c>
      <c r="G2025" s="46" t="s">
        <v>50584</v>
      </c>
      <c r="H2025" s="48" t="s">
        <v>56716</v>
      </c>
      <c r="I2025" s="48" t="s">
        <v>50564</v>
      </c>
      <c r="J2025" s="48" t="s">
        <v>56716</v>
      </c>
      <c r="K2025" s="50"/>
      <c r="L2025" s="48"/>
    </row>
    <row r="2026" spans="1:12" s="37" customFormat="1" ht="11.25" x14ac:dyDescent="0.2">
      <c r="A2026" s="46" t="s">
        <v>9728</v>
      </c>
      <c r="B2026" s="46" t="s">
        <v>51977</v>
      </c>
      <c r="C2026" s="58" t="str">
        <f>"15344827"</f>
        <v>15344827</v>
      </c>
      <c r="D2026" s="58" t="str">
        <f>"15390829"</f>
        <v>15390829</v>
      </c>
      <c r="E2026" s="46" t="s">
        <v>56325</v>
      </c>
      <c r="F2026" s="46" t="s">
        <v>17759</v>
      </c>
      <c r="G2026" s="46" t="s">
        <v>50584</v>
      </c>
      <c r="H2026" s="48" t="s">
        <v>56716</v>
      </c>
      <c r="I2026" s="48" t="s">
        <v>50564</v>
      </c>
      <c r="J2026" s="48"/>
      <c r="K2026" s="50"/>
      <c r="L2026" s="48" t="s">
        <v>56716</v>
      </c>
    </row>
    <row r="2027" spans="1:12" s="37" customFormat="1" ht="11.25" x14ac:dyDescent="0.2">
      <c r="A2027" s="46" t="s">
        <v>10983</v>
      </c>
      <c r="B2027" s="46" t="s">
        <v>51978</v>
      </c>
      <c r="C2027" s="58" t="str">
        <f>"15733998"</f>
        <v>15733998</v>
      </c>
      <c r="D2027" s="58" t="str">
        <f>"18756417"</f>
        <v>18756417</v>
      </c>
      <c r="E2027" s="46" t="s">
        <v>6405</v>
      </c>
      <c r="F2027" s="46" t="s">
        <v>18001</v>
      </c>
      <c r="G2027" s="46" t="s">
        <v>50584</v>
      </c>
      <c r="H2027" s="48" t="s">
        <v>56716</v>
      </c>
      <c r="I2027" s="48" t="s">
        <v>50564</v>
      </c>
      <c r="J2027" s="48" t="s">
        <v>56716</v>
      </c>
      <c r="K2027" s="50"/>
      <c r="L2027" s="48" t="s">
        <v>56716</v>
      </c>
    </row>
    <row r="2028" spans="1:12" s="37" customFormat="1" ht="11.25" x14ac:dyDescent="0.2">
      <c r="A2028" s="46" t="s">
        <v>12734</v>
      </c>
      <c r="B2028" s="46" t="s">
        <v>51979</v>
      </c>
      <c r="C2028" s="58" t="str">
        <f>"14222132"</f>
        <v>14222132</v>
      </c>
      <c r="D2028" s="58" t="str">
        <f>"16622936"</f>
        <v>16622936</v>
      </c>
      <c r="E2028" s="46" t="s">
        <v>109</v>
      </c>
      <c r="F2028" s="46" t="s">
        <v>18123</v>
      </c>
      <c r="G2028" s="46" t="s">
        <v>50584</v>
      </c>
      <c r="H2028" s="48" t="s">
        <v>56716</v>
      </c>
      <c r="I2028" s="48" t="s">
        <v>50565</v>
      </c>
      <c r="J2028" s="48" t="s">
        <v>56716</v>
      </c>
      <c r="K2028" s="50"/>
      <c r="L2028" s="48" t="s">
        <v>56716</v>
      </c>
    </row>
    <row r="2029" spans="1:12" s="37" customFormat="1" ht="11.25" x14ac:dyDescent="0.2">
      <c r="A2029" s="46" t="s">
        <v>12940</v>
      </c>
      <c r="B2029" s="46" t="s">
        <v>51980</v>
      </c>
      <c r="C2029" s="58" t="str">
        <f>"18744737"</f>
        <v>18744737</v>
      </c>
      <c r="D2029" s="58" t="str">
        <f>"18744745"</f>
        <v>18744745</v>
      </c>
      <c r="E2029" s="46" t="s">
        <v>6405</v>
      </c>
      <c r="F2029" s="46" t="s">
        <v>18001</v>
      </c>
      <c r="G2029" s="46" t="s">
        <v>50584</v>
      </c>
      <c r="H2029" s="48" t="s">
        <v>56716</v>
      </c>
      <c r="I2029" s="48" t="s">
        <v>50564</v>
      </c>
      <c r="J2029" s="48" t="s">
        <v>56716</v>
      </c>
      <c r="K2029" s="50"/>
      <c r="L2029" s="48" t="s">
        <v>56716</v>
      </c>
    </row>
    <row r="2030" spans="1:12" s="37" customFormat="1" ht="11.25" x14ac:dyDescent="0.2">
      <c r="A2030" s="46" t="s">
        <v>10406</v>
      </c>
      <c r="B2030" s="46" t="s">
        <v>51981</v>
      </c>
      <c r="C2030" s="58" t="str">
        <f>"15672018"</f>
        <v>15672018</v>
      </c>
      <c r="D2030" s="58" t="str">
        <f>"18755704"</f>
        <v>18755704</v>
      </c>
      <c r="E2030" s="46" t="s">
        <v>6405</v>
      </c>
      <c r="F2030" s="46" t="s">
        <v>18001</v>
      </c>
      <c r="G2030" s="46" t="s">
        <v>50584</v>
      </c>
      <c r="H2030" s="48" t="s">
        <v>56716</v>
      </c>
      <c r="I2030" s="48" t="s">
        <v>50564</v>
      </c>
      <c r="J2030" s="48" t="s">
        <v>56716</v>
      </c>
      <c r="K2030" s="50"/>
      <c r="L2030" s="48" t="s">
        <v>56716</v>
      </c>
    </row>
    <row r="2031" spans="1:12" s="37" customFormat="1" ht="11.25" x14ac:dyDescent="0.2">
      <c r="A2031" s="46" t="s">
        <v>10401</v>
      </c>
      <c r="B2031" s="46" t="s">
        <v>51982</v>
      </c>
      <c r="C2031" s="58" t="str">
        <f>"15701638"</f>
        <v>15701638</v>
      </c>
      <c r="D2031" s="58" t="str">
        <f>"18756220"</f>
        <v>18756220</v>
      </c>
      <c r="E2031" s="46" t="s">
        <v>6405</v>
      </c>
      <c r="F2031" s="46" t="s">
        <v>18001</v>
      </c>
      <c r="G2031" s="46" t="s">
        <v>50584</v>
      </c>
      <c r="H2031" s="48" t="s">
        <v>56716</v>
      </c>
      <c r="I2031" s="48" t="s">
        <v>50564</v>
      </c>
      <c r="J2031" s="48" t="s">
        <v>56716</v>
      </c>
      <c r="K2031" s="50"/>
      <c r="L2031" s="48" t="s">
        <v>56716</v>
      </c>
    </row>
    <row r="2032" spans="1:12" s="37" customFormat="1" ht="11.25" x14ac:dyDescent="0.2">
      <c r="A2032" s="46" t="s">
        <v>8698</v>
      </c>
      <c r="B2032" s="46" t="s">
        <v>51983</v>
      </c>
      <c r="C2032" s="58" t="str">
        <f>"13892002"</f>
        <v>13892002</v>
      </c>
      <c r="D2032" s="58" t="str">
        <f>"18755453"</f>
        <v>18755453</v>
      </c>
      <c r="E2032" s="46" t="s">
        <v>6405</v>
      </c>
      <c r="F2032" s="46" t="s">
        <v>18001</v>
      </c>
      <c r="G2032" s="46" t="s">
        <v>50584</v>
      </c>
      <c r="H2032" s="48" t="s">
        <v>56716</v>
      </c>
      <c r="I2032" s="48" t="s">
        <v>50564</v>
      </c>
      <c r="J2032" s="48"/>
      <c r="K2032" s="50"/>
      <c r="L2032" s="48" t="s">
        <v>56716</v>
      </c>
    </row>
    <row r="2033" spans="1:12" s="37" customFormat="1" ht="11.25" x14ac:dyDescent="0.2">
      <c r="A2033" s="46" t="s">
        <v>11812</v>
      </c>
      <c r="B2033" s="46" t="s">
        <v>51984</v>
      </c>
      <c r="C2033" s="58" t="str">
        <f>"15748863"</f>
        <v>15748863</v>
      </c>
      <c r="D2033" s="58" t="str">
        <f>""</f>
        <v/>
      </c>
      <c r="E2033" s="46" t="s">
        <v>6405</v>
      </c>
      <c r="F2033" s="46" t="s">
        <v>18001</v>
      </c>
      <c r="G2033" s="46" t="s">
        <v>50584</v>
      </c>
      <c r="H2033" s="48" t="s">
        <v>56716</v>
      </c>
      <c r="I2033" s="48" t="s">
        <v>50564</v>
      </c>
      <c r="J2033" s="48" t="s">
        <v>56716</v>
      </c>
      <c r="K2033" s="50"/>
      <c r="L2033" s="48" t="s">
        <v>56716</v>
      </c>
    </row>
    <row r="2034" spans="1:12" s="37" customFormat="1" ht="11.25" x14ac:dyDescent="0.2">
      <c r="A2034" s="46" t="s">
        <v>8701</v>
      </c>
      <c r="B2034" s="46" t="s">
        <v>51985</v>
      </c>
      <c r="C2034" s="58" t="str">
        <f>"13894501"</f>
        <v>13894501</v>
      </c>
      <c r="D2034" s="58" t="str">
        <f>"18735592"</f>
        <v>18735592</v>
      </c>
      <c r="E2034" s="46" t="s">
        <v>6405</v>
      </c>
      <c r="F2034" s="46" t="s">
        <v>18001</v>
      </c>
      <c r="G2034" s="46" t="s">
        <v>50584</v>
      </c>
      <c r="H2034" s="48" t="s">
        <v>56716</v>
      </c>
      <c r="I2034" s="48" t="s">
        <v>50564</v>
      </c>
      <c r="J2034" s="48"/>
      <c r="K2034" s="50"/>
      <c r="L2034" s="48" t="s">
        <v>56716</v>
      </c>
    </row>
    <row r="2035" spans="1:12" s="37" customFormat="1" ht="11.25" x14ac:dyDescent="0.2">
      <c r="A2035" s="46" t="s">
        <v>11814</v>
      </c>
      <c r="B2035" s="46" t="s">
        <v>51986</v>
      </c>
      <c r="C2035" s="58" t="str">
        <f>"15748855"</f>
        <v>15748855</v>
      </c>
      <c r="D2035" s="58" t="str">
        <f>"10657630"</f>
        <v>10657630</v>
      </c>
      <c r="E2035" s="46" t="s">
        <v>6405</v>
      </c>
      <c r="F2035" s="46" t="s">
        <v>18001</v>
      </c>
      <c r="G2035" s="46" t="s">
        <v>50584</v>
      </c>
      <c r="H2035" s="48" t="s">
        <v>56716</v>
      </c>
      <c r="I2035" s="48" t="s">
        <v>50564</v>
      </c>
      <c r="J2035" s="48" t="s">
        <v>56716</v>
      </c>
      <c r="K2035" s="50"/>
      <c r="L2035" s="48"/>
    </row>
    <row r="2036" spans="1:12" s="37" customFormat="1" ht="11.25" x14ac:dyDescent="0.2">
      <c r="A2036" s="46" t="s">
        <v>10986</v>
      </c>
      <c r="B2036" s="46" t="s">
        <v>51987</v>
      </c>
      <c r="C2036" s="58" t="str">
        <f>"15734080"</f>
        <v>15734080</v>
      </c>
      <c r="D2036" s="58" t="str">
        <f>"18756662"</f>
        <v>18756662</v>
      </c>
      <c r="E2036" s="46" t="s">
        <v>6405</v>
      </c>
      <c r="F2036" s="46" t="s">
        <v>18001</v>
      </c>
      <c r="G2036" s="46" t="s">
        <v>50584</v>
      </c>
      <c r="H2036" s="48" t="s">
        <v>56716</v>
      </c>
      <c r="I2036" s="48" t="s">
        <v>50564</v>
      </c>
      <c r="J2036" s="48"/>
      <c r="K2036" s="50"/>
      <c r="L2036" s="48"/>
    </row>
    <row r="2037" spans="1:12" s="37" customFormat="1" ht="11.25" x14ac:dyDescent="0.2">
      <c r="A2037" s="46" t="s">
        <v>1050</v>
      </c>
      <c r="B2037" s="46" t="s">
        <v>51988</v>
      </c>
      <c r="C2037" s="58" t="str">
        <f>"02713683"</f>
        <v>02713683</v>
      </c>
      <c r="D2037" s="58" t="str">
        <f>"14602202"</f>
        <v>14602202</v>
      </c>
      <c r="E2037" s="46" t="s">
        <v>291</v>
      </c>
      <c r="F2037" s="46" t="s">
        <v>50646</v>
      </c>
      <c r="G2037" s="46" t="s">
        <v>50584</v>
      </c>
      <c r="H2037" s="48" t="s">
        <v>56716</v>
      </c>
      <c r="I2037" s="48" t="s">
        <v>50564</v>
      </c>
      <c r="J2037" s="48" t="s">
        <v>56716</v>
      </c>
      <c r="K2037" s="50"/>
      <c r="L2037" s="48" t="s">
        <v>56716</v>
      </c>
    </row>
    <row r="2038" spans="1:12" s="37" customFormat="1" ht="11.25" x14ac:dyDescent="0.2">
      <c r="A2038" s="46" t="s">
        <v>13932</v>
      </c>
      <c r="B2038" s="46" t="s">
        <v>51989</v>
      </c>
      <c r="C2038" s="58" t="str">
        <f>"19363761"</f>
        <v>19363761</v>
      </c>
      <c r="D2038" s="58" t="str">
        <f>"1936377X"</f>
        <v>1936377X</v>
      </c>
      <c r="E2038" s="46" t="s">
        <v>56325</v>
      </c>
      <c r="F2038" s="46" t="s">
        <v>17759</v>
      </c>
      <c r="G2038" s="46" t="s">
        <v>50584</v>
      </c>
      <c r="H2038" s="48" t="s">
        <v>56716</v>
      </c>
      <c r="I2038" s="48" t="s">
        <v>50564</v>
      </c>
      <c r="J2038" s="48"/>
      <c r="K2038" s="50" t="s">
        <v>56716</v>
      </c>
      <c r="L2038" s="48"/>
    </row>
    <row r="2039" spans="1:12" s="37" customFormat="1" ht="11.25" x14ac:dyDescent="0.2">
      <c r="A2039" s="46" t="s">
        <v>9731</v>
      </c>
      <c r="B2039" s="46" t="s">
        <v>51990</v>
      </c>
      <c r="C2039" s="58" t="str">
        <f>"15228037"</f>
        <v>15228037</v>
      </c>
      <c r="D2039" s="58" t="str">
        <f>"1534312X"</f>
        <v>1534312X</v>
      </c>
      <c r="E2039" s="46" t="s">
        <v>56325</v>
      </c>
      <c r="F2039" s="46" t="s">
        <v>17759</v>
      </c>
      <c r="G2039" s="46" t="s">
        <v>50584</v>
      </c>
      <c r="H2039" s="48" t="s">
        <v>56716</v>
      </c>
      <c r="I2039" s="48" t="s">
        <v>50564</v>
      </c>
      <c r="J2039" s="48"/>
      <c r="K2039" s="50"/>
      <c r="L2039" s="48" t="s">
        <v>56716</v>
      </c>
    </row>
    <row r="2040" spans="1:12" s="37" customFormat="1" ht="11.25" x14ac:dyDescent="0.2">
      <c r="A2040" s="46" t="s">
        <v>9793</v>
      </c>
      <c r="B2040" s="46" t="s">
        <v>51991</v>
      </c>
      <c r="C2040" s="58" t="str">
        <f>"15665232"</f>
        <v>15665232</v>
      </c>
      <c r="D2040" s="58" t="str">
        <f>"18755631"</f>
        <v>18755631</v>
      </c>
      <c r="E2040" s="46" t="s">
        <v>6405</v>
      </c>
      <c r="F2040" s="46" t="s">
        <v>18001</v>
      </c>
      <c r="G2040" s="46" t="s">
        <v>50584</v>
      </c>
      <c r="H2040" s="48" t="s">
        <v>56716</v>
      </c>
      <c r="I2040" s="48" t="s">
        <v>50564</v>
      </c>
      <c r="J2040" s="48"/>
      <c r="K2040" s="50"/>
      <c r="L2040" s="48" t="s">
        <v>56716</v>
      </c>
    </row>
    <row r="2041" spans="1:12" s="37" customFormat="1" ht="11.25" x14ac:dyDescent="0.2">
      <c r="A2041" s="46" t="s">
        <v>1323</v>
      </c>
      <c r="B2041" s="46" t="s">
        <v>51992</v>
      </c>
      <c r="C2041" s="58" t="str">
        <f>"01728083"</f>
        <v>01728083</v>
      </c>
      <c r="D2041" s="58" t="str">
        <f>"14320983"</f>
        <v>14320983</v>
      </c>
      <c r="E2041" s="46" t="s">
        <v>167</v>
      </c>
      <c r="F2041" s="46" t="s">
        <v>18158</v>
      </c>
      <c r="G2041" s="46" t="s">
        <v>50584</v>
      </c>
      <c r="H2041" s="48" t="s">
        <v>56716</v>
      </c>
      <c r="I2041" s="48" t="s">
        <v>50564</v>
      </c>
      <c r="J2041" s="48" t="s">
        <v>56716</v>
      </c>
      <c r="K2041" s="50" t="s">
        <v>56716</v>
      </c>
      <c r="L2041" s="48" t="s">
        <v>56716</v>
      </c>
    </row>
    <row r="2042" spans="1:12" s="37" customFormat="1" ht="11.25" x14ac:dyDescent="0.2">
      <c r="A2042" s="46" t="s">
        <v>8704</v>
      </c>
      <c r="B2042" s="46" t="s">
        <v>51993</v>
      </c>
      <c r="C2042" s="58" t="str">
        <f>"13892029"</f>
        <v>13892029</v>
      </c>
      <c r="D2042" s="58" t="str">
        <f>"18755488"</f>
        <v>18755488</v>
      </c>
      <c r="E2042" s="46" t="s">
        <v>6405</v>
      </c>
      <c r="F2042" s="46" t="s">
        <v>18001</v>
      </c>
      <c r="G2042" s="46" t="s">
        <v>50584</v>
      </c>
      <c r="H2042" s="48" t="s">
        <v>56716</v>
      </c>
      <c r="I2042" s="48" t="s">
        <v>50564</v>
      </c>
      <c r="J2042" s="48"/>
      <c r="K2042" s="50"/>
      <c r="L2042" s="48"/>
    </row>
    <row r="2043" spans="1:12" s="37" customFormat="1" ht="11.25" x14ac:dyDescent="0.2">
      <c r="A2043" s="46" t="s">
        <v>56326</v>
      </c>
      <c r="B2043" s="46" t="s">
        <v>56327</v>
      </c>
      <c r="C2043" s="58" t="str">
        <f>""</f>
        <v/>
      </c>
      <c r="D2043" s="58" t="str">
        <f>"21967865"</f>
        <v>21967865</v>
      </c>
      <c r="E2043" s="46" t="s">
        <v>56305</v>
      </c>
      <c r="F2043" s="46" t="s">
        <v>17759</v>
      </c>
      <c r="G2043" s="46" t="s">
        <v>50584</v>
      </c>
      <c r="H2043" s="48" t="s">
        <v>56716</v>
      </c>
      <c r="I2043" s="48" t="s">
        <v>50564</v>
      </c>
      <c r="J2043" s="48" t="s">
        <v>56716</v>
      </c>
      <c r="K2043" s="50"/>
      <c r="L2043" s="48"/>
    </row>
    <row r="2044" spans="1:12" s="37" customFormat="1" ht="11.25" x14ac:dyDescent="0.2">
      <c r="A2044" s="46" t="s">
        <v>15489</v>
      </c>
      <c r="B2044" s="46" t="s">
        <v>51994</v>
      </c>
      <c r="C2044" s="58" t="str">
        <f>"20811632"</f>
        <v>20811632</v>
      </c>
      <c r="D2044" s="58" t="str">
        <f>""</f>
        <v/>
      </c>
      <c r="E2044" s="46" t="s">
        <v>11293</v>
      </c>
      <c r="F2044" s="46" t="s">
        <v>17967</v>
      </c>
      <c r="G2044" s="46" t="s">
        <v>50613</v>
      </c>
      <c r="H2044" s="48" t="s">
        <v>56716</v>
      </c>
      <c r="I2044" s="48" t="s">
        <v>50564</v>
      </c>
      <c r="J2044" s="48"/>
      <c r="K2044" s="50"/>
      <c r="L2044" s="48"/>
    </row>
    <row r="2045" spans="1:12" s="37" customFormat="1" ht="11.25" x14ac:dyDescent="0.2">
      <c r="A2045" s="46" t="s">
        <v>11091</v>
      </c>
      <c r="B2045" s="46" t="s">
        <v>51995</v>
      </c>
      <c r="C2045" s="58" t="str">
        <f>"15469530"</f>
        <v>15469530</v>
      </c>
      <c r="D2045" s="58" t="str">
        <f>"15469549"</f>
        <v>15469549</v>
      </c>
      <c r="E2045" s="46" t="s">
        <v>9967</v>
      </c>
      <c r="F2045" s="46" t="s">
        <v>17759</v>
      </c>
      <c r="G2045" s="46" t="s">
        <v>50584</v>
      </c>
      <c r="H2045" s="48" t="s">
        <v>56716</v>
      </c>
      <c r="I2045" s="48" t="s">
        <v>50564</v>
      </c>
      <c r="J2045" s="48"/>
      <c r="K2045" s="50" t="s">
        <v>56716</v>
      </c>
      <c r="L2045" s="48" t="s">
        <v>56716</v>
      </c>
    </row>
    <row r="2046" spans="1:12" s="37" customFormat="1" ht="11.25" x14ac:dyDescent="0.2">
      <c r="A2046" s="46" t="s">
        <v>11578</v>
      </c>
      <c r="B2046" s="46" t="s">
        <v>51996</v>
      </c>
      <c r="C2046" s="58" t="str">
        <f>"15588211"</f>
        <v>15588211</v>
      </c>
      <c r="D2046" s="58" t="str">
        <f>"1558822X"</f>
        <v>1558822X</v>
      </c>
      <c r="E2046" s="46" t="s">
        <v>9967</v>
      </c>
      <c r="F2046" s="46" t="s">
        <v>17759</v>
      </c>
      <c r="G2046" s="46" t="s">
        <v>50584</v>
      </c>
      <c r="H2046" s="48" t="s">
        <v>56716</v>
      </c>
      <c r="I2046" s="48" t="s">
        <v>50564</v>
      </c>
      <c r="J2046" s="48"/>
      <c r="K2046" s="50" t="s">
        <v>56716</v>
      </c>
      <c r="L2046" s="48" t="s">
        <v>56716</v>
      </c>
    </row>
    <row r="2047" spans="1:12" s="37" customFormat="1" ht="11.25" x14ac:dyDescent="0.2">
      <c r="A2047" s="46" t="s">
        <v>11094</v>
      </c>
      <c r="B2047" s="46" t="s">
        <v>51997</v>
      </c>
      <c r="C2047" s="58" t="str">
        <f>"15403416"</f>
        <v>15403416</v>
      </c>
      <c r="D2047" s="58" t="str">
        <f>"15410706"</f>
        <v>15410706</v>
      </c>
      <c r="E2047" s="46" t="s">
        <v>56325</v>
      </c>
      <c r="F2047" s="46" t="s">
        <v>17759</v>
      </c>
      <c r="G2047" s="46" t="s">
        <v>50584</v>
      </c>
      <c r="H2047" s="48" t="s">
        <v>56716</v>
      </c>
      <c r="I2047" s="48" t="s">
        <v>50564</v>
      </c>
      <c r="J2047" s="48"/>
      <c r="K2047" s="50"/>
      <c r="L2047" s="48"/>
    </row>
    <row r="2048" spans="1:12" s="37" customFormat="1" ht="11.25" x14ac:dyDescent="0.2">
      <c r="A2048" s="46" t="s">
        <v>9778</v>
      </c>
      <c r="B2048" s="46" t="s">
        <v>51998</v>
      </c>
      <c r="C2048" s="58" t="str">
        <f>"1570162X"</f>
        <v>1570162X</v>
      </c>
      <c r="D2048" s="58" t="str">
        <f>"18734251"</f>
        <v>18734251</v>
      </c>
      <c r="E2048" s="46" t="s">
        <v>6405</v>
      </c>
      <c r="F2048" s="46" t="s">
        <v>18001</v>
      </c>
      <c r="G2048" s="46" t="s">
        <v>50584</v>
      </c>
      <c r="H2048" s="48" t="s">
        <v>56716</v>
      </c>
      <c r="I2048" s="48" t="s">
        <v>50564</v>
      </c>
      <c r="J2048" s="48"/>
      <c r="K2048" s="50"/>
      <c r="L2048" s="48" t="s">
        <v>56716</v>
      </c>
    </row>
    <row r="2049" spans="1:12" s="37" customFormat="1" ht="11.25" x14ac:dyDescent="0.2">
      <c r="A2049" s="46" t="s">
        <v>11097</v>
      </c>
      <c r="B2049" s="46" t="s">
        <v>51999</v>
      </c>
      <c r="C2049" s="58" t="str">
        <f>"15483568"</f>
        <v>15483568</v>
      </c>
      <c r="D2049" s="58" t="str">
        <f>"15483576"</f>
        <v>15483576</v>
      </c>
      <c r="E2049" s="46" t="s">
        <v>56325</v>
      </c>
      <c r="F2049" s="46" t="s">
        <v>17759</v>
      </c>
      <c r="G2049" s="46" t="s">
        <v>50584</v>
      </c>
      <c r="H2049" s="48" t="s">
        <v>56716</v>
      </c>
      <c r="I2049" s="48" t="s">
        <v>50564</v>
      </c>
      <c r="J2049" s="48"/>
      <c r="K2049" s="50" t="s">
        <v>56716</v>
      </c>
      <c r="L2049" s="48" t="s">
        <v>56716</v>
      </c>
    </row>
    <row r="2050" spans="1:12" s="37" customFormat="1" ht="11.25" x14ac:dyDescent="0.2">
      <c r="A2050" s="46" t="s">
        <v>9734</v>
      </c>
      <c r="B2050" s="46" t="s">
        <v>52000</v>
      </c>
      <c r="C2050" s="58" t="str">
        <f>"15226417"</f>
        <v>15226417</v>
      </c>
      <c r="D2050" s="58" t="str">
        <f>"15343111"</f>
        <v>15343111</v>
      </c>
      <c r="E2050" s="46" t="s">
        <v>56325</v>
      </c>
      <c r="F2050" s="46" t="s">
        <v>17759</v>
      </c>
      <c r="G2050" s="46" t="s">
        <v>50584</v>
      </c>
      <c r="H2050" s="48" t="s">
        <v>56716</v>
      </c>
      <c r="I2050" s="48" t="s">
        <v>50564</v>
      </c>
      <c r="J2050" s="48"/>
      <c r="K2050" s="50"/>
      <c r="L2050" s="48" t="s">
        <v>56716</v>
      </c>
    </row>
    <row r="2051" spans="1:12" s="37" customFormat="1" ht="11.25" x14ac:dyDescent="0.2">
      <c r="A2051" s="46" t="s">
        <v>10989</v>
      </c>
      <c r="B2051" s="46" t="s">
        <v>52001</v>
      </c>
      <c r="C2051" s="58" t="str">
        <f>"15734021"</f>
        <v>15734021</v>
      </c>
      <c r="D2051" s="58" t="str">
        <f>"18756506"</f>
        <v>18756506</v>
      </c>
      <c r="E2051" s="46" t="s">
        <v>6405</v>
      </c>
      <c r="F2051" s="46" t="s">
        <v>18001</v>
      </c>
      <c r="G2051" s="46" t="s">
        <v>50584</v>
      </c>
      <c r="H2051" s="48" t="s">
        <v>56716</v>
      </c>
      <c r="I2051" s="48" t="s">
        <v>50564</v>
      </c>
      <c r="J2051" s="48" t="s">
        <v>56716</v>
      </c>
      <c r="K2051" s="50"/>
      <c r="L2051" s="48" t="s">
        <v>56716</v>
      </c>
    </row>
    <row r="2052" spans="1:12" s="37" customFormat="1" ht="11.25" x14ac:dyDescent="0.2">
      <c r="A2052" s="46" t="s">
        <v>10994</v>
      </c>
      <c r="B2052" s="46" t="s">
        <v>52002</v>
      </c>
      <c r="C2052" s="58" t="str">
        <f>"15733955"</f>
        <v>15733955</v>
      </c>
      <c r="D2052" s="58" t="str">
        <f>"1875631X"</f>
        <v>1875631X</v>
      </c>
      <c r="E2052" s="46" t="s">
        <v>6405</v>
      </c>
      <c r="F2052" s="46" t="s">
        <v>18001</v>
      </c>
      <c r="G2052" s="46" t="s">
        <v>50584</v>
      </c>
      <c r="H2052" s="48" t="s">
        <v>56716</v>
      </c>
      <c r="I2052" s="48" t="s">
        <v>50564</v>
      </c>
      <c r="J2052" s="48" t="s">
        <v>56716</v>
      </c>
      <c r="K2052" s="50"/>
      <c r="L2052" s="48"/>
    </row>
    <row r="2053" spans="1:12" s="37" customFormat="1" ht="11.25" x14ac:dyDescent="0.2">
      <c r="A2053" s="46" t="s">
        <v>9737</v>
      </c>
      <c r="B2053" s="46" t="s">
        <v>52003</v>
      </c>
      <c r="C2053" s="58" t="str">
        <f>"15233847"</f>
        <v>15233847</v>
      </c>
      <c r="D2053" s="58" t="str">
        <f>"15343146"</f>
        <v>15343146</v>
      </c>
      <c r="E2053" s="46" t="s">
        <v>56325</v>
      </c>
      <c r="F2053" s="46" t="s">
        <v>17759</v>
      </c>
      <c r="G2053" s="46" t="s">
        <v>50584</v>
      </c>
      <c r="H2053" s="48" t="s">
        <v>56716</v>
      </c>
      <c r="I2053" s="48" t="s">
        <v>50564</v>
      </c>
      <c r="J2053" s="48"/>
      <c r="K2053" s="50"/>
      <c r="L2053" s="48"/>
    </row>
    <row r="2054" spans="1:12" s="37" customFormat="1" ht="11.25" x14ac:dyDescent="0.2">
      <c r="A2054" s="46" t="s">
        <v>8453</v>
      </c>
      <c r="B2054" s="46" t="s">
        <v>52004</v>
      </c>
      <c r="C2054" s="58" t="str">
        <f>"14673037"</f>
        <v>14673037</v>
      </c>
      <c r="D2054" s="58" t="str">
        <f>""</f>
        <v/>
      </c>
      <c r="E2054" s="46" t="s">
        <v>8455</v>
      </c>
      <c r="F2054" s="46" t="s">
        <v>50646</v>
      </c>
      <c r="G2054" s="46" t="s">
        <v>50584</v>
      </c>
      <c r="H2054" s="48" t="s">
        <v>56716</v>
      </c>
      <c r="I2054" s="48" t="s">
        <v>50564</v>
      </c>
      <c r="J2054" s="48"/>
      <c r="K2054" s="50"/>
      <c r="L2054" s="48" t="s">
        <v>56716</v>
      </c>
    </row>
    <row r="2055" spans="1:12" s="37" customFormat="1" ht="11.25" x14ac:dyDescent="0.2">
      <c r="A2055" s="46" t="s">
        <v>16782</v>
      </c>
      <c r="B2055" s="46" t="s">
        <v>52005</v>
      </c>
      <c r="C2055" s="58" t="str">
        <f>"2084980X"</f>
        <v>2084980X</v>
      </c>
      <c r="D2055" s="58" t="str">
        <f>""</f>
        <v/>
      </c>
      <c r="E2055" s="46" t="s">
        <v>16784</v>
      </c>
      <c r="F2055" s="46" t="s">
        <v>17967</v>
      </c>
      <c r="G2055" s="46" t="s">
        <v>50584</v>
      </c>
      <c r="H2055" s="48" t="s">
        <v>56716</v>
      </c>
      <c r="I2055" s="48" t="s">
        <v>50564</v>
      </c>
      <c r="J2055" s="48"/>
      <c r="K2055" s="50"/>
      <c r="L2055" s="48"/>
    </row>
    <row r="2056" spans="1:12" s="37" customFormat="1" ht="11.25" x14ac:dyDescent="0.2">
      <c r="A2056" s="46" t="s">
        <v>10992</v>
      </c>
      <c r="B2056" s="46" t="s">
        <v>52006</v>
      </c>
      <c r="C2056" s="58" t="str">
        <f>"15734056"</f>
        <v>15734056</v>
      </c>
      <c r="D2056" s="58" t="str">
        <f>"18756603"</f>
        <v>18756603</v>
      </c>
      <c r="E2056" s="46" t="s">
        <v>6405</v>
      </c>
      <c r="F2056" s="46" t="s">
        <v>18001</v>
      </c>
      <c r="G2056" s="46" t="s">
        <v>50584</v>
      </c>
      <c r="H2056" s="48" t="s">
        <v>56716</v>
      </c>
      <c r="I2056" s="48" t="s">
        <v>50564</v>
      </c>
      <c r="J2056" s="48" t="s">
        <v>56716</v>
      </c>
      <c r="K2056" s="50"/>
      <c r="L2056" s="48"/>
    </row>
    <row r="2057" spans="1:12" s="37" customFormat="1" ht="11.25" x14ac:dyDescent="0.2">
      <c r="A2057" s="46" t="s">
        <v>1207</v>
      </c>
      <c r="B2057" s="46" t="s">
        <v>52007</v>
      </c>
      <c r="C2057" s="58" t="str">
        <f>"03007995"</f>
        <v>03007995</v>
      </c>
      <c r="D2057" s="58" t="str">
        <f>"14734877"</f>
        <v>14734877</v>
      </c>
      <c r="E2057" s="46" t="s">
        <v>291</v>
      </c>
      <c r="F2057" s="46" t="s">
        <v>50646</v>
      </c>
      <c r="G2057" s="46" t="s">
        <v>50584</v>
      </c>
      <c r="H2057" s="48" t="s">
        <v>56716</v>
      </c>
      <c r="I2057" s="48" t="s">
        <v>50564</v>
      </c>
      <c r="J2057" s="48"/>
      <c r="K2057" s="50"/>
      <c r="L2057" s="48" t="s">
        <v>56716</v>
      </c>
    </row>
    <row r="2058" spans="1:12" s="37" customFormat="1" ht="11.25" x14ac:dyDescent="0.2">
      <c r="A2058" s="46" t="s">
        <v>6402</v>
      </c>
      <c r="B2058" s="46" t="s">
        <v>52008</v>
      </c>
      <c r="C2058" s="58" t="str">
        <f>"09298673"</f>
        <v>09298673</v>
      </c>
      <c r="D2058" s="58" t="str">
        <f>"1875533X"</f>
        <v>1875533X</v>
      </c>
      <c r="E2058" s="46" t="s">
        <v>6405</v>
      </c>
      <c r="F2058" s="46" t="s">
        <v>18001</v>
      </c>
      <c r="G2058" s="46" t="s">
        <v>50584</v>
      </c>
      <c r="H2058" s="48" t="s">
        <v>56716</v>
      </c>
      <c r="I2058" s="48" t="s">
        <v>50564</v>
      </c>
      <c r="J2058" s="48"/>
      <c r="K2058" s="50"/>
      <c r="L2058" s="48" t="s">
        <v>56716</v>
      </c>
    </row>
    <row r="2059" spans="1:12" s="37" customFormat="1" ht="11.25" x14ac:dyDescent="0.2">
      <c r="A2059" s="46" t="s">
        <v>56100</v>
      </c>
      <c r="B2059" s="46" t="s">
        <v>56101</v>
      </c>
      <c r="C2059" s="58" t="str">
        <f>"23520817"</f>
        <v>23520817</v>
      </c>
      <c r="D2059" s="58" t="str">
        <f>""</f>
        <v/>
      </c>
      <c r="E2059" s="46" t="s">
        <v>12162</v>
      </c>
      <c r="F2059" s="46" t="s">
        <v>20446</v>
      </c>
      <c r="G2059" s="46" t="s">
        <v>50584</v>
      </c>
      <c r="H2059" s="48" t="s">
        <v>56716</v>
      </c>
      <c r="I2059" s="48" t="s">
        <v>50564</v>
      </c>
      <c r="J2059" s="48" t="s">
        <v>56716</v>
      </c>
      <c r="K2059" s="50" t="s">
        <v>56716</v>
      </c>
      <c r="L2059" s="48"/>
    </row>
    <row r="2060" spans="1:12" s="37" customFormat="1" ht="11.25" x14ac:dyDescent="0.2">
      <c r="A2060" s="46" t="s">
        <v>17320</v>
      </c>
      <c r="B2060" s="46" t="s">
        <v>52009</v>
      </c>
      <c r="C2060" s="58" t="str">
        <f>"2213235X"</f>
        <v>2213235X</v>
      </c>
      <c r="D2060" s="58" t="str">
        <f>"22132368"</f>
        <v>22132368</v>
      </c>
      <c r="E2060" s="46" t="s">
        <v>6405</v>
      </c>
      <c r="F2060" s="46" t="s">
        <v>18001</v>
      </c>
      <c r="G2060" s="46" t="s">
        <v>50584</v>
      </c>
      <c r="H2060" s="48" t="s">
        <v>56716</v>
      </c>
      <c r="I2060" s="48" t="s">
        <v>50564</v>
      </c>
      <c r="J2060" s="48" t="s">
        <v>56716</v>
      </c>
      <c r="K2060" s="50"/>
      <c r="L2060" s="48"/>
    </row>
    <row r="2061" spans="1:12" s="37" customFormat="1" ht="11.25" x14ac:dyDescent="0.2">
      <c r="A2061" s="46" t="s">
        <v>1326</v>
      </c>
      <c r="B2061" s="46" t="s">
        <v>52010</v>
      </c>
      <c r="C2061" s="58" t="str">
        <f>"03438651"</f>
        <v>03438651</v>
      </c>
      <c r="D2061" s="58" t="str">
        <f>"14320991"</f>
        <v>14320991</v>
      </c>
      <c r="E2061" s="46" t="s">
        <v>56305</v>
      </c>
      <c r="F2061" s="46" t="s">
        <v>17759</v>
      </c>
      <c r="G2061" s="46" t="s">
        <v>50584</v>
      </c>
      <c r="H2061" s="48" t="s">
        <v>56716</v>
      </c>
      <c r="I2061" s="48" t="s">
        <v>50564</v>
      </c>
      <c r="J2061" s="48" t="s">
        <v>56716</v>
      </c>
      <c r="K2061" s="50" t="s">
        <v>56716</v>
      </c>
      <c r="L2061" s="48" t="s">
        <v>56716</v>
      </c>
    </row>
    <row r="2062" spans="1:12" s="37" customFormat="1" ht="11.25" x14ac:dyDescent="0.2">
      <c r="A2062" s="46" t="s">
        <v>16608</v>
      </c>
      <c r="B2062" s="46" t="s">
        <v>52011</v>
      </c>
      <c r="C2062" s="58" t="str">
        <f>"22115552"</f>
        <v>22115552</v>
      </c>
      <c r="D2062" s="58" t="str">
        <f>"22115544"</f>
        <v>22115544</v>
      </c>
      <c r="E2062" s="46" t="s">
        <v>6405</v>
      </c>
      <c r="F2062" s="46" t="s">
        <v>18001</v>
      </c>
      <c r="G2062" s="46" t="s">
        <v>50584</v>
      </c>
      <c r="H2062" s="48" t="s">
        <v>56716</v>
      </c>
      <c r="I2062" s="48" t="s">
        <v>50564</v>
      </c>
      <c r="J2062" s="48" t="s">
        <v>56716</v>
      </c>
      <c r="K2062" s="50"/>
      <c r="L2062" s="48"/>
    </row>
    <row r="2063" spans="1:12" s="37" customFormat="1" ht="11.25" x14ac:dyDescent="0.2">
      <c r="A2063" s="46" t="s">
        <v>8990</v>
      </c>
      <c r="B2063" s="46" t="s">
        <v>52012</v>
      </c>
      <c r="C2063" s="58" t="str">
        <f>"15665240"</f>
        <v>15665240</v>
      </c>
      <c r="D2063" s="58" t="str">
        <f>"18755666"</f>
        <v>18755666</v>
      </c>
      <c r="E2063" s="46" t="s">
        <v>6405</v>
      </c>
      <c r="F2063" s="46" t="s">
        <v>18001</v>
      </c>
      <c r="G2063" s="46" t="s">
        <v>50584</v>
      </c>
      <c r="H2063" s="48" t="s">
        <v>56716</v>
      </c>
      <c r="I2063" s="48" t="s">
        <v>50564</v>
      </c>
      <c r="J2063" s="48"/>
      <c r="K2063" s="50"/>
      <c r="L2063" s="48" t="s">
        <v>56716</v>
      </c>
    </row>
    <row r="2064" spans="1:12" s="37" customFormat="1" ht="11.25" x14ac:dyDescent="0.2">
      <c r="A2064" s="46" t="s">
        <v>12995</v>
      </c>
      <c r="B2064" s="46" t="s">
        <v>52013</v>
      </c>
      <c r="C2064" s="58" t="str">
        <f>"18744672"</f>
        <v>18744672</v>
      </c>
      <c r="D2064" s="58" t="str">
        <f>"18744702"</f>
        <v>18744702</v>
      </c>
      <c r="E2064" s="46" t="s">
        <v>6405</v>
      </c>
      <c r="F2064" s="46" t="s">
        <v>18001</v>
      </c>
      <c r="G2064" s="46" t="s">
        <v>50584</v>
      </c>
      <c r="H2064" s="48" t="s">
        <v>56716</v>
      </c>
      <c r="I2064" s="48" t="s">
        <v>50564</v>
      </c>
      <c r="J2064" s="48" t="s">
        <v>56716</v>
      </c>
      <c r="K2064" s="50"/>
      <c r="L2064" s="48" t="s">
        <v>56716</v>
      </c>
    </row>
    <row r="2065" spans="1:12" s="37" customFormat="1" ht="11.25" x14ac:dyDescent="0.2">
      <c r="A2065" s="46" t="s">
        <v>10876</v>
      </c>
      <c r="B2065" s="46" t="s">
        <v>52014</v>
      </c>
      <c r="C2065" s="58" t="str">
        <f>"15734137"</f>
        <v>15734137</v>
      </c>
      <c r="D2065" s="58" t="str">
        <f>"18756786"</f>
        <v>18756786</v>
      </c>
      <c r="E2065" s="46" t="s">
        <v>6405</v>
      </c>
      <c r="F2065" s="46" t="s">
        <v>18001</v>
      </c>
      <c r="G2065" s="46" t="s">
        <v>50584</v>
      </c>
      <c r="H2065" s="48" t="s">
        <v>56716</v>
      </c>
      <c r="I2065" s="48" t="s">
        <v>50564</v>
      </c>
      <c r="J2065" s="48" t="s">
        <v>56716</v>
      </c>
      <c r="K2065" s="50"/>
      <c r="L2065" s="48"/>
    </row>
    <row r="2066" spans="1:12" s="37" customFormat="1" ht="11.25" x14ac:dyDescent="0.2">
      <c r="A2066" s="46" t="s">
        <v>14923</v>
      </c>
      <c r="B2066" s="46" t="s">
        <v>52015</v>
      </c>
      <c r="C2066" s="58" t="str">
        <f>"09759042"</f>
        <v>09759042</v>
      </c>
      <c r="D2066" s="58" t="str">
        <f>"09761705"</f>
        <v>09761705</v>
      </c>
      <c r="E2066" s="46" t="s">
        <v>5110</v>
      </c>
      <c r="F2066" s="46" t="s">
        <v>20446</v>
      </c>
      <c r="G2066" s="46" t="s">
        <v>50584</v>
      </c>
      <c r="H2066" s="48" t="s">
        <v>56716</v>
      </c>
      <c r="I2066" s="48" t="s">
        <v>50564</v>
      </c>
      <c r="J2066" s="48"/>
      <c r="K2066" s="50"/>
      <c r="L2066" s="48"/>
    </row>
    <row r="2067" spans="1:12" s="37" customFormat="1" ht="11.25" x14ac:dyDescent="0.2">
      <c r="A2067" s="46" t="s">
        <v>9715</v>
      </c>
      <c r="B2067" s="46" t="s">
        <v>52016</v>
      </c>
      <c r="C2067" s="58" t="str">
        <f>"15284042"</f>
        <v>15284042</v>
      </c>
      <c r="D2067" s="58" t="str">
        <f>"15346293"</f>
        <v>15346293</v>
      </c>
      <c r="E2067" s="46" t="s">
        <v>56325</v>
      </c>
      <c r="F2067" s="46" t="s">
        <v>17759</v>
      </c>
      <c r="G2067" s="46" t="s">
        <v>50584</v>
      </c>
      <c r="H2067" s="48" t="s">
        <v>56716</v>
      </c>
      <c r="I2067" s="48" t="s">
        <v>50564</v>
      </c>
      <c r="J2067" s="48"/>
      <c r="K2067" s="50"/>
      <c r="L2067" s="48" t="s">
        <v>56716</v>
      </c>
    </row>
    <row r="2068" spans="1:12" s="37" customFormat="1" ht="11.25" x14ac:dyDescent="0.2">
      <c r="A2068" s="46" t="s">
        <v>9784</v>
      </c>
      <c r="B2068" s="46" t="s">
        <v>52017</v>
      </c>
      <c r="C2068" s="58" t="str">
        <f>"1570159X"</f>
        <v>1570159X</v>
      </c>
      <c r="D2068" s="58" t="str">
        <f>"18756190"</f>
        <v>18756190</v>
      </c>
      <c r="E2068" s="46" t="s">
        <v>6405</v>
      </c>
      <c r="F2068" s="46" t="s">
        <v>18001</v>
      </c>
      <c r="G2068" s="46" t="s">
        <v>50584</v>
      </c>
      <c r="H2068" s="48" t="s">
        <v>56716</v>
      </c>
      <c r="I2068" s="48" t="s">
        <v>50564</v>
      </c>
      <c r="J2068" s="48"/>
      <c r="K2068" s="50"/>
      <c r="L2068" s="48"/>
    </row>
    <row r="2069" spans="1:12" s="37" customFormat="1" ht="11.25" x14ac:dyDescent="0.2">
      <c r="A2069" s="46" t="s">
        <v>10412</v>
      </c>
      <c r="B2069" s="46" t="s">
        <v>52018</v>
      </c>
      <c r="C2069" s="58" t="str">
        <f>"15672026"</f>
        <v>15672026</v>
      </c>
      <c r="D2069" s="58" t="str">
        <f>"18755739"</f>
        <v>18755739</v>
      </c>
      <c r="E2069" s="46" t="s">
        <v>6405</v>
      </c>
      <c r="F2069" s="46" t="s">
        <v>18001</v>
      </c>
      <c r="G2069" s="46" t="s">
        <v>50584</v>
      </c>
      <c r="H2069" s="48" t="s">
        <v>56716</v>
      </c>
      <c r="I2069" s="48" t="s">
        <v>50564</v>
      </c>
      <c r="J2069" s="48" t="s">
        <v>56716</v>
      </c>
      <c r="K2069" s="50"/>
      <c r="L2069" s="48" t="s">
        <v>56716</v>
      </c>
    </row>
    <row r="2070" spans="1:12" s="37" customFormat="1" ht="11.25" x14ac:dyDescent="0.2">
      <c r="A2070" s="46" t="s">
        <v>10997</v>
      </c>
      <c r="B2070" s="46" t="s">
        <v>52019</v>
      </c>
      <c r="C2070" s="58" t="str">
        <f>"15734013"</f>
        <v>15734013</v>
      </c>
      <c r="D2070" s="58" t="str">
        <f>"22123881"</f>
        <v>22123881</v>
      </c>
      <c r="E2070" s="46" t="s">
        <v>6405</v>
      </c>
      <c r="F2070" s="46" t="s">
        <v>18001</v>
      </c>
      <c r="G2070" s="46" t="s">
        <v>50584</v>
      </c>
      <c r="H2070" s="48" t="s">
        <v>56716</v>
      </c>
      <c r="I2070" s="48" t="s">
        <v>50564</v>
      </c>
      <c r="J2070" s="48" t="s">
        <v>56716</v>
      </c>
      <c r="K2070" s="50"/>
      <c r="L2070" s="48"/>
    </row>
    <row r="2071" spans="1:12" s="37" customFormat="1" ht="11.25" x14ac:dyDescent="0.2">
      <c r="A2071" s="46" t="s">
        <v>16826</v>
      </c>
      <c r="B2071" s="46" t="s">
        <v>52020</v>
      </c>
      <c r="C2071" s="58" t="str">
        <f>""</f>
        <v/>
      </c>
      <c r="D2071" s="58" t="str">
        <f>"21613311"</f>
        <v>21613311</v>
      </c>
      <c r="E2071" s="46" t="s">
        <v>9967</v>
      </c>
      <c r="F2071" s="46" t="s">
        <v>17759</v>
      </c>
      <c r="G2071" s="46" t="s">
        <v>50584</v>
      </c>
      <c r="H2071" s="48" t="s">
        <v>56716</v>
      </c>
      <c r="I2071" s="48" t="s">
        <v>50564</v>
      </c>
      <c r="J2071" s="48" t="s">
        <v>56716</v>
      </c>
      <c r="K2071" s="50"/>
      <c r="L2071" s="48"/>
    </row>
    <row r="2072" spans="1:12" s="37" customFormat="1" ht="11.25" x14ac:dyDescent="0.2">
      <c r="A2072" s="46" t="s">
        <v>16467</v>
      </c>
      <c r="B2072" s="46" t="s">
        <v>52021</v>
      </c>
      <c r="C2072" s="58" t="str">
        <f>""</f>
        <v/>
      </c>
      <c r="D2072" s="58" t="str">
        <f>"21624968"</f>
        <v>21624968</v>
      </c>
      <c r="E2072" s="46" t="s">
        <v>56325</v>
      </c>
      <c r="F2072" s="46" t="s">
        <v>17759</v>
      </c>
      <c r="G2072" s="46" t="s">
        <v>50584</v>
      </c>
      <c r="H2072" s="48" t="s">
        <v>56716</v>
      </c>
      <c r="I2072" s="48" t="s">
        <v>50564</v>
      </c>
      <c r="J2072" s="48" t="s">
        <v>56716</v>
      </c>
      <c r="K2072" s="50"/>
      <c r="L2072" s="48"/>
    </row>
    <row r="2073" spans="1:12" s="37" customFormat="1" ht="11.25" x14ac:dyDescent="0.2">
      <c r="A2073" s="46" t="s">
        <v>16469</v>
      </c>
      <c r="B2073" s="46" t="s">
        <v>52022</v>
      </c>
      <c r="C2073" s="58" t="str">
        <f>""</f>
        <v/>
      </c>
      <c r="D2073" s="58" t="str">
        <f>"21613303"</f>
        <v>21613303</v>
      </c>
      <c r="E2073" s="46" t="s">
        <v>56325</v>
      </c>
      <c r="F2073" s="46" t="s">
        <v>17759</v>
      </c>
      <c r="G2073" s="46" t="s">
        <v>50584</v>
      </c>
      <c r="H2073" s="48" t="s">
        <v>56716</v>
      </c>
      <c r="I2073" s="48" t="s">
        <v>50564</v>
      </c>
      <c r="J2073" s="48" t="s">
        <v>56716</v>
      </c>
      <c r="K2073" s="50"/>
      <c r="L2073" s="48"/>
    </row>
    <row r="2074" spans="1:12" s="37" customFormat="1" ht="11.25" x14ac:dyDescent="0.2">
      <c r="A2074" s="46" t="s">
        <v>7692</v>
      </c>
      <c r="B2074" s="46" t="s">
        <v>52023</v>
      </c>
      <c r="C2074" s="58" t="str">
        <f>"11980052"</f>
        <v>11980052</v>
      </c>
      <c r="D2074" s="58" t="str">
        <f>"17187729"</f>
        <v>17187729</v>
      </c>
      <c r="E2074" s="46" t="s">
        <v>4693</v>
      </c>
      <c r="F2074" s="46" t="s">
        <v>18959</v>
      </c>
      <c r="G2074" s="46" t="s">
        <v>50584</v>
      </c>
      <c r="H2074" s="48" t="s">
        <v>56716</v>
      </c>
      <c r="I2074" s="48" t="s">
        <v>50564</v>
      </c>
      <c r="J2074" s="48"/>
      <c r="K2074" s="50"/>
      <c r="L2074" s="48"/>
    </row>
    <row r="2075" spans="1:12" s="37" customFormat="1" ht="11.25" x14ac:dyDescent="0.2">
      <c r="A2075" s="46" t="s">
        <v>9740</v>
      </c>
      <c r="B2075" s="46" t="s">
        <v>52024</v>
      </c>
      <c r="C2075" s="58" t="str">
        <f>"15233790"</f>
        <v>15233790</v>
      </c>
      <c r="D2075" s="58" t="str">
        <f>"15346269"</f>
        <v>15346269</v>
      </c>
      <c r="E2075" s="46" t="s">
        <v>56325</v>
      </c>
      <c r="F2075" s="46" t="s">
        <v>17759</v>
      </c>
      <c r="G2075" s="46" t="s">
        <v>50584</v>
      </c>
      <c r="H2075" s="48" t="s">
        <v>56716</v>
      </c>
      <c r="I2075" s="48" t="s">
        <v>50564</v>
      </c>
      <c r="J2075" s="48"/>
      <c r="K2075" s="50"/>
      <c r="L2075" s="48" t="s">
        <v>56716</v>
      </c>
    </row>
    <row r="2076" spans="1:12" s="37" customFormat="1" ht="11.25" x14ac:dyDescent="0.2">
      <c r="A2076" s="46" t="s">
        <v>8934</v>
      </c>
      <c r="B2076" s="46" t="s">
        <v>52025</v>
      </c>
      <c r="C2076" s="58" t="str">
        <f>"15284050"</f>
        <v>15284050</v>
      </c>
      <c r="D2076" s="58" t="str">
        <f>"14736322"</f>
        <v>14736322</v>
      </c>
      <c r="E2076" s="46" t="s">
        <v>28</v>
      </c>
      <c r="F2076" s="46" t="s">
        <v>17759</v>
      </c>
      <c r="G2076" s="46" t="s">
        <v>50584</v>
      </c>
      <c r="H2076" s="48" t="s">
        <v>56716</v>
      </c>
      <c r="I2076" s="48" t="s">
        <v>50564</v>
      </c>
      <c r="J2076" s="48" t="s">
        <v>56716</v>
      </c>
      <c r="K2076" s="50" t="s">
        <v>56716</v>
      </c>
      <c r="L2076" s="48" t="s">
        <v>56716</v>
      </c>
    </row>
    <row r="2077" spans="1:12" s="37" customFormat="1" ht="11.25" x14ac:dyDescent="0.2">
      <c r="A2077" s="46" t="s">
        <v>5805</v>
      </c>
      <c r="B2077" s="46" t="s">
        <v>52026</v>
      </c>
      <c r="C2077" s="58" t="str">
        <f>"09527907"</f>
        <v>09527907</v>
      </c>
      <c r="D2077" s="58" t="str">
        <f>"14736500"</f>
        <v>14736500</v>
      </c>
      <c r="E2077" s="46" t="s">
        <v>28</v>
      </c>
      <c r="F2077" s="46" t="s">
        <v>50646</v>
      </c>
      <c r="G2077" s="46" t="s">
        <v>50584</v>
      </c>
      <c r="H2077" s="48" t="s">
        <v>56716</v>
      </c>
      <c r="I2077" s="48" t="s">
        <v>50564</v>
      </c>
      <c r="J2077" s="48" t="s">
        <v>56716</v>
      </c>
      <c r="K2077" s="50" t="s">
        <v>56716</v>
      </c>
      <c r="L2077" s="48" t="s">
        <v>56716</v>
      </c>
    </row>
    <row r="2078" spans="1:12" s="37" customFormat="1" ht="11.25" x14ac:dyDescent="0.2">
      <c r="A2078" s="46" t="s">
        <v>56021</v>
      </c>
      <c r="B2078" s="46" t="s">
        <v>56022</v>
      </c>
      <c r="C2078" s="58" t="str">
        <f>""</f>
        <v/>
      </c>
      <c r="D2078" s="58" t="str">
        <f>"23521546"</f>
        <v>23521546</v>
      </c>
      <c r="E2078" s="46" t="s">
        <v>155</v>
      </c>
      <c r="F2078" s="46" t="s">
        <v>50646</v>
      </c>
      <c r="G2078" s="46" t="s">
        <v>50584</v>
      </c>
      <c r="H2078" s="48" t="s">
        <v>56716</v>
      </c>
      <c r="I2078" s="48" t="s">
        <v>50564</v>
      </c>
      <c r="J2078" s="48" t="s">
        <v>56716</v>
      </c>
      <c r="K2078" s="50" t="s">
        <v>56716</v>
      </c>
      <c r="L2078" s="48"/>
    </row>
    <row r="2079" spans="1:12" s="37" customFormat="1" ht="11.25" x14ac:dyDescent="0.2">
      <c r="A2079" s="46" t="s">
        <v>5231</v>
      </c>
      <c r="B2079" s="46" t="s">
        <v>52027</v>
      </c>
      <c r="C2079" s="58" t="str">
        <f>"09581669"</f>
        <v>09581669</v>
      </c>
      <c r="D2079" s="58" t="str">
        <f>"18790429"</f>
        <v>18790429</v>
      </c>
      <c r="E2079" s="46" t="s">
        <v>155</v>
      </c>
      <c r="F2079" s="46" t="s">
        <v>50646</v>
      </c>
      <c r="G2079" s="46" t="s">
        <v>50584</v>
      </c>
      <c r="H2079" s="48" t="s">
        <v>56716</v>
      </c>
      <c r="I2079" s="48" t="s">
        <v>50564</v>
      </c>
      <c r="J2079" s="48" t="s">
        <v>56716</v>
      </c>
      <c r="K2079" s="50" t="s">
        <v>56716</v>
      </c>
      <c r="L2079" s="48" t="s">
        <v>56716</v>
      </c>
    </row>
    <row r="2080" spans="1:12" s="37" customFormat="1" ht="11.25" x14ac:dyDescent="0.2">
      <c r="A2080" s="46" t="s">
        <v>4379</v>
      </c>
      <c r="B2080" s="46" t="s">
        <v>52028</v>
      </c>
      <c r="C2080" s="58" t="str">
        <f>"02684705"</f>
        <v>02684705</v>
      </c>
      <c r="D2080" s="58" t="str">
        <f>"15317080"</f>
        <v>15317080</v>
      </c>
      <c r="E2080" s="46" t="s">
        <v>28</v>
      </c>
      <c r="F2080" s="46" t="s">
        <v>17759</v>
      </c>
      <c r="G2080" s="46" t="s">
        <v>50584</v>
      </c>
      <c r="H2080" s="48" t="s">
        <v>56716</v>
      </c>
      <c r="I2080" s="48" t="s">
        <v>50564</v>
      </c>
      <c r="J2080" s="48" t="s">
        <v>56716</v>
      </c>
      <c r="K2080" s="50" t="s">
        <v>56716</v>
      </c>
      <c r="L2080" s="48" t="s">
        <v>56716</v>
      </c>
    </row>
    <row r="2081" spans="1:12" s="37" customFormat="1" ht="11.25" x14ac:dyDescent="0.2">
      <c r="A2081" s="46" t="s">
        <v>4812</v>
      </c>
      <c r="B2081" s="46" t="s">
        <v>52029</v>
      </c>
      <c r="C2081" s="58" t="str">
        <f>"09550674"</f>
        <v>09550674</v>
      </c>
      <c r="D2081" s="58" t="str">
        <f>"18790410"</f>
        <v>18790410</v>
      </c>
      <c r="E2081" s="46" t="s">
        <v>155</v>
      </c>
      <c r="F2081" s="46" t="s">
        <v>50646</v>
      </c>
      <c r="G2081" s="46" t="s">
        <v>50584</v>
      </c>
      <c r="H2081" s="48" t="s">
        <v>56716</v>
      </c>
      <c r="I2081" s="48" t="s">
        <v>50564</v>
      </c>
      <c r="J2081" s="48" t="s">
        <v>56716</v>
      </c>
      <c r="K2081" s="50" t="s">
        <v>56716</v>
      </c>
      <c r="L2081" s="48" t="s">
        <v>56716</v>
      </c>
    </row>
    <row r="2082" spans="1:12" s="37" customFormat="1" ht="11.25" x14ac:dyDescent="0.2">
      <c r="A2082" s="46" t="s">
        <v>7510</v>
      </c>
      <c r="B2082" s="46" t="s">
        <v>52030</v>
      </c>
      <c r="C2082" s="58" t="str">
        <f>"13675931"</f>
        <v>13675931</v>
      </c>
      <c r="D2082" s="58" t="str">
        <f>"18790402"</f>
        <v>18790402</v>
      </c>
      <c r="E2082" s="46" t="s">
        <v>155</v>
      </c>
      <c r="F2082" s="46" t="s">
        <v>50646</v>
      </c>
      <c r="G2082" s="46" t="s">
        <v>50584</v>
      </c>
      <c r="H2082" s="48" t="s">
        <v>56716</v>
      </c>
      <c r="I2082" s="48" t="s">
        <v>50564</v>
      </c>
      <c r="J2082" s="48"/>
      <c r="K2082" s="50" t="s">
        <v>56716</v>
      </c>
      <c r="L2082" s="48" t="s">
        <v>56716</v>
      </c>
    </row>
    <row r="2083" spans="1:12" s="37" customFormat="1" ht="11.25" x14ac:dyDescent="0.2">
      <c r="A2083" s="46" t="s">
        <v>8255</v>
      </c>
      <c r="B2083" s="46" t="s">
        <v>52031</v>
      </c>
      <c r="C2083" s="58" t="str">
        <f>"13631950"</f>
        <v>13631950</v>
      </c>
      <c r="D2083" s="58" t="str">
        <f>"14736519"</f>
        <v>14736519</v>
      </c>
      <c r="E2083" s="46" t="s">
        <v>28</v>
      </c>
      <c r="F2083" s="46" t="s">
        <v>17759</v>
      </c>
      <c r="G2083" s="46" t="s">
        <v>50584</v>
      </c>
      <c r="H2083" s="48" t="s">
        <v>56716</v>
      </c>
      <c r="I2083" s="48" t="s">
        <v>50564</v>
      </c>
      <c r="J2083" s="48"/>
      <c r="K2083" s="50" t="s">
        <v>56716</v>
      </c>
      <c r="L2083" s="48" t="s">
        <v>56716</v>
      </c>
    </row>
    <row r="2084" spans="1:12" s="37" customFormat="1" ht="11.25" x14ac:dyDescent="0.2">
      <c r="A2084" s="46" t="s">
        <v>7364</v>
      </c>
      <c r="B2084" s="46" t="s">
        <v>52032</v>
      </c>
      <c r="C2084" s="58" t="str">
        <f>"13590294"</f>
        <v>13590294</v>
      </c>
      <c r="D2084" s="58" t="str">
        <f>"18790399"</f>
        <v>18790399</v>
      </c>
      <c r="E2084" s="46" t="s">
        <v>155</v>
      </c>
      <c r="F2084" s="46" t="s">
        <v>50646</v>
      </c>
      <c r="G2084" s="46" t="s">
        <v>50584</v>
      </c>
      <c r="H2084" s="48" t="s">
        <v>56716</v>
      </c>
      <c r="I2084" s="48" t="s">
        <v>50564</v>
      </c>
      <c r="J2084" s="48"/>
      <c r="K2084" s="50" t="s">
        <v>56716</v>
      </c>
      <c r="L2084" s="48"/>
    </row>
    <row r="2085" spans="1:12" s="37" customFormat="1" ht="11.25" x14ac:dyDescent="0.2">
      <c r="A2085" s="46" t="s">
        <v>8258</v>
      </c>
      <c r="B2085" s="46" t="s">
        <v>52033</v>
      </c>
      <c r="C2085" s="58" t="str">
        <f>"10705295"</f>
        <v>10705295</v>
      </c>
      <c r="D2085" s="58" t="str">
        <f>"15317072"</f>
        <v>15317072</v>
      </c>
      <c r="E2085" s="46" t="s">
        <v>28</v>
      </c>
      <c r="F2085" s="46" t="s">
        <v>17759</v>
      </c>
      <c r="G2085" s="46" t="s">
        <v>50584</v>
      </c>
      <c r="H2085" s="48" t="s">
        <v>56716</v>
      </c>
      <c r="I2085" s="48" t="s">
        <v>50564</v>
      </c>
      <c r="J2085" s="48"/>
      <c r="K2085" s="50"/>
      <c r="L2085" s="48" t="s">
        <v>56716</v>
      </c>
    </row>
    <row r="2086" spans="1:12" s="37" customFormat="1" ht="11.25" x14ac:dyDescent="0.2">
      <c r="A2086" s="46" t="s">
        <v>12039</v>
      </c>
      <c r="B2086" s="46" t="s">
        <v>52034</v>
      </c>
      <c r="C2086" s="58" t="str">
        <f>"1752296X"</f>
        <v>1752296X</v>
      </c>
      <c r="D2086" s="58" t="str">
        <f>"17522978"</f>
        <v>17522978</v>
      </c>
      <c r="E2086" s="46" t="s">
        <v>28</v>
      </c>
      <c r="F2086" s="46" t="s">
        <v>17759</v>
      </c>
      <c r="G2086" s="46" t="s">
        <v>50584</v>
      </c>
      <c r="H2086" s="48" t="s">
        <v>56716</v>
      </c>
      <c r="I2086" s="48" t="s">
        <v>50564</v>
      </c>
      <c r="J2086" s="48"/>
      <c r="K2086" s="50"/>
      <c r="L2086" s="48" t="s">
        <v>56716</v>
      </c>
    </row>
    <row r="2087" spans="1:12" s="37" customFormat="1" ht="11.25" x14ac:dyDescent="0.2">
      <c r="A2087" s="46" t="s">
        <v>4447</v>
      </c>
      <c r="B2087" s="46" t="s">
        <v>52035</v>
      </c>
      <c r="C2087" s="58" t="str">
        <f>"02671379"</f>
        <v>02671379</v>
      </c>
      <c r="D2087" s="58" t="str">
        <f>"15317056"</f>
        <v>15317056</v>
      </c>
      <c r="E2087" s="46" t="s">
        <v>28</v>
      </c>
      <c r="F2087" s="46" t="s">
        <v>17759</v>
      </c>
      <c r="G2087" s="46" t="s">
        <v>50584</v>
      </c>
      <c r="H2087" s="48" t="s">
        <v>56716</v>
      </c>
      <c r="I2087" s="48" t="s">
        <v>50564</v>
      </c>
      <c r="J2087" s="48"/>
      <c r="K2087" s="50" t="s">
        <v>56716</v>
      </c>
      <c r="L2087" s="48" t="s">
        <v>56716</v>
      </c>
    </row>
    <row r="2088" spans="1:12" s="37" customFormat="1" ht="11.25" x14ac:dyDescent="0.2">
      <c r="A2088" s="46" t="s">
        <v>5240</v>
      </c>
      <c r="B2088" s="46" t="s">
        <v>52036</v>
      </c>
      <c r="C2088" s="58" t="str">
        <f>"0959437X"</f>
        <v>0959437X</v>
      </c>
      <c r="D2088" s="58" t="str">
        <f>"18790380"</f>
        <v>18790380</v>
      </c>
      <c r="E2088" s="46" t="s">
        <v>155</v>
      </c>
      <c r="F2088" s="46" t="s">
        <v>50646</v>
      </c>
      <c r="G2088" s="46" t="s">
        <v>50584</v>
      </c>
      <c r="H2088" s="48" t="s">
        <v>56716</v>
      </c>
      <c r="I2088" s="48" t="s">
        <v>50564</v>
      </c>
      <c r="J2088" s="48" t="s">
        <v>56716</v>
      </c>
      <c r="K2088" s="50"/>
      <c r="L2088" s="48" t="s">
        <v>56716</v>
      </c>
    </row>
    <row r="2089" spans="1:12" s="37" customFormat="1" ht="11.25" x14ac:dyDescent="0.2">
      <c r="A2089" s="46" t="s">
        <v>6825</v>
      </c>
      <c r="B2089" s="46" t="s">
        <v>52037</v>
      </c>
      <c r="C2089" s="58" t="str">
        <f>"10656251"</f>
        <v>10656251</v>
      </c>
      <c r="D2089" s="58" t="str">
        <f>"15317048"</f>
        <v>15317048</v>
      </c>
      <c r="E2089" s="46" t="s">
        <v>28</v>
      </c>
      <c r="F2089" s="46" t="s">
        <v>17759</v>
      </c>
      <c r="G2089" s="46" t="s">
        <v>50584</v>
      </c>
      <c r="H2089" s="48" t="s">
        <v>56716</v>
      </c>
      <c r="I2089" s="48" t="s">
        <v>50564</v>
      </c>
      <c r="J2089" s="48" t="s">
        <v>56716</v>
      </c>
      <c r="K2089" s="50" t="s">
        <v>56716</v>
      </c>
      <c r="L2089" s="48" t="s">
        <v>56716</v>
      </c>
    </row>
    <row r="2090" spans="1:12" s="37" customFormat="1" ht="11.25" x14ac:dyDescent="0.2">
      <c r="A2090" s="46" t="s">
        <v>11817</v>
      </c>
      <c r="B2090" s="46" t="s">
        <v>52038</v>
      </c>
      <c r="C2090" s="58" t="str">
        <f>"1746630X"</f>
        <v>1746630X</v>
      </c>
      <c r="D2090" s="58" t="str">
        <f>"17466318"</f>
        <v>17466318</v>
      </c>
      <c r="E2090" s="46" t="s">
        <v>28</v>
      </c>
      <c r="F2090" s="46" t="s">
        <v>50646</v>
      </c>
      <c r="G2090" s="46" t="s">
        <v>50584</v>
      </c>
      <c r="H2090" s="48" t="s">
        <v>56716</v>
      </c>
      <c r="I2090" s="48" t="s">
        <v>50564</v>
      </c>
      <c r="J2090" s="48" t="s">
        <v>56716</v>
      </c>
      <c r="K2090" s="50" t="s">
        <v>56716</v>
      </c>
      <c r="L2090" s="48" t="s">
        <v>56716</v>
      </c>
    </row>
    <row r="2091" spans="1:12" s="37" customFormat="1" ht="11.25" x14ac:dyDescent="0.2">
      <c r="A2091" s="46" t="s">
        <v>4753</v>
      </c>
      <c r="B2091" s="46" t="s">
        <v>52039</v>
      </c>
      <c r="C2091" s="58" t="str">
        <f>"09527915"</f>
        <v>09527915</v>
      </c>
      <c r="D2091" s="58" t="str">
        <f>"18790372"</f>
        <v>18790372</v>
      </c>
      <c r="E2091" s="46" t="s">
        <v>155</v>
      </c>
      <c r="F2091" s="46" t="s">
        <v>50646</v>
      </c>
      <c r="G2091" s="46" t="s">
        <v>50584</v>
      </c>
      <c r="H2091" s="48" t="s">
        <v>56716</v>
      </c>
      <c r="I2091" s="48" t="s">
        <v>50564</v>
      </c>
      <c r="J2091" s="48"/>
      <c r="K2091" s="50" t="s">
        <v>56716</v>
      </c>
      <c r="L2091" s="48" t="s">
        <v>56716</v>
      </c>
    </row>
    <row r="2092" spans="1:12" s="37" customFormat="1" ht="11.25" x14ac:dyDescent="0.2">
      <c r="A2092" s="46" t="s">
        <v>4674</v>
      </c>
      <c r="B2092" s="46" t="s">
        <v>52040</v>
      </c>
      <c r="C2092" s="58" t="str">
        <f>"09517375"</f>
        <v>09517375</v>
      </c>
      <c r="D2092" s="58" t="str">
        <f>"14736527"</f>
        <v>14736527</v>
      </c>
      <c r="E2092" s="46" t="s">
        <v>28</v>
      </c>
      <c r="F2092" s="46" t="s">
        <v>50646</v>
      </c>
      <c r="G2092" s="46" t="s">
        <v>50584</v>
      </c>
      <c r="H2092" s="48" t="s">
        <v>56716</v>
      </c>
      <c r="I2092" s="48" t="s">
        <v>50564</v>
      </c>
      <c r="J2092" s="48"/>
      <c r="K2092" s="50"/>
      <c r="L2092" s="48" t="s">
        <v>56716</v>
      </c>
    </row>
    <row r="2093" spans="1:12" s="37" customFormat="1" ht="11.25" x14ac:dyDescent="0.2">
      <c r="A2093" s="46" t="s">
        <v>5205</v>
      </c>
      <c r="B2093" s="46" t="s">
        <v>52041</v>
      </c>
      <c r="C2093" s="58" t="str">
        <f>"09579672"</f>
        <v>09579672</v>
      </c>
      <c r="D2093" s="58" t="str">
        <f>"14736535"</f>
        <v>14736535</v>
      </c>
      <c r="E2093" s="46" t="s">
        <v>28</v>
      </c>
      <c r="F2093" s="46" t="s">
        <v>50646</v>
      </c>
      <c r="G2093" s="46" t="s">
        <v>50584</v>
      </c>
      <c r="H2093" s="48" t="s">
        <v>56716</v>
      </c>
      <c r="I2093" s="48" t="s">
        <v>50564</v>
      </c>
      <c r="J2093" s="48" t="s">
        <v>56716</v>
      </c>
      <c r="K2093" s="50" t="s">
        <v>56716</v>
      </c>
      <c r="L2093" s="48" t="s">
        <v>56716</v>
      </c>
    </row>
    <row r="2094" spans="1:12" s="37" customFormat="1" ht="11.25" x14ac:dyDescent="0.2">
      <c r="A2094" s="46" t="s">
        <v>7800</v>
      </c>
      <c r="B2094" s="46" t="s">
        <v>52042</v>
      </c>
      <c r="C2094" s="58" t="str">
        <f>"13695274"</f>
        <v>13695274</v>
      </c>
      <c r="D2094" s="58" t="str">
        <f>"18790364"</f>
        <v>18790364</v>
      </c>
      <c r="E2094" s="46" t="s">
        <v>155</v>
      </c>
      <c r="F2094" s="46" t="s">
        <v>50646</v>
      </c>
      <c r="G2094" s="46" t="s">
        <v>50584</v>
      </c>
      <c r="H2094" s="48" t="s">
        <v>56716</v>
      </c>
      <c r="I2094" s="48" t="s">
        <v>50564</v>
      </c>
      <c r="J2094" s="48"/>
      <c r="K2094" s="50" t="s">
        <v>56716</v>
      </c>
      <c r="L2094" s="48" t="s">
        <v>56716</v>
      </c>
    </row>
    <row r="2095" spans="1:12" s="37" customFormat="1" ht="11.25" x14ac:dyDescent="0.2">
      <c r="A2095" s="46" t="s">
        <v>6370</v>
      </c>
      <c r="B2095" s="46" t="s">
        <v>52043</v>
      </c>
      <c r="C2095" s="58" t="str">
        <f>"10624821"</f>
        <v>10624821</v>
      </c>
      <c r="D2095" s="58" t="str">
        <f>"14736543"</f>
        <v>14736543</v>
      </c>
      <c r="E2095" s="46" t="s">
        <v>28</v>
      </c>
      <c r="F2095" s="46" t="s">
        <v>50646</v>
      </c>
      <c r="G2095" s="46" t="s">
        <v>50584</v>
      </c>
      <c r="H2095" s="48" t="s">
        <v>56716</v>
      </c>
      <c r="I2095" s="48" t="s">
        <v>50564</v>
      </c>
      <c r="J2095" s="48" t="s">
        <v>56716</v>
      </c>
      <c r="K2095" s="50" t="s">
        <v>56716</v>
      </c>
      <c r="L2095" s="48" t="s">
        <v>56716</v>
      </c>
    </row>
    <row r="2096" spans="1:12" s="37" customFormat="1" ht="11.25" x14ac:dyDescent="0.2">
      <c r="A2096" s="46" t="s">
        <v>5237</v>
      </c>
      <c r="B2096" s="46" t="s">
        <v>52044</v>
      </c>
      <c r="C2096" s="58" t="str">
        <f>"09594388"</f>
        <v>09594388</v>
      </c>
      <c r="D2096" s="58" t="str">
        <f>"18736882"</f>
        <v>18736882</v>
      </c>
      <c r="E2096" s="46" t="s">
        <v>155</v>
      </c>
      <c r="F2096" s="46" t="s">
        <v>50646</v>
      </c>
      <c r="G2096" s="46" t="s">
        <v>50584</v>
      </c>
      <c r="H2096" s="48" t="s">
        <v>56716</v>
      </c>
      <c r="I2096" s="48" t="s">
        <v>50564</v>
      </c>
      <c r="J2096" s="48" t="s">
        <v>56716</v>
      </c>
      <c r="K2096" s="50" t="s">
        <v>56716</v>
      </c>
      <c r="L2096" s="48" t="s">
        <v>56716</v>
      </c>
    </row>
    <row r="2097" spans="1:12" s="37" customFormat="1" ht="11.25" x14ac:dyDescent="0.2">
      <c r="A2097" s="46" t="s">
        <v>6218</v>
      </c>
      <c r="B2097" s="46" t="s">
        <v>52045</v>
      </c>
      <c r="C2097" s="58" t="str">
        <f>"13507540"</f>
        <v>13507540</v>
      </c>
      <c r="D2097" s="58" t="str">
        <f>"14736551"</f>
        <v>14736551</v>
      </c>
      <c r="E2097" s="46" t="s">
        <v>28</v>
      </c>
      <c r="F2097" s="46" t="s">
        <v>50646</v>
      </c>
      <c r="G2097" s="46" t="s">
        <v>50584</v>
      </c>
      <c r="H2097" s="48" t="s">
        <v>56716</v>
      </c>
      <c r="I2097" s="48" t="s">
        <v>50564</v>
      </c>
      <c r="J2097" s="48"/>
      <c r="K2097" s="50"/>
      <c r="L2097" s="48" t="s">
        <v>56716</v>
      </c>
    </row>
    <row r="2098" spans="1:12" s="37" customFormat="1" ht="11.25" x14ac:dyDescent="0.2">
      <c r="A2098" s="46" t="s">
        <v>5280</v>
      </c>
      <c r="B2098" s="46" t="s">
        <v>52046</v>
      </c>
      <c r="C2098" s="58" t="str">
        <f>"1040872X"</f>
        <v>1040872X</v>
      </c>
      <c r="D2098" s="58" t="str">
        <f>"1473656X"</f>
        <v>1473656X</v>
      </c>
      <c r="E2098" s="46" t="s">
        <v>28</v>
      </c>
      <c r="F2098" s="46" t="s">
        <v>50646</v>
      </c>
      <c r="G2098" s="46" t="s">
        <v>50584</v>
      </c>
      <c r="H2098" s="48" t="s">
        <v>56716</v>
      </c>
      <c r="I2098" s="48" t="s">
        <v>50564</v>
      </c>
      <c r="J2098" s="48" t="s">
        <v>56716</v>
      </c>
      <c r="K2098" s="50"/>
      <c r="L2098" s="48" t="s">
        <v>56716</v>
      </c>
    </row>
    <row r="2099" spans="1:12" s="37" customFormat="1" ht="11.25" x14ac:dyDescent="0.2">
      <c r="A2099" s="46" t="s">
        <v>5330</v>
      </c>
      <c r="B2099" s="46" t="s">
        <v>52047</v>
      </c>
      <c r="C2099" s="58" t="str">
        <f>"10408746"</f>
        <v>10408746</v>
      </c>
      <c r="D2099" s="58" t="str">
        <f>"1531703X"</f>
        <v>1531703X</v>
      </c>
      <c r="E2099" s="46" t="s">
        <v>28</v>
      </c>
      <c r="F2099" s="46" t="s">
        <v>17759</v>
      </c>
      <c r="G2099" s="46" t="s">
        <v>50584</v>
      </c>
      <c r="H2099" s="48" t="s">
        <v>56716</v>
      </c>
      <c r="I2099" s="48" t="s">
        <v>50564</v>
      </c>
      <c r="J2099" s="48" t="s">
        <v>56716</v>
      </c>
      <c r="K2099" s="50" t="s">
        <v>56716</v>
      </c>
      <c r="L2099" s="48" t="s">
        <v>56716</v>
      </c>
    </row>
    <row r="2100" spans="1:12" s="37" customFormat="1" ht="11.25" x14ac:dyDescent="0.2">
      <c r="A2100" s="46" t="s">
        <v>5327</v>
      </c>
      <c r="B2100" s="46" t="s">
        <v>52048</v>
      </c>
      <c r="C2100" s="58" t="str">
        <f>"10408738"</f>
        <v>10408738</v>
      </c>
      <c r="D2100" s="58" t="str">
        <f>"15317021"</f>
        <v>15317021</v>
      </c>
      <c r="E2100" s="46" t="s">
        <v>28</v>
      </c>
      <c r="F2100" s="46" t="s">
        <v>17759</v>
      </c>
      <c r="G2100" s="46" t="s">
        <v>50584</v>
      </c>
      <c r="H2100" s="48" t="s">
        <v>56716</v>
      </c>
      <c r="I2100" s="48" t="s">
        <v>50564</v>
      </c>
      <c r="J2100" s="48" t="s">
        <v>56716</v>
      </c>
      <c r="K2100" s="50" t="s">
        <v>56716</v>
      </c>
      <c r="L2100" s="48" t="s">
        <v>56716</v>
      </c>
    </row>
    <row r="2101" spans="1:12" s="37" customFormat="1" ht="11.25" x14ac:dyDescent="0.2">
      <c r="A2101" s="46" t="s">
        <v>8604</v>
      </c>
      <c r="B2101" s="46" t="s">
        <v>52049</v>
      </c>
      <c r="C2101" s="58" t="str">
        <f>"10872418"</f>
        <v>10872418</v>
      </c>
      <c r="D2101" s="58" t="str">
        <f>"15317013"</f>
        <v>15317013</v>
      </c>
      <c r="E2101" s="46" t="s">
        <v>28</v>
      </c>
      <c r="F2101" s="46" t="s">
        <v>17759</v>
      </c>
      <c r="G2101" s="46" t="s">
        <v>50584</v>
      </c>
      <c r="H2101" s="48" t="s">
        <v>56716</v>
      </c>
      <c r="I2101" s="48" t="s">
        <v>50564</v>
      </c>
      <c r="J2101" s="48"/>
      <c r="K2101" s="50"/>
      <c r="L2101" s="48" t="s">
        <v>56716</v>
      </c>
    </row>
    <row r="2102" spans="1:12" s="37" customFormat="1" ht="11.25" x14ac:dyDescent="0.2">
      <c r="A2102" s="46" t="s">
        <v>6268</v>
      </c>
      <c r="B2102" s="46" t="s">
        <v>52050</v>
      </c>
      <c r="C2102" s="58" t="str">
        <f>"10689508"</f>
        <v>10689508</v>
      </c>
      <c r="D2102" s="58" t="str">
        <f>"15316998"</f>
        <v>15316998</v>
      </c>
      <c r="E2102" s="46" t="s">
        <v>28</v>
      </c>
      <c r="F2102" s="46" t="s">
        <v>17759</v>
      </c>
      <c r="G2102" s="46" t="s">
        <v>50584</v>
      </c>
      <c r="H2102" s="48" t="s">
        <v>56716</v>
      </c>
      <c r="I2102" s="48" t="s">
        <v>50564</v>
      </c>
      <c r="J2102" s="48" t="s">
        <v>56716</v>
      </c>
      <c r="K2102" s="50"/>
      <c r="L2102" s="48" t="s">
        <v>56716</v>
      </c>
    </row>
    <row r="2103" spans="1:12" s="37" customFormat="1" ht="11.25" x14ac:dyDescent="0.2">
      <c r="A2103" s="46" t="s">
        <v>5181</v>
      </c>
      <c r="B2103" s="46" t="s">
        <v>52051</v>
      </c>
      <c r="C2103" s="58" t="str">
        <f>"10408703"</f>
        <v>10408703</v>
      </c>
      <c r="D2103" s="58" t="str">
        <f>"1531698X"</f>
        <v>1531698X</v>
      </c>
      <c r="E2103" s="46" t="s">
        <v>28</v>
      </c>
      <c r="F2103" s="46" t="s">
        <v>17759</v>
      </c>
      <c r="G2103" s="46" t="s">
        <v>50584</v>
      </c>
      <c r="H2103" s="48" t="s">
        <v>56716</v>
      </c>
      <c r="I2103" s="48" t="s">
        <v>50564</v>
      </c>
      <c r="J2103" s="48" t="s">
        <v>56716</v>
      </c>
      <c r="K2103" s="50" t="s">
        <v>56716</v>
      </c>
      <c r="L2103" s="48" t="s">
        <v>56716</v>
      </c>
    </row>
    <row r="2104" spans="1:12" s="37" customFormat="1" ht="11.25" x14ac:dyDescent="0.2">
      <c r="A2104" s="46" t="s">
        <v>9068</v>
      </c>
      <c r="B2104" s="46" t="s">
        <v>52052</v>
      </c>
      <c r="C2104" s="58" t="str">
        <f>"14714892"</f>
        <v>14714892</v>
      </c>
      <c r="D2104" s="58" t="str">
        <f>"14714973"</f>
        <v>14714973</v>
      </c>
      <c r="E2104" s="46" t="s">
        <v>155</v>
      </c>
      <c r="F2104" s="46" t="s">
        <v>50646</v>
      </c>
      <c r="G2104" s="46" t="s">
        <v>50584</v>
      </c>
      <c r="H2104" s="48" t="s">
        <v>56716</v>
      </c>
      <c r="I2104" s="48" t="s">
        <v>50564</v>
      </c>
      <c r="J2104" s="48" t="s">
        <v>56716</v>
      </c>
      <c r="K2104" s="50" t="s">
        <v>56716</v>
      </c>
      <c r="L2104" s="48" t="s">
        <v>56716</v>
      </c>
    </row>
    <row r="2105" spans="1:12" s="37" customFormat="1" ht="11.25" x14ac:dyDescent="0.2">
      <c r="A2105" s="45" t="s">
        <v>26664</v>
      </c>
      <c r="B2105" s="45" t="s">
        <v>26666</v>
      </c>
      <c r="C2105" s="51" t="s">
        <v>26668</v>
      </c>
      <c r="D2105" s="51" t="s">
        <v>26667</v>
      </c>
      <c r="E2105" s="45" t="s">
        <v>26669</v>
      </c>
      <c r="F2105" s="45" t="s">
        <v>50646</v>
      </c>
      <c r="G2105" s="45" t="s">
        <v>50584</v>
      </c>
      <c r="H2105" s="56"/>
      <c r="I2105" s="56" t="s">
        <v>50564</v>
      </c>
      <c r="J2105" s="56"/>
      <c r="K2105" s="50"/>
      <c r="L2105" s="56" t="s">
        <v>56716</v>
      </c>
    </row>
    <row r="2106" spans="1:12" s="37" customFormat="1" ht="11.25" x14ac:dyDescent="0.2">
      <c r="A2106" s="46" t="s">
        <v>4681</v>
      </c>
      <c r="B2106" s="46" t="s">
        <v>52053</v>
      </c>
      <c r="C2106" s="58" t="str">
        <f>"09517367"</f>
        <v>09517367</v>
      </c>
      <c r="D2106" s="58" t="str">
        <f>"14736578"</f>
        <v>14736578</v>
      </c>
      <c r="E2106" s="46" t="s">
        <v>28</v>
      </c>
      <c r="F2106" s="46" t="s">
        <v>50646</v>
      </c>
      <c r="G2106" s="46" t="s">
        <v>50584</v>
      </c>
      <c r="H2106" s="48" t="s">
        <v>56716</v>
      </c>
      <c r="I2106" s="48" t="s">
        <v>50564</v>
      </c>
      <c r="J2106" s="48"/>
      <c r="K2106" s="50" t="s">
        <v>56716</v>
      </c>
      <c r="L2106" s="48" t="s">
        <v>56716</v>
      </c>
    </row>
    <row r="2107" spans="1:12" s="37" customFormat="1" ht="11.25" x14ac:dyDescent="0.2">
      <c r="A2107" s="46" t="s">
        <v>8252</v>
      </c>
      <c r="B2107" s="46" t="s">
        <v>52054</v>
      </c>
      <c r="C2107" s="58" t="str">
        <f>"10705287"</f>
        <v>10705287</v>
      </c>
      <c r="D2107" s="58" t="str">
        <f>"15316971"</f>
        <v>15316971</v>
      </c>
      <c r="E2107" s="46" t="s">
        <v>28</v>
      </c>
      <c r="F2107" s="46" t="s">
        <v>17759</v>
      </c>
      <c r="G2107" s="46" t="s">
        <v>50584</v>
      </c>
      <c r="H2107" s="48" t="s">
        <v>56716</v>
      </c>
      <c r="I2107" s="48" t="s">
        <v>50564</v>
      </c>
      <c r="J2107" s="48"/>
      <c r="K2107" s="50" t="s">
        <v>56716</v>
      </c>
      <c r="L2107" s="48" t="s">
        <v>56716</v>
      </c>
    </row>
    <row r="2108" spans="1:12" s="37" customFormat="1" ht="11.25" x14ac:dyDescent="0.2">
      <c r="A2108" s="46" t="s">
        <v>5033</v>
      </c>
      <c r="B2108" s="46" t="s">
        <v>52055</v>
      </c>
      <c r="C2108" s="58" t="str">
        <f>"10408711"</f>
        <v>10408711</v>
      </c>
      <c r="D2108" s="58" t="str">
        <f>"15316963"</f>
        <v>15316963</v>
      </c>
      <c r="E2108" s="46" t="s">
        <v>28</v>
      </c>
      <c r="F2108" s="46" t="s">
        <v>17759</v>
      </c>
      <c r="G2108" s="46" t="s">
        <v>50584</v>
      </c>
      <c r="H2108" s="48" t="s">
        <v>56716</v>
      </c>
      <c r="I2108" s="48" t="s">
        <v>50564</v>
      </c>
      <c r="J2108" s="48" t="s">
        <v>56716</v>
      </c>
      <c r="K2108" s="50" t="s">
        <v>56716</v>
      </c>
      <c r="L2108" s="48" t="s">
        <v>56716</v>
      </c>
    </row>
    <row r="2109" spans="1:12" s="37" customFormat="1" ht="11.25" x14ac:dyDescent="0.2">
      <c r="A2109" s="46" t="s">
        <v>5234</v>
      </c>
      <c r="B2109" s="46" t="s">
        <v>52056</v>
      </c>
      <c r="C2109" s="58" t="str">
        <f>"0959440X"</f>
        <v>0959440X</v>
      </c>
      <c r="D2109" s="58" t="str">
        <f>"1879033X"</f>
        <v>1879033X</v>
      </c>
      <c r="E2109" s="46" t="s">
        <v>155</v>
      </c>
      <c r="F2109" s="46" t="s">
        <v>50646</v>
      </c>
      <c r="G2109" s="46" t="s">
        <v>50584</v>
      </c>
      <c r="H2109" s="48" t="s">
        <v>56716</v>
      </c>
      <c r="I2109" s="48" t="s">
        <v>50564</v>
      </c>
      <c r="J2109" s="48" t="s">
        <v>56716</v>
      </c>
      <c r="K2109" s="50" t="s">
        <v>56716</v>
      </c>
      <c r="L2109" s="48" t="s">
        <v>56716</v>
      </c>
    </row>
    <row r="2110" spans="1:12" s="37" customFormat="1" ht="11.25" x14ac:dyDescent="0.2">
      <c r="A2110" s="45" t="s">
        <v>26688</v>
      </c>
      <c r="B2110" s="45" t="s">
        <v>26690</v>
      </c>
      <c r="C2110" s="51" t="s">
        <v>26692</v>
      </c>
      <c r="D2110" s="51" t="s">
        <v>26691</v>
      </c>
      <c r="E2110" s="45" t="s">
        <v>17758</v>
      </c>
      <c r="F2110" s="45" t="s">
        <v>17759</v>
      </c>
      <c r="G2110" s="45" t="s">
        <v>50584</v>
      </c>
      <c r="H2110" s="56"/>
      <c r="I2110" s="56" t="s">
        <v>50564</v>
      </c>
      <c r="J2110" s="56"/>
      <c r="K2110" s="50"/>
      <c r="L2110" s="56" t="s">
        <v>56716</v>
      </c>
    </row>
    <row r="2111" spans="1:12" s="37" customFormat="1" ht="11.25" x14ac:dyDescent="0.2">
      <c r="A2111" s="46" t="s">
        <v>5705</v>
      </c>
      <c r="B2111" s="46" t="s">
        <v>52057</v>
      </c>
      <c r="C2111" s="58" t="str">
        <f>"09630643"</f>
        <v>09630643</v>
      </c>
      <c r="D2111" s="58" t="str">
        <f>"14736586"</f>
        <v>14736586</v>
      </c>
      <c r="E2111" s="46" t="s">
        <v>28</v>
      </c>
      <c r="F2111" s="46" t="s">
        <v>50646</v>
      </c>
      <c r="G2111" s="46" t="s">
        <v>50584</v>
      </c>
      <c r="H2111" s="48" t="s">
        <v>56716</v>
      </c>
      <c r="I2111" s="48" t="s">
        <v>50564</v>
      </c>
      <c r="J2111" s="48" t="s">
        <v>56716</v>
      </c>
      <c r="K2111" s="50" t="s">
        <v>56716</v>
      </c>
      <c r="L2111" s="48" t="s">
        <v>56716</v>
      </c>
    </row>
    <row r="2112" spans="1:12" s="37" customFormat="1" ht="11.25" x14ac:dyDescent="0.2">
      <c r="A2112" s="46" t="s">
        <v>15470</v>
      </c>
      <c r="B2112" s="46" t="s">
        <v>52058</v>
      </c>
      <c r="C2112" s="58" t="str">
        <f>"18796257"</f>
        <v>18796257</v>
      </c>
      <c r="D2112" s="58" t="str">
        <f>"18796265"</f>
        <v>18796265</v>
      </c>
      <c r="E2112" s="46" t="s">
        <v>91</v>
      </c>
      <c r="F2112" s="46" t="s">
        <v>18001</v>
      </c>
      <c r="G2112" s="46" t="s">
        <v>50584</v>
      </c>
      <c r="H2112" s="48" t="s">
        <v>56716</v>
      </c>
      <c r="I2112" s="48" t="s">
        <v>50564</v>
      </c>
      <c r="J2112" s="48" t="s">
        <v>56716</v>
      </c>
      <c r="K2112" s="50" t="s">
        <v>56716</v>
      </c>
      <c r="L2112" s="48" t="s">
        <v>56716</v>
      </c>
    </row>
    <row r="2113" spans="1:12" s="37" customFormat="1" ht="11.25" x14ac:dyDescent="0.2">
      <c r="A2113" s="46" t="s">
        <v>12846</v>
      </c>
      <c r="B2113" s="46" t="s">
        <v>52059</v>
      </c>
      <c r="C2113" s="58" t="str">
        <f>"19407041"</f>
        <v>19407041</v>
      </c>
      <c r="D2113" s="58" t="str">
        <f>"19417551"</f>
        <v>19417551</v>
      </c>
      <c r="E2113" s="46" t="s">
        <v>28</v>
      </c>
      <c r="F2113" s="46" t="s">
        <v>17759</v>
      </c>
      <c r="G2113" s="46" t="s">
        <v>50584</v>
      </c>
      <c r="H2113" s="48" t="s">
        <v>56716</v>
      </c>
      <c r="I2113" s="48" t="s">
        <v>50564</v>
      </c>
      <c r="J2113" s="48" t="s">
        <v>56716</v>
      </c>
      <c r="K2113" s="50"/>
      <c r="L2113" s="48"/>
    </row>
    <row r="2114" spans="1:12" s="37" customFormat="1" ht="11.25" x14ac:dyDescent="0.2">
      <c r="A2114" s="46" t="s">
        <v>11100</v>
      </c>
      <c r="B2114" s="46" t="s">
        <v>52060</v>
      </c>
      <c r="C2114" s="58" t="str">
        <f>"15441873"</f>
        <v>15441873</v>
      </c>
      <c r="D2114" s="58" t="str">
        <f>"15442241"</f>
        <v>15442241</v>
      </c>
      <c r="E2114" s="46" t="s">
        <v>56325</v>
      </c>
      <c r="F2114" s="46" t="s">
        <v>17759</v>
      </c>
      <c r="G2114" s="46" t="s">
        <v>50584</v>
      </c>
      <c r="H2114" s="48" t="s">
        <v>56716</v>
      </c>
      <c r="I2114" s="48" t="s">
        <v>50564</v>
      </c>
      <c r="J2114" s="48"/>
      <c r="K2114" s="50" t="s">
        <v>56716</v>
      </c>
      <c r="L2114" s="48" t="s">
        <v>56716</v>
      </c>
    </row>
    <row r="2115" spans="1:12" s="37" customFormat="1" ht="11.25" x14ac:dyDescent="0.2">
      <c r="A2115" s="46" t="s">
        <v>9743</v>
      </c>
      <c r="B2115" s="46" t="s">
        <v>52061</v>
      </c>
      <c r="C2115" s="58" t="str">
        <f>"15313433"</f>
        <v>15313433</v>
      </c>
      <c r="D2115" s="58" t="str">
        <f>"15343081"</f>
        <v>15343081</v>
      </c>
      <c r="E2115" s="46" t="s">
        <v>56325</v>
      </c>
      <c r="F2115" s="46" t="s">
        <v>17759</v>
      </c>
      <c r="G2115" s="46" t="s">
        <v>50584</v>
      </c>
      <c r="H2115" s="48" t="s">
        <v>56716</v>
      </c>
      <c r="I2115" s="48" t="s">
        <v>50564</v>
      </c>
      <c r="J2115" s="48"/>
      <c r="K2115" s="50"/>
      <c r="L2115" s="48" t="s">
        <v>56716</v>
      </c>
    </row>
    <row r="2116" spans="1:12" s="37" customFormat="1" ht="11.25" x14ac:dyDescent="0.2">
      <c r="A2116" s="46" t="s">
        <v>7570</v>
      </c>
      <c r="B2116" s="46" t="s">
        <v>52062</v>
      </c>
      <c r="C2116" s="58" t="str">
        <f>"09719032"</f>
        <v>09719032</v>
      </c>
      <c r="D2116" s="58" t="str">
        <f>""</f>
        <v/>
      </c>
      <c r="E2116" s="46" t="s">
        <v>5110</v>
      </c>
      <c r="F2116" s="46" t="s">
        <v>20446</v>
      </c>
      <c r="G2116" s="46" t="s">
        <v>50584</v>
      </c>
      <c r="H2116" s="48" t="s">
        <v>56716</v>
      </c>
      <c r="I2116" s="48" t="s">
        <v>50564</v>
      </c>
      <c r="J2116" s="48"/>
      <c r="K2116" s="50"/>
      <c r="L2116" s="48"/>
    </row>
    <row r="2117" spans="1:12" s="37" customFormat="1" ht="11.25" x14ac:dyDescent="0.2">
      <c r="A2117" s="46" t="s">
        <v>11000</v>
      </c>
      <c r="B2117" s="46" t="s">
        <v>52063</v>
      </c>
      <c r="C2117" s="58" t="str">
        <f>"15733963"</f>
        <v>15733963</v>
      </c>
      <c r="D2117" s="58" t="str">
        <f>"18756336"</f>
        <v>18756336</v>
      </c>
      <c r="E2117" s="46" t="s">
        <v>6405</v>
      </c>
      <c r="F2117" s="46" t="s">
        <v>18001</v>
      </c>
      <c r="G2117" s="46" t="s">
        <v>50584</v>
      </c>
      <c r="H2117" s="48" t="s">
        <v>56716</v>
      </c>
      <c r="I2117" s="48" t="s">
        <v>50564</v>
      </c>
      <c r="J2117" s="48" t="s">
        <v>56716</v>
      </c>
      <c r="K2117" s="50"/>
      <c r="L2117" s="48" t="s">
        <v>56716</v>
      </c>
    </row>
    <row r="2118" spans="1:12" s="37" customFormat="1" ht="11.25" x14ac:dyDescent="0.2">
      <c r="A2118" s="46" t="s">
        <v>11003</v>
      </c>
      <c r="B2118" s="46" t="s">
        <v>52064</v>
      </c>
      <c r="C2118" s="58" t="str">
        <f>"15734129"</f>
        <v>15734129</v>
      </c>
      <c r="D2118" s="58" t="str">
        <f>"1875676X"</f>
        <v>1875676X</v>
      </c>
      <c r="E2118" s="46" t="s">
        <v>6405</v>
      </c>
      <c r="F2118" s="46" t="s">
        <v>18001</v>
      </c>
      <c r="G2118" s="46" t="s">
        <v>50584</v>
      </c>
      <c r="H2118" s="48" t="s">
        <v>56716</v>
      </c>
      <c r="I2118" s="48" t="s">
        <v>50564</v>
      </c>
      <c r="J2118" s="48" t="s">
        <v>56716</v>
      </c>
      <c r="K2118" s="50"/>
      <c r="L2118" s="48"/>
    </row>
    <row r="2119" spans="1:12" s="37" customFormat="1" ht="11.25" x14ac:dyDescent="0.2">
      <c r="A2119" s="46" t="s">
        <v>8695</v>
      </c>
      <c r="B2119" s="46" t="s">
        <v>52065</v>
      </c>
      <c r="C2119" s="58" t="str">
        <f>"13892010"</f>
        <v>13892010</v>
      </c>
      <c r="D2119" s="58" t="str">
        <f>"18734316"</f>
        <v>18734316</v>
      </c>
      <c r="E2119" s="46" t="s">
        <v>6405</v>
      </c>
      <c r="F2119" s="46" t="s">
        <v>18001</v>
      </c>
      <c r="G2119" s="46" t="s">
        <v>50584</v>
      </c>
      <c r="H2119" s="48" t="s">
        <v>56716</v>
      </c>
      <c r="I2119" s="48" t="s">
        <v>50564</v>
      </c>
      <c r="J2119" s="48"/>
      <c r="K2119" s="50"/>
      <c r="L2119" s="48" t="s">
        <v>56716</v>
      </c>
    </row>
    <row r="2120" spans="1:12" s="37" customFormat="1" ht="11.25" x14ac:dyDescent="0.2">
      <c r="A2120" s="46" t="s">
        <v>6747</v>
      </c>
      <c r="B2120" s="46" t="s">
        <v>52066</v>
      </c>
      <c r="C2120" s="58" t="str">
        <f>"13816128"</f>
        <v>13816128</v>
      </c>
      <c r="D2120" s="58" t="str">
        <f>"18734286"</f>
        <v>18734286</v>
      </c>
      <c r="E2120" s="46" t="s">
        <v>6405</v>
      </c>
      <c r="F2120" s="46" t="s">
        <v>18001</v>
      </c>
      <c r="G2120" s="46" t="s">
        <v>50584</v>
      </c>
      <c r="H2120" s="48" t="s">
        <v>56716</v>
      </c>
      <c r="I2120" s="48" t="s">
        <v>50564</v>
      </c>
      <c r="J2120" s="48" t="s">
        <v>56716</v>
      </c>
      <c r="K2120" s="50"/>
      <c r="L2120" s="48" t="s">
        <v>56716</v>
      </c>
    </row>
    <row r="2121" spans="1:12" s="37" customFormat="1" ht="11.25" x14ac:dyDescent="0.2">
      <c r="A2121" s="46" t="s">
        <v>13333</v>
      </c>
      <c r="B2121" s="46" t="s">
        <v>52067</v>
      </c>
      <c r="C2121" s="58" t="str">
        <f>"18756921"</f>
        <v>18756921</v>
      </c>
      <c r="D2121" s="58" t="str">
        <f>"18756913"</f>
        <v>18756913</v>
      </c>
      <c r="E2121" s="46" t="s">
        <v>6405</v>
      </c>
      <c r="F2121" s="46" t="s">
        <v>18001</v>
      </c>
      <c r="G2121" s="46" t="s">
        <v>50584</v>
      </c>
      <c r="H2121" s="48" t="s">
        <v>56716</v>
      </c>
      <c r="I2121" s="48" t="s">
        <v>50564</v>
      </c>
      <c r="J2121" s="48"/>
      <c r="K2121" s="50"/>
      <c r="L2121" s="48"/>
    </row>
    <row r="2122" spans="1:12" s="37" customFormat="1" ht="11.25" x14ac:dyDescent="0.2">
      <c r="A2122" s="46" t="s">
        <v>8233</v>
      </c>
      <c r="B2122" s="46" t="s">
        <v>52068</v>
      </c>
      <c r="C2122" s="58" t="str">
        <f>"01470272"</f>
        <v>01470272</v>
      </c>
      <c r="D2122" s="58" t="str">
        <f>"15356345"</f>
        <v>15356345</v>
      </c>
      <c r="E2122" s="46" t="s">
        <v>194</v>
      </c>
      <c r="F2122" s="46" t="s">
        <v>17759</v>
      </c>
      <c r="G2122" s="46" t="s">
        <v>50584</v>
      </c>
      <c r="H2122" s="48" t="s">
        <v>56716</v>
      </c>
      <c r="I2122" s="48" t="s">
        <v>50564</v>
      </c>
      <c r="J2122" s="48"/>
      <c r="K2122" s="50" t="s">
        <v>56716</v>
      </c>
      <c r="L2122" s="48" t="s">
        <v>56716</v>
      </c>
    </row>
    <row r="2123" spans="1:12" s="37" customFormat="1" ht="11.25" x14ac:dyDescent="0.2">
      <c r="A2123" s="46" t="s">
        <v>4159</v>
      </c>
      <c r="B2123" s="46" t="s">
        <v>52069</v>
      </c>
      <c r="C2123" s="58" t="str">
        <f>"01462806"</f>
        <v>01462806</v>
      </c>
      <c r="D2123" s="58" t="str">
        <f>"15356280"</f>
        <v>15356280</v>
      </c>
      <c r="E2123" s="46" t="s">
        <v>194</v>
      </c>
      <c r="F2123" s="46" t="s">
        <v>17759</v>
      </c>
      <c r="G2123" s="46" t="s">
        <v>50584</v>
      </c>
      <c r="H2123" s="48" t="s">
        <v>56716</v>
      </c>
      <c r="I2123" s="48" t="s">
        <v>50564</v>
      </c>
      <c r="J2123" s="48"/>
      <c r="K2123" s="50" t="s">
        <v>56716</v>
      </c>
      <c r="L2123" s="48" t="s">
        <v>56716</v>
      </c>
    </row>
    <row r="2124" spans="1:12" s="37" customFormat="1" ht="11.25" x14ac:dyDescent="0.2">
      <c r="A2124" s="46" t="s">
        <v>10860</v>
      </c>
      <c r="B2124" s="46" t="s">
        <v>52070</v>
      </c>
      <c r="C2124" s="58" t="str">
        <f>"14215721"</f>
        <v>14215721</v>
      </c>
      <c r="D2124" s="58" t="str">
        <f>"16622944"</f>
        <v>16622944</v>
      </c>
      <c r="E2124" s="46" t="s">
        <v>109</v>
      </c>
      <c r="F2124" s="46" t="s">
        <v>18123</v>
      </c>
      <c r="G2124" s="46" t="s">
        <v>50584</v>
      </c>
      <c r="H2124" s="48" t="s">
        <v>56716</v>
      </c>
      <c r="I2124" s="48" t="s">
        <v>50565</v>
      </c>
      <c r="J2124" s="48" t="s">
        <v>56716</v>
      </c>
      <c r="K2124" s="50"/>
      <c r="L2124" s="48" t="s">
        <v>56716</v>
      </c>
    </row>
    <row r="2125" spans="1:12" s="37" customFormat="1" ht="11.25" x14ac:dyDescent="0.2">
      <c r="A2125" s="46" t="s">
        <v>4162</v>
      </c>
      <c r="B2125" s="46" t="s">
        <v>52071</v>
      </c>
      <c r="C2125" s="58" t="str">
        <f>"03630188"</f>
        <v>03630188</v>
      </c>
      <c r="D2125" s="58" t="str">
        <f>"15356302"</f>
        <v>15356302</v>
      </c>
      <c r="E2125" s="46" t="s">
        <v>194</v>
      </c>
      <c r="F2125" s="46" t="s">
        <v>17759</v>
      </c>
      <c r="G2125" s="46" t="s">
        <v>50584</v>
      </c>
      <c r="H2125" s="48" t="s">
        <v>56716</v>
      </c>
      <c r="I2125" s="48" t="s">
        <v>50564</v>
      </c>
      <c r="J2125" s="48"/>
      <c r="K2125" s="50" t="s">
        <v>56716</v>
      </c>
      <c r="L2125" s="48" t="s">
        <v>56716</v>
      </c>
    </row>
    <row r="2126" spans="1:12" s="37" customFormat="1" ht="11.25" x14ac:dyDescent="0.2">
      <c r="A2126" s="46" t="s">
        <v>9435</v>
      </c>
      <c r="B2126" s="46" t="s">
        <v>52072</v>
      </c>
      <c r="C2126" s="58" t="str">
        <f>"15385442"</f>
        <v>15385442</v>
      </c>
      <c r="D2126" s="58" t="str">
        <f>"15383199"</f>
        <v>15383199</v>
      </c>
      <c r="E2126" s="46" t="s">
        <v>194</v>
      </c>
      <c r="F2126" s="46" t="s">
        <v>17759</v>
      </c>
      <c r="G2126" s="46" t="s">
        <v>50584</v>
      </c>
      <c r="H2126" s="48" t="s">
        <v>56716</v>
      </c>
      <c r="I2126" s="48" t="s">
        <v>50564</v>
      </c>
      <c r="J2126" s="48"/>
      <c r="K2126" s="50" t="s">
        <v>56716</v>
      </c>
      <c r="L2126" s="48" t="s">
        <v>56716</v>
      </c>
    </row>
    <row r="2127" spans="1:12" s="37" customFormat="1" ht="11.25" x14ac:dyDescent="0.2">
      <c r="A2127" s="46" t="s">
        <v>1267</v>
      </c>
      <c r="B2127" s="46" t="s">
        <v>52073</v>
      </c>
      <c r="C2127" s="58" t="str">
        <f>"00113840"</f>
        <v>00113840</v>
      </c>
      <c r="D2127" s="58" t="str">
        <f>"15356337"</f>
        <v>15356337</v>
      </c>
      <c r="E2127" s="46" t="s">
        <v>194</v>
      </c>
      <c r="F2127" s="46" t="s">
        <v>17759</v>
      </c>
      <c r="G2127" s="46" t="s">
        <v>50584</v>
      </c>
      <c r="H2127" s="48" t="s">
        <v>56716</v>
      </c>
      <c r="I2127" s="48" t="s">
        <v>50564</v>
      </c>
      <c r="J2127" s="48"/>
      <c r="K2127" s="50" t="s">
        <v>56716</v>
      </c>
      <c r="L2127" s="48" t="s">
        <v>56716</v>
      </c>
    </row>
    <row r="2128" spans="1:12" s="37" customFormat="1" ht="11.25" x14ac:dyDescent="0.2">
      <c r="A2128" s="46" t="s">
        <v>11103</v>
      </c>
      <c r="B2128" s="46" t="s">
        <v>52074</v>
      </c>
      <c r="C2128" s="58" t="str">
        <f>"15441865"</f>
        <v>15441865</v>
      </c>
      <c r="D2128" s="58" t="str">
        <f>"1544225X"</f>
        <v>1544225X</v>
      </c>
      <c r="E2128" s="46" t="s">
        <v>56325</v>
      </c>
      <c r="F2128" s="46" t="s">
        <v>17759</v>
      </c>
      <c r="G2128" s="46" t="s">
        <v>50584</v>
      </c>
      <c r="H2128" s="48" t="s">
        <v>56716</v>
      </c>
      <c r="I2128" s="48" t="s">
        <v>50564</v>
      </c>
      <c r="J2128" s="48"/>
      <c r="K2128" s="50"/>
      <c r="L2128" s="48"/>
    </row>
    <row r="2129" spans="1:12" s="37" customFormat="1" ht="11.25" x14ac:dyDescent="0.2">
      <c r="A2129" s="46" t="s">
        <v>8707</v>
      </c>
      <c r="B2129" s="46" t="s">
        <v>52075</v>
      </c>
      <c r="C2129" s="58" t="str">
        <f>"13892037"</f>
        <v>13892037</v>
      </c>
      <c r="D2129" s="58" t="str">
        <f>"18755550"</f>
        <v>18755550</v>
      </c>
      <c r="E2129" s="46" t="s">
        <v>6405</v>
      </c>
      <c r="F2129" s="46" t="s">
        <v>18001</v>
      </c>
      <c r="G2129" s="46" t="s">
        <v>50584</v>
      </c>
      <c r="H2129" s="48" t="s">
        <v>56716</v>
      </c>
      <c r="I2129" s="48" t="s">
        <v>50564</v>
      </c>
      <c r="J2129" s="48"/>
      <c r="K2129" s="50"/>
      <c r="L2129" s="48" t="s">
        <v>56716</v>
      </c>
    </row>
    <row r="2130" spans="1:12" s="37" customFormat="1" ht="11.25" x14ac:dyDescent="0.2">
      <c r="A2130" s="46" t="s">
        <v>10404</v>
      </c>
      <c r="B2130" s="46" t="s">
        <v>52076</v>
      </c>
      <c r="C2130" s="58" t="str">
        <f>"15701646"</f>
        <v>15701646</v>
      </c>
      <c r="D2130" s="58" t="str">
        <f>""</f>
        <v/>
      </c>
      <c r="E2130" s="46" t="s">
        <v>6405</v>
      </c>
      <c r="F2130" s="46" t="s">
        <v>18001</v>
      </c>
      <c r="G2130" s="46" t="s">
        <v>50584</v>
      </c>
      <c r="H2130" s="48" t="s">
        <v>56716</v>
      </c>
      <c r="I2130" s="48" t="s">
        <v>50564</v>
      </c>
      <c r="J2130" s="48" t="s">
        <v>56716</v>
      </c>
      <c r="K2130" s="50"/>
      <c r="L2130" s="48"/>
    </row>
    <row r="2131" spans="1:12" s="37" customFormat="1" ht="11.25" x14ac:dyDescent="0.2">
      <c r="A2131" s="46" t="s">
        <v>12529</v>
      </c>
      <c r="B2131" s="46" t="s">
        <v>52077</v>
      </c>
      <c r="C2131" s="58" t="str">
        <f>"19343396"</f>
        <v>19343396</v>
      </c>
      <c r="D2131" s="58" t="str">
        <f>"1934340X"</f>
        <v>1934340X</v>
      </c>
      <c r="E2131" s="46" t="s">
        <v>517</v>
      </c>
      <c r="F2131" s="46" t="s">
        <v>17759</v>
      </c>
      <c r="G2131" s="46" t="s">
        <v>50584</v>
      </c>
      <c r="H2131" s="48" t="s">
        <v>56716</v>
      </c>
      <c r="I2131" s="48" t="s">
        <v>50564</v>
      </c>
      <c r="J2131" s="48" t="s">
        <v>56716</v>
      </c>
      <c r="K2131" s="50"/>
      <c r="L2131" s="48" t="s">
        <v>56716</v>
      </c>
    </row>
    <row r="2132" spans="1:12" s="37" customFormat="1" ht="11.25" x14ac:dyDescent="0.2">
      <c r="A2132" s="46" t="s">
        <v>12532</v>
      </c>
      <c r="B2132" s="46" t="s">
        <v>52078</v>
      </c>
      <c r="C2132" s="58" t="str">
        <f>"19342500"</f>
        <v>19342500</v>
      </c>
      <c r="D2132" s="58" t="str">
        <f>"19342616"</f>
        <v>19342616</v>
      </c>
      <c r="E2132" s="46" t="s">
        <v>517</v>
      </c>
      <c r="F2132" s="46" t="s">
        <v>17759</v>
      </c>
      <c r="G2132" s="46" t="s">
        <v>50584</v>
      </c>
      <c r="H2132" s="48" t="s">
        <v>56716</v>
      </c>
      <c r="I2132" s="48" t="s">
        <v>50564</v>
      </c>
      <c r="J2132" s="48" t="s">
        <v>56716</v>
      </c>
      <c r="K2132" s="50"/>
      <c r="L2132" s="48" t="s">
        <v>56716</v>
      </c>
    </row>
    <row r="2133" spans="1:12" s="37" customFormat="1" ht="11.25" x14ac:dyDescent="0.2">
      <c r="A2133" s="45" t="s">
        <v>26765</v>
      </c>
      <c r="B2133" s="45" t="s">
        <v>26767</v>
      </c>
      <c r="C2133" s="51"/>
      <c r="D2133" s="51" t="s">
        <v>26768</v>
      </c>
      <c r="E2133" s="45" t="s">
        <v>21960</v>
      </c>
      <c r="F2133" s="45" t="s">
        <v>17759</v>
      </c>
      <c r="G2133" s="45" t="s">
        <v>50584</v>
      </c>
      <c r="H2133" s="56"/>
      <c r="I2133" s="56" t="s">
        <v>50564</v>
      </c>
      <c r="J2133" s="56"/>
      <c r="K2133" s="50"/>
      <c r="L2133" s="56" t="s">
        <v>56716</v>
      </c>
    </row>
    <row r="2134" spans="1:12" s="37" customFormat="1" ht="11.25" x14ac:dyDescent="0.2">
      <c r="A2134" s="46" t="s">
        <v>12535</v>
      </c>
      <c r="B2134" s="46" t="s">
        <v>52079</v>
      </c>
      <c r="C2134" s="58" t="str">
        <f>"19349297"</f>
        <v>19349297</v>
      </c>
      <c r="D2134" s="58" t="str">
        <f>"19349300"</f>
        <v>19349300</v>
      </c>
      <c r="E2134" s="46" t="s">
        <v>517</v>
      </c>
      <c r="F2134" s="46" t="s">
        <v>17759</v>
      </c>
      <c r="G2134" s="46" t="s">
        <v>50584</v>
      </c>
      <c r="H2134" s="48" t="s">
        <v>56716</v>
      </c>
      <c r="I2134" s="48" t="s">
        <v>50564</v>
      </c>
      <c r="J2134" s="48" t="s">
        <v>56716</v>
      </c>
      <c r="K2134" s="50"/>
      <c r="L2134" s="48" t="s">
        <v>56716</v>
      </c>
    </row>
    <row r="2135" spans="1:12" s="37" customFormat="1" ht="11.25" x14ac:dyDescent="0.2">
      <c r="A2135" s="46" t="s">
        <v>14175</v>
      </c>
      <c r="B2135" s="46" t="s">
        <v>52080</v>
      </c>
      <c r="C2135" s="58" t="str">
        <f>""</f>
        <v/>
      </c>
      <c r="D2135" s="58" t="str">
        <f>"19483430"</f>
        <v>19483430</v>
      </c>
      <c r="E2135" s="46" t="s">
        <v>548</v>
      </c>
      <c r="F2135" s="46" t="s">
        <v>17759</v>
      </c>
      <c r="G2135" s="46" t="s">
        <v>50584</v>
      </c>
      <c r="H2135" s="48" t="s">
        <v>56716</v>
      </c>
      <c r="I2135" s="48" t="s">
        <v>50564</v>
      </c>
      <c r="J2135" s="48" t="s">
        <v>56716</v>
      </c>
      <c r="K2135" s="50"/>
      <c r="L2135" s="48"/>
    </row>
    <row r="2136" spans="1:12" s="37" customFormat="1" ht="11.25" x14ac:dyDescent="0.2">
      <c r="A2136" s="46" t="s">
        <v>12538</v>
      </c>
      <c r="B2136" s="46" t="s">
        <v>52081</v>
      </c>
      <c r="C2136" s="58" t="str">
        <f>"19348266"</f>
        <v>19348266</v>
      </c>
      <c r="D2136" s="58" t="str">
        <f>"19348258"</f>
        <v>19348258</v>
      </c>
      <c r="E2136" s="46" t="s">
        <v>548</v>
      </c>
      <c r="F2136" s="46" t="s">
        <v>17759</v>
      </c>
      <c r="G2136" s="46" t="s">
        <v>50584</v>
      </c>
      <c r="H2136" s="48" t="s">
        <v>56716</v>
      </c>
      <c r="I2136" s="48" t="s">
        <v>50564</v>
      </c>
      <c r="J2136" s="48" t="s">
        <v>56716</v>
      </c>
      <c r="K2136" s="50"/>
      <c r="L2136" s="48" t="s">
        <v>56716</v>
      </c>
    </row>
    <row r="2137" spans="1:12" s="37" customFormat="1" ht="11.25" x14ac:dyDescent="0.2">
      <c r="A2137" s="46" t="s">
        <v>12541</v>
      </c>
      <c r="B2137" s="46" t="s">
        <v>52082</v>
      </c>
      <c r="C2137" s="58" t="str">
        <f>"19343671"</f>
        <v>19343671</v>
      </c>
      <c r="D2137" s="58" t="str">
        <f>"1934368X"</f>
        <v>1934368X</v>
      </c>
      <c r="E2137" s="46" t="s">
        <v>548</v>
      </c>
      <c r="F2137" s="46" t="s">
        <v>17759</v>
      </c>
      <c r="G2137" s="46" t="s">
        <v>50584</v>
      </c>
      <c r="H2137" s="48" t="s">
        <v>56716</v>
      </c>
      <c r="I2137" s="48" t="s">
        <v>50564</v>
      </c>
      <c r="J2137" s="48" t="s">
        <v>56716</v>
      </c>
      <c r="K2137" s="50"/>
      <c r="L2137" s="48" t="s">
        <v>56716</v>
      </c>
    </row>
    <row r="2138" spans="1:12" s="37" customFormat="1" ht="11.25" x14ac:dyDescent="0.2">
      <c r="A2138" s="46" t="s">
        <v>12544</v>
      </c>
      <c r="B2138" s="46" t="s">
        <v>52083</v>
      </c>
      <c r="C2138" s="58" t="str">
        <f>"19348525"</f>
        <v>19348525</v>
      </c>
      <c r="D2138" s="58" t="str">
        <f>"19348533"</f>
        <v>19348533</v>
      </c>
      <c r="E2138" s="46" t="s">
        <v>548</v>
      </c>
      <c r="F2138" s="46" t="s">
        <v>17759</v>
      </c>
      <c r="G2138" s="46" t="s">
        <v>50584</v>
      </c>
      <c r="H2138" s="48" t="s">
        <v>56716</v>
      </c>
      <c r="I2138" s="48" t="s">
        <v>50564</v>
      </c>
      <c r="J2138" s="48" t="s">
        <v>56716</v>
      </c>
      <c r="K2138" s="50"/>
      <c r="L2138" s="48" t="s">
        <v>56716</v>
      </c>
    </row>
    <row r="2139" spans="1:12" s="37" customFormat="1" ht="11.25" x14ac:dyDescent="0.2">
      <c r="A2139" s="46" t="s">
        <v>12547</v>
      </c>
      <c r="B2139" s="46" t="s">
        <v>52084</v>
      </c>
      <c r="C2139" s="58" t="str">
        <f>"19343639"</f>
        <v>19343639</v>
      </c>
      <c r="D2139" s="58" t="str">
        <f>"19343647"</f>
        <v>19343647</v>
      </c>
      <c r="E2139" s="46" t="s">
        <v>548</v>
      </c>
      <c r="F2139" s="46" t="s">
        <v>17759</v>
      </c>
      <c r="G2139" s="46" t="s">
        <v>50584</v>
      </c>
      <c r="H2139" s="48" t="s">
        <v>56716</v>
      </c>
      <c r="I2139" s="48" t="s">
        <v>50564</v>
      </c>
      <c r="J2139" s="48" t="s">
        <v>56716</v>
      </c>
      <c r="K2139" s="50"/>
      <c r="L2139" s="48" t="s">
        <v>56716</v>
      </c>
    </row>
    <row r="2140" spans="1:12" s="37" customFormat="1" ht="11.25" x14ac:dyDescent="0.2">
      <c r="A2140" s="46" t="s">
        <v>12562</v>
      </c>
      <c r="B2140" s="46" t="s">
        <v>52085</v>
      </c>
      <c r="C2140" s="58" t="str">
        <f>"19348584"</f>
        <v>19348584</v>
      </c>
      <c r="D2140" s="58" t="str">
        <f>"19348576"</f>
        <v>19348576</v>
      </c>
      <c r="E2140" s="46" t="s">
        <v>548</v>
      </c>
      <c r="F2140" s="46" t="s">
        <v>17759</v>
      </c>
      <c r="G2140" s="46" t="s">
        <v>50584</v>
      </c>
      <c r="H2140" s="48" t="s">
        <v>56716</v>
      </c>
      <c r="I2140" s="48" t="s">
        <v>50564</v>
      </c>
      <c r="J2140" s="48" t="s">
        <v>56716</v>
      </c>
      <c r="K2140" s="50"/>
      <c r="L2140" s="48" t="s">
        <v>56716</v>
      </c>
    </row>
    <row r="2141" spans="1:12" s="37" customFormat="1" ht="11.25" x14ac:dyDescent="0.2">
      <c r="A2141" s="46" t="s">
        <v>12550</v>
      </c>
      <c r="B2141" s="46" t="s">
        <v>52086</v>
      </c>
      <c r="C2141" s="58" t="str">
        <f>"19349270"</f>
        <v>19349270</v>
      </c>
      <c r="D2141" s="58" t="str">
        <f>"19349289"</f>
        <v>19349289</v>
      </c>
      <c r="E2141" s="46" t="s">
        <v>548</v>
      </c>
      <c r="F2141" s="46" t="s">
        <v>17759</v>
      </c>
      <c r="G2141" s="46" t="s">
        <v>50584</v>
      </c>
      <c r="H2141" s="48" t="s">
        <v>56716</v>
      </c>
      <c r="I2141" s="48" t="s">
        <v>50564</v>
      </c>
      <c r="J2141" s="48" t="s">
        <v>56716</v>
      </c>
      <c r="K2141" s="50"/>
      <c r="L2141" s="48" t="s">
        <v>56716</v>
      </c>
    </row>
    <row r="2142" spans="1:12" s="37" customFormat="1" ht="11.25" x14ac:dyDescent="0.2">
      <c r="A2142" s="46" t="s">
        <v>12565</v>
      </c>
      <c r="B2142" s="46" t="s">
        <v>52087</v>
      </c>
      <c r="C2142" s="58" t="str">
        <f>"19348282"</f>
        <v>19348282</v>
      </c>
      <c r="D2142" s="58" t="str">
        <f>"19348290"</f>
        <v>19348290</v>
      </c>
      <c r="E2142" s="46" t="s">
        <v>548</v>
      </c>
      <c r="F2142" s="46" t="s">
        <v>17759</v>
      </c>
      <c r="G2142" s="46" t="s">
        <v>50584</v>
      </c>
      <c r="H2142" s="48" t="s">
        <v>56716</v>
      </c>
      <c r="I2142" s="48" t="s">
        <v>50564</v>
      </c>
      <c r="J2142" s="48" t="s">
        <v>56716</v>
      </c>
      <c r="K2142" s="50"/>
      <c r="L2142" s="48" t="s">
        <v>56716</v>
      </c>
    </row>
    <row r="2143" spans="1:12" s="37" customFormat="1" ht="11.25" x14ac:dyDescent="0.2">
      <c r="A2143" s="46" t="s">
        <v>12553</v>
      </c>
      <c r="B2143" s="46" t="s">
        <v>52088</v>
      </c>
      <c r="C2143" s="58" t="str">
        <f>"19343655"</f>
        <v>19343655</v>
      </c>
      <c r="D2143" s="58" t="str">
        <f>"19343663"</f>
        <v>19343663</v>
      </c>
      <c r="E2143" s="46" t="s">
        <v>548</v>
      </c>
      <c r="F2143" s="46" t="s">
        <v>17759</v>
      </c>
      <c r="G2143" s="46" t="s">
        <v>50584</v>
      </c>
      <c r="H2143" s="48" t="s">
        <v>56716</v>
      </c>
      <c r="I2143" s="48" t="s">
        <v>50564</v>
      </c>
      <c r="J2143" s="48" t="s">
        <v>56716</v>
      </c>
      <c r="K2143" s="50"/>
      <c r="L2143" s="48" t="s">
        <v>56716</v>
      </c>
    </row>
    <row r="2144" spans="1:12" s="37" customFormat="1" ht="11.25" x14ac:dyDescent="0.2">
      <c r="A2144" s="46" t="s">
        <v>12556</v>
      </c>
      <c r="B2144" s="46" t="s">
        <v>52089</v>
      </c>
      <c r="C2144" s="58" t="str">
        <f>"19417322"</f>
        <v>19417322</v>
      </c>
      <c r="D2144" s="58" t="str">
        <f>"19388969"</f>
        <v>19388969</v>
      </c>
      <c r="E2144" s="46" t="s">
        <v>548</v>
      </c>
      <c r="F2144" s="46" t="s">
        <v>17759</v>
      </c>
      <c r="G2144" s="46" t="s">
        <v>50584</v>
      </c>
      <c r="H2144" s="48" t="s">
        <v>56716</v>
      </c>
      <c r="I2144" s="48" t="s">
        <v>50564</v>
      </c>
      <c r="J2144" s="48" t="s">
        <v>56716</v>
      </c>
      <c r="K2144" s="50"/>
      <c r="L2144" s="48" t="s">
        <v>56716</v>
      </c>
    </row>
    <row r="2145" spans="1:12" s="37" customFormat="1" ht="11.25" x14ac:dyDescent="0.2">
      <c r="A2145" s="46" t="s">
        <v>12559</v>
      </c>
      <c r="B2145" s="46" t="s">
        <v>52090</v>
      </c>
      <c r="C2145" s="58" t="str">
        <f>"19349254"</f>
        <v>19349254</v>
      </c>
      <c r="D2145" s="58" t="str">
        <f>"19349262"</f>
        <v>19349262</v>
      </c>
      <c r="E2145" s="46" t="s">
        <v>517</v>
      </c>
      <c r="F2145" s="46" t="s">
        <v>17759</v>
      </c>
      <c r="G2145" s="46" t="s">
        <v>50584</v>
      </c>
      <c r="H2145" s="48" t="s">
        <v>56716</v>
      </c>
      <c r="I2145" s="48" t="s">
        <v>50564</v>
      </c>
      <c r="J2145" s="48" t="s">
        <v>56716</v>
      </c>
      <c r="K2145" s="50"/>
      <c r="L2145" s="48" t="s">
        <v>56716</v>
      </c>
    </row>
    <row r="2146" spans="1:12" s="37" customFormat="1" ht="11.25" x14ac:dyDescent="0.2">
      <c r="A2146" s="46" t="s">
        <v>15129</v>
      </c>
      <c r="B2146" s="46" t="s">
        <v>52091</v>
      </c>
      <c r="C2146" s="58" t="str">
        <f>"15378276"</f>
        <v>15378276</v>
      </c>
      <c r="D2146" s="58" t="str">
        <f>""</f>
        <v/>
      </c>
      <c r="E2146" s="46" t="s">
        <v>4925</v>
      </c>
      <c r="F2146" s="46" t="s">
        <v>17759</v>
      </c>
      <c r="G2146" s="46" t="s">
        <v>50584</v>
      </c>
      <c r="H2146" s="48" t="s">
        <v>56716</v>
      </c>
      <c r="I2146" s="48" t="s">
        <v>50564</v>
      </c>
      <c r="J2146" s="48"/>
      <c r="K2146" s="50"/>
      <c r="L2146" s="48"/>
    </row>
    <row r="2147" spans="1:12" s="37" customFormat="1" ht="11.25" x14ac:dyDescent="0.2">
      <c r="A2147" s="46" t="s">
        <v>9746</v>
      </c>
      <c r="B2147" s="46" t="s">
        <v>52092</v>
      </c>
      <c r="C2147" s="58" t="str">
        <f>"15233812"</f>
        <v>15233812</v>
      </c>
      <c r="D2147" s="58" t="str">
        <f>"15351645"</f>
        <v>15351645</v>
      </c>
      <c r="E2147" s="46" t="s">
        <v>56325</v>
      </c>
      <c r="F2147" s="46" t="s">
        <v>17759</v>
      </c>
      <c r="G2147" s="46" t="s">
        <v>50584</v>
      </c>
      <c r="H2147" s="48" t="s">
        <v>56716</v>
      </c>
      <c r="I2147" s="48" t="s">
        <v>50564</v>
      </c>
      <c r="J2147" s="48"/>
      <c r="K2147" s="50"/>
      <c r="L2147" s="48" t="s">
        <v>56716</v>
      </c>
    </row>
    <row r="2148" spans="1:12" s="37" customFormat="1" ht="11.25" x14ac:dyDescent="0.2">
      <c r="A2148" s="46" t="s">
        <v>11006</v>
      </c>
      <c r="B2148" s="46" t="s">
        <v>52093</v>
      </c>
      <c r="C2148" s="58" t="str">
        <f>"15734005"</f>
        <v>15734005</v>
      </c>
      <c r="D2148" s="58" t="str">
        <f>"18756441"</f>
        <v>18756441</v>
      </c>
      <c r="E2148" s="46" t="s">
        <v>6405</v>
      </c>
      <c r="F2148" s="46" t="s">
        <v>18001</v>
      </c>
      <c r="G2148" s="46" t="s">
        <v>50584</v>
      </c>
      <c r="H2148" s="48" t="s">
        <v>56716</v>
      </c>
      <c r="I2148" s="48" t="s">
        <v>50564</v>
      </c>
      <c r="J2148" s="48" t="s">
        <v>56716</v>
      </c>
      <c r="K2148" s="50"/>
      <c r="L2148" s="48"/>
    </row>
    <row r="2149" spans="1:12" s="37" customFormat="1" ht="11.25" x14ac:dyDescent="0.2">
      <c r="A2149" s="46" t="s">
        <v>16401</v>
      </c>
      <c r="B2149" s="46" t="s">
        <v>52094</v>
      </c>
      <c r="C2149" s="58" t="str">
        <f>"22115560"</f>
        <v>22115560</v>
      </c>
      <c r="D2149" s="58" t="str">
        <f>"22115579"</f>
        <v>22115579</v>
      </c>
      <c r="E2149" s="46" t="s">
        <v>6405</v>
      </c>
      <c r="F2149" s="46" t="s">
        <v>18001</v>
      </c>
      <c r="G2149" s="46" t="s">
        <v>50584</v>
      </c>
      <c r="H2149" s="48" t="s">
        <v>56716</v>
      </c>
      <c r="I2149" s="48" t="s">
        <v>50564</v>
      </c>
      <c r="J2149" s="48" t="s">
        <v>56716</v>
      </c>
      <c r="K2149" s="50"/>
      <c r="L2149" s="48"/>
    </row>
    <row r="2150" spans="1:12" s="37" customFormat="1" ht="11.25" x14ac:dyDescent="0.2">
      <c r="A2150" s="46" t="s">
        <v>56328</v>
      </c>
      <c r="B2150" s="46" t="s">
        <v>56329</v>
      </c>
      <c r="C2150" s="58" t="str">
        <f>""</f>
        <v/>
      </c>
      <c r="D2150" s="58" t="str">
        <f>"21674825"</f>
        <v>21674825</v>
      </c>
      <c r="E2150" s="46" t="s">
        <v>56305</v>
      </c>
      <c r="F2150" s="46" t="s">
        <v>17759</v>
      </c>
      <c r="G2150" s="46" t="s">
        <v>50584</v>
      </c>
      <c r="H2150" s="48" t="s">
        <v>56716</v>
      </c>
      <c r="I2150" s="48" t="s">
        <v>50564</v>
      </c>
      <c r="J2150" s="48" t="s">
        <v>56716</v>
      </c>
      <c r="K2150" s="50"/>
      <c r="L2150" s="48"/>
    </row>
    <row r="2151" spans="1:12" s="37" customFormat="1" ht="11.25" x14ac:dyDescent="0.2">
      <c r="A2151" s="46" t="s">
        <v>12992</v>
      </c>
      <c r="B2151" s="46" t="s">
        <v>52095</v>
      </c>
      <c r="C2151" s="58" t="str">
        <f>"18744710"</f>
        <v>18744710</v>
      </c>
      <c r="D2151" s="58" t="str">
        <f>"18744729"</f>
        <v>18744729</v>
      </c>
      <c r="E2151" s="46" t="s">
        <v>6405</v>
      </c>
      <c r="F2151" s="46" t="s">
        <v>18001</v>
      </c>
      <c r="G2151" s="46" t="s">
        <v>50584</v>
      </c>
      <c r="H2151" s="48" t="s">
        <v>56716</v>
      </c>
      <c r="I2151" s="48" t="s">
        <v>50564</v>
      </c>
      <c r="J2151" s="48" t="s">
        <v>56716</v>
      </c>
      <c r="K2151" s="50"/>
      <c r="L2151" s="48" t="s">
        <v>56716</v>
      </c>
    </row>
    <row r="2152" spans="1:12" s="37" customFormat="1" ht="11.25" x14ac:dyDescent="0.2">
      <c r="A2152" s="46" t="s">
        <v>13243</v>
      </c>
      <c r="B2152" s="46" t="s">
        <v>52096</v>
      </c>
      <c r="C2152" s="58" t="str">
        <f>"18193366"</f>
        <v>18193366</v>
      </c>
      <c r="D2152" s="58" t="str">
        <f>"21523363"</f>
        <v>21523363</v>
      </c>
      <c r="E2152" s="46" t="s">
        <v>12434</v>
      </c>
      <c r="F2152" s="46" t="s">
        <v>17759</v>
      </c>
      <c r="G2152" s="46" t="s">
        <v>50584</v>
      </c>
      <c r="H2152" s="48" t="s">
        <v>56716</v>
      </c>
      <c r="I2152" s="48" t="s">
        <v>50564</v>
      </c>
      <c r="J2152" s="48"/>
      <c r="K2152" s="50"/>
      <c r="L2152" s="48"/>
    </row>
    <row r="2153" spans="1:12" s="37" customFormat="1" ht="11.25" x14ac:dyDescent="0.2">
      <c r="A2153" s="46" t="s">
        <v>16471</v>
      </c>
      <c r="B2153" s="46" t="s">
        <v>52097</v>
      </c>
      <c r="C2153" s="58" t="str">
        <f>""</f>
        <v/>
      </c>
      <c r="D2153" s="58" t="str">
        <f>"2161332X"</f>
        <v>2161332X</v>
      </c>
      <c r="E2153" s="46" t="s">
        <v>56325</v>
      </c>
      <c r="F2153" s="46" t="s">
        <v>17759</v>
      </c>
      <c r="G2153" s="46" t="s">
        <v>50584</v>
      </c>
      <c r="H2153" s="48" t="s">
        <v>56716</v>
      </c>
      <c r="I2153" s="48" t="s">
        <v>50564</v>
      </c>
      <c r="J2153" s="48" t="s">
        <v>56716</v>
      </c>
      <c r="K2153" s="50"/>
      <c r="L2153" s="48"/>
    </row>
    <row r="2154" spans="1:12" s="37" customFormat="1" ht="11.25" x14ac:dyDescent="0.2">
      <c r="A2154" s="46" t="s">
        <v>11009</v>
      </c>
      <c r="B2154" s="46" t="s">
        <v>52098</v>
      </c>
      <c r="C2154" s="58" t="str">
        <f>"1573398X"</f>
        <v>1573398X</v>
      </c>
      <c r="D2154" s="58" t="str">
        <f>"18756387"</f>
        <v>18756387</v>
      </c>
      <c r="E2154" s="46" t="s">
        <v>6405</v>
      </c>
      <c r="F2154" s="46" t="s">
        <v>18001</v>
      </c>
      <c r="G2154" s="46" t="s">
        <v>50584</v>
      </c>
      <c r="H2154" s="48" t="s">
        <v>56716</v>
      </c>
      <c r="I2154" s="48" t="s">
        <v>50564</v>
      </c>
      <c r="J2154" s="48" t="s">
        <v>56716</v>
      </c>
      <c r="K2154" s="50"/>
      <c r="L2154" s="48"/>
    </row>
    <row r="2155" spans="1:12" s="37" customFormat="1" ht="11.25" x14ac:dyDescent="0.2">
      <c r="A2155" s="46" t="s">
        <v>12977</v>
      </c>
      <c r="B2155" s="46" t="s">
        <v>52099</v>
      </c>
      <c r="C2155" s="58" t="str">
        <f>"1935973X"</f>
        <v>1935973X</v>
      </c>
      <c r="D2155" s="58" t="str">
        <f>"19359748"</f>
        <v>19359748</v>
      </c>
      <c r="E2155" s="46" t="s">
        <v>40314</v>
      </c>
      <c r="F2155" s="46" t="s">
        <v>17759</v>
      </c>
      <c r="G2155" s="46" t="s">
        <v>50584</v>
      </c>
      <c r="H2155" s="48" t="s">
        <v>56716</v>
      </c>
      <c r="I2155" s="48" t="s">
        <v>50564</v>
      </c>
      <c r="J2155" s="48" t="s">
        <v>56716</v>
      </c>
      <c r="K2155" s="50" t="s">
        <v>56716</v>
      </c>
      <c r="L2155" s="48"/>
    </row>
    <row r="2156" spans="1:12" s="37" customFormat="1" ht="11.25" x14ac:dyDescent="0.2">
      <c r="A2156" s="46" t="s">
        <v>11106</v>
      </c>
      <c r="B2156" s="46" t="s">
        <v>52100</v>
      </c>
      <c r="C2156" s="58" t="str">
        <f>"15233774"</f>
        <v>15233774</v>
      </c>
      <c r="D2156" s="58" t="str">
        <f>"15346307"</f>
        <v>15346307</v>
      </c>
      <c r="E2156" s="46" t="s">
        <v>56325</v>
      </c>
      <c r="F2156" s="46" t="s">
        <v>17759</v>
      </c>
      <c r="G2156" s="46" t="s">
        <v>50584</v>
      </c>
      <c r="H2156" s="48" t="s">
        <v>56716</v>
      </c>
      <c r="I2156" s="48" t="s">
        <v>50564</v>
      </c>
      <c r="J2156" s="48"/>
      <c r="K2156" s="50"/>
      <c r="L2156" s="48" t="s">
        <v>56716</v>
      </c>
    </row>
    <row r="2157" spans="1:12" s="37" customFormat="1" ht="11.25" x14ac:dyDescent="0.2">
      <c r="A2157" s="46" t="s">
        <v>11012</v>
      </c>
      <c r="B2157" s="46" t="s">
        <v>52101</v>
      </c>
      <c r="C2157" s="58" t="str">
        <f>"15733971"</f>
        <v>15733971</v>
      </c>
      <c r="D2157" s="58" t="str">
        <f>"18756360"</f>
        <v>18756360</v>
      </c>
      <c r="E2157" s="46" t="s">
        <v>6405</v>
      </c>
      <c r="F2157" s="46" t="s">
        <v>18001</v>
      </c>
      <c r="G2157" s="46" t="s">
        <v>50584</v>
      </c>
      <c r="H2157" s="48" t="s">
        <v>56716</v>
      </c>
      <c r="I2157" s="48" t="s">
        <v>50564</v>
      </c>
      <c r="J2157" s="48" t="s">
        <v>56716</v>
      </c>
      <c r="K2157" s="50"/>
      <c r="L2157" s="48" t="s">
        <v>56716</v>
      </c>
    </row>
    <row r="2158" spans="1:12" s="37" customFormat="1" ht="11.25" x14ac:dyDescent="0.2">
      <c r="A2158" s="46" t="s">
        <v>11820</v>
      </c>
      <c r="B2158" s="46" t="s">
        <v>52102</v>
      </c>
      <c r="C2158" s="58" t="str">
        <f>"15743624"</f>
        <v>15743624</v>
      </c>
      <c r="D2158" s="58" t="str">
        <f>""</f>
        <v/>
      </c>
      <c r="E2158" s="46" t="s">
        <v>6405</v>
      </c>
      <c r="F2158" s="46" t="s">
        <v>18001</v>
      </c>
      <c r="G2158" s="46" t="s">
        <v>50584</v>
      </c>
      <c r="H2158" s="48" t="s">
        <v>56716</v>
      </c>
      <c r="I2158" s="48" t="s">
        <v>50564</v>
      </c>
      <c r="J2158" s="48" t="s">
        <v>56716</v>
      </c>
      <c r="K2158" s="50"/>
      <c r="L2158" s="48"/>
    </row>
    <row r="2159" spans="1:12" s="37" customFormat="1" ht="11.25" x14ac:dyDescent="0.2">
      <c r="A2159" s="46" t="s">
        <v>11109</v>
      </c>
      <c r="B2159" s="46" t="s">
        <v>52103</v>
      </c>
      <c r="C2159" s="58" t="str">
        <f>"1537890X"</f>
        <v>1537890X</v>
      </c>
      <c r="D2159" s="58" t="str">
        <f>"15378918"</f>
        <v>15378918</v>
      </c>
      <c r="E2159" s="46" t="s">
        <v>28</v>
      </c>
      <c r="F2159" s="46" t="s">
        <v>17759</v>
      </c>
      <c r="G2159" s="46" t="s">
        <v>50584</v>
      </c>
      <c r="H2159" s="48" t="s">
        <v>56716</v>
      </c>
      <c r="I2159" s="48" t="s">
        <v>50564</v>
      </c>
      <c r="J2159" s="48"/>
      <c r="K2159" s="50"/>
      <c r="L2159" s="48" t="s">
        <v>56716</v>
      </c>
    </row>
    <row r="2160" spans="1:12" s="37" customFormat="1" ht="11.25" x14ac:dyDescent="0.2">
      <c r="A2160" s="46" t="s">
        <v>11822</v>
      </c>
      <c r="B2160" s="46" t="s">
        <v>52104</v>
      </c>
      <c r="C2160" s="58" t="str">
        <f>"1574888X"</f>
        <v>1574888X</v>
      </c>
      <c r="D2160" s="58" t="str">
        <f>""</f>
        <v/>
      </c>
      <c r="E2160" s="46" t="s">
        <v>6405</v>
      </c>
      <c r="F2160" s="46" t="s">
        <v>18001</v>
      </c>
      <c r="G2160" s="46" t="s">
        <v>50584</v>
      </c>
      <c r="H2160" s="48" t="s">
        <v>56716</v>
      </c>
      <c r="I2160" s="48" t="s">
        <v>50564</v>
      </c>
      <c r="J2160" s="48" t="s">
        <v>56716</v>
      </c>
      <c r="K2160" s="50"/>
      <c r="L2160" s="48" t="s">
        <v>56716</v>
      </c>
    </row>
    <row r="2161" spans="1:12" s="37" customFormat="1" ht="11.25" x14ac:dyDescent="0.2">
      <c r="A2161" s="46" t="s">
        <v>1308</v>
      </c>
      <c r="B2161" s="46" t="s">
        <v>52105</v>
      </c>
      <c r="C2161" s="58" t="str">
        <f>"0011393X"</f>
        <v>0011393X</v>
      </c>
      <c r="D2161" s="58" t="str">
        <f>"18790313"</f>
        <v>18790313</v>
      </c>
      <c r="E2161" s="46" t="s">
        <v>1189</v>
      </c>
      <c r="F2161" s="46" t="s">
        <v>17759</v>
      </c>
      <c r="G2161" s="46" t="s">
        <v>50584</v>
      </c>
      <c r="H2161" s="48" t="s">
        <v>56716</v>
      </c>
      <c r="I2161" s="48" t="s">
        <v>50564</v>
      </c>
      <c r="J2161" s="48" t="s">
        <v>56716</v>
      </c>
      <c r="K2161" s="50"/>
      <c r="L2161" s="48"/>
    </row>
    <row r="2162" spans="1:12" s="37" customFormat="1" ht="11.25" x14ac:dyDescent="0.2">
      <c r="A2162" s="46" t="s">
        <v>16611</v>
      </c>
      <c r="B2162" s="46" t="s">
        <v>52106</v>
      </c>
      <c r="C2162" s="58" t="str">
        <f>"22115420"</f>
        <v>22115420</v>
      </c>
      <c r="D2162" s="58" t="str">
        <f>"22115439"</f>
        <v>22115439</v>
      </c>
      <c r="E2162" s="46" t="s">
        <v>6405</v>
      </c>
      <c r="F2162" s="46" t="s">
        <v>18001</v>
      </c>
      <c r="G2162" s="46" t="s">
        <v>50584</v>
      </c>
      <c r="H2162" s="48" t="s">
        <v>56716</v>
      </c>
      <c r="I2162" s="48" t="s">
        <v>50564</v>
      </c>
      <c r="J2162" s="48" t="s">
        <v>56716</v>
      </c>
      <c r="K2162" s="50"/>
      <c r="L2162" s="48"/>
    </row>
    <row r="2163" spans="1:12" s="37" customFormat="1" ht="11.25" x14ac:dyDescent="0.2">
      <c r="A2163" s="46" t="s">
        <v>16120</v>
      </c>
      <c r="B2163" s="46" t="s">
        <v>52107</v>
      </c>
      <c r="C2163" s="58" t="str">
        <f>"18663370"</f>
        <v>18663370</v>
      </c>
      <c r="D2163" s="58" t="str">
        <f>"18663389"</f>
        <v>18663389</v>
      </c>
      <c r="E2163" s="46" t="s">
        <v>167</v>
      </c>
      <c r="F2163" s="46" t="s">
        <v>18158</v>
      </c>
      <c r="G2163" s="46" t="s">
        <v>50584</v>
      </c>
      <c r="H2163" s="48" t="s">
        <v>56716</v>
      </c>
      <c r="I2163" s="48" t="s">
        <v>50565</v>
      </c>
      <c r="J2163" s="48" t="s">
        <v>56716</v>
      </c>
      <c r="K2163" s="50"/>
      <c r="L2163" s="48" t="s">
        <v>56716</v>
      </c>
    </row>
    <row r="2164" spans="1:12" s="37" customFormat="1" ht="11.25" x14ac:dyDescent="0.2">
      <c r="A2164" s="45" t="s">
        <v>26846</v>
      </c>
      <c r="B2164" s="45" t="s">
        <v>26848</v>
      </c>
      <c r="C2164" s="51" t="s">
        <v>26850</v>
      </c>
      <c r="D2164" s="51" t="s">
        <v>26849</v>
      </c>
      <c r="E2164" s="45" t="s">
        <v>91</v>
      </c>
      <c r="F2164" s="45" t="s">
        <v>17759</v>
      </c>
      <c r="G2164" s="45" t="s">
        <v>50584</v>
      </c>
      <c r="H2164" s="56"/>
      <c r="I2164" s="56" t="s">
        <v>50564</v>
      </c>
      <c r="J2164" s="56"/>
      <c r="K2164" s="50"/>
      <c r="L2164" s="56" t="s">
        <v>56716</v>
      </c>
    </row>
    <row r="2165" spans="1:12" s="37" customFormat="1" ht="11.25" x14ac:dyDescent="0.2">
      <c r="A2165" s="46" t="s">
        <v>9787</v>
      </c>
      <c r="B2165" s="46" t="s">
        <v>52108</v>
      </c>
      <c r="C2165" s="58" t="str">
        <f>"15680266"</f>
        <v>15680266</v>
      </c>
      <c r="D2165" s="58" t="str">
        <f>"18734294"</f>
        <v>18734294</v>
      </c>
      <c r="E2165" s="46" t="s">
        <v>6405</v>
      </c>
      <c r="F2165" s="46" t="s">
        <v>18001</v>
      </c>
      <c r="G2165" s="46" t="s">
        <v>50584</v>
      </c>
      <c r="H2165" s="48" t="s">
        <v>56716</v>
      </c>
      <c r="I2165" s="48" t="s">
        <v>50564</v>
      </c>
      <c r="J2165" s="48"/>
      <c r="K2165" s="50"/>
      <c r="L2165" s="48" t="s">
        <v>56716</v>
      </c>
    </row>
    <row r="2166" spans="1:12" s="37" customFormat="1" ht="11.25" x14ac:dyDescent="0.2">
      <c r="A2166" s="45" t="s">
        <v>26857</v>
      </c>
      <c r="B2166" s="45" t="s">
        <v>26859</v>
      </c>
      <c r="C2166" s="51" t="s">
        <v>26861</v>
      </c>
      <c r="D2166" s="51"/>
      <c r="E2166" s="45" t="s">
        <v>601</v>
      </c>
      <c r="F2166" s="45" t="s">
        <v>17759</v>
      </c>
      <c r="G2166" s="45" t="s">
        <v>50584</v>
      </c>
      <c r="H2166" s="56"/>
      <c r="I2166" s="56" t="s">
        <v>50564</v>
      </c>
      <c r="J2166" s="56"/>
      <c r="K2166" s="50"/>
      <c r="L2166" s="56" t="s">
        <v>56716</v>
      </c>
    </row>
    <row r="2167" spans="1:12" s="37" customFormat="1" ht="11.25" x14ac:dyDescent="0.2">
      <c r="A2167" s="46" t="s">
        <v>4801</v>
      </c>
      <c r="B2167" s="46" t="s">
        <v>52109</v>
      </c>
      <c r="C2167" s="58" t="str">
        <f>"0070217X"</f>
        <v>0070217X</v>
      </c>
      <c r="D2167" s="58" t="str">
        <f>"21969965"</f>
        <v>21969965</v>
      </c>
      <c r="E2167" s="46" t="s">
        <v>167</v>
      </c>
      <c r="F2167" s="46" t="s">
        <v>18158</v>
      </c>
      <c r="G2167" s="46" t="s">
        <v>50584</v>
      </c>
      <c r="H2167" s="48" t="s">
        <v>56716</v>
      </c>
      <c r="I2167" s="48" t="s">
        <v>50565</v>
      </c>
      <c r="J2167" s="48" t="s">
        <v>56716</v>
      </c>
      <c r="K2167" s="50"/>
      <c r="L2167" s="48" t="s">
        <v>56716</v>
      </c>
    </row>
    <row r="2168" spans="1:12" s="37" customFormat="1" ht="11.25" x14ac:dyDescent="0.2">
      <c r="A2168" s="46" t="s">
        <v>9877</v>
      </c>
      <c r="B2168" s="46" t="s">
        <v>52110</v>
      </c>
      <c r="C2168" s="58" t="str">
        <f>"15407535"</f>
        <v>15407535</v>
      </c>
      <c r="D2168" s="58" t="str">
        <f>""</f>
        <v/>
      </c>
      <c r="E2168" s="46" t="s">
        <v>9879</v>
      </c>
      <c r="F2168" s="46" t="s">
        <v>17759</v>
      </c>
      <c r="G2168" s="46" t="s">
        <v>50584</v>
      </c>
      <c r="H2168" s="48" t="s">
        <v>56716</v>
      </c>
      <c r="I2168" s="48" t="s">
        <v>50564</v>
      </c>
      <c r="J2168" s="48"/>
      <c r="K2168" s="50"/>
      <c r="L2168" s="48"/>
    </row>
    <row r="2169" spans="1:12" s="37" customFormat="1" ht="11.25" x14ac:dyDescent="0.2">
      <c r="A2169" s="46" t="s">
        <v>11342</v>
      </c>
      <c r="B2169" s="46" t="s">
        <v>52111</v>
      </c>
      <c r="C2169" s="58" t="str">
        <f>"09724524"</f>
        <v>09724524</v>
      </c>
      <c r="D2169" s="58" t="str">
        <f>""</f>
        <v/>
      </c>
      <c r="E2169" s="46" t="s">
        <v>11340</v>
      </c>
      <c r="F2169" s="46" t="s">
        <v>20446</v>
      </c>
      <c r="G2169" s="46" t="s">
        <v>50584</v>
      </c>
      <c r="H2169" s="48" t="s">
        <v>56716</v>
      </c>
      <c r="I2169" s="48" t="s">
        <v>50564</v>
      </c>
      <c r="J2169" s="48"/>
      <c r="K2169" s="50"/>
      <c r="L2169" s="48"/>
    </row>
    <row r="2170" spans="1:12" s="37" customFormat="1" ht="11.25" x14ac:dyDescent="0.2">
      <c r="A2170" s="46" t="s">
        <v>11338</v>
      </c>
      <c r="B2170" s="46" t="s">
        <v>52112</v>
      </c>
      <c r="C2170" s="58" t="str">
        <f>"09724559"</f>
        <v>09724559</v>
      </c>
      <c r="D2170" s="58" t="str">
        <f>""</f>
        <v/>
      </c>
      <c r="E2170" s="46" t="s">
        <v>11340</v>
      </c>
      <c r="F2170" s="46" t="s">
        <v>20446</v>
      </c>
      <c r="G2170" s="46" t="s">
        <v>50584</v>
      </c>
      <c r="H2170" s="48" t="s">
        <v>56716</v>
      </c>
      <c r="I2170" s="48" t="s">
        <v>50564</v>
      </c>
      <c r="J2170" s="48"/>
      <c r="K2170" s="50"/>
      <c r="L2170" s="48"/>
    </row>
    <row r="2171" spans="1:12" s="37" customFormat="1" ht="11.25" x14ac:dyDescent="0.2">
      <c r="A2171" s="46" t="s">
        <v>11344</v>
      </c>
      <c r="B2171" s="46" t="s">
        <v>52113</v>
      </c>
      <c r="C2171" s="58" t="str">
        <f>"09728228"</f>
        <v>09728228</v>
      </c>
      <c r="D2171" s="58" t="str">
        <f>""</f>
        <v/>
      </c>
      <c r="E2171" s="46" t="s">
        <v>11340</v>
      </c>
      <c r="F2171" s="46" t="s">
        <v>20446</v>
      </c>
      <c r="G2171" s="46" t="s">
        <v>50584</v>
      </c>
      <c r="H2171" s="48" t="s">
        <v>56716</v>
      </c>
      <c r="I2171" s="48" t="s">
        <v>50564</v>
      </c>
      <c r="J2171" s="48"/>
      <c r="K2171" s="50"/>
      <c r="L2171" s="48"/>
    </row>
    <row r="2172" spans="1:12" s="37" customFormat="1" ht="11.25" x14ac:dyDescent="0.2">
      <c r="A2172" s="46" t="s">
        <v>9968</v>
      </c>
      <c r="B2172" s="46" t="s">
        <v>52114</v>
      </c>
      <c r="C2172" s="58" t="str">
        <f>"10928464"</f>
        <v>10928464</v>
      </c>
      <c r="D2172" s="58" t="str">
        <f>"15343189"</f>
        <v>15343189</v>
      </c>
      <c r="E2172" s="46" t="s">
        <v>17556</v>
      </c>
      <c r="F2172" s="46" t="s">
        <v>17759</v>
      </c>
      <c r="G2172" s="46" t="s">
        <v>50584</v>
      </c>
      <c r="H2172" s="48" t="s">
        <v>56716</v>
      </c>
      <c r="I2172" s="48" t="s">
        <v>50564</v>
      </c>
      <c r="J2172" s="48"/>
      <c r="K2172" s="50"/>
      <c r="L2172" s="48"/>
    </row>
    <row r="2173" spans="1:12" s="37" customFormat="1" ht="11.25" x14ac:dyDescent="0.2">
      <c r="A2173" s="46" t="s">
        <v>9964</v>
      </c>
      <c r="B2173" s="46" t="s">
        <v>52115</v>
      </c>
      <c r="C2173" s="58" t="str">
        <f>"10928480"</f>
        <v>10928480</v>
      </c>
      <c r="D2173" s="58" t="str">
        <f>"15343138"</f>
        <v>15343138</v>
      </c>
      <c r="E2173" s="46" t="s">
        <v>9967</v>
      </c>
      <c r="F2173" s="46" t="s">
        <v>50646</v>
      </c>
      <c r="G2173" s="46" t="s">
        <v>50584</v>
      </c>
      <c r="H2173" s="48" t="s">
        <v>56716</v>
      </c>
      <c r="I2173" s="48" t="s">
        <v>50564</v>
      </c>
      <c r="J2173" s="48"/>
      <c r="K2173" s="50"/>
      <c r="L2173" s="48"/>
    </row>
    <row r="2174" spans="1:12" s="37" customFormat="1" ht="11.25" x14ac:dyDescent="0.2">
      <c r="A2174" s="46" t="s">
        <v>9961</v>
      </c>
      <c r="B2174" s="46" t="s">
        <v>52116</v>
      </c>
      <c r="C2174" s="58" t="str">
        <f>"15272729"</f>
        <v>15272729</v>
      </c>
      <c r="D2174" s="58" t="str">
        <f>"15346277"</f>
        <v>15346277</v>
      </c>
      <c r="E2174" s="46" t="s">
        <v>56305</v>
      </c>
      <c r="F2174" s="46" t="s">
        <v>17759</v>
      </c>
      <c r="G2174" s="46" t="s">
        <v>50584</v>
      </c>
      <c r="H2174" s="48" t="s">
        <v>56716</v>
      </c>
      <c r="I2174" s="48" t="s">
        <v>50564</v>
      </c>
      <c r="J2174" s="48"/>
      <c r="K2174" s="50" t="s">
        <v>56716</v>
      </c>
      <c r="L2174" s="48" t="s">
        <v>56716</v>
      </c>
    </row>
    <row r="2175" spans="1:12" s="37" customFormat="1" ht="11.25" x14ac:dyDescent="0.2">
      <c r="A2175" s="46" t="s">
        <v>13261</v>
      </c>
      <c r="B2175" s="46" t="s">
        <v>52117</v>
      </c>
      <c r="C2175" s="58" t="str">
        <f>"09738916"</f>
        <v>09738916</v>
      </c>
      <c r="D2175" s="58" t="str">
        <f>"22307303"</f>
        <v>22307303</v>
      </c>
      <c r="E2175" s="46" t="s">
        <v>13264</v>
      </c>
      <c r="F2175" s="46" t="s">
        <v>20446</v>
      </c>
      <c r="G2175" s="46" t="s">
        <v>50584</v>
      </c>
      <c r="H2175" s="48" t="s">
        <v>56716</v>
      </c>
      <c r="I2175" s="48" t="s">
        <v>50564</v>
      </c>
      <c r="J2175" s="48"/>
      <c r="K2175" s="50"/>
      <c r="L2175" s="48"/>
    </row>
    <row r="2176" spans="1:12" s="37" customFormat="1" ht="11.25" x14ac:dyDescent="0.2">
      <c r="A2176" s="46" t="s">
        <v>11346</v>
      </c>
      <c r="B2176" s="46" t="s">
        <v>52118</v>
      </c>
      <c r="C2176" s="58" t="str">
        <f>"09724567"</f>
        <v>09724567</v>
      </c>
      <c r="D2176" s="58" t="str">
        <f>""</f>
        <v/>
      </c>
      <c r="E2176" s="46" t="s">
        <v>11340</v>
      </c>
      <c r="F2176" s="46" t="s">
        <v>20446</v>
      </c>
      <c r="G2176" s="46" t="s">
        <v>50584</v>
      </c>
      <c r="H2176" s="48" t="s">
        <v>56716</v>
      </c>
      <c r="I2176" s="48" t="s">
        <v>50564</v>
      </c>
      <c r="J2176" s="48"/>
      <c r="K2176" s="50"/>
      <c r="L2176" s="48"/>
    </row>
    <row r="2177" spans="1:12" s="37" customFormat="1" ht="11.25" x14ac:dyDescent="0.2">
      <c r="A2177" s="46" t="s">
        <v>55969</v>
      </c>
      <c r="B2177" s="46" t="s">
        <v>55970</v>
      </c>
      <c r="C2177" s="58" t="str">
        <f>""</f>
        <v/>
      </c>
      <c r="D2177" s="58" t="str">
        <f>"21963045"</f>
        <v>21963045</v>
      </c>
      <c r="E2177" s="46" t="s">
        <v>167</v>
      </c>
      <c r="F2177" s="46" t="s">
        <v>18158</v>
      </c>
      <c r="G2177" s="46" t="s">
        <v>50584</v>
      </c>
      <c r="H2177" s="48" t="s">
        <v>56716</v>
      </c>
      <c r="I2177" s="48" t="s">
        <v>50564</v>
      </c>
      <c r="J2177" s="48" t="s">
        <v>56716</v>
      </c>
      <c r="K2177" s="50"/>
      <c r="L2177" s="48"/>
    </row>
    <row r="2178" spans="1:12" s="37" customFormat="1" ht="11.25" x14ac:dyDescent="0.2">
      <c r="A2178" s="46" t="s">
        <v>12354</v>
      </c>
      <c r="B2178" s="46" t="s">
        <v>52119</v>
      </c>
      <c r="C2178" s="58" t="str">
        <f>"16617649"</f>
        <v>16617649</v>
      </c>
      <c r="D2178" s="58" t="str">
        <f>"16617657"</f>
        <v>16617657</v>
      </c>
      <c r="E2178" s="46" t="s">
        <v>109</v>
      </c>
      <c r="F2178" s="46" t="s">
        <v>18123</v>
      </c>
      <c r="G2178" s="46" t="s">
        <v>50584</v>
      </c>
      <c r="H2178" s="48" t="s">
        <v>56716</v>
      </c>
      <c r="I2178" s="48" t="s">
        <v>50564</v>
      </c>
      <c r="J2178" s="48" t="s">
        <v>56716</v>
      </c>
      <c r="K2178" s="50"/>
      <c r="L2178" s="48"/>
    </row>
    <row r="2179" spans="1:12" s="37" customFormat="1" ht="11.25" x14ac:dyDescent="0.2">
      <c r="A2179" s="46" t="s">
        <v>11112</v>
      </c>
      <c r="B2179" s="46" t="s">
        <v>52120</v>
      </c>
      <c r="C2179" s="58" t="str">
        <f>"15272737"</f>
        <v>15272737</v>
      </c>
      <c r="D2179" s="58" t="str">
        <f>"15346285"</f>
        <v>15346285</v>
      </c>
      <c r="E2179" s="46" t="s">
        <v>56325</v>
      </c>
      <c r="F2179" s="46" t="s">
        <v>17759</v>
      </c>
      <c r="G2179" s="46" t="s">
        <v>50584</v>
      </c>
      <c r="H2179" s="48" t="s">
        <v>56716</v>
      </c>
      <c r="I2179" s="48" t="s">
        <v>50564</v>
      </c>
      <c r="J2179" s="48"/>
      <c r="K2179" s="50"/>
      <c r="L2179" s="48" t="s">
        <v>56716</v>
      </c>
    </row>
    <row r="2180" spans="1:12" s="37" customFormat="1" ht="11.25" x14ac:dyDescent="0.2">
      <c r="A2180" s="46" t="s">
        <v>9781</v>
      </c>
      <c r="B2180" s="46" t="s">
        <v>52121</v>
      </c>
      <c r="C2180" s="58" t="str">
        <f>"15701611"</f>
        <v>15701611</v>
      </c>
      <c r="D2180" s="58" t="str">
        <f>"18756212"</f>
        <v>18756212</v>
      </c>
      <c r="E2180" s="46" t="s">
        <v>6405</v>
      </c>
      <c r="F2180" s="46" t="s">
        <v>18001</v>
      </c>
      <c r="G2180" s="46" t="s">
        <v>50584</v>
      </c>
      <c r="H2180" s="48" t="s">
        <v>56716</v>
      </c>
      <c r="I2180" s="48" t="s">
        <v>50564</v>
      </c>
      <c r="J2180" s="48"/>
      <c r="K2180" s="50"/>
      <c r="L2180" s="48" t="s">
        <v>56716</v>
      </c>
    </row>
    <row r="2181" spans="1:12" s="37" customFormat="1" ht="11.25" x14ac:dyDescent="0.2">
      <c r="A2181" s="46" t="s">
        <v>11015</v>
      </c>
      <c r="B2181" s="46" t="s">
        <v>52122</v>
      </c>
      <c r="C2181" s="58" t="str">
        <f>"15734048"</f>
        <v>15734048</v>
      </c>
      <c r="D2181" s="58" t="str">
        <f>"18756581"</f>
        <v>18756581</v>
      </c>
      <c r="E2181" s="46" t="s">
        <v>6405</v>
      </c>
      <c r="F2181" s="46" t="s">
        <v>18001</v>
      </c>
      <c r="G2181" s="46" t="s">
        <v>50584</v>
      </c>
      <c r="H2181" s="48" t="s">
        <v>56716</v>
      </c>
      <c r="I2181" s="48" t="s">
        <v>50564</v>
      </c>
      <c r="J2181" s="48" t="s">
        <v>56716</v>
      </c>
      <c r="K2181" s="50"/>
      <c r="L2181" s="48"/>
    </row>
    <row r="2182" spans="1:12" s="37" customFormat="1" ht="11.25" x14ac:dyDescent="0.2">
      <c r="A2182" s="46" t="s">
        <v>13844</v>
      </c>
      <c r="B2182" s="46" t="s">
        <v>52123</v>
      </c>
      <c r="C2182" s="58" t="str">
        <f>"18771297"</f>
        <v>18771297</v>
      </c>
      <c r="D2182" s="58" t="str">
        <f>""</f>
        <v/>
      </c>
      <c r="E2182" s="46" t="s">
        <v>272</v>
      </c>
      <c r="F2182" s="46" t="s">
        <v>17759</v>
      </c>
      <c r="G2182" s="46" t="s">
        <v>50584</v>
      </c>
      <c r="H2182" s="48" t="s">
        <v>56716</v>
      </c>
      <c r="I2182" s="48" t="s">
        <v>50564</v>
      </c>
      <c r="J2182" s="48" t="s">
        <v>56716</v>
      </c>
      <c r="K2182" s="50" t="s">
        <v>56716</v>
      </c>
      <c r="L2182" s="48"/>
    </row>
    <row r="2183" spans="1:12" s="37" customFormat="1" ht="11.25" x14ac:dyDescent="0.2">
      <c r="A2183" s="46" t="s">
        <v>10776</v>
      </c>
      <c r="B2183" s="46" t="s">
        <v>52124</v>
      </c>
      <c r="C2183" s="58" t="str">
        <f>"15569527"</f>
        <v>15569527</v>
      </c>
      <c r="D2183" s="58" t="str">
        <f>"15569535"</f>
        <v>15569535</v>
      </c>
      <c r="E2183" s="46" t="s">
        <v>291</v>
      </c>
      <c r="F2183" s="46" t="s">
        <v>17759</v>
      </c>
      <c r="G2183" s="46" t="s">
        <v>50584</v>
      </c>
      <c r="H2183" s="48" t="s">
        <v>56716</v>
      </c>
      <c r="I2183" s="48" t="s">
        <v>50564</v>
      </c>
      <c r="J2183" s="48"/>
      <c r="K2183" s="50"/>
      <c r="L2183" s="48" t="s">
        <v>56716</v>
      </c>
    </row>
    <row r="2184" spans="1:12" s="37" customFormat="1" ht="11.25" x14ac:dyDescent="0.2">
      <c r="A2184" s="45" t="s">
        <v>26887</v>
      </c>
      <c r="B2184" s="45" t="s">
        <v>26887</v>
      </c>
      <c r="C2184" s="51" t="s">
        <v>26890</v>
      </c>
      <c r="D2184" s="51" t="s">
        <v>26889</v>
      </c>
      <c r="E2184" s="45" t="s">
        <v>7128</v>
      </c>
      <c r="F2184" s="45" t="s">
        <v>17759</v>
      </c>
      <c r="G2184" s="45" t="s">
        <v>50584</v>
      </c>
      <c r="H2184" s="56"/>
      <c r="I2184" s="56" t="s">
        <v>50564</v>
      </c>
      <c r="J2184" s="56"/>
      <c r="K2184" s="50"/>
      <c r="L2184" s="56" t="s">
        <v>56716</v>
      </c>
    </row>
    <row r="2185" spans="1:12" s="37" customFormat="1" ht="11.25" x14ac:dyDescent="0.2">
      <c r="A2185" s="45" t="s">
        <v>26892</v>
      </c>
      <c r="B2185" s="45" t="s">
        <v>26894</v>
      </c>
      <c r="C2185" s="51" t="s">
        <v>26897</v>
      </c>
      <c r="D2185" s="51" t="s">
        <v>26896</v>
      </c>
      <c r="E2185" s="45" t="s">
        <v>19180</v>
      </c>
      <c r="F2185" s="45" t="s">
        <v>17759</v>
      </c>
      <c r="G2185" s="45" t="s">
        <v>50584</v>
      </c>
      <c r="H2185" s="56"/>
      <c r="I2185" s="56" t="s">
        <v>50564</v>
      </c>
      <c r="J2185" s="56"/>
      <c r="K2185" s="50"/>
      <c r="L2185" s="56" t="s">
        <v>56716</v>
      </c>
    </row>
    <row r="2186" spans="1:12" s="37" customFormat="1" ht="11.25" x14ac:dyDescent="0.2">
      <c r="A2186" s="46" t="s">
        <v>9894</v>
      </c>
      <c r="B2186" s="46" t="s">
        <v>52125</v>
      </c>
      <c r="C2186" s="58" t="str">
        <f>"14248581"</f>
        <v>14248581</v>
      </c>
      <c r="D2186" s="58" t="str">
        <f>"1424859X"</f>
        <v>1424859X</v>
      </c>
      <c r="E2186" s="46" t="s">
        <v>109</v>
      </c>
      <c r="F2186" s="46" t="s">
        <v>18123</v>
      </c>
      <c r="G2186" s="46" t="s">
        <v>50594</v>
      </c>
      <c r="H2186" s="48" t="s">
        <v>56716</v>
      </c>
      <c r="I2186" s="48" t="s">
        <v>50564</v>
      </c>
      <c r="J2186" s="48" t="s">
        <v>56716</v>
      </c>
      <c r="K2186" s="50" t="s">
        <v>56716</v>
      </c>
      <c r="L2186" s="48" t="s">
        <v>56716</v>
      </c>
    </row>
    <row r="2187" spans="1:12" s="37" customFormat="1" ht="11.25" x14ac:dyDescent="0.2">
      <c r="A2187" s="46" t="s">
        <v>10683</v>
      </c>
      <c r="B2187" s="46" t="s">
        <v>10683</v>
      </c>
      <c r="C2187" s="58" t="str">
        <f>"09745963"</f>
        <v>09745963</v>
      </c>
      <c r="D2187" s="58" t="str">
        <f>"17426413"</f>
        <v>17426413</v>
      </c>
      <c r="E2187" s="46" t="s">
        <v>19057</v>
      </c>
      <c r="F2187" s="46" t="s">
        <v>20446</v>
      </c>
      <c r="G2187" s="46" t="s">
        <v>50584</v>
      </c>
      <c r="H2187" s="48" t="s">
        <v>56716</v>
      </c>
      <c r="I2187" s="48" t="s">
        <v>50564</v>
      </c>
      <c r="J2187" s="48"/>
      <c r="K2187" s="50"/>
      <c r="L2187" s="48"/>
    </row>
    <row r="2188" spans="1:12" s="37" customFormat="1" ht="11.25" x14ac:dyDescent="0.2">
      <c r="A2188" s="46" t="s">
        <v>5315</v>
      </c>
      <c r="B2188" s="46" t="s">
        <v>5315</v>
      </c>
      <c r="C2188" s="58" t="str">
        <f>"10434666"</f>
        <v>10434666</v>
      </c>
      <c r="D2188" s="58" t="str">
        <f>"10960023"</f>
        <v>10960023</v>
      </c>
      <c r="E2188" s="46" t="s">
        <v>601</v>
      </c>
      <c r="F2188" s="46" t="s">
        <v>50646</v>
      </c>
      <c r="G2188" s="46" t="s">
        <v>50584</v>
      </c>
      <c r="H2188" s="48" t="s">
        <v>56716</v>
      </c>
      <c r="I2188" s="48" t="s">
        <v>50564</v>
      </c>
      <c r="J2188" s="48" t="s">
        <v>56716</v>
      </c>
      <c r="K2188" s="50" t="s">
        <v>56716</v>
      </c>
      <c r="L2188" s="48" t="s">
        <v>56716</v>
      </c>
    </row>
    <row r="2189" spans="1:12" s="37" customFormat="1" ht="11.25" x14ac:dyDescent="0.2">
      <c r="A2189" s="46" t="s">
        <v>7005</v>
      </c>
      <c r="B2189" s="46" t="s">
        <v>52126</v>
      </c>
      <c r="C2189" s="58" t="str">
        <f>"13596101"</f>
        <v>13596101</v>
      </c>
      <c r="D2189" s="58" t="str">
        <f>"18790305"</f>
        <v>18790305</v>
      </c>
      <c r="E2189" s="46" t="s">
        <v>155</v>
      </c>
      <c r="F2189" s="46" t="s">
        <v>50646</v>
      </c>
      <c r="G2189" s="46" t="s">
        <v>50584</v>
      </c>
      <c r="H2189" s="48" t="s">
        <v>56716</v>
      </c>
      <c r="I2189" s="48" t="s">
        <v>50564</v>
      </c>
      <c r="J2189" s="48" t="s">
        <v>56716</v>
      </c>
      <c r="K2189" s="50" t="s">
        <v>56716</v>
      </c>
      <c r="L2189" s="48" t="s">
        <v>56716</v>
      </c>
    </row>
    <row r="2190" spans="1:12" s="37" customFormat="1" ht="11.25" x14ac:dyDescent="0.2">
      <c r="A2190" s="46" t="s">
        <v>9838</v>
      </c>
      <c r="B2190" s="46" t="s">
        <v>52127</v>
      </c>
      <c r="C2190" s="58" t="str">
        <f>"15524949"</f>
        <v>15524949</v>
      </c>
      <c r="D2190" s="58" t="str">
        <f>"15524957"</f>
        <v>15524957</v>
      </c>
      <c r="E2190" s="46" t="s">
        <v>517</v>
      </c>
      <c r="F2190" s="46" t="s">
        <v>17759</v>
      </c>
      <c r="G2190" s="46" t="s">
        <v>50584</v>
      </c>
      <c r="H2190" s="48" t="s">
        <v>56716</v>
      </c>
      <c r="I2190" s="48" t="s">
        <v>50564</v>
      </c>
      <c r="J2190" s="48" t="s">
        <v>56716</v>
      </c>
      <c r="K2190" s="50" t="s">
        <v>56716</v>
      </c>
      <c r="L2190" s="48" t="s">
        <v>56716</v>
      </c>
    </row>
    <row r="2191" spans="1:12" s="37" customFormat="1" ht="11.25" x14ac:dyDescent="0.2">
      <c r="A2191" s="45" t="s">
        <v>26911</v>
      </c>
      <c r="B2191" s="45" t="s">
        <v>26913</v>
      </c>
      <c r="C2191" s="51" t="s">
        <v>26916</v>
      </c>
      <c r="D2191" s="51" t="s">
        <v>26915</v>
      </c>
      <c r="E2191" s="45" t="s">
        <v>19094</v>
      </c>
      <c r="F2191" s="45" t="s">
        <v>17759</v>
      </c>
      <c r="G2191" s="45" t="s">
        <v>50584</v>
      </c>
      <c r="H2191" s="56"/>
      <c r="I2191" s="56" t="s">
        <v>50564</v>
      </c>
      <c r="J2191" s="56"/>
      <c r="K2191" s="50"/>
      <c r="L2191" s="56" t="s">
        <v>56716</v>
      </c>
    </row>
    <row r="2192" spans="1:12" s="37" customFormat="1" ht="11.25" x14ac:dyDescent="0.2">
      <c r="A2192" s="46" t="s">
        <v>5090</v>
      </c>
      <c r="B2192" s="46" t="s">
        <v>5090</v>
      </c>
      <c r="C2192" s="58" t="str">
        <f>"09565507"</f>
        <v>09565507</v>
      </c>
      <c r="D2192" s="58" t="str">
        <f>"13652303"</f>
        <v>13652303</v>
      </c>
      <c r="E2192" s="46" t="s">
        <v>35</v>
      </c>
      <c r="F2192" s="46" t="s">
        <v>50646</v>
      </c>
      <c r="G2192" s="46" t="s">
        <v>50584</v>
      </c>
      <c r="H2192" s="48" t="s">
        <v>56716</v>
      </c>
      <c r="I2192" s="48" t="s">
        <v>50564</v>
      </c>
      <c r="J2192" s="48" t="s">
        <v>56716</v>
      </c>
      <c r="K2192" s="50" t="s">
        <v>56716</v>
      </c>
      <c r="L2192" s="48" t="s">
        <v>56716</v>
      </c>
    </row>
    <row r="2193" spans="1:12" s="37" customFormat="1" ht="11.25" x14ac:dyDescent="0.2">
      <c r="A2193" s="46" t="s">
        <v>13887</v>
      </c>
      <c r="B2193" s="46" t="s">
        <v>13887</v>
      </c>
      <c r="C2193" s="58" t="str">
        <f>"19493584"</f>
        <v>19493584</v>
      </c>
      <c r="D2193" s="58" t="str">
        <f>"19493592"</f>
        <v>19493592</v>
      </c>
      <c r="E2193" s="46" t="s">
        <v>517</v>
      </c>
      <c r="F2193" s="46" t="s">
        <v>17759</v>
      </c>
      <c r="G2193" s="46" t="s">
        <v>50584</v>
      </c>
      <c r="H2193" s="48" t="s">
        <v>56716</v>
      </c>
      <c r="I2193" s="48" t="s">
        <v>50564</v>
      </c>
      <c r="J2193" s="48" t="s">
        <v>56716</v>
      </c>
      <c r="K2193" s="50" t="s">
        <v>56716</v>
      </c>
      <c r="L2193" s="48" t="s">
        <v>56716</v>
      </c>
    </row>
    <row r="2194" spans="1:12" s="37" customFormat="1" ht="11.25" x14ac:dyDescent="0.2">
      <c r="A2194" s="46" t="s">
        <v>6941</v>
      </c>
      <c r="B2194" s="46" t="s">
        <v>6941</v>
      </c>
      <c r="C2194" s="58" t="str">
        <f>"09209069"</f>
        <v>09209069</v>
      </c>
      <c r="D2194" s="58" t="str">
        <f>"15730778"</f>
        <v>15730778</v>
      </c>
      <c r="E2194" s="46" t="s">
        <v>18876</v>
      </c>
      <c r="F2194" s="46" t="s">
        <v>18001</v>
      </c>
      <c r="G2194" s="46" t="s">
        <v>50584</v>
      </c>
      <c r="H2194" s="48" t="s">
        <v>56716</v>
      </c>
      <c r="I2194" s="48" t="s">
        <v>50564</v>
      </c>
      <c r="J2194" s="48"/>
      <c r="K2194" s="50" t="s">
        <v>56716</v>
      </c>
      <c r="L2194" s="48"/>
    </row>
    <row r="2195" spans="1:12" s="37" customFormat="1" ht="11.25" x14ac:dyDescent="0.2">
      <c r="A2195" s="46" t="s">
        <v>8213</v>
      </c>
      <c r="B2195" s="46" t="s">
        <v>8213</v>
      </c>
      <c r="C2195" s="58" t="str">
        <f>"14653249"</f>
        <v>14653249</v>
      </c>
      <c r="D2195" s="58" t="str">
        <f>"14772566"</f>
        <v>14772566</v>
      </c>
      <c r="E2195" s="46" t="s">
        <v>272</v>
      </c>
      <c r="F2195" s="46" t="s">
        <v>17759</v>
      </c>
      <c r="G2195" s="46" t="s">
        <v>50584</v>
      </c>
      <c r="H2195" s="48" t="s">
        <v>56716</v>
      </c>
      <c r="I2195" s="48" t="s">
        <v>50564</v>
      </c>
      <c r="J2195" s="48" t="s">
        <v>56716</v>
      </c>
      <c r="K2195" s="50" t="s">
        <v>56716</v>
      </c>
      <c r="L2195" s="48" t="s">
        <v>56716</v>
      </c>
    </row>
    <row r="2196" spans="1:12" s="37" customFormat="1" ht="11.25" x14ac:dyDescent="0.2">
      <c r="A2196" s="45" t="s">
        <v>26943</v>
      </c>
      <c r="B2196" s="45" t="s">
        <v>26945</v>
      </c>
      <c r="C2196" s="51" t="s">
        <v>26948</v>
      </c>
      <c r="D2196" s="51" t="s">
        <v>26947</v>
      </c>
      <c r="E2196" s="45" t="s">
        <v>6914</v>
      </c>
      <c r="F2196" s="45" t="s">
        <v>50646</v>
      </c>
      <c r="G2196" s="45" t="s">
        <v>50584</v>
      </c>
      <c r="H2196" s="56"/>
      <c r="I2196" s="56" t="s">
        <v>50564</v>
      </c>
      <c r="J2196" s="56"/>
      <c r="K2196" s="50"/>
      <c r="L2196" s="56" t="s">
        <v>56716</v>
      </c>
    </row>
    <row r="2197" spans="1:12" s="37" customFormat="1" ht="11.25" x14ac:dyDescent="0.2">
      <c r="A2197" s="46" t="s">
        <v>16295</v>
      </c>
      <c r="B2197" s="46" t="s">
        <v>52128</v>
      </c>
      <c r="C2197" s="58" t="str">
        <f>""</f>
        <v/>
      </c>
      <c r="D2197" s="58" t="str">
        <f>"22451919"</f>
        <v>22451919</v>
      </c>
      <c r="E2197" s="46" t="s">
        <v>16297</v>
      </c>
      <c r="F2197" s="46" t="s">
        <v>18305</v>
      </c>
      <c r="G2197" s="46" t="s">
        <v>50584</v>
      </c>
      <c r="H2197" s="48" t="s">
        <v>56716</v>
      </c>
      <c r="I2197" s="48" t="s">
        <v>50564</v>
      </c>
      <c r="J2197" s="48"/>
      <c r="K2197" s="50"/>
      <c r="L2197" s="48" t="s">
        <v>56716</v>
      </c>
    </row>
    <row r="2198" spans="1:12" s="37" customFormat="1" ht="11.25" x14ac:dyDescent="0.2">
      <c r="A2198" s="45" t="s">
        <v>26956</v>
      </c>
      <c r="B2198" s="45" t="s">
        <v>26958</v>
      </c>
      <c r="C2198" s="51" t="s">
        <v>26960</v>
      </c>
      <c r="D2198" s="51"/>
      <c r="E2198" s="45" t="s">
        <v>26961</v>
      </c>
      <c r="F2198" s="45" t="s">
        <v>18305</v>
      </c>
      <c r="G2198" s="45" t="s">
        <v>50582</v>
      </c>
      <c r="H2198" s="56"/>
      <c r="I2198" s="56" t="s">
        <v>50564</v>
      </c>
      <c r="J2198" s="56"/>
      <c r="K2198" s="50"/>
      <c r="L2198" s="56" t="s">
        <v>56716</v>
      </c>
    </row>
    <row r="2199" spans="1:12" s="37" customFormat="1" ht="11.25" x14ac:dyDescent="0.2">
      <c r="A2199" s="46" t="s">
        <v>9188</v>
      </c>
      <c r="B2199" s="46" t="s">
        <v>52129</v>
      </c>
      <c r="C2199" s="58" t="str">
        <f>"15608115"</f>
        <v>15608115</v>
      </c>
      <c r="D2199" s="58" t="str">
        <f>"20082231"</f>
        <v>20082231</v>
      </c>
      <c r="E2199" s="46" t="s">
        <v>2299</v>
      </c>
      <c r="F2199" s="46" t="s">
        <v>50646</v>
      </c>
      <c r="G2199" s="46" t="s">
        <v>50584</v>
      </c>
      <c r="H2199" s="48" t="s">
        <v>56716</v>
      </c>
      <c r="I2199" s="48" t="s">
        <v>50564</v>
      </c>
      <c r="J2199" s="48"/>
      <c r="K2199" s="50" t="s">
        <v>56716</v>
      </c>
      <c r="L2199" s="48" t="s">
        <v>56716</v>
      </c>
    </row>
    <row r="2200" spans="1:12" s="37" customFormat="1" ht="11.25" x14ac:dyDescent="0.2">
      <c r="A2200" s="45" t="s">
        <v>26969</v>
      </c>
      <c r="B2200" s="45" t="s">
        <v>26971</v>
      </c>
      <c r="C2200" s="51"/>
      <c r="D2200" s="51" t="s">
        <v>26972</v>
      </c>
      <c r="E2200" s="45" t="s">
        <v>24323</v>
      </c>
      <c r="F2200" s="45" t="s">
        <v>50646</v>
      </c>
      <c r="G2200" s="45" t="s">
        <v>50584</v>
      </c>
      <c r="H2200" s="56"/>
      <c r="I2200" s="56" t="s">
        <v>50564</v>
      </c>
      <c r="J2200" s="56"/>
      <c r="K2200" s="50"/>
      <c r="L2200" s="56" t="s">
        <v>56716</v>
      </c>
    </row>
    <row r="2201" spans="1:12" s="37" customFormat="1" ht="11.25" x14ac:dyDescent="0.2">
      <c r="A2201" s="45" t="s">
        <v>26974</v>
      </c>
      <c r="B2201" s="45" t="s">
        <v>26976</v>
      </c>
      <c r="C2201" s="51" t="s">
        <v>26979</v>
      </c>
      <c r="D2201" s="51" t="s">
        <v>26978</v>
      </c>
      <c r="E2201" s="45" t="s">
        <v>10487</v>
      </c>
      <c r="F2201" s="45" t="s">
        <v>17759</v>
      </c>
      <c r="G2201" s="45" t="s">
        <v>50584</v>
      </c>
      <c r="H2201" s="56"/>
      <c r="I2201" s="56" t="s">
        <v>50564</v>
      </c>
      <c r="J2201" s="56"/>
      <c r="K2201" s="50"/>
      <c r="L2201" s="56" t="s">
        <v>56716</v>
      </c>
    </row>
    <row r="2202" spans="1:12" s="37" customFormat="1" ht="11.25" x14ac:dyDescent="0.2">
      <c r="A2202" s="45" t="s">
        <v>26982</v>
      </c>
      <c r="B2202" s="45" t="s">
        <v>26984</v>
      </c>
      <c r="C2202" s="51" t="s">
        <v>26986</v>
      </c>
      <c r="D2202" s="51"/>
      <c r="E2202" s="45" t="s">
        <v>26987</v>
      </c>
      <c r="F2202" s="45" t="s">
        <v>17759</v>
      </c>
      <c r="G2202" s="45" t="s">
        <v>50584</v>
      </c>
      <c r="H2202" s="56"/>
      <c r="I2202" s="56" t="s">
        <v>50564</v>
      </c>
      <c r="J2202" s="56"/>
      <c r="K2202" s="50"/>
      <c r="L2202" s="56" t="s">
        <v>56716</v>
      </c>
    </row>
    <row r="2203" spans="1:12" s="37" customFormat="1" ht="11.25" x14ac:dyDescent="0.2">
      <c r="A2203" s="45" t="s">
        <v>26989</v>
      </c>
      <c r="B2203" s="45" t="s">
        <v>26991</v>
      </c>
      <c r="C2203" s="51" t="s">
        <v>26993</v>
      </c>
      <c r="D2203" s="51" t="s">
        <v>26992</v>
      </c>
      <c r="E2203" s="45" t="s">
        <v>18520</v>
      </c>
      <c r="F2203" s="45" t="s">
        <v>50646</v>
      </c>
      <c r="G2203" s="45" t="s">
        <v>50584</v>
      </c>
      <c r="H2203" s="56"/>
      <c r="I2203" s="56" t="s">
        <v>50564</v>
      </c>
      <c r="J2203" s="56"/>
      <c r="K2203" s="50"/>
      <c r="L2203" s="56" t="s">
        <v>56716</v>
      </c>
    </row>
    <row r="2204" spans="1:12" s="37" customFormat="1" ht="11.25" x14ac:dyDescent="0.2">
      <c r="A2204" s="46" t="s">
        <v>7260</v>
      </c>
      <c r="B2204" s="46" t="s">
        <v>52130</v>
      </c>
      <c r="C2204" s="58" t="str">
        <f>"14208008"</f>
        <v>14208008</v>
      </c>
      <c r="D2204" s="58" t="str">
        <f>"14219824"</f>
        <v>14219824</v>
      </c>
      <c r="E2204" s="46" t="s">
        <v>109</v>
      </c>
      <c r="F2204" s="46" t="s">
        <v>18123</v>
      </c>
      <c r="G2204" s="46" t="s">
        <v>50584</v>
      </c>
      <c r="H2204" s="48" t="s">
        <v>56716</v>
      </c>
      <c r="I2204" s="48" t="s">
        <v>50564</v>
      </c>
      <c r="J2204" s="48" t="s">
        <v>56716</v>
      </c>
      <c r="K2204" s="50" t="s">
        <v>56716</v>
      </c>
      <c r="L2204" s="48" t="s">
        <v>56716</v>
      </c>
    </row>
    <row r="2205" spans="1:12" s="37" customFormat="1" ht="11.25" x14ac:dyDescent="0.2">
      <c r="A2205" s="46" t="s">
        <v>55896</v>
      </c>
      <c r="B2205" s="46" t="s">
        <v>55897</v>
      </c>
      <c r="C2205" s="58" t="str">
        <f>""</f>
        <v/>
      </c>
      <c r="D2205" s="58" t="str">
        <f>"16645464"</f>
        <v>16645464</v>
      </c>
      <c r="E2205" s="46" t="s">
        <v>109</v>
      </c>
      <c r="F2205" s="46" t="s">
        <v>18123</v>
      </c>
      <c r="G2205" s="46" t="s">
        <v>50584</v>
      </c>
      <c r="H2205" s="48" t="s">
        <v>56716</v>
      </c>
      <c r="I2205" s="48" t="s">
        <v>50564</v>
      </c>
      <c r="J2205" s="48" t="s">
        <v>56716</v>
      </c>
      <c r="K2205" s="50"/>
      <c r="L2205" s="48"/>
    </row>
    <row r="2206" spans="1:12" s="37" customFormat="1" ht="11.25" x14ac:dyDescent="0.2">
      <c r="A2206" s="45" t="s">
        <v>27002</v>
      </c>
      <c r="B2206" s="45" t="s">
        <v>27002</v>
      </c>
      <c r="C2206" s="51" t="s">
        <v>27005</v>
      </c>
      <c r="D2206" s="51" t="s">
        <v>27004</v>
      </c>
      <c r="E2206" s="45" t="s">
        <v>17783</v>
      </c>
      <c r="F2206" s="45" t="s">
        <v>17759</v>
      </c>
      <c r="G2206" s="45" t="s">
        <v>50584</v>
      </c>
      <c r="H2206" s="56"/>
      <c r="I2206" s="56" t="s">
        <v>50564</v>
      </c>
      <c r="J2206" s="56"/>
      <c r="K2206" s="50"/>
      <c r="L2206" s="56" t="s">
        <v>56716</v>
      </c>
    </row>
    <row r="2207" spans="1:12" s="37" customFormat="1" ht="11.25" x14ac:dyDescent="0.2">
      <c r="A2207" s="46" t="s">
        <v>8716</v>
      </c>
      <c r="B2207" s="46" t="s">
        <v>52131</v>
      </c>
      <c r="C2207" s="58" t="str">
        <f>"1020895X"</f>
        <v>1020895X</v>
      </c>
      <c r="D2207" s="58" t="str">
        <f>""</f>
        <v/>
      </c>
      <c r="E2207" s="46" t="s">
        <v>955</v>
      </c>
      <c r="F2207" s="46" t="s">
        <v>20446</v>
      </c>
      <c r="G2207" s="46" t="s">
        <v>50584</v>
      </c>
      <c r="H2207" s="48" t="s">
        <v>56716</v>
      </c>
      <c r="I2207" s="48" t="s">
        <v>50564</v>
      </c>
      <c r="J2207" s="48"/>
      <c r="K2207" s="50"/>
      <c r="L2207" s="48"/>
    </row>
    <row r="2208" spans="1:12" s="37" customFormat="1" ht="11.25" x14ac:dyDescent="0.2">
      <c r="A2208" s="46" t="s">
        <v>12931</v>
      </c>
      <c r="B2208" s="46" t="s">
        <v>52132</v>
      </c>
      <c r="C2208" s="58" t="str">
        <f>"1644387X"</f>
        <v>1644387X</v>
      </c>
      <c r="D2208" s="58" t="str">
        <f>""</f>
        <v/>
      </c>
      <c r="E2208" s="46" t="s">
        <v>12933</v>
      </c>
      <c r="F2208" s="46" t="s">
        <v>17967</v>
      </c>
      <c r="G2208" s="46" t="s">
        <v>50612</v>
      </c>
      <c r="H2208" s="48" t="s">
        <v>56716</v>
      </c>
      <c r="I2208" s="48" t="s">
        <v>50564</v>
      </c>
      <c r="J2208" s="48"/>
      <c r="K2208" s="50"/>
      <c r="L2208" s="48"/>
    </row>
    <row r="2209" spans="1:12" s="37" customFormat="1" ht="11.25" x14ac:dyDescent="0.2">
      <c r="A2209" s="45" t="s">
        <v>27009</v>
      </c>
      <c r="B2209" s="45" t="s">
        <v>27011</v>
      </c>
      <c r="C2209" s="51" t="s">
        <v>27013</v>
      </c>
      <c r="D2209" s="51"/>
      <c r="E2209" s="45" t="s">
        <v>19282</v>
      </c>
      <c r="F2209" s="45" t="s">
        <v>17759</v>
      </c>
      <c r="G2209" s="45" t="s">
        <v>50584</v>
      </c>
      <c r="H2209" s="56"/>
      <c r="I2209" s="56" t="s">
        <v>50564</v>
      </c>
      <c r="J2209" s="56"/>
      <c r="K2209" s="50"/>
      <c r="L2209" s="56" t="s">
        <v>56716</v>
      </c>
    </row>
    <row r="2210" spans="1:12" s="37" customFormat="1" ht="11.25" x14ac:dyDescent="0.2">
      <c r="A2210" s="46" t="s">
        <v>11705</v>
      </c>
      <c r="B2210" s="46" t="s">
        <v>52133</v>
      </c>
      <c r="C2210" s="58" t="str">
        <f>"00118524"</f>
        <v>00118524</v>
      </c>
      <c r="D2210" s="58" t="str">
        <f>""</f>
        <v/>
      </c>
      <c r="E2210" s="46" t="s">
        <v>4659</v>
      </c>
      <c r="F2210" s="46" t="s">
        <v>17991</v>
      </c>
      <c r="G2210" s="46" t="s">
        <v>50603</v>
      </c>
      <c r="H2210" s="48" t="s">
        <v>56716</v>
      </c>
      <c r="I2210" s="48" t="s">
        <v>50564</v>
      </c>
      <c r="J2210" s="48"/>
      <c r="K2210" s="50"/>
      <c r="L2210" s="48"/>
    </row>
    <row r="2211" spans="1:12" s="37" customFormat="1" ht="11.25" x14ac:dyDescent="0.2">
      <c r="A2211" s="45" t="s">
        <v>27015</v>
      </c>
      <c r="B2211" s="45" t="s">
        <v>27017</v>
      </c>
      <c r="C2211" s="51" t="s">
        <v>27019</v>
      </c>
      <c r="D2211" s="51" t="s">
        <v>27018</v>
      </c>
      <c r="E2211" s="45" t="s">
        <v>25648</v>
      </c>
      <c r="F2211" s="45" t="s">
        <v>17759</v>
      </c>
      <c r="G2211" s="45" t="s">
        <v>50584</v>
      </c>
      <c r="H2211" s="56"/>
      <c r="I2211" s="56" t="s">
        <v>50564</v>
      </c>
      <c r="J2211" s="56"/>
      <c r="K2211" s="50"/>
      <c r="L2211" s="56" t="s">
        <v>56716</v>
      </c>
    </row>
    <row r="2212" spans="1:12" s="37" customFormat="1" ht="11.25" x14ac:dyDescent="0.2">
      <c r="A2212" s="45" t="s">
        <v>27021</v>
      </c>
      <c r="B2212" s="45" t="s">
        <v>27023</v>
      </c>
      <c r="C2212" s="51" t="s">
        <v>27025</v>
      </c>
      <c r="D2212" s="51"/>
      <c r="E2212" s="45" t="s">
        <v>27026</v>
      </c>
      <c r="F2212" s="45" t="s">
        <v>50646</v>
      </c>
      <c r="G2212" s="45" t="s">
        <v>50584</v>
      </c>
      <c r="H2212" s="56"/>
      <c r="I2212" s="56" t="s">
        <v>50564</v>
      </c>
      <c r="J2212" s="56"/>
      <c r="K2212" s="50"/>
      <c r="L2212" s="56" t="s">
        <v>56716</v>
      </c>
    </row>
    <row r="2213" spans="1:12" s="37" customFormat="1" ht="11.25" x14ac:dyDescent="0.2">
      <c r="A2213" s="45" t="s">
        <v>27034</v>
      </c>
      <c r="B2213" s="45" t="s">
        <v>27036</v>
      </c>
      <c r="C2213" s="51" t="s">
        <v>27038</v>
      </c>
      <c r="D2213" s="51" t="s">
        <v>27037</v>
      </c>
      <c r="E2213" s="45" t="s">
        <v>18661</v>
      </c>
      <c r="F2213" s="45" t="s">
        <v>50646</v>
      </c>
      <c r="G2213" s="45" t="s">
        <v>50584</v>
      </c>
      <c r="H2213" s="56"/>
      <c r="I2213" s="56" t="s">
        <v>50564</v>
      </c>
      <c r="J2213" s="56"/>
      <c r="K2213" s="50"/>
      <c r="L2213" s="56" t="s">
        <v>56716</v>
      </c>
    </row>
    <row r="2214" spans="1:12" s="37" customFormat="1" ht="11.25" x14ac:dyDescent="0.2">
      <c r="A2214" s="45" t="s">
        <v>27040</v>
      </c>
      <c r="B2214" s="45" t="s">
        <v>27042</v>
      </c>
      <c r="C2214" s="51" t="s">
        <v>27044</v>
      </c>
      <c r="D2214" s="51" t="s">
        <v>27043</v>
      </c>
      <c r="E2214" s="45" t="s">
        <v>27045</v>
      </c>
      <c r="F2214" s="45" t="s">
        <v>18242</v>
      </c>
      <c r="G2214" s="45" t="s">
        <v>50584</v>
      </c>
      <c r="H2214" s="56"/>
      <c r="I2214" s="56" t="s">
        <v>50564</v>
      </c>
      <c r="J2214" s="56"/>
      <c r="K2214" s="50"/>
      <c r="L2214" s="56" t="s">
        <v>56716</v>
      </c>
    </row>
    <row r="2215" spans="1:12" s="37" customFormat="1" ht="11.25" x14ac:dyDescent="0.2">
      <c r="A2215" s="45" t="s">
        <v>27048</v>
      </c>
      <c r="B2215" s="45" t="s">
        <v>27050</v>
      </c>
      <c r="C2215" s="51" t="s">
        <v>27053</v>
      </c>
      <c r="D2215" s="51" t="s">
        <v>27052</v>
      </c>
      <c r="E2215" s="45" t="s">
        <v>27054</v>
      </c>
      <c r="F2215" s="45" t="s">
        <v>18058</v>
      </c>
      <c r="G2215" s="45" t="s">
        <v>50614</v>
      </c>
      <c r="H2215" s="56"/>
      <c r="I2215" s="56" t="s">
        <v>50564</v>
      </c>
      <c r="J2215" s="56"/>
      <c r="K2215" s="50"/>
      <c r="L2215" s="56" t="s">
        <v>56716</v>
      </c>
    </row>
    <row r="2216" spans="1:12" s="37" customFormat="1" ht="11.25" x14ac:dyDescent="0.2">
      <c r="A2216" s="45" t="s">
        <v>27057</v>
      </c>
      <c r="B2216" s="45" t="s">
        <v>27059</v>
      </c>
      <c r="C2216" s="51" t="s">
        <v>27062</v>
      </c>
      <c r="D2216" s="51" t="s">
        <v>27061</v>
      </c>
      <c r="E2216" s="45" t="s">
        <v>21040</v>
      </c>
      <c r="F2216" s="45" t="s">
        <v>18305</v>
      </c>
      <c r="G2216" s="45" t="s">
        <v>50584</v>
      </c>
      <c r="H2216" s="56"/>
      <c r="I2216" s="56" t="s">
        <v>50564</v>
      </c>
      <c r="J2216" s="56"/>
      <c r="K2216" s="50"/>
      <c r="L2216" s="56" t="s">
        <v>56716</v>
      </c>
    </row>
    <row r="2217" spans="1:12" s="37" customFormat="1" ht="11.25" x14ac:dyDescent="0.2">
      <c r="A2217" s="45" t="s">
        <v>27065</v>
      </c>
      <c r="B2217" s="45" t="s">
        <v>27067</v>
      </c>
      <c r="C2217" s="51" t="s">
        <v>27068</v>
      </c>
      <c r="D2217" s="51"/>
      <c r="E2217" s="45" t="s">
        <v>27069</v>
      </c>
      <c r="F2217" s="45" t="s">
        <v>50646</v>
      </c>
      <c r="G2217" s="45" t="s">
        <v>50584</v>
      </c>
      <c r="H2217" s="56"/>
      <c r="I2217" s="56" t="s">
        <v>50564</v>
      </c>
      <c r="J2217" s="56"/>
      <c r="K2217" s="50"/>
      <c r="L2217" s="56" t="s">
        <v>56716</v>
      </c>
    </row>
    <row r="2218" spans="1:12" s="37" customFormat="1" ht="11.25" x14ac:dyDescent="0.2">
      <c r="A2218" s="45" t="s">
        <v>27071</v>
      </c>
      <c r="B2218" s="45" t="s">
        <v>27073</v>
      </c>
      <c r="C2218" s="51" t="s">
        <v>27074</v>
      </c>
      <c r="D2218" s="51"/>
      <c r="E2218" s="45" t="s">
        <v>27075</v>
      </c>
      <c r="F2218" s="45" t="s">
        <v>17759</v>
      </c>
      <c r="G2218" s="45" t="s">
        <v>50584</v>
      </c>
      <c r="H2218" s="56"/>
      <c r="I2218" s="56" t="s">
        <v>50564</v>
      </c>
      <c r="J2218" s="56"/>
      <c r="K2218" s="50"/>
      <c r="L2218" s="56" t="s">
        <v>56716</v>
      </c>
    </row>
    <row r="2219" spans="1:12" s="37" customFormat="1" ht="11.25" x14ac:dyDescent="0.2">
      <c r="A2219" s="45" t="s">
        <v>27077</v>
      </c>
      <c r="B2219" s="45" t="s">
        <v>27079</v>
      </c>
      <c r="C2219" s="51" t="s">
        <v>27081</v>
      </c>
      <c r="D2219" s="51" t="s">
        <v>27080</v>
      </c>
      <c r="E2219" s="45" t="s">
        <v>844</v>
      </c>
      <c r="F2219" s="45" t="s">
        <v>50646</v>
      </c>
      <c r="G2219" s="45" t="s">
        <v>50584</v>
      </c>
      <c r="H2219" s="56"/>
      <c r="I2219" s="56" t="s">
        <v>50564</v>
      </c>
      <c r="J2219" s="56"/>
      <c r="K2219" s="50"/>
      <c r="L2219" s="56" t="s">
        <v>56716</v>
      </c>
    </row>
    <row r="2220" spans="1:12" s="37" customFormat="1" ht="11.25" x14ac:dyDescent="0.2">
      <c r="A2220" s="46" t="s">
        <v>7311</v>
      </c>
      <c r="B2220" s="46" t="s">
        <v>52134</v>
      </c>
      <c r="C2220" s="58" t="str">
        <f>"10914269"</f>
        <v>10914269</v>
      </c>
      <c r="D2220" s="58" t="str">
        <f>"15206394"</f>
        <v>15206394</v>
      </c>
      <c r="E2220" s="46" t="s">
        <v>548</v>
      </c>
      <c r="F2220" s="46" t="s">
        <v>17759</v>
      </c>
      <c r="G2220" s="46" t="s">
        <v>50584</v>
      </c>
      <c r="H2220" s="48" t="s">
        <v>56716</v>
      </c>
      <c r="I2220" s="48" t="s">
        <v>50564</v>
      </c>
      <c r="J2220" s="48" t="s">
        <v>56716</v>
      </c>
      <c r="K2220" s="50" t="s">
        <v>56716</v>
      </c>
      <c r="L2220" s="48" t="s">
        <v>56716</v>
      </c>
    </row>
    <row r="2221" spans="1:12" s="37" customFormat="1" ht="11.25" x14ac:dyDescent="0.2">
      <c r="A2221" s="45" t="s">
        <v>24910</v>
      </c>
      <c r="B2221" s="45" t="s">
        <v>24912</v>
      </c>
      <c r="C2221" s="51" t="s">
        <v>24914</v>
      </c>
      <c r="D2221" s="51" t="s">
        <v>24913</v>
      </c>
      <c r="E2221" s="45" t="s">
        <v>167</v>
      </c>
      <c r="F2221" s="45" t="s">
        <v>18158</v>
      </c>
      <c r="G2221" s="45" t="s">
        <v>50592</v>
      </c>
      <c r="H2221" s="56"/>
      <c r="I2221" s="56" t="s">
        <v>50564</v>
      </c>
      <c r="J2221" s="56"/>
      <c r="K2221" s="50"/>
      <c r="L2221" s="56" t="s">
        <v>56716</v>
      </c>
    </row>
    <row r="2222" spans="1:12" s="37" customFormat="1" ht="11.25" x14ac:dyDescent="0.2">
      <c r="A2222" s="45" t="s">
        <v>43247</v>
      </c>
      <c r="B2222" s="45" t="s">
        <v>43249</v>
      </c>
      <c r="C2222" s="51" t="s">
        <v>43252</v>
      </c>
      <c r="D2222" s="51" t="s">
        <v>43251</v>
      </c>
      <c r="E2222" s="45" t="s">
        <v>17089</v>
      </c>
      <c r="F2222" s="45" t="s">
        <v>18158</v>
      </c>
      <c r="G2222" s="45" t="s">
        <v>50592</v>
      </c>
      <c r="H2222" s="56"/>
      <c r="I2222" s="56" t="s">
        <v>50564</v>
      </c>
      <c r="J2222" s="56"/>
      <c r="K2222" s="50"/>
      <c r="L2222" s="56" t="s">
        <v>56716</v>
      </c>
    </row>
    <row r="2223" spans="1:12" s="37" customFormat="1" ht="11.25" x14ac:dyDescent="0.2">
      <c r="A2223" s="45" t="s">
        <v>43426</v>
      </c>
      <c r="B2223" s="45" t="s">
        <v>43428</v>
      </c>
      <c r="C2223" s="51" t="s">
        <v>43430</v>
      </c>
      <c r="D2223" s="51" t="s">
        <v>43429</v>
      </c>
      <c r="E2223" s="45" t="s">
        <v>18727</v>
      </c>
      <c r="F2223" s="45" t="s">
        <v>18158</v>
      </c>
      <c r="G2223" s="45" t="s">
        <v>50592</v>
      </c>
      <c r="H2223" s="56"/>
      <c r="I2223" s="56" t="s">
        <v>50564</v>
      </c>
      <c r="J2223" s="56"/>
      <c r="K2223" s="50"/>
      <c r="L2223" s="56" t="s">
        <v>56716</v>
      </c>
    </row>
    <row r="2224" spans="1:12" s="37" customFormat="1" ht="11.25" x14ac:dyDescent="0.2">
      <c r="A2224" s="45" t="s">
        <v>43724</v>
      </c>
      <c r="B2224" s="45" t="s">
        <v>43726</v>
      </c>
      <c r="C2224" s="51" t="s">
        <v>43728</v>
      </c>
      <c r="D2224" s="51" t="s">
        <v>43727</v>
      </c>
      <c r="E2224" s="45" t="s">
        <v>18727</v>
      </c>
      <c r="F2224" s="45" t="s">
        <v>18158</v>
      </c>
      <c r="G2224" s="45" t="s">
        <v>50593</v>
      </c>
      <c r="H2224" s="56"/>
      <c r="I2224" s="56" t="s">
        <v>50564</v>
      </c>
      <c r="J2224" s="56"/>
      <c r="K2224" s="50"/>
      <c r="L2224" s="56" t="s">
        <v>56716</v>
      </c>
    </row>
    <row r="2225" spans="1:12" s="37" customFormat="1" ht="11.25" x14ac:dyDescent="0.2">
      <c r="A2225" s="46" t="s">
        <v>15304</v>
      </c>
      <c r="B2225" s="46" t="s">
        <v>52135</v>
      </c>
      <c r="C2225" s="58" t="str">
        <f>""</f>
        <v/>
      </c>
      <c r="D2225" s="58" t="str">
        <f>"0975413X"</f>
        <v>0975413X</v>
      </c>
      <c r="E2225" s="46" t="s">
        <v>15119</v>
      </c>
      <c r="F2225" s="46" t="s">
        <v>20446</v>
      </c>
      <c r="G2225" s="46" t="s">
        <v>50584</v>
      </c>
      <c r="H2225" s="48" t="s">
        <v>56716</v>
      </c>
      <c r="I2225" s="48" t="s">
        <v>50564</v>
      </c>
      <c r="J2225" s="48"/>
      <c r="K2225" s="50"/>
      <c r="L2225" s="48"/>
    </row>
    <row r="2226" spans="1:12" s="37" customFormat="1" ht="11.25" x14ac:dyDescent="0.2">
      <c r="A2226" s="46" t="s">
        <v>15117</v>
      </c>
      <c r="B2226" s="46" t="s">
        <v>52136</v>
      </c>
      <c r="C2226" s="58" t="str">
        <f>""</f>
        <v/>
      </c>
      <c r="D2226" s="58" t="str">
        <f>"09755071"</f>
        <v>09755071</v>
      </c>
      <c r="E2226" s="46" t="s">
        <v>15119</v>
      </c>
      <c r="F2226" s="46" t="s">
        <v>20446</v>
      </c>
      <c r="G2226" s="46" t="s">
        <v>50584</v>
      </c>
      <c r="H2226" s="48" t="s">
        <v>56716</v>
      </c>
      <c r="I2226" s="48" t="s">
        <v>50564</v>
      </c>
      <c r="J2226" s="48"/>
      <c r="K2226" s="50"/>
      <c r="L2226" s="48"/>
    </row>
    <row r="2227" spans="1:12" s="37" customFormat="1" ht="11.25" x14ac:dyDescent="0.2">
      <c r="A2227" s="45" t="s">
        <v>45785</v>
      </c>
      <c r="B2227" s="45" t="s">
        <v>45787</v>
      </c>
      <c r="C2227" s="51" t="s">
        <v>45789</v>
      </c>
      <c r="D2227" s="51" t="s">
        <v>45788</v>
      </c>
      <c r="E2227" s="45" t="s">
        <v>167</v>
      </c>
      <c r="F2227" s="45" t="s">
        <v>18158</v>
      </c>
      <c r="G2227" s="45" t="s">
        <v>50592</v>
      </c>
      <c r="H2227" s="56"/>
      <c r="I2227" s="56" t="s">
        <v>50564</v>
      </c>
      <c r="J2227" s="56"/>
      <c r="K2227" s="50"/>
      <c r="L2227" s="56" t="s">
        <v>56716</v>
      </c>
    </row>
    <row r="2228" spans="1:12" s="37" customFormat="1" ht="11.25" x14ac:dyDescent="0.2">
      <c r="A2228" s="45" t="s">
        <v>49144</v>
      </c>
      <c r="B2228" s="45" t="s">
        <v>49146</v>
      </c>
      <c r="C2228" s="51" t="s">
        <v>49149</v>
      </c>
      <c r="D2228" s="51" t="s">
        <v>49148</v>
      </c>
      <c r="E2228" s="45" t="s">
        <v>167</v>
      </c>
      <c r="F2228" s="45" t="s">
        <v>18158</v>
      </c>
      <c r="G2228" s="45" t="s">
        <v>50592</v>
      </c>
      <c r="H2228" s="56"/>
      <c r="I2228" s="56" t="s">
        <v>50564</v>
      </c>
      <c r="J2228" s="56"/>
      <c r="K2228" s="50"/>
      <c r="L2228" s="56" t="s">
        <v>56716</v>
      </c>
    </row>
    <row r="2229" spans="1:12" s="37" customFormat="1" ht="11.25" x14ac:dyDescent="0.2">
      <c r="A2229" s="46" t="s">
        <v>10228</v>
      </c>
      <c r="B2229" s="46" t="s">
        <v>10228</v>
      </c>
      <c r="C2229" s="58" t="str">
        <f>"17103568"</f>
        <v>17103568</v>
      </c>
      <c r="D2229" s="58" t="str">
        <f>"21625220"</f>
        <v>21625220</v>
      </c>
      <c r="E2229" s="46" t="s">
        <v>28</v>
      </c>
      <c r="F2229" s="46" t="s">
        <v>17759</v>
      </c>
      <c r="G2229" s="46" t="s">
        <v>50584</v>
      </c>
      <c r="H2229" s="48" t="s">
        <v>56716</v>
      </c>
      <c r="I2229" s="48" t="s">
        <v>50564</v>
      </c>
      <c r="J2229" s="48" t="s">
        <v>56716</v>
      </c>
      <c r="K2229" s="50"/>
      <c r="L2229" s="48" t="s">
        <v>56716</v>
      </c>
    </row>
    <row r="2230" spans="1:12" s="37" customFormat="1" ht="11.25" x14ac:dyDescent="0.2">
      <c r="A2230" s="46" t="s">
        <v>14091</v>
      </c>
      <c r="B2230" s="46" t="s">
        <v>52137</v>
      </c>
      <c r="C2230" s="58" t="str">
        <f>"19381972"</f>
        <v>19381972</v>
      </c>
      <c r="D2230" s="58" t="str">
        <f>"19381980"</f>
        <v>19381980</v>
      </c>
      <c r="E2230" s="46" t="s">
        <v>669</v>
      </c>
      <c r="F2230" s="46" t="s">
        <v>17759</v>
      </c>
      <c r="G2230" s="46" t="s">
        <v>50584</v>
      </c>
      <c r="H2230" s="48" t="s">
        <v>56716</v>
      </c>
      <c r="I2230" s="48" t="s">
        <v>50564</v>
      </c>
      <c r="J2230" s="48"/>
      <c r="K2230" s="50"/>
      <c r="L2230" s="48"/>
    </row>
    <row r="2231" spans="1:12" s="37" customFormat="1" ht="11.25" x14ac:dyDescent="0.2">
      <c r="A2231" s="46" t="s">
        <v>10446</v>
      </c>
      <c r="B2231" s="46" t="s">
        <v>52138</v>
      </c>
      <c r="C2231" s="58" t="str">
        <f>"17307201"</f>
        <v>17307201</v>
      </c>
      <c r="D2231" s="58" t="str">
        <f>""</f>
        <v/>
      </c>
      <c r="E2231" s="46" t="s">
        <v>6797</v>
      </c>
      <c r="F2231" s="46" t="s">
        <v>17967</v>
      </c>
      <c r="G2231" s="46" t="s">
        <v>50613</v>
      </c>
      <c r="H2231" s="48" t="s">
        <v>56716</v>
      </c>
      <c r="I2231" s="48" t="s">
        <v>50564</v>
      </c>
      <c r="J2231" s="48"/>
      <c r="K2231" s="50"/>
      <c r="L2231" s="48"/>
    </row>
    <row r="2232" spans="1:12" s="37" customFormat="1" ht="11.25" x14ac:dyDescent="0.2">
      <c r="A2232" s="46" t="s">
        <v>1370</v>
      </c>
      <c r="B2232" s="46" t="s">
        <v>52139</v>
      </c>
      <c r="C2232" s="58" t="str">
        <f>"01854038"</f>
        <v>01854038</v>
      </c>
      <c r="D2232" s="58" t="str">
        <f>""</f>
        <v/>
      </c>
      <c r="E2232" s="46" t="s">
        <v>1372</v>
      </c>
      <c r="F2232" s="46" t="s">
        <v>18411</v>
      </c>
      <c r="G2232" s="46" t="s">
        <v>50632</v>
      </c>
      <c r="H2232" s="48" t="s">
        <v>56716</v>
      </c>
      <c r="I2232" s="48" t="s">
        <v>50564</v>
      </c>
      <c r="J2232" s="48"/>
      <c r="K2232" s="50"/>
      <c r="L2232" s="48"/>
    </row>
    <row r="2233" spans="1:12" s="37" customFormat="1" ht="11.25" x14ac:dyDescent="0.2">
      <c r="A2233" s="46" t="s">
        <v>1440</v>
      </c>
      <c r="B2233" s="46" t="s">
        <v>52140</v>
      </c>
      <c r="C2233" s="58" t="str">
        <f>"07338635"</f>
        <v>07338635</v>
      </c>
      <c r="D2233" s="58" t="str">
        <f>"15580520"</f>
        <v>15580520</v>
      </c>
      <c r="E2233" s="46" t="s">
        <v>303</v>
      </c>
      <c r="F2233" s="46" t="s">
        <v>17759</v>
      </c>
      <c r="G2233" s="46" t="s">
        <v>50584</v>
      </c>
      <c r="H2233" s="48" t="s">
        <v>56716</v>
      </c>
      <c r="I2233" s="48" t="s">
        <v>50564</v>
      </c>
      <c r="J2233" s="48" t="s">
        <v>56716</v>
      </c>
      <c r="K2233" s="50" t="s">
        <v>56716</v>
      </c>
      <c r="L2233" s="48" t="s">
        <v>56716</v>
      </c>
    </row>
    <row r="2234" spans="1:12" s="37" customFormat="1" ht="11.25" x14ac:dyDescent="0.2">
      <c r="A2234" s="46" t="s">
        <v>6493</v>
      </c>
      <c r="B2234" s="46" t="s">
        <v>52141</v>
      </c>
      <c r="C2234" s="58" t="str">
        <f>"10760512"</f>
        <v>10760512</v>
      </c>
      <c r="D2234" s="58" t="str">
        <f>"15244725"</f>
        <v>15244725</v>
      </c>
      <c r="E2234" s="46" t="s">
        <v>28</v>
      </c>
      <c r="F2234" s="46" t="s">
        <v>17759</v>
      </c>
      <c r="G2234" s="46" t="s">
        <v>50584</v>
      </c>
      <c r="H2234" s="48" t="s">
        <v>56716</v>
      </c>
      <c r="I2234" s="48" t="s">
        <v>50564</v>
      </c>
      <c r="J2234" s="48" t="s">
        <v>56716</v>
      </c>
      <c r="K2234" s="50"/>
      <c r="L2234" s="48" t="s">
        <v>56716</v>
      </c>
    </row>
    <row r="2235" spans="1:12" s="37" customFormat="1" ht="11.25" x14ac:dyDescent="0.2">
      <c r="A2235" s="46" t="s">
        <v>7492</v>
      </c>
      <c r="B2235" s="46" t="s">
        <v>52142</v>
      </c>
      <c r="C2235" s="58" t="str">
        <f>"13960296"</f>
        <v>13960296</v>
      </c>
      <c r="D2235" s="58" t="str">
        <f>"15298019"</f>
        <v>15298019</v>
      </c>
      <c r="E2235" s="46" t="s">
        <v>548</v>
      </c>
      <c r="F2235" s="46" t="s">
        <v>17759</v>
      </c>
      <c r="G2235" s="46" t="s">
        <v>50584</v>
      </c>
      <c r="H2235" s="48" t="s">
        <v>56716</v>
      </c>
      <c r="I2235" s="48" t="s">
        <v>50564</v>
      </c>
      <c r="J2235" s="48"/>
      <c r="K2235" s="50" t="s">
        <v>56716</v>
      </c>
      <c r="L2235" s="48" t="s">
        <v>56716</v>
      </c>
    </row>
    <row r="2236" spans="1:12" s="37" customFormat="1" ht="11.25" x14ac:dyDescent="0.2">
      <c r="A2236" s="46" t="s">
        <v>9985</v>
      </c>
      <c r="B2236" s="46" t="s">
        <v>52143</v>
      </c>
      <c r="C2236" s="58" t="str">
        <f>"10278117"</f>
        <v>10278117</v>
      </c>
      <c r="D2236" s="58" t="str">
        <f>"2223330X"</f>
        <v>2223330X</v>
      </c>
      <c r="E2236" s="46" t="s">
        <v>155</v>
      </c>
      <c r="F2236" s="46" t="s">
        <v>50646</v>
      </c>
      <c r="G2236" s="46" t="s">
        <v>50585</v>
      </c>
      <c r="H2236" s="48" t="s">
        <v>56716</v>
      </c>
      <c r="I2236" s="48" t="s">
        <v>50564</v>
      </c>
      <c r="J2236" s="48"/>
      <c r="K2236" s="50" t="s">
        <v>56716</v>
      </c>
      <c r="L2236" s="48"/>
    </row>
    <row r="2237" spans="1:12" s="37" customFormat="1" ht="11.25" x14ac:dyDescent="0.2">
      <c r="A2237" s="46" t="s">
        <v>8402</v>
      </c>
      <c r="B2237" s="46" t="s">
        <v>52144</v>
      </c>
      <c r="C2237" s="58" t="str">
        <f>"1438776X"</f>
        <v>1438776X</v>
      </c>
      <c r="D2237" s="58" t="str">
        <f>""</f>
        <v/>
      </c>
      <c r="E2237" s="46" t="s">
        <v>437</v>
      </c>
      <c r="F2237" s="46" t="s">
        <v>18158</v>
      </c>
      <c r="G2237" s="46" t="s">
        <v>50593</v>
      </c>
      <c r="H2237" s="48" t="s">
        <v>56716</v>
      </c>
      <c r="I2237" s="48" t="s">
        <v>50564</v>
      </c>
      <c r="J2237" s="48"/>
      <c r="K2237" s="50"/>
      <c r="L2237" s="48"/>
    </row>
    <row r="2238" spans="1:12" s="37" customFormat="1" ht="11.25" x14ac:dyDescent="0.2">
      <c r="A2238" s="46" t="s">
        <v>5790</v>
      </c>
      <c r="B2238" s="46" t="s">
        <v>5790</v>
      </c>
      <c r="C2238" s="58" t="str">
        <f>"10188665"</f>
        <v>10188665</v>
      </c>
      <c r="D2238" s="58" t="str">
        <f>"14219832"</f>
        <v>14219832</v>
      </c>
      <c r="E2238" s="46" t="s">
        <v>109</v>
      </c>
      <c r="F2238" s="46" t="s">
        <v>18123</v>
      </c>
      <c r="G2238" s="46" t="s">
        <v>50584</v>
      </c>
      <c r="H2238" s="48" t="s">
        <v>56716</v>
      </c>
      <c r="I2238" s="48" t="s">
        <v>50564</v>
      </c>
      <c r="J2238" s="48" t="s">
        <v>56716</v>
      </c>
      <c r="K2238" s="50" t="s">
        <v>56716</v>
      </c>
      <c r="L2238" s="48" t="s">
        <v>56716</v>
      </c>
    </row>
    <row r="2239" spans="1:12" s="37" customFormat="1" ht="11.25" x14ac:dyDescent="0.2">
      <c r="A2239" s="46" t="s">
        <v>15799</v>
      </c>
      <c r="B2239" s="46" t="s">
        <v>52142</v>
      </c>
      <c r="C2239" s="58" t="str">
        <f>"21938210"</f>
        <v>21938210</v>
      </c>
      <c r="D2239" s="58" t="str">
        <f>"21909172"</f>
        <v>21909172</v>
      </c>
      <c r="E2239" s="46" t="s">
        <v>17556</v>
      </c>
      <c r="F2239" s="46" t="s">
        <v>50646</v>
      </c>
      <c r="G2239" s="46" t="s">
        <v>50584</v>
      </c>
      <c r="H2239" s="48" t="s">
        <v>56716</v>
      </c>
      <c r="I2239" s="48" t="s">
        <v>50564</v>
      </c>
      <c r="J2239" s="48" t="s">
        <v>56716</v>
      </c>
      <c r="K2239" s="50"/>
      <c r="L2239" s="48"/>
    </row>
    <row r="2240" spans="1:12" s="37" customFormat="1" ht="11.25" x14ac:dyDescent="0.2">
      <c r="A2240" s="46" t="s">
        <v>10138</v>
      </c>
      <c r="B2240" s="46" t="s">
        <v>52145</v>
      </c>
      <c r="C2240" s="58" t="str">
        <f>"10872108"</f>
        <v>10872108</v>
      </c>
      <c r="D2240" s="58" t="str">
        <f>""</f>
        <v/>
      </c>
      <c r="E2240" s="46" t="s">
        <v>10138</v>
      </c>
      <c r="F2240" s="46" t="s">
        <v>17759</v>
      </c>
      <c r="G2240" s="46" t="s">
        <v>50584</v>
      </c>
      <c r="H2240" s="48" t="s">
        <v>56716</v>
      </c>
      <c r="I2240" s="48" t="s">
        <v>50564</v>
      </c>
      <c r="J2240" s="48"/>
      <c r="K2240" s="50"/>
      <c r="L2240" s="48" t="s">
        <v>56716</v>
      </c>
    </row>
    <row r="2241" spans="1:12" s="37" customFormat="1" ht="11.25" x14ac:dyDescent="0.2">
      <c r="A2241" s="46" t="s">
        <v>14917</v>
      </c>
      <c r="B2241" s="46" t="s">
        <v>52146</v>
      </c>
      <c r="C2241" s="58" t="str">
        <f>"20367392"</f>
        <v>20367392</v>
      </c>
      <c r="D2241" s="58" t="str">
        <f>"20367406"</f>
        <v>20367406</v>
      </c>
      <c r="E2241" s="46" t="s">
        <v>1949</v>
      </c>
      <c r="F2241" s="46" t="s">
        <v>17991</v>
      </c>
      <c r="G2241" s="46" t="s">
        <v>50584</v>
      </c>
      <c r="H2241" s="48" t="s">
        <v>56716</v>
      </c>
      <c r="I2241" s="48" t="s">
        <v>50564</v>
      </c>
      <c r="J2241" s="48"/>
      <c r="K2241" s="50"/>
      <c r="L2241" s="48"/>
    </row>
    <row r="2242" spans="1:12" s="37" customFormat="1" ht="11.25" x14ac:dyDescent="0.2">
      <c r="A2242" s="46" t="s">
        <v>16302</v>
      </c>
      <c r="B2242" s="46" t="s">
        <v>52147</v>
      </c>
      <c r="C2242" s="58" t="str">
        <f>""</f>
        <v/>
      </c>
      <c r="D2242" s="58" t="str">
        <f>"16876113"</f>
        <v>16876113</v>
      </c>
      <c r="E2242" s="46" t="s">
        <v>1412</v>
      </c>
      <c r="F2242" s="46" t="s">
        <v>17759</v>
      </c>
      <c r="G2242" s="46" t="s">
        <v>50584</v>
      </c>
      <c r="H2242" s="48" t="s">
        <v>56716</v>
      </c>
      <c r="I2242" s="48" t="s">
        <v>50564</v>
      </c>
      <c r="J2242" s="48"/>
      <c r="K2242" s="50"/>
      <c r="L2242" s="48"/>
    </row>
    <row r="2243" spans="1:12" s="37" customFormat="1" ht="11.25" x14ac:dyDescent="0.2">
      <c r="A2243" s="46" t="s">
        <v>55930</v>
      </c>
      <c r="B2243" s="46" t="s">
        <v>55930</v>
      </c>
      <c r="C2243" s="58" t="str">
        <f>""</f>
        <v/>
      </c>
      <c r="D2243" s="58" t="str">
        <f>"22963529"</f>
        <v>22963529</v>
      </c>
      <c r="E2243" s="46" t="s">
        <v>109</v>
      </c>
      <c r="F2243" s="46" t="s">
        <v>18123</v>
      </c>
      <c r="G2243" s="46" t="s">
        <v>50584</v>
      </c>
      <c r="H2243" s="48" t="s">
        <v>56716</v>
      </c>
      <c r="I2243" s="48" t="s">
        <v>50564</v>
      </c>
      <c r="J2243" s="48" t="s">
        <v>56716</v>
      </c>
      <c r="K2243" s="50"/>
      <c r="L2243" s="48"/>
    </row>
    <row r="2244" spans="1:12" s="37" customFormat="1" ht="11.25" x14ac:dyDescent="0.2">
      <c r="A2244" s="46" t="s">
        <v>1341</v>
      </c>
      <c r="B2244" s="46" t="s">
        <v>52148</v>
      </c>
      <c r="C2244" s="58" t="str">
        <f>"00119857"</f>
        <v>00119857</v>
      </c>
      <c r="D2244" s="58" t="str">
        <f>""</f>
        <v/>
      </c>
      <c r="E2244" s="46" t="s">
        <v>1343</v>
      </c>
      <c r="F2244" s="46" t="s">
        <v>18158</v>
      </c>
      <c r="G2244" s="46" t="s">
        <v>50593</v>
      </c>
      <c r="H2244" s="48" t="s">
        <v>56716</v>
      </c>
      <c r="I2244" s="48" t="s">
        <v>50564</v>
      </c>
      <c r="J2244" s="48"/>
      <c r="K2244" s="50"/>
      <c r="L2244" s="48"/>
    </row>
    <row r="2245" spans="1:12" s="37" customFormat="1" ht="11.25" x14ac:dyDescent="0.2">
      <c r="A2245" s="46" t="s">
        <v>1428</v>
      </c>
      <c r="B2245" s="46" t="s">
        <v>52149</v>
      </c>
      <c r="C2245" s="58" t="str">
        <f>"00120472"</f>
        <v>00120472</v>
      </c>
      <c r="D2245" s="58" t="str">
        <f>"14394413"</f>
        <v>14394413</v>
      </c>
      <c r="E2245" s="46" t="s">
        <v>412</v>
      </c>
      <c r="F2245" s="46" t="s">
        <v>18158</v>
      </c>
      <c r="G2245" s="46" t="s">
        <v>50593</v>
      </c>
      <c r="H2245" s="48" t="s">
        <v>56716</v>
      </c>
      <c r="I2245" s="48" t="s">
        <v>50564</v>
      </c>
      <c r="J2245" s="48"/>
      <c r="K2245" s="50" t="s">
        <v>56716</v>
      </c>
      <c r="L2245" s="48" t="s">
        <v>56716</v>
      </c>
    </row>
    <row r="2246" spans="1:12" s="37" customFormat="1" ht="11.25" x14ac:dyDescent="0.2">
      <c r="A2246" s="46" t="s">
        <v>1449</v>
      </c>
      <c r="B2246" s="46" t="s">
        <v>52150</v>
      </c>
      <c r="C2246" s="58" t="str">
        <f>"04156412"</f>
        <v>04156412</v>
      </c>
      <c r="D2246" s="58" t="str">
        <f>"14394359"</f>
        <v>14394359</v>
      </c>
      <c r="E2246" s="46" t="s">
        <v>241</v>
      </c>
      <c r="F2246" s="46" t="s">
        <v>18158</v>
      </c>
      <c r="G2246" s="46" t="s">
        <v>50593</v>
      </c>
      <c r="H2246" s="48" t="s">
        <v>56716</v>
      </c>
      <c r="I2246" s="48" t="s">
        <v>50564</v>
      </c>
      <c r="J2246" s="48"/>
      <c r="K2246" s="50"/>
      <c r="L2246" s="48"/>
    </row>
    <row r="2247" spans="1:12" s="37" customFormat="1" ht="11.25" x14ac:dyDescent="0.2">
      <c r="A2247" s="46" t="s">
        <v>4469</v>
      </c>
      <c r="B2247" s="46" t="s">
        <v>52151</v>
      </c>
      <c r="C2247" s="58" t="str">
        <f>"16175891"</f>
        <v>16175891</v>
      </c>
      <c r="D2247" s="58" t="str">
        <f>"14390930"</f>
        <v>14390930</v>
      </c>
      <c r="E2247" s="46" t="s">
        <v>4472</v>
      </c>
      <c r="F2247" s="46" t="s">
        <v>18158</v>
      </c>
      <c r="G2247" s="46" t="s">
        <v>50592</v>
      </c>
      <c r="H2247" s="48" t="s">
        <v>56716</v>
      </c>
      <c r="I2247" s="48" t="s">
        <v>50564</v>
      </c>
      <c r="J2247" s="48"/>
      <c r="K2247" s="50"/>
      <c r="L2247" s="48"/>
    </row>
    <row r="2248" spans="1:12" s="37" customFormat="1" ht="11.25" x14ac:dyDescent="0.2">
      <c r="A2248" s="46" t="s">
        <v>17368</v>
      </c>
      <c r="B2248" s="46" t="s">
        <v>52152</v>
      </c>
      <c r="C2248" s="58" t="str">
        <f>"18660452"</f>
        <v>18660452</v>
      </c>
      <c r="D2248" s="58" t="str">
        <f>""</f>
        <v/>
      </c>
      <c r="E2248" s="46" t="s">
        <v>4131</v>
      </c>
      <c r="F2248" s="46" t="s">
        <v>18158</v>
      </c>
      <c r="G2248" s="46" t="s">
        <v>50584</v>
      </c>
      <c r="H2248" s="48" t="s">
        <v>56716</v>
      </c>
      <c r="I2248" s="48" t="s">
        <v>50564</v>
      </c>
      <c r="J2248" s="48"/>
      <c r="K2248" s="50"/>
      <c r="L2248" s="48" t="s">
        <v>56716</v>
      </c>
    </row>
    <row r="2249" spans="1:12" s="37" customFormat="1" ht="11.25" x14ac:dyDescent="0.2">
      <c r="A2249" s="45" t="s">
        <v>27129</v>
      </c>
      <c r="B2249" s="45" t="s">
        <v>27131</v>
      </c>
      <c r="C2249" s="51" t="s">
        <v>27133</v>
      </c>
      <c r="D2249" s="51" t="s">
        <v>27132</v>
      </c>
      <c r="E2249" s="45" t="s">
        <v>21146</v>
      </c>
      <c r="F2249" s="45" t="s">
        <v>50646</v>
      </c>
      <c r="G2249" s="45" t="s">
        <v>50584</v>
      </c>
      <c r="H2249" s="56"/>
      <c r="I2249" s="56" t="s">
        <v>50564</v>
      </c>
      <c r="J2249" s="56"/>
      <c r="K2249" s="50"/>
      <c r="L2249" s="56" t="s">
        <v>56716</v>
      </c>
    </row>
    <row r="2250" spans="1:12" s="37" customFormat="1" ht="11.25" x14ac:dyDescent="0.2">
      <c r="A2250" s="46" t="s">
        <v>4322</v>
      </c>
      <c r="B2250" s="46" t="s">
        <v>27138</v>
      </c>
      <c r="C2250" s="58" t="str">
        <f>"09501991"</f>
        <v>09501991</v>
      </c>
      <c r="D2250" s="58" t="str">
        <f>"14779129"</f>
        <v>14779129</v>
      </c>
      <c r="E2250" s="46" t="s">
        <v>2478</v>
      </c>
      <c r="F2250" s="46" t="s">
        <v>50646</v>
      </c>
      <c r="G2250" s="46" t="s">
        <v>50584</v>
      </c>
      <c r="H2250" s="48" t="s">
        <v>56716</v>
      </c>
      <c r="I2250" s="48" t="s">
        <v>50564</v>
      </c>
      <c r="J2250" s="48" t="s">
        <v>56716</v>
      </c>
      <c r="K2250" s="50"/>
      <c r="L2250" s="48" t="s">
        <v>56716</v>
      </c>
    </row>
    <row r="2251" spans="1:12" s="37" customFormat="1" ht="11.25" x14ac:dyDescent="0.2">
      <c r="A2251" s="45" t="s">
        <v>27143</v>
      </c>
      <c r="B2251" s="45" t="s">
        <v>27145</v>
      </c>
      <c r="C2251" s="51" t="s">
        <v>27147</v>
      </c>
      <c r="D2251" s="51" t="s">
        <v>27146</v>
      </c>
      <c r="E2251" s="45" t="s">
        <v>724</v>
      </c>
      <c r="F2251" s="45" t="s">
        <v>17759</v>
      </c>
      <c r="G2251" s="45" t="s">
        <v>50584</v>
      </c>
      <c r="H2251" s="56"/>
      <c r="I2251" s="56" t="s">
        <v>50564</v>
      </c>
      <c r="J2251" s="56"/>
      <c r="K2251" s="50"/>
      <c r="L2251" s="56" t="s">
        <v>56716</v>
      </c>
    </row>
    <row r="2252" spans="1:12" s="37" customFormat="1" ht="11.25" x14ac:dyDescent="0.2">
      <c r="A2252" s="46" t="s">
        <v>7134</v>
      </c>
      <c r="B2252" s="46" t="s">
        <v>52153</v>
      </c>
      <c r="C2252" s="58" t="str">
        <f>"0949944X"</f>
        <v>0949944X</v>
      </c>
      <c r="D2252" s="58" t="str">
        <f>"1432041X"</f>
        <v>1432041X</v>
      </c>
      <c r="E2252" s="46" t="s">
        <v>167</v>
      </c>
      <c r="F2252" s="46" t="s">
        <v>18158</v>
      </c>
      <c r="G2252" s="46" t="s">
        <v>50584</v>
      </c>
      <c r="H2252" s="48" t="s">
        <v>56716</v>
      </c>
      <c r="I2252" s="48" t="s">
        <v>50564</v>
      </c>
      <c r="J2252" s="48" t="s">
        <v>56716</v>
      </c>
      <c r="K2252" s="50" t="s">
        <v>56716</v>
      </c>
      <c r="L2252" s="48" t="s">
        <v>56716</v>
      </c>
    </row>
    <row r="2253" spans="1:12" s="37" customFormat="1" ht="11.25" x14ac:dyDescent="0.2">
      <c r="A2253" s="46" t="s">
        <v>1377</v>
      </c>
      <c r="B2253" s="46" t="s">
        <v>52154</v>
      </c>
      <c r="C2253" s="58" t="str">
        <f>"00121592"</f>
        <v>00121592</v>
      </c>
      <c r="D2253" s="58" t="str">
        <f>"1440169X"</f>
        <v>1440169X</v>
      </c>
      <c r="E2253" s="46" t="s">
        <v>296</v>
      </c>
      <c r="F2253" s="46" t="s">
        <v>20082</v>
      </c>
      <c r="G2253" s="46" t="s">
        <v>50584</v>
      </c>
      <c r="H2253" s="48" t="s">
        <v>56716</v>
      </c>
      <c r="I2253" s="48" t="s">
        <v>50564</v>
      </c>
      <c r="J2253" s="48"/>
      <c r="K2253" s="50" t="s">
        <v>56716</v>
      </c>
      <c r="L2253" s="48" t="s">
        <v>56716</v>
      </c>
    </row>
    <row r="2254" spans="1:12" s="37" customFormat="1" ht="11.25" x14ac:dyDescent="0.2">
      <c r="A2254" s="46" t="s">
        <v>1350</v>
      </c>
      <c r="B2254" s="46" t="s">
        <v>52155</v>
      </c>
      <c r="C2254" s="58" t="str">
        <f>"0145305X"</f>
        <v>0145305X</v>
      </c>
      <c r="D2254" s="58" t="str">
        <f>"18790089"</f>
        <v>18790089</v>
      </c>
      <c r="E2254" s="46" t="s">
        <v>155</v>
      </c>
      <c r="F2254" s="46" t="s">
        <v>50646</v>
      </c>
      <c r="G2254" s="46" t="s">
        <v>50584</v>
      </c>
      <c r="H2254" s="48" t="s">
        <v>56716</v>
      </c>
      <c r="I2254" s="48" t="s">
        <v>50564</v>
      </c>
      <c r="J2254" s="48" t="s">
        <v>56716</v>
      </c>
      <c r="K2254" s="50" t="s">
        <v>56716</v>
      </c>
      <c r="L2254" s="48" t="s">
        <v>56716</v>
      </c>
    </row>
    <row r="2255" spans="1:12" s="37" customFormat="1" ht="11.25" x14ac:dyDescent="0.2">
      <c r="A2255" s="46" t="s">
        <v>1364</v>
      </c>
      <c r="B2255" s="46" t="s">
        <v>52156</v>
      </c>
      <c r="C2255" s="58" t="str">
        <f>"00121606"</f>
        <v>00121606</v>
      </c>
      <c r="D2255" s="58" t="str">
        <f>"1095564X"</f>
        <v>1095564X</v>
      </c>
      <c r="E2255" s="46" t="s">
        <v>60</v>
      </c>
      <c r="F2255" s="46" t="s">
        <v>17759</v>
      </c>
      <c r="G2255" s="46" t="s">
        <v>50584</v>
      </c>
      <c r="H2255" s="48" t="s">
        <v>56716</v>
      </c>
      <c r="I2255" s="48" t="s">
        <v>50564</v>
      </c>
      <c r="J2255" s="48" t="s">
        <v>56716</v>
      </c>
      <c r="K2255" s="50" t="s">
        <v>56716</v>
      </c>
      <c r="L2255" s="48" t="s">
        <v>56716</v>
      </c>
    </row>
    <row r="2256" spans="1:12" s="37" customFormat="1" ht="11.25" x14ac:dyDescent="0.2">
      <c r="A2256" s="46" t="s">
        <v>9071</v>
      </c>
      <c r="B2256" s="46" t="s">
        <v>52157</v>
      </c>
      <c r="C2256" s="58" t="str">
        <f>"15345807"</f>
        <v>15345807</v>
      </c>
      <c r="D2256" s="58" t="str">
        <f>"18781551"</f>
        <v>18781551</v>
      </c>
      <c r="E2256" s="46" t="s">
        <v>324</v>
      </c>
      <c r="F2256" s="46" t="s">
        <v>17759</v>
      </c>
      <c r="G2256" s="46" t="s">
        <v>50584</v>
      </c>
      <c r="H2256" s="48" t="s">
        <v>56716</v>
      </c>
      <c r="I2256" s="48" t="s">
        <v>50564</v>
      </c>
      <c r="J2256" s="48" t="s">
        <v>56716</v>
      </c>
      <c r="K2256" s="50" t="s">
        <v>56716</v>
      </c>
      <c r="L2256" s="48" t="s">
        <v>56716</v>
      </c>
    </row>
    <row r="2257" spans="1:12" s="37" customFormat="1" ht="11.25" x14ac:dyDescent="0.2">
      <c r="A2257" s="46" t="s">
        <v>14711</v>
      </c>
      <c r="B2257" s="46" t="s">
        <v>52158</v>
      </c>
      <c r="C2257" s="58" t="str">
        <f>"18789293"</f>
        <v>18789293</v>
      </c>
      <c r="D2257" s="58" t="str">
        <f>"18789307"</f>
        <v>18789307</v>
      </c>
      <c r="E2257" s="46" t="s">
        <v>155</v>
      </c>
      <c r="F2257" s="46" t="s">
        <v>50646</v>
      </c>
      <c r="G2257" s="46" t="s">
        <v>50584</v>
      </c>
      <c r="H2257" s="48" t="s">
        <v>56716</v>
      </c>
      <c r="I2257" s="48" t="s">
        <v>50564</v>
      </c>
      <c r="J2257" s="48" t="s">
        <v>56716</v>
      </c>
      <c r="K2257" s="50" t="s">
        <v>56716</v>
      </c>
      <c r="L2257" s="48" t="s">
        <v>56716</v>
      </c>
    </row>
    <row r="2258" spans="1:12" s="37" customFormat="1" ht="11.25" x14ac:dyDescent="0.2">
      <c r="A2258" s="46" t="s">
        <v>12751</v>
      </c>
      <c r="B2258" s="46" t="s">
        <v>52159</v>
      </c>
      <c r="C2258" s="58" t="str">
        <f>"19405510"</f>
        <v>19405510</v>
      </c>
      <c r="D2258" s="58" t="str">
        <f>"19405529"</f>
        <v>19405529</v>
      </c>
      <c r="E2258" s="46" t="s">
        <v>517</v>
      </c>
      <c r="F2258" s="46" t="s">
        <v>17759</v>
      </c>
      <c r="G2258" s="46" t="s">
        <v>50584</v>
      </c>
      <c r="H2258" s="48" t="s">
        <v>56716</v>
      </c>
      <c r="I2258" s="48" t="s">
        <v>50564</v>
      </c>
      <c r="J2258" s="48" t="s">
        <v>56716</v>
      </c>
      <c r="K2258" s="50"/>
      <c r="L2258" s="48" t="s">
        <v>56716</v>
      </c>
    </row>
    <row r="2259" spans="1:12" s="37" customFormat="1" ht="11.25" x14ac:dyDescent="0.2">
      <c r="A2259" s="46" t="s">
        <v>5667</v>
      </c>
      <c r="B2259" s="46" t="s">
        <v>52160</v>
      </c>
      <c r="C2259" s="58" t="str">
        <f>"10588388"</f>
        <v>10588388</v>
      </c>
      <c r="D2259" s="58" t="str">
        <f>"10970177"</f>
        <v>10970177</v>
      </c>
      <c r="E2259" s="46" t="s">
        <v>517</v>
      </c>
      <c r="F2259" s="46" t="s">
        <v>17759</v>
      </c>
      <c r="G2259" s="46" t="s">
        <v>50584</v>
      </c>
      <c r="H2259" s="48" t="s">
        <v>56716</v>
      </c>
      <c r="I2259" s="48" t="s">
        <v>50564</v>
      </c>
      <c r="J2259" s="48" t="s">
        <v>56716</v>
      </c>
      <c r="K2259" s="50" t="s">
        <v>56716</v>
      </c>
      <c r="L2259" s="48" t="s">
        <v>56716</v>
      </c>
    </row>
    <row r="2260" spans="1:12" s="37" customFormat="1" ht="11.25" x14ac:dyDescent="0.2">
      <c r="A2260" s="46" t="s">
        <v>1414</v>
      </c>
      <c r="B2260" s="46" t="s">
        <v>52161</v>
      </c>
      <c r="C2260" s="58" t="str">
        <f>"00121622"</f>
        <v>00121622</v>
      </c>
      <c r="D2260" s="58" t="str">
        <f>"14698749"</f>
        <v>14698749</v>
      </c>
      <c r="E2260" s="46" t="s">
        <v>35</v>
      </c>
      <c r="F2260" s="46" t="s">
        <v>50646</v>
      </c>
      <c r="G2260" s="46" t="s">
        <v>50584</v>
      </c>
      <c r="H2260" s="48" t="s">
        <v>56716</v>
      </c>
      <c r="I2260" s="48" t="s">
        <v>50564</v>
      </c>
      <c r="J2260" s="48" t="s">
        <v>56716</v>
      </c>
      <c r="K2260" s="50" t="s">
        <v>56716</v>
      </c>
      <c r="L2260" s="48" t="s">
        <v>56716</v>
      </c>
    </row>
    <row r="2261" spans="1:12" s="37" customFormat="1" ht="11.25" x14ac:dyDescent="0.2">
      <c r="A2261" s="46" t="s">
        <v>12097</v>
      </c>
      <c r="B2261" s="46" t="s">
        <v>52162</v>
      </c>
      <c r="C2261" s="58" t="str">
        <f>"19328451"</f>
        <v>19328451</v>
      </c>
      <c r="D2261" s="58" t="str">
        <f>"1932846X"</f>
        <v>1932846X</v>
      </c>
      <c r="E2261" s="46" t="s">
        <v>517</v>
      </c>
      <c r="F2261" s="46" t="s">
        <v>17759</v>
      </c>
      <c r="G2261" s="46" t="s">
        <v>50584</v>
      </c>
      <c r="H2261" s="48" t="s">
        <v>56716</v>
      </c>
      <c r="I2261" s="48" t="s">
        <v>50564</v>
      </c>
      <c r="J2261" s="48" t="s">
        <v>56716</v>
      </c>
      <c r="K2261" s="50" t="s">
        <v>56716</v>
      </c>
      <c r="L2261" s="48" t="s">
        <v>56716</v>
      </c>
    </row>
    <row r="2262" spans="1:12" s="37" customFormat="1" ht="11.25" x14ac:dyDescent="0.2">
      <c r="A2262" s="45" t="s">
        <v>27209</v>
      </c>
      <c r="B2262" s="45" t="s">
        <v>27211</v>
      </c>
      <c r="C2262" s="51" t="s">
        <v>27213</v>
      </c>
      <c r="D2262" s="51" t="s">
        <v>27212</v>
      </c>
      <c r="E2262" s="45" t="s">
        <v>291</v>
      </c>
      <c r="F2262" s="45" t="s">
        <v>50646</v>
      </c>
      <c r="G2262" s="45" t="s">
        <v>50584</v>
      </c>
      <c r="H2262" s="56"/>
      <c r="I2262" s="56" t="s">
        <v>50564</v>
      </c>
      <c r="J2262" s="56"/>
      <c r="K2262" s="50"/>
      <c r="L2262" s="56" t="s">
        <v>56716</v>
      </c>
    </row>
    <row r="2263" spans="1:12" s="37" customFormat="1" ht="11.25" x14ac:dyDescent="0.2">
      <c r="A2263" s="46" t="s">
        <v>11759</v>
      </c>
      <c r="B2263" s="46" t="s">
        <v>52163</v>
      </c>
      <c r="C2263" s="58" t="str">
        <f>"17518423"</f>
        <v>17518423</v>
      </c>
      <c r="D2263" s="58" t="str">
        <f>"17518431"</f>
        <v>17518431</v>
      </c>
      <c r="E2263" s="46" t="s">
        <v>291</v>
      </c>
      <c r="F2263" s="46" t="s">
        <v>50646</v>
      </c>
      <c r="G2263" s="46" t="s">
        <v>50584</v>
      </c>
      <c r="H2263" s="48" t="s">
        <v>56716</v>
      </c>
      <c r="I2263" s="48" t="s">
        <v>50564</v>
      </c>
      <c r="J2263" s="48" t="s">
        <v>56716</v>
      </c>
      <c r="K2263" s="50"/>
      <c r="L2263" s="48" t="s">
        <v>56716</v>
      </c>
    </row>
    <row r="2264" spans="1:12" s="37" customFormat="1" ht="11.25" x14ac:dyDescent="0.2">
      <c r="A2264" s="46" t="s">
        <v>1367</v>
      </c>
      <c r="B2264" s="46" t="s">
        <v>52164</v>
      </c>
      <c r="C2264" s="58" t="str">
        <f>"03785866"</f>
        <v>03785866</v>
      </c>
      <c r="D2264" s="58" t="str">
        <f>"14219859"</f>
        <v>14219859</v>
      </c>
      <c r="E2264" s="46" t="s">
        <v>109</v>
      </c>
      <c r="F2264" s="46" t="s">
        <v>18123</v>
      </c>
      <c r="G2264" s="46" t="s">
        <v>50584</v>
      </c>
      <c r="H2264" s="48" t="s">
        <v>56716</v>
      </c>
      <c r="I2264" s="48" t="s">
        <v>50564</v>
      </c>
      <c r="J2264" s="48" t="s">
        <v>56716</v>
      </c>
      <c r="K2264" s="50" t="s">
        <v>56716</v>
      </c>
      <c r="L2264" s="48" t="s">
        <v>56716</v>
      </c>
    </row>
    <row r="2265" spans="1:12" s="37" customFormat="1" ht="11.25" x14ac:dyDescent="0.2">
      <c r="A2265" s="45" t="s">
        <v>56553</v>
      </c>
      <c r="B2265" s="45" t="s">
        <v>56554</v>
      </c>
      <c r="C2265" s="51" t="s">
        <v>40582</v>
      </c>
      <c r="D2265" s="51"/>
      <c r="E2265" s="45" t="s">
        <v>56555</v>
      </c>
      <c r="F2265" s="45" t="s">
        <v>17967</v>
      </c>
      <c r="G2265" s="45" t="s">
        <v>50611</v>
      </c>
      <c r="H2265" s="56"/>
      <c r="I2265" s="56" t="s">
        <v>50564</v>
      </c>
      <c r="J2265" s="56"/>
      <c r="K2265" s="50"/>
      <c r="L2265" s="56" t="s">
        <v>56716</v>
      </c>
    </row>
    <row r="2266" spans="1:12" s="37" customFormat="1" ht="11.25" x14ac:dyDescent="0.2">
      <c r="A2266" s="45" t="s">
        <v>27225</v>
      </c>
      <c r="B2266" s="45" t="s">
        <v>27227</v>
      </c>
      <c r="C2266" s="51" t="s">
        <v>27229</v>
      </c>
      <c r="D2266" s="51" t="s">
        <v>27228</v>
      </c>
      <c r="E2266" s="45" t="s">
        <v>18827</v>
      </c>
      <c r="F2266" s="45" t="s">
        <v>17759</v>
      </c>
      <c r="G2266" s="45" t="s">
        <v>50584</v>
      </c>
      <c r="H2266" s="56"/>
      <c r="I2266" s="56" t="s">
        <v>50564</v>
      </c>
      <c r="J2266" s="56"/>
      <c r="K2266" s="50"/>
      <c r="L2266" s="56" t="s">
        <v>56716</v>
      </c>
    </row>
    <row r="2267" spans="1:12" s="37" customFormat="1" ht="11.25" x14ac:dyDescent="0.2">
      <c r="A2267" s="45" t="s">
        <v>27232</v>
      </c>
      <c r="B2267" s="45" t="s">
        <v>27234</v>
      </c>
      <c r="C2267" s="51" t="s">
        <v>27236</v>
      </c>
      <c r="D2267" s="51" t="s">
        <v>27235</v>
      </c>
      <c r="E2267" s="45" t="s">
        <v>19767</v>
      </c>
      <c r="F2267" s="45" t="s">
        <v>17759</v>
      </c>
      <c r="G2267" s="45" t="s">
        <v>50584</v>
      </c>
      <c r="H2267" s="56"/>
      <c r="I2267" s="56" t="s">
        <v>50564</v>
      </c>
      <c r="J2267" s="56"/>
      <c r="K2267" s="50"/>
      <c r="L2267" s="56" t="s">
        <v>56716</v>
      </c>
    </row>
    <row r="2268" spans="1:12" s="37" customFormat="1" ht="11.25" x14ac:dyDescent="0.2">
      <c r="A2268" s="45" t="s">
        <v>27239</v>
      </c>
      <c r="B2268" s="45" t="s">
        <v>27241</v>
      </c>
      <c r="C2268" s="51" t="s">
        <v>27243</v>
      </c>
      <c r="D2268" s="51" t="s">
        <v>27242</v>
      </c>
      <c r="E2268" s="45" t="s">
        <v>24794</v>
      </c>
      <c r="F2268" s="45" t="s">
        <v>50646</v>
      </c>
      <c r="G2268" s="45" t="s">
        <v>50584</v>
      </c>
      <c r="H2268" s="56"/>
      <c r="I2268" s="56" t="s">
        <v>50564</v>
      </c>
      <c r="J2268" s="56"/>
      <c r="K2268" s="50"/>
      <c r="L2268" s="56" t="s">
        <v>56716</v>
      </c>
    </row>
    <row r="2269" spans="1:12" s="37" customFormat="1" ht="11.25" x14ac:dyDescent="0.2">
      <c r="A2269" s="46" t="s">
        <v>10827</v>
      </c>
      <c r="B2269" s="46" t="s">
        <v>52156</v>
      </c>
      <c r="C2269" s="58" t="str">
        <f>"14246074"</f>
        <v>14246074</v>
      </c>
      <c r="D2269" s="58" t="str">
        <f>"16622960"</f>
        <v>16622960</v>
      </c>
      <c r="E2269" s="46" t="s">
        <v>109</v>
      </c>
      <c r="F2269" s="46" t="s">
        <v>18123</v>
      </c>
      <c r="G2269" s="46" t="s">
        <v>50584</v>
      </c>
      <c r="H2269" s="48" t="s">
        <v>56716</v>
      </c>
      <c r="I2269" s="48" t="s">
        <v>50565</v>
      </c>
      <c r="J2269" s="48" t="s">
        <v>56716</v>
      </c>
      <c r="K2269" s="50"/>
      <c r="L2269" s="48" t="s">
        <v>56716</v>
      </c>
    </row>
    <row r="2270" spans="1:12" s="37" customFormat="1" ht="11.25" x14ac:dyDescent="0.2">
      <c r="A2270" s="45" t="s">
        <v>27250</v>
      </c>
      <c r="B2270" s="45" t="s">
        <v>27252</v>
      </c>
      <c r="C2270" s="51" t="s">
        <v>27253</v>
      </c>
      <c r="D2270" s="51"/>
      <c r="E2270" s="45" t="s">
        <v>18876</v>
      </c>
      <c r="F2270" s="45" t="s">
        <v>18001</v>
      </c>
      <c r="G2270" s="45" t="s">
        <v>50584</v>
      </c>
      <c r="H2270" s="56"/>
      <c r="I2270" s="56" t="s">
        <v>50564</v>
      </c>
      <c r="J2270" s="56"/>
      <c r="K2270" s="50"/>
      <c r="L2270" s="56" t="s">
        <v>56716</v>
      </c>
    </row>
    <row r="2271" spans="1:12" s="37" customFormat="1" ht="11.25" x14ac:dyDescent="0.2">
      <c r="A2271" s="45" t="s">
        <v>27255</v>
      </c>
      <c r="B2271" s="45" t="s">
        <v>27257</v>
      </c>
      <c r="C2271" s="51" t="s">
        <v>27260</v>
      </c>
      <c r="D2271" s="51" t="s">
        <v>27259</v>
      </c>
      <c r="E2271" s="45" t="s">
        <v>18122</v>
      </c>
      <c r="F2271" s="45" t="s">
        <v>18123</v>
      </c>
      <c r="G2271" s="45" t="s">
        <v>50584</v>
      </c>
      <c r="H2271" s="56"/>
      <c r="I2271" s="56" t="s">
        <v>50564</v>
      </c>
      <c r="J2271" s="56"/>
      <c r="K2271" s="50"/>
      <c r="L2271" s="56" t="s">
        <v>56716</v>
      </c>
    </row>
    <row r="2272" spans="1:12" s="37" customFormat="1" ht="11.25" x14ac:dyDescent="0.2">
      <c r="A2272" s="46" t="s">
        <v>11824</v>
      </c>
      <c r="B2272" s="46" t="s">
        <v>52165</v>
      </c>
      <c r="C2272" s="58" t="str">
        <f>"18161820"</f>
        <v>18161820</v>
      </c>
      <c r="D2272" s="58" t="str">
        <f>"18161839"</f>
        <v>18161839</v>
      </c>
      <c r="E2272" s="46" t="s">
        <v>11827</v>
      </c>
      <c r="F2272" s="46" t="s">
        <v>22024</v>
      </c>
      <c r="G2272" s="46" t="s">
        <v>50584</v>
      </c>
      <c r="H2272" s="48" t="s">
        <v>56716</v>
      </c>
      <c r="I2272" s="48" t="s">
        <v>50564</v>
      </c>
      <c r="J2272" s="48"/>
      <c r="K2272" s="50"/>
      <c r="L2272" s="48"/>
    </row>
    <row r="2273" spans="1:12" s="37" customFormat="1" ht="11.25" x14ac:dyDescent="0.2">
      <c r="A2273" s="46" t="s">
        <v>1386</v>
      </c>
      <c r="B2273" s="46" t="s">
        <v>1386</v>
      </c>
      <c r="C2273" s="58" t="str">
        <f>"00121797"</f>
        <v>00121797</v>
      </c>
      <c r="D2273" s="58" t="str">
        <f>"1939327X"</f>
        <v>1939327X</v>
      </c>
      <c r="E2273" s="46" t="s">
        <v>1389</v>
      </c>
      <c r="F2273" s="46" t="s">
        <v>17759</v>
      </c>
      <c r="G2273" s="46" t="s">
        <v>50584</v>
      </c>
      <c r="H2273" s="48" t="s">
        <v>56716</v>
      </c>
      <c r="I2273" s="48" t="s">
        <v>50564</v>
      </c>
      <c r="J2273" s="48" t="s">
        <v>56716</v>
      </c>
      <c r="K2273" s="50"/>
      <c r="L2273" s="48" t="s">
        <v>56716</v>
      </c>
    </row>
    <row r="2274" spans="1:12" s="37" customFormat="1" ht="11.25" x14ac:dyDescent="0.2">
      <c r="A2274" s="46" t="s">
        <v>15099</v>
      </c>
      <c r="B2274" s="46" t="s">
        <v>15099</v>
      </c>
      <c r="C2274" s="58" t="str">
        <f>"18616089"</f>
        <v>18616089</v>
      </c>
      <c r="D2274" s="58" t="str">
        <f>"18641733"</f>
        <v>18641733</v>
      </c>
      <c r="E2274" s="46" t="s">
        <v>6863</v>
      </c>
      <c r="F2274" s="46" t="s">
        <v>18158</v>
      </c>
      <c r="G2274" s="46" t="s">
        <v>50593</v>
      </c>
      <c r="H2274" s="48" t="s">
        <v>56716</v>
      </c>
      <c r="I2274" s="48" t="s">
        <v>50564</v>
      </c>
      <c r="J2274" s="48"/>
      <c r="K2274" s="50"/>
      <c r="L2274" s="48"/>
    </row>
    <row r="2275" spans="1:12" s="37" customFormat="1" ht="11.25" x14ac:dyDescent="0.2">
      <c r="A2275" s="46" t="s">
        <v>12068</v>
      </c>
      <c r="B2275" s="46" t="s">
        <v>52166</v>
      </c>
      <c r="C2275" s="58" t="str">
        <f>"18714021"</f>
        <v>18714021</v>
      </c>
      <c r="D2275" s="58" t="str">
        <f>"18780334"</f>
        <v>18780334</v>
      </c>
      <c r="E2275" s="46" t="s">
        <v>155</v>
      </c>
      <c r="F2275" s="46" t="s">
        <v>50646</v>
      </c>
      <c r="G2275" s="46" t="s">
        <v>50584</v>
      </c>
      <c r="H2275" s="48" t="s">
        <v>56716</v>
      </c>
      <c r="I2275" s="48" t="s">
        <v>50564</v>
      </c>
      <c r="J2275" s="48" t="s">
        <v>56716</v>
      </c>
      <c r="K2275" s="50" t="s">
        <v>56716</v>
      </c>
      <c r="L2275" s="48" t="s">
        <v>56716</v>
      </c>
    </row>
    <row r="2276" spans="1:12" s="37" customFormat="1" ht="11.25" x14ac:dyDescent="0.2">
      <c r="A2276" s="46" t="s">
        <v>7122</v>
      </c>
      <c r="B2276" s="46" t="s">
        <v>52167</v>
      </c>
      <c r="C2276" s="58" t="str">
        <f>"12623636"</f>
        <v>12623636</v>
      </c>
      <c r="D2276" s="58" t="str">
        <f>"18781780"</f>
        <v>18781780</v>
      </c>
      <c r="E2276" s="46" t="s">
        <v>85</v>
      </c>
      <c r="F2276" s="46" t="s">
        <v>20359</v>
      </c>
      <c r="G2276" s="46" t="s">
        <v>50590</v>
      </c>
      <c r="H2276" s="48" t="s">
        <v>56716</v>
      </c>
      <c r="I2276" s="48" t="s">
        <v>50564</v>
      </c>
      <c r="J2276" s="48"/>
      <c r="K2276" s="50" t="s">
        <v>56716</v>
      </c>
      <c r="L2276" s="48" t="s">
        <v>56716</v>
      </c>
    </row>
    <row r="2277" spans="1:12" s="37" customFormat="1" ht="11.25" x14ac:dyDescent="0.2">
      <c r="A2277" s="46" t="s">
        <v>16320</v>
      </c>
      <c r="B2277" s="46" t="s">
        <v>52168</v>
      </c>
      <c r="C2277" s="58" t="str">
        <f>"22336079"</f>
        <v>22336079</v>
      </c>
      <c r="D2277" s="58" t="str">
        <f>"22336087"</f>
        <v>22336087</v>
      </c>
      <c r="E2277" s="46" t="s">
        <v>16323</v>
      </c>
      <c r="F2277" s="46" t="s">
        <v>50649</v>
      </c>
      <c r="G2277" s="46" t="s">
        <v>50584</v>
      </c>
      <c r="H2277" s="48" t="s">
        <v>56716</v>
      </c>
      <c r="I2277" s="48" t="s">
        <v>50564</v>
      </c>
      <c r="J2277" s="48"/>
      <c r="K2277" s="50"/>
      <c r="L2277" s="48"/>
    </row>
    <row r="2278" spans="1:12" s="37" customFormat="1" ht="11.25" x14ac:dyDescent="0.2">
      <c r="A2278" s="46" t="s">
        <v>10603</v>
      </c>
      <c r="B2278" s="46" t="s">
        <v>52169</v>
      </c>
      <c r="C2278" s="58" t="str">
        <f>"14791641"</f>
        <v>14791641</v>
      </c>
      <c r="D2278" s="58" t="str">
        <f>"17528984"</f>
        <v>17528984</v>
      </c>
      <c r="E2278" s="46" t="s">
        <v>97</v>
      </c>
      <c r="F2278" s="46" t="s">
        <v>50646</v>
      </c>
      <c r="G2278" s="46" t="s">
        <v>50584</v>
      </c>
      <c r="H2278" s="48" t="s">
        <v>56716</v>
      </c>
      <c r="I2278" s="48" t="s">
        <v>50564</v>
      </c>
      <c r="J2278" s="48"/>
      <c r="K2278" s="50"/>
      <c r="L2278" s="48" t="s">
        <v>56716</v>
      </c>
    </row>
    <row r="2279" spans="1:12" s="37" customFormat="1" ht="11.25" x14ac:dyDescent="0.2">
      <c r="A2279" s="46" t="s">
        <v>1390</v>
      </c>
      <c r="B2279" s="46" t="s">
        <v>1390</v>
      </c>
      <c r="C2279" s="58" t="str">
        <f>"01495992"</f>
        <v>01495992</v>
      </c>
      <c r="D2279" s="58" t="str">
        <f>"19355548"</f>
        <v>19355548</v>
      </c>
      <c r="E2279" s="46" t="s">
        <v>1389</v>
      </c>
      <c r="F2279" s="46" t="s">
        <v>17759</v>
      </c>
      <c r="G2279" s="46" t="s">
        <v>50584</v>
      </c>
      <c r="H2279" s="48" t="s">
        <v>56716</v>
      </c>
      <c r="I2279" s="48" t="s">
        <v>50564</v>
      </c>
      <c r="J2279" s="48"/>
      <c r="K2279" s="50"/>
      <c r="L2279" s="48" t="s">
        <v>56716</v>
      </c>
    </row>
    <row r="2280" spans="1:12" s="37" customFormat="1" ht="11.25" x14ac:dyDescent="0.2">
      <c r="A2280" s="45" t="s">
        <v>27293</v>
      </c>
      <c r="B2280" s="45" t="s">
        <v>27295</v>
      </c>
      <c r="C2280" s="51" t="s">
        <v>27297</v>
      </c>
      <c r="D2280" s="51"/>
      <c r="E2280" s="45" t="s">
        <v>27264</v>
      </c>
      <c r="F2280" s="45" t="s">
        <v>17759</v>
      </c>
      <c r="G2280" s="45" t="s">
        <v>50584</v>
      </c>
      <c r="H2280" s="56"/>
      <c r="I2280" s="56" t="s">
        <v>50564</v>
      </c>
      <c r="J2280" s="56"/>
      <c r="K2280" s="50"/>
      <c r="L2280" s="56" t="s">
        <v>56716</v>
      </c>
    </row>
    <row r="2281" spans="1:12" s="37" customFormat="1" ht="11.25" x14ac:dyDescent="0.2">
      <c r="A2281" s="46" t="s">
        <v>16734</v>
      </c>
      <c r="B2281" s="46" t="s">
        <v>52170</v>
      </c>
      <c r="C2281" s="58" t="str">
        <f>"1856965X"</f>
        <v>1856965X</v>
      </c>
      <c r="D2281" s="58" t="str">
        <f>""</f>
        <v/>
      </c>
      <c r="E2281" s="46" t="s">
        <v>16736</v>
      </c>
      <c r="F2281" s="46" t="s">
        <v>21505</v>
      </c>
      <c r="G2281" s="46" t="s">
        <v>50632</v>
      </c>
      <c r="H2281" s="48" t="s">
        <v>56716</v>
      </c>
      <c r="I2281" s="48" t="s">
        <v>50564</v>
      </c>
      <c r="J2281" s="48"/>
      <c r="K2281" s="50"/>
      <c r="L2281" s="48"/>
    </row>
    <row r="2282" spans="1:12" s="37" customFormat="1" ht="11.25" x14ac:dyDescent="0.2">
      <c r="A2282" s="46" t="s">
        <v>15654</v>
      </c>
      <c r="B2282" s="46" t="s">
        <v>52171</v>
      </c>
      <c r="C2282" s="58" t="str">
        <f>"17581907"</f>
        <v>17581907</v>
      </c>
      <c r="D2282" s="58" t="str">
        <f>"17581915"</f>
        <v>17581915</v>
      </c>
      <c r="E2282" s="46" t="s">
        <v>8442</v>
      </c>
      <c r="F2282" s="46" t="s">
        <v>50646</v>
      </c>
      <c r="G2282" s="46" t="s">
        <v>50584</v>
      </c>
      <c r="H2282" s="48" t="s">
        <v>56716</v>
      </c>
      <c r="I2282" s="48" t="s">
        <v>50564</v>
      </c>
      <c r="J2282" s="48" t="s">
        <v>56716</v>
      </c>
      <c r="K2282" s="50"/>
      <c r="L2282" s="48"/>
    </row>
    <row r="2283" spans="1:12" s="37" customFormat="1" ht="11.25" x14ac:dyDescent="0.2">
      <c r="A2283" s="46" t="s">
        <v>16342</v>
      </c>
      <c r="B2283" s="46" t="s">
        <v>16342</v>
      </c>
      <c r="C2283" s="58" t="str">
        <f>"20720351"</f>
        <v>20720351</v>
      </c>
      <c r="D2283" s="58" t="str">
        <f>"20720378"</f>
        <v>20720378</v>
      </c>
      <c r="E2283" s="46" t="s">
        <v>16345</v>
      </c>
      <c r="F2283" s="46" t="s">
        <v>50653</v>
      </c>
      <c r="G2283" s="46" t="s">
        <v>50617</v>
      </c>
      <c r="H2283" s="48" t="s">
        <v>56716</v>
      </c>
      <c r="I2283" s="48" t="s">
        <v>50564</v>
      </c>
      <c r="J2283" s="48"/>
      <c r="K2283" s="50"/>
      <c r="L2283" s="48"/>
    </row>
    <row r="2284" spans="1:12" s="37" customFormat="1" ht="11.25" x14ac:dyDescent="0.2">
      <c r="A2284" s="46" t="s">
        <v>1434</v>
      </c>
      <c r="B2284" s="46" t="s">
        <v>52172</v>
      </c>
      <c r="C2284" s="58" t="str">
        <f>"01688227"</f>
        <v>01688227</v>
      </c>
      <c r="D2284" s="58" t="str">
        <f>"18728227"</f>
        <v>18728227</v>
      </c>
      <c r="E2284" s="46" t="s">
        <v>221</v>
      </c>
      <c r="F2284" s="46" t="s">
        <v>21771</v>
      </c>
      <c r="G2284" s="46" t="s">
        <v>50584</v>
      </c>
      <c r="H2284" s="48" t="s">
        <v>56716</v>
      </c>
      <c r="I2284" s="48" t="s">
        <v>50564</v>
      </c>
      <c r="J2284" s="48"/>
      <c r="K2284" s="50" t="s">
        <v>56716</v>
      </c>
      <c r="L2284" s="48" t="s">
        <v>56716</v>
      </c>
    </row>
    <row r="2285" spans="1:12" s="37" customFormat="1" ht="11.25" x14ac:dyDescent="0.2">
      <c r="A2285" s="45" t="s">
        <v>27304</v>
      </c>
      <c r="B2285" s="45" t="s">
        <v>27306</v>
      </c>
      <c r="C2285" s="51" t="s">
        <v>27307</v>
      </c>
      <c r="D2285" s="51"/>
      <c r="E2285" s="45" t="s">
        <v>27308</v>
      </c>
      <c r="F2285" s="45" t="s">
        <v>17759</v>
      </c>
      <c r="G2285" s="45" t="s">
        <v>50584</v>
      </c>
      <c r="H2285" s="56"/>
      <c r="I2285" s="56" t="s">
        <v>50564</v>
      </c>
      <c r="J2285" s="56"/>
      <c r="K2285" s="50"/>
      <c r="L2285" s="56" t="s">
        <v>56716</v>
      </c>
    </row>
    <row r="2286" spans="1:12" s="37" customFormat="1" ht="11.25" x14ac:dyDescent="0.2">
      <c r="A2286" s="46" t="s">
        <v>10426</v>
      </c>
      <c r="B2286" s="46" t="s">
        <v>52173</v>
      </c>
      <c r="C2286" s="58" t="str">
        <f>"10409165"</f>
        <v>10409165</v>
      </c>
      <c r="D2286" s="58" t="str">
        <f>"19447353"</f>
        <v>19447353</v>
      </c>
      <c r="E2286" s="46" t="s">
        <v>1389</v>
      </c>
      <c r="F2286" s="46" t="s">
        <v>17759</v>
      </c>
      <c r="G2286" s="46" t="s">
        <v>50584</v>
      </c>
      <c r="H2286" s="48" t="s">
        <v>56716</v>
      </c>
      <c r="I2286" s="48" t="s">
        <v>50564</v>
      </c>
      <c r="J2286" s="48"/>
      <c r="K2286" s="50"/>
      <c r="L2286" s="48"/>
    </row>
    <row r="2287" spans="1:12" s="37" customFormat="1" ht="11.25" x14ac:dyDescent="0.2">
      <c r="A2287" s="46" t="s">
        <v>8042</v>
      </c>
      <c r="B2287" s="46" t="s">
        <v>52174</v>
      </c>
      <c r="C2287" s="58" t="str">
        <f>"15209156"</f>
        <v>15209156</v>
      </c>
      <c r="D2287" s="58" t="str">
        <f>"15578593"</f>
        <v>15578593</v>
      </c>
      <c r="E2287" s="46" t="s">
        <v>4337</v>
      </c>
      <c r="F2287" s="46" t="s">
        <v>17759</v>
      </c>
      <c r="G2287" s="46" t="s">
        <v>50584</v>
      </c>
      <c r="H2287" s="48" t="s">
        <v>56716</v>
      </c>
      <c r="I2287" s="48" t="s">
        <v>50564</v>
      </c>
      <c r="J2287" s="48" t="s">
        <v>56716</v>
      </c>
      <c r="K2287" s="50"/>
      <c r="L2287" s="48" t="s">
        <v>56716</v>
      </c>
    </row>
    <row r="2288" spans="1:12" s="37" customFormat="1" ht="11.25" x14ac:dyDescent="0.2">
      <c r="A2288" s="46" t="s">
        <v>15290</v>
      </c>
      <c r="B2288" s="46" t="s">
        <v>52175</v>
      </c>
      <c r="C2288" s="58" t="str">
        <f>"18696953"</f>
        <v>18696953</v>
      </c>
      <c r="D2288" s="58" t="str">
        <f>"18696961"</f>
        <v>18696961</v>
      </c>
      <c r="E2288" s="46" t="s">
        <v>17556</v>
      </c>
      <c r="F2288" s="46" t="s">
        <v>50646</v>
      </c>
      <c r="G2288" s="46" t="s">
        <v>50584</v>
      </c>
      <c r="H2288" s="48" t="s">
        <v>56716</v>
      </c>
      <c r="I2288" s="48" t="s">
        <v>50564</v>
      </c>
      <c r="J2288" s="48" t="s">
        <v>56716</v>
      </c>
      <c r="K2288" s="50"/>
      <c r="L2288" s="48"/>
    </row>
    <row r="2289" spans="1:12" s="37" customFormat="1" ht="11.25" x14ac:dyDescent="0.2">
      <c r="A2289" s="46" t="s">
        <v>13956</v>
      </c>
      <c r="B2289" s="46" t="s">
        <v>52176</v>
      </c>
      <c r="C2289" s="58" t="str">
        <f>""</f>
        <v/>
      </c>
      <c r="D2289" s="58" t="str">
        <f>"11787007"</f>
        <v>11787007</v>
      </c>
      <c r="E2289" s="46" t="s">
        <v>11079</v>
      </c>
      <c r="F2289" s="46" t="s">
        <v>19483</v>
      </c>
      <c r="G2289" s="46" t="s">
        <v>50584</v>
      </c>
      <c r="H2289" s="48" t="s">
        <v>56716</v>
      </c>
      <c r="I2289" s="48" t="s">
        <v>50564</v>
      </c>
      <c r="J2289" s="48"/>
      <c r="K2289" s="50"/>
      <c r="L2289" s="48"/>
    </row>
    <row r="2290" spans="1:12" s="37" customFormat="1" ht="11.25" x14ac:dyDescent="0.2">
      <c r="A2290" s="46" t="s">
        <v>8166</v>
      </c>
      <c r="B2290" s="46" t="s">
        <v>52177</v>
      </c>
      <c r="C2290" s="58" t="str">
        <f>"14628902"</f>
        <v>14628902</v>
      </c>
      <c r="D2290" s="58" t="str">
        <f>"14631326"</f>
        <v>14631326</v>
      </c>
      <c r="E2290" s="46" t="s">
        <v>35</v>
      </c>
      <c r="F2290" s="46" t="s">
        <v>50646</v>
      </c>
      <c r="G2290" s="46" t="s">
        <v>50584</v>
      </c>
      <c r="H2290" s="48" t="s">
        <v>56716</v>
      </c>
      <c r="I2290" s="48" t="s">
        <v>50564</v>
      </c>
      <c r="J2290" s="48"/>
      <c r="K2290" s="50" t="s">
        <v>56716</v>
      </c>
      <c r="L2290" s="48" t="s">
        <v>56716</v>
      </c>
    </row>
    <row r="2291" spans="1:12" s="37" customFormat="1" ht="11.25" x14ac:dyDescent="0.2">
      <c r="A2291" s="46" t="s">
        <v>11613</v>
      </c>
      <c r="B2291" s="46" t="s">
        <v>52178</v>
      </c>
      <c r="C2291" s="58" t="str">
        <f>"18617603"</f>
        <v>18617603</v>
      </c>
      <c r="D2291" s="58" t="str">
        <f>""</f>
        <v/>
      </c>
      <c r="E2291" s="46" t="s">
        <v>11615</v>
      </c>
      <c r="F2291" s="46" t="s">
        <v>18158</v>
      </c>
      <c r="G2291" s="46" t="s">
        <v>50593</v>
      </c>
      <c r="H2291" s="48" t="s">
        <v>56716</v>
      </c>
      <c r="I2291" s="48" t="s">
        <v>50564</v>
      </c>
      <c r="J2291" s="48"/>
      <c r="K2291" s="50"/>
      <c r="L2291" s="48"/>
    </row>
    <row r="2292" spans="1:12" s="37" customFormat="1" ht="11.25" x14ac:dyDescent="0.2">
      <c r="A2292" s="46" t="s">
        <v>8143</v>
      </c>
      <c r="B2292" s="46" t="s">
        <v>52179</v>
      </c>
      <c r="C2292" s="58" t="str">
        <f>"15207552"</f>
        <v>15207552</v>
      </c>
      <c r="D2292" s="58" t="str">
        <f>"15207560"</f>
        <v>15207560</v>
      </c>
      <c r="E2292" s="46" t="s">
        <v>751</v>
      </c>
      <c r="F2292" s="46" t="s">
        <v>50646</v>
      </c>
      <c r="G2292" s="46" t="s">
        <v>50584</v>
      </c>
      <c r="H2292" s="48" t="s">
        <v>56716</v>
      </c>
      <c r="I2292" s="48" t="s">
        <v>50564</v>
      </c>
      <c r="J2292" s="48" t="s">
        <v>56716</v>
      </c>
      <c r="K2292" s="50" t="s">
        <v>56716</v>
      </c>
      <c r="L2292" s="48" t="s">
        <v>56716</v>
      </c>
    </row>
    <row r="2293" spans="1:12" s="37" customFormat="1" ht="11.25" x14ac:dyDescent="0.2">
      <c r="A2293" s="46" t="s">
        <v>15150</v>
      </c>
      <c r="B2293" s="46" t="s">
        <v>52180</v>
      </c>
      <c r="C2293" s="58" t="str">
        <f>""</f>
        <v/>
      </c>
      <c r="D2293" s="58" t="str">
        <f>"2000625X"</f>
        <v>2000625X</v>
      </c>
      <c r="E2293" s="46" t="s">
        <v>15152</v>
      </c>
      <c r="F2293" s="46" t="s">
        <v>18130</v>
      </c>
      <c r="G2293" s="46" t="s">
        <v>50584</v>
      </c>
      <c r="H2293" s="48" t="s">
        <v>56716</v>
      </c>
      <c r="I2293" s="48" t="s">
        <v>50564</v>
      </c>
      <c r="J2293" s="48"/>
      <c r="K2293" s="50"/>
      <c r="L2293" s="48"/>
    </row>
    <row r="2294" spans="1:12" s="37" customFormat="1" ht="11.25" x14ac:dyDescent="0.2">
      <c r="A2294" s="46" t="s">
        <v>14207</v>
      </c>
      <c r="B2294" s="46" t="s">
        <v>14207</v>
      </c>
      <c r="C2294" s="58" t="str">
        <f>""</f>
        <v/>
      </c>
      <c r="D2294" s="58" t="str">
        <f>"17572428"</f>
        <v>17572428</v>
      </c>
      <c r="E2294" s="46" t="s">
        <v>14209</v>
      </c>
      <c r="F2294" s="46" t="s">
        <v>50646</v>
      </c>
      <c r="G2294" s="46" t="s">
        <v>50584</v>
      </c>
      <c r="H2294" s="48" t="s">
        <v>56716</v>
      </c>
      <c r="I2294" s="48" t="s">
        <v>50564</v>
      </c>
      <c r="J2294" s="48"/>
      <c r="K2294" s="50"/>
      <c r="L2294" s="48"/>
    </row>
    <row r="2295" spans="1:12" s="37" customFormat="1" ht="11.25" x14ac:dyDescent="0.2">
      <c r="A2295" s="46" t="s">
        <v>1399</v>
      </c>
      <c r="B2295" s="46" t="s">
        <v>52181</v>
      </c>
      <c r="C2295" s="58" t="str">
        <f>"07423071"</f>
        <v>07423071</v>
      </c>
      <c r="D2295" s="58" t="str">
        <f>"14645491"</f>
        <v>14645491</v>
      </c>
      <c r="E2295" s="46" t="s">
        <v>35</v>
      </c>
      <c r="F2295" s="46" t="s">
        <v>50646</v>
      </c>
      <c r="G2295" s="46" t="s">
        <v>50584</v>
      </c>
      <c r="H2295" s="48" t="s">
        <v>56716</v>
      </c>
      <c r="I2295" s="48" t="s">
        <v>50564</v>
      </c>
      <c r="J2295" s="48"/>
      <c r="K2295" s="50" t="s">
        <v>56716</v>
      </c>
      <c r="L2295" s="48" t="s">
        <v>56716</v>
      </c>
    </row>
    <row r="2296" spans="1:12" s="37" customFormat="1" ht="11.25" x14ac:dyDescent="0.2">
      <c r="A2296" s="46" t="s">
        <v>11471</v>
      </c>
      <c r="B2296" s="46" t="s">
        <v>11471</v>
      </c>
      <c r="C2296" s="58" t="str">
        <f>"18609716"</f>
        <v>18609716</v>
      </c>
      <c r="D2296" s="58" t="str">
        <f>"18609724"</f>
        <v>18609724</v>
      </c>
      <c r="E2296" s="46" t="s">
        <v>167</v>
      </c>
      <c r="F2296" s="46" t="s">
        <v>18158</v>
      </c>
      <c r="G2296" s="46" t="s">
        <v>50593</v>
      </c>
      <c r="H2296" s="48" t="s">
        <v>56716</v>
      </c>
      <c r="I2296" s="48" t="s">
        <v>50564</v>
      </c>
      <c r="J2296" s="48"/>
      <c r="K2296" s="50" t="s">
        <v>56716</v>
      </c>
      <c r="L2296" s="48"/>
    </row>
    <row r="2297" spans="1:12" s="37" customFormat="1" ht="11.25" x14ac:dyDescent="0.2">
      <c r="A2297" s="46" t="s">
        <v>1347</v>
      </c>
      <c r="B2297" s="46" t="s">
        <v>1347</v>
      </c>
      <c r="C2297" s="58" t="str">
        <f>"0012186X"</f>
        <v>0012186X</v>
      </c>
      <c r="D2297" s="58" t="str">
        <f>"14320428"</f>
        <v>14320428</v>
      </c>
      <c r="E2297" s="46" t="s">
        <v>167</v>
      </c>
      <c r="F2297" s="46" t="s">
        <v>18158</v>
      </c>
      <c r="G2297" s="46" t="s">
        <v>50584</v>
      </c>
      <c r="H2297" s="48" t="s">
        <v>56716</v>
      </c>
      <c r="I2297" s="48" t="s">
        <v>50564</v>
      </c>
      <c r="J2297" s="48" t="s">
        <v>56716</v>
      </c>
      <c r="K2297" s="50" t="s">
        <v>56716</v>
      </c>
      <c r="L2297" s="48" t="s">
        <v>56716</v>
      </c>
    </row>
    <row r="2298" spans="1:12" s="37" customFormat="1" ht="11.25" x14ac:dyDescent="0.2">
      <c r="A2298" s="46" t="s">
        <v>1344</v>
      </c>
      <c r="B2298" s="46" t="s">
        <v>52182</v>
      </c>
      <c r="C2298" s="58" t="str">
        <f>"03510042"</f>
        <v>03510042</v>
      </c>
      <c r="D2298" s="58" t="str">
        <f>""</f>
        <v/>
      </c>
      <c r="E2298" s="46" t="s">
        <v>1346</v>
      </c>
      <c r="F2298" s="46" t="s">
        <v>18079</v>
      </c>
      <c r="G2298" s="46" t="s">
        <v>50584</v>
      </c>
      <c r="H2298" s="48" t="s">
        <v>56716</v>
      </c>
      <c r="I2298" s="48" t="s">
        <v>50564</v>
      </c>
      <c r="J2298" s="48"/>
      <c r="K2298" s="50"/>
      <c r="L2298" s="48"/>
    </row>
    <row r="2299" spans="1:12" s="37" customFormat="1" ht="11.25" x14ac:dyDescent="0.2">
      <c r="A2299" s="46" t="s">
        <v>17183</v>
      </c>
      <c r="B2299" s="46" t="s">
        <v>52183</v>
      </c>
      <c r="C2299" s="58" t="str">
        <f>"20844441"</f>
        <v>20844441</v>
      </c>
      <c r="D2299" s="58" t="str">
        <f>"22992529"</f>
        <v>22992529</v>
      </c>
      <c r="E2299" s="46" t="s">
        <v>1462</v>
      </c>
      <c r="F2299" s="46" t="s">
        <v>17967</v>
      </c>
      <c r="G2299" s="46" t="s">
        <v>50613</v>
      </c>
      <c r="H2299" s="48" t="s">
        <v>56716</v>
      </c>
      <c r="I2299" s="48" t="s">
        <v>50564</v>
      </c>
      <c r="J2299" s="48"/>
      <c r="K2299" s="50"/>
      <c r="L2299" s="48"/>
    </row>
    <row r="2300" spans="1:12" s="37" customFormat="1" ht="11.25" x14ac:dyDescent="0.2">
      <c r="A2300" s="46" t="s">
        <v>8565</v>
      </c>
      <c r="B2300" s="46" t="s">
        <v>52184</v>
      </c>
      <c r="C2300" s="58" t="str">
        <f>"12119326"</f>
        <v>12119326</v>
      </c>
      <c r="D2300" s="58" t="str">
        <f>"12126853"</f>
        <v>12126853</v>
      </c>
      <c r="E2300" s="46" t="s">
        <v>7990</v>
      </c>
      <c r="F2300" s="46" t="s">
        <v>18025</v>
      </c>
      <c r="G2300" s="46" t="s">
        <v>50587</v>
      </c>
      <c r="H2300" s="48" t="s">
        <v>56716</v>
      </c>
      <c r="I2300" s="48" t="s">
        <v>50564</v>
      </c>
      <c r="J2300" s="48"/>
      <c r="K2300" s="50"/>
      <c r="L2300" s="48"/>
    </row>
    <row r="2301" spans="1:12" s="37" customFormat="1" ht="11.25" x14ac:dyDescent="0.2">
      <c r="A2301" s="46" t="s">
        <v>11828</v>
      </c>
      <c r="B2301" s="46" t="s">
        <v>52185</v>
      </c>
      <c r="C2301" s="58" t="str">
        <f>"18619002"</f>
        <v>18619002</v>
      </c>
      <c r="D2301" s="58" t="str">
        <f>"18619010"</f>
        <v>18619010</v>
      </c>
      <c r="E2301" s="46" t="s">
        <v>412</v>
      </c>
      <c r="F2301" s="46" t="s">
        <v>18158</v>
      </c>
      <c r="G2301" s="46" t="s">
        <v>50593</v>
      </c>
      <c r="H2301" s="48" t="s">
        <v>56716</v>
      </c>
      <c r="I2301" s="48" t="s">
        <v>50564</v>
      </c>
      <c r="J2301" s="48"/>
      <c r="K2301" s="50"/>
      <c r="L2301" s="48"/>
    </row>
    <row r="2302" spans="1:12" s="37" customFormat="1" ht="11.25" x14ac:dyDescent="0.2">
      <c r="A2302" s="46" t="s">
        <v>14044</v>
      </c>
      <c r="B2302" s="46" t="s">
        <v>52186</v>
      </c>
      <c r="C2302" s="58" t="str">
        <f>""</f>
        <v/>
      </c>
      <c r="D2302" s="58" t="str">
        <f>"17585996"</f>
        <v>17585996</v>
      </c>
      <c r="E2302" s="46" t="s">
        <v>2299</v>
      </c>
      <c r="F2302" s="46" t="s">
        <v>50646</v>
      </c>
      <c r="G2302" s="46" t="s">
        <v>50584</v>
      </c>
      <c r="H2302" s="48" t="s">
        <v>56716</v>
      </c>
      <c r="I2302" s="48" t="s">
        <v>50564</v>
      </c>
      <c r="J2302" s="48" t="s">
        <v>56716</v>
      </c>
      <c r="K2302" s="50" t="s">
        <v>56716</v>
      </c>
      <c r="L2302" s="48"/>
    </row>
    <row r="2303" spans="1:12" s="37" customFormat="1" ht="11.25" x14ac:dyDescent="0.2">
      <c r="A2303" s="46" t="s">
        <v>15785</v>
      </c>
      <c r="B2303" s="46" t="s">
        <v>52187</v>
      </c>
      <c r="C2303" s="58" t="str">
        <f>"21901678"</f>
        <v>21901678</v>
      </c>
      <c r="D2303" s="58" t="str">
        <f>"21901686"</f>
        <v>21901686</v>
      </c>
      <c r="E2303" s="46" t="s">
        <v>23335</v>
      </c>
      <c r="F2303" s="46" t="s">
        <v>18242</v>
      </c>
      <c r="G2303" s="46" t="s">
        <v>50584</v>
      </c>
      <c r="H2303" s="48" t="s">
        <v>56716</v>
      </c>
      <c r="I2303" s="48" t="s">
        <v>50564</v>
      </c>
      <c r="J2303" s="48" t="s">
        <v>56716</v>
      </c>
      <c r="K2303" s="50"/>
      <c r="L2303" s="48"/>
    </row>
    <row r="2304" spans="1:12" s="37" customFormat="1" ht="11.25" x14ac:dyDescent="0.2">
      <c r="A2304" s="46" t="s">
        <v>55971</v>
      </c>
      <c r="B2304" s="46" t="s">
        <v>55971</v>
      </c>
      <c r="C2304" s="58" t="str">
        <f>"21948011"</f>
        <v>21948011</v>
      </c>
      <c r="D2304" s="58" t="str">
        <f>"2194802X"</f>
        <v>2194802X</v>
      </c>
      <c r="E2304" s="46" t="s">
        <v>1887</v>
      </c>
      <c r="F2304" s="46" t="s">
        <v>18158</v>
      </c>
      <c r="G2304" s="46" t="s">
        <v>50584</v>
      </c>
      <c r="H2304" s="48" t="s">
        <v>56716</v>
      </c>
      <c r="I2304" s="48" t="s">
        <v>50564</v>
      </c>
      <c r="J2304" s="48" t="s">
        <v>56716</v>
      </c>
      <c r="K2304" s="50"/>
      <c r="L2304" s="48"/>
    </row>
    <row r="2305" spans="1:12" s="37" customFormat="1" ht="11.25" x14ac:dyDescent="0.2">
      <c r="A2305" s="46" t="s">
        <v>16354</v>
      </c>
      <c r="B2305" s="46" t="s">
        <v>52188</v>
      </c>
      <c r="C2305" s="58" t="str">
        <f>"22115706"</f>
        <v>22115706</v>
      </c>
      <c r="D2305" s="58" t="str">
        <f>"22115714"</f>
        <v>22115714</v>
      </c>
      <c r="E2305" s="46" t="s">
        <v>85</v>
      </c>
      <c r="F2305" s="46" t="s">
        <v>20359</v>
      </c>
      <c r="G2305" s="46" t="s">
        <v>50591</v>
      </c>
      <c r="H2305" s="48" t="s">
        <v>56716</v>
      </c>
      <c r="I2305" s="48" t="s">
        <v>50564</v>
      </c>
      <c r="J2305" s="48"/>
      <c r="K2305" s="50"/>
      <c r="L2305" s="48" t="s">
        <v>56716</v>
      </c>
    </row>
    <row r="2306" spans="1:12" s="37" customFormat="1" ht="11.25" x14ac:dyDescent="0.2">
      <c r="A2306" s="46" t="s">
        <v>10518</v>
      </c>
      <c r="B2306" s="46" t="s">
        <v>52189</v>
      </c>
      <c r="C2306" s="58" t="str">
        <f>"13053825"</f>
        <v>13053825</v>
      </c>
      <c r="D2306" s="58" t="str">
        <f>"13053612"</f>
        <v>13053612</v>
      </c>
      <c r="E2306" s="46" t="s">
        <v>6173</v>
      </c>
      <c r="F2306" s="46" t="s">
        <v>18396</v>
      </c>
      <c r="G2306" s="46" t="s">
        <v>50584</v>
      </c>
      <c r="H2306" s="48" t="s">
        <v>56716</v>
      </c>
      <c r="I2306" s="48" t="s">
        <v>50564</v>
      </c>
      <c r="J2306" s="48"/>
      <c r="K2306" s="50"/>
      <c r="L2306" s="48" t="s">
        <v>56716</v>
      </c>
    </row>
    <row r="2307" spans="1:12" s="37" customFormat="1" ht="11.25" x14ac:dyDescent="0.2">
      <c r="A2307" s="46" t="s">
        <v>6409</v>
      </c>
      <c r="B2307" s="46" t="s">
        <v>52190</v>
      </c>
      <c r="C2307" s="58" t="str">
        <f>"10703608"</f>
        <v>10703608</v>
      </c>
      <c r="D2307" s="58" t="str">
        <f>"10290516"</f>
        <v>10290516</v>
      </c>
      <c r="E2307" s="46" t="s">
        <v>1412</v>
      </c>
      <c r="F2307" s="46" t="s">
        <v>17759</v>
      </c>
      <c r="G2307" s="46" t="s">
        <v>50584</v>
      </c>
      <c r="H2307" s="48" t="s">
        <v>56716</v>
      </c>
      <c r="I2307" s="48" t="s">
        <v>50564</v>
      </c>
      <c r="J2307" s="48"/>
      <c r="K2307" s="50"/>
      <c r="L2307" s="48"/>
    </row>
    <row r="2308" spans="1:12" s="37" customFormat="1" ht="11.25" x14ac:dyDescent="0.2">
      <c r="A2308" s="46" t="s">
        <v>4703</v>
      </c>
      <c r="B2308" s="46" t="s">
        <v>52191</v>
      </c>
      <c r="C2308" s="58" t="str">
        <f>"87551039"</f>
        <v>87551039</v>
      </c>
      <c r="D2308" s="58" t="str">
        <f>"10970339"</f>
        <v>10970339</v>
      </c>
      <c r="E2308" s="46" t="s">
        <v>517</v>
      </c>
      <c r="F2308" s="46" t="s">
        <v>17759</v>
      </c>
      <c r="G2308" s="46" t="s">
        <v>50584</v>
      </c>
      <c r="H2308" s="48" t="s">
        <v>56716</v>
      </c>
      <c r="I2308" s="48" t="s">
        <v>50564</v>
      </c>
      <c r="J2308" s="48" t="s">
        <v>56716</v>
      </c>
      <c r="K2308" s="50" t="s">
        <v>56716</v>
      </c>
      <c r="L2308" s="48" t="s">
        <v>56716</v>
      </c>
    </row>
    <row r="2309" spans="1:12" s="37" customFormat="1" ht="11.25" x14ac:dyDescent="0.2">
      <c r="A2309" s="46" t="s">
        <v>12713</v>
      </c>
      <c r="B2309" s="46" t="s">
        <v>52192</v>
      </c>
      <c r="C2309" s="58" t="str">
        <f>"17562317"</f>
        <v>17562317</v>
      </c>
      <c r="D2309" s="58" t="str">
        <f>"18767621"</f>
        <v>18767621</v>
      </c>
      <c r="E2309" s="46" t="s">
        <v>155</v>
      </c>
      <c r="F2309" s="46" t="s">
        <v>50646</v>
      </c>
      <c r="G2309" s="46" t="s">
        <v>50584</v>
      </c>
      <c r="H2309" s="48" t="s">
        <v>56716</v>
      </c>
      <c r="I2309" s="48" t="s">
        <v>50564</v>
      </c>
      <c r="J2309" s="48"/>
      <c r="K2309" s="50" t="s">
        <v>56716</v>
      </c>
      <c r="L2309" s="48"/>
    </row>
    <row r="2310" spans="1:12" s="37" customFormat="1" ht="11.25" x14ac:dyDescent="0.2">
      <c r="A2310" s="46" t="s">
        <v>1422</v>
      </c>
      <c r="B2310" s="46" t="s">
        <v>52193</v>
      </c>
      <c r="C2310" s="58" t="str">
        <f>"07328893"</f>
        <v>07328893</v>
      </c>
      <c r="D2310" s="58" t="str">
        <f>"18790070"</f>
        <v>18790070</v>
      </c>
      <c r="E2310" s="46" t="s">
        <v>272</v>
      </c>
      <c r="F2310" s="46" t="s">
        <v>17759</v>
      </c>
      <c r="G2310" s="46" t="s">
        <v>50584</v>
      </c>
      <c r="H2310" s="48" t="s">
        <v>56716</v>
      </c>
      <c r="I2310" s="48" t="s">
        <v>50564</v>
      </c>
      <c r="J2310" s="48" t="s">
        <v>56716</v>
      </c>
      <c r="K2310" s="50" t="s">
        <v>56716</v>
      </c>
      <c r="L2310" s="48" t="s">
        <v>56716</v>
      </c>
    </row>
    <row r="2311" spans="1:12" s="37" customFormat="1" ht="11.25" x14ac:dyDescent="0.2">
      <c r="A2311" s="46" t="s">
        <v>5483</v>
      </c>
      <c r="B2311" s="46" t="s">
        <v>52194</v>
      </c>
      <c r="C2311" s="58" t="str">
        <f>"10529551"</f>
        <v>10529551</v>
      </c>
      <c r="D2311" s="58" t="str">
        <f>"15334066"</f>
        <v>15334066</v>
      </c>
      <c r="E2311" s="46" t="s">
        <v>28</v>
      </c>
      <c r="F2311" s="46" t="s">
        <v>17759</v>
      </c>
      <c r="G2311" s="46" t="s">
        <v>50584</v>
      </c>
      <c r="H2311" s="48" t="s">
        <v>56716</v>
      </c>
      <c r="I2311" s="48" t="s">
        <v>50564</v>
      </c>
      <c r="J2311" s="48" t="s">
        <v>56716</v>
      </c>
      <c r="K2311" s="50"/>
      <c r="L2311" s="48" t="s">
        <v>56716</v>
      </c>
    </row>
    <row r="2312" spans="1:12" s="37" customFormat="1" ht="11.25" x14ac:dyDescent="0.2">
      <c r="A2312" s="45" t="s">
        <v>27360</v>
      </c>
      <c r="B2312" s="45" t="s">
        <v>27362</v>
      </c>
      <c r="C2312" s="51"/>
      <c r="D2312" s="51" t="s">
        <v>27363</v>
      </c>
      <c r="E2312" s="45" t="s">
        <v>18570</v>
      </c>
      <c r="F2312" s="45" t="s">
        <v>50646</v>
      </c>
      <c r="G2312" s="45" t="s">
        <v>50584</v>
      </c>
      <c r="H2312" s="56"/>
      <c r="I2312" s="56" t="s">
        <v>50564</v>
      </c>
      <c r="J2312" s="56"/>
      <c r="K2312" s="50"/>
      <c r="L2312" s="56" t="s">
        <v>56716</v>
      </c>
    </row>
    <row r="2313" spans="1:12" s="37" customFormat="1" ht="11.25" x14ac:dyDescent="0.2">
      <c r="A2313" s="46" t="s">
        <v>15472</v>
      </c>
      <c r="B2313" s="46" t="s">
        <v>52195</v>
      </c>
      <c r="C2313" s="58" t="str">
        <f>"21734127"</f>
        <v>21734127</v>
      </c>
      <c r="D2313" s="58" t="str">
        <f>""</f>
        <v/>
      </c>
      <c r="E2313" s="46" t="s">
        <v>175</v>
      </c>
      <c r="F2313" s="46" t="s">
        <v>18439</v>
      </c>
      <c r="G2313" s="46" t="s">
        <v>50632</v>
      </c>
      <c r="H2313" s="48" t="s">
        <v>56716</v>
      </c>
      <c r="I2313" s="48" t="s">
        <v>50564</v>
      </c>
      <c r="J2313" s="48"/>
      <c r="K2313" s="50"/>
      <c r="L2313" s="48"/>
    </row>
    <row r="2314" spans="1:12" s="37" customFormat="1" ht="11.25" x14ac:dyDescent="0.2">
      <c r="A2314" s="46" t="s">
        <v>16149</v>
      </c>
      <c r="B2314" s="46" t="s">
        <v>52196</v>
      </c>
      <c r="C2314" s="58" t="str">
        <f>""</f>
        <v/>
      </c>
      <c r="D2314" s="58" t="str">
        <f>"20754418"</f>
        <v>20754418</v>
      </c>
      <c r="E2314" s="46" t="s">
        <v>4152</v>
      </c>
      <c r="F2314" s="46" t="s">
        <v>18123</v>
      </c>
      <c r="G2314" s="46" t="s">
        <v>50584</v>
      </c>
      <c r="H2314" s="48" t="s">
        <v>56716</v>
      </c>
      <c r="I2314" s="48" t="s">
        <v>50564</v>
      </c>
      <c r="J2314" s="48"/>
      <c r="K2314" s="50"/>
      <c r="L2314" s="48"/>
    </row>
    <row r="2315" spans="1:12" s="37" customFormat="1" ht="11.25" x14ac:dyDescent="0.2">
      <c r="A2315" s="46" t="s">
        <v>12129</v>
      </c>
      <c r="B2315" s="46" t="s">
        <v>52197</v>
      </c>
      <c r="C2315" s="58" t="str">
        <f>"18862845"</f>
        <v>18862845</v>
      </c>
      <c r="D2315" s="58" t="str">
        <f>"18867278"</f>
        <v>18867278</v>
      </c>
      <c r="E2315" s="46" t="s">
        <v>175</v>
      </c>
      <c r="F2315" s="46" t="s">
        <v>18439</v>
      </c>
      <c r="G2315" s="46" t="s">
        <v>50632</v>
      </c>
      <c r="H2315" s="48" t="s">
        <v>56716</v>
      </c>
      <c r="I2315" s="48" t="s">
        <v>50564</v>
      </c>
      <c r="J2315" s="48"/>
      <c r="K2315" s="50" t="s">
        <v>56716</v>
      </c>
      <c r="L2315" s="48"/>
    </row>
    <row r="2316" spans="1:12" s="37" customFormat="1" ht="11.25" x14ac:dyDescent="0.2">
      <c r="A2316" s="46" t="s">
        <v>9387</v>
      </c>
      <c r="B2316" s="46" t="s">
        <v>52198</v>
      </c>
      <c r="C2316" s="58" t="str">
        <f>"12729949"</f>
        <v>12729949</v>
      </c>
      <c r="D2316" s="58" t="str">
        <f>""</f>
        <v/>
      </c>
      <c r="E2316" s="46" t="s">
        <v>7404</v>
      </c>
      <c r="F2316" s="46" t="s">
        <v>20359</v>
      </c>
      <c r="G2316" s="46" t="s">
        <v>50584</v>
      </c>
      <c r="H2316" s="48" t="s">
        <v>56716</v>
      </c>
      <c r="I2316" s="48" t="s">
        <v>50564</v>
      </c>
      <c r="J2316" s="48"/>
      <c r="K2316" s="50"/>
      <c r="L2316" s="48"/>
    </row>
    <row r="2317" spans="1:12" s="37" customFormat="1" ht="11.25" x14ac:dyDescent="0.2">
      <c r="A2317" s="46" t="s">
        <v>9389</v>
      </c>
      <c r="B2317" s="46" t="s">
        <v>52199</v>
      </c>
      <c r="C2317" s="58" t="str">
        <f>"12948322"</f>
        <v>12948322</v>
      </c>
      <c r="D2317" s="58" t="str">
        <f>""</f>
        <v/>
      </c>
      <c r="E2317" s="46" t="s">
        <v>7404</v>
      </c>
      <c r="F2317" s="46" t="s">
        <v>20359</v>
      </c>
      <c r="G2317" s="46" t="s">
        <v>50584</v>
      </c>
      <c r="H2317" s="48" t="s">
        <v>56716</v>
      </c>
      <c r="I2317" s="48" t="s">
        <v>50564</v>
      </c>
      <c r="J2317" s="48"/>
      <c r="K2317" s="50"/>
      <c r="L2317" s="48" t="s">
        <v>56716</v>
      </c>
    </row>
    <row r="2318" spans="1:12" s="37" customFormat="1" ht="11.25" x14ac:dyDescent="0.2">
      <c r="A2318" s="45" t="s">
        <v>41750</v>
      </c>
      <c r="B2318" s="45" t="s">
        <v>41752</v>
      </c>
      <c r="C2318" s="51" t="s">
        <v>41755</v>
      </c>
      <c r="D2318" s="51" t="s">
        <v>41754</v>
      </c>
      <c r="E2318" s="45" t="s">
        <v>167</v>
      </c>
      <c r="F2318" s="45" t="s">
        <v>18158</v>
      </c>
      <c r="G2318" s="45" t="s">
        <v>50592</v>
      </c>
      <c r="H2318" s="56"/>
      <c r="I2318" s="56" t="s">
        <v>50564</v>
      </c>
      <c r="J2318" s="56"/>
      <c r="K2318" s="50"/>
      <c r="L2318" s="56" t="s">
        <v>56716</v>
      </c>
    </row>
    <row r="2319" spans="1:12" s="37" customFormat="1" ht="11.25" x14ac:dyDescent="0.2">
      <c r="A2319" s="45" t="s">
        <v>45969</v>
      </c>
      <c r="B2319" s="45" t="s">
        <v>45971</v>
      </c>
      <c r="C2319" s="51" t="s">
        <v>45973</v>
      </c>
      <c r="D2319" s="51" t="s">
        <v>45972</v>
      </c>
      <c r="E2319" s="45" t="s">
        <v>412</v>
      </c>
      <c r="F2319" s="45" t="s">
        <v>18158</v>
      </c>
      <c r="G2319" s="45" t="s">
        <v>50592</v>
      </c>
      <c r="H2319" s="56"/>
      <c r="I2319" s="56" t="s">
        <v>50564</v>
      </c>
      <c r="J2319" s="56"/>
      <c r="K2319" s="50"/>
      <c r="L2319" s="56" t="s">
        <v>56716</v>
      </c>
    </row>
    <row r="2320" spans="1:12" s="37" customFormat="1" ht="11.25" x14ac:dyDescent="0.2">
      <c r="A2320" s="46" t="s">
        <v>1374</v>
      </c>
      <c r="B2320" s="46" t="s">
        <v>1374</v>
      </c>
      <c r="C2320" s="58" t="str">
        <f>"03014681"</f>
        <v>03014681</v>
      </c>
      <c r="D2320" s="58" t="str">
        <f>"14320436"</f>
        <v>14320436</v>
      </c>
      <c r="E2320" s="46" t="s">
        <v>155</v>
      </c>
      <c r="F2320" s="46" t="s">
        <v>50646</v>
      </c>
      <c r="G2320" s="46" t="s">
        <v>50584</v>
      </c>
      <c r="H2320" s="48" t="s">
        <v>56716</v>
      </c>
      <c r="I2320" s="48" t="s">
        <v>50564</v>
      </c>
      <c r="J2320" s="48" t="s">
        <v>56716</v>
      </c>
      <c r="K2320" s="50" t="s">
        <v>56716</v>
      </c>
      <c r="L2320" s="48" t="s">
        <v>56716</v>
      </c>
    </row>
    <row r="2321" spans="1:12" s="37" customFormat="1" ht="11.25" x14ac:dyDescent="0.2">
      <c r="A2321" s="46" t="s">
        <v>1396</v>
      </c>
      <c r="B2321" s="46" t="s">
        <v>1396</v>
      </c>
      <c r="C2321" s="58" t="str">
        <f>"00122823"</f>
        <v>00122823</v>
      </c>
      <c r="D2321" s="58" t="str">
        <f>"14219867"</f>
        <v>14219867</v>
      </c>
      <c r="E2321" s="46" t="s">
        <v>109</v>
      </c>
      <c r="F2321" s="46" t="s">
        <v>18123</v>
      </c>
      <c r="G2321" s="46" t="s">
        <v>50584</v>
      </c>
      <c r="H2321" s="48" t="s">
        <v>56716</v>
      </c>
      <c r="I2321" s="48" t="s">
        <v>50564</v>
      </c>
      <c r="J2321" s="48" t="s">
        <v>56716</v>
      </c>
      <c r="K2321" s="50" t="s">
        <v>56716</v>
      </c>
      <c r="L2321" s="48" t="s">
        <v>56716</v>
      </c>
    </row>
    <row r="2322" spans="1:12" s="37" customFormat="1" ht="11.25" x14ac:dyDescent="0.2">
      <c r="A2322" s="46" t="s">
        <v>8386</v>
      </c>
      <c r="B2322" s="46" t="s">
        <v>52200</v>
      </c>
      <c r="C2322" s="58" t="str">
        <f>"15908658"</f>
        <v>15908658</v>
      </c>
      <c r="D2322" s="58" t="str">
        <f>"18783562"</f>
        <v>18783562</v>
      </c>
      <c r="E2322" s="46" t="s">
        <v>91</v>
      </c>
      <c r="F2322" s="46" t="s">
        <v>18001</v>
      </c>
      <c r="G2322" s="46" t="s">
        <v>50584</v>
      </c>
      <c r="H2322" s="48" t="s">
        <v>56716</v>
      </c>
      <c r="I2322" s="48" t="s">
        <v>50564</v>
      </c>
      <c r="J2322" s="48" t="s">
        <v>56716</v>
      </c>
      <c r="K2322" s="50" t="s">
        <v>56716</v>
      </c>
      <c r="L2322" s="48" t="s">
        <v>56716</v>
      </c>
    </row>
    <row r="2323" spans="1:12" s="37" customFormat="1" ht="11.25" x14ac:dyDescent="0.2">
      <c r="A2323" s="46" t="s">
        <v>13404</v>
      </c>
      <c r="B2323" s="46" t="s">
        <v>52201</v>
      </c>
      <c r="C2323" s="58" t="str">
        <f>"15945804"</f>
        <v>15945804</v>
      </c>
      <c r="D2323" s="58" t="str">
        <f>"18783562"</f>
        <v>18783562</v>
      </c>
      <c r="E2323" s="46" t="s">
        <v>91</v>
      </c>
      <c r="F2323" s="46" t="s">
        <v>18001</v>
      </c>
      <c r="G2323" s="46" t="s">
        <v>50584</v>
      </c>
      <c r="H2323" s="48" t="s">
        <v>56716</v>
      </c>
      <c r="I2323" s="48" t="s">
        <v>50564</v>
      </c>
      <c r="J2323" s="48" t="s">
        <v>56716</v>
      </c>
      <c r="K2323" s="50"/>
      <c r="L2323" s="48"/>
    </row>
    <row r="2324" spans="1:12" s="37" customFormat="1" ht="11.25" x14ac:dyDescent="0.2">
      <c r="A2324" s="46" t="s">
        <v>5309</v>
      </c>
      <c r="B2324" s="46" t="s">
        <v>52202</v>
      </c>
      <c r="C2324" s="58" t="str">
        <f>"02572753"</f>
        <v>02572753</v>
      </c>
      <c r="D2324" s="58" t="str">
        <f>"14219875"</f>
        <v>14219875</v>
      </c>
      <c r="E2324" s="46" t="s">
        <v>109</v>
      </c>
      <c r="F2324" s="46" t="s">
        <v>18123</v>
      </c>
      <c r="G2324" s="46" t="s">
        <v>50584</v>
      </c>
      <c r="H2324" s="48" t="s">
        <v>56716</v>
      </c>
      <c r="I2324" s="48" t="s">
        <v>50564</v>
      </c>
      <c r="J2324" s="48" t="s">
        <v>56716</v>
      </c>
      <c r="K2324" s="50"/>
      <c r="L2324" s="48" t="s">
        <v>56716</v>
      </c>
    </row>
    <row r="2325" spans="1:12" s="37" customFormat="1" ht="11.25" x14ac:dyDescent="0.2">
      <c r="A2325" s="46" t="s">
        <v>1361</v>
      </c>
      <c r="B2325" s="46" t="s">
        <v>52203</v>
      </c>
      <c r="C2325" s="58" t="str">
        <f>"01632116"</f>
        <v>01632116</v>
      </c>
      <c r="D2325" s="58" t="str">
        <f>"15732568"</f>
        <v>15732568</v>
      </c>
      <c r="E2325" s="46" t="s">
        <v>56305</v>
      </c>
      <c r="F2325" s="46" t="s">
        <v>17759</v>
      </c>
      <c r="G2325" s="46" t="s">
        <v>50584</v>
      </c>
      <c r="H2325" s="48" t="s">
        <v>56716</v>
      </c>
      <c r="I2325" s="48" t="s">
        <v>50564</v>
      </c>
      <c r="J2325" s="48" t="s">
        <v>56716</v>
      </c>
      <c r="K2325" s="50" t="s">
        <v>56716</v>
      </c>
      <c r="L2325" s="48" t="s">
        <v>56716</v>
      </c>
    </row>
    <row r="2326" spans="1:12" s="37" customFormat="1" ht="11.25" x14ac:dyDescent="0.2">
      <c r="A2326" s="46" t="s">
        <v>5178</v>
      </c>
      <c r="B2326" s="46" t="s">
        <v>52204</v>
      </c>
      <c r="C2326" s="58" t="str">
        <f>"09155635"</f>
        <v>09155635</v>
      </c>
      <c r="D2326" s="58" t="str">
        <f>"14431661"</f>
        <v>14431661</v>
      </c>
      <c r="E2326" s="46" t="s">
        <v>296</v>
      </c>
      <c r="F2326" s="46" t="s">
        <v>20082</v>
      </c>
      <c r="G2326" s="46" t="s">
        <v>50584</v>
      </c>
      <c r="H2326" s="48" t="s">
        <v>56716</v>
      </c>
      <c r="I2326" s="48" t="s">
        <v>50564</v>
      </c>
      <c r="J2326" s="48"/>
      <c r="K2326" s="50" t="s">
        <v>56716</v>
      </c>
      <c r="L2326" s="48" t="s">
        <v>56716</v>
      </c>
    </row>
    <row r="2327" spans="1:12" s="37" customFormat="1" ht="11.25" x14ac:dyDescent="0.2">
      <c r="A2327" s="45" t="s">
        <v>27400</v>
      </c>
      <c r="B2327" s="45" t="s">
        <v>27402</v>
      </c>
      <c r="C2327" s="51" t="s">
        <v>27405</v>
      </c>
      <c r="D2327" s="51" t="s">
        <v>27404</v>
      </c>
      <c r="E2327" s="45" t="s">
        <v>22922</v>
      </c>
      <c r="F2327" s="45" t="s">
        <v>18123</v>
      </c>
      <c r="G2327" s="45" t="s">
        <v>50584</v>
      </c>
      <c r="H2327" s="56"/>
      <c r="I2327" s="56" t="s">
        <v>50564</v>
      </c>
      <c r="J2327" s="56"/>
      <c r="K2327" s="50"/>
      <c r="L2327" s="56" t="s">
        <v>56716</v>
      </c>
    </row>
    <row r="2328" spans="1:12" s="37" customFormat="1" ht="11.25" x14ac:dyDescent="0.2">
      <c r="A2328" s="45" t="s">
        <v>27407</v>
      </c>
      <c r="B2328" s="45" t="s">
        <v>27409</v>
      </c>
      <c r="C2328" s="51"/>
      <c r="D2328" s="51" t="s">
        <v>27410</v>
      </c>
      <c r="E2328" s="45" t="s">
        <v>27411</v>
      </c>
      <c r="F2328" s="45" t="s">
        <v>17759</v>
      </c>
      <c r="G2328" s="45" t="s">
        <v>50584</v>
      </c>
      <c r="H2328" s="56"/>
      <c r="I2328" s="56" t="s">
        <v>50564</v>
      </c>
      <c r="J2328" s="56"/>
      <c r="K2328" s="50"/>
      <c r="L2328" s="56" t="s">
        <v>56716</v>
      </c>
    </row>
    <row r="2329" spans="1:12" s="37" customFormat="1" ht="11.25" x14ac:dyDescent="0.2">
      <c r="A2329" s="45" t="s">
        <v>27413</v>
      </c>
      <c r="B2329" s="45" t="s">
        <v>27415</v>
      </c>
      <c r="C2329" s="51" t="s">
        <v>27417</v>
      </c>
      <c r="D2329" s="51" t="s">
        <v>27416</v>
      </c>
      <c r="E2329" s="45" t="s">
        <v>17758</v>
      </c>
      <c r="F2329" s="45" t="s">
        <v>17759</v>
      </c>
      <c r="G2329" s="45" t="s">
        <v>50584</v>
      </c>
      <c r="H2329" s="56"/>
      <c r="I2329" s="56" t="s">
        <v>50564</v>
      </c>
      <c r="J2329" s="56"/>
      <c r="K2329" s="50"/>
      <c r="L2329" s="56" t="s">
        <v>56716</v>
      </c>
    </row>
    <row r="2330" spans="1:12" s="37" customFormat="1" ht="11.25" x14ac:dyDescent="0.2">
      <c r="A2330" s="45" t="s">
        <v>27419</v>
      </c>
      <c r="B2330" s="45" t="s">
        <v>27421</v>
      </c>
      <c r="C2330" s="51" t="s">
        <v>27423</v>
      </c>
      <c r="D2330" s="51"/>
      <c r="E2330" s="45" t="s">
        <v>19282</v>
      </c>
      <c r="F2330" s="45" t="s">
        <v>17759</v>
      </c>
      <c r="G2330" s="45" t="s">
        <v>50584</v>
      </c>
      <c r="H2330" s="56"/>
      <c r="I2330" s="56" t="s">
        <v>50564</v>
      </c>
      <c r="J2330" s="56"/>
      <c r="K2330" s="50"/>
      <c r="L2330" s="56" t="s">
        <v>56716</v>
      </c>
    </row>
    <row r="2331" spans="1:12" s="37" customFormat="1" ht="11.25" x14ac:dyDescent="0.2">
      <c r="A2331" s="46" t="s">
        <v>12702</v>
      </c>
      <c r="B2331" s="46" t="s">
        <v>52205</v>
      </c>
      <c r="C2331" s="58" t="str">
        <f>"19366574"</f>
        <v>19366574</v>
      </c>
      <c r="D2331" s="58" t="str">
        <f>"18767583"</f>
        <v>18767583</v>
      </c>
      <c r="E2331" s="46" t="s">
        <v>272</v>
      </c>
      <c r="F2331" s="46" t="s">
        <v>17759</v>
      </c>
      <c r="G2331" s="46" t="s">
        <v>50584</v>
      </c>
      <c r="H2331" s="48" t="s">
        <v>56716</v>
      </c>
      <c r="I2331" s="48" t="s">
        <v>50564</v>
      </c>
      <c r="J2331" s="48" t="s">
        <v>56716</v>
      </c>
      <c r="K2331" s="50" t="s">
        <v>56716</v>
      </c>
      <c r="L2331" s="48" t="s">
        <v>56716</v>
      </c>
    </row>
    <row r="2332" spans="1:12" s="37" customFormat="1" ht="11.25" x14ac:dyDescent="0.2">
      <c r="A2332" s="45" t="s">
        <v>27430</v>
      </c>
      <c r="B2332" s="45" t="s">
        <v>27432</v>
      </c>
      <c r="C2332" s="51" t="s">
        <v>27435</v>
      </c>
      <c r="D2332" s="51" t="s">
        <v>27434</v>
      </c>
      <c r="E2332" s="45" t="s">
        <v>291</v>
      </c>
      <c r="F2332" s="45" t="s">
        <v>50646</v>
      </c>
      <c r="G2332" s="45" t="s">
        <v>50584</v>
      </c>
      <c r="H2332" s="56"/>
      <c r="I2332" s="56" t="s">
        <v>50564</v>
      </c>
      <c r="J2332" s="56"/>
      <c r="K2332" s="50"/>
      <c r="L2332" s="56" t="s">
        <v>56716</v>
      </c>
    </row>
    <row r="2333" spans="1:12" s="37" customFormat="1" ht="11.25" x14ac:dyDescent="0.2">
      <c r="A2333" s="45" t="s">
        <v>27438</v>
      </c>
      <c r="B2333" s="45" t="s">
        <v>27440</v>
      </c>
      <c r="C2333" s="51" t="s">
        <v>27442</v>
      </c>
      <c r="D2333" s="51" t="s">
        <v>27441</v>
      </c>
      <c r="E2333" s="45" t="s">
        <v>291</v>
      </c>
      <c r="F2333" s="45" t="s">
        <v>50646</v>
      </c>
      <c r="G2333" s="45" t="s">
        <v>50584</v>
      </c>
      <c r="H2333" s="56"/>
      <c r="I2333" s="56" t="s">
        <v>50564</v>
      </c>
      <c r="J2333" s="56"/>
      <c r="K2333" s="50"/>
      <c r="L2333" s="56" t="s">
        <v>56716</v>
      </c>
    </row>
    <row r="2334" spans="1:12" s="37" customFormat="1" ht="11.25" x14ac:dyDescent="0.2">
      <c r="A2334" s="45" t="s">
        <v>27445</v>
      </c>
      <c r="B2334" s="45" t="s">
        <v>27447</v>
      </c>
      <c r="C2334" s="51" t="s">
        <v>27449</v>
      </c>
      <c r="D2334" s="51" t="s">
        <v>27448</v>
      </c>
      <c r="E2334" s="45" t="s">
        <v>724</v>
      </c>
      <c r="F2334" s="45" t="s">
        <v>50646</v>
      </c>
      <c r="G2334" s="45" t="s">
        <v>50584</v>
      </c>
      <c r="H2334" s="56"/>
      <c r="I2334" s="56" t="s">
        <v>50564</v>
      </c>
      <c r="J2334" s="56"/>
      <c r="K2334" s="50"/>
      <c r="L2334" s="56" t="s">
        <v>56716</v>
      </c>
    </row>
    <row r="2335" spans="1:12" s="37" customFormat="1" ht="11.25" x14ac:dyDescent="0.2">
      <c r="A2335" s="45" t="s">
        <v>27452</v>
      </c>
      <c r="B2335" s="45" t="s">
        <v>27452</v>
      </c>
      <c r="C2335" s="51" t="s">
        <v>27455</v>
      </c>
      <c r="D2335" s="51" t="s">
        <v>27454</v>
      </c>
      <c r="E2335" s="45" t="s">
        <v>21146</v>
      </c>
      <c r="F2335" s="45" t="s">
        <v>50646</v>
      </c>
      <c r="G2335" s="45" t="s">
        <v>50584</v>
      </c>
      <c r="H2335" s="56"/>
      <c r="I2335" s="56" t="s">
        <v>50564</v>
      </c>
      <c r="J2335" s="56"/>
      <c r="K2335" s="50"/>
      <c r="L2335" s="56" t="s">
        <v>56716</v>
      </c>
    </row>
    <row r="2336" spans="1:12" s="37" customFormat="1" ht="11.25" x14ac:dyDescent="0.2">
      <c r="A2336" s="46" t="s">
        <v>17172</v>
      </c>
      <c r="B2336" s="46" t="s">
        <v>52206</v>
      </c>
      <c r="C2336" s="58" t="str">
        <f>"15396509"</f>
        <v>15396509</v>
      </c>
      <c r="D2336" s="58" t="str">
        <f>"19447930"</f>
        <v>19447930</v>
      </c>
      <c r="E2336" s="46" t="s">
        <v>17632</v>
      </c>
      <c r="F2336" s="46" t="s">
        <v>17759</v>
      </c>
      <c r="G2336" s="46" t="s">
        <v>50584</v>
      </c>
      <c r="H2336" s="48" t="s">
        <v>56716</v>
      </c>
      <c r="I2336" s="48" t="s">
        <v>50564</v>
      </c>
      <c r="J2336" s="48"/>
      <c r="K2336" s="50"/>
      <c r="L2336" s="48" t="s">
        <v>56716</v>
      </c>
    </row>
    <row r="2337" spans="1:12" s="37" customFormat="1" ht="11.25" x14ac:dyDescent="0.2">
      <c r="A2337" s="46" t="s">
        <v>1409</v>
      </c>
      <c r="B2337" s="46" t="s">
        <v>52207</v>
      </c>
      <c r="C2337" s="58" t="str">
        <f>"02780240"</f>
        <v>02780240</v>
      </c>
      <c r="D2337" s="58" t="str">
        <f>"18758630"</f>
        <v>18758630</v>
      </c>
      <c r="E2337" s="46" t="s">
        <v>1412</v>
      </c>
      <c r="F2337" s="46" t="s">
        <v>17759</v>
      </c>
      <c r="G2337" s="46" t="s">
        <v>50584</v>
      </c>
      <c r="H2337" s="48" t="s">
        <v>56716</v>
      </c>
      <c r="I2337" s="48" t="s">
        <v>50564</v>
      </c>
      <c r="J2337" s="48" t="s">
        <v>56716</v>
      </c>
      <c r="K2337" s="50"/>
      <c r="L2337" s="48" t="s">
        <v>56716</v>
      </c>
    </row>
    <row r="2338" spans="1:12" s="37" customFormat="1" ht="11.25" x14ac:dyDescent="0.2">
      <c r="A2338" s="46" t="s">
        <v>1402</v>
      </c>
      <c r="B2338" s="46" t="s">
        <v>52208</v>
      </c>
      <c r="C2338" s="58" t="str">
        <f>"00115029"</f>
        <v>00115029</v>
      </c>
      <c r="D2338" s="58" t="str">
        <f>"15578194"</f>
        <v>15578194</v>
      </c>
      <c r="E2338" s="46" t="s">
        <v>194</v>
      </c>
      <c r="F2338" s="46" t="s">
        <v>17759</v>
      </c>
      <c r="G2338" s="46" t="s">
        <v>50584</v>
      </c>
      <c r="H2338" s="48" t="s">
        <v>56716</v>
      </c>
      <c r="I2338" s="48" t="s">
        <v>50564</v>
      </c>
      <c r="J2338" s="48"/>
      <c r="K2338" s="50" t="s">
        <v>56716</v>
      </c>
      <c r="L2338" s="48" t="s">
        <v>56716</v>
      </c>
    </row>
    <row r="2339" spans="1:12" s="37" customFormat="1" ht="11.25" x14ac:dyDescent="0.2">
      <c r="A2339" s="45" t="s">
        <v>27476</v>
      </c>
      <c r="B2339" s="45" t="s">
        <v>27478</v>
      </c>
      <c r="C2339" s="51" t="s">
        <v>27480</v>
      </c>
      <c r="D2339" s="51" t="s">
        <v>27479</v>
      </c>
      <c r="E2339" s="45" t="s">
        <v>27481</v>
      </c>
      <c r="F2339" s="45" t="s">
        <v>18158</v>
      </c>
      <c r="G2339" s="45" t="s">
        <v>50584</v>
      </c>
      <c r="H2339" s="56"/>
      <c r="I2339" s="56" t="s">
        <v>50564</v>
      </c>
      <c r="J2339" s="56"/>
      <c r="K2339" s="50"/>
      <c r="L2339" s="56" t="s">
        <v>56716</v>
      </c>
    </row>
    <row r="2340" spans="1:12" s="37" customFormat="1" ht="11.25" x14ac:dyDescent="0.2">
      <c r="A2340" s="46" t="s">
        <v>1393</v>
      </c>
      <c r="B2340" s="46" t="s">
        <v>52209</v>
      </c>
      <c r="C2340" s="58" t="str">
        <f>"00123706"</f>
        <v>00123706</v>
      </c>
      <c r="D2340" s="58" t="str">
        <f>"15300358"</f>
        <v>15300358</v>
      </c>
      <c r="E2340" s="46" t="s">
        <v>28</v>
      </c>
      <c r="F2340" s="46" t="s">
        <v>17759</v>
      </c>
      <c r="G2340" s="46" t="s">
        <v>50584</v>
      </c>
      <c r="H2340" s="48" t="s">
        <v>56716</v>
      </c>
      <c r="I2340" s="48" t="s">
        <v>50564</v>
      </c>
      <c r="J2340" s="48"/>
      <c r="K2340" s="50"/>
      <c r="L2340" s="48" t="s">
        <v>56716</v>
      </c>
    </row>
    <row r="2341" spans="1:12" s="37" customFormat="1" ht="11.25" x14ac:dyDescent="0.2">
      <c r="A2341" s="46" t="s">
        <v>4663</v>
      </c>
      <c r="B2341" s="46" t="s">
        <v>52210</v>
      </c>
      <c r="C2341" s="58" t="str">
        <f>"11208694"</f>
        <v>11208694</v>
      </c>
      <c r="D2341" s="58" t="str">
        <f>"14422050"</f>
        <v>14422050</v>
      </c>
      <c r="E2341" s="46" t="s">
        <v>517</v>
      </c>
      <c r="F2341" s="46" t="s">
        <v>17759</v>
      </c>
      <c r="G2341" s="46" t="s">
        <v>50584</v>
      </c>
      <c r="H2341" s="48" t="s">
        <v>56716</v>
      </c>
      <c r="I2341" s="48" t="s">
        <v>50564</v>
      </c>
      <c r="J2341" s="48" t="s">
        <v>56716</v>
      </c>
      <c r="K2341" s="50" t="s">
        <v>56716</v>
      </c>
      <c r="L2341" s="48" t="s">
        <v>56716</v>
      </c>
    </row>
    <row r="2342" spans="1:12" s="37" customFormat="1" ht="11.25" x14ac:dyDescent="0.2">
      <c r="A2342" s="46" t="s">
        <v>13774</v>
      </c>
      <c r="B2342" s="46" t="s">
        <v>52211</v>
      </c>
      <c r="C2342" s="58" t="str">
        <f>"1521298X"</f>
        <v>1521298X</v>
      </c>
      <c r="D2342" s="58" t="str">
        <f>""</f>
        <v/>
      </c>
      <c r="E2342" s="46" t="s">
        <v>13776</v>
      </c>
      <c r="F2342" s="46" t="s">
        <v>17759</v>
      </c>
      <c r="G2342" s="46" t="s">
        <v>50584</v>
      </c>
      <c r="H2342" s="48" t="s">
        <v>56716</v>
      </c>
      <c r="I2342" s="48" t="s">
        <v>50564</v>
      </c>
      <c r="J2342" s="48"/>
      <c r="K2342" s="50"/>
      <c r="L2342" s="48"/>
    </row>
    <row r="2343" spans="1:12" s="37" customFormat="1" ht="11.25" x14ac:dyDescent="0.2">
      <c r="A2343" s="46" t="s">
        <v>11486</v>
      </c>
      <c r="B2343" s="46" t="s">
        <v>52212</v>
      </c>
      <c r="C2343" s="58" t="str">
        <f>"18333516"</f>
        <v>18333516</v>
      </c>
      <c r="D2343" s="58" t="str">
        <f>""</f>
        <v/>
      </c>
      <c r="E2343" s="46" t="s">
        <v>11488</v>
      </c>
      <c r="F2343" s="46" t="s">
        <v>20082</v>
      </c>
      <c r="G2343" s="46" t="s">
        <v>50584</v>
      </c>
      <c r="H2343" s="48" t="s">
        <v>56716</v>
      </c>
      <c r="I2343" s="48" t="s">
        <v>50564</v>
      </c>
      <c r="J2343" s="48"/>
      <c r="K2343" s="50"/>
      <c r="L2343" s="48" t="s">
        <v>56716</v>
      </c>
    </row>
    <row r="2344" spans="1:12" s="37" customFormat="1" ht="11.25" x14ac:dyDescent="0.2">
      <c r="A2344" s="46" t="s">
        <v>13457</v>
      </c>
      <c r="B2344" s="46" t="s">
        <v>52213</v>
      </c>
      <c r="C2344" s="58" t="str">
        <f>"17548403"</f>
        <v>17548403</v>
      </c>
      <c r="D2344" s="58" t="str">
        <f>"17548411"</f>
        <v>17548411</v>
      </c>
      <c r="E2344" s="46" t="s">
        <v>2478</v>
      </c>
      <c r="F2344" s="46" t="s">
        <v>50646</v>
      </c>
      <c r="G2344" s="46" t="s">
        <v>50584</v>
      </c>
      <c r="H2344" s="48" t="s">
        <v>56716</v>
      </c>
      <c r="I2344" s="48" t="s">
        <v>50564</v>
      </c>
      <c r="J2344" s="48" t="s">
        <v>56716</v>
      </c>
      <c r="K2344" s="50"/>
      <c r="L2344" s="48" t="s">
        <v>56716</v>
      </c>
    </row>
    <row r="2345" spans="1:12" s="37" customFormat="1" ht="11.25" x14ac:dyDescent="0.2">
      <c r="A2345" s="46" t="s">
        <v>5243</v>
      </c>
      <c r="B2345" s="46" t="s">
        <v>52214</v>
      </c>
      <c r="C2345" s="58" t="str">
        <f>"10445498"</f>
        <v>10445498</v>
      </c>
      <c r="D2345" s="58" t="str">
        <f>"15577430"</f>
        <v>15577430</v>
      </c>
      <c r="E2345" s="46" t="s">
        <v>4337</v>
      </c>
      <c r="F2345" s="46" t="s">
        <v>17759</v>
      </c>
      <c r="G2345" s="46" t="s">
        <v>50584</v>
      </c>
      <c r="H2345" s="48" t="s">
        <v>56716</v>
      </c>
      <c r="I2345" s="48" t="s">
        <v>50564</v>
      </c>
      <c r="J2345" s="48" t="s">
        <v>56716</v>
      </c>
      <c r="K2345" s="50"/>
      <c r="L2345" s="48" t="s">
        <v>56716</v>
      </c>
    </row>
    <row r="2346" spans="1:12" s="37" customFormat="1" ht="11.25" x14ac:dyDescent="0.2">
      <c r="A2346" s="46" t="s">
        <v>9249</v>
      </c>
      <c r="B2346" s="46" t="s">
        <v>9249</v>
      </c>
      <c r="C2346" s="58" t="str">
        <f>"15687864"</f>
        <v>15687864</v>
      </c>
      <c r="D2346" s="58" t="str">
        <f>"15687856"</f>
        <v>15687856</v>
      </c>
      <c r="E2346" s="46" t="s">
        <v>91</v>
      </c>
      <c r="F2346" s="46" t="s">
        <v>18001</v>
      </c>
      <c r="G2346" s="46" t="s">
        <v>50584</v>
      </c>
      <c r="H2346" s="48" t="s">
        <v>56716</v>
      </c>
      <c r="I2346" s="48" t="s">
        <v>50564</v>
      </c>
      <c r="J2346" s="48" t="s">
        <v>56716</v>
      </c>
      <c r="K2346" s="50" t="s">
        <v>56716</v>
      </c>
      <c r="L2346" s="48" t="s">
        <v>56716</v>
      </c>
    </row>
    <row r="2347" spans="1:12" s="37" customFormat="1" ht="11.25" x14ac:dyDescent="0.2">
      <c r="A2347" s="46" t="s">
        <v>7657</v>
      </c>
      <c r="B2347" s="46" t="s">
        <v>52215</v>
      </c>
      <c r="C2347" s="58" t="str">
        <f>"13402838"</f>
        <v>13402838</v>
      </c>
      <c r="D2347" s="58" t="str">
        <f>"17561663"</f>
        <v>17561663</v>
      </c>
      <c r="E2347" s="46" t="s">
        <v>55</v>
      </c>
      <c r="F2347" s="46" t="s">
        <v>50646</v>
      </c>
      <c r="G2347" s="46" t="s">
        <v>50584</v>
      </c>
      <c r="H2347" s="48" t="s">
        <v>56716</v>
      </c>
      <c r="I2347" s="48" t="s">
        <v>50564</v>
      </c>
      <c r="J2347" s="48"/>
      <c r="K2347" s="50"/>
      <c r="L2347" s="48" t="s">
        <v>56716</v>
      </c>
    </row>
    <row r="2348" spans="1:12" s="37" customFormat="1" ht="11.25" x14ac:dyDescent="0.2">
      <c r="A2348" s="46" t="s">
        <v>14331</v>
      </c>
      <c r="B2348" s="46" t="s">
        <v>52216</v>
      </c>
      <c r="C2348" s="58" t="str">
        <f>"18794122"</f>
        <v>18794122</v>
      </c>
      <c r="D2348" s="58" t="str">
        <f>"18794122"</f>
        <v>18794122</v>
      </c>
      <c r="E2348" s="46" t="s">
        <v>6159</v>
      </c>
      <c r="F2348" s="46" t="s">
        <v>18158</v>
      </c>
      <c r="G2348" s="46" t="s">
        <v>50593</v>
      </c>
      <c r="H2348" s="48" t="s">
        <v>56716</v>
      </c>
      <c r="I2348" s="48" t="s">
        <v>50564</v>
      </c>
      <c r="J2348" s="48"/>
      <c r="K2348" s="50"/>
      <c r="L2348" s="48"/>
    </row>
    <row r="2349" spans="1:12" s="37" customFormat="1" ht="11.25" x14ac:dyDescent="0.2">
      <c r="A2349" s="46" t="s">
        <v>1431</v>
      </c>
      <c r="B2349" s="46" t="s">
        <v>52217</v>
      </c>
      <c r="C2349" s="58" t="str">
        <f>"00124486"</f>
        <v>00124486</v>
      </c>
      <c r="D2349" s="58" t="str">
        <f>"15732622"</f>
        <v>15732622</v>
      </c>
      <c r="E2349" s="46" t="s">
        <v>18876</v>
      </c>
      <c r="F2349" s="46" t="s">
        <v>18001</v>
      </c>
      <c r="G2349" s="46" t="s">
        <v>50584</v>
      </c>
      <c r="H2349" s="48" t="s">
        <v>56716</v>
      </c>
      <c r="I2349" s="48" t="s">
        <v>50564</v>
      </c>
      <c r="J2349" s="48" t="s">
        <v>56716</v>
      </c>
      <c r="K2349" s="50" t="s">
        <v>56716</v>
      </c>
      <c r="L2349" s="48" t="s">
        <v>56716</v>
      </c>
    </row>
    <row r="2350" spans="1:12" s="37" customFormat="1" ht="11.25" x14ac:dyDescent="0.2">
      <c r="A2350" s="46" t="s">
        <v>1405</v>
      </c>
      <c r="B2350" s="46" t="s">
        <v>52218</v>
      </c>
      <c r="C2350" s="58" t="str">
        <f>"03855023"</f>
        <v>03855023</v>
      </c>
      <c r="D2350" s="58" t="str">
        <f>"09115900"</f>
        <v>09115900</v>
      </c>
      <c r="E2350" s="46" t="s">
        <v>1408</v>
      </c>
      <c r="F2350" s="46" t="s">
        <v>18242</v>
      </c>
      <c r="G2350" s="46" t="s">
        <v>50584</v>
      </c>
      <c r="H2350" s="48" t="s">
        <v>56716</v>
      </c>
      <c r="I2350" s="48" t="s">
        <v>50564</v>
      </c>
      <c r="J2350" s="48"/>
      <c r="K2350" s="50"/>
      <c r="L2350" s="48"/>
    </row>
    <row r="2351" spans="1:12" s="37" customFormat="1" ht="11.25" x14ac:dyDescent="0.2">
      <c r="A2351" s="45" t="s">
        <v>27522</v>
      </c>
      <c r="B2351" s="45" t="s">
        <v>27524</v>
      </c>
      <c r="C2351" s="51" t="s">
        <v>27527</v>
      </c>
      <c r="D2351" s="51" t="s">
        <v>27526</v>
      </c>
      <c r="E2351" s="45" t="s">
        <v>27528</v>
      </c>
      <c r="F2351" s="45" t="s">
        <v>17759</v>
      </c>
      <c r="G2351" s="45" t="s">
        <v>50584</v>
      </c>
      <c r="H2351" s="56"/>
      <c r="I2351" s="56" t="s">
        <v>50564</v>
      </c>
      <c r="J2351" s="56"/>
      <c r="K2351" s="50"/>
      <c r="L2351" s="56" t="s">
        <v>56716</v>
      </c>
    </row>
    <row r="2352" spans="1:12" s="37" customFormat="1" ht="11.25" x14ac:dyDescent="0.2">
      <c r="A2352" s="45" t="s">
        <v>27530</v>
      </c>
      <c r="B2352" s="45" t="s">
        <v>27532</v>
      </c>
      <c r="C2352" s="51" t="s">
        <v>27535</v>
      </c>
      <c r="D2352" s="51" t="s">
        <v>27534</v>
      </c>
      <c r="E2352" s="45" t="s">
        <v>27536</v>
      </c>
      <c r="F2352" s="45" t="s">
        <v>50653</v>
      </c>
      <c r="G2352" s="45" t="s">
        <v>50584</v>
      </c>
      <c r="H2352" s="56"/>
      <c r="I2352" s="56" t="s">
        <v>50564</v>
      </c>
      <c r="J2352" s="56"/>
      <c r="K2352" s="50"/>
      <c r="L2352" s="56" t="s">
        <v>56716</v>
      </c>
    </row>
    <row r="2353" spans="1:12" s="37" customFormat="1" ht="11.25" x14ac:dyDescent="0.2">
      <c r="A2353" s="46" t="s">
        <v>6607</v>
      </c>
      <c r="B2353" s="46" t="s">
        <v>6607</v>
      </c>
      <c r="C2353" s="58" t="str">
        <f>"02140659"</f>
        <v>02140659</v>
      </c>
      <c r="D2353" s="58" t="str">
        <f>""</f>
        <v/>
      </c>
      <c r="E2353" s="46" t="s">
        <v>6609</v>
      </c>
      <c r="F2353" s="46" t="s">
        <v>18439</v>
      </c>
      <c r="G2353" s="46" t="s">
        <v>50632</v>
      </c>
      <c r="H2353" s="48" t="s">
        <v>56716</v>
      </c>
      <c r="I2353" s="48" t="s">
        <v>50564</v>
      </c>
      <c r="J2353" s="48"/>
      <c r="K2353" s="50"/>
      <c r="L2353" s="48"/>
    </row>
    <row r="2354" spans="1:12" s="37" customFormat="1" ht="11.25" x14ac:dyDescent="0.2">
      <c r="A2354" s="46" t="s">
        <v>12483</v>
      </c>
      <c r="B2354" s="46" t="s">
        <v>52219</v>
      </c>
      <c r="C2354" s="58" t="str">
        <f>"16653238"</f>
        <v>16653238</v>
      </c>
      <c r="D2354" s="58" t="str">
        <f>""</f>
        <v/>
      </c>
      <c r="E2354" s="46" t="s">
        <v>12485</v>
      </c>
      <c r="F2354" s="46" t="s">
        <v>18411</v>
      </c>
      <c r="G2354" s="46" t="s">
        <v>50632</v>
      </c>
      <c r="H2354" s="48" t="s">
        <v>56716</v>
      </c>
      <c r="I2354" s="48" t="s">
        <v>50564</v>
      </c>
      <c r="J2354" s="48"/>
      <c r="K2354" s="50"/>
      <c r="L2354" s="48"/>
    </row>
    <row r="2355" spans="1:12" s="37" customFormat="1" ht="11.25" x14ac:dyDescent="0.2">
      <c r="A2355" s="45" t="s">
        <v>27538</v>
      </c>
      <c r="B2355" s="45" t="s">
        <v>27540</v>
      </c>
      <c r="C2355" s="51" t="s">
        <v>27542</v>
      </c>
      <c r="D2355" s="51" t="s">
        <v>27541</v>
      </c>
      <c r="E2355" s="45" t="s">
        <v>91</v>
      </c>
      <c r="F2355" s="45" t="s">
        <v>17759</v>
      </c>
      <c r="G2355" s="45" t="s">
        <v>50584</v>
      </c>
      <c r="H2355" s="56"/>
      <c r="I2355" s="56" t="s">
        <v>50564</v>
      </c>
      <c r="J2355" s="56"/>
      <c r="K2355" s="50"/>
      <c r="L2355" s="56" t="s">
        <v>56716</v>
      </c>
    </row>
    <row r="2356" spans="1:12" s="37" customFormat="1" ht="11.25" x14ac:dyDescent="0.2">
      <c r="A2356" s="46" t="s">
        <v>15048</v>
      </c>
      <c r="B2356" s="46" t="s">
        <v>52220</v>
      </c>
      <c r="C2356" s="58" t="str">
        <f>"0973614X"</f>
        <v>0973614X</v>
      </c>
      <c r="D2356" s="58" t="str">
        <f>"09751912"</f>
        <v>09751912</v>
      </c>
      <c r="E2356" s="46" t="s">
        <v>14870</v>
      </c>
      <c r="F2356" s="46" t="s">
        <v>20446</v>
      </c>
      <c r="G2356" s="46" t="s">
        <v>50584</v>
      </c>
      <c r="H2356" s="48" t="s">
        <v>56716</v>
      </c>
      <c r="I2356" s="48" t="s">
        <v>50564</v>
      </c>
      <c r="J2356" s="48"/>
      <c r="K2356" s="50"/>
      <c r="L2356" s="48"/>
    </row>
    <row r="2357" spans="1:12" s="37" customFormat="1" ht="11.25" x14ac:dyDescent="0.2">
      <c r="A2357" s="45" t="s">
        <v>27545</v>
      </c>
      <c r="B2357" s="45" t="s">
        <v>27547</v>
      </c>
      <c r="C2357" s="51" t="s">
        <v>27548</v>
      </c>
      <c r="D2357" s="51" t="s">
        <v>56556</v>
      </c>
      <c r="E2357" s="45" t="s">
        <v>27549</v>
      </c>
      <c r="F2357" s="45" t="s">
        <v>17958</v>
      </c>
      <c r="G2357" s="45" t="s">
        <v>50586</v>
      </c>
      <c r="H2357" s="56"/>
      <c r="I2357" s="56" t="s">
        <v>50564</v>
      </c>
      <c r="J2357" s="56"/>
      <c r="K2357" s="50"/>
      <c r="L2357" s="56" t="s">
        <v>56716</v>
      </c>
    </row>
    <row r="2358" spans="1:12" s="37" customFormat="1" ht="11.25" x14ac:dyDescent="0.2">
      <c r="A2358" s="46" t="s">
        <v>13804</v>
      </c>
      <c r="B2358" s="46" t="s">
        <v>52221</v>
      </c>
      <c r="C2358" s="58" t="str">
        <f>""</f>
        <v/>
      </c>
      <c r="D2358" s="58" t="str">
        <f>"15593258"</f>
        <v>15593258</v>
      </c>
      <c r="E2358" s="46" t="s">
        <v>13806</v>
      </c>
      <c r="F2358" s="46" t="s">
        <v>17759</v>
      </c>
      <c r="G2358" s="46" t="s">
        <v>50584</v>
      </c>
      <c r="H2358" s="48" t="s">
        <v>56716</v>
      </c>
      <c r="I2358" s="48" t="s">
        <v>50564</v>
      </c>
      <c r="J2358" s="48"/>
      <c r="K2358" s="50"/>
      <c r="L2358" s="48"/>
    </row>
    <row r="2359" spans="1:12" s="37" customFormat="1" ht="11.25" x14ac:dyDescent="0.2">
      <c r="A2359" s="46" t="s">
        <v>5163</v>
      </c>
      <c r="B2359" s="46" t="s">
        <v>52222</v>
      </c>
      <c r="C2359" s="58" t="str">
        <f>"1011288X"</f>
        <v>1011288X</v>
      </c>
      <c r="D2359" s="58" t="str">
        <f>"19516398"</f>
        <v>19516398</v>
      </c>
      <c r="E2359" s="46" t="s">
        <v>11245</v>
      </c>
      <c r="F2359" s="46" t="s">
        <v>20359</v>
      </c>
      <c r="G2359" s="46" t="s">
        <v>50591</v>
      </c>
      <c r="H2359" s="48" t="s">
        <v>56716</v>
      </c>
      <c r="I2359" s="48" t="s">
        <v>50564</v>
      </c>
      <c r="J2359" s="48"/>
      <c r="K2359" s="50" t="s">
        <v>56716</v>
      </c>
      <c r="L2359" s="48"/>
    </row>
    <row r="2360" spans="1:12" s="37" customFormat="1" ht="11.25" x14ac:dyDescent="0.2">
      <c r="A2360" s="46" t="s">
        <v>8774</v>
      </c>
      <c r="B2360" s="46" t="s">
        <v>8774</v>
      </c>
      <c r="C2360" s="58" t="str">
        <f>"16245687"</f>
        <v>16245687</v>
      </c>
      <c r="D2360" s="58" t="str">
        <f>""</f>
        <v/>
      </c>
      <c r="E2360" s="46" t="s">
        <v>85</v>
      </c>
      <c r="F2360" s="46" t="s">
        <v>20359</v>
      </c>
      <c r="G2360" s="46" t="s">
        <v>50591</v>
      </c>
      <c r="H2360" s="48" t="s">
        <v>56716</v>
      </c>
      <c r="I2360" s="48" t="s">
        <v>50564</v>
      </c>
      <c r="J2360" s="48"/>
      <c r="K2360" s="50" t="s">
        <v>56716</v>
      </c>
      <c r="L2360" s="48"/>
    </row>
    <row r="2361" spans="1:12" s="37" customFormat="1" ht="11.25" x14ac:dyDescent="0.2">
      <c r="A2361" s="46" t="s">
        <v>1338</v>
      </c>
      <c r="B2361" s="46" t="s">
        <v>52223</v>
      </c>
      <c r="C2361" s="58" t="str">
        <f>"03768716"</f>
        <v>03768716</v>
      </c>
      <c r="D2361" s="58" t="str">
        <f>"18790046"</f>
        <v>18790046</v>
      </c>
      <c r="E2361" s="46" t="s">
        <v>221</v>
      </c>
      <c r="F2361" s="46" t="s">
        <v>21771</v>
      </c>
      <c r="G2361" s="46" t="s">
        <v>50584</v>
      </c>
      <c r="H2361" s="48" t="s">
        <v>56716</v>
      </c>
      <c r="I2361" s="48" t="s">
        <v>50564</v>
      </c>
      <c r="J2361" s="48" t="s">
        <v>56716</v>
      </c>
      <c r="K2361" s="50" t="s">
        <v>56716</v>
      </c>
      <c r="L2361" s="48" t="s">
        <v>56716</v>
      </c>
    </row>
    <row r="2362" spans="1:12" s="37" customFormat="1" ht="11.25" x14ac:dyDescent="0.2">
      <c r="A2362" s="45" t="s">
        <v>27563</v>
      </c>
      <c r="B2362" s="45" t="s">
        <v>27565</v>
      </c>
      <c r="C2362" s="51" t="s">
        <v>27568</v>
      </c>
      <c r="D2362" s="51" t="s">
        <v>27567</v>
      </c>
      <c r="E2362" s="45" t="s">
        <v>970</v>
      </c>
      <c r="F2362" s="45" t="s">
        <v>20082</v>
      </c>
      <c r="G2362" s="45" t="s">
        <v>50584</v>
      </c>
      <c r="H2362" s="56"/>
      <c r="I2362" s="56" t="s">
        <v>50564</v>
      </c>
      <c r="J2362" s="56"/>
      <c r="K2362" s="50"/>
      <c r="L2362" s="56" t="s">
        <v>56716</v>
      </c>
    </row>
    <row r="2363" spans="1:12" s="37" customFormat="1" ht="11.25" x14ac:dyDescent="0.2">
      <c r="A2363" s="46" t="s">
        <v>1352</v>
      </c>
      <c r="B2363" s="46" t="s">
        <v>52224</v>
      </c>
      <c r="C2363" s="58" t="str">
        <f>"01480545"</f>
        <v>01480545</v>
      </c>
      <c r="D2363" s="58" t="str">
        <f>"15256014"</f>
        <v>15256014</v>
      </c>
      <c r="E2363" s="46" t="s">
        <v>291</v>
      </c>
      <c r="F2363" s="46" t="s">
        <v>17759</v>
      </c>
      <c r="G2363" s="46" t="s">
        <v>50584</v>
      </c>
      <c r="H2363" s="48" t="s">
        <v>56716</v>
      </c>
      <c r="I2363" s="48" t="s">
        <v>50564</v>
      </c>
      <c r="J2363" s="48"/>
      <c r="K2363" s="50"/>
      <c r="L2363" s="48" t="s">
        <v>56716</v>
      </c>
    </row>
    <row r="2364" spans="1:12" s="37" customFormat="1" ht="11.25" x14ac:dyDescent="0.2">
      <c r="A2364" s="46" t="s">
        <v>1443</v>
      </c>
      <c r="B2364" s="46" t="s">
        <v>52225</v>
      </c>
      <c r="C2364" s="58" t="str">
        <f>"00126543"</f>
        <v>00126543</v>
      </c>
      <c r="D2364" s="58" t="str">
        <f>"17555248"</f>
        <v>17555248</v>
      </c>
      <c r="E2364" s="46" t="s">
        <v>159</v>
      </c>
      <c r="F2364" s="46" t="s">
        <v>50646</v>
      </c>
      <c r="G2364" s="46" t="s">
        <v>50584</v>
      </c>
      <c r="H2364" s="48" t="s">
        <v>56716</v>
      </c>
      <c r="I2364" s="48" t="s">
        <v>50564</v>
      </c>
      <c r="J2364" s="48"/>
      <c r="K2364" s="50"/>
      <c r="L2364" s="48" t="s">
        <v>56716</v>
      </c>
    </row>
    <row r="2365" spans="1:12" s="37" customFormat="1" ht="11.25" x14ac:dyDescent="0.2">
      <c r="A2365" s="46" t="s">
        <v>6342</v>
      </c>
      <c r="B2365" s="46" t="s">
        <v>52226</v>
      </c>
      <c r="C2365" s="58" t="str">
        <f>"10717544"</f>
        <v>10717544</v>
      </c>
      <c r="D2365" s="58" t="str">
        <f>"15210464"</f>
        <v>15210464</v>
      </c>
      <c r="E2365" s="46" t="s">
        <v>291</v>
      </c>
      <c r="F2365" s="46" t="s">
        <v>50646</v>
      </c>
      <c r="G2365" s="46" t="s">
        <v>50584</v>
      </c>
      <c r="H2365" s="48" t="s">
        <v>56716</v>
      </c>
      <c r="I2365" s="48" t="s">
        <v>50564</v>
      </c>
      <c r="J2365" s="48" t="s">
        <v>56716</v>
      </c>
      <c r="K2365" s="50"/>
      <c r="L2365" s="48" t="s">
        <v>56716</v>
      </c>
    </row>
    <row r="2366" spans="1:12" s="37" customFormat="1" ht="11.25" x14ac:dyDescent="0.2">
      <c r="A2366" s="46" t="s">
        <v>15801</v>
      </c>
      <c r="B2366" s="46" t="s">
        <v>52227</v>
      </c>
      <c r="C2366" s="58" t="str">
        <f>"2190393X"</f>
        <v>2190393X</v>
      </c>
      <c r="D2366" s="58" t="str">
        <f>"21903948"</f>
        <v>21903948</v>
      </c>
      <c r="E2366" s="46" t="s">
        <v>167</v>
      </c>
      <c r="F2366" s="46" t="s">
        <v>18158</v>
      </c>
      <c r="G2366" s="46" t="s">
        <v>50584</v>
      </c>
      <c r="H2366" s="48" t="s">
        <v>56716</v>
      </c>
      <c r="I2366" s="48" t="s">
        <v>50564</v>
      </c>
      <c r="J2366" s="48" t="s">
        <v>56716</v>
      </c>
      <c r="K2366" s="50"/>
      <c r="L2366" s="48"/>
    </row>
    <row r="2367" spans="1:12" s="37" customFormat="1" ht="11.25" x14ac:dyDescent="0.2">
      <c r="A2367" s="46" t="s">
        <v>16404</v>
      </c>
      <c r="B2367" s="46" t="s">
        <v>52228</v>
      </c>
      <c r="C2367" s="58" t="str">
        <f>"22103031"</f>
        <v>22103031</v>
      </c>
      <c r="D2367" s="58" t="str">
        <f>"2210304X"</f>
        <v>2210304X</v>
      </c>
      <c r="E2367" s="46" t="s">
        <v>6405</v>
      </c>
      <c r="F2367" s="46" t="s">
        <v>18001</v>
      </c>
      <c r="G2367" s="46" t="s">
        <v>50584</v>
      </c>
      <c r="H2367" s="48" t="s">
        <v>56716</v>
      </c>
      <c r="I2367" s="48" t="s">
        <v>50564</v>
      </c>
      <c r="J2367" s="48" t="s">
        <v>56716</v>
      </c>
      <c r="K2367" s="50"/>
      <c r="L2367" s="48"/>
    </row>
    <row r="2368" spans="1:12" s="37" customFormat="1" ht="11.25" x14ac:dyDescent="0.2">
      <c r="A2368" s="46" t="s">
        <v>6765</v>
      </c>
      <c r="B2368" s="46" t="s">
        <v>52229</v>
      </c>
      <c r="C2368" s="58" t="str">
        <f>"09135006"</f>
        <v>09135006</v>
      </c>
      <c r="D2368" s="58" t="str">
        <f>"18812732"</f>
        <v>18812732</v>
      </c>
      <c r="E2368" s="46" t="s">
        <v>6768</v>
      </c>
      <c r="F2368" s="46" t="s">
        <v>18242</v>
      </c>
      <c r="G2368" s="46" t="s">
        <v>50604</v>
      </c>
      <c r="H2368" s="48" t="s">
        <v>56716</v>
      </c>
      <c r="I2368" s="48" t="s">
        <v>50564</v>
      </c>
      <c r="J2368" s="48"/>
      <c r="K2368" s="50"/>
      <c r="L2368" s="48"/>
    </row>
    <row r="2369" spans="1:12" s="37" customFormat="1" ht="11.25" x14ac:dyDescent="0.2">
      <c r="A2369" s="46" t="s">
        <v>13701</v>
      </c>
      <c r="B2369" s="46" t="s">
        <v>52230</v>
      </c>
      <c r="C2369" s="58" t="str">
        <f>"11778881"</f>
        <v>11778881</v>
      </c>
      <c r="D2369" s="58" t="str">
        <f>"11778881"</f>
        <v>11778881</v>
      </c>
      <c r="E2369" s="46" t="s">
        <v>11079</v>
      </c>
      <c r="F2369" s="46" t="s">
        <v>19483</v>
      </c>
      <c r="G2369" s="46" t="s">
        <v>50584</v>
      </c>
      <c r="H2369" s="48" t="s">
        <v>56716</v>
      </c>
      <c r="I2369" s="48" t="s">
        <v>50564</v>
      </c>
      <c r="J2369" s="48"/>
      <c r="K2369" s="50"/>
      <c r="L2369" s="48" t="s">
        <v>56716</v>
      </c>
    </row>
    <row r="2370" spans="1:12" s="37" customFormat="1" ht="11.25" x14ac:dyDescent="0.2">
      <c r="A2370" s="46" t="s">
        <v>13281</v>
      </c>
      <c r="B2370" s="46" t="s">
        <v>52231</v>
      </c>
      <c r="C2370" s="58" t="str">
        <f>"15372898"</f>
        <v>15372898</v>
      </c>
      <c r="D2370" s="58" t="str">
        <f>"1944818X"</f>
        <v>1944818X</v>
      </c>
      <c r="E2370" s="46" t="s">
        <v>13284</v>
      </c>
      <c r="F2370" s="46" t="s">
        <v>17759</v>
      </c>
      <c r="G2370" s="46" t="s">
        <v>50584</v>
      </c>
      <c r="H2370" s="48" t="s">
        <v>56716</v>
      </c>
      <c r="I2370" s="48" t="s">
        <v>50566</v>
      </c>
      <c r="J2370" s="48"/>
      <c r="K2370" s="50"/>
      <c r="L2370" s="48"/>
    </row>
    <row r="2371" spans="1:12" s="37" customFormat="1" ht="11.25" x14ac:dyDescent="0.2">
      <c r="A2371" s="46" t="s">
        <v>1355</v>
      </c>
      <c r="B2371" s="46" t="s">
        <v>52232</v>
      </c>
      <c r="C2371" s="58" t="str">
        <f>"03639045"</f>
        <v>03639045</v>
      </c>
      <c r="D2371" s="58" t="str">
        <f>"15205762"</f>
        <v>15205762</v>
      </c>
      <c r="E2371" s="46" t="s">
        <v>291</v>
      </c>
      <c r="F2371" s="46" t="s">
        <v>17759</v>
      </c>
      <c r="G2371" s="46" t="s">
        <v>50584</v>
      </c>
      <c r="H2371" s="48" t="s">
        <v>56716</v>
      </c>
      <c r="I2371" s="48" t="s">
        <v>50564</v>
      </c>
      <c r="J2371" s="48"/>
      <c r="K2371" s="50"/>
      <c r="L2371" s="48" t="s">
        <v>56716</v>
      </c>
    </row>
    <row r="2372" spans="1:12" s="37" customFormat="1" ht="11.25" x14ac:dyDescent="0.2">
      <c r="A2372" s="46" t="s">
        <v>1358</v>
      </c>
      <c r="B2372" s="46" t="s">
        <v>52233</v>
      </c>
      <c r="C2372" s="58" t="str">
        <f>"02724391"</f>
        <v>02724391</v>
      </c>
      <c r="D2372" s="58" t="str">
        <f>"10982299"</f>
        <v>10982299</v>
      </c>
      <c r="E2372" s="46" t="s">
        <v>320</v>
      </c>
      <c r="F2372" s="46" t="s">
        <v>17759</v>
      </c>
      <c r="G2372" s="46" t="s">
        <v>50584</v>
      </c>
      <c r="H2372" s="48" t="s">
        <v>56716</v>
      </c>
      <c r="I2372" s="48" t="s">
        <v>50564</v>
      </c>
      <c r="J2372" s="48"/>
      <c r="K2372" s="50" t="s">
        <v>56716</v>
      </c>
      <c r="L2372" s="48" t="s">
        <v>56716</v>
      </c>
    </row>
    <row r="2373" spans="1:12" s="37" customFormat="1" ht="11.25" x14ac:dyDescent="0.2">
      <c r="A2373" s="46" t="s">
        <v>16744</v>
      </c>
      <c r="B2373" s="46" t="s">
        <v>52234</v>
      </c>
      <c r="C2373" s="58" t="str">
        <f>"18817831"</f>
        <v>18817831</v>
      </c>
      <c r="D2373" s="58" t="str">
        <f>"1881784X"</f>
        <v>1881784X</v>
      </c>
      <c r="E2373" s="46" t="s">
        <v>16747</v>
      </c>
      <c r="F2373" s="46" t="s">
        <v>18242</v>
      </c>
      <c r="G2373" s="46" t="s">
        <v>50584</v>
      </c>
      <c r="H2373" s="48" t="s">
        <v>56716</v>
      </c>
      <c r="I2373" s="48" t="s">
        <v>50564</v>
      </c>
      <c r="J2373" s="48"/>
      <c r="K2373" s="50"/>
      <c r="L2373" s="48" t="s">
        <v>56716</v>
      </c>
    </row>
    <row r="2374" spans="1:12" s="37" customFormat="1" ht="11.25" x14ac:dyDescent="0.2">
      <c r="A2374" s="46" t="s">
        <v>7023</v>
      </c>
      <c r="B2374" s="46" t="s">
        <v>52235</v>
      </c>
      <c r="C2374" s="58" t="str">
        <f>"13596446"</f>
        <v>13596446</v>
      </c>
      <c r="D2374" s="58" t="str">
        <f>"18785832"</f>
        <v>18785832</v>
      </c>
      <c r="E2374" s="46" t="s">
        <v>155</v>
      </c>
      <c r="F2374" s="46" t="s">
        <v>50646</v>
      </c>
      <c r="G2374" s="46" t="s">
        <v>50584</v>
      </c>
      <c r="H2374" s="48" t="s">
        <v>56716</v>
      </c>
      <c r="I2374" s="48" t="s">
        <v>50564</v>
      </c>
      <c r="J2374" s="48"/>
      <c r="K2374" s="50" t="s">
        <v>56716</v>
      </c>
      <c r="L2374" s="48" t="s">
        <v>56716</v>
      </c>
    </row>
    <row r="2375" spans="1:12" s="37" customFormat="1" ht="11.25" x14ac:dyDescent="0.2">
      <c r="A2375" s="46" t="s">
        <v>10568</v>
      </c>
      <c r="B2375" s="46" t="s">
        <v>52236</v>
      </c>
      <c r="C2375" s="58" t="str">
        <f>""</f>
        <v/>
      </c>
      <c r="D2375" s="58" t="str">
        <f>"17406757"</f>
        <v>17406757</v>
      </c>
      <c r="E2375" s="46" t="s">
        <v>155</v>
      </c>
      <c r="F2375" s="46" t="s">
        <v>50646</v>
      </c>
      <c r="G2375" s="46" t="s">
        <v>50584</v>
      </c>
      <c r="H2375" s="48" t="s">
        <v>56716</v>
      </c>
      <c r="I2375" s="48" t="s">
        <v>50564</v>
      </c>
      <c r="J2375" s="48"/>
      <c r="K2375" s="50" t="s">
        <v>56716</v>
      </c>
      <c r="L2375" s="48"/>
    </row>
    <row r="2376" spans="1:12" s="37" customFormat="1" ht="11.25" x14ac:dyDescent="0.2">
      <c r="A2376" s="46" t="s">
        <v>10570</v>
      </c>
      <c r="B2376" s="46" t="s">
        <v>52237</v>
      </c>
      <c r="C2376" s="58" t="str">
        <f>""</f>
        <v/>
      </c>
      <c r="D2376" s="58" t="str">
        <f>"17406749"</f>
        <v>17406749</v>
      </c>
      <c r="E2376" s="46" t="s">
        <v>155</v>
      </c>
      <c r="F2376" s="46" t="s">
        <v>50646</v>
      </c>
      <c r="G2376" s="46" t="s">
        <v>50584</v>
      </c>
      <c r="H2376" s="48" t="s">
        <v>56716</v>
      </c>
      <c r="I2376" s="48" t="s">
        <v>50564</v>
      </c>
      <c r="J2376" s="48"/>
      <c r="K2376" s="50" t="s">
        <v>56716</v>
      </c>
      <c r="L2376" s="48" t="s">
        <v>56716</v>
      </c>
    </row>
    <row r="2377" spans="1:12" s="37" customFormat="1" ht="11.25" x14ac:dyDescent="0.2">
      <c r="A2377" s="46" t="s">
        <v>10572</v>
      </c>
      <c r="B2377" s="46" t="s">
        <v>52238</v>
      </c>
      <c r="C2377" s="58" t="str">
        <f>""</f>
        <v/>
      </c>
      <c r="D2377" s="58" t="str">
        <f>"17406773"</f>
        <v>17406773</v>
      </c>
      <c r="E2377" s="46" t="s">
        <v>155</v>
      </c>
      <c r="F2377" s="46" t="s">
        <v>50646</v>
      </c>
      <c r="G2377" s="46" t="s">
        <v>50584</v>
      </c>
      <c r="H2377" s="48" t="s">
        <v>56716</v>
      </c>
      <c r="I2377" s="48" t="s">
        <v>50564</v>
      </c>
      <c r="J2377" s="48"/>
      <c r="K2377" s="50" t="s">
        <v>56716</v>
      </c>
      <c r="L2377" s="48"/>
    </row>
    <row r="2378" spans="1:12" s="37" customFormat="1" ht="11.25" x14ac:dyDescent="0.2">
      <c r="A2378" s="46" t="s">
        <v>10453</v>
      </c>
      <c r="B2378" s="46" t="s">
        <v>52239</v>
      </c>
      <c r="C2378" s="58" t="str">
        <f>"14694344"</f>
        <v>14694344</v>
      </c>
      <c r="D2378" s="58" t="str">
        <f>""</f>
        <v/>
      </c>
      <c r="E2378" s="46" t="s">
        <v>10455</v>
      </c>
      <c r="F2378" s="46" t="s">
        <v>50646</v>
      </c>
      <c r="G2378" s="46" t="s">
        <v>50584</v>
      </c>
      <c r="H2378" s="48" t="s">
        <v>56716</v>
      </c>
      <c r="I2378" s="48" t="s">
        <v>50564</v>
      </c>
      <c r="J2378" s="48"/>
      <c r="K2378" s="50"/>
      <c r="L2378" s="48"/>
    </row>
    <row r="2379" spans="1:12" s="37" customFormat="1" ht="11.25" x14ac:dyDescent="0.2">
      <c r="A2379" s="46" t="s">
        <v>16165</v>
      </c>
      <c r="B2379" s="46" t="s">
        <v>52240</v>
      </c>
      <c r="C2379" s="58" t="str">
        <f>"09757619"</f>
        <v>09757619</v>
      </c>
      <c r="D2379" s="58" t="str">
        <f>"09757619"</f>
        <v>09757619</v>
      </c>
      <c r="E2379" s="46" t="s">
        <v>56102</v>
      </c>
      <c r="F2379" s="46" t="s">
        <v>20446</v>
      </c>
      <c r="G2379" s="46" t="s">
        <v>50584</v>
      </c>
      <c r="H2379" s="48" t="s">
        <v>56716</v>
      </c>
      <c r="I2379" s="48" t="s">
        <v>50564</v>
      </c>
      <c r="J2379" s="48"/>
      <c r="K2379" s="50"/>
      <c r="L2379" s="48"/>
    </row>
    <row r="2380" spans="1:12" s="37" customFormat="1" ht="11.25" x14ac:dyDescent="0.2">
      <c r="A2380" s="46" t="s">
        <v>1417</v>
      </c>
      <c r="B2380" s="46" t="s">
        <v>52241</v>
      </c>
      <c r="C2380" s="58" t="str">
        <f>"00909556"</f>
        <v>00909556</v>
      </c>
      <c r="D2380" s="58" t="str">
        <f>"1521009X"</f>
        <v>1521009X</v>
      </c>
      <c r="E2380" s="46" t="s">
        <v>1420</v>
      </c>
      <c r="F2380" s="46" t="s">
        <v>17759</v>
      </c>
      <c r="G2380" s="46" t="s">
        <v>50584</v>
      </c>
      <c r="H2380" s="48" t="s">
        <v>56716</v>
      </c>
      <c r="I2380" s="48" t="s">
        <v>50564</v>
      </c>
      <c r="J2380" s="48" t="s">
        <v>56716</v>
      </c>
      <c r="K2380" s="50"/>
      <c r="L2380" s="48" t="s">
        <v>56716</v>
      </c>
    </row>
    <row r="2381" spans="1:12" s="37" customFormat="1" ht="11.25" x14ac:dyDescent="0.2">
      <c r="A2381" s="46" t="s">
        <v>5005</v>
      </c>
      <c r="B2381" s="46" t="s">
        <v>52242</v>
      </c>
      <c r="C2381" s="58" t="str">
        <f>"07925077"</f>
        <v>07925077</v>
      </c>
      <c r="D2381" s="58" t="str">
        <f>"21910162"</f>
        <v>21910162</v>
      </c>
      <c r="E2381" s="46" t="s">
        <v>1887</v>
      </c>
      <c r="F2381" s="46" t="s">
        <v>18158</v>
      </c>
      <c r="G2381" s="46" t="s">
        <v>50584</v>
      </c>
      <c r="H2381" s="48" t="s">
        <v>56716</v>
      </c>
      <c r="I2381" s="48" t="s">
        <v>50564</v>
      </c>
      <c r="J2381" s="48"/>
      <c r="K2381" s="50"/>
      <c r="L2381" s="48" t="s">
        <v>56716</v>
      </c>
    </row>
    <row r="2382" spans="1:12" s="37" customFormat="1" ht="11.25" x14ac:dyDescent="0.2">
      <c r="A2382" s="46" t="s">
        <v>55989</v>
      </c>
      <c r="B2382" s="46" t="s">
        <v>55990</v>
      </c>
      <c r="C2382" s="58" t="str">
        <f>"23638907"</f>
        <v>23638907</v>
      </c>
      <c r="D2382" s="58" t="str">
        <f>"23638915"</f>
        <v>23638915</v>
      </c>
      <c r="E2382" s="46" t="s">
        <v>1887</v>
      </c>
      <c r="F2382" s="46" t="s">
        <v>18158</v>
      </c>
      <c r="G2382" s="46" t="s">
        <v>50584</v>
      </c>
      <c r="H2382" s="48" t="s">
        <v>56716</v>
      </c>
      <c r="I2382" s="48" t="s">
        <v>50564</v>
      </c>
      <c r="J2382" s="48"/>
      <c r="K2382" s="50"/>
      <c r="L2382" s="48"/>
    </row>
    <row r="2383" spans="1:12" s="37" customFormat="1" ht="11.25" x14ac:dyDescent="0.2">
      <c r="A2383" s="46" t="s">
        <v>12876</v>
      </c>
      <c r="B2383" s="46" t="s">
        <v>52243</v>
      </c>
      <c r="C2383" s="58" t="str">
        <f>"13474367"</f>
        <v>13474367</v>
      </c>
      <c r="D2383" s="58" t="str">
        <f>"18800920"</f>
        <v>18800920</v>
      </c>
      <c r="E2383" s="46" t="s">
        <v>12879</v>
      </c>
      <c r="F2383" s="46" t="s">
        <v>18242</v>
      </c>
      <c r="G2383" s="46" t="s">
        <v>50584</v>
      </c>
      <c r="H2383" s="48" t="s">
        <v>56716</v>
      </c>
      <c r="I2383" s="48" t="s">
        <v>50564</v>
      </c>
      <c r="J2383" s="48"/>
      <c r="K2383" s="50" t="s">
        <v>56716</v>
      </c>
      <c r="L2383" s="48" t="s">
        <v>56716</v>
      </c>
    </row>
    <row r="2384" spans="1:12" s="37" customFormat="1" ht="11.25" x14ac:dyDescent="0.2">
      <c r="A2384" s="46" t="s">
        <v>12317</v>
      </c>
      <c r="B2384" s="46" t="s">
        <v>52244</v>
      </c>
      <c r="C2384" s="58" t="str">
        <f>"18723128"</f>
        <v>18723128</v>
      </c>
      <c r="D2384" s="58" t="str">
        <f>""</f>
        <v/>
      </c>
      <c r="E2384" s="46" t="s">
        <v>6405</v>
      </c>
      <c r="F2384" s="46" t="s">
        <v>18001</v>
      </c>
      <c r="G2384" s="46" t="s">
        <v>50584</v>
      </c>
      <c r="H2384" s="48" t="s">
        <v>56716</v>
      </c>
      <c r="I2384" s="48" t="s">
        <v>50564</v>
      </c>
      <c r="J2384" s="48" t="s">
        <v>56716</v>
      </c>
      <c r="K2384" s="50"/>
      <c r="L2384" s="48" t="s">
        <v>56716</v>
      </c>
    </row>
    <row r="2385" spans="1:12" s="37" customFormat="1" ht="11.25" x14ac:dyDescent="0.2">
      <c r="A2385" s="46" t="s">
        <v>1425</v>
      </c>
      <c r="B2385" s="46" t="s">
        <v>52245</v>
      </c>
      <c r="C2385" s="58" t="str">
        <f>"03602532"</f>
        <v>03602532</v>
      </c>
      <c r="D2385" s="58" t="str">
        <f>"10979883"</f>
        <v>10979883</v>
      </c>
      <c r="E2385" s="46" t="s">
        <v>291</v>
      </c>
      <c r="F2385" s="46" t="s">
        <v>17759</v>
      </c>
      <c r="G2385" s="46" t="s">
        <v>50584</v>
      </c>
      <c r="H2385" s="48" t="s">
        <v>56716</v>
      </c>
      <c r="I2385" s="48" t="s">
        <v>50564</v>
      </c>
      <c r="J2385" s="48"/>
      <c r="K2385" s="50"/>
      <c r="L2385" s="48" t="s">
        <v>56716</v>
      </c>
    </row>
    <row r="2386" spans="1:12" s="37" customFormat="1" ht="11.25" x14ac:dyDescent="0.2">
      <c r="A2386" s="46" t="s">
        <v>17039</v>
      </c>
      <c r="B2386" s="46" t="s">
        <v>52246</v>
      </c>
      <c r="C2386" s="58" t="str">
        <f>"21949379"</f>
        <v>21949379</v>
      </c>
      <c r="D2386" s="58" t="str">
        <f>"21949387"</f>
        <v>21949387</v>
      </c>
      <c r="E2386" s="46" t="s">
        <v>412</v>
      </c>
      <c r="F2386" s="46" t="s">
        <v>18158</v>
      </c>
      <c r="G2386" s="46" t="s">
        <v>50592</v>
      </c>
      <c r="H2386" s="48" t="s">
        <v>56716</v>
      </c>
      <c r="I2386" s="48" t="s">
        <v>50564</v>
      </c>
      <c r="J2386" s="48"/>
      <c r="K2386" s="50" t="s">
        <v>56716</v>
      </c>
      <c r="L2386" s="48" t="s">
        <v>56716</v>
      </c>
    </row>
    <row r="2387" spans="1:12" s="37" customFormat="1" ht="11.25" x14ac:dyDescent="0.2">
      <c r="A2387" s="46" t="s">
        <v>7823</v>
      </c>
      <c r="B2387" s="46" t="s">
        <v>52247</v>
      </c>
      <c r="C2387" s="58" t="str">
        <f>"13687646"</f>
        <v>13687646</v>
      </c>
      <c r="D2387" s="58" t="str">
        <f>"15322084"</f>
        <v>15322084</v>
      </c>
      <c r="E2387" s="46" t="s">
        <v>831</v>
      </c>
      <c r="F2387" s="46" t="s">
        <v>50646</v>
      </c>
      <c r="G2387" s="46" t="s">
        <v>50584</v>
      </c>
      <c r="H2387" s="48" t="s">
        <v>56716</v>
      </c>
      <c r="I2387" s="48" t="s">
        <v>50564</v>
      </c>
      <c r="J2387" s="48" t="s">
        <v>56716</v>
      </c>
      <c r="K2387" s="50" t="s">
        <v>56716</v>
      </c>
      <c r="L2387" s="48" t="s">
        <v>56716</v>
      </c>
    </row>
    <row r="2388" spans="1:12" s="37" customFormat="1" ht="11.25" x14ac:dyDescent="0.2">
      <c r="A2388" s="46" t="s">
        <v>5070</v>
      </c>
      <c r="B2388" s="46" t="s">
        <v>52248</v>
      </c>
      <c r="C2388" s="58" t="str">
        <f>"01145916"</f>
        <v>01145916</v>
      </c>
      <c r="D2388" s="58" t="str">
        <f>"11791942"</f>
        <v>11791942</v>
      </c>
      <c r="E2388" s="46" t="s">
        <v>55920</v>
      </c>
      <c r="F2388" s="46" t="s">
        <v>18123</v>
      </c>
      <c r="G2388" s="46" t="s">
        <v>50584</v>
      </c>
      <c r="H2388" s="48" t="s">
        <v>56716</v>
      </c>
      <c r="I2388" s="48" t="s">
        <v>50564</v>
      </c>
      <c r="J2388" s="48" t="s">
        <v>56716</v>
      </c>
      <c r="K2388" s="50" t="s">
        <v>56716</v>
      </c>
      <c r="L2388" s="48" t="s">
        <v>56716</v>
      </c>
    </row>
    <row r="2389" spans="1:12" s="37" customFormat="1" ht="11.25" x14ac:dyDescent="0.2">
      <c r="A2389" s="46" t="s">
        <v>12409</v>
      </c>
      <c r="B2389" s="46" t="s">
        <v>12409</v>
      </c>
      <c r="C2389" s="58" t="str">
        <f>""</f>
        <v/>
      </c>
      <c r="D2389" s="58" t="str">
        <f>"11773928"</f>
        <v>11773928</v>
      </c>
      <c r="E2389" s="46" t="s">
        <v>11251</v>
      </c>
      <c r="F2389" s="46" t="s">
        <v>19483</v>
      </c>
      <c r="G2389" s="46" t="s">
        <v>50584</v>
      </c>
      <c r="H2389" s="48" t="s">
        <v>56716</v>
      </c>
      <c r="I2389" s="48" t="s">
        <v>50564</v>
      </c>
      <c r="J2389" s="48"/>
      <c r="K2389" s="50"/>
      <c r="L2389" s="48"/>
    </row>
    <row r="2390" spans="1:12" s="37" customFormat="1" ht="11.25" x14ac:dyDescent="0.2">
      <c r="A2390" s="46" t="s">
        <v>13665</v>
      </c>
      <c r="B2390" s="46" t="s">
        <v>52249</v>
      </c>
      <c r="C2390" s="58" t="str">
        <f>"19427603"</f>
        <v>19427603</v>
      </c>
      <c r="D2390" s="58" t="str">
        <f>"19427611"</f>
        <v>19427611</v>
      </c>
      <c r="E2390" s="46" t="s">
        <v>751</v>
      </c>
      <c r="F2390" s="46" t="s">
        <v>50646</v>
      </c>
      <c r="G2390" s="46" t="s">
        <v>50584</v>
      </c>
      <c r="H2390" s="48" t="s">
        <v>56716</v>
      </c>
      <c r="I2390" s="48" t="s">
        <v>50564</v>
      </c>
      <c r="J2390" s="48" t="s">
        <v>56716</v>
      </c>
      <c r="K2390" s="50" t="s">
        <v>56716</v>
      </c>
      <c r="L2390" s="48" t="s">
        <v>56716</v>
      </c>
    </row>
    <row r="2391" spans="1:12" s="37" customFormat="1" ht="11.25" x14ac:dyDescent="0.2">
      <c r="A2391" s="46" t="s">
        <v>4825</v>
      </c>
      <c r="B2391" s="46" t="s">
        <v>4825</v>
      </c>
      <c r="C2391" s="58" t="str">
        <f>"00126616"</f>
        <v>00126616</v>
      </c>
      <c r="D2391" s="58" t="str">
        <f>"19378157"</f>
        <v>19378157</v>
      </c>
      <c r="E2391" s="46" t="s">
        <v>4828</v>
      </c>
      <c r="F2391" s="46" t="s">
        <v>17759</v>
      </c>
      <c r="G2391" s="46" t="s">
        <v>50584</v>
      </c>
      <c r="H2391" s="48" t="s">
        <v>56716</v>
      </c>
      <c r="I2391" s="48" t="s">
        <v>50564</v>
      </c>
      <c r="J2391" s="48"/>
      <c r="K2391" s="50"/>
      <c r="L2391" s="48"/>
    </row>
    <row r="2392" spans="1:12" s="37" customFormat="1" ht="11.25" x14ac:dyDescent="0.2">
      <c r="A2392" s="46" t="s">
        <v>14120</v>
      </c>
      <c r="B2392" s="46" t="s">
        <v>52250</v>
      </c>
      <c r="C2392" s="58" t="str">
        <f>""</f>
        <v/>
      </c>
      <c r="D2392" s="58" t="str">
        <f>"11791365"</f>
        <v>11791365</v>
      </c>
      <c r="E2392" s="46" t="s">
        <v>11078</v>
      </c>
      <c r="F2392" s="46" t="s">
        <v>19483</v>
      </c>
      <c r="G2392" s="46" t="s">
        <v>50584</v>
      </c>
      <c r="H2392" s="48" t="s">
        <v>56716</v>
      </c>
      <c r="I2392" s="48" t="s">
        <v>50564</v>
      </c>
      <c r="J2392" s="48"/>
      <c r="K2392" s="50"/>
      <c r="L2392" s="48"/>
    </row>
    <row r="2393" spans="1:12" s="37" customFormat="1" ht="11.25" x14ac:dyDescent="0.2">
      <c r="A2393" s="46" t="s">
        <v>1446</v>
      </c>
      <c r="B2393" s="46" t="s">
        <v>1446</v>
      </c>
      <c r="C2393" s="58" t="str">
        <f>"00126667"</f>
        <v>00126667</v>
      </c>
      <c r="D2393" s="58" t="str">
        <f>"11791950"</f>
        <v>11791950</v>
      </c>
      <c r="E2393" s="46" t="s">
        <v>55920</v>
      </c>
      <c r="F2393" s="46" t="s">
        <v>18123</v>
      </c>
      <c r="G2393" s="46" t="s">
        <v>50584</v>
      </c>
      <c r="H2393" s="48" t="s">
        <v>56716</v>
      </c>
      <c r="I2393" s="48" t="s">
        <v>50564</v>
      </c>
      <c r="J2393" s="48"/>
      <c r="K2393" s="50" t="s">
        <v>56716</v>
      </c>
      <c r="L2393" s="48" t="s">
        <v>56716</v>
      </c>
    </row>
    <row r="2394" spans="1:12" s="37" customFormat="1" ht="11.25" x14ac:dyDescent="0.2">
      <c r="A2394" s="46" t="s">
        <v>5403</v>
      </c>
      <c r="B2394" s="46" t="s">
        <v>27671</v>
      </c>
      <c r="C2394" s="58" t="str">
        <f>"1170229X"</f>
        <v>1170229X</v>
      </c>
      <c r="D2394" s="58" t="str">
        <f>"11791969"</f>
        <v>11791969</v>
      </c>
      <c r="E2394" s="46" t="s">
        <v>55920</v>
      </c>
      <c r="F2394" s="46" t="s">
        <v>18123</v>
      </c>
      <c r="G2394" s="46" t="s">
        <v>50584</v>
      </c>
      <c r="H2394" s="48" t="s">
        <v>56716</v>
      </c>
      <c r="I2394" s="48" t="s">
        <v>50564</v>
      </c>
      <c r="J2394" s="48" t="s">
        <v>56716</v>
      </c>
      <c r="K2394" s="50" t="s">
        <v>56716</v>
      </c>
      <c r="L2394" s="48" t="s">
        <v>56716</v>
      </c>
    </row>
    <row r="2395" spans="1:12" s="37" customFormat="1" ht="11.25" x14ac:dyDescent="0.2">
      <c r="A2395" s="46" t="s">
        <v>6243</v>
      </c>
      <c r="B2395" s="46" t="s">
        <v>52251</v>
      </c>
      <c r="C2395" s="58" t="str">
        <f>"11720360"</f>
        <v>11720360</v>
      </c>
      <c r="D2395" s="58" t="str">
        <f>"11791977"</f>
        <v>11791977</v>
      </c>
      <c r="E2395" s="46" t="s">
        <v>55920</v>
      </c>
      <c r="F2395" s="46" t="s">
        <v>18123</v>
      </c>
      <c r="G2395" s="46" t="s">
        <v>50584</v>
      </c>
      <c r="H2395" s="48" t="s">
        <v>56716</v>
      </c>
      <c r="I2395" s="48" t="s">
        <v>50564</v>
      </c>
      <c r="J2395" s="48"/>
      <c r="K2395" s="50"/>
      <c r="L2395" s="48"/>
    </row>
    <row r="2396" spans="1:12" s="37" customFormat="1" ht="11.25" x14ac:dyDescent="0.2">
      <c r="A2396" s="46" t="s">
        <v>16897</v>
      </c>
      <c r="B2396" s="46" t="s">
        <v>52252</v>
      </c>
      <c r="C2396" s="58" t="str">
        <f>"20389493"</f>
        <v>20389493</v>
      </c>
      <c r="D2396" s="58" t="str">
        <f>"20389507"</f>
        <v>20389507</v>
      </c>
      <c r="E2396" s="46" t="s">
        <v>1949</v>
      </c>
      <c r="F2396" s="46" t="s">
        <v>17991</v>
      </c>
      <c r="G2396" s="46" t="s">
        <v>50584</v>
      </c>
      <c r="H2396" s="48" t="s">
        <v>56716</v>
      </c>
      <c r="I2396" s="48" t="s">
        <v>50564</v>
      </c>
      <c r="J2396" s="48"/>
      <c r="K2396" s="50"/>
      <c r="L2396" s="48"/>
    </row>
    <row r="2397" spans="1:12" s="37" customFormat="1" ht="11.25" x14ac:dyDescent="0.2">
      <c r="A2397" s="46" t="s">
        <v>11084</v>
      </c>
      <c r="B2397" s="46" t="s">
        <v>52253</v>
      </c>
      <c r="C2397" s="58" t="str">
        <f>"17451981"</f>
        <v>17451981</v>
      </c>
      <c r="D2397" s="58" t="str">
        <f>"17404398"</f>
        <v>17404398</v>
      </c>
      <c r="E2397" s="46" t="s">
        <v>11087</v>
      </c>
      <c r="F2397" s="46" t="s">
        <v>50646</v>
      </c>
      <c r="G2397" s="46" t="s">
        <v>50584</v>
      </c>
      <c r="H2397" s="48" t="s">
        <v>56716</v>
      </c>
      <c r="I2397" s="48" t="s">
        <v>50564</v>
      </c>
      <c r="J2397" s="48"/>
      <c r="K2397" s="50"/>
      <c r="L2397" s="48"/>
    </row>
    <row r="2398" spans="1:12" s="37" customFormat="1" ht="11.25" x14ac:dyDescent="0.2">
      <c r="A2398" s="46" t="s">
        <v>8101</v>
      </c>
      <c r="B2398" s="46" t="s">
        <v>27676</v>
      </c>
      <c r="C2398" s="58" t="str">
        <f>"11745886"</f>
        <v>11745886</v>
      </c>
      <c r="D2398" s="58" t="str">
        <f>"11796901"</f>
        <v>11796901</v>
      </c>
      <c r="E2398" s="46" t="s">
        <v>55920</v>
      </c>
      <c r="F2398" s="46" t="s">
        <v>18123</v>
      </c>
      <c r="G2398" s="46" t="s">
        <v>50584</v>
      </c>
      <c r="H2398" s="48" t="s">
        <v>56716</v>
      </c>
      <c r="I2398" s="48" t="s">
        <v>50564</v>
      </c>
      <c r="J2398" s="48" t="s">
        <v>56716</v>
      </c>
      <c r="K2398" s="50" t="s">
        <v>56716</v>
      </c>
      <c r="L2398" s="48" t="s">
        <v>56716</v>
      </c>
    </row>
    <row r="2399" spans="1:12" s="37" customFormat="1" ht="11.25" x14ac:dyDescent="0.2">
      <c r="A2399" s="46" t="s">
        <v>1437</v>
      </c>
      <c r="B2399" s="46" t="s">
        <v>52254</v>
      </c>
      <c r="C2399" s="58" t="str">
        <f>"03778282"</f>
        <v>03778282</v>
      </c>
      <c r="D2399" s="58" t="str">
        <f>""</f>
        <v/>
      </c>
      <c r="E2399" s="46" t="s">
        <v>1439</v>
      </c>
      <c r="F2399" s="46" t="s">
        <v>18439</v>
      </c>
      <c r="G2399" s="46" t="s">
        <v>50584</v>
      </c>
      <c r="H2399" s="48" t="s">
        <v>56716</v>
      </c>
      <c r="I2399" s="48" t="s">
        <v>50564</v>
      </c>
      <c r="J2399" s="48"/>
      <c r="K2399" s="50"/>
      <c r="L2399" s="48"/>
    </row>
    <row r="2400" spans="1:12" s="37" customFormat="1" ht="11.25" x14ac:dyDescent="0.2">
      <c r="A2400" s="46" t="s">
        <v>2910</v>
      </c>
      <c r="B2400" s="46" t="s">
        <v>52255</v>
      </c>
      <c r="C2400" s="58" t="str">
        <f>"16993993"</f>
        <v>16993993</v>
      </c>
      <c r="D2400" s="58" t="str">
        <f>"16994019"</f>
        <v>16994019</v>
      </c>
      <c r="E2400" s="46" t="s">
        <v>1439</v>
      </c>
      <c r="F2400" s="46" t="s">
        <v>18439</v>
      </c>
      <c r="G2400" s="46" t="s">
        <v>50584</v>
      </c>
      <c r="H2400" s="48" t="s">
        <v>56716</v>
      </c>
      <c r="I2400" s="48" t="s">
        <v>50564</v>
      </c>
      <c r="J2400" s="48"/>
      <c r="K2400" s="50"/>
      <c r="L2400" s="48" t="s">
        <v>56716</v>
      </c>
    </row>
    <row r="2401" spans="1:12" s="37" customFormat="1" ht="11.25" x14ac:dyDescent="0.2">
      <c r="A2401" s="45" t="s">
        <v>27691</v>
      </c>
      <c r="B2401" s="45" t="s">
        <v>27693</v>
      </c>
      <c r="C2401" s="51" t="s">
        <v>27695</v>
      </c>
      <c r="D2401" s="51"/>
      <c r="E2401" s="45" t="s">
        <v>27696</v>
      </c>
      <c r="F2401" s="45" t="s">
        <v>17759</v>
      </c>
      <c r="G2401" s="45" t="s">
        <v>50584</v>
      </c>
      <c r="H2401" s="56"/>
      <c r="I2401" s="56" t="s">
        <v>50564</v>
      </c>
      <c r="J2401" s="56"/>
      <c r="K2401" s="50"/>
      <c r="L2401" s="56" t="s">
        <v>56716</v>
      </c>
    </row>
    <row r="2402" spans="1:12" s="37" customFormat="1" ht="11.25" x14ac:dyDescent="0.2">
      <c r="A2402" s="45" t="s">
        <v>27698</v>
      </c>
      <c r="B2402" s="45" t="s">
        <v>27700</v>
      </c>
      <c r="C2402" s="51" t="s">
        <v>27702</v>
      </c>
      <c r="D2402" s="51"/>
      <c r="E2402" s="45" t="s">
        <v>27703</v>
      </c>
      <c r="F2402" s="45" t="s">
        <v>17759</v>
      </c>
      <c r="G2402" s="45" t="s">
        <v>50584</v>
      </c>
      <c r="H2402" s="56"/>
      <c r="I2402" s="56" t="s">
        <v>50564</v>
      </c>
      <c r="J2402" s="56"/>
      <c r="K2402" s="50"/>
      <c r="L2402" s="56" t="s">
        <v>56716</v>
      </c>
    </row>
    <row r="2403" spans="1:12" s="37" customFormat="1" ht="11.25" x14ac:dyDescent="0.2">
      <c r="A2403" s="45" t="s">
        <v>27705</v>
      </c>
      <c r="B2403" s="45" t="s">
        <v>27707</v>
      </c>
      <c r="C2403" s="51" t="s">
        <v>27708</v>
      </c>
      <c r="D2403" s="51"/>
      <c r="E2403" s="45" t="s">
        <v>27709</v>
      </c>
      <c r="F2403" s="45" t="s">
        <v>27710</v>
      </c>
      <c r="G2403" s="45" t="s">
        <v>56557</v>
      </c>
      <c r="H2403" s="56"/>
      <c r="I2403" s="56" t="s">
        <v>50564</v>
      </c>
      <c r="J2403" s="56"/>
      <c r="K2403" s="50"/>
      <c r="L2403" s="56" t="s">
        <v>56716</v>
      </c>
    </row>
    <row r="2404" spans="1:12" s="37" customFormat="1" ht="11.25" x14ac:dyDescent="0.2">
      <c r="A2404" s="46" t="s">
        <v>15090</v>
      </c>
      <c r="B2404" s="46" t="s">
        <v>15090</v>
      </c>
      <c r="C2404" s="58" t="str">
        <f>""</f>
        <v/>
      </c>
      <c r="D2404" s="58" t="str">
        <f>"13095749"</f>
        <v>13095749</v>
      </c>
      <c r="E2404" s="46" t="s">
        <v>15092</v>
      </c>
      <c r="F2404" s="46" t="s">
        <v>18396</v>
      </c>
      <c r="G2404" s="46" t="s">
        <v>50584</v>
      </c>
      <c r="H2404" s="48" t="s">
        <v>56716</v>
      </c>
      <c r="I2404" s="48" t="s">
        <v>50564</v>
      </c>
      <c r="J2404" s="48"/>
      <c r="K2404" s="50"/>
      <c r="L2404" s="48"/>
    </row>
    <row r="2405" spans="1:12" s="37" customFormat="1" ht="11.25" x14ac:dyDescent="0.2">
      <c r="A2405" s="46" t="s">
        <v>14427</v>
      </c>
      <c r="B2405" s="46" t="s">
        <v>52256</v>
      </c>
      <c r="C2405" s="58" t="str">
        <f>"1307671X"</f>
        <v>1307671X</v>
      </c>
      <c r="D2405" s="58" t="str">
        <f>""</f>
        <v/>
      </c>
      <c r="E2405" s="46" t="s">
        <v>14429</v>
      </c>
      <c r="F2405" s="46" t="s">
        <v>18396</v>
      </c>
      <c r="G2405" s="46" t="s">
        <v>50638</v>
      </c>
      <c r="H2405" s="48" t="s">
        <v>56716</v>
      </c>
      <c r="I2405" s="48" t="s">
        <v>50564</v>
      </c>
      <c r="J2405" s="48"/>
      <c r="K2405" s="50"/>
      <c r="L2405" s="48"/>
    </row>
    <row r="2406" spans="1:12" s="37" customFormat="1" ht="11.25" x14ac:dyDescent="0.2">
      <c r="A2406" s="45" t="s">
        <v>27713</v>
      </c>
      <c r="B2406" s="45" t="s">
        <v>27715</v>
      </c>
      <c r="C2406" s="51" t="s">
        <v>27717</v>
      </c>
      <c r="D2406" s="51"/>
      <c r="E2406" s="45" t="s">
        <v>23957</v>
      </c>
      <c r="F2406" s="45" t="s">
        <v>18959</v>
      </c>
      <c r="G2406" s="45" t="s">
        <v>50584</v>
      </c>
      <c r="H2406" s="56"/>
      <c r="I2406" s="56" t="s">
        <v>50564</v>
      </c>
      <c r="J2406" s="56"/>
      <c r="K2406" s="50"/>
      <c r="L2406" s="56" t="s">
        <v>56716</v>
      </c>
    </row>
    <row r="2407" spans="1:12" s="37" customFormat="1" ht="11.25" x14ac:dyDescent="0.2">
      <c r="A2407" s="45" t="s">
        <v>27719</v>
      </c>
      <c r="B2407" s="45" t="s">
        <v>27721</v>
      </c>
      <c r="C2407" s="51" t="s">
        <v>27722</v>
      </c>
      <c r="D2407" s="51"/>
      <c r="E2407" s="45" t="s">
        <v>27723</v>
      </c>
      <c r="F2407" s="45" t="s">
        <v>18439</v>
      </c>
      <c r="G2407" s="45" t="s">
        <v>50633</v>
      </c>
      <c r="H2407" s="56"/>
      <c r="I2407" s="56" t="s">
        <v>50564</v>
      </c>
      <c r="J2407" s="56"/>
      <c r="K2407" s="50"/>
      <c r="L2407" s="56" t="s">
        <v>56716</v>
      </c>
    </row>
    <row r="2408" spans="1:12" s="37" customFormat="1" ht="11.25" x14ac:dyDescent="0.2">
      <c r="A2408" s="46" t="s">
        <v>8589</v>
      </c>
      <c r="B2408" s="46" t="s">
        <v>8589</v>
      </c>
      <c r="C2408" s="58" t="str">
        <f>"10769242"</f>
        <v>10769242</v>
      </c>
      <c r="D2408" s="58" t="str">
        <f>"10990909"</f>
        <v>10990909</v>
      </c>
      <c r="E2408" s="46" t="s">
        <v>751</v>
      </c>
      <c r="F2408" s="46" t="s">
        <v>50646</v>
      </c>
      <c r="G2408" s="46" t="s">
        <v>50584</v>
      </c>
      <c r="H2408" s="48" t="s">
        <v>56716</v>
      </c>
      <c r="I2408" s="48" t="s">
        <v>50564</v>
      </c>
      <c r="J2408" s="48"/>
      <c r="K2408" s="50" t="s">
        <v>56716</v>
      </c>
      <c r="L2408" s="48" t="s">
        <v>56716</v>
      </c>
    </row>
    <row r="2409" spans="1:12" s="37" customFormat="1" ht="11.25" x14ac:dyDescent="0.2">
      <c r="A2409" s="46" t="s">
        <v>4388</v>
      </c>
      <c r="B2409" s="46" t="s">
        <v>4388</v>
      </c>
      <c r="C2409" s="58" t="str">
        <f>"0179051X"</f>
        <v>0179051X</v>
      </c>
      <c r="D2409" s="58" t="str">
        <f>"14320460"</f>
        <v>14320460</v>
      </c>
      <c r="E2409" s="46" t="s">
        <v>56305</v>
      </c>
      <c r="F2409" s="46" t="s">
        <v>17759</v>
      </c>
      <c r="G2409" s="46" t="s">
        <v>50584</v>
      </c>
      <c r="H2409" s="48" t="s">
        <v>56716</v>
      </c>
      <c r="I2409" s="48" t="s">
        <v>50564</v>
      </c>
      <c r="J2409" s="48" t="s">
        <v>56716</v>
      </c>
      <c r="K2409" s="50" t="s">
        <v>56716</v>
      </c>
      <c r="L2409" s="48" t="s">
        <v>56716</v>
      </c>
    </row>
    <row r="2410" spans="1:12" s="37" customFormat="1" ht="11.25" x14ac:dyDescent="0.2">
      <c r="A2410" s="45" t="s">
        <v>27731</v>
      </c>
      <c r="B2410" s="45" t="s">
        <v>27733</v>
      </c>
      <c r="C2410" s="51" t="s">
        <v>27736</v>
      </c>
      <c r="D2410" s="51" t="s">
        <v>27735</v>
      </c>
      <c r="E2410" s="45" t="s">
        <v>25455</v>
      </c>
      <c r="F2410" s="45" t="s">
        <v>17759</v>
      </c>
      <c r="G2410" s="45" t="s">
        <v>50584</v>
      </c>
      <c r="H2410" s="56"/>
      <c r="I2410" s="56" t="s">
        <v>50564</v>
      </c>
      <c r="J2410" s="56"/>
      <c r="K2410" s="50"/>
      <c r="L2410" s="56" t="s">
        <v>56716</v>
      </c>
    </row>
    <row r="2411" spans="1:12" s="37" customFormat="1" ht="11.25" x14ac:dyDescent="0.2">
      <c r="A2411" s="46" t="s">
        <v>1541</v>
      </c>
      <c r="B2411" s="46" t="s">
        <v>52257</v>
      </c>
      <c r="C2411" s="58" t="str">
        <f>"01455613"</f>
        <v>01455613</v>
      </c>
      <c r="D2411" s="58" t="str">
        <f>""</f>
        <v/>
      </c>
      <c r="E2411" s="46" t="s">
        <v>1543</v>
      </c>
      <c r="F2411" s="46" t="s">
        <v>17759</v>
      </c>
      <c r="G2411" s="46" t="s">
        <v>50584</v>
      </c>
      <c r="H2411" s="48" t="s">
        <v>56716</v>
      </c>
      <c r="I2411" s="48" t="s">
        <v>50564</v>
      </c>
      <c r="J2411" s="48"/>
      <c r="K2411" s="50"/>
      <c r="L2411" s="48" t="s">
        <v>56716</v>
      </c>
    </row>
    <row r="2412" spans="1:12" s="37" customFormat="1" ht="11.25" x14ac:dyDescent="0.2">
      <c r="A2412" s="46" t="s">
        <v>1467</v>
      </c>
      <c r="B2412" s="46" t="s">
        <v>52258</v>
      </c>
      <c r="C2412" s="58" t="str">
        <f>"03783782"</f>
        <v>03783782</v>
      </c>
      <c r="D2412" s="58" t="str">
        <f>"18726232"</f>
        <v>18726232</v>
      </c>
      <c r="E2412" s="46" t="s">
        <v>221</v>
      </c>
      <c r="F2412" s="46" t="s">
        <v>21771</v>
      </c>
      <c r="G2412" s="46" t="s">
        <v>50584</v>
      </c>
      <c r="H2412" s="48" t="s">
        <v>56716</v>
      </c>
      <c r="I2412" s="48" t="s">
        <v>50564</v>
      </c>
      <c r="J2412" s="48"/>
      <c r="K2412" s="50" t="s">
        <v>56716</v>
      </c>
      <c r="L2412" s="48" t="s">
        <v>56716</v>
      </c>
    </row>
    <row r="2413" spans="1:12" s="36" customFormat="1" ht="11.25" x14ac:dyDescent="0.2">
      <c r="A2413" s="46" t="s">
        <v>12378</v>
      </c>
      <c r="B2413" s="46" t="s">
        <v>52259</v>
      </c>
      <c r="C2413" s="58" t="str">
        <f>"17517885"</f>
        <v>17517885</v>
      </c>
      <c r="D2413" s="58" t="str">
        <f>"17517893"</f>
        <v>17517893</v>
      </c>
      <c r="E2413" s="46" t="s">
        <v>296</v>
      </c>
      <c r="F2413" s="46" t="s">
        <v>20082</v>
      </c>
      <c r="G2413" s="46" t="s">
        <v>50584</v>
      </c>
      <c r="H2413" s="48" t="s">
        <v>56716</v>
      </c>
      <c r="I2413" s="48" t="s">
        <v>50564</v>
      </c>
      <c r="J2413" s="48" t="s">
        <v>56716</v>
      </c>
      <c r="K2413" s="50" t="s">
        <v>56716</v>
      </c>
      <c r="L2413" s="48" t="s">
        <v>56716</v>
      </c>
    </row>
    <row r="2414" spans="1:12" s="36" customFormat="1" ht="11.25" x14ac:dyDescent="0.2">
      <c r="A2414" s="45" t="s">
        <v>27755</v>
      </c>
      <c r="B2414" s="45" t="s">
        <v>27757</v>
      </c>
      <c r="C2414" s="51" t="s">
        <v>27758</v>
      </c>
      <c r="D2414" s="51"/>
      <c r="E2414" s="45" t="s">
        <v>27759</v>
      </c>
      <c r="F2414" s="45" t="s">
        <v>18001</v>
      </c>
      <c r="G2414" s="45" t="s">
        <v>50584</v>
      </c>
      <c r="H2414" s="56"/>
      <c r="I2414" s="56" t="s">
        <v>50564</v>
      </c>
      <c r="J2414" s="56"/>
      <c r="K2414" s="50"/>
      <c r="L2414" s="56" t="s">
        <v>56716</v>
      </c>
    </row>
    <row r="2415" spans="1:12" s="36" customFormat="1" ht="11.25" x14ac:dyDescent="0.2">
      <c r="A2415" s="45" t="s">
        <v>27761</v>
      </c>
      <c r="B2415" s="45" t="s">
        <v>27763</v>
      </c>
      <c r="C2415" s="51" t="s">
        <v>27764</v>
      </c>
      <c r="D2415" s="51"/>
      <c r="E2415" s="45" t="s">
        <v>27765</v>
      </c>
      <c r="F2415" s="45" t="s">
        <v>27766</v>
      </c>
      <c r="G2415" s="45" t="s">
        <v>50584</v>
      </c>
      <c r="H2415" s="56"/>
      <c r="I2415" s="56" t="s">
        <v>50564</v>
      </c>
      <c r="J2415" s="56"/>
      <c r="K2415" s="50"/>
      <c r="L2415" s="56" t="s">
        <v>56716</v>
      </c>
    </row>
    <row r="2416" spans="1:12" s="36" customFormat="1" ht="11.25" x14ac:dyDescent="0.2">
      <c r="A2416" s="45" t="s">
        <v>27769</v>
      </c>
      <c r="B2416" s="45" t="s">
        <v>27771</v>
      </c>
      <c r="C2416" s="51" t="s">
        <v>27773</v>
      </c>
      <c r="D2416" s="51"/>
      <c r="E2416" s="45" t="s">
        <v>27774</v>
      </c>
      <c r="F2416" s="45" t="s">
        <v>27775</v>
      </c>
      <c r="G2416" s="45" t="s">
        <v>50584</v>
      </c>
      <c r="H2416" s="56"/>
      <c r="I2416" s="56" t="s">
        <v>50564</v>
      </c>
      <c r="J2416" s="56"/>
      <c r="K2416" s="50"/>
      <c r="L2416" s="56" t="s">
        <v>56716</v>
      </c>
    </row>
    <row r="2417" spans="1:12" s="37" customFormat="1" ht="11.25" x14ac:dyDescent="0.2">
      <c r="A2417" s="46" t="s">
        <v>7238</v>
      </c>
      <c r="B2417" s="46" t="s">
        <v>52260</v>
      </c>
      <c r="C2417" s="58" t="str">
        <f>"20789947"</f>
        <v>20789947</v>
      </c>
      <c r="D2417" s="58" t="str">
        <f>"2224-7041"</f>
        <v>2224-7041</v>
      </c>
      <c r="E2417" s="46" t="s">
        <v>6894</v>
      </c>
      <c r="F2417" s="46" t="s">
        <v>50647</v>
      </c>
      <c r="G2417" s="46" t="s">
        <v>50584</v>
      </c>
      <c r="H2417" s="48" t="s">
        <v>56716</v>
      </c>
      <c r="I2417" s="48" t="s">
        <v>50564</v>
      </c>
      <c r="J2417" s="48"/>
      <c r="K2417" s="50"/>
      <c r="L2417" s="48" t="s">
        <v>56716</v>
      </c>
    </row>
    <row r="2418" spans="1:12" s="37" customFormat="1" ht="11.25" x14ac:dyDescent="0.2">
      <c r="A2418" s="46" t="s">
        <v>9185</v>
      </c>
      <c r="B2418" s="46" t="s">
        <v>52261</v>
      </c>
      <c r="C2418" s="58" t="str">
        <f>"13010883"</f>
        <v>13010883</v>
      </c>
      <c r="D2418" s="58" t="str">
        <f>""</f>
        <v/>
      </c>
      <c r="E2418" s="46" t="s">
        <v>56300</v>
      </c>
      <c r="F2418" s="46" t="s">
        <v>18396</v>
      </c>
      <c r="G2418" s="46" t="s">
        <v>50584</v>
      </c>
      <c r="H2418" s="48" t="s">
        <v>56716</v>
      </c>
      <c r="I2418" s="48" t="s">
        <v>50564</v>
      </c>
      <c r="J2418" s="48"/>
      <c r="K2418" s="50"/>
      <c r="L2418" s="48"/>
    </row>
    <row r="2419" spans="1:12" s="37" customFormat="1" ht="11.25" x14ac:dyDescent="0.2">
      <c r="A2419" s="46" t="s">
        <v>8665</v>
      </c>
      <c r="B2419" s="46" t="s">
        <v>52262</v>
      </c>
      <c r="C2419" s="58" t="str">
        <f>"10203397"</f>
        <v>10203397</v>
      </c>
      <c r="D2419" s="58" t="str">
        <f>""</f>
        <v/>
      </c>
      <c r="E2419" s="46" t="s">
        <v>955</v>
      </c>
      <c r="F2419" s="46" t="s">
        <v>21182</v>
      </c>
      <c r="G2419" s="46" t="s">
        <v>55889</v>
      </c>
      <c r="H2419" s="48" t="s">
        <v>56716</v>
      </c>
      <c r="I2419" s="48" t="s">
        <v>50564</v>
      </c>
      <c r="J2419" s="48"/>
      <c r="K2419" s="50"/>
      <c r="L2419" s="48" t="s">
        <v>56716</v>
      </c>
    </row>
    <row r="2420" spans="1:12" s="37" customFormat="1" ht="11.25" x14ac:dyDescent="0.2">
      <c r="A2420" s="46" t="s">
        <v>9958</v>
      </c>
      <c r="B2420" s="46" t="s">
        <v>52263</v>
      </c>
      <c r="C2420" s="58" t="str">
        <f>"11244909"</f>
        <v>11244909</v>
      </c>
      <c r="D2420" s="58" t="str">
        <f>"15901262"</f>
        <v>15901262</v>
      </c>
      <c r="E2420" s="46" t="s">
        <v>55920</v>
      </c>
      <c r="F2420" s="46" t="s">
        <v>18123</v>
      </c>
      <c r="G2420" s="46" t="s">
        <v>50584</v>
      </c>
      <c r="H2420" s="48" t="s">
        <v>56716</v>
      </c>
      <c r="I2420" s="48" t="s">
        <v>50564</v>
      </c>
      <c r="J2420" s="48"/>
      <c r="K2420" s="50"/>
      <c r="L2420" s="48" t="s">
        <v>56716</v>
      </c>
    </row>
    <row r="2421" spans="1:12" s="37" customFormat="1" ht="11.25" x14ac:dyDescent="0.2">
      <c r="A2421" s="46" t="s">
        <v>9004</v>
      </c>
      <c r="B2421" s="46" t="s">
        <v>52264</v>
      </c>
      <c r="C2421" s="58" t="str">
        <f>"14710153"</f>
        <v>14710153</v>
      </c>
      <c r="D2421" s="58" t="str">
        <f>"18737358"</f>
        <v>18737358</v>
      </c>
      <c r="E2421" s="46" t="s">
        <v>155</v>
      </c>
      <c r="F2421" s="46" t="s">
        <v>50646</v>
      </c>
      <c r="G2421" s="46" t="s">
        <v>50584</v>
      </c>
      <c r="H2421" s="48" t="s">
        <v>56716</v>
      </c>
      <c r="I2421" s="48" t="s">
        <v>50564</v>
      </c>
      <c r="J2421" s="48" t="s">
        <v>56716</v>
      </c>
      <c r="K2421" s="50"/>
      <c r="L2421" s="48" t="s">
        <v>56716</v>
      </c>
    </row>
    <row r="2422" spans="1:12" s="37" customFormat="1" ht="11.25" x14ac:dyDescent="0.2">
      <c r="A2422" s="46" t="s">
        <v>8625</v>
      </c>
      <c r="B2422" s="46" t="s">
        <v>52265</v>
      </c>
      <c r="C2422" s="58" t="str">
        <f>"10640266"</f>
        <v>10640266</v>
      </c>
      <c r="D2422" s="58" t="str">
        <f>"1532530X"</f>
        <v>1532530X</v>
      </c>
      <c r="E2422" s="46" t="s">
        <v>689</v>
      </c>
      <c r="F2422" s="46" t="s">
        <v>17759</v>
      </c>
      <c r="G2422" s="46" t="s">
        <v>50584</v>
      </c>
      <c r="H2422" s="48" t="s">
        <v>56716</v>
      </c>
      <c r="I2422" s="48" t="s">
        <v>50564</v>
      </c>
      <c r="J2422" s="48"/>
      <c r="K2422" s="50" t="s">
        <v>56716</v>
      </c>
      <c r="L2422" s="48" t="s">
        <v>56716</v>
      </c>
    </row>
    <row r="2423" spans="1:12" s="37" customFormat="1" ht="11.25" x14ac:dyDescent="0.2">
      <c r="A2423" s="46" t="s">
        <v>56211</v>
      </c>
      <c r="B2423" s="46" t="s">
        <v>56211</v>
      </c>
      <c r="C2423" s="58" t="str">
        <f>""</f>
        <v/>
      </c>
      <c r="D2423" s="58" t="str">
        <f>"23523964"</f>
        <v>23523964</v>
      </c>
      <c r="E2423" s="46" t="s">
        <v>91</v>
      </c>
      <c r="F2423" s="46" t="s">
        <v>18001</v>
      </c>
      <c r="G2423" s="46" t="s">
        <v>50584</v>
      </c>
      <c r="H2423" s="48" t="s">
        <v>56716</v>
      </c>
      <c r="I2423" s="48" t="s">
        <v>50564</v>
      </c>
      <c r="J2423" s="48" t="s">
        <v>56716</v>
      </c>
      <c r="K2423" s="50" t="s">
        <v>56716</v>
      </c>
      <c r="L2423" s="48"/>
    </row>
    <row r="2424" spans="1:12" s="37" customFormat="1" ht="11.25" x14ac:dyDescent="0.2">
      <c r="A2424" s="46" t="s">
        <v>9919</v>
      </c>
      <c r="B2424" s="46" t="s">
        <v>52266</v>
      </c>
      <c r="C2424" s="58" t="str">
        <f>"13690663"</f>
        <v>13690663</v>
      </c>
      <c r="D2424" s="58" t="str">
        <f>""</f>
        <v/>
      </c>
      <c r="E2424" s="46" t="s">
        <v>9176</v>
      </c>
      <c r="F2424" s="46" t="s">
        <v>50646</v>
      </c>
      <c r="G2424" s="46" t="s">
        <v>50584</v>
      </c>
      <c r="H2424" s="48" t="s">
        <v>56716</v>
      </c>
      <c r="I2424" s="48" t="s">
        <v>50564</v>
      </c>
      <c r="J2424" s="48"/>
      <c r="K2424" s="50"/>
      <c r="L2424" s="48"/>
    </row>
    <row r="2425" spans="1:12" s="37" customFormat="1" ht="11.25" x14ac:dyDescent="0.2">
      <c r="A2425" s="45" t="s">
        <v>27805</v>
      </c>
      <c r="B2425" s="45" t="s">
        <v>27807</v>
      </c>
      <c r="C2425" s="51" t="s">
        <v>27808</v>
      </c>
      <c r="D2425" s="51"/>
      <c r="E2425" s="45" t="s">
        <v>27809</v>
      </c>
      <c r="F2425" s="45" t="s">
        <v>17759</v>
      </c>
      <c r="G2425" s="45" t="s">
        <v>50584</v>
      </c>
      <c r="H2425" s="56"/>
      <c r="I2425" s="56" t="s">
        <v>50564</v>
      </c>
      <c r="J2425" s="56"/>
      <c r="K2425" s="50"/>
      <c r="L2425" s="56" t="s">
        <v>56716</v>
      </c>
    </row>
    <row r="2426" spans="1:12" s="37" customFormat="1" ht="11.25" x14ac:dyDescent="0.2">
      <c r="A2426" s="46" t="s">
        <v>13533</v>
      </c>
      <c r="B2426" s="46" t="s">
        <v>13533</v>
      </c>
      <c r="C2426" s="58" t="str">
        <f>""</f>
        <v/>
      </c>
      <c r="D2426" s="58" t="str">
        <f>"17546605"</f>
        <v>17546605</v>
      </c>
      <c r="E2426" s="46" t="s">
        <v>13535</v>
      </c>
      <c r="F2426" s="46" t="s">
        <v>50646</v>
      </c>
      <c r="G2426" s="46" t="s">
        <v>50584</v>
      </c>
      <c r="H2426" s="48" t="s">
        <v>56716</v>
      </c>
      <c r="I2426" s="48" t="s">
        <v>50564</v>
      </c>
      <c r="J2426" s="48"/>
      <c r="K2426" s="50"/>
      <c r="L2426" s="48"/>
    </row>
    <row r="2427" spans="1:12" s="37" customFormat="1" ht="11.25" x14ac:dyDescent="0.2">
      <c r="A2427" s="46" t="s">
        <v>1454</v>
      </c>
      <c r="B2427" s="46" t="s">
        <v>1454</v>
      </c>
      <c r="C2427" s="58" t="str">
        <f>"07422822"</f>
        <v>07422822</v>
      </c>
      <c r="D2427" s="58" t="str">
        <f>"15408175"</f>
        <v>15408175</v>
      </c>
      <c r="E2427" s="46" t="s">
        <v>548</v>
      </c>
      <c r="F2427" s="46" t="s">
        <v>17759</v>
      </c>
      <c r="G2427" s="46" t="s">
        <v>50584</v>
      </c>
      <c r="H2427" s="48" t="s">
        <v>56716</v>
      </c>
      <c r="I2427" s="48" t="s">
        <v>50564</v>
      </c>
      <c r="J2427" s="48" t="s">
        <v>56716</v>
      </c>
      <c r="K2427" s="50" t="s">
        <v>56716</v>
      </c>
      <c r="L2427" s="48" t="s">
        <v>56716</v>
      </c>
    </row>
    <row r="2428" spans="1:12" s="37" customFormat="1" ht="11.25" x14ac:dyDescent="0.2">
      <c r="A2428" s="45" t="s">
        <v>27817</v>
      </c>
      <c r="B2428" s="45" t="s">
        <v>27819</v>
      </c>
      <c r="C2428" s="51" t="s">
        <v>27822</v>
      </c>
      <c r="D2428" s="51" t="s">
        <v>27821</v>
      </c>
      <c r="E2428" s="45" t="s">
        <v>17783</v>
      </c>
      <c r="F2428" s="45" t="s">
        <v>17759</v>
      </c>
      <c r="G2428" s="45" t="s">
        <v>50584</v>
      </c>
      <c r="H2428" s="56"/>
      <c r="I2428" s="56" t="s">
        <v>50564</v>
      </c>
      <c r="J2428" s="56"/>
      <c r="K2428" s="50"/>
      <c r="L2428" s="56" t="s">
        <v>56716</v>
      </c>
    </row>
    <row r="2429" spans="1:12" s="37" customFormat="1" ht="11.25" x14ac:dyDescent="0.2">
      <c r="A2429" s="45" t="s">
        <v>27824</v>
      </c>
      <c r="B2429" s="45" t="s">
        <v>27826</v>
      </c>
      <c r="C2429" s="51" t="s">
        <v>27827</v>
      </c>
      <c r="D2429" s="51"/>
      <c r="E2429" s="45" t="s">
        <v>27828</v>
      </c>
      <c r="F2429" s="45" t="s">
        <v>17759</v>
      </c>
      <c r="G2429" s="45" t="s">
        <v>50584</v>
      </c>
      <c r="H2429" s="56"/>
      <c r="I2429" s="56" t="s">
        <v>50564</v>
      </c>
      <c r="J2429" s="56"/>
      <c r="K2429" s="50"/>
      <c r="L2429" s="56" t="s">
        <v>56716</v>
      </c>
    </row>
    <row r="2430" spans="1:12" s="37" customFormat="1" ht="11.25" x14ac:dyDescent="0.2">
      <c r="A2430" s="45" t="s">
        <v>27830</v>
      </c>
      <c r="B2430" s="45" t="s">
        <v>27830</v>
      </c>
      <c r="C2430" s="51" t="s">
        <v>27833</v>
      </c>
      <c r="D2430" s="51"/>
      <c r="E2430" s="45" t="s">
        <v>27828</v>
      </c>
      <c r="F2430" s="45" t="s">
        <v>17759</v>
      </c>
      <c r="G2430" s="45" t="s">
        <v>50584</v>
      </c>
      <c r="H2430" s="56"/>
      <c r="I2430" s="56" t="s">
        <v>50564</v>
      </c>
      <c r="J2430" s="56"/>
      <c r="K2430" s="50"/>
      <c r="L2430" s="56" t="s">
        <v>56716</v>
      </c>
    </row>
    <row r="2431" spans="1:12" s="37" customFormat="1" ht="11.25" x14ac:dyDescent="0.2">
      <c r="A2431" s="45" t="s">
        <v>27835</v>
      </c>
      <c r="B2431" s="45" t="s">
        <v>27837</v>
      </c>
      <c r="C2431" s="51" t="s">
        <v>27839</v>
      </c>
      <c r="D2431" s="51" t="s">
        <v>27838</v>
      </c>
      <c r="E2431" s="45" t="s">
        <v>296</v>
      </c>
      <c r="F2431" s="45" t="s">
        <v>50646</v>
      </c>
      <c r="G2431" s="45" t="s">
        <v>50584</v>
      </c>
      <c r="H2431" s="56"/>
      <c r="I2431" s="56" t="s">
        <v>50564</v>
      </c>
      <c r="J2431" s="56"/>
      <c r="K2431" s="50"/>
      <c r="L2431" s="56" t="s">
        <v>56716</v>
      </c>
    </row>
    <row r="2432" spans="1:12" s="37" customFormat="1" ht="11.25" x14ac:dyDescent="0.2">
      <c r="A2432" s="45" t="s">
        <v>27842</v>
      </c>
      <c r="B2432" s="45" t="s">
        <v>27844</v>
      </c>
      <c r="C2432" s="51" t="s">
        <v>27846</v>
      </c>
      <c r="D2432" s="51" t="s">
        <v>27845</v>
      </c>
      <c r="E2432" s="45" t="s">
        <v>18404</v>
      </c>
      <c r="F2432" s="45" t="s">
        <v>17759</v>
      </c>
      <c r="G2432" s="45" t="s">
        <v>50584</v>
      </c>
      <c r="H2432" s="56"/>
      <c r="I2432" s="56" t="s">
        <v>50564</v>
      </c>
      <c r="J2432" s="56"/>
      <c r="K2432" s="50"/>
      <c r="L2432" s="56" t="s">
        <v>56716</v>
      </c>
    </row>
    <row r="2433" spans="1:12" s="37" customFormat="1" ht="11.25" x14ac:dyDescent="0.2">
      <c r="A2433" s="46" t="s">
        <v>10004</v>
      </c>
      <c r="B2433" s="46" t="s">
        <v>52267</v>
      </c>
      <c r="C2433" s="58" t="str">
        <f>"1570677X"</f>
        <v>1570677X</v>
      </c>
      <c r="D2433" s="58" t="str">
        <f>"18736130"</f>
        <v>18736130</v>
      </c>
      <c r="E2433" s="46" t="s">
        <v>91</v>
      </c>
      <c r="F2433" s="46" t="s">
        <v>18001</v>
      </c>
      <c r="G2433" s="46" t="s">
        <v>50584</v>
      </c>
      <c r="H2433" s="48" t="s">
        <v>56716</v>
      </c>
      <c r="I2433" s="48" t="s">
        <v>50564</v>
      </c>
      <c r="J2433" s="48"/>
      <c r="K2433" s="50" t="s">
        <v>56716</v>
      </c>
      <c r="L2433" s="48" t="s">
        <v>56716</v>
      </c>
    </row>
    <row r="2434" spans="1:12" s="37" customFormat="1" ht="11.25" x14ac:dyDescent="0.2">
      <c r="A2434" s="46" t="s">
        <v>6047</v>
      </c>
      <c r="B2434" s="46" t="s">
        <v>6047</v>
      </c>
      <c r="C2434" s="58" t="str">
        <f>"09639292"</f>
        <v>09639292</v>
      </c>
      <c r="D2434" s="58" t="str">
        <f>"15733017"</f>
        <v>15733017</v>
      </c>
      <c r="E2434" s="46" t="s">
        <v>18876</v>
      </c>
      <c r="F2434" s="46" t="s">
        <v>18001</v>
      </c>
      <c r="G2434" s="46" t="s">
        <v>50584</v>
      </c>
      <c r="H2434" s="48" t="s">
        <v>56716</v>
      </c>
      <c r="I2434" s="48" t="s">
        <v>50564</v>
      </c>
      <c r="J2434" s="48" t="s">
        <v>56716</v>
      </c>
      <c r="K2434" s="50" t="s">
        <v>56716</v>
      </c>
      <c r="L2434" s="48" t="s">
        <v>56716</v>
      </c>
    </row>
    <row r="2435" spans="1:12" s="37" customFormat="1" ht="11.25" x14ac:dyDescent="0.2">
      <c r="A2435" s="46" t="s">
        <v>1464</v>
      </c>
      <c r="B2435" s="46" t="s">
        <v>52268</v>
      </c>
      <c r="C2435" s="58" t="str">
        <f>"01476513"</f>
        <v>01476513</v>
      </c>
      <c r="D2435" s="58" t="str">
        <f>"10902414"</f>
        <v>10902414</v>
      </c>
      <c r="E2435" s="46" t="s">
        <v>601</v>
      </c>
      <c r="F2435" s="46" t="s">
        <v>50646</v>
      </c>
      <c r="G2435" s="46" t="s">
        <v>50584</v>
      </c>
      <c r="H2435" s="48" t="s">
        <v>56716</v>
      </c>
      <c r="I2435" s="48" t="s">
        <v>50564</v>
      </c>
      <c r="J2435" s="48"/>
      <c r="K2435" s="50" t="s">
        <v>56716</v>
      </c>
      <c r="L2435" s="48" t="s">
        <v>56716</v>
      </c>
    </row>
    <row r="2436" spans="1:12" s="37" customFormat="1" ht="11.25" x14ac:dyDescent="0.2">
      <c r="A2436" s="45" t="s">
        <v>27860</v>
      </c>
      <c r="B2436" s="45" t="s">
        <v>27862</v>
      </c>
      <c r="C2436" s="51" t="s">
        <v>27863</v>
      </c>
      <c r="D2436" s="51"/>
      <c r="E2436" s="45" t="s">
        <v>19154</v>
      </c>
      <c r="F2436" s="45" t="s">
        <v>17759</v>
      </c>
      <c r="G2436" s="45" t="s">
        <v>50584</v>
      </c>
      <c r="H2436" s="56"/>
      <c r="I2436" s="56" t="s">
        <v>50564</v>
      </c>
      <c r="J2436" s="56"/>
      <c r="K2436" s="50"/>
      <c r="L2436" s="56" t="s">
        <v>56716</v>
      </c>
    </row>
    <row r="2437" spans="1:12" s="36" customFormat="1" ht="11.25" x14ac:dyDescent="0.2">
      <c r="A2437" s="45" t="s">
        <v>27866</v>
      </c>
      <c r="B2437" s="45" t="s">
        <v>27868</v>
      </c>
      <c r="C2437" s="51" t="s">
        <v>27871</v>
      </c>
      <c r="D2437" s="51" t="s">
        <v>27870</v>
      </c>
      <c r="E2437" s="45" t="s">
        <v>27872</v>
      </c>
      <c r="F2437" s="45" t="s">
        <v>20446</v>
      </c>
      <c r="G2437" s="45" t="s">
        <v>50584</v>
      </c>
      <c r="H2437" s="56"/>
      <c r="I2437" s="56" t="s">
        <v>50564</v>
      </c>
      <c r="J2437" s="56"/>
      <c r="K2437" s="50"/>
      <c r="L2437" s="56" t="s">
        <v>56716</v>
      </c>
    </row>
    <row r="2438" spans="1:12" s="37" customFormat="1" ht="11.25" x14ac:dyDescent="0.2">
      <c r="A2438" s="45" t="s">
        <v>27875</v>
      </c>
      <c r="B2438" s="45" t="s">
        <v>27877</v>
      </c>
      <c r="C2438" s="51" t="s">
        <v>27880</v>
      </c>
      <c r="D2438" s="51" t="s">
        <v>27879</v>
      </c>
      <c r="E2438" s="45" t="s">
        <v>27881</v>
      </c>
      <c r="F2438" s="45" t="s">
        <v>50646</v>
      </c>
      <c r="G2438" s="45" t="s">
        <v>50584</v>
      </c>
      <c r="H2438" s="56"/>
      <c r="I2438" s="56" t="s">
        <v>50564</v>
      </c>
      <c r="J2438" s="56"/>
      <c r="K2438" s="50"/>
      <c r="L2438" s="56" t="s">
        <v>56716</v>
      </c>
    </row>
    <row r="2439" spans="1:12" s="37" customFormat="1" ht="11.25" x14ac:dyDescent="0.2">
      <c r="A2439" s="46" t="s">
        <v>50688</v>
      </c>
      <c r="B2439" s="46" t="s">
        <v>50688</v>
      </c>
      <c r="C2439" s="58" t="str">
        <f>"02358026"</f>
        <v>02358026</v>
      </c>
      <c r="D2439" s="58" t="str">
        <f>"22281665"</f>
        <v>22281665</v>
      </c>
      <c r="E2439" s="46" t="s">
        <v>50692</v>
      </c>
      <c r="F2439" s="46" t="s">
        <v>50691</v>
      </c>
      <c r="G2439" s="46" t="s">
        <v>56463</v>
      </c>
      <c r="H2439" s="48" t="s">
        <v>56716</v>
      </c>
      <c r="I2439" s="48" t="s">
        <v>50564</v>
      </c>
      <c r="J2439" s="48"/>
      <c r="K2439" s="50"/>
      <c r="L2439" s="48"/>
    </row>
    <row r="2440" spans="1:12" s="37" customFormat="1" ht="11.25" x14ac:dyDescent="0.2">
      <c r="A2440" s="46" t="s">
        <v>15970</v>
      </c>
      <c r="B2440" s="46" t="s">
        <v>52269</v>
      </c>
      <c r="C2440" s="58" t="str">
        <f>"11102608"</f>
        <v>11102608</v>
      </c>
      <c r="D2440" s="58" t="str">
        <f>"2090911X"</f>
        <v>2090911X</v>
      </c>
      <c r="E2440" s="46" t="s">
        <v>15972</v>
      </c>
      <c r="F2440" s="46" t="s">
        <v>21182</v>
      </c>
      <c r="G2440" s="46" t="s">
        <v>50584</v>
      </c>
      <c r="H2440" s="48" t="s">
        <v>56716</v>
      </c>
      <c r="I2440" s="48" t="s">
        <v>50564</v>
      </c>
      <c r="J2440" s="48"/>
      <c r="K2440" s="50" t="s">
        <v>56716</v>
      </c>
      <c r="L2440" s="48"/>
    </row>
    <row r="2441" spans="1:12" s="37" customFormat="1" ht="11.25" x14ac:dyDescent="0.2">
      <c r="A2441" s="46" t="s">
        <v>9522</v>
      </c>
      <c r="B2441" s="46" t="s">
        <v>52270</v>
      </c>
      <c r="C2441" s="58" t="str">
        <f>"11101849"</f>
        <v>11101849</v>
      </c>
      <c r="D2441" s="58" t="str">
        <f>"16871804"</f>
        <v>16871804</v>
      </c>
      <c r="E2441" s="46" t="s">
        <v>9525</v>
      </c>
      <c r="F2441" s="46" t="s">
        <v>21182</v>
      </c>
      <c r="G2441" s="46" t="s">
        <v>50584</v>
      </c>
      <c r="H2441" s="48" t="s">
        <v>56716</v>
      </c>
      <c r="I2441" s="48" t="s">
        <v>50564</v>
      </c>
      <c r="J2441" s="48"/>
      <c r="K2441" s="50" t="s">
        <v>56716</v>
      </c>
      <c r="L2441" s="48"/>
    </row>
    <row r="2442" spans="1:12" s="37" customFormat="1" ht="11.25" x14ac:dyDescent="0.2">
      <c r="A2442" s="46" t="s">
        <v>16991</v>
      </c>
      <c r="B2442" s="46" t="s">
        <v>52271</v>
      </c>
      <c r="C2442" s="58" t="str">
        <f>"04227638"</f>
        <v>04227638</v>
      </c>
      <c r="D2442" s="58" t="str">
        <f>""</f>
        <v/>
      </c>
      <c r="E2442" s="46" t="s">
        <v>16993</v>
      </c>
      <c r="F2442" s="46" t="s">
        <v>21182</v>
      </c>
      <c r="G2442" s="46" t="s">
        <v>50584</v>
      </c>
      <c r="H2442" s="48" t="s">
        <v>56716</v>
      </c>
      <c r="I2442" s="48" t="s">
        <v>50564</v>
      </c>
      <c r="J2442" s="48"/>
      <c r="K2442" s="50" t="s">
        <v>56716</v>
      </c>
      <c r="L2442" s="48"/>
    </row>
    <row r="2443" spans="1:12" s="37" customFormat="1" ht="11.25" x14ac:dyDescent="0.2">
      <c r="A2443" s="46" t="s">
        <v>17014</v>
      </c>
      <c r="B2443" s="46" t="s">
        <v>52272</v>
      </c>
      <c r="C2443" s="58" t="str">
        <f>"20907303"</f>
        <v>20907303</v>
      </c>
      <c r="D2443" s="58" t="str">
        <f>""</f>
        <v/>
      </c>
      <c r="E2443" s="46" t="s">
        <v>17016</v>
      </c>
      <c r="F2443" s="46" t="s">
        <v>21182</v>
      </c>
      <c r="G2443" s="46" t="s">
        <v>50584</v>
      </c>
      <c r="H2443" s="48" t="s">
        <v>56716</v>
      </c>
      <c r="I2443" s="48" t="s">
        <v>50564</v>
      </c>
      <c r="J2443" s="48"/>
      <c r="K2443" s="50" t="s">
        <v>56716</v>
      </c>
      <c r="L2443" s="48"/>
    </row>
    <row r="2444" spans="1:12" s="37" customFormat="1" ht="11.25" x14ac:dyDescent="0.2">
      <c r="A2444" s="46" t="s">
        <v>14203</v>
      </c>
      <c r="B2444" s="46" t="s">
        <v>52273</v>
      </c>
      <c r="C2444" s="58" t="str">
        <f>"11108630"</f>
        <v>11108630</v>
      </c>
      <c r="D2444" s="58" t="str">
        <f>"20902441"</f>
        <v>20902441</v>
      </c>
      <c r="E2444" s="46" t="s">
        <v>14206</v>
      </c>
      <c r="F2444" s="46" t="s">
        <v>21182</v>
      </c>
      <c r="G2444" s="46" t="s">
        <v>50584</v>
      </c>
      <c r="H2444" s="48" t="s">
        <v>56716</v>
      </c>
      <c r="I2444" s="48" t="s">
        <v>50564</v>
      </c>
      <c r="J2444" s="48"/>
      <c r="K2444" s="50" t="s">
        <v>56716</v>
      </c>
      <c r="L2444" s="48"/>
    </row>
    <row r="2445" spans="1:12" s="37" customFormat="1" ht="11.25" x14ac:dyDescent="0.2">
      <c r="A2445" s="46" t="s">
        <v>13288</v>
      </c>
      <c r="B2445" s="46" t="s">
        <v>52274</v>
      </c>
      <c r="C2445" s="58" t="str">
        <f>"11101083"</f>
        <v>11101083</v>
      </c>
      <c r="D2445" s="58" t="str">
        <f>"16878329"</f>
        <v>16878329</v>
      </c>
      <c r="E2445" s="46" t="s">
        <v>13291</v>
      </c>
      <c r="F2445" s="46" t="s">
        <v>21182</v>
      </c>
      <c r="G2445" s="46" t="s">
        <v>50584</v>
      </c>
      <c r="H2445" s="48" t="s">
        <v>56716</v>
      </c>
      <c r="I2445" s="48" t="s">
        <v>50564</v>
      </c>
      <c r="J2445" s="48"/>
      <c r="K2445" s="50"/>
      <c r="L2445" s="48"/>
    </row>
    <row r="2446" spans="1:12" s="37" customFormat="1" ht="11.25" x14ac:dyDescent="0.2">
      <c r="A2446" s="46" t="s">
        <v>14739</v>
      </c>
      <c r="B2446" s="46" t="s">
        <v>52275</v>
      </c>
      <c r="C2446" s="58" t="str">
        <f>"0378603X"</f>
        <v>0378603X</v>
      </c>
      <c r="D2446" s="58" t="str">
        <f>"20904762"</f>
        <v>20904762</v>
      </c>
      <c r="E2446" s="46" t="s">
        <v>91</v>
      </c>
      <c r="F2446" s="46" t="s">
        <v>18001</v>
      </c>
      <c r="G2446" s="46" t="s">
        <v>50584</v>
      </c>
      <c r="H2446" s="48" t="s">
        <v>56716</v>
      </c>
      <c r="I2446" s="48" t="s">
        <v>50564</v>
      </c>
      <c r="J2446" s="48" t="s">
        <v>56716</v>
      </c>
      <c r="K2446" s="50" t="s">
        <v>56716</v>
      </c>
      <c r="L2446" s="48"/>
    </row>
    <row r="2447" spans="1:12" s="37" customFormat="1" ht="11.25" x14ac:dyDescent="0.2">
      <c r="A2447" s="46" t="s">
        <v>17191</v>
      </c>
      <c r="B2447" s="46" t="s">
        <v>52276</v>
      </c>
      <c r="C2447" s="58" t="str">
        <f>"11106638"</f>
        <v>11106638</v>
      </c>
      <c r="D2447" s="58" t="str">
        <f>"20909942"</f>
        <v>20909942</v>
      </c>
      <c r="E2447" s="46" t="s">
        <v>17194</v>
      </c>
      <c r="F2447" s="46" t="s">
        <v>21182</v>
      </c>
      <c r="G2447" s="46" t="s">
        <v>50584</v>
      </c>
      <c r="H2447" s="48" t="s">
        <v>56716</v>
      </c>
      <c r="I2447" s="48" t="s">
        <v>50564</v>
      </c>
      <c r="J2447" s="48"/>
      <c r="K2447" s="50" t="s">
        <v>56716</v>
      </c>
      <c r="L2447" s="48"/>
    </row>
    <row r="2448" spans="1:12" s="37" customFormat="1" ht="11.25" x14ac:dyDescent="0.2">
      <c r="A2448" s="46" t="s">
        <v>15362</v>
      </c>
      <c r="B2448" s="46" t="s">
        <v>52277</v>
      </c>
      <c r="C2448" s="58" t="str">
        <f>"11101164"</f>
        <v>11101164</v>
      </c>
      <c r="D2448" s="58" t="str">
        <f>"20902433"</f>
        <v>20902433</v>
      </c>
      <c r="E2448" s="46" t="s">
        <v>15365</v>
      </c>
      <c r="F2448" s="46" t="s">
        <v>21182</v>
      </c>
      <c r="G2448" s="46" t="s">
        <v>50584</v>
      </c>
      <c r="H2448" s="48" t="s">
        <v>56716</v>
      </c>
      <c r="I2448" s="48" t="s">
        <v>50564</v>
      </c>
      <c r="J2448" s="48" t="s">
        <v>56716</v>
      </c>
      <c r="K2448" s="50" t="s">
        <v>56716</v>
      </c>
      <c r="L2448" s="48"/>
    </row>
    <row r="2449" spans="1:12" s="37" customFormat="1" ht="11.25" x14ac:dyDescent="0.2">
      <c r="A2449" s="45" t="s">
        <v>27890</v>
      </c>
      <c r="B2449" s="45" t="s">
        <v>27892</v>
      </c>
      <c r="C2449" s="51" t="s">
        <v>27894</v>
      </c>
      <c r="D2449" s="51" t="s">
        <v>27893</v>
      </c>
      <c r="E2449" s="45" t="s">
        <v>27895</v>
      </c>
      <c r="F2449" s="45" t="s">
        <v>18058</v>
      </c>
      <c r="G2449" s="45" t="s">
        <v>50611</v>
      </c>
      <c r="H2449" s="56"/>
      <c r="I2449" s="56" t="s">
        <v>50564</v>
      </c>
      <c r="J2449" s="56"/>
      <c r="K2449" s="50"/>
      <c r="L2449" s="56" t="s">
        <v>56716</v>
      </c>
    </row>
    <row r="2450" spans="1:12" s="37" customFormat="1" ht="11.25" x14ac:dyDescent="0.2">
      <c r="A2450" s="46" t="s">
        <v>16123</v>
      </c>
      <c r="B2450" s="46" t="s">
        <v>52278</v>
      </c>
      <c r="C2450" s="58" t="str">
        <f>""</f>
        <v/>
      </c>
      <c r="D2450" s="58" t="str">
        <f>"2191219X"</f>
        <v>2191219X</v>
      </c>
      <c r="E2450" s="46" t="s">
        <v>167</v>
      </c>
      <c r="F2450" s="46" t="s">
        <v>18158</v>
      </c>
      <c r="G2450" s="46" t="s">
        <v>50584</v>
      </c>
      <c r="H2450" s="48" t="s">
        <v>56716</v>
      </c>
      <c r="I2450" s="48" t="s">
        <v>50564</v>
      </c>
      <c r="J2450" s="48" t="s">
        <v>56716</v>
      </c>
      <c r="K2450" s="50"/>
      <c r="L2450" s="48"/>
    </row>
    <row r="2451" spans="1:12" s="37" customFormat="1" ht="11.25" x14ac:dyDescent="0.2">
      <c r="A2451" s="45" t="s">
        <v>27897</v>
      </c>
      <c r="B2451" s="45" t="s">
        <v>27899</v>
      </c>
      <c r="C2451" s="51" t="s">
        <v>27902</v>
      </c>
      <c r="D2451" s="51" t="s">
        <v>27901</v>
      </c>
      <c r="E2451" s="45" t="s">
        <v>27903</v>
      </c>
      <c r="F2451" s="45" t="s">
        <v>18396</v>
      </c>
      <c r="G2451" s="45" t="s">
        <v>50639</v>
      </c>
      <c r="H2451" s="56"/>
      <c r="I2451" s="56" t="s">
        <v>50564</v>
      </c>
      <c r="J2451" s="56"/>
      <c r="K2451" s="50"/>
      <c r="L2451" s="56" t="s">
        <v>56716</v>
      </c>
    </row>
    <row r="2452" spans="1:12" s="37" customFormat="1" ht="11.25" x14ac:dyDescent="0.2">
      <c r="A2452" s="45" t="s">
        <v>27910</v>
      </c>
      <c r="B2452" s="45" t="s">
        <v>27912</v>
      </c>
      <c r="C2452" s="51" t="s">
        <v>27914</v>
      </c>
      <c r="D2452" s="51"/>
      <c r="E2452" s="45" t="s">
        <v>27915</v>
      </c>
      <c r="F2452" s="45" t="s">
        <v>50653</v>
      </c>
      <c r="G2452" s="45" t="s">
        <v>56509</v>
      </c>
      <c r="H2452" s="56"/>
      <c r="I2452" s="56" t="s">
        <v>50564</v>
      </c>
      <c r="J2452" s="56"/>
      <c r="K2452" s="50"/>
      <c r="L2452" s="56" t="s">
        <v>56716</v>
      </c>
    </row>
    <row r="2453" spans="1:12" s="37" customFormat="1" ht="11.25" x14ac:dyDescent="0.2">
      <c r="A2453" s="46" t="s">
        <v>9625</v>
      </c>
      <c r="B2453" s="46" t="s">
        <v>52279</v>
      </c>
      <c r="C2453" s="58" t="str">
        <f>"08692092"</f>
        <v>08692092</v>
      </c>
      <c r="D2453" s="58" t="str">
        <f>""</f>
        <v/>
      </c>
      <c r="E2453" s="46" t="s">
        <v>4062</v>
      </c>
      <c r="F2453" s="46" t="s">
        <v>50653</v>
      </c>
      <c r="G2453" s="46" t="s">
        <v>50620</v>
      </c>
      <c r="H2453" s="48" t="s">
        <v>56716</v>
      </c>
      <c r="I2453" s="48" t="s">
        <v>50564</v>
      </c>
      <c r="J2453" s="48"/>
      <c r="K2453" s="50"/>
      <c r="L2453" s="48" t="s">
        <v>56716</v>
      </c>
    </row>
    <row r="2454" spans="1:12" s="37" customFormat="1" ht="11.25" x14ac:dyDescent="0.2">
      <c r="A2454" s="46" t="s">
        <v>11239</v>
      </c>
      <c r="B2454" s="46" t="s">
        <v>52280</v>
      </c>
      <c r="C2454" s="58" t="str">
        <f>"17385997"</f>
        <v>17385997</v>
      </c>
      <c r="D2454" s="58" t="str">
        <f>"20929935"</f>
        <v>20929935</v>
      </c>
      <c r="E2454" s="46" t="s">
        <v>11242</v>
      </c>
      <c r="F2454" s="46" t="s">
        <v>50649</v>
      </c>
      <c r="G2454" s="46" t="s">
        <v>50584</v>
      </c>
      <c r="H2454" s="48" t="s">
        <v>56716</v>
      </c>
      <c r="I2454" s="48" t="s">
        <v>50564</v>
      </c>
      <c r="J2454" s="48"/>
      <c r="K2454" s="50"/>
      <c r="L2454" s="48"/>
    </row>
    <row r="2455" spans="1:12" s="37" customFormat="1" ht="11.25" x14ac:dyDescent="0.2">
      <c r="A2455" s="45" t="s">
        <v>27917</v>
      </c>
      <c r="B2455" s="45" t="s">
        <v>27919</v>
      </c>
      <c r="C2455" s="51" t="s">
        <v>27922</v>
      </c>
      <c r="D2455" s="51" t="s">
        <v>27921</v>
      </c>
      <c r="E2455" s="45" t="s">
        <v>291</v>
      </c>
      <c r="F2455" s="45" t="s">
        <v>50646</v>
      </c>
      <c r="G2455" s="45" t="s">
        <v>50584</v>
      </c>
      <c r="H2455" s="56"/>
      <c r="I2455" s="56" t="s">
        <v>50564</v>
      </c>
      <c r="J2455" s="56"/>
      <c r="K2455" s="50"/>
      <c r="L2455" s="56" t="s">
        <v>56716</v>
      </c>
    </row>
    <row r="2456" spans="1:12" s="37" customFormat="1" ht="11.25" x14ac:dyDescent="0.2">
      <c r="A2456" s="46" t="s">
        <v>10087</v>
      </c>
      <c r="B2456" s="46" t="s">
        <v>52281</v>
      </c>
      <c r="C2456" s="58" t="str">
        <f>""</f>
        <v/>
      </c>
      <c r="D2456" s="58" t="str">
        <f>"07173458"</f>
        <v>07173458</v>
      </c>
      <c r="E2456" s="46" t="s">
        <v>10087</v>
      </c>
      <c r="F2456" s="46" t="s">
        <v>46383</v>
      </c>
      <c r="G2456" s="46" t="s">
        <v>50584</v>
      </c>
      <c r="H2456" s="48" t="s">
        <v>56716</v>
      </c>
      <c r="I2456" s="48" t="s">
        <v>50564</v>
      </c>
      <c r="J2456" s="48"/>
      <c r="K2456" s="50"/>
      <c r="L2456" s="48"/>
    </row>
    <row r="2457" spans="1:12" s="37" customFormat="1" ht="11.25" x14ac:dyDescent="0.2">
      <c r="A2457" s="46" t="s">
        <v>1512</v>
      </c>
      <c r="B2457" s="46" t="s">
        <v>1512</v>
      </c>
      <c r="C2457" s="58" t="str">
        <f>"01730835"</f>
        <v>01730835</v>
      </c>
      <c r="D2457" s="58" t="str">
        <f>"15222683"</f>
        <v>15222683</v>
      </c>
      <c r="E2457" s="46" t="s">
        <v>651</v>
      </c>
      <c r="F2457" s="46" t="s">
        <v>18158</v>
      </c>
      <c r="G2457" s="46" t="s">
        <v>50584</v>
      </c>
      <c r="H2457" s="48" t="s">
        <v>56716</v>
      </c>
      <c r="I2457" s="48" t="s">
        <v>50564</v>
      </c>
      <c r="J2457" s="48"/>
      <c r="K2457" s="50" t="s">
        <v>56716</v>
      </c>
      <c r="L2457" s="48" t="s">
        <v>56716</v>
      </c>
    </row>
    <row r="2458" spans="1:12" s="37" customFormat="1" ht="11.25" x14ac:dyDescent="0.2">
      <c r="A2458" s="46" t="s">
        <v>17075</v>
      </c>
      <c r="B2458" s="46" t="s">
        <v>17075</v>
      </c>
      <c r="C2458" s="58" t="str">
        <f>""</f>
        <v/>
      </c>
      <c r="D2458" s="58" t="str">
        <f>"2050084X"</f>
        <v>2050084X</v>
      </c>
      <c r="E2458" s="46" t="s">
        <v>17077</v>
      </c>
      <c r="F2458" s="46" t="s">
        <v>50646</v>
      </c>
      <c r="G2458" s="46" t="s">
        <v>50584</v>
      </c>
      <c r="H2458" s="48" t="s">
        <v>56716</v>
      </c>
      <c r="I2458" s="48" t="s">
        <v>50564</v>
      </c>
      <c r="J2458" s="48"/>
      <c r="K2458" s="50"/>
      <c r="L2458" s="48" t="s">
        <v>56716</v>
      </c>
    </row>
    <row r="2459" spans="1:12" s="37" customFormat="1" ht="11.25" x14ac:dyDescent="0.2">
      <c r="A2459" s="46" t="s">
        <v>10193</v>
      </c>
      <c r="B2459" s="46" t="s">
        <v>52282</v>
      </c>
      <c r="C2459" s="58" t="str">
        <f>"17426731"</f>
        <v>17426731</v>
      </c>
      <c r="D2459" s="58" t="str">
        <f>"17426723"</f>
        <v>17426723</v>
      </c>
      <c r="E2459" s="46" t="s">
        <v>296</v>
      </c>
      <c r="F2459" s="46" t="s">
        <v>20082</v>
      </c>
      <c r="G2459" s="46" t="s">
        <v>50584</v>
      </c>
      <c r="H2459" s="48" t="s">
        <v>56716</v>
      </c>
      <c r="I2459" s="48" t="s">
        <v>50564</v>
      </c>
      <c r="J2459" s="48" t="s">
        <v>56716</v>
      </c>
      <c r="K2459" s="50" t="s">
        <v>56716</v>
      </c>
      <c r="L2459" s="48" t="s">
        <v>56716</v>
      </c>
    </row>
    <row r="2460" spans="1:12" s="37" customFormat="1" ht="11.25" x14ac:dyDescent="0.2">
      <c r="A2460" s="46" t="s">
        <v>4174</v>
      </c>
      <c r="B2460" s="46" t="s">
        <v>52283</v>
      </c>
      <c r="C2460" s="58" t="str">
        <f>"02614189"</f>
        <v>02614189</v>
      </c>
      <c r="D2460" s="58" t="str">
        <f>"14602075"</f>
        <v>14602075</v>
      </c>
      <c r="E2460" s="46" t="s">
        <v>651</v>
      </c>
      <c r="F2460" s="46" t="s">
        <v>18158</v>
      </c>
      <c r="G2460" s="46" t="s">
        <v>50584</v>
      </c>
      <c r="H2460" s="48" t="s">
        <v>56716</v>
      </c>
      <c r="I2460" s="48" t="s">
        <v>50564</v>
      </c>
      <c r="J2460" s="48" t="s">
        <v>56716</v>
      </c>
      <c r="K2460" s="50" t="s">
        <v>56716</v>
      </c>
      <c r="L2460" s="48" t="s">
        <v>56716</v>
      </c>
    </row>
    <row r="2461" spans="1:12" s="37" customFormat="1" ht="11.25" x14ac:dyDescent="0.2">
      <c r="A2461" s="46" t="s">
        <v>13908</v>
      </c>
      <c r="B2461" s="46" t="s">
        <v>52284</v>
      </c>
      <c r="C2461" s="58" t="str">
        <f>"17574676"</f>
        <v>17574676</v>
      </c>
      <c r="D2461" s="58" t="str">
        <f>"17574684"</f>
        <v>17574684</v>
      </c>
      <c r="E2461" s="46" t="s">
        <v>35</v>
      </c>
      <c r="F2461" s="46" t="s">
        <v>50646</v>
      </c>
      <c r="G2461" s="46" t="s">
        <v>50584</v>
      </c>
      <c r="H2461" s="48" t="s">
        <v>56716</v>
      </c>
      <c r="I2461" s="48" t="s">
        <v>50564</v>
      </c>
      <c r="J2461" s="48" t="s">
        <v>56716</v>
      </c>
      <c r="K2461" s="50" t="s">
        <v>56716</v>
      </c>
      <c r="L2461" s="48" t="s">
        <v>56716</v>
      </c>
    </row>
    <row r="2462" spans="1:12" s="37" customFormat="1" ht="11.25" x14ac:dyDescent="0.2">
      <c r="A2462" s="46" t="s">
        <v>8689</v>
      </c>
      <c r="B2462" s="46" t="s">
        <v>52285</v>
      </c>
      <c r="C2462" s="58" t="str">
        <f>"1469221X"</f>
        <v>1469221X</v>
      </c>
      <c r="D2462" s="58" t="str">
        <f>"14693178"</f>
        <v>14693178</v>
      </c>
      <c r="E2462" s="46" t="s">
        <v>651</v>
      </c>
      <c r="F2462" s="46" t="s">
        <v>18158</v>
      </c>
      <c r="G2462" s="46" t="s">
        <v>50584</v>
      </c>
      <c r="H2462" s="48" t="s">
        <v>56716</v>
      </c>
      <c r="I2462" s="48" t="s">
        <v>50564</v>
      </c>
      <c r="J2462" s="48" t="s">
        <v>56716</v>
      </c>
      <c r="K2462" s="50" t="s">
        <v>56716</v>
      </c>
      <c r="L2462" s="48" t="s">
        <v>56716</v>
      </c>
    </row>
    <row r="2463" spans="1:12" s="37" customFormat="1" ht="11.25" x14ac:dyDescent="0.2">
      <c r="A2463" s="46" t="s">
        <v>56139</v>
      </c>
      <c r="B2463" s="46" t="s">
        <v>56139</v>
      </c>
      <c r="C2463" s="58" t="str">
        <f>"23454571"</f>
        <v>23454571</v>
      </c>
      <c r="D2463" s="58" t="str">
        <f>"23454563"</f>
        <v>23454563</v>
      </c>
      <c r="E2463" s="46" t="s">
        <v>17443</v>
      </c>
      <c r="F2463" s="46" t="s">
        <v>18232</v>
      </c>
      <c r="G2463" s="46" t="s">
        <v>50584</v>
      </c>
      <c r="H2463" s="48" t="s">
        <v>56716</v>
      </c>
      <c r="I2463" s="48" t="s">
        <v>50564</v>
      </c>
      <c r="J2463" s="48"/>
      <c r="K2463" s="50"/>
      <c r="L2463" s="48"/>
    </row>
    <row r="2464" spans="1:12" s="37" customFormat="1" ht="11.25" x14ac:dyDescent="0.2">
      <c r="A2464" s="46" t="s">
        <v>1518</v>
      </c>
      <c r="B2464" s="46" t="s">
        <v>52287</v>
      </c>
      <c r="C2464" s="58" t="str">
        <f>"07338627"</f>
        <v>07338627</v>
      </c>
      <c r="D2464" s="58" t="str">
        <f>"07338627"</f>
        <v>07338627</v>
      </c>
      <c r="E2464" s="46" t="s">
        <v>303</v>
      </c>
      <c r="F2464" s="46" t="s">
        <v>17759</v>
      </c>
      <c r="G2464" s="46" t="s">
        <v>50584</v>
      </c>
      <c r="H2464" s="48" t="s">
        <v>56716</v>
      </c>
      <c r="I2464" s="48" t="s">
        <v>50564</v>
      </c>
      <c r="J2464" s="48" t="s">
        <v>56716</v>
      </c>
      <c r="K2464" s="50" t="s">
        <v>56716</v>
      </c>
      <c r="L2464" s="48" t="s">
        <v>56716</v>
      </c>
    </row>
    <row r="2465" spans="1:12" s="37" customFormat="1" ht="11.25" x14ac:dyDescent="0.2">
      <c r="A2465" s="46" t="s">
        <v>15745</v>
      </c>
      <c r="B2465" s="46" t="s">
        <v>52288</v>
      </c>
      <c r="C2465" s="58" t="str">
        <f>"20902840"</f>
        <v>20902840</v>
      </c>
      <c r="D2465" s="58" t="str">
        <f>"20902859"</f>
        <v>20902859</v>
      </c>
      <c r="E2465" s="46" t="s">
        <v>1412</v>
      </c>
      <c r="F2465" s="46" t="s">
        <v>17759</v>
      </c>
      <c r="G2465" s="46" t="s">
        <v>50584</v>
      </c>
      <c r="H2465" s="48" t="s">
        <v>56716</v>
      </c>
      <c r="I2465" s="48" t="s">
        <v>50564</v>
      </c>
      <c r="J2465" s="48" t="s">
        <v>56716</v>
      </c>
      <c r="K2465" s="50"/>
      <c r="L2465" s="48"/>
    </row>
    <row r="2466" spans="1:12" s="37" customFormat="1" ht="11.25" x14ac:dyDescent="0.2">
      <c r="A2466" s="46" t="s">
        <v>8844</v>
      </c>
      <c r="B2466" s="46" t="s">
        <v>52289</v>
      </c>
      <c r="C2466" s="58" t="str">
        <f>"14720205"</f>
        <v>14720205</v>
      </c>
      <c r="D2466" s="58" t="str">
        <f>"14720213"</f>
        <v>14720213</v>
      </c>
      <c r="E2466" s="46" t="s">
        <v>159</v>
      </c>
      <c r="F2466" s="46" t="s">
        <v>50646</v>
      </c>
      <c r="G2466" s="46" t="s">
        <v>50584</v>
      </c>
      <c r="H2466" s="48" t="s">
        <v>56716</v>
      </c>
      <c r="I2466" s="48" t="s">
        <v>50564</v>
      </c>
      <c r="J2466" s="48" t="s">
        <v>56716</v>
      </c>
      <c r="K2466" s="50" t="s">
        <v>56716</v>
      </c>
      <c r="L2466" s="48" t="s">
        <v>56716</v>
      </c>
    </row>
    <row r="2467" spans="1:12" s="37" customFormat="1" ht="11.25" x14ac:dyDescent="0.2">
      <c r="A2467" s="45" t="s">
        <v>27962</v>
      </c>
      <c r="B2467" s="45" t="s">
        <v>27964</v>
      </c>
      <c r="C2467" s="51" t="s">
        <v>27966</v>
      </c>
      <c r="D2467" s="51" t="s">
        <v>27965</v>
      </c>
      <c r="E2467" s="45" t="s">
        <v>27967</v>
      </c>
      <c r="F2467" s="45" t="s">
        <v>17759</v>
      </c>
      <c r="G2467" s="45" t="s">
        <v>50584</v>
      </c>
      <c r="H2467" s="56"/>
      <c r="I2467" s="56" t="s">
        <v>50564</v>
      </c>
      <c r="J2467" s="56"/>
      <c r="K2467" s="50"/>
      <c r="L2467" s="56" t="s">
        <v>56716</v>
      </c>
    </row>
    <row r="2468" spans="1:12" s="37" customFormat="1" ht="11.25" x14ac:dyDescent="0.2">
      <c r="A2468" s="45" t="s">
        <v>27969</v>
      </c>
      <c r="B2468" s="45" t="s">
        <v>27971</v>
      </c>
      <c r="C2468" s="51" t="s">
        <v>27972</v>
      </c>
      <c r="D2468" s="51"/>
      <c r="E2468" s="45" t="s">
        <v>27973</v>
      </c>
      <c r="F2468" s="45" t="s">
        <v>50646</v>
      </c>
      <c r="G2468" s="45" t="s">
        <v>50584</v>
      </c>
      <c r="H2468" s="56"/>
      <c r="I2468" s="56" t="s">
        <v>50564</v>
      </c>
      <c r="J2468" s="56"/>
      <c r="K2468" s="50"/>
      <c r="L2468" s="56" t="s">
        <v>56716</v>
      </c>
    </row>
    <row r="2469" spans="1:12" s="37" customFormat="1" ht="11.25" x14ac:dyDescent="0.2">
      <c r="A2469" s="46" t="s">
        <v>6475</v>
      </c>
      <c r="B2469" s="46" t="s">
        <v>52290</v>
      </c>
      <c r="C2469" s="58" t="str">
        <f>"10703004"</f>
        <v>10703004</v>
      </c>
      <c r="D2469" s="58" t="str">
        <f>"14381435"</f>
        <v>14381435</v>
      </c>
      <c r="E2469" s="46" t="s">
        <v>56305</v>
      </c>
      <c r="F2469" s="46" t="s">
        <v>17759</v>
      </c>
      <c r="G2469" s="46" t="s">
        <v>50584</v>
      </c>
      <c r="H2469" s="48" t="s">
        <v>56716</v>
      </c>
      <c r="I2469" s="48" t="s">
        <v>50564</v>
      </c>
      <c r="J2469" s="48" t="s">
        <v>56716</v>
      </c>
      <c r="K2469" s="50" t="s">
        <v>56716</v>
      </c>
      <c r="L2469" s="48" t="s">
        <v>56716</v>
      </c>
    </row>
    <row r="2470" spans="1:12" s="37" customFormat="1" ht="11.25" x14ac:dyDescent="0.2">
      <c r="A2470" s="46" t="s">
        <v>14430</v>
      </c>
      <c r="B2470" s="46" t="s">
        <v>52286</v>
      </c>
      <c r="C2470" s="58" t="str">
        <f>"17528550"</f>
        <v>17528550</v>
      </c>
      <c r="D2470" s="58" t="str">
        <f>""</f>
        <v/>
      </c>
      <c r="E2470" s="46" t="s">
        <v>56064</v>
      </c>
      <c r="F2470" s="46" t="s">
        <v>50646</v>
      </c>
      <c r="G2470" s="46" t="s">
        <v>50584</v>
      </c>
      <c r="H2470" s="48" t="s">
        <v>56716</v>
      </c>
      <c r="I2470" s="48" t="s">
        <v>50564</v>
      </c>
      <c r="J2470" s="48"/>
      <c r="K2470" s="50"/>
      <c r="L2470" s="48" t="s">
        <v>56716</v>
      </c>
    </row>
    <row r="2471" spans="1:12" s="37" customFormat="1" ht="11.25" x14ac:dyDescent="0.2">
      <c r="A2471" s="46" t="s">
        <v>7370</v>
      </c>
      <c r="B2471" s="46" t="s">
        <v>52291</v>
      </c>
      <c r="C2471" s="58" t="str">
        <f>"10806040"</f>
        <v>10806040</v>
      </c>
      <c r="D2471" s="58" t="str">
        <f>"10806059"</f>
        <v>10806059</v>
      </c>
      <c r="E2471" s="46" t="s">
        <v>7373</v>
      </c>
      <c r="F2471" s="46" t="s">
        <v>17759</v>
      </c>
      <c r="G2471" s="46" t="s">
        <v>50584</v>
      </c>
      <c r="H2471" s="48" t="s">
        <v>56716</v>
      </c>
      <c r="I2471" s="48" t="s">
        <v>50564</v>
      </c>
      <c r="J2471" s="48"/>
      <c r="K2471" s="50"/>
      <c r="L2471" s="48" t="s">
        <v>56716</v>
      </c>
    </row>
    <row r="2472" spans="1:12" s="37" customFormat="1" ht="11.25" x14ac:dyDescent="0.2">
      <c r="A2472" s="46" t="s">
        <v>16590</v>
      </c>
      <c r="B2472" s="46" t="s">
        <v>52292</v>
      </c>
      <c r="C2472" s="58" t="str">
        <f>""</f>
        <v/>
      </c>
      <c r="D2472" s="58" t="str">
        <f>"22221751"</f>
        <v>22221751</v>
      </c>
      <c r="E2472" s="46" t="s">
        <v>315</v>
      </c>
      <c r="F2472" s="46" t="s">
        <v>50646</v>
      </c>
      <c r="G2472" s="46" t="s">
        <v>50584</v>
      </c>
      <c r="H2472" s="48" t="s">
        <v>56716</v>
      </c>
      <c r="I2472" s="48" t="s">
        <v>50564</v>
      </c>
      <c r="J2472" s="48" t="s">
        <v>56716</v>
      </c>
      <c r="K2472" s="50"/>
      <c r="L2472" s="48"/>
    </row>
    <row r="2473" spans="1:12" s="37" customFormat="1" ht="11.25" x14ac:dyDescent="0.2">
      <c r="A2473" s="46" t="s">
        <v>10686</v>
      </c>
      <c r="B2473" s="46" t="s">
        <v>52293</v>
      </c>
      <c r="C2473" s="58" t="str">
        <f>""</f>
        <v/>
      </c>
      <c r="D2473" s="58" t="str">
        <f>"17427622"</f>
        <v>17427622</v>
      </c>
      <c r="E2473" s="46" t="s">
        <v>2299</v>
      </c>
      <c r="F2473" s="46" t="s">
        <v>50646</v>
      </c>
      <c r="G2473" s="46" t="s">
        <v>50584</v>
      </c>
      <c r="H2473" s="48" t="s">
        <v>56716</v>
      </c>
      <c r="I2473" s="48" t="s">
        <v>50564</v>
      </c>
      <c r="J2473" s="48"/>
      <c r="K2473" s="50" t="s">
        <v>56716</v>
      </c>
      <c r="L2473" s="48"/>
    </row>
    <row r="2474" spans="1:12" s="37" customFormat="1" ht="11.25" x14ac:dyDescent="0.2">
      <c r="A2474" s="46" t="s">
        <v>1520</v>
      </c>
      <c r="B2474" s="46" t="s">
        <v>52294</v>
      </c>
      <c r="C2474" s="58" t="str">
        <f>"02506882"</f>
        <v>02506882</v>
      </c>
      <c r="D2474" s="58" t="str">
        <f>""</f>
        <v/>
      </c>
      <c r="E2474" s="46" t="s">
        <v>1522</v>
      </c>
      <c r="F2474" s="46" t="s">
        <v>20976</v>
      </c>
      <c r="G2474" s="46" t="s">
        <v>50584</v>
      </c>
      <c r="H2474" s="48" t="s">
        <v>56716</v>
      </c>
      <c r="I2474" s="48" t="s">
        <v>50564</v>
      </c>
      <c r="J2474" s="48"/>
      <c r="K2474" s="50"/>
      <c r="L2474" s="48"/>
    </row>
    <row r="2475" spans="1:12" s="37" customFormat="1" ht="11.25" x14ac:dyDescent="0.2">
      <c r="A2475" s="46" t="s">
        <v>9271</v>
      </c>
      <c r="B2475" s="46" t="s">
        <v>9271</v>
      </c>
      <c r="C2475" s="58" t="str">
        <f>"15283542"</f>
        <v>15283542</v>
      </c>
      <c r="D2475" s="58" t="str">
        <f>"19311516"</f>
        <v>19311516</v>
      </c>
      <c r="E2475" s="46" t="s">
        <v>356</v>
      </c>
      <c r="F2475" s="46" t="s">
        <v>17759</v>
      </c>
      <c r="G2475" s="46" t="s">
        <v>50584</v>
      </c>
      <c r="H2475" s="48" t="s">
        <v>56716</v>
      </c>
      <c r="I2475" s="48" t="s">
        <v>50564</v>
      </c>
      <c r="J2475" s="48"/>
      <c r="K2475" s="50" t="s">
        <v>56716</v>
      </c>
      <c r="L2475" s="48" t="s">
        <v>56716</v>
      </c>
    </row>
    <row r="2476" spans="1:12" s="37" customFormat="1" ht="11.25" x14ac:dyDescent="0.2">
      <c r="A2476" s="46" t="s">
        <v>9056</v>
      </c>
      <c r="B2476" s="46" t="s">
        <v>52295</v>
      </c>
      <c r="C2476" s="58" t="str">
        <f>"13632752"</f>
        <v>13632752</v>
      </c>
      <c r="D2476" s="58" t="str">
        <f>"17412692"</f>
        <v>17412692</v>
      </c>
      <c r="E2476" s="46" t="s">
        <v>689</v>
      </c>
      <c r="F2476" s="46" t="s">
        <v>50646</v>
      </c>
      <c r="G2476" s="46" t="s">
        <v>50584</v>
      </c>
      <c r="H2476" s="48" t="s">
        <v>56716</v>
      </c>
      <c r="I2476" s="48" t="s">
        <v>50564</v>
      </c>
      <c r="J2476" s="48" t="s">
        <v>56716</v>
      </c>
      <c r="K2476" s="50" t="s">
        <v>56716</v>
      </c>
      <c r="L2476" s="48"/>
    </row>
    <row r="2477" spans="1:12" s="37" customFormat="1" ht="11.25" x14ac:dyDescent="0.2">
      <c r="A2477" s="45" t="s">
        <v>27997</v>
      </c>
      <c r="B2477" s="45" t="s">
        <v>27999</v>
      </c>
      <c r="C2477" s="51"/>
      <c r="D2477" s="51"/>
      <c r="E2477" s="45" t="s">
        <v>28001</v>
      </c>
      <c r="F2477" s="45" t="s">
        <v>17759</v>
      </c>
      <c r="G2477" s="45" t="s">
        <v>50584</v>
      </c>
      <c r="H2477" s="56"/>
      <c r="I2477" s="56" t="s">
        <v>50564</v>
      </c>
      <c r="J2477" s="56"/>
      <c r="K2477" s="50"/>
      <c r="L2477" s="56" t="s">
        <v>56716</v>
      </c>
    </row>
    <row r="2478" spans="1:12" s="37" customFormat="1" ht="11.25" x14ac:dyDescent="0.2">
      <c r="A2478" s="46" t="s">
        <v>1530</v>
      </c>
      <c r="B2478" s="46" t="s">
        <v>1530</v>
      </c>
      <c r="C2478" s="58" t="str">
        <f>"00137006"</f>
        <v>00137006</v>
      </c>
      <c r="D2478" s="58" t="str">
        <f>""</f>
        <v/>
      </c>
      <c r="E2478" s="46" t="s">
        <v>85</v>
      </c>
      <c r="F2478" s="46" t="s">
        <v>20359</v>
      </c>
      <c r="G2478" s="46" t="s">
        <v>50591</v>
      </c>
      <c r="H2478" s="48" t="s">
        <v>56716</v>
      </c>
      <c r="I2478" s="48" t="s">
        <v>50564</v>
      </c>
      <c r="J2478" s="48"/>
      <c r="K2478" s="50" t="s">
        <v>56716</v>
      </c>
      <c r="L2478" s="48" t="s">
        <v>56716</v>
      </c>
    </row>
    <row r="2479" spans="1:12" s="37" customFormat="1" ht="11.25" x14ac:dyDescent="0.2">
      <c r="A2479" s="45" t="s">
        <v>28007</v>
      </c>
      <c r="B2479" s="45" t="s">
        <v>28007</v>
      </c>
      <c r="C2479" s="51" t="s">
        <v>28010</v>
      </c>
      <c r="D2479" s="51" t="s">
        <v>28009</v>
      </c>
      <c r="E2479" s="45" t="s">
        <v>17865</v>
      </c>
      <c r="F2479" s="45" t="s">
        <v>50646</v>
      </c>
      <c r="G2479" s="45" t="s">
        <v>50584</v>
      </c>
      <c r="H2479" s="56"/>
      <c r="I2479" s="56" t="s">
        <v>50564</v>
      </c>
      <c r="J2479" s="56"/>
      <c r="K2479" s="50"/>
      <c r="L2479" s="56" t="s">
        <v>56716</v>
      </c>
    </row>
    <row r="2480" spans="1:12" s="37" customFormat="1" ht="11.25" x14ac:dyDescent="0.2">
      <c r="A2480" s="46" t="s">
        <v>6358</v>
      </c>
      <c r="B2480" s="46" t="s">
        <v>6358</v>
      </c>
      <c r="C2480" s="58" t="str">
        <f>"1355008X"</f>
        <v>1355008X</v>
      </c>
      <c r="D2480" s="58" t="str">
        <f>"15590100"</f>
        <v>15590100</v>
      </c>
      <c r="E2480" s="46" t="s">
        <v>40314</v>
      </c>
      <c r="F2480" s="46" t="s">
        <v>17759</v>
      </c>
      <c r="G2480" s="46" t="s">
        <v>50584</v>
      </c>
      <c r="H2480" s="48" t="s">
        <v>56716</v>
      </c>
      <c r="I2480" s="48" t="s">
        <v>50564</v>
      </c>
      <c r="J2480" s="48" t="s">
        <v>56716</v>
      </c>
      <c r="K2480" s="50" t="s">
        <v>56716</v>
      </c>
      <c r="L2480" s="48" t="s">
        <v>56716</v>
      </c>
    </row>
    <row r="2481" spans="1:12" s="37" customFormat="1" ht="11.25" x14ac:dyDescent="0.2">
      <c r="A2481" s="46" t="s">
        <v>17436</v>
      </c>
      <c r="B2481" s="46" t="s">
        <v>52296</v>
      </c>
      <c r="C2481" s="58" t="str">
        <f>""</f>
        <v/>
      </c>
      <c r="D2481" s="58" t="str">
        <f>"20493614"</f>
        <v>20493614</v>
      </c>
      <c r="E2481" s="46" t="s">
        <v>2559</v>
      </c>
      <c r="F2481" s="46" t="s">
        <v>50646</v>
      </c>
      <c r="G2481" s="46" t="s">
        <v>50584</v>
      </c>
      <c r="H2481" s="48" t="s">
        <v>56716</v>
      </c>
      <c r="I2481" s="48" t="s">
        <v>50564</v>
      </c>
      <c r="J2481" s="48" t="s">
        <v>56716</v>
      </c>
      <c r="K2481" s="50"/>
      <c r="L2481" s="48"/>
    </row>
    <row r="2482" spans="1:12" s="37" customFormat="1" ht="11.25" x14ac:dyDescent="0.2">
      <c r="A2482" s="46" t="s">
        <v>12737</v>
      </c>
      <c r="B2482" s="46" t="s">
        <v>52297</v>
      </c>
      <c r="C2482" s="58" t="str">
        <f>"14217082"</f>
        <v>14217082</v>
      </c>
      <c r="D2482" s="58" t="str">
        <f>"16622979"</f>
        <v>16622979</v>
      </c>
      <c r="E2482" s="46" t="s">
        <v>109</v>
      </c>
      <c r="F2482" s="46" t="s">
        <v>18123</v>
      </c>
      <c r="G2482" s="46" t="s">
        <v>50584</v>
      </c>
      <c r="H2482" s="48" t="s">
        <v>56716</v>
      </c>
      <c r="I2482" s="48" t="s">
        <v>50565</v>
      </c>
      <c r="J2482" s="48" t="s">
        <v>56716</v>
      </c>
      <c r="K2482" s="50"/>
      <c r="L2482" s="48" t="s">
        <v>56716</v>
      </c>
    </row>
    <row r="2483" spans="1:12" s="37" customFormat="1" ht="11.25" x14ac:dyDescent="0.2">
      <c r="A2483" s="46" t="s">
        <v>17479</v>
      </c>
      <c r="B2483" s="46" t="s">
        <v>52298</v>
      </c>
      <c r="C2483" s="58" t="str">
        <f>""</f>
        <v/>
      </c>
      <c r="D2483" s="58" t="str">
        <f>"23273747"</f>
        <v>23273747</v>
      </c>
      <c r="E2483" s="46" t="s">
        <v>669</v>
      </c>
      <c r="F2483" s="46" t="s">
        <v>17759</v>
      </c>
      <c r="G2483" s="46" t="s">
        <v>50584</v>
      </c>
      <c r="H2483" s="48" t="s">
        <v>56716</v>
      </c>
      <c r="I2483" s="48" t="s">
        <v>50564</v>
      </c>
      <c r="J2483" s="48"/>
      <c r="K2483" s="50"/>
      <c r="L2483" s="48"/>
    </row>
    <row r="2484" spans="1:12" s="37" customFormat="1" ht="11.25" x14ac:dyDescent="0.2">
      <c r="A2484" s="46" t="s">
        <v>6129</v>
      </c>
      <c r="B2484" s="46" t="s">
        <v>52299</v>
      </c>
      <c r="C2484" s="58" t="str">
        <f>"09188959"</f>
        <v>09188959</v>
      </c>
      <c r="D2484" s="58" t="str">
        <f>"13484540"</f>
        <v>13484540</v>
      </c>
      <c r="E2484" s="46" t="s">
        <v>6132</v>
      </c>
      <c r="F2484" s="46" t="s">
        <v>18242</v>
      </c>
      <c r="G2484" s="46" t="s">
        <v>50584</v>
      </c>
      <c r="H2484" s="48" t="s">
        <v>56716</v>
      </c>
      <c r="I2484" s="48" t="s">
        <v>50564</v>
      </c>
      <c r="J2484" s="48"/>
      <c r="K2484" s="50"/>
      <c r="L2484" s="48" t="s">
        <v>56716</v>
      </c>
    </row>
    <row r="2485" spans="1:12" s="37" customFormat="1" ht="11.25" x14ac:dyDescent="0.2">
      <c r="A2485" s="46" t="s">
        <v>7621</v>
      </c>
      <c r="B2485" s="46" t="s">
        <v>52300</v>
      </c>
      <c r="C2485" s="58" t="str">
        <f>"10463976"</f>
        <v>10463976</v>
      </c>
      <c r="D2485" s="58" t="str">
        <f>"15590097"</f>
        <v>15590097</v>
      </c>
      <c r="E2485" s="46" t="s">
        <v>40314</v>
      </c>
      <c r="F2485" s="46" t="s">
        <v>17759</v>
      </c>
      <c r="G2485" s="46" t="s">
        <v>50584</v>
      </c>
      <c r="H2485" s="48" t="s">
        <v>56716</v>
      </c>
      <c r="I2485" s="48" t="s">
        <v>50564</v>
      </c>
      <c r="J2485" s="48" t="s">
        <v>56716</v>
      </c>
      <c r="K2485" s="50" t="s">
        <v>56716</v>
      </c>
      <c r="L2485" s="48" t="s">
        <v>56716</v>
      </c>
    </row>
    <row r="2486" spans="1:12" s="37" customFormat="1" ht="11.25" x14ac:dyDescent="0.2">
      <c r="A2486" s="46" t="s">
        <v>8463</v>
      </c>
      <c r="B2486" s="46" t="s">
        <v>52301</v>
      </c>
      <c r="C2486" s="58" t="str">
        <f>"1530891X"</f>
        <v>1530891X</v>
      </c>
      <c r="D2486" s="58" t="str">
        <f>"19342403"</f>
        <v>19342403</v>
      </c>
      <c r="E2486" s="46" t="s">
        <v>28033</v>
      </c>
      <c r="F2486" s="46" t="s">
        <v>17759</v>
      </c>
      <c r="G2486" s="46" t="s">
        <v>50584</v>
      </c>
      <c r="H2486" s="48" t="s">
        <v>56716</v>
      </c>
      <c r="I2486" s="48" t="s">
        <v>50564</v>
      </c>
      <c r="J2486" s="48"/>
      <c r="K2486" s="50"/>
      <c r="L2486" s="48" t="s">
        <v>56716</v>
      </c>
    </row>
    <row r="2487" spans="1:12" s="37" customFormat="1" ht="11.25" x14ac:dyDescent="0.2">
      <c r="A2487" s="46" t="s">
        <v>5630</v>
      </c>
      <c r="B2487" s="46" t="s">
        <v>52302</v>
      </c>
      <c r="C2487" s="58" t="str">
        <f>"12100668"</f>
        <v>12100668</v>
      </c>
      <c r="D2487" s="58" t="str">
        <f>"13360329"</f>
        <v>13360329</v>
      </c>
      <c r="E2487" s="46" t="s">
        <v>5633</v>
      </c>
      <c r="F2487" s="46" t="s">
        <v>18577</v>
      </c>
      <c r="G2487" s="46" t="s">
        <v>50584</v>
      </c>
      <c r="H2487" s="48" t="s">
        <v>56716</v>
      </c>
      <c r="I2487" s="48" t="s">
        <v>50564</v>
      </c>
      <c r="J2487" s="48"/>
      <c r="K2487" s="50"/>
      <c r="L2487" s="48" t="s">
        <v>56716</v>
      </c>
    </row>
    <row r="2488" spans="1:12" s="37" customFormat="1" ht="11.25" x14ac:dyDescent="0.2">
      <c r="A2488" s="46" t="s">
        <v>1539</v>
      </c>
      <c r="B2488" s="46" t="s">
        <v>52303</v>
      </c>
      <c r="C2488" s="58" t="str">
        <f>"07435800"</f>
        <v>07435800</v>
      </c>
      <c r="D2488" s="58" t="str">
        <f>"15324206"</f>
        <v>15324206</v>
      </c>
      <c r="E2488" s="46" t="s">
        <v>291</v>
      </c>
      <c r="F2488" s="46" t="s">
        <v>17759</v>
      </c>
      <c r="G2488" s="46" t="s">
        <v>50584</v>
      </c>
      <c r="H2488" s="48" t="s">
        <v>56716</v>
      </c>
      <c r="I2488" s="48" t="s">
        <v>50564</v>
      </c>
      <c r="J2488" s="48" t="s">
        <v>56716</v>
      </c>
      <c r="K2488" s="50"/>
      <c r="L2488" s="48" t="s">
        <v>56716</v>
      </c>
    </row>
    <row r="2489" spans="1:12" s="37" customFormat="1" ht="11.25" x14ac:dyDescent="0.2">
      <c r="A2489" s="46" t="s">
        <v>1559</v>
      </c>
      <c r="B2489" s="46" t="s">
        <v>52304</v>
      </c>
      <c r="C2489" s="58" t="str">
        <f>"0163769X"</f>
        <v>0163769X</v>
      </c>
      <c r="D2489" s="58" t="str">
        <f>"0163769X"</f>
        <v>0163769X</v>
      </c>
      <c r="E2489" s="46" t="s">
        <v>1538</v>
      </c>
      <c r="F2489" s="46" t="s">
        <v>17759</v>
      </c>
      <c r="G2489" s="46" t="s">
        <v>50584</v>
      </c>
      <c r="H2489" s="48" t="s">
        <v>56716</v>
      </c>
      <c r="I2489" s="48" t="s">
        <v>50564</v>
      </c>
      <c r="J2489" s="48" t="s">
        <v>56716</v>
      </c>
      <c r="K2489" s="50"/>
      <c r="L2489" s="48" t="s">
        <v>56716</v>
      </c>
    </row>
    <row r="2490" spans="1:12" s="37" customFormat="1" ht="11.25" x14ac:dyDescent="0.2">
      <c r="A2490" s="46" t="s">
        <v>10888</v>
      </c>
      <c r="B2490" s="46" t="s">
        <v>52305</v>
      </c>
      <c r="C2490" s="58" t="str">
        <f>"18715303"</f>
        <v>18715303</v>
      </c>
      <c r="D2490" s="58" t="str">
        <f>"22123873"</f>
        <v>22123873</v>
      </c>
      <c r="E2490" s="46" t="s">
        <v>6405</v>
      </c>
      <c r="F2490" s="46" t="s">
        <v>18001</v>
      </c>
      <c r="G2490" s="46" t="s">
        <v>50584</v>
      </c>
      <c r="H2490" s="48" t="s">
        <v>56716</v>
      </c>
      <c r="I2490" s="48" t="s">
        <v>50564</v>
      </c>
      <c r="J2490" s="48"/>
      <c r="K2490" s="50"/>
      <c r="L2490" s="48" t="s">
        <v>56716</v>
      </c>
    </row>
    <row r="2491" spans="1:12" s="37" customFormat="1" ht="11.25" x14ac:dyDescent="0.2">
      <c r="A2491" s="46" t="s">
        <v>6249</v>
      </c>
      <c r="B2491" s="46" t="s">
        <v>52306</v>
      </c>
      <c r="C2491" s="58" t="str">
        <f>"13510088"</f>
        <v>13510088</v>
      </c>
      <c r="D2491" s="58" t="str">
        <f>"14796821"</f>
        <v>14796821</v>
      </c>
      <c r="E2491" s="46" t="s">
        <v>2559</v>
      </c>
      <c r="F2491" s="46" t="s">
        <v>50646</v>
      </c>
      <c r="G2491" s="46" t="s">
        <v>50584</v>
      </c>
      <c r="H2491" s="48" t="s">
        <v>56716</v>
      </c>
      <c r="I2491" s="48" t="s">
        <v>50564</v>
      </c>
      <c r="J2491" s="48"/>
      <c r="K2491" s="50"/>
      <c r="L2491" s="48" t="s">
        <v>56716</v>
      </c>
    </row>
    <row r="2492" spans="1:12" s="37" customFormat="1" ht="11.25" x14ac:dyDescent="0.2">
      <c r="A2492" s="46" t="s">
        <v>8352</v>
      </c>
      <c r="B2492" s="46" t="s">
        <v>52307</v>
      </c>
      <c r="C2492" s="58" t="str">
        <f>"15750922"</f>
        <v>15750922</v>
      </c>
      <c r="D2492" s="58" t="str">
        <f>"15792021"</f>
        <v>15792021</v>
      </c>
      <c r="E2492" s="46" t="s">
        <v>175</v>
      </c>
      <c r="F2492" s="46" t="s">
        <v>18439</v>
      </c>
      <c r="G2492" s="46" t="s">
        <v>50632</v>
      </c>
      <c r="H2492" s="48" t="s">
        <v>56716</v>
      </c>
      <c r="I2492" s="48" t="s">
        <v>50564</v>
      </c>
      <c r="J2492" s="48"/>
      <c r="K2492" s="50" t="s">
        <v>56716</v>
      </c>
      <c r="L2492" s="48" t="s">
        <v>56716</v>
      </c>
    </row>
    <row r="2493" spans="1:12" s="37" customFormat="1" ht="11.25" x14ac:dyDescent="0.2">
      <c r="A2493" s="46" t="s">
        <v>1535</v>
      </c>
      <c r="B2493" s="46" t="s">
        <v>1535</v>
      </c>
      <c r="C2493" s="58" t="str">
        <f>"00137227"</f>
        <v>00137227</v>
      </c>
      <c r="D2493" s="58" t="str">
        <f>"19457170"</f>
        <v>19457170</v>
      </c>
      <c r="E2493" s="46" t="s">
        <v>1538</v>
      </c>
      <c r="F2493" s="46" t="s">
        <v>17759</v>
      </c>
      <c r="G2493" s="46" t="s">
        <v>50584</v>
      </c>
      <c r="H2493" s="48" t="s">
        <v>56716</v>
      </c>
      <c r="I2493" s="48" t="s">
        <v>50564</v>
      </c>
      <c r="J2493" s="48" t="s">
        <v>56716</v>
      </c>
      <c r="K2493" s="50"/>
      <c r="L2493" s="48" t="s">
        <v>56716</v>
      </c>
    </row>
    <row r="2494" spans="1:12" s="37" customFormat="1" ht="11.25" x14ac:dyDescent="0.2">
      <c r="A2494" s="46" t="s">
        <v>4527</v>
      </c>
      <c r="B2494" s="46" t="s">
        <v>52308</v>
      </c>
      <c r="C2494" s="58" t="str">
        <f>"08898529"</f>
        <v>08898529</v>
      </c>
      <c r="D2494" s="58" t="str">
        <f>"15584410"</f>
        <v>15584410</v>
      </c>
      <c r="E2494" s="46" t="s">
        <v>303</v>
      </c>
      <c r="F2494" s="46" t="s">
        <v>17759</v>
      </c>
      <c r="G2494" s="46" t="s">
        <v>50584</v>
      </c>
      <c r="H2494" s="48" t="s">
        <v>56716</v>
      </c>
      <c r="I2494" s="48" t="s">
        <v>50564</v>
      </c>
      <c r="J2494" s="48" t="s">
        <v>56716</v>
      </c>
      <c r="K2494" s="50" t="s">
        <v>56716</v>
      </c>
      <c r="L2494" s="48" t="s">
        <v>56716</v>
      </c>
    </row>
    <row r="2495" spans="1:12" s="37" customFormat="1" ht="11.25" x14ac:dyDescent="0.2">
      <c r="A2495" s="46" t="s">
        <v>16858</v>
      </c>
      <c r="B2495" s="46" t="s">
        <v>52309</v>
      </c>
      <c r="C2495" s="58" t="str">
        <f>"20389515"</f>
        <v>20389515</v>
      </c>
      <c r="D2495" s="58" t="str">
        <f>"20389523"</f>
        <v>20389523</v>
      </c>
      <c r="E2495" s="46" t="s">
        <v>1949</v>
      </c>
      <c r="F2495" s="46" t="s">
        <v>17991</v>
      </c>
      <c r="G2495" s="46" t="s">
        <v>50584</v>
      </c>
      <c r="H2495" s="48" t="s">
        <v>56716</v>
      </c>
      <c r="I2495" s="48" t="s">
        <v>50564</v>
      </c>
      <c r="J2495" s="48"/>
      <c r="K2495" s="50"/>
      <c r="L2495" s="48"/>
    </row>
    <row r="2496" spans="1:12" s="37" customFormat="1" ht="11.25" x14ac:dyDescent="0.2">
      <c r="A2496" s="46" t="s">
        <v>17438</v>
      </c>
      <c r="B2496" s="46" t="s">
        <v>52310</v>
      </c>
      <c r="C2496" s="58" t="str">
        <f>""</f>
        <v/>
      </c>
      <c r="D2496" s="58" t="str">
        <f>"20520573"</f>
        <v>20520573</v>
      </c>
      <c r="E2496" s="46" t="s">
        <v>2559</v>
      </c>
      <c r="F2496" s="46" t="s">
        <v>50646</v>
      </c>
      <c r="G2496" s="46" t="s">
        <v>50584</v>
      </c>
      <c r="H2496" s="48" t="s">
        <v>56716</v>
      </c>
      <c r="I2496" s="48" t="s">
        <v>50564</v>
      </c>
      <c r="J2496" s="48" t="s">
        <v>56716</v>
      </c>
      <c r="K2496" s="50"/>
      <c r="L2496" s="48"/>
    </row>
    <row r="2497" spans="1:12" s="37" customFormat="1" ht="11.25" x14ac:dyDescent="0.2">
      <c r="A2497" s="46" t="s">
        <v>7704</v>
      </c>
      <c r="B2497" s="46" t="s">
        <v>52311</v>
      </c>
      <c r="C2497" s="58" t="str">
        <f>"13108131"</f>
        <v>13108131</v>
      </c>
      <c r="D2497" s="58" t="str">
        <f>""</f>
        <v/>
      </c>
      <c r="E2497" s="46" t="s">
        <v>452</v>
      </c>
      <c r="F2497" s="46" t="s">
        <v>19251</v>
      </c>
      <c r="G2497" s="46" t="s">
        <v>50578</v>
      </c>
      <c r="H2497" s="48" t="s">
        <v>56716</v>
      </c>
      <c r="I2497" s="48" t="s">
        <v>50564</v>
      </c>
      <c r="J2497" s="48"/>
      <c r="K2497" s="50"/>
      <c r="L2497" s="48"/>
    </row>
    <row r="2498" spans="1:12" s="37" customFormat="1" ht="11.25" x14ac:dyDescent="0.2">
      <c r="A2498" s="46" t="s">
        <v>1460</v>
      </c>
      <c r="B2498" s="46" t="s">
        <v>52312</v>
      </c>
      <c r="C2498" s="58" t="str">
        <f>"0423104X"</f>
        <v>0423104X</v>
      </c>
      <c r="D2498" s="58" t="str">
        <f>""</f>
        <v/>
      </c>
      <c r="E2498" s="46" t="s">
        <v>1462</v>
      </c>
      <c r="F2498" s="46" t="s">
        <v>17967</v>
      </c>
      <c r="G2498" s="46" t="s">
        <v>50613</v>
      </c>
      <c r="H2498" s="48" t="s">
        <v>56716</v>
      </c>
      <c r="I2498" s="48" t="s">
        <v>50564</v>
      </c>
      <c r="J2498" s="48"/>
      <c r="K2498" s="50"/>
      <c r="L2498" s="48" t="s">
        <v>56716</v>
      </c>
    </row>
    <row r="2499" spans="1:12" s="37" customFormat="1" ht="11.25" x14ac:dyDescent="0.2">
      <c r="A2499" s="46" t="s">
        <v>56257</v>
      </c>
      <c r="B2499" s="46" t="s">
        <v>56258</v>
      </c>
      <c r="C2499" s="58" t="str">
        <f>""</f>
        <v/>
      </c>
      <c r="D2499" s="58" t="str">
        <f>"23004266"</f>
        <v>23004266</v>
      </c>
      <c r="E2499" s="46" t="s">
        <v>56253</v>
      </c>
      <c r="F2499" s="46" t="s">
        <v>17967</v>
      </c>
      <c r="G2499" s="46" t="s">
        <v>50584</v>
      </c>
      <c r="H2499" s="48" t="s">
        <v>56716</v>
      </c>
      <c r="I2499" s="48" t="s">
        <v>50564</v>
      </c>
      <c r="J2499" s="48" t="s">
        <v>56716</v>
      </c>
      <c r="K2499" s="50"/>
      <c r="L2499" s="48"/>
    </row>
    <row r="2500" spans="1:12" s="37" customFormat="1" ht="11.25" x14ac:dyDescent="0.2">
      <c r="A2500" s="46" t="s">
        <v>5600</v>
      </c>
      <c r="B2500" s="46" t="s">
        <v>52313</v>
      </c>
      <c r="C2500" s="58" t="str">
        <f>"09120505"</f>
        <v>09120505</v>
      </c>
      <c r="D2500" s="58" t="str">
        <f>""</f>
        <v/>
      </c>
      <c r="E2500" s="46" t="s">
        <v>5602</v>
      </c>
      <c r="F2500" s="46" t="s">
        <v>18242</v>
      </c>
      <c r="G2500" s="46" t="s">
        <v>50604</v>
      </c>
      <c r="H2500" s="48" t="s">
        <v>56716</v>
      </c>
      <c r="I2500" s="48" t="s">
        <v>50564</v>
      </c>
      <c r="J2500" s="48"/>
      <c r="K2500" s="50"/>
      <c r="L2500" s="48"/>
    </row>
    <row r="2501" spans="1:12" s="37" customFormat="1" ht="11.25" x14ac:dyDescent="0.2">
      <c r="A2501" s="46" t="s">
        <v>16970</v>
      </c>
      <c r="B2501" s="46" t="s">
        <v>16970</v>
      </c>
      <c r="C2501" s="58" t="str">
        <f>"22267190"</f>
        <v>22267190</v>
      </c>
      <c r="D2501" s="58" t="str">
        <f>"22267190"</f>
        <v>22267190</v>
      </c>
      <c r="E2501" s="46" t="s">
        <v>16972</v>
      </c>
      <c r="F2501" s="46" t="s">
        <v>17958</v>
      </c>
      <c r="G2501" s="46" t="s">
        <v>50584</v>
      </c>
      <c r="H2501" s="48" t="s">
        <v>56716</v>
      </c>
      <c r="I2501" s="48" t="s">
        <v>50564</v>
      </c>
      <c r="J2501" s="48"/>
      <c r="K2501" s="50"/>
      <c r="L2501" s="48"/>
    </row>
    <row r="2502" spans="1:12" s="37" customFormat="1" ht="11.25" x14ac:dyDescent="0.2">
      <c r="A2502" s="46" t="s">
        <v>1532</v>
      </c>
      <c r="B2502" s="46" t="s">
        <v>1532</v>
      </c>
      <c r="C2502" s="58" t="str">
        <f>"0013726X"</f>
        <v>0013726X</v>
      </c>
      <c r="D2502" s="58" t="str">
        <f>"14388812"</f>
        <v>14388812</v>
      </c>
      <c r="E2502" s="46" t="s">
        <v>412</v>
      </c>
      <c r="F2502" s="46" t="s">
        <v>18158</v>
      </c>
      <c r="G2502" s="46" t="s">
        <v>50584</v>
      </c>
      <c r="H2502" s="48" t="s">
        <v>56716</v>
      </c>
      <c r="I2502" s="48" t="s">
        <v>50564</v>
      </c>
      <c r="J2502" s="48" t="s">
        <v>56716</v>
      </c>
      <c r="K2502" s="50" t="s">
        <v>56716</v>
      </c>
      <c r="L2502" s="48" t="s">
        <v>56716</v>
      </c>
    </row>
    <row r="2503" spans="1:12" s="37" customFormat="1" ht="11.25" x14ac:dyDescent="0.2">
      <c r="A2503" s="46" t="s">
        <v>17576</v>
      </c>
      <c r="B2503" s="46" t="s">
        <v>52314</v>
      </c>
      <c r="C2503" s="58" t="str">
        <f>"21969736"</f>
        <v>21969736</v>
      </c>
      <c r="D2503" s="58" t="str">
        <f>""</f>
        <v/>
      </c>
      <c r="E2503" s="46" t="s">
        <v>412</v>
      </c>
      <c r="F2503" s="46" t="s">
        <v>18158</v>
      </c>
      <c r="G2503" s="46" t="s">
        <v>50584</v>
      </c>
      <c r="H2503" s="48" t="s">
        <v>56716</v>
      </c>
      <c r="I2503" s="48" t="s">
        <v>50564</v>
      </c>
      <c r="J2503" s="48" t="s">
        <v>56716</v>
      </c>
      <c r="K2503" s="50"/>
      <c r="L2503" s="48"/>
    </row>
    <row r="2504" spans="1:12" s="37" customFormat="1" ht="11.25" x14ac:dyDescent="0.2">
      <c r="A2504" s="46" t="s">
        <v>8747</v>
      </c>
      <c r="B2504" s="46" t="s">
        <v>52315</v>
      </c>
      <c r="C2504" s="58" t="str">
        <f>"15754723"</f>
        <v>15754723</v>
      </c>
      <c r="D2504" s="58" t="str">
        <f>""</f>
        <v/>
      </c>
      <c r="E2504" s="46" t="s">
        <v>56460</v>
      </c>
      <c r="F2504" s="46" t="s">
        <v>18439</v>
      </c>
      <c r="G2504" s="46" t="s">
        <v>50631</v>
      </c>
      <c r="H2504" s="48" t="s">
        <v>56716</v>
      </c>
      <c r="I2504" s="48" t="s">
        <v>50564</v>
      </c>
      <c r="J2504" s="48"/>
      <c r="K2504" s="50"/>
      <c r="L2504" s="48"/>
    </row>
    <row r="2505" spans="1:12" s="37" customFormat="1" ht="11.25" x14ac:dyDescent="0.2">
      <c r="A2505" s="46" t="s">
        <v>7201</v>
      </c>
      <c r="B2505" s="46" t="s">
        <v>52316</v>
      </c>
      <c r="C2505" s="58" t="str">
        <f>"14050994"</f>
        <v>14050994</v>
      </c>
      <c r="D2505" s="58" t="str">
        <f>""</f>
        <v/>
      </c>
      <c r="E2505" s="46" t="s">
        <v>1372</v>
      </c>
      <c r="F2505" s="46" t="s">
        <v>18411</v>
      </c>
      <c r="G2505" s="46" t="s">
        <v>50632</v>
      </c>
      <c r="H2505" s="48" t="s">
        <v>56716</v>
      </c>
      <c r="I2505" s="48" t="s">
        <v>50564</v>
      </c>
      <c r="J2505" s="48"/>
      <c r="K2505" s="50"/>
      <c r="L2505" s="48"/>
    </row>
    <row r="2506" spans="1:12" s="37" customFormat="1" ht="11.25" x14ac:dyDescent="0.2">
      <c r="A2506" s="46" t="s">
        <v>4385</v>
      </c>
      <c r="B2506" s="46" t="s">
        <v>52317</v>
      </c>
      <c r="C2506" s="58" t="str">
        <f>"0213005X"</f>
        <v>0213005X</v>
      </c>
      <c r="D2506" s="58" t="str">
        <f>"15781852"</f>
        <v>15781852</v>
      </c>
      <c r="E2506" s="46" t="s">
        <v>175</v>
      </c>
      <c r="F2506" s="46" t="s">
        <v>18439</v>
      </c>
      <c r="G2506" s="46" t="s">
        <v>50632</v>
      </c>
      <c r="H2506" s="48" t="s">
        <v>56716</v>
      </c>
      <c r="I2506" s="48" t="s">
        <v>50564</v>
      </c>
      <c r="J2506" s="48"/>
      <c r="K2506" s="50" t="s">
        <v>56716</v>
      </c>
      <c r="L2506" s="48" t="s">
        <v>56716</v>
      </c>
    </row>
    <row r="2507" spans="1:12" s="37" customFormat="1" ht="11.25" x14ac:dyDescent="0.2">
      <c r="A2507" s="46" t="s">
        <v>12138</v>
      </c>
      <c r="B2507" s="46" t="s">
        <v>52318</v>
      </c>
      <c r="C2507" s="58" t="str">
        <f>"16963539"</f>
        <v>16963539</v>
      </c>
      <c r="D2507" s="58" t="str">
        <f>""</f>
        <v/>
      </c>
      <c r="E2507" s="46" t="s">
        <v>1683</v>
      </c>
      <c r="F2507" s="46" t="s">
        <v>18439</v>
      </c>
      <c r="G2507" s="46" t="s">
        <v>50632</v>
      </c>
      <c r="H2507" s="48" t="s">
        <v>56716</v>
      </c>
      <c r="I2507" s="48" t="s">
        <v>50564</v>
      </c>
      <c r="J2507" s="48"/>
      <c r="K2507" s="50"/>
      <c r="L2507" s="48"/>
    </row>
    <row r="2508" spans="1:12" s="37" customFormat="1" ht="11.25" x14ac:dyDescent="0.2">
      <c r="A2508" s="45" t="s">
        <v>28090</v>
      </c>
      <c r="B2508" s="45" t="s">
        <v>28092</v>
      </c>
      <c r="C2508" s="51" t="s">
        <v>28094</v>
      </c>
      <c r="D2508" s="51" t="s">
        <v>28093</v>
      </c>
      <c r="E2508" s="45" t="s">
        <v>18438</v>
      </c>
      <c r="F2508" s="45" t="s">
        <v>18439</v>
      </c>
      <c r="G2508" s="45" t="s">
        <v>50633</v>
      </c>
      <c r="H2508" s="56"/>
      <c r="I2508" s="56" t="s">
        <v>50564</v>
      </c>
      <c r="J2508" s="56"/>
      <c r="K2508" s="50"/>
      <c r="L2508" s="56" t="s">
        <v>56716</v>
      </c>
    </row>
    <row r="2509" spans="1:12" s="37" customFormat="1" ht="11.25" x14ac:dyDescent="0.2">
      <c r="A2509" s="45" t="s">
        <v>28097</v>
      </c>
      <c r="B2509" s="45" t="s">
        <v>28099</v>
      </c>
      <c r="C2509" s="51" t="s">
        <v>28101</v>
      </c>
      <c r="D2509" s="51" t="s">
        <v>28100</v>
      </c>
      <c r="E2509" s="45" t="s">
        <v>18438</v>
      </c>
      <c r="F2509" s="45" t="s">
        <v>18439</v>
      </c>
      <c r="G2509" s="45" t="s">
        <v>50633</v>
      </c>
      <c r="H2509" s="56"/>
      <c r="I2509" s="56" t="s">
        <v>50564</v>
      </c>
      <c r="J2509" s="56"/>
      <c r="K2509" s="50"/>
      <c r="L2509" s="56" t="s">
        <v>56716</v>
      </c>
    </row>
    <row r="2510" spans="1:12" s="37" customFormat="1" ht="11.25" x14ac:dyDescent="0.2">
      <c r="A2510" s="46" t="s">
        <v>9554</v>
      </c>
      <c r="B2510" s="46" t="s">
        <v>52319</v>
      </c>
      <c r="C2510" s="58" t="str">
        <f>"16180240"</f>
        <v>16180240</v>
      </c>
      <c r="D2510" s="58" t="str">
        <f>"16182863"</f>
        <v>16182863</v>
      </c>
      <c r="E2510" s="46" t="s">
        <v>651</v>
      </c>
      <c r="F2510" s="46" t="s">
        <v>18158</v>
      </c>
      <c r="G2510" s="46" t="s">
        <v>50584</v>
      </c>
      <c r="H2510" s="48" t="s">
        <v>56716</v>
      </c>
      <c r="I2510" s="48" t="s">
        <v>50564</v>
      </c>
      <c r="J2510" s="48"/>
      <c r="K2510" s="50" t="s">
        <v>56716</v>
      </c>
      <c r="L2510" s="48"/>
    </row>
    <row r="2511" spans="1:12" s="37" customFormat="1" ht="11.25" x14ac:dyDescent="0.2">
      <c r="A2511" s="46" t="s">
        <v>1544</v>
      </c>
      <c r="B2511" s="46" t="s">
        <v>52320</v>
      </c>
      <c r="C2511" s="58" t="str">
        <f>"01604120"</f>
        <v>01604120</v>
      </c>
      <c r="D2511" s="58" t="str">
        <f>"18736750"</f>
        <v>18736750</v>
      </c>
      <c r="E2511" s="46" t="s">
        <v>155</v>
      </c>
      <c r="F2511" s="46" t="s">
        <v>50646</v>
      </c>
      <c r="G2511" s="46" t="s">
        <v>50584</v>
      </c>
      <c r="H2511" s="48" t="s">
        <v>56716</v>
      </c>
      <c r="I2511" s="48" t="s">
        <v>50564</v>
      </c>
      <c r="J2511" s="48" t="s">
        <v>56716</v>
      </c>
      <c r="K2511" s="50" t="s">
        <v>56716</v>
      </c>
      <c r="L2511" s="48" t="s">
        <v>56716</v>
      </c>
    </row>
    <row r="2512" spans="1:12" s="37" customFormat="1" ht="11.25" x14ac:dyDescent="0.2">
      <c r="A2512" s="46" t="s">
        <v>4435</v>
      </c>
      <c r="B2512" s="46" t="s">
        <v>52321</v>
      </c>
      <c r="C2512" s="58" t="str">
        <f>"08936692"</f>
        <v>08936692</v>
      </c>
      <c r="D2512" s="58" t="str">
        <f>"10982280"</f>
        <v>10982280</v>
      </c>
      <c r="E2512" s="46" t="s">
        <v>517</v>
      </c>
      <c r="F2512" s="46" t="s">
        <v>17759</v>
      </c>
      <c r="G2512" s="46" t="s">
        <v>50584</v>
      </c>
      <c r="H2512" s="48" t="s">
        <v>56716</v>
      </c>
      <c r="I2512" s="48" t="s">
        <v>50564</v>
      </c>
      <c r="J2512" s="48"/>
      <c r="K2512" s="50" t="s">
        <v>56716</v>
      </c>
      <c r="L2512" s="48" t="s">
        <v>56716</v>
      </c>
    </row>
    <row r="2513" spans="1:12" s="37" customFormat="1" ht="11.25" x14ac:dyDescent="0.2">
      <c r="A2513" s="46" t="s">
        <v>7430</v>
      </c>
      <c r="B2513" s="46" t="s">
        <v>52322</v>
      </c>
      <c r="C2513" s="58" t="str">
        <f>"10928758"</f>
        <v>10928758</v>
      </c>
      <c r="D2513" s="58" t="str">
        <f>"15579018"</f>
        <v>15579018</v>
      </c>
      <c r="E2513" s="46" t="s">
        <v>4337</v>
      </c>
      <c r="F2513" s="46" t="s">
        <v>17759</v>
      </c>
      <c r="G2513" s="46" t="s">
        <v>50584</v>
      </c>
      <c r="H2513" s="48" t="s">
        <v>56716</v>
      </c>
      <c r="I2513" s="48" t="s">
        <v>50564</v>
      </c>
      <c r="J2513" s="48"/>
      <c r="K2513" s="50"/>
      <c r="L2513" s="48"/>
    </row>
    <row r="2514" spans="1:12" s="37" customFormat="1" ht="11.25" x14ac:dyDescent="0.2">
      <c r="A2514" s="45" t="s">
        <v>28113</v>
      </c>
      <c r="B2514" s="45" t="s">
        <v>28115</v>
      </c>
      <c r="C2514" s="51" t="s">
        <v>28117</v>
      </c>
      <c r="D2514" s="51" t="s">
        <v>28116</v>
      </c>
      <c r="E2514" s="45" t="s">
        <v>55</v>
      </c>
      <c r="F2514" s="45" t="s">
        <v>50646</v>
      </c>
      <c r="G2514" s="45" t="s">
        <v>50584</v>
      </c>
      <c r="H2514" s="56"/>
      <c r="I2514" s="56" t="s">
        <v>50564</v>
      </c>
      <c r="J2514" s="56"/>
      <c r="K2514" s="50"/>
      <c r="L2514" s="56" t="s">
        <v>56716</v>
      </c>
    </row>
    <row r="2515" spans="1:12" s="37" customFormat="1" ht="11.25" x14ac:dyDescent="0.2">
      <c r="A2515" s="45" t="s">
        <v>28120</v>
      </c>
      <c r="B2515" s="45" t="s">
        <v>28122</v>
      </c>
      <c r="C2515" s="51" t="s">
        <v>28125</v>
      </c>
      <c r="D2515" s="51" t="s">
        <v>28124</v>
      </c>
      <c r="E2515" s="45" t="s">
        <v>18876</v>
      </c>
      <c r="F2515" s="45" t="s">
        <v>18001</v>
      </c>
      <c r="G2515" s="45" t="s">
        <v>50584</v>
      </c>
      <c r="H2515" s="56"/>
      <c r="I2515" s="56" t="s">
        <v>50564</v>
      </c>
      <c r="J2515" s="56"/>
      <c r="K2515" s="50"/>
      <c r="L2515" s="56" t="s">
        <v>56716</v>
      </c>
    </row>
    <row r="2516" spans="1:12" s="37" customFormat="1" ht="11.25" x14ac:dyDescent="0.2">
      <c r="A2516" s="46" t="s">
        <v>7190</v>
      </c>
      <c r="B2516" s="46" t="s">
        <v>52323</v>
      </c>
      <c r="C2516" s="58" t="str">
        <f>"1342078X"</f>
        <v>1342078X</v>
      </c>
      <c r="D2516" s="58" t="str">
        <f>"13474715"</f>
        <v>13474715</v>
      </c>
      <c r="E2516" s="46" t="s">
        <v>23335</v>
      </c>
      <c r="F2516" s="46" t="s">
        <v>18242</v>
      </c>
      <c r="G2516" s="46" t="s">
        <v>50584</v>
      </c>
      <c r="H2516" s="48" t="s">
        <v>56716</v>
      </c>
      <c r="I2516" s="48" t="s">
        <v>50564</v>
      </c>
      <c r="J2516" s="48"/>
      <c r="K2516" s="50" t="s">
        <v>56716</v>
      </c>
      <c r="L2516" s="48" t="s">
        <v>56716</v>
      </c>
    </row>
    <row r="2517" spans="1:12" s="37" customFormat="1" ht="11.25" x14ac:dyDescent="0.2">
      <c r="A2517" s="46" t="s">
        <v>1577</v>
      </c>
      <c r="B2517" s="46" t="s">
        <v>52324</v>
      </c>
      <c r="C2517" s="58" t="str">
        <f>"00916765"</f>
        <v>00916765</v>
      </c>
      <c r="D2517" s="58" t="str">
        <f>"15529924"</f>
        <v>15529924</v>
      </c>
      <c r="E2517" s="46" t="s">
        <v>1580</v>
      </c>
      <c r="F2517" s="46" t="s">
        <v>17759</v>
      </c>
      <c r="G2517" s="46" t="s">
        <v>50584</v>
      </c>
      <c r="H2517" s="48" t="s">
        <v>56716</v>
      </c>
      <c r="I2517" s="48" t="s">
        <v>50564</v>
      </c>
      <c r="J2517" s="48" t="s">
        <v>56716</v>
      </c>
      <c r="K2517" s="50"/>
      <c r="L2517" s="48" t="s">
        <v>56716</v>
      </c>
    </row>
    <row r="2518" spans="1:12" s="37" customFormat="1" ht="11.25" x14ac:dyDescent="0.2">
      <c r="A2518" s="46" t="s">
        <v>9655</v>
      </c>
      <c r="B2518" s="46" t="s">
        <v>52325</v>
      </c>
      <c r="C2518" s="58" t="str">
        <f>""</f>
        <v/>
      </c>
      <c r="D2518" s="58" t="str">
        <f>"1476069X"</f>
        <v>1476069X</v>
      </c>
      <c r="E2518" s="46" t="s">
        <v>2299</v>
      </c>
      <c r="F2518" s="46" t="s">
        <v>50646</v>
      </c>
      <c r="G2518" s="46" t="s">
        <v>50584</v>
      </c>
      <c r="H2518" s="48" t="s">
        <v>56716</v>
      </c>
      <c r="I2518" s="48" t="s">
        <v>50564</v>
      </c>
      <c r="J2518" s="48" t="s">
        <v>56716</v>
      </c>
      <c r="K2518" s="50" t="s">
        <v>56716</v>
      </c>
      <c r="L2518" s="48" t="s">
        <v>56716</v>
      </c>
    </row>
    <row r="2519" spans="1:12" s="37" customFormat="1" ht="11.25" x14ac:dyDescent="0.2">
      <c r="A2519" s="46" t="s">
        <v>1524</v>
      </c>
      <c r="B2519" s="46" t="s">
        <v>52326</v>
      </c>
      <c r="C2519" s="58" t="str">
        <f>"0364152X"</f>
        <v>0364152X</v>
      </c>
      <c r="D2519" s="58" t="str">
        <f>"14321009"</f>
        <v>14321009</v>
      </c>
      <c r="E2519" s="46" t="s">
        <v>56305</v>
      </c>
      <c r="F2519" s="46" t="s">
        <v>17759</v>
      </c>
      <c r="G2519" s="46" t="s">
        <v>50584</v>
      </c>
      <c r="H2519" s="48" t="s">
        <v>56716</v>
      </c>
      <c r="I2519" s="48" t="s">
        <v>50564</v>
      </c>
      <c r="J2519" s="48"/>
      <c r="K2519" s="50" t="s">
        <v>56716</v>
      </c>
      <c r="L2519" s="48" t="s">
        <v>56716</v>
      </c>
    </row>
    <row r="2520" spans="1:12" s="37" customFormat="1" ht="11.25" x14ac:dyDescent="0.2">
      <c r="A2520" s="45" t="s">
        <v>28148</v>
      </c>
      <c r="B2520" s="45" t="s">
        <v>28150</v>
      </c>
      <c r="C2520" s="51" t="s">
        <v>28152</v>
      </c>
      <c r="D2520" s="51" t="s">
        <v>28151</v>
      </c>
      <c r="E2520" s="45" t="s">
        <v>22893</v>
      </c>
      <c r="F2520" s="45" t="s">
        <v>50646</v>
      </c>
      <c r="G2520" s="45" t="s">
        <v>50584</v>
      </c>
      <c r="H2520" s="56"/>
      <c r="I2520" s="56" t="s">
        <v>50564</v>
      </c>
      <c r="J2520" s="56"/>
      <c r="K2520" s="50"/>
      <c r="L2520" s="56" t="s">
        <v>56716</v>
      </c>
    </row>
    <row r="2521" spans="1:12" s="37" customFormat="1" ht="11.25" x14ac:dyDescent="0.2">
      <c r="A2521" s="45" t="s">
        <v>28155</v>
      </c>
      <c r="B2521" s="45" t="s">
        <v>28157</v>
      </c>
      <c r="C2521" s="51"/>
      <c r="D2521" s="51" t="s">
        <v>28158</v>
      </c>
      <c r="E2521" s="45" t="s">
        <v>28159</v>
      </c>
      <c r="F2521" s="45" t="s">
        <v>17759</v>
      </c>
      <c r="G2521" s="45" t="s">
        <v>50584</v>
      </c>
      <c r="H2521" s="56"/>
      <c r="I2521" s="56" t="s">
        <v>50564</v>
      </c>
      <c r="J2521" s="56"/>
      <c r="K2521" s="50"/>
      <c r="L2521" s="56" t="s">
        <v>56716</v>
      </c>
    </row>
    <row r="2522" spans="1:12" s="37" customFormat="1" ht="11.25" x14ac:dyDescent="0.2">
      <c r="A2522" s="46" t="s">
        <v>1515</v>
      </c>
      <c r="B2522" s="46" t="s">
        <v>52327</v>
      </c>
      <c r="C2522" s="58" t="str">
        <f>"01676369"</f>
        <v>01676369</v>
      </c>
      <c r="D2522" s="58" t="str">
        <f>"15732959"</f>
        <v>15732959</v>
      </c>
      <c r="E2522" s="46" t="s">
        <v>18876</v>
      </c>
      <c r="F2522" s="46" t="s">
        <v>18001</v>
      </c>
      <c r="G2522" s="46" t="s">
        <v>50584</v>
      </c>
      <c r="H2522" s="48" t="s">
        <v>56716</v>
      </c>
      <c r="I2522" s="48" t="s">
        <v>50564</v>
      </c>
      <c r="J2522" s="48"/>
      <c r="K2522" s="50"/>
      <c r="L2522" s="48" t="s">
        <v>56716</v>
      </c>
    </row>
    <row r="2523" spans="1:12" s="37" customFormat="1" ht="11.25" x14ac:dyDescent="0.2">
      <c r="A2523" s="46" t="s">
        <v>4325</v>
      </c>
      <c r="B2523" s="46" t="s">
        <v>52328</v>
      </c>
      <c r="C2523" s="58" t="str">
        <f>"02697491"</f>
        <v>02697491</v>
      </c>
      <c r="D2523" s="58" t="str">
        <f>"18736424"</f>
        <v>18736424</v>
      </c>
      <c r="E2523" s="46" t="s">
        <v>155</v>
      </c>
      <c r="F2523" s="46" t="s">
        <v>50646</v>
      </c>
      <c r="G2523" s="46" t="s">
        <v>50584</v>
      </c>
      <c r="H2523" s="48" t="s">
        <v>56716</v>
      </c>
      <c r="I2523" s="48" t="s">
        <v>50564</v>
      </c>
      <c r="J2523" s="48"/>
      <c r="K2523" s="50" t="s">
        <v>56716</v>
      </c>
      <c r="L2523" s="48" t="s">
        <v>56716</v>
      </c>
    </row>
    <row r="2524" spans="1:12" s="37" customFormat="1" ht="11.25" x14ac:dyDescent="0.2">
      <c r="A2524" s="46" t="s">
        <v>1547</v>
      </c>
      <c r="B2524" s="46" t="s">
        <v>52329</v>
      </c>
      <c r="C2524" s="58" t="str">
        <f>"00139351"</f>
        <v>00139351</v>
      </c>
      <c r="D2524" s="58" t="str">
        <f>"10960953"</f>
        <v>10960953</v>
      </c>
      <c r="E2524" s="46" t="s">
        <v>60</v>
      </c>
      <c r="F2524" s="46" t="s">
        <v>17759</v>
      </c>
      <c r="G2524" s="46" t="s">
        <v>50584</v>
      </c>
      <c r="H2524" s="48" t="s">
        <v>56716</v>
      </c>
      <c r="I2524" s="48" t="s">
        <v>50564</v>
      </c>
      <c r="J2524" s="48" t="s">
        <v>56716</v>
      </c>
      <c r="K2524" s="50" t="s">
        <v>56716</v>
      </c>
      <c r="L2524" s="48" t="s">
        <v>56716</v>
      </c>
    </row>
    <row r="2525" spans="1:12" s="37" customFormat="1" ht="11.25" x14ac:dyDescent="0.2">
      <c r="A2525" s="46" t="s">
        <v>9074</v>
      </c>
      <c r="B2525" s="46" t="s">
        <v>52330</v>
      </c>
      <c r="C2525" s="58" t="str">
        <f>"14629011"</f>
        <v>14629011</v>
      </c>
      <c r="D2525" s="58" t="str">
        <f>"18736416"</f>
        <v>18736416</v>
      </c>
      <c r="E2525" s="46" t="s">
        <v>155</v>
      </c>
      <c r="F2525" s="46" t="s">
        <v>50646</v>
      </c>
      <c r="G2525" s="46" t="s">
        <v>50584</v>
      </c>
      <c r="H2525" s="48" t="s">
        <v>56716</v>
      </c>
      <c r="I2525" s="48" t="s">
        <v>50564</v>
      </c>
      <c r="J2525" s="48" t="s">
        <v>56716</v>
      </c>
      <c r="K2525" s="50" t="s">
        <v>56716</v>
      </c>
      <c r="L2525" s="48"/>
    </row>
    <row r="2526" spans="1:12" s="37" customFormat="1" ht="11.25" x14ac:dyDescent="0.2">
      <c r="A2526" s="45" t="s">
        <v>28183</v>
      </c>
      <c r="B2526" s="45" t="s">
        <v>28185</v>
      </c>
      <c r="C2526" s="51" t="s">
        <v>28187</v>
      </c>
      <c r="D2526" s="51" t="s">
        <v>28186</v>
      </c>
      <c r="E2526" s="45" t="s">
        <v>28188</v>
      </c>
      <c r="F2526" s="45" t="s">
        <v>18158</v>
      </c>
      <c r="G2526" s="45" t="s">
        <v>50584</v>
      </c>
      <c r="H2526" s="56"/>
      <c r="I2526" s="56" t="s">
        <v>50564</v>
      </c>
      <c r="J2526" s="56"/>
      <c r="K2526" s="50"/>
      <c r="L2526" s="56" t="s">
        <v>56716</v>
      </c>
    </row>
    <row r="2527" spans="1:12" s="37" customFormat="1" ht="11.25" x14ac:dyDescent="0.2">
      <c r="A2527" s="46" t="s">
        <v>1561</v>
      </c>
      <c r="B2527" s="46" t="s">
        <v>52331</v>
      </c>
      <c r="C2527" s="58" t="str">
        <f>"0013936X"</f>
        <v>0013936X</v>
      </c>
      <c r="D2527" s="58" t="str">
        <f>"15205851"</f>
        <v>15205851</v>
      </c>
      <c r="E2527" s="46" t="s">
        <v>776</v>
      </c>
      <c r="F2527" s="46" t="s">
        <v>17759</v>
      </c>
      <c r="G2527" s="46" t="s">
        <v>50584</v>
      </c>
      <c r="H2527" s="48" t="s">
        <v>56716</v>
      </c>
      <c r="I2527" s="48" t="s">
        <v>50564</v>
      </c>
      <c r="J2527" s="48"/>
      <c r="K2527" s="50"/>
      <c r="L2527" s="48" t="s">
        <v>56716</v>
      </c>
    </row>
    <row r="2528" spans="1:12" s="37" customFormat="1" ht="11.25" x14ac:dyDescent="0.2">
      <c r="A2528" s="46" t="s">
        <v>16390</v>
      </c>
      <c r="B2528" s="46" t="s">
        <v>52332</v>
      </c>
      <c r="C2528" s="58" t="str">
        <f>"20507887"</f>
        <v>20507887</v>
      </c>
      <c r="D2528" s="58" t="str">
        <f>"20507895"</f>
        <v>20507895</v>
      </c>
      <c r="E2528" s="46" t="s">
        <v>6914</v>
      </c>
      <c r="F2528" s="46" t="s">
        <v>50646</v>
      </c>
      <c r="G2528" s="46" t="s">
        <v>50584</v>
      </c>
      <c r="H2528" s="48" t="s">
        <v>56716</v>
      </c>
      <c r="I2528" s="48" t="s">
        <v>50564</v>
      </c>
      <c r="J2528" s="48" t="s">
        <v>56716</v>
      </c>
      <c r="K2528" s="50"/>
      <c r="L2528" s="48" t="s">
        <v>56716</v>
      </c>
    </row>
    <row r="2529" spans="1:12" s="37" customFormat="1" ht="11.25" x14ac:dyDescent="0.2">
      <c r="A2529" s="46" t="s">
        <v>5297</v>
      </c>
      <c r="B2529" s="46" t="s">
        <v>52333</v>
      </c>
      <c r="C2529" s="58" t="str">
        <f>"09593330"</f>
        <v>09593330</v>
      </c>
      <c r="D2529" s="58" t="str">
        <f>"1479487X"</f>
        <v>1479487X</v>
      </c>
      <c r="E2529" s="46" t="s">
        <v>310</v>
      </c>
      <c r="F2529" s="46" t="s">
        <v>50646</v>
      </c>
      <c r="G2529" s="46" t="s">
        <v>50590</v>
      </c>
      <c r="H2529" s="48" t="s">
        <v>56716</v>
      </c>
      <c r="I2529" s="48" t="s">
        <v>50564</v>
      </c>
      <c r="J2529" s="48"/>
      <c r="K2529" s="50" t="s">
        <v>56716</v>
      </c>
      <c r="L2529" s="48" t="s">
        <v>56716</v>
      </c>
    </row>
    <row r="2530" spans="1:12" s="37" customFormat="1" ht="11.25" x14ac:dyDescent="0.2">
      <c r="A2530" s="46" t="s">
        <v>8087</v>
      </c>
      <c r="B2530" s="46" t="s">
        <v>52334</v>
      </c>
      <c r="C2530" s="58" t="str">
        <f>"15204081"</f>
        <v>15204081</v>
      </c>
      <c r="D2530" s="58" t="str">
        <f>"15227278"</f>
        <v>15227278</v>
      </c>
      <c r="E2530" s="46" t="s">
        <v>517</v>
      </c>
      <c r="F2530" s="46" t="s">
        <v>17759</v>
      </c>
      <c r="G2530" s="46" t="s">
        <v>50584</v>
      </c>
      <c r="H2530" s="48" t="s">
        <v>56716</v>
      </c>
      <c r="I2530" s="48" t="s">
        <v>50564</v>
      </c>
      <c r="J2530" s="48" t="s">
        <v>56716</v>
      </c>
      <c r="K2530" s="50" t="s">
        <v>56716</v>
      </c>
      <c r="L2530" s="48" t="s">
        <v>56716</v>
      </c>
    </row>
    <row r="2531" spans="1:12" s="37" customFormat="1" ht="11.25" x14ac:dyDescent="0.2">
      <c r="A2531" s="46" t="s">
        <v>1564</v>
      </c>
      <c r="B2531" s="46" t="s">
        <v>52335</v>
      </c>
      <c r="C2531" s="58" t="str">
        <f>"07307268"</f>
        <v>07307268</v>
      </c>
      <c r="D2531" s="58" t="str">
        <f>"15528618"</f>
        <v>15528618</v>
      </c>
      <c r="E2531" s="46" t="s">
        <v>3029</v>
      </c>
      <c r="F2531" s="46" t="s">
        <v>17759</v>
      </c>
      <c r="G2531" s="46" t="s">
        <v>50584</v>
      </c>
      <c r="H2531" s="48" t="s">
        <v>56716</v>
      </c>
      <c r="I2531" s="48" t="s">
        <v>50564</v>
      </c>
      <c r="J2531" s="48" t="s">
        <v>56716</v>
      </c>
      <c r="K2531" s="50" t="s">
        <v>56716</v>
      </c>
      <c r="L2531" s="48" t="s">
        <v>56716</v>
      </c>
    </row>
    <row r="2532" spans="1:12" s="37" customFormat="1" ht="11.25" x14ac:dyDescent="0.2">
      <c r="A2532" s="46" t="s">
        <v>6916</v>
      </c>
      <c r="B2532" s="46" t="s">
        <v>52336</v>
      </c>
      <c r="C2532" s="58" t="str">
        <f>"13826689"</f>
        <v>13826689</v>
      </c>
      <c r="D2532" s="58" t="str">
        <f>"18727077"</f>
        <v>18727077</v>
      </c>
      <c r="E2532" s="46" t="s">
        <v>91</v>
      </c>
      <c r="F2532" s="46" t="s">
        <v>18001</v>
      </c>
      <c r="G2532" s="46" t="s">
        <v>50584</v>
      </c>
      <c r="H2532" s="48" t="s">
        <v>56716</v>
      </c>
      <c r="I2532" s="48" t="s">
        <v>50564</v>
      </c>
      <c r="J2532" s="48" t="s">
        <v>56716</v>
      </c>
      <c r="K2532" s="50" t="s">
        <v>56716</v>
      </c>
      <c r="L2532" s="48" t="s">
        <v>56716</v>
      </c>
    </row>
    <row r="2533" spans="1:12" s="37" customFormat="1" ht="11.25" x14ac:dyDescent="0.2">
      <c r="A2533" s="46" t="s">
        <v>9376</v>
      </c>
      <c r="B2533" s="46" t="s">
        <v>52337</v>
      </c>
      <c r="C2533" s="58" t="str">
        <f>"16350421"</f>
        <v>16350421</v>
      </c>
      <c r="D2533" s="58" t="str">
        <f>""</f>
        <v/>
      </c>
      <c r="E2533" s="46" t="s">
        <v>948</v>
      </c>
      <c r="F2533" s="46" t="s">
        <v>20359</v>
      </c>
      <c r="G2533" s="46" t="s">
        <v>50591</v>
      </c>
      <c r="H2533" s="48" t="s">
        <v>56716</v>
      </c>
      <c r="I2533" s="48" t="s">
        <v>50564</v>
      </c>
      <c r="J2533" s="48"/>
      <c r="K2533" s="50"/>
      <c r="L2533" s="48"/>
    </row>
    <row r="2534" spans="1:12" s="37" customFormat="1" ht="11.25" x14ac:dyDescent="0.2">
      <c r="A2534" s="46" t="s">
        <v>1527</v>
      </c>
      <c r="B2534" s="46" t="s">
        <v>52338</v>
      </c>
      <c r="C2534" s="58" t="str">
        <f>"01410229"</f>
        <v>01410229</v>
      </c>
      <c r="D2534" s="58" t="str">
        <f>"18790909"</f>
        <v>18790909</v>
      </c>
      <c r="E2534" s="46" t="s">
        <v>272</v>
      </c>
      <c r="F2534" s="46" t="s">
        <v>17759</v>
      </c>
      <c r="G2534" s="46" t="s">
        <v>50584</v>
      </c>
      <c r="H2534" s="48" t="s">
        <v>56716</v>
      </c>
      <c r="I2534" s="48" t="s">
        <v>50564</v>
      </c>
      <c r="J2534" s="48"/>
      <c r="K2534" s="50"/>
      <c r="L2534" s="48" t="s">
        <v>56716</v>
      </c>
    </row>
    <row r="2535" spans="1:12" s="37" customFormat="1" ht="11.25" x14ac:dyDescent="0.2">
      <c r="A2535" s="46" t="s">
        <v>16038</v>
      </c>
      <c r="B2535" s="46" t="s">
        <v>52339</v>
      </c>
      <c r="C2535" s="58" t="str">
        <f>"20900406"</f>
        <v>20900406</v>
      </c>
      <c r="D2535" s="58" t="str">
        <f>"20900414"</f>
        <v>20900414</v>
      </c>
      <c r="E2535" s="46" t="s">
        <v>1412</v>
      </c>
      <c r="F2535" s="46" t="s">
        <v>17759</v>
      </c>
      <c r="G2535" s="46" t="s">
        <v>50584</v>
      </c>
      <c r="H2535" s="48" t="s">
        <v>56716</v>
      </c>
      <c r="I2535" s="48" t="s">
        <v>50564</v>
      </c>
      <c r="J2535" s="48" t="s">
        <v>56716</v>
      </c>
      <c r="K2535" s="50"/>
      <c r="L2535" s="48"/>
    </row>
    <row r="2536" spans="1:12" s="37" customFormat="1" ht="11.25" x14ac:dyDescent="0.2">
      <c r="A2536" s="46" t="s">
        <v>13303</v>
      </c>
      <c r="B2536" s="46" t="s">
        <v>13303</v>
      </c>
      <c r="C2536" s="58" t="str">
        <f>"17554365"</f>
        <v>17554365</v>
      </c>
      <c r="D2536" s="58" t="str">
        <f>"18780067"</f>
        <v>18780067</v>
      </c>
      <c r="E2536" s="46" t="s">
        <v>91</v>
      </c>
      <c r="F2536" s="46" t="s">
        <v>18001</v>
      </c>
      <c r="G2536" s="46" t="s">
        <v>50584</v>
      </c>
      <c r="H2536" s="48" t="s">
        <v>56716</v>
      </c>
      <c r="I2536" s="48" t="s">
        <v>50564</v>
      </c>
      <c r="J2536" s="48" t="s">
        <v>56716</v>
      </c>
      <c r="K2536" s="50" t="s">
        <v>56716</v>
      </c>
      <c r="L2536" s="48" t="s">
        <v>56716</v>
      </c>
    </row>
    <row r="2537" spans="1:12" s="37" customFormat="1" ht="11.25" x14ac:dyDescent="0.2">
      <c r="A2537" s="45" t="s">
        <v>28227</v>
      </c>
      <c r="B2537" s="45" t="s">
        <v>28229</v>
      </c>
      <c r="C2537" s="51" t="s">
        <v>28230</v>
      </c>
      <c r="D2537" s="51"/>
      <c r="E2537" s="45" t="s">
        <v>28231</v>
      </c>
      <c r="F2537" s="45" t="s">
        <v>17991</v>
      </c>
      <c r="G2537" s="45" t="s">
        <v>50602</v>
      </c>
      <c r="H2537" s="56"/>
      <c r="I2537" s="56" t="s">
        <v>50564</v>
      </c>
      <c r="J2537" s="56"/>
      <c r="K2537" s="50"/>
      <c r="L2537" s="56" t="s">
        <v>56716</v>
      </c>
    </row>
    <row r="2538" spans="1:12" s="37" customFormat="1" ht="11.25" x14ac:dyDescent="0.2">
      <c r="A2538" s="46" t="s">
        <v>55972</v>
      </c>
      <c r="B2538" s="46" t="s">
        <v>55973</v>
      </c>
      <c r="C2538" s="58" t="str">
        <f>"21949263"</f>
        <v>21949263</v>
      </c>
      <c r="D2538" s="58" t="str">
        <f>"2161962X"</f>
        <v>2161962X</v>
      </c>
      <c r="E2538" s="46" t="s">
        <v>1887</v>
      </c>
      <c r="F2538" s="46" t="s">
        <v>18158</v>
      </c>
      <c r="G2538" s="46" t="s">
        <v>50584</v>
      </c>
      <c r="H2538" s="48" t="s">
        <v>56716</v>
      </c>
      <c r="I2538" s="48" t="s">
        <v>50564</v>
      </c>
      <c r="J2538" s="48" t="s">
        <v>56716</v>
      </c>
      <c r="K2538" s="50"/>
      <c r="L2538" s="48"/>
    </row>
    <row r="2539" spans="1:12" s="37" customFormat="1" ht="11.25" x14ac:dyDescent="0.2">
      <c r="A2539" s="46" t="s">
        <v>10688</v>
      </c>
      <c r="B2539" s="46" t="s">
        <v>52340</v>
      </c>
      <c r="C2539" s="58" t="str">
        <f>""</f>
        <v/>
      </c>
      <c r="D2539" s="58" t="str">
        <f>"17425573"</f>
        <v>17425573</v>
      </c>
      <c r="E2539" s="46" t="s">
        <v>2299</v>
      </c>
      <c r="F2539" s="46" t="s">
        <v>50646</v>
      </c>
      <c r="G2539" s="46" t="s">
        <v>50584</v>
      </c>
      <c r="H2539" s="48" t="s">
        <v>56716</v>
      </c>
      <c r="I2539" s="48" t="s">
        <v>50564</v>
      </c>
      <c r="J2539" s="48"/>
      <c r="K2539" s="50"/>
      <c r="L2539" s="48"/>
    </row>
    <row r="2540" spans="1:12" s="37" customFormat="1" ht="11.25" x14ac:dyDescent="0.2">
      <c r="A2540" s="46" t="s">
        <v>1556</v>
      </c>
      <c r="B2540" s="46" t="s">
        <v>52341</v>
      </c>
      <c r="C2540" s="58" t="str">
        <f>"0193936X"</f>
        <v>0193936X</v>
      </c>
      <c r="D2540" s="58" t="str">
        <f>"14786729"</f>
        <v>14786729</v>
      </c>
      <c r="E2540" s="46" t="s">
        <v>55</v>
      </c>
      <c r="F2540" s="46" t="s">
        <v>50646</v>
      </c>
      <c r="G2540" s="46" t="s">
        <v>50584</v>
      </c>
      <c r="H2540" s="48" t="s">
        <v>56716</v>
      </c>
      <c r="I2540" s="48" t="s">
        <v>50564</v>
      </c>
      <c r="J2540" s="48" t="s">
        <v>56716</v>
      </c>
      <c r="K2540" s="50"/>
      <c r="L2540" s="48" t="s">
        <v>56716</v>
      </c>
    </row>
    <row r="2541" spans="1:12" s="37" customFormat="1" ht="11.25" x14ac:dyDescent="0.2">
      <c r="A2541" s="45" t="s">
        <v>28239</v>
      </c>
      <c r="B2541" s="45" t="s">
        <v>28241</v>
      </c>
      <c r="C2541" s="51" t="s">
        <v>28243</v>
      </c>
      <c r="D2541" s="51"/>
      <c r="E2541" s="45" t="s">
        <v>28244</v>
      </c>
      <c r="F2541" s="45" t="s">
        <v>17759</v>
      </c>
      <c r="G2541" s="45" t="s">
        <v>50584</v>
      </c>
      <c r="H2541" s="56"/>
      <c r="I2541" s="56" t="s">
        <v>50564</v>
      </c>
      <c r="J2541" s="56"/>
      <c r="K2541" s="50"/>
      <c r="L2541" s="56" t="s">
        <v>56716</v>
      </c>
    </row>
    <row r="2542" spans="1:12" s="37" customFormat="1" ht="11.25" x14ac:dyDescent="0.2">
      <c r="A2542" s="46" t="s">
        <v>8793</v>
      </c>
      <c r="B2542" s="46" t="s">
        <v>52342</v>
      </c>
      <c r="C2542" s="58" t="str">
        <f>"12107913"</f>
        <v>12107913</v>
      </c>
      <c r="D2542" s="58" t="str">
        <f>""</f>
        <v/>
      </c>
      <c r="E2542" s="46" t="s">
        <v>1130</v>
      </c>
      <c r="F2542" s="46" t="s">
        <v>18025</v>
      </c>
      <c r="G2542" s="46" t="s">
        <v>50581</v>
      </c>
      <c r="H2542" s="48" t="s">
        <v>56716</v>
      </c>
      <c r="I2542" s="48" t="s">
        <v>50564</v>
      </c>
      <c r="J2542" s="48"/>
      <c r="K2542" s="50"/>
      <c r="L2542" s="48" t="s">
        <v>56716</v>
      </c>
    </row>
    <row r="2543" spans="1:12" s="37" customFormat="1" ht="11.25" x14ac:dyDescent="0.2">
      <c r="A2543" s="46" t="s">
        <v>5136</v>
      </c>
      <c r="B2543" s="46" t="s">
        <v>5136</v>
      </c>
      <c r="C2543" s="58" t="str">
        <f>"10443983"</f>
        <v>10443983</v>
      </c>
      <c r="D2543" s="58" t="str">
        <f>"15315487"</f>
        <v>15315487</v>
      </c>
      <c r="E2543" s="46" t="s">
        <v>28</v>
      </c>
      <c r="F2543" s="46" t="s">
        <v>17759</v>
      </c>
      <c r="G2543" s="46" t="s">
        <v>50584</v>
      </c>
      <c r="H2543" s="48" t="s">
        <v>56716</v>
      </c>
      <c r="I2543" s="48" t="s">
        <v>50564</v>
      </c>
      <c r="J2543" s="48" t="s">
        <v>56716</v>
      </c>
      <c r="K2543" s="50" t="s">
        <v>56716</v>
      </c>
      <c r="L2543" s="48" t="s">
        <v>56716</v>
      </c>
    </row>
    <row r="2544" spans="1:12" s="37" customFormat="1" ht="11.25" x14ac:dyDescent="0.2">
      <c r="A2544" s="46" t="s">
        <v>4403</v>
      </c>
      <c r="B2544" s="46" t="s">
        <v>52343</v>
      </c>
      <c r="C2544" s="58" t="str">
        <f>"09502688"</f>
        <v>09502688</v>
      </c>
      <c r="D2544" s="58" t="str">
        <f>"14694409"</f>
        <v>14694409</v>
      </c>
      <c r="E2544" s="46" t="s">
        <v>724</v>
      </c>
      <c r="F2544" s="46" t="s">
        <v>50646</v>
      </c>
      <c r="G2544" s="46" t="s">
        <v>50584</v>
      </c>
      <c r="H2544" s="48" t="s">
        <v>56716</v>
      </c>
      <c r="I2544" s="48" t="s">
        <v>50564</v>
      </c>
      <c r="J2544" s="48"/>
      <c r="K2544" s="50" t="s">
        <v>56716</v>
      </c>
      <c r="L2544" s="48" t="s">
        <v>56716</v>
      </c>
    </row>
    <row r="2545" spans="1:12" s="37" customFormat="1" ht="11.25" x14ac:dyDescent="0.2">
      <c r="A2545" s="46" t="s">
        <v>15398</v>
      </c>
      <c r="B2545" s="46" t="s">
        <v>52344</v>
      </c>
      <c r="C2545" s="58" t="str">
        <f>"20457960"</f>
        <v>20457960</v>
      </c>
      <c r="D2545" s="58" t="str">
        <f>"20457979"</f>
        <v>20457979</v>
      </c>
      <c r="E2545" s="46" t="s">
        <v>724</v>
      </c>
      <c r="F2545" s="46" t="s">
        <v>50646</v>
      </c>
      <c r="G2545" s="46" t="s">
        <v>50602</v>
      </c>
      <c r="H2545" s="48" t="s">
        <v>56716</v>
      </c>
      <c r="I2545" s="48" t="s">
        <v>50564</v>
      </c>
      <c r="J2545" s="48"/>
      <c r="K2545" s="50" t="s">
        <v>56716</v>
      </c>
      <c r="L2545" s="48" t="s">
        <v>56716</v>
      </c>
    </row>
    <row r="2546" spans="1:12" s="37" customFormat="1" ht="11.25" x14ac:dyDescent="0.2">
      <c r="A2546" s="46" t="s">
        <v>16041</v>
      </c>
      <c r="B2546" s="46" t="s">
        <v>52345</v>
      </c>
      <c r="C2546" s="58" t="str">
        <f>"20902972"</f>
        <v>20902972</v>
      </c>
      <c r="D2546" s="58" t="str">
        <f>"20902980"</f>
        <v>20902980</v>
      </c>
      <c r="E2546" s="46" t="s">
        <v>1412</v>
      </c>
      <c r="F2546" s="46" t="s">
        <v>17759</v>
      </c>
      <c r="G2546" s="46" t="s">
        <v>50584</v>
      </c>
      <c r="H2546" s="48" t="s">
        <v>56716</v>
      </c>
      <c r="I2546" s="48" t="s">
        <v>50564</v>
      </c>
      <c r="J2546" s="48" t="s">
        <v>56716</v>
      </c>
      <c r="K2546" s="50"/>
      <c r="L2546" s="48"/>
    </row>
    <row r="2547" spans="1:12" s="37" customFormat="1" ht="11.25" x14ac:dyDescent="0.2">
      <c r="A2547" s="46" t="s">
        <v>11831</v>
      </c>
      <c r="B2547" s="46" t="s">
        <v>11831</v>
      </c>
      <c r="C2547" s="58" t="str">
        <f>"15592294"</f>
        <v>15592294</v>
      </c>
      <c r="D2547" s="58" t="str">
        <f>"15592308"</f>
        <v>15592308</v>
      </c>
      <c r="E2547" s="46" t="s">
        <v>669</v>
      </c>
      <c r="F2547" s="46" t="s">
        <v>17759</v>
      </c>
      <c r="G2547" s="46" t="s">
        <v>50584</v>
      </c>
      <c r="H2547" s="48" t="s">
        <v>56716</v>
      </c>
      <c r="I2547" s="48" t="s">
        <v>50564</v>
      </c>
      <c r="J2547" s="48"/>
      <c r="K2547" s="50"/>
      <c r="L2547" s="48" t="s">
        <v>56716</v>
      </c>
    </row>
    <row r="2548" spans="1:12" s="37" customFormat="1" ht="11.25" x14ac:dyDescent="0.2">
      <c r="A2548" s="46" t="s">
        <v>14037</v>
      </c>
      <c r="B2548" s="46" t="s">
        <v>52346</v>
      </c>
      <c r="C2548" s="58" t="str">
        <f>""</f>
        <v/>
      </c>
      <c r="D2548" s="58" t="str">
        <f>"17568935"</f>
        <v>17568935</v>
      </c>
      <c r="E2548" s="46" t="s">
        <v>2299</v>
      </c>
      <c r="F2548" s="46" t="s">
        <v>50646</v>
      </c>
      <c r="G2548" s="46" t="s">
        <v>50584</v>
      </c>
      <c r="H2548" s="48" t="s">
        <v>56716</v>
      </c>
      <c r="I2548" s="48" t="s">
        <v>50564</v>
      </c>
      <c r="J2548" s="48" t="s">
        <v>56716</v>
      </c>
      <c r="K2548" s="50" t="s">
        <v>56716</v>
      </c>
      <c r="L2548" s="48"/>
    </row>
    <row r="2549" spans="1:12" s="37" customFormat="1" ht="11.25" x14ac:dyDescent="0.2">
      <c r="A2549" s="46" t="s">
        <v>15808</v>
      </c>
      <c r="B2549" s="46" t="s">
        <v>52347</v>
      </c>
      <c r="C2549" s="58" t="str">
        <f>"21912262"</f>
        <v>21912262</v>
      </c>
      <c r="D2549" s="58" t="str">
        <f>"21912270"</f>
        <v>21912270</v>
      </c>
      <c r="E2549" s="46" t="s">
        <v>167</v>
      </c>
      <c r="F2549" s="46" t="s">
        <v>18158</v>
      </c>
      <c r="G2549" s="46" t="s">
        <v>50584</v>
      </c>
      <c r="H2549" s="48" t="s">
        <v>56716</v>
      </c>
      <c r="I2549" s="48" t="s">
        <v>50565</v>
      </c>
      <c r="J2549" s="48" t="s">
        <v>56716</v>
      </c>
      <c r="K2549" s="50"/>
      <c r="L2549" s="48"/>
    </row>
    <row r="2550" spans="1:12" s="37" customFormat="1" ht="11.25" x14ac:dyDescent="0.2">
      <c r="A2550" s="46" t="s">
        <v>56259</v>
      </c>
      <c r="B2550" s="46" t="s">
        <v>56260</v>
      </c>
      <c r="C2550" s="58" t="str">
        <f>""</f>
        <v/>
      </c>
      <c r="D2550" s="58" t="str">
        <f>"23005041"</f>
        <v>23005041</v>
      </c>
      <c r="E2550" s="46" t="s">
        <v>56253</v>
      </c>
      <c r="F2550" s="46" t="s">
        <v>17967</v>
      </c>
      <c r="G2550" s="46" t="s">
        <v>50584</v>
      </c>
      <c r="H2550" s="48" t="s">
        <v>56716</v>
      </c>
      <c r="I2550" s="48" t="s">
        <v>50564</v>
      </c>
      <c r="J2550" s="48" t="s">
        <v>56716</v>
      </c>
      <c r="K2550" s="50"/>
      <c r="L2550" s="48"/>
    </row>
    <row r="2551" spans="1:12" s="37" customFormat="1" ht="11.25" x14ac:dyDescent="0.2">
      <c r="A2551" s="46" t="s">
        <v>14388</v>
      </c>
      <c r="B2551" s="46" t="s">
        <v>14388</v>
      </c>
      <c r="C2551" s="58" t="str">
        <f>"17501911"</f>
        <v>17501911</v>
      </c>
      <c r="D2551" s="58" t="str">
        <f>"1750192X"</f>
        <v>1750192X</v>
      </c>
      <c r="E2551" s="46" t="s">
        <v>8442</v>
      </c>
      <c r="F2551" s="46" t="s">
        <v>50646</v>
      </c>
      <c r="G2551" s="46" t="s">
        <v>50584</v>
      </c>
      <c r="H2551" s="48" t="s">
        <v>56716</v>
      </c>
      <c r="I2551" s="48" t="s">
        <v>50564</v>
      </c>
      <c r="J2551" s="48" t="s">
        <v>56716</v>
      </c>
      <c r="K2551" s="50"/>
      <c r="L2551" s="48" t="s">
        <v>56716</v>
      </c>
    </row>
    <row r="2552" spans="1:12" s="37" customFormat="1" ht="11.25" x14ac:dyDescent="0.2">
      <c r="A2552" s="46" t="s">
        <v>1553</v>
      </c>
      <c r="B2552" s="46" t="s">
        <v>1553</v>
      </c>
      <c r="C2552" s="58" t="str">
        <f>"00139580"</f>
        <v>00139580</v>
      </c>
      <c r="D2552" s="58" t="str">
        <f>"15281167"</f>
        <v>15281167</v>
      </c>
      <c r="E2552" s="46" t="s">
        <v>548</v>
      </c>
      <c r="F2552" s="46" t="s">
        <v>17759</v>
      </c>
      <c r="G2552" s="46" t="s">
        <v>50584</v>
      </c>
      <c r="H2552" s="48" t="s">
        <v>56716</v>
      </c>
      <c r="I2552" s="48" t="s">
        <v>50564</v>
      </c>
      <c r="J2552" s="48" t="s">
        <v>56716</v>
      </c>
      <c r="K2552" s="50" t="s">
        <v>56716</v>
      </c>
      <c r="L2552" s="48" t="s">
        <v>56716</v>
      </c>
    </row>
    <row r="2553" spans="1:12" s="37" customFormat="1" ht="11.25" x14ac:dyDescent="0.2">
      <c r="A2553" s="46" t="s">
        <v>4589</v>
      </c>
      <c r="B2553" s="46" t="s">
        <v>4589</v>
      </c>
      <c r="C2553" s="58" t="str">
        <f>"11496576"</f>
        <v>11496576</v>
      </c>
      <c r="D2553" s="58" t="str">
        <f>"19506937"</f>
        <v>19506937</v>
      </c>
      <c r="E2553" s="46" t="s">
        <v>948</v>
      </c>
      <c r="F2553" s="46" t="s">
        <v>20359</v>
      </c>
      <c r="G2553" s="46" t="s">
        <v>50591</v>
      </c>
      <c r="H2553" s="48" t="s">
        <v>56716</v>
      </c>
      <c r="I2553" s="48" t="s">
        <v>50564</v>
      </c>
      <c r="J2553" s="48"/>
      <c r="K2553" s="50"/>
      <c r="L2553" s="48"/>
    </row>
    <row r="2554" spans="1:12" s="37" customFormat="1" ht="11.25" x14ac:dyDescent="0.2">
      <c r="A2554" s="46" t="s">
        <v>8499</v>
      </c>
      <c r="B2554" s="46" t="s">
        <v>52348</v>
      </c>
      <c r="C2554" s="58" t="str">
        <f>"15255050"</f>
        <v>15255050</v>
      </c>
      <c r="D2554" s="58" t="str">
        <f>"15255069"</f>
        <v>15255069</v>
      </c>
      <c r="E2554" s="46" t="s">
        <v>60</v>
      </c>
      <c r="F2554" s="46" t="s">
        <v>17759</v>
      </c>
      <c r="G2554" s="46" t="s">
        <v>50584</v>
      </c>
      <c r="H2554" s="48" t="s">
        <v>56716</v>
      </c>
      <c r="I2554" s="48" t="s">
        <v>50564</v>
      </c>
      <c r="J2554" s="48"/>
      <c r="K2554" s="50" t="s">
        <v>56716</v>
      </c>
      <c r="L2554" s="48" t="s">
        <v>56716</v>
      </c>
    </row>
    <row r="2555" spans="1:12" s="37" customFormat="1" ht="11.25" x14ac:dyDescent="0.2">
      <c r="A2555" s="46" t="s">
        <v>16545</v>
      </c>
      <c r="B2555" s="46" t="s">
        <v>52349</v>
      </c>
      <c r="C2555" s="58" t="str">
        <f>"22133232"</f>
        <v>22133232</v>
      </c>
      <c r="D2555" s="58" t="str">
        <f>""</f>
        <v/>
      </c>
      <c r="E2555" s="46" t="s">
        <v>272</v>
      </c>
      <c r="F2555" s="46" t="s">
        <v>17759</v>
      </c>
      <c r="G2555" s="46" t="s">
        <v>50584</v>
      </c>
      <c r="H2555" s="48" t="s">
        <v>56716</v>
      </c>
      <c r="I2555" s="48" t="s">
        <v>50564</v>
      </c>
      <c r="J2555" s="48" t="s">
        <v>56716</v>
      </c>
      <c r="K2555" s="50"/>
      <c r="L2555" s="48"/>
    </row>
    <row r="2556" spans="1:12" s="37" customFormat="1" ht="11.25" x14ac:dyDescent="0.2">
      <c r="A2556" s="46" t="s">
        <v>13479</v>
      </c>
      <c r="B2556" s="46" t="s">
        <v>52350</v>
      </c>
      <c r="C2556" s="58" t="str">
        <f>""</f>
        <v/>
      </c>
      <c r="D2556" s="58" t="str">
        <f>"18825567"</f>
        <v>18825567</v>
      </c>
      <c r="E2556" s="46" t="s">
        <v>3904</v>
      </c>
      <c r="F2556" s="46" t="s">
        <v>18242</v>
      </c>
      <c r="G2556" s="46" t="s">
        <v>50584</v>
      </c>
      <c r="H2556" s="48" t="s">
        <v>56716</v>
      </c>
      <c r="I2556" s="48" t="s">
        <v>50564</v>
      </c>
      <c r="J2556" s="48"/>
      <c r="K2556" s="50"/>
      <c r="L2556" s="48"/>
    </row>
    <row r="2557" spans="1:12" s="37" customFormat="1" ht="11.25" x14ac:dyDescent="0.2">
      <c r="A2557" s="46" t="s">
        <v>15836</v>
      </c>
      <c r="B2557" s="46" t="s">
        <v>52351</v>
      </c>
      <c r="C2557" s="58" t="str">
        <f>"15357597"</f>
        <v>15357597</v>
      </c>
      <c r="D2557" s="58" t="str">
        <f>"15357511"</f>
        <v>15357511</v>
      </c>
      <c r="E2557" s="46" t="s">
        <v>15839</v>
      </c>
      <c r="F2557" s="46" t="s">
        <v>17759</v>
      </c>
      <c r="G2557" s="46" t="s">
        <v>50584</v>
      </c>
      <c r="H2557" s="48" t="s">
        <v>56716</v>
      </c>
      <c r="I2557" s="48" t="s">
        <v>50564</v>
      </c>
      <c r="J2557" s="48"/>
      <c r="K2557" s="50"/>
      <c r="L2557" s="48"/>
    </row>
    <row r="2558" spans="1:12" s="37" customFormat="1" ht="11.25" x14ac:dyDescent="0.2">
      <c r="A2558" s="46" t="s">
        <v>4302</v>
      </c>
      <c r="B2558" s="46" t="s">
        <v>52352</v>
      </c>
      <c r="C2558" s="58" t="str">
        <f>"09201211"</f>
        <v>09201211</v>
      </c>
      <c r="D2558" s="58" t="str">
        <f>"18726844"</f>
        <v>18726844</v>
      </c>
      <c r="E2558" s="46" t="s">
        <v>91</v>
      </c>
      <c r="F2558" s="46" t="s">
        <v>18001</v>
      </c>
      <c r="G2558" s="46" t="s">
        <v>50584</v>
      </c>
      <c r="H2558" s="48" t="s">
        <v>56716</v>
      </c>
      <c r="I2558" s="48" t="s">
        <v>50564</v>
      </c>
      <c r="J2558" s="48" t="s">
        <v>56716</v>
      </c>
      <c r="K2558" s="50" t="s">
        <v>56716</v>
      </c>
      <c r="L2558" s="48" t="s">
        <v>56716</v>
      </c>
    </row>
    <row r="2559" spans="1:12" s="37" customFormat="1" ht="11.25" x14ac:dyDescent="0.2">
      <c r="A2559" s="46" t="s">
        <v>15686</v>
      </c>
      <c r="B2559" s="46" t="s">
        <v>52353</v>
      </c>
      <c r="C2559" s="58" t="str">
        <f>"20901348"</f>
        <v>20901348</v>
      </c>
      <c r="D2559" s="58" t="str">
        <f>"20901356"</f>
        <v>20901356</v>
      </c>
      <c r="E2559" s="46" t="s">
        <v>1412</v>
      </c>
      <c r="F2559" s="46" t="s">
        <v>17759</v>
      </c>
      <c r="G2559" s="46" t="s">
        <v>50584</v>
      </c>
      <c r="H2559" s="48" t="s">
        <v>56716</v>
      </c>
      <c r="I2559" s="48" t="s">
        <v>50564</v>
      </c>
      <c r="J2559" s="48" t="s">
        <v>56716</v>
      </c>
      <c r="K2559" s="50"/>
      <c r="L2559" s="48"/>
    </row>
    <row r="2560" spans="1:12" s="37" customFormat="1" ht="11.25" x14ac:dyDescent="0.2">
      <c r="A2560" s="46" t="s">
        <v>8160</v>
      </c>
      <c r="B2560" s="46" t="s">
        <v>52354</v>
      </c>
      <c r="C2560" s="58" t="str">
        <f>"12949361"</f>
        <v>12949361</v>
      </c>
      <c r="D2560" s="58" t="str">
        <f>"19506945"</f>
        <v>19506945</v>
      </c>
      <c r="E2560" s="46" t="s">
        <v>948</v>
      </c>
      <c r="F2560" s="46" t="s">
        <v>20359</v>
      </c>
      <c r="G2560" s="46" t="s">
        <v>50584</v>
      </c>
      <c r="H2560" s="48" t="s">
        <v>56716</v>
      </c>
      <c r="I2560" s="48" t="s">
        <v>50564</v>
      </c>
      <c r="J2560" s="48" t="s">
        <v>56716</v>
      </c>
      <c r="K2560" s="50"/>
      <c r="L2560" s="48" t="s">
        <v>56716</v>
      </c>
    </row>
    <row r="2561" spans="1:12" s="37" customFormat="1" ht="11.25" x14ac:dyDescent="0.2">
      <c r="A2561" s="46" t="s">
        <v>16547</v>
      </c>
      <c r="B2561" s="46" t="s">
        <v>16547</v>
      </c>
      <c r="C2561" s="58" t="str">
        <f>"22128220"</f>
        <v>22128220</v>
      </c>
      <c r="D2561" s="58" t="str">
        <f>""</f>
        <v/>
      </c>
      <c r="E2561" s="46" t="s">
        <v>6159</v>
      </c>
      <c r="F2561" s="46" t="s">
        <v>18158</v>
      </c>
      <c r="G2561" s="46" t="s">
        <v>50584</v>
      </c>
      <c r="H2561" s="48" t="s">
        <v>56716</v>
      </c>
      <c r="I2561" s="48" t="s">
        <v>50564</v>
      </c>
      <c r="J2561" s="48" t="s">
        <v>56716</v>
      </c>
      <c r="K2561" s="50" t="s">
        <v>56716</v>
      </c>
      <c r="L2561" s="48"/>
    </row>
    <row r="2562" spans="1:12" s="37" customFormat="1" ht="11.25" x14ac:dyDescent="0.2">
      <c r="A2562" s="46" t="s">
        <v>4677</v>
      </c>
      <c r="B2562" s="46" t="s">
        <v>52355</v>
      </c>
      <c r="C2562" s="58" t="str">
        <f>"10116575"</f>
        <v>10116575</v>
      </c>
      <c r="D2562" s="58" t="str">
        <f>""</f>
        <v/>
      </c>
      <c r="E2562" s="46" t="s">
        <v>4679</v>
      </c>
      <c r="F2562" s="46" t="s">
        <v>20969</v>
      </c>
      <c r="G2562" s="46" t="s">
        <v>50596</v>
      </c>
      <c r="H2562" s="48" t="s">
        <v>56716</v>
      </c>
      <c r="I2562" s="48" t="s">
        <v>50564</v>
      </c>
      <c r="J2562" s="48"/>
      <c r="K2562" s="50"/>
      <c r="L2562" s="48"/>
    </row>
    <row r="2563" spans="1:12" s="37" customFormat="1" ht="11.25" x14ac:dyDescent="0.2">
      <c r="A2563" s="46" t="s">
        <v>15287</v>
      </c>
      <c r="B2563" s="46" t="s">
        <v>52356</v>
      </c>
      <c r="C2563" s="58" t="str">
        <f>"18785077"</f>
        <v>18785077</v>
      </c>
      <c r="D2563" s="58" t="str">
        <f>"18785085"</f>
        <v>18785085</v>
      </c>
      <c r="E2563" s="46" t="s">
        <v>2299</v>
      </c>
      <c r="F2563" s="46" t="s">
        <v>50646</v>
      </c>
      <c r="G2563" s="46" t="s">
        <v>50584</v>
      </c>
      <c r="H2563" s="48" t="s">
        <v>56716</v>
      </c>
      <c r="I2563" s="48" t="s">
        <v>50564</v>
      </c>
      <c r="J2563" s="48" t="s">
        <v>56716</v>
      </c>
      <c r="K2563" s="50"/>
      <c r="L2563" s="48"/>
    </row>
    <row r="2564" spans="1:12" s="37" customFormat="1" ht="11.25" x14ac:dyDescent="0.2">
      <c r="A2564" s="46" t="s">
        <v>4351</v>
      </c>
      <c r="B2564" s="46" t="s">
        <v>52357</v>
      </c>
      <c r="C2564" s="58" t="str">
        <f>"03855716"</f>
        <v>03855716</v>
      </c>
      <c r="D2564" s="58" t="str">
        <f>""</f>
        <v/>
      </c>
      <c r="E2564" s="46" t="s">
        <v>4353</v>
      </c>
      <c r="F2564" s="46" t="s">
        <v>18242</v>
      </c>
      <c r="G2564" s="46" t="s">
        <v>50604</v>
      </c>
      <c r="H2564" s="48" t="s">
        <v>56716</v>
      </c>
      <c r="I2564" s="48" t="s">
        <v>50564</v>
      </c>
      <c r="J2564" s="48"/>
      <c r="K2564" s="50"/>
      <c r="L2564" s="48"/>
    </row>
    <row r="2565" spans="1:12" s="37" customFormat="1" ht="11.25" x14ac:dyDescent="0.2">
      <c r="A2565" s="45" t="s">
        <v>28289</v>
      </c>
      <c r="B2565" s="45" t="s">
        <v>28291</v>
      </c>
      <c r="C2565" s="51" t="s">
        <v>28293</v>
      </c>
      <c r="D2565" s="51" t="s">
        <v>28292</v>
      </c>
      <c r="E2565" s="45" t="s">
        <v>17805</v>
      </c>
      <c r="F2565" s="45" t="s">
        <v>17759</v>
      </c>
      <c r="G2565" s="45" t="s">
        <v>50584</v>
      </c>
      <c r="H2565" s="56"/>
      <c r="I2565" s="56" t="s">
        <v>50564</v>
      </c>
      <c r="J2565" s="56"/>
      <c r="K2565" s="50"/>
      <c r="L2565" s="56" t="s">
        <v>56716</v>
      </c>
    </row>
    <row r="2566" spans="1:12" s="37" customFormat="1" ht="11.25" x14ac:dyDescent="0.2">
      <c r="A2566" s="45" t="s">
        <v>28296</v>
      </c>
      <c r="B2566" s="45" t="s">
        <v>28298</v>
      </c>
      <c r="C2566" s="51"/>
      <c r="D2566" s="51"/>
      <c r="E2566" s="45" t="s">
        <v>17805</v>
      </c>
      <c r="F2566" s="45" t="s">
        <v>17759</v>
      </c>
      <c r="G2566" s="45" t="s">
        <v>50584</v>
      </c>
      <c r="H2566" s="56"/>
      <c r="I2566" s="56" t="s">
        <v>50564</v>
      </c>
      <c r="J2566" s="56"/>
      <c r="K2566" s="50"/>
      <c r="L2566" s="56" t="s">
        <v>56716</v>
      </c>
    </row>
    <row r="2567" spans="1:12" s="37" customFormat="1" ht="11.25" x14ac:dyDescent="0.2">
      <c r="A2567" s="46" t="s">
        <v>6171</v>
      </c>
      <c r="B2567" s="46" t="s">
        <v>52358</v>
      </c>
      <c r="C2567" s="58" t="str">
        <f>"1300199X"</f>
        <v>1300199X</v>
      </c>
      <c r="D2567" s="58" t="str">
        <f>""</f>
        <v/>
      </c>
      <c r="E2567" s="46" t="s">
        <v>6173</v>
      </c>
      <c r="F2567" s="46" t="s">
        <v>18396</v>
      </c>
      <c r="G2567" s="46" t="s">
        <v>50637</v>
      </c>
      <c r="H2567" s="48" t="s">
        <v>56716</v>
      </c>
      <c r="I2567" s="48" t="s">
        <v>50564</v>
      </c>
      <c r="J2567" s="48"/>
      <c r="K2567" s="50"/>
      <c r="L2567" s="48"/>
    </row>
    <row r="2568" spans="1:12" s="37" customFormat="1" ht="11.25" x14ac:dyDescent="0.2">
      <c r="A2568" s="45" t="s">
        <v>28300</v>
      </c>
      <c r="B2568" s="45" t="s">
        <v>28300</v>
      </c>
      <c r="C2568" s="51" t="s">
        <v>28303</v>
      </c>
      <c r="D2568" s="51" t="s">
        <v>28302</v>
      </c>
      <c r="E2568" s="45" t="s">
        <v>291</v>
      </c>
      <c r="F2568" s="45" t="s">
        <v>50646</v>
      </c>
      <c r="G2568" s="45" t="s">
        <v>50584</v>
      </c>
      <c r="H2568" s="56"/>
      <c r="I2568" s="56" t="s">
        <v>50564</v>
      </c>
      <c r="J2568" s="56"/>
      <c r="K2568" s="50"/>
      <c r="L2568" s="56" t="s">
        <v>56716</v>
      </c>
    </row>
    <row r="2569" spans="1:12" s="37" customFormat="1" ht="11.25" x14ac:dyDescent="0.2">
      <c r="A2569" s="46" t="s">
        <v>9378</v>
      </c>
      <c r="B2569" s="46" t="s">
        <v>52359</v>
      </c>
      <c r="C2569" s="58" t="str">
        <f>"1477741X"</f>
        <v>1477741X</v>
      </c>
      <c r="D2569" s="58" t="str">
        <f>"14778378"</f>
        <v>14778378</v>
      </c>
      <c r="E2569" s="46" t="s">
        <v>55</v>
      </c>
      <c r="F2569" s="46" t="s">
        <v>50646</v>
      </c>
      <c r="G2569" s="46" t="s">
        <v>50584</v>
      </c>
      <c r="H2569" s="48" t="s">
        <v>56716</v>
      </c>
      <c r="I2569" s="48" t="s">
        <v>50564</v>
      </c>
      <c r="J2569" s="48" t="s">
        <v>56716</v>
      </c>
      <c r="K2569" s="50"/>
      <c r="L2569" s="48"/>
    </row>
    <row r="2570" spans="1:12" s="37" customFormat="1" ht="11.25" x14ac:dyDescent="0.2">
      <c r="A2570" s="46" t="s">
        <v>10580</v>
      </c>
      <c r="B2570" s="46" t="s">
        <v>10580</v>
      </c>
      <c r="C2570" s="58" t="str">
        <f>"16129059"</f>
        <v>16129059</v>
      </c>
      <c r="D2570" s="58" t="str">
        <f>"16129067"</f>
        <v>16129067</v>
      </c>
      <c r="E2570" s="46" t="s">
        <v>23335</v>
      </c>
      <c r="F2570" s="46" t="s">
        <v>18242</v>
      </c>
      <c r="G2570" s="46" t="s">
        <v>50584</v>
      </c>
      <c r="H2570" s="48" t="s">
        <v>56716</v>
      </c>
      <c r="I2570" s="48" t="s">
        <v>50564</v>
      </c>
      <c r="J2570" s="48" t="s">
        <v>56716</v>
      </c>
      <c r="K2570" s="50" t="s">
        <v>56716</v>
      </c>
      <c r="L2570" s="48"/>
    </row>
    <row r="2571" spans="1:12" s="37" customFormat="1" ht="11.25" x14ac:dyDescent="0.2">
      <c r="A2571" s="46" t="s">
        <v>16340</v>
      </c>
      <c r="B2571" s="46" t="s">
        <v>52360</v>
      </c>
      <c r="C2571" s="58" t="str">
        <f>""</f>
        <v/>
      </c>
      <c r="D2571" s="58" t="str">
        <f>"22128263"</f>
        <v>22128263</v>
      </c>
      <c r="E2571" s="46" t="s">
        <v>155</v>
      </c>
      <c r="F2571" s="46" t="s">
        <v>50646</v>
      </c>
      <c r="G2571" s="46" t="s">
        <v>50584</v>
      </c>
      <c r="H2571" s="48" t="s">
        <v>56716</v>
      </c>
      <c r="I2571" s="48" t="s">
        <v>50564</v>
      </c>
      <c r="J2571" s="48"/>
      <c r="K2571" s="50"/>
      <c r="L2571" s="48"/>
    </row>
    <row r="2572" spans="1:12" s="37" customFormat="1" ht="11.25" x14ac:dyDescent="0.2">
      <c r="A2572" s="46" t="s">
        <v>17289</v>
      </c>
      <c r="B2572" s="46" t="s">
        <v>52361</v>
      </c>
      <c r="C2572" s="58" t="str">
        <f>"11289155"</f>
        <v>11289155</v>
      </c>
      <c r="D2572" s="58" t="str">
        <f>""</f>
        <v/>
      </c>
      <c r="E2572" s="46" t="s">
        <v>1708</v>
      </c>
      <c r="F2572" s="46" t="s">
        <v>17991</v>
      </c>
      <c r="G2572" s="46" t="s">
        <v>50602</v>
      </c>
      <c r="H2572" s="48" t="s">
        <v>56716</v>
      </c>
      <c r="I2572" s="48" t="s">
        <v>50564</v>
      </c>
      <c r="J2572" s="48"/>
      <c r="K2572" s="50"/>
      <c r="L2572" s="48"/>
    </row>
    <row r="2573" spans="1:12" s="37" customFormat="1" ht="11.25" x14ac:dyDescent="0.2">
      <c r="A2573" s="45" t="s">
        <v>28314</v>
      </c>
      <c r="B2573" s="45" t="s">
        <v>28316</v>
      </c>
      <c r="C2573" s="51" t="s">
        <v>28318</v>
      </c>
      <c r="D2573" s="51" t="s">
        <v>28317</v>
      </c>
      <c r="E2573" s="45" t="s">
        <v>28319</v>
      </c>
      <c r="F2573" s="45" t="s">
        <v>50646</v>
      </c>
      <c r="G2573" s="45" t="s">
        <v>50584</v>
      </c>
      <c r="H2573" s="56"/>
      <c r="I2573" s="56" t="s">
        <v>50564</v>
      </c>
      <c r="J2573" s="56"/>
      <c r="K2573" s="50"/>
      <c r="L2573" s="56" t="s">
        <v>56716</v>
      </c>
    </row>
    <row r="2574" spans="1:12" s="37" customFormat="1" ht="11.25" x14ac:dyDescent="0.2">
      <c r="A2574" s="46" t="s">
        <v>10857</v>
      </c>
      <c r="B2574" s="46" t="s">
        <v>52362</v>
      </c>
      <c r="C2574" s="58" t="str">
        <f>"1523150X"</f>
        <v>1523150X</v>
      </c>
      <c r="D2574" s="58" t="str">
        <f>"19389000"</f>
        <v>19389000</v>
      </c>
      <c r="E2574" s="46" t="s">
        <v>4289</v>
      </c>
      <c r="F2574" s="46" t="s">
        <v>17759</v>
      </c>
      <c r="G2574" s="46" t="s">
        <v>50584</v>
      </c>
      <c r="H2574" s="48" t="s">
        <v>56716</v>
      </c>
      <c r="I2574" s="48" t="s">
        <v>50564</v>
      </c>
      <c r="J2574" s="48" t="s">
        <v>56716</v>
      </c>
      <c r="K2574" s="50"/>
      <c r="L2574" s="48"/>
    </row>
    <row r="2575" spans="1:12" s="37" customFormat="1" ht="11.25" x14ac:dyDescent="0.2">
      <c r="A2575" s="46" t="s">
        <v>16596</v>
      </c>
      <c r="B2575" s="46" t="s">
        <v>52363</v>
      </c>
      <c r="C2575" s="58" t="str">
        <f>"2151805X"</f>
        <v>2151805X</v>
      </c>
      <c r="D2575" s="58" t="str">
        <f>"21518068"</f>
        <v>21518068</v>
      </c>
      <c r="E2575" s="46" t="s">
        <v>1278</v>
      </c>
      <c r="F2575" s="46" t="s">
        <v>17759</v>
      </c>
      <c r="G2575" s="46" t="s">
        <v>50584</v>
      </c>
      <c r="H2575" s="48" t="s">
        <v>56716</v>
      </c>
      <c r="I2575" s="48" t="s">
        <v>50564</v>
      </c>
      <c r="J2575" s="48" t="s">
        <v>56716</v>
      </c>
      <c r="K2575" s="50"/>
      <c r="L2575" s="48"/>
    </row>
    <row r="2576" spans="1:12" s="37" customFormat="1" ht="11.25" x14ac:dyDescent="0.2">
      <c r="A2576" s="45" t="s">
        <v>28329</v>
      </c>
      <c r="B2576" s="45" t="s">
        <v>28331</v>
      </c>
      <c r="C2576" s="51" t="s">
        <v>28333</v>
      </c>
      <c r="D2576" s="51"/>
      <c r="E2576" s="45" t="s">
        <v>28334</v>
      </c>
      <c r="F2576" s="45" t="s">
        <v>28335</v>
      </c>
      <c r="G2576" s="45" t="s">
        <v>50584</v>
      </c>
      <c r="H2576" s="56"/>
      <c r="I2576" s="56" t="s">
        <v>50564</v>
      </c>
      <c r="J2576" s="56"/>
      <c r="K2576" s="50"/>
      <c r="L2576" s="56" t="s">
        <v>56716</v>
      </c>
    </row>
    <row r="2577" spans="1:12" s="37" customFormat="1" ht="11.25" x14ac:dyDescent="0.2">
      <c r="A2577" s="45" t="s">
        <v>28337</v>
      </c>
      <c r="B2577" s="45" t="s">
        <v>28339</v>
      </c>
      <c r="C2577" s="51" t="s">
        <v>28340</v>
      </c>
      <c r="D2577" s="51"/>
      <c r="E2577" s="45" t="s">
        <v>28341</v>
      </c>
      <c r="F2577" s="45" t="s">
        <v>28335</v>
      </c>
      <c r="G2577" s="45" t="s">
        <v>50584</v>
      </c>
      <c r="H2577" s="56"/>
      <c r="I2577" s="56" t="s">
        <v>50564</v>
      </c>
      <c r="J2577" s="56"/>
      <c r="K2577" s="50"/>
      <c r="L2577" s="56" t="s">
        <v>56716</v>
      </c>
    </row>
    <row r="2578" spans="1:12" s="37" customFormat="1" ht="11.25" x14ac:dyDescent="0.2">
      <c r="A2578" s="46" t="s">
        <v>13712</v>
      </c>
      <c r="B2578" s="46" t="s">
        <v>52364</v>
      </c>
      <c r="C2578" s="58" t="str">
        <f>"10295933"</f>
        <v>10295933</v>
      </c>
      <c r="D2578" s="58" t="str">
        <f>""</f>
        <v/>
      </c>
      <c r="E2578" s="46" t="s">
        <v>13712</v>
      </c>
      <c r="F2578" s="46" t="s">
        <v>24311</v>
      </c>
      <c r="G2578" s="46" t="s">
        <v>50584</v>
      </c>
      <c r="H2578" s="48" t="s">
        <v>56716</v>
      </c>
      <c r="I2578" s="48" t="s">
        <v>50564</v>
      </c>
      <c r="J2578" s="48"/>
      <c r="K2578" s="50"/>
      <c r="L2578" s="48"/>
    </row>
    <row r="2579" spans="1:12" s="37" customFormat="1" ht="11.25" x14ac:dyDescent="0.2">
      <c r="A2579" s="45" t="s">
        <v>28349</v>
      </c>
      <c r="B2579" s="45" t="s">
        <v>28351</v>
      </c>
      <c r="C2579" s="51" t="s">
        <v>28353</v>
      </c>
      <c r="D2579" s="51" t="s">
        <v>28352</v>
      </c>
      <c r="E2579" s="45" t="s">
        <v>291</v>
      </c>
      <c r="F2579" s="45" t="s">
        <v>50646</v>
      </c>
      <c r="G2579" s="45" t="s">
        <v>50584</v>
      </c>
      <c r="H2579" s="56"/>
      <c r="I2579" s="56" t="s">
        <v>50564</v>
      </c>
      <c r="J2579" s="56"/>
      <c r="K2579" s="50"/>
      <c r="L2579" s="56" t="s">
        <v>56716</v>
      </c>
    </row>
    <row r="2580" spans="1:12" s="37" customFormat="1" ht="11.25" x14ac:dyDescent="0.2">
      <c r="A2580" s="46" t="s">
        <v>9115</v>
      </c>
      <c r="B2580" s="46" t="s">
        <v>52365</v>
      </c>
      <c r="C2580" s="58" t="str">
        <f>"1049510X"</f>
        <v>1049510X</v>
      </c>
      <c r="D2580" s="58" t="str">
        <f>""</f>
        <v/>
      </c>
      <c r="E2580" s="46" t="s">
        <v>9117</v>
      </c>
      <c r="F2580" s="46" t="s">
        <v>17759</v>
      </c>
      <c r="G2580" s="46" t="s">
        <v>50584</v>
      </c>
      <c r="H2580" s="48" t="s">
        <v>56716</v>
      </c>
      <c r="I2580" s="48" t="s">
        <v>50564</v>
      </c>
      <c r="J2580" s="48"/>
      <c r="K2580" s="50"/>
      <c r="L2580" s="48" t="s">
        <v>56716</v>
      </c>
    </row>
    <row r="2581" spans="1:12" s="37" customFormat="1" ht="11.25" x14ac:dyDescent="0.2">
      <c r="A2581" s="45" t="s">
        <v>28355</v>
      </c>
      <c r="B2581" s="45" t="s">
        <v>28357</v>
      </c>
      <c r="C2581" s="51" t="s">
        <v>28359</v>
      </c>
      <c r="D2581" s="51" t="s">
        <v>28358</v>
      </c>
      <c r="E2581" s="45" t="s">
        <v>441</v>
      </c>
      <c r="F2581" s="45" t="s">
        <v>17759</v>
      </c>
      <c r="G2581" s="45" t="s">
        <v>50584</v>
      </c>
      <c r="H2581" s="56"/>
      <c r="I2581" s="56" t="s">
        <v>50564</v>
      </c>
      <c r="J2581" s="56"/>
      <c r="K2581" s="50"/>
      <c r="L2581" s="56" t="s">
        <v>56716</v>
      </c>
    </row>
    <row r="2582" spans="1:12" s="37" customFormat="1" ht="11.25" x14ac:dyDescent="0.2">
      <c r="A2582" s="46" t="s">
        <v>17105</v>
      </c>
      <c r="B2582" s="46" t="s">
        <v>17105</v>
      </c>
      <c r="C2582" s="58" t="str">
        <f>"22129685"</f>
        <v>22129685</v>
      </c>
      <c r="D2582" s="58" t="str">
        <f>"22129685"</f>
        <v>22129685</v>
      </c>
      <c r="E2582" s="46" t="s">
        <v>91</v>
      </c>
      <c r="F2582" s="46" t="s">
        <v>18001</v>
      </c>
      <c r="G2582" s="46" t="s">
        <v>50584</v>
      </c>
      <c r="H2582" s="48" t="s">
        <v>56716</v>
      </c>
      <c r="I2582" s="48" t="s">
        <v>50564</v>
      </c>
      <c r="J2582" s="48" t="s">
        <v>56716</v>
      </c>
      <c r="K2582" s="50" t="s">
        <v>56716</v>
      </c>
      <c r="L2582" s="48"/>
    </row>
    <row r="2583" spans="1:12" s="37" customFormat="1" ht="11.25" x14ac:dyDescent="0.2">
      <c r="A2583" s="46" t="s">
        <v>15423</v>
      </c>
      <c r="B2583" s="46" t="s">
        <v>52366</v>
      </c>
      <c r="C2583" s="58" t="str">
        <f>"13063057"</f>
        <v>13063057</v>
      </c>
      <c r="D2583" s="58" t="str">
        <f>"13063057"</f>
        <v>13063057</v>
      </c>
      <c r="E2583" s="46" t="s">
        <v>15423</v>
      </c>
      <c r="F2583" s="46" t="s">
        <v>18396</v>
      </c>
      <c r="G2583" s="46" t="s">
        <v>50584</v>
      </c>
      <c r="H2583" s="48" t="s">
        <v>56716</v>
      </c>
      <c r="I2583" s="48" t="s">
        <v>50564</v>
      </c>
      <c r="J2583" s="48"/>
      <c r="K2583" s="50"/>
      <c r="L2583" s="48"/>
    </row>
    <row r="2584" spans="1:12" s="37" customFormat="1" ht="11.25" x14ac:dyDescent="0.2">
      <c r="A2584" s="46" t="s">
        <v>11449</v>
      </c>
      <c r="B2584" s="46" t="s">
        <v>52367</v>
      </c>
      <c r="C2584" s="58" t="str">
        <f>"16874145"</f>
        <v>16874145</v>
      </c>
      <c r="D2584" s="58" t="str">
        <f>"16874153"</f>
        <v>16874153</v>
      </c>
      <c r="E2584" s="46" t="s">
        <v>167</v>
      </c>
      <c r="F2584" s="46" t="s">
        <v>18158</v>
      </c>
      <c r="G2584" s="46" t="s">
        <v>50584</v>
      </c>
      <c r="H2584" s="48" t="s">
        <v>56716</v>
      </c>
      <c r="I2584" s="48" t="s">
        <v>50564</v>
      </c>
      <c r="J2584" s="48"/>
      <c r="K2584" s="50"/>
      <c r="L2584" s="48"/>
    </row>
    <row r="2585" spans="1:12" s="37" customFormat="1" ht="11.25" x14ac:dyDescent="0.2">
      <c r="A2585" s="46" t="s">
        <v>13027</v>
      </c>
      <c r="B2585" s="46" t="s">
        <v>13027</v>
      </c>
      <c r="C2585" s="58" t="str">
        <f>"1774024X"</f>
        <v>1774024X</v>
      </c>
      <c r="D2585" s="58" t="str">
        <f>"19696213"</f>
        <v>19696213</v>
      </c>
      <c r="E2585" s="46" t="s">
        <v>13030</v>
      </c>
      <c r="F2585" s="46" t="s">
        <v>20359</v>
      </c>
      <c r="G2585" s="46" t="s">
        <v>50584</v>
      </c>
      <c r="H2585" s="48" t="s">
        <v>56716</v>
      </c>
      <c r="I2585" s="48" t="s">
        <v>50564</v>
      </c>
      <c r="J2585" s="48"/>
      <c r="K2585" s="50"/>
      <c r="L2585" s="48" t="s">
        <v>56716</v>
      </c>
    </row>
    <row r="2586" spans="1:12" s="37" customFormat="1" ht="11.25" x14ac:dyDescent="0.2">
      <c r="A2586" s="46" t="s">
        <v>8692</v>
      </c>
      <c r="B2586" s="46" t="s">
        <v>8692</v>
      </c>
      <c r="C2586" s="58" t="str">
        <f>"10995129"</f>
        <v>10995129</v>
      </c>
      <c r="D2586" s="58" t="str">
        <f>"15322092"</f>
        <v>15322092</v>
      </c>
      <c r="E2586" s="46" t="s">
        <v>55</v>
      </c>
      <c r="F2586" s="46" t="s">
        <v>50646</v>
      </c>
      <c r="G2586" s="46" t="s">
        <v>50584</v>
      </c>
      <c r="H2586" s="48" t="s">
        <v>56716</v>
      </c>
      <c r="I2586" s="48" t="s">
        <v>50564</v>
      </c>
      <c r="J2586" s="48" t="s">
        <v>56716</v>
      </c>
      <c r="K2586" s="50"/>
      <c r="L2586" s="48" t="s">
        <v>56716</v>
      </c>
    </row>
    <row r="2587" spans="1:12" s="37" customFormat="1" ht="11.25" x14ac:dyDescent="0.2">
      <c r="A2587" s="46" t="s">
        <v>6573</v>
      </c>
      <c r="B2587" s="46" t="s">
        <v>52368</v>
      </c>
      <c r="C2587" s="58" t="str">
        <f>"10226877"</f>
        <v>10226877</v>
      </c>
      <c r="D2587" s="58" t="str">
        <f>"14219891"</f>
        <v>14219891</v>
      </c>
      <c r="E2587" s="46" t="s">
        <v>109</v>
      </c>
      <c r="F2587" s="46" t="s">
        <v>18123</v>
      </c>
      <c r="G2587" s="46" t="s">
        <v>50584</v>
      </c>
      <c r="H2587" s="48" t="s">
        <v>56716</v>
      </c>
      <c r="I2587" s="48" t="s">
        <v>50564</v>
      </c>
      <c r="J2587" s="48" t="s">
        <v>56716</v>
      </c>
      <c r="K2587" s="50" t="s">
        <v>56716</v>
      </c>
      <c r="L2587" s="48" t="s">
        <v>56716</v>
      </c>
    </row>
    <row r="2588" spans="1:12" s="37" customFormat="1" ht="11.25" x14ac:dyDescent="0.2">
      <c r="A2588" s="46" t="s">
        <v>9585</v>
      </c>
      <c r="B2588" s="46" t="s">
        <v>52369</v>
      </c>
      <c r="C2588" s="58" t="str">
        <f>"17641489"</f>
        <v>17641489</v>
      </c>
      <c r="D2588" s="58" t="str">
        <f>""</f>
        <v/>
      </c>
      <c r="E2588" s="46" t="s">
        <v>50674</v>
      </c>
      <c r="F2588" s="46" t="s">
        <v>17991</v>
      </c>
      <c r="G2588" s="46" t="s">
        <v>50591</v>
      </c>
      <c r="H2588" s="48" t="s">
        <v>56716</v>
      </c>
      <c r="I2588" s="48" t="s">
        <v>50564</v>
      </c>
      <c r="J2588" s="48"/>
      <c r="K2588" s="50"/>
      <c r="L2588" s="48" t="s">
        <v>56716</v>
      </c>
    </row>
    <row r="2589" spans="1:12" s="37" customFormat="1" ht="11.25" x14ac:dyDescent="0.2">
      <c r="A2589" s="46" t="s">
        <v>14524</v>
      </c>
      <c r="B2589" s="46" t="s">
        <v>52370</v>
      </c>
      <c r="C2589" s="58" t="str">
        <f>"18797296"</f>
        <v>18797296</v>
      </c>
      <c r="D2589" s="58" t="str">
        <f>""</f>
        <v/>
      </c>
      <c r="E2589" s="46" t="s">
        <v>85</v>
      </c>
      <c r="F2589" s="46" t="s">
        <v>20359</v>
      </c>
      <c r="G2589" s="46" t="s">
        <v>50584</v>
      </c>
      <c r="H2589" s="48" t="s">
        <v>56716</v>
      </c>
      <c r="I2589" s="48" t="s">
        <v>50564</v>
      </c>
      <c r="J2589" s="48" t="s">
        <v>56716</v>
      </c>
      <c r="K2589" s="50" t="s">
        <v>56716</v>
      </c>
      <c r="L2589" s="48" t="s">
        <v>56716</v>
      </c>
    </row>
    <row r="2590" spans="1:12" s="37" customFormat="1" ht="11.25" x14ac:dyDescent="0.2">
      <c r="A2590" s="46" t="s">
        <v>5189</v>
      </c>
      <c r="B2590" s="46" t="s">
        <v>52371</v>
      </c>
      <c r="C2590" s="58" t="str">
        <f>"09374477"</f>
        <v>09374477</v>
      </c>
      <c r="D2590" s="58" t="str">
        <f>"14344726"</f>
        <v>14344726</v>
      </c>
      <c r="E2590" s="46" t="s">
        <v>167</v>
      </c>
      <c r="F2590" s="46" t="s">
        <v>18158</v>
      </c>
      <c r="G2590" s="46" t="s">
        <v>50584</v>
      </c>
      <c r="H2590" s="48" t="s">
        <v>56716</v>
      </c>
      <c r="I2590" s="48" t="s">
        <v>50564</v>
      </c>
      <c r="J2590" s="48" t="s">
        <v>56716</v>
      </c>
      <c r="K2590" s="50" t="s">
        <v>56716</v>
      </c>
      <c r="L2590" s="48" t="s">
        <v>56716</v>
      </c>
    </row>
    <row r="2591" spans="1:12" s="37" customFormat="1" ht="11.25" x14ac:dyDescent="0.2">
      <c r="A2591" s="45" t="s">
        <v>28394</v>
      </c>
      <c r="B2591" s="45" t="s">
        <v>28396</v>
      </c>
      <c r="C2591" s="51" t="s">
        <v>28398</v>
      </c>
      <c r="D2591" s="51" t="s">
        <v>56558</v>
      </c>
      <c r="E2591" s="45" t="s">
        <v>17783</v>
      </c>
      <c r="F2591" s="45" t="s">
        <v>50646</v>
      </c>
      <c r="G2591" s="45" t="s">
        <v>50584</v>
      </c>
      <c r="H2591" s="56"/>
      <c r="I2591" s="56" t="s">
        <v>50564</v>
      </c>
      <c r="J2591" s="56"/>
      <c r="K2591" s="50"/>
      <c r="L2591" s="56" t="s">
        <v>56716</v>
      </c>
    </row>
    <row r="2592" spans="1:12" s="37" customFormat="1" ht="11.25" x14ac:dyDescent="0.2">
      <c r="A2592" s="46" t="s">
        <v>5469</v>
      </c>
      <c r="B2592" s="46" t="s">
        <v>52372</v>
      </c>
      <c r="C2592" s="58" t="str">
        <f>"09401334"</f>
        <v>09401334</v>
      </c>
      <c r="D2592" s="58" t="str">
        <f>"14338491"</f>
        <v>14338491</v>
      </c>
      <c r="E2592" s="46" t="s">
        <v>55961</v>
      </c>
      <c r="F2592" s="46" t="s">
        <v>18158</v>
      </c>
      <c r="G2592" s="46" t="s">
        <v>50584</v>
      </c>
      <c r="H2592" s="48" t="s">
        <v>56716</v>
      </c>
      <c r="I2592" s="48" t="s">
        <v>50564</v>
      </c>
      <c r="J2592" s="48" t="s">
        <v>56716</v>
      </c>
      <c r="K2592" s="50" t="s">
        <v>56716</v>
      </c>
      <c r="L2592" s="48" t="s">
        <v>56716</v>
      </c>
    </row>
    <row r="2593" spans="1:12" s="37" customFormat="1" ht="11.25" x14ac:dyDescent="0.2">
      <c r="A2593" s="46" t="s">
        <v>16832</v>
      </c>
      <c r="B2593" s="46" t="s">
        <v>52373</v>
      </c>
      <c r="C2593" s="58" t="str">
        <f>""</f>
        <v/>
      </c>
      <c r="D2593" s="58" t="str">
        <f>"22243453"</f>
        <v>22243453</v>
      </c>
      <c r="E2593" s="46" t="s">
        <v>7866</v>
      </c>
      <c r="F2593" s="46" t="s">
        <v>18288</v>
      </c>
      <c r="G2593" s="46" t="s">
        <v>50584</v>
      </c>
      <c r="H2593" s="48" t="s">
        <v>56716</v>
      </c>
      <c r="I2593" s="48" t="s">
        <v>50564</v>
      </c>
      <c r="J2593" s="48"/>
      <c r="K2593" s="50"/>
      <c r="L2593" s="48"/>
    </row>
    <row r="2594" spans="1:12" s="37" customFormat="1" ht="11.25" x14ac:dyDescent="0.2">
      <c r="A2594" s="46" t="s">
        <v>1452</v>
      </c>
      <c r="B2594" s="46" t="s">
        <v>52374</v>
      </c>
      <c r="C2594" s="58" t="str">
        <f>"01757571"</f>
        <v>01757571</v>
      </c>
      <c r="D2594" s="58" t="str">
        <f>"14321017"</f>
        <v>14321017</v>
      </c>
      <c r="E2594" s="46" t="s">
        <v>167</v>
      </c>
      <c r="F2594" s="46" t="s">
        <v>18158</v>
      </c>
      <c r="G2594" s="46" t="s">
        <v>50584</v>
      </c>
      <c r="H2594" s="48" t="s">
        <v>56716</v>
      </c>
      <c r="I2594" s="48" t="s">
        <v>50564</v>
      </c>
      <c r="J2594" s="48" t="s">
        <v>56716</v>
      </c>
      <c r="K2594" s="50" t="s">
        <v>56716</v>
      </c>
      <c r="L2594" s="48" t="s">
        <v>56716</v>
      </c>
    </row>
    <row r="2595" spans="1:12" s="37" customFormat="1" ht="11.25" x14ac:dyDescent="0.2">
      <c r="A2595" s="46" t="s">
        <v>15123</v>
      </c>
      <c r="B2595" s="46" t="s">
        <v>52375</v>
      </c>
      <c r="C2595" s="58" t="str">
        <f>"17583756"</f>
        <v>17583756</v>
      </c>
      <c r="D2595" s="58" t="str">
        <f>"17583764"</f>
        <v>17583764</v>
      </c>
      <c r="E2595" s="46" t="s">
        <v>12374</v>
      </c>
      <c r="F2595" s="46" t="s">
        <v>50646</v>
      </c>
      <c r="G2595" s="46" t="s">
        <v>50584</v>
      </c>
      <c r="H2595" s="48" t="s">
        <v>56716</v>
      </c>
      <c r="I2595" s="48" t="s">
        <v>50564</v>
      </c>
      <c r="J2595" s="48"/>
      <c r="K2595" s="50"/>
      <c r="L2595" s="48"/>
    </row>
    <row r="2596" spans="1:12" s="37" customFormat="1" ht="11.25" x14ac:dyDescent="0.2">
      <c r="A2596" s="46" t="s">
        <v>10148</v>
      </c>
      <c r="B2596" s="46" t="s">
        <v>52376</v>
      </c>
      <c r="C2596" s="58" t="str">
        <f>"14732262"</f>
        <v>14732262</v>
      </c>
      <c r="D2596" s="58" t="str">
        <f>""</f>
        <v/>
      </c>
      <c r="E2596" s="46" t="s">
        <v>10150</v>
      </c>
      <c r="F2596" s="46" t="s">
        <v>18123</v>
      </c>
      <c r="G2596" s="46" t="s">
        <v>50584</v>
      </c>
      <c r="H2596" s="48" t="s">
        <v>56716</v>
      </c>
      <c r="I2596" s="48" t="s">
        <v>50564</v>
      </c>
      <c r="J2596" s="48"/>
      <c r="K2596" s="50"/>
      <c r="L2596" s="48" t="s">
        <v>56716</v>
      </c>
    </row>
    <row r="2597" spans="1:12" s="37" customFormat="1" ht="11.25" x14ac:dyDescent="0.2">
      <c r="A2597" s="46" t="s">
        <v>6174</v>
      </c>
      <c r="B2597" s="46" t="s">
        <v>52377</v>
      </c>
      <c r="C2597" s="58" t="str">
        <f>"10188827"</f>
        <v>10188827</v>
      </c>
      <c r="D2597" s="58" t="str">
        <f>"1435165X"</f>
        <v>1435165X</v>
      </c>
      <c r="E2597" s="46" t="s">
        <v>55961</v>
      </c>
      <c r="F2597" s="46" t="s">
        <v>18158</v>
      </c>
      <c r="G2597" s="46" t="s">
        <v>50584</v>
      </c>
      <c r="H2597" s="48" t="s">
        <v>56716</v>
      </c>
      <c r="I2597" s="48" t="s">
        <v>50564</v>
      </c>
      <c r="J2597" s="48"/>
      <c r="K2597" s="50" t="s">
        <v>56716</v>
      </c>
      <c r="L2597" s="48" t="s">
        <v>56716</v>
      </c>
    </row>
    <row r="2598" spans="1:12" s="37" customFormat="1" ht="11.25" x14ac:dyDescent="0.2">
      <c r="A2598" s="46" t="s">
        <v>5691</v>
      </c>
      <c r="B2598" s="46" t="s">
        <v>52378</v>
      </c>
      <c r="C2598" s="58" t="str">
        <f>"11485493"</f>
        <v>11485493</v>
      </c>
      <c r="D2598" s="58" t="str">
        <f>""</f>
        <v/>
      </c>
      <c r="E2598" s="46" t="s">
        <v>948</v>
      </c>
      <c r="F2598" s="46" t="s">
        <v>20359</v>
      </c>
      <c r="G2598" s="46" t="s">
        <v>50584</v>
      </c>
      <c r="H2598" s="48" t="s">
        <v>56716</v>
      </c>
      <c r="I2598" s="48" t="s">
        <v>50564</v>
      </c>
      <c r="J2598" s="48"/>
      <c r="K2598" s="50"/>
      <c r="L2598" s="48" t="s">
        <v>56716</v>
      </c>
    </row>
    <row r="2599" spans="1:12" s="37" customFormat="1" ht="11.25" x14ac:dyDescent="0.2">
      <c r="A2599" s="46" t="s">
        <v>6215</v>
      </c>
      <c r="B2599" s="46" t="s">
        <v>52379</v>
      </c>
      <c r="C2599" s="58" t="str">
        <f>"10724133"</f>
        <v>10724133</v>
      </c>
      <c r="D2599" s="58" t="str">
        <f>"10990968"</f>
        <v>10990968</v>
      </c>
      <c r="E2599" s="46" t="s">
        <v>751</v>
      </c>
      <c r="F2599" s="46" t="s">
        <v>50646</v>
      </c>
      <c r="G2599" s="46" t="s">
        <v>50584</v>
      </c>
      <c r="H2599" s="48" t="s">
        <v>56716</v>
      </c>
      <c r="I2599" s="48" t="s">
        <v>50564</v>
      </c>
      <c r="J2599" s="48"/>
      <c r="K2599" s="50" t="s">
        <v>56716</v>
      </c>
      <c r="L2599" s="48" t="s">
        <v>56716</v>
      </c>
    </row>
    <row r="2600" spans="1:12" s="37" customFormat="1" ht="11.25" x14ac:dyDescent="0.2">
      <c r="A2600" s="46" t="s">
        <v>14945</v>
      </c>
      <c r="B2600" s="46" t="s">
        <v>52380</v>
      </c>
      <c r="C2600" s="58" t="str">
        <f>"17583772"</f>
        <v>17583772</v>
      </c>
      <c r="D2600" s="58" t="str">
        <f>"17583780"</f>
        <v>17583780</v>
      </c>
      <c r="E2600" s="46" t="s">
        <v>12374</v>
      </c>
      <c r="F2600" s="46" t="s">
        <v>50646</v>
      </c>
      <c r="G2600" s="46" t="s">
        <v>50584</v>
      </c>
      <c r="H2600" s="48" t="s">
        <v>56716</v>
      </c>
      <c r="I2600" s="48" t="s">
        <v>50564</v>
      </c>
      <c r="J2600" s="48"/>
      <c r="K2600" s="50"/>
      <c r="L2600" s="48"/>
    </row>
    <row r="2601" spans="1:12" s="37" customFormat="1" ht="11.25" x14ac:dyDescent="0.2">
      <c r="A2601" s="46" t="s">
        <v>14943</v>
      </c>
      <c r="B2601" s="46" t="s">
        <v>52381</v>
      </c>
      <c r="C2601" s="58" t="str">
        <f>"17583799"</f>
        <v>17583799</v>
      </c>
      <c r="D2601" s="58" t="str">
        <f>"17583802"</f>
        <v>17583802</v>
      </c>
      <c r="E2601" s="46" t="s">
        <v>12374</v>
      </c>
      <c r="F2601" s="46" t="s">
        <v>50646</v>
      </c>
      <c r="G2601" s="46" t="s">
        <v>50584</v>
      </c>
      <c r="H2601" s="48" t="s">
        <v>56716</v>
      </c>
      <c r="I2601" s="48" t="s">
        <v>50564</v>
      </c>
      <c r="J2601" s="48"/>
      <c r="K2601" s="50"/>
      <c r="L2601" s="48"/>
    </row>
    <row r="2602" spans="1:12" s="37" customFormat="1" ht="11.25" x14ac:dyDescent="0.2">
      <c r="A2602" s="46" t="s">
        <v>14527</v>
      </c>
      <c r="B2602" s="46" t="s">
        <v>52382</v>
      </c>
      <c r="C2602" s="58" t="str">
        <f>"18787649"</f>
        <v>18787649</v>
      </c>
      <c r="D2602" s="58" t="str">
        <f>""</f>
        <v/>
      </c>
      <c r="E2602" s="46" t="s">
        <v>85</v>
      </c>
      <c r="F2602" s="46" t="s">
        <v>20359</v>
      </c>
      <c r="G2602" s="46" t="s">
        <v>50584</v>
      </c>
      <c r="H2602" s="48" t="s">
        <v>56716</v>
      </c>
      <c r="I2602" s="48" t="s">
        <v>50564</v>
      </c>
      <c r="J2602" s="48" t="s">
        <v>56716</v>
      </c>
      <c r="K2602" s="50" t="s">
        <v>56716</v>
      </c>
      <c r="L2602" s="48"/>
    </row>
    <row r="2603" spans="1:12" s="37" customFormat="1" ht="11.25" x14ac:dyDescent="0.2">
      <c r="A2603" s="46" t="s">
        <v>1470</v>
      </c>
      <c r="B2603" s="46" t="s">
        <v>52383</v>
      </c>
      <c r="C2603" s="58" t="str">
        <f>"0195668X"</f>
        <v>0195668X</v>
      </c>
      <c r="D2603" s="58" t="str">
        <f>"15229645"</f>
        <v>15229645</v>
      </c>
      <c r="E2603" s="46" t="s">
        <v>55</v>
      </c>
      <c r="F2603" s="46" t="s">
        <v>50646</v>
      </c>
      <c r="G2603" s="46" t="s">
        <v>50584</v>
      </c>
      <c r="H2603" s="48" t="s">
        <v>56716</v>
      </c>
      <c r="I2603" s="48" t="s">
        <v>50564</v>
      </c>
      <c r="J2603" s="48" t="s">
        <v>56716</v>
      </c>
      <c r="K2603" s="50"/>
      <c r="L2603" s="48" t="s">
        <v>56716</v>
      </c>
    </row>
    <row r="2604" spans="1:12" s="37" customFormat="1" ht="11.25" x14ac:dyDescent="0.2">
      <c r="A2604" s="46" t="s">
        <v>16247</v>
      </c>
      <c r="B2604" s="46" t="s">
        <v>52384</v>
      </c>
      <c r="C2604" s="58" t="str">
        <f>"20472404"</f>
        <v>20472404</v>
      </c>
      <c r="D2604" s="58" t="str">
        <f>"20472412"</f>
        <v>20472412</v>
      </c>
      <c r="E2604" s="46" t="s">
        <v>55</v>
      </c>
      <c r="F2604" s="46" t="s">
        <v>50646</v>
      </c>
      <c r="G2604" s="46" t="s">
        <v>50584</v>
      </c>
      <c r="H2604" s="48" t="s">
        <v>56716</v>
      </c>
      <c r="I2604" s="48" t="s">
        <v>50564</v>
      </c>
      <c r="J2604" s="48" t="s">
        <v>56716</v>
      </c>
      <c r="K2604" s="50"/>
      <c r="L2604" s="48" t="s">
        <v>56716</v>
      </c>
    </row>
    <row r="2605" spans="1:12" s="37" customFormat="1" ht="11.25" x14ac:dyDescent="0.2">
      <c r="A2605" s="46" t="s">
        <v>8204</v>
      </c>
      <c r="B2605" s="46" t="s">
        <v>52385</v>
      </c>
      <c r="C2605" s="58" t="str">
        <f>"1520765X"</f>
        <v>1520765X</v>
      </c>
      <c r="D2605" s="58" t="str">
        <f>"15542815"</f>
        <v>15542815</v>
      </c>
      <c r="E2605" s="46" t="s">
        <v>55</v>
      </c>
      <c r="F2605" s="46" t="s">
        <v>50646</v>
      </c>
      <c r="G2605" s="46" t="s">
        <v>50584</v>
      </c>
      <c r="H2605" s="48" t="s">
        <v>56716</v>
      </c>
      <c r="I2605" s="48" t="s">
        <v>50564</v>
      </c>
      <c r="J2605" s="48" t="s">
        <v>56716</v>
      </c>
      <c r="K2605" s="50"/>
      <c r="L2605" s="48"/>
    </row>
    <row r="2606" spans="1:12" s="37" customFormat="1" ht="11.25" x14ac:dyDescent="0.2">
      <c r="A2606" s="46" t="s">
        <v>16440</v>
      </c>
      <c r="B2606" s="46" t="s">
        <v>52386</v>
      </c>
      <c r="C2606" s="58" t="str">
        <f>"20488726"</f>
        <v>20488726</v>
      </c>
      <c r="D2606" s="58" t="str">
        <f>"20488734"</f>
        <v>20488734</v>
      </c>
      <c r="E2606" s="46" t="s">
        <v>493</v>
      </c>
      <c r="F2606" s="46" t="s">
        <v>50646</v>
      </c>
      <c r="G2606" s="46" t="s">
        <v>50584</v>
      </c>
      <c r="H2606" s="48" t="s">
        <v>56716</v>
      </c>
      <c r="I2606" s="48" t="s">
        <v>50564</v>
      </c>
      <c r="J2606" s="48" t="s">
        <v>56716</v>
      </c>
      <c r="K2606" s="50"/>
      <c r="L2606" s="48" t="s">
        <v>56716</v>
      </c>
    </row>
    <row r="2607" spans="1:12" s="37" customFormat="1" ht="11.25" x14ac:dyDescent="0.2">
      <c r="A2607" s="46" t="s">
        <v>15592</v>
      </c>
      <c r="B2607" s="46" t="s">
        <v>52387</v>
      </c>
      <c r="C2607" s="58" t="str">
        <f>"17551137"</f>
        <v>17551137</v>
      </c>
      <c r="D2607" s="58" t="str">
        <f>"17551145"</f>
        <v>17551145</v>
      </c>
      <c r="E2607" s="46" t="s">
        <v>12374</v>
      </c>
      <c r="F2607" s="46" t="s">
        <v>50646</v>
      </c>
      <c r="G2607" s="46" t="s">
        <v>50584</v>
      </c>
      <c r="H2607" s="48" t="s">
        <v>56716</v>
      </c>
      <c r="I2607" s="48" t="s">
        <v>50564</v>
      </c>
      <c r="J2607" s="48"/>
      <c r="K2607" s="50"/>
      <c r="L2607" s="48"/>
    </row>
    <row r="2608" spans="1:12" s="37" customFormat="1" ht="11.25" x14ac:dyDescent="0.2">
      <c r="A2608" s="46" t="s">
        <v>1473</v>
      </c>
      <c r="B2608" s="46" t="s">
        <v>52388</v>
      </c>
      <c r="C2608" s="58" t="str">
        <f>"02650215"</f>
        <v>02650215</v>
      </c>
      <c r="D2608" s="58" t="str">
        <f>"13652346"</f>
        <v>13652346</v>
      </c>
      <c r="E2608" s="46" t="s">
        <v>28</v>
      </c>
      <c r="F2608" s="46" t="s">
        <v>50646</v>
      </c>
      <c r="G2608" s="46" t="s">
        <v>50584</v>
      </c>
      <c r="H2608" s="48" t="s">
        <v>56716</v>
      </c>
      <c r="I2608" s="48" t="s">
        <v>50564</v>
      </c>
      <c r="J2608" s="48"/>
      <c r="K2608" s="50"/>
      <c r="L2608" s="48" t="s">
        <v>56716</v>
      </c>
    </row>
    <row r="2609" spans="1:12" s="37" customFormat="1" ht="11.25" x14ac:dyDescent="0.2">
      <c r="A2609" s="46" t="s">
        <v>5126</v>
      </c>
      <c r="B2609" s="46" t="s">
        <v>52389</v>
      </c>
      <c r="C2609" s="58" t="str">
        <f>"09521941"</f>
        <v>09521941</v>
      </c>
      <c r="D2609" s="58" t="str">
        <f>""</f>
        <v/>
      </c>
      <c r="E2609" s="46" t="s">
        <v>724</v>
      </c>
      <c r="F2609" s="46" t="s">
        <v>50646</v>
      </c>
      <c r="G2609" s="46" t="s">
        <v>50584</v>
      </c>
      <c r="H2609" s="48" t="s">
        <v>56716</v>
      </c>
      <c r="I2609" s="48" t="s">
        <v>50564</v>
      </c>
      <c r="J2609" s="48"/>
      <c r="K2609" s="50"/>
      <c r="L2609" s="48" t="s">
        <v>56716</v>
      </c>
    </row>
    <row r="2610" spans="1:12" s="37" customFormat="1" ht="11.25" x14ac:dyDescent="0.2">
      <c r="A2610" s="46" t="s">
        <v>6459</v>
      </c>
      <c r="B2610" s="46" t="s">
        <v>52390</v>
      </c>
      <c r="C2610" s="58" t="str">
        <f>"11364890"</f>
        <v>11364890</v>
      </c>
      <c r="D2610" s="58" t="str">
        <f>""</f>
        <v/>
      </c>
      <c r="E2610" s="46" t="s">
        <v>6461</v>
      </c>
      <c r="F2610" s="46" t="s">
        <v>18439</v>
      </c>
      <c r="G2610" s="46" t="s">
        <v>50584</v>
      </c>
      <c r="H2610" s="48" t="s">
        <v>56716</v>
      </c>
      <c r="I2610" s="48" t="s">
        <v>50564</v>
      </c>
      <c r="J2610" s="48"/>
      <c r="K2610" s="50"/>
      <c r="L2610" s="48"/>
    </row>
    <row r="2611" spans="1:12" s="37" customFormat="1" ht="11.25" x14ac:dyDescent="0.2">
      <c r="A2611" s="45" t="s">
        <v>28458</v>
      </c>
      <c r="B2611" s="45" t="s">
        <v>28460</v>
      </c>
      <c r="C2611" s="51" t="s">
        <v>28463</v>
      </c>
      <c r="D2611" s="51" t="s">
        <v>28462</v>
      </c>
      <c r="E2611" s="45" t="s">
        <v>17089</v>
      </c>
      <c r="F2611" s="45" t="s">
        <v>18158</v>
      </c>
      <c r="G2611" s="45" t="s">
        <v>50584</v>
      </c>
      <c r="H2611" s="56"/>
      <c r="I2611" s="56" t="s">
        <v>50564</v>
      </c>
      <c r="J2611" s="56"/>
      <c r="K2611" s="50"/>
      <c r="L2611" s="56" t="s">
        <v>56716</v>
      </c>
    </row>
    <row r="2612" spans="1:12" s="37" customFormat="1" ht="11.25" x14ac:dyDescent="0.2">
      <c r="A2612" s="46" t="s">
        <v>7714</v>
      </c>
      <c r="B2612" s="46" t="s">
        <v>52391</v>
      </c>
      <c r="C2612" s="58" t="str">
        <f>"09598049"</f>
        <v>09598049</v>
      </c>
      <c r="D2612" s="58" t="str">
        <f>"18790852"</f>
        <v>18790852</v>
      </c>
      <c r="E2612" s="46" t="s">
        <v>155</v>
      </c>
      <c r="F2612" s="46" t="s">
        <v>50646</v>
      </c>
      <c r="G2612" s="46" t="s">
        <v>50584</v>
      </c>
      <c r="H2612" s="48" t="s">
        <v>56716</v>
      </c>
      <c r="I2612" s="48" t="s">
        <v>50564</v>
      </c>
      <c r="J2612" s="48" t="s">
        <v>56716</v>
      </c>
      <c r="K2612" s="50" t="s">
        <v>56716</v>
      </c>
      <c r="L2612" s="48" t="s">
        <v>56716</v>
      </c>
    </row>
    <row r="2613" spans="1:12" s="37" customFormat="1" ht="11.25" x14ac:dyDescent="0.2">
      <c r="A2613" s="45" t="s">
        <v>28472</v>
      </c>
      <c r="B2613" s="45" t="s">
        <v>28474</v>
      </c>
      <c r="C2613" s="51" t="s">
        <v>28476</v>
      </c>
      <c r="D2613" s="51" t="s">
        <v>28475</v>
      </c>
      <c r="E2613" s="45" t="s">
        <v>23527</v>
      </c>
      <c r="F2613" s="45" t="s">
        <v>50646</v>
      </c>
      <c r="G2613" s="45" t="s">
        <v>50584</v>
      </c>
      <c r="H2613" s="56"/>
      <c r="I2613" s="56" t="s">
        <v>50564</v>
      </c>
      <c r="J2613" s="56"/>
      <c r="K2613" s="50"/>
      <c r="L2613" s="56" t="s">
        <v>56716</v>
      </c>
    </row>
    <row r="2614" spans="1:12" s="37" customFormat="1" ht="11.25" x14ac:dyDescent="0.2">
      <c r="A2614" s="46" t="s">
        <v>5926</v>
      </c>
      <c r="B2614" s="46" t="s">
        <v>52392</v>
      </c>
      <c r="C2614" s="58" t="str">
        <f>"09598278"</f>
        <v>09598278</v>
      </c>
      <c r="D2614" s="58" t="str">
        <f>"14735709"</f>
        <v>14735709</v>
      </c>
      <c r="E2614" s="46" t="s">
        <v>28</v>
      </c>
      <c r="F2614" s="46" t="s">
        <v>50646</v>
      </c>
      <c r="G2614" s="46" t="s">
        <v>50584</v>
      </c>
      <c r="H2614" s="48" t="s">
        <v>56716</v>
      </c>
      <c r="I2614" s="48" t="s">
        <v>50564</v>
      </c>
      <c r="J2614" s="48" t="s">
        <v>56716</v>
      </c>
      <c r="K2614" s="50" t="s">
        <v>56716</v>
      </c>
      <c r="L2614" s="48" t="s">
        <v>56716</v>
      </c>
    </row>
    <row r="2615" spans="1:12" s="37" customFormat="1" ht="11.25" x14ac:dyDescent="0.2">
      <c r="A2615" s="46" t="s">
        <v>10157</v>
      </c>
      <c r="B2615" s="46" t="s">
        <v>52393</v>
      </c>
      <c r="C2615" s="58" t="str">
        <f>"13596349"</f>
        <v>13596349</v>
      </c>
      <c r="D2615" s="58" t="str">
        <f>"18781217"</f>
        <v>18781217</v>
      </c>
      <c r="E2615" s="46" t="s">
        <v>155</v>
      </c>
      <c r="F2615" s="46" t="s">
        <v>50646</v>
      </c>
      <c r="G2615" s="46" t="s">
        <v>50584</v>
      </c>
      <c r="H2615" s="48" t="s">
        <v>56716</v>
      </c>
      <c r="I2615" s="48" t="s">
        <v>50564</v>
      </c>
      <c r="J2615" s="48" t="s">
        <v>56716</v>
      </c>
      <c r="K2615" s="50"/>
      <c r="L2615" s="48"/>
    </row>
    <row r="2616" spans="1:12" s="37" customFormat="1" ht="11.25" x14ac:dyDescent="0.2">
      <c r="A2616" s="46" t="s">
        <v>7272</v>
      </c>
      <c r="B2616" s="46" t="s">
        <v>52394</v>
      </c>
      <c r="C2616" s="58" t="str">
        <f>"10107940"</f>
        <v>10107940</v>
      </c>
      <c r="D2616" s="58" t="str">
        <f>"1873734X"</f>
        <v>1873734X</v>
      </c>
      <c r="E2616" s="46" t="s">
        <v>7275</v>
      </c>
      <c r="F2616" s="46" t="s">
        <v>50646</v>
      </c>
      <c r="G2616" s="46" t="s">
        <v>50584</v>
      </c>
      <c r="H2616" s="48" t="s">
        <v>56716</v>
      </c>
      <c r="I2616" s="48" t="s">
        <v>50564</v>
      </c>
      <c r="J2616" s="48" t="s">
        <v>56716</v>
      </c>
      <c r="K2616" s="50"/>
      <c r="L2616" s="48" t="s">
        <v>56716</v>
      </c>
    </row>
    <row r="2617" spans="1:12" s="37" customFormat="1" ht="11.25" x14ac:dyDescent="0.2">
      <c r="A2617" s="46" t="s">
        <v>16177</v>
      </c>
      <c r="B2617" s="46" t="s">
        <v>52395</v>
      </c>
      <c r="C2617" s="58" t="str">
        <f>"20424884"</f>
        <v>20424884</v>
      </c>
      <c r="D2617" s="58" t="str">
        <f>"20424892"</f>
        <v>20424892</v>
      </c>
      <c r="E2617" s="46" t="s">
        <v>16180</v>
      </c>
      <c r="F2617" s="46" t="s">
        <v>50646</v>
      </c>
      <c r="G2617" s="46" t="s">
        <v>50584</v>
      </c>
      <c r="H2617" s="48" t="s">
        <v>56716</v>
      </c>
      <c r="I2617" s="48" t="s">
        <v>50564</v>
      </c>
      <c r="J2617" s="48"/>
      <c r="K2617" s="50"/>
      <c r="L2617" s="48"/>
    </row>
    <row r="2618" spans="1:12" s="37" customFormat="1" ht="11.25" x14ac:dyDescent="0.2">
      <c r="A2618" s="46" t="s">
        <v>9423</v>
      </c>
      <c r="B2618" s="46" t="s">
        <v>52396</v>
      </c>
      <c r="C2618" s="58" t="str">
        <f>"14745151"</f>
        <v>14745151</v>
      </c>
      <c r="D2618" s="58" t="str">
        <f>"18731953"</f>
        <v>18731953</v>
      </c>
      <c r="E2618" s="46" t="s">
        <v>493</v>
      </c>
      <c r="F2618" s="46" t="s">
        <v>17759</v>
      </c>
      <c r="G2618" s="46" t="s">
        <v>50584</v>
      </c>
      <c r="H2618" s="48" t="s">
        <v>56716</v>
      </c>
      <c r="I2618" s="48" t="s">
        <v>50564</v>
      </c>
      <c r="J2618" s="48" t="s">
        <v>56716</v>
      </c>
      <c r="K2618" s="50"/>
      <c r="L2618" s="48" t="s">
        <v>56716</v>
      </c>
    </row>
    <row r="2619" spans="1:12" s="37" customFormat="1" ht="11.25" x14ac:dyDescent="0.2">
      <c r="A2619" s="46" t="s">
        <v>56116</v>
      </c>
      <c r="B2619" s="46" t="s">
        <v>56117</v>
      </c>
      <c r="C2619" s="58" t="str">
        <f>""</f>
        <v/>
      </c>
      <c r="D2619" s="58" t="str">
        <f>"22842594"</f>
        <v>22842594</v>
      </c>
      <c r="E2619" s="46" t="s">
        <v>56118</v>
      </c>
      <c r="F2619" s="46" t="s">
        <v>20446</v>
      </c>
      <c r="G2619" s="46" t="s">
        <v>50584</v>
      </c>
      <c r="H2619" s="48" t="s">
        <v>56716</v>
      </c>
      <c r="I2619" s="48" t="s">
        <v>50564</v>
      </c>
      <c r="J2619" s="48"/>
      <c r="K2619" s="50"/>
      <c r="L2619" s="48"/>
    </row>
    <row r="2620" spans="1:12" s="37" customFormat="1" ht="11.25" x14ac:dyDescent="0.2">
      <c r="A2620" s="46" t="s">
        <v>1476</v>
      </c>
      <c r="B2620" s="46" t="s">
        <v>52397</v>
      </c>
      <c r="C2620" s="58" t="str">
        <f>"01719335"</f>
        <v>01719335</v>
      </c>
      <c r="D2620" s="58" t="str">
        <f>"16181298"</f>
        <v>16181298</v>
      </c>
      <c r="E2620" s="46" t="s">
        <v>1479</v>
      </c>
      <c r="F2620" s="46" t="s">
        <v>18158</v>
      </c>
      <c r="G2620" s="46" t="s">
        <v>50584</v>
      </c>
      <c r="H2620" s="48" t="s">
        <v>56716</v>
      </c>
      <c r="I2620" s="48" t="s">
        <v>50564</v>
      </c>
      <c r="J2620" s="48" t="s">
        <v>56716</v>
      </c>
      <c r="K2620" s="50" t="s">
        <v>56716</v>
      </c>
      <c r="L2620" s="48" t="s">
        <v>56716</v>
      </c>
    </row>
    <row r="2621" spans="1:12" s="37" customFormat="1" ht="11.25" x14ac:dyDescent="0.2">
      <c r="A2621" s="46" t="s">
        <v>14654</v>
      </c>
      <c r="B2621" s="46" t="s">
        <v>52398</v>
      </c>
      <c r="C2621" s="58" t="str">
        <f>"17598958"</f>
        <v>17598958</v>
      </c>
      <c r="D2621" s="58" t="str">
        <f>"17598966"</f>
        <v>17598966</v>
      </c>
      <c r="E2621" s="46" t="s">
        <v>14922</v>
      </c>
      <c r="F2621" s="46" t="s">
        <v>50646</v>
      </c>
      <c r="G2621" s="46" t="s">
        <v>50584</v>
      </c>
      <c r="H2621" s="48" t="s">
        <v>56716</v>
      </c>
      <c r="I2621" s="48" t="s">
        <v>50564</v>
      </c>
      <c r="J2621" s="48"/>
      <c r="K2621" s="50"/>
      <c r="L2621" s="48"/>
    </row>
    <row r="2622" spans="1:12" s="37" customFormat="1" ht="11.25" x14ac:dyDescent="0.2">
      <c r="A2622" s="46" t="s">
        <v>1480</v>
      </c>
      <c r="B2622" s="46" t="s">
        <v>52399</v>
      </c>
      <c r="C2622" s="58" t="str">
        <f>"00142972"</f>
        <v>00142972</v>
      </c>
      <c r="D2622" s="58" t="str">
        <f>"13652362"</f>
        <v>13652362</v>
      </c>
      <c r="E2622" s="46" t="s">
        <v>35</v>
      </c>
      <c r="F2622" s="46" t="s">
        <v>50646</v>
      </c>
      <c r="G2622" s="46" t="s">
        <v>50584</v>
      </c>
      <c r="H2622" s="48" t="s">
        <v>56716</v>
      </c>
      <c r="I2622" s="48" t="s">
        <v>50564</v>
      </c>
      <c r="J2622" s="48" t="s">
        <v>56716</v>
      </c>
      <c r="K2622" s="50" t="s">
        <v>56716</v>
      </c>
      <c r="L2622" s="48" t="s">
        <v>56716</v>
      </c>
    </row>
    <row r="2623" spans="1:12" s="37" customFormat="1" ht="11.25" x14ac:dyDescent="0.2">
      <c r="A2623" s="46" t="s">
        <v>4648</v>
      </c>
      <c r="B2623" s="46" t="s">
        <v>52400</v>
      </c>
      <c r="C2623" s="58" t="str">
        <f>"09349723"</f>
        <v>09349723</v>
      </c>
      <c r="D2623" s="58" t="str">
        <f>"14354373"</f>
        <v>14354373</v>
      </c>
      <c r="E2623" s="46" t="s">
        <v>167</v>
      </c>
      <c r="F2623" s="46" t="s">
        <v>18158</v>
      </c>
      <c r="G2623" s="46" t="s">
        <v>50584</v>
      </c>
      <c r="H2623" s="48" t="s">
        <v>56716</v>
      </c>
      <c r="I2623" s="48" t="s">
        <v>50564</v>
      </c>
      <c r="J2623" s="48" t="s">
        <v>56716</v>
      </c>
      <c r="K2623" s="50" t="s">
        <v>56716</v>
      </c>
      <c r="L2623" s="48" t="s">
        <v>56716</v>
      </c>
    </row>
    <row r="2624" spans="1:12" s="37" customFormat="1" ht="11.25" x14ac:dyDescent="0.2">
      <c r="A2624" s="46" t="s">
        <v>4592</v>
      </c>
      <c r="B2624" s="46" t="s">
        <v>52401</v>
      </c>
      <c r="C2624" s="58" t="str">
        <f>"09543007"</f>
        <v>09543007</v>
      </c>
      <c r="D2624" s="58" t="str">
        <f>"14765640"</f>
        <v>14765640</v>
      </c>
      <c r="E2624" s="46" t="s">
        <v>315</v>
      </c>
      <c r="F2624" s="46" t="s">
        <v>50646</v>
      </c>
      <c r="G2624" s="46" t="s">
        <v>50584</v>
      </c>
      <c r="H2624" s="48" t="s">
        <v>56716</v>
      </c>
      <c r="I2624" s="48" t="s">
        <v>50564</v>
      </c>
      <c r="J2624" s="48"/>
      <c r="K2624" s="50" t="s">
        <v>56716</v>
      </c>
      <c r="L2624" s="48" t="s">
        <v>56716</v>
      </c>
    </row>
    <row r="2625" spans="1:12" s="37" customFormat="1" ht="11.25" x14ac:dyDescent="0.2">
      <c r="A2625" s="46" t="s">
        <v>1483</v>
      </c>
      <c r="B2625" s="46" t="s">
        <v>52402</v>
      </c>
      <c r="C2625" s="58" t="str">
        <f>"00316970"</f>
        <v>00316970</v>
      </c>
      <c r="D2625" s="58" t="str">
        <f>"14321041"</f>
        <v>14321041</v>
      </c>
      <c r="E2625" s="46" t="s">
        <v>167</v>
      </c>
      <c r="F2625" s="46" t="s">
        <v>18158</v>
      </c>
      <c r="G2625" s="46" t="s">
        <v>50584</v>
      </c>
      <c r="H2625" s="48" t="s">
        <v>56716</v>
      </c>
      <c r="I2625" s="48" t="s">
        <v>50564</v>
      </c>
      <c r="J2625" s="48" t="s">
        <v>56716</v>
      </c>
      <c r="K2625" s="50" t="s">
        <v>56716</v>
      </c>
      <c r="L2625" s="48" t="s">
        <v>56716</v>
      </c>
    </row>
    <row r="2626" spans="1:12" s="37" customFormat="1" ht="11.25" x14ac:dyDescent="0.2">
      <c r="A2626" s="46" t="s">
        <v>8274</v>
      </c>
      <c r="B2626" s="46" t="s">
        <v>52403</v>
      </c>
      <c r="C2626" s="58" t="str">
        <f>"09541446"</f>
        <v>09541446</v>
      </c>
      <c r="D2626" s="58" t="str">
        <f>"14640635"</f>
        <v>14640635</v>
      </c>
      <c r="E2626" s="46" t="s">
        <v>689</v>
      </c>
      <c r="F2626" s="46" t="s">
        <v>50646</v>
      </c>
      <c r="G2626" s="46" t="s">
        <v>50584</v>
      </c>
      <c r="H2626" s="48" t="s">
        <v>56716</v>
      </c>
      <c r="I2626" s="48" t="s">
        <v>50564</v>
      </c>
      <c r="J2626" s="48" t="s">
        <v>56716</v>
      </c>
      <c r="K2626" s="50"/>
      <c r="L2626" s="48"/>
    </row>
    <row r="2627" spans="1:12" s="37" customFormat="1" ht="11.25" x14ac:dyDescent="0.2">
      <c r="A2627" s="46" t="s">
        <v>7739</v>
      </c>
      <c r="B2627" s="46" t="s">
        <v>52404</v>
      </c>
      <c r="C2627" s="58" t="str">
        <f>"13625187"</f>
        <v>13625187</v>
      </c>
      <c r="D2627" s="58" t="str">
        <f>"14730782"</f>
        <v>14730782</v>
      </c>
      <c r="E2627" s="46" t="s">
        <v>291</v>
      </c>
      <c r="F2627" s="46" t="s">
        <v>50646</v>
      </c>
      <c r="G2627" s="46" t="s">
        <v>50584</v>
      </c>
      <c r="H2627" s="48" t="s">
        <v>56716</v>
      </c>
      <c r="I2627" s="48" t="s">
        <v>50564</v>
      </c>
      <c r="J2627" s="48" t="s">
        <v>56716</v>
      </c>
      <c r="K2627" s="50"/>
      <c r="L2627" s="48" t="s">
        <v>56716</v>
      </c>
    </row>
    <row r="2628" spans="1:12" s="37" customFormat="1" ht="11.25" x14ac:dyDescent="0.2">
      <c r="A2628" s="45" t="s">
        <v>28530</v>
      </c>
      <c r="B2628" s="45" t="s">
        <v>28532</v>
      </c>
      <c r="C2628" s="51" t="s">
        <v>28534</v>
      </c>
      <c r="D2628" s="51" t="s">
        <v>28533</v>
      </c>
      <c r="E2628" s="45" t="s">
        <v>970</v>
      </c>
      <c r="F2628" s="45" t="s">
        <v>50646</v>
      </c>
      <c r="G2628" s="45" t="s">
        <v>50584</v>
      </c>
      <c r="H2628" s="56"/>
      <c r="I2628" s="56" t="s">
        <v>50564</v>
      </c>
      <c r="J2628" s="56"/>
      <c r="K2628" s="50"/>
      <c r="L2628" s="56" t="s">
        <v>56716</v>
      </c>
    </row>
    <row r="2629" spans="1:12" s="37" customFormat="1" ht="11.25" x14ac:dyDescent="0.2">
      <c r="A2629" s="46" t="s">
        <v>5693</v>
      </c>
      <c r="B2629" s="46" t="s">
        <v>52405</v>
      </c>
      <c r="C2629" s="58" t="str">
        <f>"11671122"</f>
        <v>11671122</v>
      </c>
      <c r="D2629" s="58" t="str">
        <f>"19524013"</f>
        <v>19524013</v>
      </c>
      <c r="E2629" s="46" t="s">
        <v>948</v>
      </c>
      <c r="F2629" s="46" t="s">
        <v>20359</v>
      </c>
      <c r="G2629" s="46" t="s">
        <v>50584</v>
      </c>
      <c r="H2629" s="48" t="s">
        <v>56716</v>
      </c>
      <c r="I2629" s="48" t="s">
        <v>50564</v>
      </c>
      <c r="J2629" s="48"/>
      <c r="K2629" s="50"/>
      <c r="L2629" s="48" t="s">
        <v>56716</v>
      </c>
    </row>
    <row r="2630" spans="1:12" s="37" customFormat="1" ht="11.25" x14ac:dyDescent="0.2">
      <c r="A2630" s="46" t="s">
        <v>1486</v>
      </c>
      <c r="B2630" s="46" t="s">
        <v>52406</v>
      </c>
      <c r="C2630" s="58" t="str">
        <f>"03787966"</f>
        <v>03787966</v>
      </c>
      <c r="D2630" s="58" t="str">
        <f>"21070180"</f>
        <v>21070180</v>
      </c>
      <c r="E2630" s="46" t="s">
        <v>11245</v>
      </c>
      <c r="F2630" s="46" t="s">
        <v>20359</v>
      </c>
      <c r="G2630" s="46" t="s">
        <v>50584</v>
      </c>
      <c r="H2630" s="48" t="s">
        <v>56716</v>
      </c>
      <c r="I2630" s="48" t="s">
        <v>50564</v>
      </c>
      <c r="J2630" s="48"/>
      <c r="K2630" s="50" t="s">
        <v>56716</v>
      </c>
      <c r="L2630" s="48" t="s">
        <v>56716</v>
      </c>
    </row>
    <row r="2631" spans="1:12" s="37" customFormat="1" ht="11.25" x14ac:dyDescent="0.2">
      <c r="A2631" s="46" t="s">
        <v>11261</v>
      </c>
      <c r="B2631" s="46" t="s">
        <v>52407</v>
      </c>
      <c r="C2631" s="58" t="str">
        <f>"09699546"</f>
        <v>09699546</v>
      </c>
      <c r="D2631" s="58" t="str">
        <f>"14735695"</f>
        <v>14735695</v>
      </c>
      <c r="E2631" s="46" t="s">
        <v>28</v>
      </c>
      <c r="F2631" s="46" t="s">
        <v>17759</v>
      </c>
      <c r="G2631" s="46" t="s">
        <v>50584</v>
      </c>
      <c r="H2631" s="48" t="s">
        <v>56716</v>
      </c>
      <c r="I2631" s="48" t="s">
        <v>50564</v>
      </c>
      <c r="J2631" s="48" t="s">
        <v>56716</v>
      </c>
      <c r="K2631" s="50" t="s">
        <v>56716</v>
      </c>
      <c r="L2631" s="48" t="s">
        <v>56716</v>
      </c>
    </row>
    <row r="2632" spans="1:12" s="37" customFormat="1" ht="11.25" x14ac:dyDescent="0.2">
      <c r="A2632" s="46" t="s">
        <v>6195</v>
      </c>
      <c r="B2632" s="46" t="s">
        <v>52408</v>
      </c>
      <c r="C2632" s="58" t="str">
        <f>"08044643"</f>
        <v>08044643</v>
      </c>
      <c r="D2632" s="58" t="str">
        <f>"1479683X"</f>
        <v>1479683X</v>
      </c>
      <c r="E2632" s="46" t="s">
        <v>2559</v>
      </c>
      <c r="F2632" s="46" t="s">
        <v>50646</v>
      </c>
      <c r="G2632" s="46" t="s">
        <v>50584</v>
      </c>
      <c r="H2632" s="48" t="s">
        <v>56716</v>
      </c>
      <c r="I2632" s="48" t="s">
        <v>50564</v>
      </c>
      <c r="J2632" s="48" t="s">
        <v>56716</v>
      </c>
      <c r="K2632" s="50"/>
      <c r="L2632" s="48" t="s">
        <v>56716</v>
      </c>
    </row>
    <row r="2633" spans="1:12" s="37" customFormat="1" ht="11.25" x14ac:dyDescent="0.2">
      <c r="A2633" s="46" t="s">
        <v>1489</v>
      </c>
      <c r="B2633" s="46" t="s">
        <v>52409</v>
      </c>
      <c r="C2633" s="58" t="str">
        <f>"03932990"</f>
        <v>03932990</v>
      </c>
      <c r="D2633" s="58" t="str">
        <f>"15737284"</f>
        <v>15737284</v>
      </c>
      <c r="E2633" s="46" t="s">
        <v>18876</v>
      </c>
      <c r="F2633" s="46" t="s">
        <v>18001</v>
      </c>
      <c r="G2633" s="46" t="s">
        <v>50584</v>
      </c>
      <c r="H2633" s="48" t="s">
        <v>56716</v>
      </c>
      <c r="I2633" s="48" t="s">
        <v>50564</v>
      </c>
      <c r="J2633" s="48"/>
      <c r="K2633" s="50" t="s">
        <v>56716</v>
      </c>
      <c r="L2633" s="48" t="s">
        <v>56716</v>
      </c>
    </row>
    <row r="2634" spans="1:12" s="37" customFormat="1" ht="11.25" x14ac:dyDescent="0.2">
      <c r="A2634" s="46" t="s">
        <v>5085</v>
      </c>
      <c r="B2634" s="46" t="s">
        <v>52410</v>
      </c>
      <c r="C2634" s="58" t="str">
        <f>"0954691X"</f>
        <v>0954691X</v>
      </c>
      <c r="D2634" s="58" t="str">
        <f>"14735687"</f>
        <v>14735687</v>
      </c>
      <c r="E2634" s="46" t="s">
        <v>28</v>
      </c>
      <c r="F2634" s="46" t="s">
        <v>50646</v>
      </c>
      <c r="G2634" s="46" t="s">
        <v>50584</v>
      </c>
      <c r="H2634" s="48" t="s">
        <v>56716</v>
      </c>
      <c r="I2634" s="48" t="s">
        <v>50564</v>
      </c>
      <c r="J2634" s="48" t="s">
        <v>56716</v>
      </c>
      <c r="K2634" s="50" t="s">
        <v>56716</v>
      </c>
      <c r="L2634" s="48" t="s">
        <v>56716</v>
      </c>
    </row>
    <row r="2635" spans="1:12" s="37" customFormat="1" ht="11.25" x14ac:dyDescent="0.2">
      <c r="A2635" s="46" t="s">
        <v>10348</v>
      </c>
      <c r="B2635" s="46" t="s">
        <v>52411</v>
      </c>
      <c r="C2635" s="58" t="str">
        <f>"13043889"</f>
        <v>13043889</v>
      </c>
      <c r="D2635" s="58" t="str">
        <f>""</f>
        <v/>
      </c>
      <c r="E2635" s="46" t="s">
        <v>10350</v>
      </c>
      <c r="F2635" s="46" t="s">
        <v>18396</v>
      </c>
      <c r="G2635" s="46" t="s">
        <v>50584</v>
      </c>
      <c r="H2635" s="48" t="s">
        <v>56716</v>
      </c>
      <c r="I2635" s="48" t="s">
        <v>50564</v>
      </c>
      <c r="J2635" s="48"/>
      <c r="K2635" s="50"/>
      <c r="L2635" s="48"/>
    </row>
    <row r="2636" spans="1:12" s="37" customFormat="1" ht="11.25" x14ac:dyDescent="0.2">
      <c r="A2636" s="46" t="s">
        <v>8198</v>
      </c>
      <c r="B2636" s="46" t="s">
        <v>52412</v>
      </c>
      <c r="C2636" s="58" t="str">
        <f>"13814788"</f>
        <v>13814788</v>
      </c>
      <c r="D2636" s="58" t="str">
        <f>"17511402"</f>
        <v>17511402</v>
      </c>
      <c r="E2636" s="46" t="s">
        <v>291</v>
      </c>
      <c r="F2636" s="46" t="s">
        <v>50646</v>
      </c>
      <c r="G2636" s="46" t="s">
        <v>50584</v>
      </c>
      <c r="H2636" s="48" t="s">
        <v>56716</v>
      </c>
      <c r="I2636" s="48" t="s">
        <v>50564</v>
      </c>
      <c r="J2636" s="48"/>
      <c r="K2636" s="50"/>
      <c r="L2636" s="48" t="s">
        <v>56716</v>
      </c>
    </row>
    <row r="2637" spans="1:12" s="37" customFormat="1" ht="11.25" x14ac:dyDescent="0.2">
      <c r="A2637" s="46" t="s">
        <v>1492</v>
      </c>
      <c r="B2637" s="46" t="s">
        <v>52413</v>
      </c>
      <c r="C2637" s="58" t="str">
        <f>"03922936"</f>
        <v>03922936</v>
      </c>
      <c r="D2637" s="58" t="str">
        <f>""</f>
        <v/>
      </c>
      <c r="E2637" s="46" t="s">
        <v>1033</v>
      </c>
      <c r="F2637" s="46" t="s">
        <v>18959</v>
      </c>
      <c r="G2637" s="46" t="s">
        <v>50584</v>
      </c>
      <c r="H2637" s="48" t="s">
        <v>56716</v>
      </c>
      <c r="I2637" s="48" t="s">
        <v>50564</v>
      </c>
      <c r="J2637" s="48"/>
      <c r="K2637" s="50"/>
      <c r="L2637" s="48" t="s">
        <v>56716</v>
      </c>
    </row>
    <row r="2638" spans="1:12" s="37" customFormat="1" ht="11.25" x14ac:dyDescent="0.2">
      <c r="A2638" s="46" t="s">
        <v>4394</v>
      </c>
      <c r="B2638" s="46" t="s">
        <v>52414</v>
      </c>
      <c r="C2638" s="58" t="str">
        <f>"09024441"</f>
        <v>09024441</v>
      </c>
      <c r="D2638" s="58" t="str">
        <f>"16000609"</f>
        <v>16000609</v>
      </c>
      <c r="E2638" s="46" t="s">
        <v>35</v>
      </c>
      <c r="F2638" s="46" t="s">
        <v>50646</v>
      </c>
      <c r="G2638" s="46" t="s">
        <v>50584</v>
      </c>
      <c r="H2638" s="48" t="s">
        <v>56716</v>
      </c>
      <c r="I2638" s="48" t="s">
        <v>50564</v>
      </c>
      <c r="J2638" s="48" t="s">
        <v>56716</v>
      </c>
      <c r="K2638" s="50" t="s">
        <v>56716</v>
      </c>
      <c r="L2638" s="48" t="s">
        <v>56716</v>
      </c>
    </row>
    <row r="2639" spans="1:12" s="37" customFormat="1" ht="11.25" x14ac:dyDescent="0.2">
      <c r="A2639" s="46" t="s">
        <v>9547</v>
      </c>
      <c r="B2639" s="46" t="s">
        <v>52415</v>
      </c>
      <c r="C2639" s="58" t="str">
        <f>"16187598"</f>
        <v>16187598</v>
      </c>
      <c r="D2639" s="58" t="str">
        <f>"16187601"</f>
        <v>16187601</v>
      </c>
      <c r="E2639" s="46" t="s">
        <v>167</v>
      </c>
      <c r="F2639" s="46" t="s">
        <v>18158</v>
      </c>
      <c r="G2639" s="46" t="s">
        <v>50594</v>
      </c>
      <c r="H2639" s="48" t="s">
        <v>56716</v>
      </c>
      <c r="I2639" s="48" t="s">
        <v>50564</v>
      </c>
      <c r="J2639" s="48" t="s">
        <v>56716</v>
      </c>
      <c r="K2639" s="50" t="s">
        <v>56716</v>
      </c>
      <c r="L2639" s="48" t="s">
        <v>56716</v>
      </c>
    </row>
    <row r="2640" spans="1:12" s="37" customFormat="1" ht="11.25" x14ac:dyDescent="0.2">
      <c r="A2640" s="45" t="s">
        <v>28593</v>
      </c>
      <c r="B2640" s="45" t="s">
        <v>28595</v>
      </c>
      <c r="C2640" s="51" t="s">
        <v>28596</v>
      </c>
      <c r="D2640" s="51" t="s">
        <v>28596</v>
      </c>
      <c r="E2640" s="45" t="s">
        <v>28597</v>
      </c>
      <c r="F2640" s="45" t="s">
        <v>18001</v>
      </c>
      <c r="G2640" s="45" t="s">
        <v>50584</v>
      </c>
      <c r="H2640" s="56"/>
      <c r="I2640" s="56" t="s">
        <v>50564</v>
      </c>
      <c r="J2640" s="56"/>
      <c r="K2640" s="50"/>
      <c r="L2640" s="56" t="s">
        <v>56716</v>
      </c>
    </row>
    <row r="2641" spans="1:12" s="37" customFormat="1" ht="11.25" x14ac:dyDescent="0.2">
      <c r="A2641" s="46" t="s">
        <v>8109</v>
      </c>
      <c r="B2641" s="46" t="s">
        <v>52416</v>
      </c>
      <c r="C2641" s="58" t="str">
        <f>"13889842"</f>
        <v>13889842</v>
      </c>
      <c r="D2641" s="58" t="str">
        <f>"18790844"</f>
        <v>18790844</v>
      </c>
      <c r="E2641" s="46" t="s">
        <v>751</v>
      </c>
      <c r="F2641" s="46" t="s">
        <v>50646</v>
      </c>
      <c r="G2641" s="46" t="s">
        <v>50584</v>
      </c>
      <c r="H2641" s="48" t="s">
        <v>56716</v>
      </c>
      <c r="I2641" s="48" t="s">
        <v>50564</v>
      </c>
      <c r="J2641" s="48" t="s">
        <v>56716</v>
      </c>
      <c r="K2641" s="50" t="s">
        <v>56716</v>
      </c>
      <c r="L2641" s="48" t="s">
        <v>56716</v>
      </c>
    </row>
    <row r="2642" spans="1:12" s="37" customFormat="1" ht="11.25" x14ac:dyDescent="0.2">
      <c r="A2642" s="46" t="s">
        <v>10854</v>
      </c>
      <c r="B2642" s="46" t="s">
        <v>52417</v>
      </c>
      <c r="C2642" s="58" t="str">
        <f>"15674215"</f>
        <v>15674215</v>
      </c>
      <c r="D2642" s="58" t="str">
        <f>"18781314"</f>
        <v>18781314</v>
      </c>
      <c r="E2642" s="46" t="s">
        <v>751</v>
      </c>
      <c r="F2642" s="46" t="s">
        <v>50646</v>
      </c>
      <c r="G2642" s="46" t="s">
        <v>50584</v>
      </c>
      <c r="H2642" s="48" t="s">
        <v>56716</v>
      </c>
      <c r="I2642" s="48" t="s">
        <v>50564</v>
      </c>
      <c r="J2642" s="48" t="s">
        <v>56716</v>
      </c>
      <c r="K2642" s="50"/>
      <c r="L2642" s="48"/>
    </row>
    <row r="2643" spans="1:12" s="37" customFormat="1" ht="11.25" x14ac:dyDescent="0.2">
      <c r="A2643" s="45" t="s">
        <v>28604</v>
      </c>
      <c r="B2643" s="45" t="s">
        <v>28606</v>
      </c>
      <c r="C2643" s="51" t="s">
        <v>28609</v>
      </c>
      <c r="D2643" s="51" t="s">
        <v>28608</v>
      </c>
      <c r="E2643" s="45" t="s">
        <v>28610</v>
      </c>
      <c r="F2643" s="45" t="s">
        <v>17991</v>
      </c>
      <c r="G2643" s="45" t="s">
        <v>50584</v>
      </c>
      <c r="H2643" s="56"/>
      <c r="I2643" s="56" t="s">
        <v>50564</v>
      </c>
      <c r="J2643" s="56"/>
      <c r="K2643" s="50"/>
      <c r="L2643" s="56" t="s">
        <v>56716</v>
      </c>
    </row>
    <row r="2644" spans="1:12" s="37" customFormat="1" ht="11.25" x14ac:dyDescent="0.2">
      <c r="A2644" s="46" t="s">
        <v>15557</v>
      </c>
      <c r="B2644" s="46" t="s">
        <v>52418</v>
      </c>
      <c r="C2644" s="58" t="str">
        <f>"20479956"</f>
        <v>20479956</v>
      </c>
      <c r="D2644" s="58" t="str">
        <f>"20479964"</f>
        <v>20479964</v>
      </c>
      <c r="E2644" s="46" t="s">
        <v>159</v>
      </c>
      <c r="F2644" s="46" t="s">
        <v>50646</v>
      </c>
      <c r="G2644" s="46" t="s">
        <v>50584</v>
      </c>
      <c r="H2644" s="48" t="s">
        <v>56716</v>
      </c>
      <c r="I2644" s="48" t="s">
        <v>50564</v>
      </c>
      <c r="J2644" s="48"/>
      <c r="K2644" s="50"/>
      <c r="L2644" s="48"/>
    </row>
    <row r="2645" spans="1:12" s="37" customFormat="1" ht="11.25" x14ac:dyDescent="0.2">
      <c r="A2645" s="46" t="s">
        <v>6000</v>
      </c>
      <c r="B2645" s="46" t="s">
        <v>52419</v>
      </c>
      <c r="C2645" s="58" t="str">
        <f>"10184813"</f>
        <v>10184813</v>
      </c>
      <c r="D2645" s="58" t="str">
        <f>"14765438"</f>
        <v>14765438</v>
      </c>
      <c r="E2645" s="46" t="s">
        <v>315</v>
      </c>
      <c r="F2645" s="46" t="s">
        <v>50646</v>
      </c>
      <c r="G2645" s="46" t="s">
        <v>50584</v>
      </c>
      <c r="H2645" s="48" t="s">
        <v>56716</v>
      </c>
      <c r="I2645" s="48" t="s">
        <v>50564</v>
      </c>
      <c r="J2645" s="48" t="s">
        <v>56716</v>
      </c>
      <c r="K2645" s="50" t="s">
        <v>56716</v>
      </c>
      <c r="L2645" s="48" t="s">
        <v>56716</v>
      </c>
    </row>
    <row r="2646" spans="1:12" s="37" customFormat="1" ht="11.25" x14ac:dyDescent="0.2">
      <c r="A2646" s="46" t="s">
        <v>1494</v>
      </c>
      <c r="B2646" s="46" t="s">
        <v>52420</v>
      </c>
      <c r="C2646" s="58" t="str">
        <f>"00142980"</f>
        <v>00142980</v>
      </c>
      <c r="D2646" s="58" t="str">
        <f>"15214141"</f>
        <v>15214141</v>
      </c>
      <c r="E2646" s="46" t="s">
        <v>651</v>
      </c>
      <c r="F2646" s="46" t="s">
        <v>18158</v>
      </c>
      <c r="G2646" s="46" t="s">
        <v>50584</v>
      </c>
      <c r="H2646" s="48" t="s">
        <v>56716</v>
      </c>
      <c r="I2646" s="48" t="s">
        <v>50564</v>
      </c>
      <c r="J2646" s="48" t="s">
        <v>56716</v>
      </c>
      <c r="K2646" s="50" t="s">
        <v>56716</v>
      </c>
      <c r="L2646" s="48" t="s">
        <v>56716</v>
      </c>
    </row>
    <row r="2647" spans="1:12" s="37" customFormat="1" ht="11.25" x14ac:dyDescent="0.2">
      <c r="A2647" s="46" t="s">
        <v>9865</v>
      </c>
      <c r="B2647" s="46" t="s">
        <v>52421</v>
      </c>
      <c r="C2647" s="58" t="str">
        <f>"1721727X"</f>
        <v>1721727X</v>
      </c>
      <c r="D2647" s="58" t="str">
        <f>""</f>
        <v/>
      </c>
      <c r="E2647" s="46" t="s">
        <v>4643</v>
      </c>
      <c r="F2647" s="46" t="s">
        <v>17991</v>
      </c>
      <c r="G2647" s="46" t="s">
        <v>50584</v>
      </c>
      <c r="H2647" s="48" t="s">
        <v>56716</v>
      </c>
      <c r="I2647" s="48" t="s">
        <v>50564</v>
      </c>
      <c r="J2647" s="48"/>
      <c r="K2647" s="50"/>
      <c r="L2647" s="48"/>
    </row>
    <row r="2648" spans="1:12" s="37" customFormat="1" ht="11.25" x14ac:dyDescent="0.2">
      <c r="A2648" s="46" t="s">
        <v>13298</v>
      </c>
      <c r="B2648" s="46" t="s">
        <v>52422</v>
      </c>
      <c r="C2648" s="58" t="str">
        <f>"18763820"</f>
        <v>18763820</v>
      </c>
      <c r="D2648" s="58" t="str">
        <f>"18763839"</f>
        <v>18763839</v>
      </c>
      <c r="E2648" s="46" t="s">
        <v>6159</v>
      </c>
      <c r="F2648" s="46" t="s">
        <v>18158</v>
      </c>
      <c r="G2648" s="46" t="s">
        <v>50584</v>
      </c>
      <c r="H2648" s="48" t="s">
        <v>56716</v>
      </c>
      <c r="I2648" s="48" t="s">
        <v>50564</v>
      </c>
      <c r="J2648" s="48" t="s">
        <v>56716</v>
      </c>
      <c r="K2648" s="50" t="s">
        <v>56716</v>
      </c>
      <c r="L2648" s="48"/>
    </row>
    <row r="2649" spans="1:12" s="37" customFormat="1" ht="11.25" x14ac:dyDescent="0.2">
      <c r="A2649" s="46" t="s">
        <v>4774</v>
      </c>
      <c r="B2649" s="46" t="s">
        <v>52423</v>
      </c>
      <c r="C2649" s="58" t="str">
        <f>"09536205"</f>
        <v>09536205</v>
      </c>
      <c r="D2649" s="58" t="str">
        <f>"18790828"</f>
        <v>18790828</v>
      </c>
      <c r="E2649" s="46" t="s">
        <v>91</v>
      </c>
      <c r="F2649" s="46" t="s">
        <v>18001</v>
      </c>
      <c r="G2649" s="46" t="s">
        <v>50584</v>
      </c>
      <c r="H2649" s="48" t="s">
        <v>56716</v>
      </c>
      <c r="I2649" s="48" t="s">
        <v>50564</v>
      </c>
      <c r="J2649" s="48"/>
      <c r="K2649" s="50" t="s">
        <v>56716</v>
      </c>
      <c r="L2649" s="48" t="s">
        <v>56716</v>
      </c>
    </row>
    <row r="2650" spans="1:12" s="37" customFormat="1" ht="11.25" x14ac:dyDescent="0.2">
      <c r="A2650" s="46" t="s">
        <v>5535</v>
      </c>
      <c r="B2650" s="46" t="s">
        <v>52424</v>
      </c>
      <c r="C2650" s="58" t="str">
        <f>"07785569"</f>
        <v>07785569</v>
      </c>
      <c r="D2650" s="58" t="str">
        <f>""</f>
        <v/>
      </c>
      <c r="E2650" s="46" t="s">
        <v>5537</v>
      </c>
      <c r="F2650" s="46" t="s">
        <v>17929</v>
      </c>
      <c r="G2650" s="46" t="s">
        <v>50584</v>
      </c>
      <c r="H2650" s="48" t="s">
        <v>56716</v>
      </c>
      <c r="I2650" s="48" t="s">
        <v>50564</v>
      </c>
      <c r="J2650" s="48"/>
      <c r="K2650" s="50"/>
      <c r="L2650" s="48"/>
    </row>
    <row r="2651" spans="1:12" s="37" customFormat="1" ht="11.25" x14ac:dyDescent="0.2">
      <c r="A2651" s="45" t="s">
        <v>28625</v>
      </c>
      <c r="B2651" s="45" t="s">
        <v>28627</v>
      </c>
      <c r="C2651" s="51" t="s">
        <v>28630</v>
      </c>
      <c r="D2651" s="51" t="s">
        <v>28629</v>
      </c>
      <c r="E2651" s="45" t="s">
        <v>28631</v>
      </c>
      <c r="F2651" s="45" t="s">
        <v>50646</v>
      </c>
      <c r="G2651" s="45" t="s">
        <v>50584</v>
      </c>
      <c r="H2651" s="56"/>
      <c r="I2651" s="56" t="s">
        <v>50564</v>
      </c>
      <c r="J2651" s="56"/>
      <c r="K2651" s="50"/>
      <c r="L2651" s="56" t="s">
        <v>56716</v>
      </c>
    </row>
    <row r="2652" spans="1:12" s="37" customFormat="1" ht="11.25" x14ac:dyDescent="0.2">
      <c r="A2652" s="46" t="s">
        <v>10755</v>
      </c>
      <c r="B2652" s="46" t="s">
        <v>52425</v>
      </c>
      <c r="C2652" s="58" t="str">
        <f>"17697212"</f>
        <v>17697212</v>
      </c>
      <c r="D2652" s="58" t="str">
        <f>"18780849"</f>
        <v>18780849</v>
      </c>
      <c r="E2652" s="46" t="s">
        <v>85</v>
      </c>
      <c r="F2652" s="46" t="s">
        <v>20359</v>
      </c>
      <c r="G2652" s="46" t="s">
        <v>50584</v>
      </c>
      <c r="H2652" s="48" t="s">
        <v>56716</v>
      </c>
      <c r="I2652" s="48" t="s">
        <v>50564</v>
      </c>
      <c r="J2652" s="48"/>
      <c r="K2652" s="50" t="s">
        <v>56716</v>
      </c>
      <c r="L2652" s="48" t="s">
        <v>56716</v>
      </c>
    </row>
    <row r="2653" spans="1:12" s="37" customFormat="1" ht="11.25" x14ac:dyDescent="0.2">
      <c r="A2653" s="46" t="s">
        <v>10471</v>
      </c>
      <c r="B2653" s="46" t="s">
        <v>52426</v>
      </c>
      <c r="C2653" s="58" t="str">
        <f>"09492321"</f>
        <v>09492321</v>
      </c>
      <c r="D2653" s="58" t="str">
        <f>"2047783X"</f>
        <v>2047783X</v>
      </c>
      <c r="E2653" s="46" t="s">
        <v>2299</v>
      </c>
      <c r="F2653" s="46" t="s">
        <v>50646</v>
      </c>
      <c r="G2653" s="46" t="s">
        <v>50584</v>
      </c>
      <c r="H2653" s="48" t="s">
        <v>56716</v>
      </c>
      <c r="I2653" s="48" t="s">
        <v>50564</v>
      </c>
      <c r="J2653" s="48"/>
      <c r="K2653" s="50" t="s">
        <v>56716</v>
      </c>
      <c r="L2653" s="48" t="s">
        <v>56716</v>
      </c>
    </row>
    <row r="2654" spans="1:12" s="37" customFormat="1" ht="11.25" x14ac:dyDescent="0.2">
      <c r="A2654" s="46" t="s">
        <v>1497</v>
      </c>
      <c r="B2654" s="46" t="s">
        <v>52427</v>
      </c>
      <c r="C2654" s="58" t="str">
        <f>"02235234"</f>
        <v>02235234</v>
      </c>
      <c r="D2654" s="58" t="str">
        <f>"17683254"</f>
        <v>17683254</v>
      </c>
      <c r="E2654" s="46" t="s">
        <v>85</v>
      </c>
      <c r="F2654" s="46" t="s">
        <v>20359</v>
      </c>
      <c r="G2654" s="46" t="s">
        <v>50590</v>
      </c>
      <c r="H2654" s="48" t="s">
        <v>56716</v>
      </c>
      <c r="I2654" s="48" t="s">
        <v>50564</v>
      </c>
      <c r="J2654" s="48"/>
      <c r="K2654" s="50" t="s">
        <v>56716</v>
      </c>
      <c r="L2654" s="48" t="s">
        <v>56716</v>
      </c>
    </row>
    <row r="2655" spans="1:12" s="37" customFormat="1" ht="11.25" x14ac:dyDescent="0.2">
      <c r="A2655" s="46" t="s">
        <v>12438</v>
      </c>
      <c r="B2655" s="46" t="s">
        <v>52428</v>
      </c>
      <c r="C2655" s="58" t="str">
        <f>"17884934"</f>
        <v>17884934</v>
      </c>
      <c r="D2655" s="58" t="str">
        <f>"17887119"</f>
        <v>17887119</v>
      </c>
      <c r="E2655" s="46" t="s">
        <v>56719</v>
      </c>
      <c r="F2655" s="45" t="s">
        <v>17976</v>
      </c>
      <c r="G2655" s="46" t="s">
        <v>50592</v>
      </c>
      <c r="H2655" s="48" t="s">
        <v>56716</v>
      </c>
      <c r="I2655" s="48" t="s">
        <v>50564</v>
      </c>
      <c r="J2655" s="48" t="s">
        <v>56716</v>
      </c>
      <c r="K2655" s="50"/>
      <c r="L2655" s="48"/>
    </row>
    <row r="2656" spans="1:12" s="37" customFormat="1" ht="11.25" x14ac:dyDescent="0.2">
      <c r="A2656" s="46" t="s">
        <v>13536</v>
      </c>
      <c r="B2656" s="46" t="s">
        <v>52429</v>
      </c>
      <c r="C2656" s="58" t="str">
        <f>"16625986"</f>
        <v>16625986</v>
      </c>
      <c r="D2656" s="58" t="str">
        <f>"1662596X"</f>
        <v>1662596X</v>
      </c>
      <c r="E2656" s="46" t="s">
        <v>1887</v>
      </c>
      <c r="F2656" s="46" t="s">
        <v>18158</v>
      </c>
      <c r="G2656" s="46" t="s">
        <v>50584</v>
      </c>
      <c r="H2656" s="48" t="s">
        <v>56716</v>
      </c>
      <c r="I2656" s="48" t="s">
        <v>50564</v>
      </c>
      <c r="J2656" s="48"/>
      <c r="K2656" s="50"/>
      <c r="L2656" s="48"/>
    </row>
    <row r="2657" spans="1:12" s="37" customFormat="1" ht="11.25" x14ac:dyDescent="0.2">
      <c r="A2657" s="46" t="s">
        <v>17424</v>
      </c>
      <c r="B2657" s="46" t="s">
        <v>52430</v>
      </c>
      <c r="C2657" s="58" t="str">
        <f>"22795855"</f>
        <v>22795855</v>
      </c>
      <c r="D2657" s="58" t="str">
        <f>""</f>
        <v/>
      </c>
      <c r="E2657" s="46" t="s">
        <v>4643</v>
      </c>
      <c r="F2657" s="46" t="s">
        <v>17991</v>
      </c>
      <c r="G2657" s="46" t="s">
        <v>50584</v>
      </c>
      <c r="H2657" s="48" t="s">
        <v>56716</v>
      </c>
      <c r="I2657" s="48" t="s">
        <v>50564</v>
      </c>
      <c r="J2657" s="48"/>
      <c r="K2657" s="50"/>
      <c r="L2657" s="48"/>
    </row>
    <row r="2658" spans="1:12" s="37" customFormat="1" ht="11.25" x14ac:dyDescent="0.2">
      <c r="A2658" s="46" t="s">
        <v>6537</v>
      </c>
      <c r="B2658" s="46" t="s">
        <v>52431</v>
      </c>
      <c r="C2658" s="58" t="str">
        <f>"13515101"</f>
        <v>13515101</v>
      </c>
      <c r="D2658" s="58" t="str">
        <f>"14681331"</f>
        <v>14681331</v>
      </c>
      <c r="E2658" s="46" t="s">
        <v>35</v>
      </c>
      <c r="F2658" s="46" t="s">
        <v>50646</v>
      </c>
      <c r="G2658" s="46" t="s">
        <v>50584</v>
      </c>
      <c r="H2658" s="48" t="s">
        <v>56716</v>
      </c>
      <c r="I2658" s="48" t="s">
        <v>50564</v>
      </c>
      <c r="J2658" s="48" t="s">
        <v>56716</v>
      </c>
      <c r="K2658" s="50" t="s">
        <v>56716</v>
      </c>
      <c r="L2658" s="48" t="s">
        <v>56716</v>
      </c>
    </row>
    <row r="2659" spans="1:12" s="37" customFormat="1" ht="11.25" x14ac:dyDescent="0.2">
      <c r="A2659" s="46" t="s">
        <v>4890</v>
      </c>
      <c r="B2659" s="46" t="s">
        <v>52432</v>
      </c>
      <c r="C2659" s="58" t="str">
        <f>"0953816X"</f>
        <v>0953816X</v>
      </c>
      <c r="D2659" s="58" t="str">
        <f>"14609568"</f>
        <v>14609568</v>
      </c>
      <c r="E2659" s="46" t="s">
        <v>35</v>
      </c>
      <c r="F2659" s="46" t="s">
        <v>50646</v>
      </c>
      <c r="G2659" s="46" t="s">
        <v>50584</v>
      </c>
      <c r="H2659" s="48" t="s">
        <v>56716</v>
      </c>
      <c r="I2659" s="48" t="s">
        <v>50564</v>
      </c>
      <c r="J2659" s="48" t="s">
        <v>56716</v>
      </c>
      <c r="K2659" s="50" t="s">
        <v>56716</v>
      </c>
      <c r="L2659" s="48" t="s">
        <v>56716</v>
      </c>
    </row>
    <row r="2660" spans="1:12" s="37" customFormat="1" ht="11.25" x14ac:dyDescent="0.2">
      <c r="A2660" s="46" t="s">
        <v>9551</v>
      </c>
      <c r="B2660" s="46" t="s">
        <v>52433</v>
      </c>
      <c r="C2660" s="58" t="str">
        <f>"16197070"</f>
        <v>16197070</v>
      </c>
      <c r="D2660" s="58" t="str">
        <f>"16197089"</f>
        <v>16197089</v>
      </c>
      <c r="E2660" s="46" t="s">
        <v>55985</v>
      </c>
      <c r="F2660" s="46" t="s">
        <v>18158</v>
      </c>
      <c r="G2660" s="46" t="s">
        <v>50584</v>
      </c>
      <c r="H2660" s="48" t="s">
        <v>56716</v>
      </c>
      <c r="I2660" s="48" t="s">
        <v>50564</v>
      </c>
      <c r="J2660" s="48"/>
      <c r="K2660" s="50" t="s">
        <v>56716</v>
      </c>
      <c r="L2660" s="48" t="s">
        <v>56716</v>
      </c>
    </row>
    <row r="2661" spans="1:12" s="37" customFormat="1" ht="11.25" x14ac:dyDescent="0.2">
      <c r="A2661" s="46" t="s">
        <v>8146</v>
      </c>
      <c r="B2661" s="46" t="s">
        <v>52434</v>
      </c>
      <c r="C2661" s="58" t="str">
        <f>"14366207"</f>
        <v>14366207</v>
      </c>
      <c r="D2661" s="58" t="str">
        <f>"14366215"</f>
        <v>14366215</v>
      </c>
      <c r="E2661" s="46" t="s">
        <v>55961</v>
      </c>
      <c r="F2661" s="46" t="s">
        <v>18158</v>
      </c>
      <c r="G2661" s="46" t="s">
        <v>50592</v>
      </c>
      <c r="H2661" s="48" t="s">
        <v>56716</v>
      </c>
      <c r="I2661" s="48" t="s">
        <v>50564</v>
      </c>
      <c r="J2661" s="48"/>
      <c r="K2661" s="50" t="s">
        <v>56716</v>
      </c>
      <c r="L2661" s="48" t="s">
        <v>56716</v>
      </c>
    </row>
    <row r="2662" spans="1:12" s="37" customFormat="1" ht="11.25" x14ac:dyDescent="0.2">
      <c r="A2662" s="46" t="s">
        <v>1550</v>
      </c>
      <c r="B2662" s="46" t="s">
        <v>52435</v>
      </c>
      <c r="C2662" s="58" t="str">
        <f>"03012115"</f>
        <v>03012115</v>
      </c>
      <c r="D2662" s="58" t="str">
        <f>"18727654"</f>
        <v>18727654</v>
      </c>
      <c r="E2662" s="46" t="s">
        <v>221</v>
      </c>
      <c r="F2662" s="46" t="s">
        <v>21771</v>
      </c>
      <c r="G2662" s="46" t="s">
        <v>50584</v>
      </c>
      <c r="H2662" s="48" t="s">
        <v>56716</v>
      </c>
      <c r="I2662" s="48" t="s">
        <v>50564</v>
      </c>
      <c r="J2662" s="48" t="s">
        <v>56716</v>
      </c>
      <c r="K2662" s="50" t="s">
        <v>56716</v>
      </c>
      <c r="L2662" s="48" t="s">
        <v>56716</v>
      </c>
    </row>
    <row r="2663" spans="1:12" s="37" customFormat="1" ht="11.25" x14ac:dyDescent="0.2">
      <c r="A2663" s="46" t="s">
        <v>9049</v>
      </c>
      <c r="B2663" s="46" t="s">
        <v>52436</v>
      </c>
      <c r="C2663" s="58" t="str">
        <f>"11286598"</f>
        <v>11286598</v>
      </c>
      <c r="D2663" s="58" t="str">
        <f>""</f>
        <v/>
      </c>
      <c r="E2663" s="46" t="s">
        <v>6910</v>
      </c>
      <c r="F2663" s="46" t="s">
        <v>17991</v>
      </c>
      <c r="G2663" s="46" t="s">
        <v>50602</v>
      </c>
      <c r="H2663" s="48" t="s">
        <v>56716</v>
      </c>
      <c r="I2663" s="48" t="s">
        <v>50564</v>
      </c>
      <c r="J2663" s="48"/>
      <c r="K2663" s="50"/>
      <c r="L2663" s="48"/>
    </row>
    <row r="2664" spans="1:12" s="37" customFormat="1" ht="11.25" x14ac:dyDescent="0.2">
      <c r="A2664" s="45" t="s">
        <v>28672</v>
      </c>
      <c r="B2664" s="45" t="s">
        <v>28674</v>
      </c>
      <c r="C2664" s="51" t="s">
        <v>28677</v>
      </c>
      <c r="D2664" s="51" t="s">
        <v>28676</v>
      </c>
      <c r="E2664" s="45" t="s">
        <v>831</v>
      </c>
      <c r="F2664" s="45" t="s">
        <v>50646</v>
      </c>
      <c r="G2664" s="45" t="s">
        <v>50584</v>
      </c>
      <c r="H2664" s="56"/>
      <c r="I2664" s="56" t="s">
        <v>50564</v>
      </c>
      <c r="J2664" s="56"/>
      <c r="K2664" s="50"/>
      <c r="L2664" s="56" t="s">
        <v>56716</v>
      </c>
    </row>
    <row r="2665" spans="1:12" s="37" customFormat="1" ht="11.25" x14ac:dyDescent="0.2">
      <c r="A2665" s="46" t="s">
        <v>13727</v>
      </c>
      <c r="B2665" s="46" t="s">
        <v>52437</v>
      </c>
      <c r="C2665" s="58" t="str">
        <f>"17833914"</f>
        <v>17833914</v>
      </c>
      <c r="D2665" s="58" t="str">
        <f>""</f>
        <v/>
      </c>
      <c r="E2665" s="46" t="s">
        <v>13729</v>
      </c>
      <c r="F2665" s="46" t="s">
        <v>17929</v>
      </c>
      <c r="G2665" s="46" t="s">
        <v>50584</v>
      </c>
      <c r="H2665" s="48" t="s">
        <v>56716</v>
      </c>
      <c r="I2665" s="48" t="s">
        <v>50564</v>
      </c>
      <c r="J2665" s="48"/>
      <c r="K2665" s="50"/>
      <c r="L2665" s="48"/>
    </row>
    <row r="2666" spans="1:12" s="37" customFormat="1" ht="11.25" x14ac:dyDescent="0.2">
      <c r="A2666" s="46" t="s">
        <v>5689</v>
      </c>
      <c r="B2666" s="46" t="s">
        <v>52438</v>
      </c>
      <c r="C2666" s="58" t="str">
        <f>"11206721"</f>
        <v>11206721</v>
      </c>
      <c r="D2666" s="58" t="str">
        <f>""</f>
        <v/>
      </c>
      <c r="E2666" s="46" t="s">
        <v>56167</v>
      </c>
      <c r="F2666" s="46" t="s">
        <v>17991</v>
      </c>
      <c r="G2666" s="46" t="s">
        <v>50584</v>
      </c>
      <c r="H2666" s="48" t="s">
        <v>56716</v>
      </c>
      <c r="I2666" s="48" t="s">
        <v>50564</v>
      </c>
      <c r="J2666" s="48" t="s">
        <v>56716</v>
      </c>
      <c r="K2666" s="50"/>
      <c r="L2666" s="48" t="s">
        <v>56716</v>
      </c>
    </row>
    <row r="2667" spans="1:12" s="37" customFormat="1" ht="11.25" x14ac:dyDescent="0.2">
      <c r="A2667" s="45" t="s">
        <v>28686</v>
      </c>
      <c r="B2667" s="45" t="s">
        <v>28688</v>
      </c>
      <c r="C2667" s="51" t="s">
        <v>28690</v>
      </c>
      <c r="D2667" s="51" t="s">
        <v>28689</v>
      </c>
      <c r="E2667" s="45" t="s">
        <v>28691</v>
      </c>
      <c r="F2667" s="45" t="s">
        <v>50646</v>
      </c>
      <c r="G2667" s="45" t="s">
        <v>50584</v>
      </c>
      <c r="H2667" s="56"/>
      <c r="I2667" s="56" t="s">
        <v>50564</v>
      </c>
      <c r="J2667" s="56"/>
      <c r="K2667" s="50"/>
      <c r="L2667" s="56" t="s">
        <v>56716</v>
      </c>
    </row>
    <row r="2668" spans="1:12" s="37" customFormat="1" ht="11.25" x14ac:dyDescent="0.2">
      <c r="A2668" s="45" t="s">
        <v>28693</v>
      </c>
      <c r="B2668" s="45" t="s">
        <v>28695</v>
      </c>
      <c r="C2668" s="51" t="s">
        <v>28698</v>
      </c>
      <c r="D2668" s="51" t="s">
        <v>28697</v>
      </c>
      <c r="E2668" s="45" t="s">
        <v>970</v>
      </c>
      <c r="F2668" s="45" t="s">
        <v>50646</v>
      </c>
      <c r="G2668" s="45" t="s">
        <v>50584</v>
      </c>
      <c r="H2668" s="56"/>
      <c r="I2668" s="56" t="s">
        <v>50564</v>
      </c>
      <c r="J2668" s="56"/>
      <c r="K2668" s="50"/>
      <c r="L2668" s="56" t="s">
        <v>56716</v>
      </c>
    </row>
    <row r="2669" spans="1:12" s="37" customFormat="1" ht="11.25" x14ac:dyDescent="0.2">
      <c r="A2669" s="46" t="s">
        <v>8517</v>
      </c>
      <c r="B2669" s="46" t="s">
        <v>52439</v>
      </c>
      <c r="C2669" s="58" t="str">
        <f>"13516647"</f>
        <v>13516647</v>
      </c>
      <c r="D2669" s="58" t="str">
        <f>""</f>
        <v/>
      </c>
      <c r="E2669" s="46" t="s">
        <v>8519</v>
      </c>
      <c r="F2669" s="46" t="s">
        <v>50646</v>
      </c>
      <c r="G2669" s="46" t="s">
        <v>50584</v>
      </c>
      <c r="H2669" s="48" t="s">
        <v>56716</v>
      </c>
      <c r="I2669" s="48" t="s">
        <v>50564</v>
      </c>
      <c r="J2669" s="48"/>
      <c r="K2669" s="50"/>
      <c r="L2669" s="48"/>
    </row>
    <row r="2670" spans="1:12" s="37" customFormat="1" ht="11.25" x14ac:dyDescent="0.2">
      <c r="A2670" s="45" t="s">
        <v>28700</v>
      </c>
      <c r="B2670" s="45" t="s">
        <v>28702</v>
      </c>
      <c r="C2670" s="51" t="s">
        <v>28704</v>
      </c>
      <c r="D2670" s="51" t="s">
        <v>28703</v>
      </c>
      <c r="E2670" s="45" t="s">
        <v>55</v>
      </c>
      <c r="F2670" s="45" t="s">
        <v>50646</v>
      </c>
      <c r="G2670" s="45" t="s">
        <v>50584</v>
      </c>
      <c r="H2670" s="56"/>
      <c r="I2670" s="56" t="s">
        <v>50564</v>
      </c>
      <c r="J2670" s="56"/>
      <c r="K2670" s="50"/>
      <c r="L2670" s="56" t="s">
        <v>56716</v>
      </c>
    </row>
    <row r="2671" spans="1:12" s="37" customFormat="1" ht="11.25" x14ac:dyDescent="0.2">
      <c r="A2671" s="46" t="s">
        <v>8216</v>
      </c>
      <c r="B2671" s="46" t="s">
        <v>52440</v>
      </c>
      <c r="C2671" s="58" t="str">
        <f>"16338065"</f>
        <v>16338065</v>
      </c>
      <c r="D2671" s="58" t="str">
        <f>"14321068"</f>
        <v>14321068</v>
      </c>
      <c r="E2671" s="46" t="s">
        <v>11245</v>
      </c>
      <c r="F2671" s="46" t="s">
        <v>20359</v>
      </c>
      <c r="G2671" s="46" t="s">
        <v>50584</v>
      </c>
      <c r="H2671" s="48" t="s">
        <v>56716</v>
      </c>
      <c r="I2671" s="48" t="s">
        <v>50564</v>
      </c>
      <c r="J2671" s="48" t="s">
        <v>56716</v>
      </c>
      <c r="K2671" s="50" t="s">
        <v>56716</v>
      </c>
      <c r="L2671" s="48" t="s">
        <v>56716</v>
      </c>
    </row>
    <row r="2672" spans="1:12" s="37" customFormat="1" ht="11.25" x14ac:dyDescent="0.2">
      <c r="A2672" s="45" t="s">
        <v>28711</v>
      </c>
      <c r="B2672" s="45" t="s">
        <v>28713</v>
      </c>
      <c r="C2672" s="51" t="s">
        <v>28715</v>
      </c>
      <c r="D2672" s="51"/>
      <c r="E2672" s="45" t="s">
        <v>28716</v>
      </c>
      <c r="F2672" s="45" t="s">
        <v>17991</v>
      </c>
      <c r="G2672" s="45" t="s">
        <v>50602</v>
      </c>
      <c r="H2672" s="56"/>
      <c r="I2672" s="56" t="s">
        <v>50564</v>
      </c>
      <c r="J2672" s="56"/>
      <c r="K2672" s="50"/>
      <c r="L2672" s="56" t="s">
        <v>56716</v>
      </c>
    </row>
    <row r="2673" spans="1:12" s="37" customFormat="1" ht="11.25" x14ac:dyDescent="0.2">
      <c r="A2673" s="46" t="s">
        <v>7395</v>
      </c>
      <c r="B2673" s="46" t="s">
        <v>52441</v>
      </c>
      <c r="C2673" s="58" t="str">
        <f>"10903798"</f>
        <v>10903798</v>
      </c>
      <c r="D2673" s="58" t="str">
        <f>"15322130"</f>
        <v>15322130</v>
      </c>
      <c r="E2673" s="46" t="s">
        <v>1177</v>
      </c>
      <c r="F2673" s="46" t="s">
        <v>50646</v>
      </c>
      <c r="G2673" s="46" t="s">
        <v>50584</v>
      </c>
      <c r="H2673" s="48" t="s">
        <v>56716</v>
      </c>
      <c r="I2673" s="48" t="s">
        <v>50564</v>
      </c>
      <c r="J2673" s="48" t="s">
        <v>56716</v>
      </c>
      <c r="K2673" s="50" t="s">
        <v>56716</v>
      </c>
      <c r="L2673" s="48" t="s">
        <v>56716</v>
      </c>
    </row>
    <row r="2674" spans="1:12" s="37" customFormat="1" ht="11.25" x14ac:dyDescent="0.2">
      <c r="A2674" s="46" t="s">
        <v>7529</v>
      </c>
      <c r="B2674" s="46" t="s">
        <v>52442</v>
      </c>
      <c r="C2674" s="58" t="str">
        <f>"10903801"</f>
        <v>10903801</v>
      </c>
      <c r="D2674" s="58" t="str">
        <f>"15322149"</f>
        <v>15322149</v>
      </c>
      <c r="E2674" s="46" t="s">
        <v>35</v>
      </c>
      <c r="F2674" s="46" t="s">
        <v>50646</v>
      </c>
      <c r="G2674" s="46" t="s">
        <v>50584</v>
      </c>
      <c r="H2674" s="48" t="s">
        <v>56716</v>
      </c>
      <c r="I2674" s="48" t="s">
        <v>50564</v>
      </c>
      <c r="J2674" s="48" t="s">
        <v>56716</v>
      </c>
      <c r="K2674" s="50" t="s">
        <v>56716</v>
      </c>
      <c r="L2674" s="48" t="s">
        <v>56716</v>
      </c>
    </row>
    <row r="2675" spans="1:12" s="37" customFormat="1" ht="11.25" x14ac:dyDescent="0.2">
      <c r="A2675" s="46" t="s">
        <v>12282</v>
      </c>
      <c r="B2675" s="46" t="s">
        <v>52443</v>
      </c>
      <c r="C2675" s="58" t="str">
        <f>"17543207"</f>
        <v>17543207</v>
      </c>
      <c r="D2675" s="58" t="str">
        <f>"18780075"</f>
        <v>18780075</v>
      </c>
      <c r="E2675" s="46" t="s">
        <v>35</v>
      </c>
      <c r="F2675" s="46" t="s">
        <v>50646</v>
      </c>
      <c r="G2675" s="46" t="s">
        <v>50584</v>
      </c>
      <c r="H2675" s="48" t="s">
        <v>56716</v>
      </c>
      <c r="I2675" s="48" t="s">
        <v>50564</v>
      </c>
      <c r="J2675" s="48" t="s">
        <v>56716</v>
      </c>
      <c r="K2675" s="50"/>
      <c r="L2675" s="48"/>
    </row>
    <row r="2676" spans="1:12" s="37" customFormat="1" ht="11.25" x14ac:dyDescent="0.2">
      <c r="A2676" s="46" t="s">
        <v>14210</v>
      </c>
      <c r="B2676" s="46" t="s">
        <v>56071</v>
      </c>
      <c r="C2676" s="58" t="str">
        <f>"09644679"</f>
        <v>09644679</v>
      </c>
      <c r="D2676" s="58" t="str">
        <f>""</f>
        <v/>
      </c>
      <c r="E2676" s="46" t="s">
        <v>14212</v>
      </c>
      <c r="F2676" s="46" t="s">
        <v>50646</v>
      </c>
      <c r="G2676" s="46" t="s">
        <v>50584</v>
      </c>
      <c r="H2676" s="48" t="s">
        <v>56716</v>
      </c>
      <c r="I2676" s="48" t="s">
        <v>50564</v>
      </c>
      <c r="J2676" s="48"/>
      <c r="K2676" s="50"/>
      <c r="L2676" s="48"/>
    </row>
    <row r="2677" spans="1:12" s="37" customFormat="1" ht="11.25" x14ac:dyDescent="0.2">
      <c r="A2677" s="46" t="s">
        <v>6003</v>
      </c>
      <c r="B2677" s="46" t="s">
        <v>52444</v>
      </c>
      <c r="C2677" s="58" t="str">
        <f>"11227672"</f>
        <v>11227672</v>
      </c>
      <c r="D2677" s="58" t="str">
        <f>"22395709"</f>
        <v>22395709</v>
      </c>
      <c r="E2677" s="46" t="s">
        <v>6006</v>
      </c>
      <c r="F2677" s="46" t="s">
        <v>17991</v>
      </c>
      <c r="G2677" s="46" t="s">
        <v>50584</v>
      </c>
      <c r="H2677" s="48" t="s">
        <v>56716</v>
      </c>
      <c r="I2677" s="48" t="s">
        <v>50564</v>
      </c>
      <c r="J2677" s="48"/>
      <c r="K2677" s="50"/>
      <c r="L2677" s="48"/>
    </row>
    <row r="2678" spans="1:12" s="37" customFormat="1" ht="11.25" x14ac:dyDescent="0.2">
      <c r="A2678" s="46" t="s">
        <v>5501</v>
      </c>
      <c r="B2678" s="46" t="s">
        <v>52445</v>
      </c>
      <c r="C2678" s="58" t="str">
        <f>"09397248"</f>
        <v>09397248</v>
      </c>
      <c r="D2678" s="58" t="str">
        <f>"1439359X"</f>
        <v>1439359X</v>
      </c>
      <c r="E2678" s="46" t="s">
        <v>412</v>
      </c>
      <c r="F2678" s="46" t="s">
        <v>18158</v>
      </c>
      <c r="G2678" s="46" t="s">
        <v>50584</v>
      </c>
      <c r="H2678" s="48" t="s">
        <v>56716</v>
      </c>
      <c r="I2678" s="48" t="s">
        <v>50564</v>
      </c>
      <c r="J2678" s="48"/>
      <c r="K2678" s="50" t="s">
        <v>56716</v>
      </c>
      <c r="L2678" s="48" t="s">
        <v>56716</v>
      </c>
    </row>
    <row r="2679" spans="1:12" s="37" customFormat="1" ht="11.25" x14ac:dyDescent="0.2">
      <c r="A2679" s="46" t="s">
        <v>17578</v>
      </c>
      <c r="B2679" s="46" t="s">
        <v>52446</v>
      </c>
      <c r="C2679" s="58" t="str">
        <f>"21947619"</f>
        <v>21947619</v>
      </c>
      <c r="D2679" s="58" t="str">
        <f>"21947627"</f>
        <v>21947627</v>
      </c>
      <c r="E2679" s="46" t="s">
        <v>412</v>
      </c>
      <c r="F2679" s="46" t="s">
        <v>18158</v>
      </c>
      <c r="G2679" s="46" t="s">
        <v>50584</v>
      </c>
      <c r="H2679" s="48" t="s">
        <v>56716</v>
      </c>
      <c r="I2679" s="48" t="s">
        <v>50564</v>
      </c>
      <c r="J2679" s="48" t="s">
        <v>56716</v>
      </c>
      <c r="K2679" s="50"/>
      <c r="L2679" s="48"/>
    </row>
    <row r="2680" spans="1:12" s="37" customFormat="1" ht="11.25" x14ac:dyDescent="0.2">
      <c r="A2680" s="46" t="s">
        <v>1500</v>
      </c>
      <c r="B2680" s="46" t="s">
        <v>52447</v>
      </c>
      <c r="C2680" s="58" t="str">
        <f>"03406199"</f>
        <v>03406199</v>
      </c>
      <c r="D2680" s="58" t="str">
        <f>"14321076"</f>
        <v>14321076</v>
      </c>
      <c r="E2680" s="46" t="s">
        <v>167</v>
      </c>
      <c r="F2680" s="46" t="s">
        <v>18158</v>
      </c>
      <c r="G2680" s="46" t="s">
        <v>50584</v>
      </c>
      <c r="H2680" s="48" t="s">
        <v>56716</v>
      </c>
      <c r="I2680" s="48" t="s">
        <v>50564</v>
      </c>
      <c r="J2680" s="48" t="s">
        <v>56716</v>
      </c>
      <c r="K2680" s="50" t="s">
        <v>56716</v>
      </c>
      <c r="L2680" s="48" t="s">
        <v>56716</v>
      </c>
    </row>
    <row r="2681" spans="1:12" s="37" customFormat="1" ht="11.25" x14ac:dyDescent="0.2">
      <c r="A2681" s="46" t="s">
        <v>5974</v>
      </c>
      <c r="B2681" s="46" t="s">
        <v>52448</v>
      </c>
      <c r="C2681" s="58" t="str">
        <f>"09280987"</f>
        <v>09280987</v>
      </c>
      <c r="D2681" s="58" t="str">
        <f>"18790720"</f>
        <v>18790720</v>
      </c>
      <c r="E2681" s="46" t="s">
        <v>91</v>
      </c>
      <c r="F2681" s="46" t="s">
        <v>18001</v>
      </c>
      <c r="G2681" s="46" t="s">
        <v>50584</v>
      </c>
      <c r="H2681" s="48" t="s">
        <v>56716</v>
      </c>
      <c r="I2681" s="48" t="s">
        <v>50564</v>
      </c>
      <c r="J2681" s="48" t="s">
        <v>56716</v>
      </c>
      <c r="K2681" s="50" t="s">
        <v>56716</v>
      </c>
      <c r="L2681" s="48" t="s">
        <v>56716</v>
      </c>
    </row>
    <row r="2682" spans="1:12" s="37" customFormat="1" ht="11.25" x14ac:dyDescent="0.2">
      <c r="A2682" s="46" t="s">
        <v>5559</v>
      </c>
      <c r="B2682" s="46" t="s">
        <v>52449</v>
      </c>
      <c r="C2682" s="58" t="str">
        <f>"09396411"</f>
        <v>09396411</v>
      </c>
      <c r="D2682" s="58" t="str">
        <f>"18733441"</f>
        <v>18733441</v>
      </c>
      <c r="E2682" s="46" t="s">
        <v>91</v>
      </c>
      <c r="F2682" s="46" t="s">
        <v>18001</v>
      </c>
      <c r="G2682" s="46" t="s">
        <v>50594</v>
      </c>
      <c r="H2682" s="48" t="s">
        <v>56716</v>
      </c>
      <c r="I2682" s="48" t="s">
        <v>50564</v>
      </c>
      <c r="J2682" s="48"/>
      <c r="K2682" s="50" t="s">
        <v>56716</v>
      </c>
      <c r="L2682" s="48" t="s">
        <v>56716</v>
      </c>
    </row>
    <row r="2683" spans="1:12" s="37" customFormat="1" ht="11.25" x14ac:dyDescent="0.2">
      <c r="A2683" s="46" t="s">
        <v>1503</v>
      </c>
      <c r="B2683" s="46" t="s">
        <v>52450</v>
      </c>
      <c r="C2683" s="58" t="str">
        <f>"00142999"</f>
        <v>00142999</v>
      </c>
      <c r="D2683" s="58" t="str">
        <f>"18790712"</f>
        <v>18790712</v>
      </c>
      <c r="E2683" s="46" t="s">
        <v>91</v>
      </c>
      <c r="F2683" s="46" t="s">
        <v>18001</v>
      </c>
      <c r="G2683" s="46" t="s">
        <v>50584</v>
      </c>
      <c r="H2683" s="48" t="s">
        <v>56716</v>
      </c>
      <c r="I2683" s="48" t="s">
        <v>50564</v>
      </c>
      <c r="J2683" s="48" t="s">
        <v>56716</v>
      </c>
      <c r="K2683" s="50" t="s">
        <v>56716</v>
      </c>
      <c r="L2683" s="48" t="s">
        <v>56716</v>
      </c>
    </row>
    <row r="2684" spans="1:12" s="37" customFormat="1" ht="11.25" x14ac:dyDescent="0.2">
      <c r="A2684" s="45" t="s">
        <v>28753</v>
      </c>
      <c r="B2684" s="45" t="s">
        <v>28755</v>
      </c>
      <c r="C2684" s="51" t="s">
        <v>28758</v>
      </c>
      <c r="D2684" s="51" t="s">
        <v>28757</v>
      </c>
      <c r="E2684" s="45" t="s">
        <v>1708</v>
      </c>
      <c r="F2684" s="45" t="s">
        <v>17991</v>
      </c>
      <c r="G2684" s="45" t="s">
        <v>50584</v>
      </c>
      <c r="H2684" s="56"/>
      <c r="I2684" s="56" t="s">
        <v>50564</v>
      </c>
      <c r="J2684" s="56"/>
      <c r="K2684" s="50"/>
      <c r="L2684" s="56" t="s">
        <v>56716</v>
      </c>
    </row>
    <row r="2685" spans="1:12" s="37" customFormat="1" ht="11.25" x14ac:dyDescent="0.2">
      <c r="A2685" s="46" t="s">
        <v>4370</v>
      </c>
      <c r="B2685" s="46" t="s">
        <v>52451</v>
      </c>
      <c r="C2685" s="58" t="str">
        <f>"21679169"</f>
        <v>21679169</v>
      </c>
      <c r="D2685" s="58" t="str">
        <f>"21679177"</f>
        <v>21679177</v>
      </c>
      <c r="E2685" s="46" t="s">
        <v>291</v>
      </c>
      <c r="F2685" s="46" t="s">
        <v>50646</v>
      </c>
      <c r="G2685" s="46" t="s">
        <v>50584</v>
      </c>
      <c r="H2685" s="48" t="s">
        <v>56716</v>
      </c>
      <c r="I2685" s="48" t="s">
        <v>50564</v>
      </c>
      <c r="J2685" s="48"/>
      <c r="K2685" s="50"/>
      <c r="L2685" s="48"/>
    </row>
    <row r="2686" spans="1:12" s="37" customFormat="1" ht="11.25" x14ac:dyDescent="0.2">
      <c r="A2686" s="46" t="s">
        <v>4282</v>
      </c>
      <c r="B2686" s="46" t="s">
        <v>52452</v>
      </c>
      <c r="C2686" s="58" t="str">
        <f>"0930343X"</f>
        <v>0930343X</v>
      </c>
      <c r="D2686" s="58" t="str">
        <f>"14350130"</f>
        <v>14350130</v>
      </c>
      <c r="E2686" s="46" t="s">
        <v>167</v>
      </c>
      <c r="F2686" s="46" t="s">
        <v>18158</v>
      </c>
      <c r="G2686" s="46" t="s">
        <v>50584</v>
      </c>
      <c r="H2686" s="48" t="s">
        <v>56716</v>
      </c>
      <c r="I2686" s="48" t="s">
        <v>50564</v>
      </c>
      <c r="J2686" s="48" t="s">
        <v>56716</v>
      </c>
      <c r="K2686" s="50" t="s">
        <v>56716</v>
      </c>
      <c r="L2686" s="48"/>
    </row>
    <row r="2687" spans="1:12" s="37" customFormat="1" ht="11.25" x14ac:dyDescent="0.2">
      <c r="A2687" s="46" t="s">
        <v>16298</v>
      </c>
      <c r="B2687" s="46" t="s">
        <v>52453</v>
      </c>
      <c r="C2687" s="58" t="str">
        <f>"20474873"</f>
        <v>20474873</v>
      </c>
      <c r="D2687" s="58" t="str">
        <f>"20474881"</f>
        <v>20474881</v>
      </c>
      <c r="E2687" s="46" t="s">
        <v>493</v>
      </c>
      <c r="F2687" s="46" t="s">
        <v>17759</v>
      </c>
      <c r="G2687" s="46" t="s">
        <v>50584</v>
      </c>
      <c r="H2687" s="48" t="s">
        <v>56716</v>
      </c>
      <c r="I2687" s="48" t="s">
        <v>50564</v>
      </c>
      <c r="J2687" s="48" t="s">
        <v>56716</v>
      </c>
      <c r="K2687" s="50"/>
      <c r="L2687" s="48" t="s">
        <v>56716</v>
      </c>
    </row>
    <row r="2688" spans="1:12" s="37" customFormat="1" ht="11.25" x14ac:dyDescent="0.2">
      <c r="A2688" s="45" t="s">
        <v>28773</v>
      </c>
      <c r="B2688" s="45" t="s">
        <v>28775</v>
      </c>
      <c r="C2688" s="51" t="s">
        <v>28778</v>
      </c>
      <c r="D2688" s="51" t="s">
        <v>28777</v>
      </c>
      <c r="E2688" s="45" t="s">
        <v>18183</v>
      </c>
      <c r="F2688" s="45" t="s">
        <v>18158</v>
      </c>
      <c r="G2688" s="45" t="s">
        <v>50590</v>
      </c>
      <c r="H2688" s="56"/>
      <c r="I2688" s="56" t="s">
        <v>50564</v>
      </c>
      <c r="J2688" s="56"/>
      <c r="K2688" s="50"/>
      <c r="L2688" s="56" t="s">
        <v>56716</v>
      </c>
    </row>
    <row r="2689" spans="1:12" s="37" customFormat="1" ht="11.25" x14ac:dyDescent="0.2">
      <c r="A2689" s="46" t="s">
        <v>4296</v>
      </c>
      <c r="B2689" s="46" t="s">
        <v>52454</v>
      </c>
      <c r="C2689" s="58" t="str">
        <f>"02136163"</f>
        <v>02136163</v>
      </c>
      <c r="D2689" s="58" t="str">
        <f>""</f>
        <v/>
      </c>
      <c r="E2689" s="46" t="s">
        <v>4298</v>
      </c>
      <c r="F2689" s="46" t="s">
        <v>18439</v>
      </c>
      <c r="G2689" s="46" t="s">
        <v>50584</v>
      </c>
      <c r="H2689" s="48" t="s">
        <v>56716</v>
      </c>
      <c r="I2689" s="48" t="s">
        <v>50564</v>
      </c>
      <c r="J2689" s="48"/>
      <c r="K2689" s="50"/>
      <c r="L2689" s="48"/>
    </row>
    <row r="2690" spans="1:12" s="37" customFormat="1" ht="11.25" x14ac:dyDescent="0.2">
      <c r="A2690" s="45" t="s">
        <v>28780</v>
      </c>
      <c r="B2690" s="45" t="s">
        <v>28782</v>
      </c>
      <c r="C2690" s="51" t="s">
        <v>28784</v>
      </c>
      <c r="D2690" s="51" t="s">
        <v>28783</v>
      </c>
      <c r="E2690" s="45" t="s">
        <v>55</v>
      </c>
      <c r="F2690" s="45" t="s">
        <v>50646</v>
      </c>
      <c r="G2690" s="45" t="s">
        <v>50584</v>
      </c>
      <c r="H2690" s="56"/>
      <c r="I2690" s="56" t="s">
        <v>50564</v>
      </c>
      <c r="J2690" s="56"/>
      <c r="K2690" s="50"/>
      <c r="L2690" s="56" t="s">
        <v>56716</v>
      </c>
    </row>
    <row r="2691" spans="1:12" s="37" customFormat="1" ht="11.25" x14ac:dyDescent="0.2">
      <c r="A2691" s="46" t="s">
        <v>1506</v>
      </c>
      <c r="B2691" s="46" t="s">
        <v>52455</v>
      </c>
      <c r="C2691" s="58" t="str">
        <f>"0720048X"</f>
        <v>0720048X</v>
      </c>
      <c r="D2691" s="58" t="str">
        <f>"18727727"</f>
        <v>18727727</v>
      </c>
      <c r="E2691" s="46" t="s">
        <v>221</v>
      </c>
      <c r="F2691" s="46" t="s">
        <v>21771</v>
      </c>
      <c r="G2691" s="46" t="s">
        <v>50584</v>
      </c>
      <c r="H2691" s="48" t="s">
        <v>56716</v>
      </c>
      <c r="I2691" s="48" t="s">
        <v>50564</v>
      </c>
      <c r="J2691" s="48" t="s">
        <v>56716</v>
      </c>
      <c r="K2691" s="50" t="s">
        <v>56716</v>
      </c>
      <c r="L2691" s="48" t="s">
        <v>56716</v>
      </c>
    </row>
    <row r="2692" spans="1:12" s="37" customFormat="1" ht="11.25" x14ac:dyDescent="0.2">
      <c r="A2692" s="46" t="s">
        <v>56023</v>
      </c>
      <c r="B2692" s="46" t="s">
        <v>56024</v>
      </c>
      <c r="C2692" s="58" t="str">
        <f>""</f>
        <v/>
      </c>
      <c r="D2692" s="58" t="str">
        <f>"23520477"</f>
        <v>23520477</v>
      </c>
      <c r="E2692" s="46" t="s">
        <v>155</v>
      </c>
      <c r="F2692" s="46" t="s">
        <v>50646</v>
      </c>
      <c r="G2692" s="46" t="s">
        <v>50584</v>
      </c>
      <c r="H2692" s="48" t="s">
        <v>56716</v>
      </c>
      <c r="I2692" s="48" t="s">
        <v>50564</v>
      </c>
      <c r="J2692" s="48" t="s">
        <v>56716</v>
      </c>
      <c r="K2692" s="50"/>
      <c r="L2692" s="48"/>
    </row>
    <row r="2693" spans="1:12" s="37" customFormat="1" ht="11.25" x14ac:dyDescent="0.2">
      <c r="A2693" s="46" t="s">
        <v>6737</v>
      </c>
      <c r="B2693" s="46" t="s">
        <v>52456</v>
      </c>
      <c r="C2693" s="58" t="str">
        <f>"08856257"</f>
        <v>08856257</v>
      </c>
      <c r="D2693" s="58" t="str">
        <f>"1469591X"</f>
        <v>1469591X</v>
      </c>
      <c r="E2693" s="46" t="s">
        <v>689</v>
      </c>
      <c r="F2693" s="46" t="s">
        <v>50646</v>
      </c>
      <c r="G2693" s="46" t="s">
        <v>50584</v>
      </c>
      <c r="H2693" s="48" t="s">
        <v>56716</v>
      </c>
      <c r="I2693" s="48" t="s">
        <v>50564</v>
      </c>
      <c r="J2693" s="48" t="s">
        <v>56716</v>
      </c>
      <c r="K2693" s="50" t="s">
        <v>56716</v>
      </c>
      <c r="L2693" s="48"/>
    </row>
    <row r="2694" spans="1:12" s="37" customFormat="1" ht="11.25" x14ac:dyDescent="0.2">
      <c r="A2694" s="45" t="s">
        <v>28791</v>
      </c>
      <c r="B2694" s="45" t="s">
        <v>28793</v>
      </c>
      <c r="C2694" s="51" t="s">
        <v>28795</v>
      </c>
      <c r="D2694" s="51" t="s">
        <v>28794</v>
      </c>
      <c r="E2694" s="45" t="s">
        <v>28796</v>
      </c>
      <c r="F2694" s="45" t="s">
        <v>50646</v>
      </c>
      <c r="G2694" s="45" t="s">
        <v>50584</v>
      </c>
      <c r="H2694" s="56"/>
      <c r="I2694" s="56" t="s">
        <v>50564</v>
      </c>
      <c r="J2694" s="56"/>
      <c r="K2694" s="50"/>
      <c r="L2694" s="56" t="s">
        <v>56716</v>
      </c>
    </row>
    <row r="2695" spans="1:12" s="37" customFormat="1" ht="11.25" x14ac:dyDescent="0.2">
      <c r="A2695" s="46" t="s">
        <v>1509</v>
      </c>
      <c r="B2695" s="46" t="s">
        <v>52457</v>
      </c>
      <c r="C2695" s="58" t="str">
        <f>"07487983"</f>
        <v>07487983</v>
      </c>
      <c r="D2695" s="58" t="str">
        <f>"15322157"</f>
        <v>15322157</v>
      </c>
      <c r="E2695" s="46" t="s">
        <v>1177</v>
      </c>
      <c r="F2695" s="46" t="s">
        <v>50646</v>
      </c>
      <c r="G2695" s="46" t="s">
        <v>50584</v>
      </c>
      <c r="H2695" s="48" t="s">
        <v>56716</v>
      </c>
      <c r="I2695" s="48" t="s">
        <v>50564</v>
      </c>
      <c r="J2695" s="48" t="s">
        <v>56716</v>
      </c>
      <c r="K2695" s="50" t="s">
        <v>56716</v>
      </c>
      <c r="L2695" s="48" t="s">
        <v>56716</v>
      </c>
    </row>
    <row r="2696" spans="1:12" s="37" customFormat="1" ht="11.25" x14ac:dyDescent="0.2">
      <c r="A2696" s="46" t="s">
        <v>6502</v>
      </c>
      <c r="B2696" s="46" t="s">
        <v>52458</v>
      </c>
      <c r="C2696" s="58" t="str">
        <f>"10785884"</f>
        <v>10785884</v>
      </c>
      <c r="D2696" s="58" t="str">
        <f>"15322165"</f>
        <v>15322165</v>
      </c>
      <c r="E2696" s="46" t="s">
        <v>1177</v>
      </c>
      <c r="F2696" s="46" t="s">
        <v>50646</v>
      </c>
      <c r="G2696" s="46" t="s">
        <v>50584</v>
      </c>
      <c r="H2696" s="48" t="s">
        <v>56716</v>
      </c>
      <c r="I2696" s="48" t="s">
        <v>50564</v>
      </c>
      <c r="J2696" s="48" t="s">
        <v>56716</v>
      </c>
      <c r="K2696" s="50" t="s">
        <v>56716</v>
      </c>
      <c r="L2696" s="48" t="s">
        <v>56716</v>
      </c>
    </row>
    <row r="2697" spans="1:12" s="37" customFormat="1" ht="11.25" x14ac:dyDescent="0.2">
      <c r="A2697" s="46" t="s">
        <v>13555</v>
      </c>
      <c r="B2697" s="46" t="s">
        <v>52459</v>
      </c>
      <c r="C2697" s="58" t="str">
        <f>"20001444"</f>
        <v>20001444</v>
      </c>
      <c r="D2697" s="58" t="str">
        <f>""</f>
        <v/>
      </c>
      <c r="E2697" s="46" t="s">
        <v>13557</v>
      </c>
      <c r="F2697" s="46" t="s">
        <v>18130</v>
      </c>
      <c r="G2697" s="46" t="s">
        <v>50584</v>
      </c>
      <c r="H2697" s="48" t="s">
        <v>56716</v>
      </c>
      <c r="I2697" s="48" t="s">
        <v>50566</v>
      </c>
      <c r="J2697" s="48"/>
      <c r="K2697" s="50"/>
      <c r="L2697" s="48"/>
    </row>
    <row r="2698" spans="1:12" s="37" customFormat="1" ht="11.25" x14ac:dyDescent="0.2">
      <c r="A2698" s="46" t="s">
        <v>14937</v>
      </c>
      <c r="B2698" s="46" t="s">
        <v>52460</v>
      </c>
      <c r="C2698" s="58" t="str">
        <f>"17545072"</f>
        <v>17545072</v>
      </c>
      <c r="D2698" s="58" t="str">
        <f>"17545080"</f>
        <v>17545080</v>
      </c>
      <c r="E2698" s="46" t="s">
        <v>12374</v>
      </c>
      <c r="F2698" s="46" t="s">
        <v>50646</v>
      </c>
      <c r="G2698" s="46" t="s">
        <v>50638</v>
      </c>
      <c r="H2698" s="48" t="s">
        <v>56716</v>
      </c>
      <c r="I2698" s="48" t="s">
        <v>50564</v>
      </c>
      <c r="J2698" s="48"/>
      <c r="K2698" s="50"/>
      <c r="L2698" s="48"/>
    </row>
    <row r="2699" spans="1:12" s="37" customFormat="1" ht="11.25" x14ac:dyDescent="0.2">
      <c r="A2699" s="46" t="s">
        <v>15095</v>
      </c>
      <c r="B2699" s="46" t="s">
        <v>52461</v>
      </c>
      <c r="C2699" s="58" t="str">
        <f>"20418000"</f>
        <v>20418000</v>
      </c>
      <c r="D2699" s="58" t="str">
        <f>""</f>
        <v/>
      </c>
      <c r="E2699" s="46" t="s">
        <v>14922</v>
      </c>
      <c r="F2699" s="46" t="s">
        <v>50646</v>
      </c>
      <c r="G2699" s="46" t="s">
        <v>50584</v>
      </c>
      <c r="H2699" s="48" t="s">
        <v>56716</v>
      </c>
      <c r="I2699" s="48" t="s">
        <v>50564</v>
      </c>
      <c r="J2699" s="48"/>
      <c r="K2699" s="50"/>
      <c r="L2699" s="48"/>
    </row>
    <row r="2700" spans="1:12" s="37" customFormat="1" ht="11.25" x14ac:dyDescent="0.2">
      <c r="A2700" s="46" t="s">
        <v>1568</v>
      </c>
      <c r="B2700" s="46" t="s">
        <v>52462</v>
      </c>
      <c r="C2700" s="58" t="str">
        <f>"00143022"</f>
        <v>00143022</v>
      </c>
      <c r="D2700" s="58" t="str">
        <f>"14219913"</f>
        <v>14219913</v>
      </c>
      <c r="E2700" s="46" t="s">
        <v>109</v>
      </c>
      <c r="F2700" s="46" t="s">
        <v>18123</v>
      </c>
      <c r="G2700" s="46" t="s">
        <v>50584</v>
      </c>
      <c r="H2700" s="48" t="s">
        <v>56716</v>
      </c>
      <c r="I2700" s="48" t="s">
        <v>50564</v>
      </c>
      <c r="J2700" s="48" t="s">
        <v>56716</v>
      </c>
      <c r="K2700" s="50" t="s">
        <v>56716</v>
      </c>
      <c r="L2700" s="48" t="s">
        <v>56716</v>
      </c>
    </row>
    <row r="2701" spans="1:12" s="37" customFormat="1" ht="11.25" x14ac:dyDescent="0.2">
      <c r="A2701" s="46" t="s">
        <v>5837</v>
      </c>
      <c r="B2701" s="46" t="s">
        <v>52463</v>
      </c>
      <c r="C2701" s="58" t="str">
        <f>"0924977X"</f>
        <v>0924977X</v>
      </c>
      <c r="D2701" s="58" t="str">
        <f>"18737862"</f>
        <v>18737862</v>
      </c>
      <c r="E2701" s="46" t="s">
        <v>91</v>
      </c>
      <c r="F2701" s="46" t="s">
        <v>18001</v>
      </c>
      <c r="G2701" s="46" t="s">
        <v>50584</v>
      </c>
      <c r="H2701" s="48" t="s">
        <v>56716</v>
      </c>
      <c r="I2701" s="48" t="s">
        <v>50564</v>
      </c>
      <c r="J2701" s="48" t="s">
        <v>56716</v>
      </c>
      <c r="K2701" s="50" t="s">
        <v>56716</v>
      </c>
      <c r="L2701" s="48" t="s">
        <v>56716</v>
      </c>
    </row>
    <row r="2702" spans="1:12" s="37" customFormat="1" ht="11.25" x14ac:dyDescent="0.2">
      <c r="A2702" s="46" t="s">
        <v>16153</v>
      </c>
      <c r="B2702" s="46" t="s">
        <v>52464</v>
      </c>
      <c r="C2702" s="58" t="str">
        <f>"20455275"</f>
        <v>20455275</v>
      </c>
      <c r="D2702" s="58" t="str">
        <f>"20455283"</f>
        <v>20455283</v>
      </c>
      <c r="E2702" s="46" t="s">
        <v>12374</v>
      </c>
      <c r="F2702" s="46" t="s">
        <v>50646</v>
      </c>
      <c r="G2702" s="46" t="s">
        <v>50584</v>
      </c>
      <c r="H2702" s="48" t="s">
        <v>56716</v>
      </c>
      <c r="I2702" s="48" t="s">
        <v>50564</v>
      </c>
      <c r="J2702" s="48"/>
      <c r="K2702" s="50"/>
      <c r="L2702" s="48"/>
    </row>
    <row r="2703" spans="1:12" s="37" customFormat="1" ht="11.25" x14ac:dyDescent="0.2">
      <c r="A2703" s="46" t="s">
        <v>16534</v>
      </c>
      <c r="B2703" s="46" t="s">
        <v>52465</v>
      </c>
      <c r="C2703" s="58" t="str">
        <f>"18674569"</f>
        <v>18674569</v>
      </c>
      <c r="D2703" s="58" t="str">
        <f>"18674577"</f>
        <v>18674577</v>
      </c>
      <c r="E2703" s="46" t="s">
        <v>167</v>
      </c>
      <c r="F2703" s="46" t="s">
        <v>18158</v>
      </c>
      <c r="G2703" s="46" t="s">
        <v>50584</v>
      </c>
      <c r="H2703" s="48" t="s">
        <v>56716</v>
      </c>
      <c r="I2703" s="48" t="s">
        <v>50564</v>
      </c>
      <c r="J2703" s="48" t="s">
        <v>56716</v>
      </c>
      <c r="K2703" s="50"/>
      <c r="L2703" s="48"/>
    </row>
    <row r="2704" spans="1:12" s="37" customFormat="1" ht="11.25" x14ac:dyDescent="0.2">
      <c r="A2704" s="46" t="s">
        <v>9174</v>
      </c>
      <c r="B2704" s="46" t="s">
        <v>52466</v>
      </c>
      <c r="C2704" s="58" t="str">
        <f>"1364369X"</f>
        <v>1364369X</v>
      </c>
      <c r="D2704" s="58" t="str">
        <f>""</f>
        <v/>
      </c>
      <c r="E2704" s="46" t="s">
        <v>9176</v>
      </c>
      <c r="F2704" s="46" t="s">
        <v>50646</v>
      </c>
      <c r="G2704" s="46" t="s">
        <v>50584</v>
      </c>
      <c r="H2704" s="48" t="s">
        <v>56716</v>
      </c>
      <c r="I2704" s="48" t="s">
        <v>50564</v>
      </c>
      <c r="J2704" s="48"/>
      <c r="K2704" s="50"/>
      <c r="L2704" s="48"/>
    </row>
    <row r="2705" spans="1:12" s="37" customFormat="1" ht="11.25" x14ac:dyDescent="0.2">
      <c r="A2705" s="46" t="s">
        <v>13190</v>
      </c>
      <c r="B2705" s="46" t="s">
        <v>52467</v>
      </c>
      <c r="C2705" s="58" t="str">
        <f>"13608606"</f>
        <v>13608606</v>
      </c>
      <c r="D2705" s="58" t="str">
        <f>""</f>
        <v/>
      </c>
      <c r="E2705" s="46" t="s">
        <v>13192</v>
      </c>
      <c r="F2705" s="46" t="s">
        <v>50646</v>
      </c>
      <c r="G2705" s="46" t="s">
        <v>50584</v>
      </c>
      <c r="H2705" s="48" t="s">
        <v>56716</v>
      </c>
      <c r="I2705" s="48" t="s">
        <v>50566</v>
      </c>
      <c r="J2705" s="48"/>
      <c r="K2705" s="50"/>
      <c r="L2705" s="48"/>
    </row>
    <row r="2706" spans="1:12" s="37" customFormat="1" ht="11.25" x14ac:dyDescent="0.2">
      <c r="A2706" s="46" t="s">
        <v>14940</v>
      </c>
      <c r="B2706" s="46" t="s">
        <v>52468</v>
      </c>
      <c r="C2706" s="58" t="str">
        <f>"17581354"</f>
        <v>17581354</v>
      </c>
      <c r="D2706" s="58" t="str">
        <f>"17581362"</f>
        <v>17581362</v>
      </c>
      <c r="E2706" s="46" t="s">
        <v>12374</v>
      </c>
      <c r="F2706" s="46" t="s">
        <v>50646</v>
      </c>
      <c r="G2706" s="46" t="s">
        <v>50584</v>
      </c>
      <c r="H2706" s="48" t="s">
        <v>56716</v>
      </c>
      <c r="I2706" s="48" t="s">
        <v>50564</v>
      </c>
      <c r="J2706" s="48"/>
      <c r="K2706" s="50"/>
      <c r="L2706" s="48"/>
    </row>
    <row r="2707" spans="1:12" s="37" customFormat="1" ht="11.25" x14ac:dyDescent="0.2">
      <c r="A2707" s="46" t="s">
        <v>5575</v>
      </c>
      <c r="B2707" s="46" t="s">
        <v>52469</v>
      </c>
      <c r="C2707" s="58" t="str">
        <f>"09249338"</f>
        <v>09249338</v>
      </c>
      <c r="D2707" s="58" t="str">
        <f>"17783585"</f>
        <v>17783585</v>
      </c>
      <c r="E2707" s="46" t="s">
        <v>85</v>
      </c>
      <c r="F2707" s="46" t="s">
        <v>20359</v>
      </c>
      <c r="G2707" s="46" t="s">
        <v>50590</v>
      </c>
      <c r="H2707" s="48" t="s">
        <v>56716</v>
      </c>
      <c r="I2707" s="48" t="s">
        <v>50564</v>
      </c>
      <c r="J2707" s="48" t="s">
        <v>56716</v>
      </c>
      <c r="K2707" s="50" t="s">
        <v>56716</v>
      </c>
      <c r="L2707" s="48" t="s">
        <v>56716</v>
      </c>
    </row>
    <row r="2708" spans="1:12" s="37" customFormat="1" ht="11.25" x14ac:dyDescent="0.2">
      <c r="A2708" s="46" t="s">
        <v>8299</v>
      </c>
      <c r="B2708" s="46" t="s">
        <v>52470</v>
      </c>
      <c r="C2708" s="58" t="str">
        <f>"09387994"</f>
        <v>09387994</v>
      </c>
      <c r="D2708" s="58" t="str">
        <f>"14321084"</f>
        <v>14321084</v>
      </c>
      <c r="E2708" s="46" t="s">
        <v>167</v>
      </c>
      <c r="F2708" s="46" t="s">
        <v>18158</v>
      </c>
      <c r="G2708" s="46" t="s">
        <v>50584</v>
      </c>
      <c r="H2708" s="48" t="s">
        <v>56716</v>
      </c>
      <c r="I2708" s="48" t="s">
        <v>50564</v>
      </c>
      <c r="J2708" s="48" t="s">
        <v>56716</v>
      </c>
      <c r="K2708" s="50" t="s">
        <v>56716</v>
      </c>
      <c r="L2708" s="48" t="s">
        <v>56716</v>
      </c>
    </row>
    <row r="2709" spans="1:12" s="37" customFormat="1" ht="11.25" x14ac:dyDescent="0.2">
      <c r="A2709" s="46" t="s">
        <v>10296</v>
      </c>
      <c r="B2709" s="46" t="s">
        <v>52471</v>
      </c>
      <c r="C2709" s="58" t="str">
        <f>"16133749"</f>
        <v>16133749</v>
      </c>
      <c r="D2709" s="58" t="str">
        <f>"16133757"</f>
        <v>16133757</v>
      </c>
      <c r="E2709" s="46" t="s">
        <v>167</v>
      </c>
      <c r="F2709" s="46" t="s">
        <v>18158</v>
      </c>
      <c r="G2709" s="46" t="s">
        <v>50584</v>
      </c>
      <c r="H2709" s="48" t="s">
        <v>56716</v>
      </c>
      <c r="I2709" s="48" t="s">
        <v>50564</v>
      </c>
      <c r="J2709" s="48" t="s">
        <v>56716</v>
      </c>
      <c r="K2709" s="50"/>
      <c r="L2709" s="48"/>
    </row>
    <row r="2710" spans="1:12" s="37" customFormat="1" ht="11.25" x14ac:dyDescent="0.2">
      <c r="A2710" s="46" t="s">
        <v>16276</v>
      </c>
      <c r="B2710" s="46" t="s">
        <v>52472</v>
      </c>
      <c r="C2710" s="58" t="str">
        <f>"2212764X"</f>
        <v>2212764X</v>
      </c>
      <c r="D2710" s="58" t="str">
        <f>""</f>
        <v/>
      </c>
      <c r="E2710" s="46" t="s">
        <v>85</v>
      </c>
      <c r="F2710" s="46" t="s">
        <v>20359</v>
      </c>
      <c r="G2710" s="46" t="s">
        <v>50590</v>
      </c>
      <c r="H2710" s="48" t="s">
        <v>56716</v>
      </c>
      <c r="I2710" s="48" t="s">
        <v>50564</v>
      </c>
      <c r="J2710" s="48" t="s">
        <v>56716</v>
      </c>
      <c r="K2710" s="50" t="s">
        <v>56716</v>
      </c>
      <c r="L2710" s="48"/>
    </row>
    <row r="2711" spans="1:12" s="37" customFormat="1" ht="11.25" x14ac:dyDescent="0.2">
      <c r="A2711" s="46" t="s">
        <v>4499</v>
      </c>
      <c r="B2711" s="46" t="s">
        <v>52473</v>
      </c>
      <c r="C2711" s="58" t="str">
        <f>"09031936"</f>
        <v>09031936</v>
      </c>
      <c r="D2711" s="58" t="str">
        <f>"13993003"</f>
        <v>13993003</v>
      </c>
      <c r="E2711" s="46" t="s">
        <v>4502</v>
      </c>
      <c r="F2711" s="46" t="s">
        <v>18123</v>
      </c>
      <c r="G2711" s="46" t="s">
        <v>50584</v>
      </c>
      <c r="H2711" s="48" t="s">
        <v>56716</v>
      </c>
      <c r="I2711" s="48" t="s">
        <v>50564</v>
      </c>
      <c r="J2711" s="48" t="s">
        <v>56716</v>
      </c>
      <c r="K2711" s="50"/>
      <c r="L2711" s="48" t="s">
        <v>56716</v>
      </c>
    </row>
    <row r="2712" spans="1:12" s="37" customFormat="1" ht="11.25" x14ac:dyDescent="0.2">
      <c r="A2712" s="46" t="s">
        <v>7244</v>
      </c>
      <c r="B2712" s="46" t="s">
        <v>52474</v>
      </c>
      <c r="C2712" s="58" t="str">
        <f>"1025448X"</f>
        <v>1025448X</v>
      </c>
      <c r="D2712" s="58" t="str">
        <f>"20756674"</f>
        <v>20756674</v>
      </c>
      <c r="E2712" s="46" t="s">
        <v>4502</v>
      </c>
      <c r="F2712" s="46" t="s">
        <v>50646</v>
      </c>
      <c r="G2712" s="46" t="s">
        <v>50584</v>
      </c>
      <c r="H2712" s="48" t="s">
        <v>56716</v>
      </c>
      <c r="I2712" s="48" t="s">
        <v>50565</v>
      </c>
      <c r="J2712" s="48"/>
      <c r="K2712" s="50"/>
      <c r="L2712" s="48"/>
    </row>
    <row r="2713" spans="1:12" s="37" customFormat="1" ht="11.25" x14ac:dyDescent="0.2">
      <c r="A2713" s="46" t="s">
        <v>5609</v>
      </c>
      <c r="B2713" s="46" t="s">
        <v>52475</v>
      </c>
      <c r="C2713" s="58" t="str">
        <f>"09059180"</f>
        <v>09059180</v>
      </c>
      <c r="D2713" s="58" t="str">
        <f>"16000617"</f>
        <v>16000617</v>
      </c>
      <c r="E2713" s="46" t="s">
        <v>4502</v>
      </c>
      <c r="F2713" s="46" t="s">
        <v>18123</v>
      </c>
      <c r="G2713" s="46" t="s">
        <v>50584</v>
      </c>
      <c r="H2713" s="48" t="s">
        <v>56716</v>
      </c>
      <c r="I2713" s="48" t="s">
        <v>50564</v>
      </c>
      <c r="J2713" s="48"/>
      <c r="K2713" s="50"/>
      <c r="L2713" s="48" t="s">
        <v>56716</v>
      </c>
    </row>
    <row r="2714" spans="1:12" s="37" customFormat="1" ht="11.25" x14ac:dyDescent="0.2">
      <c r="A2714" s="46" t="s">
        <v>3617</v>
      </c>
      <c r="B2714" s="46" t="s">
        <v>52476</v>
      </c>
      <c r="C2714" s="58" t="str">
        <f>"11283602"</f>
        <v>11283602</v>
      </c>
      <c r="D2714" s="58" t="str">
        <f>""</f>
        <v/>
      </c>
      <c r="E2714" s="46" t="s">
        <v>3619</v>
      </c>
      <c r="F2714" s="46" t="s">
        <v>17991</v>
      </c>
      <c r="G2714" s="46" t="s">
        <v>50584</v>
      </c>
      <c r="H2714" s="48" t="s">
        <v>56716</v>
      </c>
      <c r="I2714" s="48" t="s">
        <v>50564</v>
      </c>
      <c r="J2714" s="48"/>
      <c r="K2714" s="50"/>
      <c r="L2714" s="48" t="s">
        <v>56716</v>
      </c>
    </row>
    <row r="2715" spans="1:12" s="37" customFormat="1" ht="11.25" x14ac:dyDescent="0.2">
      <c r="A2715" s="46" t="s">
        <v>5945</v>
      </c>
      <c r="B2715" s="46" t="s">
        <v>52477</v>
      </c>
      <c r="C2715" s="58" t="str">
        <f>"09406719"</f>
        <v>09406719</v>
      </c>
      <c r="D2715" s="58" t="str">
        <f>"14320932"</f>
        <v>14320932</v>
      </c>
      <c r="E2715" s="46" t="s">
        <v>167</v>
      </c>
      <c r="F2715" s="46" t="s">
        <v>18158</v>
      </c>
      <c r="G2715" s="46" t="s">
        <v>50584</v>
      </c>
      <c r="H2715" s="48" t="s">
        <v>56716</v>
      </c>
      <c r="I2715" s="48" t="s">
        <v>50564</v>
      </c>
      <c r="J2715" s="48" t="s">
        <v>56716</v>
      </c>
      <c r="K2715" s="50" t="s">
        <v>56716</v>
      </c>
      <c r="L2715" s="48" t="s">
        <v>56716</v>
      </c>
    </row>
    <row r="2716" spans="1:12" s="37" customFormat="1" ht="11.25" x14ac:dyDescent="0.2">
      <c r="A2716" s="46" t="s">
        <v>9262</v>
      </c>
      <c r="B2716" s="46" t="s">
        <v>52478</v>
      </c>
      <c r="C2716" s="58" t="str">
        <f>"16828631"</f>
        <v>16828631</v>
      </c>
      <c r="D2716" s="58" t="str">
        <f>"16824016"</f>
        <v>16824016</v>
      </c>
      <c r="E2716" s="46" t="s">
        <v>55904</v>
      </c>
      <c r="F2716" s="46" t="s">
        <v>18288</v>
      </c>
      <c r="G2716" s="46" t="s">
        <v>50592</v>
      </c>
      <c r="H2716" s="48" t="s">
        <v>56716</v>
      </c>
      <c r="I2716" s="48" t="s">
        <v>50564</v>
      </c>
      <c r="J2716" s="48"/>
      <c r="K2716" s="50" t="s">
        <v>56716</v>
      </c>
      <c r="L2716" s="48"/>
    </row>
    <row r="2717" spans="1:12" s="37" customFormat="1" ht="11.25" x14ac:dyDescent="0.2">
      <c r="A2717" s="46" t="s">
        <v>1571</v>
      </c>
      <c r="B2717" s="46" t="s">
        <v>52479</v>
      </c>
      <c r="C2717" s="58" t="str">
        <f>"0014312X"</f>
        <v>0014312X</v>
      </c>
      <c r="D2717" s="58" t="str">
        <f>"14219921"</f>
        <v>14219921</v>
      </c>
      <c r="E2717" s="46" t="s">
        <v>109</v>
      </c>
      <c r="F2717" s="46" t="s">
        <v>18123</v>
      </c>
      <c r="G2717" s="46" t="s">
        <v>50584</v>
      </c>
      <c r="H2717" s="48" t="s">
        <v>56716</v>
      </c>
      <c r="I2717" s="48" t="s">
        <v>50564</v>
      </c>
      <c r="J2717" s="48" t="s">
        <v>56716</v>
      </c>
      <c r="K2717" s="50" t="s">
        <v>56716</v>
      </c>
      <c r="L2717" s="48" t="s">
        <v>56716</v>
      </c>
    </row>
    <row r="2718" spans="1:12" s="37" customFormat="1" ht="11.25" x14ac:dyDescent="0.2">
      <c r="A2718" s="46" t="s">
        <v>17524</v>
      </c>
      <c r="B2718" s="46" t="s">
        <v>52480</v>
      </c>
      <c r="C2718" s="58" t="str">
        <f>"22350640"</f>
        <v>22350640</v>
      </c>
      <c r="D2718" s="58" t="str">
        <f>"22350802"</f>
        <v>22350802</v>
      </c>
      <c r="E2718" s="46" t="s">
        <v>109</v>
      </c>
      <c r="F2718" s="46" t="s">
        <v>18123</v>
      </c>
      <c r="G2718" s="46" t="s">
        <v>50584</v>
      </c>
      <c r="H2718" s="48" t="s">
        <v>56716</v>
      </c>
      <c r="I2718" s="48" t="s">
        <v>50564</v>
      </c>
      <c r="J2718" s="48" t="s">
        <v>56716</v>
      </c>
      <c r="K2718" s="50"/>
      <c r="L2718" s="48"/>
    </row>
    <row r="2719" spans="1:12" s="37" customFormat="1" ht="11.25" x14ac:dyDescent="0.2">
      <c r="A2719" s="46" t="s">
        <v>1574</v>
      </c>
      <c r="B2719" s="46" t="s">
        <v>52481</v>
      </c>
      <c r="C2719" s="58" t="str">
        <f>"03022838"</f>
        <v>03022838</v>
      </c>
      <c r="D2719" s="58" t="str">
        <f>"18737560"</f>
        <v>18737560</v>
      </c>
      <c r="E2719" s="46" t="s">
        <v>91</v>
      </c>
      <c r="F2719" s="46" t="s">
        <v>18001</v>
      </c>
      <c r="G2719" s="46" t="s">
        <v>50584</v>
      </c>
      <c r="H2719" s="48" t="s">
        <v>56716</v>
      </c>
      <c r="I2719" s="48" t="s">
        <v>50564</v>
      </c>
      <c r="J2719" s="48" t="s">
        <v>56716</v>
      </c>
      <c r="K2719" s="50" t="s">
        <v>56716</v>
      </c>
      <c r="L2719" s="48" t="s">
        <v>56716</v>
      </c>
    </row>
    <row r="2720" spans="1:12" s="37" customFormat="1" ht="11.25" x14ac:dyDescent="0.2">
      <c r="A2720" s="46" t="s">
        <v>9482</v>
      </c>
      <c r="B2720" s="46" t="s">
        <v>52482</v>
      </c>
      <c r="C2720" s="58" t="str">
        <f>"15699056"</f>
        <v>15699056</v>
      </c>
      <c r="D2720" s="58" t="str">
        <f>"18781500"</f>
        <v>18781500</v>
      </c>
      <c r="E2720" s="46" t="s">
        <v>91</v>
      </c>
      <c r="F2720" s="46" t="s">
        <v>18001</v>
      </c>
      <c r="G2720" s="46" t="s">
        <v>50584</v>
      </c>
      <c r="H2720" s="48" t="s">
        <v>56716</v>
      </c>
      <c r="I2720" s="48" t="s">
        <v>50564</v>
      </c>
      <c r="J2720" s="48" t="s">
        <v>56716</v>
      </c>
      <c r="K2720" s="50" t="s">
        <v>56716</v>
      </c>
      <c r="L2720" s="48"/>
    </row>
    <row r="2721" spans="1:12" s="37" customFormat="1" ht="11.25" x14ac:dyDescent="0.2">
      <c r="A2721" s="46" t="s">
        <v>14368</v>
      </c>
      <c r="B2721" s="46" t="s">
        <v>14368</v>
      </c>
      <c r="C2721" s="58" t="str">
        <f>"1025496X"</f>
        <v>1025496X</v>
      </c>
      <c r="D2721" s="58" t="str">
        <f>"15607917"</f>
        <v>15607917</v>
      </c>
      <c r="E2721" s="46" t="s">
        <v>14371</v>
      </c>
      <c r="F2721" s="46" t="s">
        <v>18130</v>
      </c>
      <c r="G2721" s="46" t="s">
        <v>50584</v>
      </c>
      <c r="H2721" s="48" t="s">
        <v>56716</v>
      </c>
      <c r="I2721" s="48" t="s">
        <v>50564</v>
      </c>
      <c r="J2721" s="48"/>
      <c r="K2721" s="50"/>
      <c r="L2721" s="48" t="s">
        <v>56716</v>
      </c>
    </row>
    <row r="2722" spans="1:12" s="37" customFormat="1" ht="11.25" x14ac:dyDescent="0.2">
      <c r="A2722" s="45" t="s">
        <v>28864</v>
      </c>
      <c r="B2722" s="45" t="s">
        <v>28866</v>
      </c>
      <c r="C2722" s="51" t="s">
        <v>28868</v>
      </c>
      <c r="D2722" s="51" t="s">
        <v>28867</v>
      </c>
      <c r="E2722" s="45" t="s">
        <v>19447</v>
      </c>
      <c r="F2722" s="45" t="s">
        <v>17759</v>
      </c>
      <c r="G2722" s="45" t="s">
        <v>50584</v>
      </c>
      <c r="H2722" s="56"/>
      <c r="I2722" s="56" t="s">
        <v>50564</v>
      </c>
      <c r="J2722" s="56"/>
      <c r="K2722" s="50"/>
      <c r="L2722" s="56" t="s">
        <v>56716</v>
      </c>
    </row>
    <row r="2723" spans="1:12" s="37" customFormat="1" ht="11.25" x14ac:dyDescent="0.2">
      <c r="A2723" s="45" t="s">
        <v>28870</v>
      </c>
      <c r="B2723" s="45" t="s">
        <v>28872</v>
      </c>
      <c r="C2723" s="51" t="s">
        <v>28874</v>
      </c>
      <c r="D2723" s="51" t="s">
        <v>28873</v>
      </c>
      <c r="E2723" s="45" t="s">
        <v>91</v>
      </c>
      <c r="F2723" s="45" t="s">
        <v>50646</v>
      </c>
      <c r="G2723" s="45" t="s">
        <v>50584</v>
      </c>
      <c r="H2723" s="56"/>
      <c r="I2723" s="56" t="s">
        <v>50564</v>
      </c>
      <c r="J2723" s="56"/>
      <c r="K2723" s="50"/>
      <c r="L2723" s="56" t="s">
        <v>56716</v>
      </c>
    </row>
    <row r="2724" spans="1:12" s="37" customFormat="1" ht="11.25" x14ac:dyDescent="0.2">
      <c r="A2724" s="45" t="s">
        <v>28876</v>
      </c>
      <c r="B2724" s="45" t="s">
        <v>28878</v>
      </c>
      <c r="C2724" s="51" t="s">
        <v>28881</v>
      </c>
      <c r="D2724" s="51" t="s">
        <v>28880</v>
      </c>
      <c r="E2724" s="45" t="s">
        <v>19447</v>
      </c>
      <c r="F2724" s="45" t="s">
        <v>17759</v>
      </c>
      <c r="G2724" s="45" t="s">
        <v>50584</v>
      </c>
      <c r="H2724" s="56"/>
      <c r="I2724" s="56" t="s">
        <v>50564</v>
      </c>
      <c r="J2724" s="56"/>
      <c r="K2724" s="50"/>
      <c r="L2724" s="56" t="s">
        <v>56716</v>
      </c>
    </row>
    <row r="2725" spans="1:12" s="37" customFormat="1" ht="11.25" x14ac:dyDescent="0.2">
      <c r="A2725" s="45" t="s">
        <v>28883</v>
      </c>
      <c r="B2725" s="45" t="s">
        <v>28885</v>
      </c>
      <c r="C2725" s="51" t="s">
        <v>28886</v>
      </c>
      <c r="D2725" s="51"/>
      <c r="E2725" s="45" t="s">
        <v>28887</v>
      </c>
      <c r="F2725" s="45" t="s">
        <v>17759</v>
      </c>
      <c r="G2725" s="45" t="s">
        <v>50584</v>
      </c>
      <c r="H2725" s="56"/>
      <c r="I2725" s="56" t="s">
        <v>50564</v>
      </c>
      <c r="J2725" s="56"/>
      <c r="K2725" s="50"/>
      <c r="L2725" s="56" t="s">
        <v>56716</v>
      </c>
    </row>
    <row r="2726" spans="1:12" s="37" customFormat="1" ht="11.25" x14ac:dyDescent="0.2">
      <c r="A2726" s="46" t="s">
        <v>16300</v>
      </c>
      <c r="B2726" s="46" t="s">
        <v>52483</v>
      </c>
      <c r="C2726" s="58" t="str">
        <f>"20404050"</f>
        <v>20404050</v>
      </c>
      <c r="D2726" s="58" t="str">
        <f>"15576272"</f>
        <v>15576272</v>
      </c>
      <c r="E2726" s="46" t="s">
        <v>751</v>
      </c>
      <c r="F2726" s="46" t="s">
        <v>50646</v>
      </c>
      <c r="G2726" s="46" t="s">
        <v>50584</v>
      </c>
      <c r="H2726" s="48" t="s">
        <v>56716</v>
      </c>
      <c r="I2726" s="48" t="s">
        <v>50564</v>
      </c>
      <c r="J2726" s="48" t="s">
        <v>56716</v>
      </c>
      <c r="K2726" s="50"/>
      <c r="L2726" s="48" t="s">
        <v>56716</v>
      </c>
    </row>
    <row r="2727" spans="1:12" s="37" customFormat="1" ht="11.25" x14ac:dyDescent="0.2">
      <c r="A2727" s="46" t="s">
        <v>12360</v>
      </c>
      <c r="B2727" s="46" t="s">
        <v>52484</v>
      </c>
      <c r="C2727" s="58" t="str">
        <f>"17489539"</f>
        <v>17489539</v>
      </c>
      <c r="D2727" s="58" t="str">
        <f>"17489547"</f>
        <v>17489547</v>
      </c>
      <c r="E2727" s="46" t="s">
        <v>291</v>
      </c>
      <c r="F2727" s="46" t="s">
        <v>50646</v>
      </c>
      <c r="G2727" s="46" t="s">
        <v>50584</v>
      </c>
      <c r="H2727" s="48" t="s">
        <v>56716</v>
      </c>
      <c r="I2727" s="48" t="s">
        <v>50564</v>
      </c>
      <c r="J2727" s="48" t="s">
        <v>56716</v>
      </c>
      <c r="K2727" s="50" t="s">
        <v>56716</v>
      </c>
      <c r="L2727" s="48"/>
    </row>
    <row r="2728" spans="1:12" s="37" customFormat="1" ht="11.25" x14ac:dyDescent="0.2">
      <c r="A2728" s="46" t="s">
        <v>10398</v>
      </c>
      <c r="B2728" s="46" t="s">
        <v>52485</v>
      </c>
      <c r="C2728" s="58" t="str">
        <f>"1741427X"</f>
        <v>1741427X</v>
      </c>
      <c r="D2728" s="58" t="str">
        <f>"17414288"</f>
        <v>17414288</v>
      </c>
      <c r="E2728" s="46" t="s">
        <v>1412</v>
      </c>
      <c r="F2728" s="46" t="s">
        <v>17759</v>
      </c>
      <c r="G2728" s="46" t="s">
        <v>50584</v>
      </c>
      <c r="H2728" s="48" t="s">
        <v>56716</v>
      </c>
      <c r="I2728" s="48" t="s">
        <v>50564</v>
      </c>
      <c r="J2728" s="48" t="s">
        <v>56716</v>
      </c>
      <c r="K2728" s="50"/>
      <c r="L2728" s="48"/>
    </row>
    <row r="2729" spans="1:12" s="37" customFormat="1" ht="11.25" x14ac:dyDescent="0.2">
      <c r="A2729" s="45" t="s">
        <v>28894</v>
      </c>
      <c r="B2729" s="45" t="s">
        <v>28896</v>
      </c>
      <c r="C2729" s="51" t="s">
        <v>28898</v>
      </c>
      <c r="D2729" s="51" t="s">
        <v>28897</v>
      </c>
      <c r="E2729" s="45" t="s">
        <v>315</v>
      </c>
      <c r="F2729" s="45" t="s">
        <v>50646</v>
      </c>
      <c r="G2729" s="45" t="s">
        <v>50584</v>
      </c>
      <c r="H2729" s="56"/>
      <c r="I2729" s="56" t="s">
        <v>50564</v>
      </c>
      <c r="J2729" s="56"/>
      <c r="K2729" s="50"/>
      <c r="L2729" s="56" t="s">
        <v>56716</v>
      </c>
    </row>
    <row r="2730" spans="1:12" s="37" customFormat="1" ht="11.25" x14ac:dyDescent="0.2">
      <c r="A2730" s="46" t="s">
        <v>7266</v>
      </c>
      <c r="B2730" s="46" t="s">
        <v>52486</v>
      </c>
      <c r="C2730" s="58" t="str">
        <f>"13565524"</f>
        <v>13565524</v>
      </c>
      <c r="D2730" s="58" t="str">
        <f>"14736810"</f>
        <v>14736810</v>
      </c>
      <c r="E2730" s="46" t="s">
        <v>159</v>
      </c>
      <c r="F2730" s="46" t="s">
        <v>50646</v>
      </c>
      <c r="G2730" s="46" t="s">
        <v>50584</v>
      </c>
      <c r="H2730" s="48" t="s">
        <v>56716</v>
      </c>
      <c r="I2730" s="48" t="s">
        <v>50564</v>
      </c>
      <c r="J2730" s="48"/>
      <c r="K2730" s="50"/>
      <c r="L2730" s="48" t="s">
        <v>56716</v>
      </c>
    </row>
    <row r="2731" spans="1:12" s="37" customFormat="1" ht="11.25" x14ac:dyDescent="0.2">
      <c r="A2731" s="45" t="s">
        <v>28905</v>
      </c>
      <c r="B2731" s="45" t="s">
        <v>28907</v>
      </c>
      <c r="C2731" s="51" t="s">
        <v>28909</v>
      </c>
      <c r="D2731" s="51" t="s">
        <v>28908</v>
      </c>
      <c r="E2731" s="45" t="s">
        <v>18616</v>
      </c>
      <c r="F2731" s="45" t="s">
        <v>50646</v>
      </c>
      <c r="G2731" s="45" t="s">
        <v>50584</v>
      </c>
      <c r="H2731" s="56"/>
      <c r="I2731" s="56" t="s">
        <v>50564</v>
      </c>
      <c r="J2731" s="56"/>
      <c r="K2731" s="50"/>
      <c r="L2731" s="56" t="s">
        <v>56716</v>
      </c>
    </row>
    <row r="2732" spans="1:12" s="37" customFormat="1" ht="11.25" x14ac:dyDescent="0.2">
      <c r="A2732" s="45" t="s">
        <v>28911</v>
      </c>
      <c r="B2732" s="45" t="s">
        <v>28913</v>
      </c>
      <c r="C2732" s="51" t="s">
        <v>28915</v>
      </c>
      <c r="D2732" s="51" t="s">
        <v>28914</v>
      </c>
      <c r="E2732" s="45" t="s">
        <v>28916</v>
      </c>
      <c r="F2732" s="45" t="s">
        <v>50646</v>
      </c>
      <c r="G2732" s="45" t="s">
        <v>50584</v>
      </c>
      <c r="H2732" s="56"/>
      <c r="I2732" s="56" t="s">
        <v>50564</v>
      </c>
      <c r="J2732" s="56"/>
      <c r="K2732" s="50"/>
      <c r="L2732" s="56" t="s">
        <v>56716</v>
      </c>
    </row>
    <row r="2733" spans="1:12" s="37" customFormat="1" ht="11.25" x14ac:dyDescent="0.2">
      <c r="A2733" s="46" t="s">
        <v>10782</v>
      </c>
      <c r="B2733" s="46" t="s">
        <v>52487</v>
      </c>
      <c r="C2733" s="58" t="str">
        <f>"15559203"</f>
        <v>15559203</v>
      </c>
      <c r="D2733" s="58" t="str">
        <f>"15559211"</f>
        <v>15559211</v>
      </c>
      <c r="E2733" s="46" t="s">
        <v>28</v>
      </c>
      <c r="F2733" s="46" t="s">
        <v>17759</v>
      </c>
      <c r="G2733" s="46" t="s">
        <v>50584</v>
      </c>
      <c r="H2733" s="48" t="s">
        <v>56716</v>
      </c>
      <c r="I2733" s="48" t="s">
        <v>50564</v>
      </c>
      <c r="J2733" s="48" t="s">
        <v>56716</v>
      </c>
      <c r="K2733" s="50"/>
      <c r="L2733" s="48"/>
    </row>
    <row r="2734" spans="1:12" s="37" customFormat="1" ht="11.25" x14ac:dyDescent="0.2">
      <c r="A2734" s="45" t="s">
        <v>28919</v>
      </c>
      <c r="B2734" s="45" t="s">
        <v>28921</v>
      </c>
      <c r="C2734" s="51" t="s">
        <v>28923</v>
      </c>
      <c r="D2734" s="51" t="s">
        <v>28922</v>
      </c>
      <c r="E2734" s="45" t="s">
        <v>22893</v>
      </c>
      <c r="F2734" s="45" t="s">
        <v>17759</v>
      </c>
      <c r="G2734" s="45" t="s">
        <v>50584</v>
      </c>
      <c r="H2734" s="56"/>
      <c r="I2734" s="56" t="s">
        <v>50564</v>
      </c>
      <c r="J2734" s="56"/>
      <c r="K2734" s="50"/>
      <c r="L2734" s="56" t="s">
        <v>56716</v>
      </c>
    </row>
    <row r="2735" spans="1:12" s="37" customFormat="1" ht="11.25" x14ac:dyDescent="0.2">
      <c r="A2735" s="46" t="s">
        <v>1582</v>
      </c>
      <c r="B2735" s="46" t="s">
        <v>52488</v>
      </c>
      <c r="C2735" s="58" t="str">
        <f>"00143855"</f>
        <v>00143855</v>
      </c>
      <c r="D2735" s="58" t="str">
        <f>"17696674"</f>
        <v>17696674</v>
      </c>
      <c r="E2735" s="46" t="s">
        <v>85</v>
      </c>
      <c r="F2735" s="46" t="s">
        <v>20359</v>
      </c>
      <c r="G2735" s="46" t="s">
        <v>50591</v>
      </c>
      <c r="H2735" s="48" t="s">
        <v>56716</v>
      </c>
      <c r="I2735" s="48" t="s">
        <v>50564</v>
      </c>
      <c r="J2735" s="48"/>
      <c r="K2735" s="50" t="s">
        <v>56716</v>
      </c>
      <c r="L2735" s="48"/>
    </row>
    <row r="2736" spans="1:12" s="37" customFormat="1" ht="11.25" x14ac:dyDescent="0.2">
      <c r="A2736" s="46" t="s">
        <v>16822</v>
      </c>
      <c r="B2736" s="46" t="s">
        <v>52489</v>
      </c>
      <c r="C2736" s="58" t="str">
        <f>""</f>
        <v/>
      </c>
      <c r="D2736" s="58" t="str">
        <f>"20506201"</f>
        <v>20506201</v>
      </c>
      <c r="E2736" s="46" t="s">
        <v>55</v>
      </c>
      <c r="F2736" s="46" t="s">
        <v>50646</v>
      </c>
      <c r="G2736" s="46" t="s">
        <v>50584</v>
      </c>
      <c r="H2736" s="48" t="s">
        <v>56716</v>
      </c>
      <c r="I2736" s="48" t="s">
        <v>50564</v>
      </c>
      <c r="J2736" s="48" t="s">
        <v>56716</v>
      </c>
      <c r="K2736" s="50"/>
      <c r="L2736" s="48"/>
    </row>
    <row r="2737" spans="1:12" s="37" customFormat="1" ht="11.25" x14ac:dyDescent="0.2">
      <c r="A2737" s="45" t="s">
        <v>28926</v>
      </c>
      <c r="B2737" s="45" t="s">
        <v>28928</v>
      </c>
      <c r="C2737" s="51" t="s">
        <v>28930</v>
      </c>
      <c r="D2737" s="51" t="s">
        <v>28929</v>
      </c>
      <c r="E2737" s="45" t="s">
        <v>970</v>
      </c>
      <c r="F2737" s="45" t="s">
        <v>17759</v>
      </c>
      <c r="G2737" s="45" t="s">
        <v>50584</v>
      </c>
      <c r="H2737" s="56"/>
      <c r="I2737" s="56" t="s">
        <v>50564</v>
      </c>
      <c r="J2737" s="56"/>
      <c r="K2737" s="50"/>
      <c r="L2737" s="56" t="s">
        <v>56716</v>
      </c>
    </row>
    <row r="2738" spans="1:12" s="37" customFormat="1" ht="11.25" x14ac:dyDescent="0.2">
      <c r="A2738" s="45" t="s">
        <v>28932</v>
      </c>
      <c r="B2738" s="45" t="s">
        <v>28934</v>
      </c>
      <c r="C2738" s="51" t="s">
        <v>28936</v>
      </c>
      <c r="D2738" s="51" t="s">
        <v>28935</v>
      </c>
      <c r="E2738" s="45" t="s">
        <v>19094</v>
      </c>
      <c r="F2738" s="45" t="s">
        <v>17759</v>
      </c>
      <c r="G2738" s="45" t="s">
        <v>50584</v>
      </c>
      <c r="H2738" s="56"/>
      <c r="I2738" s="56" t="s">
        <v>50564</v>
      </c>
      <c r="J2738" s="56"/>
      <c r="K2738" s="50"/>
      <c r="L2738" s="56" t="s">
        <v>56716</v>
      </c>
    </row>
    <row r="2739" spans="1:12" s="37" customFormat="1" ht="11.25" x14ac:dyDescent="0.2">
      <c r="A2739" s="46" t="s">
        <v>12231</v>
      </c>
      <c r="B2739" s="46" t="s">
        <v>52490</v>
      </c>
      <c r="C2739" s="58" t="str">
        <f>""</f>
        <v/>
      </c>
      <c r="D2739" s="58" t="str">
        <f>"11769343"</f>
        <v>11769343</v>
      </c>
      <c r="E2739" s="46" t="s">
        <v>11251</v>
      </c>
      <c r="F2739" s="46" t="s">
        <v>19483</v>
      </c>
      <c r="G2739" s="46" t="s">
        <v>50584</v>
      </c>
      <c r="H2739" s="48" t="s">
        <v>56716</v>
      </c>
      <c r="I2739" s="48" t="s">
        <v>50564</v>
      </c>
      <c r="J2739" s="48"/>
      <c r="K2739" s="50"/>
      <c r="L2739" s="48"/>
    </row>
    <row r="2740" spans="1:12" s="37" customFormat="1" ht="11.25" x14ac:dyDescent="0.2">
      <c r="A2740" s="45" t="s">
        <v>28938</v>
      </c>
      <c r="B2740" s="45" t="s">
        <v>28940</v>
      </c>
      <c r="C2740" s="51" t="s">
        <v>28942</v>
      </c>
      <c r="D2740" s="51" t="s">
        <v>28941</v>
      </c>
      <c r="E2740" s="45" t="s">
        <v>21642</v>
      </c>
      <c r="F2740" s="45" t="s">
        <v>17759</v>
      </c>
      <c r="G2740" s="45" t="s">
        <v>50584</v>
      </c>
      <c r="H2740" s="56"/>
      <c r="I2740" s="56" t="s">
        <v>50564</v>
      </c>
      <c r="J2740" s="56"/>
      <c r="K2740" s="50"/>
      <c r="L2740" s="56" t="s">
        <v>56716</v>
      </c>
    </row>
    <row r="2741" spans="1:12" s="37" customFormat="1" ht="11.25" x14ac:dyDescent="0.2">
      <c r="A2741" s="45" t="s">
        <v>28944</v>
      </c>
      <c r="B2741" s="45" t="s">
        <v>28946</v>
      </c>
      <c r="C2741" s="51"/>
      <c r="D2741" s="51" t="s">
        <v>28947</v>
      </c>
      <c r="E2741" s="45" t="s">
        <v>28948</v>
      </c>
      <c r="F2741" s="45" t="s">
        <v>50646</v>
      </c>
      <c r="G2741" s="45" t="s">
        <v>50584</v>
      </c>
      <c r="H2741" s="56"/>
      <c r="I2741" s="56" t="s">
        <v>50564</v>
      </c>
      <c r="J2741" s="56"/>
      <c r="K2741" s="50"/>
      <c r="L2741" s="56" t="s">
        <v>56716</v>
      </c>
    </row>
    <row r="2742" spans="1:12" s="37" customFormat="1" ht="11.25" x14ac:dyDescent="0.2">
      <c r="A2742" s="46" t="s">
        <v>16740</v>
      </c>
      <c r="B2742" s="46" t="s">
        <v>52491</v>
      </c>
      <c r="C2742" s="58" t="str">
        <f>"22343180"</f>
        <v>22343180</v>
      </c>
      <c r="D2742" s="58" t="str">
        <f>"22342591"</f>
        <v>22342591</v>
      </c>
      <c r="E2742" s="46" t="s">
        <v>16743</v>
      </c>
      <c r="F2742" s="46" t="s">
        <v>50649</v>
      </c>
      <c r="G2742" s="46" t="s">
        <v>50606</v>
      </c>
      <c r="H2742" s="48" t="s">
        <v>56716</v>
      </c>
      <c r="I2742" s="48" t="s">
        <v>50564</v>
      </c>
      <c r="J2742" s="48"/>
      <c r="K2742" s="50"/>
      <c r="L2742" s="48"/>
    </row>
    <row r="2743" spans="1:12" s="37" customFormat="1" ht="11.25" x14ac:dyDescent="0.2">
      <c r="A2743" s="46" t="s">
        <v>12769</v>
      </c>
      <c r="B2743" s="46" t="s">
        <v>52492</v>
      </c>
      <c r="C2743" s="58" t="str">
        <f>""</f>
        <v/>
      </c>
      <c r="D2743" s="58" t="str">
        <f>"16112156"</f>
        <v>16112156</v>
      </c>
      <c r="E2743" s="46" t="s">
        <v>12771</v>
      </c>
      <c r="F2743" s="46" t="s">
        <v>18158</v>
      </c>
      <c r="G2743" s="46" t="s">
        <v>50584</v>
      </c>
      <c r="H2743" s="48" t="s">
        <v>56716</v>
      </c>
      <c r="I2743" s="48" t="s">
        <v>50564</v>
      </c>
      <c r="J2743" s="48"/>
      <c r="K2743" s="50"/>
      <c r="L2743" s="48"/>
    </row>
    <row r="2744" spans="1:12" s="37" customFormat="1" ht="11.25" x14ac:dyDescent="0.2">
      <c r="A2744" s="45" t="s">
        <v>28951</v>
      </c>
      <c r="B2744" s="45" t="s">
        <v>28953</v>
      </c>
      <c r="C2744" s="51" t="s">
        <v>28955</v>
      </c>
      <c r="D2744" s="51" t="s">
        <v>28954</v>
      </c>
      <c r="E2744" s="45" t="s">
        <v>17758</v>
      </c>
      <c r="F2744" s="45" t="s">
        <v>17759</v>
      </c>
      <c r="G2744" s="45" t="s">
        <v>50584</v>
      </c>
      <c r="H2744" s="56"/>
      <c r="I2744" s="56" t="s">
        <v>50564</v>
      </c>
      <c r="J2744" s="56"/>
      <c r="K2744" s="50"/>
      <c r="L2744" s="56" t="s">
        <v>56716</v>
      </c>
    </row>
    <row r="2745" spans="1:12" s="37" customFormat="1" ht="11.25" x14ac:dyDescent="0.2">
      <c r="A2745" s="46" t="s">
        <v>6821</v>
      </c>
      <c r="B2745" s="46" t="s">
        <v>52493</v>
      </c>
      <c r="C2745" s="58" t="str">
        <f>"10775552"</f>
        <v>10775552</v>
      </c>
      <c r="D2745" s="58" t="str">
        <f>""</f>
        <v/>
      </c>
      <c r="E2745" s="46" t="s">
        <v>6823</v>
      </c>
      <c r="F2745" s="46" t="s">
        <v>17759</v>
      </c>
      <c r="G2745" s="46" t="s">
        <v>50584</v>
      </c>
      <c r="H2745" s="48" t="s">
        <v>56716</v>
      </c>
      <c r="I2745" s="48" t="s">
        <v>50564</v>
      </c>
      <c r="J2745" s="48"/>
      <c r="K2745" s="50"/>
      <c r="L2745" s="48" t="s">
        <v>56716</v>
      </c>
    </row>
    <row r="2746" spans="1:12" s="37" customFormat="1" ht="11.25" x14ac:dyDescent="0.2">
      <c r="A2746" s="45" t="s">
        <v>28962</v>
      </c>
      <c r="B2746" s="45" t="s">
        <v>28964</v>
      </c>
      <c r="C2746" s="51" t="s">
        <v>28966</v>
      </c>
      <c r="D2746" s="51" t="s">
        <v>28965</v>
      </c>
      <c r="E2746" s="45" t="s">
        <v>18876</v>
      </c>
      <c r="F2746" s="45" t="s">
        <v>18001</v>
      </c>
      <c r="G2746" s="45" t="s">
        <v>50584</v>
      </c>
      <c r="H2746" s="56"/>
      <c r="I2746" s="56" t="s">
        <v>50564</v>
      </c>
      <c r="J2746" s="56"/>
      <c r="K2746" s="50"/>
      <c r="L2746" s="56" t="s">
        <v>56716</v>
      </c>
    </row>
    <row r="2747" spans="1:12" s="37" customFormat="1" ht="11.25" x14ac:dyDescent="0.2">
      <c r="A2747" s="45" t="s">
        <v>28974</v>
      </c>
      <c r="B2747" s="45" t="s">
        <v>28976</v>
      </c>
      <c r="C2747" s="51" t="s">
        <v>28978</v>
      </c>
      <c r="D2747" s="51" t="s">
        <v>28977</v>
      </c>
      <c r="E2747" s="45" t="s">
        <v>689</v>
      </c>
      <c r="F2747" s="45" t="s">
        <v>17759</v>
      </c>
      <c r="G2747" s="45" t="s">
        <v>50584</v>
      </c>
      <c r="H2747" s="56"/>
      <c r="I2747" s="56" t="s">
        <v>50564</v>
      </c>
      <c r="J2747" s="56"/>
      <c r="K2747" s="50"/>
      <c r="L2747" s="56" t="s">
        <v>56716</v>
      </c>
    </row>
    <row r="2748" spans="1:12" s="37" customFormat="1" ht="11.25" x14ac:dyDescent="0.2">
      <c r="A2748" s="46" t="s">
        <v>6628</v>
      </c>
      <c r="B2748" s="46" t="s">
        <v>52495</v>
      </c>
      <c r="C2748" s="58" t="str">
        <f>"09477349"</f>
        <v>09477349</v>
      </c>
      <c r="D2748" s="58" t="str">
        <f>"14393646"</f>
        <v>14393646</v>
      </c>
      <c r="E2748" s="46" t="s">
        <v>412</v>
      </c>
      <c r="F2748" s="46" t="s">
        <v>18158</v>
      </c>
      <c r="G2748" s="46" t="s">
        <v>50584</v>
      </c>
      <c r="H2748" s="48" t="s">
        <v>56716</v>
      </c>
      <c r="I2748" s="48" t="s">
        <v>50564</v>
      </c>
      <c r="J2748" s="48" t="s">
        <v>56716</v>
      </c>
      <c r="K2748" s="50" t="s">
        <v>56716</v>
      </c>
      <c r="L2748" s="48" t="s">
        <v>56716</v>
      </c>
    </row>
    <row r="2749" spans="1:12" s="37" customFormat="1" ht="11.25" x14ac:dyDescent="0.2">
      <c r="A2749" s="46" t="s">
        <v>11834</v>
      </c>
      <c r="B2749" s="46" t="s">
        <v>52496</v>
      </c>
      <c r="C2749" s="58" t="str">
        <f>"17343038"</f>
        <v>17343038</v>
      </c>
      <c r="D2749" s="58" t="str">
        <f>""</f>
        <v/>
      </c>
      <c r="E2749" s="46" t="s">
        <v>9858</v>
      </c>
      <c r="F2749" s="46" t="s">
        <v>17967</v>
      </c>
      <c r="G2749" s="46" t="s">
        <v>50584</v>
      </c>
      <c r="H2749" s="48" t="s">
        <v>56716</v>
      </c>
      <c r="I2749" s="48" t="s">
        <v>50564</v>
      </c>
      <c r="J2749" s="48"/>
      <c r="K2749" s="50"/>
      <c r="L2749" s="48"/>
    </row>
    <row r="2750" spans="1:12" s="37" customFormat="1" ht="11.25" x14ac:dyDescent="0.2">
      <c r="A2750" s="46" t="s">
        <v>6123</v>
      </c>
      <c r="B2750" s="46" t="s">
        <v>52497</v>
      </c>
      <c r="C2750" s="58" t="str">
        <f>"10641297"</f>
        <v>10641297</v>
      </c>
      <c r="D2750" s="58" t="str">
        <f>"19362293"</f>
        <v>19362293</v>
      </c>
      <c r="E2750" s="46" t="s">
        <v>356</v>
      </c>
      <c r="F2750" s="46" t="s">
        <v>17759</v>
      </c>
      <c r="G2750" s="46" t="s">
        <v>50584</v>
      </c>
      <c r="H2750" s="48" t="s">
        <v>56716</v>
      </c>
      <c r="I2750" s="48" t="s">
        <v>50564</v>
      </c>
      <c r="J2750" s="48"/>
      <c r="K2750" s="50" t="s">
        <v>56716</v>
      </c>
      <c r="L2750" s="48" t="s">
        <v>56716</v>
      </c>
    </row>
    <row r="2751" spans="1:12" s="37" customFormat="1" ht="11.25" x14ac:dyDescent="0.2">
      <c r="A2751" s="46" t="s">
        <v>10971</v>
      </c>
      <c r="B2751" s="46" t="s">
        <v>52498</v>
      </c>
      <c r="C2751" s="58" t="str">
        <f>"13040855"</f>
        <v>13040855</v>
      </c>
      <c r="D2751" s="58" t="str">
        <f>""</f>
        <v/>
      </c>
      <c r="E2751" s="46" t="s">
        <v>10973</v>
      </c>
      <c r="F2751" s="46" t="s">
        <v>18396</v>
      </c>
      <c r="G2751" s="46" t="s">
        <v>50584</v>
      </c>
      <c r="H2751" s="48" t="s">
        <v>56716</v>
      </c>
      <c r="I2751" s="48" t="s">
        <v>50564</v>
      </c>
      <c r="J2751" s="48"/>
      <c r="K2751" s="50"/>
      <c r="L2751" s="48" t="s">
        <v>56716</v>
      </c>
    </row>
    <row r="2752" spans="1:12" s="37" customFormat="1" ht="11.25" x14ac:dyDescent="0.2">
      <c r="A2752" s="46" t="s">
        <v>6926</v>
      </c>
      <c r="B2752" s="46" t="s">
        <v>52499</v>
      </c>
      <c r="C2752" s="58" t="str">
        <f>"12263613"</f>
        <v>12263613</v>
      </c>
      <c r="D2752" s="58" t="str">
        <f>"20926413"</f>
        <v>20926413</v>
      </c>
      <c r="E2752" s="46" t="s">
        <v>315</v>
      </c>
      <c r="F2752" s="46" t="s">
        <v>50646</v>
      </c>
      <c r="G2752" s="46" t="s">
        <v>50584</v>
      </c>
      <c r="H2752" s="48" t="s">
        <v>56716</v>
      </c>
      <c r="I2752" s="48" t="s">
        <v>50564</v>
      </c>
      <c r="J2752" s="48"/>
      <c r="K2752" s="50"/>
      <c r="L2752" s="48" t="s">
        <v>56716</v>
      </c>
    </row>
    <row r="2753" spans="1:12" s="37" customFormat="1" ht="11.25" x14ac:dyDescent="0.2">
      <c r="A2753" s="46" t="s">
        <v>1600</v>
      </c>
      <c r="B2753" s="46" t="s">
        <v>52500</v>
      </c>
      <c r="C2753" s="58" t="str">
        <f>"00144800"</f>
        <v>00144800</v>
      </c>
      <c r="D2753" s="58" t="str">
        <f>"10960945"</f>
        <v>10960945</v>
      </c>
      <c r="E2753" s="46" t="s">
        <v>60</v>
      </c>
      <c r="F2753" s="46" t="s">
        <v>17759</v>
      </c>
      <c r="G2753" s="46" t="s">
        <v>50584</v>
      </c>
      <c r="H2753" s="48" t="s">
        <v>56716</v>
      </c>
      <c r="I2753" s="48" t="s">
        <v>50564</v>
      </c>
      <c r="J2753" s="48"/>
      <c r="K2753" s="50"/>
      <c r="L2753" s="48" t="s">
        <v>56716</v>
      </c>
    </row>
    <row r="2754" spans="1:12" s="37" customFormat="1" ht="11.25" x14ac:dyDescent="0.2">
      <c r="A2754" s="46" t="s">
        <v>14556</v>
      </c>
      <c r="B2754" s="46" t="s">
        <v>52501</v>
      </c>
      <c r="C2754" s="58" t="str">
        <f>"17920981"</f>
        <v>17920981</v>
      </c>
      <c r="D2754" s="58" t="str">
        <f>"17921015"</f>
        <v>17921015</v>
      </c>
      <c r="E2754" s="46" t="s">
        <v>5951</v>
      </c>
      <c r="F2754" s="46" t="s">
        <v>20969</v>
      </c>
      <c r="G2754" s="46" t="s">
        <v>50584</v>
      </c>
      <c r="H2754" s="48" t="s">
        <v>56716</v>
      </c>
      <c r="I2754" s="48" t="s">
        <v>50564</v>
      </c>
      <c r="J2754" s="48"/>
      <c r="K2754" s="50"/>
      <c r="L2754" s="48"/>
    </row>
    <row r="2755" spans="1:12" s="37" customFormat="1" ht="11.25" x14ac:dyDescent="0.2">
      <c r="A2755" s="46" t="s">
        <v>5712</v>
      </c>
      <c r="B2755" s="46" t="s">
        <v>52502</v>
      </c>
      <c r="C2755" s="58" t="str">
        <f>"09402993"</f>
        <v>09402993</v>
      </c>
      <c r="D2755" s="58" t="str">
        <f>"16181433"</f>
        <v>16181433</v>
      </c>
      <c r="E2755" s="46" t="s">
        <v>241</v>
      </c>
      <c r="F2755" s="46" t="s">
        <v>18158</v>
      </c>
      <c r="G2755" s="46" t="s">
        <v>50584</v>
      </c>
      <c r="H2755" s="48" t="s">
        <v>56716</v>
      </c>
      <c r="I2755" s="48" t="s">
        <v>50564</v>
      </c>
      <c r="J2755" s="48"/>
      <c r="K2755" s="50" t="s">
        <v>56716</v>
      </c>
      <c r="L2755" s="48" t="s">
        <v>56716</v>
      </c>
    </row>
    <row r="2756" spans="1:12" s="37" customFormat="1" ht="11.25" x14ac:dyDescent="0.2">
      <c r="A2756" s="46" t="s">
        <v>14391</v>
      </c>
      <c r="B2756" s="46" t="s">
        <v>52503</v>
      </c>
      <c r="C2756" s="58" t="str">
        <f>""</f>
        <v/>
      </c>
      <c r="D2756" s="58" t="str">
        <f>"20407378"</f>
        <v>20407378</v>
      </c>
      <c r="E2756" s="46" t="s">
        <v>2299</v>
      </c>
      <c r="F2756" s="46" t="s">
        <v>50646</v>
      </c>
      <c r="G2756" s="46" t="s">
        <v>50584</v>
      </c>
      <c r="H2756" s="48" t="s">
        <v>56716</v>
      </c>
      <c r="I2756" s="48" t="s">
        <v>50564</v>
      </c>
      <c r="J2756" s="48" t="s">
        <v>56716</v>
      </c>
      <c r="K2756" s="50" t="s">
        <v>56716</v>
      </c>
      <c r="L2756" s="48"/>
    </row>
    <row r="2757" spans="1:12" s="37" customFormat="1" ht="11.25" x14ac:dyDescent="0.2">
      <c r="A2757" s="46" t="s">
        <v>9447</v>
      </c>
      <c r="B2757" s="46" t="s">
        <v>52504</v>
      </c>
      <c r="C2757" s="58" t="str">
        <f>"13411357"</f>
        <v>13411357</v>
      </c>
      <c r="D2757" s="58" t="str">
        <f>""</f>
        <v/>
      </c>
      <c r="E2757" s="46" t="s">
        <v>9449</v>
      </c>
      <c r="F2757" s="46" t="s">
        <v>18242</v>
      </c>
      <c r="G2757" s="46" t="s">
        <v>50584</v>
      </c>
      <c r="H2757" s="48" t="s">
        <v>56716</v>
      </c>
      <c r="I2757" s="48" t="s">
        <v>50564</v>
      </c>
      <c r="J2757" s="48"/>
      <c r="K2757" s="50"/>
      <c r="L2757" s="48" t="s">
        <v>56716</v>
      </c>
    </row>
    <row r="2758" spans="1:12" s="37" customFormat="1" ht="11.25" x14ac:dyDescent="0.2">
      <c r="A2758" s="46" t="s">
        <v>8928</v>
      </c>
      <c r="B2758" s="46" t="s">
        <v>52505</v>
      </c>
      <c r="C2758" s="58" t="str">
        <f>"15353702"</f>
        <v>15353702</v>
      </c>
      <c r="D2758" s="58" t="str">
        <f>"15353699"</f>
        <v>15353699</v>
      </c>
      <c r="E2758" s="46" t="s">
        <v>493</v>
      </c>
      <c r="F2758" s="46" t="s">
        <v>17759</v>
      </c>
      <c r="G2758" s="46" t="s">
        <v>50584</v>
      </c>
      <c r="H2758" s="48" t="s">
        <v>56716</v>
      </c>
      <c r="I2758" s="48" t="s">
        <v>50564</v>
      </c>
      <c r="J2758" s="48"/>
      <c r="K2758" s="50"/>
      <c r="L2758" s="48" t="s">
        <v>56716</v>
      </c>
    </row>
    <row r="2759" spans="1:12" s="37" customFormat="1" ht="11.25" x14ac:dyDescent="0.2">
      <c r="A2759" s="46" t="s">
        <v>1585</v>
      </c>
      <c r="B2759" s="46" t="s">
        <v>52506</v>
      </c>
      <c r="C2759" s="58" t="str">
        <f>"00144819"</f>
        <v>00144819</v>
      </c>
      <c r="D2759" s="58" t="str">
        <f>"14321106"</f>
        <v>14321106</v>
      </c>
      <c r="E2759" s="46" t="s">
        <v>167</v>
      </c>
      <c r="F2759" s="46" t="s">
        <v>18158</v>
      </c>
      <c r="G2759" s="46" t="s">
        <v>50584</v>
      </c>
      <c r="H2759" s="48" t="s">
        <v>56716</v>
      </c>
      <c r="I2759" s="48" t="s">
        <v>50564</v>
      </c>
      <c r="J2759" s="48" t="s">
        <v>56716</v>
      </c>
      <c r="K2759" s="50" t="s">
        <v>56716</v>
      </c>
      <c r="L2759" s="48" t="s">
        <v>56716</v>
      </c>
    </row>
    <row r="2760" spans="1:12" s="37" customFormat="1" ht="11.25" x14ac:dyDescent="0.2">
      <c r="A2760" s="46" t="s">
        <v>1457</v>
      </c>
      <c r="B2760" s="46" t="s">
        <v>52507</v>
      </c>
      <c r="C2760" s="58" t="str">
        <f>"00144827"</f>
        <v>00144827</v>
      </c>
      <c r="D2760" s="58" t="str">
        <f>"10902422"</f>
        <v>10902422</v>
      </c>
      <c r="E2760" s="46" t="s">
        <v>60</v>
      </c>
      <c r="F2760" s="46" t="s">
        <v>17759</v>
      </c>
      <c r="G2760" s="46" t="s">
        <v>50584</v>
      </c>
      <c r="H2760" s="48" t="s">
        <v>56716</v>
      </c>
      <c r="I2760" s="48" t="s">
        <v>50564</v>
      </c>
      <c r="J2760" s="48" t="s">
        <v>56716</v>
      </c>
      <c r="K2760" s="50" t="s">
        <v>56716</v>
      </c>
      <c r="L2760" s="48" t="s">
        <v>56716</v>
      </c>
    </row>
    <row r="2761" spans="1:12" s="37" customFormat="1" ht="11.25" x14ac:dyDescent="0.2">
      <c r="A2761" s="46" t="s">
        <v>5959</v>
      </c>
      <c r="B2761" s="46" t="s">
        <v>52508</v>
      </c>
      <c r="C2761" s="58" t="str">
        <f>"09066705"</f>
        <v>09066705</v>
      </c>
      <c r="D2761" s="58" t="str">
        <f>"16000625"</f>
        <v>16000625</v>
      </c>
      <c r="E2761" s="46" t="s">
        <v>35</v>
      </c>
      <c r="F2761" s="46" t="s">
        <v>50646</v>
      </c>
      <c r="G2761" s="46" t="s">
        <v>50584</v>
      </c>
      <c r="H2761" s="48" t="s">
        <v>56716</v>
      </c>
      <c r="I2761" s="48" t="s">
        <v>50564</v>
      </c>
      <c r="J2761" s="48"/>
      <c r="K2761" s="50" t="s">
        <v>56716</v>
      </c>
      <c r="L2761" s="48" t="s">
        <v>56716</v>
      </c>
    </row>
    <row r="2762" spans="1:12" s="37" customFormat="1" ht="11.25" x14ac:dyDescent="0.2">
      <c r="A2762" s="46" t="s">
        <v>1588</v>
      </c>
      <c r="B2762" s="46" t="s">
        <v>52509</v>
      </c>
      <c r="C2762" s="58" t="str">
        <f>"00144835"</f>
        <v>00144835</v>
      </c>
      <c r="D2762" s="58" t="str">
        <f>"10960007"</f>
        <v>10960007</v>
      </c>
      <c r="E2762" s="46" t="s">
        <v>601</v>
      </c>
      <c r="F2762" s="46" t="s">
        <v>50646</v>
      </c>
      <c r="G2762" s="46" t="s">
        <v>50584</v>
      </c>
      <c r="H2762" s="48" t="s">
        <v>56716</v>
      </c>
      <c r="I2762" s="48" t="s">
        <v>50564</v>
      </c>
      <c r="J2762" s="48" t="s">
        <v>56716</v>
      </c>
      <c r="K2762" s="50" t="s">
        <v>56716</v>
      </c>
      <c r="L2762" s="48" t="s">
        <v>56716</v>
      </c>
    </row>
    <row r="2763" spans="1:12" s="37" customFormat="1" ht="11.25" x14ac:dyDescent="0.2">
      <c r="A2763" s="46" t="s">
        <v>1591</v>
      </c>
      <c r="B2763" s="46" t="s">
        <v>52510</v>
      </c>
      <c r="C2763" s="58" t="str">
        <f>"05315565"</f>
        <v>05315565</v>
      </c>
      <c r="D2763" s="58" t="str">
        <f>"18736815"</f>
        <v>18736815</v>
      </c>
      <c r="E2763" s="46" t="s">
        <v>272</v>
      </c>
      <c r="F2763" s="46" t="s">
        <v>17759</v>
      </c>
      <c r="G2763" s="46" t="s">
        <v>50584</v>
      </c>
      <c r="H2763" s="48" t="s">
        <v>56716</v>
      </c>
      <c r="I2763" s="48" t="s">
        <v>50564</v>
      </c>
      <c r="J2763" s="48" t="s">
        <v>56716</v>
      </c>
      <c r="K2763" s="50" t="s">
        <v>56716</v>
      </c>
      <c r="L2763" s="48" t="s">
        <v>56716</v>
      </c>
    </row>
    <row r="2764" spans="1:12" s="37" customFormat="1" ht="11.25" x14ac:dyDescent="0.2">
      <c r="A2764" s="46" t="s">
        <v>1594</v>
      </c>
      <c r="B2764" s="46" t="s">
        <v>52511</v>
      </c>
      <c r="C2764" s="58" t="str">
        <f>"0301472X"</f>
        <v>0301472X</v>
      </c>
      <c r="D2764" s="58" t="str">
        <f>"18732399"</f>
        <v>18732399</v>
      </c>
      <c r="E2764" s="46" t="s">
        <v>272</v>
      </c>
      <c r="F2764" s="46" t="s">
        <v>17759</v>
      </c>
      <c r="G2764" s="46" t="s">
        <v>50584</v>
      </c>
      <c r="H2764" s="48" t="s">
        <v>56716</v>
      </c>
      <c r="I2764" s="48" t="s">
        <v>50564</v>
      </c>
      <c r="J2764" s="48" t="s">
        <v>56716</v>
      </c>
      <c r="K2764" s="50" t="s">
        <v>56716</v>
      </c>
      <c r="L2764" s="48" t="s">
        <v>56716</v>
      </c>
    </row>
    <row r="2765" spans="1:12" s="37" customFormat="1" ht="11.25" x14ac:dyDescent="0.2">
      <c r="A2765" s="46" t="s">
        <v>16463</v>
      </c>
      <c r="B2765" s="46" t="s">
        <v>52512</v>
      </c>
      <c r="C2765" s="58" t="str">
        <f>""</f>
        <v/>
      </c>
      <c r="D2765" s="58" t="str">
        <f>"21623619"</f>
        <v>21623619</v>
      </c>
      <c r="E2765" s="46" t="s">
        <v>2299</v>
      </c>
      <c r="F2765" s="46" t="s">
        <v>50646</v>
      </c>
      <c r="G2765" s="46" t="s">
        <v>50584</v>
      </c>
      <c r="H2765" s="48" t="s">
        <v>56716</v>
      </c>
      <c r="I2765" s="48" t="s">
        <v>50564</v>
      </c>
      <c r="J2765" s="48" t="s">
        <v>56716</v>
      </c>
      <c r="K2765" s="50" t="s">
        <v>56716</v>
      </c>
      <c r="L2765" s="48"/>
    </row>
    <row r="2766" spans="1:12" s="37" customFormat="1" ht="11.25" x14ac:dyDescent="0.2">
      <c r="A2766" s="46" t="s">
        <v>1597</v>
      </c>
      <c r="B2766" s="46" t="s">
        <v>52513</v>
      </c>
      <c r="C2766" s="58" t="str">
        <f>"01902148"</f>
        <v>01902148</v>
      </c>
      <c r="D2766" s="58" t="str">
        <f>"15210499"</f>
        <v>15210499</v>
      </c>
      <c r="E2766" s="46" t="s">
        <v>291</v>
      </c>
      <c r="F2766" s="46" t="s">
        <v>17759</v>
      </c>
      <c r="G2766" s="46" t="s">
        <v>50584</v>
      </c>
      <c r="H2766" s="48" t="s">
        <v>56716</v>
      </c>
      <c r="I2766" s="48" t="s">
        <v>50564</v>
      </c>
      <c r="J2766" s="48" t="s">
        <v>56716</v>
      </c>
      <c r="K2766" s="50"/>
      <c r="L2766" s="48" t="s">
        <v>56716</v>
      </c>
    </row>
    <row r="2767" spans="1:12" s="37" customFormat="1" ht="11.25" x14ac:dyDescent="0.2">
      <c r="A2767" s="46" t="s">
        <v>1603</v>
      </c>
      <c r="B2767" s="46" t="s">
        <v>52514</v>
      </c>
      <c r="C2767" s="58" t="str">
        <f>"00144886"</f>
        <v>00144886</v>
      </c>
      <c r="D2767" s="58" t="str">
        <f>"10902430"</f>
        <v>10902430</v>
      </c>
      <c r="E2767" s="46" t="s">
        <v>60</v>
      </c>
      <c r="F2767" s="46" t="s">
        <v>17759</v>
      </c>
      <c r="G2767" s="46" t="s">
        <v>50584</v>
      </c>
      <c r="H2767" s="48" t="s">
        <v>56716</v>
      </c>
      <c r="I2767" s="48" t="s">
        <v>50564</v>
      </c>
      <c r="J2767" s="48" t="s">
        <v>56716</v>
      </c>
      <c r="K2767" s="50" t="s">
        <v>56716</v>
      </c>
      <c r="L2767" s="48" t="s">
        <v>56716</v>
      </c>
    </row>
    <row r="2768" spans="1:12" s="37" customFormat="1" ht="11.25" x14ac:dyDescent="0.2">
      <c r="A2768" s="46" t="s">
        <v>7279</v>
      </c>
      <c r="B2768" s="46" t="s">
        <v>52515</v>
      </c>
      <c r="C2768" s="58" t="str">
        <f>"18129269"</f>
        <v>18129269</v>
      </c>
      <c r="D2768" s="58" t="str">
        <f>""</f>
        <v/>
      </c>
      <c r="E2768" s="46" t="s">
        <v>7281</v>
      </c>
      <c r="F2768" s="46" t="s">
        <v>29064</v>
      </c>
      <c r="G2768" s="46" t="s">
        <v>50584</v>
      </c>
      <c r="H2768" s="48" t="s">
        <v>56716</v>
      </c>
      <c r="I2768" s="48" t="s">
        <v>50564</v>
      </c>
      <c r="J2768" s="48"/>
      <c r="K2768" s="50"/>
      <c r="L2768" s="48" t="s">
        <v>56716</v>
      </c>
    </row>
    <row r="2769" spans="1:12" s="37" customFormat="1" ht="11.25" x14ac:dyDescent="0.2">
      <c r="A2769" s="46" t="s">
        <v>1606</v>
      </c>
      <c r="B2769" s="46" t="s">
        <v>52516</v>
      </c>
      <c r="C2769" s="58" t="str">
        <f>"00144894"</f>
        <v>00144894</v>
      </c>
      <c r="D2769" s="58" t="str">
        <f>"10902449"</f>
        <v>10902449</v>
      </c>
      <c r="E2769" s="46" t="s">
        <v>60</v>
      </c>
      <c r="F2769" s="46" t="s">
        <v>17759</v>
      </c>
      <c r="G2769" s="46" t="s">
        <v>50584</v>
      </c>
      <c r="H2769" s="48" t="s">
        <v>56716</v>
      </c>
      <c r="I2769" s="48" t="s">
        <v>50564</v>
      </c>
      <c r="J2769" s="48" t="s">
        <v>56716</v>
      </c>
      <c r="K2769" s="50" t="s">
        <v>56716</v>
      </c>
      <c r="L2769" s="48" t="s">
        <v>56716</v>
      </c>
    </row>
    <row r="2770" spans="1:12" s="37" customFormat="1" ht="11.25" x14ac:dyDescent="0.2">
      <c r="A2770" s="46" t="s">
        <v>5199</v>
      </c>
      <c r="B2770" s="46" t="s">
        <v>52517</v>
      </c>
      <c r="C2770" s="58" t="str">
        <f>"09580670"</f>
        <v>09580670</v>
      </c>
      <c r="D2770" s="58" t="str">
        <f>"1469445X"</f>
        <v>1469445X</v>
      </c>
      <c r="E2770" s="46" t="s">
        <v>35</v>
      </c>
      <c r="F2770" s="46" t="s">
        <v>50646</v>
      </c>
      <c r="G2770" s="46" t="s">
        <v>50584</v>
      </c>
      <c r="H2770" s="48" t="s">
        <v>56716</v>
      </c>
      <c r="I2770" s="48" t="s">
        <v>50564</v>
      </c>
      <c r="J2770" s="48"/>
      <c r="K2770" s="50" t="s">
        <v>56716</v>
      </c>
      <c r="L2770" s="48" t="s">
        <v>56716</v>
      </c>
    </row>
    <row r="2771" spans="1:12" s="37" customFormat="1" ht="11.25" x14ac:dyDescent="0.2">
      <c r="A2771" s="45" t="s">
        <v>29074</v>
      </c>
      <c r="B2771" s="45" t="s">
        <v>29076</v>
      </c>
      <c r="C2771" s="51" t="s">
        <v>29078</v>
      </c>
      <c r="D2771" s="51"/>
      <c r="E2771" s="45" t="s">
        <v>29079</v>
      </c>
      <c r="F2771" s="45" t="s">
        <v>18158</v>
      </c>
      <c r="G2771" s="45" t="s">
        <v>50584</v>
      </c>
      <c r="H2771" s="56"/>
      <c r="I2771" s="56" t="s">
        <v>50564</v>
      </c>
      <c r="J2771" s="56"/>
      <c r="K2771" s="50"/>
      <c r="L2771" s="56" t="s">
        <v>56716</v>
      </c>
    </row>
    <row r="2772" spans="1:12" s="37" customFormat="1" ht="11.25" x14ac:dyDescent="0.2">
      <c r="A2772" s="46" t="s">
        <v>9034</v>
      </c>
      <c r="B2772" s="46" t="s">
        <v>52518</v>
      </c>
      <c r="C2772" s="58" t="str">
        <f>"14712598"</f>
        <v>14712598</v>
      </c>
      <c r="D2772" s="58" t="str">
        <f>"17447682"</f>
        <v>17447682</v>
      </c>
      <c r="E2772" s="46" t="s">
        <v>291</v>
      </c>
      <c r="F2772" s="46" t="s">
        <v>50646</v>
      </c>
      <c r="G2772" s="46" t="s">
        <v>50584</v>
      </c>
      <c r="H2772" s="48" t="s">
        <v>56716</v>
      </c>
      <c r="I2772" s="48" t="s">
        <v>50564</v>
      </c>
      <c r="J2772" s="48"/>
      <c r="K2772" s="50"/>
      <c r="L2772" s="48" t="s">
        <v>56716</v>
      </c>
    </row>
    <row r="2773" spans="1:12" s="37" customFormat="1" ht="11.25" x14ac:dyDescent="0.2">
      <c r="A2773" s="46" t="s">
        <v>10540</v>
      </c>
      <c r="B2773" s="46" t="s">
        <v>52519</v>
      </c>
      <c r="C2773" s="58" t="str">
        <f>"17425247"</f>
        <v>17425247</v>
      </c>
      <c r="D2773" s="58" t="str">
        <f>"17447593"</f>
        <v>17447593</v>
      </c>
      <c r="E2773" s="46" t="s">
        <v>291</v>
      </c>
      <c r="F2773" s="46" t="s">
        <v>50646</v>
      </c>
      <c r="G2773" s="46" t="s">
        <v>50584</v>
      </c>
      <c r="H2773" s="48" t="s">
        <v>56716</v>
      </c>
      <c r="I2773" s="48" t="s">
        <v>50564</v>
      </c>
      <c r="J2773" s="48"/>
      <c r="K2773" s="50"/>
      <c r="L2773" s="48" t="s">
        <v>56716</v>
      </c>
    </row>
    <row r="2774" spans="1:12" s="37" customFormat="1" ht="11.25" x14ac:dyDescent="0.2">
      <c r="A2774" s="46" t="s">
        <v>11836</v>
      </c>
      <c r="B2774" s="46" t="s">
        <v>52520</v>
      </c>
      <c r="C2774" s="58" t="str">
        <f>"17460441"</f>
        <v>17460441</v>
      </c>
      <c r="D2774" s="58" t="str">
        <f>"1746045X"</f>
        <v>1746045X</v>
      </c>
      <c r="E2774" s="46" t="s">
        <v>291</v>
      </c>
      <c r="F2774" s="46" t="s">
        <v>50646</v>
      </c>
      <c r="G2774" s="46" t="s">
        <v>50584</v>
      </c>
      <c r="H2774" s="48" t="s">
        <v>56716</v>
      </c>
      <c r="I2774" s="48" t="s">
        <v>50564</v>
      </c>
      <c r="J2774" s="48" t="s">
        <v>56716</v>
      </c>
      <c r="K2774" s="50"/>
      <c r="L2774" s="48" t="s">
        <v>56716</v>
      </c>
    </row>
    <row r="2775" spans="1:12" s="37" customFormat="1" ht="11.25" x14ac:dyDescent="0.2">
      <c r="A2775" s="46" t="s">
        <v>10954</v>
      </c>
      <c r="B2775" s="46" t="s">
        <v>52521</v>
      </c>
      <c r="C2775" s="58" t="str">
        <f>"17425255"</f>
        <v>17425255</v>
      </c>
      <c r="D2775" s="58" t="str">
        <f>"17447607"</f>
        <v>17447607</v>
      </c>
      <c r="E2775" s="46" t="s">
        <v>291</v>
      </c>
      <c r="F2775" s="46" t="s">
        <v>50646</v>
      </c>
      <c r="G2775" s="46" t="s">
        <v>50584</v>
      </c>
      <c r="H2775" s="48" t="s">
        <v>56716</v>
      </c>
      <c r="I2775" s="48" t="s">
        <v>50564</v>
      </c>
      <c r="J2775" s="48"/>
      <c r="K2775" s="50"/>
      <c r="L2775" s="48" t="s">
        <v>56716</v>
      </c>
    </row>
    <row r="2776" spans="1:12" s="37" customFormat="1" ht="11.25" x14ac:dyDescent="0.2">
      <c r="A2776" s="46" t="s">
        <v>10018</v>
      </c>
      <c r="B2776" s="46" t="s">
        <v>52522</v>
      </c>
      <c r="C2776" s="58" t="str">
        <f>"14740338"</f>
        <v>14740338</v>
      </c>
      <c r="D2776" s="58" t="str">
        <f>"1744764X"</f>
        <v>1744764X</v>
      </c>
      <c r="E2776" s="46" t="s">
        <v>291</v>
      </c>
      <c r="F2776" s="46" t="s">
        <v>50646</v>
      </c>
      <c r="G2776" s="46" t="s">
        <v>50584</v>
      </c>
      <c r="H2776" s="48" t="s">
        <v>56716</v>
      </c>
      <c r="I2776" s="48" t="s">
        <v>50564</v>
      </c>
      <c r="J2776" s="48"/>
      <c r="K2776" s="50"/>
      <c r="L2776" s="48" t="s">
        <v>56716</v>
      </c>
    </row>
    <row r="2777" spans="1:12" s="37" customFormat="1" ht="11.25" x14ac:dyDescent="0.2">
      <c r="A2777" s="46" t="s">
        <v>9219</v>
      </c>
      <c r="B2777" s="46" t="s">
        <v>52523</v>
      </c>
      <c r="C2777" s="58" t="str">
        <f>"14728214"</f>
        <v>14728214</v>
      </c>
      <c r="D2777" s="58" t="str">
        <f>"17447623"</f>
        <v>17447623</v>
      </c>
      <c r="E2777" s="46" t="s">
        <v>291</v>
      </c>
      <c r="F2777" s="46" t="s">
        <v>50646</v>
      </c>
      <c r="G2777" s="46" t="s">
        <v>50584</v>
      </c>
      <c r="H2777" s="48" t="s">
        <v>56716</v>
      </c>
      <c r="I2777" s="48" t="s">
        <v>50564</v>
      </c>
      <c r="J2777" s="48"/>
      <c r="K2777" s="50"/>
      <c r="L2777" s="48" t="s">
        <v>56716</v>
      </c>
    </row>
    <row r="2778" spans="1:12" s="37" customFormat="1" ht="11.25" x14ac:dyDescent="0.2">
      <c r="A2778" s="46" t="s">
        <v>6290</v>
      </c>
      <c r="B2778" s="46" t="s">
        <v>52524</v>
      </c>
      <c r="C2778" s="58" t="str">
        <f>"13543784"</f>
        <v>13543784</v>
      </c>
      <c r="D2778" s="58" t="str">
        <f>"17447658"</f>
        <v>17447658</v>
      </c>
      <c r="E2778" s="46" t="s">
        <v>291</v>
      </c>
      <c r="F2778" s="46" t="s">
        <v>50646</v>
      </c>
      <c r="G2778" s="46" t="s">
        <v>50584</v>
      </c>
      <c r="H2778" s="48" t="s">
        <v>56716</v>
      </c>
      <c r="I2778" s="48" t="s">
        <v>50564</v>
      </c>
      <c r="J2778" s="48"/>
      <c r="K2778" s="50"/>
      <c r="L2778" s="48" t="s">
        <v>56716</v>
      </c>
    </row>
    <row r="2779" spans="1:12" s="37" customFormat="1" ht="11.25" x14ac:dyDescent="0.2">
      <c r="A2779" s="45" t="s">
        <v>29115</v>
      </c>
      <c r="B2779" s="45" t="s">
        <v>29117</v>
      </c>
      <c r="C2779" s="51" t="s">
        <v>12605</v>
      </c>
      <c r="D2779" s="51" t="s">
        <v>12606</v>
      </c>
      <c r="E2779" s="45" t="s">
        <v>291</v>
      </c>
      <c r="F2779" s="45" t="s">
        <v>50646</v>
      </c>
      <c r="G2779" s="45" t="s">
        <v>50584</v>
      </c>
      <c r="H2779" s="56"/>
      <c r="I2779" s="56" t="s">
        <v>50564</v>
      </c>
      <c r="J2779" s="56"/>
      <c r="K2779" s="50"/>
      <c r="L2779" s="56" t="s">
        <v>56716</v>
      </c>
    </row>
    <row r="2780" spans="1:12" s="37" customFormat="1" ht="11.25" x14ac:dyDescent="0.2">
      <c r="A2780" s="46" t="s">
        <v>17397</v>
      </c>
      <c r="B2780" s="46" t="s">
        <v>52525</v>
      </c>
      <c r="C2780" s="58" t="str">
        <f>""</f>
        <v/>
      </c>
      <c r="D2780" s="58" t="str">
        <f>"21678707"</f>
        <v>21678707</v>
      </c>
      <c r="E2780" s="46" t="s">
        <v>291</v>
      </c>
      <c r="F2780" s="46" t="s">
        <v>50646</v>
      </c>
      <c r="G2780" s="46" t="s">
        <v>50584</v>
      </c>
      <c r="H2780" s="48" t="s">
        <v>56716</v>
      </c>
      <c r="I2780" s="48" t="s">
        <v>50564</v>
      </c>
      <c r="J2780" s="48" t="s">
        <v>56716</v>
      </c>
      <c r="K2780" s="50"/>
      <c r="L2780" s="48"/>
    </row>
    <row r="2781" spans="1:12" s="37" customFormat="1" ht="11.25" x14ac:dyDescent="0.2">
      <c r="A2781" s="46" t="s">
        <v>8436</v>
      </c>
      <c r="B2781" s="46" t="s">
        <v>52526</v>
      </c>
      <c r="C2781" s="58" t="str">
        <f>"14656566"</f>
        <v>14656566</v>
      </c>
      <c r="D2781" s="58" t="str">
        <f>"17447666"</f>
        <v>17447666</v>
      </c>
      <c r="E2781" s="46" t="s">
        <v>291</v>
      </c>
      <c r="F2781" s="46" t="s">
        <v>50646</v>
      </c>
      <c r="G2781" s="46" t="s">
        <v>50584</v>
      </c>
      <c r="H2781" s="48" t="s">
        <v>56716</v>
      </c>
      <c r="I2781" s="48" t="s">
        <v>50564</v>
      </c>
      <c r="J2781" s="48"/>
      <c r="K2781" s="50"/>
      <c r="L2781" s="48" t="s">
        <v>56716</v>
      </c>
    </row>
    <row r="2782" spans="1:12" s="37" customFormat="1" ht="11.25" x14ac:dyDescent="0.2">
      <c r="A2782" s="46" t="s">
        <v>6316</v>
      </c>
      <c r="B2782" s="46" t="s">
        <v>52527</v>
      </c>
      <c r="C2782" s="58" t="str">
        <f>"13543776"</f>
        <v>13543776</v>
      </c>
      <c r="D2782" s="58" t="str">
        <f>"17447674"</f>
        <v>17447674</v>
      </c>
      <c r="E2782" s="46" t="s">
        <v>291</v>
      </c>
      <c r="F2782" s="46" t="s">
        <v>50646</v>
      </c>
      <c r="G2782" s="46" t="s">
        <v>50584</v>
      </c>
      <c r="H2782" s="48" t="s">
        <v>56716</v>
      </c>
      <c r="I2782" s="48" t="s">
        <v>50564</v>
      </c>
      <c r="J2782" s="48"/>
      <c r="K2782" s="50"/>
      <c r="L2782" s="48" t="s">
        <v>56716</v>
      </c>
    </row>
    <row r="2783" spans="1:12" s="37" customFormat="1" ht="11.25" x14ac:dyDescent="0.2">
      <c r="A2783" s="46" t="s">
        <v>9031</v>
      </c>
      <c r="B2783" s="46" t="s">
        <v>52528</v>
      </c>
      <c r="C2783" s="58" t="str">
        <f>"14728222"</f>
        <v>14728222</v>
      </c>
      <c r="D2783" s="58" t="str">
        <f>"17447631"</f>
        <v>17447631</v>
      </c>
      <c r="E2783" s="46" t="s">
        <v>291</v>
      </c>
      <c r="F2783" s="46" t="s">
        <v>50646</v>
      </c>
      <c r="G2783" s="46" t="s">
        <v>50584</v>
      </c>
      <c r="H2783" s="48" t="s">
        <v>56716</v>
      </c>
      <c r="I2783" s="48" t="s">
        <v>50564</v>
      </c>
      <c r="J2783" s="48"/>
      <c r="K2783" s="50"/>
      <c r="L2783" s="48" t="s">
        <v>56716</v>
      </c>
    </row>
    <row r="2784" spans="1:12" s="37" customFormat="1" ht="11.25" x14ac:dyDescent="0.2">
      <c r="A2784" s="46" t="s">
        <v>9036</v>
      </c>
      <c r="B2784" s="46" t="s">
        <v>52529</v>
      </c>
      <c r="C2784" s="58" t="str">
        <f>"14737140"</f>
        <v>14737140</v>
      </c>
      <c r="D2784" s="58" t="str">
        <f>"17448328"</f>
        <v>17448328</v>
      </c>
      <c r="E2784" s="46" t="s">
        <v>9039</v>
      </c>
      <c r="F2784" s="46" t="s">
        <v>50646</v>
      </c>
      <c r="G2784" s="46" t="s">
        <v>50584</v>
      </c>
      <c r="H2784" s="48" t="s">
        <v>56716</v>
      </c>
      <c r="I2784" s="48" t="s">
        <v>50564</v>
      </c>
      <c r="J2784" s="48"/>
      <c r="K2784" s="50"/>
      <c r="L2784" s="48" t="s">
        <v>56716</v>
      </c>
    </row>
    <row r="2785" spans="1:12" s="37" customFormat="1" ht="11.25" x14ac:dyDescent="0.2">
      <c r="A2785" s="46" t="s">
        <v>9910</v>
      </c>
      <c r="B2785" s="46" t="s">
        <v>52530</v>
      </c>
      <c r="C2785" s="58" t="str">
        <f>"14787210"</f>
        <v>14787210</v>
      </c>
      <c r="D2785" s="58" t="str">
        <f>"17448336"</f>
        <v>17448336</v>
      </c>
      <c r="E2785" s="46" t="s">
        <v>9039</v>
      </c>
      <c r="F2785" s="46" t="s">
        <v>50646</v>
      </c>
      <c r="G2785" s="46" t="s">
        <v>50584</v>
      </c>
      <c r="H2785" s="48" t="s">
        <v>56716</v>
      </c>
      <c r="I2785" s="48" t="s">
        <v>50564</v>
      </c>
      <c r="J2785" s="48"/>
      <c r="K2785" s="50"/>
      <c r="L2785" s="48" t="s">
        <v>56716</v>
      </c>
    </row>
    <row r="2786" spans="1:12" s="37" customFormat="1" ht="11.25" x14ac:dyDescent="0.2">
      <c r="A2786" s="46" t="s">
        <v>9913</v>
      </c>
      <c r="B2786" s="46" t="s">
        <v>52531</v>
      </c>
      <c r="C2786" s="58" t="str">
        <f>"14779072"</f>
        <v>14779072</v>
      </c>
      <c r="D2786" s="58" t="str">
        <f>"17448344"</f>
        <v>17448344</v>
      </c>
      <c r="E2786" s="46" t="s">
        <v>9039</v>
      </c>
      <c r="F2786" s="46" t="s">
        <v>50646</v>
      </c>
      <c r="G2786" s="46" t="s">
        <v>50584</v>
      </c>
      <c r="H2786" s="48" t="s">
        <v>56716</v>
      </c>
      <c r="I2786" s="48" t="s">
        <v>50564</v>
      </c>
      <c r="J2786" s="48"/>
      <c r="K2786" s="50"/>
      <c r="L2786" s="48" t="s">
        <v>56716</v>
      </c>
    </row>
    <row r="2787" spans="1:12" s="37" customFormat="1" ht="11.25" x14ac:dyDescent="0.2">
      <c r="A2787" s="46" t="s">
        <v>11182</v>
      </c>
      <c r="B2787" s="46" t="s">
        <v>52532</v>
      </c>
      <c r="C2787" s="58" t="str">
        <f>"1744666X"</f>
        <v>1744666X</v>
      </c>
      <c r="D2787" s="58" t="str">
        <f>"17448409"</f>
        <v>17448409</v>
      </c>
      <c r="E2787" s="46" t="s">
        <v>9039</v>
      </c>
      <c r="F2787" s="46" t="s">
        <v>50646</v>
      </c>
      <c r="G2787" s="46" t="s">
        <v>50584</v>
      </c>
      <c r="H2787" s="48" t="s">
        <v>56716</v>
      </c>
      <c r="I2787" s="48" t="s">
        <v>50564</v>
      </c>
      <c r="J2787" s="48"/>
      <c r="K2787" s="50"/>
      <c r="L2787" s="48" t="s">
        <v>56716</v>
      </c>
    </row>
    <row r="2788" spans="1:12" s="37" customFormat="1" ht="11.25" x14ac:dyDescent="0.2">
      <c r="A2788" s="46" t="s">
        <v>12579</v>
      </c>
      <c r="B2788" s="46" t="s">
        <v>52533</v>
      </c>
      <c r="C2788" s="58" t="str">
        <f>"17512433"</f>
        <v>17512433</v>
      </c>
      <c r="D2788" s="58" t="str">
        <f>"17512441"</f>
        <v>17512441</v>
      </c>
      <c r="E2788" s="46" t="s">
        <v>9039</v>
      </c>
      <c r="F2788" s="46" t="s">
        <v>50646</v>
      </c>
      <c r="G2788" s="46" t="s">
        <v>50584</v>
      </c>
      <c r="H2788" s="48" t="s">
        <v>56716</v>
      </c>
      <c r="I2788" s="48" t="s">
        <v>50564</v>
      </c>
      <c r="J2788" s="48"/>
      <c r="K2788" s="50"/>
      <c r="L2788" s="48" t="s">
        <v>56716</v>
      </c>
    </row>
    <row r="2789" spans="1:12" s="37" customFormat="1" ht="11.25" x14ac:dyDescent="0.2">
      <c r="A2789" s="46" t="s">
        <v>11839</v>
      </c>
      <c r="B2789" s="46" t="s">
        <v>52534</v>
      </c>
      <c r="C2789" s="58" t="str">
        <f>"17469872"</f>
        <v>17469872</v>
      </c>
      <c r="D2789" s="58" t="str">
        <f>"17469880"</f>
        <v>17469880</v>
      </c>
      <c r="E2789" s="46" t="s">
        <v>9039</v>
      </c>
      <c r="F2789" s="46" t="s">
        <v>50646</v>
      </c>
      <c r="G2789" s="46" t="s">
        <v>50584</v>
      </c>
      <c r="H2789" s="48" t="s">
        <v>56716</v>
      </c>
      <c r="I2789" s="48" t="s">
        <v>50564</v>
      </c>
      <c r="J2789" s="48" t="s">
        <v>56716</v>
      </c>
      <c r="K2789" s="50"/>
      <c r="L2789" s="48"/>
    </row>
    <row r="2790" spans="1:12" s="37" customFormat="1" ht="11.25" x14ac:dyDescent="0.2">
      <c r="A2790" s="46" t="s">
        <v>11842</v>
      </c>
      <c r="B2790" s="46" t="s">
        <v>52535</v>
      </c>
      <c r="C2790" s="58" t="str">
        <f>"17446651"</f>
        <v>17446651</v>
      </c>
      <c r="D2790" s="58" t="str">
        <f>"17448417"</f>
        <v>17448417</v>
      </c>
      <c r="E2790" s="46" t="s">
        <v>9039</v>
      </c>
      <c r="F2790" s="46" t="s">
        <v>50646</v>
      </c>
      <c r="G2790" s="46" t="s">
        <v>50584</v>
      </c>
      <c r="H2790" s="48" t="s">
        <v>56716</v>
      </c>
      <c r="I2790" s="48" t="s">
        <v>50564</v>
      </c>
      <c r="J2790" s="48" t="s">
        <v>56716</v>
      </c>
      <c r="K2790" s="50"/>
      <c r="L2790" s="48"/>
    </row>
    <row r="2791" spans="1:12" s="37" customFormat="1" ht="11.25" x14ac:dyDescent="0.2">
      <c r="A2791" s="46" t="s">
        <v>12582</v>
      </c>
      <c r="B2791" s="46" t="s">
        <v>52536</v>
      </c>
      <c r="C2791" s="58" t="str">
        <f>"17474124"</f>
        <v>17474124</v>
      </c>
      <c r="D2791" s="58" t="str">
        <f>"17474132"</f>
        <v>17474132</v>
      </c>
      <c r="E2791" s="46" t="s">
        <v>9039</v>
      </c>
      <c r="F2791" s="46" t="s">
        <v>50646</v>
      </c>
      <c r="G2791" s="46" t="s">
        <v>50584</v>
      </c>
      <c r="H2791" s="48" t="s">
        <v>56716</v>
      </c>
      <c r="I2791" s="48" t="s">
        <v>50564</v>
      </c>
      <c r="J2791" s="48"/>
      <c r="K2791" s="50"/>
      <c r="L2791" s="48" t="s">
        <v>56716</v>
      </c>
    </row>
    <row r="2792" spans="1:12" s="37" customFormat="1" ht="11.25" x14ac:dyDescent="0.2">
      <c r="A2792" s="46" t="s">
        <v>13896</v>
      </c>
      <c r="B2792" s="46" t="s">
        <v>52537</v>
      </c>
      <c r="C2792" s="58" t="str">
        <f>"17474086"</f>
        <v>17474086</v>
      </c>
      <c r="D2792" s="58" t="str">
        <f>"17474094"</f>
        <v>17474094</v>
      </c>
      <c r="E2792" s="46" t="s">
        <v>9039</v>
      </c>
      <c r="F2792" s="46" t="s">
        <v>50646</v>
      </c>
      <c r="G2792" s="46" t="s">
        <v>50584</v>
      </c>
      <c r="H2792" s="48" t="s">
        <v>56716</v>
      </c>
      <c r="I2792" s="48" t="s">
        <v>50564</v>
      </c>
      <c r="J2792" s="48" t="s">
        <v>56716</v>
      </c>
      <c r="K2792" s="50"/>
      <c r="L2792" s="48" t="s">
        <v>56716</v>
      </c>
    </row>
    <row r="2793" spans="1:12" s="37" customFormat="1" ht="11.25" x14ac:dyDescent="0.2">
      <c r="A2793" s="46" t="s">
        <v>10560</v>
      </c>
      <c r="B2793" s="46" t="s">
        <v>52538</v>
      </c>
      <c r="C2793" s="58" t="str">
        <f>"17434440"</f>
        <v>17434440</v>
      </c>
      <c r="D2793" s="58" t="str">
        <f>"17452422"</f>
        <v>17452422</v>
      </c>
      <c r="E2793" s="46" t="s">
        <v>9039</v>
      </c>
      <c r="F2793" s="46" t="s">
        <v>50646</v>
      </c>
      <c r="G2793" s="46" t="s">
        <v>50584</v>
      </c>
      <c r="H2793" s="48" t="s">
        <v>56716</v>
      </c>
      <c r="I2793" s="48" t="s">
        <v>50564</v>
      </c>
      <c r="J2793" s="48"/>
      <c r="K2793" s="50"/>
      <c r="L2793" s="48" t="s">
        <v>56716</v>
      </c>
    </row>
    <row r="2794" spans="1:12" s="37" customFormat="1" ht="11.25" x14ac:dyDescent="0.2">
      <c r="A2794" s="46" t="s">
        <v>9040</v>
      </c>
      <c r="B2794" s="46" t="s">
        <v>52539</v>
      </c>
      <c r="C2794" s="58" t="str">
        <f>"14737159"</f>
        <v>14737159</v>
      </c>
      <c r="D2794" s="58" t="str">
        <f>"17448352"</f>
        <v>17448352</v>
      </c>
      <c r="E2794" s="46" t="s">
        <v>9039</v>
      </c>
      <c r="F2794" s="46" t="s">
        <v>50646</v>
      </c>
      <c r="G2794" s="46" t="s">
        <v>50584</v>
      </c>
      <c r="H2794" s="48" t="s">
        <v>56716</v>
      </c>
      <c r="I2794" s="48" t="s">
        <v>50564</v>
      </c>
      <c r="J2794" s="48"/>
      <c r="K2794" s="50"/>
      <c r="L2794" s="48" t="s">
        <v>56716</v>
      </c>
    </row>
    <row r="2795" spans="1:12" s="37" customFormat="1" ht="11.25" x14ac:dyDescent="0.2">
      <c r="A2795" s="46" t="s">
        <v>9162</v>
      </c>
      <c r="B2795" s="46" t="s">
        <v>52540</v>
      </c>
      <c r="C2795" s="58" t="str">
        <f>"14737175"</f>
        <v>14737175</v>
      </c>
      <c r="D2795" s="58" t="str">
        <f>"17448360"</f>
        <v>17448360</v>
      </c>
      <c r="E2795" s="46" t="s">
        <v>9039</v>
      </c>
      <c r="F2795" s="46" t="s">
        <v>50646</v>
      </c>
      <c r="G2795" s="46" t="s">
        <v>50584</v>
      </c>
      <c r="H2795" s="48" t="s">
        <v>56716</v>
      </c>
      <c r="I2795" s="48" t="s">
        <v>50564</v>
      </c>
      <c r="J2795" s="48"/>
      <c r="K2795" s="50"/>
      <c r="L2795" s="48" t="s">
        <v>56716</v>
      </c>
    </row>
    <row r="2796" spans="1:12" s="37" customFormat="1" ht="11.25" x14ac:dyDescent="0.2">
      <c r="A2796" s="46" t="s">
        <v>12585</v>
      </c>
      <c r="B2796" s="46" t="s">
        <v>52541</v>
      </c>
      <c r="C2796" s="58" t="str">
        <f>"17474108"</f>
        <v>17474108</v>
      </c>
      <c r="D2796" s="58" t="str">
        <f>"17474116"</f>
        <v>17474116</v>
      </c>
      <c r="E2796" s="46" t="s">
        <v>9039</v>
      </c>
      <c r="F2796" s="46" t="s">
        <v>50646</v>
      </c>
      <c r="G2796" s="46" t="s">
        <v>50584</v>
      </c>
      <c r="H2796" s="48" t="s">
        <v>56716</v>
      </c>
      <c r="I2796" s="48" t="s">
        <v>50564</v>
      </c>
      <c r="J2796" s="48"/>
      <c r="K2796" s="50"/>
      <c r="L2796" s="48"/>
    </row>
    <row r="2797" spans="1:12" s="37" customFormat="1" ht="11.25" x14ac:dyDescent="0.2">
      <c r="A2797" s="46" t="s">
        <v>12588</v>
      </c>
      <c r="B2797" s="46" t="s">
        <v>52542</v>
      </c>
      <c r="C2797" s="58" t="str">
        <f>"17469899"</f>
        <v>17469899</v>
      </c>
      <c r="D2797" s="58" t="str">
        <f>"17469902"</f>
        <v>17469902</v>
      </c>
      <c r="E2797" s="46" t="s">
        <v>9039</v>
      </c>
      <c r="F2797" s="46" t="s">
        <v>50646</v>
      </c>
      <c r="G2797" s="46" t="s">
        <v>50584</v>
      </c>
      <c r="H2797" s="48" t="s">
        <v>56716</v>
      </c>
      <c r="I2797" s="48" t="s">
        <v>50564</v>
      </c>
      <c r="J2797" s="48"/>
      <c r="K2797" s="50"/>
      <c r="L2797" s="48"/>
    </row>
    <row r="2798" spans="1:12" s="37" customFormat="1" ht="11.25" x14ac:dyDescent="0.2">
      <c r="A2798" s="46" t="s">
        <v>9165</v>
      </c>
      <c r="B2798" s="46" t="s">
        <v>52543</v>
      </c>
      <c r="C2798" s="58" t="str">
        <f>"14737167"</f>
        <v>14737167</v>
      </c>
      <c r="D2798" s="58" t="str">
        <f>"17448379"</f>
        <v>17448379</v>
      </c>
      <c r="E2798" s="46" t="s">
        <v>9039</v>
      </c>
      <c r="F2798" s="46" t="s">
        <v>50646</v>
      </c>
      <c r="G2798" s="46" t="s">
        <v>50584</v>
      </c>
      <c r="H2798" s="48" t="s">
        <v>56716</v>
      </c>
      <c r="I2798" s="48" t="s">
        <v>50564</v>
      </c>
      <c r="J2798" s="48"/>
      <c r="K2798" s="50"/>
      <c r="L2798" s="48" t="s">
        <v>56716</v>
      </c>
    </row>
    <row r="2799" spans="1:12" s="37" customFormat="1" ht="11.25" x14ac:dyDescent="0.2">
      <c r="A2799" s="46" t="s">
        <v>10429</v>
      </c>
      <c r="B2799" s="46" t="s">
        <v>52544</v>
      </c>
      <c r="C2799" s="58" t="str">
        <f>"14789450"</f>
        <v>14789450</v>
      </c>
      <c r="D2799" s="58" t="str">
        <f>"17448387"</f>
        <v>17448387</v>
      </c>
      <c r="E2799" s="46" t="s">
        <v>9039</v>
      </c>
      <c r="F2799" s="46" t="s">
        <v>50646</v>
      </c>
      <c r="G2799" s="46" t="s">
        <v>50584</v>
      </c>
      <c r="H2799" s="48" t="s">
        <v>56716</v>
      </c>
      <c r="I2799" s="48" t="s">
        <v>50564</v>
      </c>
      <c r="J2799" s="48"/>
      <c r="K2799" s="50"/>
      <c r="L2799" s="48" t="s">
        <v>56716</v>
      </c>
    </row>
    <row r="2800" spans="1:12" s="37" customFormat="1" ht="11.25" x14ac:dyDescent="0.2">
      <c r="A2800" s="46" t="s">
        <v>12591</v>
      </c>
      <c r="B2800" s="46" t="s">
        <v>52545</v>
      </c>
      <c r="C2800" s="58" t="str">
        <f>"17476348"</f>
        <v>17476348</v>
      </c>
      <c r="D2800" s="58" t="str">
        <f>"17476356"</f>
        <v>17476356</v>
      </c>
      <c r="E2800" s="46" t="s">
        <v>9039</v>
      </c>
      <c r="F2800" s="46" t="s">
        <v>50646</v>
      </c>
      <c r="G2800" s="46" t="s">
        <v>50584</v>
      </c>
      <c r="H2800" s="48" t="s">
        <v>56716</v>
      </c>
      <c r="I2800" s="48" t="s">
        <v>50564</v>
      </c>
      <c r="J2800" s="48"/>
      <c r="K2800" s="50"/>
      <c r="L2800" s="48" t="s">
        <v>56716</v>
      </c>
    </row>
    <row r="2801" spans="1:12" s="37" customFormat="1" ht="11.25" x14ac:dyDescent="0.2">
      <c r="A2801" s="46" t="s">
        <v>9325</v>
      </c>
      <c r="B2801" s="46" t="s">
        <v>52546</v>
      </c>
      <c r="C2801" s="58" t="str">
        <f>"14760584"</f>
        <v>14760584</v>
      </c>
      <c r="D2801" s="58" t="str">
        <f>"17448395"</f>
        <v>17448395</v>
      </c>
      <c r="E2801" s="46" t="s">
        <v>9039</v>
      </c>
      <c r="F2801" s="46" t="s">
        <v>50646</v>
      </c>
      <c r="G2801" s="46" t="s">
        <v>50584</v>
      </c>
      <c r="H2801" s="48" t="s">
        <v>56716</v>
      </c>
      <c r="I2801" s="48" t="s">
        <v>50564</v>
      </c>
      <c r="J2801" s="48" t="s">
        <v>56716</v>
      </c>
      <c r="K2801" s="50"/>
      <c r="L2801" s="48" t="s">
        <v>56716</v>
      </c>
    </row>
    <row r="2802" spans="1:12" s="37" customFormat="1" ht="11.25" x14ac:dyDescent="0.2">
      <c r="A2802" s="46" t="s">
        <v>9770</v>
      </c>
      <c r="B2802" s="46" t="s">
        <v>52547</v>
      </c>
      <c r="C2802" s="58" t="str">
        <f>"14623994"</f>
        <v>14623994</v>
      </c>
      <c r="D2802" s="58" t="str">
        <f>""</f>
        <v/>
      </c>
      <c r="E2802" s="46" t="s">
        <v>724</v>
      </c>
      <c r="F2802" s="46" t="s">
        <v>50646</v>
      </c>
      <c r="G2802" s="46" t="s">
        <v>50584</v>
      </c>
      <c r="H2802" s="48" t="s">
        <v>56716</v>
      </c>
      <c r="I2802" s="48" t="s">
        <v>50564</v>
      </c>
      <c r="J2802" s="48" t="s">
        <v>56716</v>
      </c>
      <c r="K2802" s="50"/>
      <c r="L2802" s="48" t="s">
        <v>56716</v>
      </c>
    </row>
    <row r="2803" spans="1:12" s="37" customFormat="1" ht="11.25" x14ac:dyDescent="0.2">
      <c r="A2803" s="46" t="s">
        <v>11161</v>
      </c>
      <c r="B2803" s="46" t="s">
        <v>52548</v>
      </c>
      <c r="C2803" s="58" t="str">
        <f>"15508307"</f>
        <v>15508307</v>
      </c>
      <c r="D2803" s="58" t="str">
        <f>"18787541"</f>
        <v>18787541</v>
      </c>
      <c r="E2803" s="46" t="s">
        <v>272</v>
      </c>
      <c r="F2803" s="46" t="s">
        <v>17759</v>
      </c>
      <c r="G2803" s="46" t="s">
        <v>50584</v>
      </c>
      <c r="H2803" s="48" t="s">
        <v>56716</v>
      </c>
      <c r="I2803" s="48" t="s">
        <v>50564</v>
      </c>
      <c r="J2803" s="48" t="s">
        <v>56716</v>
      </c>
      <c r="K2803" s="50" t="s">
        <v>56716</v>
      </c>
      <c r="L2803" s="48" t="s">
        <v>56716</v>
      </c>
    </row>
    <row r="2804" spans="1:12" s="37" customFormat="1" ht="11.25" x14ac:dyDescent="0.2">
      <c r="A2804" s="45" t="s">
        <v>29203</v>
      </c>
      <c r="B2804" s="45" t="s">
        <v>29203</v>
      </c>
      <c r="C2804" s="51" t="s">
        <v>29205</v>
      </c>
      <c r="D2804" s="51"/>
      <c r="E2804" s="45" t="s">
        <v>29206</v>
      </c>
      <c r="F2804" s="45" t="s">
        <v>18123</v>
      </c>
      <c r="G2804" s="45" t="s">
        <v>50584</v>
      </c>
      <c r="H2804" s="56"/>
      <c r="I2804" s="56" t="s">
        <v>50564</v>
      </c>
      <c r="J2804" s="56"/>
      <c r="K2804" s="50"/>
      <c r="L2804" s="56" t="s">
        <v>56716</v>
      </c>
    </row>
    <row r="2805" spans="1:12" s="37" customFormat="1" ht="11.25" x14ac:dyDescent="0.2">
      <c r="A2805" s="46" t="s">
        <v>17325</v>
      </c>
      <c r="B2805" s="46" t="s">
        <v>52549</v>
      </c>
      <c r="C2805" s="58" t="str">
        <f>""</f>
        <v/>
      </c>
      <c r="D2805" s="58" t="str">
        <f>"20467648"</f>
        <v>20467648</v>
      </c>
      <c r="E2805" s="46" t="s">
        <v>2299</v>
      </c>
      <c r="F2805" s="46" t="s">
        <v>50646</v>
      </c>
      <c r="G2805" s="46" t="s">
        <v>50584</v>
      </c>
      <c r="H2805" s="48" t="s">
        <v>56716</v>
      </c>
      <c r="I2805" s="48" t="s">
        <v>50564</v>
      </c>
      <c r="J2805" s="48" t="s">
        <v>56716</v>
      </c>
      <c r="K2805" s="50"/>
      <c r="L2805" s="48"/>
    </row>
    <row r="2806" spans="1:12" s="37" customFormat="1" ht="11.25" x14ac:dyDescent="0.2">
      <c r="A2806" s="45" t="s">
        <v>29208</v>
      </c>
      <c r="B2806" s="45" t="s">
        <v>29210</v>
      </c>
      <c r="C2806" s="51" t="s">
        <v>29212</v>
      </c>
      <c r="D2806" s="51" t="s">
        <v>29211</v>
      </c>
      <c r="E2806" s="45" t="s">
        <v>17783</v>
      </c>
      <c r="F2806" s="45" t="s">
        <v>18158</v>
      </c>
      <c r="G2806" s="45" t="s">
        <v>50584</v>
      </c>
      <c r="H2806" s="56"/>
      <c r="I2806" s="56" t="s">
        <v>50564</v>
      </c>
      <c r="J2806" s="56"/>
      <c r="K2806" s="50"/>
      <c r="L2806" s="56" t="s">
        <v>56716</v>
      </c>
    </row>
    <row r="2807" spans="1:12" s="37" customFormat="1" ht="11.25" x14ac:dyDescent="0.2">
      <c r="A2807" s="46" t="s">
        <v>4397</v>
      </c>
      <c r="B2807" s="46" t="s">
        <v>52550</v>
      </c>
      <c r="C2807" s="58" t="str">
        <f>"0950222X"</f>
        <v>0950222X</v>
      </c>
      <c r="D2807" s="58" t="str">
        <f>"14765454"</f>
        <v>14765454</v>
      </c>
      <c r="E2807" s="46" t="s">
        <v>315</v>
      </c>
      <c r="F2807" s="46" t="s">
        <v>50646</v>
      </c>
      <c r="G2807" s="46" t="s">
        <v>50584</v>
      </c>
      <c r="H2807" s="48" t="s">
        <v>56716</v>
      </c>
      <c r="I2807" s="48" t="s">
        <v>50564</v>
      </c>
      <c r="J2807" s="48"/>
      <c r="K2807" s="50"/>
      <c r="L2807" s="48" t="s">
        <v>56716</v>
      </c>
    </row>
    <row r="2808" spans="1:12" s="37" customFormat="1" ht="11.25" x14ac:dyDescent="0.2">
      <c r="A2808" s="46" t="s">
        <v>9891</v>
      </c>
      <c r="B2808" s="46" t="s">
        <v>29216</v>
      </c>
      <c r="C2808" s="58" t="str">
        <f>"15422321"</f>
        <v>15422321</v>
      </c>
      <c r="D2808" s="58" t="str">
        <f>"1542233X"</f>
        <v>1542233X</v>
      </c>
      <c r="E2808" s="46" t="s">
        <v>28</v>
      </c>
      <c r="F2808" s="46" t="s">
        <v>17759</v>
      </c>
      <c r="G2808" s="46" t="s">
        <v>50584</v>
      </c>
      <c r="H2808" s="48" t="s">
        <v>56716</v>
      </c>
      <c r="I2808" s="48" t="s">
        <v>50564</v>
      </c>
      <c r="J2808" s="48" t="s">
        <v>56716</v>
      </c>
      <c r="K2808" s="50" t="s">
        <v>56716</v>
      </c>
      <c r="L2808" s="48" t="s">
        <v>56716</v>
      </c>
    </row>
    <row r="2809" spans="1:12" s="37" customFormat="1" ht="11.25" x14ac:dyDescent="0.2">
      <c r="A2809" s="46" t="s">
        <v>16873</v>
      </c>
      <c r="B2809" s="46" t="s">
        <v>52551</v>
      </c>
      <c r="C2809" s="58" t="str">
        <f>"20394748"</f>
        <v>20394748</v>
      </c>
      <c r="D2809" s="58" t="str">
        <f>"20394756"</f>
        <v>20394756</v>
      </c>
      <c r="E2809" s="46" t="s">
        <v>1949</v>
      </c>
      <c r="F2809" s="46" t="s">
        <v>17991</v>
      </c>
      <c r="G2809" s="46" t="s">
        <v>50584</v>
      </c>
      <c r="H2809" s="48" t="s">
        <v>56716</v>
      </c>
      <c r="I2809" s="48" t="s">
        <v>50564</v>
      </c>
      <c r="J2809" s="48"/>
      <c r="K2809" s="50"/>
      <c r="L2809" s="48"/>
    </row>
    <row r="2810" spans="1:12" s="37" customFormat="1" ht="11.25" x14ac:dyDescent="0.2">
      <c r="A2810" s="45" t="s">
        <v>29224</v>
      </c>
      <c r="B2810" s="45" t="s">
        <v>29226</v>
      </c>
      <c r="C2810" s="51"/>
      <c r="D2810" s="51"/>
      <c r="E2810" s="45" t="s">
        <v>29228</v>
      </c>
      <c r="F2810" s="45" t="s">
        <v>17958</v>
      </c>
      <c r="G2810" s="45" t="s">
        <v>50584</v>
      </c>
      <c r="H2810" s="56"/>
      <c r="I2810" s="56" t="s">
        <v>50564</v>
      </c>
      <c r="J2810" s="56"/>
      <c r="K2810" s="50"/>
      <c r="L2810" s="56" t="s">
        <v>56716</v>
      </c>
    </row>
    <row r="2811" spans="1:12" s="37" customFormat="1" ht="11.25" x14ac:dyDescent="0.2">
      <c r="A2811" s="46" t="s">
        <v>16775</v>
      </c>
      <c r="B2811" s="46" t="s">
        <v>52552</v>
      </c>
      <c r="C2811" s="58" t="str">
        <f>"20517599"</f>
        <v>20517599</v>
      </c>
      <c r="D2811" s="58" t="str">
        <f>"20517599"</f>
        <v>20517599</v>
      </c>
      <c r="E2811" s="46" t="s">
        <v>16496</v>
      </c>
      <c r="F2811" s="46" t="s">
        <v>50646</v>
      </c>
      <c r="G2811" s="46" t="s">
        <v>50584</v>
      </c>
      <c r="H2811" s="48" t="s">
        <v>56716</v>
      </c>
      <c r="I2811" s="48" t="s">
        <v>50564</v>
      </c>
      <c r="J2811" s="48"/>
      <c r="K2811" s="50"/>
      <c r="L2811" s="48"/>
    </row>
    <row r="2812" spans="1:12" s="37" customFormat="1" ht="11.25" x14ac:dyDescent="0.2">
      <c r="A2812" s="46" t="s">
        <v>16494</v>
      </c>
      <c r="B2812" s="46" t="s">
        <v>56072</v>
      </c>
      <c r="C2812" s="58" t="str">
        <f>"20461402"</f>
        <v>20461402</v>
      </c>
      <c r="D2812" s="58" t="str">
        <f>"1759796X"</f>
        <v>1759796X</v>
      </c>
      <c r="E2812" s="46" t="s">
        <v>16496</v>
      </c>
      <c r="F2812" s="46" t="s">
        <v>50646</v>
      </c>
      <c r="G2812" s="46" t="s">
        <v>50584</v>
      </c>
      <c r="H2812" s="48" t="s">
        <v>56716</v>
      </c>
      <c r="I2812" s="48" t="s">
        <v>50564</v>
      </c>
      <c r="J2812" s="48"/>
      <c r="K2812" s="50"/>
      <c r="L2812" s="48"/>
    </row>
    <row r="2813" spans="1:12" s="37" customFormat="1" ht="11.25" x14ac:dyDescent="0.2">
      <c r="A2813" s="45" t="s">
        <v>29230</v>
      </c>
      <c r="B2813" s="45" t="s">
        <v>29232</v>
      </c>
      <c r="C2813" s="51" t="s">
        <v>29233</v>
      </c>
      <c r="D2813" s="51"/>
      <c r="E2813" s="45" t="s">
        <v>29234</v>
      </c>
      <c r="F2813" s="45" t="s">
        <v>17958</v>
      </c>
      <c r="G2813" s="45" t="s">
        <v>50586</v>
      </c>
      <c r="H2813" s="56"/>
      <c r="I2813" s="56" t="s">
        <v>50564</v>
      </c>
      <c r="J2813" s="56"/>
      <c r="K2813" s="50"/>
      <c r="L2813" s="56" t="s">
        <v>56716</v>
      </c>
    </row>
    <row r="2814" spans="1:12" s="37" customFormat="1" ht="11.25" x14ac:dyDescent="0.2">
      <c r="A2814" s="46" t="s">
        <v>7516</v>
      </c>
      <c r="B2814" s="46" t="s">
        <v>52553</v>
      </c>
      <c r="C2814" s="58" t="str">
        <f>"13004182"</f>
        <v>13004182</v>
      </c>
      <c r="D2814" s="58" t="str">
        <f>""</f>
        <v/>
      </c>
      <c r="E2814" s="46" t="s">
        <v>56461</v>
      </c>
      <c r="F2814" s="46" t="s">
        <v>18396</v>
      </c>
      <c r="G2814" s="46" t="s">
        <v>50637</v>
      </c>
      <c r="H2814" s="48" t="s">
        <v>56716</v>
      </c>
      <c r="I2814" s="48" t="s">
        <v>50564</v>
      </c>
      <c r="J2814" s="48"/>
      <c r="K2814" s="50"/>
      <c r="L2814" s="48"/>
    </row>
    <row r="2815" spans="1:12" s="37" customFormat="1" ht="11.25" x14ac:dyDescent="0.2">
      <c r="A2815" s="45" t="s">
        <v>29236</v>
      </c>
      <c r="B2815" s="45" t="s">
        <v>29238</v>
      </c>
      <c r="C2815" s="51" t="s">
        <v>29240</v>
      </c>
      <c r="D2815" s="51" t="s">
        <v>29239</v>
      </c>
      <c r="E2815" s="45" t="s">
        <v>19786</v>
      </c>
      <c r="F2815" s="45" t="s">
        <v>17759</v>
      </c>
      <c r="G2815" s="45" t="s">
        <v>50584</v>
      </c>
      <c r="H2815" s="56"/>
      <c r="I2815" s="56" t="s">
        <v>50564</v>
      </c>
      <c r="J2815" s="56"/>
      <c r="K2815" s="50"/>
      <c r="L2815" s="56" t="s">
        <v>56716</v>
      </c>
    </row>
    <row r="2816" spans="1:12" s="37" customFormat="1" ht="11.25" x14ac:dyDescent="0.2">
      <c r="A2816" s="46" t="s">
        <v>9013</v>
      </c>
      <c r="B2816" s="46" t="s">
        <v>52554</v>
      </c>
      <c r="C2816" s="58" t="str">
        <f>"10647406"</f>
        <v>10647406</v>
      </c>
      <c r="D2816" s="58" t="str">
        <f>"15581926"</f>
        <v>15581926</v>
      </c>
      <c r="E2816" s="46" t="s">
        <v>303</v>
      </c>
      <c r="F2816" s="46" t="s">
        <v>17759</v>
      </c>
      <c r="G2816" s="46" t="s">
        <v>50584</v>
      </c>
      <c r="H2816" s="48" t="s">
        <v>56716</v>
      </c>
      <c r="I2816" s="48" t="s">
        <v>50564</v>
      </c>
      <c r="J2816" s="48"/>
      <c r="K2816" s="50" t="s">
        <v>56716</v>
      </c>
      <c r="L2816" s="48" t="s">
        <v>56716</v>
      </c>
    </row>
    <row r="2817" spans="1:12" s="37" customFormat="1" ht="11.25" x14ac:dyDescent="0.2">
      <c r="A2817" s="46" t="s">
        <v>11845</v>
      </c>
      <c r="B2817" s="46" t="s">
        <v>52555</v>
      </c>
      <c r="C2817" s="58" t="str">
        <f>"15910083"</f>
        <v>15910083</v>
      </c>
      <c r="D2817" s="58" t="str">
        <f>""</f>
        <v/>
      </c>
      <c r="E2817" s="46" t="s">
        <v>1289</v>
      </c>
      <c r="F2817" s="46" t="s">
        <v>17991</v>
      </c>
      <c r="G2817" s="46" t="s">
        <v>50603</v>
      </c>
      <c r="H2817" s="48" t="s">
        <v>56716</v>
      </c>
      <c r="I2817" s="48" t="s">
        <v>50564</v>
      </c>
      <c r="J2817" s="48"/>
      <c r="K2817" s="50"/>
      <c r="L2817" s="48"/>
    </row>
    <row r="2818" spans="1:12" s="37" customFormat="1" ht="11.25" x14ac:dyDescent="0.2">
      <c r="A2818" s="46" t="s">
        <v>9109</v>
      </c>
      <c r="B2818" s="46" t="s">
        <v>52556</v>
      </c>
      <c r="C2818" s="58" t="str">
        <f>"13899600"</f>
        <v>13899600</v>
      </c>
      <c r="D2818" s="58" t="str">
        <f>"15737292"</f>
        <v>15737292</v>
      </c>
      <c r="E2818" s="46" t="s">
        <v>18876</v>
      </c>
      <c r="F2818" s="46" t="s">
        <v>18001</v>
      </c>
      <c r="G2818" s="46" t="s">
        <v>50584</v>
      </c>
      <c r="H2818" s="48" t="s">
        <v>56716</v>
      </c>
      <c r="I2818" s="48" t="s">
        <v>50564</v>
      </c>
      <c r="J2818" s="48" t="s">
        <v>56716</v>
      </c>
      <c r="K2818" s="50" t="s">
        <v>56716</v>
      </c>
      <c r="L2818" s="48" t="s">
        <v>56716</v>
      </c>
    </row>
    <row r="2819" spans="1:12" s="37" customFormat="1" ht="11.25" x14ac:dyDescent="0.2">
      <c r="A2819" s="45" t="s">
        <v>29250</v>
      </c>
      <c r="B2819" s="45" t="s">
        <v>29252</v>
      </c>
      <c r="C2819" s="51" t="s">
        <v>29255</v>
      </c>
      <c r="D2819" s="51" t="s">
        <v>29254</v>
      </c>
      <c r="E2819" s="45" t="s">
        <v>29256</v>
      </c>
      <c r="F2819" s="45" t="s">
        <v>17759</v>
      </c>
      <c r="G2819" s="45" t="s">
        <v>50584</v>
      </c>
      <c r="H2819" s="56"/>
      <c r="I2819" s="56" t="s">
        <v>50564</v>
      </c>
      <c r="J2819" s="56"/>
      <c r="K2819" s="50"/>
      <c r="L2819" s="56" t="s">
        <v>56716</v>
      </c>
    </row>
    <row r="2820" spans="1:12" s="37" customFormat="1" ht="11.25" x14ac:dyDescent="0.2">
      <c r="A2820" s="45" t="s">
        <v>29259</v>
      </c>
      <c r="B2820" s="45" t="s">
        <v>29261</v>
      </c>
      <c r="C2820" s="51" t="s">
        <v>29263</v>
      </c>
      <c r="D2820" s="51" t="s">
        <v>29262</v>
      </c>
      <c r="E2820" s="45" t="s">
        <v>17758</v>
      </c>
      <c r="F2820" s="45" t="s">
        <v>17759</v>
      </c>
      <c r="G2820" s="45" t="s">
        <v>50584</v>
      </c>
      <c r="H2820" s="56"/>
      <c r="I2820" s="56" t="s">
        <v>50564</v>
      </c>
      <c r="J2820" s="56"/>
      <c r="K2820" s="50"/>
      <c r="L2820" s="56" t="s">
        <v>56716</v>
      </c>
    </row>
    <row r="2821" spans="1:12" s="37" customFormat="1" ht="11.25" x14ac:dyDescent="0.2">
      <c r="A2821" s="45" t="s">
        <v>29265</v>
      </c>
      <c r="B2821" s="45" t="s">
        <v>29267</v>
      </c>
      <c r="C2821" s="51" t="s">
        <v>29270</v>
      </c>
      <c r="D2821" s="51" t="s">
        <v>29269</v>
      </c>
      <c r="E2821" s="45" t="s">
        <v>29271</v>
      </c>
      <c r="F2821" s="45" t="s">
        <v>17759</v>
      </c>
      <c r="G2821" s="45" t="s">
        <v>50584</v>
      </c>
      <c r="H2821" s="56"/>
      <c r="I2821" s="56" t="s">
        <v>50564</v>
      </c>
      <c r="J2821" s="56"/>
      <c r="K2821" s="50"/>
      <c r="L2821" s="56" t="s">
        <v>56716</v>
      </c>
    </row>
    <row r="2822" spans="1:12" s="37" customFormat="1" ht="11.25" x14ac:dyDescent="0.2">
      <c r="A2822" s="46" t="s">
        <v>11407</v>
      </c>
      <c r="B2822" s="46" t="s">
        <v>52557</v>
      </c>
      <c r="C2822" s="58" t="str">
        <f>"17343402"</f>
        <v>17343402</v>
      </c>
      <c r="D2822" s="58" t="str">
        <f>""</f>
        <v/>
      </c>
      <c r="E2822" s="46" t="s">
        <v>11409</v>
      </c>
      <c r="F2822" s="46" t="s">
        <v>17967</v>
      </c>
      <c r="G2822" s="46" t="s">
        <v>50584</v>
      </c>
      <c r="H2822" s="48" t="s">
        <v>56716</v>
      </c>
      <c r="I2822" s="48" t="s">
        <v>50564</v>
      </c>
      <c r="J2822" s="48"/>
      <c r="K2822" s="50"/>
      <c r="L2822" s="48"/>
    </row>
    <row r="2823" spans="1:12" s="37" customFormat="1" ht="11.25" x14ac:dyDescent="0.2">
      <c r="A2823" s="46" t="s">
        <v>1613</v>
      </c>
      <c r="B2823" s="46" t="s">
        <v>52558</v>
      </c>
      <c r="C2823" s="58" t="str">
        <f>"02632136"</f>
        <v>02632136</v>
      </c>
      <c r="D2823" s="58" t="str">
        <f>"14602229"</f>
        <v>14602229</v>
      </c>
      <c r="E2823" s="46" t="s">
        <v>55</v>
      </c>
      <c r="F2823" s="46" t="s">
        <v>50646</v>
      </c>
      <c r="G2823" s="46" t="s">
        <v>50584</v>
      </c>
      <c r="H2823" s="48" t="s">
        <v>56716</v>
      </c>
      <c r="I2823" s="48" t="s">
        <v>50564</v>
      </c>
      <c r="J2823" s="48"/>
      <c r="K2823" s="50"/>
      <c r="L2823" s="48" t="s">
        <v>56716</v>
      </c>
    </row>
    <row r="2824" spans="1:12" s="37" customFormat="1" ht="11.25" x14ac:dyDescent="0.2">
      <c r="A2824" s="45" t="s">
        <v>29278</v>
      </c>
      <c r="B2824" s="45" t="s">
        <v>29280</v>
      </c>
      <c r="C2824" s="51" t="s">
        <v>29282</v>
      </c>
      <c r="D2824" s="51" t="s">
        <v>29281</v>
      </c>
      <c r="E2824" s="45" t="s">
        <v>29283</v>
      </c>
      <c r="F2824" s="45" t="s">
        <v>17759</v>
      </c>
      <c r="G2824" s="45" t="s">
        <v>50584</v>
      </c>
      <c r="H2824" s="56"/>
      <c r="I2824" s="56" t="s">
        <v>50564</v>
      </c>
      <c r="J2824" s="56"/>
      <c r="K2824" s="50"/>
      <c r="L2824" s="56" t="s">
        <v>56716</v>
      </c>
    </row>
    <row r="2825" spans="1:12" s="37" customFormat="1" ht="11.25" x14ac:dyDescent="0.2">
      <c r="A2825" s="45" t="s">
        <v>29285</v>
      </c>
      <c r="B2825" s="45" t="s">
        <v>29287</v>
      </c>
      <c r="C2825" s="51" t="s">
        <v>29289</v>
      </c>
      <c r="D2825" s="51" t="s">
        <v>29288</v>
      </c>
      <c r="E2825" s="45" t="s">
        <v>29290</v>
      </c>
      <c r="F2825" s="45" t="s">
        <v>17759</v>
      </c>
      <c r="G2825" s="45" t="s">
        <v>50584</v>
      </c>
      <c r="H2825" s="56"/>
      <c r="I2825" s="56" t="s">
        <v>50564</v>
      </c>
      <c r="J2825" s="56"/>
      <c r="K2825" s="50"/>
      <c r="L2825" s="56" t="s">
        <v>56716</v>
      </c>
    </row>
    <row r="2826" spans="1:12" s="37" customFormat="1" ht="11.25" x14ac:dyDescent="0.2">
      <c r="A2826" s="45" t="s">
        <v>29293</v>
      </c>
      <c r="B2826" s="45" t="s">
        <v>29295</v>
      </c>
      <c r="C2826" s="51" t="s">
        <v>29296</v>
      </c>
      <c r="D2826" s="51"/>
      <c r="E2826" s="45" t="s">
        <v>29297</v>
      </c>
      <c r="F2826" s="45" t="s">
        <v>17991</v>
      </c>
      <c r="G2826" s="45" t="s">
        <v>50584</v>
      </c>
      <c r="H2826" s="56"/>
      <c r="I2826" s="56" t="s">
        <v>50564</v>
      </c>
      <c r="J2826" s="56"/>
      <c r="K2826" s="50"/>
      <c r="L2826" s="56" t="s">
        <v>56716</v>
      </c>
    </row>
    <row r="2827" spans="1:12" s="37" customFormat="1" ht="11.25" x14ac:dyDescent="0.2">
      <c r="A2827" s="45" t="s">
        <v>29299</v>
      </c>
      <c r="B2827" s="45" t="s">
        <v>29301</v>
      </c>
      <c r="C2827" s="51" t="s">
        <v>29303</v>
      </c>
      <c r="D2827" s="51"/>
      <c r="E2827" s="45" t="s">
        <v>29304</v>
      </c>
      <c r="F2827" s="45" t="s">
        <v>50646</v>
      </c>
      <c r="G2827" s="45" t="s">
        <v>50584</v>
      </c>
      <c r="H2827" s="56"/>
      <c r="I2827" s="56" t="s">
        <v>50564</v>
      </c>
      <c r="J2827" s="56"/>
      <c r="K2827" s="50"/>
      <c r="L2827" s="56" t="s">
        <v>56716</v>
      </c>
    </row>
    <row r="2828" spans="1:12" s="37" customFormat="1" ht="11.25" x14ac:dyDescent="0.2">
      <c r="A2828" s="46" t="s">
        <v>1609</v>
      </c>
      <c r="B2828" s="46" t="s">
        <v>52559</v>
      </c>
      <c r="C2828" s="58" t="str">
        <f>"00148172"</f>
        <v>00148172</v>
      </c>
      <c r="D2828" s="58" t="str">
        <f>""</f>
        <v/>
      </c>
      <c r="E2828" s="46" t="s">
        <v>1611</v>
      </c>
      <c r="F2828" s="46" t="s">
        <v>18577</v>
      </c>
      <c r="G2828" s="46" t="s">
        <v>50628</v>
      </c>
      <c r="H2828" s="48" t="s">
        <v>56716</v>
      </c>
      <c r="I2828" s="48" t="s">
        <v>50564</v>
      </c>
      <c r="J2828" s="48"/>
      <c r="K2828" s="50"/>
      <c r="L2828" s="48"/>
    </row>
    <row r="2829" spans="1:12" s="37" customFormat="1" ht="11.25" x14ac:dyDescent="0.2">
      <c r="A2829" s="46" t="s">
        <v>10533</v>
      </c>
      <c r="B2829" s="46" t="s">
        <v>52560</v>
      </c>
      <c r="C2829" s="58" t="str">
        <f>"02144697"</f>
        <v>02144697</v>
      </c>
      <c r="D2829" s="58" t="str">
        <f>""</f>
        <v/>
      </c>
      <c r="E2829" s="46" t="s">
        <v>570</v>
      </c>
      <c r="F2829" s="46" t="s">
        <v>18439</v>
      </c>
      <c r="G2829" s="46" t="s">
        <v>50632</v>
      </c>
      <c r="H2829" s="48" t="s">
        <v>56716</v>
      </c>
      <c r="I2829" s="48" t="s">
        <v>50564</v>
      </c>
      <c r="J2829" s="48"/>
      <c r="K2829" s="50"/>
      <c r="L2829" s="48"/>
    </row>
    <row r="2830" spans="1:12" s="37" customFormat="1" ht="11.25" x14ac:dyDescent="0.2">
      <c r="A2830" s="46" t="s">
        <v>15482</v>
      </c>
      <c r="B2830" s="46" t="s">
        <v>52561</v>
      </c>
      <c r="C2830" s="58" t="str">
        <f>"21723761"</f>
        <v>21723761</v>
      </c>
      <c r="D2830" s="58" t="str">
        <f>""</f>
        <v/>
      </c>
      <c r="E2830" s="46" t="s">
        <v>1683</v>
      </c>
      <c r="F2830" s="46" t="s">
        <v>18439</v>
      </c>
      <c r="G2830" s="46" t="s">
        <v>50632</v>
      </c>
      <c r="H2830" s="48" t="s">
        <v>56716</v>
      </c>
      <c r="I2830" s="48" t="s">
        <v>50564</v>
      </c>
      <c r="J2830" s="48"/>
      <c r="K2830" s="50"/>
      <c r="L2830" s="48"/>
    </row>
    <row r="2831" spans="1:12" s="37" customFormat="1" ht="11.25" x14ac:dyDescent="0.2">
      <c r="A2831" s="46" t="s">
        <v>1642</v>
      </c>
      <c r="B2831" s="46" t="s">
        <v>52562</v>
      </c>
      <c r="C2831" s="58" t="str">
        <f>"07712367"</f>
        <v>07712367</v>
      </c>
      <c r="D2831" s="58" t="str">
        <f>""</f>
        <v/>
      </c>
      <c r="E2831" s="46" t="s">
        <v>1644</v>
      </c>
      <c r="F2831" s="46" t="s">
        <v>17929</v>
      </c>
      <c r="G2831" s="46" t="s">
        <v>50588</v>
      </c>
      <c r="H2831" s="48" t="s">
        <v>56716</v>
      </c>
      <c r="I2831" s="48" t="s">
        <v>50564</v>
      </c>
      <c r="J2831" s="48"/>
      <c r="K2831" s="50"/>
      <c r="L2831" s="48"/>
    </row>
    <row r="2832" spans="1:12" s="37" customFormat="1" ht="11.25" x14ac:dyDescent="0.2">
      <c r="A2832" s="46" t="s">
        <v>4985</v>
      </c>
      <c r="B2832" s="46" t="s">
        <v>52563</v>
      </c>
      <c r="C2832" s="58" t="str">
        <f>"00148202"</f>
        <v>00148202</v>
      </c>
      <c r="D2832" s="58" t="str">
        <f>""</f>
        <v/>
      </c>
      <c r="E2832" s="46" t="s">
        <v>4987</v>
      </c>
      <c r="F2832" s="46" t="s">
        <v>18079</v>
      </c>
      <c r="G2832" s="46" t="s">
        <v>50598</v>
      </c>
      <c r="H2832" s="48" t="s">
        <v>56716</v>
      </c>
      <c r="I2832" s="48" t="s">
        <v>50564</v>
      </c>
      <c r="J2832" s="48"/>
      <c r="K2832" s="50"/>
      <c r="L2832" s="48"/>
    </row>
    <row r="2833" spans="1:12" s="37" customFormat="1" ht="11.25" x14ac:dyDescent="0.2">
      <c r="A2833" s="46" t="s">
        <v>14237</v>
      </c>
      <c r="B2833" s="46" t="s">
        <v>52564</v>
      </c>
      <c r="C2833" s="58" t="str">
        <f>"14255073"</f>
        <v>14255073</v>
      </c>
      <c r="D2833" s="58" t="str">
        <f>""</f>
        <v/>
      </c>
      <c r="E2833" s="46" t="s">
        <v>14239</v>
      </c>
      <c r="F2833" s="46" t="s">
        <v>17967</v>
      </c>
      <c r="G2833" s="46" t="s">
        <v>50613</v>
      </c>
      <c r="H2833" s="48" t="s">
        <v>56716</v>
      </c>
      <c r="I2833" s="48" t="s">
        <v>50564</v>
      </c>
      <c r="J2833" s="48"/>
      <c r="K2833" s="50"/>
      <c r="L2833" s="48"/>
    </row>
    <row r="2834" spans="1:12" s="37" customFormat="1" ht="11.25" x14ac:dyDescent="0.2">
      <c r="A2834" s="46" t="s">
        <v>4989</v>
      </c>
      <c r="B2834" s="46" t="s">
        <v>52565</v>
      </c>
      <c r="C2834" s="58" t="str">
        <f>"00148229"</f>
        <v>00148229</v>
      </c>
      <c r="D2834" s="58" t="str">
        <f>""</f>
        <v/>
      </c>
      <c r="E2834" s="46" t="s">
        <v>4991</v>
      </c>
      <c r="F2834" s="46" t="s">
        <v>18019</v>
      </c>
      <c r="G2834" s="46" t="s">
        <v>50630</v>
      </c>
      <c r="H2834" s="48" t="s">
        <v>56716</v>
      </c>
      <c r="I2834" s="48" t="s">
        <v>50564</v>
      </c>
      <c r="J2834" s="48"/>
      <c r="K2834" s="50"/>
      <c r="L2834" s="48"/>
    </row>
    <row r="2835" spans="1:12" s="37" customFormat="1" ht="11.25" x14ac:dyDescent="0.2">
      <c r="A2835" s="46" t="s">
        <v>1657</v>
      </c>
      <c r="B2835" s="46" t="s">
        <v>1657</v>
      </c>
      <c r="C2835" s="58" t="str">
        <f>"00148237"</f>
        <v>00148237</v>
      </c>
      <c r="D2835" s="58" t="str">
        <f>""</f>
        <v/>
      </c>
      <c r="E2835" s="46" t="s">
        <v>1659</v>
      </c>
      <c r="F2835" s="46" t="s">
        <v>22017</v>
      </c>
      <c r="G2835" s="46" t="s">
        <v>50617</v>
      </c>
      <c r="H2835" s="48" t="s">
        <v>56716</v>
      </c>
      <c r="I2835" s="48" t="s">
        <v>50564</v>
      </c>
      <c r="J2835" s="48"/>
      <c r="K2835" s="50"/>
      <c r="L2835" s="48"/>
    </row>
    <row r="2836" spans="1:12" s="37" customFormat="1" ht="11.25" x14ac:dyDescent="0.2">
      <c r="A2836" s="46" t="s">
        <v>5377</v>
      </c>
      <c r="B2836" s="46" t="s">
        <v>52560</v>
      </c>
      <c r="C2836" s="58" t="str">
        <f>"11306343"</f>
        <v>11306343</v>
      </c>
      <c r="D2836" s="58" t="str">
        <f>"21718695"</f>
        <v>21718695</v>
      </c>
      <c r="E2836" s="46" t="s">
        <v>5380</v>
      </c>
      <c r="F2836" s="46" t="s">
        <v>18439</v>
      </c>
      <c r="G2836" s="46" t="s">
        <v>50632</v>
      </c>
      <c r="H2836" s="48" t="s">
        <v>56716</v>
      </c>
      <c r="I2836" s="48" t="s">
        <v>50564</v>
      </c>
      <c r="J2836" s="48"/>
      <c r="K2836" s="50"/>
      <c r="L2836" s="48" t="s">
        <v>56716</v>
      </c>
    </row>
    <row r="2837" spans="1:12" s="37" customFormat="1" ht="11.25" x14ac:dyDescent="0.2">
      <c r="A2837" s="46" t="s">
        <v>4475</v>
      </c>
      <c r="B2837" s="46" t="s">
        <v>52566</v>
      </c>
      <c r="C2837" s="58" t="str">
        <f>"08926638"</f>
        <v>08926638</v>
      </c>
      <c r="D2837" s="58" t="str">
        <f>"15306860"</f>
        <v>15306860</v>
      </c>
      <c r="E2837" s="46" t="s">
        <v>4477</v>
      </c>
      <c r="F2837" s="46" t="s">
        <v>17759</v>
      </c>
      <c r="G2837" s="46" t="s">
        <v>50584</v>
      </c>
      <c r="H2837" s="48" t="s">
        <v>56716</v>
      </c>
      <c r="I2837" s="48" t="s">
        <v>50564</v>
      </c>
      <c r="J2837" s="48" t="s">
        <v>56716</v>
      </c>
      <c r="K2837" s="50"/>
      <c r="L2837" s="48" t="s">
        <v>56716</v>
      </c>
    </row>
    <row r="2838" spans="1:12" s="37" customFormat="1" ht="11.25" x14ac:dyDescent="0.2">
      <c r="A2838" s="46" t="s">
        <v>17263</v>
      </c>
      <c r="B2838" s="46" t="s">
        <v>52567</v>
      </c>
      <c r="C2838" s="58" t="str">
        <f>"21641846"</f>
        <v>21641846</v>
      </c>
      <c r="D2838" s="58" t="str">
        <f>"21641862"</f>
        <v>21641862</v>
      </c>
      <c r="E2838" s="46" t="s">
        <v>689</v>
      </c>
      <c r="F2838" s="46" t="s">
        <v>50646</v>
      </c>
      <c r="G2838" s="46" t="s">
        <v>50584</v>
      </c>
      <c r="H2838" s="48" t="s">
        <v>56716</v>
      </c>
      <c r="I2838" s="48" t="s">
        <v>50564</v>
      </c>
      <c r="J2838" s="48" t="s">
        <v>56716</v>
      </c>
      <c r="K2838" s="50" t="s">
        <v>56716</v>
      </c>
      <c r="L2838" s="48"/>
    </row>
    <row r="2839" spans="1:12" s="37" customFormat="1" ht="11.25" x14ac:dyDescent="0.2">
      <c r="A2839" s="46" t="s">
        <v>10711</v>
      </c>
      <c r="B2839" s="46" t="s">
        <v>52568</v>
      </c>
      <c r="C2839" s="58" t="str">
        <f>"1742464X"</f>
        <v>1742464X</v>
      </c>
      <c r="D2839" s="58" t="str">
        <f>"17424658"</f>
        <v>17424658</v>
      </c>
      <c r="E2839" s="46" t="s">
        <v>35</v>
      </c>
      <c r="F2839" s="46" t="s">
        <v>50646</v>
      </c>
      <c r="G2839" s="46" t="s">
        <v>50584</v>
      </c>
      <c r="H2839" s="48" t="s">
        <v>56716</v>
      </c>
      <c r="I2839" s="48" t="s">
        <v>50564</v>
      </c>
      <c r="J2839" s="48" t="s">
        <v>56716</v>
      </c>
      <c r="K2839" s="50" t="s">
        <v>56716</v>
      </c>
      <c r="L2839" s="48" t="s">
        <v>56716</v>
      </c>
    </row>
    <row r="2840" spans="1:12" s="37" customFormat="1" ht="11.25" x14ac:dyDescent="0.2">
      <c r="A2840" s="46" t="s">
        <v>1621</v>
      </c>
      <c r="B2840" s="46" t="s">
        <v>52569</v>
      </c>
      <c r="C2840" s="58" t="str">
        <f>"00145793"</f>
        <v>00145793</v>
      </c>
      <c r="D2840" s="58" t="str">
        <f>"18733468"</f>
        <v>18733468</v>
      </c>
      <c r="E2840" s="46" t="s">
        <v>91</v>
      </c>
      <c r="F2840" s="46" t="s">
        <v>18001</v>
      </c>
      <c r="G2840" s="46" t="s">
        <v>50584</v>
      </c>
      <c r="H2840" s="48" t="s">
        <v>56716</v>
      </c>
      <c r="I2840" s="48" t="s">
        <v>50564</v>
      </c>
      <c r="J2840" s="48" t="s">
        <v>56716</v>
      </c>
      <c r="K2840" s="50" t="s">
        <v>56716</v>
      </c>
      <c r="L2840" s="48" t="s">
        <v>56716</v>
      </c>
    </row>
    <row r="2841" spans="1:12" s="37" customFormat="1" ht="11.25" x14ac:dyDescent="0.2">
      <c r="A2841" s="46" t="s">
        <v>15964</v>
      </c>
      <c r="B2841" s="46" t="s">
        <v>52570</v>
      </c>
      <c r="C2841" s="58" t="str">
        <f>"22115463"</f>
        <v>22115463</v>
      </c>
      <c r="D2841" s="58" t="str">
        <f>""</f>
        <v/>
      </c>
      <c r="E2841" s="46" t="s">
        <v>91</v>
      </c>
      <c r="F2841" s="46" t="s">
        <v>18001</v>
      </c>
      <c r="G2841" s="46" t="s">
        <v>50584</v>
      </c>
      <c r="H2841" s="48" t="s">
        <v>56716</v>
      </c>
      <c r="I2841" s="48" t="s">
        <v>50564</v>
      </c>
      <c r="J2841" s="48" t="s">
        <v>56716</v>
      </c>
      <c r="K2841" s="50"/>
      <c r="L2841" s="48"/>
    </row>
    <row r="2842" spans="1:12" s="37" customFormat="1" ht="11.25" x14ac:dyDescent="0.2">
      <c r="A2842" s="45" t="s">
        <v>29331</v>
      </c>
      <c r="B2842" s="45" t="s">
        <v>29333</v>
      </c>
      <c r="C2842" s="51" t="s">
        <v>29334</v>
      </c>
      <c r="D2842" s="51" t="s">
        <v>56559</v>
      </c>
      <c r="E2842" s="45" t="s">
        <v>29335</v>
      </c>
      <c r="F2842" s="45" t="s">
        <v>17759</v>
      </c>
      <c r="G2842" s="45" t="s">
        <v>50584</v>
      </c>
      <c r="H2842" s="56"/>
      <c r="I2842" s="56" t="s">
        <v>50564</v>
      </c>
      <c r="J2842" s="56"/>
      <c r="K2842" s="50"/>
      <c r="L2842" s="56" t="s">
        <v>56716</v>
      </c>
    </row>
    <row r="2843" spans="1:12" s="37" customFormat="1" ht="11.25" x14ac:dyDescent="0.2">
      <c r="A2843" s="46" t="s">
        <v>56005</v>
      </c>
      <c r="B2843" s="46" t="s">
        <v>56006</v>
      </c>
      <c r="C2843" s="58" t="str">
        <f>"21518378"</f>
        <v>21518378</v>
      </c>
      <c r="D2843" s="58" t="str">
        <f>"21544212"</f>
        <v>21544212</v>
      </c>
      <c r="E2843" s="46" t="s">
        <v>28</v>
      </c>
      <c r="F2843" s="46" t="s">
        <v>50646</v>
      </c>
      <c r="G2843" s="46" t="s">
        <v>50584</v>
      </c>
      <c r="H2843" s="48" t="s">
        <v>56716</v>
      </c>
      <c r="I2843" s="48" t="s">
        <v>50564</v>
      </c>
      <c r="J2843" s="48" t="s">
        <v>56716</v>
      </c>
      <c r="K2843" s="50"/>
      <c r="L2843" s="48" t="s">
        <v>56716</v>
      </c>
    </row>
    <row r="2844" spans="1:12" s="37" customFormat="1" ht="11.25" x14ac:dyDescent="0.2">
      <c r="A2844" s="45" t="s">
        <v>29346</v>
      </c>
      <c r="B2844" s="45" t="s">
        <v>29348</v>
      </c>
      <c r="C2844" s="51" t="s">
        <v>29350</v>
      </c>
      <c r="D2844" s="51" t="s">
        <v>29349</v>
      </c>
      <c r="E2844" s="45" t="s">
        <v>55</v>
      </c>
      <c r="F2844" s="45" t="s">
        <v>50646</v>
      </c>
      <c r="G2844" s="45" t="s">
        <v>50584</v>
      </c>
      <c r="H2844" s="56"/>
      <c r="I2844" s="56" t="s">
        <v>50564</v>
      </c>
      <c r="J2844" s="56"/>
      <c r="K2844" s="50"/>
      <c r="L2844" s="56" t="s">
        <v>56716</v>
      </c>
    </row>
    <row r="2845" spans="1:12" s="37" customFormat="1" ht="11.25" x14ac:dyDescent="0.2">
      <c r="A2845" s="46" t="s">
        <v>1636</v>
      </c>
      <c r="B2845" s="46" t="s">
        <v>52571</v>
      </c>
      <c r="C2845" s="58" t="str">
        <f>"03781097"</f>
        <v>03781097</v>
      </c>
      <c r="D2845" s="58" t="str">
        <f>"15746968"</f>
        <v>15746968</v>
      </c>
      <c r="E2845" s="46" t="s">
        <v>35</v>
      </c>
      <c r="F2845" s="46" t="s">
        <v>50646</v>
      </c>
      <c r="G2845" s="46" t="s">
        <v>50584</v>
      </c>
      <c r="H2845" s="48" t="s">
        <v>56716</v>
      </c>
      <c r="I2845" s="48" t="s">
        <v>50564</v>
      </c>
      <c r="J2845" s="48" t="s">
        <v>56716</v>
      </c>
      <c r="K2845" s="50"/>
      <c r="L2845" s="48" t="s">
        <v>56716</v>
      </c>
    </row>
    <row r="2846" spans="1:12" s="37" customFormat="1" ht="11.25" x14ac:dyDescent="0.2">
      <c r="A2846" s="46" t="s">
        <v>1639</v>
      </c>
      <c r="B2846" s="46" t="s">
        <v>52572</v>
      </c>
      <c r="C2846" s="58" t="str">
        <f>"01686445"</f>
        <v>01686445</v>
      </c>
      <c r="D2846" s="58" t="str">
        <f>"15746976"</f>
        <v>15746976</v>
      </c>
      <c r="E2846" s="46" t="s">
        <v>35</v>
      </c>
      <c r="F2846" s="46" t="s">
        <v>50646</v>
      </c>
      <c r="G2846" s="46" t="s">
        <v>50584</v>
      </c>
      <c r="H2846" s="48" t="s">
        <v>56716</v>
      </c>
      <c r="I2846" s="48" t="s">
        <v>50564</v>
      </c>
      <c r="J2846" s="48"/>
      <c r="K2846" s="50"/>
      <c r="L2846" s="48" t="s">
        <v>56716</v>
      </c>
    </row>
    <row r="2847" spans="1:12" s="37" customFormat="1" ht="11.25" x14ac:dyDescent="0.2">
      <c r="A2847" s="46" t="s">
        <v>8839</v>
      </c>
      <c r="B2847" s="46" t="s">
        <v>52573</v>
      </c>
      <c r="C2847" s="58" t="str">
        <f>"15671356"</f>
        <v>15671356</v>
      </c>
      <c r="D2847" s="58" t="str">
        <f>"15671364"</f>
        <v>15671364</v>
      </c>
      <c r="E2847" s="46" t="s">
        <v>35</v>
      </c>
      <c r="F2847" s="46" t="s">
        <v>50646</v>
      </c>
      <c r="G2847" s="46" t="s">
        <v>50584</v>
      </c>
      <c r="H2847" s="48" t="s">
        <v>56716</v>
      </c>
      <c r="I2847" s="48" t="s">
        <v>50564</v>
      </c>
      <c r="J2847" s="48"/>
      <c r="K2847" s="50"/>
      <c r="L2847" s="48" t="s">
        <v>56716</v>
      </c>
    </row>
    <row r="2848" spans="1:12" s="37" customFormat="1" ht="11.25" x14ac:dyDescent="0.2">
      <c r="A2848" s="46" t="s">
        <v>1627</v>
      </c>
      <c r="B2848" s="46" t="s">
        <v>52574</v>
      </c>
      <c r="C2848" s="58" t="str">
        <f>"00150282"</f>
        <v>00150282</v>
      </c>
      <c r="D2848" s="58" t="str">
        <f>"15565653"</f>
        <v>15565653</v>
      </c>
      <c r="E2848" s="46" t="s">
        <v>272</v>
      </c>
      <c r="F2848" s="46" t="s">
        <v>17759</v>
      </c>
      <c r="G2848" s="46" t="s">
        <v>50584</v>
      </c>
      <c r="H2848" s="48" t="s">
        <v>56716</v>
      </c>
      <c r="I2848" s="48" t="s">
        <v>50564</v>
      </c>
      <c r="J2848" s="48" t="s">
        <v>56716</v>
      </c>
      <c r="K2848" s="50" t="s">
        <v>56716</v>
      </c>
      <c r="L2848" s="48" t="s">
        <v>56716</v>
      </c>
    </row>
    <row r="2849" spans="1:12" s="37" customFormat="1" ht="11.25" x14ac:dyDescent="0.2">
      <c r="A2849" s="46" t="s">
        <v>5679</v>
      </c>
      <c r="B2849" s="46" t="s">
        <v>52575</v>
      </c>
      <c r="C2849" s="58" t="str">
        <f>"09655395"</f>
        <v>09655395</v>
      </c>
      <c r="D2849" s="58" t="str">
        <f>"14695065"</f>
        <v>14695065</v>
      </c>
      <c r="E2849" s="46" t="s">
        <v>724</v>
      </c>
      <c r="F2849" s="46" t="s">
        <v>50646</v>
      </c>
      <c r="G2849" s="46" t="s">
        <v>50584</v>
      </c>
      <c r="H2849" s="48" t="s">
        <v>56716</v>
      </c>
      <c r="I2849" s="48" t="s">
        <v>50564</v>
      </c>
      <c r="J2849" s="48"/>
      <c r="K2849" s="50"/>
      <c r="L2849" s="48"/>
    </row>
    <row r="2850" spans="1:12" s="37" customFormat="1" ht="11.25" x14ac:dyDescent="0.2">
      <c r="A2850" s="46" t="s">
        <v>10724</v>
      </c>
      <c r="B2850" s="46" t="s">
        <v>52576</v>
      </c>
      <c r="C2850" s="58" t="str">
        <f>"15513815"</f>
        <v>15513815</v>
      </c>
      <c r="D2850" s="58" t="str">
        <f>"15513823"</f>
        <v>15513823</v>
      </c>
      <c r="E2850" s="46" t="s">
        <v>291</v>
      </c>
      <c r="F2850" s="46" t="s">
        <v>50646</v>
      </c>
      <c r="G2850" s="46" t="s">
        <v>50584</v>
      </c>
      <c r="H2850" s="48" t="s">
        <v>56716</v>
      </c>
      <c r="I2850" s="48" t="s">
        <v>50564</v>
      </c>
      <c r="J2850" s="48" t="s">
        <v>56716</v>
      </c>
      <c r="K2850" s="50"/>
      <c r="L2850" s="48" t="s">
        <v>56716</v>
      </c>
    </row>
    <row r="2851" spans="1:12" s="37" customFormat="1" ht="11.25" x14ac:dyDescent="0.2">
      <c r="A2851" s="46" t="s">
        <v>5079</v>
      </c>
      <c r="B2851" s="46" t="s">
        <v>52577</v>
      </c>
      <c r="C2851" s="58" t="str">
        <f>"10153837"</f>
        <v>10153837</v>
      </c>
      <c r="D2851" s="58" t="str">
        <f>"14219964"</f>
        <v>14219964</v>
      </c>
      <c r="E2851" s="46" t="s">
        <v>109</v>
      </c>
      <c r="F2851" s="46" t="s">
        <v>18123</v>
      </c>
      <c r="G2851" s="46" t="s">
        <v>50584</v>
      </c>
      <c r="H2851" s="48" t="s">
        <v>56716</v>
      </c>
      <c r="I2851" s="48" t="s">
        <v>50564</v>
      </c>
      <c r="J2851" s="48" t="s">
        <v>56716</v>
      </c>
      <c r="K2851" s="50" t="s">
        <v>56716</v>
      </c>
      <c r="L2851" s="48" t="s">
        <v>56716</v>
      </c>
    </row>
    <row r="2852" spans="1:12" s="37" customFormat="1" ht="11.25" x14ac:dyDescent="0.2">
      <c r="A2852" s="46" t="s">
        <v>1624</v>
      </c>
      <c r="B2852" s="46" t="s">
        <v>52578</v>
      </c>
      <c r="C2852" s="58" t="str">
        <f>"01819801"</f>
        <v>01819801</v>
      </c>
      <c r="D2852" s="58" t="str">
        <f>"17730376"</f>
        <v>17730376</v>
      </c>
      <c r="E2852" s="46" t="s">
        <v>85</v>
      </c>
      <c r="F2852" s="46" t="s">
        <v>20359</v>
      </c>
      <c r="G2852" s="46" t="s">
        <v>50591</v>
      </c>
      <c r="H2852" s="48" t="s">
        <v>56716</v>
      </c>
      <c r="I2852" s="48" t="s">
        <v>50564</v>
      </c>
      <c r="J2852" s="48"/>
      <c r="K2852" s="50" t="s">
        <v>56716</v>
      </c>
      <c r="L2852" s="48"/>
    </row>
    <row r="2853" spans="1:12" s="37" customFormat="1" ht="11.25" x14ac:dyDescent="0.2">
      <c r="A2853" s="46" t="s">
        <v>14729</v>
      </c>
      <c r="B2853" s="46" t="s">
        <v>52579</v>
      </c>
      <c r="C2853" s="58" t="str">
        <f>""</f>
        <v/>
      </c>
      <c r="D2853" s="58" t="str">
        <f>"17551536"</f>
        <v>17551536</v>
      </c>
      <c r="E2853" s="46" t="s">
        <v>2299</v>
      </c>
      <c r="F2853" s="46" t="s">
        <v>50646</v>
      </c>
      <c r="G2853" s="46" t="s">
        <v>50584</v>
      </c>
      <c r="H2853" s="48" t="s">
        <v>56716</v>
      </c>
      <c r="I2853" s="48" t="s">
        <v>50564</v>
      </c>
      <c r="J2853" s="48"/>
      <c r="K2853" s="50" t="s">
        <v>56716</v>
      </c>
      <c r="L2853" s="48"/>
    </row>
    <row r="2854" spans="1:12" s="37" customFormat="1" ht="11.25" x14ac:dyDescent="0.2">
      <c r="A2854" s="45" t="s">
        <v>29383</v>
      </c>
      <c r="B2854" s="45" t="s">
        <v>29385</v>
      </c>
      <c r="C2854" s="51"/>
      <c r="D2854" s="51" t="s">
        <v>29386</v>
      </c>
      <c r="E2854" s="45" t="s">
        <v>29387</v>
      </c>
      <c r="F2854" s="45" t="s">
        <v>17759</v>
      </c>
      <c r="G2854" s="45" t="s">
        <v>50584</v>
      </c>
      <c r="H2854" s="56"/>
      <c r="I2854" s="56" t="s">
        <v>50564</v>
      </c>
      <c r="J2854" s="56"/>
      <c r="K2854" s="50"/>
      <c r="L2854" s="56" t="s">
        <v>56716</v>
      </c>
    </row>
    <row r="2855" spans="1:12" s="37" customFormat="1" ht="11.25" x14ac:dyDescent="0.2">
      <c r="A2855" s="45" t="s">
        <v>29390</v>
      </c>
      <c r="B2855" s="45" t="s">
        <v>29392</v>
      </c>
      <c r="C2855" s="51" t="s">
        <v>29394</v>
      </c>
      <c r="D2855" s="51" t="s">
        <v>29393</v>
      </c>
      <c r="E2855" s="45" t="s">
        <v>601</v>
      </c>
      <c r="F2855" s="45" t="s">
        <v>50646</v>
      </c>
      <c r="G2855" s="45" t="s">
        <v>50584</v>
      </c>
      <c r="H2855" s="56"/>
      <c r="I2855" s="56" t="s">
        <v>50564</v>
      </c>
      <c r="J2855" s="56"/>
      <c r="K2855" s="50"/>
      <c r="L2855" s="56" t="s">
        <v>56716</v>
      </c>
    </row>
    <row r="2856" spans="1:12" s="37" customFormat="1" ht="11.25" x14ac:dyDescent="0.2">
      <c r="A2856" s="45" t="s">
        <v>29397</v>
      </c>
      <c r="B2856" s="45" t="s">
        <v>29399</v>
      </c>
      <c r="C2856" s="51" t="s">
        <v>29401</v>
      </c>
      <c r="D2856" s="51" t="s">
        <v>29400</v>
      </c>
      <c r="E2856" s="45" t="s">
        <v>18876</v>
      </c>
      <c r="F2856" s="45" t="s">
        <v>18001</v>
      </c>
      <c r="G2856" s="45" t="s">
        <v>50584</v>
      </c>
      <c r="H2856" s="56"/>
      <c r="I2856" s="56" t="s">
        <v>50564</v>
      </c>
      <c r="J2856" s="56"/>
      <c r="K2856" s="50"/>
      <c r="L2856" s="56" t="s">
        <v>56716</v>
      </c>
    </row>
    <row r="2857" spans="1:12" s="37" customFormat="1" ht="11.25" x14ac:dyDescent="0.2">
      <c r="A2857" s="46" t="s">
        <v>1666</v>
      </c>
      <c r="B2857" s="46" t="s">
        <v>1666</v>
      </c>
      <c r="C2857" s="58" t="str">
        <f>"0367326X"</f>
        <v>0367326X</v>
      </c>
      <c r="D2857" s="58" t="str">
        <f>"18736971"</f>
        <v>18736971</v>
      </c>
      <c r="E2857" s="46" t="s">
        <v>91</v>
      </c>
      <c r="F2857" s="46" t="s">
        <v>18001</v>
      </c>
      <c r="G2857" s="46" t="s">
        <v>50584</v>
      </c>
      <c r="H2857" s="48" t="s">
        <v>56716</v>
      </c>
      <c r="I2857" s="48" t="s">
        <v>50564</v>
      </c>
      <c r="J2857" s="48" t="s">
        <v>56716</v>
      </c>
      <c r="K2857" s="50" t="s">
        <v>56716</v>
      </c>
      <c r="L2857" s="48" t="s">
        <v>56716</v>
      </c>
    </row>
    <row r="2858" spans="1:12" s="37" customFormat="1" ht="11.25" x14ac:dyDescent="0.2">
      <c r="A2858" s="45" t="s">
        <v>29407</v>
      </c>
      <c r="B2858" s="45" t="s">
        <v>29409</v>
      </c>
      <c r="C2858" s="51" t="s">
        <v>29410</v>
      </c>
      <c r="D2858" s="51"/>
      <c r="E2858" s="45" t="s">
        <v>29411</v>
      </c>
      <c r="F2858" s="45" t="s">
        <v>50653</v>
      </c>
      <c r="G2858" s="45" t="s">
        <v>50619</v>
      </c>
      <c r="H2858" s="56"/>
      <c r="I2858" s="56" t="s">
        <v>50564</v>
      </c>
      <c r="J2858" s="56"/>
      <c r="K2858" s="50"/>
      <c r="L2858" s="56" t="s">
        <v>56716</v>
      </c>
    </row>
    <row r="2859" spans="1:12" s="37" customFormat="1" ht="11.25" x14ac:dyDescent="0.2">
      <c r="A2859" s="45" t="s">
        <v>29413</v>
      </c>
      <c r="B2859" s="45" t="s">
        <v>29415</v>
      </c>
      <c r="C2859" s="51"/>
      <c r="D2859" s="51"/>
      <c r="E2859" s="45" t="s">
        <v>29417</v>
      </c>
      <c r="F2859" s="45" t="s">
        <v>29064</v>
      </c>
      <c r="G2859" s="45" t="s">
        <v>56560</v>
      </c>
      <c r="H2859" s="56"/>
      <c r="I2859" s="56" t="s">
        <v>50564</v>
      </c>
      <c r="J2859" s="56"/>
      <c r="K2859" s="50"/>
      <c r="L2859" s="56" t="s">
        <v>56716</v>
      </c>
    </row>
    <row r="2860" spans="1:12" s="37" customFormat="1" ht="11.25" x14ac:dyDescent="0.2">
      <c r="A2860" s="46" t="s">
        <v>10481</v>
      </c>
      <c r="B2860" s="46" t="s">
        <v>10481</v>
      </c>
      <c r="C2860" s="58" t="str">
        <f>"12308323"</f>
        <v>12308323</v>
      </c>
      <c r="D2860" s="58" t="str">
        <f>""</f>
        <v/>
      </c>
      <c r="E2860" s="46" t="s">
        <v>10483</v>
      </c>
      <c r="F2860" s="46" t="s">
        <v>17967</v>
      </c>
      <c r="G2860" s="46" t="s">
        <v>50613</v>
      </c>
      <c r="H2860" s="48" t="s">
        <v>56716</v>
      </c>
      <c r="I2860" s="48" t="s">
        <v>50564</v>
      </c>
      <c r="J2860" s="48"/>
      <c r="K2860" s="50"/>
      <c r="L2860" s="48"/>
    </row>
    <row r="2861" spans="1:12" s="37" customFormat="1" ht="11.25" x14ac:dyDescent="0.2">
      <c r="A2861" s="46" t="s">
        <v>9194</v>
      </c>
      <c r="B2861" s="46" t="s">
        <v>52580</v>
      </c>
      <c r="C2861" s="58" t="str">
        <f>"13008757"</f>
        <v>13008757</v>
      </c>
      <c r="D2861" s="58" t="str">
        <f>""</f>
        <v/>
      </c>
      <c r="E2861" s="46" t="s">
        <v>9196</v>
      </c>
      <c r="F2861" s="46" t="s">
        <v>18396</v>
      </c>
      <c r="G2861" s="46" t="s">
        <v>50637</v>
      </c>
      <c r="H2861" s="48" t="s">
        <v>56716</v>
      </c>
      <c r="I2861" s="48" t="s">
        <v>50564</v>
      </c>
      <c r="J2861" s="48"/>
      <c r="K2861" s="50"/>
      <c r="L2861" s="48"/>
    </row>
    <row r="2862" spans="1:12" s="37" customFormat="1" ht="11.25" x14ac:dyDescent="0.2">
      <c r="A2862" s="46" t="s">
        <v>1630</v>
      </c>
      <c r="B2862" s="46" t="s">
        <v>52581</v>
      </c>
      <c r="C2862" s="58" t="str">
        <f>"08825734"</f>
        <v>08825734</v>
      </c>
      <c r="D2862" s="58" t="str">
        <f>"10991026"</f>
        <v>10991026</v>
      </c>
      <c r="E2862" s="46" t="s">
        <v>751</v>
      </c>
      <c r="F2862" s="46" t="s">
        <v>50646</v>
      </c>
      <c r="G2862" s="46" t="s">
        <v>50584</v>
      </c>
      <c r="H2862" s="48" t="s">
        <v>56716</v>
      </c>
      <c r="I2862" s="48" t="s">
        <v>50564</v>
      </c>
      <c r="J2862" s="48"/>
      <c r="K2862" s="50" t="s">
        <v>56716</v>
      </c>
      <c r="L2862" s="48"/>
    </row>
    <row r="2863" spans="1:12" s="37" customFormat="1" ht="11.25" x14ac:dyDescent="0.2">
      <c r="A2863" s="46" t="s">
        <v>14747</v>
      </c>
      <c r="B2863" s="46" t="s">
        <v>52582</v>
      </c>
      <c r="C2863" s="58" t="str">
        <f>"20458118"</f>
        <v>20458118</v>
      </c>
      <c r="D2863" s="58" t="str">
        <f>"20458118"</f>
        <v>20458118</v>
      </c>
      <c r="E2863" s="46" t="s">
        <v>2299</v>
      </c>
      <c r="F2863" s="46" t="s">
        <v>50646</v>
      </c>
      <c r="G2863" s="46" t="s">
        <v>50584</v>
      </c>
      <c r="H2863" s="48" t="s">
        <v>56716</v>
      </c>
      <c r="I2863" s="48" t="s">
        <v>50564</v>
      </c>
      <c r="J2863" s="48" t="s">
        <v>56716</v>
      </c>
      <c r="K2863" s="50" t="s">
        <v>56716</v>
      </c>
      <c r="L2863" s="48"/>
    </row>
    <row r="2864" spans="1:12" s="37" customFormat="1" ht="11.25" x14ac:dyDescent="0.2">
      <c r="A2864" s="46" t="s">
        <v>7129</v>
      </c>
      <c r="B2864" s="46" t="s">
        <v>7129</v>
      </c>
      <c r="C2864" s="58" t="str">
        <f>"00154725"</f>
        <v>00154725</v>
      </c>
      <c r="D2864" s="58" t="str">
        <f>"22534083"</f>
        <v>22534083</v>
      </c>
      <c r="E2864" s="46" t="s">
        <v>7132</v>
      </c>
      <c r="F2864" s="46" t="s">
        <v>19483</v>
      </c>
      <c r="G2864" s="46" t="s">
        <v>50584</v>
      </c>
      <c r="H2864" s="48" t="s">
        <v>56716</v>
      </c>
      <c r="I2864" s="48" t="s">
        <v>50564</v>
      </c>
      <c r="J2864" s="48"/>
      <c r="K2864" s="50"/>
      <c r="L2864" s="48"/>
    </row>
    <row r="2865" spans="1:12" s="37" customFormat="1" ht="11.25" x14ac:dyDescent="0.2">
      <c r="A2865" s="45" t="s">
        <v>29428</v>
      </c>
      <c r="B2865" s="45" t="s">
        <v>29430</v>
      </c>
      <c r="C2865" s="51" t="s">
        <v>29432</v>
      </c>
      <c r="D2865" s="51" t="s">
        <v>29431</v>
      </c>
      <c r="E2865" s="45" t="s">
        <v>56561</v>
      </c>
      <c r="F2865" s="45" t="s">
        <v>17759</v>
      </c>
      <c r="G2865" s="45" t="s">
        <v>50584</v>
      </c>
      <c r="H2865" s="56"/>
      <c r="I2865" s="56" t="s">
        <v>50564</v>
      </c>
      <c r="J2865" s="56"/>
      <c r="K2865" s="50"/>
      <c r="L2865" s="56" t="s">
        <v>56716</v>
      </c>
    </row>
    <row r="2866" spans="1:12" s="37" customFormat="1" ht="11.25" x14ac:dyDescent="0.2">
      <c r="A2866" s="46" t="s">
        <v>12145</v>
      </c>
      <c r="B2866" s="46" t="s">
        <v>52583</v>
      </c>
      <c r="C2866" s="58" t="str">
        <f>"11342072"</f>
        <v>11342072</v>
      </c>
      <c r="D2866" s="58" t="str">
        <f>"15789675"</f>
        <v>15789675</v>
      </c>
      <c r="E2866" s="46" t="s">
        <v>1683</v>
      </c>
      <c r="F2866" s="46" t="s">
        <v>18439</v>
      </c>
      <c r="G2866" s="46" t="s">
        <v>50632</v>
      </c>
      <c r="H2866" s="48" t="s">
        <v>56716</v>
      </c>
      <c r="I2866" s="48" t="s">
        <v>50564</v>
      </c>
      <c r="J2866" s="48"/>
      <c r="K2866" s="50"/>
      <c r="L2866" s="48"/>
    </row>
    <row r="2867" spans="1:12" s="37" customFormat="1" ht="11.25" x14ac:dyDescent="0.2">
      <c r="A2867" s="45" t="s">
        <v>29434</v>
      </c>
      <c r="B2867" s="45" t="s">
        <v>29436</v>
      </c>
      <c r="C2867" s="51" t="s">
        <v>29437</v>
      </c>
      <c r="D2867" s="51"/>
      <c r="E2867" s="45" t="s">
        <v>29438</v>
      </c>
      <c r="F2867" s="45" t="s">
        <v>17759</v>
      </c>
      <c r="G2867" s="45" t="s">
        <v>50584</v>
      </c>
      <c r="H2867" s="56"/>
      <c r="I2867" s="56" t="s">
        <v>50564</v>
      </c>
      <c r="J2867" s="56"/>
      <c r="K2867" s="50"/>
      <c r="L2867" s="56" t="s">
        <v>56716</v>
      </c>
    </row>
    <row r="2868" spans="1:12" s="37" customFormat="1" ht="11.25" x14ac:dyDescent="0.2">
      <c r="A2868" s="46" t="s">
        <v>9853</v>
      </c>
      <c r="B2868" s="46" t="s">
        <v>52584</v>
      </c>
      <c r="C2868" s="58" t="str">
        <f>"14653753"</f>
        <v>14653753</v>
      </c>
      <c r="D2868" s="58" t="str">
        <f>"20427166"</f>
        <v>20427166</v>
      </c>
      <c r="E2868" s="46" t="s">
        <v>35</v>
      </c>
      <c r="F2868" s="46" t="s">
        <v>50646</v>
      </c>
      <c r="G2868" s="46" t="s">
        <v>50584</v>
      </c>
      <c r="H2868" s="48" t="s">
        <v>56716</v>
      </c>
      <c r="I2868" s="48" t="s">
        <v>50564</v>
      </c>
      <c r="J2868" s="48"/>
      <c r="K2868" s="50" t="s">
        <v>56716</v>
      </c>
      <c r="L2868" s="48"/>
    </row>
    <row r="2869" spans="1:12" s="37" customFormat="1" ht="11.25" x14ac:dyDescent="0.2">
      <c r="A2869" s="46" t="s">
        <v>13106</v>
      </c>
      <c r="B2869" s="46" t="s">
        <v>52585</v>
      </c>
      <c r="C2869" s="58" t="str">
        <f>"10883576"</f>
        <v>10883576</v>
      </c>
      <c r="D2869" s="58" t="str">
        <f>"15384829"</f>
        <v>15384829</v>
      </c>
      <c r="E2869" s="46" t="s">
        <v>493</v>
      </c>
      <c r="F2869" s="46" t="s">
        <v>17759</v>
      </c>
      <c r="G2869" s="46" t="s">
        <v>50584</v>
      </c>
      <c r="H2869" s="48" t="s">
        <v>56716</v>
      </c>
      <c r="I2869" s="48" t="s">
        <v>50564</v>
      </c>
      <c r="J2869" s="48" t="s">
        <v>56716</v>
      </c>
      <c r="K2869" s="50"/>
      <c r="L2869" s="48"/>
    </row>
    <row r="2870" spans="1:12" s="37" customFormat="1" ht="11.25" x14ac:dyDescent="0.2">
      <c r="A2870" s="46" t="s">
        <v>15573</v>
      </c>
      <c r="B2870" s="46" t="s">
        <v>52586</v>
      </c>
      <c r="C2870" s="58" t="str">
        <f>"17561205"</f>
        <v>17561205</v>
      </c>
      <c r="D2870" s="58" t="str">
        <f>"17561213"</f>
        <v>17561213</v>
      </c>
      <c r="E2870" s="46" t="s">
        <v>8341</v>
      </c>
      <c r="F2870" s="46" t="s">
        <v>50646</v>
      </c>
      <c r="G2870" s="46" t="s">
        <v>50584</v>
      </c>
      <c r="H2870" s="48" t="s">
        <v>56716</v>
      </c>
      <c r="I2870" s="48" t="s">
        <v>50564</v>
      </c>
      <c r="J2870" s="48"/>
      <c r="K2870" s="50"/>
      <c r="L2870" s="48"/>
    </row>
    <row r="2871" spans="1:12" s="37" customFormat="1" ht="11.25" x14ac:dyDescent="0.2">
      <c r="A2871" s="46" t="s">
        <v>6976</v>
      </c>
      <c r="B2871" s="46" t="s">
        <v>52587</v>
      </c>
      <c r="C2871" s="58" t="str">
        <f>"09242015"</f>
        <v>09242015</v>
      </c>
      <c r="D2871" s="58" t="str">
        <f>""</f>
        <v/>
      </c>
      <c r="E2871" s="46" t="s">
        <v>6978</v>
      </c>
      <c r="F2871" s="46" t="s">
        <v>18001</v>
      </c>
      <c r="G2871" s="46" t="s">
        <v>50584</v>
      </c>
      <c r="H2871" s="48" t="s">
        <v>56716</v>
      </c>
      <c r="I2871" s="48" t="s">
        <v>50564</v>
      </c>
      <c r="J2871" s="48"/>
      <c r="K2871" s="50"/>
      <c r="L2871" s="48"/>
    </row>
    <row r="2872" spans="1:12" s="37" customFormat="1" ht="11.25" x14ac:dyDescent="0.2">
      <c r="A2872" s="45" t="s">
        <v>29441</v>
      </c>
      <c r="B2872" s="45" t="s">
        <v>29443</v>
      </c>
      <c r="C2872" s="51" t="s">
        <v>29445</v>
      </c>
      <c r="D2872" s="51"/>
      <c r="E2872" s="45" t="s">
        <v>29446</v>
      </c>
      <c r="F2872" s="45" t="s">
        <v>17976</v>
      </c>
      <c r="G2872" s="45" t="s">
        <v>50599</v>
      </c>
      <c r="H2872" s="56"/>
      <c r="I2872" s="56" t="s">
        <v>50564</v>
      </c>
      <c r="J2872" s="56"/>
      <c r="K2872" s="50"/>
      <c r="L2872" s="56" t="s">
        <v>56716</v>
      </c>
    </row>
    <row r="2873" spans="1:12" s="37" customFormat="1" ht="11.25" x14ac:dyDescent="0.2">
      <c r="A2873" s="45" t="s">
        <v>29449</v>
      </c>
      <c r="B2873" s="45" t="s">
        <v>29455</v>
      </c>
      <c r="C2873" s="51" t="s">
        <v>29456</v>
      </c>
      <c r="D2873" s="51"/>
      <c r="E2873" s="45" t="s">
        <v>29457</v>
      </c>
      <c r="F2873" s="45" t="s">
        <v>17967</v>
      </c>
      <c r="G2873" s="45" t="s">
        <v>50584</v>
      </c>
      <c r="H2873" s="56"/>
      <c r="I2873" s="56" t="s">
        <v>50564</v>
      </c>
      <c r="J2873" s="56"/>
      <c r="K2873" s="50"/>
      <c r="L2873" s="56" t="s">
        <v>56716</v>
      </c>
    </row>
    <row r="2874" spans="1:12" s="37" customFormat="1" ht="11.25" x14ac:dyDescent="0.2">
      <c r="A2874" s="46" t="s">
        <v>1650</v>
      </c>
      <c r="B2874" s="46" t="s">
        <v>52588</v>
      </c>
      <c r="C2874" s="58" t="str">
        <f>"00155500"</f>
        <v>00155500</v>
      </c>
      <c r="D2874" s="58" t="str">
        <f>"17349168"</f>
        <v>17349168</v>
      </c>
      <c r="E2874" s="46" t="s">
        <v>1653</v>
      </c>
      <c r="F2874" s="46" t="s">
        <v>18025</v>
      </c>
      <c r="G2874" s="46" t="s">
        <v>50584</v>
      </c>
      <c r="H2874" s="48" t="s">
        <v>56716</v>
      </c>
      <c r="I2874" s="48" t="s">
        <v>50564</v>
      </c>
      <c r="J2874" s="48"/>
      <c r="K2874" s="50"/>
      <c r="L2874" s="48" t="s">
        <v>56716</v>
      </c>
    </row>
    <row r="2875" spans="1:12" s="37" customFormat="1" ht="11.25" x14ac:dyDescent="0.2">
      <c r="A2875" s="46" t="s">
        <v>1633</v>
      </c>
      <c r="B2875" s="46" t="s">
        <v>52589</v>
      </c>
      <c r="C2875" s="58" t="str">
        <f>"02398508"</f>
        <v>02398508</v>
      </c>
      <c r="D2875" s="58" t="str">
        <f>"18975631"</f>
        <v>18975631</v>
      </c>
      <c r="E2875" s="46" t="s">
        <v>1462</v>
      </c>
      <c r="F2875" s="46" t="s">
        <v>17967</v>
      </c>
      <c r="G2875" s="46" t="s">
        <v>50584</v>
      </c>
      <c r="H2875" s="48" t="s">
        <v>56716</v>
      </c>
      <c r="I2875" s="48" t="s">
        <v>50564</v>
      </c>
      <c r="J2875" s="48"/>
      <c r="K2875" s="50"/>
      <c r="L2875" s="48" t="s">
        <v>56716</v>
      </c>
    </row>
    <row r="2876" spans="1:12" s="37" customFormat="1" ht="11.25" x14ac:dyDescent="0.2">
      <c r="A2876" s="45" t="s">
        <v>29466</v>
      </c>
      <c r="B2876" s="45" t="s">
        <v>29468</v>
      </c>
      <c r="C2876" s="51" t="s">
        <v>29470</v>
      </c>
      <c r="D2876" s="51" t="s">
        <v>29469</v>
      </c>
      <c r="E2876" s="45" t="s">
        <v>29471</v>
      </c>
      <c r="F2876" s="45" t="s">
        <v>19251</v>
      </c>
      <c r="G2876" s="45" t="s">
        <v>50584</v>
      </c>
      <c r="H2876" s="56"/>
      <c r="I2876" s="56" t="s">
        <v>50564</v>
      </c>
      <c r="J2876" s="56"/>
      <c r="K2876" s="50"/>
      <c r="L2876" s="56" t="s">
        <v>56716</v>
      </c>
    </row>
    <row r="2877" spans="1:12" s="37" customFormat="1" ht="11.25" x14ac:dyDescent="0.2">
      <c r="A2877" s="45" t="s">
        <v>29473</v>
      </c>
      <c r="B2877" s="45" t="s">
        <v>29475</v>
      </c>
      <c r="C2877" s="51" t="s">
        <v>29476</v>
      </c>
      <c r="D2877" s="51"/>
      <c r="E2877" s="45" t="s">
        <v>17966</v>
      </c>
      <c r="F2877" s="45" t="s">
        <v>17967</v>
      </c>
      <c r="G2877" s="45" t="s">
        <v>50611</v>
      </c>
      <c r="H2877" s="56"/>
      <c r="I2877" s="56" t="s">
        <v>50564</v>
      </c>
      <c r="J2877" s="56"/>
      <c r="K2877" s="50"/>
      <c r="L2877" s="56" t="s">
        <v>56716</v>
      </c>
    </row>
    <row r="2878" spans="1:12" s="37" customFormat="1" ht="11.25" x14ac:dyDescent="0.2">
      <c r="A2878" s="45" t="s">
        <v>29478</v>
      </c>
      <c r="B2878" s="45" t="s">
        <v>29480</v>
      </c>
      <c r="C2878" s="51" t="s">
        <v>29483</v>
      </c>
      <c r="D2878" s="51" t="s">
        <v>29482</v>
      </c>
      <c r="E2878" s="45" t="s">
        <v>17783</v>
      </c>
      <c r="F2878" s="45" t="s">
        <v>17759</v>
      </c>
      <c r="G2878" s="45" t="s">
        <v>50584</v>
      </c>
      <c r="H2878" s="56"/>
      <c r="I2878" s="56" t="s">
        <v>50564</v>
      </c>
      <c r="J2878" s="56"/>
      <c r="K2878" s="50"/>
      <c r="L2878" s="56" t="s">
        <v>56716</v>
      </c>
    </row>
    <row r="2879" spans="1:12" s="37" customFormat="1" ht="11.25" x14ac:dyDescent="0.2">
      <c r="A2879" s="45" t="s">
        <v>29485</v>
      </c>
      <c r="B2879" s="45" t="s">
        <v>29487</v>
      </c>
      <c r="C2879" s="51" t="s">
        <v>56723</v>
      </c>
      <c r="D2879" s="51"/>
      <c r="E2879" s="45" t="s">
        <v>1462</v>
      </c>
      <c r="F2879" s="45" t="s">
        <v>17967</v>
      </c>
      <c r="G2879" s="45" t="s">
        <v>50611</v>
      </c>
      <c r="H2879" s="56"/>
      <c r="I2879" s="56" t="s">
        <v>50564</v>
      </c>
      <c r="J2879" s="56"/>
      <c r="K2879" s="50"/>
      <c r="L2879" s="56" t="s">
        <v>56716</v>
      </c>
    </row>
    <row r="2880" spans="1:12" s="37" customFormat="1" ht="11.25" x14ac:dyDescent="0.2">
      <c r="A2880" s="46" t="s">
        <v>8310</v>
      </c>
      <c r="B2880" s="46" t="s">
        <v>52590</v>
      </c>
      <c r="C2880" s="58" t="str">
        <f>"16414640"</f>
        <v>16414640</v>
      </c>
      <c r="D2880" s="58" t="str">
        <f>"1509572X"</f>
        <v>1509572X</v>
      </c>
      <c r="E2880" s="46" t="s">
        <v>3134</v>
      </c>
      <c r="F2880" s="46" t="s">
        <v>17967</v>
      </c>
      <c r="G2880" s="46" t="s">
        <v>50584</v>
      </c>
      <c r="H2880" s="48" t="s">
        <v>56716</v>
      </c>
      <c r="I2880" s="48" t="s">
        <v>50564</v>
      </c>
      <c r="J2880" s="48"/>
      <c r="K2880" s="50"/>
      <c r="L2880" s="48" t="s">
        <v>56716</v>
      </c>
    </row>
    <row r="2881" spans="1:12" s="37" customFormat="1" ht="11.25" x14ac:dyDescent="0.2">
      <c r="A2881" s="45" t="s">
        <v>29497</v>
      </c>
      <c r="B2881" s="45" t="s">
        <v>29499</v>
      </c>
      <c r="C2881" s="51" t="s">
        <v>29501</v>
      </c>
      <c r="D2881" s="51" t="s">
        <v>56562</v>
      </c>
      <c r="E2881" s="45" t="s">
        <v>56563</v>
      </c>
      <c r="F2881" s="45" t="s">
        <v>18025</v>
      </c>
      <c r="G2881" s="45" t="s">
        <v>50584</v>
      </c>
      <c r="H2881" s="56"/>
      <c r="I2881" s="56" t="s">
        <v>50564</v>
      </c>
      <c r="J2881" s="56"/>
      <c r="K2881" s="50"/>
      <c r="L2881" s="56" t="s">
        <v>56716</v>
      </c>
    </row>
    <row r="2882" spans="1:12" s="37" customFormat="1" ht="11.25" x14ac:dyDescent="0.2">
      <c r="A2882" s="46" t="s">
        <v>3217</v>
      </c>
      <c r="B2882" s="46" t="s">
        <v>52591</v>
      </c>
      <c r="C2882" s="58" t="str">
        <f>"00155691"</f>
        <v>00155691</v>
      </c>
      <c r="D2882" s="58" t="str">
        <f>"13478397"</f>
        <v>13478397</v>
      </c>
      <c r="E2882" s="46" t="s">
        <v>3220</v>
      </c>
      <c r="F2882" s="46" t="s">
        <v>18242</v>
      </c>
      <c r="G2882" s="46" t="s">
        <v>50604</v>
      </c>
      <c r="H2882" s="48" t="s">
        <v>56716</v>
      </c>
      <c r="I2882" s="48" t="s">
        <v>50564</v>
      </c>
      <c r="J2882" s="48"/>
      <c r="K2882" s="50"/>
      <c r="L2882" s="48" t="s">
        <v>56716</v>
      </c>
    </row>
    <row r="2883" spans="1:12" s="37" customFormat="1" ht="11.25" x14ac:dyDescent="0.2">
      <c r="A2883" s="45" t="s">
        <v>29504</v>
      </c>
      <c r="B2883" s="45" t="s">
        <v>29506</v>
      </c>
      <c r="C2883" s="51" t="s">
        <v>29509</v>
      </c>
      <c r="D2883" s="51" t="s">
        <v>29508</v>
      </c>
      <c r="E2883" s="45" t="s">
        <v>18122</v>
      </c>
      <c r="F2883" s="45" t="s">
        <v>18123</v>
      </c>
      <c r="G2883" s="45" t="s">
        <v>50594</v>
      </c>
      <c r="H2883" s="56"/>
      <c r="I2883" s="56" t="s">
        <v>50564</v>
      </c>
      <c r="J2883" s="56"/>
      <c r="K2883" s="50"/>
      <c r="L2883" s="56" t="s">
        <v>56716</v>
      </c>
    </row>
    <row r="2884" spans="1:12" s="37" customFormat="1" ht="11.25" x14ac:dyDescent="0.2">
      <c r="A2884" s="45" t="s">
        <v>29511</v>
      </c>
      <c r="B2884" s="45" t="s">
        <v>29513</v>
      </c>
      <c r="C2884" s="51" t="s">
        <v>29515</v>
      </c>
      <c r="D2884" s="51" t="s">
        <v>29514</v>
      </c>
      <c r="E2884" s="45" t="s">
        <v>18122</v>
      </c>
      <c r="F2884" s="45" t="s">
        <v>18123</v>
      </c>
      <c r="G2884" s="45" t="s">
        <v>50603</v>
      </c>
      <c r="H2884" s="56"/>
      <c r="I2884" s="56" t="s">
        <v>50564</v>
      </c>
      <c r="J2884" s="56"/>
      <c r="K2884" s="50"/>
      <c r="L2884" s="56" t="s">
        <v>56716</v>
      </c>
    </row>
    <row r="2885" spans="1:12" s="37" customFormat="1" ht="11.25" x14ac:dyDescent="0.2">
      <c r="A2885" s="45" t="s">
        <v>29517</v>
      </c>
      <c r="B2885" s="45" t="s">
        <v>29519</v>
      </c>
      <c r="C2885" s="51" t="s">
        <v>29521</v>
      </c>
      <c r="D2885" s="51" t="s">
        <v>29520</v>
      </c>
      <c r="E2885" s="45" t="s">
        <v>6914</v>
      </c>
      <c r="F2885" s="45" t="s">
        <v>50646</v>
      </c>
      <c r="G2885" s="45" t="s">
        <v>50584</v>
      </c>
      <c r="H2885" s="56"/>
      <c r="I2885" s="56" t="s">
        <v>50564</v>
      </c>
      <c r="J2885" s="56"/>
      <c r="K2885" s="50"/>
      <c r="L2885" s="56" t="s">
        <v>56716</v>
      </c>
    </row>
    <row r="2886" spans="1:12" s="37" customFormat="1" ht="11.25" x14ac:dyDescent="0.2">
      <c r="A2886" s="45" t="s">
        <v>29530</v>
      </c>
      <c r="B2886" s="45" t="s">
        <v>29532</v>
      </c>
      <c r="C2886" s="51" t="s">
        <v>29534</v>
      </c>
      <c r="D2886" s="51" t="s">
        <v>29533</v>
      </c>
      <c r="E2886" s="45" t="s">
        <v>18404</v>
      </c>
      <c r="F2886" s="45" t="s">
        <v>50646</v>
      </c>
      <c r="G2886" s="45" t="s">
        <v>50584</v>
      </c>
      <c r="H2886" s="56"/>
      <c r="I2886" s="56" t="s">
        <v>50564</v>
      </c>
      <c r="J2886" s="56"/>
      <c r="K2886" s="50"/>
      <c r="L2886" s="56" t="s">
        <v>56716</v>
      </c>
    </row>
    <row r="2887" spans="1:12" s="37" customFormat="1" ht="11.25" x14ac:dyDescent="0.2">
      <c r="A2887" s="46" t="s">
        <v>12857</v>
      </c>
      <c r="B2887" s="46" t="s">
        <v>52592</v>
      </c>
      <c r="C2887" s="58" t="str">
        <f>"19440049"</f>
        <v>19440049</v>
      </c>
      <c r="D2887" s="58" t="str">
        <f>"19440057"</f>
        <v>19440057</v>
      </c>
      <c r="E2887" s="46" t="s">
        <v>310</v>
      </c>
      <c r="F2887" s="46" t="s">
        <v>50646</v>
      </c>
      <c r="G2887" s="46" t="s">
        <v>50584</v>
      </c>
      <c r="H2887" s="48" t="s">
        <v>56716</v>
      </c>
      <c r="I2887" s="48" t="s">
        <v>50564</v>
      </c>
      <c r="J2887" s="48" t="s">
        <v>56716</v>
      </c>
      <c r="K2887" s="50" t="s">
        <v>56716</v>
      </c>
      <c r="L2887" s="48" t="s">
        <v>56716</v>
      </c>
    </row>
    <row r="2888" spans="1:12" s="37" customFormat="1" ht="11.25" x14ac:dyDescent="0.2">
      <c r="A2888" s="46" t="s">
        <v>1618</v>
      </c>
      <c r="B2888" s="46" t="s">
        <v>52593</v>
      </c>
      <c r="C2888" s="58" t="str">
        <f>"02786915"</f>
        <v>02786915</v>
      </c>
      <c r="D2888" s="58" t="str">
        <f>"18736351"</f>
        <v>18736351</v>
      </c>
      <c r="E2888" s="46" t="s">
        <v>155</v>
      </c>
      <c r="F2888" s="46" t="s">
        <v>50646</v>
      </c>
      <c r="G2888" s="46" t="s">
        <v>50584</v>
      </c>
      <c r="H2888" s="48" t="s">
        <v>56716</v>
      </c>
      <c r="I2888" s="48" t="s">
        <v>50564</v>
      </c>
      <c r="J2888" s="48"/>
      <c r="K2888" s="50" t="s">
        <v>56716</v>
      </c>
      <c r="L2888" s="48" t="s">
        <v>56716</v>
      </c>
    </row>
    <row r="2889" spans="1:12" s="37" customFormat="1" ht="11.25" x14ac:dyDescent="0.2">
      <c r="A2889" s="46" t="s">
        <v>6102</v>
      </c>
      <c r="B2889" s="46" t="s">
        <v>52594</v>
      </c>
      <c r="C2889" s="58" t="str">
        <f>"1064590X"</f>
        <v>1064590X</v>
      </c>
      <c r="D2889" s="58" t="str">
        <f>""</f>
        <v/>
      </c>
      <c r="E2889" s="46" t="s">
        <v>6104</v>
      </c>
      <c r="F2889" s="46" t="s">
        <v>17759</v>
      </c>
      <c r="G2889" s="46" t="s">
        <v>50584</v>
      </c>
      <c r="H2889" s="48" t="s">
        <v>56716</v>
      </c>
      <c r="I2889" s="48" t="s">
        <v>50564</v>
      </c>
      <c r="J2889" s="48"/>
      <c r="K2889" s="50"/>
      <c r="L2889" s="48" t="s">
        <v>56716</v>
      </c>
    </row>
    <row r="2890" spans="1:12" s="37" customFormat="1" ht="11.25" x14ac:dyDescent="0.2">
      <c r="A2890" s="46" t="s">
        <v>14393</v>
      </c>
      <c r="B2890" s="46" t="s">
        <v>52595</v>
      </c>
      <c r="C2890" s="58" t="str">
        <f>"18670334"</f>
        <v>18670334</v>
      </c>
      <c r="D2890" s="58" t="str">
        <f>"18670342"</f>
        <v>18670342</v>
      </c>
      <c r="E2890" s="46" t="s">
        <v>56305</v>
      </c>
      <c r="F2890" s="46" t="s">
        <v>17759</v>
      </c>
      <c r="G2890" s="46" t="s">
        <v>50584</v>
      </c>
      <c r="H2890" s="48" t="s">
        <v>56716</v>
      </c>
      <c r="I2890" s="48" t="s">
        <v>50564</v>
      </c>
      <c r="J2890" s="48" t="s">
        <v>56716</v>
      </c>
      <c r="K2890" s="50" t="s">
        <v>56716</v>
      </c>
      <c r="L2890" s="48" t="s">
        <v>56716</v>
      </c>
    </row>
    <row r="2891" spans="1:12" s="37" customFormat="1" ht="11.25" x14ac:dyDescent="0.2">
      <c r="A2891" s="45" t="s">
        <v>29554</v>
      </c>
      <c r="B2891" s="45" t="s">
        <v>29556</v>
      </c>
      <c r="C2891" s="51" t="s">
        <v>29558</v>
      </c>
      <c r="D2891" s="51"/>
      <c r="E2891" s="45" t="s">
        <v>29559</v>
      </c>
      <c r="F2891" s="45" t="s">
        <v>18242</v>
      </c>
      <c r="G2891" s="45" t="s">
        <v>50584</v>
      </c>
      <c r="H2891" s="56"/>
      <c r="I2891" s="56" t="s">
        <v>50564</v>
      </c>
      <c r="J2891" s="56"/>
      <c r="K2891" s="50"/>
      <c r="L2891" s="56" t="s">
        <v>56716</v>
      </c>
    </row>
    <row r="2892" spans="1:12" s="37" customFormat="1" ht="11.25" x14ac:dyDescent="0.2">
      <c r="A2892" s="46" t="s">
        <v>15434</v>
      </c>
      <c r="B2892" s="46" t="s">
        <v>52596</v>
      </c>
      <c r="C2892" s="58" t="str">
        <f>"16546628"</f>
        <v>16546628</v>
      </c>
      <c r="D2892" s="58" t="str">
        <f>""</f>
        <v/>
      </c>
      <c r="E2892" s="46" t="s">
        <v>12818</v>
      </c>
      <c r="F2892" s="46" t="s">
        <v>18130</v>
      </c>
      <c r="G2892" s="46" t="s">
        <v>50656</v>
      </c>
      <c r="H2892" s="48" t="s">
        <v>56716</v>
      </c>
      <c r="I2892" s="48" t="s">
        <v>50564</v>
      </c>
      <c r="J2892" s="48"/>
      <c r="K2892" s="50"/>
      <c r="L2892" s="48"/>
    </row>
    <row r="2893" spans="1:12" s="37" customFormat="1" ht="11.25" x14ac:dyDescent="0.2">
      <c r="A2893" s="46" t="s">
        <v>1654</v>
      </c>
      <c r="B2893" s="46" t="s">
        <v>52597</v>
      </c>
      <c r="C2893" s="58" t="str">
        <f>"03088146"</f>
        <v>03088146</v>
      </c>
      <c r="D2893" s="58" t="str">
        <f>"18737072"</f>
        <v>18737072</v>
      </c>
      <c r="E2893" s="46" t="s">
        <v>155</v>
      </c>
      <c r="F2893" s="46" t="s">
        <v>50646</v>
      </c>
      <c r="G2893" s="46" t="s">
        <v>50584</v>
      </c>
      <c r="H2893" s="48" t="s">
        <v>56716</v>
      </c>
      <c r="I2893" s="48" t="s">
        <v>50564</v>
      </c>
      <c r="J2893" s="48"/>
      <c r="K2893" s="50" t="s">
        <v>56716</v>
      </c>
      <c r="L2893" s="48" t="s">
        <v>56716</v>
      </c>
    </row>
    <row r="2894" spans="1:12" s="37" customFormat="1" ht="11.25" x14ac:dyDescent="0.2">
      <c r="A2894" s="45" t="s">
        <v>29566</v>
      </c>
      <c r="B2894" s="45" t="s">
        <v>29568</v>
      </c>
      <c r="C2894" s="51" t="s">
        <v>29570</v>
      </c>
      <c r="D2894" s="51" t="s">
        <v>29569</v>
      </c>
      <c r="E2894" s="45" t="s">
        <v>91</v>
      </c>
      <c r="F2894" s="45" t="s">
        <v>50646</v>
      </c>
      <c r="G2894" s="45" t="s">
        <v>50584</v>
      </c>
      <c r="H2894" s="56"/>
      <c r="I2894" s="56" t="s">
        <v>50564</v>
      </c>
      <c r="J2894" s="56"/>
      <c r="K2894" s="50"/>
      <c r="L2894" s="56" t="s">
        <v>56716</v>
      </c>
    </row>
    <row r="2895" spans="1:12" s="37" customFormat="1" ht="11.25" x14ac:dyDescent="0.2">
      <c r="A2895" s="45" t="s">
        <v>29573</v>
      </c>
      <c r="B2895" s="45" t="s">
        <v>29575</v>
      </c>
      <c r="C2895" s="51" t="s">
        <v>29578</v>
      </c>
      <c r="D2895" s="51" t="s">
        <v>29577</v>
      </c>
      <c r="E2895" s="45" t="s">
        <v>19447</v>
      </c>
      <c r="F2895" s="45" t="s">
        <v>17759</v>
      </c>
      <c r="G2895" s="45" t="s">
        <v>50584</v>
      </c>
      <c r="H2895" s="56"/>
      <c r="I2895" s="56" t="s">
        <v>50564</v>
      </c>
      <c r="J2895" s="56"/>
      <c r="K2895" s="50"/>
      <c r="L2895" s="56" t="s">
        <v>56716</v>
      </c>
    </row>
    <row r="2896" spans="1:12" s="37" customFormat="1" ht="11.25" x14ac:dyDescent="0.2">
      <c r="A2896" s="46" t="s">
        <v>10342</v>
      </c>
      <c r="B2896" s="46" t="s">
        <v>52598</v>
      </c>
      <c r="C2896" s="58" t="str">
        <f>"15353141"</f>
        <v>15353141</v>
      </c>
      <c r="D2896" s="58" t="str">
        <f>"15567125"</f>
        <v>15567125</v>
      </c>
      <c r="E2896" s="46" t="s">
        <v>4337</v>
      </c>
      <c r="F2896" s="46" t="s">
        <v>17759</v>
      </c>
      <c r="G2896" s="46" t="s">
        <v>50584</v>
      </c>
      <c r="H2896" s="48" t="s">
        <v>56716</v>
      </c>
      <c r="I2896" s="48" t="s">
        <v>50564</v>
      </c>
      <c r="J2896" s="48" t="s">
        <v>56716</v>
      </c>
      <c r="K2896" s="50"/>
      <c r="L2896" s="48" t="s">
        <v>56716</v>
      </c>
    </row>
    <row r="2897" spans="1:12" s="37" customFormat="1" ht="11.25" x14ac:dyDescent="0.2">
      <c r="A2897" s="46" t="s">
        <v>5863</v>
      </c>
      <c r="B2897" s="46" t="s">
        <v>5863</v>
      </c>
      <c r="C2897" s="58" t="str">
        <f>"09582592"</f>
        <v>09582592</v>
      </c>
      <c r="D2897" s="58" t="str">
        <f>"15322963"</f>
        <v>15322963</v>
      </c>
      <c r="E2897" s="46" t="s">
        <v>831</v>
      </c>
      <c r="F2897" s="46" t="s">
        <v>50646</v>
      </c>
      <c r="G2897" s="46" t="s">
        <v>50584</v>
      </c>
      <c r="H2897" s="48" t="s">
        <v>56716</v>
      </c>
      <c r="I2897" s="48" t="s">
        <v>50564</v>
      </c>
      <c r="J2897" s="48" t="s">
        <v>56716</v>
      </c>
      <c r="K2897" s="50" t="s">
        <v>56716</v>
      </c>
      <c r="L2897" s="48" t="s">
        <v>56716</v>
      </c>
    </row>
    <row r="2898" spans="1:12" s="37" customFormat="1" ht="11.25" x14ac:dyDescent="0.2">
      <c r="A2898" s="45" t="s">
        <v>29591</v>
      </c>
      <c r="B2898" s="45" t="s">
        <v>29593</v>
      </c>
      <c r="C2898" s="51" t="s">
        <v>29595</v>
      </c>
      <c r="D2898" s="51" t="s">
        <v>29594</v>
      </c>
      <c r="E2898" s="45" t="s">
        <v>19447</v>
      </c>
      <c r="F2898" s="45" t="s">
        <v>17759</v>
      </c>
      <c r="G2898" s="45" t="s">
        <v>50584</v>
      </c>
      <c r="H2898" s="56"/>
      <c r="I2898" s="56" t="s">
        <v>50564</v>
      </c>
      <c r="J2898" s="56"/>
      <c r="K2898" s="50"/>
      <c r="L2898" s="56" t="s">
        <v>56716</v>
      </c>
    </row>
    <row r="2899" spans="1:12" s="37" customFormat="1" ht="11.25" x14ac:dyDescent="0.2">
      <c r="A2899" s="45" t="s">
        <v>29602</v>
      </c>
      <c r="B2899" s="45" t="s">
        <v>29604</v>
      </c>
      <c r="C2899" s="51" t="s">
        <v>29606</v>
      </c>
      <c r="D2899" s="51" t="s">
        <v>29605</v>
      </c>
      <c r="E2899" s="45" t="s">
        <v>303</v>
      </c>
      <c r="F2899" s="45" t="s">
        <v>17759</v>
      </c>
      <c r="G2899" s="45" t="s">
        <v>50584</v>
      </c>
      <c r="H2899" s="56"/>
      <c r="I2899" s="56" t="s">
        <v>50564</v>
      </c>
      <c r="J2899" s="56"/>
      <c r="K2899" s="50"/>
      <c r="L2899" s="56" t="s">
        <v>56716</v>
      </c>
    </row>
    <row r="2900" spans="1:12" s="37" customFormat="1" ht="11.25" x14ac:dyDescent="0.2">
      <c r="A2900" s="46" t="s">
        <v>6252</v>
      </c>
      <c r="B2900" s="46" t="s">
        <v>52599</v>
      </c>
      <c r="C2900" s="58" t="str">
        <f>"10711007"</f>
        <v>10711007</v>
      </c>
      <c r="D2900" s="58" t="str">
        <f>"19447876"</f>
        <v>19447876</v>
      </c>
      <c r="E2900" s="46" t="s">
        <v>493</v>
      </c>
      <c r="F2900" s="46" t="s">
        <v>17759</v>
      </c>
      <c r="G2900" s="46" t="s">
        <v>50584</v>
      </c>
      <c r="H2900" s="48" t="s">
        <v>56716</v>
      </c>
      <c r="I2900" s="48" t="s">
        <v>50564</v>
      </c>
      <c r="J2900" s="48" t="s">
        <v>56716</v>
      </c>
      <c r="K2900" s="50"/>
      <c r="L2900" s="48" t="s">
        <v>56716</v>
      </c>
    </row>
    <row r="2901" spans="1:12" s="37" customFormat="1" ht="11.25" x14ac:dyDescent="0.2">
      <c r="A2901" s="46" t="s">
        <v>6992</v>
      </c>
      <c r="B2901" s="46" t="s">
        <v>52600</v>
      </c>
      <c r="C2901" s="58" t="str">
        <f>"12687731"</f>
        <v>12687731</v>
      </c>
      <c r="D2901" s="58" t="str">
        <f>"14609584"</f>
        <v>14609584</v>
      </c>
      <c r="E2901" s="46" t="s">
        <v>155</v>
      </c>
      <c r="F2901" s="46" t="s">
        <v>50646</v>
      </c>
      <c r="G2901" s="46" t="s">
        <v>50584</v>
      </c>
      <c r="H2901" s="48" t="s">
        <v>56716</v>
      </c>
      <c r="I2901" s="48" t="s">
        <v>50564</v>
      </c>
      <c r="J2901" s="48" t="s">
        <v>56716</v>
      </c>
      <c r="K2901" s="50" t="s">
        <v>56716</v>
      </c>
      <c r="L2901" s="48" t="s">
        <v>56716</v>
      </c>
    </row>
    <row r="2902" spans="1:12" s="37" customFormat="1" ht="11.25" x14ac:dyDescent="0.2">
      <c r="A2902" s="45" t="s">
        <v>29614</v>
      </c>
      <c r="B2902" s="45" t="s">
        <v>29616</v>
      </c>
      <c r="C2902" s="51" t="s">
        <v>29617</v>
      </c>
      <c r="D2902" s="51"/>
      <c r="E2902" s="45" t="s">
        <v>29618</v>
      </c>
      <c r="F2902" s="45" t="s">
        <v>17759</v>
      </c>
      <c r="G2902" s="45" t="s">
        <v>50584</v>
      </c>
      <c r="H2902" s="56"/>
      <c r="I2902" s="56" t="s">
        <v>50564</v>
      </c>
      <c r="J2902" s="56"/>
      <c r="K2902" s="50"/>
      <c r="L2902" s="56" t="s">
        <v>56716</v>
      </c>
    </row>
    <row r="2903" spans="1:12" s="37" customFormat="1" ht="11.25" x14ac:dyDescent="0.2">
      <c r="A2903" s="46" t="s">
        <v>1663</v>
      </c>
      <c r="B2903" s="46" t="s">
        <v>52601</v>
      </c>
      <c r="C2903" s="58" t="str">
        <f>"03790738"</f>
        <v>03790738</v>
      </c>
      <c r="D2903" s="58" t="str">
        <f>"18726283"</f>
        <v>18726283</v>
      </c>
      <c r="E2903" s="46" t="s">
        <v>221</v>
      </c>
      <c r="F2903" s="46" t="s">
        <v>21771</v>
      </c>
      <c r="G2903" s="46" t="s">
        <v>50584</v>
      </c>
      <c r="H2903" s="48" t="s">
        <v>56716</v>
      </c>
      <c r="I2903" s="48" t="s">
        <v>50564</v>
      </c>
      <c r="J2903" s="48" t="s">
        <v>56716</v>
      </c>
      <c r="K2903" s="50" t="s">
        <v>56716</v>
      </c>
      <c r="L2903" s="48" t="s">
        <v>56716</v>
      </c>
    </row>
    <row r="2904" spans="1:12" s="37" customFormat="1" ht="11.25" x14ac:dyDescent="0.2">
      <c r="A2904" s="46" t="s">
        <v>13846</v>
      </c>
      <c r="B2904" s="46" t="s">
        <v>52602</v>
      </c>
      <c r="C2904" s="58" t="str">
        <f>"18751741"</f>
        <v>18751741</v>
      </c>
      <c r="D2904" s="58" t="str">
        <f>"18751733"</f>
        <v>18751733</v>
      </c>
      <c r="E2904" s="46" t="s">
        <v>221</v>
      </c>
      <c r="F2904" s="46" t="s">
        <v>21771</v>
      </c>
      <c r="G2904" s="46" t="s">
        <v>50584</v>
      </c>
      <c r="H2904" s="48" t="s">
        <v>56716</v>
      </c>
      <c r="I2904" s="48" t="s">
        <v>50564</v>
      </c>
      <c r="J2904" s="48" t="s">
        <v>56716</v>
      </c>
      <c r="K2904" s="50"/>
      <c r="L2904" s="48"/>
    </row>
    <row r="2905" spans="1:12" s="37" customFormat="1" ht="11.25" x14ac:dyDescent="0.2">
      <c r="A2905" s="46" t="s">
        <v>12065</v>
      </c>
      <c r="B2905" s="46" t="s">
        <v>52603</v>
      </c>
      <c r="C2905" s="58" t="str">
        <f>"18724973"</f>
        <v>18724973</v>
      </c>
      <c r="D2905" s="58" t="str">
        <f>"18780326"</f>
        <v>18780326</v>
      </c>
      <c r="E2905" s="46" t="s">
        <v>221</v>
      </c>
      <c r="F2905" s="46" t="s">
        <v>21771</v>
      </c>
      <c r="G2905" s="46" t="s">
        <v>50584</v>
      </c>
      <c r="H2905" s="48" t="s">
        <v>56716</v>
      </c>
      <c r="I2905" s="48" t="s">
        <v>50564</v>
      </c>
      <c r="J2905" s="48" t="s">
        <v>56716</v>
      </c>
      <c r="K2905" s="50" t="s">
        <v>56716</v>
      </c>
      <c r="L2905" s="48" t="s">
        <v>56716</v>
      </c>
    </row>
    <row r="2906" spans="1:12" s="37" customFormat="1" ht="11.25" x14ac:dyDescent="0.2">
      <c r="A2906" s="46" t="s">
        <v>12784</v>
      </c>
      <c r="B2906" s="46" t="s">
        <v>52604</v>
      </c>
      <c r="C2906" s="58" t="str">
        <f>"18751768"</f>
        <v>18751768</v>
      </c>
      <c r="D2906" s="58" t="str">
        <f>"1875175X"</f>
        <v>1875175X</v>
      </c>
      <c r="E2906" s="46" t="s">
        <v>221</v>
      </c>
      <c r="F2906" s="46" t="s">
        <v>21771</v>
      </c>
      <c r="G2906" s="46" t="s">
        <v>50584</v>
      </c>
      <c r="H2906" s="48" t="s">
        <v>56716</v>
      </c>
      <c r="I2906" s="48" t="s">
        <v>50564</v>
      </c>
      <c r="J2906" s="48" t="s">
        <v>56716</v>
      </c>
      <c r="K2906" s="50"/>
      <c r="L2906" s="48"/>
    </row>
    <row r="2907" spans="1:12" s="37" customFormat="1" ht="11.25" x14ac:dyDescent="0.2">
      <c r="A2907" s="45" t="s">
        <v>29632</v>
      </c>
      <c r="B2907" s="45" t="s">
        <v>29634</v>
      </c>
      <c r="C2907" s="51" t="s">
        <v>29636</v>
      </c>
      <c r="D2907" s="51" t="s">
        <v>29635</v>
      </c>
      <c r="E2907" s="45" t="s">
        <v>940</v>
      </c>
      <c r="F2907" s="45" t="s">
        <v>17759</v>
      </c>
      <c r="G2907" s="45" t="s">
        <v>50584</v>
      </c>
      <c r="H2907" s="56"/>
      <c r="I2907" s="56" t="s">
        <v>50564</v>
      </c>
      <c r="J2907" s="56"/>
      <c r="K2907" s="50"/>
      <c r="L2907" s="56" t="s">
        <v>56716</v>
      </c>
    </row>
    <row r="2908" spans="1:12" s="37" customFormat="1" ht="11.25" x14ac:dyDescent="0.2">
      <c r="A2908" s="46" t="s">
        <v>11599</v>
      </c>
      <c r="B2908" s="46" t="s">
        <v>52605</v>
      </c>
      <c r="C2908" s="58" t="str">
        <f>"18608965"</f>
        <v>18608965</v>
      </c>
      <c r="D2908" s="58" t="str">
        <f>"18608973"</f>
        <v>18608973</v>
      </c>
      <c r="E2908" s="46" t="s">
        <v>23335</v>
      </c>
      <c r="F2908" s="46" t="s">
        <v>18242</v>
      </c>
      <c r="G2908" s="46" t="s">
        <v>50605</v>
      </c>
      <c r="H2908" s="48" t="s">
        <v>56716</v>
      </c>
      <c r="I2908" s="48" t="s">
        <v>50564</v>
      </c>
      <c r="J2908" s="48" t="s">
        <v>56716</v>
      </c>
      <c r="K2908" s="50" t="s">
        <v>56716</v>
      </c>
      <c r="L2908" s="48"/>
    </row>
    <row r="2909" spans="1:12" s="37" customFormat="1" ht="11.25" x14ac:dyDescent="0.2">
      <c r="A2909" s="46" t="s">
        <v>15366</v>
      </c>
      <c r="B2909" s="46" t="s">
        <v>52606</v>
      </c>
      <c r="C2909" s="58" t="str">
        <f>"22107940"</f>
        <v>22107940</v>
      </c>
      <c r="D2909" s="58" t="str">
        <f>"22107959"</f>
        <v>22107959</v>
      </c>
      <c r="E2909" s="46" t="s">
        <v>91</v>
      </c>
      <c r="F2909" s="46" t="s">
        <v>18001</v>
      </c>
      <c r="G2909" s="46" t="s">
        <v>50584</v>
      </c>
      <c r="H2909" s="48" t="s">
        <v>56716</v>
      </c>
      <c r="I2909" s="48" t="s">
        <v>50564</v>
      </c>
      <c r="J2909" s="48" t="s">
        <v>56716</v>
      </c>
      <c r="K2909" s="50"/>
      <c r="L2909" s="48"/>
    </row>
    <row r="2910" spans="1:12" s="37" customFormat="1" ht="11.25" x14ac:dyDescent="0.2">
      <c r="A2910" s="46" t="s">
        <v>8261</v>
      </c>
      <c r="B2910" s="46" t="s">
        <v>52607</v>
      </c>
      <c r="C2910" s="58" t="str">
        <f>"1682606X"</f>
        <v>1682606X</v>
      </c>
      <c r="D2910" s="58" t="str">
        <f>"22135413"</f>
        <v>22135413</v>
      </c>
      <c r="E2910" s="46" t="s">
        <v>91</v>
      </c>
      <c r="F2910" s="46" t="s">
        <v>18001</v>
      </c>
      <c r="G2910" s="46" t="s">
        <v>50584</v>
      </c>
      <c r="H2910" s="48" t="s">
        <v>56716</v>
      </c>
      <c r="I2910" s="48" t="s">
        <v>50564</v>
      </c>
      <c r="J2910" s="48" t="s">
        <v>56716</v>
      </c>
      <c r="K2910" s="50" t="s">
        <v>56716</v>
      </c>
      <c r="L2910" s="48"/>
    </row>
    <row r="2911" spans="1:12" s="37" customFormat="1" ht="11.25" x14ac:dyDescent="0.2">
      <c r="A2911" s="46" t="s">
        <v>6743</v>
      </c>
      <c r="B2911" s="46" t="s">
        <v>6743</v>
      </c>
      <c r="C2911" s="58" t="str">
        <f>"1082801X"</f>
        <v>1082801X</v>
      </c>
      <c r="D2911" s="58" t="str">
        <f>"19381166"</f>
        <v>19381166</v>
      </c>
      <c r="E2911" s="46" t="s">
        <v>4828</v>
      </c>
      <c r="F2911" s="46" t="s">
        <v>17759</v>
      </c>
      <c r="G2911" s="46" t="s">
        <v>50584</v>
      </c>
      <c r="H2911" s="48" t="s">
        <v>56716</v>
      </c>
      <c r="I2911" s="48" t="s">
        <v>50564</v>
      </c>
      <c r="J2911" s="48"/>
      <c r="K2911" s="50"/>
      <c r="L2911" s="48"/>
    </row>
    <row r="2912" spans="1:12" s="37" customFormat="1" ht="11.25" x14ac:dyDescent="0.2">
      <c r="A2912" s="45" t="s">
        <v>29639</v>
      </c>
      <c r="B2912" s="45" t="s">
        <v>29641</v>
      </c>
      <c r="C2912" s="51" t="s">
        <v>29644</v>
      </c>
      <c r="D2912" s="51" t="s">
        <v>29643</v>
      </c>
      <c r="E2912" s="45" t="s">
        <v>18122</v>
      </c>
      <c r="F2912" s="45" t="s">
        <v>18123</v>
      </c>
      <c r="G2912" s="45" t="s">
        <v>50592</v>
      </c>
      <c r="H2912" s="56"/>
      <c r="I2912" s="56" t="s">
        <v>50564</v>
      </c>
      <c r="J2912" s="56"/>
      <c r="K2912" s="50"/>
      <c r="L2912" s="56" t="s">
        <v>56716</v>
      </c>
    </row>
    <row r="2913" spans="1:12" s="37" customFormat="1" ht="11.25" x14ac:dyDescent="0.2">
      <c r="A2913" s="45" t="s">
        <v>29646</v>
      </c>
      <c r="B2913" s="45" t="s">
        <v>29648</v>
      </c>
      <c r="C2913" s="51"/>
      <c r="D2913" s="51"/>
      <c r="E2913" s="45" t="s">
        <v>29649</v>
      </c>
      <c r="F2913" s="45" t="s">
        <v>18158</v>
      </c>
      <c r="G2913" s="45" t="s">
        <v>50592</v>
      </c>
      <c r="H2913" s="56"/>
      <c r="I2913" s="56" t="s">
        <v>50564</v>
      </c>
      <c r="J2913" s="56"/>
      <c r="K2913" s="50"/>
      <c r="L2913" s="56" t="s">
        <v>56716</v>
      </c>
    </row>
    <row r="2914" spans="1:12" s="37" customFormat="1" ht="11.25" x14ac:dyDescent="0.2">
      <c r="A2914" s="46" t="s">
        <v>1647</v>
      </c>
      <c r="B2914" s="46" t="s">
        <v>52608</v>
      </c>
      <c r="C2914" s="58" t="str">
        <f>"07204299"</f>
        <v>07204299</v>
      </c>
      <c r="D2914" s="58" t="str">
        <f>"14393522"</f>
        <v>14393522</v>
      </c>
      <c r="E2914" s="46" t="s">
        <v>412</v>
      </c>
      <c r="F2914" s="46" t="s">
        <v>18158</v>
      </c>
      <c r="G2914" s="46" t="s">
        <v>50593</v>
      </c>
      <c r="H2914" s="48" t="s">
        <v>56716</v>
      </c>
      <c r="I2914" s="48" t="s">
        <v>50564</v>
      </c>
      <c r="J2914" s="48"/>
      <c r="K2914" s="50"/>
      <c r="L2914" s="48" t="s">
        <v>56716</v>
      </c>
    </row>
    <row r="2915" spans="1:12" s="37" customFormat="1" ht="11.25" x14ac:dyDescent="0.2">
      <c r="A2915" s="45" t="s">
        <v>29656</v>
      </c>
      <c r="B2915" s="45" t="s">
        <v>29656</v>
      </c>
      <c r="C2915" s="51" t="s">
        <v>29658</v>
      </c>
      <c r="D2915" s="51"/>
      <c r="E2915" s="45" t="s">
        <v>29659</v>
      </c>
      <c r="F2915" s="45" t="s">
        <v>17759</v>
      </c>
      <c r="G2915" s="45" t="s">
        <v>50584</v>
      </c>
      <c r="H2915" s="56"/>
      <c r="I2915" s="56" t="s">
        <v>50564</v>
      </c>
      <c r="J2915" s="56"/>
      <c r="K2915" s="50"/>
      <c r="L2915" s="56" t="s">
        <v>56716</v>
      </c>
    </row>
    <row r="2916" spans="1:12" s="37" customFormat="1" ht="11.25" x14ac:dyDescent="0.2">
      <c r="A2916" s="49" t="s">
        <v>55991</v>
      </c>
      <c r="B2916" s="46" t="s">
        <v>55992</v>
      </c>
      <c r="C2916" s="58"/>
      <c r="D2916" s="58">
        <v>15589544</v>
      </c>
      <c r="E2916" s="46" t="s">
        <v>1887</v>
      </c>
      <c r="F2916" s="46" t="s">
        <v>18158</v>
      </c>
      <c r="G2916" s="46" t="s">
        <v>50584</v>
      </c>
      <c r="H2916" s="48" t="s">
        <v>56716</v>
      </c>
      <c r="I2916" s="48" t="s">
        <v>50564</v>
      </c>
      <c r="J2916" s="48"/>
      <c r="K2916" s="50"/>
      <c r="L2916" s="48"/>
    </row>
    <row r="2917" spans="1:12" s="37" customFormat="1" ht="11.25" x14ac:dyDescent="0.2">
      <c r="A2917" s="46" t="s">
        <v>16181</v>
      </c>
      <c r="B2917" s="46" t="s">
        <v>52609</v>
      </c>
      <c r="C2917" s="58" t="str">
        <f>"1792345X"</f>
        <v>1792345X</v>
      </c>
      <c r="D2917" s="58" t="str">
        <f>"1792362X"</f>
        <v>1792362X</v>
      </c>
      <c r="E2917" s="46" t="s">
        <v>16184</v>
      </c>
      <c r="F2917" s="46" t="s">
        <v>20969</v>
      </c>
      <c r="G2917" s="46" t="s">
        <v>50584</v>
      </c>
      <c r="H2917" s="48" t="s">
        <v>56716</v>
      </c>
      <c r="I2917" s="48" t="s">
        <v>50564</v>
      </c>
      <c r="J2917" s="48"/>
      <c r="K2917" s="50"/>
      <c r="L2917" s="48"/>
    </row>
    <row r="2918" spans="1:12" s="37" customFormat="1" ht="11.25" x14ac:dyDescent="0.2">
      <c r="A2918" s="46" t="s">
        <v>15243</v>
      </c>
      <c r="B2918" s="46" t="s">
        <v>52610</v>
      </c>
      <c r="C2918" s="58" t="str">
        <f>"21518017"</f>
        <v>21518017</v>
      </c>
      <c r="D2918" s="58" t="str">
        <f>"21518025"</f>
        <v>21518025</v>
      </c>
      <c r="E2918" s="46" t="s">
        <v>1278</v>
      </c>
      <c r="F2918" s="46" t="s">
        <v>17759</v>
      </c>
      <c r="G2918" s="46" t="s">
        <v>50584</v>
      </c>
      <c r="H2918" s="48" t="s">
        <v>56716</v>
      </c>
      <c r="I2918" s="48" t="s">
        <v>50564</v>
      </c>
      <c r="J2918" s="48" t="s">
        <v>56716</v>
      </c>
      <c r="K2918" s="50"/>
      <c r="L2918" s="48"/>
    </row>
    <row r="2919" spans="1:12" s="37" customFormat="1" ht="11.25" x14ac:dyDescent="0.2">
      <c r="A2919" s="45" t="s">
        <v>29662</v>
      </c>
      <c r="B2919" s="45" t="s">
        <v>29664</v>
      </c>
      <c r="C2919" s="51" t="s">
        <v>29667</v>
      </c>
      <c r="D2919" s="51" t="s">
        <v>29666</v>
      </c>
      <c r="E2919" s="45" t="s">
        <v>209</v>
      </c>
      <c r="F2919" s="45" t="s">
        <v>17759</v>
      </c>
      <c r="G2919" s="45" t="s">
        <v>50584</v>
      </c>
      <c r="H2919" s="56"/>
      <c r="I2919" s="56" t="s">
        <v>50564</v>
      </c>
      <c r="J2919" s="56"/>
      <c r="K2919" s="50"/>
      <c r="L2919" s="56" t="s">
        <v>56716</v>
      </c>
    </row>
    <row r="2920" spans="1:12" s="37" customFormat="1" ht="11.25" x14ac:dyDescent="0.2">
      <c r="A2920" s="46" t="s">
        <v>4188</v>
      </c>
      <c r="B2920" s="46" t="s">
        <v>52611</v>
      </c>
      <c r="C2920" s="58" t="str">
        <f>"08915849"</f>
        <v>08915849</v>
      </c>
      <c r="D2920" s="58" t="str">
        <f>"18734596"</f>
        <v>18734596</v>
      </c>
      <c r="E2920" s="46" t="s">
        <v>272</v>
      </c>
      <c r="F2920" s="46" t="s">
        <v>17759</v>
      </c>
      <c r="G2920" s="46" t="s">
        <v>50584</v>
      </c>
      <c r="H2920" s="48" t="s">
        <v>56716</v>
      </c>
      <c r="I2920" s="48" t="s">
        <v>50564</v>
      </c>
      <c r="J2920" s="48" t="s">
        <v>56716</v>
      </c>
      <c r="K2920" s="50" t="s">
        <v>56716</v>
      </c>
      <c r="L2920" s="48" t="s">
        <v>56716</v>
      </c>
    </row>
    <row r="2921" spans="1:12" s="37" customFormat="1" ht="11.25" x14ac:dyDescent="0.2">
      <c r="A2921" s="46" t="s">
        <v>6240</v>
      </c>
      <c r="B2921" s="46" t="s">
        <v>52612</v>
      </c>
      <c r="C2921" s="58" t="str">
        <f>"10715762"</f>
        <v>10715762</v>
      </c>
      <c r="D2921" s="58" t="str">
        <f>"10292470"</f>
        <v>10292470</v>
      </c>
      <c r="E2921" s="46" t="s">
        <v>291</v>
      </c>
      <c r="F2921" s="46" t="s">
        <v>50646</v>
      </c>
      <c r="G2921" s="46" t="s">
        <v>50584</v>
      </c>
      <c r="H2921" s="48" t="s">
        <v>56716</v>
      </c>
      <c r="I2921" s="48" t="s">
        <v>50564</v>
      </c>
      <c r="J2921" s="48"/>
      <c r="K2921" s="50"/>
      <c r="L2921" s="48" t="s">
        <v>56716</v>
      </c>
    </row>
    <row r="2922" spans="1:12" s="37" customFormat="1" ht="11.25" x14ac:dyDescent="0.2">
      <c r="A2922" s="46" t="s">
        <v>15612</v>
      </c>
      <c r="B2922" s="46" t="s">
        <v>52613</v>
      </c>
      <c r="C2922" s="58" t="str">
        <f>""</f>
        <v/>
      </c>
      <c r="D2922" s="58" t="str">
        <f>"16634365"</f>
        <v>16634365</v>
      </c>
      <c r="E2922" s="46" t="s">
        <v>14216</v>
      </c>
      <c r="F2922" s="46" t="s">
        <v>18123</v>
      </c>
      <c r="G2922" s="46" t="s">
        <v>50584</v>
      </c>
      <c r="H2922" s="48" t="s">
        <v>56716</v>
      </c>
      <c r="I2922" s="48" t="s">
        <v>50564</v>
      </c>
      <c r="J2922" s="48"/>
      <c r="K2922" s="50"/>
      <c r="L2922" s="48"/>
    </row>
    <row r="2923" spans="1:12" s="37" customFormat="1" ht="11.25" x14ac:dyDescent="0.2">
      <c r="A2923" s="46" t="s">
        <v>15633</v>
      </c>
      <c r="B2923" s="46" t="s">
        <v>52614</v>
      </c>
      <c r="C2923" s="58" t="str">
        <f>"18796656"</f>
        <v>18796656</v>
      </c>
      <c r="D2923" s="58" t="str">
        <f>""</f>
        <v/>
      </c>
      <c r="E2923" s="46" t="s">
        <v>6405</v>
      </c>
      <c r="F2923" s="46" t="s">
        <v>18001</v>
      </c>
      <c r="G2923" s="46" t="s">
        <v>50584</v>
      </c>
      <c r="H2923" s="48" t="s">
        <v>56716</v>
      </c>
      <c r="I2923" s="48" t="s">
        <v>50565</v>
      </c>
      <c r="J2923" s="48" t="s">
        <v>56716</v>
      </c>
      <c r="K2923" s="50"/>
      <c r="L2923" s="48"/>
    </row>
    <row r="2924" spans="1:12" s="37" customFormat="1" ht="11.25" x14ac:dyDescent="0.2">
      <c r="A2924" s="46" t="s">
        <v>15635</v>
      </c>
      <c r="B2924" s="46" t="s">
        <v>52615</v>
      </c>
      <c r="C2924" s="58" t="str">
        <f>"1879663X"</f>
        <v>1879663X</v>
      </c>
      <c r="D2924" s="58" t="str">
        <f>""</f>
        <v/>
      </c>
      <c r="E2924" s="46" t="s">
        <v>6405</v>
      </c>
      <c r="F2924" s="46" t="s">
        <v>18001</v>
      </c>
      <c r="G2924" s="46" t="s">
        <v>50584</v>
      </c>
      <c r="H2924" s="48" t="s">
        <v>56716</v>
      </c>
      <c r="I2924" s="48" t="s">
        <v>50565</v>
      </c>
      <c r="J2924" s="48" t="s">
        <v>56716</v>
      </c>
      <c r="K2924" s="50"/>
      <c r="L2924" s="48"/>
    </row>
    <row r="2925" spans="1:12" s="37" customFormat="1" ht="11.25" x14ac:dyDescent="0.2">
      <c r="A2925" s="46" t="s">
        <v>14219</v>
      </c>
      <c r="B2925" s="46" t="s">
        <v>52616</v>
      </c>
      <c r="C2925" s="58" t="str">
        <f>"16625153"</f>
        <v>16625153</v>
      </c>
      <c r="D2925" s="58" t="str">
        <f>""</f>
        <v/>
      </c>
      <c r="E2925" s="46" t="s">
        <v>14216</v>
      </c>
      <c r="F2925" s="46" t="s">
        <v>18123</v>
      </c>
      <c r="G2925" s="46" t="s">
        <v>50584</v>
      </c>
      <c r="H2925" s="48" t="s">
        <v>56716</v>
      </c>
      <c r="I2925" s="48" t="s">
        <v>50564</v>
      </c>
      <c r="J2925" s="48"/>
      <c r="K2925" s="50"/>
      <c r="L2925" s="48"/>
    </row>
    <row r="2926" spans="1:12" s="37" customFormat="1" ht="11.25" x14ac:dyDescent="0.2">
      <c r="A2926" s="46" t="s">
        <v>17158</v>
      </c>
      <c r="B2926" s="46" t="s">
        <v>52617</v>
      </c>
      <c r="C2926" s="58" t="str">
        <f>"19450494"</f>
        <v>19450494</v>
      </c>
      <c r="D2926" s="58" t="str">
        <f>"19450508"</f>
        <v>19450508</v>
      </c>
      <c r="E2926" s="46" t="s">
        <v>17157</v>
      </c>
      <c r="F2926" s="46" t="s">
        <v>17759</v>
      </c>
      <c r="G2926" s="46" t="s">
        <v>50584</v>
      </c>
      <c r="H2926" s="48" t="s">
        <v>56716</v>
      </c>
      <c r="I2926" s="48" t="s">
        <v>50564</v>
      </c>
      <c r="J2926" s="48"/>
      <c r="K2926" s="50"/>
      <c r="L2926" s="48" t="s">
        <v>56716</v>
      </c>
    </row>
    <row r="2927" spans="1:12" s="37" customFormat="1" ht="11.25" x14ac:dyDescent="0.2">
      <c r="A2927" s="46" t="s">
        <v>17154</v>
      </c>
      <c r="B2927" s="46" t="s">
        <v>52618</v>
      </c>
      <c r="C2927" s="58" t="str">
        <f>"19450516"</f>
        <v>19450516</v>
      </c>
      <c r="D2927" s="58" t="str">
        <f>"19450524"</f>
        <v>19450524</v>
      </c>
      <c r="E2927" s="46" t="s">
        <v>17157</v>
      </c>
      <c r="F2927" s="46" t="s">
        <v>17759</v>
      </c>
      <c r="G2927" s="46" t="s">
        <v>50584</v>
      </c>
      <c r="H2927" s="48" t="s">
        <v>56716</v>
      </c>
      <c r="I2927" s="48" t="s">
        <v>50564</v>
      </c>
      <c r="J2927" s="48"/>
      <c r="K2927" s="50"/>
      <c r="L2927" s="48" t="s">
        <v>56716</v>
      </c>
    </row>
    <row r="2928" spans="1:12" s="37" customFormat="1" ht="11.25" x14ac:dyDescent="0.2">
      <c r="A2928" s="45" t="s">
        <v>29686</v>
      </c>
      <c r="B2928" s="45" t="s">
        <v>29688</v>
      </c>
      <c r="C2928" s="51"/>
      <c r="D2928" s="51" t="s">
        <v>29690</v>
      </c>
      <c r="E2928" s="45" t="s">
        <v>17157</v>
      </c>
      <c r="F2928" s="45" t="s">
        <v>17759</v>
      </c>
      <c r="G2928" s="45" t="s">
        <v>50584</v>
      </c>
      <c r="H2928" s="56"/>
      <c r="I2928" s="56" t="s">
        <v>50564</v>
      </c>
      <c r="J2928" s="56"/>
      <c r="K2928" s="50"/>
      <c r="L2928" s="56" t="s">
        <v>56716</v>
      </c>
    </row>
    <row r="2929" spans="1:12" s="37" customFormat="1" ht="11.25" x14ac:dyDescent="0.2">
      <c r="A2929" s="46" t="s">
        <v>15637</v>
      </c>
      <c r="B2929" s="46" t="s">
        <v>52619</v>
      </c>
      <c r="C2929" s="58" t="str">
        <f>"18796648"</f>
        <v>18796648</v>
      </c>
      <c r="D2929" s="58" t="str">
        <f>""</f>
        <v/>
      </c>
      <c r="E2929" s="46" t="s">
        <v>6405</v>
      </c>
      <c r="F2929" s="46" t="s">
        <v>18001</v>
      </c>
      <c r="G2929" s="46" t="s">
        <v>50584</v>
      </c>
      <c r="H2929" s="48" t="s">
        <v>56716</v>
      </c>
      <c r="I2929" s="48" t="s">
        <v>50565</v>
      </c>
      <c r="J2929" s="48" t="s">
        <v>56716</v>
      </c>
      <c r="K2929" s="50"/>
      <c r="L2929" s="48"/>
    </row>
    <row r="2930" spans="1:12" s="37" customFormat="1" ht="11.25" x14ac:dyDescent="0.2">
      <c r="A2930" s="46" t="s">
        <v>17291</v>
      </c>
      <c r="B2930" s="46" t="s">
        <v>52620</v>
      </c>
      <c r="C2930" s="58" t="str">
        <f>""</f>
        <v/>
      </c>
      <c r="D2930" s="58" t="str">
        <f>"22352988"</f>
        <v>22352988</v>
      </c>
      <c r="E2930" s="46" t="s">
        <v>14216</v>
      </c>
      <c r="F2930" s="46" t="s">
        <v>18123</v>
      </c>
      <c r="G2930" s="46" t="s">
        <v>50584</v>
      </c>
      <c r="H2930" s="48" t="s">
        <v>56716</v>
      </c>
      <c r="I2930" s="48" t="s">
        <v>50564</v>
      </c>
      <c r="J2930" s="48"/>
      <c r="K2930" s="50"/>
      <c r="L2930" s="48" t="s">
        <v>56716</v>
      </c>
    </row>
    <row r="2931" spans="1:12" s="37" customFormat="1" ht="11.25" x14ac:dyDescent="0.2">
      <c r="A2931" s="46" t="s">
        <v>14221</v>
      </c>
      <c r="B2931" s="46" t="s">
        <v>52621</v>
      </c>
      <c r="C2931" s="58" t="str">
        <f>"16625102"</f>
        <v>16625102</v>
      </c>
      <c r="D2931" s="58" t="str">
        <f>""</f>
        <v/>
      </c>
      <c r="E2931" s="46" t="s">
        <v>14216</v>
      </c>
      <c r="F2931" s="46" t="s">
        <v>18123</v>
      </c>
      <c r="G2931" s="46" t="s">
        <v>50584</v>
      </c>
      <c r="H2931" s="48" t="s">
        <v>56716</v>
      </c>
      <c r="I2931" s="48" t="s">
        <v>50564</v>
      </c>
      <c r="J2931" s="48"/>
      <c r="K2931" s="50"/>
      <c r="L2931" s="48"/>
    </row>
    <row r="2932" spans="1:12" s="37" customFormat="1" ht="11.25" x14ac:dyDescent="0.2">
      <c r="A2932" s="46" t="s">
        <v>15639</v>
      </c>
      <c r="B2932" s="46" t="s">
        <v>52622</v>
      </c>
      <c r="C2932" s="58" t="str">
        <f>"18796613"</f>
        <v>18796613</v>
      </c>
      <c r="D2932" s="58" t="str">
        <f>""</f>
        <v/>
      </c>
      <c r="E2932" s="46" t="s">
        <v>6405</v>
      </c>
      <c r="F2932" s="46" t="s">
        <v>18001</v>
      </c>
      <c r="G2932" s="46" t="s">
        <v>50584</v>
      </c>
      <c r="H2932" s="48" t="s">
        <v>56716</v>
      </c>
      <c r="I2932" s="48" t="s">
        <v>50565</v>
      </c>
      <c r="J2932" s="48" t="s">
        <v>56716</v>
      </c>
      <c r="K2932" s="50"/>
      <c r="L2932" s="48"/>
    </row>
    <row r="2933" spans="1:12" s="37" customFormat="1" ht="11.25" x14ac:dyDescent="0.2">
      <c r="A2933" s="46" t="s">
        <v>14214</v>
      </c>
      <c r="B2933" s="46" t="s">
        <v>52623</v>
      </c>
      <c r="C2933" s="58" t="str">
        <f>"16625188"</f>
        <v>16625188</v>
      </c>
      <c r="D2933" s="58" t="str">
        <f>"16625188"</f>
        <v>16625188</v>
      </c>
      <c r="E2933" s="46" t="s">
        <v>14216</v>
      </c>
      <c r="F2933" s="46" t="s">
        <v>18123</v>
      </c>
      <c r="G2933" s="46" t="s">
        <v>50584</v>
      </c>
      <c r="H2933" s="48" t="s">
        <v>56716</v>
      </c>
      <c r="I2933" s="48" t="s">
        <v>50564</v>
      </c>
      <c r="J2933" s="48"/>
      <c r="K2933" s="50"/>
      <c r="L2933" s="48"/>
    </row>
    <row r="2934" spans="1:12" s="37" customFormat="1" ht="11.25" x14ac:dyDescent="0.2">
      <c r="A2934" s="46" t="s">
        <v>12740</v>
      </c>
      <c r="B2934" s="46" t="s">
        <v>52624</v>
      </c>
      <c r="C2934" s="58" t="str">
        <f>"02515342"</f>
        <v>02515342</v>
      </c>
      <c r="D2934" s="58" t="str">
        <f>"16622995"</f>
        <v>16622995</v>
      </c>
      <c r="E2934" s="46" t="s">
        <v>109</v>
      </c>
      <c r="F2934" s="46" t="s">
        <v>18123</v>
      </c>
      <c r="G2934" s="46" t="s">
        <v>50584</v>
      </c>
      <c r="H2934" s="48" t="s">
        <v>56716</v>
      </c>
      <c r="I2934" s="48" t="s">
        <v>50565</v>
      </c>
      <c r="J2934" s="48" t="s">
        <v>56716</v>
      </c>
      <c r="K2934" s="50"/>
      <c r="L2934" s="48"/>
    </row>
    <row r="2935" spans="1:12" s="37" customFormat="1" ht="11.25" x14ac:dyDescent="0.2">
      <c r="A2935" s="46" t="s">
        <v>11021</v>
      </c>
      <c r="B2935" s="46" t="s">
        <v>52625</v>
      </c>
      <c r="C2935" s="58" t="str">
        <f>"15740889"</f>
        <v>15740889</v>
      </c>
      <c r="D2935" s="58" t="str">
        <f>""</f>
        <v/>
      </c>
      <c r="E2935" s="46" t="s">
        <v>6405</v>
      </c>
      <c r="F2935" s="46" t="s">
        <v>18001</v>
      </c>
      <c r="G2935" s="46" t="s">
        <v>50584</v>
      </c>
      <c r="H2935" s="48" t="s">
        <v>56716</v>
      </c>
      <c r="I2935" s="48" t="s">
        <v>50565</v>
      </c>
      <c r="J2935" s="48" t="s">
        <v>56716</v>
      </c>
      <c r="K2935" s="50"/>
      <c r="L2935" s="48"/>
    </row>
    <row r="2936" spans="1:12" s="37" customFormat="1" ht="11.25" x14ac:dyDescent="0.2">
      <c r="A2936" s="46" t="s">
        <v>16592</v>
      </c>
      <c r="B2936" s="46" t="s">
        <v>52626</v>
      </c>
      <c r="C2936" s="58" t="str">
        <f>""</f>
        <v/>
      </c>
      <c r="D2936" s="58" t="str">
        <f>"16642392"</f>
        <v>16642392</v>
      </c>
      <c r="E2936" s="46" t="s">
        <v>14216</v>
      </c>
      <c r="F2936" s="46" t="s">
        <v>18123</v>
      </c>
      <c r="G2936" s="46" t="s">
        <v>50584</v>
      </c>
      <c r="H2936" s="48" t="s">
        <v>56716</v>
      </c>
      <c r="I2936" s="48" t="s">
        <v>50564</v>
      </c>
      <c r="J2936" s="48"/>
      <c r="K2936" s="50"/>
      <c r="L2936" s="48"/>
    </row>
    <row r="2937" spans="1:12" s="37" customFormat="1" ht="11.25" x14ac:dyDescent="0.2">
      <c r="A2937" s="46" t="s">
        <v>16978</v>
      </c>
      <c r="B2937" s="46" t="s">
        <v>52627</v>
      </c>
      <c r="C2937" s="58" t="str">
        <f>""</f>
        <v/>
      </c>
      <c r="D2937" s="58" t="str">
        <f>"16648021"</f>
        <v>16648021</v>
      </c>
      <c r="E2937" s="46" t="s">
        <v>14216</v>
      </c>
      <c r="F2937" s="46" t="s">
        <v>18123</v>
      </c>
      <c r="G2937" s="46" t="s">
        <v>50584</v>
      </c>
      <c r="H2937" s="48" t="s">
        <v>56716</v>
      </c>
      <c r="I2937" s="48" t="s">
        <v>50564</v>
      </c>
      <c r="J2937" s="48"/>
      <c r="K2937" s="50"/>
      <c r="L2937" s="48"/>
    </row>
    <row r="2938" spans="1:12" s="37" customFormat="1" ht="11.25" x14ac:dyDescent="0.2">
      <c r="A2938" s="46" t="s">
        <v>14223</v>
      </c>
      <c r="B2938" s="46" t="s">
        <v>52628</v>
      </c>
      <c r="C2938" s="58" t="str">
        <f>"16625161"</f>
        <v>16625161</v>
      </c>
      <c r="D2938" s="58" t="str">
        <f>"16625161"</f>
        <v>16625161</v>
      </c>
      <c r="E2938" s="46" t="s">
        <v>14216</v>
      </c>
      <c r="F2938" s="46" t="s">
        <v>18123</v>
      </c>
      <c r="G2938" s="46" t="s">
        <v>50584</v>
      </c>
      <c r="H2938" s="48" t="s">
        <v>56716</v>
      </c>
      <c r="I2938" s="48" t="s">
        <v>50564</v>
      </c>
      <c r="J2938" s="48"/>
      <c r="K2938" s="50"/>
      <c r="L2938" s="48"/>
    </row>
    <row r="2939" spans="1:12" s="37" customFormat="1" ht="11.25" x14ac:dyDescent="0.2">
      <c r="A2939" s="46" t="s">
        <v>16594</v>
      </c>
      <c r="B2939" s="46" t="s">
        <v>52629</v>
      </c>
      <c r="C2939" s="58" t="str">
        <f>""</f>
        <v/>
      </c>
      <c r="D2939" s="58" t="str">
        <f>"16643224"</f>
        <v>16643224</v>
      </c>
      <c r="E2939" s="46" t="s">
        <v>14216</v>
      </c>
      <c r="F2939" s="46" t="s">
        <v>18123</v>
      </c>
      <c r="G2939" s="46" t="s">
        <v>50584</v>
      </c>
      <c r="H2939" s="48" t="s">
        <v>56716</v>
      </c>
      <c r="I2939" s="48" t="s">
        <v>50564</v>
      </c>
      <c r="J2939" s="48"/>
      <c r="K2939" s="50"/>
      <c r="L2939" s="48"/>
    </row>
    <row r="2940" spans="1:12" s="37" customFormat="1" ht="11.25" x14ac:dyDescent="0.2">
      <c r="A2940" s="46" t="s">
        <v>14225</v>
      </c>
      <c r="B2940" s="46" t="s">
        <v>52630</v>
      </c>
      <c r="C2940" s="58" t="str">
        <f>"16625145"</f>
        <v>16625145</v>
      </c>
      <c r="D2940" s="58" t="str">
        <f>""</f>
        <v/>
      </c>
      <c r="E2940" s="46" t="s">
        <v>14216</v>
      </c>
      <c r="F2940" s="46" t="s">
        <v>18123</v>
      </c>
      <c r="G2940" s="46" t="s">
        <v>50584</v>
      </c>
      <c r="H2940" s="48" t="s">
        <v>56716</v>
      </c>
      <c r="I2940" s="48" t="s">
        <v>50564</v>
      </c>
      <c r="J2940" s="48"/>
      <c r="K2940" s="50"/>
      <c r="L2940" s="48"/>
    </row>
    <row r="2941" spans="1:12" s="37" customFormat="1" ht="11.25" x14ac:dyDescent="0.2">
      <c r="A2941" s="46" t="s">
        <v>11023</v>
      </c>
      <c r="B2941" s="46" t="s">
        <v>52631</v>
      </c>
      <c r="C2941" s="58" t="str">
        <f>"15672042"</f>
        <v>15672042</v>
      </c>
      <c r="D2941" s="58" t="str">
        <f>"18755763"</f>
        <v>18755763</v>
      </c>
      <c r="E2941" s="46" t="s">
        <v>6405</v>
      </c>
      <c r="F2941" s="46" t="s">
        <v>18001</v>
      </c>
      <c r="G2941" s="46" t="s">
        <v>50584</v>
      </c>
      <c r="H2941" s="48" t="s">
        <v>56716</v>
      </c>
      <c r="I2941" s="48" t="s">
        <v>50565</v>
      </c>
      <c r="J2941" s="48" t="s">
        <v>56716</v>
      </c>
      <c r="K2941" s="50"/>
      <c r="L2941" s="48"/>
    </row>
    <row r="2942" spans="1:12" s="37" customFormat="1" ht="11.25" x14ac:dyDescent="0.2">
      <c r="A2942" s="46" t="s">
        <v>16517</v>
      </c>
      <c r="B2942" s="46" t="s">
        <v>52632</v>
      </c>
      <c r="C2942" s="58" t="str">
        <f>""</f>
        <v/>
      </c>
      <c r="D2942" s="58" t="str">
        <f>"1664302X"</f>
        <v>1664302X</v>
      </c>
      <c r="E2942" s="46" t="s">
        <v>14216</v>
      </c>
      <c r="F2942" s="46" t="s">
        <v>18123</v>
      </c>
      <c r="G2942" s="46" t="s">
        <v>50584</v>
      </c>
      <c r="H2942" s="48" t="s">
        <v>56716</v>
      </c>
      <c r="I2942" s="48" t="s">
        <v>50564</v>
      </c>
      <c r="J2942" s="48"/>
      <c r="K2942" s="50"/>
      <c r="L2942" s="48"/>
    </row>
    <row r="2943" spans="1:12" s="37" customFormat="1" ht="11.25" x14ac:dyDescent="0.2">
      <c r="A2943" s="46" t="s">
        <v>14227</v>
      </c>
      <c r="B2943" s="46" t="s">
        <v>52633</v>
      </c>
      <c r="C2943" s="58" t="str">
        <f>"16625099"</f>
        <v>16625099</v>
      </c>
      <c r="D2943" s="58" t="str">
        <f>""</f>
        <v/>
      </c>
      <c r="E2943" s="46" t="s">
        <v>14216</v>
      </c>
      <c r="F2943" s="46" t="s">
        <v>18123</v>
      </c>
      <c r="G2943" s="46" t="s">
        <v>50584</v>
      </c>
      <c r="H2943" s="48" t="s">
        <v>56716</v>
      </c>
      <c r="I2943" s="48" t="s">
        <v>50564</v>
      </c>
      <c r="J2943" s="48"/>
      <c r="K2943" s="50"/>
      <c r="L2943" s="48"/>
    </row>
    <row r="2944" spans="1:12" s="37" customFormat="1" ht="11.25" x14ac:dyDescent="0.2">
      <c r="A2944" s="46" t="s">
        <v>14229</v>
      </c>
      <c r="B2944" s="46" t="s">
        <v>52634</v>
      </c>
      <c r="C2944" s="58" t="str">
        <f>"16625110"</f>
        <v>16625110</v>
      </c>
      <c r="D2944" s="58" t="str">
        <f>""</f>
        <v/>
      </c>
      <c r="E2944" s="46" t="s">
        <v>14216</v>
      </c>
      <c r="F2944" s="46" t="s">
        <v>18123</v>
      </c>
      <c r="G2944" s="46" t="s">
        <v>50584</v>
      </c>
      <c r="H2944" s="48" t="s">
        <v>56716</v>
      </c>
      <c r="I2944" s="48" t="s">
        <v>50564</v>
      </c>
      <c r="J2944" s="48"/>
      <c r="K2944" s="50"/>
      <c r="L2944" s="48" t="s">
        <v>56716</v>
      </c>
    </row>
    <row r="2945" spans="1:12" s="37" customFormat="1" ht="11.25" x14ac:dyDescent="0.2">
      <c r="A2945" s="46" t="s">
        <v>14231</v>
      </c>
      <c r="B2945" s="46" t="s">
        <v>52635</v>
      </c>
      <c r="C2945" s="58" t="str">
        <f>"16625129"</f>
        <v>16625129</v>
      </c>
      <c r="D2945" s="58" t="str">
        <f>"16625129"</f>
        <v>16625129</v>
      </c>
      <c r="E2945" s="46" t="s">
        <v>14216</v>
      </c>
      <c r="F2945" s="46" t="s">
        <v>18123</v>
      </c>
      <c r="G2945" s="46" t="s">
        <v>50584</v>
      </c>
      <c r="H2945" s="48" t="s">
        <v>56716</v>
      </c>
      <c r="I2945" s="48" t="s">
        <v>50564</v>
      </c>
      <c r="J2945" s="48"/>
      <c r="K2945" s="50"/>
      <c r="L2945" s="48"/>
    </row>
    <row r="2946" spans="1:12" s="37" customFormat="1" ht="11.25" x14ac:dyDescent="0.2">
      <c r="A2946" s="46" t="s">
        <v>5300</v>
      </c>
      <c r="B2946" s="46" t="s">
        <v>52636</v>
      </c>
      <c r="C2946" s="58" t="str">
        <f>"00913022"</f>
        <v>00913022</v>
      </c>
      <c r="D2946" s="58" t="str">
        <f>"10956808"</f>
        <v>10956808</v>
      </c>
      <c r="E2946" s="46" t="s">
        <v>60</v>
      </c>
      <c r="F2946" s="46" t="s">
        <v>17759</v>
      </c>
      <c r="G2946" s="46" t="s">
        <v>50584</v>
      </c>
      <c r="H2946" s="48" t="s">
        <v>56716</v>
      </c>
      <c r="I2946" s="48" t="s">
        <v>50564</v>
      </c>
      <c r="J2946" s="48" t="s">
        <v>56716</v>
      </c>
      <c r="K2946" s="50" t="s">
        <v>56716</v>
      </c>
      <c r="L2946" s="48" t="s">
        <v>56716</v>
      </c>
    </row>
    <row r="2947" spans="1:12" s="37" customFormat="1" ht="11.25" x14ac:dyDescent="0.2">
      <c r="A2947" s="46" t="s">
        <v>15615</v>
      </c>
      <c r="B2947" s="46" t="s">
        <v>52637</v>
      </c>
      <c r="C2947" s="58" t="str">
        <f>""</f>
        <v/>
      </c>
      <c r="D2947" s="58" t="str">
        <f>"16626427"</f>
        <v>16626427</v>
      </c>
      <c r="E2947" s="46" t="s">
        <v>14216</v>
      </c>
      <c r="F2947" s="46" t="s">
        <v>18123</v>
      </c>
      <c r="G2947" s="46" t="s">
        <v>50584</v>
      </c>
      <c r="H2947" s="48" t="s">
        <v>56716</v>
      </c>
      <c r="I2947" s="48" t="s">
        <v>50564</v>
      </c>
      <c r="J2947" s="48"/>
      <c r="K2947" s="50"/>
      <c r="L2947" s="48"/>
    </row>
    <row r="2948" spans="1:12" s="37" customFormat="1" ht="11.25" x14ac:dyDescent="0.2">
      <c r="A2948" s="46" t="s">
        <v>14217</v>
      </c>
      <c r="B2948" s="46" t="s">
        <v>52638</v>
      </c>
      <c r="C2948" s="58" t="str">
        <f>"16626443"</f>
        <v>16626443</v>
      </c>
      <c r="D2948" s="58" t="str">
        <f>""</f>
        <v/>
      </c>
      <c r="E2948" s="46" t="s">
        <v>14216</v>
      </c>
      <c r="F2948" s="46" t="s">
        <v>18123</v>
      </c>
      <c r="G2948" s="46" t="s">
        <v>50584</v>
      </c>
      <c r="H2948" s="48" t="s">
        <v>56716</v>
      </c>
      <c r="I2948" s="48" t="s">
        <v>50564</v>
      </c>
      <c r="J2948" s="48"/>
      <c r="K2948" s="50"/>
      <c r="L2948" s="48"/>
    </row>
    <row r="2949" spans="1:12" s="37" customFormat="1" ht="11.25" x14ac:dyDescent="0.2">
      <c r="A2949" s="46" t="s">
        <v>14233</v>
      </c>
      <c r="B2949" s="46" t="s">
        <v>52639</v>
      </c>
      <c r="C2949" s="58" t="str">
        <f>"16625196"</f>
        <v>16625196</v>
      </c>
      <c r="D2949" s="58" t="str">
        <f>"16625196"</f>
        <v>16625196</v>
      </c>
      <c r="E2949" s="46" t="s">
        <v>14216</v>
      </c>
      <c r="F2949" s="46" t="s">
        <v>18123</v>
      </c>
      <c r="G2949" s="46" t="s">
        <v>50584</v>
      </c>
      <c r="H2949" s="48" t="s">
        <v>56716</v>
      </c>
      <c r="I2949" s="48" t="s">
        <v>50564</v>
      </c>
      <c r="J2949" s="48"/>
      <c r="K2949" s="50"/>
      <c r="L2949" s="48"/>
    </row>
    <row r="2950" spans="1:12" s="37" customFormat="1" ht="11.25" x14ac:dyDescent="0.2">
      <c r="A2950" s="46" t="s">
        <v>16361</v>
      </c>
      <c r="B2950" s="46" t="s">
        <v>52640</v>
      </c>
      <c r="C2950" s="58" t="str">
        <f>""</f>
        <v/>
      </c>
      <c r="D2950" s="58" t="str">
        <f>"16642295"</f>
        <v>16642295</v>
      </c>
      <c r="E2950" s="46" t="s">
        <v>14216</v>
      </c>
      <c r="F2950" s="46" t="s">
        <v>18123</v>
      </c>
      <c r="G2950" s="46" t="s">
        <v>50584</v>
      </c>
      <c r="H2950" s="48" t="s">
        <v>56716</v>
      </c>
      <c r="I2950" s="48" t="s">
        <v>50564</v>
      </c>
      <c r="J2950" s="48"/>
      <c r="K2950" s="50"/>
      <c r="L2950" s="48"/>
    </row>
    <row r="2951" spans="1:12" s="37" customFormat="1" ht="11.25" x14ac:dyDescent="0.2">
      <c r="A2951" s="46" t="s">
        <v>15617</v>
      </c>
      <c r="B2951" s="46" t="s">
        <v>52641</v>
      </c>
      <c r="C2951" s="58" t="str">
        <f>""</f>
        <v/>
      </c>
      <c r="D2951" s="58" t="str">
        <f>"16625218"</f>
        <v>16625218</v>
      </c>
      <c r="E2951" s="46" t="s">
        <v>14216</v>
      </c>
      <c r="F2951" s="46" t="s">
        <v>18123</v>
      </c>
      <c r="G2951" s="46" t="s">
        <v>50584</v>
      </c>
      <c r="H2951" s="48" t="s">
        <v>56716</v>
      </c>
      <c r="I2951" s="48" t="s">
        <v>50564</v>
      </c>
      <c r="J2951" s="48"/>
      <c r="K2951" s="50"/>
      <c r="L2951" s="48"/>
    </row>
    <row r="2952" spans="1:12" s="37" customFormat="1" ht="11.25" x14ac:dyDescent="0.2">
      <c r="A2952" s="46" t="s">
        <v>15619</v>
      </c>
      <c r="B2952" s="46" t="s">
        <v>52642</v>
      </c>
      <c r="C2952" s="58" t="str">
        <f>"16624548"</f>
        <v>16624548</v>
      </c>
      <c r="D2952" s="58" t="str">
        <f>"1662453X"</f>
        <v>1662453X</v>
      </c>
      <c r="E2952" s="46" t="s">
        <v>14216</v>
      </c>
      <c r="F2952" s="46" t="s">
        <v>18123</v>
      </c>
      <c r="G2952" s="46" t="s">
        <v>50584</v>
      </c>
      <c r="H2952" s="48" t="s">
        <v>56716</v>
      </c>
      <c r="I2952" s="48" t="s">
        <v>50564</v>
      </c>
      <c r="J2952" s="48"/>
      <c r="K2952" s="50"/>
      <c r="L2952" s="48"/>
    </row>
    <row r="2953" spans="1:12" s="37" customFormat="1" ht="11.25" x14ac:dyDescent="0.2">
      <c r="A2953" s="46" t="s">
        <v>17293</v>
      </c>
      <c r="B2953" s="46" t="s">
        <v>52643</v>
      </c>
      <c r="C2953" s="58" t="str">
        <f>""</f>
        <v/>
      </c>
      <c r="D2953" s="58" t="str">
        <f>"2234943X"</f>
        <v>2234943X</v>
      </c>
      <c r="E2953" s="46" t="s">
        <v>14216</v>
      </c>
      <c r="F2953" s="46" t="s">
        <v>18123</v>
      </c>
      <c r="G2953" s="46" t="s">
        <v>50584</v>
      </c>
      <c r="H2953" s="48" t="s">
        <v>56716</v>
      </c>
      <c r="I2953" s="48" t="s">
        <v>50564</v>
      </c>
      <c r="J2953" s="48"/>
      <c r="K2953" s="50"/>
      <c r="L2953" s="48"/>
    </row>
    <row r="2954" spans="1:12" s="37" customFormat="1" ht="11.25" x14ac:dyDescent="0.2">
      <c r="A2954" s="46" t="s">
        <v>16363</v>
      </c>
      <c r="B2954" s="46" t="s">
        <v>52644</v>
      </c>
      <c r="C2954" s="58" t="str">
        <f>""</f>
        <v/>
      </c>
      <c r="D2954" s="58" t="str">
        <f>"16639812"</f>
        <v>16639812</v>
      </c>
      <c r="E2954" s="46" t="s">
        <v>14216</v>
      </c>
      <c r="F2954" s="46" t="s">
        <v>18123</v>
      </c>
      <c r="G2954" s="46" t="s">
        <v>50584</v>
      </c>
      <c r="H2954" s="48" t="s">
        <v>56716</v>
      </c>
      <c r="I2954" s="48" t="s">
        <v>50564</v>
      </c>
      <c r="J2954" s="48"/>
      <c r="K2954" s="50"/>
      <c r="L2954" s="48"/>
    </row>
    <row r="2955" spans="1:12" s="37" customFormat="1" ht="11.25" x14ac:dyDescent="0.2">
      <c r="A2955" s="46" t="s">
        <v>16365</v>
      </c>
      <c r="B2955" s="46" t="s">
        <v>52645</v>
      </c>
      <c r="C2955" s="58" t="str">
        <f>""</f>
        <v/>
      </c>
      <c r="D2955" s="58" t="str">
        <f>"1664042X"</f>
        <v>1664042X</v>
      </c>
      <c r="E2955" s="46" t="s">
        <v>14216</v>
      </c>
      <c r="F2955" s="46" t="s">
        <v>18123</v>
      </c>
      <c r="G2955" s="46" t="s">
        <v>50584</v>
      </c>
      <c r="H2955" s="48" t="s">
        <v>56716</v>
      </c>
      <c r="I2955" s="48" t="s">
        <v>50564</v>
      </c>
      <c r="J2955" s="48"/>
      <c r="K2955" s="50"/>
      <c r="L2955" s="48"/>
    </row>
    <row r="2956" spans="1:12" s="37" customFormat="1" ht="11.25" x14ac:dyDescent="0.2">
      <c r="A2956" s="46" t="s">
        <v>16367</v>
      </c>
      <c r="B2956" s="46" t="s">
        <v>52646</v>
      </c>
      <c r="C2956" s="58" t="str">
        <f>""</f>
        <v/>
      </c>
      <c r="D2956" s="58" t="str">
        <f>"16640640"</f>
        <v>16640640</v>
      </c>
      <c r="E2956" s="46" t="s">
        <v>14216</v>
      </c>
      <c r="F2956" s="46" t="s">
        <v>18123</v>
      </c>
      <c r="G2956" s="46" t="s">
        <v>50584</v>
      </c>
      <c r="H2956" s="48" t="s">
        <v>56716</v>
      </c>
      <c r="I2956" s="48" t="s">
        <v>50564</v>
      </c>
      <c r="J2956" s="48"/>
      <c r="K2956" s="50"/>
      <c r="L2956" s="48"/>
    </row>
    <row r="2957" spans="1:12" s="37" customFormat="1" ht="11.25" x14ac:dyDescent="0.2">
      <c r="A2957" s="46" t="s">
        <v>15622</v>
      </c>
      <c r="B2957" s="46" t="s">
        <v>52647</v>
      </c>
      <c r="C2957" s="58" t="str">
        <f>""</f>
        <v/>
      </c>
      <c r="D2957" s="58" t="str">
        <f>"16633563"</f>
        <v>16633563</v>
      </c>
      <c r="E2957" s="46" t="s">
        <v>14216</v>
      </c>
      <c r="F2957" s="46" t="s">
        <v>18123</v>
      </c>
      <c r="G2957" s="46" t="s">
        <v>50584</v>
      </c>
      <c r="H2957" s="48" t="s">
        <v>56716</v>
      </c>
      <c r="I2957" s="48" t="s">
        <v>50564</v>
      </c>
      <c r="J2957" s="48"/>
      <c r="K2957" s="50"/>
      <c r="L2957" s="48"/>
    </row>
    <row r="2958" spans="1:12" s="37" customFormat="1" ht="11.25" x14ac:dyDescent="0.2">
      <c r="A2958" s="46" t="s">
        <v>14235</v>
      </c>
      <c r="B2958" s="46" t="s">
        <v>52648</v>
      </c>
      <c r="C2958" s="58" t="str">
        <f>"16625137"</f>
        <v>16625137</v>
      </c>
      <c r="D2958" s="58" t="str">
        <f>""</f>
        <v/>
      </c>
      <c r="E2958" s="46" t="s">
        <v>14216</v>
      </c>
      <c r="F2958" s="46" t="s">
        <v>18123</v>
      </c>
      <c r="G2958" s="46" t="s">
        <v>50584</v>
      </c>
      <c r="H2958" s="48" t="s">
        <v>56716</v>
      </c>
      <c r="I2958" s="48" t="s">
        <v>50564</v>
      </c>
      <c r="J2958" s="48"/>
      <c r="K2958" s="50"/>
      <c r="L2958" s="48"/>
    </row>
    <row r="2959" spans="1:12" s="37" customFormat="1" ht="11.25" x14ac:dyDescent="0.2">
      <c r="A2959" s="46" t="s">
        <v>10830</v>
      </c>
      <c r="B2959" s="46" t="s">
        <v>52649</v>
      </c>
      <c r="C2959" s="58" t="str">
        <f>"03020665"</f>
        <v>03020665</v>
      </c>
      <c r="D2959" s="58" t="str">
        <f>"16623754"</f>
        <v>16623754</v>
      </c>
      <c r="E2959" s="46" t="s">
        <v>109</v>
      </c>
      <c r="F2959" s="46" t="s">
        <v>18123</v>
      </c>
      <c r="G2959" s="46" t="s">
        <v>50584</v>
      </c>
      <c r="H2959" s="48" t="s">
        <v>56716</v>
      </c>
      <c r="I2959" s="48" t="s">
        <v>50565</v>
      </c>
      <c r="J2959" s="48" t="s">
        <v>56716</v>
      </c>
      <c r="K2959" s="50"/>
      <c r="L2959" s="48"/>
    </row>
    <row r="2960" spans="1:12" s="37" customFormat="1" ht="11.25" x14ac:dyDescent="0.2">
      <c r="A2960" s="45" t="s">
        <v>29710</v>
      </c>
      <c r="B2960" s="45" t="s">
        <v>29712</v>
      </c>
      <c r="C2960" s="51" t="s">
        <v>29713</v>
      </c>
      <c r="D2960" s="51"/>
      <c r="E2960" s="45" t="s">
        <v>29714</v>
      </c>
      <c r="F2960" s="45" t="s">
        <v>17759</v>
      </c>
      <c r="G2960" s="45" t="s">
        <v>50584</v>
      </c>
      <c r="H2960" s="56"/>
      <c r="I2960" s="56" t="s">
        <v>50564</v>
      </c>
      <c r="J2960" s="56"/>
      <c r="K2960" s="50"/>
      <c r="L2960" s="56" t="s">
        <v>56716</v>
      </c>
    </row>
    <row r="2961" spans="1:12" s="37" customFormat="1" ht="11.25" x14ac:dyDescent="0.2">
      <c r="A2961" s="46" t="s">
        <v>10833</v>
      </c>
      <c r="B2961" s="46" t="s">
        <v>52650</v>
      </c>
      <c r="C2961" s="58" t="str">
        <f>"03013073"</f>
        <v>03013073</v>
      </c>
      <c r="D2961" s="58" t="str">
        <f>"16623762"</f>
        <v>16623762</v>
      </c>
      <c r="E2961" s="46" t="s">
        <v>109</v>
      </c>
      <c r="F2961" s="46" t="s">
        <v>18123</v>
      </c>
      <c r="G2961" s="46" t="s">
        <v>50584</v>
      </c>
      <c r="H2961" s="48" t="s">
        <v>56716</v>
      </c>
      <c r="I2961" s="48" t="s">
        <v>50565</v>
      </c>
      <c r="J2961" s="48" t="s">
        <v>56716</v>
      </c>
      <c r="K2961" s="50"/>
      <c r="L2961" s="48" t="s">
        <v>56716</v>
      </c>
    </row>
    <row r="2962" spans="1:12" s="37" customFormat="1" ht="11.25" x14ac:dyDescent="0.2">
      <c r="A2962" s="45" t="s">
        <v>29720</v>
      </c>
      <c r="B2962" s="45" t="s">
        <v>29722</v>
      </c>
      <c r="C2962" s="51" t="s">
        <v>29725</v>
      </c>
      <c r="D2962" s="51" t="s">
        <v>29724</v>
      </c>
      <c r="E2962" s="45" t="s">
        <v>15202</v>
      </c>
      <c r="F2962" s="45" t="s">
        <v>17958</v>
      </c>
      <c r="G2962" s="45" t="s">
        <v>50584</v>
      </c>
      <c r="H2962" s="56"/>
      <c r="I2962" s="56" t="s">
        <v>50564</v>
      </c>
      <c r="J2962" s="56"/>
      <c r="K2962" s="50"/>
      <c r="L2962" s="56" t="s">
        <v>56716</v>
      </c>
    </row>
    <row r="2963" spans="1:12" s="37" customFormat="1" ht="11.25" x14ac:dyDescent="0.2">
      <c r="A2963" s="46" t="s">
        <v>13091</v>
      </c>
      <c r="B2963" s="46" t="s">
        <v>52651</v>
      </c>
      <c r="C2963" s="58" t="str">
        <f>"16604431"</f>
        <v>16604431</v>
      </c>
      <c r="D2963" s="58" t="str">
        <f>"16622804"</f>
        <v>16622804</v>
      </c>
      <c r="E2963" s="46" t="s">
        <v>109</v>
      </c>
      <c r="F2963" s="46" t="s">
        <v>18123</v>
      </c>
      <c r="G2963" s="46" t="s">
        <v>50584</v>
      </c>
      <c r="H2963" s="48" t="s">
        <v>56716</v>
      </c>
      <c r="I2963" s="48" t="s">
        <v>50565</v>
      </c>
      <c r="J2963" s="48" t="s">
        <v>56716</v>
      </c>
      <c r="K2963" s="50"/>
      <c r="L2963" s="48" t="s">
        <v>56716</v>
      </c>
    </row>
    <row r="2964" spans="1:12" s="37" customFormat="1" ht="11.25" x14ac:dyDescent="0.2">
      <c r="A2964" s="45" t="s">
        <v>29733</v>
      </c>
      <c r="B2964" s="45" t="s">
        <v>29735</v>
      </c>
      <c r="C2964" s="51" t="s">
        <v>29738</v>
      </c>
      <c r="D2964" s="51" t="s">
        <v>29737</v>
      </c>
      <c r="E2964" s="45" t="s">
        <v>18122</v>
      </c>
      <c r="F2964" s="45" t="s">
        <v>18123</v>
      </c>
      <c r="G2964" s="45" t="s">
        <v>50584</v>
      </c>
      <c r="H2964" s="56"/>
      <c r="I2964" s="56" t="s">
        <v>50564</v>
      </c>
      <c r="J2964" s="56"/>
      <c r="K2964" s="50"/>
      <c r="L2964" s="56" t="s">
        <v>56716</v>
      </c>
    </row>
    <row r="2965" spans="1:12" s="37" customFormat="1" ht="11.25" x14ac:dyDescent="0.2">
      <c r="A2965" s="46" t="s">
        <v>10836</v>
      </c>
      <c r="B2965" s="46" t="s">
        <v>52652</v>
      </c>
      <c r="C2965" s="58" t="str">
        <f>"00719676"</f>
        <v>00719676</v>
      </c>
      <c r="D2965" s="58" t="str">
        <f>"16623789"</f>
        <v>16623789</v>
      </c>
      <c r="E2965" s="46" t="s">
        <v>109</v>
      </c>
      <c r="F2965" s="46" t="s">
        <v>18123</v>
      </c>
      <c r="G2965" s="46" t="s">
        <v>50584</v>
      </c>
      <c r="H2965" s="48" t="s">
        <v>56716</v>
      </c>
      <c r="I2965" s="48" t="s">
        <v>50565</v>
      </c>
      <c r="J2965" s="48" t="s">
        <v>56716</v>
      </c>
      <c r="K2965" s="50"/>
      <c r="L2965" s="48" t="s">
        <v>56716</v>
      </c>
    </row>
    <row r="2966" spans="1:12" s="37" customFormat="1" ht="11.25" x14ac:dyDescent="0.2">
      <c r="A2966" s="46" t="s">
        <v>15651</v>
      </c>
      <c r="B2966" s="46" t="s">
        <v>52653</v>
      </c>
      <c r="C2966" s="58" t="str">
        <f>"20414137"</f>
        <v>20414137</v>
      </c>
      <c r="D2966" s="58" t="str">
        <f>"20414145"</f>
        <v>20414145</v>
      </c>
      <c r="E2966" s="46" t="s">
        <v>159</v>
      </c>
      <c r="F2966" s="46" t="s">
        <v>50646</v>
      </c>
      <c r="G2966" s="46" t="s">
        <v>50584</v>
      </c>
      <c r="H2966" s="48" t="s">
        <v>56716</v>
      </c>
      <c r="I2966" s="48" t="s">
        <v>50564</v>
      </c>
      <c r="J2966" s="48" t="s">
        <v>56716</v>
      </c>
      <c r="K2966" s="50"/>
      <c r="L2966" s="48"/>
    </row>
    <row r="2967" spans="1:12" s="37" customFormat="1" ht="11.25" x14ac:dyDescent="0.2">
      <c r="A2967" s="45" t="s">
        <v>29745</v>
      </c>
      <c r="B2967" s="45" t="s">
        <v>29747</v>
      </c>
      <c r="C2967" s="51" t="s">
        <v>29749</v>
      </c>
      <c r="D2967" s="51"/>
      <c r="E2967" s="45" t="s">
        <v>29750</v>
      </c>
      <c r="F2967" s="45" t="s">
        <v>18242</v>
      </c>
      <c r="G2967" s="45" t="s">
        <v>50605</v>
      </c>
      <c r="H2967" s="56"/>
      <c r="I2967" s="56" t="s">
        <v>50564</v>
      </c>
      <c r="J2967" s="56"/>
      <c r="K2967" s="50"/>
      <c r="L2967" s="56" t="s">
        <v>56716</v>
      </c>
    </row>
    <row r="2968" spans="1:12" s="37" customFormat="1" ht="11.25" x14ac:dyDescent="0.2">
      <c r="A2968" s="45" t="s">
        <v>29752</v>
      </c>
      <c r="B2968" s="45" t="s">
        <v>29754</v>
      </c>
      <c r="C2968" s="51" t="s">
        <v>29756</v>
      </c>
      <c r="D2968" s="51" t="s">
        <v>29755</v>
      </c>
      <c r="E2968" s="45" t="s">
        <v>29757</v>
      </c>
      <c r="F2968" s="45" t="s">
        <v>18242</v>
      </c>
      <c r="G2968" s="45" t="s">
        <v>50584</v>
      </c>
      <c r="H2968" s="56"/>
      <c r="I2968" s="56" t="s">
        <v>50564</v>
      </c>
      <c r="J2968" s="56"/>
      <c r="K2968" s="50"/>
      <c r="L2968" s="56" t="s">
        <v>56716</v>
      </c>
    </row>
    <row r="2969" spans="1:12" s="37" customFormat="1" ht="11.25" x14ac:dyDescent="0.2">
      <c r="A2969" s="46" t="s">
        <v>8559</v>
      </c>
      <c r="B2969" s="46" t="s">
        <v>52654</v>
      </c>
      <c r="C2969" s="58" t="str">
        <f>"1438793X"</f>
        <v>1438793X</v>
      </c>
      <c r="D2969" s="58" t="str">
        <f>"14387948"</f>
        <v>14387948</v>
      </c>
      <c r="E2969" s="46" t="s">
        <v>167</v>
      </c>
      <c r="F2969" s="46" t="s">
        <v>18158</v>
      </c>
      <c r="G2969" s="46" t="s">
        <v>50584</v>
      </c>
      <c r="H2969" s="48" t="s">
        <v>56716</v>
      </c>
      <c r="I2969" s="48" t="s">
        <v>50564</v>
      </c>
      <c r="J2969" s="48" t="s">
        <v>56716</v>
      </c>
      <c r="K2969" s="50" t="s">
        <v>56716</v>
      </c>
      <c r="L2969" s="48" t="s">
        <v>56716</v>
      </c>
    </row>
    <row r="2970" spans="1:12" s="37" customFormat="1" ht="11.25" x14ac:dyDescent="0.2">
      <c r="A2970" s="46" t="s">
        <v>4256</v>
      </c>
      <c r="B2970" s="46" t="s">
        <v>52655</v>
      </c>
      <c r="C2970" s="58" t="str">
        <f>"03935264"</f>
        <v>03935264</v>
      </c>
      <c r="D2970" s="58" t="str">
        <f>"19713274"</f>
        <v>19713274</v>
      </c>
      <c r="E2970" s="46" t="s">
        <v>1716</v>
      </c>
      <c r="F2970" s="46" t="s">
        <v>17991</v>
      </c>
      <c r="G2970" s="46" t="s">
        <v>50584</v>
      </c>
      <c r="H2970" s="48" t="s">
        <v>56716</v>
      </c>
      <c r="I2970" s="48" t="s">
        <v>50564</v>
      </c>
      <c r="J2970" s="48"/>
      <c r="K2970" s="50"/>
      <c r="L2970" s="48" t="s">
        <v>56716</v>
      </c>
    </row>
    <row r="2971" spans="1:12" s="37" customFormat="1" ht="11.25" x14ac:dyDescent="0.2">
      <c r="A2971" s="46" t="s">
        <v>4279</v>
      </c>
      <c r="B2971" s="46" t="s">
        <v>52656</v>
      </c>
      <c r="C2971" s="58" t="str">
        <f>"07673981"</f>
        <v>07673981</v>
      </c>
      <c r="D2971" s="58" t="str">
        <f>"14728206"</f>
        <v>14728206</v>
      </c>
      <c r="E2971" s="46" t="s">
        <v>35</v>
      </c>
      <c r="F2971" s="46" t="s">
        <v>50646</v>
      </c>
      <c r="G2971" s="46" t="s">
        <v>50584</v>
      </c>
      <c r="H2971" s="48" t="s">
        <v>56716</v>
      </c>
      <c r="I2971" s="48" t="s">
        <v>50564</v>
      </c>
      <c r="J2971" s="48" t="s">
        <v>56716</v>
      </c>
      <c r="K2971" s="50" t="s">
        <v>56716</v>
      </c>
      <c r="L2971" s="48" t="s">
        <v>56716</v>
      </c>
    </row>
    <row r="2972" spans="1:12" s="37" customFormat="1" ht="11.25" x14ac:dyDescent="0.2">
      <c r="A2972" s="45" t="s">
        <v>29781</v>
      </c>
      <c r="B2972" s="45" t="s">
        <v>29783</v>
      </c>
      <c r="C2972" s="51" t="s">
        <v>29785</v>
      </c>
      <c r="D2972" s="51"/>
      <c r="E2972" s="45" t="s">
        <v>29786</v>
      </c>
      <c r="F2972" s="45" t="s">
        <v>18001</v>
      </c>
      <c r="G2972" s="45" t="s">
        <v>50584</v>
      </c>
      <c r="H2972" s="56"/>
      <c r="I2972" s="56" t="s">
        <v>50564</v>
      </c>
      <c r="J2972" s="56"/>
      <c r="K2972" s="50"/>
      <c r="L2972" s="56" t="s">
        <v>56716</v>
      </c>
    </row>
    <row r="2973" spans="1:12" s="37" customFormat="1" ht="11.25" x14ac:dyDescent="0.2">
      <c r="A2973" s="46" t="s">
        <v>7029</v>
      </c>
      <c r="B2973" s="46" t="s">
        <v>52657</v>
      </c>
      <c r="C2973" s="58" t="str">
        <f>"10871845"</f>
        <v>10871845</v>
      </c>
      <c r="D2973" s="58" t="str">
        <f>"10960937"</f>
        <v>10960937</v>
      </c>
      <c r="E2973" s="46" t="s">
        <v>60</v>
      </c>
      <c r="F2973" s="46" t="s">
        <v>17759</v>
      </c>
      <c r="G2973" s="46" t="s">
        <v>50584</v>
      </c>
      <c r="H2973" s="48" t="s">
        <v>56716</v>
      </c>
      <c r="I2973" s="48" t="s">
        <v>50564</v>
      </c>
      <c r="J2973" s="48" t="s">
        <v>56716</v>
      </c>
      <c r="K2973" s="50" t="s">
        <v>56716</v>
      </c>
      <c r="L2973" s="48" t="s">
        <v>56716</v>
      </c>
    </row>
    <row r="2974" spans="1:12" s="37" customFormat="1" ht="11.25" x14ac:dyDescent="0.2">
      <c r="A2974" s="46" t="s">
        <v>10628</v>
      </c>
      <c r="B2974" s="46" t="s">
        <v>52658</v>
      </c>
      <c r="C2974" s="58" t="str">
        <f>"16199987"</f>
        <v>16199987</v>
      </c>
      <c r="D2974" s="58" t="str">
        <f>"16199995"</f>
        <v>16199995</v>
      </c>
      <c r="E2974" s="46" t="s">
        <v>6159</v>
      </c>
      <c r="F2974" s="46" t="s">
        <v>18158</v>
      </c>
      <c r="G2974" s="46" t="s">
        <v>50593</v>
      </c>
      <c r="H2974" s="48" t="s">
        <v>56716</v>
      </c>
      <c r="I2974" s="48" t="s">
        <v>50564</v>
      </c>
      <c r="J2974" s="48"/>
      <c r="K2974" s="50" t="s">
        <v>56716</v>
      </c>
      <c r="L2974" s="48"/>
    </row>
    <row r="2975" spans="1:12" s="37" customFormat="1" ht="11.25" x14ac:dyDescent="0.2">
      <c r="A2975" s="46" t="s">
        <v>11191</v>
      </c>
      <c r="B2975" s="46" t="s">
        <v>52659</v>
      </c>
      <c r="C2975" s="58" t="str">
        <f>"14796678"</f>
        <v>14796678</v>
      </c>
      <c r="D2975" s="58" t="str">
        <f>"17448298"</f>
        <v>17448298</v>
      </c>
      <c r="E2975" s="46" t="s">
        <v>8442</v>
      </c>
      <c r="F2975" s="46" t="s">
        <v>50646</v>
      </c>
      <c r="G2975" s="46" t="s">
        <v>50584</v>
      </c>
      <c r="H2975" s="48" t="s">
        <v>56716</v>
      </c>
      <c r="I2975" s="48" t="s">
        <v>50564</v>
      </c>
      <c r="J2975" s="48" t="s">
        <v>56716</v>
      </c>
      <c r="K2975" s="50"/>
      <c r="L2975" s="48" t="s">
        <v>56716</v>
      </c>
    </row>
    <row r="2976" spans="1:12" s="37" customFormat="1" ht="11.25" x14ac:dyDescent="0.2">
      <c r="A2976" s="46" t="s">
        <v>13969</v>
      </c>
      <c r="B2976" s="46" t="s">
        <v>52660</v>
      </c>
      <c r="C2976" s="58" t="str">
        <f>"17568919"</f>
        <v>17568919</v>
      </c>
      <c r="D2976" s="58" t="str">
        <f>"17568927"</f>
        <v>17568927</v>
      </c>
      <c r="E2976" s="46" t="s">
        <v>13972</v>
      </c>
      <c r="F2976" s="46" t="s">
        <v>50646</v>
      </c>
      <c r="G2976" s="46" t="s">
        <v>50584</v>
      </c>
      <c r="H2976" s="48" t="s">
        <v>56716</v>
      </c>
      <c r="I2976" s="48" t="s">
        <v>50564</v>
      </c>
      <c r="J2976" s="48" t="s">
        <v>56716</v>
      </c>
      <c r="K2976" s="50"/>
      <c r="L2976" s="48" t="s">
        <v>56716</v>
      </c>
    </row>
    <row r="2977" spans="1:12" s="37" customFormat="1" ht="11.25" x14ac:dyDescent="0.2">
      <c r="A2977" s="46" t="s">
        <v>11847</v>
      </c>
      <c r="B2977" s="46" t="s">
        <v>52661</v>
      </c>
      <c r="C2977" s="58" t="str">
        <f>"17460913"</f>
        <v>17460913</v>
      </c>
      <c r="D2977" s="58" t="str">
        <f>"17460921"</f>
        <v>17460921</v>
      </c>
      <c r="E2977" s="46" t="s">
        <v>8442</v>
      </c>
      <c r="F2977" s="46" t="s">
        <v>50646</v>
      </c>
      <c r="G2977" s="46" t="s">
        <v>50584</v>
      </c>
      <c r="H2977" s="48" t="s">
        <v>56716</v>
      </c>
      <c r="I2977" s="48" t="s">
        <v>50564</v>
      </c>
      <c r="J2977" s="48" t="s">
        <v>56716</v>
      </c>
      <c r="K2977" s="50"/>
      <c r="L2977" s="48" t="s">
        <v>56716</v>
      </c>
    </row>
    <row r="2978" spans="1:12" s="37" customFormat="1" ht="11.25" x14ac:dyDescent="0.2">
      <c r="A2978" s="46" t="s">
        <v>11850</v>
      </c>
      <c r="B2978" s="46" t="s">
        <v>52662</v>
      </c>
      <c r="C2978" s="58" t="str">
        <f>"14796708"</f>
        <v>14796708</v>
      </c>
      <c r="D2978" s="58" t="str">
        <f>"17486971"</f>
        <v>17486971</v>
      </c>
      <c r="E2978" s="46" t="s">
        <v>8442</v>
      </c>
      <c r="F2978" s="46" t="s">
        <v>50646</v>
      </c>
      <c r="G2978" s="46" t="s">
        <v>50584</v>
      </c>
      <c r="H2978" s="48" t="s">
        <v>56716</v>
      </c>
      <c r="I2978" s="48" t="s">
        <v>50564</v>
      </c>
      <c r="J2978" s="48" t="s">
        <v>56716</v>
      </c>
      <c r="K2978" s="50"/>
      <c r="L2978" s="48"/>
    </row>
    <row r="2979" spans="1:12" s="37" customFormat="1" ht="11.25" x14ac:dyDescent="0.2">
      <c r="A2979" s="46" t="s">
        <v>11185</v>
      </c>
      <c r="B2979" s="46" t="s">
        <v>52663</v>
      </c>
      <c r="C2979" s="58" t="str">
        <f>"14796694"</f>
        <v>14796694</v>
      </c>
      <c r="D2979" s="58" t="str">
        <f>"17448301"</f>
        <v>17448301</v>
      </c>
      <c r="E2979" s="46" t="s">
        <v>8442</v>
      </c>
      <c r="F2979" s="46" t="s">
        <v>50646</v>
      </c>
      <c r="G2979" s="46" t="s">
        <v>50584</v>
      </c>
      <c r="H2979" s="48" t="s">
        <v>56716</v>
      </c>
      <c r="I2979" s="48" t="s">
        <v>50564</v>
      </c>
      <c r="J2979" s="48" t="s">
        <v>56716</v>
      </c>
      <c r="K2979" s="50"/>
      <c r="L2979" s="48" t="s">
        <v>56716</v>
      </c>
    </row>
    <row r="2980" spans="1:12" s="37" customFormat="1" ht="11.25" x14ac:dyDescent="0.2">
      <c r="A2980" s="46" t="s">
        <v>12760</v>
      </c>
      <c r="B2980" s="46" t="s">
        <v>52664</v>
      </c>
      <c r="C2980" s="58" t="str">
        <f>"14689871"</f>
        <v>14689871</v>
      </c>
      <c r="D2980" s="58" t="str">
        <f>"19312261"</f>
        <v>19312261</v>
      </c>
      <c r="E2980" s="46" t="s">
        <v>35</v>
      </c>
      <c r="F2980" s="46" t="s">
        <v>50646</v>
      </c>
      <c r="G2980" s="46" t="s">
        <v>50584</v>
      </c>
      <c r="H2980" s="48" t="s">
        <v>56716</v>
      </c>
      <c r="I2980" s="48" t="s">
        <v>50564</v>
      </c>
      <c r="J2980" s="48"/>
      <c r="K2980" s="50"/>
      <c r="L2980" s="48"/>
    </row>
    <row r="2981" spans="1:12" s="37" customFormat="1" ht="11.25" x14ac:dyDescent="0.2">
      <c r="A2981" s="46" t="s">
        <v>11853</v>
      </c>
      <c r="B2981" s="46" t="s">
        <v>52665</v>
      </c>
      <c r="C2981" s="58" t="str">
        <f>"17460794"</f>
        <v>17460794</v>
      </c>
      <c r="D2981" s="58" t="str">
        <f>"17460808"</f>
        <v>17460808</v>
      </c>
      <c r="E2981" s="46" t="s">
        <v>8442</v>
      </c>
      <c r="F2981" s="46" t="s">
        <v>50646</v>
      </c>
      <c r="G2981" s="46" t="s">
        <v>50584</v>
      </c>
      <c r="H2981" s="48" t="s">
        <v>56716</v>
      </c>
      <c r="I2981" s="48" t="s">
        <v>50564</v>
      </c>
      <c r="J2981" s="48" t="s">
        <v>56716</v>
      </c>
      <c r="K2981" s="50"/>
      <c r="L2981" s="48"/>
    </row>
    <row r="2982" spans="1:12" s="37" customFormat="1" ht="11.25" x14ac:dyDescent="0.2">
      <c r="A2982" s="46" t="s">
        <v>17170</v>
      </c>
      <c r="B2982" s="46" t="s">
        <v>52666</v>
      </c>
      <c r="C2982" s="58" t="str">
        <f>""</f>
        <v/>
      </c>
      <c r="D2982" s="58" t="str">
        <f>"21601836"</f>
        <v>21601836</v>
      </c>
      <c r="E2982" s="46" t="s">
        <v>17631</v>
      </c>
      <c r="F2982" s="46" t="s">
        <v>17759</v>
      </c>
      <c r="G2982" s="46" t="s">
        <v>50584</v>
      </c>
      <c r="H2982" s="48" t="s">
        <v>56716</v>
      </c>
      <c r="I2982" s="48" t="s">
        <v>50564</v>
      </c>
      <c r="J2982" s="48"/>
      <c r="K2982" s="50"/>
      <c r="L2982" s="48" t="s">
        <v>56716</v>
      </c>
    </row>
    <row r="2983" spans="1:12" s="37" customFormat="1" ht="11.25" x14ac:dyDescent="0.2">
      <c r="A2983" s="46" t="s">
        <v>1681</v>
      </c>
      <c r="B2983" s="46" t="s">
        <v>52667</v>
      </c>
      <c r="C2983" s="58" t="str">
        <f>"03044858"</f>
        <v>03044858</v>
      </c>
      <c r="D2983" s="58" t="str">
        <f>""</f>
        <v/>
      </c>
      <c r="E2983" s="46" t="s">
        <v>1683</v>
      </c>
      <c r="F2983" s="46" t="s">
        <v>18439</v>
      </c>
      <c r="G2983" s="46" t="s">
        <v>50632</v>
      </c>
      <c r="H2983" s="48" t="s">
        <v>56716</v>
      </c>
      <c r="I2983" s="48" t="s">
        <v>50564</v>
      </c>
      <c r="J2983" s="48"/>
      <c r="K2983" s="50"/>
      <c r="L2983" s="48"/>
    </row>
    <row r="2984" spans="1:12" s="37" customFormat="1" ht="11.25" x14ac:dyDescent="0.2">
      <c r="A2984" s="46" t="s">
        <v>5612</v>
      </c>
      <c r="B2984" s="46" t="s">
        <v>52668</v>
      </c>
      <c r="C2984" s="58" t="str">
        <f>"00163813"</f>
        <v>00163813</v>
      </c>
      <c r="D2984" s="58" t="str">
        <f>""</f>
        <v/>
      </c>
      <c r="E2984" s="46" t="s">
        <v>5614</v>
      </c>
      <c r="F2984" s="46" t="s">
        <v>18411</v>
      </c>
      <c r="G2984" s="46" t="s">
        <v>50632</v>
      </c>
      <c r="H2984" s="48" t="s">
        <v>56716</v>
      </c>
      <c r="I2984" s="48" t="s">
        <v>50564</v>
      </c>
      <c r="J2984" s="48"/>
      <c r="K2984" s="50"/>
      <c r="L2984" s="48" t="s">
        <v>56716</v>
      </c>
    </row>
    <row r="2985" spans="1:12" s="37" customFormat="1" ht="11.25" x14ac:dyDescent="0.2">
      <c r="A2985" s="46" t="s">
        <v>12626</v>
      </c>
      <c r="B2985" s="46" t="s">
        <v>52669</v>
      </c>
      <c r="C2985" s="58" t="str">
        <f>"16659201"</f>
        <v>16659201</v>
      </c>
      <c r="D2985" s="58" t="str">
        <f>""</f>
        <v/>
      </c>
      <c r="E2985" s="46" t="s">
        <v>12628</v>
      </c>
      <c r="F2985" s="46" t="s">
        <v>18411</v>
      </c>
      <c r="G2985" s="46" t="s">
        <v>50632</v>
      </c>
      <c r="H2985" s="48" t="s">
        <v>56716</v>
      </c>
      <c r="I2985" s="48" t="s">
        <v>50564</v>
      </c>
      <c r="J2985" s="48"/>
      <c r="K2985" s="50"/>
      <c r="L2985" s="48"/>
    </row>
    <row r="2986" spans="1:12" s="37" customFormat="1" ht="11.25" x14ac:dyDescent="0.2">
      <c r="A2986" s="45" t="s">
        <v>29829</v>
      </c>
      <c r="B2986" s="45" t="s">
        <v>29831</v>
      </c>
      <c r="C2986" s="51" t="s">
        <v>29834</v>
      </c>
      <c r="D2986" s="51" t="s">
        <v>29833</v>
      </c>
      <c r="E2986" s="45" t="s">
        <v>18438</v>
      </c>
      <c r="F2986" s="45" t="s">
        <v>18439</v>
      </c>
      <c r="G2986" s="45" t="s">
        <v>50633</v>
      </c>
      <c r="H2986" s="56"/>
      <c r="I2986" s="56" t="s">
        <v>50564</v>
      </c>
      <c r="J2986" s="56"/>
      <c r="K2986" s="50"/>
      <c r="L2986" s="56" t="s">
        <v>56716</v>
      </c>
    </row>
    <row r="2987" spans="1:12" s="37" customFormat="1" ht="11.25" x14ac:dyDescent="0.2">
      <c r="A2987" s="46" t="s">
        <v>6567</v>
      </c>
      <c r="B2987" s="46" t="s">
        <v>29838</v>
      </c>
      <c r="C2987" s="58" t="str">
        <f>"09666362"</f>
        <v>09666362</v>
      </c>
      <c r="D2987" s="58" t="str">
        <f>"18792219"</f>
        <v>18792219</v>
      </c>
      <c r="E2987" s="46" t="s">
        <v>91</v>
      </c>
      <c r="F2987" s="46" t="s">
        <v>18001</v>
      </c>
      <c r="G2987" s="46" t="s">
        <v>50584</v>
      </c>
      <c r="H2987" s="48" t="s">
        <v>56716</v>
      </c>
      <c r="I2987" s="48" t="s">
        <v>50564</v>
      </c>
      <c r="J2987" s="48" t="s">
        <v>56716</v>
      </c>
      <c r="K2987" s="50" t="s">
        <v>56716</v>
      </c>
      <c r="L2987" s="48" t="s">
        <v>56716</v>
      </c>
    </row>
    <row r="2988" spans="1:12" s="37" customFormat="1" ht="11.25" x14ac:dyDescent="0.2">
      <c r="A2988" s="46" t="s">
        <v>15389</v>
      </c>
      <c r="B2988" s="46" t="s">
        <v>15389</v>
      </c>
      <c r="C2988" s="58" t="str">
        <f>"22009876"</f>
        <v>22009876</v>
      </c>
      <c r="D2988" s="58" t="str">
        <f>""</f>
        <v/>
      </c>
      <c r="E2988" s="46" t="s">
        <v>15391</v>
      </c>
      <c r="F2988" s="46" t="s">
        <v>20082</v>
      </c>
      <c r="G2988" s="46" t="s">
        <v>50584</v>
      </c>
      <c r="H2988" s="48" t="s">
        <v>56716</v>
      </c>
      <c r="I2988" s="48" t="s">
        <v>50564</v>
      </c>
      <c r="J2988" s="48"/>
      <c r="K2988" s="50"/>
      <c r="L2988" s="48"/>
    </row>
    <row r="2989" spans="1:12" s="37" customFormat="1" ht="11.25" x14ac:dyDescent="0.2">
      <c r="A2989" s="46" t="s">
        <v>12469</v>
      </c>
      <c r="B2989" s="46" t="s">
        <v>52670</v>
      </c>
      <c r="C2989" s="58" t="str">
        <f>"11097655"</f>
        <v>11097655</v>
      </c>
      <c r="D2989" s="58" t="str">
        <f>"11097647"</f>
        <v>11097647</v>
      </c>
      <c r="E2989" s="46" t="s">
        <v>12472</v>
      </c>
      <c r="F2989" s="46" t="s">
        <v>20969</v>
      </c>
      <c r="G2989" s="46" t="s">
        <v>50584</v>
      </c>
      <c r="H2989" s="48" t="s">
        <v>56716</v>
      </c>
      <c r="I2989" s="48" t="s">
        <v>50564</v>
      </c>
      <c r="J2989" s="48"/>
      <c r="K2989" s="50"/>
      <c r="L2989" s="48"/>
    </row>
    <row r="2990" spans="1:12" s="37" customFormat="1" ht="11.25" x14ac:dyDescent="0.2">
      <c r="A2990" s="46" t="s">
        <v>8222</v>
      </c>
      <c r="B2990" s="46" t="s">
        <v>8222</v>
      </c>
      <c r="C2990" s="58" t="str">
        <f>"14363291"</f>
        <v>14363291</v>
      </c>
      <c r="D2990" s="58" t="str">
        <f>"14363305"</f>
        <v>14363305</v>
      </c>
      <c r="E2990" s="46" t="s">
        <v>23335</v>
      </c>
      <c r="F2990" s="46" t="s">
        <v>18242</v>
      </c>
      <c r="G2990" s="46" t="s">
        <v>50584</v>
      </c>
      <c r="H2990" s="48" t="s">
        <v>56716</v>
      </c>
      <c r="I2990" s="48" t="s">
        <v>50564</v>
      </c>
      <c r="J2990" s="48" t="s">
        <v>56716</v>
      </c>
      <c r="K2990" s="50" t="s">
        <v>56716</v>
      </c>
      <c r="L2990" s="48" t="s">
        <v>56716</v>
      </c>
    </row>
    <row r="2991" spans="1:12" s="37" customFormat="1" ht="11.25" x14ac:dyDescent="0.2">
      <c r="A2991" s="46" t="s">
        <v>11474</v>
      </c>
      <c r="B2991" s="46" t="s">
        <v>11474</v>
      </c>
      <c r="C2991" s="58" t="str">
        <f>"18619681"</f>
        <v>18619681</v>
      </c>
      <c r="D2991" s="58" t="str">
        <f>"1861969X"</f>
        <v>1861969X</v>
      </c>
      <c r="E2991" s="46" t="s">
        <v>167</v>
      </c>
      <c r="F2991" s="46" t="s">
        <v>18158</v>
      </c>
      <c r="G2991" s="46" t="s">
        <v>50593</v>
      </c>
      <c r="H2991" s="48" t="s">
        <v>56716</v>
      </c>
      <c r="I2991" s="48" t="s">
        <v>50564</v>
      </c>
      <c r="J2991" s="48"/>
      <c r="K2991" s="50" t="s">
        <v>56716</v>
      </c>
      <c r="L2991" s="48"/>
    </row>
    <row r="2992" spans="1:12" s="37" customFormat="1" ht="11.25" x14ac:dyDescent="0.2">
      <c r="A2992" s="46" t="s">
        <v>6795</v>
      </c>
      <c r="B2992" s="46" t="s">
        <v>52671</v>
      </c>
      <c r="C2992" s="58" t="str">
        <f>"12329886"</f>
        <v>12329886</v>
      </c>
      <c r="D2992" s="58" t="str">
        <f>""</f>
        <v/>
      </c>
      <c r="E2992" s="46" t="s">
        <v>6797</v>
      </c>
      <c r="F2992" s="46" t="s">
        <v>17967</v>
      </c>
      <c r="G2992" s="46" t="s">
        <v>50612</v>
      </c>
      <c r="H2992" s="48" t="s">
        <v>56716</v>
      </c>
      <c r="I2992" s="48" t="s">
        <v>50564</v>
      </c>
      <c r="J2992" s="48"/>
      <c r="K2992" s="50"/>
      <c r="L2992" s="48"/>
    </row>
    <row r="2993" spans="1:12" s="37" customFormat="1" ht="11.25" x14ac:dyDescent="0.2">
      <c r="A2993" s="46" t="s">
        <v>1700</v>
      </c>
      <c r="B2993" s="46" t="s">
        <v>52672</v>
      </c>
      <c r="C2993" s="58" t="str">
        <f>"02105705"</f>
        <v>02105705</v>
      </c>
      <c r="D2993" s="58" t="str">
        <f>"15789519"</f>
        <v>15789519</v>
      </c>
      <c r="E2993" s="46" t="s">
        <v>1683</v>
      </c>
      <c r="F2993" s="46" t="s">
        <v>18439</v>
      </c>
      <c r="G2993" s="46" t="s">
        <v>50632</v>
      </c>
      <c r="H2993" s="48" t="s">
        <v>56716</v>
      </c>
      <c r="I2993" s="48" t="s">
        <v>50564</v>
      </c>
      <c r="J2993" s="48"/>
      <c r="K2993" s="50" t="s">
        <v>56716</v>
      </c>
      <c r="L2993" s="48" t="s">
        <v>56716</v>
      </c>
    </row>
    <row r="2994" spans="1:12" s="37" customFormat="1" ht="11.25" x14ac:dyDescent="0.2">
      <c r="A2994" s="46" t="s">
        <v>3124</v>
      </c>
      <c r="B2994" s="46" t="s">
        <v>52673</v>
      </c>
      <c r="C2994" s="58" t="str">
        <f>"03871207"</f>
        <v>03871207</v>
      </c>
      <c r="D2994" s="58" t="str">
        <f>""</f>
        <v/>
      </c>
      <c r="E2994" s="46" t="s">
        <v>3126</v>
      </c>
      <c r="F2994" s="46" t="s">
        <v>18242</v>
      </c>
      <c r="G2994" s="46" t="s">
        <v>50604</v>
      </c>
      <c r="H2994" s="48" t="s">
        <v>56716</v>
      </c>
      <c r="I2994" s="48" t="s">
        <v>50564</v>
      </c>
      <c r="J2994" s="48"/>
      <c r="K2994" s="50"/>
      <c r="L2994" s="48"/>
    </row>
    <row r="2995" spans="1:12" s="37" customFormat="1" ht="11.25" x14ac:dyDescent="0.2">
      <c r="A2995" s="46" t="s">
        <v>15570</v>
      </c>
      <c r="B2995" s="46" t="s">
        <v>52672</v>
      </c>
      <c r="C2995" s="58" t="str">
        <f>"18047874"</f>
        <v>18047874</v>
      </c>
      <c r="D2995" s="58" t="str">
        <f>"1804803X"</f>
        <v>1804803X</v>
      </c>
      <c r="E2995" s="46" t="s">
        <v>134</v>
      </c>
      <c r="F2995" s="46" t="s">
        <v>18025</v>
      </c>
      <c r="G2995" s="46" t="s">
        <v>50628</v>
      </c>
      <c r="H2995" s="48" t="s">
        <v>56716</v>
      </c>
      <c r="I2995" s="48" t="s">
        <v>50564</v>
      </c>
      <c r="J2995" s="48"/>
      <c r="K2995" s="50"/>
      <c r="L2995" s="48"/>
    </row>
    <row r="2996" spans="1:12" s="37" customFormat="1" ht="11.25" x14ac:dyDescent="0.2">
      <c r="A2996" s="46" t="s">
        <v>1675</v>
      </c>
      <c r="B2996" s="46" t="s">
        <v>1675</v>
      </c>
      <c r="C2996" s="58" t="str">
        <f>"00165085"</f>
        <v>00165085</v>
      </c>
      <c r="D2996" s="58" t="str">
        <f>"15280012"</f>
        <v>15280012</v>
      </c>
      <c r="E2996" s="46" t="s">
        <v>303</v>
      </c>
      <c r="F2996" s="46" t="s">
        <v>17759</v>
      </c>
      <c r="G2996" s="46" t="s">
        <v>50584</v>
      </c>
      <c r="H2996" s="48" t="s">
        <v>56716</v>
      </c>
      <c r="I2996" s="48" t="s">
        <v>50564</v>
      </c>
      <c r="J2996" s="48" t="s">
        <v>56716</v>
      </c>
      <c r="K2996" s="50" t="s">
        <v>56716</v>
      </c>
      <c r="L2996" s="48" t="s">
        <v>56716</v>
      </c>
    </row>
    <row r="2997" spans="1:12" s="37" customFormat="1" ht="11.25" x14ac:dyDescent="0.2">
      <c r="A2997" s="46" t="s">
        <v>11200</v>
      </c>
      <c r="B2997" s="46" t="s">
        <v>52672</v>
      </c>
      <c r="C2997" s="58" t="str">
        <f>"15547914"</f>
        <v>15547914</v>
      </c>
      <c r="D2997" s="58" t="str">
        <f>""</f>
        <v/>
      </c>
      <c r="E2997" s="46" t="s">
        <v>11202</v>
      </c>
      <c r="F2997" s="46" t="s">
        <v>17759</v>
      </c>
      <c r="G2997" s="46" t="s">
        <v>50584</v>
      </c>
      <c r="H2997" s="48" t="s">
        <v>56716</v>
      </c>
      <c r="I2997" s="48" t="s">
        <v>50564</v>
      </c>
      <c r="J2997" s="48"/>
      <c r="K2997" s="50"/>
      <c r="L2997" s="48"/>
    </row>
    <row r="2998" spans="1:12" s="37" customFormat="1" ht="11.25" x14ac:dyDescent="0.2">
      <c r="A2998" s="46" t="s">
        <v>15306</v>
      </c>
      <c r="B2998" s="46" t="s">
        <v>52674</v>
      </c>
      <c r="C2998" s="58" t="str">
        <f>"20082258"</f>
        <v>20082258</v>
      </c>
      <c r="D2998" s="58" t="str">
        <f>"20084234"</f>
        <v>20084234</v>
      </c>
      <c r="E2998" s="46" t="s">
        <v>15309</v>
      </c>
      <c r="F2998" s="46" t="s">
        <v>18232</v>
      </c>
      <c r="G2998" s="46" t="s">
        <v>50584</v>
      </c>
      <c r="H2998" s="48" t="s">
        <v>56716</v>
      </c>
      <c r="I2998" s="48" t="s">
        <v>50564</v>
      </c>
      <c r="J2998" s="48"/>
      <c r="K2998" s="50"/>
      <c r="L2998" s="48"/>
    </row>
    <row r="2999" spans="1:12" s="37" customFormat="1" ht="11.25" x14ac:dyDescent="0.2">
      <c r="A2999" s="46" t="s">
        <v>4530</v>
      </c>
      <c r="B2999" s="46" t="s">
        <v>52675</v>
      </c>
      <c r="C2999" s="58" t="str">
        <f>"08898553"</f>
        <v>08898553</v>
      </c>
      <c r="D2999" s="58" t="str">
        <f>"15581942"</f>
        <v>15581942</v>
      </c>
      <c r="E2999" s="46" t="s">
        <v>303</v>
      </c>
      <c r="F2999" s="46" t="s">
        <v>17759</v>
      </c>
      <c r="G2999" s="46" t="s">
        <v>50584</v>
      </c>
      <c r="H2999" s="48" t="s">
        <v>56716</v>
      </c>
      <c r="I2999" s="48" t="s">
        <v>50564</v>
      </c>
      <c r="J2999" s="48"/>
      <c r="K2999" s="50" t="s">
        <v>56716</v>
      </c>
      <c r="L2999" s="48" t="s">
        <v>56716</v>
      </c>
    </row>
    <row r="3000" spans="1:12" s="37" customFormat="1" ht="11.25" x14ac:dyDescent="0.2">
      <c r="A3000" s="46" t="s">
        <v>15175</v>
      </c>
      <c r="B3000" s="46" t="s">
        <v>52676</v>
      </c>
      <c r="C3000" s="58" t="str">
        <f>""</f>
        <v/>
      </c>
      <c r="D3000" s="58" t="str">
        <f>"20367422"</f>
        <v>20367422</v>
      </c>
      <c r="E3000" s="46" t="s">
        <v>1949</v>
      </c>
      <c r="F3000" s="46" t="s">
        <v>17991</v>
      </c>
      <c r="G3000" s="46" t="s">
        <v>50584</v>
      </c>
      <c r="H3000" s="48" t="s">
        <v>56716</v>
      </c>
      <c r="I3000" s="48" t="s">
        <v>50564</v>
      </c>
      <c r="J3000" s="48"/>
      <c r="K3000" s="50"/>
      <c r="L3000" s="48"/>
    </row>
    <row r="3001" spans="1:12" s="37" customFormat="1" ht="11.25" x14ac:dyDescent="0.2">
      <c r="A3001" s="45" t="s">
        <v>29863</v>
      </c>
      <c r="B3001" s="45" t="s">
        <v>29865</v>
      </c>
      <c r="C3001" s="51" t="s">
        <v>29868</v>
      </c>
      <c r="D3001" s="51" t="s">
        <v>29867</v>
      </c>
      <c r="E3001" s="45" t="s">
        <v>17758</v>
      </c>
      <c r="F3001" s="45" t="s">
        <v>17759</v>
      </c>
      <c r="G3001" s="45" t="s">
        <v>50584</v>
      </c>
      <c r="H3001" s="56"/>
      <c r="I3001" s="56" t="s">
        <v>50564</v>
      </c>
      <c r="J3001" s="56"/>
      <c r="K3001" s="50"/>
      <c r="L3001" s="56" t="s">
        <v>56716</v>
      </c>
    </row>
    <row r="3002" spans="1:12" s="37" customFormat="1" ht="11.25" x14ac:dyDescent="0.2">
      <c r="A3002" s="46" t="s">
        <v>13035</v>
      </c>
      <c r="B3002" s="46" t="s">
        <v>52677</v>
      </c>
      <c r="C3002" s="58" t="str">
        <f>"16876121"</f>
        <v>16876121</v>
      </c>
      <c r="D3002" s="58" t="str">
        <f>"1687630X"</f>
        <v>1687630X</v>
      </c>
      <c r="E3002" s="46" t="s">
        <v>1412</v>
      </c>
      <c r="F3002" s="46" t="s">
        <v>17759</v>
      </c>
      <c r="G3002" s="46" t="s">
        <v>50584</v>
      </c>
      <c r="H3002" s="48" t="s">
        <v>56716</v>
      </c>
      <c r="I3002" s="48" t="s">
        <v>50564</v>
      </c>
      <c r="J3002" s="48"/>
      <c r="K3002" s="50"/>
      <c r="L3002" s="48"/>
    </row>
    <row r="3003" spans="1:12" s="37" customFormat="1" ht="11.25" x14ac:dyDescent="0.2">
      <c r="A3003" s="46" t="s">
        <v>13564</v>
      </c>
      <c r="B3003" s="46" t="s">
        <v>52678</v>
      </c>
      <c r="C3003" s="58" t="str">
        <f>"19347820"</f>
        <v>19347820</v>
      </c>
      <c r="D3003" s="58" t="str">
        <f>"19347987"</f>
        <v>19347987</v>
      </c>
      <c r="E3003" s="46" t="s">
        <v>13567</v>
      </c>
      <c r="F3003" s="46" t="s">
        <v>17759</v>
      </c>
      <c r="G3003" s="46" t="s">
        <v>50584</v>
      </c>
      <c r="H3003" s="48" t="s">
        <v>56716</v>
      </c>
      <c r="I3003" s="48" t="s">
        <v>50564</v>
      </c>
      <c r="J3003" s="48"/>
      <c r="K3003" s="50"/>
      <c r="L3003" s="48"/>
    </row>
    <row r="3004" spans="1:12" s="37" customFormat="1" ht="11.25" x14ac:dyDescent="0.2">
      <c r="A3004" s="46" t="s">
        <v>1672</v>
      </c>
      <c r="B3004" s="46" t="s">
        <v>52679</v>
      </c>
      <c r="C3004" s="58" t="str">
        <f>"00165107"</f>
        <v>00165107</v>
      </c>
      <c r="D3004" s="58" t="str">
        <f>"10976779"</f>
        <v>10976779</v>
      </c>
      <c r="E3004" s="46" t="s">
        <v>194</v>
      </c>
      <c r="F3004" s="46" t="s">
        <v>17759</v>
      </c>
      <c r="G3004" s="46" t="s">
        <v>50584</v>
      </c>
      <c r="H3004" s="48" t="s">
        <v>56716</v>
      </c>
      <c r="I3004" s="48" t="s">
        <v>50564</v>
      </c>
      <c r="J3004" s="48" t="s">
        <v>56716</v>
      </c>
      <c r="K3004" s="50" t="s">
        <v>56716</v>
      </c>
      <c r="L3004" s="48" t="s">
        <v>56716</v>
      </c>
    </row>
    <row r="3005" spans="1:12" s="37" customFormat="1" ht="11.25" x14ac:dyDescent="0.2">
      <c r="A3005" s="46" t="s">
        <v>5920</v>
      </c>
      <c r="B3005" s="46" t="s">
        <v>52680</v>
      </c>
      <c r="C3005" s="58" t="str">
        <f>"10525157"</f>
        <v>10525157</v>
      </c>
      <c r="D3005" s="58" t="str">
        <f>"15581950"</f>
        <v>15581950</v>
      </c>
      <c r="E3005" s="46" t="s">
        <v>303</v>
      </c>
      <c r="F3005" s="46" t="s">
        <v>17759</v>
      </c>
      <c r="G3005" s="46" t="s">
        <v>50584</v>
      </c>
      <c r="H3005" s="48" t="s">
        <v>56716</v>
      </c>
      <c r="I3005" s="48" t="s">
        <v>50564</v>
      </c>
      <c r="J3005" s="48" t="s">
        <v>56716</v>
      </c>
      <c r="K3005" s="50" t="s">
        <v>56716</v>
      </c>
      <c r="L3005" s="48" t="s">
        <v>56716</v>
      </c>
    </row>
    <row r="3006" spans="1:12" s="37" customFormat="1" ht="11.25" x14ac:dyDescent="0.2">
      <c r="A3006" s="46" t="s">
        <v>16994</v>
      </c>
      <c r="B3006" s="46" t="s">
        <v>52681</v>
      </c>
      <c r="C3006" s="58" t="str">
        <f>"22131795"</f>
        <v>22131795</v>
      </c>
      <c r="D3006" s="58" t="str">
        <f>"22131809"</f>
        <v>22131809</v>
      </c>
      <c r="E3006" s="46" t="s">
        <v>91</v>
      </c>
      <c r="F3006" s="46" t="s">
        <v>18001</v>
      </c>
      <c r="G3006" s="46" t="s">
        <v>50584</v>
      </c>
      <c r="H3006" s="48" t="s">
        <v>56716</v>
      </c>
      <c r="I3006" s="48" t="s">
        <v>50564</v>
      </c>
      <c r="J3006" s="48" t="s">
        <v>56716</v>
      </c>
      <c r="K3006" s="50" t="s">
        <v>56716</v>
      </c>
      <c r="L3006" s="48"/>
    </row>
    <row r="3007" spans="1:12" s="37" customFormat="1" ht="11.25" x14ac:dyDescent="0.2">
      <c r="A3007" s="46" t="s">
        <v>55931</v>
      </c>
      <c r="B3007" s="46" t="s">
        <v>55932</v>
      </c>
      <c r="C3007" s="58" t="str">
        <f>"22963774"</f>
        <v>22963774</v>
      </c>
      <c r="D3007" s="58" t="str">
        <f>"22963766"</f>
        <v>22963766</v>
      </c>
      <c r="E3007" s="46" t="s">
        <v>109</v>
      </c>
      <c r="F3007" s="46" t="s">
        <v>18123</v>
      </c>
      <c r="G3007" s="46" t="s">
        <v>50584</v>
      </c>
      <c r="H3007" s="48" t="s">
        <v>56716</v>
      </c>
      <c r="I3007" s="48" t="s">
        <v>50564</v>
      </c>
      <c r="J3007" s="48" t="s">
        <v>56716</v>
      </c>
      <c r="K3007" s="50"/>
      <c r="L3007" s="48"/>
    </row>
    <row r="3008" spans="1:12" s="37" customFormat="1" ht="11.25" x14ac:dyDescent="0.2">
      <c r="A3008" s="46" t="s">
        <v>5719</v>
      </c>
      <c r="B3008" s="46" t="s">
        <v>52682</v>
      </c>
      <c r="C3008" s="58" t="str">
        <f>"21472092"</f>
        <v>21472092</v>
      </c>
      <c r="D3008" s="58" t="str">
        <f>""</f>
        <v/>
      </c>
      <c r="E3008" s="46" t="s">
        <v>5721</v>
      </c>
      <c r="F3008" s="46" t="s">
        <v>18396</v>
      </c>
      <c r="G3008" s="46" t="s">
        <v>50584</v>
      </c>
      <c r="H3008" s="48" t="s">
        <v>56716</v>
      </c>
      <c r="I3008" s="48" t="s">
        <v>50564</v>
      </c>
      <c r="J3008" s="48"/>
      <c r="K3008" s="50"/>
      <c r="L3008" s="48"/>
    </row>
    <row r="3009" spans="1:12" s="37" customFormat="1" ht="11.25" x14ac:dyDescent="0.2">
      <c r="A3009" s="46" t="s">
        <v>1720</v>
      </c>
      <c r="B3009" s="46" t="s">
        <v>52683</v>
      </c>
      <c r="C3009" s="58" t="str">
        <f>"03933660"</f>
        <v>03933660</v>
      </c>
      <c r="D3009" s="58" t="str">
        <f>""</f>
        <v/>
      </c>
      <c r="E3009" s="46" t="s">
        <v>1708</v>
      </c>
      <c r="F3009" s="46" t="s">
        <v>17991</v>
      </c>
      <c r="G3009" s="46" t="s">
        <v>50603</v>
      </c>
      <c r="H3009" s="48" t="s">
        <v>56716</v>
      </c>
      <c r="I3009" s="48" t="s">
        <v>50564</v>
      </c>
      <c r="J3009" s="48"/>
      <c r="K3009" s="50"/>
      <c r="L3009" s="48"/>
    </row>
    <row r="3010" spans="1:12" s="37" customFormat="1" ht="11.25" x14ac:dyDescent="0.2">
      <c r="A3010" s="46" t="s">
        <v>1684</v>
      </c>
      <c r="B3010" s="46" t="s">
        <v>52684</v>
      </c>
      <c r="C3010" s="58" t="str">
        <f>"00165751"</f>
        <v>00165751</v>
      </c>
      <c r="D3010" s="58" t="str">
        <f>"14388804"</f>
        <v>14388804</v>
      </c>
      <c r="E3010" s="46" t="s">
        <v>412</v>
      </c>
      <c r="F3010" s="46" t="s">
        <v>18158</v>
      </c>
      <c r="G3010" s="46" t="s">
        <v>50593</v>
      </c>
      <c r="H3010" s="48" t="s">
        <v>56716</v>
      </c>
      <c r="I3010" s="48" t="s">
        <v>50564</v>
      </c>
      <c r="J3010" s="48"/>
      <c r="K3010" s="50"/>
      <c r="L3010" s="48"/>
    </row>
    <row r="3011" spans="1:12" s="37" customFormat="1" ht="11.25" x14ac:dyDescent="0.2">
      <c r="A3011" s="46" t="s">
        <v>6896</v>
      </c>
      <c r="B3011" s="46" t="s">
        <v>52685</v>
      </c>
      <c r="C3011" s="58" t="str">
        <f>"01017772"</f>
        <v>01017772</v>
      </c>
      <c r="D3011" s="58" t="str">
        <f>""</f>
        <v/>
      </c>
      <c r="E3011" s="46" t="s">
        <v>6898</v>
      </c>
      <c r="F3011" s="46" t="s">
        <v>18058</v>
      </c>
      <c r="G3011" s="46" t="s">
        <v>50614</v>
      </c>
      <c r="H3011" s="48" t="s">
        <v>56716</v>
      </c>
      <c r="I3011" s="48" t="s">
        <v>50564</v>
      </c>
      <c r="J3011" s="48"/>
      <c r="K3011" s="50"/>
      <c r="L3011" s="48"/>
    </row>
    <row r="3012" spans="1:12" s="37" customFormat="1" ht="11.25" x14ac:dyDescent="0.2">
      <c r="A3012" s="46" t="s">
        <v>6922</v>
      </c>
      <c r="B3012" s="46" t="s">
        <v>52686</v>
      </c>
      <c r="C3012" s="58" t="str">
        <f>"09498036"</f>
        <v>09498036</v>
      </c>
      <c r="D3012" s="58" t="str">
        <f>""</f>
        <v/>
      </c>
      <c r="E3012" s="46" t="s">
        <v>6924</v>
      </c>
      <c r="F3012" s="46" t="s">
        <v>18158</v>
      </c>
      <c r="G3012" s="46" t="s">
        <v>50593</v>
      </c>
      <c r="H3012" s="48" t="s">
        <v>56716</v>
      </c>
      <c r="I3012" s="48" t="s">
        <v>50564</v>
      </c>
      <c r="J3012" s="48"/>
      <c r="K3012" s="50"/>
      <c r="L3012" s="48"/>
    </row>
    <row r="3013" spans="1:12" s="37" customFormat="1" ht="11.25" x14ac:dyDescent="0.2">
      <c r="A3013" s="46" t="s">
        <v>6740</v>
      </c>
      <c r="B3013" s="46" t="s">
        <v>6740</v>
      </c>
      <c r="C3013" s="58" t="str">
        <f>"09487034"</f>
        <v>09487034</v>
      </c>
      <c r="D3013" s="58" t="str">
        <f>"14343932"</f>
        <v>14343932</v>
      </c>
      <c r="E3013" s="46" t="s">
        <v>167</v>
      </c>
      <c r="F3013" s="46" t="s">
        <v>18158</v>
      </c>
      <c r="G3013" s="46" t="s">
        <v>50592</v>
      </c>
      <c r="H3013" s="48" t="s">
        <v>56716</v>
      </c>
      <c r="I3013" s="48" t="s">
        <v>50564</v>
      </c>
      <c r="J3013" s="48"/>
      <c r="K3013" s="50" t="s">
        <v>56716</v>
      </c>
      <c r="L3013" s="48"/>
    </row>
    <row r="3014" spans="1:12" s="37" customFormat="1" ht="11.25" x14ac:dyDescent="0.2">
      <c r="A3014" s="46" t="s">
        <v>10594</v>
      </c>
      <c r="B3014" s="46" t="s">
        <v>52687</v>
      </c>
      <c r="C3014" s="58" t="str">
        <f>"15508579"</f>
        <v>15508579</v>
      </c>
      <c r="D3014" s="58" t="str">
        <f>"18787398"</f>
        <v>18787398</v>
      </c>
      <c r="E3014" s="46" t="s">
        <v>1189</v>
      </c>
      <c r="F3014" s="46" t="s">
        <v>17759</v>
      </c>
      <c r="G3014" s="46" t="s">
        <v>50584</v>
      </c>
      <c r="H3014" s="48" t="s">
        <v>56716</v>
      </c>
      <c r="I3014" s="48" t="s">
        <v>50564</v>
      </c>
      <c r="J3014" s="48" t="s">
        <v>56716</v>
      </c>
      <c r="K3014" s="50"/>
      <c r="L3014" s="48"/>
    </row>
    <row r="3015" spans="1:12" s="37" customFormat="1" ht="11.25" x14ac:dyDescent="0.2">
      <c r="A3015" s="46" t="s">
        <v>1687</v>
      </c>
      <c r="B3015" s="46" t="s">
        <v>1687</v>
      </c>
      <c r="C3015" s="58" t="str">
        <f>"03781119"</f>
        <v>03781119</v>
      </c>
      <c r="D3015" s="58" t="str">
        <f>"18790038"</f>
        <v>18790038</v>
      </c>
      <c r="E3015" s="46" t="s">
        <v>91</v>
      </c>
      <c r="F3015" s="46" t="s">
        <v>18001</v>
      </c>
      <c r="G3015" s="46" t="s">
        <v>50584</v>
      </c>
      <c r="H3015" s="48" t="s">
        <v>56716</v>
      </c>
      <c r="I3015" s="48" t="s">
        <v>50564</v>
      </c>
      <c r="J3015" s="48" t="s">
        <v>56716</v>
      </c>
      <c r="K3015" s="50" t="s">
        <v>56716</v>
      </c>
      <c r="L3015" s="48" t="s">
        <v>56716</v>
      </c>
    </row>
    <row r="3016" spans="1:12" s="37" customFormat="1" ht="11.25" x14ac:dyDescent="0.2">
      <c r="A3016" s="46" t="s">
        <v>7472</v>
      </c>
      <c r="B3016" s="46" t="s">
        <v>52688</v>
      </c>
      <c r="C3016" s="58" t="str">
        <f>"10522166"</f>
        <v>10522166</v>
      </c>
      <c r="D3016" s="58" t="str">
        <f>""</f>
        <v/>
      </c>
      <c r="E3016" s="46" t="s">
        <v>5766</v>
      </c>
      <c r="F3016" s="46" t="s">
        <v>17759</v>
      </c>
      <c r="G3016" s="46" t="s">
        <v>50584</v>
      </c>
      <c r="H3016" s="48" t="s">
        <v>56716</v>
      </c>
      <c r="I3016" s="48" t="s">
        <v>50564</v>
      </c>
      <c r="J3016" s="48"/>
      <c r="K3016" s="50"/>
      <c r="L3016" s="48" t="s">
        <v>56716</v>
      </c>
    </row>
    <row r="3017" spans="1:12" s="37" customFormat="1" ht="11.25" x14ac:dyDescent="0.2">
      <c r="A3017" s="46" t="s">
        <v>9200</v>
      </c>
      <c r="B3017" s="46" t="s">
        <v>52689</v>
      </c>
      <c r="C3017" s="58" t="str">
        <f>"1567133X"</f>
        <v>1567133X</v>
      </c>
      <c r="D3017" s="58" t="str">
        <f>"18727298"</f>
        <v>18727298</v>
      </c>
      <c r="E3017" s="46" t="s">
        <v>91</v>
      </c>
      <c r="F3017" s="46" t="s">
        <v>18001</v>
      </c>
      <c r="G3017" s="46" t="s">
        <v>50584</v>
      </c>
      <c r="H3017" s="48" t="s">
        <v>56716</v>
      </c>
      <c r="I3017" s="48" t="s">
        <v>50564</v>
      </c>
      <c r="J3017" s="48" t="s">
        <v>56716</v>
      </c>
      <c r="K3017" s="50" t="s">
        <v>56716</v>
      </c>
      <c r="L3017" s="48" t="s">
        <v>56716</v>
      </c>
    </row>
    <row r="3018" spans="1:12" s="37" customFormat="1" ht="11.25" x14ac:dyDescent="0.2">
      <c r="A3018" s="46" t="s">
        <v>12411</v>
      </c>
      <c r="B3018" s="46" t="s">
        <v>52690</v>
      </c>
      <c r="C3018" s="58" t="str">
        <f>""</f>
        <v/>
      </c>
      <c r="D3018" s="58" t="str">
        <f>"11776250"</f>
        <v>11776250</v>
      </c>
      <c r="E3018" s="46" t="s">
        <v>11251</v>
      </c>
      <c r="F3018" s="46" t="s">
        <v>19483</v>
      </c>
      <c r="G3018" s="46" t="s">
        <v>50584</v>
      </c>
      <c r="H3018" s="48" t="s">
        <v>56716</v>
      </c>
      <c r="I3018" s="48" t="s">
        <v>50564</v>
      </c>
      <c r="J3018" s="48"/>
      <c r="K3018" s="50"/>
      <c r="L3018" s="48"/>
    </row>
    <row r="3019" spans="1:12" s="37" customFormat="1" ht="11.25" x14ac:dyDescent="0.2">
      <c r="A3019" s="46" t="s">
        <v>6126</v>
      </c>
      <c r="B3019" s="46" t="s">
        <v>52691</v>
      </c>
      <c r="C3019" s="58" t="str">
        <f>"09697128"</f>
        <v>09697128</v>
      </c>
      <c r="D3019" s="58" t="str">
        <f>"14765462"</f>
        <v>14765462</v>
      </c>
      <c r="E3019" s="46" t="s">
        <v>315</v>
      </c>
      <c r="F3019" s="46" t="s">
        <v>50646</v>
      </c>
      <c r="G3019" s="46" t="s">
        <v>50584</v>
      </c>
      <c r="H3019" s="48" t="s">
        <v>56716</v>
      </c>
      <c r="I3019" s="48" t="s">
        <v>50564</v>
      </c>
      <c r="J3019" s="48" t="s">
        <v>56716</v>
      </c>
      <c r="K3019" s="50" t="s">
        <v>56716</v>
      </c>
      <c r="L3019" s="48" t="s">
        <v>56716</v>
      </c>
    </row>
    <row r="3020" spans="1:12" s="37" customFormat="1" ht="11.25" x14ac:dyDescent="0.2">
      <c r="A3020" s="46" t="s">
        <v>11686</v>
      </c>
      <c r="B3020" s="46" t="s">
        <v>52692</v>
      </c>
      <c r="C3020" s="58" t="str">
        <f>"15299120"</f>
        <v>15299120</v>
      </c>
      <c r="D3020" s="58" t="str">
        <f>""</f>
        <v/>
      </c>
      <c r="E3020" s="46" t="s">
        <v>11686</v>
      </c>
      <c r="F3020" s="46" t="s">
        <v>20969</v>
      </c>
      <c r="G3020" s="46" t="s">
        <v>50584</v>
      </c>
      <c r="H3020" s="48" t="s">
        <v>56716</v>
      </c>
      <c r="I3020" s="48" t="s">
        <v>50564</v>
      </c>
      <c r="J3020" s="48"/>
      <c r="K3020" s="50"/>
      <c r="L3020" s="48"/>
    </row>
    <row r="3021" spans="1:12" s="37" customFormat="1" ht="11.25" x14ac:dyDescent="0.2">
      <c r="A3021" s="46" t="s">
        <v>8946</v>
      </c>
      <c r="B3021" s="46" t="s">
        <v>52693</v>
      </c>
      <c r="C3021" s="58" t="str">
        <f>"13889532"</f>
        <v>13889532</v>
      </c>
      <c r="D3021" s="58" t="str">
        <f>"15685586"</f>
        <v>15685586</v>
      </c>
      <c r="E3021" s="46" t="s">
        <v>275</v>
      </c>
      <c r="F3021" s="46" t="s">
        <v>19491</v>
      </c>
      <c r="G3021" s="46" t="s">
        <v>50584</v>
      </c>
      <c r="H3021" s="48" t="s">
        <v>56716</v>
      </c>
      <c r="I3021" s="48" t="s">
        <v>50564</v>
      </c>
      <c r="J3021" s="48"/>
      <c r="K3021" s="50"/>
      <c r="L3021" s="48"/>
    </row>
    <row r="3022" spans="1:12" s="37" customFormat="1" ht="11.25" x14ac:dyDescent="0.2">
      <c r="A3022" s="46" t="s">
        <v>1722</v>
      </c>
      <c r="B3022" s="46" t="s">
        <v>1722</v>
      </c>
      <c r="C3022" s="58" t="str">
        <f>"03044629"</f>
        <v>03044629</v>
      </c>
      <c r="D3022" s="58" t="str">
        <f>""</f>
        <v/>
      </c>
      <c r="E3022" s="46" t="s">
        <v>1724</v>
      </c>
      <c r="F3022" s="46" t="s">
        <v>18001</v>
      </c>
      <c r="G3022" s="46" t="s">
        <v>50583</v>
      </c>
      <c r="H3022" s="48" t="s">
        <v>56716</v>
      </c>
      <c r="I3022" s="48" t="s">
        <v>50564</v>
      </c>
      <c r="J3022" s="48"/>
      <c r="K3022" s="50"/>
      <c r="L3022" s="48"/>
    </row>
    <row r="3023" spans="1:12" s="37" customFormat="1" ht="11.25" x14ac:dyDescent="0.2">
      <c r="A3023" s="46" t="s">
        <v>1678</v>
      </c>
      <c r="B3023" s="46" t="s">
        <v>52694</v>
      </c>
      <c r="C3023" s="58" t="str">
        <f>"00166480"</f>
        <v>00166480</v>
      </c>
      <c r="D3023" s="58" t="str">
        <f>"10956840"</f>
        <v>10956840</v>
      </c>
      <c r="E3023" s="46" t="s">
        <v>60</v>
      </c>
      <c r="F3023" s="46" t="s">
        <v>17759</v>
      </c>
      <c r="G3023" s="46" t="s">
        <v>50584</v>
      </c>
      <c r="H3023" s="48" t="s">
        <v>56716</v>
      </c>
      <c r="I3023" s="48" t="s">
        <v>50564</v>
      </c>
      <c r="J3023" s="48" t="s">
        <v>56716</v>
      </c>
      <c r="K3023" s="50" t="s">
        <v>56716</v>
      </c>
      <c r="L3023" s="48" t="s">
        <v>56716</v>
      </c>
    </row>
    <row r="3024" spans="1:12" s="37" customFormat="1" ht="11.25" x14ac:dyDescent="0.2">
      <c r="A3024" s="45" t="s">
        <v>29911</v>
      </c>
      <c r="B3024" s="45" t="s">
        <v>29913</v>
      </c>
      <c r="C3024" s="51" t="s">
        <v>29915</v>
      </c>
      <c r="D3024" s="51"/>
      <c r="E3024" s="45" t="s">
        <v>29916</v>
      </c>
      <c r="F3024" s="45" t="s">
        <v>17759</v>
      </c>
      <c r="G3024" s="45" t="s">
        <v>50584</v>
      </c>
      <c r="H3024" s="56"/>
      <c r="I3024" s="56" t="s">
        <v>50564</v>
      </c>
      <c r="J3024" s="56"/>
      <c r="K3024" s="50"/>
      <c r="L3024" s="56" t="s">
        <v>56716</v>
      </c>
    </row>
    <row r="3025" spans="1:12" s="37" customFormat="1" ht="11.25" x14ac:dyDescent="0.2">
      <c r="A3025" s="46" t="s">
        <v>1703</v>
      </c>
      <c r="B3025" s="46" t="s">
        <v>52695</v>
      </c>
      <c r="C3025" s="58" t="str">
        <f>"01638343"</f>
        <v>01638343</v>
      </c>
      <c r="D3025" s="58" t="str">
        <f>"18737714"</f>
        <v>18737714</v>
      </c>
      <c r="E3025" s="46" t="s">
        <v>272</v>
      </c>
      <c r="F3025" s="46" t="s">
        <v>17759</v>
      </c>
      <c r="G3025" s="46" t="s">
        <v>50584</v>
      </c>
      <c r="H3025" s="48" t="s">
        <v>56716</v>
      </c>
      <c r="I3025" s="48" t="s">
        <v>50564</v>
      </c>
      <c r="J3025" s="48"/>
      <c r="K3025" s="50" t="s">
        <v>56716</v>
      </c>
      <c r="L3025" s="48" t="s">
        <v>56716</v>
      </c>
    </row>
    <row r="3026" spans="1:12" s="37" customFormat="1" ht="11.25" x14ac:dyDescent="0.2">
      <c r="A3026" s="46" t="s">
        <v>8802</v>
      </c>
      <c r="B3026" s="46" t="s">
        <v>52696</v>
      </c>
      <c r="C3026" s="58" t="str">
        <f>"13111817"</f>
        <v>13111817</v>
      </c>
      <c r="D3026" s="58" t="str">
        <f>""</f>
        <v/>
      </c>
      <c r="E3026" s="46" t="s">
        <v>452</v>
      </c>
      <c r="F3026" s="46" t="s">
        <v>19251</v>
      </c>
      <c r="G3026" s="46" t="s">
        <v>50578</v>
      </c>
      <c r="H3026" s="48" t="s">
        <v>56716</v>
      </c>
      <c r="I3026" s="48" t="s">
        <v>50564</v>
      </c>
      <c r="J3026" s="48"/>
      <c r="K3026" s="50"/>
      <c r="L3026" s="48"/>
    </row>
    <row r="3027" spans="1:12" s="37" customFormat="1" ht="11.25" x14ac:dyDescent="0.2">
      <c r="A3027" s="46" t="s">
        <v>5192</v>
      </c>
      <c r="B3027" s="46" t="s">
        <v>52697</v>
      </c>
      <c r="C3027" s="58" t="str">
        <f>"02315882"</f>
        <v>02315882</v>
      </c>
      <c r="D3027" s="58" t="str">
        <f>"13384325"</f>
        <v>13384325</v>
      </c>
      <c r="E3027" s="46" t="s">
        <v>5195</v>
      </c>
      <c r="F3027" s="46" t="s">
        <v>18577</v>
      </c>
      <c r="G3027" s="46" t="s">
        <v>50584</v>
      </c>
      <c r="H3027" s="48" t="s">
        <v>56716</v>
      </c>
      <c r="I3027" s="48" t="s">
        <v>50564</v>
      </c>
      <c r="J3027" s="48"/>
      <c r="K3027" s="50"/>
      <c r="L3027" s="48" t="s">
        <v>56716</v>
      </c>
    </row>
    <row r="3028" spans="1:12" s="37" customFormat="1" ht="11.25" x14ac:dyDescent="0.2">
      <c r="A3028" s="46" t="s">
        <v>11765</v>
      </c>
      <c r="B3028" s="46" t="s">
        <v>52698</v>
      </c>
      <c r="C3028" s="58" t="str">
        <f>"18636705"</f>
        <v>18636705</v>
      </c>
      <c r="D3028" s="58" t="str">
        <f>"18636713"</f>
        <v>18636713</v>
      </c>
      <c r="E3028" s="46" t="s">
        <v>23335</v>
      </c>
      <c r="F3028" s="46" t="s">
        <v>18242</v>
      </c>
      <c r="G3028" s="46" t="s">
        <v>50605</v>
      </c>
      <c r="H3028" s="48" t="s">
        <v>56716</v>
      </c>
      <c r="I3028" s="48" t="s">
        <v>50564</v>
      </c>
      <c r="J3028" s="48"/>
      <c r="K3028" s="50" t="s">
        <v>56716</v>
      </c>
      <c r="L3028" s="48" t="s">
        <v>56716</v>
      </c>
    </row>
    <row r="3029" spans="1:12" s="37" customFormat="1" ht="11.25" x14ac:dyDescent="0.2">
      <c r="A3029" s="46" t="s">
        <v>15280</v>
      </c>
      <c r="B3029" s="46" t="s">
        <v>15280</v>
      </c>
      <c r="C3029" s="58" t="str">
        <f>""</f>
        <v/>
      </c>
      <c r="D3029" s="58" t="str">
        <f>"20734425"</f>
        <v>20734425</v>
      </c>
      <c r="E3029" s="46" t="s">
        <v>4152</v>
      </c>
      <c r="F3029" s="46" t="s">
        <v>18123</v>
      </c>
      <c r="G3029" s="46" t="s">
        <v>50584</v>
      </c>
      <c r="H3029" s="48" t="s">
        <v>56716</v>
      </c>
      <c r="I3029" s="48" t="s">
        <v>50564</v>
      </c>
      <c r="J3029" s="48"/>
      <c r="K3029" s="50"/>
      <c r="L3029" s="48"/>
    </row>
    <row r="3030" spans="1:12" s="37" customFormat="1" ht="11.25" x14ac:dyDescent="0.2">
      <c r="A3030" s="46" t="s">
        <v>15190</v>
      </c>
      <c r="B3030" s="46" t="s">
        <v>52699</v>
      </c>
      <c r="C3030" s="58" t="str">
        <f>"19476019"</f>
        <v>19476019</v>
      </c>
      <c r="D3030" s="58" t="str">
        <f>"19476027"</f>
        <v>19476027</v>
      </c>
      <c r="E3030" s="46" t="s">
        <v>493</v>
      </c>
      <c r="F3030" s="46" t="s">
        <v>17759</v>
      </c>
      <c r="G3030" s="46" t="s">
        <v>50584</v>
      </c>
      <c r="H3030" s="48" t="s">
        <v>56716</v>
      </c>
      <c r="I3030" s="48" t="s">
        <v>50564</v>
      </c>
      <c r="J3030" s="48" t="s">
        <v>56716</v>
      </c>
      <c r="K3030" s="50"/>
      <c r="L3030" s="48"/>
    </row>
    <row r="3031" spans="1:12" s="37" customFormat="1" ht="11.25" x14ac:dyDescent="0.2">
      <c r="A3031" s="46" t="s">
        <v>56481</v>
      </c>
      <c r="B3031" s="46" t="s">
        <v>29951</v>
      </c>
      <c r="C3031" s="58" t="str">
        <f>"23131829"</f>
        <v>23131829</v>
      </c>
      <c r="D3031" s="58" t="str">
        <f>""</f>
        <v/>
      </c>
      <c r="E3031" s="46" t="s">
        <v>56482</v>
      </c>
      <c r="F3031" s="46" t="s">
        <v>50653</v>
      </c>
      <c r="G3031" s="46" t="s">
        <v>50617</v>
      </c>
      <c r="H3031" s="48" t="s">
        <v>56716</v>
      </c>
      <c r="I3031" s="48" t="s">
        <v>50564</v>
      </c>
      <c r="J3031" s="48"/>
      <c r="K3031" s="50"/>
      <c r="L3031" s="48"/>
    </row>
    <row r="3032" spans="1:12" s="37" customFormat="1" ht="11.25" x14ac:dyDescent="0.2">
      <c r="A3032" s="46" t="s">
        <v>4276</v>
      </c>
      <c r="B3032" s="46" t="s">
        <v>52700</v>
      </c>
      <c r="C3032" s="58" t="str">
        <f>"08909369"</f>
        <v>08909369</v>
      </c>
      <c r="D3032" s="58" t="str">
        <f>"15495477"</f>
        <v>15495477</v>
      </c>
      <c r="E3032" s="46" t="s">
        <v>1307</v>
      </c>
      <c r="F3032" s="46" t="s">
        <v>17759</v>
      </c>
      <c r="G3032" s="46" t="s">
        <v>50584</v>
      </c>
      <c r="H3032" s="48" t="s">
        <v>56716</v>
      </c>
      <c r="I3032" s="48" t="s">
        <v>50564</v>
      </c>
      <c r="J3032" s="48" t="s">
        <v>56716</v>
      </c>
      <c r="K3032" s="50"/>
      <c r="L3032" s="48" t="s">
        <v>56716</v>
      </c>
    </row>
    <row r="3033" spans="1:12" s="37" customFormat="1" ht="11.25" x14ac:dyDescent="0.2">
      <c r="A3033" s="46" t="s">
        <v>55943</v>
      </c>
      <c r="B3033" s="46" t="s">
        <v>55944</v>
      </c>
      <c r="C3033" s="58" t="str">
        <f>""</f>
        <v/>
      </c>
      <c r="D3033" s="58" t="str">
        <f>"23523042"</f>
        <v>23523042</v>
      </c>
      <c r="E3033" s="46" t="s">
        <v>55945</v>
      </c>
      <c r="F3033" s="46" t="s">
        <v>17958</v>
      </c>
      <c r="G3033" s="46" t="s">
        <v>50584</v>
      </c>
      <c r="H3033" s="48" t="s">
        <v>56716</v>
      </c>
      <c r="I3033" s="48" t="s">
        <v>50564</v>
      </c>
      <c r="J3033" s="48"/>
      <c r="K3033" s="50" t="s">
        <v>56716</v>
      </c>
      <c r="L3033" s="48"/>
    </row>
    <row r="3034" spans="1:12" s="37" customFormat="1" ht="11.25" x14ac:dyDescent="0.2">
      <c r="A3034" s="46" t="s">
        <v>15494</v>
      </c>
      <c r="B3034" s="46" t="s">
        <v>52701</v>
      </c>
      <c r="C3034" s="58" t="str">
        <f>"18807046"</f>
        <v>18807046</v>
      </c>
      <c r="D3034" s="58" t="str">
        <f>"18807062"</f>
        <v>18807062</v>
      </c>
      <c r="E3034" s="46" t="s">
        <v>15497</v>
      </c>
      <c r="F3034" s="46" t="s">
        <v>18242</v>
      </c>
      <c r="G3034" s="46" t="s">
        <v>50584</v>
      </c>
      <c r="H3034" s="48" t="s">
        <v>56716</v>
      </c>
      <c r="I3034" s="48" t="s">
        <v>50564</v>
      </c>
      <c r="J3034" s="48"/>
      <c r="K3034" s="50"/>
      <c r="L3034" s="48"/>
    </row>
    <row r="3035" spans="1:12" s="37" customFormat="1" ht="11.25" x14ac:dyDescent="0.2">
      <c r="A3035" s="46" t="s">
        <v>7176</v>
      </c>
      <c r="B3035" s="46" t="s">
        <v>52702</v>
      </c>
      <c r="C3035" s="58" t="str">
        <f>"13417568"</f>
        <v>13417568</v>
      </c>
      <c r="D3035" s="58" t="str">
        <f>"18805779"</f>
        <v>18805779</v>
      </c>
      <c r="E3035" s="46" t="s">
        <v>7179</v>
      </c>
      <c r="F3035" s="46" t="s">
        <v>18242</v>
      </c>
      <c r="G3035" s="46" t="s">
        <v>50584</v>
      </c>
      <c r="H3035" s="48" t="s">
        <v>56716</v>
      </c>
      <c r="I3035" s="48" t="s">
        <v>50564</v>
      </c>
      <c r="J3035" s="48"/>
      <c r="K3035" s="50"/>
      <c r="L3035" s="48" t="s">
        <v>56716</v>
      </c>
    </row>
    <row r="3036" spans="1:12" s="37" customFormat="1" ht="11.25" x14ac:dyDescent="0.2">
      <c r="A3036" s="46" t="s">
        <v>12833</v>
      </c>
      <c r="B3036" s="46" t="s">
        <v>52703</v>
      </c>
      <c r="C3036" s="58" t="str">
        <f>"19769571"</f>
        <v>19769571</v>
      </c>
      <c r="D3036" s="58" t="str">
        <f>"20929293"</f>
        <v>20929293</v>
      </c>
      <c r="E3036" s="46" t="s">
        <v>50675</v>
      </c>
      <c r="F3036" s="46" t="s">
        <v>50649</v>
      </c>
      <c r="G3036" s="46" t="s">
        <v>50584</v>
      </c>
      <c r="H3036" s="48" t="s">
        <v>56716</v>
      </c>
      <c r="I3036" s="48" t="s">
        <v>50564</v>
      </c>
      <c r="J3036" s="48"/>
      <c r="K3036" s="50" t="s">
        <v>56716</v>
      </c>
      <c r="L3036" s="48"/>
    </row>
    <row r="3037" spans="1:12" s="37" customFormat="1" ht="11.25" x14ac:dyDescent="0.2">
      <c r="A3037" s="46" t="s">
        <v>8433</v>
      </c>
      <c r="B3037" s="46" t="s">
        <v>52704</v>
      </c>
      <c r="C3037" s="58" t="str">
        <f>"14664879"</f>
        <v>14664879</v>
      </c>
      <c r="D3037" s="58" t="str">
        <f>"14765470"</f>
        <v>14765470</v>
      </c>
      <c r="E3037" s="46" t="s">
        <v>315</v>
      </c>
      <c r="F3037" s="46" t="s">
        <v>50646</v>
      </c>
      <c r="G3037" s="46" t="s">
        <v>50584</v>
      </c>
      <c r="H3037" s="48" t="s">
        <v>56716</v>
      </c>
      <c r="I3037" s="48" t="s">
        <v>50564</v>
      </c>
      <c r="J3037" s="48" t="s">
        <v>56716</v>
      </c>
      <c r="K3037" s="50" t="s">
        <v>56716</v>
      </c>
      <c r="L3037" s="48" t="s">
        <v>56716</v>
      </c>
    </row>
    <row r="3038" spans="1:12" s="37" customFormat="1" ht="11.25" x14ac:dyDescent="0.2">
      <c r="A3038" s="46" t="s">
        <v>11856</v>
      </c>
      <c r="B3038" s="46" t="s">
        <v>52705</v>
      </c>
      <c r="C3038" s="58" t="str">
        <f>"15558932"</f>
        <v>15558932</v>
      </c>
      <c r="D3038" s="58" t="str">
        <f>"18653499"</f>
        <v>18653499</v>
      </c>
      <c r="E3038" s="46" t="s">
        <v>167</v>
      </c>
      <c r="F3038" s="46" t="s">
        <v>18158</v>
      </c>
      <c r="G3038" s="46" t="s">
        <v>50584</v>
      </c>
      <c r="H3038" s="48" t="s">
        <v>56716</v>
      </c>
      <c r="I3038" s="48" t="s">
        <v>50564</v>
      </c>
      <c r="J3038" s="48"/>
      <c r="K3038" s="50"/>
      <c r="L3038" s="48"/>
    </row>
    <row r="3039" spans="1:12" s="37" customFormat="1" ht="11.25" x14ac:dyDescent="0.2">
      <c r="A3039" s="46" t="s">
        <v>5099</v>
      </c>
      <c r="B3039" s="46" t="s">
        <v>29960</v>
      </c>
      <c r="C3039" s="58" t="str">
        <f>"10452257"</f>
        <v>10452257</v>
      </c>
      <c r="D3039" s="58" t="str">
        <f>"10982264"</f>
        <v>10982264</v>
      </c>
      <c r="E3039" s="46" t="s">
        <v>548</v>
      </c>
      <c r="F3039" s="46" t="s">
        <v>17759</v>
      </c>
      <c r="G3039" s="46" t="s">
        <v>50584</v>
      </c>
      <c r="H3039" s="48" t="s">
        <v>56716</v>
      </c>
      <c r="I3039" s="48" t="s">
        <v>50564</v>
      </c>
      <c r="J3039" s="48" t="s">
        <v>56716</v>
      </c>
      <c r="K3039" s="50" t="s">
        <v>56716</v>
      </c>
      <c r="L3039" s="48" t="s">
        <v>56716</v>
      </c>
    </row>
    <row r="3040" spans="1:12" s="37" customFormat="1" ht="11.25" x14ac:dyDescent="0.2">
      <c r="A3040" s="46" t="s">
        <v>7380</v>
      </c>
      <c r="B3040" s="46" t="s">
        <v>29951</v>
      </c>
      <c r="C3040" s="58" t="str">
        <f>"13569597"</f>
        <v>13569597</v>
      </c>
      <c r="D3040" s="58" t="str">
        <f>"13652443"</f>
        <v>13652443</v>
      </c>
      <c r="E3040" s="46" t="s">
        <v>35</v>
      </c>
      <c r="F3040" s="46" t="s">
        <v>50646</v>
      </c>
      <c r="G3040" s="46" t="s">
        <v>50584</v>
      </c>
      <c r="H3040" s="48" t="s">
        <v>56716</v>
      </c>
      <c r="I3040" s="48" t="s">
        <v>50564</v>
      </c>
      <c r="J3040" s="48" t="s">
        <v>56716</v>
      </c>
      <c r="K3040" s="50" t="s">
        <v>56716</v>
      </c>
      <c r="L3040" s="48" t="s">
        <v>56716</v>
      </c>
    </row>
    <row r="3041" spans="1:12" s="37" customFormat="1" ht="11.25" x14ac:dyDescent="0.2">
      <c r="A3041" s="46" t="s">
        <v>9309</v>
      </c>
      <c r="B3041" s="46" t="s">
        <v>52706</v>
      </c>
      <c r="C3041" s="58" t="str">
        <f>"16011848"</f>
        <v>16011848</v>
      </c>
      <c r="D3041" s="58" t="str">
        <f>"1601183X"</f>
        <v>1601183X</v>
      </c>
      <c r="E3041" s="46" t="s">
        <v>35</v>
      </c>
      <c r="F3041" s="46" t="s">
        <v>50646</v>
      </c>
      <c r="G3041" s="46" t="s">
        <v>50584</v>
      </c>
      <c r="H3041" s="48" t="s">
        <v>56716</v>
      </c>
      <c r="I3041" s="48" t="s">
        <v>50564</v>
      </c>
      <c r="J3041" s="48" t="s">
        <v>56716</v>
      </c>
      <c r="K3041" s="50" t="s">
        <v>56716</v>
      </c>
      <c r="L3041" s="48" t="s">
        <v>56716</v>
      </c>
    </row>
    <row r="3042" spans="1:12" s="37" customFormat="1" ht="11.25" x14ac:dyDescent="0.2">
      <c r="A3042" s="46" t="s">
        <v>8379</v>
      </c>
      <c r="B3042" s="46" t="s">
        <v>8379</v>
      </c>
      <c r="C3042" s="58" t="str">
        <f>"1526954X"</f>
        <v>1526954X</v>
      </c>
      <c r="D3042" s="58" t="str">
        <f>"1526968X"</f>
        <v>1526968X</v>
      </c>
      <c r="E3042" s="46" t="s">
        <v>517</v>
      </c>
      <c r="F3042" s="46" t="s">
        <v>17759</v>
      </c>
      <c r="G3042" s="46" t="s">
        <v>50584</v>
      </c>
      <c r="H3042" s="48" t="s">
        <v>56716</v>
      </c>
      <c r="I3042" s="48" t="s">
        <v>50564</v>
      </c>
      <c r="J3042" s="48" t="s">
        <v>56716</v>
      </c>
      <c r="K3042" s="50" t="s">
        <v>56716</v>
      </c>
      <c r="L3042" s="48" t="s">
        <v>56716</v>
      </c>
    </row>
    <row r="3043" spans="1:12" s="37" customFormat="1" ht="11.25" x14ac:dyDescent="0.2">
      <c r="A3043" s="46" t="s">
        <v>5158</v>
      </c>
      <c r="B3043" s="46" t="s">
        <v>52707</v>
      </c>
      <c r="C3043" s="58" t="str">
        <f>"10158146"</f>
        <v>10158146</v>
      </c>
      <c r="D3043" s="58" t="str">
        <f>""</f>
        <v/>
      </c>
      <c r="E3043" s="46" t="s">
        <v>5160</v>
      </c>
      <c r="F3043" s="46" t="s">
        <v>18123</v>
      </c>
      <c r="G3043" s="46" t="s">
        <v>50584</v>
      </c>
      <c r="H3043" s="48" t="s">
        <v>56716</v>
      </c>
      <c r="I3043" s="48" t="s">
        <v>50564</v>
      </c>
      <c r="J3043" s="48"/>
      <c r="K3043" s="50"/>
      <c r="L3043" s="48" t="s">
        <v>56716</v>
      </c>
    </row>
    <row r="3044" spans="1:12" s="37" customFormat="1" ht="11.25" x14ac:dyDescent="0.2">
      <c r="A3044" s="45" t="s">
        <v>29975</v>
      </c>
      <c r="B3044" s="45" t="s">
        <v>29977</v>
      </c>
      <c r="C3044" s="51" t="s">
        <v>29978</v>
      </c>
      <c r="D3044" s="51"/>
      <c r="E3044" s="45" t="s">
        <v>29979</v>
      </c>
      <c r="F3044" s="45" t="s">
        <v>17759</v>
      </c>
      <c r="G3044" s="45" t="s">
        <v>50584</v>
      </c>
      <c r="H3044" s="56"/>
      <c r="I3044" s="56" t="s">
        <v>50564</v>
      </c>
      <c r="J3044" s="56"/>
      <c r="K3044" s="50"/>
      <c r="L3044" s="56" t="s">
        <v>56716</v>
      </c>
    </row>
    <row r="3045" spans="1:12" s="37" customFormat="1" ht="11.25" x14ac:dyDescent="0.2">
      <c r="A3045" s="46" t="s">
        <v>14856</v>
      </c>
      <c r="B3045" s="46" t="s">
        <v>52708</v>
      </c>
      <c r="C3045" s="58" t="str">
        <f>""</f>
        <v/>
      </c>
      <c r="D3045" s="58" t="str">
        <f>"21503516"</f>
        <v>21503516</v>
      </c>
      <c r="E3045" s="46" t="s">
        <v>14858</v>
      </c>
      <c r="F3045" s="46" t="s">
        <v>17759</v>
      </c>
      <c r="G3045" s="46" t="s">
        <v>50584</v>
      </c>
      <c r="H3045" s="48" t="s">
        <v>56716</v>
      </c>
      <c r="I3045" s="48" t="s">
        <v>50564</v>
      </c>
      <c r="J3045" s="48"/>
      <c r="K3045" s="50"/>
      <c r="L3045" s="48"/>
    </row>
    <row r="3046" spans="1:12" s="37" customFormat="1" ht="11.25" x14ac:dyDescent="0.2">
      <c r="A3046" s="46" t="s">
        <v>1694</v>
      </c>
      <c r="B3046" s="46" t="s">
        <v>52709</v>
      </c>
      <c r="C3046" s="58" t="str">
        <f>"07410395"</f>
        <v>07410395</v>
      </c>
      <c r="D3046" s="58" t="str">
        <f>"10982272"</f>
        <v>10982272</v>
      </c>
      <c r="E3046" s="46" t="s">
        <v>320</v>
      </c>
      <c r="F3046" s="46" t="s">
        <v>17759</v>
      </c>
      <c r="G3046" s="46" t="s">
        <v>50584</v>
      </c>
      <c r="H3046" s="48" t="s">
        <v>56716</v>
      </c>
      <c r="I3046" s="48" t="s">
        <v>50564</v>
      </c>
      <c r="J3046" s="48"/>
      <c r="K3046" s="50" t="s">
        <v>56716</v>
      </c>
      <c r="L3046" s="48" t="s">
        <v>56716</v>
      </c>
    </row>
    <row r="3047" spans="1:12" s="37" customFormat="1" ht="11.25" x14ac:dyDescent="0.2">
      <c r="A3047" s="46" t="s">
        <v>13642</v>
      </c>
      <c r="B3047" s="46" t="s">
        <v>52710</v>
      </c>
      <c r="C3047" s="58" t="str">
        <f>"19450265"</f>
        <v>19450265</v>
      </c>
      <c r="D3047" s="58" t="str">
        <f>"19450257"</f>
        <v>19450257</v>
      </c>
      <c r="E3047" s="46" t="s">
        <v>4337</v>
      </c>
      <c r="F3047" s="46" t="s">
        <v>17759</v>
      </c>
      <c r="G3047" s="46" t="s">
        <v>50584</v>
      </c>
      <c r="H3047" s="48" t="s">
        <v>56716</v>
      </c>
      <c r="I3047" s="48" t="s">
        <v>50564</v>
      </c>
      <c r="J3047" s="48"/>
      <c r="K3047" s="50"/>
      <c r="L3047" s="48" t="s">
        <v>56716</v>
      </c>
    </row>
    <row r="3048" spans="1:12" s="37" customFormat="1" ht="11.25" x14ac:dyDescent="0.2">
      <c r="A3048" s="46" t="s">
        <v>10256</v>
      </c>
      <c r="B3048" s="46" t="s">
        <v>52711</v>
      </c>
      <c r="C3048" s="58" t="str">
        <f>""</f>
        <v/>
      </c>
      <c r="D3048" s="58" t="str">
        <f>"14790556"</f>
        <v>14790556</v>
      </c>
      <c r="E3048" s="46" t="s">
        <v>2299</v>
      </c>
      <c r="F3048" s="46" t="s">
        <v>50646</v>
      </c>
      <c r="G3048" s="46" t="s">
        <v>50584</v>
      </c>
      <c r="H3048" s="48" t="s">
        <v>56716</v>
      </c>
      <c r="I3048" s="48" t="s">
        <v>50564</v>
      </c>
      <c r="J3048" s="48"/>
      <c r="K3048" s="50"/>
      <c r="L3048" s="48"/>
    </row>
    <row r="3049" spans="1:12" s="37" customFormat="1" ht="11.25" x14ac:dyDescent="0.2">
      <c r="A3049" s="45" t="s">
        <v>29993</v>
      </c>
      <c r="B3049" s="45" t="s">
        <v>29993</v>
      </c>
      <c r="C3049" s="51" t="s">
        <v>29996</v>
      </c>
      <c r="D3049" s="51" t="s">
        <v>29995</v>
      </c>
      <c r="E3049" s="45" t="s">
        <v>21011</v>
      </c>
      <c r="F3049" s="45" t="s">
        <v>18001</v>
      </c>
      <c r="G3049" s="45" t="s">
        <v>50584</v>
      </c>
      <c r="H3049" s="56"/>
      <c r="I3049" s="56" t="s">
        <v>50564</v>
      </c>
      <c r="J3049" s="56"/>
      <c r="K3049" s="50"/>
      <c r="L3049" s="56" t="s">
        <v>56716</v>
      </c>
    </row>
    <row r="3050" spans="1:12" s="37" customFormat="1" ht="11.25" x14ac:dyDescent="0.2">
      <c r="A3050" s="46" t="s">
        <v>1690</v>
      </c>
      <c r="B3050" s="46" t="s">
        <v>1690</v>
      </c>
      <c r="C3050" s="58" t="str">
        <f>"00166731"</f>
        <v>00166731</v>
      </c>
      <c r="D3050" s="58" t="str">
        <f>"19432631"</f>
        <v>19432631</v>
      </c>
      <c r="E3050" s="46" t="s">
        <v>1690</v>
      </c>
      <c r="F3050" s="46" t="s">
        <v>17759</v>
      </c>
      <c r="G3050" s="46" t="s">
        <v>50584</v>
      </c>
      <c r="H3050" s="48" t="s">
        <v>56716</v>
      </c>
      <c r="I3050" s="48" t="s">
        <v>50564</v>
      </c>
      <c r="J3050" s="48" t="s">
        <v>56716</v>
      </c>
      <c r="K3050" s="50"/>
      <c r="L3050" s="48" t="s">
        <v>56716</v>
      </c>
    </row>
    <row r="3051" spans="1:12" s="37" customFormat="1" ht="11.25" x14ac:dyDescent="0.2">
      <c r="A3051" s="46" t="s">
        <v>7771</v>
      </c>
      <c r="B3051" s="46" t="s">
        <v>52712</v>
      </c>
      <c r="C3051" s="58" t="str">
        <f>"14154757"</f>
        <v>14154757</v>
      </c>
      <c r="D3051" s="58" t="str">
        <f>"16784685"</f>
        <v>16784685</v>
      </c>
      <c r="E3051" s="46" t="s">
        <v>7774</v>
      </c>
      <c r="F3051" s="46" t="s">
        <v>18058</v>
      </c>
      <c r="G3051" s="46" t="s">
        <v>50584</v>
      </c>
      <c r="H3051" s="48" t="s">
        <v>56716</v>
      </c>
      <c r="I3051" s="48" t="s">
        <v>50564</v>
      </c>
      <c r="J3051" s="48"/>
      <c r="K3051" s="50"/>
      <c r="L3051" s="48"/>
    </row>
    <row r="3052" spans="1:12" s="37" customFormat="1" ht="11.25" x14ac:dyDescent="0.2">
      <c r="A3052" s="46" t="s">
        <v>10154</v>
      </c>
      <c r="B3052" s="46" t="s">
        <v>52713</v>
      </c>
      <c r="C3052" s="58" t="str">
        <f>""</f>
        <v/>
      </c>
      <c r="D3052" s="58" t="str">
        <f>"16765680"</f>
        <v>16765680</v>
      </c>
      <c r="E3052" s="46" t="s">
        <v>10156</v>
      </c>
      <c r="F3052" s="46" t="s">
        <v>18058</v>
      </c>
      <c r="G3052" s="46" t="s">
        <v>50584</v>
      </c>
      <c r="H3052" s="48" t="s">
        <v>56716</v>
      </c>
      <c r="I3052" s="48" t="s">
        <v>50564</v>
      </c>
      <c r="J3052" s="48"/>
      <c r="K3052" s="50"/>
      <c r="L3052" s="48" t="s">
        <v>56716</v>
      </c>
    </row>
    <row r="3053" spans="1:12" s="37" customFormat="1" ht="11.25" x14ac:dyDescent="0.2">
      <c r="A3053" s="46" t="s">
        <v>8057</v>
      </c>
      <c r="B3053" s="46" t="s">
        <v>52696</v>
      </c>
      <c r="C3053" s="58" t="str">
        <f>"10983600"</f>
        <v>10983600</v>
      </c>
      <c r="D3053" s="58" t="str">
        <f>"15300366"</f>
        <v>15300366</v>
      </c>
      <c r="E3053" s="46" t="s">
        <v>315</v>
      </c>
      <c r="F3053" s="46" t="s">
        <v>50646</v>
      </c>
      <c r="G3053" s="46" t="s">
        <v>50584</v>
      </c>
      <c r="H3053" s="48" t="s">
        <v>56716</v>
      </c>
      <c r="I3053" s="48" t="s">
        <v>50564</v>
      </c>
      <c r="J3053" s="48"/>
      <c r="K3053" s="50"/>
      <c r="L3053" s="48" t="s">
        <v>56716</v>
      </c>
    </row>
    <row r="3054" spans="1:12" s="37" customFormat="1" ht="11.25" x14ac:dyDescent="0.2">
      <c r="A3054" s="46" t="s">
        <v>56142</v>
      </c>
      <c r="B3054" s="46" t="s">
        <v>56143</v>
      </c>
      <c r="C3054" s="58" t="str">
        <f>"17286182"</f>
        <v>17286182</v>
      </c>
      <c r="D3054" s="58" t="str">
        <f>"2383014X"</f>
        <v>2383014X</v>
      </c>
      <c r="E3054" s="46" t="s">
        <v>56144</v>
      </c>
      <c r="F3054" s="46" t="s">
        <v>18232</v>
      </c>
      <c r="G3054" s="46" t="s">
        <v>50584</v>
      </c>
      <c r="H3054" s="48" t="s">
        <v>56716</v>
      </c>
      <c r="I3054" s="48" t="s">
        <v>50564</v>
      </c>
      <c r="J3054" s="48"/>
      <c r="K3054" s="50"/>
      <c r="L3054" s="48"/>
    </row>
    <row r="3055" spans="1:12" s="37" customFormat="1" ht="11.25" x14ac:dyDescent="0.2">
      <c r="A3055" s="46" t="s">
        <v>12517</v>
      </c>
      <c r="B3055" s="46" t="s">
        <v>52714</v>
      </c>
      <c r="C3055" s="58" t="str">
        <f>"00166723"</f>
        <v>00166723</v>
      </c>
      <c r="D3055" s="58" t="str">
        <f>"14695073"</f>
        <v>14695073</v>
      </c>
      <c r="E3055" s="46" t="s">
        <v>724</v>
      </c>
      <c r="F3055" s="46" t="s">
        <v>50646</v>
      </c>
      <c r="G3055" s="46" t="s">
        <v>50584</v>
      </c>
      <c r="H3055" s="48" t="s">
        <v>56716</v>
      </c>
      <c r="I3055" s="48" t="s">
        <v>50564</v>
      </c>
      <c r="J3055" s="48"/>
      <c r="K3055" s="50"/>
      <c r="L3055" s="48" t="s">
        <v>56716</v>
      </c>
    </row>
    <row r="3056" spans="1:12" s="37" customFormat="1" ht="11.25" x14ac:dyDescent="0.2">
      <c r="A3056" s="46" t="s">
        <v>16044</v>
      </c>
      <c r="B3056" s="46" t="s">
        <v>52715</v>
      </c>
      <c r="C3056" s="58" t="str">
        <f>"20903154"</f>
        <v>20903154</v>
      </c>
      <c r="D3056" s="58" t="str">
        <f>"20903162"</f>
        <v>20903162</v>
      </c>
      <c r="E3056" s="46" t="s">
        <v>1412</v>
      </c>
      <c r="F3056" s="46" t="s">
        <v>17759</v>
      </c>
      <c r="G3056" s="46" t="s">
        <v>50584</v>
      </c>
      <c r="H3056" s="48" t="s">
        <v>56716</v>
      </c>
      <c r="I3056" s="48" t="s">
        <v>50564</v>
      </c>
      <c r="J3056" s="48" t="s">
        <v>56716</v>
      </c>
      <c r="K3056" s="50"/>
      <c r="L3056" s="48"/>
    </row>
    <row r="3057" spans="1:12" s="37" customFormat="1" ht="11.25" x14ac:dyDescent="0.2">
      <c r="A3057" s="45" t="s">
        <v>30017</v>
      </c>
      <c r="B3057" s="45" t="s">
        <v>30019</v>
      </c>
      <c r="C3057" s="51" t="s">
        <v>30022</v>
      </c>
      <c r="D3057" s="51" t="s">
        <v>30021</v>
      </c>
      <c r="E3057" s="45" t="s">
        <v>18570</v>
      </c>
      <c r="F3057" s="45" t="s">
        <v>20359</v>
      </c>
      <c r="G3057" s="45" t="s">
        <v>50590</v>
      </c>
      <c r="H3057" s="56"/>
      <c r="I3057" s="56" t="s">
        <v>50564</v>
      </c>
      <c r="J3057" s="56"/>
      <c r="K3057" s="50"/>
      <c r="L3057" s="56" t="s">
        <v>56716</v>
      </c>
    </row>
    <row r="3058" spans="1:12" s="37" customFormat="1" ht="11.25" x14ac:dyDescent="0.2">
      <c r="A3058" s="45" t="s">
        <v>30026</v>
      </c>
      <c r="B3058" s="45" t="s">
        <v>30026</v>
      </c>
      <c r="C3058" s="51" t="s">
        <v>30028</v>
      </c>
      <c r="D3058" s="51"/>
      <c r="E3058" s="45" t="s">
        <v>22405</v>
      </c>
      <c r="F3058" s="45" t="s">
        <v>50653</v>
      </c>
      <c r="G3058" s="45" t="s">
        <v>56509</v>
      </c>
      <c r="H3058" s="56"/>
      <c r="I3058" s="56" t="s">
        <v>50564</v>
      </c>
      <c r="J3058" s="56"/>
      <c r="K3058" s="50"/>
      <c r="L3058" s="56" t="s">
        <v>56716</v>
      </c>
    </row>
    <row r="3059" spans="1:12" s="37" customFormat="1" ht="11.25" x14ac:dyDescent="0.2">
      <c r="A3059" s="45" t="s">
        <v>30030</v>
      </c>
      <c r="B3059" s="45" t="s">
        <v>30032</v>
      </c>
      <c r="C3059" s="51" t="s">
        <v>30035</v>
      </c>
      <c r="D3059" s="51" t="s">
        <v>30034</v>
      </c>
      <c r="E3059" s="45" t="s">
        <v>21138</v>
      </c>
      <c r="F3059" s="45" t="s">
        <v>18959</v>
      </c>
      <c r="G3059" s="45" t="s">
        <v>50584</v>
      </c>
      <c r="H3059" s="56"/>
      <c r="I3059" s="56" t="s">
        <v>50564</v>
      </c>
      <c r="J3059" s="56"/>
      <c r="K3059" s="50"/>
      <c r="L3059" s="56" t="s">
        <v>56716</v>
      </c>
    </row>
    <row r="3060" spans="1:12" s="37" customFormat="1" ht="11.25" x14ac:dyDescent="0.2">
      <c r="A3060" s="46" t="s">
        <v>8756</v>
      </c>
      <c r="B3060" s="46" t="s">
        <v>52716</v>
      </c>
      <c r="C3060" s="58" t="str">
        <f>"14747596"</f>
        <v>14747596</v>
      </c>
      <c r="D3060" s="58" t="str">
        <f>"1474760X"</f>
        <v>1474760X</v>
      </c>
      <c r="E3060" s="46" t="s">
        <v>2299</v>
      </c>
      <c r="F3060" s="46" t="s">
        <v>50646</v>
      </c>
      <c r="G3060" s="46" t="s">
        <v>50584</v>
      </c>
      <c r="H3060" s="48" t="s">
        <v>56716</v>
      </c>
      <c r="I3060" s="48" t="s">
        <v>50564</v>
      </c>
      <c r="J3060" s="48"/>
      <c r="K3060" s="50"/>
      <c r="L3060" s="48" t="s">
        <v>56716</v>
      </c>
    </row>
    <row r="3061" spans="1:12" s="37" customFormat="1" ht="11.25" x14ac:dyDescent="0.2">
      <c r="A3061" s="45" t="s">
        <v>30043</v>
      </c>
      <c r="B3061" s="45" t="s">
        <v>30045</v>
      </c>
      <c r="C3061" s="51"/>
      <c r="D3061" s="51" t="s">
        <v>30046</v>
      </c>
      <c r="E3061" s="45" t="s">
        <v>55</v>
      </c>
      <c r="F3061" s="45" t="s">
        <v>50646</v>
      </c>
      <c r="G3061" s="45" t="s">
        <v>50584</v>
      </c>
      <c r="H3061" s="56"/>
      <c r="I3061" s="56" t="s">
        <v>50564</v>
      </c>
      <c r="J3061" s="56"/>
      <c r="K3061" s="50"/>
      <c r="L3061" s="56" t="s">
        <v>56716</v>
      </c>
    </row>
    <row r="3062" spans="1:12" s="37" customFormat="1" ht="11.25" x14ac:dyDescent="0.2">
      <c r="A3062" s="46" t="s">
        <v>11859</v>
      </c>
      <c r="B3062" s="46" t="s">
        <v>52717</v>
      </c>
      <c r="C3062" s="58" t="str">
        <f>"16609263"</f>
        <v>16609263</v>
      </c>
      <c r="D3062" s="58" t="str">
        <f>"16623797"</f>
        <v>16623797</v>
      </c>
      <c r="E3062" s="46" t="s">
        <v>109</v>
      </c>
      <c r="F3062" s="46" t="s">
        <v>18123</v>
      </c>
      <c r="G3062" s="46" t="s">
        <v>50584</v>
      </c>
      <c r="H3062" s="48" t="s">
        <v>56716</v>
      </c>
      <c r="I3062" s="48" t="s">
        <v>50565</v>
      </c>
      <c r="J3062" s="48" t="s">
        <v>56716</v>
      </c>
      <c r="K3062" s="50"/>
      <c r="L3062" s="48" t="s">
        <v>56716</v>
      </c>
    </row>
    <row r="3063" spans="1:12" s="37" customFormat="1" ht="11.25" x14ac:dyDescent="0.2">
      <c r="A3063" s="46" t="s">
        <v>15155</v>
      </c>
      <c r="B3063" s="46" t="s">
        <v>15155</v>
      </c>
      <c r="C3063" s="58" t="str">
        <f>""</f>
        <v/>
      </c>
      <c r="D3063" s="58" t="str">
        <f>"20419414"</f>
        <v>20419414</v>
      </c>
      <c r="E3063" s="46" t="s">
        <v>2299</v>
      </c>
      <c r="F3063" s="46" t="s">
        <v>50646</v>
      </c>
      <c r="G3063" s="46" t="s">
        <v>50584</v>
      </c>
      <c r="H3063" s="48" t="s">
        <v>56716</v>
      </c>
      <c r="I3063" s="48" t="s">
        <v>50564</v>
      </c>
      <c r="J3063" s="48" t="s">
        <v>56716</v>
      </c>
      <c r="K3063" s="50"/>
      <c r="L3063" s="48"/>
    </row>
    <row r="3064" spans="1:12" s="37" customFormat="1" ht="11.25" x14ac:dyDescent="0.2">
      <c r="A3064" s="46" t="s">
        <v>13059</v>
      </c>
      <c r="B3064" s="46" t="s">
        <v>52718</v>
      </c>
      <c r="C3064" s="58" t="str">
        <f>""</f>
        <v/>
      </c>
      <c r="D3064" s="58" t="str">
        <f>""</f>
        <v/>
      </c>
      <c r="E3064" s="46" t="s">
        <v>167</v>
      </c>
      <c r="F3064" s="46" t="s">
        <v>18158</v>
      </c>
      <c r="G3064" s="46" t="s">
        <v>50584</v>
      </c>
      <c r="H3064" s="48" t="s">
        <v>56716</v>
      </c>
      <c r="I3064" s="48" t="s">
        <v>50565</v>
      </c>
      <c r="J3064" s="48" t="s">
        <v>56716</v>
      </c>
      <c r="K3064" s="50"/>
      <c r="L3064" s="48"/>
    </row>
    <row r="3065" spans="1:12" s="37" customFormat="1" ht="11.25" x14ac:dyDescent="0.2">
      <c r="A3065" s="46" t="s">
        <v>13660</v>
      </c>
      <c r="B3065" s="46" t="s">
        <v>52719</v>
      </c>
      <c r="C3065" s="58" t="str">
        <f>""</f>
        <v/>
      </c>
      <c r="D3065" s="58" t="str">
        <f>"1756994X"</f>
        <v>1756994X</v>
      </c>
      <c r="E3065" s="46" t="s">
        <v>2299</v>
      </c>
      <c r="F3065" s="46" t="s">
        <v>50646</v>
      </c>
      <c r="G3065" s="46" t="s">
        <v>50584</v>
      </c>
      <c r="H3065" s="48" t="s">
        <v>56716</v>
      </c>
      <c r="I3065" s="48" t="s">
        <v>50564</v>
      </c>
      <c r="J3065" s="48" t="s">
        <v>56716</v>
      </c>
      <c r="K3065" s="50" t="s">
        <v>56716</v>
      </c>
      <c r="L3065" s="48"/>
    </row>
    <row r="3066" spans="1:12" s="37" customFormat="1" ht="11.25" x14ac:dyDescent="0.2">
      <c r="A3066" s="46" t="s">
        <v>6869</v>
      </c>
      <c r="B3066" s="46" t="s">
        <v>52720</v>
      </c>
      <c r="C3066" s="58" t="str">
        <f>"10889051"</f>
        <v>10889051</v>
      </c>
      <c r="D3066" s="58" t="str">
        <f>"15495469"</f>
        <v>15495469</v>
      </c>
      <c r="E3066" s="46" t="s">
        <v>1307</v>
      </c>
      <c r="F3066" s="46" t="s">
        <v>17759</v>
      </c>
      <c r="G3066" s="46" t="s">
        <v>50584</v>
      </c>
      <c r="H3066" s="48" t="s">
        <v>56716</v>
      </c>
      <c r="I3066" s="48" t="s">
        <v>50564</v>
      </c>
      <c r="J3066" s="48" t="s">
        <v>56716</v>
      </c>
      <c r="K3066" s="50"/>
      <c r="L3066" s="48" t="s">
        <v>56716</v>
      </c>
    </row>
    <row r="3067" spans="1:12" s="37" customFormat="1" ht="11.25" x14ac:dyDescent="0.2">
      <c r="A3067" s="46" t="s">
        <v>15355</v>
      </c>
      <c r="B3067" s="46" t="s">
        <v>52721</v>
      </c>
      <c r="C3067" s="58" t="str">
        <f>"22114254"</f>
        <v>22114254</v>
      </c>
      <c r="D3067" s="58" t="str">
        <f>""</f>
        <v/>
      </c>
      <c r="E3067" s="46" t="s">
        <v>272</v>
      </c>
      <c r="F3067" s="46" t="s">
        <v>17759</v>
      </c>
      <c r="G3067" s="46" t="s">
        <v>50584</v>
      </c>
      <c r="H3067" s="48" t="s">
        <v>56716</v>
      </c>
      <c r="I3067" s="48" t="s">
        <v>50564</v>
      </c>
      <c r="J3067" s="48" t="s">
        <v>56716</v>
      </c>
      <c r="K3067" s="50"/>
      <c r="L3067" s="48"/>
    </row>
    <row r="3068" spans="1:12" s="37" customFormat="1" ht="11.25" x14ac:dyDescent="0.2">
      <c r="A3068" s="46" t="s">
        <v>5118</v>
      </c>
      <c r="B3068" s="46" t="s">
        <v>5118</v>
      </c>
      <c r="C3068" s="58" t="str">
        <f>"08887543"</f>
        <v>08887543</v>
      </c>
      <c r="D3068" s="58" t="str">
        <f>"10898646"</f>
        <v>10898646</v>
      </c>
      <c r="E3068" s="46" t="s">
        <v>60</v>
      </c>
      <c r="F3068" s="46" t="s">
        <v>17759</v>
      </c>
      <c r="G3068" s="46" t="s">
        <v>50584</v>
      </c>
      <c r="H3068" s="48" t="s">
        <v>56716</v>
      </c>
      <c r="I3068" s="48" t="s">
        <v>50564</v>
      </c>
      <c r="J3068" s="48" t="s">
        <v>56716</v>
      </c>
      <c r="K3068" s="50" t="s">
        <v>56716</v>
      </c>
      <c r="L3068" s="48" t="s">
        <v>56716</v>
      </c>
    </row>
    <row r="3069" spans="1:12" s="37" customFormat="1" ht="11.25" x14ac:dyDescent="0.2">
      <c r="A3069" s="46" t="s">
        <v>17372</v>
      </c>
      <c r="B3069" s="46" t="s">
        <v>17372</v>
      </c>
      <c r="C3069" s="58" t="str">
        <f>"22135960"</f>
        <v>22135960</v>
      </c>
      <c r="D3069" s="58" t="str">
        <f>""</f>
        <v/>
      </c>
      <c r="E3069" s="46" t="s">
        <v>272</v>
      </c>
      <c r="F3069" s="46" t="s">
        <v>17759</v>
      </c>
      <c r="G3069" s="46" t="s">
        <v>50584</v>
      </c>
      <c r="H3069" s="48" t="s">
        <v>56716</v>
      </c>
      <c r="I3069" s="48" t="s">
        <v>50564</v>
      </c>
      <c r="J3069" s="48" t="s">
        <v>56716</v>
      </c>
      <c r="K3069" s="50"/>
      <c r="L3069" s="48"/>
    </row>
    <row r="3070" spans="1:12" s="37" customFormat="1" ht="11.25" x14ac:dyDescent="0.2">
      <c r="A3070" s="46" t="s">
        <v>15588</v>
      </c>
      <c r="B3070" s="46" t="s">
        <v>15588</v>
      </c>
      <c r="C3070" s="58" t="str">
        <f>""</f>
        <v/>
      </c>
      <c r="D3070" s="58" t="str">
        <f>"11786310"</f>
        <v>11786310</v>
      </c>
      <c r="E3070" s="46" t="s">
        <v>11251</v>
      </c>
      <c r="F3070" s="46" t="s">
        <v>19483</v>
      </c>
      <c r="G3070" s="46" t="s">
        <v>50584</v>
      </c>
      <c r="H3070" s="48" t="s">
        <v>56716</v>
      </c>
      <c r="I3070" s="48" t="s">
        <v>50564</v>
      </c>
      <c r="J3070" s="48"/>
      <c r="K3070" s="50"/>
      <c r="L3070" s="48"/>
    </row>
    <row r="3071" spans="1:12" s="37" customFormat="1" ht="11.25" x14ac:dyDescent="0.2">
      <c r="A3071" s="46" t="s">
        <v>10312</v>
      </c>
      <c r="B3071" s="46" t="s">
        <v>55940</v>
      </c>
      <c r="C3071" s="58" t="str">
        <f>"16720229"</f>
        <v>16720229</v>
      </c>
      <c r="D3071" s="58" t="str">
        <f>"22103244"</f>
        <v>22103244</v>
      </c>
      <c r="E3071" s="46" t="s">
        <v>10315</v>
      </c>
      <c r="F3071" s="46" t="s">
        <v>17958</v>
      </c>
      <c r="G3071" s="46" t="s">
        <v>50584</v>
      </c>
      <c r="H3071" s="48" t="s">
        <v>56716</v>
      </c>
      <c r="I3071" s="48" t="s">
        <v>50564</v>
      </c>
      <c r="J3071" s="48"/>
      <c r="K3071" s="50" t="s">
        <v>56716</v>
      </c>
      <c r="L3071" s="48" t="s">
        <v>56716</v>
      </c>
    </row>
    <row r="3072" spans="1:12" s="37" customFormat="1" ht="11.25" x14ac:dyDescent="0.2">
      <c r="A3072" s="45" t="s">
        <v>30075</v>
      </c>
      <c r="B3072" s="45" t="s">
        <v>30075</v>
      </c>
      <c r="C3072" s="51" t="s">
        <v>30078</v>
      </c>
      <c r="D3072" s="51" t="s">
        <v>30077</v>
      </c>
      <c r="E3072" s="45" t="s">
        <v>21146</v>
      </c>
      <c r="F3072" s="45" t="s">
        <v>50646</v>
      </c>
      <c r="G3072" s="45" t="s">
        <v>50584</v>
      </c>
      <c r="H3072" s="56"/>
      <c r="I3072" s="56" t="s">
        <v>50564</v>
      </c>
      <c r="J3072" s="56"/>
      <c r="K3072" s="50"/>
      <c r="L3072" s="56" t="s">
        <v>56716</v>
      </c>
    </row>
    <row r="3073" spans="1:12" s="37" customFormat="1" ht="11.25" x14ac:dyDescent="0.2">
      <c r="A3073" s="45" t="s">
        <v>30080</v>
      </c>
      <c r="B3073" s="45" t="s">
        <v>30082</v>
      </c>
      <c r="C3073" s="51" t="s">
        <v>30083</v>
      </c>
      <c r="D3073" s="51"/>
      <c r="E3073" s="45" t="s">
        <v>30084</v>
      </c>
      <c r="F3073" s="45" t="s">
        <v>50655</v>
      </c>
      <c r="G3073" s="45" t="s">
        <v>56564</v>
      </c>
      <c r="H3073" s="56"/>
      <c r="I3073" s="56" t="s">
        <v>50564</v>
      </c>
      <c r="J3073" s="56"/>
      <c r="K3073" s="50"/>
      <c r="L3073" s="56" t="s">
        <v>56716</v>
      </c>
    </row>
    <row r="3074" spans="1:12" s="37" customFormat="1" ht="11.25" x14ac:dyDescent="0.2">
      <c r="A3074" s="45" t="s">
        <v>30087</v>
      </c>
      <c r="B3074" s="45" t="s">
        <v>30089</v>
      </c>
      <c r="C3074" s="51" t="s">
        <v>30091</v>
      </c>
      <c r="D3074" s="51" t="s">
        <v>30090</v>
      </c>
      <c r="E3074" s="45" t="s">
        <v>30092</v>
      </c>
      <c r="F3074" s="45" t="s">
        <v>17991</v>
      </c>
      <c r="G3074" s="45" t="s">
        <v>50584</v>
      </c>
      <c r="H3074" s="56"/>
      <c r="I3074" s="56" t="s">
        <v>50564</v>
      </c>
      <c r="J3074" s="56"/>
      <c r="K3074" s="50"/>
      <c r="L3074" s="56" t="s">
        <v>56716</v>
      </c>
    </row>
    <row r="3075" spans="1:12" s="37" customFormat="1" ht="11.25" x14ac:dyDescent="0.2">
      <c r="A3075" s="46" t="s">
        <v>9101</v>
      </c>
      <c r="B3075" s="46" t="s">
        <v>52722</v>
      </c>
      <c r="C3075" s="58" t="str">
        <f>"11218460"</f>
        <v>11218460</v>
      </c>
      <c r="D3075" s="58" t="str">
        <f>""</f>
        <v/>
      </c>
      <c r="E3075" s="46" t="s">
        <v>56167</v>
      </c>
      <c r="F3075" s="46" t="s">
        <v>17991</v>
      </c>
      <c r="G3075" s="46" t="s">
        <v>50603</v>
      </c>
      <c r="H3075" s="48" t="s">
        <v>56716</v>
      </c>
      <c r="I3075" s="48" t="s">
        <v>50564</v>
      </c>
      <c r="J3075" s="48"/>
      <c r="K3075" s="50"/>
      <c r="L3075" s="48"/>
    </row>
    <row r="3076" spans="1:12" s="37" customFormat="1" ht="11.25" x14ac:dyDescent="0.2">
      <c r="A3076" s="46" t="s">
        <v>16996</v>
      </c>
      <c r="B3076" s="46" t="s">
        <v>52723</v>
      </c>
      <c r="C3076" s="58" t="str">
        <f>"22129693"</f>
        <v>22129693</v>
      </c>
      <c r="D3076" s="58" t="str">
        <f>""</f>
        <v/>
      </c>
      <c r="E3076" s="46" t="s">
        <v>6159</v>
      </c>
      <c r="F3076" s="46" t="s">
        <v>18158</v>
      </c>
      <c r="G3076" s="46" t="s">
        <v>50584</v>
      </c>
      <c r="H3076" s="48" t="s">
        <v>56716</v>
      </c>
      <c r="I3076" s="48" t="s">
        <v>50564</v>
      </c>
      <c r="J3076" s="48" t="s">
        <v>56716</v>
      </c>
      <c r="K3076" s="50" t="s">
        <v>56716</v>
      </c>
      <c r="L3076" s="48"/>
    </row>
    <row r="3077" spans="1:12" s="37" customFormat="1" ht="11.25" x14ac:dyDescent="0.2">
      <c r="A3077" s="45" t="s">
        <v>30094</v>
      </c>
      <c r="B3077" s="45" t="s">
        <v>30096</v>
      </c>
      <c r="C3077" s="51" t="s">
        <v>30098</v>
      </c>
      <c r="D3077" s="51" t="s">
        <v>30097</v>
      </c>
      <c r="E3077" s="45" t="s">
        <v>30099</v>
      </c>
      <c r="F3077" s="45" t="s">
        <v>17759</v>
      </c>
      <c r="G3077" s="45" t="s">
        <v>50584</v>
      </c>
      <c r="H3077" s="56"/>
      <c r="I3077" s="56" t="s">
        <v>50564</v>
      </c>
      <c r="J3077" s="56"/>
      <c r="K3077" s="50"/>
      <c r="L3077" s="56" t="s">
        <v>56716</v>
      </c>
    </row>
    <row r="3078" spans="1:12" s="37" customFormat="1" ht="11.25" x14ac:dyDescent="0.2">
      <c r="A3078" s="46" t="s">
        <v>16670</v>
      </c>
      <c r="B3078" s="46" t="s">
        <v>52724</v>
      </c>
      <c r="C3078" s="58" t="str">
        <f>"21514585"</f>
        <v>21514585</v>
      </c>
      <c r="D3078" s="58" t="str">
        <f>"21514593"</f>
        <v>21514593</v>
      </c>
      <c r="E3078" s="46" t="s">
        <v>493</v>
      </c>
      <c r="F3078" s="46" t="s">
        <v>17759</v>
      </c>
      <c r="G3078" s="46" t="s">
        <v>50584</v>
      </c>
      <c r="H3078" s="48" t="s">
        <v>56716</v>
      </c>
      <c r="I3078" s="48" t="s">
        <v>50564</v>
      </c>
      <c r="J3078" s="48" t="s">
        <v>56716</v>
      </c>
      <c r="K3078" s="50"/>
      <c r="L3078" s="48"/>
    </row>
    <row r="3079" spans="1:12" s="37" customFormat="1" ht="11.25" x14ac:dyDescent="0.2">
      <c r="A3079" s="46" t="s">
        <v>9916</v>
      </c>
      <c r="B3079" s="46" t="s">
        <v>52725</v>
      </c>
      <c r="C3079" s="58" t="str">
        <f>"14441586"</f>
        <v>14441586</v>
      </c>
      <c r="D3079" s="58" t="str">
        <f>"14470594"</f>
        <v>14470594</v>
      </c>
      <c r="E3079" s="46" t="s">
        <v>296</v>
      </c>
      <c r="F3079" s="46" t="s">
        <v>20082</v>
      </c>
      <c r="G3079" s="46" t="s">
        <v>50584</v>
      </c>
      <c r="H3079" s="48" t="s">
        <v>56716</v>
      </c>
      <c r="I3079" s="48" t="s">
        <v>50564</v>
      </c>
      <c r="J3079" s="48" t="s">
        <v>56716</v>
      </c>
      <c r="K3079" s="50" t="s">
        <v>56716</v>
      </c>
      <c r="L3079" s="48" t="s">
        <v>56716</v>
      </c>
    </row>
    <row r="3080" spans="1:12" s="37" customFormat="1" ht="11.25" x14ac:dyDescent="0.2">
      <c r="A3080" s="45" t="s">
        <v>30107</v>
      </c>
      <c r="B3080" s="45" t="s">
        <v>30109</v>
      </c>
      <c r="C3080" s="51" t="s">
        <v>30112</v>
      </c>
      <c r="D3080" s="51" t="s">
        <v>30111</v>
      </c>
      <c r="E3080" s="45" t="s">
        <v>948</v>
      </c>
      <c r="F3080" s="45" t="s">
        <v>20359</v>
      </c>
      <c r="G3080" s="45" t="s">
        <v>50591</v>
      </c>
      <c r="H3080" s="56"/>
      <c r="I3080" s="56" t="s">
        <v>50564</v>
      </c>
      <c r="J3080" s="56"/>
      <c r="K3080" s="50"/>
      <c r="L3080" s="56" t="s">
        <v>56716</v>
      </c>
    </row>
    <row r="3081" spans="1:12" s="37" customFormat="1" ht="11.25" x14ac:dyDescent="0.2">
      <c r="A3081" s="46" t="s">
        <v>9238</v>
      </c>
      <c r="B3081" s="46" t="s">
        <v>52726</v>
      </c>
      <c r="C3081" s="58" t="str">
        <f>""</f>
        <v/>
      </c>
      <c r="D3081" s="58" t="str">
        <f>"14331055"</f>
        <v>14331055</v>
      </c>
      <c r="E3081" s="46" t="s">
        <v>9240</v>
      </c>
      <c r="F3081" s="46" t="s">
        <v>18158</v>
      </c>
      <c r="G3081" s="46" t="s">
        <v>50584</v>
      </c>
      <c r="H3081" s="48" t="s">
        <v>56716</v>
      </c>
      <c r="I3081" s="48" t="s">
        <v>50564</v>
      </c>
      <c r="J3081" s="48"/>
      <c r="K3081" s="50"/>
      <c r="L3081" s="48"/>
    </row>
    <row r="3082" spans="1:12" s="37" customFormat="1" ht="11.25" x14ac:dyDescent="0.2">
      <c r="A3082" s="45" t="s">
        <v>30115</v>
      </c>
      <c r="B3082" s="45" t="s">
        <v>30117</v>
      </c>
      <c r="C3082" s="51"/>
      <c r="D3082" s="51" t="s">
        <v>30118</v>
      </c>
      <c r="E3082" s="45" t="s">
        <v>30119</v>
      </c>
      <c r="F3082" s="45" t="s">
        <v>18158</v>
      </c>
      <c r="G3082" s="45" t="s">
        <v>50584</v>
      </c>
      <c r="H3082" s="56"/>
      <c r="I3082" s="56" t="s">
        <v>50564</v>
      </c>
      <c r="J3082" s="56"/>
      <c r="K3082" s="50"/>
      <c r="L3082" s="56" t="s">
        <v>56716</v>
      </c>
    </row>
    <row r="3083" spans="1:12" s="37" customFormat="1" ht="11.25" x14ac:dyDescent="0.2">
      <c r="A3083" s="46" t="s">
        <v>17315</v>
      </c>
      <c r="B3083" s="46" t="s">
        <v>17315</v>
      </c>
      <c r="C3083" s="58" t="str">
        <f>""</f>
        <v/>
      </c>
      <c r="D3083" s="58" t="str">
        <f>"22482997"</f>
        <v>22482997</v>
      </c>
      <c r="E3083" s="46" t="s">
        <v>17317</v>
      </c>
      <c r="F3083" s="46" t="s">
        <v>22017</v>
      </c>
      <c r="G3083" s="46" t="s">
        <v>50584</v>
      </c>
      <c r="H3083" s="48" t="s">
        <v>56716</v>
      </c>
      <c r="I3083" s="48" t="s">
        <v>50564</v>
      </c>
      <c r="J3083" s="48"/>
      <c r="K3083" s="50"/>
      <c r="L3083" s="48"/>
    </row>
    <row r="3084" spans="1:12" s="37" customFormat="1" ht="11.25" x14ac:dyDescent="0.2">
      <c r="A3084" s="45" t="s">
        <v>30121</v>
      </c>
      <c r="B3084" s="45" t="s">
        <v>30121</v>
      </c>
      <c r="C3084" s="51" t="s">
        <v>30124</v>
      </c>
      <c r="D3084" s="51" t="s">
        <v>30123</v>
      </c>
      <c r="E3084" s="45" t="s">
        <v>20225</v>
      </c>
      <c r="F3084" s="45" t="s">
        <v>50646</v>
      </c>
      <c r="G3084" s="45" t="s">
        <v>50584</v>
      </c>
      <c r="H3084" s="56"/>
      <c r="I3084" s="56" t="s">
        <v>50564</v>
      </c>
      <c r="J3084" s="56"/>
      <c r="K3084" s="50"/>
      <c r="L3084" s="56" t="s">
        <v>56716</v>
      </c>
    </row>
    <row r="3085" spans="1:12" s="37" customFormat="1" ht="11.25" x14ac:dyDescent="0.2">
      <c r="A3085" s="46" t="s">
        <v>10640</v>
      </c>
      <c r="B3085" s="46" t="s">
        <v>10640</v>
      </c>
      <c r="C3085" s="58" t="str">
        <f>"1134928X"</f>
        <v>1134928X</v>
      </c>
      <c r="D3085" s="58" t="str">
        <f>""</f>
        <v/>
      </c>
      <c r="E3085" s="46" t="s">
        <v>10498</v>
      </c>
      <c r="F3085" s="46" t="s">
        <v>18439</v>
      </c>
      <c r="G3085" s="46" t="s">
        <v>50603</v>
      </c>
      <c r="H3085" s="48" t="s">
        <v>56716</v>
      </c>
      <c r="I3085" s="48" t="s">
        <v>50564</v>
      </c>
      <c r="J3085" s="48"/>
      <c r="K3085" s="50"/>
      <c r="L3085" s="48"/>
    </row>
    <row r="3086" spans="1:12" s="37" customFormat="1" ht="11.25" x14ac:dyDescent="0.2">
      <c r="A3086" s="46" t="s">
        <v>1697</v>
      </c>
      <c r="B3086" s="46" t="s">
        <v>1697</v>
      </c>
      <c r="C3086" s="58" t="str">
        <f>"0304324X"</f>
        <v>0304324X</v>
      </c>
      <c r="D3086" s="58" t="str">
        <f>"14230003"</f>
        <v>14230003</v>
      </c>
      <c r="E3086" s="46" t="s">
        <v>109</v>
      </c>
      <c r="F3086" s="46" t="s">
        <v>18123</v>
      </c>
      <c r="G3086" s="46" t="s">
        <v>50584</v>
      </c>
      <c r="H3086" s="48" t="s">
        <v>56716</v>
      </c>
      <c r="I3086" s="48" t="s">
        <v>50564</v>
      </c>
      <c r="J3086" s="48" t="s">
        <v>56716</v>
      </c>
      <c r="K3086" s="50" t="s">
        <v>56716</v>
      </c>
      <c r="L3086" s="48" t="s">
        <v>56716</v>
      </c>
    </row>
    <row r="3087" spans="1:12" s="37" customFormat="1" ht="11.25" x14ac:dyDescent="0.2">
      <c r="A3087" s="45" t="s">
        <v>30137</v>
      </c>
      <c r="B3087" s="45" t="s">
        <v>30139</v>
      </c>
      <c r="C3087" s="51" t="s">
        <v>30141</v>
      </c>
      <c r="D3087" s="51" t="s">
        <v>30140</v>
      </c>
      <c r="E3087" s="45" t="s">
        <v>689</v>
      </c>
      <c r="F3087" s="45" t="s">
        <v>17759</v>
      </c>
      <c r="G3087" s="45" t="s">
        <v>50584</v>
      </c>
      <c r="H3087" s="56"/>
      <c r="I3087" s="56" t="s">
        <v>50564</v>
      </c>
      <c r="J3087" s="56"/>
      <c r="K3087" s="50"/>
      <c r="L3087" s="56" t="s">
        <v>56716</v>
      </c>
    </row>
    <row r="3088" spans="1:12" s="37" customFormat="1" ht="11.25" x14ac:dyDescent="0.2">
      <c r="A3088" s="46" t="s">
        <v>14714</v>
      </c>
      <c r="B3088" s="46" t="s">
        <v>52727</v>
      </c>
      <c r="C3088" s="58" t="str">
        <f>"16629647"</f>
        <v>16629647</v>
      </c>
      <c r="D3088" s="58" t="str">
        <f>"1662971X"</f>
        <v>1662971X</v>
      </c>
      <c r="E3088" s="46" t="s">
        <v>4616</v>
      </c>
      <c r="F3088" s="46" t="s">
        <v>17759</v>
      </c>
      <c r="G3088" s="46" t="s">
        <v>50584</v>
      </c>
      <c r="H3088" s="48" t="s">
        <v>56716</v>
      </c>
      <c r="I3088" s="48" t="s">
        <v>50564</v>
      </c>
      <c r="J3088" s="48" t="s">
        <v>56716</v>
      </c>
      <c r="K3088" s="50"/>
      <c r="L3088" s="48"/>
    </row>
    <row r="3089" spans="1:12" s="37" customFormat="1" ht="11.25" x14ac:dyDescent="0.2">
      <c r="A3089" s="45" t="s">
        <v>30144</v>
      </c>
      <c r="B3089" s="45" t="s">
        <v>30144</v>
      </c>
      <c r="C3089" s="51" t="s">
        <v>30146</v>
      </c>
      <c r="D3089" s="51"/>
      <c r="E3089" s="45" t="s">
        <v>30147</v>
      </c>
      <c r="F3089" s="45" t="s">
        <v>18123</v>
      </c>
      <c r="G3089" s="45" t="s">
        <v>50593</v>
      </c>
      <c r="H3089" s="56"/>
      <c r="I3089" s="56" t="s">
        <v>50564</v>
      </c>
      <c r="J3089" s="56"/>
      <c r="K3089" s="50"/>
      <c r="L3089" s="56" t="s">
        <v>56716</v>
      </c>
    </row>
    <row r="3090" spans="1:12" s="37" customFormat="1" ht="11.25" x14ac:dyDescent="0.2">
      <c r="A3090" s="46" t="s">
        <v>7860</v>
      </c>
      <c r="B3090" s="46" t="s">
        <v>52728</v>
      </c>
      <c r="C3090" s="58" t="str">
        <f>"14322625"</f>
        <v>14322625</v>
      </c>
      <c r="D3090" s="58" t="str">
        <f>"14394049"</f>
        <v>14394049</v>
      </c>
      <c r="E3090" s="46" t="s">
        <v>412</v>
      </c>
      <c r="F3090" s="46" t="s">
        <v>18158</v>
      </c>
      <c r="G3090" s="46" t="s">
        <v>50593</v>
      </c>
      <c r="H3090" s="48" t="s">
        <v>56716</v>
      </c>
      <c r="I3090" s="48" t="s">
        <v>50564</v>
      </c>
      <c r="J3090" s="48"/>
      <c r="K3090" s="50" t="s">
        <v>56716</v>
      </c>
      <c r="L3090" s="48"/>
    </row>
    <row r="3091" spans="1:12" s="37" customFormat="1" ht="11.25" x14ac:dyDescent="0.2">
      <c r="A3091" s="45" t="s">
        <v>30149</v>
      </c>
      <c r="B3091" s="45" t="s">
        <v>30151</v>
      </c>
      <c r="C3091" s="51" t="s">
        <v>30154</v>
      </c>
      <c r="D3091" s="51" t="s">
        <v>30153</v>
      </c>
      <c r="E3091" s="45" t="s">
        <v>19244</v>
      </c>
      <c r="F3091" s="45" t="s">
        <v>18158</v>
      </c>
      <c r="G3091" s="45" t="s">
        <v>50592</v>
      </c>
      <c r="H3091" s="56"/>
      <c r="I3091" s="56" t="s">
        <v>50564</v>
      </c>
      <c r="J3091" s="56"/>
      <c r="K3091" s="50"/>
      <c r="L3091" s="56" t="s">
        <v>56716</v>
      </c>
    </row>
    <row r="3092" spans="1:12" s="37" customFormat="1" ht="11.25" x14ac:dyDescent="0.2">
      <c r="A3092" s="46" t="s">
        <v>10177</v>
      </c>
      <c r="B3092" s="46" t="s">
        <v>52729</v>
      </c>
      <c r="C3092" s="58" t="str">
        <f>"09497013"</f>
        <v>09497013</v>
      </c>
      <c r="D3092" s="58" t="str">
        <f>"16155602"</f>
        <v>16155602</v>
      </c>
      <c r="E3092" s="46" t="s">
        <v>412</v>
      </c>
      <c r="F3092" s="46" t="s">
        <v>18158</v>
      </c>
      <c r="G3092" s="46" t="s">
        <v>50593</v>
      </c>
      <c r="H3092" s="48" t="s">
        <v>56716</v>
      </c>
      <c r="I3092" s="48" t="s">
        <v>50564</v>
      </c>
      <c r="J3092" s="48"/>
      <c r="K3092" s="50"/>
      <c r="L3092" s="48"/>
    </row>
    <row r="3093" spans="1:12" s="37" customFormat="1" ht="11.25" x14ac:dyDescent="0.2">
      <c r="A3093" s="45" t="s">
        <v>30156</v>
      </c>
      <c r="B3093" s="45" t="s">
        <v>30158</v>
      </c>
      <c r="C3093" s="51" t="s">
        <v>30159</v>
      </c>
      <c r="D3093" s="51"/>
      <c r="E3093" s="45" t="s">
        <v>30160</v>
      </c>
      <c r="F3093" s="45" t="s">
        <v>30161</v>
      </c>
      <c r="G3093" s="45" t="s">
        <v>50584</v>
      </c>
      <c r="H3093" s="56"/>
      <c r="I3093" s="56" t="s">
        <v>50564</v>
      </c>
      <c r="J3093" s="56"/>
      <c r="K3093" s="50"/>
      <c r="L3093" s="56" t="s">
        <v>56716</v>
      </c>
    </row>
    <row r="3094" spans="1:12" s="37" customFormat="1" ht="11.25" x14ac:dyDescent="0.2">
      <c r="A3094" s="46" t="s">
        <v>16625</v>
      </c>
      <c r="B3094" s="46" t="s">
        <v>16625</v>
      </c>
      <c r="C3094" s="58" t="str">
        <f>""</f>
        <v/>
      </c>
      <c r="D3094" s="58" t="str">
        <f>"2047217X"</f>
        <v>2047217X</v>
      </c>
      <c r="E3094" s="46" t="s">
        <v>2299</v>
      </c>
      <c r="F3094" s="46" t="s">
        <v>50646</v>
      </c>
      <c r="G3094" s="46" t="s">
        <v>50584</v>
      </c>
      <c r="H3094" s="48" t="s">
        <v>56716</v>
      </c>
      <c r="I3094" s="48" t="s">
        <v>50564</v>
      </c>
      <c r="J3094" s="48" t="s">
        <v>56716</v>
      </c>
      <c r="K3094" s="50"/>
      <c r="L3094" s="48"/>
    </row>
    <row r="3095" spans="1:12" s="37" customFormat="1" ht="11.25" x14ac:dyDescent="0.2">
      <c r="A3095" s="45" t="s">
        <v>30163</v>
      </c>
      <c r="B3095" s="45" t="s">
        <v>30165</v>
      </c>
      <c r="C3095" s="51" t="s">
        <v>30166</v>
      </c>
      <c r="D3095" s="51"/>
      <c r="E3095" s="45" t="s">
        <v>20950</v>
      </c>
      <c r="F3095" s="45" t="s">
        <v>50653</v>
      </c>
      <c r="G3095" s="45" t="s">
        <v>56509</v>
      </c>
      <c r="H3095" s="56"/>
      <c r="I3095" s="56" t="s">
        <v>50564</v>
      </c>
      <c r="J3095" s="56"/>
      <c r="K3095" s="50"/>
      <c r="L3095" s="56" t="s">
        <v>56716</v>
      </c>
    </row>
    <row r="3096" spans="1:12" s="37" customFormat="1" ht="11.25" x14ac:dyDescent="0.2">
      <c r="A3096" s="46" t="s">
        <v>17308</v>
      </c>
      <c r="B3096" s="46" t="s">
        <v>17308</v>
      </c>
      <c r="C3096" s="58" t="str">
        <f>"23442379"</f>
        <v>23442379</v>
      </c>
      <c r="D3096" s="58" t="str">
        <f>""</f>
        <v/>
      </c>
      <c r="E3096" s="46" t="s">
        <v>17310</v>
      </c>
      <c r="F3096" s="46" t="s">
        <v>22017</v>
      </c>
      <c r="G3096" s="46" t="s">
        <v>50618</v>
      </c>
      <c r="H3096" s="48" t="s">
        <v>56716</v>
      </c>
      <c r="I3096" s="48" t="s">
        <v>50564</v>
      </c>
      <c r="J3096" s="48"/>
      <c r="K3096" s="50"/>
      <c r="L3096" s="48"/>
    </row>
    <row r="3097" spans="1:12" s="37" customFormat="1" ht="11.25" x14ac:dyDescent="0.2">
      <c r="A3097" s="46" t="s">
        <v>9474</v>
      </c>
      <c r="B3097" s="46" t="s">
        <v>52730</v>
      </c>
      <c r="C3097" s="58" t="str">
        <f>"16953827"</f>
        <v>16953827</v>
      </c>
      <c r="D3097" s="58" t="str">
        <f>""</f>
        <v/>
      </c>
      <c r="E3097" s="46" t="s">
        <v>56460</v>
      </c>
      <c r="F3097" s="46" t="s">
        <v>18439</v>
      </c>
      <c r="G3097" s="46" t="s">
        <v>50632</v>
      </c>
      <c r="H3097" s="48" t="s">
        <v>56716</v>
      </c>
      <c r="I3097" s="48" t="s">
        <v>50564</v>
      </c>
      <c r="J3097" s="48"/>
      <c r="K3097" s="50"/>
      <c r="L3097" s="48"/>
    </row>
    <row r="3098" spans="1:12" s="37" customFormat="1" ht="11.25" x14ac:dyDescent="0.2">
      <c r="A3098" s="46" t="s">
        <v>1728</v>
      </c>
      <c r="B3098" s="46" t="s">
        <v>52731</v>
      </c>
      <c r="C3098" s="58" t="str">
        <f>"03009041"</f>
        <v>03009041</v>
      </c>
      <c r="D3098" s="58" t="str">
        <f>"03009041"</f>
        <v>03009041</v>
      </c>
      <c r="E3098" s="46" t="s">
        <v>1730</v>
      </c>
      <c r="F3098" s="46" t="s">
        <v>18411</v>
      </c>
      <c r="G3098" s="46" t="s">
        <v>50632</v>
      </c>
      <c r="H3098" s="48" t="s">
        <v>56716</v>
      </c>
      <c r="I3098" s="48" t="s">
        <v>50564</v>
      </c>
      <c r="J3098" s="48"/>
      <c r="K3098" s="50"/>
      <c r="L3098" s="48" t="s">
        <v>56716</v>
      </c>
    </row>
    <row r="3099" spans="1:12" s="37" customFormat="1" ht="11.25" x14ac:dyDescent="0.2">
      <c r="A3099" s="46" t="s">
        <v>12617</v>
      </c>
      <c r="B3099" s="46" t="s">
        <v>52732</v>
      </c>
      <c r="C3099" s="58" t="str">
        <f>"18963315"</f>
        <v>18963315</v>
      </c>
      <c r="D3099" s="58" t="str">
        <f>""</f>
        <v/>
      </c>
      <c r="E3099" s="46" t="s">
        <v>12619</v>
      </c>
      <c r="F3099" s="46" t="s">
        <v>17967</v>
      </c>
      <c r="G3099" s="46" t="s">
        <v>50613</v>
      </c>
      <c r="H3099" s="48" t="s">
        <v>56716</v>
      </c>
      <c r="I3099" s="48" t="s">
        <v>50564</v>
      </c>
      <c r="J3099" s="48"/>
      <c r="K3099" s="50"/>
      <c r="L3099" s="48"/>
    </row>
    <row r="3100" spans="1:12" s="37" customFormat="1" ht="11.25" x14ac:dyDescent="0.2">
      <c r="A3100" s="45" t="s">
        <v>30173</v>
      </c>
      <c r="B3100" s="45" t="s">
        <v>30175</v>
      </c>
      <c r="C3100" s="51" t="s">
        <v>30176</v>
      </c>
      <c r="D3100" s="51"/>
      <c r="E3100" s="45" t="s">
        <v>30177</v>
      </c>
      <c r="F3100" s="45" t="s">
        <v>17967</v>
      </c>
      <c r="G3100" s="45" t="s">
        <v>50611</v>
      </c>
      <c r="H3100" s="56"/>
      <c r="I3100" s="56" t="s">
        <v>50564</v>
      </c>
      <c r="J3100" s="56"/>
      <c r="K3100" s="50"/>
      <c r="L3100" s="56" t="s">
        <v>56716</v>
      </c>
    </row>
    <row r="3101" spans="1:12" s="37" customFormat="1" ht="11.25" x14ac:dyDescent="0.2">
      <c r="A3101" s="46" t="s">
        <v>11383</v>
      </c>
      <c r="B3101" s="46" t="s">
        <v>52733</v>
      </c>
      <c r="C3101" s="58" t="str">
        <f>"12316407"</f>
        <v>12316407</v>
      </c>
      <c r="D3101" s="58" t="str">
        <f>""</f>
        <v/>
      </c>
      <c r="E3101" s="46" t="s">
        <v>3134</v>
      </c>
      <c r="F3101" s="46" t="s">
        <v>17967</v>
      </c>
      <c r="G3101" s="46" t="s">
        <v>50612</v>
      </c>
      <c r="H3101" s="48" t="s">
        <v>56716</v>
      </c>
      <c r="I3101" s="48" t="s">
        <v>50564</v>
      </c>
      <c r="J3101" s="48"/>
      <c r="K3101" s="50"/>
      <c r="L3101" s="48"/>
    </row>
    <row r="3102" spans="1:12" s="37" customFormat="1" ht="11.25" x14ac:dyDescent="0.2">
      <c r="A3102" s="46" t="s">
        <v>1709</v>
      </c>
      <c r="B3102" s="46" t="s">
        <v>52734</v>
      </c>
      <c r="C3102" s="58" t="str">
        <f>"00170305"</f>
        <v>00170305</v>
      </c>
      <c r="D3102" s="58" t="str">
        <f>""</f>
        <v/>
      </c>
      <c r="E3102" s="46" t="s">
        <v>1711</v>
      </c>
      <c r="F3102" s="46" t="s">
        <v>17991</v>
      </c>
      <c r="G3102" s="46" t="s">
        <v>50603</v>
      </c>
      <c r="H3102" s="48" t="s">
        <v>56716</v>
      </c>
      <c r="I3102" s="48" t="s">
        <v>50564</v>
      </c>
      <c r="J3102" s="48"/>
      <c r="K3102" s="50"/>
      <c r="L3102" s="48"/>
    </row>
    <row r="3103" spans="1:12" s="37" customFormat="1" ht="11.25" x14ac:dyDescent="0.2">
      <c r="A3103" s="46" t="s">
        <v>10901</v>
      </c>
      <c r="B3103" s="46" t="s">
        <v>52735</v>
      </c>
      <c r="C3103" s="58" t="str">
        <f>"18276806"</f>
        <v>18276806</v>
      </c>
      <c r="D3103" s="58" t="str">
        <f>"19726481"</f>
        <v>19726481</v>
      </c>
      <c r="E3103" s="46" t="s">
        <v>3695</v>
      </c>
      <c r="F3103" s="46" t="s">
        <v>17991</v>
      </c>
      <c r="G3103" s="46" t="s">
        <v>50602</v>
      </c>
      <c r="H3103" s="48" t="s">
        <v>56716</v>
      </c>
      <c r="I3103" s="48" t="s">
        <v>50564</v>
      </c>
      <c r="J3103" s="48"/>
      <c r="K3103" s="50"/>
      <c r="L3103" s="48" t="s">
        <v>56716</v>
      </c>
    </row>
    <row r="3104" spans="1:12" s="37" customFormat="1" ht="11.25" x14ac:dyDescent="0.2">
      <c r="A3104" s="46" t="s">
        <v>1706</v>
      </c>
      <c r="B3104" s="46" t="s">
        <v>52736</v>
      </c>
      <c r="C3104" s="58" t="str">
        <f>"03920488"</f>
        <v>03920488</v>
      </c>
      <c r="D3104" s="58" t="str">
        <f>"18271820"</f>
        <v>18271820</v>
      </c>
      <c r="E3104" s="46" t="s">
        <v>1708</v>
      </c>
      <c r="F3104" s="46" t="s">
        <v>17991</v>
      </c>
      <c r="G3104" s="46" t="s">
        <v>50603</v>
      </c>
      <c r="H3104" s="48" t="s">
        <v>56716</v>
      </c>
      <c r="I3104" s="48" t="s">
        <v>50564</v>
      </c>
      <c r="J3104" s="48"/>
      <c r="K3104" s="50"/>
      <c r="L3104" s="48" t="s">
        <v>56716</v>
      </c>
    </row>
    <row r="3105" spans="1:12" s="37" customFormat="1" ht="11.25" x14ac:dyDescent="0.2">
      <c r="A3105" s="46" t="s">
        <v>8888</v>
      </c>
      <c r="B3105" s="46" t="s">
        <v>52737</v>
      </c>
      <c r="C3105" s="58" t="str">
        <f>"15936104"</f>
        <v>15936104</v>
      </c>
      <c r="D3105" s="58" t="str">
        <f>""</f>
        <v/>
      </c>
      <c r="E3105" s="46" t="s">
        <v>8890</v>
      </c>
      <c r="F3105" s="46" t="s">
        <v>17991</v>
      </c>
      <c r="G3105" s="46" t="s">
        <v>50603</v>
      </c>
      <c r="H3105" s="48" t="s">
        <v>56716</v>
      </c>
      <c r="I3105" s="48" t="s">
        <v>50564</v>
      </c>
      <c r="J3105" s="48"/>
      <c r="K3105" s="50"/>
      <c r="L3105" s="48"/>
    </row>
    <row r="3106" spans="1:12" s="37" customFormat="1" ht="11.25" x14ac:dyDescent="0.2">
      <c r="A3106" s="46" t="s">
        <v>15541</v>
      </c>
      <c r="B3106" s="46" t="s">
        <v>52738</v>
      </c>
      <c r="C3106" s="58" t="str">
        <f>"11214171"</f>
        <v>11214171</v>
      </c>
      <c r="D3106" s="58" t="str">
        <f>"19711425"</f>
        <v>19711425</v>
      </c>
      <c r="E3106" s="46" t="s">
        <v>1289</v>
      </c>
      <c r="F3106" s="46" t="s">
        <v>17991</v>
      </c>
      <c r="G3106" s="46" t="s">
        <v>50603</v>
      </c>
      <c r="H3106" s="48" t="s">
        <v>56716</v>
      </c>
      <c r="I3106" s="48" t="s">
        <v>50564</v>
      </c>
      <c r="J3106" s="48"/>
      <c r="K3106" s="50" t="s">
        <v>56716</v>
      </c>
      <c r="L3106" s="48"/>
    </row>
    <row r="3107" spans="1:12" s="37" customFormat="1" ht="11.25" x14ac:dyDescent="0.2">
      <c r="A3107" s="46" t="s">
        <v>4870</v>
      </c>
      <c r="B3107" s="46" t="s">
        <v>52739</v>
      </c>
      <c r="C3107" s="58" t="str">
        <f>"03940225"</f>
        <v>03940225</v>
      </c>
      <c r="D3107" s="58" t="str">
        <f>""</f>
        <v/>
      </c>
      <c r="E3107" s="46" t="s">
        <v>4872</v>
      </c>
      <c r="F3107" s="46" t="s">
        <v>17991</v>
      </c>
      <c r="G3107" s="46" t="s">
        <v>50603</v>
      </c>
      <c r="H3107" s="48" t="s">
        <v>56716</v>
      </c>
      <c r="I3107" s="48" t="s">
        <v>50564</v>
      </c>
      <c r="J3107" s="48"/>
      <c r="K3107" s="50"/>
      <c r="L3107" s="48"/>
    </row>
    <row r="3108" spans="1:12" s="37" customFormat="1" ht="11.25" x14ac:dyDescent="0.2">
      <c r="A3108" s="46" t="s">
        <v>4579</v>
      </c>
      <c r="B3108" s="46" t="s">
        <v>52740</v>
      </c>
      <c r="C3108" s="58" t="str">
        <f>"11203749"</f>
        <v>11203749</v>
      </c>
      <c r="D3108" s="58" t="str">
        <f>""</f>
        <v/>
      </c>
      <c r="E3108" s="46" t="s">
        <v>3695</v>
      </c>
      <c r="F3108" s="46" t="s">
        <v>17991</v>
      </c>
      <c r="G3108" s="46" t="s">
        <v>50603</v>
      </c>
      <c r="H3108" s="48" t="s">
        <v>56716</v>
      </c>
      <c r="I3108" s="48" t="s">
        <v>50564</v>
      </c>
      <c r="J3108" s="48"/>
      <c r="K3108" s="50"/>
      <c r="L3108" s="48"/>
    </row>
    <row r="3109" spans="1:12" s="37" customFormat="1" ht="11.25" x14ac:dyDescent="0.2">
      <c r="A3109" s="45" t="s">
        <v>30198</v>
      </c>
      <c r="B3109" s="45" t="s">
        <v>30200</v>
      </c>
      <c r="C3109" s="51" t="s">
        <v>30202</v>
      </c>
      <c r="D3109" s="51"/>
      <c r="E3109" s="45" t="s">
        <v>30203</v>
      </c>
      <c r="F3109" s="45" t="s">
        <v>17991</v>
      </c>
      <c r="G3109" s="45" t="s">
        <v>50602</v>
      </c>
      <c r="H3109" s="56"/>
      <c r="I3109" s="56" t="s">
        <v>50564</v>
      </c>
      <c r="J3109" s="56"/>
      <c r="K3109" s="50"/>
      <c r="L3109" s="56" t="s">
        <v>56716</v>
      </c>
    </row>
    <row r="3110" spans="1:12" s="37" customFormat="1" ht="11.25" x14ac:dyDescent="0.2">
      <c r="A3110" s="46" t="s">
        <v>7698</v>
      </c>
      <c r="B3110" s="46" t="s">
        <v>52741</v>
      </c>
      <c r="C3110" s="58" t="str">
        <f>"03943445"</f>
        <v>03943445</v>
      </c>
      <c r="D3110" s="58" t="str">
        <f>""</f>
        <v/>
      </c>
      <c r="E3110" s="46" t="s">
        <v>7700</v>
      </c>
      <c r="F3110" s="46" t="s">
        <v>17991</v>
      </c>
      <c r="G3110" s="46" t="s">
        <v>50602</v>
      </c>
      <c r="H3110" s="48" t="s">
        <v>56716</v>
      </c>
      <c r="I3110" s="48" t="s">
        <v>50564</v>
      </c>
      <c r="J3110" s="48"/>
      <c r="K3110" s="50"/>
      <c r="L3110" s="48"/>
    </row>
    <row r="3111" spans="1:12" s="37" customFormat="1" ht="11.25" x14ac:dyDescent="0.2">
      <c r="A3111" s="45" t="s">
        <v>30205</v>
      </c>
      <c r="B3111" s="45" t="s">
        <v>30207</v>
      </c>
      <c r="C3111" s="51" t="s">
        <v>30209</v>
      </c>
      <c r="D3111" s="51" t="s">
        <v>30208</v>
      </c>
      <c r="E3111" s="45" t="s">
        <v>30210</v>
      </c>
      <c r="F3111" s="45" t="s">
        <v>17991</v>
      </c>
      <c r="G3111" s="45" t="s">
        <v>50602</v>
      </c>
      <c r="H3111" s="56"/>
      <c r="I3111" s="56" t="s">
        <v>50564</v>
      </c>
      <c r="J3111" s="56"/>
      <c r="K3111" s="50"/>
      <c r="L3111" s="56" t="s">
        <v>56716</v>
      </c>
    </row>
    <row r="3112" spans="1:12" s="37" customFormat="1" ht="11.25" x14ac:dyDescent="0.2">
      <c r="A3112" s="46" t="s">
        <v>1713</v>
      </c>
      <c r="B3112" s="46" t="s">
        <v>52742</v>
      </c>
      <c r="C3112" s="58" t="str">
        <f>"03919013"</f>
        <v>03919013</v>
      </c>
      <c r="D3112" s="58" t="str">
        <f>"19711433"</f>
        <v>19711433</v>
      </c>
      <c r="E3112" s="46" t="s">
        <v>1716</v>
      </c>
      <c r="F3112" s="46" t="s">
        <v>17991</v>
      </c>
      <c r="G3112" s="46" t="s">
        <v>50603</v>
      </c>
      <c r="H3112" s="48" t="s">
        <v>56716</v>
      </c>
      <c r="I3112" s="48" t="s">
        <v>50564</v>
      </c>
      <c r="J3112" s="48"/>
      <c r="K3112" s="50"/>
      <c r="L3112" s="48"/>
    </row>
    <row r="3113" spans="1:12" s="37" customFormat="1" ht="11.25" x14ac:dyDescent="0.2">
      <c r="A3113" s="45" t="s">
        <v>30213</v>
      </c>
      <c r="B3113" s="45" t="s">
        <v>30215</v>
      </c>
      <c r="C3113" s="51" t="s">
        <v>30217</v>
      </c>
      <c r="D3113" s="51"/>
      <c r="E3113" s="45" t="s">
        <v>30218</v>
      </c>
      <c r="F3113" s="45" t="s">
        <v>18050</v>
      </c>
      <c r="G3113" s="45" t="s">
        <v>50624</v>
      </c>
      <c r="H3113" s="56"/>
      <c r="I3113" s="56" t="s">
        <v>50564</v>
      </c>
      <c r="J3113" s="56"/>
      <c r="K3113" s="50"/>
      <c r="L3113" s="56" t="s">
        <v>56716</v>
      </c>
    </row>
    <row r="3114" spans="1:12" s="37" customFormat="1" ht="11.25" x14ac:dyDescent="0.2">
      <c r="A3114" s="46" t="s">
        <v>4668</v>
      </c>
      <c r="B3114" s="46" t="s">
        <v>4668</v>
      </c>
      <c r="C3114" s="58" t="str">
        <f>"08941491"</f>
        <v>08941491</v>
      </c>
      <c r="D3114" s="58" t="str">
        <f>"10981136"</f>
        <v>10981136</v>
      </c>
      <c r="E3114" s="46" t="s">
        <v>517</v>
      </c>
      <c r="F3114" s="46" t="s">
        <v>17759</v>
      </c>
      <c r="G3114" s="46" t="s">
        <v>50584</v>
      </c>
      <c r="H3114" s="48" t="s">
        <v>56716</v>
      </c>
      <c r="I3114" s="48" t="s">
        <v>50564</v>
      </c>
      <c r="J3114" s="48" t="s">
        <v>56716</v>
      </c>
      <c r="K3114" s="50" t="s">
        <v>56716</v>
      </c>
      <c r="L3114" s="48" t="s">
        <v>56716</v>
      </c>
    </row>
    <row r="3115" spans="1:12" s="37" customFormat="1" ht="11.25" x14ac:dyDescent="0.2">
      <c r="A3115" s="46" t="s">
        <v>16484</v>
      </c>
      <c r="B3115" s="46" t="s">
        <v>52743</v>
      </c>
      <c r="C3115" s="58" t="str">
        <f>"2164957X"</f>
        <v>2164957X</v>
      </c>
      <c r="D3115" s="58" t="str">
        <f>"21649561"</f>
        <v>21649561</v>
      </c>
      <c r="E3115" s="46" t="s">
        <v>16487</v>
      </c>
      <c r="F3115" s="46" t="s">
        <v>17759</v>
      </c>
      <c r="G3115" s="46" t="s">
        <v>50584</v>
      </c>
      <c r="H3115" s="48" t="s">
        <v>56716</v>
      </c>
      <c r="I3115" s="48" t="s">
        <v>50564</v>
      </c>
      <c r="J3115" s="48"/>
      <c r="K3115" s="50"/>
      <c r="L3115" s="48"/>
    </row>
    <row r="3116" spans="1:12" s="37" customFormat="1" ht="11.25" x14ac:dyDescent="0.2">
      <c r="A3116" s="46" t="s">
        <v>56473</v>
      </c>
      <c r="B3116" s="46" t="s">
        <v>56474</v>
      </c>
      <c r="C3116" s="58" t="str">
        <f>"22842403"</f>
        <v>22842403</v>
      </c>
      <c r="D3116" s="58" t="str">
        <f>"22835733"</f>
        <v>22835733</v>
      </c>
      <c r="E3116" s="46" t="s">
        <v>56167</v>
      </c>
      <c r="F3116" s="46" t="s">
        <v>17991</v>
      </c>
      <c r="G3116" s="46" t="s">
        <v>50603</v>
      </c>
      <c r="H3116" s="48" t="s">
        <v>56716</v>
      </c>
      <c r="I3116" s="48" t="s">
        <v>50564</v>
      </c>
      <c r="J3116" s="48"/>
      <c r="K3116" s="50"/>
      <c r="L3116" s="48"/>
    </row>
    <row r="3117" spans="1:12" s="37" customFormat="1" ht="11.25" x14ac:dyDescent="0.2">
      <c r="A3117" s="46" t="s">
        <v>17139</v>
      </c>
      <c r="B3117" s="46" t="s">
        <v>56280</v>
      </c>
      <c r="C3117" s="58" t="str">
        <f>"23057823"</f>
        <v>23057823</v>
      </c>
      <c r="D3117" s="58" t="str">
        <f>"23057823"</f>
        <v>23057823</v>
      </c>
      <c r="E3117" s="46" t="s">
        <v>17141</v>
      </c>
      <c r="F3117" s="46" t="s">
        <v>50652</v>
      </c>
      <c r="G3117" s="46" t="s">
        <v>50584</v>
      </c>
      <c r="H3117" s="48" t="s">
        <v>56716</v>
      </c>
      <c r="I3117" s="48" t="s">
        <v>50564</v>
      </c>
      <c r="J3117" s="48"/>
      <c r="K3117" s="50"/>
      <c r="L3117" s="48"/>
    </row>
    <row r="3118" spans="1:12" s="37" customFormat="1" ht="11.25" x14ac:dyDescent="0.2">
      <c r="A3118" s="45" t="s">
        <v>30224</v>
      </c>
      <c r="B3118" s="45" t="s">
        <v>30226</v>
      </c>
      <c r="C3118" s="51" t="s">
        <v>30228</v>
      </c>
      <c r="D3118" s="51" t="s">
        <v>30227</v>
      </c>
      <c r="E3118" s="45" t="s">
        <v>20225</v>
      </c>
      <c r="F3118" s="45" t="s">
        <v>50646</v>
      </c>
      <c r="G3118" s="45" t="s">
        <v>50584</v>
      </c>
      <c r="H3118" s="56"/>
      <c r="I3118" s="56" t="s">
        <v>50564</v>
      </c>
      <c r="J3118" s="56"/>
      <c r="K3118" s="50"/>
      <c r="L3118" s="56" t="s">
        <v>56716</v>
      </c>
    </row>
    <row r="3119" spans="1:12" s="37" customFormat="1" ht="11.25" x14ac:dyDescent="0.2">
      <c r="A3119" s="45" t="s">
        <v>30230</v>
      </c>
      <c r="B3119" s="45" t="s">
        <v>30232</v>
      </c>
      <c r="C3119" s="51" t="s">
        <v>30234</v>
      </c>
      <c r="D3119" s="51" t="s">
        <v>30233</v>
      </c>
      <c r="E3119" s="45" t="s">
        <v>12818</v>
      </c>
      <c r="F3119" s="45" t="s">
        <v>18130</v>
      </c>
      <c r="G3119" s="45" t="s">
        <v>50584</v>
      </c>
      <c r="H3119" s="56"/>
      <c r="I3119" s="56" t="s">
        <v>50564</v>
      </c>
      <c r="J3119" s="56"/>
      <c r="K3119" s="50"/>
      <c r="L3119" s="56" t="s">
        <v>56716</v>
      </c>
    </row>
    <row r="3120" spans="1:12" s="37" customFormat="1" ht="11.25" x14ac:dyDescent="0.2">
      <c r="A3120" s="45" t="s">
        <v>30236</v>
      </c>
      <c r="B3120" s="45" t="s">
        <v>30238</v>
      </c>
      <c r="C3120" s="51" t="s">
        <v>30241</v>
      </c>
      <c r="D3120" s="51" t="s">
        <v>30240</v>
      </c>
      <c r="E3120" s="45" t="s">
        <v>18520</v>
      </c>
      <c r="F3120" s="45" t="s">
        <v>50646</v>
      </c>
      <c r="G3120" s="45" t="s">
        <v>50584</v>
      </c>
      <c r="H3120" s="56"/>
      <c r="I3120" s="56" t="s">
        <v>50564</v>
      </c>
      <c r="J3120" s="56"/>
      <c r="K3120" s="50"/>
      <c r="L3120" s="56" t="s">
        <v>56716</v>
      </c>
    </row>
    <row r="3121" spans="1:12" s="37" customFormat="1" ht="11.25" x14ac:dyDescent="0.2">
      <c r="A3121" s="45" t="s">
        <v>56565</v>
      </c>
      <c r="B3121" s="45" t="s">
        <v>56566</v>
      </c>
      <c r="C3121" s="51"/>
      <c r="D3121" s="51" t="s">
        <v>56567</v>
      </c>
      <c r="E3121" s="45" t="s">
        <v>56568</v>
      </c>
      <c r="F3121" s="45" t="s">
        <v>17759</v>
      </c>
      <c r="G3121" s="45" t="s">
        <v>50584</v>
      </c>
      <c r="H3121" s="56"/>
      <c r="I3121" s="56" t="s">
        <v>50564</v>
      </c>
      <c r="J3121" s="56"/>
      <c r="K3121" s="50"/>
      <c r="L3121" s="56" t="s">
        <v>56716</v>
      </c>
    </row>
    <row r="3122" spans="1:12" s="37" customFormat="1" ht="11.25" x14ac:dyDescent="0.2">
      <c r="A3122" s="46" t="s">
        <v>15560</v>
      </c>
      <c r="B3122" s="46" t="s">
        <v>52744</v>
      </c>
      <c r="C3122" s="58" t="str">
        <f>"22118160"</f>
        <v>22118160</v>
      </c>
      <c r="D3122" s="58" t="str">
        <f>"22118179"</f>
        <v>22118179</v>
      </c>
      <c r="E3122" s="46" t="s">
        <v>91</v>
      </c>
      <c r="F3122" s="46" t="s">
        <v>18001</v>
      </c>
      <c r="G3122" s="46" t="s">
        <v>50584</v>
      </c>
      <c r="H3122" s="48" t="s">
        <v>56716</v>
      </c>
      <c r="I3122" s="48" t="s">
        <v>50564</v>
      </c>
      <c r="J3122" s="48" t="s">
        <v>56716</v>
      </c>
      <c r="K3122" s="50" t="s">
        <v>56716</v>
      </c>
      <c r="L3122" s="48" t="s">
        <v>56716</v>
      </c>
    </row>
    <row r="3123" spans="1:12" s="37" customFormat="1" ht="11.25" x14ac:dyDescent="0.2">
      <c r="A3123" s="45" t="s">
        <v>30243</v>
      </c>
      <c r="B3123" s="45" t="s">
        <v>30245</v>
      </c>
      <c r="C3123" s="51" t="s">
        <v>30247</v>
      </c>
      <c r="D3123" s="51" t="s">
        <v>30246</v>
      </c>
      <c r="E3123" s="45" t="s">
        <v>30248</v>
      </c>
      <c r="F3123" s="45" t="s">
        <v>18959</v>
      </c>
      <c r="G3123" s="45" t="s">
        <v>50584</v>
      </c>
      <c r="H3123" s="56"/>
      <c r="I3123" s="56" t="s">
        <v>50564</v>
      </c>
      <c r="J3123" s="56"/>
      <c r="K3123" s="50"/>
      <c r="L3123" s="56" t="s">
        <v>56716</v>
      </c>
    </row>
    <row r="3124" spans="1:12" s="37" customFormat="1" ht="11.25" x14ac:dyDescent="0.2">
      <c r="A3124" s="46" t="s">
        <v>11862</v>
      </c>
      <c r="B3124" s="46" t="s">
        <v>11862</v>
      </c>
      <c r="C3124" s="58" t="str">
        <f>"17441692"</f>
        <v>17441692</v>
      </c>
      <c r="D3124" s="58" t="str">
        <f>"17441706"</f>
        <v>17441706</v>
      </c>
      <c r="E3124" s="46" t="s">
        <v>689</v>
      </c>
      <c r="F3124" s="46" t="s">
        <v>50646</v>
      </c>
      <c r="G3124" s="46" t="s">
        <v>50584</v>
      </c>
      <c r="H3124" s="48" t="s">
        <v>56716</v>
      </c>
      <c r="I3124" s="48" t="s">
        <v>50564</v>
      </c>
      <c r="J3124" s="48" t="s">
        <v>56716</v>
      </c>
      <c r="K3124" s="50" t="s">
        <v>56716</v>
      </c>
      <c r="L3124" s="48" t="s">
        <v>56716</v>
      </c>
    </row>
    <row r="3125" spans="1:12" s="37" customFormat="1" ht="11.25" x14ac:dyDescent="0.2">
      <c r="A3125" s="46" t="s">
        <v>17581</v>
      </c>
      <c r="B3125" s="46" t="s">
        <v>52745</v>
      </c>
      <c r="C3125" s="58" t="str">
        <f>"21925682"</f>
        <v>21925682</v>
      </c>
      <c r="D3125" s="58" t="str">
        <f>"21925690"</f>
        <v>21925690</v>
      </c>
      <c r="E3125" s="46" t="s">
        <v>371</v>
      </c>
      <c r="F3125" s="46" t="s">
        <v>17759</v>
      </c>
      <c r="G3125" s="46" t="s">
        <v>50584</v>
      </c>
      <c r="H3125" s="48" t="s">
        <v>56716</v>
      </c>
      <c r="I3125" s="48" t="s">
        <v>50564</v>
      </c>
      <c r="J3125" s="48" t="s">
        <v>56716</v>
      </c>
      <c r="K3125" s="50" t="s">
        <v>56716</v>
      </c>
      <c r="L3125" s="48"/>
    </row>
    <row r="3126" spans="1:12" s="37" customFormat="1" ht="11.25" x14ac:dyDescent="0.2">
      <c r="A3126" s="46" t="s">
        <v>11034</v>
      </c>
      <c r="B3126" s="46" t="s">
        <v>52746</v>
      </c>
      <c r="C3126" s="58" t="str">
        <f>""</f>
        <v/>
      </c>
      <c r="D3126" s="58" t="str">
        <f>"17448603"</f>
        <v>17448603</v>
      </c>
      <c r="E3126" s="46" t="s">
        <v>2299</v>
      </c>
      <c r="F3126" s="46" t="s">
        <v>50646</v>
      </c>
      <c r="G3126" s="46" t="s">
        <v>50584</v>
      </c>
      <c r="H3126" s="48" t="s">
        <v>56716</v>
      </c>
      <c r="I3126" s="48" t="s">
        <v>50564</v>
      </c>
      <c r="J3126" s="48" t="s">
        <v>56716</v>
      </c>
      <c r="K3126" s="50" t="s">
        <v>56716</v>
      </c>
      <c r="L3126" s="48" t="s">
        <v>56716</v>
      </c>
    </row>
    <row r="3127" spans="1:12" s="37" customFormat="1" ht="11.25" x14ac:dyDescent="0.2">
      <c r="A3127" s="46" t="s">
        <v>5445</v>
      </c>
      <c r="B3127" s="46" t="s">
        <v>5445</v>
      </c>
      <c r="C3127" s="58" t="str">
        <f>"09596658"</f>
        <v>09596658</v>
      </c>
      <c r="D3127" s="58" t="str">
        <f>"14602423"</f>
        <v>14602423</v>
      </c>
      <c r="E3127" s="46" t="s">
        <v>55</v>
      </c>
      <c r="F3127" s="46" t="s">
        <v>50646</v>
      </c>
      <c r="G3127" s="46" t="s">
        <v>50584</v>
      </c>
      <c r="H3127" s="48" t="s">
        <v>56716</v>
      </c>
      <c r="I3127" s="48" t="s">
        <v>50564</v>
      </c>
      <c r="J3127" s="48" t="s">
        <v>56716</v>
      </c>
      <c r="K3127" s="50"/>
      <c r="L3127" s="48" t="s">
        <v>56716</v>
      </c>
    </row>
    <row r="3128" spans="1:12" s="37" customFormat="1" ht="11.25" x14ac:dyDescent="0.2">
      <c r="A3128" s="46" t="s">
        <v>1717</v>
      </c>
      <c r="B3128" s="46" t="s">
        <v>52747</v>
      </c>
      <c r="C3128" s="58" t="str">
        <f>"02820080"</f>
        <v>02820080</v>
      </c>
      <c r="D3128" s="58" t="str">
        <f>"15734986"</f>
        <v>15734986</v>
      </c>
      <c r="E3128" s="46" t="s">
        <v>18876</v>
      </c>
      <c r="F3128" s="46" t="s">
        <v>18001</v>
      </c>
      <c r="G3128" s="46" t="s">
        <v>50584</v>
      </c>
      <c r="H3128" s="48" t="s">
        <v>56716</v>
      </c>
      <c r="I3128" s="48" t="s">
        <v>50564</v>
      </c>
      <c r="J3128" s="48" t="s">
        <v>56716</v>
      </c>
      <c r="K3128" s="50" t="s">
        <v>56716</v>
      </c>
      <c r="L3128" s="48" t="s">
        <v>56716</v>
      </c>
    </row>
    <row r="3129" spans="1:12" s="37" customFormat="1" ht="11.25" x14ac:dyDescent="0.2">
      <c r="A3129" s="45" t="s">
        <v>30266</v>
      </c>
      <c r="B3129" s="45" t="s">
        <v>30268</v>
      </c>
      <c r="C3129" s="51" t="s">
        <v>30271</v>
      </c>
      <c r="D3129" s="51" t="s">
        <v>30270</v>
      </c>
      <c r="E3129" s="45" t="s">
        <v>18404</v>
      </c>
      <c r="F3129" s="45" t="s">
        <v>17759</v>
      </c>
      <c r="G3129" s="45" t="s">
        <v>50584</v>
      </c>
      <c r="H3129" s="56"/>
      <c r="I3129" s="56" t="s">
        <v>50564</v>
      </c>
      <c r="J3129" s="56"/>
      <c r="K3129" s="50"/>
      <c r="L3129" s="56" t="s">
        <v>56716</v>
      </c>
    </row>
    <row r="3130" spans="1:12" s="37" customFormat="1" ht="11.25" x14ac:dyDescent="0.2">
      <c r="A3130" s="46" t="s">
        <v>15862</v>
      </c>
      <c r="B3130" s="46" t="s">
        <v>52748</v>
      </c>
      <c r="C3130" s="58" t="str">
        <f>"14764547"</f>
        <v>14764547</v>
      </c>
      <c r="D3130" s="58" t="str">
        <f>""</f>
        <v/>
      </c>
      <c r="E3130" s="46" t="s">
        <v>14212</v>
      </c>
      <c r="F3130" s="46" t="s">
        <v>50646</v>
      </c>
      <c r="G3130" s="46" t="s">
        <v>50584</v>
      </c>
      <c r="H3130" s="48" t="s">
        <v>56716</v>
      </c>
      <c r="I3130" s="48" t="s">
        <v>50566</v>
      </c>
      <c r="J3130" s="48"/>
      <c r="K3130" s="50"/>
      <c r="L3130" s="48"/>
    </row>
    <row r="3131" spans="1:12" s="37" customFormat="1" ht="11.25" x14ac:dyDescent="0.2">
      <c r="A3131" s="45" t="s">
        <v>30281</v>
      </c>
      <c r="B3131" s="45" t="s">
        <v>30283</v>
      </c>
      <c r="C3131" s="51" t="s">
        <v>30285</v>
      </c>
      <c r="D3131" s="51" t="s">
        <v>30284</v>
      </c>
      <c r="E3131" s="45" t="s">
        <v>30286</v>
      </c>
      <c r="F3131" s="45" t="s">
        <v>18158</v>
      </c>
      <c r="G3131" s="45" t="s">
        <v>50592</v>
      </c>
      <c r="H3131" s="56"/>
      <c r="I3131" s="56" t="s">
        <v>50564</v>
      </c>
      <c r="J3131" s="56"/>
      <c r="K3131" s="50"/>
      <c r="L3131" s="56" t="s">
        <v>56716</v>
      </c>
    </row>
    <row r="3132" spans="1:12" s="37" customFormat="1" ht="11.25" x14ac:dyDescent="0.2">
      <c r="A3132" s="46" t="s">
        <v>9520</v>
      </c>
      <c r="B3132" s="46" t="s">
        <v>52749</v>
      </c>
      <c r="C3132" s="58" t="str">
        <f>"13055550"</f>
        <v>13055550</v>
      </c>
      <c r="D3132" s="58" t="str">
        <f>""</f>
        <v/>
      </c>
      <c r="E3132" s="46" t="s">
        <v>5420</v>
      </c>
      <c r="F3132" s="46" t="s">
        <v>18396</v>
      </c>
      <c r="G3132" s="46" t="s">
        <v>50584</v>
      </c>
      <c r="H3132" s="48" t="s">
        <v>56716</v>
      </c>
      <c r="I3132" s="48" t="s">
        <v>50564</v>
      </c>
      <c r="J3132" s="48"/>
      <c r="K3132" s="50"/>
      <c r="L3132" s="48"/>
    </row>
    <row r="3133" spans="1:12" s="37" customFormat="1" ht="11.25" x14ac:dyDescent="0.2">
      <c r="A3133" s="46" t="s">
        <v>1669</v>
      </c>
      <c r="B3133" s="46" t="s">
        <v>52750</v>
      </c>
      <c r="C3133" s="58" t="str">
        <f>"0721832X"</f>
        <v>0721832X</v>
      </c>
      <c r="D3133" s="58" t="str">
        <f>"1435702X"</f>
        <v>1435702X</v>
      </c>
      <c r="E3133" s="46" t="s">
        <v>167</v>
      </c>
      <c r="F3133" s="46" t="s">
        <v>18158</v>
      </c>
      <c r="G3133" s="46" t="s">
        <v>50584</v>
      </c>
      <c r="H3133" s="48" t="s">
        <v>56716</v>
      </c>
      <c r="I3133" s="48" t="s">
        <v>50564</v>
      </c>
      <c r="J3133" s="48" t="s">
        <v>56716</v>
      </c>
      <c r="K3133" s="50" t="s">
        <v>56716</v>
      </c>
      <c r="L3133" s="48" t="s">
        <v>56716</v>
      </c>
    </row>
    <row r="3134" spans="1:12" s="37" customFormat="1" ht="11.25" x14ac:dyDescent="0.2">
      <c r="A3134" s="45" t="s">
        <v>30294</v>
      </c>
      <c r="B3134" s="45" t="s">
        <v>30296</v>
      </c>
      <c r="C3134" s="51" t="s">
        <v>30298</v>
      </c>
      <c r="D3134" s="51" t="s">
        <v>30297</v>
      </c>
      <c r="E3134" s="45" t="s">
        <v>296</v>
      </c>
      <c r="F3134" s="45" t="s">
        <v>17759</v>
      </c>
      <c r="G3134" s="45" t="s">
        <v>50584</v>
      </c>
      <c r="H3134" s="56"/>
      <c r="I3134" s="56" t="s">
        <v>50564</v>
      </c>
      <c r="J3134" s="56"/>
      <c r="K3134" s="50"/>
      <c r="L3134" s="56" t="s">
        <v>56716</v>
      </c>
    </row>
    <row r="3135" spans="1:12" s="37" customFormat="1" ht="11.25" x14ac:dyDescent="0.2">
      <c r="A3135" s="46" t="s">
        <v>4942</v>
      </c>
      <c r="B3135" s="46" t="s">
        <v>4942</v>
      </c>
      <c r="C3135" s="58" t="str">
        <f>"08977194"</f>
        <v>08977194</v>
      </c>
      <c r="D3135" s="58" t="str">
        <f>"10292292"</f>
        <v>10292292</v>
      </c>
      <c r="E3135" s="46" t="s">
        <v>291</v>
      </c>
      <c r="F3135" s="46" t="s">
        <v>50646</v>
      </c>
      <c r="G3135" s="46" t="s">
        <v>50584</v>
      </c>
      <c r="H3135" s="48" t="s">
        <v>56716</v>
      </c>
      <c r="I3135" s="48" t="s">
        <v>50564</v>
      </c>
      <c r="J3135" s="48" t="s">
        <v>56716</v>
      </c>
      <c r="K3135" s="50"/>
      <c r="L3135" s="48" t="s">
        <v>56716</v>
      </c>
    </row>
    <row r="3136" spans="1:12" s="37" customFormat="1" ht="11.25" x14ac:dyDescent="0.2">
      <c r="A3136" s="46" t="s">
        <v>7938</v>
      </c>
      <c r="B3136" s="46" t="s">
        <v>52751</v>
      </c>
      <c r="C3136" s="58" t="str">
        <f>"10966374"</f>
        <v>10966374</v>
      </c>
      <c r="D3136" s="58" t="str">
        <f>"15322238"</f>
        <v>15322238</v>
      </c>
      <c r="E3136" s="46" t="s">
        <v>831</v>
      </c>
      <c r="F3136" s="46" t="s">
        <v>50646</v>
      </c>
      <c r="G3136" s="46" t="s">
        <v>50584</v>
      </c>
      <c r="H3136" s="48" t="s">
        <v>56716</v>
      </c>
      <c r="I3136" s="48" t="s">
        <v>50564</v>
      </c>
      <c r="J3136" s="48" t="s">
        <v>56716</v>
      </c>
      <c r="K3136" s="50" t="s">
        <v>56716</v>
      </c>
      <c r="L3136" s="48" t="s">
        <v>56716</v>
      </c>
    </row>
    <row r="3137" spans="1:12" s="37" customFormat="1" ht="11.25" x14ac:dyDescent="0.2">
      <c r="A3137" s="45" t="s">
        <v>30309</v>
      </c>
      <c r="B3137" s="45" t="s">
        <v>30311</v>
      </c>
      <c r="C3137" s="51" t="s">
        <v>30312</v>
      </c>
      <c r="D3137" s="51"/>
      <c r="E3137" s="45" t="s">
        <v>30313</v>
      </c>
      <c r="F3137" s="45" t="s">
        <v>17958</v>
      </c>
      <c r="G3137" s="45" t="s">
        <v>50586</v>
      </c>
      <c r="H3137" s="56"/>
      <c r="I3137" s="56" t="s">
        <v>50564</v>
      </c>
      <c r="J3137" s="56"/>
      <c r="K3137" s="50"/>
      <c r="L3137" s="56" t="s">
        <v>56716</v>
      </c>
    </row>
    <row r="3138" spans="1:12" s="37" customFormat="1" ht="11.25" x14ac:dyDescent="0.2">
      <c r="A3138" s="46" t="s">
        <v>13073</v>
      </c>
      <c r="B3138" s="46" t="s">
        <v>52752</v>
      </c>
      <c r="C3138" s="58" t="str">
        <f>"13049054"</f>
        <v>13049054</v>
      </c>
      <c r="D3138" s="58" t="str">
        <f>"13086308"</f>
        <v>13086308</v>
      </c>
      <c r="E3138" s="46" t="s">
        <v>13076</v>
      </c>
      <c r="F3138" s="46" t="s">
        <v>18396</v>
      </c>
      <c r="G3138" s="46" t="s">
        <v>50638</v>
      </c>
      <c r="H3138" s="48" t="s">
        <v>56716</v>
      </c>
      <c r="I3138" s="48" t="s">
        <v>50564</v>
      </c>
      <c r="J3138" s="48"/>
      <c r="K3138" s="50"/>
      <c r="L3138" s="48"/>
    </row>
    <row r="3139" spans="1:12" s="37" customFormat="1" ht="11.25" x14ac:dyDescent="0.2">
      <c r="A3139" s="46" t="s">
        <v>1736</v>
      </c>
      <c r="B3139" s="46" t="s">
        <v>1736</v>
      </c>
      <c r="C3139" s="58" t="str">
        <f>"00175749"</f>
        <v>00175749</v>
      </c>
      <c r="D3139" s="58" t="str">
        <f>"14683288"</f>
        <v>14683288</v>
      </c>
      <c r="E3139" s="46" t="s">
        <v>159</v>
      </c>
      <c r="F3139" s="46" t="s">
        <v>50646</v>
      </c>
      <c r="G3139" s="46" t="s">
        <v>50584</v>
      </c>
      <c r="H3139" s="48" t="s">
        <v>56716</v>
      </c>
      <c r="I3139" s="48" t="s">
        <v>50564</v>
      </c>
      <c r="J3139" s="48" t="s">
        <v>56716</v>
      </c>
      <c r="K3139" s="50" t="s">
        <v>56716</v>
      </c>
      <c r="L3139" s="48" t="s">
        <v>56716</v>
      </c>
    </row>
    <row r="3140" spans="1:12" s="37" customFormat="1" ht="11.25" x14ac:dyDescent="0.2">
      <c r="A3140" s="46" t="s">
        <v>12793</v>
      </c>
      <c r="B3140" s="46" t="s">
        <v>30328</v>
      </c>
      <c r="C3140" s="58" t="str">
        <f>"19762283"</f>
        <v>19762283</v>
      </c>
      <c r="D3140" s="58" t="str">
        <f>""</f>
        <v/>
      </c>
      <c r="E3140" s="46" t="s">
        <v>12795</v>
      </c>
      <c r="F3140" s="46" t="s">
        <v>50649</v>
      </c>
      <c r="G3140" s="46" t="s">
        <v>50584</v>
      </c>
      <c r="H3140" s="48" t="s">
        <v>56716</v>
      </c>
      <c r="I3140" s="48" t="s">
        <v>50564</v>
      </c>
      <c r="J3140" s="48"/>
      <c r="K3140" s="50"/>
      <c r="L3140" s="48" t="s">
        <v>56716</v>
      </c>
    </row>
    <row r="3141" spans="1:12" s="37" customFormat="1" ht="11.25" x14ac:dyDescent="0.2">
      <c r="A3141" s="46" t="s">
        <v>14585</v>
      </c>
      <c r="B3141" s="46" t="s">
        <v>14585</v>
      </c>
      <c r="C3141" s="58" t="str">
        <f>"19490976"</f>
        <v>19490976</v>
      </c>
      <c r="D3141" s="58" t="str">
        <f>"19490984"</f>
        <v>19490984</v>
      </c>
      <c r="E3141" s="46" t="s">
        <v>669</v>
      </c>
      <c r="F3141" s="46" t="s">
        <v>17759</v>
      </c>
      <c r="G3141" s="46" t="s">
        <v>50584</v>
      </c>
      <c r="H3141" s="48" t="s">
        <v>56716</v>
      </c>
      <c r="I3141" s="48" t="s">
        <v>50564</v>
      </c>
      <c r="J3141" s="48"/>
      <c r="K3141" s="50"/>
      <c r="L3141" s="48" t="s">
        <v>56716</v>
      </c>
    </row>
    <row r="3142" spans="1:12" s="37" customFormat="1" ht="11.25" x14ac:dyDescent="0.2">
      <c r="A3142" s="46" t="s">
        <v>5826</v>
      </c>
      <c r="B3142" s="46" t="s">
        <v>52753</v>
      </c>
      <c r="C3142" s="58" t="str">
        <f>"13300091"</f>
        <v>13300091</v>
      </c>
      <c r="D3142" s="58" t="str">
        <f>""</f>
        <v/>
      </c>
      <c r="E3142" s="46" t="s">
        <v>5828</v>
      </c>
      <c r="F3142" s="46" t="s">
        <v>18079</v>
      </c>
      <c r="G3142" s="46" t="s">
        <v>50626</v>
      </c>
      <c r="H3142" s="48" t="s">
        <v>56716</v>
      </c>
      <c r="I3142" s="48" t="s">
        <v>50564</v>
      </c>
      <c r="J3142" s="48"/>
      <c r="K3142" s="50"/>
      <c r="L3142" s="48"/>
    </row>
    <row r="3143" spans="1:12" s="37" customFormat="1" ht="11.25" x14ac:dyDescent="0.2">
      <c r="A3143" s="46" t="s">
        <v>10111</v>
      </c>
      <c r="B3143" s="46" t="s">
        <v>52754</v>
      </c>
      <c r="C3143" s="58" t="str">
        <f>"13310151"</f>
        <v>13310151</v>
      </c>
      <c r="D3143" s="58" t="str">
        <f>""</f>
        <v/>
      </c>
      <c r="E3143" s="46" t="s">
        <v>5828</v>
      </c>
      <c r="F3143" s="46" t="s">
        <v>18079</v>
      </c>
      <c r="G3143" s="46" t="s">
        <v>50626</v>
      </c>
      <c r="H3143" s="48" t="s">
        <v>56716</v>
      </c>
      <c r="I3143" s="48" t="s">
        <v>50564</v>
      </c>
      <c r="J3143" s="48"/>
      <c r="K3143" s="50"/>
      <c r="L3143" s="48"/>
    </row>
    <row r="3144" spans="1:12" s="37" customFormat="1" ht="11.25" x14ac:dyDescent="0.2">
      <c r="A3144" s="46" t="s">
        <v>1739</v>
      </c>
      <c r="B3144" s="46" t="s">
        <v>1739</v>
      </c>
      <c r="C3144" s="58" t="str">
        <f>"00175994"</f>
        <v>00175994</v>
      </c>
      <c r="D3144" s="58" t="str">
        <f>"14330393"</f>
        <v>14330393</v>
      </c>
      <c r="E3144" s="46" t="s">
        <v>167</v>
      </c>
      <c r="F3144" s="46" t="s">
        <v>18158</v>
      </c>
      <c r="G3144" s="46" t="s">
        <v>50593</v>
      </c>
      <c r="H3144" s="48" t="s">
        <v>56716</v>
      </c>
      <c r="I3144" s="48" t="s">
        <v>50564</v>
      </c>
      <c r="J3144" s="48"/>
      <c r="K3144" s="50" t="s">
        <v>56716</v>
      </c>
      <c r="L3144" s="48"/>
    </row>
    <row r="3145" spans="1:12" s="37" customFormat="1" ht="11.25" x14ac:dyDescent="0.2">
      <c r="A3145" s="46" t="s">
        <v>10546</v>
      </c>
      <c r="B3145" s="46" t="s">
        <v>52755</v>
      </c>
      <c r="C3145" s="58" t="str">
        <f>"16102894"</f>
        <v>16102894</v>
      </c>
      <c r="D3145" s="58" t="str">
        <f>"16102908"</f>
        <v>16102908</v>
      </c>
      <c r="E3145" s="46" t="s">
        <v>167</v>
      </c>
      <c r="F3145" s="46" t="s">
        <v>18158</v>
      </c>
      <c r="G3145" s="46" t="s">
        <v>50593</v>
      </c>
      <c r="H3145" s="48" t="s">
        <v>56716</v>
      </c>
      <c r="I3145" s="48" t="s">
        <v>50564</v>
      </c>
      <c r="J3145" s="48"/>
      <c r="K3145" s="50" t="s">
        <v>56716</v>
      </c>
      <c r="L3145" s="48"/>
    </row>
    <row r="3146" spans="1:12" s="37" customFormat="1" ht="11.25" x14ac:dyDescent="0.2">
      <c r="A3146" s="46" t="s">
        <v>1745</v>
      </c>
      <c r="B3146" s="46" t="s">
        <v>52756</v>
      </c>
      <c r="C3146" s="58" t="str">
        <f>"03418677"</f>
        <v>03418677</v>
      </c>
      <c r="D3146" s="58" t="str">
        <f>""</f>
        <v/>
      </c>
      <c r="E3146" s="46" t="s">
        <v>1747</v>
      </c>
      <c r="F3146" s="46" t="s">
        <v>18158</v>
      </c>
      <c r="G3146" s="46" t="s">
        <v>50593</v>
      </c>
      <c r="H3146" s="48" t="s">
        <v>56716</v>
      </c>
      <c r="I3146" s="48" t="s">
        <v>50564</v>
      </c>
      <c r="J3146" s="48"/>
      <c r="K3146" s="50"/>
      <c r="L3146" s="48"/>
    </row>
    <row r="3147" spans="1:12" s="37" customFormat="1" ht="11.25" x14ac:dyDescent="0.2">
      <c r="A3147" s="46" t="s">
        <v>1725</v>
      </c>
      <c r="B3147" s="46" t="s">
        <v>52757</v>
      </c>
      <c r="C3147" s="58" t="str">
        <f>"03787346"</f>
        <v>03787346</v>
      </c>
      <c r="D3147" s="58" t="str">
        <f>"1423002X"</f>
        <v>1423002X</v>
      </c>
      <c r="E3147" s="46" t="s">
        <v>109</v>
      </c>
      <c r="F3147" s="46" t="s">
        <v>18123</v>
      </c>
      <c r="G3147" s="46" t="s">
        <v>50584</v>
      </c>
      <c r="H3147" s="48" t="s">
        <v>56716</v>
      </c>
      <c r="I3147" s="48" t="s">
        <v>50564</v>
      </c>
      <c r="J3147" s="48" t="s">
        <v>56716</v>
      </c>
      <c r="K3147" s="50" t="s">
        <v>56716</v>
      </c>
      <c r="L3147" s="48" t="s">
        <v>56716</v>
      </c>
    </row>
    <row r="3148" spans="1:12" s="37" customFormat="1" ht="11.25" x14ac:dyDescent="0.2">
      <c r="A3148" s="46" t="s">
        <v>1742</v>
      </c>
      <c r="B3148" s="46" t="s">
        <v>52758</v>
      </c>
      <c r="C3148" s="58" t="str">
        <f>"00908258"</f>
        <v>00908258</v>
      </c>
      <c r="D3148" s="58" t="str">
        <f>"10956859"</f>
        <v>10956859</v>
      </c>
      <c r="E3148" s="46" t="s">
        <v>60</v>
      </c>
      <c r="F3148" s="46" t="s">
        <v>17759</v>
      </c>
      <c r="G3148" s="46" t="s">
        <v>50584</v>
      </c>
      <c r="H3148" s="48" t="s">
        <v>56716</v>
      </c>
      <c r="I3148" s="48" t="s">
        <v>50564</v>
      </c>
      <c r="J3148" s="48" t="s">
        <v>56716</v>
      </c>
      <c r="K3148" s="50" t="s">
        <v>56716</v>
      </c>
      <c r="L3148" s="48" t="s">
        <v>56716</v>
      </c>
    </row>
    <row r="3149" spans="1:12" s="37" customFormat="1" ht="11.25" x14ac:dyDescent="0.2">
      <c r="A3149" s="46" t="s">
        <v>15549</v>
      </c>
      <c r="B3149" s="46" t="s">
        <v>52759</v>
      </c>
      <c r="C3149" s="58" t="str">
        <f>""</f>
        <v/>
      </c>
      <c r="D3149" s="58" t="str">
        <f>"2211338X"</f>
        <v>2211338X</v>
      </c>
      <c r="E3149" s="46" t="s">
        <v>272</v>
      </c>
      <c r="F3149" s="46" t="s">
        <v>17759</v>
      </c>
      <c r="G3149" s="46" t="s">
        <v>50584</v>
      </c>
      <c r="H3149" s="48" t="s">
        <v>56716</v>
      </c>
      <c r="I3149" s="48" t="s">
        <v>50564</v>
      </c>
      <c r="J3149" s="48" t="s">
        <v>56716</v>
      </c>
      <c r="K3149" s="50"/>
      <c r="L3149" s="48"/>
    </row>
    <row r="3150" spans="1:12" s="37" customFormat="1" ht="11.25" x14ac:dyDescent="0.2">
      <c r="A3150" s="46" t="s">
        <v>4916</v>
      </c>
      <c r="B3150" s="46" t="s">
        <v>52760</v>
      </c>
      <c r="C3150" s="58" t="str">
        <f>"09513590"</f>
        <v>09513590</v>
      </c>
      <c r="D3150" s="58" t="str">
        <f>"14730766"</f>
        <v>14730766</v>
      </c>
      <c r="E3150" s="46" t="s">
        <v>291</v>
      </c>
      <c r="F3150" s="46" t="s">
        <v>50646</v>
      </c>
      <c r="G3150" s="46" t="s">
        <v>50584</v>
      </c>
      <c r="H3150" s="48" t="s">
        <v>56716</v>
      </c>
      <c r="I3150" s="48" t="s">
        <v>50564</v>
      </c>
      <c r="J3150" s="48" t="s">
        <v>56716</v>
      </c>
      <c r="K3150" s="50"/>
      <c r="L3150" s="48" t="s">
        <v>56716</v>
      </c>
    </row>
    <row r="3151" spans="1:12" s="37" customFormat="1" ht="11.25" x14ac:dyDescent="0.2">
      <c r="A3151" s="46" t="s">
        <v>10586</v>
      </c>
      <c r="B3151" s="46" t="s">
        <v>52761</v>
      </c>
      <c r="C3151" s="58" t="str">
        <f>"16132076"</f>
        <v>16132076</v>
      </c>
      <c r="D3151" s="58" t="str">
        <f>"16132084"</f>
        <v>16132084</v>
      </c>
      <c r="E3151" s="46" t="s">
        <v>167</v>
      </c>
      <c r="F3151" s="46" t="s">
        <v>18158</v>
      </c>
      <c r="G3151" s="46" t="s">
        <v>50584</v>
      </c>
      <c r="H3151" s="48" t="s">
        <v>56716</v>
      </c>
      <c r="I3151" s="48" t="s">
        <v>50564</v>
      </c>
      <c r="J3151" s="48"/>
      <c r="K3151" s="50" t="s">
        <v>56716</v>
      </c>
      <c r="L3151" s="48"/>
    </row>
    <row r="3152" spans="1:12" s="37" customFormat="1" ht="11.25" x14ac:dyDescent="0.2">
      <c r="A3152" s="46" t="s">
        <v>8410</v>
      </c>
      <c r="B3152" s="46" t="s">
        <v>52762</v>
      </c>
      <c r="C3152" s="58" t="str">
        <f>"12979589"</f>
        <v>12979589</v>
      </c>
      <c r="D3152" s="58" t="str">
        <f>"17696682"</f>
        <v>17696682</v>
      </c>
      <c r="E3152" s="46" t="s">
        <v>85</v>
      </c>
      <c r="F3152" s="46" t="s">
        <v>20359</v>
      </c>
      <c r="G3152" s="46" t="s">
        <v>50591</v>
      </c>
      <c r="H3152" s="48" t="s">
        <v>56716</v>
      </c>
      <c r="I3152" s="48" t="s">
        <v>50564</v>
      </c>
      <c r="J3152" s="48"/>
      <c r="K3152" s="50" t="s">
        <v>56716</v>
      </c>
      <c r="L3152" s="48" t="s">
        <v>56716</v>
      </c>
    </row>
    <row r="3153" spans="1:12" s="37" customFormat="1" ht="11.25" x14ac:dyDescent="0.2">
      <c r="A3153" s="46" t="s">
        <v>16555</v>
      </c>
      <c r="B3153" s="46" t="s">
        <v>52763</v>
      </c>
      <c r="C3153" s="58" t="str">
        <f>"22133070"</f>
        <v>22133070</v>
      </c>
      <c r="D3153" s="58" t="str">
        <f>"22133089"</f>
        <v>22133089</v>
      </c>
      <c r="E3153" s="46" t="s">
        <v>91</v>
      </c>
      <c r="F3153" s="46" t="s">
        <v>18001</v>
      </c>
      <c r="G3153" s="46" t="s">
        <v>50584</v>
      </c>
      <c r="H3153" s="48" t="s">
        <v>56716</v>
      </c>
      <c r="I3153" s="48" t="s">
        <v>50564</v>
      </c>
      <c r="J3153" s="48" t="s">
        <v>56716</v>
      </c>
      <c r="K3153" s="50" t="s">
        <v>56716</v>
      </c>
      <c r="L3153" s="48"/>
    </row>
    <row r="3154" spans="1:12" s="37" customFormat="1" ht="11.25" x14ac:dyDescent="0.2">
      <c r="A3154" s="46" t="s">
        <v>12205</v>
      </c>
      <c r="B3154" s="46" t="s">
        <v>52764</v>
      </c>
      <c r="C3154" s="58" t="str">
        <f>"13000608"</f>
        <v>13000608</v>
      </c>
      <c r="D3154" s="58" t="str">
        <f>""</f>
        <v/>
      </c>
      <c r="E3154" s="46" t="s">
        <v>12207</v>
      </c>
      <c r="F3154" s="46" t="s">
        <v>18396</v>
      </c>
      <c r="G3154" s="46" t="s">
        <v>50637</v>
      </c>
      <c r="H3154" s="48" t="s">
        <v>56716</v>
      </c>
      <c r="I3154" s="48" t="s">
        <v>50564</v>
      </c>
      <c r="J3154" s="48"/>
      <c r="K3154" s="50"/>
      <c r="L3154" s="48"/>
    </row>
    <row r="3155" spans="1:12" s="37" customFormat="1" ht="11.25" x14ac:dyDescent="0.2">
      <c r="A3155" s="46" t="s">
        <v>1751</v>
      </c>
      <c r="B3155" s="46" t="s">
        <v>1751</v>
      </c>
      <c r="C3155" s="58" t="str">
        <f>"03906078"</f>
        <v>03906078</v>
      </c>
      <c r="D3155" s="58" t="str">
        <f>"15928721"</f>
        <v>15928721</v>
      </c>
      <c r="E3155" s="46" t="s">
        <v>1754</v>
      </c>
      <c r="F3155" s="46" t="s">
        <v>17991</v>
      </c>
      <c r="G3155" s="46" t="s">
        <v>50602</v>
      </c>
      <c r="H3155" s="48" t="s">
        <v>56716</v>
      </c>
      <c r="I3155" s="48" t="s">
        <v>50564</v>
      </c>
      <c r="J3155" s="48"/>
      <c r="K3155" s="50"/>
      <c r="L3155" s="48" t="s">
        <v>56716</v>
      </c>
    </row>
    <row r="3156" spans="1:12" s="37" customFormat="1" ht="11.25" x14ac:dyDescent="0.2">
      <c r="A3156" s="46" t="s">
        <v>12813</v>
      </c>
      <c r="B3156" s="46" t="s">
        <v>52765</v>
      </c>
      <c r="C3156" s="58" t="str">
        <f>"19707339"</f>
        <v>19707339</v>
      </c>
      <c r="D3156" s="58" t="str">
        <f>""</f>
        <v/>
      </c>
      <c r="E3156" s="46" t="s">
        <v>1754</v>
      </c>
      <c r="F3156" s="46" t="s">
        <v>17991</v>
      </c>
      <c r="G3156" s="46" t="s">
        <v>50584</v>
      </c>
      <c r="H3156" s="48" t="s">
        <v>56716</v>
      </c>
      <c r="I3156" s="48" t="s">
        <v>50564</v>
      </c>
      <c r="J3156" s="48"/>
      <c r="K3156" s="50"/>
      <c r="L3156" s="48"/>
    </row>
    <row r="3157" spans="1:12" s="37" customFormat="1" ht="11.25" x14ac:dyDescent="0.2">
      <c r="A3157" s="46" t="s">
        <v>6810</v>
      </c>
      <c r="B3157" s="46" t="s">
        <v>6810</v>
      </c>
      <c r="C3157" s="58" t="str">
        <f>"13518216"</f>
        <v>13518216</v>
      </c>
      <c r="D3157" s="58" t="str">
        <f>"13652516"</f>
        <v>13652516</v>
      </c>
      <c r="E3157" s="46" t="s">
        <v>35</v>
      </c>
      <c r="F3157" s="46" t="s">
        <v>50646</v>
      </c>
      <c r="G3157" s="46" t="s">
        <v>50584</v>
      </c>
      <c r="H3157" s="48" t="s">
        <v>56716</v>
      </c>
      <c r="I3157" s="48" t="s">
        <v>50564</v>
      </c>
      <c r="J3157" s="48" t="s">
        <v>56716</v>
      </c>
      <c r="K3157" s="50" t="s">
        <v>56716</v>
      </c>
      <c r="L3157" s="48" t="s">
        <v>56716</v>
      </c>
    </row>
    <row r="3158" spans="1:12" s="37" customFormat="1" ht="11.25" x14ac:dyDescent="0.2">
      <c r="A3158" s="46" t="s">
        <v>9485</v>
      </c>
      <c r="B3158" s="46" t="s">
        <v>52766</v>
      </c>
      <c r="C3158" s="58" t="str">
        <f>"15356523"</f>
        <v>15356523</v>
      </c>
      <c r="D3158" s="58" t="str">
        <f>"15414485"</f>
        <v>15414485</v>
      </c>
      <c r="E3158" s="46" t="s">
        <v>1945</v>
      </c>
      <c r="F3158" s="46" t="s">
        <v>17759</v>
      </c>
      <c r="G3158" s="46" t="s">
        <v>50584</v>
      </c>
      <c r="H3158" s="48" t="s">
        <v>56716</v>
      </c>
      <c r="I3158" s="48" t="s">
        <v>50564</v>
      </c>
      <c r="J3158" s="48"/>
      <c r="K3158" s="50"/>
      <c r="L3158" s="48"/>
    </row>
    <row r="3159" spans="1:12" s="37" customFormat="1" ht="11.25" x14ac:dyDescent="0.2">
      <c r="A3159" s="46" t="s">
        <v>1756</v>
      </c>
      <c r="B3159" s="46" t="s">
        <v>1756</v>
      </c>
      <c r="C3159" s="58" t="str">
        <f>"07209355"</f>
        <v>07209355</v>
      </c>
      <c r="D3159" s="58" t="str">
        <f>""</f>
        <v/>
      </c>
      <c r="E3159" s="46" t="s">
        <v>1758</v>
      </c>
      <c r="F3159" s="46" t="s">
        <v>18158</v>
      </c>
      <c r="G3159" s="46" t="s">
        <v>50593</v>
      </c>
      <c r="H3159" s="48" t="s">
        <v>56716</v>
      </c>
      <c r="I3159" s="48" t="s">
        <v>50564</v>
      </c>
      <c r="J3159" s="48"/>
      <c r="K3159" s="50"/>
      <c r="L3159" s="48" t="s">
        <v>56716</v>
      </c>
    </row>
    <row r="3160" spans="1:12" s="37" customFormat="1" ht="11.25" x14ac:dyDescent="0.2">
      <c r="A3160" s="46" t="s">
        <v>1748</v>
      </c>
      <c r="B3160" s="46" t="s">
        <v>52767</v>
      </c>
      <c r="C3160" s="58" t="str">
        <f>"07490712"</f>
        <v>07490712</v>
      </c>
      <c r="D3160" s="58" t="str">
        <f>"15581969"</f>
        <v>15581969</v>
      </c>
      <c r="E3160" s="46" t="s">
        <v>303</v>
      </c>
      <c r="F3160" s="46" t="s">
        <v>17759</v>
      </c>
      <c r="G3160" s="46" t="s">
        <v>50584</v>
      </c>
      <c r="H3160" s="48" t="s">
        <v>56716</v>
      </c>
      <c r="I3160" s="48" t="s">
        <v>50564</v>
      </c>
      <c r="J3160" s="48"/>
      <c r="K3160" s="50" t="s">
        <v>56716</v>
      </c>
      <c r="L3160" s="48" t="s">
        <v>56716</v>
      </c>
    </row>
    <row r="3161" spans="1:12" s="37" customFormat="1" ht="11.25" x14ac:dyDescent="0.2">
      <c r="A3161" s="45" t="s">
        <v>30370</v>
      </c>
      <c r="B3161" s="45" t="s">
        <v>30372</v>
      </c>
      <c r="C3161" s="51" t="s">
        <v>30374</v>
      </c>
      <c r="D3161" s="51" t="s">
        <v>30373</v>
      </c>
      <c r="E3161" s="45" t="s">
        <v>30375</v>
      </c>
      <c r="F3161" s="45" t="s">
        <v>19491</v>
      </c>
      <c r="G3161" s="45" t="s">
        <v>50584</v>
      </c>
      <c r="H3161" s="56"/>
      <c r="I3161" s="56" t="s">
        <v>50564</v>
      </c>
      <c r="J3161" s="56"/>
      <c r="K3161" s="50"/>
      <c r="L3161" s="56" t="s">
        <v>56716</v>
      </c>
    </row>
    <row r="3162" spans="1:12" s="37" customFormat="1" ht="11.25" x14ac:dyDescent="0.2">
      <c r="A3162" s="46" t="s">
        <v>16100</v>
      </c>
      <c r="B3162" s="46" t="s">
        <v>52768</v>
      </c>
      <c r="C3162" s="58" t="str">
        <f>"17589983"</f>
        <v>17589983</v>
      </c>
      <c r="D3162" s="58" t="str">
        <f>"17589991"</f>
        <v>17589991</v>
      </c>
      <c r="E3162" s="46" t="s">
        <v>97</v>
      </c>
      <c r="F3162" s="46" t="s">
        <v>50646</v>
      </c>
      <c r="G3162" s="46" t="s">
        <v>50584</v>
      </c>
      <c r="H3162" s="48" t="s">
        <v>56716</v>
      </c>
      <c r="I3162" s="48" t="s">
        <v>50564</v>
      </c>
      <c r="J3162" s="48" t="s">
        <v>56716</v>
      </c>
      <c r="K3162" s="50"/>
      <c r="L3162" s="48"/>
    </row>
    <row r="3163" spans="1:12" s="37" customFormat="1" ht="11.25" x14ac:dyDescent="0.2">
      <c r="A3163" s="45" t="s">
        <v>30377</v>
      </c>
      <c r="B3163" s="45" t="s">
        <v>30379</v>
      </c>
      <c r="C3163" s="51" t="s">
        <v>30380</v>
      </c>
      <c r="D3163" s="51"/>
      <c r="E3163" s="45" t="s">
        <v>30381</v>
      </c>
      <c r="F3163" s="45" t="s">
        <v>18001</v>
      </c>
      <c r="G3163" s="45" t="s">
        <v>50584</v>
      </c>
      <c r="H3163" s="56"/>
      <c r="I3163" s="56" t="s">
        <v>50564</v>
      </c>
      <c r="J3163" s="56"/>
      <c r="K3163" s="50"/>
      <c r="L3163" s="56" t="s">
        <v>56716</v>
      </c>
    </row>
    <row r="3164" spans="1:12" s="37" customFormat="1" ht="11.25" x14ac:dyDescent="0.2">
      <c r="A3164" s="46" t="s">
        <v>13173</v>
      </c>
      <c r="B3164" s="46" t="s">
        <v>52769</v>
      </c>
      <c r="C3164" s="58" t="str">
        <f>"01712004"</f>
        <v>01712004</v>
      </c>
      <c r="D3164" s="58" t="str">
        <f>"18650325"</f>
        <v>18650325</v>
      </c>
      <c r="E3164" s="46" t="s">
        <v>56305</v>
      </c>
      <c r="F3164" s="46" t="s">
        <v>17759</v>
      </c>
      <c r="G3164" s="46" t="s">
        <v>50584</v>
      </c>
      <c r="H3164" s="48" t="s">
        <v>56716</v>
      </c>
      <c r="I3164" s="48" t="s">
        <v>50565</v>
      </c>
      <c r="J3164" s="48" t="s">
        <v>56716</v>
      </c>
      <c r="K3164" s="50"/>
      <c r="L3164" s="48" t="s">
        <v>56716</v>
      </c>
    </row>
    <row r="3165" spans="1:12" s="37" customFormat="1" ht="11.25" x14ac:dyDescent="0.2">
      <c r="A3165" s="45" t="s">
        <v>30388</v>
      </c>
      <c r="B3165" s="45" t="s">
        <v>30390</v>
      </c>
      <c r="C3165" s="51" t="s">
        <v>30393</v>
      </c>
      <c r="D3165" s="51" t="s">
        <v>30392</v>
      </c>
      <c r="E3165" s="45" t="s">
        <v>30394</v>
      </c>
      <c r="F3165" s="45" t="s">
        <v>18158</v>
      </c>
      <c r="G3165" s="45" t="s">
        <v>50592</v>
      </c>
      <c r="H3165" s="56"/>
      <c r="I3165" s="56" t="s">
        <v>50564</v>
      </c>
      <c r="J3165" s="56"/>
      <c r="K3165" s="50"/>
      <c r="L3165" s="56" t="s">
        <v>56716</v>
      </c>
    </row>
    <row r="3166" spans="1:12" s="37" customFormat="1" ht="11.25" x14ac:dyDescent="0.2">
      <c r="A3166" s="45" t="s">
        <v>30396</v>
      </c>
      <c r="B3166" s="45" t="s">
        <v>30396</v>
      </c>
      <c r="C3166" s="51" t="s">
        <v>30398</v>
      </c>
      <c r="D3166" s="51"/>
      <c r="E3166" s="45" t="s">
        <v>8618</v>
      </c>
      <c r="F3166" s="45" t="s">
        <v>19134</v>
      </c>
      <c r="G3166" s="45" t="s">
        <v>56569</v>
      </c>
      <c r="H3166" s="56"/>
      <c r="I3166" s="56" t="s">
        <v>50564</v>
      </c>
      <c r="J3166" s="56"/>
      <c r="K3166" s="50"/>
      <c r="L3166" s="56" t="s">
        <v>56716</v>
      </c>
    </row>
    <row r="3167" spans="1:12" s="37" customFormat="1" ht="11.25" x14ac:dyDescent="0.2">
      <c r="A3167" s="46" t="s">
        <v>10258</v>
      </c>
      <c r="B3167" s="46" t="s">
        <v>52770</v>
      </c>
      <c r="C3167" s="58" t="str">
        <f>""</f>
        <v/>
      </c>
      <c r="D3167" s="58" t="str">
        <f>"14777517"</f>
        <v>14777517</v>
      </c>
      <c r="E3167" s="46" t="s">
        <v>2299</v>
      </c>
      <c r="F3167" s="46" t="s">
        <v>50646</v>
      </c>
      <c r="G3167" s="46" t="s">
        <v>50584</v>
      </c>
      <c r="H3167" s="48" t="s">
        <v>56716</v>
      </c>
      <c r="I3167" s="48" t="s">
        <v>50564</v>
      </c>
      <c r="J3167" s="48"/>
      <c r="K3167" s="50" t="s">
        <v>56716</v>
      </c>
      <c r="L3167" s="48" t="s">
        <v>56716</v>
      </c>
    </row>
    <row r="3168" spans="1:12" s="37" customFormat="1" ht="11.25" x14ac:dyDescent="0.2">
      <c r="A3168" s="45" t="s">
        <v>30405</v>
      </c>
      <c r="B3168" s="45" t="s">
        <v>30407</v>
      </c>
      <c r="C3168" s="51" t="s">
        <v>30408</v>
      </c>
      <c r="D3168" s="51"/>
      <c r="E3168" s="45" t="s">
        <v>30409</v>
      </c>
      <c r="F3168" s="45" t="s">
        <v>17759</v>
      </c>
      <c r="G3168" s="45" t="s">
        <v>50584</v>
      </c>
      <c r="H3168" s="56"/>
      <c r="I3168" s="56" t="s">
        <v>50564</v>
      </c>
      <c r="J3168" s="56"/>
      <c r="K3168" s="50"/>
      <c r="L3168" s="56" t="s">
        <v>56716</v>
      </c>
    </row>
    <row r="3169" spans="1:12" s="37" customFormat="1" ht="11.25" x14ac:dyDescent="0.2">
      <c r="A3169" s="45" t="s">
        <v>30412</v>
      </c>
      <c r="B3169" s="45" t="s">
        <v>30414</v>
      </c>
      <c r="C3169" s="51" t="s">
        <v>30416</v>
      </c>
      <c r="D3169" s="51"/>
      <c r="E3169" s="45" t="s">
        <v>30417</v>
      </c>
      <c r="F3169" s="45" t="s">
        <v>17759</v>
      </c>
      <c r="G3169" s="45" t="s">
        <v>50584</v>
      </c>
      <c r="H3169" s="56"/>
      <c r="I3169" s="56" t="s">
        <v>50564</v>
      </c>
      <c r="J3169" s="56"/>
      <c r="K3169" s="50"/>
      <c r="L3169" s="56" t="s">
        <v>56716</v>
      </c>
    </row>
    <row r="3170" spans="1:12" s="37" customFormat="1" ht="11.25" x14ac:dyDescent="0.2">
      <c r="A3170" s="45" t="s">
        <v>30419</v>
      </c>
      <c r="B3170" s="45" t="s">
        <v>30421</v>
      </c>
      <c r="C3170" s="51" t="s">
        <v>30423</v>
      </c>
      <c r="D3170" s="51"/>
      <c r="E3170" s="45" t="s">
        <v>30424</v>
      </c>
      <c r="F3170" s="45" t="s">
        <v>17759</v>
      </c>
      <c r="G3170" s="45" t="s">
        <v>50584</v>
      </c>
      <c r="H3170" s="56"/>
      <c r="I3170" s="56" t="s">
        <v>50564</v>
      </c>
      <c r="J3170" s="56"/>
      <c r="K3170" s="50"/>
      <c r="L3170" s="56" t="s">
        <v>56716</v>
      </c>
    </row>
    <row r="3171" spans="1:12" s="37" customFormat="1" ht="11.25" x14ac:dyDescent="0.2">
      <c r="A3171" s="45" t="s">
        <v>30426</v>
      </c>
      <c r="B3171" s="45" t="s">
        <v>30428</v>
      </c>
      <c r="C3171" s="51" t="s">
        <v>30429</v>
      </c>
      <c r="D3171" s="51"/>
      <c r="E3171" s="45" t="s">
        <v>30424</v>
      </c>
      <c r="F3171" s="45" t="s">
        <v>17759</v>
      </c>
      <c r="G3171" s="45" t="s">
        <v>50584</v>
      </c>
      <c r="H3171" s="56"/>
      <c r="I3171" s="56" t="s">
        <v>50564</v>
      </c>
      <c r="J3171" s="56"/>
      <c r="K3171" s="50"/>
      <c r="L3171" s="56" t="s">
        <v>56716</v>
      </c>
    </row>
    <row r="3172" spans="1:12" s="37" customFormat="1" ht="11.25" x14ac:dyDescent="0.2">
      <c r="A3172" s="45" t="s">
        <v>30431</v>
      </c>
      <c r="B3172" s="45" t="s">
        <v>30433</v>
      </c>
      <c r="C3172" s="51" t="s">
        <v>30434</v>
      </c>
      <c r="D3172" s="51"/>
      <c r="E3172" s="45" t="s">
        <v>30435</v>
      </c>
      <c r="F3172" s="45" t="s">
        <v>17759</v>
      </c>
      <c r="G3172" s="45" t="s">
        <v>50584</v>
      </c>
      <c r="H3172" s="56"/>
      <c r="I3172" s="56" t="s">
        <v>50564</v>
      </c>
      <c r="J3172" s="56"/>
      <c r="K3172" s="50"/>
      <c r="L3172" s="56" t="s">
        <v>56716</v>
      </c>
    </row>
    <row r="3173" spans="1:12" s="37" customFormat="1" ht="11.25" x14ac:dyDescent="0.2">
      <c r="A3173" s="45" t="s">
        <v>30438</v>
      </c>
      <c r="B3173" s="45" t="s">
        <v>30440</v>
      </c>
      <c r="C3173" s="51" t="s">
        <v>30441</v>
      </c>
      <c r="D3173" s="51"/>
      <c r="E3173" s="45" t="s">
        <v>30424</v>
      </c>
      <c r="F3173" s="45" t="s">
        <v>17759</v>
      </c>
      <c r="G3173" s="45" t="s">
        <v>50584</v>
      </c>
      <c r="H3173" s="56"/>
      <c r="I3173" s="56" t="s">
        <v>50564</v>
      </c>
      <c r="J3173" s="56"/>
      <c r="K3173" s="50"/>
      <c r="L3173" s="56" t="s">
        <v>56716</v>
      </c>
    </row>
    <row r="3174" spans="1:12" s="37" customFormat="1" ht="11.25" x14ac:dyDescent="0.2">
      <c r="A3174" s="46" t="s">
        <v>6140</v>
      </c>
      <c r="B3174" s="46" t="s">
        <v>52771</v>
      </c>
      <c r="C3174" s="58" t="str">
        <f>"10673229"</f>
        <v>10673229</v>
      </c>
      <c r="D3174" s="58" t="str">
        <f>"14657309"</f>
        <v>14657309</v>
      </c>
      <c r="E3174" s="46" t="s">
        <v>28</v>
      </c>
      <c r="F3174" s="46" t="s">
        <v>17759</v>
      </c>
      <c r="G3174" s="46" t="s">
        <v>50584</v>
      </c>
      <c r="H3174" s="48" t="s">
        <v>56716</v>
      </c>
      <c r="I3174" s="48" t="s">
        <v>50564</v>
      </c>
      <c r="J3174" s="48" t="s">
        <v>56716</v>
      </c>
      <c r="K3174" s="50"/>
      <c r="L3174" s="48" t="s">
        <v>56716</v>
      </c>
    </row>
    <row r="3175" spans="1:12" s="37" customFormat="1" ht="11.25" x14ac:dyDescent="0.2">
      <c r="A3175" s="45" t="s">
        <v>30454</v>
      </c>
      <c r="B3175" s="45" t="s">
        <v>30456</v>
      </c>
      <c r="C3175" s="51" t="s">
        <v>30457</v>
      </c>
      <c r="D3175" s="51"/>
      <c r="E3175" s="45" t="s">
        <v>30458</v>
      </c>
      <c r="F3175" s="45" t="s">
        <v>17759</v>
      </c>
      <c r="G3175" s="45" t="s">
        <v>50584</v>
      </c>
      <c r="H3175" s="56"/>
      <c r="I3175" s="56" t="s">
        <v>50564</v>
      </c>
      <c r="J3175" s="56"/>
      <c r="K3175" s="50"/>
      <c r="L3175" s="56" t="s">
        <v>56716</v>
      </c>
    </row>
    <row r="3176" spans="1:12" s="37" customFormat="1" ht="11.25" x14ac:dyDescent="0.2">
      <c r="A3176" s="45" t="s">
        <v>30460</v>
      </c>
      <c r="B3176" s="45" t="s">
        <v>30462</v>
      </c>
      <c r="C3176" s="51" t="s">
        <v>30463</v>
      </c>
      <c r="D3176" s="51"/>
      <c r="E3176" s="45" t="s">
        <v>30464</v>
      </c>
      <c r="F3176" s="45" t="s">
        <v>17759</v>
      </c>
      <c r="G3176" s="45" t="s">
        <v>50584</v>
      </c>
      <c r="H3176" s="56"/>
      <c r="I3176" s="56" t="s">
        <v>50564</v>
      </c>
      <c r="J3176" s="56"/>
      <c r="K3176" s="50"/>
      <c r="L3176" s="56" t="s">
        <v>56716</v>
      </c>
    </row>
    <row r="3177" spans="1:12" s="37" customFormat="1" ht="11.25" x14ac:dyDescent="0.2">
      <c r="A3177" s="46" t="s">
        <v>15027</v>
      </c>
      <c r="B3177" s="46" t="s">
        <v>15027</v>
      </c>
      <c r="C3177" s="58" t="str">
        <f>"13020072"</f>
        <v>13020072</v>
      </c>
      <c r="D3177" s="58" t="str">
        <f>"21472688"</f>
        <v>21472688</v>
      </c>
      <c r="E3177" s="46" t="s">
        <v>11393</v>
      </c>
      <c r="F3177" s="46" t="s">
        <v>18396</v>
      </c>
      <c r="G3177" s="46" t="s">
        <v>50638</v>
      </c>
      <c r="H3177" s="48" t="s">
        <v>56716</v>
      </c>
      <c r="I3177" s="48" t="s">
        <v>50564</v>
      </c>
      <c r="J3177" s="48"/>
      <c r="K3177" s="50"/>
      <c r="L3177" s="48"/>
    </row>
    <row r="3178" spans="1:12" s="37" customFormat="1" ht="11.25" x14ac:dyDescent="0.2">
      <c r="A3178" s="46" t="s">
        <v>9403</v>
      </c>
      <c r="B3178" s="46" t="s">
        <v>9403</v>
      </c>
      <c r="C3178" s="58" t="str">
        <f>"09382216"</f>
        <v>09382216</v>
      </c>
      <c r="D3178" s="58" t="str">
        <f>""</f>
        <v/>
      </c>
      <c r="E3178" s="46" t="s">
        <v>9405</v>
      </c>
      <c r="F3178" s="46" t="s">
        <v>18158</v>
      </c>
      <c r="G3178" s="46" t="s">
        <v>50593</v>
      </c>
      <c r="H3178" s="48" t="s">
        <v>56716</v>
      </c>
      <c r="I3178" s="48" t="s">
        <v>50564</v>
      </c>
      <c r="J3178" s="48"/>
      <c r="K3178" s="50"/>
      <c r="L3178" s="48"/>
    </row>
    <row r="3179" spans="1:12" s="37" customFormat="1" ht="11.25" x14ac:dyDescent="0.2">
      <c r="A3179" s="46" t="s">
        <v>1762</v>
      </c>
      <c r="B3179" s="46" t="s">
        <v>1762</v>
      </c>
      <c r="C3179" s="58" t="str">
        <f>"00178470"</f>
        <v>00178470</v>
      </c>
      <c r="D3179" s="58" t="str">
        <f>"14321173"</f>
        <v>14321173</v>
      </c>
      <c r="E3179" s="46" t="s">
        <v>167</v>
      </c>
      <c r="F3179" s="46" t="s">
        <v>18158</v>
      </c>
      <c r="G3179" s="46" t="s">
        <v>50593</v>
      </c>
      <c r="H3179" s="48" t="s">
        <v>56716</v>
      </c>
      <c r="I3179" s="48" t="s">
        <v>50564</v>
      </c>
      <c r="J3179" s="48"/>
      <c r="K3179" s="50" t="s">
        <v>56716</v>
      </c>
      <c r="L3179" s="48" t="s">
        <v>56716</v>
      </c>
    </row>
    <row r="3180" spans="1:12" s="37" customFormat="1" ht="11.25" x14ac:dyDescent="0.2">
      <c r="A3180" s="45" t="s">
        <v>30477</v>
      </c>
      <c r="B3180" s="45" t="s">
        <v>30479</v>
      </c>
      <c r="C3180" s="51" t="s">
        <v>30482</v>
      </c>
      <c r="D3180" s="51" t="s">
        <v>30481</v>
      </c>
      <c r="E3180" s="45" t="s">
        <v>30483</v>
      </c>
      <c r="F3180" s="45" t="s">
        <v>17759</v>
      </c>
      <c r="G3180" s="45" t="s">
        <v>50584</v>
      </c>
      <c r="H3180" s="56"/>
      <c r="I3180" s="56" t="s">
        <v>50564</v>
      </c>
      <c r="J3180" s="56"/>
      <c r="K3180" s="50"/>
      <c r="L3180" s="56" t="s">
        <v>56716</v>
      </c>
    </row>
    <row r="3181" spans="1:12" s="37" customFormat="1" ht="11.25" x14ac:dyDescent="0.2">
      <c r="A3181" s="45" t="s">
        <v>30485</v>
      </c>
      <c r="B3181" s="45" t="s">
        <v>30487</v>
      </c>
      <c r="C3181" s="51"/>
      <c r="D3181" s="51"/>
      <c r="E3181" s="45" t="s">
        <v>30489</v>
      </c>
      <c r="F3181" s="45" t="s">
        <v>17759</v>
      </c>
      <c r="G3181" s="45" t="s">
        <v>50584</v>
      </c>
      <c r="H3181" s="56"/>
      <c r="I3181" s="56" t="s">
        <v>50564</v>
      </c>
      <c r="J3181" s="56"/>
      <c r="K3181" s="50"/>
      <c r="L3181" s="56" t="s">
        <v>56716</v>
      </c>
    </row>
    <row r="3182" spans="1:12" s="37" customFormat="1" ht="11.25" x14ac:dyDescent="0.2">
      <c r="A3182" s="45" t="s">
        <v>30491</v>
      </c>
      <c r="B3182" s="45" t="s">
        <v>30493</v>
      </c>
      <c r="C3182" s="51"/>
      <c r="D3182" s="51" t="s">
        <v>30494</v>
      </c>
      <c r="E3182" s="45" t="s">
        <v>18570</v>
      </c>
      <c r="F3182" s="45" t="s">
        <v>50646</v>
      </c>
      <c r="G3182" s="45" t="s">
        <v>50584</v>
      </c>
      <c r="H3182" s="56"/>
      <c r="I3182" s="56" t="s">
        <v>50564</v>
      </c>
      <c r="J3182" s="56"/>
      <c r="K3182" s="50"/>
      <c r="L3182" s="56" t="s">
        <v>56716</v>
      </c>
    </row>
    <row r="3183" spans="1:12" s="37" customFormat="1" ht="11.25" x14ac:dyDescent="0.2">
      <c r="A3183" s="46" t="s">
        <v>5016</v>
      </c>
      <c r="B3183" s="46" t="s">
        <v>30499</v>
      </c>
      <c r="C3183" s="58" t="str">
        <f>"10433074"</f>
        <v>10433074</v>
      </c>
      <c r="D3183" s="58" t="str">
        <f>"10970347"</f>
        <v>10970347</v>
      </c>
      <c r="E3183" s="46" t="s">
        <v>517</v>
      </c>
      <c r="F3183" s="46" t="s">
        <v>17759</v>
      </c>
      <c r="G3183" s="46" t="s">
        <v>50584</v>
      </c>
      <c r="H3183" s="48" t="s">
        <v>56716</v>
      </c>
      <c r="I3183" s="48" t="s">
        <v>50564</v>
      </c>
      <c r="J3183" s="48" t="s">
        <v>56716</v>
      </c>
      <c r="K3183" s="50" t="s">
        <v>56716</v>
      </c>
      <c r="L3183" s="48" t="s">
        <v>56716</v>
      </c>
    </row>
    <row r="3184" spans="1:12" s="37" customFormat="1" ht="11.25" x14ac:dyDescent="0.2">
      <c r="A3184" s="46" t="s">
        <v>14039</v>
      </c>
      <c r="B3184" s="46" t="s">
        <v>52772</v>
      </c>
      <c r="C3184" s="58" t="str">
        <f>""</f>
        <v/>
      </c>
      <c r="D3184" s="58" t="str">
        <f>"17583284"</f>
        <v>17583284</v>
      </c>
      <c r="E3184" s="46" t="s">
        <v>14041</v>
      </c>
      <c r="F3184" s="46" t="s">
        <v>50646</v>
      </c>
      <c r="G3184" s="46" t="s">
        <v>50584</v>
      </c>
      <c r="H3184" s="48" t="s">
        <v>56716</v>
      </c>
      <c r="I3184" s="48" t="s">
        <v>50564</v>
      </c>
      <c r="J3184" s="48" t="s">
        <v>56716</v>
      </c>
      <c r="K3184" s="50"/>
      <c r="L3184" s="48"/>
    </row>
    <row r="3185" spans="1:12" s="37" customFormat="1" ht="11.25" x14ac:dyDescent="0.2">
      <c r="A3185" s="45" t="s">
        <v>30502</v>
      </c>
      <c r="B3185" s="45" t="s">
        <v>30504</v>
      </c>
      <c r="C3185" s="51" t="s">
        <v>30506</v>
      </c>
      <c r="D3185" s="51" t="s">
        <v>30505</v>
      </c>
      <c r="E3185" s="45" t="s">
        <v>940</v>
      </c>
      <c r="F3185" s="45" t="s">
        <v>17759</v>
      </c>
      <c r="G3185" s="45" t="s">
        <v>50584</v>
      </c>
      <c r="H3185" s="56"/>
      <c r="I3185" s="56" t="s">
        <v>50564</v>
      </c>
      <c r="J3185" s="56"/>
      <c r="K3185" s="50"/>
      <c r="L3185" s="56" t="s">
        <v>56716</v>
      </c>
    </row>
    <row r="3186" spans="1:12" s="37" customFormat="1" ht="11.25" x14ac:dyDescent="0.2">
      <c r="A3186" s="46" t="s">
        <v>1769</v>
      </c>
      <c r="B3186" s="46" t="s">
        <v>1769</v>
      </c>
      <c r="C3186" s="58" t="str">
        <f>"00178748"</f>
        <v>00178748</v>
      </c>
      <c r="D3186" s="58" t="str">
        <f>"15264610"</f>
        <v>15264610</v>
      </c>
      <c r="E3186" s="46" t="s">
        <v>548</v>
      </c>
      <c r="F3186" s="46" t="s">
        <v>17759</v>
      </c>
      <c r="G3186" s="46" t="s">
        <v>50584</v>
      </c>
      <c r="H3186" s="48" t="s">
        <v>56716</v>
      </c>
      <c r="I3186" s="48" t="s">
        <v>50564</v>
      </c>
      <c r="J3186" s="48" t="s">
        <v>56716</v>
      </c>
      <c r="K3186" s="50" t="s">
        <v>56716</v>
      </c>
      <c r="L3186" s="48" t="s">
        <v>56716</v>
      </c>
    </row>
    <row r="3187" spans="1:12" s="37" customFormat="1" ht="11.25" x14ac:dyDescent="0.2">
      <c r="A3187" s="45" t="s">
        <v>30517</v>
      </c>
      <c r="B3187" s="45" t="s">
        <v>30519</v>
      </c>
      <c r="C3187" s="51" t="s">
        <v>30521</v>
      </c>
      <c r="D3187" s="51" t="s">
        <v>30520</v>
      </c>
      <c r="E3187" s="45" t="s">
        <v>23527</v>
      </c>
      <c r="F3187" s="45" t="s">
        <v>50646</v>
      </c>
      <c r="G3187" s="45" t="s">
        <v>50584</v>
      </c>
      <c r="H3187" s="56"/>
      <c r="I3187" s="56" t="s">
        <v>50564</v>
      </c>
      <c r="J3187" s="56"/>
      <c r="K3187" s="50"/>
      <c r="L3187" s="56" t="s">
        <v>56716</v>
      </c>
    </row>
    <row r="3188" spans="1:12" s="37" customFormat="1" ht="11.25" x14ac:dyDescent="0.2">
      <c r="A3188" s="45" t="s">
        <v>30524</v>
      </c>
      <c r="B3188" s="45" t="s">
        <v>30526</v>
      </c>
      <c r="C3188" s="51" t="s">
        <v>30528</v>
      </c>
      <c r="D3188" s="51" t="s">
        <v>30527</v>
      </c>
      <c r="E3188" s="45" t="s">
        <v>55</v>
      </c>
      <c r="F3188" s="45" t="s">
        <v>17759</v>
      </c>
      <c r="G3188" s="45" t="s">
        <v>50584</v>
      </c>
      <c r="H3188" s="56"/>
      <c r="I3188" s="56" t="s">
        <v>50564</v>
      </c>
      <c r="J3188" s="56"/>
      <c r="K3188" s="50"/>
      <c r="L3188" s="56" t="s">
        <v>56716</v>
      </c>
    </row>
    <row r="3189" spans="1:12" s="37" customFormat="1" ht="11.25" x14ac:dyDescent="0.2">
      <c r="A3189" s="45" t="s">
        <v>30530</v>
      </c>
      <c r="B3189" s="45" t="s">
        <v>30532</v>
      </c>
      <c r="C3189" s="51" t="s">
        <v>30534</v>
      </c>
      <c r="D3189" s="51" t="s">
        <v>30533</v>
      </c>
      <c r="E3189" s="45" t="s">
        <v>19447</v>
      </c>
      <c r="F3189" s="45" t="s">
        <v>50646</v>
      </c>
      <c r="G3189" s="45" t="s">
        <v>50584</v>
      </c>
      <c r="H3189" s="56"/>
      <c r="I3189" s="56" t="s">
        <v>50564</v>
      </c>
      <c r="J3189" s="56"/>
      <c r="K3189" s="50"/>
      <c r="L3189" s="56" t="s">
        <v>56716</v>
      </c>
    </row>
    <row r="3190" spans="1:12" s="37" customFormat="1" ht="11.25" x14ac:dyDescent="0.2">
      <c r="A3190" s="46" t="s">
        <v>1772</v>
      </c>
      <c r="B3190" s="46" t="s">
        <v>52773</v>
      </c>
      <c r="C3190" s="58" t="str">
        <f>"02782715"</f>
        <v>02782715</v>
      </c>
      <c r="D3190" s="58" t="str">
        <f>"15445208"</f>
        <v>15445208</v>
      </c>
      <c r="E3190" s="46" t="s">
        <v>1775</v>
      </c>
      <c r="F3190" s="46" t="s">
        <v>17759</v>
      </c>
      <c r="G3190" s="46" t="s">
        <v>50584</v>
      </c>
      <c r="H3190" s="48" t="s">
        <v>56716</v>
      </c>
      <c r="I3190" s="48" t="s">
        <v>50564</v>
      </c>
      <c r="J3190" s="48"/>
      <c r="K3190" s="50"/>
      <c r="L3190" s="48" t="s">
        <v>56716</v>
      </c>
    </row>
    <row r="3191" spans="1:12" s="37" customFormat="1" ht="11.25" x14ac:dyDescent="0.2">
      <c r="A3191" s="45" t="s">
        <v>30541</v>
      </c>
      <c r="B3191" s="45" t="s">
        <v>30543</v>
      </c>
      <c r="C3191" s="51" t="s">
        <v>30544</v>
      </c>
      <c r="D3191" s="51"/>
      <c r="E3191" s="45" t="s">
        <v>30545</v>
      </c>
      <c r="F3191" s="45" t="s">
        <v>20082</v>
      </c>
      <c r="G3191" s="45" t="s">
        <v>50584</v>
      </c>
      <c r="H3191" s="56"/>
      <c r="I3191" s="56" t="s">
        <v>50564</v>
      </c>
      <c r="J3191" s="56"/>
      <c r="K3191" s="50"/>
      <c r="L3191" s="56" t="s">
        <v>56716</v>
      </c>
    </row>
    <row r="3192" spans="1:12" s="37" customFormat="1" ht="11.25" x14ac:dyDescent="0.2">
      <c r="A3192" s="45" t="s">
        <v>30548</v>
      </c>
      <c r="B3192" s="45" t="s">
        <v>30550</v>
      </c>
      <c r="C3192" s="51" t="s">
        <v>30552</v>
      </c>
      <c r="D3192" s="51" t="s">
        <v>30551</v>
      </c>
      <c r="E3192" s="45" t="s">
        <v>30553</v>
      </c>
      <c r="F3192" s="45" t="s">
        <v>17759</v>
      </c>
      <c r="G3192" s="45" t="s">
        <v>50584</v>
      </c>
      <c r="H3192" s="56"/>
      <c r="I3192" s="56" t="s">
        <v>50564</v>
      </c>
      <c r="J3192" s="56"/>
      <c r="K3192" s="50"/>
      <c r="L3192" s="56" t="s">
        <v>56716</v>
      </c>
    </row>
    <row r="3193" spans="1:12" s="37" customFormat="1" ht="11.25" x14ac:dyDescent="0.2">
      <c r="A3193" s="46" t="s">
        <v>6528</v>
      </c>
      <c r="B3193" s="46" t="s">
        <v>30514</v>
      </c>
      <c r="C3193" s="58" t="str">
        <f>"13538292"</f>
        <v>13538292</v>
      </c>
      <c r="D3193" s="58" t="str">
        <f>"18732054"</f>
        <v>18732054</v>
      </c>
      <c r="E3193" s="46" t="s">
        <v>155</v>
      </c>
      <c r="F3193" s="46" t="s">
        <v>50646</v>
      </c>
      <c r="G3193" s="46" t="s">
        <v>50584</v>
      </c>
      <c r="H3193" s="48" t="s">
        <v>56716</v>
      </c>
      <c r="I3193" s="48" t="s">
        <v>50564</v>
      </c>
      <c r="J3193" s="48" t="s">
        <v>56716</v>
      </c>
      <c r="K3193" s="50" t="s">
        <v>56716</v>
      </c>
      <c r="L3193" s="48" t="s">
        <v>56716</v>
      </c>
    </row>
    <row r="3194" spans="1:12" s="37" customFormat="1" ht="11.25" x14ac:dyDescent="0.2">
      <c r="A3194" s="46" t="s">
        <v>10260</v>
      </c>
      <c r="B3194" s="46" t="s">
        <v>52774</v>
      </c>
      <c r="C3194" s="58" t="str">
        <f>""</f>
        <v/>
      </c>
      <c r="D3194" s="58" t="str">
        <f>"14777525"</f>
        <v>14777525</v>
      </c>
      <c r="E3194" s="46" t="s">
        <v>2299</v>
      </c>
      <c r="F3194" s="46" t="s">
        <v>50646</v>
      </c>
      <c r="G3194" s="46" t="s">
        <v>50584</v>
      </c>
      <c r="H3194" s="48" t="s">
        <v>56716</v>
      </c>
      <c r="I3194" s="48" t="s">
        <v>50564</v>
      </c>
      <c r="J3194" s="48"/>
      <c r="K3194" s="50" t="s">
        <v>56716</v>
      </c>
      <c r="L3194" s="48" t="s">
        <v>56716</v>
      </c>
    </row>
    <row r="3195" spans="1:12" s="37" customFormat="1" ht="11.25" x14ac:dyDescent="0.2">
      <c r="A3195" s="46" t="s">
        <v>15401</v>
      </c>
      <c r="B3195" s="46" t="s">
        <v>52775</v>
      </c>
      <c r="C3195" s="58" t="str">
        <f>"21907188"</f>
        <v>21907188</v>
      </c>
      <c r="D3195" s="58" t="str">
        <f>"21907196"</f>
        <v>21907196</v>
      </c>
      <c r="E3195" s="46" t="s">
        <v>167</v>
      </c>
      <c r="F3195" s="46" t="s">
        <v>18158</v>
      </c>
      <c r="G3195" s="46" t="s">
        <v>50584</v>
      </c>
      <c r="H3195" s="48" t="s">
        <v>56716</v>
      </c>
      <c r="I3195" s="48" t="s">
        <v>50564</v>
      </c>
      <c r="J3195" s="48"/>
      <c r="K3195" s="50"/>
      <c r="L3195" s="48"/>
    </row>
    <row r="3196" spans="1:12" s="37" customFormat="1" ht="11.25" x14ac:dyDescent="0.2">
      <c r="A3196" s="45" t="s">
        <v>30560</v>
      </c>
      <c r="B3196" s="45" t="s">
        <v>30562</v>
      </c>
      <c r="C3196" s="51" t="s">
        <v>30564</v>
      </c>
      <c r="D3196" s="51" t="s">
        <v>30563</v>
      </c>
      <c r="E3196" s="45" t="s">
        <v>217</v>
      </c>
      <c r="F3196" s="45" t="s">
        <v>18001</v>
      </c>
      <c r="G3196" s="45" t="s">
        <v>50584</v>
      </c>
      <c r="H3196" s="56"/>
      <c r="I3196" s="56" t="s">
        <v>50564</v>
      </c>
      <c r="J3196" s="56"/>
      <c r="K3196" s="50"/>
      <c r="L3196" s="56" t="s">
        <v>56716</v>
      </c>
    </row>
    <row r="3197" spans="1:12" s="37" customFormat="1" ht="11.25" x14ac:dyDescent="0.2">
      <c r="A3197" s="45" t="s">
        <v>30574</v>
      </c>
      <c r="B3197" s="45" t="s">
        <v>30576</v>
      </c>
      <c r="C3197" s="51" t="s">
        <v>30579</v>
      </c>
      <c r="D3197" s="51" t="s">
        <v>30578</v>
      </c>
      <c r="E3197" s="45" t="s">
        <v>291</v>
      </c>
      <c r="F3197" s="45" t="s">
        <v>50646</v>
      </c>
      <c r="G3197" s="45" t="s">
        <v>50584</v>
      </c>
      <c r="H3197" s="56"/>
      <c r="I3197" s="56" t="s">
        <v>50564</v>
      </c>
      <c r="J3197" s="56"/>
      <c r="K3197" s="50"/>
      <c r="L3197" s="56" t="s">
        <v>56716</v>
      </c>
    </row>
    <row r="3198" spans="1:12" s="37" customFormat="1" ht="11.25" x14ac:dyDescent="0.2">
      <c r="A3198" s="45" t="s">
        <v>30582</v>
      </c>
      <c r="B3198" s="45" t="s">
        <v>30584</v>
      </c>
      <c r="C3198" s="51" t="s">
        <v>30586</v>
      </c>
      <c r="D3198" s="51"/>
      <c r="E3198" s="45" t="s">
        <v>30587</v>
      </c>
      <c r="F3198" s="45" t="s">
        <v>17759</v>
      </c>
      <c r="G3198" s="45" t="s">
        <v>50584</v>
      </c>
      <c r="H3198" s="56"/>
      <c r="I3198" s="56" t="s">
        <v>50564</v>
      </c>
      <c r="J3198" s="56"/>
      <c r="K3198" s="50"/>
      <c r="L3198" s="56" t="s">
        <v>56716</v>
      </c>
    </row>
    <row r="3199" spans="1:12" s="37" customFormat="1" ht="11.25" x14ac:dyDescent="0.2">
      <c r="A3199" s="45" t="s">
        <v>30590</v>
      </c>
      <c r="B3199" s="45" t="s">
        <v>30592</v>
      </c>
      <c r="C3199" s="51" t="s">
        <v>30594</v>
      </c>
      <c r="D3199" s="51" t="s">
        <v>30593</v>
      </c>
      <c r="E3199" s="45" t="s">
        <v>17758</v>
      </c>
      <c r="F3199" s="45" t="s">
        <v>17759</v>
      </c>
      <c r="G3199" s="45" t="s">
        <v>50584</v>
      </c>
      <c r="H3199" s="56"/>
      <c r="I3199" s="56" t="s">
        <v>50564</v>
      </c>
      <c r="J3199" s="56"/>
      <c r="K3199" s="50"/>
      <c r="L3199" s="56" t="s">
        <v>56716</v>
      </c>
    </row>
    <row r="3200" spans="1:12" s="37" customFormat="1" ht="11.25" x14ac:dyDescent="0.2">
      <c r="A3200" s="45" t="s">
        <v>30596</v>
      </c>
      <c r="B3200" s="45" t="s">
        <v>30598</v>
      </c>
      <c r="C3200" s="51" t="s">
        <v>30599</v>
      </c>
      <c r="D3200" s="51"/>
      <c r="E3200" s="45" t="s">
        <v>30600</v>
      </c>
      <c r="F3200" s="45" t="s">
        <v>18001</v>
      </c>
      <c r="G3200" s="45" t="s">
        <v>50584</v>
      </c>
      <c r="H3200" s="56"/>
      <c r="I3200" s="56" t="s">
        <v>50564</v>
      </c>
      <c r="J3200" s="56"/>
      <c r="K3200" s="50"/>
      <c r="L3200" s="56" t="s">
        <v>56716</v>
      </c>
    </row>
    <row r="3201" spans="1:12" s="37" customFormat="1" ht="11.25" x14ac:dyDescent="0.2">
      <c r="A3201" s="45" t="s">
        <v>30615</v>
      </c>
      <c r="B3201" s="45" t="s">
        <v>30617</v>
      </c>
      <c r="C3201" s="51" t="s">
        <v>30619</v>
      </c>
      <c r="D3201" s="51" t="s">
        <v>30618</v>
      </c>
      <c r="E3201" s="45" t="s">
        <v>291</v>
      </c>
      <c r="F3201" s="45" t="s">
        <v>50646</v>
      </c>
      <c r="G3201" s="45" t="s">
        <v>50584</v>
      </c>
      <c r="H3201" s="56"/>
      <c r="I3201" s="56" t="s">
        <v>50564</v>
      </c>
      <c r="J3201" s="56"/>
      <c r="K3201" s="50"/>
      <c r="L3201" s="56" t="s">
        <v>56716</v>
      </c>
    </row>
    <row r="3202" spans="1:12" s="37" customFormat="1" ht="11.25" x14ac:dyDescent="0.2">
      <c r="A3202" s="45" t="s">
        <v>30622</v>
      </c>
      <c r="B3202" s="45" t="s">
        <v>30624</v>
      </c>
      <c r="C3202" s="51" t="s">
        <v>30626</v>
      </c>
      <c r="D3202" s="51"/>
      <c r="E3202" s="45" t="s">
        <v>30627</v>
      </c>
      <c r="F3202" s="45" t="s">
        <v>17759</v>
      </c>
      <c r="G3202" s="45" t="s">
        <v>50584</v>
      </c>
      <c r="H3202" s="56"/>
      <c r="I3202" s="56" t="s">
        <v>50564</v>
      </c>
      <c r="J3202" s="56"/>
      <c r="K3202" s="50"/>
      <c r="L3202" s="56" t="s">
        <v>56716</v>
      </c>
    </row>
    <row r="3203" spans="1:12" s="37" customFormat="1" ht="11.25" x14ac:dyDescent="0.2">
      <c r="A3203" s="46" t="s">
        <v>6720</v>
      </c>
      <c r="B3203" s="46" t="s">
        <v>52776</v>
      </c>
      <c r="C3203" s="58" t="str">
        <f>"10579230"</f>
        <v>10579230</v>
      </c>
      <c r="D3203" s="58" t="str">
        <f>"10991050"</f>
        <v>10991050</v>
      </c>
      <c r="E3203" s="46" t="s">
        <v>751</v>
      </c>
      <c r="F3203" s="46" t="s">
        <v>50646</v>
      </c>
      <c r="G3203" s="46" t="s">
        <v>50584</v>
      </c>
      <c r="H3203" s="48" t="s">
        <v>56716</v>
      </c>
      <c r="I3203" s="48" t="s">
        <v>50564</v>
      </c>
      <c r="J3203" s="48" t="s">
        <v>56716</v>
      </c>
      <c r="K3203" s="50" t="s">
        <v>56716</v>
      </c>
      <c r="L3203" s="48" t="s">
        <v>56716</v>
      </c>
    </row>
    <row r="3204" spans="1:12" s="37" customFormat="1" ht="11.25" x14ac:dyDescent="0.2">
      <c r="A3204" s="46" t="s">
        <v>16134</v>
      </c>
      <c r="B3204" s="46" t="s">
        <v>52777</v>
      </c>
      <c r="C3204" s="58" t="str">
        <f>""</f>
        <v/>
      </c>
      <c r="D3204" s="58" t="str">
        <f>"21911991"</f>
        <v>21911991</v>
      </c>
      <c r="E3204" s="46" t="s">
        <v>167</v>
      </c>
      <c r="F3204" s="46" t="s">
        <v>18158</v>
      </c>
      <c r="G3204" s="46" t="s">
        <v>50584</v>
      </c>
      <c r="H3204" s="48" t="s">
        <v>56716</v>
      </c>
      <c r="I3204" s="48" t="s">
        <v>50564</v>
      </c>
      <c r="J3204" s="48" t="s">
        <v>56716</v>
      </c>
      <c r="K3204" s="50" t="s">
        <v>56716</v>
      </c>
      <c r="L3204" s="48"/>
    </row>
    <row r="3205" spans="1:12" s="37" customFormat="1" ht="11.25" x14ac:dyDescent="0.2">
      <c r="A3205" s="46" t="s">
        <v>11865</v>
      </c>
      <c r="B3205" s="46" t="s">
        <v>52778</v>
      </c>
      <c r="C3205" s="58" t="str">
        <f>"17441331"</f>
        <v>17441331</v>
      </c>
      <c r="D3205" s="58" t="str">
        <f>"1744134X"</f>
        <v>1744134X</v>
      </c>
      <c r="E3205" s="46" t="s">
        <v>724</v>
      </c>
      <c r="F3205" s="46" t="s">
        <v>50646</v>
      </c>
      <c r="G3205" s="46" t="s">
        <v>50584</v>
      </c>
      <c r="H3205" s="48" t="s">
        <v>56716</v>
      </c>
      <c r="I3205" s="48" t="s">
        <v>50564</v>
      </c>
      <c r="J3205" s="48" t="s">
        <v>56716</v>
      </c>
      <c r="K3205" s="50" t="s">
        <v>56716</v>
      </c>
      <c r="L3205" s="48" t="s">
        <v>56716</v>
      </c>
    </row>
    <row r="3206" spans="1:12" s="37" customFormat="1" ht="11.25" x14ac:dyDescent="0.2">
      <c r="A3206" s="45" t="s">
        <v>30640</v>
      </c>
      <c r="B3206" s="45" t="s">
        <v>30642</v>
      </c>
      <c r="C3206" s="51" t="s">
        <v>30645</v>
      </c>
      <c r="D3206" s="51" t="s">
        <v>30644</v>
      </c>
      <c r="E3206" s="45" t="s">
        <v>19447</v>
      </c>
      <c r="F3206" s="45" t="s">
        <v>17759</v>
      </c>
      <c r="G3206" s="45" t="s">
        <v>50584</v>
      </c>
      <c r="H3206" s="56"/>
      <c r="I3206" s="56" t="s">
        <v>50564</v>
      </c>
      <c r="J3206" s="56"/>
      <c r="K3206" s="50"/>
      <c r="L3206" s="56" t="s">
        <v>56716</v>
      </c>
    </row>
    <row r="3207" spans="1:12" s="37" customFormat="1" ht="11.25" x14ac:dyDescent="0.2">
      <c r="A3207" s="46" t="s">
        <v>1776</v>
      </c>
      <c r="B3207" s="46" t="s">
        <v>52779</v>
      </c>
      <c r="C3207" s="58" t="str">
        <f>"00178969"</f>
        <v>00178969</v>
      </c>
      <c r="D3207" s="58" t="str">
        <f>"17488176"</f>
        <v>17488176</v>
      </c>
      <c r="E3207" s="46" t="s">
        <v>97</v>
      </c>
      <c r="F3207" s="46" t="s">
        <v>50646</v>
      </c>
      <c r="G3207" s="46" t="s">
        <v>50584</v>
      </c>
      <c r="H3207" s="48" t="s">
        <v>56716</v>
      </c>
      <c r="I3207" s="48" t="s">
        <v>50564</v>
      </c>
      <c r="J3207" s="48" t="s">
        <v>56716</v>
      </c>
      <c r="K3207" s="50"/>
      <c r="L3207" s="48"/>
    </row>
    <row r="3208" spans="1:12" s="37" customFormat="1" ht="11.25" x14ac:dyDescent="0.2">
      <c r="A3208" s="45" t="s">
        <v>30654</v>
      </c>
      <c r="B3208" s="45" t="s">
        <v>30656</v>
      </c>
      <c r="C3208" s="51" t="s">
        <v>30658</v>
      </c>
      <c r="D3208" s="51" t="s">
        <v>30657</v>
      </c>
      <c r="E3208" s="45" t="s">
        <v>55</v>
      </c>
      <c r="F3208" s="45" t="s">
        <v>50646</v>
      </c>
      <c r="G3208" s="45" t="s">
        <v>50584</v>
      </c>
      <c r="H3208" s="56"/>
      <c r="I3208" s="56" t="s">
        <v>50564</v>
      </c>
      <c r="J3208" s="56"/>
      <c r="K3208" s="50"/>
      <c r="L3208" s="56" t="s">
        <v>56716</v>
      </c>
    </row>
    <row r="3209" spans="1:12" s="37" customFormat="1" ht="11.25" x14ac:dyDescent="0.2">
      <c r="A3209" s="45" t="s">
        <v>30660</v>
      </c>
      <c r="B3209" s="45" t="s">
        <v>30662</v>
      </c>
      <c r="C3209" s="51"/>
      <c r="D3209" s="51"/>
      <c r="E3209" s="45" t="s">
        <v>30664</v>
      </c>
      <c r="F3209" s="45" t="s">
        <v>50646</v>
      </c>
      <c r="G3209" s="45" t="s">
        <v>50584</v>
      </c>
      <c r="H3209" s="56"/>
      <c r="I3209" s="56" t="s">
        <v>50564</v>
      </c>
      <c r="J3209" s="56"/>
      <c r="K3209" s="50"/>
      <c r="L3209" s="56" t="s">
        <v>56716</v>
      </c>
    </row>
    <row r="3210" spans="1:12" s="37" customFormat="1" ht="11.25" x14ac:dyDescent="0.2">
      <c r="A3210" s="45" t="s">
        <v>30666</v>
      </c>
      <c r="B3210" s="45" t="s">
        <v>30668</v>
      </c>
      <c r="C3210" s="51" t="s">
        <v>30670</v>
      </c>
      <c r="D3210" s="51" t="s">
        <v>30669</v>
      </c>
      <c r="E3210" s="45" t="s">
        <v>22893</v>
      </c>
      <c r="F3210" s="45" t="s">
        <v>50646</v>
      </c>
      <c r="G3210" s="45" t="s">
        <v>50584</v>
      </c>
      <c r="H3210" s="56"/>
      <c r="I3210" s="56" t="s">
        <v>50564</v>
      </c>
      <c r="J3210" s="56"/>
      <c r="K3210" s="50"/>
      <c r="L3210" s="56" t="s">
        <v>56716</v>
      </c>
    </row>
    <row r="3211" spans="1:12" s="37" customFormat="1" ht="11.25" x14ac:dyDescent="0.2">
      <c r="A3211" s="45" t="s">
        <v>30672</v>
      </c>
      <c r="B3211" s="45" t="s">
        <v>30674</v>
      </c>
      <c r="C3211" s="51" t="s">
        <v>30675</v>
      </c>
      <c r="D3211" s="51"/>
      <c r="E3211" s="45" t="s">
        <v>30676</v>
      </c>
      <c r="F3211" s="45" t="s">
        <v>17759</v>
      </c>
      <c r="G3211" s="45" t="s">
        <v>50584</v>
      </c>
      <c r="H3211" s="56"/>
      <c r="I3211" s="56" t="s">
        <v>50564</v>
      </c>
      <c r="J3211" s="56"/>
      <c r="K3211" s="50"/>
      <c r="L3211" s="56" t="s">
        <v>56716</v>
      </c>
    </row>
    <row r="3212" spans="1:12" s="37" customFormat="1" ht="11.25" x14ac:dyDescent="0.2">
      <c r="A3212" s="45" t="s">
        <v>30678</v>
      </c>
      <c r="B3212" s="45" t="s">
        <v>30680</v>
      </c>
      <c r="C3212" s="51" t="s">
        <v>30683</v>
      </c>
      <c r="D3212" s="51" t="s">
        <v>30682</v>
      </c>
      <c r="E3212" s="45" t="s">
        <v>21721</v>
      </c>
      <c r="F3212" s="45" t="s">
        <v>50646</v>
      </c>
      <c r="G3212" s="45" t="s">
        <v>50584</v>
      </c>
      <c r="H3212" s="56"/>
      <c r="I3212" s="56" t="s">
        <v>50564</v>
      </c>
      <c r="J3212" s="56"/>
      <c r="K3212" s="50"/>
      <c r="L3212" s="56" t="s">
        <v>56716</v>
      </c>
    </row>
    <row r="3213" spans="1:12" s="37" customFormat="1" ht="11.25" x14ac:dyDescent="0.2">
      <c r="A3213" s="45" t="s">
        <v>30685</v>
      </c>
      <c r="B3213" s="45" t="s">
        <v>30687</v>
      </c>
      <c r="C3213" s="51" t="s">
        <v>30690</v>
      </c>
      <c r="D3213" s="51" t="s">
        <v>30689</v>
      </c>
      <c r="E3213" s="45" t="s">
        <v>25848</v>
      </c>
      <c r="F3213" s="45" t="s">
        <v>50646</v>
      </c>
      <c r="G3213" s="45" t="s">
        <v>50584</v>
      </c>
      <c r="H3213" s="56"/>
      <c r="I3213" s="56" t="s">
        <v>50564</v>
      </c>
      <c r="J3213" s="56"/>
      <c r="K3213" s="50"/>
      <c r="L3213" s="56" t="s">
        <v>56716</v>
      </c>
    </row>
    <row r="3214" spans="1:12" s="37" customFormat="1" ht="11.25" x14ac:dyDescent="0.2">
      <c r="A3214" s="46" t="s">
        <v>17218</v>
      </c>
      <c r="B3214" s="46" t="s">
        <v>52780</v>
      </c>
      <c r="C3214" s="58" t="str">
        <f>""</f>
        <v/>
      </c>
      <c r="D3214" s="58" t="str">
        <f>"20472501"</f>
        <v>20472501</v>
      </c>
      <c r="E3214" s="46" t="s">
        <v>2299</v>
      </c>
      <c r="F3214" s="46" t="s">
        <v>50646</v>
      </c>
      <c r="G3214" s="46" t="s">
        <v>50584</v>
      </c>
      <c r="H3214" s="48" t="s">
        <v>56716</v>
      </c>
      <c r="I3214" s="48" t="s">
        <v>50564</v>
      </c>
      <c r="J3214" s="48" t="s">
        <v>56716</v>
      </c>
      <c r="K3214" s="50"/>
      <c r="L3214" s="48"/>
    </row>
    <row r="3215" spans="1:12" s="37" customFormat="1" ht="11.25" x14ac:dyDescent="0.2">
      <c r="A3215" s="45" t="s">
        <v>30693</v>
      </c>
      <c r="B3215" s="45" t="s">
        <v>30695</v>
      </c>
      <c r="C3215" s="51" t="s">
        <v>30696</v>
      </c>
      <c r="D3215" s="51"/>
      <c r="E3215" s="45" t="s">
        <v>30697</v>
      </c>
      <c r="F3215" s="45" t="s">
        <v>18959</v>
      </c>
      <c r="G3215" s="45" t="s">
        <v>50584</v>
      </c>
      <c r="H3215" s="56"/>
      <c r="I3215" s="56" t="s">
        <v>50564</v>
      </c>
      <c r="J3215" s="56"/>
      <c r="K3215" s="50"/>
      <c r="L3215" s="56" t="s">
        <v>56716</v>
      </c>
    </row>
    <row r="3216" spans="1:12" s="37" customFormat="1" ht="11.25" x14ac:dyDescent="0.2">
      <c r="A3216" s="45" t="s">
        <v>30700</v>
      </c>
      <c r="B3216" s="45" t="s">
        <v>30702</v>
      </c>
      <c r="C3216" s="51" t="s">
        <v>30703</v>
      </c>
      <c r="D3216" s="51"/>
      <c r="E3216" s="45" t="s">
        <v>30704</v>
      </c>
      <c r="F3216" s="45" t="s">
        <v>18959</v>
      </c>
      <c r="G3216" s="45" t="s">
        <v>50590</v>
      </c>
      <c r="H3216" s="56"/>
      <c r="I3216" s="56" t="s">
        <v>50564</v>
      </c>
      <c r="J3216" s="56"/>
      <c r="K3216" s="50"/>
      <c r="L3216" s="56" t="s">
        <v>56716</v>
      </c>
    </row>
    <row r="3217" spans="1:12" s="37" customFormat="1" ht="11.25" x14ac:dyDescent="0.2">
      <c r="A3217" s="45" t="s">
        <v>30706</v>
      </c>
      <c r="B3217" s="45" t="s">
        <v>30708</v>
      </c>
      <c r="C3217" s="51" t="s">
        <v>30710</v>
      </c>
      <c r="D3217" s="51"/>
      <c r="E3217" s="45" t="s">
        <v>30711</v>
      </c>
      <c r="F3217" s="45" t="s">
        <v>17759</v>
      </c>
      <c r="G3217" s="45" t="s">
        <v>50584</v>
      </c>
      <c r="H3217" s="56"/>
      <c r="I3217" s="56" t="s">
        <v>50564</v>
      </c>
      <c r="J3217" s="56"/>
      <c r="K3217" s="50"/>
      <c r="L3217" s="56" t="s">
        <v>56716</v>
      </c>
    </row>
    <row r="3218" spans="1:12" s="37" customFormat="1" ht="11.25" x14ac:dyDescent="0.2">
      <c r="A3218" s="45" t="s">
        <v>30713</v>
      </c>
      <c r="B3218" s="45" t="s">
        <v>30715</v>
      </c>
      <c r="C3218" s="51" t="s">
        <v>30717</v>
      </c>
      <c r="D3218" s="51"/>
      <c r="E3218" s="45" t="s">
        <v>30718</v>
      </c>
      <c r="F3218" s="45" t="s">
        <v>17759</v>
      </c>
      <c r="G3218" s="45" t="s">
        <v>50584</v>
      </c>
      <c r="H3218" s="56"/>
      <c r="I3218" s="56" t="s">
        <v>50564</v>
      </c>
      <c r="J3218" s="56"/>
      <c r="K3218" s="50"/>
      <c r="L3218" s="56" t="s">
        <v>56716</v>
      </c>
    </row>
    <row r="3219" spans="1:12" s="37" customFormat="1" ht="11.25" x14ac:dyDescent="0.2">
      <c r="A3219" s="45" t="s">
        <v>30720</v>
      </c>
      <c r="B3219" s="45" t="s">
        <v>30722</v>
      </c>
      <c r="C3219" s="51" t="s">
        <v>30725</v>
      </c>
      <c r="D3219" s="51" t="s">
        <v>30724</v>
      </c>
      <c r="E3219" s="45" t="s">
        <v>291</v>
      </c>
      <c r="F3219" s="45" t="s">
        <v>50646</v>
      </c>
      <c r="G3219" s="45" t="s">
        <v>50584</v>
      </c>
      <c r="H3219" s="56"/>
      <c r="I3219" s="56" t="s">
        <v>50564</v>
      </c>
      <c r="J3219" s="56"/>
      <c r="K3219" s="50"/>
      <c r="L3219" s="56" t="s">
        <v>56716</v>
      </c>
    </row>
    <row r="3220" spans="1:12" s="37" customFormat="1" ht="11.25" x14ac:dyDescent="0.2">
      <c r="A3220" s="45" t="s">
        <v>30727</v>
      </c>
      <c r="B3220" s="45" t="s">
        <v>30729</v>
      </c>
      <c r="C3220" s="51" t="s">
        <v>30731</v>
      </c>
      <c r="D3220" s="51"/>
      <c r="E3220" s="45" t="s">
        <v>30732</v>
      </c>
      <c r="F3220" s="45" t="s">
        <v>17759</v>
      </c>
      <c r="G3220" s="45" t="s">
        <v>50584</v>
      </c>
      <c r="H3220" s="56"/>
      <c r="I3220" s="56" t="s">
        <v>50564</v>
      </c>
      <c r="J3220" s="56"/>
      <c r="K3220" s="50"/>
      <c r="L3220" s="56" t="s">
        <v>56716</v>
      </c>
    </row>
    <row r="3221" spans="1:12" s="37" customFormat="1" ht="11.25" x14ac:dyDescent="0.2">
      <c r="A3221" s="45" t="s">
        <v>30734</v>
      </c>
      <c r="B3221" s="45" t="s">
        <v>30736</v>
      </c>
      <c r="C3221" s="51" t="s">
        <v>30738</v>
      </c>
      <c r="D3221" s="51" t="s">
        <v>30737</v>
      </c>
      <c r="E3221" s="45" t="s">
        <v>17758</v>
      </c>
      <c r="F3221" s="45" t="s">
        <v>17759</v>
      </c>
      <c r="G3221" s="45" t="s">
        <v>50584</v>
      </c>
      <c r="H3221" s="56"/>
      <c r="I3221" s="56" t="s">
        <v>50564</v>
      </c>
      <c r="J3221" s="56"/>
      <c r="K3221" s="50"/>
      <c r="L3221" s="56" t="s">
        <v>56716</v>
      </c>
    </row>
    <row r="3222" spans="1:12" s="37" customFormat="1" ht="11.25" x14ac:dyDescent="0.2">
      <c r="A3222" s="46" t="s">
        <v>1789</v>
      </c>
      <c r="B3222" s="46" t="s">
        <v>1789</v>
      </c>
      <c r="C3222" s="58" t="str">
        <f>"01688510"</f>
        <v>01688510</v>
      </c>
      <c r="D3222" s="58" t="str">
        <f>"18726054"</f>
        <v>18726054</v>
      </c>
      <c r="E3222" s="46" t="s">
        <v>221</v>
      </c>
      <c r="F3222" s="46" t="s">
        <v>21771</v>
      </c>
      <c r="G3222" s="46" t="s">
        <v>50584</v>
      </c>
      <c r="H3222" s="48" t="s">
        <v>56716</v>
      </c>
      <c r="I3222" s="48" t="s">
        <v>50564</v>
      </c>
      <c r="J3222" s="48"/>
      <c r="K3222" s="50" t="s">
        <v>56716</v>
      </c>
      <c r="L3222" s="48" t="s">
        <v>56716</v>
      </c>
    </row>
    <row r="3223" spans="1:12" s="37" customFormat="1" ht="11.25" x14ac:dyDescent="0.2">
      <c r="A3223" s="45" t="s">
        <v>30744</v>
      </c>
      <c r="B3223" s="45" t="s">
        <v>30746</v>
      </c>
      <c r="C3223" s="51" t="s">
        <v>30748</v>
      </c>
      <c r="D3223" s="51" t="s">
        <v>30747</v>
      </c>
      <c r="E3223" s="45" t="s">
        <v>30749</v>
      </c>
      <c r="F3223" s="45" t="s">
        <v>50646</v>
      </c>
      <c r="G3223" s="45" t="s">
        <v>50584</v>
      </c>
      <c r="H3223" s="56"/>
      <c r="I3223" s="56" t="s">
        <v>50564</v>
      </c>
      <c r="J3223" s="56"/>
      <c r="K3223" s="50"/>
      <c r="L3223" s="56" t="s">
        <v>56716</v>
      </c>
    </row>
    <row r="3224" spans="1:12" s="37" customFormat="1" ht="11.25" x14ac:dyDescent="0.2">
      <c r="A3224" s="46" t="s">
        <v>16004</v>
      </c>
      <c r="B3224" s="46" t="s">
        <v>52781</v>
      </c>
      <c r="C3224" s="58" t="str">
        <f>"22118837"</f>
        <v>22118837</v>
      </c>
      <c r="D3224" s="58" t="str">
        <f>"22118845"</f>
        <v>22118845</v>
      </c>
      <c r="E3224" s="46" t="s">
        <v>91</v>
      </c>
      <c r="F3224" s="46" t="s">
        <v>18001</v>
      </c>
      <c r="G3224" s="46" t="s">
        <v>50584</v>
      </c>
      <c r="H3224" s="48" t="s">
        <v>56716</v>
      </c>
      <c r="I3224" s="48" t="s">
        <v>50564</v>
      </c>
      <c r="J3224" s="48" t="s">
        <v>56716</v>
      </c>
      <c r="K3224" s="50" t="s">
        <v>56716</v>
      </c>
      <c r="L3224" s="48"/>
    </row>
    <row r="3225" spans="1:12" s="37" customFormat="1" ht="11.25" x14ac:dyDescent="0.2">
      <c r="A3225" s="45" t="s">
        <v>30752</v>
      </c>
      <c r="B3225" s="45" t="s">
        <v>30754</v>
      </c>
      <c r="C3225" s="51" t="s">
        <v>30756</v>
      </c>
      <c r="D3225" s="51"/>
      <c r="E3225" s="45" t="s">
        <v>30757</v>
      </c>
      <c r="F3225" s="45" t="s">
        <v>17759</v>
      </c>
      <c r="G3225" s="45" t="s">
        <v>50584</v>
      </c>
      <c r="H3225" s="56"/>
      <c r="I3225" s="56" t="s">
        <v>50564</v>
      </c>
      <c r="J3225" s="56"/>
      <c r="K3225" s="50"/>
      <c r="L3225" s="56" t="s">
        <v>56716</v>
      </c>
    </row>
    <row r="3226" spans="1:12" s="37" customFormat="1" ht="11.25" x14ac:dyDescent="0.2">
      <c r="A3226" s="45" t="s">
        <v>56570</v>
      </c>
      <c r="B3226" s="45" t="s">
        <v>56571</v>
      </c>
      <c r="C3226" s="51"/>
      <c r="D3226" s="51" t="s">
        <v>56572</v>
      </c>
      <c r="E3226" s="45" t="s">
        <v>23868</v>
      </c>
      <c r="F3226" s="45" t="s">
        <v>18959</v>
      </c>
      <c r="G3226" s="45" t="s">
        <v>50584</v>
      </c>
      <c r="H3226" s="56"/>
      <c r="I3226" s="56" t="s">
        <v>50564</v>
      </c>
      <c r="J3226" s="56"/>
      <c r="K3226" s="50"/>
      <c r="L3226" s="56" t="s">
        <v>56716</v>
      </c>
    </row>
    <row r="3227" spans="1:12" s="37" customFormat="1" ht="11.25" x14ac:dyDescent="0.2">
      <c r="A3227" s="45" t="s">
        <v>30759</v>
      </c>
      <c r="B3227" s="45" t="s">
        <v>30761</v>
      </c>
      <c r="C3227" s="51" t="s">
        <v>30764</v>
      </c>
      <c r="D3227" s="51" t="s">
        <v>30763</v>
      </c>
      <c r="E3227" s="45" t="s">
        <v>55</v>
      </c>
      <c r="F3227" s="45" t="s">
        <v>50646</v>
      </c>
      <c r="G3227" s="45" t="s">
        <v>50584</v>
      </c>
      <c r="H3227" s="56"/>
      <c r="I3227" s="56" t="s">
        <v>50564</v>
      </c>
      <c r="J3227" s="56"/>
      <c r="K3227" s="50"/>
      <c r="L3227" s="56" t="s">
        <v>56716</v>
      </c>
    </row>
    <row r="3228" spans="1:12" s="37" customFormat="1" ht="11.25" x14ac:dyDescent="0.2">
      <c r="A3228" s="45" t="s">
        <v>30766</v>
      </c>
      <c r="B3228" s="45" t="s">
        <v>30768</v>
      </c>
      <c r="C3228" s="51" t="s">
        <v>30769</v>
      </c>
      <c r="D3228" s="51"/>
      <c r="E3228" s="45" t="s">
        <v>30770</v>
      </c>
      <c r="F3228" s="45" t="s">
        <v>20082</v>
      </c>
      <c r="G3228" s="45" t="s">
        <v>50584</v>
      </c>
      <c r="H3228" s="56"/>
      <c r="I3228" s="56" t="s">
        <v>50564</v>
      </c>
      <c r="J3228" s="56"/>
      <c r="K3228" s="50"/>
      <c r="L3228" s="56" t="s">
        <v>56716</v>
      </c>
    </row>
    <row r="3229" spans="1:12" s="37" customFormat="1" ht="11.25" x14ac:dyDescent="0.2">
      <c r="A3229" s="45" t="s">
        <v>30772</v>
      </c>
      <c r="B3229" s="45" t="s">
        <v>30774</v>
      </c>
      <c r="C3229" s="51" t="s">
        <v>30775</v>
      </c>
      <c r="D3229" s="51"/>
      <c r="E3229" s="45" t="s">
        <v>19447</v>
      </c>
      <c r="F3229" s="45" t="s">
        <v>17759</v>
      </c>
      <c r="G3229" s="45" t="s">
        <v>50584</v>
      </c>
      <c r="H3229" s="56"/>
      <c r="I3229" s="56" t="s">
        <v>50564</v>
      </c>
      <c r="J3229" s="56"/>
      <c r="K3229" s="50"/>
      <c r="L3229" s="56" t="s">
        <v>56716</v>
      </c>
    </row>
    <row r="3230" spans="1:12" s="37" customFormat="1" ht="11.25" x14ac:dyDescent="0.2">
      <c r="A3230" s="46" t="s">
        <v>7520</v>
      </c>
      <c r="B3230" s="46" t="s">
        <v>52782</v>
      </c>
      <c r="C3230" s="58" t="str">
        <f>"02786133"</f>
        <v>02786133</v>
      </c>
      <c r="D3230" s="58" t="str">
        <f>"19307810"</f>
        <v>19307810</v>
      </c>
      <c r="E3230" s="46" t="s">
        <v>356</v>
      </c>
      <c r="F3230" s="46" t="s">
        <v>17759</v>
      </c>
      <c r="G3230" s="46" t="s">
        <v>50584</v>
      </c>
      <c r="H3230" s="48" t="s">
        <v>56716</v>
      </c>
      <c r="I3230" s="48" t="s">
        <v>50564</v>
      </c>
      <c r="J3230" s="48"/>
      <c r="K3230" s="50" t="s">
        <v>56716</v>
      </c>
      <c r="L3230" s="48" t="s">
        <v>56716</v>
      </c>
    </row>
    <row r="3231" spans="1:12" s="37" customFormat="1" ht="11.25" x14ac:dyDescent="0.2">
      <c r="A3231" s="45" t="s">
        <v>56573</v>
      </c>
      <c r="B3231" s="45" t="s">
        <v>56574</v>
      </c>
      <c r="C3231" s="51" t="s">
        <v>56575</v>
      </c>
      <c r="D3231" s="51" t="s">
        <v>56576</v>
      </c>
      <c r="E3231" s="45" t="s">
        <v>56577</v>
      </c>
      <c r="F3231" s="45" t="s">
        <v>50646</v>
      </c>
      <c r="G3231" s="45" t="s">
        <v>50584</v>
      </c>
      <c r="H3231" s="56"/>
      <c r="I3231" s="56" t="s">
        <v>50564</v>
      </c>
      <c r="J3231" s="56"/>
      <c r="K3231" s="50"/>
      <c r="L3231" s="56" t="s">
        <v>56716</v>
      </c>
    </row>
    <row r="3232" spans="1:12" s="37" customFormat="1" ht="11.25" x14ac:dyDescent="0.2">
      <c r="A3232" s="45" t="s">
        <v>30782</v>
      </c>
      <c r="B3232" s="45" t="s">
        <v>30784</v>
      </c>
      <c r="C3232" s="51" t="s">
        <v>30786</v>
      </c>
      <c r="D3232" s="51" t="s">
        <v>30785</v>
      </c>
      <c r="E3232" s="45" t="s">
        <v>30787</v>
      </c>
      <c r="F3232" s="45" t="s">
        <v>18959</v>
      </c>
      <c r="G3232" s="45" t="s">
        <v>50584</v>
      </c>
      <c r="H3232" s="56"/>
      <c r="I3232" s="56" t="s">
        <v>50564</v>
      </c>
      <c r="J3232" s="56"/>
      <c r="K3232" s="50"/>
      <c r="L3232" s="56" t="s">
        <v>56716</v>
      </c>
    </row>
    <row r="3233" spans="1:12" s="37" customFormat="1" ht="11.25" x14ac:dyDescent="0.2">
      <c r="A3233" s="46" t="s">
        <v>10262</v>
      </c>
      <c r="B3233" s="46" t="s">
        <v>52783</v>
      </c>
      <c r="C3233" s="58" t="str">
        <f>""</f>
        <v/>
      </c>
      <c r="D3233" s="58" t="str">
        <f>"14784505"</f>
        <v>14784505</v>
      </c>
      <c r="E3233" s="46" t="s">
        <v>2299</v>
      </c>
      <c r="F3233" s="46" t="s">
        <v>50646</v>
      </c>
      <c r="G3233" s="46" t="s">
        <v>50584</v>
      </c>
      <c r="H3233" s="48" t="s">
        <v>56716</v>
      </c>
      <c r="I3233" s="48" t="s">
        <v>50564</v>
      </c>
      <c r="J3233" s="48"/>
      <c r="K3233" s="50" t="s">
        <v>56716</v>
      </c>
      <c r="L3233" s="48" t="s">
        <v>56716</v>
      </c>
    </row>
    <row r="3234" spans="1:12" s="37" customFormat="1" ht="11.25" x14ac:dyDescent="0.2">
      <c r="A3234" s="46" t="s">
        <v>8574</v>
      </c>
      <c r="B3234" s="46" t="s">
        <v>52784</v>
      </c>
      <c r="C3234" s="58" t="str">
        <f>"13873741"</f>
        <v>13873741</v>
      </c>
      <c r="D3234" s="58" t="str">
        <f>"15729400"</f>
        <v>15729400</v>
      </c>
      <c r="E3234" s="46" t="s">
        <v>18876</v>
      </c>
      <c r="F3234" s="46" t="s">
        <v>18001</v>
      </c>
      <c r="G3234" s="46" t="s">
        <v>50584</v>
      </c>
      <c r="H3234" s="48" t="s">
        <v>56716</v>
      </c>
      <c r="I3234" s="48" t="s">
        <v>50564</v>
      </c>
      <c r="J3234" s="48" t="s">
        <v>56716</v>
      </c>
      <c r="K3234" s="50" t="s">
        <v>56716</v>
      </c>
      <c r="L3234" s="48"/>
    </row>
    <row r="3235" spans="1:12" s="37" customFormat="1" ht="11.25" x14ac:dyDescent="0.2">
      <c r="A3235" s="46" t="s">
        <v>4666</v>
      </c>
      <c r="B3235" s="46" t="s">
        <v>52785</v>
      </c>
      <c r="C3235" s="58" t="str">
        <f>"09514848"</f>
        <v>09514848</v>
      </c>
      <c r="D3235" s="58" t="str">
        <f>"17581044"</f>
        <v>17581044</v>
      </c>
      <c r="E3235" s="46" t="s">
        <v>97</v>
      </c>
      <c r="F3235" s="46" t="s">
        <v>50646</v>
      </c>
      <c r="G3235" s="46" t="s">
        <v>50584</v>
      </c>
      <c r="H3235" s="48" t="s">
        <v>56716</v>
      </c>
      <c r="I3235" s="48" t="s">
        <v>50564</v>
      </c>
      <c r="J3235" s="48" t="s">
        <v>56716</v>
      </c>
      <c r="K3235" s="50"/>
      <c r="L3235" s="48" t="s">
        <v>56716</v>
      </c>
    </row>
    <row r="3236" spans="1:12" s="37" customFormat="1" ht="11.25" x14ac:dyDescent="0.2">
      <c r="A3236" s="46" t="s">
        <v>1802</v>
      </c>
      <c r="B3236" s="46" t="s">
        <v>52786</v>
      </c>
      <c r="C3236" s="58" t="str">
        <f>"00179124"</f>
        <v>00179124</v>
      </c>
      <c r="D3236" s="58" t="str">
        <f>"14756773"</f>
        <v>14756773</v>
      </c>
      <c r="E3236" s="46" t="s">
        <v>548</v>
      </c>
      <c r="F3236" s="46" t="s">
        <v>17759</v>
      </c>
      <c r="G3236" s="46" t="s">
        <v>50584</v>
      </c>
      <c r="H3236" s="48" t="s">
        <v>56716</v>
      </c>
      <c r="I3236" s="48" t="s">
        <v>50564</v>
      </c>
      <c r="J3236" s="48"/>
      <c r="K3236" s="50" t="s">
        <v>56716</v>
      </c>
      <c r="L3236" s="48" t="s">
        <v>56716</v>
      </c>
    </row>
    <row r="3237" spans="1:12" s="37" customFormat="1" ht="11.25" x14ac:dyDescent="0.2">
      <c r="A3237" s="45" t="s">
        <v>30810</v>
      </c>
      <c r="B3237" s="45" t="s">
        <v>30812</v>
      </c>
      <c r="C3237" s="51" t="s">
        <v>30814</v>
      </c>
      <c r="D3237" s="51" t="s">
        <v>30813</v>
      </c>
      <c r="E3237" s="45" t="s">
        <v>30815</v>
      </c>
      <c r="F3237" s="45" t="s">
        <v>50646</v>
      </c>
      <c r="G3237" s="45" t="s">
        <v>50584</v>
      </c>
      <c r="H3237" s="56"/>
      <c r="I3237" s="56" t="s">
        <v>50564</v>
      </c>
      <c r="J3237" s="56"/>
      <c r="K3237" s="50"/>
      <c r="L3237" s="56" t="s">
        <v>56716</v>
      </c>
    </row>
    <row r="3238" spans="1:12" s="37" customFormat="1" ht="11.25" x14ac:dyDescent="0.2">
      <c r="A3238" s="45" t="s">
        <v>30818</v>
      </c>
      <c r="B3238" s="45" t="s">
        <v>30820</v>
      </c>
      <c r="C3238" s="51" t="s">
        <v>30823</v>
      </c>
      <c r="D3238" s="51" t="s">
        <v>30822</v>
      </c>
      <c r="E3238" s="45" t="s">
        <v>30824</v>
      </c>
      <c r="F3238" s="45" t="s">
        <v>18305</v>
      </c>
      <c r="G3238" s="45" t="s">
        <v>50584</v>
      </c>
      <c r="H3238" s="56"/>
      <c r="I3238" s="56" t="s">
        <v>50564</v>
      </c>
      <c r="J3238" s="56"/>
      <c r="K3238" s="50"/>
      <c r="L3238" s="56" t="s">
        <v>56716</v>
      </c>
    </row>
    <row r="3239" spans="1:12" s="37" customFormat="1" ht="11.25" x14ac:dyDescent="0.2">
      <c r="A3239" s="46" t="s">
        <v>7398</v>
      </c>
      <c r="B3239" s="46" t="s">
        <v>52787</v>
      </c>
      <c r="C3239" s="58" t="str">
        <f>"13665278"</f>
        <v>13665278</v>
      </c>
      <c r="D3239" s="58" t="str">
        <f>"20464924"</f>
        <v>20464924</v>
      </c>
      <c r="E3239" s="46" t="s">
        <v>7401</v>
      </c>
      <c r="F3239" s="46" t="s">
        <v>50646</v>
      </c>
      <c r="G3239" s="46" t="s">
        <v>50584</v>
      </c>
      <c r="H3239" s="48" t="s">
        <v>56716</v>
      </c>
      <c r="I3239" s="48" t="s">
        <v>50564</v>
      </c>
      <c r="J3239" s="48"/>
      <c r="K3239" s="50"/>
      <c r="L3239" s="48" t="s">
        <v>56716</v>
      </c>
    </row>
    <row r="3240" spans="1:12" s="37" customFormat="1" ht="11.25" x14ac:dyDescent="0.2">
      <c r="A3240" s="46" t="s">
        <v>8568</v>
      </c>
      <c r="B3240" s="46" t="s">
        <v>52788</v>
      </c>
      <c r="C3240" s="58" t="str">
        <f>"13698575"</f>
        <v>13698575</v>
      </c>
      <c r="D3240" s="58" t="str">
        <f>"14698331"</f>
        <v>14698331</v>
      </c>
      <c r="E3240" s="46" t="s">
        <v>689</v>
      </c>
      <c r="F3240" s="46" t="s">
        <v>50646</v>
      </c>
      <c r="G3240" s="46" t="s">
        <v>50584</v>
      </c>
      <c r="H3240" s="48" t="s">
        <v>56716</v>
      </c>
      <c r="I3240" s="48" t="s">
        <v>50564</v>
      </c>
      <c r="J3240" s="48"/>
      <c r="K3240" s="50" t="s">
        <v>56716</v>
      </c>
      <c r="L3240" s="48"/>
    </row>
    <row r="3241" spans="1:12" s="37" customFormat="1" ht="11.25" x14ac:dyDescent="0.2">
      <c r="A3241" s="46" t="s">
        <v>17195</v>
      </c>
      <c r="B3241" s="46" t="s">
        <v>17195</v>
      </c>
      <c r="C3241" s="58" t="str">
        <f>"22130764"</f>
        <v>22130764</v>
      </c>
      <c r="D3241" s="58" t="str">
        <f>"22130772"</f>
        <v>22130772</v>
      </c>
      <c r="E3241" s="46" t="s">
        <v>91</v>
      </c>
      <c r="F3241" s="46" t="s">
        <v>18001</v>
      </c>
      <c r="G3241" s="46" t="s">
        <v>50584</v>
      </c>
      <c r="H3241" s="48" t="s">
        <v>56716</v>
      </c>
      <c r="I3241" s="48" t="s">
        <v>50564</v>
      </c>
      <c r="J3241" s="48" t="s">
        <v>56716</v>
      </c>
      <c r="K3241" s="50" t="s">
        <v>56716</v>
      </c>
      <c r="L3241" s="48"/>
    </row>
    <row r="3242" spans="1:12" s="37" customFormat="1" ht="11.25" x14ac:dyDescent="0.2">
      <c r="A3242" s="45" t="s">
        <v>30830</v>
      </c>
      <c r="B3242" s="45" t="s">
        <v>30832</v>
      </c>
      <c r="C3242" s="51" t="s">
        <v>30833</v>
      </c>
      <c r="D3242" s="51"/>
      <c r="E3242" s="45" t="s">
        <v>7723</v>
      </c>
      <c r="F3242" s="45" t="s">
        <v>17759</v>
      </c>
      <c r="G3242" s="45" t="s">
        <v>50584</v>
      </c>
      <c r="H3242" s="56"/>
      <c r="I3242" s="56" t="s">
        <v>50564</v>
      </c>
      <c r="J3242" s="56"/>
      <c r="K3242" s="50"/>
      <c r="L3242" s="56" t="s">
        <v>56716</v>
      </c>
    </row>
    <row r="3243" spans="1:12" s="37" customFormat="1" ht="11.25" x14ac:dyDescent="0.2">
      <c r="A3243" s="45" t="s">
        <v>30835</v>
      </c>
      <c r="B3243" s="45" t="s">
        <v>30837</v>
      </c>
      <c r="C3243" s="51" t="s">
        <v>30839</v>
      </c>
      <c r="D3243" s="51"/>
      <c r="E3243" s="45" t="s">
        <v>30840</v>
      </c>
      <c r="F3243" s="45" t="s">
        <v>17759</v>
      </c>
      <c r="G3243" s="45" t="s">
        <v>50584</v>
      </c>
      <c r="H3243" s="56"/>
      <c r="I3243" s="56" t="s">
        <v>50564</v>
      </c>
      <c r="J3243" s="56"/>
      <c r="K3243" s="50"/>
      <c r="L3243" s="56" t="s">
        <v>56716</v>
      </c>
    </row>
    <row r="3244" spans="1:12" s="37" customFormat="1" ht="11.25" x14ac:dyDescent="0.2">
      <c r="A3244" s="46" t="s">
        <v>12919</v>
      </c>
      <c r="B3244" s="46" t="s">
        <v>52789</v>
      </c>
      <c r="C3244" s="58" t="str">
        <f>"18355617"</f>
        <v>18355617</v>
      </c>
      <c r="D3244" s="58" t="str">
        <f>"18355625"</f>
        <v>18355625</v>
      </c>
      <c r="E3244" s="46" t="s">
        <v>5124</v>
      </c>
      <c r="F3244" s="46" t="s">
        <v>20082</v>
      </c>
      <c r="G3244" s="46" t="s">
        <v>50584</v>
      </c>
      <c r="H3244" s="48" t="s">
        <v>56716</v>
      </c>
      <c r="I3244" s="48" t="s">
        <v>50564</v>
      </c>
      <c r="J3244" s="48"/>
      <c r="K3244" s="50"/>
      <c r="L3244" s="48"/>
    </row>
    <row r="3245" spans="1:12" s="37" customFormat="1" ht="11.25" x14ac:dyDescent="0.2">
      <c r="A3245" s="45" t="s">
        <v>30850</v>
      </c>
      <c r="B3245" s="45" t="s">
        <v>30852</v>
      </c>
      <c r="C3245" s="51" t="s">
        <v>30854</v>
      </c>
      <c r="D3245" s="51"/>
      <c r="E3245" s="45" t="s">
        <v>30855</v>
      </c>
      <c r="F3245" s="45" t="s">
        <v>17759</v>
      </c>
      <c r="G3245" s="45" t="s">
        <v>50584</v>
      </c>
      <c r="H3245" s="56"/>
      <c r="I3245" s="56" t="s">
        <v>50564</v>
      </c>
      <c r="J3245" s="56"/>
      <c r="K3245" s="50"/>
      <c r="L3245" s="56" t="s">
        <v>56716</v>
      </c>
    </row>
    <row r="3246" spans="1:12" s="37" customFormat="1" ht="11.25" x14ac:dyDescent="0.2">
      <c r="A3246" s="46" t="s">
        <v>4961</v>
      </c>
      <c r="B3246" s="46" t="s">
        <v>52790</v>
      </c>
      <c r="C3246" s="58" t="str">
        <f>"08404704"</f>
        <v>08404704</v>
      </c>
      <c r="D3246" s="58" t="str">
        <f>""</f>
        <v/>
      </c>
      <c r="E3246" s="46" t="s">
        <v>272</v>
      </c>
      <c r="F3246" s="46" t="s">
        <v>17759</v>
      </c>
      <c r="G3246" s="46" t="s">
        <v>50590</v>
      </c>
      <c r="H3246" s="48" t="s">
        <v>56716</v>
      </c>
      <c r="I3246" s="48" t="s">
        <v>50564</v>
      </c>
      <c r="J3246" s="48" t="s">
        <v>56716</v>
      </c>
      <c r="K3246" s="50"/>
      <c r="L3246" s="48" t="s">
        <v>56716</v>
      </c>
    </row>
    <row r="3247" spans="1:12" s="37" customFormat="1" ht="11.25" x14ac:dyDescent="0.2">
      <c r="A3247" s="45" t="s">
        <v>30863</v>
      </c>
      <c r="B3247" s="45" t="s">
        <v>30865</v>
      </c>
      <c r="C3247" s="51" t="s">
        <v>30868</v>
      </c>
      <c r="D3247" s="51" t="s">
        <v>30867</v>
      </c>
      <c r="E3247" s="45" t="s">
        <v>30869</v>
      </c>
      <c r="F3247" s="45" t="s">
        <v>17759</v>
      </c>
      <c r="G3247" s="45" t="s">
        <v>50584</v>
      </c>
      <c r="H3247" s="56"/>
      <c r="I3247" s="56" t="s">
        <v>50564</v>
      </c>
      <c r="J3247" s="56"/>
      <c r="K3247" s="50"/>
      <c r="L3247" s="56" t="s">
        <v>56716</v>
      </c>
    </row>
    <row r="3248" spans="1:12" s="37" customFormat="1" ht="11.25" x14ac:dyDescent="0.2">
      <c r="A3248" s="46" t="s">
        <v>12200</v>
      </c>
      <c r="B3248" s="46" t="s">
        <v>52791</v>
      </c>
      <c r="C3248" s="58" t="str">
        <f>"17156572"</f>
        <v>17156572</v>
      </c>
      <c r="D3248" s="58" t="str">
        <f>"17156580"</f>
        <v>17156580</v>
      </c>
      <c r="E3248" s="46" t="s">
        <v>12203</v>
      </c>
      <c r="F3248" s="46" t="s">
        <v>18959</v>
      </c>
      <c r="G3248" s="46" t="s">
        <v>50584</v>
      </c>
      <c r="H3248" s="48" t="s">
        <v>56716</v>
      </c>
      <c r="I3248" s="48" t="s">
        <v>50564</v>
      </c>
      <c r="J3248" s="48"/>
      <c r="K3248" s="50"/>
      <c r="L3248" s="48" t="s">
        <v>56716</v>
      </c>
    </row>
    <row r="3249" spans="1:12" s="37" customFormat="1" ht="11.25" x14ac:dyDescent="0.2">
      <c r="A3249" s="45" t="s">
        <v>30876</v>
      </c>
      <c r="B3249" s="45" t="s">
        <v>30878</v>
      </c>
      <c r="C3249" s="51" t="s">
        <v>30880</v>
      </c>
      <c r="D3249" s="51"/>
      <c r="E3249" s="45" t="s">
        <v>30874</v>
      </c>
      <c r="F3249" s="45" t="s">
        <v>18959</v>
      </c>
      <c r="G3249" s="45" t="s">
        <v>50584</v>
      </c>
      <c r="H3249" s="56"/>
      <c r="I3249" s="56" t="s">
        <v>50564</v>
      </c>
      <c r="J3249" s="56"/>
      <c r="K3249" s="50"/>
      <c r="L3249" s="56" t="s">
        <v>56716</v>
      </c>
    </row>
    <row r="3250" spans="1:12" s="37" customFormat="1" ht="11.25" x14ac:dyDescent="0.2">
      <c r="A3250" s="46" t="s">
        <v>56073</v>
      </c>
      <c r="B3250" s="46" t="s">
        <v>56074</v>
      </c>
      <c r="C3250" s="58" t="str">
        <f>""</f>
        <v/>
      </c>
      <c r="D3250" s="58" t="str">
        <f>"20533713"</f>
        <v>20533713</v>
      </c>
      <c r="E3250" s="46" t="s">
        <v>11695</v>
      </c>
      <c r="F3250" s="46" t="s">
        <v>50646</v>
      </c>
      <c r="G3250" s="46" t="s">
        <v>50584</v>
      </c>
      <c r="H3250" s="48" t="s">
        <v>56716</v>
      </c>
      <c r="I3250" s="48" t="s">
        <v>50564</v>
      </c>
      <c r="J3250" s="48"/>
      <c r="K3250" s="50"/>
      <c r="L3250" s="48"/>
    </row>
    <row r="3251" spans="1:12" s="37" customFormat="1" ht="11.25" x14ac:dyDescent="0.2">
      <c r="A3251" s="45" t="s">
        <v>30882</v>
      </c>
      <c r="B3251" s="45" t="s">
        <v>30884</v>
      </c>
      <c r="C3251" s="51" t="s">
        <v>30885</v>
      </c>
      <c r="D3251" s="51"/>
      <c r="E3251" s="45" t="s">
        <v>30886</v>
      </c>
      <c r="F3251" s="45" t="s">
        <v>18959</v>
      </c>
      <c r="G3251" s="45" t="s">
        <v>50584</v>
      </c>
      <c r="H3251" s="56"/>
      <c r="I3251" s="56" t="s">
        <v>50564</v>
      </c>
      <c r="J3251" s="56"/>
      <c r="K3251" s="50"/>
      <c r="L3251" s="56" t="s">
        <v>56716</v>
      </c>
    </row>
    <row r="3252" spans="1:12" s="37" customFormat="1" ht="11.25" x14ac:dyDescent="0.2">
      <c r="A3252" s="46" t="s">
        <v>1795</v>
      </c>
      <c r="B3252" s="46" t="s">
        <v>52792</v>
      </c>
      <c r="C3252" s="58" t="str">
        <f>"03785955"</f>
        <v>03785955</v>
      </c>
      <c r="D3252" s="58" t="str">
        <f>"18785891"</f>
        <v>18785891</v>
      </c>
      <c r="E3252" s="46" t="s">
        <v>91</v>
      </c>
      <c r="F3252" s="46" t="s">
        <v>18001</v>
      </c>
      <c r="G3252" s="46" t="s">
        <v>50584</v>
      </c>
      <c r="H3252" s="48" t="s">
        <v>56716</v>
      </c>
      <c r="I3252" s="48" t="s">
        <v>50564</v>
      </c>
      <c r="J3252" s="48" t="s">
        <v>56716</v>
      </c>
      <c r="K3252" s="50" t="s">
        <v>56716</v>
      </c>
      <c r="L3252" s="48" t="s">
        <v>56716</v>
      </c>
    </row>
    <row r="3253" spans="1:12" s="37" customFormat="1" ht="11.25" x14ac:dyDescent="0.2">
      <c r="A3253" s="46" t="s">
        <v>16777</v>
      </c>
      <c r="B3253" s="46" t="s">
        <v>52793</v>
      </c>
      <c r="C3253" s="58" t="str">
        <f>"21695717"</f>
        <v>21695717</v>
      </c>
      <c r="D3253" s="58" t="str">
        <f>"21695725"</f>
        <v>21695725</v>
      </c>
      <c r="E3253" s="46" t="s">
        <v>291</v>
      </c>
      <c r="F3253" s="46" t="s">
        <v>50646</v>
      </c>
      <c r="G3253" s="46" t="s">
        <v>50584</v>
      </c>
      <c r="H3253" s="48" t="s">
        <v>56716</v>
      </c>
      <c r="I3253" s="48" t="s">
        <v>50564</v>
      </c>
      <c r="J3253" s="48" t="s">
        <v>56716</v>
      </c>
      <c r="K3253" s="50"/>
      <c r="L3253" s="48"/>
    </row>
    <row r="3254" spans="1:12" s="37" customFormat="1" ht="11.25" x14ac:dyDescent="0.2">
      <c r="A3254" s="46" t="s">
        <v>6875</v>
      </c>
      <c r="B3254" s="46" t="s">
        <v>6875</v>
      </c>
      <c r="C3254" s="58" t="str">
        <f>"13556037"</f>
        <v>13556037</v>
      </c>
      <c r="D3254" s="58" t="str">
        <f>"1468201X"</f>
        <v>1468201X</v>
      </c>
      <c r="E3254" s="46" t="s">
        <v>159</v>
      </c>
      <c r="F3254" s="46" t="s">
        <v>50646</v>
      </c>
      <c r="G3254" s="46" t="s">
        <v>50584</v>
      </c>
      <c r="H3254" s="48" t="s">
        <v>56716</v>
      </c>
      <c r="I3254" s="48" t="s">
        <v>50564</v>
      </c>
      <c r="J3254" s="48" t="s">
        <v>56716</v>
      </c>
      <c r="K3254" s="50" t="s">
        <v>56716</v>
      </c>
      <c r="L3254" s="48" t="s">
        <v>56716</v>
      </c>
    </row>
    <row r="3255" spans="1:12" s="37" customFormat="1" ht="11.25" x14ac:dyDescent="0.2">
      <c r="A3255" s="45" t="s">
        <v>30908</v>
      </c>
      <c r="B3255" s="45" t="s">
        <v>30910</v>
      </c>
      <c r="C3255" s="51" t="s">
        <v>30912</v>
      </c>
      <c r="D3255" s="51" t="s">
        <v>56578</v>
      </c>
      <c r="E3255" s="45" t="s">
        <v>30913</v>
      </c>
      <c r="F3255" s="45" t="s">
        <v>17759</v>
      </c>
      <c r="G3255" s="45" t="s">
        <v>50584</v>
      </c>
      <c r="H3255" s="56"/>
      <c r="I3255" s="56" t="s">
        <v>50564</v>
      </c>
      <c r="J3255" s="56"/>
      <c r="K3255" s="50"/>
      <c r="L3255" s="56" t="s">
        <v>56716</v>
      </c>
    </row>
    <row r="3256" spans="1:12" s="37" customFormat="1" ht="11.25" x14ac:dyDescent="0.2">
      <c r="A3256" s="46" t="s">
        <v>1783</v>
      </c>
      <c r="B3256" s="46" t="s">
        <v>52794</v>
      </c>
      <c r="C3256" s="58" t="str">
        <f>"01479563"</f>
        <v>01479563</v>
      </c>
      <c r="D3256" s="58" t="str">
        <f>"15273288"</f>
        <v>15273288</v>
      </c>
      <c r="E3256" s="46" t="s">
        <v>194</v>
      </c>
      <c r="F3256" s="46" t="s">
        <v>17759</v>
      </c>
      <c r="G3256" s="46" t="s">
        <v>50584</v>
      </c>
      <c r="H3256" s="48" t="s">
        <v>56716</v>
      </c>
      <c r="I3256" s="48" t="s">
        <v>50564</v>
      </c>
      <c r="J3256" s="48" t="s">
        <v>56716</v>
      </c>
      <c r="K3256" s="50" t="s">
        <v>56716</v>
      </c>
      <c r="L3256" s="48" t="s">
        <v>56716</v>
      </c>
    </row>
    <row r="3257" spans="1:12" s="37" customFormat="1" ht="11.25" x14ac:dyDescent="0.2">
      <c r="A3257" s="46" t="s">
        <v>11243</v>
      </c>
      <c r="B3257" s="46" t="s">
        <v>52795</v>
      </c>
      <c r="C3257" s="58" t="str">
        <f>"15660338"</f>
        <v>15660338</v>
      </c>
      <c r="D3257" s="58" t="str">
        <f>""</f>
        <v/>
      </c>
      <c r="E3257" s="46" t="s">
        <v>7404</v>
      </c>
      <c r="F3257" s="46" t="s">
        <v>20359</v>
      </c>
      <c r="G3257" s="46" t="s">
        <v>50584</v>
      </c>
      <c r="H3257" s="48" t="s">
        <v>56716</v>
      </c>
      <c r="I3257" s="48" t="s">
        <v>50564</v>
      </c>
      <c r="J3257" s="48" t="s">
        <v>56716</v>
      </c>
      <c r="K3257" s="50"/>
      <c r="L3257" s="48"/>
    </row>
    <row r="3258" spans="1:12" s="37" customFormat="1" ht="11.25" x14ac:dyDescent="0.2">
      <c r="A3258" s="46" t="s">
        <v>1805</v>
      </c>
      <c r="B3258" s="46" t="s">
        <v>30917</v>
      </c>
      <c r="C3258" s="58" t="str">
        <f>"09108327"</f>
        <v>09108327</v>
      </c>
      <c r="D3258" s="58" t="str">
        <f>"16152573"</f>
        <v>16152573</v>
      </c>
      <c r="E3258" s="46" t="s">
        <v>23335</v>
      </c>
      <c r="F3258" s="46" t="s">
        <v>18242</v>
      </c>
      <c r="G3258" s="46" t="s">
        <v>50584</v>
      </c>
      <c r="H3258" s="48" t="s">
        <v>56716</v>
      </c>
      <c r="I3258" s="48" t="s">
        <v>50564</v>
      </c>
      <c r="J3258" s="48" t="s">
        <v>56716</v>
      </c>
      <c r="K3258" s="50" t="s">
        <v>56716</v>
      </c>
      <c r="L3258" s="48" t="s">
        <v>56716</v>
      </c>
    </row>
    <row r="3259" spans="1:12" s="37" customFormat="1" ht="11.25" x14ac:dyDescent="0.2">
      <c r="A3259" s="46" t="s">
        <v>14074</v>
      </c>
      <c r="B3259" s="46" t="s">
        <v>14074</v>
      </c>
      <c r="C3259" s="58" t="str">
        <f>""</f>
        <v/>
      </c>
      <c r="D3259" s="58" t="str">
        <f>"17591104"</f>
        <v>17591104</v>
      </c>
      <c r="E3259" s="46" t="s">
        <v>159</v>
      </c>
      <c r="F3259" s="46" t="s">
        <v>50646</v>
      </c>
      <c r="G3259" s="46" t="s">
        <v>50584</v>
      </c>
      <c r="H3259" s="48" t="s">
        <v>56716</v>
      </c>
      <c r="I3259" s="48" t="s">
        <v>50564</v>
      </c>
      <c r="J3259" s="48" t="s">
        <v>56716</v>
      </c>
      <c r="K3259" s="50"/>
      <c r="L3259" s="48"/>
    </row>
    <row r="3260" spans="1:12" s="37" customFormat="1" ht="11.25" x14ac:dyDescent="0.2">
      <c r="A3260" s="46" t="s">
        <v>11399</v>
      </c>
      <c r="B3260" s="46" t="s">
        <v>52796</v>
      </c>
      <c r="C3260" s="58" t="str">
        <f>"15517136"</f>
        <v>15517136</v>
      </c>
      <c r="D3260" s="58" t="str">
        <f>""</f>
        <v/>
      </c>
      <c r="E3260" s="46" t="s">
        <v>272</v>
      </c>
      <c r="F3260" s="46" t="s">
        <v>17759</v>
      </c>
      <c r="G3260" s="46" t="s">
        <v>50584</v>
      </c>
      <c r="H3260" s="48" t="s">
        <v>56716</v>
      </c>
      <c r="I3260" s="48" t="s">
        <v>50564</v>
      </c>
      <c r="J3260" s="48"/>
      <c r="K3260" s="50" t="s">
        <v>56716</v>
      </c>
      <c r="L3260" s="48" t="s">
        <v>56716</v>
      </c>
    </row>
    <row r="3261" spans="1:12" s="37" customFormat="1" ht="11.25" x14ac:dyDescent="0.2">
      <c r="A3261" s="46" t="s">
        <v>7463</v>
      </c>
      <c r="B3261" s="46" t="s">
        <v>52797</v>
      </c>
      <c r="C3261" s="58" t="str">
        <f>"13824147"</f>
        <v>13824147</v>
      </c>
      <c r="D3261" s="58" t="str">
        <f>"15737322"</f>
        <v>15737322</v>
      </c>
      <c r="E3261" s="46" t="s">
        <v>18876</v>
      </c>
      <c r="F3261" s="46" t="s">
        <v>18001</v>
      </c>
      <c r="G3261" s="46" t="s">
        <v>50584</v>
      </c>
      <c r="H3261" s="48" t="s">
        <v>56716</v>
      </c>
      <c r="I3261" s="48" t="s">
        <v>50564</v>
      </c>
      <c r="J3261" s="48"/>
      <c r="K3261" s="50" t="s">
        <v>56716</v>
      </c>
      <c r="L3261" s="48" t="s">
        <v>56716</v>
      </c>
    </row>
    <row r="3262" spans="1:12" s="37" customFormat="1" ht="11.25" x14ac:dyDescent="0.2">
      <c r="A3262" s="46" t="s">
        <v>14280</v>
      </c>
      <c r="B3262" s="46" t="s">
        <v>52798</v>
      </c>
      <c r="C3262" s="58" t="str">
        <f>"18261868"</f>
        <v>18261868</v>
      </c>
      <c r="D3262" s="58" t="str">
        <f>"20362579"</f>
        <v>20362579</v>
      </c>
      <c r="E3262" s="46" t="s">
        <v>1949</v>
      </c>
      <c r="F3262" s="46" t="s">
        <v>17991</v>
      </c>
      <c r="G3262" s="46" t="s">
        <v>50584</v>
      </c>
      <c r="H3262" s="48" t="s">
        <v>56716</v>
      </c>
      <c r="I3262" s="48" t="s">
        <v>50564</v>
      </c>
      <c r="J3262" s="48"/>
      <c r="K3262" s="50"/>
      <c r="L3262" s="48"/>
    </row>
    <row r="3263" spans="1:12" s="37" customFormat="1" ht="11.25" x14ac:dyDescent="0.2">
      <c r="A3263" s="46" t="s">
        <v>8820</v>
      </c>
      <c r="B3263" s="46" t="s">
        <v>52799</v>
      </c>
      <c r="C3263" s="58" t="str">
        <f>"14439506"</f>
        <v>14439506</v>
      </c>
      <c r="D3263" s="58" t="str">
        <f>"14442892"</f>
        <v>14442892</v>
      </c>
      <c r="E3263" s="46" t="s">
        <v>155</v>
      </c>
      <c r="F3263" s="46" t="s">
        <v>50646</v>
      </c>
      <c r="G3263" s="46" t="s">
        <v>50584</v>
      </c>
      <c r="H3263" s="48" t="s">
        <v>56716</v>
      </c>
      <c r="I3263" s="48" t="s">
        <v>50564</v>
      </c>
      <c r="J3263" s="48" t="s">
        <v>56716</v>
      </c>
      <c r="K3263" s="50" t="s">
        <v>56716</v>
      </c>
      <c r="L3263" s="48" t="s">
        <v>56716</v>
      </c>
    </row>
    <row r="3264" spans="1:12" s="37" customFormat="1" ht="11.25" x14ac:dyDescent="0.2">
      <c r="A3264" s="46" t="s">
        <v>10106</v>
      </c>
      <c r="B3264" s="46" t="s">
        <v>10106</v>
      </c>
      <c r="C3264" s="58" t="str">
        <f>"15475271"</f>
        <v>15475271</v>
      </c>
      <c r="D3264" s="58" t="str">
        <f>"15563871"</f>
        <v>15563871</v>
      </c>
      <c r="E3264" s="46" t="s">
        <v>91</v>
      </c>
      <c r="F3264" s="46" t="s">
        <v>18001</v>
      </c>
      <c r="G3264" s="46" t="s">
        <v>50584</v>
      </c>
      <c r="H3264" s="48" t="s">
        <v>56716</v>
      </c>
      <c r="I3264" s="48" t="s">
        <v>50564</v>
      </c>
      <c r="J3264" s="48" t="s">
        <v>56716</v>
      </c>
      <c r="K3264" s="50" t="s">
        <v>56716</v>
      </c>
      <c r="L3264" s="48" t="s">
        <v>56716</v>
      </c>
    </row>
    <row r="3265" spans="1:12" s="37" customFormat="1" ht="11.25" x14ac:dyDescent="0.2">
      <c r="A3265" s="46" t="s">
        <v>8492</v>
      </c>
      <c r="B3265" s="46" t="s">
        <v>52800</v>
      </c>
      <c r="C3265" s="58" t="str">
        <f>"10983511"</f>
        <v>10983511</v>
      </c>
      <c r="D3265" s="58" t="str">
        <f>"15226662"</f>
        <v>15226662</v>
      </c>
      <c r="E3265" s="46" t="s">
        <v>8495</v>
      </c>
      <c r="F3265" s="46" t="s">
        <v>17759</v>
      </c>
      <c r="G3265" s="46" t="s">
        <v>50584</v>
      </c>
      <c r="H3265" s="48" t="s">
        <v>56716</v>
      </c>
      <c r="I3265" s="48" t="s">
        <v>50564</v>
      </c>
      <c r="J3265" s="48" t="s">
        <v>56716</v>
      </c>
      <c r="K3265" s="50"/>
      <c r="L3265" s="48" t="s">
        <v>56716</v>
      </c>
    </row>
    <row r="3266" spans="1:12" s="37" customFormat="1" ht="11.25" x14ac:dyDescent="0.2">
      <c r="A3266" s="45" t="s">
        <v>30942</v>
      </c>
      <c r="B3266" s="45" t="s">
        <v>30944</v>
      </c>
      <c r="C3266" s="51" t="s">
        <v>30946</v>
      </c>
      <c r="D3266" s="51" t="s">
        <v>30945</v>
      </c>
      <c r="E3266" s="45" t="s">
        <v>217</v>
      </c>
      <c r="F3266" s="45" t="s">
        <v>18001</v>
      </c>
      <c r="G3266" s="45" t="s">
        <v>50584</v>
      </c>
      <c r="H3266" s="56"/>
      <c r="I3266" s="56" t="s">
        <v>50564</v>
      </c>
      <c r="J3266" s="56"/>
      <c r="K3266" s="50"/>
      <c r="L3266" s="56" t="s">
        <v>56716</v>
      </c>
    </row>
    <row r="3267" spans="1:12" s="37" customFormat="1" ht="11.25" x14ac:dyDescent="0.2">
      <c r="A3267" s="46" t="s">
        <v>7044</v>
      </c>
      <c r="B3267" s="46" t="s">
        <v>7044</v>
      </c>
      <c r="C3267" s="58" t="str">
        <f>"10834389"</f>
        <v>10834389</v>
      </c>
      <c r="D3267" s="58" t="str">
        <f>"15235378"</f>
        <v>15235378</v>
      </c>
      <c r="E3267" s="46" t="s">
        <v>35</v>
      </c>
      <c r="F3267" s="46" t="s">
        <v>50646</v>
      </c>
      <c r="G3267" s="46" t="s">
        <v>50584</v>
      </c>
      <c r="H3267" s="48" t="s">
        <v>56716</v>
      </c>
      <c r="I3267" s="48" t="s">
        <v>50564</v>
      </c>
      <c r="J3267" s="48" t="s">
        <v>56716</v>
      </c>
      <c r="K3267" s="50" t="s">
        <v>56716</v>
      </c>
      <c r="L3267" s="48" t="s">
        <v>56716</v>
      </c>
    </row>
    <row r="3268" spans="1:12" s="37" customFormat="1" ht="11.25" x14ac:dyDescent="0.2">
      <c r="A3268" s="46" t="s">
        <v>1818</v>
      </c>
      <c r="B3268" s="46" t="s">
        <v>52801</v>
      </c>
      <c r="C3268" s="58" t="str">
        <f>"11099666"</f>
        <v>11099666</v>
      </c>
      <c r="D3268" s="58" t="str">
        <f>""</f>
        <v/>
      </c>
      <c r="E3268" s="46" t="s">
        <v>1820</v>
      </c>
      <c r="F3268" s="46" t="s">
        <v>20969</v>
      </c>
      <c r="G3268" s="46" t="s">
        <v>50596</v>
      </c>
      <c r="H3268" s="48" t="s">
        <v>56716</v>
      </c>
      <c r="I3268" s="48" t="s">
        <v>50564</v>
      </c>
      <c r="J3268" s="48"/>
      <c r="K3268" s="50"/>
      <c r="L3268" s="48" t="s">
        <v>56716</v>
      </c>
    </row>
    <row r="3269" spans="1:12" s="37" customFormat="1" ht="11.25" x14ac:dyDescent="0.2">
      <c r="A3269" s="46" t="s">
        <v>9950</v>
      </c>
      <c r="B3269" s="46" t="s">
        <v>52802</v>
      </c>
      <c r="C3269" s="58" t="str">
        <f>"17905427"</f>
        <v>17905427</v>
      </c>
      <c r="D3269" s="58" t="str">
        <f>""</f>
        <v/>
      </c>
      <c r="E3269" s="46" t="s">
        <v>9952</v>
      </c>
      <c r="F3269" s="46" t="s">
        <v>20969</v>
      </c>
      <c r="G3269" s="46" t="s">
        <v>50597</v>
      </c>
      <c r="H3269" s="48" t="s">
        <v>56716</v>
      </c>
      <c r="I3269" s="48" t="s">
        <v>50564</v>
      </c>
      <c r="J3269" s="48"/>
      <c r="K3269" s="50"/>
      <c r="L3269" s="48" t="s">
        <v>56716</v>
      </c>
    </row>
    <row r="3270" spans="1:12" s="37" customFormat="1" ht="11.25" x14ac:dyDescent="0.2">
      <c r="A3270" s="46" t="s">
        <v>1765</v>
      </c>
      <c r="B3270" s="46" t="s">
        <v>52803</v>
      </c>
      <c r="C3270" s="58" t="str">
        <f>"0018019X"</f>
        <v>0018019X</v>
      </c>
      <c r="D3270" s="58" t="str">
        <f>"15222675"</f>
        <v>15222675</v>
      </c>
      <c r="E3270" s="46" t="s">
        <v>3029</v>
      </c>
      <c r="F3270" s="46" t="s">
        <v>17759</v>
      </c>
      <c r="G3270" s="46" t="s">
        <v>50592</v>
      </c>
      <c r="H3270" s="48" t="s">
        <v>56716</v>
      </c>
      <c r="I3270" s="48" t="s">
        <v>50564</v>
      </c>
      <c r="J3270" s="48" t="s">
        <v>56716</v>
      </c>
      <c r="K3270" s="50"/>
      <c r="L3270" s="48"/>
    </row>
    <row r="3271" spans="1:12" s="37" customFormat="1" ht="11.25" x14ac:dyDescent="0.2">
      <c r="A3271" s="46" t="s">
        <v>15084</v>
      </c>
      <c r="B3271" s="46" t="s">
        <v>52804</v>
      </c>
      <c r="C3271" s="58" t="str">
        <f>"20813287"</f>
        <v>20813287</v>
      </c>
      <c r="D3271" s="58" t="str">
        <f>"20810768"</f>
        <v>20810768</v>
      </c>
      <c r="E3271" s="46" t="s">
        <v>1462</v>
      </c>
      <c r="F3271" s="46" t="s">
        <v>17967</v>
      </c>
      <c r="G3271" s="46" t="s">
        <v>50584</v>
      </c>
      <c r="H3271" s="48" t="s">
        <v>56716</v>
      </c>
      <c r="I3271" s="48" t="s">
        <v>50564</v>
      </c>
      <c r="J3271" s="48"/>
      <c r="K3271" s="50"/>
      <c r="L3271" s="48"/>
    </row>
    <row r="3272" spans="1:12" s="37" customFormat="1" ht="11.25" x14ac:dyDescent="0.2">
      <c r="A3272" s="46" t="s">
        <v>55994</v>
      </c>
      <c r="B3272" s="46" t="s">
        <v>55995</v>
      </c>
      <c r="C3272" s="58" t="str">
        <f>"21979766"</f>
        <v>21979766</v>
      </c>
      <c r="D3272" s="58" t="str">
        <f>"21979774"</f>
        <v>21979774</v>
      </c>
      <c r="E3272" s="46" t="s">
        <v>167</v>
      </c>
      <c r="F3272" s="46" t="s">
        <v>18158</v>
      </c>
      <c r="G3272" s="46" t="s">
        <v>50584</v>
      </c>
      <c r="H3272" s="48" t="s">
        <v>56716</v>
      </c>
      <c r="I3272" s="48" t="s">
        <v>50565</v>
      </c>
      <c r="J3272" s="48" t="s">
        <v>56716</v>
      </c>
      <c r="K3272" s="50"/>
      <c r="L3272" s="48"/>
    </row>
    <row r="3273" spans="1:12" s="37" customFormat="1" ht="11.25" x14ac:dyDescent="0.2">
      <c r="A3273" s="46" t="s">
        <v>1759</v>
      </c>
      <c r="B3273" s="46" t="s">
        <v>52805</v>
      </c>
      <c r="C3273" s="58" t="str">
        <f>"02780232"</f>
        <v>02780232</v>
      </c>
      <c r="D3273" s="58" t="str">
        <f>"10991069"</f>
        <v>10991069</v>
      </c>
      <c r="E3273" s="46" t="s">
        <v>751</v>
      </c>
      <c r="F3273" s="46" t="s">
        <v>50646</v>
      </c>
      <c r="G3273" s="46" t="s">
        <v>50584</v>
      </c>
      <c r="H3273" s="48" t="s">
        <v>56716</v>
      </c>
      <c r="I3273" s="48" t="s">
        <v>50564</v>
      </c>
      <c r="J3273" s="48" t="s">
        <v>56716</v>
      </c>
      <c r="K3273" s="50" t="s">
        <v>56716</v>
      </c>
      <c r="L3273" s="48" t="s">
        <v>56716</v>
      </c>
    </row>
    <row r="3274" spans="1:12" s="37" customFormat="1" ht="11.25" x14ac:dyDescent="0.2">
      <c r="A3274" s="46" t="s">
        <v>6305</v>
      </c>
      <c r="B3274" s="46" t="s">
        <v>6305</v>
      </c>
      <c r="C3274" s="58" t="str">
        <f>"12647527"</f>
        <v>12647527</v>
      </c>
      <c r="D3274" s="58" t="str">
        <f>"19506368"</f>
        <v>19506368</v>
      </c>
      <c r="E3274" s="46" t="s">
        <v>948</v>
      </c>
      <c r="F3274" s="46" t="s">
        <v>20359</v>
      </c>
      <c r="G3274" s="46" t="s">
        <v>50591</v>
      </c>
      <c r="H3274" s="48" t="s">
        <v>56716</v>
      </c>
      <c r="I3274" s="48" t="s">
        <v>50564</v>
      </c>
      <c r="J3274" s="48"/>
      <c r="K3274" s="50"/>
      <c r="L3274" s="48"/>
    </row>
    <row r="3275" spans="1:12" s="37" customFormat="1" ht="11.25" x14ac:dyDescent="0.2">
      <c r="A3275" s="46" t="s">
        <v>56727</v>
      </c>
      <c r="B3275" s="46" t="s">
        <v>7097</v>
      </c>
      <c r="C3275" s="58" t="str">
        <f>"10245332"</f>
        <v>10245332</v>
      </c>
      <c r="D3275" s="58" t="str">
        <f>"16078454"</f>
        <v>16078454</v>
      </c>
      <c r="E3275" s="46" t="s">
        <v>856</v>
      </c>
      <c r="F3275" s="46" t="s">
        <v>50646</v>
      </c>
      <c r="G3275" s="46" t="s">
        <v>50584</v>
      </c>
      <c r="H3275" s="48" t="s">
        <v>56716</v>
      </c>
      <c r="I3275" s="48" t="s">
        <v>50564</v>
      </c>
      <c r="J3275" s="48" t="s">
        <v>56716</v>
      </c>
      <c r="K3275" s="50"/>
      <c r="L3275" s="48" t="s">
        <v>56716</v>
      </c>
    </row>
    <row r="3276" spans="1:12" s="37" customFormat="1" ht="11.25" x14ac:dyDescent="0.2">
      <c r="A3276" s="46" t="s">
        <v>56728</v>
      </c>
      <c r="B3276" s="46" t="s">
        <v>7097</v>
      </c>
      <c r="C3276" s="58" t="str">
        <f>"15204391"</f>
        <v>15204391</v>
      </c>
      <c r="D3276" s="58" t="str">
        <f>"15204383"</f>
        <v>15204383</v>
      </c>
      <c r="E3276" s="46" t="s">
        <v>861</v>
      </c>
      <c r="F3276" s="46" t="s">
        <v>17759</v>
      </c>
      <c r="G3276" s="46" t="s">
        <v>50584</v>
      </c>
      <c r="H3276" s="48" t="s">
        <v>56716</v>
      </c>
      <c r="I3276" s="48" t="s">
        <v>50564</v>
      </c>
      <c r="J3276" s="48"/>
      <c r="K3276" s="50"/>
      <c r="L3276" s="48" t="s">
        <v>56716</v>
      </c>
    </row>
    <row r="3277" spans="1:12" s="37" customFormat="1" ht="11.25" x14ac:dyDescent="0.2">
      <c r="A3277" s="46" t="s">
        <v>15491</v>
      </c>
      <c r="B3277" s="46" t="s">
        <v>52806</v>
      </c>
      <c r="C3277" s="58" t="str">
        <f>"20388322"</f>
        <v>20388322</v>
      </c>
      <c r="D3277" s="58" t="str">
        <f>"20388330"</f>
        <v>20388330</v>
      </c>
      <c r="E3277" s="46" t="s">
        <v>1949</v>
      </c>
      <c r="F3277" s="46" t="s">
        <v>17991</v>
      </c>
      <c r="G3277" s="46" t="s">
        <v>50584</v>
      </c>
      <c r="H3277" s="48" t="s">
        <v>56716</v>
      </c>
      <c r="I3277" s="48" t="s">
        <v>50564</v>
      </c>
      <c r="J3277" s="48"/>
      <c r="K3277" s="50"/>
      <c r="L3277" s="48"/>
    </row>
    <row r="3278" spans="1:12" s="37" customFormat="1" ht="11.25" x14ac:dyDescent="0.2">
      <c r="A3278" s="46" t="s">
        <v>13719</v>
      </c>
      <c r="B3278" s="46" t="s">
        <v>52807</v>
      </c>
      <c r="C3278" s="58" t="str">
        <f>"16583876"</f>
        <v>16583876</v>
      </c>
      <c r="D3278" s="58" t="str">
        <f>""</f>
        <v/>
      </c>
      <c r="E3278" s="46" t="s">
        <v>4889</v>
      </c>
      <c r="F3278" s="46" t="s">
        <v>42225</v>
      </c>
      <c r="G3278" s="46" t="s">
        <v>50584</v>
      </c>
      <c r="H3278" s="48" t="s">
        <v>56716</v>
      </c>
      <c r="I3278" s="48" t="s">
        <v>50564</v>
      </c>
      <c r="J3278" s="48"/>
      <c r="K3278" s="50" t="s">
        <v>56716</v>
      </c>
      <c r="L3278" s="48" t="s">
        <v>56716</v>
      </c>
    </row>
    <row r="3279" spans="1:12" s="37" customFormat="1" ht="11.25" x14ac:dyDescent="0.2">
      <c r="A3279" s="46" t="s">
        <v>4533</v>
      </c>
      <c r="B3279" s="46" t="s">
        <v>52808</v>
      </c>
      <c r="C3279" s="58" t="str">
        <f>"08898588"</f>
        <v>08898588</v>
      </c>
      <c r="D3279" s="58" t="str">
        <f>"15581977"</f>
        <v>15581977</v>
      </c>
      <c r="E3279" s="46" t="s">
        <v>303</v>
      </c>
      <c r="F3279" s="46" t="s">
        <v>17759</v>
      </c>
      <c r="G3279" s="46" t="s">
        <v>50584</v>
      </c>
      <c r="H3279" s="48" t="s">
        <v>56716</v>
      </c>
      <c r="I3279" s="48" t="s">
        <v>50564</v>
      </c>
      <c r="J3279" s="48" t="s">
        <v>56716</v>
      </c>
      <c r="K3279" s="50" t="s">
        <v>56716</v>
      </c>
      <c r="L3279" s="48" t="s">
        <v>56716</v>
      </c>
    </row>
    <row r="3280" spans="1:12" s="37" customFormat="1" ht="11.25" x14ac:dyDescent="0.2">
      <c r="A3280" s="46" t="s">
        <v>9929</v>
      </c>
      <c r="B3280" s="46" t="s">
        <v>52809</v>
      </c>
      <c r="C3280" s="58" t="str">
        <f>"14927535"</f>
        <v>14927535</v>
      </c>
      <c r="D3280" s="58" t="str">
        <f>"15424758"</f>
        <v>15424758</v>
      </c>
      <c r="E3280" s="46" t="s">
        <v>548</v>
      </c>
      <c r="F3280" s="46" t="s">
        <v>17759</v>
      </c>
      <c r="G3280" s="46" t="s">
        <v>50584</v>
      </c>
      <c r="H3280" s="48" t="s">
        <v>56716</v>
      </c>
      <c r="I3280" s="48" t="s">
        <v>50564</v>
      </c>
      <c r="J3280" s="48"/>
      <c r="K3280" s="50" t="s">
        <v>56716</v>
      </c>
      <c r="L3280" s="48" t="s">
        <v>56716</v>
      </c>
    </row>
    <row r="3281" spans="1:12" s="37" customFormat="1" ht="11.25" x14ac:dyDescent="0.2">
      <c r="A3281" s="46" t="s">
        <v>1786</v>
      </c>
      <c r="B3281" s="46" t="s">
        <v>1786</v>
      </c>
      <c r="C3281" s="58" t="str">
        <f>"03630269"</f>
        <v>03630269</v>
      </c>
      <c r="D3281" s="58" t="str">
        <f>"1532432X"</f>
        <v>1532432X</v>
      </c>
      <c r="E3281" s="46" t="s">
        <v>291</v>
      </c>
      <c r="F3281" s="46" t="s">
        <v>17759</v>
      </c>
      <c r="G3281" s="46" t="s">
        <v>50584</v>
      </c>
      <c r="H3281" s="48" t="s">
        <v>56716</v>
      </c>
      <c r="I3281" s="48" t="s">
        <v>50564</v>
      </c>
      <c r="J3281" s="48"/>
      <c r="K3281" s="50"/>
      <c r="L3281" s="48" t="s">
        <v>56716</v>
      </c>
    </row>
    <row r="3282" spans="1:12" s="37" customFormat="1" ht="11.25" x14ac:dyDescent="0.2">
      <c r="A3282" s="46" t="s">
        <v>16694</v>
      </c>
      <c r="B3282" s="46" t="s">
        <v>52810</v>
      </c>
      <c r="C3282" s="58" t="str">
        <f>""</f>
        <v/>
      </c>
      <c r="D3282" s="58" t="str">
        <f>"11791535"</f>
        <v>11791535</v>
      </c>
      <c r="E3282" s="46" t="s">
        <v>11079</v>
      </c>
      <c r="F3282" s="46" t="s">
        <v>19483</v>
      </c>
      <c r="G3282" s="46" t="s">
        <v>50584</v>
      </c>
      <c r="H3282" s="48" t="s">
        <v>56716</v>
      </c>
      <c r="I3282" s="48" t="s">
        <v>50564</v>
      </c>
      <c r="J3282" s="48" t="s">
        <v>56716</v>
      </c>
      <c r="K3282" s="50"/>
      <c r="L3282" s="48"/>
    </row>
    <row r="3283" spans="1:12" s="37" customFormat="1" ht="11.25" x14ac:dyDescent="0.2">
      <c r="A3283" s="46" t="s">
        <v>56025</v>
      </c>
      <c r="B3283" s="46" t="s">
        <v>56026</v>
      </c>
      <c r="C3283" s="58" t="str">
        <f>"20450923"</f>
        <v>20450923</v>
      </c>
      <c r="D3283" s="58" t="str">
        <f>"20450931"</f>
        <v>20450931</v>
      </c>
      <c r="E3283" s="46" t="s">
        <v>8442</v>
      </c>
      <c r="F3283" s="46" t="s">
        <v>50646</v>
      </c>
      <c r="G3283" s="46" t="s">
        <v>50584</v>
      </c>
      <c r="H3283" s="48" t="s">
        <v>56716</v>
      </c>
      <c r="I3283" s="48" t="s">
        <v>50564</v>
      </c>
      <c r="J3283" s="48" t="s">
        <v>56716</v>
      </c>
      <c r="K3283" s="50"/>
      <c r="L3283" s="48"/>
    </row>
    <row r="3284" spans="1:12" s="37" customFormat="1" ht="11.25" x14ac:dyDescent="0.2">
      <c r="A3284" s="46" t="s">
        <v>13205</v>
      </c>
      <c r="B3284" s="46" t="s">
        <v>52811</v>
      </c>
      <c r="C3284" s="58" t="str">
        <f>"09729747"</f>
        <v>09729747</v>
      </c>
      <c r="D3284" s="58" t="str">
        <f>"19983573"</f>
        <v>19983573</v>
      </c>
      <c r="E3284" s="46" t="s">
        <v>19057</v>
      </c>
      <c r="F3284" s="46" t="s">
        <v>20446</v>
      </c>
      <c r="G3284" s="46" t="s">
        <v>50584</v>
      </c>
      <c r="H3284" s="48" t="s">
        <v>56716</v>
      </c>
      <c r="I3284" s="48" t="s">
        <v>50564</v>
      </c>
      <c r="J3284" s="48"/>
      <c r="K3284" s="50"/>
      <c r="L3284" s="48"/>
    </row>
    <row r="3285" spans="1:12" s="37" customFormat="1" ht="11.25" x14ac:dyDescent="0.2">
      <c r="A3285" s="46" t="s">
        <v>12479</v>
      </c>
      <c r="B3285" s="46" t="s">
        <v>56145</v>
      </c>
      <c r="C3285" s="58" t="str">
        <f>"1735143X"</f>
        <v>1735143X</v>
      </c>
      <c r="D3285" s="58" t="str">
        <f>"17353408"</f>
        <v>17353408</v>
      </c>
      <c r="E3285" s="46" t="s">
        <v>55898</v>
      </c>
      <c r="F3285" s="46" t="s">
        <v>18232</v>
      </c>
      <c r="G3285" s="46" t="s">
        <v>50584</v>
      </c>
      <c r="H3285" s="48" t="s">
        <v>56716</v>
      </c>
      <c r="I3285" s="48" t="s">
        <v>50564</v>
      </c>
      <c r="J3285" s="48"/>
      <c r="K3285" s="50"/>
      <c r="L3285" s="48"/>
    </row>
    <row r="3286" spans="1:12" s="37" customFormat="1" ht="11.25" x14ac:dyDescent="0.2">
      <c r="A3286" s="46" t="s">
        <v>15677</v>
      </c>
      <c r="B3286" s="46" t="s">
        <v>52812</v>
      </c>
      <c r="C3286" s="58" t="str">
        <f>"20901364"</f>
        <v>20901364</v>
      </c>
      <c r="D3286" s="58" t="str">
        <f>"20901372"</f>
        <v>20901372</v>
      </c>
      <c r="E3286" s="46" t="s">
        <v>1412</v>
      </c>
      <c r="F3286" s="46" t="s">
        <v>17759</v>
      </c>
      <c r="G3286" s="46" t="s">
        <v>50584</v>
      </c>
      <c r="H3286" s="48" t="s">
        <v>56716</v>
      </c>
      <c r="I3286" s="48" t="s">
        <v>50564</v>
      </c>
      <c r="J3286" s="48" t="s">
        <v>56716</v>
      </c>
      <c r="K3286" s="50"/>
      <c r="L3286" s="48"/>
    </row>
    <row r="3287" spans="1:12" s="37" customFormat="1" ht="11.25" x14ac:dyDescent="0.2">
      <c r="A3287" s="46" t="s">
        <v>9274</v>
      </c>
      <c r="B3287" s="46" t="s">
        <v>52813</v>
      </c>
      <c r="C3287" s="58" t="str">
        <f>"14993872"</f>
        <v>14993872</v>
      </c>
      <c r="D3287" s="58" t="str">
        <f>""</f>
        <v/>
      </c>
      <c r="E3287" s="46" t="s">
        <v>55939</v>
      </c>
      <c r="F3287" s="46" t="s">
        <v>17958</v>
      </c>
      <c r="G3287" s="46" t="s">
        <v>50584</v>
      </c>
      <c r="H3287" s="48" t="s">
        <v>56716</v>
      </c>
      <c r="I3287" s="48" t="s">
        <v>50564</v>
      </c>
      <c r="J3287" s="48"/>
      <c r="K3287" s="50"/>
      <c r="L3287" s="48" t="s">
        <v>56716</v>
      </c>
    </row>
    <row r="3288" spans="1:12" s="37" customFormat="1" ht="11.25" x14ac:dyDescent="0.2">
      <c r="A3288" s="46" t="s">
        <v>6872</v>
      </c>
      <c r="B3288" s="46" t="s">
        <v>6872</v>
      </c>
      <c r="C3288" s="58" t="str">
        <f>"12537020"</f>
        <v>12537020</v>
      </c>
      <c r="D3288" s="58" t="str">
        <f>"19524048"</f>
        <v>19524048</v>
      </c>
      <c r="E3288" s="46" t="s">
        <v>948</v>
      </c>
      <c r="F3288" s="46" t="s">
        <v>20359</v>
      </c>
      <c r="G3288" s="46" t="s">
        <v>50591</v>
      </c>
      <c r="H3288" s="48" t="s">
        <v>56716</v>
      </c>
      <c r="I3288" s="48" t="s">
        <v>50564</v>
      </c>
      <c r="J3288" s="48"/>
      <c r="K3288" s="50"/>
      <c r="L3288" s="48"/>
    </row>
    <row r="3289" spans="1:12" s="37" customFormat="1" ht="11.25" x14ac:dyDescent="0.2">
      <c r="A3289" s="46" t="s">
        <v>1779</v>
      </c>
      <c r="B3289" s="46" t="s">
        <v>1779</v>
      </c>
      <c r="C3289" s="58" t="str">
        <f>"01726390"</f>
        <v>01726390</v>
      </c>
      <c r="D3289" s="58" t="str">
        <f>""</f>
        <v/>
      </c>
      <c r="E3289" s="46" t="s">
        <v>1781</v>
      </c>
      <c r="F3289" s="46" t="s">
        <v>20969</v>
      </c>
      <c r="G3289" s="46" t="s">
        <v>50584</v>
      </c>
      <c r="H3289" s="48" t="s">
        <v>56716</v>
      </c>
      <c r="I3289" s="48" t="s">
        <v>50564</v>
      </c>
      <c r="J3289" s="48" t="s">
        <v>56716</v>
      </c>
      <c r="K3289" s="50"/>
      <c r="L3289" s="48" t="s">
        <v>56716</v>
      </c>
    </row>
    <row r="3290" spans="1:12" s="37" customFormat="1" ht="11.25" x14ac:dyDescent="0.2">
      <c r="A3290" s="46" t="s">
        <v>1840</v>
      </c>
      <c r="B3290" s="46" t="s">
        <v>1840</v>
      </c>
      <c r="C3290" s="58" t="str">
        <f>"02709139"</f>
        <v>02709139</v>
      </c>
      <c r="D3290" s="58" t="str">
        <f>"15273350"</f>
        <v>15273350</v>
      </c>
      <c r="E3290" s="46" t="s">
        <v>517</v>
      </c>
      <c r="F3290" s="46" t="s">
        <v>17759</v>
      </c>
      <c r="G3290" s="46" t="s">
        <v>50584</v>
      </c>
      <c r="H3290" s="48" t="s">
        <v>56716</v>
      </c>
      <c r="I3290" s="48" t="s">
        <v>50564</v>
      </c>
      <c r="J3290" s="48" t="s">
        <v>56716</v>
      </c>
      <c r="K3290" s="50" t="s">
        <v>56716</v>
      </c>
      <c r="L3290" s="48" t="s">
        <v>56716</v>
      </c>
    </row>
    <row r="3291" spans="1:12" s="37" customFormat="1" ht="11.25" x14ac:dyDescent="0.2">
      <c r="A3291" s="46" t="s">
        <v>12344</v>
      </c>
      <c r="B3291" s="46" t="s">
        <v>52814</v>
      </c>
      <c r="C3291" s="58" t="str">
        <f>"19360533"</f>
        <v>19360533</v>
      </c>
      <c r="D3291" s="58" t="str">
        <f>"19360541"</f>
        <v>19360541</v>
      </c>
      <c r="E3291" s="46" t="s">
        <v>1977</v>
      </c>
      <c r="F3291" s="46" t="s">
        <v>20446</v>
      </c>
      <c r="G3291" s="46" t="s">
        <v>50584</v>
      </c>
      <c r="H3291" s="48" t="s">
        <v>56716</v>
      </c>
      <c r="I3291" s="48" t="s">
        <v>50564</v>
      </c>
      <c r="J3291" s="48" t="s">
        <v>56716</v>
      </c>
      <c r="K3291" s="50" t="s">
        <v>56716</v>
      </c>
      <c r="L3291" s="48"/>
    </row>
    <row r="3292" spans="1:12" s="37" customFormat="1" ht="11.25" x14ac:dyDescent="0.2">
      <c r="A3292" s="46" t="s">
        <v>7440</v>
      </c>
      <c r="B3292" s="46" t="s">
        <v>52815</v>
      </c>
      <c r="C3292" s="58" t="str">
        <f>"13866346"</f>
        <v>13866346</v>
      </c>
      <c r="D3292" s="58" t="str">
        <f>"1872034X"</f>
        <v>1872034X</v>
      </c>
      <c r="E3292" s="46" t="s">
        <v>35</v>
      </c>
      <c r="F3292" s="46" t="s">
        <v>50646</v>
      </c>
      <c r="G3292" s="46" t="s">
        <v>50584</v>
      </c>
      <c r="H3292" s="48" t="s">
        <v>56716</v>
      </c>
      <c r="I3292" s="48" t="s">
        <v>50564</v>
      </c>
      <c r="J3292" s="48" t="s">
        <v>56716</v>
      </c>
      <c r="K3292" s="50" t="s">
        <v>56716</v>
      </c>
      <c r="L3292" s="48"/>
    </row>
    <row r="3293" spans="1:12" s="37" customFormat="1" ht="11.25" x14ac:dyDescent="0.2">
      <c r="A3293" s="45" t="s">
        <v>31014</v>
      </c>
      <c r="B3293" s="45" t="s">
        <v>31014</v>
      </c>
      <c r="C3293" s="51" t="s">
        <v>31015</v>
      </c>
      <c r="D3293" s="51" t="s">
        <v>56579</v>
      </c>
      <c r="E3293" s="45" t="s">
        <v>19447</v>
      </c>
      <c r="F3293" s="45" t="s">
        <v>17759</v>
      </c>
      <c r="G3293" s="45" t="s">
        <v>50584</v>
      </c>
      <c r="H3293" s="56"/>
      <c r="I3293" s="56" t="s">
        <v>50564</v>
      </c>
      <c r="J3293" s="56"/>
      <c r="K3293" s="50"/>
      <c r="L3293" s="56" t="s">
        <v>56716</v>
      </c>
    </row>
    <row r="3294" spans="1:12" s="37" customFormat="1" ht="11.25" x14ac:dyDescent="0.2">
      <c r="A3294" s="46" t="s">
        <v>10322</v>
      </c>
      <c r="B3294" s="46" t="s">
        <v>52816</v>
      </c>
      <c r="C3294" s="58" t="str">
        <f>"17312302"</f>
        <v>17312302</v>
      </c>
      <c r="D3294" s="58" t="str">
        <f>"18974287"</f>
        <v>18974287</v>
      </c>
      <c r="E3294" s="46" t="s">
        <v>2299</v>
      </c>
      <c r="F3294" s="46" t="s">
        <v>50646</v>
      </c>
      <c r="G3294" s="46" t="s">
        <v>50584</v>
      </c>
      <c r="H3294" s="48" t="s">
        <v>56716</v>
      </c>
      <c r="I3294" s="48" t="s">
        <v>50564</v>
      </c>
      <c r="J3294" s="48"/>
      <c r="K3294" s="50" t="s">
        <v>56716</v>
      </c>
      <c r="L3294" s="48"/>
    </row>
    <row r="3295" spans="1:12" s="37" customFormat="1" ht="11.25" x14ac:dyDescent="0.2">
      <c r="A3295" s="46" t="s">
        <v>1792</v>
      </c>
      <c r="B3295" s="46" t="s">
        <v>1792</v>
      </c>
      <c r="C3295" s="58" t="str">
        <f>"00180661"</f>
        <v>00180661</v>
      </c>
      <c r="D3295" s="58" t="str">
        <f>"16015223"</f>
        <v>16015223</v>
      </c>
      <c r="E3295" s="46" t="s">
        <v>35</v>
      </c>
      <c r="F3295" s="46" t="s">
        <v>50646</v>
      </c>
      <c r="G3295" s="46" t="s">
        <v>50584</v>
      </c>
      <c r="H3295" s="48" t="s">
        <v>56716</v>
      </c>
      <c r="I3295" s="48" t="s">
        <v>50564</v>
      </c>
      <c r="J3295" s="48"/>
      <c r="K3295" s="50"/>
      <c r="L3295" s="48" t="s">
        <v>56716</v>
      </c>
    </row>
    <row r="3296" spans="1:12" s="37" customFormat="1" ht="11.25" x14ac:dyDescent="0.2">
      <c r="A3296" s="45" t="s">
        <v>31022</v>
      </c>
      <c r="B3296" s="45" t="s">
        <v>31024</v>
      </c>
      <c r="C3296" s="51" t="s">
        <v>31026</v>
      </c>
      <c r="D3296" s="51" t="s">
        <v>31025</v>
      </c>
      <c r="E3296" s="45" t="s">
        <v>315</v>
      </c>
      <c r="F3296" s="45" t="s">
        <v>50646</v>
      </c>
      <c r="G3296" s="45" t="s">
        <v>50584</v>
      </c>
      <c r="H3296" s="56"/>
      <c r="I3296" s="56" t="s">
        <v>50564</v>
      </c>
      <c r="J3296" s="56"/>
      <c r="K3296" s="50"/>
      <c r="L3296" s="56" t="s">
        <v>56716</v>
      </c>
    </row>
    <row r="3297" spans="1:12" s="37" customFormat="1" ht="11.25" x14ac:dyDescent="0.2">
      <c r="A3297" s="46" t="s">
        <v>7673</v>
      </c>
      <c r="B3297" s="46" t="s">
        <v>7673</v>
      </c>
      <c r="C3297" s="58" t="str">
        <f>"12654906"</f>
        <v>12654906</v>
      </c>
      <c r="D3297" s="58" t="str">
        <f>"12489204"</f>
        <v>12489204</v>
      </c>
      <c r="E3297" s="46" t="s">
        <v>11245</v>
      </c>
      <c r="F3297" s="46" t="s">
        <v>20359</v>
      </c>
      <c r="G3297" s="46" t="s">
        <v>50584</v>
      </c>
      <c r="H3297" s="48" t="s">
        <v>56716</v>
      </c>
      <c r="I3297" s="48" t="s">
        <v>50564</v>
      </c>
      <c r="J3297" s="48" t="s">
        <v>56716</v>
      </c>
      <c r="K3297" s="50" t="s">
        <v>56716</v>
      </c>
      <c r="L3297" s="48" t="s">
        <v>56716</v>
      </c>
    </row>
    <row r="3298" spans="1:12" s="37" customFormat="1" ht="11.25" x14ac:dyDescent="0.2">
      <c r="A3298" s="46" t="s">
        <v>9889</v>
      </c>
      <c r="B3298" s="46" t="s">
        <v>52817</v>
      </c>
      <c r="C3298" s="58" t="str">
        <f>"15921638"</f>
        <v>15921638</v>
      </c>
      <c r="D3298" s="58" t="str">
        <f>""</f>
        <v/>
      </c>
      <c r="E3298" s="46" t="s">
        <v>1711</v>
      </c>
      <c r="F3298" s="46" t="s">
        <v>17991</v>
      </c>
      <c r="G3298" s="46" t="s">
        <v>50584</v>
      </c>
      <c r="H3298" s="48" t="s">
        <v>56716</v>
      </c>
      <c r="I3298" s="48" t="s">
        <v>50564</v>
      </c>
      <c r="J3298" s="48" t="s">
        <v>56716</v>
      </c>
      <c r="K3298" s="50"/>
      <c r="L3298" s="48"/>
    </row>
    <row r="3299" spans="1:12" s="37" customFormat="1" ht="11.25" x14ac:dyDescent="0.2">
      <c r="A3299" s="46" t="s">
        <v>16136</v>
      </c>
      <c r="B3299" s="46" t="s">
        <v>16136</v>
      </c>
      <c r="C3299" s="58" t="str">
        <f>""</f>
        <v/>
      </c>
      <c r="D3299" s="58" t="str">
        <f>"20424280"</f>
        <v>20424280</v>
      </c>
      <c r="E3299" s="46" t="s">
        <v>2299</v>
      </c>
      <c r="F3299" s="46" t="s">
        <v>50646</v>
      </c>
      <c r="G3299" s="46" t="s">
        <v>50584</v>
      </c>
      <c r="H3299" s="48" t="s">
        <v>56716</v>
      </c>
      <c r="I3299" s="48" t="s">
        <v>50564</v>
      </c>
      <c r="J3299" s="48" t="s">
        <v>56716</v>
      </c>
      <c r="K3299" s="50"/>
      <c r="L3299" s="48"/>
    </row>
    <row r="3300" spans="1:12" s="37" customFormat="1" ht="11.25" x14ac:dyDescent="0.2">
      <c r="A3300" s="46" t="s">
        <v>1798</v>
      </c>
      <c r="B3300" s="46" t="s">
        <v>1798</v>
      </c>
      <c r="C3300" s="58" t="str">
        <f>"03409937"</f>
        <v>03409937</v>
      </c>
      <c r="D3300" s="58" t="str">
        <f>"16156692"</f>
        <v>16156692</v>
      </c>
      <c r="E3300" s="46" t="s">
        <v>6022</v>
      </c>
      <c r="F3300" s="46" t="s">
        <v>18158</v>
      </c>
      <c r="G3300" s="46" t="s">
        <v>50593</v>
      </c>
      <c r="H3300" s="48" t="s">
        <v>56716</v>
      </c>
      <c r="I3300" s="48" t="s">
        <v>50564</v>
      </c>
      <c r="J3300" s="48"/>
      <c r="K3300" s="50" t="s">
        <v>56716</v>
      </c>
      <c r="L3300" s="48" t="s">
        <v>56716</v>
      </c>
    </row>
    <row r="3301" spans="1:12" s="37" customFormat="1" ht="11.25" x14ac:dyDescent="0.2">
      <c r="A3301" s="46" t="s">
        <v>10180</v>
      </c>
      <c r="B3301" s="46" t="s">
        <v>52818</v>
      </c>
      <c r="C3301" s="58" t="str">
        <f>"09461299"</f>
        <v>09461299</v>
      </c>
      <c r="D3301" s="58" t="str">
        <f>""</f>
        <v/>
      </c>
      <c r="E3301" s="46" t="s">
        <v>6022</v>
      </c>
      <c r="F3301" s="46" t="s">
        <v>18158</v>
      </c>
      <c r="G3301" s="46" t="s">
        <v>50593</v>
      </c>
      <c r="H3301" s="48" t="s">
        <v>56716</v>
      </c>
      <c r="I3301" s="48" t="s">
        <v>50564</v>
      </c>
      <c r="J3301" s="48"/>
      <c r="K3301" s="50"/>
      <c r="L3301" s="48"/>
    </row>
    <row r="3302" spans="1:12" s="37" customFormat="1" ht="11.25" x14ac:dyDescent="0.2">
      <c r="A3302" s="46" t="s">
        <v>7560</v>
      </c>
      <c r="B3302" s="46" t="s">
        <v>52819</v>
      </c>
      <c r="C3302" s="58" t="str">
        <f>"09387412"</f>
        <v>09387412</v>
      </c>
      <c r="D3302" s="58" t="str">
        <f>"14351544"</f>
        <v>14351544</v>
      </c>
      <c r="E3302" s="46" t="s">
        <v>55961</v>
      </c>
      <c r="F3302" s="46" t="s">
        <v>18158</v>
      </c>
      <c r="G3302" s="46" t="s">
        <v>50593</v>
      </c>
      <c r="H3302" s="48" t="s">
        <v>56716</v>
      </c>
      <c r="I3302" s="48" t="s">
        <v>50564</v>
      </c>
      <c r="J3302" s="48"/>
      <c r="K3302" s="50" t="s">
        <v>56716</v>
      </c>
      <c r="L3302" s="48" t="s">
        <v>56716</v>
      </c>
    </row>
    <row r="3303" spans="1:12" s="37" customFormat="1" ht="11.25" x14ac:dyDescent="0.2">
      <c r="A3303" s="46" t="s">
        <v>8508</v>
      </c>
      <c r="B3303" s="46" t="s">
        <v>52820</v>
      </c>
      <c r="C3303" s="58" t="str">
        <f>"15270297"</f>
        <v>15270297</v>
      </c>
      <c r="D3303" s="58" t="str">
        <f>"15578682"</f>
        <v>15578682</v>
      </c>
      <c r="E3303" s="46" t="s">
        <v>4337</v>
      </c>
      <c r="F3303" s="46" t="s">
        <v>17759</v>
      </c>
      <c r="G3303" s="46" t="s">
        <v>50584</v>
      </c>
      <c r="H3303" s="48" t="s">
        <v>56716</v>
      </c>
      <c r="I3303" s="48" t="s">
        <v>50564</v>
      </c>
      <c r="J3303" s="48" t="s">
        <v>56716</v>
      </c>
      <c r="K3303" s="50"/>
      <c r="L3303" s="48" t="s">
        <v>56716</v>
      </c>
    </row>
    <row r="3304" spans="1:12" s="37" customFormat="1" ht="11.25" x14ac:dyDescent="0.2">
      <c r="A3304" s="46" t="s">
        <v>10577</v>
      </c>
      <c r="B3304" s="46" t="s">
        <v>52821</v>
      </c>
      <c r="C3304" s="58" t="str">
        <f>"11209879"</f>
        <v>11209879</v>
      </c>
      <c r="D3304" s="58" t="str">
        <f>"11791985"</f>
        <v>11791985</v>
      </c>
      <c r="E3304" s="46" t="s">
        <v>55920</v>
      </c>
      <c r="F3304" s="46" t="s">
        <v>18123</v>
      </c>
      <c r="G3304" s="46" t="s">
        <v>50584</v>
      </c>
      <c r="H3304" s="48" t="s">
        <v>56716</v>
      </c>
      <c r="I3304" s="48" t="s">
        <v>50564</v>
      </c>
      <c r="J3304" s="48" t="s">
        <v>56716</v>
      </c>
      <c r="K3304" s="50"/>
      <c r="L3304" s="48" t="s">
        <v>56716</v>
      </c>
    </row>
    <row r="3305" spans="1:12" s="37" customFormat="1" ht="11.25" x14ac:dyDescent="0.2">
      <c r="A3305" s="45" t="s">
        <v>31055</v>
      </c>
      <c r="B3305" s="45" t="s">
        <v>31057</v>
      </c>
      <c r="C3305" s="51"/>
      <c r="D3305" s="51"/>
      <c r="E3305" s="45" t="s">
        <v>30979</v>
      </c>
      <c r="F3305" s="45" t="s">
        <v>17759</v>
      </c>
      <c r="G3305" s="45" t="s">
        <v>50584</v>
      </c>
      <c r="H3305" s="56"/>
      <c r="I3305" s="56" t="s">
        <v>50564</v>
      </c>
      <c r="J3305" s="56"/>
      <c r="K3305" s="50"/>
      <c r="L3305" s="56" t="s">
        <v>56716</v>
      </c>
    </row>
    <row r="3306" spans="1:12" s="37" customFormat="1" ht="11.25" x14ac:dyDescent="0.2">
      <c r="A3306" s="45" t="s">
        <v>31067</v>
      </c>
      <c r="B3306" s="45" t="s">
        <v>31069</v>
      </c>
      <c r="C3306" s="51" t="s">
        <v>31070</v>
      </c>
      <c r="D3306" s="51"/>
      <c r="E3306" s="45" t="s">
        <v>31071</v>
      </c>
      <c r="F3306" s="45" t="s">
        <v>18242</v>
      </c>
      <c r="G3306" s="45" t="s">
        <v>50605</v>
      </c>
      <c r="H3306" s="56"/>
      <c r="I3306" s="56" t="s">
        <v>50564</v>
      </c>
      <c r="J3306" s="56"/>
      <c r="K3306" s="50"/>
      <c r="L3306" s="56" t="s">
        <v>56716</v>
      </c>
    </row>
    <row r="3307" spans="1:12" s="37" customFormat="1" ht="11.25" x14ac:dyDescent="0.2">
      <c r="A3307" s="46" t="s">
        <v>5607</v>
      </c>
      <c r="B3307" s="46" t="s">
        <v>52822</v>
      </c>
      <c r="C3307" s="58" t="str">
        <f>"11207000"</f>
        <v>11207000</v>
      </c>
      <c r="D3307" s="58" t="str">
        <f>""</f>
        <v/>
      </c>
      <c r="E3307" s="46" t="s">
        <v>56167</v>
      </c>
      <c r="F3307" s="46" t="s">
        <v>17991</v>
      </c>
      <c r="G3307" s="46" t="s">
        <v>50584</v>
      </c>
      <c r="H3307" s="48" t="s">
        <v>56716</v>
      </c>
      <c r="I3307" s="48" t="s">
        <v>50564</v>
      </c>
      <c r="J3307" s="48"/>
      <c r="K3307" s="50"/>
      <c r="L3307" s="48" t="s">
        <v>56716</v>
      </c>
    </row>
    <row r="3308" spans="1:12" s="37" customFormat="1" ht="11.25" x14ac:dyDescent="0.2">
      <c r="A3308" s="46" t="s">
        <v>13323</v>
      </c>
      <c r="B3308" s="46" t="s">
        <v>52823</v>
      </c>
      <c r="C3308" s="58" t="str">
        <f>"18891837"</f>
        <v>18891837</v>
      </c>
      <c r="D3308" s="58" t="str">
        <f>"19894805"</f>
        <v>19894805</v>
      </c>
      <c r="E3308" s="46" t="s">
        <v>1683</v>
      </c>
      <c r="F3308" s="46" t="s">
        <v>18439</v>
      </c>
      <c r="G3308" s="46" t="s">
        <v>50632</v>
      </c>
      <c r="H3308" s="48" t="s">
        <v>56716</v>
      </c>
      <c r="I3308" s="48" t="s">
        <v>50564</v>
      </c>
      <c r="J3308" s="48"/>
      <c r="K3308" s="50" t="s">
        <v>56716</v>
      </c>
      <c r="L3308" s="48"/>
    </row>
    <row r="3309" spans="1:12" s="37" customFormat="1" ht="11.25" x14ac:dyDescent="0.2">
      <c r="A3309" s="46" t="s">
        <v>5787</v>
      </c>
      <c r="B3309" s="46" t="s">
        <v>5787</v>
      </c>
      <c r="C3309" s="58" t="str">
        <f>"10509631"</f>
        <v>10509631</v>
      </c>
      <c r="D3309" s="58" t="str">
        <f>"10981063"</f>
        <v>10981063</v>
      </c>
      <c r="E3309" s="46" t="s">
        <v>517</v>
      </c>
      <c r="F3309" s="46" t="s">
        <v>17759</v>
      </c>
      <c r="G3309" s="46" t="s">
        <v>50584</v>
      </c>
      <c r="H3309" s="48" t="s">
        <v>56716</v>
      </c>
      <c r="I3309" s="48" t="s">
        <v>50564</v>
      </c>
      <c r="J3309" s="48" t="s">
        <v>56716</v>
      </c>
      <c r="K3309" s="50" t="s">
        <v>56716</v>
      </c>
      <c r="L3309" s="48" t="s">
        <v>56716</v>
      </c>
    </row>
    <row r="3310" spans="1:12" s="37" customFormat="1" ht="11.25" x14ac:dyDescent="0.2">
      <c r="A3310" s="46" t="s">
        <v>11270</v>
      </c>
      <c r="B3310" s="46" t="s">
        <v>11270</v>
      </c>
      <c r="C3310" s="58" t="str">
        <f>"11084189"</f>
        <v>11084189</v>
      </c>
      <c r="D3310" s="58" t="str">
        <f>"17908019"</f>
        <v>17908019</v>
      </c>
      <c r="E3310" s="46" t="s">
        <v>11273</v>
      </c>
      <c r="F3310" s="46" t="s">
        <v>20969</v>
      </c>
      <c r="G3310" s="46" t="s">
        <v>50584</v>
      </c>
      <c r="H3310" s="48" t="s">
        <v>56716</v>
      </c>
      <c r="I3310" s="48" t="s">
        <v>50564</v>
      </c>
      <c r="J3310" s="48"/>
      <c r="K3310" s="50"/>
      <c r="L3310" s="48"/>
    </row>
    <row r="3311" spans="1:12" s="37" customFormat="1" ht="11.25" x14ac:dyDescent="0.2">
      <c r="A3311" s="46" t="s">
        <v>1812</v>
      </c>
      <c r="B3311" s="46" t="s">
        <v>52824</v>
      </c>
      <c r="C3311" s="58" t="str">
        <f>"00182052"</f>
        <v>00182052</v>
      </c>
      <c r="D3311" s="58" t="str">
        <f>""</f>
        <v/>
      </c>
      <c r="E3311" s="46" t="s">
        <v>56169</v>
      </c>
      <c r="F3311" s="46" t="s">
        <v>18242</v>
      </c>
      <c r="G3311" s="46" t="s">
        <v>50584</v>
      </c>
      <c r="H3311" s="48" t="s">
        <v>56716</v>
      </c>
      <c r="I3311" s="48" t="s">
        <v>50564</v>
      </c>
      <c r="J3311" s="48"/>
      <c r="K3311" s="50"/>
      <c r="L3311" s="48" t="s">
        <v>56716</v>
      </c>
    </row>
    <row r="3312" spans="1:12" s="37" customFormat="1" ht="11.25" x14ac:dyDescent="0.2">
      <c r="A3312" s="45" t="s">
        <v>31086</v>
      </c>
      <c r="B3312" s="45" t="s">
        <v>31088</v>
      </c>
      <c r="C3312" s="51" t="s">
        <v>31090</v>
      </c>
      <c r="D3312" s="51" t="s">
        <v>31089</v>
      </c>
      <c r="E3312" s="45" t="s">
        <v>31091</v>
      </c>
      <c r="F3312" s="45" t="s">
        <v>17759</v>
      </c>
      <c r="G3312" s="45" t="s">
        <v>50584</v>
      </c>
      <c r="H3312" s="56"/>
      <c r="I3312" s="56" t="s">
        <v>50564</v>
      </c>
      <c r="J3312" s="56"/>
      <c r="K3312" s="50"/>
      <c r="L3312" s="56" t="s">
        <v>56716</v>
      </c>
    </row>
    <row r="3313" spans="1:12" s="37" customFormat="1" ht="11.25" x14ac:dyDescent="0.2">
      <c r="A3313" s="46" t="s">
        <v>6604</v>
      </c>
      <c r="B3313" s="46" t="s">
        <v>52825</v>
      </c>
      <c r="C3313" s="58" t="str">
        <f>"09486143"</f>
        <v>09486143</v>
      </c>
      <c r="D3313" s="58" t="str">
        <f>"1432119X"</f>
        <v>1432119X</v>
      </c>
      <c r="E3313" s="46" t="s">
        <v>167</v>
      </c>
      <c r="F3313" s="46" t="s">
        <v>18158</v>
      </c>
      <c r="G3313" s="46" t="s">
        <v>50584</v>
      </c>
      <c r="H3313" s="48" t="s">
        <v>56716</v>
      </c>
      <c r="I3313" s="48" t="s">
        <v>50564</v>
      </c>
      <c r="J3313" s="48" t="s">
        <v>56716</v>
      </c>
      <c r="K3313" s="50" t="s">
        <v>56716</v>
      </c>
      <c r="L3313" s="48" t="s">
        <v>56716</v>
      </c>
    </row>
    <row r="3314" spans="1:12" s="37" customFormat="1" ht="11.25" x14ac:dyDescent="0.2">
      <c r="A3314" s="45" t="s">
        <v>31098</v>
      </c>
      <c r="B3314" s="45" t="s">
        <v>31100</v>
      </c>
      <c r="C3314" s="51" t="s">
        <v>31101</v>
      </c>
      <c r="D3314" s="51"/>
      <c r="E3314" s="45" t="s">
        <v>31102</v>
      </c>
      <c r="F3314" s="45" t="s">
        <v>20359</v>
      </c>
      <c r="G3314" s="45" t="s">
        <v>50591</v>
      </c>
      <c r="H3314" s="56"/>
      <c r="I3314" s="56" t="s">
        <v>50564</v>
      </c>
      <c r="J3314" s="56"/>
      <c r="K3314" s="50"/>
      <c r="L3314" s="56" t="s">
        <v>56716</v>
      </c>
    </row>
    <row r="3315" spans="1:12" s="37" customFormat="1" ht="11.25" x14ac:dyDescent="0.2">
      <c r="A3315" s="45" t="s">
        <v>31104</v>
      </c>
      <c r="B3315" s="45" t="s">
        <v>31106</v>
      </c>
      <c r="C3315" s="51" t="s">
        <v>31108</v>
      </c>
      <c r="D3315" s="51" t="s">
        <v>31107</v>
      </c>
      <c r="E3315" s="45" t="s">
        <v>31109</v>
      </c>
      <c r="F3315" s="45" t="s">
        <v>18439</v>
      </c>
      <c r="G3315" s="45" t="s">
        <v>50584</v>
      </c>
      <c r="H3315" s="56"/>
      <c r="I3315" s="56" t="s">
        <v>50564</v>
      </c>
      <c r="J3315" s="56"/>
      <c r="K3315" s="50"/>
      <c r="L3315" s="56" t="s">
        <v>56716</v>
      </c>
    </row>
    <row r="3316" spans="1:12" s="37" customFormat="1" ht="11.25" x14ac:dyDescent="0.2">
      <c r="A3316" s="46" t="s">
        <v>1815</v>
      </c>
      <c r="B3316" s="46" t="s">
        <v>1815</v>
      </c>
      <c r="C3316" s="58" t="str">
        <f>"03090167"</f>
        <v>03090167</v>
      </c>
      <c r="D3316" s="58" t="str">
        <f>"13652559"</f>
        <v>13652559</v>
      </c>
      <c r="E3316" s="46" t="s">
        <v>35</v>
      </c>
      <c r="F3316" s="46" t="s">
        <v>50646</v>
      </c>
      <c r="G3316" s="46" t="s">
        <v>50584</v>
      </c>
      <c r="H3316" s="48" t="s">
        <v>56716</v>
      </c>
      <c r="I3316" s="48" t="s">
        <v>50564</v>
      </c>
      <c r="J3316" s="48" t="s">
        <v>56716</v>
      </c>
      <c r="K3316" s="50" t="s">
        <v>56716</v>
      </c>
      <c r="L3316" s="48" t="s">
        <v>56716</v>
      </c>
    </row>
    <row r="3317" spans="1:12" s="37" customFormat="1" ht="11.25" x14ac:dyDescent="0.2">
      <c r="A3317" s="45" t="s">
        <v>31114</v>
      </c>
      <c r="B3317" s="45" t="s">
        <v>31116</v>
      </c>
      <c r="C3317" s="51" t="s">
        <v>31117</v>
      </c>
      <c r="D3317" s="51"/>
      <c r="E3317" s="45" t="s">
        <v>31118</v>
      </c>
      <c r="F3317" s="45" t="s">
        <v>18158</v>
      </c>
      <c r="G3317" s="45" t="s">
        <v>50593</v>
      </c>
      <c r="H3317" s="56"/>
      <c r="I3317" s="56" t="s">
        <v>50564</v>
      </c>
      <c r="J3317" s="56"/>
      <c r="K3317" s="50"/>
      <c r="L3317" s="56" t="s">
        <v>56716</v>
      </c>
    </row>
    <row r="3318" spans="1:12" s="37" customFormat="1" ht="11.25" x14ac:dyDescent="0.2">
      <c r="A3318" s="45" t="s">
        <v>31122</v>
      </c>
      <c r="B3318" s="45" t="s">
        <v>31124</v>
      </c>
      <c r="C3318" s="51" t="s">
        <v>31126</v>
      </c>
      <c r="D3318" s="51" t="s">
        <v>31125</v>
      </c>
      <c r="E3318" s="45" t="s">
        <v>31127</v>
      </c>
      <c r="F3318" s="45" t="s">
        <v>18058</v>
      </c>
      <c r="G3318" s="45" t="s">
        <v>50615</v>
      </c>
      <c r="H3318" s="56"/>
      <c r="I3318" s="56" t="s">
        <v>50564</v>
      </c>
      <c r="J3318" s="56"/>
      <c r="K3318" s="50"/>
      <c r="L3318" s="56" t="s">
        <v>56716</v>
      </c>
    </row>
    <row r="3319" spans="1:12" s="37" customFormat="1" ht="11.25" x14ac:dyDescent="0.2">
      <c r="A3319" s="45" t="s">
        <v>31130</v>
      </c>
      <c r="B3319" s="45" t="s">
        <v>31132</v>
      </c>
      <c r="C3319" s="51" t="s">
        <v>31134</v>
      </c>
      <c r="D3319" s="51"/>
      <c r="E3319" s="45" t="s">
        <v>31135</v>
      </c>
      <c r="F3319" s="45" t="s">
        <v>50646</v>
      </c>
      <c r="G3319" s="45" t="s">
        <v>56580</v>
      </c>
      <c r="H3319" s="56"/>
      <c r="I3319" s="56" t="s">
        <v>50564</v>
      </c>
      <c r="J3319" s="56"/>
      <c r="K3319" s="50"/>
      <c r="L3319" s="56" t="s">
        <v>56716</v>
      </c>
    </row>
    <row r="3320" spans="1:12" s="37" customFormat="1" ht="11.25" x14ac:dyDescent="0.2">
      <c r="A3320" s="45" t="s">
        <v>31138</v>
      </c>
      <c r="B3320" s="45" t="s">
        <v>31140</v>
      </c>
      <c r="C3320" s="51" t="s">
        <v>31141</v>
      </c>
      <c r="D3320" s="51"/>
      <c r="E3320" s="45" t="s">
        <v>19447</v>
      </c>
      <c r="F3320" s="45" t="s">
        <v>50646</v>
      </c>
      <c r="G3320" s="45" t="s">
        <v>50584</v>
      </c>
      <c r="H3320" s="56"/>
      <c r="I3320" s="56" t="s">
        <v>50564</v>
      </c>
      <c r="J3320" s="56"/>
      <c r="K3320" s="50"/>
      <c r="L3320" s="56" t="s">
        <v>56716</v>
      </c>
    </row>
    <row r="3321" spans="1:12" s="37" customFormat="1" ht="11.25" x14ac:dyDescent="0.2">
      <c r="A3321" s="45" t="s">
        <v>31145</v>
      </c>
      <c r="B3321" s="45" t="s">
        <v>31147</v>
      </c>
      <c r="C3321" s="51" t="s">
        <v>31149</v>
      </c>
      <c r="D3321" s="51" t="s">
        <v>31148</v>
      </c>
      <c r="E3321" s="45" t="s">
        <v>6348</v>
      </c>
      <c r="F3321" s="45" t="s">
        <v>17759</v>
      </c>
      <c r="G3321" s="45" t="s">
        <v>50584</v>
      </c>
      <c r="H3321" s="56"/>
      <c r="I3321" s="56" t="s">
        <v>50564</v>
      </c>
      <c r="J3321" s="56"/>
      <c r="K3321" s="50"/>
      <c r="L3321" s="56" t="s">
        <v>56716</v>
      </c>
    </row>
    <row r="3322" spans="1:12" s="37" customFormat="1" ht="11.25" x14ac:dyDescent="0.2">
      <c r="A3322" s="45" t="s">
        <v>31152</v>
      </c>
      <c r="B3322" s="45" t="s">
        <v>31154</v>
      </c>
      <c r="C3322" s="51" t="s">
        <v>31155</v>
      </c>
      <c r="D3322" s="51" t="s">
        <v>56581</v>
      </c>
      <c r="E3322" s="45" t="s">
        <v>18520</v>
      </c>
      <c r="F3322" s="45" t="s">
        <v>17759</v>
      </c>
      <c r="G3322" s="45" t="s">
        <v>50584</v>
      </c>
      <c r="H3322" s="56"/>
      <c r="I3322" s="56" t="s">
        <v>50564</v>
      </c>
      <c r="J3322" s="56"/>
      <c r="K3322" s="50"/>
      <c r="L3322" s="56" t="s">
        <v>56716</v>
      </c>
    </row>
    <row r="3323" spans="1:12" s="37" customFormat="1" ht="11.25" x14ac:dyDescent="0.2">
      <c r="A3323" s="46" t="s">
        <v>10456</v>
      </c>
      <c r="B3323" s="46" t="s">
        <v>52826</v>
      </c>
      <c r="C3323" s="58" t="str">
        <f>"17301270"</f>
        <v>17301270</v>
      </c>
      <c r="D3323" s="58" t="str">
        <f>""</f>
        <v/>
      </c>
      <c r="E3323" s="46" t="s">
        <v>56270</v>
      </c>
      <c r="F3323" s="46" t="s">
        <v>17967</v>
      </c>
      <c r="G3323" s="46" t="s">
        <v>50584</v>
      </c>
      <c r="H3323" s="48" t="s">
        <v>56716</v>
      </c>
      <c r="I3323" s="48" t="s">
        <v>50564</v>
      </c>
      <c r="J3323" s="48"/>
      <c r="K3323" s="50" t="s">
        <v>56716</v>
      </c>
      <c r="L3323" s="48"/>
    </row>
    <row r="3324" spans="1:12" s="37" customFormat="1" ht="11.25" x14ac:dyDescent="0.2">
      <c r="A3324" s="46" t="s">
        <v>8660</v>
      </c>
      <c r="B3324" s="46" t="s">
        <v>52827</v>
      </c>
      <c r="C3324" s="58" t="str">
        <f>"15284336"</f>
        <v>15284336</v>
      </c>
      <c r="D3324" s="58" t="str">
        <f>"19455771"</f>
        <v>19455771</v>
      </c>
      <c r="E3324" s="46" t="s">
        <v>856</v>
      </c>
      <c r="F3324" s="46" t="s">
        <v>17759</v>
      </c>
      <c r="G3324" s="46" t="s">
        <v>50584</v>
      </c>
      <c r="H3324" s="48" t="s">
        <v>56716</v>
      </c>
      <c r="I3324" s="48" t="s">
        <v>50564</v>
      </c>
      <c r="J3324" s="48" t="s">
        <v>56716</v>
      </c>
      <c r="K3324" s="50"/>
      <c r="L3324" s="48" t="s">
        <v>56716</v>
      </c>
    </row>
    <row r="3325" spans="1:12" s="37" customFormat="1" ht="11.25" x14ac:dyDescent="0.2">
      <c r="A3325" s="45" t="s">
        <v>31163</v>
      </c>
      <c r="B3325" s="45" t="s">
        <v>31165</v>
      </c>
      <c r="C3325" s="51" t="s">
        <v>31167</v>
      </c>
      <c r="D3325" s="51"/>
      <c r="E3325" s="45" t="s">
        <v>26967</v>
      </c>
      <c r="F3325" s="45" t="s">
        <v>17759</v>
      </c>
      <c r="G3325" s="45" t="s">
        <v>50584</v>
      </c>
      <c r="H3325" s="56"/>
      <c r="I3325" s="56" t="s">
        <v>50564</v>
      </c>
      <c r="J3325" s="56"/>
      <c r="K3325" s="50"/>
      <c r="L3325" s="56" t="s">
        <v>56716</v>
      </c>
    </row>
    <row r="3326" spans="1:12" s="37" customFormat="1" ht="11.25" x14ac:dyDescent="0.2">
      <c r="A3326" s="45" t="s">
        <v>31169</v>
      </c>
      <c r="B3326" s="45" t="s">
        <v>31171</v>
      </c>
      <c r="C3326" s="51" t="s">
        <v>31172</v>
      </c>
      <c r="D3326" s="51"/>
      <c r="E3326" s="45" t="s">
        <v>31173</v>
      </c>
      <c r="F3326" s="45" t="s">
        <v>17759</v>
      </c>
      <c r="G3326" s="45" t="s">
        <v>50584</v>
      </c>
      <c r="H3326" s="56"/>
      <c r="I3326" s="56" t="s">
        <v>50564</v>
      </c>
      <c r="J3326" s="56"/>
      <c r="K3326" s="50"/>
      <c r="L3326" s="56" t="s">
        <v>56716</v>
      </c>
    </row>
    <row r="3327" spans="1:12" s="37" customFormat="1" ht="11.25" x14ac:dyDescent="0.2">
      <c r="A3327" s="46" t="s">
        <v>8634</v>
      </c>
      <c r="B3327" s="46" t="s">
        <v>52828</v>
      </c>
      <c r="C3327" s="58" t="str">
        <f>"14642662"</f>
        <v>14642662</v>
      </c>
      <c r="D3327" s="58" t="str">
        <f>"14681293"</f>
        <v>14681293</v>
      </c>
      <c r="E3327" s="46" t="s">
        <v>35</v>
      </c>
      <c r="F3327" s="46" t="s">
        <v>50646</v>
      </c>
      <c r="G3327" s="46" t="s">
        <v>50584</v>
      </c>
      <c r="H3327" s="48" t="s">
        <v>56716</v>
      </c>
      <c r="I3327" s="48" t="s">
        <v>50564</v>
      </c>
      <c r="J3327" s="48" t="s">
        <v>56716</v>
      </c>
      <c r="K3327" s="50" t="s">
        <v>56716</v>
      </c>
      <c r="L3327" s="48" t="s">
        <v>56716</v>
      </c>
    </row>
    <row r="3328" spans="1:12" s="37" customFormat="1" ht="11.25" x14ac:dyDescent="0.2">
      <c r="A3328" s="46" t="s">
        <v>14667</v>
      </c>
      <c r="B3328" s="46" t="s">
        <v>52829</v>
      </c>
      <c r="C3328" s="58" t="str">
        <f>""</f>
        <v/>
      </c>
      <c r="D3328" s="58" t="str">
        <f>"11791373"</f>
        <v>11791373</v>
      </c>
      <c r="E3328" s="46" t="s">
        <v>11079</v>
      </c>
      <c r="F3328" s="46" t="s">
        <v>19483</v>
      </c>
      <c r="G3328" s="46" t="s">
        <v>50584</v>
      </c>
      <c r="H3328" s="48" t="s">
        <v>56716</v>
      </c>
      <c r="I3328" s="48" t="s">
        <v>50564</v>
      </c>
      <c r="J3328" s="48"/>
      <c r="K3328" s="50"/>
      <c r="L3328" s="48"/>
    </row>
    <row r="3329" spans="1:12" s="37" customFormat="1" ht="11.25" x14ac:dyDescent="0.2">
      <c r="A3329" s="45" t="s">
        <v>31187</v>
      </c>
      <c r="B3329" s="45" t="s">
        <v>31189</v>
      </c>
      <c r="C3329" s="51" t="s">
        <v>31191</v>
      </c>
      <c r="D3329" s="51"/>
      <c r="E3329" s="45" t="s">
        <v>31192</v>
      </c>
      <c r="F3329" s="45" t="s">
        <v>17759</v>
      </c>
      <c r="G3329" s="45" t="s">
        <v>50584</v>
      </c>
      <c r="H3329" s="56"/>
      <c r="I3329" s="56" t="s">
        <v>50564</v>
      </c>
      <c r="J3329" s="56"/>
      <c r="K3329" s="50"/>
      <c r="L3329" s="56" t="s">
        <v>56716</v>
      </c>
    </row>
    <row r="3330" spans="1:12" s="37" customFormat="1" ht="11.25" x14ac:dyDescent="0.2">
      <c r="A3330" s="45" t="s">
        <v>31195</v>
      </c>
      <c r="B3330" s="45" t="s">
        <v>31195</v>
      </c>
      <c r="C3330" s="51" t="s">
        <v>31197</v>
      </c>
      <c r="D3330" s="51" t="s">
        <v>31196</v>
      </c>
      <c r="E3330" s="45" t="s">
        <v>167</v>
      </c>
      <c r="F3330" s="45" t="s">
        <v>18158</v>
      </c>
      <c r="G3330" s="45" t="s">
        <v>50592</v>
      </c>
      <c r="H3330" s="56"/>
      <c r="I3330" s="56" t="s">
        <v>50564</v>
      </c>
      <c r="J3330" s="56"/>
      <c r="K3330" s="50"/>
      <c r="L3330" s="56" t="s">
        <v>56716</v>
      </c>
    </row>
    <row r="3331" spans="1:12" s="37" customFormat="1" ht="11.25" x14ac:dyDescent="0.2">
      <c r="A3331" s="45" t="s">
        <v>31205</v>
      </c>
      <c r="B3331" s="45" t="s">
        <v>31207</v>
      </c>
      <c r="C3331" s="51" t="s">
        <v>31210</v>
      </c>
      <c r="D3331" s="51" t="s">
        <v>31209</v>
      </c>
      <c r="E3331" s="45" t="s">
        <v>17758</v>
      </c>
      <c r="F3331" s="45" t="s">
        <v>17759</v>
      </c>
      <c r="G3331" s="45" t="s">
        <v>50584</v>
      </c>
      <c r="H3331" s="56"/>
      <c r="I3331" s="56" t="s">
        <v>50564</v>
      </c>
      <c r="J3331" s="56"/>
      <c r="K3331" s="50"/>
      <c r="L3331" s="56" t="s">
        <v>56716</v>
      </c>
    </row>
    <row r="3332" spans="1:12" s="37" customFormat="1" ht="11.25" x14ac:dyDescent="0.2">
      <c r="A3332" s="45" t="s">
        <v>31212</v>
      </c>
      <c r="B3332" s="45" t="s">
        <v>31214</v>
      </c>
      <c r="C3332" s="51" t="s">
        <v>31216</v>
      </c>
      <c r="D3332" s="51" t="s">
        <v>31215</v>
      </c>
      <c r="E3332" s="45" t="s">
        <v>291</v>
      </c>
      <c r="F3332" s="45" t="s">
        <v>50646</v>
      </c>
      <c r="G3332" s="45" t="s">
        <v>50584</v>
      </c>
      <c r="H3332" s="56"/>
      <c r="I3332" s="56" t="s">
        <v>50564</v>
      </c>
      <c r="J3332" s="56"/>
      <c r="K3332" s="50"/>
      <c r="L3332" s="56" t="s">
        <v>56716</v>
      </c>
    </row>
    <row r="3333" spans="1:12" s="37" customFormat="1" ht="11.25" x14ac:dyDescent="0.2">
      <c r="A3333" s="45" t="s">
        <v>31218</v>
      </c>
      <c r="B3333" s="45" t="s">
        <v>31220</v>
      </c>
      <c r="C3333" s="51" t="s">
        <v>31223</v>
      </c>
      <c r="D3333" s="51" t="s">
        <v>31222</v>
      </c>
      <c r="E3333" s="45" t="s">
        <v>17758</v>
      </c>
      <c r="F3333" s="45" t="s">
        <v>17759</v>
      </c>
      <c r="G3333" s="45" t="s">
        <v>50584</v>
      </c>
      <c r="H3333" s="56"/>
      <c r="I3333" s="56" t="s">
        <v>50564</v>
      </c>
      <c r="J3333" s="56"/>
      <c r="K3333" s="50"/>
      <c r="L3333" s="56" t="s">
        <v>56716</v>
      </c>
    </row>
    <row r="3334" spans="1:12" s="37" customFormat="1" ht="11.25" x14ac:dyDescent="0.2">
      <c r="A3334" s="46" t="s">
        <v>9452</v>
      </c>
      <c r="B3334" s="46" t="s">
        <v>9452</v>
      </c>
      <c r="C3334" s="58" t="str">
        <f>"14754916"</f>
        <v>14754916</v>
      </c>
      <c r="D3334" s="58" t="str">
        <f>"14764245"</f>
        <v>14764245</v>
      </c>
      <c r="E3334" s="46" t="s">
        <v>831</v>
      </c>
      <c r="F3334" s="46" t="s">
        <v>50646</v>
      </c>
      <c r="G3334" s="46" t="s">
        <v>50584</v>
      </c>
      <c r="H3334" s="48" t="s">
        <v>56716</v>
      </c>
      <c r="I3334" s="48" t="s">
        <v>50564</v>
      </c>
      <c r="J3334" s="48"/>
      <c r="K3334" s="50" t="s">
        <v>56716</v>
      </c>
      <c r="L3334" s="48" t="s">
        <v>56716</v>
      </c>
    </row>
    <row r="3335" spans="1:12" s="37" customFormat="1" ht="11.25" x14ac:dyDescent="0.2">
      <c r="A3335" s="45" t="s">
        <v>31229</v>
      </c>
      <c r="B3335" s="45" t="s">
        <v>31231</v>
      </c>
      <c r="C3335" s="51" t="s">
        <v>31233</v>
      </c>
      <c r="D3335" s="51" t="s">
        <v>31232</v>
      </c>
      <c r="E3335" s="45" t="s">
        <v>31234</v>
      </c>
      <c r="F3335" s="45" t="s">
        <v>18158</v>
      </c>
      <c r="G3335" s="45" t="s">
        <v>50593</v>
      </c>
      <c r="H3335" s="56"/>
      <c r="I3335" s="56" t="s">
        <v>50564</v>
      </c>
      <c r="J3335" s="56"/>
      <c r="K3335" s="50"/>
      <c r="L3335" s="56" t="s">
        <v>56716</v>
      </c>
    </row>
    <row r="3336" spans="1:12" s="37" customFormat="1" ht="11.25" x14ac:dyDescent="0.2">
      <c r="A3336" s="46" t="s">
        <v>10785</v>
      </c>
      <c r="B3336" s="46" t="s">
        <v>52830</v>
      </c>
      <c r="C3336" s="58" t="str">
        <f>"18147453"</f>
        <v>18147453</v>
      </c>
      <c r="D3336" s="58" t="str">
        <f>""</f>
        <v/>
      </c>
      <c r="E3336" s="46" t="s">
        <v>10015</v>
      </c>
      <c r="F3336" s="46" t="s">
        <v>50647</v>
      </c>
      <c r="G3336" s="46" t="s">
        <v>50584</v>
      </c>
      <c r="H3336" s="48" t="s">
        <v>56716</v>
      </c>
      <c r="I3336" s="48" t="s">
        <v>50564</v>
      </c>
      <c r="J3336" s="48"/>
      <c r="K3336" s="50"/>
      <c r="L3336" s="48"/>
    </row>
    <row r="3337" spans="1:12" s="37" customFormat="1" ht="11.25" x14ac:dyDescent="0.2">
      <c r="A3337" s="46" t="s">
        <v>10013</v>
      </c>
      <c r="B3337" s="46" t="s">
        <v>52831</v>
      </c>
      <c r="C3337" s="58" t="str">
        <f>"10249079"</f>
        <v>10249079</v>
      </c>
      <c r="D3337" s="58" t="str">
        <f>""</f>
        <v/>
      </c>
      <c r="E3337" s="46" t="s">
        <v>10015</v>
      </c>
      <c r="F3337" s="46" t="s">
        <v>50647</v>
      </c>
      <c r="G3337" s="46" t="s">
        <v>50584</v>
      </c>
      <c r="H3337" s="48" t="s">
        <v>56716</v>
      </c>
      <c r="I3337" s="48" t="s">
        <v>50564</v>
      </c>
      <c r="J3337" s="48"/>
      <c r="K3337" s="50"/>
      <c r="L3337" s="48"/>
    </row>
    <row r="3338" spans="1:12" s="37" customFormat="1" ht="11.25" x14ac:dyDescent="0.2">
      <c r="A3338" s="46" t="s">
        <v>8968</v>
      </c>
      <c r="B3338" s="46" t="s">
        <v>52832</v>
      </c>
      <c r="C3338" s="58" t="str">
        <f>"15615413"</f>
        <v>15615413</v>
      </c>
      <c r="D3338" s="58" t="str">
        <f>"18764371"</f>
        <v>18764371</v>
      </c>
      <c r="E3338" s="46" t="s">
        <v>2776</v>
      </c>
      <c r="F3338" s="46" t="s">
        <v>19491</v>
      </c>
      <c r="G3338" s="46" t="s">
        <v>50584</v>
      </c>
      <c r="H3338" s="48" t="s">
        <v>56716</v>
      </c>
      <c r="I3338" s="48" t="s">
        <v>50564</v>
      </c>
      <c r="J3338" s="48" t="s">
        <v>56716</v>
      </c>
      <c r="K3338" s="50" t="s">
        <v>56716</v>
      </c>
      <c r="L3338" s="48"/>
    </row>
    <row r="3339" spans="1:12" s="37" customFormat="1" ht="11.25" x14ac:dyDescent="0.2">
      <c r="A3339" s="46" t="s">
        <v>9944</v>
      </c>
      <c r="B3339" s="46" t="s">
        <v>52833</v>
      </c>
      <c r="C3339" s="58" t="str">
        <f>"15691861"</f>
        <v>15691861</v>
      </c>
      <c r="D3339" s="58" t="str">
        <f>"18764398"</f>
        <v>18764398</v>
      </c>
      <c r="E3339" s="46" t="s">
        <v>2776</v>
      </c>
      <c r="F3339" s="46" t="s">
        <v>19491</v>
      </c>
      <c r="G3339" s="46" t="s">
        <v>50584</v>
      </c>
      <c r="H3339" s="48" t="s">
        <v>56716</v>
      </c>
      <c r="I3339" s="48" t="s">
        <v>50564</v>
      </c>
      <c r="J3339" s="48" t="s">
        <v>56716</v>
      </c>
      <c r="K3339" s="50" t="s">
        <v>56716</v>
      </c>
      <c r="L3339" s="48"/>
    </row>
    <row r="3340" spans="1:12" s="37" customFormat="1" ht="11.25" x14ac:dyDescent="0.2">
      <c r="A3340" s="46" t="s">
        <v>10016</v>
      </c>
      <c r="B3340" s="46" t="s">
        <v>52834</v>
      </c>
      <c r="C3340" s="58" t="str">
        <f>"10139923"</f>
        <v>10139923</v>
      </c>
      <c r="D3340" s="58" t="str">
        <f>""</f>
        <v/>
      </c>
      <c r="E3340" s="46" t="s">
        <v>10015</v>
      </c>
      <c r="F3340" s="46" t="s">
        <v>50647</v>
      </c>
      <c r="G3340" s="46" t="s">
        <v>50584</v>
      </c>
      <c r="H3340" s="48" t="s">
        <v>56716</v>
      </c>
      <c r="I3340" s="48" t="s">
        <v>50564</v>
      </c>
      <c r="J3340" s="48"/>
      <c r="K3340" s="50"/>
      <c r="L3340" s="48"/>
    </row>
    <row r="3341" spans="1:12" s="37" customFormat="1" ht="11.25" x14ac:dyDescent="0.2">
      <c r="A3341" s="46" t="s">
        <v>15504</v>
      </c>
      <c r="B3341" s="46" t="s">
        <v>50647</v>
      </c>
      <c r="C3341" s="58" t="str">
        <f>"22236619"</f>
        <v>22236619</v>
      </c>
      <c r="D3341" s="58" t="str">
        <f>""</f>
        <v/>
      </c>
      <c r="E3341" s="46" t="s">
        <v>6894</v>
      </c>
      <c r="F3341" s="46" t="s">
        <v>50647</v>
      </c>
      <c r="G3341" s="46" t="s">
        <v>50584</v>
      </c>
      <c r="H3341" s="48" t="s">
        <v>56716</v>
      </c>
      <c r="I3341" s="48" t="s">
        <v>50564</v>
      </c>
      <c r="J3341" s="48"/>
      <c r="K3341" s="50"/>
      <c r="L3341" s="48"/>
    </row>
    <row r="3342" spans="1:12" s="37" customFormat="1" ht="11.25" x14ac:dyDescent="0.2">
      <c r="A3342" s="46" t="s">
        <v>6892</v>
      </c>
      <c r="B3342" s="46" t="s">
        <v>52835</v>
      </c>
      <c r="C3342" s="58" t="str">
        <f>"10242708"</f>
        <v>10242708</v>
      </c>
      <c r="D3342" s="58" t="str">
        <f>""</f>
        <v/>
      </c>
      <c r="E3342" s="46" t="s">
        <v>6894</v>
      </c>
      <c r="F3342" s="46" t="s">
        <v>50647</v>
      </c>
      <c r="G3342" s="46" t="s">
        <v>50584</v>
      </c>
      <c r="H3342" s="48" t="s">
        <v>56716</v>
      </c>
      <c r="I3342" s="48" t="s">
        <v>50564</v>
      </c>
      <c r="J3342" s="48"/>
      <c r="K3342" s="50"/>
      <c r="L3342" s="48" t="s">
        <v>56716</v>
      </c>
    </row>
    <row r="3343" spans="1:12" s="37" customFormat="1" ht="11.25" x14ac:dyDescent="0.2">
      <c r="A3343" s="46" t="s">
        <v>8004</v>
      </c>
      <c r="B3343" s="46" t="s">
        <v>52836</v>
      </c>
      <c r="C3343" s="58" t="str">
        <f>""</f>
        <v/>
      </c>
      <c r="D3343" s="58" t="str">
        <f>"10137025"</f>
        <v>10137025</v>
      </c>
      <c r="E3343" s="46" t="s">
        <v>91</v>
      </c>
      <c r="F3343" s="46" t="s">
        <v>18001</v>
      </c>
      <c r="G3343" s="46" t="s">
        <v>50584</v>
      </c>
      <c r="H3343" s="48" t="s">
        <v>56716</v>
      </c>
      <c r="I3343" s="48" t="s">
        <v>50564</v>
      </c>
      <c r="J3343" s="48"/>
      <c r="K3343" s="50"/>
      <c r="L3343" s="48"/>
    </row>
    <row r="3344" spans="1:12" s="37" customFormat="1" ht="11.25" x14ac:dyDescent="0.2">
      <c r="A3344" s="46" t="s">
        <v>7035</v>
      </c>
      <c r="B3344" s="46" t="s">
        <v>52837</v>
      </c>
      <c r="C3344" s="58" t="str">
        <f>"10273948"</f>
        <v>10273948</v>
      </c>
      <c r="D3344" s="58" t="str">
        <f>""</f>
        <v/>
      </c>
      <c r="E3344" s="46" t="s">
        <v>7037</v>
      </c>
      <c r="F3344" s="46" t="s">
        <v>50647</v>
      </c>
      <c r="G3344" s="46" t="s">
        <v>50584</v>
      </c>
      <c r="H3344" s="48" t="s">
        <v>56716</v>
      </c>
      <c r="I3344" s="48" t="s">
        <v>50564</v>
      </c>
      <c r="J3344" s="48"/>
      <c r="K3344" s="50"/>
      <c r="L3344" s="48"/>
    </row>
    <row r="3345" spans="1:12" s="37" customFormat="1" ht="11.25" x14ac:dyDescent="0.2">
      <c r="A3345" s="46" t="s">
        <v>1821</v>
      </c>
      <c r="B3345" s="46" t="s">
        <v>52838</v>
      </c>
      <c r="C3345" s="58" t="str">
        <f>"00185043"</f>
        <v>00185043</v>
      </c>
      <c r="D3345" s="58" t="str">
        <f>"14394286"</f>
        <v>14394286</v>
      </c>
      <c r="E3345" s="46" t="s">
        <v>412</v>
      </c>
      <c r="F3345" s="46" t="s">
        <v>18158</v>
      </c>
      <c r="G3345" s="46" t="s">
        <v>50584</v>
      </c>
      <c r="H3345" s="48" t="s">
        <v>56716</v>
      </c>
      <c r="I3345" s="48" t="s">
        <v>50564</v>
      </c>
      <c r="J3345" s="48" t="s">
        <v>56716</v>
      </c>
      <c r="K3345" s="50" t="s">
        <v>56716</v>
      </c>
      <c r="L3345" s="48" t="s">
        <v>56716</v>
      </c>
    </row>
    <row r="3346" spans="1:12" s="37" customFormat="1" ht="11.25" x14ac:dyDescent="0.2">
      <c r="A3346" s="46" t="s">
        <v>5513</v>
      </c>
      <c r="B3346" s="46" t="s">
        <v>52839</v>
      </c>
      <c r="C3346" s="58" t="str">
        <f>"01705903"</f>
        <v>01705903</v>
      </c>
      <c r="D3346" s="58" t="str">
        <f>""</f>
        <v/>
      </c>
      <c r="E3346" s="46" t="s">
        <v>412</v>
      </c>
      <c r="F3346" s="46" t="s">
        <v>18158</v>
      </c>
      <c r="G3346" s="46" t="s">
        <v>50584</v>
      </c>
      <c r="H3346" s="48" t="s">
        <v>56716</v>
      </c>
      <c r="I3346" s="48" t="s">
        <v>50564</v>
      </c>
      <c r="J3346" s="48" t="s">
        <v>56716</v>
      </c>
      <c r="K3346" s="50"/>
      <c r="L3346" s="48"/>
    </row>
    <row r="3347" spans="1:12" s="37" customFormat="1" ht="11.25" x14ac:dyDescent="0.2">
      <c r="A3347" s="46" t="s">
        <v>17340</v>
      </c>
      <c r="B3347" s="46" t="s">
        <v>52840</v>
      </c>
      <c r="C3347" s="58" t="str">
        <f>"18681883"</f>
        <v>18681883</v>
      </c>
      <c r="D3347" s="58" t="str">
        <f>"18681891"</f>
        <v>18681891</v>
      </c>
      <c r="E3347" s="46" t="s">
        <v>1887</v>
      </c>
      <c r="F3347" s="46" t="s">
        <v>18158</v>
      </c>
      <c r="G3347" s="46" t="s">
        <v>50584</v>
      </c>
      <c r="H3347" s="48" t="s">
        <v>56716</v>
      </c>
      <c r="I3347" s="48" t="s">
        <v>50564</v>
      </c>
      <c r="J3347" s="48" t="s">
        <v>56716</v>
      </c>
      <c r="K3347" s="50"/>
      <c r="L3347" s="48" t="s">
        <v>56716</v>
      </c>
    </row>
    <row r="3348" spans="1:12" s="37" customFormat="1" ht="11.25" x14ac:dyDescent="0.2">
      <c r="A3348" s="46" t="s">
        <v>14377</v>
      </c>
      <c r="B3348" s="46" t="s">
        <v>52841</v>
      </c>
      <c r="C3348" s="58" t="str">
        <f>"16632818"</f>
        <v>16632818</v>
      </c>
      <c r="D3348" s="58" t="str">
        <f>"16632826"</f>
        <v>16632826</v>
      </c>
      <c r="E3348" s="46" t="s">
        <v>109</v>
      </c>
      <c r="F3348" s="46" t="s">
        <v>18123</v>
      </c>
      <c r="G3348" s="46" t="s">
        <v>50584</v>
      </c>
      <c r="H3348" s="48" t="s">
        <v>56716</v>
      </c>
      <c r="I3348" s="48" t="s">
        <v>50564</v>
      </c>
      <c r="J3348" s="48" t="s">
        <v>56716</v>
      </c>
      <c r="K3348" s="50" t="s">
        <v>56716</v>
      </c>
      <c r="L3348" s="48" t="s">
        <v>56716</v>
      </c>
    </row>
    <row r="3349" spans="1:12" s="37" customFormat="1" ht="11.25" x14ac:dyDescent="0.2">
      <c r="A3349" s="46" t="s">
        <v>13818</v>
      </c>
      <c r="B3349" s="46" t="s">
        <v>52842</v>
      </c>
      <c r="C3349" s="58" t="str">
        <f>"11093099"</f>
        <v>11093099</v>
      </c>
      <c r="D3349" s="58" t="str">
        <f>""</f>
        <v/>
      </c>
      <c r="E3349" s="46" t="s">
        <v>13820</v>
      </c>
      <c r="F3349" s="46" t="s">
        <v>20969</v>
      </c>
      <c r="G3349" s="46" t="s">
        <v>50584</v>
      </c>
      <c r="H3349" s="48" t="s">
        <v>56716</v>
      </c>
      <c r="I3349" s="48" t="s">
        <v>50564</v>
      </c>
      <c r="J3349" s="48"/>
      <c r="K3349" s="50"/>
      <c r="L3349" s="48" t="s">
        <v>56716</v>
      </c>
    </row>
    <row r="3350" spans="1:12" s="37" customFormat="1" ht="11.25" x14ac:dyDescent="0.2">
      <c r="A3350" s="46" t="s">
        <v>1827</v>
      </c>
      <c r="B3350" s="46" t="s">
        <v>52843</v>
      </c>
      <c r="C3350" s="58" t="str">
        <f>"0018506X"</f>
        <v>0018506X</v>
      </c>
      <c r="D3350" s="58" t="str">
        <f>"10956867"</f>
        <v>10956867</v>
      </c>
      <c r="E3350" s="46" t="s">
        <v>60</v>
      </c>
      <c r="F3350" s="46" t="s">
        <v>17759</v>
      </c>
      <c r="G3350" s="46" t="s">
        <v>50584</v>
      </c>
      <c r="H3350" s="48" t="s">
        <v>56716</v>
      </c>
      <c r="I3350" s="48" t="s">
        <v>50564</v>
      </c>
      <c r="J3350" s="48" t="s">
        <v>56716</v>
      </c>
      <c r="K3350" s="50" t="s">
        <v>56716</v>
      </c>
      <c r="L3350" s="48" t="s">
        <v>56716</v>
      </c>
    </row>
    <row r="3351" spans="1:12" s="37" customFormat="1" ht="11.25" x14ac:dyDescent="0.2">
      <c r="A3351" s="46" t="s">
        <v>14559</v>
      </c>
      <c r="B3351" s="46" t="s">
        <v>52844</v>
      </c>
      <c r="C3351" s="58" t="str">
        <f>"18688497"</f>
        <v>18688497</v>
      </c>
      <c r="D3351" s="58" t="str">
        <f>"18688500"</f>
        <v>18688500</v>
      </c>
      <c r="E3351" s="46" t="s">
        <v>56315</v>
      </c>
      <c r="F3351" s="46" t="s">
        <v>17759</v>
      </c>
      <c r="G3351" s="46" t="s">
        <v>50584</v>
      </c>
      <c r="H3351" s="48" t="s">
        <v>56716</v>
      </c>
      <c r="I3351" s="48" t="s">
        <v>50564</v>
      </c>
      <c r="J3351" s="48" t="s">
        <v>56716</v>
      </c>
      <c r="K3351" s="50" t="s">
        <v>56716</v>
      </c>
      <c r="L3351" s="48" t="s">
        <v>56716</v>
      </c>
    </row>
    <row r="3352" spans="1:12" s="37" customFormat="1" ht="11.25" x14ac:dyDescent="0.2">
      <c r="A3352" s="45" t="s">
        <v>31267</v>
      </c>
      <c r="B3352" s="45" t="s">
        <v>31269</v>
      </c>
      <c r="C3352" s="51" t="s">
        <v>31270</v>
      </c>
      <c r="D3352" s="51"/>
      <c r="E3352" s="45" t="s">
        <v>19154</v>
      </c>
      <c r="F3352" s="45" t="s">
        <v>17759</v>
      </c>
      <c r="G3352" s="45" t="s">
        <v>50584</v>
      </c>
      <c r="H3352" s="56"/>
      <c r="I3352" s="56" t="s">
        <v>50564</v>
      </c>
      <c r="J3352" s="56"/>
      <c r="K3352" s="50"/>
      <c r="L3352" s="56" t="s">
        <v>56716</v>
      </c>
    </row>
    <row r="3353" spans="1:12" s="37" customFormat="1" ht="11.25" x14ac:dyDescent="0.2">
      <c r="A3353" s="46" t="s">
        <v>15951</v>
      </c>
      <c r="B3353" s="46" t="s">
        <v>52845</v>
      </c>
      <c r="C3353" s="58" t="str">
        <f>"22115943"</f>
        <v>22115943</v>
      </c>
      <c r="D3353" s="58" t="str">
        <f>""</f>
        <v/>
      </c>
      <c r="E3353" s="46" t="s">
        <v>303</v>
      </c>
      <c r="F3353" s="46" t="s">
        <v>17759</v>
      </c>
      <c r="G3353" s="46" t="s">
        <v>50584</v>
      </c>
      <c r="H3353" s="48" t="s">
        <v>56716</v>
      </c>
      <c r="I3353" s="48" t="s">
        <v>50564</v>
      </c>
      <c r="J3353" s="48" t="s">
        <v>56716</v>
      </c>
      <c r="K3353" s="50" t="s">
        <v>56716</v>
      </c>
      <c r="L3353" s="48"/>
    </row>
    <row r="3354" spans="1:12" s="37" customFormat="1" ht="11.25" x14ac:dyDescent="0.2">
      <c r="A3354" s="46" t="s">
        <v>16714</v>
      </c>
      <c r="B3354" s="46" t="s">
        <v>52846</v>
      </c>
      <c r="C3354" s="58" t="str">
        <f>"21541663"</f>
        <v>21541663</v>
      </c>
      <c r="D3354" s="58" t="str">
        <f>"21541671"</f>
        <v>21541671</v>
      </c>
      <c r="E3354" s="46" t="s">
        <v>3358</v>
      </c>
      <c r="F3354" s="46" t="s">
        <v>17759</v>
      </c>
      <c r="G3354" s="46" t="s">
        <v>50584</v>
      </c>
      <c r="H3354" s="48" t="s">
        <v>56716</v>
      </c>
      <c r="I3354" s="48" t="s">
        <v>50564</v>
      </c>
      <c r="J3354" s="48"/>
      <c r="K3354" s="50"/>
      <c r="L3354" s="48" t="s">
        <v>56716</v>
      </c>
    </row>
    <row r="3355" spans="1:12" s="37" customFormat="1" ht="11.25" x14ac:dyDescent="0.2">
      <c r="A3355" s="45" t="s">
        <v>31277</v>
      </c>
      <c r="B3355" s="45" t="s">
        <v>31279</v>
      </c>
      <c r="C3355" s="51" t="s">
        <v>31280</v>
      </c>
      <c r="D3355" s="51"/>
      <c r="E3355" s="45" t="s">
        <v>19154</v>
      </c>
      <c r="F3355" s="45" t="s">
        <v>17759</v>
      </c>
      <c r="G3355" s="45" t="s">
        <v>50584</v>
      </c>
      <c r="H3355" s="56"/>
      <c r="I3355" s="56" t="s">
        <v>50564</v>
      </c>
      <c r="J3355" s="56"/>
      <c r="K3355" s="50"/>
      <c r="L3355" s="56" t="s">
        <v>56716</v>
      </c>
    </row>
    <row r="3356" spans="1:12" s="37" customFormat="1" ht="11.25" x14ac:dyDescent="0.2">
      <c r="A3356" s="46" t="s">
        <v>1830</v>
      </c>
      <c r="B3356" s="46" t="s">
        <v>52847</v>
      </c>
      <c r="C3356" s="58" t="str">
        <f>"00185787"</f>
        <v>00185787</v>
      </c>
      <c r="D3356" s="58" t="str">
        <f>"19451253"</f>
        <v>19451253</v>
      </c>
      <c r="E3356" s="46" t="s">
        <v>1833</v>
      </c>
      <c r="F3356" s="46" t="s">
        <v>17759</v>
      </c>
      <c r="G3356" s="46" t="s">
        <v>50584</v>
      </c>
      <c r="H3356" s="48" t="s">
        <v>56716</v>
      </c>
      <c r="I3356" s="48" t="s">
        <v>50564</v>
      </c>
      <c r="J3356" s="48"/>
      <c r="K3356" s="50"/>
      <c r="L3356" s="48"/>
    </row>
    <row r="3357" spans="1:12" s="37" customFormat="1" ht="11.25" x14ac:dyDescent="0.2">
      <c r="A3357" s="45" t="s">
        <v>31282</v>
      </c>
      <c r="B3357" s="45" t="s">
        <v>31284</v>
      </c>
      <c r="C3357" s="51" t="s">
        <v>31286</v>
      </c>
      <c r="D3357" s="51"/>
      <c r="E3357" s="45" t="s">
        <v>291</v>
      </c>
      <c r="F3357" s="45" t="s">
        <v>50646</v>
      </c>
      <c r="G3357" s="45" t="s">
        <v>50584</v>
      </c>
      <c r="H3357" s="56"/>
      <c r="I3357" s="56" t="s">
        <v>50564</v>
      </c>
      <c r="J3357" s="56"/>
      <c r="K3357" s="50"/>
      <c r="L3357" s="56" t="s">
        <v>56716</v>
      </c>
    </row>
    <row r="3358" spans="1:12" s="37" customFormat="1" ht="11.25" x14ac:dyDescent="0.2">
      <c r="A3358" s="45" t="s">
        <v>31288</v>
      </c>
      <c r="B3358" s="45" t="s">
        <v>31290</v>
      </c>
      <c r="C3358" s="51" t="s">
        <v>31293</v>
      </c>
      <c r="D3358" s="51" t="s">
        <v>31292</v>
      </c>
      <c r="E3358" s="45" t="s">
        <v>689</v>
      </c>
      <c r="F3358" s="45" t="s">
        <v>17759</v>
      </c>
      <c r="G3358" s="45" t="s">
        <v>50584</v>
      </c>
      <c r="H3358" s="56"/>
      <c r="I3358" s="56" t="s">
        <v>50564</v>
      </c>
      <c r="J3358" s="56"/>
      <c r="K3358" s="50"/>
      <c r="L3358" s="56" t="s">
        <v>56716</v>
      </c>
    </row>
    <row r="3359" spans="1:12" s="37" customFormat="1" ht="11.25" x14ac:dyDescent="0.2">
      <c r="A3359" s="45" t="s">
        <v>31296</v>
      </c>
      <c r="B3359" s="45" t="s">
        <v>31298</v>
      </c>
      <c r="C3359" s="51" t="s">
        <v>31300</v>
      </c>
      <c r="D3359" s="51"/>
      <c r="E3359" s="45" t="s">
        <v>30676</v>
      </c>
      <c r="F3359" s="45" t="s">
        <v>17759</v>
      </c>
      <c r="G3359" s="45" t="s">
        <v>50584</v>
      </c>
      <c r="H3359" s="56"/>
      <c r="I3359" s="56" t="s">
        <v>50564</v>
      </c>
      <c r="J3359" s="56"/>
      <c r="K3359" s="50"/>
      <c r="L3359" s="56" t="s">
        <v>56716</v>
      </c>
    </row>
    <row r="3360" spans="1:12" s="37" customFormat="1" ht="11.25" x14ac:dyDescent="0.2">
      <c r="A3360" s="46" t="s">
        <v>13362</v>
      </c>
      <c r="B3360" s="46" t="s">
        <v>52848</v>
      </c>
      <c r="C3360" s="58" t="str">
        <f>"19739621"</f>
        <v>19739621</v>
      </c>
      <c r="D3360" s="58" t="str">
        <f>"20360924"</f>
        <v>20360924</v>
      </c>
      <c r="E3360" s="46" t="s">
        <v>13365</v>
      </c>
      <c r="F3360" s="46" t="s">
        <v>17991</v>
      </c>
      <c r="G3360" s="46" t="s">
        <v>50584</v>
      </c>
      <c r="H3360" s="48" t="s">
        <v>56716</v>
      </c>
      <c r="I3360" s="48" t="s">
        <v>50565</v>
      </c>
      <c r="J3360" s="48"/>
      <c r="K3360" s="50"/>
      <c r="L3360" s="48"/>
    </row>
    <row r="3361" spans="1:12" s="37" customFormat="1" ht="11.25" x14ac:dyDescent="0.2">
      <c r="A3361" s="46" t="s">
        <v>13375</v>
      </c>
      <c r="B3361" s="46" t="s">
        <v>52849</v>
      </c>
      <c r="C3361" s="58" t="str">
        <f>"1973963X"</f>
        <v>1973963X</v>
      </c>
      <c r="D3361" s="58" t="str">
        <f>"20360908"</f>
        <v>20360908</v>
      </c>
      <c r="E3361" s="46" t="s">
        <v>13365</v>
      </c>
      <c r="F3361" s="46" t="s">
        <v>17991</v>
      </c>
      <c r="G3361" s="46" t="s">
        <v>50584</v>
      </c>
      <c r="H3361" s="48" t="s">
        <v>56716</v>
      </c>
      <c r="I3361" s="48" t="s">
        <v>50565</v>
      </c>
      <c r="J3361" s="48"/>
      <c r="K3361" s="50"/>
      <c r="L3361" s="48"/>
    </row>
    <row r="3362" spans="1:12" s="37" customFormat="1" ht="11.25" x14ac:dyDescent="0.2">
      <c r="A3362" s="46" t="s">
        <v>14296</v>
      </c>
      <c r="B3362" s="46" t="s">
        <v>52850</v>
      </c>
      <c r="C3362" s="58" t="str">
        <f>"19747640"</f>
        <v>19747640</v>
      </c>
      <c r="D3362" s="58" t="str">
        <f>"20360916"</f>
        <v>20360916</v>
      </c>
      <c r="E3362" s="46" t="s">
        <v>13365</v>
      </c>
      <c r="F3362" s="46" t="s">
        <v>17991</v>
      </c>
      <c r="G3362" s="46" t="s">
        <v>50584</v>
      </c>
      <c r="H3362" s="48" t="s">
        <v>56716</v>
      </c>
      <c r="I3362" s="48" t="s">
        <v>50565</v>
      </c>
      <c r="J3362" s="48"/>
      <c r="K3362" s="50"/>
      <c r="L3362" s="48"/>
    </row>
    <row r="3363" spans="1:12" s="37" customFormat="1" ht="11.25" x14ac:dyDescent="0.2">
      <c r="A3363" s="46" t="s">
        <v>13366</v>
      </c>
      <c r="B3363" s="46" t="s">
        <v>52851</v>
      </c>
      <c r="C3363" s="58" t="str">
        <f>"19739656"</f>
        <v>19739656</v>
      </c>
      <c r="D3363" s="58" t="str">
        <f>"20360894"</f>
        <v>20360894</v>
      </c>
      <c r="E3363" s="46" t="s">
        <v>13365</v>
      </c>
      <c r="F3363" s="46" t="s">
        <v>17991</v>
      </c>
      <c r="G3363" s="46" t="s">
        <v>50584</v>
      </c>
      <c r="H3363" s="48" t="s">
        <v>56716</v>
      </c>
      <c r="I3363" s="48" t="s">
        <v>50565</v>
      </c>
      <c r="J3363" s="48"/>
      <c r="K3363" s="50"/>
      <c r="L3363" s="48"/>
    </row>
    <row r="3364" spans="1:12" s="37" customFormat="1" ht="11.25" x14ac:dyDescent="0.2">
      <c r="A3364" s="46" t="s">
        <v>13369</v>
      </c>
      <c r="B3364" s="46" t="s">
        <v>52852</v>
      </c>
      <c r="C3364" s="58" t="str">
        <f>"19739664"</f>
        <v>19739664</v>
      </c>
      <c r="D3364" s="58" t="str">
        <f>"20360886"</f>
        <v>20360886</v>
      </c>
      <c r="E3364" s="46" t="s">
        <v>13365</v>
      </c>
      <c r="F3364" s="46" t="s">
        <v>17991</v>
      </c>
      <c r="G3364" s="46" t="s">
        <v>50584</v>
      </c>
      <c r="H3364" s="48" t="s">
        <v>56716</v>
      </c>
      <c r="I3364" s="48" t="s">
        <v>50565</v>
      </c>
      <c r="J3364" s="48"/>
      <c r="K3364" s="50"/>
      <c r="L3364" s="48"/>
    </row>
    <row r="3365" spans="1:12" s="37" customFormat="1" ht="11.25" x14ac:dyDescent="0.2">
      <c r="A3365" s="46" t="s">
        <v>13372</v>
      </c>
      <c r="B3365" s="46" t="s">
        <v>52853</v>
      </c>
      <c r="C3365" s="58" t="str">
        <f>"19739648"</f>
        <v>19739648</v>
      </c>
      <c r="D3365" s="58" t="str">
        <f>"20360932"</f>
        <v>20360932</v>
      </c>
      <c r="E3365" s="46" t="s">
        <v>13365</v>
      </c>
      <c r="F3365" s="46" t="s">
        <v>17991</v>
      </c>
      <c r="G3365" s="46" t="s">
        <v>50584</v>
      </c>
      <c r="H3365" s="48" t="s">
        <v>56716</v>
      </c>
      <c r="I3365" s="48" t="s">
        <v>50565</v>
      </c>
      <c r="J3365" s="48"/>
      <c r="K3365" s="50"/>
      <c r="L3365" s="48"/>
    </row>
    <row r="3366" spans="1:12" s="37" customFormat="1" ht="11.25" x14ac:dyDescent="0.2">
      <c r="A3366" s="46" t="s">
        <v>8322</v>
      </c>
      <c r="B3366" s="46" t="s">
        <v>8322</v>
      </c>
      <c r="C3366" s="58" t="str">
        <f>"1365182X"</f>
        <v>1365182X</v>
      </c>
      <c r="D3366" s="58" t="str">
        <f>"14772574"</f>
        <v>14772574</v>
      </c>
      <c r="E3366" s="46" t="s">
        <v>35</v>
      </c>
      <c r="F3366" s="46" t="s">
        <v>50646</v>
      </c>
      <c r="G3366" s="46" t="s">
        <v>50584</v>
      </c>
      <c r="H3366" s="48" t="s">
        <v>56716</v>
      </c>
      <c r="I3366" s="48" t="s">
        <v>50564</v>
      </c>
      <c r="J3366" s="48"/>
      <c r="K3366" s="50" t="s">
        <v>56716</v>
      </c>
      <c r="L3366" s="48" t="s">
        <v>56716</v>
      </c>
    </row>
    <row r="3367" spans="1:12" s="37" customFormat="1" ht="11.25" x14ac:dyDescent="0.2">
      <c r="A3367" s="45" t="s">
        <v>31307</v>
      </c>
      <c r="B3367" s="45" t="s">
        <v>31309</v>
      </c>
      <c r="C3367" s="51"/>
      <c r="D3367" s="51" t="s">
        <v>31310</v>
      </c>
      <c r="E3367" s="45" t="s">
        <v>31311</v>
      </c>
      <c r="F3367" s="45" t="s">
        <v>17759</v>
      </c>
      <c r="G3367" s="45" t="s">
        <v>50584</v>
      </c>
      <c r="H3367" s="56"/>
      <c r="I3367" s="56" t="s">
        <v>50564</v>
      </c>
      <c r="J3367" s="56"/>
      <c r="K3367" s="50"/>
      <c r="L3367" s="56" t="s">
        <v>56716</v>
      </c>
    </row>
    <row r="3368" spans="1:12" s="37" customFormat="1" ht="11.25" x14ac:dyDescent="0.2">
      <c r="A3368" s="46" t="s">
        <v>16170</v>
      </c>
      <c r="B3368" s="46" t="s">
        <v>52854</v>
      </c>
      <c r="C3368" s="58" t="str">
        <f>"20370504"</f>
        <v>20370504</v>
      </c>
      <c r="D3368" s="58" t="str">
        <f>"20370512"</f>
        <v>20370512</v>
      </c>
      <c r="E3368" s="46" t="s">
        <v>16173</v>
      </c>
      <c r="F3368" s="46" t="s">
        <v>17991</v>
      </c>
      <c r="G3368" s="46" t="s">
        <v>50584</v>
      </c>
      <c r="H3368" s="48" t="s">
        <v>56716</v>
      </c>
      <c r="I3368" s="48" t="s">
        <v>50564</v>
      </c>
      <c r="J3368" s="48"/>
      <c r="K3368" s="50"/>
      <c r="L3368" s="48"/>
    </row>
    <row r="3369" spans="1:12" s="37" customFormat="1" ht="11.25" x14ac:dyDescent="0.2">
      <c r="A3369" s="45" t="s">
        <v>31313</v>
      </c>
      <c r="B3369" s="45" t="s">
        <v>31315</v>
      </c>
      <c r="C3369" s="51" t="s">
        <v>31317</v>
      </c>
      <c r="D3369" s="51"/>
      <c r="E3369" s="45" t="s">
        <v>31318</v>
      </c>
      <c r="F3369" s="45" t="s">
        <v>17958</v>
      </c>
      <c r="G3369" s="45" t="s">
        <v>50580</v>
      </c>
      <c r="H3369" s="56"/>
      <c r="I3369" s="56" t="s">
        <v>50564</v>
      </c>
      <c r="J3369" s="56"/>
      <c r="K3369" s="50"/>
      <c r="L3369" s="56" t="s">
        <v>56716</v>
      </c>
    </row>
    <row r="3370" spans="1:12" s="37" customFormat="1" ht="11.25" x14ac:dyDescent="0.2">
      <c r="A3370" s="45" t="s">
        <v>31320</v>
      </c>
      <c r="B3370" s="45" t="s">
        <v>31322</v>
      </c>
      <c r="C3370" s="51" t="s">
        <v>31323</v>
      </c>
      <c r="D3370" s="51"/>
      <c r="E3370" s="45" t="s">
        <v>31324</v>
      </c>
      <c r="F3370" s="45" t="s">
        <v>17958</v>
      </c>
      <c r="G3370" s="45" t="s">
        <v>50586</v>
      </c>
      <c r="H3370" s="56"/>
      <c r="I3370" s="56" t="s">
        <v>50564</v>
      </c>
      <c r="J3370" s="56"/>
      <c r="K3370" s="50"/>
      <c r="L3370" s="56" t="s">
        <v>56716</v>
      </c>
    </row>
    <row r="3371" spans="1:12" s="37" customFormat="1" ht="11.25" x14ac:dyDescent="0.2">
      <c r="A3371" s="45" t="s">
        <v>31326</v>
      </c>
      <c r="B3371" s="45" t="s">
        <v>31328</v>
      </c>
      <c r="C3371" s="51" t="s">
        <v>31329</v>
      </c>
      <c r="D3371" s="51"/>
      <c r="E3371" s="45" t="s">
        <v>31330</v>
      </c>
      <c r="F3371" s="45" t="s">
        <v>17958</v>
      </c>
      <c r="G3371" s="45" t="s">
        <v>50580</v>
      </c>
      <c r="H3371" s="56"/>
      <c r="I3371" s="56" t="s">
        <v>50564</v>
      </c>
      <c r="J3371" s="56"/>
      <c r="K3371" s="50"/>
      <c r="L3371" s="56" t="s">
        <v>56716</v>
      </c>
    </row>
    <row r="3372" spans="1:12" s="37" customFormat="1" ht="11.25" x14ac:dyDescent="0.2">
      <c r="A3372" s="46" t="s">
        <v>13807</v>
      </c>
      <c r="B3372" s="46" t="s">
        <v>52855</v>
      </c>
      <c r="C3372" s="58" t="str">
        <f>"18776558"</f>
        <v>18776558</v>
      </c>
      <c r="D3372" s="58" t="str">
        <f>"18776566"</f>
        <v>18776566</v>
      </c>
      <c r="E3372" s="46" t="s">
        <v>217</v>
      </c>
      <c r="F3372" s="46" t="s">
        <v>18001</v>
      </c>
      <c r="G3372" s="46" t="s">
        <v>50584</v>
      </c>
      <c r="H3372" s="48" t="s">
        <v>56716</v>
      </c>
      <c r="I3372" s="48" t="s">
        <v>50564</v>
      </c>
      <c r="J3372" s="48" t="s">
        <v>56716</v>
      </c>
      <c r="K3372" s="50"/>
      <c r="L3372" s="48"/>
    </row>
    <row r="3373" spans="1:12" s="37" customFormat="1" ht="11.25" x14ac:dyDescent="0.2">
      <c r="A3373" s="46" t="s">
        <v>4354</v>
      </c>
      <c r="B3373" s="46" t="s">
        <v>52856</v>
      </c>
      <c r="C3373" s="58" t="str">
        <f>"00187070"</f>
        <v>00187070</v>
      </c>
      <c r="D3373" s="58" t="str">
        <f>"18765912"</f>
        <v>18765912</v>
      </c>
      <c r="E3373" s="46" t="s">
        <v>3093</v>
      </c>
      <c r="F3373" s="46" t="s">
        <v>18001</v>
      </c>
      <c r="G3373" s="46" t="s">
        <v>50583</v>
      </c>
      <c r="H3373" s="48" t="s">
        <v>56716</v>
      </c>
      <c r="I3373" s="48" t="s">
        <v>50564</v>
      </c>
      <c r="J3373" s="48"/>
      <c r="K3373" s="50"/>
      <c r="L3373" s="48"/>
    </row>
    <row r="3374" spans="1:12" s="37" customFormat="1" ht="11.25" x14ac:dyDescent="0.2">
      <c r="A3374" s="46" t="s">
        <v>5169</v>
      </c>
      <c r="B3374" s="46" t="s">
        <v>52857</v>
      </c>
      <c r="C3374" s="58" t="str">
        <f>"09603271"</f>
        <v>09603271</v>
      </c>
      <c r="D3374" s="58" t="str">
        <f>"14770903"</f>
        <v>14770903</v>
      </c>
      <c r="E3374" s="46" t="s">
        <v>97</v>
      </c>
      <c r="F3374" s="46" t="s">
        <v>50646</v>
      </c>
      <c r="G3374" s="46" t="s">
        <v>50584</v>
      </c>
      <c r="H3374" s="48" t="s">
        <v>56716</v>
      </c>
      <c r="I3374" s="48" t="s">
        <v>50564</v>
      </c>
      <c r="J3374" s="48" t="s">
        <v>56716</v>
      </c>
      <c r="K3374" s="50"/>
      <c r="L3374" s="48" t="s">
        <v>56716</v>
      </c>
    </row>
    <row r="3375" spans="1:12" s="37" customFormat="1" ht="11.25" x14ac:dyDescent="0.2">
      <c r="A3375" s="46" t="s">
        <v>7481</v>
      </c>
      <c r="B3375" s="46" t="s">
        <v>52858</v>
      </c>
      <c r="C3375" s="58" t="str">
        <f>"10932607"</f>
        <v>10932607</v>
      </c>
      <c r="D3375" s="58" t="str">
        <f>"1875869X"</f>
        <v>1875869X</v>
      </c>
      <c r="E3375" s="46" t="s">
        <v>920</v>
      </c>
      <c r="F3375" s="46" t="s">
        <v>18001</v>
      </c>
      <c r="G3375" s="46" t="s">
        <v>50584</v>
      </c>
      <c r="H3375" s="48" t="s">
        <v>56716</v>
      </c>
      <c r="I3375" s="48" t="s">
        <v>50564</v>
      </c>
      <c r="J3375" s="48" t="s">
        <v>56716</v>
      </c>
      <c r="K3375" s="50"/>
      <c r="L3375" s="48" t="s">
        <v>56716</v>
      </c>
    </row>
    <row r="3376" spans="1:12" s="37" customFormat="1" ht="11.25" x14ac:dyDescent="0.2">
      <c r="A3376" s="45" t="s">
        <v>31342</v>
      </c>
      <c r="B3376" s="45" t="s">
        <v>31344</v>
      </c>
      <c r="C3376" s="51" t="s">
        <v>31346</v>
      </c>
      <c r="D3376" s="51" t="s">
        <v>31345</v>
      </c>
      <c r="E3376" s="45" t="s">
        <v>31347</v>
      </c>
      <c r="F3376" s="45" t="s">
        <v>17759</v>
      </c>
      <c r="G3376" s="45" t="s">
        <v>50584</v>
      </c>
      <c r="H3376" s="56"/>
      <c r="I3376" s="56" t="s">
        <v>50564</v>
      </c>
      <c r="J3376" s="56"/>
      <c r="K3376" s="50"/>
      <c r="L3376" s="56" t="s">
        <v>56716</v>
      </c>
    </row>
    <row r="3377" spans="1:12" s="37" customFormat="1" ht="11.25" x14ac:dyDescent="0.2">
      <c r="A3377" s="46" t="s">
        <v>6396</v>
      </c>
      <c r="B3377" s="46" t="s">
        <v>52859</v>
      </c>
      <c r="C3377" s="58" t="str">
        <f>"10659471"</f>
        <v>10659471</v>
      </c>
      <c r="D3377" s="58" t="str">
        <f>"10970193"</f>
        <v>10970193</v>
      </c>
      <c r="E3377" s="46" t="s">
        <v>517</v>
      </c>
      <c r="F3377" s="46" t="s">
        <v>17759</v>
      </c>
      <c r="G3377" s="46" t="s">
        <v>50584</v>
      </c>
      <c r="H3377" s="48" t="s">
        <v>56716</v>
      </c>
      <c r="I3377" s="48" t="s">
        <v>50564</v>
      </c>
      <c r="J3377" s="48" t="s">
        <v>56716</v>
      </c>
      <c r="K3377" s="50" t="s">
        <v>56716</v>
      </c>
      <c r="L3377" s="48" t="s">
        <v>56716</v>
      </c>
    </row>
    <row r="3378" spans="1:12" s="37" customFormat="1" ht="11.25" x14ac:dyDescent="0.2">
      <c r="A3378" s="46" t="s">
        <v>11868</v>
      </c>
      <c r="B3378" s="46" t="s">
        <v>52860</v>
      </c>
      <c r="C3378" s="58" t="str">
        <f>"09147470"</f>
        <v>09147470</v>
      </c>
      <c r="D3378" s="58" t="str">
        <f>"17490774"</f>
        <v>17490774</v>
      </c>
      <c r="E3378" s="46" t="s">
        <v>23335</v>
      </c>
      <c r="F3378" s="46" t="s">
        <v>18242</v>
      </c>
      <c r="G3378" s="46" t="s">
        <v>50584</v>
      </c>
      <c r="H3378" s="48" t="s">
        <v>56716</v>
      </c>
      <c r="I3378" s="48" t="s">
        <v>50564</v>
      </c>
      <c r="J3378" s="48" t="s">
        <v>56716</v>
      </c>
      <c r="K3378" s="50" t="s">
        <v>56716</v>
      </c>
      <c r="L3378" s="48" t="s">
        <v>56716</v>
      </c>
    </row>
    <row r="3379" spans="1:12" s="37" customFormat="1" ht="11.25" x14ac:dyDescent="0.2">
      <c r="A3379" s="46" t="s">
        <v>1843</v>
      </c>
      <c r="B3379" s="46" t="s">
        <v>52861</v>
      </c>
      <c r="C3379" s="58" t="str">
        <f>"0018716X"</f>
        <v>0018716X</v>
      </c>
      <c r="D3379" s="58" t="str">
        <f>"14230054"</f>
        <v>14230054</v>
      </c>
      <c r="E3379" s="46" t="s">
        <v>109</v>
      </c>
      <c r="F3379" s="46" t="s">
        <v>18123</v>
      </c>
      <c r="G3379" s="46" t="s">
        <v>50584</v>
      </c>
      <c r="H3379" s="48" t="s">
        <v>56716</v>
      </c>
      <c r="I3379" s="48" t="s">
        <v>50564</v>
      </c>
      <c r="J3379" s="48" t="s">
        <v>56716</v>
      </c>
      <c r="K3379" s="50"/>
      <c r="L3379" s="48"/>
    </row>
    <row r="3380" spans="1:12" s="37" customFormat="1" ht="11.25" x14ac:dyDescent="0.2">
      <c r="A3380" s="45" t="s">
        <v>31358</v>
      </c>
      <c r="B3380" s="45" t="s">
        <v>31360</v>
      </c>
      <c r="C3380" s="51" t="s">
        <v>31362</v>
      </c>
      <c r="D3380" s="51" t="s">
        <v>31361</v>
      </c>
      <c r="E3380" s="45" t="s">
        <v>31363</v>
      </c>
      <c r="F3380" s="45" t="s">
        <v>17759</v>
      </c>
      <c r="G3380" s="45" t="s">
        <v>50584</v>
      </c>
      <c r="H3380" s="56"/>
      <c r="I3380" s="56" t="s">
        <v>50564</v>
      </c>
      <c r="J3380" s="56"/>
      <c r="K3380" s="50"/>
      <c r="L3380" s="56" t="s">
        <v>56716</v>
      </c>
    </row>
    <row r="3381" spans="1:12" s="37" customFormat="1" ht="11.25" x14ac:dyDescent="0.2">
      <c r="A3381" s="46" t="s">
        <v>8009</v>
      </c>
      <c r="B3381" s="46" t="s">
        <v>52862</v>
      </c>
      <c r="C3381" s="58" t="str">
        <f>"14647273"</f>
        <v>14647273</v>
      </c>
      <c r="D3381" s="58" t="str">
        <f>"17428149"</f>
        <v>17428149</v>
      </c>
      <c r="E3381" s="46" t="s">
        <v>291</v>
      </c>
      <c r="F3381" s="46" t="s">
        <v>50646</v>
      </c>
      <c r="G3381" s="46" t="s">
        <v>50584</v>
      </c>
      <c r="H3381" s="48" t="s">
        <v>56716</v>
      </c>
      <c r="I3381" s="48" t="s">
        <v>50564</v>
      </c>
      <c r="J3381" s="48"/>
      <c r="K3381" s="50"/>
      <c r="L3381" s="48" t="s">
        <v>56716</v>
      </c>
    </row>
    <row r="3382" spans="1:12" s="37" customFormat="1" ht="11.25" x14ac:dyDescent="0.2">
      <c r="A3382" s="46" t="s">
        <v>5699</v>
      </c>
      <c r="B3382" s="46" t="s">
        <v>52863</v>
      </c>
      <c r="C3382" s="58" t="str">
        <f>"10430342"</f>
        <v>10430342</v>
      </c>
      <c r="D3382" s="58" t="str">
        <f>"15577422"</f>
        <v>15577422</v>
      </c>
      <c r="E3382" s="46" t="s">
        <v>4337</v>
      </c>
      <c r="F3382" s="46" t="s">
        <v>17759</v>
      </c>
      <c r="G3382" s="46" t="s">
        <v>50584</v>
      </c>
      <c r="H3382" s="48" t="s">
        <v>56716</v>
      </c>
      <c r="I3382" s="48" t="s">
        <v>50564</v>
      </c>
      <c r="J3382" s="48"/>
      <c r="K3382" s="50"/>
      <c r="L3382" s="48" t="s">
        <v>56716</v>
      </c>
    </row>
    <row r="3383" spans="1:12" s="37" customFormat="1" ht="11.25" x14ac:dyDescent="0.2">
      <c r="A3383" s="46" t="s">
        <v>17494</v>
      </c>
      <c r="B3383" s="46" t="s">
        <v>52864</v>
      </c>
      <c r="C3383" s="58" t="str">
        <f>"23248637"</f>
        <v>23248637</v>
      </c>
      <c r="D3383" s="58" t="str">
        <f>"23248645"</f>
        <v>23248645</v>
      </c>
      <c r="E3383" s="46" t="s">
        <v>4337</v>
      </c>
      <c r="F3383" s="46" t="s">
        <v>17759</v>
      </c>
      <c r="G3383" s="46" t="s">
        <v>50584</v>
      </c>
      <c r="H3383" s="48" t="s">
        <v>56716</v>
      </c>
      <c r="I3383" s="48" t="s">
        <v>50564</v>
      </c>
      <c r="J3383" s="48" t="s">
        <v>56716</v>
      </c>
      <c r="K3383" s="50"/>
      <c r="L3383" s="48" t="s">
        <v>56716</v>
      </c>
    </row>
    <row r="3384" spans="1:12" s="37" customFormat="1" ht="11.25" x14ac:dyDescent="0.2">
      <c r="A3384" s="46" t="s">
        <v>16652</v>
      </c>
      <c r="B3384" s="46" t="s">
        <v>52865</v>
      </c>
      <c r="C3384" s="58" t="str">
        <f>"19466536"</f>
        <v>19466536</v>
      </c>
      <c r="D3384" s="58" t="str">
        <f>"19466544"</f>
        <v>19466544</v>
      </c>
      <c r="E3384" s="46" t="s">
        <v>4337</v>
      </c>
      <c r="F3384" s="46" t="s">
        <v>17759</v>
      </c>
      <c r="G3384" s="46" t="s">
        <v>50584</v>
      </c>
      <c r="H3384" s="48" t="s">
        <v>56716</v>
      </c>
      <c r="I3384" s="48" t="s">
        <v>50564</v>
      </c>
      <c r="J3384" s="48" t="s">
        <v>56716</v>
      </c>
      <c r="K3384" s="50"/>
      <c r="L3384" s="48" t="s">
        <v>56716</v>
      </c>
    </row>
    <row r="3385" spans="1:12" s="37" customFormat="1" ht="11.25" x14ac:dyDescent="0.2">
      <c r="A3385" s="46" t="s">
        <v>1846</v>
      </c>
      <c r="B3385" s="46" t="s">
        <v>52866</v>
      </c>
      <c r="C3385" s="58" t="str">
        <f>"03406717"</f>
        <v>03406717</v>
      </c>
      <c r="D3385" s="58" t="str">
        <f>"14321203"</f>
        <v>14321203</v>
      </c>
      <c r="E3385" s="46" t="s">
        <v>167</v>
      </c>
      <c r="F3385" s="46" t="s">
        <v>18158</v>
      </c>
      <c r="G3385" s="46" t="s">
        <v>50584</v>
      </c>
      <c r="H3385" s="48" t="s">
        <v>56716</v>
      </c>
      <c r="I3385" s="48" t="s">
        <v>50564</v>
      </c>
      <c r="J3385" s="48" t="s">
        <v>56716</v>
      </c>
      <c r="K3385" s="50" t="s">
        <v>56716</v>
      </c>
      <c r="L3385" s="48" t="s">
        <v>56716</v>
      </c>
    </row>
    <row r="3386" spans="1:12" s="37" customFormat="1" ht="11.25" x14ac:dyDescent="0.2">
      <c r="A3386" s="46" t="s">
        <v>56423</v>
      </c>
      <c r="B3386" s="46" t="s">
        <v>56424</v>
      </c>
      <c r="C3386" s="58" t="str">
        <f>""</f>
        <v/>
      </c>
      <c r="D3386" s="58" t="str">
        <f>"2054345X"</f>
        <v>2054345X</v>
      </c>
      <c r="E3386" s="46" t="s">
        <v>315</v>
      </c>
      <c r="F3386" s="46" t="s">
        <v>50646</v>
      </c>
      <c r="G3386" s="46" t="s">
        <v>50584</v>
      </c>
      <c r="H3386" s="48" t="s">
        <v>56716</v>
      </c>
      <c r="I3386" s="48" t="s">
        <v>50564</v>
      </c>
      <c r="J3386" s="48" t="s">
        <v>56716</v>
      </c>
      <c r="K3386" s="50"/>
      <c r="L3386" s="48"/>
    </row>
    <row r="3387" spans="1:12" s="37" customFormat="1" ht="11.25" x14ac:dyDescent="0.2">
      <c r="A3387" s="46" t="s">
        <v>10600</v>
      </c>
      <c r="B3387" s="46" t="s">
        <v>52867</v>
      </c>
      <c r="C3387" s="58" t="str">
        <f>"14739542"</f>
        <v>14739542</v>
      </c>
      <c r="D3387" s="58" t="str">
        <f>"14797364"</f>
        <v>14797364</v>
      </c>
      <c r="E3387" s="46" t="s">
        <v>2299</v>
      </c>
      <c r="F3387" s="46" t="s">
        <v>50646</v>
      </c>
      <c r="G3387" s="46" t="s">
        <v>50584</v>
      </c>
      <c r="H3387" s="48" t="s">
        <v>56716</v>
      </c>
      <c r="I3387" s="48" t="s">
        <v>50564</v>
      </c>
      <c r="J3387" s="48"/>
      <c r="K3387" s="50"/>
      <c r="L3387" s="48" t="s">
        <v>56716</v>
      </c>
    </row>
    <row r="3388" spans="1:12" s="37" customFormat="1" ht="11.25" x14ac:dyDescent="0.2">
      <c r="A3388" s="46" t="s">
        <v>13717</v>
      </c>
      <c r="B3388" s="46" t="s">
        <v>52868</v>
      </c>
      <c r="C3388" s="58" t="str">
        <f>""</f>
        <v/>
      </c>
      <c r="D3388" s="58" t="str">
        <f>"17574242"</f>
        <v>17574242</v>
      </c>
      <c r="E3388" s="46" t="s">
        <v>97</v>
      </c>
      <c r="F3388" s="46" t="s">
        <v>50646</v>
      </c>
      <c r="G3388" s="46" t="s">
        <v>50584</v>
      </c>
      <c r="H3388" s="48" t="s">
        <v>56716</v>
      </c>
      <c r="I3388" s="48" t="s">
        <v>50564</v>
      </c>
      <c r="J3388" s="48" t="s">
        <v>56716</v>
      </c>
      <c r="K3388" s="50"/>
      <c r="L3388" s="48"/>
    </row>
    <row r="3389" spans="1:12" s="37" customFormat="1" ht="11.25" x14ac:dyDescent="0.2">
      <c r="A3389" s="46" t="s">
        <v>1849</v>
      </c>
      <c r="B3389" s="46" t="s">
        <v>52869</v>
      </c>
      <c r="C3389" s="58" t="str">
        <f>"00015652"</f>
        <v>00015652</v>
      </c>
      <c r="D3389" s="58" t="str">
        <f>"14230062"</f>
        <v>14230062</v>
      </c>
      <c r="E3389" s="46" t="s">
        <v>109</v>
      </c>
      <c r="F3389" s="46" t="s">
        <v>18123</v>
      </c>
      <c r="G3389" s="46" t="s">
        <v>50584</v>
      </c>
      <c r="H3389" s="48" t="s">
        <v>56716</v>
      </c>
      <c r="I3389" s="48" t="s">
        <v>50564</v>
      </c>
      <c r="J3389" s="48"/>
      <c r="K3389" s="50" t="s">
        <v>56716</v>
      </c>
      <c r="L3389" s="48" t="s">
        <v>56716</v>
      </c>
    </row>
    <row r="3390" spans="1:12" s="37" customFormat="1" ht="11.25" x14ac:dyDescent="0.2">
      <c r="A3390" s="46" t="s">
        <v>1852</v>
      </c>
      <c r="B3390" s="46" t="s">
        <v>52870</v>
      </c>
      <c r="C3390" s="58" t="str">
        <f>"01988859"</f>
        <v>01988859</v>
      </c>
      <c r="D3390" s="58" t="str">
        <f>"18791166"</f>
        <v>18791166</v>
      </c>
      <c r="E3390" s="46" t="s">
        <v>272</v>
      </c>
      <c r="F3390" s="46" t="s">
        <v>17759</v>
      </c>
      <c r="G3390" s="46" t="s">
        <v>50584</v>
      </c>
      <c r="H3390" s="48" t="s">
        <v>56716</v>
      </c>
      <c r="I3390" s="48" t="s">
        <v>50564</v>
      </c>
      <c r="J3390" s="48" t="s">
        <v>56716</v>
      </c>
      <c r="K3390" s="50" t="s">
        <v>56716</v>
      </c>
      <c r="L3390" s="48" t="s">
        <v>56716</v>
      </c>
    </row>
    <row r="3391" spans="1:12" s="37" customFormat="1" ht="11.25" x14ac:dyDescent="0.2">
      <c r="A3391" s="46" t="s">
        <v>5638</v>
      </c>
      <c r="B3391" s="46" t="s">
        <v>52871</v>
      </c>
      <c r="C3391" s="58" t="str">
        <f>"09646906"</f>
        <v>09646906</v>
      </c>
      <c r="D3391" s="58" t="str">
        <f>"14602083"</f>
        <v>14602083</v>
      </c>
      <c r="E3391" s="46" t="s">
        <v>55</v>
      </c>
      <c r="F3391" s="46" t="s">
        <v>50646</v>
      </c>
      <c r="G3391" s="46" t="s">
        <v>50584</v>
      </c>
      <c r="H3391" s="48" t="s">
        <v>56716</v>
      </c>
      <c r="I3391" s="48" t="s">
        <v>50564</v>
      </c>
      <c r="J3391" s="48" t="s">
        <v>56716</v>
      </c>
      <c r="K3391" s="50"/>
      <c r="L3391" s="48" t="s">
        <v>56716</v>
      </c>
    </row>
    <row r="3392" spans="1:12" s="37" customFormat="1" ht="11.25" x14ac:dyDescent="0.2">
      <c r="A3392" s="46" t="s">
        <v>1824</v>
      </c>
      <c r="B3392" s="46" t="s">
        <v>52872</v>
      </c>
      <c r="C3392" s="58" t="str">
        <f>"01679457"</f>
        <v>01679457</v>
      </c>
      <c r="D3392" s="58" t="str">
        <f>"18727646"</f>
        <v>18727646</v>
      </c>
      <c r="E3392" s="46" t="s">
        <v>91</v>
      </c>
      <c r="F3392" s="46" t="s">
        <v>18001</v>
      </c>
      <c r="G3392" s="46" t="s">
        <v>50584</v>
      </c>
      <c r="H3392" s="48" t="s">
        <v>56716</v>
      </c>
      <c r="I3392" s="48" t="s">
        <v>50564</v>
      </c>
      <c r="J3392" s="48"/>
      <c r="K3392" s="50" t="s">
        <v>56716</v>
      </c>
      <c r="L3392" s="48" t="s">
        <v>56716</v>
      </c>
    </row>
    <row r="3393" spans="1:12" s="37" customFormat="1" ht="11.25" x14ac:dyDescent="0.2">
      <c r="A3393" s="46" t="s">
        <v>5935</v>
      </c>
      <c r="B3393" s="46" t="s">
        <v>52873</v>
      </c>
      <c r="C3393" s="58" t="str">
        <f>"10597794"</f>
        <v>10597794</v>
      </c>
      <c r="D3393" s="58" t="str">
        <f>"10981004"</f>
        <v>10981004</v>
      </c>
      <c r="E3393" s="46" t="s">
        <v>517</v>
      </c>
      <c r="F3393" s="46" t="s">
        <v>17759</v>
      </c>
      <c r="G3393" s="46" t="s">
        <v>50584</v>
      </c>
      <c r="H3393" s="48" t="s">
        <v>56716</v>
      </c>
      <c r="I3393" s="48" t="s">
        <v>50564</v>
      </c>
      <c r="J3393" s="48" t="s">
        <v>56716</v>
      </c>
      <c r="K3393" s="50" t="s">
        <v>56716</v>
      </c>
      <c r="L3393" s="48" t="s">
        <v>56716</v>
      </c>
    </row>
    <row r="3394" spans="1:12" s="37" customFormat="1" ht="11.25" x14ac:dyDescent="0.2">
      <c r="A3394" s="45" t="s">
        <v>31421</v>
      </c>
      <c r="B3394" s="45" t="s">
        <v>31423</v>
      </c>
      <c r="C3394" s="51" t="s">
        <v>31425</v>
      </c>
      <c r="D3394" s="51" t="s">
        <v>31424</v>
      </c>
      <c r="E3394" s="45" t="s">
        <v>190</v>
      </c>
      <c r="F3394" s="45" t="s">
        <v>17759</v>
      </c>
      <c r="G3394" s="45" t="s">
        <v>50584</v>
      </c>
      <c r="H3394" s="56"/>
      <c r="I3394" s="56" t="s">
        <v>50564</v>
      </c>
      <c r="J3394" s="56"/>
      <c r="K3394" s="50"/>
      <c r="L3394" s="56" t="s">
        <v>56716</v>
      </c>
    </row>
    <row r="3395" spans="1:12" s="37" customFormat="1" ht="11.25" x14ac:dyDescent="0.2">
      <c r="A3395" s="46" t="s">
        <v>1834</v>
      </c>
      <c r="B3395" s="46" t="s">
        <v>52874</v>
      </c>
      <c r="C3395" s="58" t="str">
        <f>"00468177"</f>
        <v>00468177</v>
      </c>
      <c r="D3395" s="58" t="str">
        <f>"15328392"</f>
        <v>15328392</v>
      </c>
      <c r="E3395" s="46" t="s">
        <v>303</v>
      </c>
      <c r="F3395" s="46" t="s">
        <v>17759</v>
      </c>
      <c r="G3395" s="46" t="s">
        <v>50584</v>
      </c>
      <c r="H3395" s="48" t="s">
        <v>56716</v>
      </c>
      <c r="I3395" s="48" t="s">
        <v>50564</v>
      </c>
      <c r="J3395" s="48"/>
      <c r="K3395" s="50" t="s">
        <v>56716</v>
      </c>
      <c r="L3395" s="48" t="s">
        <v>56716</v>
      </c>
    </row>
    <row r="3396" spans="1:12" s="37" customFormat="1" ht="11.25" x14ac:dyDescent="0.2">
      <c r="A3396" s="46" t="s">
        <v>56330</v>
      </c>
      <c r="B3396" s="46" t="s">
        <v>56331</v>
      </c>
      <c r="C3396" s="58" t="str">
        <f>""</f>
        <v/>
      </c>
      <c r="D3396" s="58" t="str">
        <f>"22143300"</f>
        <v>22143300</v>
      </c>
      <c r="E3396" s="46" t="s">
        <v>272</v>
      </c>
      <c r="F3396" s="46" t="s">
        <v>17759</v>
      </c>
      <c r="G3396" s="46" t="s">
        <v>50584</v>
      </c>
      <c r="H3396" s="48" t="s">
        <v>56716</v>
      </c>
      <c r="I3396" s="48" t="s">
        <v>50564</v>
      </c>
      <c r="J3396" s="48" t="s">
        <v>56716</v>
      </c>
      <c r="K3396" s="50"/>
      <c r="L3396" s="48"/>
    </row>
    <row r="3397" spans="1:12" s="37" customFormat="1" ht="11.25" x14ac:dyDescent="0.2">
      <c r="A3397" s="46" t="s">
        <v>4567</v>
      </c>
      <c r="B3397" s="46" t="s">
        <v>52875</v>
      </c>
      <c r="C3397" s="58" t="str">
        <f>"08856222"</f>
        <v>08856222</v>
      </c>
      <c r="D3397" s="58" t="str">
        <f>"10991077"</f>
        <v>10991077</v>
      </c>
      <c r="E3397" s="46" t="s">
        <v>751</v>
      </c>
      <c r="F3397" s="46" t="s">
        <v>50646</v>
      </c>
      <c r="G3397" s="46" t="s">
        <v>50584</v>
      </c>
      <c r="H3397" s="48" t="s">
        <v>56716</v>
      </c>
      <c r="I3397" s="48" t="s">
        <v>50564</v>
      </c>
      <c r="J3397" s="48" t="s">
        <v>56716</v>
      </c>
      <c r="K3397" s="50" t="s">
        <v>56716</v>
      </c>
      <c r="L3397" s="48" t="s">
        <v>56716</v>
      </c>
    </row>
    <row r="3398" spans="1:12" s="37" customFormat="1" ht="11.25" x14ac:dyDescent="0.2">
      <c r="A3398" s="46" t="s">
        <v>1855</v>
      </c>
      <c r="B3398" s="46" t="s">
        <v>52876</v>
      </c>
      <c r="C3398" s="58" t="str">
        <f>"02681161"</f>
        <v>02681161</v>
      </c>
      <c r="D3398" s="58" t="str">
        <f>"14602350"</f>
        <v>14602350</v>
      </c>
      <c r="E3398" s="46" t="s">
        <v>55</v>
      </c>
      <c r="F3398" s="46" t="s">
        <v>50646</v>
      </c>
      <c r="G3398" s="46" t="s">
        <v>50584</v>
      </c>
      <c r="H3398" s="48" t="s">
        <v>56716</v>
      </c>
      <c r="I3398" s="48" t="s">
        <v>50564</v>
      </c>
      <c r="J3398" s="48"/>
      <c r="K3398" s="50"/>
      <c r="L3398" s="48" t="s">
        <v>56716</v>
      </c>
    </row>
    <row r="3399" spans="1:12" s="37" customFormat="1" ht="11.25" x14ac:dyDescent="0.2">
      <c r="A3399" s="46" t="s">
        <v>6644</v>
      </c>
      <c r="B3399" s="46" t="s">
        <v>52877</v>
      </c>
      <c r="C3399" s="58" t="str">
        <f>"13554786"</f>
        <v>13554786</v>
      </c>
      <c r="D3399" s="58" t="str">
        <f>"14602369"</f>
        <v>14602369</v>
      </c>
      <c r="E3399" s="46" t="s">
        <v>55</v>
      </c>
      <c r="F3399" s="46" t="s">
        <v>50646</v>
      </c>
      <c r="G3399" s="46" t="s">
        <v>50584</v>
      </c>
      <c r="H3399" s="48" t="s">
        <v>56716</v>
      </c>
      <c r="I3399" s="48" t="s">
        <v>50564</v>
      </c>
      <c r="J3399" s="48" t="s">
        <v>56716</v>
      </c>
      <c r="K3399" s="50"/>
      <c r="L3399" s="48" t="s">
        <v>56716</v>
      </c>
    </row>
    <row r="3400" spans="1:12" s="37" customFormat="1" ht="11.25" x14ac:dyDescent="0.2">
      <c r="A3400" s="45" t="s">
        <v>31448</v>
      </c>
      <c r="B3400" s="45" t="s">
        <v>31450</v>
      </c>
      <c r="C3400" s="51"/>
      <c r="D3400" s="51" t="s">
        <v>31452</v>
      </c>
      <c r="E3400" s="45" t="s">
        <v>18570</v>
      </c>
      <c r="F3400" s="45" t="s">
        <v>50646</v>
      </c>
      <c r="G3400" s="45" t="s">
        <v>50584</v>
      </c>
      <c r="H3400" s="56"/>
      <c r="I3400" s="56" t="s">
        <v>50564</v>
      </c>
      <c r="J3400" s="56"/>
      <c r="K3400" s="50"/>
      <c r="L3400" s="56" t="s">
        <v>56716</v>
      </c>
    </row>
    <row r="3401" spans="1:12" s="37" customFormat="1" ht="11.25" x14ac:dyDescent="0.2">
      <c r="A3401" s="46" t="s">
        <v>16009</v>
      </c>
      <c r="B3401" s="46" t="s">
        <v>52878</v>
      </c>
      <c r="C3401" s="58" t="str">
        <f>"21645515"</f>
        <v>21645515</v>
      </c>
      <c r="D3401" s="58" t="str">
        <f>"2164554X"</f>
        <v>2164554X</v>
      </c>
      <c r="E3401" s="46" t="s">
        <v>669</v>
      </c>
      <c r="F3401" s="46" t="s">
        <v>17759</v>
      </c>
      <c r="G3401" s="46" t="s">
        <v>50584</v>
      </c>
      <c r="H3401" s="48" t="s">
        <v>56716</v>
      </c>
      <c r="I3401" s="48" t="s">
        <v>50564</v>
      </c>
      <c r="J3401" s="48"/>
      <c r="K3401" s="50"/>
      <c r="L3401" s="48" t="s">
        <v>56716</v>
      </c>
    </row>
    <row r="3402" spans="1:12" s="37" customFormat="1" ht="11.25" x14ac:dyDescent="0.2">
      <c r="A3402" s="46" t="s">
        <v>16185</v>
      </c>
      <c r="B3402" s="46" t="s">
        <v>16185</v>
      </c>
      <c r="C3402" s="58" t="str">
        <f>"22293590"</f>
        <v>22293590</v>
      </c>
      <c r="D3402" s="58" t="str">
        <f>"09756221"</f>
        <v>09756221</v>
      </c>
      <c r="E3402" s="46" t="s">
        <v>16188</v>
      </c>
      <c r="F3402" s="46" t="s">
        <v>20446</v>
      </c>
      <c r="G3402" s="46" t="s">
        <v>50584</v>
      </c>
      <c r="H3402" s="48" t="s">
        <v>56716</v>
      </c>
      <c r="I3402" s="48" t="s">
        <v>50564</v>
      </c>
      <c r="J3402" s="48"/>
      <c r="K3402" s="50"/>
      <c r="L3402" s="48"/>
    </row>
    <row r="3403" spans="1:12" s="37" customFormat="1" ht="11.25" x14ac:dyDescent="0.2">
      <c r="A3403" s="46" t="s">
        <v>1837</v>
      </c>
      <c r="B3403" s="46" t="s">
        <v>1837</v>
      </c>
      <c r="C3403" s="58" t="str">
        <f>"0194911X"</f>
        <v>0194911X</v>
      </c>
      <c r="D3403" s="58" t="str">
        <f>"15244563"</f>
        <v>15244563</v>
      </c>
      <c r="E3403" s="46" t="s">
        <v>28</v>
      </c>
      <c r="F3403" s="46" t="s">
        <v>17759</v>
      </c>
      <c r="G3403" s="46" t="s">
        <v>50584</v>
      </c>
      <c r="H3403" s="48" t="s">
        <v>56716</v>
      </c>
      <c r="I3403" s="48" t="s">
        <v>50564</v>
      </c>
      <c r="J3403" s="48" t="s">
        <v>56716</v>
      </c>
      <c r="K3403" s="50" t="s">
        <v>56716</v>
      </c>
      <c r="L3403" s="48" t="s">
        <v>56716</v>
      </c>
    </row>
    <row r="3404" spans="1:12" s="37" customFormat="1" ht="11.25" x14ac:dyDescent="0.2">
      <c r="A3404" s="46" t="s">
        <v>6013</v>
      </c>
      <c r="B3404" s="46" t="s">
        <v>52879</v>
      </c>
      <c r="C3404" s="58" t="str">
        <f>"10641955"</f>
        <v>10641955</v>
      </c>
      <c r="D3404" s="58" t="str">
        <f>"15256065"</f>
        <v>15256065</v>
      </c>
      <c r="E3404" s="46" t="s">
        <v>291</v>
      </c>
      <c r="F3404" s="46" t="s">
        <v>17759</v>
      </c>
      <c r="G3404" s="46" t="s">
        <v>50584</v>
      </c>
      <c r="H3404" s="48" t="s">
        <v>56716</v>
      </c>
      <c r="I3404" s="48" t="s">
        <v>50564</v>
      </c>
      <c r="J3404" s="48"/>
      <c r="K3404" s="50"/>
      <c r="L3404" s="48" t="s">
        <v>56716</v>
      </c>
    </row>
    <row r="3405" spans="1:12" s="37" customFormat="1" ht="11.25" x14ac:dyDescent="0.2">
      <c r="A3405" s="46" t="s">
        <v>8420</v>
      </c>
      <c r="B3405" s="46" t="s">
        <v>52880</v>
      </c>
      <c r="C3405" s="58" t="str">
        <f>"09169636"</f>
        <v>09169636</v>
      </c>
      <c r="D3405" s="58" t="str">
        <f>"13484214"</f>
        <v>13484214</v>
      </c>
      <c r="E3405" s="46" t="s">
        <v>50676</v>
      </c>
      <c r="F3405" s="46" t="s">
        <v>18242</v>
      </c>
      <c r="G3405" s="46" t="s">
        <v>50584</v>
      </c>
      <c r="H3405" s="48" t="s">
        <v>56716</v>
      </c>
      <c r="I3405" s="48" t="s">
        <v>50564</v>
      </c>
      <c r="J3405" s="48"/>
      <c r="K3405" s="50"/>
      <c r="L3405" s="48" t="s">
        <v>56716</v>
      </c>
    </row>
    <row r="3406" spans="1:12" s="37" customFormat="1" ht="11.25" x14ac:dyDescent="0.2">
      <c r="A3406" s="45" t="s">
        <v>31474</v>
      </c>
      <c r="B3406" s="45" t="s">
        <v>31476</v>
      </c>
      <c r="C3406" s="51" t="s">
        <v>31478</v>
      </c>
      <c r="D3406" s="51"/>
      <c r="E3406" s="45" t="s">
        <v>31479</v>
      </c>
      <c r="F3406" s="45" t="s">
        <v>17759</v>
      </c>
      <c r="G3406" s="45" t="s">
        <v>50584</v>
      </c>
      <c r="H3406" s="56"/>
      <c r="I3406" s="56" t="s">
        <v>50564</v>
      </c>
      <c r="J3406" s="56"/>
      <c r="K3406" s="50"/>
      <c r="L3406" s="56" t="s">
        <v>56716</v>
      </c>
    </row>
    <row r="3407" spans="1:12" s="37" customFormat="1" ht="11.25" x14ac:dyDescent="0.2">
      <c r="A3407" s="46" t="s">
        <v>5216</v>
      </c>
      <c r="B3407" s="46" t="s">
        <v>52881</v>
      </c>
      <c r="C3407" s="58" t="str">
        <f>"10171606"</f>
        <v>10171606</v>
      </c>
      <c r="D3407" s="58" t="str">
        <f>""</f>
        <v/>
      </c>
      <c r="E3407" s="46" t="s">
        <v>5218</v>
      </c>
      <c r="F3407" s="46" t="s">
        <v>20359</v>
      </c>
      <c r="G3407" s="46" t="s">
        <v>50584</v>
      </c>
      <c r="H3407" s="48" t="s">
        <v>56716</v>
      </c>
      <c r="I3407" s="48" t="s">
        <v>50565</v>
      </c>
      <c r="J3407" s="48" t="s">
        <v>56716</v>
      </c>
      <c r="K3407" s="50"/>
      <c r="L3407" s="48" t="s">
        <v>56716</v>
      </c>
    </row>
    <row r="3408" spans="1:12" s="37" customFormat="1" ht="11.25" x14ac:dyDescent="0.2">
      <c r="A3408" s="45" t="s">
        <v>31488</v>
      </c>
      <c r="B3408" s="45" t="s">
        <v>31490</v>
      </c>
      <c r="C3408" s="51" t="s">
        <v>31492</v>
      </c>
      <c r="D3408" s="51"/>
      <c r="E3408" s="45" t="s">
        <v>31493</v>
      </c>
      <c r="F3408" s="45" t="s">
        <v>20359</v>
      </c>
      <c r="G3408" s="45" t="s">
        <v>50584</v>
      </c>
      <c r="H3408" s="56"/>
      <c r="I3408" s="56" t="s">
        <v>50564</v>
      </c>
      <c r="J3408" s="56"/>
      <c r="K3408" s="50"/>
      <c r="L3408" s="56" t="s">
        <v>56716</v>
      </c>
    </row>
    <row r="3409" spans="1:12" s="37" customFormat="1" ht="11.25" x14ac:dyDescent="0.2">
      <c r="A3409" s="46" t="s">
        <v>4721</v>
      </c>
      <c r="B3409" s="46" t="s">
        <v>4721</v>
      </c>
      <c r="C3409" s="58" t="str">
        <f>"01210793"</f>
        <v>01210793</v>
      </c>
      <c r="D3409" s="58" t="str">
        <f>""</f>
        <v/>
      </c>
      <c r="E3409" s="46" t="s">
        <v>4723</v>
      </c>
      <c r="F3409" s="46" t="s">
        <v>22591</v>
      </c>
      <c r="G3409" s="46" t="s">
        <v>50632</v>
      </c>
      <c r="H3409" s="48" t="s">
        <v>56716</v>
      </c>
      <c r="I3409" s="48" t="s">
        <v>50564</v>
      </c>
      <c r="J3409" s="48"/>
      <c r="K3409" s="50"/>
      <c r="L3409" s="48"/>
    </row>
    <row r="3410" spans="1:12" s="37" customFormat="1" ht="11.25" x14ac:dyDescent="0.2">
      <c r="A3410" s="45" t="s">
        <v>31495</v>
      </c>
      <c r="B3410" s="45" t="s">
        <v>31497</v>
      </c>
      <c r="C3410" s="51" t="s">
        <v>31499</v>
      </c>
      <c r="D3410" s="51" t="s">
        <v>31498</v>
      </c>
      <c r="E3410" s="45" t="s">
        <v>31500</v>
      </c>
      <c r="F3410" s="45" t="s">
        <v>17759</v>
      </c>
      <c r="G3410" s="45" t="s">
        <v>50584</v>
      </c>
      <c r="H3410" s="56"/>
      <c r="I3410" s="56" t="s">
        <v>50564</v>
      </c>
      <c r="J3410" s="56"/>
      <c r="K3410" s="50"/>
      <c r="L3410" s="56" t="s">
        <v>56716</v>
      </c>
    </row>
    <row r="3411" spans="1:12" s="37" customFormat="1" ht="11.25" x14ac:dyDescent="0.2">
      <c r="A3411" s="46" t="s">
        <v>56379</v>
      </c>
      <c r="B3411" s="46" t="s">
        <v>56380</v>
      </c>
      <c r="C3411" s="58" t="str">
        <f>"1931308X"</f>
        <v>1931308X</v>
      </c>
      <c r="D3411" s="58" t="str">
        <f>""</f>
        <v/>
      </c>
      <c r="E3411" s="46" t="s">
        <v>56381</v>
      </c>
      <c r="F3411" s="46" t="s">
        <v>17759</v>
      </c>
      <c r="G3411" s="46" t="s">
        <v>50584</v>
      </c>
      <c r="H3411" s="48" t="s">
        <v>56716</v>
      </c>
      <c r="I3411" s="48" t="s">
        <v>50564</v>
      </c>
      <c r="J3411" s="48"/>
      <c r="K3411" s="50" t="s">
        <v>56716</v>
      </c>
      <c r="L3411" s="48"/>
    </row>
    <row r="3412" spans="1:12" s="37" customFormat="1" ht="11.25" x14ac:dyDescent="0.2">
      <c r="A3412" s="46" t="s">
        <v>16106</v>
      </c>
      <c r="B3412" s="46" t="s">
        <v>52882</v>
      </c>
      <c r="C3412" s="58" t="str">
        <f>"19444516"</f>
        <v>19444516</v>
      </c>
      <c r="D3412" s="58" t="str">
        <f>"19444524"</f>
        <v>19444524</v>
      </c>
      <c r="E3412" s="46" t="s">
        <v>493</v>
      </c>
      <c r="F3412" s="46" t="s">
        <v>17759</v>
      </c>
      <c r="G3412" s="46" t="s">
        <v>50584</v>
      </c>
      <c r="H3412" s="48" t="s">
        <v>56716</v>
      </c>
      <c r="I3412" s="48" t="s">
        <v>50564</v>
      </c>
      <c r="J3412" s="48" t="s">
        <v>56716</v>
      </c>
      <c r="K3412" s="50"/>
      <c r="L3412" s="48"/>
    </row>
    <row r="3413" spans="1:12" s="37" customFormat="1" ht="11.25" x14ac:dyDescent="0.2">
      <c r="A3413" s="46" t="s">
        <v>17374</v>
      </c>
      <c r="B3413" s="46" t="s">
        <v>17374</v>
      </c>
      <c r="C3413" s="58" t="str">
        <f>"22142509"</f>
        <v>22142509</v>
      </c>
      <c r="D3413" s="58" t="str">
        <f>""</f>
        <v/>
      </c>
      <c r="E3413" s="46" t="s">
        <v>155</v>
      </c>
      <c r="F3413" s="46" t="s">
        <v>50646</v>
      </c>
      <c r="G3413" s="46" t="s">
        <v>50584</v>
      </c>
      <c r="H3413" s="48" t="s">
        <v>56716</v>
      </c>
      <c r="I3413" s="48" t="s">
        <v>50564</v>
      </c>
      <c r="J3413" s="48" t="s">
        <v>56716</v>
      </c>
      <c r="K3413" s="50" t="s">
        <v>56716</v>
      </c>
      <c r="L3413" s="48"/>
    </row>
    <row r="3414" spans="1:12" s="37" customFormat="1" ht="11.25" x14ac:dyDescent="0.2">
      <c r="A3414" s="46" t="s">
        <v>1869</v>
      </c>
      <c r="B3414" s="46" t="s">
        <v>52883</v>
      </c>
      <c r="C3414" s="58" t="str">
        <f>"00191442"</f>
        <v>00191442</v>
      </c>
      <c r="D3414" s="58" t="str">
        <f>""</f>
        <v/>
      </c>
      <c r="E3414" s="46" t="s">
        <v>1871</v>
      </c>
      <c r="F3414" s="45" t="s">
        <v>17976</v>
      </c>
      <c r="G3414" s="46" t="s">
        <v>50600</v>
      </c>
      <c r="H3414" s="48" t="s">
        <v>56716</v>
      </c>
      <c r="I3414" s="48" t="s">
        <v>50564</v>
      </c>
      <c r="J3414" s="48"/>
      <c r="K3414" s="50"/>
      <c r="L3414" s="48" t="s">
        <v>56716</v>
      </c>
    </row>
    <row r="3415" spans="1:12" s="37" customFormat="1" ht="11.25" x14ac:dyDescent="0.2">
      <c r="A3415" s="45" t="s">
        <v>31509</v>
      </c>
      <c r="B3415" s="45" t="s">
        <v>31511</v>
      </c>
      <c r="C3415" s="51" t="s">
        <v>31514</v>
      </c>
      <c r="D3415" s="51" t="s">
        <v>31513</v>
      </c>
      <c r="E3415" s="45" t="s">
        <v>17629</v>
      </c>
      <c r="F3415" s="45" t="s">
        <v>17759</v>
      </c>
      <c r="G3415" s="45" t="s">
        <v>50584</v>
      </c>
      <c r="H3415" s="56"/>
      <c r="I3415" s="56" t="s">
        <v>50564</v>
      </c>
      <c r="J3415" s="56"/>
      <c r="K3415" s="50"/>
      <c r="L3415" s="56" t="s">
        <v>56716</v>
      </c>
    </row>
    <row r="3416" spans="1:12" s="37" customFormat="1" ht="11.25" x14ac:dyDescent="0.2">
      <c r="A3416" s="45" t="s">
        <v>31516</v>
      </c>
      <c r="B3416" s="45" t="s">
        <v>31518</v>
      </c>
      <c r="C3416" s="51" t="s">
        <v>31520</v>
      </c>
      <c r="D3416" s="51" t="s">
        <v>31519</v>
      </c>
      <c r="E3416" s="45" t="s">
        <v>1877</v>
      </c>
      <c r="F3416" s="45" t="s">
        <v>17759</v>
      </c>
      <c r="G3416" s="45" t="s">
        <v>50584</v>
      </c>
      <c r="H3416" s="56"/>
      <c r="I3416" s="56" t="s">
        <v>50564</v>
      </c>
      <c r="J3416" s="56"/>
      <c r="K3416" s="50"/>
      <c r="L3416" s="56" t="s">
        <v>56716</v>
      </c>
    </row>
    <row r="3417" spans="1:12" s="37" customFormat="1" ht="11.25" x14ac:dyDescent="0.2">
      <c r="A3417" s="45" t="s">
        <v>31523</v>
      </c>
      <c r="B3417" s="45" t="s">
        <v>31525</v>
      </c>
      <c r="C3417" s="51" t="s">
        <v>31528</v>
      </c>
      <c r="D3417" s="51" t="s">
        <v>31527</v>
      </c>
      <c r="E3417" s="45" t="s">
        <v>17629</v>
      </c>
      <c r="F3417" s="45" t="s">
        <v>17759</v>
      </c>
      <c r="G3417" s="45" t="s">
        <v>50584</v>
      </c>
      <c r="H3417" s="56"/>
      <c r="I3417" s="56" t="s">
        <v>50564</v>
      </c>
      <c r="J3417" s="56"/>
      <c r="K3417" s="50"/>
      <c r="L3417" s="56" t="s">
        <v>56716</v>
      </c>
    </row>
    <row r="3418" spans="1:12" s="37" customFormat="1" ht="11.25" x14ac:dyDescent="0.2">
      <c r="A3418" s="46" t="s">
        <v>56382</v>
      </c>
      <c r="B3418" s="46" t="s">
        <v>56383</v>
      </c>
      <c r="C3418" s="58" t="str">
        <f>""</f>
        <v/>
      </c>
      <c r="D3418" s="58" t="str">
        <f>"21682372"</f>
        <v>21682372</v>
      </c>
      <c r="E3418" s="46" t="s">
        <v>4752</v>
      </c>
      <c r="F3418" s="46" t="s">
        <v>17759</v>
      </c>
      <c r="G3418" s="46" t="s">
        <v>50584</v>
      </c>
      <c r="H3418" s="48" t="s">
        <v>56716</v>
      </c>
      <c r="I3418" s="48" t="s">
        <v>50564</v>
      </c>
      <c r="J3418" s="48"/>
      <c r="K3418" s="50"/>
      <c r="L3418" s="48"/>
    </row>
    <row r="3419" spans="1:12" s="37" customFormat="1" ht="11.25" x14ac:dyDescent="0.2">
      <c r="A3419" s="45" t="s">
        <v>31531</v>
      </c>
      <c r="B3419" s="45" t="s">
        <v>31533</v>
      </c>
      <c r="C3419" s="51" t="s">
        <v>31535</v>
      </c>
      <c r="D3419" s="51"/>
      <c r="E3419" s="45" t="s">
        <v>17629</v>
      </c>
      <c r="F3419" s="45" t="s">
        <v>17759</v>
      </c>
      <c r="G3419" s="45" t="s">
        <v>50584</v>
      </c>
      <c r="H3419" s="56"/>
      <c r="I3419" s="56" t="s">
        <v>50564</v>
      </c>
      <c r="J3419" s="56"/>
      <c r="K3419" s="50"/>
      <c r="L3419" s="56" t="s">
        <v>56716</v>
      </c>
    </row>
    <row r="3420" spans="1:12" s="37" customFormat="1" ht="11.25" x14ac:dyDescent="0.2">
      <c r="A3420" s="46" t="s">
        <v>12369</v>
      </c>
      <c r="B3420" s="46" t="s">
        <v>52884</v>
      </c>
      <c r="C3420" s="58" t="str">
        <f>"19373333"</f>
        <v>19373333</v>
      </c>
      <c r="D3420" s="58" t="str">
        <f>"19411189"</f>
        <v>19411189</v>
      </c>
      <c r="E3420" s="46" t="s">
        <v>17629</v>
      </c>
      <c r="F3420" s="46" t="s">
        <v>17759</v>
      </c>
      <c r="G3420" s="46" t="s">
        <v>50584</v>
      </c>
      <c r="H3420" s="48" t="s">
        <v>56716</v>
      </c>
      <c r="I3420" s="48" t="s">
        <v>50564</v>
      </c>
      <c r="J3420" s="48"/>
      <c r="K3420" s="50"/>
      <c r="L3420" s="48" t="s">
        <v>56716</v>
      </c>
    </row>
    <row r="3421" spans="1:12" s="37" customFormat="1" ht="11.25" x14ac:dyDescent="0.2">
      <c r="A3421" s="45" t="s">
        <v>31543</v>
      </c>
      <c r="B3421" s="45" t="s">
        <v>31545</v>
      </c>
      <c r="C3421" s="51" t="s">
        <v>31547</v>
      </c>
      <c r="D3421" s="51" t="s">
        <v>31546</v>
      </c>
      <c r="E3421" s="45" t="s">
        <v>31548</v>
      </c>
      <c r="F3421" s="45" t="s">
        <v>17759</v>
      </c>
      <c r="G3421" s="45" t="s">
        <v>50584</v>
      </c>
      <c r="H3421" s="56"/>
      <c r="I3421" s="56" t="s">
        <v>50564</v>
      </c>
      <c r="J3421" s="56"/>
      <c r="K3421" s="50"/>
      <c r="L3421" s="56" t="s">
        <v>56716</v>
      </c>
    </row>
    <row r="3422" spans="1:12" s="37" customFormat="1" ht="11.25" x14ac:dyDescent="0.2">
      <c r="A3422" s="46" t="s">
        <v>1874</v>
      </c>
      <c r="B3422" s="46" t="s">
        <v>52885</v>
      </c>
      <c r="C3422" s="58" t="str">
        <f>"00189294"</f>
        <v>00189294</v>
      </c>
      <c r="D3422" s="58" t="str">
        <f>"15582531"</f>
        <v>15582531</v>
      </c>
      <c r="E3422" s="46" t="s">
        <v>1877</v>
      </c>
      <c r="F3422" s="46" t="s">
        <v>17759</v>
      </c>
      <c r="G3422" s="46" t="s">
        <v>50584</v>
      </c>
      <c r="H3422" s="48" t="s">
        <v>56716</v>
      </c>
      <c r="I3422" s="48" t="s">
        <v>50564</v>
      </c>
      <c r="J3422" s="48"/>
      <c r="K3422" s="50" t="s">
        <v>56716</v>
      </c>
      <c r="L3422" s="48" t="s">
        <v>56716</v>
      </c>
    </row>
    <row r="3423" spans="1:12" s="37" customFormat="1" ht="11.25" x14ac:dyDescent="0.2">
      <c r="A3423" s="45" t="s">
        <v>31556</v>
      </c>
      <c r="B3423" s="45" t="s">
        <v>31558</v>
      </c>
      <c r="C3423" s="51" t="s">
        <v>31561</v>
      </c>
      <c r="D3423" s="51" t="s">
        <v>31560</v>
      </c>
      <c r="E3423" s="45" t="s">
        <v>17629</v>
      </c>
      <c r="F3423" s="45" t="s">
        <v>17759</v>
      </c>
      <c r="G3423" s="45" t="s">
        <v>50584</v>
      </c>
      <c r="H3423" s="56"/>
      <c r="I3423" s="56" t="s">
        <v>50564</v>
      </c>
      <c r="J3423" s="56"/>
      <c r="K3423" s="50"/>
      <c r="L3423" s="56" t="s">
        <v>56716</v>
      </c>
    </row>
    <row r="3424" spans="1:12" s="37" customFormat="1" ht="11.25" x14ac:dyDescent="0.2">
      <c r="A3424" s="45" t="s">
        <v>31563</v>
      </c>
      <c r="B3424" s="45" t="s">
        <v>31565</v>
      </c>
      <c r="C3424" s="51" t="s">
        <v>31567</v>
      </c>
      <c r="D3424" s="51" t="s">
        <v>31566</v>
      </c>
      <c r="E3424" s="45" t="s">
        <v>1877</v>
      </c>
      <c r="F3424" s="45" t="s">
        <v>17759</v>
      </c>
      <c r="G3424" s="45" t="s">
        <v>50584</v>
      </c>
      <c r="H3424" s="56"/>
      <c r="I3424" s="56" t="s">
        <v>50564</v>
      </c>
      <c r="J3424" s="56"/>
      <c r="K3424" s="50"/>
      <c r="L3424" s="56" t="s">
        <v>56716</v>
      </c>
    </row>
    <row r="3425" spans="1:12" s="37" customFormat="1" ht="11.25" x14ac:dyDescent="0.2">
      <c r="A3425" s="45" t="s">
        <v>31571</v>
      </c>
      <c r="B3425" s="45" t="s">
        <v>31573</v>
      </c>
      <c r="C3425" s="51" t="s">
        <v>31575</v>
      </c>
      <c r="D3425" s="51" t="s">
        <v>31574</v>
      </c>
      <c r="E3425" s="45" t="s">
        <v>17629</v>
      </c>
      <c r="F3425" s="45" t="s">
        <v>17759</v>
      </c>
      <c r="G3425" s="45" t="s">
        <v>50584</v>
      </c>
      <c r="H3425" s="56"/>
      <c r="I3425" s="56" t="s">
        <v>50564</v>
      </c>
      <c r="J3425" s="56"/>
      <c r="K3425" s="50"/>
      <c r="L3425" s="56" t="s">
        <v>56716</v>
      </c>
    </row>
    <row r="3426" spans="1:12" s="37" customFormat="1" ht="11.25" x14ac:dyDescent="0.2">
      <c r="A3426" s="46" t="s">
        <v>4750</v>
      </c>
      <c r="B3426" s="46" t="s">
        <v>52886</v>
      </c>
      <c r="C3426" s="58" t="str">
        <f>"02780062"</f>
        <v>02780062</v>
      </c>
      <c r="D3426" s="58" t="str">
        <f>"1558254X"</f>
        <v>1558254X</v>
      </c>
      <c r="E3426" s="46" t="s">
        <v>4752</v>
      </c>
      <c r="F3426" s="46" t="s">
        <v>17759</v>
      </c>
      <c r="G3426" s="46" t="s">
        <v>50584</v>
      </c>
      <c r="H3426" s="48" t="s">
        <v>56716</v>
      </c>
      <c r="I3426" s="48" t="s">
        <v>50564</v>
      </c>
      <c r="J3426" s="48"/>
      <c r="K3426" s="50"/>
      <c r="L3426" s="48" t="s">
        <v>56716</v>
      </c>
    </row>
    <row r="3427" spans="1:12" s="37" customFormat="1" ht="11.25" x14ac:dyDescent="0.2">
      <c r="A3427" s="45" t="s">
        <v>31582</v>
      </c>
      <c r="B3427" s="45" t="s">
        <v>31584</v>
      </c>
      <c r="C3427" s="51" t="s">
        <v>31586</v>
      </c>
      <c r="D3427" s="51" t="s">
        <v>31585</v>
      </c>
      <c r="E3427" s="45" t="s">
        <v>17629</v>
      </c>
      <c r="F3427" s="45" t="s">
        <v>17759</v>
      </c>
      <c r="G3427" s="45" t="s">
        <v>50584</v>
      </c>
      <c r="H3427" s="56"/>
      <c r="I3427" s="56" t="s">
        <v>50564</v>
      </c>
      <c r="J3427" s="56"/>
      <c r="K3427" s="50"/>
      <c r="L3427" s="56" t="s">
        <v>56716</v>
      </c>
    </row>
    <row r="3428" spans="1:12" s="37" customFormat="1" ht="11.25" x14ac:dyDescent="0.2">
      <c r="A3428" s="45" t="s">
        <v>31588</v>
      </c>
      <c r="B3428" s="45" t="s">
        <v>31590</v>
      </c>
      <c r="C3428" s="51" t="s">
        <v>31593</v>
      </c>
      <c r="D3428" s="51" t="s">
        <v>31592</v>
      </c>
      <c r="E3428" s="45" t="s">
        <v>31594</v>
      </c>
      <c r="F3428" s="45" t="s">
        <v>17759</v>
      </c>
      <c r="G3428" s="45" t="s">
        <v>50584</v>
      </c>
      <c r="H3428" s="56"/>
      <c r="I3428" s="56" t="s">
        <v>50564</v>
      </c>
      <c r="J3428" s="56"/>
      <c r="K3428" s="50"/>
      <c r="L3428" s="56" t="s">
        <v>56716</v>
      </c>
    </row>
    <row r="3429" spans="1:12" s="37" customFormat="1" ht="11.25" x14ac:dyDescent="0.2">
      <c r="A3429" s="45" t="s">
        <v>31596</v>
      </c>
      <c r="B3429" s="45" t="s">
        <v>31598</v>
      </c>
      <c r="C3429" s="51" t="s">
        <v>31601</v>
      </c>
      <c r="D3429" s="51" t="s">
        <v>31600</v>
      </c>
      <c r="E3429" s="45" t="s">
        <v>31548</v>
      </c>
      <c r="F3429" s="45" t="s">
        <v>17759</v>
      </c>
      <c r="G3429" s="45" t="s">
        <v>50584</v>
      </c>
      <c r="H3429" s="56"/>
      <c r="I3429" s="56" t="s">
        <v>50564</v>
      </c>
      <c r="J3429" s="56"/>
      <c r="K3429" s="50"/>
      <c r="L3429" s="56" t="s">
        <v>56716</v>
      </c>
    </row>
    <row r="3430" spans="1:12" s="37" customFormat="1" ht="11.25" x14ac:dyDescent="0.2">
      <c r="A3430" s="45" t="s">
        <v>31604</v>
      </c>
      <c r="B3430" s="45" t="s">
        <v>31606</v>
      </c>
      <c r="C3430" s="51" t="s">
        <v>31608</v>
      </c>
      <c r="D3430" s="51" t="s">
        <v>31607</v>
      </c>
      <c r="E3430" s="45" t="s">
        <v>31610</v>
      </c>
      <c r="F3430" s="45" t="s">
        <v>17759</v>
      </c>
      <c r="G3430" s="45" t="s">
        <v>50584</v>
      </c>
      <c r="H3430" s="56"/>
      <c r="I3430" s="56" t="s">
        <v>50564</v>
      </c>
      <c r="J3430" s="56"/>
      <c r="K3430" s="50"/>
      <c r="L3430" s="56" t="s">
        <v>56716</v>
      </c>
    </row>
    <row r="3431" spans="1:12" s="37" customFormat="1" ht="11.25" x14ac:dyDescent="0.2">
      <c r="A3431" s="45" t="s">
        <v>31612</v>
      </c>
      <c r="B3431" s="45" t="s">
        <v>31614</v>
      </c>
      <c r="C3431" s="51" t="s">
        <v>31617</v>
      </c>
      <c r="D3431" s="51" t="s">
        <v>31616</v>
      </c>
      <c r="E3431" s="45" t="s">
        <v>17629</v>
      </c>
      <c r="F3431" s="45" t="s">
        <v>17759</v>
      </c>
      <c r="G3431" s="45" t="s">
        <v>50584</v>
      </c>
      <c r="H3431" s="56"/>
      <c r="I3431" s="56" t="s">
        <v>50564</v>
      </c>
      <c r="J3431" s="56"/>
      <c r="K3431" s="50"/>
      <c r="L3431" s="56" t="s">
        <v>56716</v>
      </c>
    </row>
    <row r="3432" spans="1:12" s="37" customFormat="1" ht="11.25" x14ac:dyDescent="0.2">
      <c r="A3432" s="45" t="s">
        <v>31620</v>
      </c>
      <c r="B3432" s="45" t="s">
        <v>31622</v>
      </c>
      <c r="C3432" s="51" t="s">
        <v>31624</v>
      </c>
      <c r="D3432" s="51" t="s">
        <v>31623</v>
      </c>
      <c r="E3432" s="45" t="s">
        <v>1877</v>
      </c>
      <c r="F3432" s="45" t="s">
        <v>17759</v>
      </c>
      <c r="G3432" s="45" t="s">
        <v>50584</v>
      </c>
      <c r="H3432" s="56"/>
      <c r="I3432" s="56" t="s">
        <v>50564</v>
      </c>
      <c r="J3432" s="56"/>
      <c r="K3432" s="50"/>
      <c r="L3432" s="56" t="s">
        <v>56716</v>
      </c>
    </row>
    <row r="3433" spans="1:12" s="37" customFormat="1" ht="11.25" x14ac:dyDescent="0.2">
      <c r="A3433" s="45" t="s">
        <v>31626</v>
      </c>
      <c r="B3433" s="45" t="s">
        <v>31628</v>
      </c>
      <c r="C3433" s="51" t="s">
        <v>31630</v>
      </c>
      <c r="D3433" s="51" t="s">
        <v>31629</v>
      </c>
      <c r="E3433" s="45" t="s">
        <v>1877</v>
      </c>
      <c r="F3433" s="45" t="s">
        <v>17759</v>
      </c>
      <c r="G3433" s="45" t="s">
        <v>50584</v>
      </c>
      <c r="H3433" s="56"/>
      <c r="I3433" s="56" t="s">
        <v>50564</v>
      </c>
      <c r="J3433" s="56"/>
      <c r="K3433" s="50"/>
      <c r="L3433" s="56" t="s">
        <v>56716</v>
      </c>
    </row>
    <row r="3434" spans="1:12" s="37" customFormat="1" ht="11.25" x14ac:dyDescent="0.2">
      <c r="A3434" s="45" t="s">
        <v>31632</v>
      </c>
      <c r="B3434" s="45" t="s">
        <v>31634</v>
      </c>
      <c r="C3434" s="51" t="s">
        <v>31637</v>
      </c>
      <c r="D3434" s="51" t="s">
        <v>31636</v>
      </c>
      <c r="E3434" s="45" t="s">
        <v>11695</v>
      </c>
      <c r="F3434" s="45" t="s">
        <v>50646</v>
      </c>
      <c r="G3434" s="45" t="s">
        <v>50584</v>
      </c>
      <c r="H3434" s="56"/>
      <c r="I3434" s="56" t="s">
        <v>50564</v>
      </c>
      <c r="J3434" s="56"/>
      <c r="K3434" s="50"/>
      <c r="L3434" s="56" t="s">
        <v>56716</v>
      </c>
    </row>
    <row r="3435" spans="1:12" s="37" customFormat="1" ht="11.25" x14ac:dyDescent="0.2">
      <c r="A3435" s="45" t="s">
        <v>31639</v>
      </c>
      <c r="B3435" s="45" t="s">
        <v>31641</v>
      </c>
      <c r="C3435" s="51" t="s">
        <v>31643</v>
      </c>
      <c r="D3435" s="51"/>
      <c r="E3435" s="45" t="s">
        <v>11695</v>
      </c>
      <c r="F3435" s="45" t="s">
        <v>50646</v>
      </c>
      <c r="G3435" s="45" t="s">
        <v>50584</v>
      </c>
      <c r="H3435" s="56"/>
      <c r="I3435" s="56" t="s">
        <v>50564</v>
      </c>
      <c r="J3435" s="56"/>
      <c r="K3435" s="50"/>
      <c r="L3435" s="56" t="s">
        <v>56716</v>
      </c>
    </row>
    <row r="3436" spans="1:12" s="37" customFormat="1" ht="11.25" x14ac:dyDescent="0.2">
      <c r="A3436" s="45" t="s">
        <v>31645</v>
      </c>
      <c r="B3436" s="45" t="s">
        <v>31647</v>
      </c>
      <c r="C3436" s="51" t="s">
        <v>31650</v>
      </c>
      <c r="D3436" s="51" t="s">
        <v>31649</v>
      </c>
      <c r="E3436" s="45" t="s">
        <v>31651</v>
      </c>
      <c r="F3436" s="45" t="s">
        <v>18242</v>
      </c>
      <c r="G3436" s="45" t="s">
        <v>50605</v>
      </c>
      <c r="H3436" s="56"/>
      <c r="I3436" s="56" t="s">
        <v>50564</v>
      </c>
      <c r="J3436" s="56"/>
      <c r="K3436" s="50"/>
      <c r="L3436" s="56" t="s">
        <v>56716</v>
      </c>
    </row>
    <row r="3437" spans="1:12" s="37" customFormat="1" ht="11.25" x14ac:dyDescent="0.2">
      <c r="A3437" s="45" t="s">
        <v>31653</v>
      </c>
      <c r="B3437" s="45" t="s">
        <v>31655</v>
      </c>
      <c r="C3437" s="51" t="s">
        <v>31656</v>
      </c>
      <c r="D3437" s="51"/>
      <c r="E3437" s="45" t="s">
        <v>31657</v>
      </c>
      <c r="F3437" s="45" t="s">
        <v>17991</v>
      </c>
      <c r="G3437" s="45" t="s">
        <v>50602</v>
      </c>
      <c r="H3437" s="56"/>
      <c r="I3437" s="56" t="s">
        <v>50564</v>
      </c>
      <c r="J3437" s="56"/>
      <c r="K3437" s="50"/>
      <c r="L3437" s="56" t="s">
        <v>56716</v>
      </c>
    </row>
    <row r="3438" spans="1:12" s="37" customFormat="1" ht="11.25" x14ac:dyDescent="0.2">
      <c r="A3438" s="46" t="s">
        <v>16683</v>
      </c>
      <c r="B3438" s="46" t="s">
        <v>52887</v>
      </c>
      <c r="C3438" s="58" t="str">
        <f>"19488300"</f>
        <v>19488300</v>
      </c>
      <c r="D3438" s="58" t="str">
        <f>"19488319"</f>
        <v>19488319</v>
      </c>
      <c r="E3438" s="46" t="s">
        <v>669</v>
      </c>
      <c r="F3438" s="46" t="s">
        <v>17759</v>
      </c>
      <c r="G3438" s="46" t="s">
        <v>50584</v>
      </c>
      <c r="H3438" s="48" t="s">
        <v>56716</v>
      </c>
      <c r="I3438" s="48" t="s">
        <v>50564</v>
      </c>
      <c r="J3438" s="48" t="s">
        <v>56716</v>
      </c>
      <c r="K3438" s="50"/>
      <c r="L3438" s="48"/>
    </row>
    <row r="3439" spans="1:12" s="37" customFormat="1" ht="11.25" x14ac:dyDescent="0.2">
      <c r="A3439" s="46" t="s">
        <v>15111</v>
      </c>
      <c r="B3439" s="46" t="s">
        <v>52888</v>
      </c>
      <c r="C3439" s="58" t="str">
        <f>"09763104"</f>
        <v>09763104</v>
      </c>
      <c r="D3439" s="58" t="str">
        <f>""</f>
        <v/>
      </c>
      <c r="E3439" s="46" t="s">
        <v>15113</v>
      </c>
      <c r="F3439" s="46" t="s">
        <v>20446</v>
      </c>
      <c r="G3439" s="46" t="s">
        <v>50584</v>
      </c>
      <c r="H3439" s="48" t="s">
        <v>56716</v>
      </c>
      <c r="I3439" s="48" t="s">
        <v>50564</v>
      </c>
      <c r="J3439" s="48"/>
      <c r="K3439" s="50"/>
      <c r="L3439" s="48"/>
    </row>
    <row r="3440" spans="1:12" s="37" customFormat="1" ht="11.25" x14ac:dyDescent="0.2">
      <c r="A3440" s="46" t="s">
        <v>17376</v>
      </c>
      <c r="B3440" s="46" t="s">
        <v>56131</v>
      </c>
      <c r="C3440" s="58" t="str">
        <f>"22147632"</f>
        <v>22147632</v>
      </c>
      <c r="D3440" s="58" t="str">
        <f>""</f>
        <v/>
      </c>
      <c r="E3440" s="46" t="s">
        <v>221</v>
      </c>
      <c r="F3440" s="46" t="s">
        <v>21771</v>
      </c>
      <c r="G3440" s="46" t="s">
        <v>50584</v>
      </c>
      <c r="H3440" s="48" t="s">
        <v>56716</v>
      </c>
      <c r="I3440" s="48" t="s">
        <v>50564</v>
      </c>
      <c r="J3440" s="48" t="s">
        <v>56716</v>
      </c>
      <c r="K3440" s="50"/>
      <c r="L3440" s="48"/>
    </row>
    <row r="3441" spans="1:12" s="37" customFormat="1" ht="11.25" x14ac:dyDescent="0.2">
      <c r="A3441" s="46" t="s">
        <v>17378</v>
      </c>
      <c r="B3441" s="46" t="s">
        <v>56132</v>
      </c>
      <c r="C3441" s="58" t="str">
        <f>"22147624"</f>
        <v>22147624</v>
      </c>
      <c r="D3441" s="58" t="str">
        <f>""</f>
        <v/>
      </c>
      <c r="E3441" s="46" t="s">
        <v>221</v>
      </c>
      <c r="F3441" s="46" t="s">
        <v>21771</v>
      </c>
      <c r="G3441" s="46" t="s">
        <v>50584</v>
      </c>
      <c r="H3441" s="48" t="s">
        <v>56716</v>
      </c>
      <c r="I3441" s="48" t="s">
        <v>50564</v>
      </c>
      <c r="J3441" s="48" t="s">
        <v>56716</v>
      </c>
      <c r="K3441" s="50"/>
      <c r="L3441" s="48"/>
    </row>
    <row r="3442" spans="1:12" s="37" customFormat="1" ht="11.25" x14ac:dyDescent="0.2">
      <c r="A3442" s="46" t="s">
        <v>9213</v>
      </c>
      <c r="B3442" s="46" t="s">
        <v>52889</v>
      </c>
      <c r="C3442" s="58" t="str">
        <f>"15907120"</f>
        <v>15907120</v>
      </c>
      <c r="D3442" s="58" t="str">
        <f>""</f>
        <v/>
      </c>
      <c r="E3442" s="46" t="s">
        <v>9215</v>
      </c>
      <c r="F3442" s="46" t="s">
        <v>17991</v>
      </c>
      <c r="G3442" s="46" t="s">
        <v>50584</v>
      </c>
      <c r="H3442" s="48" t="s">
        <v>56716</v>
      </c>
      <c r="I3442" s="48" t="s">
        <v>50564</v>
      </c>
      <c r="J3442" s="48"/>
      <c r="K3442" s="50"/>
      <c r="L3442" s="48"/>
    </row>
    <row r="3443" spans="1:12" s="37" customFormat="1" ht="11.25" x14ac:dyDescent="0.2">
      <c r="A3443" s="45" t="s">
        <v>30179</v>
      </c>
      <c r="B3443" s="45" t="s">
        <v>30181</v>
      </c>
      <c r="C3443" s="51" t="s">
        <v>30183</v>
      </c>
      <c r="D3443" s="51" t="s">
        <v>30182</v>
      </c>
      <c r="E3443" s="45" t="s">
        <v>29766</v>
      </c>
      <c r="F3443" s="45" t="s">
        <v>17991</v>
      </c>
      <c r="G3443" s="45" t="s">
        <v>50602</v>
      </c>
      <c r="H3443" s="56"/>
      <c r="I3443" s="56" t="s">
        <v>50564</v>
      </c>
      <c r="J3443" s="56"/>
      <c r="K3443" s="50"/>
      <c r="L3443" s="56" t="s">
        <v>56716</v>
      </c>
    </row>
    <row r="3444" spans="1:12" s="37" customFormat="1" ht="11.25" x14ac:dyDescent="0.2">
      <c r="A3444" s="45" t="s">
        <v>31659</v>
      </c>
      <c r="B3444" s="45" t="s">
        <v>31661</v>
      </c>
      <c r="C3444" s="51" t="s">
        <v>31664</v>
      </c>
      <c r="D3444" s="51" t="s">
        <v>31663</v>
      </c>
      <c r="E3444" s="45" t="s">
        <v>31665</v>
      </c>
      <c r="F3444" s="45" t="s">
        <v>50646</v>
      </c>
      <c r="G3444" s="45" t="s">
        <v>50584</v>
      </c>
      <c r="H3444" s="56"/>
      <c r="I3444" s="56" t="s">
        <v>50564</v>
      </c>
      <c r="J3444" s="56"/>
      <c r="K3444" s="50"/>
      <c r="L3444" s="56" t="s">
        <v>56716</v>
      </c>
    </row>
    <row r="3445" spans="1:12" s="37" customFormat="1" ht="11.25" x14ac:dyDescent="0.2">
      <c r="A3445" s="46" t="s">
        <v>14717</v>
      </c>
      <c r="B3445" s="46" t="s">
        <v>52890</v>
      </c>
      <c r="C3445" s="58" t="str">
        <f>"21713669"</f>
        <v>21713669</v>
      </c>
      <c r="D3445" s="58" t="str">
        <f>"21719705"</f>
        <v>21719705</v>
      </c>
      <c r="E3445" s="46" t="s">
        <v>1683</v>
      </c>
      <c r="F3445" s="46" t="s">
        <v>18439</v>
      </c>
      <c r="G3445" s="46" t="s">
        <v>50632</v>
      </c>
      <c r="H3445" s="48" t="s">
        <v>56716</v>
      </c>
      <c r="I3445" s="48" t="s">
        <v>50564</v>
      </c>
      <c r="J3445" s="48"/>
      <c r="K3445" s="50" t="s">
        <v>56716</v>
      </c>
      <c r="L3445" s="48"/>
    </row>
    <row r="3446" spans="1:12" s="37" customFormat="1" ht="11.25" x14ac:dyDescent="0.2">
      <c r="A3446" s="46" t="s">
        <v>5875</v>
      </c>
      <c r="B3446" s="46" t="s">
        <v>5875</v>
      </c>
      <c r="C3446" s="58" t="str">
        <f>"09656812"</f>
        <v>09656812</v>
      </c>
      <c r="D3446" s="58" t="str">
        <f>"17488818"</f>
        <v>17488818</v>
      </c>
      <c r="E3446" s="46" t="s">
        <v>844</v>
      </c>
      <c r="F3446" s="46" t="s">
        <v>50646</v>
      </c>
      <c r="G3446" s="46" t="s">
        <v>50584</v>
      </c>
      <c r="H3446" s="48" t="s">
        <v>56716</v>
      </c>
      <c r="I3446" s="48" t="s">
        <v>50564</v>
      </c>
      <c r="J3446" s="48" t="s">
        <v>56716</v>
      </c>
      <c r="K3446" s="50"/>
      <c r="L3446" s="48"/>
    </row>
    <row r="3447" spans="1:12" s="37" customFormat="1" ht="11.25" x14ac:dyDescent="0.2">
      <c r="A3447" s="46" t="s">
        <v>14396</v>
      </c>
      <c r="B3447" s="46" t="s">
        <v>52891</v>
      </c>
      <c r="C3447" s="58" t="str">
        <f>"17555191"</f>
        <v>17555191</v>
      </c>
      <c r="D3447" s="58" t="str">
        <f>"17555205"</f>
        <v>17555205</v>
      </c>
      <c r="E3447" s="46" t="s">
        <v>8442</v>
      </c>
      <c r="F3447" s="46" t="s">
        <v>50646</v>
      </c>
      <c r="G3447" s="46" t="s">
        <v>50584</v>
      </c>
      <c r="H3447" s="48" t="s">
        <v>56716</v>
      </c>
      <c r="I3447" s="48" t="s">
        <v>50564</v>
      </c>
      <c r="J3447" s="48" t="s">
        <v>56716</v>
      </c>
      <c r="K3447" s="50"/>
      <c r="L3447" s="48"/>
    </row>
    <row r="3448" spans="1:12" s="37" customFormat="1" ht="11.25" x14ac:dyDescent="0.2">
      <c r="A3448" s="46" t="s">
        <v>6373</v>
      </c>
      <c r="B3448" s="46" t="s">
        <v>6373</v>
      </c>
      <c r="C3448" s="58" t="str">
        <f>"10747613"</f>
        <v>10747613</v>
      </c>
      <c r="D3448" s="58" t="str">
        <f>"10974180"</f>
        <v>10974180</v>
      </c>
      <c r="E3448" s="46" t="s">
        <v>324</v>
      </c>
      <c r="F3448" s="46" t="s">
        <v>17759</v>
      </c>
      <c r="G3448" s="46" t="s">
        <v>50584</v>
      </c>
      <c r="H3448" s="48" t="s">
        <v>56716</v>
      </c>
      <c r="I3448" s="48" t="s">
        <v>50564</v>
      </c>
      <c r="J3448" s="48" t="s">
        <v>56716</v>
      </c>
      <c r="K3448" s="50" t="s">
        <v>56716</v>
      </c>
      <c r="L3448" s="48" t="s">
        <v>56716</v>
      </c>
    </row>
    <row r="3449" spans="1:12" s="37" customFormat="1" ht="11.25" x14ac:dyDescent="0.2">
      <c r="A3449" s="46" t="s">
        <v>11036</v>
      </c>
      <c r="B3449" s="46" t="s">
        <v>52892</v>
      </c>
      <c r="C3449" s="58" t="str">
        <f>""</f>
        <v/>
      </c>
      <c r="D3449" s="58" t="str">
        <f>"17424933"</f>
        <v>17424933</v>
      </c>
      <c r="E3449" s="46" t="s">
        <v>2299</v>
      </c>
      <c r="F3449" s="46" t="s">
        <v>50646</v>
      </c>
      <c r="G3449" s="46" t="s">
        <v>50584</v>
      </c>
      <c r="H3449" s="48" t="s">
        <v>56716</v>
      </c>
      <c r="I3449" s="48" t="s">
        <v>50564</v>
      </c>
      <c r="J3449" s="48" t="s">
        <v>56716</v>
      </c>
      <c r="K3449" s="50" t="s">
        <v>56716</v>
      </c>
      <c r="L3449" s="48"/>
    </row>
    <row r="3450" spans="1:12" s="37" customFormat="1" ht="11.25" x14ac:dyDescent="0.2">
      <c r="A3450" s="46" t="s">
        <v>4907</v>
      </c>
      <c r="B3450" s="46" t="s">
        <v>52893</v>
      </c>
      <c r="C3450" s="58" t="str">
        <f>"09232532"</f>
        <v>09232532</v>
      </c>
      <c r="D3450" s="58" t="str">
        <f>"18781365"</f>
        <v>18781365</v>
      </c>
      <c r="E3450" s="46" t="s">
        <v>85</v>
      </c>
      <c r="F3450" s="46" t="s">
        <v>20359</v>
      </c>
      <c r="G3450" s="46" t="s">
        <v>50591</v>
      </c>
      <c r="H3450" s="48" t="s">
        <v>56716</v>
      </c>
      <c r="I3450" s="48" t="s">
        <v>50564</v>
      </c>
      <c r="J3450" s="48" t="s">
        <v>56716</v>
      </c>
      <c r="K3450" s="50"/>
      <c r="L3450" s="48"/>
    </row>
    <row r="3451" spans="1:12" s="37" customFormat="1" ht="11.25" x14ac:dyDescent="0.2">
      <c r="A3451" s="46" t="s">
        <v>4135</v>
      </c>
      <c r="B3451" s="46" t="s">
        <v>4135</v>
      </c>
      <c r="C3451" s="58" t="str">
        <f>"01712985"</f>
        <v>01712985</v>
      </c>
      <c r="D3451" s="58" t="str">
        <f>"18783279"</f>
        <v>18783279</v>
      </c>
      <c r="E3451" s="46" t="s">
        <v>1479</v>
      </c>
      <c r="F3451" s="46" t="s">
        <v>18158</v>
      </c>
      <c r="G3451" s="46" t="s">
        <v>50584</v>
      </c>
      <c r="H3451" s="48" t="s">
        <v>56716</v>
      </c>
      <c r="I3451" s="48" t="s">
        <v>50564</v>
      </c>
      <c r="J3451" s="48" t="s">
        <v>56716</v>
      </c>
      <c r="K3451" s="50" t="s">
        <v>56716</v>
      </c>
      <c r="L3451" s="48" t="s">
        <v>56716</v>
      </c>
    </row>
    <row r="3452" spans="1:12" s="37" customFormat="1" ht="11.25" x14ac:dyDescent="0.2">
      <c r="A3452" s="46" t="s">
        <v>2025</v>
      </c>
      <c r="B3452" s="46" t="s">
        <v>2025</v>
      </c>
      <c r="C3452" s="58" t="str">
        <f>"00937711"</f>
        <v>00937711</v>
      </c>
      <c r="D3452" s="58" t="str">
        <f>"14321211"</f>
        <v>14321211</v>
      </c>
      <c r="E3452" s="46" t="s">
        <v>167</v>
      </c>
      <c r="F3452" s="46" t="s">
        <v>18158</v>
      </c>
      <c r="G3452" s="46" t="s">
        <v>50584</v>
      </c>
      <c r="H3452" s="48" t="s">
        <v>56716</v>
      </c>
      <c r="I3452" s="48" t="s">
        <v>50564</v>
      </c>
      <c r="J3452" s="48" t="s">
        <v>56716</v>
      </c>
      <c r="K3452" s="50" t="s">
        <v>56716</v>
      </c>
      <c r="L3452" s="48" t="s">
        <v>56716</v>
      </c>
    </row>
    <row r="3453" spans="1:12" s="37" customFormat="1" ht="11.25" x14ac:dyDescent="0.2">
      <c r="A3453" s="46" t="s">
        <v>5222</v>
      </c>
      <c r="B3453" s="46" t="s">
        <v>5222</v>
      </c>
      <c r="C3453" s="58" t="str">
        <f>"0894203X"</f>
        <v>0894203X</v>
      </c>
      <c r="D3453" s="58" t="str">
        <f>""</f>
        <v/>
      </c>
      <c r="E3453" s="46" t="s">
        <v>5224</v>
      </c>
      <c r="F3453" s="46" t="s">
        <v>17759</v>
      </c>
      <c r="G3453" s="46" t="s">
        <v>50584</v>
      </c>
      <c r="H3453" s="48" t="s">
        <v>56716</v>
      </c>
      <c r="I3453" s="48" t="s">
        <v>50564</v>
      </c>
      <c r="J3453" s="48" t="s">
        <v>56716</v>
      </c>
      <c r="K3453" s="50"/>
      <c r="L3453" s="48" t="s">
        <v>56716</v>
      </c>
    </row>
    <row r="3454" spans="1:12" s="37" customFormat="1" ht="11.25" x14ac:dyDescent="0.2">
      <c r="A3454" s="46" t="s">
        <v>2031</v>
      </c>
      <c r="B3454" s="46" t="s">
        <v>52894</v>
      </c>
      <c r="C3454" s="58" t="str">
        <f>"0257277X"</f>
        <v>0257277X</v>
      </c>
      <c r="D3454" s="58" t="str">
        <f>"15590755"</f>
        <v>15590755</v>
      </c>
      <c r="E3454" s="46" t="s">
        <v>40314</v>
      </c>
      <c r="F3454" s="46" t="s">
        <v>17759</v>
      </c>
      <c r="G3454" s="46" t="s">
        <v>50584</v>
      </c>
      <c r="H3454" s="48" t="s">
        <v>56716</v>
      </c>
      <c r="I3454" s="48" t="s">
        <v>50564</v>
      </c>
      <c r="J3454" s="48" t="s">
        <v>56716</v>
      </c>
      <c r="K3454" s="50" t="s">
        <v>56716</v>
      </c>
      <c r="L3454" s="48" t="s">
        <v>56716</v>
      </c>
    </row>
    <row r="3455" spans="1:12" s="37" customFormat="1" ht="11.25" x14ac:dyDescent="0.2">
      <c r="A3455" s="46" t="s">
        <v>2016</v>
      </c>
      <c r="B3455" s="46" t="s">
        <v>52895</v>
      </c>
      <c r="C3455" s="58" t="str">
        <f>"08820139"</f>
        <v>08820139</v>
      </c>
      <c r="D3455" s="58" t="str">
        <f>"15324311"</f>
        <v>15324311</v>
      </c>
      <c r="E3455" s="46" t="s">
        <v>291</v>
      </c>
      <c r="F3455" s="46" t="s">
        <v>17759</v>
      </c>
      <c r="G3455" s="46" t="s">
        <v>50584</v>
      </c>
      <c r="H3455" s="48" t="s">
        <v>56716</v>
      </c>
      <c r="I3455" s="48" t="s">
        <v>50564</v>
      </c>
      <c r="J3455" s="48" t="s">
        <v>56716</v>
      </c>
      <c r="K3455" s="50"/>
      <c r="L3455" s="48" t="s">
        <v>56716</v>
      </c>
    </row>
    <row r="3456" spans="1:12" s="37" customFormat="1" ht="11.25" x14ac:dyDescent="0.2">
      <c r="A3456" s="46" t="s">
        <v>2028</v>
      </c>
      <c r="B3456" s="46" t="s">
        <v>52896</v>
      </c>
      <c r="C3456" s="58" t="str">
        <f>"01052896"</f>
        <v>01052896</v>
      </c>
      <c r="D3456" s="58" t="str">
        <f>"1600065X"</f>
        <v>1600065X</v>
      </c>
      <c r="E3456" s="46" t="s">
        <v>35</v>
      </c>
      <c r="F3456" s="46" t="s">
        <v>50646</v>
      </c>
      <c r="G3456" s="46" t="s">
        <v>50584</v>
      </c>
      <c r="H3456" s="48" t="s">
        <v>56716</v>
      </c>
      <c r="I3456" s="48" t="s">
        <v>50564</v>
      </c>
      <c r="J3456" s="48" t="s">
        <v>56716</v>
      </c>
      <c r="K3456" s="50"/>
      <c r="L3456" s="48" t="s">
        <v>56716</v>
      </c>
    </row>
    <row r="3457" spans="1:12" s="37" customFormat="1" ht="11.25" x14ac:dyDescent="0.2">
      <c r="A3457" s="46" t="s">
        <v>2022</v>
      </c>
      <c r="B3457" s="46" t="s">
        <v>2022</v>
      </c>
      <c r="C3457" s="58" t="str">
        <f>"00192805"</f>
        <v>00192805</v>
      </c>
      <c r="D3457" s="58" t="str">
        <f>"13652567"</f>
        <v>13652567</v>
      </c>
      <c r="E3457" s="46" t="s">
        <v>35</v>
      </c>
      <c r="F3457" s="46" t="s">
        <v>50646</v>
      </c>
      <c r="G3457" s="46" t="s">
        <v>50584</v>
      </c>
      <c r="H3457" s="48" t="s">
        <v>56716</v>
      </c>
      <c r="I3457" s="48" t="s">
        <v>50564</v>
      </c>
      <c r="J3457" s="48" t="s">
        <v>56716</v>
      </c>
      <c r="K3457" s="50" t="s">
        <v>56716</v>
      </c>
      <c r="L3457" s="48" t="s">
        <v>56716</v>
      </c>
    </row>
    <row r="3458" spans="1:12" s="37" customFormat="1" ht="11.25" x14ac:dyDescent="0.2">
      <c r="A3458" s="46" t="s">
        <v>4536</v>
      </c>
      <c r="B3458" s="46" t="s">
        <v>52897</v>
      </c>
      <c r="C3458" s="58" t="str">
        <f>"08898561"</f>
        <v>08898561</v>
      </c>
      <c r="D3458" s="58" t="str">
        <f>"15578607"</f>
        <v>15578607</v>
      </c>
      <c r="E3458" s="46" t="s">
        <v>303</v>
      </c>
      <c r="F3458" s="46" t="s">
        <v>17759</v>
      </c>
      <c r="G3458" s="46" t="s">
        <v>50584</v>
      </c>
      <c r="H3458" s="48" t="s">
        <v>56716</v>
      </c>
      <c r="I3458" s="48" t="s">
        <v>50564</v>
      </c>
      <c r="J3458" s="48" t="s">
        <v>56716</v>
      </c>
      <c r="K3458" s="50" t="s">
        <v>56716</v>
      </c>
      <c r="L3458" s="48" t="s">
        <v>56716</v>
      </c>
    </row>
    <row r="3459" spans="1:12" s="37" customFormat="1" ht="11.25" x14ac:dyDescent="0.2">
      <c r="A3459" s="46" t="s">
        <v>4412</v>
      </c>
      <c r="B3459" s="46" t="s">
        <v>52898</v>
      </c>
      <c r="C3459" s="58" t="str">
        <f>"08189641"</f>
        <v>08189641</v>
      </c>
      <c r="D3459" s="58" t="str">
        <f>"14401711"</f>
        <v>14401711</v>
      </c>
      <c r="E3459" s="46" t="s">
        <v>315</v>
      </c>
      <c r="F3459" s="46" t="s">
        <v>50646</v>
      </c>
      <c r="G3459" s="46" t="s">
        <v>50584</v>
      </c>
      <c r="H3459" s="48" t="s">
        <v>56716</v>
      </c>
      <c r="I3459" s="48" t="s">
        <v>50564</v>
      </c>
      <c r="J3459" s="48"/>
      <c r="K3459" s="50" t="s">
        <v>56716</v>
      </c>
      <c r="L3459" s="48" t="s">
        <v>56716</v>
      </c>
    </row>
    <row r="3460" spans="1:12" s="37" customFormat="1" ht="11.25" x14ac:dyDescent="0.2">
      <c r="A3460" s="46" t="s">
        <v>2019</v>
      </c>
      <c r="B3460" s="46" t="s">
        <v>52899</v>
      </c>
      <c r="C3460" s="58" t="str">
        <f>"01652478"</f>
        <v>01652478</v>
      </c>
      <c r="D3460" s="58" t="str">
        <f>"18790542"</f>
        <v>18790542</v>
      </c>
      <c r="E3460" s="46" t="s">
        <v>91</v>
      </c>
      <c r="F3460" s="46" t="s">
        <v>18001</v>
      </c>
      <c r="G3460" s="46" t="s">
        <v>50584</v>
      </c>
      <c r="H3460" s="48" t="s">
        <v>56716</v>
      </c>
      <c r="I3460" s="48" t="s">
        <v>50564</v>
      </c>
      <c r="J3460" s="48" t="s">
        <v>56716</v>
      </c>
      <c r="K3460" s="50" t="s">
        <v>56716</v>
      </c>
      <c r="L3460" s="48" t="s">
        <v>56716</v>
      </c>
    </row>
    <row r="3461" spans="1:12" s="37" customFormat="1" ht="11.25" x14ac:dyDescent="0.2">
      <c r="A3461" s="46" t="s">
        <v>10907</v>
      </c>
      <c r="B3461" s="46" t="s">
        <v>52900</v>
      </c>
      <c r="C3461" s="58" t="str">
        <f>"18715222"</f>
        <v>18715222</v>
      </c>
      <c r="D3461" s="58" t="str">
        <f>"18756115"</f>
        <v>18756115</v>
      </c>
      <c r="E3461" s="46" t="s">
        <v>6405</v>
      </c>
      <c r="F3461" s="46" t="s">
        <v>18001</v>
      </c>
      <c r="G3461" s="46" t="s">
        <v>50584</v>
      </c>
      <c r="H3461" s="48" t="s">
        <v>56716</v>
      </c>
      <c r="I3461" s="48" t="s">
        <v>50564</v>
      </c>
      <c r="J3461" s="48"/>
      <c r="K3461" s="50"/>
      <c r="L3461" s="48"/>
    </row>
    <row r="3462" spans="1:12" s="37" customFormat="1" ht="11.25" x14ac:dyDescent="0.2">
      <c r="A3462" s="46" t="s">
        <v>56261</v>
      </c>
      <c r="B3462" s="46" t="s">
        <v>56261</v>
      </c>
      <c r="C3462" s="58" t="str">
        <f>""</f>
        <v/>
      </c>
      <c r="D3462" s="58" t="str">
        <f>"20846835"</f>
        <v>20846835</v>
      </c>
      <c r="E3462" s="46" t="s">
        <v>56253</v>
      </c>
      <c r="F3462" s="46" t="s">
        <v>17967</v>
      </c>
      <c r="G3462" s="46" t="s">
        <v>50584</v>
      </c>
      <c r="H3462" s="48" t="s">
        <v>56716</v>
      </c>
      <c r="I3462" s="48" t="s">
        <v>50564</v>
      </c>
      <c r="J3462" s="48" t="s">
        <v>56716</v>
      </c>
      <c r="K3462" s="50"/>
      <c r="L3462" s="48"/>
    </row>
    <row r="3463" spans="1:12" s="37" customFormat="1" ht="11.25" x14ac:dyDescent="0.2">
      <c r="A3463" s="46" t="s">
        <v>4409</v>
      </c>
      <c r="B3463" s="46" t="s">
        <v>52901</v>
      </c>
      <c r="C3463" s="58" t="str">
        <f>"08923973"</f>
        <v>08923973</v>
      </c>
      <c r="D3463" s="58" t="str">
        <f>"15322513"</f>
        <v>15322513</v>
      </c>
      <c r="E3463" s="46" t="s">
        <v>291</v>
      </c>
      <c r="F3463" s="46" t="s">
        <v>50646</v>
      </c>
      <c r="G3463" s="46" t="s">
        <v>50584</v>
      </c>
      <c r="H3463" s="48" t="s">
        <v>56716</v>
      </c>
      <c r="I3463" s="48" t="s">
        <v>50564</v>
      </c>
      <c r="J3463" s="48" t="s">
        <v>56716</v>
      </c>
      <c r="K3463" s="50"/>
      <c r="L3463" s="48" t="s">
        <v>56716</v>
      </c>
    </row>
    <row r="3464" spans="1:12" s="37" customFormat="1" ht="11.25" x14ac:dyDescent="0.2">
      <c r="A3464" s="46" t="s">
        <v>56239</v>
      </c>
      <c r="B3464" s="46" t="s">
        <v>56240</v>
      </c>
      <c r="C3464" s="58" t="str">
        <f>""</f>
        <v/>
      </c>
      <c r="D3464" s="58" t="str">
        <f>"22531556"</f>
        <v>22531556</v>
      </c>
      <c r="E3464" s="46" t="s">
        <v>11079</v>
      </c>
      <c r="F3464" s="46" t="s">
        <v>19483</v>
      </c>
      <c r="G3464" s="46" t="s">
        <v>50584</v>
      </c>
      <c r="H3464" s="48" t="s">
        <v>56716</v>
      </c>
      <c r="I3464" s="48" t="s">
        <v>50564</v>
      </c>
      <c r="J3464" s="48"/>
      <c r="K3464" s="50"/>
      <c r="L3464" s="48"/>
    </row>
    <row r="3465" spans="1:12" s="37" customFormat="1" ht="11.25" x14ac:dyDescent="0.2">
      <c r="A3465" s="46" t="s">
        <v>13714</v>
      </c>
      <c r="B3465" s="46" t="s">
        <v>52902</v>
      </c>
      <c r="C3465" s="58" t="str">
        <f>"1750743X"</f>
        <v>1750743X</v>
      </c>
      <c r="D3465" s="58" t="str">
        <f>"17507448"</f>
        <v>17507448</v>
      </c>
      <c r="E3465" s="46" t="s">
        <v>8442</v>
      </c>
      <c r="F3465" s="46" t="s">
        <v>50646</v>
      </c>
      <c r="G3465" s="46" t="s">
        <v>50584</v>
      </c>
      <c r="H3465" s="48" t="s">
        <v>56716</v>
      </c>
      <c r="I3465" s="48" t="s">
        <v>50564</v>
      </c>
      <c r="J3465" s="48" t="s">
        <v>56716</v>
      </c>
      <c r="K3465" s="50"/>
      <c r="L3465" s="48" t="s">
        <v>56716</v>
      </c>
    </row>
    <row r="3466" spans="1:12" s="37" customFormat="1" ht="11.25" x14ac:dyDescent="0.2">
      <c r="A3466" s="46" t="s">
        <v>4573</v>
      </c>
      <c r="B3466" s="46" t="s">
        <v>52903</v>
      </c>
      <c r="C3466" s="58" t="str">
        <f>"03930394"</f>
        <v>03930394</v>
      </c>
      <c r="D3466" s="58" t="str">
        <f>""</f>
        <v/>
      </c>
      <c r="E3466" s="46" t="s">
        <v>4575</v>
      </c>
      <c r="F3466" s="46" t="s">
        <v>17991</v>
      </c>
      <c r="G3466" s="46" t="s">
        <v>50603</v>
      </c>
      <c r="H3466" s="48" t="s">
        <v>56716</v>
      </c>
      <c r="I3466" s="48" t="s">
        <v>50564</v>
      </c>
      <c r="J3466" s="48"/>
      <c r="K3466" s="50"/>
      <c r="L3466" s="48"/>
    </row>
    <row r="3467" spans="1:12" s="37" customFormat="1" ht="11.25" x14ac:dyDescent="0.2">
      <c r="A3467" s="45" t="s">
        <v>31729</v>
      </c>
      <c r="B3467" s="45" t="s">
        <v>31731</v>
      </c>
      <c r="C3467" s="51" t="s">
        <v>31733</v>
      </c>
      <c r="D3467" s="51" t="s">
        <v>31732</v>
      </c>
      <c r="E3467" s="45" t="s">
        <v>31734</v>
      </c>
      <c r="F3467" s="45" t="s">
        <v>17759</v>
      </c>
      <c r="G3467" s="45" t="s">
        <v>50584</v>
      </c>
      <c r="H3467" s="56"/>
      <c r="I3467" s="56" t="s">
        <v>50564</v>
      </c>
      <c r="J3467" s="56"/>
      <c r="K3467" s="50"/>
      <c r="L3467" s="56" t="s">
        <v>56716</v>
      </c>
    </row>
    <row r="3468" spans="1:12" s="37" customFormat="1" ht="11.25" x14ac:dyDescent="0.2">
      <c r="A3468" s="45" t="s">
        <v>31736</v>
      </c>
      <c r="B3468" s="45" t="s">
        <v>31738</v>
      </c>
      <c r="C3468" s="51"/>
      <c r="D3468" s="51" t="s">
        <v>31739</v>
      </c>
      <c r="E3468" s="45" t="s">
        <v>18570</v>
      </c>
      <c r="F3468" s="45" t="s">
        <v>50646</v>
      </c>
      <c r="G3468" s="45" t="s">
        <v>50584</v>
      </c>
      <c r="H3468" s="56"/>
      <c r="I3468" s="56" t="s">
        <v>50564</v>
      </c>
      <c r="J3468" s="56"/>
      <c r="K3468" s="50"/>
      <c r="L3468" s="56" t="s">
        <v>56716</v>
      </c>
    </row>
    <row r="3469" spans="1:12" s="37" customFormat="1" ht="11.25" x14ac:dyDescent="0.2">
      <c r="A3469" s="45" t="s">
        <v>31741</v>
      </c>
      <c r="B3469" s="45" t="s">
        <v>31741</v>
      </c>
      <c r="C3469" s="51" t="s">
        <v>31744</v>
      </c>
      <c r="D3469" s="51"/>
      <c r="E3469" s="45" t="s">
        <v>31745</v>
      </c>
      <c r="F3469" s="45" t="s">
        <v>17759</v>
      </c>
      <c r="G3469" s="45" t="s">
        <v>50584</v>
      </c>
      <c r="H3469" s="56"/>
      <c r="I3469" s="56" t="s">
        <v>50564</v>
      </c>
      <c r="J3469" s="56"/>
      <c r="K3469" s="50"/>
      <c r="L3469" s="56" t="s">
        <v>56716</v>
      </c>
    </row>
    <row r="3470" spans="1:12" s="37" customFormat="1" ht="11.25" x14ac:dyDescent="0.2">
      <c r="A3470" s="45" t="s">
        <v>31747</v>
      </c>
      <c r="B3470" s="45" t="s">
        <v>31749</v>
      </c>
      <c r="C3470" s="51" t="s">
        <v>31751</v>
      </c>
      <c r="D3470" s="51" t="s">
        <v>31750</v>
      </c>
      <c r="E3470" s="45" t="s">
        <v>920</v>
      </c>
      <c r="F3470" s="45" t="s">
        <v>18001</v>
      </c>
      <c r="G3470" s="45" t="s">
        <v>50584</v>
      </c>
      <c r="H3470" s="56"/>
      <c r="I3470" s="56" t="s">
        <v>50564</v>
      </c>
      <c r="J3470" s="56"/>
      <c r="K3470" s="50"/>
      <c r="L3470" s="56" t="s">
        <v>56716</v>
      </c>
    </row>
    <row r="3471" spans="1:12" s="37" customFormat="1" ht="11.25" x14ac:dyDescent="0.2">
      <c r="A3471" s="46" t="s">
        <v>17275</v>
      </c>
      <c r="B3471" s="46" t="s">
        <v>52904</v>
      </c>
      <c r="C3471" s="58" t="str">
        <f>"21939616"</f>
        <v>21939616</v>
      </c>
      <c r="D3471" s="58" t="str">
        <f>"21939616"</f>
        <v>21939616</v>
      </c>
      <c r="E3471" s="46" t="s">
        <v>13773</v>
      </c>
      <c r="F3471" s="46" t="s">
        <v>18158</v>
      </c>
      <c r="G3471" s="46" t="s">
        <v>50584</v>
      </c>
      <c r="H3471" s="48" t="s">
        <v>56716</v>
      </c>
      <c r="I3471" s="48" t="s">
        <v>50564</v>
      </c>
      <c r="J3471" s="48" t="s">
        <v>56716</v>
      </c>
      <c r="K3471" s="50"/>
      <c r="L3471" s="48"/>
    </row>
    <row r="3472" spans="1:12" s="37" customFormat="1" ht="11.25" x14ac:dyDescent="0.2">
      <c r="A3472" s="45" t="s">
        <v>31753</v>
      </c>
      <c r="B3472" s="45" t="s">
        <v>31755</v>
      </c>
      <c r="C3472" s="51" t="s">
        <v>31758</v>
      </c>
      <c r="D3472" s="51" t="s">
        <v>31757</v>
      </c>
      <c r="E3472" s="45" t="s">
        <v>17783</v>
      </c>
      <c r="F3472" s="45" t="s">
        <v>18158</v>
      </c>
      <c r="G3472" s="45" t="s">
        <v>50584</v>
      </c>
      <c r="H3472" s="56"/>
      <c r="I3472" s="56" t="s">
        <v>50564</v>
      </c>
      <c r="J3472" s="56"/>
      <c r="K3472" s="50"/>
      <c r="L3472" s="56" t="s">
        <v>56716</v>
      </c>
    </row>
    <row r="3473" spans="1:12" s="37" customFormat="1" ht="11.25" x14ac:dyDescent="0.2">
      <c r="A3473" s="46" t="s">
        <v>4367</v>
      </c>
      <c r="B3473" s="46" t="s">
        <v>4367</v>
      </c>
      <c r="C3473" s="58" t="str">
        <f>"0258851X"</f>
        <v>0258851X</v>
      </c>
      <c r="D3473" s="58" t="str">
        <f>"17917549"</f>
        <v>17917549</v>
      </c>
      <c r="E3473" s="46" t="s">
        <v>536</v>
      </c>
      <c r="F3473" s="46" t="s">
        <v>20969</v>
      </c>
      <c r="G3473" s="46" t="s">
        <v>50584</v>
      </c>
      <c r="H3473" s="48" t="s">
        <v>56716</v>
      </c>
      <c r="I3473" s="48" t="s">
        <v>50564</v>
      </c>
      <c r="J3473" s="48"/>
      <c r="K3473" s="50"/>
      <c r="L3473" s="48" t="s">
        <v>56716</v>
      </c>
    </row>
    <row r="3474" spans="1:12" s="37" customFormat="1" ht="11.25" x14ac:dyDescent="0.2">
      <c r="A3474" s="46" t="s">
        <v>4995</v>
      </c>
      <c r="B3474" s="46" t="s">
        <v>4995</v>
      </c>
      <c r="C3474" s="58" t="str">
        <f>"0019462X"</f>
        <v>0019462X</v>
      </c>
      <c r="D3474" s="58" t="str">
        <f>""</f>
        <v/>
      </c>
      <c r="E3474" s="46" t="s">
        <v>4997</v>
      </c>
      <c r="F3474" s="46" t="s">
        <v>20446</v>
      </c>
      <c r="G3474" s="46" t="s">
        <v>50584</v>
      </c>
      <c r="H3474" s="48" t="s">
        <v>56716</v>
      </c>
      <c r="I3474" s="48" t="s">
        <v>50564</v>
      </c>
      <c r="J3474" s="48"/>
      <c r="K3474" s="50"/>
      <c r="L3474" s="48"/>
    </row>
    <row r="3475" spans="1:12" s="37" customFormat="1" ht="11.25" x14ac:dyDescent="0.2">
      <c r="A3475" s="46" t="s">
        <v>1882</v>
      </c>
      <c r="B3475" s="46" t="s">
        <v>52905</v>
      </c>
      <c r="C3475" s="58" t="str">
        <f>"00194832"</f>
        <v>00194832</v>
      </c>
      <c r="D3475" s="58" t="str">
        <f>""</f>
        <v/>
      </c>
      <c r="E3475" s="46" t="s">
        <v>91</v>
      </c>
      <c r="F3475" s="46" t="s">
        <v>18001</v>
      </c>
      <c r="G3475" s="46" t="s">
        <v>50584</v>
      </c>
      <c r="H3475" s="48" t="s">
        <v>56716</v>
      </c>
      <c r="I3475" s="48" t="s">
        <v>50564</v>
      </c>
      <c r="J3475" s="48"/>
      <c r="K3475" s="50" t="s">
        <v>56716</v>
      </c>
      <c r="L3475" s="48" t="s">
        <v>56716</v>
      </c>
    </row>
    <row r="3476" spans="1:12" s="37" customFormat="1" ht="11.25" x14ac:dyDescent="0.2">
      <c r="A3476" s="46" t="s">
        <v>14189</v>
      </c>
      <c r="B3476" s="46" t="s">
        <v>52906</v>
      </c>
      <c r="C3476" s="58" t="str">
        <f>"00195049"</f>
        <v>00195049</v>
      </c>
      <c r="D3476" s="58" t="str">
        <f>""</f>
        <v/>
      </c>
      <c r="E3476" s="46" t="s">
        <v>14191</v>
      </c>
      <c r="F3476" s="46" t="s">
        <v>20446</v>
      </c>
      <c r="G3476" s="46" t="s">
        <v>50584</v>
      </c>
      <c r="H3476" s="48" t="s">
        <v>56716</v>
      </c>
      <c r="I3476" s="48" t="s">
        <v>50564</v>
      </c>
      <c r="J3476" s="48"/>
      <c r="K3476" s="50"/>
      <c r="L3476" s="48"/>
    </row>
    <row r="3477" spans="1:12" s="37" customFormat="1" ht="11.25" x14ac:dyDescent="0.2">
      <c r="A3477" s="45" t="s">
        <v>31771</v>
      </c>
      <c r="B3477" s="45" t="s">
        <v>31773</v>
      </c>
      <c r="C3477" s="51" t="s">
        <v>31776</v>
      </c>
      <c r="D3477" s="51" t="s">
        <v>31775</v>
      </c>
      <c r="E3477" s="45" t="s">
        <v>31777</v>
      </c>
      <c r="F3477" s="45" t="s">
        <v>20446</v>
      </c>
      <c r="G3477" s="45" t="s">
        <v>50584</v>
      </c>
      <c r="H3477" s="56"/>
      <c r="I3477" s="56" t="s">
        <v>50564</v>
      </c>
      <c r="J3477" s="56"/>
      <c r="K3477" s="50"/>
      <c r="L3477" s="56" t="s">
        <v>56716</v>
      </c>
    </row>
    <row r="3478" spans="1:12" s="37" customFormat="1" ht="11.25" x14ac:dyDescent="0.2">
      <c r="A3478" s="46" t="s">
        <v>9321</v>
      </c>
      <c r="B3478" s="46" t="s">
        <v>52907</v>
      </c>
      <c r="C3478" s="58" t="str">
        <f>"09725849"</f>
        <v>09725849</v>
      </c>
      <c r="D3478" s="58" t="str">
        <f>"09750967"</f>
        <v>09750967</v>
      </c>
      <c r="E3478" s="46" t="s">
        <v>9324</v>
      </c>
      <c r="F3478" s="46" t="s">
        <v>20446</v>
      </c>
      <c r="G3478" s="46" t="s">
        <v>50584</v>
      </c>
      <c r="H3478" s="48" t="s">
        <v>56716</v>
      </c>
      <c r="I3478" s="48" t="s">
        <v>50564</v>
      </c>
      <c r="J3478" s="48"/>
      <c r="K3478" s="50"/>
      <c r="L3478" s="48"/>
    </row>
    <row r="3479" spans="1:12" s="37" customFormat="1" ht="11.25" x14ac:dyDescent="0.2">
      <c r="A3479" s="46" t="s">
        <v>1894</v>
      </c>
      <c r="B3479" s="46" t="s">
        <v>52908</v>
      </c>
      <c r="C3479" s="58" t="str">
        <f>"0019509X"</f>
        <v>0019509X</v>
      </c>
      <c r="D3479" s="58" t="str">
        <f>"19984774"</f>
        <v>19984774</v>
      </c>
      <c r="E3479" s="46" t="s">
        <v>19057</v>
      </c>
      <c r="F3479" s="46" t="s">
        <v>20446</v>
      </c>
      <c r="G3479" s="46" t="s">
        <v>50584</v>
      </c>
      <c r="H3479" s="48" t="s">
        <v>56716</v>
      </c>
      <c r="I3479" s="48" t="s">
        <v>50564</v>
      </c>
      <c r="J3479" s="48"/>
      <c r="K3479" s="50"/>
      <c r="L3479" s="48" t="s">
        <v>56716</v>
      </c>
    </row>
    <row r="3480" spans="1:12" s="37" customFormat="1" ht="11.25" x14ac:dyDescent="0.2">
      <c r="A3480" s="46" t="s">
        <v>4191</v>
      </c>
      <c r="B3480" s="46" t="s">
        <v>52909</v>
      </c>
      <c r="C3480" s="58" t="str">
        <f>"09701915"</f>
        <v>09701915</v>
      </c>
      <c r="D3480" s="58" t="str">
        <f>"09740422"</f>
        <v>09740422</v>
      </c>
      <c r="E3480" s="46" t="s">
        <v>1977</v>
      </c>
      <c r="F3480" s="46" t="s">
        <v>20446</v>
      </c>
      <c r="G3480" s="46" t="s">
        <v>50584</v>
      </c>
      <c r="H3480" s="48" t="s">
        <v>56716</v>
      </c>
      <c r="I3480" s="48" t="s">
        <v>50564</v>
      </c>
      <c r="J3480" s="48"/>
      <c r="K3480" s="50" t="s">
        <v>56716</v>
      </c>
      <c r="L3480" s="48"/>
    </row>
    <row r="3481" spans="1:12" s="37" customFormat="1" ht="11.25" x14ac:dyDescent="0.2">
      <c r="A3481" s="46" t="s">
        <v>10034</v>
      </c>
      <c r="B3481" s="46" t="s">
        <v>52910</v>
      </c>
      <c r="C3481" s="58" t="str">
        <f>"09725229"</f>
        <v>09725229</v>
      </c>
      <c r="D3481" s="58" t="str">
        <f>"1998359X"</f>
        <v>1998359X</v>
      </c>
      <c r="E3481" s="46" t="s">
        <v>19057</v>
      </c>
      <c r="F3481" s="46" t="s">
        <v>20446</v>
      </c>
      <c r="G3481" s="46" t="s">
        <v>50584</v>
      </c>
      <c r="H3481" s="48" t="s">
        <v>56716</v>
      </c>
      <c r="I3481" s="48" t="s">
        <v>50564</v>
      </c>
      <c r="J3481" s="48"/>
      <c r="K3481" s="50"/>
      <c r="L3481" s="48"/>
    </row>
    <row r="3482" spans="1:12" s="37" customFormat="1" ht="11.25" x14ac:dyDescent="0.2">
      <c r="A3482" s="45" t="s">
        <v>31792</v>
      </c>
      <c r="B3482" s="45" t="s">
        <v>31794</v>
      </c>
      <c r="C3482" s="51" t="s">
        <v>31796</v>
      </c>
      <c r="D3482" s="51" t="s">
        <v>31795</v>
      </c>
      <c r="E3482" s="45" t="s">
        <v>20489</v>
      </c>
      <c r="F3482" s="45" t="s">
        <v>20446</v>
      </c>
      <c r="G3482" s="45" t="s">
        <v>50584</v>
      </c>
      <c r="H3482" s="56"/>
      <c r="I3482" s="56" t="s">
        <v>50564</v>
      </c>
      <c r="J3482" s="56"/>
      <c r="K3482" s="50"/>
      <c r="L3482" s="56" t="s">
        <v>56716</v>
      </c>
    </row>
    <row r="3483" spans="1:12" s="37" customFormat="1" ht="11.25" x14ac:dyDescent="0.2">
      <c r="A3483" s="46" t="s">
        <v>11554</v>
      </c>
      <c r="B3483" s="46" t="s">
        <v>52911</v>
      </c>
      <c r="C3483" s="58" t="str">
        <f>"00195154"</f>
        <v>00195154</v>
      </c>
      <c r="D3483" s="58" t="str">
        <f>"19983611"</f>
        <v>19983611</v>
      </c>
      <c r="E3483" s="46" t="s">
        <v>19057</v>
      </c>
      <c r="F3483" s="46" t="s">
        <v>20446</v>
      </c>
      <c r="G3483" s="46" t="s">
        <v>50584</v>
      </c>
      <c r="H3483" s="48" t="s">
        <v>56716</v>
      </c>
      <c r="I3483" s="48" t="s">
        <v>50564</v>
      </c>
      <c r="J3483" s="48"/>
      <c r="K3483" s="50"/>
      <c r="L3483" s="48"/>
    </row>
    <row r="3484" spans="1:12" s="37" customFormat="1" ht="11.25" x14ac:dyDescent="0.2">
      <c r="A3484" s="46" t="s">
        <v>1911</v>
      </c>
      <c r="B3484" s="46" t="s">
        <v>52912</v>
      </c>
      <c r="C3484" s="58" t="str">
        <f>"03786323"</f>
        <v>03786323</v>
      </c>
      <c r="D3484" s="58" t="str">
        <f>"09733922"</f>
        <v>09733922</v>
      </c>
      <c r="E3484" s="46" t="s">
        <v>19057</v>
      </c>
      <c r="F3484" s="46" t="s">
        <v>20446</v>
      </c>
      <c r="G3484" s="46" t="s">
        <v>50584</v>
      </c>
      <c r="H3484" s="48" t="s">
        <v>56716</v>
      </c>
      <c r="I3484" s="48" t="s">
        <v>50564</v>
      </c>
      <c r="J3484" s="48"/>
      <c r="K3484" s="50"/>
      <c r="L3484" s="48" t="s">
        <v>56716</v>
      </c>
    </row>
    <row r="3485" spans="1:12" s="37" customFormat="1" ht="11.25" x14ac:dyDescent="0.2">
      <c r="A3485" s="45" t="s">
        <v>31804</v>
      </c>
      <c r="B3485" s="45" t="s">
        <v>31806</v>
      </c>
      <c r="C3485" s="51" t="s">
        <v>31809</v>
      </c>
      <c r="D3485" s="51" t="s">
        <v>31808</v>
      </c>
      <c r="E3485" s="45" t="s">
        <v>31777</v>
      </c>
      <c r="F3485" s="45" t="s">
        <v>20446</v>
      </c>
      <c r="G3485" s="45" t="s">
        <v>50584</v>
      </c>
      <c r="H3485" s="56"/>
      <c r="I3485" s="56" t="s">
        <v>50564</v>
      </c>
      <c r="J3485" s="56"/>
      <c r="K3485" s="50"/>
      <c r="L3485" s="56" t="s">
        <v>56716</v>
      </c>
    </row>
    <row r="3486" spans="1:12" s="37" customFormat="1" ht="11.25" x14ac:dyDescent="0.2">
      <c r="A3486" s="46" t="s">
        <v>12644</v>
      </c>
      <c r="B3486" s="46" t="s">
        <v>52913</v>
      </c>
      <c r="C3486" s="58" t="str">
        <f>"09739122"</f>
        <v>09739122</v>
      </c>
      <c r="D3486" s="58" t="str">
        <f>"09739130"</f>
        <v>09739130</v>
      </c>
      <c r="E3486" s="46" t="s">
        <v>12644</v>
      </c>
      <c r="F3486" s="46" t="s">
        <v>20446</v>
      </c>
      <c r="G3486" s="46" t="s">
        <v>50584</v>
      </c>
      <c r="H3486" s="48" t="s">
        <v>56716</v>
      </c>
      <c r="I3486" s="48" t="s">
        <v>50564</v>
      </c>
      <c r="J3486" s="48"/>
      <c r="K3486" s="50"/>
      <c r="L3486" s="48"/>
    </row>
    <row r="3487" spans="1:12" s="37" customFormat="1" ht="11.25" x14ac:dyDescent="0.2">
      <c r="A3487" s="46" t="s">
        <v>1964</v>
      </c>
      <c r="B3487" s="46" t="s">
        <v>52914</v>
      </c>
      <c r="C3487" s="58" t="str">
        <f>"02548860"</f>
        <v>02548860</v>
      </c>
      <c r="D3487" s="58" t="str">
        <f>"09750711"</f>
        <v>09750711</v>
      </c>
      <c r="E3487" s="46" t="s">
        <v>1967</v>
      </c>
      <c r="F3487" s="46" t="s">
        <v>20446</v>
      </c>
      <c r="G3487" s="46" t="s">
        <v>50584</v>
      </c>
      <c r="H3487" s="48" t="s">
        <v>56716</v>
      </c>
      <c r="I3487" s="48" t="s">
        <v>50564</v>
      </c>
      <c r="J3487" s="48"/>
      <c r="K3487" s="50" t="s">
        <v>56716</v>
      </c>
      <c r="L3487" s="48" t="s">
        <v>56716</v>
      </c>
    </row>
    <row r="3488" spans="1:12" s="37" customFormat="1" ht="11.25" x14ac:dyDescent="0.2">
      <c r="A3488" s="46" t="s">
        <v>8342</v>
      </c>
      <c r="B3488" s="46" t="s">
        <v>52915</v>
      </c>
      <c r="C3488" s="58" t="str">
        <f>"09714502"</f>
        <v>09714502</v>
      </c>
      <c r="D3488" s="58" t="str">
        <f>"09740449"</f>
        <v>09740449</v>
      </c>
      <c r="E3488" s="46" t="s">
        <v>1977</v>
      </c>
      <c r="F3488" s="46" t="s">
        <v>20446</v>
      </c>
      <c r="G3488" s="46" t="s">
        <v>50584</v>
      </c>
      <c r="H3488" s="48" t="s">
        <v>56716</v>
      </c>
      <c r="I3488" s="48" t="s">
        <v>50564</v>
      </c>
      <c r="J3488" s="48"/>
      <c r="K3488" s="50" t="s">
        <v>56716</v>
      </c>
      <c r="L3488" s="48"/>
    </row>
    <row r="3489" spans="1:12" s="37" customFormat="1" ht="11.25" x14ac:dyDescent="0.2">
      <c r="A3489" s="46" t="s">
        <v>10037</v>
      </c>
      <c r="B3489" s="46" t="s">
        <v>52916</v>
      </c>
      <c r="C3489" s="58" t="str">
        <f>"09716866"</f>
        <v>09716866</v>
      </c>
      <c r="D3489" s="58" t="str">
        <f>"1998362X"</f>
        <v>1998362X</v>
      </c>
      <c r="E3489" s="46" t="s">
        <v>19057</v>
      </c>
      <c r="F3489" s="46" t="s">
        <v>20446</v>
      </c>
      <c r="G3489" s="46" t="s">
        <v>50584</v>
      </c>
      <c r="H3489" s="48" t="s">
        <v>56716</v>
      </c>
      <c r="I3489" s="48" t="s">
        <v>50564</v>
      </c>
      <c r="J3489" s="48"/>
      <c r="K3489" s="50"/>
      <c r="L3489" s="48"/>
    </row>
    <row r="3490" spans="1:12" s="37" customFormat="1" ht="11.25" x14ac:dyDescent="0.2">
      <c r="A3490" s="46" t="s">
        <v>1935</v>
      </c>
      <c r="B3490" s="46" t="s">
        <v>52917</v>
      </c>
      <c r="C3490" s="58" t="str">
        <f>"02549395"</f>
        <v>02549395</v>
      </c>
      <c r="D3490" s="58" t="str">
        <f>""</f>
        <v/>
      </c>
      <c r="E3490" s="46" t="s">
        <v>1937</v>
      </c>
      <c r="F3490" s="46" t="s">
        <v>20446</v>
      </c>
      <c r="G3490" s="46" t="s">
        <v>50584</v>
      </c>
      <c r="H3490" s="48" t="s">
        <v>56716</v>
      </c>
      <c r="I3490" s="48" t="s">
        <v>50564</v>
      </c>
      <c r="J3490" s="48"/>
      <c r="K3490" s="50"/>
      <c r="L3490" s="48" t="s">
        <v>56716</v>
      </c>
    </row>
    <row r="3491" spans="1:12" s="37" customFormat="1" ht="11.25" x14ac:dyDescent="0.2">
      <c r="A3491" s="46" t="s">
        <v>14046</v>
      </c>
      <c r="B3491" s="46" t="s">
        <v>52918</v>
      </c>
      <c r="C3491" s="58" t="str">
        <f>"09715851"</f>
        <v>09715851</v>
      </c>
      <c r="D3491" s="58" t="str">
        <f>"09752129"</f>
        <v>09752129</v>
      </c>
      <c r="E3491" s="46" t="s">
        <v>19057</v>
      </c>
      <c r="F3491" s="46" t="s">
        <v>20446</v>
      </c>
      <c r="G3491" s="46" t="s">
        <v>50584</v>
      </c>
      <c r="H3491" s="48" t="s">
        <v>56716</v>
      </c>
      <c r="I3491" s="48" t="s">
        <v>50564</v>
      </c>
      <c r="J3491" s="48" t="s">
        <v>56716</v>
      </c>
      <c r="K3491" s="50"/>
      <c r="L3491" s="48"/>
    </row>
    <row r="3492" spans="1:12" s="37" customFormat="1" ht="11.25" x14ac:dyDescent="0.2">
      <c r="A3492" s="45" t="s">
        <v>31821</v>
      </c>
      <c r="B3492" s="45" t="s">
        <v>31823</v>
      </c>
      <c r="C3492" s="51" t="s">
        <v>31826</v>
      </c>
      <c r="D3492" s="51" t="s">
        <v>31825</v>
      </c>
      <c r="E3492" s="45" t="s">
        <v>31827</v>
      </c>
      <c r="F3492" s="45" t="s">
        <v>20446</v>
      </c>
      <c r="G3492" s="45" t="s">
        <v>50584</v>
      </c>
      <c r="H3492" s="56"/>
      <c r="I3492" s="56" t="s">
        <v>50564</v>
      </c>
      <c r="J3492" s="56"/>
      <c r="K3492" s="50"/>
      <c r="L3492" s="56" t="s">
        <v>56716</v>
      </c>
    </row>
    <row r="3493" spans="1:12" s="37" customFormat="1" ht="11.25" x14ac:dyDescent="0.2">
      <c r="A3493" s="46" t="s">
        <v>4197</v>
      </c>
      <c r="B3493" s="46" t="s">
        <v>52919</v>
      </c>
      <c r="C3493" s="58" t="str">
        <f>"02550857"</f>
        <v>02550857</v>
      </c>
      <c r="D3493" s="58" t="str">
        <f>"19983646"</f>
        <v>19983646</v>
      </c>
      <c r="E3493" s="46" t="s">
        <v>19057</v>
      </c>
      <c r="F3493" s="46" t="s">
        <v>20446</v>
      </c>
      <c r="G3493" s="46" t="s">
        <v>50584</v>
      </c>
      <c r="H3493" s="48" t="s">
        <v>56716</v>
      </c>
      <c r="I3493" s="48" t="s">
        <v>50564</v>
      </c>
      <c r="J3493" s="48"/>
      <c r="K3493" s="50"/>
      <c r="L3493" s="48" t="s">
        <v>56716</v>
      </c>
    </row>
    <row r="3494" spans="1:12" s="37" customFormat="1" ht="11.25" x14ac:dyDescent="0.2">
      <c r="A3494" s="46" t="s">
        <v>6364</v>
      </c>
      <c r="B3494" s="46" t="s">
        <v>52920</v>
      </c>
      <c r="C3494" s="58" t="str">
        <f>"09715916"</f>
        <v>09715916</v>
      </c>
      <c r="D3494" s="58" t="str">
        <f>"09715916"</f>
        <v>09715916</v>
      </c>
      <c r="E3494" s="46" t="s">
        <v>6366</v>
      </c>
      <c r="F3494" s="46" t="s">
        <v>20446</v>
      </c>
      <c r="G3494" s="46" t="s">
        <v>50584</v>
      </c>
      <c r="H3494" s="48" t="s">
        <v>56716</v>
      </c>
      <c r="I3494" s="48" t="s">
        <v>50564</v>
      </c>
      <c r="J3494" s="48"/>
      <c r="K3494" s="50"/>
      <c r="L3494" s="48" t="s">
        <v>56716</v>
      </c>
    </row>
    <row r="3495" spans="1:12" s="37" customFormat="1" ht="11.25" x14ac:dyDescent="0.2">
      <c r="A3495" s="46" t="s">
        <v>10284</v>
      </c>
      <c r="B3495" s="46" t="s">
        <v>52921</v>
      </c>
      <c r="C3495" s="58" t="str">
        <f>"03679012"</f>
        <v>03679012</v>
      </c>
      <c r="D3495" s="58" t="str">
        <f>""</f>
        <v/>
      </c>
      <c r="E3495" s="46" t="s">
        <v>6366</v>
      </c>
      <c r="F3495" s="46" t="s">
        <v>20446</v>
      </c>
      <c r="G3495" s="46" t="s">
        <v>50584</v>
      </c>
      <c r="H3495" s="48" t="s">
        <v>56716</v>
      </c>
      <c r="I3495" s="48" t="s">
        <v>50564</v>
      </c>
      <c r="J3495" s="48"/>
      <c r="K3495" s="50"/>
      <c r="L3495" s="48"/>
    </row>
    <row r="3496" spans="1:12" s="37" customFormat="1" ht="11.25" x14ac:dyDescent="0.2">
      <c r="A3496" s="46" t="s">
        <v>2045</v>
      </c>
      <c r="B3496" s="46" t="s">
        <v>52922</v>
      </c>
      <c r="C3496" s="58" t="str">
        <f>"00195359"</f>
        <v>00195359</v>
      </c>
      <c r="D3496" s="58" t="str">
        <f>"19983654"</f>
        <v>19983654</v>
      </c>
      <c r="E3496" s="46" t="s">
        <v>19057</v>
      </c>
      <c r="F3496" s="46" t="s">
        <v>20446</v>
      </c>
      <c r="G3496" s="46" t="s">
        <v>50584</v>
      </c>
      <c r="H3496" s="48" t="s">
        <v>56716</v>
      </c>
      <c r="I3496" s="48" t="s">
        <v>50564</v>
      </c>
      <c r="J3496" s="48"/>
      <c r="K3496" s="50"/>
      <c r="L3496" s="48" t="s">
        <v>56716</v>
      </c>
    </row>
    <row r="3497" spans="1:12" s="37" customFormat="1" ht="11.25" x14ac:dyDescent="0.2">
      <c r="A3497" s="46" t="s">
        <v>13211</v>
      </c>
      <c r="B3497" s="46" t="s">
        <v>52923</v>
      </c>
      <c r="C3497" s="58" t="str">
        <f>"09714065"</f>
        <v>09714065</v>
      </c>
      <c r="D3497" s="58" t="str">
        <f>"19983662"</f>
        <v>19983662</v>
      </c>
      <c r="E3497" s="46" t="s">
        <v>19057</v>
      </c>
      <c r="F3497" s="46" t="s">
        <v>20446</v>
      </c>
      <c r="G3497" s="46" t="s">
        <v>50584</v>
      </c>
      <c r="H3497" s="48" t="s">
        <v>56716</v>
      </c>
      <c r="I3497" s="48" t="s">
        <v>50564</v>
      </c>
      <c r="J3497" s="48"/>
      <c r="K3497" s="50"/>
      <c r="L3497" s="48"/>
    </row>
    <row r="3498" spans="1:12" s="37" customFormat="1" ht="11.25" x14ac:dyDescent="0.2">
      <c r="A3498" s="46" t="s">
        <v>15884</v>
      </c>
      <c r="B3498" s="46" t="s">
        <v>52924</v>
      </c>
      <c r="C3498" s="58" t="str">
        <f>"09755500"</f>
        <v>09755500</v>
      </c>
      <c r="D3498" s="58" t="str">
        <f>""</f>
        <v/>
      </c>
      <c r="E3498" s="46" t="s">
        <v>15886</v>
      </c>
      <c r="F3498" s="46" t="s">
        <v>20446</v>
      </c>
      <c r="G3498" s="46" t="s">
        <v>50584</v>
      </c>
      <c r="H3498" s="48" t="s">
        <v>56716</v>
      </c>
      <c r="I3498" s="48" t="s">
        <v>50564</v>
      </c>
      <c r="J3498" s="48"/>
      <c r="K3498" s="50"/>
      <c r="L3498" s="48"/>
    </row>
    <row r="3499" spans="1:12" s="37" customFormat="1" ht="11.25" x14ac:dyDescent="0.2">
      <c r="A3499" s="46" t="s">
        <v>13208</v>
      </c>
      <c r="B3499" s="46" t="s">
        <v>52925</v>
      </c>
      <c r="C3499" s="58" t="str">
        <f>"09723919"</f>
        <v>09723919</v>
      </c>
      <c r="D3499" s="58" t="str">
        <f>"09740244"</f>
        <v>09740244</v>
      </c>
      <c r="E3499" s="46" t="s">
        <v>19057</v>
      </c>
      <c r="F3499" s="46" t="s">
        <v>20446</v>
      </c>
      <c r="G3499" s="46" t="s">
        <v>50584</v>
      </c>
      <c r="H3499" s="48" t="s">
        <v>56716</v>
      </c>
      <c r="I3499" s="48" t="s">
        <v>50564</v>
      </c>
      <c r="J3499" s="48"/>
      <c r="K3499" s="50"/>
      <c r="L3499" s="48"/>
    </row>
    <row r="3500" spans="1:12" s="37" customFormat="1" ht="11.25" x14ac:dyDescent="0.2">
      <c r="A3500" s="46" t="s">
        <v>7981</v>
      </c>
      <c r="B3500" s="46" t="s">
        <v>52926</v>
      </c>
      <c r="C3500" s="58" t="str">
        <f>"09732284"</f>
        <v>09732284</v>
      </c>
      <c r="D3500" s="58" t="str">
        <f>"19983670"</f>
        <v>19983670</v>
      </c>
      <c r="E3500" s="46" t="s">
        <v>19057</v>
      </c>
      <c r="F3500" s="46" t="s">
        <v>20446</v>
      </c>
      <c r="G3500" s="46" t="s">
        <v>50584</v>
      </c>
      <c r="H3500" s="48" t="s">
        <v>56716</v>
      </c>
      <c r="I3500" s="48" t="s">
        <v>50564</v>
      </c>
      <c r="J3500" s="48"/>
      <c r="K3500" s="50"/>
      <c r="L3500" s="48"/>
    </row>
    <row r="3501" spans="1:12" s="37" customFormat="1" ht="11.25" x14ac:dyDescent="0.2">
      <c r="A3501" s="45" t="s">
        <v>31843</v>
      </c>
      <c r="B3501" s="45" t="s">
        <v>31845</v>
      </c>
      <c r="C3501" s="51" t="s">
        <v>31848</v>
      </c>
      <c r="D3501" s="51" t="s">
        <v>31847</v>
      </c>
      <c r="E3501" s="45" t="s">
        <v>19057</v>
      </c>
      <c r="F3501" s="45" t="s">
        <v>20446</v>
      </c>
      <c r="G3501" s="45" t="s">
        <v>50584</v>
      </c>
      <c r="H3501" s="56"/>
      <c r="I3501" s="56" t="s">
        <v>50564</v>
      </c>
      <c r="J3501" s="56"/>
      <c r="K3501" s="50"/>
      <c r="L3501" s="56" t="s">
        <v>56716</v>
      </c>
    </row>
    <row r="3502" spans="1:12" s="37" customFormat="1" ht="11.25" x14ac:dyDescent="0.2">
      <c r="A3502" s="46" t="s">
        <v>7688</v>
      </c>
      <c r="B3502" s="46" t="s">
        <v>52927</v>
      </c>
      <c r="C3502" s="58" t="str">
        <f>"09717749"</f>
        <v>09717749</v>
      </c>
      <c r="D3502" s="58" t="str">
        <f>"22499520"</f>
        <v>22499520</v>
      </c>
      <c r="E3502" s="46" t="s">
        <v>19057</v>
      </c>
      <c r="F3502" s="46" t="s">
        <v>20446</v>
      </c>
      <c r="G3502" s="46" t="s">
        <v>50584</v>
      </c>
      <c r="H3502" s="48" t="s">
        <v>56716</v>
      </c>
      <c r="I3502" s="48" t="s">
        <v>50564</v>
      </c>
      <c r="J3502" s="48"/>
      <c r="K3502" s="50"/>
      <c r="L3502" s="48"/>
    </row>
    <row r="3503" spans="1:12" s="37" customFormat="1" ht="11.25" x14ac:dyDescent="0.2">
      <c r="A3503" s="46" t="s">
        <v>1971</v>
      </c>
      <c r="B3503" s="46" t="s">
        <v>52928</v>
      </c>
      <c r="C3503" s="58" t="str">
        <f>"03774929"</f>
        <v>03774929</v>
      </c>
      <c r="D3503" s="58" t="str">
        <f>"09745130"</f>
        <v>09745130</v>
      </c>
      <c r="E3503" s="46" t="s">
        <v>19057</v>
      </c>
      <c r="F3503" s="46" t="s">
        <v>20446</v>
      </c>
      <c r="G3503" s="46" t="s">
        <v>50584</v>
      </c>
      <c r="H3503" s="48" t="s">
        <v>56716</v>
      </c>
      <c r="I3503" s="48" t="s">
        <v>50564</v>
      </c>
      <c r="J3503" s="48"/>
      <c r="K3503" s="50"/>
      <c r="L3503" s="48" t="s">
        <v>56716</v>
      </c>
    </row>
    <row r="3504" spans="1:12" s="37" customFormat="1" ht="11.25" x14ac:dyDescent="0.2">
      <c r="A3504" s="46" t="s">
        <v>1974</v>
      </c>
      <c r="B3504" s="46" t="s">
        <v>52929</v>
      </c>
      <c r="C3504" s="58" t="str">
        <f>"00195456"</f>
        <v>00195456</v>
      </c>
      <c r="D3504" s="58" t="str">
        <f>"09737693"</f>
        <v>09737693</v>
      </c>
      <c r="E3504" s="46" t="s">
        <v>1977</v>
      </c>
      <c r="F3504" s="46" t="s">
        <v>20446</v>
      </c>
      <c r="G3504" s="46" t="s">
        <v>50584</v>
      </c>
      <c r="H3504" s="48" t="s">
        <v>56716</v>
      </c>
      <c r="I3504" s="48" t="s">
        <v>50564</v>
      </c>
      <c r="J3504" s="48"/>
      <c r="K3504" s="50" t="s">
        <v>56716</v>
      </c>
      <c r="L3504" s="48" t="s">
        <v>56716</v>
      </c>
    </row>
    <row r="3505" spans="1:12" s="37" customFormat="1" ht="11.25" x14ac:dyDescent="0.2">
      <c r="A3505" s="46" t="s">
        <v>13782</v>
      </c>
      <c r="B3505" s="46" t="s">
        <v>52930</v>
      </c>
      <c r="C3505" s="58" t="str">
        <f>"00195464"</f>
        <v>00195464</v>
      </c>
      <c r="D3505" s="58" t="str">
        <f>""</f>
        <v/>
      </c>
      <c r="E3505" s="46" t="s">
        <v>13784</v>
      </c>
      <c r="F3505" s="46" t="s">
        <v>20446</v>
      </c>
      <c r="G3505" s="46" t="s">
        <v>50584</v>
      </c>
      <c r="H3505" s="48" t="s">
        <v>56716</v>
      </c>
      <c r="I3505" s="48" t="s">
        <v>50564</v>
      </c>
      <c r="J3505" s="48"/>
      <c r="K3505" s="50"/>
      <c r="L3505" s="48"/>
    </row>
    <row r="3506" spans="1:12" s="37" customFormat="1" ht="11.25" x14ac:dyDescent="0.2">
      <c r="A3506" s="46" t="s">
        <v>2000</v>
      </c>
      <c r="B3506" s="46" t="s">
        <v>52931</v>
      </c>
      <c r="C3506" s="58" t="str">
        <f>"0250474X"</f>
        <v>0250474X</v>
      </c>
      <c r="D3506" s="58" t="str">
        <f>"19983743"</f>
        <v>19983743</v>
      </c>
      <c r="E3506" s="46" t="s">
        <v>19057</v>
      </c>
      <c r="F3506" s="46" t="s">
        <v>20446</v>
      </c>
      <c r="G3506" s="46" t="s">
        <v>50584</v>
      </c>
      <c r="H3506" s="48" t="s">
        <v>56716</v>
      </c>
      <c r="I3506" s="48" t="s">
        <v>50564</v>
      </c>
      <c r="J3506" s="48"/>
      <c r="K3506" s="50"/>
      <c r="L3506" s="48"/>
    </row>
    <row r="3507" spans="1:12" s="37" customFormat="1" ht="11.25" x14ac:dyDescent="0.2">
      <c r="A3507" s="46" t="s">
        <v>2048</v>
      </c>
      <c r="B3507" s="46" t="s">
        <v>52932</v>
      </c>
      <c r="C3507" s="58" t="str">
        <f>"02537613"</f>
        <v>02537613</v>
      </c>
      <c r="D3507" s="58" t="str">
        <f>"19983751"</f>
        <v>19983751</v>
      </c>
      <c r="E3507" s="46" t="s">
        <v>19057</v>
      </c>
      <c r="F3507" s="46" t="s">
        <v>20446</v>
      </c>
      <c r="G3507" s="46" t="s">
        <v>50584</v>
      </c>
      <c r="H3507" s="48" t="s">
        <v>56716</v>
      </c>
      <c r="I3507" s="48" t="s">
        <v>50564</v>
      </c>
      <c r="J3507" s="48"/>
      <c r="K3507" s="50"/>
      <c r="L3507" s="48" t="s">
        <v>56716</v>
      </c>
    </row>
    <row r="3508" spans="1:12" s="37" customFormat="1" ht="11.25" x14ac:dyDescent="0.2">
      <c r="A3508" s="46" t="s">
        <v>1981</v>
      </c>
      <c r="B3508" s="46" t="s">
        <v>52933</v>
      </c>
      <c r="C3508" s="58" t="str">
        <f>"00195499"</f>
        <v>00195499</v>
      </c>
      <c r="D3508" s="58" t="str">
        <f>""</f>
        <v/>
      </c>
      <c r="E3508" s="46" t="s">
        <v>1983</v>
      </c>
      <c r="F3508" s="46" t="s">
        <v>20446</v>
      </c>
      <c r="G3508" s="46" t="s">
        <v>50584</v>
      </c>
      <c r="H3508" s="48" t="s">
        <v>56716</v>
      </c>
      <c r="I3508" s="48" t="s">
        <v>50564</v>
      </c>
      <c r="J3508" s="48"/>
      <c r="K3508" s="50"/>
      <c r="L3508" s="48" t="s">
        <v>56716</v>
      </c>
    </row>
    <row r="3509" spans="1:12" s="37" customFormat="1" ht="11.25" x14ac:dyDescent="0.2">
      <c r="A3509" s="46" t="s">
        <v>1997</v>
      </c>
      <c r="B3509" s="46" t="s">
        <v>52934</v>
      </c>
      <c r="C3509" s="58" t="str">
        <f>"00195545"</f>
        <v>00195545</v>
      </c>
      <c r="D3509" s="58" t="str">
        <f>"19983794"</f>
        <v>19983794</v>
      </c>
      <c r="E3509" s="46" t="s">
        <v>19057</v>
      </c>
      <c r="F3509" s="46" t="s">
        <v>20446</v>
      </c>
      <c r="G3509" s="46" t="s">
        <v>50584</v>
      </c>
      <c r="H3509" s="48" t="s">
        <v>56716</v>
      </c>
      <c r="I3509" s="48" t="s">
        <v>50564</v>
      </c>
      <c r="J3509" s="48"/>
      <c r="K3509" s="50"/>
      <c r="L3509" s="48"/>
    </row>
    <row r="3510" spans="1:12" s="37" customFormat="1" ht="11.25" x14ac:dyDescent="0.2">
      <c r="A3510" s="45" t="s">
        <v>31871</v>
      </c>
      <c r="B3510" s="45" t="s">
        <v>31873</v>
      </c>
      <c r="C3510" s="51" t="s">
        <v>31874</v>
      </c>
      <c r="D3510" s="51"/>
      <c r="E3510" s="45" t="s">
        <v>20489</v>
      </c>
      <c r="F3510" s="45" t="s">
        <v>20446</v>
      </c>
      <c r="G3510" s="45" t="s">
        <v>50584</v>
      </c>
      <c r="H3510" s="56"/>
      <c r="I3510" s="56" t="s">
        <v>50564</v>
      </c>
      <c r="J3510" s="56"/>
      <c r="K3510" s="50"/>
      <c r="L3510" s="56" t="s">
        <v>56716</v>
      </c>
    </row>
    <row r="3511" spans="1:12" s="37" customFormat="1" ht="11.25" x14ac:dyDescent="0.2">
      <c r="A3511" s="46" t="s">
        <v>14906</v>
      </c>
      <c r="B3511" s="46" t="s">
        <v>52935</v>
      </c>
      <c r="C3511" s="58" t="str">
        <f>"09760245"</f>
        <v>09760245</v>
      </c>
      <c r="D3511" s="58" t="str">
        <f>""</f>
        <v/>
      </c>
      <c r="E3511" s="46" t="s">
        <v>14906</v>
      </c>
      <c r="F3511" s="46" t="s">
        <v>20446</v>
      </c>
      <c r="G3511" s="46" t="s">
        <v>50584</v>
      </c>
      <c r="H3511" s="48" t="s">
        <v>56716</v>
      </c>
      <c r="I3511" s="48" t="s">
        <v>50564</v>
      </c>
      <c r="J3511" s="48"/>
      <c r="K3511" s="50"/>
      <c r="L3511" s="48"/>
    </row>
    <row r="3512" spans="1:12" s="37" customFormat="1" ht="11.25" x14ac:dyDescent="0.2">
      <c r="A3512" s="46" t="s">
        <v>1994</v>
      </c>
      <c r="B3512" s="46" t="s">
        <v>52936</v>
      </c>
      <c r="C3512" s="58" t="str">
        <f>"09713026"</f>
        <v>09713026</v>
      </c>
      <c r="D3512" s="58" t="str">
        <f>"19983808"</f>
        <v>19983808</v>
      </c>
      <c r="E3512" s="46" t="s">
        <v>19057</v>
      </c>
      <c r="F3512" s="46" t="s">
        <v>20446</v>
      </c>
      <c r="G3512" s="46" t="s">
        <v>50584</v>
      </c>
      <c r="H3512" s="48" t="s">
        <v>56716</v>
      </c>
      <c r="I3512" s="48" t="s">
        <v>50564</v>
      </c>
      <c r="J3512" s="48"/>
      <c r="K3512" s="50"/>
      <c r="L3512" s="48"/>
    </row>
    <row r="3513" spans="1:12" s="37" customFormat="1" ht="11.25" x14ac:dyDescent="0.2">
      <c r="A3513" s="46" t="s">
        <v>12666</v>
      </c>
      <c r="B3513" s="46" t="s">
        <v>52937</v>
      </c>
      <c r="C3513" s="58" t="str">
        <f>"09733698"</f>
        <v>09733698</v>
      </c>
      <c r="D3513" s="58" t="str">
        <f>""</f>
        <v/>
      </c>
      <c r="E3513" s="46" t="s">
        <v>2776</v>
      </c>
      <c r="F3513" s="46" t="s">
        <v>19491</v>
      </c>
      <c r="G3513" s="46" t="s">
        <v>50584</v>
      </c>
      <c r="H3513" s="48" t="s">
        <v>56716</v>
      </c>
      <c r="I3513" s="48" t="s">
        <v>50564</v>
      </c>
      <c r="J3513" s="48" t="s">
        <v>56716</v>
      </c>
      <c r="K3513" s="50" t="s">
        <v>56716</v>
      </c>
      <c r="L3513" s="48"/>
    </row>
    <row r="3514" spans="1:12" s="37" customFormat="1" ht="11.25" x14ac:dyDescent="0.2">
      <c r="A3514" s="46" t="s">
        <v>2089</v>
      </c>
      <c r="B3514" s="46" t="s">
        <v>52938</v>
      </c>
      <c r="C3514" s="58" t="str">
        <f>"02537184"</f>
        <v>02537184</v>
      </c>
      <c r="D3514" s="58" t="str">
        <f>"19983816"</f>
        <v>19983816</v>
      </c>
      <c r="E3514" s="46" t="s">
        <v>19057</v>
      </c>
      <c r="F3514" s="46" t="s">
        <v>20446</v>
      </c>
      <c r="G3514" s="46" t="s">
        <v>50584</v>
      </c>
      <c r="H3514" s="48" t="s">
        <v>56716</v>
      </c>
      <c r="I3514" s="48" t="s">
        <v>50564</v>
      </c>
      <c r="J3514" s="48"/>
      <c r="K3514" s="50"/>
      <c r="L3514" s="48"/>
    </row>
    <row r="3515" spans="1:12" s="37" customFormat="1" ht="11.25" x14ac:dyDescent="0.2">
      <c r="A3515" s="46" t="s">
        <v>15782</v>
      </c>
      <c r="B3515" s="46" t="s">
        <v>52939</v>
      </c>
      <c r="C3515" s="58" t="str">
        <f>"09757651"</f>
        <v>09757651</v>
      </c>
      <c r="D3515" s="58" t="str">
        <f>"09766952"</f>
        <v>09766952</v>
      </c>
      <c r="E3515" s="46" t="s">
        <v>1977</v>
      </c>
      <c r="F3515" s="46" t="s">
        <v>20446</v>
      </c>
      <c r="G3515" s="46" t="s">
        <v>50584</v>
      </c>
      <c r="H3515" s="48" t="s">
        <v>56716</v>
      </c>
      <c r="I3515" s="48" t="s">
        <v>50564</v>
      </c>
      <c r="J3515" s="48" t="s">
        <v>56716</v>
      </c>
      <c r="K3515" s="50"/>
      <c r="L3515" s="48"/>
    </row>
    <row r="3516" spans="1:12" s="37" customFormat="1" ht="11.25" x14ac:dyDescent="0.2">
      <c r="A3516" s="46" t="s">
        <v>15978</v>
      </c>
      <c r="B3516" s="46" t="s">
        <v>52940</v>
      </c>
      <c r="C3516" s="58" t="str">
        <f>"22120017"</f>
        <v>22120017</v>
      </c>
      <c r="D3516" s="58" t="str">
        <f>"22120025"</f>
        <v>22120025</v>
      </c>
      <c r="E3516" s="46" t="s">
        <v>91</v>
      </c>
      <c r="F3516" s="46" t="s">
        <v>18001</v>
      </c>
      <c r="G3516" s="46" t="s">
        <v>50584</v>
      </c>
      <c r="H3516" s="48" t="s">
        <v>56716</v>
      </c>
      <c r="I3516" s="48" t="s">
        <v>50564</v>
      </c>
      <c r="J3516" s="48" t="s">
        <v>56716</v>
      </c>
      <c r="K3516" s="50" t="s">
        <v>56716</v>
      </c>
      <c r="L3516" s="48"/>
    </row>
    <row r="3517" spans="1:12" s="37" customFormat="1" ht="11.25" x14ac:dyDescent="0.2">
      <c r="A3517" s="46" t="s">
        <v>2003</v>
      </c>
      <c r="B3517" s="46" t="s">
        <v>52941</v>
      </c>
      <c r="C3517" s="58" t="str">
        <f>"00195707"</f>
        <v>00195707</v>
      </c>
      <c r="D3517" s="58" t="str">
        <f>""</f>
        <v/>
      </c>
      <c r="E3517" s="46" t="s">
        <v>2005</v>
      </c>
      <c r="F3517" s="46" t="s">
        <v>20446</v>
      </c>
      <c r="G3517" s="46" t="s">
        <v>50584</v>
      </c>
      <c r="H3517" s="48" t="s">
        <v>56716</v>
      </c>
      <c r="I3517" s="48" t="s">
        <v>50564</v>
      </c>
      <c r="J3517" s="48"/>
      <c r="K3517" s="50"/>
      <c r="L3517" s="48" t="s">
        <v>56716</v>
      </c>
    </row>
    <row r="3518" spans="1:12" s="37" customFormat="1" ht="11.25" x14ac:dyDescent="0.2">
      <c r="A3518" s="46" t="s">
        <v>11557</v>
      </c>
      <c r="B3518" s="46" t="s">
        <v>52942</v>
      </c>
      <c r="C3518" s="58" t="str">
        <f>"09701591"</f>
        <v>09701591</v>
      </c>
      <c r="D3518" s="58" t="str">
        <f>"19983824"</f>
        <v>19983824</v>
      </c>
      <c r="E3518" s="46" t="s">
        <v>19057</v>
      </c>
      <c r="F3518" s="46" t="s">
        <v>20446</v>
      </c>
      <c r="G3518" s="46" t="s">
        <v>50584</v>
      </c>
      <c r="H3518" s="48" t="s">
        <v>56716</v>
      </c>
      <c r="I3518" s="48" t="s">
        <v>50564</v>
      </c>
      <c r="J3518" s="48"/>
      <c r="K3518" s="50"/>
      <c r="L3518" s="48"/>
    </row>
    <row r="3519" spans="1:12" s="37" customFormat="1" ht="11.25" x14ac:dyDescent="0.2">
      <c r="A3519" s="46" t="s">
        <v>13821</v>
      </c>
      <c r="B3519" s="46" t="s">
        <v>52943</v>
      </c>
      <c r="C3519" s="58" t="str">
        <f>"09702822"</f>
        <v>09702822</v>
      </c>
      <c r="D3519" s="58" t="str">
        <f>"09740120"</f>
        <v>09740120</v>
      </c>
      <c r="E3519" s="46" t="s">
        <v>1977</v>
      </c>
      <c r="F3519" s="46" t="s">
        <v>20446</v>
      </c>
      <c r="G3519" s="46" t="s">
        <v>50584</v>
      </c>
      <c r="H3519" s="48" t="s">
        <v>56716</v>
      </c>
      <c r="I3519" s="48" t="s">
        <v>50564</v>
      </c>
      <c r="J3519" s="48"/>
      <c r="K3519" s="50"/>
      <c r="L3519" s="48"/>
    </row>
    <row r="3520" spans="1:12" s="37" customFormat="1" ht="11.25" x14ac:dyDescent="0.2">
      <c r="A3520" s="46" t="s">
        <v>9760</v>
      </c>
      <c r="B3520" s="46" t="s">
        <v>52944</v>
      </c>
      <c r="C3520" s="58" t="str">
        <f>""</f>
        <v/>
      </c>
      <c r="D3520" s="58" t="str">
        <f>"09726292"</f>
        <v>09726292</v>
      </c>
      <c r="E3520" s="46" t="s">
        <v>9762</v>
      </c>
      <c r="F3520" s="46" t="s">
        <v>20446</v>
      </c>
      <c r="G3520" s="46" t="s">
        <v>50584</v>
      </c>
      <c r="H3520" s="48" t="s">
        <v>56716</v>
      </c>
      <c r="I3520" s="48" t="s">
        <v>50564</v>
      </c>
      <c r="J3520" s="48"/>
      <c r="K3520" s="50"/>
      <c r="L3520" s="48"/>
    </row>
    <row r="3521" spans="1:12" s="37" customFormat="1" ht="11.25" x14ac:dyDescent="0.2">
      <c r="A3521" s="46" t="s">
        <v>2060</v>
      </c>
      <c r="B3521" s="46" t="s">
        <v>52945</v>
      </c>
      <c r="C3521" s="58" t="str">
        <f>"00196061"</f>
        <v>00196061</v>
      </c>
      <c r="D3521" s="58" t="str">
        <f>"09747559"</f>
        <v>09747559</v>
      </c>
      <c r="E3521" s="46" t="s">
        <v>1977</v>
      </c>
      <c r="F3521" s="46" t="s">
        <v>20446</v>
      </c>
      <c r="G3521" s="46" t="s">
        <v>50584</v>
      </c>
      <c r="H3521" s="48" t="s">
        <v>56716</v>
      </c>
      <c r="I3521" s="48" t="s">
        <v>50564</v>
      </c>
      <c r="J3521" s="48"/>
      <c r="K3521" s="50"/>
      <c r="L3521" s="48" t="s">
        <v>56716</v>
      </c>
    </row>
    <row r="3522" spans="1:12" s="37" customFormat="1" ht="11.25" x14ac:dyDescent="0.2">
      <c r="A3522" s="46" t="s">
        <v>16189</v>
      </c>
      <c r="B3522" s="46" t="s">
        <v>52946</v>
      </c>
      <c r="C3522" s="58" t="str">
        <f>"22491023"</f>
        <v>22491023</v>
      </c>
      <c r="D3522" s="58" t="str">
        <f>""</f>
        <v/>
      </c>
      <c r="E3522" s="46" t="s">
        <v>16189</v>
      </c>
      <c r="F3522" s="46" t="s">
        <v>20446</v>
      </c>
      <c r="G3522" s="46" t="s">
        <v>50584</v>
      </c>
      <c r="H3522" s="48" t="s">
        <v>56716</v>
      </c>
      <c r="I3522" s="48" t="s">
        <v>50564</v>
      </c>
      <c r="J3522" s="48"/>
      <c r="K3522" s="50"/>
      <c r="L3522" s="48"/>
    </row>
    <row r="3523" spans="1:12" s="37" customFormat="1" ht="11.25" x14ac:dyDescent="0.2">
      <c r="A3523" s="45" t="s">
        <v>31886</v>
      </c>
      <c r="B3523" s="45" t="s">
        <v>31888</v>
      </c>
      <c r="C3523" s="51" t="s">
        <v>31890</v>
      </c>
      <c r="D3523" s="51" t="s">
        <v>31889</v>
      </c>
      <c r="E3523" s="45" t="s">
        <v>21146</v>
      </c>
      <c r="F3523" s="45" t="s">
        <v>50646</v>
      </c>
      <c r="G3523" s="45" t="s">
        <v>50584</v>
      </c>
      <c r="H3523" s="56"/>
      <c r="I3523" s="56" t="s">
        <v>50564</v>
      </c>
      <c r="J3523" s="56"/>
      <c r="K3523" s="50"/>
      <c r="L3523" s="56" t="s">
        <v>56716</v>
      </c>
    </row>
    <row r="3524" spans="1:12" s="37" customFormat="1" ht="11.25" x14ac:dyDescent="0.2">
      <c r="A3524" s="46" t="s">
        <v>7914</v>
      </c>
      <c r="B3524" s="46" t="s">
        <v>52947</v>
      </c>
      <c r="C3524" s="58" t="str">
        <f>"1420326X"</f>
        <v>1420326X</v>
      </c>
      <c r="D3524" s="58" t="str">
        <f>"14230070"</f>
        <v>14230070</v>
      </c>
      <c r="E3524" s="46" t="s">
        <v>97</v>
      </c>
      <c r="F3524" s="46" t="s">
        <v>50646</v>
      </c>
      <c r="G3524" s="46" t="s">
        <v>50584</v>
      </c>
      <c r="H3524" s="48" t="s">
        <v>56716</v>
      </c>
      <c r="I3524" s="48" t="s">
        <v>50564</v>
      </c>
      <c r="J3524" s="48" t="s">
        <v>56716</v>
      </c>
      <c r="K3524" s="50"/>
      <c r="L3524" s="48"/>
    </row>
    <row r="3525" spans="1:12" s="37" customFormat="1" ht="11.25" x14ac:dyDescent="0.2">
      <c r="A3525" s="45" t="s">
        <v>31892</v>
      </c>
      <c r="B3525" s="45" t="s">
        <v>31894</v>
      </c>
      <c r="C3525" s="51" t="s">
        <v>31897</v>
      </c>
      <c r="D3525" s="51" t="s">
        <v>31896</v>
      </c>
      <c r="E3525" s="45" t="s">
        <v>56582</v>
      </c>
      <c r="F3525" s="45" t="s">
        <v>18242</v>
      </c>
      <c r="G3525" s="45" t="s">
        <v>50584</v>
      </c>
      <c r="H3525" s="56"/>
      <c r="I3525" s="56" t="s">
        <v>50564</v>
      </c>
      <c r="J3525" s="56"/>
      <c r="K3525" s="50"/>
      <c r="L3525" s="56" t="s">
        <v>56716</v>
      </c>
    </row>
    <row r="3526" spans="1:12" s="37" customFormat="1" ht="11.25" x14ac:dyDescent="0.2">
      <c r="A3526" s="46" t="s">
        <v>15864</v>
      </c>
      <c r="B3526" s="46" t="s">
        <v>52948</v>
      </c>
      <c r="C3526" s="58" t="str">
        <f>"17414911"</f>
        <v>17414911</v>
      </c>
      <c r="D3526" s="58" t="str">
        <f>""</f>
        <v/>
      </c>
      <c r="E3526" s="46" t="s">
        <v>14212</v>
      </c>
      <c r="F3526" s="46" t="s">
        <v>50646</v>
      </c>
      <c r="G3526" s="46" t="s">
        <v>50584</v>
      </c>
      <c r="H3526" s="48" t="s">
        <v>56716</v>
      </c>
      <c r="I3526" s="48" t="s">
        <v>50566</v>
      </c>
      <c r="J3526" s="48"/>
      <c r="K3526" s="50"/>
      <c r="L3526" s="48"/>
    </row>
    <row r="3527" spans="1:12" s="37" customFormat="1" ht="11.25" x14ac:dyDescent="0.2">
      <c r="A3527" s="46" t="s">
        <v>8580</v>
      </c>
      <c r="B3527" s="46" t="s">
        <v>8580</v>
      </c>
      <c r="C3527" s="58" t="str">
        <f>"15250008"</f>
        <v>15250008</v>
      </c>
      <c r="D3527" s="58" t="str">
        <f>"15327078"</f>
        <v>15327078</v>
      </c>
      <c r="E3527" s="46" t="s">
        <v>548</v>
      </c>
      <c r="F3527" s="46" t="s">
        <v>17759</v>
      </c>
      <c r="G3527" s="46" t="s">
        <v>50584</v>
      </c>
      <c r="H3527" s="48" t="s">
        <v>56716</v>
      </c>
      <c r="I3527" s="48" t="s">
        <v>50564</v>
      </c>
      <c r="J3527" s="48"/>
      <c r="K3527" s="50" t="s">
        <v>56716</v>
      </c>
      <c r="L3527" s="48"/>
    </row>
    <row r="3528" spans="1:12" s="37" customFormat="1" ht="11.25" x14ac:dyDescent="0.2">
      <c r="A3528" s="46" t="s">
        <v>1861</v>
      </c>
      <c r="B3528" s="46" t="s">
        <v>52949</v>
      </c>
      <c r="C3528" s="58" t="str">
        <f>"01636383"</f>
        <v>01636383</v>
      </c>
      <c r="D3528" s="58" t="str">
        <f>"19348800"</f>
        <v>19348800</v>
      </c>
      <c r="E3528" s="46" t="s">
        <v>155</v>
      </c>
      <c r="F3528" s="46" t="s">
        <v>50646</v>
      </c>
      <c r="G3528" s="46" t="s">
        <v>50584</v>
      </c>
      <c r="H3528" s="48" t="s">
        <v>56716</v>
      </c>
      <c r="I3528" s="48" t="s">
        <v>50564</v>
      </c>
      <c r="J3528" s="48" t="s">
        <v>56716</v>
      </c>
      <c r="K3528" s="50"/>
      <c r="L3528" s="48" t="s">
        <v>56716</v>
      </c>
    </row>
    <row r="3529" spans="1:12" s="37" customFormat="1" ht="11.25" x14ac:dyDescent="0.2">
      <c r="A3529" s="46" t="s">
        <v>8640</v>
      </c>
      <c r="B3529" s="46" t="s">
        <v>52950</v>
      </c>
      <c r="C3529" s="58" t="str">
        <f>"01639641"</f>
        <v>01639641</v>
      </c>
      <c r="D3529" s="58" t="str">
        <f>"10970355"</f>
        <v>10970355</v>
      </c>
      <c r="E3529" s="46" t="s">
        <v>517</v>
      </c>
      <c r="F3529" s="46" t="s">
        <v>17759</v>
      </c>
      <c r="G3529" s="46" t="s">
        <v>50584</v>
      </c>
      <c r="H3529" s="48" t="s">
        <v>56716</v>
      </c>
      <c r="I3529" s="48" t="s">
        <v>50564</v>
      </c>
      <c r="J3529" s="48" t="s">
        <v>56716</v>
      </c>
      <c r="K3529" s="50" t="s">
        <v>56716</v>
      </c>
      <c r="L3529" s="48" t="s">
        <v>56716</v>
      </c>
    </row>
    <row r="3530" spans="1:12" s="37" customFormat="1" ht="11.25" x14ac:dyDescent="0.2">
      <c r="A3530" s="46" t="s">
        <v>17107</v>
      </c>
      <c r="B3530" s="46" t="s">
        <v>17107</v>
      </c>
      <c r="C3530" s="58" t="str">
        <f>"01239392"</f>
        <v>01239392</v>
      </c>
      <c r="D3530" s="58" t="str">
        <f>""</f>
        <v/>
      </c>
      <c r="E3530" s="46" t="s">
        <v>175</v>
      </c>
      <c r="F3530" s="46" t="s">
        <v>18439</v>
      </c>
      <c r="G3530" s="46" t="s">
        <v>50632</v>
      </c>
      <c r="H3530" s="48" t="s">
        <v>56716</v>
      </c>
      <c r="I3530" s="48" t="s">
        <v>50564</v>
      </c>
      <c r="J3530" s="48"/>
      <c r="K3530" s="50" t="s">
        <v>56716</v>
      </c>
      <c r="L3530" s="48"/>
    </row>
    <row r="3531" spans="1:12" s="37" customFormat="1" ht="11.25" x14ac:dyDescent="0.2">
      <c r="A3531" s="46" t="s">
        <v>1879</v>
      </c>
      <c r="B3531" s="46" t="s">
        <v>1879</v>
      </c>
      <c r="C3531" s="58" t="str">
        <f>"03008126"</f>
        <v>03008126</v>
      </c>
      <c r="D3531" s="58" t="str">
        <f>"14390973"</f>
        <v>14390973</v>
      </c>
      <c r="E3531" s="46" t="s">
        <v>6022</v>
      </c>
      <c r="F3531" s="46" t="s">
        <v>18158</v>
      </c>
      <c r="G3531" s="46" t="s">
        <v>50584</v>
      </c>
      <c r="H3531" s="48" t="s">
        <v>56716</v>
      </c>
      <c r="I3531" s="48" t="s">
        <v>50564</v>
      </c>
      <c r="J3531" s="48"/>
      <c r="K3531" s="50" t="s">
        <v>56716</v>
      </c>
      <c r="L3531" s="48" t="s">
        <v>56716</v>
      </c>
    </row>
    <row r="3532" spans="1:12" s="37" customFormat="1" ht="11.25" x14ac:dyDescent="0.2">
      <c r="A3532" s="46" t="s">
        <v>15891</v>
      </c>
      <c r="B3532" s="46" t="s">
        <v>52951</v>
      </c>
      <c r="C3532" s="58" t="str">
        <f>"20932340"</f>
        <v>20932340</v>
      </c>
      <c r="D3532" s="58" t="str">
        <f>"20926448"</f>
        <v>20926448</v>
      </c>
      <c r="E3532" s="46" t="s">
        <v>15894</v>
      </c>
      <c r="F3532" s="46" t="s">
        <v>50649</v>
      </c>
      <c r="G3532" s="46" t="s">
        <v>50607</v>
      </c>
      <c r="H3532" s="48" t="s">
        <v>56716</v>
      </c>
      <c r="I3532" s="48" t="s">
        <v>50564</v>
      </c>
      <c r="J3532" s="48"/>
      <c r="K3532" s="50"/>
      <c r="L3532" s="48"/>
    </row>
    <row r="3533" spans="1:12" s="37" customFormat="1" ht="11.25" x14ac:dyDescent="0.2">
      <c r="A3533" s="46" t="s">
        <v>13653</v>
      </c>
      <c r="B3533" s="46" t="s">
        <v>52952</v>
      </c>
      <c r="C3533" s="58" t="str">
        <f>"11786973"</f>
        <v>11786973</v>
      </c>
      <c r="D3533" s="58" t="str">
        <f>"11786973"</f>
        <v>11786973</v>
      </c>
      <c r="E3533" s="46" t="s">
        <v>11079</v>
      </c>
      <c r="F3533" s="46" t="s">
        <v>19483</v>
      </c>
      <c r="G3533" s="46" t="s">
        <v>50584</v>
      </c>
      <c r="H3533" s="48" t="s">
        <v>56716</v>
      </c>
      <c r="I3533" s="48" t="s">
        <v>50564</v>
      </c>
      <c r="J3533" s="48"/>
      <c r="K3533" s="50"/>
      <c r="L3533" s="48"/>
    </row>
    <row r="3534" spans="1:12" s="37" customFormat="1" ht="11.25" x14ac:dyDescent="0.2">
      <c r="A3534" s="46" t="s">
        <v>2039</v>
      </c>
      <c r="B3534" s="46" t="s">
        <v>52953</v>
      </c>
      <c r="C3534" s="58" t="str">
        <f>"00199567"</f>
        <v>00199567</v>
      </c>
      <c r="D3534" s="58" t="str">
        <f>"10985522"</f>
        <v>10985522</v>
      </c>
      <c r="E3534" s="46" t="s">
        <v>441</v>
      </c>
      <c r="F3534" s="46" t="s">
        <v>17759</v>
      </c>
      <c r="G3534" s="46" t="s">
        <v>50584</v>
      </c>
      <c r="H3534" s="48" t="s">
        <v>56716</v>
      </c>
      <c r="I3534" s="48" t="s">
        <v>50564</v>
      </c>
      <c r="J3534" s="48" t="s">
        <v>56716</v>
      </c>
      <c r="K3534" s="50"/>
      <c r="L3534" s="48" t="s">
        <v>56716</v>
      </c>
    </row>
    <row r="3535" spans="1:12" s="37" customFormat="1" ht="11.25" x14ac:dyDescent="0.2">
      <c r="A3535" s="46" t="s">
        <v>7337</v>
      </c>
      <c r="B3535" s="46" t="s">
        <v>52954</v>
      </c>
      <c r="C3535" s="58" t="str">
        <f>"0899823X"</f>
        <v>0899823X</v>
      </c>
      <c r="D3535" s="58" t="str">
        <f>""</f>
        <v/>
      </c>
      <c r="E3535" s="46" t="s">
        <v>7339</v>
      </c>
      <c r="F3535" s="46" t="s">
        <v>17759</v>
      </c>
      <c r="G3535" s="46" t="s">
        <v>50584</v>
      </c>
      <c r="H3535" s="48" t="s">
        <v>56716</v>
      </c>
      <c r="I3535" s="48" t="s">
        <v>50564</v>
      </c>
      <c r="J3535" s="48"/>
      <c r="K3535" s="50"/>
      <c r="L3535" s="48" t="s">
        <v>56716</v>
      </c>
    </row>
    <row r="3536" spans="1:12" s="37" customFormat="1" ht="11.25" x14ac:dyDescent="0.2">
      <c r="A3536" s="46" t="s">
        <v>16850</v>
      </c>
      <c r="B3536" s="46" t="s">
        <v>52955</v>
      </c>
      <c r="C3536" s="58" t="str">
        <f>""</f>
        <v/>
      </c>
      <c r="D3536" s="58" t="str">
        <f>"20008686"</f>
        <v>20008686</v>
      </c>
      <c r="E3536" s="46" t="s">
        <v>12818</v>
      </c>
      <c r="F3536" s="46" t="s">
        <v>18130</v>
      </c>
      <c r="G3536" s="46" t="s">
        <v>50584</v>
      </c>
      <c r="H3536" s="48" t="s">
        <v>56716</v>
      </c>
      <c r="I3536" s="48" t="s">
        <v>50564</v>
      </c>
      <c r="J3536" s="48"/>
      <c r="K3536" s="50"/>
      <c r="L3536" s="48"/>
    </row>
    <row r="3537" spans="1:12" s="37" customFormat="1" ht="11.25" x14ac:dyDescent="0.2">
      <c r="A3537" s="46" t="s">
        <v>9092</v>
      </c>
      <c r="B3537" s="46" t="s">
        <v>52956</v>
      </c>
      <c r="C3537" s="58" t="str">
        <f>"15671348"</f>
        <v>15671348</v>
      </c>
      <c r="D3537" s="58" t="str">
        <f>"15677257"</f>
        <v>15677257</v>
      </c>
      <c r="E3537" s="46" t="s">
        <v>91</v>
      </c>
      <c r="F3537" s="46" t="s">
        <v>18001</v>
      </c>
      <c r="G3537" s="46" t="s">
        <v>50584</v>
      </c>
      <c r="H3537" s="48" t="s">
        <v>56716</v>
      </c>
      <c r="I3537" s="48" t="s">
        <v>50564</v>
      </c>
      <c r="J3537" s="48" t="s">
        <v>56716</v>
      </c>
      <c r="K3537" s="50" t="s">
        <v>56716</v>
      </c>
      <c r="L3537" s="48" t="s">
        <v>56716</v>
      </c>
    </row>
    <row r="3538" spans="1:12" s="37" customFormat="1" ht="11.25" x14ac:dyDescent="0.2">
      <c r="A3538" s="46" t="s">
        <v>10109</v>
      </c>
      <c r="B3538" s="46" t="s">
        <v>52957</v>
      </c>
      <c r="C3538" s="58" t="str">
        <f>"01732129"</f>
        <v>01732129</v>
      </c>
      <c r="D3538" s="58" t="str">
        <f>""</f>
        <v/>
      </c>
      <c r="E3538" s="46" t="s">
        <v>6022</v>
      </c>
      <c r="F3538" s="46" t="s">
        <v>18158</v>
      </c>
      <c r="G3538" s="46" t="s">
        <v>50584</v>
      </c>
      <c r="H3538" s="48" t="s">
        <v>56716</v>
      </c>
      <c r="I3538" s="48" t="s">
        <v>50564</v>
      </c>
      <c r="J3538" s="48"/>
      <c r="K3538" s="50"/>
      <c r="L3538" s="48"/>
    </row>
    <row r="3539" spans="1:12" s="37" customFormat="1" ht="11.25" x14ac:dyDescent="0.2">
      <c r="A3539" s="46" t="s">
        <v>11667</v>
      </c>
      <c r="B3539" s="46" t="s">
        <v>52958</v>
      </c>
      <c r="C3539" s="58" t="str">
        <f>""</f>
        <v/>
      </c>
      <c r="D3539" s="58" t="str">
        <f>"17509378"</f>
        <v>17509378</v>
      </c>
      <c r="E3539" s="46" t="s">
        <v>2299</v>
      </c>
      <c r="F3539" s="46" t="s">
        <v>50646</v>
      </c>
      <c r="G3539" s="46" t="s">
        <v>50584</v>
      </c>
      <c r="H3539" s="48" t="s">
        <v>56716</v>
      </c>
      <c r="I3539" s="48" t="s">
        <v>50564</v>
      </c>
      <c r="J3539" s="48" t="s">
        <v>56716</v>
      </c>
      <c r="K3539" s="50" t="s">
        <v>56716</v>
      </c>
      <c r="L3539" s="48"/>
    </row>
    <row r="3540" spans="1:12" s="37" customFormat="1" ht="11.25" x14ac:dyDescent="0.2">
      <c r="A3540" s="46" t="s">
        <v>5036</v>
      </c>
      <c r="B3540" s="46" t="s">
        <v>52959</v>
      </c>
      <c r="C3540" s="58" t="str">
        <f>"08915520"</f>
        <v>08915520</v>
      </c>
      <c r="D3540" s="58" t="str">
        <f>"15579824"</f>
        <v>15579824</v>
      </c>
      <c r="E3540" s="46" t="s">
        <v>303</v>
      </c>
      <c r="F3540" s="46" t="s">
        <v>17759</v>
      </c>
      <c r="G3540" s="46" t="s">
        <v>50584</v>
      </c>
      <c r="H3540" s="48" t="s">
        <v>56716</v>
      </c>
      <c r="I3540" s="48" t="s">
        <v>50564</v>
      </c>
      <c r="J3540" s="48"/>
      <c r="K3540" s="50" t="s">
        <v>56716</v>
      </c>
      <c r="L3540" s="48" t="s">
        <v>56716</v>
      </c>
    </row>
    <row r="3541" spans="1:12" s="37" customFormat="1" ht="11.25" x14ac:dyDescent="0.2">
      <c r="A3541" s="46" t="s">
        <v>15173</v>
      </c>
      <c r="B3541" s="46" t="s">
        <v>52960</v>
      </c>
      <c r="C3541" s="58" t="str">
        <f>""</f>
        <v/>
      </c>
      <c r="D3541" s="58" t="str">
        <f>"20367449"</f>
        <v>20367449</v>
      </c>
      <c r="E3541" s="46" t="s">
        <v>1949</v>
      </c>
      <c r="F3541" s="46" t="s">
        <v>17991</v>
      </c>
      <c r="G3541" s="46" t="s">
        <v>50584</v>
      </c>
      <c r="H3541" s="48" t="s">
        <v>56716</v>
      </c>
      <c r="I3541" s="48" t="s">
        <v>50564</v>
      </c>
      <c r="J3541" s="48"/>
      <c r="K3541" s="50"/>
      <c r="L3541" s="48"/>
    </row>
    <row r="3542" spans="1:12" s="37" customFormat="1" ht="11.25" x14ac:dyDescent="0.2">
      <c r="A3542" s="46" t="s">
        <v>17553</v>
      </c>
      <c r="B3542" s="46" t="s">
        <v>52961</v>
      </c>
      <c r="C3542" s="58" t="str">
        <f>"21938229"</f>
        <v>21938229</v>
      </c>
      <c r="D3542" s="58" t="str">
        <f>"21936382"</f>
        <v>21936382</v>
      </c>
      <c r="E3542" s="46" t="s">
        <v>17556</v>
      </c>
      <c r="F3542" s="46" t="s">
        <v>17759</v>
      </c>
      <c r="G3542" s="46" t="s">
        <v>50584</v>
      </c>
      <c r="H3542" s="48" t="s">
        <v>56716</v>
      </c>
      <c r="I3542" s="48" t="s">
        <v>50564</v>
      </c>
      <c r="J3542" s="48" t="s">
        <v>56716</v>
      </c>
      <c r="K3542" s="50"/>
      <c r="L3542" s="48"/>
    </row>
    <row r="3543" spans="1:12" s="37" customFormat="1" ht="11.25" x14ac:dyDescent="0.2">
      <c r="A3543" s="46" t="s">
        <v>6050</v>
      </c>
      <c r="B3543" s="46" t="s">
        <v>52962</v>
      </c>
      <c r="C3543" s="58" t="str">
        <f>"10569103"</f>
        <v>10569103</v>
      </c>
      <c r="D3543" s="58" t="str">
        <f>"15369943"</f>
        <v>15369943</v>
      </c>
      <c r="E3543" s="46" t="s">
        <v>28</v>
      </c>
      <c r="F3543" s="46" t="s">
        <v>17759</v>
      </c>
      <c r="G3543" s="46" t="s">
        <v>50584</v>
      </c>
      <c r="H3543" s="48" t="s">
        <v>56716</v>
      </c>
      <c r="I3543" s="48" t="s">
        <v>50564</v>
      </c>
      <c r="J3543" s="48"/>
      <c r="K3543" s="50" t="s">
        <v>56716</v>
      </c>
      <c r="L3543" s="48"/>
    </row>
    <row r="3544" spans="1:12" s="37" customFormat="1" ht="11.25" x14ac:dyDescent="0.2">
      <c r="A3544" s="46" t="s">
        <v>6164</v>
      </c>
      <c r="B3544" s="46" t="s">
        <v>52963</v>
      </c>
      <c r="C3544" s="58" t="str">
        <f>"10647449"</f>
        <v>10647449</v>
      </c>
      <c r="D3544" s="58" t="str">
        <f>"10980997"</f>
        <v>10980997</v>
      </c>
      <c r="E3544" s="46" t="s">
        <v>1412</v>
      </c>
      <c r="F3544" s="46" t="s">
        <v>17759</v>
      </c>
      <c r="G3544" s="46" t="s">
        <v>50584</v>
      </c>
      <c r="H3544" s="48" t="s">
        <v>56716</v>
      </c>
      <c r="I3544" s="48" t="s">
        <v>50564</v>
      </c>
      <c r="J3544" s="48" t="s">
        <v>56716</v>
      </c>
      <c r="K3544" s="50"/>
      <c r="L3544" s="48" t="s">
        <v>56716</v>
      </c>
    </row>
    <row r="3545" spans="1:12" s="37" customFormat="1" ht="11.25" x14ac:dyDescent="0.2">
      <c r="A3545" s="46" t="s">
        <v>17333</v>
      </c>
      <c r="B3545" s="46" t="s">
        <v>52964</v>
      </c>
      <c r="C3545" s="58" t="str">
        <f>""</f>
        <v/>
      </c>
      <c r="D3545" s="58" t="str">
        <f>"20499957"</f>
        <v>20499957</v>
      </c>
      <c r="E3545" s="46" t="s">
        <v>2299</v>
      </c>
      <c r="F3545" s="46" t="s">
        <v>50646</v>
      </c>
      <c r="G3545" s="46" t="s">
        <v>50584</v>
      </c>
      <c r="H3545" s="48" t="s">
        <v>56716</v>
      </c>
      <c r="I3545" s="48" t="s">
        <v>50564</v>
      </c>
      <c r="J3545" s="48" t="s">
        <v>56716</v>
      </c>
      <c r="K3545" s="50" t="s">
        <v>56716</v>
      </c>
      <c r="L3545" s="48"/>
    </row>
    <row r="3546" spans="1:12" s="37" customFormat="1" ht="11.25" x14ac:dyDescent="0.2">
      <c r="A3546" s="46" t="s">
        <v>10913</v>
      </c>
      <c r="B3546" s="46" t="s">
        <v>52965</v>
      </c>
      <c r="C3546" s="58" t="str">
        <f>"18715265"</f>
        <v>18715265</v>
      </c>
      <c r="D3546" s="58" t="str">
        <f>"18755852"</f>
        <v>18755852</v>
      </c>
      <c r="E3546" s="46" t="s">
        <v>6405</v>
      </c>
      <c r="F3546" s="46" t="s">
        <v>18001</v>
      </c>
      <c r="G3546" s="46" t="s">
        <v>50584</v>
      </c>
      <c r="H3546" s="48" t="s">
        <v>56716</v>
      </c>
      <c r="I3546" s="48" t="s">
        <v>50564</v>
      </c>
      <c r="J3546" s="48"/>
      <c r="K3546" s="50"/>
      <c r="L3546" s="48" t="s">
        <v>56716</v>
      </c>
    </row>
    <row r="3547" spans="1:12" s="37" customFormat="1" ht="11.25" x14ac:dyDescent="0.2">
      <c r="A3547" s="46" t="s">
        <v>9203</v>
      </c>
      <c r="B3547" s="46" t="s">
        <v>52966</v>
      </c>
      <c r="C3547" s="58" t="str">
        <f>"13312820"</f>
        <v>13312820</v>
      </c>
      <c r="D3547" s="58" t="str">
        <f>""</f>
        <v/>
      </c>
      <c r="E3547" s="46" t="s">
        <v>9205</v>
      </c>
      <c r="F3547" s="46" t="s">
        <v>18079</v>
      </c>
      <c r="G3547" s="46" t="s">
        <v>50598</v>
      </c>
      <c r="H3547" s="48" t="s">
        <v>56716</v>
      </c>
      <c r="I3547" s="48" t="s">
        <v>50564</v>
      </c>
      <c r="J3547" s="48"/>
      <c r="K3547" s="50"/>
      <c r="L3547" s="48"/>
    </row>
    <row r="3548" spans="1:12" s="37" customFormat="1" ht="11.25" x14ac:dyDescent="0.2">
      <c r="A3548" s="46" t="s">
        <v>7032</v>
      </c>
      <c r="B3548" s="46" t="s">
        <v>52967</v>
      </c>
      <c r="C3548" s="58" t="str">
        <f>"11249390"</f>
        <v>11249390</v>
      </c>
      <c r="D3548" s="58" t="str">
        <f>""</f>
        <v/>
      </c>
      <c r="E3548" s="46" t="s">
        <v>7034</v>
      </c>
      <c r="F3548" s="46" t="s">
        <v>17991</v>
      </c>
      <c r="G3548" s="46" t="s">
        <v>50603</v>
      </c>
      <c r="H3548" s="48" t="s">
        <v>56716</v>
      </c>
      <c r="I3548" s="48" t="s">
        <v>50564</v>
      </c>
      <c r="J3548" s="48"/>
      <c r="K3548" s="50"/>
      <c r="L3548" s="48" t="s">
        <v>56716</v>
      </c>
    </row>
    <row r="3549" spans="1:12" s="37" customFormat="1" ht="11.25" x14ac:dyDescent="0.2">
      <c r="A3549" s="46" t="s">
        <v>2042</v>
      </c>
      <c r="B3549" s="46" t="s">
        <v>2042</v>
      </c>
      <c r="C3549" s="58" t="str">
        <f>"03603997"</f>
        <v>03603997</v>
      </c>
      <c r="D3549" s="58" t="str">
        <f>"15732576"</f>
        <v>15732576</v>
      </c>
      <c r="E3549" s="46" t="s">
        <v>56305</v>
      </c>
      <c r="F3549" s="46" t="s">
        <v>17759</v>
      </c>
      <c r="G3549" s="46" t="s">
        <v>50584</v>
      </c>
      <c r="H3549" s="48" t="s">
        <v>56716</v>
      </c>
      <c r="I3549" s="48" t="s">
        <v>50564</v>
      </c>
      <c r="J3549" s="48"/>
      <c r="K3549" s="50" t="s">
        <v>56716</v>
      </c>
      <c r="L3549" s="48" t="s">
        <v>56716</v>
      </c>
    </row>
    <row r="3550" spans="1:12" s="37" customFormat="1" ht="11.25" x14ac:dyDescent="0.2">
      <c r="A3550" s="46" t="s">
        <v>10893</v>
      </c>
      <c r="B3550" s="46" t="s">
        <v>52968</v>
      </c>
      <c r="C3550" s="58" t="str">
        <f>"18715281"</f>
        <v>18715281</v>
      </c>
      <c r="D3550" s="58" t="str">
        <f>""</f>
        <v/>
      </c>
      <c r="E3550" s="46" t="s">
        <v>6405</v>
      </c>
      <c r="F3550" s="46" t="s">
        <v>18001</v>
      </c>
      <c r="G3550" s="46" t="s">
        <v>50584</v>
      </c>
      <c r="H3550" s="48" t="s">
        <v>56716</v>
      </c>
      <c r="I3550" s="48" t="s">
        <v>50564</v>
      </c>
      <c r="J3550" s="48"/>
      <c r="K3550" s="50"/>
      <c r="L3550" s="48" t="s">
        <v>56716</v>
      </c>
    </row>
    <row r="3551" spans="1:12" s="37" customFormat="1" ht="11.25" x14ac:dyDescent="0.2">
      <c r="A3551" s="46" t="s">
        <v>6534</v>
      </c>
      <c r="B3551" s="46" t="s">
        <v>52969</v>
      </c>
      <c r="C3551" s="58" t="str">
        <f>"10233830"</f>
        <v>10233830</v>
      </c>
      <c r="D3551" s="58" t="str">
        <f>"1420908X"</f>
        <v>1420908X</v>
      </c>
      <c r="E3551" s="46" t="s">
        <v>55921</v>
      </c>
      <c r="F3551" s="46" t="s">
        <v>18123</v>
      </c>
      <c r="G3551" s="46" t="s">
        <v>50584</v>
      </c>
      <c r="H3551" s="48" t="s">
        <v>56716</v>
      </c>
      <c r="I3551" s="48" t="s">
        <v>50564</v>
      </c>
      <c r="J3551" s="48"/>
      <c r="K3551" s="50" t="s">
        <v>56716</v>
      </c>
      <c r="L3551" s="48" t="s">
        <v>56716</v>
      </c>
    </row>
    <row r="3552" spans="1:12" s="37" customFormat="1" ht="11.25" x14ac:dyDescent="0.2">
      <c r="A3552" s="46" t="s">
        <v>13517</v>
      </c>
      <c r="B3552" s="46" t="s">
        <v>52970</v>
      </c>
      <c r="C3552" s="58" t="str">
        <f>"14667401"</f>
        <v>14667401</v>
      </c>
      <c r="D3552" s="58" t="str">
        <f>""</f>
        <v/>
      </c>
      <c r="E3552" s="46" t="s">
        <v>13516</v>
      </c>
      <c r="F3552" s="46" t="s">
        <v>50646</v>
      </c>
      <c r="G3552" s="46" t="s">
        <v>50584</v>
      </c>
      <c r="H3552" s="48" t="s">
        <v>56716</v>
      </c>
      <c r="I3552" s="48" t="s">
        <v>50564</v>
      </c>
      <c r="J3552" s="48"/>
      <c r="K3552" s="50"/>
      <c r="L3552" s="48"/>
    </row>
    <row r="3553" spans="1:12" s="37" customFormat="1" ht="11.25" x14ac:dyDescent="0.2">
      <c r="A3553" s="46" t="s">
        <v>6522</v>
      </c>
      <c r="B3553" s="46" t="s">
        <v>52971</v>
      </c>
      <c r="C3553" s="58" t="str">
        <f>"10780998"</f>
        <v>10780998</v>
      </c>
      <c r="D3553" s="58" t="str">
        <f>"15364844"</f>
        <v>15364844</v>
      </c>
      <c r="E3553" s="46" t="s">
        <v>28</v>
      </c>
      <c r="F3553" s="46" t="s">
        <v>17759</v>
      </c>
      <c r="G3553" s="46" t="s">
        <v>50584</v>
      </c>
      <c r="H3553" s="48" t="s">
        <v>56716</v>
      </c>
      <c r="I3553" s="48" t="s">
        <v>50564</v>
      </c>
      <c r="J3553" s="48" t="s">
        <v>56716</v>
      </c>
      <c r="K3553" s="50"/>
      <c r="L3553" s="48" t="s">
        <v>56716</v>
      </c>
    </row>
    <row r="3554" spans="1:12" s="37" customFormat="1" ht="11.25" x14ac:dyDescent="0.2">
      <c r="A3554" s="46" t="s">
        <v>5406</v>
      </c>
      <c r="B3554" s="46" t="s">
        <v>5406</v>
      </c>
      <c r="C3554" s="58" t="str">
        <f>"09254692"</f>
        <v>09254692</v>
      </c>
      <c r="D3554" s="58" t="str">
        <f>"15685608"</f>
        <v>15685608</v>
      </c>
      <c r="E3554" s="46" t="s">
        <v>55921</v>
      </c>
      <c r="F3554" s="46" t="s">
        <v>18123</v>
      </c>
      <c r="G3554" s="46" t="s">
        <v>50584</v>
      </c>
      <c r="H3554" s="48" t="s">
        <v>56716</v>
      </c>
      <c r="I3554" s="48" t="s">
        <v>50564</v>
      </c>
      <c r="J3554" s="48" t="s">
        <v>56716</v>
      </c>
      <c r="K3554" s="50" t="s">
        <v>56716</v>
      </c>
      <c r="L3554" s="48" t="s">
        <v>56716</v>
      </c>
    </row>
    <row r="3555" spans="1:12" s="37" customFormat="1" ht="11.25" x14ac:dyDescent="0.2">
      <c r="A3555" s="46" t="s">
        <v>12381</v>
      </c>
      <c r="B3555" s="46" t="s">
        <v>52972</v>
      </c>
      <c r="C3555" s="58" t="str">
        <f>"17502640"</f>
        <v>17502640</v>
      </c>
      <c r="D3555" s="58" t="str">
        <f>"17502659"</f>
        <v>17502659</v>
      </c>
      <c r="E3555" s="46" t="s">
        <v>35</v>
      </c>
      <c r="F3555" s="46" t="s">
        <v>50646</v>
      </c>
      <c r="G3555" s="46" t="s">
        <v>50584</v>
      </c>
      <c r="H3555" s="48" t="s">
        <v>56716</v>
      </c>
      <c r="I3555" s="48" t="s">
        <v>50564</v>
      </c>
      <c r="J3555" s="48" t="s">
        <v>56716</v>
      </c>
      <c r="K3555" s="50" t="s">
        <v>56716</v>
      </c>
      <c r="L3555" s="48" t="s">
        <v>56716</v>
      </c>
    </row>
    <row r="3556" spans="1:12" s="37" customFormat="1" ht="11.25" x14ac:dyDescent="0.2">
      <c r="A3556" s="46" t="s">
        <v>15689</v>
      </c>
      <c r="B3556" s="46" t="s">
        <v>52973</v>
      </c>
      <c r="C3556" s="58" t="str">
        <f>"20901380"</f>
        <v>20901380</v>
      </c>
      <c r="D3556" s="58" t="str">
        <f>"20901399"</f>
        <v>20901399</v>
      </c>
      <c r="E3556" s="46" t="s">
        <v>1412</v>
      </c>
      <c r="F3556" s="46" t="s">
        <v>17759</v>
      </c>
      <c r="G3556" s="46" t="s">
        <v>50584</v>
      </c>
      <c r="H3556" s="48" t="s">
        <v>56716</v>
      </c>
      <c r="I3556" s="48" t="s">
        <v>50564</v>
      </c>
      <c r="J3556" s="48" t="s">
        <v>56716</v>
      </c>
      <c r="K3556" s="50"/>
      <c r="L3556" s="48"/>
    </row>
    <row r="3557" spans="1:12" s="37" customFormat="1" ht="11.25" x14ac:dyDescent="0.2">
      <c r="A3557" s="45" t="s">
        <v>31974</v>
      </c>
      <c r="B3557" s="45" t="s">
        <v>31976</v>
      </c>
      <c r="C3557" s="51" t="s">
        <v>31979</v>
      </c>
      <c r="D3557" s="51" t="s">
        <v>31978</v>
      </c>
      <c r="E3557" s="45" t="s">
        <v>291</v>
      </c>
      <c r="F3557" s="45" t="s">
        <v>50646</v>
      </c>
      <c r="G3557" s="45" t="s">
        <v>50584</v>
      </c>
      <c r="H3557" s="56"/>
      <c r="I3557" s="56" t="s">
        <v>50564</v>
      </c>
      <c r="J3557" s="56"/>
      <c r="K3557" s="50"/>
      <c r="L3557" s="56" t="s">
        <v>56716</v>
      </c>
    </row>
    <row r="3558" spans="1:12" s="37" customFormat="1" ht="11.25" x14ac:dyDescent="0.2">
      <c r="A3558" s="45" t="s">
        <v>31981</v>
      </c>
      <c r="B3558" s="45" t="s">
        <v>31983</v>
      </c>
      <c r="C3558" s="51" t="s">
        <v>31986</v>
      </c>
      <c r="D3558" s="51" t="s">
        <v>31985</v>
      </c>
      <c r="E3558" s="45" t="s">
        <v>56583</v>
      </c>
      <c r="F3558" s="45" t="s">
        <v>50646</v>
      </c>
      <c r="G3558" s="45" t="s">
        <v>50584</v>
      </c>
      <c r="H3558" s="56"/>
      <c r="I3558" s="56" t="s">
        <v>50564</v>
      </c>
      <c r="J3558" s="56"/>
      <c r="K3558" s="50"/>
      <c r="L3558" s="56" t="s">
        <v>56716</v>
      </c>
    </row>
    <row r="3559" spans="1:12" s="37" customFormat="1" ht="11.25" x14ac:dyDescent="0.2">
      <c r="A3559" s="45" t="s">
        <v>31990</v>
      </c>
      <c r="B3559" s="45" t="s">
        <v>31992</v>
      </c>
      <c r="C3559" s="51" t="s">
        <v>31993</v>
      </c>
      <c r="D3559" s="51"/>
      <c r="E3559" s="45" t="s">
        <v>167</v>
      </c>
      <c r="F3559" s="45" t="s">
        <v>18158</v>
      </c>
      <c r="G3559" s="45" t="s">
        <v>50584</v>
      </c>
      <c r="H3559" s="56"/>
      <c r="I3559" s="56" t="s">
        <v>50564</v>
      </c>
      <c r="J3559" s="56"/>
      <c r="K3559" s="50"/>
      <c r="L3559" s="56" t="s">
        <v>56716</v>
      </c>
    </row>
    <row r="3560" spans="1:12" s="37" customFormat="1" ht="11.25" x14ac:dyDescent="0.2">
      <c r="A3560" s="46" t="s">
        <v>5524</v>
      </c>
      <c r="B3560" s="46" t="s">
        <v>52974</v>
      </c>
      <c r="C3560" s="58" t="str">
        <f>"08958378"</f>
        <v>08958378</v>
      </c>
      <c r="D3560" s="58" t="str">
        <f>"10917691"</f>
        <v>10917691</v>
      </c>
      <c r="E3560" s="46" t="s">
        <v>291</v>
      </c>
      <c r="F3560" s="46" t="s">
        <v>50646</v>
      </c>
      <c r="G3560" s="46" t="s">
        <v>50584</v>
      </c>
      <c r="H3560" s="48" t="s">
        <v>56716</v>
      </c>
      <c r="I3560" s="48" t="s">
        <v>50564</v>
      </c>
      <c r="J3560" s="48" t="s">
        <v>56716</v>
      </c>
      <c r="K3560" s="50"/>
      <c r="L3560" s="48" t="s">
        <v>56716</v>
      </c>
    </row>
    <row r="3561" spans="1:12" s="37" customFormat="1" ht="11.25" x14ac:dyDescent="0.2">
      <c r="A3561" s="46" t="s">
        <v>2051</v>
      </c>
      <c r="B3561" s="46" t="s">
        <v>2051</v>
      </c>
      <c r="C3561" s="58" t="str">
        <f>"00201383"</f>
        <v>00201383</v>
      </c>
      <c r="D3561" s="58" t="str">
        <f>"18790267"</f>
        <v>18790267</v>
      </c>
      <c r="E3561" s="46" t="s">
        <v>155</v>
      </c>
      <c r="F3561" s="46" t="s">
        <v>50646</v>
      </c>
      <c r="G3561" s="46" t="s">
        <v>50584</v>
      </c>
      <c r="H3561" s="48" t="s">
        <v>56716</v>
      </c>
      <c r="I3561" s="48" t="s">
        <v>50564</v>
      </c>
      <c r="J3561" s="48" t="s">
        <v>56716</v>
      </c>
      <c r="K3561" s="50" t="s">
        <v>56716</v>
      </c>
      <c r="L3561" s="48" t="s">
        <v>56716</v>
      </c>
    </row>
    <row r="3562" spans="1:12" s="37" customFormat="1" ht="11.25" x14ac:dyDescent="0.2">
      <c r="A3562" s="46" t="s">
        <v>55974</v>
      </c>
      <c r="B3562" s="46" t="s">
        <v>55975</v>
      </c>
      <c r="C3562" s="58" t="str">
        <f>""</f>
        <v/>
      </c>
      <c r="D3562" s="58" t="str">
        <f>"21971714"</f>
        <v>21971714</v>
      </c>
      <c r="E3562" s="46" t="s">
        <v>13773</v>
      </c>
      <c r="F3562" s="46" t="s">
        <v>18158</v>
      </c>
      <c r="G3562" s="46" t="s">
        <v>50584</v>
      </c>
      <c r="H3562" s="48" t="s">
        <v>56716</v>
      </c>
      <c r="I3562" s="48" t="s">
        <v>50564</v>
      </c>
      <c r="J3562" s="48" t="s">
        <v>56716</v>
      </c>
      <c r="K3562" s="50"/>
      <c r="L3562" s="48"/>
    </row>
    <row r="3563" spans="1:12" s="37" customFormat="1" ht="11.25" x14ac:dyDescent="0.2">
      <c r="A3563" s="45" t="s">
        <v>32003</v>
      </c>
      <c r="B3563" s="45" t="s">
        <v>32005</v>
      </c>
      <c r="C3563" s="51" t="s">
        <v>32007</v>
      </c>
      <c r="D3563" s="51" t="s">
        <v>32006</v>
      </c>
      <c r="E3563" s="45" t="s">
        <v>18616</v>
      </c>
      <c r="F3563" s="45" t="s">
        <v>50646</v>
      </c>
      <c r="G3563" s="45" t="s">
        <v>50584</v>
      </c>
      <c r="H3563" s="56"/>
      <c r="I3563" s="56" t="s">
        <v>50564</v>
      </c>
      <c r="J3563" s="56"/>
      <c r="K3563" s="50"/>
      <c r="L3563" s="56" t="s">
        <v>56716</v>
      </c>
    </row>
    <row r="3564" spans="1:12" s="37" customFormat="1" ht="11.25" x14ac:dyDescent="0.2">
      <c r="A3564" s="46" t="s">
        <v>4657</v>
      </c>
      <c r="B3564" s="46" t="s">
        <v>4657</v>
      </c>
      <c r="C3564" s="58" t="str">
        <f>"02139626"</f>
        <v>02139626</v>
      </c>
      <c r="D3564" s="58" t="str">
        <f>""</f>
        <v/>
      </c>
      <c r="E3564" s="46" t="s">
        <v>175</v>
      </c>
      <c r="F3564" s="46" t="s">
        <v>18439</v>
      </c>
      <c r="G3564" s="46" t="s">
        <v>50632</v>
      </c>
      <c r="H3564" s="48" t="s">
        <v>56716</v>
      </c>
      <c r="I3564" s="48" t="s">
        <v>50564</v>
      </c>
      <c r="J3564" s="48"/>
      <c r="K3564" s="50"/>
      <c r="L3564" s="48"/>
    </row>
    <row r="3565" spans="1:12" s="37" customFormat="1" ht="11.25" x14ac:dyDescent="0.2">
      <c r="A3565" s="46" t="s">
        <v>13056</v>
      </c>
      <c r="B3565" s="46" t="s">
        <v>52975</v>
      </c>
      <c r="C3565" s="58" t="str">
        <f>"17534259"</f>
        <v>17534259</v>
      </c>
      <c r="D3565" s="58" t="str">
        <f>"17534267"</f>
        <v>17534267</v>
      </c>
      <c r="E3565" s="46" t="s">
        <v>97</v>
      </c>
      <c r="F3565" s="46" t="s">
        <v>50646</v>
      </c>
      <c r="G3565" s="46" t="s">
        <v>50584</v>
      </c>
      <c r="H3565" s="48" t="s">
        <v>56716</v>
      </c>
      <c r="I3565" s="48" t="s">
        <v>50564</v>
      </c>
      <c r="J3565" s="48"/>
      <c r="K3565" s="50"/>
      <c r="L3565" s="48" t="s">
        <v>56716</v>
      </c>
    </row>
    <row r="3566" spans="1:12" s="37" customFormat="1" ht="11.25" x14ac:dyDescent="0.2">
      <c r="A3566" s="46" t="s">
        <v>14742</v>
      </c>
      <c r="B3566" s="46" t="s">
        <v>52976</v>
      </c>
      <c r="C3566" s="58" t="str">
        <f>"21588333"</f>
        <v>21588333</v>
      </c>
      <c r="D3566" s="58" t="str">
        <f>"21588341"</f>
        <v>21588341</v>
      </c>
      <c r="E3566" s="46" t="s">
        <v>13947</v>
      </c>
      <c r="F3566" s="46" t="s">
        <v>17759</v>
      </c>
      <c r="G3566" s="46" t="s">
        <v>50584</v>
      </c>
      <c r="H3566" s="48" t="s">
        <v>56716</v>
      </c>
      <c r="I3566" s="48" t="s">
        <v>50564</v>
      </c>
      <c r="J3566" s="48"/>
      <c r="K3566" s="50"/>
      <c r="L3566" s="48"/>
    </row>
    <row r="3567" spans="1:12" s="37" customFormat="1" ht="11.25" x14ac:dyDescent="0.2">
      <c r="A3567" s="46" t="s">
        <v>11871</v>
      </c>
      <c r="B3567" s="46" t="s">
        <v>52977</v>
      </c>
      <c r="C3567" s="58" t="str">
        <f>"14717204"</f>
        <v>14717204</v>
      </c>
      <c r="D3567" s="58" t="str">
        <f>""</f>
        <v/>
      </c>
      <c r="E3567" s="46" t="s">
        <v>9176</v>
      </c>
      <c r="F3567" s="46" t="s">
        <v>50646</v>
      </c>
      <c r="G3567" s="46" t="s">
        <v>50584</v>
      </c>
      <c r="H3567" s="48" t="s">
        <v>56716</v>
      </c>
      <c r="I3567" s="48" t="s">
        <v>50566</v>
      </c>
      <c r="J3567" s="48"/>
      <c r="K3567" s="50"/>
      <c r="L3567" s="48"/>
    </row>
    <row r="3568" spans="1:12" s="37" customFormat="1" ht="11.25" x14ac:dyDescent="0.2">
      <c r="A3568" s="46" t="s">
        <v>11873</v>
      </c>
      <c r="B3568" s="46" t="s">
        <v>52978</v>
      </c>
      <c r="C3568" s="58" t="str">
        <f>"15569845"</f>
        <v>15569845</v>
      </c>
      <c r="D3568" s="58" t="str">
        <f>"15590879"</f>
        <v>15590879</v>
      </c>
      <c r="E3568" s="46" t="s">
        <v>28</v>
      </c>
      <c r="F3568" s="46" t="s">
        <v>50646</v>
      </c>
      <c r="G3568" s="46" t="s">
        <v>50584</v>
      </c>
      <c r="H3568" s="48" t="s">
        <v>56716</v>
      </c>
      <c r="I3568" s="48" t="s">
        <v>50564</v>
      </c>
      <c r="J3568" s="48" t="s">
        <v>56716</v>
      </c>
      <c r="K3568" s="50" t="s">
        <v>56716</v>
      </c>
      <c r="L3568" s="48" t="s">
        <v>56716</v>
      </c>
    </row>
    <row r="3569" spans="1:12" s="37" customFormat="1" ht="11.25" x14ac:dyDescent="0.2">
      <c r="A3569" s="46" t="s">
        <v>56262</v>
      </c>
      <c r="B3569" s="46" t="s">
        <v>56263</v>
      </c>
      <c r="C3569" s="58" t="str">
        <f>"2193522X"</f>
        <v>2193522X</v>
      </c>
      <c r="D3569" s="58" t="str">
        <f>"21935238"</f>
        <v>21935238</v>
      </c>
      <c r="E3569" s="46" t="s">
        <v>56253</v>
      </c>
      <c r="F3569" s="46" t="s">
        <v>17967</v>
      </c>
      <c r="G3569" s="46" t="s">
        <v>50584</v>
      </c>
      <c r="H3569" s="48" t="s">
        <v>56716</v>
      </c>
      <c r="I3569" s="48" t="s">
        <v>50564</v>
      </c>
      <c r="J3569" s="48" t="s">
        <v>56716</v>
      </c>
      <c r="K3569" s="50"/>
      <c r="L3569" s="48"/>
    </row>
    <row r="3570" spans="1:12" s="37" customFormat="1" ht="11.25" x14ac:dyDescent="0.2">
      <c r="A3570" s="45" t="s">
        <v>32022</v>
      </c>
      <c r="B3570" s="45" t="s">
        <v>32024</v>
      </c>
      <c r="C3570" s="51" t="s">
        <v>32026</v>
      </c>
      <c r="D3570" s="51" t="s">
        <v>32025</v>
      </c>
      <c r="E3570" s="45" t="s">
        <v>17881</v>
      </c>
      <c r="F3570" s="45" t="s">
        <v>17759</v>
      </c>
      <c r="G3570" s="45" t="s">
        <v>50584</v>
      </c>
      <c r="H3570" s="56"/>
      <c r="I3570" s="56" t="s">
        <v>50564</v>
      </c>
      <c r="J3570" s="56"/>
      <c r="K3570" s="50"/>
      <c r="L3570" s="56" t="s">
        <v>56716</v>
      </c>
    </row>
    <row r="3571" spans="1:12" s="37" customFormat="1" ht="11.25" x14ac:dyDescent="0.2">
      <c r="A3571" s="45" t="s">
        <v>32028</v>
      </c>
      <c r="B3571" s="45" t="s">
        <v>32030</v>
      </c>
      <c r="C3571" s="51" t="s">
        <v>32031</v>
      </c>
      <c r="D3571" s="51" t="s">
        <v>56584</v>
      </c>
      <c r="E3571" s="45" t="s">
        <v>18520</v>
      </c>
      <c r="F3571" s="45" t="s">
        <v>17759</v>
      </c>
      <c r="G3571" s="45" t="s">
        <v>50584</v>
      </c>
      <c r="H3571" s="56"/>
      <c r="I3571" s="56" t="s">
        <v>50564</v>
      </c>
      <c r="J3571" s="56"/>
      <c r="K3571" s="50"/>
      <c r="L3571" s="56" t="s">
        <v>56716</v>
      </c>
    </row>
    <row r="3572" spans="1:12" s="37" customFormat="1" ht="11.25" x14ac:dyDescent="0.2">
      <c r="A3572" s="45" t="s">
        <v>32033</v>
      </c>
      <c r="B3572" s="45" t="s">
        <v>32035</v>
      </c>
      <c r="C3572" s="51" t="s">
        <v>32038</v>
      </c>
      <c r="D3572" s="51" t="s">
        <v>32037</v>
      </c>
      <c r="E3572" s="45" t="s">
        <v>18661</v>
      </c>
      <c r="F3572" s="45" t="s">
        <v>50646</v>
      </c>
      <c r="G3572" s="45" t="s">
        <v>50584</v>
      </c>
      <c r="H3572" s="56"/>
      <c r="I3572" s="56" t="s">
        <v>50564</v>
      </c>
      <c r="J3572" s="56"/>
      <c r="K3572" s="50"/>
      <c r="L3572" s="56" t="s">
        <v>56716</v>
      </c>
    </row>
    <row r="3573" spans="1:12" s="37" customFormat="1" ht="11.25" x14ac:dyDescent="0.2">
      <c r="A3573" s="45" t="s">
        <v>32041</v>
      </c>
      <c r="B3573" s="45" t="s">
        <v>32043</v>
      </c>
      <c r="C3573" s="51" t="s">
        <v>32045</v>
      </c>
      <c r="D3573" s="51" t="s">
        <v>32044</v>
      </c>
      <c r="E3573" s="45" t="s">
        <v>32046</v>
      </c>
      <c r="F3573" s="45" t="s">
        <v>50646</v>
      </c>
      <c r="G3573" s="45" t="s">
        <v>50584</v>
      </c>
      <c r="H3573" s="56"/>
      <c r="I3573" s="56" t="s">
        <v>50564</v>
      </c>
      <c r="J3573" s="56"/>
      <c r="K3573" s="50"/>
      <c r="L3573" s="56" t="s">
        <v>56716</v>
      </c>
    </row>
    <row r="3574" spans="1:12" s="37" customFormat="1" ht="11.25" x14ac:dyDescent="0.2">
      <c r="A3574" s="45" t="s">
        <v>32049</v>
      </c>
      <c r="B3574" s="45" t="s">
        <v>32051</v>
      </c>
      <c r="C3574" s="51" t="s">
        <v>32054</v>
      </c>
      <c r="D3574" s="51" t="s">
        <v>32053</v>
      </c>
      <c r="E3574" s="45" t="s">
        <v>20225</v>
      </c>
      <c r="F3574" s="45" t="s">
        <v>20082</v>
      </c>
      <c r="G3574" s="45" t="s">
        <v>50584</v>
      </c>
      <c r="H3574" s="56"/>
      <c r="I3574" s="56" t="s">
        <v>50564</v>
      </c>
      <c r="J3574" s="56"/>
      <c r="K3574" s="50"/>
      <c r="L3574" s="56" t="s">
        <v>56716</v>
      </c>
    </row>
    <row r="3575" spans="1:12" s="37" customFormat="1" ht="11.25" x14ac:dyDescent="0.2">
      <c r="A3575" s="45" t="s">
        <v>32056</v>
      </c>
      <c r="B3575" s="45" t="s">
        <v>32058</v>
      </c>
      <c r="C3575" s="51" t="s">
        <v>32059</v>
      </c>
      <c r="D3575" s="51"/>
      <c r="E3575" s="45" t="s">
        <v>32060</v>
      </c>
      <c r="F3575" s="45" t="s">
        <v>17759</v>
      </c>
      <c r="G3575" s="45" t="s">
        <v>50584</v>
      </c>
      <c r="H3575" s="56"/>
      <c r="I3575" s="56" t="s">
        <v>50564</v>
      </c>
      <c r="J3575" s="56"/>
      <c r="K3575" s="50"/>
      <c r="L3575" s="56" t="s">
        <v>56716</v>
      </c>
    </row>
    <row r="3576" spans="1:12" s="37" customFormat="1" ht="11.25" x14ac:dyDescent="0.2">
      <c r="A3576" s="45" t="s">
        <v>32062</v>
      </c>
      <c r="B3576" s="45" t="s">
        <v>32064</v>
      </c>
      <c r="C3576" s="51" t="s">
        <v>32065</v>
      </c>
      <c r="D3576" s="51"/>
      <c r="E3576" s="45" t="s">
        <v>32066</v>
      </c>
      <c r="F3576" s="45" t="s">
        <v>17759</v>
      </c>
      <c r="G3576" s="45" t="s">
        <v>50584</v>
      </c>
      <c r="H3576" s="56"/>
      <c r="I3576" s="56" t="s">
        <v>50564</v>
      </c>
      <c r="J3576" s="56"/>
      <c r="K3576" s="50"/>
      <c r="L3576" s="56" t="s">
        <v>56716</v>
      </c>
    </row>
    <row r="3577" spans="1:12" s="37" customFormat="1" ht="11.25" x14ac:dyDescent="0.2">
      <c r="A3577" s="46" t="s">
        <v>14122</v>
      </c>
      <c r="B3577" s="46" t="s">
        <v>52979</v>
      </c>
      <c r="C3577" s="58" t="str">
        <f>""</f>
        <v/>
      </c>
      <c r="D3577" s="58" t="str">
        <f>"11787104"</f>
        <v>11787104</v>
      </c>
      <c r="E3577" s="46" t="s">
        <v>11079</v>
      </c>
      <c r="F3577" s="46" t="s">
        <v>19483</v>
      </c>
      <c r="G3577" s="46" t="s">
        <v>50584</v>
      </c>
      <c r="H3577" s="48" t="s">
        <v>56716</v>
      </c>
      <c r="I3577" s="48" t="s">
        <v>50565</v>
      </c>
      <c r="J3577" s="48"/>
      <c r="K3577" s="50"/>
      <c r="L3577" s="48"/>
    </row>
    <row r="3578" spans="1:12" s="37" customFormat="1" ht="11.25" x14ac:dyDescent="0.2">
      <c r="A3578" s="45" t="s">
        <v>32068</v>
      </c>
      <c r="B3578" s="45" t="s">
        <v>32070</v>
      </c>
      <c r="C3578" s="51" t="s">
        <v>32072</v>
      </c>
      <c r="D3578" s="51" t="s">
        <v>32071</v>
      </c>
      <c r="E3578" s="45" t="s">
        <v>32073</v>
      </c>
      <c r="F3578" s="45" t="s">
        <v>17759</v>
      </c>
      <c r="G3578" s="45" t="s">
        <v>50584</v>
      </c>
      <c r="H3578" s="56"/>
      <c r="I3578" s="56" t="s">
        <v>50564</v>
      </c>
      <c r="J3578" s="56"/>
      <c r="K3578" s="50"/>
      <c r="L3578" s="56" t="s">
        <v>56716</v>
      </c>
    </row>
    <row r="3579" spans="1:12" s="37" customFormat="1" ht="11.25" x14ac:dyDescent="0.2">
      <c r="A3579" s="45" t="s">
        <v>32075</v>
      </c>
      <c r="B3579" s="45" t="s">
        <v>32077</v>
      </c>
      <c r="C3579" s="51" t="s">
        <v>32080</v>
      </c>
      <c r="D3579" s="51" t="s">
        <v>32079</v>
      </c>
      <c r="E3579" s="45" t="s">
        <v>55</v>
      </c>
      <c r="F3579" s="45" t="s">
        <v>50646</v>
      </c>
      <c r="G3579" s="45" t="s">
        <v>50584</v>
      </c>
      <c r="H3579" s="56"/>
      <c r="I3579" s="56" t="s">
        <v>50564</v>
      </c>
      <c r="J3579" s="56"/>
      <c r="K3579" s="50"/>
      <c r="L3579" s="56" t="s">
        <v>56716</v>
      </c>
    </row>
    <row r="3580" spans="1:12" s="37" customFormat="1" ht="11.25" x14ac:dyDescent="0.2">
      <c r="A3580" s="46" t="s">
        <v>14316</v>
      </c>
      <c r="B3580" s="46" t="s">
        <v>52980</v>
      </c>
      <c r="C3580" s="58" t="str">
        <f>"17579694"</f>
        <v>17579694</v>
      </c>
      <c r="D3580" s="58" t="str">
        <f>"17579708"</f>
        <v>17579708</v>
      </c>
      <c r="E3580" s="46" t="s">
        <v>6914</v>
      </c>
      <c r="F3580" s="46" t="s">
        <v>50646</v>
      </c>
      <c r="G3580" s="46" t="s">
        <v>50584</v>
      </c>
      <c r="H3580" s="48" t="s">
        <v>56716</v>
      </c>
      <c r="I3580" s="48" t="s">
        <v>50564</v>
      </c>
      <c r="J3580" s="48" t="s">
        <v>56716</v>
      </c>
      <c r="K3580" s="50"/>
      <c r="L3580" s="48" t="s">
        <v>56716</v>
      </c>
    </row>
    <row r="3581" spans="1:12" s="37" customFormat="1" ht="11.25" x14ac:dyDescent="0.2">
      <c r="A3581" s="46" t="s">
        <v>9147</v>
      </c>
      <c r="B3581" s="46" t="s">
        <v>52981</v>
      </c>
      <c r="C3581" s="58" t="str">
        <f>"15347354"</f>
        <v>15347354</v>
      </c>
      <c r="D3581" s="58" t="str">
        <f>"1552695X"</f>
        <v>1552695X</v>
      </c>
      <c r="E3581" s="46" t="s">
        <v>493</v>
      </c>
      <c r="F3581" s="46" t="s">
        <v>17759</v>
      </c>
      <c r="G3581" s="46" t="s">
        <v>50584</v>
      </c>
      <c r="H3581" s="48" t="s">
        <v>56716</v>
      </c>
      <c r="I3581" s="48" t="s">
        <v>50564</v>
      </c>
      <c r="J3581" s="48" t="s">
        <v>56716</v>
      </c>
      <c r="K3581" s="50"/>
      <c r="L3581" s="48" t="s">
        <v>56716</v>
      </c>
    </row>
    <row r="3582" spans="1:12" s="37" customFormat="1" ht="11.25" x14ac:dyDescent="0.2">
      <c r="A3582" s="46" t="s">
        <v>12413</v>
      </c>
      <c r="B3582" s="46" t="s">
        <v>52982</v>
      </c>
      <c r="C3582" s="58" t="str">
        <f>""</f>
        <v/>
      </c>
      <c r="D3582" s="58" t="str">
        <f>"11773936"</f>
        <v>11773936</v>
      </c>
      <c r="E3582" s="46" t="s">
        <v>11251</v>
      </c>
      <c r="F3582" s="46" t="s">
        <v>19483</v>
      </c>
      <c r="G3582" s="46" t="s">
        <v>50584</v>
      </c>
      <c r="H3582" s="48" t="s">
        <v>56716</v>
      </c>
      <c r="I3582" s="48" t="s">
        <v>50564</v>
      </c>
      <c r="J3582" s="48"/>
      <c r="K3582" s="50"/>
      <c r="L3582" s="48"/>
    </row>
    <row r="3583" spans="1:12" s="37" customFormat="1" ht="11.25" x14ac:dyDescent="0.2">
      <c r="A3583" s="46" t="s">
        <v>16998</v>
      </c>
      <c r="B3583" s="46" t="s">
        <v>52983</v>
      </c>
      <c r="C3583" s="58" t="str">
        <f>"22134220"</f>
        <v>22134220</v>
      </c>
      <c r="D3583" s="58" t="str">
        <f>"22134239"</f>
        <v>22134239</v>
      </c>
      <c r="E3583" s="46" t="s">
        <v>17000</v>
      </c>
      <c r="F3583" s="46" t="s">
        <v>50649</v>
      </c>
      <c r="G3583" s="46" t="s">
        <v>50584</v>
      </c>
      <c r="H3583" s="48" t="s">
        <v>56716</v>
      </c>
      <c r="I3583" s="48" t="s">
        <v>50564</v>
      </c>
      <c r="J3583" s="48"/>
      <c r="K3583" s="50" t="s">
        <v>56716</v>
      </c>
      <c r="L3583" s="48"/>
    </row>
    <row r="3584" spans="1:12" s="37" customFormat="1" ht="11.25" x14ac:dyDescent="0.2">
      <c r="A3584" s="45" t="s">
        <v>32091</v>
      </c>
      <c r="B3584" s="45" t="s">
        <v>32093</v>
      </c>
      <c r="C3584" s="51" t="s">
        <v>32096</v>
      </c>
      <c r="D3584" s="51" t="s">
        <v>32095</v>
      </c>
      <c r="E3584" s="45" t="s">
        <v>19161</v>
      </c>
      <c r="F3584" s="45" t="s">
        <v>17759</v>
      </c>
      <c r="G3584" s="45" t="s">
        <v>50584</v>
      </c>
      <c r="H3584" s="56"/>
      <c r="I3584" s="56" t="s">
        <v>50564</v>
      </c>
      <c r="J3584" s="56"/>
      <c r="K3584" s="50"/>
      <c r="L3584" s="56" t="s">
        <v>56716</v>
      </c>
    </row>
    <row r="3585" spans="1:12" s="37" customFormat="1" ht="11.25" x14ac:dyDescent="0.2">
      <c r="A3585" s="45" t="s">
        <v>32098</v>
      </c>
      <c r="B3585" s="45" t="s">
        <v>32100</v>
      </c>
      <c r="C3585" s="51" t="s">
        <v>32102</v>
      </c>
      <c r="D3585" s="51" t="s">
        <v>32101</v>
      </c>
      <c r="E3585" s="45" t="s">
        <v>56585</v>
      </c>
      <c r="F3585" s="45" t="s">
        <v>20082</v>
      </c>
      <c r="G3585" s="45" t="s">
        <v>50584</v>
      </c>
      <c r="H3585" s="56"/>
      <c r="I3585" s="56" t="s">
        <v>50564</v>
      </c>
      <c r="J3585" s="56"/>
      <c r="K3585" s="50"/>
      <c r="L3585" s="56" t="s">
        <v>56716</v>
      </c>
    </row>
    <row r="3586" spans="1:12" s="37" customFormat="1" ht="11.25" x14ac:dyDescent="0.2">
      <c r="A3586" s="45" t="s">
        <v>32104</v>
      </c>
      <c r="B3586" s="45" t="s">
        <v>32106</v>
      </c>
      <c r="C3586" s="51" t="s">
        <v>32109</v>
      </c>
      <c r="D3586" s="51" t="s">
        <v>32108</v>
      </c>
      <c r="E3586" s="45" t="s">
        <v>19996</v>
      </c>
      <c r="F3586" s="45" t="s">
        <v>17759</v>
      </c>
      <c r="G3586" s="45" t="s">
        <v>50584</v>
      </c>
      <c r="H3586" s="56"/>
      <c r="I3586" s="56" t="s">
        <v>50564</v>
      </c>
      <c r="J3586" s="56"/>
      <c r="K3586" s="50"/>
      <c r="L3586" s="56" t="s">
        <v>56716</v>
      </c>
    </row>
    <row r="3587" spans="1:12" s="37" customFormat="1" ht="11.25" x14ac:dyDescent="0.2">
      <c r="A3587" s="46" t="s">
        <v>5567</v>
      </c>
      <c r="B3587" s="46" t="s">
        <v>52984</v>
      </c>
      <c r="C3587" s="58" t="str">
        <f>"09475362"</f>
        <v>09475362</v>
      </c>
      <c r="D3587" s="58" t="str">
        <f>""</f>
        <v/>
      </c>
      <c r="E3587" s="46" t="s">
        <v>437</v>
      </c>
      <c r="F3587" s="46" t="s">
        <v>18158</v>
      </c>
      <c r="G3587" s="46" t="s">
        <v>50593</v>
      </c>
      <c r="H3587" s="48" t="s">
        <v>56716</v>
      </c>
      <c r="I3587" s="48" t="s">
        <v>50564</v>
      </c>
      <c r="J3587" s="48"/>
      <c r="K3587" s="50"/>
      <c r="L3587" s="48"/>
    </row>
    <row r="3588" spans="1:12" s="37" customFormat="1" ht="11.25" x14ac:dyDescent="0.2">
      <c r="A3588" s="45" t="s">
        <v>32111</v>
      </c>
      <c r="B3588" s="45" t="s">
        <v>32113</v>
      </c>
      <c r="C3588" s="51" t="s">
        <v>32116</v>
      </c>
      <c r="D3588" s="51" t="s">
        <v>32115</v>
      </c>
      <c r="E3588" s="45" t="s">
        <v>91</v>
      </c>
      <c r="F3588" s="45" t="s">
        <v>18001</v>
      </c>
      <c r="G3588" s="45" t="s">
        <v>50584</v>
      </c>
      <c r="H3588" s="56"/>
      <c r="I3588" s="56" t="s">
        <v>50564</v>
      </c>
      <c r="J3588" s="56"/>
      <c r="K3588" s="50"/>
      <c r="L3588" s="56" t="s">
        <v>56716</v>
      </c>
    </row>
    <row r="3589" spans="1:12" s="37" customFormat="1" ht="11.25" x14ac:dyDescent="0.2">
      <c r="A3589" s="46" t="s">
        <v>1866</v>
      </c>
      <c r="B3589" s="46" t="s">
        <v>52985</v>
      </c>
      <c r="C3589" s="58" t="str">
        <f>"03424642"</f>
        <v>03424642</v>
      </c>
      <c r="D3589" s="58" t="str">
        <f>"14321238"</f>
        <v>14321238</v>
      </c>
      <c r="E3589" s="46" t="s">
        <v>167</v>
      </c>
      <c r="F3589" s="46" t="s">
        <v>18158</v>
      </c>
      <c r="G3589" s="46" t="s">
        <v>50584</v>
      </c>
      <c r="H3589" s="48" t="s">
        <v>56716</v>
      </c>
      <c r="I3589" s="48" t="s">
        <v>50564</v>
      </c>
      <c r="J3589" s="48"/>
      <c r="K3589" s="50" t="s">
        <v>56716</v>
      </c>
      <c r="L3589" s="48" t="s">
        <v>56716</v>
      </c>
    </row>
    <row r="3590" spans="1:12" s="37" customFormat="1" ht="11.25" x14ac:dyDescent="0.2">
      <c r="A3590" s="46" t="s">
        <v>55976</v>
      </c>
      <c r="B3590" s="46" t="s">
        <v>55977</v>
      </c>
      <c r="C3590" s="58" t="str">
        <f>""</f>
        <v/>
      </c>
      <c r="D3590" s="58" t="str">
        <f>"2197425X"</f>
        <v>2197425X</v>
      </c>
      <c r="E3590" s="46" t="s">
        <v>13773</v>
      </c>
      <c r="F3590" s="46" t="s">
        <v>18158</v>
      </c>
      <c r="G3590" s="46" t="s">
        <v>50584</v>
      </c>
      <c r="H3590" s="48" t="s">
        <v>56716</v>
      </c>
      <c r="I3590" s="48" t="s">
        <v>50564</v>
      </c>
      <c r="J3590" s="48" t="s">
        <v>56716</v>
      </c>
      <c r="K3590" s="50"/>
      <c r="L3590" s="48"/>
    </row>
    <row r="3591" spans="1:12" s="37" customFormat="1" ht="11.25" x14ac:dyDescent="0.2">
      <c r="A3591" s="46" t="s">
        <v>9497</v>
      </c>
      <c r="B3591" s="46" t="s">
        <v>52986</v>
      </c>
      <c r="C3591" s="58" t="str">
        <f>"15699293"</f>
        <v>15699293</v>
      </c>
      <c r="D3591" s="58" t="str">
        <f>"15699285"</f>
        <v>15699285</v>
      </c>
      <c r="E3591" s="46" t="s">
        <v>55</v>
      </c>
      <c r="F3591" s="46" t="s">
        <v>50646</v>
      </c>
      <c r="G3591" s="46" t="s">
        <v>50584</v>
      </c>
      <c r="H3591" s="48" t="s">
        <v>56716</v>
      </c>
      <c r="I3591" s="48" t="s">
        <v>50564</v>
      </c>
      <c r="J3591" s="48" t="s">
        <v>56716</v>
      </c>
      <c r="K3591" s="50"/>
      <c r="L3591" s="48" t="s">
        <v>56716</v>
      </c>
    </row>
    <row r="3592" spans="1:12" s="37" customFormat="1" ht="11.25" x14ac:dyDescent="0.2">
      <c r="A3592" s="46" t="s">
        <v>17635</v>
      </c>
      <c r="B3592" s="46" t="s">
        <v>52987</v>
      </c>
      <c r="C3592" s="58" t="str">
        <f>""</f>
        <v/>
      </c>
      <c r="D3592" s="58" t="str">
        <f>"22147519"</f>
        <v>22147519</v>
      </c>
      <c r="E3592" s="46" t="s">
        <v>91</v>
      </c>
      <c r="F3592" s="46" t="s">
        <v>18001</v>
      </c>
      <c r="G3592" s="46" t="s">
        <v>50584</v>
      </c>
      <c r="H3592" s="48" t="s">
        <v>56716</v>
      </c>
      <c r="I3592" s="48" t="s">
        <v>50564</v>
      </c>
      <c r="J3592" s="48" t="s">
        <v>56716</v>
      </c>
      <c r="K3592" s="50"/>
      <c r="L3592" s="48"/>
    </row>
    <row r="3593" spans="1:12" s="37" customFormat="1" ht="11.25" x14ac:dyDescent="0.2">
      <c r="A3593" s="46" t="s">
        <v>14031</v>
      </c>
      <c r="B3593" s="46" t="s">
        <v>52988</v>
      </c>
      <c r="C3593" s="58" t="str">
        <f>"1687708X"</f>
        <v>1687708X</v>
      </c>
      <c r="D3593" s="58" t="str">
        <f>"16877098"</f>
        <v>16877098</v>
      </c>
      <c r="E3593" s="46" t="s">
        <v>1412</v>
      </c>
      <c r="F3593" s="46" t="s">
        <v>17759</v>
      </c>
      <c r="G3593" s="46" t="s">
        <v>50584</v>
      </c>
      <c r="H3593" s="48" t="s">
        <v>56716</v>
      </c>
      <c r="I3593" s="48" t="s">
        <v>50564</v>
      </c>
      <c r="J3593" s="48" t="s">
        <v>56716</v>
      </c>
      <c r="K3593" s="50"/>
      <c r="L3593" s="48"/>
    </row>
    <row r="3594" spans="1:12" s="37" customFormat="1" ht="11.25" x14ac:dyDescent="0.2">
      <c r="A3594" s="45" t="s">
        <v>32126</v>
      </c>
      <c r="B3594" s="45" t="s">
        <v>32128</v>
      </c>
      <c r="C3594" s="51" t="s">
        <v>32130</v>
      </c>
      <c r="D3594" s="51" t="s">
        <v>32129</v>
      </c>
      <c r="E3594" s="45" t="s">
        <v>17089</v>
      </c>
      <c r="F3594" s="45" t="s">
        <v>18158</v>
      </c>
      <c r="G3594" s="45" t="s">
        <v>50584</v>
      </c>
      <c r="H3594" s="56"/>
      <c r="I3594" s="56" t="s">
        <v>50564</v>
      </c>
      <c r="J3594" s="56"/>
      <c r="K3594" s="50"/>
      <c r="L3594" s="56" t="s">
        <v>56716</v>
      </c>
    </row>
    <row r="3595" spans="1:12" s="37" customFormat="1" ht="11.25" x14ac:dyDescent="0.2">
      <c r="A3595" s="45" t="s">
        <v>32132</v>
      </c>
      <c r="B3595" s="45" t="s">
        <v>32134</v>
      </c>
      <c r="C3595" s="51" t="s">
        <v>32136</v>
      </c>
      <c r="D3595" s="51" t="s">
        <v>32135</v>
      </c>
      <c r="E3595" s="45" t="s">
        <v>18176</v>
      </c>
      <c r="F3595" s="45" t="s">
        <v>18123</v>
      </c>
      <c r="G3595" s="45" t="s">
        <v>50584</v>
      </c>
      <c r="H3595" s="56"/>
      <c r="I3595" s="56" t="s">
        <v>50564</v>
      </c>
      <c r="J3595" s="56"/>
      <c r="K3595" s="50"/>
      <c r="L3595" s="56" t="s">
        <v>56716</v>
      </c>
    </row>
    <row r="3596" spans="1:12" s="37" customFormat="1" ht="11.25" x14ac:dyDescent="0.2">
      <c r="A3596" s="46" t="s">
        <v>14621</v>
      </c>
      <c r="B3596" s="46" t="s">
        <v>52989</v>
      </c>
      <c r="C3596" s="58" t="str">
        <f>"13376853"</f>
        <v>13376853</v>
      </c>
      <c r="D3596" s="58" t="str">
        <f>"13379569"</f>
        <v>13379569</v>
      </c>
      <c r="E3596" s="46" t="s">
        <v>14624</v>
      </c>
      <c r="F3596" s="46" t="s">
        <v>18577</v>
      </c>
      <c r="G3596" s="46" t="s">
        <v>50584</v>
      </c>
      <c r="H3596" s="48" t="s">
        <v>56716</v>
      </c>
      <c r="I3596" s="48" t="s">
        <v>50564</v>
      </c>
      <c r="J3596" s="48"/>
      <c r="K3596" s="50"/>
      <c r="L3596" s="48"/>
    </row>
    <row r="3597" spans="1:12" s="37" customFormat="1" ht="11.25" x14ac:dyDescent="0.2">
      <c r="A3597" s="46" t="s">
        <v>16834</v>
      </c>
      <c r="B3597" s="46" t="s">
        <v>52990</v>
      </c>
      <c r="C3597" s="58" t="str">
        <f>"22265546"</f>
        <v>22265546</v>
      </c>
      <c r="D3597" s="58" t="str">
        <f>"23070102"</f>
        <v>23070102</v>
      </c>
      <c r="E3597" s="46" t="s">
        <v>7866</v>
      </c>
      <c r="F3597" s="46" t="s">
        <v>18288</v>
      </c>
      <c r="G3597" s="46" t="s">
        <v>50593</v>
      </c>
      <c r="H3597" s="48" t="s">
        <v>56716</v>
      </c>
      <c r="I3597" s="48" t="s">
        <v>50564</v>
      </c>
      <c r="J3597" s="48"/>
      <c r="K3597" s="50"/>
      <c r="L3597" s="48"/>
    </row>
    <row r="3598" spans="1:12" s="37" customFormat="1" ht="11.25" x14ac:dyDescent="0.2">
      <c r="A3598" s="45" t="s">
        <v>32138</v>
      </c>
      <c r="B3598" s="45" t="s">
        <v>32140</v>
      </c>
      <c r="C3598" s="51" t="s">
        <v>32143</v>
      </c>
      <c r="D3598" s="51" t="s">
        <v>32142</v>
      </c>
      <c r="E3598" s="45" t="s">
        <v>17783</v>
      </c>
      <c r="F3598" s="45" t="s">
        <v>17991</v>
      </c>
      <c r="G3598" s="45" t="s">
        <v>50584</v>
      </c>
      <c r="H3598" s="56"/>
      <c r="I3598" s="56" t="s">
        <v>50564</v>
      </c>
      <c r="J3598" s="56"/>
      <c r="K3598" s="50"/>
      <c r="L3598" s="56" t="s">
        <v>56716</v>
      </c>
    </row>
    <row r="3599" spans="1:12" s="37" customFormat="1" ht="11.25" x14ac:dyDescent="0.2">
      <c r="A3599" s="46" t="s">
        <v>5938</v>
      </c>
      <c r="B3599" s="46" t="s">
        <v>52991</v>
      </c>
      <c r="C3599" s="58" t="str">
        <f>"09182918"</f>
        <v>09182918</v>
      </c>
      <c r="D3599" s="58" t="str">
        <f>"13497235"</f>
        <v>13497235</v>
      </c>
      <c r="E3599" s="46" t="s">
        <v>5941</v>
      </c>
      <c r="F3599" s="46" t="s">
        <v>18242</v>
      </c>
      <c r="G3599" s="46" t="s">
        <v>50584</v>
      </c>
      <c r="H3599" s="48" t="s">
        <v>56716</v>
      </c>
      <c r="I3599" s="48" t="s">
        <v>50564</v>
      </c>
      <c r="J3599" s="48"/>
      <c r="K3599" s="50"/>
      <c r="L3599" s="48" t="s">
        <v>56716</v>
      </c>
    </row>
    <row r="3600" spans="1:12" s="37" customFormat="1" ht="11.25" x14ac:dyDescent="0.2">
      <c r="A3600" s="46" t="s">
        <v>8082</v>
      </c>
      <c r="B3600" s="46" t="s">
        <v>52992</v>
      </c>
      <c r="C3600" s="58" t="str">
        <f>"15909271"</f>
        <v>15909271</v>
      </c>
      <c r="D3600" s="58" t="str">
        <f>""</f>
        <v/>
      </c>
      <c r="E3600" s="46" t="s">
        <v>1711</v>
      </c>
      <c r="F3600" s="46" t="s">
        <v>17991</v>
      </c>
      <c r="G3600" s="46" t="s">
        <v>50584</v>
      </c>
      <c r="H3600" s="48" t="s">
        <v>56716</v>
      </c>
      <c r="I3600" s="48" t="s">
        <v>50564</v>
      </c>
      <c r="J3600" s="48"/>
      <c r="K3600" s="50"/>
      <c r="L3600" s="48"/>
    </row>
    <row r="3601" spans="1:12" s="37" customFormat="1" ht="11.25" x14ac:dyDescent="0.2">
      <c r="A3601" s="46" t="s">
        <v>8891</v>
      </c>
      <c r="B3601" s="46" t="s">
        <v>52993</v>
      </c>
      <c r="C3601" s="58" t="str">
        <f>"14440903"</f>
        <v>14440903</v>
      </c>
      <c r="D3601" s="58" t="str">
        <f>"14455994"</f>
        <v>14455994</v>
      </c>
      <c r="E3601" s="46" t="s">
        <v>296</v>
      </c>
      <c r="F3601" s="46" t="s">
        <v>20082</v>
      </c>
      <c r="G3601" s="46" t="s">
        <v>50584</v>
      </c>
      <c r="H3601" s="48" t="s">
        <v>56716</v>
      </c>
      <c r="I3601" s="48" t="s">
        <v>50564</v>
      </c>
      <c r="J3601" s="48" t="s">
        <v>56716</v>
      </c>
      <c r="K3601" s="50" t="s">
        <v>56716</v>
      </c>
      <c r="L3601" s="48" t="s">
        <v>56716</v>
      </c>
    </row>
    <row r="3602" spans="1:12" s="37" customFormat="1" ht="11.25" x14ac:dyDescent="0.2">
      <c r="A3602" s="46" t="s">
        <v>1858</v>
      </c>
      <c r="B3602" s="46" t="s">
        <v>52994</v>
      </c>
      <c r="C3602" s="58" t="str">
        <f>"00205907"</f>
        <v>00205907</v>
      </c>
      <c r="D3602" s="58" t="str">
        <f>"15371913"</f>
        <v>15371913</v>
      </c>
      <c r="E3602" s="46" t="s">
        <v>28</v>
      </c>
      <c r="F3602" s="46" t="s">
        <v>17759</v>
      </c>
      <c r="G3602" s="46" t="s">
        <v>50584</v>
      </c>
      <c r="H3602" s="48" t="s">
        <v>56716</v>
      </c>
      <c r="I3602" s="48" t="s">
        <v>50564</v>
      </c>
      <c r="J3602" s="48" t="s">
        <v>56716</v>
      </c>
      <c r="K3602" s="50"/>
      <c r="L3602" s="48" t="s">
        <v>56716</v>
      </c>
    </row>
    <row r="3603" spans="1:12" s="37" customFormat="1" ht="11.25" x14ac:dyDescent="0.2">
      <c r="A3603" s="46" t="s">
        <v>2034</v>
      </c>
      <c r="B3603" s="46" t="s">
        <v>52995</v>
      </c>
      <c r="C3603" s="58" t="str">
        <f>"03929590"</f>
        <v>03929590</v>
      </c>
      <c r="D3603" s="58" t="str">
        <f>""</f>
        <v/>
      </c>
      <c r="E3603" s="46" t="s">
        <v>1708</v>
      </c>
      <c r="F3603" s="46" t="s">
        <v>17991</v>
      </c>
      <c r="G3603" s="46" t="s">
        <v>50584</v>
      </c>
      <c r="H3603" s="48" t="s">
        <v>56716</v>
      </c>
      <c r="I3603" s="48" t="s">
        <v>50564</v>
      </c>
      <c r="J3603" s="48"/>
      <c r="K3603" s="50"/>
      <c r="L3603" s="48" t="s">
        <v>56716</v>
      </c>
    </row>
    <row r="3604" spans="1:12" s="37" customFormat="1" ht="11.25" x14ac:dyDescent="0.2">
      <c r="A3604" s="46" t="s">
        <v>5878</v>
      </c>
      <c r="B3604" s="46" t="s">
        <v>52996</v>
      </c>
      <c r="C3604" s="58" t="str">
        <f>"10182438"</f>
        <v>10182438</v>
      </c>
      <c r="D3604" s="58" t="str">
        <f>"14230097"</f>
        <v>14230097</v>
      </c>
      <c r="E3604" s="46" t="s">
        <v>109</v>
      </c>
      <c r="F3604" s="46" t="s">
        <v>18123</v>
      </c>
      <c r="G3604" s="46" t="s">
        <v>50584</v>
      </c>
      <c r="H3604" s="48" t="s">
        <v>56716</v>
      </c>
      <c r="I3604" s="48" t="s">
        <v>50564</v>
      </c>
      <c r="J3604" s="48" t="s">
        <v>56716</v>
      </c>
      <c r="K3604" s="50" t="s">
        <v>56716</v>
      </c>
      <c r="L3604" s="48" t="s">
        <v>56716</v>
      </c>
    </row>
    <row r="3605" spans="1:12" s="37" customFormat="1" ht="11.25" x14ac:dyDescent="0.2">
      <c r="A3605" s="46" t="s">
        <v>13184</v>
      </c>
      <c r="B3605" s="46" t="s">
        <v>52997</v>
      </c>
      <c r="C3605" s="58" t="str">
        <f>""</f>
        <v/>
      </c>
      <c r="D3605" s="58" t="str">
        <f>"17557682"</f>
        <v>17557682</v>
      </c>
      <c r="E3605" s="46" t="s">
        <v>2299</v>
      </c>
      <c r="F3605" s="46" t="s">
        <v>50646</v>
      </c>
      <c r="G3605" s="46" t="s">
        <v>50584</v>
      </c>
      <c r="H3605" s="48" t="s">
        <v>56716</v>
      </c>
      <c r="I3605" s="48" t="s">
        <v>50564</v>
      </c>
      <c r="J3605" s="48"/>
      <c r="K3605" s="50" t="s">
        <v>56716</v>
      </c>
      <c r="L3605" s="48"/>
    </row>
    <row r="3606" spans="1:12" s="37" customFormat="1" ht="11.25" x14ac:dyDescent="0.2">
      <c r="A3606" s="45" t="s">
        <v>32172</v>
      </c>
      <c r="B3606" s="45" t="s">
        <v>32174</v>
      </c>
      <c r="C3606" s="51" t="s">
        <v>32177</v>
      </c>
      <c r="D3606" s="51" t="s">
        <v>32176</v>
      </c>
      <c r="E3606" s="45" t="s">
        <v>18727</v>
      </c>
      <c r="F3606" s="45" t="s">
        <v>18158</v>
      </c>
      <c r="G3606" s="45" t="s">
        <v>50584</v>
      </c>
      <c r="H3606" s="56"/>
      <c r="I3606" s="56" t="s">
        <v>50564</v>
      </c>
      <c r="J3606" s="56"/>
      <c r="K3606" s="50"/>
      <c r="L3606" s="56" t="s">
        <v>56716</v>
      </c>
    </row>
    <row r="3607" spans="1:12" s="37" customFormat="1" ht="11.25" x14ac:dyDescent="0.2">
      <c r="A3607" s="46" t="s">
        <v>15987</v>
      </c>
      <c r="B3607" s="46" t="s">
        <v>52998</v>
      </c>
      <c r="C3607" s="58" t="str">
        <f>"18099777"</f>
        <v>18099777</v>
      </c>
      <c r="D3607" s="58" t="str">
        <f>"18094864"</f>
        <v>18094864</v>
      </c>
      <c r="E3607" s="46" t="s">
        <v>412</v>
      </c>
      <c r="F3607" s="46" t="s">
        <v>18158</v>
      </c>
      <c r="G3607" s="46" t="s">
        <v>50584</v>
      </c>
      <c r="H3607" s="48" t="s">
        <v>56716</v>
      </c>
      <c r="I3607" s="48" t="s">
        <v>50564</v>
      </c>
      <c r="J3607" s="48" t="s">
        <v>56716</v>
      </c>
      <c r="K3607" s="50" t="s">
        <v>56716</v>
      </c>
      <c r="L3607" s="48"/>
    </row>
    <row r="3608" spans="1:12" s="37" customFormat="1" ht="11.25" x14ac:dyDescent="0.2">
      <c r="A3608" s="45" t="s">
        <v>32179</v>
      </c>
      <c r="B3608" s="45" t="s">
        <v>32181</v>
      </c>
      <c r="C3608" s="51" t="s">
        <v>32184</v>
      </c>
      <c r="D3608" s="51" t="s">
        <v>32183</v>
      </c>
      <c r="E3608" s="45" t="s">
        <v>32185</v>
      </c>
      <c r="F3608" s="45" t="s">
        <v>18058</v>
      </c>
      <c r="G3608" s="45" t="s">
        <v>50584</v>
      </c>
      <c r="H3608" s="56"/>
      <c r="I3608" s="56" t="s">
        <v>50564</v>
      </c>
      <c r="J3608" s="56"/>
      <c r="K3608" s="50"/>
      <c r="L3608" s="56" t="s">
        <v>56716</v>
      </c>
    </row>
    <row r="3609" spans="1:12" s="37" customFormat="1" ht="11.25" x14ac:dyDescent="0.2">
      <c r="A3609" s="46" t="s">
        <v>16449</v>
      </c>
      <c r="B3609" s="46" t="s">
        <v>52999</v>
      </c>
      <c r="C3609" s="58" t="str">
        <f>""</f>
        <v/>
      </c>
      <c r="D3609" s="58" t="str">
        <f>"21923183"</f>
        <v>21923183</v>
      </c>
      <c r="E3609" s="46" t="s">
        <v>23335</v>
      </c>
      <c r="F3609" s="46" t="s">
        <v>18242</v>
      </c>
      <c r="G3609" s="46" t="s">
        <v>50584</v>
      </c>
      <c r="H3609" s="48" t="s">
        <v>56716</v>
      </c>
      <c r="I3609" s="48" t="s">
        <v>50564</v>
      </c>
      <c r="J3609" s="48" t="s">
        <v>56716</v>
      </c>
      <c r="K3609" s="50"/>
      <c r="L3609" s="48"/>
    </row>
    <row r="3610" spans="1:12" s="37" customFormat="1" ht="11.25" x14ac:dyDescent="0.2">
      <c r="A3610" s="46" t="s">
        <v>16497</v>
      </c>
      <c r="B3610" s="46" t="s">
        <v>53000</v>
      </c>
      <c r="C3610" s="58" t="str">
        <f>"22519130"</f>
        <v>22519130</v>
      </c>
      <c r="D3610" s="58" t="str">
        <f>"22519149"</f>
        <v>22519149</v>
      </c>
      <c r="E3610" s="46" t="s">
        <v>16500</v>
      </c>
      <c r="F3610" s="46" t="s">
        <v>18232</v>
      </c>
      <c r="G3610" s="46" t="s">
        <v>50584</v>
      </c>
      <c r="H3610" s="48" t="s">
        <v>56716</v>
      </c>
      <c r="I3610" s="48" t="s">
        <v>50564</v>
      </c>
      <c r="J3610" s="48"/>
      <c r="K3610" s="50"/>
      <c r="L3610" s="48"/>
    </row>
    <row r="3611" spans="1:12" s="37" customFormat="1" ht="11.25" x14ac:dyDescent="0.2">
      <c r="A3611" s="46" t="s">
        <v>5741</v>
      </c>
      <c r="B3611" s="46" t="s">
        <v>53001</v>
      </c>
      <c r="C3611" s="58" t="str">
        <f>"02681315"</f>
        <v>02681315</v>
      </c>
      <c r="D3611" s="58" t="str">
        <f>"14735857"</f>
        <v>14735857</v>
      </c>
      <c r="E3611" s="46" t="s">
        <v>28</v>
      </c>
      <c r="F3611" s="46" t="s">
        <v>50646</v>
      </c>
      <c r="G3611" s="46" t="s">
        <v>50584</v>
      </c>
      <c r="H3611" s="48" t="s">
        <v>56716</v>
      </c>
      <c r="I3611" s="48" t="s">
        <v>50564</v>
      </c>
      <c r="J3611" s="48" t="s">
        <v>56716</v>
      </c>
      <c r="K3611" s="50" t="s">
        <v>56716</v>
      </c>
      <c r="L3611" s="48" t="s">
        <v>56716</v>
      </c>
    </row>
    <row r="3612" spans="1:12" s="37" customFormat="1" ht="11.25" x14ac:dyDescent="0.2">
      <c r="A3612" s="45" t="s">
        <v>32191</v>
      </c>
      <c r="B3612" s="45" t="s">
        <v>32193</v>
      </c>
      <c r="C3612" s="51" t="s">
        <v>32194</v>
      </c>
      <c r="D3612" s="51"/>
      <c r="E3612" s="45" t="s">
        <v>970</v>
      </c>
      <c r="F3612" s="45" t="s">
        <v>50646</v>
      </c>
      <c r="G3612" s="45" t="s">
        <v>50584</v>
      </c>
      <c r="H3612" s="56"/>
      <c r="I3612" s="56" t="s">
        <v>50564</v>
      </c>
      <c r="J3612" s="56"/>
      <c r="K3612" s="50"/>
      <c r="L3612" s="56" t="s">
        <v>56716</v>
      </c>
    </row>
    <row r="3613" spans="1:12" s="37" customFormat="1" ht="11.25" x14ac:dyDescent="0.2">
      <c r="A3613" s="45" t="s">
        <v>32196</v>
      </c>
      <c r="B3613" s="45" t="s">
        <v>32198</v>
      </c>
      <c r="C3613" s="51" t="s">
        <v>32201</v>
      </c>
      <c r="D3613" s="51" t="s">
        <v>32200</v>
      </c>
      <c r="E3613" s="45" t="s">
        <v>91</v>
      </c>
      <c r="F3613" s="45" t="s">
        <v>50646</v>
      </c>
      <c r="G3613" s="45" t="s">
        <v>50584</v>
      </c>
      <c r="H3613" s="56"/>
      <c r="I3613" s="56" t="s">
        <v>50564</v>
      </c>
      <c r="J3613" s="56"/>
      <c r="K3613" s="50"/>
      <c r="L3613" s="56" t="s">
        <v>56716</v>
      </c>
    </row>
    <row r="3614" spans="1:12" s="37" customFormat="1" ht="11.25" x14ac:dyDescent="0.2">
      <c r="A3614" s="45" t="s">
        <v>32203</v>
      </c>
      <c r="B3614" s="45" t="s">
        <v>32205</v>
      </c>
      <c r="C3614" s="51" t="s">
        <v>32208</v>
      </c>
      <c r="D3614" s="51" t="s">
        <v>32207</v>
      </c>
      <c r="E3614" s="45" t="s">
        <v>24835</v>
      </c>
      <c r="F3614" s="45" t="s">
        <v>50646</v>
      </c>
      <c r="G3614" s="45" t="s">
        <v>50584</v>
      </c>
      <c r="H3614" s="56"/>
      <c r="I3614" s="56" t="s">
        <v>50564</v>
      </c>
      <c r="J3614" s="56"/>
      <c r="K3614" s="50"/>
      <c r="L3614" s="56" t="s">
        <v>56716</v>
      </c>
    </row>
    <row r="3615" spans="1:12" s="37" customFormat="1" ht="11.25" x14ac:dyDescent="0.2">
      <c r="A3615" s="46" t="s">
        <v>16024</v>
      </c>
      <c r="B3615" s="46" t="s">
        <v>53002</v>
      </c>
      <c r="C3615" s="58" t="str">
        <f>"16725123"</f>
        <v>16725123</v>
      </c>
      <c r="D3615" s="58" t="str">
        <f>""</f>
        <v/>
      </c>
      <c r="E3615" s="46" t="s">
        <v>16026</v>
      </c>
      <c r="F3615" s="46" t="s">
        <v>17958</v>
      </c>
      <c r="G3615" s="46" t="s">
        <v>50585</v>
      </c>
      <c r="H3615" s="48" t="s">
        <v>56716</v>
      </c>
      <c r="I3615" s="48" t="s">
        <v>50564</v>
      </c>
      <c r="J3615" s="48"/>
      <c r="K3615" s="50"/>
      <c r="L3615" s="48"/>
    </row>
    <row r="3616" spans="1:12" s="37" customFormat="1" ht="11.25" x14ac:dyDescent="0.2">
      <c r="A3616" s="46" t="s">
        <v>15823</v>
      </c>
      <c r="B3616" s="46" t="s">
        <v>53003</v>
      </c>
      <c r="C3616" s="58" t="str">
        <f>"20426976"</f>
        <v>20426976</v>
      </c>
      <c r="D3616" s="58" t="str">
        <f>"20426984"</f>
        <v>20426984</v>
      </c>
      <c r="E3616" s="46" t="s">
        <v>517</v>
      </c>
      <c r="F3616" s="46" t="s">
        <v>17759</v>
      </c>
      <c r="G3616" s="46" t="s">
        <v>50584</v>
      </c>
      <c r="H3616" s="48" t="s">
        <v>56716</v>
      </c>
      <c r="I3616" s="48" t="s">
        <v>50564</v>
      </c>
      <c r="J3616" s="48" t="s">
        <v>56716</v>
      </c>
      <c r="K3616" s="50" t="s">
        <v>56716</v>
      </c>
      <c r="L3616" s="48" t="s">
        <v>56716</v>
      </c>
    </row>
    <row r="3617" spans="1:12" s="37" customFormat="1" ht="11.25" x14ac:dyDescent="0.2">
      <c r="A3617" s="46" t="s">
        <v>6081</v>
      </c>
      <c r="B3617" s="46" t="s">
        <v>53004</v>
      </c>
      <c r="C3617" s="58" t="str">
        <f>"0803706X"</f>
        <v>0803706X</v>
      </c>
      <c r="D3617" s="58" t="str">
        <f>"16512324"</f>
        <v>16512324</v>
      </c>
      <c r="E3617" s="46" t="s">
        <v>689</v>
      </c>
      <c r="F3617" s="46" t="s">
        <v>50646</v>
      </c>
      <c r="G3617" s="46" t="s">
        <v>50584</v>
      </c>
      <c r="H3617" s="48" t="s">
        <v>56716</v>
      </c>
      <c r="I3617" s="48" t="s">
        <v>50564</v>
      </c>
      <c r="J3617" s="48" t="s">
        <v>56716</v>
      </c>
      <c r="K3617" s="50" t="s">
        <v>56716</v>
      </c>
      <c r="L3617" s="48"/>
    </row>
    <row r="3618" spans="1:12" s="37" customFormat="1" ht="11.25" x14ac:dyDescent="0.2">
      <c r="A3618" s="46" t="s">
        <v>13857</v>
      </c>
      <c r="B3618" s="46" t="s">
        <v>53005</v>
      </c>
      <c r="C3618" s="58" t="str">
        <f>"18763413"</f>
        <v>18763413</v>
      </c>
      <c r="D3618" s="58" t="str">
        <f>"18763405"</f>
        <v>18763405</v>
      </c>
      <c r="E3618" s="46" t="s">
        <v>55</v>
      </c>
      <c r="F3618" s="46" t="s">
        <v>50646</v>
      </c>
      <c r="G3618" s="46" t="s">
        <v>50584</v>
      </c>
      <c r="H3618" s="48" t="s">
        <v>56716</v>
      </c>
      <c r="I3618" s="48" t="s">
        <v>50564</v>
      </c>
      <c r="J3618" s="48" t="s">
        <v>56716</v>
      </c>
      <c r="K3618" s="50"/>
      <c r="L3618" s="48" t="s">
        <v>56716</v>
      </c>
    </row>
    <row r="3619" spans="1:12" s="37" customFormat="1" ht="11.25" x14ac:dyDescent="0.2">
      <c r="A3619" s="46" t="s">
        <v>11434</v>
      </c>
      <c r="B3619" s="46" t="s">
        <v>53006</v>
      </c>
      <c r="C3619" s="58" t="str">
        <f>"13492365"</f>
        <v>13492365</v>
      </c>
      <c r="D3619" s="58" t="str">
        <f>"13493299"</f>
        <v>13493299</v>
      </c>
      <c r="E3619" s="46" t="s">
        <v>11437</v>
      </c>
      <c r="F3619" s="46" t="s">
        <v>18242</v>
      </c>
      <c r="G3619" s="46" t="s">
        <v>50584</v>
      </c>
      <c r="H3619" s="48" t="s">
        <v>56716</v>
      </c>
      <c r="I3619" s="48" t="s">
        <v>50564</v>
      </c>
      <c r="J3619" s="48" t="s">
        <v>56716</v>
      </c>
      <c r="K3619" s="50"/>
      <c r="L3619" s="48" t="s">
        <v>56716</v>
      </c>
    </row>
    <row r="3620" spans="1:12" s="37" customFormat="1" ht="11.25" x14ac:dyDescent="0.2">
      <c r="A3620" s="46" t="s">
        <v>4364</v>
      </c>
      <c r="B3620" s="46" t="s">
        <v>53007</v>
      </c>
      <c r="C3620" s="58" t="str">
        <f>"09538178"</f>
        <v>09538178</v>
      </c>
      <c r="D3620" s="58" t="str">
        <f>"14602377"</f>
        <v>14602377</v>
      </c>
      <c r="E3620" s="46" t="s">
        <v>55</v>
      </c>
      <c r="F3620" s="46" t="s">
        <v>50646</v>
      </c>
      <c r="G3620" s="46" t="s">
        <v>50584</v>
      </c>
      <c r="H3620" s="48" t="s">
        <v>56716</v>
      </c>
      <c r="I3620" s="48" t="s">
        <v>50564</v>
      </c>
      <c r="J3620" s="48" t="s">
        <v>56716</v>
      </c>
      <c r="K3620" s="50"/>
      <c r="L3620" s="48" t="s">
        <v>56716</v>
      </c>
    </row>
    <row r="3621" spans="1:12" s="37" customFormat="1" ht="11.25" x14ac:dyDescent="0.2">
      <c r="A3621" s="46" t="s">
        <v>8879</v>
      </c>
      <c r="B3621" s="46" t="s">
        <v>53008</v>
      </c>
      <c r="C3621" s="58" t="str">
        <f>"15675769"</f>
        <v>15675769</v>
      </c>
      <c r="D3621" s="58" t="str">
        <f>"18781705"</f>
        <v>18781705</v>
      </c>
      <c r="E3621" s="46" t="s">
        <v>91</v>
      </c>
      <c r="F3621" s="46" t="s">
        <v>18001</v>
      </c>
      <c r="G3621" s="46" t="s">
        <v>50584</v>
      </c>
      <c r="H3621" s="48" t="s">
        <v>56716</v>
      </c>
      <c r="I3621" s="48" t="s">
        <v>50564</v>
      </c>
      <c r="J3621" s="48" t="s">
        <v>56716</v>
      </c>
      <c r="K3621" s="50" t="s">
        <v>56716</v>
      </c>
      <c r="L3621" s="48" t="s">
        <v>56716</v>
      </c>
    </row>
    <row r="3622" spans="1:12" s="37" customFormat="1" ht="11.25" x14ac:dyDescent="0.2">
      <c r="A3622" s="46" t="s">
        <v>9657</v>
      </c>
      <c r="B3622" s="46" t="s">
        <v>53010</v>
      </c>
      <c r="C3622" s="58" t="str">
        <f>""</f>
        <v/>
      </c>
      <c r="D3622" s="58" t="str">
        <f>"14759276"</f>
        <v>14759276</v>
      </c>
      <c r="E3622" s="46" t="s">
        <v>2299</v>
      </c>
      <c r="F3622" s="46" t="s">
        <v>50646</v>
      </c>
      <c r="G3622" s="46" t="s">
        <v>50584</v>
      </c>
      <c r="H3622" s="48" t="s">
        <v>56716</v>
      </c>
      <c r="I3622" s="48" t="s">
        <v>50564</v>
      </c>
      <c r="J3622" s="48" t="s">
        <v>56716</v>
      </c>
      <c r="K3622" s="50" t="s">
        <v>56716</v>
      </c>
      <c r="L3622" s="48" t="s">
        <v>56716</v>
      </c>
    </row>
    <row r="3623" spans="1:12" s="37" customFormat="1" ht="11.25" x14ac:dyDescent="0.2">
      <c r="A3623" s="45" t="s">
        <v>32239</v>
      </c>
      <c r="B3623" s="45" t="s">
        <v>56586</v>
      </c>
      <c r="C3623" s="51" t="s">
        <v>32244</v>
      </c>
      <c r="D3623" s="51" t="s">
        <v>32243</v>
      </c>
      <c r="E3623" s="45" t="s">
        <v>17805</v>
      </c>
      <c r="F3623" s="45" t="s">
        <v>50646</v>
      </c>
      <c r="G3623" s="45" t="s">
        <v>50584</v>
      </c>
      <c r="H3623" s="56"/>
      <c r="I3623" s="56" t="s">
        <v>50564</v>
      </c>
      <c r="J3623" s="56"/>
      <c r="K3623" s="50"/>
      <c r="L3623" s="56" t="s">
        <v>56716</v>
      </c>
    </row>
    <row r="3624" spans="1:12" s="37" customFormat="1" ht="11.25" x14ac:dyDescent="0.2">
      <c r="A3624" s="46" t="s">
        <v>1988</v>
      </c>
      <c r="B3624" s="46" t="s">
        <v>53011</v>
      </c>
      <c r="C3624" s="58" t="str">
        <f>"00207519"</f>
        <v>00207519</v>
      </c>
      <c r="D3624" s="58" t="str">
        <f>"18790135"</f>
        <v>18790135</v>
      </c>
      <c r="E3624" s="46" t="s">
        <v>155</v>
      </c>
      <c r="F3624" s="46" t="s">
        <v>50646</v>
      </c>
      <c r="G3624" s="46" t="s">
        <v>50584</v>
      </c>
      <c r="H3624" s="48" t="s">
        <v>56716</v>
      </c>
      <c r="I3624" s="48" t="s">
        <v>50564</v>
      </c>
      <c r="J3624" s="48"/>
      <c r="K3624" s="50" t="s">
        <v>56716</v>
      </c>
      <c r="L3624" s="48" t="s">
        <v>56716</v>
      </c>
    </row>
    <row r="3625" spans="1:12" s="37" customFormat="1" ht="11.25" x14ac:dyDescent="0.2">
      <c r="A3625" s="46" t="s">
        <v>15957</v>
      </c>
      <c r="B3625" s="46" t="s">
        <v>53012</v>
      </c>
      <c r="C3625" s="58" t="str">
        <f>"22113207"</f>
        <v>22113207</v>
      </c>
      <c r="D3625" s="58" t="str">
        <f>"22113207"</f>
        <v>22113207</v>
      </c>
      <c r="E3625" s="46" t="s">
        <v>155</v>
      </c>
      <c r="F3625" s="46" t="s">
        <v>50646</v>
      </c>
      <c r="G3625" s="46" t="s">
        <v>50584</v>
      </c>
      <c r="H3625" s="48" t="s">
        <v>56716</v>
      </c>
      <c r="I3625" s="48" t="s">
        <v>50564</v>
      </c>
      <c r="J3625" s="48" t="s">
        <v>56716</v>
      </c>
      <c r="K3625" s="50"/>
      <c r="L3625" s="48"/>
    </row>
    <row r="3626" spans="1:12" s="37" customFormat="1" ht="11.25" x14ac:dyDescent="0.2">
      <c r="A3626" s="46" t="s">
        <v>7104</v>
      </c>
      <c r="B3626" s="46" t="s">
        <v>53013</v>
      </c>
      <c r="C3626" s="58" t="str">
        <f>"13534505"</f>
        <v>13534505</v>
      </c>
      <c r="D3626" s="58" t="str">
        <f>"14643677"</f>
        <v>14643677</v>
      </c>
      <c r="E3626" s="46" t="s">
        <v>55</v>
      </c>
      <c r="F3626" s="46" t="s">
        <v>50646</v>
      </c>
      <c r="G3626" s="46" t="s">
        <v>50584</v>
      </c>
      <c r="H3626" s="48" t="s">
        <v>56716</v>
      </c>
      <c r="I3626" s="48" t="s">
        <v>50564</v>
      </c>
      <c r="J3626" s="48" t="s">
        <v>56716</v>
      </c>
      <c r="K3626" s="50"/>
      <c r="L3626" s="48" t="s">
        <v>56716</v>
      </c>
    </row>
    <row r="3627" spans="1:12" s="37" customFormat="1" ht="11.25" x14ac:dyDescent="0.2">
      <c r="A3627" s="46" t="s">
        <v>2006</v>
      </c>
      <c r="B3627" s="46" t="s">
        <v>53014</v>
      </c>
      <c r="C3627" s="58" t="str">
        <f>"03009831"</f>
        <v>03009831</v>
      </c>
      <c r="D3627" s="58" t="str">
        <f>"16642821"</f>
        <v>16642821</v>
      </c>
      <c r="E3627" s="46" t="s">
        <v>2009</v>
      </c>
      <c r="F3627" s="46" t="s">
        <v>18123</v>
      </c>
      <c r="G3627" s="46" t="s">
        <v>50584</v>
      </c>
      <c r="H3627" s="48" t="s">
        <v>56716</v>
      </c>
      <c r="I3627" s="48" t="s">
        <v>50564</v>
      </c>
      <c r="J3627" s="48"/>
      <c r="K3627" s="50"/>
      <c r="L3627" s="48" t="s">
        <v>56716</v>
      </c>
    </row>
    <row r="3628" spans="1:12" s="37" customFormat="1" ht="11.25" x14ac:dyDescent="0.2">
      <c r="A3628" s="46" t="s">
        <v>1884</v>
      </c>
      <c r="B3628" s="46" t="s">
        <v>53015</v>
      </c>
      <c r="C3628" s="58" t="str">
        <f>"03340139"</f>
        <v>03340139</v>
      </c>
      <c r="D3628" s="58" t="str">
        <f>"21910278"</f>
        <v>21910278</v>
      </c>
      <c r="E3628" s="46" t="s">
        <v>1887</v>
      </c>
      <c r="F3628" s="46" t="s">
        <v>18158</v>
      </c>
      <c r="G3628" s="46" t="s">
        <v>50584</v>
      </c>
      <c r="H3628" s="48" t="s">
        <v>56716</v>
      </c>
      <c r="I3628" s="48" t="s">
        <v>50564</v>
      </c>
      <c r="J3628" s="48"/>
      <c r="K3628" s="50"/>
      <c r="L3628" s="48" t="s">
        <v>56716</v>
      </c>
    </row>
    <row r="3629" spans="1:12" s="37" customFormat="1" ht="11.25" x14ac:dyDescent="0.2">
      <c r="A3629" s="46" t="s">
        <v>16192</v>
      </c>
      <c r="B3629" s="46" t="s">
        <v>53016</v>
      </c>
      <c r="C3629" s="58" t="str">
        <f>"22497226"</f>
        <v>22497226</v>
      </c>
      <c r="D3629" s="58" t="str">
        <f>"22307583"</f>
        <v>22307583</v>
      </c>
      <c r="E3629" s="46" t="s">
        <v>16192</v>
      </c>
      <c r="F3629" s="46" t="s">
        <v>20446</v>
      </c>
      <c r="G3629" s="46" t="s">
        <v>50584</v>
      </c>
      <c r="H3629" s="48" t="s">
        <v>56716</v>
      </c>
      <c r="I3629" s="48" t="s">
        <v>50564</v>
      </c>
      <c r="J3629" s="48"/>
      <c r="K3629" s="50"/>
      <c r="L3629" s="48"/>
    </row>
    <row r="3630" spans="1:12" s="37" customFormat="1" ht="11.25" x14ac:dyDescent="0.2">
      <c r="A3630" s="46" t="s">
        <v>15018</v>
      </c>
      <c r="B3630" s="46" t="s">
        <v>53017</v>
      </c>
      <c r="C3630" s="58" t="str">
        <f>""</f>
        <v/>
      </c>
      <c r="D3630" s="58" t="str">
        <f>"09761055"</f>
        <v>09761055</v>
      </c>
      <c r="E3630" s="46" t="s">
        <v>14865</v>
      </c>
      <c r="F3630" s="46" t="s">
        <v>20446</v>
      </c>
      <c r="G3630" s="46" t="s">
        <v>50584</v>
      </c>
      <c r="H3630" s="48" t="s">
        <v>56716</v>
      </c>
      <c r="I3630" s="48" t="s">
        <v>50564</v>
      </c>
      <c r="J3630" s="48"/>
      <c r="K3630" s="50"/>
      <c r="L3630" s="48"/>
    </row>
    <row r="3631" spans="1:12" s="37" customFormat="1" ht="11.25" x14ac:dyDescent="0.2">
      <c r="A3631" s="46" t="s">
        <v>13519</v>
      </c>
      <c r="B3631" s="46" t="s">
        <v>53018</v>
      </c>
      <c r="C3631" s="58" t="str">
        <f>"1478856X"</f>
        <v>1478856X</v>
      </c>
      <c r="D3631" s="58" t="str">
        <f>""</f>
        <v/>
      </c>
      <c r="E3631" s="46" t="s">
        <v>13516</v>
      </c>
      <c r="F3631" s="46" t="s">
        <v>50646</v>
      </c>
      <c r="G3631" s="46" t="s">
        <v>50584</v>
      </c>
      <c r="H3631" s="48" t="s">
        <v>56716</v>
      </c>
      <c r="I3631" s="48" t="s">
        <v>50564</v>
      </c>
      <c r="J3631" s="48"/>
      <c r="K3631" s="50"/>
      <c r="L3631" s="48"/>
    </row>
    <row r="3632" spans="1:12" s="37" customFormat="1" ht="11.25" x14ac:dyDescent="0.2">
      <c r="A3632" s="46" t="s">
        <v>56027</v>
      </c>
      <c r="B3632" s="46" t="s">
        <v>56028</v>
      </c>
      <c r="C3632" s="58" t="str">
        <f>"22141391"</f>
        <v>22141391</v>
      </c>
      <c r="D3632" s="58" t="str">
        <f>""</f>
        <v/>
      </c>
      <c r="E3632" s="46" t="s">
        <v>155</v>
      </c>
      <c r="F3632" s="46" t="s">
        <v>50646</v>
      </c>
      <c r="G3632" s="46" t="s">
        <v>50584</v>
      </c>
      <c r="H3632" s="48" t="s">
        <v>56716</v>
      </c>
      <c r="I3632" s="48" t="s">
        <v>50564</v>
      </c>
      <c r="J3632" s="48" t="s">
        <v>56716</v>
      </c>
      <c r="K3632" s="50"/>
      <c r="L3632" s="48"/>
    </row>
    <row r="3633" spans="1:12" s="37" customFormat="1" ht="11.25" x14ac:dyDescent="0.2">
      <c r="A3633" s="45" t="s">
        <v>32267</v>
      </c>
      <c r="B3633" s="45" t="s">
        <v>32269</v>
      </c>
      <c r="C3633" s="51" t="s">
        <v>32271</v>
      </c>
      <c r="D3633" s="51"/>
      <c r="E3633" s="45" t="s">
        <v>19447</v>
      </c>
      <c r="F3633" s="45" t="s">
        <v>17759</v>
      </c>
      <c r="G3633" s="45" t="s">
        <v>50584</v>
      </c>
      <c r="H3633" s="56"/>
      <c r="I3633" s="56" t="s">
        <v>50564</v>
      </c>
      <c r="J3633" s="56"/>
      <c r="K3633" s="50"/>
      <c r="L3633" s="56" t="s">
        <v>56716</v>
      </c>
    </row>
    <row r="3634" spans="1:12" s="37" customFormat="1" ht="11.25" x14ac:dyDescent="0.2">
      <c r="A3634" s="46" t="s">
        <v>14596</v>
      </c>
      <c r="B3634" s="46" t="s">
        <v>53019</v>
      </c>
      <c r="C3634" s="58" t="str">
        <f>""</f>
        <v/>
      </c>
      <c r="D3634" s="58" t="str">
        <f>"20900252"</f>
        <v>20900252</v>
      </c>
      <c r="E3634" s="46" t="s">
        <v>1412</v>
      </c>
      <c r="F3634" s="46" t="s">
        <v>17759</v>
      </c>
      <c r="G3634" s="46" t="s">
        <v>50584</v>
      </c>
      <c r="H3634" s="48" t="s">
        <v>56716</v>
      </c>
      <c r="I3634" s="48" t="s">
        <v>50564</v>
      </c>
      <c r="J3634" s="48" t="s">
        <v>56716</v>
      </c>
      <c r="K3634" s="50"/>
      <c r="L3634" s="48"/>
    </row>
    <row r="3635" spans="1:12" s="37" customFormat="1" ht="11.25" x14ac:dyDescent="0.2">
      <c r="A3635" s="46" t="s">
        <v>6469</v>
      </c>
      <c r="B3635" s="46" t="s">
        <v>53020</v>
      </c>
      <c r="C3635" s="58" t="str">
        <f>"10611711"</f>
        <v>10611711</v>
      </c>
      <c r="D3635" s="58" t="str">
        <f>"16155939"</f>
        <v>16155939</v>
      </c>
      <c r="E3635" s="46" t="s">
        <v>371</v>
      </c>
      <c r="F3635" s="46" t="s">
        <v>17759</v>
      </c>
      <c r="G3635" s="46" t="s">
        <v>50584</v>
      </c>
      <c r="H3635" s="48" t="s">
        <v>56716</v>
      </c>
      <c r="I3635" s="48" t="s">
        <v>50564</v>
      </c>
      <c r="J3635" s="48" t="s">
        <v>56716</v>
      </c>
      <c r="K3635" s="50" t="s">
        <v>56716</v>
      </c>
      <c r="L3635" s="48"/>
    </row>
    <row r="3636" spans="1:12" s="37" customFormat="1" ht="11.25" x14ac:dyDescent="0.2">
      <c r="A3636" s="46" t="s">
        <v>5664</v>
      </c>
      <c r="B3636" s="46" t="s">
        <v>53021</v>
      </c>
      <c r="C3636" s="58" t="str">
        <f>"09248579"</f>
        <v>09248579</v>
      </c>
      <c r="D3636" s="58" t="str">
        <f>"18727913"</f>
        <v>18727913</v>
      </c>
      <c r="E3636" s="46" t="s">
        <v>91</v>
      </c>
      <c r="F3636" s="46" t="s">
        <v>18001</v>
      </c>
      <c r="G3636" s="46" t="s">
        <v>50584</v>
      </c>
      <c r="H3636" s="48" t="s">
        <v>56716</v>
      </c>
      <c r="I3636" s="48" t="s">
        <v>50564</v>
      </c>
      <c r="J3636" s="48" t="s">
        <v>56716</v>
      </c>
      <c r="K3636" s="50" t="s">
        <v>56716</v>
      </c>
      <c r="L3636" s="48" t="s">
        <v>56716</v>
      </c>
    </row>
    <row r="3637" spans="1:12" s="37" customFormat="1" ht="11.25" x14ac:dyDescent="0.2">
      <c r="A3637" s="46" t="s">
        <v>15042</v>
      </c>
      <c r="B3637" s="46" t="s">
        <v>55835</v>
      </c>
      <c r="C3637" s="58" t="str">
        <f>"09757058"</f>
        <v>09757058</v>
      </c>
      <c r="D3637" s="58" t="str">
        <f>"09757058"</f>
        <v>09757058</v>
      </c>
      <c r="E3637" s="46" t="s">
        <v>15042</v>
      </c>
      <c r="F3637" s="46" t="s">
        <v>20446</v>
      </c>
      <c r="G3637" s="46" t="s">
        <v>50584</v>
      </c>
      <c r="H3637" s="48" t="s">
        <v>56716</v>
      </c>
      <c r="I3637" s="48" t="s">
        <v>50564</v>
      </c>
      <c r="J3637" s="48"/>
      <c r="K3637" s="50"/>
      <c r="L3637" s="48"/>
    </row>
    <row r="3638" spans="1:12" s="37" customFormat="1" ht="11.25" x14ac:dyDescent="0.2">
      <c r="A3638" s="46" t="s">
        <v>15498</v>
      </c>
      <c r="B3638" s="46" t="s">
        <v>53022</v>
      </c>
      <c r="C3638" s="58" t="str">
        <f>""</f>
        <v/>
      </c>
      <c r="D3638" s="58" t="str">
        <f>"19406223"</f>
        <v>19406223</v>
      </c>
      <c r="E3638" s="46" t="s">
        <v>15500</v>
      </c>
      <c r="F3638" s="46" t="s">
        <v>17759</v>
      </c>
      <c r="G3638" s="46" t="s">
        <v>50584</v>
      </c>
      <c r="H3638" s="48" t="s">
        <v>56716</v>
      </c>
      <c r="I3638" s="48" t="s">
        <v>50564</v>
      </c>
      <c r="J3638" s="48"/>
      <c r="K3638" s="50"/>
      <c r="L3638" s="48"/>
    </row>
    <row r="3639" spans="1:12" s="37" customFormat="1" ht="11.25" x14ac:dyDescent="0.2">
      <c r="A3639" s="46" t="s">
        <v>1888</v>
      </c>
      <c r="B3639" s="46" t="s">
        <v>53023</v>
      </c>
      <c r="C3639" s="58" t="str">
        <f>"03913988"</f>
        <v>03913988</v>
      </c>
      <c r="D3639" s="58" t="str">
        <f>""</f>
        <v/>
      </c>
      <c r="E3639" s="46" t="s">
        <v>56167</v>
      </c>
      <c r="F3639" s="46" t="s">
        <v>17991</v>
      </c>
      <c r="G3639" s="46" t="s">
        <v>50584</v>
      </c>
      <c r="H3639" s="48" t="s">
        <v>56716</v>
      </c>
      <c r="I3639" s="48" t="s">
        <v>50564</v>
      </c>
      <c r="J3639" s="48"/>
      <c r="K3639" s="50"/>
      <c r="L3639" s="48" t="s">
        <v>56716</v>
      </c>
    </row>
    <row r="3640" spans="1:12" s="37" customFormat="1" ht="11.25" x14ac:dyDescent="0.2">
      <c r="A3640" s="45" t="s">
        <v>32283</v>
      </c>
      <c r="B3640" s="45" t="s">
        <v>32285</v>
      </c>
      <c r="C3640" s="51" t="s">
        <v>32288</v>
      </c>
      <c r="D3640" s="51" t="s">
        <v>32287</v>
      </c>
      <c r="E3640" s="45" t="s">
        <v>291</v>
      </c>
      <c r="F3640" s="45" t="s">
        <v>50646</v>
      </c>
      <c r="G3640" s="45" t="s">
        <v>50584</v>
      </c>
      <c r="H3640" s="56"/>
      <c r="I3640" s="56" t="s">
        <v>50564</v>
      </c>
      <c r="J3640" s="56"/>
      <c r="K3640" s="50"/>
      <c r="L3640" s="56" t="s">
        <v>56716</v>
      </c>
    </row>
    <row r="3641" spans="1:12" s="37" customFormat="1" ht="11.25" x14ac:dyDescent="0.2">
      <c r="A3641" s="46" t="s">
        <v>15246</v>
      </c>
      <c r="B3641" s="46" t="s">
        <v>53024</v>
      </c>
      <c r="C3641" s="58" t="str">
        <f>"09747788"</f>
        <v>09747788</v>
      </c>
      <c r="D3641" s="58" t="str">
        <f>"0974925X"</f>
        <v>0974925X</v>
      </c>
      <c r="E3641" s="46" t="s">
        <v>19057</v>
      </c>
      <c r="F3641" s="46" t="s">
        <v>20446</v>
      </c>
      <c r="G3641" s="46" t="s">
        <v>50584</v>
      </c>
      <c r="H3641" s="48" t="s">
        <v>56716</v>
      </c>
      <c r="I3641" s="48" t="s">
        <v>50564</v>
      </c>
      <c r="J3641" s="48" t="s">
        <v>56716</v>
      </c>
      <c r="K3641" s="50"/>
      <c r="L3641" s="48"/>
    </row>
    <row r="3642" spans="1:12" s="37" customFormat="1" ht="11.25" x14ac:dyDescent="0.2">
      <c r="A3642" s="46" t="s">
        <v>8737</v>
      </c>
      <c r="B3642" s="46" t="s">
        <v>53025</v>
      </c>
      <c r="C3642" s="58" t="str">
        <f>"01650254"</f>
        <v>01650254</v>
      </c>
      <c r="D3642" s="58" t="str">
        <f>"14640651"</f>
        <v>14640651</v>
      </c>
      <c r="E3642" s="46" t="s">
        <v>97</v>
      </c>
      <c r="F3642" s="46" t="s">
        <v>50646</v>
      </c>
      <c r="G3642" s="46" t="s">
        <v>50584</v>
      </c>
      <c r="H3642" s="48" t="s">
        <v>56716</v>
      </c>
      <c r="I3642" s="48" t="s">
        <v>50564</v>
      </c>
      <c r="J3642" s="48"/>
      <c r="K3642" s="50"/>
      <c r="L3642" s="48"/>
    </row>
    <row r="3643" spans="1:12" s="37" customFormat="1" ht="11.25" x14ac:dyDescent="0.2">
      <c r="A3643" s="45" t="s">
        <v>32290</v>
      </c>
      <c r="B3643" s="45" t="s">
        <v>32292</v>
      </c>
      <c r="C3643" s="51" t="s">
        <v>32294</v>
      </c>
      <c r="D3643" s="51" t="s">
        <v>32293</v>
      </c>
      <c r="E3643" s="45" t="s">
        <v>291</v>
      </c>
      <c r="F3643" s="45" t="s">
        <v>50646</v>
      </c>
      <c r="G3643" s="45" t="s">
        <v>50584</v>
      </c>
      <c r="H3643" s="56"/>
      <c r="I3643" s="56" t="s">
        <v>50564</v>
      </c>
      <c r="J3643" s="56"/>
      <c r="K3643" s="50"/>
      <c r="L3643" s="56" t="s">
        <v>56716</v>
      </c>
    </row>
    <row r="3644" spans="1:12" s="37" customFormat="1" ht="11.25" x14ac:dyDescent="0.2">
      <c r="A3644" s="46" t="s">
        <v>10264</v>
      </c>
      <c r="B3644" s="46" t="s">
        <v>53026</v>
      </c>
      <c r="C3644" s="58" t="str">
        <f>""</f>
        <v/>
      </c>
      <c r="D3644" s="58" t="str">
        <f>"14795868"</f>
        <v>14795868</v>
      </c>
      <c r="E3644" s="46" t="s">
        <v>2299</v>
      </c>
      <c r="F3644" s="46" t="s">
        <v>50646</v>
      </c>
      <c r="G3644" s="46" t="s">
        <v>50584</v>
      </c>
      <c r="H3644" s="48" t="s">
        <v>56716</v>
      </c>
      <c r="I3644" s="48" t="s">
        <v>50564</v>
      </c>
      <c r="J3644" s="48"/>
      <c r="K3644" s="50" t="s">
        <v>56716</v>
      </c>
      <c r="L3644" s="48" t="s">
        <v>56716</v>
      </c>
    </row>
    <row r="3645" spans="1:12" s="37" customFormat="1" ht="11.25" x14ac:dyDescent="0.2">
      <c r="A3645" s="46" t="s">
        <v>6622</v>
      </c>
      <c r="B3645" s="46" t="s">
        <v>53027</v>
      </c>
      <c r="C3645" s="58" t="str">
        <f>"13572725"</f>
        <v>13572725</v>
      </c>
      <c r="D3645" s="58" t="str">
        <f>"18785875"</f>
        <v>18785875</v>
      </c>
      <c r="E3645" s="46" t="s">
        <v>155</v>
      </c>
      <c r="F3645" s="46" t="s">
        <v>50646</v>
      </c>
      <c r="G3645" s="46" t="s">
        <v>50584</v>
      </c>
      <c r="H3645" s="48" t="s">
        <v>56716</v>
      </c>
      <c r="I3645" s="48" t="s">
        <v>50564</v>
      </c>
      <c r="J3645" s="48"/>
      <c r="K3645" s="50" t="s">
        <v>56716</v>
      </c>
      <c r="L3645" s="48" t="s">
        <v>56716</v>
      </c>
    </row>
    <row r="3646" spans="1:12" s="37" customFormat="1" ht="11.25" x14ac:dyDescent="0.2">
      <c r="A3646" s="46" t="s">
        <v>15153</v>
      </c>
      <c r="B3646" s="46" t="s">
        <v>53028</v>
      </c>
      <c r="C3646" s="58" t="str">
        <f>""</f>
        <v/>
      </c>
      <c r="D3646" s="58" t="str">
        <f>"21524114"</f>
        <v>21524114</v>
      </c>
      <c r="E3646" s="46" t="s">
        <v>13079</v>
      </c>
      <c r="F3646" s="46" t="s">
        <v>17759</v>
      </c>
      <c r="G3646" s="46" t="s">
        <v>50584</v>
      </c>
      <c r="H3646" s="48" t="s">
        <v>56716</v>
      </c>
      <c r="I3646" s="48" t="s">
        <v>50564</v>
      </c>
      <c r="J3646" s="48"/>
      <c r="K3646" s="50"/>
      <c r="L3646" s="48"/>
    </row>
    <row r="3647" spans="1:12" s="37" customFormat="1" ht="11.25" x14ac:dyDescent="0.2">
      <c r="A3647" s="45" t="s">
        <v>32306</v>
      </c>
      <c r="B3647" s="45" t="s">
        <v>32308</v>
      </c>
      <c r="C3647" s="51" t="s">
        <v>32310</v>
      </c>
      <c r="D3647" s="51" t="s">
        <v>32309</v>
      </c>
      <c r="E3647" s="45" t="s">
        <v>32311</v>
      </c>
      <c r="F3647" s="45" t="s">
        <v>18123</v>
      </c>
      <c r="G3647" s="45" t="s">
        <v>50584</v>
      </c>
      <c r="H3647" s="56"/>
      <c r="I3647" s="56" t="s">
        <v>50564</v>
      </c>
      <c r="J3647" s="56"/>
      <c r="K3647" s="50"/>
      <c r="L3647" s="56" t="s">
        <v>56716</v>
      </c>
    </row>
    <row r="3648" spans="1:12" s="37" customFormat="1" ht="11.25" x14ac:dyDescent="0.2">
      <c r="A3648" s="46" t="s">
        <v>1891</v>
      </c>
      <c r="B3648" s="46" t="s">
        <v>53029</v>
      </c>
      <c r="C3648" s="58" t="str">
        <f>"01418130"</f>
        <v>01418130</v>
      </c>
      <c r="D3648" s="58" t="str">
        <f>"18790003"</f>
        <v>18790003</v>
      </c>
      <c r="E3648" s="46" t="s">
        <v>91</v>
      </c>
      <c r="F3648" s="46" t="s">
        <v>18001</v>
      </c>
      <c r="G3648" s="46" t="s">
        <v>50584</v>
      </c>
      <c r="H3648" s="48" t="s">
        <v>56716</v>
      </c>
      <c r="I3648" s="48" t="s">
        <v>50564</v>
      </c>
      <c r="J3648" s="48"/>
      <c r="K3648" s="50" t="s">
        <v>56716</v>
      </c>
      <c r="L3648" s="48" t="s">
        <v>56716</v>
      </c>
    </row>
    <row r="3649" spans="1:12" s="37" customFormat="1" ht="11.25" x14ac:dyDescent="0.2">
      <c r="A3649" s="46" t="s">
        <v>4654</v>
      </c>
      <c r="B3649" s="46" t="s">
        <v>53030</v>
      </c>
      <c r="C3649" s="58" t="str">
        <f>"03936155"</f>
        <v>03936155</v>
      </c>
      <c r="D3649" s="58" t="str">
        <f>"17246008"</f>
        <v>17246008</v>
      </c>
      <c r="E3649" s="46" t="s">
        <v>56167</v>
      </c>
      <c r="F3649" s="46" t="s">
        <v>17991</v>
      </c>
      <c r="G3649" s="46" t="s">
        <v>50584</v>
      </c>
      <c r="H3649" s="48" t="s">
        <v>56716</v>
      </c>
      <c r="I3649" s="48" t="s">
        <v>50564</v>
      </c>
      <c r="J3649" s="48"/>
      <c r="K3649" s="50"/>
      <c r="L3649" s="48" t="s">
        <v>56716</v>
      </c>
    </row>
    <row r="3650" spans="1:12" s="37" customFormat="1" ht="11.25" x14ac:dyDescent="0.2">
      <c r="A3650" s="45" t="s">
        <v>32323</v>
      </c>
      <c r="B3650" s="45" t="s">
        <v>32325</v>
      </c>
      <c r="C3650" s="51"/>
      <c r="D3650" s="51" t="s">
        <v>32326</v>
      </c>
      <c r="E3650" s="45" t="s">
        <v>32327</v>
      </c>
      <c r="F3650" s="45" t="s">
        <v>20082</v>
      </c>
      <c r="G3650" s="45" t="s">
        <v>50584</v>
      </c>
      <c r="H3650" s="56"/>
      <c r="I3650" s="56" t="s">
        <v>50564</v>
      </c>
      <c r="J3650" s="56"/>
      <c r="K3650" s="50"/>
      <c r="L3650" s="56" t="s">
        <v>56716</v>
      </c>
    </row>
    <row r="3651" spans="1:12" s="37" customFormat="1" ht="11.25" x14ac:dyDescent="0.2">
      <c r="A3651" s="46" t="s">
        <v>15392</v>
      </c>
      <c r="B3651" s="46" t="s">
        <v>53031</v>
      </c>
      <c r="C3651" s="58" t="str">
        <f>"16878787"</f>
        <v>16878787</v>
      </c>
      <c r="D3651" s="58" t="str">
        <f>"16878795"</f>
        <v>16878795</v>
      </c>
      <c r="E3651" s="46" t="s">
        <v>1412</v>
      </c>
      <c r="F3651" s="46" t="s">
        <v>17759</v>
      </c>
      <c r="G3651" s="46" t="s">
        <v>50584</v>
      </c>
      <c r="H3651" s="48" t="s">
        <v>56716</v>
      </c>
      <c r="I3651" s="48" t="s">
        <v>50564</v>
      </c>
      <c r="J3651" s="48" t="s">
        <v>56716</v>
      </c>
      <c r="K3651" s="50"/>
      <c r="L3651" s="48"/>
    </row>
    <row r="3652" spans="1:12" s="37" customFormat="1" ht="11.25" x14ac:dyDescent="0.2">
      <c r="A3652" s="46" t="s">
        <v>12520</v>
      </c>
      <c r="B3652" s="46" t="s">
        <v>53032</v>
      </c>
      <c r="C3652" s="58" t="str">
        <f>"17526418"</f>
        <v>17526418</v>
      </c>
      <c r="D3652" s="58" t="str">
        <f>"17526426"</f>
        <v>17526426</v>
      </c>
      <c r="E3652" s="46" t="s">
        <v>8040</v>
      </c>
      <c r="F3652" s="46" t="s">
        <v>50646</v>
      </c>
      <c r="G3652" s="46" t="s">
        <v>50584</v>
      </c>
      <c r="H3652" s="48" t="s">
        <v>56716</v>
      </c>
      <c r="I3652" s="48" t="s">
        <v>50564</v>
      </c>
      <c r="J3652" s="48"/>
      <c r="K3652" s="50"/>
      <c r="L3652" s="48"/>
    </row>
    <row r="3653" spans="1:12" s="37" customFormat="1" ht="11.25" x14ac:dyDescent="0.2">
      <c r="A3653" s="46" t="s">
        <v>11452</v>
      </c>
      <c r="B3653" s="46" t="s">
        <v>53033</v>
      </c>
      <c r="C3653" s="58" t="str">
        <f>"16874188"</f>
        <v>16874188</v>
      </c>
      <c r="D3653" s="58" t="str">
        <f>"16874196"</f>
        <v>16874196</v>
      </c>
      <c r="E3653" s="46" t="s">
        <v>1412</v>
      </c>
      <c r="F3653" s="46" t="s">
        <v>17759</v>
      </c>
      <c r="G3653" s="46" t="s">
        <v>50584</v>
      </c>
      <c r="H3653" s="48" t="s">
        <v>56716</v>
      </c>
      <c r="I3653" s="48" t="s">
        <v>50564</v>
      </c>
      <c r="J3653" s="48"/>
      <c r="K3653" s="50"/>
      <c r="L3653" s="48"/>
    </row>
    <row r="3654" spans="1:12" s="37" customFormat="1" ht="11.25" x14ac:dyDescent="0.2">
      <c r="A3654" s="46" t="s">
        <v>17238</v>
      </c>
      <c r="B3654" s="46" t="s">
        <v>53034</v>
      </c>
      <c r="C3654" s="58" t="str">
        <f>"17560799"</f>
        <v>17560799</v>
      </c>
      <c r="D3654" s="58" t="str">
        <f>"17560802"</f>
        <v>17560802</v>
      </c>
      <c r="E3654" s="46" t="s">
        <v>17241</v>
      </c>
      <c r="F3654" s="46" t="s">
        <v>18123</v>
      </c>
      <c r="G3654" s="46" t="s">
        <v>50584</v>
      </c>
      <c r="H3654" s="48" t="s">
        <v>56716</v>
      </c>
      <c r="I3654" s="48" t="s">
        <v>50564</v>
      </c>
      <c r="J3654" s="48" t="s">
        <v>56716</v>
      </c>
      <c r="K3654" s="50"/>
      <c r="L3654" s="48"/>
    </row>
    <row r="3655" spans="1:12" s="37" customFormat="1" ht="11.25" x14ac:dyDescent="0.2">
      <c r="A3655" s="46" t="s">
        <v>12499</v>
      </c>
      <c r="B3655" s="46" t="s">
        <v>53035</v>
      </c>
      <c r="C3655" s="58" t="str">
        <f>"15509702"</f>
        <v>15509702</v>
      </c>
      <c r="D3655" s="58" t="str">
        <f>"15552810"</f>
        <v>15552810</v>
      </c>
      <c r="E3655" s="46" t="s">
        <v>12502</v>
      </c>
      <c r="F3655" s="46" t="s">
        <v>17759</v>
      </c>
      <c r="G3655" s="46" t="s">
        <v>50584</v>
      </c>
      <c r="H3655" s="48" t="s">
        <v>56716</v>
      </c>
      <c r="I3655" s="48" t="s">
        <v>50564</v>
      </c>
      <c r="J3655" s="48"/>
      <c r="K3655" s="50"/>
      <c r="L3655" s="48"/>
    </row>
    <row r="3656" spans="1:12" s="37" customFormat="1" ht="11.25" x14ac:dyDescent="0.2">
      <c r="A3656" s="45" t="s">
        <v>32329</v>
      </c>
      <c r="B3656" s="45" t="s">
        <v>32331</v>
      </c>
      <c r="C3656" s="51" t="s">
        <v>32334</v>
      </c>
      <c r="D3656" s="51" t="s">
        <v>32333</v>
      </c>
      <c r="E3656" s="45" t="s">
        <v>167</v>
      </c>
      <c r="F3656" s="45" t="s">
        <v>17759</v>
      </c>
      <c r="G3656" s="45" t="s">
        <v>50584</v>
      </c>
      <c r="H3656" s="56"/>
      <c r="I3656" s="56" t="s">
        <v>50564</v>
      </c>
      <c r="J3656" s="56"/>
      <c r="K3656" s="50"/>
      <c r="L3656" s="56" t="s">
        <v>56716</v>
      </c>
    </row>
    <row r="3657" spans="1:12" s="37" customFormat="1" ht="11.25" x14ac:dyDescent="0.2">
      <c r="A3657" s="46" t="s">
        <v>11026</v>
      </c>
      <c r="B3657" s="46" t="s">
        <v>53036</v>
      </c>
      <c r="C3657" s="58" t="str">
        <f>""</f>
        <v/>
      </c>
      <c r="D3657" s="58" t="str">
        <f>"15574679"</f>
        <v>15574679</v>
      </c>
      <c r="E3657" s="46" t="s">
        <v>1887</v>
      </c>
      <c r="F3657" s="46" t="s">
        <v>18158</v>
      </c>
      <c r="G3657" s="46" t="s">
        <v>50584</v>
      </c>
      <c r="H3657" s="48" t="s">
        <v>56716</v>
      </c>
      <c r="I3657" s="48" t="s">
        <v>50564</v>
      </c>
      <c r="J3657" s="48"/>
      <c r="K3657" s="50"/>
      <c r="L3657" s="48" t="s">
        <v>56716</v>
      </c>
    </row>
    <row r="3658" spans="1:12" s="37" customFormat="1" ht="11.25" x14ac:dyDescent="0.2">
      <c r="A3658" s="46" t="s">
        <v>8307</v>
      </c>
      <c r="B3658" s="46" t="s">
        <v>53037</v>
      </c>
      <c r="C3658" s="58" t="str">
        <f>"09636048"</f>
        <v>09636048</v>
      </c>
      <c r="D3658" s="58" t="str">
        <f>"17415020"</f>
        <v>17415020</v>
      </c>
      <c r="E3658" s="46" t="s">
        <v>8040</v>
      </c>
      <c r="F3658" s="46" t="s">
        <v>50646</v>
      </c>
      <c r="G3658" s="46" t="s">
        <v>50584</v>
      </c>
      <c r="H3658" s="48" t="s">
        <v>56716</v>
      </c>
      <c r="I3658" s="48" t="s">
        <v>50564</v>
      </c>
      <c r="J3658" s="48"/>
      <c r="K3658" s="50"/>
      <c r="L3658" s="48"/>
    </row>
    <row r="3659" spans="1:12" s="37" customFormat="1" ht="11.25" x14ac:dyDescent="0.2">
      <c r="A3659" s="46" t="s">
        <v>17549</v>
      </c>
      <c r="B3659" s="46" t="s">
        <v>53038</v>
      </c>
      <c r="C3659" s="58" t="str">
        <f>""</f>
        <v/>
      </c>
      <c r="D3659" s="58" t="str">
        <f>"21947511"</f>
        <v>21947511</v>
      </c>
      <c r="E3659" s="46" t="s">
        <v>13773</v>
      </c>
      <c r="F3659" s="46" t="s">
        <v>18158</v>
      </c>
      <c r="G3659" s="46" t="s">
        <v>50584</v>
      </c>
      <c r="H3659" s="48" t="s">
        <v>56716</v>
      </c>
      <c r="I3659" s="48" t="s">
        <v>50564</v>
      </c>
      <c r="J3659" s="48" t="s">
        <v>56716</v>
      </c>
      <c r="K3659" s="50"/>
      <c r="L3659" s="48"/>
    </row>
    <row r="3660" spans="1:12" s="37" customFormat="1" ht="11.25" x14ac:dyDescent="0.2">
      <c r="A3660" s="46" t="s">
        <v>15672</v>
      </c>
      <c r="B3660" s="46" t="s">
        <v>53039</v>
      </c>
      <c r="C3660" s="58" t="str">
        <f>"20903170"</f>
        <v>20903170</v>
      </c>
      <c r="D3660" s="58" t="str">
        <f>"20903189"</f>
        <v>20903189</v>
      </c>
      <c r="E3660" s="46" t="s">
        <v>1412</v>
      </c>
      <c r="F3660" s="46" t="s">
        <v>17759</v>
      </c>
      <c r="G3660" s="46" t="s">
        <v>50584</v>
      </c>
      <c r="H3660" s="48" t="s">
        <v>56716</v>
      </c>
      <c r="I3660" s="48" t="s">
        <v>50564</v>
      </c>
      <c r="J3660" s="48" t="s">
        <v>56716</v>
      </c>
      <c r="K3660" s="50"/>
      <c r="L3660" s="48"/>
    </row>
    <row r="3661" spans="1:12" s="37" customFormat="1" ht="11.25" x14ac:dyDescent="0.2">
      <c r="A3661" s="46" t="s">
        <v>17458</v>
      </c>
      <c r="B3661" s="46" t="s">
        <v>53040</v>
      </c>
      <c r="C3661" s="58" t="str">
        <f>""</f>
        <v/>
      </c>
      <c r="D3661" s="58" t="str">
        <f>"21602026"</f>
        <v>21602026</v>
      </c>
      <c r="E3661" s="46" t="s">
        <v>13079</v>
      </c>
      <c r="F3661" s="46" t="s">
        <v>17759</v>
      </c>
      <c r="G3661" s="46" t="s">
        <v>50584</v>
      </c>
      <c r="H3661" s="48" t="s">
        <v>56716</v>
      </c>
      <c r="I3661" s="48" t="s">
        <v>50564</v>
      </c>
      <c r="J3661" s="48"/>
      <c r="K3661" s="50"/>
      <c r="L3661" s="48"/>
    </row>
    <row r="3662" spans="1:12" s="37" customFormat="1" ht="11.25" x14ac:dyDescent="0.2">
      <c r="A3662" s="46" t="s">
        <v>1905</v>
      </c>
      <c r="B3662" s="46" t="s">
        <v>53041</v>
      </c>
      <c r="C3662" s="58" t="str">
        <f>"00207136"</f>
        <v>00207136</v>
      </c>
      <c r="D3662" s="58" t="str">
        <f>"10970215"</f>
        <v>10970215</v>
      </c>
      <c r="E3662" s="46" t="s">
        <v>320</v>
      </c>
      <c r="F3662" s="46" t="s">
        <v>17759</v>
      </c>
      <c r="G3662" s="46" t="s">
        <v>50590</v>
      </c>
      <c r="H3662" s="48" t="s">
        <v>56716</v>
      </c>
      <c r="I3662" s="48" t="s">
        <v>50564</v>
      </c>
      <c r="J3662" s="48" t="s">
        <v>56716</v>
      </c>
      <c r="K3662" s="50" t="s">
        <v>56716</v>
      </c>
      <c r="L3662" s="48" t="s">
        <v>56716</v>
      </c>
    </row>
    <row r="3663" spans="1:12" s="37" customFormat="1" ht="11.25" x14ac:dyDescent="0.2">
      <c r="A3663" s="46" t="s">
        <v>10960</v>
      </c>
      <c r="B3663" s="46" t="s">
        <v>53042</v>
      </c>
      <c r="C3663" s="58" t="str">
        <f>"18119727"</f>
        <v>18119727</v>
      </c>
      <c r="D3663" s="58" t="str">
        <f>"18119735"</f>
        <v>18119735</v>
      </c>
      <c r="E3663" s="46" t="s">
        <v>10959</v>
      </c>
      <c r="F3663" s="46" t="s">
        <v>34138</v>
      </c>
      <c r="G3663" s="46" t="s">
        <v>50584</v>
      </c>
      <c r="H3663" s="48" t="s">
        <v>56716</v>
      </c>
      <c r="I3663" s="48" t="s">
        <v>50564</v>
      </c>
      <c r="J3663" s="48"/>
      <c r="K3663" s="50"/>
      <c r="L3663" s="48"/>
    </row>
    <row r="3664" spans="1:12" s="37" customFormat="1" ht="11.25" x14ac:dyDescent="0.2">
      <c r="A3664" s="46" t="s">
        <v>11876</v>
      </c>
      <c r="B3664" s="46" t="s">
        <v>53043</v>
      </c>
      <c r="C3664" s="58" t="str">
        <f>"15541134"</f>
        <v>15541134</v>
      </c>
      <c r="D3664" s="58" t="str">
        <f>""</f>
        <v/>
      </c>
      <c r="E3664" s="46" t="s">
        <v>11878</v>
      </c>
      <c r="F3664" s="46" t="s">
        <v>17759</v>
      </c>
      <c r="G3664" s="46" t="s">
        <v>50584</v>
      </c>
      <c r="H3664" s="48" t="s">
        <v>56716</v>
      </c>
      <c r="I3664" s="48" t="s">
        <v>50564</v>
      </c>
      <c r="J3664" s="48"/>
      <c r="K3664" s="50"/>
      <c r="L3664" s="48"/>
    </row>
    <row r="3665" spans="1:12" s="37" customFormat="1" ht="11.25" x14ac:dyDescent="0.2">
      <c r="A3665" s="46" t="s">
        <v>1899</v>
      </c>
      <c r="B3665" s="46" t="s">
        <v>53044</v>
      </c>
      <c r="C3665" s="58" t="str">
        <f>"01675273"</f>
        <v>01675273</v>
      </c>
      <c r="D3665" s="58" t="str">
        <f>"18741754"</f>
        <v>18741754</v>
      </c>
      <c r="E3665" s="46" t="s">
        <v>221</v>
      </c>
      <c r="F3665" s="46" t="s">
        <v>21771</v>
      </c>
      <c r="G3665" s="46" t="s">
        <v>50584</v>
      </c>
      <c r="H3665" s="48" t="s">
        <v>56716</v>
      </c>
      <c r="I3665" s="48" t="s">
        <v>50564</v>
      </c>
      <c r="J3665" s="48" t="s">
        <v>56716</v>
      </c>
      <c r="K3665" s="50" t="s">
        <v>56716</v>
      </c>
      <c r="L3665" s="48" t="s">
        <v>56716</v>
      </c>
    </row>
    <row r="3666" spans="1:12" s="37" customFormat="1" ht="11.25" x14ac:dyDescent="0.2">
      <c r="A3666" s="46" t="s">
        <v>9150</v>
      </c>
      <c r="B3666" s="46" t="s">
        <v>53045</v>
      </c>
      <c r="C3666" s="58" t="str">
        <f>"15695794"</f>
        <v>15695794</v>
      </c>
      <c r="D3666" s="58" t="str">
        <f>"15730743"</f>
        <v>15730743</v>
      </c>
      <c r="E3666" s="46" t="s">
        <v>18876</v>
      </c>
      <c r="F3666" s="46" t="s">
        <v>18001</v>
      </c>
      <c r="G3666" s="46" t="s">
        <v>50584</v>
      </c>
      <c r="H3666" s="48" t="s">
        <v>56716</v>
      </c>
      <c r="I3666" s="48" t="s">
        <v>50564</v>
      </c>
      <c r="J3666" s="48"/>
      <c r="K3666" s="50" t="s">
        <v>56716</v>
      </c>
      <c r="L3666" s="48" t="s">
        <v>56716</v>
      </c>
    </row>
    <row r="3667" spans="1:12" s="37" customFormat="1" ht="11.25" x14ac:dyDescent="0.2">
      <c r="A3667" s="46" t="s">
        <v>14590</v>
      </c>
      <c r="B3667" s="46" t="s">
        <v>53046</v>
      </c>
      <c r="C3667" s="58" t="str">
        <f>"16878876"</f>
        <v>16878876</v>
      </c>
      <c r="D3667" s="58" t="str">
        <f>"16878884"</f>
        <v>16878884</v>
      </c>
      <c r="E3667" s="46" t="s">
        <v>1412</v>
      </c>
      <c r="F3667" s="46" t="s">
        <v>17759</v>
      </c>
      <c r="G3667" s="46" t="s">
        <v>50584</v>
      </c>
      <c r="H3667" s="48" t="s">
        <v>56716</v>
      </c>
      <c r="I3667" s="48" t="s">
        <v>50564</v>
      </c>
      <c r="J3667" s="48" t="s">
        <v>56716</v>
      </c>
      <c r="K3667" s="50"/>
      <c r="L3667" s="48"/>
    </row>
    <row r="3668" spans="1:12" s="37" customFormat="1" ht="11.25" x14ac:dyDescent="0.2">
      <c r="A3668" s="46" t="s">
        <v>17135</v>
      </c>
      <c r="B3668" s="46" t="s">
        <v>53047</v>
      </c>
      <c r="C3668" s="58" t="str">
        <f>"9761209"</f>
        <v>9761209</v>
      </c>
      <c r="D3668" s="58" t="str">
        <f>"09761209"</f>
        <v>09761209</v>
      </c>
      <c r="E3668" s="46" t="s">
        <v>56102</v>
      </c>
      <c r="F3668" s="46" t="s">
        <v>20446</v>
      </c>
      <c r="G3668" s="46" t="s">
        <v>50584</v>
      </c>
      <c r="H3668" s="48" t="s">
        <v>56716</v>
      </c>
      <c r="I3668" s="48" t="s">
        <v>50564</v>
      </c>
      <c r="J3668" s="48" t="s">
        <v>56716</v>
      </c>
      <c r="K3668" s="50"/>
      <c r="L3668" s="48"/>
    </row>
    <row r="3669" spans="1:12" s="37" customFormat="1" ht="11.25" x14ac:dyDescent="0.2">
      <c r="A3669" s="46" t="s">
        <v>14187</v>
      </c>
      <c r="B3669" s="46" t="s">
        <v>53048</v>
      </c>
      <c r="C3669" s="58" t="str">
        <f>"09744290"</f>
        <v>09744290</v>
      </c>
      <c r="D3669" s="58" t="str">
        <f>"09744290"</f>
        <v>09744290</v>
      </c>
      <c r="E3669" s="46" t="s">
        <v>13735</v>
      </c>
      <c r="F3669" s="46" t="s">
        <v>20446</v>
      </c>
      <c r="G3669" s="46" t="s">
        <v>50584</v>
      </c>
      <c r="H3669" s="48" t="s">
        <v>56716</v>
      </c>
      <c r="I3669" s="48" t="s">
        <v>50564</v>
      </c>
      <c r="J3669" s="48"/>
      <c r="K3669" s="50"/>
      <c r="L3669" s="48"/>
    </row>
    <row r="3670" spans="1:12" s="37" customFormat="1" ht="11.25" x14ac:dyDescent="0.2">
      <c r="A3670" s="45" t="s">
        <v>32364</v>
      </c>
      <c r="B3670" s="45" t="s">
        <v>32366</v>
      </c>
      <c r="C3670" s="51" t="s">
        <v>32369</v>
      </c>
      <c r="D3670" s="51" t="s">
        <v>32368</v>
      </c>
      <c r="E3670" s="45" t="s">
        <v>27985</v>
      </c>
      <c r="F3670" s="45" t="s">
        <v>18130</v>
      </c>
      <c r="G3670" s="45" t="s">
        <v>50584</v>
      </c>
      <c r="H3670" s="56"/>
      <c r="I3670" s="56" t="s">
        <v>50564</v>
      </c>
      <c r="J3670" s="56"/>
      <c r="K3670" s="50"/>
      <c r="L3670" s="56" t="s">
        <v>56716</v>
      </c>
    </row>
    <row r="3671" spans="1:12" s="37" customFormat="1" ht="11.25" x14ac:dyDescent="0.2">
      <c r="A3671" s="46" t="s">
        <v>1917</v>
      </c>
      <c r="B3671" s="46" t="s">
        <v>53049</v>
      </c>
      <c r="C3671" s="58" t="str">
        <f>"00207144"</f>
        <v>00207144</v>
      </c>
      <c r="D3671" s="58" t="str">
        <f>"17445183"</f>
        <v>17445183</v>
      </c>
      <c r="E3671" s="46" t="s">
        <v>689</v>
      </c>
      <c r="F3671" s="46" t="s">
        <v>50646</v>
      </c>
      <c r="G3671" s="46" t="s">
        <v>50584</v>
      </c>
      <c r="H3671" s="48" t="s">
        <v>56716</v>
      </c>
      <c r="I3671" s="48" t="s">
        <v>50564</v>
      </c>
      <c r="J3671" s="48"/>
      <c r="K3671" s="50"/>
      <c r="L3671" s="48" t="s">
        <v>56716</v>
      </c>
    </row>
    <row r="3672" spans="1:12" s="37" customFormat="1" ht="11.25" x14ac:dyDescent="0.2">
      <c r="A3672" s="46" t="s">
        <v>13077</v>
      </c>
      <c r="B3672" s="46" t="s">
        <v>53050</v>
      </c>
      <c r="C3672" s="58" t="str">
        <f>""</f>
        <v/>
      </c>
      <c r="D3672" s="58" t="str">
        <f>"19405901"</f>
        <v>19405901</v>
      </c>
      <c r="E3672" s="46" t="s">
        <v>13079</v>
      </c>
      <c r="F3672" s="46" t="s">
        <v>17759</v>
      </c>
      <c r="G3672" s="46" t="s">
        <v>50584</v>
      </c>
      <c r="H3672" s="48" t="s">
        <v>56716</v>
      </c>
      <c r="I3672" s="48" t="s">
        <v>50564</v>
      </c>
      <c r="J3672" s="48"/>
      <c r="K3672" s="50"/>
      <c r="L3672" s="48"/>
    </row>
    <row r="3673" spans="1:12" s="37" customFormat="1" ht="11.25" x14ac:dyDescent="0.2">
      <c r="A3673" s="45" t="s">
        <v>32376</v>
      </c>
      <c r="B3673" s="45" t="s">
        <v>32378</v>
      </c>
      <c r="C3673" s="51"/>
      <c r="D3673" s="51" t="s">
        <v>32379</v>
      </c>
      <c r="E3673" s="45" t="s">
        <v>32380</v>
      </c>
      <c r="F3673" s="45" t="s">
        <v>17759</v>
      </c>
      <c r="G3673" s="45" t="s">
        <v>50584</v>
      </c>
      <c r="H3673" s="56"/>
      <c r="I3673" s="56" t="s">
        <v>50564</v>
      </c>
      <c r="J3673" s="56"/>
      <c r="K3673" s="50"/>
      <c r="L3673" s="56" t="s">
        <v>56716</v>
      </c>
    </row>
    <row r="3674" spans="1:12" s="37" customFormat="1" ht="11.25" x14ac:dyDescent="0.2">
      <c r="A3674" s="46" t="s">
        <v>12901</v>
      </c>
      <c r="B3674" s="46" t="s">
        <v>53051</v>
      </c>
      <c r="C3674" s="58" t="str">
        <f>"1757207X"</f>
        <v>1757207X</v>
      </c>
      <c r="D3674" s="58" t="str">
        <f>"17572088"</f>
        <v>17572088</v>
      </c>
      <c r="E3674" s="46" t="s">
        <v>12701</v>
      </c>
      <c r="F3674" s="46" t="s">
        <v>50646</v>
      </c>
      <c r="G3674" s="46" t="s">
        <v>50584</v>
      </c>
      <c r="H3674" s="48" t="s">
        <v>56716</v>
      </c>
      <c r="I3674" s="48" t="s">
        <v>50564</v>
      </c>
      <c r="J3674" s="48" t="s">
        <v>56716</v>
      </c>
      <c r="K3674" s="50"/>
      <c r="L3674" s="48"/>
    </row>
    <row r="3675" spans="1:12" s="37" customFormat="1" ht="11.25" x14ac:dyDescent="0.2">
      <c r="A3675" s="46" t="s">
        <v>7526</v>
      </c>
      <c r="B3675" s="46" t="s">
        <v>53052</v>
      </c>
      <c r="C3675" s="58" t="str">
        <f>"13419625"</f>
        <v>13419625</v>
      </c>
      <c r="D3675" s="58" t="str">
        <f>"14377772"</f>
        <v>14377772</v>
      </c>
      <c r="E3675" s="46" t="s">
        <v>23335</v>
      </c>
      <c r="F3675" s="46" t="s">
        <v>18242</v>
      </c>
      <c r="G3675" s="46" t="s">
        <v>50584</v>
      </c>
      <c r="H3675" s="48" t="s">
        <v>56716</v>
      </c>
      <c r="I3675" s="48" t="s">
        <v>50564</v>
      </c>
      <c r="J3675" s="48" t="s">
        <v>56716</v>
      </c>
      <c r="K3675" s="50" t="s">
        <v>56716</v>
      </c>
      <c r="L3675" s="48" t="s">
        <v>56716</v>
      </c>
    </row>
    <row r="3676" spans="1:12" s="37" customFormat="1" ht="11.25" x14ac:dyDescent="0.2">
      <c r="A3676" s="46" t="s">
        <v>6266</v>
      </c>
      <c r="B3676" s="46" t="s">
        <v>53053</v>
      </c>
      <c r="C3676" s="58" t="str">
        <f>"09461965"</f>
        <v>09461965</v>
      </c>
      <c r="D3676" s="58" t="str">
        <f>""</f>
        <v/>
      </c>
      <c r="E3676" s="46" t="s">
        <v>437</v>
      </c>
      <c r="F3676" s="46" t="s">
        <v>18158</v>
      </c>
      <c r="G3676" s="46" t="s">
        <v>50584</v>
      </c>
      <c r="H3676" s="48" t="s">
        <v>56716</v>
      </c>
      <c r="I3676" s="48" t="s">
        <v>50564</v>
      </c>
      <c r="J3676" s="48"/>
      <c r="K3676" s="50"/>
      <c r="L3676" s="48" t="s">
        <v>56716</v>
      </c>
    </row>
    <row r="3677" spans="1:12" s="37" customFormat="1" ht="11.25" x14ac:dyDescent="0.2">
      <c r="A3677" s="46" t="s">
        <v>15414</v>
      </c>
      <c r="B3677" s="46" t="s">
        <v>53054</v>
      </c>
      <c r="C3677" s="58" t="str">
        <f>"22107703"</f>
        <v>22107703</v>
      </c>
      <c r="D3677" s="58" t="str">
        <f>""</f>
        <v/>
      </c>
      <c r="E3677" s="46" t="s">
        <v>18876</v>
      </c>
      <c r="F3677" s="46" t="s">
        <v>18001</v>
      </c>
      <c r="G3677" s="46" t="s">
        <v>50584</v>
      </c>
      <c r="H3677" s="48" t="s">
        <v>56716</v>
      </c>
      <c r="I3677" s="48" t="s">
        <v>50564</v>
      </c>
      <c r="J3677" s="48" t="s">
        <v>56716</v>
      </c>
      <c r="K3677" s="50" t="s">
        <v>56716</v>
      </c>
      <c r="L3677" s="48" t="s">
        <v>56716</v>
      </c>
    </row>
    <row r="3678" spans="1:12" s="37" customFormat="1" ht="11.25" x14ac:dyDescent="0.2">
      <c r="A3678" s="46" t="s">
        <v>7604</v>
      </c>
      <c r="B3678" s="46" t="s">
        <v>53055</v>
      </c>
      <c r="C3678" s="58" t="str">
        <f>"13685031"</f>
        <v>13685031</v>
      </c>
      <c r="D3678" s="58" t="str">
        <f>"17421241"</f>
        <v>17421241</v>
      </c>
      <c r="E3678" s="46" t="s">
        <v>35</v>
      </c>
      <c r="F3678" s="46" t="s">
        <v>50646</v>
      </c>
      <c r="G3678" s="46" t="s">
        <v>50584</v>
      </c>
      <c r="H3678" s="48" t="s">
        <v>56716</v>
      </c>
      <c r="I3678" s="48" t="s">
        <v>50564</v>
      </c>
      <c r="J3678" s="48" t="s">
        <v>56716</v>
      </c>
      <c r="K3678" s="50" t="s">
        <v>56716</v>
      </c>
      <c r="L3678" s="48" t="s">
        <v>56716</v>
      </c>
    </row>
    <row r="3679" spans="1:12" s="37" customFormat="1" ht="11.25" x14ac:dyDescent="0.2">
      <c r="A3679" s="46" t="s">
        <v>13852</v>
      </c>
      <c r="B3679" s="46" t="s">
        <v>53056</v>
      </c>
      <c r="C3679" s="58" t="str">
        <f>"17584272"</f>
        <v>17584272</v>
      </c>
      <c r="D3679" s="58" t="str">
        <f>"17584280"</f>
        <v>17584280</v>
      </c>
      <c r="E3679" s="46" t="s">
        <v>8442</v>
      </c>
      <c r="F3679" s="46" t="s">
        <v>50646</v>
      </c>
      <c r="G3679" s="46" t="s">
        <v>50584</v>
      </c>
      <c r="H3679" s="48" t="s">
        <v>56716</v>
      </c>
      <c r="I3679" s="48" t="s">
        <v>50564</v>
      </c>
      <c r="J3679" s="48" t="s">
        <v>56716</v>
      </c>
      <c r="K3679" s="50"/>
      <c r="L3679" s="48"/>
    </row>
    <row r="3680" spans="1:12" s="37" customFormat="1" ht="11.25" x14ac:dyDescent="0.2">
      <c r="A3680" s="46" t="s">
        <v>4250</v>
      </c>
      <c r="B3680" s="46" t="s">
        <v>53057</v>
      </c>
      <c r="C3680" s="58" t="str">
        <f>"01791958"</f>
        <v>01791958</v>
      </c>
      <c r="D3680" s="58" t="str">
        <f>"14321262"</f>
        <v>14321262</v>
      </c>
      <c r="E3680" s="46" t="s">
        <v>167</v>
      </c>
      <c r="F3680" s="46" t="s">
        <v>18158</v>
      </c>
      <c r="G3680" s="46" t="s">
        <v>50584</v>
      </c>
      <c r="H3680" s="48" t="s">
        <v>56716</v>
      </c>
      <c r="I3680" s="48" t="s">
        <v>50564</v>
      </c>
      <c r="J3680" s="48" t="s">
        <v>56716</v>
      </c>
      <c r="K3680" s="50" t="s">
        <v>56716</v>
      </c>
      <c r="L3680" s="48" t="s">
        <v>56716</v>
      </c>
    </row>
    <row r="3681" spans="1:12" s="37" customFormat="1" ht="11.25" x14ac:dyDescent="0.2">
      <c r="A3681" s="46" t="s">
        <v>13466</v>
      </c>
      <c r="B3681" s="46" t="s">
        <v>53058</v>
      </c>
      <c r="C3681" s="58" t="str">
        <f>"17560756"</f>
        <v>17560756</v>
      </c>
      <c r="D3681" s="58" t="str">
        <f>"17560764"</f>
        <v>17560764</v>
      </c>
      <c r="E3681" s="46" t="s">
        <v>8040</v>
      </c>
      <c r="F3681" s="46" t="s">
        <v>18123</v>
      </c>
      <c r="G3681" s="46" t="s">
        <v>50584</v>
      </c>
      <c r="H3681" s="48" t="s">
        <v>56716</v>
      </c>
      <c r="I3681" s="48" t="s">
        <v>50564</v>
      </c>
      <c r="J3681" s="48"/>
      <c r="K3681" s="50"/>
      <c r="L3681" s="48" t="s">
        <v>56716</v>
      </c>
    </row>
    <row r="3682" spans="1:12" s="37" customFormat="1" ht="11.25" x14ac:dyDescent="0.2">
      <c r="A3682" s="46" t="s">
        <v>11880</v>
      </c>
      <c r="B3682" s="46" t="s">
        <v>53059</v>
      </c>
      <c r="C3682" s="58" t="str">
        <f>"18616410"</f>
        <v>18616410</v>
      </c>
      <c r="D3682" s="58" t="str">
        <f>"18616429"</f>
        <v>18616429</v>
      </c>
      <c r="E3682" s="46" t="s">
        <v>167</v>
      </c>
      <c r="F3682" s="46" t="s">
        <v>18158</v>
      </c>
      <c r="G3682" s="46" t="s">
        <v>50584</v>
      </c>
      <c r="H3682" s="48" t="s">
        <v>56716</v>
      </c>
      <c r="I3682" s="48" t="s">
        <v>50564</v>
      </c>
      <c r="J3682" s="48" t="s">
        <v>56716</v>
      </c>
      <c r="K3682" s="50" t="s">
        <v>56716</v>
      </c>
      <c r="L3682" s="48" t="s">
        <v>56716</v>
      </c>
    </row>
    <row r="3683" spans="1:12" s="37" customFormat="1" ht="11.25" x14ac:dyDescent="0.2">
      <c r="A3683" s="45" t="s">
        <v>32432</v>
      </c>
      <c r="B3683" s="45" t="s">
        <v>32434</v>
      </c>
      <c r="C3683" s="51" t="s">
        <v>32435</v>
      </c>
      <c r="D3683" s="51"/>
      <c r="E3683" s="45" t="s">
        <v>24870</v>
      </c>
      <c r="F3683" s="45" t="s">
        <v>50646</v>
      </c>
      <c r="G3683" s="45" t="s">
        <v>50592</v>
      </c>
      <c r="H3683" s="56"/>
      <c r="I3683" s="56" t="s">
        <v>50564</v>
      </c>
      <c r="J3683" s="56"/>
      <c r="K3683" s="50"/>
      <c r="L3683" s="56" t="s">
        <v>56716</v>
      </c>
    </row>
    <row r="3684" spans="1:12" s="37" customFormat="1" ht="11.25" x14ac:dyDescent="0.2">
      <c r="A3684" s="46" t="s">
        <v>11883</v>
      </c>
      <c r="B3684" s="46" t="s">
        <v>53060</v>
      </c>
      <c r="C3684" s="58" t="str">
        <f>"11769106"</f>
        <v>11769106</v>
      </c>
      <c r="D3684" s="58" t="str">
        <f>"11782005"</f>
        <v>11782005</v>
      </c>
      <c r="E3684" s="46" t="s">
        <v>11079</v>
      </c>
      <c r="F3684" s="46" t="s">
        <v>19483</v>
      </c>
      <c r="G3684" s="46" t="s">
        <v>50584</v>
      </c>
      <c r="H3684" s="48" t="s">
        <v>56716</v>
      </c>
      <c r="I3684" s="48" t="s">
        <v>50564</v>
      </c>
      <c r="J3684" s="48"/>
      <c r="K3684" s="50"/>
      <c r="L3684" s="48" t="s">
        <v>56716</v>
      </c>
    </row>
    <row r="3685" spans="1:12" s="37" customFormat="1" ht="11.25" x14ac:dyDescent="0.2">
      <c r="A3685" s="46" t="s">
        <v>1902</v>
      </c>
      <c r="B3685" s="46" t="s">
        <v>53061</v>
      </c>
      <c r="C3685" s="58" t="str">
        <f>"01425463"</f>
        <v>01425463</v>
      </c>
      <c r="D3685" s="58" t="str">
        <f>"14682494"</f>
        <v>14682494</v>
      </c>
      <c r="E3685" s="46" t="s">
        <v>35</v>
      </c>
      <c r="F3685" s="46" t="s">
        <v>50646</v>
      </c>
      <c r="G3685" s="46" t="s">
        <v>50590</v>
      </c>
      <c r="H3685" s="48" t="s">
        <v>56716</v>
      </c>
      <c r="I3685" s="48" t="s">
        <v>50564</v>
      </c>
      <c r="J3685" s="48"/>
      <c r="K3685" s="50" t="s">
        <v>56716</v>
      </c>
      <c r="L3685" s="48" t="s">
        <v>56716</v>
      </c>
    </row>
    <row r="3686" spans="1:12" s="37" customFormat="1" ht="11.25" x14ac:dyDescent="0.2">
      <c r="A3686" s="46" t="s">
        <v>16158</v>
      </c>
      <c r="B3686" s="46" t="s">
        <v>53062</v>
      </c>
      <c r="C3686" s="58" t="str">
        <f>"09757066"</f>
        <v>09757066</v>
      </c>
      <c r="D3686" s="58" t="str">
        <f>""</f>
        <v/>
      </c>
      <c r="E3686" s="46" t="s">
        <v>16160</v>
      </c>
      <c r="F3686" s="46" t="s">
        <v>20446</v>
      </c>
      <c r="G3686" s="46" t="s">
        <v>50584</v>
      </c>
      <c r="H3686" s="48" t="s">
        <v>56716</v>
      </c>
      <c r="I3686" s="48" t="s">
        <v>50564</v>
      </c>
      <c r="J3686" s="48"/>
      <c r="K3686" s="50"/>
      <c r="L3686" s="48"/>
    </row>
    <row r="3687" spans="1:12" s="37" customFormat="1" ht="11.25" x14ac:dyDescent="0.2">
      <c r="A3687" s="46" t="s">
        <v>15240</v>
      </c>
      <c r="B3687" s="46" t="s">
        <v>53063</v>
      </c>
      <c r="C3687" s="58" t="str">
        <f>""</f>
        <v/>
      </c>
      <c r="D3687" s="58" t="str">
        <f>"0976822X"</f>
        <v>0976822X</v>
      </c>
      <c r="E3687" s="46" t="s">
        <v>15242</v>
      </c>
      <c r="F3687" s="46" t="s">
        <v>20446</v>
      </c>
      <c r="G3687" s="46" t="s">
        <v>50584</v>
      </c>
      <c r="H3687" s="48" t="s">
        <v>56716</v>
      </c>
      <c r="I3687" s="48" t="s">
        <v>50564</v>
      </c>
      <c r="J3687" s="48"/>
      <c r="K3687" s="50"/>
      <c r="L3687" s="48"/>
    </row>
    <row r="3688" spans="1:12" s="37" customFormat="1" ht="11.25" x14ac:dyDescent="0.2">
      <c r="A3688" s="45" t="s">
        <v>32441</v>
      </c>
      <c r="B3688" s="45" t="s">
        <v>32443</v>
      </c>
      <c r="C3688" s="51" t="s">
        <v>32445</v>
      </c>
      <c r="D3688" s="51" t="s">
        <v>32444</v>
      </c>
      <c r="E3688" s="45" t="s">
        <v>32446</v>
      </c>
      <c r="F3688" s="45" t="s">
        <v>18123</v>
      </c>
      <c r="G3688" s="45" t="s">
        <v>50584</v>
      </c>
      <c r="H3688" s="56"/>
      <c r="I3688" s="56" t="s">
        <v>50564</v>
      </c>
      <c r="J3688" s="56"/>
      <c r="K3688" s="50"/>
      <c r="L3688" s="56" t="s">
        <v>56716</v>
      </c>
    </row>
    <row r="3689" spans="1:12" s="37" customFormat="1" ht="11.25" x14ac:dyDescent="0.2">
      <c r="A3689" s="45" t="s">
        <v>32448</v>
      </c>
      <c r="B3689" s="45" t="s">
        <v>32450</v>
      </c>
      <c r="C3689" s="51" t="s">
        <v>32452</v>
      </c>
      <c r="D3689" s="51" t="s">
        <v>32451</v>
      </c>
      <c r="E3689" s="45" t="s">
        <v>20225</v>
      </c>
      <c r="F3689" s="45" t="s">
        <v>50646</v>
      </c>
      <c r="G3689" s="45" t="s">
        <v>50584</v>
      </c>
      <c r="H3689" s="56"/>
      <c r="I3689" s="56" t="s">
        <v>50564</v>
      </c>
      <c r="J3689" s="56"/>
      <c r="K3689" s="50"/>
      <c r="L3689" s="56" t="s">
        <v>56716</v>
      </c>
    </row>
    <row r="3690" spans="1:12" s="37" customFormat="1" ht="11.25" x14ac:dyDescent="0.2">
      <c r="A3690" s="46" t="s">
        <v>1908</v>
      </c>
      <c r="B3690" s="46" t="s">
        <v>53064</v>
      </c>
      <c r="C3690" s="58" t="str">
        <f>"00119059"</f>
        <v>00119059</v>
      </c>
      <c r="D3690" s="58" t="str">
        <f>"13654632"</f>
        <v>13654632</v>
      </c>
      <c r="E3690" s="46" t="s">
        <v>35</v>
      </c>
      <c r="F3690" s="46" t="s">
        <v>50646</v>
      </c>
      <c r="G3690" s="46" t="s">
        <v>50584</v>
      </c>
      <c r="H3690" s="48" t="s">
        <v>56716</v>
      </c>
      <c r="I3690" s="48" t="s">
        <v>50564</v>
      </c>
      <c r="J3690" s="48"/>
      <c r="K3690" s="50" t="s">
        <v>56716</v>
      </c>
      <c r="L3690" s="48" t="s">
        <v>56716</v>
      </c>
    </row>
    <row r="3691" spans="1:12" s="37" customFormat="1" ht="11.25" x14ac:dyDescent="0.2">
      <c r="A3691" s="46" t="s">
        <v>4836</v>
      </c>
      <c r="B3691" s="46" t="s">
        <v>53065</v>
      </c>
      <c r="C3691" s="58" t="str">
        <f>"02146282"</f>
        <v>02146282</v>
      </c>
      <c r="D3691" s="58" t="str">
        <f>""</f>
        <v/>
      </c>
      <c r="E3691" s="46" t="s">
        <v>4838</v>
      </c>
      <c r="F3691" s="46" t="s">
        <v>18439</v>
      </c>
      <c r="G3691" s="46" t="s">
        <v>50584</v>
      </c>
      <c r="H3691" s="48" t="s">
        <v>56716</v>
      </c>
      <c r="I3691" s="48" t="s">
        <v>50564</v>
      </c>
      <c r="J3691" s="48" t="s">
        <v>56716</v>
      </c>
      <c r="K3691" s="50"/>
      <c r="L3691" s="48" t="s">
        <v>56716</v>
      </c>
    </row>
    <row r="3692" spans="1:12" s="37" customFormat="1" ht="11.25" x14ac:dyDescent="0.2">
      <c r="A3692" s="46" t="s">
        <v>3221</v>
      </c>
      <c r="B3692" s="46" t="s">
        <v>53009</v>
      </c>
      <c r="C3692" s="58" t="str">
        <f>"20473869"</f>
        <v>20473869</v>
      </c>
      <c r="D3692" s="58" t="str">
        <f>"20473877"</f>
        <v>20473877</v>
      </c>
      <c r="E3692" s="46" t="s">
        <v>856</v>
      </c>
      <c r="F3692" s="46" t="s">
        <v>50646</v>
      </c>
      <c r="G3692" s="46" t="s">
        <v>50584</v>
      </c>
      <c r="H3692" s="48" t="s">
        <v>56716</v>
      </c>
      <c r="I3692" s="48" t="s">
        <v>50564</v>
      </c>
      <c r="J3692" s="48"/>
      <c r="K3692" s="50"/>
      <c r="L3692" s="48"/>
    </row>
    <row r="3693" spans="1:12" s="37" customFormat="1" ht="11.25" x14ac:dyDescent="0.2">
      <c r="A3693" s="46" t="s">
        <v>1914</v>
      </c>
      <c r="B3693" s="46" t="s">
        <v>53066</v>
      </c>
      <c r="C3693" s="58" t="str">
        <f>"07365748"</f>
        <v>07365748</v>
      </c>
      <c r="D3693" s="58" t="str">
        <f>"1873474X"</f>
        <v>1873474X</v>
      </c>
      <c r="E3693" s="46" t="s">
        <v>155</v>
      </c>
      <c r="F3693" s="46" t="s">
        <v>50646</v>
      </c>
      <c r="G3693" s="46" t="s">
        <v>50584</v>
      </c>
      <c r="H3693" s="48" t="s">
        <v>56716</v>
      </c>
      <c r="I3693" s="48" t="s">
        <v>50564</v>
      </c>
      <c r="J3693" s="48" t="s">
        <v>56716</v>
      </c>
      <c r="K3693" s="50" t="s">
        <v>56716</v>
      </c>
      <c r="L3693" s="48" t="s">
        <v>56716</v>
      </c>
    </row>
    <row r="3694" spans="1:12" s="37" customFormat="1" ht="11.25" x14ac:dyDescent="0.2">
      <c r="A3694" s="46" t="s">
        <v>8663</v>
      </c>
      <c r="B3694" s="46" t="s">
        <v>53067</v>
      </c>
      <c r="C3694" s="58" t="str">
        <f>"16067754"</f>
        <v>16067754</v>
      </c>
      <c r="D3694" s="58" t="str">
        <f>""</f>
        <v/>
      </c>
      <c r="E3694" s="46" t="s">
        <v>8663</v>
      </c>
      <c r="F3694" s="46" t="s">
        <v>20976</v>
      </c>
      <c r="G3694" s="46" t="s">
        <v>50584</v>
      </c>
      <c r="H3694" s="48" t="s">
        <v>56716</v>
      </c>
      <c r="I3694" s="48" t="s">
        <v>50564</v>
      </c>
      <c r="J3694" s="48"/>
      <c r="K3694" s="50"/>
      <c r="L3694" s="48"/>
    </row>
    <row r="3695" spans="1:12" s="37" customFormat="1" ht="11.25" x14ac:dyDescent="0.2">
      <c r="A3695" s="46" t="s">
        <v>50682</v>
      </c>
      <c r="B3695" s="46" t="s">
        <v>55836</v>
      </c>
      <c r="C3695" s="58" t="str">
        <f>""</f>
        <v/>
      </c>
      <c r="D3695" s="58" t="str">
        <f>"09750215"</f>
        <v>09750215</v>
      </c>
      <c r="E3695" s="46" t="s">
        <v>14865</v>
      </c>
      <c r="F3695" s="46" t="s">
        <v>20446</v>
      </c>
      <c r="G3695" s="46" t="s">
        <v>50584</v>
      </c>
      <c r="H3695" s="48" t="s">
        <v>56716</v>
      </c>
      <c r="I3695" s="48" t="s">
        <v>50564</v>
      </c>
      <c r="J3695" s="48"/>
      <c r="K3695" s="50"/>
      <c r="L3695" s="48"/>
    </row>
    <row r="3696" spans="1:12" s="37" customFormat="1" ht="11.25" x14ac:dyDescent="0.2">
      <c r="A3696" s="46" t="s">
        <v>50683</v>
      </c>
      <c r="B3696" s="46" t="s">
        <v>55836</v>
      </c>
      <c r="C3696" s="58" t="str">
        <f>""</f>
        <v/>
      </c>
      <c r="D3696" s="58" t="str">
        <f>"09754415"</f>
        <v>09754415</v>
      </c>
      <c r="E3696" s="46" t="s">
        <v>14901</v>
      </c>
      <c r="F3696" s="46" t="s">
        <v>20446</v>
      </c>
      <c r="G3696" s="46" t="s">
        <v>50584</v>
      </c>
      <c r="H3696" s="48" t="s">
        <v>56716</v>
      </c>
      <c r="I3696" s="48" t="s">
        <v>50564</v>
      </c>
      <c r="J3696" s="48"/>
      <c r="K3696" s="50"/>
      <c r="L3696" s="48"/>
    </row>
    <row r="3697" spans="1:12" s="37" customFormat="1" ht="11.25" x14ac:dyDescent="0.2">
      <c r="A3697" s="46" t="s">
        <v>14649</v>
      </c>
      <c r="B3697" s="46" t="s">
        <v>53068</v>
      </c>
      <c r="C3697" s="58" t="str">
        <f>""</f>
        <v/>
      </c>
      <c r="D3697" s="58" t="str">
        <f>"09759344"</f>
        <v>09759344</v>
      </c>
      <c r="E3697" s="46" t="s">
        <v>56119</v>
      </c>
      <c r="F3697" s="46" t="s">
        <v>20446</v>
      </c>
      <c r="G3697" s="46" t="s">
        <v>50584</v>
      </c>
      <c r="H3697" s="48" t="s">
        <v>56716</v>
      </c>
      <c r="I3697" s="48" t="s">
        <v>50564</v>
      </c>
      <c r="J3697" s="48"/>
      <c r="K3697" s="50"/>
      <c r="L3697" s="48"/>
    </row>
    <row r="3698" spans="1:12" s="37" customFormat="1" ht="11.25" x14ac:dyDescent="0.2">
      <c r="A3698" s="46" t="s">
        <v>5732</v>
      </c>
      <c r="B3698" s="46" t="s">
        <v>53069</v>
      </c>
      <c r="C3698" s="58" t="str">
        <f>"09553959"</f>
        <v>09553959</v>
      </c>
      <c r="D3698" s="58" t="str">
        <f>"18734758"</f>
        <v>18734758</v>
      </c>
      <c r="E3698" s="46" t="s">
        <v>91</v>
      </c>
      <c r="F3698" s="46" t="s">
        <v>18001</v>
      </c>
      <c r="G3698" s="46" t="s">
        <v>50584</v>
      </c>
      <c r="H3698" s="48" t="s">
        <v>56716</v>
      </c>
      <c r="I3698" s="48" t="s">
        <v>50564</v>
      </c>
      <c r="J3698" s="48" t="s">
        <v>56716</v>
      </c>
      <c r="K3698" s="50" t="s">
        <v>56716</v>
      </c>
      <c r="L3698" s="48" t="s">
        <v>56716</v>
      </c>
    </row>
    <row r="3699" spans="1:12" s="37" customFormat="1" ht="11.25" x14ac:dyDescent="0.2">
      <c r="A3699" s="46" t="s">
        <v>2036</v>
      </c>
      <c r="B3699" s="46" t="s">
        <v>53070</v>
      </c>
      <c r="C3699" s="58" t="str">
        <f>"02763478"</f>
        <v>02763478</v>
      </c>
      <c r="D3699" s="58" t="str">
        <f>"1098108X"</f>
        <v>1098108X</v>
      </c>
      <c r="E3699" s="46" t="s">
        <v>517</v>
      </c>
      <c r="F3699" s="46" t="s">
        <v>17759</v>
      </c>
      <c r="G3699" s="46" t="s">
        <v>50584</v>
      </c>
      <c r="H3699" s="48" t="s">
        <v>56716</v>
      </c>
      <c r="I3699" s="48" t="s">
        <v>50564</v>
      </c>
      <c r="J3699" s="48" t="s">
        <v>56716</v>
      </c>
      <c r="K3699" s="50" t="s">
        <v>56716</v>
      </c>
      <c r="L3699" s="48" t="s">
        <v>56716</v>
      </c>
    </row>
    <row r="3700" spans="1:12" s="37" customFormat="1" ht="11.25" x14ac:dyDescent="0.2">
      <c r="A3700" s="45" t="s">
        <v>32472</v>
      </c>
      <c r="B3700" s="45" t="s">
        <v>32474</v>
      </c>
      <c r="C3700" s="51" t="s">
        <v>32476</v>
      </c>
      <c r="D3700" s="51" t="s">
        <v>32475</v>
      </c>
      <c r="E3700" s="45" t="s">
        <v>17241</v>
      </c>
      <c r="F3700" s="45" t="s">
        <v>18123</v>
      </c>
      <c r="G3700" s="45" t="s">
        <v>50584</v>
      </c>
      <c r="H3700" s="56"/>
      <c r="I3700" s="56" t="s">
        <v>50564</v>
      </c>
      <c r="J3700" s="56"/>
      <c r="K3700" s="50"/>
      <c r="L3700" s="56" t="s">
        <v>56716</v>
      </c>
    </row>
    <row r="3701" spans="1:12" s="37" customFormat="1" ht="11.25" x14ac:dyDescent="0.2">
      <c r="A3701" s="46" t="s">
        <v>9337</v>
      </c>
      <c r="B3701" s="46" t="s">
        <v>53071</v>
      </c>
      <c r="C3701" s="58" t="str">
        <f>"14714825"</f>
        <v>14714825</v>
      </c>
      <c r="D3701" s="58" t="str">
        <f>"17415071"</f>
        <v>17415071</v>
      </c>
      <c r="E3701" s="46" t="s">
        <v>8040</v>
      </c>
      <c r="F3701" s="46" t="s">
        <v>18123</v>
      </c>
      <c r="G3701" s="46" t="s">
        <v>50584</v>
      </c>
      <c r="H3701" s="48" t="s">
        <v>56716</v>
      </c>
      <c r="I3701" s="48" t="s">
        <v>50564</v>
      </c>
      <c r="J3701" s="48"/>
      <c r="K3701" s="50"/>
      <c r="L3701" s="48"/>
    </row>
    <row r="3702" spans="1:12" s="37" customFormat="1" ht="11.25" x14ac:dyDescent="0.2">
      <c r="A3702" s="46" t="s">
        <v>12916</v>
      </c>
      <c r="B3702" s="46" t="s">
        <v>53072</v>
      </c>
      <c r="C3702" s="58" t="str">
        <f>"18651372"</f>
        <v>18651372</v>
      </c>
      <c r="D3702" s="58" t="str">
        <f>"18651380"</f>
        <v>18651380</v>
      </c>
      <c r="E3702" s="46" t="s">
        <v>56002</v>
      </c>
      <c r="F3702" s="46" t="s">
        <v>50646</v>
      </c>
      <c r="G3702" s="46" t="s">
        <v>50584</v>
      </c>
      <c r="H3702" s="48" t="s">
        <v>56716</v>
      </c>
      <c r="I3702" s="48" t="s">
        <v>50564</v>
      </c>
      <c r="J3702" s="48" t="s">
        <v>56716</v>
      </c>
      <c r="K3702" s="50"/>
      <c r="L3702" s="48"/>
    </row>
    <row r="3703" spans="1:12" s="37" customFormat="1" ht="11.25" x14ac:dyDescent="0.2">
      <c r="A3703" s="46" t="s">
        <v>15142</v>
      </c>
      <c r="B3703" s="46" t="s">
        <v>56332</v>
      </c>
      <c r="C3703" s="58" t="str">
        <f>"16878337"</f>
        <v>16878337</v>
      </c>
      <c r="D3703" s="58" t="str">
        <f>"16878345"</f>
        <v>16878345</v>
      </c>
      <c r="E3703" s="46" t="s">
        <v>1412</v>
      </c>
      <c r="F3703" s="46" t="s">
        <v>17759</v>
      </c>
      <c r="G3703" s="46" t="s">
        <v>50584</v>
      </c>
      <c r="H3703" s="48" t="s">
        <v>56716</v>
      </c>
      <c r="I3703" s="48" t="s">
        <v>50564</v>
      </c>
      <c r="J3703" s="48" t="s">
        <v>56716</v>
      </c>
      <c r="K3703" s="50"/>
      <c r="L3703" s="48"/>
    </row>
    <row r="3704" spans="1:12" s="37" customFormat="1" ht="11.25" x14ac:dyDescent="0.2">
      <c r="A3704" s="46" t="s">
        <v>14435</v>
      </c>
      <c r="B3704" s="46" t="s">
        <v>53073</v>
      </c>
      <c r="C3704" s="58" t="str">
        <f>"1726913X"</f>
        <v>1726913X</v>
      </c>
      <c r="D3704" s="58" t="str">
        <f>"17269148"</f>
        <v>17269148</v>
      </c>
      <c r="E3704" s="46" t="s">
        <v>55898</v>
      </c>
      <c r="F3704" s="46" t="s">
        <v>18232</v>
      </c>
      <c r="G3704" s="46" t="s">
        <v>50584</v>
      </c>
      <c r="H3704" s="48" t="s">
        <v>56716</v>
      </c>
      <c r="I3704" s="48" t="s">
        <v>50564</v>
      </c>
      <c r="J3704" s="48"/>
      <c r="K3704" s="50"/>
      <c r="L3704" s="48"/>
    </row>
    <row r="3705" spans="1:12" s="37" customFormat="1" ht="11.25" x14ac:dyDescent="0.2">
      <c r="A3705" s="46" t="s">
        <v>8037</v>
      </c>
      <c r="B3705" s="46" t="s">
        <v>53074</v>
      </c>
      <c r="C3705" s="58" t="str">
        <f>"09574352"</f>
        <v>09574352</v>
      </c>
      <c r="D3705" s="58" t="str">
        <f>"17415101"</f>
        <v>17415101</v>
      </c>
      <c r="E3705" s="46" t="s">
        <v>8040</v>
      </c>
      <c r="F3705" s="46" t="s">
        <v>18123</v>
      </c>
      <c r="G3705" s="46" t="s">
        <v>50584</v>
      </c>
      <c r="H3705" s="48" t="s">
        <v>56716</v>
      </c>
      <c r="I3705" s="48" t="s">
        <v>50564</v>
      </c>
      <c r="J3705" s="48"/>
      <c r="K3705" s="50"/>
      <c r="L3705" s="48"/>
    </row>
    <row r="3706" spans="1:12" s="37" customFormat="1" ht="11.25" x14ac:dyDescent="0.2">
      <c r="A3706" s="46" t="s">
        <v>5747</v>
      </c>
      <c r="B3706" s="46" t="s">
        <v>53075</v>
      </c>
      <c r="C3706" s="58" t="str">
        <f>"09603123"</f>
        <v>09603123</v>
      </c>
      <c r="D3706" s="58" t="str">
        <f>"13691619"</f>
        <v>13691619</v>
      </c>
      <c r="E3706" s="46" t="s">
        <v>310</v>
      </c>
      <c r="F3706" s="46" t="s">
        <v>50646</v>
      </c>
      <c r="G3706" s="46" t="s">
        <v>50584</v>
      </c>
      <c r="H3706" s="48" t="s">
        <v>56716</v>
      </c>
      <c r="I3706" s="48" t="s">
        <v>50564</v>
      </c>
      <c r="J3706" s="48"/>
      <c r="K3706" s="50" t="s">
        <v>56716</v>
      </c>
      <c r="L3706" s="48" t="s">
        <v>56716</v>
      </c>
    </row>
    <row r="3707" spans="1:12" s="37" customFormat="1" ht="11.25" x14ac:dyDescent="0.2">
      <c r="A3707" s="46" t="s">
        <v>10622</v>
      </c>
      <c r="B3707" s="46" t="s">
        <v>53076</v>
      </c>
      <c r="C3707" s="58" t="str">
        <f>"16617827"</f>
        <v>16617827</v>
      </c>
      <c r="D3707" s="58" t="str">
        <f>"16604601"</f>
        <v>16604601</v>
      </c>
      <c r="E3707" s="46" t="s">
        <v>4152</v>
      </c>
      <c r="F3707" s="46" t="s">
        <v>18123</v>
      </c>
      <c r="G3707" s="46" t="s">
        <v>50584</v>
      </c>
      <c r="H3707" s="48" t="s">
        <v>56716</v>
      </c>
      <c r="I3707" s="48" t="s">
        <v>50564</v>
      </c>
      <c r="J3707" s="48"/>
      <c r="K3707" s="50"/>
      <c r="L3707" s="48" t="s">
        <v>56716</v>
      </c>
    </row>
    <row r="3708" spans="1:12" s="37" customFormat="1" ht="11.25" x14ac:dyDescent="0.2">
      <c r="A3708" s="46" t="s">
        <v>1920</v>
      </c>
      <c r="B3708" s="46" t="s">
        <v>53077</v>
      </c>
      <c r="C3708" s="58" t="str">
        <f>"03005771"</f>
        <v>03005771</v>
      </c>
      <c r="D3708" s="58" t="str">
        <f>"14643685"</f>
        <v>14643685</v>
      </c>
      <c r="E3708" s="46" t="s">
        <v>55</v>
      </c>
      <c r="F3708" s="46" t="s">
        <v>50646</v>
      </c>
      <c r="G3708" s="46" t="s">
        <v>50584</v>
      </c>
      <c r="H3708" s="48" t="s">
        <v>56716</v>
      </c>
      <c r="I3708" s="48" t="s">
        <v>50564</v>
      </c>
      <c r="J3708" s="48" t="s">
        <v>56716</v>
      </c>
      <c r="K3708" s="50"/>
      <c r="L3708" s="48" t="s">
        <v>56716</v>
      </c>
    </row>
    <row r="3709" spans="1:12" s="37" customFormat="1" ht="11.25" x14ac:dyDescent="0.2">
      <c r="A3709" s="46" t="s">
        <v>56103</v>
      </c>
      <c r="B3709" s="46" t="s">
        <v>56104</v>
      </c>
      <c r="C3709" s="58" t="str">
        <f>"22136320"</f>
        <v>22136320</v>
      </c>
      <c r="D3709" s="58" t="str">
        <f>""</f>
        <v/>
      </c>
      <c r="E3709" s="46" t="s">
        <v>12162</v>
      </c>
      <c r="F3709" s="46" t="s">
        <v>20446</v>
      </c>
      <c r="G3709" s="46" t="s">
        <v>50584</v>
      </c>
      <c r="H3709" s="48" t="s">
        <v>56716</v>
      </c>
      <c r="I3709" s="48" t="s">
        <v>50564</v>
      </c>
      <c r="J3709" s="48" t="s">
        <v>56716</v>
      </c>
      <c r="K3709" s="50" t="s">
        <v>56716</v>
      </c>
      <c r="L3709" s="48"/>
    </row>
    <row r="3710" spans="1:12" s="37" customFormat="1" ht="11.25" x14ac:dyDescent="0.2">
      <c r="A3710" s="45" t="s">
        <v>32499</v>
      </c>
      <c r="B3710" s="45" t="s">
        <v>32501</v>
      </c>
      <c r="C3710" s="51" t="s">
        <v>32504</v>
      </c>
      <c r="D3710" s="51" t="s">
        <v>32503</v>
      </c>
      <c r="E3710" s="45" t="s">
        <v>34388</v>
      </c>
      <c r="F3710" s="45" t="s">
        <v>20082</v>
      </c>
      <c r="G3710" s="45" t="s">
        <v>50584</v>
      </c>
      <c r="H3710" s="56"/>
      <c r="I3710" s="56" t="s">
        <v>50564</v>
      </c>
      <c r="J3710" s="56"/>
      <c r="K3710" s="50"/>
      <c r="L3710" s="56" t="s">
        <v>56716</v>
      </c>
    </row>
    <row r="3711" spans="1:12" s="37" customFormat="1" ht="11.25" x14ac:dyDescent="0.2">
      <c r="A3711" s="46" t="s">
        <v>5348</v>
      </c>
      <c r="B3711" s="46" t="s">
        <v>53078</v>
      </c>
      <c r="C3711" s="58" t="str">
        <f>"09599673"</f>
        <v>09599673</v>
      </c>
      <c r="D3711" s="58" t="str">
        <f>"13652613"</f>
        <v>13652613</v>
      </c>
      <c r="E3711" s="46" t="s">
        <v>35</v>
      </c>
      <c r="F3711" s="46" t="s">
        <v>50646</v>
      </c>
      <c r="G3711" s="46" t="s">
        <v>50584</v>
      </c>
      <c r="H3711" s="48" t="s">
        <v>56716</v>
      </c>
      <c r="I3711" s="48" t="s">
        <v>50564</v>
      </c>
      <c r="J3711" s="48" t="s">
        <v>56716</v>
      </c>
      <c r="K3711" s="50" t="s">
        <v>56716</v>
      </c>
      <c r="L3711" s="48" t="s">
        <v>56716</v>
      </c>
    </row>
    <row r="3712" spans="1:12" s="37" customFormat="1" ht="11.25" x14ac:dyDescent="0.2">
      <c r="A3712" s="46" t="s">
        <v>12594</v>
      </c>
      <c r="B3712" s="46" t="s">
        <v>53079</v>
      </c>
      <c r="C3712" s="58" t="str">
        <f>"2008076X"</f>
        <v>2008076X</v>
      </c>
      <c r="D3712" s="58" t="str">
        <f>"20080778"</f>
        <v>20080778</v>
      </c>
      <c r="E3712" s="46" t="s">
        <v>12597</v>
      </c>
      <c r="F3712" s="46" t="s">
        <v>18232</v>
      </c>
      <c r="G3712" s="46" t="s">
        <v>50584</v>
      </c>
      <c r="H3712" s="48" t="s">
        <v>56716</v>
      </c>
      <c r="I3712" s="48" t="s">
        <v>50564</v>
      </c>
      <c r="J3712" s="48"/>
      <c r="K3712" s="50"/>
      <c r="L3712" s="48"/>
    </row>
    <row r="3713" spans="1:12" s="37" customFormat="1" ht="11.25" x14ac:dyDescent="0.2">
      <c r="A3713" s="46" t="s">
        <v>1923</v>
      </c>
      <c r="B3713" s="46" t="s">
        <v>53080</v>
      </c>
      <c r="C3713" s="58" t="str">
        <f>"01681605"</f>
        <v>01681605</v>
      </c>
      <c r="D3713" s="58" t="str">
        <f>"18793460"</f>
        <v>18793460</v>
      </c>
      <c r="E3713" s="46" t="s">
        <v>91</v>
      </c>
      <c r="F3713" s="46" t="s">
        <v>18001</v>
      </c>
      <c r="G3713" s="46" t="s">
        <v>50584</v>
      </c>
      <c r="H3713" s="48" t="s">
        <v>56716</v>
      </c>
      <c r="I3713" s="48" t="s">
        <v>50564</v>
      </c>
      <c r="J3713" s="48"/>
      <c r="K3713" s="50" t="s">
        <v>56716</v>
      </c>
      <c r="L3713" s="48" t="s">
        <v>56716</v>
      </c>
    </row>
    <row r="3714" spans="1:12" s="37" customFormat="1" ht="11.25" x14ac:dyDescent="0.2">
      <c r="A3714" s="45" t="s">
        <v>32523</v>
      </c>
      <c r="B3714" s="45" t="s">
        <v>32525</v>
      </c>
      <c r="C3714" s="51" t="s">
        <v>32528</v>
      </c>
      <c r="D3714" s="51" t="s">
        <v>32527</v>
      </c>
      <c r="E3714" s="45" t="s">
        <v>291</v>
      </c>
      <c r="F3714" s="45" t="s">
        <v>50646</v>
      </c>
      <c r="G3714" s="45" t="s">
        <v>50584</v>
      </c>
      <c r="H3714" s="56"/>
      <c r="I3714" s="56" t="s">
        <v>50564</v>
      </c>
      <c r="J3714" s="56"/>
      <c r="K3714" s="50"/>
      <c r="L3714" s="56" t="s">
        <v>56716</v>
      </c>
    </row>
    <row r="3715" spans="1:12" s="37" customFormat="1" ht="11.25" x14ac:dyDescent="0.2">
      <c r="A3715" s="46" t="s">
        <v>14124</v>
      </c>
      <c r="B3715" s="46" t="s">
        <v>53081</v>
      </c>
      <c r="C3715" s="58" t="str">
        <f>""</f>
        <v/>
      </c>
      <c r="D3715" s="58" t="str">
        <f>"11787074"</f>
        <v>11787074</v>
      </c>
      <c r="E3715" s="46" t="s">
        <v>11079</v>
      </c>
      <c r="F3715" s="46" t="s">
        <v>19483</v>
      </c>
      <c r="G3715" s="46" t="s">
        <v>50584</v>
      </c>
      <c r="H3715" s="48" t="s">
        <v>56716</v>
      </c>
      <c r="I3715" s="48" t="s">
        <v>50564</v>
      </c>
      <c r="J3715" s="48"/>
      <c r="K3715" s="50"/>
      <c r="L3715" s="48"/>
    </row>
    <row r="3716" spans="1:12" s="37" customFormat="1" ht="11.25" x14ac:dyDescent="0.2">
      <c r="A3716" s="46" t="s">
        <v>17031</v>
      </c>
      <c r="B3716" s="46" t="s">
        <v>53082</v>
      </c>
      <c r="C3716" s="58" t="str">
        <f>"2314436X"</f>
        <v>2314436X</v>
      </c>
      <c r="D3716" s="58" t="str">
        <f>"23144378"</f>
        <v>23144378</v>
      </c>
      <c r="E3716" s="46" t="s">
        <v>1412</v>
      </c>
      <c r="F3716" s="46" t="s">
        <v>17759</v>
      </c>
      <c r="G3716" s="46" t="s">
        <v>50584</v>
      </c>
      <c r="H3716" s="48" t="s">
        <v>56716</v>
      </c>
      <c r="I3716" s="48" t="s">
        <v>50564</v>
      </c>
      <c r="J3716" s="48" t="s">
        <v>56716</v>
      </c>
      <c r="K3716" s="50"/>
      <c r="L3716" s="48"/>
    </row>
    <row r="3717" spans="1:12" s="37" customFormat="1" ht="11.25" x14ac:dyDescent="0.2">
      <c r="A3717" s="46" t="s">
        <v>4484</v>
      </c>
      <c r="B3717" s="46" t="s">
        <v>53083</v>
      </c>
      <c r="C3717" s="58" t="str">
        <f>"08856230"</f>
        <v>08856230</v>
      </c>
      <c r="D3717" s="58" t="str">
        <f>"10991166"</f>
        <v>10991166</v>
      </c>
      <c r="E3717" s="46" t="s">
        <v>751</v>
      </c>
      <c r="F3717" s="46" t="s">
        <v>50646</v>
      </c>
      <c r="G3717" s="46" t="s">
        <v>50584</v>
      </c>
      <c r="H3717" s="48" t="s">
        <v>56716</v>
      </c>
      <c r="I3717" s="48" t="s">
        <v>50564</v>
      </c>
      <c r="J3717" s="48"/>
      <c r="K3717" s="50" t="s">
        <v>56716</v>
      </c>
      <c r="L3717" s="48" t="s">
        <v>56716</v>
      </c>
    </row>
    <row r="3718" spans="1:12" s="37" customFormat="1" ht="11.25" x14ac:dyDescent="0.2">
      <c r="A3718" s="46" t="s">
        <v>12672</v>
      </c>
      <c r="B3718" s="46" t="s">
        <v>53084</v>
      </c>
      <c r="C3718" s="58" t="str">
        <f>"18739598"</f>
        <v>18739598</v>
      </c>
      <c r="D3718" s="58" t="str">
        <f>"1873958X"</f>
        <v>1873958X</v>
      </c>
      <c r="E3718" s="46" t="s">
        <v>2776</v>
      </c>
      <c r="F3718" s="46" t="s">
        <v>19491</v>
      </c>
      <c r="G3718" s="46" t="s">
        <v>50584</v>
      </c>
      <c r="H3718" s="48" t="s">
        <v>56716</v>
      </c>
      <c r="I3718" s="48" t="s">
        <v>50564</v>
      </c>
      <c r="J3718" s="48" t="s">
        <v>56716</v>
      </c>
      <c r="K3718" s="50" t="s">
        <v>56716</v>
      </c>
      <c r="L3718" s="48"/>
    </row>
    <row r="3719" spans="1:12" s="37" customFormat="1" ht="11.25" x14ac:dyDescent="0.2">
      <c r="A3719" s="46" t="s">
        <v>17034</v>
      </c>
      <c r="B3719" s="46" t="s">
        <v>53085</v>
      </c>
      <c r="C3719" s="58" t="str">
        <f>"19430892"</f>
        <v>19430892</v>
      </c>
      <c r="D3719" s="58" t="str">
        <f>"19430906"</f>
        <v>19430906</v>
      </c>
      <c r="E3719" s="46" t="s">
        <v>97</v>
      </c>
      <c r="F3719" s="46" t="s">
        <v>50646</v>
      </c>
      <c r="G3719" s="46" t="s">
        <v>50584</v>
      </c>
      <c r="H3719" s="48" t="s">
        <v>56716</v>
      </c>
      <c r="I3719" s="48" t="s">
        <v>50564</v>
      </c>
      <c r="J3719" s="48" t="s">
        <v>56716</v>
      </c>
      <c r="K3719" s="50"/>
      <c r="L3719" s="48"/>
    </row>
    <row r="3720" spans="1:12" s="37" customFormat="1" ht="11.25" x14ac:dyDescent="0.2">
      <c r="A3720" s="46" t="s">
        <v>13202</v>
      </c>
      <c r="B3720" s="46" t="s">
        <v>53086</v>
      </c>
      <c r="C3720" s="58" t="str">
        <f>"09738258"</f>
        <v>09738258</v>
      </c>
      <c r="D3720" s="58" t="str">
        <f>"19984103"</f>
        <v>19984103</v>
      </c>
      <c r="E3720" s="46" t="s">
        <v>19057</v>
      </c>
      <c r="F3720" s="46" t="s">
        <v>20446</v>
      </c>
      <c r="G3720" s="46" t="s">
        <v>50584</v>
      </c>
      <c r="H3720" s="48" t="s">
        <v>56716</v>
      </c>
      <c r="I3720" s="48" t="s">
        <v>50564</v>
      </c>
      <c r="J3720" s="48"/>
      <c r="K3720" s="50"/>
      <c r="L3720" s="48"/>
    </row>
    <row r="3721" spans="1:12" s="37" customFormat="1" ht="11.25" x14ac:dyDescent="0.2">
      <c r="A3721" s="45" t="s">
        <v>32534</v>
      </c>
      <c r="B3721" s="45" t="s">
        <v>32536</v>
      </c>
      <c r="C3721" s="51" t="s">
        <v>32538</v>
      </c>
      <c r="D3721" s="51" t="s">
        <v>32537</v>
      </c>
      <c r="E3721" s="45" t="s">
        <v>32539</v>
      </c>
      <c r="F3721" s="45" t="s">
        <v>17759</v>
      </c>
      <c r="G3721" s="45" t="s">
        <v>50584</v>
      </c>
      <c r="H3721" s="56"/>
      <c r="I3721" s="56" t="s">
        <v>50564</v>
      </c>
      <c r="J3721" s="56"/>
      <c r="K3721" s="50"/>
      <c r="L3721" s="56" t="s">
        <v>56716</v>
      </c>
    </row>
    <row r="3722" spans="1:12" s="37" customFormat="1" ht="11.25" x14ac:dyDescent="0.2">
      <c r="A3722" s="46" t="s">
        <v>5433</v>
      </c>
      <c r="B3722" s="46" t="s">
        <v>53087</v>
      </c>
      <c r="C3722" s="58" t="str">
        <f>"1048891X"</f>
        <v>1048891X</v>
      </c>
      <c r="D3722" s="58" t="str">
        <f>"15251438"</f>
        <v>15251438</v>
      </c>
      <c r="E3722" s="46" t="s">
        <v>28</v>
      </c>
      <c r="F3722" s="46" t="s">
        <v>17759</v>
      </c>
      <c r="G3722" s="46" t="s">
        <v>50584</v>
      </c>
      <c r="H3722" s="48" t="s">
        <v>56716</v>
      </c>
      <c r="I3722" s="48" t="s">
        <v>50564</v>
      </c>
      <c r="J3722" s="48" t="s">
        <v>56716</v>
      </c>
      <c r="K3722" s="50"/>
      <c r="L3722" s="48" t="s">
        <v>56716</v>
      </c>
    </row>
    <row r="3723" spans="1:12" s="37" customFormat="1" ht="11.25" x14ac:dyDescent="0.2">
      <c r="A3723" s="46" t="s">
        <v>1929</v>
      </c>
      <c r="B3723" s="46" t="s">
        <v>53088</v>
      </c>
      <c r="C3723" s="58" t="str">
        <f>"02771691"</f>
        <v>02771691</v>
      </c>
      <c r="D3723" s="58" t="str">
        <f>"15387151"</f>
        <v>15387151</v>
      </c>
      <c r="E3723" s="46" t="s">
        <v>28</v>
      </c>
      <c r="F3723" s="46" t="s">
        <v>17759</v>
      </c>
      <c r="G3723" s="46" t="s">
        <v>50584</v>
      </c>
      <c r="H3723" s="48" t="s">
        <v>56716</v>
      </c>
      <c r="I3723" s="48" t="s">
        <v>50564</v>
      </c>
      <c r="J3723" s="48" t="s">
        <v>56716</v>
      </c>
      <c r="K3723" s="50"/>
      <c r="L3723" s="48" t="s">
        <v>56716</v>
      </c>
    </row>
    <row r="3724" spans="1:12" s="37" customFormat="1" ht="11.25" x14ac:dyDescent="0.2">
      <c r="A3724" s="46" t="s">
        <v>1926</v>
      </c>
      <c r="B3724" s="46" t="s">
        <v>53089</v>
      </c>
      <c r="C3724" s="58" t="str">
        <f>"00207292"</f>
        <v>00207292</v>
      </c>
      <c r="D3724" s="58" t="str">
        <f>"18793479"</f>
        <v>18793479</v>
      </c>
      <c r="E3724" s="46" t="s">
        <v>221</v>
      </c>
      <c r="F3724" s="46" t="s">
        <v>21771</v>
      </c>
      <c r="G3724" s="46" t="s">
        <v>50584</v>
      </c>
      <c r="H3724" s="48" t="s">
        <v>56716</v>
      </c>
      <c r="I3724" s="48" t="s">
        <v>50564</v>
      </c>
      <c r="J3724" s="48" t="s">
        <v>56716</v>
      </c>
      <c r="K3724" s="50" t="s">
        <v>56716</v>
      </c>
      <c r="L3724" s="48" t="s">
        <v>56716</v>
      </c>
    </row>
    <row r="3725" spans="1:12" s="37" customFormat="1" ht="11.25" x14ac:dyDescent="0.2">
      <c r="A3725" s="45" t="s">
        <v>32557</v>
      </c>
      <c r="B3725" s="45" t="s">
        <v>32559</v>
      </c>
      <c r="C3725" s="51" t="s">
        <v>32561</v>
      </c>
      <c r="D3725" s="51" t="s">
        <v>32560</v>
      </c>
      <c r="E3725" s="45" t="s">
        <v>17783</v>
      </c>
      <c r="F3725" s="45" t="s">
        <v>17759</v>
      </c>
      <c r="G3725" s="45" t="s">
        <v>50584</v>
      </c>
      <c r="H3725" s="56"/>
      <c r="I3725" s="56" t="s">
        <v>50564</v>
      </c>
      <c r="J3725" s="56"/>
      <c r="K3725" s="50"/>
      <c r="L3725" s="56" t="s">
        <v>56716</v>
      </c>
    </row>
    <row r="3726" spans="1:12" s="37" customFormat="1" ht="11.25" x14ac:dyDescent="0.2">
      <c r="A3726" s="45" t="s">
        <v>32563</v>
      </c>
      <c r="B3726" s="45" t="s">
        <v>32565</v>
      </c>
      <c r="C3726" s="51" t="s">
        <v>32566</v>
      </c>
      <c r="D3726" s="51"/>
      <c r="E3726" s="45" t="s">
        <v>32567</v>
      </c>
      <c r="F3726" s="45" t="s">
        <v>50646</v>
      </c>
      <c r="G3726" s="45" t="s">
        <v>50584</v>
      </c>
      <c r="H3726" s="56"/>
      <c r="I3726" s="56" t="s">
        <v>50564</v>
      </c>
      <c r="J3726" s="56"/>
      <c r="K3726" s="50"/>
      <c r="L3726" s="56" t="s">
        <v>56716</v>
      </c>
    </row>
    <row r="3727" spans="1:12" s="37" customFormat="1" ht="11.25" x14ac:dyDescent="0.2">
      <c r="A3727" s="45" t="s">
        <v>32569</v>
      </c>
      <c r="B3727" s="45" t="s">
        <v>32571</v>
      </c>
      <c r="C3727" s="51"/>
      <c r="D3727" s="51" t="s">
        <v>32572</v>
      </c>
      <c r="E3727" s="45" t="s">
        <v>18570</v>
      </c>
      <c r="F3727" s="45" t="s">
        <v>50646</v>
      </c>
      <c r="G3727" s="45" t="s">
        <v>50584</v>
      </c>
      <c r="H3727" s="56"/>
      <c r="I3727" s="56" t="s">
        <v>50564</v>
      </c>
      <c r="J3727" s="56"/>
      <c r="K3727" s="50"/>
      <c r="L3727" s="56" t="s">
        <v>56716</v>
      </c>
    </row>
    <row r="3728" spans="1:12" s="37" customFormat="1" ht="11.25" x14ac:dyDescent="0.2">
      <c r="A3728" s="46" t="s">
        <v>8133</v>
      </c>
      <c r="B3728" s="46" t="s">
        <v>53090</v>
      </c>
      <c r="C3728" s="58" t="str">
        <f>"14635240"</f>
        <v>14635240</v>
      </c>
      <c r="D3728" s="58" t="str">
        <f>"21649545"</f>
        <v>21649545</v>
      </c>
      <c r="E3728" s="46" t="s">
        <v>8136</v>
      </c>
      <c r="F3728" s="46" t="s">
        <v>50646</v>
      </c>
      <c r="G3728" s="46" t="s">
        <v>50584</v>
      </c>
      <c r="H3728" s="48" t="s">
        <v>56716</v>
      </c>
      <c r="I3728" s="48" t="s">
        <v>50564</v>
      </c>
      <c r="J3728" s="48"/>
      <c r="K3728" s="50" t="s">
        <v>56716</v>
      </c>
      <c r="L3728" s="48"/>
    </row>
    <row r="3729" spans="1:12" s="37" customFormat="1" ht="11.25" x14ac:dyDescent="0.2">
      <c r="A3729" s="46" t="s">
        <v>13543</v>
      </c>
      <c r="B3729" s="46" t="s">
        <v>53091</v>
      </c>
      <c r="C3729" s="58" t="str">
        <f>""</f>
        <v/>
      </c>
      <c r="D3729" s="58" t="str">
        <f>"15969819"</f>
        <v>15969819</v>
      </c>
      <c r="E3729" s="46" t="s">
        <v>13545</v>
      </c>
      <c r="F3729" s="46" t="s">
        <v>19049</v>
      </c>
      <c r="G3729" s="46" t="s">
        <v>50584</v>
      </c>
      <c r="H3729" s="48" t="s">
        <v>56716</v>
      </c>
      <c r="I3729" s="48" t="s">
        <v>50564</v>
      </c>
      <c r="J3729" s="48"/>
      <c r="K3729" s="50"/>
      <c r="L3729" s="48"/>
    </row>
    <row r="3730" spans="1:12" s="37" customFormat="1" ht="11.25" x14ac:dyDescent="0.2">
      <c r="A3730" s="45" t="s">
        <v>32580</v>
      </c>
      <c r="B3730" s="45" t="s">
        <v>32582</v>
      </c>
      <c r="C3730" s="51" t="s">
        <v>32583</v>
      </c>
      <c r="D3730" s="51"/>
      <c r="E3730" s="45" t="s">
        <v>19447</v>
      </c>
      <c r="F3730" s="45" t="s">
        <v>17759</v>
      </c>
      <c r="G3730" s="45" t="s">
        <v>50584</v>
      </c>
      <c r="H3730" s="56"/>
      <c r="I3730" s="56" t="s">
        <v>50564</v>
      </c>
      <c r="J3730" s="56"/>
      <c r="K3730" s="50"/>
      <c r="L3730" s="56" t="s">
        <v>56716</v>
      </c>
    </row>
    <row r="3731" spans="1:12" s="37" customFormat="1" ht="11.25" x14ac:dyDescent="0.2">
      <c r="A3731" s="46" t="s">
        <v>9334</v>
      </c>
      <c r="B3731" s="46" t="s">
        <v>53092</v>
      </c>
      <c r="C3731" s="58" t="str">
        <f>"13682156"</f>
        <v>13682156</v>
      </c>
      <c r="D3731" s="58" t="str">
        <f>"17415144"</f>
        <v>17415144</v>
      </c>
      <c r="E3731" s="46" t="s">
        <v>8040</v>
      </c>
      <c r="F3731" s="46" t="s">
        <v>50646</v>
      </c>
      <c r="G3731" s="46" t="s">
        <v>50584</v>
      </c>
      <c r="H3731" s="48" t="s">
        <v>56716</v>
      </c>
      <c r="I3731" s="48" t="s">
        <v>50564</v>
      </c>
      <c r="J3731" s="48"/>
      <c r="K3731" s="50"/>
      <c r="L3731" s="48"/>
    </row>
    <row r="3732" spans="1:12" s="37" customFormat="1" ht="11.25" x14ac:dyDescent="0.2">
      <c r="A3732" s="46" t="s">
        <v>17220</v>
      </c>
      <c r="B3732" s="46" t="s">
        <v>53093</v>
      </c>
      <c r="C3732" s="58" t="str">
        <f>"20451393"</f>
        <v>20451393</v>
      </c>
      <c r="D3732" s="58" t="str">
        <f>"20451407"</f>
        <v>20451407</v>
      </c>
      <c r="E3732" s="46" t="s">
        <v>8442</v>
      </c>
      <c r="F3732" s="46" t="s">
        <v>50646</v>
      </c>
      <c r="G3732" s="46" t="s">
        <v>50584</v>
      </c>
      <c r="H3732" s="48" t="s">
        <v>56716</v>
      </c>
      <c r="I3732" s="48" t="s">
        <v>50564</v>
      </c>
      <c r="J3732" s="48" t="s">
        <v>56716</v>
      </c>
      <c r="K3732" s="50"/>
      <c r="L3732" s="48"/>
    </row>
    <row r="3733" spans="1:12" s="37" customFormat="1" ht="11.25" x14ac:dyDescent="0.2">
      <c r="A3733" s="46" t="s">
        <v>5532</v>
      </c>
      <c r="B3733" s="46" t="s">
        <v>53094</v>
      </c>
      <c r="C3733" s="58" t="str">
        <f>"09255710"</f>
        <v>09255710</v>
      </c>
      <c r="D3733" s="58" t="str">
        <f>"18653774"</f>
        <v>18653774</v>
      </c>
      <c r="E3733" s="46" t="s">
        <v>23335</v>
      </c>
      <c r="F3733" s="46" t="s">
        <v>18242</v>
      </c>
      <c r="G3733" s="46" t="s">
        <v>50584</v>
      </c>
      <c r="H3733" s="48" t="s">
        <v>56716</v>
      </c>
      <c r="I3733" s="48" t="s">
        <v>50564</v>
      </c>
      <c r="J3733" s="48"/>
      <c r="K3733" s="50" t="s">
        <v>56716</v>
      </c>
      <c r="L3733" s="48" t="s">
        <v>56716</v>
      </c>
    </row>
    <row r="3734" spans="1:12" s="37" customFormat="1" ht="11.25" x14ac:dyDescent="0.2">
      <c r="A3734" s="46" t="s">
        <v>13015</v>
      </c>
      <c r="B3734" s="46" t="s">
        <v>53095</v>
      </c>
      <c r="C3734" s="58" t="str">
        <f>"17351243"</f>
        <v>17351243</v>
      </c>
      <c r="D3734" s="58" t="str">
        <f>"20082207"</f>
        <v>20082207</v>
      </c>
      <c r="E3734" s="46" t="s">
        <v>12243</v>
      </c>
      <c r="F3734" s="46" t="s">
        <v>18232</v>
      </c>
      <c r="G3734" s="46" t="s">
        <v>50584</v>
      </c>
      <c r="H3734" s="48" t="s">
        <v>56716</v>
      </c>
      <c r="I3734" s="48" t="s">
        <v>50564</v>
      </c>
      <c r="J3734" s="48"/>
      <c r="K3734" s="50"/>
      <c r="L3734" s="48"/>
    </row>
    <row r="3735" spans="1:12" s="37" customFormat="1" ht="11.25" x14ac:dyDescent="0.2">
      <c r="A3735" s="46" t="s">
        <v>15725</v>
      </c>
      <c r="B3735" s="46" t="s">
        <v>53096</v>
      </c>
      <c r="C3735" s="58" t="str">
        <f>"20903448"</f>
        <v>20903448</v>
      </c>
      <c r="D3735" s="58" t="str">
        <f>"20903456"</f>
        <v>20903456</v>
      </c>
      <c r="E3735" s="46" t="s">
        <v>1412</v>
      </c>
      <c r="F3735" s="46" t="s">
        <v>17759</v>
      </c>
      <c r="G3735" s="46" t="s">
        <v>50584</v>
      </c>
      <c r="H3735" s="48" t="s">
        <v>56716</v>
      </c>
      <c r="I3735" s="48" t="s">
        <v>50564</v>
      </c>
      <c r="J3735" s="48" t="s">
        <v>56716</v>
      </c>
      <c r="K3735" s="50"/>
      <c r="L3735" s="48"/>
    </row>
    <row r="3736" spans="1:12" s="37" customFormat="1" ht="11.25" x14ac:dyDescent="0.2">
      <c r="A3736" s="46" t="s">
        <v>13777</v>
      </c>
      <c r="B3736" s="46" t="s">
        <v>53097</v>
      </c>
      <c r="C3736" s="58" t="str">
        <f>"09723757"</f>
        <v>09723757</v>
      </c>
      <c r="D3736" s="58" t="str">
        <f>""</f>
        <v/>
      </c>
      <c r="E3736" s="46" t="s">
        <v>13779</v>
      </c>
      <c r="F3736" s="46" t="s">
        <v>20446</v>
      </c>
      <c r="G3736" s="46" t="s">
        <v>50584</v>
      </c>
      <c r="H3736" s="48" t="s">
        <v>56716</v>
      </c>
      <c r="I3736" s="48" t="s">
        <v>50564</v>
      </c>
      <c r="J3736" s="48"/>
      <c r="K3736" s="50"/>
      <c r="L3736" s="48"/>
    </row>
    <row r="3737" spans="1:12" s="37" customFormat="1" ht="11.25" x14ac:dyDescent="0.2">
      <c r="A3737" s="45" t="s">
        <v>32590</v>
      </c>
      <c r="B3737" s="45" t="s">
        <v>32592</v>
      </c>
      <c r="C3737" s="51" t="s">
        <v>32595</v>
      </c>
      <c r="D3737" s="51" t="s">
        <v>32594</v>
      </c>
      <c r="E3737" s="45" t="s">
        <v>31234</v>
      </c>
      <c r="F3737" s="45" t="s">
        <v>18158</v>
      </c>
      <c r="G3737" s="45" t="s">
        <v>50584</v>
      </c>
      <c r="H3737" s="56"/>
      <c r="I3737" s="56" t="s">
        <v>50564</v>
      </c>
      <c r="J3737" s="56"/>
      <c r="K3737" s="50"/>
      <c r="L3737" s="56" t="s">
        <v>56716</v>
      </c>
    </row>
    <row r="3738" spans="1:12" s="37" customFormat="1" ht="11.25" x14ac:dyDescent="0.2">
      <c r="A3738" s="46" t="s">
        <v>16047</v>
      </c>
      <c r="B3738" s="46" t="s">
        <v>55837</v>
      </c>
      <c r="C3738" s="58" t="str">
        <f>"20900384"</f>
        <v>20900384</v>
      </c>
      <c r="D3738" s="58" t="str">
        <f>"20900392"</f>
        <v>20900392</v>
      </c>
      <c r="E3738" s="46" t="s">
        <v>1412</v>
      </c>
      <c r="F3738" s="46" t="s">
        <v>17759</v>
      </c>
      <c r="G3738" s="46" t="s">
        <v>50584</v>
      </c>
      <c r="H3738" s="48" t="s">
        <v>56716</v>
      </c>
      <c r="I3738" s="48" t="s">
        <v>50564</v>
      </c>
      <c r="J3738" s="48" t="s">
        <v>56716</v>
      </c>
      <c r="K3738" s="50"/>
      <c r="L3738" s="48"/>
    </row>
    <row r="3739" spans="1:12" s="37" customFormat="1" ht="11.25" x14ac:dyDescent="0.2">
      <c r="A3739" s="46" t="s">
        <v>1932</v>
      </c>
      <c r="B3739" s="46" t="s">
        <v>53098</v>
      </c>
      <c r="C3739" s="58" t="str">
        <f>"02656736"</f>
        <v>02656736</v>
      </c>
      <c r="D3739" s="58" t="str">
        <f>"14645157"</f>
        <v>14645157</v>
      </c>
      <c r="E3739" s="46" t="s">
        <v>291</v>
      </c>
      <c r="F3739" s="46" t="s">
        <v>50646</v>
      </c>
      <c r="G3739" s="46" t="s">
        <v>50584</v>
      </c>
      <c r="H3739" s="48" t="s">
        <v>56716</v>
      </c>
      <c r="I3739" s="48" t="s">
        <v>50564</v>
      </c>
      <c r="J3739" s="48"/>
      <c r="K3739" s="50"/>
      <c r="L3739" s="48" t="s">
        <v>56716</v>
      </c>
    </row>
    <row r="3740" spans="1:12" s="37" customFormat="1" ht="11.25" x14ac:dyDescent="0.2">
      <c r="A3740" s="46" t="s">
        <v>10721</v>
      </c>
      <c r="B3740" s="46" t="s">
        <v>53099</v>
      </c>
      <c r="C3740" s="58" t="str">
        <f>"17443121"</f>
        <v>17443121</v>
      </c>
      <c r="D3740" s="58" t="str">
        <f>"1744313X"</f>
        <v>1744313X</v>
      </c>
      <c r="E3740" s="46" t="s">
        <v>35</v>
      </c>
      <c r="F3740" s="46" t="s">
        <v>50646</v>
      </c>
      <c r="G3740" s="46" t="s">
        <v>50584</v>
      </c>
      <c r="H3740" s="48" t="s">
        <v>56716</v>
      </c>
      <c r="I3740" s="48" t="s">
        <v>50564</v>
      </c>
      <c r="J3740" s="48" t="s">
        <v>56716</v>
      </c>
      <c r="K3740" s="50" t="s">
        <v>56716</v>
      </c>
      <c r="L3740" s="48" t="s">
        <v>56716</v>
      </c>
    </row>
    <row r="3741" spans="1:12" s="37" customFormat="1" ht="11.25" x14ac:dyDescent="0.2">
      <c r="A3741" s="46" t="s">
        <v>4959</v>
      </c>
      <c r="B3741" s="46" t="s">
        <v>53100</v>
      </c>
      <c r="C3741" s="58" t="str">
        <f>"03946320"</f>
        <v>03946320</v>
      </c>
      <c r="D3741" s="58" t="str">
        <f>""</f>
        <v/>
      </c>
      <c r="E3741" s="46" t="s">
        <v>4643</v>
      </c>
      <c r="F3741" s="46" t="s">
        <v>17991</v>
      </c>
      <c r="G3741" s="46" t="s">
        <v>50584</v>
      </c>
      <c r="H3741" s="48" t="s">
        <v>56716</v>
      </c>
      <c r="I3741" s="48" t="s">
        <v>50564</v>
      </c>
      <c r="J3741" s="48" t="s">
        <v>56716</v>
      </c>
      <c r="K3741" s="50"/>
      <c r="L3741" s="48" t="s">
        <v>56716</v>
      </c>
    </row>
    <row r="3742" spans="1:12" s="37" customFormat="1" ht="11.25" x14ac:dyDescent="0.2">
      <c r="A3742" s="46" t="s">
        <v>7241</v>
      </c>
      <c r="B3742" s="46" t="s">
        <v>53101</v>
      </c>
      <c r="C3742" s="58" t="str">
        <f>"09559930"</f>
        <v>09559930</v>
      </c>
      <c r="D3742" s="58" t="str">
        <f>"14765489"</f>
        <v>14765489</v>
      </c>
      <c r="E3742" s="46" t="s">
        <v>315</v>
      </c>
      <c r="F3742" s="46" t="s">
        <v>50646</v>
      </c>
      <c r="G3742" s="46" t="s">
        <v>50584</v>
      </c>
      <c r="H3742" s="48" t="s">
        <v>56716</v>
      </c>
      <c r="I3742" s="48" t="s">
        <v>50564</v>
      </c>
      <c r="J3742" s="48" t="s">
        <v>56716</v>
      </c>
      <c r="K3742" s="50" t="s">
        <v>56716</v>
      </c>
      <c r="L3742" s="48" t="s">
        <v>56716</v>
      </c>
    </row>
    <row r="3743" spans="1:12" s="37" customFormat="1" ht="11.25" x14ac:dyDescent="0.2">
      <c r="A3743" s="46" t="s">
        <v>6258</v>
      </c>
      <c r="B3743" s="46" t="s">
        <v>53102</v>
      </c>
      <c r="C3743" s="58" t="str">
        <f>"01698141"</f>
        <v>01698141</v>
      </c>
      <c r="D3743" s="58" t="str">
        <f>"18728219"</f>
        <v>18728219</v>
      </c>
      <c r="E3743" s="46" t="s">
        <v>91</v>
      </c>
      <c r="F3743" s="46" t="s">
        <v>18001</v>
      </c>
      <c r="G3743" s="46" t="s">
        <v>50584</v>
      </c>
      <c r="H3743" s="48" t="s">
        <v>56716</v>
      </c>
      <c r="I3743" s="48" t="s">
        <v>50564</v>
      </c>
      <c r="J3743" s="48" t="s">
        <v>56716</v>
      </c>
      <c r="K3743" s="50" t="s">
        <v>56716</v>
      </c>
      <c r="L3743" s="48"/>
    </row>
    <row r="3744" spans="1:12" s="37" customFormat="1" ht="11.25" x14ac:dyDescent="0.2">
      <c r="A3744" s="46" t="s">
        <v>7254</v>
      </c>
      <c r="B3744" s="46" t="s">
        <v>53103</v>
      </c>
      <c r="C3744" s="58" t="str">
        <f>"12019712"</f>
        <v>12019712</v>
      </c>
      <c r="D3744" s="58" t="str">
        <f>"18783511"</f>
        <v>18783511</v>
      </c>
      <c r="E3744" s="46" t="s">
        <v>91</v>
      </c>
      <c r="F3744" s="46" t="s">
        <v>18001</v>
      </c>
      <c r="G3744" s="46" t="s">
        <v>50584</v>
      </c>
      <c r="H3744" s="48" t="s">
        <v>56716</v>
      </c>
      <c r="I3744" s="48" t="s">
        <v>50564</v>
      </c>
      <c r="J3744" s="48"/>
      <c r="K3744" s="50" t="s">
        <v>56716</v>
      </c>
      <c r="L3744" s="48" t="s">
        <v>56716</v>
      </c>
    </row>
    <row r="3745" spans="1:12" s="37" customFormat="1" ht="11.25" x14ac:dyDescent="0.2">
      <c r="A3745" s="46" t="s">
        <v>14867</v>
      </c>
      <c r="B3745" s="46" t="s">
        <v>56120</v>
      </c>
      <c r="C3745" s="58" t="str">
        <f>"22293817"</f>
        <v>22293817</v>
      </c>
      <c r="D3745" s="58" t="str">
        <f>"22293833"</f>
        <v>22293833</v>
      </c>
      <c r="E3745" s="46" t="s">
        <v>14870</v>
      </c>
      <c r="F3745" s="46" t="s">
        <v>20446</v>
      </c>
      <c r="G3745" s="46" t="s">
        <v>50584</v>
      </c>
      <c r="H3745" s="48" t="s">
        <v>56716</v>
      </c>
      <c r="I3745" s="48" t="s">
        <v>50564</v>
      </c>
      <c r="J3745" s="48"/>
      <c r="K3745" s="50"/>
      <c r="L3745" s="48"/>
    </row>
    <row r="3746" spans="1:12" s="37" customFormat="1" ht="11.25" x14ac:dyDescent="0.2">
      <c r="A3746" s="46" t="s">
        <v>16050</v>
      </c>
      <c r="B3746" s="46" t="s">
        <v>55838</v>
      </c>
      <c r="C3746" s="58" t="str">
        <f>"20908040"</f>
        <v>20908040</v>
      </c>
      <c r="D3746" s="58" t="str">
        <f>"20420099"</f>
        <v>20420099</v>
      </c>
      <c r="E3746" s="46" t="s">
        <v>1412</v>
      </c>
      <c r="F3746" s="46" t="s">
        <v>17759</v>
      </c>
      <c r="G3746" s="46" t="s">
        <v>50584</v>
      </c>
      <c r="H3746" s="48" t="s">
        <v>56716</v>
      </c>
      <c r="I3746" s="48" t="s">
        <v>50564</v>
      </c>
      <c r="J3746" s="48" t="s">
        <v>56716</v>
      </c>
      <c r="K3746" s="50"/>
      <c r="L3746" s="48"/>
    </row>
    <row r="3747" spans="1:12" s="37" customFormat="1" ht="11.25" x14ac:dyDescent="0.2">
      <c r="A3747" s="45" t="s">
        <v>32620</v>
      </c>
      <c r="B3747" s="45" t="s">
        <v>32622</v>
      </c>
      <c r="C3747" s="51" t="s">
        <v>32625</v>
      </c>
      <c r="D3747" s="51" t="s">
        <v>32624</v>
      </c>
      <c r="E3747" s="45" t="s">
        <v>291</v>
      </c>
      <c r="F3747" s="45" t="s">
        <v>50646</v>
      </c>
      <c r="G3747" s="45" t="s">
        <v>50584</v>
      </c>
      <c r="H3747" s="56"/>
      <c r="I3747" s="56" t="s">
        <v>50564</v>
      </c>
      <c r="J3747" s="56"/>
      <c r="K3747" s="50"/>
      <c r="L3747" s="56" t="s">
        <v>56716</v>
      </c>
    </row>
    <row r="3748" spans="1:12" s="37" customFormat="1" ht="11.25" x14ac:dyDescent="0.2">
      <c r="A3748" s="46" t="s">
        <v>12826</v>
      </c>
      <c r="B3748" s="46" t="s">
        <v>53104</v>
      </c>
      <c r="C3748" s="58" t="str">
        <f>"09738363"</f>
        <v>09738363</v>
      </c>
      <c r="D3748" s="58" t="str">
        <f>""</f>
        <v/>
      </c>
      <c r="E3748" s="46" t="s">
        <v>12826</v>
      </c>
      <c r="F3748" s="46" t="s">
        <v>19491</v>
      </c>
      <c r="G3748" s="46" t="s">
        <v>50584</v>
      </c>
      <c r="H3748" s="48" t="s">
        <v>56716</v>
      </c>
      <c r="I3748" s="48" t="s">
        <v>50564</v>
      </c>
      <c r="J3748" s="48"/>
      <c r="K3748" s="50"/>
      <c r="L3748" s="48"/>
    </row>
    <row r="3749" spans="1:12" s="37" customFormat="1" ht="11.25" x14ac:dyDescent="0.2">
      <c r="A3749" s="46" t="s">
        <v>14126</v>
      </c>
      <c r="B3749" s="46" t="s">
        <v>53105</v>
      </c>
      <c r="C3749" s="58" t="str">
        <f>""</f>
        <v/>
      </c>
      <c r="D3749" s="58" t="str">
        <f>"1179139X"</f>
        <v>1179139X</v>
      </c>
      <c r="E3749" s="46" t="s">
        <v>11078</v>
      </c>
      <c r="F3749" s="46" t="s">
        <v>19483</v>
      </c>
      <c r="G3749" s="46" t="s">
        <v>50584</v>
      </c>
      <c r="H3749" s="48" t="s">
        <v>56716</v>
      </c>
      <c r="I3749" s="48" t="s">
        <v>50564</v>
      </c>
      <c r="J3749" s="48"/>
      <c r="K3749" s="50"/>
      <c r="L3749" s="48"/>
    </row>
    <row r="3750" spans="1:12" s="37" customFormat="1" ht="11.25" x14ac:dyDescent="0.2">
      <c r="A3750" s="46" t="s">
        <v>12079</v>
      </c>
      <c r="B3750" s="46" t="s">
        <v>53106</v>
      </c>
      <c r="C3750" s="58" t="str">
        <f>"17515521"</f>
        <v>17515521</v>
      </c>
      <c r="D3750" s="58" t="str">
        <f>"1751553X"</f>
        <v>1751553X</v>
      </c>
      <c r="E3750" s="46" t="s">
        <v>35</v>
      </c>
      <c r="F3750" s="46" t="s">
        <v>50646</v>
      </c>
      <c r="G3750" s="46" t="s">
        <v>50584</v>
      </c>
      <c r="H3750" s="48" t="s">
        <v>56716</v>
      </c>
      <c r="I3750" s="48" t="s">
        <v>50564</v>
      </c>
      <c r="J3750" s="48" t="s">
        <v>56716</v>
      </c>
      <c r="K3750" s="50" t="s">
        <v>56716</v>
      </c>
      <c r="L3750" s="48" t="s">
        <v>56716</v>
      </c>
    </row>
    <row r="3751" spans="1:12" s="37" customFormat="1" ht="11.25" x14ac:dyDescent="0.2">
      <c r="A3751" s="45" t="s">
        <v>32632</v>
      </c>
      <c r="B3751" s="45" t="s">
        <v>32634</v>
      </c>
      <c r="C3751" s="51" t="s">
        <v>32637</v>
      </c>
      <c r="D3751" s="51" t="s">
        <v>32636</v>
      </c>
      <c r="E3751" s="45" t="s">
        <v>17805</v>
      </c>
      <c r="F3751" s="45" t="s">
        <v>17759</v>
      </c>
      <c r="G3751" s="45" t="s">
        <v>50584</v>
      </c>
      <c r="H3751" s="56"/>
      <c r="I3751" s="56" t="s">
        <v>50564</v>
      </c>
      <c r="J3751" s="56"/>
      <c r="K3751" s="50"/>
      <c r="L3751" s="56" t="s">
        <v>56716</v>
      </c>
    </row>
    <row r="3752" spans="1:12" s="37" customFormat="1" ht="11.25" x14ac:dyDescent="0.2">
      <c r="A3752" s="46" t="s">
        <v>1939</v>
      </c>
      <c r="B3752" s="46" t="s">
        <v>53107</v>
      </c>
      <c r="C3752" s="58" t="str">
        <f>"01602527"</f>
        <v>01602527</v>
      </c>
      <c r="D3752" s="58" t="str">
        <f>"18736386"</f>
        <v>18736386</v>
      </c>
      <c r="E3752" s="46" t="s">
        <v>155</v>
      </c>
      <c r="F3752" s="46" t="s">
        <v>50646</v>
      </c>
      <c r="G3752" s="46" t="s">
        <v>50584</v>
      </c>
      <c r="H3752" s="48" t="s">
        <v>56716</v>
      </c>
      <c r="I3752" s="48" t="s">
        <v>50564</v>
      </c>
      <c r="J3752" s="48"/>
      <c r="K3752" s="50" t="s">
        <v>56716</v>
      </c>
      <c r="L3752" s="48" t="s">
        <v>56716</v>
      </c>
    </row>
    <row r="3753" spans="1:12" s="37" customFormat="1" ht="11.25" x14ac:dyDescent="0.2">
      <c r="A3753" s="45" t="s">
        <v>32644</v>
      </c>
      <c r="B3753" s="45" t="s">
        <v>32646</v>
      </c>
      <c r="C3753" s="51" t="s">
        <v>32649</v>
      </c>
      <c r="D3753" s="51" t="s">
        <v>32648</v>
      </c>
      <c r="E3753" s="45" t="s">
        <v>17790</v>
      </c>
      <c r="F3753" s="45" t="s">
        <v>18158</v>
      </c>
      <c r="G3753" s="45" t="s">
        <v>50584</v>
      </c>
      <c r="H3753" s="56"/>
      <c r="I3753" s="56" t="s">
        <v>50564</v>
      </c>
      <c r="J3753" s="56"/>
      <c r="K3753" s="50"/>
      <c r="L3753" s="56" t="s">
        <v>56716</v>
      </c>
    </row>
    <row r="3754" spans="1:12" s="37" customFormat="1" ht="11.25" x14ac:dyDescent="0.2">
      <c r="A3754" s="46" t="s">
        <v>7649</v>
      </c>
      <c r="B3754" s="46" t="s">
        <v>53108</v>
      </c>
      <c r="C3754" s="58" t="str">
        <f>"09483349"</f>
        <v>09483349</v>
      </c>
      <c r="D3754" s="58" t="str">
        <f>"16147502"</f>
        <v>16147502</v>
      </c>
      <c r="E3754" s="46" t="s">
        <v>167</v>
      </c>
      <c r="F3754" s="46" t="s">
        <v>18158</v>
      </c>
      <c r="G3754" s="46" t="s">
        <v>50584</v>
      </c>
      <c r="H3754" s="48" t="s">
        <v>56716</v>
      </c>
      <c r="I3754" s="48" t="s">
        <v>50564</v>
      </c>
      <c r="J3754" s="48" t="s">
        <v>56716</v>
      </c>
      <c r="K3754" s="50" t="s">
        <v>56716</v>
      </c>
      <c r="L3754" s="48"/>
    </row>
    <row r="3755" spans="1:12" s="37" customFormat="1" ht="11.25" x14ac:dyDescent="0.2">
      <c r="A3755" s="46" t="s">
        <v>16752</v>
      </c>
      <c r="B3755" s="46" t="s">
        <v>53109</v>
      </c>
      <c r="C3755" s="58" t="str">
        <f>""</f>
        <v/>
      </c>
      <c r="D3755" s="58" t="str">
        <f>"22503137"</f>
        <v>22503137</v>
      </c>
      <c r="E3755" s="46" t="s">
        <v>16752</v>
      </c>
      <c r="F3755" s="46" t="s">
        <v>20446</v>
      </c>
      <c r="G3755" s="46" t="s">
        <v>50584</v>
      </c>
      <c r="H3755" s="48" t="s">
        <v>56716</v>
      </c>
      <c r="I3755" s="48" t="s">
        <v>50564</v>
      </c>
      <c r="J3755" s="48"/>
      <c r="K3755" s="50"/>
      <c r="L3755" s="48"/>
    </row>
    <row r="3756" spans="1:12" s="37" customFormat="1" ht="11.25" x14ac:dyDescent="0.2">
      <c r="A3756" s="46" t="s">
        <v>9926</v>
      </c>
      <c r="B3756" s="46" t="s">
        <v>53110</v>
      </c>
      <c r="C3756" s="58" t="str">
        <f>"14776545"</f>
        <v>14776545</v>
      </c>
      <c r="D3756" s="58" t="str">
        <f>"17419190"</f>
        <v>17419190</v>
      </c>
      <c r="E3756" s="46" t="s">
        <v>8040</v>
      </c>
      <c r="F3756" s="46" t="s">
        <v>18123</v>
      </c>
      <c r="G3756" s="46" t="s">
        <v>50584</v>
      </c>
      <c r="H3756" s="48" t="s">
        <v>56716</v>
      </c>
      <c r="I3756" s="48" t="s">
        <v>50564</v>
      </c>
      <c r="J3756" s="48"/>
      <c r="K3756" s="50"/>
      <c r="L3756" s="48"/>
    </row>
    <row r="3757" spans="1:12" s="37" customFormat="1" ht="11.25" x14ac:dyDescent="0.2">
      <c r="A3757" s="46" t="s">
        <v>10345</v>
      </c>
      <c r="B3757" s="46" t="s">
        <v>53111</v>
      </c>
      <c r="C3757" s="58" t="str">
        <f>"15347346"</f>
        <v>15347346</v>
      </c>
      <c r="D3757" s="58" t="str">
        <f>"15526941"</f>
        <v>15526941</v>
      </c>
      <c r="E3757" s="46" t="s">
        <v>493</v>
      </c>
      <c r="F3757" s="46" t="s">
        <v>17759</v>
      </c>
      <c r="G3757" s="46" t="s">
        <v>50584</v>
      </c>
      <c r="H3757" s="48" t="s">
        <v>56716</v>
      </c>
      <c r="I3757" s="48" t="s">
        <v>50564</v>
      </c>
      <c r="J3757" s="48" t="s">
        <v>56716</v>
      </c>
      <c r="K3757" s="50"/>
      <c r="L3757" s="48" t="s">
        <v>56716</v>
      </c>
    </row>
    <row r="3758" spans="1:12" s="37" customFormat="1" ht="11.25" x14ac:dyDescent="0.2">
      <c r="A3758" s="45" t="s">
        <v>56587</v>
      </c>
      <c r="B3758" s="45" t="s">
        <v>56588</v>
      </c>
      <c r="C3758" s="51"/>
      <c r="D3758" s="51" t="s">
        <v>56589</v>
      </c>
      <c r="E3758" s="45" t="s">
        <v>56590</v>
      </c>
      <c r="F3758" s="45" t="s">
        <v>50646</v>
      </c>
      <c r="G3758" s="45" t="s">
        <v>50584</v>
      </c>
      <c r="H3758" s="56"/>
      <c r="I3758" s="56" t="s">
        <v>50564</v>
      </c>
      <c r="J3758" s="56"/>
      <c r="K3758" s="50"/>
      <c r="L3758" s="56" t="s">
        <v>56716</v>
      </c>
    </row>
    <row r="3759" spans="1:12" s="37" customFormat="1" ht="11.25" x14ac:dyDescent="0.2">
      <c r="A3759" s="46" t="s">
        <v>13469</v>
      </c>
      <c r="B3759" s="46" t="s">
        <v>53112</v>
      </c>
      <c r="C3759" s="58" t="str">
        <f>"17550653"</f>
        <v>17550653</v>
      </c>
      <c r="D3759" s="58" t="str">
        <f>"17550661"</f>
        <v>17550661</v>
      </c>
      <c r="E3759" s="46" t="s">
        <v>8040</v>
      </c>
      <c r="F3759" s="46" t="s">
        <v>18123</v>
      </c>
      <c r="G3759" s="46" t="s">
        <v>50584</v>
      </c>
      <c r="H3759" s="48" t="s">
        <v>56716</v>
      </c>
      <c r="I3759" s="48" t="s">
        <v>50564</v>
      </c>
      <c r="J3759" s="48"/>
      <c r="K3759" s="50"/>
      <c r="L3759" s="48"/>
    </row>
    <row r="3760" spans="1:12" s="37" customFormat="1" ht="11.25" x14ac:dyDescent="0.2">
      <c r="A3760" s="46" t="s">
        <v>7443</v>
      </c>
      <c r="B3760" s="46" t="s">
        <v>53113</v>
      </c>
      <c r="C3760" s="58" t="str">
        <f>"13865056"</f>
        <v>13865056</v>
      </c>
      <c r="D3760" s="58" t="str">
        <f>"18728243"</f>
        <v>18728243</v>
      </c>
      <c r="E3760" s="46" t="s">
        <v>221</v>
      </c>
      <c r="F3760" s="46" t="s">
        <v>21771</v>
      </c>
      <c r="G3760" s="46" t="s">
        <v>50584</v>
      </c>
      <c r="H3760" s="48" t="s">
        <v>56716</v>
      </c>
      <c r="I3760" s="48" t="s">
        <v>50564</v>
      </c>
      <c r="J3760" s="48" t="s">
        <v>56716</v>
      </c>
      <c r="K3760" s="50" t="s">
        <v>56716</v>
      </c>
      <c r="L3760" s="48" t="s">
        <v>56716</v>
      </c>
    </row>
    <row r="3761" spans="1:12" s="37" customFormat="1" ht="11.25" x14ac:dyDescent="0.2">
      <c r="A3761" s="46" t="s">
        <v>8404</v>
      </c>
      <c r="B3761" s="46" t="s">
        <v>53114</v>
      </c>
      <c r="C3761" s="58" t="str">
        <f>"14384221"</f>
        <v>14384221</v>
      </c>
      <c r="D3761" s="58" t="str">
        <f>"16180607"</f>
        <v>16180607</v>
      </c>
      <c r="E3761" s="46" t="s">
        <v>1479</v>
      </c>
      <c r="F3761" s="46" t="s">
        <v>18158</v>
      </c>
      <c r="G3761" s="46" t="s">
        <v>50584</v>
      </c>
      <c r="H3761" s="48" t="s">
        <v>56716</v>
      </c>
      <c r="I3761" s="48" t="s">
        <v>50564</v>
      </c>
      <c r="J3761" s="48"/>
      <c r="K3761" s="50" t="s">
        <v>56716</v>
      </c>
      <c r="L3761" s="48" t="s">
        <v>56716</v>
      </c>
    </row>
    <row r="3762" spans="1:12" s="37" customFormat="1" ht="11.25" x14ac:dyDescent="0.2">
      <c r="A3762" s="46" t="s">
        <v>11228</v>
      </c>
      <c r="B3762" s="46" t="s">
        <v>53115</v>
      </c>
      <c r="C3762" s="58" t="str">
        <f>"14785951"</f>
        <v>14785951</v>
      </c>
      <c r="D3762" s="58" t="str">
        <f>"1478596X"</f>
        <v>1478596X</v>
      </c>
      <c r="E3762" s="46" t="s">
        <v>751</v>
      </c>
      <c r="F3762" s="46" t="s">
        <v>50646</v>
      </c>
      <c r="G3762" s="46" t="s">
        <v>50584</v>
      </c>
      <c r="H3762" s="48" t="s">
        <v>56716</v>
      </c>
      <c r="I3762" s="48" t="s">
        <v>50564</v>
      </c>
      <c r="J3762" s="48"/>
      <c r="K3762" s="50" t="s">
        <v>56716</v>
      </c>
      <c r="L3762" s="48" t="s">
        <v>56716</v>
      </c>
    </row>
    <row r="3763" spans="1:12" s="37" customFormat="1" ht="11.25" x14ac:dyDescent="0.2">
      <c r="A3763" s="46" t="s">
        <v>10606</v>
      </c>
      <c r="B3763" s="46" t="s">
        <v>53116</v>
      </c>
      <c r="C3763" s="58" t="str">
        <f>"14491907"</f>
        <v>14491907</v>
      </c>
      <c r="D3763" s="58" t="str">
        <f>""</f>
        <v/>
      </c>
      <c r="E3763" s="46" t="s">
        <v>10608</v>
      </c>
      <c r="F3763" s="46" t="s">
        <v>20082</v>
      </c>
      <c r="G3763" s="46" t="s">
        <v>50584</v>
      </c>
      <c r="H3763" s="48" t="s">
        <v>56716</v>
      </c>
      <c r="I3763" s="48" t="s">
        <v>50564</v>
      </c>
      <c r="J3763" s="48"/>
      <c r="K3763" s="50"/>
      <c r="L3763" s="48" t="s">
        <v>56716</v>
      </c>
    </row>
    <row r="3764" spans="1:12" s="37" customFormat="1" ht="11.25" x14ac:dyDescent="0.2">
      <c r="A3764" s="46" t="s">
        <v>17440</v>
      </c>
      <c r="B3764" s="46" t="s">
        <v>53117</v>
      </c>
      <c r="C3764" s="58" t="str">
        <f>"22518770"</f>
        <v>22518770</v>
      </c>
      <c r="D3764" s="58" t="str">
        <f>"22518762"</f>
        <v>22518762</v>
      </c>
      <c r="E3764" s="46" t="s">
        <v>17443</v>
      </c>
      <c r="F3764" s="46" t="s">
        <v>18232</v>
      </c>
      <c r="G3764" s="46" t="s">
        <v>50584</v>
      </c>
      <c r="H3764" s="48" t="s">
        <v>56716</v>
      </c>
      <c r="I3764" s="48" t="s">
        <v>50564</v>
      </c>
      <c r="J3764" s="48"/>
      <c r="K3764" s="50"/>
      <c r="L3764" s="48"/>
    </row>
    <row r="3765" spans="1:12" s="37" customFormat="1" ht="11.25" x14ac:dyDescent="0.2">
      <c r="A3765" s="46" t="s">
        <v>8107</v>
      </c>
      <c r="B3765" s="46" t="s">
        <v>53118</v>
      </c>
      <c r="C3765" s="58" t="str">
        <f>"09720448"</f>
        <v>09720448</v>
      </c>
      <c r="D3765" s="58" t="str">
        <f>""</f>
        <v/>
      </c>
      <c r="E3765" s="46" t="s">
        <v>1984</v>
      </c>
      <c r="F3765" s="46" t="s">
        <v>20446</v>
      </c>
      <c r="G3765" s="46" t="s">
        <v>50584</v>
      </c>
      <c r="H3765" s="48" t="s">
        <v>56716</v>
      </c>
      <c r="I3765" s="48" t="s">
        <v>50564</v>
      </c>
      <c r="J3765" s="48"/>
      <c r="K3765" s="50"/>
      <c r="L3765" s="48"/>
    </row>
    <row r="3766" spans="1:12" s="37" customFormat="1" ht="11.25" x14ac:dyDescent="0.2">
      <c r="A3766" s="46" t="s">
        <v>16951</v>
      </c>
      <c r="B3766" s="46" t="s">
        <v>53119</v>
      </c>
      <c r="C3766" s="58" t="str">
        <f>"22494340"</f>
        <v>22494340</v>
      </c>
      <c r="D3766" s="58" t="str">
        <f>"22494340"</f>
        <v>22494340</v>
      </c>
      <c r="E3766" s="46" t="s">
        <v>16953</v>
      </c>
      <c r="F3766" s="46" t="s">
        <v>20446</v>
      </c>
      <c r="G3766" s="46" t="s">
        <v>50584</v>
      </c>
      <c r="H3766" s="48" t="s">
        <v>56716</v>
      </c>
      <c r="I3766" s="48" t="s">
        <v>50564</v>
      </c>
      <c r="J3766" s="48"/>
      <c r="K3766" s="50"/>
      <c r="L3766" s="48"/>
    </row>
    <row r="3767" spans="1:12" s="37" customFormat="1" ht="11.25" x14ac:dyDescent="0.2">
      <c r="A3767" s="46" t="s">
        <v>15727</v>
      </c>
      <c r="B3767" s="46" t="s">
        <v>53120</v>
      </c>
      <c r="C3767" s="58" t="str">
        <f>"20902069"</f>
        <v>20902069</v>
      </c>
      <c r="D3767" s="58" t="str">
        <f>"20902077"</f>
        <v>20902077</v>
      </c>
      <c r="E3767" s="46" t="s">
        <v>1412</v>
      </c>
      <c r="F3767" s="46" t="s">
        <v>17759</v>
      </c>
      <c r="G3767" s="46" t="s">
        <v>50584</v>
      </c>
      <c r="H3767" s="48" t="s">
        <v>56716</v>
      </c>
      <c r="I3767" s="48" t="s">
        <v>50564</v>
      </c>
      <c r="J3767" s="48" t="s">
        <v>56716</v>
      </c>
      <c r="K3767" s="50"/>
      <c r="L3767" s="48"/>
    </row>
    <row r="3768" spans="1:12" s="37" customFormat="1" ht="11.25" x14ac:dyDescent="0.2">
      <c r="A3768" s="46" t="s">
        <v>8646</v>
      </c>
      <c r="B3768" s="46" t="s">
        <v>53121</v>
      </c>
      <c r="C3768" s="58" t="str">
        <f>"15219437"</f>
        <v>15219437</v>
      </c>
      <c r="D3768" s="58" t="str">
        <f>"19404344"</f>
        <v>19404344</v>
      </c>
      <c r="E3768" s="46" t="s">
        <v>1278</v>
      </c>
      <c r="F3768" s="46" t="s">
        <v>17759</v>
      </c>
      <c r="G3768" s="46" t="s">
        <v>50584</v>
      </c>
      <c r="H3768" s="48" t="s">
        <v>56716</v>
      </c>
      <c r="I3768" s="48" t="s">
        <v>50564</v>
      </c>
      <c r="J3768" s="48"/>
      <c r="K3768" s="50"/>
      <c r="L3768" s="48" t="s">
        <v>56716</v>
      </c>
    </row>
    <row r="3769" spans="1:12" s="37" customFormat="1" ht="11.25" x14ac:dyDescent="0.2">
      <c r="A3769" s="46" t="s">
        <v>11302</v>
      </c>
      <c r="B3769" s="46" t="s">
        <v>53122</v>
      </c>
      <c r="C3769" s="58" t="str">
        <f>"15326306"</f>
        <v>15326306</v>
      </c>
      <c r="D3769" s="58" t="str">
        <f>"19330278"</f>
        <v>19330278</v>
      </c>
      <c r="E3769" s="46" t="s">
        <v>11305</v>
      </c>
      <c r="F3769" s="46" t="s">
        <v>17759</v>
      </c>
      <c r="G3769" s="46" t="s">
        <v>50584</v>
      </c>
      <c r="H3769" s="48" t="s">
        <v>56716</v>
      </c>
      <c r="I3769" s="48" t="s">
        <v>50564</v>
      </c>
      <c r="J3769" s="48" t="s">
        <v>56716</v>
      </c>
      <c r="K3769" s="50"/>
      <c r="L3769" s="48"/>
    </row>
    <row r="3770" spans="1:12" s="37" customFormat="1" ht="11.25" x14ac:dyDescent="0.2">
      <c r="A3770" s="45" t="s">
        <v>32682</v>
      </c>
      <c r="B3770" s="45" t="s">
        <v>32684</v>
      </c>
      <c r="C3770" s="51" t="s">
        <v>32687</v>
      </c>
      <c r="D3770" s="51" t="s">
        <v>32686</v>
      </c>
      <c r="E3770" s="45" t="s">
        <v>20225</v>
      </c>
      <c r="F3770" s="45" t="s">
        <v>20082</v>
      </c>
      <c r="G3770" s="45" t="s">
        <v>50584</v>
      </c>
      <c r="H3770" s="56"/>
      <c r="I3770" s="56" t="s">
        <v>50564</v>
      </c>
      <c r="J3770" s="56"/>
      <c r="K3770" s="50"/>
      <c r="L3770" s="56" t="s">
        <v>56716</v>
      </c>
    </row>
    <row r="3771" spans="1:12" s="37" customFormat="1" ht="11.25" x14ac:dyDescent="0.2">
      <c r="A3771" s="46" t="s">
        <v>12421</v>
      </c>
      <c r="B3771" s="46" t="s">
        <v>53123</v>
      </c>
      <c r="C3771" s="58" t="str">
        <f>""</f>
        <v/>
      </c>
      <c r="D3771" s="58" t="str">
        <f>"17524458"</f>
        <v>17524458</v>
      </c>
      <c r="E3771" s="46" t="s">
        <v>2299</v>
      </c>
      <c r="F3771" s="46" t="s">
        <v>50646</v>
      </c>
      <c r="G3771" s="46" t="s">
        <v>50584</v>
      </c>
      <c r="H3771" s="48" t="s">
        <v>56716</v>
      </c>
      <c r="I3771" s="48" t="s">
        <v>50564</v>
      </c>
      <c r="J3771" s="48" t="s">
        <v>56716</v>
      </c>
      <c r="K3771" s="50" t="s">
        <v>56716</v>
      </c>
      <c r="L3771" s="48"/>
    </row>
    <row r="3772" spans="1:12" s="37" customFormat="1" ht="11.25" x14ac:dyDescent="0.2">
      <c r="A3772" s="45" t="s">
        <v>32690</v>
      </c>
      <c r="B3772" s="45" t="s">
        <v>32692</v>
      </c>
      <c r="C3772" s="51" t="s">
        <v>32694</v>
      </c>
      <c r="D3772" s="51" t="s">
        <v>32693</v>
      </c>
      <c r="E3772" s="45" t="s">
        <v>20207</v>
      </c>
      <c r="F3772" s="45" t="s">
        <v>17759</v>
      </c>
      <c r="G3772" s="45" t="s">
        <v>50584</v>
      </c>
      <c r="H3772" s="56"/>
      <c r="I3772" s="56" t="s">
        <v>50564</v>
      </c>
      <c r="J3772" s="56"/>
      <c r="K3772" s="50"/>
      <c r="L3772" s="56" t="s">
        <v>56716</v>
      </c>
    </row>
    <row r="3773" spans="1:12" s="37" customFormat="1" ht="11.25" x14ac:dyDescent="0.2">
      <c r="A3773" s="46" t="s">
        <v>14619</v>
      </c>
      <c r="B3773" s="46" t="s">
        <v>53124</v>
      </c>
      <c r="C3773" s="58" t="str">
        <f>""</f>
        <v/>
      </c>
      <c r="D3773" s="58" t="str">
        <f>"19481756"</f>
        <v>19481756</v>
      </c>
      <c r="E3773" s="46" t="s">
        <v>13079</v>
      </c>
      <c r="F3773" s="46" t="s">
        <v>17759</v>
      </c>
      <c r="G3773" s="46" t="s">
        <v>50584</v>
      </c>
      <c r="H3773" s="48" t="s">
        <v>56716</v>
      </c>
      <c r="I3773" s="48" t="s">
        <v>50564</v>
      </c>
      <c r="J3773" s="48"/>
      <c r="K3773" s="50"/>
      <c r="L3773" s="48"/>
    </row>
    <row r="3774" spans="1:12" s="37" customFormat="1" ht="11.25" x14ac:dyDescent="0.2">
      <c r="A3774" s="46" t="s">
        <v>17235</v>
      </c>
      <c r="B3774" s="46" t="s">
        <v>53125</v>
      </c>
      <c r="C3774" s="58" t="str">
        <f>"20901712"</f>
        <v>20901712</v>
      </c>
      <c r="D3774" s="58" t="str">
        <f>"20901720"</f>
        <v>20901720</v>
      </c>
      <c r="E3774" s="46" t="s">
        <v>1412</v>
      </c>
      <c r="F3774" s="46" t="s">
        <v>17759</v>
      </c>
      <c r="G3774" s="46" t="s">
        <v>50584</v>
      </c>
      <c r="H3774" s="48" t="s">
        <v>56716</v>
      </c>
      <c r="I3774" s="48" t="s">
        <v>50564</v>
      </c>
      <c r="J3774" s="48" t="s">
        <v>56716</v>
      </c>
      <c r="K3774" s="50"/>
      <c r="L3774" s="48"/>
    </row>
    <row r="3775" spans="1:12" s="37" customFormat="1" ht="11.25" x14ac:dyDescent="0.2">
      <c r="A3775" s="46" t="s">
        <v>7806</v>
      </c>
      <c r="B3775" s="46" t="s">
        <v>53126</v>
      </c>
      <c r="C3775" s="58" t="str">
        <f>"11073756"</f>
        <v>11073756</v>
      </c>
      <c r="D3775" s="58" t="str">
        <f>"1791244X"</f>
        <v>1791244X</v>
      </c>
      <c r="E3775" s="46" t="s">
        <v>5951</v>
      </c>
      <c r="F3775" s="46" t="s">
        <v>20969</v>
      </c>
      <c r="G3775" s="46" t="s">
        <v>50584</v>
      </c>
      <c r="H3775" s="48" t="s">
        <v>56716</v>
      </c>
      <c r="I3775" s="48" t="s">
        <v>50564</v>
      </c>
      <c r="J3775" s="48" t="s">
        <v>56716</v>
      </c>
      <c r="K3775" s="50"/>
      <c r="L3775" s="48" t="s">
        <v>56716</v>
      </c>
    </row>
    <row r="3776" spans="1:12" s="37" customFormat="1" ht="11.25" x14ac:dyDescent="0.2">
      <c r="A3776" s="46" t="s">
        <v>10140</v>
      </c>
      <c r="B3776" s="46" t="s">
        <v>53127</v>
      </c>
      <c r="C3776" s="58" t="str">
        <f>"16616596"</f>
        <v>16616596</v>
      </c>
      <c r="D3776" s="58" t="str">
        <f>"14220067"</f>
        <v>14220067</v>
      </c>
      <c r="E3776" s="46" t="s">
        <v>4152</v>
      </c>
      <c r="F3776" s="46" t="s">
        <v>18123</v>
      </c>
      <c r="G3776" s="46" t="s">
        <v>50584</v>
      </c>
      <c r="H3776" s="48" t="s">
        <v>56716</v>
      </c>
      <c r="I3776" s="48" t="s">
        <v>50564</v>
      </c>
      <c r="J3776" s="48"/>
      <c r="K3776" s="50"/>
      <c r="L3776" s="48" t="s">
        <v>56716</v>
      </c>
    </row>
    <row r="3777" spans="1:12" s="37" customFormat="1" ht="11.25" x14ac:dyDescent="0.2">
      <c r="A3777" s="46" t="s">
        <v>15980</v>
      </c>
      <c r="B3777" s="46" t="s">
        <v>53128</v>
      </c>
      <c r="C3777" s="58" t="str">
        <f>"22125531"</f>
        <v>22125531</v>
      </c>
      <c r="D3777" s="58" t="str">
        <f>"2212554X"</f>
        <v>2212554X</v>
      </c>
      <c r="E3777" s="46" t="s">
        <v>155</v>
      </c>
      <c r="F3777" s="46" t="s">
        <v>50646</v>
      </c>
      <c r="G3777" s="46" t="s">
        <v>50584</v>
      </c>
      <c r="H3777" s="48" t="s">
        <v>56716</v>
      </c>
      <c r="I3777" s="48" t="s">
        <v>50564</v>
      </c>
      <c r="J3777" s="48" t="s">
        <v>56716</v>
      </c>
      <c r="K3777" s="50" t="s">
        <v>56716</v>
      </c>
      <c r="L3777" s="48"/>
    </row>
    <row r="3778" spans="1:12" s="37" customFormat="1" ht="11.25" x14ac:dyDescent="0.2">
      <c r="A3778" s="46" t="s">
        <v>13749</v>
      </c>
      <c r="B3778" s="46" t="s">
        <v>53129</v>
      </c>
      <c r="C3778" s="58" t="str">
        <f>"17528933"</f>
        <v>17528933</v>
      </c>
      <c r="D3778" s="58" t="str">
        <f>"17528941"</f>
        <v>17528941</v>
      </c>
      <c r="E3778" s="46" t="s">
        <v>8040</v>
      </c>
      <c r="F3778" s="46" t="s">
        <v>18123</v>
      </c>
      <c r="G3778" s="46" t="s">
        <v>50584</v>
      </c>
      <c r="H3778" s="48" t="s">
        <v>56716</v>
      </c>
      <c r="I3778" s="48" t="s">
        <v>50564</v>
      </c>
      <c r="J3778" s="48"/>
      <c r="K3778" s="50"/>
      <c r="L3778" s="48"/>
    </row>
    <row r="3779" spans="1:12" s="37" customFormat="1" ht="11.25" x14ac:dyDescent="0.2">
      <c r="A3779" s="46" t="s">
        <v>11886</v>
      </c>
      <c r="B3779" s="46" t="s">
        <v>53130</v>
      </c>
      <c r="C3779" s="58" t="str">
        <f>"11769114"</f>
        <v>11769114</v>
      </c>
      <c r="D3779" s="58" t="str">
        <f>"11782013"</f>
        <v>11782013</v>
      </c>
      <c r="E3779" s="46" t="s">
        <v>11079</v>
      </c>
      <c r="F3779" s="46" t="s">
        <v>19483</v>
      </c>
      <c r="G3779" s="46" t="s">
        <v>50584</v>
      </c>
      <c r="H3779" s="48" t="s">
        <v>56716</v>
      </c>
      <c r="I3779" s="48" t="s">
        <v>50564</v>
      </c>
      <c r="J3779" s="48"/>
      <c r="K3779" s="50"/>
      <c r="L3779" s="48" t="s">
        <v>56716</v>
      </c>
    </row>
    <row r="3780" spans="1:12" s="37" customFormat="1" ht="11.25" x14ac:dyDescent="0.2">
      <c r="A3780" s="46" t="s">
        <v>14128</v>
      </c>
      <c r="B3780" s="46" t="s">
        <v>53131</v>
      </c>
      <c r="C3780" s="58" t="str">
        <f>""</f>
        <v/>
      </c>
      <c r="D3780" s="58" t="str">
        <f>"11787058"</f>
        <v>11787058</v>
      </c>
      <c r="E3780" s="46" t="s">
        <v>11078</v>
      </c>
      <c r="F3780" s="46" t="s">
        <v>19483</v>
      </c>
      <c r="G3780" s="46" t="s">
        <v>50584</v>
      </c>
      <c r="H3780" s="48" t="s">
        <v>56716</v>
      </c>
      <c r="I3780" s="48" t="s">
        <v>50564</v>
      </c>
      <c r="J3780" s="48"/>
      <c r="K3780" s="50"/>
      <c r="L3780" s="48"/>
    </row>
    <row r="3781" spans="1:12" s="37" customFormat="1" ht="11.25" x14ac:dyDescent="0.2">
      <c r="A3781" s="45" t="s">
        <v>32711</v>
      </c>
      <c r="B3781" s="45" t="s">
        <v>32713</v>
      </c>
      <c r="C3781" s="51" t="s">
        <v>32714</v>
      </c>
      <c r="D3781" s="51"/>
      <c r="E3781" s="45" t="s">
        <v>30375</v>
      </c>
      <c r="F3781" s="45" t="s">
        <v>19491</v>
      </c>
      <c r="G3781" s="45" t="s">
        <v>50584</v>
      </c>
      <c r="H3781" s="56"/>
      <c r="I3781" s="56" t="s">
        <v>50564</v>
      </c>
      <c r="J3781" s="56"/>
      <c r="K3781" s="50"/>
      <c r="L3781" s="56" t="s">
        <v>56716</v>
      </c>
    </row>
    <row r="3782" spans="1:12" s="37" customFormat="1" ht="11.25" x14ac:dyDescent="0.2">
      <c r="A3782" s="46" t="s">
        <v>8084</v>
      </c>
      <c r="B3782" s="46" t="s">
        <v>53132</v>
      </c>
      <c r="C3782" s="58" t="str">
        <f>"14611457"</f>
        <v>14611457</v>
      </c>
      <c r="D3782" s="58" t="str">
        <f>"14695111"</f>
        <v>14695111</v>
      </c>
      <c r="E3782" s="46" t="s">
        <v>724</v>
      </c>
      <c r="F3782" s="46" t="s">
        <v>50646</v>
      </c>
      <c r="G3782" s="46" t="s">
        <v>50584</v>
      </c>
      <c r="H3782" s="48" t="s">
        <v>56716</v>
      </c>
      <c r="I3782" s="48" t="s">
        <v>50564</v>
      </c>
      <c r="J3782" s="48" t="s">
        <v>56716</v>
      </c>
      <c r="K3782" s="50"/>
      <c r="L3782" s="48" t="s">
        <v>56716</v>
      </c>
    </row>
    <row r="3783" spans="1:12" s="37" customFormat="1" ht="11.25" x14ac:dyDescent="0.2">
      <c r="A3783" s="46" t="s">
        <v>1958</v>
      </c>
      <c r="B3783" s="46" t="s">
        <v>53133</v>
      </c>
      <c r="C3783" s="58" t="str">
        <f>"00207454"</f>
        <v>00207454</v>
      </c>
      <c r="D3783" s="58" t="str">
        <f>"15635279"</f>
        <v>15635279</v>
      </c>
      <c r="E3783" s="46" t="s">
        <v>291</v>
      </c>
      <c r="F3783" s="46" t="s">
        <v>50646</v>
      </c>
      <c r="G3783" s="46" t="s">
        <v>50584</v>
      </c>
      <c r="H3783" s="48" t="s">
        <v>56716</v>
      </c>
      <c r="I3783" s="48" t="s">
        <v>50564</v>
      </c>
      <c r="J3783" s="48"/>
      <c r="K3783" s="50"/>
      <c r="L3783" s="48" t="s">
        <v>56716</v>
      </c>
    </row>
    <row r="3784" spans="1:12" s="37" customFormat="1" ht="11.25" x14ac:dyDescent="0.2">
      <c r="A3784" s="45" t="s">
        <v>32725</v>
      </c>
      <c r="B3784" s="45" t="s">
        <v>32727</v>
      </c>
      <c r="C3784" s="51" t="s">
        <v>32729</v>
      </c>
      <c r="D3784" s="51" t="s">
        <v>32728</v>
      </c>
      <c r="E3784" s="45" t="s">
        <v>32265</v>
      </c>
      <c r="F3784" s="45" t="s">
        <v>18158</v>
      </c>
      <c r="G3784" s="45" t="s">
        <v>50584</v>
      </c>
      <c r="H3784" s="56"/>
      <c r="I3784" s="56" t="s">
        <v>50564</v>
      </c>
      <c r="J3784" s="56"/>
      <c r="K3784" s="50"/>
      <c r="L3784" s="56" t="s">
        <v>56716</v>
      </c>
    </row>
    <row r="3785" spans="1:12" s="37" customFormat="1" ht="11.25" x14ac:dyDescent="0.2">
      <c r="A3785" s="45" t="s">
        <v>32732</v>
      </c>
      <c r="B3785" s="45" t="s">
        <v>32734</v>
      </c>
      <c r="C3785" s="51" t="s">
        <v>32736</v>
      </c>
      <c r="D3785" s="51"/>
      <c r="E3785" s="45" t="s">
        <v>20220</v>
      </c>
      <c r="F3785" s="45" t="s">
        <v>17759</v>
      </c>
      <c r="G3785" s="45" t="s">
        <v>50584</v>
      </c>
      <c r="H3785" s="56"/>
      <c r="I3785" s="56" t="s">
        <v>50564</v>
      </c>
      <c r="J3785" s="56"/>
      <c r="K3785" s="50"/>
      <c r="L3785" s="56" t="s">
        <v>56716</v>
      </c>
    </row>
    <row r="3786" spans="1:12" s="37" customFormat="1" ht="11.25" x14ac:dyDescent="0.2">
      <c r="A3786" s="45" t="s">
        <v>32738</v>
      </c>
      <c r="B3786" s="45" t="s">
        <v>32740</v>
      </c>
      <c r="C3786" s="51" t="s">
        <v>32742</v>
      </c>
      <c r="D3786" s="51" t="s">
        <v>32741</v>
      </c>
      <c r="E3786" s="45" t="s">
        <v>22893</v>
      </c>
      <c r="F3786" s="45" t="s">
        <v>20082</v>
      </c>
      <c r="G3786" s="45" t="s">
        <v>50584</v>
      </c>
      <c r="H3786" s="56"/>
      <c r="I3786" s="56" t="s">
        <v>50564</v>
      </c>
      <c r="J3786" s="56"/>
      <c r="K3786" s="50"/>
      <c r="L3786" s="56" t="s">
        <v>56716</v>
      </c>
    </row>
    <row r="3787" spans="1:12" s="37" customFormat="1" ht="11.25" x14ac:dyDescent="0.2">
      <c r="A3787" s="46" t="s">
        <v>55946</v>
      </c>
      <c r="B3787" s="46" t="s">
        <v>55947</v>
      </c>
      <c r="C3787" s="58" t="str">
        <f>"23520132"</f>
        <v>23520132</v>
      </c>
      <c r="D3787" s="58" t="str">
        <f>""</f>
        <v/>
      </c>
      <c r="E3787" s="46" t="s">
        <v>55948</v>
      </c>
      <c r="F3787" s="46" t="s">
        <v>17958</v>
      </c>
      <c r="G3787" s="46" t="s">
        <v>50584</v>
      </c>
      <c r="H3787" s="48" t="s">
        <v>56716</v>
      </c>
      <c r="I3787" s="48" t="s">
        <v>50564</v>
      </c>
      <c r="J3787" s="48"/>
      <c r="K3787" s="50" t="s">
        <v>56716</v>
      </c>
      <c r="L3787" s="48"/>
    </row>
    <row r="3788" spans="1:12" s="37" customFormat="1" ht="11.25" x14ac:dyDescent="0.2">
      <c r="A3788" s="45" t="s">
        <v>32744</v>
      </c>
      <c r="B3788" s="45" t="s">
        <v>32746</v>
      </c>
      <c r="C3788" s="51" t="s">
        <v>32748</v>
      </c>
      <c r="D3788" s="51" t="s">
        <v>32747</v>
      </c>
      <c r="E3788" s="45" t="s">
        <v>17865</v>
      </c>
      <c r="F3788" s="45" t="s">
        <v>50646</v>
      </c>
      <c r="G3788" s="45" t="s">
        <v>50584</v>
      </c>
      <c r="H3788" s="56"/>
      <c r="I3788" s="56" t="s">
        <v>50564</v>
      </c>
      <c r="J3788" s="56"/>
      <c r="K3788" s="50"/>
      <c r="L3788" s="56" t="s">
        <v>56716</v>
      </c>
    </row>
    <row r="3789" spans="1:12" s="37" customFormat="1" ht="11.25" x14ac:dyDescent="0.2">
      <c r="A3789" s="46" t="s">
        <v>1961</v>
      </c>
      <c r="B3789" s="46" t="s">
        <v>53134</v>
      </c>
      <c r="C3789" s="58" t="str">
        <f>"03070565"</f>
        <v>03070565</v>
      </c>
      <c r="D3789" s="58" t="str">
        <f>"14765497"</f>
        <v>14765497</v>
      </c>
      <c r="E3789" s="46" t="s">
        <v>315</v>
      </c>
      <c r="F3789" s="46" t="s">
        <v>50646</v>
      </c>
      <c r="G3789" s="46" t="s">
        <v>50584</v>
      </c>
      <c r="H3789" s="48" t="s">
        <v>56716</v>
      </c>
      <c r="I3789" s="48" t="s">
        <v>50564</v>
      </c>
      <c r="J3789" s="48" t="s">
        <v>56716</v>
      </c>
      <c r="K3789" s="50" t="s">
        <v>56716</v>
      </c>
      <c r="L3789" s="48" t="s">
        <v>56716</v>
      </c>
    </row>
    <row r="3790" spans="1:12" s="37" customFormat="1" ht="11.25" x14ac:dyDescent="0.2">
      <c r="A3790" s="46" t="s">
        <v>5784</v>
      </c>
      <c r="B3790" s="46" t="s">
        <v>53135</v>
      </c>
      <c r="C3790" s="58" t="str">
        <f>"0959289X"</f>
        <v>0959289X</v>
      </c>
      <c r="D3790" s="58" t="str">
        <f>"15323374"</f>
        <v>15323374</v>
      </c>
      <c r="E3790" s="46" t="s">
        <v>831</v>
      </c>
      <c r="F3790" s="46" t="s">
        <v>50646</v>
      </c>
      <c r="G3790" s="46" t="s">
        <v>50584</v>
      </c>
      <c r="H3790" s="48" t="s">
        <v>56716</v>
      </c>
      <c r="I3790" s="48" t="s">
        <v>50564</v>
      </c>
      <c r="J3790" s="48"/>
      <c r="K3790" s="50" t="s">
        <v>56716</v>
      </c>
      <c r="L3790" s="48" t="s">
        <v>56716</v>
      </c>
    </row>
    <row r="3791" spans="1:12" s="37" customFormat="1" ht="11.25" x14ac:dyDescent="0.2">
      <c r="A3791" s="45" t="s">
        <v>32761</v>
      </c>
      <c r="B3791" s="45" t="s">
        <v>32763</v>
      </c>
      <c r="C3791" s="51" t="s">
        <v>32765</v>
      </c>
      <c r="D3791" s="51" t="s">
        <v>32764</v>
      </c>
      <c r="E3791" s="45" t="s">
        <v>19396</v>
      </c>
      <c r="F3791" s="45" t="s">
        <v>17759</v>
      </c>
      <c r="G3791" s="45" t="s">
        <v>50584</v>
      </c>
      <c r="H3791" s="56"/>
      <c r="I3791" s="56" t="s">
        <v>50564</v>
      </c>
      <c r="J3791" s="56"/>
      <c r="K3791" s="50"/>
      <c r="L3791" s="56" t="s">
        <v>56716</v>
      </c>
    </row>
    <row r="3792" spans="1:12" s="37" customFormat="1" ht="11.25" x14ac:dyDescent="0.2">
      <c r="A3792" s="46" t="s">
        <v>15059</v>
      </c>
      <c r="B3792" s="46" t="s">
        <v>55839</v>
      </c>
      <c r="C3792" s="58" t="str">
        <f>"20086520"</f>
        <v>20086520</v>
      </c>
      <c r="D3792" s="58" t="str">
        <f>"20086814"</f>
        <v>20086814</v>
      </c>
      <c r="E3792" s="46" t="s">
        <v>15062</v>
      </c>
      <c r="F3792" s="46" t="s">
        <v>18232</v>
      </c>
      <c r="G3792" s="46" t="s">
        <v>50584</v>
      </c>
      <c r="H3792" s="48" t="s">
        <v>56716</v>
      </c>
      <c r="I3792" s="48" t="s">
        <v>50564</v>
      </c>
      <c r="J3792" s="48"/>
      <c r="K3792" s="50"/>
      <c r="L3792" s="48" t="s">
        <v>56716</v>
      </c>
    </row>
    <row r="3793" spans="1:12" s="37" customFormat="1" ht="11.25" x14ac:dyDescent="0.2">
      <c r="A3793" s="45" t="s">
        <v>32771</v>
      </c>
      <c r="B3793" s="45" t="s">
        <v>32773</v>
      </c>
      <c r="C3793" s="51" t="s">
        <v>32776</v>
      </c>
      <c r="D3793" s="51" t="s">
        <v>32775</v>
      </c>
      <c r="E3793" s="45" t="s">
        <v>15267</v>
      </c>
      <c r="F3793" s="45" t="s">
        <v>50646</v>
      </c>
      <c r="G3793" s="45" t="s">
        <v>50584</v>
      </c>
      <c r="H3793" s="56"/>
      <c r="I3793" s="56" t="s">
        <v>50564</v>
      </c>
      <c r="J3793" s="56"/>
      <c r="K3793" s="50"/>
      <c r="L3793" s="56" t="s">
        <v>56716</v>
      </c>
    </row>
    <row r="3794" spans="1:12" s="37" customFormat="1" ht="11.25" x14ac:dyDescent="0.2">
      <c r="A3794" s="45" t="s">
        <v>32778</v>
      </c>
      <c r="B3794" s="45" t="s">
        <v>32780</v>
      </c>
      <c r="C3794" s="51" t="s">
        <v>32781</v>
      </c>
      <c r="D3794" s="51"/>
      <c r="E3794" s="45" t="s">
        <v>18404</v>
      </c>
      <c r="F3794" s="45" t="s">
        <v>17967</v>
      </c>
      <c r="G3794" s="45" t="s">
        <v>50584</v>
      </c>
      <c r="H3794" s="56"/>
      <c r="I3794" s="56" t="s">
        <v>50564</v>
      </c>
      <c r="J3794" s="56"/>
      <c r="K3794" s="50"/>
      <c r="L3794" s="56" t="s">
        <v>56716</v>
      </c>
    </row>
    <row r="3795" spans="1:12" s="37" customFormat="1" ht="11.25" x14ac:dyDescent="0.2">
      <c r="A3795" s="45" t="s">
        <v>32785</v>
      </c>
      <c r="B3795" s="45" t="s">
        <v>32787</v>
      </c>
      <c r="C3795" s="51" t="s">
        <v>32790</v>
      </c>
      <c r="D3795" s="51" t="s">
        <v>32789</v>
      </c>
      <c r="E3795" s="45" t="s">
        <v>32791</v>
      </c>
      <c r="F3795" s="45" t="s">
        <v>17759</v>
      </c>
      <c r="G3795" s="45" t="s">
        <v>50584</v>
      </c>
      <c r="H3795" s="56"/>
      <c r="I3795" s="56" t="s">
        <v>50564</v>
      </c>
      <c r="J3795" s="56"/>
      <c r="K3795" s="50"/>
      <c r="L3795" s="56" t="s">
        <v>56716</v>
      </c>
    </row>
    <row r="3796" spans="1:12" s="37" customFormat="1" ht="11.25" x14ac:dyDescent="0.2">
      <c r="A3796" s="45" t="s">
        <v>32793</v>
      </c>
      <c r="B3796" s="45" t="s">
        <v>32795</v>
      </c>
      <c r="C3796" s="51" t="s">
        <v>32798</v>
      </c>
      <c r="D3796" s="51" t="s">
        <v>32797</v>
      </c>
      <c r="E3796" s="45" t="s">
        <v>20225</v>
      </c>
      <c r="F3796" s="45" t="s">
        <v>50646</v>
      </c>
      <c r="G3796" s="45" t="s">
        <v>50584</v>
      </c>
      <c r="H3796" s="56"/>
      <c r="I3796" s="56" t="s">
        <v>50564</v>
      </c>
      <c r="J3796" s="56"/>
      <c r="K3796" s="50"/>
      <c r="L3796" s="56" t="s">
        <v>56716</v>
      </c>
    </row>
    <row r="3797" spans="1:12" s="37" customFormat="1" ht="11.25" x14ac:dyDescent="0.2">
      <c r="A3797" s="46" t="s">
        <v>5948</v>
      </c>
      <c r="B3797" s="46" t="s">
        <v>53136</v>
      </c>
      <c r="C3797" s="58" t="str">
        <f>"10196439"</f>
        <v>10196439</v>
      </c>
      <c r="D3797" s="58" t="str">
        <f>"17912423"</f>
        <v>17912423</v>
      </c>
      <c r="E3797" s="46" t="s">
        <v>5951</v>
      </c>
      <c r="F3797" s="46" t="s">
        <v>20969</v>
      </c>
      <c r="G3797" s="46" t="s">
        <v>50584</v>
      </c>
      <c r="H3797" s="48" t="s">
        <v>56716</v>
      </c>
      <c r="I3797" s="48" t="s">
        <v>50564</v>
      </c>
      <c r="J3797" s="48" t="s">
        <v>56716</v>
      </c>
      <c r="K3797" s="50"/>
      <c r="L3797" s="48" t="s">
        <v>56716</v>
      </c>
    </row>
    <row r="3798" spans="1:12" s="37" customFormat="1" ht="11.25" x14ac:dyDescent="0.2">
      <c r="A3798" s="46" t="s">
        <v>1968</v>
      </c>
      <c r="B3798" s="46" t="s">
        <v>53137</v>
      </c>
      <c r="C3798" s="58" t="str">
        <f>"09015027"</f>
        <v>09015027</v>
      </c>
      <c r="D3798" s="58" t="str">
        <f>"13990020"</f>
        <v>13990020</v>
      </c>
      <c r="E3798" s="46" t="s">
        <v>831</v>
      </c>
      <c r="F3798" s="46" t="s">
        <v>50646</v>
      </c>
      <c r="G3798" s="46" t="s">
        <v>50584</v>
      </c>
      <c r="H3798" s="48" t="s">
        <v>56716</v>
      </c>
      <c r="I3798" s="48" t="s">
        <v>50564</v>
      </c>
      <c r="J3798" s="48"/>
      <c r="K3798" s="50" t="s">
        <v>56716</v>
      </c>
      <c r="L3798" s="48" t="s">
        <v>56716</v>
      </c>
    </row>
    <row r="3799" spans="1:12" s="37" customFormat="1" ht="11.25" x14ac:dyDescent="0.2">
      <c r="A3799" s="45" t="s">
        <v>32814</v>
      </c>
      <c r="B3799" s="45" t="s">
        <v>32816</v>
      </c>
      <c r="C3799" s="51" t="s">
        <v>32818</v>
      </c>
      <c r="D3799" s="51" t="s">
        <v>32817</v>
      </c>
      <c r="E3799" s="45" t="s">
        <v>315</v>
      </c>
      <c r="F3799" s="45" t="s">
        <v>20446</v>
      </c>
      <c r="G3799" s="45" t="s">
        <v>50584</v>
      </c>
      <c r="H3799" s="56"/>
      <c r="I3799" s="56" t="s">
        <v>50564</v>
      </c>
      <c r="J3799" s="56"/>
      <c r="K3799" s="50"/>
      <c r="L3799" s="56" t="s">
        <v>56716</v>
      </c>
    </row>
    <row r="3800" spans="1:12" s="37" customFormat="1" ht="11.25" x14ac:dyDescent="0.2">
      <c r="A3800" s="46" t="s">
        <v>16230</v>
      </c>
      <c r="B3800" s="46" t="s">
        <v>53138</v>
      </c>
      <c r="C3800" s="58" t="str">
        <f>"20086490"</f>
        <v>20086490</v>
      </c>
      <c r="D3800" s="58" t="str">
        <f>"20086482"</f>
        <v>20086482</v>
      </c>
      <c r="E3800" s="46" t="s">
        <v>56146</v>
      </c>
      <c r="F3800" s="46" t="s">
        <v>18232</v>
      </c>
      <c r="G3800" s="46" t="s">
        <v>50584</v>
      </c>
      <c r="H3800" s="48" t="s">
        <v>56716</v>
      </c>
      <c r="I3800" s="48" t="s">
        <v>50564</v>
      </c>
      <c r="J3800" s="48"/>
      <c r="K3800" s="50"/>
      <c r="L3800" s="48"/>
    </row>
    <row r="3801" spans="1:12" s="37" customFormat="1" ht="11.25" x14ac:dyDescent="0.2">
      <c r="A3801" s="45" t="s">
        <v>32828</v>
      </c>
      <c r="B3801" s="45" t="s">
        <v>32830</v>
      </c>
      <c r="C3801" s="51" t="s">
        <v>32832</v>
      </c>
      <c r="D3801" s="51"/>
      <c r="E3801" s="45" t="s">
        <v>32833</v>
      </c>
      <c r="F3801" s="45" t="s">
        <v>17759</v>
      </c>
      <c r="G3801" s="45" t="s">
        <v>50584</v>
      </c>
      <c r="H3801" s="56"/>
      <c r="I3801" s="56" t="s">
        <v>50564</v>
      </c>
      <c r="J3801" s="56"/>
      <c r="K3801" s="50"/>
      <c r="L3801" s="56" t="s">
        <v>56716</v>
      </c>
    </row>
    <row r="3802" spans="1:12" s="37" customFormat="1" ht="11.25" x14ac:dyDescent="0.2">
      <c r="A3802" s="46" t="s">
        <v>10358</v>
      </c>
      <c r="B3802" s="46" t="s">
        <v>53139</v>
      </c>
      <c r="C3802" s="58" t="str">
        <f>"17460689"</f>
        <v>17460689</v>
      </c>
      <c r="D3802" s="58" t="str">
        <f>"18780164"</f>
        <v>18780164</v>
      </c>
      <c r="E3802" s="46" t="s">
        <v>155</v>
      </c>
      <c r="F3802" s="46" t="s">
        <v>50646</v>
      </c>
      <c r="G3802" s="46" t="s">
        <v>50584</v>
      </c>
      <c r="H3802" s="48" t="s">
        <v>56716</v>
      </c>
      <c r="I3802" s="48" t="s">
        <v>50564</v>
      </c>
      <c r="J3802" s="48"/>
      <c r="K3802" s="50" t="s">
        <v>56716</v>
      </c>
      <c r="L3802" s="48"/>
    </row>
    <row r="3803" spans="1:12" s="37" customFormat="1" ht="11.25" x14ac:dyDescent="0.2">
      <c r="A3803" s="46" t="s">
        <v>13137</v>
      </c>
      <c r="B3803" s="46" t="s">
        <v>53140</v>
      </c>
      <c r="C3803" s="58" t="str">
        <f>"19945442"</f>
        <v>19945442</v>
      </c>
      <c r="D3803" s="58" t="str">
        <f>"20772157"</f>
        <v>20772157</v>
      </c>
      <c r="E3803" s="46" t="s">
        <v>10959</v>
      </c>
      <c r="F3803" s="46" t="s">
        <v>34138</v>
      </c>
      <c r="G3803" s="46" t="s">
        <v>50584</v>
      </c>
      <c r="H3803" s="48" t="s">
        <v>56716</v>
      </c>
      <c r="I3803" s="48" t="s">
        <v>50564</v>
      </c>
      <c r="J3803" s="48"/>
      <c r="K3803" s="50"/>
      <c r="L3803" s="48"/>
    </row>
    <row r="3804" spans="1:12" s="37" customFormat="1" ht="11.25" x14ac:dyDescent="0.2">
      <c r="A3804" s="46" t="s">
        <v>12300</v>
      </c>
      <c r="B3804" s="46" t="s">
        <v>53141</v>
      </c>
      <c r="C3804" s="58" t="str">
        <f>"19723539"</f>
        <v>19723539</v>
      </c>
      <c r="D3804" s="58" t="str">
        <f>""</f>
        <v/>
      </c>
      <c r="E3804" s="46" t="s">
        <v>33183</v>
      </c>
      <c r="F3804" s="46" t="s">
        <v>17991</v>
      </c>
      <c r="G3804" s="46" t="s">
        <v>50602</v>
      </c>
      <c r="H3804" s="48" t="s">
        <v>56716</v>
      </c>
      <c r="I3804" s="48" t="s">
        <v>50564</v>
      </c>
      <c r="J3804" s="48"/>
      <c r="K3804" s="50"/>
      <c r="L3804" s="48"/>
    </row>
    <row r="3805" spans="1:12" s="37" customFormat="1" ht="11.25" x14ac:dyDescent="0.2">
      <c r="A3805" s="45" t="s">
        <v>32835</v>
      </c>
      <c r="B3805" s="45" t="s">
        <v>32837</v>
      </c>
      <c r="C3805" s="51" t="s">
        <v>32840</v>
      </c>
      <c r="D3805" s="51" t="s">
        <v>32839</v>
      </c>
      <c r="E3805" s="45" t="s">
        <v>23527</v>
      </c>
      <c r="F3805" s="45" t="s">
        <v>50646</v>
      </c>
      <c r="G3805" s="45" t="s">
        <v>50584</v>
      </c>
      <c r="H3805" s="56"/>
      <c r="I3805" s="56" t="s">
        <v>50564</v>
      </c>
      <c r="J3805" s="56"/>
      <c r="K3805" s="50"/>
      <c r="L3805" s="56" t="s">
        <v>56716</v>
      </c>
    </row>
    <row r="3806" spans="1:12" s="37" customFormat="1" ht="11.25" x14ac:dyDescent="0.2">
      <c r="A3806" s="45" t="s">
        <v>32842</v>
      </c>
      <c r="B3806" s="45" t="s">
        <v>32844</v>
      </c>
      <c r="C3806" s="51" t="s">
        <v>32845</v>
      </c>
      <c r="D3806" s="51"/>
      <c r="E3806" s="45" t="s">
        <v>23568</v>
      </c>
      <c r="F3806" s="45" t="s">
        <v>50646</v>
      </c>
      <c r="G3806" s="45" t="s">
        <v>50584</v>
      </c>
      <c r="H3806" s="56"/>
      <c r="I3806" s="56" t="s">
        <v>50564</v>
      </c>
      <c r="J3806" s="56"/>
      <c r="K3806" s="50"/>
      <c r="L3806" s="56" t="s">
        <v>56716</v>
      </c>
    </row>
    <row r="3807" spans="1:12" s="37" customFormat="1" ht="11.25" x14ac:dyDescent="0.2">
      <c r="A3807" s="46" t="s">
        <v>16616</v>
      </c>
      <c r="B3807" s="46" t="s">
        <v>53142</v>
      </c>
      <c r="C3807" s="58" t="str">
        <f>"16879848"</f>
        <v>16879848</v>
      </c>
      <c r="D3807" s="58" t="str">
        <f>"16879856"</f>
        <v>16879856</v>
      </c>
      <c r="E3807" s="46" t="s">
        <v>2299</v>
      </c>
      <c r="F3807" s="46" t="s">
        <v>50646</v>
      </c>
      <c r="G3807" s="46" t="s">
        <v>50584</v>
      </c>
      <c r="H3807" s="48" t="s">
        <v>56716</v>
      </c>
      <c r="I3807" s="48" t="s">
        <v>50564</v>
      </c>
      <c r="J3807" s="48" t="s">
        <v>56716</v>
      </c>
      <c r="K3807" s="50"/>
      <c r="L3807" s="48"/>
    </row>
    <row r="3808" spans="1:12" s="37" customFormat="1" ht="11.25" x14ac:dyDescent="0.2">
      <c r="A3808" s="46" t="s">
        <v>2084</v>
      </c>
      <c r="B3808" s="46" t="s">
        <v>53143</v>
      </c>
      <c r="C3808" s="58" t="str">
        <f>"01655876"</f>
        <v>01655876</v>
      </c>
      <c r="D3808" s="58" t="str">
        <f>"18728464"</f>
        <v>18728464</v>
      </c>
      <c r="E3808" s="46" t="s">
        <v>221</v>
      </c>
      <c r="F3808" s="46" t="s">
        <v>21771</v>
      </c>
      <c r="G3808" s="46" t="s">
        <v>50584</v>
      </c>
      <c r="H3808" s="48" t="s">
        <v>56716</v>
      </c>
      <c r="I3808" s="48" t="s">
        <v>50564</v>
      </c>
      <c r="J3808" s="48" t="s">
        <v>56716</v>
      </c>
      <c r="K3808" s="50" t="s">
        <v>56716</v>
      </c>
      <c r="L3808" s="48" t="s">
        <v>56716</v>
      </c>
    </row>
    <row r="3809" spans="1:12" s="37" customFormat="1" ht="11.25" x14ac:dyDescent="0.2">
      <c r="A3809" s="46" t="s">
        <v>11520</v>
      </c>
      <c r="B3809" s="46" t="s">
        <v>53144</v>
      </c>
      <c r="C3809" s="58" t="str">
        <f>""</f>
        <v/>
      </c>
      <c r="D3809" s="58" t="str">
        <f>"18714048"</f>
        <v>18714048</v>
      </c>
      <c r="E3809" s="46" t="s">
        <v>221</v>
      </c>
      <c r="F3809" s="46" t="s">
        <v>21771</v>
      </c>
      <c r="G3809" s="46" t="s">
        <v>50584</v>
      </c>
      <c r="H3809" s="48" t="s">
        <v>56716</v>
      </c>
      <c r="I3809" s="48" t="s">
        <v>50564</v>
      </c>
      <c r="J3809" s="48"/>
      <c r="K3809" s="50" t="s">
        <v>56716</v>
      </c>
      <c r="L3809" s="48"/>
    </row>
    <row r="3810" spans="1:12" s="37" customFormat="1" ht="11.25" x14ac:dyDescent="0.2">
      <c r="A3810" s="46" t="s">
        <v>56291</v>
      </c>
      <c r="B3810" s="46" t="s">
        <v>56292</v>
      </c>
      <c r="C3810" s="58" t="str">
        <f>"23526467"</f>
        <v>23526467</v>
      </c>
      <c r="D3810" s="58" t="str">
        <f>""</f>
        <v/>
      </c>
      <c r="E3810" s="46" t="s">
        <v>4889</v>
      </c>
      <c r="F3810" s="46" t="s">
        <v>42225</v>
      </c>
      <c r="G3810" s="46" t="s">
        <v>50584</v>
      </c>
      <c r="H3810" s="48" t="s">
        <v>56716</v>
      </c>
      <c r="I3810" s="48" t="s">
        <v>50564</v>
      </c>
      <c r="J3810" s="48"/>
      <c r="K3810" s="50"/>
      <c r="L3810" s="48"/>
    </row>
    <row r="3811" spans="1:12" s="37" customFormat="1" ht="11.25" x14ac:dyDescent="0.2">
      <c r="A3811" s="46" t="s">
        <v>10799</v>
      </c>
      <c r="B3811" s="46" t="s">
        <v>53145</v>
      </c>
      <c r="C3811" s="58" t="str">
        <f>"15733149"</f>
        <v>15733149</v>
      </c>
      <c r="D3811" s="58" t="str">
        <f>"15733904"</f>
        <v>15733904</v>
      </c>
      <c r="E3811" s="46" t="s">
        <v>18876</v>
      </c>
      <c r="F3811" s="46" t="s">
        <v>18001</v>
      </c>
      <c r="G3811" s="46" t="s">
        <v>50584</v>
      </c>
      <c r="H3811" s="48" t="s">
        <v>56716</v>
      </c>
      <c r="I3811" s="48" t="s">
        <v>50564</v>
      </c>
      <c r="J3811" s="48"/>
      <c r="K3811" s="50" t="s">
        <v>56716</v>
      </c>
      <c r="L3811" s="48"/>
    </row>
    <row r="3812" spans="1:12" s="37" customFormat="1" ht="11.25" x14ac:dyDescent="0.2">
      <c r="A3812" s="46" t="s">
        <v>15748</v>
      </c>
      <c r="B3812" s="46" t="s">
        <v>53146</v>
      </c>
      <c r="C3812" s="58" t="str">
        <f>"16879767"</f>
        <v>16879767</v>
      </c>
      <c r="D3812" s="58" t="str">
        <f>"16879775"</f>
        <v>16879775</v>
      </c>
      <c r="E3812" s="46" t="s">
        <v>1412</v>
      </c>
      <c r="F3812" s="46" t="s">
        <v>17759</v>
      </c>
      <c r="G3812" s="46" t="s">
        <v>50584</v>
      </c>
      <c r="H3812" s="48" t="s">
        <v>56716</v>
      </c>
      <c r="I3812" s="48" t="s">
        <v>50564</v>
      </c>
      <c r="J3812" s="48" t="s">
        <v>56716</v>
      </c>
      <c r="K3812" s="50"/>
      <c r="L3812" s="48"/>
    </row>
    <row r="3813" spans="1:12" s="37" customFormat="1" ht="11.25" x14ac:dyDescent="0.2">
      <c r="A3813" s="46" t="s">
        <v>16274</v>
      </c>
      <c r="B3813" s="46" t="s">
        <v>53147</v>
      </c>
      <c r="C3813" s="58" t="str">
        <f>"22777466"</f>
        <v>22777466</v>
      </c>
      <c r="D3813" s="58" t="str">
        <f>""</f>
        <v/>
      </c>
      <c r="E3813" s="46" t="s">
        <v>14870</v>
      </c>
      <c r="F3813" s="46" t="s">
        <v>20446</v>
      </c>
      <c r="G3813" s="46" t="s">
        <v>50584</v>
      </c>
      <c r="H3813" s="48" t="s">
        <v>56716</v>
      </c>
      <c r="I3813" s="48" t="s">
        <v>50564</v>
      </c>
      <c r="J3813" s="48"/>
      <c r="K3813" s="50"/>
      <c r="L3813" s="48"/>
    </row>
    <row r="3814" spans="1:12" s="37" customFormat="1" ht="11.25" x14ac:dyDescent="0.2">
      <c r="A3814" s="46" t="s">
        <v>15302</v>
      </c>
      <c r="B3814" s="46" t="s">
        <v>55840</v>
      </c>
      <c r="C3814" s="58" t="str">
        <f>""</f>
        <v/>
      </c>
      <c r="D3814" s="58" t="str">
        <f>"09756299"</f>
        <v>09756299</v>
      </c>
      <c r="E3814" s="46" t="s">
        <v>15302</v>
      </c>
      <c r="F3814" s="46" t="s">
        <v>20446</v>
      </c>
      <c r="G3814" s="46" t="s">
        <v>50584</v>
      </c>
      <c r="H3814" s="48" t="s">
        <v>56716</v>
      </c>
      <c r="I3814" s="48" t="s">
        <v>50564</v>
      </c>
      <c r="J3814" s="48"/>
      <c r="K3814" s="50"/>
      <c r="L3814" s="48"/>
    </row>
    <row r="3815" spans="1:12" s="37" customFormat="1" ht="11.25" x14ac:dyDescent="0.2">
      <c r="A3815" s="46" t="s">
        <v>16960</v>
      </c>
      <c r="B3815" s="46" t="s">
        <v>53148</v>
      </c>
      <c r="C3815" s="58" t="str">
        <f>"22785221"</f>
        <v>22785221</v>
      </c>
      <c r="D3815" s="58" t="str">
        <f>""</f>
        <v/>
      </c>
      <c r="E3815" s="46" t="s">
        <v>16962</v>
      </c>
      <c r="F3815" s="46" t="s">
        <v>20446</v>
      </c>
      <c r="G3815" s="46" t="s">
        <v>50584</v>
      </c>
      <c r="H3815" s="48" t="s">
        <v>56716</v>
      </c>
      <c r="I3815" s="48" t="s">
        <v>50564</v>
      </c>
      <c r="J3815" s="48"/>
      <c r="K3815" s="50"/>
      <c r="L3815" s="48"/>
    </row>
    <row r="3816" spans="1:12" s="37" customFormat="1" ht="11.25" x14ac:dyDescent="0.2">
      <c r="A3816" s="46" t="s">
        <v>14965</v>
      </c>
      <c r="B3816" s="46" t="s">
        <v>53149</v>
      </c>
      <c r="C3816" s="58" t="str">
        <f>""</f>
        <v/>
      </c>
      <c r="D3816" s="58" t="str">
        <f>"09751556"</f>
        <v>09751556</v>
      </c>
      <c r="E3816" s="46" t="s">
        <v>14965</v>
      </c>
      <c r="F3816" s="46" t="s">
        <v>20446</v>
      </c>
      <c r="G3816" s="46" t="s">
        <v>50584</v>
      </c>
      <c r="H3816" s="48" t="s">
        <v>56716</v>
      </c>
      <c r="I3816" s="48" t="s">
        <v>50564</v>
      </c>
      <c r="J3816" s="48"/>
      <c r="K3816" s="50"/>
      <c r="L3816" s="48"/>
    </row>
    <row r="3817" spans="1:12" s="37" customFormat="1" ht="11.25" x14ac:dyDescent="0.2">
      <c r="A3817" s="46" t="s">
        <v>16754</v>
      </c>
      <c r="B3817" s="46" t="s">
        <v>53150</v>
      </c>
      <c r="C3817" s="58" t="str">
        <f>"22501029"</f>
        <v>22501029</v>
      </c>
      <c r="D3817" s="58" t="str">
        <f>"22496084"</f>
        <v>22496084</v>
      </c>
      <c r="E3817" s="46" t="s">
        <v>16754</v>
      </c>
      <c r="F3817" s="46" t="s">
        <v>20446</v>
      </c>
      <c r="G3817" s="46" t="s">
        <v>50584</v>
      </c>
      <c r="H3817" s="48" t="s">
        <v>56716</v>
      </c>
      <c r="I3817" s="48" t="s">
        <v>50564</v>
      </c>
      <c r="J3817" s="48"/>
      <c r="K3817" s="50"/>
      <c r="L3817" s="48"/>
    </row>
    <row r="3818" spans="1:12" s="37" customFormat="1" ht="11.25" x14ac:dyDescent="0.2">
      <c r="A3818" s="45" t="s">
        <v>32858</v>
      </c>
      <c r="B3818" s="45" t="s">
        <v>32860</v>
      </c>
      <c r="C3818" s="51" t="s">
        <v>32862</v>
      </c>
      <c r="D3818" s="51" t="s">
        <v>32861</v>
      </c>
      <c r="E3818" s="45" t="s">
        <v>32863</v>
      </c>
      <c r="F3818" s="45" t="s">
        <v>17759</v>
      </c>
      <c r="G3818" s="45" t="s">
        <v>50584</v>
      </c>
      <c r="H3818" s="56"/>
      <c r="I3818" s="56" t="s">
        <v>50564</v>
      </c>
      <c r="J3818" s="56"/>
      <c r="K3818" s="50"/>
      <c r="L3818" s="56" t="s">
        <v>56716</v>
      </c>
    </row>
    <row r="3819" spans="1:12" s="37" customFormat="1" ht="11.25" x14ac:dyDescent="0.2">
      <c r="A3819" s="46" t="s">
        <v>16757</v>
      </c>
      <c r="B3819" s="46" t="s">
        <v>53151</v>
      </c>
      <c r="C3819" s="58" t="str">
        <f>""</f>
        <v/>
      </c>
      <c r="D3819" s="58" t="str">
        <f>"22491112"</f>
        <v>22491112</v>
      </c>
      <c r="E3819" s="46" t="s">
        <v>16757</v>
      </c>
      <c r="F3819" s="46" t="s">
        <v>20446</v>
      </c>
      <c r="G3819" s="46" t="s">
        <v>50584</v>
      </c>
      <c r="H3819" s="48" t="s">
        <v>56716</v>
      </c>
      <c r="I3819" s="48" t="s">
        <v>50564</v>
      </c>
      <c r="J3819" s="48"/>
      <c r="K3819" s="50"/>
      <c r="L3819" s="48"/>
    </row>
    <row r="3820" spans="1:12" s="37" customFormat="1" ht="11.25" x14ac:dyDescent="0.2">
      <c r="A3820" s="46" t="s">
        <v>16661</v>
      </c>
      <c r="B3820" s="46" t="s">
        <v>53152</v>
      </c>
      <c r="C3820" s="58" t="str">
        <f>"2230973X"</f>
        <v>2230973X</v>
      </c>
      <c r="D3820" s="58" t="str">
        <f>"22309713"</f>
        <v>22309713</v>
      </c>
      <c r="E3820" s="46" t="s">
        <v>19057</v>
      </c>
      <c r="F3820" s="46" t="s">
        <v>20446</v>
      </c>
      <c r="G3820" s="46" t="s">
        <v>50584</v>
      </c>
      <c r="H3820" s="48" t="s">
        <v>56716</v>
      </c>
      <c r="I3820" s="48" t="s">
        <v>50564</v>
      </c>
      <c r="J3820" s="48" t="s">
        <v>56716</v>
      </c>
      <c r="K3820" s="50"/>
      <c r="L3820" s="48"/>
    </row>
    <row r="3821" spans="1:12" s="37" customFormat="1" ht="11.25" x14ac:dyDescent="0.2">
      <c r="A3821" s="46" t="s">
        <v>14904</v>
      </c>
      <c r="B3821" s="46" t="s">
        <v>55841</v>
      </c>
      <c r="C3821" s="58" t="str">
        <f>""</f>
        <v/>
      </c>
      <c r="D3821" s="58" t="str">
        <f>"09759506"</f>
        <v>09759506</v>
      </c>
      <c r="E3821" s="46" t="s">
        <v>14904</v>
      </c>
      <c r="F3821" s="46" t="s">
        <v>20446</v>
      </c>
      <c r="G3821" s="46" t="s">
        <v>50584</v>
      </c>
      <c r="H3821" s="48" t="s">
        <v>56716</v>
      </c>
      <c r="I3821" s="48" t="s">
        <v>50564</v>
      </c>
      <c r="J3821" s="48"/>
      <c r="K3821" s="50"/>
      <c r="L3821" s="48"/>
    </row>
    <row r="3822" spans="1:12" s="37" customFormat="1" ht="11.25" x14ac:dyDescent="0.2">
      <c r="A3822" s="46" t="s">
        <v>15271</v>
      </c>
      <c r="B3822" s="46" t="s">
        <v>53159</v>
      </c>
      <c r="C3822" s="58" t="str">
        <f>""</f>
        <v/>
      </c>
      <c r="D3822" s="58" t="str">
        <f>"09752366"</f>
        <v>09752366</v>
      </c>
      <c r="E3822" s="46" t="s">
        <v>15273</v>
      </c>
      <c r="F3822" s="46" t="s">
        <v>20446</v>
      </c>
      <c r="G3822" s="46" t="s">
        <v>50584</v>
      </c>
      <c r="H3822" s="48" t="s">
        <v>56716</v>
      </c>
      <c r="I3822" s="48" t="s">
        <v>50564</v>
      </c>
      <c r="J3822" s="48"/>
      <c r="K3822" s="50"/>
      <c r="L3822" s="48"/>
    </row>
    <row r="3823" spans="1:12" s="37" customFormat="1" ht="11.25" x14ac:dyDescent="0.2">
      <c r="A3823" s="46" t="s">
        <v>16928</v>
      </c>
      <c r="B3823" s="46" t="s">
        <v>53153</v>
      </c>
      <c r="C3823" s="58" t="str">
        <f>"22773657"</f>
        <v>22773657</v>
      </c>
      <c r="D3823" s="58" t="str">
        <f>""</f>
        <v/>
      </c>
      <c r="E3823" s="46" t="s">
        <v>16928</v>
      </c>
      <c r="F3823" s="46" t="s">
        <v>20446</v>
      </c>
      <c r="G3823" s="46" t="s">
        <v>50584</v>
      </c>
      <c r="H3823" s="48" t="s">
        <v>56716</v>
      </c>
      <c r="I3823" s="48" t="s">
        <v>50564</v>
      </c>
      <c r="J3823" s="48"/>
      <c r="K3823" s="50"/>
      <c r="L3823" s="48"/>
    </row>
    <row r="3824" spans="1:12" s="37" customFormat="1" ht="11.25" x14ac:dyDescent="0.2">
      <c r="A3824" s="46" t="s">
        <v>15237</v>
      </c>
      <c r="B3824" s="46" t="s">
        <v>55842</v>
      </c>
      <c r="C3824" s="58" t="str">
        <f>""</f>
        <v/>
      </c>
      <c r="D3824" s="58" t="str">
        <f>"09754725"</f>
        <v>09754725</v>
      </c>
      <c r="E3824" s="46" t="s">
        <v>15239</v>
      </c>
      <c r="F3824" s="46" t="s">
        <v>20446</v>
      </c>
      <c r="G3824" s="46" t="s">
        <v>50584</v>
      </c>
      <c r="H3824" s="48" t="s">
        <v>56716</v>
      </c>
      <c r="I3824" s="48" t="s">
        <v>50564</v>
      </c>
      <c r="J3824" s="48"/>
      <c r="K3824" s="50"/>
      <c r="L3824" s="48"/>
    </row>
    <row r="3825" spans="1:12" s="37" customFormat="1" ht="11.25" x14ac:dyDescent="0.2">
      <c r="A3825" s="46" t="s">
        <v>16766</v>
      </c>
      <c r="B3825" s="46" t="s">
        <v>53154</v>
      </c>
      <c r="C3825" s="58" t="str">
        <f>"23205148"</f>
        <v>23205148</v>
      </c>
      <c r="D3825" s="58" t="str">
        <f>"09758232"</f>
        <v>09758232</v>
      </c>
      <c r="E3825" s="46" t="s">
        <v>16769</v>
      </c>
      <c r="F3825" s="46" t="s">
        <v>20446</v>
      </c>
      <c r="G3825" s="46" t="s">
        <v>50584</v>
      </c>
      <c r="H3825" s="48" t="s">
        <v>56716</v>
      </c>
      <c r="I3825" s="48" t="s">
        <v>50564</v>
      </c>
      <c r="J3825" s="48"/>
      <c r="K3825" s="50"/>
      <c r="L3825" s="48"/>
    </row>
    <row r="3826" spans="1:12" s="37" customFormat="1" ht="11.25" x14ac:dyDescent="0.2">
      <c r="A3826" s="46" t="s">
        <v>15114</v>
      </c>
      <c r="B3826" s="46" t="s">
        <v>55843</v>
      </c>
      <c r="C3826" s="58" t="str">
        <f>"0976044X"</f>
        <v>0976044X</v>
      </c>
      <c r="D3826" s="58" t="str">
        <f>"0976044X"</f>
        <v>0976044X</v>
      </c>
      <c r="E3826" s="46" t="s">
        <v>15116</v>
      </c>
      <c r="F3826" s="46" t="s">
        <v>20446</v>
      </c>
      <c r="G3826" s="46" t="s">
        <v>50584</v>
      </c>
      <c r="H3826" s="48" t="s">
        <v>56716</v>
      </c>
      <c r="I3826" s="48" t="s">
        <v>50564</v>
      </c>
      <c r="J3826" s="48"/>
      <c r="K3826" s="50"/>
      <c r="L3826" s="48"/>
    </row>
    <row r="3827" spans="1:12" s="37" customFormat="1" ht="11.25" x14ac:dyDescent="0.2">
      <c r="A3827" s="46" t="s">
        <v>1978</v>
      </c>
      <c r="B3827" s="46" t="s">
        <v>53155</v>
      </c>
      <c r="C3827" s="58" t="str">
        <f>"03785173"</f>
        <v>03785173</v>
      </c>
      <c r="D3827" s="58" t="str">
        <f>"18733476"</f>
        <v>18733476</v>
      </c>
      <c r="E3827" s="46" t="s">
        <v>91</v>
      </c>
      <c r="F3827" s="46" t="s">
        <v>18001</v>
      </c>
      <c r="G3827" s="46" t="s">
        <v>50584</v>
      </c>
      <c r="H3827" s="48" t="s">
        <v>56716</v>
      </c>
      <c r="I3827" s="48" t="s">
        <v>50564</v>
      </c>
      <c r="J3827" s="48" t="s">
        <v>56716</v>
      </c>
      <c r="K3827" s="50" t="s">
        <v>56716</v>
      </c>
      <c r="L3827" s="48" t="s">
        <v>56716</v>
      </c>
    </row>
    <row r="3828" spans="1:12" s="37" customFormat="1" ht="11.25" x14ac:dyDescent="0.2">
      <c r="A3828" s="46" t="s">
        <v>14902</v>
      </c>
      <c r="B3828" s="46" t="s">
        <v>55844</v>
      </c>
      <c r="C3828" s="58" t="str">
        <f>""</f>
        <v/>
      </c>
      <c r="D3828" s="58" t="str">
        <f>"09754873"</f>
        <v>09754873</v>
      </c>
      <c r="E3828" s="46" t="s">
        <v>14902</v>
      </c>
      <c r="F3828" s="46" t="s">
        <v>20446</v>
      </c>
      <c r="G3828" s="46" t="s">
        <v>50584</v>
      </c>
      <c r="H3828" s="48" t="s">
        <v>56716</v>
      </c>
      <c r="I3828" s="48" t="s">
        <v>50564</v>
      </c>
      <c r="J3828" s="48"/>
      <c r="K3828" s="50"/>
      <c r="L3828" s="48"/>
    </row>
    <row r="3829" spans="1:12" s="37" customFormat="1" ht="11.25" x14ac:dyDescent="0.2">
      <c r="A3829" s="46" t="s">
        <v>10963</v>
      </c>
      <c r="B3829" s="46" t="s">
        <v>53156</v>
      </c>
      <c r="C3829" s="58" t="str">
        <f>"18117775"</f>
        <v>18117775</v>
      </c>
      <c r="D3829" s="58" t="str">
        <f>"18125700"</f>
        <v>18125700</v>
      </c>
      <c r="E3829" s="46" t="s">
        <v>10959</v>
      </c>
      <c r="F3829" s="46" t="s">
        <v>34138</v>
      </c>
      <c r="G3829" s="46" t="s">
        <v>50584</v>
      </c>
      <c r="H3829" s="48" t="s">
        <v>56716</v>
      </c>
      <c r="I3829" s="48" t="s">
        <v>50564</v>
      </c>
      <c r="J3829" s="48"/>
      <c r="K3829" s="50"/>
      <c r="L3829" s="48"/>
    </row>
    <row r="3830" spans="1:12" s="37" customFormat="1" ht="11.25" x14ac:dyDescent="0.2">
      <c r="A3830" s="46" t="s">
        <v>13996</v>
      </c>
      <c r="B3830" s="46" t="s">
        <v>56121</v>
      </c>
      <c r="C3830" s="58" t="str">
        <f>""</f>
        <v/>
      </c>
      <c r="D3830" s="58" t="str">
        <f>"09751491"</f>
        <v>09751491</v>
      </c>
      <c r="E3830" s="46" t="s">
        <v>13998</v>
      </c>
      <c r="F3830" s="46" t="s">
        <v>20446</v>
      </c>
      <c r="G3830" s="46" t="s">
        <v>50584</v>
      </c>
      <c r="H3830" s="48" t="s">
        <v>56716</v>
      </c>
      <c r="I3830" s="48" t="s">
        <v>50564</v>
      </c>
      <c r="J3830" s="48"/>
      <c r="K3830" s="50"/>
      <c r="L3830" s="48"/>
    </row>
    <row r="3831" spans="1:12" s="37" customFormat="1" ht="11.25" x14ac:dyDescent="0.2">
      <c r="A3831" s="46" t="s">
        <v>15034</v>
      </c>
      <c r="B3831" s="46" t="s">
        <v>53157</v>
      </c>
      <c r="C3831" s="58" t="str">
        <f>""</f>
        <v/>
      </c>
      <c r="D3831" s="58" t="str">
        <f>"0975766X"</f>
        <v>0975766X</v>
      </c>
      <c r="E3831" s="46" t="s">
        <v>15034</v>
      </c>
      <c r="F3831" s="46" t="s">
        <v>20446</v>
      </c>
      <c r="G3831" s="46" t="s">
        <v>50584</v>
      </c>
      <c r="H3831" s="48" t="s">
        <v>56716</v>
      </c>
      <c r="I3831" s="48" t="s">
        <v>50564</v>
      </c>
      <c r="J3831" s="48"/>
      <c r="K3831" s="50"/>
      <c r="L3831" s="48"/>
    </row>
    <row r="3832" spans="1:12" s="37" customFormat="1" ht="11.25" x14ac:dyDescent="0.2">
      <c r="A3832" s="46" t="s">
        <v>6813</v>
      </c>
      <c r="B3832" s="46" t="s">
        <v>53158</v>
      </c>
      <c r="C3832" s="58" t="str">
        <f>"09617671"</f>
        <v>09617671</v>
      </c>
      <c r="D3832" s="58" t="str">
        <f>"20427174"</f>
        <v>20427174</v>
      </c>
      <c r="E3832" s="46" t="s">
        <v>555</v>
      </c>
      <c r="F3832" s="46" t="s">
        <v>50646</v>
      </c>
      <c r="G3832" s="46" t="s">
        <v>50584</v>
      </c>
      <c r="H3832" s="48" t="s">
        <v>56716</v>
      </c>
      <c r="I3832" s="48" t="s">
        <v>50564</v>
      </c>
      <c r="J3832" s="48" t="s">
        <v>56716</v>
      </c>
      <c r="K3832" s="50" t="s">
        <v>56716</v>
      </c>
      <c r="L3832" s="48" t="s">
        <v>56716</v>
      </c>
    </row>
    <row r="3833" spans="1:12" s="37" customFormat="1" ht="11.25" x14ac:dyDescent="0.2">
      <c r="A3833" s="46" t="s">
        <v>13733</v>
      </c>
      <c r="B3833" s="46" t="s">
        <v>53159</v>
      </c>
      <c r="C3833" s="58" t="str">
        <f>"09744304"</f>
        <v>09744304</v>
      </c>
      <c r="D3833" s="58" t="str">
        <f>"09744304"</f>
        <v>09744304</v>
      </c>
      <c r="E3833" s="46" t="s">
        <v>13735</v>
      </c>
      <c r="F3833" s="46" t="s">
        <v>20446</v>
      </c>
      <c r="G3833" s="46" t="s">
        <v>50584</v>
      </c>
      <c r="H3833" s="48" t="s">
        <v>56716</v>
      </c>
      <c r="I3833" s="48" t="s">
        <v>50564</v>
      </c>
      <c r="J3833" s="48"/>
      <c r="K3833" s="50"/>
      <c r="L3833" s="48"/>
    </row>
    <row r="3834" spans="1:12" s="37" customFormat="1" ht="11.25" x14ac:dyDescent="0.2">
      <c r="A3834" s="46" t="s">
        <v>16599</v>
      </c>
      <c r="B3834" s="46" t="s">
        <v>53160</v>
      </c>
      <c r="C3834" s="58" t="str">
        <f>"2155014X"</f>
        <v>2155014X</v>
      </c>
      <c r="D3834" s="58" t="str">
        <f>"21550158"</f>
        <v>21550158</v>
      </c>
      <c r="E3834" s="46" t="s">
        <v>1278</v>
      </c>
      <c r="F3834" s="46" t="s">
        <v>17759</v>
      </c>
      <c r="G3834" s="46" t="s">
        <v>50584</v>
      </c>
      <c r="H3834" s="48" t="s">
        <v>56716</v>
      </c>
      <c r="I3834" s="48" t="s">
        <v>50564</v>
      </c>
      <c r="J3834" s="48" t="s">
        <v>56716</v>
      </c>
      <c r="K3834" s="50"/>
      <c r="L3834" s="48"/>
    </row>
    <row r="3835" spans="1:12" s="37" customFormat="1" ht="11.25" x14ac:dyDescent="0.2">
      <c r="A3835" s="46" t="s">
        <v>13980</v>
      </c>
      <c r="B3835" s="46" t="s">
        <v>53161</v>
      </c>
      <c r="C3835" s="58" t="str">
        <f>""</f>
        <v/>
      </c>
      <c r="D3835" s="58" t="str">
        <f>"19448171"</f>
        <v>19448171</v>
      </c>
      <c r="E3835" s="46" t="s">
        <v>13079</v>
      </c>
      <c r="F3835" s="46" t="s">
        <v>17759</v>
      </c>
      <c r="G3835" s="46" t="s">
        <v>50584</v>
      </c>
      <c r="H3835" s="48" t="s">
        <v>56716</v>
      </c>
      <c r="I3835" s="48" t="s">
        <v>50564</v>
      </c>
      <c r="J3835" s="48"/>
      <c r="K3835" s="50"/>
      <c r="L3835" s="48"/>
    </row>
    <row r="3836" spans="1:12" s="37" customFormat="1" ht="11.25" x14ac:dyDescent="0.2">
      <c r="A3836" s="46" t="s">
        <v>14895</v>
      </c>
      <c r="B3836" s="46" t="s">
        <v>55845</v>
      </c>
      <c r="C3836" s="58" t="str">
        <f>""</f>
        <v/>
      </c>
      <c r="D3836" s="58" t="str">
        <f>"09750185"</f>
        <v>09750185</v>
      </c>
      <c r="E3836" s="46" t="s">
        <v>14865</v>
      </c>
      <c r="F3836" s="46" t="s">
        <v>20446</v>
      </c>
      <c r="G3836" s="46" t="s">
        <v>50584</v>
      </c>
      <c r="H3836" s="48" t="s">
        <v>56716</v>
      </c>
      <c r="I3836" s="48" t="s">
        <v>50564</v>
      </c>
      <c r="J3836" s="48"/>
      <c r="K3836" s="50"/>
      <c r="L3836" s="48"/>
    </row>
    <row r="3837" spans="1:12" s="37" customFormat="1" ht="11.25" x14ac:dyDescent="0.2">
      <c r="A3837" s="45" t="s">
        <v>32874</v>
      </c>
      <c r="B3837" s="45" t="s">
        <v>32876</v>
      </c>
      <c r="C3837" s="51" t="s">
        <v>32878</v>
      </c>
      <c r="D3837" s="51" t="s">
        <v>32877</v>
      </c>
      <c r="E3837" s="45" t="s">
        <v>32879</v>
      </c>
      <c r="F3837" s="45" t="s">
        <v>17759</v>
      </c>
      <c r="G3837" s="45" t="s">
        <v>50584</v>
      </c>
      <c r="H3837" s="56"/>
      <c r="I3837" s="56" t="s">
        <v>50564</v>
      </c>
      <c r="J3837" s="56"/>
      <c r="K3837" s="50"/>
      <c r="L3837" s="56" t="s">
        <v>56716</v>
      </c>
    </row>
    <row r="3838" spans="1:12" s="37" customFormat="1" ht="11.25" x14ac:dyDescent="0.2">
      <c r="A3838" s="46" t="s">
        <v>15044</v>
      </c>
      <c r="B3838" s="46" t="s">
        <v>55846</v>
      </c>
      <c r="C3838" s="58" t="str">
        <f>"20087802"</f>
        <v>20087802</v>
      </c>
      <c r="D3838" s="58" t="str">
        <f>"20088213"</f>
        <v>20088213</v>
      </c>
      <c r="E3838" s="46" t="s">
        <v>10464</v>
      </c>
      <c r="F3838" s="46" t="s">
        <v>18232</v>
      </c>
      <c r="G3838" s="46" t="s">
        <v>50584</v>
      </c>
      <c r="H3838" s="48" t="s">
        <v>56716</v>
      </c>
      <c r="I3838" s="48" t="s">
        <v>50564</v>
      </c>
      <c r="J3838" s="48"/>
      <c r="K3838" s="50"/>
      <c r="L3838" s="48"/>
    </row>
    <row r="3839" spans="1:12" s="37" customFormat="1" ht="11.25" x14ac:dyDescent="0.2">
      <c r="A3839" s="45" t="s">
        <v>32883</v>
      </c>
      <c r="B3839" s="45" t="s">
        <v>32885</v>
      </c>
      <c r="C3839" s="51" t="s">
        <v>32887</v>
      </c>
      <c r="D3839" s="51" t="s">
        <v>32886</v>
      </c>
      <c r="E3839" s="45" t="s">
        <v>32888</v>
      </c>
      <c r="F3839" s="45" t="s">
        <v>50646</v>
      </c>
      <c r="G3839" s="45" t="s">
        <v>50584</v>
      </c>
      <c r="H3839" s="56"/>
      <c r="I3839" s="56" t="s">
        <v>50564</v>
      </c>
      <c r="J3839" s="56"/>
      <c r="K3839" s="50"/>
      <c r="L3839" s="56" t="s">
        <v>56716</v>
      </c>
    </row>
    <row r="3840" spans="1:12" s="37" customFormat="1" ht="11.25" x14ac:dyDescent="0.2">
      <c r="A3840" s="46" t="s">
        <v>12238</v>
      </c>
      <c r="B3840" s="46" t="s">
        <v>53162</v>
      </c>
      <c r="C3840" s="58" t="str">
        <f>"15551431"</f>
        <v>15551431</v>
      </c>
      <c r="D3840" s="58" t="str">
        <f>""</f>
        <v/>
      </c>
      <c r="E3840" s="46" t="s">
        <v>9879</v>
      </c>
      <c r="F3840" s="46" t="s">
        <v>17759</v>
      </c>
      <c r="G3840" s="46" t="s">
        <v>50584</v>
      </c>
      <c r="H3840" s="48" t="s">
        <v>56716</v>
      </c>
      <c r="I3840" s="48" t="s">
        <v>50564</v>
      </c>
      <c r="J3840" s="48"/>
      <c r="K3840" s="50"/>
      <c r="L3840" s="48"/>
    </row>
    <row r="3841" spans="1:12" s="37" customFormat="1" ht="11.25" x14ac:dyDescent="0.2">
      <c r="A3841" s="46" t="s">
        <v>15713</v>
      </c>
      <c r="B3841" s="46" t="s">
        <v>53163</v>
      </c>
      <c r="C3841" s="58" t="str">
        <f>"20902166"</f>
        <v>20902166</v>
      </c>
      <c r="D3841" s="58" t="str">
        <f>"20902174"</f>
        <v>20902174</v>
      </c>
      <c r="E3841" s="46" t="s">
        <v>1412</v>
      </c>
      <c r="F3841" s="46" t="s">
        <v>17759</v>
      </c>
      <c r="G3841" s="46" t="s">
        <v>50584</v>
      </c>
      <c r="H3841" s="48" t="s">
        <v>56716</v>
      </c>
      <c r="I3841" s="48" t="s">
        <v>50564</v>
      </c>
      <c r="J3841" s="48" t="s">
        <v>56716</v>
      </c>
      <c r="K3841" s="50"/>
      <c r="L3841" s="48"/>
    </row>
    <row r="3842" spans="1:12" s="37" customFormat="1" ht="11.25" x14ac:dyDescent="0.2">
      <c r="A3842" s="46" t="s">
        <v>7523</v>
      </c>
      <c r="B3842" s="46" t="s">
        <v>53164</v>
      </c>
      <c r="C3842" s="58" t="str">
        <f>"13651501"</f>
        <v>13651501</v>
      </c>
      <c r="D3842" s="58" t="str">
        <f>"14711788"</f>
        <v>14711788</v>
      </c>
      <c r="E3842" s="46" t="s">
        <v>291</v>
      </c>
      <c r="F3842" s="46" t="s">
        <v>50646</v>
      </c>
      <c r="G3842" s="46" t="s">
        <v>50584</v>
      </c>
      <c r="H3842" s="48" t="s">
        <v>56716</v>
      </c>
      <c r="I3842" s="48" t="s">
        <v>50564</v>
      </c>
      <c r="J3842" s="48" t="s">
        <v>56716</v>
      </c>
      <c r="K3842" s="50"/>
      <c r="L3842" s="48" t="s">
        <v>56716</v>
      </c>
    </row>
    <row r="3843" spans="1:12" s="37" customFormat="1" ht="11.25" x14ac:dyDescent="0.2">
      <c r="A3843" s="46" t="s">
        <v>1942</v>
      </c>
      <c r="B3843" s="46" t="s">
        <v>53165</v>
      </c>
      <c r="C3843" s="58" t="str">
        <f>"00912174"</f>
        <v>00912174</v>
      </c>
      <c r="D3843" s="58" t="str">
        <f>"15413527"</f>
        <v>15413527</v>
      </c>
      <c r="E3843" s="46" t="s">
        <v>1945</v>
      </c>
      <c r="F3843" s="46" t="s">
        <v>17759</v>
      </c>
      <c r="G3843" s="46" t="s">
        <v>50584</v>
      </c>
      <c r="H3843" s="48" t="s">
        <v>56716</v>
      </c>
      <c r="I3843" s="48" t="s">
        <v>50564</v>
      </c>
      <c r="J3843" s="48"/>
      <c r="K3843" s="50"/>
      <c r="L3843" s="48" t="s">
        <v>56716</v>
      </c>
    </row>
    <row r="3844" spans="1:12" s="37" customFormat="1" ht="11.25" x14ac:dyDescent="0.2">
      <c r="A3844" s="45" t="s">
        <v>32914</v>
      </c>
      <c r="B3844" s="45" t="s">
        <v>32916</v>
      </c>
      <c r="C3844" s="51" t="s">
        <v>32919</v>
      </c>
      <c r="D3844" s="51" t="s">
        <v>32918</v>
      </c>
      <c r="E3844" s="45" t="s">
        <v>17805</v>
      </c>
      <c r="F3844" s="45" t="s">
        <v>50646</v>
      </c>
      <c r="G3844" s="45" t="s">
        <v>50590</v>
      </c>
      <c r="H3844" s="56"/>
      <c r="I3844" s="56" t="s">
        <v>50564</v>
      </c>
      <c r="J3844" s="56"/>
      <c r="K3844" s="50"/>
      <c r="L3844" s="56" t="s">
        <v>56716</v>
      </c>
    </row>
    <row r="3845" spans="1:12" s="37" customFormat="1" ht="11.25" x14ac:dyDescent="0.2">
      <c r="A3845" s="46" t="s">
        <v>1985</v>
      </c>
      <c r="B3845" s="46" t="s">
        <v>53166</v>
      </c>
      <c r="C3845" s="58" t="str">
        <f>"01678760"</f>
        <v>01678760</v>
      </c>
      <c r="D3845" s="58" t="str">
        <f>"18727697"</f>
        <v>18727697</v>
      </c>
      <c r="E3845" s="46" t="s">
        <v>91</v>
      </c>
      <c r="F3845" s="46" t="s">
        <v>18001</v>
      </c>
      <c r="G3845" s="46" t="s">
        <v>50584</v>
      </c>
      <c r="H3845" s="48" t="s">
        <v>56716</v>
      </c>
      <c r="I3845" s="48" t="s">
        <v>50564</v>
      </c>
      <c r="J3845" s="48"/>
      <c r="K3845" s="50" t="s">
        <v>56716</v>
      </c>
      <c r="L3845" s="48" t="s">
        <v>56716</v>
      </c>
    </row>
    <row r="3846" spans="1:12" s="37" customFormat="1" ht="11.25" x14ac:dyDescent="0.2">
      <c r="A3846" s="45" t="s">
        <v>32926</v>
      </c>
      <c r="B3846" s="45" t="s">
        <v>32928</v>
      </c>
      <c r="C3846" s="51" t="s">
        <v>32931</v>
      </c>
      <c r="D3846" s="51" t="s">
        <v>32930</v>
      </c>
      <c r="E3846" s="45" t="s">
        <v>17790</v>
      </c>
      <c r="F3846" s="45" t="s">
        <v>18123</v>
      </c>
      <c r="G3846" s="45" t="s">
        <v>50594</v>
      </c>
      <c r="H3846" s="56"/>
      <c r="I3846" s="56" t="s">
        <v>50564</v>
      </c>
      <c r="J3846" s="56"/>
      <c r="K3846" s="50"/>
      <c r="L3846" s="56" t="s">
        <v>56716</v>
      </c>
    </row>
    <row r="3847" spans="1:12" s="37" customFormat="1" ht="11.25" x14ac:dyDescent="0.2">
      <c r="A3847" s="45" t="s">
        <v>32933</v>
      </c>
      <c r="B3847" s="45" t="s">
        <v>32935</v>
      </c>
      <c r="C3847" s="51" t="s">
        <v>32937</v>
      </c>
      <c r="D3847" s="51" t="s">
        <v>32936</v>
      </c>
      <c r="E3847" s="45" t="s">
        <v>27985</v>
      </c>
      <c r="F3847" s="45" t="s">
        <v>18130</v>
      </c>
      <c r="G3847" s="45" t="s">
        <v>50584</v>
      </c>
      <c r="H3847" s="56"/>
      <c r="I3847" s="56" t="s">
        <v>50564</v>
      </c>
      <c r="J3847" s="56"/>
      <c r="K3847" s="50"/>
      <c r="L3847" s="56" t="s">
        <v>56716</v>
      </c>
    </row>
    <row r="3848" spans="1:12" s="37" customFormat="1" ht="11.25" x14ac:dyDescent="0.2">
      <c r="A3848" s="46" t="s">
        <v>1991</v>
      </c>
      <c r="B3848" s="46" t="s">
        <v>53167</v>
      </c>
      <c r="C3848" s="58" t="str">
        <f>"09553002"</f>
        <v>09553002</v>
      </c>
      <c r="D3848" s="58" t="str">
        <f>"13623095"</f>
        <v>13623095</v>
      </c>
      <c r="E3848" s="46" t="s">
        <v>291</v>
      </c>
      <c r="F3848" s="46" t="s">
        <v>50646</v>
      </c>
      <c r="G3848" s="46" t="s">
        <v>50584</v>
      </c>
      <c r="H3848" s="48" t="s">
        <v>56716</v>
      </c>
      <c r="I3848" s="48" t="s">
        <v>50564</v>
      </c>
      <c r="J3848" s="48" t="s">
        <v>56716</v>
      </c>
      <c r="K3848" s="50"/>
      <c r="L3848" s="48" t="s">
        <v>56716</v>
      </c>
    </row>
    <row r="3849" spans="1:12" s="37" customFormat="1" ht="11.25" x14ac:dyDescent="0.2">
      <c r="A3849" s="46" t="s">
        <v>2071</v>
      </c>
      <c r="B3849" s="46" t="s">
        <v>53168</v>
      </c>
      <c r="C3849" s="58" t="str">
        <f>"03603016"</f>
        <v>03603016</v>
      </c>
      <c r="D3849" s="58" t="str">
        <f>"1879355X"</f>
        <v>1879355X</v>
      </c>
      <c r="E3849" s="46" t="s">
        <v>272</v>
      </c>
      <c r="F3849" s="46" t="s">
        <v>17759</v>
      </c>
      <c r="G3849" s="46" t="s">
        <v>50584</v>
      </c>
      <c r="H3849" s="48" t="s">
        <v>56716</v>
      </c>
      <c r="I3849" s="48" t="s">
        <v>50564</v>
      </c>
      <c r="J3849" s="48" t="s">
        <v>56716</v>
      </c>
      <c r="K3849" s="50" t="s">
        <v>56716</v>
      </c>
      <c r="L3849" s="48" t="s">
        <v>56716</v>
      </c>
    </row>
    <row r="3850" spans="1:12" s="37" customFormat="1" ht="11.25" x14ac:dyDescent="0.2">
      <c r="A3850" s="46" t="s">
        <v>10024</v>
      </c>
      <c r="B3850" s="46" t="s">
        <v>56147</v>
      </c>
      <c r="C3850" s="58" t="str">
        <f>""</f>
        <v/>
      </c>
      <c r="D3850" s="58" t="str">
        <f>"23454229 "</f>
        <v xml:space="preserve">23454229 </v>
      </c>
      <c r="E3850" s="46" t="s">
        <v>10027</v>
      </c>
      <c r="F3850" s="46" t="s">
        <v>18232</v>
      </c>
      <c r="G3850" s="46" t="s">
        <v>50584</v>
      </c>
      <c r="H3850" s="48" t="s">
        <v>56716</v>
      </c>
      <c r="I3850" s="48" t="s">
        <v>50564</v>
      </c>
      <c r="J3850" s="48"/>
      <c r="K3850" s="50"/>
      <c r="L3850" s="48"/>
    </row>
    <row r="3851" spans="1:12" s="37" customFormat="1" ht="11.25" x14ac:dyDescent="0.2">
      <c r="A3851" s="45" t="s">
        <v>32949</v>
      </c>
      <c r="B3851" s="45" t="s">
        <v>32951</v>
      </c>
      <c r="C3851" s="51" t="s">
        <v>32953</v>
      </c>
      <c r="D3851" s="51" t="s">
        <v>32952</v>
      </c>
      <c r="E3851" s="45" t="s">
        <v>17758</v>
      </c>
      <c r="F3851" s="45" t="s">
        <v>50646</v>
      </c>
      <c r="G3851" s="45" t="s">
        <v>50592</v>
      </c>
      <c r="H3851" s="56"/>
      <c r="I3851" s="56" t="s">
        <v>50564</v>
      </c>
      <c r="J3851" s="56"/>
      <c r="K3851" s="50"/>
      <c r="L3851" s="56" t="s">
        <v>56716</v>
      </c>
    </row>
    <row r="3852" spans="1:12" s="37" customFormat="1" ht="11.25" x14ac:dyDescent="0.2">
      <c r="A3852" s="46" t="s">
        <v>16196</v>
      </c>
      <c r="B3852" s="46" t="s">
        <v>55847</v>
      </c>
      <c r="C3852" s="58" t="str">
        <f>"22774343"</f>
        <v>22774343</v>
      </c>
      <c r="D3852" s="58" t="str">
        <f>"22293566"</f>
        <v>22293566</v>
      </c>
      <c r="E3852" s="46" t="s">
        <v>16196</v>
      </c>
      <c r="F3852" s="46" t="s">
        <v>20446</v>
      </c>
      <c r="G3852" s="46" t="s">
        <v>50584</v>
      </c>
      <c r="H3852" s="48" t="s">
        <v>56716</v>
      </c>
      <c r="I3852" s="48" t="s">
        <v>50564</v>
      </c>
      <c r="J3852" s="48"/>
      <c r="K3852" s="50"/>
      <c r="L3852" s="48"/>
    </row>
    <row r="3853" spans="1:12" s="37" customFormat="1" ht="11.25" x14ac:dyDescent="0.2">
      <c r="A3853" s="46" t="s">
        <v>14635</v>
      </c>
      <c r="B3853" s="46" t="s">
        <v>53170</v>
      </c>
      <c r="C3853" s="58" t="str">
        <f>""</f>
        <v/>
      </c>
      <c r="D3853" s="58" t="str">
        <f>"09757538"</f>
        <v>09757538</v>
      </c>
      <c r="E3853" s="46" t="s">
        <v>14637</v>
      </c>
      <c r="F3853" s="46" t="s">
        <v>20446</v>
      </c>
      <c r="G3853" s="46" t="s">
        <v>50584</v>
      </c>
      <c r="H3853" s="48" t="s">
        <v>56716</v>
      </c>
      <c r="I3853" s="48" t="s">
        <v>50564</v>
      </c>
      <c r="J3853" s="48"/>
      <c r="K3853" s="50"/>
      <c r="L3853" s="48"/>
    </row>
    <row r="3854" spans="1:12" s="37" customFormat="1" ht="11.25" x14ac:dyDescent="0.2">
      <c r="A3854" s="46" t="s">
        <v>12843</v>
      </c>
      <c r="B3854" s="46" t="s">
        <v>53171</v>
      </c>
      <c r="C3854" s="58" t="str">
        <f>"17561841"</f>
        <v>17561841</v>
      </c>
      <c r="D3854" s="58" t="str">
        <f>"1756185X"</f>
        <v>1756185X</v>
      </c>
      <c r="E3854" s="46" t="s">
        <v>296</v>
      </c>
      <c r="F3854" s="46" t="s">
        <v>20082</v>
      </c>
      <c r="G3854" s="46" t="s">
        <v>50584</v>
      </c>
      <c r="H3854" s="48" t="s">
        <v>56716</v>
      </c>
      <c r="I3854" s="48" t="s">
        <v>50564</v>
      </c>
      <c r="J3854" s="48" t="s">
        <v>56716</v>
      </c>
      <c r="K3854" s="50" t="s">
        <v>56716</v>
      </c>
      <c r="L3854" s="48" t="s">
        <v>56716</v>
      </c>
    </row>
    <row r="3855" spans="1:12" s="37" customFormat="1" ht="11.25" x14ac:dyDescent="0.2">
      <c r="A3855" s="46" t="s">
        <v>15145</v>
      </c>
      <c r="B3855" s="46" t="s">
        <v>53172</v>
      </c>
      <c r="C3855" s="58" t="str">
        <f>"16879260"</f>
        <v>16879260</v>
      </c>
      <c r="D3855" s="58" t="str">
        <f>"16879279"</f>
        <v>16879279</v>
      </c>
      <c r="E3855" s="46" t="s">
        <v>1412</v>
      </c>
      <c r="F3855" s="46" t="s">
        <v>17759</v>
      </c>
      <c r="G3855" s="46" t="s">
        <v>50584</v>
      </c>
      <c r="H3855" s="48" t="s">
        <v>56716</v>
      </c>
      <c r="I3855" s="48" t="s">
        <v>50564</v>
      </c>
      <c r="J3855" s="48" t="s">
        <v>56716</v>
      </c>
      <c r="K3855" s="50"/>
      <c r="L3855" s="48"/>
    </row>
    <row r="3856" spans="1:12" s="37" customFormat="1" ht="11.25" x14ac:dyDescent="0.2">
      <c r="A3856" s="46" t="s">
        <v>5357</v>
      </c>
      <c r="B3856" s="46" t="s">
        <v>53173</v>
      </c>
      <c r="C3856" s="58" t="str">
        <f>"09246479"</f>
        <v>09246479</v>
      </c>
      <c r="D3856" s="58" t="str">
        <f>"18786847"</f>
        <v>18786847</v>
      </c>
      <c r="E3856" s="46" t="s">
        <v>920</v>
      </c>
      <c r="F3856" s="46" t="s">
        <v>18001</v>
      </c>
      <c r="G3856" s="46" t="s">
        <v>50584</v>
      </c>
      <c r="H3856" s="48" t="s">
        <v>56716</v>
      </c>
      <c r="I3856" s="48" t="s">
        <v>50564</v>
      </c>
      <c r="J3856" s="48"/>
      <c r="K3856" s="50"/>
      <c r="L3856" s="48" t="s">
        <v>56716</v>
      </c>
    </row>
    <row r="3857" spans="1:12" s="37" customFormat="1" ht="11.25" x14ac:dyDescent="0.2">
      <c r="A3857" s="45" t="s">
        <v>32972</v>
      </c>
      <c r="B3857" s="45" t="s">
        <v>32974</v>
      </c>
      <c r="C3857" s="51" t="s">
        <v>32977</v>
      </c>
      <c r="D3857" s="51" t="s">
        <v>32976</v>
      </c>
      <c r="E3857" s="45" t="s">
        <v>291</v>
      </c>
      <c r="F3857" s="45" t="s">
        <v>50646</v>
      </c>
      <c r="G3857" s="45" t="s">
        <v>50584</v>
      </c>
      <c r="H3857" s="56"/>
      <c r="I3857" s="56" t="s">
        <v>50564</v>
      </c>
      <c r="J3857" s="56"/>
      <c r="K3857" s="50"/>
      <c r="L3857" s="56" t="s">
        <v>56716</v>
      </c>
    </row>
    <row r="3858" spans="1:12" s="37" customFormat="1" ht="11.25" x14ac:dyDescent="0.2">
      <c r="A3858" s="46" t="s">
        <v>16252</v>
      </c>
      <c r="B3858" s="46" t="s">
        <v>53174</v>
      </c>
      <c r="C3858" s="58" t="str">
        <f>"22114599"</f>
        <v>22114599</v>
      </c>
      <c r="D3858" s="58" t="str">
        <f>"22114599"</f>
        <v>22114599</v>
      </c>
      <c r="E3858" s="46" t="s">
        <v>56212</v>
      </c>
      <c r="F3858" s="46" t="s">
        <v>18001</v>
      </c>
      <c r="G3858" s="46" t="s">
        <v>50584</v>
      </c>
      <c r="H3858" s="48" t="s">
        <v>56716</v>
      </c>
      <c r="I3858" s="48" t="s">
        <v>50564</v>
      </c>
      <c r="J3858" s="48" t="s">
        <v>56716</v>
      </c>
      <c r="K3858" s="50"/>
      <c r="L3858" s="48"/>
    </row>
    <row r="3859" spans="1:12" s="37" customFormat="1" ht="11.25" x14ac:dyDescent="0.2">
      <c r="A3859" s="46" t="s">
        <v>9468</v>
      </c>
      <c r="B3859" s="46" t="s">
        <v>53175</v>
      </c>
      <c r="C3859" s="58" t="str">
        <f>"1526484X"</f>
        <v>1526484X</v>
      </c>
      <c r="D3859" s="58" t="str">
        <f>"15432742"</f>
        <v>15432742</v>
      </c>
      <c r="E3859" s="46" t="s">
        <v>6280</v>
      </c>
      <c r="F3859" s="46" t="s">
        <v>17759</v>
      </c>
      <c r="G3859" s="46" t="s">
        <v>50584</v>
      </c>
      <c r="H3859" s="48" t="s">
        <v>56716</v>
      </c>
      <c r="I3859" s="48" t="s">
        <v>50564</v>
      </c>
      <c r="J3859" s="48"/>
      <c r="K3859" s="50"/>
      <c r="L3859" s="48" t="s">
        <v>56716</v>
      </c>
    </row>
    <row r="3860" spans="1:12" s="37" customFormat="1" ht="11.25" x14ac:dyDescent="0.2">
      <c r="A3860" s="45" t="s">
        <v>32985</v>
      </c>
      <c r="B3860" s="45" t="s">
        <v>32987</v>
      </c>
      <c r="C3860" s="51" t="s">
        <v>32989</v>
      </c>
      <c r="D3860" s="51" t="s">
        <v>32988</v>
      </c>
      <c r="E3860" s="45" t="s">
        <v>19244</v>
      </c>
      <c r="F3860" s="45" t="s">
        <v>18158</v>
      </c>
      <c r="G3860" s="45" t="s">
        <v>50584</v>
      </c>
      <c r="H3860" s="56"/>
      <c r="I3860" s="56" t="s">
        <v>50564</v>
      </c>
      <c r="J3860" s="56"/>
      <c r="K3860" s="50"/>
      <c r="L3860" s="56" t="s">
        <v>56716</v>
      </c>
    </row>
    <row r="3861" spans="1:12" s="37" customFormat="1" ht="11.25" x14ac:dyDescent="0.2">
      <c r="A3861" s="46" t="s">
        <v>7421</v>
      </c>
      <c r="B3861" s="46" t="s">
        <v>53176</v>
      </c>
      <c r="C3861" s="58" t="str">
        <f>"0943917X"</f>
        <v>0943917X</v>
      </c>
      <c r="D3861" s="58" t="str">
        <f>""</f>
        <v/>
      </c>
      <c r="E3861" s="46" t="s">
        <v>412</v>
      </c>
      <c r="F3861" s="46" t="s">
        <v>18158</v>
      </c>
      <c r="G3861" s="46" t="s">
        <v>50584</v>
      </c>
      <c r="H3861" s="48" t="s">
        <v>56716</v>
      </c>
      <c r="I3861" s="48" t="s">
        <v>50564</v>
      </c>
      <c r="J3861" s="48"/>
      <c r="K3861" s="50"/>
      <c r="L3861" s="48"/>
    </row>
    <row r="3862" spans="1:12" s="37" customFormat="1" ht="11.25" x14ac:dyDescent="0.2">
      <c r="A3862" s="45" t="s">
        <v>32991</v>
      </c>
      <c r="B3862" s="45" t="s">
        <v>32993</v>
      </c>
      <c r="C3862" s="51" t="s">
        <v>32995</v>
      </c>
      <c r="D3862" s="51" t="s">
        <v>32994</v>
      </c>
      <c r="E3862" s="45" t="s">
        <v>32996</v>
      </c>
      <c r="F3862" s="45" t="s">
        <v>17759</v>
      </c>
      <c r="G3862" s="45" t="s">
        <v>50584</v>
      </c>
      <c r="H3862" s="56"/>
      <c r="I3862" s="56" t="s">
        <v>50564</v>
      </c>
      <c r="J3862" s="56"/>
      <c r="K3862" s="50"/>
      <c r="L3862" s="56" t="s">
        <v>56716</v>
      </c>
    </row>
    <row r="3863" spans="1:12" s="37" customFormat="1" ht="11.25" x14ac:dyDescent="0.2">
      <c r="A3863" s="46" t="s">
        <v>5088</v>
      </c>
      <c r="B3863" s="46" t="s">
        <v>53177</v>
      </c>
      <c r="C3863" s="58" t="str">
        <f>"09564624"</f>
        <v>09564624</v>
      </c>
      <c r="D3863" s="58" t="str">
        <f>"17581052"</f>
        <v>17581052</v>
      </c>
      <c r="E3863" s="46" t="s">
        <v>97</v>
      </c>
      <c r="F3863" s="46" t="s">
        <v>50646</v>
      </c>
      <c r="G3863" s="46" t="s">
        <v>50584</v>
      </c>
      <c r="H3863" s="48" t="s">
        <v>56716</v>
      </c>
      <c r="I3863" s="48" t="s">
        <v>50564</v>
      </c>
      <c r="J3863" s="48" t="s">
        <v>56716</v>
      </c>
      <c r="K3863" s="50"/>
      <c r="L3863" s="48" t="s">
        <v>56716</v>
      </c>
    </row>
    <row r="3864" spans="1:12" s="37" customFormat="1" ht="11.25" x14ac:dyDescent="0.2">
      <c r="A3864" s="46" t="s">
        <v>11044</v>
      </c>
      <c r="B3864" s="46" t="s">
        <v>53178</v>
      </c>
      <c r="C3864" s="58" t="str">
        <f>"17474930"</f>
        <v>17474930</v>
      </c>
      <c r="D3864" s="58" t="str">
        <f>"17474949"</f>
        <v>17474949</v>
      </c>
      <c r="E3864" s="46" t="s">
        <v>35</v>
      </c>
      <c r="F3864" s="46" t="s">
        <v>50646</v>
      </c>
      <c r="G3864" s="46" t="s">
        <v>50584</v>
      </c>
      <c r="H3864" s="48" t="s">
        <v>56716</v>
      </c>
      <c r="I3864" s="48" t="s">
        <v>50564</v>
      </c>
      <c r="J3864" s="48" t="s">
        <v>56716</v>
      </c>
      <c r="K3864" s="50" t="s">
        <v>56716</v>
      </c>
      <c r="L3864" s="48" t="s">
        <v>56716</v>
      </c>
    </row>
    <row r="3865" spans="1:12" s="37" customFormat="1" ht="11.25" x14ac:dyDescent="0.2">
      <c r="A3865" s="46" t="s">
        <v>10082</v>
      </c>
      <c r="B3865" s="46" t="s">
        <v>53179</v>
      </c>
      <c r="C3865" s="58" t="str">
        <f>"17439191"</f>
        <v>17439191</v>
      </c>
      <c r="D3865" s="58" t="str">
        <f>"17439159"</f>
        <v>17439159</v>
      </c>
      <c r="E3865" s="46" t="s">
        <v>155</v>
      </c>
      <c r="F3865" s="46" t="s">
        <v>50646</v>
      </c>
      <c r="G3865" s="46" t="s">
        <v>50584</v>
      </c>
      <c r="H3865" s="48" t="s">
        <v>56716</v>
      </c>
      <c r="I3865" s="48" t="s">
        <v>50564</v>
      </c>
      <c r="J3865" s="48" t="s">
        <v>56716</v>
      </c>
      <c r="K3865" s="50" t="s">
        <v>56716</v>
      </c>
      <c r="L3865" s="48" t="s">
        <v>56716</v>
      </c>
    </row>
    <row r="3866" spans="1:12" s="37" customFormat="1" ht="11.25" x14ac:dyDescent="0.2">
      <c r="A3866" s="46" t="s">
        <v>14532</v>
      </c>
      <c r="B3866" s="46" t="s">
        <v>53180</v>
      </c>
      <c r="C3866" s="58" t="str">
        <f>"22102612"</f>
        <v>22102612</v>
      </c>
      <c r="D3866" s="58" t="str">
        <f>""</f>
        <v/>
      </c>
      <c r="E3866" s="46" t="s">
        <v>155</v>
      </c>
      <c r="F3866" s="46" t="s">
        <v>50646</v>
      </c>
      <c r="G3866" s="46" t="s">
        <v>50584</v>
      </c>
      <c r="H3866" s="48" t="s">
        <v>56716</v>
      </c>
      <c r="I3866" s="48" t="s">
        <v>50564</v>
      </c>
      <c r="J3866" s="48" t="s">
        <v>56716</v>
      </c>
      <c r="K3866" s="50" t="s">
        <v>56716</v>
      </c>
      <c r="L3866" s="48"/>
    </row>
    <row r="3867" spans="1:12" s="37" customFormat="1" ht="11.25" x14ac:dyDescent="0.2">
      <c r="A3867" s="45" t="s">
        <v>33013</v>
      </c>
      <c r="B3867" s="45" t="s">
        <v>33015</v>
      </c>
      <c r="C3867" s="51" t="s">
        <v>33017</v>
      </c>
      <c r="D3867" s="51" t="s">
        <v>33016</v>
      </c>
      <c r="E3867" s="45" t="s">
        <v>26009</v>
      </c>
      <c r="F3867" s="45" t="s">
        <v>17759</v>
      </c>
      <c r="G3867" s="45" t="s">
        <v>50584</v>
      </c>
      <c r="H3867" s="56"/>
      <c r="I3867" s="56" t="s">
        <v>50564</v>
      </c>
      <c r="J3867" s="56"/>
      <c r="K3867" s="50"/>
      <c r="L3867" s="56" t="s">
        <v>56716</v>
      </c>
    </row>
    <row r="3868" spans="1:12" s="37" customFormat="1" ht="11.25" x14ac:dyDescent="0.2">
      <c r="A3868" s="46" t="s">
        <v>6481</v>
      </c>
      <c r="B3868" s="46" t="s">
        <v>53181</v>
      </c>
      <c r="C3868" s="58" t="str">
        <f>"10668969"</f>
        <v>10668969</v>
      </c>
      <c r="D3868" s="58" t="str">
        <f>"19402465"</f>
        <v>19402465</v>
      </c>
      <c r="E3868" s="46" t="s">
        <v>493</v>
      </c>
      <c r="F3868" s="46" t="s">
        <v>17759</v>
      </c>
      <c r="G3868" s="46" t="s">
        <v>50584</v>
      </c>
      <c r="H3868" s="48" t="s">
        <v>56716</v>
      </c>
      <c r="I3868" s="48" t="s">
        <v>50564</v>
      </c>
      <c r="J3868" s="48" t="s">
        <v>56716</v>
      </c>
      <c r="K3868" s="50"/>
      <c r="L3868" s="48" t="s">
        <v>56716</v>
      </c>
    </row>
    <row r="3869" spans="1:12" s="37" customFormat="1" ht="11.25" x14ac:dyDescent="0.2">
      <c r="A3869" s="46" t="s">
        <v>8371</v>
      </c>
      <c r="B3869" s="46" t="s">
        <v>53182</v>
      </c>
      <c r="C3869" s="58" t="str">
        <f>"14665026"</f>
        <v>14665026</v>
      </c>
      <c r="D3869" s="58" t="str">
        <f>""</f>
        <v/>
      </c>
      <c r="E3869" s="46" t="s">
        <v>2341</v>
      </c>
      <c r="F3869" s="46" t="s">
        <v>50646</v>
      </c>
      <c r="G3869" s="46" t="s">
        <v>50584</v>
      </c>
      <c r="H3869" s="48" t="s">
        <v>56716</v>
      </c>
      <c r="I3869" s="48" t="s">
        <v>50564</v>
      </c>
      <c r="J3869" s="48" t="s">
        <v>56716</v>
      </c>
      <c r="K3869" s="50"/>
      <c r="L3869" s="48" t="s">
        <v>56716</v>
      </c>
    </row>
    <row r="3870" spans="1:12" s="37" customFormat="1" ht="11.25" x14ac:dyDescent="0.2">
      <c r="A3870" s="46" t="s">
        <v>4177</v>
      </c>
      <c r="B3870" s="46" t="s">
        <v>53183</v>
      </c>
      <c r="C3870" s="58" t="str">
        <f>"02664623"</f>
        <v>02664623</v>
      </c>
      <c r="D3870" s="58" t="str">
        <f>"14716348"</f>
        <v>14716348</v>
      </c>
      <c r="E3870" s="46" t="s">
        <v>724</v>
      </c>
      <c r="F3870" s="46" t="s">
        <v>50646</v>
      </c>
      <c r="G3870" s="46" t="s">
        <v>50584</v>
      </c>
      <c r="H3870" s="48" t="s">
        <v>56716</v>
      </c>
      <c r="I3870" s="48" t="s">
        <v>50564</v>
      </c>
      <c r="J3870" s="48"/>
      <c r="K3870" s="50"/>
      <c r="L3870" s="48" t="s">
        <v>56716</v>
      </c>
    </row>
    <row r="3871" spans="1:12" s="37" customFormat="1" ht="11.25" x14ac:dyDescent="0.2">
      <c r="A3871" s="46" t="s">
        <v>12766</v>
      </c>
      <c r="B3871" s="46" t="s">
        <v>53184</v>
      </c>
      <c r="C3871" s="58" t="str">
        <f>"16876415"</f>
        <v>16876415</v>
      </c>
      <c r="D3871" s="58" t="str">
        <f>"16876423"</f>
        <v>16876423</v>
      </c>
      <c r="E3871" s="46" t="s">
        <v>1412</v>
      </c>
      <c r="F3871" s="46" t="s">
        <v>17759</v>
      </c>
      <c r="G3871" s="46" t="s">
        <v>50584</v>
      </c>
      <c r="H3871" s="48" t="s">
        <v>56716</v>
      </c>
      <c r="I3871" s="48" t="s">
        <v>50564</v>
      </c>
      <c r="J3871" s="48" t="s">
        <v>56716</v>
      </c>
      <c r="K3871" s="50"/>
      <c r="L3871" s="48"/>
    </row>
    <row r="3872" spans="1:12" s="37" customFormat="1" ht="11.25" x14ac:dyDescent="0.2">
      <c r="A3872" s="46" t="s">
        <v>15036</v>
      </c>
      <c r="B3872" s="46" t="s">
        <v>55848</v>
      </c>
      <c r="C3872" s="58" t="str">
        <f>""</f>
        <v/>
      </c>
      <c r="D3872" s="58" t="str">
        <f>"09755160"</f>
        <v>09755160</v>
      </c>
      <c r="E3872" s="46" t="s">
        <v>15036</v>
      </c>
      <c r="F3872" s="46" t="s">
        <v>20446</v>
      </c>
      <c r="G3872" s="46" t="s">
        <v>50584</v>
      </c>
      <c r="H3872" s="48" t="s">
        <v>56716</v>
      </c>
      <c r="I3872" s="48" t="s">
        <v>50564</v>
      </c>
      <c r="J3872" s="48"/>
      <c r="K3872" s="50"/>
      <c r="L3872" s="48"/>
    </row>
    <row r="3873" spans="1:12" s="37" customFormat="1" ht="11.25" x14ac:dyDescent="0.2">
      <c r="A3873" s="46" t="s">
        <v>7300</v>
      </c>
      <c r="B3873" s="46" t="s">
        <v>53185</v>
      </c>
      <c r="C3873" s="58" t="str">
        <f>"10915818"</f>
        <v>10915818</v>
      </c>
      <c r="D3873" s="58" t="str">
        <f>"1092874X"</f>
        <v>1092874X</v>
      </c>
      <c r="E3873" s="46" t="s">
        <v>493</v>
      </c>
      <c r="F3873" s="46" t="s">
        <v>17759</v>
      </c>
      <c r="G3873" s="46" t="s">
        <v>50584</v>
      </c>
      <c r="H3873" s="48" t="s">
        <v>56716</v>
      </c>
      <c r="I3873" s="48" t="s">
        <v>50564</v>
      </c>
      <c r="J3873" s="48"/>
      <c r="K3873" s="50"/>
      <c r="L3873" s="48" t="s">
        <v>56716</v>
      </c>
    </row>
    <row r="3874" spans="1:12" s="37" customFormat="1" ht="11.25" x14ac:dyDescent="0.2">
      <c r="A3874" s="46" t="s">
        <v>14140</v>
      </c>
      <c r="B3874" s="46" t="s">
        <v>53186</v>
      </c>
      <c r="C3874" s="58" t="str">
        <f>"18163319"</f>
        <v>18163319</v>
      </c>
      <c r="D3874" s="58" t="str">
        <f>"1818779X"</f>
        <v>1818779X</v>
      </c>
      <c r="E3874" s="46" t="s">
        <v>12455</v>
      </c>
      <c r="F3874" s="46" t="s">
        <v>34138</v>
      </c>
      <c r="G3874" s="46" t="s">
        <v>50584</v>
      </c>
      <c r="H3874" s="48" t="s">
        <v>56716</v>
      </c>
      <c r="I3874" s="48" t="s">
        <v>50564</v>
      </c>
      <c r="J3874" s="48"/>
      <c r="K3874" s="50"/>
      <c r="L3874" s="48"/>
    </row>
    <row r="3875" spans="1:12" s="37" customFormat="1" ht="11.25" x14ac:dyDescent="0.2">
      <c r="A3875" s="46" t="s">
        <v>7641</v>
      </c>
      <c r="B3875" s="46" t="s">
        <v>53187</v>
      </c>
      <c r="C3875" s="58" t="str">
        <f>"10273719"</f>
        <v>10273719</v>
      </c>
      <c r="D3875" s="58" t="str">
        <f>""</f>
        <v/>
      </c>
      <c r="E3875" s="46" t="s">
        <v>7643</v>
      </c>
      <c r="F3875" s="46" t="s">
        <v>20359</v>
      </c>
      <c r="G3875" s="46" t="s">
        <v>50584</v>
      </c>
      <c r="H3875" s="48" t="s">
        <v>56716</v>
      </c>
      <c r="I3875" s="48" t="s">
        <v>50564</v>
      </c>
      <c r="J3875" s="48" t="s">
        <v>56716</v>
      </c>
      <c r="K3875" s="50"/>
      <c r="L3875" s="48" t="s">
        <v>56716</v>
      </c>
    </row>
    <row r="3876" spans="1:12" s="37" customFormat="1" ht="11.25" x14ac:dyDescent="0.2">
      <c r="A3876" s="46" t="s">
        <v>6453</v>
      </c>
      <c r="B3876" s="46" t="s">
        <v>53188</v>
      </c>
      <c r="C3876" s="58" t="str">
        <f>"09198172"</f>
        <v>09198172</v>
      </c>
      <c r="D3876" s="58" t="str">
        <f>"14422042"</f>
        <v>14422042</v>
      </c>
      <c r="E3876" s="46" t="s">
        <v>296</v>
      </c>
      <c r="F3876" s="46" t="s">
        <v>20082</v>
      </c>
      <c r="G3876" s="46" t="s">
        <v>50584</v>
      </c>
      <c r="H3876" s="48" t="s">
        <v>56716</v>
      </c>
      <c r="I3876" s="48" t="s">
        <v>50564</v>
      </c>
      <c r="J3876" s="48" t="s">
        <v>56716</v>
      </c>
      <c r="K3876" s="50" t="s">
        <v>56716</v>
      </c>
      <c r="L3876" s="48" t="s">
        <v>56716</v>
      </c>
    </row>
    <row r="3877" spans="1:12" s="37" customFormat="1" ht="11.25" x14ac:dyDescent="0.2">
      <c r="A3877" s="46" t="s">
        <v>16304</v>
      </c>
      <c r="B3877" s="46" t="s">
        <v>53189</v>
      </c>
      <c r="C3877" s="58" t="str">
        <f>"20902824"</f>
        <v>20902824</v>
      </c>
      <c r="D3877" s="58" t="str">
        <f>"20902832"</f>
        <v>20902832</v>
      </c>
      <c r="E3877" s="46" t="s">
        <v>1412</v>
      </c>
      <c r="F3877" s="46" t="s">
        <v>17759</v>
      </c>
      <c r="G3877" s="46" t="s">
        <v>50584</v>
      </c>
      <c r="H3877" s="48" t="s">
        <v>56716</v>
      </c>
      <c r="I3877" s="48" t="s">
        <v>50564</v>
      </c>
      <c r="J3877" s="48" t="s">
        <v>56716</v>
      </c>
      <c r="K3877" s="50"/>
      <c r="L3877" s="48"/>
    </row>
    <row r="3878" spans="1:12" s="37" customFormat="1" ht="11.25" x14ac:dyDescent="0.2">
      <c r="A3878" s="46" t="s">
        <v>17109</v>
      </c>
      <c r="B3878" s="46" t="s">
        <v>53190</v>
      </c>
      <c r="C3878" s="58" t="str">
        <f>"23144599"</f>
        <v>23144599</v>
      </c>
      <c r="D3878" s="58" t="str">
        <f>""</f>
        <v/>
      </c>
      <c r="E3878" s="46" t="s">
        <v>17111</v>
      </c>
      <c r="F3878" s="46" t="s">
        <v>21182</v>
      </c>
      <c r="G3878" s="46" t="s">
        <v>50584</v>
      </c>
      <c r="H3878" s="48" t="s">
        <v>56716</v>
      </c>
      <c r="I3878" s="48" t="s">
        <v>50564</v>
      </c>
      <c r="J3878" s="48"/>
      <c r="K3878" s="50"/>
      <c r="L3878" s="48"/>
    </row>
    <row r="3879" spans="1:12" s="37" customFormat="1" ht="11.25" x14ac:dyDescent="0.2">
      <c r="A3879" s="46" t="s">
        <v>10969</v>
      </c>
      <c r="B3879" s="46" t="s">
        <v>53191</v>
      </c>
      <c r="C3879" s="58" t="str">
        <f>"18164900"</f>
        <v>18164900</v>
      </c>
      <c r="D3879" s="58" t="str">
        <f>""</f>
        <v/>
      </c>
      <c r="E3879" s="46" t="s">
        <v>10959</v>
      </c>
      <c r="F3879" s="46" t="s">
        <v>34138</v>
      </c>
      <c r="G3879" s="46" t="s">
        <v>50584</v>
      </c>
      <c r="H3879" s="48" t="s">
        <v>56716</v>
      </c>
      <c r="I3879" s="48" t="s">
        <v>50564</v>
      </c>
      <c r="J3879" s="48"/>
      <c r="K3879" s="50"/>
      <c r="L3879" s="48"/>
    </row>
    <row r="3880" spans="1:12" s="37" customFormat="1" ht="11.25" x14ac:dyDescent="0.2">
      <c r="A3880" s="46" t="s">
        <v>14130</v>
      </c>
      <c r="B3880" s="46" t="s">
        <v>53192</v>
      </c>
      <c r="C3880" s="58" t="str">
        <f>""</f>
        <v/>
      </c>
      <c r="D3880" s="58" t="str">
        <f>"11791411"</f>
        <v>11791411</v>
      </c>
      <c r="E3880" s="46" t="s">
        <v>11078</v>
      </c>
      <c r="F3880" s="46" t="s">
        <v>19483</v>
      </c>
      <c r="G3880" s="46" t="s">
        <v>50584</v>
      </c>
      <c r="H3880" s="48" t="s">
        <v>56716</v>
      </c>
      <c r="I3880" s="48" t="s">
        <v>50564</v>
      </c>
      <c r="J3880" s="48"/>
      <c r="K3880" s="50"/>
      <c r="L3880" s="48"/>
    </row>
    <row r="3881" spans="1:12" s="37" customFormat="1" ht="11.25" x14ac:dyDescent="0.2">
      <c r="A3881" s="46" t="s">
        <v>56384</v>
      </c>
      <c r="B3881" s="46" t="s">
        <v>56385</v>
      </c>
      <c r="C3881" s="58" t="str">
        <f>""</f>
        <v/>
      </c>
      <c r="D3881" s="58" t="str">
        <f>"23304456"</f>
        <v>23304456</v>
      </c>
      <c r="E3881" s="46" t="s">
        <v>56386</v>
      </c>
      <c r="F3881" s="46" t="s">
        <v>17759</v>
      </c>
      <c r="G3881" s="46" t="s">
        <v>50584</v>
      </c>
      <c r="H3881" s="48" t="s">
        <v>56716</v>
      </c>
      <c r="I3881" s="48" t="s">
        <v>50564</v>
      </c>
      <c r="J3881" s="48"/>
      <c r="K3881" s="50"/>
      <c r="L3881" s="48"/>
    </row>
    <row r="3882" spans="1:12" s="37" customFormat="1" ht="11.25" x14ac:dyDescent="0.2">
      <c r="A3882" s="46" t="s">
        <v>13088</v>
      </c>
      <c r="B3882" s="46" t="s">
        <v>53193</v>
      </c>
      <c r="C3882" s="58" t="str">
        <f>"17538351"</f>
        <v>17538351</v>
      </c>
      <c r="D3882" s="58" t="str">
        <f>"1753836X"</f>
        <v>1753836X</v>
      </c>
      <c r="E3882" s="46" t="s">
        <v>10043</v>
      </c>
      <c r="F3882" s="46" t="s">
        <v>50646</v>
      </c>
      <c r="G3882" s="46" t="s">
        <v>50584</v>
      </c>
      <c r="H3882" s="48" t="s">
        <v>56716</v>
      </c>
      <c r="I3882" s="48" t="s">
        <v>50564</v>
      </c>
      <c r="J3882" s="48" t="s">
        <v>56716</v>
      </c>
      <c r="K3882" s="50"/>
      <c r="L3882" s="48"/>
    </row>
    <row r="3883" spans="1:12" s="37" customFormat="1" ht="11.25" x14ac:dyDescent="0.2">
      <c r="A3883" s="45" t="s">
        <v>33048</v>
      </c>
      <c r="B3883" s="45" t="s">
        <v>33050</v>
      </c>
      <c r="C3883" s="51" t="s">
        <v>33052</v>
      </c>
      <c r="D3883" s="51"/>
      <c r="E3883" s="45" t="s">
        <v>33053</v>
      </c>
      <c r="F3883" s="45" t="s">
        <v>17759</v>
      </c>
      <c r="G3883" s="45" t="s">
        <v>50584</v>
      </c>
      <c r="H3883" s="56"/>
      <c r="I3883" s="56" t="s">
        <v>50564</v>
      </c>
      <c r="J3883" s="56"/>
      <c r="K3883" s="50"/>
      <c r="L3883" s="56" t="s">
        <v>56716</v>
      </c>
    </row>
    <row r="3884" spans="1:12" s="37" customFormat="1" ht="11.25" x14ac:dyDescent="0.2">
      <c r="A3884" s="46" t="s">
        <v>11756</v>
      </c>
      <c r="B3884" s="46" t="s">
        <v>53194</v>
      </c>
      <c r="C3884" s="58" t="str">
        <f>"21911231"</f>
        <v>21911231</v>
      </c>
      <c r="D3884" s="58" t="str">
        <f>"21910367"</f>
        <v>21910367</v>
      </c>
      <c r="E3884" s="46" t="s">
        <v>1887</v>
      </c>
      <c r="F3884" s="46" t="s">
        <v>18158</v>
      </c>
      <c r="G3884" s="46" t="s">
        <v>50584</v>
      </c>
      <c r="H3884" s="48" t="s">
        <v>56716</v>
      </c>
      <c r="I3884" s="48" t="s">
        <v>50564</v>
      </c>
      <c r="J3884" s="48"/>
      <c r="K3884" s="50"/>
      <c r="L3884" s="48"/>
    </row>
    <row r="3885" spans="1:12" s="37" customFormat="1" ht="11.25" x14ac:dyDescent="0.2">
      <c r="A3885" s="45" t="s">
        <v>33061</v>
      </c>
      <c r="B3885" s="45" t="s">
        <v>33063</v>
      </c>
      <c r="C3885" s="51" t="s">
        <v>33066</v>
      </c>
      <c r="D3885" s="51" t="s">
        <v>33065</v>
      </c>
      <c r="E3885" s="45" t="s">
        <v>33067</v>
      </c>
      <c r="F3885" s="45" t="s">
        <v>17967</v>
      </c>
      <c r="G3885" s="45" t="s">
        <v>50584</v>
      </c>
      <c r="H3885" s="56"/>
      <c r="I3885" s="56" t="s">
        <v>50564</v>
      </c>
      <c r="J3885" s="56"/>
      <c r="K3885" s="50"/>
      <c r="L3885" s="56" t="s">
        <v>56716</v>
      </c>
    </row>
    <row r="3886" spans="1:12" s="37" customFormat="1" ht="11.25" x14ac:dyDescent="0.2">
      <c r="A3886" s="46" t="s">
        <v>14099</v>
      </c>
      <c r="B3886" s="46" t="s">
        <v>53195</v>
      </c>
      <c r="C3886" s="58" t="str">
        <f>""</f>
        <v/>
      </c>
      <c r="D3886" s="58" t="str">
        <f>"1179142X"</f>
        <v>1179142X</v>
      </c>
      <c r="E3886" s="46" t="s">
        <v>11078</v>
      </c>
      <c r="F3886" s="46" t="s">
        <v>19483</v>
      </c>
      <c r="G3886" s="46" t="s">
        <v>50584</v>
      </c>
      <c r="H3886" s="48" t="s">
        <v>56716</v>
      </c>
      <c r="I3886" s="48" t="s">
        <v>50564</v>
      </c>
      <c r="J3886" s="48"/>
      <c r="K3886" s="50"/>
      <c r="L3886" s="48"/>
    </row>
    <row r="3887" spans="1:12" s="37" customFormat="1" ht="11.25" x14ac:dyDescent="0.2">
      <c r="A3887" s="46" t="s">
        <v>6647</v>
      </c>
      <c r="B3887" s="46" t="s">
        <v>53196</v>
      </c>
      <c r="C3887" s="58" t="str">
        <f>"13412051"</f>
        <v>13412051</v>
      </c>
      <c r="D3887" s="58" t="str">
        <f>""</f>
        <v/>
      </c>
      <c r="E3887" s="46" t="s">
        <v>6649</v>
      </c>
      <c r="F3887" s="46" t="s">
        <v>18242</v>
      </c>
      <c r="G3887" s="46" t="s">
        <v>50584</v>
      </c>
      <c r="H3887" s="48" t="s">
        <v>56716</v>
      </c>
      <c r="I3887" s="48" t="s">
        <v>50564</v>
      </c>
      <c r="J3887" s="48"/>
      <c r="K3887" s="50"/>
      <c r="L3887" s="48"/>
    </row>
    <row r="3888" spans="1:12" s="37" customFormat="1" ht="11.25" x14ac:dyDescent="0.2">
      <c r="A3888" s="45" t="s">
        <v>33069</v>
      </c>
      <c r="B3888" s="45" t="s">
        <v>33071</v>
      </c>
      <c r="C3888" s="51" t="s">
        <v>33074</v>
      </c>
      <c r="D3888" s="51" t="s">
        <v>33073</v>
      </c>
      <c r="E3888" s="45" t="s">
        <v>56591</v>
      </c>
      <c r="F3888" s="45" t="s">
        <v>18439</v>
      </c>
      <c r="G3888" s="45" t="s">
        <v>50584</v>
      </c>
      <c r="H3888" s="56"/>
      <c r="I3888" s="56" t="s">
        <v>50564</v>
      </c>
      <c r="J3888" s="56"/>
      <c r="K3888" s="50"/>
      <c r="L3888" s="56" t="s">
        <v>56716</v>
      </c>
    </row>
    <row r="3889" spans="1:12" s="37" customFormat="1" ht="11.25" x14ac:dyDescent="0.2">
      <c r="A3889" s="46" t="s">
        <v>7166</v>
      </c>
      <c r="B3889" s="46" t="s">
        <v>53197</v>
      </c>
      <c r="C3889" s="58" t="str">
        <f>"13528963"</f>
        <v>13528963</v>
      </c>
      <c r="D3889" s="58" t="str">
        <f>"14693410"</f>
        <v>14693410</v>
      </c>
      <c r="E3889" s="46" t="s">
        <v>7169</v>
      </c>
      <c r="F3889" s="46" t="s">
        <v>50646</v>
      </c>
      <c r="G3889" s="46" t="s">
        <v>50584</v>
      </c>
      <c r="H3889" s="48" t="s">
        <v>56716</v>
      </c>
      <c r="I3889" s="48" t="s">
        <v>50564</v>
      </c>
      <c r="J3889" s="48"/>
      <c r="K3889" s="50"/>
      <c r="L3889" s="48" t="s">
        <v>56716</v>
      </c>
    </row>
    <row r="3890" spans="1:12" s="37" customFormat="1" ht="11.25" x14ac:dyDescent="0.2">
      <c r="A3890" s="46" t="s">
        <v>16199</v>
      </c>
      <c r="B3890" s="46" t="s">
        <v>55849</v>
      </c>
      <c r="C3890" s="58" t="str">
        <f>"20089295"</f>
        <v>20089295</v>
      </c>
      <c r="D3890" s="58" t="str">
        <f>"22285326"</f>
        <v>22285326</v>
      </c>
      <c r="E3890" s="46" t="s">
        <v>56387</v>
      </c>
      <c r="F3890" s="46" t="s">
        <v>17759</v>
      </c>
      <c r="G3890" s="46" t="s">
        <v>50584</v>
      </c>
      <c r="H3890" s="48" t="s">
        <v>56716</v>
      </c>
      <c r="I3890" s="48" t="s">
        <v>50564</v>
      </c>
      <c r="J3890" s="48"/>
      <c r="K3890" s="50"/>
      <c r="L3890" s="48"/>
    </row>
    <row r="3891" spans="1:12" s="37" customFormat="1" ht="11.25" x14ac:dyDescent="0.2">
      <c r="A3891" s="46" t="s">
        <v>15605</v>
      </c>
      <c r="B3891" s="46" t="s">
        <v>53198</v>
      </c>
      <c r="C3891" s="58" t="str">
        <f>"20934777"</f>
        <v>20934777</v>
      </c>
      <c r="D3891" s="58" t="str">
        <f>"20936931"</f>
        <v>20936931</v>
      </c>
      <c r="E3891" s="46" t="s">
        <v>15608</v>
      </c>
      <c r="F3891" s="46" t="s">
        <v>50649</v>
      </c>
      <c r="G3891" s="46" t="s">
        <v>50584</v>
      </c>
      <c r="H3891" s="48" t="s">
        <v>56716</v>
      </c>
      <c r="I3891" s="48" t="s">
        <v>50564</v>
      </c>
      <c r="J3891" s="48"/>
      <c r="K3891" s="50"/>
      <c r="L3891" s="48"/>
    </row>
    <row r="3892" spans="1:12" s="37" customFormat="1" ht="11.25" x14ac:dyDescent="0.2">
      <c r="A3892" s="45" t="s">
        <v>33083</v>
      </c>
      <c r="B3892" s="45" t="s">
        <v>33085</v>
      </c>
      <c r="C3892" s="51" t="s">
        <v>33088</v>
      </c>
      <c r="D3892" s="51" t="s">
        <v>33087</v>
      </c>
      <c r="E3892" s="45" t="s">
        <v>25848</v>
      </c>
      <c r="F3892" s="45" t="s">
        <v>50646</v>
      </c>
      <c r="G3892" s="45" t="s">
        <v>50584</v>
      </c>
      <c r="H3892" s="56"/>
      <c r="I3892" s="56" t="s">
        <v>50564</v>
      </c>
      <c r="J3892" s="56"/>
      <c r="K3892" s="50"/>
      <c r="L3892" s="56" t="s">
        <v>56716</v>
      </c>
    </row>
    <row r="3893" spans="1:12" s="37" customFormat="1" ht="11.25" x14ac:dyDescent="0.2">
      <c r="A3893" s="46" t="s">
        <v>2057</v>
      </c>
      <c r="B3893" s="46" t="s">
        <v>53199</v>
      </c>
      <c r="C3893" s="58" t="str">
        <f>"01655701"</f>
        <v>01655701</v>
      </c>
      <c r="D3893" s="58" t="str">
        <f>"15732630"</f>
        <v>15732630</v>
      </c>
      <c r="E3893" s="46" t="s">
        <v>18876</v>
      </c>
      <c r="F3893" s="46" t="s">
        <v>18001</v>
      </c>
      <c r="G3893" s="46" t="s">
        <v>50584</v>
      </c>
      <c r="H3893" s="48" t="s">
        <v>56716</v>
      </c>
      <c r="I3893" s="48" t="s">
        <v>50564</v>
      </c>
      <c r="J3893" s="48"/>
      <c r="K3893" s="50" t="s">
        <v>56716</v>
      </c>
      <c r="L3893" s="48" t="s">
        <v>56716</v>
      </c>
    </row>
    <row r="3894" spans="1:12" s="37" customFormat="1" ht="11.25" x14ac:dyDescent="0.2">
      <c r="A3894" s="46" t="s">
        <v>2074</v>
      </c>
      <c r="B3894" s="46" t="s">
        <v>53200</v>
      </c>
      <c r="C3894" s="58" t="str">
        <f>"00208167"</f>
        <v>00208167</v>
      </c>
      <c r="D3894" s="58" t="str">
        <f>"15369617"</f>
        <v>15369617</v>
      </c>
      <c r="E3894" s="46" t="s">
        <v>28</v>
      </c>
      <c r="F3894" s="46" t="s">
        <v>17759</v>
      </c>
      <c r="G3894" s="46" t="s">
        <v>50584</v>
      </c>
      <c r="H3894" s="48" t="s">
        <v>56716</v>
      </c>
      <c r="I3894" s="48" t="s">
        <v>50564</v>
      </c>
      <c r="J3894" s="48" t="s">
        <v>56716</v>
      </c>
      <c r="K3894" s="50"/>
      <c r="L3894" s="48" t="s">
        <v>56716</v>
      </c>
    </row>
    <row r="3895" spans="1:12" s="37" customFormat="1" ht="11.25" x14ac:dyDescent="0.2">
      <c r="A3895" s="45" t="s">
        <v>33098</v>
      </c>
      <c r="B3895" s="45" t="s">
        <v>33100</v>
      </c>
      <c r="C3895" s="51" t="s">
        <v>33103</v>
      </c>
      <c r="D3895" s="51" t="s">
        <v>33102</v>
      </c>
      <c r="E3895" s="45" t="s">
        <v>20386</v>
      </c>
      <c r="F3895" s="45" t="s">
        <v>20359</v>
      </c>
      <c r="G3895" s="45" t="s">
        <v>50590</v>
      </c>
      <c r="H3895" s="56"/>
      <c r="I3895" s="56" t="s">
        <v>50564</v>
      </c>
      <c r="J3895" s="56"/>
      <c r="K3895" s="50"/>
      <c r="L3895" s="56" t="s">
        <v>56716</v>
      </c>
    </row>
    <row r="3896" spans="1:12" s="37" customFormat="1" ht="11.25" x14ac:dyDescent="0.2">
      <c r="A3896" s="46" t="s">
        <v>2077</v>
      </c>
      <c r="B3896" s="46" t="s">
        <v>53201</v>
      </c>
      <c r="C3896" s="58" t="str">
        <f>"03412695"</f>
        <v>03412695</v>
      </c>
      <c r="D3896" s="58" t="str">
        <f>"14325195"</f>
        <v>14325195</v>
      </c>
      <c r="E3896" s="46" t="s">
        <v>167</v>
      </c>
      <c r="F3896" s="46" t="s">
        <v>18158</v>
      </c>
      <c r="G3896" s="46" t="s">
        <v>50584</v>
      </c>
      <c r="H3896" s="48" t="s">
        <v>56716</v>
      </c>
      <c r="I3896" s="48" t="s">
        <v>50564</v>
      </c>
      <c r="J3896" s="48" t="s">
        <v>56716</v>
      </c>
      <c r="K3896" s="50" t="s">
        <v>56716</v>
      </c>
      <c r="L3896" s="48" t="s">
        <v>56716</v>
      </c>
    </row>
    <row r="3897" spans="1:12" s="37" customFormat="1" ht="11.25" x14ac:dyDescent="0.2">
      <c r="A3897" s="46" t="s">
        <v>4481</v>
      </c>
      <c r="B3897" s="46" t="s">
        <v>53202</v>
      </c>
      <c r="C3897" s="58" t="str">
        <f>"08856265"</f>
        <v>08856265</v>
      </c>
      <c r="D3897" s="58" t="str">
        <f>""</f>
        <v/>
      </c>
      <c r="E3897" s="46" t="s">
        <v>4483</v>
      </c>
      <c r="F3897" s="46" t="s">
        <v>17759</v>
      </c>
      <c r="G3897" s="46" t="s">
        <v>50584</v>
      </c>
      <c r="H3897" s="48" t="s">
        <v>56716</v>
      </c>
      <c r="I3897" s="48" t="s">
        <v>50564</v>
      </c>
      <c r="J3897" s="48"/>
      <c r="K3897" s="50"/>
      <c r="L3897" s="48"/>
    </row>
    <row r="3898" spans="1:12" s="37" customFormat="1" ht="11.25" x14ac:dyDescent="0.2">
      <c r="A3898" s="45" t="s">
        <v>33110</v>
      </c>
      <c r="B3898" s="45" t="s">
        <v>33112</v>
      </c>
      <c r="C3898" s="51" t="s">
        <v>33115</v>
      </c>
      <c r="D3898" s="51" t="s">
        <v>33114</v>
      </c>
      <c r="E3898" s="45" t="s">
        <v>33116</v>
      </c>
      <c r="F3898" s="45" t="s">
        <v>17759</v>
      </c>
      <c r="G3898" s="45" t="s">
        <v>50584</v>
      </c>
      <c r="H3898" s="56"/>
      <c r="I3898" s="56" t="s">
        <v>50564</v>
      </c>
      <c r="J3898" s="56"/>
      <c r="K3898" s="50"/>
      <c r="L3898" s="56" t="s">
        <v>56716</v>
      </c>
    </row>
    <row r="3899" spans="1:12" s="37" customFormat="1" ht="11.25" x14ac:dyDescent="0.2">
      <c r="A3899" s="46" t="s">
        <v>5591</v>
      </c>
      <c r="B3899" s="46" t="s">
        <v>53203</v>
      </c>
      <c r="C3899" s="58" t="str">
        <f>"10416102"</f>
        <v>10416102</v>
      </c>
      <c r="D3899" s="58" t="str">
        <f>"1741203X"</f>
        <v>1741203X</v>
      </c>
      <c r="E3899" s="46" t="s">
        <v>724</v>
      </c>
      <c r="F3899" s="46" t="s">
        <v>50646</v>
      </c>
      <c r="G3899" s="46" t="s">
        <v>50584</v>
      </c>
      <c r="H3899" s="48" t="s">
        <v>56716</v>
      </c>
      <c r="I3899" s="48" t="s">
        <v>50564</v>
      </c>
      <c r="J3899" s="48"/>
      <c r="K3899" s="50" t="s">
        <v>56716</v>
      </c>
      <c r="L3899" s="48" t="s">
        <v>56716</v>
      </c>
    </row>
    <row r="3900" spans="1:12" s="37" customFormat="1" ht="11.25" x14ac:dyDescent="0.2">
      <c r="A3900" s="45" t="s">
        <v>33123</v>
      </c>
      <c r="B3900" s="45" t="s">
        <v>33125</v>
      </c>
      <c r="C3900" s="51" t="s">
        <v>33127</v>
      </c>
      <c r="D3900" s="51" t="s">
        <v>33126</v>
      </c>
      <c r="E3900" s="45" t="s">
        <v>19447</v>
      </c>
      <c r="F3900" s="45" t="s">
        <v>17759</v>
      </c>
      <c r="G3900" s="45" t="s">
        <v>50584</v>
      </c>
      <c r="H3900" s="56"/>
      <c r="I3900" s="56" t="s">
        <v>50564</v>
      </c>
      <c r="J3900" s="56"/>
      <c r="K3900" s="50"/>
      <c r="L3900" s="56" t="s">
        <v>56716</v>
      </c>
    </row>
    <row r="3901" spans="1:12" s="37" customFormat="1" ht="11.25" x14ac:dyDescent="0.2">
      <c r="A3901" s="46" t="s">
        <v>15869</v>
      </c>
      <c r="B3901" s="46" t="s">
        <v>53204</v>
      </c>
      <c r="C3901" s="58" t="str">
        <f>""</f>
        <v/>
      </c>
      <c r="D3901" s="58" t="str">
        <f>"22308407"</f>
        <v>22308407</v>
      </c>
      <c r="E3901" s="46" t="s">
        <v>15869</v>
      </c>
      <c r="F3901" s="46" t="s">
        <v>20446</v>
      </c>
      <c r="G3901" s="46" t="s">
        <v>50584</v>
      </c>
      <c r="H3901" s="48" t="s">
        <v>56716</v>
      </c>
      <c r="I3901" s="48" t="s">
        <v>50564</v>
      </c>
      <c r="J3901" s="48"/>
      <c r="K3901" s="50"/>
      <c r="L3901" s="48"/>
    </row>
    <row r="3902" spans="1:12" s="37" customFormat="1" ht="11.25" x14ac:dyDescent="0.2">
      <c r="A3902" s="46" t="s">
        <v>6576</v>
      </c>
      <c r="B3902" s="46" t="s">
        <v>53205</v>
      </c>
      <c r="C3902" s="58" t="str">
        <f>"12329142"</f>
        <v>12329142</v>
      </c>
      <c r="D3902" s="58" t="str">
        <f>""</f>
        <v/>
      </c>
      <c r="E3902" s="46" t="s">
        <v>6578</v>
      </c>
      <c r="F3902" s="46" t="s">
        <v>17967</v>
      </c>
      <c r="G3902" s="46" t="s">
        <v>50584</v>
      </c>
      <c r="H3902" s="48" t="s">
        <v>56716</v>
      </c>
      <c r="I3902" s="48" t="s">
        <v>50564</v>
      </c>
      <c r="J3902" s="48"/>
      <c r="K3902" s="50"/>
      <c r="L3902" s="48"/>
    </row>
    <row r="3903" spans="1:12" s="37" customFormat="1" ht="11.25" x14ac:dyDescent="0.2">
      <c r="A3903" s="46" t="s">
        <v>12838</v>
      </c>
      <c r="B3903" s="46" t="s">
        <v>53206</v>
      </c>
      <c r="C3903" s="58" t="str">
        <f>"19376448"</f>
        <v>19376448</v>
      </c>
      <c r="D3903" s="58" t="str">
        <f>""</f>
        <v/>
      </c>
      <c r="E3903" s="46" t="s">
        <v>272</v>
      </c>
      <c r="F3903" s="46" t="s">
        <v>17759</v>
      </c>
      <c r="G3903" s="46" t="s">
        <v>50584</v>
      </c>
      <c r="H3903" s="48" t="s">
        <v>56716</v>
      </c>
      <c r="I3903" s="48" t="s">
        <v>50565</v>
      </c>
      <c r="J3903" s="48" t="s">
        <v>56716</v>
      </c>
      <c r="K3903" s="50" t="s">
        <v>56716</v>
      </c>
      <c r="L3903" s="48" t="s">
        <v>56716</v>
      </c>
    </row>
    <row r="3904" spans="1:12" s="37" customFormat="1" ht="11.25" x14ac:dyDescent="0.2">
      <c r="A3904" s="46" t="s">
        <v>2087</v>
      </c>
      <c r="B3904" s="46" t="s">
        <v>53207</v>
      </c>
      <c r="C3904" s="58" t="str">
        <f>"00747742"</f>
        <v>00747742</v>
      </c>
      <c r="D3904" s="58" t="str">
        <f>""</f>
        <v/>
      </c>
      <c r="E3904" s="46" t="s">
        <v>60</v>
      </c>
      <c r="F3904" s="46" t="s">
        <v>17759</v>
      </c>
      <c r="G3904" s="46" t="s">
        <v>50584</v>
      </c>
      <c r="H3904" s="48" t="s">
        <v>56716</v>
      </c>
      <c r="I3904" s="48" t="s">
        <v>50565</v>
      </c>
      <c r="J3904" s="48" t="s">
        <v>56716</v>
      </c>
      <c r="K3904" s="50" t="s">
        <v>56716</v>
      </c>
      <c r="L3904" s="48" t="s">
        <v>56716</v>
      </c>
    </row>
    <row r="3905" spans="1:12" s="37" customFormat="1" ht="11.25" x14ac:dyDescent="0.2">
      <c r="A3905" s="46" t="s">
        <v>5409</v>
      </c>
      <c r="B3905" s="46" t="s">
        <v>53208</v>
      </c>
      <c r="C3905" s="58" t="str">
        <f>"09540261"</f>
        <v>09540261</v>
      </c>
      <c r="D3905" s="58" t="str">
        <f>"13691627"</f>
        <v>13691627</v>
      </c>
      <c r="E3905" s="46" t="s">
        <v>291</v>
      </c>
      <c r="F3905" s="46" t="s">
        <v>50646</v>
      </c>
      <c r="G3905" s="46" t="s">
        <v>50584</v>
      </c>
      <c r="H3905" s="48" t="s">
        <v>56716</v>
      </c>
      <c r="I3905" s="48" t="s">
        <v>50564</v>
      </c>
      <c r="J3905" s="48" t="s">
        <v>56716</v>
      </c>
      <c r="K3905" s="50"/>
      <c r="L3905" s="48" t="s">
        <v>56716</v>
      </c>
    </row>
    <row r="3906" spans="1:12" s="37" customFormat="1" ht="11.25" x14ac:dyDescent="0.2">
      <c r="A3906" s="46" t="s">
        <v>4382</v>
      </c>
      <c r="B3906" s="46" t="s">
        <v>53209</v>
      </c>
      <c r="C3906" s="58" t="str">
        <f>"08830185"</f>
        <v>08830185</v>
      </c>
      <c r="D3906" s="58" t="str">
        <f>"15635244"</f>
        <v>15635244</v>
      </c>
      <c r="E3906" s="46" t="s">
        <v>291</v>
      </c>
      <c r="F3906" s="46" t="s">
        <v>50646</v>
      </c>
      <c r="G3906" s="46" t="s">
        <v>50584</v>
      </c>
      <c r="H3906" s="48" t="s">
        <v>56716</v>
      </c>
      <c r="I3906" s="48" t="s">
        <v>50564</v>
      </c>
      <c r="J3906" s="48" t="s">
        <v>56716</v>
      </c>
      <c r="K3906" s="50"/>
      <c r="L3906" s="48" t="s">
        <v>56716</v>
      </c>
    </row>
    <row r="3907" spans="1:12" s="37" customFormat="1" ht="11.25" x14ac:dyDescent="0.2">
      <c r="A3907" s="45" t="s">
        <v>33147</v>
      </c>
      <c r="B3907" s="45" t="s">
        <v>33149</v>
      </c>
      <c r="C3907" s="51" t="s">
        <v>33151</v>
      </c>
      <c r="D3907" s="51"/>
      <c r="E3907" s="45" t="s">
        <v>2964</v>
      </c>
      <c r="F3907" s="45" t="s">
        <v>17991</v>
      </c>
      <c r="G3907" s="45" t="s">
        <v>50584</v>
      </c>
      <c r="H3907" s="56"/>
      <c r="I3907" s="56" t="s">
        <v>50564</v>
      </c>
      <c r="J3907" s="56"/>
      <c r="K3907" s="50"/>
      <c r="L3907" s="56" t="s">
        <v>56716</v>
      </c>
    </row>
    <row r="3908" spans="1:12" s="37" customFormat="1" ht="11.25" x14ac:dyDescent="0.2">
      <c r="A3908" s="46" t="s">
        <v>7826</v>
      </c>
      <c r="B3908" s="46" t="s">
        <v>53210</v>
      </c>
      <c r="C3908" s="58" t="str">
        <f>"09465448"</f>
        <v>09465448</v>
      </c>
      <c r="D3908" s="58" t="str">
        <f>""</f>
        <v/>
      </c>
      <c r="E3908" s="46" t="s">
        <v>7828</v>
      </c>
      <c r="F3908" s="46" t="s">
        <v>18058</v>
      </c>
      <c r="G3908" s="46" t="s">
        <v>50584</v>
      </c>
      <c r="H3908" s="48" t="s">
        <v>56716</v>
      </c>
      <c r="I3908" s="48" t="s">
        <v>50564</v>
      </c>
      <c r="J3908" s="48" t="s">
        <v>56716</v>
      </c>
      <c r="K3908" s="50"/>
      <c r="L3908" s="48" t="s">
        <v>56716</v>
      </c>
    </row>
    <row r="3909" spans="1:12" s="37" customFormat="1" ht="11.25" x14ac:dyDescent="0.2">
      <c r="A3909" s="46" t="s">
        <v>6663</v>
      </c>
      <c r="B3909" s="46" t="s">
        <v>53211</v>
      </c>
      <c r="C3909" s="58" t="str">
        <f>"09373462"</f>
        <v>09373462</v>
      </c>
      <c r="D3909" s="58" t="str">
        <f>"14333023"</f>
        <v>14333023</v>
      </c>
      <c r="E3909" s="46" t="s">
        <v>56002</v>
      </c>
      <c r="F3909" s="46" t="s">
        <v>50646</v>
      </c>
      <c r="G3909" s="46" t="s">
        <v>50584</v>
      </c>
      <c r="H3909" s="48" t="s">
        <v>56716</v>
      </c>
      <c r="I3909" s="48" t="s">
        <v>50564</v>
      </c>
      <c r="J3909" s="48" t="s">
        <v>56716</v>
      </c>
      <c r="K3909" s="50" t="s">
        <v>56716</v>
      </c>
      <c r="L3909" s="48" t="s">
        <v>56716</v>
      </c>
    </row>
    <row r="3910" spans="1:12" s="37" customFormat="1" ht="11.25" x14ac:dyDescent="0.2">
      <c r="A3910" s="46" t="s">
        <v>2092</v>
      </c>
      <c r="B3910" s="46" t="s">
        <v>53212</v>
      </c>
      <c r="C3910" s="58" t="str">
        <f>"03011623"</f>
        <v>03011623</v>
      </c>
      <c r="D3910" s="58" t="str">
        <f>"15732584"</f>
        <v>15732584</v>
      </c>
      <c r="E3910" s="46" t="s">
        <v>18876</v>
      </c>
      <c r="F3910" s="46" t="s">
        <v>18001</v>
      </c>
      <c r="G3910" s="46" t="s">
        <v>50584</v>
      </c>
      <c r="H3910" s="48" t="s">
        <v>56716</v>
      </c>
      <c r="I3910" s="48" t="s">
        <v>50564</v>
      </c>
      <c r="J3910" s="48"/>
      <c r="K3910" s="50" t="s">
        <v>56716</v>
      </c>
      <c r="L3910" s="48" t="s">
        <v>56716</v>
      </c>
    </row>
    <row r="3911" spans="1:12" s="37" customFormat="1" ht="11.25" x14ac:dyDescent="0.2">
      <c r="A3911" s="46" t="s">
        <v>10382</v>
      </c>
      <c r="B3911" s="46" t="s">
        <v>53213</v>
      </c>
      <c r="C3911" s="58" t="str">
        <f>"17424801"</f>
        <v>17424801</v>
      </c>
      <c r="D3911" s="58" t="str">
        <f>"1742481X"</f>
        <v>1742481X</v>
      </c>
      <c r="E3911" s="46" t="s">
        <v>35</v>
      </c>
      <c r="F3911" s="46" t="s">
        <v>50646</v>
      </c>
      <c r="G3911" s="46" t="s">
        <v>50584</v>
      </c>
      <c r="H3911" s="48" t="s">
        <v>56716</v>
      </c>
      <c r="I3911" s="48" t="s">
        <v>50564</v>
      </c>
      <c r="J3911" s="48" t="s">
        <v>56716</v>
      </c>
      <c r="K3911" s="50" t="s">
        <v>56716</v>
      </c>
      <c r="L3911" s="48" t="s">
        <v>56716</v>
      </c>
    </row>
    <row r="3912" spans="1:12" s="37" customFormat="1" ht="11.25" x14ac:dyDescent="0.2">
      <c r="A3912" s="46" t="s">
        <v>56213</v>
      </c>
      <c r="B3912" s="46" t="s">
        <v>56214</v>
      </c>
      <c r="C3912" s="58" t="str">
        <f>"22147829"</f>
        <v>22147829</v>
      </c>
      <c r="D3912" s="58" t="str">
        <f>""</f>
        <v/>
      </c>
      <c r="E3912" s="46" t="s">
        <v>91</v>
      </c>
      <c r="F3912" s="46" t="s">
        <v>18001</v>
      </c>
      <c r="G3912" s="46" t="s">
        <v>50584</v>
      </c>
      <c r="H3912" s="48" t="s">
        <v>56716</v>
      </c>
      <c r="I3912" s="48" t="s">
        <v>50564</v>
      </c>
      <c r="J3912" s="48" t="s">
        <v>56716</v>
      </c>
      <c r="K3912" s="50" t="s">
        <v>56716</v>
      </c>
      <c r="L3912" s="48"/>
    </row>
    <row r="3913" spans="1:12" s="37" customFormat="1" ht="11.25" x14ac:dyDescent="0.2">
      <c r="A3913" s="46" t="s">
        <v>14154</v>
      </c>
      <c r="B3913" s="46" t="s">
        <v>53214</v>
      </c>
      <c r="C3913" s="58" t="str">
        <f>""</f>
        <v/>
      </c>
      <c r="D3913" s="58" t="str">
        <f>"15320642"</f>
        <v>15320642</v>
      </c>
      <c r="E3913" s="46" t="s">
        <v>12389</v>
      </c>
      <c r="F3913" s="46" t="s">
        <v>17759</v>
      </c>
      <c r="G3913" s="46" t="s">
        <v>50584</v>
      </c>
      <c r="H3913" s="48" t="s">
        <v>56716</v>
      </c>
      <c r="I3913" s="48" t="s">
        <v>50564</v>
      </c>
      <c r="J3913" s="48"/>
      <c r="K3913" s="50"/>
      <c r="L3913" s="48"/>
    </row>
    <row r="3914" spans="1:12" s="37" customFormat="1" ht="11.25" x14ac:dyDescent="0.2">
      <c r="A3914" s="46" t="s">
        <v>13988</v>
      </c>
      <c r="B3914" s="46" t="s">
        <v>53215</v>
      </c>
      <c r="C3914" s="58" t="str">
        <f>""</f>
        <v/>
      </c>
      <c r="D3914" s="58" t="str">
        <f>"1528834X"</f>
        <v>1528834X</v>
      </c>
      <c r="E3914" s="46" t="s">
        <v>12389</v>
      </c>
      <c r="F3914" s="46" t="s">
        <v>17759</v>
      </c>
      <c r="G3914" s="46" t="s">
        <v>50584</v>
      </c>
      <c r="H3914" s="48" t="s">
        <v>56716</v>
      </c>
      <c r="I3914" s="48" t="s">
        <v>50564</v>
      </c>
      <c r="J3914" s="48"/>
      <c r="K3914" s="50"/>
      <c r="L3914" s="48"/>
    </row>
    <row r="3915" spans="1:12" s="37" customFormat="1" ht="11.25" x14ac:dyDescent="0.2">
      <c r="A3915" s="46" t="s">
        <v>14156</v>
      </c>
      <c r="B3915" s="46" t="s">
        <v>53216</v>
      </c>
      <c r="C3915" s="58" t="str">
        <f>""</f>
        <v/>
      </c>
      <c r="D3915" s="58" t="str">
        <f>"15402592"</f>
        <v>15402592</v>
      </c>
      <c r="E3915" s="46" t="s">
        <v>12389</v>
      </c>
      <c r="F3915" s="46" t="s">
        <v>17759</v>
      </c>
      <c r="G3915" s="46" t="s">
        <v>50584</v>
      </c>
      <c r="H3915" s="48" t="s">
        <v>56716</v>
      </c>
      <c r="I3915" s="48" t="s">
        <v>50564</v>
      </c>
      <c r="J3915" s="48"/>
      <c r="K3915" s="50"/>
      <c r="L3915" s="48"/>
    </row>
    <row r="3916" spans="1:12" s="37" customFormat="1" ht="11.25" x14ac:dyDescent="0.2">
      <c r="A3916" s="46" t="s">
        <v>13990</v>
      </c>
      <c r="B3916" s="46" t="s">
        <v>53217</v>
      </c>
      <c r="C3916" s="58" t="str">
        <f>""</f>
        <v/>
      </c>
      <c r="D3916" s="58" t="str">
        <f>"15313018"</f>
        <v>15313018</v>
      </c>
      <c r="E3916" s="46" t="s">
        <v>12389</v>
      </c>
      <c r="F3916" s="46" t="s">
        <v>17759</v>
      </c>
      <c r="G3916" s="46" t="s">
        <v>50584</v>
      </c>
      <c r="H3916" s="48" t="s">
        <v>56716</v>
      </c>
      <c r="I3916" s="48" t="s">
        <v>50564</v>
      </c>
      <c r="J3916" s="48"/>
      <c r="K3916" s="50"/>
      <c r="L3916" s="48"/>
    </row>
    <row r="3917" spans="1:12" s="37" customFormat="1" ht="11.25" x14ac:dyDescent="0.2">
      <c r="A3917" s="46" t="s">
        <v>14158</v>
      </c>
      <c r="B3917" s="46" t="s">
        <v>53218</v>
      </c>
      <c r="C3917" s="58" t="str">
        <f>""</f>
        <v/>
      </c>
      <c r="D3917" s="58" t="str">
        <f>"15402614"</f>
        <v>15402614</v>
      </c>
      <c r="E3917" s="46" t="s">
        <v>12389</v>
      </c>
      <c r="F3917" s="46" t="s">
        <v>17759</v>
      </c>
      <c r="G3917" s="46" t="s">
        <v>50584</v>
      </c>
      <c r="H3917" s="48" t="s">
        <v>56716</v>
      </c>
      <c r="I3917" s="48" t="s">
        <v>50564</v>
      </c>
      <c r="J3917" s="48"/>
      <c r="K3917" s="50"/>
      <c r="L3917" s="48"/>
    </row>
    <row r="3918" spans="1:12" s="37" customFormat="1" ht="11.25" x14ac:dyDescent="0.2">
      <c r="A3918" s="46" t="s">
        <v>14150</v>
      </c>
      <c r="B3918" s="46" t="s">
        <v>53219</v>
      </c>
      <c r="C3918" s="58" t="str">
        <f>""</f>
        <v/>
      </c>
      <c r="D3918" s="58" t="str">
        <f>"15402630"</f>
        <v>15402630</v>
      </c>
      <c r="E3918" s="46" t="s">
        <v>12389</v>
      </c>
      <c r="F3918" s="46" t="s">
        <v>17759</v>
      </c>
      <c r="G3918" s="46" t="s">
        <v>50584</v>
      </c>
      <c r="H3918" s="48" t="s">
        <v>56716</v>
      </c>
      <c r="I3918" s="48" t="s">
        <v>50564</v>
      </c>
      <c r="J3918" s="48"/>
      <c r="K3918" s="50"/>
      <c r="L3918" s="48"/>
    </row>
    <row r="3919" spans="1:12" s="37" customFormat="1" ht="11.25" x14ac:dyDescent="0.2">
      <c r="A3919" s="46" t="s">
        <v>14160</v>
      </c>
      <c r="B3919" s="46" t="s">
        <v>53220</v>
      </c>
      <c r="C3919" s="58" t="str">
        <f>""</f>
        <v/>
      </c>
      <c r="D3919" s="58" t="str">
        <f>"15288439"</f>
        <v>15288439</v>
      </c>
      <c r="E3919" s="46" t="s">
        <v>12389</v>
      </c>
      <c r="F3919" s="46" t="s">
        <v>17759</v>
      </c>
      <c r="G3919" s="46" t="s">
        <v>50584</v>
      </c>
      <c r="H3919" s="48" t="s">
        <v>56716</v>
      </c>
      <c r="I3919" s="48" t="s">
        <v>50564</v>
      </c>
      <c r="J3919" s="48"/>
      <c r="K3919" s="50"/>
      <c r="L3919" s="48"/>
    </row>
    <row r="3920" spans="1:12" s="37" customFormat="1" ht="11.25" x14ac:dyDescent="0.2">
      <c r="A3920" s="46" t="s">
        <v>12387</v>
      </c>
      <c r="B3920" s="46" t="s">
        <v>53221</v>
      </c>
      <c r="C3920" s="58" t="str">
        <f>""</f>
        <v/>
      </c>
      <c r="D3920" s="58" t="str">
        <f>"15402649"</f>
        <v>15402649</v>
      </c>
      <c r="E3920" s="46" t="s">
        <v>12389</v>
      </c>
      <c r="F3920" s="46" t="s">
        <v>17759</v>
      </c>
      <c r="G3920" s="46" t="s">
        <v>50584</v>
      </c>
      <c r="H3920" s="48" t="s">
        <v>56716</v>
      </c>
      <c r="I3920" s="48" t="s">
        <v>50564</v>
      </c>
      <c r="J3920" s="48"/>
      <c r="K3920" s="50"/>
      <c r="L3920" s="48"/>
    </row>
    <row r="3921" spans="1:12" s="37" customFormat="1" ht="11.25" x14ac:dyDescent="0.2">
      <c r="A3921" s="46" t="s">
        <v>13986</v>
      </c>
      <c r="B3921" s="46" t="s">
        <v>53222</v>
      </c>
      <c r="C3921" s="58" t="str">
        <f>""</f>
        <v/>
      </c>
      <c r="D3921" s="58" t="str">
        <f>"15288366"</f>
        <v>15288366</v>
      </c>
      <c r="E3921" s="46" t="s">
        <v>12389</v>
      </c>
      <c r="F3921" s="46" t="s">
        <v>17759</v>
      </c>
      <c r="G3921" s="46" t="s">
        <v>50584</v>
      </c>
      <c r="H3921" s="48" t="s">
        <v>56716</v>
      </c>
      <c r="I3921" s="48" t="s">
        <v>50564</v>
      </c>
      <c r="J3921" s="48"/>
      <c r="K3921" s="50"/>
      <c r="L3921" s="48"/>
    </row>
    <row r="3922" spans="1:12" s="37" customFormat="1" ht="11.25" x14ac:dyDescent="0.2">
      <c r="A3922" s="46" t="s">
        <v>14166</v>
      </c>
      <c r="B3922" s="46" t="s">
        <v>53223</v>
      </c>
      <c r="C3922" s="58" t="str">
        <f>""</f>
        <v/>
      </c>
      <c r="D3922" s="58" t="str">
        <f>"15288382"</f>
        <v>15288382</v>
      </c>
      <c r="E3922" s="46" t="s">
        <v>12389</v>
      </c>
      <c r="F3922" s="46" t="s">
        <v>17759</v>
      </c>
      <c r="G3922" s="46" t="s">
        <v>50584</v>
      </c>
      <c r="H3922" s="48" t="s">
        <v>56716</v>
      </c>
      <c r="I3922" s="48" t="s">
        <v>50564</v>
      </c>
      <c r="J3922" s="48"/>
      <c r="K3922" s="50"/>
      <c r="L3922" s="48"/>
    </row>
    <row r="3923" spans="1:12" s="37" customFormat="1" ht="11.25" x14ac:dyDescent="0.2">
      <c r="A3923" s="46" t="s">
        <v>12148</v>
      </c>
      <c r="B3923" s="46" t="s">
        <v>55850</v>
      </c>
      <c r="C3923" s="58" t="str">
        <f>""</f>
        <v/>
      </c>
      <c r="D3923" s="58" t="str">
        <f>"16940423"</f>
        <v>16940423</v>
      </c>
      <c r="E3923" s="46" t="s">
        <v>12150</v>
      </c>
      <c r="F3923" s="46" t="s">
        <v>50657</v>
      </c>
      <c r="G3923" s="46" t="s">
        <v>50584</v>
      </c>
      <c r="H3923" s="48" t="s">
        <v>56716</v>
      </c>
      <c r="I3923" s="48" t="s">
        <v>50564</v>
      </c>
      <c r="J3923" s="48"/>
      <c r="K3923" s="50"/>
      <c r="L3923" s="48"/>
    </row>
    <row r="3924" spans="1:12" s="37" customFormat="1" ht="11.25" x14ac:dyDescent="0.2">
      <c r="A3924" s="46" t="s">
        <v>14152</v>
      </c>
      <c r="B3924" s="46" t="s">
        <v>53224</v>
      </c>
      <c r="C3924" s="58" t="str">
        <f>""</f>
        <v/>
      </c>
      <c r="D3924" s="58" t="str">
        <f>"19378289"</f>
        <v>19378289</v>
      </c>
      <c r="E3924" s="46" t="s">
        <v>12389</v>
      </c>
      <c r="F3924" s="46" t="s">
        <v>17759</v>
      </c>
      <c r="G3924" s="46" t="s">
        <v>50584</v>
      </c>
      <c r="H3924" s="48" t="s">
        <v>56716</v>
      </c>
      <c r="I3924" s="48" t="s">
        <v>50564</v>
      </c>
      <c r="J3924" s="48"/>
      <c r="K3924" s="50"/>
      <c r="L3924" s="48"/>
    </row>
    <row r="3925" spans="1:12" s="37" customFormat="1" ht="11.25" x14ac:dyDescent="0.2">
      <c r="A3925" s="46" t="s">
        <v>13992</v>
      </c>
      <c r="B3925" s="46" t="s">
        <v>55851</v>
      </c>
      <c r="C3925" s="58" t="str">
        <f>""</f>
        <v/>
      </c>
      <c r="D3925" s="58" t="str">
        <f>"1531295X"</f>
        <v>1531295X</v>
      </c>
      <c r="E3925" s="46" t="s">
        <v>12389</v>
      </c>
      <c r="F3925" s="46" t="s">
        <v>17759</v>
      </c>
      <c r="G3925" s="46" t="s">
        <v>50584</v>
      </c>
      <c r="H3925" s="48" t="s">
        <v>56716</v>
      </c>
      <c r="I3925" s="48" t="s">
        <v>50564</v>
      </c>
      <c r="J3925" s="48"/>
      <c r="K3925" s="50"/>
      <c r="L3925" s="48"/>
    </row>
    <row r="3926" spans="1:12" s="37" customFormat="1" ht="11.25" x14ac:dyDescent="0.2">
      <c r="A3926" s="46" t="s">
        <v>13994</v>
      </c>
      <c r="B3926" s="46" t="s">
        <v>53225</v>
      </c>
      <c r="C3926" s="58" t="str">
        <f>""</f>
        <v/>
      </c>
      <c r="D3926" s="58" t="str">
        <f>"15288331"</f>
        <v>15288331</v>
      </c>
      <c r="E3926" s="46" t="s">
        <v>12389</v>
      </c>
      <c r="F3926" s="46" t="s">
        <v>17759</v>
      </c>
      <c r="G3926" s="46" t="s">
        <v>50584</v>
      </c>
      <c r="H3926" s="48" t="s">
        <v>56716</v>
      </c>
      <c r="I3926" s="48" t="s">
        <v>50564</v>
      </c>
      <c r="J3926" s="48"/>
      <c r="K3926" s="50"/>
      <c r="L3926" s="48"/>
    </row>
    <row r="3927" spans="1:12" s="37" customFormat="1" ht="11.25" x14ac:dyDescent="0.2">
      <c r="A3927" s="46" t="s">
        <v>14162</v>
      </c>
      <c r="B3927" s="46" t="s">
        <v>53226</v>
      </c>
      <c r="C3927" s="58" t="str">
        <f>""</f>
        <v/>
      </c>
      <c r="D3927" s="58" t="str">
        <f>"15288374"</f>
        <v>15288374</v>
      </c>
      <c r="E3927" s="46" t="s">
        <v>12389</v>
      </c>
      <c r="F3927" s="46" t="s">
        <v>17759</v>
      </c>
      <c r="G3927" s="46" t="s">
        <v>50584</v>
      </c>
      <c r="H3927" s="48" t="s">
        <v>56716</v>
      </c>
      <c r="I3927" s="48" t="s">
        <v>50564</v>
      </c>
      <c r="J3927" s="48"/>
      <c r="K3927" s="50"/>
      <c r="L3927" s="48"/>
    </row>
    <row r="3928" spans="1:12" s="37" customFormat="1" ht="11.25" x14ac:dyDescent="0.2">
      <c r="A3928" s="46" t="s">
        <v>13982</v>
      </c>
      <c r="B3928" s="46" t="s">
        <v>55852</v>
      </c>
      <c r="C3928" s="58" t="str">
        <f>""</f>
        <v/>
      </c>
      <c r="D3928" s="58" t="str">
        <f>"15312976"</f>
        <v>15312976</v>
      </c>
      <c r="E3928" s="46" t="s">
        <v>12389</v>
      </c>
      <c r="F3928" s="46" t="s">
        <v>17759</v>
      </c>
      <c r="G3928" s="46" t="s">
        <v>50584</v>
      </c>
      <c r="H3928" s="48" t="s">
        <v>56716</v>
      </c>
      <c r="I3928" s="48" t="s">
        <v>50564</v>
      </c>
      <c r="J3928" s="48"/>
      <c r="K3928" s="50"/>
      <c r="L3928" s="48"/>
    </row>
    <row r="3929" spans="1:12" s="37" customFormat="1" ht="11.25" x14ac:dyDescent="0.2">
      <c r="A3929" s="46" t="s">
        <v>14164</v>
      </c>
      <c r="B3929" s="46" t="s">
        <v>53227</v>
      </c>
      <c r="C3929" s="58" t="str">
        <f>""</f>
        <v/>
      </c>
      <c r="D3929" s="58" t="str">
        <f>"15312984"</f>
        <v>15312984</v>
      </c>
      <c r="E3929" s="46" t="s">
        <v>12389</v>
      </c>
      <c r="F3929" s="46" t="s">
        <v>17759</v>
      </c>
      <c r="G3929" s="46" t="s">
        <v>50584</v>
      </c>
      <c r="H3929" s="48" t="s">
        <v>56716</v>
      </c>
      <c r="I3929" s="48" t="s">
        <v>50564</v>
      </c>
      <c r="J3929" s="48"/>
      <c r="K3929" s="50"/>
      <c r="L3929" s="48"/>
    </row>
    <row r="3930" spans="1:12" s="37" customFormat="1" ht="11.25" x14ac:dyDescent="0.2">
      <c r="A3930" s="46" t="s">
        <v>14168</v>
      </c>
      <c r="B3930" s="46" t="s">
        <v>53228</v>
      </c>
      <c r="C3930" s="58" t="str">
        <f>""</f>
        <v/>
      </c>
      <c r="D3930" s="58" t="str">
        <f>"15394646"</f>
        <v>15394646</v>
      </c>
      <c r="E3930" s="46" t="s">
        <v>12389</v>
      </c>
      <c r="F3930" s="46" t="s">
        <v>17759</v>
      </c>
      <c r="G3930" s="46" t="s">
        <v>50584</v>
      </c>
      <c r="H3930" s="48" t="s">
        <v>56716</v>
      </c>
      <c r="I3930" s="48" t="s">
        <v>50564</v>
      </c>
      <c r="J3930" s="48"/>
      <c r="K3930" s="50"/>
      <c r="L3930" s="48"/>
    </row>
    <row r="3931" spans="1:12" s="37" customFormat="1" ht="11.25" x14ac:dyDescent="0.2">
      <c r="A3931" s="46" t="s">
        <v>13984</v>
      </c>
      <c r="B3931" s="46" t="s">
        <v>53229</v>
      </c>
      <c r="C3931" s="58" t="str">
        <f>""</f>
        <v/>
      </c>
      <c r="D3931" s="58" t="str">
        <f>"15593916"</f>
        <v>15593916</v>
      </c>
      <c r="E3931" s="46" t="s">
        <v>12389</v>
      </c>
      <c r="F3931" s="46" t="s">
        <v>17759</v>
      </c>
      <c r="G3931" s="46" t="s">
        <v>50584</v>
      </c>
      <c r="H3931" s="48" t="s">
        <v>56716</v>
      </c>
      <c r="I3931" s="48" t="s">
        <v>50564</v>
      </c>
      <c r="J3931" s="48"/>
      <c r="K3931" s="50"/>
      <c r="L3931" s="48"/>
    </row>
    <row r="3932" spans="1:12" s="37" customFormat="1" ht="11.25" x14ac:dyDescent="0.2">
      <c r="A3932" s="46" t="s">
        <v>14170</v>
      </c>
      <c r="B3932" s="46" t="s">
        <v>53230</v>
      </c>
      <c r="C3932" s="58" t="str">
        <f>""</f>
        <v/>
      </c>
      <c r="D3932" s="58" t="str">
        <f>"15402681"</f>
        <v>15402681</v>
      </c>
      <c r="E3932" s="46" t="s">
        <v>12389</v>
      </c>
      <c r="F3932" s="46" t="s">
        <v>17759</v>
      </c>
      <c r="G3932" s="46" t="s">
        <v>50584</v>
      </c>
      <c r="H3932" s="48" t="s">
        <v>56716</v>
      </c>
      <c r="I3932" s="48" t="s">
        <v>50564</v>
      </c>
      <c r="J3932" s="48"/>
      <c r="K3932" s="50"/>
      <c r="L3932" s="48"/>
    </row>
    <row r="3933" spans="1:12" s="37" customFormat="1" ht="11.25" x14ac:dyDescent="0.2">
      <c r="A3933" s="46" t="s">
        <v>15131</v>
      </c>
      <c r="B3933" s="46" t="s">
        <v>53231</v>
      </c>
      <c r="C3933" s="58" t="str">
        <f>"12127299"</f>
        <v>12127299</v>
      </c>
      <c r="D3933" s="58" t="str">
        <f>"18035256"</f>
        <v>18035256</v>
      </c>
      <c r="E3933" s="46" t="s">
        <v>55891</v>
      </c>
      <c r="F3933" s="46" t="s">
        <v>18025</v>
      </c>
      <c r="G3933" s="46" t="s">
        <v>50581</v>
      </c>
      <c r="H3933" s="48" t="s">
        <v>56716</v>
      </c>
      <c r="I3933" s="48" t="s">
        <v>50564</v>
      </c>
      <c r="J3933" s="48"/>
      <c r="K3933" s="50"/>
      <c r="L3933" s="48"/>
    </row>
    <row r="3934" spans="1:12" s="37" customFormat="1" ht="11.25" x14ac:dyDescent="0.2">
      <c r="A3934" s="46" t="s">
        <v>2065</v>
      </c>
      <c r="B3934" s="46" t="s">
        <v>2065</v>
      </c>
      <c r="C3934" s="58" t="str">
        <f>"00209554"</f>
        <v>00209554</v>
      </c>
      <c r="D3934" s="58" t="str">
        <f>"14321289"</f>
        <v>14321289</v>
      </c>
      <c r="E3934" s="46" t="s">
        <v>167</v>
      </c>
      <c r="F3934" s="46" t="s">
        <v>18158</v>
      </c>
      <c r="G3934" s="46" t="s">
        <v>50593</v>
      </c>
      <c r="H3934" s="48" t="s">
        <v>56716</v>
      </c>
      <c r="I3934" s="48" t="s">
        <v>50564</v>
      </c>
      <c r="J3934" s="48"/>
      <c r="K3934" s="50" t="s">
        <v>56716</v>
      </c>
      <c r="L3934" s="48" t="s">
        <v>56716</v>
      </c>
    </row>
    <row r="3935" spans="1:12" s="37" customFormat="1" ht="11.25" x14ac:dyDescent="0.2">
      <c r="A3935" s="46" t="s">
        <v>2063</v>
      </c>
      <c r="B3935" s="46" t="s">
        <v>53232</v>
      </c>
      <c r="C3935" s="58" t="str">
        <f>"00209570"</f>
        <v>00209570</v>
      </c>
      <c r="D3935" s="58" t="str">
        <f>""</f>
        <v/>
      </c>
      <c r="E3935" s="46" t="s">
        <v>1747</v>
      </c>
      <c r="F3935" s="46" t="s">
        <v>18158</v>
      </c>
      <c r="G3935" s="46" t="s">
        <v>50593</v>
      </c>
      <c r="H3935" s="48" t="s">
        <v>56716</v>
      </c>
      <c r="I3935" s="48" t="s">
        <v>50564</v>
      </c>
      <c r="J3935" s="48"/>
      <c r="K3935" s="50"/>
      <c r="L3935" s="48"/>
    </row>
    <row r="3936" spans="1:12" s="37" customFormat="1" ht="11.25" x14ac:dyDescent="0.2">
      <c r="A3936" s="46" t="s">
        <v>14510</v>
      </c>
      <c r="B3936" s="46" t="s">
        <v>53233</v>
      </c>
      <c r="C3936" s="58" t="str">
        <f>"1213807X"</f>
        <v>1213807X</v>
      </c>
      <c r="D3936" s="58" t="str">
        <f>"18035302"</f>
        <v>18035302</v>
      </c>
      <c r="E3936" s="46" t="s">
        <v>55891</v>
      </c>
      <c r="F3936" s="46" t="s">
        <v>18025</v>
      </c>
      <c r="G3936" s="46" t="s">
        <v>50581</v>
      </c>
      <c r="H3936" s="48" t="s">
        <v>56716</v>
      </c>
      <c r="I3936" s="48" t="s">
        <v>50564</v>
      </c>
      <c r="J3936" s="48"/>
      <c r="K3936" s="50"/>
      <c r="L3936" s="48"/>
    </row>
    <row r="3937" spans="1:12" s="37" customFormat="1" ht="11.25" x14ac:dyDescent="0.2">
      <c r="A3937" s="46" t="s">
        <v>56029</v>
      </c>
      <c r="B3937" s="46" t="s">
        <v>53234</v>
      </c>
      <c r="C3937" s="58" t="str">
        <f>"17555302"</f>
        <v>17555302</v>
      </c>
      <c r="D3937" s="58" t="str">
        <f>"17555310"</f>
        <v>17555310</v>
      </c>
      <c r="E3937" s="46" t="s">
        <v>8442</v>
      </c>
      <c r="F3937" s="46" t="s">
        <v>50646</v>
      </c>
      <c r="G3937" s="46" t="s">
        <v>50584</v>
      </c>
      <c r="H3937" s="48" t="s">
        <v>56716</v>
      </c>
      <c r="I3937" s="48" t="s">
        <v>50564</v>
      </c>
      <c r="J3937" s="48" t="s">
        <v>56716</v>
      </c>
      <c r="K3937" s="50"/>
      <c r="L3937" s="48"/>
    </row>
    <row r="3938" spans="1:12" s="37" customFormat="1" ht="11.25" x14ac:dyDescent="0.2">
      <c r="A3938" s="46" t="s">
        <v>15953</v>
      </c>
      <c r="B3938" s="46" t="s">
        <v>53235</v>
      </c>
      <c r="C3938" s="58" t="str">
        <f>"22117458"</f>
        <v>22117458</v>
      </c>
      <c r="D3938" s="58" t="str">
        <f>""</f>
        <v/>
      </c>
      <c r="E3938" s="46" t="s">
        <v>272</v>
      </c>
      <c r="F3938" s="46" t="s">
        <v>17759</v>
      </c>
      <c r="G3938" s="46" t="s">
        <v>50584</v>
      </c>
      <c r="H3938" s="48" t="s">
        <v>56716</v>
      </c>
      <c r="I3938" s="48" t="s">
        <v>50564</v>
      </c>
      <c r="J3938" s="48" t="s">
        <v>56716</v>
      </c>
      <c r="K3938" s="50"/>
      <c r="L3938" s="48"/>
    </row>
    <row r="3939" spans="1:12" s="37" customFormat="1" ht="11.25" x14ac:dyDescent="0.2">
      <c r="A3939" s="46" t="s">
        <v>56075</v>
      </c>
      <c r="B3939" s="46" t="s">
        <v>56076</v>
      </c>
      <c r="C3939" s="58" t="str">
        <f>"17561477"</f>
        <v>17561477</v>
      </c>
      <c r="D3939" s="58" t="str">
        <f>"17561485"</f>
        <v>17561485</v>
      </c>
      <c r="E3939" s="46" t="s">
        <v>12701</v>
      </c>
      <c r="F3939" s="46" t="s">
        <v>50646</v>
      </c>
      <c r="G3939" s="46" t="s">
        <v>50584</v>
      </c>
      <c r="H3939" s="48" t="s">
        <v>56716</v>
      </c>
      <c r="I3939" s="48" t="s">
        <v>50564</v>
      </c>
      <c r="J3939" s="48"/>
      <c r="K3939" s="50"/>
      <c r="L3939" s="48"/>
    </row>
    <row r="3940" spans="1:12" s="37" customFormat="1" ht="11.25" x14ac:dyDescent="0.2">
      <c r="A3940" s="46" t="s">
        <v>16313</v>
      </c>
      <c r="B3940" s="46" t="s">
        <v>53236</v>
      </c>
      <c r="C3940" s="58" t="str">
        <f>"20611617"</f>
        <v>20611617</v>
      </c>
      <c r="D3940" s="58" t="str">
        <f>"20615094"</f>
        <v>20615094</v>
      </c>
      <c r="E3940" s="46" t="s">
        <v>79</v>
      </c>
      <c r="F3940" s="45" t="s">
        <v>17976</v>
      </c>
      <c r="G3940" s="46" t="s">
        <v>50584</v>
      </c>
      <c r="H3940" s="48" t="s">
        <v>56716</v>
      </c>
      <c r="I3940" s="48" t="s">
        <v>50564</v>
      </c>
      <c r="J3940" s="48"/>
      <c r="K3940" s="50"/>
      <c r="L3940" s="48"/>
    </row>
    <row r="3941" spans="1:12" s="37" customFormat="1" ht="11.25" x14ac:dyDescent="0.2">
      <c r="A3941" s="46" t="s">
        <v>17527</v>
      </c>
      <c r="B3941" s="46" t="s">
        <v>53237</v>
      </c>
      <c r="C3941" s="58" t="str">
        <f>"16649737"</f>
        <v>16649737</v>
      </c>
      <c r="D3941" s="58" t="str">
        <f>"16645545"</f>
        <v>16645545</v>
      </c>
      <c r="E3941" s="46" t="s">
        <v>109</v>
      </c>
      <c r="F3941" s="46" t="s">
        <v>18123</v>
      </c>
      <c r="G3941" s="46" t="s">
        <v>50584</v>
      </c>
      <c r="H3941" s="48" t="s">
        <v>56716</v>
      </c>
      <c r="I3941" s="48" t="s">
        <v>50564</v>
      </c>
      <c r="J3941" s="48" t="s">
        <v>56716</v>
      </c>
      <c r="K3941" s="50"/>
      <c r="L3941" s="48"/>
    </row>
    <row r="3942" spans="1:12" s="37" customFormat="1" ht="11.25" x14ac:dyDescent="0.2">
      <c r="A3942" s="46" t="s">
        <v>7020</v>
      </c>
      <c r="B3942" s="46" t="s">
        <v>53238</v>
      </c>
      <c r="C3942" s="58" t="str">
        <f>"15910199"</f>
        <v>15910199</v>
      </c>
      <c r="D3942" s="58" t="str">
        <f>""</f>
        <v/>
      </c>
      <c r="E3942" s="46" t="s">
        <v>33183</v>
      </c>
      <c r="F3942" s="46" t="s">
        <v>17991</v>
      </c>
      <c r="G3942" s="46" t="s">
        <v>50584</v>
      </c>
      <c r="H3942" s="48" t="s">
        <v>56716</v>
      </c>
      <c r="I3942" s="48" t="s">
        <v>50564</v>
      </c>
      <c r="J3942" s="48"/>
      <c r="K3942" s="50"/>
      <c r="L3942" s="48" t="s">
        <v>56716</v>
      </c>
    </row>
    <row r="3943" spans="1:12" s="37" customFormat="1" ht="11.25" x14ac:dyDescent="0.2">
      <c r="A3943" s="46" t="s">
        <v>2095</v>
      </c>
      <c r="B3943" s="46" t="s">
        <v>2095</v>
      </c>
      <c r="C3943" s="58" t="str">
        <f>"03005526"</f>
        <v>03005526</v>
      </c>
      <c r="D3943" s="58" t="str">
        <f>"14230100"</f>
        <v>14230100</v>
      </c>
      <c r="E3943" s="46" t="s">
        <v>109</v>
      </c>
      <c r="F3943" s="46" t="s">
        <v>18123</v>
      </c>
      <c r="G3943" s="46" t="s">
        <v>50584</v>
      </c>
      <c r="H3943" s="48" t="s">
        <v>56716</v>
      </c>
      <c r="I3943" s="48" t="s">
        <v>50564</v>
      </c>
      <c r="J3943" s="48" t="s">
        <v>56716</v>
      </c>
      <c r="K3943" s="50" t="s">
        <v>56716</v>
      </c>
      <c r="L3943" s="48" t="s">
        <v>56716</v>
      </c>
    </row>
    <row r="3944" spans="1:12" s="37" customFormat="1" ht="11.25" x14ac:dyDescent="0.2">
      <c r="A3944" s="46" t="s">
        <v>16749</v>
      </c>
      <c r="B3944" s="46" t="s">
        <v>53239</v>
      </c>
      <c r="C3944" s="58" t="str">
        <f>"21863644"</f>
        <v>21863644</v>
      </c>
      <c r="D3944" s="58" t="str">
        <f>"2186361X"</f>
        <v>2186361X</v>
      </c>
      <c r="E3944" s="46" t="s">
        <v>16747</v>
      </c>
      <c r="F3944" s="46" t="s">
        <v>18242</v>
      </c>
      <c r="G3944" s="46" t="s">
        <v>50584</v>
      </c>
      <c r="H3944" s="48" t="s">
        <v>56716</v>
      </c>
      <c r="I3944" s="48" t="s">
        <v>50564</v>
      </c>
      <c r="J3944" s="48"/>
      <c r="K3944" s="50"/>
      <c r="L3944" s="48"/>
    </row>
    <row r="3945" spans="1:12" s="37" customFormat="1" ht="11.25" x14ac:dyDescent="0.2">
      <c r="A3945" s="46" t="s">
        <v>17481</v>
      </c>
      <c r="B3945" s="46" t="s">
        <v>17481</v>
      </c>
      <c r="C3945" s="58" t="str">
        <f>"21659079"</f>
        <v>21659079</v>
      </c>
      <c r="D3945" s="58" t="str">
        <f>"21659087"</f>
        <v>21659087</v>
      </c>
      <c r="E3945" s="46" t="s">
        <v>669</v>
      </c>
      <c r="F3945" s="46" t="s">
        <v>17759</v>
      </c>
      <c r="G3945" s="46" t="s">
        <v>50584</v>
      </c>
      <c r="H3945" s="48" t="s">
        <v>56716</v>
      </c>
      <c r="I3945" s="48" t="s">
        <v>50564</v>
      </c>
      <c r="J3945" s="48"/>
      <c r="K3945" s="50"/>
      <c r="L3945" s="48"/>
    </row>
    <row r="3946" spans="1:12" s="37" customFormat="1" ht="11.25" x14ac:dyDescent="0.2">
      <c r="A3946" s="46" t="s">
        <v>17484</v>
      </c>
      <c r="B3946" s="46" t="s">
        <v>53240</v>
      </c>
      <c r="C3946" s="58" t="str">
        <f>""</f>
        <v/>
      </c>
      <c r="D3946" s="58" t="str">
        <f>"21690707"</f>
        <v>21690707</v>
      </c>
      <c r="E3946" s="46" t="s">
        <v>669</v>
      </c>
      <c r="F3946" s="46" t="s">
        <v>17759</v>
      </c>
      <c r="G3946" s="46" t="s">
        <v>50584</v>
      </c>
      <c r="H3946" s="48" t="s">
        <v>56716</v>
      </c>
      <c r="I3946" s="48" t="s">
        <v>50564</v>
      </c>
      <c r="J3946" s="48"/>
      <c r="K3946" s="50"/>
      <c r="L3946" s="48"/>
    </row>
    <row r="3947" spans="1:12" s="37" customFormat="1" ht="11.25" x14ac:dyDescent="0.2">
      <c r="A3947" s="45" t="s">
        <v>33187</v>
      </c>
      <c r="B3947" s="45" t="s">
        <v>33189</v>
      </c>
      <c r="C3947" s="51" t="s">
        <v>33191</v>
      </c>
      <c r="D3947" s="51" t="s">
        <v>33190</v>
      </c>
      <c r="E3947" s="45" t="s">
        <v>167</v>
      </c>
      <c r="F3947" s="45" t="s">
        <v>18158</v>
      </c>
      <c r="G3947" s="45" t="s">
        <v>50584</v>
      </c>
      <c r="H3947" s="56"/>
      <c r="I3947" s="56" t="s">
        <v>50564</v>
      </c>
      <c r="J3947" s="56"/>
      <c r="K3947" s="50"/>
      <c r="L3947" s="56" t="s">
        <v>56716</v>
      </c>
    </row>
    <row r="3948" spans="1:12" s="37" customFormat="1" ht="11.25" x14ac:dyDescent="0.2">
      <c r="A3948" s="46" t="s">
        <v>1863</v>
      </c>
      <c r="B3948" s="46" t="s">
        <v>53241</v>
      </c>
      <c r="C3948" s="58" t="str">
        <f>"05355133"</f>
        <v>05355133</v>
      </c>
      <c r="D3948" s="58" t="str">
        <f>"05355133"</f>
        <v>05355133</v>
      </c>
      <c r="E3948" s="46" t="s">
        <v>1865</v>
      </c>
      <c r="F3948" s="46" t="s">
        <v>21505</v>
      </c>
      <c r="G3948" s="46" t="s">
        <v>50632</v>
      </c>
      <c r="H3948" s="48" t="s">
        <v>56716</v>
      </c>
      <c r="I3948" s="48" t="s">
        <v>50564</v>
      </c>
      <c r="J3948" s="48"/>
      <c r="K3948" s="50"/>
      <c r="L3948" s="48" t="s">
        <v>56716</v>
      </c>
    </row>
    <row r="3949" spans="1:12" s="37" customFormat="1" ht="11.25" x14ac:dyDescent="0.2">
      <c r="A3949" s="45" t="s">
        <v>56592</v>
      </c>
      <c r="B3949" s="45" t="s">
        <v>56593</v>
      </c>
      <c r="C3949" s="51" t="s">
        <v>56594</v>
      </c>
      <c r="D3949" s="51" t="s">
        <v>56595</v>
      </c>
      <c r="E3949" s="45" t="s">
        <v>56596</v>
      </c>
      <c r="F3949" s="45" t="s">
        <v>22591</v>
      </c>
      <c r="G3949" s="45" t="s">
        <v>50634</v>
      </c>
      <c r="H3949" s="56"/>
      <c r="I3949" s="56" t="s">
        <v>50564</v>
      </c>
      <c r="J3949" s="56"/>
      <c r="K3949" s="50"/>
      <c r="L3949" s="56" t="s">
        <v>56716</v>
      </c>
    </row>
    <row r="3950" spans="1:12" s="37" customFormat="1" ht="11.25" x14ac:dyDescent="0.2">
      <c r="A3950" s="46" t="s">
        <v>2054</v>
      </c>
      <c r="B3950" s="46" t="s">
        <v>53242</v>
      </c>
      <c r="C3950" s="58" t="str">
        <f>"01676997"</f>
        <v>01676997</v>
      </c>
      <c r="D3950" s="58" t="str">
        <f>"15730646"</f>
        <v>15730646</v>
      </c>
      <c r="E3950" s="46" t="s">
        <v>56305</v>
      </c>
      <c r="F3950" s="46" t="s">
        <v>17759</v>
      </c>
      <c r="G3950" s="46" t="s">
        <v>50584</v>
      </c>
      <c r="H3950" s="48" t="s">
        <v>56716</v>
      </c>
      <c r="I3950" s="48" t="s">
        <v>50564</v>
      </c>
      <c r="J3950" s="48" t="s">
        <v>56716</v>
      </c>
      <c r="K3950" s="50" t="s">
        <v>56716</v>
      </c>
      <c r="L3950" s="48" t="s">
        <v>56716</v>
      </c>
    </row>
    <row r="3951" spans="1:12" s="37" customFormat="1" ht="11.25" x14ac:dyDescent="0.2">
      <c r="A3951" s="46" t="s">
        <v>15157</v>
      </c>
      <c r="B3951" s="46" t="s">
        <v>53243</v>
      </c>
      <c r="C3951" s="58" t="str">
        <f>""</f>
        <v/>
      </c>
      <c r="D3951" s="58" t="str">
        <f>"20412223"</f>
        <v>20412223</v>
      </c>
      <c r="E3951" s="46" t="s">
        <v>2299</v>
      </c>
      <c r="F3951" s="46" t="s">
        <v>50646</v>
      </c>
      <c r="G3951" s="46" t="s">
        <v>50584</v>
      </c>
      <c r="H3951" s="48" t="s">
        <v>56716</v>
      </c>
      <c r="I3951" s="48" t="s">
        <v>50564</v>
      </c>
      <c r="J3951" s="48" t="s">
        <v>56716</v>
      </c>
      <c r="K3951" s="50" t="s">
        <v>56716</v>
      </c>
      <c r="L3951" s="48"/>
    </row>
    <row r="3952" spans="1:12" s="37" customFormat="1" ht="11.25" x14ac:dyDescent="0.2">
      <c r="A3952" s="46" t="s">
        <v>2080</v>
      </c>
      <c r="B3952" s="46" t="s">
        <v>53244</v>
      </c>
      <c r="C3952" s="58" t="str">
        <f>"01460404"</f>
        <v>01460404</v>
      </c>
      <c r="D3952" s="58" t="str">
        <f>"15525783"</f>
        <v>15525783</v>
      </c>
      <c r="E3952" s="46" t="s">
        <v>2083</v>
      </c>
      <c r="F3952" s="46" t="s">
        <v>17759</v>
      </c>
      <c r="G3952" s="46" t="s">
        <v>50584</v>
      </c>
      <c r="H3952" s="48" t="s">
        <v>56716</v>
      </c>
      <c r="I3952" s="48" t="s">
        <v>50564</v>
      </c>
      <c r="J3952" s="48" t="s">
        <v>56716</v>
      </c>
      <c r="K3952" s="50"/>
      <c r="L3952" s="48" t="s">
        <v>56716</v>
      </c>
    </row>
    <row r="3953" spans="1:12" s="37" customFormat="1" ht="11.25" x14ac:dyDescent="0.2">
      <c r="A3953" s="46" t="s">
        <v>2068</v>
      </c>
      <c r="B3953" s="46" t="s">
        <v>53245</v>
      </c>
      <c r="C3953" s="58" t="str">
        <f>"00209996"</f>
        <v>00209996</v>
      </c>
      <c r="D3953" s="58" t="str">
        <f>"15360210"</f>
        <v>15360210</v>
      </c>
      <c r="E3953" s="46" t="s">
        <v>28</v>
      </c>
      <c r="F3953" s="46" t="s">
        <v>17759</v>
      </c>
      <c r="G3953" s="46" t="s">
        <v>50584</v>
      </c>
      <c r="H3953" s="48" t="s">
        <v>56716</v>
      </c>
      <c r="I3953" s="48" t="s">
        <v>50564</v>
      </c>
      <c r="J3953" s="48" t="s">
        <v>56716</v>
      </c>
      <c r="K3953" s="50" t="s">
        <v>56716</v>
      </c>
      <c r="L3953" s="48" t="s">
        <v>56716</v>
      </c>
    </row>
    <row r="3954" spans="1:12" s="37" customFormat="1" ht="11.25" x14ac:dyDescent="0.2">
      <c r="A3954" s="45" t="s">
        <v>33215</v>
      </c>
      <c r="B3954" s="45" t="s">
        <v>33217</v>
      </c>
      <c r="C3954" s="51" t="s">
        <v>33219</v>
      </c>
      <c r="D3954" s="51"/>
      <c r="E3954" s="45" t="s">
        <v>33220</v>
      </c>
      <c r="F3954" s="45" t="s">
        <v>17759</v>
      </c>
      <c r="G3954" s="45" t="s">
        <v>50584</v>
      </c>
      <c r="H3954" s="56"/>
      <c r="I3954" s="56" t="s">
        <v>50564</v>
      </c>
      <c r="J3954" s="56"/>
      <c r="K3954" s="50"/>
      <c r="L3954" s="56" t="s">
        <v>56716</v>
      </c>
    </row>
    <row r="3955" spans="1:12" s="37" customFormat="1" ht="11.25" x14ac:dyDescent="0.2">
      <c r="A3955" s="46" t="s">
        <v>9197</v>
      </c>
      <c r="B3955" s="46" t="s">
        <v>53246</v>
      </c>
      <c r="C3955" s="58" t="str">
        <f>"1028852X"</f>
        <v>1028852X</v>
      </c>
      <c r="D3955" s="58" t="str">
        <f>""</f>
        <v/>
      </c>
      <c r="E3955" s="46" t="s">
        <v>9199</v>
      </c>
      <c r="F3955" s="46" t="s">
        <v>18232</v>
      </c>
      <c r="G3955" s="46" t="s">
        <v>50584</v>
      </c>
      <c r="H3955" s="48" t="s">
        <v>56716</v>
      </c>
      <c r="I3955" s="48" t="s">
        <v>50564</v>
      </c>
      <c r="J3955" s="48"/>
      <c r="K3955" s="50"/>
      <c r="L3955" s="48" t="s">
        <v>56716</v>
      </c>
    </row>
    <row r="3956" spans="1:12" s="37" customFormat="1" ht="11.25" x14ac:dyDescent="0.2">
      <c r="A3956" s="46" t="s">
        <v>15934</v>
      </c>
      <c r="B3956" s="46" t="s">
        <v>53247</v>
      </c>
      <c r="C3956" s="58" t="str">
        <f>"17357306"</f>
        <v>17357306</v>
      </c>
      <c r="D3956" s="58" t="str">
        <f>""</f>
        <v/>
      </c>
      <c r="E3956" s="46" t="s">
        <v>15936</v>
      </c>
      <c r="F3956" s="46" t="s">
        <v>18232</v>
      </c>
      <c r="G3956" s="46" t="s">
        <v>50584</v>
      </c>
      <c r="H3956" s="48" t="s">
        <v>56716</v>
      </c>
      <c r="I3956" s="48" t="s">
        <v>50564</v>
      </c>
      <c r="J3956" s="48"/>
      <c r="K3956" s="50"/>
      <c r="L3956" s="48"/>
    </row>
    <row r="3957" spans="1:12" s="37" customFormat="1" ht="11.25" x14ac:dyDescent="0.2">
      <c r="A3957" s="46" t="s">
        <v>11222</v>
      </c>
      <c r="B3957" s="46" t="s">
        <v>53248</v>
      </c>
      <c r="C3957" s="58" t="str">
        <f>"17351502"</f>
        <v>17351502</v>
      </c>
      <c r="D3957" s="58" t="str">
        <f>"17355249"</f>
        <v>17355249</v>
      </c>
      <c r="E3957" s="46" t="s">
        <v>11222</v>
      </c>
      <c r="F3957" s="46" t="s">
        <v>18232</v>
      </c>
      <c r="G3957" s="46" t="s">
        <v>50584</v>
      </c>
      <c r="H3957" s="48" t="s">
        <v>56716</v>
      </c>
      <c r="I3957" s="48" t="s">
        <v>50564</v>
      </c>
      <c r="J3957" s="48"/>
      <c r="K3957" s="50"/>
      <c r="L3957" s="48" t="s">
        <v>56716</v>
      </c>
    </row>
    <row r="3958" spans="1:12" s="37" customFormat="1" ht="11.25" x14ac:dyDescent="0.2">
      <c r="A3958" s="46" t="s">
        <v>14443</v>
      </c>
      <c r="B3958" s="46" t="s">
        <v>53249</v>
      </c>
      <c r="C3958" s="58" t="str">
        <f>"20083866"</f>
        <v>20083866</v>
      </c>
      <c r="D3958" s="58" t="str">
        <f>"20083874"</f>
        <v>20083874</v>
      </c>
      <c r="E3958" s="46" t="s">
        <v>14308</v>
      </c>
      <c r="F3958" s="46" t="s">
        <v>18232</v>
      </c>
      <c r="G3958" s="46" t="s">
        <v>50584</v>
      </c>
      <c r="H3958" s="48" t="s">
        <v>56716</v>
      </c>
      <c r="I3958" s="48" t="s">
        <v>50564</v>
      </c>
      <c r="J3958" s="48"/>
      <c r="K3958" s="50"/>
      <c r="L3958" s="48"/>
    </row>
    <row r="3959" spans="1:12" s="37" customFormat="1" ht="11.25" x14ac:dyDescent="0.2">
      <c r="A3959" s="46" t="s">
        <v>12169</v>
      </c>
      <c r="B3959" s="46" t="s">
        <v>53250</v>
      </c>
      <c r="C3959" s="58" t="str">
        <f>"17283043"</f>
        <v>17283043</v>
      </c>
      <c r="D3959" s="58" t="str">
        <f>"23222921"</f>
        <v>23222921</v>
      </c>
      <c r="E3959" s="46" t="s">
        <v>55898</v>
      </c>
      <c r="F3959" s="46" t="s">
        <v>18232</v>
      </c>
      <c r="G3959" s="46" t="s">
        <v>50584</v>
      </c>
      <c r="H3959" s="48" t="s">
        <v>56716</v>
      </c>
      <c r="I3959" s="48" t="s">
        <v>50564</v>
      </c>
      <c r="J3959" s="48"/>
      <c r="K3959" s="50"/>
      <c r="L3959" s="48"/>
    </row>
    <row r="3960" spans="1:12" s="37" customFormat="1" ht="11.25" x14ac:dyDescent="0.2">
      <c r="A3960" s="46" t="s">
        <v>56148</v>
      </c>
      <c r="B3960" s="46" t="s">
        <v>56149</v>
      </c>
      <c r="C3960" s="58" t="str">
        <f>""</f>
        <v/>
      </c>
      <c r="D3960" s="58" t="str">
        <f>"20084595"</f>
        <v>20084595</v>
      </c>
      <c r="E3960" s="46" t="s">
        <v>56150</v>
      </c>
      <c r="F3960" s="46" t="s">
        <v>18232</v>
      </c>
      <c r="G3960" s="46" t="s">
        <v>50584</v>
      </c>
      <c r="H3960" s="48" t="s">
        <v>56716</v>
      </c>
      <c r="I3960" s="48" t="s">
        <v>50564</v>
      </c>
      <c r="J3960" s="48"/>
      <c r="K3960" s="50"/>
      <c r="L3960" s="48"/>
    </row>
    <row r="3961" spans="1:12" s="37" customFormat="1" ht="11.25" x14ac:dyDescent="0.2">
      <c r="A3961" s="46" t="s">
        <v>13526</v>
      </c>
      <c r="B3961" s="46" t="s">
        <v>53251</v>
      </c>
      <c r="C3961" s="58" t="str">
        <f>"20082401"</f>
        <v>20082401</v>
      </c>
      <c r="D3961" s="58" t="str">
        <f>""</f>
        <v/>
      </c>
      <c r="E3961" s="46" t="s">
        <v>13528</v>
      </c>
      <c r="F3961" s="46" t="s">
        <v>18232</v>
      </c>
      <c r="G3961" s="46" t="s">
        <v>50609</v>
      </c>
      <c r="H3961" s="48" t="s">
        <v>56716</v>
      </c>
      <c r="I3961" s="48" t="s">
        <v>50564</v>
      </c>
      <c r="J3961" s="48"/>
      <c r="K3961" s="50"/>
      <c r="L3961" s="48"/>
    </row>
    <row r="3962" spans="1:12" s="37" customFormat="1" ht="11.25" x14ac:dyDescent="0.2">
      <c r="A3962" s="46" t="s">
        <v>12949</v>
      </c>
      <c r="B3962" s="46" t="s">
        <v>53252</v>
      </c>
      <c r="C3962" s="58" t="str">
        <f>"17354668"</f>
        <v>17354668</v>
      </c>
      <c r="D3962" s="58" t="str">
        <f>"20080700"</f>
        <v>20080700</v>
      </c>
      <c r="E3962" s="46" t="s">
        <v>12952</v>
      </c>
      <c r="F3962" s="46" t="s">
        <v>18232</v>
      </c>
      <c r="G3962" s="46" t="s">
        <v>50584</v>
      </c>
      <c r="H3962" s="48" t="s">
        <v>56716</v>
      </c>
      <c r="I3962" s="48" t="s">
        <v>50564</v>
      </c>
      <c r="J3962" s="48"/>
      <c r="K3962" s="50"/>
      <c r="L3962" s="48"/>
    </row>
    <row r="3963" spans="1:12" s="37" customFormat="1" ht="11.25" x14ac:dyDescent="0.2">
      <c r="A3963" s="46" t="s">
        <v>15937</v>
      </c>
      <c r="B3963" s="46" t="s">
        <v>53253</v>
      </c>
      <c r="C3963" s="58" t="str">
        <f>"0021082X"</f>
        <v>0021082X</v>
      </c>
      <c r="D3963" s="58" t="str">
        <f>""</f>
        <v/>
      </c>
      <c r="E3963" s="46" t="s">
        <v>15939</v>
      </c>
      <c r="F3963" s="46" t="s">
        <v>18232</v>
      </c>
      <c r="G3963" s="46" t="s">
        <v>50584</v>
      </c>
      <c r="H3963" s="48" t="s">
        <v>56716</v>
      </c>
      <c r="I3963" s="48" t="s">
        <v>50564</v>
      </c>
      <c r="J3963" s="48"/>
      <c r="K3963" s="50"/>
      <c r="L3963" s="48"/>
    </row>
    <row r="3964" spans="1:12" s="37" customFormat="1" ht="11.25" x14ac:dyDescent="0.2">
      <c r="A3964" s="46" t="s">
        <v>12829</v>
      </c>
      <c r="B3964" s="46" t="s">
        <v>53254</v>
      </c>
      <c r="C3964" s="58" t="str">
        <f>"16834844"</f>
        <v>16834844</v>
      </c>
      <c r="D3964" s="58" t="str">
        <f>"16835476"</f>
        <v>16835476</v>
      </c>
      <c r="E3964" s="46" t="s">
        <v>12832</v>
      </c>
      <c r="F3964" s="46" t="s">
        <v>18232</v>
      </c>
      <c r="G3964" s="46" t="s">
        <v>50609</v>
      </c>
      <c r="H3964" s="48" t="s">
        <v>56716</v>
      </c>
      <c r="I3964" s="48" t="s">
        <v>50564</v>
      </c>
      <c r="J3964" s="48"/>
      <c r="K3964" s="50"/>
      <c r="L3964" s="48"/>
    </row>
    <row r="3965" spans="1:12" s="37" customFormat="1" ht="11.25" x14ac:dyDescent="0.2">
      <c r="A3965" s="46" t="s">
        <v>14651</v>
      </c>
      <c r="B3965" s="46" t="s">
        <v>53255</v>
      </c>
      <c r="C3965" s="58" t="str">
        <f>"17357489"</f>
        <v>17357489</v>
      </c>
      <c r="D3965" s="58" t="str">
        <f>""</f>
        <v/>
      </c>
      <c r="E3965" s="46" t="s">
        <v>14653</v>
      </c>
      <c r="F3965" s="46" t="s">
        <v>18232</v>
      </c>
      <c r="G3965" s="46" t="s">
        <v>50609</v>
      </c>
      <c r="H3965" s="48" t="s">
        <v>56716</v>
      </c>
      <c r="I3965" s="48" t="s">
        <v>50564</v>
      </c>
      <c r="J3965" s="48"/>
      <c r="K3965" s="50"/>
      <c r="L3965" s="48"/>
    </row>
    <row r="3966" spans="1:12" s="37" customFormat="1" ht="11.25" x14ac:dyDescent="0.2">
      <c r="A3966" s="46" t="s">
        <v>11363</v>
      </c>
      <c r="B3966" s="46" t="s">
        <v>53256</v>
      </c>
      <c r="C3966" s="58" t="str">
        <f>"17351383"</f>
        <v>17351383</v>
      </c>
      <c r="D3966" s="58" t="str">
        <f>"1735367X"</f>
        <v>1735367X</v>
      </c>
      <c r="E3966" s="46" t="s">
        <v>1956</v>
      </c>
      <c r="F3966" s="46" t="s">
        <v>18232</v>
      </c>
      <c r="G3966" s="46" t="s">
        <v>50584</v>
      </c>
      <c r="H3966" s="48" t="s">
        <v>56716</v>
      </c>
      <c r="I3966" s="48" t="s">
        <v>50564</v>
      </c>
      <c r="J3966" s="48"/>
      <c r="K3966" s="50"/>
      <c r="L3966" s="48" t="s">
        <v>56716</v>
      </c>
    </row>
    <row r="3967" spans="1:12" s="37" customFormat="1" ht="11.25" x14ac:dyDescent="0.2">
      <c r="A3967" s="46" t="s">
        <v>13387</v>
      </c>
      <c r="B3967" s="46" t="s">
        <v>53257</v>
      </c>
      <c r="C3967" s="58" t="str">
        <f>"17358582"</f>
        <v>17358582</v>
      </c>
      <c r="D3967" s="58" t="str">
        <f>"17358604"</f>
        <v>17358604</v>
      </c>
      <c r="E3967" s="46" t="s">
        <v>13390</v>
      </c>
      <c r="F3967" s="46" t="s">
        <v>18232</v>
      </c>
      <c r="G3967" s="46" t="s">
        <v>50584</v>
      </c>
      <c r="H3967" s="48" t="s">
        <v>56716</v>
      </c>
      <c r="I3967" s="48" t="s">
        <v>50564</v>
      </c>
      <c r="J3967" s="48"/>
      <c r="K3967" s="50"/>
      <c r="L3967" s="48" t="s">
        <v>56716</v>
      </c>
    </row>
    <row r="3968" spans="1:12" s="37" customFormat="1" ht="11.25" x14ac:dyDescent="0.2">
      <c r="A3968" s="46" t="s">
        <v>1953</v>
      </c>
      <c r="B3968" s="46" t="s">
        <v>53258</v>
      </c>
      <c r="C3968" s="58" t="str">
        <f>"02530716"</f>
        <v>02530716</v>
      </c>
      <c r="D3968" s="58" t="str">
        <f>"17353688"</f>
        <v>17353688</v>
      </c>
      <c r="E3968" s="46" t="s">
        <v>1956</v>
      </c>
      <c r="F3968" s="46" t="s">
        <v>18232</v>
      </c>
      <c r="G3968" s="46" t="s">
        <v>50584</v>
      </c>
      <c r="H3968" s="48" t="s">
        <v>56716</v>
      </c>
      <c r="I3968" s="48" t="s">
        <v>50564</v>
      </c>
      <c r="J3968" s="48"/>
      <c r="K3968" s="50"/>
      <c r="L3968" s="48"/>
    </row>
    <row r="3969" spans="1:12" s="37" customFormat="1" ht="11.25" x14ac:dyDescent="0.2">
      <c r="A3969" s="46" t="s">
        <v>14446</v>
      </c>
      <c r="B3969" s="46" t="s">
        <v>53259</v>
      </c>
      <c r="C3969" s="58" t="str">
        <f>"20083289"</f>
        <v>20083289</v>
      </c>
      <c r="D3969" s="58" t="str">
        <f>"20084447"</f>
        <v>20084447</v>
      </c>
      <c r="E3969" s="46" t="s">
        <v>14449</v>
      </c>
      <c r="F3969" s="46" t="s">
        <v>18232</v>
      </c>
      <c r="G3969" s="46" t="s">
        <v>50584</v>
      </c>
      <c r="H3969" s="48" t="s">
        <v>56716</v>
      </c>
      <c r="I3969" s="48" t="s">
        <v>50564</v>
      </c>
      <c r="J3969" s="48"/>
      <c r="K3969" s="50"/>
      <c r="L3969" s="48"/>
    </row>
    <row r="3970" spans="1:12" s="37" customFormat="1" ht="11.25" x14ac:dyDescent="0.2">
      <c r="A3970" s="46" t="s">
        <v>16939</v>
      </c>
      <c r="B3970" s="46" t="s">
        <v>53260</v>
      </c>
      <c r="C3970" s="58" t="str">
        <f>"22517510"</f>
        <v>22517510</v>
      </c>
      <c r="D3970" s="58" t="str">
        <f>"23222158"</f>
        <v>23222158</v>
      </c>
      <c r="E3970" s="46" t="s">
        <v>14308</v>
      </c>
      <c r="F3970" s="46" t="s">
        <v>18232</v>
      </c>
      <c r="G3970" s="46" t="s">
        <v>50609</v>
      </c>
      <c r="H3970" s="48" t="s">
        <v>56716</v>
      </c>
      <c r="I3970" s="48" t="s">
        <v>50564</v>
      </c>
      <c r="J3970" s="48"/>
      <c r="K3970" s="50"/>
      <c r="L3970" s="48"/>
    </row>
    <row r="3971" spans="1:12" s="37" customFormat="1" ht="11.25" x14ac:dyDescent="0.2">
      <c r="A3971" s="46" t="s">
        <v>17303</v>
      </c>
      <c r="B3971" s="46" t="s">
        <v>53261</v>
      </c>
      <c r="C3971" s="58" t="str">
        <f>"2008384X"</f>
        <v>2008384X</v>
      </c>
      <c r="D3971" s="58" t="str">
        <f>"22520058"</f>
        <v>22520058</v>
      </c>
      <c r="E3971" s="46" t="s">
        <v>4553</v>
      </c>
      <c r="F3971" s="46" t="s">
        <v>18232</v>
      </c>
      <c r="G3971" s="46" t="s">
        <v>50584</v>
      </c>
      <c r="H3971" s="48" t="s">
        <v>56716</v>
      </c>
      <c r="I3971" s="48" t="s">
        <v>50564</v>
      </c>
      <c r="J3971" s="48"/>
      <c r="K3971" s="50"/>
      <c r="L3971" s="48"/>
    </row>
    <row r="3972" spans="1:12" s="37" customFormat="1" ht="11.25" x14ac:dyDescent="0.2">
      <c r="A3972" s="46" t="s">
        <v>11377</v>
      </c>
      <c r="B3972" s="46" t="s">
        <v>53262</v>
      </c>
      <c r="C3972" s="58" t="str">
        <f>"16812824"</f>
        <v>16812824</v>
      </c>
      <c r="D3972" s="58" t="str">
        <f>"20082509"</f>
        <v>20082509</v>
      </c>
      <c r="E3972" s="46" t="s">
        <v>4553</v>
      </c>
      <c r="F3972" s="46" t="s">
        <v>18232</v>
      </c>
      <c r="G3972" s="46" t="s">
        <v>50609</v>
      </c>
      <c r="H3972" s="48" t="s">
        <v>56716</v>
      </c>
      <c r="I3972" s="48" t="s">
        <v>50564</v>
      </c>
      <c r="J3972" s="48"/>
      <c r="K3972" s="50"/>
      <c r="L3972" s="48"/>
    </row>
    <row r="3973" spans="1:12" s="37" customFormat="1" ht="11.25" x14ac:dyDescent="0.2">
      <c r="A3973" s="46" t="s">
        <v>14305</v>
      </c>
      <c r="B3973" s="46" t="s">
        <v>53263</v>
      </c>
      <c r="C3973" s="58" t="str">
        <f>"16802993"</f>
        <v>16802993</v>
      </c>
      <c r="D3973" s="58" t="str">
        <f>"20082363"</f>
        <v>20082363</v>
      </c>
      <c r="E3973" s="46" t="s">
        <v>14308</v>
      </c>
      <c r="F3973" s="46" t="s">
        <v>18232</v>
      </c>
      <c r="G3973" s="46" t="s">
        <v>50609</v>
      </c>
      <c r="H3973" s="48" t="s">
        <v>56716</v>
      </c>
      <c r="I3973" s="48" t="s">
        <v>50564</v>
      </c>
      <c r="J3973" s="48"/>
      <c r="K3973" s="50"/>
      <c r="L3973" s="48"/>
    </row>
    <row r="3974" spans="1:12" s="37" customFormat="1" ht="11.25" x14ac:dyDescent="0.2">
      <c r="A3974" s="46" t="s">
        <v>15990</v>
      </c>
      <c r="B3974" s="46" t="s">
        <v>53264</v>
      </c>
      <c r="C3974" s="58" t="str">
        <f>"22517251"</f>
        <v>22517251</v>
      </c>
      <c r="D3974" s="58" t="str">
        <f>"2251726X"</f>
        <v>2251726X</v>
      </c>
      <c r="E3974" s="46" t="s">
        <v>14308</v>
      </c>
      <c r="F3974" s="46" t="s">
        <v>18232</v>
      </c>
      <c r="G3974" s="46" t="s">
        <v>50610</v>
      </c>
      <c r="H3974" s="48" t="s">
        <v>56716</v>
      </c>
      <c r="I3974" s="48" t="s">
        <v>50564</v>
      </c>
      <c r="J3974" s="48"/>
      <c r="K3974" s="50"/>
      <c r="L3974" s="48"/>
    </row>
    <row r="3975" spans="1:12" s="37" customFormat="1" ht="11.25" x14ac:dyDescent="0.2">
      <c r="A3975" s="46" t="s">
        <v>12447</v>
      </c>
      <c r="B3975" s="46" t="s">
        <v>53265</v>
      </c>
      <c r="C3975" s="58" t="str">
        <f>"17357020"</f>
        <v>17357020</v>
      </c>
      <c r="D3975" s="58" t="str">
        <f>""</f>
        <v/>
      </c>
      <c r="E3975" s="46" t="s">
        <v>12243</v>
      </c>
      <c r="F3975" s="46" t="s">
        <v>18232</v>
      </c>
      <c r="G3975" s="46" t="s">
        <v>50584</v>
      </c>
      <c r="H3975" s="48" t="s">
        <v>56716</v>
      </c>
      <c r="I3975" s="48" t="s">
        <v>50564</v>
      </c>
      <c r="J3975" s="48"/>
      <c r="K3975" s="50"/>
      <c r="L3975" s="48"/>
    </row>
    <row r="3976" spans="1:12" s="37" customFormat="1" ht="11.25" x14ac:dyDescent="0.2">
      <c r="A3976" s="46" t="s">
        <v>12240</v>
      </c>
      <c r="B3976" s="46" t="s">
        <v>53266</v>
      </c>
      <c r="C3976" s="58" t="str">
        <f>"20082142"</f>
        <v>20082142</v>
      </c>
      <c r="D3976" s="58" t="str">
        <f>"20082150"</f>
        <v>20082150</v>
      </c>
      <c r="E3976" s="46" t="s">
        <v>12243</v>
      </c>
      <c r="F3976" s="46" t="s">
        <v>18232</v>
      </c>
      <c r="G3976" s="46" t="s">
        <v>50584</v>
      </c>
      <c r="H3976" s="48" t="s">
        <v>56716</v>
      </c>
      <c r="I3976" s="48" t="s">
        <v>50564</v>
      </c>
      <c r="J3976" s="48"/>
      <c r="K3976" s="50"/>
      <c r="L3976" s="48"/>
    </row>
    <row r="3977" spans="1:12" s="37" customFormat="1" ht="11.25" x14ac:dyDescent="0.2">
      <c r="A3977" s="46" t="s">
        <v>11889</v>
      </c>
      <c r="B3977" s="46" t="s">
        <v>53267</v>
      </c>
      <c r="C3977" s="58" t="str">
        <f>"17350328"</f>
        <v>17350328</v>
      </c>
      <c r="D3977" s="58" t="str">
        <f>"17266890"</f>
        <v>17266890</v>
      </c>
      <c r="E3977" s="46" t="s">
        <v>11889</v>
      </c>
      <c r="F3977" s="46" t="s">
        <v>18232</v>
      </c>
      <c r="G3977" s="46" t="s">
        <v>50584</v>
      </c>
      <c r="H3977" s="48" t="s">
        <v>56716</v>
      </c>
      <c r="I3977" s="48" t="s">
        <v>50564</v>
      </c>
      <c r="J3977" s="48"/>
      <c r="K3977" s="50"/>
      <c r="L3977" s="48"/>
    </row>
    <row r="3978" spans="1:12" s="37" customFormat="1" ht="11.25" x14ac:dyDescent="0.2">
      <c r="A3978" s="46" t="s">
        <v>14638</v>
      </c>
      <c r="B3978" s="46" t="s">
        <v>53268</v>
      </c>
      <c r="C3978" s="58" t="str">
        <f>"17352444"</f>
        <v>17352444</v>
      </c>
      <c r="D3978" s="58" t="str">
        <f>""</f>
        <v/>
      </c>
      <c r="E3978" s="46" t="s">
        <v>14640</v>
      </c>
      <c r="F3978" s="46" t="s">
        <v>18232</v>
      </c>
      <c r="G3978" s="46" t="s">
        <v>50584</v>
      </c>
      <c r="H3978" s="48" t="s">
        <v>56716</v>
      </c>
      <c r="I3978" s="48" t="s">
        <v>50564</v>
      </c>
      <c r="J3978" s="48"/>
      <c r="K3978" s="50"/>
      <c r="L3978" s="48"/>
    </row>
    <row r="3979" spans="1:12" s="37" customFormat="1" ht="11.25" x14ac:dyDescent="0.2">
      <c r="A3979" s="46" t="s">
        <v>11336</v>
      </c>
      <c r="B3979" s="46" t="s">
        <v>53269</v>
      </c>
      <c r="C3979" s="58" t="str">
        <f>"17352657"</f>
        <v>17352657</v>
      </c>
      <c r="D3979" s="58" t="str">
        <f>""</f>
        <v/>
      </c>
      <c r="E3979" s="46" t="s">
        <v>9133</v>
      </c>
      <c r="F3979" s="46" t="s">
        <v>18232</v>
      </c>
      <c r="G3979" s="46" t="s">
        <v>50584</v>
      </c>
      <c r="H3979" s="48" t="s">
        <v>56716</v>
      </c>
      <c r="I3979" s="48" t="s">
        <v>50564</v>
      </c>
      <c r="J3979" s="48"/>
      <c r="K3979" s="50"/>
      <c r="L3979" s="48"/>
    </row>
    <row r="3980" spans="1:12" s="37" customFormat="1" ht="11.25" x14ac:dyDescent="0.2">
      <c r="A3980" s="46" t="s">
        <v>15501</v>
      </c>
      <c r="B3980" s="46" t="s">
        <v>53270</v>
      </c>
      <c r="C3980" s="58" t="str">
        <f>"17354587"</f>
        <v>17354587</v>
      </c>
      <c r="D3980" s="58" t="str">
        <f>"20082215"</f>
        <v>20082215</v>
      </c>
      <c r="E3980" s="46" t="s">
        <v>4553</v>
      </c>
      <c r="F3980" s="46" t="s">
        <v>18232</v>
      </c>
      <c r="G3980" s="46" t="s">
        <v>50584</v>
      </c>
      <c r="H3980" s="48" t="s">
        <v>56716</v>
      </c>
      <c r="I3980" s="48" t="s">
        <v>50564</v>
      </c>
      <c r="J3980" s="48"/>
      <c r="K3980" s="50"/>
      <c r="L3980" s="48"/>
    </row>
    <row r="3981" spans="1:12" s="37" customFormat="1" ht="11.25" x14ac:dyDescent="0.2">
      <c r="A3981" s="46" t="s">
        <v>13481</v>
      </c>
      <c r="B3981" s="46" t="s">
        <v>53271</v>
      </c>
      <c r="C3981" s="58" t="str">
        <f>"17358639"</f>
        <v>17358639</v>
      </c>
      <c r="D3981" s="58" t="str">
        <f>"17359287"</f>
        <v>17359287</v>
      </c>
      <c r="E3981" s="46" t="s">
        <v>56151</v>
      </c>
      <c r="F3981" s="46" t="s">
        <v>18232</v>
      </c>
      <c r="G3981" s="46" t="s">
        <v>50584</v>
      </c>
      <c r="H3981" s="48" t="s">
        <v>56716</v>
      </c>
      <c r="I3981" s="48" t="s">
        <v>50564</v>
      </c>
      <c r="J3981" s="48"/>
      <c r="K3981" s="50"/>
      <c r="L3981" s="48"/>
    </row>
    <row r="3982" spans="1:12" s="37" customFormat="1" ht="11.25" x14ac:dyDescent="0.2">
      <c r="A3982" s="46" t="s">
        <v>56152</v>
      </c>
      <c r="B3982" s="46" t="s">
        <v>53169</v>
      </c>
      <c r="C3982" s="58" t="str">
        <f>""</f>
        <v/>
      </c>
      <c r="D3982" s="58" t="str">
        <f>"17284562 "</f>
        <v xml:space="preserve">17284562 </v>
      </c>
      <c r="E3982" s="46" t="s">
        <v>10027</v>
      </c>
      <c r="F3982" s="46" t="s">
        <v>18232</v>
      </c>
      <c r="G3982" s="46" t="s">
        <v>50584</v>
      </c>
      <c r="H3982" s="48" t="s">
        <v>56716</v>
      </c>
      <c r="I3982" s="48" t="s">
        <v>50564</v>
      </c>
      <c r="J3982" s="48"/>
      <c r="K3982" s="50"/>
      <c r="L3982" s="48"/>
    </row>
    <row r="3983" spans="1:12" s="37" customFormat="1" ht="11.25" x14ac:dyDescent="0.2">
      <c r="A3983" s="46" t="s">
        <v>12449</v>
      </c>
      <c r="B3983" s="46" t="s">
        <v>53272</v>
      </c>
      <c r="C3983" s="58" t="str">
        <f>"17351065"</f>
        <v>17351065</v>
      </c>
      <c r="D3983" s="58" t="str">
        <f>"20082711"</f>
        <v>20082711</v>
      </c>
      <c r="E3983" s="46" t="s">
        <v>55898</v>
      </c>
      <c r="F3983" s="46" t="s">
        <v>18232</v>
      </c>
      <c r="G3983" s="46" t="s">
        <v>50584</v>
      </c>
      <c r="H3983" s="48" t="s">
        <v>56716</v>
      </c>
      <c r="I3983" s="48" t="s">
        <v>50564</v>
      </c>
      <c r="J3983" s="48"/>
      <c r="K3983" s="50"/>
      <c r="L3983" s="48"/>
    </row>
    <row r="3984" spans="1:12" s="37" customFormat="1" ht="11.25" x14ac:dyDescent="0.2">
      <c r="A3984" s="46" t="s">
        <v>12613</v>
      </c>
      <c r="B3984" s="46" t="s">
        <v>53273</v>
      </c>
      <c r="C3984" s="58" t="str">
        <f>"16806433"</f>
        <v>16806433</v>
      </c>
      <c r="D3984" s="58" t="str">
        <f>"20082177"</f>
        <v>20082177</v>
      </c>
      <c r="E3984" s="46" t="s">
        <v>12616</v>
      </c>
      <c r="F3984" s="46" t="s">
        <v>18232</v>
      </c>
      <c r="G3984" s="46" t="s">
        <v>50584</v>
      </c>
      <c r="H3984" s="48" t="s">
        <v>56716</v>
      </c>
      <c r="I3984" s="48" t="s">
        <v>50564</v>
      </c>
      <c r="J3984" s="48"/>
      <c r="K3984" s="50"/>
      <c r="L3984" s="48"/>
    </row>
    <row r="3985" spans="1:12" s="37" customFormat="1" ht="11.25" x14ac:dyDescent="0.2">
      <c r="A3985" s="46" t="s">
        <v>12635</v>
      </c>
      <c r="B3985" s="46" t="s">
        <v>53274</v>
      </c>
      <c r="C3985" s="58" t="str">
        <f>"20741804"</f>
        <v>20741804</v>
      </c>
      <c r="D3985" s="58" t="str">
        <f>"20741812"</f>
        <v>20741812</v>
      </c>
      <c r="E3985" s="46" t="s">
        <v>55898</v>
      </c>
      <c r="F3985" s="46" t="s">
        <v>20976</v>
      </c>
      <c r="G3985" s="46" t="s">
        <v>50584</v>
      </c>
      <c r="H3985" s="48" t="s">
        <v>56716</v>
      </c>
      <c r="I3985" s="48" t="s">
        <v>50564</v>
      </c>
      <c r="J3985" s="48"/>
      <c r="K3985" s="50"/>
      <c r="L3985" s="48"/>
    </row>
    <row r="3986" spans="1:12" s="37" customFormat="1" ht="11.25" x14ac:dyDescent="0.2">
      <c r="A3986" s="45" t="s">
        <v>33248</v>
      </c>
      <c r="B3986" s="45" t="s">
        <v>33248</v>
      </c>
      <c r="C3986" s="51" t="s">
        <v>33249</v>
      </c>
      <c r="D3986" s="51"/>
      <c r="E3986" s="45" t="s">
        <v>33250</v>
      </c>
      <c r="F3986" s="45" t="s">
        <v>17759</v>
      </c>
      <c r="G3986" s="45" t="s">
        <v>50584</v>
      </c>
      <c r="H3986" s="56"/>
      <c r="I3986" s="56" t="s">
        <v>50564</v>
      </c>
      <c r="J3986" s="56"/>
      <c r="K3986" s="50"/>
      <c r="L3986" s="56" t="s">
        <v>56716</v>
      </c>
    </row>
    <row r="3987" spans="1:12" s="37" customFormat="1" ht="11.25" x14ac:dyDescent="0.2">
      <c r="A3987" s="46" t="s">
        <v>12873</v>
      </c>
      <c r="B3987" s="46" t="s">
        <v>12873</v>
      </c>
      <c r="C3987" s="58" t="str">
        <f>"19590318"</f>
        <v>19590318</v>
      </c>
      <c r="D3987" s="58" t="str">
        <f>"18760988"</f>
        <v>18760988</v>
      </c>
      <c r="E3987" s="46" t="s">
        <v>85</v>
      </c>
      <c r="F3987" s="46" t="s">
        <v>20359</v>
      </c>
      <c r="G3987" s="46" t="s">
        <v>50590</v>
      </c>
      <c r="H3987" s="48" t="s">
        <v>56716</v>
      </c>
      <c r="I3987" s="48" t="s">
        <v>50564</v>
      </c>
      <c r="J3987" s="48"/>
      <c r="K3987" s="50" t="s">
        <v>56716</v>
      </c>
      <c r="L3987" s="48"/>
    </row>
    <row r="3988" spans="1:12" s="37" customFormat="1" ht="11.25" x14ac:dyDescent="0.2">
      <c r="A3988" s="46" t="s">
        <v>12885</v>
      </c>
      <c r="B3988" s="46" t="s">
        <v>12885</v>
      </c>
      <c r="C3988" s="58" t="str">
        <f>"19597568"</f>
        <v>19597568</v>
      </c>
      <c r="D3988" s="58" t="str">
        <f>""</f>
        <v/>
      </c>
      <c r="E3988" s="46" t="s">
        <v>85</v>
      </c>
      <c r="F3988" s="46" t="s">
        <v>20359</v>
      </c>
      <c r="G3988" s="46" t="s">
        <v>50590</v>
      </c>
      <c r="H3988" s="48" t="s">
        <v>56716</v>
      </c>
      <c r="I3988" s="48" t="s">
        <v>50564</v>
      </c>
      <c r="J3988" s="48"/>
      <c r="K3988" s="50" t="s">
        <v>56716</v>
      </c>
      <c r="L3988" s="48"/>
    </row>
    <row r="3989" spans="1:12" s="37" customFormat="1" ht="11.25" x14ac:dyDescent="0.2">
      <c r="A3989" s="46" t="s">
        <v>1950</v>
      </c>
      <c r="B3989" s="46" t="s">
        <v>53275</v>
      </c>
      <c r="C3989" s="58" t="str">
        <f>"00211265"</f>
        <v>00211265</v>
      </c>
      <c r="D3989" s="58" t="str">
        <f>"18634362"</f>
        <v>18634362</v>
      </c>
      <c r="E3989" s="46" t="s">
        <v>56002</v>
      </c>
      <c r="F3989" s="46" t="s">
        <v>50646</v>
      </c>
      <c r="G3989" s="46" t="s">
        <v>50584</v>
      </c>
      <c r="H3989" s="48" t="s">
        <v>56716</v>
      </c>
      <c r="I3989" s="48" t="s">
        <v>50564</v>
      </c>
      <c r="J3989" s="48"/>
      <c r="K3989" s="50" t="s">
        <v>56716</v>
      </c>
      <c r="L3989" s="48" t="s">
        <v>56716</v>
      </c>
    </row>
    <row r="3990" spans="1:12" s="37" customFormat="1" ht="11.25" x14ac:dyDescent="0.2">
      <c r="A3990" s="46" t="s">
        <v>4697</v>
      </c>
      <c r="B3990" s="46" t="s">
        <v>53276</v>
      </c>
      <c r="C3990" s="58" t="str">
        <f>"07909667"</f>
        <v>07909667</v>
      </c>
      <c r="D3990" s="58" t="str">
        <f>"20516967"</f>
        <v>20516967</v>
      </c>
      <c r="E3990" s="46" t="s">
        <v>4699</v>
      </c>
      <c r="F3990" s="46" t="s">
        <v>21771</v>
      </c>
      <c r="G3990" s="46" t="s">
        <v>50584</v>
      </c>
      <c r="H3990" s="48" t="s">
        <v>56716</v>
      </c>
      <c r="I3990" s="48" t="s">
        <v>50564</v>
      </c>
      <c r="J3990" s="48"/>
      <c r="K3990" s="50" t="s">
        <v>56716</v>
      </c>
      <c r="L3990" s="48"/>
    </row>
    <row r="3991" spans="1:12" s="37" customFormat="1" ht="11.25" x14ac:dyDescent="0.2">
      <c r="A3991" s="46" t="s">
        <v>2013</v>
      </c>
      <c r="B3991" s="46" t="s">
        <v>53277</v>
      </c>
      <c r="C3991" s="58" t="str">
        <f>"03323102"</f>
        <v>03323102</v>
      </c>
      <c r="D3991" s="58" t="str">
        <f>"03323102"</f>
        <v>03323102</v>
      </c>
      <c r="E3991" s="46" t="s">
        <v>2015</v>
      </c>
      <c r="F3991" s="46" t="s">
        <v>21771</v>
      </c>
      <c r="G3991" s="46" t="s">
        <v>50584</v>
      </c>
      <c r="H3991" s="48" t="s">
        <v>56716</v>
      </c>
      <c r="I3991" s="48" t="s">
        <v>50564</v>
      </c>
      <c r="J3991" s="48"/>
      <c r="K3991" s="50"/>
      <c r="L3991" s="48" t="s">
        <v>56716</v>
      </c>
    </row>
    <row r="3992" spans="1:12" s="37" customFormat="1" ht="11.25" x14ac:dyDescent="0.2">
      <c r="A3992" s="45" t="s">
        <v>33264</v>
      </c>
      <c r="B3992" s="45" t="s">
        <v>33266</v>
      </c>
      <c r="C3992" s="51" t="s">
        <v>33268</v>
      </c>
      <c r="D3992" s="51" t="s">
        <v>33267</v>
      </c>
      <c r="E3992" s="45" t="s">
        <v>91</v>
      </c>
      <c r="F3992" s="45" t="s">
        <v>17759</v>
      </c>
      <c r="G3992" s="45" t="s">
        <v>50584</v>
      </c>
      <c r="H3992" s="56"/>
      <c r="I3992" s="56" t="s">
        <v>50564</v>
      </c>
      <c r="J3992" s="56"/>
      <c r="K3992" s="50"/>
      <c r="L3992" s="56" t="s">
        <v>56716</v>
      </c>
    </row>
    <row r="3993" spans="1:12" s="37" customFormat="1" ht="11.25" x14ac:dyDescent="0.2">
      <c r="A3993" s="45" t="s">
        <v>33270</v>
      </c>
      <c r="B3993" s="45" t="s">
        <v>33272</v>
      </c>
      <c r="C3993" s="51" t="s">
        <v>33274</v>
      </c>
      <c r="D3993" s="51" t="s">
        <v>33273</v>
      </c>
      <c r="E3993" s="45" t="s">
        <v>7339</v>
      </c>
      <c r="F3993" s="45" t="s">
        <v>17759</v>
      </c>
      <c r="G3993" s="45" t="s">
        <v>50584</v>
      </c>
      <c r="H3993" s="56"/>
      <c r="I3993" s="56" t="s">
        <v>50564</v>
      </c>
      <c r="J3993" s="56"/>
      <c r="K3993" s="50"/>
      <c r="L3993" s="56" t="s">
        <v>56716</v>
      </c>
    </row>
    <row r="3994" spans="1:12" s="37" customFormat="1" ht="11.25" x14ac:dyDescent="0.2">
      <c r="A3994" s="46" t="s">
        <v>14094</v>
      </c>
      <c r="B3994" s="46" t="s">
        <v>14094</v>
      </c>
      <c r="C3994" s="58" t="str">
        <f>"19382014"</f>
        <v>19382014</v>
      </c>
      <c r="D3994" s="58" t="str">
        <f>"19382022"</f>
        <v>19382022</v>
      </c>
      <c r="E3994" s="46" t="s">
        <v>669</v>
      </c>
      <c r="F3994" s="46" t="s">
        <v>17759</v>
      </c>
      <c r="G3994" s="46" t="s">
        <v>50584</v>
      </c>
      <c r="H3994" s="48" t="s">
        <v>56716</v>
      </c>
      <c r="I3994" s="48" t="s">
        <v>50564</v>
      </c>
      <c r="J3994" s="48"/>
      <c r="K3994" s="50"/>
      <c r="L3994" s="48" t="s">
        <v>56716</v>
      </c>
    </row>
    <row r="3995" spans="1:12" s="37" customFormat="1" ht="11.25" x14ac:dyDescent="0.2">
      <c r="A3995" s="46" t="s">
        <v>5264</v>
      </c>
      <c r="B3995" s="46" t="s">
        <v>53278</v>
      </c>
      <c r="C3995" s="58" t="str">
        <f>"09593020"</f>
        <v>09593020</v>
      </c>
      <c r="D3995" s="58" t="str">
        <f>"18785913"</f>
        <v>18785913</v>
      </c>
      <c r="E3995" s="46" t="s">
        <v>920</v>
      </c>
      <c r="F3995" s="46" t="s">
        <v>18001</v>
      </c>
      <c r="G3995" s="46" t="s">
        <v>50584</v>
      </c>
      <c r="H3995" s="48" t="s">
        <v>56716</v>
      </c>
      <c r="I3995" s="48" t="s">
        <v>50564</v>
      </c>
      <c r="J3995" s="48"/>
      <c r="K3995" s="50"/>
      <c r="L3995" s="48"/>
    </row>
    <row r="3996" spans="1:12" s="37" customFormat="1" ht="11.25" x14ac:dyDescent="0.2">
      <c r="A3996" s="45" t="s">
        <v>33285</v>
      </c>
      <c r="B3996" s="45" t="s">
        <v>33287</v>
      </c>
      <c r="C3996" s="51" t="s">
        <v>33290</v>
      </c>
      <c r="D3996" s="51" t="s">
        <v>33289</v>
      </c>
      <c r="E3996" s="45" t="s">
        <v>291</v>
      </c>
      <c r="F3996" s="45" t="s">
        <v>50646</v>
      </c>
      <c r="G3996" s="45" t="s">
        <v>50592</v>
      </c>
      <c r="H3996" s="56"/>
      <c r="I3996" s="56" t="s">
        <v>50564</v>
      </c>
      <c r="J3996" s="56"/>
      <c r="K3996" s="50"/>
      <c r="L3996" s="56" t="s">
        <v>56716</v>
      </c>
    </row>
    <row r="3997" spans="1:12" s="37" customFormat="1" ht="11.25" x14ac:dyDescent="0.2">
      <c r="A3997" s="46" t="s">
        <v>16621</v>
      </c>
      <c r="B3997" s="46" t="s">
        <v>53279</v>
      </c>
      <c r="C3997" s="58" t="str">
        <f>""</f>
        <v/>
      </c>
      <c r="D3997" s="58" t="str">
        <f>"20454015"</f>
        <v>20454015</v>
      </c>
      <c r="E3997" s="46" t="s">
        <v>2299</v>
      </c>
      <c r="F3997" s="46" t="s">
        <v>50646</v>
      </c>
      <c r="G3997" s="46" t="s">
        <v>50584</v>
      </c>
      <c r="H3997" s="48" t="s">
        <v>56716</v>
      </c>
      <c r="I3997" s="48" t="s">
        <v>50564</v>
      </c>
      <c r="J3997" s="48" t="s">
        <v>56716</v>
      </c>
      <c r="K3997" s="50" t="s">
        <v>56716</v>
      </c>
      <c r="L3997" s="48"/>
    </row>
    <row r="3998" spans="1:12" s="37" customFormat="1" ht="11.25" x14ac:dyDescent="0.2">
      <c r="A3998" s="46" t="s">
        <v>8616</v>
      </c>
      <c r="B3998" s="46" t="s">
        <v>53280</v>
      </c>
      <c r="C3998" s="58" t="str">
        <f>"15651088"</f>
        <v>15651088</v>
      </c>
      <c r="D3998" s="58" t="str">
        <f>""</f>
        <v/>
      </c>
      <c r="E3998" s="46" t="s">
        <v>8618</v>
      </c>
      <c r="F3998" s="46" t="s">
        <v>19134</v>
      </c>
      <c r="G3998" s="46" t="s">
        <v>50584</v>
      </c>
      <c r="H3998" s="48" t="s">
        <v>56716</v>
      </c>
      <c r="I3998" s="48" t="s">
        <v>50564</v>
      </c>
      <c r="J3998" s="48"/>
      <c r="K3998" s="50"/>
      <c r="L3998" s="48" t="s">
        <v>56716</v>
      </c>
    </row>
    <row r="3999" spans="1:12" s="37" customFormat="1" ht="11.25" x14ac:dyDescent="0.2">
      <c r="A3999" s="46" t="s">
        <v>16809</v>
      </c>
      <c r="B3999" s="46" t="s">
        <v>53281</v>
      </c>
      <c r="C3999" s="58" t="str">
        <f>"20905580"</f>
        <v>20905580</v>
      </c>
      <c r="D3999" s="58" t="str">
        <f>"20905599"</f>
        <v>20905599</v>
      </c>
      <c r="E3999" s="46" t="s">
        <v>1412</v>
      </c>
      <c r="F3999" s="46" t="s">
        <v>17759</v>
      </c>
      <c r="G3999" s="46" t="s">
        <v>50584</v>
      </c>
      <c r="H3999" s="48" t="s">
        <v>56716</v>
      </c>
      <c r="I3999" s="48" t="s">
        <v>50564</v>
      </c>
      <c r="J3999" s="48"/>
      <c r="K3999" s="50"/>
      <c r="L3999" s="48"/>
    </row>
    <row r="4000" spans="1:12" s="37" customFormat="1" ht="11.25" x14ac:dyDescent="0.2">
      <c r="A4000" s="46" t="s">
        <v>16800</v>
      </c>
      <c r="B4000" s="46" t="s">
        <v>53282</v>
      </c>
      <c r="C4000" s="58" t="str">
        <f>"20904371"</f>
        <v>20904371</v>
      </c>
      <c r="D4000" s="58" t="str">
        <f>"2090438X"</f>
        <v>2090438X</v>
      </c>
      <c r="E4000" s="46" t="s">
        <v>1412</v>
      </c>
      <c r="F4000" s="46" t="s">
        <v>17759</v>
      </c>
      <c r="G4000" s="46" t="s">
        <v>50584</v>
      </c>
      <c r="H4000" s="48" t="s">
        <v>56716</v>
      </c>
      <c r="I4000" s="48" t="s">
        <v>50564</v>
      </c>
      <c r="J4000" s="48"/>
      <c r="K4000" s="50"/>
      <c r="L4000" s="48"/>
    </row>
    <row r="4001" spans="1:12" s="37" customFormat="1" ht="11.25" x14ac:dyDescent="0.2">
      <c r="A4001" s="46" t="s">
        <v>16791</v>
      </c>
      <c r="B4001" s="46" t="s">
        <v>53283</v>
      </c>
      <c r="C4001" s="58" t="str">
        <f>"20904592"</f>
        <v>20904592</v>
      </c>
      <c r="D4001" s="58" t="str">
        <f>"20904606"</f>
        <v>20904606</v>
      </c>
      <c r="E4001" s="46" t="s">
        <v>1412</v>
      </c>
      <c r="F4001" s="46" t="s">
        <v>17759</v>
      </c>
      <c r="G4001" s="46" t="s">
        <v>50584</v>
      </c>
      <c r="H4001" s="48" t="s">
        <v>56716</v>
      </c>
      <c r="I4001" s="48" t="s">
        <v>50564</v>
      </c>
      <c r="J4001" s="48"/>
      <c r="K4001" s="50"/>
      <c r="L4001" s="48"/>
    </row>
    <row r="4002" spans="1:12" s="37" customFormat="1" ht="11.25" x14ac:dyDescent="0.2">
      <c r="A4002" s="46" t="s">
        <v>16794</v>
      </c>
      <c r="B4002" s="46" t="s">
        <v>53284</v>
      </c>
      <c r="C4002" s="58" t="str">
        <f>"20904630"</f>
        <v>20904630</v>
      </c>
      <c r="D4002" s="58" t="str">
        <f>"20904649"</f>
        <v>20904649</v>
      </c>
      <c r="E4002" s="46" t="s">
        <v>1412</v>
      </c>
      <c r="F4002" s="46" t="s">
        <v>17759</v>
      </c>
      <c r="G4002" s="46" t="s">
        <v>50584</v>
      </c>
      <c r="H4002" s="48" t="s">
        <v>56716</v>
      </c>
      <c r="I4002" s="48" t="s">
        <v>50564</v>
      </c>
      <c r="J4002" s="48"/>
      <c r="K4002" s="50"/>
      <c r="L4002" s="48"/>
    </row>
    <row r="4003" spans="1:12" s="37" customFormat="1" ht="11.25" x14ac:dyDescent="0.2">
      <c r="A4003" s="46" t="s">
        <v>15736</v>
      </c>
      <c r="B4003" s="46" t="s">
        <v>53285</v>
      </c>
      <c r="C4003" s="58" t="str">
        <f>"20904398"</f>
        <v>20904398</v>
      </c>
      <c r="D4003" s="58" t="str">
        <f>"20904401"</f>
        <v>20904401</v>
      </c>
      <c r="E4003" s="46" t="s">
        <v>15701</v>
      </c>
      <c r="F4003" s="46" t="s">
        <v>17759</v>
      </c>
      <c r="G4003" s="46" t="s">
        <v>50584</v>
      </c>
      <c r="H4003" s="48" t="s">
        <v>56716</v>
      </c>
      <c r="I4003" s="48" t="s">
        <v>50564</v>
      </c>
      <c r="J4003" s="48" t="s">
        <v>56716</v>
      </c>
      <c r="K4003" s="50"/>
      <c r="L4003" s="48"/>
    </row>
    <row r="4004" spans="1:12" s="37" customFormat="1" ht="11.25" x14ac:dyDescent="0.2">
      <c r="A4004" s="46" t="s">
        <v>15716</v>
      </c>
      <c r="B4004" s="46" t="s">
        <v>53286</v>
      </c>
      <c r="C4004" s="58" t="str">
        <f>"2090441X"</f>
        <v>2090441X</v>
      </c>
      <c r="D4004" s="58" t="str">
        <f>"20904428"</f>
        <v>20904428</v>
      </c>
      <c r="E4004" s="46" t="s">
        <v>15701</v>
      </c>
      <c r="F4004" s="46" t="s">
        <v>17759</v>
      </c>
      <c r="G4004" s="46" t="s">
        <v>50584</v>
      </c>
      <c r="H4004" s="48" t="s">
        <v>56716</v>
      </c>
      <c r="I4004" s="48" t="s">
        <v>50564</v>
      </c>
      <c r="J4004" s="48" t="s">
        <v>56716</v>
      </c>
      <c r="K4004" s="50"/>
      <c r="L4004" s="48"/>
    </row>
    <row r="4005" spans="1:12" s="37" customFormat="1" ht="11.25" x14ac:dyDescent="0.2">
      <c r="A4005" s="46" t="s">
        <v>16803</v>
      </c>
      <c r="B4005" s="46" t="s">
        <v>53287</v>
      </c>
      <c r="C4005" s="58" t="str">
        <f>"20905505"</f>
        <v>20905505</v>
      </c>
      <c r="D4005" s="58" t="str">
        <f>"20905513"</f>
        <v>20905513</v>
      </c>
      <c r="E4005" s="46" t="s">
        <v>1412</v>
      </c>
      <c r="F4005" s="46" t="s">
        <v>17759</v>
      </c>
      <c r="G4005" s="46" t="s">
        <v>50584</v>
      </c>
      <c r="H4005" s="48" t="s">
        <v>56716</v>
      </c>
      <c r="I4005" s="48" t="s">
        <v>50564</v>
      </c>
      <c r="J4005" s="48"/>
      <c r="K4005" s="50"/>
      <c r="L4005" s="48"/>
    </row>
    <row r="4006" spans="1:12" s="37" customFormat="1" ht="11.25" x14ac:dyDescent="0.2">
      <c r="A4006" s="46" t="s">
        <v>15698</v>
      </c>
      <c r="B4006" s="46" t="s">
        <v>53288</v>
      </c>
      <c r="C4006" s="58" t="str">
        <f>"20904436"</f>
        <v>20904436</v>
      </c>
      <c r="D4006" s="58" t="str">
        <f>"20904444"</f>
        <v>20904444</v>
      </c>
      <c r="E4006" s="46" t="s">
        <v>15701</v>
      </c>
      <c r="F4006" s="46" t="s">
        <v>17759</v>
      </c>
      <c r="G4006" s="46" t="s">
        <v>50584</v>
      </c>
      <c r="H4006" s="48" t="s">
        <v>56716</v>
      </c>
      <c r="I4006" s="48" t="s">
        <v>50564</v>
      </c>
      <c r="J4006" s="48" t="s">
        <v>56716</v>
      </c>
      <c r="K4006" s="50"/>
      <c r="L4006" s="48"/>
    </row>
    <row r="4007" spans="1:12" s="37" customFormat="1" ht="11.25" x14ac:dyDescent="0.2">
      <c r="A4007" s="46" t="s">
        <v>16812</v>
      </c>
      <c r="B4007" s="46" t="s">
        <v>53289</v>
      </c>
      <c r="C4007" s="58" t="str">
        <f>"20905661"</f>
        <v>20905661</v>
      </c>
      <c r="D4007" s="58" t="str">
        <f>"2090567X"</f>
        <v>2090567X</v>
      </c>
      <c r="E4007" s="46" t="s">
        <v>1412</v>
      </c>
      <c r="F4007" s="46" t="s">
        <v>17759</v>
      </c>
      <c r="G4007" s="46" t="s">
        <v>50584</v>
      </c>
      <c r="H4007" s="48" t="s">
        <v>56716</v>
      </c>
      <c r="I4007" s="48" t="s">
        <v>50564</v>
      </c>
      <c r="J4007" s="48"/>
      <c r="K4007" s="50"/>
      <c r="L4007" s="48"/>
    </row>
    <row r="4008" spans="1:12" s="37" customFormat="1" ht="11.25" x14ac:dyDescent="0.2">
      <c r="A4008" s="46" t="s">
        <v>16806</v>
      </c>
      <c r="B4008" s="46" t="s">
        <v>53290</v>
      </c>
      <c r="C4008" s="58" t="str">
        <f>"2090469X"</f>
        <v>2090469X</v>
      </c>
      <c r="D4008" s="58" t="str">
        <f>"20904703"</f>
        <v>20904703</v>
      </c>
      <c r="E4008" s="46" t="s">
        <v>1412</v>
      </c>
      <c r="F4008" s="46" t="s">
        <v>17759</v>
      </c>
      <c r="G4008" s="46" t="s">
        <v>50584</v>
      </c>
      <c r="H4008" s="48" t="s">
        <v>56716</v>
      </c>
      <c r="I4008" s="48" t="s">
        <v>50564</v>
      </c>
      <c r="J4008" s="48"/>
      <c r="K4008" s="50"/>
      <c r="L4008" s="48"/>
    </row>
    <row r="4009" spans="1:12" s="37" customFormat="1" ht="11.25" x14ac:dyDescent="0.2">
      <c r="A4009" s="46" t="s">
        <v>16797</v>
      </c>
      <c r="B4009" s="46" t="s">
        <v>53291</v>
      </c>
      <c r="C4009" s="58" t="str">
        <f>"20905807"</f>
        <v>20905807</v>
      </c>
      <c r="D4009" s="58" t="str">
        <f>"20905815"</f>
        <v>20905815</v>
      </c>
      <c r="E4009" s="46" t="s">
        <v>1412</v>
      </c>
      <c r="F4009" s="46" t="s">
        <v>17759</v>
      </c>
      <c r="G4009" s="46" t="s">
        <v>50584</v>
      </c>
      <c r="H4009" s="48" t="s">
        <v>56716</v>
      </c>
      <c r="I4009" s="48" t="s">
        <v>50564</v>
      </c>
      <c r="J4009" s="48"/>
      <c r="K4009" s="50"/>
      <c r="L4009" s="48"/>
    </row>
    <row r="4010" spans="1:12" s="37" customFormat="1" ht="11.25" x14ac:dyDescent="0.2">
      <c r="A4010" s="45" t="s">
        <v>33308</v>
      </c>
      <c r="B4010" s="45" t="s">
        <v>33310</v>
      </c>
      <c r="C4010" s="51"/>
      <c r="D4010" s="51" t="s">
        <v>33311</v>
      </c>
      <c r="E4010" s="45" t="s">
        <v>33312</v>
      </c>
      <c r="F4010" s="45" t="s">
        <v>17759</v>
      </c>
      <c r="G4010" s="45" t="s">
        <v>50584</v>
      </c>
      <c r="H4010" s="56"/>
      <c r="I4010" s="56" t="s">
        <v>50564</v>
      </c>
      <c r="J4010" s="56"/>
      <c r="K4010" s="50"/>
      <c r="L4010" s="56" t="s">
        <v>56716</v>
      </c>
    </row>
    <row r="4011" spans="1:12" s="37" customFormat="1" ht="11.25" x14ac:dyDescent="0.2">
      <c r="A4011" s="45" t="s">
        <v>33324</v>
      </c>
      <c r="B4011" s="45" t="s">
        <v>33326</v>
      </c>
      <c r="C4011" s="51"/>
      <c r="D4011" s="51"/>
      <c r="E4011" s="45" t="s">
        <v>33328</v>
      </c>
      <c r="F4011" s="45" t="s">
        <v>17759</v>
      </c>
      <c r="G4011" s="45" t="s">
        <v>50584</v>
      </c>
      <c r="H4011" s="56"/>
      <c r="I4011" s="56" t="s">
        <v>50564</v>
      </c>
      <c r="J4011" s="56"/>
      <c r="K4011" s="50"/>
      <c r="L4011" s="56" t="s">
        <v>56716</v>
      </c>
    </row>
    <row r="4012" spans="1:12" s="37" customFormat="1" ht="11.25" x14ac:dyDescent="0.2">
      <c r="A4012" s="45" t="s">
        <v>33330</v>
      </c>
      <c r="B4012" s="45" t="s">
        <v>33332</v>
      </c>
      <c r="C4012" s="51"/>
      <c r="D4012" s="51" t="s">
        <v>33333</v>
      </c>
      <c r="E4012" s="45" t="s">
        <v>33334</v>
      </c>
      <c r="F4012" s="45" t="s">
        <v>17759</v>
      </c>
      <c r="G4012" s="45" t="s">
        <v>50584</v>
      </c>
      <c r="H4012" s="56"/>
      <c r="I4012" s="56" t="s">
        <v>50564</v>
      </c>
      <c r="J4012" s="56"/>
      <c r="K4012" s="50"/>
      <c r="L4012" s="56" t="s">
        <v>56716</v>
      </c>
    </row>
    <row r="4013" spans="1:12" s="37" customFormat="1" ht="11.25" x14ac:dyDescent="0.2">
      <c r="A4013" s="45" t="s">
        <v>33336</v>
      </c>
      <c r="B4013" s="45" t="s">
        <v>33338</v>
      </c>
      <c r="C4013" s="51"/>
      <c r="D4013" s="51"/>
      <c r="E4013" s="45" t="s">
        <v>33339</v>
      </c>
      <c r="F4013" s="45" t="s">
        <v>17759</v>
      </c>
      <c r="G4013" s="45" t="s">
        <v>50584</v>
      </c>
      <c r="H4013" s="56"/>
      <c r="I4013" s="56" t="s">
        <v>50564</v>
      </c>
      <c r="J4013" s="56"/>
      <c r="K4013" s="50"/>
      <c r="L4013" s="56" t="s">
        <v>56716</v>
      </c>
    </row>
    <row r="4014" spans="1:12" s="37" customFormat="1" ht="11.25" x14ac:dyDescent="0.2">
      <c r="A4014" s="45" t="s">
        <v>33357</v>
      </c>
      <c r="B4014" s="45" t="s">
        <v>33359</v>
      </c>
      <c r="C4014" s="51"/>
      <c r="D4014" s="51"/>
      <c r="E4014" s="45" t="s">
        <v>22526</v>
      </c>
      <c r="F4014" s="45" t="s">
        <v>17759</v>
      </c>
      <c r="G4014" s="45" t="s">
        <v>50584</v>
      </c>
      <c r="H4014" s="56"/>
      <c r="I4014" s="56" t="s">
        <v>50564</v>
      </c>
      <c r="J4014" s="56"/>
      <c r="K4014" s="50"/>
      <c r="L4014" s="56" t="s">
        <v>56716</v>
      </c>
    </row>
    <row r="4015" spans="1:12" s="37" customFormat="1" ht="11.25" x14ac:dyDescent="0.2">
      <c r="A4015" s="45" t="s">
        <v>33361</v>
      </c>
      <c r="B4015" s="45" t="s">
        <v>33363</v>
      </c>
      <c r="C4015" s="51" t="s">
        <v>33365</v>
      </c>
      <c r="D4015" s="51" t="s">
        <v>33364</v>
      </c>
      <c r="E4015" s="45" t="s">
        <v>291</v>
      </c>
      <c r="F4015" s="45" t="s">
        <v>50646</v>
      </c>
      <c r="G4015" s="45" t="s">
        <v>50584</v>
      </c>
      <c r="H4015" s="56"/>
      <c r="I4015" s="56" t="s">
        <v>50564</v>
      </c>
      <c r="J4015" s="56"/>
      <c r="K4015" s="50"/>
      <c r="L4015" s="56" t="s">
        <v>56716</v>
      </c>
    </row>
    <row r="4016" spans="1:12" s="37" customFormat="1" ht="11.25" x14ac:dyDescent="0.2">
      <c r="A4016" s="45" t="s">
        <v>33368</v>
      </c>
      <c r="B4016" s="45" t="s">
        <v>33370</v>
      </c>
      <c r="C4016" s="51" t="s">
        <v>33371</v>
      </c>
      <c r="D4016" s="51"/>
      <c r="E4016" s="45" t="s">
        <v>33372</v>
      </c>
      <c r="F4016" s="45" t="s">
        <v>17759</v>
      </c>
      <c r="G4016" s="45" t="s">
        <v>50584</v>
      </c>
      <c r="H4016" s="56"/>
      <c r="I4016" s="56" t="s">
        <v>50564</v>
      </c>
      <c r="J4016" s="56"/>
      <c r="K4016" s="50"/>
      <c r="L4016" s="56" t="s">
        <v>56716</v>
      </c>
    </row>
    <row r="4017" spans="1:12" s="37" customFormat="1" ht="11.25" x14ac:dyDescent="0.2">
      <c r="A4017" s="45" t="s">
        <v>33375</v>
      </c>
      <c r="B4017" s="45" t="s">
        <v>33377</v>
      </c>
      <c r="C4017" s="51" t="s">
        <v>33379</v>
      </c>
      <c r="D4017" s="51" t="s">
        <v>33378</v>
      </c>
      <c r="E4017" s="45" t="s">
        <v>291</v>
      </c>
      <c r="F4017" s="45" t="s">
        <v>50646</v>
      </c>
      <c r="G4017" s="45" t="s">
        <v>50584</v>
      </c>
      <c r="H4017" s="56"/>
      <c r="I4017" s="56" t="s">
        <v>50564</v>
      </c>
      <c r="J4017" s="56"/>
      <c r="K4017" s="50"/>
      <c r="L4017" s="56" t="s">
        <v>56716</v>
      </c>
    </row>
    <row r="4018" spans="1:12" s="37" customFormat="1" ht="11.25" x14ac:dyDescent="0.2">
      <c r="A4018" s="46" t="s">
        <v>56086</v>
      </c>
      <c r="B4018" s="46" t="s">
        <v>56087</v>
      </c>
      <c r="C4018" s="58" t="str">
        <f>"17577179"</f>
        <v>17577179</v>
      </c>
      <c r="D4018" s="58" t="str">
        <f>"17577187"</f>
        <v>17577187</v>
      </c>
      <c r="E4018" s="46" t="s">
        <v>6914</v>
      </c>
      <c r="F4018" s="46" t="s">
        <v>50646</v>
      </c>
      <c r="G4018" s="46" t="s">
        <v>50584</v>
      </c>
      <c r="H4018" s="48" t="s">
        <v>56716</v>
      </c>
      <c r="I4018" s="48" t="s">
        <v>50565</v>
      </c>
      <c r="J4018" s="48" t="s">
        <v>56716</v>
      </c>
      <c r="K4018" s="50"/>
      <c r="L4018" s="48"/>
    </row>
    <row r="4019" spans="1:12" s="37" customFormat="1" ht="11.25" x14ac:dyDescent="0.2">
      <c r="A4019" s="45" t="s">
        <v>33382</v>
      </c>
      <c r="B4019" s="45" t="s">
        <v>33384</v>
      </c>
      <c r="C4019" s="51" t="s">
        <v>33386</v>
      </c>
      <c r="D4019" s="51" t="s">
        <v>56597</v>
      </c>
      <c r="E4019" s="45" t="s">
        <v>33387</v>
      </c>
      <c r="F4019" s="45" t="s">
        <v>17991</v>
      </c>
      <c r="G4019" s="45" t="s">
        <v>50584</v>
      </c>
      <c r="H4019" s="56"/>
      <c r="I4019" s="56" t="s">
        <v>50564</v>
      </c>
      <c r="J4019" s="56"/>
      <c r="K4019" s="50"/>
      <c r="L4019" s="56" t="s">
        <v>56716</v>
      </c>
    </row>
    <row r="4020" spans="1:12" s="37" customFormat="1" ht="11.25" x14ac:dyDescent="0.2">
      <c r="A4020" s="46" t="s">
        <v>5986</v>
      </c>
      <c r="B4020" s="46" t="s">
        <v>53292</v>
      </c>
      <c r="C4020" s="58" t="str">
        <f>"11218339"</f>
        <v>11218339</v>
      </c>
      <c r="D4020" s="58" t="str">
        <f>""</f>
        <v/>
      </c>
      <c r="E4020" s="46" t="s">
        <v>5988</v>
      </c>
      <c r="F4020" s="46" t="s">
        <v>17991</v>
      </c>
      <c r="G4020" s="46" t="s">
        <v>50584</v>
      </c>
      <c r="H4020" s="48" t="s">
        <v>56716</v>
      </c>
      <c r="I4020" s="48" t="s">
        <v>50564</v>
      </c>
      <c r="J4020" s="48"/>
      <c r="K4020" s="50"/>
      <c r="L4020" s="48"/>
    </row>
    <row r="4021" spans="1:12" s="37" customFormat="1" ht="11.25" x14ac:dyDescent="0.2">
      <c r="A4021" s="46" t="s">
        <v>1946</v>
      </c>
      <c r="B4021" s="46" t="s">
        <v>53293</v>
      </c>
      <c r="C4021" s="58" t="str">
        <f>"18779344"</f>
        <v>18779344</v>
      </c>
      <c r="D4021" s="58" t="str">
        <f>"18779352"</f>
        <v>18779352</v>
      </c>
      <c r="E4021" s="46" t="s">
        <v>1949</v>
      </c>
      <c r="F4021" s="46" t="s">
        <v>17991</v>
      </c>
      <c r="G4021" s="46" t="s">
        <v>50603</v>
      </c>
      <c r="H4021" s="48" t="s">
        <v>56716</v>
      </c>
      <c r="I4021" s="48" t="s">
        <v>50564</v>
      </c>
      <c r="J4021" s="48"/>
      <c r="K4021" s="50"/>
      <c r="L4021" s="48"/>
    </row>
    <row r="4022" spans="1:12" s="37" customFormat="1" ht="11.25" x14ac:dyDescent="0.2">
      <c r="A4022" s="46" t="s">
        <v>9479</v>
      </c>
      <c r="B4022" s="46" t="s">
        <v>53294</v>
      </c>
      <c r="C4022" s="58" t="str">
        <f>"17208424"</f>
        <v>17208424</v>
      </c>
      <c r="D4022" s="58" t="str">
        <f>"18247288"</f>
        <v>18247288</v>
      </c>
      <c r="E4022" s="46" t="s">
        <v>2299</v>
      </c>
      <c r="F4022" s="46" t="s">
        <v>50646</v>
      </c>
      <c r="G4022" s="46" t="s">
        <v>50584</v>
      </c>
      <c r="H4022" s="48" t="s">
        <v>56716</v>
      </c>
      <c r="I4022" s="48" t="s">
        <v>50564</v>
      </c>
      <c r="J4022" s="48"/>
      <c r="K4022" s="50" t="s">
        <v>56716</v>
      </c>
      <c r="L4022" s="48" t="s">
        <v>56716</v>
      </c>
    </row>
    <row r="4023" spans="1:12" s="37" customFormat="1" ht="11.25" x14ac:dyDescent="0.2">
      <c r="A4023" s="46" t="s">
        <v>10218</v>
      </c>
      <c r="B4023" s="46" t="s">
        <v>53295</v>
      </c>
      <c r="C4023" s="58" t="str">
        <f>"18244777"</f>
        <v>18244777</v>
      </c>
      <c r="D4023" s="58" t="str">
        <f>""</f>
        <v/>
      </c>
      <c r="E4023" s="46" t="s">
        <v>1708</v>
      </c>
      <c r="F4023" s="46" t="s">
        <v>17991</v>
      </c>
      <c r="G4023" s="46" t="s">
        <v>50602</v>
      </c>
      <c r="H4023" s="48" t="s">
        <v>56716</v>
      </c>
      <c r="I4023" s="48" t="s">
        <v>50564</v>
      </c>
      <c r="J4023" s="48"/>
      <c r="K4023" s="50"/>
      <c r="L4023" s="48"/>
    </row>
    <row r="4024" spans="1:12" s="37" customFormat="1" ht="11.25" x14ac:dyDescent="0.2">
      <c r="A4024" s="46" t="s">
        <v>8336</v>
      </c>
      <c r="B4024" s="46" t="s">
        <v>8336</v>
      </c>
      <c r="C4024" s="58" t="str">
        <f>"15216543"</f>
        <v>15216543</v>
      </c>
      <c r="D4024" s="58" t="str">
        <f>"15216551"</f>
        <v>15216551</v>
      </c>
      <c r="E4024" s="46" t="s">
        <v>35</v>
      </c>
      <c r="F4024" s="46" t="s">
        <v>50646</v>
      </c>
      <c r="G4024" s="46" t="s">
        <v>50584</v>
      </c>
      <c r="H4024" s="48" t="s">
        <v>56716</v>
      </c>
      <c r="I4024" s="48" t="s">
        <v>50564</v>
      </c>
      <c r="J4024" s="48"/>
      <c r="K4024" s="50" t="s">
        <v>56716</v>
      </c>
      <c r="L4024" s="48" t="s">
        <v>56716</v>
      </c>
    </row>
    <row r="4025" spans="1:12" s="37" customFormat="1" ht="11.25" x14ac:dyDescent="0.2">
      <c r="A4025" s="45" t="s">
        <v>33400</v>
      </c>
      <c r="B4025" s="45" t="s">
        <v>33402</v>
      </c>
      <c r="C4025" s="51" t="s">
        <v>33404</v>
      </c>
      <c r="D4025" s="51"/>
      <c r="E4025" s="45" t="s">
        <v>33405</v>
      </c>
      <c r="F4025" s="45" t="s">
        <v>50653</v>
      </c>
      <c r="G4025" s="45" t="s">
        <v>56509</v>
      </c>
      <c r="H4025" s="56"/>
      <c r="I4025" s="56" t="s">
        <v>50564</v>
      </c>
      <c r="J4025" s="56"/>
      <c r="K4025" s="50"/>
      <c r="L4025" s="56" t="s">
        <v>56716</v>
      </c>
    </row>
    <row r="4026" spans="1:12" s="37" customFormat="1" ht="11.25" x14ac:dyDescent="0.2">
      <c r="A4026" s="46" t="s">
        <v>56333</v>
      </c>
      <c r="B4026" s="46" t="s">
        <v>56334</v>
      </c>
      <c r="C4026" s="58" t="str">
        <f>""</f>
        <v/>
      </c>
      <c r="D4026" s="58" t="str">
        <f>"23525126"</f>
        <v>23525126</v>
      </c>
      <c r="E4026" s="46" t="s">
        <v>272</v>
      </c>
      <c r="F4026" s="46" t="s">
        <v>17759</v>
      </c>
      <c r="G4026" s="46" t="s">
        <v>50584</v>
      </c>
      <c r="H4026" s="48" t="s">
        <v>56716</v>
      </c>
      <c r="I4026" s="48" t="s">
        <v>50564</v>
      </c>
      <c r="J4026" s="48" t="s">
        <v>56716</v>
      </c>
      <c r="K4026" s="50"/>
      <c r="L4026" s="48"/>
    </row>
    <row r="4027" spans="1:12" s="37" customFormat="1" ht="11.25" x14ac:dyDescent="0.2">
      <c r="A4027" s="45" t="s">
        <v>33407</v>
      </c>
      <c r="B4027" s="45" t="s">
        <v>33409</v>
      </c>
      <c r="C4027" s="51" t="s">
        <v>33411</v>
      </c>
      <c r="D4027" s="51"/>
      <c r="E4027" s="45" t="s">
        <v>33413</v>
      </c>
      <c r="F4027" s="45" t="s">
        <v>17759</v>
      </c>
      <c r="G4027" s="45" t="s">
        <v>50584</v>
      </c>
      <c r="H4027" s="56"/>
      <c r="I4027" s="56" t="s">
        <v>50564</v>
      </c>
      <c r="J4027" s="56"/>
      <c r="K4027" s="50"/>
      <c r="L4027" s="56" t="s">
        <v>56716</v>
      </c>
    </row>
    <row r="4028" spans="1:12" s="37" customFormat="1" ht="11.25" x14ac:dyDescent="0.2">
      <c r="A4028" s="46" t="s">
        <v>12704</v>
      </c>
      <c r="B4028" s="46" t="s">
        <v>53296</v>
      </c>
      <c r="C4028" s="58" t="str">
        <f>"1936878X"</f>
        <v>1936878X</v>
      </c>
      <c r="D4028" s="58" t="str">
        <f>"18767591"</f>
        <v>18767591</v>
      </c>
      <c r="E4028" s="46" t="s">
        <v>272</v>
      </c>
      <c r="F4028" s="46" t="s">
        <v>17759</v>
      </c>
      <c r="G4028" s="46" t="s">
        <v>50584</v>
      </c>
      <c r="H4028" s="48" t="s">
        <v>56716</v>
      </c>
      <c r="I4028" s="48" t="s">
        <v>50564</v>
      </c>
      <c r="J4028" s="48" t="s">
        <v>56716</v>
      </c>
      <c r="K4028" s="50" t="s">
        <v>56716</v>
      </c>
      <c r="L4028" s="48" t="s">
        <v>56716</v>
      </c>
    </row>
    <row r="4029" spans="1:12" s="37" customFormat="1" ht="11.25" x14ac:dyDescent="0.2">
      <c r="A4029" s="46" t="s">
        <v>12707</v>
      </c>
      <c r="B4029" s="46" t="s">
        <v>53297</v>
      </c>
      <c r="C4029" s="58" t="str">
        <f>"19368798"</f>
        <v>19368798</v>
      </c>
      <c r="D4029" s="58" t="str">
        <f>"18767605"</f>
        <v>18767605</v>
      </c>
      <c r="E4029" s="46" t="s">
        <v>272</v>
      </c>
      <c r="F4029" s="46" t="s">
        <v>17759</v>
      </c>
      <c r="G4029" s="46" t="s">
        <v>50584</v>
      </c>
      <c r="H4029" s="48" t="s">
        <v>56716</v>
      </c>
      <c r="I4029" s="48" t="s">
        <v>50564</v>
      </c>
      <c r="J4029" s="48" t="s">
        <v>56716</v>
      </c>
      <c r="K4029" s="50" t="s">
        <v>56716</v>
      </c>
      <c r="L4029" s="48" t="s">
        <v>56716</v>
      </c>
    </row>
    <row r="4030" spans="1:12" s="37" customFormat="1" ht="11.25" x14ac:dyDescent="0.2">
      <c r="A4030" s="46" t="s">
        <v>17001</v>
      </c>
      <c r="B4030" s="46" t="s">
        <v>53298</v>
      </c>
      <c r="C4030" s="58" t="str">
        <f>"22131779"</f>
        <v>22131779</v>
      </c>
      <c r="D4030" s="58" t="str">
        <f>""</f>
        <v/>
      </c>
      <c r="E4030" s="46" t="s">
        <v>272</v>
      </c>
      <c r="F4030" s="46" t="s">
        <v>17759</v>
      </c>
      <c r="G4030" s="46" t="s">
        <v>50584</v>
      </c>
      <c r="H4030" s="48" t="s">
        <v>56716</v>
      </c>
      <c r="I4030" s="48" t="s">
        <v>50564</v>
      </c>
      <c r="J4030" s="48" t="s">
        <v>56716</v>
      </c>
      <c r="K4030" s="50" t="s">
        <v>56716</v>
      </c>
      <c r="L4030" s="48" t="s">
        <v>56716</v>
      </c>
    </row>
    <row r="4031" spans="1:12" s="37" customFormat="1" ht="11.25" x14ac:dyDescent="0.2">
      <c r="A4031" s="45" t="s">
        <v>33423</v>
      </c>
      <c r="B4031" s="45" t="s">
        <v>33425</v>
      </c>
      <c r="C4031" s="51" t="s">
        <v>33427</v>
      </c>
      <c r="D4031" s="51"/>
      <c r="E4031" s="45" t="s">
        <v>33428</v>
      </c>
      <c r="F4031" s="45" t="s">
        <v>18123</v>
      </c>
      <c r="G4031" s="45" t="s">
        <v>50594</v>
      </c>
      <c r="H4031" s="56"/>
      <c r="I4031" s="56" t="s">
        <v>50564</v>
      </c>
      <c r="J4031" s="56"/>
      <c r="K4031" s="50"/>
      <c r="L4031" s="56" t="s">
        <v>56716</v>
      </c>
    </row>
    <row r="4032" spans="1:12" s="37" customFormat="1" ht="11.25" x14ac:dyDescent="0.2">
      <c r="A4032" s="46" t="s">
        <v>16841</v>
      </c>
      <c r="B4032" s="46" t="s">
        <v>16841</v>
      </c>
      <c r="C4032" s="58" t="str">
        <f>"21623988"</f>
        <v>21623988</v>
      </c>
      <c r="D4032" s="58" t="str">
        <f>"21623996"</f>
        <v>21623996</v>
      </c>
      <c r="E4032" s="46" t="s">
        <v>669</v>
      </c>
      <c r="F4032" s="46" t="s">
        <v>17759</v>
      </c>
      <c r="G4032" s="46" t="s">
        <v>50584</v>
      </c>
      <c r="H4032" s="48" t="s">
        <v>56716</v>
      </c>
      <c r="I4032" s="48" t="s">
        <v>50564</v>
      </c>
      <c r="J4032" s="48"/>
      <c r="K4032" s="50"/>
      <c r="L4032" s="48"/>
    </row>
    <row r="4033" spans="1:12" s="37" customFormat="1" ht="11.25" x14ac:dyDescent="0.2">
      <c r="A4033" s="46" t="s">
        <v>2125</v>
      </c>
      <c r="B4033" s="46" t="s">
        <v>33432</v>
      </c>
      <c r="C4033" s="58" t="str">
        <f>"00987484"</f>
        <v>00987484</v>
      </c>
      <c r="D4033" s="58" t="str">
        <f>"15383598"</f>
        <v>15383598</v>
      </c>
      <c r="E4033" s="46" t="s">
        <v>2128</v>
      </c>
      <c r="F4033" s="46" t="s">
        <v>17759</v>
      </c>
      <c r="G4033" s="46" t="s">
        <v>50584</v>
      </c>
      <c r="H4033" s="48" t="s">
        <v>56716</v>
      </c>
      <c r="I4033" s="48" t="s">
        <v>50564</v>
      </c>
      <c r="J4033" s="48" t="s">
        <v>56716</v>
      </c>
      <c r="K4033" s="50"/>
      <c r="L4033" s="48" t="s">
        <v>56716</v>
      </c>
    </row>
    <row r="4034" spans="1:12" s="37" customFormat="1" ht="11.25" x14ac:dyDescent="0.2">
      <c r="A4034" s="46" t="s">
        <v>16568</v>
      </c>
      <c r="B4034" s="46" t="s">
        <v>53299</v>
      </c>
      <c r="C4034" s="58" t="str">
        <f>"21686068"</f>
        <v>21686068</v>
      </c>
      <c r="D4034" s="58" t="str">
        <f>""</f>
        <v/>
      </c>
      <c r="E4034" s="46" t="s">
        <v>2128</v>
      </c>
      <c r="F4034" s="46" t="s">
        <v>17759</v>
      </c>
      <c r="G4034" s="46" t="s">
        <v>50584</v>
      </c>
      <c r="H4034" s="48" t="s">
        <v>56716</v>
      </c>
      <c r="I4034" s="48" t="s">
        <v>50564</v>
      </c>
      <c r="J4034" s="48" t="s">
        <v>56716</v>
      </c>
      <c r="K4034" s="50"/>
      <c r="L4034" s="48" t="s">
        <v>56716</v>
      </c>
    </row>
    <row r="4035" spans="1:12" s="37" customFormat="1" ht="11.25" x14ac:dyDescent="0.2">
      <c r="A4035" s="45" t="s">
        <v>33441</v>
      </c>
      <c r="B4035" s="45" t="s">
        <v>33443</v>
      </c>
      <c r="C4035" s="51" t="s">
        <v>33446</v>
      </c>
      <c r="D4035" s="51" t="s">
        <v>33445</v>
      </c>
      <c r="E4035" s="45" t="s">
        <v>2128</v>
      </c>
      <c r="F4035" s="45" t="s">
        <v>17759</v>
      </c>
      <c r="G4035" s="45" t="s">
        <v>50584</v>
      </c>
      <c r="H4035" s="56"/>
      <c r="I4035" s="56" t="s">
        <v>50564</v>
      </c>
      <c r="J4035" s="56"/>
      <c r="K4035" s="50"/>
      <c r="L4035" s="56" t="s">
        <v>56716</v>
      </c>
    </row>
    <row r="4036" spans="1:12" s="37" customFormat="1" ht="11.25" x14ac:dyDescent="0.2">
      <c r="A4036" s="46" t="s">
        <v>16570</v>
      </c>
      <c r="B4036" s="46" t="s">
        <v>53300</v>
      </c>
      <c r="C4036" s="58" t="str">
        <f>"21686106"</f>
        <v>21686106</v>
      </c>
      <c r="D4036" s="58" t="str">
        <f>""</f>
        <v/>
      </c>
      <c r="E4036" s="46" t="s">
        <v>2128</v>
      </c>
      <c r="F4036" s="46" t="s">
        <v>17759</v>
      </c>
      <c r="G4036" s="46" t="s">
        <v>50584</v>
      </c>
      <c r="H4036" s="48" t="s">
        <v>56716</v>
      </c>
      <c r="I4036" s="48" t="s">
        <v>50564</v>
      </c>
      <c r="J4036" s="48" t="s">
        <v>56716</v>
      </c>
      <c r="K4036" s="50"/>
      <c r="L4036" s="48" t="s">
        <v>56716</v>
      </c>
    </row>
    <row r="4037" spans="1:12" s="37" customFormat="1" ht="11.25" x14ac:dyDescent="0.2">
      <c r="A4037" s="46" t="s">
        <v>16572</v>
      </c>
      <c r="B4037" s="46" t="s">
        <v>53301</v>
      </c>
      <c r="C4037" s="58" t="str">
        <f>"21686149"</f>
        <v>21686149</v>
      </c>
      <c r="D4037" s="58" t="str">
        <f>""</f>
        <v/>
      </c>
      <c r="E4037" s="46" t="s">
        <v>2128</v>
      </c>
      <c r="F4037" s="46" t="s">
        <v>17759</v>
      </c>
      <c r="G4037" s="46" t="s">
        <v>50584</v>
      </c>
      <c r="H4037" s="48" t="s">
        <v>56716</v>
      </c>
      <c r="I4037" s="48" t="s">
        <v>50564</v>
      </c>
      <c r="J4037" s="48" t="s">
        <v>56716</v>
      </c>
      <c r="K4037" s="50"/>
      <c r="L4037" s="48" t="s">
        <v>56716</v>
      </c>
    </row>
    <row r="4038" spans="1:12" s="37" customFormat="1" ht="11.25" x14ac:dyDescent="0.2">
      <c r="A4038" s="46" t="s">
        <v>16574</v>
      </c>
      <c r="B4038" s="46" t="s">
        <v>53302</v>
      </c>
      <c r="C4038" s="58" t="str">
        <f>"21686165"</f>
        <v>21686165</v>
      </c>
      <c r="D4038" s="58" t="str">
        <f>""</f>
        <v/>
      </c>
      <c r="E4038" s="46" t="s">
        <v>2128</v>
      </c>
      <c r="F4038" s="46" t="s">
        <v>17759</v>
      </c>
      <c r="G4038" s="46" t="s">
        <v>50584</v>
      </c>
      <c r="H4038" s="48" t="s">
        <v>56716</v>
      </c>
      <c r="I4038" s="48" t="s">
        <v>50564</v>
      </c>
      <c r="J4038" s="48" t="s">
        <v>56716</v>
      </c>
      <c r="K4038" s="50"/>
      <c r="L4038" s="48" t="s">
        <v>56716</v>
      </c>
    </row>
    <row r="4039" spans="1:12" s="37" customFormat="1" ht="11.25" x14ac:dyDescent="0.2">
      <c r="A4039" s="46" t="s">
        <v>16576</v>
      </c>
      <c r="B4039" s="46" t="s">
        <v>53303</v>
      </c>
      <c r="C4039" s="58" t="str">
        <f>"21686181"</f>
        <v>21686181</v>
      </c>
      <c r="D4039" s="58" t="str">
        <f>""</f>
        <v/>
      </c>
      <c r="E4039" s="46" t="s">
        <v>2128</v>
      </c>
      <c r="F4039" s="46" t="s">
        <v>17759</v>
      </c>
      <c r="G4039" s="46" t="s">
        <v>50584</v>
      </c>
      <c r="H4039" s="48" t="s">
        <v>56716</v>
      </c>
      <c r="I4039" s="48" t="s">
        <v>50564</v>
      </c>
      <c r="J4039" s="48"/>
      <c r="K4039" s="50"/>
      <c r="L4039" s="48" t="s">
        <v>56716</v>
      </c>
    </row>
    <row r="4040" spans="1:12" s="37" customFormat="1" ht="11.25" x14ac:dyDescent="0.2">
      <c r="A4040" s="46" t="s">
        <v>16578</v>
      </c>
      <c r="B4040" s="46" t="s">
        <v>53304</v>
      </c>
      <c r="C4040" s="58" t="str">
        <f>"21686203"</f>
        <v>21686203</v>
      </c>
      <c r="D4040" s="58" t="str">
        <f>""</f>
        <v/>
      </c>
      <c r="E4040" s="46" t="s">
        <v>2128</v>
      </c>
      <c r="F4040" s="46" t="s">
        <v>17759</v>
      </c>
      <c r="G4040" s="46" t="s">
        <v>50584</v>
      </c>
      <c r="H4040" s="48" t="s">
        <v>56716</v>
      </c>
      <c r="I4040" s="48" t="s">
        <v>50564</v>
      </c>
      <c r="J4040" s="48" t="s">
        <v>56716</v>
      </c>
      <c r="K4040" s="50"/>
      <c r="L4040" s="48" t="s">
        <v>56716</v>
      </c>
    </row>
    <row r="4041" spans="1:12" s="37" customFormat="1" ht="11.25" x14ac:dyDescent="0.2">
      <c r="A4041" s="46" t="s">
        <v>16580</v>
      </c>
      <c r="B4041" s="46" t="s">
        <v>16580</v>
      </c>
      <c r="C4041" s="58" t="str">
        <f>"2168622X"</f>
        <v>2168622X</v>
      </c>
      <c r="D4041" s="58" t="str">
        <f>""</f>
        <v/>
      </c>
      <c r="E4041" s="46" t="s">
        <v>2128</v>
      </c>
      <c r="F4041" s="46" t="s">
        <v>17759</v>
      </c>
      <c r="G4041" s="46" t="s">
        <v>50584</v>
      </c>
      <c r="H4041" s="48" t="s">
        <v>56716</v>
      </c>
      <c r="I4041" s="48" t="s">
        <v>50564</v>
      </c>
      <c r="J4041" s="48"/>
      <c r="K4041" s="50"/>
      <c r="L4041" s="48" t="s">
        <v>56716</v>
      </c>
    </row>
    <row r="4042" spans="1:12" s="37" customFormat="1" ht="11.25" x14ac:dyDescent="0.2">
      <c r="A4042" s="46" t="s">
        <v>16582</v>
      </c>
      <c r="B4042" s="46" t="s">
        <v>53305</v>
      </c>
      <c r="C4042" s="58" t="str">
        <f>"21686254"</f>
        <v>21686254</v>
      </c>
      <c r="D4042" s="58" t="str">
        <f>""</f>
        <v/>
      </c>
      <c r="E4042" s="46" t="s">
        <v>2128</v>
      </c>
      <c r="F4042" s="46" t="s">
        <v>17759</v>
      </c>
      <c r="G4042" s="46" t="s">
        <v>50584</v>
      </c>
      <c r="H4042" s="48" t="s">
        <v>56716</v>
      </c>
      <c r="I4042" s="48" t="s">
        <v>50564</v>
      </c>
      <c r="J4042" s="48" t="s">
        <v>56716</v>
      </c>
      <c r="K4042" s="50"/>
      <c r="L4042" s="48" t="s">
        <v>56716</v>
      </c>
    </row>
    <row r="4043" spans="1:12" s="37" customFormat="1" ht="11.25" x14ac:dyDescent="0.2">
      <c r="A4043" s="46" t="s">
        <v>13935</v>
      </c>
      <c r="B4043" s="46" t="s">
        <v>53306</v>
      </c>
      <c r="C4043" s="58" t="str">
        <f>"19932820"</f>
        <v>19932820</v>
      </c>
      <c r="D4043" s="58" t="str">
        <f>"18196357"</f>
        <v>18196357</v>
      </c>
      <c r="E4043" s="46" t="s">
        <v>13936</v>
      </c>
      <c r="F4043" s="46" t="s">
        <v>50650</v>
      </c>
      <c r="G4043" s="46" t="s">
        <v>50584</v>
      </c>
      <c r="H4043" s="48" t="s">
        <v>56716</v>
      </c>
      <c r="I4043" s="48" t="s">
        <v>50564</v>
      </c>
      <c r="J4043" s="48"/>
      <c r="K4043" s="50"/>
      <c r="L4043" s="48"/>
    </row>
    <row r="4044" spans="1:12" s="37" customFormat="1" ht="11.25" x14ac:dyDescent="0.2">
      <c r="A4044" s="46" t="s">
        <v>12887</v>
      </c>
      <c r="B4044" s="46" t="s">
        <v>53307</v>
      </c>
      <c r="C4044" s="58" t="str">
        <f>"20052901"</f>
        <v>20052901</v>
      </c>
      <c r="D4044" s="58" t="str">
        <f>"20938152"</f>
        <v>20938152</v>
      </c>
      <c r="E4044" s="46" t="s">
        <v>12890</v>
      </c>
      <c r="F4044" s="46" t="s">
        <v>50649</v>
      </c>
      <c r="G4044" s="46" t="s">
        <v>50584</v>
      </c>
      <c r="H4044" s="48" t="s">
        <v>56716</v>
      </c>
      <c r="I4044" s="48" t="s">
        <v>50564</v>
      </c>
      <c r="J4044" s="48" t="s">
        <v>56716</v>
      </c>
      <c r="K4044" s="50" t="s">
        <v>56716</v>
      </c>
      <c r="L4044" s="48" t="s">
        <v>56716</v>
      </c>
    </row>
    <row r="4045" spans="1:12" s="37" customFormat="1" ht="11.25" x14ac:dyDescent="0.2">
      <c r="A4045" s="45" t="s">
        <v>33490</v>
      </c>
      <c r="B4045" s="45" t="s">
        <v>33492</v>
      </c>
      <c r="C4045" s="51" t="s">
        <v>33494</v>
      </c>
      <c r="D4045" s="51" t="s">
        <v>33493</v>
      </c>
      <c r="E4045" s="45" t="s">
        <v>20225</v>
      </c>
      <c r="F4045" s="45" t="s">
        <v>18242</v>
      </c>
      <c r="G4045" s="45" t="s">
        <v>50584</v>
      </c>
      <c r="H4045" s="56"/>
      <c r="I4045" s="56" t="s">
        <v>50564</v>
      </c>
      <c r="J4045" s="56"/>
      <c r="K4045" s="50"/>
      <c r="L4045" s="56" t="s">
        <v>56716</v>
      </c>
    </row>
    <row r="4046" spans="1:12" s="37" customFormat="1" ht="11.25" x14ac:dyDescent="0.2">
      <c r="A4046" s="46" t="s">
        <v>10493</v>
      </c>
      <c r="B4046" s="46" t="s">
        <v>53308</v>
      </c>
      <c r="C4046" s="58" t="str">
        <f>"13468650"</f>
        <v>13468650</v>
      </c>
      <c r="D4046" s="58" t="str">
        <f>""</f>
        <v/>
      </c>
      <c r="E4046" s="46" t="s">
        <v>10495</v>
      </c>
      <c r="F4046" s="46" t="s">
        <v>18242</v>
      </c>
      <c r="G4046" s="46" t="s">
        <v>50584</v>
      </c>
      <c r="H4046" s="48" t="s">
        <v>56716</v>
      </c>
      <c r="I4046" s="48" t="s">
        <v>50564</v>
      </c>
      <c r="J4046" s="48"/>
      <c r="K4046" s="50"/>
      <c r="L4046" s="48"/>
    </row>
    <row r="4047" spans="1:12" s="37" customFormat="1" ht="11.25" x14ac:dyDescent="0.2">
      <c r="A4047" s="46" t="s">
        <v>631</v>
      </c>
      <c r="B4047" s="46" t="s">
        <v>53309</v>
      </c>
      <c r="C4047" s="58" t="str">
        <f>"00214884"</f>
        <v>00214884</v>
      </c>
      <c r="D4047" s="58" t="str">
        <f>"13477935"</f>
        <v>13477935</v>
      </c>
      <c r="E4047" s="46" t="s">
        <v>634</v>
      </c>
      <c r="F4047" s="46" t="s">
        <v>18242</v>
      </c>
      <c r="G4047" s="46" t="s">
        <v>50605</v>
      </c>
      <c r="H4047" s="48" t="s">
        <v>56716</v>
      </c>
      <c r="I4047" s="48" t="s">
        <v>50564</v>
      </c>
      <c r="J4047" s="48"/>
      <c r="K4047" s="50"/>
      <c r="L4047" s="48" t="s">
        <v>56716</v>
      </c>
    </row>
    <row r="4048" spans="1:12" s="37" customFormat="1" ht="11.25" x14ac:dyDescent="0.2">
      <c r="A4048" s="46" t="s">
        <v>2873</v>
      </c>
      <c r="B4048" s="46" t="s">
        <v>53310</v>
      </c>
      <c r="C4048" s="58" t="str">
        <f>"00214892"</f>
        <v>00214892</v>
      </c>
      <c r="D4048" s="58" t="str">
        <f>""</f>
        <v/>
      </c>
      <c r="E4048" s="46" t="s">
        <v>2875</v>
      </c>
      <c r="F4048" s="46" t="s">
        <v>18242</v>
      </c>
      <c r="G4048" s="46" t="s">
        <v>50604</v>
      </c>
      <c r="H4048" s="48" t="s">
        <v>56716</v>
      </c>
      <c r="I4048" s="48" t="s">
        <v>50564</v>
      </c>
      <c r="J4048" s="48"/>
      <c r="K4048" s="50"/>
      <c r="L4048" s="48" t="s">
        <v>56716</v>
      </c>
    </row>
    <row r="4049" spans="1:12" s="37" customFormat="1" ht="11.25" x14ac:dyDescent="0.2">
      <c r="A4049" s="46" t="s">
        <v>2393</v>
      </c>
      <c r="B4049" s="46" t="s">
        <v>53311</v>
      </c>
      <c r="C4049" s="58" t="str">
        <f>"03682781"</f>
        <v>03682781</v>
      </c>
      <c r="D4049" s="58" t="str">
        <f>""</f>
        <v/>
      </c>
      <c r="E4049" s="46" t="s">
        <v>2395</v>
      </c>
      <c r="F4049" s="46" t="s">
        <v>18242</v>
      </c>
      <c r="G4049" s="46" t="s">
        <v>50604</v>
      </c>
      <c r="H4049" s="48" t="s">
        <v>56716</v>
      </c>
      <c r="I4049" s="48" t="s">
        <v>50564</v>
      </c>
      <c r="J4049" s="48"/>
      <c r="K4049" s="50"/>
      <c r="L4049" s="48" t="s">
        <v>56716</v>
      </c>
    </row>
    <row r="4050" spans="1:12" s="37" customFormat="1" ht="11.25" x14ac:dyDescent="0.2">
      <c r="A4050" s="46" t="s">
        <v>1731</v>
      </c>
      <c r="B4050" s="46" t="s">
        <v>53312</v>
      </c>
      <c r="C4050" s="58" t="str">
        <f>"03850684"</f>
        <v>03850684</v>
      </c>
      <c r="D4050" s="58" t="str">
        <f>""</f>
        <v/>
      </c>
      <c r="E4050" s="46" t="s">
        <v>1733</v>
      </c>
      <c r="F4050" s="46" t="s">
        <v>18242</v>
      </c>
      <c r="G4050" s="46" t="s">
        <v>50604</v>
      </c>
      <c r="H4050" s="48" t="s">
        <v>56716</v>
      </c>
      <c r="I4050" s="48" t="s">
        <v>50564</v>
      </c>
      <c r="J4050" s="48"/>
      <c r="K4050" s="50"/>
      <c r="L4050" s="48" t="s">
        <v>56716</v>
      </c>
    </row>
    <row r="4051" spans="1:12" s="37" customFormat="1" ht="11.25" x14ac:dyDescent="0.2">
      <c r="A4051" s="46" t="s">
        <v>6631</v>
      </c>
      <c r="B4051" s="46" t="s">
        <v>53313</v>
      </c>
      <c r="C4051" s="58" t="str">
        <f>"13407007"</f>
        <v>13407007</v>
      </c>
      <c r="D4051" s="58" t="str">
        <f>""</f>
        <v/>
      </c>
      <c r="E4051" s="46" t="s">
        <v>6633</v>
      </c>
      <c r="F4051" s="46" t="s">
        <v>18242</v>
      </c>
      <c r="G4051" s="46" t="s">
        <v>50604</v>
      </c>
      <c r="H4051" s="48" t="s">
        <v>56716</v>
      </c>
      <c r="I4051" s="48" t="s">
        <v>50564</v>
      </c>
      <c r="J4051" s="48"/>
      <c r="K4051" s="50"/>
      <c r="L4051" s="48"/>
    </row>
    <row r="4052" spans="1:12" s="37" customFormat="1" ht="11.25" x14ac:dyDescent="0.2">
      <c r="A4052" s="46" t="s">
        <v>3638</v>
      </c>
      <c r="B4052" s="46" t="s">
        <v>53314</v>
      </c>
      <c r="C4052" s="58" t="str">
        <f>"03705633"</f>
        <v>03705633</v>
      </c>
      <c r="D4052" s="58" t="str">
        <f>""</f>
        <v/>
      </c>
      <c r="E4052" s="46" t="s">
        <v>3638</v>
      </c>
      <c r="F4052" s="46" t="s">
        <v>18242</v>
      </c>
      <c r="G4052" s="46" t="s">
        <v>50605</v>
      </c>
      <c r="H4052" s="48" t="s">
        <v>56716</v>
      </c>
      <c r="I4052" s="48" t="s">
        <v>50564</v>
      </c>
      <c r="J4052" s="48"/>
      <c r="K4052" s="50"/>
      <c r="L4052" s="48"/>
    </row>
    <row r="4053" spans="1:12" s="37" customFormat="1" ht="11.25" x14ac:dyDescent="0.2">
      <c r="A4053" s="46" t="s">
        <v>13571</v>
      </c>
      <c r="B4053" s="46" t="s">
        <v>53315</v>
      </c>
      <c r="C4053" s="58" t="str">
        <f>"09114300"</f>
        <v>09114300</v>
      </c>
      <c r="D4053" s="58" t="str">
        <f>"13497413"</f>
        <v>13497413</v>
      </c>
      <c r="E4053" s="46" t="s">
        <v>13574</v>
      </c>
      <c r="F4053" s="46" t="s">
        <v>18242</v>
      </c>
      <c r="G4053" s="46" t="s">
        <v>50604</v>
      </c>
      <c r="H4053" s="48" t="s">
        <v>56716</v>
      </c>
      <c r="I4053" s="48" t="s">
        <v>50564</v>
      </c>
      <c r="J4053" s="48"/>
      <c r="K4053" s="50"/>
      <c r="L4053" s="48" t="s">
        <v>56716</v>
      </c>
    </row>
    <row r="4054" spans="1:12" s="37" customFormat="1" ht="11.25" x14ac:dyDescent="0.2">
      <c r="A4054" s="46" t="s">
        <v>2400</v>
      </c>
      <c r="B4054" s="46" t="s">
        <v>53316</v>
      </c>
      <c r="C4054" s="58" t="str">
        <f>"03682811"</f>
        <v>03682811</v>
      </c>
      <c r="D4054" s="58" t="str">
        <f>"14653621"</f>
        <v>14653621</v>
      </c>
      <c r="E4054" s="46" t="s">
        <v>55</v>
      </c>
      <c r="F4054" s="46" t="s">
        <v>50646</v>
      </c>
      <c r="G4054" s="46" t="s">
        <v>50584</v>
      </c>
      <c r="H4054" s="48" t="s">
        <v>56716</v>
      </c>
      <c r="I4054" s="48" t="s">
        <v>50564</v>
      </c>
      <c r="J4054" s="48"/>
      <c r="K4054" s="50"/>
      <c r="L4054" s="48" t="s">
        <v>56716</v>
      </c>
    </row>
    <row r="4055" spans="1:12" s="37" customFormat="1" ht="11.25" x14ac:dyDescent="0.2">
      <c r="A4055" s="46" t="s">
        <v>4291</v>
      </c>
      <c r="B4055" s="46" t="s">
        <v>53317</v>
      </c>
      <c r="C4055" s="58" t="str">
        <f>"03881601"</f>
        <v>03881601</v>
      </c>
      <c r="D4055" s="58" t="str">
        <f>"18828272"</f>
        <v>18828272</v>
      </c>
      <c r="E4055" s="46" t="s">
        <v>4294</v>
      </c>
      <c r="F4055" s="46" t="s">
        <v>18242</v>
      </c>
      <c r="G4055" s="46" t="s">
        <v>50604</v>
      </c>
      <c r="H4055" s="48" t="s">
        <v>56716</v>
      </c>
      <c r="I4055" s="48" t="s">
        <v>50564</v>
      </c>
      <c r="J4055" s="48"/>
      <c r="K4055" s="50"/>
      <c r="L4055" s="48"/>
    </row>
    <row r="4056" spans="1:12" s="37" customFormat="1" ht="11.25" x14ac:dyDescent="0.2">
      <c r="A4056" s="46" t="s">
        <v>2403</v>
      </c>
      <c r="B4056" s="46" t="s">
        <v>53318</v>
      </c>
      <c r="C4056" s="58" t="str">
        <f>"00099252"</f>
        <v>00099252</v>
      </c>
      <c r="D4056" s="58" t="str">
        <f>""</f>
        <v/>
      </c>
      <c r="E4056" s="46" t="s">
        <v>2405</v>
      </c>
      <c r="F4056" s="46" t="s">
        <v>18242</v>
      </c>
      <c r="G4056" s="46" t="s">
        <v>50604</v>
      </c>
      <c r="H4056" s="48" t="s">
        <v>56716</v>
      </c>
      <c r="I4056" s="48" t="s">
        <v>50564</v>
      </c>
      <c r="J4056" s="48"/>
      <c r="K4056" s="50"/>
      <c r="L4056" s="48"/>
    </row>
    <row r="4057" spans="1:12" s="37" customFormat="1" ht="11.25" x14ac:dyDescent="0.2">
      <c r="A4057" s="46" t="s">
        <v>15826</v>
      </c>
      <c r="B4057" s="46" t="s">
        <v>53319</v>
      </c>
      <c r="C4057" s="58" t="str">
        <f>"13495747"</f>
        <v>13495747</v>
      </c>
      <c r="D4057" s="58" t="str">
        <f>"18818382"</f>
        <v>18818382</v>
      </c>
      <c r="E4057" s="46" t="s">
        <v>15829</v>
      </c>
      <c r="F4057" s="46" t="s">
        <v>18242</v>
      </c>
      <c r="G4057" s="46" t="s">
        <v>50604</v>
      </c>
      <c r="H4057" s="48" t="s">
        <v>56716</v>
      </c>
      <c r="I4057" s="48" t="s">
        <v>50564</v>
      </c>
      <c r="J4057" s="48"/>
      <c r="K4057" s="50"/>
      <c r="L4057" s="48"/>
    </row>
    <row r="4058" spans="1:12" s="37" customFormat="1" ht="11.25" x14ac:dyDescent="0.2">
      <c r="A4058" s="46" t="s">
        <v>8263</v>
      </c>
      <c r="B4058" s="46" t="s">
        <v>53320</v>
      </c>
      <c r="C4058" s="58" t="str">
        <f>"13446304"</f>
        <v>13446304</v>
      </c>
      <c r="D4058" s="58" t="str">
        <f>"18842836"</f>
        <v>18842836</v>
      </c>
      <c r="E4058" s="46" t="s">
        <v>8266</v>
      </c>
      <c r="F4058" s="46" t="s">
        <v>18242</v>
      </c>
      <c r="G4058" s="46" t="s">
        <v>50584</v>
      </c>
      <c r="H4058" s="48" t="s">
        <v>56716</v>
      </c>
      <c r="I4058" s="48" t="s">
        <v>50564</v>
      </c>
      <c r="J4058" s="48"/>
      <c r="K4058" s="50"/>
      <c r="L4058" s="48" t="s">
        <v>56716</v>
      </c>
    </row>
    <row r="4059" spans="1:12" s="37" customFormat="1" ht="11.25" x14ac:dyDescent="0.2">
      <c r="A4059" s="46" t="s">
        <v>3159</v>
      </c>
      <c r="B4059" s="46" t="s">
        <v>53321</v>
      </c>
      <c r="C4059" s="58" t="str">
        <f>"13423681"</f>
        <v>13423681</v>
      </c>
      <c r="D4059" s="58" t="str">
        <f>"1884314X"</f>
        <v>1884314X</v>
      </c>
      <c r="E4059" s="46" t="s">
        <v>3162</v>
      </c>
      <c r="F4059" s="46" t="s">
        <v>18242</v>
      </c>
      <c r="G4059" s="46" t="s">
        <v>50605</v>
      </c>
      <c r="H4059" s="48" t="s">
        <v>56716</v>
      </c>
      <c r="I4059" s="48" t="s">
        <v>50564</v>
      </c>
      <c r="J4059" s="48"/>
      <c r="K4059" s="50"/>
      <c r="L4059" s="48" t="s">
        <v>56716</v>
      </c>
    </row>
    <row r="4060" spans="1:12" s="37" customFormat="1" ht="11.25" x14ac:dyDescent="0.2">
      <c r="A4060" s="46" t="s">
        <v>1809</v>
      </c>
      <c r="B4060" s="46" t="s">
        <v>53322</v>
      </c>
      <c r="C4060" s="58" t="str">
        <f>"03869628"</f>
        <v>03869628</v>
      </c>
      <c r="D4060" s="58" t="str">
        <f>""</f>
        <v/>
      </c>
      <c r="E4060" s="46" t="s">
        <v>1811</v>
      </c>
      <c r="F4060" s="46" t="s">
        <v>18242</v>
      </c>
      <c r="G4060" s="46" t="s">
        <v>50604</v>
      </c>
      <c r="H4060" s="48" t="s">
        <v>56716</v>
      </c>
      <c r="I4060" s="48" t="s">
        <v>50564</v>
      </c>
      <c r="J4060" s="48"/>
      <c r="K4060" s="50"/>
      <c r="L4060" s="48"/>
    </row>
    <row r="4061" spans="1:12" s="37" customFormat="1" ht="11.25" x14ac:dyDescent="0.2">
      <c r="A4061" s="46" t="s">
        <v>3783</v>
      </c>
      <c r="B4061" s="46" t="s">
        <v>53323</v>
      </c>
      <c r="C4061" s="58" t="str">
        <f>"09164804"</f>
        <v>09164804</v>
      </c>
      <c r="D4061" s="58" t="str">
        <f>""</f>
        <v/>
      </c>
      <c r="E4061" s="46" t="s">
        <v>3785</v>
      </c>
      <c r="F4061" s="46" t="s">
        <v>18242</v>
      </c>
      <c r="G4061" s="46" t="s">
        <v>50605</v>
      </c>
      <c r="H4061" s="48" t="s">
        <v>56716</v>
      </c>
      <c r="I4061" s="48" t="s">
        <v>50564</v>
      </c>
      <c r="J4061" s="48"/>
      <c r="K4061" s="50"/>
      <c r="L4061" s="48"/>
    </row>
    <row r="4062" spans="1:12" s="37" customFormat="1" ht="11.25" x14ac:dyDescent="0.2">
      <c r="A4062" s="46" t="s">
        <v>3108</v>
      </c>
      <c r="B4062" s="46" t="s">
        <v>53324</v>
      </c>
      <c r="C4062" s="58" t="str">
        <f>"03852385"</f>
        <v>03852385</v>
      </c>
      <c r="D4062" s="58" t="str">
        <f>""</f>
        <v/>
      </c>
      <c r="E4062" s="46" t="s">
        <v>3110</v>
      </c>
      <c r="F4062" s="46" t="s">
        <v>18242</v>
      </c>
      <c r="G4062" s="46" t="s">
        <v>50604</v>
      </c>
      <c r="H4062" s="48" t="s">
        <v>56716</v>
      </c>
      <c r="I4062" s="48" t="s">
        <v>50564</v>
      </c>
      <c r="J4062" s="48"/>
      <c r="K4062" s="50"/>
      <c r="L4062" s="48" t="s">
        <v>56716</v>
      </c>
    </row>
    <row r="4063" spans="1:12" s="37" customFormat="1" ht="11.25" x14ac:dyDescent="0.2">
      <c r="A4063" s="46" t="s">
        <v>9476</v>
      </c>
      <c r="B4063" s="46" t="s">
        <v>53325</v>
      </c>
      <c r="C4063" s="58" t="str">
        <f>"13402544"</f>
        <v>13402544</v>
      </c>
      <c r="D4063" s="58" t="str">
        <f>""</f>
        <v/>
      </c>
      <c r="E4063" s="46" t="s">
        <v>9478</v>
      </c>
      <c r="F4063" s="46" t="s">
        <v>18242</v>
      </c>
      <c r="G4063" s="46" t="s">
        <v>50584</v>
      </c>
      <c r="H4063" s="48" t="s">
        <v>56716</v>
      </c>
      <c r="I4063" s="48" t="s">
        <v>50564</v>
      </c>
      <c r="J4063" s="48"/>
      <c r="K4063" s="50"/>
      <c r="L4063" s="48" t="s">
        <v>56716</v>
      </c>
    </row>
    <row r="4064" spans="1:12" s="37" customFormat="1" ht="11.25" x14ac:dyDescent="0.2">
      <c r="A4064" s="46" t="s">
        <v>6026</v>
      </c>
      <c r="B4064" s="46" t="s">
        <v>53326</v>
      </c>
      <c r="C4064" s="58" t="str">
        <f>"0917950X"</f>
        <v>0917950X</v>
      </c>
      <c r="D4064" s="58" t="str">
        <f>""</f>
        <v/>
      </c>
      <c r="E4064" s="46" t="s">
        <v>6028</v>
      </c>
      <c r="F4064" s="46" t="s">
        <v>18242</v>
      </c>
      <c r="G4064" s="46" t="s">
        <v>50604</v>
      </c>
      <c r="H4064" s="48" t="s">
        <v>56716</v>
      </c>
      <c r="I4064" s="48" t="s">
        <v>50564</v>
      </c>
      <c r="J4064" s="48"/>
      <c r="K4064" s="50"/>
      <c r="L4064" s="48"/>
    </row>
    <row r="4065" spans="1:12" s="37" customFormat="1" ht="11.25" x14ac:dyDescent="0.2">
      <c r="A4065" s="46" t="s">
        <v>2406</v>
      </c>
      <c r="B4065" s="46" t="s">
        <v>53327</v>
      </c>
      <c r="C4065" s="58" t="str">
        <f>"00215155"</f>
        <v>00215155</v>
      </c>
      <c r="D4065" s="58" t="str">
        <f>"16132246"</f>
        <v>16132246</v>
      </c>
      <c r="E4065" s="46" t="s">
        <v>23335</v>
      </c>
      <c r="F4065" s="46" t="s">
        <v>18242</v>
      </c>
      <c r="G4065" s="46" t="s">
        <v>50584</v>
      </c>
      <c r="H4065" s="48" t="s">
        <v>56716</v>
      </c>
      <c r="I4065" s="48" t="s">
        <v>50564</v>
      </c>
      <c r="J4065" s="48" t="s">
        <v>56716</v>
      </c>
      <c r="K4065" s="50" t="s">
        <v>56716</v>
      </c>
      <c r="L4065" s="48" t="s">
        <v>56716</v>
      </c>
    </row>
    <row r="4066" spans="1:12" s="37" customFormat="1" ht="11.25" x14ac:dyDescent="0.2">
      <c r="A4066" s="46" t="s">
        <v>13339</v>
      </c>
      <c r="B4066" s="46" t="s">
        <v>55853</v>
      </c>
      <c r="C4066" s="58" t="str">
        <f>"18671071"</f>
        <v>18671071</v>
      </c>
      <c r="D4066" s="58" t="str">
        <f>"1867108X"</f>
        <v>1867108X</v>
      </c>
      <c r="E4066" s="46" t="s">
        <v>23335</v>
      </c>
      <c r="F4066" s="46" t="s">
        <v>18242</v>
      </c>
      <c r="G4066" s="46" t="s">
        <v>50584</v>
      </c>
      <c r="H4066" s="48" t="s">
        <v>56716</v>
      </c>
      <c r="I4066" s="48" t="s">
        <v>50564</v>
      </c>
      <c r="J4066" s="48" t="s">
        <v>56716</v>
      </c>
      <c r="K4066" s="50" t="s">
        <v>56716</v>
      </c>
      <c r="L4066" s="48" t="s">
        <v>56716</v>
      </c>
    </row>
    <row r="4067" spans="1:12" s="37" customFormat="1" ht="11.25" x14ac:dyDescent="0.2">
      <c r="A4067" s="46" t="s">
        <v>4113</v>
      </c>
      <c r="B4067" s="46" t="s">
        <v>53328</v>
      </c>
      <c r="C4067" s="58" t="str">
        <f>"03863603"</f>
        <v>03863603</v>
      </c>
      <c r="D4067" s="58" t="str">
        <f>""</f>
        <v/>
      </c>
      <c r="E4067" s="46" t="s">
        <v>3929</v>
      </c>
      <c r="F4067" s="46" t="s">
        <v>18242</v>
      </c>
      <c r="G4067" s="46" t="s">
        <v>50605</v>
      </c>
      <c r="H4067" s="48" t="s">
        <v>56716</v>
      </c>
      <c r="I4067" s="48" t="s">
        <v>50564</v>
      </c>
      <c r="J4067" s="48"/>
      <c r="K4067" s="50"/>
      <c r="L4067" s="48"/>
    </row>
    <row r="4068" spans="1:12" s="37" customFormat="1" ht="11.25" x14ac:dyDescent="0.2">
      <c r="A4068" s="45" t="s">
        <v>33537</v>
      </c>
      <c r="B4068" s="45" t="s">
        <v>33539</v>
      </c>
      <c r="C4068" s="51" t="s">
        <v>33540</v>
      </c>
      <c r="D4068" s="51"/>
      <c r="E4068" s="45" t="s">
        <v>33541</v>
      </c>
      <c r="F4068" s="45" t="s">
        <v>18242</v>
      </c>
      <c r="G4068" s="45" t="s">
        <v>50584</v>
      </c>
      <c r="H4068" s="56"/>
      <c r="I4068" s="56" t="s">
        <v>50564</v>
      </c>
      <c r="J4068" s="56"/>
      <c r="K4068" s="50"/>
      <c r="L4068" s="56" t="s">
        <v>56716</v>
      </c>
    </row>
    <row r="4069" spans="1:12" s="37" customFormat="1" ht="11.25" x14ac:dyDescent="0.2">
      <c r="A4069" s="46" t="s">
        <v>8894</v>
      </c>
      <c r="B4069" s="46" t="s">
        <v>53329</v>
      </c>
      <c r="C4069" s="58" t="str">
        <f>"15253961"</f>
        <v>15253961</v>
      </c>
      <c r="D4069" s="58" t="str">
        <f>"14387573"</f>
        <v>14387573</v>
      </c>
      <c r="E4069" s="46" t="s">
        <v>56305</v>
      </c>
      <c r="F4069" s="46" t="s">
        <v>17759</v>
      </c>
      <c r="G4069" s="46" t="s">
        <v>50584</v>
      </c>
      <c r="H4069" s="48" t="s">
        <v>56716</v>
      </c>
      <c r="I4069" s="48" t="s">
        <v>50564</v>
      </c>
      <c r="J4069" s="48" t="s">
        <v>56716</v>
      </c>
      <c r="K4069" s="50" t="s">
        <v>56716</v>
      </c>
      <c r="L4069" s="48" t="s">
        <v>56716</v>
      </c>
    </row>
    <row r="4070" spans="1:12" s="37" customFormat="1" ht="11.25" x14ac:dyDescent="0.2">
      <c r="A4070" s="46" t="s">
        <v>10212</v>
      </c>
      <c r="B4070" s="46" t="s">
        <v>53330</v>
      </c>
      <c r="C4070" s="58" t="str">
        <f>"15528855"</f>
        <v>15528855</v>
      </c>
      <c r="D4070" s="58" t="str">
        <f>"15571289"</f>
        <v>15571289</v>
      </c>
      <c r="E4070" s="46" t="s">
        <v>91</v>
      </c>
      <c r="F4070" s="46" t="s">
        <v>18001</v>
      </c>
      <c r="G4070" s="46" t="s">
        <v>50584</v>
      </c>
      <c r="H4070" s="48" t="s">
        <v>56716</v>
      </c>
      <c r="I4070" s="48" t="s">
        <v>50564</v>
      </c>
      <c r="J4070" s="48"/>
      <c r="K4070" s="50"/>
      <c r="L4070" s="48"/>
    </row>
    <row r="4071" spans="1:12" s="37" customFormat="1" ht="11.25" x14ac:dyDescent="0.2">
      <c r="A4071" s="46" t="s">
        <v>17151</v>
      </c>
      <c r="B4071" s="46" t="s">
        <v>53331</v>
      </c>
      <c r="C4071" s="58" t="str">
        <f>""</f>
        <v/>
      </c>
      <c r="D4071" s="58" t="str">
        <f>"22024433"</f>
        <v>22024433</v>
      </c>
      <c r="E4071" s="46" t="s">
        <v>17153</v>
      </c>
      <c r="F4071" s="46" t="s">
        <v>20082</v>
      </c>
      <c r="G4071" s="46" t="s">
        <v>50584</v>
      </c>
      <c r="H4071" s="48" t="s">
        <v>56716</v>
      </c>
      <c r="I4071" s="48" t="s">
        <v>50564</v>
      </c>
      <c r="J4071" s="48"/>
      <c r="K4071" s="50"/>
      <c r="L4071" s="48"/>
    </row>
    <row r="4072" spans="1:12" s="37" customFormat="1" ht="11.25" x14ac:dyDescent="0.2">
      <c r="A4072" s="46" t="s">
        <v>56388</v>
      </c>
      <c r="B4072" s="46" t="s">
        <v>56389</v>
      </c>
      <c r="C4072" s="58" t="str">
        <f>""</f>
        <v/>
      </c>
      <c r="D4072" s="58" t="str">
        <f>"21603251"</f>
        <v>21603251</v>
      </c>
      <c r="E4072" s="46" t="s">
        <v>2167</v>
      </c>
      <c r="F4072" s="46" t="s">
        <v>17759</v>
      </c>
      <c r="G4072" s="46" t="s">
        <v>50584</v>
      </c>
      <c r="H4072" s="48" t="s">
        <v>56716</v>
      </c>
      <c r="I4072" s="48" t="s">
        <v>50564</v>
      </c>
      <c r="J4072" s="48"/>
      <c r="K4072" s="50"/>
      <c r="L4072" s="48"/>
    </row>
    <row r="4073" spans="1:12" s="37" customFormat="1" ht="11.25" x14ac:dyDescent="0.2">
      <c r="A4073" s="46" t="s">
        <v>56390</v>
      </c>
      <c r="B4073" s="46" t="s">
        <v>56391</v>
      </c>
      <c r="C4073" s="58" t="str">
        <f>""</f>
        <v/>
      </c>
      <c r="D4073" s="58" t="str">
        <f>"21602204"</f>
        <v>21602204</v>
      </c>
      <c r="E4073" s="46" t="s">
        <v>2167</v>
      </c>
      <c r="F4073" s="46" t="s">
        <v>17759</v>
      </c>
      <c r="G4073" s="46" t="s">
        <v>50584</v>
      </c>
      <c r="H4073" s="48" t="s">
        <v>56716</v>
      </c>
      <c r="I4073" s="48" t="s">
        <v>50564</v>
      </c>
      <c r="J4073" s="48"/>
      <c r="K4073" s="50"/>
      <c r="L4073" s="48"/>
    </row>
    <row r="4074" spans="1:12" s="37" customFormat="1" ht="11.25" x14ac:dyDescent="0.2">
      <c r="A4074" s="46" t="s">
        <v>56392</v>
      </c>
      <c r="B4074" s="46" t="s">
        <v>56393</v>
      </c>
      <c r="C4074" s="58" t="str">
        <f>"23299185"</f>
        <v>23299185</v>
      </c>
      <c r="D4074" s="58" t="str">
        <f>""</f>
        <v/>
      </c>
      <c r="E4074" s="46" t="s">
        <v>2167</v>
      </c>
      <c r="F4074" s="46" t="s">
        <v>17759</v>
      </c>
      <c r="G4074" s="46" t="s">
        <v>50584</v>
      </c>
      <c r="H4074" s="48" t="s">
        <v>56716</v>
      </c>
      <c r="I4074" s="48" t="s">
        <v>50564</v>
      </c>
      <c r="J4074" s="48"/>
      <c r="K4074" s="50"/>
      <c r="L4074" s="48"/>
    </row>
    <row r="4075" spans="1:12" s="37" customFormat="1" ht="11.25" x14ac:dyDescent="0.2">
      <c r="A4075" s="46" t="s">
        <v>5360</v>
      </c>
      <c r="B4075" s="46" t="s">
        <v>53332</v>
      </c>
      <c r="C4075" s="58" t="str">
        <f>"17802393"</f>
        <v>17802393</v>
      </c>
      <c r="D4075" s="58" t="str">
        <f>""</f>
        <v/>
      </c>
      <c r="E4075" s="46" t="s">
        <v>13</v>
      </c>
      <c r="F4075" s="46" t="s">
        <v>17929</v>
      </c>
      <c r="G4075" s="46" t="s">
        <v>50590</v>
      </c>
      <c r="H4075" s="48" t="s">
        <v>56716</v>
      </c>
      <c r="I4075" s="48" t="s">
        <v>50564</v>
      </c>
      <c r="J4075" s="48" t="s">
        <v>56716</v>
      </c>
      <c r="K4075" s="50"/>
      <c r="L4075" s="48" t="s">
        <v>56716</v>
      </c>
    </row>
    <row r="4076" spans="1:12" s="37" customFormat="1" ht="11.25" x14ac:dyDescent="0.2">
      <c r="A4076" s="46" t="s">
        <v>14143</v>
      </c>
      <c r="B4076" s="46" t="s">
        <v>53333</v>
      </c>
      <c r="C4076" s="58" t="str">
        <f>"13085727"</f>
        <v>13085727</v>
      </c>
      <c r="D4076" s="58" t="str">
        <f>"13085735"</f>
        <v>13085735</v>
      </c>
      <c r="E4076" s="46" t="s">
        <v>13076</v>
      </c>
      <c r="F4076" s="46" t="s">
        <v>18396</v>
      </c>
      <c r="G4076" s="46" t="s">
        <v>50584</v>
      </c>
      <c r="H4076" s="48" t="s">
        <v>56716</v>
      </c>
      <c r="I4076" s="48" t="s">
        <v>50564</v>
      </c>
      <c r="J4076" s="48"/>
      <c r="K4076" s="50"/>
      <c r="L4076" s="48" t="s">
        <v>56716</v>
      </c>
    </row>
    <row r="4077" spans="1:12" s="37" customFormat="1" ht="11.25" x14ac:dyDescent="0.2">
      <c r="A4077" s="46" t="s">
        <v>56335</v>
      </c>
      <c r="B4077" s="46" t="s">
        <v>56336</v>
      </c>
      <c r="C4077" s="58" t="str">
        <f>""</f>
        <v/>
      </c>
      <c r="D4077" s="58" t="str">
        <f>"22141677"</f>
        <v>22141677</v>
      </c>
      <c r="E4077" s="46" t="s">
        <v>272</v>
      </c>
      <c r="F4077" s="46" t="s">
        <v>17759</v>
      </c>
      <c r="G4077" s="46" t="s">
        <v>50584</v>
      </c>
      <c r="H4077" s="48" t="s">
        <v>56716</v>
      </c>
      <c r="I4077" s="48" t="s">
        <v>50564</v>
      </c>
      <c r="J4077" s="48" t="s">
        <v>56716</v>
      </c>
      <c r="K4077" s="50"/>
      <c r="L4077" s="48"/>
    </row>
    <row r="4078" spans="1:12" s="37" customFormat="1" ht="11.25" x14ac:dyDescent="0.2">
      <c r="A4078" s="46" t="s">
        <v>9541</v>
      </c>
      <c r="B4078" s="46" t="s">
        <v>53334</v>
      </c>
      <c r="C4078" s="58" t="str">
        <f>"16100379"</f>
        <v>16100379</v>
      </c>
      <c r="D4078" s="58" t="str">
        <f>"16100387"</f>
        <v>16100387</v>
      </c>
      <c r="E4078" s="46" t="s">
        <v>651</v>
      </c>
      <c r="F4078" s="46" t="s">
        <v>18158</v>
      </c>
      <c r="G4078" s="46" t="s">
        <v>50593</v>
      </c>
      <c r="H4078" s="48" t="s">
        <v>56716</v>
      </c>
      <c r="I4078" s="48" t="s">
        <v>50564</v>
      </c>
      <c r="J4078" s="48"/>
      <c r="K4078" s="50" t="s">
        <v>56716</v>
      </c>
      <c r="L4078" s="48" t="s">
        <v>56716</v>
      </c>
    </row>
    <row r="4079" spans="1:12" s="37" customFormat="1" ht="11.25" x14ac:dyDescent="0.2">
      <c r="A4079" s="45" t="s">
        <v>33549</v>
      </c>
      <c r="B4079" s="45" t="s">
        <v>33551</v>
      </c>
      <c r="C4079" s="51" t="s">
        <v>33553</v>
      </c>
      <c r="D4079" s="51"/>
      <c r="E4079" s="45" t="s">
        <v>33554</v>
      </c>
      <c r="F4079" s="45" t="s">
        <v>17759</v>
      </c>
      <c r="G4079" s="45" t="s">
        <v>50584</v>
      </c>
      <c r="H4079" s="56"/>
      <c r="I4079" s="56" t="s">
        <v>50564</v>
      </c>
      <c r="J4079" s="56"/>
      <c r="K4079" s="50"/>
      <c r="L4079" s="56" t="s">
        <v>56716</v>
      </c>
    </row>
    <row r="4080" spans="1:12" s="37" customFormat="1" ht="11.25" x14ac:dyDescent="0.2">
      <c r="A4080" s="46" t="s">
        <v>6509</v>
      </c>
      <c r="B4080" s="46" t="s">
        <v>53335</v>
      </c>
      <c r="C4080" s="58" t="str">
        <f>"13000438"</f>
        <v>13000438</v>
      </c>
      <c r="D4080" s="58" t="str">
        <f>""</f>
        <v/>
      </c>
      <c r="E4080" s="46" t="s">
        <v>6511</v>
      </c>
      <c r="F4080" s="46" t="s">
        <v>18396</v>
      </c>
      <c r="G4080" s="46" t="s">
        <v>50638</v>
      </c>
      <c r="H4080" s="48" t="s">
        <v>56716</v>
      </c>
      <c r="I4080" s="48" t="s">
        <v>50564</v>
      </c>
      <c r="J4080" s="48"/>
      <c r="K4080" s="50"/>
      <c r="L4080" s="48"/>
    </row>
    <row r="4081" spans="1:12" s="37" customFormat="1" ht="11.25" x14ac:dyDescent="0.2">
      <c r="A4081" s="46" t="s">
        <v>5521</v>
      </c>
      <c r="B4081" s="46" t="s">
        <v>53336</v>
      </c>
      <c r="C4081" s="58" t="str">
        <f>"10165126"</f>
        <v>10165126</v>
      </c>
      <c r="D4081" s="58" t="str">
        <f>""</f>
        <v/>
      </c>
      <c r="E4081" s="46" t="s">
        <v>5420</v>
      </c>
      <c r="F4081" s="46" t="s">
        <v>18396</v>
      </c>
      <c r="G4081" s="46" t="s">
        <v>50638</v>
      </c>
      <c r="H4081" s="48" t="s">
        <v>56716</v>
      </c>
      <c r="I4081" s="48" t="s">
        <v>50564</v>
      </c>
      <c r="J4081" s="48"/>
      <c r="K4081" s="50"/>
      <c r="L4081" s="48"/>
    </row>
    <row r="4082" spans="1:12" s="37" customFormat="1" ht="11.25" x14ac:dyDescent="0.2">
      <c r="A4082" s="46" t="s">
        <v>7078</v>
      </c>
      <c r="B4082" s="46" t="s">
        <v>53337</v>
      </c>
      <c r="C4082" s="58" t="str">
        <f>"09718834"</f>
        <v>09718834</v>
      </c>
      <c r="D4082" s="58" t="str">
        <f>""</f>
        <v/>
      </c>
      <c r="E4082" s="46" t="s">
        <v>7078</v>
      </c>
      <c r="F4082" s="46" t="s">
        <v>20446</v>
      </c>
      <c r="G4082" s="46" t="s">
        <v>50584</v>
      </c>
      <c r="H4082" s="48" t="s">
        <v>56716</v>
      </c>
      <c r="I4082" s="48" t="s">
        <v>50564</v>
      </c>
      <c r="J4082" s="48"/>
      <c r="K4082" s="50"/>
      <c r="L4082" s="48"/>
    </row>
    <row r="4083" spans="1:12" s="37" customFormat="1" ht="11.25" x14ac:dyDescent="0.2">
      <c r="A4083" s="46" t="s">
        <v>8785</v>
      </c>
      <c r="B4083" s="46" t="s">
        <v>8785</v>
      </c>
      <c r="C4083" s="58" t="str">
        <f>"09721177"</f>
        <v>09721177</v>
      </c>
      <c r="D4083" s="58" t="str">
        <f>""</f>
        <v/>
      </c>
      <c r="E4083" s="46" t="s">
        <v>8785</v>
      </c>
      <c r="F4083" s="46" t="s">
        <v>20446</v>
      </c>
      <c r="G4083" s="46" t="s">
        <v>50584</v>
      </c>
      <c r="H4083" s="48" t="s">
        <v>56716</v>
      </c>
      <c r="I4083" s="48" t="s">
        <v>50564</v>
      </c>
      <c r="J4083" s="48"/>
      <c r="K4083" s="50"/>
      <c r="L4083" s="48"/>
    </row>
    <row r="4084" spans="1:12" s="37" customFormat="1" ht="11.25" x14ac:dyDescent="0.2">
      <c r="A4084" s="46" t="s">
        <v>9503</v>
      </c>
      <c r="B4084" s="46" t="s">
        <v>53338</v>
      </c>
      <c r="C4084" s="58" t="str">
        <f>"09724958"</f>
        <v>09724958</v>
      </c>
      <c r="D4084" s="58" t="str">
        <f>""</f>
        <v/>
      </c>
      <c r="E4084" s="46" t="s">
        <v>9505</v>
      </c>
      <c r="F4084" s="46" t="s">
        <v>20446</v>
      </c>
      <c r="G4084" s="46" t="s">
        <v>50584</v>
      </c>
      <c r="H4084" s="48" t="s">
        <v>56716</v>
      </c>
      <c r="I4084" s="48" t="s">
        <v>50564</v>
      </c>
      <c r="J4084" s="48"/>
      <c r="K4084" s="50"/>
      <c r="L4084" s="48"/>
    </row>
    <row r="4085" spans="1:12" s="37" customFormat="1" ht="11.25" x14ac:dyDescent="0.2">
      <c r="A4085" s="46" t="s">
        <v>10325</v>
      </c>
      <c r="B4085" s="46" t="s">
        <v>53339</v>
      </c>
      <c r="C4085" s="58" t="str">
        <f>"15401405"</f>
        <v>15401405</v>
      </c>
      <c r="D4085" s="58" t="str">
        <f>"15401413"</f>
        <v>15401413</v>
      </c>
      <c r="E4085" s="46" t="s">
        <v>10328</v>
      </c>
      <c r="F4085" s="46" t="s">
        <v>17759</v>
      </c>
      <c r="G4085" s="46" t="s">
        <v>50584</v>
      </c>
      <c r="H4085" s="48" t="s">
        <v>56716</v>
      </c>
      <c r="I4085" s="48" t="s">
        <v>50564</v>
      </c>
      <c r="J4085" s="48"/>
      <c r="K4085" s="50"/>
      <c r="L4085" s="48" t="s">
        <v>56716</v>
      </c>
    </row>
    <row r="4086" spans="1:12" s="37" customFormat="1" ht="11.25" x14ac:dyDescent="0.2">
      <c r="A4086" s="46" t="s">
        <v>13196</v>
      </c>
      <c r="B4086" s="46" t="s">
        <v>53340</v>
      </c>
      <c r="C4086" s="58" t="str">
        <f>"15303004"</f>
        <v>15303004</v>
      </c>
      <c r="D4086" s="58" t="str">
        <f>"15580334"</f>
        <v>15580334</v>
      </c>
      <c r="E4086" s="46" t="s">
        <v>12661</v>
      </c>
      <c r="F4086" s="46" t="s">
        <v>17759</v>
      </c>
      <c r="G4086" s="46" t="s">
        <v>50584</v>
      </c>
      <c r="H4086" s="48" t="s">
        <v>56716</v>
      </c>
      <c r="I4086" s="48" t="s">
        <v>50564</v>
      </c>
      <c r="J4086" s="48"/>
      <c r="K4086" s="50"/>
      <c r="L4086" s="48"/>
    </row>
    <row r="4087" spans="1:12" s="37" customFormat="1" ht="11.25" x14ac:dyDescent="0.2">
      <c r="A4087" s="46" t="s">
        <v>12658</v>
      </c>
      <c r="B4087" s="46" t="s">
        <v>53341</v>
      </c>
      <c r="C4087" s="58" t="str">
        <f>"15580172"</f>
        <v>15580172</v>
      </c>
      <c r="D4087" s="58" t="str">
        <f>"15580180"</f>
        <v>15580180</v>
      </c>
      <c r="E4087" s="46" t="s">
        <v>12661</v>
      </c>
      <c r="F4087" s="46" t="s">
        <v>17759</v>
      </c>
      <c r="G4087" s="46" t="s">
        <v>50584</v>
      </c>
      <c r="H4087" s="48" t="s">
        <v>56716</v>
      </c>
      <c r="I4087" s="48" t="s">
        <v>50564</v>
      </c>
      <c r="J4087" s="48"/>
      <c r="K4087" s="50"/>
      <c r="L4087" s="48"/>
    </row>
    <row r="4088" spans="1:12" s="37" customFormat="1" ht="11.25" x14ac:dyDescent="0.2">
      <c r="A4088" s="46" t="s">
        <v>13193</v>
      </c>
      <c r="B4088" s="46" t="s">
        <v>53342</v>
      </c>
      <c r="C4088" s="58" t="str">
        <f>"15580199"</f>
        <v>15580199</v>
      </c>
      <c r="D4088" s="58" t="str">
        <f>"15580202"</f>
        <v>15580202</v>
      </c>
      <c r="E4088" s="46" t="s">
        <v>12661</v>
      </c>
      <c r="F4088" s="46" t="s">
        <v>17759</v>
      </c>
      <c r="G4088" s="46" t="s">
        <v>50584</v>
      </c>
      <c r="H4088" s="48" t="s">
        <v>56716</v>
      </c>
      <c r="I4088" s="48" t="s">
        <v>50564</v>
      </c>
      <c r="J4088" s="48"/>
      <c r="K4088" s="50"/>
      <c r="L4088" s="48"/>
    </row>
    <row r="4089" spans="1:12" s="37" customFormat="1" ht="11.25" x14ac:dyDescent="0.2">
      <c r="A4089" s="46" t="s">
        <v>8389</v>
      </c>
      <c r="B4089" s="46" t="s">
        <v>53343</v>
      </c>
      <c r="C4089" s="58" t="str">
        <f>"1297319X"</f>
        <v>1297319X</v>
      </c>
      <c r="D4089" s="58" t="str">
        <f>"17787254"</f>
        <v>17787254</v>
      </c>
      <c r="E4089" s="46" t="s">
        <v>85</v>
      </c>
      <c r="F4089" s="46" t="s">
        <v>20359</v>
      </c>
      <c r="G4089" s="46" t="s">
        <v>50584</v>
      </c>
      <c r="H4089" s="48" t="s">
        <v>56716</v>
      </c>
      <c r="I4089" s="48" t="s">
        <v>50564</v>
      </c>
      <c r="J4089" s="48"/>
      <c r="K4089" s="50" t="s">
        <v>56716</v>
      </c>
      <c r="L4089" s="48" t="s">
        <v>56716</v>
      </c>
    </row>
    <row r="4090" spans="1:12" s="37" customFormat="1" ht="11.25" x14ac:dyDescent="0.2">
      <c r="A4090" s="45" t="s">
        <v>33569</v>
      </c>
      <c r="B4090" s="45" t="s">
        <v>33571</v>
      </c>
      <c r="C4090" s="51" t="s">
        <v>33574</v>
      </c>
      <c r="D4090" s="51" t="s">
        <v>33573</v>
      </c>
      <c r="E4090" s="45" t="s">
        <v>33575</v>
      </c>
      <c r="F4090" s="45" t="s">
        <v>17759</v>
      </c>
      <c r="G4090" s="45" t="s">
        <v>50584</v>
      </c>
      <c r="H4090" s="56"/>
      <c r="I4090" s="56" t="s">
        <v>50564</v>
      </c>
      <c r="J4090" s="56"/>
      <c r="K4090" s="50"/>
      <c r="L4090" s="56" t="s">
        <v>56716</v>
      </c>
    </row>
    <row r="4091" spans="1:12" s="37" customFormat="1" ht="11.25" x14ac:dyDescent="0.2">
      <c r="A4091" s="45" t="s">
        <v>33577</v>
      </c>
      <c r="B4091" s="45" t="s">
        <v>33579</v>
      </c>
      <c r="C4091" s="51" t="s">
        <v>33581</v>
      </c>
      <c r="D4091" s="51"/>
      <c r="E4091" s="45" t="s">
        <v>33582</v>
      </c>
      <c r="F4091" s="45" t="s">
        <v>17759</v>
      </c>
      <c r="G4091" s="45" t="s">
        <v>50584</v>
      </c>
      <c r="H4091" s="56"/>
      <c r="I4091" s="56" t="s">
        <v>50564</v>
      </c>
      <c r="J4091" s="56"/>
      <c r="K4091" s="50"/>
      <c r="L4091" s="56" t="s">
        <v>56716</v>
      </c>
    </row>
    <row r="4092" spans="1:12" s="37" customFormat="1" ht="11.25" x14ac:dyDescent="0.2">
      <c r="A4092" s="45" t="s">
        <v>33594</v>
      </c>
      <c r="B4092" s="45" t="s">
        <v>33596</v>
      </c>
      <c r="C4092" s="51" t="s">
        <v>33598</v>
      </c>
      <c r="D4092" s="51" t="s">
        <v>33597</v>
      </c>
      <c r="E4092" s="45" t="s">
        <v>17758</v>
      </c>
      <c r="F4092" s="45" t="s">
        <v>17759</v>
      </c>
      <c r="G4092" s="45" t="s">
        <v>50584</v>
      </c>
      <c r="H4092" s="56"/>
      <c r="I4092" s="56" t="s">
        <v>50564</v>
      </c>
      <c r="J4092" s="56"/>
      <c r="K4092" s="50"/>
      <c r="L4092" s="56" t="s">
        <v>56716</v>
      </c>
    </row>
    <row r="4093" spans="1:12" s="37" customFormat="1" ht="11.25" x14ac:dyDescent="0.2">
      <c r="A4093" s="46" t="s">
        <v>13952</v>
      </c>
      <c r="B4093" s="46" t="s">
        <v>53344</v>
      </c>
      <c r="C4093" s="58" t="str">
        <f>"19957157"</f>
        <v>19957157</v>
      </c>
      <c r="D4093" s="58" t="str">
        <f>""</f>
        <v/>
      </c>
      <c r="E4093" s="46" t="s">
        <v>2591</v>
      </c>
      <c r="F4093" s="46" t="s">
        <v>50648</v>
      </c>
      <c r="G4093" s="46" t="s">
        <v>50584</v>
      </c>
      <c r="H4093" s="48" t="s">
        <v>56716</v>
      </c>
      <c r="I4093" s="48" t="s">
        <v>50564</v>
      </c>
      <c r="J4093" s="48"/>
      <c r="K4093" s="50"/>
      <c r="L4093" s="48"/>
    </row>
    <row r="4094" spans="1:12" s="37" customFormat="1" ht="11.25" x14ac:dyDescent="0.2">
      <c r="A4094" s="46" t="s">
        <v>2589</v>
      </c>
      <c r="B4094" s="46" t="s">
        <v>53345</v>
      </c>
      <c r="C4094" s="58" t="str">
        <f>"04469283"</f>
        <v>04469283</v>
      </c>
      <c r="D4094" s="58" t="str">
        <f>""</f>
        <v/>
      </c>
      <c r="E4094" s="46" t="s">
        <v>2591</v>
      </c>
      <c r="F4094" s="46" t="s">
        <v>50648</v>
      </c>
      <c r="G4094" s="46" t="s">
        <v>50584</v>
      </c>
      <c r="H4094" s="48" t="s">
        <v>56716</v>
      </c>
      <c r="I4094" s="48" t="s">
        <v>50564</v>
      </c>
      <c r="J4094" s="48"/>
      <c r="K4094" s="50"/>
      <c r="L4094" s="48"/>
    </row>
    <row r="4095" spans="1:12" s="37" customFormat="1" ht="11.25" x14ac:dyDescent="0.2">
      <c r="A4095" s="45" t="s">
        <v>33606</v>
      </c>
      <c r="B4095" s="45" t="s">
        <v>33608</v>
      </c>
      <c r="C4095" s="51" t="s">
        <v>33610</v>
      </c>
      <c r="D4095" s="51" t="s">
        <v>33609</v>
      </c>
      <c r="E4095" s="45" t="s">
        <v>23382</v>
      </c>
      <c r="F4095" s="45" t="s">
        <v>18058</v>
      </c>
      <c r="G4095" s="45" t="s">
        <v>50615</v>
      </c>
      <c r="H4095" s="56"/>
      <c r="I4095" s="56" t="s">
        <v>50564</v>
      </c>
      <c r="J4095" s="56"/>
      <c r="K4095" s="50"/>
      <c r="L4095" s="56" t="s">
        <v>56716</v>
      </c>
    </row>
    <row r="4096" spans="1:12" s="37" customFormat="1" ht="11.25" x14ac:dyDescent="0.2">
      <c r="A4096" s="45" t="s">
        <v>33612</v>
      </c>
      <c r="B4096" s="45" t="s">
        <v>33614</v>
      </c>
      <c r="C4096" s="51" t="s">
        <v>33617</v>
      </c>
      <c r="D4096" s="51" t="s">
        <v>33616</v>
      </c>
      <c r="E4096" s="45" t="s">
        <v>33618</v>
      </c>
      <c r="F4096" s="45" t="s">
        <v>18058</v>
      </c>
      <c r="G4096" s="45" t="s">
        <v>50615</v>
      </c>
      <c r="H4096" s="56"/>
      <c r="I4096" s="56" t="s">
        <v>50564</v>
      </c>
      <c r="J4096" s="56"/>
      <c r="K4096" s="50"/>
      <c r="L4096" s="56" t="s">
        <v>56716</v>
      </c>
    </row>
    <row r="4097" spans="1:12" s="37" customFormat="1" ht="11.25" x14ac:dyDescent="0.2">
      <c r="A4097" s="46" t="s">
        <v>2175</v>
      </c>
      <c r="B4097" s="46" t="s">
        <v>53346</v>
      </c>
      <c r="C4097" s="58" t="str">
        <f>"00472085"</f>
        <v>00472085</v>
      </c>
      <c r="D4097" s="58" t="str">
        <f>"19820208"</f>
        <v>19820208</v>
      </c>
      <c r="E4097" s="46" t="s">
        <v>2178</v>
      </c>
      <c r="F4097" s="46" t="s">
        <v>18058</v>
      </c>
      <c r="G4097" s="46" t="s">
        <v>50614</v>
      </c>
      <c r="H4097" s="48" t="s">
        <v>56716</v>
      </c>
      <c r="I4097" s="48" t="s">
        <v>50564</v>
      </c>
      <c r="J4097" s="48"/>
      <c r="K4097" s="50"/>
      <c r="L4097" s="48"/>
    </row>
    <row r="4098" spans="1:12" s="37" customFormat="1" ht="11.25" x14ac:dyDescent="0.2">
      <c r="A4098" s="46" t="s">
        <v>8316</v>
      </c>
      <c r="B4098" s="46" t="s">
        <v>53347</v>
      </c>
      <c r="C4098" s="58" t="str">
        <f>"15175693"</f>
        <v>15175693</v>
      </c>
      <c r="D4098" s="58" t="str">
        <f>"15180557"</f>
        <v>15180557</v>
      </c>
      <c r="E4098" s="46" t="s">
        <v>8319</v>
      </c>
      <c r="F4098" s="46" t="s">
        <v>18058</v>
      </c>
      <c r="G4098" s="46" t="s">
        <v>50614</v>
      </c>
      <c r="H4098" s="48" t="s">
        <v>56716</v>
      </c>
      <c r="I4098" s="48" t="s">
        <v>50564</v>
      </c>
      <c r="J4098" s="48"/>
      <c r="K4098" s="50"/>
      <c r="L4098" s="48"/>
    </row>
    <row r="4099" spans="1:12" s="37" customFormat="1" ht="11.25" x14ac:dyDescent="0.2">
      <c r="A4099" s="46" t="s">
        <v>2620</v>
      </c>
      <c r="B4099" s="46" t="s">
        <v>53348</v>
      </c>
      <c r="C4099" s="58" t="str">
        <f>"00217557"</f>
        <v>00217557</v>
      </c>
      <c r="D4099" s="58" t="str">
        <f>""</f>
        <v/>
      </c>
      <c r="E4099" s="46" t="s">
        <v>2622</v>
      </c>
      <c r="F4099" s="46" t="s">
        <v>18058</v>
      </c>
      <c r="G4099" s="46" t="s">
        <v>50584</v>
      </c>
      <c r="H4099" s="48" t="s">
        <v>56716</v>
      </c>
      <c r="I4099" s="48" t="s">
        <v>50564</v>
      </c>
      <c r="J4099" s="48"/>
      <c r="K4099" s="50" t="s">
        <v>56716</v>
      </c>
      <c r="L4099" s="48" t="s">
        <v>56716</v>
      </c>
    </row>
    <row r="4100" spans="1:12" s="37" customFormat="1" ht="11.25" x14ac:dyDescent="0.2">
      <c r="A4100" s="46" t="s">
        <v>9897</v>
      </c>
      <c r="B4100" s="46" t="s">
        <v>53349</v>
      </c>
      <c r="C4100" s="58" t="str">
        <f>"16775449"</f>
        <v>16775449</v>
      </c>
      <c r="D4100" s="58" t="str">
        <f>"16777301"</f>
        <v>16777301</v>
      </c>
      <c r="E4100" s="46" t="s">
        <v>9900</v>
      </c>
      <c r="F4100" s="46" t="s">
        <v>18058</v>
      </c>
      <c r="G4100" s="46" t="s">
        <v>50616</v>
      </c>
      <c r="H4100" s="48" t="s">
        <v>56716</v>
      </c>
      <c r="I4100" s="48" t="s">
        <v>50564</v>
      </c>
      <c r="J4100" s="48"/>
      <c r="K4100" s="50"/>
      <c r="L4100" s="48"/>
    </row>
    <row r="4101" spans="1:12" s="37" customFormat="1" ht="11.25" x14ac:dyDescent="0.2">
      <c r="A4101" s="45" t="s">
        <v>33626</v>
      </c>
      <c r="B4101" s="45" t="s">
        <v>33628</v>
      </c>
      <c r="C4101" s="51" t="s">
        <v>33630</v>
      </c>
      <c r="D4101" s="51"/>
      <c r="E4101" s="45" t="s">
        <v>33631</v>
      </c>
      <c r="F4101" s="45" t="s">
        <v>17759</v>
      </c>
      <c r="G4101" s="45" t="s">
        <v>50584</v>
      </c>
      <c r="H4101" s="56"/>
      <c r="I4101" s="56" t="s">
        <v>50564</v>
      </c>
      <c r="J4101" s="56"/>
      <c r="K4101" s="50"/>
      <c r="L4101" s="56" t="s">
        <v>56716</v>
      </c>
    </row>
    <row r="4102" spans="1:12" s="37" customFormat="1" ht="11.25" x14ac:dyDescent="0.2">
      <c r="A4102" s="45" t="s">
        <v>33633</v>
      </c>
      <c r="B4102" s="45" t="s">
        <v>33635</v>
      </c>
      <c r="C4102" s="51" t="s">
        <v>33638</v>
      </c>
      <c r="D4102" s="51" t="s">
        <v>33637</v>
      </c>
      <c r="E4102" s="45" t="s">
        <v>19282</v>
      </c>
      <c r="F4102" s="45" t="s">
        <v>18959</v>
      </c>
      <c r="G4102" s="45" t="s">
        <v>50590</v>
      </c>
      <c r="H4102" s="56"/>
      <c r="I4102" s="56" t="s">
        <v>50564</v>
      </c>
      <c r="J4102" s="56"/>
      <c r="K4102" s="50"/>
      <c r="L4102" s="56" t="s">
        <v>56716</v>
      </c>
    </row>
    <row r="4103" spans="1:12" s="37" customFormat="1" ht="11.25" x14ac:dyDescent="0.2">
      <c r="A4103" s="45" t="s">
        <v>33640</v>
      </c>
      <c r="B4103" s="45" t="s">
        <v>33642</v>
      </c>
      <c r="C4103" s="51" t="s">
        <v>33644</v>
      </c>
      <c r="D4103" s="51"/>
      <c r="E4103" s="45" t="s">
        <v>19282</v>
      </c>
      <c r="F4103" s="45" t="s">
        <v>17759</v>
      </c>
      <c r="G4103" s="45" t="s">
        <v>50584</v>
      </c>
      <c r="H4103" s="56"/>
      <c r="I4103" s="56" t="s">
        <v>50564</v>
      </c>
      <c r="J4103" s="56"/>
      <c r="K4103" s="50"/>
      <c r="L4103" s="56" t="s">
        <v>56716</v>
      </c>
    </row>
    <row r="4104" spans="1:12" s="37" customFormat="1" ht="11.25" x14ac:dyDescent="0.2">
      <c r="A4104" s="45" t="s">
        <v>33646</v>
      </c>
      <c r="B4104" s="45" t="s">
        <v>33648</v>
      </c>
      <c r="C4104" s="51"/>
      <c r="D4104" s="51"/>
      <c r="E4104" s="45" t="s">
        <v>33650</v>
      </c>
      <c r="F4104" s="45" t="s">
        <v>50646</v>
      </c>
      <c r="G4104" s="45" t="s">
        <v>50584</v>
      </c>
      <c r="H4104" s="56"/>
      <c r="I4104" s="56" t="s">
        <v>50564</v>
      </c>
      <c r="J4104" s="56"/>
      <c r="K4104" s="50"/>
      <c r="L4104" s="56" t="s">
        <v>56716</v>
      </c>
    </row>
    <row r="4105" spans="1:12" s="37" customFormat="1" ht="11.25" x14ac:dyDescent="0.2">
      <c r="A4105" s="46" t="s">
        <v>12968</v>
      </c>
      <c r="B4105" s="46" t="s">
        <v>53350</v>
      </c>
      <c r="C4105" s="58" t="str">
        <f>"19543204"</f>
        <v>19543204</v>
      </c>
      <c r="D4105" s="58" t="str">
        <f>"19543212"</f>
        <v>19543212</v>
      </c>
      <c r="E4105" s="46" t="s">
        <v>11245</v>
      </c>
      <c r="F4105" s="46" t="s">
        <v>20359</v>
      </c>
      <c r="G4105" s="46" t="s">
        <v>50591</v>
      </c>
      <c r="H4105" s="48" t="s">
        <v>56716</v>
      </c>
      <c r="I4105" s="48" t="s">
        <v>50564</v>
      </c>
      <c r="J4105" s="48"/>
      <c r="K4105" s="50" t="s">
        <v>56716</v>
      </c>
      <c r="L4105" s="48"/>
    </row>
    <row r="4106" spans="1:12" s="37" customFormat="1" ht="11.25" x14ac:dyDescent="0.2">
      <c r="A4106" s="46" t="s">
        <v>14002</v>
      </c>
      <c r="B4106" s="46" t="s">
        <v>53351</v>
      </c>
      <c r="C4106" s="58" t="str">
        <f>"19650817"</f>
        <v>19650817</v>
      </c>
      <c r="D4106" s="58" t="str">
        <f>"19650825"</f>
        <v>19650825</v>
      </c>
      <c r="E4106" s="46" t="s">
        <v>11245</v>
      </c>
      <c r="F4106" s="46" t="s">
        <v>20359</v>
      </c>
      <c r="G4106" s="46" t="s">
        <v>50590</v>
      </c>
      <c r="H4106" s="48" t="s">
        <v>56716</v>
      </c>
      <c r="I4106" s="48" t="s">
        <v>50564</v>
      </c>
      <c r="J4106" s="48" t="s">
        <v>56716</v>
      </c>
      <c r="K4106" s="50" t="s">
        <v>56716</v>
      </c>
      <c r="L4106" s="48"/>
    </row>
    <row r="4107" spans="1:12" s="37" customFormat="1" ht="11.25" x14ac:dyDescent="0.2">
      <c r="A4107" s="46" t="s">
        <v>2335</v>
      </c>
      <c r="B4107" s="46" t="s">
        <v>53352</v>
      </c>
      <c r="C4107" s="58" t="str">
        <f>"03682315"</f>
        <v>03682315</v>
      </c>
      <c r="D4107" s="58" t="str">
        <f>"17730430"</f>
        <v>17730430</v>
      </c>
      <c r="E4107" s="46" t="s">
        <v>85</v>
      </c>
      <c r="F4107" s="46" t="s">
        <v>20359</v>
      </c>
      <c r="G4107" s="46" t="s">
        <v>50591</v>
      </c>
      <c r="H4107" s="48" t="s">
        <v>56716</v>
      </c>
      <c r="I4107" s="48" t="s">
        <v>50564</v>
      </c>
      <c r="J4107" s="48"/>
      <c r="K4107" s="50" t="s">
        <v>56716</v>
      </c>
      <c r="L4107" s="48" t="s">
        <v>56716</v>
      </c>
    </row>
    <row r="4108" spans="1:12" s="37" customFormat="1" ht="11.25" x14ac:dyDescent="0.2">
      <c r="A4108" s="46" t="s">
        <v>2447</v>
      </c>
      <c r="B4108" s="46" t="s">
        <v>53353</v>
      </c>
      <c r="C4108" s="58" t="str">
        <f>"02496208"</f>
        <v>02496208</v>
      </c>
      <c r="D4108" s="58" t="str">
        <f>""</f>
        <v/>
      </c>
      <c r="E4108" s="46" t="s">
        <v>2449</v>
      </c>
      <c r="F4108" s="46" t="s">
        <v>20359</v>
      </c>
      <c r="G4108" s="46" t="s">
        <v>50591</v>
      </c>
      <c r="H4108" s="48" t="s">
        <v>56716</v>
      </c>
      <c r="I4108" s="48" t="s">
        <v>50564</v>
      </c>
      <c r="J4108" s="48"/>
      <c r="K4108" s="50"/>
      <c r="L4108" s="48"/>
    </row>
    <row r="4109" spans="1:12" s="37" customFormat="1" ht="11.25" x14ac:dyDescent="0.2">
      <c r="A4109" s="46" t="s">
        <v>6084</v>
      </c>
      <c r="B4109" s="46" t="s">
        <v>53354</v>
      </c>
      <c r="C4109" s="58" t="str">
        <f>"11565233"</f>
        <v>11565233</v>
      </c>
      <c r="D4109" s="58" t="str">
        <f>"17730449"</f>
        <v>17730449</v>
      </c>
      <c r="E4109" s="46" t="s">
        <v>85</v>
      </c>
      <c r="F4109" s="46" t="s">
        <v>20359</v>
      </c>
      <c r="G4109" s="46" t="s">
        <v>50590</v>
      </c>
      <c r="H4109" s="48" t="s">
        <v>56716</v>
      </c>
      <c r="I4109" s="48" t="s">
        <v>50564</v>
      </c>
      <c r="J4109" s="48"/>
      <c r="K4109" s="50" t="s">
        <v>56716</v>
      </c>
      <c r="L4109" s="48" t="s">
        <v>56716</v>
      </c>
    </row>
    <row r="4110" spans="1:12" s="37" customFormat="1" ht="11.25" x14ac:dyDescent="0.2">
      <c r="A4110" s="46" t="s">
        <v>6905</v>
      </c>
      <c r="B4110" s="46" t="s">
        <v>53355</v>
      </c>
      <c r="C4110" s="58" t="str">
        <f>"09877983"</f>
        <v>09877983</v>
      </c>
      <c r="D4110" s="58" t="str">
        <f>"17775981"</f>
        <v>17775981</v>
      </c>
      <c r="E4110" s="46" t="s">
        <v>85</v>
      </c>
      <c r="F4110" s="46" t="s">
        <v>20359</v>
      </c>
      <c r="G4110" s="46" t="s">
        <v>50591</v>
      </c>
      <c r="H4110" s="48" t="s">
        <v>56716</v>
      </c>
      <c r="I4110" s="48" t="s">
        <v>50564</v>
      </c>
      <c r="J4110" s="48"/>
      <c r="K4110" s="50" t="s">
        <v>56716</v>
      </c>
      <c r="L4110" s="48"/>
    </row>
    <row r="4111" spans="1:12" s="37" customFormat="1" ht="11.25" x14ac:dyDescent="0.2">
      <c r="A4111" s="46" t="s">
        <v>2644</v>
      </c>
      <c r="B4111" s="46" t="s">
        <v>53356</v>
      </c>
      <c r="C4111" s="58" t="str">
        <f>"02911981"</f>
        <v>02911981</v>
      </c>
      <c r="D4111" s="58" t="str">
        <f>""</f>
        <v/>
      </c>
      <c r="E4111" s="46" t="s">
        <v>948</v>
      </c>
      <c r="F4111" s="46" t="s">
        <v>20359</v>
      </c>
      <c r="G4111" s="46" t="s">
        <v>50591</v>
      </c>
      <c r="H4111" s="48" t="s">
        <v>56716</v>
      </c>
      <c r="I4111" s="48" t="s">
        <v>50564</v>
      </c>
      <c r="J4111" s="48"/>
      <c r="K4111" s="50"/>
      <c r="L4111" s="48"/>
    </row>
    <row r="4112" spans="1:12" s="37" customFormat="1" ht="11.25" x14ac:dyDescent="0.2">
      <c r="A4112" s="46" t="s">
        <v>2641</v>
      </c>
      <c r="B4112" s="46" t="s">
        <v>53357</v>
      </c>
      <c r="C4112" s="58" t="str">
        <f>"00472166"</f>
        <v>00472166</v>
      </c>
      <c r="D4112" s="58" t="str">
        <f>""</f>
        <v/>
      </c>
      <c r="E4112" s="46" t="s">
        <v>1644</v>
      </c>
      <c r="F4112" s="46" t="s">
        <v>17929</v>
      </c>
      <c r="G4112" s="46" t="s">
        <v>50590</v>
      </c>
      <c r="H4112" s="48" t="s">
        <v>56716</v>
      </c>
      <c r="I4112" s="48" t="s">
        <v>50564</v>
      </c>
      <c r="J4112" s="48"/>
      <c r="K4112" s="50"/>
      <c r="L4112" s="48" t="s">
        <v>56716</v>
      </c>
    </row>
    <row r="4113" spans="1:12" s="37" customFormat="1" ht="11.25" x14ac:dyDescent="0.2">
      <c r="A4113" s="46" t="s">
        <v>9532</v>
      </c>
      <c r="B4113" s="46" t="s">
        <v>53358</v>
      </c>
      <c r="C4113" s="58" t="str">
        <f>"0762915X"</f>
        <v>0762915X</v>
      </c>
      <c r="D4113" s="58" t="str">
        <f>"17730465"</f>
        <v>17730465</v>
      </c>
      <c r="E4113" s="46" t="s">
        <v>85</v>
      </c>
      <c r="F4113" s="46" t="s">
        <v>20359</v>
      </c>
      <c r="G4113" s="46" t="s">
        <v>50591</v>
      </c>
      <c r="H4113" s="48" t="s">
        <v>56716</v>
      </c>
      <c r="I4113" s="48" t="s">
        <v>50564</v>
      </c>
      <c r="J4113" s="48"/>
      <c r="K4113" s="50" t="s">
        <v>56716</v>
      </c>
      <c r="L4113" s="48"/>
    </row>
    <row r="4114" spans="1:12" s="37" customFormat="1" ht="11.25" x14ac:dyDescent="0.2">
      <c r="A4114" s="46" t="s">
        <v>15416</v>
      </c>
      <c r="B4114" s="46" t="s">
        <v>53359</v>
      </c>
      <c r="C4114" s="58" t="str">
        <f>"22106545"</f>
        <v>22106545</v>
      </c>
      <c r="D4114" s="58" t="str">
        <f>""</f>
        <v/>
      </c>
      <c r="E4114" s="46" t="s">
        <v>85</v>
      </c>
      <c r="F4114" s="46" t="s">
        <v>20359</v>
      </c>
      <c r="G4114" s="46" t="s">
        <v>50591</v>
      </c>
      <c r="H4114" s="48" t="s">
        <v>56716</v>
      </c>
      <c r="I4114" s="48" t="s">
        <v>50564</v>
      </c>
      <c r="J4114" s="48"/>
      <c r="K4114" s="50" t="s">
        <v>56716</v>
      </c>
      <c r="L4114" s="48"/>
    </row>
    <row r="4115" spans="1:12" s="37" customFormat="1" ht="11.25" x14ac:dyDescent="0.2">
      <c r="A4115" s="46" t="s">
        <v>2467</v>
      </c>
      <c r="B4115" s="46" t="s">
        <v>53360</v>
      </c>
      <c r="C4115" s="58" t="str">
        <f>"03980499"</f>
        <v>03980499</v>
      </c>
      <c r="D4115" s="58" t="str">
        <f>""</f>
        <v/>
      </c>
      <c r="E4115" s="46" t="s">
        <v>85</v>
      </c>
      <c r="F4115" s="46" t="s">
        <v>20359</v>
      </c>
      <c r="G4115" s="46" t="s">
        <v>50591</v>
      </c>
      <c r="H4115" s="48" t="s">
        <v>56716</v>
      </c>
      <c r="I4115" s="48" t="s">
        <v>50564</v>
      </c>
      <c r="J4115" s="48"/>
      <c r="K4115" s="50" t="s">
        <v>56716</v>
      </c>
      <c r="L4115" s="48" t="s">
        <v>56716</v>
      </c>
    </row>
    <row r="4116" spans="1:12" s="37" customFormat="1" ht="11.25" x14ac:dyDescent="0.2">
      <c r="A4116" s="46" t="s">
        <v>16505</v>
      </c>
      <c r="B4116" s="46" t="s">
        <v>53361</v>
      </c>
      <c r="C4116" s="58" t="str">
        <f>"22114238"</f>
        <v>22114238</v>
      </c>
      <c r="D4116" s="58" t="str">
        <f>""</f>
        <v/>
      </c>
      <c r="E4116" s="46" t="s">
        <v>85</v>
      </c>
      <c r="F4116" s="46" t="s">
        <v>20359</v>
      </c>
      <c r="G4116" s="46" t="s">
        <v>50590</v>
      </c>
      <c r="H4116" s="48" t="s">
        <v>56716</v>
      </c>
      <c r="I4116" s="48" t="s">
        <v>50564</v>
      </c>
      <c r="J4116" s="48" t="s">
        <v>56716</v>
      </c>
      <c r="K4116" s="50" t="s">
        <v>56716</v>
      </c>
      <c r="L4116" s="48"/>
    </row>
    <row r="4117" spans="1:12" s="37" customFormat="1" ht="11.25" x14ac:dyDescent="0.2">
      <c r="A4117" s="45" t="s">
        <v>33686</v>
      </c>
      <c r="B4117" s="45" t="s">
        <v>33688</v>
      </c>
      <c r="C4117" s="51" t="s">
        <v>33691</v>
      </c>
      <c r="D4117" s="51" t="s">
        <v>33690</v>
      </c>
      <c r="E4117" s="45" t="s">
        <v>33692</v>
      </c>
      <c r="F4117" s="45" t="s">
        <v>17759</v>
      </c>
      <c r="G4117" s="45" t="s">
        <v>50584</v>
      </c>
      <c r="H4117" s="56"/>
      <c r="I4117" s="56" t="s">
        <v>50564</v>
      </c>
      <c r="J4117" s="56"/>
      <c r="K4117" s="50"/>
      <c r="L4117" s="56" t="s">
        <v>56716</v>
      </c>
    </row>
    <row r="4118" spans="1:12" s="37" customFormat="1" ht="11.25" x14ac:dyDescent="0.2">
      <c r="A4118" s="46" t="s">
        <v>17434</v>
      </c>
      <c r="B4118" s="46" t="s">
        <v>53362</v>
      </c>
      <c r="C4118" s="58" t="str">
        <f>""</f>
        <v/>
      </c>
      <c r="D4118" s="58" t="str">
        <f>"20511426"</f>
        <v>20511426</v>
      </c>
      <c r="E4118" s="46" t="s">
        <v>2299</v>
      </c>
      <c r="F4118" s="46" t="s">
        <v>50646</v>
      </c>
      <c r="G4118" s="46" t="s">
        <v>50584</v>
      </c>
      <c r="H4118" s="48" t="s">
        <v>56716</v>
      </c>
      <c r="I4118" s="48" t="s">
        <v>50564</v>
      </c>
      <c r="J4118" s="48" t="s">
        <v>56716</v>
      </c>
      <c r="K4118" s="50"/>
      <c r="L4118" s="48"/>
    </row>
    <row r="4119" spans="1:12" s="37" customFormat="1" ht="11.25" x14ac:dyDescent="0.2">
      <c r="A4119" s="45" t="s">
        <v>33694</v>
      </c>
      <c r="B4119" s="45" t="s">
        <v>33696</v>
      </c>
      <c r="C4119" s="51" t="s">
        <v>33699</v>
      </c>
      <c r="D4119" s="51" t="s">
        <v>33698</v>
      </c>
      <c r="E4119" s="45" t="s">
        <v>17758</v>
      </c>
      <c r="F4119" s="45" t="s">
        <v>17759</v>
      </c>
      <c r="G4119" s="45" t="s">
        <v>50584</v>
      </c>
      <c r="H4119" s="56"/>
      <c r="I4119" s="56" t="s">
        <v>50564</v>
      </c>
      <c r="J4119" s="56"/>
      <c r="K4119" s="50"/>
      <c r="L4119" s="56" t="s">
        <v>56716</v>
      </c>
    </row>
    <row r="4120" spans="1:12" s="37" customFormat="1" ht="11.25" x14ac:dyDescent="0.2">
      <c r="A4120" s="45" t="s">
        <v>33701</v>
      </c>
      <c r="B4120" s="45" t="s">
        <v>33703</v>
      </c>
      <c r="C4120" s="51" t="s">
        <v>33706</v>
      </c>
      <c r="D4120" s="51" t="s">
        <v>33705</v>
      </c>
      <c r="E4120" s="45" t="s">
        <v>296</v>
      </c>
      <c r="F4120" s="45" t="s">
        <v>17759</v>
      </c>
      <c r="G4120" s="45" t="s">
        <v>50584</v>
      </c>
      <c r="H4120" s="56"/>
      <c r="I4120" s="56" t="s">
        <v>50564</v>
      </c>
      <c r="J4120" s="56"/>
      <c r="K4120" s="50"/>
      <c r="L4120" s="56" t="s">
        <v>56716</v>
      </c>
    </row>
    <row r="4121" spans="1:12" s="37" customFormat="1" ht="11.25" x14ac:dyDescent="0.2">
      <c r="A4121" s="46" t="s">
        <v>10727</v>
      </c>
      <c r="B4121" s="46" t="s">
        <v>53363</v>
      </c>
      <c r="C4121" s="58" t="str">
        <f>"15443167"</f>
        <v>15443167</v>
      </c>
      <c r="D4121" s="58" t="str">
        <f>""</f>
        <v/>
      </c>
      <c r="E4121" s="46" t="s">
        <v>10729</v>
      </c>
      <c r="F4121" s="46" t="s">
        <v>17759</v>
      </c>
      <c r="G4121" s="46" t="s">
        <v>50584</v>
      </c>
      <c r="H4121" s="48" t="s">
        <v>56716</v>
      </c>
      <c r="I4121" s="48" t="s">
        <v>50564</v>
      </c>
      <c r="J4121" s="48" t="s">
        <v>56716</v>
      </c>
      <c r="K4121" s="50"/>
      <c r="L4121" s="48"/>
    </row>
    <row r="4122" spans="1:12" s="37" customFormat="1" ht="11.25" x14ac:dyDescent="0.2">
      <c r="A4122" s="45" t="s">
        <v>33708</v>
      </c>
      <c r="B4122" s="45" t="s">
        <v>33710</v>
      </c>
      <c r="C4122" s="51" t="s">
        <v>33713</v>
      </c>
      <c r="D4122" s="51" t="s">
        <v>33712</v>
      </c>
      <c r="E4122" s="45" t="s">
        <v>20380</v>
      </c>
      <c r="F4122" s="45" t="s">
        <v>20359</v>
      </c>
      <c r="G4122" s="45" t="s">
        <v>50590</v>
      </c>
      <c r="H4122" s="56"/>
      <c r="I4122" s="56" t="s">
        <v>50564</v>
      </c>
      <c r="J4122" s="56"/>
      <c r="K4122" s="50"/>
      <c r="L4122" s="56" t="s">
        <v>56716</v>
      </c>
    </row>
    <row r="4123" spans="1:12" s="37" customFormat="1" ht="11.25" x14ac:dyDescent="0.2">
      <c r="A4123" s="46" t="s">
        <v>10465</v>
      </c>
      <c r="B4123" s="46" t="s">
        <v>53364</v>
      </c>
      <c r="C4123" s="58" t="str">
        <f>"17286263"</f>
        <v>17286263</v>
      </c>
      <c r="D4123" s="58" t="str">
        <f>"17286271"</f>
        <v>17286271</v>
      </c>
      <c r="E4123" s="46" t="s">
        <v>7866</v>
      </c>
      <c r="F4123" s="46" t="s">
        <v>18288</v>
      </c>
      <c r="G4123" s="46" t="s">
        <v>50593</v>
      </c>
      <c r="H4123" s="48" t="s">
        <v>56716</v>
      </c>
      <c r="I4123" s="48" t="s">
        <v>50564</v>
      </c>
      <c r="J4123" s="48"/>
      <c r="K4123" s="50"/>
      <c r="L4123" s="48"/>
    </row>
    <row r="4124" spans="1:12" s="37" customFormat="1" ht="11.25" x14ac:dyDescent="0.2">
      <c r="A4124" s="46" t="s">
        <v>12743</v>
      </c>
      <c r="B4124" s="46" t="s">
        <v>53365</v>
      </c>
      <c r="C4124" s="58" t="str">
        <f>"19976690"</f>
        <v>19976690</v>
      </c>
      <c r="D4124" s="58" t="str">
        <f>"19961553"</f>
        <v>19961553</v>
      </c>
      <c r="E4124" s="46" t="s">
        <v>7866</v>
      </c>
      <c r="F4124" s="46" t="s">
        <v>18288</v>
      </c>
      <c r="G4124" s="46" t="s">
        <v>50593</v>
      </c>
      <c r="H4124" s="48" t="s">
        <v>56716</v>
      </c>
      <c r="I4124" s="48" t="s">
        <v>50564</v>
      </c>
      <c r="J4124" s="48"/>
      <c r="K4124" s="50"/>
      <c r="L4124" s="48"/>
    </row>
    <row r="4125" spans="1:12" s="37" customFormat="1" ht="11.25" x14ac:dyDescent="0.2">
      <c r="A4125" s="46" t="s">
        <v>7867</v>
      </c>
      <c r="B4125" s="46" t="s">
        <v>56469</v>
      </c>
      <c r="C4125" s="58" t="str">
        <f>"10282327"</f>
        <v>10282327</v>
      </c>
      <c r="D4125" s="58" t="str">
        <f>"16809378"</f>
        <v>16809378</v>
      </c>
      <c r="E4125" s="46" t="s">
        <v>7866</v>
      </c>
      <c r="F4125" s="46" t="s">
        <v>18288</v>
      </c>
      <c r="G4125" s="46" t="s">
        <v>50593</v>
      </c>
      <c r="H4125" s="48" t="s">
        <v>56716</v>
      </c>
      <c r="I4125" s="48" t="s">
        <v>50564</v>
      </c>
      <c r="J4125" s="48"/>
      <c r="K4125" s="50"/>
      <c r="L4125" s="48"/>
    </row>
    <row r="4126" spans="1:12" s="37" customFormat="1" ht="11.25" x14ac:dyDescent="0.2">
      <c r="A4126" s="46" t="s">
        <v>7863</v>
      </c>
      <c r="B4126" s="46" t="s">
        <v>53366</v>
      </c>
      <c r="C4126" s="58" t="str">
        <f>"10240098"</f>
        <v>10240098</v>
      </c>
      <c r="D4126" s="58" t="str">
        <f>"1680936X"</f>
        <v>1680936X</v>
      </c>
      <c r="E4126" s="46" t="s">
        <v>7866</v>
      </c>
      <c r="F4126" s="46" t="s">
        <v>18288</v>
      </c>
      <c r="G4126" s="46" t="s">
        <v>50593</v>
      </c>
      <c r="H4126" s="48" t="s">
        <v>56716</v>
      </c>
      <c r="I4126" s="48" t="s">
        <v>50564</v>
      </c>
      <c r="J4126" s="48"/>
      <c r="K4126" s="50"/>
      <c r="L4126" s="48"/>
    </row>
    <row r="4127" spans="1:12" s="37" customFormat="1" ht="11.25" x14ac:dyDescent="0.2">
      <c r="A4127" s="46" t="s">
        <v>7870</v>
      </c>
      <c r="B4127" s="46" t="s">
        <v>53367</v>
      </c>
      <c r="C4127" s="58" t="str">
        <f>"10237763"</f>
        <v>10237763</v>
      </c>
      <c r="D4127" s="58" t="str">
        <f>"16809408"</f>
        <v>16809408</v>
      </c>
      <c r="E4127" s="46" t="s">
        <v>7866</v>
      </c>
      <c r="F4127" s="46" t="s">
        <v>18288</v>
      </c>
      <c r="G4127" s="46" t="s">
        <v>50593</v>
      </c>
      <c r="H4127" s="48" t="s">
        <v>56716</v>
      </c>
      <c r="I4127" s="48" t="s">
        <v>50564</v>
      </c>
      <c r="J4127" s="48"/>
      <c r="K4127" s="50"/>
      <c r="L4127" s="48"/>
    </row>
    <row r="4128" spans="1:12" s="37" customFormat="1" ht="11.25" x14ac:dyDescent="0.2">
      <c r="A4128" s="46" t="s">
        <v>9180</v>
      </c>
      <c r="B4128" s="46" t="s">
        <v>53368</v>
      </c>
      <c r="C4128" s="58" t="str">
        <f>"16081587"</f>
        <v>16081587</v>
      </c>
      <c r="D4128" s="58" t="str">
        <f>"16809440"</f>
        <v>16809440</v>
      </c>
      <c r="E4128" s="46" t="s">
        <v>7866</v>
      </c>
      <c r="F4128" s="46" t="s">
        <v>18288</v>
      </c>
      <c r="G4128" s="46" t="s">
        <v>50593</v>
      </c>
      <c r="H4128" s="48" t="s">
        <v>56716</v>
      </c>
      <c r="I4128" s="48" t="s">
        <v>50564</v>
      </c>
      <c r="J4128" s="48"/>
      <c r="K4128" s="50"/>
      <c r="L4128" s="48"/>
    </row>
    <row r="4129" spans="1:12" s="37" customFormat="1" ht="11.25" x14ac:dyDescent="0.2">
      <c r="A4129" s="46" t="s">
        <v>11892</v>
      </c>
      <c r="B4129" s="46" t="s">
        <v>53369</v>
      </c>
      <c r="C4129" s="58" t="str">
        <f>"14324334"</f>
        <v>14324334</v>
      </c>
      <c r="D4129" s="58" t="str">
        <f>""</f>
        <v/>
      </c>
      <c r="E4129" s="46" t="s">
        <v>10092</v>
      </c>
      <c r="F4129" s="46" t="s">
        <v>18158</v>
      </c>
      <c r="G4129" s="46" t="s">
        <v>50592</v>
      </c>
      <c r="H4129" s="48" t="s">
        <v>56716</v>
      </c>
      <c r="I4129" s="48" t="s">
        <v>50564</v>
      </c>
      <c r="J4129" s="48"/>
      <c r="K4129" s="50"/>
      <c r="L4129" s="48"/>
    </row>
    <row r="4130" spans="1:12" s="37" customFormat="1" ht="11.25" x14ac:dyDescent="0.2">
      <c r="A4130" s="46" t="s">
        <v>10293</v>
      </c>
      <c r="B4130" s="46" t="s">
        <v>53370</v>
      </c>
      <c r="C4130" s="58" t="str">
        <f>"18102107"</f>
        <v>18102107</v>
      </c>
      <c r="D4130" s="58" t="str">
        <f>"18109292"</f>
        <v>18109292</v>
      </c>
      <c r="E4130" s="46" t="s">
        <v>7866</v>
      </c>
      <c r="F4130" s="46" t="s">
        <v>18288</v>
      </c>
      <c r="G4130" s="46" t="s">
        <v>50593</v>
      </c>
      <c r="H4130" s="48" t="s">
        <v>56716</v>
      </c>
      <c r="I4130" s="48" t="s">
        <v>50564</v>
      </c>
      <c r="J4130" s="48"/>
      <c r="K4130" s="50"/>
      <c r="L4130" s="48"/>
    </row>
    <row r="4131" spans="1:12" s="37" customFormat="1" ht="11.25" x14ac:dyDescent="0.2">
      <c r="A4131" s="46" t="s">
        <v>7873</v>
      </c>
      <c r="B4131" s="46" t="s">
        <v>53371</v>
      </c>
      <c r="C4131" s="58" t="str">
        <f>"10236090"</f>
        <v>10236090</v>
      </c>
      <c r="D4131" s="58" t="str">
        <f>"16809424"</f>
        <v>16809424</v>
      </c>
      <c r="E4131" s="46" t="s">
        <v>7866</v>
      </c>
      <c r="F4131" s="46" t="s">
        <v>18288</v>
      </c>
      <c r="G4131" s="46" t="s">
        <v>50593</v>
      </c>
      <c r="H4131" s="48" t="s">
        <v>56716</v>
      </c>
      <c r="I4131" s="48" t="s">
        <v>50564</v>
      </c>
      <c r="J4131" s="48"/>
      <c r="K4131" s="50"/>
      <c r="L4131" s="48"/>
    </row>
    <row r="4132" spans="1:12" s="37" customFormat="1" ht="11.25" x14ac:dyDescent="0.2">
      <c r="A4132" s="45" t="s">
        <v>33715</v>
      </c>
      <c r="B4132" s="45" t="s">
        <v>33717</v>
      </c>
      <c r="C4132" s="51" t="s">
        <v>33720</v>
      </c>
      <c r="D4132" s="51" t="s">
        <v>33719</v>
      </c>
      <c r="E4132" s="45" t="s">
        <v>33721</v>
      </c>
      <c r="F4132" s="45" t="s">
        <v>20359</v>
      </c>
      <c r="G4132" s="45" t="s">
        <v>50590</v>
      </c>
      <c r="H4132" s="56"/>
      <c r="I4132" s="56" t="s">
        <v>50564</v>
      </c>
      <c r="J4132" s="56"/>
      <c r="K4132" s="50"/>
      <c r="L4132" s="56" t="s">
        <v>56716</v>
      </c>
    </row>
    <row r="4133" spans="1:12" s="37" customFormat="1" ht="11.25" x14ac:dyDescent="0.2">
      <c r="A4133" s="46" t="s">
        <v>5394</v>
      </c>
      <c r="B4133" s="46" t="s">
        <v>53372</v>
      </c>
      <c r="C4133" s="58" t="str">
        <f>"0971071X"</f>
        <v>0971071X</v>
      </c>
      <c r="D4133" s="58" t="str">
        <f>""</f>
        <v/>
      </c>
      <c r="E4133" s="46" t="s">
        <v>5396</v>
      </c>
      <c r="F4133" s="46" t="s">
        <v>20446</v>
      </c>
      <c r="G4133" s="46" t="s">
        <v>50584</v>
      </c>
      <c r="H4133" s="48" t="s">
        <v>56716</v>
      </c>
      <c r="I4133" s="48" t="s">
        <v>50564</v>
      </c>
      <c r="J4133" s="48"/>
      <c r="K4133" s="50"/>
      <c r="L4133" s="48"/>
    </row>
    <row r="4134" spans="1:12" s="37" customFormat="1" ht="11.25" x14ac:dyDescent="0.2">
      <c r="A4134" s="46" t="s">
        <v>7307</v>
      </c>
      <c r="B4134" s="46" t="s">
        <v>53373</v>
      </c>
      <c r="C4134" s="58" t="str">
        <f>"00239852"</f>
        <v>00239852</v>
      </c>
      <c r="D4134" s="58" t="str">
        <f>""</f>
        <v/>
      </c>
      <c r="E4134" s="46" t="s">
        <v>7309</v>
      </c>
      <c r="F4134" s="45" t="s">
        <v>33728</v>
      </c>
      <c r="G4134" s="46" t="s">
        <v>50590</v>
      </c>
      <c r="H4134" s="48" t="s">
        <v>56716</v>
      </c>
      <c r="I4134" s="48" t="s">
        <v>50564</v>
      </c>
      <c r="J4134" s="48"/>
      <c r="K4134" s="50"/>
      <c r="L4134" s="48" t="s">
        <v>56716</v>
      </c>
    </row>
    <row r="4135" spans="1:12" s="37" customFormat="1" ht="11.25" x14ac:dyDescent="0.2">
      <c r="A4135" s="46" t="s">
        <v>9514</v>
      </c>
      <c r="B4135" s="46" t="s">
        <v>53374</v>
      </c>
      <c r="C4135" s="58" t="str">
        <f>"10918531"</f>
        <v>10918531</v>
      </c>
      <c r="D4135" s="58" t="str">
        <f>"15283933"</f>
        <v>15283933</v>
      </c>
      <c r="E4135" s="46" t="s">
        <v>194</v>
      </c>
      <c r="F4135" s="46" t="s">
        <v>17759</v>
      </c>
      <c r="G4135" s="46" t="s">
        <v>50584</v>
      </c>
      <c r="H4135" s="48" t="s">
        <v>56716</v>
      </c>
      <c r="I4135" s="48" t="s">
        <v>50564</v>
      </c>
      <c r="J4135" s="48" t="s">
        <v>56716</v>
      </c>
      <c r="K4135" s="50" t="s">
        <v>56716</v>
      </c>
      <c r="L4135" s="48" t="s">
        <v>56716</v>
      </c>
    </row>
    <row r="4136" spans="1:12" s="37" customFormat="1" ht="11.25" x14ac:dyDescent="0.2">
      <c r="A4136" s="45" t="s">
        <v>33735</v>
      </c>
      <c r="B4136" s="45" t="s">
        <v>33737</v>
      </c>
      <c r="C4136" s="51" t="s">
        <v>33739</v>
      </c>
      <c r="D4136" s="51" t="s">
        <v>33738</v>
      </c>
      <c r="E4136" s="45" t="s">
        <v>17783</v>
      </c>
      <c r="F4136" s="45" t="s">
        <v>17759</v>
      </c>
      <c r="G4136" s="45" t="s">
        <v>50584</v>
      </c>
      <c r="H4136" s="56"/>
      <c r="I4136" s="56" t="s">
        <v>50564</v>
      </c>
      <c r="J4136" s="56"/>
      <c r="K4136" s="50"/>
      <c r="L4136" s="56" t="s">
        <v>56716</v>
      </c>
    </row>
    <row r="4137" spans="1:12" s="37" customFormat="1" ht="11.25" x14ac:dyDescent="0.2">
      <c r="A4137" s="46" t="s">
        <v>2132</v>
      </c>
      <c r="B4137" s="46" t="s">
        <v>53375</v>
      </c>
      <c r="C4137" s="58" t="str">
        <f>"0021843X"</f>
        <v>0021843X</v>
      </c>
      <c r="D4137" s="58" t="str">
        <f>"19391846"</f>
        <v>19391846</v>
      </c>
      <c r="E4137" s="46" t="s">
        <v>356</v>
      </c>
      <c r="F4137" s="46" t="s">
        <v>17759</v>
      </c>
      <c r="G4137" s="46" t="s">
        <v>50584</v>
      </c>
      <c r="H4137" s="48" t="s">
        <v>56716</v>
      </c>
      <c r="I4137" s="48" t="s">
        <v>50564</v>
      </c>
      <c r="J4137" s="48"/>
      <c r="K4137" s="50" t="s">
        <v>56716</v>
      </c>
      <c r="L4137" s="48" t="s">
        <v>56716</v>
      </c>
    </row>
    <row r="4138" spans="1:12" s="37" customFormat="1" ht="11.25" x14ac:dyDescent="0.2">
      <c r="A4138" s="46" t="s">
        <v>8413</v>
      </c>
      <c r="B4138" s="46" t="s">
        <v>53376</v>
      </c>
      <c r="C4138" s="58" t="str">
        <f>"15254135"</f>
        <v>15254135</v>
      </c>
      <c r="D4138" s="58" t="str">
        <f>"10779450"</f>
        <v>10779450</v>
      </c>
      <c r="E4138" s="46" t="s">
        <v>28</v>
      </c>
      <c r="F4138" s="46" t="s">
        <v>17759</v>
      </c>
      <c r="G4138" s="46" t="s">
        <v>50584</v>
      </c>
      <c r="H4138" s="48" t="s">
        <v>56716</v>
      </c>
      <c r="I4138" s="48" t="s">
        <v>50564</v>
      </c>
      <c r="J4138" s="48" t="s">
        <v>56716</v>
      </c>
      <c r="K4138" s="50" t="s">
        <v>56716</v>
      </c>
      <c r="L4138" s="48" t="s">
        <v>56716</v>
      </c>
    </row>
    <row r="4139" spans="1:12" s="37" customFormat="1" ht="11.25" x14ac:dyDescent="0.2">
      <c r="A4139" s="46" t="s">
        <v>17489</v>
      </c>
      <c r="B4139" s="46" t="s">
        <v>53377</v>
      </c>
      <c r="C4139" s="58" t="str">
        <f>"21588686"</f>
        <v>21588686</v>
      </c>
      <c r="D4139" s="58" t="str">
        <f>"21590524"</f>
        <v>21590524</v>
      </c>
      <c r="E4139" s="46" t="s">
        <v>28</v>
      </c>
      <c r="F4139" s="46" t="s">
        <v>17759</v>
      </c>
      <c r="G4139" s="46" t="s">
        <v>50584</v>
      </c>
      <c r="H4139" s="48" t="s">
        <v>56716</v>
      </c>
      <c r="I4139" s="48" t="s">
        <v>50564</v>
      </c>
      <c r="J4139" s="48"/>
      <c r="K4139" s="50" t="s">
        <v>56716</v>
      </c>
      <c r="L4139" s="48"/>
    </row>
    <row r="4140" spans="1:12" s="37" customFormat="1" ht="11.25" x14ac:dyDescent="0.2">
      <c r="A4140" s="46" t="s">
        <v>17114</v>
      </c>
      <c r="B4140" s="46" t="s">
        <v>53378</v>
      </c>
      <c r="C4140" s="58" t="str">
        <f>"22216189"</f>
        <v>22216189</v>
      </c>
      <c r="D4140" s="58" t="str">
        <f>""</f>
        <v/>
      </c>
      <c r="E4140" s="46" t="s">
        <v>2776</v>
      </c>
      <c r="F4140" s="46" t="s">
        <v>19491</v>
      </c>
      <c r="G4140" s="46" t="s">
        <v>50584</v>
      </c>
      <c r="H4140" s="48" t="s">
        <v>56716</v>
      </c>
      <c r="I4140" s="48" t="s">
        <v>50564</v>
      </c>
      <c r="J4140" s="48" t="s">
        <v>56716</v>
      </c>
      <c r="K4140" s="50"/>
      <c r="L4140" s="48"/>
    </row>
    <row r="4141" spans="1:12" s="37" customFormat="1" ht="11.25" x14ac:dyDescent="0.2">
      <c r="A4141" s="46" t="s">
        <v>15959</v>
      </c>
      <c r="B4141" s="46" t="s">
        <v>53379</v>
      </c>
      <c r="C4141" s="58" t="str">
        <f>"22115587"</f>
        <v>22115587</v>
      </c>
      <c r="D4141" s="58" t="str">
        <f>""</f>
        <v/>
      </c>
      <c r="E4141" s="46" t="s">
        <v>91</v>
      </c>
      <c r="F4141" s="46" t="s">
        <v>18001</v>
      </c>
      <c r="G4141" s="46" t="s">
        <v>50584</v>
      </c>
      <c r="H4141" s="48" t="s">
        <v>56716</v>
      </c>
      <c r="I4141" s="48" t="s">
        <v>50564</v>
      </c>
      <c r="J4141" s="48" t="s">
        <v>56716</v>
      </c>
      <c r="K4141" s="50" t="s">
        <v>56716</v>
      </c>
      <c r="L4141" s="48"/>
    </row>
    <row r="4142" spans="1:12" s="37" customFormat="1" ht="11.25" x14ac:dyDescent="0.2">
      <c r="A4142" s="46" t="s">
        <v>12384</v>
      </c>
      <c r="B4142" s="46" t="s">
        <v>53380</v>
      </c>
      <c r="C4142" s="58" t="str">
        <f>"19320620"</f>
        <v>19320620</v>
      </c>
      <c r="D4142" s="58" t="str">
        <f>"19353227"</f>
        <v>19353227</v>
      </c>
      <c r="E4142" s="46" t="s">
        <v>28</v>
      </c>
      <c r="F4142" s="46" t="s">
        <v>50646</v>
      </c>
      <c r="G4142" s="46" t="s">
        <v>50584</v>
      </c>
      <c r="H4142" s="48" t="s">
        <v>56716</v>
      </c>
      <c r="I4142" s="48" t="s">
        <v>50564</v>
      </c>
      <c r="J4142" s="48" t="s">
        <v>56716</v>
      </c>
      <c r="K4142" s="50"/>
      <c r="L4142" s="48" t="s">
        <v>56716</v>
      </c>
    </row>
    <row r="4143" spans="1:12" s="37" customFormat="1" ht="11.25" x14ac:dyDescent="0.2">
      <c r="A4143" s="45" t="s">
        <v>33760</v>
      </c>
      <c r="B4143" s="45" t="s">
        <v>33762</v>
      </c>
      <c r="C4143" s="51" t="s">
        <v>33765</v>
      </c>
      <c r="D4143" s="51" t="s">
        <v>33764</v>
      </c>
      <c r="E4143" s="45" t="s">
        <v>17758</v>
      </c>
      <c r="F4143" s="45" t="s">
        <v>17759</v>
      </c>
      <c r="G4143" s="45" t="s">
        <v>50584</v>
      </c>
      <c r="H4143" s="56"/>
      <c r="I4143" s="56" t="s">
        <v>50564</v>
      </c>
      <c r="J4143" s="56"/>
      <c r="K4143" s="50"/>
      <c r="L4143" s="56" t="s">
        <v>56716</v>
      </c>
    </row>
    <row r="4144" spans="1:12" s="37" customFormat="1" ht="11.25" x14ac:dyDescent="0.2">
      <c r="A4144" s="46" t="s">
        <v>5539</v>
      </c>
      <c r="B4144" s="46" t="s">
        <v>53381</v>
      </c>
      <c r="C4144" s="58" t="str">
        <f>"10550887"</f>
        <v>10550887</v>
      </c>
      <c r="D4144" s="58" t="str">
        <f>"15450848"</f>
        <v>15450848</v>
      </c>
      <c r="E4144" s="46" t="s">
        <v>689</v>
      </c>
      <c r="F4144" s="46" t="s">
        <v>17759</v>
      </c>
      <c r="G4144" s="46" t="s">
        <v>50584</v>
      </c>
      <c r="H4144" s="48" t="s">
        <v>56716</v>
      </c>
      <c r="I4144" s="48" t="s">
        <v>50564</v>
      </c>
      <c r="J4144" s="48"/>
      <c r="K4144" s="50" t="s">
        <v>56716</v>
      </c>
      <c r="L4144" s="48" t="s">
        <v>56716</v>
      </c>
    </row>
    <row r="4145" spans="1:12" s="37" customFormat="1" ht="11.25" x14ac:dyDescent="0.2">
      <c r="A4145" s="46" t="s">
        <v>2532</v>
      </c>
      <c r="B4145" s="46" t="s">
        <v>53382</v>
      </c>
      <c r="C4145" s="58" t="str">
        <f>"01401971"</f>
        <v>01401971</v>
      </c>
      <c r="D4145" s="58" t="str">
        <f>"10959254"</f>
        <v>10959254</v>
      </c>
      <c r="E4145" s="46" t="s">
        <v>601</v>
      </c>
      <c r="F4145" s="46" t="s">
        <v>50646</v>
      </c>
      <c r="G4145" s="46" t="s">
        <v>50584</v>
      </c>
      <c r="H4145" s="48" t="s">
        <v>56716</v>
      </c>
      <c r="I4145" s="48" t="s">
        <v>50564</v>
      </c>
      <c r="J4145" s="48"/>
      <c r="K4145" s="50"/>
      <c r="L4145" s="48" t="s">
        <v>56716</v>
      </c>
    </row>
    <row r="4146" spans="1:12" s="37" customFormat="1" ht="11.25" x14ac:dyDescent="0.2">
      <c r="A4146" s="46" t="s">
        <v>15751</v>
      </c>
      <c r="B4146" s="46" t="s">
        <v>53383</v>
      </c>
      <c r="C4146" s="58" t="str">
        <f>"21565333"</f>
        <v>21565333</v>
      </c>
      <c r="D4146" s="58" t="str">
        <f>"2156535X"</f>
        <v>2156535X</v>
      </c>
      <c r="E4146" s="46" t="s">
        <v>4337</v>
      </c>
      <c r="F4146" s="46" t="s">
        <v>17759</v>
      </c>
      <c r="G4146" s="46" t="s">
        <v>50584</v>
      </c>
      <c r="H4146" s="48" t="s">
        <v>56716</v>
      </c>
      <c r="I4146" s="48" t="s">
        <v>50564</v>
      </c>
      <c r="J4146" s="48" t="s">
        <v>56716</v>
      </c>
      <c r="K4146" s="50"/>
      <c r="L4146" s="48"/>
    </row>
    <row r="4147" spans="1:12" s="37" customFormat="1" ht="11.25" x14ac:dyDescent="0.2">
      <c r="A4147" s="46" t="s">
        <v>5507</v>
      </c>
      <c r="B4147" s="46" t="s">
        <v>53384</v>
      </c>
      <c r="C4147" s="58" t="str">
        <f>"1054139X"</f>
        <v>1054139X</v>
      </c>
      <c r="D4147" s="58" t="str">
        <f>"18791972"</f>
        <v>18791972</v>
      </c>
      <c r="E4147" s="46" t="s">
        <v>673</v>
      </c>
      <c r="F4147" s="46" t="s">
        <v>17759</v>
      </c>
      <c r="G4147" s="46" t="s">
        <v>50584</v>
      </c>
      <c r="H4147" s="48" t="s">
        <v>56716</v>
      </c>
      <c r="I4147" s="48" t="s">
        <v>50564</v>
      </c>
      <c r="J4147" s="48" t="s">
        <v>56716</v>
      </c>
      <c r="K4147" s="50" t="s">
        <v>56716</v>
      </c>
      <c r="L4147" s="48" t="s">
        <v>56716</v>
      </c>
    </row>
    <row r="4148" spans="1:12" s="37" customFormat="1" ht="11.25" x14ac:dyDescent="0.2">
      <c r="A4148" s="45" t="s">
        <v>33787</v>
      </c>
      <c r="B4148" s="45" t="s">
        <v>33789</v>
      </c>
      <c r="C4148" s="51" t="s">
        <v>33791</v>
      </c>
      <c r="D4148" s="51" t="s">
        <v>33790</v>
      </c>
      <c r="E4148" s="45" t="s">
        <v>23527</v>
      </c>
      <c r="F4148" s="45" t="s">
        <v>50646</v>
      </c>
      <c r="G4148" s="45" t="s">
        <v>50584</v>
      </c>
      <c r="H4148" s="56"/>
      <c r="I4148" s="56" t="s">
        <v>50564</v>
      </c>
      <c r="J4148" s="56"/>
      <c r="K4148" s="50"/>
      <c r="L4148" s="56" t="s">
        <v>56716</v>
      </c>
    </row>
    <row r="4149" spans="1:12" s="37" customFormat="1" ht="11.25" x14ac:dyDescent="0.2">
      <c r="A4149" s="46" t="s">
        <v>14883</v>
      </c>
      <c r="B4149" s="46" t="s">
        <v>53385</v>
      </c>
      <c r="C4149" s="58" t="str">
        <f>"01105558"</f>
        <v>01105558</v>
      </c>
      <c r="D4149" s="58" t="str">
        <f>"09762094"</f>
        <v>09762094</v>
      </c>
      <c r="E4149" s="46" t="s">
        <v>19057</v>
      </c>
      <c r="F4149" s="46" t="s">
        <v>20446</v>
      </c>
      <c r="G4149" s="46" t="s">
        <v>50584</v>
      </c>
      <c r="H4149" s="48" t="s">
        <v>56716</v>
      </c>
      <c r="I4149" s="48" t="s">
        <v>50564</v>
      </c>
      <c r="J4149" s="48" t="s">
        <v>56716</v>
      </c>
      <c r="K4149" s="50"/>
      <c r="L4149" s="48"/>
    </row>
    <row r="4150" spans="1:12" s="37" customFormat="1" ht="11.25" x14ac:dyDescent="0.2">
      <c r="A4150" s="46" t="s">
        <v>15878</v>
      </c>
      <c r="B4150" s="46" t="s">
        <v>53386</v>
      </c>
      <c r="C4150" s="58" t="str">
        <f>"2230861X"</f>
        <v>2230861X</v>
      </c>
      <c r="D4150" s="58" t="str">
        <f>"22307761"</f>
        <v>22307761</v>
      </c>
      <c r="E4150" s="46" t="s">
        <v>15878</v>
      </c>
      <c r="F4150" s="46" t="s">
        <v>20446</v>
      </c>
      <c r="G4150" s="46" t="s">
        <v>50584</v>
      </c>
      <c r="H4150" s="48" t="s">
        <v>56716</v>
      </c>
      <c r="I4150" s="48" t="s">
        <v>50564</v>
      </c>
      <c r="J4150" s="48"/>
      <c r="K4150" s="50"/>
      <c r="L4150" s="48"/>
    </row>
    <row r="4151" spans="1:12" s="37" customFormat="1" ht="11.25" x14ac:dyDescent="0.2">
      <c r="A4151" s="46" t="s">
        <v>12854</v>
      </c>
      <c r="B4151" s="46" t="s">
        <v>53387</v>
      </c>
      <c r="C4151" s="58" t="str">
        <f>"19412711"</f>
        <v>19412711</v>
      </c>
      <c r="D4151" s="58" t="str">
        <f>"19412703"</f>
        <v>19412703</v>
      </c>
      <c r="E4151" s="46" t="s">
        <v>4337</v>
      </c>
      <c r="F4151" s="46" t="s">
        <v>17759</v>
      </c>
      <c r="G4151" s="46" t="s">
        <v>50584</v>
      </c>
      <c r="H4151" s="48" t="s">
        <v>56716</v>
      </c>
      <c r="I4151" s="48" t="s">
        <v>50564</v>
      </c>
      <c r="J4151" s="48"/>
      <c r="K4151" s="50"/>
      <c r="L4151" s="48" t="s">
        <v>56716</v>
      </c>
    </row>
    <row r="4152" spans="1:12" s="37" customFormat="1" ht="11.25" x14ac:dyDescent="0.2">
      <c r="A4152" s="46" t="s">
        <v>6769</v>
      </c>
      <c r="B4152" s="46" t="s">
        <v>53388</v>
      </c>
      <c r="C4152" s="58" t="str">
        <f>"00218502"</f>
        <v>00218502</v>
      </c>
      <c r="D4152" s="58" t="str">
        <f>"18791964"</f>
        <v>18791964</v>
      </c>
      <c r="E4152" s="46" t="s">
        <v>155</v>
      </c>
      <c r="F4152" s="46" t="s">
        <v>50646</v>
      </c>
      <c r="G4152" s="46" t="s">
        <v>50584</v>
      </c>
      <c r="H4152" s="48" t="s">
        <v>56716</v>
      </c>
      <c r="I4152" s="48" t="s">
        <v>50564</v>
      </c>
      <c r="J4152" s="48" t="s">
        <v>56716</v>
      </c>
      <c r="K4152" s="50" t="s">
        <v>56716</v>
      </c>
      <c r="L4152" s="48"/>
    </row>
    <row r="4153" spans="1:12" s="37" customFormat="1" ht="11.25" x14ac:dyDescent="0.2">
      <c r="A4153" s="46" t="s">
        <v>2119</v>
      </c>
      <c r="B4153" s="46" t="s">
        <v>53389</v>
      </c>
      <c r="C4153" s="58" t="str">
        <f>"01650327"</f>
        <v>01650327</v>
      </c>
      <c r="D4153" s="58" t="str">
        <f>"15732517"</f>
        <v>15732517</v>
      </c>
      <c r="E4153" s="46" t="s">
        <v>91</v>
      </c>
      <c r="F4153" s="46" t="s">
        <v>18001</v>
      </c>
      <c r="G4153" s="46" t="s">
        <v>50584</v>
      </c>
      <c r="H4153" s="48" t="s">
        <v>56716</v>
      </c>
      <c r="I4153" s="48" t="s">
        <v>50564</v>
      </c>
      <c r="J4153" s="48" t="s">
        <v>56716</v>
      </c>
      <c r="K4153" s="50" t="s">
        <v>56716</v>
      </c>
      <c r="L4153" s="48" t="s">
        <v>56716</v>
      </c>
    </row>
    <row r="4154" spans="1:12" s="37" customFormat="1" ht="11.25" x14ac:dyDescent="0.2">
      <c r="A4154" s="46" t="s">
        <v>7917</v>
      </c>
      <c r="B4154" s="46" t="s">
        <v>53390</v>
      </c>
      <c r="C4154" s="58" t="str">
        <f>"10926771"</f>
        <v>10926771</v>
      </c>
      <c r="D4154" s="58" t="str">
        <f>"1545083X"</f>
        <v>1545083X</v>
      </c>
      <c r="E4154" s="46" t="s">
        <v>689</v>
      </c>
      <c r="F4154" s="46" t="s">
        <v>17759</v>
      </c>
      <c r="G4154" s="46" t="s">
        <v>50584</v>
      </c>
      <c r="H4154" s="48" t="s">
        <v>56716</v>
      </c>
      <c r="I4154" s="48" t="s">
        <v>50564</v>
      </c>
      <c r="J4154" s="48"/>
      <c r="K4154" s="50" t="s">
        <v>56716</v>
      </c>
      <c r="L4154" s="48"/>
    </row>
    <row r="4155" spans="1:12" s="37" customFormat="1" ht="11.25" x14ac:dyDescent="0.2">
      <c r="A4155" s="45" t="s">
        <v>33804</v>
      </c>
      <c r="B4155" s="45" t="s">
        <v>33806</v>
      </c>
      <c r="C4155" s="51" t="s">
        <v>33808</v>
      </c>
      <c r="D4155" s="51" t="s">
        <v>33807</v>
      </c>
      <c r="E4155" s="45" t="s">
        <v>291</v>
      </c>
      <c r="F4155" s="45" t="s">
        <v>50646</v>
      </c>
      <c r="G4155" s="45" t="s">
        <v>50584</v>
      </c>
      <c r="H4155" s="56"/>
      <c r="I4155" s="56" t="s">
        <v>50564</v>
      </c>
      <c r="J4155" s="56"/>
      <c r="K4155" s="50"/>
      <c r="L4155" s="56" t="s">
        <v>56716</v>
      </c>
    </row>
    <row r="4156" spans="1:12" s="37" customFormat="1" ht="11.25" x14ac:dyDescent="0.2">
      <c r="A4156" s="45" t="s">
        <v>33811</v>
      </c>
      <c r="B4156" s="45" t="s">
        <v>33813</v>
      </c>
      <c r="C4156" s="51" t="s">
        <v>33815</v>
      </c>
      <c r="D4156" s="51" t="s">
        <v>33814</v>
      </c>
      <c r="E4156" s="45" t="s">
        <v>19447</v>
      </c>
      <c r="F4156" s="45" t="s">
        <v>17759</v>
      </c>
      <c r="G4156" s="45" t="s">
        <v>50584</v>
      </c>
      <c r="H4156" s="56"/>
      <c r="I4156" s="56" t="s">
        <v>50564</v>
      </c>
      <c r="J4156" s="56"/>
      <c r="K4156" s="50"/>
      <c r="L4156" s="56" t="s">
        <v>56716</v>
      </c>
    </row>
    <row r="4157" spans="1:12" s="37" customFormat="1" ht="11.25" x14ac:dyDescent="0.2">
      <c r="A4157" s="45" t="s">
        <v>33817</v>
      </c>
      <c r="B4157" s="45" t="s">
        <v>33819</v>
      </c>
      <c r="C4157" s="51" t="s">
        <v>33821</v>
      </c>
      <c r="D4157" s="51" t="s">
        <v>33820</v>
      </c>
      <c r="E4157" s="45" t="s">
        <v>33822</v>
      </c>
      <c r="F4157" s="45" t="s">
        <v>17759</v>
      </c>
      <c r="G4157" s="45" t="s">
        <v>50584</v>
      </c>
      <c r="H4157" s="56"/>
      <c r="I4157" s="56" t="s">
        <v>50564</v>
      </c>
      <c r="J4157" s="56"/>
      <c r="K4157" s="50"/>
      <c r="L4157" s="56" t="s">
        <v>56716</v>
      </c>
    </row>
    <row r="4158" spans="1:12" s="37" customFormat="1" ht="11.25" x14ac:dyDescent="0.2">
      <c r="A4158" s="46" t="s">
        <v>16053</v>
      </c>
      <c r="B4158" s="46" t="s">
        <v>53391</v>
      </c>
      <c r="C4158" s="58" t="str">
        <f>"20902204"</f>
        <v>20902204</v>
      </c>
      <c r="D4158" s="58" t="str">
        <f>"20902212"</f>
        <v>20902212</v>
      </c>
      <c r="E4158" s="46" t="s">
        <v>1412</v>
      </c>
      <c r="F4158" s="46" t="s">
        <v>17759</v>
      </c>
      <c r="G4158" s="46" t="s">
        <v>50584</v>
      </c>
      <c r="H4158" s="48" t="s">
        <v>56716</v>
      </c>
      <c r="I4158" s="48" t="s">
        <v>50564</v>
      </c>
      <c r="J4158" s="48" t="s">
        <v>56716</v>
      </c>
      <c r="K4158" s="50"/>
      <c r="L4158" s="48"/>
    </row>
    <row r="4159" spans="1:12" s="37" customFormat="1" ht="11.25" x14ac:dyDescent="0.2">
      <c r="A4159" s="45" t="s">
        <v>33824</v>
      </c>
      <c r="B4159" s="45" t="s">
        <v>33826</v>
      </c>
      <c r="C4159" s="51" t="s">
        <v>33828</v>
      </c>
      <c r="D4159" s="51" t="s">
        <v>33827</v>
      </c>
      <c r="E4159" s="45" t="s">
        <v>25921</v>
      </c>
      <c r="F4159" s="45" t="s">
        <v>50646</v>
      </c>
      <c r="G4159" s="45" t="s">
        <v>50584</v>
      </c>
      <c r="H4159" s="56"/>
      <c r="I4159" s="56" t="s">
        <v>50564</v>
      </c>
      <c r="J4159" s="56"/>
      <c r="K4159" s="50"/>
      <c r="L4159" s="56" t="s">
        <v>56716</v>
      </c>
    </row>
    <row r="4160" spans="1:12" s="37" customFormat="1" ht="11.25" x14ac:dyDescent="0.2">
      <c r="A4160" s="45" t="s">
        <v>33830</v>
      </c>
      <c r="B4160" s="45" t="s">
        <v>33832</v>
      </c>
      <c r="C4160" s="51" t="s">
        <v>33834</v>
      </c>
      <c r="D4160" s="51" t="s">
        <v>33833</v>
      </c>
      <c r="E4160" s="45" t="s">
        <v>17881</v>
      </c>
      <c r="F4160" s="45" t="s">
        <v>17759</v>
      </c>
      <c r="G4160" s="45" t="s">
        <v>50584</v>
      </c>
      <c r="H4160" s="56"/>
      <c r="I4160" s="56" t="s">
        <v>50564</v>
      </c>
      <c r="J4160" s="56"/>
      <c r="K4160" s="50"/>
      <c r="L4160" s="56" t="s">
        <v>56716</v>
      </c>
    </row>
    <row r="4161" spans="1:12" s="37" customFormat="1" ht="11.25" x14ac:dyDescent="0.2">
      <c r="A4161" s="45" t="s">
        <v>33837</v>
      </c>
      <c r="B4161" s="45" t="s">
        <v>33839</v>
      </c>
      <c r="C4161" s="51" t="s">
        <v>33840</v>
      </c>
      <c r="D4161" s="51"/>
      <c r="E4161" s="45" t="s">
        <v>33841</v>
      </c>
      <c r="F4161" s="45" t="s">
        <v>17759</v>
      </c>
      <c r="G4161" s="45" t="s">
        <v>50584</v>
      </c>
      <c r="H4161" s="56"/>
      <c r="I4161" s="56" t="s">
        <v>50564</v>
      </c>
      <c r="J4161" s="56"/>
      <c r="K4161" s="50"/>
      <c r="L4161" s="56" t="s">
        <v>56716</v>
      </c>
    </row>
    <row r="4162" spans="1:12" s="37" customFormat="1" ht="11.25" x14ac:dyDescent="0.2">
      <c r="A4162" s="45" t="s">
        <v>33843</v>
      </c>
      <c r="B4162" s="45" t="s">
        <v>33845</v>
      </c>
      <c r="C4162" s="51" t="s">
        <v>33847</v>
      </c>
      <c r="D4162" s="51" t="s">
        <v>33846</v>
      </c>
      <c r="E4162" s="45" t="s">
        <v>291</v>
      </c>
      <c r="F4162" s="45" t="s">
        <v>50646</v>
      </c>
      <c r="G4162" s="45" t="s">
        <v>50584</v>
      </c>
      <c r="H4162" s="56"/>
      <c r="I4162" s="56" t="s">
        <v>50564</v>
      </c>
      <c r="J4162" s="56"/>
      <c r="K4162" s="50"/>
      <c r="L4162" s="56" t="s">
        <v>56716</v>
      </c>
    </row>
    <row r="4163" spans="1:12" s="37" customFormat="1" ht="11.25" x14ac:dyDescent="0.2">
      <c r="A4163" s="45" t="s">
        <v>33849</v>
      </c>
      <c r="B4163" s="45" t="s">
        <v>33851</v>
      </c>
      <c r="C4163" s="51" t="s">
        <v>33853</v>
      </c>
      <c r="D4163" s="51"/>
      <c r="E4163" s="45" t="s">
        <v>33854</v>
      </c>
      <c r="F4163" s="45" t="s">
        <v>17759</v>
      </c>
      <c r="G4163" s="45" t="s">
        <v>50584</v>
      </c>
      <c r="H4163" s="56"/>
      <c r="I4163" s="56" t="s">
        <v>50564</v>
      </c>
      <c r="J4163" s="56"/>
      <c r="K4163" s="50"/>
      <c r="L4163" s="56" t="s">
        <v>56716</v>
      </c>
    </row>
    <row r="4164" spans="1:12" s="37" customFormat="1" ht="11.25" x14ac:dyDescent="0.2">
      <c r="A4164" s="46" t="s">
        <v>15702</v>
      </c>
      <c r="B4164" s="46" t="s">
        <v>53392</v>
      </c>
      <c r="C4164" s="58" t="str">
        <f>"16879783"</f>
        <v>16879783</v>
      </c>
      <c r="D4164" s="58" t="str">
        <f>"16879791"</f>
        <v>16879791</v>
      </c>
      <c r="E4164" s="46" t="s">
        <v>1412</v>
      </c>
      <c r="F4164" s="46" t="s">
        <v>17759</v>
      </c>
      <c r="G4164" s="46" t="s">
        <v>50584</v>
      </c>
      <c r="H4164" s="48" t="s">
        <v>56716</v>
      </c>
      <c r="I4164" s="48" t="s">
        <v>50564</v>
      </c>
      <c r="J4164" s="48" t="s">
        <v>56716</v>
      </c>
      <c r="K4164" s="50"/>
      <c r="L4164" s="48"/>
    </row>
    <row r="4165" spans="1:12" s="37" customFormat="1" ht="11.25" x14ac:dyDescent="0.2">
      <c r="A4165" s="46" t="s">
        <v>2107</v>
      </c>
      <c r="B4165" s="46" t="s">
        <v>53393</v>
      </c>
      <c r="C4165" s="58" t="str">
        <f>"00916749"</f>
        <v>00916749</v>
      </c>
      <c r="D4165" s="58" t="str">
        <f>"10976825"</f>
        <v>10976825</v>
      </c>
      <c r="E4165" s="46" t="s">
        <v>194</v>
      </c>
      <c r="F4165" s="46" t="s">
        <v>17759</v>
      </c>
      <c r="G4165" s="46" t="s">
        <v>50584</v>
      </c>
      <c r="H4165" s="48" t="s">
        <v>56716</v>
      </c>
      <c r="I4165" s="48" t="s">
        <v>50564</v>
      </c>
      <c r="J4165" s="48" t="s">
        <v>56716</v>
      </c>
      <c r="K4165" s="50" t="s">
        <v>56716</v>
      </c>
      <c r="L4165" s="48" t="s">
        <v>56716</v>
      </c>
    </row>
    <row r="4166" spans="1:12" s="37" customFormat="1" ht="11.25" x14ac:dyDescent="0.2">
      <c r="A4166" s="46" t="s">
        <v>17017</v>
      </c>
      <c r="B4166" s="46" t="s">
        <v>53394</v>
      </c>
      <c r="C4166" s="58" t="str">
        <f>"22132198"</f>
        <v>22132198</v>
      </c>
      <c r="D4166" s="58" t="str">
        <f>""</f>
        <v/>
      </c>
      <c r="E4166" s="46" t="s">
        <v>17019</v>
      </c>
      <c r="F4166" s="46" t="s">
        <v>17759</v>
      </c>
      <c r="G4166" s="46" t="s">
        <v>50584</v>
      </c>
      <c r="H4166" s="48" t="s">
        <v>56716</v>
      </c>
      <c r="I4166" s="48" t="s">
        <v>50564</v>
      </c>
      <c r="J4166" s="48"/>
      <c r="K4166" s="50" t="s">
        <v>56716</v>
      </c>
      <c r="L4166" s="48" t="s">
        <v>56716</v>
      </c>
    </row>
    <row r="4167" spans="1:12" s="37" customFormat="1" ht="11.25" x14ac:dyDescent="0.2">
      <c r="A4167" s="45" t="s">
        <v>33866</v>
      </c>
      <c r="B4167" s="45" t="s">
        <v>33868</v>
      </c>
      <c r="C4167" s="51" t="s">
        <v>33870</v>
      </c>
      <c r="D4167" s="51" t="s">
        <v>33869</v>
      </c>
      <c r="E4167" s="45" t="s">
        <v>33871</v>
      </c>
      <c r="F4167" s="45" t="s">
        <v>17759</v>
      </c>
      <c r="G4167" s="45" t="s">
        <v>50584</v>
      </c>
      <c r="H4167" s="56"/>
      <c r="I4167" s="56" t="s">
        <v>50564</v>
      </c>
      <c r="J4167" s="56"/>
      <c r="K4167" s="50"/>
      <c r="L4167" s="56" t="s">
        <v>56716</v>
      </c>
    </row>
    <row r="4168" spans="1:12" s="37" customFormat="1" ht="11.25" x14ac:dyDescent="0.2">
      <c r="A4168" s="46" t="s">
        <v>6707</v>
      </c>
      <c r="B4168" s="46" t="s">
        <v>53395</v>
      </c>
      <c r="C4168" s="58" t="str">
        <f>"10755535"</f>
        <v>10755535</v>
      </c>
      <c r="D4168" s="58" t="str">
        <f>"15577708"</f>
        <v>15577708</v>
      </c>
      <c r="E4168" s="46" t="s">
        <v>4337</v>
      </c>
      <c r="F4168" s="46" t="s">
        <v>17759</v>
      </c>
      <c r="G4168" s="46" t="s">
        <v>50584</v>
      </c>
      <c r="H4168" s="48" t="s">
        <v>56716</v>
      </c>
      <c r="I4168" s="48" t="s">
        <v>50564</v>
      </c>
      <c r="J4168" s="48" t="s">
        <v>56716</v>
      </c>
      <c r="K4168" s="50"/>
      <c r="L4168" s="48" t="s">
        <v>56716</v>
      </c>
    </row>
    <row r="4169" spans="1:12" s="37" customFormat="1" ht="11.25" x14ac:dyDescent="0.2">
      <c r="A4169" s="46" t="s">
        <v>8127</v>
      </c>
      <c r="B4169" s="46" t="s">
        <v>53396</v>
      </c>
      <c r="C4169" s="58" t="str">
        <f>"13872877"</f>
        <v>13872877</v>
      </c>
      <c r="D4169" s="58" t="str">
        <f>"18758908"</f>
        <v>18758908</v>
      </c>
      <c r="E4169" s="46" t="s">
        <v>920</v>
      </c>
      <c r="F4169" s="46" t="s">
        <v>18001</v>
      </c>
      <c r="G4169" s="46" t="s">
        <v>50584</v>
      </c>
      <c r="H4169" s="48" t="s">
        <v>56716</v>
      </c>
      <c r="I4169" s="48" t="s">
        <v>50564</v>
      </c>
      <c r="J4169" s="48" t="s">
        <v>56716</v>
      </c>
      <c r="K4169" s="50"/>
      <c r="L4169" s="48" t="s">
        <v>56716</v>
      </c>
    </row>
    <row r="4170" spans="1:12" s="37" customFormat="1" ht="11.25" x14ac:dyDescent="0.2">
      <c r="A4170" s="45" t="s">
        <v>33888</v>
      </c>
      <c r="B4170" s="45" t="s">
        <v>33890</v>
      </c>
      <c r="C4170" s="51" t="s">
        <v>33893</v>
      </c>
      <c r="D4170" s="51" t="s">
        <v>33892</v>
      </c>
      <c r="E4170" s="45" t="s">
        <v>689</v>
      </c>
      <c r="F4170" s="45" t="s">
        <v>17759</v>
      </c>
      <c r="G4170" s="45" t="s">
        <v>50584</v>
      </c>
      <c r="H4170" s="56"/>
      <c r="I4170" s="56" t="s">
        <v>50564</v>
      </c>
      <c r="J4170" s="56"/>
      <c r="K4170" s="50"/>
      <c r="L4170" s="56" t="s">
        <v>56716</v>
      </c>
    </row>
    <row r="4171" spans="1:12" s="37" customFormat="1" ht="11.25" x14ac:dyDescent="0.2">
      <c r="A4171" s="46" t="s">
        <v>16056</v>
      </c>
      <c r="B4171" s="46" t="s">
        <v>53397</v>
      </c>
      <c r="C4171" s="58" t="str">
        <f>"20900104"</f>
        <v>20900104</v>
      </c>
      <c r="D4171" s="58" t="str">
        <f>"20900112"</f>
        <v>20900112</v>
      </c>
      <c r="E4171" s="46" t="s">
        <v>1412</v>
      </c>
      <c r="F4171" s="46" t="s">
        <v>17759</v>
      </c>
      <c r="G4171" s="46" t="s">
        <v>50584</v>
      </c>
      <c r="H4171" s="48" t="s">
        <v>56716</v>
      </c>
      <c r="I4171" s="48" t="s">
        <v>50564</v>
      </c>
      <c r="J4171" s="48" t="s">
        <v>56716</v>
      </c>
      <c r="K4171" s="50"/>
      <c r="L4171" s="48"/>
    </row>
    <row r="4172" spans="1:12" s="37" customFormat="1" ht="11.25" x14ac:dyDescent="0.2">
      <c r="A4172" s="46" t="s">
        <v>5391</v>
      </c>
      <c r="B4172" s="46" t="s">
        <v>53398</v>
      </c>
      <c r="C4172" s="58" t="str">
        <f>"09709185"</f>
        <v>09709185</v>
      </c>
      <c r="D4172" s="58" t="str">
        <f>"22312730"</f>
        <v>22312730</v>
      </c>
      <c r="E4172" s="46" t="s">
        <v>19057</v>
      </c>
      <c r="F4172" s="46" t="s">
        <v>20446</v>
      </c>
      <c r="G4172" s="46" t="s">
        <v>50584</v>
      </c>
      <c r="H4172" s="48" t="s">
        <v>56716</v>
      </c>
      <c r="I4172" s="48" t="s">
        <v>50564</v>
      </c>
      <c r="J4172" s="48"/>
      <c r="K4172" s="50"/>
      <c r="L4172" s="48"/>
    </row>
    <row r="4173" spans="1:12" s="37" customFormat="1" ht="11.25" x14ac:dyDescent="0.2">
      <c r="A4173" s="46" t="s">
        <v>15624</v>
      </c>
      <c r="B4173" s="46" t="s">
        <v>53399</v>
      </c>
      <c r="C4173" s="58" t="str">
        <f>"20908865"</f>
        <v>20908865</v>
      </c>
      <c r="D4173" s="58" t="str">
        <f>"20908873"</f>
        <v>20908873</v>
      </c>
      <c r="E4173" s="46" t="s">
        <v>1412</v>
      </c>
      <c r="F4173" s="46" t="s">
        <v>17759</v>
      </c>
      <c r="G4173" s="46" t="s">
        <v>50584</v>
      </c>
      <c r="H4173" s="48" t="s">
        <v>56716</v>
      </c>
      <c r="I4173" s="48" t="s">
        <v>50564</v>
      </c>
      <c r="J4173" s="48" t="s">
        <v>56716</v>
      </c>
      <c r="K4173" s="50"/>
      <c r="L4173" s="48"/>
    </row>
    <row r="4174" spans="1:12" s="37" customFormat="1" ht="11.25" x14ac:dyDescent="0.2">
      <c r="A4174" s="46" t="s">
        <v>55915</v>
      </c>
      <c r="B4174" s="46" t="s">
        <v>55916</v>
      </c>
      <c r="C4174" s="58" t="str">
        <f>"19277210"</f>
        <v>19277210</v>
      </c>
      <c r="D4174" s="58" t="str">
        <f>"19277229"</f>
        <v>19277229</v>
      </c>
      <c r="E4174" s="46" t="s">
        <v>55917</v>
      </c>
      <c r="F4174" s="46" t="s">
        <v>18959</v>
      </c>
      <c r="G4174" s="46" t="s">
        <v>50584</v>
      </c>
      <c r="H4174" s="48" t="s">
        <v>56716</v>
      </c>
      <c r="I4174" s="48" t="s">
        <v>50564</v>
      </c>
      <c r="J4174" s="48"/>
      <c r="K4174" s="50"/>
      <c r="L4174" s="48"/>
    </row>
    <row r="4175" spans="1:12" s="37" customFormat="1" ht="11.25" x14ac:dyDescent="0.2">
      <c r="A4175" s="46" t="s">
        <v>2138</v>
      </c>
      <c r="B4175" s="46" t="s">
        <v>53400</v>
      </c>
      <c r="C4175" s="58" t="str">
        <f>"01464760"</f>
        <v>01464760</v>
      </c>
      <c r="D4175" s="58" t="str">
        <f>"19452403"</f>
        <v>19452403</v>
      </c>
      <c r="E4175" s="46" t="s">
        <v>2141</v>
      </c>
      <c r="F4175" s="46" t="s">
        <v>17759</v>
      </c>
      <c r="G4175" s="46" t="s">
        <v>50584</v>
      </c>
      <c r="H4175" s="48" t="s">
        <v>56716</v>
      </c>
      <c r="I4175" s="48" t="s">
        <v>50564</v>
      </c>
      <c r="J4175" s="48"/>
      <c r="K4175" s="50"/>
      <c r="L4175" s="48" t="s">
        <v>56716</v>
      </c>
    </row>
    <row r="4176" spans="1:12" s="37" customFormat="1" ht="11.25" x14ac:dyDescent="0.2">
      <c r="A4176" s="46" t="s">
        <v>2535</v>
      </c>
      <c r="B4176" s="46" t="s">
        <v>53401</v>
      </c>
      <c r="C4176" s="58" t="str">
        <f>"00218782"</f>
        <v>00218782</v>
      </c>
      <c r="D4176" s="58" t="str">
        <f>"14697580"</f>
        <v>14697580</v>
      </c>
      <c r="E4176" s="46" t="s">
        <v>35</v>
      </c>
      <c r="F4176" s="46" t="s">
        <v>50646</v>
      </c>
      <c r="G4176" s="46" t="s">
        <v>50584</v>
      </c>
      <c r="H4176" s="48" t="s">
        <v>56716</v>
      </c>
      <c r="I4176" s="48" t="s">
        <v>50564</v>
      </c>
      <c r="J4176" s="48" t="s">
        <v>56716</v>
      </c>
      <c r="K4176" s="50" t="s">
        <v>56716</v>
      </c>
      <c r="L4176" s="48" t="s">
        <v>56716</v>
      </c>
    </row>
    <row r="4177" spans="1:12" s="37" customFormat="1" ht="11.25" x14ac:dyDescent="0.2">
      <c r="A4177" s="46" t="s">
        <v>5892</v>
      </c>
      <c r="B4177" s="46" t="s">
        <v>53402</v>
      </c>
      <c r="C4177" s="58" t="str">
        <f>"09138668"</f>
        <v>09138668</v>
      </c>
      <c r="D4177" s="58" t="str">
        <f>"14388359"</f>
        <v>14388359</v>
      </c>
      <c r="E4177" s="46" t="s">
        <v>23335</v>
      </c>
      <c r="F4177" s="46" t="s">
        <v>18242</v>
      </c>
      <c r="G4177" s="46" t="s">
        <v>50584</v>
      </c>
      <c r="H4177" s="48" t="s">
        <v>56716</v>
      </c>
      <c r="I4177" s="48" t="s">
        <v>50564</v>
      </c>
      <c r="J4177" s="48"/>
      <c r="K4177" s="50" t="s">
        <v>56716</v>
      </c>
      <c r="L4177" s="48" t="s">
        <v>56716</v>
      </c>
    </row>
    <row r="4178" spans="1:12" s="37" customFormat="1" ht="11.25" x14ac:dyDescent="0.2">
      <c r="A4178" s="45" t="s">
        <v>33918</v>
      </c>
      <c r="B4178" s="45" t="s">
        <v>33920</v>
      </c>
      <c r="C4178" s="51" t="s">
        <v>33923</v>
      </c>
      <c r="D4178" s="51" t="s">
        <v>33922</v>
      </c>
      <c r="E4178" s="45" t="s">
        <v>21146</v>
      </c>
      <c r="F4178" s="45" t="s">
        <v>18158</v>
      </c>
      <c r="G4178" s="45" t="s">
        <v>50592</v>
      </c>
      <c r="H4178" s="56"/>
      <c r="I4178" s="56" t="s">
        <v>50564</v>
      </c>
      <c r="J4178" s="56"/>
      <c r="K4178" s="50"/>
      <c r="L4178" s="56" t="s">
        <v>56716</v>
      </c>
    </row>
    <row r="4179" spans="1:12" s="37" customFormat="1" ht="11.25" x14ac:dyDescent="0.2">
      <c r="A4179" s="45" t="s">
        <v>33935</v>
      </c>
      <c r="B4179" s="45" t="s">
        <v>33937</v>
      </c>
      <c r="C4179" s="51" t="s">
        <v>33940</v>
      </c>
      <c r="D4179" s="51" t="s">
        <v>33939</v>
      </c>
      <c r="E4179" s="45" t="s">
        <v>22893</v>
      </c>
      <c r="F4179" s="45" t="s">
        <v>18158</v>
      </c>
      <c r="G4179" s="45" t="s">
        <v>50592</v>
      </c>
      <c r="H4179" s="56"/>
      <c r="I4179" s="56" t="s">
        <v>50564</v>
      </c>
      <c r="J4179" s="56"/>
      <c r="K4179" s="50"/>
      <c r="L4179" s="56" t="s">
        <v>56716</v>
      </c>
    </row>
    <row r="4180" spans="1:12" s="37" customFormat="1" ht="11.25" x14ac:dyDescent="0.2">
      <c r="A4180" s="45" t="s">
        <v>33943</v>
      </c>
      <c r="B4180" s="45" t="s">
        <v>33945</v>
      </c>
      <c r="C4180" s="51" t="s">
        <v>33948</v>
      </c>
      <c r="D4180" s="51" t="s">
        <v>33947</v>
      </c>
      <c r="E4180" s="45" t="s">
        <v>33949</v>
      </c>
      <c r="F4180" s="45" t="s">
        <v>17759</v>
      </c>
      <c r="G4180" s="45" t="s">
        <v>50584</v>
      </c>
      <c r="H4180" s="56"/>
      <c r="I4180" s="56" t="s">
        <v>50564</v>
      </c>
      <c r="J4180" s="56"/>
      <c r="K4180" s="50"/>
      <c r="L4180" s="56" t="s">
        <v>56716</v>
      </c>
    </row>
    <row r="4181" spans="1:12" s="37" customFormat="1" ht="11.25" x14ac:dyDescent="0.2">
      <c r="A4181" s="45" t="s">
        <v>33952</v>
      </c>
      <c r="B4181" s="45" t="s">
        <v>33954</v>
      </c>
      <c r="C4181" s="51" t="s">
        <v>33957</v>
      </c>
      <c r="D4181" s="51" t="s">
        <v>33956</v>
      </c>
      <c r="E4181" s="45" t="s">
        <v>33958</v>
      </c>
      <c r="F4181" s="45" t="s">
        <v>17991</v>
      </c>
      <c r="G4181" s="45" t="s">
        <v>50584</v>
      </c>
      <c r="H4181" s="56"/>
      <c r="I4181" s="56" t="s">
        <v>50564</v>
      </c>
      <c r="J4181" s="56"/>
      <c r="K4181" s="50"/>
      <c r="L4181" s="56" t="s">
        <v>56716</v>
      </c>
    </row>
    <row r="4182" spans="1:12" s="37" customFormat="1" ht="11.25" x14ac:dyDescent="0.2">
      <c r="A4182" s="46" t="s">
        <v>2129</v>
      </c>
      <c r="B4182" s="46" t="s">
        <v>53403</v>
      </c>
      <c r="C4182" s="58" t="str">
        <f>"00218820"</f>
        <v>00218820</v>
      </c>
      <c r="D4182" s="58" t="str">
        <f>"18811469"</f>
        <v>18811469</v>
      </c>
      <c r="E4182" s="46" t="s">
        <v>315</v>
      </c>
      <c r="F4182" s="46" t="s">
        <v>50646</v>
      </c>
      <c r="G4182" s="46" t="s">
        <v>50584</v>
      </c>
      <c r="H4182" s="48" t="s">
        <v>56716</v>
      </c>
      <c r="I4182" s="48" t="s">
        <v>50564</v>
      </c>
      <c r="J4182" s="48" t="s">
        <v>56716</v>
      </c>
      <c r="K4182" s="50"/>
      <c r="L4182" s="48" t="s">
        <v>56716</v>
      </c>
    </row>
    <row r="4183" spans="1:12" s="37" customFormat="1" ht="11.25" x14ac:dyDescent="0.2">
      <c r="A4183" s="46" t="s">
        <v>2104</v>
      </c>
      <c r="B4183" s="46" t="s">
        <v>53404</v>
      </c>
      <c r="C4183" s="58" t="str">
        <f>"03057453"</f>
        <v>03057453</v>
      </c>
      <c r="D4183" s="58" t="str">
        <f>"14602091"</f>
        <v>14602091</v>
      </c>
      <c r="E4183" s="46" t="s">
        <v>55</v>
      </c>
      <c r="F4183" s="46" t="s">
        <v>50646</v>
      </c>
      <c r="G4183" s="46" t="s">
        <v>50584</v>
      </c>
      <c r="H4183" s="48" t="s">
        <v>56716</v>
      </c>
      <c r="I4183" s="48" t="s">
        <v>50564</v>
      </c>
      <c r="J4183" s="48"/>
      <c r="K4183" s="50"/>
      <c r="L4183" s="48" t="s">
        <v>56716</v>
      </c>
    </row>
    <row r="4184" spans="1:12" s="37" customFormat="1" ht="11.25" x14ac:dyDescent="0.2">
      <c r="A4184" s="46" t="s">
        <v>4212</v>
      </c>
      <c r="B4184" s="46" t="s">
        <v>53405</v>
      </c>
      <c r="C4184" s="58" t="str">
        <f>"08876185"</f>
        <v>08876185</v>
      </c>
      <c r="D4184" s="58" t="str">
        <f>"18737897"</f>
        <v>18737897</v>
      </c>
      <c r="E4184" s="46" t="s">
        <v>155</v>
      </c>
      <c r="F4184" s="46" t="s">
        <v>50646</v>
      </c>
      <c r="G4184" s="46" t="s">
        <v>50584</v>
      </c>
      <c r="H4184" s="48" t="s">
        <v>56716</v>
      </c>
      <c r="I4184" s="48" t="s">
        <v>50564</v>
      </c>
      <c r="J4184" s="48"/>
      <c r="K4184" s="50"/>
      <c r="L4184" s="48" t="s">
        <v>56716</v>
      </c>
    </row>
    <row r="4185" spans="1:12" s="37" customFormat="1" ht="11.25" x14ac:dyDescent="0.2">
      <c r="A4185" s="45" t="s">
        <v>33973</v>
      </c>
      <c r="B4185" s="45" t="s">
        <v>33975</v>
      </c>
      <c r="C4185" s="51" t="s">
        <v>33977</v>
      </c>
      <c r="D4185" s="51"/>
      <c r="E4185" s="45" t="s">
        <v>33978</v>
      </c>
      <c r="F4185" s="45" t="s">
        <v>17759</v>
      </c>
      <c r="G4185" s="45" t="s">
        <v>50584</v>
      </c>
      <c r="H4185" s="56"/>
      <c r="I4185" s="56" t="s">
        <v>50564</v>
      </c>
      <c r="J4185" s="56"/>
      <c r="K4185" s="50"/>
      <c r="L4185" s="56" t="s">
        <v>56716</v>
      </c>
    </row>
    <row r="4186" spans="1:12" s="37" customFormat="1" ht="11.25" x14ac:dyDescent="0.2">
      <c r="A4186" s="46" t="s">
        <v>8577</v>
      </c>
      <c r="B4186" s="46" t="s">
        <v>53406</v>
      </c>
      <c r="C4186" s="58" t="str">
        <f>"10888705"</f>
        <v>10888705</v>
      </c>
      <c r="D4186" s="58" t="str">
        <f>"15327604"</f>
        <v>15327604</v>
      </c>
      <c r="E4186" s="46" t="s">
        <v>689</v>
      </c>
      <c r="F4186" s="46" t="s">
        <v>17759</v>
      </c>
      <c r="G4186" s="46" t="s">
        <v>50584</v>
      </c>
      <c r="H4186" s="48" t="s">
        <v>56716</v>
      </c>
      <c r="I4186" s="48" t="s">
        <v>50564</v>
      </c>
      <c r="J4186" s="48"/>
      <c r="K4186" s="50" t="s">
        <v>56716</v>
      </c>
      <c r="L4186" s="48" t="s">
        <v>56716</v>
      </c>
    </row>
    <row r="4187" spans="1:12" s="37" customFormat="1" ht="11.25" x14ac:dyDescent="0.2">
      <c r="A4187" s="45" t="s">
        <v>33985</v>
      </c>
      <c r="B4187" s="45" t="s">
        <v>33987</v>
      </c>
      <c r="C4187" s="51" t="s">
        <v>33989</v>
      </c>
      <c r="D4187" s="51" t="s">
        <v>33988</v>
      </c>
      <c r="E4187" s="45" t="s">
        <v>970</v>
      </c>
      <c r="F4187" s="45" t="s">
        <v>17759</v>
      </c>
      <c r="G4187" s="45" t="s">
        <v>50584</v>
      </c>
      <c r="H4187" s="56"/>
      <c r="I4187" s="56" t="s">
        <v>50564</v>
      </c>
      <c r="J4187" s="56"/>
      <c r="K4187" s="50"/>
      <c r="L4187" s="56" t="s">
        <v>56716</v>
      </c>
    </row>
    <row r="4188" spans="1:12" s="37" customFormat="1" ht="11.25" x14ac:dyDescent="0.2">
      <c r="A4188" s="46" t="s">
        <v>16537</v>
      </c>
      <c r="B4188" s="46" t="s">
        <v>53407</v>
      </c>
      <c r="C4188" s="58" t="str">
        <f>"22808000"</f>
        <v>22808000</v>
      </c>
      <c r="D4188" s="58" t="str">
        <f>"22808000"</f>
        <v>22808000</v>
      </c>
      <c r="E4188" s="46" t="s">
        <v>56167</v>
      </c>
      <c r="F4188" s="46" t="s">
        <v>17991</v>
      </c>
      <c r="G4188" s="46" t="s">
        <v>50584</v>
      </c>
      <c r="H4188" s="48" t="s">
        <v>56716</v>
      </c>
      <c r="I4188" s="48" t="s">
        <v>50564</v>
      </c>
      <c r="J4188" s="48"/>
      <c r="K4188" s="50"/>
      <c r="L4188" s="48" t="s">
        <v>56716</v>
      </c>
    </row>
    <row r="4189" spans="1:12" s="37" customFormat="1" ht="11.25" x14ac:dyDescent="0.2">
      <c r="A4189" s="46" t="s">
        <v>6277</v>
      </c>
      <c r="B4189" s="46" t="s">
        <v>53408</v>
      </c>
      <c r="C4189" s="58" t="str">
        <f>"10658483"</f>
        <v>10658483</v>
      </c>
      <c r="D4189" s="58" t="str">
        <f>"15432688"</f>
        <v>15432688</v>
      </c>
      <c r="E4189" s="46" t="s">
        <v>6280</v>
      </c>
      <c r="F4189" s="46" t="s">
        <v>17759</v>
      </c>
      <c r="G4189" s="46" t="s">
        <v>50584</v>
      </c>
      <c r="H4189" s="48" t="s">
        <v>56716</v>
      </c>
      <c r="I4189" s="48" t="s">
        <v>50564</v>
      </c>
      <c r="J4189" s="48"/>
      <c r="K4189" s="50"/>
      <c r="L4189" s="48" t="s">
        <v>56716</v>
      </c>
    </row>
    <row r="4190" spans="1:12" s="37" customFormat="1" ht="11.25" x14ac:dyDescent="0.2">
      <c r="A4190" s="46" t="s">
        <v>10652</v>
      </c>
      <c r="B4190" s="46" t="s">
        <v>53409</v>
      </c>
      <c r="C4190" s="58" t="str">
        <f>"1214021X"</f>
        <v>1214021X</v>
      </c>
      <c r="D4190" s="58" t="str">
        <f>"12140287"</f>
        <v>12140287</v>
      </c>
      <c r="E4190" s="46" t="s">
        <v>10655</v>
      </c>
      <c r="F4190" s="46" t="s">
        <v>18158</v>
      </c>
      <c r="G4190" s="46" t="s">
        <v>50584</v>
      </c>
      <c r="H4190" s="48" t="s">
        <v>56716</v>
      </c>
      <c r="I4190" s="48" t="s">
        <v>50564</v>
      </c>
      <c r="J4190" s="48"/>
      <c r="K4190" s="50"/>
      <c r="L4190" s="48"/>
    </row>
    <row r="4191" spans="1:12" s="37" customFormat="1" ht="11.25" x14ac:dyDescent="0.2">
      <c r="A4191" s="45" t="s">
        <v>34003</v>
      </c>
      <c r="B4191" s="45" t="s">
        <v>34005</v>
      </c>
      <c r="C4191" s="51"/>
      <c r="D4191" s="51" t="s">
        <v>34006</v>
      </c>
      <c r="E4191" s="45" t="s">
        <v>34007</v>
      </c>
      <c r="F4191" s="45" t="s">
        <v>17759</v>
      </c>
      <c r="G4191" s="45" t="s">
        <v>50584</v>
      </c>
      <c r="H4191" s="56"/>
      <c r="I4191" s="56" t="s">
        <v>50564</v>
      </c>
      <c r="J4191" s="56"/>
      <c r="K4191" s="50"/>
      <c r="L4191" s="56" t="s">
        <v>56716</v>
      </c>
    </row>
    <row r="4192" spans="1:12" s="37" customFormat="1" ht="11.25" x14ac:dyDescent="0.2">
      <c r="A4192" s="46" t="s">
        <v>2110</v>
      </c>
      <c r="B4192" s="46" t="s">
        <v>53410</v>
      </c>
      <c r="C4192" s="58" t="str">
        <f>"03928543"</f>
        <v>03928543</v>
      </c>
      <c r="D4192" s="58" t="str">
        <f>""</f>
        <v/>
      </c>
      <c r="E4192" s="46" t="s">
        <v>2112</v>
      </c>
      <c r="F4192" s="46" t="s">
        <v>17991</v>
      </c>
      <c r="G4192" s="46" t="s">
        <v>50602</v>
      </c>
      <c r="H4192" s="48" t="s">
        <v>56716</v>
      </c>
      <c r="I4192" s="48" t="s">
        <v>50564</v>
      </c>
      <c r="J4192" s="48"/>
      <c r="K4192" s="50"/>
      <c r="L4192" s="48"/>
    </row>
    <row r="4193" spans="1:12" s="37" customFormat="1" ht="11.25" x14ac:dyDescent="0.2">
      <c r="A4193" s="46" t="s">
        <v>9627</v>
      </c>
      <c r="B4193" s="46" t="s">
        <v>53411</v>
      </c>
      <c r="C4193" s="58" t="str">
        <f>"12341983"</f>
        <v>12341983</v>
      </c>
      <c r="D4193" s="58" t="str">
        <f>""</f>
        <v/>
      </c>
      <c r="E4193" s="46" t="s">
        <v>167</v>
      </c>
      <c r="F4193" s="46" t="s">
        <v>18158</v>
      </c>
      <c r="G4193" s="46" t="s">
        <v>50584</v>
      </c>
      <c r="H4193" s="48" t="s">
        <v>56716</v>
      </c>
      <c r="I4193" s="48" t="s">
        <v>50564</v>
      </c>
      <c r="J4193" s="48"/>
      <c r="K4193" s="50" t="s">
        <v>56716</v>
      </c>
      <c r="L4193" s="48" t="s">
        <v>56716</v>
      </c>
    </row>
    <row r="4194" spans="1:12" s="37" customFormat="1" ht="11.25" x14ac:dyDescent="0.2">
      <c r="A4194" s="46" t="s">
        <v>5058</v>
      </c>
      <c r="B4194" s="46" t="s">
        <v>53412</v>
      </c>
      <c r="C4194" s="58" t="str">
        <f>"07334648"</f>
        <v>07334648</v>
      </c>
      <c r="D4194" s="58" t="str">
        <f>"15524523"</f>
        <v>15524523</v>
      </c>
      <c r="E4194" s="46" t="s">
        <v>493</v>
      </c>
      <c r="F4194" s="46" t="s">
        <v>17759</v>
      </c>
      <c r="G4194" s="46" t="s">
        <v>50584</v>
      </c>
      <c r="H4194" s="48" t="s">
        <v>56716</v>
      </c>
      <c r="I4194" s="48" t="s">
        <v>50564</v>
      </c>
      <c r="J4194" s="48"/>
      <c r="K4194" s="50"/>
      <c r="L4194" s="48" t="s">
        <v>56716</v>
      </c>
    </row>
    <row r="4195" spans="1:12" s="37" customFormat="1" ht="11.25" x14ac:dyDescent="0.2">
      <c r="A4195" s="45" t="s">
        <v>34020</v>
      </c>
      <c r="B4195" s="45" t="s">
        <v>34022</v>
      </c>
      <c r="C4195" s="51" t="s">
        <v>34024</v>
      </c>
      <c r="D4195" s="51"/>
      <c r="E4195" s="45" t="s">
        <v>34025</v>
      </c>
      <c r="F4195" s="45" t="s">
        <v>17759</v>
      </c>
      <c r="G4195" s="45" t="s">
        <v>50584</v>
      </c>
      <c r="H4195" s="56"/>
      <c r="I4195" s="56" t="s">
        <v>50564</v>
      </c>
      <c r="J4195" s="56"/>
      <c r="K4195" s="50"/>
      <c r="L4195" s="56" t="s">
        <v>56716</v>
      </c>
    </row>
    <row r="4196" spans="1:12" s="37" customFormat="1" ht="11.25" x14ac:dyDescent="0.2">
      <c r="A4196" s="46" t="s">
        <v>7283</v>
      </c>
      <c r="B4196" s="46" t="s">
        <v>53413</v>
      </c>
      <c r="C4196" s="58" t="str">
        <f>"13645072"</f>
        <v>13645072</v>
      </c>
      <c r="D4196" s="58" t="str">
        <f>"13652672"</f>
        <v>13652672</v>
      </c>
      <c r="E4196" s="46" t="s">
        <v>35</v>
      </c>
      <c r="F4196" s="46" t="s">
        <v>50646</v>
      </c>
      <c r="G4196" s="46" t="s">
        <v>50584</v>
      </c>
      <c r="H4196" s="48" t="s">
        <v>56716</v>
      </c>
      <c r="I4196" s="48" t="s">
        <v>50564</v>
      </c>
      <c r="J4196" s="48"/>
      <c r="K4196" s="50" t="s">
        <v>56716</v>
      </c>
      <c r="L4196" s="48" t="s">
        <v>56716</v>
      </c>
    </row>
    <row r="4197" spans="1:12" s="37" customFormat="1" ht="11.25" x14ac:dyDescent="0.2">
      <c r="A4197" s="45" t="s">
        <v>34033</v>
      </c>
      <c r="B4197" s="45" t="s">
        <v>34035</v>
      </c>
      <c r="C4197" s="51" t="s">
        <v>34038</v>
      </c>
      <c r="D4197" s="51" t="s">
        <v>34037</v>
      </c>
      <c r="E4197" s="45" t="s">
        <v>34039</v>
      </c>
      <c r="F4197" s="45" t="s">
        <v>18058</v>
      </c>
      <c r="G4197" s="45" t="s">
        <v>50584</v>
      </c>
      <c r="H4197" s="56"/>
      <c r="I4197" s="56" t="s">
        <v>50564</v>
      </c>
      <c r="J4197" s="56"/>
      <c r="K4197" s="50"/>
      <c r="L4197" s="56" t="s">
        <v>56716</v>
      </c>
    </row>
    <row r="4198" spans="1:12" s="37" customFormat="1" ht="11.25" x14ac:dyDescent="0.2">
      <c r="A4198" s="46" t="s">
        <v>15843</v>
      </c>
      <c r="B4198" s="46" t="s">
        <v>53414</v>
      </c>
      <c r="C4198" s="58" t="str">
        <f>""</f>
        <v/>
      </c>
      <c r="D4198" s="58" t="str">
        <f>"19204159"</f>
        <v>19204159</v>
      </c>
      <c r="E4198" s="46" t="s">
        <v>55918</v>
      </c>
      <c r="F4198" s="46" t="s">
        <v>18959</v>
      </c>
      <c r="G4198" s="46" t="s">
        <v>50584</v>
      </c>
      <c r="H4198" s="48" t="s">
        <v>56716</v>
      </c>
      <c r="I4198" s="48" t="s">
        <v>50564</v>
      </c>
      <c r="J4198" s="48"/>
      <c r="K4198" s="50"/>
      <c r="L4198" s="48"/>
    </row>
    <row r="4199" spans="1:12" s="37" customFormat="1" ht="11.25" x14ac:dyDescent="0.2">
      <c r="A4199" s="45" t="s">
        <v>34041</v>
      </c>
      <c r="B4199" s="45" t="s">
        <v>34043</v>
      </c>
      <c r="C4199" s="51" t="s">
        <v>34046</v>
      </c>
      <c r="D4199" s="51" t="s">
        <v>34045</v>
      </c>
      <c r="E4199" s="45" t="s">
        <v>367</v>
      </c>
      <c r="F4199" s="45" t="s">
        <v>17759</v>
      </c>
      <c r="G4199" s="45" t="s">
        <v>50584</v>
      </c>
      <c r="H4199" s="56"/>
      <c r="I4199" s="56" t="s">
        <v>50564</v>
      </c>
      <c r="J4199" s="56"/>
      <c r="K4199" s="50"/>
      <c r="L4199" s="56" t="s">
        <v>56716</v>
      </c>
    </row>
    <row r="4200" spans="1:12" s="37" customFormat="1" ht="11.25" x14ac:dyDescent="0.2">
      <c r="A4200" s="46" t="s">
        <v>9396</v>
      </c>
      <c r="B4200" s="46" t="s">
        <v>53415</v>
      </c>
      <c r="C4200" s="58" t="str">
        <f>"1537064X"</f>
        <v>1537064X</v>
      </c>
      <c r="D4200" s="58" t="str">
        <f>""</f>
        <v/>
      </c>
      <c r="E4200" s="46" t="s">
        <v>9396</v>
      </c>
      <c r="F4200" s="46" t="s">
        <v>17759</v>
      </c>
      <c r="G4200" s="46" t="s">
        <v>50584</v>
      </c>
      <c r="H4200" s="48" t="s">
        <v>56716</v>
      </c>
      <c r="I4200" s="48" t="s">
        <v>50564</v>
      </c>
      <c r="J4200" s="48"/>
      <c r="K4200" s="50"/>
      <c r="L4200" s="48"/>
    </row>
    <row r="4201" spans="1:12" s="37" customFormat="1" ht="11.25" x14ac:dyDescent="0.2">
      <c r="A4201" s="45" t="s">
        <v>34055</v>
      </c>
      <c r="B4201" s="45" t="s">
        <v>34057</v>
      </c>
      <c r="C4201" s="51" t="s">
        <v>34060</v>
      </c>
      <c r="D4201" s="51" t="s">
        <v>34059</v>
      </c>
      <c r="E4201" s="45" t="s">
        <v>22893</v>
      </c>
      <c r="F4201" s="45" t="s">
        <v>50646</v>
      </c>
      <c r="G4201" s="45" t="s">
        <v>50584</v>
      </c>
      <c r="H4201" s="56"/>
      <c r="I4201" s="56" t="s">
        <v>50564</v>
      </c>
      <c r="J4201" s="56"/>
      <c r="K4201" s="50"/>
      <c r="L4201" s="56" t="s">
        <v>56716</v>
      </c>
    </row>
    <row r="4202" spans="1:12" s="37" customFormat="1" ht="11.25" x14ac:dyDescent="0.2">
      <c r="A4202" s="46" t="s">
        <v>55978</v>
      </c>
      <c r="B4202" s="46" t="s">
        <v>55979</v>
      </c>
      <c r="C4202" s="58" t="str">
        <f>""</f>
        <v/>
      </c>
      <c r="D4202" s="58" t="str">
        <f>"22147861 "</f>
        <v xml:space="preserve">22147861 </v>
      </c>
      <c r="E4202" s="46" t="s">
        <v>6159</v>
      </c>
      <c r="F4202" s="46" t="s">
        <v>18158</v>
      </c>
      <c r="G4202" s="46" t="s">
        <v>50584</v>
      </c>
      <c r="H4202" s="48" t="s">
        <v>56716</v>
      </c>
      <c r="I4202" s="48" t="s">
        <v>50564</v>
      </c>
      <c r="J4202" s="48" t="s">
        <v>56716</v>
      </c>
      <c r="K4202" s="50" t="s">
        <v>56716</v>
      </c>
      <c r="L4202" s="48"/>
    </row>
    <row r="4203" spans="1:12" s="37" customFormat="1" ht="11.25" x14ac:dyDescent="0.2">
      <c r="A4203" s="46" t="s">
        <v>2397</v>
      </c>
      <c r="B4203" s="46" t="s">
        <v>53416</v>
      </c>
      <c r="C4203" s="58" t="str">
        <f>"0260437X"</f>
        <v>0260437X</v>
      </c>
      <c r="D4203" s="58" t="str">
        <f>"10991263"</f>
        <v>10991263</v>
      </c>
      <c r="E4203" s="46" t="s">
        <v>751</v>
      </c>
      <c r="F4203" s="46" t="s">
        <v>50646</v>
      </c>
      <c r="G4203" s="46" t="s">
        <v>50584</v>
      </c>
      <c r="H4203" s="48" t="s">
        <v>56716</v>
      </c>
      <c r="I4203" s="48" t="s">
        <v>50564</v>
      </c>
      <c r="J4203" s="48" t="s">
        <v>56716</v>
      </c>
      <c r="K4203" s="50" t="s">
        <v>56716</v>
      </c>
      <c r="L4203" s="48" t="s">
        <v>56716</v>
      </c>
    </row>
    <row r="4204" spans="1:12" s="37" customFormat="1" ht="11.25" x14ac:dyDescent="0.2">
      <c r="A4204" s="45" t="s">
        <v>34066</v>
      </c>
      <c r="B4204" s="45" t="s">
        <v>34068</v>
      </c>
      <c r="C4204" s="51" t="s">
        <v>34070</v>
      </c>
      <c r="D4204" s="51" t="s">
        <v>34069</v>
      </c>
      <c r="E4204" s="45" t="s">
        <v>18404</v>
      </c>
      <c r="F4204" s="45" t="s">
        <v>17759</v>
      </c>
      <c r="G4204" s="45" t="s">
        <v>50584</v>
      </c>
      <c r="H4204" s="56"/>
      <c r="I4204" s="56" t="s">
        <v>50564</v>
      </c>
      <c r="J4204" s="56"/>
      <c r="K4204" s="50"/>
      <c r="L4204" s="56" t="s">
        <v>56716</v>
      </c>
    </row>
    <row r="4205" spans="1:12" s="37" customFormat="1" ht="11.25" x14ac:dyDescent="0.2">
      <c r="A4205" s="46" t="s">
        <v>2538</v>
      </c>
      <c r="B4205" s="46" t="s">
        <v>53417</v>
      </c>
      <c r="C4205" s="58" t="str">
        <f>"08835403"</f>
        <v>08835403</v>
      </c>
      <c r="D4205" s="58" t="str">
        <f>"15328406"</f>
        <v>15328406</v>
      </c>
      <c r="E4205" s="46" t="s">
        <v>2296</v>
      </c>
      <c r="F4205" s="46" t="s">
        <v>17759</v>
      </c>
      <c r="G4205" s="46" t="s">
        <v>50584</v>
      </c>
      <c r="H4205" s="48" t="s">
        <v>56716</v>
      </c>
      <c r="I4205" s="48" t="s">
        <v>50564</v>
      </c>
      <c r="J4205" s="48"/>
      <c r="K4205" s="50" t="s">
        <v>56716</v>
      </c>
      <c r="L4205" s="48" t="s">
        <v>56716</v>
      </c>
    </row>
    <row r="4206" spans="1:12" s="37" customFormat="1" ht="11.25" x14ac:dyDescent="0.2">
      <c r="A4206" s="46" t="s">
        <v>16584</v>
      </c>
      <c r="B4206" s="46" t="s">
        <v>53418</v>
      </c>
      <c r="C4206" s="58" t="str">
        <f>"23221984"</f>
        <v>23221984</v>
      </c>
      <c r="D4206" s="58" t="str">
        <f>"23222271"</f>
        <v>23222271</v>
      </c>
      <c r="E4206" s="46" t="s">
        <v>4553</v>
      </c>
      <c r="F4206" s="46" t="s">
        <v>18232</v>
      </c>
      <c r="G4206" s="46" t="s">
        <v>50584</v>
      </c>
      <c r="H4206" s="48" t="s">
        <v>56716</v>
      </c>
      <c r="I4206" s="48" t="s">
        <v>50564</v>
      </c>
      <c r="J4206" s="48"/>
      <c r="K4206" s="50"/>
      <c r="L4206" s="48"/>
    </row>
    <row r="4207" spans="1:12" s="37" customFormat="1" ht="11.25" x14ac:dyDescent="0.2">
      <c r="A4207" s="46" t="s">
        <v>56105</v>
      </c>
      <c r="B4207" s="46" t="s">
        <v>56106</v>
      </c>
      <c r="C4207" s="58" t="str">
        <f>"22149635"</f>
        <v>22149635</v>
      </c>
      <c r="D4207" s="58" t="str">
        <f>""</f>
        <v/>
      </c>
      <c r="E4207" s="46" t="s">
        <v>12162</v>
      </c>
      <c r="F4207" s="46" t="s">
        <v>20446</v>
      </c>
      <c r="G4207" s="46" t="s">
        <v>50584</v>
      </c>
      <c r="H4207" s="48" t="s">
        <v>56716</v>
      </c>
      <c r="I4207" s="48" t="s">
        <v>50564</v>
      </c>
      <c r="J4207" s="48" t="s">
        <v>56716</v>
      </c>
      <c r="K4207" s="50" t="s">
        <v>56716</v>
      </c>
      <c r="L4207" s="48"/>
    </row>
    <row r="4208" spans="1:12" s="37" customFormat="1" ht="11.25" x14ac:dyDescent="0.2">
      <c r="A4208" s="46" t="s">
        <v>8001</v>
      </c>
      <c r="B4208" s="46" t="s">
        <v>53419</v>
      </c>
      <c r="C4208" s="58" t="str">
        <f>"14347229"</f>
        <v>14347229</v>
      </c>
      <c r="D4208" s="58" t="str">
        <f>"16190904"</f>
        <v>16190904</v>
      </c>
      <c r="E4208" s="46" t="s">
        <v>23335</v>
      </c>
      <c r="F4208" s="46" t="s">
        <v>18242</v>
      </c>
      <c r="G4208" s="46" t="s">
        <v>50584</v>
      </c>
      <c r="H4208" s="48" t="s">
        <v>56716</v>
      </c>
      <c r="I4208" s="48" t="s">
        <v>50564</v>
      </c>
      <c r="J4208" s="48" t="s">
        <v>56716</v>
      </c>
      <c r="K4208" s="50" t="s">
        <v>56716</v>
      </c>
      <c r="L4208" s="48" t="s">
        <v>56716</v>
      </c>
    </row>
    <row r="4209" spans="1:12" s="37" customFormat="1" ht="11.25" x14ac:dyDescent="0.2">
      <c r="A4209" s="46" t="s">
        <v>8016</v>
      </c>
      <c r="B4209" s="46" t="s">
        <v>53420</v>
      </c>
      <c r="C4209" s="58" t="str">
        <f>"10286020"</f>
        <v>10286020</v>
      </c>
      <c r="D4209" s="58" t="str">
        <f>"14772213"</f>
        <v>14772213</v>
      </c>
      <c r="E4209" s="46" t="s">
        <v>310</v>
      </c>
      <c r="F4209" s="46" t="s">
        <v>50646</v>
      </c>
      <c r="G4209" s="46" t="s">
        <v>50584</v>
      </c>
      <c r="H4209" s="48" t="s">
        <v>56716</v>
      </c>
      <c r="I4209" s="48" t="s">
        <v>50564</v>
      </c>
      <c r="J4209" s="48"/>
      <c r="K4209" s="50" t="s">
        <v>56716</v>
      </c>
      <c r="L4209" s="48" t="s">
        <v>56716</v>
      </c>
    </row>
    <row r="4210" spans="1:12" s="37" customFormat="1" ht="11.25" x14ac:dyDescent="0.2">
      <c r="A4210" s="46" t="s">
        <v>5852</v>
      </c>
      <c r="B4210" s="46" t="s">
        <v>53421</v>
      </c>
      <c r="C4210" s="58" t="str">
        <f>"10580468"</f>
        <v>10580468</v>
      </c>
      <c r="D4210" s="58" t="str">
        <f>"15737330"</f>
        <v>15737330</v>
      </c>
      <c r="E4210" s="46" t="s">
        <v>56305</v>
      </c>
      <c r="F4210" s="46" t="s">
        <v>17759</v>
      </c>
      <c r="G4210" s="46" t="s">
        <v>50584</v>
      </c>
      <c r="H4210" s="48" t="s">
        <v>56716</v>
      </c>
      <c r="I4210" s="48" t="s">
        <v>50564</v>
      </c>
      <c r="J4210" s="48" t="s">
        <v>56716</v>
      </c>
      <c r="K4210" s="50" t="s">
        <v>56716</v>
      </c>
      <c r="L4210" s="48" t="s">
        <v>56716</v>
      </c>
    </row>
    <row r="4211" spans="1:12" s="37" customFormat="1" ht="11.25" x14ac:dyDescent="0.2">
      <c r="A4211" s="46" t="s">
        <v>2626</v>
      </c>
      <c r="B4211" s="46" t="s">
        <v>53422</v>
      </c>
      <c r="C4211" s="58" t="str">
        <f>"02770903"</f>
        <v>02770903</v>
      </c>
      <c r="D4211" s="58" t="str">
        <f>"15324303"</f>
        <v>15324303</v>
      </c>
      <c r="E4211" s="46" t="s">
        <v>291</v>
      </c>
      <c r="F4211" s="46" t="s">
        <v>17759</v>
      </c>
      <c r="G4211" s="46" t="s">
        <v>50584</v>
      </c>
      <c r="H4211" s="48" t="s">
        <v>56716</v>
      </c>
      <c r="I4211" s="48" t="s">
        <v>50564</v>
      </c>
      <c r="J4211" s="48"/>
      <c r="K4211" s="50"/>
      <c r="L4211" s="48" t="s">
        <v>56716</v>
      </c>
    </row>
    <row r="4212" spans="1:12" s="37" customFormat="1" ht="11.25" x14ac:dyDescent="0.2">
      <c r="A4212" s="46" t="s">
        <v>56241</v>
      </c>
      <c r="B4212" s="46" t="s">
        <v>56242</v>
      </c>
      <c r="C4212" s="58" t="str">
        <f>"11786965"</f>
        <v>11786965</v>
      </c>
      <c r="D4212" s="58" t="str">
        <f>"11786965"</f>
        <v>11786965</v>
      </c>
      <c r="E4212" s="46" t="s">
        <v>11079</v>
      </c>
      <c r="F4212" s="46" t="s">
        <v>19483</v>
      </c>
      <c r="G4212" s="46" t="s">
        <v>50584</v>
      </c>
      <c r="H4212" s="48" t="s">
        <v>56716</v>
      </c>
      <c r="I4212" s="48" t="s">
        <v>50564</v>
      </c>
      <c r="J4212" s="48"/>
      <c r="K4212" s="50"/>
      <c r="L4212" s="48"/>
    </row>
    <row r="4213" spans="1:12" s="37" customFormat="1" ht="11.25" x14ac:dyDescent="0.2">
      <c r="A4213" s="46" t="s">
        <v>15102</v>
      </c>
      <c r="B4213" s="46" t="s">
        <v>53423</v>
      </c>
      <c r="C4213" s="58" t="str">
        <f>"21501297"</f>
        <v>21501297</v>
      </c>
      <c r="D4213" s="58" t="str">
        <f>"21501300"</f>
        <v>21501300</v>
      </c>
      <c r="E4213" s="46" t="s">
        <v>97</v>
      </c>
      <c r="F4213" s="46" t="s">
        <v>50646</v>
      </c>
      <c r="G4213" s="46" t="s">
        <v>50584</v>
      </c>
      <c r="H4213" s="48" t="s">
        <v>56716</v>
      </c>
      <c r="I4213" s="48" t="s">
        <v>50564</v>
      </c>
      <c r="J4213" s="48" t="s">
        <v>56716</v>
      </c>
      <c r="K4213" s="50"/>
      <c r="L4213" s="48"/>
    </row>
    <row r="4214" spans="1:12" s="37" customFormat="1" ht="11.25" x14ac:dyDescent="0.2">
      <c r="A4214" s="46" t="s">
        <v>11697</v>
      </c>
      <c r="B4214" s="46" t="s">
        <v>53424</v>
      </c>
      <c r="C4214" s="58" t="str">
        <f>"13403478"</f>
        <v>13403478</v>
      </c>
      <c r="D4214" s="58" t="str">
        <f>"18803873"</f>
        <v>18803873</v>
      </c>
      <c r="E4214" s="46" t="s">
        <v>11700</v>
      </c>
      <c r="F4214" s="46" t="s">
        <v>18242</v>
      </c>
      <c r="G4214" s="46" t="s">
        <v>50584</v>
      </c>
      <c r="H4214" s="48" t="s">
        <v>56716</v>
      </c>
      <c r="I4214" s="48" t="s">
        <v>50564</v>
      </c>
      <c r="J4214" s="48"/>
      <c r="K4214" s="50"/>
      <c r="L4214" s="48" t="s">
        <v>56716</v>
      </c>
    </row>
    <row r="4215" spans="1:12" s="37" customFormat="1" ht="11.25" x14ac:dyDescent="0.2">
      <c r="A4215" s="45" t="s">
        <v>34102</v>
      </c>
      <c r="B4215" s="45" t="s">
        <v>34104</v>
      </c>
      <c r="C4215" s="51" t="s">
        <v>34107</v>
      </c>
      <c r="D4215" s="51" t="s">
        <v>34106</v>
      </c>
      <c r="E4215" s="45" t="s">
        <v>34108</v>
      </c>
      <c r="F4215" s="45" t="s">
        <v>17759</v>
      </c>
      <c r="G4215" s="45" t="s">
        <v>50584</v>
      </c>
      <c r="H4215" s="56"/>
      <c r="I4215" s="56" t="s">
        <v>50564</v>
      </c>
      <c r="J4215" s="56"/>
      <c r="K4215" s="50"/>
      <c r="L4215" s="56" t="s">
        <v>56716</v>
      </c>
    </row>
    <row r="4216" spans="1:12" s="37" customFormat="1" ht="11.25" x14ac:dyDescent="0.2">
      <c r="A4216" s="46" t="s">
        <v>2135</v>
      </c>
      <c r="B4216" s="46" t="s">
        <v>53425</v>
      </c>
      <c r="C4216" s="58" t="str">
        <f>"01677764"</f>
        <v>01677764</v>
      </c>
      <c r="D4216" s="58" t="str">
        <f>"15730662"</f>
        <v>15730662</v>
      </c>
      <c r="E4216" s="46" t="s">
        <v>18876</v>
      </c>
      <c r="F4216" s="46" t="s">
        <v>18001</v>
      </c>
      <c r="G4216" s="46" t="s">
        <v>50584</v>
      </c>
      <c r="H4216" s="48" t="s">
        <v>56716</v>
      </c>
      <c r="I4216" s="48" t="s">
        <v>50564</v>
      </c>
      <c r="J4216" s="48"/>
      <c r="K4216" s="50" t="s">
        <v>56716</v>
      </c>
      <c r="L4216" s="48"/>
    </row>
    <row r="4217" spans="1:12" s="37" customFormat="1" ht="11.25" x14ac:dyDescent="0.2">
      <c r="A4217" s="46" t="s">
        <v>13273</v>
      </c>
      <c r="B4217" s="46" t="s">
        <v>53426</v>
      </c>
      <c r="C4217" s="58" t="str">
        <f>""</f>
        <v/>
      </c>
      <c r="D4217" s="58" t="str">
        <f>"19416911"</f>
        <v>19416911</v>
      </c>
      <c r="E4217" s="46" t="s">
        <v>13275</v>
      </c>
      <c r="F4217" s="46" t="s">
        <v>17759</v>
      </c>
      <c r="G4217" s="46" t="s">
        <v>50584</v>
      </c>
      <c r="H4217" s="48" t="s">
        <v>56716</v>
      </c>
      <c r="I4217" s="48" t="s">
        <v>50564</v>
      </c>
      <c r="J4217" s="48"/>
      <c r="K4217" s="50"/>
      <c r="L4217" s="48"/>
    </row>
    <row r="4218" spans="1:12" s="37" customFormat="1" ht="11.25" x14ac:dyDescent="0.2">
      <c r="A4218" s="45" t="s">
        <v>34110</v>
      </c>
      <c r="B4218" s="45" t="s">
        <v>34112</v>
      </c>
      <c r="C4218" s="51" t="s">
        <v>34114</v>
      </c>
      <c r="D4218" s="51" t="s">
        <v>34113</v>
      </c>
      <c r="E4218" s="45" t="s">
        <v>21721</v>
      </c>
      <c r="F4218" s="45" t="s">
        <v>17759</v>
      </c>
      <c r="G4218" s="45" t="s">
        <v>50584</v>
      </c>
      <c r="H4218" s="56"/>
      <c r="I4218" s="56" t="s">
        <v>50564</v>
      </c>
      <c r="J4218" s="56"/>
      <c r="K4218" s="50"/>
      <c r="L4218" s="56" t="s">
        <v>56716</v>
      </c>
    </row>
    <row r="4219" spans="1:12" s="37" customFormat="1" ht="11.25" x14ac:dyDescent="0.2">
      <c r="A4219" s="46" t="s">
        <v>2116</v>
      </c>
      <c r="B4219" s="46" t="s">
        <v>53427</v>
      </c>
      <c r="C4219" s="58" t="str">
        <f>"01623257"</f>
        <v>01623257</v>
      </c>
      <c r="D4219" s="58" t="str">
        <f>"15733432"</f>
        <v>15733432</v>
      </c>
      <c r="E4219" s="46" t="s">
        <v>56305</v>
      </c>
      <c r="F4219" s="46" t="s">
        <v>17759</v>
      </c>
      <c r="G4219" s="46" t="s">
        <v>50584</v>
      </c>
      <c r="H4219" s="48" t="s">
        <v>56716</v>
      </c>
      <c r="I4219" s="48" t="s">
        <v>50564</v>
      </c>
      <c r="J4219" s="48" t="s">
        <v>56716</v>
      </c>
      <c r="K4219" s="50" t="s">
        <v>56716</v>
      </c>
      <c r="L4219" s="48" t="s">
        <v>56716</v>
      </c>
    </row>
    <row r="4220" spans="1:12" s="37" customFormat="1" ht="11.25" x14ac:dyDescent="0.2">
      <c r="A4220" s="46" t="s">
        <v>5213</v>
      </c>
      <c r="B4220" s="46" t="s">
        <v>53428</v>
      </c>
      <c r="C4220" s="58" t="str">
        <f>"08968411"</f>
        <v>08968411</v>
      </c>
      <c r="D4220" s="58" t="str">
        <f>"10959157"</f>
        <v>10959157</v>
      </c>
      <c r="E4220" s="46" t="s">
        <v>601</v>
      </c>
      <c r="F4220" s="46" t="s">
        <v>50646</v>
      </c>
      <c r="G4220" s="46" t="s">
        <v>50584</v>
      </c>
      <c r="H4220" s="48" t="s">
        <v>56716</v>
      </c>
      <c r="I4220" s="48" t="s">
        <v>50564</v>
      </c>
      <c r="J4220" s="48" t="s">
        <v>56716</v>
      </c>
      <c r="K4220" s="50" t="s">
        <v>56716</v>
      </c>
      <c r="L4220" s="48" t="s">
        <v>56716</v>
      </c>
    </row>
    <row r="4221" spans="1:12" s="37" customFormat="1" ht="11.25" x14ac:dyDescent="0.2">
      <c r="A4221" s="45" t="s">
        <v>34125</v>
      </c>
      <c r="B4221" s="45" t="s">
        <v>34127</v>
      </c>
      <c r="C4221" s="51" t="s">
        <v>34129</v>
      </c>
      <c r="D4221" s="51"/>
      <c r="E4221" s="45" t="s">
        <v>34130</v>
      </c>
      <c r="F4221" s="45" t="s">
        <v>17759</v>
      </c>
      <c r="G4221" s="45" t="s">
        <v>50584</v>
      </c>
      <c r="H4221" s="56"/>
      <c r="I4221" s="56" t="s">
        <v>50564</v>
      </c>
      <c r="J4221" s="56"/>
      <c r="K4221" s="50"/>
      <c r="L4221" s="56" t="s">
        <v>56716</v>
      </c>
    </row>
    <row r="4222" spans="1:12" s="37" customFormat="1" ht="11.25" x14ac:dyDescent="0.2">
      <c r="A4222" s="45" t="s">
        <v>34132</v>
      </c>
      <c r="B4222" s="45" t="s">
        <v>34134</v>
      </c>
      <c r="C4222" s="51" t="s">
        <v>34136</v>
      </c>
      <c r="D4222" s="51" t="s">
        <v>34135</v>
      </c>
      <c r="E4222" s="45" t="s">
        <v>34137</v>
      </c>
      <c r="F4222" s="45" t="s">
        <v>34138</v>
      </c>
      <c r="G4222" s="45" t="s">
        <v>50584</v>
      </c>
      <c r="H4222" s="56"/>
      <c r="I4222" s="56" t="s">
        <v>50564</v>
      </c>
      <c r="J4222" s="56"/>
      <c r="K4222" s="50"/>
      <c r="L4222" s="56" t="s">
        <v>56716</v>
      </c>
    </row>
    <row r="4223" spans="1:12" s="37" customFormat="1" ht="11.25" x14ac:dyDescent="0.2">
      <c r="A4223" s="46" t="s">
        <v>15249</v>
      </c>
      <c r="B4223" s="46" t="s">
        <v>53429</v>
      </c>
      <c r="C4223" s="58" t="str">
        <f>"09759476"</f>
        <v>09759476</v>
      </c>
      <c r="D4223" s="58" t="str">
        <f>"09762809"</f>
        <v>09762809</v>
      </c>
      <c r="E4223" s="46" t="s">
        <v>19057</v>
      </c>
      <c r="F4223" s="46" t="s">
        <v>20446</v>
      </c>
      <c r="G4223" s="46" t="s">
        <v>50584</v>
      </c>
      <c r="H4223" s="48" t="s">
        <v>56716</v>
      </c>
      <c r="I4223" s="48" t="s">
        <v>50564</v>
      </c>
      <c r="J4223" s="48" t="s">
        <v>56716</v>
      </c>
      <c r="K4223" s="50"/>
      <c r="L4223" s="48"/>
    </row>
    <row r="4224" spans="1:12" s="37" customFormat="1" ht="11.25" x14ac:dyDescent="0.2">
      <c r="A4224" s="46" t="s">
        <v>7405</v>
      </c>
      <c r="B4224" s="46" t="s">
        <v>53430</v>
      </c>
      <c r="C4224" s="58" t="str">
        <f>"11070625"</f>
        <v>11070625</v>
      </c>
      <c r="D4224" s="58" t="str">
        <f>""</f>
        <v/>
      </c>
      <c r="E4224" s="46" t="s">
        <v>7407</v>
      </c>
      <c r="F4224" s="46" t="s">
        <v>20969</v>
      </c>
      <c r="G4224" s="46" t="s">
        <v>50584</v>
      </c>
      <c r="H4224" s="48" t="s">
        <v>56716</v>
      </c>
      <c r="I4224" s="48" t="s">
        <v>50564</v>
      </c>
      <c r="J4224" s="48"/>
      <c r="K4224" s="50"/>
      <c r="L4224" s="48" t="s">
        <v>56716</v>
      </c>
    </row>
    <row r="4225" spans="1:12" s="37" customFormat="1" ht="11.25" x14ac:dyDescent="0.2">
      <c r="A4225" s="46" t="s">
        <v>14450</v>
      </c>
      <c r="B4225" s="46" t="s">
        <v>53431</v>
      </c>
      <c r="C4225" s="58" t="str">
        <f>"15614107"</f>
        <v>15614107</v>
      </c>
      <c r="D4225" s="58" t="str">
        <f>""</f>
        <v/>
      </c>
      <c r="E4225" s="46" t="s">
        <v>14452</v>
      </c>
      <c r="F4225" s="46" t="s">
        <v>18232</v>
      </c>
      <c r="G4225" s="46" t="s">
        <v>50609</v>
      </c>
      <c r="H4225" s="48" t="s">
        <v>56716</v>
      </c>
      <c r="I4225" s="48" t="s">
        <v>50564</v>
      </c>
      <c r="J4225" s="48"/>
      <c r="K4225" s="50"/>
      <c r="L4225" s="48"/>
    </row>
    <row r="4226" spans="1:12" s="37" customFormat="1" ht="11.25" x14ac:dyDescent="0.2">
      <c r="A4226" s="46" t="s">
        <v>6681</v>
      </c>
      <c r="B4226" s="46" t="s">
        <v>53432</v>
      </c>
      <c r="C4226" s="58" t="str">
        <f>"10538127"</f>
        <v>10538127</v>
      </c>
      <c r="D4226" s="58" t="str">
        <f>"18786324"</f>
        <v>18786324</v>
      </c>
      <c r="E4226" s="46" t="s">
        <v>920</v>
      </c>
      <c r="F4226" s="46" t="s">
        <v>18001</v>
      </c>
      <c r="G4226" s="46" t="s">
        <v>50584</v>
      </c>
      <c r="H4226" s="48" t="s">
        <v>56716</v>
      </c>
      <c r="I4226" s="48" t="s">
        <v>50564</v>
      </c>
      <c r="J4226" s="48" t="s">
        <v>56716</v>
      </c>
      <c r="K4226" s="50"/>
      <c r="L4226" s="48" t="s">
        <v>56716</v>
      </c>
    </row>
    <row r="4227" spans="1:12" s="37" customFormat="1" ht="11.25" x14ac:dyDescent="0.2">
      <c r="A4227" s="46" t="s">
        <v>2541</v>
      </c>
      <c r="B4227" s="46" t="s">
        <v>53433</v>
      </c>
      <c r="C4227" s="58" t="str">
        <f>"00219193"</f>
        <v>00219193</v>
      </c>
      <c r="D4227" s="58" t="str">
        <f>"10985530"</f>
        <v>10985530</v>
      </c>
      <c r="E4227" s="46" t="s">
        <v>441</v>
      </c>
      <c r="F4227" s="46" t="s">
        <v>17759</v>
      </c>
      <c r="G4227" s="46" t="s">
        <v>50584</v>
      </c>
      <c r="H4227" s="48" t="s">
        <v>56716</v>
      </c>
      <c r="I4227" s="48" t="s">
        <v>50564</v>
      </c>
      <c r="J4227" s="48" t="s">
        <v>56716</v>
      </c>
      <c r="K4227" s="50"/>
      <c r="L4227" s="48" t="s">
        <v>56716</v>
      </c>
    </row>
    <row r="4228" spans="1:12" s="37" customFormat="1" ht="11.25" x14ac:dyDescent="0.2">
      <c r="A4228" s="46" t="s">
        <v>9089</v>
      </c>
      <c r="B4228" s="46" t="s">
        <v>53434</v>
      </c>
      <c r="C4228" s="58" t="str">
        <f>"15982467"</f>
        <v>15982467</v>
      </c>
      <c r="D4228" s="58" t="str">
        <f>""</f>
        <v/>
      </c>
      <c r="E4228" s="46" t="s">
        <v>9091</v>
      </c>
      <c r="F4228" s="46" t="s">
        <v>50649</v>
      </c>
      <c r="G4228" s="46" t="s">
        <v>50607</v>
      </c>
      <c r="H4228" s="48" t="s">
        <v>56716</v>
      </c>
      <c r="I4228" s="48" t="s">
        <v>50564</v>
      </c>
      <c r="J4228" s="48"/>
      <c r="K4228" s="50"/>
      <c r="L4228" s="48"/>
    </row>
    <row r="4229" spans="1:12" s="37" customFormat="1" ht="11.25" x14ac:dyDescent="0.2">
      <c r="A4229" s="46" t="s">
        <v>17257</v>
      </c>
      <c r="B4229" s="46" t="s">
        <v>53435</v>
      </c>
      <c r="C4229" s="58" t="str">
        <f>"09760105"</f>
        <v>09760105</v>
      </c>
      <c r="D4229" s="58" t="str">
        <f>"09760113"</f>
        <v>09760113</v>
      </c>
      <c r="E4229" s="46" t="s">
        <v>19057</v>
      </c>
      <c r="F4229" s="46" t="s">
        <v>20446</v>
      </c>
      <c r="G4229" s="46" t="s">
        <v>50584</v>
      </c>
      <c r="H4229" s="48" t="s">
        <v>56716</v>
      </c>
      <c r="I4229" s="48" t="s">
        <v>50564</v>
      </c>
      <c r="J4229" s="48" t="s">
        <v>56716</v>
      </c>
      <c r="K4229" s="50"/>
      <c r="L4229" s="48"/>
    </row>
    <row r="4230" spans="1:12" s="37" customFormat="1" ht="11.25" x14ac:dyDescent="0.2">
      <c r="A4230" s="46" t="s">
        <v>5333</v>
      </c>
      <c r="B4230" s="46" t="s">
        <v>53436</v>
      </c>
      <c r="C4230" s="58" t="str">
        <f>"07926855"</f>
        <v>07926855</v>
      </c>
      <c r="D4230" s="58" t="str">
        <f>"21910286"</f>
        <v>21910286</v>
      </c>
      <c r="E4230" s="46" t="s">
        <v>1887</v>
      </c>
      <c r="F4230" s="46" t="s">
        <v>18158</v>
      </c>
      <c r="G4230" s="46" t="s">
        <v>50584</v>
      </c>
      <c r="H4230" s="48" t="s">
        <v>56716</v>
      </c>
      <c r="I4230" s="48" t="s">
        <v>50564</v>
      </c>
      <c r="J4230" s="48"/>
      <c r="K4230" s="50"/>
      <c r="L4230" s="48" t="s">
        <v>56716</v>
      </c>
    </row>
    <row r="4231" spans="1:12" s="37" customFormat="1" ht="11.25" x14ac:dyDescent="0.2">
      <c r="A4231" s="45" t="s">
        <v>34160</v>
      </c>
      <c r="B4231" s="45" t="s">
        <v>34162</v>
      </c>
      <c r="C4231" s="51" t="s">
        <v>34165</v>
      </c>
      <c r="D4231" s="51" t="s">
        <v>34164</v>
      </c>
      <c r="E4231" s="45" t="s">
        <v>651</v>
      </c>
      <c r="F4231" s="45" t="s">
        <v>18158</v>
      </c>
      <c r="G4231" s="45" t="s">
        <v>50584</v>
      </c>
      <c r="H4231" s="56"/>
      <c r="I4231" s="56" t="s">
        <v>50564</v>
      </c>
      <c r="J4231" s="56"/>
      <c r="K4231" s="50"/>
      <c r="L4231" s="56" t="s">
        <v>56716</v>
      </c>
    </row>
    <row r="4232" spans="1:12" s="37" customFormat="1" ht="11.25" x14ac:dyDescent="0.2">
      <c r="A4232" s="46" t="s">
        <v>2182</v>
      </c>
      <c r="B4232" s="46" t="s">
        <v>53437</v>
      </c>
      <c r="C4232" s="58" t="str">
        <f>"00057916"</f>
        <v>00057916</v>
      </c>
      <c r="D4232" s="58" t="str">
        <f>"18737943"</f>
        <v>18737943</v>
      </c>
      <c r="E4232" s="46" t="s">
        <v>155</v>
      </c>
      <c r="F4232" s="46" t="s">
        <v>50646</v>
      </c>
      <c r="G4232" s="46" t="s">
        <v>50584</v>
      </c>
      <c r="H4232" s="48" t="s">
        <v>56716</v>
      </c>
      <c r="I4232" s="48" t="s">
        <v>50564</v>
      </c>
      <c r="J4232" s="48"/>
      <c r="K4232" s="50" t="s">
        <v>56716</v>
      </c>
      <c r="L4232" s="48" t="s">
        <v>56716</v>
      </c>
    </row>
    <row r="4233" spans="1:12" s="37" customFormat="1" ht="11.25" x14ac:dyDescent="0.2">
      <c r="A4233" s="46" t="s">
        <v>56098</v>
      </c>
      <c r="B4233" s="46" t="s">
        <v>56099</v>
      </c>
      <c r="C4233" s="58" t="str">
        <f>"20625871 "</f>
        <v xml:space="preserve">20625871 </v>
      </c>
      <c r="D4233" s="58" t="str">
        <f>"20635303"</f>
        <v>20635303</v>
      </c>
      <c r="E4233" s="46" t="s">
        <v>79</v>
      </c>
      <c r="F4233" s="45" t="s">
        <v>17976</v>
      </c>
      <c r="G4233" s="46" t="s">
        <v>50584</v>
      </c>
      <c r="H4233" s="48" t="s">
        <v>56716</v>
      </c>
      <c r="I4233" s="48" t="s">
        <v>50564</v>
      </c>
      <c r="J4233" s="48"/>
      <c r="K4233" s="50"/>
      <c r="L4233" s="48" t="s">
        <v>56716</v>
      </c>
    </row>
    <row r="4234" spans="1:12" s="37" customFormat="1" ht="11.25" x14ac:dyDescent="0.2">
      <c r="A4234" s="45" t="s">
        <v>34180</v>
      </c>
      <c r="B4234" s="45" t="s">
        <v>34182</v>
      </c>
      <c r="C4234" s="51" t="s">
        <v>34184</v>
      </c>
      <c r="D4234" s="51" t="s">
        <v>34183</v>
      </c>
      <c r="E4234" s="45" t="s">
        <v>19161</v>
      </c>
      <c r="F4234" s="45" t="s">
        <v>17759</v>
      </c>
      <c r="G4234" s="45" t="s">
        <v>50584</v>
      </c>
      <c r="H4234" s="56"/>
      <c r="I4234" s="56" t="s">
        <v>50564</v>
      </c>
      <c r="J4234" s="56"/>
      <c r="K4234" s="50"/>
      <c r="L4234" s="56" t="s">
        <v>56716</v>
      </c>
    </row>
    <row r="4235" spans="1:12" s="37" customFormat="1" ht="11.25" x14ac:dyDescent="0.2">
      <c r="A4235" s="46" t="s">
        <v>4478</v>
      </c>
      <c r="B4235" s="46" t="s">
        <v>53438</v>
      </c>
      <c r="C4235" s="58" t="str">
        <f>"08839115"</f>
        <v>08839115</v>
      </c>
      <c r="D4235" s="58" t="str">
        <f>"15308030"</f>
        <v>15308030</v>
      </c>
      <c r="E4235" s="46" t="s">
        <v>97</v>
      </c>
      <c r="F4235" s="46" t="s">
        <v>50646</v>
      </c>
      <c r="G4235" s="46" t="s">
        <v>50584</v>
      </c>
      <c r="H4235" s="48" t="s">
        <v>56716</v>
      </c>
      <c r="I4235" s="48" t="s">
        <v>50564</v>
      </c>
      <c r="J4235" s="48"/>
      <c r="K4235" s="50"/>
      <c r="L4235" s="48"/>
    </row>
    <row r="4236" spans="1:12" s="37" customFormat="1" ht="11.25" x14ac:dyDescent="0.2">
      <c r="A4236" s="46" t="s">
        <v>8548</v>
      </c>
      <c r="B4236" s="46" t="s">
        <v>53439</v>
      </c>
      <c r="C4236" s="58" t="str">
        <f>"10956670"</f>
        <v>10956670</v>
      </c>
      <c r="D4236" s="58" t="str">
        <f>"10990461"</f>
        <v>10990461</v>
      </c>
      <c r="E4236" s="46" t="s">
        <v>517</v>
      </c>
      <c r="F4236" s="46" t="s">
        <v>17759</v>
      </c>
      <c r="G4236" s="46" t="s">
        <v>50584</v>
      </c>
      <c r="H4236" s="48" t="s">
        <v>56716</v>
      </c>
      <c r="I4236" s="48" t="s">
        <v>50564</v>
      </c>
      <c r="J4236" s="48"/>
      <c r="K4236" s="50" t="s">
        <v>56716</v>
      </c>
      <c r="L4236" s="48" t="s">
        <v>56716</v>
      </c>
    </row>
    <row r="4237" spans="1:12" s="37" customFormat="1" ht="11.25" x14ac:dyDescent="0.2">
      <c r="A4237" s="46" t="s">
        <v>2544</v>
      </c>
      <c r="B4237" s="46" t="s">
        <v>53440</v>
      </c>
      <c r="C4237" s="58" t="str">
        <f>"0021924X"</f>
        <v>0021924X</v>
      </c>
      <c r="D4237" s="58" t="str">
        <f>"17562651"</f>
        <v>17562651</v>
      </c>
      <c r="E4237" s="46" t="s">
        <v>55</v>
      </c>
      <c r="F4237" s="46" t="s">
        <v>50646</v>
      </c>
      <c r="G4237" s="46" t="s">
        <v>50584</v>
      </c>
      <c r="H4237" s="48" t="s">
        <v>56716</v>
      </c>
      <c r="I4237" s="48" t="s">
        <v>50564</v>
      </c>
      <c r="J4237" s="48"/>
      <c r="K4237" s="50"/>
      <c r="L4237" s="48" t="s">
        <v>56716</v>
      </c>
    </row>
    <row r="4238" spans="1:12" s="37" customFormat="1" ht="11.25" x14ac:dyDescent="0.2">
      <c r="A4238" s="46" t="s">
        <v>2148</v>
      </c>
      <c r="B4238" s="46" t="s">
        <v>53441</v>
      </c>
      <c r="C4238" s="58" t="str">
        <f>"0145479X"</f>
        <v>0145479X</v>
      </c>
      <c r="D4238" s="58" t="str">
        <f>"15736881"</f>
        <v>15736881</v>
      </c>
      <c r="E4238" s="46" t="s">
        <v>56305</v>
      </c>
      <c r="F4238" s="46" t="s">
        <v>17759</v>
      </c>
      <c r="G4238" s="46" t="s">
        <v>50584</v>
      </c>
      <c r="H4238" s="48" t="s">
        <v>56716</v>
      </c>
      <c r="I4238" s="48" t="s">
        <v>50564</v>
      </c>
      <c r="J4238" s="48"/>
      <c r="K4238" s="50" t="s">
        <v>56716</v>
      </c>
      <c r="L4238" s="48" t="s">
        <v>56716</v>
      </c>
    </row>
    <row r="4239" spans="1:12" s="37" customFormat="1" ht="11.25" x14ac:dyDescent="0.2">
      <c r="A4239" s="45" t="s">
        <v>34209</v>
      </c>
      <c r="B4239" s="45" t="s">
        <v>34211</v>
      </c>
      <c r="C4239" s="51" t="s">
        <v>34213</v>
      </c>
      <c r="D4239" s="51"/>
      <c r="E4239" s="45" t="s">
        <v>17783</v>
      </c>
      <c r="F4239" s="45" t="s">
        <v>18001</v>
      </c>
      <c r="G4239" s="45" t="s">
        <v>50584</v>
      </c>
      <c r="H4239" s="56"/>
      <c r="I4239" s="56" t="s">
        <v>50564</v>
      </c>
      <c r="J4239" s="56"/>
      <c r="K4239" s="50"/>
      <c r="L4239" s="56" t="s">
        <v>56716</v>
      </c>
    </row>
    <row r="4240" spans="1:12" s="37" customFormat="1" ht="11.25" x14ac:dyDescent="0.2">
      <c r="A4240" s="45" t="s">
        <v>34215</v>
      </c>
      <c r="B4240" s="45" t="s">
        <v>34217</v>
      </c>
      <c r="C4240" s="51" t="s">
        <v>34218</v>
      </c>
      <c r="D4240" s="51" t="s">
        <v>56598</v>
      </c>
      <c r="E4240" s="45" t="s">
        <v>26017</v>
      </c>
      <c r="F4240" s="45" t="s">
        <v>50646</v>
      </c>
      <c r="G4240" s="45" t="s">
        <v>50584</v>
      </c>
      <c r="H4240" s="56"/>
      <c r="I4240" s="56" t="s">
        <v>50564</v>
      </c>
      <c r="J4240" s="56"/>
      <c r="K4240" s="50"/>
      <c r="L4240" s="56" t="s">
        <v>56716</v>
      </c>
    </row>
    <row r="4241" spans="1:12" s="37" customFormat="1" ht="11.25" x14ac:dyDescent="0.2">
      <c r="A4241" s="46" t="s">
        <v>2151</v>
      </c>
      <c r="B4241" s="46" t="s">
        <v>53442</v>
      </c>
      <c r="C4241" s="58" t="str">
        <f>"00219258"</f>
        <v>00219258</v>
      </c>
      <c r="D4241" s="58" t="str">
        <f>"1083351X"</f>
        <v>1083351X</v>
      </c>
      <c r="E4241" s="46" t="s">
        <v>2154</v>
      </c>
      <c r="F4241" s="46" t="s">
        <v>17759</v>
      </c>
      <c r="G4241" s="46" t="s">
        <v>50584</v>
      </c>
      <c r="H4241" s="48" t="s">
        <v>56716</v>
      </c>
      <c r="I4241" s="48" t="s">
        <v>50564</v>
      </c>
      <c r="J4241" s="48" t="s">
        <v>56716</v>
      </c>
      <c r="K4241" s="50"/>
      <c r="L4241" s="48" t="s">
        <v>56716</v>
      </c>
    </row>
    <row r="4242" spans="1:12" s="37" customFormat="1" ht="11.25" x14ac:dyDescent="0.2">
      <c r="A4242" s="45" t="s">
        <v>34226</v>
      </c>
      <c r="B4242" s="45" t="s">
        <v>34228</v>
      </c>
      <c r="C4242" s="51" t="s">
        <v>34230</v>
      </c>
      <c r="D4242" s="51" t="s">
        <v>34229</v>
      </c>
      <c r="E4242" s="45" t="s">
        <v>18404</v>
      </c>
      <c r="F4242" s="45" t="s">
        <v>50646</v>
      </c>
      <c r="G4242" s="45" t="s">
        <v>50584</v>
      </c>
      <c r="H4242" s="56"/>
      <c r="I4242" s="56" t="s">
        <v>50564</v>
      </c>
      <c r="J4242" s="56"/>
      <c r="K4242" s="50"/>
      <c r="L4242" s="56" t="s">
        <v>56716</v>
      </c>
    </row>
    <row r="4243" spans="1:12" s="37" customFormat="1" ht="11.25" x14ac:dyDescent="0.2">
      <c r="A4243" s="46" t="s">
        <v>12423</v>
      </c>
      <c r="B4243" s="46" t="s">
        <v>53443</v>
      </c>
      <c r="C4243" s="58" t="str">
        <f>""</f>
        <v/>
      </c>
      <c r="D4243" s="58" t="str">
        <f>"17541611"</f>
        <v>17541611</v>
      </c>
      <c r="E4243" s="46" t="s">
        <v>2299</v>
      </c>
      <c r="F4243" s="46" t="s">
        <v>50646</v>
      </c>
      <c r="G4243" s="46" t="s">
        <v>50584</v>
      </c>
      <c r="H4243" s="48" t="s">
        <v>56716</v>
      </c>
      <c r="I4243" s="48" t="s">
        <v>50564</v>
      </c>
      <c r="J4243" s="48" t="s">
        <v>56716</v>
      </c>
      <c r="K4243" s="50" t="s">
        <v>56716</v>
      </c>
      <c r="L4243" s="48"/>
    </row>
    <row r="4244" spans="1:12" s="37" customFormat="1" ht="11.25" x14ac:dyDescent="0.2">
      <c r="A4244" s="46" t="s">
        <v>7170</v>
      </c>
      <c r="B4244" s="46" t="s">
        <v>53444</v>
      </c>
      <c r="C4244" s="58" t="str">
        <f>"09498257"</f>
        <v>09498257</v>
      </c>
      <c r="D4244" s="58" t="str">
        <f>"14321327"</f>
        <v>14321327</v>
      </c>
      <c r="E4244" s="46" t="s">
        <v>167</v>
      </c>
      <c r="F4244" s="46" t="s">
        <v>18158</v>
      </c>
      <c r="G4244" s="46" t="s">
        <v>50584</v>
      </c>
      <c r="H4244" s="48" t="s">
        <v>56716</v>
      </c>
      <c r="I4244" s="48" t="s">
        <v>50564</v>
      </c>
      <c r="J4244" s="48" t="s">
        <v>56716</v>
      </c>
      <c r="K4244" s="50" t="s">
        <v>56716</v>
      </c>
      <c r="L4244" s="48" t="s">
        <v>56716</v>
      </c>
    </row>
    <row r="4245" spans="1:12" s="37" customFormat="1" ht="11.25" x14ac:dyDescent="0.2">
      <c r="A4245" s="46" t="s">
        <v>2172</v>
      </c>
      <c r="B4245" s="46" t="s">
        <v>53445</v>
      </c>
      <c r="C4245" s="58" t="str">
        <f>"00920606"</f>
        <v>00920606</v>
      </c>
      <c r="D4245" s="58" t="str">
        <f>"15730689"</f>
        <v>15730689</v>
      </c>
      <c r="E4245" s="46" t="s">
        <v>18876</v>
      </c>
      <c r="F4245" s="46" t="s">
        <v>18001</v>
      </c>
      <c r="G4245" s="46" t="s">
        <v>50584</v>
      </c>
      <c r="H4245" s="48" t="s">
        <v>56716</v>
      </c>
      <c r="I4245" s="48" t="s">
        <v>50564</v>
      </c>
      <c r="J4245" s="48" t="s">
        <v>56716</v>
      </c>
      <c r="K4245" s="50" t="s">
        <v>56716</v>
      </c>
      <c r="L4245" s="48" t="s">
        <v>56716</v>
      </c>
    </row>
    <row r="4246" spans="1:12" s="37" customFormat="1" ht="11.25" x14ac:dyDescent="0.2">
      <c r="A4246" s="46" t="s">
        <v>4641</v>
      </c>
      <c r="B4246" s="46" t="s">
        <v>53446</v>
      </c>
      <c r="C4246" s="58" t="str">
        <f>"0393974X"</f>
        <v>0393974X</v>
      </c>
      <c r="D4246" s="58" t="str">
        <f>""</f>
        <v/>
      </c>
      <c r="E4246" s="46" t="s">
        <v>4643</v>
      </c>
      <c r="F4246" s="46" t="s">
        <v>17991</v>
      </c>
      <c r="G4246" s="46" t="s">
        <v>50584</v>
      </c>
      <c r="H4246" s="48" t="s">
        <v>56716</v>
      </c>
      <c r="I4246" s="48" t="s">
        <v>50564</v>
      </c>
      <c r="J4246" s="48"/>
      <c r="K4246" s="50"/>
      <c r="L4246" s="48" t="s">
        <v>56716</v>
      </c>
    </row>
    <row r="4247" spans="1:12" s="37" customFormat="1" ht="11.25" x14ac:dyDescent="0.2">
      <c r="A4247" s="45" t="s">
        <v>34244</v>
      </c>
      <c r="B4247" s="45" t="s">
        <v>34246</v>
      </c>
      <c r="C4247" s="51" t="s">
        <v>34248</v>
      </c>
      <c r="D4247" s="51" t="s">
        <v>34247</v>
      </c>
      <c r="E4247" s="45" t="s">
        <v>32791</v>
      </c>
      <c r="F4247" s="45" t="s">
        <v>17759</v>
      </c>
      <c r="G4247" s="45" t="s">
        <v>50584</v>
      </c>
      <c r="H4247" s="56"/>
      <c r="I4247" s="56" t="s">
        <v>50564</v>
      </c>
      <c r="J4247" s="56"/>
      <c r="K4247" s="50"/>
      <c r="L4247" s="56" t="s">
        <v>56716</v>
      </c>
    </row>
    <row r="4248" spans="1:12" s="37" customFormat="1" ht="11.25" x14ac:dyDescent="0.2">
      <c r="A4248" s="46" t="s">
        <v>10966</v>
      </c>
      <c r="B4248" s="46" t="s">
        <v>53447</v>
      </c>
      <c r="C4248" s="58" t="str">
        <f>"17273048"</f>
        <v>17273048</v>
      </c>
      <c r="D4248" s="58" t="str">
        <f>"18125719"</f>
        <v>18125719</v>
      </c>
      <c r="E4248" s="46" t="s">
        <v>10959</v>
      </c>
      <c r="F4248" s="46" t="s">
        <v>34138</v>
      </c>
      <c r="G4248" s="46" t="s">
        <v>50584</v>
      </c>
      <c r="H4248" s="48" t="s">
        <v>56716</v>
      </c>
      <c r="I4248" s="48" t="s">
        <v>50564</v>
      </c>
      <c r="J4248" s="48"/>
      <c r="K4248" s="50"/>
      <c r="L4248" s="48"/>
    </row>
    <row r="4249" spans="1:12" s="37" customFormat="1" ht="11.25" x14ac:dyDescent="0.2">
      <c r="A4249" s="46" t="s">
        <v>9391</v>
      </c>
      <c r="B4249" s="46" t="s">
        <v>53448</v>
      </c>
      <c r="C4249" s="58" t="str">
        <f>""</f>
        <v/>
      </c>
      <c r="D4249" s="58" t="str">
        <f>"14754924"</f>
        <v>14754924</v>
      </c>
      <c r="E4249" s="46" t="s">
        <v>2299</v>
      </c>
      <c r="F4249" s="46" t="s">
        <v>50646</v>
      </c>
      <c r="G4249" s="46" t="s">
        <v>50584</v>
      </c>
      <c r="H4249" s="48" t="s">
        <v>56716</v>
      </c>
      <c r="I4249" s="48" t="s">
        <v>50564</v>
      </c>
      <c r="J4249" s="48" t="s">
        <v>56716</v>
      </c>
      <c r="K4249" s="50"/>
      <c r="L4249" s="48"/>
    </row>
    <row r="4250" spans="1:12" s="37" customFormat="1" ht="11.25" x14ac:dyDescent="0.2">
      <c r="A4250" s="46" t="s">
        <v>56394</v>
      </c>
      <c r="B4250" s="46" t="s">
        <v>56395</v>
      </c>
      <c r="C4250" s="58" t="str">
        <f>"20908660"</f>
        <v>20908660</v>
      </c>
      <c r="D4250" s="58" t="str">
        <f>"20907699"</f>
        <v>20907699</v>
      </c>
      <c r="E4250" s="46" t="s">
        <v>1412</v>
      </c>
      <c r="F4250" s="46" t="s">
        <v>17759</v>
      </c>
      <c r="G4250" s="46" t="s">
        <v>50584</v>
      </c>
      <c r="H4250" s="48" t="s">
        <v>56716</v>
      </c>
      <c r="I4250" s="48" t="s">
        <v>50564</v>
      </c>
      <c r="J4250" s="48"/>
      <c r="K4250" s="50"/>
      <c r="L4250" s="48"/>
    </row>
    <row r="4251" spans="1:12" s="37" customFormat="1" ht="11.25" x14ac:dyDescent="0.2">
      <c r="A4251" s="46" t="s">
        <v>17167</v>
      </c>
      <c r="B4251" s="46" t="s">
        <v>53449</v>
      </c>
      <c r="C4251" s="58" t="str">
        <f>"21579083"</f>
        <v>21579083</v>
      </c>
      <c r="D4251" s="58" t="str">
        <f>"21579091"</f>
        <v>21579091</v>
      </c>
      <c r="E4251" s="46" t="s">
        <v>11896</v>
      </c>
      <c r="F4251" s="46" t="s">
        <v>17759</v>
      </c>
      <c r="G4251" s="46" t="s">
        <v>50584</v>
      </c>
      <c r="H4251" s="48" t="s">
        <v>56716</v>
      </c>
      <c r="I4251" s="48" t="s">
        <v>50564</v>
      </c>
      <c r="J4251" s="48"/>
      <c r="K4251" s="50"/>
      <c r="L4251" s="48"/>
    </row>
    <row r="4252" spans="1:12" s="37" customFormat="1" ht="11.25" x14ac:dyDescent="0.2">
      <c r="A4252" s="46" t="s">
        <v>7580</v>
      </c>
      <c r="B4252" s="46" t="s">
        <v>53450</v>
      </c>
      <c r="C4252" s="58" t="str">
        <f>"08853282"</f>
        <v>08853282</v>
      </c>
      <c r="D4252" s="58" t="str">
        <f>"15308022"</f>
        <v>15308022</v>
      </c>
      <c r="E4252" s="46" t="s">
        <v>97</v>
      </c>
      <c r="F4252" s="46" t="s">
        <v>50646</v>
      </c>
      <c r="G4252" s="46" t="s">
        <v>50584</v>
      </c>
      <c r="H4252" s="48" t="s">
        <v>56716</v>
      </c>
      <c r="I4252" s="48" t="s">
        <v>50564</v>
      </c>
      <c r="J4252" s="48" t="s">
        <v>56716</v>
      </c>
      <c r="K4252" s="50"/>
      <c r="L4252" s="48" t="s">
        <v>56716</v>
      </c>
    </row>
    <row r="4253" spans="1:12" s="37" customFormat="1" ht="11.25" x14ac:dyDescent="0.2">
      <c r="A4253" s="46" t="s">
        <v>5381</v>
      </c>
      <c r="B4253" s="46" t="s">
        <v>53451</v>
      </c>
      <c r="C4253" s="58" t="str">
        <f>"09205063"</f>
        <v>09205063</v>
      </c>
      <c r="D4253" s="58" t="str">
        <f>"15685624"</f>
        <v>15685624</v>
      </c>
      <c r="E4253" s="46" t="s">
        <v>669</v>
      </c>
      <c r="F4253" s="46" t="s">
        <v>17759</v>
      </c>
      <c r="G4253" s="46" t="s">
        <v>50584</v>
      </c>
      <c r="H4253" s="48" t="s">
        <v>56716</v>
      </c>
      <c r="I4253" s="48" t="s">
        <v>50564</v>
      </c>
      <c r="J4253" s="48" t="s">
        <v>56716</v>
      </c>
      <c r="K4253" s="50" t="s">
        <v>56716</v>
      </c>
      <c r="L4253" s="48" t="s">
        <v>56716</v>
      </c>
    </row>
    <row r="4254" spans="1:12" s="37" customFormat="1" ht="11.25" x14ac:dyDescent="0.2">
      <c r="A4254" s="46" t="s">
        <v>2156</v>
      </c>
      <c r="B4254" s="46" t="s">
        <v>53452</v>
      </c>
      <c r="C4254" s="58" t="str">
        <f>"01480731"</f>
        <v>01480731</v>
      </c>
      <c r="D4254" s="58" t="str">
        <f>"15288951"</f>
        <v>15288951</v>
      </c>
      <c r="E4254" s="46" t="s">
        <v>2159</v>
      </c>
      <c r="F4254" s="46" t="s">
        <v>17759</v>
      </c>
      <c r="G4254" s="46" t="s">
        <v>50584</v>
      </c>
      <c r="H4254" s="48" t="s">
        <v>56716</v>
      </c>
      <c r="I4254" s="48" t="s">
        <v>50564</v>
      </c>
      <c r="J4254" s="48"/>
      <c r="K4254" s="50"/>
      <c r="L4254" s="48" t="s">
        <v>56716</v>
      </c>
    </row>
    <row r="4255" spans="1:12" s="37" customFormat="1" ht="11.25" x14ac:dyDescent="0.2">
      <c r="A4255" s="46" t="s">
        <v>2169</v>
      </c>
      <c r="B4255" s="46" t="s">
        <v>53453</v>
      </c>
      <c r="C4255" s="58" t="str">
        <f>"00219290"</f>
        <v>00219290</v>
      </c>
      <c r="D4255" s="58" t="str">
        <f>"18732380"</f>
        <v>18732380</v>
      </c>
      <c r="E4255" s="46" t="s">
        <v>155</v>
      </c>
      <c r="F4255" s="46" t="s">
        <v>50646</v>
      </c>
      <c r="G4255" s="46" t="s">
        <v>50584</v>
      </c>
      <c r="H4255" s="48" t="s">
        <v>56716</v>
      </c>
      <c r="I4255" s="48" t="s">
        <v>50564</v>
      </c>
      <c r="J4255" s="48" t="s">
        <v>56716</v>
      </c>
      <c r="K4255" s="50" t="s">
        <v>56716</v>
      </c>
      <c r="L4255" s="48" t="s">
        <v>56716</v>
      </c>
    </row>
    <row r="4256" spans="1:12" s="37" customFormat="1" ht="11.25" x14ac:dyDescent="0.2">
      <c r="A4256" s="46" t="s">
        <v>14200</v>
      </c>
      <c r="B4256" s="46" t="s">
        <v>53454</v>
      </c>
      <c r="C4256" s="58" t="str">
        <f>""</f>
        <v/>
      </c>
      <c r="D4256" s="58" t="str">
        <f>"17934532"</f>
        <v>17934532</v>
      </c>
      <c r="E4256" s="46" t="s">
        <v>14202</v>
      </c>
      <c r="F4256" s="46" t="s">
        <v>19491</v>
      </c>
      <c r="G4256" s="46" t="s">
        <v>50584</v>
      </c>
      <c r="H4256" s="48" t="s">
        <v>56716</v>
      </c>
      <c r="I4256" s="48" t="s">
        <v>50564</v>
      </c>
      <c r="J4256" s="48"/>
      <c r="K4256" s="50"/>
      <c r="L4256" s="48"/>
    </row>
    <row r="4257" spans="1:12" s="37" customFormat="1" ht="11.25" x14ac:dyDescent="0.2">
      <c r="A4257" s="46" t="s">
        <v>8920</v>
      </c>
      <c r="B4257" s="46" t="s">
        <v>53455</v>
      </c>
      <c r="C4257" s="58" t="str">
        <f>"15320464"</f>
        <v>15320464</v>
      </c>
      <c r="D4257" s="58" t="str">
        <f>""</f>
        <v/>
      </c>
      <c r="E4257" s="46" t="s">
        <v>60</v>
      </c>
      <c r="F4257" s="46" t="s">
        <v>17759</v>
      </c>
      <c r="G4257" s="46" t="s">
        <v>50584</v>
      </c>
      <c r="H4257" s="48" t="s">
        <v>56716</v>
      </c>
      <c r="I4257" s="48" t="s">
        <v>50564</v>
      </c>
      <c r="J4257" s="48" t="s">
        <v>56716</v>
      </c>
      <c r="K4257" s="50" t="s">
        <v>56716</v>
      </c>
      <c r="L4257" s="48" t="s">
        <v>56716</v>
      </c>
    </row>
    <row r="4258" spans="1:12" s="37" customFormat="1" ht="11.25" x14ac:dyDescent="0.2">
      <c r="A4258" s="46" t="s">
        <v>9796</v>
      </c>
      <c r="B4258" s="46" t="s">
        <v>53456</v>
      </c>
      <c r="C4258" s="58" t="str">
        <f>"15493296"</f>
        <v>15493296</v>
      </c>
      <c r="D4258" s="58" t="str">
        <f>"15524965"</f>
        <v>15524965</v>
      </c>
      <c r="E4258" s="46" t="s">
        <v>517</v>
      </c>
      <c r="F4258" s="46" t="s">
        <v>17759</v>
      </c>
      <c r="G4258" s="46" t="s">
        <v>50584</v>
      </c>
      <c r="H4258" s="48" t="s">
        <v>56716</v>
      </c>
      <c r="I4258" s="48" t="s">
        <v>50564</v>
      </c>
      <c r="J4258" s="48"/>
      <c r="K4258" s="50" t="s">
        <v>56716</v>
      </c>
      <c r="L4258" s="48" t="s">
        <v>56716</v>
      </c>
    </row>
    <row r="4259" spans="1:12" s="37" customFormat="1" ht="11.25" x14ac:dyDescent="0.2">
      <c r="A4259" s="46" t="s">
        <v>9799</v>
      </c>
      <c r="B4259" s="46" t="s">
        <v>53457</v>
      </c>
      <c r="C4259" s="58" t="str">
        <f>"15524973"</f>
        <v>15524973</v>
      </c>
      <c r="D4259" s="58" t="str">
        <f>"15524981"</f>
        <v>15524981</v>
      </c>
      <c r="E4259" s="46" t="s">
        <v>517</v>
      </c>
      <c r="F4259" s="46" t="s">
        <v>17759</v>
      </c>
      <c r="G4259" s="46" t="s">
        <v>50584</v>
      </c>
      <c r="H4259" s="48" t="s">
        <v>56716</v>
      </c>
      <c r="I4259" s="48" t="s">
        <v>50564</v>
      </c>
      <c r="J4259" s="48"/>
      <c r="K4259" s="50" t="s">
        <v>56716</v>
      </c>
      <c r="L4259" s="48" t="s">
        <v>56716</v>
      </c>
    </row>
    <row r="4260" spans="1:12" s="37" customFormat="1" ht="11.25" x14ac:dyDescent="0.2">
      <c r="A4260" s="46" t="s">
        <v>11893</v>
      </c>
      <c r="B4260" s="46" t="s">
        <v>53458</v>
      </c>
      <c r="C4260" s="58" t="str">
        <f>"15507033"</f>
        <v>15507033</v>
      </c>
      <c r="D4260" s="58" t="str">
        <f>"15507041"</f>
        <v>15507041</v>
      </c>
      <c r="E4260" s="46" t="s">
        <v>11896</v>
      </c>
      <c r="F4260" s="46" t="s">
        <v>17759</v>
      </c>
      <c r="G4260" s="46" t="s">
        <v>50584</v>
      </c>
      <c r="H4260" s="48" t="s">
        <v>56716</v>
      </c>
      <c r="I4260" s="48" t="s">
        <v>50564</v>
      </c>
      <c r="J4260" s="48"/>
      <c r="K4260" s="50"/>
      <c r="L4260" s="48" t="s">
        <v>56716</v>
      </c>
    </row>
    <row r="4261" spans="1:12" s="37" customFormat="1" ht="11.25" x14ac:dyDescent="0.2">
      <c r="A4261" s="45" t="s">
        <v>34288</v>
      </c>
      <c r="B4261" s="45" t="s">
        <v>34290</v>
      </c>
      <c r="C4261" s="51" t="s">
        <v>34292</v>
      </c>
      <c r="D4261" s="51" t="s">
        <v>34291</v>
      </c>
      <c r="E4261" s="45" t="s">
        <v>56599</v>
      </c>
      <c r="F4261" s="45" t="s">
        <v>17759</v>
      </c>
      <c r="G4261" s="45" t="s">
        <v>50584</v>
      </c>
      <c r="H4261" s="56"/>
      <c r="I4261" s="56" t="s">
        <v>50564</v>
      </c>
      <c r="J4261" s="56"/>
      <c r="K4261" s="50"/>
      <c r="L4261" s="56" t="s">
        <v>56716</v>
      </c>
    </row>
    <row r="4262" spans="1:12" s="37" customFormat="1" ht="11.25" x14ac:dyDescent="0.2">
      <c r="A4262" s="46" t="s">
        <v>56153</v>
      </c>
      <c r="B4262" s="46" t="s">
        <v>56154</v>
      </c>
      <c r="C4262" s="58" t="str">
        <f>""</f>
        <v/>
      </c>
      <c r="D4262" s="58" t="str">
        <f>"22517200"</f>
        <v>22517200</v>
      </c>
      <c r="E4262" s="46" t="s">
        <v>1956</v>
      </c>
      <c r="F4262" s="46" t="s">
        <v>18232</v>
      </c>
      <c r="G4262" s="46" t="s">
        <v>50584</v>
      </c>
      <c r="H4262" s="48" t="s">
        <v>56716</v>
      </c>
      <c r="I4262" s="48" t="s">
        <v>50564</v>
      </c>
      <c r="J4262" s="48"/>
      <c r="K4262" s="50"/>
      <c r="L4262" s="48"/>
    </row>
    <row r="4263" spans="1:12" s="37" customFormat="1" ht="11.25" x14ac:dyDescent="0.2">
      <c r="A4263" s="46" t="s">
        <v>14372</v>
      </c>
      <c r="B4263" s="46" t="s">
        <v>53459</v>
      </c>
      <c r="C4263" s="58" t="str">
        <f>"16748301"</f>
        <v>16748301</v>
      </c>
      <c r="D4263" s="58" t="str">
        <f>""</f>
        <v/>
      </c>
      <c r="E4263" s="46" t="s">
        <v>55938</v>
      </c>
      <c r="F4263" s="46" t="s">
        <v>17958</v>
      </c>
      <c r="G4263" s="46" t="s">
        <v>50584</v>
      </c>
      <c r="H4263" s="48" t="s">
        <v>56716</v>
      </c>
      <c r="I4263" s="48" t="s">
        <v>50564</v>
      </c>
      <c r="J4263" s="48" t="s">
        <v>56716</v>
      </c>
      <c r="K4263" s="50"/>
      <c r="L4263" s="48"/>
    </row>
    <row r="4264" spans="1:12" s="37" customFormat="1" ht="11.25" x14ac:dyDescent="0.2">
      <c r="A4264" s="46" t="s">
        <v>6177</v>
      </c>
      <c r="B4264" s="46" t="s">
        <v>53460</v>
      </c>
      <c r="C4264" s="58" t="str">
        <f>"10217770"</f>
        <v>10217770</v>
      </c>
      <c r="D4264" s="58" t="str">
        <f>"14230127"</f>
        <v>14230127</v>
      </c>
      <c r="E4264" s="46" t="s">
        <v>2299</v>
      </c>
      <c r="F4264" s="46" t="s">
        <v>50646</v>
      </c>
      <c r="G4264" s="46" t="s">
        <v>50584</v>
      </c>
      <c r="H4264" s="48" t="s">
        <v>56716</v>
      </c>
      <c r="I4264" s="48" t="s">
        <v>50564</v>
      </c>
      <c r="J4264" s="48" t="s">
        <v>56716</v>
      </c>
      <c r="K4264" s="50" t="s">
        <v>56716</v>
      </c>
      <c r="L4264" s="48" t="s">
        <v>56716</v>
      </c>
    </row>
    <row r="4265" spans="1:12" s="37" customFormat="1" ht="11.25" x14ac:dyDescent="0.2">
      <c r="A4265" s="46" t="s">
        <v>7797</v>
      </c>
      <c r="B4265" s="46" t="s">
        <v>53461</v>
      </c>
      <c r="C4265" s="58" t="str">
        <f>"09252738"</f>
        <v>09252738</v>
      </c>
      <c r="D4265" s="58" t="str">
        <f>"15735001"</f>
        <v>15735001</v>
      </c>
      <c r="E4265" s="46" t="s">
        <v>18876</v>
      </c>
      <c r="F4265" s="46" t="s">
        <v>18001</v>
      </c>
      <c r="G4265" s="46" t="s">
        <v>50584</v>
      </c>
      <c r="H4265" s="48" t="s">
        <v>56716</v>
      </c>
      <c r="I4265" s="48" t="s">
        <v>50564</v>
      </c>
      <c r="J4265" s="48" t="s">
        <v>56716</v>
      </c>
      <c r="K4265" s="50" t="s">
        <v>56716</v>
      </c>
      <c r="L4265" s="48" t="s">
        <v>56716</v>
      </c>
    </row>
    <row r="4266" spans="1:12" s="37" customFormat="1" ht="11.25" x14ac:dyDescent="0.2">
      <c r="A4266" s="46" t="s">
        <v>7960</v>
      </c>
      <c r="B4266" s="46" t="s">
        <v>53462</v>
      </c>
      <c r="C4266" s="58" t="str">
        <f>"10870571"</f>
        <v>10870571</v>
      </c>
      <c r="D4266" s="58" t="str">
        <f>"1552454X"</f>
        <v>1552454X</v>
      </c>
      <c r="E4266" s="46" t="s">
        <v>493</v>
      </c>
      <c r="F4266" s="46" t="s">
        <v>17759</v>
      </c>
      <c r="G4266" s="46" t="s">
        <v>50584</v>
      </c>
      <c r="H4266" s="48" t="s">
        <v>56716</v>
      </c>
      <c r="I4266" s="48" t="s">
        <v>50564</v>
      </c>
      <c r="J4266" s="48" t="s">
        <v>56716</v>
      </c>
      <c r="K4266" s="50"/>
      <c r="L4266" s="48" t="s">
        <v>56716</v>
      </c>
    </row>
    <row r="4267" spans="1:12" s="37" customFormat="1" ht="11.25" x14ac:dyDescent="0.2">
      <c r="A4267" s="46" t="s">
        <v>2179</v>
      </c>
      <c r="B4267" s="46" t="s">
        <v>53463</v>
      </c>
      <c r="C4267" s="58" t="str">
        <f>"07391102"</f>
        <v>07391102</v>
      </c>
      <c r="D4267" s="58" t="str">
        <f>"15380254"</f>
        <v>15380254</v>
      </c>
      <c r="E4267" s="46" t="s">
        <v>310</v>
      </c>
      <c r="F4267" s="46" t="s">
        <v>50646</v>
      </c>
      <c r="G4267" s="46" t="s">
        <v>50584</v>
      </c>
      <c r="H4267" s="48" t="s">
        <v>56716</v>
      </c>
      <c r="I4267" s="48" t="s">
        <v>50564</v>
      </c>
      <c r="J4267" s="48" t="s">
        <v>56716</v>
      </c>
      <c r="K4267" s="50" t="s">
        <v>56716</v>
      </c>
      <c r="L4267" s="48" t="s">
        <v>56716</v>
      </c>
    </row>
    <row r="4268" spans="1:12" s="37" customFormat="1" ht="11.25" x14ac:dyDescent="0.2">
      <c r="A4268" s="46" t="s">
        <v>13960</v>
      </c>
      <c r="B4268" s="46" t="s">
        <v>53464</v>
      </c>
      <c r="C4268" s="58" t="str">
        <f>"15240215"</f>
        <v>15240215</v>
      </c>
      <c r="D4268" s="58" t="str">
        <f>"19434731"</f>
        <v>19434731</v>
      </c>
      <c r="E4268" s="46" t="s">
        <v>13963</v>
      </c>
      <c r="F4268" s="46" t="s">
        <v>17759</v>
      </c>
      <c r="G4268" s="46" t="s">
        <v>50584</v>
      </c>
      <c r="H4268" s="48" t="s">
        <v>56716</v>
      </c>
      <c r="I4268" s="48" t="s">
        <v>50564</v>
      </c>
      <c r="J4268" s="48"/>
      <c r="K4268" s="50"/>
      <c r="L4268" s="48" t="s">
        <v>56716</v>
      </c>
    </row>
    <row r="4269" spans="1:12" s="37" customFormat="1" ht="11.25" x14ac:dyDescent="0.2">
      <c r="A4269" s="46" t="s">
        <v>6154</v>
      </c>
      <c r="B4269" s="46" t="s">
        <v>53465</v>
      </c>
      <c r="C4269" s="58" t="str">
        <f>"10543406"</f>
        <v>10543406</v>
      </c>
      <c r="D4269" s="58" t="str">
        <f>"15205711"</f>
        <v>15205711</v>
      </c>
      <c r="E4269" s="46" t="s">
        <v>669</v>
      </c>
      <c r="F4269" s="46" t="s">
        <v>17759</v>
      </c>
      <c r="G4269" s="46" t="s">
        <v>50584</v>
      </c>
      <c r="H4269" s="48" t="s">
        <v>56716</v>
      </c>
      <c r="I4269" s="48" t="s">
        <v>50564</v>
      </c>
      <c r="J4269" s="48" t="s">
        <v>56716</v>
      </c>
      <c r="K4269" s="50"/>
      <c r="L4269" s="48" t="s">
        <v>56716</v>
      </c>
    </row>
    <row r="4270" spans="1:12" s="37" customFormat="1" ht="11.25" x14ac:dyDescent="0.2">
      <c r="A4270" s="45" t="s">
        <v>34325</v>
      </c>
      <c r="B4270" s="45" t="s">
        <v>34327</v>
      </c>
      <c r="C4270" s="51" t="s">
        <v>34329</v>
      </c>
      <c r="D4270" s="51" t="s">
        <v>34328</v>
      </c>
      <c r="E4270" s="45" t="s">
        <v>18712</v>
      </c>
      <c r="F4270" s="45" t="s">
        <v>18158</v>
      </c>
      <c r="G4270" s="45" t="s">
        <v>50584</v>
      </c>
      <c r="H4270" s="56"/>
      <c r="I4270" s="56" t="s">
        <v>50564</v>
      </c>
      <c r="J4270" s="56"/>
      <c r="K4270" s="50"/>
      <c r="L4270" s="56" t="s">
        <v>56716</v>
      </c>
    </row>
    <row r="4271" spans="1:12" s="37" customFormat="1" ht="11.25" x14ac:dyDescent="0.2">
      <c r="A4271" s="46" t="s">
        <v>8093</v>
      </c>
      <c r="B4271" s="46" t="s">
        <v>53466</v>
      </c>
      <c r="C4271" s="58" t="str">
        <f>"13891723"</f>
        <v>13891723</v>
      </c>
      <c r="D4271" s="58" t="str">
        <f>"13474421"</f>
        <v>13474421</v>
      </c>
      <c r="E4271" s="46" t="s">
        <v>91</v>
      </c>
      <c r="F4271" s="46" t="s">
        <v>18001</v>
      </c>
      <c r="G4271" s="46" t="s">
        <v>50584</v>
      </c>
      <c r="H4271" s="48" t="s">
        <v>56716</v>
      </c>
      <c r="I4271" s="48" t="s">
        <v>50564</v>
      </c>
      <c r="J4271" s="48"/>
      <c r="K4271" s="50" t="s">
        <v>56716</v>
      </c>
      <c r="L4271" s="48" t="s">
        <v>56716</v>
      </c>
    </row>
    <row r="4272" spans="1:12" s="37" customFormat="1" ht="11.25" x14ac:dyDescent="0.2">
      <c r="A4272" s="46" t="s">
        <v>2547</v>
      </c>
      <c r="B4272" s="46" t="s">
        <v>53467</v>
      </c>
      <c r="C4272" s="58" t="str">
        <f>"02505991"</f>
        <v>02505991</v>
      </c>
      <c r="D4272" s="58" t="str">
        <f>"09737138"</f>
        <v>09737138</v>
      </c>
      <c r="E4272" s="46" t="s">
        <v>1977</v>
      </c>
      <c r="F4272" s="46" t="s">
        <v>20446</v>
      </c>
      <c r="G4272" s="46" t="s">
        <v>50584</v>
      </c>
      <c r="H4272" s="48" t="s">
        <v>56716</v>
      </c>
      <c r="I4272" s="48" t="s">
        <v>50564</v>
      </c>
      <c r="J4272" s="48"/>
      <c r="K4272" s="50" t="s">
        <v>56716</v>
      </c>
      <c r="L4272" s="48" t="s">
        <v>56716</v>
      </c>
    </row>
    <row r="4273" spans="1:12" s="37" customFormat="1" ht="11.25" x14ac:dyDescent="0.2">
      <c r="A4273" s="45" t="s">
        <v>34344</v>
      </c>
      <c r="B4273" s="45" t="s">
        <v>34346</v>
      </c>
      <c r="C4273" s="51" t="s">
        <v>34348</v>
      </c>
      <c r="D4273" s="51" t="s">
        <v>34347</v>
      </c>
      <c r="E4273" s="45" t="s">
        <v>724</v>
      </c>
      <c r="F4273" s="45" t="s">
        <v>50646</v>
      </c>
      <c r="G4273" s="45" t="s">
        <v>50584</v>
      </c>
      <c r="H4273" s="56"/>
      <c r="I4273" s="56" t="s">
        <v>50564</v>
      </c>
      <c r="J4273" s="56"/>
      <c r="K4273" s="50"/>
      <c r="L4273" s="56" t="s">
        <v>56716</v>
      </c>
    </row>
    <row r="4274" spans="1:12" s="37" customFormat="1" ht="11.25" x14ac:dyDescent="0.2">
      <c r="A4274" s="46" t="s">
        <v>2161</v>
      </c>
      <c r="B4274" s="46" t="s">
        <v>53468</v>
      </c>
      <c r="C4274" s="58" t="str">
        <f>"01681656"</f>
        <v>01681656</v>
      </c>
      <c r="D4274" s="58" t="str">
        <f>"18734863"</f>
        <v>18734863</v>
      </c>
      <c r="E4274" s="46" t="s">
        <v>91</v>
      </c>
      <c r="F4274" s="46" t="s">
        <v>18001</v>
      </c>
      <c r="G4274" s="46" t="s">
        <v>50584</v>
      </c>
      <c r="H4274" s="48" t="s">
        <v>56716</v>
      </c>
      <c r="I4274" s="48" t="s">
        <v>50564</v>
      </c>
      <c r="J4274" s="48" t="s">
        <v>56716</v>
      </c>
      <c r="K4274" s="50" t="s">
        <v>56716</v>
      </c>
      <c r="L4274" s="48" t="s">
        <v>56716</v>
      </c>
    </row>
    <row r="4275" spans="1:12" s="37" customFormat="1" ht="11.25" x14ac:dyDescent="0.2">
      <c r="A4275" s="46" t="s">
        <v>17287</v>
      </c>
      <c r="B4275" s="46" t="s">
        <v>53469</v>
      </c>
      <c r="C4275" s="58" t="str">
        <f>""</f>
        <v/>
      </c>
      <c r="D4275" s="58" t="str">
        <f>"11792736"</f>
        <v>11792736</v>
      </c>
      <c r="E4275" s="46" t="s">
        <v>11078</v>
      </c>
      <c r="F4275" s="46" t="s">
        <v>50646</v>
      </c>
      <c r="G4275" s="46" t="s">
        <v>50584</v>
      </c>
      <c r="H4275" s="48" t="s">
        <v>56716</v>
      </c>
      <c r="I4275" s="48" t="s">
        <v>50564</v>
      </c>
      <c r="J4275" s="48"/>
      <c r="K4275" s="50"/>
      <c r="L4275" s="48"/>
    </row>
    <row r="4276" spans="1:12" s="37" customFormat="1" ht="11.25" x14ac:dyDescent="0.2">
      <c r="A4276" s="46" t="s">
        <v>7504</v>
      </c>
      <c r="B4276" s="46" t="s">
        <v>53470</v>
      </c>
      <c r="C4276" s="58" t="str">
        <f>"13608592"</f>
        <v>13608592</v>
      </c>
      <c r="D4276" s="58" t="str">
        <f>"15329283"</f>
        <v>15329283</v>
      </c>
      <c r="E4276" s="46" t="s">
        <v>831</v>
      </c>
      <c r="F4276" s="46" t="s">
        <v>50646</v>
      </c>
      <c r="G4276" s="46" t="s">
        <v>50584</v>
      </c>
      <c r="H4276" s="48" t="s">
        <v>56716</v>
      </c>
      <c r="I4276" s="48" t="s">
        <v>50564</v>
      </c>
      <c r="J4276" s="48"/>
      <c r="K4276" s="50" t="s">
        <v>56716</v>
      </c>
      <c r="L4276" s="48" t="s">
        <v>56716</v>
      </c>
    </row>
    <row r="4277" spans="1:12" s="37" customFormat="1" ht="11.25" x14ac:dyDescent="0.2">
      <c r="A4277" s="46" t="s">
        <v>56307</v>
      </c>
      <c r="B4277" s="46" t="s">
        <v>53471</v>
      </c>
      <c r="C4277" s="58" t="str">
        <f>"00219355"</f>
        <v>00219355</v>
      </c>
      <c r="D4277" s="58" t="str">
        <f>"15351386"</f>
        <v>15351386</v>
      </c>
      <c r="E4277" s="46" t="s">
        <v>2167</v>
      </c>
      <c r="F4277" s="46" t="s">
        <v>17759</v>
      </c>
      <c r="G4277" s="46" t="s">
        <v>50584</v>
      </c>
      <c r="H4277" s="48" t="s">
        <v>56716</v>
      </c>
      <c r="I4277" s="48" t="s">
        <v>50564</v>
      </c>
      <c r="J4277" s="48" t="s">
        <v>56716</v>
      </c>
      <c r="K4277" s="50"/>
      <c r="L4277" s="48" t="s">
        <v>56716</v>
      </c>
    </row>
    <row r="4278" spans="1:12" s="37" customFormat="1" ht="11.25" x14ac:dyDescent="0.2">
      <c r="A4278" s="46" t="s">
        <v>7017</v>
      </c>
      <c r="B4278" s="46" t="s">
        <v>53472</v>
      </c>
      <c r="C4278" s="58" t="str">
        <f>"09148779"</f>
        <v>09148779</v>
      </c>
      <c r="D4278" s="58" t="str">
        <f>"14355604"</f>
        <v>14355604</v>
      </c>
      <c r="E4278" s="46" t="s">
        <v>23335</v>
      </c>
      <c r="F4278" s="46" t="s">
        <v>18242</v>
      </c>
      <c r="G4278" s="46" t="s">
        <v>50584</v>
      </c>
      <c r="H4278" s="48" t="s">
        <v>56716</v>
      </c>
      <c r="I4278" s="48" t="s">
        <v>50564</v>
      </c>
      <c r="J4278" s="48" t="s">
        <v>56716</v>
      </c>
      <c r="K4278" s="50" t="s">
        <v>56716</v>
      </c>
      <c r="L4278" s="48" t="s">
        <v>56716</v>
      </c>
    </row>
    <row r="4279" spans="1:12" s="37" customFormat="1" ht="11.25" x14ac:dyDescent="0.2">
      <c r="A4279" s="46" t="s">
        <v>4466</v>
      </c>
      <c r="B4279" s="46" t="s">
        <v>53473</v>
      </c>
      <c r="C4279" s="58" t="str">
        <f>"08840431"</f>
        <v>08840431</v>
      </c>
      <c r="D4279" s="58" t="str">
        <f>"15234681"</f>
        <v>15234681</v>
      </c>
      <c r="E4279" s="46" t="s">
        <v>517</v>
      </c>
      <c r="F4279" s="46" t="s">
        <v>17759</v>
      </c>
      <c r="G4279" s="46" t="s">
        <v>50584</v>
      </c>
      <c r="H4279" s="48" t="s">
        <v>56716</v>
      </c>
      <c r="I4279" s="48" t="s">
        <v>50564</v>
      </c>
      <c r="J4279" s="48"/>
      <c r="K4279" s="50"/>
      <c r="L4279" s="48" t="s">
        <v>56716</v>
      </c>
    </row>
    <row r="4280" spans="1:12" s="37" customFormat="1" ht="11.25" x14ac:dyDescent="0.2">
      <c r="A4280" s="46" t="s">
        <v>16278</v>
      </c>
      <c r="B4280" s="46" t="s">
        <v>53474</v>
      </c>
      <c r="C4280" s="58" t="str">
        <f>"22121374"</f>
        <v>22121374</v>
      </c>
      <c r="D4280" s="58" t="str">
        <f>""</f>
        <v/>
      </c>
      <c r="E4280" s="46" t="s">
        <v>6159</v>
      </c>
      <c r="F4280" s="46" t="s">
        <v>18158</v>
      </c>
      <c r="G4280" s="46" t="s">
        <v>50584</v>
      </c>
      <c r="H4280" s="48" t="s">
        <v>56716</v>
      </c>
      <c r="I4280" s="48" t="s">
        <v>50564</v>
      </c>
      <c r="J4280" s="48" t="s">
        <v>56716</v>
      </c>
      <c r="K4280" s="50" t="s">
        <v>56716</v>
      </c>
      <c r="L4280" s="48"/>
    </row>
    <row r="4281" spans="1:12" s="37" customFormat="1" ht="11.25" x14ac:dyDescent="0.2">
      <c r="A4281" s="46" t="s">
        <v>11669</v>
      </c>
      <c r="B4281" s="46" t="s">
        <v>53475</v>
      </c>
      <c r="C4281" s="58" t="str">
        <f>""</f>
        <v/>
      </c>
      <c r="D4281" s="58" t="str">
        <f>"17497221"</f>
        <v>17497221</v>
      </c>
      <c r="E4281" s="46" t="s">
        <v>2299</v>
      </c>
      <c r="F4281" s="46" t="s">
        <v>50646</v>
      </c>
      <c r="G4281" s="46" t="s">
        <v>50584</v>
      </c>
      <c r="H4281" s="48" t="s">
        <v>56716</v>
      </c>
      <c r="I4281" s="48" t="s">
        <v>50564</v>
      </c>
      <c r="J4281" s="48" t="s">
        <v>56716</v>
      </c>
      <c r="K4281" s="50"/>
      <c r="L4281" s="48"/>
    </row>
    <row r="4282" spans="1:12" s="37" customFormat="1" ht="11.25" x14ac:dyDescent="0.2">
      <c r="A4282" s="46" t="s">
        <v>7615</v>
      </c>
      <c r="B4282" s="46" t="s">
        <v>53476</v>
      </c>
      <c r="C4282" s="58" t="str">
        <f>"13415301"</f>
        <v>13415301</v>
      </c>
      <c r="D4282" s="58" t="str">
        <f>""</f>
        <v/>
      </c>
      <c r="E4282" s="46" t="s">
        <v>7617</v>
      </c>
      <c r="F4282" s="46" t="s">
        <v>18242</v>
      </c>
      <c r="G4282" s="46" t="s">
        <v>50584</v>
      </c>
      <c r="H4282" s="48" t="s">
        <v>56716</v>
      </c>
      <c r="I4282" s="48" t="s">
        <v>50564</v>
      </c>
      <c r="J4282" s="48"/>
      <c r="K4282" s="50"/>
      <c r="L4282" s="48"/>
    </row>
    <row r="4283" spans="1:12" s="37" customFormat="1" ht="11.25" x14ac:dyDescent="0.2">
      <c r="A4283" s="46" t="s">
        <v>13810</v>
      </c>
      <c r="B4283" s="46" t="s">
        <v>53477</v>
      </c>
      <c r="C4283" s="58" t="str">
        <f>"17386756"</f>
        <v>17386756</v>
      </c>
      <c r="D4283" s="58" t="str">
        <f>""</f>
        <v/>
      </c>
      <c r="E4283" s="46" t="s">
        <v>13812</v>
      </c>
      <c r="F4283" s="46" t="s">
        <v>50649</v>
      </c>
      <c r="G4283" s="46" t="s">
        <v>50584</v>
      </c>
      <c r="H4283" s="48" t="s">
        <v>56716</v>
      </c>
      <c r="I4283" s="48" t="s">
        <v>50564</v>
      </c>
      <c r="J4283" s="48"/>
      <c r="K4283" s="50"/>
      <c r="L4283" s="48"/>
    </row>
    <row r="4284" spans="1:12" s="37" customFormat="1" ht="11.25" x14ac:dyDescent="0.2">
      <c r="A4284" s="46" t="s">
        <v>12357</v>
      </c>
      <c r="B4284" s="46" t="s">
        <v>53478</v>
      </c>
      <c r="C4284" s="58" t="str">
        <f>"17527155"</f>
        <v>17527155</v>
      </c>
      <c r="D4284" s="58" t="str">
        <f>"17527163"</f>
        <v>17527163</v>
      </c>
      <c r="E4284" s="46" t="s">
        <v>10223</v>
      </c>
      <c r="F4284" s="46" t="s">
        <v>50646</v>
      </c>
      <c r="G4284" s="46" t="s">
        <v>50584</v>
      </c>
      <c r="H4284" s="48" t="s">
        <v>56716</v>
      </c>
      <c r="I4284" s="48" t="s">
        <v>50564</v>
      </c>
      <c r="J4284" s="48" t="s">
        <v>56716</v>
      </c>
      <c r="K4284" s="50"/>
      <c r="L4284" s="48" t="s">
        <v>56716</v>
      </c>
    </row>
    <row r="4285" spans="1:12" s="37" customFormat="1" ht="11.25" x14ac:dyDescent="0.2">
      <c r="A4285" s="46" t="s">
        <v>15395</v>
      </c>
      <c r="B4285" s="46" t="s">
        <v>53479</v>
      </c>
      <c r="C4285" s="58" t="str">
        <f>"19446586"</f>
        <v>19446586</v>
      </c>
      <c r="D4285" s="58" t="str">
        <f>"19488270"</f>
        <v>19488270</v>
      </c>
      <c r="E4285" s="46" t="s">
        <v>28</v>
      </c>
      <c r="F4285" s="46" t="s">
        <v>17759</v>
      </c>
      <c r="G4285" s="46" t="s">
        <v>50584</v>
      </c>
      <c r="H4285" s="48" t="s">
        <v>56716</v>
      </c>
      <c r="I4285" s="48" t="s">
        <v>50564</v>
      </c>
      <c r="J4285" s="48" t="s">
        <v>56716</v>
      </c>
      <c r="K4285" s="50"/>
      <c r="L4285" s="48" t="s">
        <v>56716</v>
      </c>
    </row>
    <row r="4286" spans="1:12" s="37" customFormat="1" ht="11.25" x14ac:dyDescent="0.2">
      <c r="A4286" s="46" t="s">
        <v>11517</v>
      </c>
      <c r="B4286" s="46" t="s">
        <v>53480</v>
      </c>
      <c r="C4286" s="58" t="str">
        <f>"1559047X"</f>
        <v>1559047X</v>
      </c>
      <c r="D4286" s="58" t="str">
        <f>"15590488"</f>
        <v>15590488</v>
      </c>
      <c r="E4286" s="46" t="s">
        <v>28</v>
      </c>
      <c r="F4286" s="46" t="s">
        <v>17759</v>
      </c>
      <c r="G4286" s="46" t="s">
        <v>50584</v>
      </c>
      <c r="H4286" s="48" t="s">
        <v>56716</v>
      </c>
      <c r="I4286" s="48" t="s">
        <v>50564</v>
      </c>
      <c r="J4286" s="48"/>
      <c r="K4286" s="50"/>
      <c r="L4286" s="48" t="s">
        <v>56716</v>
      </c>
    </row>
    <row r="4287" spans="1:12" s="37" customFormat="1" ht="11.25" x14ac:dyDescent="0.2">
      <c r="A4287" s="45" t="s">
        <v>34395</v>
      </c>
      <c r="B4287" s="45" t="s">
        <v>34397</v>
      </c>
      <c r="C4287" s="51" t="s">
        <v>34399</v>
      </c>
      <c r="D4287" s="51" t="s">
        <v>34398</v>
      </c>
      <c r="E4287" s="45" t="s">
        <v>34400</v>
      </c>
      <c r="F4287" s="45" t="s">
        <v>50646</v>
      </c>
      <c r="G4287" s="45" t="s">
        <v>50584</v>
      </c>
      <c r="H4287" s="56"/>
      <c r="I4287" s="56" t="s">
        <v>50564</v>
      </c>
      <c r="J4287" s="56"/>
      <c r="K4287" s="50"/>
      <c r="L4287" s="56" t="s">
        <v>56716</v>
      </c>
    </row>
    <row r="4288" spans="1:12" s="37" customFormat="1" ht="11.25" x14ac:dyDescent="0.2">
      <c r="A4288" s="46" t="s">
        <v>15815</v>
      </c>
      <c r="B4288" s="46" t="s">
        <v>53481</v>
      </c>
      <c r="C4288" s="58" t="str">
        <f>"21905991"</f>
        <v>21905991</v>
      </c>
      <c r="D4288" s="58" t="str">
        <f>"21906009"</f>
        <v>21906009</v>
      </c>
      <c r="E4288" s="46" t="s">
        <v>167</v>
      </c>
      <c r="F4288" s="46" t="s">
        <v>18158</v>
      </c>
      <c r="G4288" s="46" t="s">
        <v>50584</v>
      </c>
      <c r="H4288" s="48" t="s">
        <v>56716</v>
      </c>
      <c r="I4288" s="48" t="s">
        <v>50564</v>
      </c>
      <c r="J4288" s="48" t="s">
        <v>56716</v>
      </c>
      <c r="K4288" s="50" t="s">
        <v>56716</v>
      </c>
      <c r="L4288" s="48"/>
    </row>
    <row r="4289" spans="1:12" s="37" customFormat="1" ht="11.25" x14ac:dyDescent="0.2">
      <c r="A4289" s="46" t="s">
        <v>15760</v>
      </c>
      <c r="B4289" s="46" t="s">
        <v>53482</v>
      </c>
      <c r="C4289" s="58" t="str">
        <f>"21565783"</f>
        <v>21565783</v>
      </c>
      <c r="D4289" s="58" t="str">
        <f>"21565368"</f>
        <v>21565368</v>
      </c>
      <c r="E4289" s="46" t="s">
        <v>4337</v>
      </c>
      <c r="F4289" s="46" t="s">
        <v>17759</v>
      </c>
      <c r="G4289" s="46" t="s">
        <v>50584</v>
      </c>
      <c r="H4289" s="48" t="s">
        <v>56716</v>
      </c>
      <c r="I4289" s="48" t="s">
        <v>50564</v>
      </c>
      <c r="J4289" s="48" t="s">
        <v>56716</v>
      </c>
      <c r="K4289" s="50"/>
      <c r="L4289" s="48"/>
    </row>
    <row r="4290" spans="1:12" s="37" customFormat="1" ht="11.25" x14ac:dyDescent="0.2">
      <c r="A4290" s="46" t="s">
        <v>15873</v>
      </c>
      <c r="B4290" s="46" t="s">
        <v>53483</v>
      </c>
      <c r="C4290" s="58" t="str">
        <f>""</f>
        <v/>
      </c>
      <c r="D4290" s="58" t="str">
        <f>"18379664"</f>
        <v>18379664</v>
      </c>
      <c r="E4290" s="46" t="s">
        <v>10608</v>
      </c>
      <c r="F4290" s="46" t="s">
        <v>20082</v>
      </c>
      <c r="G4290" s="46" t="s">
        <v>50584</v>
      </c>
      <c r="H4290" s="48" t="s">
        <v>56716</v>
      </c>
      <c r="I4290" s="48" t="s">
        <v>50564</v>
      </c>
      <c r="J4290" s="48"/>
      <c r="K4290" s="50"/>
      <c r="L4290" s="48"/>
    </row>
    <row r="4291" spans="1:12" s="37" customFormat="1" ht="11.25" x14ac:dyDescent="0.2">
      <c r="A4291" s="45" t="s">
        <v>34402</v>
      </c>
      <c r="B4291" s="45" t="s">
        <v>34404</v>
      </c>
      <c r="C4291" s="51" t="s">
        <v>34406</v>
      </c>
      <c r="D4291" s="51" t="s">
        <v>34405</v>
      </c>
      <c r="E4291" s="45" t="s">
        <v>17783</v>
      </c>
      <c r="F4291" s="45" t="s">
        <v>50646</v>
      </c>
      <c r="G4291" s="45" t="s">
        <v>50584</v>
      </c>
      <c r="H4291" s="56"/>
      <c r="I4291" s="56" t="s">
        <v>50564</v>
      </c>
      <c r="J4291" s="56"/>
      <c r="K4291" s="50"/>
      <c r="L4291" s="56" t="s">
        <v>56716</v>
      </c>
    </row>
    <row r="4292" spans="1:12" s="37" customFormat="1" ht="11.25" x14ac:dyDescent="0.2">
      <c r="A4292" s="46" t="s">
        <v>13116</v>
      </c>
      <c r="B4292" s="46" t="s">
        <v>53484</v>
      </c>
      <c r="C4292" s="58" t="str">
        <f>"16878558"</f>
        <v>16878558</v>
      </c>
      <c r="D4292" s="58" t="str">
        <f>"16878566"</f>
        <v>16878566</v>
      </c>
      <c r="E4292" s="46" t="s">
        <v>1412</v>
      </c>
      <c r="F4292" s="46" t="s">
        <v>17759</v>
      </c>
      <c r="G4292" s="46" t="s">
        <v>50584</v>
      </c>
      <c r="H4292" s="48" t="s">
        <v>56716</v>
      </c>
      <c r="I4292" s="48" t="s">
        <v>50564</v>
      </c>
      <c r="J4292" s="48" t="s">
        <v>56716</v>
      </c>
      <c r="K4292" s="50"/>
      <c r="L4292" s="48"/>
    </row>
    <row r="4293" spans="1:12" s="37" customFormat="1" ht="11.25" x14ac:dyDescent="0.2">
      <c r="A4293" s="46" t="s">
        <v>12208</v>
      </c>
      <c r="B4293" s="46" t="s">
        <v>53485</v>
      </c>
      <c r="C4293" s="58" t="str">
        <f>"18160735"</f>
        <v>18160735</v>
      </c>
      <c r="D4293" s="58" t="str">
        <f>"18174256"</f>
        <v>18174256</v>
      </c>
      <c r="E4293" s="46" t="s">
        <v>12211</v>
      </c>
      <c r="F4293" s="46" t="s">
        <v>50654</v>
      </c>
      <c r="G4293" s="46" t="s">
        <v>50584</v>
      </c>
      <c r="H4293" s="48" t="s">
        <v>56716</v>
      </c>
      <c r="I4293" s="48" t="s">
        <v>50564</v>
      </c>
      <c r="J4293" s="48"/>
      <c r="K4293" s="50"/>
      <c r="L4293" s="48"/>
    </row>
    <row r="4294" spans="1:12" s="37" customFormat="1" ht="11.25" x14ac:dyDescent="0.2">
      <c r="A4294" s="46" t="s">
        <v>17198</v>
      </c>
      <c r="B4294" s="46" t="s">
        <v>53486</v>
      </c>
      <c r="C4294" s="58" t="str">
        <f>""</f>
        <v/>
      </c>
      <c r="D4294" s="58" t="str">
        <f>"22135383"</f>
        <v>22135383</v>
      </c>
      <c r="E4294" s="46" t="s">
        <v>155</v>
      </c>
      <c r="F4294" s="46" t="s">
        <v>50646</v>
      </c>
      <c r="G4294" s="46" t="s">
        <v>50584</v>
      </c>
      <c r="H4294" s="48" t="s">
        <v>56716</v>
      </c>
      <c r="I4294" s="48" t="s">
        <v>50564</v>
      </c>
      <c r="J4294" s="48" t="s">
        <v>56716</v>
      </c>
      <c r="K4294" s="50" t="s">
        <v>56716</v>
      </c>
      <c r="L4294" s="48"/>
    </row>
    <row r="4295" spans="1:12" s="37" customFormat="1" ht="11.25" x14ac:dyDescent="0.2">
      <c r="A4295" s="46" t="s">
        <v>56396</v>
      </c>
      <c r="B4295" s="46" t="s">
        <v>56397</v>
      </c>
      <c r="C4295" s="58" t="str">
        <f>"23567201"</f>
        <v>23567201</v>
      </c>
      <c r="D4295" s="58" t="str">
        <f>"23146915"</f>
        <v>23146915</v>
      </c>
      <c r="E4295" s="46" t="s">
        <v>1412</v>
      </c>
      <c r="F4295" s="46" t="s">
        <v>17759</v>
      </c>
      <c r="G4295" s="46" t="s">
        <v>50584</v>
      </c>
      <c r="H4295" s="48" t="s">
        <v>56716</v>
      </c>
      <c r="I4295" s="48" t="s">
        <v>50564</v>
      </c>
      <c r="J4295" s="48"/>
      <c r="K4295" s="50"/>
      <c r="L4295" s="48"/>
    </row>
    <row r="4296" spans="1:12" s="37" customFormat="1" ht="11.25" x14ac:dyDescent="0.2">
      <c r="A4296" s="46" t="s">
        <v>2266</v>
      </c>
      <c r="B4296" s="46" t="s">
        <v>53487</v>
      </c>
      <c r="C4296" s="58" t="str">
        <f>"01715216"</f>
        <v>01715216</v>
      </c>
      <c r="D4296" s="58" t="str">
        <f>"14321335"</f>
        <v>14321335</v>
      </c>
      <c r="E4296" s="46" t="s">
        <v>167</v>
      </c>
      <c r="F4296" s="46" t="s">
        <v>18158</v>
      </c>
      <c r="G4296" s="46" t="s">
        <v>50584</v>
      </c>
      <c r="H4296" s="48" t="s">
        <v>56716</v>
      </c>
      <c r="I4296" s="48" t="s">
        <v>50564</v>
      </c>
      <c r="J4296" s="48" t="s">
        <v>56716</v>
      </c>
      <c r="K4296" s="50" t="s">
        <v>56716</v>
      </c>
      <c r="L4296" s="48" t="s">
        <v>56716</v>
      </c>
    </row>
    <row r="4297" spans="1:12" s="37" customFormat="1" ht="11.25" x14ac:dyDescent="0.2">
      <c r="A4297" s="46" t="s">
        <v>10764</v>
      </c>
      <c r="B4297" s="46" t="s">
        <v>53488</v>
      </c>
      <c r="C4297" s="58" t="str">
        <f>"09731482"</f>
        <v>09731482</v>
      </c>
      <c r="D4297" s="58" t="str">
        <f>"19984138"</f>
        <v>19984138</v>
      </c>
      <c r="E4297" s="46" t="s">
        <v>19057</v>
      </c>
      <c r="F4297" s="46" t="s">
        <v>20446</v>
      </c>
      <c r="G4297" s="46" t="s">
        <v>50584</v>
      </c>
      <c r="H4297" s="48" t="s">
        <v>56716</v>
      </c>
      <c r="I4297" s="48" t="s">
        <v>50564</v>
      </c>
      <c r="J4297" s="48"/>
      <c r="K4297" s="50"/>
      <c r="L4297" s="48" t="s">
        <v>56716</v>
      </c>
    </row>
    <row r="4298" spans="1:12" s="37" customFormat="1" ht="11.25" x14ac:dyDescent="0.2">
      <c r="A4298" s="45" t="s">
        <v>34417</v>
      </c>
      <c r="B4298" s="45" t="s">
        <v>34419</v>
      </c>
      <c r="C4298" s="51" t="s">
        <v>34421</v>
      </c>
      <c r="D4298" s="51" t="s">
        <v>34420</v>
      </c>
      <c r="E4298" s="45" t="s">
        <v>19161</v>
      </c>
      <c r="F4298" s="45" t="s">
        <v>17759</v>
      </c>
      <c r="G4298" s="45" t="s">
        <v>50584</v>
      </c>
      <c r="H4298" s="56"/>
      <c r="I4298" s="56" t="s">
        <v>50564</v>
      </c>
      <c r="J4298" s="56"/>
      <c r="K4298" s="50"/>
      <c r="L4298" s="56" t="s">
        <v>56716</v>
      </c>
    </row>
    <row r="4299" spans="1:12" s="37" customFormat="1" ht="11.25" x14ac:dyDescent="0.2">
      <c r="A4299" s="46" t="s">
        <v>9749</v>
      </c>
      <c r="B4299" s="46" t="s">
        <v>53489</v>
      </c>
      <c r="C4299" s="58" t="str">
        <f>"09746773"</f>
        <v>09746773</v>
      </c>
      <c r="D4299" s="58" t="str">
        <f>"14773163"</f>
        <v>14773163</v>
      </c>
      <c r="E4299" s="46" t="s">
        <v>19057</v>
      </c>
      <c r="F4299" s="46" t="s">
        <v>20446</v>
      </c>
      <c r="G4299" s="46" t="s">
        <v>50584</v>
      </c>
      <c r="H4299" s="48" t="s">
        <v>56716</v>
      </c>
      <c r="I4299" s="48" t="s">
        <v>50564</v>
      </c>
      <c r="J4299" s="48"/>
      <c r="K4299" s="50"/>
      <c r="L4299" s="48"/>
    </row>
    <row r="4300" spans="1:12" s="37" customFormat="1" ht="11.25" x14ac:dyDescent="0.2">
      <c r="A4300" s="46" t="s">
        <v>7143</v>
      </c>
      <c r="B4300" s="46" t="s">
        <v>53490</v>
      </c>
      <c r="C4300" s="58" t="str">
        <f>"10719164"</f>
        <v>10719164</v>
      </c>
      <c r="D4300" s="58" t="str">
        <f>"15328414"</f>
        <v>15328414</v>
      </c>
      <c r="E4300" s="46" t="s">
        <v>2296</v>
      </c>
      <c r="F4300" s="46" t="s">
        <v>17759</v>
      </c>
      <c r="G4300" s="46" t="s">
        <v>50584</v>
      </c>
      <c r="H4300" s="48" t="s">
        <v>56716</v>
      </c>
      <c r="I4300" s="48" t="s">
        <v>50564</v>
      </c>
      <c r="J4300" s="48" t="s">
        <v>56716</v>
      </c>
      <c r="K4300" s="50" t="s">
        <v>56716</v>
      </c>
      <c r="L4300" s="48" t="s">
        <v>56716</v>
      </c>
    </row>
    <row r="4301" spans="1:12" s="37" customFormat="1" ht="11.25" x14ac:dyDescent="0.2">
      <c r="A4301" s="46" t="s">
        <v>4270</v>
      </c>
      <c r="B4301" s="46" t="s">
        <v>53491</v>
      </c>
      <c r="C4301" s="58" t="str">
        <f>"08860440"</f>
        <v>08860440</v>
      </c>
      <c r="D4301" s="58" t="str">
        <f>"15408191"</f>
        <v>15408191</v>
      </c>
      <c r="E4301" s="46" t="s">
        <v>548</v>
      </c>
      <c r="F4301" s="46" t="s">
        <v>17759</v>
      </c>
      <c r="G4301" s="46" t="s">
        <v>50584</v>
      </c>
      <c r="H4301" s="48" t="s">
        <v>56716</v>
      </c>
      <c r="I4301" s="48" t="s">
        <v>50564</v>
      </c>
      <c r="J4301" s="48"/>
      <c r="K4301" s="50" t="s">
        <v>56716</v>
      </c>
      <c r="L4301" s="48" t="s">
        <v>56716</v>
      </c>
    </row>
    <row r="4302" spans="1:12" s="37" customFormat="1" ht="11.25" x14ac:dyDescent="0.2">
      <c r="A4302" s="46" t="s">
        <v>4581</v>
      </c>
      <c r="B4302" s="46" t="s">
        <v>53492</v>
      </c>
      <c r="C4302" s="58" t="str">
        <f>"09145087"</f>
        <v>09145087</v>
      </c>
      <c r="D4302" s="58" t="str">
        <f>"18764738"</f>
        <v>18764738</v>
      </c>
      <c r="E4302" s="46" t="s">
        <v>4584</v>
      </c>
      <c r="F4302" s="46" t="s">
        <v>18242</v>
      </c>
      <c r="G4302" s="46" t="s">
        <v>50604</v>
      </c>
      <c r="H4302" s="48" t="s">
        <v>56716</v>
      </c>
      <c r="I4302" s="48" t="s">
        <v>50564</v>
      </c>
      <c r="J4302" s="48"/>
      <c r="K4302" s="50" t="s">
        <v>56716</v>
      </c>
      <c r="L4302" s="48" t="s">
        <v>56716</v>
      </c>
    </row>
    <row r="4303" spans="1:12" s="37" customFormat="1" ht="11.25" x14ac:dyDescent="0.2">
      <c r="A4303" s="46" t="s">
        <v>13869</v>
      </c>
      <c r="B4303" s="46" t="s">
        <v>53493</v>
      </c>
      <c r="C4303" s="58" t="str">
        <f>"18785409"</f>
        <v>18785409</v>
      </c>
      <c r="D4303" s="58" t="str">
        <f>"18785409"</f>
        <v>18785409</v>
      </c>
      <c r="E4303" s="46" t="s">
        <v>155</v>
      </c>
      <c r="F4303" s="46" t="s">
        <v>50646</v>
      </c>
      <c r="G4303" s="46" t="s">
        <v>50584</v>
      </c>
      <c r="H4303" s="48" t="s">
        <v>56716</v>
      </c>
      <c r="I4303" s="48" t="s">
        <v>50564</v>
      </c>
      <c r="J4303" s="48" t="s">
        <v>56716</v>
      </c>
      <c r="K4303" s="50" t="s">
        <v>56716</v>
      </c>
      <c r="L4303" s="48"/>
    </row>
    <row r="4304" spans="1:12" s="37" customFormat="1" ht="11.25" x14ac:dyDescent="0.2">
      <c r="A4304" s="46" t="s">
        <v>12042</v>
      </c>
      <c r="B4304" s="46" t="s">
        <v>53494</v>
      </c>
      <c r="C4304" s="58" t="str">
        <f>"19327501"</f>
        <v>19327501</v>
      </c>
      <c r="D4304" s="58" t="str">
        <f>"1932751X"</f>
        <v>1932751X</v>
      </c>
      <c r="E4304" s="46" t="s">
        <v>28</v>
      </c>
      <c r="F4304" s="46" t="s">
        <v>17759</v>
      </c>
      <c r="G4304" s="46" t="s">
        <v>50584</v>
      </c>
      <c r="H4304" s="48" t="s">
        <v>56716</v>
      </c>
      <c r="I4304" s="48" t="s">
        <v>50564</v>
      </c>
      <c r="J4304" s="48" t="s">
        <v>56716</v>
      </c>
      <c r="K4304" s="50" t="s">
        <v>56716</v>
      </c>
      <c r="L4304" s="48" t="s">
        <v>56716</v>
      </c>
    </row>
    <row r="4305" spans="1:12" s="37" customFormat="1" ht="11.25" x14ac:dyDescent="0.2">
      <c r="A4305" s="46" t="s">
        <v>5564</v>
      </c>
      <c r="B4305" s="46" t="s">
        <v>53495</v>
      </c>
      <c r="C4305" s="58" t="str">
        <f>"10530770"</f>
        <v>10530770</v>
      </c>
      <c r="D4305" s="58" t="str">
        <f>"15328422"</f>
        <v>15328422</v>
      </c>
      <c r="E4305" s="46" t="s">
        <v>303</v>
      </c>
      <c r="F4305" s="46" t="s">
        <v>17759</v>
      </c>
      <c r="G4305" s="46" t="s">
        <v>50584</v>
      </c>
      <c r="H4305" s="48" t="s">
        <v>56716</v>
      </c>
      <c r="I4305" s="48" t="s">
        <v>50564</v>
      </c>
      <c r="J4305" s="48" t="s">
        <v>56716</v>
      </c>
      <c r="K4305" s="50" t="s">
        <v>56716</v>
      </c>
      <c r="L4305" s="48" t="s">
        <v>56716</v>
      </c>
    </row>
    <row r="4306" spans="1:12" s="37" customFormat="1" ht="11.25" x14ac:dyDescent="0.2">
      <c r="A4306" s="45" t="s">
        <v>34457</v>
      </c>
      <c r="B4306" s="45" t="s">
        <v>34459</v>
      </c>
      <c r="C4306" s="51"/>
      <c r="D4306" s="51" t="s">
        <v>34460</v>
      </c>
      <c r="E4306" s="45" t="s">
        <v>18570</v>
      </c>
      <c r="F4306" s="45" t="s">
        <v>50646</v>
      </c>
      <c r="G4306" s="45" t="s">
        <v>50584</v>
      </c>
      <c r="H4306" s="56"/>
      <c r="I4306" s="56" t="s">
        <v>50564</v>
      </c>
      <c r="J4306" s="56"/>
      <c r="K4306" s="50"/>
      <c r="L4306" s="56" t="s">
        <v>56716</v>
      </c>
    </row>
    <row r="4307" spans="1:12" s="37" customFormat="1" ht="11.25" x14ac:dyDescent="0.2">
      <c r="A4307" s="46" t="s">
        <v>16224</v>
      </c>
      <c r="B4307" s="46" t="s">
        <v>53496</v>
      </c>
      <c r="C4307" s="58" t="str">
        <f>"20085117"</f>
        <v>20085117</v>
      </c>
      <c r="D4307" s="58" t="str">
        <f>"20086830"</f>
        <v>20086830</v>
      </c>
      <c r="E4307" s="46" t="s">
        <v>13621</v>
      </c>
      <c r="F4307" s="46" t="s">
        <v>18232</v>
      </c>
      <c r="G4307" s="46" t="s">
        <v>50584</v>
      </c>
      <c r="H4307" s="48" t="s">
        <v>56716</v>
      </c>
      <c r="I4307" s="48" t="s">
        <v>50564</v>
      </c>
      <c r="J4307" s="48"/>
      <c r="K4307" s="50"/>
      <c r="L4307" s="48"/>
    </row>
    <row r="4308" spans="1:12" s="37" customFormat="1" ht="11.25" x14ac:dyDescent="0.2">
      <c r="A4308" s="46" t="s">
        <v>12264</v>
      </c>
      <c r="B4308" s="46" t="s">
        <v>53497</v>
      </c>
      <c r="C4308" s="58" t="str">
        <f>"19345925"</f>
        <v>19345925</v>
      </c>
      <c r="D4308" s="58" t="str">
        <f>"1876861X"</f>
        <v>1876861X</v>
      </c>
      <c r="E4308" s="46" t="s">
        <v>272</v>
      </c>
      <c r="F4308" s="46" t="s">
        <v>17759</v>
      </c>
      <c r="G4308" s="46" t="s">
        <v>50584</v>
      </c>
      <c r="H4308" s="48" t="s">
        <v>56716</v>
      </c>
      <c r="I4308" s="48" t="s">
        <v>50564</v>
      </c>
      <c r="J4308" s="48" t="s">
        <v>56716</v>
      </c>
      <c r="K4308" s="50" t="s">
        <v>56716</v>
      </c>
      <c r="L4308" s="48" t="s">
        <v>56716</v>
      </c>
    </row>
    <row r="4309" spans="1:12" s="37" customFormat="1" ht="11.25" x14ac:dyDescent="0.2">
      <c r="A4309" s="46" t="s">
        <v>15252</v>
      </c>
      <c r="B4309" s="46" t="s">
        <v>53498</v>
      </c>
      <c r="C4309" s="58" t="str">
        <f>"09753583"</f>
        <v>09753583</v>
      </c>
      <c r="D4309" s="58" t="str">
        <f>"09762833"</f>
        <v>09762833</v>
      </c>
      <c r="E4309" s="46" t="s">
        <v>56107</v>
      </c>
      <c r="F4309" s="46" t="s">
        <v>20446</v>
      </c>
      <c r="G4309" s="46" t="s">
        <v>50584</v>
      </c>
      <c r="H4309" s="48" t="s">
        <v>56716</v>
      </c>
      <c r="I4309" s="48" t="s">
        <v>50564</v>
      </c>
      <c r="J4309" s="48" t="s">
        <v>56716</v>
      </c>
      <c r="K4309" s="50"/>
      <c r="L4309" s="48"/>
    </row>
    <row r="4310" spans="1:12" s="37" customFormat="1" ht="11.25" x14ac:dyDescent="0.2">
      <c r="A4310" s="46" t="s">
        <v>15474</v>
      </c>
      <c r="B4310" s="46" t="s">
        <v>53499</v>
      </c>
      <c r="C4310" s="58" t="str">
        <f>"22114122"</f>
        <v>22114122</v>
      </c>
      <c r="D4310" s="58" t="str">
        <f>"2347193X"</f>
        <v>2347193X</v>
      </c>
      <c r="E4310" s="46" t="s">
        <v>19057</v>
      </c>
      <c r="F4310" s="46" t="s">
        <v>20446</v>
      </c>
      <c r="G4310" s="46" t="s">
        <v>50603</v>
      </c>
      <c r="H4310" s="48" t="s">
        <v>56716</v>
      </c>
      <c r="I4310" s="48" t="s">
        <v>50564</v>
      </c>
      <c r="J4310" s="48"/>
      <c r="K4310" s="50"/>
      <c r="L4310" s="48"/>
    </row>
    <row r="4311" spans="1:12" s="37" customFormat="1" ht="11.25" x14ac:dyDescent="0.2">
      <c r="A4311" s="46" t="s">
        <v>5175</v>
      </c>
      <c r="B4311" s="46" t="s">
        <v>53500</v>
      </c>
      <c r="C4311" s="58" t="str">
        <f>"10453873"</f>
        <v>10453873</v>
      </c>
      <c r="D4311" s="58" t="str">
        <f>"15408167"</f>
        <v>15408167</v>
      </c>
      <c r="E4311" s="46" t="s">
        <v>548</v>
      </c>
      <c r="F4311" s="46" t="s">
        <v>17759</v>
      </c>
      <c r="G4311" s="46" t="s">
        <v>50584</v>
      </c>
      <c r="H4311" s="48" t="s">
        <v>56716</v>
      </c>
      <c r="I4311" s="48" t="s">
        <v>50564</v>
      </c>
      <c r="J4311" s="48" t="s">
        <v>56716</v>
      </c>
      <c r="K4311" s="50" t="s">
        <v>56716</v>
      </c>
      <c r="L4311" s="48" t="s">
        <v>56716</v>
      </c>
    </row>
    <row r="4312" spans="1:12" s="37" customFormat="1" ht="11.25" x14ac:dyDescent="0.2">
      <c r="A4312" s="46" t="s">
        <v>8019</v>
      </c>
      <c r="B4312" s="46" t="s">
        <v>53501</v>
      </c>
      <c r="C4312" s="58" t="str">
        <f>"10976647"</f>
        <v>10976647</v>
      </c>
      <c r="D4312" s="58" t="str">
        <f>"1532429X"</f>
        <v>1532429X</v>
      </c>
      <c r="E4312" s="46" t="s">
        <v>2299</v>
      </c>
      <c r="F4312" s="46" t="s">
        <v>50646</v>
      </c>
      <c r="G4312" s="46" t="s">
        <v>50584</v>
      </c>
      <c r="H4312" s="48" t="s">
        <v>56716</v>
      </c>
      <c r="I4312" s="48" t="s">
        <v>50564</v>
      </c>
      <c r="J4312" s="48" t="s">
        <v>56716</v>
      </c>
      <c r="K4312" s="50" t="s">
        <v>56716</v>
      </c>
      <c r="L4312" s="48" t="s">
        <v>56716</v>
      </c>
    </row>
    <row r="4313" spans="1:12" s="37" customFormat="1" ht="11.25" x14ac:dyDescent="0.2">
      <c r="A4313" s="46" t="s">
        <v>10898</v>
      </c>
      <c r="B4313" s="46" t="s">
        <v>53502</v>
      </c>
      <c r="C4313" s="58" t="str">
        <f>"15582027"</f>
        <v>15582027</v>
      </c>
      <c r="D4313" s="58" t="str">
        <f>"15582035"</f>
        <v>15582035</v>
      </c>
      <c r="E4313" s="46" t="s">
        <v>28</v>
      </c>
      <c r="F4313" s="46" t="s">
        <v>17759</v>
      </c>
      <c r="G4313" s="46" t="s">
        <v>50584</v>
      </c>
      <c r="H4313" s="48" t="s">
        <v>56716</v>
      </c>
      <c r="I4313" s="48" t="s">
        <v>50564</v>
      </c>
      <c r="J4313" s="48"/>
      <c r="K4313" s="50" t="s">
        <v>56716</v>
      </c>
      <c r="L4313" s="48" t="s">
        <v>56716</v>
      </c>
    </row>
    <row r="4314" spans="1:12" s="37" customFormat="1" ht="11.25" x14ac:dyDescent="0.2">
      <c r="A4314" s="46" t="s">
        <v>2254</v>
      </c>
      <c r="B4314" s="46" t="s">
        <v>53503</v>
      </c>
      <c r="C4314" s="58" t="str">
        <f>"01602446"</f>
        <v>01602446</v>
      </c>
      <c r="D4314" s="58" t="str">
        <f>"15334023"</f>
        <v>15334023</v>
      </c>
      <c r="E4314" s="46" t="s">
        <v>28</v>
      </c>
      <c r="F4314" s="46" t="s">
        <v>17759</v>
      </c>
      <c r="G4314" s="46" t="s">
        <v>50584</v>
      </c>
      <c r="H4314" s="48" t="s">
        <v>56716</v>
      </c>
      <c r="I4314" s="48" t="s">
        <v>50564</v>
      </c>
      <c r="J4314" s="48" t="s">
        <v>56716</v>
      </c>
      <c r="K4314" s="50" t="s">
        <v>56716</v>
      </c>
      <c r="L4314" s="48" t="s">
        <v>56716</v>
      </c>
    </row>
    <row r="4315" spans="1:12" s="37" customFormat="1" ht="11.25" x14ac:dyDescent="0.2">
      <c r="A4315" s="46" t="s">
        <v>7220</v>
      </c>
      <c r="B4315" s="46" t="s">
        <v>53504</v>
      </c>
      <c r="C4315" s="58" t="str">
        <f>"10742484"</f>
        <v>10742484</v>
      </c>
      <c r="D4315" s="58" t="str">
        <f>"19404034"</f>
        <v>19404034</v>
      </c>
      <c r="E4315" s="46" t="s">
        <v>97</v>
      </c>
      <c r="F4315" s="46" t="s">
        <v>50646</v>
      </c>
      <c r="G4315" s="46" t="s">
        <v>50584</v>
      </c>
      <c r="H4315" s="48" t="s">
        <v>56716</v>
      </c>
      <c r="I4315" s="48" t="s">
        <v>50564</v>
      </c>
      <c r="J4315" s="48" t="s">
        <v>56716</v>
      </c>
      <c r="K4315" s="50"/>
      <c r="L4315" s="48" t="s">
        <v>56716</v>
      </c>
    </row>
    <row r="4316" spans="1:12" s="37" customFormat="1" ht="11.25" x14ac:dyDescent="0.2">
      <c r="A4316" s="46" t="s">
        <v>2278</v>
      </c>
      <c r="B4316" s="46" t="s">
        <v>53505</v>
      </c>
      <c r="C4316" s="58" t="str">
        <f>"00219509"</f>
        <v>00219509</v>
      </c>
      <c r="D4316" s="58" t="str">
        <f>""</f>
        <v/>
      </c>
      <c r="E4316" s="46" t="s">
        <v>1708</v>
      </c>
      <c r="F4316" s="46" t="s">
        <v>17991</v>
      </c>
      <c r="G4316" s="46" t="s">
        <v>50584</v>
      </c>
      <c r="H4316" s="48" t="s">
        <v>56716</v>
      </c>
      <c r="I4316" s="48" t="s">
        <v>50564</v>
      </c>
      <c r="J4316" s="48"/>
      <c r="K4316" s="50"/>
      <c r="L4316" s="48" t="s">
        <v>56716</v>
      </c>
    </row>
    <row r="4317" spans="1:12" s="37" customFormat="1" ht="11.25" x14ac:dyDescent="0.2">
      <c r="A4317" s="46" t="s">
        <v>12980</v>
      </c>
      <c r="B4317" s="46" t="s">
        <v>53506</v>
      </c>
      <c r="C4317" s="58" t="str">
        <f>"19375387"</f>
        <v>19375387</v>
      </c>
      <c r="D4317" s="58" t="str">
        <f>"19375395"</f>
        <v>19375395</v>
      </c>
      <c r="E4317" s="46" t="s">
        <v>56305</v>
      </c>
      <c r="F4317" s="46" t="s">
        <v>17759</v>
      </c>
      <c r="G4317" s="46" t="s">
        <v>50584</v>
      </c>
      <c r="H4317" s="48" t="s">
        <v>56716</v>
      </c>
      <c r="I4317" s="48" t="s">
        <v>50564</v>
      </c>
      <c r="J4317" s="48" t="s">
        <v>56716</v>
      </c>
      <c r="K4317" s="50" t="s">
        <v>56716</v>
      </c>
      <c r="L4317" s="48" t="s">
        <v>56716</v>
      </c>
    </row>
    <row r="4318" spans="1:12" s="37" customFormat="1" ht="11.25" x14ac:dyDescent="0.2">
      <c r="A4318" s="46" t="s">
        <v>16333</v>
      </c>
      <c r="B4318" s="46" t="s">
        <v>53507</v>
      </c>
      <c r="C4318" s="58" t="str">
        <f>"19754612"</f>
        <v>19754612</v>
      </c>
      <c r="D4318" s="58" t="str">
        <f>"20059655"</f>
        <v>20059655</v>
      </c>
      <c r="E4318" s="46" t="s">
        <v>16336</v>
      </c>
      <c r="F4318" s="46" t="s">
        <v>50649</v>
      </c>
      <c r="G4318" s="46" t="s">
        <v>50584</v>
      </c>
      <c r="H4318" s="48" t="s">
        <v>56716</v>
      </c>
      <c r="I4318" s="48" t="s">
        <v>50564</v>
      </c>
      <c r="J4318" s="48"/>
      <c r="K4318" s="50"/>
      <c r="L4318" s="48"/>
    </row>
    <row r="4319" spans="1:12" s="37" customFormat="1" ht="11.25" x14ac:dyDescent="0.2">
      <c r="A4319" s="46" t="s">
        <v>2269</v>
      </c>
      <c r="B4319" s="46" t="s">
        <v>53508</v>
      </c>
      <c r="C4319" s="58" t="str">
        <f>"08863350"</f>
        <v>08863350</v>
      </c>
      <c r="D4319" s="58" t="str">
        <f>"18734502"</f>
        <v>18734502</v>
      </c>
      <c r="E4319" s="46" t="s">
        <v>272</v>
      </c>
      <c r="F4319" s="46" t="s">
        <v>17759</v>
      </c>
      <c r="G4319" s="46" t="s">
        <v>50584</v>
      </c>
      <c r="H4319" s="48" t="s">
        <v>56716</v>
      </c>
      <c r="I4319" s="48" t="s">
        <v>50564</v>
      </c>
      <c r="J4319" s="48" t="s">
        <v>56716</v>
      </c>
      <c r="K4319" s="50" t="s">
        <v>56716</v>
      </c>
      <c r="L4319" s="48" t="s">
        <v>56716</v>
      </c>
    </row>
    <row r="4320" spans="1:12" s="37" customFormat="1" ht="11.25" x14ac:dyDescent="0.2">
      <c r="A4320" s="46" t="s">
        <v>11897</v>
      </c>
      <c r="B4320" s="46" t="s">
        <v>53509</v>
      </c>
      <c r="C4320" s="58" t="str">
        <f>"13033546"</f>
        <v>13033546</v>
      </c>
      <c r="D4320" s="58" t="str">
        <f>""</f>
        <v/>
      </c>
      <c r="E4320" s="46" t="s">
        <v>11897</v>
      </c>
      <c r="F4320" s="46" t="s">
        <v>18396</v>
      </c>
      <c r="G4320" s="46" t="s">
        <v>50584</v>
      </c>
      <c r="H4320" s="48" t="s">
        <v>56716</v>
      </c>
      <c r="I4320" s="48" t="s">
        <v>50564</v>
      </c>
      <c r="J4320" s="48"/>
      <c r="K4320" s="50"/>
      <c r="L4320" s="48"/>
    </row>
    <row r="4321" spans="1:12" s="37" customFormat="1" ht="11.25" x14ac:dyDescent="0.2">
      <c r="A4321" s="46" t="s">
        <v>2222</v>
      </c>
      <c r="B4321" s="46" t="s">
        <v>53510</v>
      </c>
      <c r="C4321" s="58" t="str">
        <f>"00219525"</f>
        <v>00219525</v>
      </c>
      <c r="D4321" s="58" t="str">
        <f>"15408140"</f>
        <v>15408140</v>
      </c>
      <c r="E4321" s="46" t="s">
        <v>2225</v>
      </c>
      <c r="F4321" s="46" t="s">
        <v>17759</v>
      </c>
      <c r="G4321" s="46" t="s">
        <v>50584</v>
      </c>
      <c r="H4321" s="48" t="s">
        <v>56716</v>
      </c>
      <c r="I4321" s="48" t="s">
        <v>50564</v>
      </c>
      <c r="J4321" s="48" t="s">
        <v>56716</v>
      </c>
      <c r="K4321" s="50"/>
      <c r="L4321" s="48" t="s">
        <v>56716</v>
      </c>
    </row>
    <row r="4322" spans="1:12" s="37" customFormat="1" ht="11.25" x14ac:dyDescent="0.2">
      <c r="A4322" s="46" t="s">
        <v>12347</v>
      </c>
      <c r="B4322" s="46" t="s">
        <v>53511</v>
      </c>
      <c r="C4322" s="58" t="str">
        <f>"18739601"</f>
        <v>18739601</v>
      </c>
      <c r="D4322" s="58" t="str">
        <f>"1873961X"</f>
        <v>1873961X</v>
      </c>
      <c r="E4322" s="46" t="s">
        <v>18876</v>
      </c>
      <c r="F4322" s="46" t="s">
        <v>18001</v>
      </c>
      <c r="G4322" s="46" t="s">
        <v>50584</v>
      </c>
      <c r="H4322" s="48" t="s">
        <v>56716</v>
      </c>
      <c r="I4322" s="48" t="s">
        <v>50564</v>
      </c>
      <c r="J4322" s="48" t="s">
        <v>56716</v>
      </c>
      <c r="K4322" s="50" t="s">
        <v>56716</v>
      </c>
      <c r="L4322" s="48"/>
    </row>
    <row r="4323" spans="1:12" s="37" customFormat="1" ht="11.25" x14ac:dyDescent="0.2">
      <c r="A4323" s="46" t="s">
        <v>15509</v>
      </c>
      <c r="B4323" s="46" t="s">
        <v>53512</v>
      </c>
      <c r="C4323" s="58" t="str">
        <f>""</f>
        <v/>
      </c>
      <c r="D4323" s="58" t="str">
        <f>"11790660"</f>
        <v>11790660</v>
      </c>
      <c r="E4323" s="46" t="s">
        <v>11251</v>
      </c>
      <c r="F4323" s="46" t="s">
        <v>19483</v>
      </c>
      <c r="G4323" s="46" t="s">
        <v>50584</v>
      </c>
      <c r="H4323" s="48" t="s">
        <v>56716</v>
      </c>
      <c r="I4323" s="48" t="s">
        <v>50564</v>
      </c>
      <c r="J4323" s="48"/>
      <c r="K4323" s="50"/>
      <c r="L4323" s="48"/>
    </row>
    <row r="4324" spans="1:12" s="37" customFormat="1" ht="11.25" x14ac:dyDescent="0.2">
      <c r="A4324" s="46" t="s">
        <v>2475</v>
      </c>
      <c r="B4324" s="46" t="s">
        <v>53513</v>
      </c>
      <c r="C4324" s="58" t="str">
        <f>"00219533"</f>
        <v>00219533</v>
      </c>
      <c r="D4324" s="58" t="str">
        <f>"14779137"</f>
        <v>14779137</v>
      </c>
      <c r="E4324" s="46" t="s">
        <v>2478</v>
      </c>
      <c r="F4324" s="46" t="s">
        <v>50646</v>
      </c>
      <c r="G4324" s="46" t="s">
        <v>50584</v>
      </c>
      <c r="H4324" s="48" t="s">
        <v>56716</v>
      </c>
      <c r="I4324" s="48" t="s">
        <v>50564</v>
      </c>
      <c r="J4324" s="48" t="s">
        <v>56716</v>
      </c>
      <c r="K4324" s="50"/>
      <c r="L4324" s="48" t="s">
        <v>56716</v>
      </c>
    </row>
    <row r="4325" spans="1:12" s="37" customFormat="1" ht="11.25" x14ac:dyDescent="0.2">
      <c r="A4325" s="46" t="s">
        <v>56311</v>
      </c>
      <c r="B4325" s="46" t="s">
        <v>56312</v>
      </c>
      <c r="C4325" s="58" t="str">
        <f>"15821838"</f>
        <v>15821838</v>
      </c>
      <c r="D4325" s="58" t="str">
        <f>""</f>
        <v/>
      </c>
      <c r="E4325" s="46" t="s">
        <v>548</v>
      </c>
      <c r="F4325" s="46" t="s">
        <v>17759</v>
      </c>
      <c r="G4325" s="46" t="s">
        <v>50584</v>
      </c>
      <c r="H4325" s="48" t="s">
        <v>56716</v>
      </c>
      <c r="I4325" s="48" t="s">
        <v>50564</v>
      </c>
      <c r="J4325" s="48" t="s">
        <v>56716</v>
      </c>
      <c r="K4325" s="50" t="s">
        <v>56716</v>
      </c>
      <c r="L4325" s="48" t="s">
        <v>56716</v>
      </c>
    </row>
    <row r="4326" spans="1:12" s="37" customFormat="1" ht="11.25" x14ac:dyDescent="0.2">
      <c r="A4326" s="46" t="s">
        <v>2200</v>
      </c>
      <c r="B4326" s="46" t="s">
        <v>53514</v>
      </c>
      <c r="C4326" s="58" t="str">
        <f>"07302312"</f>
        <v>07302312</v>
      </c>
      <c r="D4326" s="58" t="str">
        <f>"10974644"</f>
        <v>10974644</v>
      </c>
      <c r="E4326" s="46" t="s">
        <v>320</v>
      </c>
      <c r="F4326" s="46" t="s">
        <v>17759</v>
      </c>
      <c r="G4326" s="46" t="s">
        <v>50584</v>
      </c>
      <c r="H4326" s="48" t="s">
        <v>56716</v>
      </c>
      <c r="I4326" s="48" t="s">
        <v>50564</v>
      </c>
      <c r="J4326" s="48" t="s">
        <v>56716</v>
      </c>
      <c r="K4326" s="50"/>
      <c r="L4326" s="48" t="s">
        <v>56716</v>
      </c>
    </row>
    <row r="4327" spans="1:12" s="37" customFormat="1" ht="11.25" x14ac:dyDescent="0.2">
      <c r="A4327" s="46" t="s">
        <v>56440</v>
      </c>
      <c r="B4327" s="46" t="s">
        <v>56441</v>
      </c>
      <c r="C4327" s="58" t="str">
        <f>""</f>
        <v/>
      </c>
      <c r="D4327" s="58" t="str">
        <f>"23521775"</f>
        <v>23521775</v>
      </c>
      <c r="E4327" s="46" t="s">
        <v>56442</v>
      </c>
      <c r="F4327" s="46" t="s">
        <v>17958</v>
      </c>
      <c r="G4327" s="46" t="s">
        <v>50584</v>
      </c>
      <c r="H4327" s="48" t="s">
        <v>56716</v>
      </c>
      <c r="I4327" s="48" t="s">
        <v>50564</v>
      </c>
      <c r="J4327" s="48"/>
      <c r="K4327" s="50"/>
      <c r="L4327" s="48"/>
    </row>
    <row r="4328" spans="1:12" s="37" customFormat="1" ht="11.25" x14ac:dyDescent="0.2">
      <c r="A4328" s="46" t="s">
        <v>2226</v>
      </c>
      <c r="B4328" s="46" t="s">
        <v>53515</v>
      </c>
      <c r="C4328" s="58" t="str">
        <f>"00219541"</f>
        <v>00219541</v>
      </c>
      <c r="D4328" s="58" t="str">
        <f>"10974652"</f>
        <v>10974652</v>
      </c>
      <c r="E4328" s="46" t="s">
        <v>320</v>
      </c>
      <c r="F4328" s="46" t="s">
        <v>17759</v>
      </c>
      <c r="G4328" s="46" t="s">
        <v>50584</v>
      </c>
      <c r="H4328" s="48" t="s">
        <v>56716</v>
      </c>
      <c r="I4328" s="48" t="s">
        <v>50564</v>
      </c>
      <c r="J4328" s="48" t="s">
        <v>56716</v>
      </c>
      <c r="K4328" s="50"/>
      <c r="L4328" s="48" t="s">
        <v>56716</v>
      </c>
    </row>
    <row r="4329" spans="1:12" s="37" customFormat="1" ht="11.25" x14ac:dyDescent="0.2">
      <c r="A4329" s="46" t="s">
        <v>2194</v>
      </c>
      <c r="B4329" s="46" t="s">
        <v>53516</v>
      </c>
      <c r="C4329" s="58" t="str">
        <f>"0271678X"</f>
        <v>0271678X</v>
      </c>
      <c r="D4329" s="58" t="str">
        <f>"15597016"</f>
        <v>15597016</v>
      </c>
      <c r="E4329" s="46" t="s">
        <v>315</v>
      </c>
      <c r="F4329" s="46" t="s">
        <v>17759</v>
      </c>
      <c r="G4329" s="46" t="s">
        <v>50584</v>
      </c>
      <c r="H4329" s="48" t="s">
        <v>56716</v>
      </c>
      <c r="I4329" s="48" t="s">
        <v>50564</v>
      </c>
      <c r="J4329" s="48" t="s">
        <v>56716</v>
      </c>
      <c r="K4329" s="50" t="s">
        <v>56716</v>
      </c>
      <c r="L4329" s="48" t="s">
        <v>56716</v>
      </c>
    </row>
    <row r="4330" spans="1:12" s="37" customFormat="1" ht="11.25" x14ac:dyDescent="0.2">
      <c r="A4330" s="46" t="s">
        <v>14309</v>
      </c>
      <c r="B4330" s="46" t="s">
        <v>53517</v>
      </c>
      <c r="C4330" s="58" t="str">
        <f>"09742115"</f>
        <v>09742115</v>
      </c>
      <c r="D4330" s="58" t="str">
        <f>""</f>
        <v/>
      </c>
      <c r="E4330" s="46" t="s">
        <v>14311</v>
      </c>
      <c r="F4330" s="46" t="s">
        <v>20446</v>
      </c>
      <c r="G4330" s="46" t="s">
        <v>50584</v>
      </c>
      <c r="H4330" s="48" t="s">
        <v>56716</v>
      </c>
      <c r="I4330" s="48" t="s">
        <v>50564</v>
      </c>
      <c r="J4330" s="48"/>
      <c r="K4330" s="50"/>
      <c r="L4330" s="48"/>
    </row>
    <row r="4331" spans="1:12" s="37" customFormat="1" ht="11.25" x14ac:dyDescent="0.2">
      <c r="A4331" s="46" t="s">
        <v>12983</v>
      </c>
      <c r="B4331" s="46" t="s">
        <v>53518</v>
      </c>
      <c r="C4331" s="58" t="str">
        <f>"18646158"</f>
        <v>18646158</v>
      </c>
      <c r="D4331" s="58" t="str">
        <f>"18646166"</f>
        <v>18646166</v>
      </c>
      <c r="E4331" s="46" t="s">
        <v>167</v>
      </c>
      <c r="F4331" s="46" t="s">
        <v>18158</v>
      </c>
      <c r="G4331" s="46" t="s">
        <v>50584</v>
      </c>
      <c r="H4331" s="48" t="s">
        <v>56716</v>
      </c>
      <c r="I4331" s="48" t="s">
        <v>50564</v>
      </c>
      <c r="J4331" s="48" t="s">
        <v>56716</v>
      </c>
      <c r="K4331" s="50" t="s">
        <v>56716</v>
      </c>
      <c r="L4331" s="48"/>
    </row>
    <row r="4332" spans="1:12" s="37" customFormat="1" ht="11.25" x14ac:dyDescent="0.2">
      <c r="A4332" s="45" t="s">
        <v>34547</v>
      </c>
      <c r="B4332" s="45" t="s">
        <v>34549</v>
      </c>
      <c r="C4332" s="51" t="s">
        <v>34551</v>
      </c>
      <c r="D4332" s="51" t="s">
        <v>34550</v>
      </c>
      <c r="E4332" s="45" t="s">
        <v>17783</v>
      </c>
      <c r="F4332" s="45" t="s">
        <v>17759</v>
      </c>
      <c r="G4332" s="45" t="s">
        <v>50584</v>
      </c>
      <c r="H4332" s="56"/>
      <c r="I4332" s="56" t="s">
        <v>50564</v>
      </c>
      <c r="J4332" s="56"/>
      <c r="K4332" s="50"/>
      <c r="L4332" s="56" t="s">
        <v>56716</v>
      </c>
    </row>
    <row r="4333" spans="1:12" s="37" customFormat="1" ht="11.25" x14ac:dyDescent="0.2">
      <c r="A4333" s="45" t="s">
        <v>34553</v>
      </c>
      <c r="B4333" s="45" t="s">
        <v>34555</v>
      </c>
      <c r="C4333" s="51" t="s">
        <v>34558</v>
      </c>
      <c r="D4333" s="51" t="s">
        <v>34557</v>
      </c>
      <c r="E4333" s="45" t="s">
        <v>776</v>
      </c>
      <c r="F4333" s="45" t="s">
        <v>17759</v>
      </c>
      <c r="G4333" s="45" t="s">
        <v>50584</v>
      </c>
      <c r="H4333" s="56"/>
      <c r="I4333" s="56" t="s">
        <v>50564</v>
      </c>
      <c r="J4333" s="56"/>
      <c r="K4333" s="50"/>
      <c r="L4333" s="56" t="s">
        <v>56716</v>
      </c>
    </row>
    <row r="4334" spans="1:12" s="37" customFormat="1" ht="11.25" x14ac:dyDescent="0.2">
      <c r="A4334" s="46" t="s">
        <v>4632</v>
      </c>
      <c r="B4334" s="46" t="s">
        <v>53519</v>
      </c>
      <c r="C4334" s="58" t="str">
        <f>"08910618"</f>
        <v>08910618</v>
      </c>
      <c r="D4334" s="58" t="str">
        <f>"18736300"</f>
        <v>18736300</v>
      </c>
      <c r="E4334" s="46" t="s">
        <v>91</v>
      </c>
      <c r="F4334" s="46" t="s">
        <v>18001</v>
      </c>
      <c r="G4334" s="46" t="s">
        <v>50584</v>
      </c>
      <c r="H4334" s="48" t="s">
        <v>56716</v>
      </c>
      <c r="I4334" s="48" t="s">
        <v>50564</v>
      </c>
      <c r="J4334" s="48" t="s">
        <v>56716</v>
      </c>
      <c r="K4334" s="50"/>
      <c r="L4334" s="48" t="s">
        <v>56716</v>
      </c>
    </row>
    <row r="4335" spans="1:12" s="37" customFormat="1" ht="11.25" x14ac:dyDescent="0.2">
      <c r="A4335" s="46" t="s">
        <v>2272</v>
      </c>
      <c r="B4335" s="46" t="s">
        <v>53520</v>
      </c>
      <c r="C4335" s="58" t="str">
        <f>"02682575"</f>
        <v>02682575</v>
      </c>
      <c r="D4335" s="58" t="str">
        <f>"10974660"</f>
        <v>10974660</v>
      </c>
      <c r="E4335" s="46" t="s">
        <v>751</v>
      </c>
      <c r="F4335" s="46" t="s">
        <v>50646</v>
      </c>
      <c r="G4335" s="46" t="s">
        <v>50584</v>
      </c>
      <c r="H4335" s="48" t="s">
        <v>56716</v>
      </c>
      <c r="I4335" s="48" t="s">
        <v>50564</v>
      </c>
      <c r="J4335" s="48"/>
      <c r="K4335" s="50" t="s">
        <v>56716</v>
      </c>
      <c r="L4335" s="48"/>
    </row>
    <row r="4336" spans="1:12" s="37" customFormat="1" ht="11.25" x14ac:dyDescent="0.2">
      <c r="A4336" s="46" t="s">
        <v>4874</v>
      </c>
      <c r="B4336" s="46" t="s">
        <v>53521</v>
      </c>
      <c r="C4336" s="58" t="str">
        <f>"1120009X"</f>
        <v>1120009X</v>
      </c>
      <c r="D4336" s="58" t="str">
        <f>"19739478"</f>
        <v>19739478</v>
      </c>
      <c r="E4336" s="46" t="s">
        <v>856</v>
      </c>
      <c r="F4336" s="46" t="s">
        <v>50646</v>
      </c>
      <c r="G4336" s="46" t="s">
        <v>50584</v>
      </c>
      <c r="H4336" s="48" t="s">
        <v>56716</v>
      </c>
      <c r="I4336" s="48" t="s">
        <v>50564</v>
      </c>
      <c r="J4336" s="48"/>
      <c r="K4336" s="50"/>
      <c r="L4336" s="48" t="s">
        <v>56716</v>
      </c>
    </row>
    <row r="4337" spans="1:12" s="37" customFormat="1" ht="11.25" x14ac:dyDescent="0.2">
      <c r="A4337" s="46" t="s">
        <v>10367</v>
      </c>
      <c r="B4337" s="46" t="s">
        <v>53522</v>
      </c>
      <c r="C4337" s="58" t="str">
        <f>"17280583"</f>
        <v>17280583</v>
      </c>
      <c r="D4337" s="58" t="str">
        <f>"17280591"</f>
        <v>17280591</v>
      </c>
      <c r="E4337" s="46" t="s">
        <v>689</v>
      </c>
      <c r="F4337" s="46" t="s">
        <v>50646</v>
      </c>
      <c r="G4337" s="46" t="s">
        <v>50584</v>
      </c>
      <c r="H4337" s="48" t="s">
        <v>56716</v>
      </c>
      <c r="I4337" s="48" t="s">
        <v>50564</v>
      </c>
      <c r="J4337" s="48"/>
      <c r="K4337" s="50" t="s">
        <v>56716</v>
      </c>
      <c r="L4337" s="48" t="s">
        <v>56716</v>
      </c>
    </row>
    <row r="4338" spans="1:12" s="37" customFormat="1" ht="11.25" x14ac:dyDescent="0.2">
      <c r="A4338" s="45" t="s">
        <v>34577</v>
      </c>
      <c r="B4338" s="45" t="s">
        <v>34579</v>
      </c>
      <c r="C4338" s="51" t="s">
        <v>34582</v>
      </c>
      <c r="D4338" s="51" t="s">
        <v>34581</v>
      </c>
      <c r="E4338" s="45" t="s">
        <v>20225</v>
      </c>
      <c r="F4338" s="45" t="s">
        <v>50646</v>
      </c>
      <c r="G4338" s="45" t="s">
        <v>50584</v>
      </c>
      <c r="H4338" s="56"/>
      <c r="I4338" s="56" t="s">
        <v>50564</v>
      </c>
      <c r="J4338" s="56"/>
      <c r="K4338" s="50"/>
      <c r="L4338" s="56" t="s">
        <v>56716</v>
      </c>
    </row>
    <row r="4339" spans="1:12" s="37" customFormat="1" ht="11.25" x14ac:dyDescent="0.2">
      <c r="A4339" s="46" t="s">
        <v>6151</v>
      </c>
      <c r="B4339" s="46" t="s">
        <v>53523</v>
      </c>
      <c r="C4339" s="58" t="str">
        <f>"10445463"</f>
        <v>10445463</v>
      </c>
      <c r="D4339" s="58" t="str">
        <f>"15578992"</f>
        <v>15578992</v>
      </c>
      <c r="E4339" s="46" t="s">
        <v>4337</v>
      </c>
      <c r="F4339" s="46" t="s">
        <v>17759</v>
      </c>
      <c r="G4339" s="46" t="s">
        <v>50584</v>
      </c>
      <c r="H4339" s="48" t="s">
        <v>56716</v>
      </c>
      <c r="I4339" s="48" t="s">
        <v>50564</v>
      </c>
      <c r="J4339" s="48"/>
      <c r="K4339" s="50"/>
      <c r="L4339" s="48" t="s">
        <v>56716</v>
      </c>
    </row>
    <row r="4340" spans="1:12" s="37" customFormat="1" ht="11.25" x14ac:dyDescent="0.2">
      <c r="A4340" s="46" t="s">
        <v>55936</v>
      </c>
      <c r="B4340" s="46" t="s">
        <v>55937</v>
      </c>
      <c r="C4340" s="58" t="str">
        <f>"19361521"</f>
        <v>19361521</v>
      </c>
      <c r="D4340" s="58" t="str">
        <f>"1936153X"</f>
        <v>1936153X</v>
      </c>
      <c r="E4340" s="46" t="s">
        <v>55920</v>
      </c>
      <c r="F4340" s="46" t="s">
        <v>18123</v>
      </c>
      <c r="G4340" s="46" t="s">
        <v>50584</v>
      </c>
      <c r="H4340" s="48" t="s">
        <v>56716</v>
      </c>
      <c r="I4340" s="48" t="s">
        <v>50564</v>
      </c>
      <c r="J4340" s="48"/>
      <c r="K4340" s="50"/>
      <c r="L4340" s="48"/>
    </row>
    <row r="4341" spans="1:12" s="37" customFormat="1" ht="11.25" x14ac:dyDescent="0.2">
      <c r="A4341" s="45" t="s">
        <v>34590</v>
      </c>
      <c r="B4341" s="45" t="s">
        <v>34592</v>
      </c>
      <c r="C4341" s="51" t="s">
        <v>34594</v>
      </c>
      <c r="D4341" s="51" t="s">
        <v>34593</v>
      </c>
      <c r="E4341" s="45" t="s">
        <v>19447</v>
      </c>
      <c r="F4341" s="45" t="s">
        <v>50646</v>
      </c>
      <c r="G4341" s="45" t="s">
        <v>50584</v>
      </c>
      <c r="H4341" s="56"/>
      <c r="I4341" s="56" t="s">
        <v>50564</v>
      </c>
      <c r="J4341" s="56"/>
      <c r="K4341" s="50"/>
      <c r="L4341" s="56" t="s">
        <v>56716</v>
      </c>
    </row>
    <row r="4342" spans="1:12" s="37" customFormat="1" ht="11.25" x14ac:dyDescent="0.2">
      <c r="A4342" s="45" t="s">
        <v>34596</v>
      </c>
      <c r="B4342" s="45" t="s">
        <v>34598</v>
      </c>
      <c r="C4342" s="51" t="s">
        <v>34600</v>
      </c>
      <c r="D4342" s="51" t="s">
        <v>34599</v>
      </c>
      <c r="E4342" s="45" t="s">
        <v>22076</v>
      </c>
      <c r="F4342" s="45" t="s">
        <v>50646</v>
      </c>
      <c r="G4342" s="45" t="s">
        <v>50584</v>
      </c>
      <c r="H4342" s="56"/>
      <c r="I4342" s="56" t="s">
        <v>50564</v>
      </c>
      <c r="J4342" s="56"/>
      <c r="K4342" s="50"/>
      <c r="L4342" s="56" t="s">
        <v>56716</v>
      </c>
    </row>
    <row r="4343" spans="1:12" s="37" customFormat="1" ht="11.25" x14ac:dyDescent="0.2">
      <c r="A4343" s="46" t="s">
        <v>2553</v>
      </c>
      <c r="B4343" s="46" t="s">
        <v>53524</v>
      </c>
      <c r="C4343" s="58" t="str">
        <f>"08830738"</f>
        <v>08830738</v>
      </c>
      <c r="D4343" s="58" t="str">
        <f>"17088283"</f>
        <v>17088283</v>
      </c>
      <c r="E4343" s="46" t="s">
        <v>493</v>
      </c>
      <c r="F4343" s="46" t="s">
        <v>17759</v>
      </c>
      <c r="G4343" s="46" t="s">
        <v>50584</v>
      </c>
      <c r="H4343" s="48" t="s">
        <v>56716</v>
      </c>
      <c r="I4343" s="48" t="s">
        <v>50564</v>
      </c>
      <c r="J4343" s="48" t="s">
        <v>56716</v>
      </c>
      <c r="K4343" s="50"/>
      <c r="L4343" s="48" t="s">
        <v>56716</v>
      </c>
    </row>
    <row r="4344" spans="1:12" s="37" customFormat="1" ht="11.25" x14ac:dyDescent="0.2">
      <c r="A4344" s="45" t="s">
        <v>34607</v>
      </c>
      <c r="B4344" s="45" t="s">
        <v>34609</v>
      </c>
      <c r="C4344" s="51" t="s">
        <v>34611</v>
      </c>
      <c r="D4344" s="51" t="s">
        <v>34610</v>
      </c>
      <c r="E4344" s="45" t="s">
        <v>24794</v>
      </c>
      <c r="F4344" s="45" t="s">
        <v>50646</v>
      </c>
      <c r="G4344" s="45" t="s">
        <v>50584</v>
      </c>
      <c r="H4344" s="56"/>
      <c r="I4344" s="56" t="s">
        <v>50564</v>
      </c>
      <c r="J4344" s="56"/>
      <c r="K4344" s="50"/>
      <c r="L4344" s="56" t="s">
        <v>56716</v>
      </c>
    </row>
    <row r="4345" spans="1:12" s="37" customFormat="1" ht="11.25" x14ac:dyDescent="0.2">
      <c r="A4345" s="46" t="s">
        <v>6734</v>
      </c>
      <c r="B4345" s="46" t="s">
        <v>53525</v>
      </c>
      <c r="C4345" s="58" t="str">
        <f>"0075417X"</f>
        <v>0075417X</v>
      </c>
      <c r="D4345" s="58" t="str">
        <f>"14699370"</f>
        <v>14699370</v>
      </c>
      <c r="E4345" s="46" t="s">
        <v>689</v>
      </c>
      <c r="F4345" s="46" t="s">
        <v>50646</v>
      </c>
      <c r="G4345" s="46" t="s">
        <v>50584</v>
      </c>
      <c r="H4345" s="48" t="s">
        <v>56716</v>
      </c>
      <c r="I4345" s="48" t="s">
        <v>50564</v>
      </c>
      <c r="J4345" s="48"/>
      <c r="K4345" s="50" t="s">
        <v>56716</v>
      </c>
      <c r="L4345" s="48"/>
    </row>
    <row r="4346" spans="1:12" s="37" customFormat="1" ht="11.25" x14ac:dyDescent="0.2">
      <c r="A4346" s="45" t="s">
        <v>34613</v>
      </c>
      <c r="B4346" s="45" t="s">
        <v>34615</v>
      </c>
      <c r="C4346" s="51" t="s">
        <v>34617</v>
      </c>
      <c r="D4346" s="51" t="s">
        <v>34616</v>
      </c>
      <c r="E4346" s="45" t="s">
        <v>18404</v>
      </c>
      <c r="F4346" s="45" t="s">
        <v>17759</v>
      </c>
      <c r="G4346" s="45" t="s">
        <v>50584</v>
      </c>
      <c r="H4346" s="56"/>
      <c r="I4346" s="56" t="s">
        <v>50564</v>
      </c>
      <c r="J4346" s="56"/>
      <c r="K4346" s="50"/>
      <c r="L4346" s="56" t="s">
        <v>56716</v>
      </c>
    </row>
    <row r="4347" spans="1:12" s="37" customFormat="1" ht="11.25" x14ac:dyDescent="0.2">
      <c r="A4347" s="46" t="s">
        <v>5002</v>
      </c>
      <c r="B4347" s="46" t="s">
        <v>53526</v>
      </c>
      <c r="C4347" s="58" t="str">
        <f>"10005048"</f>
        <v>10005048</v>
      </c>
      <c r="D4347" s="58" t="str">
        <f>""</f>
        <v/>
      </c>
      <c r="E4347" s="46" t="s">
        <v>5004</v>
      </c>
      <c r="F4347" s="46" t="s">
        <v>17958</v>
      </c>
      <c r="G4347" s="46" t="s">
        <v>50585</v>
      </c>
      <c r="H4347" s="48" t="s">
        <v>56716</v>
      </c>
      <c r="I4347" s="48" t="s">
        <v>50564</v>
      </c>
      <c r="J4347" s="48"/>
      <c r="K4347" s="50"/>
      <c r="L4347" s="48"/>
    </row>
    <row r="4348" spans="1:12" s="37" customFormat="1" ht="11.25" x14ac:dyDescent="0.2">
      <c r="A4348" s="46" t="s">
        <v>8513</v>
      </c>
      <c r="B4348" s="46" t="s">
        <v>53528</v>
      </c>
      <c r="C4348" s="58" t="str">
        <f>"01438042"</f>
        <v>01438042</v>
      </c>
      <c r="D4348" s="58" t="str">
        <f>""</f>
        <v/>
      </c>
      <c r="E4348" s="46" t="s">
        <v>8513</v>
      </c>
      <c r="F4348" s="46" t="s">
        <v>50646</v>
      </c>
      <c r="G4348" s="46" t="s">
        <v>50584</v>
      </c>
      <c r="H4348" s="48" t="s">
        <v>56716</v>
      </c>
      <c r="I4348" s="48" t="s">
        <v>50564</v>
      </c>
      <c r="J4348" s="48"/>
      <c r="K4348" s="50"/>
      <c r="L4348" s="48"/>
    </row>
    <row r="4349" spans="1:12" s="37" customFormat="1" ht="11.25" x14ac:dyDescent="0.2">
      <c r="A4349" s="46" t="s">
        <v>14534</v>
      </c>
      <c r="B4349" s="46" t="s">
        <v>53529</v>
      </c>
      <c r="C4349" s="58" t="str">
        <f>"15563499"</f>
        <v>15563499</v>
      </c>
      <c r="D4349" s="58" t="str">
        <f>""</f>
        <v/>
      </c>
      <c r="E4349" s="46" t="s">
        <v>272</v>
      </c>
      <c r="F4349" s="46" t="s">
        <v>17759</v>
      </c>
      <c r="G4349" s="46" t="s">
        <v>50584</v>
      </c>
      <c r="H4349" s="48" t="s">
        <v>56716</v>
      </c>
      <c r="I4349" s="48" t="s">
        <v>50564</v>
      </c>
      <c r="J4349" s="48" t="s">
        <v>56716</v>
      </c>
      <c r="K4349" s="50"/>
      <c r="L4349" s="48"/>
    </row>
    <row r="4350" spans="1:12" s="37" customFormat="1" ht="11.25" x14ac:dyDescent="0.2">
      <c r="A4350" s="45" t="s">
        <v>34619</v>
      </c>
      <c r="B4350" s="45" t="s">
        <v>34621</v>
      </c>
      <c r="C4350" s="51" t="s">
        <v>34622</v>
      </c>
      <c r="D4350" s="51"/>
      <c r="E4350" s="45" t="s">
        <v>34623</v>
      </c>
      <c r="F4350" s="45" t="s">
        <v>17759</v>
      </c>
      <c r="G4350" s="45" t="s">
        <v>50584</v>
      </c>
      <c r="H4350" s="56"/>
      <c r="I4350" s="56" t="s">
        <v>50564</v>
      </c>
      <c r="J4350" s="56"/>
      <c r="K4350" s="50"/>
      <c r="L4350" s="56" t="s">
        <v>56716</v>
      </c>
    </row>
    <row r="4351" spans="1:12" s="37" customFormat="1" ht="11.25" x14ac:dyDescent="0.2">
      <c r="A4351" s="45" t="s">
        <v>34625</v>
      </c>
      <c r="B4351" s="45" t="s">
        <v>34627</v>
      </c>
      <c r="C4351" s="51" t="s">
        <v>34629</v>
      </c>
      <c r="D4351" s="51" t="s">
        <v>34628</v>
      </c>
      <c r="E4351" s="45" t="s">
        <v>55</v>
      </c>
      <c r="F4351" s="45" t="s">
        <v>17759</v>
      </c>
      <c r="G4351" s="45" t="s">
        <v>50584</v>
      </c>
      <c r="H4351" s="56"/>
      <c r="I4351" s="56" t="s">
        <v>50564</v>
      </c>
      <c r="J4351" s="56"/>
      <c r="K4351" s="50"/>
      <c r="L4351" s="56" t="s">
        <v>56716</v>
      </c>
    </row>
    <row r="4352" spans="1:12" s="37" customFormat="1" ht="11.25" x14ac:dyDescent="0.2">
      <c r="A4352" s="46" t="s">
        <v>6293</v>
      </c>
      <c r="B4352" s="46" t="s">
        <v>53530</v>
      </c>
      <c r="C4352" s="58" t="str">
        <f>"00219673"</f>
        <v>00219673</v>
      </c>
      <c r="D4352" s="58" t="str">
        <f>"18733778"</f>
        <v>18733778</v>
      </c>
      <c r="E4352" s="46" t="s">
        <v>91</v>
      </c>
      <c r="F4352" s="46" t="s">
        <v>18001</v>
      </c>
      <c r="G4352" s="46" t="s">
        <v>50584</v>
      </c>
      <c r="H4352" s="48" t="s">
        <v>56716</v>
      </c>
      <c r="I4352" s="48" t="s">
        <v>50564</v>
      </c>
      <c r="J4352" s="48" t="s">
        <v>56716</v>
      </c>
      <c r="K4352" s="50" t="s">
        <v>56716</v>
      </c>
      <c r="L4352" s="48" t="s">
        <v>56716</v>
      </c>
    </row>
    <row r="4353" spans="1:12" s="37" customFormat="1" ht="11.25" x14ac:dyDescent="0.2">
      <c r="A4353" s="46" t="s">
        <v>9224</v>
      </c>
      <c r="B4353" s="46" t="s">
        <v>53531</v>
      </c>
      <c r="C4353" s="58" t="str">
        <f>"15700232"</f>
        <v>15700232</v>
      </c>
      <c r="D4353" s="58" t="str">
        <f>"1873376X"</f>
        <v>1873376X</v>
      </c>
      <c r="E4353" s="46" t="s">
        <v>91</v>
      </c>
      <c r="F4353" s="46" t="s">
        <v>18001</v>
      </c>
      <c r="G4353" s="46" t="s">
        <v>50584</v>
      </c>
      <c r="H4353" s="48" t="s">
        <v>56716</v>
      </c>
      <c r="I4353" s="48" t="s">
        <v>50564</v>
      </c>
      <c r="J4353" s="48" t="s">
        <v>56716</v>
      </c>
      <c r="K4353" s="50" t="s">
        <v>56716</v>
      </c>
      <c r="L4353" s="48" t="s">
        <v>56716</v>
      </c>
    </row>
    <row r="4354" spans="1:12" s="37" customFormat="1" ht="11.25" x14ac:dyDescent="0.2">
      <c r="A4354" s="46" t="s">
        <v>10266</v>
      </c>
      <c r="B4354" s="46" t="s">
        <v>53532</v>
      </c>
      <c r="C4354" s="58" t="str">
        <f>""</f>
        <v/>
      </c>
      <c r="D4354" s="58" t="str">
        <f>"17403391"</f>
        <v>17403391</v>
      </c>
      <c r="E4354" s="46" t="s">
        <v>2299</v>
      </c>
      <c r="F4354" s="46" t="s">
        <v>50646</v>
      </c>
      <c r="G4354" s="46" t="s">
        <v>50584</v>
      </c>
      <c r="H4354" s="48" t="s">
        <v>56716</v>
      </c>
      <c r="I4354" s="48" t="s">
        <v>50564</v>
      </c>
      <c r="J4354" s="48"/>
      <c r="K4354" s="50"/>
      <c r="L4354" s="48"/>
    </row>
    <row r="4355" spans="1:12" s="37" customFormat="1" ht="11.25" x14ac:dyDescent="0.2">
      <c r="A4355" s="45" t="s">
        <v>34644</v>
      </c>
      <c r="B4355" s="45" t="s">
        <v>34646</v>
      </c>
      <c r="C4355" s="51" t="s">
        <v>34647</v>
      </c>
      <c r="D4355" s="51"/>
      <c r="E4355" s="45" t="s">
        <v>34648</v>
      </c>
      <c r="F4355" s="45" t="s">
        <v>50646</v>
      </c>
      <c r="G4355" s="45" t="s">
        <v>50584</v>
      </c>
      <c r="H4355" s="56"/>
      <c r="I4355" s="56" t="s">
        <v>50564</v>
      </c>
      <c r="J4355" s="56"/>
      <c r="K4355" s="50"/>
      <c r="L4355" s="56" t="s">
        <v>56716</v>
      </c>
    </row>
    <row r="4356" spans="1:12" s="37" customFormat="1" ht="11.25" x14ac:dyDescent="0.2">
      <c r="A4356" s="46" t="s">
        <v>13945</v>
      </c>
      <c r="B4356" s="46" t="s">
        <v>53533</v>
      </c>
      <c r="C4356" s="58" t="str">
        <f>"19412789"</f>
        <v>19412789</v>
      </c>
      <c r="D4356" s="58" t="str">
        <f>""</f>
        <v/>
      </c>
      <c r="E4356" s="46" t="s">
        <v>13947</v>
      </c>
      <c r="F4356" s="46" t="s">
        <v>17759</v>
      </c>
      <c r="G4356" s="46" t="s">
        <v>50584</v>
      </c>
      <c r="H4356" s="48" t="s">
        <v>56716</v>
      </c>
      <c r="I4356" s="48" t="s">
        <v>50564</v>
      </c>
      <c r="J4356" s="48"/>
      <c r="K4356" s="50"/>
      <c r="L4356" s="48"/>
    </row>
    <row r="4357" spans="1:12" s="37" customFormat="1" ht="11.25" x14ac:dyDescent="0.2">
      <c r="A4357" s="46" t="s">
        <v>14959</v>
      </c>
      <c r="B4357" s="46" t="s">
        <v>53534</v>
      </c>
      <c r="C4357" s="58" t="str">
        <f>"13090720"</f>
        <v>13090720</v>
      </c>
      <c r="D4357" s="58" t="str">
        <f>"13092014"</f>
        <v>13092014</v>
      </c>
      <c r="E4357" s="46" t="s">
        <v>14959</v>
      </c>
      <c r="F4357" s="46" t="s">
        <v>18396</v>
      </c>
      <c r="G4357" s="46" t="s">
        <v>50638</v>
      </c>
      <c r="H4357" s="48" t="s">
        <v>56716</v>
      </c>
      <c r="I4357" s="48" t="s">
        <v>50564</v>
      </c>
      <c r="J4357" s="48"/>
      <c r="K4357" s="50"/>
      <c r="L4357" s="48"/>
    </row>
    <row r="4358" spans="1:12" s="37" customFormat="1" ht="11.25" x14ac:dyDescent="0.2">
      <c r="A4358" s="46" t="s">
        <v>8028</v>
      </c>
      <c r="B4358" s="46" t="s">
        <v>53535</v>
      </c>
      <c r="C4358" s="58" t="str">
        <f>"15612775"</f>
        <v>15612775</v>
      </c>
      <c r="D4358" s="58" t="str">
        <f>"16809386"</f>
        <v>16809386</v>
      </c>
      <c r="E4358" s="46" t="s">
        <v>7866</v>
      </c>
      <c r="F4358" s="46" t="s">
        <v>18288</v>
      </c>
      <c r="G4358" s="46" t="s">
        <v>50584</v>
      </c>
      <c r="H4358" s="48" t="s">
        <v>56716</v>
      </c>
      <c r="I4358" s="48" t="s">
        <v>50564</v>
      </c>
      <c r="J4358" s="48" t="s">
        <v>56716</v>
      </c>
      <c r="K4358" s="50"/>
      <c r="L4358" s="48"/>
    </row>
    <row r="4359" spans="1:12" s="37" customFormat="1" ht="11.25" x14ac:dyDescent="0.2">
      <c r="A4359" s="46" t="s">
        <v>12473</v>
      </c>
      <c r="B4359" s="46" t="s">
        <v>53536</v>
      </c>
      <c r="C4359" s="58" t="str">
        <f>"2249782X"</f>
        <v>2249782X</v>
      </c>
      <c r="D4359" s="58" t="str">
        <f>"0973709X"</f>
        <v>0973709X</v>
      </c>
      <c r="E4359" s="46" t="s">
        <v>12473</v>
      </c>
      <c r="F4359" s="46" t="s">
        <v>20446</v>
      </c>
      <c r="G4359" s="46" t="s">
        <v>50584</v>
      </c>
      <c r="H4359" s="48" t="s">
        <v>56716</v>
      </c>
      <c r="I4359" s="48" t="s">
        <v>50564</v>
      </c>
      <c r="J4359" s="48"/>
      <c r="K4359" s="50"/>
      <c r="L4359" s="48"/>
    </row>
    <row r="4360" spans="1:12" s="37" customFormat="1" ht="11.25" x14ac:dyDescent="0.2">
      <c r="A4360" s="45" t="s">
        <v>34650</v>
      </c>
      <c r="B4360" s="45" t="s">
        <v>34652</v>
      </c>
      <c r="C4360" s="51" t="s">
        <v>34655</v>
      </c>
      <c r="D4360" s="51" t="s">
        <v>34654</v>
      </c>
      <c r="E4360" s="45" t="s">
        <v>34656</v>
      </c>
      <c r="F4360" s="45" t="s">
        <v>18242</v>
      </c>
      <c r="G4360" s="45" t="s">
        <v>50584</v>
      </c>
      <c r="H4360" s="56"/>
      <c r="I4360" s="56" t="s">
        <v>50564</v>
      </c>
      <c r="J4360" s="56"/>
      <c r="K4360" s="50"/>
      <c r="L4360" s="56" t="s">
        <v>56716</v>
      </c>
    </row>
    <row r="4361" spans="1:12" s="37" customFormat="1" ht="11.25" x14ac:dyDescent="0.2">
      <c r="A4361" s="46" t="s">
        <v>15543</v>
      </c>
      <c r="B4361" s="46" t="s">
        <v>53537</v>
      </c>
      <c r="C4361" s="58" t="str">
        <f>"09736883"</f>
        <v>09736883</v>
      </c>
      <c r="D4361" s="58" t="str">
        <f>"22133453"</f>
        <v>22133453</v>
      </c>
      <c r="E4361" s="46" t="s">
        <v>91</v>
      </c>
      <c r="F4361" s="46" t="s">
        <v>18001</v>
      </c>
      <c r="G4361" s="46" t="s">
        <v>50584</v>
      </c>
      <c r="H4361" s="48" t="s">
        <v>56716</v>
      </c>
      <c r="I4361" s="48" t="s">
        <v>50564</v>
      </c>
      <c r="J4361" s="48" t="s">
        <v>56716</v>
      </c>
      <c r="K4361" s="50" t="s">
        <v>56716</v>
      </c>
      <c r="L4361" s="48"/>
    </row>
    <row r="4362" spans="1:12" s="37" customFormat="1" ht="11.25" x14ac:dyDescent="0.2">
      <c r="A4362" s="45" t="s">
        <v>34659</v>
      </c>
      <c r="B4362" s="45" t="s">
        <v>34661</v>
      </c>
      <c r="C4362" s="51" t="s">
        <v>34664</v>
      </c>
      <c r="D4362" s="51" t="s">
        <v>34663</v>
      </c>
      <c r="E4362" s="45" t="s">
        <v>291</v>
      </c>
      <c r="F4362" s="45" t="s">
        <v>50646</v>
      </c>
      <c r="G4362" s="45" t="s">
        <v>50584</v>
      </c>
      <c r="H4362" s="56"/>
      <c r="I4362" s="56" t="s">
        <v>50564</v>
      </c>
      <c r="J4362" s="56"/>
      <c r="K4362" s="50"/>
      <c r="L4362" s="56" t="s">
        <v>56716</v>
      </c>
    </row>
    <row r="4363" spans="1:12" s="37" customFormat="1" ht="11.25" x14ac:dyDescent="0.2">
      <c r="A4363" s="46" t="s">
        <v>56122</v>
      </c>
      <c r="B4363" s="46" t="s">
        <v>56123</v>
      </c>
      <c r="C4363" s="58" t="str">
        <f>"2320348X"</f>
        <v>2320348X</v>
      </c>
      <c r="D4363" s="58" t="str">
        <f>"23203811"</f>
        <v>23203811</v>
      </c>
      <c r="E4363" s="46" t="s">
        <v>56124</v>
      </c>
      <c r="F4363" s="46" t="s">
        <v>20446</v>
      </c>
      <c r="G4363" s="46" t="s">
        <v>50584</v>
      </c>
      <c r="H4363" s="48" t="s">
        <v>56716</v>
      </c>
      <c r="I4363" s="48" t="s">
        <v>50564</v>
      </c>
      <c r="J4363" s="48"/>
      <c r="K4363" s="50"/>
      <c r="L4363" s="48"/>
    </row>
    <row r="4364" spans="1:12" s="37" customFormat="1" ht="11.25" x14ac:dyDescent="0.2">
      <c r="A4364" s="46" t="s">
        <v>17640</v>
      </c>
      <c r="B4364" s="46" t="s">
        <v>53538</v>
      </c>
      <c r="C4364" s="58" t="str">
        <f>""</f>
        <v/>
      </c>
      <c r="D4364" s="58" t="str">
        <f>"22146237"</f>
        <v>22146237</v>
      </c>
      <c r="E4364" s="46" t="s">
        <v>91</v>
      </c>
      <c r="F4364" s="46" t="s">
        <v>18001</v>
      </c>
      <c r="G4364" s="46" t="s">
        <v>50584</v>
      </c>
      <c r="H4364" s="48" t="s">
        <v>56716</v>
      </c>
      <c r="I4364" s="48" t="s">
        <v>50564</v>
      </c>
      <c r="J4364" s="48" t="s">
        <v>56716</v>
      </c>
      <c r="K4364" s="50" t="s">
        <v>56716</v>
      </c>
      <c r="L4364" s="48"/>
    </row>
    <row r="4365" spans="1:12" s="37" customFormat="1" ht="11.25" x14ac:dyDescent="0.2">
      <c r="A4365" s="46" t="s">
        <v>5312</v>
      </c>
      <c r="B4365" s="46" t="s">
        <v>53539</v>
      </c>
      <c r="C4365" s="58" t="str">
        <f>"09528180"</f>
        <v>09528180</v>
      </c>
      <c r="D4365" s="58" t="str">
        <f>"18734529"</f>
        <v>18734529</v>
      </c>
      <c r="E4365" s="46" t="s">
        <v>272</v>
      </c>
      <c r="F4365" s="46" t="s">
        <v>17759</v>
      </c>
      <c r="G4365" s="46" t="s">
        <v>50584</v>
      </c>
      <c r="H4365" s="48" t="s">
        <v>56716</v>
      </c>
      <c r="I4365" s="48" t="s">
        <v>50564</v>
      </c>
      <c r="J4365" s="48" t="s">
        <v>56716</v>
      </c>
      <c r="K4365" s="50" t="s">
        <v>56716</v>
      </c>
      <c r="L4365" s="48" t="s">
        <v>56716</v>
      </c>
    </row>
    <row r="4366" spans="1:12" s="37" customFormat="1" ht="11.25" x14ac:dyDescent="0.2">
      <c r="A4366" s="46" t="s">
        <v>2185</v>
      </c>
      <c r="B4366" s="46" t="s">
        <v>53540</v>
      </c>
      <c r="C4366" s="58" t="str">
        <f>"07332459"</f>
        <v>07332459</v>
      </c>
      <c r="D4366" s="58" t="str">
        <f>"10981101"</f>
        <v>10981101</v>
      </c>
      <c r="E4366" s="46" t="s">
        <v>320</v>
      </c>
      <c r="F4366" s="46" t="s">
        <v>17759</v>
      </c>
      <c r="G4366" s="46" t="s">
        <v>50584</v>
      </c>
      <c r="H4366" s="48" t="s">
        <v>56716</v>
      </c>
      <c r="I4366" s="48" t="s">
        <v>50564</v>
      </c>
      <c r="J4366" s="48"/>
      <c r="K4366" s="50" t="s">
        <v>56716</v>
      </c>
      <c r="L4366" s="48" t="s">
        <v>56716</v>
      </c>
    </row>
    <row r="4367" spans="1:12" s="37" customFormat="1" ht="11.25" x14ac:dyDescent="0.2">
      <c r="A4367" s="46" t="s">
        <v>6959</v>
      </c>
      <c r="B4367" s="46" t="s">
        <v>53541</v>
      </c>
      <c r="C4367" s="58" t="str">
        <f>"09120009"</f>
        <v>09120009</v>
      </c>
      <c r="D4367" s="58" t="str">
        <f>""</f>
        <v/>
      </c>
      <c r="E4367" s="46" t="s">
        <v>6961</v>
      </c>
      <c r="F4367" s="46" t="s">
        <v>18242</v>
      </c>
      <c r="G4367" s="46" t="s">
        <v>50584</v>
      </c>
      <c r="H4367" s="48" t="s">
        <v>56716</v>
      </c>
      <c r="I4367" s="48" t="s">
        <v>50564</v>
      </c>
      <c r="J4367" s="48"/>
      <c r="K4367" s="50"/>
      <c r="L4367" s="48"/>
    </row>
    <row r="4368" spans="1:12" s="37" customFormat="1" ht="11.25" x14ac:dyDescent="0.2">
      <c r="A4368" s="45" t="s">
        <v>34675</v>
      </c>
      <c r="B4368" s="45" t="s">
        <v>34677</v>
      </c>
      <c r="C4368" s="51" t="s">
        <v>34680</v>
      </c>
      <c r="D4368" s="51" t="s">
        <v>34679</v>
      </c>
      <c r="E4368" s="45" t="s">
        <v>291</v>
      </c>
      <c r="F4368" s="45" t="s">
        <v>50646</v>
      </c>
      <c r="G4368" s="45" t="s">
        <v>50584</v>
      </c>
      <c r="H4368" s="56"/>
      <c r="I4368" s="56" t="s">
        <v>50564</v>
      </c>
      <c r="J4368" s="56"/>
      <c r="K4368" s="50"/>
      <c r="L4368" s="56" t="s">
        <v>56716</v>
      </c>
    </row>
    <row r="4369" spans="1:12" s="37" customFormat="1" ht="11.25" x14ac:dyDescent="0.2">
      <c r="A4369" s="46" t="s">
        <v>8186</v>
      </c>
      <c r="B4369" s="46" t="s">
        <v>53542</v>
      </c>
      <c r="C4369" s="58" t="str">
        <f>"10946950"</f>
        <v>10946950</v>
      </c>
      <c r="D4369" s="58" t="str">
        <f>"15590747"</f>
        <v>15590747</v>
      </c>
      <c r="E4369" s="46" t="s">
        <v>272</v>
      </c>
      <c r="F4369" s="46" t="s">
        <v>17759</v>
      </c>
      <c r="G4369" s="46" t="s">
        <v>50584</v>
      </c>
      <c r="H4369" s="48" t="s">
        <v>56716</v>
      </c>
      <c r="I4369" s="48" t="s">
        <v>50564</v>
      </c>
      <c r="J4369" s="48" t="s">
        <v>56716</v>
      </c>
      <c r="K4369" s="50" t="s">
        <v>56716</v>
      </c>
      <c r="L4369" s="48" t="s">
        <v>56716</v>
      </c>
    </row>
    <row r="4370" spans="1:12" s="37" customFormat="1" ht="11.25" x14ac:dyDescent="0.2">
      <c r="A4370" s="46" t="s">
        <v>11421</v>
      </c>
      <c r="B4370" s="46" t="s">
        <v>53543</v>
      </c>
      <c r="C4370" s="58" t="str">
        <f>"10004963"</f>
        <v>10004963</v>
      </c>
      <c r="D4370" s="58" t="str">
        <f>""</f>
        <v/>
      </c>
      <c r="E4370" s="46" t="s">
        <v>11423</v>
      </c>
      <c r="F4370" s="46" t="s">
        <v>17958</v>
      </c>
      <c r="G4370" s="46" t="s">
        <v>50580</v>
      </c>
      <c r="H4370" s="48" t="s">
        <v>56716</v>
      </c>
      <c r="I4370" s="48" t="s">
        <v>50564</v>
      </c>
      <c r="J4370" s="48"/>
      <c r="K4370" s="50"/>
      <c r="L4370" s="48"/>
    </row>
    <row r="4371" spans="1:12" s="37" customFormat="1" ht="11.25" x14ac:dyDescent="0.2">
      <c r="A4371" s="46" t="s">
        <v>2203</v>
      </c>
      <c r="B4371" s="46" t="s">
        <v>53544</v>
      </c>
      <c r="C4371" s="58" t="str">
        <f>"0021972X"</f>
        <v>0021972X</v>
      </c>
      <c r="D4371" s="58" t="str">
        <f>"19457197"</f>
        <v>19457197</v>
      </c>
      <c r="E4371" s="46" t="s">
        <v>1538</v>
      </c>
      <c r="F4371" s="46" t="s">
        <v>17759</v>
      </c>
      <c r="G4371" s="46" t="s">
        <v>50584</v>
      </c>
      <c r="H4371" s="48" t="s">
        <v>56716</v>
      </c>
      <c r="I4371" s="48" t="s">
        <v>50564</v>
      </c>
      <c r="J4371" s="48" t="s">
        <v>56716</v>
      </c>
      <c r="K4371" s="50"/>
      <c r="L4371" s="48" t="s">
        <v>56716</v>
      </c>
    </row>
    <row r="4372" spans="1:12" s="37" customFormat="1" ht="11.25" x14ac:dyDescent="0.2">
      <c r="A4372" s="46" t="s">
        <v>2206</v>
      </c>
      <c r="B4372" s="46" t="s">
        <v>53545</v>
      </c>
      <c r="C4372" s="58" t="str">
        <f>"03638855"</f>
        <v>03638855</v>
      </c>
      <c r="D4372" s="58" t="str">
        <f>"15503275"</f>
        <v>15503275</v>
      </c>
      <c r="E4372" s="46" t="s">
        <v>28</v>
      </c>
      <c r="F4372" s="46" t="s">
        <v>17759</v>
      </c>
      <c r="G4372" s="46" t="s">
        <v>50584</v>
      </c>
      <c r="H4372" s="48" t="s">
        <v>56716</v>
      </c>
      <c r="I4372" s="48" t="s">
        <v>50564</v>
      </c>
      <c r="J4372" s="48"/>
      <c r="K4372" s="50"/>
      <c r="L4372" s="48"/>
    </row>
    <row r="4373" spans="1:12" s="37" customFormat="1" ht="11.25" x14ac:dyDescent="0.2">
      <c r="A4373" s="46" t="s">
        <v>4516</v>
      </c>
      <c r="B4373" s="46" t="s">
        <v>53546</v>
      </c>
      <c r="C4373" s="58" t="str">
        <f>"08954356"</f>
        <v>08954356</v>
      </c>
      <c r="D4373" s="58" t="str">
        <f>"18785921"</f>
        <v>18785921</v>
      </c>
      <c r="E4373" s="46" t="s">
        <v>673</v>
      </c>
      <c r="F4373" s="46" t="s">
        <v>17759</v>
      </c>
      <c r="G4373" s="46" t="s">
        <v>50584</v>
      </c>
      <c r="H4373" s="48" t="s">
        <v>56716</v>
      </c>
      <c r="I4373" s="48" t="s">
        <v>50564</v>
      </c>
      <c r="J4373" s="48" t="s">
        <v>56716</v>
      </c>
      <c r="K4373" s="50" t="s">
        <v>56716</v>
      </c>
      <c r="L4373" s="48" t="s">
        <v>56716</v>
      </c>
    </row>
    <row r="4374" spans="1:12" s="37" customFormat="1" ht="11.25" x14ac:dyDescent="0.2">
      <c r="A4374" s="46" t="s">
        <v>2212</v>
      </c>
      <c r="B4374" s="46" t="s">
        <v>53547</v>
      </c>
      <c r="C4374" s="58" t="str">
        <f>"01920790"</f>
        <v>01920790</v>
      </c>
      <c r="D4374" s="58" t="str">
        <f>"15392031"</f>
        <v>15392031</v>
      </c>
      <c r="E4374" s="46" t="s">
        <v>28</v>
      </c>
      <c r="F4374" s="46" t="s">
        <v>17759</v>
      </c>
      <c r="G4374" s="46" t="s">
        <v>50584</v>
      </c>
      <c r="H4374" s="48" t="s">
        <v>56716</v>
      </c>
      <c r="I4374" s="48" t="s">
        <v>50564</v>
      </c>
      <c r="J4374" s="48" t="s">
        <v>56716</v>
      </c>
      <c r="K4374" s="50" t="s">
        <v>56716</v>
      </c>
      <c r="L4374" s="48" t="s">
        <v>56716</v>
      </c>
    </row>
    <row r="4375" spans="1:12" s="37" customFormat="1" ht="11.25" x14ac:dyDescent="0.2">
      <c r="A4375" s="46" t="s">
        <v>14735</v>
      </c>
      <c r="B4375" s="46" t="s">
        <v>53548</v>
      </c>
      <c r="C4375" s="58" t="str">
        <f>"22108335"</f>
        <v>22108335</v>
      </c>
      <c r="D4375" s="58" t="str">
        <f>"22108343"</f>
        <v>22108343</v>
      </c>
      <c r="E4375" s="46" t="s">
        <v>91</v>
      </c>
      <c r="F4375" s="46" t="s">
        <v>18001</v>
      </c>
      <c r="G4375" s="46" t="s">
        <v>50584</v>
      </c>
      <c r="H4375" s="48" t="s">
        <v>56716</v>
      </c>
      <c r="I4375" s="48" t="s">
        <v>50564</v>
      </c>
      <c r="J4375" s="48" t="s">
        <v>56716</v>
      </c>
      <c r="K4375" s="50" t="s">
        <v>56716</v>
      </c>
      <c r="L4375" s="48"/>
    </row>
    <row r="4376" spans="1:12" s="37" customFormat="1" ht="11.25" x14ac:dyDescent="0.2">
      <c r="A4376" s="46" t="s">
        <v>8523</v>
      </c>
      <c r="B4376" s="46" t="s">
        <v>53549</v>
      </c>
      <c r="C4376" s="58" t="str">
        <f>"15246175"</f>
        <v>15246175</v>
      </c>
      <c r="D4376" s="58" t="str">
        <f>"17517176"</f>
        <v>17517176</v>
      </c>
      <c r="E4376" s="46" t="s">
        <v>548</v>
      </c>
      <c r="F4376" s="46" t="s">
        <v>17759</v>
      </c>
      <c r="G4376" s="46" t="s">
        <v>50584</v>
      </c>
      <c r="H4376" s="48" t="s">
        <v>56716</v>
      </c>
      <c r="I4376" s="48" t="s">
        <v>50564</v>
      </c>
      <c r="J4376" s="48" t="s">
        <v>56716</v>
      </c>
      <c r="K4376" s="50" t="s">
        <v>56716</v>
      </c>
      <c r="L4376" s="48" t="s">
        <v>56716</v>
      </c>
    </row>
    <row r="4377" spans="1:12" s="37" customFormat="1" ht="11.25" x14ac:dyDescent="0.2">
      <c r="A4377" s="46" t="s">
        <v>17249</v>
      </c>
      <c r="B4377" s="46" t="s">
        <v>53550</v>
      </c>
      <c r="C4377" s="58" t="str">
        <f>""</f>
        <v/>
      </c>
      <c r="D4377" s="58" t="str">
        <f>"21565597"</f>
        <v>21565597</v>
      </c>
      <c r="E4377" s="46" t="s">
        <v>19057</v>
      </c>
      <c r="F4377" s="46" t="s">
        <v>20446</v>
      </c>
      <c r="G4377" s="46" t="s">
        <v>50584</v>
      </c>
      <c r="H4377" s="48" t="s">
        <v>56716</v>
      </c>
      <c r="I4377" s="48" t="s">
        <v>50564</v>
      </c>
      <c r="J4377" s="48" t="s">
        <v>56716</v>
      </c>
      <c r="K4377" s="50"/>
      <c r="L4377" s="48"/>
    </row>
    <row r="4378" spans="1:12" s="37" customFormat="1" ht="11.25" x14ac:dyDescent="0.2">
      <c r="A4378" s="46" t="s">
        <v>2215</v>
      </c>
      <c r="B4378" s="46" t="s">
        <v>53551</v>
      </c>
      <c r="C4378" s="58" t="str">
        <f>"02719142"</f>
        <v>02719142</v>
      </c>
      <c r="D4378" s="58" t="str">
        <f>"15732592"</f>
        <v>15732592</v>
      </c>
      <c r="E4378" s="46" t="s">
        <v>56305</v>
      </c>
      <c r="F4378" s="46" t="s">
        <v>17759</v>
      </c>
      <c r="G4378" s="46" t="s">
        <v>50584</v>
      </c>
      <c r="H4378" s="48" t="s">
        <v>56716</v>
      </c>
      <c r="I4378" s="48" t="s">
        <v>50564</v>
      </c>
      <c r="J4378" s="48" t="s">
        <v>56716</v>
      </c>
      <c r="K4378" s="50" t="s">
        <v>56716</v>
      </c>
      <c r="L4378" s="48" t="s">
        <v>56716</v>
      </c>
    </row>
    <row r="4379" spans="1:12" s="37" customFormat="1" ht="11.25" x14ac:dyDescent="0.2">
      <c r="A4379" s="46" t="s">
        <v>2218</v>
      </c>
      <c r="B4379" s="46" t="s">
        <v>53552</v>
      </c>
      <c r="C4379" s="58" t="str">
        <f>"00219738"</f>
        <v>00219738</v>
      </c>
      <c r="D4379" s="58" t="str">
        <f>"15588238"</f>
        <v>15588238</v>
      </c>
      <c r="E4379" s="46" t="s">
        <v>2221</v>
      </c>
      <c r="F4379" s="46" t="s">
        <v>17759</v>
      </c>
      <c r="G4379" s="46" t="s">
        <v>50584</v>
      </c>
      <c r="H4379" s="48" t="s">
        <v>56716</v>
      </c>
      <c r="I4379" s="48" t="s">
        <v>50564</v>
      </c>
      <c r="J4379" s="48" t="s">
        <v>56716</v>
      </c>
      <c r="K4379" s="50"/>
      <c r="L4379" s="48" t="s">
        <v>56716</v>
      </c>
    </row>
    <row r="4380" spans="1:12" s="37" customFormat="1" ht="11.25" x14ac:dyDescent="0.2">
      <c r="A4380" s="46" t="s">
        <v>4780</v>
      </c>
      <c r="B4380" s="46" t="s">
        <v>53553</v>
      </c>
      <c r="C4380" s="58" t="str">
        <f>"08878013"</f>
        <v>08878013</v>
      </c>
      <c r="D4380" s="58" t="str">
        <f>"10982825"</f>
        <v>10982825</v>
      </c>
      <c r="E4380" s="46" t="s">
        <v>517</v>
      </c>
      <c r="F4380" s="46" t="s">
        <v>17759</v>
      </c>
      <c r="G4380" s="46" t="s">
        <v>50584</v>
      </c>
      <c r="H4380" s="48" t="s">
        <v>56716</v>
      </c>
      <c r="I4380" s="48" t="s">
        <v>50564</v>
      </c>
      <c r="J4380" s="48"/>
      <c r="K4380" s="50" t="s">
        <v>56716</v>
      </c>
      <c r="L4380" s="48" t="s">
        <v>56716</v>
      </c>
    </row>
    <row r="4381" spans="1:12" s="37" customFormat="1" ht="11.25" x14ac:dyDescent="0.2">
      <c r="A4381" s="46" t="s">
        <v>11643</v>
      </c>
      <c r="B4381" s="46" t="s">
        <v>53554</v>
      </c>
      <c r="C4381" s="58" t="str">
        <f>"19332874"</f>
        <v>19332874</v>
      </c>
      <c r="D4381" s="58" t="str">
        <f>"18764789"</f>
        <v>18764789</v>
      </c>
      <c r="E4381" s="46" t="s">
        <v>155</v>
      </c>
      <c r="F4381" s="46" t="s">
        <v>50646</v>
      </c>
      <c r="G4381" s="46" t="s">
        <v>50584</v>
      </c>
      <c r="H4381" s="48" t="s">
        <v>56716</v>
      </c>
      <c r="I4381" s="48" t="s">
        <v>50564</v>
      </c>
      <c r="J4381" s="48" t="s">
        <v>56716</v>
      </c>
      <c r="K4381" s="50" t="s">
        <v>56716</v>
      </c>
      <c r="L4381" s="48" t="s">
        <v>56716</v>
      </c>
    </row>
    <row r="4382" spans="1:12" s="37" customFormat="1" ht="11.25" x14ac:dyDescent="0.2">
      <c r="A4382" s="46" t="s">
        <v>17497</v>
      </c>
      <c r="B4382" s="46" t="s">
        <v>53555</v>
      </c>
      <c r="C4382" s="58" t="str">
        <f>""</f>
        <v/>
      </c>
      <c r="D4382" s="58" t="str">
        <f>"20770383"</f>
        <v>20770383</v>
      </c>
      <c r="E4382" s="46" t="s">
        <v>4152</v>
      </c>
      <c r="F4382" s="46" t="s">
        <v>18123</v>
      </c>
      <c r="G4382" s="46" t="s">
        <v>50584</v>
      </c>
      <c r="H4382" s="48" t="s">
        <v>56716</v>
      </c>
      <c r="I4382" s="48" t="s">
        <v>50564</v>
      </c>
      <c r="J4382" s="48"/>
      <c r="K4382" s="50"/>
      <c r="L4382" s="48"/>
    </row>
    <row r="4383" spans="1:12" s="37" customFormat="1" ht="11.25" x14ac:dyDescent="0.2">
      <c r="A4383" s="46" t="s">
        <v>2235</v>
      </c>
      <c r="B4383" s="46" t="s">
        <v>53556</v>
      </c>
      <c r="C4383" s="58" t="str">
        <f>"00951137"</f>
        <v>00951137</v>
      </c>
      <c r="D4383" s="58" t="str">
        <f>"1098660X"</f>
        <v>1098660X</v>
      </c>
      <c r="E4383" s="46" t="s">
        <v>441</v>
      </c>
      <c r="F4383" s="46" t="s">
        <v>17759</v>
      </c>
      <c r="G4383" s="46" t="s">
        <v>50584</v>
      </c>
      <c r="H4383" s="48" t="s">
        <v>56716</v>
      </c>
      <c r="I4383" s="48" t="s">
        <v>50564</v>
      </c>
      <c r="J4383" s="48" t="s">
        <v>56716</v>
      </c>
      <c r="K4383" s="50"/>
      <c r="L4383" s="48" t="s">
        <v>56716</v>
      </c>
    </row>
    <row r="4384" spans="1:12" s="37" customFormat="1" ht="11.25" x14ac:dyDescent="0.2">
      <c r="A4384" s="46" t="s">
        <v>7757</v>
      </c>
      <c r="B4384" s="46" t="s">
        <v>53557</v>
      </c>
      <c r="C4384" s="58" t="str">
        <f>"13871307"</f>
        <v>13871307</v>
      </c>
      <c r="D4384" s="58" t="str">
        <f>"15732614"</f>
        <v>15732614</v>
      </c>
      <c r="E4384" s="46" t="s">
        <v>18876</v>
      </c>
      <c r="F4384" s="46" t="s">
        <v>18001</v>
      </c>
      <c r="G4384" s="46" t="s">
        <v>50584</v>
      </c>
      <c r="H4384" s="48" t="s">
        <v>56716</v>
      </c>
      <c r="I4384" s="48" t="s">
        <v>50564</v>
      </c>
      <c r="J4384" s="48" t="s">
        <v>56716</v>
      </c>
      <c r="K4384" s="50" t="s">
        <v>56716</v>
      </c>
      <c r="L4384" s="48" t="s">
        <v>56716</v>
      </c>
    </row>
    <row r="4385" spans="1:12" s="37" customFormat="1" ht="11.25" x14ac:dyDescent="0.2">
      <c r="A4385" s="46" t="s">
        <v>17244</v>
      </c>
      <c r="B4385" s="46" t="s">
        <v>53558</v>
      </c>
      <c r="C4385" s="58" t="str">
        <f>"22494847"</f>
        <v>22494847</v>
      </c>
      <c r="D4385" s="58" t="str">
        <f>""</f>
        <v/>
      </c>
      <c r="E4385" s="46" t="s">
        <v>19057</v>
      </c>
      <c r="F4385" s="46" t="s">
        <v>20446</v>
      </c>
      <c r="G4385" s="46" t="s">
        <v>50584</v>
      </c>
      <c r="H4385" s="48" t="s">
        <v>56716</v>
      </c>
      <c r="I4385" s="48" t="s">
        <v>50564</v>
      </c>
      <c r="J4385" s="48" t="s">
        <v>56716</v>
      </c>
      <c r="K4385" s="50"/>
      <c r="L4385" s="48"/>
    </row>
    <row r="4386" spans="1:12" s="37" customFormat="1" ht="11.25" x14ac:dyDescent="0.2">
      <c r="A4386" s="46" t="s">
        <v>12212</v>
      </c>
      <c r="B4386" s="46" t="s">
        <v>53559</v>
      </c>
      <c r="C4386" s="58" t="str">
        <f>"10041648"</f>
        <v>10041648</v>
      </c>
      <c r="D4386" s="58" t="str">
        <f>""</f>
        <v/>
      </c>
      <c r="E4386" s="46" t="s">
        <v>12214</v>
      </c>
      <c r="F4386" s="46" t="s">
        <v>17958</v>
      </c>
      <c r="G4386" s="46" t="s">
        <v>50584</v>
      </c>
      <c r="H4386" s="48" t="s">
        <v>56716</v>
      </c>
      <c r="I4386" s="48" t="s">
        <v>50564</v>
      </c>
      <c r="J4386" s="48"/>
      <c r="K4386" s="50"/>
      <c r="L4386" s="48"/>
    </row>
    <row r="4387" spans="1:12" s="37" customFormat="1" ht="11.25" x14ac:dyDescent="0.2">
      <c r="A4387" s="46" t="s">
        <v>8601</v>
      </c>
      <c r="B4387" s="46" t="s">
        <v>53560</v>
      </c>
      <c r="C4387" s="58" t="str">
        <f>"15220443"</f>
        <v>15220443</v>
      </c>
      <c r="D4387" s="58" t="str">
        <f>"15371611"</f>
        <v>15371611</v>
      </c>
      <c r="E4387" s="46" t="s">
        <v>28</v>
      </c>
      <c r="F4387" s="46" t="s">
        <v>17759</v>
      </c>
      <c r="G4387" s="46" t="s">
        <v>50584</v>
      </c>
      <c r="H4387" s="48" t="s">
        <v>56716</v>
      </c>
      <c r="I4387" s="48" t="s">
        <v>50564</v>
      </c>
      <c r="J4387" s="48" t="s">
        <v>56716</v>
      </c>
      <c r="K4387" s="50"/>
      <c r="L4387" s="48" t="s">
        <v>56716</v>
      </c>
    </row>
    <row r="4388" spans="1:12" s="37" customFormat="1" ht="11.25" x14ac:dyDescent="0.2">
      <c r="A4388" s="46" t="s">
        <v>2241</v>
      </c>
      <c r="B4388" s="46" t="s">
        <v>53561</v>
      </c>
      <c r="C4388" s="58" t="str">
        <f>"07360258"</f>
        <v>07360258</v>
      </c>
      <c r="D4388" s="58" t="str">
        <f>"15371603"</f>
        <v>15371603</v>
      </c>
      <c r="E4388" s="46" t="s">
        <v>28</v>
      </c>
      <c r="F4388" s="46" t="s">
        <v>17759</v>
      </c>
      <c r="G4388" s="46" t="s">
        <v>50584</v>
      </c>
      <c r="H4388" s="48" t="s">
        <v>56716</v>
      </c>
      <c r="I4388" s="48" t="s">
        <v>50564</v>
      </c>
      <c r="J4388" s="48"/>
      <c r="K4388" s="50" t="s">
        <v>56716</v>
      </c>
      <c r="L4388" s="48" t="s">
        <v>56716</v>
      </c>
    </row>
    <row r="4389" spans="1:12" s="37" customFormat="1" ht="11.25" x14ac:dyDescent="0.2">
      <c r="A4389" s="46" t="s">
        <v>8048</v>
      </c>
      <c r="B4389" s="46" t="s">
        <v>53562</v>
      </c>
      <c r="C4389" s="58" t="str">
        <f>"09675868"</f>
        <v>09675868</v>
      </c>
      <c r="D4389" s="58" t="str">
        <f>"15322653"</f>
        <v>15322653</v>
      </c>
      <c r="E4389" s="46" t="s">
        <v>831</v>
      </c>
      <c r="F4389" s="46" t="s">
        <v>50646</v>
      </c>
      <c r="G4389" s="46" t="s">
        <v>50584</v>
      </c>
      <c r="H4389" s="48" t="s">
        <v>56716</v>
      </c>
      <c r="I4389" s="48" t="s">
        <v>50564</v>
      </c>
      <c r="J4389" s="48" t="s">
        <v>56716</v>
      </c>
      <c r="K4389" s="50" t="s">
        <v>56716</v>
      </c>
      <c r="L4389" s="48" t="s">
        <v>56716</v>
      </c>
    </row>
    <row r="4390" spans="1:12" s="37" customFormat="1" ht="11.25" x14ac:dyDescent="0.2">
      <c r="A4390" s="45" t="s">
        <v>34760</v>
      </c>
      <c r="B4390" s="45" t="s">
        <v>34762</v>
      </c>
      <c r="C4390" s="51" t="s">
        <v>34765</v>
      </c>
      <c r="D4390" s="51" t="s">
        <v>34764</v>
      </c>
      <c r="E4390" s="45" t="s">
        <v>23527</v>
      </c>
      <c r="F4390" s="45" t="s">
        <v>50646</v>
      </c>
      <c r="G4390" s="45" t="s">
        <v>50584</v>
      </c>
      <c r="H4390" s="56"/>
      <c r="I4390" s="56" t="s">
        <v>50564</v>
      </c>
      <c r="J4390" s="56"/>
      <c r="K4390" s="50"/>
      <c r="L4390" s="56" t="s">
        <v>56716</v>
      </c>
    </row>
    <row r="4391" spans="1:12" s="37" customFormat="1" ht="11.25" x14ac:dyDescent="0.2">
      <c r="A4391" s="46" t="s">
        <v>2244</v>
      </c>
      <c r="B4391" s="46" t="s">
        <v>53563</v>
      </c>
      <c r="C4391" s="58" t="str">
        <f>"0732183X"</f>
        <v>0732183X</v>
      </c>
      <c r="D4391" s="58" t="str">
        <f>"15277755"</f>
        <v>15277755</v>
      </c>
      <c r="E4391" s="46" t="s">
        <v>2247</v>
      </c>
      <c r="F4391" s="46" t="s">
        <v>17759</v>
      </c>
      <c r="G4391" s="46" t="s">
        <v>50584</v>
      </c>
      <c r="H4391" s="48" t="s">
        <v>56716</v>
      </c>
      <c r="I4391" s="48" t="s">
        <v>50564</v>
      </c>
      <c r="J4391" s="48" t="s">
        <v>56716</v>
      </c>
      <c r="K4391" s="50"/>
      <c r="L4391" s="48" t="s">
        <v>56716</v>
      </c>
    </row>
    <row r="4392" spans="1:12" s="37" customFormat="1" ht="11.25" x14ac:dyDescent="0.2">
      <c r="A4392" s="45" t="s">
        <v>34772</v>
      </c>
      <c r="B4392" s="45" t="s">
        <v>34774</v>
      </c>
      <c r="C4392" s="51" t="s">
        <v>34776</v>
      </c>
      <c r="D4392" s="51"/>
      <c r="E4392" s="45" t="s">
        <v>34777</v>
      </c>
      <c r="F4392" s="45" t="s">
        <v>17759</v>
      </c>
      <c r="G4392" s="45" t="s">
        <v>50584</v>
      </c>
      <c r="H4392" s="56"/>
      <c r="I4392" s="56" t="s">
        <v>50564</v>
      </c>
      <c r="J4392" s="56"/>
      <c r="K4392" s="50"/>
      <c r="L4392" s="56" t="s">
        <v>56716</v>
      </c>
    </row>
    <row r="4393" spans="1:12" s="37" customFormat="1" ht="11.25" x14ac:dyDescent="0.2">
      <c r="A4393" s="46" t="s">
        <v>15370</v>
      </c>
      <c r="B4393" s="46" t="s">
        <v>53564</v>
      </c>
      <c r="C4393" s="58" t="str">
        <f>"09765662"</f>
        <v>09765662</v>
      </c>
      <c r="D4393" s="58" t="str">
        <f>"22133445"</f>
        <v>22133445</v>
      </c>
      <c r="E4393" s="46" t="s">
        <v>91</v>
      </c>
      <c r="F4393" s="46" t="s">
        <v>18001</v>
      </c>
      <c r="G4393" s="46" t="s">
        <v>50584</v>
      </c>
      <c r="H4393" s="48" t="s">
        <v>56716</v>
      </c>
      <c r="I4393" s="48" t="s">
        <v>50564</v>
      </c>
      <c r="J4393" s="48" t="s">
        <v>56716</v>
      </c>
      <c r="K4393" s="50" t="s">
        <v>56716</v>
      </c>
      <c r="L4393" s="48"/>
    </row>
    <row r="4394" spans="1:12" s="37" customFormat="1" ht="11.25" x14ac:dyDescent="0.2">
      <c r="A4394" s="46" t="s">
        <v>8022</v>
      </c>
      <c r="B4394" s="46" t="s">
        <v>53565</v>
      </c>
      <c r="C4394" s="58" t="str">
        <f>"10796533"</f>
        <v>10796533</v>
      </c>
      <c r="D4394" s="58" t="str">
        <f>""</f>
        <v/>
      </c>
      <c r="E4394" s="46" t="s">
        <v>8024</v>
      </c>
      <c r="F4394" s="46" t="s">
        <v>17759</v>
      </c>
      <c r="G4394" s="46" t="s">
        <v>50584</v>
      </c>
      <c r="H4394" s="48" t="s">
        <v>56716</v>
      </c>
      <c r="I4394" s="48" t="s">
        <v>50564</v>
      </c>
      <c r="J4394" s="48"/>
      <c r="K4394" s="50"/>
      <c r="L4394" s="48"/>
    </row>
    <row r="4395" spans="1:12" s="37" customFormat="1" ht="11.25" x14ac:dyDescent="0.2">
      <c r="A4395" s="46" t="s">
        <v>2248</v>
      </c>
      <c r="B4395" s="46" t="s">
        <v>53566</v>
      </c>
      <c r="C4395" s="58" t="str">
        <f>"00219746"</f>
        <v>00219746</v>
      </c>
      <c r="D4395" s="58" t="str">
        <f>"14724146"</f>
        <v>14724146</v>
      </c>
      <c r="E4395" s="46" t="s">
        <v>159</v>
      </c>
      <c r="F4395" s="46" t="s">
        <v>50646</v>
      </c>
      <c r="G4395" s="46" t="s">
        <v>50584</v>
      </c>
      <c r="H4395" s="48" t="s">
        <v>56716</v>
      </c>
      <c r="I4395" s="48" t="s">
        <v>50564</v>
      </c>
      <c r="J4395" s="48" t="s">
        <v>56716</v>
      </c>
      <c r="K4395" s="50" t="s">
        <v>56716</v>
      </c>
      <c r="L4395" s="48" t="s">
        <v>56716</v>
      </c>
    </row>
    <row r="4396" spans="1:12" s="37" customFormat="1" ht="11.25" x14ac:dyDescent="0.2">
      <c r="A4396" s="45" t="s">
        <v>34791</v>
      </c>
      <c r="B4396" s="45" t="s">
        <v>34793</v>
      </c>
      <c r="C4396" s="51" t="s">
        <v>34795</v>
      </c>
      <c r="D4396" s="51" t="s">
        <v>34794</v>
      </c>
      <c r="E4396" s="45" t="s">
        <v>970</v>
      </c>
      <c r="F4396" s="45" t="s">
        <v>17759</v>
      </c>
      <c r="G4396" s="45" t="s">
        <v>50584</v>
      </c>
      <c r="H4396" s="56"/>
      <c r="I4396" s="56" t="s">
        <v>50564</v>
      </c>
      <c r="J4396" s="56"/>
      <c r="K4396" s="50"/>
      <c r="L4396" s="56" t="s">
        <v>56716</v>
      </c>
    </row>
    <row r="4397" spans="1:12" s="37" customFormat="1" ht="11.25" x14ac:dyDescent="0.2">
      <c r="A4397" s="46" t="s">
        <v>2251</v>
      </c>
      <c r="B4397" s="46" t="s">
        <v>53567</v>
      </c>
      <c r="C4397" s="58" t="str">
        <f>"00912700"</f>
        <v>00912700</v>
      </c>
      <c r="D4397" s="58" t="str">
        <f>"15524604"</f>
        <v>15524604</v>
      </c>
      <c r="E4397" s="46" t="s">
        <v>548</v>
      </c>
      <c r="F4397" s="46" t="s">
        <v>17759</v>
      </c>
      <c r="G4397" s="46" t="s">
        <v>50584</v>
      </c>
      <c r="H4397" s="48" t="s">
        <v>56716</v>
      </c>
      <c r="I4397" s="48" t="s">
        <v>50564</v>
      </c>
      <c r="J4397" s="48"/>
      <c r="K4397" s="50" t="s">
        <v>56716</v>
      </c>
      <c r="L4397" s="48" t="s">
        <v>56716</v>
      </c>
    </row>
    <row r="4398" spans="1:12" s="37" customFormat="1" ht="11.25" x14ac:dyDescent="0.2">
      <c r="A4398" s="46" t="s">
        <v>13709</v>
      </c>
      <c r="B4398" s="46" t="s">
        <v>53568</v>
      </c>
      <c r="C4398" s="58" t="str">
        <f>""</f>
        <v/>
      </c>
      <c r="D4398" s="58" t="str">
        <f>"1916694X"</f>
        <v>1916694X</v>
      </c>
      <c r="E4398" s="46" t="s">
        <v>55919</v>
      </c>
      <c r="F4398" s="46" t="s">
        <v>18959</v>
      </c>
      <c r="G4398" s="46" t="s">
        <v>50584</v>
      </c>
      <c r="H4398" s="48" t="s">
        <v>56716</v>
      </c>
      <c r="I4398" s="48" t="s">
        <v>50564</v>
      </c>
      <c r="J4398" s="48"/>
      <c r="K4398" s="50"/>
      <c r="L4398" s="48"/>
    </row>
    <row r="4399" spans="1:12" s="37" customFormat="1" ht="11.25" x14ac:dyDescent="0.2">
      <c r="A4399" s="46" t="s">
        <v>4361</v>
      </c>
      <c r="B4399" s="46" t="s">
        <v>53569</v>
      </c>
      <c r="C4399" s="58" t="str">
        <f>"02694727"</f>
        <v>02694727</v>
      </c>
      <c r="D4399" s="58" t="str">
        <f>"13652710"</f>
        <v>13652710</v>
      </c>
      <c r="E4399" s="46" t="s">
        <v>35</v>
      </c>
      <c r="F4399" s="46" t="s">
        <v>50646</v>
      </c>
      <c r="G4399" s="46" t="s">
        <v>50584</v>
      </c>
      <c r="H4399" s="48" t="s">
        <v>56716</v>
      </c>
      <c r="I4399" s="48" t="s">
        <v>50564</v>
      </c>
      <c r="J4399" s="48"/>
      <c r="K4399" s="50" t="s">
        <v>56716</v>
      </c>
      <c r="L4399" s="48" t="s">
        <v>56716</v>
      </c>
    </row>
    <row r="4400" spans="1:12" s="37" customFormat="1" ht="11.25" x14ac:dyDescent="0.2">
      <c r="A4400" s="46" t="s">
        <v>2232</v>
      </c>
      <c r="B4400" s="46" t="s">
        <v>53570</v>
      </c>
      <c r="C4400" s="58" t="str">
        <f>"01606689"</f>
        <v>01606689</v>
      </c>
      <c r="D4400" s="58" t="str">
        <f>""</f>
        <v/>
      </c>
      <c r="E4400" s="46" t="s">
        <v>2234</v>
      </c>
      <c r="F4400" s="46" t="s">
        <v>17759</v>
      </c>
      <c r="G4400" s="46" t="s">
        <v>50584</v>
      </c>
      <c r="H4400" s="48" t="s">
        <v>56716</v>
      </c>
      <c r="I4400" s="48" t="s">
        <v>50564</v>
      </c>
      <c r="J4400" s="48" t="s">
        <v>56716</v>
      </c>
      <c r="K4400" s="50"/>
      <c r="L4400" s="48" t="s">
        <v>56716</v>
      </c>
    </row>
    <row r="4401" spans="1:12" s="37" customFormat="1" ht="11.25" x14ac:dyDescent="0.2">
      <c r="A4401" s="45" t="s">
        <v>34816</v>
      </c>
      <c r="B4401" s="45" t="s">
        <v>34818</v>
      </c>
      <c r="C4401" s="51" t="s">
        <v>34821</v>
      </c>
      <c r="D4401" s="51" t="s">
        <v>34820</v>
      </c>
      <c r="E4401" s="45" t="s">
        <v>17805</v>
      </c>
      <c r="F4401" s="45" t="s">
        <v>17759</v>
      </c>
      <c r="G4401" s="45" t="s">
        <v>50584</v>
      </c>
      <c r="H4401" s="56"/>
      <c r="I4401" s="56" t="s">
        <v>50564</v>
      </c>
      <c r="J4401" s="56"/>
      <c r="K4401" s="50"/>
      <c r="L4401" s="56" t="s">
        <v>56716</v>
      </c>
    </row>
    <row r="4402" spans="1:12" s="37" customFormat="1" ht="11.25" x14ac:dyDescent="0.2">
      <c r="A4402" s="46" t="s">
        <v>8542</v>
      </c>
      <c r="B4402" s="46" t="s">
        <v>53571</v>
      </c>
      <c r="C4402" s="58" t="str">
        <f>"10689583"</f>
        <v>10689583</v>
      </c>
      <c r="D4402" s="58" t="str">
        <f>"15733572"</f>
        <v>15733572</v>
      </c>
      <c r="E4402" s="46" t="s">
        <v>56305</v>
      </c>
      <c r="F4402" s="46" t="s">
        <v>17759</v>
      </c>
      <c r="G4402" s="46" t="s">
        <v>50584</v>
      </c>
      <c r="H4402" s="48" t="s">
        <v>56716</v>
      </c>
      <c r="I4402" s="48" t="s">
        <v>50564</v>
      </c>
      <c r="J4402" s="48" t="s">
        <v>56716</v>
      </c>
      <c r="K4402" s="50" t="s">
        <v>56716</v>
      </c>
      <c r="L4402" s="48" t="s">
        <v>56716</v>
      </c>
    </row>
    <row r="4403" spans="1:12" s="37" customFormat="1" ht="11.25" x14ac:dyDescent="0.2">
      <c r="A4403" s="46" t="s">
        <v>2260</v>
      </c>
      <c r="B4403" s="46" t="s">
        <v>53572</v>
      </c>
      <c r="C4403" s="58" t="str">
        <f>"02710749"</f>
        <v>02710749</v>
      </c>
      <c r="D4403" s="58" t="str">
        <f>"1533712X"</f>
        <v>1533712X</v>
      </c>
      <c r="E4403" s="46" t="s">
        <v>28</v>
      </c>
      <c r="F4403" s="46" t="s">
        <v>17759</v>
      </c>
      <c r="G4403" s="46" t="s">
        <v>50584</v>
      </c>
      <c r="H4403" s="48" t="s">
        <v>56716</v>
      </c>
      <c r="I4403" s="48" t="s">
        <v>50564</v>
      </c>
      <c r="J4403" s="48" t="s">
        <v>56716</v>
      </c>
      <c r="K4403" s="50" t="s">
        <v>56716</v>
      </c>
      <c r="L4403" s="48" t="s">
        <v>56716</v>
      </c>
    </row>
    <row r="4404" spans="1:12" s="37" customFormat="1" ht="11.25" x14ac:dyDescent="0.2">
      <c r="A4404" s="46" t="s">
        <v>7711</v>
      </c>
      <c r="B4404" s="46" t="s">
        <v>53573</v>
      </c>
      <c r="C4404" s="58" t="str">
        <f>"13695207"</f>
        <v>13695207</v>
      </c>
      <c r="D4404" s="58" t="str">
        <f>""</f>
        <v/>
      </c>
      <c r="E4404" s="46" t="s">
        <v>7713</v>
      </c>
      <c r="F4404" s="46" t="s">
        <v>50646</v>
      </c>
      <c r="G4404" s="46" t="s">
        <v>50584</v>
      </c>
      <c r="H4404" s="48" t="s">
        <v>56716</v>
      </c>
      <c r="I4404" s="48" t="s">
        <v>50564</v>
      </c>
      <c r="J4404" s="48"/>
      <c r="K4404" s="50"/>
      <c r="L4404" s="48"/>
    </row>
    <row r="4405" spans="1:12" s="37" customFormat="1" ht="11.25" x14ac:dyDescent="0.2">
      <c r="A4405" s="46" t="s">
        <v>6672</v>
      </c>
      <c r="B4405" s="46" t="s">
        <v>53574</v>
      </c>
      <c r="C4405" s="58" t="str">
        <f>"10761608"</f>
        <v>10761608</v>
      </c>
      <c r="D4405" s="58" t="str">
        <f>"15367355"</f>
        <v>15367355</v>
      </c>
      <c r="E4405" s="46" t="s">
        <v>28</v>
      </c>
      <c r="F4405" s="46" t="s">
        <v>17759</v>
      </c>
      <c r="G4405" s="46" t="s">
        <v>50584</v>
      </c>
      <c r="H4405" s="48" t="s">
        <v>56716</v>
      </c>
      <c r="I4405" s="48" t="s">
        <v>50564</v>
      </c>
      <c r="J4405" s="48" t="s">
        <v>56716</v>
      </c>
      <c r="K4405" s="50"/>
      <c r="L4405" s="48" t="s">
        <v>56716</v>
      </c>
    </row>
    <row r="4406" spans="1:12" s="37" customFormat="1" ht="11.25" x14ac:dyDescent="0.2">
      <c r="A4406" s="46" t="s">
        <v>10937</v>
      </c>
      <c r="B4406" s="46" t="s">
        <v>53575</v>
      </c>
      <c r="C4406" s="58" t="str">
        <f>"15509389"</f>
        <v>15509389</v>
      </c>
      <c r="D4406" s="58" t="str">
        <f>"15509397"</f>
        <v>15509397</v>
      </c>
      <c r="E4406" s="46" t="s">
        <v>10940</v>
      </c>
      <c r="F4406" s="46" t="s">
        <v>17759</v>
      </c>
      <c r="G4406" s="46" t="s">
        <v>50584</v>
      </c>
      <c r="H4406" s="48" t="s">
        <v>56716</v>
      </c>
      <c r="I4406" s="48" t="s">
        <v>50564</v>
      </c>
      <c r="J4406" s="48"/>
      <c r="K4406" s="50"/>
      <c r="L4406" s="48" t="s">
        <v>56716</v>
      </c>
    </row>
    <row r="4407" spans="1:12" s="37" customFormat="1" ht="11.25" x14ac:dyDescent="0.2">
      <c r="A4407" s="45" t="s">
        <v>34845</v>
      </c>
      <c r="B4407" s="45" t="s">
        <v>34847</v>
      </c>
      <c r="C4407" s="51" t="s">
        <v>34849</v>
      </c>
      <c r="D4407" s="51" t="s">
        <v>34848</v>
      </c>
      <c r="E4407" s="45" t="s">
        <v>27206</v>
      </c>
      <c r="F4407" s="45" t="s">
        <v>17759</v>
      </c>
      <c r="G4407" s="45" t="s">
        <v>50584</v>
      </c>
      <c r="H4407" s="56"/>
      <c r="I4407" s="56" t="s">
        <v>50564</v>
      </c>
      <c r="J4407" s="56"/>
      <c r="K4407" s="50"/>
      <c r="L4407" s="56" t="s">
        <v>56716</v>
      </c>
    </row>
    <row r="4408" spans="1:12" s="37" customFormat="1" ht="11.25" x14ac:dyDescent="0.2">
      <c r="A4408" s="46" t="s">
        <v>16542</v>
      </c>
      <c r="B4408" s="46" t="s">
        <v>53576</v>
      </c>
      <c r="C4408" s="58" t="str">
        <f>"20514158"</f>
        <v>20514158</v>
      </c>
      <c r="D4408" s="58" t="str">
        <f>"20514166"</f>
        <v>20514166</v>
      </c>
      <c r="E4408" s="46" t="s">
        <v>97</v>
      </c>
      <c r="F4408" s="46" t="s">
        <v>50646</v>
      </c>
      <c r="G4408" s="46" t="s">
        <v>50584</v>
      </c>
      <c r="H4408" s="48" t="s">
        <v>56716</v>
      </c>
      <c r="I4408" s="48" t="s">
        <v>50564</v>
      </c>
      <c r="J4408" s="48" t="s">
        <v>56716</v>
      </c>
      <c r="K4408" s="50"/>
      <c r="L4408" s="48"/>
    </row>
    <row r="4409" spans="1:12" s="37" customFormat="1" ht="11.25" x14ac:dyDescent="0.2">
      <c r="A4409" s="46" t="s">
        <v>7935</v>
      </c>
      <c r="B4409" s="46" t="s">
        <v>53577</v>
      </c>
      <c r="C4409" s="58" t="str">
        <f>"13866532"</f>
        <v>13866532</v>
      </c>
      <c r="D4409" s="58" t="str">
        <f>"18735967"</f>
        <v>18735967</v>
      </c>
      <c r="E4409" s="46" t="s">
        <v>91</v>
      </c>
      <c r="F4409" s="46" t="s">
        <v>18001</v>
      </c>
      <c r="G4409" s="46" t="s">
        <v>50584</v>
      </c>
      <c r="H4409" s="48" t="s">
        <v>56716</v>
      </c>
      <c r="I4409" s="48" t="s">
        <v>50564</v>
      </c>
      <c r="J4409" s="48" t="s">
        <v>56716</v>
      </c>
      <c r="K4409" s="50" t="s">
        <v>56716</v>
      </c>
      <c r="L4409" s="48" t="s">
        <v>56716</v>
      </c>
    </row>
    <row r="4410" spans="1:12" s="37" customFormat="1" ht="11.25" x14ac:dyDescent="0.2">
      <c r="A4410" s="46" t="s">
        <v>14920</v>
      </c>
      <c r="B4410" s="46" t="s">
        <v>53578</v>
      </c>
      <c r="C4410" s="58" t="str">
        <f>"20417969"</f>
        <v>20417969</v>
      </c>
      <c r="D4410" s="58" t="str">
        <f>""</f>
        <v/>
      </c>
      <c r="E4410" s="46" t="s">
        <v>14922</v>
      </c>
      <c r="F4410" s="46" t="s">
        <v>50646</v>
      </c>
      <c r="G4410" s="46" t="s">
        <v>50584</v>
      </c>
      <c r="H4410" s="48" t="s">
        <v>56716</v>
      </c>
      <c r="I4410" s="48" t="s">
        <v>50564</v>
      </c>
      <c r="J4410" s="48"/>
      <c r="K4410" s="50"/>
      <c r="L4410" s="48"/>
    </row>
    <row r="4411" spans="1:12" s="37" customFormat="1" ht="11.25" x14ac:dyDescent="0.2">
      <c r="A4411" s="46" t="s">
        <v>8583</v>
      </c>
      <c r="B4411" s="46" t="s">
        <v>53579</v>
      </c>
      <c r="C4411" s="58" t="str">
        <f>"15248372"</f>
        <v>15248372</v>
      </c>
      <c r="D4411" s="58" t="str">
        <f>"15327647"</f>
        <v>15327647</v>
      </c>
      <c r="E4411" s="46" t="s">
        <v>689</v>
      </c>
      <c r="F4411" s="46" t="s">
        <v>17759</v>
      </c>
      <c r="G4411" s="46" t="s">
        <v>50584</v>
      </c>
      <c r="H4411" s="48" t="s">
        <v>56716</v>
      </c>
      <c r="I4411" s="48" t="s">
        <v>50564</v>
      </c>
      <c r="J4411" s="48"/>
      <c r="K4411" s="50" t="s">
        <v>56716</v>
      </c>
      <c r="L4411" s="48"/>
    </row>
    <row r="4412" spans="1:12" s="37" customFormat="1" ht="11.25" x14ac:dyDescent="0.2">
      <c r="A4412" s="46" t="s">
        <v>5250</v>
      </c>
      <c r="B4412" s="46" t="s">
        <v>53580</v>
      </c>
      <c r="C4412" s="58" t="str">
        <f>"0898929X"</f>
        <v>0898929X</v>
      </c>
      <c r="D4412" s="58" t="str">
        <f>"15308898"</f>
        <v>15308898</v>
      </c>
      <c r="E4412" s="46" t="s">
        <v>5253</v>
      </c>
      <c r="F4412" s="46" t="s">
        <v>17759</v>
      </c>
      <c r="G4412" s="46" t="s">
        <v>50584</v>
      </c>
      <c r="H4412" s="48" t="s">
        <v>56716</v>
      </c>
      <c r="I4412" s="48" t="s">
        <v>50564</v>
      </c>
      <c r="J4412" s="48" t="s">
        <v>56716</v>
      </c>
      <c r="K4412" s="50"/>
      <c r="L4412" s="48" t="s">
        <v>56716</v>
      </c>
    </row>
    <row r="4413" spans="1:12" s="37" customFormat="1" ht="11.25" x14ac:dyDescent="0.2">
      <c r="A4413" s="46" t="s">
        <v>15429</v>
      </c>
      <c r="B4413" s="46" t="s">
        <v>53581</v>
      </c>
      <c r="C4413" s="58" t="str">
        <f>"20445911"</f>
        <v>20445911</v>
      </c>
      <c r="D4413" s="58" t="str">
        <f>"2044592X"</f>
        <v>2044592X</v>
      </c>
      <c r="E4413" s="46" t="s">
        <v>14754</v>
      </c>
      <c r="F4413" s="46" t="s">
        <v>50646</v>
      </c>
      <c r="G4413" s="46" t="s">
        <v>50584</v>
      </c>
      <c r="H4413" s="48" t="s">
        <v>56716</v>
      </c>
      <c r="I4413" s="48" t="s">
        <v>50564</v>
      </c>
      <c r="J4413" s="48" t="s">
        <v>56716</v>
      </c>
      <c r="K4413" s="50" t="s">
        <v>56716</v>
      </c>
      <c r="L4413" s="48"/>
    </row>
    <row r="4414" spans="1:12" s="37" customFormat="1" ht="11.25" x14ac:dyDescent="0.2">
      <c r="A4414" s="46" t="s">
        <v>4287</v>
      </c>
      <c r="B4414" s="46" t="s">
        <v>53582</v>
      </c>
      <c r="C4414" s="58" t="str">
        <f>"08898391"</f>
        <v>08898391</v>
      </c>
      <c r="D4414" s="58" t="str">
        <f>"1938887X"</f>
        <v>1938887X</v>
      </c>
      <c r="E4414" s="46" t="s">
        <v>4289</v>
      </c>
      <c r="F4414" s="46" t="s">
        <v>17759</v>
      </c>
      <c r="G4414" s="46" t="s">
        <v>50584</v>
      </c>
      <c r="H4414" s="48" t="s">
        <v>56716</v>
      </c>
      <c r="I4414" s="48" t="s">
        <v>50564</v>
      </c>
      <c r="J4414" s="48"/>
      <c r="K4414" s="50"/>
      <c r="L4414" s="48"/>
    </row>
    <row r="4415" spans="1:12" s="37" customFormat="1" ht="11.25" x14ac:dyDescent="0.2">
      <c r="A4415" s="46" t="s">
        <v>5977</v>
      </c>
      <c r="B4415" s="46" t="s">
        <v>53583</v>
      </c>
      <c r="C4415" s="58" t="str">
        <f>"00219797"</f>
        <v>00219797</v>
      </c>
      <c r="D4415" s="58" t="str">
        <f>"10957103"</f>
        <v>10957103</v>
      </c>
      <c r="E4415" s="46" t="s">
        <v>60</v>
      </c>
      <c r="F4415" s="46" t="s">
        <v>17759</v>
      </c>
      <c r="G4415" s="46" t="s">
        <v>50584</v>
      </c>
      <c r="H4415" s="48" t="s">
        <v>56716</v>
      </c>
      <c r="I4415" s="48" t="s">
        <v>50564</v>
      </c>
      <c r="J4415" s="48" t="s">
        <v>56716</v>
      </c>
      <c r="K4415" s="50" t="s">
        <v>56716</v>
      </c>
      <c r="L4415" s="48" t="s">
        <v>56716</v>
      </c>
    </row>
    <row r="4416" spans="1:12" s="37" customFormat="1" ht="11.25" x14ac:dyDescent="0.2">
      <c r="A4416" s="46" t="s">
        <v>9870</v>
      </c>
      <c r="B4416" s="46" t="s">
        <v>53584</v>
      </c>
      <c r="C4416" s="58" t="str">
        <f>"14628732"</f>
        <v>14628732</v>
      </c>
      <c r="D4416" s="58" t="str">
        <f>"1478565X"</f>
        <v>1478565X</v>
      </c>
      <c r="E4416" s="46" t="s">
        <v>9873</v>
      </c>
      <c r="F4416" s="46" t="s">
        <v>50646</v>
      </c>
      <c r="G4416" s="46" t="s">
        <v>50584</v>
      </c>
      <c r="H4416" s="48" t="s">
        <v>56716</v>
      </c>
      <c r="I4416" s="48" t="s">
        <v>50564</v>
      </c>
      <c r="J4416" s="48"/>
      <c r="K4416" s="50"/>
      <c r="L4416" s="48"/>
    </row>
    <row r="4417" spans="1:12" s="37" customFormat="1" ht="11.25" x14ac:dyDescent="0.2">
      <c r="A4417" s="46" t="s">
        <v>2197</v>
      </c>
      <c r="B4417" s="46" t="s">
        <v>53585</v>
      </c>
      <c r="C4417" s="58" t="str">
        <f>"00219924"</f>
        <v>00219924</v>
      </c>
      <c r="D4417" s="58" t="str">
        <f>"18737994"</f>
        <v>18737994</v>
      </c>
      <c r="E4417" s="46" t="s">
        <v>272</v>
      </c>
      <c r="F4417" s="46" t="s">
        <v>17759</v>
      </c>
      <c r="G4417" s="46" t="s">
        <v>50584</v>
      </c>
      <c r="H4417" s="48" t="s">
        <v>56716</v>
      </c>
      <c r="I4417" s="48" t="s">
        <v>50564</v>
      </c>
      <c r="J4417" s="48"/>
      <c r="K4417" s="50" t="s">
        <v>56716</v>
      </c>
      <c r="L4417" s="48" t="s">
        <v>56716</v>
      </c>
    </row>
    <row r="4418" spans="1:12" s="37" customFormat="1" ht="11.25" x14ac:dyDescent="0.2">
      <c r="A4418" s="46" t="s">
        <v>15258</v>
      </c>
      <c r="B4418" s="46" t="s">
        <v>53586</v>
      </c>
      <c r="C4418" s="58" t="str">
        <f>"1868310X"</f>
        <v>1868310X</v>
      </c>
      <c r="D4418" s="58" t="str">
        <f>"18686001"</f>
        <v>18686001</v>
      </c>
      <c r="E4418" s="46" t="s">
        <v>167</v>
      </c>
      <c r="F4418" s="46" t="s">
        <v>18158</v>
      </c>
      <c r="G4418" s="46" t="s">
        <v>50584</v>
      </c>
      <c r="H4418" s="48" t="s">
        <v>56716</v>
      </c>
      <c r="I4418" s="48" t="s">
        <v>50564</v>
      </c>
      <c r="J4418" s="48" t="s">
        <v>56716</v>
      </c>
      <c r="K4418" s="50" t="s">
        <v>56716</v>
      </c>
      <c r="L4418" s="48"/>
    </row>
    <row r="4419" spans="1:12" s="37" customFormat="1" ht="11.25" x14ac:dyDescent="0.2">
      <c r="A4419" s="45" t="s">
        <v>34880</v>
      </c>
      <c r="B4419" s="45" t="s">
        <v>34882</v>
      </c>
      <c r="C4419" s="51" t="s">
        <v>34884</v>
      </c>
      <c r="D4419" s="51" t="s">
        <v>34883</v>
      </c>
      <c r="E4419" s="45" t="s">
        <v>17783</v>
      </c>
      <c r="F4419" s="45" t="s">
        <v>18001</v>
      </c>
      <c r="G4419" s="45" t="s">
        <v>50584</v>
      </c>
      <c r="H4419" s="56"/>
      <c r="I4419" s="56" t="s">
        <v>50564</v>
      </c>
      <c r="J4419" s="56"/>
      <c r="K4419" s="50"/>
      <c r="L4419" s="56" t="s">
        <v>56716</v>
      </c>
    </row>
    <row r="4420" spans="1:12" s="37" customFormat="1" ht="11.25" x14ac:dyDescent="0.2">
      <c r="A4420" s="45" t="s">
        <v>34886</v>
      </c>
      <c r="B4420" s="45" t="s">
        <v>34888</v>
      </c>
      <c r="C4420" s="51" t="s">
        <v>34890</v>
      </c>
      <c r="D4420" s="51" t="s">
        <v>34889</v>
      </c>
      <c r="E4420" s="45" t="s">
        <v>689</v>
      </c>
      <c r="F4420" s="45" t="s">
        <v>17759</v>
      </c>
      <c r="G4420" s="45" t="s">
        <v>50584</v>
      </c>
      <c r="H4420" s="56"/>
      <c r="I4420" s="56" t="s">
        <v>50564</v>
      </c>
      <c r="J4420" s="56"/>
      <c r="K4420" s="50"/>
      <c r="L4420" s="56" t="s">
        <v>56716</v>
      </c>
    </row>
    <row r="4421" spans="1:12" s="37" customFormat="1" ht="11.25" x14ac:dyDescent="0.2">
      <c r="A4421" s="46" t="s">
        <v>16035</v>
      </c>
      <c r="B4421" s="46" t="s">
        <v>53587</v>
      </c>
      <c r="C4421" s="58" t="str">
        <f>"20426305"</f>
        <v>20426305</v>
      </c>
      <c r="D4421" s="58" t="str">
        <f>"20426313"</f>
        <v>20426313</v>
      </c>
      <c r="E4421" s="46" t="s">
        <v>8442</v>
      </c>
      <c r="F4421" s="46" t="s">
        <v>50646</v>
      </c>
      <c r="G4421" s="46" t="s">
        <v>50584</v>
      </c>
      <c r="H4421" s="48" t="s">
        <v>56716</v>
      </c>
      <c r="I4421" s="48" t="s">
        <v>50564</v>
      </c>
      <c r="J4421" s="48" t="s">
        <v>56716</v>
      </c>
      <c r="K4421" s="50"/>
      <c r="L4421" s="48" t="s">
        <v>56716</v>
      </c>
    </row>
    <row r="4422" spans="1:12" s="37" customFormat="1" ht="11.25" x14ac:dyDescent="0.2">
      <c r="A4422" s="46" t="s">
        <v>2238</v>
      </c>
      <c r="B4422" s="46" t="s">
        <v>53588</v>
      </c>
      <c r="C4422" s="58" t="str">
        <f>"00219967"</f>
        <v>00219967</v>
      </c>
      <c r="D4422" s="58" t="str">
        <f>"10969861"</f>
        <v>10969861</v>
      </c>
      <c r="E4422" s="46" t="s">
        <v>320</v>
      </c>
      <c r="F4422" s="46" t="s">
        <v>17759</v>
      </c>
      <c r="G4422" s="46" t="s">
        <v>50584</v>
      </c>
      <c r="H4422" s="48" t="s">
        <v>56716</v>
      </c>
      <c r="I4422" s="48" t="s">
        <v>50564</v>
      </c>
      <c r="J4422" s="48" t="s">
        <v>56716</v>
      </c>
      <c r="K4422" s="50" t="s">
        <v>56716</v>
      </c>
      <c r="L4422" s="48" t="s">
        <v>56716</v>
      </c>
    </row>
    <row r="4423" spans="1:12" s="37" customFormat="1" ht="11.25" x14ac:dyDescent="0.2">
      <c r="A4423" s="46" t="s">
        <v>2275</v>
      </c>
      <c r="B4423" s="46" t="s">
        <v>53589</v>
      </c>
      <c r="C4423" s="58" t="str">
        <f>"00219975"</f>
        <v>00219975</v>
      </c>
      <c r="D4423" s="58" t="str">
        <f>"15323129"</f>
        <v>15323129</v>
      </c>
      <c r="E4423" s="46" t="s">
        <v>1177</v>
      </c>
      <c r="F4423" s="46" t="s">
        <v>50646</v>
      </c>
      <c r="G4423" s="46" t="s">
        <v>50584</v>
      </c>
      <c r="H4423" s="48" t="s">
        <v>56716</v>
      </c>
      <c r="I4423" s="48" t="s">
        <v>50564</v>
      </c>
      <c r="J4423" s="48" t="s">
        <v>56716</v>
      </c>
      <c r="K4423" s="50" t="s">
        <v>56716</v>
      </c>
      <c r="L4423" s="48" t="s">
        <v>56716</v>
      </c>
    </row>
    <row r="4424" spans="1:12" s="37" customFormat="1" ht="11.25" x14ac:dyDescent="0.2">
      <c r="A4424" s="45" t="s">
        <v>34908</v>
      </c>
      <c r="B4424" s="45" t="s">
        <v>34910</v>
      </c>
      <c r="C4424" s="51" t="s">
        <v>34913</v>
      </c>
      <c r="D4424" s="51" t="s">
        <v>34912</v>
      </c>
      <c r="E4424" s="45" t="s">
        <v>17783</v>
      </c>
      <c r="F4424" s="45" t="s">
        <v>18158</v>
      </c>
      <c r="G4424" s="45" t="s">
        <v>50584</v>
      </c>
      <c r="H4424" s="56"/>
      <c r="I4424" s="56" t="s">
        <v>50564</v>
      </c>
      <c r="J4424" s="56"/>
      <c r="K4424" s="50"/>
      <c r="L4424" s="56" t="s">
        <v>56716</v>
      </c>
    </row>
    <row r="4425" spans="1:12" s="37" customFormat="1" ht="11.25" x14ac:dyDescent="0.2">
      <c r="A4425" s="45" t="s">
        <v>34915</v>
      </c>
      <c r="B4425" s="45" t="s">
        <v>34917</v>
      </c>
      <c r="C4425" s="51" t="s">
        <v>34920</v>
      </c>
      <c r="D4425" s="51" t="s">
        <v>34919</v>
      </c>
      <c r="E4425" s="45" t="s">
        <v>17089</v>
      </c>
      <c r="F4425" s="45" t="s">
        <v>18158</v>
      </c>
      <c r="G4425" s="45" t="s">
        <v>50584</v>
      </c>
      <c r="H4425" s="56"/>
      <c r="I4425" s="56" t="s">
        <v>50564</v>
      </c>
      <c r="J4425" s="56"/>
      <c r="K4425" s="50"/>
      <c r="L4425" s="56" t="s">
        <v>56716</v>
      </c>
    </row>
    <row r="4426" spans="1:12" s="37" customFormat="1" ht="11.25" x14ac:dyDescent="0.2">
      <c r="A4426" s="45" t="s">
        <v>34923</v>
      </c>
      <c r="B4426" s="45" t="s">
        <v>34925</v>
      </c>
      <c r="C4426" s="51" t="s">
        <v>34927</v>
      </c>
      <c r="D4426" s="51" t="s">
        <v>34926</v>
      </c>
      <c r="E4426" s="45" t="s">
        <v>19767</v>
      </c>
      <c r="F4426" s="45" t="s">
        <v>17759</v>
      </c>
      <c r="G4426" s="45" t="s">
        <v>50584</v>
      </c>
      <c r="H4426" s="56"/>
      <c r="I4426" s="56" t="s">
        <v>50564</v>
      </c>
      <c r="J4426" s="56"/>
      <c r="K4426" s="50"/>
      <c r="L4426" s="56" t="s">
        <v>56716</v>
      </c>
    </row>
    <row r="4427" spans="1:12" s="37" customFormat="1" ht="11.25" x14ac:dyDescent="0.2">
      <c r="A4427" s="46" t="s">
        <v>11024</v>
      </c>
      <c r="B4427" s="46" t="s">
        <v>53590</v>
      </c>
      <c r="C4427" s="58" t="str">
        <f>"15533840"</f>
        <v>15533840</v>
      </c>
      <c r="D4427" s="58" t="str">
        <f>"15533840"</f>
        <v>15533840</v>
      </c>
      <c r="E4427" s="46" t="s">
        <v>1887</v>
      </c>
      <c r="F4427" s="46" t="s">
        <v>18158</v>
      </c>
      <c r="G4427" s="46" t="s">
        <v>50584</v>
      </c>
      <c r="H4427" s="48" t="s">
        <v>56716</v>
      </c>
      <c r="I4427" s="48" t="s">
        <v>50564</v>
      </c>
      <c r="J4427" s="48"/>
      <c r="K4427" s="50"/>
      <c r="L4427" s="48" t="s">
        <v>56716</v>
      </c>
    </row>
    <row r="4428" spans="1:12" s="37" customFormat="1" ht="11.25" x14ac:dyDescent="0.2">
      <c r="A4428" s="45" t="s">
        <v>34935</v>
      </c>
      <c r="B4428" s="45" t="s">
        <v>34937</v>
      </c>
      <c r="C4428" s="51" t="s">
        <v>34939</v>
      </c>
      <c r="D4428" s="51" t="s">
        <v>34938</v>
      </c>
      <c r="E4428" s="45" t="s">
        <v>19180</v>
      </c>
      <c r="F4428" s="45" t="s">
        <v>17759</v>
      </c>
      <c r="G4428" s="45" t="s">
        <v>50584</v>
      </c>
      <c r="H4428" s="56"/>
      <c r="I4428" s="56" t="s">
        <v>50564</v>
      </c>
      <c r="J4428" s="56"/>
      <c r="K4428" s="50"/>
      <c r="L4428" s="56" t="s">
        <v>56716</v>
      </c>
    </row>
    <row r="4429" spans="1:12" s="37" customFormat="1" ht="11.25" x14ac:dyDescent="0.2">
      <c r="A4429" s="45" t="s">
        <v>34942</v>
      </c>
      <c r="B4429" s="45" t="s">
        <v>34944</v>
      </c>
      <c r="C4429" s="51" t="s">
        <v>34946</v>
      </c>
      <c r="D4429" s="51" t="s">
        <v>34945</v>
      </c>
      <c r="E4429" s="45" t="s">
        <v>17805</v>
      </c>
      <c r="F4429" s="45" t="s">
        <v>17759</v>
      </c>
      <c r="G4429" s="45" t="s">
        <v>50584</v>
      </c>
      <c r="H4429" s="56"/>
      <c r="I4429" s="56" t="s">
        <v>50564</v>
      </c>
      <c r="J4429" s="56"/>
      <c r="K4429" s="50"/>
      <c r="L4429" s="56" t="s">
        <v>56716</v>
      </c>
    </row>
    <row r="4430" spans="1:12" s="37" customFormat="1" ht="11.25" x14ac:dyDescent="0.2">
      <c r="A4430" s="46" t="s">
        <v>6616</v>
      </c>
      <c r="B4430" s="46" t="s">
        <v>53591</v>
      </c>
      <c r="C4430" s="58" t="str">
        <f>"09295313"</f>
        <v>09295313</v>
      </c>
      <c r="D4430" s="58" t="str">
        <f>"15736873"</f>
        <v>15736873</v>
      </c>
      <c r="E4430" s="46" t="s">
        <v>18876</v>
      </c>
      <c r="F4430" s="46" t="s">
        <v>18001</v>
      </c>
      <c r="G4430" s="46" t="s">
        <v>50584</v>
      </c>
      <c r="H4430" s="48" t="s">
        <v>56716</v>
      </c>
      <c r="I4430" s="48" t="s">
        <v>50564</v>
      </c>
      <c r="J4430" s="48" t="s">
        <v>56716</v>
      </c>
      <c r="K4430" s="50" t="s">
        <v>56716</v>
      </c>
      <c r="L4430" s="48" t="s">
        <v>56716</v>
      </c>
    </row>
    <row r="4431" spans="1:12" s="37" customFormat="1" ht="11.25" x14ac:dyDescent="0.2">
      <c r="A4431" s="46" t="s">
        <v>55980</v>
      </c>
      <c r="B4431" s="46" t="s">
        <v>55981</v>
      </c>
      <c r="C4431" s="58" t="str">
        <f>""</f>
        <v/>
      </c>
      <c r="D4431" s="58" t="str">
        <f>"21943990"</f>
        <v>21943990</v>
      </c>
      <c r="E4431" s="46" t="s">
        <v>13773</v>
      </c>
      <c r="F4431" s="46" t="s">
        <v>18158</v>
      </c>
      <c r="G4431" s="46" t="s">
        <v>50584</v>
      </c>
      <c r="H4431" s="48" t="s">
        <v>56716</v>
      </c>
      <c r="I4431" s="48" t="s">
        <v>50564</v>
      </c>
      <c r="J4431" s="48" t="s">
        <v>56716</v>
      </c>
      <c r="K4431" s="50"/>
      <c r="L4431" s="48"/>
    </row>
    <row r="4432" spans="1:12" s="37" customFormat="1" ht="11.25" x14ac:dyDescent="0.2">
      <c r="A4432" s="46" t="s">
        <v>2191</v>
      </c>
      <c r="B4432" s="46" t="s">
        <v>53592</v>
      </c>
      <c r="C4432" s="58" t="str">
        <f>"03638715"</f>
        <v>03638715</v>
      </c>
      <c r="D4432" s="58" t="str">
        <f>"15323145"</f>
        <v>15323145</v>
      </c>
      <c r="E4432" s="46" t="s">
        <v>28</v>
      </c>
      <c r="F4432" s="46" t="s">
        <v>17759</v>
      </c>
      <c r="G4432" s="46" t="s">
        <v>50584</v>
      </c>
      <c r="H4432" s="48" t="s">
        <v>56716</v>
      </c>
      <c r="I4432" s="48" t="s">
        <v>50564</v>
      </c>
      <c r="J4432" s="48" t="s">
        <v>56716</v>
      </c>
      <c r="K4432" s="50" t="s">
        <v>56716</v>
      </c>
      <c r="L4432" s="48" t="s">
        <v>56716</v>
      </c>
    </row>
    <row r="4433" spans="1:12" s="37" customFormat="1" ht="11.25" x14ac:dyDescent="0.2">
      <c r="A4433" s="46" t="s">
        <v>7389</v>
      </c>
      <c r="B4433" s="46" t="s">
        <v>53593</v>
      </c>
      <c r="C4433" s="58" t="str">
        <f>"0920654X"</f>
        <v>0920654X</v>
      </c>
      <c r="D4433" s="58" t="str">
        <f>"15734951"</f>
        <v>15734951</v>
      </c>
      <c r="E4433" s="46" t="s">
        <v>18876</v>
      </c>
      <c r="F4433" s="46" t="s">
        <v>18001</v>
      </c>
      <c r="G4433" s="46" t="s">
        <v>50584</v>
      </c>
      <c r="H4433" s="48" t="s">
        <v>56716</v>
      </c>
      <c r="I4433" s="48" t="s">
        <v>50564</v>
      </c>
      <c r="J4433" s="48" t="s">
        <v>56716</v>
      </c>
      <c r="K4433" s="50" t="s">
        <v>56716</v>
      </c>
      <c r="L4433" s="48" t="s">
        <v>56716</v>
      </c>
    </row>
    <row r="4434" spans="1:12" s="37" customFormat="1" ht="11.25" x14ac:dyDescent="0.2">
      <c r="A4434" s="46" t="s">
        <v>2229</v>
      </c>
      <c r="B4434" s="46" t="s">
        <v>53594</v>
      </c>
      <c r="C4434" s="58" t="str">
        <f>"0022006X"</f>
        <v>0022006X</v>
      </c>
      <c r="D4434" s="58" t="str">
        <f>"19392117"</f>
        <v>19392117</v>
      </c>
      <c r="E4434" s="46" t="s">
        <v>356</v>
      </c>
      <c r="F4434" s="46" t="s">
        <v>17759</v>
      </c>
      <c r="G4434" s="46" t="s">
        <v>50584</v>
      </c>
      <c r="H4434" s="48" t="s">
        <v>56716</v>
      </c>
      <c r="I4434" s="48" t="s">
        <v>50564</v>
      </c>
      <c r="J4434" s="48"/>
      <c r="K4434" s="50" t="s">
        <v>56716</v>
      </c>
      <c r="L4434" s="48" t="s">
        <v>56716</v>
      </c>
    </row>
    <row r="4435" spans="1:12" s="37" customFormat="1" ht="11.25" x14ac:dyDescent="0.2">
      <c r="A4435" s="46" t="s">
        <v>4651</v>
      </c>
      <c r="B4435" s="46" t="s">
        <v>53595</v>
      </c>
      <c r="C4435" s="58" t="str">
        <f>"01697722"</f>
        <v>01697722</v>
      </c>
      <c r="D4435" s="58" t="str">
        <f>"18736009"</f>
        <v>18736009</v>
      </c>
      <c r="E4435" s="46" t="s">
        <v>91</v>
      </c>
      <c r="F4435" s="46" t="s">
        <v>18001</v>
      </c>
      <c r="G4435" s="46" t="s">
        <v>50584</v>
      </c>
      <c r="H4435" s="48" t="s">
        <v>56716</v>
      </c>
      <c r="I4435" s="48" t="s">
        <v>50564</v>
      </c>
      <c r="J4435" s="48" t="s">
        <v>56716</v>
      </c>
      <c r="K4435" s="50" t="s">
        <v>56716</v>
      </c>
      <c r="L4435" s="48" t="s">
        <v>56716</v>
      </c>
    </row>
    <row r="4436" spans="1:12" s="37" customFormat="1" ht="11.25" x14ac:dyDescent="0.2">
      <c r="A4436" s="46" t="s">
        <v>14078</v>
      </c>
      <c r="B4436" s="46" t="s">
        <v>53596</v>
      </c>
      <c r="C4436" s="58" t="str">
        <f>"1689832X"</f>
        <v>1689832X</v>
      </c>
      <c r="D4436" s="58" t="str">
        <f>""</f>
        <v/>
      </c>
      <c r="E4436" s="46" t="s">
        <v>3134</v>
      </c>
      <c r="F4436" s="46" t="s">
        <v>17967</v>
      </c>
      <c r="G4436" s="46" t="s">
        <v>50584</v>
      </c>
      <c r="H4436" s="48" t="s">
        <v>56716</v>
      </c>
      <c r="I4436" s="48" t="s">
        <v>50564</v>
      </c>
      <c r="J4436" s="48"/>
      <c r="K4436" s="50"/>
      <c r="L4436" s="48"/>
    </row>
    <row r="4437" spans="1:12" s="37" customFormat="1" ht="11.25" x14ac:dyDescent="0.2">
      <c r="A4437" s="46" t="s">
        <v>2257</v>
      </c>
      <c r="B4437" s="46" t="s">
        <v>53597</v>
      </c>
      <c r="C4437" s="58" t="str">
        <f>"00220116"</f>
        <v>00220116</v>
      </c>
      <c r="D4437" s="58" t="str">
        <f>"15733564"</f>
        <v>15733564</v>
      </c>
      <c r="E4437" s="46" t="s">
        <v>56305</v>
      </c>
      <c r="F4437" s="46" t="s">
        <v>17759</v>
      </c>
      <c r="G4437" s="46" t="s">
        <v>50584</v>
      </c>
      <c r="H4437" s="48" t="s">
        <v>56716</v>
      </c>
      <c r="I4437" s="48" t="s">
        <v>50564</v>
      </c>
      <c r="J4437" s="48"/>
      <c r="K4437" s="50" t="s">
        <v>56716</v>
      </c>
      <c r="L4437" s="48"/>
    </row>
    <row r="4438" spans="1:12" s="37" customFormat="1" ht="11.25" x14ac:dyDescent="0.2">
      <c r="A4438" s="45" t="s">
        <v>34988</v>
      </c>
      <c r="B4438" s="45" t="s">
        <v>34990</v>
      </c>
      <c r="C4438" s="51" t="s">
        <v>34991</v>
      </c>
      <c r="D4438" s="51"/>
      <c r="E4438" s="45" t="s">
        <v>34992</v>
      </c>
      <c r="F4438" s="45" t="s">
        <v>17759</v>
      </c>
      <c r="G4438" s="45" t="s">
        <v>50584</v>
      </c>
      <c r="H4438" s="56"/>
      <c r="I4438" s="56" t="s">
        <v>50564</v>
      </c>
      <c r="J4438" s="56"/>
      <c r="K4438" s="50"/>
      <c r="L4438" s="56" t="s">
        <v>56716</v>
      </c>
    </row>
    <row r="4439" spans="1:12" s="37" customFormat="1" ht="11.25" x14ac:dyDescent="0.2">
      <c r="A4439" s="46" t="s">
        <v>2263</v>
      </c>
      <c r="B4439" s="46" t="s">
        <v>53598</v>
      </c>
      <c r="C4439" s="58" t="str">
        <f>"01683659"</f>
        <v>01683659</v>
      </c>
      <c r="D4439" s="58" t="str">
        <f>"18734995"</f>
        <v>18734995</v>
      </c>
      <c r="E4439" s="46" t="s">
        <v>91</v>
      </c>
      <c r="F4439" s="46" t="s">
        <v>18001</v>
      </c>
      <c r="G4439" s="46" t="s">
        <v>50584</v>
      </c>
      <c r="H4439" s="48" t="s">
        <v>56716</v>
      </c>
      <c r="I4439" s="48" t="s">
        <v>50564</v>
      </c>
      <c r="J4439" s="48" t="s">
        <v>56716</v>
      </c>
      <c r="K4439" s="50" t="s">
        <v>56716</v>
      </c>
      <c r="L4439" s="48" t="s">
        <v>56716</v>
      </c>
    </row>
    <row r="4440" spans="1:12" s="37" customFormat="1" ht="11.25" x14ac:dyDescent="0.2">
      <c r="A4440" s="45" t="s">
        <v>35005</v>
      </c>
      <c r="B4440" s="45" t="s">
        <v>35007</v>
      </c>
      <c r="C4440" s="51" t="s">
        <v>35009</v>
      </c>
      <c r="D4440" s="51" t="s">
        <v>35008</v>
      </c>
      <c r="E4440" s="45" t="s">
        <v>18520</v>
      </c>
      <c r="F4440" s="45" t="s">
        <v>17759</v>
      </c>
      <c r="G4440" s="45" t="s">
        <v>50584</v>
      </c>
      <c r="H4440" s="56"/>
      <c r="I4440" s="56" t="s">
        <v>50564</v>
      </c>
      <c r="J4440" s="56"/>
      <c r="K4440" s="50"/>
      <c r="L4440" s="56" t="s">
        <v>56716</v>
      </c>
    </row>
    <row r="4441" spans="1:12" s="37" customFormat="1" ht="11.25" x14ac:dyDescent="0.2">
      <c r="A4441" s="46" t="s">
        <v>9227</v>
      </c>
      <c r="B4441" s="46" t="s">
        <v>53599</v>
      </c>
      <c r="C4441" s="58" t="str">
        <f>"14764172"</f>
        <v>14764172</v>
      </c>
      <c r="D4441" s="58" t="str">
        <f>"14764180"</f>
        <v>14764180</v>
      </c>
      <c r="E4441" s="46" t="s">
        <v>291</v>
      </c>
      <c r="F4441" s="46" t="s">
        <v>50646</v>
      </c>
      <c r="G4441" s="46" t="s">
        <v>50584</v>
      </c>
      <c r="H4441" s="48" t="s">
        <v>56716</v>
      </c>
      <c r="I4441" s="48" t="s">
        <v>50564</v>
      </c>
      <c r="J4441" s="48" t="s">
        <v>56716</v>
      </c>
      <c r="K4441" s="50"/>
      <c r="L4441" s="48" t="s">
        <v>56716</v>
      </c>
    </row>
    <row r="4442" spans="1:12" s="37" customFormat="1" ht="11.25" x14ac:dyDescent="0.2">
      <c r="A4442" s="46" t="s">
        <v>11053</v>
      </c>
      <c r="B4442" s="46" t="s">
        <v>53600</v>
      </c>
      <c r="C4442" s="58" t="str">
        <f>"14732130"</f>
        <v>14732130</v>
      </c>
      <c r="D4442" s="58" t="str">
        <f>"14732165"</f>
        <v>14732165</v>
      </c>
      <c r="E4442" s="46" t="s">
        <v>35</v>
      </c>
      <c r="F4442" s="46" t="s">
        <v>50646</v>
      </c>
      <c r="G4442" s="46" t="s">
        <v>50584</v>
      </c>
      <c r="H4442" s="48" t="s">
        <v>56716</v>
      </c>
      <c r="I4442" s="48" t="s">
        <v>50564</v>
      </c>
      <c r="J4442" s="48" t="s">
        <v>56716</v>
      </c>
      <c r="K4442" s="50" t="s">
        <v>56716</v>
      </c>
      <c r="L4442" s="48" t="s">
        <v>56716</v>
      </c>
    </row>
    <row r="4443" spans="1:12" s="37" customFormat="1" ht="11.25" x14ac:dyDescent="0.2">
      <c r="A4443" s="45" t="s">
        <v>35021</v>
      </c>
      <c r="B4443" s="45" t="s">
        <v>35023</v>
      </c>
      <c r="C4443" s="51" t="s">
        <v>35025</v>
      </c>
      <c r="D4443" s="51"/>
      <c r="E4443" s="45" t="s">
        <v>35026</v>
      </c>
      <c r="F4443" s="45" t="s">
        <v>17759</v>
      </c>
      <c r="G4443" s="45" t="s">
        <v>50584</v>
      </c>
      <c r="H4443" s="56"/>
      <c r="I4443" s="56" t="s">
        <v>50564</v>
      </c>
      <c r="J4443" s="56"/>
      <c r="K4443" s="50"/>
      <c r="L4443" s="56" t="s">
        <v>56716</v>
      </c>
    </row>
    <row r="4444" spans="1:12" s="37" customFormat="1" ht="11.25" x14ac:dyDescent="0.2">
      <c r="A4444" s="45" t="s">
        <v>35028</v>
      </c>
      <c r="B4444" s="45" t="s">
        <v>35030</v>
      </c>
      <c r="C4444" s="51" t="s">
        <v>35031</v>
      </c>
      <c r="D4444" s="51"/>
      <c r="E4444" s="45" t="s">
        <v>19767</v>
      </c>
      <c r="F4444" s="45" t="s">
        <v>17759</v>
      </c>
      <c r="G4444" s="45" t="s">
        <v>50584</v>
      </c>
      <c r="H4444" s="56"/>
      <c r="I4444" s="56" t="s">
        <v>50564</v>
      </c>
      <c r="J4444" s="56"/>
      <c r="K4444" s="50"/>
      <c r="L4444" s="56" t="s">
        <v>56716</v>
      </c>
    </row>
    <row r="4445" spans="1:12" s="37" customFormat="1" ht="11.25" x14ac:dyDescent="0.2">
      <c r="A4445" s="46" t="s">
        <v>4400</v>
      </c>
      <c r="B4445" s="46" t="s">
        <v>53601</v>
      </c>
      <c r="C4445" s="58" t="str">
        <f>"10105182"</f>
        <v>10105182</v>
      </c>
      <c r="D4445" s="58" t="str">
        <f>"18784119"</f>
        <v>18784119</v>
      </c>
      <c r="E4445" s="46" t="s">
        <v>831</v>
      </c>
      <c r="F4445" s="46" t="s">
        <v>50646</v>
      </c>
      <c r="G4445" s="46" t="s">
        <v>50584</v>
      </c>
      <c r="H4445" s="48" t="s">
        <v>56716</v>
      </c>
      <c r="I4445" s="48" t="s">
        <v>50564</v>
      </c>
      <c r="J4445" s="48"/>
      <c r="K4445" s="50" t="s">
        <v>56716</v>
      </c>
      <c r="L4445" s="48" t="s">
        <v>56716</v>
      </c>
    </row>
    <row r="4446" spans="1:12" s="37" customFormat="1" ht="11.25" x14ac:dyDescent="0.2">
      <c r="A4446" s="46" t="s">
        <v>15212</v>
      </c>
      <c r="B4446" s="46" t="s">
        <v>53602</v>
      </c>
      <c r="C4446" s="58" t="str">
        <f>"09748237"</f>
        <v>09748237</v>
      </c>
      <c r="D4446" s="58" t="str">
        <f>"09769285"</f>
        <v>09769285</v>
      </c>
      <c r="E4446" s="46" t="s">
        <v>19057</v>
      </c>
      <c r="F4446" s="46" t="s">
        <v>20446</v>
      </c>
      <c r="G4446" s="46" t="s">
        <v>50584</v>
      </c>
      <c r="H4446" s="48" t="s">
        <v>56716</v>
      </c>
      <c r="I4446" s="48" t="s">
        <v>50564</v>
      </c>
      <c r="J4446" s="48" t="s">
        <v>56716</v>
      </c>
      <c r="K4446" s="50"/>
      <c r="L4446" s="48"/>
    </row>
    <row r="4447" spans="1:12" s="37" customFormat="1" ht="11.25" x14ac:dyDescent="0.2">
      <c r="A4447" s="46" t="s">
        <v>4253</v>
      </c>
      <c r="B4447" s="46" t="s">
        <v>53603</v>
      </c>
      <c r="C4447" s="58" t="str">
        <f>"08839441"</f>
        <v>08839441</v>
      </c>
      <c r="D4447" s="58" t="str">
        <f>"15578615"</f>
        <v>15578615</v>
      </c>
      <c r="E4447" s="46" t="s">
        <v>303</v>
      </c>
      <c r="F4447" s="46" t="s">
        <v>17759</v>
      </c>
      <c r="G4447" s="46" t="s">
        <v>50584</v>
      </c>
      <c r="H4447" s="48" t="s">
        <v>56716</v>
      </c>
      <c r="I4447" s="48" t="s">
        <v>50564</v>
      </c>
      <c r="J4447" s="48"/>
      <c r="K4447" s="50" t="s">
        <v>56716</v>
      </c>
      <c r="L4447" s="48" t="s">
        <v>56716</v>
      </c>
    </row>
    <row r="4448" spans="1:12" s="37" customFormat="1" ht="11.25" x14ac:dyDescent="0.2">
      <c r="A4448" s="46" t="s">
        <v>12273</v>
      </c>
      <c r="B4448" s="46" t="s">
        <v>53604</v>
      </c>
      <c r="C4448" s="58" t="str">
        <f>"18739946"</f>
        <v>18739946</v>
      </c>
      <c r="D4448" s="58" t="str">
        <f>"18764479"</f>
        <v>18764479</v>
      </c>
      <c r="E4448" s="46" t="s">
        <v>91</v>
      </c>
      <c r="F4448" s="46" t="s">
        <v>18001</v>
      </c>
      <c r="G4448" s="46" t="s">
        <v>50584</v>
      </c>
      <c r="H4448" s="48" t="s">
        <v>56716</v>
      </c>
      <c r="I4448" s="48" t="s">
        <v>50564</v>
      </c>
      <c r="J4448" s="48" t="s">
        <v>56716</v>
      </c>
      <c r="K4448" s="50"/>
      <c r="L4448" s="48" t="s">
        <v>56716</v>
      </c>
    </row>
    <row r="4449" spans="1:12" s="37" customFormat="1" ht="11.25" x14ac:dyDescent="0.2">
      <c r="A4449" s="46" t="s">
        <v>12276</v>
      </c>
      <c r="B4449" s="46" t="s">
        <v>53605</v>
      </c>
      <c r="C4449" s="58" t="str">
        <f>"18739954"</f>
        <v>18739954</v>
      </c>
      <c r="D4449" s="58" t="str">
        <f>"18764460"</f>
        <v>18764460</v>
      </c>
      <c r="E4449" s="46" t="s">
        <v>91</v>
      </c>
      <c r="F4449" s="46" t="s">
        <v>18001</v>
      </c>
      <c r="G4449" s="46" t="s">
        <v>50584</v>
      </c>
      <c r="H4449" s="48" t="s">
        <v>56716</v>
      </c>
      <c r="I4449" s="48" t="s">
        <v>50564</v>
      </c>
      <c r="J4449" s="48" t="s">
        <v>56716</v>
      </c>
      <c r="K4449" s="50"/>
      <c r="L4449" s="48"/>
    </row>
    <row r="4450" spans="1:12" s="37" customFormat="1" ht="11.25" x14ac:dyDescent="0.2">
      <c r="A4450" s="45" t="s">
        <v>35053</v>
      </c>
      <c r="B4450" s="45" t="s">
        <v>35055</v>
      </c>
      <c r="C4450" s="51" t="s">
        <v>35057</v>
      </c>
      <c r="D4450" s="51" t="s">
        <v>35056</v>
      </c>
      <c r="E4450" s="45" t="s">
        <v>35058</v>
      </c>
      <c r="F4450" s="45" t="s">
        <v>18001</v>
      </c>
      <c r="G4450" s="45" t="s">
        <v>50584</v>
      </c>
      <c r="H4450" s="56"/>
      <c r="I4450" s="56" t="s">
        <v>50564</v>
      </c>
      <c r="J4450" s="56"/>
      <c r="K4450" s="50"/>
      <c r="L4450" s="56" t="s">
        <v>56716</v>
      </c>
    </row>
    <row r="4451" spans="1:12" s="37" customFormat="1" ht="11.25" x14ac:dyDescent="0.2">
      <c r="A4451" s="45" t="s">
        <v>35060</v>
      </c>
      <c r="B4451" s="45" t="s">
        <v>35062</v>
      </c>
      <c r="C4451" s="51" t="s">
        <v>35063</v>
      </c>
      <c r="D4451" s="51"/>
      <c r="E4451" s="45" t="s">
        <v>35064</v>
      </c>
      <c r="F4451" s="45" t="s">
        <v>17759</v>
      </c>
      <c r="G4451" s="45" t="s">
        <v>50584</v>
      </c>
      <c r="H4451" s="56"/>
      <c r="I4451" s="56" t="s">
        <v>50564</v>
      </c>
      <c r="J4451" s="56"/>
      <c r="K4451" s="50"/>
      <c r="L4451" s="56" t="s">
        <v>56716</v>
      </c>
    </row>
    <row r="4452" spans="1:12" s="37" customFormat="1" ht="11.25" x14ac:dyDescent="0.2">
      <c r="A4452" s="46" t="s">
        <v>14970</v>
      </c>
      <c r="B4452" s="46" t="s">
        <v>53606</v>
      </c>
      <c r="C4452" s="58" t="str">
        <f>"09740333"</f>
        <v>09740333</v>
      </c>
      <c r="D4452" s="58" t="str">
        <f>"09751947"</f>
        <v>09751947</v>
      </c>
      <c r="E4452" s="46" t="s">
        <v>14870</v>
      </c>
      <c r="F4452" s="46" t="s">
        <v>20446</v>
      </c>
      <c r="G4452" s="46" t="s">
        <v>50584</v>
      </c>
      <c r="H4452" s="48" t="s">
        <v>56716</v>
      </c>
      <c r="I4452" s="48" t="s">
        <v>50564</v>
      </c>
      <c r="J4452" s="48"/>
      <c r="K4452" s="50"/>
      <c r="L4452" s="48"/>
    </row>
    <row r="4453" spans="1:12" s="37" customFormat="1" ht="11.25" x14ac:dyDescent="0.2">
      <c r="A4453" s="46" t="s">
        <v>7344</v>
      </c>
      <c r="B4453" s="46" t="s">
        <v>53607</v>
      </c>
      <c r="C4453" s="58" t="str">
        <f>"12034754"</f>
        <v>12034754</v>
      </c>
      <c r="D4453" s="58" t="str">
        <f>""</f>
        <v/>
      </c>
      <c r="E4453" s="46" t="s">
        <v>50677</v>
      </c>
      <c r="F4453" s="46" t="s">
        <v>17759</v>
      </c>
      <c r="G4453" s="46" t="s">
        <v>50584</v>
      </c>
      <c r="H4453" s="48" t="s">
        <v>56716</v>
      </c>
      <c r="I4453" s="48" t="s">
        <v>50564</v>
      </c>
      <c r="J4453" s="48" t="s">
        <v>56716</v>
      </c>
      <c r="K4453" s="50"/>
      <c r="L4453" s="48" t="s">
        <v>56716</v>
      </c>
    </row>
    <row r="4454" spans="1:12" s="37" customFormat="1" ht="11.25" x14ac:dyDescent="0.2">
      <c r="A4454" s="45" t="s">
        <v>35074</v>
      </c>
      <c r="B4454" s="45" t="s">
        <v>35076</v>
      </c>
      <c r="C4454" s="51" t="s">
        <v>35078</v>
      </c>
      <c r="D4454" s="51" t="s">
        <v>35077</v>
      </c>
      <c r="E4454" s="45" t="s">
        <v>17805</v>
      </c>
      <c r="F4454" s="45" t="s">
        <v>17759</v>
      </c>
      <c r="G4454" s="45" t="s">
        <v>50584</v>
      </c>
      <c r="H4454" s="56"/>
      <c r="I4454" s="56" t="s">
        <v>50564</v>
      </c>
      <c r="J4454" s="56"/>
      <c r="K4454" s="50"/>
      <c r="L4454" s="56" t="s">
        <v>56716</v>
      </c>
    </row>
    <row r="4455" spans="1:12" s="37" customFormat="1" ht="11.25" x14ac:dyDescent="0.2">
      <c r="A4455" s="46" t="s">
        <v>12925</v>
      </c>
      <c r="B4455" s="46" t="s">
        <v>53608</v>
      </c>
      <c r="C4455" s="58" t="str">
        <f>"17849934"</f>
        <v>17849934</v>
      </c>
      <c r="D4455" s="58" t="str">
        <f>""</f>
        <v/>
      </c>
      <c r="E4455" s="46" t="s">
        <v>55905</v>
      </c>
      <c r="F4455" s="46" t="s">
        <v>17929</v>
      </c>
      <c r="G4455" s="46" t="s">
        <v>50584</v>
      </c>
      <c r="H4455" s="48" t="s">
        <v>56716</v>
      </c>
      <c r="I4455" s="48" t="s">
        <v>50564</v>
      </c>
      <c r="J4455" s="48"/>
      <c r="K4455" s="50"/>
      <c r="L4455" s="48"/>
    </row>
    <row r="4456" spans="1:12" s="37" customFormat="1" ht="11.25" x14ac:dyDescent="0.2">
      <c r="A4456" s="46" t="s">
        <v>9134</v>
      </c>
      <c r="B4456" s="46" t="s">
        <v>53609</v>
      </c>
      <c r="C4456" s="58" t="str">
        <f>"15691993"</f>
        <v>15691993</v>
      </c>
      <c r="D4456" s="58" t="str">
        <f>"18735010"</f>
        <v>18735010</v>
      </c>
      <c r="E4456" s="46" t="s">
        <v>91</v>
      </c>
      <c r="F4456" s="46" t="s">
        <v>18001</v>
      </c>
      <c r="G4456" s="46" t="s">
        <v>50584</v>
      </c>
      <c r="H4456" s="48" t="s">
        <v>56716</v>
      </c>
      <c r="I4456" s="48" t="s">
        <v>50564</v>
      </c>
      <c r="J4456" s="48"/>
      <c r="K4456" s="50" t="s">
        <v>56716</v>
      </c>
      <c r="L4456" s="48" t="s">
        <v>56716</v>
      </c>
    </row>
    <row r="4457" spans="1:12" s="37" customFormat="1" ht="11.25" x14ac:dyDescent="0.2">
      <c r="A4457" s="45" t="s">
        <v>35090</v>
      </c>
      <c r="B4457" s="45" t="s">
        <v>35092</v>
      </c>
      <c r="C4457" s="51" t="s">
        <v>35094</v>
      </c>
      <c r="D4457" s="51" t="s">
        <v>35093</v>
      </c>
      <c r="E4457" s="45" t="s">
        <v>33588</v>
      </c>
      <c r="F4457" s="45" t="s">
        <v>17759</v>
      </c>
      <c r="G4457" s="45" t="s">
        <v>50584</v>
      </c>
      <c r="H4457" s="56"/>
      <c r="I4457" s="56" t="s">
        <v>50564</v>
      </c>
      <c r="J4457" s="56"/>
      <c r="K4457" s="50"/>
      <c r="L4457" s="56" t="s">
        <v>56716</v>
      </c>
    </row>
    <row r="4458" spans="1:12" s="37" customFormat="1" ht="11.25" x14ac:dyDescent="0.2">
      <c r="A4458" s="46" t="s">
        <v>11899</v>
      </c>
      <c r="B4458" s="46" t="s">
        <v>53610</v>
      </c>
      <c r="C4458" s="58" t="str">
        <f>"16717295"</f>
        <v>16717295</v>
      </c>
      <c r="D4458" s="58" t="str">
        <f>""</f>
        <v/>
      </c>
      <c r="E4458" s="46" t="s">
        <v>11901</v>
      </c>
      <c r="F4458" s="46" t="s">
        <v>17958</v>
      </c>
      <c r="G4458" s="46" t="s">
        <v>50580</v>
      </c>
      <c r="H4458" s="48" t="s">
        <v>56716</v>
      </c>
      <c r="I4458" s="48" t="s">
        <v>50564</v>
      </c>
      <c r="J4458" s="48"/>
      <c r="K4458" s="50"/>
      <c r="L4458" s="48"/>
    </row>
    <row r="4459" spans="1:12" s="37" customFormat="1" ht="11.25" x14ac:dyDescent="0.2">
      <c r="A4459" s="45" t="s">
        <v>35096</v>
      </c>
      <c r="B4459" s="45" t="s">
        <v>35098</v>
      </c>
      <c r="C4459" s="51" t="s">
        <v>35099</v>
      </c>
      <c r="D4459" s="51"/>
      <c r="E4459" s="45" t="s">
        <v>35100</v>
      </c>
      <c r="F4459" s="45" t="s">
        <v>17759</v>
      </c>
      <c r="G4459" s="45" t="s">
        <v>50584</v>
      </c>
      <c r="H4459" s="56"/>
      <c r="I4459" s="56" t="s">
        <v>50564</v>
      </c>
      <c r="J4459" s="56"/>
      <c r="K4459" s="50"/>
      <c r="L4459" s="56" t="s">
        <v>56716</v>
      </c>
    </row>
    <row r="4460" spans="1:12" s="37" customFormat="1" ht="11.25" x14ac:dyDescent="0.2">
      <c r="A4460" s="45" t="s">
        <v>35103</v>
      </c>
      <c r="B4460" s="45" t="s">
        <v>35105</v>
      </c>
      <c r="C4460" s="51" t="s">
        <v>35107</v>
      </c>
      <c r="D4460" s="51" t="s">
        <v>35106</v>
      </c>
      <c r="E4460" s="45" t="s">
        <v>55</v>
      </c>
      <c r="F4460" s="45" t="s">
        <v>17759</v>
      </c>
      <c r="G4460" s="45" t="s">
        <v>50584</v>
      </c>
      <c r="H4460" s="56"/>
      <c r="I4460" s="56" t="s">
        <v>50564</v>
      </c>
      <c r="J4460" s="56"/>
      <c r="K4460" s="50"/>
      <c r="L4460" s="56" t="s">
        <v>56716</v>
      </c>
    </row>
    <row r="4461" spans="1:12" s="37" customFormat="1" ht="11.25" x14ac:dyDescent="0.2">
      <c r="A4461" s="45" t="s">
        <v>35110</v>
      </c>
      <c r="B4461" s="45" t="s">
        <v>35112</v>
      </c>
      <c r="C4461" s="51" t="s">
        <v>35114</v>
      </c>
      <c r="D4461" s="51" t="s">
        <v>35113</v>
      </c>
      <c r="E4461" s="45" t="s">
        <v>35115</v>
      </c>
      <c r="F4461" s="45" t="s">
        <v>17759</v>
      </c>
      <c r="G4461" s="45" t="s">
        <v>50584</v>
      </c>
      <c r="H4461" s="56"/>
      <c r="I4461" s="56" t="s">
        <v>50564</v>
      </c>
      <c r="J4461" s="56"/>
      <c r="K4461" s="50"/>
      <c r="L4461" s="56" t="s">
        <v>56716</v>
      </c>
    </row>
    <row r="4462" spans="1:12" s="37" customFormat="1" ht="11.25" x14ac:dyDescent="0.2">
      <c r="A4462" s="45" t="s">
        <v>35118</v>
      </c>
      <c r="B4462" s="45" t="s">
        <v>35120</v>
      </c>
      <c r="C4462" s="51" t="s">
        <v>35123</v>
      </c>
      <c r="D4462" s="51" t="s">
        <v>35122</v>
      </c>
      <c r="E4462" s="45" t="s">
        <v>35124</v>
      </c>
      <c r="F4462" s="45" t="s">
        <v>17759</v>
      </c>
      <c r="G4462" s="45" t="s">
        <v>50584</v>
      </c>
      <c r="H4462" s="56"/>
      <c r="I4462" s="56" t="s">
        <v>50564</v>
      </c>
      <c r="J4462" s="56"/>
      <c r="K4462" s="50"/>
      <c r="L4462" s="56" t="s">
        <v>56716</v>
      </c>
    </row>
    <row r="4463" spans="1:12" s="37" customFormat="1" ht="11.25" x14ac:dyDescent="0.2">
      <c r="A4463" s="45" t="s">
        <v>35126</v>
      </c>
      <c r="B4463" s="45" t="s">
        <v>35128</v>
      </c>
      <c r="C4463" s="51" t="s">
        <v>35131</v>
      </c>
      <c r="D4463" s="51" t="s">
        <v>35130</v>
      </c>
      <c r="E4463" s="45" t="s">
        <v>18520</v>
      </c>
      <c r="F4463" s="45" t="s">
        <v>17759</v>
      </c>
      <c r="G4463" s="45" t="s">
        <v>50584</v>
      </c>
      <c r="H4463" s="56"/>
      <c r="I4463" s="56" t="s">
        <v>50564</v>
      </c>
      <c r="J4463" s="56"/>
      <c r="K4463" s="50"/>
      <c r="L4463" s="56" t="s">
        <v>56716</v>
      </c>
    </row>
    <row r="4464" spans="1:12" s="37" customFormat="1" ht="11.25" x14ac:dyDescent="0.2">
      <c r="A4464" s="45" t="s">
        <v>35133</v>
      </c>
      <c r="B4464" s="45" t="s">
        <v>35135</v>
      </c>
      <c r="C4464" s="51" t="s">
        <v>35137</v>
      </c>
      <c r="D4464" s="51" t="s">
        <v>35136</v>
      </c>
      <c r="E4464" s="45" t="s">
        <v>91</v>
      </c>
      <c r="F4464" s="45" t="s">
        <v>50646</v>
      </c>
      <c r="G4464" s="45" t="s">
        <v>50584</v>
      </c>
      <c r="H4464" s="56"/>
      <c r="I4464" s="56" t="s">
        <v>50564</v>
      </c>
      <c r="J4464" s="56"/>
      <c r="K4464" s="50"/>
      <c r="L4464" s="56" t="s">
        <v>56716</v>
      </c>
    </row>
    <row r="4465" spans="1:12" s="37" customFormat="1" ht="11.25" x14ac:dyDescent="0.2">
      <c r="A4465" s="45" t="s">
        <v>35139</v>
      </c>
      <c r="B4465" s="45" t="s">
        <v>35141</v>
      </c>
      <c r="C4465" s="51" t="s">
        <v>35144</v>
      </c>
      <c r="D4465" s="51" t="s">
        <v>35143</v>
      </c>
      <c r="E4465" s="45" t="s">
        <v>35145</v>
      </c>
      <c r="F4465" s="45" t="s">
        <v>17759</v>
      </c>
      <c r="G4465" s="45" t="s">
        <v>50584</v>
      </c>
      <c r="H4465" s="56"/>
      <c r="I4465" s="56" t="s">
        <v>50564</v>
      </c>
      <c r="J4465" s="56"/>
      <c r="K4465" s="50"/>
      <c r="L4465" s="56" t="s">
        <v>56716</v>
      </c>
    </row>
    <row r="4466" spans="1:12" s="37" customFormat="1" ht="11.25" x14ac:dyDescent="0.2">
      <c r="A4466" s="46" t="s">
        <v>14658</v>
      </c>
      <c r="B4466" s="46" t="s">
        <v>53611</v>
      </c>
      <c r="C4466" s="58" t="str">
        <f>""</f>
        <v/>
      </c>
      <c r="D4466" s="58" t="str">
        <f>"18987249"</f>
        <v>18987249</v>
      </c>
      <c r="E4466" s="46" t="s">
        <v>14660</v>
      </c>
      <c r="F4466" s="46" t="s">
        <v>17967</v>
      </c>
      <c r="G4466" s="46" t="s">
        <v>50584</v>
      </c>
      <c r="H4466" s="48" t="s">
        <v>56716</v>
      </c>
      <c r="I4466" s="48" t="s">
        <v>50564</v>
      </c>
      <c r="J4466" s="48"/>
      <c r="K4466" s="50"/>
      <c r="L4466" s="48"/>
    </row>
    <row r="4467" spans="1:12" s="37" customFormat="1" ht="11.25" x14ac:dyDescent="0.2">
      <c r="A4467" s="46" t="s">
        <v>5225</v>
      </c>
      <c r="B4467" s="46" t="s">
        <v>53612</v>
      </c>
      <c r="C4467" s="58" t="str">
        <f>"09231811"</f>
        <v>09231811</v>
      </c>
      <c r="D4467" s="58" t="str">
        <f>"1873569X"</f>
        <v>1873569X</v>
      </c>
      <c r="E4467" s="46" t="s">
        <v>221</v>
      </c>
      <c r="F4467" s="46" t="s">
        <v>21771</v>
      </c>
      <c r="G4467" s="46" t="s">
        <v>50584</v>
      </c>
      <c r="H4467" s="48" t="s">
        <v>56716</v>
      </c>
      <c r="I4467" s="48" t="s">
        <v>50564</v>
      </c>
      <c r="J4467" s="48" t="s">
        <v>56716</v>
      </c>
      <c r="K4467" s="50" t="s">
        <v>56716</v>
      </c>
      <c r="L4467" s="48" t="s">
        <v>56716</v>
      </c>
    </row>
    <row r="4468" spans="1:12" s="37" customFormat="1" ht="11.25" x14ac:dyDescent="0.2">
      <c r="A4468" s="46" t="s">
        <v>4803</v>
      </c>
      <c r="B4468" s="46" t="s">
        <v>53613</v>
      </c>
      <c r="C4468" s="58" t="str">
        <f>"09546634"</f>
        <v>09546634</v>
      </c>
      <c r="D4468" s="58" t="str">
        <f>"14711753"</f>
        <v>14711753</v>
      </c>
      <c r="E4468" s="46" t="s">
        <v>291</v>
      </c>
      <c r="F4468" s="46" t="s">
        <v>50646</v>
      </c>
      <c r="G4468" s="46" t="s">
        <v>50584</v>
      </c>
      <c r="H4468" s="48" t="s">
        <v>56716</v>
      </c>
      <c r="I4468" s="48" t="s">
        <v>50564</v>
      </c>
      <c r="J4468" s="48" t="s">
        <v>56716</v>
      </c>
      <c r="K4468" s="50"/>
      <c r="L4468" s="48" t="s">
        <v>56716</v>
      </c>
    </row>
    <row r="4469" spans="1:12" s="37" customFormat="1" ht="11.25" x14ac:dyDescent="0.2">
      <c r="A4469" s="46" t="s">
        <v>2289</v>
      </c>
      <c r="B4469" s="46" t="s">
        <v>53614</v>
      </c>
      <c r="C4469" s="58" t="str">
        <f>"03852407"</f>
        <v>03852407</v>
      </c>
      <c r="D4469" s="58" t="str">
        <f>"13468138"</f>
        <v>13468138</v>
      </c>
      <c r="E4469" s="46" t="s">
        <v>35</v>
      </c>
      <c r="F4469" s="46" t="s">
        <v>50646</v>
      </c>
      <c r="G4469" s="46" t="s">
        <v>50594</v>
      </c>
      <c r="H4469" s="48" t="s">
        <v>56716</v>
      </c>
      <c r="I4469" s="48" t="s">
        <v>50564</v>
      </c>
      <c r="J4469" s="48"/>
      <c r="K4469" s="50" t="s">
        <v>56716</v>
      </c>
      <c r="L4469" s="48" t="s">
        <v>56716</v>
      </c>
    </row>
    <row r="4470" spans="1:12" s="37" customFormat="1" ht="11.25" x14ac:dyDescent="0.2">
      <c r="A4470" s="45" t="s">
        <v>35160</v>
      </c>
      <c r="B4470" s="45" t="s">
        <v>35162</v>
      </c>
      <c r="C4470" s="51" t="s">
        <v>35164</v>
      </c>
      <c r="D4470" s="51" t="s">
        <v>35163</v>
      </c>
      <c r="E4470" s="45" t="s">
        <v>17758</v>
      </c>
      <c r="F4470" s="45" t="s">
        <v>17759</v>
      </c>
      <c r="G4470" s="45" t="s">
        <v>50584</v>
      </c>
      <c r="H4470" s="56"/>
      <c r="I4470" s="56" t="s">
        <v>50564</v>
      </c>
      <c r="J4470" s="56"/>
      <c r="K4470" s="50"/>
      <c r="L4470" s="56" t="s">
        <v>56716</v>
      </c>
    </row>
    <row r="4471" spans="1:12" s="37" customFormat="1" ht="11.25" x14ac:dyDescent="0.2">
      <c r="A4471" s="45" t="s">
        <v>56600</v>
      </c>
      <c r="B4471" s="45" t="s">
        <v>56601</v>
      </c>
      <c r="C4471" s="51" t="s">
        <v>56602</v>
      </c>
      <c r="D4471" s="51" t="s">
        <v>56603</v>
      </c>
      <c r="E4471" s="45" t="s">
        <v>724</v>
      </c>
      <c r="F4471" s="45" t="s">
        <v>50646</v>
      </c>
      <c r="G4471" s="45" t="s">
        <v>50584</v>
      </c>
      <c r="H4471" s="56"/>
      <c r="I4471" s="56" t="s">
        <v>50564</v>
      </c>
      <c r="J4471" s="56"/>
      <c r="K4471" s="50"/>
      <c r="L4471" s="56" t="s">
        <v>56716</v>
      </c>
    </row>
    <row r="4472" spans="1:12" s="37" customFormat="1" ht="11.25" x14ac:dyDescent="0.2">
      <c r="A4472" s="46" t="s">
        <v>14176</v>
      </c>
      <c r="B4472" s="46" t="s">
        <v>53615</v>
      </c>
      <c r="C4472" s="58" t="str">
        <f>"17530393"</f>
        <v>17530393</v>
      </c>
      <c r="D4472" s="58" t="str">
        <f>"17530407"</f>
        <v>17530407</v>
      </c>
      <c r="E4472" s="46" t="s">
        <v>517</v>
      </c>
      <c r="F4472" s="46" t="s">
        <v>17759</v>
      </c>
      <c r="G4472" s="46" t="s">
        <v>50584</v>
      </c>
      <c r="H4472" s="48" t="s">
        <v>56716</v>
      </c>
      <c r="I4472" s="48" t="s">
        <v>50564</v>
      </c>
      <c r="J4472" s="48" t="s">
        <v>56716</v>
      </c>
      <c r="K4472" s="50" t="s">
        <v>56716</v>
      </c>
      <c r="L4472" s="48" t="s">
        <v>56716</v>
      </c>
    </row>
    <row r="4473" spans="1:12" s="37" customFormat="1" ht="11.25" x14ac:dyDescent="0.2">
      <c r="A4473" s="46" t="s">
        <v>6007</v>
      </c>
      <c r="B4473" s="46" t="s">
        <v>53616</v>
      </c>
      <c r="C4473" s="58" t="str">
        <f>"10568727"</f>
        <v>10568727</v>
      </c>
      <c r="D4473" s="58" t="str">
        <f>"1873460X"</f>
        <v>1873460X</v>
      </c>
      <c r="E4473" s="46" t="s">
        <v>272</v>
      </c>
      <c r="F4473" s="46" t="s">
        <v>17759</v>
      </c>
      <c r="G4473" s="46" t="s">
        <v>50584</v>
      </c>
      <c r="H4473" s="48" t="s">
        <v>56716</v>
      </c>
      <c r="I4473" s="48" t="s">
        <v>50564</v>
      </c>
      <c r="J4473" s="48" t="s">
        <v>56716</v>
      </c>
      <c r="K4473" s="50" t="s">
        <v>56716</v>
      </c>
      <c r="L4473" s="48" t="s">
        <v>56716</v>
      </c>
    </row>
    <row r="4474" spans="1:12" s="37" customFormat="1" ht="11.25" x14ac:dyDescent="0.2">
      <c r="A4474" s="46" t="s">
        <v>15564</v>
      </c>
      <c r="B4474" s="46" t="s">
        <v>53617</v>
      </c>
      <c r="C4474" s="58" t="str">
        <f>""</f>
        <v/>
      </c>
      <c r="D4474" s="58" t="str">
        <f>"22516581"</f>
        <v>22516581</v>
      </c>
      <c r="E4474" s="46" t="s">
        <v>2299</v>
      </c>
      <c r="F4474" s="46" t="s">
        <v>50646</v>
      </c>
      <c r="G4474" s="46" t="s">
        <v>50609</v>
      </c>
      <c r="H4474" s="48" t="s">
        <v>56716</v>
      </c>
      <c r="I4474" s="48" t="s">
        <v>50564</v>
      </c>
      <c r="J4474" s="48"/>
      <c r="K4474" s="50"/>
      <c r="L4474" s="48"/>
    </row>
    <row r="4475" spans="1:12" s="37" customFormat="1" ht="11.25" x14ac:dyDescent="0.2">
      <c r="A4475" s="46" t="s">
        <v>15338</v>
      </c>
      <c r="B4475" s="46" t="s">
        <v>53618</v>
      </c>
      <c r="C4475" s="58" t="str">
        <f>"20401116"</f>
        <v>20401116</v>
      </c>
      <c r="D4475" s="58" t="str">
        <f>"20401124"</f>
        <v>20401124</v>
      </c>
      <c r="E4475" s="46" t="s">
        <v>296</v>
      </c>
      <c r="F4475" s="46" t="s">
        <v>20082</v>
      </c>
      <c r="G4475" s="46" t="s">
        <v>50584</v>
      </c>
      <c r="H4475" s="48" t="s">
        <v>56716</v>
      </c>
      <c r="I4475" s="48" t="s">
        <v>50564</v>
      </c>
      <c r="J4475" s="48" t="s">
        <v>56716</v>
      </c>
      <c r="K4475" s="50" t="s">
        <v>56716</v>
      </c>
      <c r="L4475" s="48"/>
    </row>
    <row r="4476" spans="1:12" s="37" customFormat="1" ht="11.25" x14ac:dyDescent="0.2">
      <c r="A4476" s="46" t="s">
        <v>17024</v>
      </c>
      <c r="B4476" s="46" t="s">
        <v>53619</v>
      </c>
      <c r="C4476" s="58" t="str">
        <f>"23146745"</f>
        <v>23146745</v>
      </c>
      <c r="D4476" s="58" t="str">
        <f>"23146753"</f>
        <v>23146753</v>
      </c>
      <c r="E4476" s="46" t="s">
        <v>1412</v>
      </c>
      <c r="F4476" s="46" t="s">
        <v>17759</v>
      </c>
      <c r="G4476" s="46" t="s">
        <v>50584</v>
      </c>
      <c r="H4476" s="48" t="s">
        <v>56716</v>
      </c>
      <c r="I4476" s="48" t="s">
        <v>50564</v>
      </c>
      <c r="J4476" s="48" t="s">
        <v>56716</v>
      </c>
      <c r="K4476" s="50"/>
      <c r="L4476" s="48" t="s">
        <v>56716</v>
      </c>
    </row>
    <row r="4477" spans="1:12" s="37" customFormat="1" ht="11.25" x14ac:dyDescent="0.2">
      <c r="A4477" s="46" t="s">
        <v>12638</v>
      </c>
      <c r="B4477" s="46" t="s">
        <v>53620</v>
      </c>
      <c r="C4477" s="58" t="str">
        <f>""</f>
        <v/>
      </c>
      <c r="D4477" s="58" t="str">
        <f>"19322968"</f>
        <v>19322968</v>
      </c>
      <c r="E4477" s="46" t="s">
        <v>493</v>
      </c>
      <c r="F4477" s="46" t="s">
        <v>17759</v>
      </c>
      <c r="G4477" s="46" t="s">
        <v>50584</v>
      </c>
      <c r="H4477" s="48" t="s">
        <v>56716</v>
      </c>
      <c r="I4477" s="48" t="s">
        <v>50564</v>
      </c>
      <c r="J4477" s="48"/>
      <c r="K4477" s="50"/>
      <c r="L4477" s="48" t="s">
        <v>56716</v>
      </c>
    </row>
    <row r="4478" spans="1:12" s="37" customFormat="1" ht="11.25" x14ac:dyDescent="0.2">
      <c r="A4478" s="46" t="s">
        <v>2286</v>
      </c>
      <c r="B4478" s="46" t="s">
        <v>53621</v>
      </c>
      <c r="C4478" s="58" t="str">
        <f>"87564793"</f>
        <v>87564793</v>
      </c>
      <c r="D4478" s="58" t="str">
        <f>"15525430"</f>
        <v>15525430</v>
      </c>
      <c r="E4478" s="46" t="s">
        <v>493</v>
      </c>
      <c r="F4478" s="46" t="s">
        <v>17759</v>
      </c>
      <c r="G4478" s="46" t="s">
        <v>50584</v>
      </c>
      <c r="H4478" s="48" t="s">
        <v>56716</v>
      </c>
      <c r="I4478" s="48" t="s">
        <v>50564</v>
      </c>
      <c r="J4478" s="48" t="s">
        <v>56716</v>
      </c>
      <c r="K4478" s="50"/>
      <c r="L4478" s="48"/>
    </row>
    <row r="4479" spans="1:12" s="37" customFormat="1" ht="11.25" x14ac:dyDescent="0.2">
      <c r="A4479" s="45" t="s">
        <v>35185</v>
      </c>
      <c r="B4479" s="45" t="s">
        <v>35187</v>
      </c>
      <c r="C4479" s="51" t="s">
        <v>35190</v>
      </c>
      <c r="D4479" s="51" t="s">
        <v>35189</v>
      </c>
      <c r="E4479" s="45" t="s">
        <v>291</v>
      </c>
      <c r="F4479" s="45" t="s">
        <v>50646</v>
      </c>
      <c r="G4479" s="45" t="s">
        <v>50584</v>
      </c>
      <c r="H4479" s="56"/>
      <c r="I4479" s="56" t="s">
        <v>50564</v>
      </c>
      <c r="J4479" s="56"/>
      <c r="K4479" s="50"/>
      <c r="L4479" s="56" t="s">
        <v>56716</v>
      </c>
    </row>
    <row r="4480" spans="1:12" s="37" customFormat="1" ht="11.25" x14ac:dyDescent="0.2">
      <c r="A4480" s="46" t="s">
        <v>12288</v>
      </c>
      <c r="B4480" s="46" t="s">
        <v>53622</v>
      </c>
      <c r="C4480" s="58" t="str">
        <f>"17512972"</f>
        <v>17512972</v>
      </c>
      <c r="D4480" s="58" t="str">
        <f>"17512980"</f>
        <v>17512980</v>
      </c>
      <c r="E4480" s="46" t="s">
        <v>296</v>
      </c>
      <c r="F4480" s="46" t="s">
        <v>20082</v>
      </c>
      <c r="G4480" s="46" t="s">
        <v>50584</v>
      </c>
      <c r="H4480" s="48" t="s">
        <v>56716</v>
      </c>
      <c r="I4480" s="48" t="s">
        <v>50564</v>
      </c>
      <c r="J4480" s="48" t="s">
        <v>56716</v>
      </c>
      <c r="K4480" s="50"/>
      <c r="L4480" s="48" t="s">
        <v>56716</v>
      </c>
    </row>
    <row r="4481" spans="1:12" s="37" customFormat="1" ht="11.25" x14ac:dyDescent="0.2">
      <c r="A4481" s="46" t="s">
        <v>17251</v>
      </c>
      <c r="B4481" s="46" t="s">
        <v>53623</v>
      </c>
      <c r="C4481" s="58" t="str">
        <f>"09765042"</f>
        <v>09765042</v>
      </c>
      <c r="D4481" s="58" t="str">
        <f>"09765050"</f>
        <v>09765050</v>
      </c>
      <c r="E4481" s="46" t="s">
        <v>19057</v>
      </c>
      <c r="F4481" s="46" t="s">
        <v>20446</v>
      </c>
      <c r="G4481" s="46" t="s">
        <v>50584</v>
      </c>
      <c r="H4481" s="48" t="s">
        <v>56716</v>
      </c>
      <c r="I4481" s="48" t="s">
        <v>50564</v>
      </c>
      <c r="J4481" s="48" t="s">
        <v>56716</v>
      </c>
      <c r="K4481" s="50"/>
      <c r="L4481" s="48"/>
    </row>
    <row r="4482" spans="1:12" s="37" customFormat="1" ht="11.25" x14ac:dyDescent="0.2">
      <c r="A4482" s="45" t="s">
        <v>35197</v>
      </c>
      <c r="B4482" s="45" t="s">
        <v>35199</v>
      </c>
      <c r="C4482" s="51" t="s">
        <v>35201</v>
      </c>
      <c r="D4482" s="51" t="s">
        <v>35200</v>
      </c>
      <c r="E4482" s="45" t="s">
        <v>303</v>
      </c>
      <c r="F4482" s="45" t="s">
        <v>17759</v>
      </c>
      <c r="G4482" s="45" t="s">
        <v>50584</v>
      </c>
      <c r="H4482" s="56"/>
      <c r="I4482" s="56" t="s">
        <v>50564</v>
      </c>
      <c r="J4482" s="56"/>
      <c r="K4482" s="50"/>
      <c r="L4482" s="56" t="s">
        <v>56716</v>
      </c>
    </row>
    <row r="4483" spans="1:12" s="37" customFormat="1" ht="11.25" x14ac:dyDescent="0.2">
      <c r="A4483" s="46" t="s">
        <v>15669</v>
      </c>
      <c r="B4483" s="46" t="s">
        <v>53624</v>
      </c>
      <c r="C4483" s="58" t="str">
        <f>"20903014"</f>
        <v>20903014</v>
      </c>
      <c r="D4483" s="58" t="str">
        <f>"20903022"</f>
        <v>20903022</v>
      </c>
      <c r="E4483" s="46" t="s">
        <v>1412</v>
      </c>
      <c r="F4483" s="46" t="s">
        <v>17759</v>
      </c>
      <c r="G4483" s="46" t="s">
        <v>50584</v>
      </c>
      <c r="H4483" s="48" t="s">
        <v>56716</v>
      </c>
      <c r="I4483" s="48" t="s">
        <v>50564</v>
      </c>
      <c r="J4483" s="48" t="s">
        <v>56716</v>
      </c>
      <c r="K4483" s="50"/>
      <c r="L4483" s="48"/>
    </row>
    <row r="4484" spans="1:12" s="37" customFormat="1" ht="11.25" x14ac:dyDescent="0.2">
      <c r="A4484" s="46" t="s">
        <v>10175</v>
      </c>
      <c r="B4484" s="46" t="s">
        <v>53625</v>
      </c>
      <c r="C4484" s="58" t="str">
        <f>"17732247"</f>
        <v>17732247</v>
      </c>
      <c r="D4484" s="58" t="str">
        <f>""</f>
        <v/>
      </c>
      <c r="E4484" s="46" t="s">
        <v>5571</v>
      </c>
      <c r="F4484" s="46" t="s">
        <v>20359</v>
      </c>
      <c r="G4484" s="46" t="s">
        <v>50584</v>
      </c>
      <c r="H4484" s="48" t="s">
        <v>56716</v>
      </c>
      <c r="I4484" s="48" t="s">
        <v>50564</v>
      </c>
      <c r="J4484" s="48"/>
      <c r="K4484" s="50"/>
      <c r="L4484" s="48"/>
    </row>
    <row r="4485" spans="1:12" s="37" customFormat="1" ht="11.25" x14ac:dyDescent="0.2">
      <c r="A4485" s="46" t="s">
        <v>2283</v>
      </c>
      <c r="B4485" s="46" t="s">
        <v>53626</v>
      </c>
      <c r="C4485" s="58" t="str">
        <f>"00472379"</f>
        <v>00472379</v>
      </c>
      <c r="D4485" s="58" t="str">
        <f>"15414159"</f>
        <v>15414159</v>
      </c>
      <c r="E4485" s="46" t="s">
        <v>1945</v>
      </c>
      <c r="F4485" s="46" t="s">
        <v>17759</v>
      </c>
      <c r="G4485" s="46" t="s">
        <v>50584</v>
      </c>
      <c r="H4485" s="48" t="s">
        <v>56716</v>
      </c>
      <c r="I4485" s="48" t="s">
        <v>50564</v>
      </c>
      <c r="J4485" s="48"/>
      <c r="K4485" s="50"/>
      <c r="L4485" s="48" t="s">
        <v>56716</v>
      </c>
    </row>
    <row r="4486" spans="1:12" s="37" customFormat="1" ht="11.25" x14ac:dyDescent="0.2">
      <c r="A4486" s="46" t="s">
        <v>6114</v>
      </c>
      <c r="B4486" s="46" t="s">
        <v>53627</v>
      </c>
      <c r="C4486" s="58" t="str">
        <f>"1061186X"</f>
        <v>1061186X</v>
      </c>
      <c r="D4486" s="58" t="str">
        <f>"10292330"</f>
        <v>10292330</v>
      </c>
      <c r="E4486" s="46" t="s">
        <v>291</v>
      </c>
      <c r="F4486" s="46" t="s">
        <v>50646</v>
      </c>
      <c r="G4486" s="46" t="s">
        <v>50584</v>
      </c>
      <c r="H4486" s="48" t="s">
        <v>56716</v>
      </c>
      <c r="I4486" s="48" t="s">
        <v>50564</v>
      </c>
      <c r="J4486" s="48" t="s">
        <v>56716</v>
      </c>
      <c r="K4486" s="50"/>
      <c r="L4486" s="48" t="s">
        <v>56716</v>
      </c>
    </row>
    <row r="4487" spans="1:12" s="37" customFormat="1" ht="11.25" x14ac:dyDescent="0.2">
      <c r="A4487" s="46" t="s">
        <v>13813</v>
      </c>
      <c r="B4487" s="46" t="s">
        <v>53628</v>
      </c>
      <c r="C4487" s="58" t="str">
        <f>"15459616"</f>
        <v>15459616</v>
      </c>
      <c r="D4487" s="58" t="str">
        <f>""</f>
        <v/>
      </c>
      <c r="E4487" s="46" t="s">
        <v>13813</v>
      </c>
      <c r="F4487" s="46" t="s">
        <v>17759</v>
      </c>
      <c r="G4487" s="46" t="s">
        <v>50584</v>
      </c>
      <c r="H4487" s="48" t="s">
        <v>56716</v>
      </c>
      <c r="I4487" s="48" t="s">
        <v>50564</v>
      </c>
      <c r="J4487" s="48"/>
      <c r="K4487" s="50"/>
      <c r="L4487" s="48" t="s">
        <v>56716</v>
      </c>
    </row>
    <row r="4488" spans="1:12" s="37" customFormat="1" ht="11.25" x14ac:dyDescent="0.2">
      <c r="A4488" s="46" t="s">
        <v>10612</v>
      </c>
      <c r="B4488" s="46" t="s">
        <v>53629</v>
      </c>
      <c r="C4488" s="58" t="str">
        <f>"15504263"</f>
        <v>15504263</v>
      </c>
      <c r="D4488" s="58" t="str">
        <f>"15504271"</f>
        <v>15504271</v>
      </c>
      <c r="E4488" s="46" t="s">
        <v>689</v>
      </c>
      <c r="F4488" s="46" t="s">
        <v>17759</v>
      </c>
      <c r="G4488" s="46" t="s">
        <v>50584</v>
      </c>
      <c r="H4488" s="48" t="s">
        <v>56716</v>
      </c>
      <c r="I4488" s="48" t="s">
        <v>50564</v>
      </c>
      <c r="J4488" s="48"/>
      <c r="K4488" s="50"/>
      <c r="L4488" s="48" t="s">
        <v>56716</v>
      </c>
    </row>
    <row r="4489" spans="1:12" s="37" customFormat="1" ht="11.25" x14ac:dyDescent="0.2">
      <c r="A4489" s="46" t="s">
        <v>12190</v>
      </c>
      <c r="B4489" s="46" t="s">
        <v>53630</v>
      </c>
      <c r="C4489" s="58" t="str">
        <f>"13490222"</f>
        <v>13490222</v>
      </c>
      <c r="D4489" s="58" t="str">
        <f>"1880344X"</f>
        <v>1880344X</v>
      </c>
      <c r="E4489" s="46" t="s">
        <v>23335</v>
      </c>
      <c r="F4489" s="46" t="s">
        <v>18242</v>
      </c>
      <c r="G4489" s="46" t="s">
        <v>50584</v>
      </c>
      <c r="H4489" s="48" t="s">
        <v>56716</v>
      </c>
      <c r="I4489" s="48" t="s">
        <v>50564</v>
      </c>
      <c r="J4489" s="48"/>
      <c r="K4489" s="50" t="s">
        <v>56716</v>
      </c>
      <c r="L4489" s="48"/>
    </row>
    <row r="4490" spans="1:12" s="37" customFormat="1" ht="11.25" x14ac:dyDescent="0.2">
      <c r="A4490" s="45" t="s">
        <v>35220</v>
      </c>
      <c r="B4490" s="45" t="s">
        <v>35222</v>
      </c>
      <c r="C4490" s="51" t="s">
        <v>35223</v>
      </c>
      <c r="D4490" s="51" t="s">
        <v>56604</v>
      </c>
      <c r="E4490" s="45" t="s">
        <v>55</v>
      </c>
      <c r="F4490" s="45" t="s">
        <v>50646</v>
      </c>
      <c r="G4490" s="45" t="s">
        <v>50584</v>
      </c>
      <c r="H4490" s="56"/>
      <c r="I4490" s="56" t="s">
        <v>50564</v>
      </c>
      <c r="J4490" s="56"/>
      <c r="K4490" s="50"/>
      <c r="L4490" s="56" t="s">
        <v>56716</v>
      </c>
    </row>
    <row r="4491" spans="1:12" s="37" customFormat="1" ht="11.25" x14ac:dyDescent="0.2">
      <c r="A4491" s="46" t="s">
        <v>9410</v>
      </c>
      <c r="B4491" s="46" t="s">
        <v>53631</v>
      </c>
      <c r="C4491" s="58" t="str">
        <f>"09724397"</f>
        <v>09724397</v>
      </c>
      <c r="D4491" s="58" t="str">
        <f>"09740805"</f>
        <v>09740805</v>
      </c>
      <c r="E4491" s="46" t="s">
        <v>9410</v>
      </c>
      <c r="F4491" s="46" t="s">
        <v>20446</v>
      </c>
      <c r="G4491" s="46" t="s">
        <v>50584</v>
      </c>
      <c r="H4491" s="48" t="s">
        <v>56716</v>
      </c>
      <c r="I4491" s="48" t="s">
        <v>50564</v>
      </c>
      <c r="J4491" s="48"/>
      <c r="K4491" s="50"/>
      <c r="L4491" s="48"/>
    </row>
    <row r="4492" spans="1:12" s="37" customFormat="1" ht="11.25" x14ac:dyDescent="0.2">
      <c r="A4492" s="46" t="s">
        <v>7730</v>
      </c>
      <c r="B4492" s="46" t="s">
        <v>53632</v>
      </c>
      <c r="C4492" s="58" t="str">
        <f>"10950680"</f>
        <v>10950680</v>
      </c>
      <c r="D4492" s="58" t="str">
        <f>"15334112"</f>
        <v>15334112</v>
      </c>
      <c r="E4492" s="46" t="s">
        <v>28</v>
      </c>
      <c r="F4492" s="46" t="s">
        <v>17759</v>
      </c>
      <c r="G4492" s="46" t="s">
        <v>50584</v>
      </c>
      <c r="H4492" s="48" t="s">
        <v>56716</v>
      </c>
      <c r="I4492" s="48" t="s">
        <v>50564</v>
      </c>
      <c r="J4492" s="48"/>
      <c r="K4492" s="50" t="s">
        <v>56716</v>
      </c>
      <c r="L4492" s="48" t="s">
        <v>56716</v>
      </c>
    </row>
    <row r="4493" spans="1:12" s="37" customFormat="1" ht="11.25" x14ac:dyDescent="0.2">
      <c r="A4493" s="45" t="s">
        <v>35235</v>
      </c>
      <c r="B4493" s="45" t="s">
        <v>35237</v>
      </c>
      <c r="C4493" s="51" t="s">
        <v>35239</v>
      </c>
      <c r="D4493" s="51" t="s">
        <v>35238</v>
      </c>
      <c r="E4493" s="45" t="s">
        <v>291</v>
      </c>
      <c r="F4493" s="45" t="s">
        <v>50646</v>
      </c>
      <c r="G4493" s="45" t="s">
        <v>50584</v>
      </c>
      <c r="H4493" s="56"/>
      <c r="I4493" s="56" t="s">
        <v>50564</v>
      </c>
      <c r="J4493" s="56"/>
      <c r="K4493" s="50"/>
      <c r="L4493" s="56" t="s">
        <v>56716</v>
      </c>
    </row>
    <row r="4494" spans="1:12" s="37" customFormat="1" ht="11.25" x14ac:dyDescent="0.2">
      <c r="A4494" s="46" t="s">
        <v>2293</v>
      </c>
      <c r="B4494" s="46" t="s">
        <v>53633</v>
      </c>
      <c r="C4494" s="58" t="str">
        <f>"00220736"</f>
        <v>00220736</v>
      </c>
      <c r="D4494" s="58" t="str">
        <f>"15328430"</f>
        <v>15328430</v>
      </c>
      <c r="E4494" s="46" t="s">
        <v>2296</v>
      </c>
      <c r="F4494" s="46" t="s">
        <v>17759</v>
      </c>
      <c r="G4494" s="46" t="s">
        <v>50584</v>
      </c>
      <c r="H4494" s="48" t="s">
        <v>56716</v>
      </c>
      <c r="I4494" s="48" t="s">
        <v>50564</v>
      </c>
      <c r="J4494" s="48" t="s">
        <v>56716</v>
      </c>
      <c r="K4494" s="50" t="s">
        <v>56716</v>
      </c>
      <c r="L4494" s="48" t="s">
        <v>56716</v>
      </c>
    </row>
    <row r="4495" spans="1:12" s="37" customFormat="1" ht="11.25" x14ac:dyDescent="0.2">
      <c r="A4495" s="46" t="s">
        <v>5318</v>
      </c>
      <c r="B4495" s="46" t="s">
        <v>53634</v>
      </c>
      <c r="C4495" s="58" t="str">
        <f>"10506411"</f>
        <v>10506411</v>
      </c>
      <c r="D4495" s="58" t="str">
        <f>"18735711"</f>
        <v>18735711</v>
      </c>
      <c r="E4495" s="46" t="s">
        <v>155</v>
      </c>
      <c r="F4495" s="46" t="s">
        <v>50646</v>
      </c>
      <c r="G4495" s="46" t="s">
        <v>50584</v>
      </c>
      <c r="H4495" s="48" t="s">
        <v>56716</v>
      </c>
      <c r="I4495" s="48" t="s">
        <v>50564</v>
      </c>
      <c r="J4495" s="48" t="s">
        <v>56716</v>
      </c>
      <c r="K4495" s="50" t="s">
        <v>56716</v>
      </c>
      <c r="L4495" s="48" t="s">
        <v>56716</v>
      </c>
    </row>
    <row r="4496" spans="1:12" s="37" customFormat="1" ht="11.25" x14ac:dyDescent="0.2">
      <c r="A4496" s="46" t="s">
        <v>13223</v>
      </c>
      <c r="B4496" s="46" t="s">
        <v>53635</v>
      </c>
      <c r="C4496" s="58" t="str">
        <f>"09742700"</f>
        <v>09742700</v>
      </c>
      <c r="D4496" s="58" t="str">
        <f>"0974519X"</f>
        <v>0974519X</v>
      </c>
      <c r="E4496" s="46" t="s">
        <v>19057</v>
      </c>
      <c r="F4496" s="46" t="s">
        <v>20446</v>
      </c>
      <c r="G4496" s="46" t="s">
        <v>50584</v>
      </c>
      <c r="H4496" s="48" t="s">
        <v>56716</v>
      </c>
      <c r="I4496" s="48" t="s">
        <v>50564</v>
      </c>
      <c r="J4496" s="48" t="s">
        <v>56716</v>
      </c>
      <c r="K4496" s="50"/>
      <c r="L4496" s="48"/>
    </row>
    <row r="4497" spans="1:12" s="37" customFormat="1" ht="11.25" x14ac:dyDescent="0.2">
      <c r="A4497" s="45" t="s">
        <v>35249</v>
      </c>
      <c r="B4497" s="45" t="s">
        <v>35251</v>
      </c>
      <c r="C4497" s="51" t="s">
        <v>35252</v>
      </c>
      <c r="D4497" s="51"/>
      <c r="E4497" s="45" t="s">
        <v>19553</v>
      </c>
      <c r="F4497" s="45" t="s">
        <v>17759</v>
      </c>
      <c r="G4497" s="45" t="s">
        <v>50584</v>
      </c>
      <c r="H4497" s="56"/>
      <c r="I4497" s="56" t="s">
        <v>50564</v>
      </c>
      <c r="J4497" s="56"/>
      <c r="K4497" s="50"/>
      <c r="L4497" s="56" t="s">
        <v>56716</v>
      </c>
    </row>
    <row r="4498" spans="1:12" s="37" customFormat="1" ht="11.25" x14ac:dyDescent="0.2">
      <c r="A4498" s="46" t="s">
        <v>2308</v>
      </c>
      <c r="B4498" s="46" t="s">
        <v>53636</v>
      </c>
      <c r="C4498" s="58" t="str">
        <f>"07364679"</f>
        <v>07364679</v>
      </c>
      <c r="D4498" s="58" t="str">
        <f>""</f>
        <v/>
      </c>
      <c r="E4498" s="46" t="s">
        <v>673</v>
      </c>
      <c r="F4498" s="46" t="s">
        <v>17759</v>
      </c>
      <c r="G4498" s="46" t="s">
        <v>50584</v>
      </c>
      <c r="H4498" s="48" t="s">
        <v>56716</v>
      </c>
      <c r="I4498" s="48" t="s">
        <v>50564</v>
      </c>
      <c r="J4498" s="48" t="s">
        <v>56716</v>
      </c>
      <c r="K4498" s="50" t="s">
        <v>56716</v>
      </c>
      <c r="L4498" s="48" t="s">
        <v>56716</v>
      </c>
    </row>
    <row r="4499" spans="1:12" s="37" customFormat="1" ht="11.25" x14ac:dyDescent="0.2">
      <c r="A4499" s="46" t="s">
        <v>12862</v>
      </c>
      <c r="B4499" s="46" t="s">
        <v>53637</v>
      </c>
      <c r="C4499" s="58" t="str">
        <f>"19997086"</f>
        <v>19997086</v>
      </c>
      <c r="D4499" s="58" t="str">
        <f>""</f>
        <v/>
      </c>
      <c r="E4499" s="46" t="s">
        <v>12864</v>
      </c>
      <c r="F4499" s="46" t="s">
        <v>50652</v>
      </c>
      <c r="G4499" s="46" t="s">
        <v>50584</v>
      </c>
      <c r="H4499" s="48" t="s">
        <v>56716</v>
      </c>
      <c r="I4499" s="48" t="s">
        <v>50564</v>
      </c>
      <c r="J4499" s="48"/>
      <c r="K4499" s="50"/>
      <c r="L4499" s="48"/>
    </row>
    <row r="4500" spans="1:12" s="37" customFormat="1" ht="11.25" x14ac:dyDescent="0.2">
      <c r="A4500" s="45" t="s">
        <v>35259</v>
      </c>
      <c r="B4500" s="45" t="s">
        <v>35261</v>
      </c>
      <c r="C4500" s="51" t="s">
        <v>35263</v>
      </c>
      <c r="D4500" s="51" t="s">
        <v>35262</v>
      </c>
      <c r="E4500" s="45" t="s">
        <v>26729</v>
      </c>
      <c r="F4500" s="45" t="s">
        <v>17759</v>
      </c>
      <c r="G4500" s="45" t="s">
        <v>50584</v>
      </c>
      <c r="H4500" s="56"/>
      <c r="I4500" s="56" t="s">
        <v>50564</v>
      </c>
      <c r="J4500" s="56"/>
      <c r="K4500" s="50"/>
      <c r="L4500" s="56" t="s">
        <v>56716</v>
      </c>
    </row>
    <row r="4501" spans="1:12" s="37" customFormat="1" ht="11.25" x14ac:dyDescent="0.2">
      <c r="A4501" s="46" t="s">
        <v>55901</v>
      </c>
      <c r="B4501" s="46" t="s">
        <v>55902</v>
      </c>
      <c r="C4501" s="58" t="str">
        <f>"14474999"</f>
        <v>14474999</v>
      </c>
      <c r="D4501" s="58" t="str">
        <f>""</f>
        <v/>
      </c>
      <c r="E4501" s="46" t="s">
        <v>55903</v>
      </c>
      <c r="F4501" s="46" t="s">
        <v>20082</v>
      </c>
      <c r="G4501" s="46" t="s">
        <v>50584</v>
      </c>
      <c r="H4501" s="48" t="s">
        <v>56716</v>
      </c>
      <c r="I4501" s="48" t="s">
        <v>50564</v>
      </c>
      <c r="J4501" s="48"/>
      <c r="K4501" s="50"/>
      <c r="L4501" s="48"/>
    </row>
    <row r="4502" spans="1:12" s="37" customFormat="1" ht="11.25" x14ac:dyDescent="0.2">
      <c r="A4502" s="45" t="s">
        <v>35265</v>
      </c>
      <c r="B4502" s="45" t="s">
        <v>35267</v>
      </c>
      <c r="C4502" s="51" t="s">
        <v>35269</v>
      </c>
      <c r="D4502" s="51" t="s">
        <v>35268</v>
      </c>
      <c r="E4502" s="45" t="s">
        <v>18520</v>
      </c>
      <c r="F4502" s="45" t="s">
        <v>17759</v>
      </c>
      <c r="G4502" s="45" t="s">
        <v>50584</v>
      </c>
      <c r="H4502" s="56"/>
      <c r="I4502" s="56" t="s">
        <v>50564</v>
      </c>
      <c r="J4502" s="56"/>
      <c r="K4502" s="50"/>
      <c r="L4502" s="56" t="s">
        <v>56716</v>
      </c>
    </row>
    <row r="4503" spans="1:12" s="37" customFormat="1" ht="11.25" x14ac:dyDescent="0.2">
      <c r="A4503" s="46" t="s">
        <v>2301</v>
      </c>
      <c r="B4503" s="46" t="s">
        <v>53638</v>
      </c>
      <c r="C4503" s="58" t="str">
        <f>"03914097"</f>
        <v>03914097</v>
      </c>
      <c r="D4503" s="58" t="str">
        <f>"17208386"</f>
        <v>17208386</v>
      </c>
      <c r="E4503" s="46" t="s">
        <v>55920</v>
      </c>
      <c r="F4503" s="46" t="s">
        <v>18123</v>
      </c>
      <c r="G4503" s="46" t="s">
        <v>50584</v>
      </c>
      <c r="H4503" s="48" t="s">
        <v>56716</v>
      </c>
      <c r="I4503" s="48" t="s">
        <v>50564</v>
      </c>
      <c r="J4503" s="48"/>
      <c r="K4503" s="50"/>
      <c r="L4503" s="48" t="s">
        <v>56716</v>
      </c>
    </row>
    <row r="4504" spans="1:12" s="37" customFormat="1" ht="11.25" x14ac:dyDescent="0.2">
      <c r="A4504" s="46" t="s">
        <v>2556</v>
      </c>
      <c r="B4504" s="46" t="s">
        <v>53639</v>
      </c>
      <c r="C4504" s="58" t="str">
        <f>"00220795"</f>
        <v>00220795</v>
      </c>
      <c r="D4504" s="58" t="str">
        <f>"14796805"</f>
        <v>14796805</v>
      </c>
      <c r="E4504" s="46" t="s">
        <v>2559</v>
      </c>
      <c r="F4504" s="46" t="s">
        <v>50646</v>
      </c>
      <c r="G4504" s="46" t="s">
        <v>50584</v>
      </c>
      <c r="H4504" s="48" t="s">
        <v>56716</v>
      </c>
      <c r="I4504" s="48" t="s">
        <v>50564</v>
      </c>
      <c r="J4504" s="48" t="s">
        <v>56716</v>
      </c>
      <c r="K4504" s="50"/>
      <c r="L4504" s="48" t="s">
        <v>56716</v>
      </c>
    </row>
    <row r="4505" spans="1:12" s="37" customFormat="1" ht="11.25" x14ac:dyDescent="0.2">
      <c r="A4505" s="46" t="s">
        <v>8778</v>
      </c>
      <c r="B4505" s="46" t="s">
        <v>53640</v>
      </c>
      <c r="C4505" s="58" t="str">
        <f>"16089677"</f>
        <v>16089677</v>
      </c>
      <c r="D4505" s="58" t="str">
        <f>""</f>
        <v/>
      </c>
      <c r="E4505" s="46" t="s">
        <v>3724</v>
      </c>
      <c r="F4505" s="46" t="s">
        <v>24311</v>
      </c>
      <c r="G4505" s="46" t="s">
        <v>50584</v>
      </c>
      <c r="H4505" s="48" t="s">
        <v>56716</v>
      </c>
      <c r="I4505" s="48" t="s">
        <v>50564</v>
      </c>
      <c r="J4505" s="48"/>
      <c r="K4505" s="50"/>
      <c r="L4505" s="48"/>
    </row>
    <row r="4506" spans="1:12" s="37" customFormat="1" ht="11.25" x14ac:dyDescent="0.2">
      <c r="A4506" s="45" t="s">
        <v>35281</v>
      </c>
      <c r="B4506" s="45" t="s">
        <v>35283</v>
      </c>
      <c r="C4506" s="51" t="s">
        <v>35285</v>
      </c>
      <c r="D4506" s="51" t="s">
        <v>35284</v>
      </c>
      <c r="E4506" s="45" t="s">
        <v>91</v>
      </c>
      <c r="F4506" s="45" t="s">
        <v>17759</v>
      </c>
      <c r="G4506" s="45" t="s">
        <v>50584</v>
      </c>
      <c r="H4506" s="56"/>
      <c r="I4506" s="56" t="s">
        <v>50564</v>
      </c>
      <c r="J4506" s="56"/>
      <c r="K4506" s="50"/>
      <c r="L4506" s="56" t="s">
        <v>56716</v>
      </c>
    </row>
    <row r="4507" spans="1:12" s="37" customFormat="1" ht="11.25" x14ac:dyDescent="0.2">
      <c r="A4507" s="46" t="s">
        <v>14071</v>
      </c>
      <c r="B4507" s="46" t="s">
        <v>53641</v>
      </c>
      <c r="C4507" s="58" t="str">
        <f>"20359969"</f>
        <v>20359969</v>
      </c>
      <c r="D4507" s="58" t="str">
        <f>"2036282X"</f>
        <v>2036282X</v>
      </c>
      <c r="E4507" s="46" t="s">
        <v>56167</v>
      </c>
      <c r="F4507" s="46" t="s">
        <v>17991</v>
      </c>
      <c r="G4507" s="46" t="s">
        <v>50584</v>
      </c>
      <c r="H4507" s="48" t="s">
        <v>56716</v>
      </c>
      <c r="I4507" s="48" t="s">
        <v>50564</v>
      </c>
      <c r="J4507" s="48"/>
      <c r="K4507" s="50"/>
      <c r="L4507" s="48"/>
    </row>
    <row r="4508" spans="1:12" s="37" customFormat="1" ht="11.25" x14ac:dyDescent="0.2">
      <c r="A4508" s="46" t="s">
        <v>5914</v>
      </c>
      <c r="B4508" s="46" t="s">
        <v>53642</v>
      </c>
      <c r="C4508" s="58" t="str">
        <f>"08927790"</f>
        <v>08927790</v>
      </c>
      <c r="D4508" s="58" t="str">
        <f>"1557900X"</f>
        <v>1557900X</v>
      </c>
      <c r="E4508" s="46" t="s">
        <v>4337</v>
      </c>
      <c r="F4508" s="46" t="s">
        <v>17759</v>
      </c>
      <c r="G4508" s="46" t="s">
        <v>50584</v>
      </c>
      <c r="H4508" s="48" t="s">
        <v>56716</v>
      </c>
      <c r="I4508" s="48" t="s">
        <v>50564</v>
      </c>
      <c r="J4508" s="48" t="s">
        <v>56716</v>
      </c>
      <c r="K4508" s="50"/>
      <c r="L4508" s="48" t="s">
        <v>56716</v>
      </c>
    </row>
    <row r="4509" spans="1:12" s="37" customFormat="1" ht="11.25" x14ac:dyDescent="0.2">
      <c r="A4509" s="46" t="s">
        <v>8423</v>
      </c>
      <c r="B4509" s="46" t="s">
        <v>53643</v>
      </c>
      <c r="C4509" s="58" t="str">
        <f>"15266028"</f>
        <v>15266028</v>
      </c>
      <c r="D4509" s="58" t="str">
        <f>"15451550"</f>
        <v>15451550</v>
      </c>
      <c r="E4509" s="46" t="s">
        <v>8426</v>
      </c>
      <c r="F4509" s="46" t="s">
        <v>17759</v>
      </c>
      <c r="G4509" s="46" t="s">
        <v>50584</v>
      </c>
      <c r="H4509" s="48" t="s">
        <v>56716</v>
      </c>
      <c r="I4509" s="48" t="s">
        <v>50564</v>
      </c>
      <c r="J4509" s="48" t="s">
        <v>56716</v>
      </c>
      <c r="K4509" s="50"/>
      <c r="L4509" s="48" t="s">
        <v>56716</v>
      </c>
    </row>
    <row r="4510" spans="1:12" s="37" customFormat="1" ht="11.25" x14ac:dyDescent="0.2">
      <c r="A4510" s="46" t="s">
        <v>14402</v>
      </c>
      <c r="B4510" s="46" t="s">
        <v>53644</v>
      </c>
      <c r="C4510" s="58" t="str">
        <f>""</f>
        <v/>
      </c>
      <c r="D4510" s="58" t="str">
        <f>""</f>
        <v/>
      </c>
      <c r="E4510" s="46" t="s">
        <v>1412</v>
      </c>
      <c r="F4510" s="46" t="s">
        <v>17759</v>
      </c>
      <c r="G4510" s="46" t="s">
        <v>50584</v>
      </c>
      <c r="H4510" s="48" t="s">
        <v>56716</v>
      </c>
      <c r="I4510" s="48" t="s">
        <v>50564</v>
      </c>
      <c r="J4510" s="48" t="s">
        <v>56716</v>
      </c>
      <c r="K4510" s="50"/>
      <c r="L4510" s="48" t="s">
        <v>56716</v>
      </c>
    </row>
    <row r="4511" spans="1:12" s="37" customFormat="1" ht="11.25" x14ac:dyDescent="0.2">
      <c r="A4511" s="45" t="s">
        <v>35300</v>
      </c>
      <c r="B4511" s="45" t="s">
        <v>35302</v>
      </c>
      <c r="C4511" s="51" t="s">
        <v>35303</v>
      </c>
      <c r="D4511" s="51"/>
      <c r="E4511" s="45" t="s">
        <v>35304</v>
      </c>
      <c r="F4511" s="45" t="s">
        <v>20446</v>
      </c>
      <c r="G4511" s="45" t="s">
        <v>50584</v>
      </c>
      <c r="H4511" s="56"/>
      <c r="I4511" s="56" t="s">
        <v>50564</v>
      </c>
      <c r="J4511" s="56"/>
      <c r="K4511" s="50"/>
      <c r="L4511" s="56" t="s">
        <v>56716</v>
      </c>
    </row>
    <row r="4512" spans="1:12" s="37" customFormat="1" ht="11.25" x14ac:dyDescent="0.2">
      <c r="A4512" s="45" t="s">
        <v>35306</v>
      </c>
      <c r="B4512" s="45" t="s">
        <v>35308</v>
      </c>
      <c r="C4512" s="51" t="s">
        <v>35310</v>
      </c>
      <c r="D4512" s="51"/>
      <c r="E4512" s="45" t="s">
        <v>35311</v>
      </c>
      <c r="F4512" s="45" t="s">
        <v>17759</v>
      </c>
      <c r="G4512" s="45" t="s">
        <v>50584</v>
      </c>
      <c r="H4512" s="56"/>
      <c r="I4512" s="56" t="s">
        <v>50564</v>
      </c>
      <c r="J4512" s="56"/>
      <c r="K4512" s="50"/>
      <c r="L4512" s="56" t="s">
        <v>56716</v>
      </c>
    </row>
    <row r="4513" spans="1:12" s="37" customFormat="1" ht="11.25" x14ac:dyDescent="0.2">
      <c r="A4513" s="46" t="s">
        <v>2315</v>
      </c>
      <c r="B4513" s="46" t="s">
        <v>53645</v>
      </c>
      <c r="C4513" s="58" t="str">
        <f>"03014797"</f>
        <v>03014797</v>
      </c>
      <c r="D4513" s="58" t="str">
        <f>"10958630"</f>
        <v>10958630</v>
      </c>
      <c r="E4513" s="46" t="s">
        <v>601</v>
      </c>
      <c r="F4513" s="46" t="s">
        <v>50646</v>
      </c>
      <c r="G4513" s="46" t="s">
        <v>50584</v>
      </c>
      <c r="H4513" s="48" t="s">
        <v>56716</v>
      </c>
      <c r="I4513" s="48" t="s">
        <v>50564</v>
      </c>
      <c r="J4513" s="48"/>
      <c r="K4513" s="50" t="s">
        <v>56716</v>
      </c>
      <c r="L4513" s="48" t="s">
        <v>56716</v>
      </c>
    </row>
    <row r="4514" spans="1:12" s="37" customFormat="1" ht="11.25" x14ac:dyDescent="0.2">
      <c r="A4514" s="46" t="s">
        <v>2310</v>
      </c>
      <c r="B4514" s="46" t="s">
        <v>53646</v>
      </c>
      <c r="C4514" s="58" t="str">
        <f>"07318898"</f>
        <v>07318898</v>
      </c>
      <c r="D4514" s="58" t="str">
        <f>""</f>
        <v/>
      </c>
      <c r="E4514" s="46" t="s">
        <v>1278</v>
      </c>
      <c r="F4514" s="46" t="s">
        <v>17759</v>
      </c>
      <c r="G4514" s="46" t="s">
        <v>50584</v>
      </c>
      <c r="H4514" s="48" t="s">
        <v>56716</v>
      </c>
      <c r="I4514" s="48" t="s">
        <v>50564</v>
      </c>
      <c r="J4514" s="48" t="s">
        <v>56716</v>
      </c>
      <c r="K4514" s="50"/>
      <c r="L4514" s="48" t="s">
        <v>56716</v>
      </c>
    </row>
    <row r="4515" spans="1:12" s="37" customFormat="1" ht="11.25" x14ac:dyDescent="0.2">
      <c r="A4515" s="46" t="s">
        <v>2318</v>
      </c>
      <c r="B4515" s="46" t="s">
        <v>53647</v>
      </c>
      <c r="C4515" s="58" t="str">
        <f>"00472425"</f>
        <v>00472425</v>
      </c>
      <c r="D4515" s="58" t="str">
        <f>"15372537"</f>
        <v>15372537</v>
      </c>
      <c r="E4515" s="46" t="s">
        <v>2321</v>
      </c>
      <c r="F4515" s="46" t="s">
        <v>17759</v>
      </c>
      <c r="G4515" s="46" t="s">
        <v>50584</v>
      </c>
      <c r="H4515" s="48" t="s">
        <v>56716</v>
      </c>
      <c r="I4515" s="48" t="s">
        <v>50564</v>
      </c>
      <c r="J4515" s="48"/>
      <c r="K4515" s="50"/>
      <c r="L4515" s="48" t="s">
        <v>56716</v>
      </c>
    </row>
    <row r="4516" spans="1:12" s="37" customFormat="1" ht="11.25" x14ac:dyDescent="0.2">
      <c r="A4516" s="46" t="s">
        <v>2312</v>
      </c>
      <c r="B4516" s="46" t="s">
        <v>53648</v>
      </c>
      <c r="C4516" s="58" t="str">
        <f>"0265931X"</f>
        <v>0265931X</v>
      </c>
      <c r="D4516" s="58" t="str">
        <f>"18791700"</f>
        <v>18791700</v>
      </c>
      <c r="E4516" s="46" t="s">
        <v>155</v>
      </c>
      <c r="F4516" s="46" t="s">
        <v>50646</v>
      </c>
      <c r="G4516" s="46" t="s">
        <v>50584</v>
      </c>
      <c r="H4516" s="48" t="s">
        <v>56716</v>
      </c>
      <c r="I4516" s="48" t="s">
        <v>50564</v>
      </c>
      <c r="J4516" s="48"/>
      <c r="K4516" s="50" t="s">
        <v>56716</v>
      </c>
      <c r="L4516" s="48" t="s">
        <v>56716</v>
      </c>
    </row>
    <row r="4517" spans="1:12" s="37" customFormat="1" ht="11.25" x14ac:dyDescent="0.2">
      <c r="A4517" s="45" t="s">
        <v>35334</v>
      </c>
      <c r="B4517" s="45" t="s">
        <v>35336</v>
      </c>
      <c r="C4517" s="51"/>
      <c r="D4517" s="51"/>
      <c r="E4517" s="45" t="s">
        <v>35338</v>
      </c>
      <c r="F4517" s="45" t="s">
        <v>20446</v>
      </c>
      <c r="G4517" s="45" t="s">
        <v>50584</v>
      </c>
      <c r="H4517" s="56"/>
      <c r="I4517" s="56" t="s">
        <v>50564</v>
      </c>
      <c r="J4517" s="56"/>
      <c r="K4517" s="50"/>
      <c r="L4517" s="56" t="s">
        <v>56716</v>
      </c>
    </row>
    <row r="4518" spans="1:12" s="37" customFormat="1" ht="11.25" x14ac:dyDescent="0.2">
      <c r="A4518" s="46" t="s">
        <v>7762</v>
      </c>
      <c r="B4518" s="46" t="s">
        <v>53649</v>
      </c>
      <c r="C4518" s="58" t="str">
        <f>"10934529"</f>
        <v>10934529</v>
      </c>
      <c r="D4518" s="58" t="str">
        <f>"15324117"</f>
        <v>15324117</v>
      </c>
      <c r="E4518" s="46" t="s">
        <v>669</v>
      </c>
      <c r="F4518" s="46" t="s">
        <v>17759</v>
      </c>
      <c r="G4518" s="46" t="s">
        <v>50584</v>
      </c>
      <c r="H4518" s="48" t="s">
        <v>56716</v>
      </c>
      <c r="I4518" s="48" t="s">
        <v>50564</v>
      </c>
      <c r="J4518" s="48"/>
      <c r="K4518" s="50"/>
      <c r="L4518" s="48" t="s">
        <v>56716</v>
      </c>
    </row>
    <row r="4519" spans="1:12" s="37" customFormat="1" ht="11.25" x14ac:dyDescent="0.2">
      <c r="A4519" s="46" t="s">
        <v>5932</v>
      </c>
      <c r="B4519" s="46" t="s">
        <v>53650</v>
      </c>
      <c r="C4519" s="58" t="str">
        <f>"10590501"</f>
        <v>10590501</v>
      </c>
      <c r="D4519" s="58" t="str">
        <f>"15324095"</f>
        <v>15324095</v>
      </c>
      <c r="E4519" s="46" t="s">
        <v>669</v>
      </c>
      <c r="F4519" s="46" t="s">
        <v>17759</v>
      </c>
      <c r="G4519" s="46" t="s">
        <v>50584</v>
      </c>
      <c r="H4519" s="48" t="s">
        <v>56716</v>
      </c>
      <c r="I4519" s="48" t="s">
        <v>50564</v>
      </c>
      <c r="J4519" s="48"/>
      <c r="K4519" s="50"/>
      <c r="L4519" s="48" t="s">
        <v>56716</v>
      </c>
    </row>
    <row r="4520" spans="1:12" s="37" customFormat="1" ht="11.25" x14ac:dyDescent="0.2">
      <c r="A4520" s="45" t="s">
        <v>35350</v>
      </c>
      <c r="B4520" s="45" t="s">
        <v>35352</v>
      </c>
      <c r="C4520" s="51" t="s">
        <v>35355</v>
      </c>
      <c r="D4520" s="51" t="s">
        <v>35354</v>
      </c>
      <c r="E4520" s="45" t="s">
        <v>291</v>
      </c>
      <c r="F4520" s="45" t="s">
        <v>50646</v>
      </c>
      <c r="G4520" s="45" t="s">
        <v>50584</v>
      </c>
      <c r="H4520" s="56"/>
      <c r="I4520" s="56" t="s">
        <v>50564</v>
      </c>
      <c r="J4520" s="56"/>
      <c r="K4520" s="50"/>
      <c r="L4520" s="56" t="s">
        <v>56716</v>
      </c>
    </row>
    <row r="4521" spans="1:12" s="37" customFormat="1" ht="11.25" x14ac:dyDescent="0.2">
      <c r="A4521" s="45" t="s">
        <v>35357</v>
      </c>
      <c r="B4521" s="45" t="s">
        <v>35359</v>
      </c>
      <c r="C4521" s="51" t="s">
        <v>35360</v>
      </c>
      <c r="D4521" s="51"/>
      <c r="E4521" s="45" t="s">
        <v>920</v>
      </c>
      <c r="F4521" s="45" t="s">
        <v>18001</v>
      </c>
      <c r="G4521" s="45" t="s">
        <v>50584</v>
      </c>
      <c r="H4521" s="56"/>
      <c r="I4521" s="56" t="s">
        <v>50564</v>
      </c>
      <c r="J4521" s="56"/>
      <c r="K4521" s="50"/>
      <c r="L4521" s="56" t="s">
        <v>56716</v>
      </c>
    </row>
    <row r="4522" spans="1:12" s="37" customFormat="1" ht="11.25" x14ac:dyDescent="0.2">
      <c r="A4522" s="46" t="s">
        <v>9268</v>
      </c>
      <c r="B4522" s="46" t="s">
        <v>53651</v>
      </c>
      <c r="C4522" s="58" t="str">
        <f>"14756366"</f>
        <v>14756366</v>
      </c>
      <c r="D4522" s="58" t="str">
        <f>"14756374"</f>
        <v>14756374</v>
      </c>
      <c r="E4522" s="46" t="s">
        <v>291</v>
      </c>
      <c r="F4522" s="46" t="s">
        <v>50646</v>
      </c>
      <c r="G4522" s="46" t="s">
        <v>50584</v>
      </c>
      <c r="H4522" s="48" t="s">
        <v>56716</v>
      </c>
      <c r="I4522" s="48" t="s">
        <v>50564</v>
      </c>
      <c r="J4522" s="48" t="s">
        <v>56716</v>
      </c>
      <c r="K4522" s="50"/>
      <c r="L4522" s="48" t="s">
        <v>56716</v>
      </c>
    </row>
    <row r="4523" spans="1:12" s="37" customFormat="1" ht="11.25" x14ac:dyDescent="0.2">
      <c r="A4523" s="45" t="s">
        <v>35367</v>
      </c>
      <c r="B4523" s="45" t="s">
        <v>35369</v>
      </c>
      <c r="C4523" s="51" t="s">
        <v>35371</v>
      </c>
      <c r="D4523" s="51" t="s">
        <v>35370</v>
      </c>
      <c r="E4523" s="45" t="s">
        <v>19282</v>
      </c>
      <c r="F4523" s="45" t="s">
        <v>18242</v>
      </c>
      <c r="G4523" s="45" t="s">
        <v>50584</v>
      </c>
      <c r="H4523" s="56"/>
      <c r="I4523" s="56" t="s">
        <v>50564</v>
      </c>
      <c r="J4523" s="56"/>
      <c r="K4523" s="50"/>
      <c r="L4523" s="56" t="s">
        <v>56716</v>
      </c>
    </row>
    <row r="4524" spans="1:12" s="37" customFormat="1" ht="11.25" x14ac:dyDescent="0.2">
      <c r="A4524" s="45" t="s">
        <v>35373</v>
      </c>
      <c r="B4524" s="45" t="s">
        <v>35375</v>
      </c>
      <c r="C4524" s="51" t="s">
        <v>56724</v>
      </c>
      <c r="D4524" s="51"/>
      <c r="E4524" s="45" t="s">
        <v>30323</v>
      </c>
      <c r="F4524" s="45" t="s">
        <v>50646</v>
      </c>
      <c r="G4524" s="45" t="s">
        <v>50584</v>
      </c>
      <c r="H4524" s="56"/>
      <c r="I4524" s="56" t="s">
        <v>50564</v>
      </c>
      <c r="J4524" s="56"/>
      <c r="K4524" s="50"/>
      <c r="L4524" s="56" t="s">
        <v>56716</v>
      </c>
    </row>
    <row r="4525" spans="1:12" s="37" customFormat="1" ht="11.25" x14ac:dyDescent="0.2">
      <c r="A4525" s="46" t="s">
        <v>15551</v>
      </c>
      <c r="B4525" s="46" t="s">
        <v>53652</v>
      </c>
      <c r="C4525" s="58" t="str">
        <f>"22106006"</f>
        <v>22106006</v>
      </c>
      <c r="D4525" s="58" t="str">
        <f>"22106014"</f>
        <v>22106014</v>
      </c>
      <c r="E4525" s="46" t="s">
        <v>155</v>
      </c>
      <c r="F4525" s="46" t="s">
        <v>50646</v>
      </c>
      <c r="G4525" s="46" t="s">
        <v>50584</v>
      </c>
      <c r="H4525" s="48" t="s">
        <v>56716</v>
      </c>
      <c r="I4525" s="48" t="s">
        <v>50564</v>
      </c>
      <c r="J4525" s="48" t="s">
        <v>56716</v>
      </c>
      <c r="K4525" s="50" t="s">
        <v>56716</v>
      </c>
      <c r="L4525" s="48" t="s">
        <v>56716</v>
      </c>
    </row>
    <row r="4526" spans="1:12" s="37" customFormat="1" ht="11.25" x14ac:dyDescent="0.2">
      <c r="A4526" s="46" t="s">
        <v>12100</v>
      </c>
      <c r="B4526" s="46" t="s">
        <v>53653</v>
      </c>
      <c r="C4526" s="58" t="str">
        <f>"16762649"</f>
        <v>16762649</v>
      </c>
      <c r="D4526" s="58" t="str">
        <f>""</f>
        <v/>
      </c>
      <c r="E4526" s="46" t="s">
        <v>12102</v>
      </c>
      <c r="F4526" s="46" t="s">
        <v>18058</v>
      </c>
      <c r="G4526" s="46" t="s">
        <v>50614</v>
      </c>
      <c r="H4526" s="48" t="s">
        <v>56716</v>
      </c>
      <c r="I4526" s="48" t="s">
        <v>50564</v>
      </c>
      <c r="J4526" s="48"/>
      <c r="K4526" s="50"/>
      <c r="L4526" s="48"/>
    </row>
    <row r="4527" spans="1:12" s="37" customFormat="1" ht="11.25" x14ac:dyDescent="0.2">
      <c r="A4527" s="46" t="s">
        <v>13429</v>
      </c>
      <c r="B4527" s="46" t="s">
        <v>53654</v>
      </c>
      <c r="C4527" s="58" t="str">
        <f>""</f>
        <v/>
      </c>
      <c r="D4527" s="58" t="str">
        <f>"18750443"</f>
        <v>18750443</v>
      </c>
      <c r="E4527" s="46" t="s">
        <v>6405</v>
      </c>
      <c r="F4527" s="46" t="s">
        <v>18001</v>
      </c>
      <c r="G4527" s="46" t="s">
        <v>50584</v>
      </c>
      <c r="H4527" s="48" t="s">
        <v>56716</v>
      </c>
      <c r="I4527" s="48" t="s">
        <v>50564</v>
      </c>
      <c r="J4527" s="48" t="s">
        <v>56716</v>
      </c>
      <c r="K4527" s="50"/>
      <c r="L4527" s="48"/>
    </row>
    <row r="4528" spans="1:12" s="37" customFormat="1" ht="11.25" x14ac:dyDescent="0.2">
      <c r="A4528" s="45" t="s">
        <v>35385</v>
      </c>
      <c r="B4528" s="45" t="s">
        <v>35387</v>
      </c>
      <c r="C4528" s="51" t="s">
        <v>35390</v>
      </c>
      <c r="D4528" s="51" t="s">
        <v>35389</v>
      </c>
      <c r="E4528" s="45" t="s">
        <v>970</v>
      </c>
      <c r="F4528" s="45" t="s">
        <v>50646</v>
      </c>
      <c r="G4528" s="45" t="s">
        <v>50584</v>
      </c>
      <c r="H4528" s="56"/>
      <c r="I4528" s="56" t="s">
        <v>50564</v>
      </c>
      <c r="J4528" s="56"/>
      <c r="K4528" s="50"/>
      <c r="L4528" s="56" t="s">
        <v>56716</v>
      </c>
    </row>
    <row r="4529" spans="1:12" s="37" customFormat="1" ht="11.25" x14ac:dyDescent="0.2">
      <c r="A4529" s="46" t="s">
        <v>8911</v>
      </c>
      <c r="B4529" s="46" t="s">
        <v>53655</v>
      </c>
      <c r="C4529" s="58" t="str">
        <f>"15332640"</f>
        <v>15332640</v>
      </c>
      <c r="D4529" s="58" t="str">
        <f>"15332659"</f>
        <v>15332659</v>
      </c>
      <c r="E4529" s="46" t="s">
        <v>689</v>
      </c>
      <c r="F4529" s="46" t="s">
        <v>17759</v>
      </c>
      <c r="G4529" s="46" t="s">
        <v>50584</v>
      </c>
      <c r="H4529" s="48" t="s">
        <v>56716</v>
      </c>
      <c r="I4529" s="48" t="s">
        <v>50564</v>
      </c>
      <c r="J4529" s="48" t="s">
        <v>56716</v>
      </c>
      <c r="K4529" s="50" t="s">
        <v>56716</v>
      </c>
      <c r="L4529" s="48" t="s">
        <v>56716</v>
      </c>
    </row>
    <row r="4530" spans="1:12" s="37" customFormat="1" ht="11.25" x14ac:dyDescent="0.2">
      <c r="A4530" s="45" t="s">
        <v>35398</v>
      </c>
      <c r="B4530" s="45" t="s">
        <v>35400</v>
      </c>
      <c r="C4530" s="51"/>
      <c r="D4530" s="51" t="s">
        <v>35401</v>
      </c>
      <c r="E4530" s="45" t="s">
        <v>23151</v>
      </c>
      <c r="F4530" s="45" t="s">
        <v>50646</v>
      </c>
      <c r="G4530" s="45" t="s">
        <v>50584</v>
      </c>
      <c r="H4530" s="56"/>
      <c r="I4530" s="56" t="s">
        <v>50564</v>
      </c>
      <c r="J4530" s="56"/>
      <c r="K4530" s="50"/>
      <c r="L4530" s="56" t="s">
        <v>56716</v>
      </c>
    </row>
    <row r="4531" spans="1:12" s="37" customFormat="1" ht="11.25" x14ac:dyDescent="0.2">
      <c r="A4531" s="46" t="s">
        <v>2561</v>
      </c>
      <c r="B4531" s="46" t="s">
        <v>53656</v>
      </c>
      <c r="C4531" s="58" t="str">
        <f>"03788741"</f>
        <v>03788741</v>
      </c>
      <c r="D4531" s="58" t="str">
        <f>"18727573"</f>
        <v>18727573</v>
      </c>
      <c r="E4531" s="46" t="s">
        <v>221</v>
      </c>
      <c r="F4531" s="46" t="s">
        <v>21771</v>
      </c>
      <c r="G4531" s="46" t="s">
        <v>50584</v>
      </c>
      <c r="H4531" s="48" t="s">
        <v>56716</v>
      </c>
      <c r="I4531" s="48" t="s">
        <v>50564</v>
      </c>
      <c r="J4531" s="48"/>
      <c r="K4531" s="50" t="s">
        <v>56716</v>
      </c>
      <c r="L4531" s="48" t="s">
        <v>56716</v>
      </c>
    </row>
    <row r="4532" spans="1:12" s="37" customFormat="1" ht="11.25" x14ac:dyDescent="0.2">
      <c r="A4532" s="46" t="s">
        <v>16773</v>
      </c>
      <c r="B4532" s="46" t="s">
        <v>53657</v>
      </c>
      <c r="C4532" s="58" t="str">
        <f>"10233857"</f>
        <v>10233857</v>
      </c>
      <c r="D4532" s="58" t="str">
        <f>""</f>
        <v/>
      </c>
      <c r="E4532" s="46" t="s">
        <v>12182</v>
      </c>
      <c r="F4532" s="46" t="s">
        <v>50651</v>
      </c>
      <c r="G4532" s="46" t="s">
        <v>50584</v>
      </c>
      <c r="H4532" s="48" t="s">
        <v>56716</v>
      </c>
      <c r="I4532" s="48" t="s">
        <v>50564</v>
      </c>
      <c r="J4532" s="48"/>
      <c r="K4532" s="50"/>
      <c r="L4532" s="48"/>
    </row>
    <row r="4533" spans="1:12" s="37" customFormat="1" ht="11.25" x14ac:dyDescent="0.2">
      <c r="A4533" s="46" t="s">
        <v>7557</v>
      </c>
      <c r="B4533" s="46" t="s">
        <v>53658</v>
      </c>
      <c r="C4533" s="58" t="str">
        <f>"13561294"</f>
        <v>13561294</v>
      </c>
      <c r="D4533" s="58" t="str">
        <f>"13652753"</f>
        <v>13652753</v>
      </c>
      <c r="E4533" s="46" t="s">
        <v>35</v>
      </c>
      <c r="F4533" s="46" t="s">
        <v>50646</v>
      </c>
      <c r="G4533" s="46" t="s">
        <v>50584</v>
      </c>
      <c r="H4533" s="48" t="s">
        <v>56716</v>
      </c>
      <c r="I4533" s="48" t="s">
        <v>50564</v>
      </c>
      <c r="J4533" s="48" t="s">
        <v>56716</v>
      </c>
      <c r="K4533" s="50" t="s">
        <v>56716</v>
      </c>
      <c r="L4533" s="48" t="s">
        <v>56716</v>
      </c>
    </row>
    <row r="4534" spans="1:12" s="37" customFormat="1" ht="11.25" x14ac:dyDescent="0.2">
      <c r="A4534" s="45" t="s">
        <v>56605</v>
      </c>
      <c r="B4534" s="45" t="s">
        <v>50454</v>
      </c>
      <c r="C4534" s="51" t="s">
        <v>50457</v>
      </c>
      <c r="D4534" s="51" t="s">
        <v>50456</v>
      </c>
      <c r="E4534" s="45" t="s">
        <v>19447</v>
      </c>
      <c r="F4534" s="45" t="s">
        <v>17759</v>
      </c>
      <c r="G4534" s="45" t="s">
        <v>50584</v>
      </c>
      <c r="H4534" s="56"/>
      <c r="I4534" s="56" t="s">
        <v>50564</v>
      </c>
      <c r="J4534" s="56"/>
      <c r="K4534" s="50"/>
      <c r="L4534" s="56" t="s">
        <v>56716</v>
      </c>
    </row>
    <row r="4535" spans="1:12" s="37" customFormat="1" ht="11.25" x14ac:dyDescent="0.2">
      <c r="A4535" s="46" t="s">
        <v>13911</v>
      </c>
      <c r="B4535" s="46" t="s">
        <v>53659</v>
      </c>
      <c r="C4535" s="58" t="str">
        <f>"17565383"</f>
        <v>17565383</v>
      </c>
      <c r="D4535" s="58" t="str">
        <f>"17565391"</f>
        <v>17565391</v>
      </c>
      <c r="E4535" s="46" t="s">
        <v>296</v>
      </c>
      <c r="F4535" s="46" t="s">
        <v>20082</v>
      </c>
      <c r="G4535" s="46" t="s">
        <v>50584</v>
      </c>
      <c r="H4535" s="48" t="s">
        <v>56716</v>
      </c>
      <c r="I4535" s="48" t="s">
        <v>50564</v>
      </c>
      <c r="J4535" s="48" t="s">
        <v>56716</v>
      </c>
      <c r="K4535" s="50"/>
      <c r="L4535" s="48" t="s">
        <v>56716</v>
      </c>
    </row>
    <row r="4536" spans="1:12" s="37" customFormat="1" ht="11.25" x14ac:dyDescent="0.2">
      <c r="A4536" s="45" t="s">
        <v>35433</v>
      </c>
      <c r="B4536" s="45" t="s">
        <v>35435</v>
      </c>
      <c r="C4536" s="51" t="s">
        <v>35437</v>
      </c>
      <c r="D4536" s="51" t="s">
        <v>35436</v>
      </c>
      <c r="E4536" s="45" t="s">
        <v>689</v>
      </c>
      <c r="F4536" s="45" t="s">
        <v>17759</v>
      </c>
      <c r="G4536" s="45" t="s">
        <v>50584</v>
      </c>
      <c r="H4536" s="56"/>
      <c r="I4536" s="56" t="s">
        <v>50564</v>
      </c>
      <c r="J4536" s="56"/>
      <c r="K4536" s="50"/>
      <c r="L4536" s="56" t="s">
        <v>56716</v>
      </c>
    </row>
    <row r="4537" spans="1:12" s="37" customFormat="1" ht="11.25" x14ac:dyDescent="0.2">
      <c r="A4537" s="45" t="s">
        <v>35440</v>
      </c>
      <c r="B4537" s="45" t="s">
        <v>35442</v>
      </c>
      <c r="C4537" s="51" t="s">
        <v>35444</v>
      </c>
      <c r="D4537" s="51" t="s">
        <v>35443</v>
      </c>
      <c r="E4537" s="45" t="s">
        <v>22893</v>
      </c>
      <c r="F4537" s="45" t="s">
        <v>18123</v>
      </c>
      <c r="G4537" s="45" t="s">
        <v>50584</v>
      </c>
      <c r="H4537" s="56"/>
      <c r="I4537" s="56" t="s">
        <v>50564</v>
      </c>
      <c r="J4537" s="56"/>
      <c r="K4537" s="50"/>
      <c r="L4537" s="56" t="s">
        <v>56716</v>
      </c>
    </row>
    <row r="4538" spans="1:12" s="37" customFormat="1" ht="11.25" x14ac:dyDescent="0.2">
      <c r="A4538" s="46" t="s">
        <v>14967</v>
      </c>
      <c r="B4538" s="46" t="s">
        <v>53660</v>
      </c>
      <c r="C4538" s="58" t="str">
        <f>""</f>
        <v/>
      </c>
      <c r="D4538" s="58" t="str">
        <f>"21502668"</f>
        <v>21502668</v>
      </c>
      <c r="E4538" s="46" t="s">
        <v>14969</v>
      </c>
      <c r="F4538" s="46" t="s">
        <v>17759</v>
      </c>
      <c r="G4538" s="46" t="s">
        <v>50584</v>
      </c>
      <c r="H4538" s="48" t="s">
        <v>56716</v>
      </c>
      <c r="I4538" s="48" t="s">
        <v>50564</v>
      </c>
      <c r="J4538" s="48"/>
      <c r="K4538" s="50"/>
      <c r="L4538" s="48"/>
    </row>
    <row r="4539" spans="1:12" s="37" customFormat="1" ht="11.25" x14ac:dyDescent="0.2">
      <c r="A4539" s="46" t="s">
        <v>10690</v>
      </c>
      <c r="B4539" s="46" t="s">
        <v>53661</v>
      </c>
      <c r="C4539" s="58" t="str">
        <f>"17431050"</f>
        <v>17431050</v>
      </c>
      <c r="D4539" s="58" t="str">
        <f>""</f>
        <v/>
      </c>
      <c r="E4539" s="46" t="s">
        <v>10692</v>
      </c>
      <c r="F4539" s="46" t="s">
        <v>21771</v>
      </c>
      <c r="G4539" s="46" t="s">
        <v>50584</v>
      </c>
      <c r="H4539" s="48" t="s">
        <v>56716</v>
      </c>
      <c r="I4539" s="48" t="s">
        <v>50564</v>
      </c>
      <c r="J4539" s="48"/>
      <c r="K4539" s="50"/>
      <c r="L4539" s="48"/>
    </row>
    <row r="4540" spans="1:12" s="37" customFormat="1" ht="11.25" x14ac:dyDescent="0.2">
      <c r="A4540" s="46" t="s">
        <v>2297</v>
      </c>
      <c r="B4540" s="46" t="s">
        <v>53662</v>
      </c>
      <c r="C4540" s="58" t="str">
        <f>""</f>
        <v/>
      </c>
      <c r="D4540" s="58" t="str">
        <f>"17569966"</f>
        <v>17569966</v>
      </c>
      <c r="E4540" s="46" t="s">
        <v>2299</v>
      </c>
      <c r="F4540" s="46" t="s">
        <v>50646</v>
      </c>
      <c r="G4540" s="46" t="s">
        <v>50584</v>
      </c>
      <c r="H4540" s="48" t="s">
        <v>56716</v>
      </c>
      <c r="I4540" s="48" t="s">
        <v>50564</v>
      </c>
      <c r="J4540" s="48" t="s">
        <v>56716</v>
      </c>
      <c r="K4540" s="50" t="s">
        <v>56716</v>
      </c>
      <c r="L4540" s="48" t="s">
        <v>56716</v>
      </c>
    </row>
    <row r="4541" spans="1:12" s="37" customFormat="1" ht="11.25" x14ac:dyDescent="0.2">
      <c r="A4541" s="46" t="s">
        <v>50685</v>
      </c>
      <c r="B4541" s="46" t="s">
        <v>53663</v>
      </c>
      <c r="C4541" s="58" t="str">
        <f>"18783317"</f>
        <v>18783317</v>
      </c>
      <c r="D4541" s="58" t="str">
        <f>"18783325"</f>
        <v>18783325</v>
      </c>
      <c r="E4541" s="46" t="s">
        <v>6113</v>
      </c>
      <c r="F4541" s="46" t="s">
        <v>50654</v>
      </c>
      <c r="G4541" s="46" t="s">
        <v>50584</v>
      </c>
      <c r="H4541" s="48" t="s">
        <v>56716</v>
      </c>
      <c r="I4541" s="48" t="s">
        <v>50564</v>
      </c>
      <c r="J4541" s="48" t="s">
        <v>56716</v>
      </c>
      <c r="K4541" s="50"/>
      <c r="L4541" s="48"/>
    </row>
    <row r="4542" spans="1:12" s="37" customFormat="1" ht="11.25" x14ac:dyDescent="0.2">
      <c r="A4542" s="46" t="s">
        <v>16948</v>
      </c>
      <c r="B4542" s="46" t="s">
        <v>53663</v>
      </c>
      <c r="C4542" s="58" t="str">
        <f>"13094483"</f>
        <v>13094483</v>
      </c>
      <c r="D4542" s="58" t="str">
        <f>""</f>
        <v/>
      </c>
      <c r="E4542" s="46" t="s">
        <v>16950</v>
      </c>
      <c r="F4542" s="46" t="s">
        <v>18396</v>
      </c>
      <c r="G4542" s="46" t="s">
        <v>50638</v>
      </c>
      <c r="H4542" s="48" t="s">
        <v>56716</v>
      </c>
      <c r="I4542" s="48" t="s">
        <v>50564</v>
      </c>
      <c r="J4542" s="48"/>
      <c r="K4542" s="50"/>
      <c r="L4542" s="48"/>
    </row>
    <row r="4543" spans="1:12" s="37" customFormat="1" ht="11.25" x14ac:dyDescent="0.2">
      <c r="A4543" s="46" t="s">
        <v>16921</v>
      </c>
      <c r="B4543" s="46" t="s">
        <v>53664</v>
      </c>
      <c r="C4543" s="58" t="str">
        <f>"13094572"</f>
        <v>13094572</v>
      </c>
      <c r="D4543" s="58" t="str">
        <f>"21463298"</f>
        <v>21463298</v>
      </c>
      <c r="E4543" s="46" t="s">
        <v>16924</v>
      </c>
      <c r="F4543" s="46" t="s">
        <v>18396</v>
      </c>
      <c r="G4543" s="46" t="s">
        <v>50584</v>
      </c>
      <c r="H4543" s="48" t="s">
        <v>56716</v>
      </c>
      <c r="I4543" s="48" t="s">
        <v>50564</v>
      </c>
      <c r="J4543" s="48"/>
      <c r="K4543" s="50"/>
      <c r="L4543" s="48"/>
    </row>
    <row r="4544" spans="1:12" s="37" customFormat="1" ht="11.25" x14ac:dyDescent="0.2">
      <c r="A4544" s="45" t="s">
        <v>35459</v>
      </c>
      <c r="B4544" s="45" t="s">
        <v>35461</v>
      </c>
      <c r="C4544" s="51" t="s">
        <v>35464</v>
      </c>
      <c r="D4544" s="51" t="s">
        <v>35463</v>
      </c>
      <c r="E4544" s="45" t="s">
        <v>55</v>
      </c>
      <c r="F4544" s="45" t="s">
        <v>50646</v>
      </c>
      <c r="G4544" s="45" t="s">
        <v>50584</v>
      </c>
      <c r="H4544" s="56"/>
      <c r="I4544" s="56" t="s">
        <v>50564</v>
      </c>
      <c r="J4544" s="56"/>
      <c r="K4544" s="50"/>
      <c r="L4544" s="56" t="s">
        <v>56716</v>
      </c>
    </row>
    <row r="4545" spans="1:12" s="37" customFormat="1" ht="11.25" x14ac:dyDescent="0.2">
      <c r="A4545" s="45" t="s">
        <v>35467</v>
      </c>
      <c r="B4545" s="45" t="s">
        <v>35469</v>
      </c>
      <c r="C4545" s="51" t="s">
        <v>35471</v>
      </c>
      <c r="D4545" s="51" t="s">
        <v>35470</v>
      </c>
      <c r="E4545" s="45" t="s">
        <v>601</v>
      </c>
      <c r="F4545" s="45" t="s">
        <v>17759</v>
      </c>
      <c r="G4545" s="45" t="s">
        <v>50584</v>
      </c>
      <c r="H4545" s="56"/>
      <c r="I4545" s="56" t="s">
        <v>50564</v>
      </c>
      <c r="J4545" s="56"/>
      <c r="K4545" s="50"/>
      <c r="L4545" s="56" t="s">
        <v>56716</v>
      </c>
    </row>
    <row r="4546" spans="1:12" s="37" customFormat="1" ht="11.25" x14ac:dyDescent="0.2">
      <c r="A4546" s="46" t="s">
        <v>2305</v>
      </c>
      <c r="B4546" s="46" t="s">
        <v>53665</v>
      </c>
      <c r="C4546" s="58" t="str">
        <f>"00221007"</f>
        <v>00221007</v>
      </c>
      <c r="D4546" s="58" t="str">
        <f>"15409538"</f>
        <v>15409538</v>
      </c>
      <c r="E4546" s="46" t="s">
        <v>2225</v>
      </c>
      <c r="F4546" s="46" t="s">
        <v>17759</v>
      </c>
      <c r="G4546" s="46" t="s">
        <v>50584</v>
      </c>
      <c r="H4546" s="48" t="s">
        <v>56716</v>
      </c>
      <c r="I4546" s="48" t="s">
        <v>50564</v>
      </c>
      <c r="J4546" s="48" t="s">
        <v>56716</v>
      </c>
      <c r="K4546" s="50"/>
      <c r="L4546" s="48" t="s">
        <v>56716</v>
      </c>
    </row>
    <row r="4547" spans="1:12" s="37" customFormat="1" ht="11.25" x14ac:dyDescent="0.2">
      <c r="A4547" s="46" t="s">
        <v>11902</v>
      </c>
      <c r="B4547" s="46" t="s">
        <v>53666</v>
      </c>
      <c r="C4547" s="58" t="str">
        <f>"17458080"</f>
        <v>17458080</v>
      </c>
      <c r="D4547" s="58" t="str">
        <f>"17458099"</f>
        <v>17458099</v>
      </c>
      <c r="E4547" s="46" t="s">
        <v>310</v>
      </c>
      <c r="F4547" s="46" t="s">
        <v>50646</v>
      </c>
      <c r="G4547" s="46" t="s">
        <v>50584</v>
      </c>
      <c r="H4547" s="48" t="s">
        <v>56716</v>
      </c>
      <c r="I4547" s="48" t="s">
        <v>50564</v>
      </c>
      <c r="J4547" s="48" t="s">
        <v>56716</v>
      </c>
      <c r="K4547" s="50" t="s">
        <v>56716</v>
      </c>
      <c r="L4547" s="48"/>
    </row>
    <row r="4548" spans="1:12" s="37" customFormat="1" ht="11.25" x14ac:dyDescent="0.2">
      <c r="A4548" s="46" t="s">
        <v>15928</v>
      </c>
      <c r="B4548" s="46" t="s">
        <v>53667</v>
      </c>
      <c r="C4548" s="58" t="str">
        <f>""</f>
        <v/>
      </c>
      <c r="D4548" s="58" t="str">
        <f>"11790695"</f>
        <v>11790695</v>
      </c>
      <c r="E4548" s="46" t="s">
        <v>11251</v>
      </c>
      <c r="F4548" s="46" t="s">
        <v>19483</v>
      </c>
      <c r="G4548" s="46" t="s">
        <v>50584</v>
      </c>
      <c r="H4548" s="48" t="s">
        <v>56716</v>
      </c>
      <c r="I4548" s="48" t="s">
        <v>50564</v>
      </c>
      <c r="J4548" s="48"/>
      <c r="K4548" s="50"/>
      <c r="L4548" s="48"/>
    </row>
    <row r="4549" spans="1:12" s="37" customFormat="1" ht="11.25" x14ac:dyDescent="0.2">
      <c r="A4549" s="46" t="s">
        <v>16690</v>
      </c>
      <c r="B4549" s="46" t="s">
        <v>53668</v>
      </c>
      <c r="C4549" s="58" t="str">
        <f>""</f>
        <v/>
      </c>
      <c r="D4549" s="58" t="str">
        <f>"11791454"</f>
        <v>11791454</v>
      </c>
      <c r="E4549" s="46" t="s">
        <v>11079</v>
      </c>
      <c r="F4549" s="46" t="s">
        <v>19483</v>
      </c>
      <c r="G4549" s="46" t="s">
        <v>50584</v>
      </c>
      <c r="H4549" s="48" t="s">
        <v>56716</v>
      </c>
      <c r="I4549" s="48" t="s">
        <v>50564</v>
      </c>
      <c r="J4549" s="48" t="s">
        <v>56716</v>
      </c>
      <c r="K4549" s="50"/>
      <c r="L4549" s="48"/>
    </row>
    <row r="4550" spans="1:12" s="37" customFormat="1" ht="11.25" x14ac:dyDescent="0.2">
      <c r="A4550" s="45" t="s">
        <v>56606</v>
      </c>
      <c r="B4550" s="45" t="s">
        <v>56607</v>
      </c>
      <c r="C4550" s="51" t="s">
        <v>56608</v>
      </c>
      <c r="D4550" s="51" t="s">
        <v>56609</v>
      </c>
      <c r="E4550" s="45" t="s">
        <v>19767</v>
      </c>
      <c r="F4550" s="45" t="s">
        <v>17759</v>
      </c>
      <c r="G4550" s="45" t="s">
        <v>50584</v>
      </c>
      <c r="H4550" s="56"/>
      <c r="I4550" s="56" t="s">
        <v>50564</v>
      </c>
      <c r="J4550" s="56"/>
      <c r="K4550" s="50"/>
      <c r="L4550" s="56" t="s">
        <v>56716</v>
      </c>
    </row>
    <row r="4551" spans="1:12" s="37" customFormat="1" ht="11.25" x14ac:dyDescent="0.2">
      <c r="A4551" s="45" t="s">
        <v>35486</v>
      </c>
      <c r="B4551" s="45" t="s">
        <v>35488</v>
      </c>
      <c r="C4551" s="51" t="s">
        <v>35490</v>
      </c>
      <c r="D4551" s="51" t="s">
        <v>35489</v>
      </c>
      <c r="E4551" s="45" t="s">
        <v>19767</v>
      </c>
      <c r="F4551" s="45" t="s">
        <v>17759</v>
      </c>
      <c r="G4551" s="45" t="s">
        <v>50584</v>
      </c>
      <c r="H4551" s="56"/>
      <c r="I4551" s="56" t="s">
        <v>50564</v>
      </c>
      <c r="J4551" s="56"/>
      <c r="K4551" s="50"/>
      <c r="L4551" s="56" t="s">
        <v>56716</v>
      </c>
    </row>
    <row r="4552" spans="1:12" s="37" customFormat="1" ht="11.25" x14ac:dyDescent="0.2">
      <c r="A4552" s="45" t="s">
        <v>35492</v>
      </c>
      <c r="B4552" s="45" t="s">
        <v>35494</v>
      </c>
      <c r="C4552" s="51" t="s">
        <v>35497</v>
      </c>
      <c r="D4552" s="51" t="s">
        <v>35496</v>
      </c>
      <c r="E4552" s="45" t="s">
        <v>34969</v>
      </c>
      <c r="F4552" s="45" t="s">
        <v>17759</v>
      </c>
      <c r="G4552" s="45" t="s">
        <v>50584</v>
      </c>
      <c r="H4552" s="56"/>
      <c r="I4552" s="56" t="s">
        <v>50564</v>
      </c>
      <c r="J4552" s="56"/>
      <c r="K4552" s="50"/>
      <c r="L4552" s="56" t="s">
        <v>56716</v>
      </c>
    </row>
    <row r="4553" spans="1:12" s="37" customFormat="1" ht="11.25" x14ac:dyDescent="0.2">
      <c r="A4553" s="45" t="s">
        <v>35500</v>
      </c>
      <c r="B4553" s="45" t="s">
        <v>35502</v>
      </c>
      <c r="C4553" s="51" t="s">
        <v>35504</v>
      </c>
      <c r="D4553" s="51" t="s">
        <v>35503</v>
      </c>
      <c r="E4553" s="45" t="s">
        <v>34969</v>
      </c>
      <c r="F4553" s="45" t="s">
        <v>17759</v>
      </c>
      <c r="G4553" s="45" t="s">
        <v>50584</v>
      </c>
      <c r="H4553" s="56"/>
      <c r="I4553" s="56" t="s">
        <v>50564</v>
      </c>
      <c r="J4553" s="56"/>
      <c r="K4553" s="50"/>
      <c r="L4553" s="56" t="s">
        <v>56716</v>
      </c>
    </row>
    <row r="4554" spans="1:12" s="37" customFormat="1" ht="11.25" x14ac:dyDescent="0.2">
      <c r="A4554" s="45" t="s">
        <v>35506</v>
      </c>
      <c r="B4554" s="45" t="s">
        <v>35508</v>
      </c>
      <c r="C4554" s="51" t="s">
        <v>35511</v>
      </c>
      <c r="D4554" s="51" t="s">
        <v>35510</v>
      </c>
      <c r="E4554" s="45" t="s">
        <v>19767</v>
      </c>
      <c r="F4554" s="45" t="s">
        <v>17759</v>
      </c>
      <c r="G4554" s="45" t="s">
        <v>50584</v>
      </c>
      <c r="H4554" s="56"/>
      <c r="I4554" s="56" t="s">
        <v>50564</v>
      </c>
      <c r="J4554" s="56"/>
      <c r="K4554" s="50"/>
      <c r="L4554" s="56" t="s">
        <v>56716</v>
      </c>
    </row>
    <row r="4555" spans="1:12" s="37" customFormat="1" ht="11.25" x14ac:dyDescent="0.2">
      <c r="A4555" s="46" t="s">
        <v>14453</v>
      </c>
      <c r="B4555" s="46" t="s">
        <v>53669</v>
      </c>
      <c r="C4555" s="58" t="str">
        <f>"1939067X"</f>
        <v>1939067X</v>
      </c>
      <c r="D4555" s="58" t="str">
        <f>"1939067X"</f>
        <v>1939067X</v>
      </c>
      <c r="E4555" s="46" t="s">
        <v>14455</v>
      </c>
      <c r="F4555" s="46" t="s">
        <v>17759</v>
      </c>
      <c r="G4555" s="46" t="s">
        <v>50584</v>
      </c>
      <c r="H4555" s="48" t="s">
        <v>56716</v>
      </c>
      <c r="I4555" s="48" t="s">
        <v>50564</v>
      </c>
      <c r="J4555" s="48"/>
      <c r="K4555" s="50"/>
      <c r="L4555" s="48"/>
    </row>
    <row r="4556" spans="1:12" s="37" customFormat="1" ht="11.25" x14ac:dyDescent="0.2">
      <c r="A4556" s="46" t="s">
        <v>7062</v>
      </c>
      <c r="B4556" s="46" t="s">
        <v>53670</v>
      </c>
      <c r="C4556" s="58" t="str">
        <f>"13594117"</f>
        <v>13594117</v>
      </c>
      <c r="D4556" s="58" t="str">
        <f>""</f>
        <v/>
      </c>
      <c r="E4556" s="46" t="s">
        <v>7064</v>
      </c>
      <c r="F4556" s="46" t="s">
        <v>17759</v>
      </c>
      <c r="G4556" s="46" t="s">
        <v>50584</v>
      </c>
      <c r="H4556" s="48" t="s">
        <v>56716</v>
      </c>
      <c r="I4556" s="48" t="s">
        <v>50564</v>
      </c>
      <c r="J4556" s="48" t="s">
        <v>56716</v>
      </c>
      <c r="K4556" s="50"/>
      <c r="L4556" s="48" t="s">
        <v>56716</v>
      </c>
    </row>
    <row r="4557" spans="1:12" s="37" customFormat="1" ht="11.25" x14ac:dyDescent="0.2">
      <c r="A4557" s="45" t="s">
        <v>35519</v>
      </c>
      <c r="B4557" s="45" t="s">
        <v>35521</v>
      </c>
      <c r="C4557" s="51" t="s">
        <v>35524</v>
      </c>
      <c r="D4557" s="51" t="s">
        <v>35523</v>
      </c>
      <c r="E4557" s="45" t="s">
        <v>21960</v>
      </c>
      <c r="F4557" s="45" t="s">
        <v>17759</v>
      </c>
      <c r="G4557" s="45" t="s">
        <v>50584</v>
      </c>
      <c r="H4557" s="56"/>
      <c r="I4557" s="56" t="s">
        <v>50564</v>
      </c>
      <c r="J4557" s="56"/>
      <c r="K4557" s="50"/>
      <c r="L4557" s="56" t="s">
        <v>56716</v>
      </c>
    </row>
    <row r="4558" spans="1:12" s="37" customFormat="1" ht="11.25" x14ac:dyDescent="0.2">
      <c r="A4558" s="45" t="s">
        <v>35527</v>
      </c>
      <c r="B4558" s="45" t="s">
        <v>35529</v>
      </c>
      <c r="C4558" s="51" t="s">
        <v>35532</v>
      </c>
      <c r="D4558" s="51" t="s">
        <v>35531</v>
      </c>
      <c r="E4558" s="45" t="s">
        <v>19094</v>
      </c>
      <c r="F4558" s="45" t="s">
        <v>17759</v>
      </c>
      <c r="G4558" s="45" t="s">
        <v>50584</v>
      </c>
      <c r="H4558" s="56"/>
      <c r="I4558" s="56" t="s">
        <v>50564</v>
      </c>
      <c r="J4558" s="56"/>
      <c r="K4558" s="50"/>
      <c r="L4558" s="56" t="s">
        <v>56716</v>
      </c>
    </row>
    <row r="4559" spans="1:12" s="37" customFormat="1" ht="11.25" x14ac:dyDescent="0.2">
      <c r="A4559" s="45" t="s">
        <v>35534</v>
      </c>
      <c r="B4559" s="45" t="s">
        <v>35536</v>
      </c>
      <c r="C4559" s="51" t="s">
        <v>35539</v>
      </c>
      <c r="D4559" s="51" t="s">
        <v>35538</v>
      </c>
      <c r="E4559" s="45" t="s">
        <v>19584</v>
      </c>
      <c r="F4559" s="45" t="s">
        <v>17759</v>
      </c>
      <c r="G4559" s="45" t="s">
        <v>50584</v>
      </c>
      <c r="H4559" s="56"/>
      <c r="I4559" s="56" t="s">
        <v>50564</v>
      </c>
      <c r="J4559" s="56"/>
      <c r="K4559" s="50"/>
      <c r="L4559" s="56" t="s">
        <v>56716</v>
      </c>
    </row>
    <row r="4560" spans="1:12" s="37" customFormat="1" ht="11.25" x14ac:dyDescent="0.2">
      <c r="A4560" s="46" t="s">
        <v>16848</v>
      </c>
      <c r="B4560" s="46" t="s">
        <v>53671</v>
      </c>
      <c r="C4560" s="58" t="str">
        <f>""</f>
        <v/>
      </c>
      <c r="D4560" s="58" t="str">
        <f>"20013078"</f>
        <v>20013078</v>
      </c>
      <c r="E4560" s="46" t="s">
        <v>12818</v>
      </c>
      <c r="F4560" s="46" t="s">
        <v>18130</v>
      </c>
      <c r="G4560" s="46" t="s">
        <v>50584</v>
      </c>
      <c r="H4560" s="48" t="s">
        <v>56716</v>
      </c>
      <c r="I4560" s="48" t="s">
        <v>50564</v>
      </c>
      <c r="J4560" s="48"/>
      <c r="K4560" s="50"/>
      <c r="L4560" s="48"/>
    </row>
    <row r="4561" spans="1:12" s="37" customFormat="1" ht="11.25" x14ac:dyDescent="0.2">
      <c r="A4561" s="46" t="s">
        <v>2323</v>
      </c>
      <c r="B4561" s="46" t="s">
        <v>53672</v>
      </c>
      <c r="C4561" s="58" t="str">
        <f>"00221058"</f>
        <v>00221058</v>
      </c>
      <c r="D4561" s="58" t="str">
        <f>""</f>
        <v/>
      </c>
      <c r="E4561" s="46" t="s">
        <v>2325</v>
      </c>
      <c r="F4561" s="46" t="s">
        <v>17759</v>
      </c>
      <c r="G4561" s="46" t="s">
        <v>50584</v>
      </c>
      <c r="H4561" s="48" t="s">
        <v>56716</v>
      </c>
      <c r="I4561" s="48" t="s">
        <v>50564</v>
      </c>
      <c r="J4561" s="48"/>
      <c r="K4561" s="50"/>
      <c r="L4561" s="48" t="s">
        <v>56716</v>
      </c>
    </row>
    <row r="4562" spans="1:12" s="37" customFormat="1" ht="11.25" x14ac:dyDescent="0.2">
      <c r="A4562" s="46" t="s">
        <v>7071</v>
      </c>
      <c r="B4562" s="46" t="s">
        <v>53673</v>
      </c>
      <c r="C4562" s="58" t="str">
        <f>"10821821"</f>
        <v>10821821</v>
      </c>
      <c r="D4562" s="58" t="str">
        <f>""</f>
        <v/>
      </c>
      <c r="E4562" s="46" t="s">
        <v>7073</v>
      </c>
      <c r="F4562" s="46" t="s">
        <v>17759</v>
      </c>
      <c r="G4562" s="46" t="s">
        <v>50584</v>
      </c>
      <c r="H4562" s="48" t="s">
        <v>56716</v>
      </c>
      <c r="I4562" s="48" t="s">
        <v>50564</v>
      </c>
      <c r="J4562" s="48"/>
      <c r="K4562" s="50"/>
      <c r="L4562" s="48"/>
    </row>
    <row r="4563" spans="1:12" s="37" customFormat="1" ht="11.25" x14ac:dyDescent="0.2">
      <c r="A4563" s="46" t="s">
        <v>17358</v>
      </c>
      <c r="B4563" s="46" t="s">
        <v>53674</v>
      </c>
      <c r="C4563" s="58" t="str">
        <f>"17358949"</f>
        <v>17358949</v>
      </c>
      <c r="D4563" s="58" t="str">
        <f>"17359392"</f>
        <v>17359392</v>
      </c>
      <c r="E4563" s="46" t="s">
        <v>12243</v>
      </c>
      <c r="F4563" s="46" t="s">
        <v>18232</v>
      </c>
      <c r="G4563" s="46" t="s">
        <v>50584</v>
      </c>
      <c r="H4563" s="48" t="s">
        <v>56716</v>
      </c>
      <c r="I4563" s="48" t="s">
        <v>50564</v>
      </c>
      <c r="J4563" s="48"/>
      <c r="K4563" s="50"/>
      <c r="L4563" s="48"/>
    </row>
    <row r="4564" spans="1:12" s="37" customFormat="1" ht="11.25" x14ac:dyDescent="0.2">
      <c r="A4564" s="45" t="s">
        <v>35556</v>
      </c>
      <c r="B4564" s="45" t="s">
        <v>35558</v>
      </c>
      <c r="C4564" s="51" t="s">
        <v>35560</v>
      </c>
      <c r="D4564" s="51" t="s">
        <v>35559</v>
      </c>
      <c r="E4564" s="45" t="s">
        <v>19447</v>
      </c>
      <c r="F4564" s="45" t="s">
        <v>17759</v>
      </c>
      <c r="G4564" s="45" t="s">
        <v>50584</v>
      </c>
      <c r="H4564" s="56"/>
      <c r="I4564" s="56" t="s">
        <v>50564</v>
      </c>
      <c r="J4564" s="56"/>
      <c r="K4564" s="50"/>
      <c r="L4564" s="56" t="s">
        <v>56716</v>
      </c>
    </row>
    <row r="4565" spans="1:12" s="37" customFormat="1" ht="11.25" x14ac:dyDescent="0.2">
      <c r="A4565" s="46" t="s">
        <v>8982</v>
      </c>
      <c r="B4565" s="46" t="s">
        <v>53675</v>
      </c>
      <c r="C4565" s="58" t="str">
        <f>"14711893"</f>
        <v>14711893</v>
      </c>
      <c r="D4565" s="58" t="str">
        <f>""</f>
        <v/>
      </c>
      <c r="E4565" s="46" t="s">
        <v>8984</v>
      </c>
      <c r="F4565" s="46" t="s">
        <v>50646</v>
      </c>
      <c r="G4565" s="46" t="s">
        <v>50584</v>
      </c>
      <c r="H4565" s="48" t="s">
        <v>56716</v>
      </c>
      <c r="I4565" s="48" t="s">
        <v>50564</v>
      </c>
      <c r="J4565" s="48"/>
      <c r="K4565" s="50"/>
      <c r="L4565" s="48" t="s">
        <v>56716</v>
      </c>
    </row>
    <row r="4566" spans="1:12" s="37" customFormat="1" ht="11.25" x14ac:dyDescent="0.2">
      <c r="A4566" s="46" t="s">
        <v>2327</v>
      </c>
      <c r="B4566" s="46" t="s">
        <v>53676</v>
      </c>
      <c r="C4566" s="58" t="str">
        <f>"00943509"</f>
        <v>00943509</v>
      </c>
      <c r="D4566" s="58" t="str">
        <f>"15337294"</f>
        <v>15337294</v>
      </c>
      <c r="E4566" s="46" t="s">
        <v>2330</v>
      </c>
      <c r="F4566" s="46" t="s">
        <v>17759</v>
      </c>
      <c r="G4566" s="46" t="s">
        <v>50584</v>
      </c>
      <c r="H4566" s="48" t="s">
        <v>56716</v>
      </c>
      <c r="I4566" s="48" t="s">
        <v>50564</v>
      </c>
      <c r="J4566" s="48"/>
      <c r="K4566" s="50"/>
      <c r="L4566" s="48" t="s">
        <v>56716</v>
      </c>
    </row>
    <row r="4567" spans="1:12" s="37" customFormat="1" ht="11.25" x14ac:dyDescent="0.2">
      <c r="A4567" s="45" t="s">
        <v>35573</v>
      </c>
      <c r="B4567" s="45" t="s">
        <v>35575</v>
      </c>
      <c r="C4567" s="51" t="s">
        <v>35577</v>
      </c>
      <c r="D4567" s="51" t="s">
        <v>35576</v>
      </c>
      <c r="E4567" s="45" t="s">
        <v>19767</v>
      </c>
      <c r="F4567" s="45" t="s">
        <v>17759</v>
      </c>
      <c r="G4567" s="45" t="s">
        <v>50584</v>
      </c>
      <c r="H4567" s="56"/>
      <c r="I4567" s="56" t="s">
        <v>50564</v>
      </c>
      <c r="J4567" s="56"/>
      <c r="K4567" s="50"/>
      <c r="L4567" s="56" t="s">
        <v>56716</v>
      </c>
    </row>
    <row r="4568" spans="1:12" s="37" customFormat="1" ht="11.25" x14ac:dyDescent="0.2">
      <c r="A4568" s="46" t="s">
        <v>5219</v>
      </c>
      <c r="B4568" s="46" t="s">
        <v>53677</v>
      </c>
      <c r="C4568" s="58" t="str">
        <f>"08975353"</f>
        <v>08975353</v>
      </c>
      <c r="D4568" s="58" t="str">
        <f>"15404080"</f>
        <v>15404080</v>
      </c>
      <c r="E4568" s="46" t="s">
        <v>689</v>
      </c>
      <c r="F4568" s="46" t="s">
        <v>17759</v>
      </c>
      <c r="G4568" s="46" t="s">
        <v>50584</v>
      </c>
      <c r="H4568" s="48" t="s">
        <v>56716</v>
      </c>
      <c r="I4568" s="48" t="s">
        <v>50564</v>
      </c>
      <c r="J4568" s="48"/>
      <c r="K4568" s="50"/>
      <c r="L4568" s="48"/>
    </row>
    <row r="4569" spans="1:12" s="37" customFormat="1" ht="11.25" x14ac:dyDescent="0.2">
      <c r="A4569" s="45" t="s">
        <v>35579</v>
      </c>
      <c r="B4569" s="45" t="s">
        <v>35581</v>
      </c>
      <c r="C4569" s="51" t="s">
        <v>35583</v>
      </c>
      <c r="D4569" s="51" t="s">
        <v>35582</v>
      </c>
      <c r="E4569" s="45" t="s">
        <v>18520</v>
      </c>
      <c r="F4569" s="45" t="s">
        <v>50646</v>
      </c>
      <c r="G4569" s="45" t="s">
        <v>50584</v>
      </c>
      <c r="H4569" s="56"/>
      <c r="I4569" s="56" t="s">
        <v>50564</v>
      </c>
      <c r="J4569" s="56"/>
      <c r="K4569" s="50"/>
      <c r="L4569" s="56" t="s">
        <v>56716</v>
      </c>
    </row>
    <row r="4570" spans="1:12" s="37" customFormat="1" ht="11.25" x14ac:dyDescent="0.2">
      <c r="A4570" s="45" t="s">
        <v>35585</v>
      </c>
      <c r="B4570" s="45" t="s">
        <v>35587</v>
      </c>
      <c r="C4570" s="51" t="s">
        <v>35589</v>
      </c>
      <c r="D4570" s="51" t="s">
        <v>35588</v>
      </c>
      <c r="E4570" s="45" t="s">
        <v>296</v>
      </c>
      <c r="F4570" s="45" t="s">
        <v>50646</v>
      </c>
      <c r="G4570" s="45" t="s">
        <v>50584</v>
      </c>
      <c r="H4570" s="56"/>
      <c r="I4570" s="56" t="s">
        <v>50564</v>
      </c>
      <c r="J4570" s="56"/>
      <c r="K4570" s="50"/>
      <c r="L4570" s="56" t="s">
        <v>56716</v>
      </c>
    </row>
    <row r="4571" spans="1:12" s="37" customFormat="1" ht="11.25" x14ac:dyDescent="0.2">
      <c r="A4571" s="45" t="s">
        <v>35592</v>
      </c>
      <c r="B4571" s="45" t="s">
        <v>35594</v>
      </c>
      <c r="C4571" s="51" t="s">
        <v>35596</v>
      </c>
      <c r="D4571" s="51" t="s">
        <v>35595</v>
      </c>
      <c r="E4571" s="45" t="s">
        <v>24835</v>
      </c>
      <c r="F4571" s="45" t="s">
        <v>50646</v>
      </c>
      <c r="G4571" s="45" t="s">
        <v>50584</v>
      </c>
      <c r="H4571" s="56"/>
      <c r="I4571" s="56" t="s">
        <v>50564</v>
      </c>
      <c r="J4571" s="56"/>
      <c r="K4571" s="50"/>
      <c r="L4571" s="56" t="s">
        <v>56716</v>
      </c>
    </row>
    <row r="4572" spans="1:12" s="37" customFormat="1" ht="11.25" x14ac:dyDescent="0.2">
      <c r="A4572" s="46" t="s">
        <v>4373</v>
      </c>
      <c r="B4572" s="46" t="s">
        <v>53678</v>
      </c>
      <c r="C4572" s="58" t="str">
        <f>"0094730X"</f>
        <v>0094730X</v>
      </c>
      <c r="D4572" s="58" t="str">
        <f>"1873801X"</f>
        <v>1873801X</v>
      </c>
      <c r="E4572" s="46" t="s">
        <v>272</v>
      </c>
      <c r="F4572" s="46" t="s">
        <v>17759</v>
      </c>
      <c r="G4572" s="46" t="s">
        <v>50584</v>
      </c>
      <c r="H4572" s="48" t="s">
        <v>56716</v>
      </c>
      <c r="I4572" s="48" t="s">
        <v>50564</v>
      </c>
      <c r="J4572" s="48"/>
      <c r="K4572" s="50" t="s">
        <v>56716</v>
      </c>
      <c r="L4572" s="48" t="s">
        <v>56716</v>
      </c>
    </row>
    <row r="4573" spans="1:12" s="37" customFormat="1" ht="11.25" x14ac:dyDescent="0.2">
      <c r="A4573" s="45" t="s">
        <v>35602</v>
      </c>
      <c r="B4573" s="45" t="s">
        <v>35604</v>
      </c>
      <c r="C4573" s="51" t="s">
        <v>35606</v>
      </c>
      <c r="D4573" s="51" t="s">
        <v>35605</v>
      </c>
      <c r="E4573" s="45" t="s">
        <v>35607</v>
      </c>
      <c r="F4573" s="45" t="s">
        <v>18001</v>
      </c>
      <c r="G4573" s="45" t="s">
        <v>50584</v>
      </c>
      <c r="H4573" s="56"/>
      <c r="I4573" s="56" t="s">
        <v>50564</v>
      </c>
      <c r="J4573" s="56"/>
      <c r="K4573" s="50"/>
      <c r="L4573" s="56" t="s">
        <v>56716</v>
      </c>
    </row>
    <row r="4574" spans="1:12" s="37" customFormat="1" ht="11.25" x14ac:dyDescent="0.2">
      <c r="A4574" s="46" t="s">
        <v>6111</v>
      </c>
      <c r="B4574" s="46" t="s">
        <v>53679</v>
      </c>
      <c r="C4574" s="58" t="str">
        <f>"10219498"</f>
        <v>10219498</v>
      </c>
      <c r="D4574" s="58" t="str">
        <f>""</f>
        <v/>
      </c>
      <c r="E4574" s="46" t="s">
        <v>6113</v>
      </c>
      <c r="F4574" s="46" t="s">
        <v>50654</v>
      </c>
      <c r="G4574" s="46" t="s">
        <v>50585</v>
      </c>
      <c r="H4574" s="48" t="s">
        <v>56716</v>
      </c>
      <c r="I4574" s="48" t="s">
        <v>50564</v>
      </c>
      <c r="J4574" s="48"/>
      <c r="K4574" s="50" t="s">
        <v>56716</v>
      </c>
      <c r="L4574" s="48" t="s">
        <v>56716</v>
      </c>
    </row>
    <row r="4575" spans="1:12" s="37" customFormat="1" ht="11.25" x14ac:dyDescent="0.2">
      <c r="A4575" s="45" t="s">
        <v>35610</v>
      </c>
      <c r="B4575" s="45" t="s">
        <v>35612</v>
      </c>
      <c r="C4575" s="51" t="s">
        <v>35615</v>
      </c>
      <c r="D4575" s="51" t="s">
        <v>35614</v>
      </c>
      <c r="E4575" s="45" t="s">
        <v>35616</v>
      </c>
      <c r="F4575" s="45" t="s">
        <v>17759</v>
      </c>
      <c r="G4575" s="45" t="s">
        <v>50584</v>
      </c>
      <c r="H4575" s="56"/>
      <c r="I4575" s="56" t="s">
        <v>50564</v>
      </c>
      <c r="J4575" s="56"/>
      <c r="K4575" s="50"/>
      <c r="L4575" s="56" t="s">
        <v>56716</v>
      </c>
    </row>
    <row r="4576" spans="1:12" s="37" customFormat="1" ht="11.25" x14ac:dyDescent="0.2">
      <c r="A4576" s="45" t="s">
        <v>35618</v>
      </c>
      <c r="B4576" s="45" t="s">
        <v>35620</v>
      </c>
      <c r="C4576" s="51" t="s">
        <v>35623</v>
      </c>
      <c r="D4576" s="51" t="s">
        <v>35622</v>
      </c>
      <c r="E4576" s="45" t="s">
        <v>21146</v>
      </c>
      <c r="F4576" s="45" t="s">
        <v>17759</v>
      </c>
      <c r="G4576" s="45" t="s">
        <v>50584</v>
      </c>
      <c r="H4576" s="56"/>
      <c r="I4576" s="56" t="s">
        <v>50564</v>
      </c>
      <c r="J4576" s="56"/>
      <c r="K4576" s="50"/>
      <c r="L4576" s="56" t="s">
        <v>56716</v>
      </c>
    </row>
    <row r="4577" spans="1:12" s="37" customFormat="1" ht="11.25" x14ac:dyDescent="0.2">
      <c r="A4577" s="46" t="s">
        <v>11401</v>
      </c>
      <c r="B4577" s="46" t="s">
        <v>53680</v>
      </c>
      <c r="C4577" s="58" t="str">
        <f>"14590255"</f>
        <v>14590255</v>
      </c>
      <c r="D4577" s="58" t="str">
        <f>"14590263"</f>
        <v>14590263</v>
      </c>
      <c r="E4577" s="46" t="s">
        <v>11404</v>
      </c>
      <c r="F4577" s="46" t="s">
        <v>27710</v>
      </c>
      <c r="G4577" s="46" t="s">
        <v>50584</v>
      </c>
      <c r="H4577" s="48" t="s">
        <v>56716</v>
      </c>
      <c r="I4577" s="48" t="s">
        <v>50564</v>
      </c>
      <c r="J4577" s="48"/>
      <c r="K4577" s="50"/>
      <c r="L4577" s="48"/>
    </row>
    <row r="4578" spans="1:12" s="37" customFormat="1" ht="11.25" x14ac:dyDescent="0.2">
      <c r="A4578" s="46" t="s">
        <v>6072</v>
      </c>
      <c r="B4578" s="46" t="s">
        <v>53681</v>
      </c>
      <c r="C4578" s="58" t="str">
        <f>"10672516"</f>
        <v>10672516</v>
      </c>
      <c r="D4578" s="58" t="str">
        <f>"15422224"</f>
        <v>15422224</v>
      </c>
      <c r="E4578" s="46" t="s">
        <v>60</v>
      </c>
      <c r="F4578" s="46" t="s">
        <v>17759</v>
      </c>
      <c r="G4578" s="46" t="s">
        <v>50584</v>
      </c>
      <c r="H4578" s="48" t="s">
        <v>56716</v>
      </c>
      <c r="I4578" s="48" t="s">
        <v>50564</v>
      </c>
      <c r="J4578" s="48"/>
      <c r="K4578" s="50" t="s">
        <v>56716</v>
      </c>
      <c r="L4578" s="48" t="s">
        <v>56716</v>
      </c>
    </row>
    <row r="4579" spans="1:12" s="37" customFormat="1" ht="11.25" x14ac:dyDescent="0.2">
      <c r="A4579" s="46" t="s">
        <v>11634</v>
      </c>
      <c r="B4579" s="46" t="s">
        <v>53682</v>
      </c>
      <c r="C4579" s="58" t="str">
        <f>"1752928X"</f>
        <v>1752928X</v>
      </c>
      <c r="D4579" s="58" t="str">
        <f>"18787487"</f>
        <v>18787487</v>
      </c>
      <c r="E4579" s="46" t="s">
        <v>831</v>
      </c>
      <c r="F4579" s="46" t="s">
        <v>50646</v>
      </c>
      <c r="G4579" s="46" t="s">
        <v>50584</v>
      </c>
      <c r="H4579" s="48" t="s">
        <v>56716</v>
      </c>
      <c r="I4579" s="48" t="s">
        <v>50564</v>
      </c>
      <c r="J4579" s="48"/>
      <c r="K4579" s="50" t="s">
        <v>56716</v>
      </c>
      <c r="L4579" s="48" t="s">
        <v>56716</v>
      </c>
    </row>
    <row r="4580" spans="1:12" s="37" customFormat="1" ht="11.25" x14ac:dyDescent="0.2">
      <c r="A4580" s="46" t="s">
        <v>6446</v>
      </c>
      <c r="B4580" s="46" t="s">
        <v>53683</v>
      </c>
      <c r="C4580" s="58" t="str">
        <f>"0895173X"</f>
        <v>0895173X</v>
      </c>
      <c r="D4580" s="58" t="str">
        <f>""</f>
        <v/>
      </c>
      <c r="E4580" s="46" t="s">
        <v>6448</v>
      </c>
      <c r="F4580" s="46" t="s">
        <v>17759</v>
      </c>
      <c r="G4580" s="46" t="s">
        <v>50584</v>
      </c>
      <c r="H4580" s="48" t="s">
        <v>56716</v>
      </c>
      <c r="I4580" s="48" t="s">
        <v>50564</v>
      </c>
      <c r="J4580" s="48"/>
      <c r="K4580" s="50"/>
      <c r="L4580" s="48"/>
    </row>
    <row r="4581" spans="1:12" s="37" customFormat="1" ht="11.25" x14ac:dyDescent="0.2">
      <c r="A4581" s="46" t="s">
        <v>7566</v>
      </c>
      <c r="B4581" s="46" t="s">
        <v>53684</v>
      </c>
      <c r="C4581" s="58" t="str">
        <f>"09711929"</f>
        <v>09711929</v>
      </c>
      <c r="D4581" s="58" t="str">
        <f>"09744568"</f>
        <v>09744568</v>
      </c>
      <c r="E4581" s="46" t="s">
        <v>7568</v>
      </c>
      <c r="F4581" s="46" t="s">
        <v>20446</v>
      </c>
      <c r="G4581" s="46" t="s">
        <v>50584</v>
      </c>
      <c r="H4581" s="48" t="s">
        <v>56716</v>
      </c>
      <c r="I4581" s="48" t="s">
        <v>50564</v>
      </c>
      <c r="J4581" s="48"/>
      <c r="K4581" s="50"/>
      <c r="L4581" s="48"/>
    </row>
    <row r="4582" spans="1:12" s="37" customFormat="1" ht="11.25" x14ac:dyDescent="0.2">
      <c r="A4582" s="45" t="s">
        <v>35637</v>
      </c>
      <c r="B4582" s="45" t="s">
        <v>35639</v>
      </c>
      <c r="C4582" s="51" t="s">
        <v>35641</v>
      </c>
      <c r="D4582" s="51" t="s">
        <v>35640</v>
      </c>
      <c r="E4582" s="45" t="s">
        <v>17758</v>
      </c>
      <c r="F4582" s="45" t="s">
        <v>17759</v>
      </c>
      <c r="G4582" s="45" t="s">
        <v>50584</v>
      </c>
      <c r="H4582" s="56"/>
      <c r="I4582" s="56" t="s">
        <v>50564</v>
      </c>
      <c r="J4582" s="56"/>
      <c r="K4582" s="50"/>
      <c r="L4582" s="56" t="s">
        <v>56716</v>
      </c>
    </row>
    <row r="4583" spans="1:12" s="37" customFormat="1" ht="11.25" x14ac:dyDescent="0.2">
      <c r="A4583" s="46" t="s">
        <v>17098</v>
      </c>
      <c r="B4583" s="46" t="s">
        <v>53685</v>
      </c>
      <c r="C4583" s="58" t="str">
        <f>"20508794"</f>
        <v>20508794</v>
      </c>
      <c r="D4583" s="58" t="str">
        <f>""</f>
        <v/>
      </c>
      <c r="E4583" s="46" t="s">
        <v>10043</v>
      </c>
      <c r="F4583" s="46" t="s">
        <v>50646</v>
      </c>
      <c r="G4583" s="46" t="s">
        <v>50584</v>
      </c>
      <c r="H4583" s="48" t="s">
        <v>56716</v>
      </c>
      <c r="I4583" s="48" t="s">
        <v>50564</v>
      </c>
      <c r="J4583" s="48"/>
      <c r="K4583" s="50"/>
      <c r="L4583" s="48"/>
    </row>
    <row r="4584" spans="1:12" s="37" customFormat="1" ht="11.25" x14ac:dyDescent="0.2">
      <c r="A4584" s="46" t="s">
        <v>9462</v>
      </c>
      <c r="B4584" s="46" t="s">
        <v>53686</v>
      </c>
      <c r="C4584" s="58" t="str">
        <f>"14789949"</f>
        <v>14789949</v>
      </c>
      <c r="D4584" s="58" t="str">
        <f>"14789957"</f>
        <v>14789957</v>
      </c>
      <c r="E4584" s="46" t="s">
        <v>689</v>
      </c>
      <c r="F4584" s="46" t="s">
        <v>50646</v>
      </c>
      <c r="G4584" s="46" t="s">
        <v>50584</v>
      </c>
      <c r="H4584" s="48" t="s">
        <v>56716</v>
      </c>
      <c r="I4584" s="48" t="s">
        <v>50564</v>
      </c>
      <c r="J4584" s="48" t="s">
        <v>56716</v>
      </c>
      <c r="K4584" s="50" t="s">
        <v>56716</v>
      </c>
      <c r="L4584" s="48"/>
    </row>
    <row r="4585" spans="1:12" s="37" customFormat="1" ht="11.25" x14ac:dyDescent="0.2">
      <c r="A4585" s="46" t="s">
        <v>8674</v>
      </c>
      <c r="B4585" s="46" t="s">
        <v>56398</v>
      </c>
      <c r="C4585" s="58" t="str">
        <f>"15228932"</f>
        <v>15228932</v>
      </c>
      <c r="D4585" s="58" t="str">
        <f>"15229092"</f>
        <v>15229092</v>
      </c>
      <c r="E4585" s="46" t="s">
        <v>689</v>
      </c>
      <c r="F4585" s="46" t="s">
        <v>17759</v>
      </c>
      <c r="G4585" s="46" t="s">
        <v>50584</v>
      </c>
      <c r="H4585" s="48" t="s">
        <v>56716</v>
      </c>
      <c r="I4585" s="48" t="s">
        <v>50564</v>
      </c>
      <c r="J4585" s="48"/>
      <c r="K4585" s="50"/>
      <c r="L4585" s="48"/>
    </row>
    <row r="4586" spans="1:12" s="37" customFormat="1" ht="11.25" x14ac:dyDescent="0.2">
      <c r="A4586" s="46" t="s">
        <v>17003</v>
      </c>
      <c r="B4586" s="46" t="s">
        <v>53687</v>
      </c>
      <c r="C4586" s="58" t="str">
        <f>"22124780"</f>
        <v>22124780</v>
      </c>
      <c r="D4586" s="58" t="str">
        <f>"22124799"</f>
        <v>22124799</v>
      </c>
      <c r="E4586" s="46" t="s">
        <v>155</v>
      </c>
      <c r="F4586" s="46" t="s">
        <v>50646</v>
      </c>
      <c r="G4586" s="46" t="s">
        <v>50584</v>
      </c>
      <c r="H4586" s="48" t="s">
        <v>56716</v>
      </c>
      <c r="I4586" s="48" t="s">
        <v>50564</v>
      </c>
      <c r="J4586" s="48" t="s">
        <v>56716</v>
      </c>
      <c r="K4586" s="50" t="s">
        <v>56716</v>
      </c>
      <c r="L4586" s="48"/>
    </row>
    <row r="4587" spans="1:12" s="37" customFormat="1" ht="11.25" x14ac:dyDescent="0.2">
      <c r="A4587" s="45" t="s">
        <v>35652</v>
      </c>
      <c r="B4587" s="45" t="s">
        <v>35654</v>
      </c>
      <c r="C4587" s="51" t="s">
        <v>35656</v>
      </c>
      <c r="D4587" s="51" t="s">
        <v>35655</v>
      </c>
      <c r="E4587" s="45" t="s">
        <v>20225</v>
      </c>
      <c r="F4587" s="45" t="s">
        <v>17759</v>
      </c>
      <c r="G4587" s="45" t="s">
        <v>50584</v>
      </c>
      <c r="H4587" s="56"/>
      <c r="I4587" s="56" t="s">
        <v>50564</v>
      </c>
      <c r="J4587" s="56"/>
      <c r="K4587" s="50"/>
      <c r="L4587" s="56" t="s">
        <v>56716</v>
      </c>
    </row>
    <row r="4588" spans="1:12" s="37" customFormat="1" ht="11.25" x14ac:dyDescent="0.2">
      <c r="A4588" s="46" t="s">
        <v>16151</v>
      </c>
      <c r="B4588" s="46" t="s">
        <v>53688</v>
      </c>
      <c r="C4588" s="58" t="str">
        <f>""</f>
        <v/>
      </c>
      <c r="D4588" s="58" t="str">
        <f>"20794983"</f>
        <v>20794983</v>
      </c>
      <c r="E4588" s="46" t="s">
        <v>4152</v>
      </c>
      <c r="F4588" s="46" t="s">
        <v>18123</v>
      </c>
      <c r="G4588" s="46" t="s">
        <v>50584</v>
      </c>
      <c r="H4588" s="48" t="s">
        <v>56716</v>
      </c>
      <c r="I4588" s="48" t="s">
        <v>50564</v>
      </c>
      <c r="J4588" s="48"/>
      <c r="K4588" s="50"/>
      <c r="L4588" s="48"/>
    </row>
    <row r="4589" spans="1:12" s="37" customFormat="1" ht="11.25" x14ac:dyDescent="0.2">
      <c r="A4589" s="45" t="s">
        <v>35659</v>
      </c>
      <c r="B4589" s="45" t="s">
        <v>35661</v>
      </c>
      <c r="C4589" s="51" t="s">
        <v>35664</v>
      </c>
      <c r="D4589" s="51" t="s">
        <v>35663</v>
      </c>
      <c r="E4589" s="45" t="s">
        <v>35665</v>
      </c>
      <c r="F4589" s="45" t="s">
        <v>17759</v>
      </c>
      <c r="G4589" s="45" t="s">
        <v>50584</v>
      </c>
      <c r="H4589" s="56"/>
      <c r="I4589" s="56" t="s">
        <v>50564</v>
      </c>
      <c r="J4589" s="56"/>
      <c r="K4589" s="50"/>
      <c r="L4589" s="56" t="s">
        <v>56716</v>
      </c>
    </row>
    <row r="4590" spans="1:12" s="37" customFormat="1" ht="11.25" x14ac:dyDescent="0.2">
      <c r="A4590" s="46" t="s">
        <v>16346</v>
      </c>
      <c r="B4590" s="46" t="s">
        <v>53689</v>
      </c>
      <c r="C4590" s="58" t="str">
        <f>"2093582X"</f>
        <v>2093582X</v>
      </c>
      <c r="D4590" s="58" t="str">
        <f>"20935641"</f>
        <v>20935641</v>
      </c>
      <c r="E4590" s="46" t="s">
        <v>16349</v>
      </c>
      <c r="F4590" s="46" t="s">
        <v>50649</v>
      </c>
      <c r="G4590" s="46" t="s">
        <v>50584</v>
      </c>
      <c r="H4590" s="48" t="s">
        <v>56716</v>
      </c>
      <c r="I4590" s="48" t="s">
        <v>50564</v>
      </c>
      <c r="J4590" s="48"/>
      <c r="K4590" s="50"/>
      <c r="L4590" s="48"/>
    </row>
    <row r="4591" spans="1:12" s="37" customFormat="1" ht="11.25" x14ac:dyDescent="0.2">
      <c r="A4591" s="46" t="s">
        <v>6296</v>
      </c>
      <c r="B4591" s="46" t="s">
        <v>53690</v>
      </c>
      <c r="C4591" s="58" t="str">
        <f>"09441174"</f>
        <v>09441174</v>
      </c>
      <c r="D4591" s="58" t="str">
        <f>"14355922"</f>
        <v>14355922</v>
      </c>
      <c r="E4591" s="46" t="s">
        <v>23335</v>
      </c>
      <c r="F4591" s="46" t="s">
        <v>18242</v>
      </c>
      <c r="G4591" s="46" t="s">
        <v>50584</v>
      </c>
      <c r="H4591" s="48" t="s">
        <v>56716</v>
      </c>
      <c r="I4591" s="48" t="s">
        <v>50564</v>
      </c>
      <c r="J4591" s="48" t="s">
        <v>56716</v>
      </c>
      <c r="K4591" s="50" t="s">
        <v>56716</v>
      </c>
      <c r="L4591" s="48" t="s">
        <v>56716</v>
      </c>
    </row>
    <row r="4592" spans="1:12" s="37" customFormat="1" ht="11.25" x14ac:dyDescent="0.2">
      <c r="A4592" s="46" t="s">
        <v>4623</v>
      </c>
      <c r="B4592" s="46" t="s">
        <v>53691</v>
      </c>
      <c r="C4592" s="58" t="str">
        <f>"08159319"</f>
        <v>08159319</v>
      </c>
      <c r="D4592" s="58" t="str">
        <f>"14401746"</f>
        <v>14401746</v>
      </c>
      <c r="E4592" s="46" t="s">
        <v>296</v>
      </c>
      <c r="F4592" s="46" t="s">
        <v>20082</v>
      </c>
      <c r="G4592" s="46" t="s">
        <v>50584</v>
      </c>
      <c r="H4592" s="48" t="s">
        <v>56716</v>
      </c>
      <c r="I4592" s="48" t="s">
        <v>50564</v>
      </c>
      <c r="J4592" s="48" t="s">
        <v>56716</v>
      </c>
      <c r="K4592" s="50" t="s">
        <v>56716</v>
      </c>
      <c r="L4592" s="48" t="s">
        <v>56716</v>
      </c>
    </row>
    <row r="4593" spans="1:12" s="37" customFormat="1" ht="11.25" x14ac:dyDescent="0.2">
      <c r="A4593" s="46" t="s">
        <v>56093</v>
      </c>
      <c r="B4593" s="46" t="s">
        <v>56094</v>
      </c>
      <c r="C4593" s="58" t="str">
        <f>"22243992"</f>
        <v>22243992</v>
      </c>
      <c r="D4593" s="58" t="str">
        <f>"22246509"</f>
        <v>22246509</v>
      </c>
      <c r="E4593" s="46" t="s">
        <v>17604</v>
      </c>
      <c r="F4593" s="46" t="s">
        <v>50647</v>
      </c>
      <c r="G4593" s="46" t="s">
        <v>50584</v>
      </c>
      <c r="H4593" s="48" t="s">
        <v>56716</v>
      </c>
      <c r="I4593" s="48" t="s">
        <v>50564</v>
      </c>
      <c r="J4593" s="48"/>
      <c r="K4593" s="50"/>
      <c r="L4593" s="48"/>
    </row>
    <row r="4594" spans="1:12" s="37" customFormat="1" ht="11.25" x14ac:dyDescent="0.2">
      <c r="A4594" s="46" t="s">
        <v>11495</v>
      </c>
      <c r="B4594" s="46" t="s">
        <v>53692</v>
      </c>
      <c r="C4594" s="58" t="str">
        <f>"18418724"</f>
        <v>18418724</v>
      </c>
      <c r="D4594" s="58" t="str">
        <f>""</f>
        <v/>
      </c>
      <c r="E4594" s="46" t="s">
        <v>11497</v>
      </c>
      <c r="F4594" s="46" t="s">
        <v>22017</v>
      </c>
      <c r="G4594" s="46" t="s">
        <v>50584</v>
      </c>
      <c r="H4594" s="48" t="s">
        <v>56716</v>
      </c>
      <c r="I4594" s="48" t="s">
        <v>50564</v>
      </c>
      <c r="J4594" s="48"/>
      <c r="K4594" s="50"/>
      <c r="L4594" s="48" t="s">
        <v>56716</v>
      </c>
    </row>
    <row r="4595" spans="1:12" s="37" customFormat="1" ht="11.25" x14ac:dyDescent="0.2">
      <c r="A4595" s="46" t="s">
        <v>13050</v>
      </c>
      <c r="B4595" s="46" t="s">
        <v>53693</v>
      </c>
      <c r="C4595" s="58" t="str">
        <f>"19416628"</f>
        <v>19416628</v>
      </c>
      <c r="D4595" s="58" t="str">
        <f>"19416636"</f>
        <v>19416636</v>
      </c>
      <c r="E4595" s="46" t="s">
        <v>40314</v>
      </c>
      <c r="F4595" s="46" t="s">
        <v>17759</v>
      </c>
      <c r="G4595" s="46" t="s">
        <v>50584</v>
      </c>
      <c r="H4595" s="48" t="s">
        <v>56716</v>
      </c>
      <c r="I4595" s="48" t="s">
        <v>50564</v>
      </c>
      <c r="J4595" s="48" t="s">
        <v>56716</v>
      </c>
      <c r="K4595" s="50" t="s">
        <v>56716</v>
      </c>
      <c r="L4595" s="48" t="s">
        <v>56716</v>
      </c>
    </row>
    <row r="4596" spans="1:12" s="37" customFormat="1" ht="11.25" x14ac:dyDescent="0.2">
      <c r="A4596" s="46" t="s">
        <v>16209</v>
      </c>
      <c r="B4596" s="46" t="s">
        <v>53694</v>
      </c>
      <c r="C4596" s="58" t="str">
        <f>"20786891"</f>
        <v>20786891</v>
      </c>
      <c r="D4596" s="58" t="str">
        <f>"2219679X"</f>
        <v>2219679X</v>
      </c>
      <c r="E4596" s="46" t="s">
        <v>56095</v>
      </c>
      <c r="F4596" s="46" t="s">
        <v>50647</v>
      </c>
      <c r="G4596" s="46" t="s">
        <v>50584</v>
      </c>
      <c r="H4596" s="48" t="s">
        <v>56716</v>
      </c>
      <c r="I4596" s="48" t="s">
        <v>50564</v>
      </c>
      <c r="J4596" s="48"/>
      <c r="K4596" s="50"/>
      <c r="L4596" s="48"/>
    </row>
    <row r="4597" spans="1:12" s="37" customFormat="1" ht="11.25" x14ac:dyDescent="0.2">
      <c r="A4597" s="45" t="s">
        <v>35689</v>
      </c>
      <c r="B4597" s="45" t="s">
        <v>35691</v>
      </c>
      <c r="C4597" s="51" t="s">
        <v>35693</v>
      </c>
      <c r="D4597" s="51" t="s">
        <v>35692</v>
      </c>
      <c r="E4597" s="45" t="s">
        <v>17783</v>
      </c>
      <c r="F4597" s="45" t="s">
        <v>17759</v>
      </c>
      <c r="G4597" s="45" t="s">
        <v>50584</v>
      </c>
      <c r="H4597" s="56"/>
      <c r="I4597" s="56" t="s">
        <v>50564</v>
      </c>
      <c r="J4597" s="56"/>
      <c r="K4597" s="50"/>
      <c r="L4597" s="56" t="s">
        <v>56716</v>
      </c>
    </row>
    <row r="4598" spans="1:12" s="37" customFormat="1" ht="11.25" x14ac:dyDescent="0.2">
      <c r="A4598" s="46" t="s">
        <v>8104</v>
      </c>
      <c r="B4598" s="46" t="s">
        <v>53695</v>
      </c>
      <c r="C4598" s="58" t="str">
        <f>"1099498X"</f>
        <v>1099498X</v>
      </c>
      <c r="D4598" s="58" t="str">
        <f>"15212254"</f>
        <v>15212254</v>
      </c>
      <c r="E4598" s="46" t="s">
        <v>548</v>
      </c>
      <c r="F4598" s="46" t="s">
        <v>17759</v>
      </c>
      <c r="G4598" s="46" t="s">
        <v>50584</v>
      </c>
      <c r="H4598" s="48" t="s">
        <v>56716</v>
      </c>
      <c r="I4598" s="48" t="s">
        <v>50564</v>
      </c>
      <c r="J4598" s="48" t="s">
        <v>56716</v>
      </c>
      <c r="K4598" s="50"/>
      <c r="L4598" s="48" t="s">
        <v>56716</v>
      </c>
    </row>
    <row r="4599" spans="1:12" s="37" customFormat="1" ht="11.25" x14ac:dyDescent="0.2">
      <c r="A4599" s="46" t="s">
        <v>2331</v>
      </c>
      <c r="B4599" s="46" t="s">
        <v>53696</v>
      </c>
      <c r="C4599" s="58" t="str">
        <f>"00221260"</f>
        <v>00221260</v>
      </c>
      <c r="D4599" s="58" t="str">
        <f>"13498037"</f>
        <v>13498037</v>
      </c>
      <c r="E4599" s="46" t="s">
        <v>2334</v>
      </c>
      <c r="F4599" s="46" t="s">
        <v>18242</v>
      </c>
      <c r="G4599" s="46" t="s">
        <v>50584</v>
      </c>
      <c r="H4599" s="48" t="s">
        <v>56716</v>
      </c>
      <c r="I4599" s="48" t="s">
        <v>50564</v>
      </c>
      <c r="J4599" s="48"/>
      <c r="K4599" s="50"/>
      <c r="L4599" s="48" t="s">
        <v>56716</v>
      </c>
    </row>
    <row r="4600" spans="1:12" s="37" customFormat="1" ht="11.25" x14ac:dyDescent="0.2">
      <c r="A4600" s="46" t="s">
        <v>4259</v>
      </c>
      <c r="B4600" s="46" t="s">
        <v>53697</v>
      </c>
      <c r="C4600" s="58" t="str">
        <f>"08848734"</f>
        <v>08848734</v>
      </c>
      <c r="D4600" s="58" t="str">
        <f>"15251497"</f>
        <v>15251497</v>
      </c>
      <c r="E4600" s="46" t="s">
        <v>56305</v>
      </c>
      <c r="F4600" s="46" t="s">
        <v>17759</v>
      </c>
      <c r="G4600" s="46" t="s">
        <v>50584</v>
      </c>
      <c r="H4600" s="48" t="s">
        <v>56716</v>
      </c>
      <c r="I4600" s="48" t="s">
        <v>50564</v>
      </c>
      <c r="J4600" s="48"/>
      <c r="K4600" s="50" t="s">
        <v>56716</v>
      </c>
      <c r="L4600" s="48" t="s">
        <v>56716</v>
      </c>
    </row>
    <row r="4601" spans="1:12" s="37" customFormat="1" ht="11.25" x14ac:dyDescent="0.2">
      <c r="A4601" s="46" t="s">
        <v>2338</v>
      </c>
      <c r="B4601" s="46" t="s">
        <v>53698</v>
      </c>
      <c r="C4601" s="58" t="str">
        <f>"00221317"</f>
        <v>00221317</v>
      </c>
      <c r="D4601" s="58" t="str">
        <f>"14652099"</f>
        <v>14652099</v>
      </c>
      <c r="E4601" s="46" t="s">
        <v>2341</v>
      </c>
      <c r="F4601" s="46" t="s">
        <v>50646</v>
      </c>
      <c r="G4601" s="46" t="s">
        <v>50584</v>
      </c>
      <c r="H4601" s="48" t="s">
        <v>56716</v>
      </c>
      <c r="I4601" s="48" t="s">
        <v>50564</v>
      </c>
      <c r="J4601" s="48" t="s">
        <v>56716</v>
      </c>
      <c r="K4601" s="50"/>
      <c r="L4601" s="48" t="s">
        <v>56716</v>
      </c>
    </row>
    <row r="4602" spans="1:12" s="37" customFormat="1" ht="11.25" x14ac:dyDescent="0.2">
      <c r="A4602" s="46" t="s">
        <v>10597</v>
      </c>
      <c r="B4602" s="46" t="s">
        <v>53699</v>
      </c>
      <c r="C4602" s="58" t="str">
        <f>"17411343"</f>
        <v>17411343</v>
      </c>
      <c r="D4602" s="58" t="str">
        <f>"17417090"</f>
        <v>17417090</v>
      </c>
      <c r="E4602" s="46" t="s">
        <v>97</v>
      </c>
      <c r="F4602" s="46" t="s">
        <v>50646</v>
      </c>
      <c r="G4602" s="46" t="s">
        <v>50584</v>
      </c>
      <c r="H4602" s="48" t="s">
        <v>56716</v>
      </c>
      <c r="I4602" s="48" t="s">
        <v>50564</v>
      </c>
      <c r="J4602" s="48"/>
      <c r="K4602" s="50"/>
      <c r="L4602" s="48"/>
    </row>
    <row r="4603" spans="1:12" s="37" customFormat="1" ht="11.25" x14ac:dyDescent="0.2">
      <c r="A4603" s="45" t="s">
        <v>35724</v>
      </c>
      <c r="B4603" s="45" t="s">
        <v>35726</v>
      </c>
      <c r="C4603" s="51" t="s">
        <v>35728</v>
      </c>
      <c r="D4603" s="51" t="s">
        <v>35727</v>
      </c>
      <c r="E4603" s="45" t="s">
        <v>17783</v>
      </c>
      <c r="F4603" s="45" t="s">
        <v>17759</v>
      </c>
      <c r="G4603" s="45" t="s">
        <v>50584</v>
      </c>
      <c r="H4603" s="56"/>
      <c r="I4603" s="56" t="s">
        <v>50564</v>
      </c>
      <c r="J4603" s="56"/>
      <c r="K4603" s="50"/>
      <c r="L4603" s="56" t="s">
        <v>56716</v>
      </c>
    </row>
    <row r="4604" spans="1:12" s="37" customFormat="1" ht="11.25" x14ac:dyDescent="0.2">
      <c r="A4604" s="45" t="s">
        <v>35738</v>
      </c>
      <c r="B4604" s="45" t="s">
        <v>35740</v>
      </c>
      <c r="C4604" s="51" t="s">
        <v>35742</v>
      </c>
      <c r="D4604" s="51" t="s">
        <v>35741</v>
      </c>
      <c r="E4604" s="45" t="s">
        <v>35743</v>
      </c>
      <c r="F4604" s="45" t="s">
        <v>20446</v>
      </c>
      <c r="G4604" s="45" t="s">
        <v>50584</v>
      </c>
      <c r="H4604" s="56"/>
      <c r="I4604" s="56" t="s">
        <v>50564</v>
      </c>
      <c r="J4604" s="56"/>
      <c r="K4604" s="50"/>
      <c r="L4604" s="56" t="s">
        <v>56716</v>
      </c>
    </row>
    <row r="4605" spans="1:12" s="37" customFormat="1" ht="11.25" x14ac:dyDescent="0.2">
      <c r="A4605" s="46" t="s">
        <v>11749</v>
      </c>
      <c r="B4605" s="46" t="s">
        <v>53700</v>
      </c>
      <c r="C4605" s="58" t="str">
        <f>"16738527"</f>
        <v>16738527</v>
      </c>
      <c r="D4605" s="58" t="str">
        <f>"18735533"</f>
        <v>18735533</v>
      </c>
      <c r="E4605" s="46" t="s">
        <v>11752</v>
      </c>
      <c r="F4605" s="46" t="s">
        <v>17958</v>
      </c>
      <c r="G4605" s="46" t="s">
        <v>50580</v>
      </c>
      <c r="H4605" s="48" t="s">
        <v>56716</v>
      </c>
      <c r="I4605" s="48" t="s">
        <v>50564</v>
      </c>
      <c r="J4605" s="48"/>
      <c r="K4605" s="50" t="s">
        <v>56716</v>
      </c>
      <c r="L4605" s="48" t="s">
        <v>56716</v>
      </c>
    </row>
    <row r="4606" spans="1:12" s="37" customFormat="1" ht="11.25" x14ac:dyDescent="0.2">
      <c r="A4606" s="46" t="s">
        <v>17295</v>
      </c>
      <c r="B4606" s="46" t="s">
        <v>53701</v>
      </c>
      <c r="C4606" s="58" t="str">
        <f>"18399940"</f>
        <v>18399940</v>
      </c>
      <c r="D4606" s="58" t="str">
        <f>""</f>
        <v/>
      </c>
      <c r="E4606" s="46" t="s">
        <v>10608</v>
      </c>
      <c r="F4606" s="46" t="s">
        <v>20082</v>
      </c>
      <c r="G4606" s="46" t="s">
        <v>50584</v>
      </c>
      <c r="H4606" s="48" t="s">
        <v>56716</v>
      </c>
      <c r="I4606" s="48" t="s">
        <v>50564</v>
      </c>
      <c r="J4606" s="48"/>
      <c r="K4606" s="50"/>
      <c r="L4606" s="48"/>
    </row>
    <row r="4607" spans="1:12" s="37" customFormat="1" ht="11.25" x14ac:dyDescent="0.2">
      <c r="A4607" s="46" t="s">
        <v>11220</v>
      </c>
      <c r="B4607" s="46" t="s">
        <v>53702</v>
      </c>
      <c r="C4607" s="58" t="str">
        <f>"16715411"</f>
        <v>16715411</v>
      </c>
      <c r="D4607" s="58" t="str">
        <f>""</f>
        <v/>
      </c>
      <c r="E4607" s="46" t="s">
        <v>6433</v>
      </c>
      <c r="F4607" s="46" t="s">
        <v>17958</v>
      </c>
      <c r="G4607" s="46" t="s">
        <v>50580</v>
      </c>
      <c r="H4607" s="48" t="s">
        <v>56716</v>
      </c>
      <c r="I4607" s="48" t="s">
        <v>50564</v>
      </c>
      <c r="J4607" s="48"/>
      <c r="K4607" s="50"/>
      <c r="L4607" s="48"/>
    </row>
    <row r="4608" spans="1:12" s="37" customFormat="1" ht="11.25" x14ac:dyDescent="0.2">
      <c r="A4608" s="46" t="s">
        <v>14536</v>
      </c>
      <c r="B4608" s="46" t="s">
        <v>53703</v>
      </c>
      <c r="C4608" s="58" t="str">
        <f>"18794068"</f>
        <v>18794068</v>
      </c>
      <c r="D4608" s="58" t="str">
        <f>""</f>
        <v/>
      </c>
      <c r="E4608" s="46" t="s">
        <v>155</v>
      </c>
      <c r="F4608" s="46" t="s">
        <v>50646</v>
      </c>
      <c r="G4608" s="46" t="s">
        <v>50584</v>
      </c>
      <c r="H4608" s="48" t="s">
        <v>56716</v>
      </c>
      <c r="I4608" s="48" t="s">
        <v>50564</v>
      </c>
      <c r="J4608" s="48" t="s">
        <v>56716</v>
      </c>
      <c r="K4608" s="50" t="s">
        <v>56716</v>
      </c>
      <c r="L4608" s="48" t="s">
        <v>56716</v>
      </c>
    </row>
    <row r="4609" spans="1:12" s="37" customFormat="1" ht="11.25" x14ac:dyDescent="0.2">
      <c r="A4609" s="45" t="s">
        <v>35756</v>
      </c>
      <c r="B4609" s="45" t="s">
        <v>35758</v>
      </c>
      <c r="C4609" s="51" t="s">
        <v>35761</v>
      </c>
      <c r="D4609" s="51" t="s">
        <v>35760</v>
      </c>
      <c r="E4609" s="45" t="s">
        <v>35762</v>
      </c>
      <c r="F4609" s="45" t="s">
        <v>17759</v>
      </c>
      <c r="G4609" s="45" t="s">
        <v>50584</v>
      </c>
      <c r="H4609" s="56"/>
      <c r="I4609" s="56" t="s">
        <v>50564</v>
      </c>
      <c r="J4609" s="56"/>
      <c r="K4609" s="50"/>
      <c r="L4609" s="56" t="s">
        <v>56716</v>
      </c>
    </row>
    <row r="4610" spans="1:12" s="37" customFormat="1" ht="11.25" x14ac:dyDescent="0.2">
      <c r="A4610" s="46" t="s">
        <v>4904</v>
      </c>
      <c r="B4610" s="46" t="s">
        <v>53704</v>
      </c>
      <c r="C4610" s="58" t="str">
        <f>"08919887"</f>
        <v>08919887</v>
      </c>
      <c r="D4610" s="58" t="str">
        <f>"15525708"</f>
        <v>15525708</v>
      </c>
      <c r="E4610" s="46" t="s">
        <v>493</v>
      </c>
      <c r="F4610" s="46" t="s">
        <v>17759</v>
      </c>
      <c r="G4610" s="46" t="s">
        <v>50584</v>
      </c>
      <c r="H4610" s="48" t="s">
        <v>56716</v>
      </c>
      <c r="I4610" s="48" t="s">
        <v>50564</v>
      </c>
      <c r="J4610" s="48" t="s">
        <v>56716</v>
      </c>
      <c r="K4610" s="50"/>
      <c r="L4610" s="48" t="s">
        <v>56716</v>
      </c>
    </row>
    <row r="4611" spans="1:12" s="37" customFormat="1" ht="11.25" x14ac:dyDescent="0.2">
      <c r="A4611" s="45" t="s">
        <v>35770</v>
      </c>
      <c r="B4611" s="45" t="s">
        <v>35772</v>
      </c>
      <c r="C4611" s="51" t="s">
        <v>35773</v>
      </c>
      <c r="D4611" s="51"/>
      <c r="E4611" s="45" t="s">
        <v>35774</v>
      </c>
      <c r="F4611" s="45" t="s">
        <v>17759</v>
      </c>
      <c r="G4611" s="45" t="s">
        <v>50584</v>
      </c>
      <c r="H4611" s="56"/>
      <c r="I4611" s="56" t="s">
        <v>50564</v>
      </c>
      <c r="J4611" s="56"/>
      <c r="K4611" s="50"/>
      <c r="L4611" s="56" t="s">
        <v>56716</v>
      </c>
    </row>
    <row r="4612" spans="1:12" s="37" customFormat="1" ht="11.25" x14ac:dyDescent="0.2">
      <c r="A4612" s="45" t="s">
        <v>35776</v>
      </c>
      <c r="B4612" s="45" t="s">
        <v>35778</v>
      </c>
      <c r="C4612" s="51" t="s">
        <v>35780</v>
      </c>
      <c r="D4612" s="51" t="s">
        <v>35779</v>
      </c>
      <c r="E4612" s="45" t="s">
        <v>689</v>
      </c>
      <c r="F4612" s="45" t="s">
        <v>17759</v>
      </c>
      <c r="G4612" s="45" t="s">
        <v>50584</v>
      </c>
      <c r="H4612" s="56"/>
      <c r="I4612" s="56" t="s">
        <v>50564</v>
      </c>
      <c r="J4612" s="56"/>
      <c r="K4612" s="50"/>
      <c r="L4612" s="56" t="s">
        <v>56716</v>
      </c>
    </row>
    <row r="4613" spans="1:12" s="37" customFormat="1" ht="11.25" x14ac:dyDescent="0.2">
      <c r="A4613" s="46" t="s">
        <v>17657</v>
      </c>
      <c r="B4613" s="46" t="s">
        <v>53705</v>
      </c>
      <c r="C4613" s="58" t="str">
        <f>"12268453"</f>
        <v>12268453</v>
      </c>
      <c r="D4613" s="58" t="str">
        <f>""</f>
        <v/>
      </c>
      <c r="E4613" s="46" t="s">
        <v>91</v>
      </c>
      <c r="F4613" s="46" t="s">
        <v>18001</v>
      </c>
      <c r="G4613" s="46" t="s">
        <v>50584</v>
      </c>
      <c r="H4613" s="48" t="s">
        <v>56716</v>
      </c>
      <c r="I4613" s="48" t="s">
        <v>50564</v>
      </c>
      <c r="J4613" s="48" t="s">
        <v>56716</v>
      </c>
      <c r="K4613" s="50" t="s">
        <v>56716</v>
      </c>
      <c r="L4613" s="48"/>
    </row>
    <row r="4614" spans="1:12" s="37" customFormat="1" ht="11.25" x14ac:dyDescent="0.2">
      <c r="A4614" s="46" t="s">
        <v>5729</v>
      </c>
      <c r="B4614" s="46" t="s">
        <v>53706</v>
      </c>
      <c r="C4614" s="58" t="str">
        <f>"10570829"</f>
        <v>10570829</v>
      </c>
      <c r="D4614" s="58" t="str">
        <f>"1536481X"</f>
        <v>1536481X</v>
      </c>
      <c r="E4614" s="46" t="s">
        <v>28</v>
      </c>
      <c r="F4614" s="46" t="s">
        <v>17759</v>
      </c>
      <c r="G4614" s="46" t="s">
        <v>50584</v>
      </c>
      <c r="H4614" s="48" t="s">
        <v>56716</v>
      </c>
      <c r="I4614" s="48" t="s">
        <v>50564</v>
      </c>
      <c r="J4614" s="48" t="s">
        <v>56716</v>
      </c>
      <c r="K4614" s="50" t="s">
        <v>56716</v>
      </c>
      <c r="L4614" s="48" t="s">
        <v>56716</v>
      </c>
    </row>
    <row r="4615" spans="1:12" s="37" customFormat="1" ht="11.25" x14ac:dyDescent="0.2">
      <c r="A4615" s="46" t="s">
        <v>17116</v>
      </c>
      <c r="B4615" s="46" t="s">
        <v>53707</v>
      </c>
      <c r="C4615" s="58" t="str">
        <f>"22137165"</f>
        <v>22137165</v>
      </c>
      <c r="D4615" s="58" t="str">
        <f>"22137173"</f>
        <v>22137173</v>
      </c>
      <c r="E4615" s="46" t="s">
        <v>155</v>
      </c>
      <c r="F4615" s="46" t="s">
        <v>50646</v>
      </c>
      <c r="G4615" s="46" t="s">
        <v>50584</v>
      </c>
      <c r="H4615" s="48" t="s">
        <v>56716</v>
      </c>
      <c r="I4615" s="48" t="s">
        <v>50564</v>
      </c>
      <c r="J4615" s="48" t="s">
        <v>56716</v>
      </c>
      <c r="K4615" s="50" t="s">
        <v>56716</v>
      </c>
      <c r="L4615" s="48"/>
    </row>
    <row r="4616" spans="1:12" s="37" customFormat="1" ht="11.25" x14ac:dyDescent="0.2">
      <c r="A4616" s="46" t="s">
        <v>13561</v>
      </c>
      <c r="B4616" s="46" t="s">
        <v>53708</v>
      </c>
      <c r="C4616" s="58" t="str">
        <f>""</f>
        <v/>
      </c>
      <c r="D4616" s="58" t="str">
        <f>"19344708"</f>
        <v>19344708</v>
      </c>
      <c r="E4616" s="46" t="s">
        <v>13563</v>
      </c>
      <c r="F4616" s="46" t="s">
        <v>17759</v>
      </c>
      <c r="G4616" s="46" t="s">
        <v>50584</v>
      </c>
      <c r="H4616" s="48" t="s">
        <v>56716</v>
      </c>
      <c r="I4616" s="48" t="s">
        <v>50564</v>
      </c>
      <c r="J4616" s="48"/>
      <c r="K4616" s="50"/>
      <c r="L4616" s="48"/>
    </row>
    <row r="4617" spans="1:12" s="37" customFormat="1" ht="11.25" x14ac:dyDescent="0.2">
      <c r="A4617" s="46" t="s">
        <v>15255</v>
      </c>
      <c r="B4617" s="46" t="s">
        <v>53709</v>
      </c>
      <c r="C4617" s="58" t="str">
        <f>"0974777X"</f>
        <v>0974777X</v>
      </c>
      <c r="D4617" s="58" t="str">
        <f>"09748245"</f>
        <v>09748245</v>
      </c>
      <c r="E4617" s="46" t="s">
        <v>19057</v>
      </c>
      <c r="F4617" s="46" t="s">
        <v>20446</v>
      </c>
      <c r="G4617" s="46" t="s">
        <v>50584</v>
      </c>
      <c r="H4617" s="48" t="s">
        <v>56716</v>
      </c>
      <c r="I4617" s="48" t="s">
        <v>50564</v>
      </c>
      <c r="J4617" s="48" t="s">
        <v>56716</v>
      </c>
      <c r="K4617" s="50"/>
      <c r="L4617" s="48"/>
    </row>
    <row r="4618" spans="1:12" s="37" customFormat="1" ht="11.25" x14ac:dyDescent="0.2">
      <c r="A4618" s="46" t="s">
        <v>15207</v>
      </c>
      <c r="B4618" s="46" t="s">
        <v>53710</v>
      </c>
      <c r="C4618" s="58" t="str">
        <f>""</f>
        <v/>
      </c>
      <c r="D4618" s="58" t="str">
        <f>"09758542"</f>
        <v>09758542</v>
      </c>
      <c r="E4618" s="46" t="s">
        <v>15207</v>
      </c>
      <c r="F4618" s="46" t="s">
        <v>20446</v>
      </c>
      <c r="G4618" s="46" t="s">
        <v>50584</v>
      </c>
      <c r="H4618" s="48" t="s">
        <v>56716</v>
      </c>
      <c r="I4618" s="48" t="s">
        <v>50564</v>
      </c>
      <c r="J4618" s="48"/>
      <c r="K4618" s="50"/>
      <c r="L4618" s="48"/>
    </row>
    <row r="4619" spans="1:12" s="37" customFormat="1" ht="11.25" x14ac:dyDescent="0.2">
      <c r="A4619" s="46" t="s">
        <v>16759</v>
      </c>
      <c r="B4619" s="46" t="s">
        <v>53711</v>
      </c>
      <c r="C4619" s="58" t="str">
        <f>""</f>
        <v/>
      </c>
      <c r="D4619" s="58" t="str">
        <f>"22307346"</f>
        <v>22307346</v>
      </c>
      <c r="E4619" s="46" t="s">
        <v>16761</v>
      </c>
      <c r="F4619" s="46" t="s">
        <v>20446</v>
      </c>
      <c r="G4619" s="46" t="s">
        <v>50584</v>
      </c>
      <c r="H4619" s="48" t="s">
        <v>56716</v>
      </c>
      <c r="I4619" s="48" t="s">
        <v>50564</v>
      </c>
      <c r="J4619" s="48"/>
      <c r="K4619" s="50"/>
      <c r="L4619" s="48"/>
    </row>
    <row r="4620" spans="1:12" s="37" customFormat="1" ht="11.25" x14ac:dyDescent="0.2">
      <c r="A4620" s="45" t="s">
        <v>35788</v>
      </c>
      <c r="B4620" s="45" t="s">
        <v>35790</v>
      </c>
      <c r="C4620" s="51" t="s">
        <v>35791</v>
      </c>
      <c r="D4620" s="51"/>
      <c r="E4620" s="45" t="s">
        <v>35792</v>
      </c>
      <c r="F4620" s="45" t="s">
        <v>17759</v>
      </c>
      <c r="G4620" s="45" t="s">
        <v>50584</v>
      </c>
      <c r="H4620" s="56"/>
      <c r="I4620" s="56" t="s">
        <v>50564</v>
      </c>
      <c r="J4620" s="56"/>
      <c r="K4620" s="50"/>
      <c r="L4620" s="56" t="s">
        <v>56716</v>
      </c>
    </row>
    <row r="4621" spans="1:12" s="37" customFormat="1" ht="11.25" x14ac:dyDescent="0.2">
      <c r="A4621" s="46" t="s">
        <v>13593</v>
      </c>
      <c r="B4621" s="46" t="s">
        <v>53712</v>
      </c>
      <c r="C4621" s="58" t="str">
        <f>"20050380"</f>
        <v>20050380</v>
      </c>
      <c r="D4621" s="58" t="str">
        <f>"20050399"</f>
        <v>20050399</v>
      </c>
      <c r="E4621" s="46" t="s">
        <v>13596</v>
      </c>
      <c r="F4621" s="46" t="s">
        <v>50649</v>
      </c>
      <c r="G4621" s="46" t="s">
        <v>50606</v>
      </c>
      <c r="H4621" s="48" t="s">
        <v>56716</v>
      </c>
      <c r="I4621" s="48" t="s">
        <v>50564</v>
      </c>
      <c r="J4621" s="48"/>
      <c r="K4621" s="50"/>
      <c r="L4621" s="48" t="s">
        <v>56716</v>
      </c>
    </row>
    <row r="4622" spans="1:12" s="37" customFormat="1" ht="11.25" x14ac:dyDescent="0.2">
      <c r="A4622" s="46" t="s">
        <v>5013</v>
      </c>
      <c r="B4622" s="46" t="s">
        <v>53713</v>
      </c>
      <c r="C4622" s="58" t="str">
        <f>"10424067"</f>
        <v>10424067</v>
      </c>
      <c r="D4622" s="58" t="str">
        <f>"15577724"</f>
        <v>15577724</v>
      </c>
      <c r="E4622" s="46" t="s">
        <v>4337</v>
      </c>
      <c r="F4622" s="46" t="s">
        <v>17759</v>
      </c>
      <c r="G4622" s="46" t="s">
        <v>50584</v>
      </c>
      <c r="H4622" s="48" t="s">
        <v>56716</v>
      </c>
      <c r="I4622" s="48" t="s">
        <v>50564</v>
      </c>
      <c r="J4622" s="48" t="s">
        <v>56716</v>
      </c>
      <c r="K4622" s="50"/>
      <c r="L4622" s="48"/>
    </row>
    <row r="4623" spans="1:12" s="37" customFormat="1" ht="11.25" x14ac:dyDescent="0.2">
      <c r="A4623" s="46" t="s">
        <v>13220</v>
      </c>
      <c r="B4623" s="46" t="s">
        <v>53714</v>
      </c>
      <c r="C4623" s="58" t="str">
        <f>"09741216"</f>
        <v>09741216</v>
      </c>
      <c r="D4623" s="58" t="str">
        <f>"09747818"</f>
        <v>09747818</v>
      </c>
      <c r="E4623" s="46" t="s">
        <v>19057</v>
      </c>
      <c r="F4623" s="46" t="s">
        <v>20446</v>
      </c>
      <c r="G4623" s="46" t="s">
        <v>50584</v>
      </c>
      <c r="H4623" s="48" t="s">
        <v>56716</v>
      </c>
      <c r="I4623" s="48" t="s">
        <v>50564</v>
      </c>
      <c r="J4623" s="48"/>
      <c r="K4623" s="50"/>
      <c r="L4623" s="48"/>
    </row>
    <row r="4624" spans="1:12" s="37" customFormat="1" ht="11.25" x14ac:dyDescent="0.2">
      <c r="A4624" s="46" t="s">
        <v>2354</v>
      </c>
      <c r="B4624" s="46" t="s">
        <v>56308</v>
      </c>
      <c r="C4624" s="58" t="str">
        <f>"03635023"</f>
        <v>03635023</v>
      </c>
      <c r="D4624" s="58" t="str">
        <f>"15316564"</f>
        <v>15316564</v>
      </c>
      <c r="E4624" s="46" t="s">
        <v>303</v>
      </c>
      <c r="F4624" s="46" t="s">
        <v>17759</v>
      </c>
      <c r="G4624" s="46" t="s">
        <v>50584</v>
      </c>
      <c r="H4624" s="48" t="s">
        <v>56716</v>
      </c>
      <c r="I4624" s="48" t="s">
        <v>50564</v>
      </c>
      <c r="J4624" s="48" t="s">
        <v>56716</v>
      </c>
      <c r="K4624" s="50" t="s">
        <v>56716</v>
      </c>
      <c r="L4624" s="48" t="s">
        <v>56716</v>
      </c>
    </row>
    <row r="4625" spans="1:12" s="37" customFormat="1" ht="11.25" x14ac:dyDescent="0.2">
      <c r="A4625" s="46" t="s">
        <v>6584</v>
      </c>
      <c r="B4625" s="46" t="s">
        <v>53715</v>
      </c>
      <c r="C4625" s="58" t="str">
        <f>"08941130"</f>
        <v>08941130</v>
      </c>
      <c r="D4625" s="58" t="str">
        <f>"1545004X"</f>
        <v>1545004X</v>
      </c>
      <c r="E4625" s="46" t="s">
        <v>6587</v>
      </c>
      <c r="F4625" s="46" t="s">
        <v>17759</v>
      </c>
      <c r="G4625" s="46" t="s">
        <v>50584</v>
      </c>
      <c r="H4625" s="48" t="s">
        <v>56716</v>
      </c>
      <c r="I4625" s="48" t="s">
        <v>50564</v>
      </c>
      <c r="J4625" s="48"/>
      <c r="K4625" s="50" t="s">
        <v>56716</v>
      </c>
      <c r="L4625" s="48" t="s">
        <v>56716</v>
      </c>
    </row>
    <row r="4626" spans="1:12" s="37" customFormat="1" ht="11.25" x14ac:dyDescent="0.2">
      <c r="A4626" s="46" t="s">
        <v>2351</v>
      </c>
      <c r="B4626" s="46" t="s">
        <v>53716</v>
      </c>
      <c r="C4626" s="58" t="str">
        <f>"03043894"</f>
        <v>03043894</v>
      </c>
      <c r="D4626" s="58" t="str">
        <f>"18733336"</f>
        <v>18733336</v>
      </c>
      <c r="E4626" s="46" t="s">
        <v>91</v>
      </c>
      <c r="F4626" s="46" t="s">
        <v>18001</v>
      </c>
      <c r="G4626" s="46" t="s">
        <v>50584</v>
      </c>
      <c r="H4626" s="48" t="s">
        <v>56716</v>
      </c>
      <c r="I4626" s="48" t="s">
        <v>50564</v>
      </c>
      <c r="J4626" s="48"/>
      <c r="K4626" s="50" t="s">
        <v>56716</v>
      </c>
      <c r="L4626" s="48" t="s">
        <v>56716</v>
      </c>
    </row>
    <row r="4627" spans="1:12" s="37" customFormat="1" ht="11.25" x14ac:dyDescent="0.2">
      <c r="A4627" s="46" t="s">
        <v>4305</v>
      </c>
      <c r="B4627" s="46" t="s">
        <v>53717</v>
      </c>
      <c r="C4627" s="58" t="str">
        <f>"08859701"</f>
        <v>08859701</v>
      </c>
      <c r="D4627" s="58" t="str">
        <f>"1550509X"</f>
        <v>1550509X</v>
      </c>
      <c r="E4627" s="46" t="s">
        <v>28</v>
      </c>
      <c r="F4627" s="46" t="s">
        <v>17759</v>
      </c>
      <c r="G4627" s="46" t="s">
        <v>50584</v>
      </c>
      <c r="H4627" s="48" t="s">
        <v>56716</v>
      </c>
      <c r="I4627" s="48" t="s">
        <v>50564</v>
      </c>
      <c r="J4627" s="48"/>
      <c r="K4627" s="50" t="s">
        <v>56716</v>
      </c>
      <c r="L4627" s="48" t="s">
        <v>56716</v>
      </c>
    </row>
    <row r="4628" spans="1:12" s="37" customFormat="1" ht="11.25" x14ac:dyDescent="0.2">
      <c r="A4628" s="46" t="s">
        <v>8771</v>
      </c>
      <c r="B4628" s="46" t="s">
        <v>53718</v>
      </c>
      <c r="C4628" s="58" t="str">
        <f>"11292369"</f>
        <v>11292369</v>
      </c>
      <c r="D4628" s="58" t="str">
        <f>"11292377"</f>
        <v>11292377</v>
      </c>
      <c r="E4628" s="46" t="s">
        <v>55895</v>
      </c>
      <c r="F4628" s="46" t="s">
        <v>17991</v>
      </c>
      <c r="G4628" s="46" t="s">
        <v>50584</v>
      </c>
      <c r="H4628" s="48" t="s">
        <v>56716</v>
      </c>
      <c r="I4628" s="48" t="s">
        <v>50564</v>
      </c>
      <c r="J4628" s="48" t="s">
        <v>56716</v>
      </c>
      <c r="K4628" s="50"/>
      <c r="L4628" s="48" t="s">
        <v>56716</v>
      </c>
    </row>
    <row r="4629" spans="1:12" s="37" customFormat="1" ht="11.25" x14ac:dyDescent="0.2">
      <c r="A4629" s="45" t="s">
        <v>35845</v>
      </c>
      <c r="B4629" s="45" t="s">
        <v>35847</v>
      </c>
      <c r="C4629" s="51" t="s">
        <v>35849</v>
      </c>
      <c r="D4629" s="51"/>
      <c r="E4629" s="45" t="s">
        <v>35850</v>
      </c>
      <c r="F4629" s="45" t="s">
        <v>17759</v>
      </c>
      <c r="G4629" s="45" t="s">
        <v>50584</v>
      </c>
      <c r="H4629" s="56"/>
      <c r="I4629" s="56" t="s">
        <v>50564</v>
      </c>
      <c r="J4629" s="56"/>
      <c r="K4629" s="50"/>
      <c r="L4629" s="56" t="s">
        <v>56716</v>
      </c>
    </row>
    <row r="4630" spans="1:12" s="37" customFormat="1" ht="11.25" x14ac:dyDescent="0.2">
      <c r="A4630" s="45" t="s">
        <v>35852</v>
      </c>
      <c r="B4630" s="45" t="s">
        <v>35854</v>
      </c>
      <c r="C4630" s="51" t="s">
        <v>35857</v>
      </c>
      <c r="D4630" s="51" t="s">
        <v>35856</v>
      </c>
      <c r="E4630" s="45" t="s">
        <v>18520</v>
      </c>
      <c r="F4630" s="45" t="s">
        <v>17759</v>
      </c>
      <c r="G4630" s="45" t="s">
        <v>50584</v>
      </c>
      <c r="H4630" s="56"/>
      <c r="I4630" s="56" t="s">
        <v>50564</v>
      </c>
      <c r="J4630" s="56"/>
      <c r="K4630" s="50"/>
      <c r="L4630" s="56" t="s">
        <v>56716</v>
      </c>
    </row>
    <row r="4631" spans="1:12" s="37" customFormat="1" ht="11.25" x14ac:dyDescent="0.2">
      <c r="A4631" s="46" t="s">
        <v>56189</v>
      </c>
      <c r="B4631" s="46" t="s">
        <v>56190</v>
      </c>
      <c r="C4631" s="58" t="str">
        <f>"18237339"</f>
        <v>18237339</v>
      </c>
      <c r="D4631" s="58" t="str">
        <f>"2289392X"</f>
        <v>2289392X</v>
      </c>
      <c r="E4631" s="46" t="s">
        <v>13493</v>
      </c>
      <c r="F4631" s="46" t="s">
        <v>39931</v>
      </c>
      <c r="G4631" s="46" t="s">
        <v>50584</v>
      </c>
      <c r="H4631" s="48" t="s">
        <v>56716</v>
      </c>
      <c r="I4631" s="48" t="s">
        <v>50564</v>
      </c>
      <c r="J4631" s="48"/>
      <c r="K4631" s="50"/>
      <c r="L4631" s="48"/>
    </row>
    <row r="4632" spans="1:12" s="37" customFormat="1" ht="11.25" x14ac:dyDescent="0.2">
      <c r="A4632" s="45" t="s">
        <v>35859</v>
      </c>
      <c r="B4632" s="45" t="s">
        <v>35861</v>
      </c>
      <c r="C4632" s="51" t="s">
        <v>35863</v>
      </c>
      <c r="D4632" s="51" t="s">
        <v>35862</v>
      </c>
      <c r="E4632" s="45" t="s">
        <v>689</v>
      </c>
      <c r="F4632" s="45" t="s">
        <v>17759</v>
      </c>
      <c r="G4632" s="45" t="s">
        <v>50584</v>
      </c>
      <c r="H4632" s="56"/>
      <c r="I4632" s="56" t="s">
        <v>50564</v>
      </c>
      <c r="J4632" s="56"/>
      <c r="K4632" s="50"/>
      <c r="L4632" s="56" t="s">
        <v>56716</v>
      </c>
    </row>
    <row r="4633" spans="1:12" s="37" customFormat="1" ht="11.25" x14ac:dyDescent="0.2">
      <c r="A4633" s="46" t="s">
        <v>6713</v>
      </c>
      <c r="B4633" s="46" t="s">
        <v>53719</v>
      </c>
      <c r="C4633" s="58" t="str">
        <f>"10786767"</f>
        <v>10786767</v>
      </c>
      <c r="D4633" s="58" t="str">
        <f>""</f>
        <v/>
      </c>
      <c r="E4633" s="46" t="s">
        <v>6715</v>
      </c>
      <c r="F4633" s="46" t="s">
        <v>17759</v>
      </c>
      <c r="G4633" s="46" t="s">
        <v>50584</v>
      </c>
      <c r="H4633" s="48" t="s">
        <v>56716</v>
      </c>
      <c r="I4633" s="48" t="s">
        <v>50564</v>
      </c>
      <c r="J4633" s="48"/>
      <c r="K4633" s="50"/>
      <c r="L4633" s="48" t="s">
        <v>56716</v>
      </c>
    </row>
    <row r="4634" spans="1:12" s="37" customFormat="1" ht="11.25" x14ac:dyDescent="0.2">
      <c r="A4634" s="45" t="s">
        <v>35871</v>
      </c>
      <c r="B4634" s="45" t="s">
        <v>35873</v>
      </c>
      <c r="C4634" s="51" t="s">
        <v>35875</v>
      </c>
      <c r="D4634" s="51" t="s">
        <v>35874</v>
      </c>
      <c r="E4634" s="45" t="s">
        <v>23783</v>
      </c>
      <c r="F4634" s="45" t="s">
        <v>17759</v>
      </c>
      <c r="G4634" s="45" t="s">
        <v>50584</v>
      </c>
      <c r="H4634" s="56"/>
      <c r="I4634" s="56" t="s">
        <v>50564</v>
      </c>
      <c r="J4634" s="56"/>
      <c r="K4634" s="50"/>
      <c r="L4634" s="56" t="s">
        <v>56716</v>
      </c>
    </row>
    <row r="4635" spans="1:12" s="37" customFormat="1" ht="11.25" x14ac:dyDescent="0.2">
      <c r="A4635" s="45" t="s">
        <v>35877</v>
      </c>
      <c r="B4635" s="45" t="s">
        <v>35879</v>
      </c>
      <c r="C4635" s="51" t="s">
        <v>35881</v>
      </c>
      <c r="D4635" s="51" t="s">
        <v>35880</v>
      </c>
      <c r="E4635" s="45" t="s">
        <v>18404</v>
      </c>
      <c r="F4635" s="45" t="s">
        <v>17759</v>
      </c>
      <c r="G4635" s="45" t="s">
        <v>50584</v>
      </c>
      <c r="H4635" s="56"/>
      <c r="I4635" s="56" t="s">
        <v>50564</v>
      </c>
      <c r="J4635" s="56"/>
      <c r="K4635" s="50"/>
      <c r="L4635" s="56" t="s">
        <v>56716</v>
      </c>
    </row>
    <row r="4636" spans="1:12" s="37" customFormat="1" ht="11.25" x14ac:dyDescent="0.2">
      <c r="A4636" s="46" t="s">
        <v>2345</v>
      </c>
      <c r="B4636" s="46" t="s">
        <v>53720</v>
      </c>
      <c r="C4636" s="58" t="str">
        <f>"01676296"</f>
        <v>01676296</v>
      </c>
      <c r="D4636" s="58" t="str">
        <f>"18791646"</f>
        <v>18791646</v>
      </c>
      <c r="E4636" s="46" t="s">
        <v>91</v>
      </c>
      <c r="F4636" s="46" t="s">
        <v>18001</v>
      </c>
      <c r="G4636" s="46" t="s">
        <v>50584</v>
      </c>
      <c r="H4636" s="48" t="s">
        <v>56716</v>
      </c>
      <c r="I4636" s="48" t="s">
        <v>50564</v>
      </c>
      <c r="J4636" s="48"/>
      <c r="K4636" s="50"/>
      <c r="L4636" s="48" t="s">
        <v>56716</v>
      </c>
    </row>
    <row r="4637" spans="1:12" s="37" customFormat="1" ht="11.25" x14ac:dyDescent="0.2">
      <c r="A4637" s="45" t="s">
        <v>35888</v>
      </c>
      <c r="B4637" s="45" t="s">
        <v>35890</v>
      </c>
      <c r="C4637" s="51" t="s">
        <v>35892</v>
      </c>
      <c r="D4637" s="51"/>
      <c r="E4637" s="45" t="s">
        <v>18862</v>
      </c>
      <c r="F4637" s="45" t="s">
        <v>50646</v>
      </c>
      <c r="G4637" s="45" t="s">
        <v>50584</v>
      </c>
      <c r="H4637" s="56"/>
      <c r="I4637" s="56" t="s">
        <v>50564</v>
      </c>
      <c r="J4637" s="56"/>
      <c r="K4637" s="50"/>
      <c r="L4637" s="56" t="s">
        <v>56716</v>
      </c>
    </row>
    <row r="4638" spans="1:12" s="37" customFormat="1" ht="11.25" x14ac:dyDescent="0.2">
      <c r="A4638" s="45" t="s">
        <v>35894</v>
      </c>
      <c r="B4638" s="45" t="s">
        <v>35896</v>
      </c>
      <c r="C4638" s="51" t="s">
        <v>35898</v>
      </c>
      <c r="D4638" s="51" t="s">
        <v>35897</v>
      </c>
      <c r="E4638" s="45" t="s">
        <v>35899</v>
      </c>
      <c r="F4638" s="45" t="s">
        <v>17759</v>
      </c>
      <c r="G4638" s="45" t="s">
        <v>50584</v>
      </c>
      <c r="H4638" s="56"/>
      <c r="I4638" s="56" t="s">
        <v>50564</v>
      </c>
      <c r="J4638" s="56"/>
      <c r="K4638" s="50"/>
      <c r="L4638" s="56" t="s">
        <v>56716</v>
      </c>
    </row>
    <row r="4639" spans="1:12" s="37" customFormat="1" ht="11.25" x14ac:dyDescent="0.2">
      <c r="A4639" s="45" t="s">
        <v>35902</v>
      </c>
      <c r="B4639" s="45" t="s">
        <v>35904</v>
      </c>
      <c r="C4639" s="51" t="s">
        <v>35906</v>
      </c>
      <c r="D4639" s="51" t="s">
        <v>35905</v>
      </c>
      <c r="E4639" s="45" t="s">
        <v>19447</v>
      </c>
      <c r="F4639" s="45" t="s">
        <v>50646</v>
      </c>
      <c r="G4639" s="45" t="s">
        <v>50584</v>
      </c>
      <c r="H4639" s="56"/>
      <c r="I4639" s="56" t="s">
        <v>50564</v>
      </c>
      <c r="J4639" s="56"/>
      <c r="K4639" s="50"/>
      <c r="L4639" s="56" t="s">
        <v>56716</v>
      </c>
    </row>
    <row r="4640" spans="1:12" s="37" customFormat="1" ht="11.25" x14ac:dyDescent="0.2">
      <c r="A4640" s="46" t="s">
        <v>8283</v>
      </c>
      <c r="B4640" s="46" t="s">
        <v>53721</v>
      </c>
      <c r="C4640" s="58" t="str">
        <f>"13449702"</f>
        <v>13449702</v>
      </c>
      <c r="D4640" s="58" t="str">
        <f>"13475207"</f>
        <v>13475207</v>
      </c>
      <c r="E4640" s="46" t="s">
        <v>1253</v>
      </c>
      <c r="F4640" s="46" t="s">
        <v>18242</v>
      </c>
      <c r="G4640" s="46" t="s">
        <v>50605</v>
      </c>
      <c r="H4640" s="48" t="s">
        <v>56716</v>
      </c>
      <c r="I4640" s="48" t="s">
        <v>50564</v>
      </c>
      <c r="J4640" s="48"/>
      <c r="K4640" s="50"/>
      <c r="L4640" s="48"/>
    </row>
    <row r="4641" spans="1:12" s="37" customFormat="1" ht="11.25" x14ac:dyDescent="0.2">
      <c r="A4641" s="46" t="s">
        <v>7100</v>
      </c>
      <c r="B4641" s="46" t="s">
        <v>53722</v>
      </c>
      <c r="C4641" s="58" t="str">
        <f>"13558196"</f>
        <v>13558196</v>
      </c>
      <c r="D4641" s="58" t="str">
        <f>"17581060"</f>
        <v>17581060</v>
      </c>
      <c r="E4641" s="46" t="s">
        <v>97</v>
      </c>
      <c r="F4641" s="46" t="s">
        <v>50646</v>
      </c>
      <c r="G4641" s="46" t="s">
        <v>50584</v>
      </c>
      <c r="H4641" s="48" t="s">
        <v>56716</v>
      </c>
      <c r="I4641" s="48" t="s">
        <v>50564</v>
      </c>
      <c r="J4641" s="48" t="s">
        <v>56716</v>
      </c>
      <c r="K4641" s="50"/>
      <c r="L4641" s="48" t="s">
        <v>56716</v>
      </c>
    </row>
    <row r="4642" spans="1:12" s="37" customFormat="1" ht="11.25" x14ac:dyDescent="0.2">
      <c r="A4642" s="45" t="s">
        <v>35913</v>
      </c>
      <c r="B4642" s="45" t="s">
        <v>35915</v>
      </c>
      <c r="C4642" s="51" t="s">
        <v>35918</v>
      </c>
      <c r="D4642" s="51" t="s">
        <v>35917</v>
      </c>
      <c r="E4642" s="45" t="s">
        <v>35919</v>
      </c>
      <c r="F4642" s="45" t="s">
        <v>22024</v>
      </c>
      <c r="G4642" s="45" t="s">
        <v>50584</v>
      </c>
      <c r="H4642" s="56"/>
      <c r="I4642" s="56" t="s">
        <v>50564</v>
      </c>
      <c r="J4642" s="56"/>
      <c r="K4642" s="50"/>
      <c r="L4642" s="56" t="s">
        <v>56716</v>
      </c>
    </row>
    <row r="4643" spans="1:12" s="37" customFormat="1" ht="11.25" x14ac:dyDescent="0.2">
      <c r="A4643" s="46" t="s">
        <v>16270</v>
      </c>
      <c r="B4643" s="46" t="s">
        <v>53723</v>
      </c>
      <c r="C4643" s="58" t="str">
        <f>"20402295"</f>
        <v>20402295</v>
      </c>
      <c r="D4643" s="58" t="str">
        <f>"20402309"</f>
        <v>20402309</v>
      </c>
      <c r="E4643" s="46" t="s">
        <v>16273</v>
      </c>
      <c r="F4643" s="46" t="s">
        <v>50646</v>
      </c>
      <c r="G4643" s="46" t="s">
        <v>50584</v>
      </c>
      <c r="H4643" s="48" t="s">
        <v>56716</v>
      </c>
      <c r="I4643" s="48" t="s">
        <v>50564</v>
      </c>
      <c r="J4643" s="48"/>
      <c r="K4643" s="50"/>
      <c r="L4643" s="48" t="s">
        <v>56716</v>
      </c>
    </row>
    <row r="4644" spans="1:12" s="37" customFormat="1" ht="11.25" x14ac:dyDescent="0.2">
      <c r="A4644" s="46" t="s">
        <v>7720</v>
      </c>
      <c r="B4644" s="46" t="s">
        <v>53724</v>
      </c>
      <c r="C4644" s="58" t="str">
        <f>"10969012"</f>
        <v>10969012</v>
      </c>
      <c r="D4644" s="58" t="str">
        <f>"19447396"</f>
        <v>19447396</v>
      </c>
      <c r="E4644" s="46" t="s">
        <v>7723</v>
      </c>
      <c r="F4644" s="46" t="s">
        <v>17759</v>
      </c>
      <c r="G4644" s="46" t="s">
        <v>50584</v>
      </c>
      <c r="H4644" s="48" t="s">
        <v>56716</v>
      </c>
      <c r="I4644" s="48" t="s">
        <v>50564</v>
      </c>
      <c r="J4644" s="48"/>
      <c r="K4644" s="50"/>
      <c r="L4644" s="48" t="s">
        <v>56716</v>
      </c>
    </row>
    <row r="4645" spans="1:12" s="37" customFormat="1" ht="11.25" x14ac:dyDescent="0.2">
      <c r="A4645" s="45" t="s">
        <v>35941</v>
      </c>
      <c r="B4645" s="45" t="s">
        <v>35943</v>
      </c>
      <c r="C4645" s="51" t="s">
        <v>35944</v>
      </c>
      <c r="D4645" s="51"/>
      <c r="E4645" s="45" t="s">
        <v>35945</v>
      </c>
      <c r="F4645" s="45" t="s">
        <v>17759</v>
      </c>
      <c r="G4645" s="45" t="s">
        <v>50584</v>
      </c>
      <c r="H4645" s="56"/>
      <c r="I4645" s="56" t="s">
        <v>50564</v>
      </c>
      <c r="J4645" s="56"/>
      <c r="K4645" s="50"/>
      <c r="L4645" s="56" t="s">
        <v>56716</v>
      </c>
    </row>
    <row r="4646" spans="1:12" s="37" customFormat="1" ht="11.25" x14ac:dyDescent="0.2">
      <c r="A4646" s="45" t="s">
        <v>35947</v>
      </c>
      <c r="B4646" s="45" t="s">
        <v>35949</v>
      </c>
      <c r="C4646" s="51" t="s">
        <v>35952</v>
      </c>
      <c r="D4646" s="51" t="s">
        <v>35951</v>
      </c>
      <c r="E4646" s="45" t="s">
        <v>35953</v>
      </c>
      <c r="F4646" s="45" t="s">
        <v>17759</v>
      </c>
      <c r="G4646" s="45" t="s">
        <v>50584</v>
      </c>
      <c r="H4646" s="56"/>
      <c r="I4646" s="56" t="s">
        <v>50564</v>
      </c>
      <c r="J4646" s="56"/>
      <c r="K4646" s="50"/>
      <c r="L4646" s="56" t="s">
        <v>56716</v>
      </c>
    </row>
    <row r="4647" spans="1:12" s="37" customFormat="1" ht="11.25" x14ac:dyDescent="0.2">
      <c r="A4647" s="46" t="s">
        <v>5421</v>
      </c>
      <c r="B4647" s="46" t="s">
        <v>53725</v>
      </c>
      <c r="C4647" s="58" t="str">
        <f>"10532498"</f>
        <v>10532498</v>
      </c>
      <c r="D4647" s="58" t="str">
        <f>"15573117"</f>
        <v>15573117</v>
      </c>
      <c r="E4647" s="46" t="s">
        <v>673</v>
      </c>
      <c r="F4647" s="46" t="s">
        <v>17759</v>
      </c>
      <c r="G4647" s="46" t="s">
        <v>50584</v>
      </c>
      <c r="H4647" s="48" t="s">
        <v>56716</v>
      </c>
      <c r="I4647" s="48" t="s">
        <v>50564</v>
      </c>
      <c r="J4647" s="48" t="s">
        <v>56716</v>
      </c>
      <c r="K4647" s="50" t="s">
        <v>56716</v>
      </c>
      <c r="L4647" s="48" t="s">
        <v>56716</v>
      </c>
    </row>
    <row r="4648" spans="1:12" s="37" customFormat="1" ht="11.25" x14ac:dyDescent="0.2">
      <c r="A4648" s="46" t="s">
        <v>6059</v>
      </c>
      <c r="B4648" s="46" t="s">
        <v>53726</v>
      </c>
      <c r="C4648" s="58" t="str">
        <f>"09668519"</f>
        <v>09668519</v>
      </c>
      <c r="D4648" s="58" t="str">
        <f>""</f>
        <v/>
      </c>
      <c r="E4648" s="46" t="s">
        <v>6061</v>
      </c>
      <c r="F4648" s="46" t="s">
        <v>50646</v>
      </c>
      <c r="G4648" s="46" t="s">
        <v>50584</v>
      </c>
      <c r="H4648" s="48" t="s">
        <v>56716</v>
      </c>
      <c r="I4648" s="48" t="s">
        <v>50564</v>
      </c>
      <c r="J4648" s="48" t="s">
        <v>56716</v>
      </c>
      <c r="K4648" s="50"/>
      <c r="L4648" s="48" t="s">
        <v>56716</v>
      </c>
    </row>
    <row r="4649" spans="1:12" s="37" customFormat="1" ht="11.25" x14ac:dyDescent="0.2">
      <c r="A4649" s="46" t="s">
        <v>2576</v>
      </c>
      <c r="B4649" s="46" t="s">
        <v>53727</v>
      </c>
      <c r="C4649" s="58" t="str">
        <f>"0022149X"</f>
        <v>0022149X</v>
      </c>
      <c r="D4649" s="58" t="str">
        <f>"14752697"</f>
        <v>14752697</v>
      </c>
      <c r="E4649" s="46" t="s">
        <v>724</v>
      </c>
      <c r="F4649" s="46" t="s">
        <v>50646</v>
      </c>
      <c r="G4649" s="46" t="s">
        <v>50584</v>
      </c>
      <c r="H4649" s="48" t="s">
        <v>56716</v>
      </c>
      <c r="I4649" s="48" t="s">
        <v>50564</v>
      </c>
      <c r="J4649" s="48"/>
      <c r="K4649" s="50" t="s">
        <v>56716</v>
      </c>
      <c r="L4649" s="48" t="s">
        <v>56716</v>
      </c>
    </row>
    <row r="4650" spans="1:12" s="37" customFormat="1" ht="11.25" x14ac:dyDescent="0.2">
      <c r="A4650" s="46" t="s">
        <v>13121</v>
      </c>
      <c r="B4650" s="46" t="s">
        <v>53728</v>
      </c>
      <c r="C4650" s="58" t="str">
        <f>""</f>
        <v/>
      </c>
      <c r="D4650" s="58" t="str">
        <f>"17568722"</f>
        <v>17568722</v>
      </c>
      <c r="E4650" s="46" t="s">
        <v>2299</v>
      </c>
      <c r="F4650" s="46" t="s">
        <v>50646</v>
      </c>
      <c r="G4650" s="46" t="s">
        <v>50584</v>
      </c>
      <c r="H4650" s="48" t="s">
        <v>56716</v>
      </c>
      <c r="I4650" s="48" t="s">
        <v>50564</v>
      </c>
      <c r="J4650" s="48"/>
      <c r="K4650" s="50" t="s">
        <v>56716</v>
      </c>
      <c r="L4650" s="48" t="s">
        <v>56716</v>
      </c>
    </row>
    <row r="4651" spans="1:12" s="37" customFormat="1" ht="11.25" x14ac:dyDescent="0.2">
      <c r="A4651" s="46" t="s">
        <v>15426</v>
      </c>
      <c r="B4651" s="46" t="s">
        <v>53729</v>
      </c>
      <c r="C4651" s="58" t="str">
        <f>"18686974"</f>
        <v>18686974</v>
      </c>
      <c r="D4651" s="58" t="str">
        <f>"18686982"</f>
        <v>18686982</v>
      </c>
      <c r="E4651" s="46" t="s">
        <v>7004</v>
      </c>
      <c r="F4651" s="46" t="s">
        <v>18242</v>
      </c>
      <c r="G4651" s="46" t="s">
        <v>50584</v>
      </c>
      <c r="H4651" s="48" t="s">
        <v>56716</v>
      </c>
      <c r="I4651" s="48" t="s">
        <v>50564</v>
      </c>
      <c r="J4651" s="48"/>
      <c r="K4651" s="50" t="s">
        <v>56716</v>
      </c>
      <c r="L4651" s="48" t="s">
        <v>56716</v>
      </c>
    </row>
    <row r="4652" spans="1:12" s="37" customFormat="1" ht="11.25" x14ac:dyDescent="0.2">
      <c r="A4652" s="46" t="s">
        <v>2570</v>
      </c>
      <c r="B4652" s="46" t="s">
        <v>53730</v>
      </c>
      <c r="C4652" s="58" t="str">
        <f>"01688278"</f>
        <v>01688278</v>
      </c>
      <c r="D4652" s="58" t="str">
        <f>"16000641"</f>
        <v>16000641</v>
      </c>
      <c r="E4652" s="46" t="s">
        <v>91</v>
      </c>
      <c r="F4652" s="46" t="s">
        <v>18001</v>
      </c>
      <c r="G4652" s="46" t="s">
        <v>50584</v>
      </c>
      <c r="H4652" s="48" t="s">
        <v>56716</v>
      </c>
      <c r="I4652" s="48" t="s">
        <v>50564</v>
      </c>
      <c r="J4652" s="48" t="s">
        <v>56716</v>
      </c>
      <c r="K4652" s="50" t="s">
        <v>56716</v>
      </c>
      <c r="L4652" s="48" t="s">
        <v>56716</v>
      </c>
    </row>
    <row r="4653" spans="1:12" s="37" customFormat="1" ht="11.25" x14ac:dyDescent="0.2">
      <c r="A4653" s="46" t="s">
        <v>15476</v>
      </c>
      <c r="B4653" s="46" t="s">
        <v>53731</v>
      </c>
      <c r="C4653" s="58" t="str">
        <f>"22108033"</f>
        <v>22108033</v>
      </c>
      <c r="D4653" s="58" t="str">
        <f>"22108041"</f>
        <v>22108041</v>
      </c>
      <c r="E4653" s="46" t="s">
        <v>1479</v>
      </c>
      <c r="F4653" s="46" t="s">
        <v>18158</v>
      </c>
      <c r="G4653" s="46" t="s">
        <v>50584</v>
      </c>
      <c r="H4653" s="48" t="s">
        <v>56716</v>
      </c>
      <c r="I4653" s="48" t="s">
        <v>50564</v>
      </c>
      <c r="J4653" s="48" t="s">
        <v>56716</v>
      </c>
      <c r="K4653" s="50" t="s">
        <v>56716</v>
      </c>
      <c r="L4653" s="48"/>
    </row>
    <row r="4654" spans="1:12" s="37" customFormat="1" ht="11.25" x14ac:dyDescent="0.2">
      <c r="A4654" s="46" t="s">
        <v>56155</v>
      </c>
      <c r="B4654" s="46" t="s">
        <v>56156</v>
      </c>
      <c r="C4654" s="58" t="str">
        <f>""</f>
        <v/>
      </c>
      <c r="D4654" s="58" t="str">
        <f>"23455004"</f>
        <v>23455004</v>
      </c>
      <c r="E4654" s="46" t="s">
        <v>56157</v>
      </c>
      <c r="F4654" s="46" t="s">
        <v>18232</v>
      </c>
      <c r="G4654" s="46" t="s">
        <v>50584</v>
      </c>
      <c r="H4654" s="48" t="s">
        <v>56716</v>
      </c>
      <c r="I4654" s="48" t="s">
        <v>50564</v>
      </c>
      <c r="J4654" s="48"/>
      <c r="K4654" s="50"/>
      <c r="L4654" s="48"/>
    </row>
    <row r="4655" spans="1:12" s="37" customFormat="1" ht="11.25" x14ac:dyDescent="0.2">
      <c r="A4655" s="46" t="s">
        <v>7050</v>
      </c>
      <c r="B4655" s="46" t="s">
        <v>53732</v>
      </c>
      <c r="C4655" s="58" t="str">
        <f>"10496475"</f>
        <v>10496475</v>
      </c>
      <c r="D4655" s="58" t="str">
        <f>"15403580"</f>
        <v>15403580</v>
      </c>
      <c r="E4655" s="46" t="s">
        <v>669</v>
      </c>
      <c r="F4655" s="46" t="s">
        <v>17759</v>
      </c>
      <c r="G4655" s="46" t="s">
        <v>50584</v>
      </c>
      <c r="H4655" s="48" t="s">
        <v>56716</v>
      </c>
      <c r="I4655" s="48" t="s">
        <v>50564</v>
      </c>
      <c r="J4655" s="48"/>
      <c r="K4655" s="50"/>
      <c r="L4655" s="48"/>
    </row>
    <row r="4656" spans="1:12" s="37" customFormat="1" ht="11.25" x14ac:dyDescent="0.2">
      <c r="A4656" s="46" t="s">
        <v>2567</v>
      </c>
      <c r="B4656" s="46" t="s">
        <v>53733</v>
      </c>
      <c r="C4656" s="58" t="str">
        <f>"00221503"</f>
        <v>00221503</v>
      </c>
      <c r="D4656" s="58" t="str">
        <f>"14657333"</f>
        <v>14657333</v>
      </c>
      <c r="E4656" s="46" t="s">
        <v>55</v>
      </c>
      <c r="F4656" s="46" t="s">
        <v>50646</v>
      </c>
      <c r="G4656" s="46" t="s">
        <v>50584</v>
      </c>
      <c r="H4656" s="48" t="s">
        <v>56716</v>
      </c>
      <c r="I4656" s="48" t="s">
        <v>50564</v>
      </c>
      <c r="J4656" s="48" t="s">
        <v>56716</v>
      </c>
      <c r="K4656" s="50"/>
      <c r="L4656" s="48" t="s">
        <v>56716</v>
      </c>
    </row>
    <row r="4657" spans="1:12" s="37" customFormat="1" ht="11.25" x14ac:dyDescent="0.2">
      <c r="A4657" s="46" t="s">
        <v>2357</v>
      </c>
      <c r="B4657" s="46" t="s">
        <v>53734</v>
      </c>
      <c r="C4657" s="58" t="str">
        <f>"0022152X"</f>
        <v>0022152X</v>
      </c>
      <c r="D4657" s="58" t="str">
        <f>"19435193"</f>
        <v>19435193</v>
      </c>
      <c r="E4657" s="46" t="s">
        <v>2360</v>
      </c>
      <c r="F4657" s="46" t="s">
        <v>17759</v>
      </c>
      <c r="G4657" s="46" t="s">
        <v>50584</v>
      </c>
      <c r="H4657" s="48" t="s">
        <v>56716</v>
      </c>
      <c r="I4657" s="48" t="s">
        <v>50564</v>
      </c>
      <c r="J4657" s="48"/>
      <c r="K4657" s="50" t="s">
        <v>56716</v>
      </c>
      <c r="L4657" s="48"/>
    </row>
    <row r="4658" spans="1:12" s="37" customFormat="1" ht="11.25" x14ac:dyDescent="0.2">
      <c r="A4658" s="46" t="s">
        <v>2342</v>
      </c>
      <c r="B4658" s="46" t="s">
        <v>53735</v>
      </c>
      <c r="C4658" s="58" t="str">
        <f>"00221554"</f>
        <v>00221554</v>
      </c>
      <c r="D4658" s="58" t="str">
        <f>"15515044"</f>
        <v>15515044</v>
      </c>
      <c r="E4658" s="46" t="s">
        <v>2344</v>
      </c>
      <c r="F4658" s="46" t="s">
        <v>17759</v>
      </c>
      <c r="G4658" s="46" t="s">
        <v>50584</v>
      </c>
      <c r="H4658" s="48" t="s">
        <v>56716</v>
      </c>
      <c r="I4658" s="48" t="s">
        <v>50564</v>
      </c>
      <c r="J4658" s="48" t="s">
        <v>56716</v>
      </c>
      <c r="K4658" s="50"/>
      <c r="L4658" s="48" t="s">
        <v>56716</v>
      </c>
    </row>
    <row r="4659" spans="1:12" s="37" customFormat="1" ht="11.25" x14ac:dyDescent="0.2">
      <c r="A4659" s="46" t="s">
        <v>2572</v>
      </c>
      <c r="B4659" s="46" t="s">
        <v>53736</v>
      </c>
      <c r="C4659" s="58" t="str">
        <f>"01478885"</f>
        <v>01478885</v>
      </c>
      <c r="D4659" s="58" t="str">
        <f>"20460236"</f>
        <v>20460236</v>
      </c>
      <c r="E4659" s="46" t="s">
        <v>2575</v>
      </c>
      <c r="F4659" s="46" t="s">
        <v>17759</v>
      </c>
      <c r="G4659" s="46" t="s">
        <v>50584</v>
      </c>
      <c r="H4659" s="48" t="s">
        <v>56716</v>
      </c>
      <c r="I4659" s="48" t="s">
        <v>50564</v>
      </c>
      <c r="J4659" s="48"/>
      <c r="K4659" s="50"/>
      <c r="L4659" s="48"/>
    </row>
    <row r="4660" spans="1:12" s="37" customFormat="1" ht="11.25" x14ac:dyDescent="0.2">
      <c r="A4660" s="45" t="s">
        <v>36000</v>
      </c>
      <c r="B4660" s="45" t="s">
        <v>36002</v>
      </c>
      <c r="C4660" s="51" t="s">
        <v>36004</v>
      </c>
      <c r="D4660" s="51"/>
      <c r="E4660" s="45" t="s">
        <v>36005</v>
      </c>
      <c r="F4660" s="45" t="s">
        <v>50646</v>
      </c>
      <c r="G4660" s="45" t="s">
        <v>50584</v>
      </c>
      <c r="H4660" s="56"/>
      <c r="I4660" s="56" t="s">
        <v>50564</v>
      </c>
      <c r="J4660" s="56"/>
      <c r="K4660" s="50"/>
      <c r="L4660" s="56" t="s">
        <v>56716</v>
      </c>
    </row>
    <row r="4661" spans="1:12" s="37" customFormat="1" ht="11.25" x14ac:dyDescent="0.2">
      <c r="A4661" s="45" t="s">
        <v>36007</v>
      </c>
      <c r="B4661" s="45" t="s">
        <v>36009</v>
      </c>
      <c r="C4661" s="51" t="s">
        <v>36011</v>
      </c>
      <c r="D4661" s="51" t="s">
        <v>36010</v>
      </c>
      <c r="E4661" s="45" t="s">
        <v>19447</v>
      </c>
      <c r="F4661" s="45" t="s">
        <v>17759</v>
      </c>
      <c r="G4661" s="45" t="s">
        <v>50584</v>
      </c>
      <c r="H4661" s="56"/>
      <c r="I4661" s="56" t="s">
        <v>50564</v>
      </c>
      <c r="J4661" s="56"/>
      <c r="K4661" s="50"/>
      <c r="L4661" s="56" t="s">
        <v>56716</v>
      </c>
    </row>
    <row r="4662" spans="1:12" s="37" customFormat="1" ht="11.25" x14ac:dyDescent="0.2">
      <c r="A4662" s="45" t="s">
        <v>36013</v>
      </c>
      <c r="B4662" s="45" t="s">
        <v>36015</v>
      </c>
      <c r="C4662" s="51" t="s">
        <v>36017</v>
      </c>
      <c r="D4662" s="51" t="s">
        <v>36016</v>
      </c>
      <c r="E4662" s="45" t="s">
        <v>689</v>
      </c>
      <c r="F4662" s="45" t="s">
        <v>17759</v>
      </c>
      <c r="G4662" s="45" t="s">
        <v>50584</v>
      </c>
      <c r="H4662" s="56"/>
      <c r="I4662" s="56" t="s">
        <v>50564</v>
      </c>
      <c r="J4662" s="56"/>
      <c r="K4662" s="50"/>
      <c r="L4662" s="56" t="s">
        <v>56716</v>
      </c>
    </row>
    <row r="4663" spans="1:12" s="37" customFormat="1" ht="11.25" x14ac:dyDescent="0.2">
      <c r="A4663" s="46" t="s">
        <v>2348</v>
      </c>
      <c r="B4663" s="46" t="s">
        <v>53737</v>
      </c>
      <c r="C4663" s="58" t="str">
        <f>"01956701"</f>
        <v>01956701</v>
      </c>
      <c r="D4663" s="58" t="str">
        <f>"15322939"</f>
        <v>15322939</v>
      </c>
      <c r="E4663" s="46" t="s">
        <v>1177</v>
      </c>
      <c r="F4663" s="46" t="s">
        <v>50646</v>
      </c>
      <c r="G4663" s="46" t="s">
        <v>50584</v>
      </c>
      <c r="H4663" s="48" t="s">
        <v>56716</v>
      </c>
      <c r="I4663" s="48" t="s">
        <v>50564</v>
      </c>
      <c r="J4663" s="48"/>
      <c r="K4663" s="50" t="s">
        <v>56716</v>
      </c>
      <c r="L4663" s="48" t="s">
        <v>56716</v>
      </c>
    </row>
    <row r="4664" spans="1:12" s="37" customFormat="1" ht="11.25" x14ac:dyDescent="0.2">
      <c r="A4664" s="45" t="s">
        <v>36026</v>
      </c>
      <c r="B4664" s="45" t="s">
        <v>36028</v>
      </c>
      <c r="C4664" s="51" t="s">
        <v>36031</v>
      </c>
      <c r="D4664" s="51" t="s">
        <v>36030</v>
      </c>
      <c r="E4664" s="45" t="s">
        <v>689</v>
      </c>
      <c r="F4664" s="45" t="s">
        <v>17759</v>
      </c>
      <c r="G4664" s="45" t="s">
        <v>50584</v>
      </c>
      <c r="H4664" s="56"/>
      <c r="I4664" s="56" t="s">
        <v>50564</v>
      </c>
      <c r="J4664" s="56"/>
      <c r="K4664" s="50"/>
      <c r="L4664" s="56" t="s">
        <v>56716</v>
      </c>
    </row>
    <row r="4665" spans="1:12" s="37" customFormat="1" ht="11.25" x14ac:dyDescent="0.2">
      <c r="A4665" s="46" t="s">
        <v>11905</v>
      </c>
      <c r="B4665" s="46" t="s">
        <v>53738</v>
      </c>
      <c r="C4665" s="58" t="str">
        <f>"15535592"</f>
        <v>15535592</v>
      </c>
      <c r="D4665" s="58" t="str">
        <f>"15535606"</f>
        <v>15535606</v>
      </c>
      <c r="E4665" s="46" t="s">
        <v>517</v>
      </c>
      <c r="F4665" s="46" t="s">
        <v>17759</v>
      </c>
      <c r="G4665" s="46" t="s">
        <v>50584</v>
      </c>
      <c r="H4665" s="48" t="s">
        <v>56716</v>
      </c>
      <c r="I4665" s="48" t="s">
        <v>50564</v>
      </c>
      <c r="J4665" s="48" t="s">
        <v>56716</v>
      </c>
      <c r="K4665" s="50" t="s">
        <v>56716</v>
      </c>
      <c r="L4665" s="48" t="s">
        <v>56716</v>
      </c>
    </row>
    <row r="4666" spans="1:12" s="37" customFormat="1" ht="11.25" x14ac:dyDescent="0.2">
      <c r="A4666" s="45" t="s">
        <v>36038</v>
      </c>
      <c r="B4666" s="45" t="s">
        <v>36040</v>
      </c>
      <c r="C4666" s="51" t="s">
        <v>36042</v>
      </c>
      <c r="D4666" s="51"/>
      <c r="E4666" s="45" t="s">
        <v>36043</v>
      </c>
      <c r="F4666" s="45" t="s">
        <v>17958</v>
      </c>
      <c r="G4666" s="45" t="s">
        <v>50584</v>
      </c>
      <c r="H4666" s="56"/>
      <c r="I4666" s="56" t="s">
        <v>50564</v>
      </c>
      <c r="J4666" s="56"/>
      <c r="K4666" s="50"/>
      <c r="L4666" s="56" t="s">
        <v>56716</v>
      </c>
    </row>
    <row r="4667" spans="1:12" s="37" customFormat="1" ht="11.25" x14ac:dyDescent="0.2">
      <c r="A4667" s="45" t="s">
        <v>36045</v>
      </c>
      <c r="B4667" s="45" t="s">
        <v>36047</v>
      </c>
      <c r="C4667" s="51" t="s">
        <v>36049</v>
      </c>
      <c r="D4667" s="51" t="s">
        <v>36048</v>
      </c>
      <c r="E4667" s="45" t="s">
        <v>36050</v>
      </c>
      <c r="F4667" s="45" t="s">
        <v>18242</v>
      </c>
      <c r="G4667" s="45" t="s">
        <v>50584</v>
      </c>
      <c r="H4667" s="56"/>
      <c r="I4667" s="56" t="s">
        <v>50564</v>
      </c>
      <c r="J4667" s="56"/>
      <c r="K4667" s="50"/>
      <c r="L4667" s="56" t="s">
        <v>56716</v>
      </c>
    </row>
    <row r="4668" spans="1:12" s="37" customFormat="1" ht="11.25" x14ac:dyDescent="0.2">
      <c r="A4668" s="45" t="s">
        <v>36052</v>
      </c>
      <c r="B4668" s="45" t="s">
        <v>36054</v>
      </c>
      <c r="C4668" s="51" t="s">
        <v>36056</v>
      </c>
      <c r="D4668" s="51" t="s">
        <v>36055</v>
      </c>
      <c r="E4668" s="45" t="s">
        <v>601</v>
      </c>
      <c r="F4668" s="45" t="s">
        <v>50646</v>
      </c>
      <c r="G4668" s="45" t="s">
        <v>50584</v>
      </c>
      <c r="H4668" s="56"/>
      <c r="I4668" s="56" t="s">
        <v>50564</v>
      </c>
      <c r="J4668" s="56"/>
      <c r="K4668" s="50"/>
      <c r="L4668" s="56" t="s">
        <v>56716</v>
      </c>
    </row>
    <row r="4669" spans="1:12" s="37" customFormat="1" ht="11.25" x14ac:dyDescent="0.2">
      <c r="A4669" s="46" t="s">
        <v>7781</v>
      </c>
      <c r="B4669" s="46" t="s">
        <v>53739</v>
      </c>
      <c r="C4669" s="58" t="str">
        <f>"14345161"</f>
        <v>14345161</v>
      </c>
      <c r="D4669" s="58" t="str">
        <f>"1435232X"</f>
        <v>1435232X</v>
      </c>
      <c r="E4669" s="46" t="s">
        <v>315</v>
      </c>
      <c r="F4669" s="46" t="s">
        <v>50646</v>
      </c>
      <c r="G4669" s="46" t="s">
        <v>50584</v>
      </c>
      <c r="H4669" s="48" t="s">
        <v>56716</v>
      </c>
      <c r="I4669" s="48" t="s">
        <v>50564</v>
      </c>
      <c r="J4669" s="48"/>
      <c r="K4669" s="50"/>
      <c r="L4669" s="48" t="s">
        <v>56716</v>
      </c>
    </row>
    <row r="4670" spans="1:12" s="37" customFormat="1" ht="11.25" x14ac:dyDescent="0.2">
      <c r="A4670" s="46" t="s">
        <v>4233</v>
      </c>
      <c r="B4670" s="46" t="s">
        <v>53740</v>
      </c>
      <c r="C4670" s="58" t="str">
        <f>"09509240"</f>
        <v>09509240</v>
      </c>
      <c r="D4670" s="58" t="str">
        <f>"14765527"</f>
        <v>14765527</v>
      </c>
      <c r="E4670" s="46" t="s">
        <v>315</v>
      </c>
      <c r="F4670" s="46" t="s">
        <v>50646</v>
      </c>
      <c r="G4670" s="46" t="s">
        <v>50584</v>
      </c>
      <c r="H4670" s="48" t="s">
        <v>56716</v>
      </c>
      <c r="I4670" s="48" t="s">
        <v>50564</v>
      </c>
      <c r="J4670" s="48"/>
      <c r="K4670" s="50" t="s">
        <v>56716</v>
      </c>
      <c r="L4670" s="48" t="s">
        <v>56716</v>
      </c>
    </row>
    <row r="4671" spans="1:12" s="37" customFormat="1" ht="11.25" x14ac:dyDescent="0.2">
      <c r="A4671" s="45" t="s">
        <v>36068</v>
      </c>
      <c r="B4671" s="45" t="s">
        <v>36070</v>
      </c>
      <c r="C4671" s="51" t="s">
        <v>36072</v>
      </c>
      <c r="D4671" s="51" t="s">
        <v>36071</v>
      </c>
      <c r="E4671" s="45" t="s">
        <v>19447</v>
      </c>
      <c r="F4671" s="45" t="s">
        <v>17759</v>
      </c>
      <c r="G4671" s="45" t="s">
        <v>50584</v>
      </c>
      <c r="H4671" s="56"/>
      <c r="I4671" s="56" t="s">
        <v>50564</v>
      </c>
      <c r="J4671" s="56"/>
      <c r="K4671" s="50"/>
      <c r="L4671" s="56" t="s">
        <v>56716</v>
      </c>
    </row>
    <row r="4672" spans="1:12" s="37" customFormat="1" ht="11.25" x14ac:dyDescent="0.2">
      <c r="A4672" s="45" t="s">
        <v>36075</v>
      </c>
      <c r="B4672" s="45" t="s">
        <v>36077</v>
      </c>
      <c r="C4672" s="51" t="s">
        <v>36080</v>
      </c>
      <c r="D4672" s="51" t="s">
        <v>36079</v>
      </c>
      <c r="E4672" s="45" t="s">
        <v>36081</v>
      </c>
      <c r="F4672" s="45" t="s">
        <v>50646</v>
      </c>
      <c r="G4672" s="45" t="s">
        <v>50584</v>
      </c>
      <c r="H4672" s="56"/>
      <c r="I4672" s="56" t="s">
        <v>50564</v>
      </c>
      <c r="J4672" s="56"/>
      <c r="K4672" s="50"/>
      <c r="L4672" s="56" t="s">
        <v>56716</v>
      </c>
    </row>
    <row r="4673" spans="1:12" s="37" customFormat="1" ht="11.25" x14ac:dyDescent="0.2">
      <c r="A4673" s="46" t="s">
        <v>13214</v>
      </c>
      <c r="B4673" s="46" t="s">
        <v>53741</v>
      </c>
      <c r="C4673" s="58" t="str">
        <f>"09741208"</f>
        <v>09741208</v>
      </c>
      <c r="D4673" s="58" t="str">
        <f>"19984766"</f>
        <v>19984766</v>
      </c>
      <c r="E4673" s="46" t="s">
        <v>19057</v>
      </c>
      <c r="F4673" s="46" t="s">
        <v>20446</v>
      </c>
      <c r="G4673" s="46" t="s">
        <v>50584</v>
      </c>
      <c r="H4673" s="48" t="s">
        <v>56716</v>
      </c>
      <c r="I4673" s="48" t="s">
        <v>50564</v>
      </c>
      <c r="J4673" s="48"/>
      <c r="K4673" s="50"/>
      <c r="L4673" s="48"/>
    </row>
    <row r="4674" spans="1:12" s="37" customFormat="1" ht="11.25" x14ac:dyDescent="0.2">
      <c r="A4674" s="46" t="s">
        <v>11688</v>
      </c>
      <c r="B4674" s="46" t="s">
        <v>53742</v>
      </c>
      <c r="C4674" s="58" t="str">
        <f>"19320248"</f>
        <v>19320248</v>
      </c>
      <c r="D4674" s="58" t="str">
        <f>"19320256"</f>
        <v>19320256</v>
      </c>
      <c r="E4674" s="46" t="s">
        <v>669</v>
      </c>
      <c r="F4674" s="46" t="s">
        <v>17759</v>
      </c>
      <c r="G4674" s="46" t="s">
        <v>50584</v>
      </c>
      <c r="H4674" s="48" t="s">
        <v>56716</v>
      </c>
      <c r="I4674" s="48" t="s">
        <v>50564</v>
      </c>
      <c r="J4674" s="48" t="s">
        <v>56716</v>
      </c>
      <c r="K4674" s="50"/>
      <c r="L4674" s="48"/>
    </row>
    <row r="4675" spans="1:12" s="37" customFormat="1" ht="11.25" x14ac:dyDescent="0.2">
      <c r="A4675" s="46" t="s">
        <v>16640</v>
      </c>
      <c r="B4675" s="46" t="s">
        <v>53743</v>
      </c>
      <c r="C4675" s="58" t="str">
        <f>"18796397"</f>
        <v>18796397</v>
      </c>
      <c r="D4675" s="58" t="str">
        <f>"18796400"</f>
        <v>18796400</v>
      </c>
      <c r="E4675" s="46" t="s">
        <v>920</v>
      </c>
      <c r="F4675" s="46" t="s">
        <v>18001</v>
      </c>
      <c r="G4675" s="46" t="s">
        <v>50584</v>
      </c>
      <c r="H4675" s="48" t="s">
        <v>56716</v>
      </c>
      <c r="I4675" s="48" t="s">
        <v>50564</v>
      </c>
      <c r="J4675" s="48" t="s">
        <v>56716</v>
      </c>
      <c r="K4675" s="50"/>
      <c r="L4675" s="48" t="s">
        <v>56716</v>
      </c>
    </row>
    <row r="4676" spans="1:12" s="37" customFormat="1" ht="11.25" x14ac:dyDescent="0.2">
      <c r="A4676" s="46" t="s">
        <v>2579</v>
      </c>
      <c r="B4676" s="46" t="s">
        <v>53744</v>
      </c>
      <c r="C4676" s="58" t="str">
        <f>"02636352"</f>
        <v>02636352</v>
      </c>
      <c r="D4676" s="58" t="str">
        <f>"14735598"</f>
        <v>14735598</v>
      </c>
      <c r="E4676" s="46" t="s">
        <v>28</v>
      </c>
      <c r="F4676" s="46" t="s">
        <v>50646</v>
      </c>
      <c r="G4676" s="46" t="s">
        <v>50584</v>
      </c>
      <c r="H4676" s="48" t="s">
        <v>56716</v>
      </c>
      <c r="I4676" s="48" t="s">
        <v>50564</v>
      </c>
      <c r="J4676" s="48" t="s">
        <v>56716</v>
      </c>
      <c r="K4676" s="50" t="s">
        <v>56716</v>
      </c>
      <c r="L4676" s="48" t="s">
        <v>56716</v>
      </c>
    </row>
    <row r="4677" spans="1:12" s="37" customFormat="1" ht="11.25" x14ac:dyDescent="0.2">
      <c r="A4677" s="46" t="s">
        <v>16925</v>
      </c>
      <c r="B4677" s="46" t="s">
        <v>53745</v>
      </c>
      <c r="C4677" s="58" t="str">
        <f>"1312773X"</f>
        <v>1312773X</v>
      </c>
      <c r="D4677" s="58" t="str">
        <f>""</f>
        <v/>
      </c>
      <c r="E4677" s="46" t="s">
        <v>16927</v>
      </c>
      <c r="F4677" s="46" t="s">
        <v>19251</v>
      </c>
      <c r="G4677" s="46" t="s">
        <v>50584</v>
      </c>
      <c r="H4677" s="48" t="s">
        <v>56716</v>
      </c>
      <c r="I4677" s="48" t="s">
        <v>50564</v>
      </c>
      <c r="J4677" s="48"/>
      <c r="K4677" s="50"/>
      <c r="L4677" s="48"/>
    </row>
    <row r="4678" spans="1:12" s="37" customFormat="1" ht="11.25" x14ac:dyDescent="0.2">
      <c r="A4678" s="45" t="s">
        <v>36092</v>
      </c>
      <c r="B4678" s="45" t="s">
        <v>36094</v>
      </c>
      <c r="C4678" s="51" t="s">
        <v>36097</v>
      </c>
      <c r="D4678" s="51" t="s">
        <v>36096</v>
      </c>
      <c r="E4678" s="45" t="s">
        <v>17783</v>
      </c>
      <c r="F4678" s="45" t="s">
        <v>17759</v>
      </c>
      <c r="G4678" s="45" t="s">
        <v>50584</v>
      </c>
      <c r="H4678" s="56"/>
      <c r="I4678" s="56" t="s">
        <v>50564</v>
      </c>
      <c r="J4678" s="56"/>
      <c r="K4678" s="50"/>
      <c r="L4678" s="56" t="s">
        <v>56716</v>
      </c>
    </row>
    <row r="4679" spans="1:12" s="37" customFormat="1" ht="11.25" x14ac:dyDescent="0.2">
      <c r="A4679" s="46" t="s">
        <v>8979</v>
      </c>
      <c r="B4679" s="46" t="s">
        <v>53746</v>
      </c>
      <c r="C4679" s="58" t="str">
        <f>"15321819"</f>
        <v>15321819</v>
      </c>
      <c r="D4679" s="58" t="str">
        <f>"15324230"</f>
        <v>15324230</v>
      </c>
      <c r="E4679" s="46" t="s">
        <v>669</v>
      </c>
      <c r="F4679" s="46" t="s">
        <v>17759</v>
      </c>
      <c r="G4679" s="46" t="s">
        <v>50584</v>
      </c>
      <c r="H4679" s="48" t="s">
        <v>56716</v>
      </c>
      <c r="I4679" s="48" t="s">
        <v>50564</v>
      </c>
      <c r="J4679" s="48" t="s">
        <v>56716</v>
      </c>
      <c r="K4679" s="50"/>
      <c r="L4679" s="48" t="s">
        <v>56716</v>
      </c>
    </row>
    <row r="4680" spans="1:12" s="37" customFormat="1" ht="11.25" x14ac:dyDescent="0.2">
      <c r="A4680" s="46" t="s">
        <v>2381</v>
      </c>
      <c r="B4680" s="46" t="s">
        <v>53747</v>
      </c>
      <c r="C4680" s="58" t="str">
        <f>"00221759"</f>
        <v>00221759</v>
      </c>
      <c r="D4680" s="58" t="str">
        <f>"18727905"</f>
        <v>18727905</v>
      </c>
      <c r="E4680" s="46" t="s">
        <v>91</v>
      </c>
      <c r="F4680" s="46" t="s">
        <v>18001</v>
      </c>
      <c r="G4680" s="46" t="s">
        <v>50584</v>
      </c>
      <c r="H4680" s="48" t="s">
        <v>56716</v>
      </c>
      <c r="I4680" s="48" t="s">
        <v>50564</v>
      </c>
      <c r="J4680" s="48" t="s">
        <v>56716</v>
      </c>
      <c r="K4680" s="50" t="s">
        <v>56716</v>
      </c>
      <c r="L4680" s="48" t="s">
        <v>56716</v>
      </c>
    </row>
    <row r="4681" spans="1:12" s="37" customFormat="1" ht="11.25" x14ac:dyDescent="0.2">
      <c r="A4681" s="46" t="s">
        <v>2582</v>
      </c>
      <c r="B4681" s="46" t="s">
        <v>53748</v>
      </c>
      <c r="C4681" s="58" t="str">
        <f>"00221767"</f>
        <v>00221767</v>
      </c>
      <c r="D4681" s="58" t="str">
        <f>"15506606"</f>
        <v>15506606</v>
      </c>
      <c r="E4681" s="46" t="s">
        <v>2585</v>
      </c>
      <c r="F4681" s="46" t="s">
        <v>17759</v>
      </c>
      <c r="G4681" s="46" t="s">
        <v>50584</v>
      </c>
      <c r="H4681" s="48" t="s">
        <v>56716</v>
      </c>
      <c r="I4681" s="48" t="s">
        <v>50564</v>
      </c>
      <c r="J4681" s="48" t="s">
        <v>56716</v>
      </c>
      <c r="K4681" s="50"/>
      <c r="L4681" s="48" t="s">
        <v>56716</v>
      </c>
    </row>
    <row r="4682" spans="1:12" s="37" customFormat="1" ht="11.25" x14ac:dyDescent="0.2">
      <c r="A4682" s="46" t="s">
        <v>17605</v>
      </c>
      <c r="B4682" s="46" t="s">
        <v>53749</v>
      </c>
      <c r="C4682" s="58" t="str">
        <f>"23148861"</f>
        <v>23148861</v>
      </c>
      <c r="D4682" s="58" t="str">
        <f>"23147156"</f>
        <v>23147156</v>
      </c>
      <c r="E4682" s="46" t="s">
        <v>1412</v>
      </c>
      <c r="F4682" s="46" t="s">
        <v>17759</v>
      </c>
      <c r="G4682" s="46" t="s">
        <v>50584</v>
      </c>
      <c r="H4682" s="48" t="s">
        <v>56716</v>
      </c>
      <c r="I4682" s="48" t="s">
        <v>50564</v>
      </c>
      <c r="J4682" s="48"/>
      <c r="K4682" s="50"/>
      <c r="L4682" s="48" t="s">
        <v>56716</v>
      </c>
    </row>
    <row r="4683" spans="1:12" s="37" customFormat="1" ht="11.25" x14ac:dyDescent="0.2">
      <c r="A4683" s="46" t="s">
        <v>5510</v>
      </c>
      <c r="B4683" s="46" t="s">
        <v>53750</v>
      </c>
      <c r="C4683" s="58" t="str">
        <f>"15249557"</f>
        <v>15249557</v>
      </c>
      <c r="D4683" s="58" t="str">
        <f>"15374513"</f>
        <v>15374513</v>
      </c>
      <c r="E4683" s="46" t="s">
        <v>28</v>
      </c>
      <c r="F4683" s="46" t="s">
        <v>17759</v>
      </c>
      <c r="G4683" s="46" t="s">
        <v>50584</v>
      </c>
      <c r="H4683" s="48" t="s">
        <v>56716</v>
      </c>
      <c r="I4683" s="48" t="s">
        <v>50564</v>
      </c>
      <c r="J4683" s="48" t="s">
        <v>56716</v>
      </c>
      <c r="K4683" s="50"/>
      <c r="L4683" s="48" t="s">
        <v>56716</v>
      </c>
    </row>
    <row r="4684" spans="1:12" s="37" customFormat="1" ht="11.25" x14ac:dyDescent="0.2">
      <c r="A4684" s="46" t="s">
        <v>10393</v>
      </c>
      <c r="B4684" s="46" t="s">
        <v>53751</v>
      </c>
      <c r="C4684" s="58" t="str">
        <f>"1547691X"</f>
        <v>1547691X</v>
      </c>
      <c r="D4684" s="58" t="str">
        <f>"15476901"</f>
        <v>15476901</v>
      </c>
      <c r="E4684" s="46" t="s">
        <v>291</v>
      </c>
      <c r="F4684" s="46" t="s">
        <v>17759</v>
      </c>
      <c r="G4684" s="46" t="s">
        <v>50584</v>
      </c>
      <c r="H4684" s="48" t="s">
        <v>56716</v>
      </c>
      <c r="I4684" s="48" t="s">
        <v>50564</v>
      </c>
      <c r="J4684" s="48" t="s">
        <v>56716</v>
      </c>
      <c r="K4684" s="50"/>
      <c r="L4684" s="48" t="s">
        <v>56716</v>
      </c>
    </row>
    <row r="4685" spans="1:12" s="37" customFormat="1" ht="11.25" x14ac:dyDescent="0.2">
      <c r="A4685" s="46" t="s">
        <v>56337</v>
      </c>
      <c r="B4685" s="46" t="s">
        <v>56338</v>
      </c>
      <c r="C4685" s="58" t="str">
        <f>"23264098"</f>
        <v>23264098</v>
      </c>
      <c r="D4685" s="58" t="str">
        <f>"23264594"</f>
        <v>23264594</v>
      </c>
      <c r="E4685" s="46" t="s">
        <v>493</v>
      </c>
      <c r="F4685" s="46" t="s">
        <v>17759</v>
      </c>
      <c r="G4685" s="46" t="s">
        <v>50584</v>
      </c>
      <c r="H4685" s="48" t="s">
        <v>56716</v>
      </c>
      <c r="I4685" s="48" t="s">
        <v>50564</v>
      </c>
      <c r="J4685" s="48" t="s">
        <v>56716</v>
      </c>
      <c r="K4685" s="50"/>
      <c r="L4685" s="48"/>
    </row>
    <row r="4686" spans="1:12" s="37" customFormat="1" ht="11.25" x14ac:dyDescent="0.2">
      <c r="A4686" s="46" t="s">
        <v>11217</v>
      </c>
      <c r="B4686" s="46" t="s">
        <v>53752</v>
      </c>
      <c r="C4686" s="58" t="str">
        <f>"09731342"</f>
        <v>09731342</v>
      </c>
      <c r="D4686" s="58" t="str">
        <f>""</f>
        <v/>
      </c>
      <c r="E4686" s="46" t="s">
        <v>11219</v>
      </c>
      <c r="F4686" s="46" t="s">
        <v>20446</v>
      </c>
      <c r="G4686" s="46" t="s">
        <v>50584</v>
      </c>
      <c r="H4686" s="48" t="s">
        <v>56716</v>
      </c>
      <c r="I4686" s="48" t="s">
        <v>50564</v>
      </c>
      <c r="J4686" s="48"/>
      <c r="K4686" s="50"/>
      <c r="L4686" s="48"/>
    </row>
    <row r="4687" spans="1:12" s="37" customFormat="1" ht="11.25" x14ac:dyDescent="0.2">
      <c r="A4687" s="46" t="s">
        <v>7457</v>
      </c>
      <c r="B4687" s="46" t="s">
        <v>53753</v>
      </c>
      <c r="C4687" s="58" t="str">
        <f>"13675435"</f>
        <v>13675435</v>
      </c>
      <c r="D4687" s="58" t="str">
        <f>"14765535"</f>
        <v>14765535</v>
      </c>
      <c r="E4687" s="46" t="s">
        <v>167</v>
      </c>
      <c r="F4687" s="46" t="s">
        <v>18158</v>
      </c>
      <c r="G4687" s="46" t="s">
        <v>50584</v>
      </c>
      <c r="H4687" s="48" t="s">
        <v>56716</v>
      </c>
      <c r="I4687" s="48" t="s">
        <v>50564</v>
      </c>
      <c r="J4687" s="48"/>
      <c r="K4687" s="50" t="s">
        <v>56716</v>
      </c>
      <c r="L4687" s="48" t="s">
        <v>56716</v>
      </c>
    </row>
    <row r="4688" spans="1:12" s="37" customFormat="1" ht="11.25" x14ac:dyDescent="0.2">
      <c r="A4688" s="46" t="s">
        <v>2387</v>
      </c>
      <c r="B4688" s="46" t="s">
        <v>53754</v>
      </c>
      <c r="C4688" s="58" t="str">
        <f>"01634453"</f>
        <v>01634453</v>
      </c>
      <c r="D4688" s="58" t="str">
        <f>"15322742"</f>
        <v>15322742</v>
      </c>
      <c r="E4688" s="46" t="s">
        <v>1177</v>
      </c>
      <c r="F4688" s="46" t="s">
        <v>50646</v>
      </c>
      <c r="G4688" s="46" t="s">
        <v>50584</v>
      </c>
      <c r="H4688" s="48" t="s">
        <v>56716</v>
      </c>
      <c r="I4688" s="48" t="s">
        <v>50564</v>
      </c>
      <c r="J4688" s="48"/>
      <c r="K4688" s="50" t="s">
        <v>56716</v>
      </c>
      <c r="L4688" s="48" t="s">
        <v>56716</v>
      </c>
    </row>
    <row r="4689" spans="1:12" s="37" customFormat="1" ht="11.25" x14ac:dyDescent="0.2">
      <c r="A4689" s="46" t="s">
        <v>7820</v>
      </c>
      <c r="B4689" s="46" t="s">
        <v>53755</v>
      </c>
      <c r="C4689" s="58" t="str">
        <f>"1341321X"</f>
        <v>1341321X</v>
      </c>
      <c r="D4689" s="58" t="str">
        <f>"14377780"</f>
        <v>14377780</v>
      </c>
      <c r="E4689" s="46" t="s">
        <v>91</v>
      </c>
      <c r="F4689" s="46" t="s">
        <v>18242</v>
      </c>
      <c r="G4689" s="46" t="s">
        <v>50584</v>
      </c>
      <c r="H4689" s="48" t="s">
        <v>56716</v>
      </c>
      <c r="I4689" s="48" t="s">
        <v>50564</v>
      </c>
      <c r="J4689" s="48"/>
      <c r="K4689" s="50" t="s">
        <v>56716</v>
      </c>
      <c r="L4689" s="48" t="s">
        <v>56716</v>
      </c>
    </row>
    <row r="4690" spans="1:12" s="37" customFormat="1" ht="11.25" x14ac:dyDescent="0.2">
      <c r="A4690" s="46" t="s">
        <v>13295</v>
      </c>
      <c r="B4690" s="46" t="s">
        <v>53756</v>
      </c>
      <c r="C4690" s="58" t="str">
        <f>"18760341"</f>
        <v>18760341</v>
      </c>
      <c r="D4690" s="58" t="str">
        <f>"1876035X"</f>
        <v>1876035X</v>
      </c>
      <c r="E4690" s="46" t="s">
        <v>155</v>
      </c>
      <c r="F4690" s="46" t="s">
        <v>50646</v>
      </c>
      <c r="G4690" s="46" t="s">
        <v>50584</v>
      </c>
      <c r="H4690" s="48" t="s">
        <v>56716</v>
      </c>
      <c r="I4690" s="48" t="s">
        <v>50564</v>
      </c>
      <c r="J4690" s="48" t="s">
        <v>56716</v>
      </c>
      <c r="K4690" s="50" t="s">
        <v>56716</v>
      </c>
      <c r="L4690" s="48" t="s">
        <v>56716</v>
      </c>
    </row>
    <row r="4691" spans="1:12" s="37" customFormat="1" ht="11.25" x14ac:dyDescent="0.2">
      <c r="A4691" s="46" t="s">
        <v>13546</v>
      </c>
      <c r="B4691" s="46" t="s">
        <v>53757</v>
      </c>
      <c r="C4691" s="58" t="str">
        <f>"20366590"</f>
        <v>20366590</v>
      </c>
      <c r="D4691" s="58" t="str">
        <f>"19722680"</f>
        <v>19722680</v>
      </c>
      <c r="E4691" s="46" t="s">
        <v>13546</v>
      </c>
      <c r="F4691" s="46" t="s">
        <v>17991</v>
      </c>
      <c r="G4691" s="46" t="s">
        <v>50584</v>
      </c>
      <c r="H4691" s="48" t="s">
        <v>56716</v>
      </c>
      <c r="I4691" s="48" t="s">
        <v>50564</v>
      </c>
      <c r="J4691" s="48"/>
      <c r="K4691" s="50"/>
      <c r="L4691" s="48" t="s">
        <v>56716</v>
      </c>
    </row>
    <row r="4692" spans="1:12" s="37" customFormat="1" ht="11.25" x14ac:dyDescent="0.2">
      <c r="A4692" s="46" t="s">
        <v>2373</v>
      </c>
      <c r="B4692" s="46" t="s">
        <v>53758</v>
      </c>
      <c r="C4692" s="58" t="str">
        <f>"00221899"</f>
        <v>00221899</v>
      </c>
      <c r="D4692" s="58" t="str">
        <f>"15376613"</f>
        <v>15376613</v>
      </c>
      <c r="E4692" s="46" t="s">
        <v>55</v>
      </c>
      <c r="F4692" s="46" t="s">
        <v>50646</v>
      </c>
      <c r="G4692" s="46" t="s">
        <v>50584</v>
      </c>
      <c r="H4692" s="48" t="s">
        <v>56716</v>
      </c>
      <c r="I4692" s="48" t="s">
        <v>50564</v>
      </c>
      <c r="J4692" s="48" t="s">
        <v>56716</v>
      </c>
      <c r="K4692" s="50"/>
      <c r="L4692" s="48" t="s">
        <v>56716</v>
      </c>
    </row>
    <row r="4693" spans="1:12" s="37" customFormat="1" ht="11.25" x14ac:dyDescent="0.2">
      <c r="A4693" s="46" t="s">
        <v>10673</v>
      </c>
      <c r="B4693" s="46" t="s">
        <v>53759</v>
      </c>
      <c r="C4693" s="58" t="str">
        <f>""</f>
        <v/>
      </c>
      <c r="D4693" s="58" t="str">
        <f>"14769255"</f>
        <v>14769255</v>
      </c>
      <c r="E4693" s="46" t="s">
        <v>2299</v>
      </c>
      <c r="F4693" s="46" t="s">
        <v>50646</v>
      </c>
      <c r="G4693" s="46" t="s">
        <v>50584</v>
      </c>
      <c r="H4693" s="48" t="s">
        <v>56716</v>
      </c>
      <c r="I4693" s="48" t="s">
        <v>50564</v>
      </c>
      <c r="J4693" s="48"/>
      <c r="K4693" s="50" t="s">
        <v>56716</v>
      </c>
      <c r="L4693" s="48"/>
    </row>
    <row r="4694" spans="1:12" s="37" customFormat="1" ht="11.25" x14ac:dyDescent="0.2">
      <c r="A4694" s="46" t="s">
        <v>14103</v>
      </c>
      <c r="B4694" s="46" t="s">
        <v>53760</v>
      </c>
      <c r="C4694" s="58" t="str">
        <f>""</f>
        <v/>
      </c>
      <c r="D4694" s="58" t="str">
        <f>"11787031"</f>
        <v>11787031</v>
      </c>
      <c r="E4694" s="46" t="s">
        <v>11078</v>
      </c>
      <c r="F4694" s="46" t="s">
        <v>19483</v>
      </c>
      <c r="G4694" s="46" t="s">
        <v>50584</v>
      </c>
      <c r="H4694" s="48" t="s">
        <v>56716</v>
      </c>
      <c r="I4694" s="48" t="s">
        <v>50564</v>
      </c>
      <c r="J4694" s="48"/>
      <c r="K4694" s="50"/>
      <c r="L4694" s="48"/>
    </row>
    <row r="4695" spans="1:12" s="37" customFormat="1" ht="11.25" x14ac:dyDescent="0.2">
      <c r="A4695" s="46" t="s">
        <v>9529</v>
      </c>
      <c r="B4695" s="46" t="s">
        <v>53761</v>
      </c>
      <c r="C4695" s="58" t="str">
        <f>"15331458"</f>
        <v>15331458</v>
      </c>
      <c r="D4695" s="58" t="str">
        <f>"15390667"</f>
        <v>15390667</v>
      </c>
      <c r="E4695" s="46" t="s">
        <v>28</v>
      </c>
      <c r="F4695" s="46" t="s">
        <v>17759</v>
      </c>
      <c r="G4695" s="46" t="s">
        <v>50584</v>
      </c>
      <c r="H4695" s="48" t="s">
        <v>56716</v>
      </c>
      <c r="I4695" s="48" t="s">
        <v>50564</v>
      </c>
      <c r="J4695" s="48" t="s">
        <v>56716</v>
      </c>
      <c r="K4695" s="50"/>
      <c r="L4695" s="48" t="s">
        <v>56716</v>
      </c>
    </row>
    <row r="4696" spans="1:12" s="37" customFormat="1" ht="11.25" x14ac:dyDescent="0.2">
      <c r="A4696" s="46" t="s">
        <v>2378</v>
      </c>
      <c r="B4696" s="46" t="s">
        <v>53762</v>
      </c>
      <c r="C4696" s="58" t="str">
        <f>"01418955"</f>
        <v>01418955</v>
      </c>
      <c r="D4696" s="58" t="str">
        <f>"15732665"</f>
        <v>15732665</v>
      </c>
      <c r="E4696" s="46" t="s">
        <v>18876</v>
      </c>
      <c r="F4696" s="46" t="s">
        <v>18001</v>
      </c>
      <c r="G4696" s="46" t="s">
        <v>50584</v>
      </c>
      <c r="H4696" s="48" t="s">
        <v>56716</v>
      </c>
      <c r="I4696" s="48" t="s">
        <v>50564</v>
      </c>
      <c r="J4696" s="48"/>
      <c r="K4696" s="50" t="s">
        <v>56716</v>
      </c>
      <c r="L4696" s="48" t="s">
        <v>56716</v>
      </c>
    </row>
    <row r="4697" spans="1:12" s="37" customFormat="1" ht="11.25" x14ac:dyDescent="0.2">
      <c r="A4697" s="45" t="s">
        <v>36166</v>
      </c>
      <c r="B4697" s="45" t="s">
        <v>36168</v>
      </c>
      <c r="C4697" s="51" t="s">
        <v>36170</v>
      </c>
      <c r="D4697" s="51" t="s">
        <v>36169</v>
      </c>
      <c r="E4697" s="45" t="s">
        <v>36171</v>
      </c>
      <c r="F4697" s="45" t="s">
        <v>18232</v>
      </c>
      <c r="G4697" s="45" t="s">
        <v>50584</v>
      </c>
      <c r="H4697" s="56"/>
      <c r="I4697" s="56" t="s">
        <v>50564</v>
      </c>
      <c r="J4697" s="56"/>
      <c r="K4697" s="50"/>
      <c r="L4697" s="56" t="s">
        <v>56716</v>
      </c>
    </row>
    <row r="4698" spans="1:12" s="37" customFormat="1" ht="11.25" x14ac:dyDescent="0.2">
      <c r="A4698" s="46" t="s">
        <v>13409</v>
      </c>
      <c r="B4698" s="46" t="s">
        <v>53763</v>
      </c>
      <c r="C4698" s="58" t="str">
        <f>"1662811X"</f>
        <v>1662811X</v>
      </c>
      <c r="D4698" s="58" t="str">
        <f>"16628128"</f>
        <v>16628128</v>
      </c>
      <c r="E4698" s="46" t="s">
        <v>109</v>
      </c>
      <c r="F4698" s="46" t="s">
        <v>18123</v>
      </c>
      <c r="G4698" s="46" t="s">
        <v>50584</v>
      </c>
      <c r="H4698" s="48" t="s">
        <v>56716</v>
      </c>
      <c r="I4698" s="48" t="s">
        <v>50564</v>
      </c>
      <c r="J4698" s="48" t="s">
        <v>56716</v>
      </c>
      <c r="K4698" s="50" t="s">
        <v>56716</v>
      </c>
      <c r="L4698" s="48" t="s">
        <v>56716</v>
      </c>
    </row>
    <row r="4699" spans="1:12" s="37" customFormat="1" ht="11.25" x14ac:dyDescent="0.2">
      <c r="A4699" s="46" t="s">
        <v>56295</v>
      </c>
      <c r="B4699" s="46" t="s">
        <v>56296</v>
      </c>
      <c r="C4699" s="58" t="str">
        <f>"17935458"</f>
        <v>17935458</v>
      </c>
      <c r="D4699" s="58" t="str">
        <f>"17937205"</f>
        <v>17937205</v>
      </c>
      <c r="E4699" s="46" t="s">
        <v>275</v>
      </c>
      <c r="F4699" s="46" t="s">
        <v>19491</v>
      </c>
      <c r="G4699" s="46" t="s">
        <v>50584</v>
      </c>
      <c r="H4699" s="48" t="s">
        <v>56716</v>
      </c>
      <c r="I4699" s="48" t="s">
        <v>50564</v>
      </c>
      <c r="J4699" s="48"/>
      <c r="K4699" s="50" t="s">
        <v>56716</v>
      </c>
      <c r="L4699" s="48"/>
    </row>
    <row r="4700" spans="1:12" s="37" customFormat="1" ht="11.25" x14ac:dyDescent="0.2">
      <c r="A4700" s="46" t="s">
        <v>2361</v>
      </c>
      <c r="B4700" s="46" t="s">
        <v>53764</v>
      </c>
      <c r="C4700" s="58" t="str">
        <f>"01620134"</f>
        <v>01620134</v>
      </c>
      <c r="D4700" s="58" t="str">
        <f>"18733344"</f>
        <v>18733344</v>
      </c>
      <c r="E4700" s="46" t="s">
        <v>272</v>
      </c>
      <c r="F4700" s="46" t="s">
        <v>17759</v>
      </c>
      <c r="G4700" s="46" t="s">
        <v>50584</v>
      </c>
      <c r="H4700" s="48" t="s">
        <v>56716</v>
      </c>
      <c r="I4700" s="48" t="s">
        <v>50564</v>
      </c>
      <c r="J4700" s="48"/>
      <c r="K4700" s="50" t="s">
        <v>56716</v>
      </c>
      <c r="L4700" s="48" t="s">
        <v>56716</v>
      </c>
    </row>
    <row r="4701" spans="1:12" s="37" customFormat="1" ht="11.25" x14ac:dyDescent="0.2">
      <c r="A4701" s="45" t="s">
        <v>36182</v>
      </c>
      <c r="B4701" s="45" t="s">
        <v>36184</v>
      </c>
      <c r="C4701" s="51" t="s">
        <v>36186</v>
      </c>
      <c r="D4701" s="51" t="s">
        <v>36185</v>
      </c>
      <c r="E4701" s="45" t="s">
        <v>91</v>
      </c>
      <c r="F4701" s="45" t="s">
        <v>50646</v>
      </c>
      <c r="G4701" s="45" t="s">
        <v>50584</v>
      </c>
      <c r="H4701" s="56"/>
      <c r="I4701" s="56" t="s">
        <v>50564</v>
      </c>
      <c r="J4701" s="56"/>
      <c r="K4701" s="50"/>
      <c r="L4701" s="56" t="s">
        <v>56716</v>
      </c>
    </row>
    <row r="4702" spans="1:12" s="37" customFormat="1" ht="11.25" x14ac:dyDescent="0.2">
      <c r="A4702" s="45" t="s">
        <v>36188</v>
      </c>
      <c r="B4702" s="45" t="s">
        <v>36190</v>
      </c>
      <c r="C4702" s="51"/>
      <c r="D4702" s="51" t="s">
        <v>36191</v>
      </c>
      <c r="E4702" s="45" t="s">
        <v>28118</v>
      </c>
      <c r="F4702" s="45" t="s">
        <v>17759</v>
      </c>
      <c r="G4702" s="45" t="s">
        <v>50584</v>
      </c>
      <c r="H4702" s="56"/>
      <c r="I4702" s="56" t="s">
        <v>50564</v>
      </c>
      <c r="J4702" s="56"/>
      <c r="K4702" s="50"/>
      <c r="L4702" s="56" t="s">
        <v>56716</v>
      </c>
    </row>
    <row r="4703" spans="1:12" s="37" customFormat="1" ht="11.25" x14ac:dyDescent="0.2">
      <c r="A4703" s="45" t="s">
        <v>36194</v>
      </c>
      <c r="B4703" s="45" t="s">
        <v>36196</v>
      </c>
      <c r="C4703" s="51" t="s">
        <v>36198</v>
      </c>
      <c r="D4703" s="51"/>
      <c r="E4703" s="45" t="s">
        <v>36199</v>
      </c>
      <c r="F4703" s="45" t="s">
        <v>17759</v>
      </c>
      <c r="G4703" s="45" t="s">
        <v>50584</v>
      </c>
      <c r="H4703" s="56"/>
      <c r="I4703" s="56" t="s">
        <v>50564</v>
      </c>
      <c r="J4703" s="56"/>
      <c r="K4703" s="50"/>
      <c r="L4703" s="56" t="s">
        <v>56716</v>
      </c>
    </row>
    <row r="4704" spans="1:12" s="37" customFormat="1" ht="11.25" x14ac:dyDescent="0.2">
      <c r="A4704" s="45" t="s">
        <v>36201</v>
      </c>
      <c r="B4704" s="45" t="s">
        <v>36203</v>
      </c>
      <c r="C4704" s="51"/>
      <c r="D4704" s="51" t="s">
        <v>36204</v>
      </c>
      <c r="E4704" s="45" t="s">
        <v>36205</v>
      </c>
      <c r="F4704" s="45" t="s">
        <v>18158</v>
      </c>
      <c r="G4704" s="45" t="s">
        <v>50584</v>
      </c>
      <c r="H4704" s="56"/>
      <c r="I4704" s="56" t="s">
        <v>50564</v>
      </c>
      <c r="J4704" s="56"/>
      <c r="K4704" s="50"/>
      <c r="L4704" s="56" t="s">
        <v>56716</v>
      </c>
    </row>
    <row r="4705" spans="1:12" s="37" customFormat="1" ht="11.25" x14ac:dyDescent="0.2">
      <c r="A4705" s="46" t="s">
        <v>17653</v>
      </c>
      <c r="B4705" s="46" t="s">
        <v>53765</v>
      </c>
      <c r="C4705" s="58" t="str">
        <f>"20954964"</f>
        <v>20954964</v>
      </c>
      <c r="D4705" s="58" t="str">
        <f>""</f>
        <v/>
      </c>
      <c r="E4705" s="46" t="s">
        <v>2776</v>
      </c>
      <c r="F4705" s="46" t="s">
        <v>19491</v>
      </c>
      <c r="G4705" s="46" t="s">
        <v>50584</v>
      </c>
      <c r="H4705" s="48" t="s">
        <v>56716</v>
      </c>
      <c r="I4705" s="48" t="s">
        <v>50564</v>
      </c>
      <c r="J4705" s="48" t="s">
        <v>56716</v>
      </c>
      <c r="K4705" s="50"/>
      <c r="L4705" s="48" t="s">
        <v>56716</v>
      </c>
    </row>
    <row r="4706" spans="1:12" s="37" customFormat="1" ht="11.25" x14ac:dyDescent="0.2">
      <c r="A4706" s="46" t="s">
        <v>9941</v>
      </c>
      <c r="B4706" s="46" t="s">
        <v>53766</v>
      </c>
      <c r="C4706" s="58" t="str">
        <f>"02196352"</f>
        <v>02196352</v>
      </c>
      <c r="D4706" s="58" t="str">
        <f>"1757448X"</f>
        <v>1757448X</v>
      </c>
      <c r="E4706" s="46" t="s">
        <v>275</v>
      </c>
      <c r="F4706" s="46" t="s">
        <v>19491</v>
      </c>
      <c r="G4706" s="46" t="s">
        <v>50584</v>
      </c>
      <c r="H4706" s="48" t="s">
        <v>56716</v>
      </c>
      <c r="I4706" s="48" t="s">
        <v>50564</v>
      </c>
      <c r="J4706" s="48"/>
      <c r="K4706" s="50" t="s">
        <v>56716</v>
      </c>
      <c r="L4706" s="48" t="s">
        <v>56716</v>
      </c>
    </row>
    <row r="4707" spans="1:12" s="37" customFormat="1" ht="11.25" x14ac:dyDescent="0.2">
      <c r="A4707" s="45" t="s">
        <v>36218</v>
      </c>
      <c r="B4707" s="45" t="s">
        <v>36220</v>
      </c>
      <c r="C4707" s="51" t="s">
        <v>36223</v>
      </c>
      <c r="D4707" s="51" t="s">
        <v>36222</v>
      </c>
      <c r="E4707" s="45" t="s">
        <v>36224</v>
      </c>
      <c r="F4707" s="45" t="s">
        <v>17958</v>
      </c>
      <c r="G4707" s="45" t="s">
        <v>50584</v>
      </c>
      <c r="H4707" s="56"/>
      <c r="I4707" s="56" t="s">
        <v>50564</v>
      </c>
      <c r="J4707" s="56"/>
      <c r="K4707" s="50"/>
      <c r="L4707" s="56" t="s">
        <v>56716</v>
      </c>
    </row>
    <row r="4708" spans="1:12" s="37" customFormat="1" ht="11.25" x14ac:dyDescent="0.2">
      <c r="A4708" s="45" t="s">
        <v>36226</v>
      </c>
      <c r="B4708" s="45" t="s">
        <v>36228</v>
      </c>
      <c r="C4708" s="51" t="s">
        <v>36231</v>
      </c>
      <c r="D4708" s="51" t="s">
        <v>36230</v>
      </c>
      <c r="E4708" s="45" t="s">
        <v>18404</v>
      </c>
      <c r="F4708" s="45" t="s">
        <v>50646</v>
      </c>
      <c r="G4708" s="45" t="s">
        <v>50584</v>
      </c>
      <c r="H4708" s="56"/>
      <c r="I4708" s="56" t="s">
        <v>50564</v>
      </c>
      <c r="J4708" s="56"/>
      <c r="K4708" s="50"/>
      <c r="L4708" s="56" t="s">
        <v>56716</v>
      </c>
    </row>
    <row r="4709" spans="1:12" s="37" customFormat="1" ht="11.25" x14ac:dyDescent="0.2">
      <c r="A4709" s="46" t="s">
        <v>10740</v>
      </c>
      <c r="B4709" s="46" t="s">
        <v>53767</v>
      </c>
      <c r="C4709" s="58" t="str">
        <f>"17446295"</f>
        <v>17446295</v>
      </c>
      <c r="D4709" s="58" t="str">
        <f>"17446309"</f>
        <v>17446309</v>
      </c>
      <c r="E4709" s="46" t="s">
        <v>97</v>
      </c>
      <c r="F4709" s="46" t="s">
        <v>50646</v>
      </c>
      <c r="G4709" s="46" t="s">
        <v>50584</v>
      </c>
      <c r="H4709" s="48" t="s">
        <v>56716</v>
      </c>
      <c r="I4709" s="48" t="s">
        <v>50564</v>
      </c>
      <c r="J4709" s="48" t="s">
        <v>56716</v>
      </c>
      <c r="K4709" s="50"/>
      <c r="L4709" s="48" t="s">
        <v>56716</v>
      </c>
    </row>
    <row r="4710" spans="1:12" s="37" customFormat="1" ht="11.25" x14ac:dyDescent="0.2">
      <c r="A4710" s="46" t="s">
        <v>5670</v>
      </c>
      <c r="B4710" s="46" t="s">
        <v>53768</v>
      </c>
      <c r="C4710" s="58" t="str">
        <f>"09642633"</f>
        <v>09642633</v>
      </c>
      <c r="D4710" s="58" t="str">
        <f>"13652788"</f>
        <v>13652788</v>
      </c>
      <c r="E4710" s="46" t="s">
        <v>35</v>
      </c>
      <c r="F4710" s="46" t="s">
        <v>50646</v>
      </c>
      <c r="G4710" s="46" t="s">
        <v>50584</v>
      </c>
      <c r="H4710" s="48" t="s">
        <v>56716</v>
      </c>
      <c r="I4710" s="48" t="s">
        <v>50564</v>
      </c>
      <c r="J4710" s="48"/>
      <c r="K4710" s="50" t="s">
        <v>56716</v>
      </c>
      <c r="L4710" s="48" t="s">
        <v>56716</v>
      </c>
    </row>
    <row r="4711" spans="1:12" s="37" customFormat="1" ht="11.25" x14ac:dyDescent="0.2">
      <c r="A4711" s="46" t="s">
        <v>17428</v>
      </c>
      <c r="B4711" s="46" t="s">
        <v>53769</v>
      </c>
      <c r="C4711" s="58" t="str">
        <f>""</f>
        <v/>
      </c>
      <c r="D4711" s="58" t="str">
        <f>"20520492"</f>
        <v>20520492</v>
      </c>
      <c r="E4711" s="46" t="s">
        <v>2299</v>
      </c>
      <c r="F4711" s="46" t="s">
        <v>50646</v>
      </c>
      <c r="G4711" s="46" t="s">
        <v>50584</v>
      </c>
      <c r="H4711" s="48" t="s">
        <v>56716</v>
      </c>
      <c r="I4711" s="48" t="s">
        <v>50564</v>
      </c>
      <c r="J4711" s="48" t="s">
        <v>56716</v>
      </c>
      <c r="K4711" s="50"/>
      <c r="L4711" s="48"/>
    </row>
    <row r="4712" spans="1:12" s="37" customFormat="1" ht="11.25" x14ac:dyDescent="0.2">
      <c r="A4712" s="46" t="s">
        <v>2364</v>
      </c>
      <c r="B4712" s="46" t="s">
        <v>53770</v>
      </c>
      <c r="C4712" s="58" t="str">
        <f>"08850666"</f>
        <v>08850666</v>
      </c>
      <c r="D4712" s="58" t="str">
        <f>"15251489"</f>
        <v>15251489</v>
      </c>
      <c r="E4712" s="46" t="s">
        <v>493</v>
      </c>
      <c r="F4712" s="46" t="s">
        <v>17759</v>
      </c>
      <c r="G4712" s="46" t="s">
        <v>50584</v>
      </c>
      <c r="H4712" s="48" t="s">
        <v>56716</v>
      </c>
      <c r="I4712" s="48" t="s">
        <v>50564</v>
      </c>
      <c r="J4712" s="48" t="s">
        <v>56716</v>
      </c>
      <c r="K4712" s="50"/>
      <c r="L4712" s="48" t="s">
        <v>56716</v>
      </c>
    </row>
    <row r="4713" spans="1:12" s="37" customFormat="1" ht="11.25" x14ac:dyDescent="0.2">
      <c r="A4713" s="46" t="s">
        <v>6625</v>
      </c>
      <c r="B4713" s="46" t="s">
        <v>53771</v>
      </c>
      <c r="C4713" s="58" t="str">
        <f>"10799907"</f>
        <v>10799907</v>
      </c>
      <c r="D4713" s="58" t="str">
        <f>"15577465"</f>
        <v>15577465</v>
      </c>
      <c r="E4713" s="46" t="s">
        <v>4337</v>
      </c>
      <c r="F4713" s="46" t="s">
        <v>17759</v>
      </c>
      <c r="G4713" s="46" t="s">
        <v>50584</v>
      </c>
      <c r="H4713" s="48" t="s">
        <v>56716</v>
      </c>
      <c r="I4713" s="48" t="s">
        <v>50564</v>
      </c>
      <c r="J4713" s="48" t="s">
        <v>56716</v>
      </c>
      <c r="K4713" s="50"/>
      <c r="L4713" s="48" t="s">
        <v>56716</v>
      </c>
    </row>
    <row r="4714" spans="1:12" s="37" customFormat="1" ht="11.25" x14ac:dyDescent="0.2">
      <c r="A4714" s="46" t="s">
        <v>4783</v>
      </c>
      <c r="B4714" s="46" t="s">
        <v>56003</v>
      </c>
      <c r="C4714" s="58" t="str">
        <f>"09546820"</f>
        <v>09546820</v>
      </c>
      <c r="D4714" s="58" t="str">
        <f>"13652796"</f>
        <v>13652796</v>
      </c>
      <c r="E4714" s="46" t="s">
        <v>35</v>
      </c>
      <c r="F4714" s="46" t="s">
        <v>50646</v>
      </c>
      <c r="G4714" s="46" t="s">
        <v>50584</v>
      </c>
      <c r="H4714" s="48" t="s">
        <v>56716</v>
      </c>
      <c r="I4714" s="48" t="s">
        <v>50564</v>
      </c>
      <c r="J4714" s="48" t="s">
        <v>56716</v>
      </c>
      <c r="K4714" s="50" t="s">
        <v>56716</v>
      </c>
      <c r="L4714" s="48" t="s">
        <v>56716</v>
      </c>
    </row>
    <row r="4715" spans="1:12" s="37" customFormat="1" ht="11.25" x14ac:dyDescent="0.2">
      <c r="A4715" s="46" t="s">
        <v>8787</v>
      </c>
      <c r="B4715" s="46" t="s">
        <v>53772</v>
      </c>
      <c r="C4715" s="58" t="str">
        <f>"10167390"</f>
        <v>10167390</v>
      </c>
      <c r="D4715" s="58" t="str">
        <f>""</f>
        <v/>
      </c>
      <c r="E4715" s="46" t="s">
        <v>8789</v>
      </c>
      <c r="F4715" s="46" t="s">
        <v>50654</v>
      </c>
      <c r="G4715" s="46" t="s">
        <v>50584</v>
      </c>
      <c r="H4715" s="48" t="s">
        <v>56716</v>
      </c>
      <c r="I4715" s="48" t="s">
        <v>50564</v>
      </c>
      <c r="J4715" s="48"/>
      <c r="K4715" s="50"/>
      <c r="L4715" s="48"/>
    </row>
    <row r="4716" spans="1:12" s="37" customFormat="1" ht="11.25" x14ac:dyDescent="0.2">
      <c r="A4716" s="45" t="s">
        <v>36259</v>
      </c>
      <c r="B4716" s="45" t="s">
        <v>36261</v>
      </c>
      <c r="C4716" s="51" t="s">
        <v>36263</v>
      </c>
      <c r="D4716" s="51"/>
      <c r="E4716" s="45" t="s">
        <v>23527</v>
      </c>
      <c r="F4716" s="45" t="s">
        <v>50646</v>
      </c>
      <c r="G4716" s="45" t="s">
        <v>50584</v>
      </c>
      <c r="H4716" s="56"/>
      <c r="I4716" s="56" t="s">
        <v>50564</v>
      </c>
      <c r="J4716" s="56"/>
      <c r="K4716" s="50"/>
      <c r="L4716" s="56" t="s">
        <v>56716</v>
      </c>
    </row>
    <row r="4717" spans="1:12" s="37" customFormat="1" ht="11.25" x14ac:dyDescent="0.2">
      <c r="A4717" s="46" t="s">
        <v>2384</v>
      </c>
      <c r="B4717" s="46" t="s">
        <v>53773</v>
      </c>
      <c r="C4717" s="58" t="str">
        <f>"03000605"</f>
        <v>03000605</v>
      </c>
      <c r="D4717" s="58" t="str">
        <f>"14732300"</f>
        <v>14732300</v>
      </c>
      <c r="E4717" s="46" t="s">
        <v>97</v>
      </c>
      <c r="F4717" s="46" t="s">
        <v>50646</v>
      </c>
      <c r="G4717" s="46" t="s">
        <v>50584</v>
      </c>
      <c r="H4717" s="48" t="s">
        <v>56716</v>
      </c>
      <c r="I4717" s="48" t="s">
        <v>50564</v>
      </c>
      <c r="J4717" s="48"/>
      <c r="K4717" s="50"/>
      <c r="L4717" s="48" t="s">
        <v>56716</v>
      </c>
    </row>
    <row r="4718" spans="1:12" s="37" customFormat="1" ht="11.25" x14ac:dyDescent="0.2">
      <c r="A4718" s="46" t="s">
        <v>14439</v>
      </c>
      <c r="B4718" s="46" t="s">
        <v>53774</v>
      </c>
      <c r="C4718" s="58" t="str">
        <f>"16740440"</f>
        <v>16740440</v>
      </c>
      <c r="D4718" s="58" t="str">
        <f>""</f>
        <v/>
      </c>
      <c r="E4718" s="46" t="s">
        <v>14441</v>
      </c>
      <c r="F4718" s="46" t="s">
        <v>17958</v>
      </c>
      <c r="G4718" s="46" t="s">
        <v>50580</v>
      </c>
      <c r="H4718" s="48" t="s">
        <v>56716</v>
      </c>
      <c r="I4718" s="48" t="s">
        <v>50564</v>
      </c>
      <c r="J4718" s="48"/>
      <c r="K4718" s="50"/>
      <c r="L4718" s="48"/>
    </row>
    <row r="4719" spans="1:12" s="37" customFormat="1" ht="11.25" x14ac:dyDescent="0.2">
      <c r="A4719" s="46" t="s">
        <v>55949</v>
      </c>
      <c r="B4719" s="46" t="s">
        <v>55950</v>
      </c>
      <c r="C4719" s="58" t="str">
        <f>"22276394"</f>
        <v>22276394</v>
      </c>
      <c r="D4719" s="58" t="str">
        <f>""</f>
        <v/>
      </c>
      <c r="E4719" s="46" t="s">
        <v>55951</v>
      </c>
      <c r="F4719" s="46" t="s">
        <v>17958</v>
      </c>
      <c r="G4719" s="46" t="s">
        <v>50584</v>
      </c>
      <c r="H4719" s="48" t="s">
        <v>56716</v>
      </c>
      <c r="I4719" s="48" t="s">
        <v>50564</v>
      </c>
      <c r="J4719" s="48"/>
      <c r="K4719" s="50"/>
      <c r="L4719" s="48"/>
    </row>
    <row r="4720" spans="1:12" s="37" customFormat="1" ht="11.25" x14ac:dyDescent="0.2">
      <c r="A4720" s="45" t="s">
        <v>36269</v>
      </c>
      <c r="B4720" s="45" t="s">
        <v>36271</v>
      </c>
      <c r="C4720" s="51" t="s">
        <v>36273</v>
      </c>
      <c r="D4720" s="51" t="s">
        <v>36272</v>
      </c>
      <c r="E4720" s="45" t="s">
        <v>19447</v>
      </c>
      <c r="F4720" s="45" t="s">
        <v>17759</v>
      </c>
      <c r="G4720" s="45" t="s">
        <v>50584</v>
      </c>
      <c r="H4720" s="56"/>
      <c r="I4720" s="56" t="s">
        <v>50564</v>
      </c>
      <c r="J4720" s="56"/>
      <c r="K4720" s="50"/>
      <c r="L4720" s="56" t="s">
        <v>56716</v>
      </c>
    </row>
    <row r="4721" spans="1:12" s="37" customFormat="1" ht="11.25" x14ac:dyDescent="0.2">
      <c r="A4721" s="45" t="s">
        <v>36275</v>
      </c>
      <c r="B4721" s="45" t="s">
        <v>36277</v>
      </c>
      <c r="C4721" s="51" t="s">
        <v>36280</v>
      </c>
      <c r="D4721" s="51" t="s">
        <v>36279</v>
      </c>
      <c r="E4721" s="45" t="s">
        <v>291</v>
      </c>
      <c r="F4721" s="45" t="s">
        <v>50646</v>
      </c>
      <c r="G4721" s="45" t="s">
        <v>50584</v>
      </c>
      <c r="H4721" s="56"/>
      <c r="I4721" s="56" t="s">
        <v>50564</v>
      </c>
      <c r="J4721" s="56"/>
      <c r="K4721" s="50"/>
      <c r="L4721" s="56" t="s">
        <v>56716</v>
      </c>
    </row>
    <row r="4722" spans="1:12" s="37" customFormat="1" ht="11.25" x14ac:dyDescent="0.2">
      <c r="A4722" s="46" t="s">
        <v>8054</v>
      </c>
      <c r="B4722" s="46" t="s">
        <v>53775</v>
      </c>
      <c r="C4722" s="58" t="str">
        <f>"1383875X"</f>
        <v>1383875X</v>
      </c>
      <c r="D4722" s="58" t="str">
        <f>"15728595"</f>
        <v>15728595</v>
      </c>
      <c r="E4722" s="46" t="s">
        <v>18876</v>
      </c>
      <c r="F4722" s="46" t="s">
        <v>18001</v>
      </c>
      <c r="G4722" s="46" t="s">
        <v>50584</v>
      </c>
      <c r="H4722" s="48" t="s">
        <v>56716</v>
      </c>
      <c r="I4722" s="48" t="s">
        <v>50564</v>
      </c>
      <c r="J4722" s="48" t="s">
        <v>56716</v>
      </c>
      <c r="K4722" s="50" t="s">
        <v>56716</v>
      </c>
      <c r="L4722" s="48" t="s">
        <v>56716</v>
      </c>
    </row>
    <row r="4723" spans="1:12" s="37" customFormat="1" ht="11.25" x14ac:dyDescent="0.2">
      <c r="A4723" s="46" t="s">
        <v>6462</v>
      </c>
      <c r="B4723" s="46" t="s">
        <v>53776</v>
      </c>
      <c r="C4723" s="58" t="str">
        <f>"08964327"</f>
        <v>08964327</v>
      </c>
      <c r="D4723" s="58" t="str">
        <f>"15408183"</f>
        <v>15408183</v>
      </c>
      <c r="E4723" s="46" t="s">
        <v>548</v>
      </c>
      <c r="F4723" s="46" t="s">
        <v>17759</v>
      </c>
      <c r="G4723" s="46" t="s">
        <v>50584</v>
      </c>
      <c r="H4723" s="48" t="s">
        <v>56716</v>
      </c>
      <c r="I4723" s="48" t="s">
        <v>50564</v>
      </c>
      <c r="J4723" s="48" t="s">
        <v>56716</v>
      </c>
      <c r="K4723" s="50" t="s">
        <v>56716</v>
      </c>
      <c r="L4723" s="48" t="s">
        <v>56716</v>
      </c>
    </row>
    <row r="4724" spans="1:12" s="37" customFormat="1" ht="11.25" x14ac:dyDescent="0.2">
      <c r="A4724" s="46" t="s">
        <v>15895</v>
      </c>
      <c r="B4724" s="46" t="s">
        <v>53777</v>
      </c>
      <c r="C4724" s="58" t="str">
        <f>"21541280"</f>
        <v>21541280</v>
      </c>
      <c r="D4724" s="58" t="str">
        <f>"21541299"</f>
        <v>21541299</v>
      </c>
      <c r="E4724" s="46" t="s">
        <v>10332</v>
      </c>
      <c r="F4724" s="46" t="s">
        <v>17759</v>
      </c>
      <c r="G4724" s="46" t="s">
        <v>50584</v>
      </c>
      <c r="H4724" s="48" t="s">
        <v>56716</v>
      </c>
      <c r="I4724" s="48" t="s">
        <v>50564</v>
      </c>
      <c r="J4724" s="48"/>
      <c r="K4724" s="50"/>
      <c r="L4724" s="48"/>
    </row>
    <row r="4725" spans="1:12" s="37" customFormat="1" ht="11.25" x14ac:dyDescent="0.2">
      <c r="A4725" s="46" t="s">
        <v>14076</v>
      </c>
      <c r="B4725" s="46" t="s">
        <v>53778</v>
      </c>
      <c r="C4725" s="58" t="str">
        <f>"19160518"</f>
        <v>19160518</v>
      </c>
      <c r="D4725" s="58" t="str">
        <f>"19160518"</f>
        <v>19160518</v>
      </c>
      <c r="E4725" s="46" t="s">
        <v>7346</v>
      </c>
      <c r="F4725" s="46" t="s">
        <v>18959</v>
      </c>
      <c r="G4725" s="46" t="s">
        <v>50584</v>
      </c>
      <c r="H4725" s="48" t="s">
        <v>56716</v>
      </c>
      <c r="I4725" s="48" t="s">
        <v>50564</v>
      </c>
      <c r="J4725" s="48"/>
      <c r="K4725" s="50"/>
      <c r="L4725" s="48"/>
    </row>
    <row r="4726" spans="1:12" s="37" customFormat="1" ht="11.25" x14ac:dyDescent="0.2">
      <c r="A4726" s="46" t="s">
        <v>11418</v>
      </c>
      <c r="B4726" s="46" t="s">
        <v>53779</v>
      </c>
      <c r="C4726" s="58" t="str">
        <f>"1008794X"</f>
        <v>1008794X</v>
      </c>
      <c r="D4726" s="58" t="str">
        <f>""</f>
        <v/>
      </c>
      <c r="E4726" s="46" t="s">
        <v>11420</v>
      </c>
      <c r="F4726" s="46" t="s">
        <v>17958</v>
      </c>
      <c r="G4726" s="46" t="s">
        <v>50580</v>
      </c>
      <c r="H4726" s="48" t="s">
        <v>56716</v>
      </c>
      <c r="I4726" s="48" t="s">
        <v>50564</v>
      </c>
      <c r="J4726" s="48"/>
      <c r="K4726" s="50"/>
      <c r="L4726" s="48"/>
    </row>
    <row r="4727" spans="1:12" s="37" customFormat="1" ht="11.25" x14ac:dyDescent="0.2">
      <c r="A4727" s="46" t="s">
        <v>8179</v>
      </c>
      <c r="B4727" s="46" t="s">
        <v>53780</v>
      </c>
      <c r="C4727" s="58" t="str">
        <f>"10423931"</f>
        <v>10423931</v>
      </c>
      <c r="D4727" s="58" t="str">
        <f>"15572501"</f>
        <v>15572501</v>
      </c>
      <c r="E4727" s="46" t="s">
        <v>8182</v>
      </c>
      <c r="F4727" s="46" t="s">
        <v>17759</v>
      </c>
      <c r="G4727" s="46" t="s">
        <v>50584</v>
      </c>
      <c r="H4727" s="48" t="s">
        <v>56716</v>
      </c>
      <c r="I4727" s="48" t="s">
        <v>50564</v>
      </c>
      <c r="J4727" s="48"/>
      <c r="K4727" s="50"/>
      <c r="L4727" s="48" t="s">
        <v>56716</v>
      </c>
    </row>
    <row r="4728" spans="1:12" s="37" customFormat="1" ht="11.25" x14ac:dyDescent="0.2">
      <c r="A4728" s="46" t="s">
        <v>13521</v>
      </c>
      <c r="B4728" s="46" t="s">
        <v>53781</v>
      </c>
      <c r="C4728" s="58" t="str">
        <f>"17533783"</f>
        <v>17533783</v>
      </c>
      <c r="D4728" s="58" t="str">
        <f>""</f>
        <v/>
      </c>
      <c r="E4728" s="46" t="s">
        <v>13516</v>
      </c>
      <c r="F4728" s="46" t="s">
        <v>50646</v>
      </c>
      <c r="G4728" s="46" t="s">
        <v>50584</v>
      </c>
      <c r="H4728" s="48" t="s">
        <v>56716</v>
      </c>
      <c r="I4728" s="48" t="s">
        <v>50564</v>
      </c>
      <c r="J4728" s="48"/>
      <c r="K4728" s="50"/>
      <c r="L4728" s="48"/>
    </row>
    <row r="4729" spans="1:12" s="37" customFormat="1" ht="11.25" x14ac:dyDescent="0.2">
      <c r="A4729" s="45" t="s">
        <v>36296</v>
      </c>
      <c r="B4729" s="45" t="s">
        <v>36298</v>
      </c>
      <c r="C4729" s="51" t="s">
        <v>36301</v>
      </c>
      <c r="D4729" s="51" t="s">
        <v>36300</v>
      </c>
      <c r="E4729" s="45" t="s">
        <v>601</v>
      </c>
      <c r="F4729" s="45" t="s">
        <v>17759</v>
      </c>
      <c r="G4729" s="45" t="s">
        <v>50584</v>
      </c>
      <c r="H4729" s="56"/>
      <c r="I4729" s="56" t="s">
        <v>50564</v>
      </c>
      <c r="J4729" s="56"/>
      <c r="K4729" s="50"/>
      <c r="L4729" s="56" t="s">
        <v>56716</v>
      </c>
    </row>
    <row r="4730" spans="1:12" s="37" customFormat="1" ht="11.25" x14ac:dyDescent="0.2">
      <c r="A4730" s="46" t="s">
        <v>5527</v>
      </c>
      <c r="B4730" s="46" t="s">
        <v>53782</v>
      </c>
      <c r="C4730" s="58" t="str">
        <f>"10189068"</f>
        <v>10189068</v>
      </c>
      <c r="D4730" s="58" t="str">
        <f>"16980808"</f>
        <v>16980808</v>
      </c>
      <c r="E4730" s="46" t="s">
        <v>5530</v>
      </c>
      <c r="F4730" s="46" t="s">
        <v>18439</v>
      </c>
      <c r="G4730" s="46" t="s">
        <v>50584</v>
      </c>
      <c r="H4730" s="48" t="s">
        <v>56716</v>
      </c>
      <c r="I4730" s="48" t="s">
        <v>50564</v>
      </c>
      <c r="J4730" s="48"/>
      <c r="K4730" s="50"/>
      <c r="L4730" s="48" t="s">
        <v>56716</v>
      </c>
    </row>
    <row r="4731" spans="1:12" s="37" customFormat="1" ht="11.25" x14ac:dyDescent="0.2">
      <c r="A4731" s="45" t="s">
        <v>36309</v>
      </c>
      <c r="B4731" s="45" t="s">
        <v>36311</v>
      </c>
      <c r="C4731" s="51" t="s">
        <v>36313</v>
      </c>
      <c r="D4731" s="51" t="s">
        <v>36312</v>
      </c>
      <c r="E4731" s="45" t="s">
        <v>970</v>
      </c>
      <c r="F4731" s="45" t="s">
        <v>20082</v>
      </c>
      <c r="G4731" s="45" t="s">
        <v>50584</v>
      </c>
      <c r="H4731" s="56"/>
      <c r="I4731" s="56" t="s">
        <v>50564</v>
      </c>
      <c r="J4731" s="56"/>
      <c r="K4731" s="50"/>
      <c r="L4731" s="56" t="s">
        <v>56716</v>
      </c>
    </row>
    <row r="4732" spans="1:12" s="37" customFormat="1" ht="11.25" x14ac:dyDescent="0.2">
      <c r="A4732" s="46" t="s">
        <v>2370</v>
      </c>
      <c r="B4732" s="46" t="s">
        <v>53783</v>
      </c>
      <c r="C4732" s="58" t="str">
        <f>"0022202X"</f>
        <v>0022202X</v>
      </c>
      <c r="D4732" s="58" t="str">
        <f>"15231747"</f>
        <v>15231747</v>
      </c>
      <c r="E4732" s="46" t="s">
        <v>315</v>
      </c>
      <c r="F4732" s="46" t="s">
        <v>17759</v>
      </c>
      <c r="G4732" s="46" t="s">
        <v>50584</v>
      </c>
      <c r="H4732" s="48" t="s">
        <v>56716</v>
      </c>
      <c r="I4732" s="48" t="s">
        <v>50564</v>
      </c>
      <c r="J4732" s="48" t="s">
        <v>56716</v>
      </c>
      <c r="K4732" s="50" t="s">
        <v>56716</v>
      </c>
      <c r="L4732" s="48" t="s">
        <v>56716</v>
      </c>
    </row>
    <row r="4733" spans="1:12" s="37" customFormat="1" ht="11.25" x14ac:dyDescent="0.2">
      <c r="A4733" s="46" t="s">
        <v>7211</v>
      </c>
      <c r="B4733" s="46" t="s">
        <v>53784</v>
      </c>
      <c r="C4733" s="58" t="str">
        <f>"10870024"</f>
        <v>10870024</v>
      </c>
      <c r="D4733" s="58" t="str">
        <f>"15291774"</f>
        <v>15291774</v>
      </c>
      <c r="E4733" s="46" t="s">
        <v>315</v>
      </c>
      <c r="F4733" s="46" t="s">
        <v>50646</v>
      </c>
      <c r="G4733" s="46" t="s">
        <v>50584</v>
      </c>
      <c r="H4733" s="48" t="s">
        <v>56716</v>
      </c>
      <c r="I4733" s="48" t="s">
        <v>50564</v>
      </c>
      <c r="J4733" s="48"/>
      <c r="K4733" s="50"/>
      <c r="L4733" s="48" t="s">
        <v>56716</v>
      </c>
    </row>
    <row r="4734" spans="1:12" s="37" customFormat="1" ht="11.25" x14ac:dyDescent="0.2">
      <c r="A4734" s="46" t="s">
        <v>7341</v>
      </c>
      <c r="B4734" s="46" t="s">
        <v>53785</v>
      </c>
      <c r="C4734" s="58" t="str">
        <f>"10815589"</f>
        <v>10815589</v>
      </c>
      <c r="D4734" s="58" t="str">
        <f>"17088267"</f>
        <v>17088267</v>
      </c>
      <c r="E4734" s="46" t="s">
        <v>28</v>
      </c>
      <c r="F4734" s="46" t="s">
        <v>17759</v>
      </c>
      <c r="G4734" s="46" t="s">
        <v>50584</v>
      </c>
      <c r="H4734" s="48" t="s">
        <v>56716</v>
      </c>
      <c r="I4734" s="48" t="s">
        <v>50564</v>
      </c>
      <c r="J4734" s="48"/>
      <c r="K4734" s="50"/>
      <c r="L4734" s="48" t="s">
        <v>56716</v>
      </c>
    </row>
    <row r="4735" spans="1:12" s="37" customFormat="1" ht="11.25" x14ac:dyDescent="0.2">
      <c r="A4735" s="46" t="s">
        <v>56030</v>
      </c>
      <c r="B4735" s="46" t="s">
        <v>56031</v>
      </c>
      <c r="C4735" s="58" t="str">
        <f>""</f>
        <v/>
      </c>
      <c r="D4735" s="58" t="str">
        <f>"23247096"</f>
        <v>23247096</v>
      </c>
      <c r="E4735" s="46" t="s">
        <v>97</v>
      </c>
      <c r="F4735" s="46" t="s">
        <v>50646</v>
      </c>
      <c r="G4735" s="46" t="s">
        <v>50584</v>
      </c>
      <c r="H4735" s="48" t="s">
        <v>56716</v>
      </c>
      <c r="I4735" s="48" t="s">
        <v>50564</v>
      </c>
      <c r="J4735" s="48" t="s">
        <v>56716</v>
      </c>
      <c r="K4735" s="50"/>
      <c r="L4735" s="48"/>
    </row>
    <row r="4736" spans="1:12" s="37" customFormat="1" ht="11.25" x14ac:dyDescent="0.2">
      <c r="A4736" s="46" t="s">
        <v>4728</v>
      </c>
      <c r="B4736" s="46" t="s">
        <v>53786</v>
      </c>
      <c r="C4736" s="58" t="str">
        <f>"08941939"</f>
        <v>08941939</v>
      </c>
      <c r="D4736" s="58" t="str">
        <f>"15210553"</f>
        <v>15210553</v>
      </c>
      <c r="E4736" s="46" t="s">
        <v>291</v>
      </c>
      <c r="F4736" s="46" t="s">
        <v>50646</v>
      </c>
      <c r="G4736" s="46" t="s">
        <v>50584</v>
      </c>
      <c r="H4736" s="48" t="s">
        <v>56716</v>
      </c>
      <c r="I4736" s="48" t="s">
        <v>50564</v>
      </c>
      <c r="J4736" s="48" t="s">
        <v>56716</v>
      </c>
      <c r="K4736" s="50"/>
      <c r="L4736" s="48" t="s">
        <v>56716</v>
      </c>
    </row>
    <row r="4737" spans="1:12" s="37" customFormat="1" ht="11.25" x14ac:dyDescent="0.2">
      <c r="A4737" s="46" t="s">
        <v>12775</v>
      </c>
      <c r="B4737" s="46" t="s">
        <v>53787</v>
      </c>
      <c r="C4737" s="58" t="str">
        <f>"10277595"</f>
        <v>10277595</v>
      </c>
      <c r="D4737" s="58" t="str">
        <f>"1735854X"</f>
        <v>1735854X</v>
      </c>
      <c r="E4737" s="46" t="s">
        <v>10464</v>
      </c>
      <c r="F4737" s="46" t="s">
        <v>18232</v>
      </c>
      <c r="G4737" s="46" t="s">
        <v>50609</v>
      </c>
      <c r="H4737" s="48" t="s">
        <v>56716</v>
      </c>
      <c r="I4737" s="48" t="s">
        <v>50564</v>
      </c>
      <c r="J4737" s="48"/>
      <c r="K4737" s="50"/>
      <c r="L4737" s="48"/>
    </row>
    <row r="4738" spans="1:12" s="37" customFormat="1" ht="11.25" x14ac:dyDescent="0.2">
      <c r="A4738" s="46" t="s">
        <v>5895</v>
      </c>
      <c r="B4738" s="46" t="s">
        <v>53788</v>
      </c>
      <c r="C4738" s="58" t="str">
        <f>"03865835"</f>
        <v>03865835</v>
      </c>
      <c r="D4738" s="58" t="str">
        <f>""</f>
        <v/>
      </c>
      <c r="E4738" s="46" t="s">
        <v>5897</v>
      </c>
      <c r="F4738" s="46" t="s">
        <v>18242</v>
      </c>
      <c r="G4738" s="46" t="s">
        <v>50604</v>
      </c>
      <c r="H4738" s="48" t="s">
        <v>56716</v>
      </c>
      <c r="I4738" s="48" t="s">
        <v>50564</v>
      </c>
      <c r="J4738" s="48"/>
      <c r="K4738" s="50"/>
      <c r="L4738" s="48"/>
    </row>
    <row r="4739" spans="1:12" s="37" customFormat="1" ht="11.25" x14ac:dyDescent="0.2">
      <c r="A4739" s="46" t="s">
        <v>13746</v>
      </c>
      <c r="B4739" s="46" t="s">
        <v>53789</v>
      </c>
      <c r="C4739" s="58" t="str">
        <f>"04466586"</f>
        <v>04466586</v>
      </c>
      <c r="D4739" s="58" t="str">
        <f>""</f>
        <v/>
      </c>
      <c r="E4739" s="46" t="s">
        <v>13748</v>
      </c>
      <c r="F4739" s="46" t="s">
        <v>18242</v>
      </c>
      <c r="G4739" s="46" t="s">
        <v>50604</v>
      </c>
      <c r="H4739" s="48" t="s">
        <v>56716</v>
      </c>
      <c r="I4739" s="48" t="s">
        <v>50564</v>
      </c>
      <c r="J4739" s="48"/>
      <c r="K4739" s="50"/>
      <c r="L4739" s="48" t="s">
        <v>56716</v>
      </c>
    </row>
    <row r="4740" spans="1:12" s="37" customFormat="1" ht="11.25" x14ac:dyDescent="0.2">
      <c r="A4740" s="46" t="s">
        <v>5777</v>
      </c>
      <c r="B4740" s="46" t="s">
        <v>53790</v>
      </c>
      <c r="C4740" s="58" t="str">
        <f>"10409564"</f>
        <v>10409564</v>
      </c>
      <c r="D4740" s="58" t="str">
        <f>"18819885"</f>
        <v>18819885</v>
      </c>
      <c r="E4740" s="46" t="s">
        <v>5780</v>
      </c>
      <c r="F4740" s="46" t="s">
        <v>18242</v>
      </c>
      <c r="G4740" s="46" t="s">
        <v>50605</v>
      </c>
      <c r="H4740" s="48" t="s">
        <v>56716</v>
      </c>
      <c r="I4740" s="48" t="s">
        <v>50564</v>
      </c>
      <c r="J4740" s="48"/>
      <c r="K4740" s="50"/>
      <c r="L4740" s="48"/>
    </row>
    <row r="4741" spans="1:12" s="37" customFormat="1" ht="11.25" x14ac:dyDescent="0.2">
      <c r="A4741" s="46" t="s">
        <v>10501</v>
      </c>
      <c r="B4741" s="46" t="s">
        <v>53791</v>
      </c>
      <c r="C4741" s="58" t="str">
        <f>"1671587X"</f>
        <v>1671587X</v>
      </c>
      <c r="D4741" s="58" t="str">
        <f>""</f>
        <v/>
      </c>
      <c r="E4741" s="46" t="s">
        <v>10503</v>
      </c>
      <c r="F4741" s="46" t="s">
        <v>17958</v>
      </c>
      <c r="G4741" s="46" t="s">
        <v>50580</v>
      </c>
      <c r="H4741" s="48" t="s">
        <v>56716</v>
      </c>
      <c r="I4741" s="48" t="s">
        <v>50564</v>
      </c>
      <c r="J4741" s="48"/>
      <c r="K4741" s="50"/>
      <c r="L4741" s="48"/>
    </row>
    <row r="4742" spans="1:12" s="37" customFormat="1" ht="11.25" x14ac:dyDescent="0.2">
      <c r="A4742" s="46" t="s">
        <v>14456</v>
      </c>
      <c r="B4742" s="46" t="s">
        <v>53792</v>
      </c>
      <c r="C4742" s="58" t="str">
        <f>"10239510"</f>
        <v>10239510</v>
      </c>
      <c r="D4742" s="58" t="str">
        <f>"20082843"</f>
        <v>20082843</v>
      </c>
      <c r="E4742" s="46" t="s">
        <v>14459</v>
      </c>
      <c r="F4742" s="46" t="s">
        <v>18232</v>
      </c>
      <c r="G4742" s="46" t="s">
        <v>50609</v>
      </c>
      <c r="H4742" s="48" t="s">
        <v>56716</v>
      </c>
      <c r="I4742" s="48" t="s">
        <v>50564</v>
      </c>
      <c r="J4742" s="48"/>
      <c r="K4742" s="50"/>
      <c r="L4742" s="48"/>
    </row>
    <row r="4743" spans="1:12" s="37" customFormat="1" ht="11.25" x14ac:dyDescent="0.2">
      <c r="A4743" s="45" t="s">
        <v>36342</v>
      </c>
      <c r="B4743" s="45" t="s">
        <v>36344</v>
      </c>
      <c r="C4743" s="51" t="s">
        <v>36347</v>
      </c>
      <c r="D4743" s="51" t="s">
        <v>36346</v>
      </c>
      <c r="E4743" s="45" t="s">
        <v>12671</v>
      </c>
      <c r="F4743" s="45" t="s">
        <v>50649</v>
      </c>
      <c r="G4743" s="45" t="s">
        <v>50606</v>
      </c>
      <c r="H4743" s="56"/>
      <c r="I4743" s="56" t="s">
        <v>50564</v>
      </c>
      <c r="J4743" s="56"/>
      <c r="K4743" s="50"/>
      <c r="L4743" s="56" t="s">
        <v>56716</v>
      </c>
    </row>
    <row r="4744" spans="1:12" s="37" customFormat="1" ht="11.25" x14ac:dyDescent="0.2">
      <c r="A4744" s="45" t="s">
        <v>36350</v>
      </c>
      <c r="B4744" s="45" t="s">
        <v>36352</v>
      </c>
      <c r="C4744" s="51" t="s">
        <v>36354</v>
      </c>
      <c r="D4744" s="51" t="s">
        <v>36353</v>
      </c>
      <c r="E4744" s="45" t="s">
        <v>36355</v>
      </c>
      <c r="F4744" s="45" t="s">
        <v>50649</v>
      </c>
      <c r="G4744" s="45" t="s">
        <v>50584</v>
      </c>
      <c r="H4744" s="56"/>
      <c r="I4744" s="56" t="s">
        <v>50564</v>
      </c>
      <c r="J4744" s="56"/>
      <c r="K4744" s="50"/>
      <c r="L4744" s="56" t="s">
        <v>56716</v>
      </c>
    </row>
    <row r="4745" spans="1:12" s="37" customFormat="1" ht="11.25" x14ac:dyDescent="0.2">
      <c r="A4745" s="46" t="s">
        <v>11908</v>
      </c>
      <c r="B4745" s="46" t="s">
        <v>53793</v>
      </c>
      <c r="C4745" s="58" t="str">
        <f>"20053711"</f>
        <v>20053711</v>
      </c>
      <c r="D4745" s="58" t="str">
        <f>"15987876"</f>
        <v>15987876</v>
      </c>
      <c r="E4745" s="46" t="s">
        <v>11911</v>
      </c>
      <c r="F4745" s="46" t="s">
        <v>50649</v>
      </c>
      <c r="G4745" s="46" t="s">
        <v>50584</v>
      </c>
      <c r="H4745" s="48" t="s">
        <v>56716</v>
      </c>
      <c r="I4745" s="48" t="s">
        <v>50564</v>
      </c>
      <c r="J4745" s="48"/>
      <c r="K4745" s="50"/>
      <c r="L4745" s="48"/>
    </row>
    <row r="4746" spans="1:12" s="37" customFormat="1" ht="11.25" x14ac:dyDescent="0.2">
      <c r="A4746" s="46" t="s">
        <v>56125</v>
      </c>
      <c r="B4746" s="46" t="s">
        <v>56126</v>
      </c>
      <c r="C4746" s="58" t="str">
        <f>"22314261"</f>
        <v>22314261</v>
      </c>
      <c r="D4746" s="58" t="str">
        <f>""</f>
        <v/>
      </c>
      <c r="E4746" s="46" t="s">
        <v>56127</v>
      </c>
      <c r="F4746" s="46" t="s">
        <v>20446</v>
      </c>
      <c r="G4746" s="46" t="s">
        <v>50584</v>
      </c>
      <c r="H4746" s="48" t="s">
        <v>56716</v>
      </c>
      <c r="I4746" s="48" t="s">
        <v>50564</v>
      </c>
      <c r="J4746" s="48"/>
      <c r="K4746" s="50"/>
      <c r="L4746" s="48"/>
    </row>
    <row r="4747" spans="1:12" s="37" customFormat="1" ht="11.25" x14ac:dyDescent="0.2">
      <c r="A4747" s="46" t="s">
        <v>2414</v>
      </c>
      <c r="B4747" s="46" t="s">
        <v>53794</v>
      </c>
      <c r="C4747" s="58" t="str">
        <f>"03624803"</f>
        <v>03624803</v>
      </c>
      <c r="D4747" s="58" t="str">
        <f>"10991344"</f>
        <v>10991344</v>
      </c>
      <c r="E4747" s="46" t="s">
        <v>751</v>
      </c>
      <c r="F4747" s="46" t="s">
        <v>50646</v>
      </c>
      <c r="G4747" s="46" t="s">
        <v>50590</v>
      </c>
      <c r="H4747" s="48" t="s">
        <v>56716</v>
      </c>
      <c r="I4747" s="48" t="s">
        <v>50564</v>
      </c>
      <c r="J4747" s="48"/>
      <c r="K4747" s="50" t="s">
        <v>56716</v>
      </c>
      <c r="L4747" s="48" t="s">
        <v>56716</v>
      </c>
    </row>
    <row r="4748" spans="1:12" s="37" customFormat="1" ht="11.25" x14ac:dyDescent="0.2">
      <c r="A4748" s="46" t="s">
        <v>15382</v>
      </c>
      <c r="B4748" s="46" t="s">
        <v>53795</v>
      </c>
      <c r="C4748" s="58" t="str">
        <f>"22110682"</f>
        <v>22110682</v>
      </c>
      <c r="D4748" s="58" t="str">
        <f>"22110690"</f>
        <v>22110690</v>
      </c>
      <c r="E4748" s="46" t="s">
        <v>493</v>
      </c>
      <c r="F4748" s="46" t="s">
        <v>17759</v>
      </c>
      <c r="G4748" s="46" t="s">
        <v>50584</v>
      </c>
      <c r="H4748" s="48" t="s">
        <v>56716</v>
      </c>
      <c r="I4748" s="48" t="s">
        <v>50564</v>
      </c>
      <c r="J4748" s="48"/>
      <c r="K4748" s="50"/>
      <c r="L4748" s="48" t="s">
        <v>56716</v>
      </c>
    </row>
    <row r="4749" spans="1:12" s="37" customFormat="1" ht="11.25" x14ac:dyDescent="0.2">
      <c r="A4749" s="46" t="s">
        <v>11545</v>
      </c>
      <c r="B4749" s="46" t="s">
        <v>53796</v>
      </c>
      <c r="C4749" s="58" t="str">
        <f>"10926429"</f>
        <v>10926429</v>
      </c>
      <c r="D4749" s="58" t="str">
        <f>"15579034"</f>
        <v>15579034</v>
      </c>
      <c r="E4749" s="46" t="s">
        <v>4337</v>
      </c>
      <c r="F4749" s="46" t="s">
        <v>17759</v>
      </c>
      <c r="G4749" s="46" t="s">
        <v>50584</v>
      </c>
      <c r="H4749" s="48" t="s">
        <v>56716</v>
      </c>
      <c r="I4749" s="48" t="s">
        <v>50564</v>
      </c>
      <c r="J4749" s="48" t="s">
        <v>56716</v>
      </c>
      <c r="K4749" s="50"/>
      <c r="L4749" s="48" t="s">
        <v>56716</v>
      </c>
    </row>
    <row r="4750" spans="1:12" s="37" customFormat="1" ht="11.25" x14ac:dyDescent="0.2">
      <c r="A4750" s="46" t="s">
        <v>2420</v>
      </c>
      <c r="B4750" s="46" t="s">
        <v>53797</v>
      </c>
      <c r="C4750" s="58" t="str">
        <f>"00222151"</f>
        <v>00222151</v>
      </c>
      <c r="D4750" s="58" t="str">
        <f>"17485460"</f>
        <v>17485460</v>
      </c>
      <c r="E4750" s="46" t="s">
        <v>724</v>
      </c>
      <c r="F4750" s="46" t="s">
        <v>50646</v>
      </c>
      <c r="G4750" s="46" t="s">
        <v>50584</v>
      </c>
      <c r="H4750" s="48" t="s">
        <v>56716</v>
      </c>
      <c r="I4750" s="48" t="s">
        <v>50564</v>
      </c>
      <c r="J4750" s="48"/>
      <c r="K4750" s="50" t="s">
        <v>56716</v>
      </c>
      <c r="L4750" s="48" t="s">
        <v>56716</v>
      </c>
    </row>
    <row r="4751" spans="1:12" s="37" customFormat="1" ht="11.25" x14ac:dyDescent="0.2">
      <c r="A4751" s="45" t="s">
        <v>36385</v>
      </c>
      <c r="B4751" s="45" t="s">
        <v>36387</v>
      </c>
      <c r="C4751" s="51" t="s">
        <v>36388</v>
      </c>
      <c r="D4751" s="51"/>
      <c r="E4751" s="45" t="s">
        <v>36389</v>
      </c>
      <c r="F4751" s="45" t="s">
        <v>17759</v>
      </c>
      <c r="G4751" s="45" t="s">
        <v>50584</v>
      </c>
      <c r="H4751" s="56"/>
      <c r="I4751" s="56" t="s">
        <v>50564</v>
      </c>
      <c r="J4751" s="56"/>
      <c r="K4751" s="50"/>
      <c r="L4751" s="56" t="s">
        <v>56716</v>
      </c>
    </row>
    <row r="4752" spans="1:12" s="37" customFormat="1" ht="11.25" x14ac:dyDescent="0.2">
      <c r="A4752" s="45" t="s">
        <v>36391</v>
      </c>
      <c r="B4752" s="45" t="s">
        <v>36393</v>
      </c>
      <c r="C4752" s="51" t="s">
        <v>36394</v>
      </c>
      <c r="D4752" s="51"/>
      <c r="E4752" s="45" t="s">
        <v>36395</v>
      </c>
      <c r="F4752" s="45" t="s">
        <v>20082</v>
      </c>
      <c r="G4752" s="45" t="s">
        <v>50584</v>
      </c>
      <c r="H4752" s="56"/>
      <c r="I4752" s="56" t="s">
        <v>50564</v>
      </c>
      <c r="J4752" s="56"/>
      <c r="K4752" s="50"/>
      <c r="L4752" s="56" t="s">
        <v>56716</v>
      </c>
    </row>
    <row r="4753" spans="1:12" s="37" customFormat="1" ht="11.25" x14ac:dyDescent="0.2">
      <c r="A4753" s="45" t="s">
        <v>36405</v>
      </c>
      <c r="B4753" s="45" t="s">
        <v>36407</v>
      </c>
      <c r="C4753" s="51" t="s">
        <v>36409</v>
      </c>
      <c r="D4753" s="51" t="s">
        <v>36408</v>
      </c>
      <c r="E4753" s="45" t="s">
        <v>36410</v>
      </c>
      <c r="F4753" s="45" t="s">
        <v>17759</v>
      </c>
      <c r="G4753" s="45" t="s">
        <v>50584</v>
      </c>
      <c r="H4753" s="56"/>
      <c r="I4753" s="56" t="s">
        <v>50564</v>
      </c>
      <c r="J4753" s="56"/>
      <c r="K4753" s="50"/>
      <c r="L4753" s="56" t="s">
        <v>56716</v>
      </c>
    </row>
    <row r="4754" spans="1:12" s="37" customFormat="1" ht="11.25" x14ac:dyDescent="0.2">
      <c r="A4754" s="45" t="s">
        <v>36418</v>
      </c>
      <c r="B4754" s="45" t="s">
        <v>36420</v>
      </c>
      <c r="C4754" s="51" t="s">
        <v>36422</v>
      </c>
      <c r="D4754" s="51" t="s">
        <v>36421</v>
      </c>
      <c r="E4754" s="45" t="s">
        <v>291</v>
      </c>
      <c r="F4754" s="45" t="s">
        <v>50646</v>
      </c>
      <c r="G4754" s="45" t="s">
        <v>50584</v>
      </c>
      <c r="H4754" s="56"/>
      <c r="I4754" s="56" t="s">
        <v>50564</v>
      </c>
      <c r="J4754" s="56"/>
      <c r="K4754" s="50"/>
      <c r="L4754" s="56" t="s">
        <v>56716</v>
      </c>
    </row>
    <row r="4755" spans="1:12" s="37" customFormat="1" ht="11.25" x14ac:dyDescent="0.2">
      <c r="A4755" s="46" t="s">
        <v>12216</v>
      </c>
      <c r="B4755" s="46" t="s">
        <v>53798</v>
      </c>
      <c r="C4755" s="58" t="str">
        <f>"10099921"</f>
        <v>10099921</v>
      </c>
      <c r="D4755" s="58" t="str">
        <f>""</f>
        <v/>
      </c>
      <c r="E4755" s="46" t="s">
        <v>12218</v>
      </c>
      <c r="F4755" s="46" t="s">
        <v>17958</v>
      </c>
      <c r="G4755" s="46" t="s">
        <v>50580</v>
      </c>
      <c r="H4755" s="48" t="s">
        <v>56716</v>
      </c>
      <c r="I4755" s="48" t="s">
        <v>50564</v>
      </c>
      <c r="J4755" s="48"/>
      <c r="K4755" s="50"/>
      <c r="L4755" s="48"/>
    </row>
    <row r="4756" spans="1:12" s="37" customFormat="1" ht="11.25" x14ac:dyDescent="0.2">
      <c r="A4756" s="46" t="s">
        <v>2409</v>
      </c>
      <c r="B4756" s="46" t="s">
        <v>53799</v>
      </c>
      <c r="C4756" s="58" t="str">
        <f>"07415400"</f>
        <v>07415400</v>
      </c>
      <c r="D4756" s="58" t="str">
        <f>"19383673"</f>
        <v>19383673</v>
      </c>
      <c r="E4756" s="46" t="s">
        <v>2412</v>
      </c>
      <c r="F4756" s="46" t="s">
        <v>17759</v>
      </c>
      <c r="G4756" s="46" t="s">
        <v>50584</v>
      </c>
      <c r="H4756" s="48" t="s">
        <v>56716</v>
      </c>
      <c r="I4756" s="48" t="s">
        <v>50564</v>
      </c>
      <c r="J4756" s="48" t="s">
        <v>56716</v>
      </c>
      <c r="K4756" s="50"/>
      <c r="L4756" s="48" t="s">
        <v>56716</v>
      </c>
    </row>
    <row r="4757" spans="1:12" s="37" customFormat="1" ht="11.25" x14ac:dyDescent="0.2">
      <c r="A4757" s="46" t="s">
        <v>2423</v>
      </c>
      <c r="B4757" s="46" t="s">
        <v>53800</v>
      </c>
      <c r="C4757" s="58" t="str">
        <f>"00222275"</f>
        <v>00222275</v>
      </c>
      <c r="D4757" s="58" t="str">
        <f>"15397262"</f>
        <v>15397262</v>
      </c>
      <c r="E4757" s="46" t="s">
        <v>2154</v>
      </c>
      <c r="F4757" s="46" t="s">
        <v>17759</v>
      </c>
      <c r="G4757" s="46" t="s">
        <v>50584</v>
      </c>
      <c r="H4757" s="48" t="s">
        <v>56716</v>
      </c>
      <c r="I4757" s="48" t="s">
        <v>50564</v>
      </c>
      <c r="J4757" s="48" t="s">
        <v>56716</v>
      </c>
      <c r="K4757" s="50"/>
      <c r="L4757" s="48" t="s">
        <v>56716</v>
      </c>
    </row>
    <row r="4758" spans="1:12" s="37" customFormat="1" ht="11.25" x14ac:dyDescent="0.2">
      <c r="A4758" s="46" t="s">
        <v>15739</v>
      </c>
      <c r="B4758" s="46" t="s">
        <v>53801</v>
      </c>
      <c r="C4758" s="58" t="str">
        <f>"20903030"</f>
        <v>20903030</v>
      </c>
      <c r="D4758" s="58" t="str">
        <f>"20903049"</f>
        <v>20903049</v>
      </c>
      <c r="E4758" s="46" t="s">
        <v>1412</v>
      </c>
      <c r="F4758" s="46" t="s">
        <v>17759</v>
      </c>
      <c r="G4758" s="46" t="s">
        <v>50584</v>
      </c>
      <c r="H4758" s="48" t="s">
        <v>56716</v>
      </c>
      <c r="I4758" s="48" t="s">
        <v>50564</v>
      </c>
      <c r="J4758" s="48" t="s">
        <v>56716</v>
      </c>
      <c r="K4758" s="50"/>
      <c r="L4758" s="48"/>
    </row>
    <row r="4759" spans="1:12" s="37" customFormat="1" ht="11.25" x14ac:dyDescent="0.2">
      <c r="A4759" s="46" t="s">
        <v>4898</v>
      </c>
      <c r="B4759" s="46" t="s">
        <v>53802</v>
      </c>
      <c r="C4759" s="58" t="str">
        <f>"08982104"</f>
        <v>08982104</v>
      </c>
      <c r="D4759" s="58" t="str">
        <f>"15322394"</f>
        <v>15322394</v>
      </c>
      <c r="E4759" s="46" t="s">
        <v>291</v>
      </c>
      <c r="F4759" s="46" t="s">
        <v>50646</v>
      </c>
      <c r="G4759" s="46" t="s">
        <v>50584</v>
      </c>
      <c r="H4759" s="48" t="s">
        <v>56716</v>
      </c>
      <c r="I4759" s="48" t="s">
        <v>50564</v>
      </c>
      <c r="J4759" s="48" t="s">
        <v>56716</v>
      </c>
      <c r="K4759" s="50"/>
      <c r="L4759" s="48" t="s">
        <v>56716</v>
      </c>
    </row>
    <row r="4760" spans="1:12" s="37" customFormat="1" ht="11.25" x14ac:dyDescent="0.2">
      <c r="A4760" s="46" t="s">
        <v>6932</v>
      </c>
      <c r="B4760" s="46" t="s">
        <v>53803</v>
      </c>
      <c r="C4760" s="58" t="str">
        <f>"10826076"</f>
        <v>10826076</v>
      </c>
      <c r="D4760" s="58" t="str">
        <f>"1520572X"</f>
        <v>1520572X</v>
      </c>
      <c r="E4760" s="46" t="s">
        <v>669</v>
      </c>
      <c r="F4760" s="46" t="s">
        <v>17759</v>
      </c>
      <c r="G4760" s="46" t="s">
        <v>50584</v>
      </c>
      <c r="H4760" s="48" t="s">
        <v>56716</v>
      </c>
      <c r="I4760" s="48" t="s">
        <v>50564</v>
      </c>
      <c r="J4760" s="48"/>
      <c r="K4760" s="50"/>
      <c r="L4760" s="48"/>
    </row>
    <row r="4761" spans="1:12" s="37" customFormat="1" ht="11.25" x14ac:dyDescent="0.2">
      <c r="A4761" s="46" t="s">
        <v>17517</v>
      </c>
      <c r="B4761" s="46" t="s">
        <v>53804</v>
      </c>
      <c r="C4761" s="58" t="str">
        <f>"22259228"</f>
        <v>22259228</v>
      </c>
      <c r="D4761" s="58" t="str">
        <f>""</f>
        <v/>
      </c>
      <c r="E4761" s="46" t="s">
        <v>17141</v>
      </c>
      <c r="F4761" s="46" t="s">
        <v>50652</v>
      </c>
      <c r="G4761" s="46" t="s">
        <v>50584</v>
      </c>
      <c r="H4761" s="48" t="s">
        <v>56716</v>
      </c>
      <c r="I4761" s="48" t="s">
        <v>50564</v>
      </c>
      <c r="J4761" s="48"/>
      <c r="K4761" s="50"/>
      <c r="L4761" s="48"/>
    </row>
    <row r="4762" spans="1:12" s="37" customFormat="1" ht="11.25" x14ac:dyDescent="0.2">
      <c r="A4762" s="46" t="s">
        <v>17519</v>
      </c>
      <c r="B4762" s="46" t="s">
        <v>53805</v>
      </c>
      <c r="C4762" s="58" t="str">
        <f>""</f>
        <v/>
      </c>
      <c r="D4762" s="58" t="str">
        <f>"23060441"</f>
        <v>23060441</v>
      </c>
      <c r="E4762" s="46" t="s">
        <v>17141</v>
      </c>
      <c r="F4762" s="46" t="s">
        <v>50652</v>
      </c>
      <c r="G4762" s="46" t="s">
        <v>50584</v>
      </c>
      <c r="H4762" s="48" t="s">
        <v>56716</v>
      </c>
      <c r="I4762" s="48" t="s">
        <v>50564</v>
      </c>
      <c r="J4762" s="48"/>
      <c r="K4762" s="50"/>
      <c r="L4762" s="48"/>
    </row>
    <row r="4763" spans="1:12" s="37" customFormat="1" ht="11.25" x14ac:dyDescent="0.2">
      <c r="A4763" s="46" t="s">
        <v>5295</v>
      </c>
      <c r="B4763" s="46" t="s">
        <v>53806</v>
      </c>
      <c r="C4763" s="58" t="str">
        <f>"10506934"</f>
        <v>10506934</v>
      </c>
      <c r="D4763" s="58" t="str">
        <f>"19404379 "</f>
        <v xml:space="preserve">19404379 </v>
      </c>
      <c r="E4763" s="46" t="s">
        <v>1278</v>
      </c>
      <c r="F4763" s="46" t="s">
        <v>17759</v>
      </c>
      <c r="G4763" s="46" t="s">
        <v>50584</v>
      </c>
      <c r="H4763" s="48" t="s">
        <v>56716</v>
      </c>
      <c r="I4763" s="48" t="s">
        <v>50564</v>
      </c>
      <c r="J4763" s="48"/>
      <c r="K4763" s="50"/>
      <c r="L4763" s="48" t="s">
        <v>56716</v>
      </c>
    </row>
    <row r="4764" spans="1:12" s="37" customFormat="1" ht="11.25" x14ac:dyDescent="0.2">
      <c r="A4764" s="46" t="s">
        <v>7377</v>
      </c>
      <c r="B4764" s="46" t="s">
        <v>53807</v>
      </c>
      <c r="C4764" s="58" t="str">
        <f>"10892591"</f>
        <v>10892591</v>
      </c>
      <c r="D4764" s="58" t="str">
        <f>"15260976"</f>
        <v>15260976</v>
      </c>
      <c r="E4764" s="46" t="s">
        <v>28</v>
      </c>
      <c r="F4764" s="46" t="s">
        <v>17759</v>
      </c>
      <c r="G4764" s="46" t="s">
        <v>50584</v>
      </c>
      <c r="H4764" s="48" t="s">
        <v>56716</v>
      </c>
      <c r="I4764" s="48" t="s">
        <v>50564</v>
      </c>
      <c r="J4764" s="48"/>
      <c r="K4764" s="50" t="s">
        <v>56716</v>
      </c>
      <c r="L4764" s="48" t="s">
        <v>56716</v>
      </c>
    </row>
    <row r="4765" spans="1:12" s="37" customFormat="1" ht="11.25" x14ac:dyDescent="0.2">
      <c r="A4765" s="46" t="s">
        <v>14948</v>
      </c>
      <c r="B4765" s="46" t="s">
        <v>53808</v>
      </c>
      <c r="C4765" s="58" t="str">
        <f>"17507235"</f>
        <v>17507235</v>
      </c>
      <c r="D4765" s="58" t="str">
        <f>""</f>
        <v/>
      </c>
      <c r="E4765" s="46" t="s">
        <v>11405</v>
      </c>
      <c r="F4765" s="46" t="s">
        <v>50646</v>
      </c>
      <c r="G4765" s="46" t="s">
        <v>50584</v>
      </c>
      <c r="H4765" s="48" t="s">
        <v>56716</v>
      </c>
      <c r="I4765" s="48" t="s">
        <v>50564</v>
      </c>
      <c r="J4765" s="48"/>
      <c r="K4765" s="50"/>
      <c r="L4765" s="48"/>
    </row>
    <row r="4766" spans="1:12" s="37" customFormat="1" ht="11.25" x14ac:dyDescent="0.2">
      <c r="A4766" s="45" t="s">
        <v>36452</v>
      </c>
      <c r="B4766" s="45" t="s">
        <v>36454</v>
      </c>
      <c r="C4766" s="51" t="s">
        <v>36457</v>
      </c>
      <c r="D4766" s="51" t="s">
        <v>36456</v>
      </c>
      <c r="E4766" s="45" t="s">
        <v>91</v>
      </c>
      <c r="F4766" s="45" t="s">
        <v>17759</v>
      </c>
      <c r="G4766" s="45" t="s">
        <v>50584</v>
      </c>
      <c r="H4766" s="56"/>
      <c r="I4766" s="56" t="s">
        <v>50564</v>
      </c>
      <c r="J4766" s="56"/>
      <c r="K4766" s="50"/>
      <c r="L4766" s="56" t="s">
        <v>56716</v>
      </c>
    </row>
    <row r="4767" spans="1:12" s="37" customFormat="1" ht="11.25" x14ac:dyDescent="0.2">
      <c r="A4767" s="46" t="s">
        <v>6883</v>
      </c>
      <c r="B4767" s="46" t="s">
        <v>53809</v>
      </c>
      <c r="C4767" s="58" t="str">
        <f>"10531807"</f>
        <v>10531807</v>
      </c>
      <c r="D4767" s="58" t="str">
        <f>"15222586"</f>
        <v>15222586</v>
      </c>
      <c r="E4767" s="46" t="s">
        <v>517</v>
      </c>
      <c r="F4767" s="46" t="s">
        <v>17759</v>
      </c>
      <c r="G4767" s="46" t="s">
        <v>50584</v>
      </c>
      <c r="H4767" s="48" t="s">
        <v>56716</v>
      </c>
      <c r="I4767" s="48" t="s">
        <v>50564</v>
      </c>
      <c r="J4767" s="48" t="s">
        <v>56716</v>
      </c>
      <c r="K4767" s="50" t="s">
        <v>56716</v>
      </c>
      <c r="L4767" s="48" t="s">
        <v>56716</v>
      </c>
    </row>
    <row r="4768" spans="1:12" s="37" customFormat="1" ht="11.25" x14ac:dyDescent="0.2">
      <c r="A4768" s="46" t="s">
        <v>14913</v>
      </c>
      <c r="B4768" s="46" t="s">
        <v>53810</v>
      </c>
      <c r="C4768" s="58" t="str">
        <f>"19395906"</f>
        <v>19395906</v>
      </c>
      <c r="D4768" s="58" t="str">
        <f>""</f>
        <v/>
      </c>
      <c r="E4768" s="46" t="s">
        <v>11878</v>
      </c>
      <c r="F4768" s="46" t="s">
        <v>17759</v>
      </c>
      <c r="G4768" s="46" t="s">
        <v>50584</v>
      </c>
      <c r="H4768" s="48" t="s">
        <v>56716</v>
      </c>
      <c r="I4768" s="48" t="s">
        <v>50564</v>
      </c>
      <c r="J4768" s="48"/>
      <c r="K4768" s="50"/>
      <c r="L4768" s="48"/>
    </row>
    <row r="4769" spans="1:12" s="37" customFormat="1" ht="11.25" x14ac:dyDescent="0.2">
      <c r="A4769" s="46" t="s">
        <v>8112</v>
      </c>
      <c r="B4769" s="46" t="s">
        <v>53811</v>
      </c>
      <c r="C4769" s="58" t="str">
        <f>"10833021"</f>
        <v>10833021</v>
      </c>
      <c r="D4769" s="58" t="str">
        <f>"15737039"</f>
        <v>15737039</v>
      </c>
      <c r="E4769" s="46" t="s">
        <v>56305</v>
      </c>
      <c r="F4769" s="46" t="s">
        <v>17759</v>
      </c>
      <c r="G4769" s="46" t="s">
        <v>50584</v>
      </c>
      <c r="H4769" s="48" t="s">
        <v>56716</v>
      </c>
      <c r="I4769" s="48" t="s">
        <v>50564</v>
      </c>
      <c r="J4769" s="48"/>
      <c r="K4769" s="50"/>
      <c r="L4769" s="48" t="s">
        <v>56716</v>
      </c>
    </row>
    <row r="4770" spans="1:12" s="37" customFormat="1" ht="11.25" x14ac:dyDescent="0.2">
      <c r="A4770" s="45" t="s">
        <v>56610</v>
      </c>
      <c r="B4770" s="45" t="s">
        <v>56611</v>
      </c>
      <c r="C4770" s="51" t="s">
        <v>56612</v>
      </c>
      <c r="D4770" s="51" t="s">
        <v>56613</v>
      </c>
      <c r="E4770" s="45" t="s">
        <v>36471</v>
      </c>
      <c r="F4770" s="45" t="s">
        <v>17759</v>
      </c>
      <c r="G4770" s="45" t="s">
        <v>50584</v>
      </c>
      <c r="H4770" s="56"/>
      <c r="I4770" s="56" t="s">
        <v>50564</v>
      </c>
      <c r="J4770" s="56"/>
      <c r="K4770" s="50"/>
      <c r="L4770" s="56" t="s">
        <v>56716</v>
      </c>
    </row>
    <row r="4771" spans="1:12" s="37" customFormat="1" ht="11.25" x14ac:dyDescent="0.2">
      <c r="A4771" s="46" t="s">
        <v>16206</v>
      </c>
      <c r="B4771" s="46" t="s">
        <v>53812</v>
      </c>
      <c r="C4771" s="58" t="str">
        <f>"10941525"</f>
        <v>10941525</v>
      </c>
      <c r="D4771" s="58" t="str">
        <f>""</f>
        <v/>
      </c>
      <c r="E4771" s="46" t="s">
        <v>16208</v>
      </c>
      <c r="F4771" s="46" t="s">
        <v>17759</v>
      </c>
      <c r="G4771" s="46" t="s">
        <v>50584</v>
      </c>
      <c r="H4771" s="48" t="s">
        <v>56716</v>
      </c>
      <c r="I4771" s="48" t="s">
        <v>50564</v>
      </c>
      <c r="J4771" s="48"/>
      <c r="K4771" s="50"/>
      <c r="L4771" s="48"/>
    </row>
    <row r="4772" spans="1:12" s="37" customFormat="1" ht="11.25" x14ac:dyDescent="0.2">
      <c r="A4772" s="46" t="s">
        <v>11654</v>
      </c>
      <c r="B4772" s="46" t="s">
        <v>53813</v>
      </c>
      <c r="C4772" s="58" t="str">
        <f>"10834087"</f>
        <v>10834087</v>
      </c>
      <c r="D4772" s="58" t="str">
        <f>""</f>
        <v/>
      </c>
      <c r="E4772" s="46" t="s">
        <v>11656</v>
      </c>
      <c r="F4772" s="46" t="s">
        <v>17759</v>
      </c>
      <c r="G4772" s="46" t="s">
        <v>50584</v>
      </c>
      <c r="H4772" s="48" t="s">
        <v>56716</v>
      </c>
      <c r="I4772" s="48" t="s">
        <v>50564</v>
      </c>
      <c r="J4772" s="48"/>
      <c r="K4772" s="50"/>
      <c r="L4772" s="48"/>
    </row>
    <row r="4773" spans="1:12" s="37" customFormat="1" ht="11.25" x14ac:dyDescent="0.2">
      <c r="A4773" s="46" t="s">
        <v>4638</v>
      </c>
      <c r="B4773" s="46" t="s">
        <v>53814</v>
      </c>
      <c r="C4773" s="58" t="str">
        <f>"01614754"</f>
        <v>01614754</v>
      </c>
      <c r="D4773" s="58" t="str">
        <f>"15326586"</f>
        <v>15326586</v>
      </c>
      <c r="E4773" s="46" t="s">
        <v>194</v>
      </c>
      <c r="F4773" s="46" t="s">
        <v>17759</v>
      </c>
      <c r="G4773" s="46" t="s">
        <v>50584</v>
      </c>
      <c r="H4773" s="48" t="s">
        <v>56716</v>
      </c>
      <c r="I4773" s="48" t="s">
        <v>50564</v>
      </c>
      <c r="J4773" s="48"/>
      <c r="K4773" s="50" t="s">
        <v>56716</v>
      </c>
      <c r="L4773" s="48" t="s">
        <v>56716</v>
      </c>
    </row>
    <row r="4774" spans="1:12" s="37" customFormat="1" ht="11.25" x14ac:dyDescent="0.2">
      <c r="A4774" s="46" t="s">
        <v>7153</v>
      </c>
      <c r="B4774" s="46" t="s">
        <v>53815</v>
      </c>
      <c r="C4774" s="58" t="str">
        <f>"10669817"</f>
        <v>10669817</v>
      </c>
      <c r="D4774" s="58" t="str">
        <f>"20426186"</f>
        <v>20426186</v>
      </c>
      <c r="E4774" s="46" t="s">
        <v>856</v>
      </c>
      <c r="F4774" s="46" t="s">
        <v>50646</v>
      </c>
      <c r="G4774" s="46" t="s">
        <v>50584</v>
      </c>
      <c r="H4774" s="48" t="s">
        <v>56716</v>
      </c>
      <c r="I4774" s="48" t="s">
        <v>50564</v>
      </c>
      <c r="J4774" s="48"/>
      <c r="K4774" s="50"/>
      <c r="L4774" s="48"/>
    </row>
    <row r="4775" spans="1:12" s="37" customFormat="1" ht="11.25" x14ac:dyDescent="0.2">
      <c r="A4775" s="45" t="s">
        <v>36479</v>
      </c>
      <c r="B4775" s="45" t="s">
        <v>36481</v>
      </c>
      <c r="C4775" s="51" t="s">
        <v>36484</v>
      </c>
      <c r="D4775" s="51" t="s">
        <v>36483</v>
      </c>
      <c r="E4775" s="45" t="s">
        <v>21146</v>
      </c>
      <c r="F4775" s="45" t="s">
        <v>17759</v>
      </c>
      <c r="G4775" s="45" t="s">
        <v>50584</v>
      </c>
      <c r="H4775" s="56"/>
      <c r="I4775" s="56" t="s">
        <v>50564</v>
      </c>
      <c r="J4775" s="56"/>
      <c r="K4775" s="50"/>
      <c r="L4775" s="56" t="s">
        <v>56716</v>
      </c>
    </row>
    <row r="4776" spans="1:12" s="37" customFormat="1" ht="11.25" x14ac:dyDescent="0.2">
      <c r="A4776" s="46" t="s">
        <v>6478</v>
      </c>
      <c r="B4776" s="46" t="s">
        <v>53816</v>
      </c>
      <c r="C4776" s="58" t="str">
        <f>"10765174"</f>
        <v>10765174</v>
      </c>
      <c r="D4776" s="58" t="str">
        <f>"10969888"</f>
        <v>10969888</v>
      </c>
      <c r="E4776" s="46" t="s">
        <v>751</v>
      </c>
      <c r="F4776" s="46" t="s">
        <v>50646</v>
      </c>
      <c r="G4776" s="46" t="s">
        <v>50584</v>
      </c>
      <c r="H4776" s="48" t="s">
        <v>56716</v>
      </c>
      <c r="I4776" s="48" t="s">
        <v>50564</v>
      </c>
      <c r="J4776" s="48" t="s">
        <v>56716</v>
      </c>
      <c r="K4776" s="50"/>
      <c r="L4776" s="48" t="s">
        <v>56716</v>
      </c>
    </row>
    <row r="4777" spans="1:12" s="37" customFormat="1" ht="11.25" x14ac:dyDescent="0.2">
      <c r="A4777" s="46" t="s">
        <v>5750</v>
      </c>
      <c r="B4777" s="46" t="s">
        <v>53817</v>
      </c>
      <c r="C4777" s="58" t="str">
        <f>"09574530"</f>
        <v>09574530</v>
      </c>
      <c r="D4777" s="58" t="str">
        <f>"15734838"</f>
        <v>15734838</v>
      </c>
      <c r="E4777" s="46" t="s">
        <v>18876</v>
      </c>
      <c r="F4777" s="46" t="s">
        <v>18001</v>
      </c>
      <c r="G4777" s="46" t="s">
        <v>50584</v>
      </c>
      <c r="H4777" s="48" t="s">
        <v>56716</v>
      </c>
      <c r="I4777" s="48" t="s">
        <v>50564</v>
      </c>
      <c r="J4777" s="48" t="s">
        <v>56716</v>
      </c>
      <c r="K4777" s="50"/>
      <c r="L4777" s="48" t="s">
        <v>56716</v>
      </c>
    </row>
    <row r="4778" spans="1:12" s="37" customFormat="1" ht="11.25" x14ac:dyDescent="0.2">
      <c r="A4778" s="46" t="s">
        <v>9343</v>
      </c>
      <c r="B4778" s="46" t="s">
        <v>53818</v>
      </c>
      <c r="C4778" s="58" t="str">
        <f>"14767058"</f>
        <v>14767058</v>
      </c>
      <c r="D4778" s="58" t="str">
        <f>"14764954"</f>
        <v>14764954</v>
      </c>
      <c r="E4778" s="46" t="s">
        <v>291</v>
      </c>
      <c r="F4778" s="46" t="s">
        <v>50646</v>
      </c>
      <c r="G4778" s="46" t="s">
        <v>50584</v>
      </c>
      <c r="H4778" s="48" t="s">
        <v>56716</v>
      </c>
      <c r="I4778" s="48" t="s">
        <v>50564</v>
      </c>
      <c r="J4778" s="48" t="s">
        <v>56716</v>
      </c>
      <c r="K4778" s="50"/>
      <c r="L4778" s="48" t="s">
        <v>56716</v>
      </c>
    </row>
    <row r="4779" spans="1:12" s="37" customFormat="1" ht="11.25" x14ac:dyDescent="0.2">
      <c r="A4779" s="45" t="s">
        <v>36501</v>
      </c>
      <c r="B4779" s="45" t="s">
        <v>36503</v>
      </c>
      <c r="C4779" s="51" t="s">
        <v>36505</v>
      </c>
      <c r="D4779" s="51" t="s">
        <v>36504</v>
      </c>
      <c r="E4779" s="45" t="s">
        <v>167</v>
      </c>
      <c r="F4779" s="45" t="s">
        <v>18158</v>
      </c>
      <c r="G4779" s="45" t="s">
        <v>50584</v>
      </c>
      <c r="H4779" s="56"/>
      <c r="I4779" s="56" t="s">
        <v>50564</v>
      </c>
      <c r="J4779" s="56"/>
      <c r="K4779" s="50"/>
      <c r="L4779" s="56" t="s">
        <v>56716</v>
      </c>
    </row>
    <row r="4780" spans="1:12" s="37" customFormat="1" ht="11.25" x14ac:dyDescent="0.2">
      <c r="A4780" s="46" t="s">
        <v>15818</v>
      </c>
      <c r="B4780" s="46" t="s">
        <v>53819</v>
      </c>
      <c r="C4780" s="58" t="str">
        <f>""</f>
        <v/>
      </c>
      <c r="D4780" s="58" t="str">
        <f>"21908567"</f>
        <v>21908567</v>
      </c>
      <c r="E4780" s="46" t="s">
        <v>167</v>
      </c>
      <c r="F4780" s="46" t="s">
        <v>18158</v>
      </c>
      <c r="G4780" s="46" t="s">
        <v>50584</v>
      </c>
      <c r="H4780" s="48" t="s">
        <v>56716</v>
      </c>
      <c r="I4780" s="48" t="s">
        <v>50564</v>
      </c>
      <c r="J4780" s="48" t="s">
        <v>56716</v>
      </c>
      <c r="K4780" s="50"/>
      <c r="L4780" s="48"/>
    </row>
    <row r="4781" spans="1:12" s="37" customFormat="1" ht="11.25" x14ac:dyDescent="0.2">
      <c r="A4781" s="46" t="s">
        <v>12796</v>
      </c>
      <c r="B4781" s="46" t="s">
        <v>53820</v>
      </c>
      <c r="C4781" s="58" t="str">
        <f>"17359279"</f>
        <v>17359279</v>
      </c>
      <c r="D4781" s="58" t="str">
        <f>"17359260"</f>
        <v>17359260</v>
      </c>
      <c r="E4781" s="46" t="s">
        <v>56151</v>
      </c>
      <c r="F4781" s="46" t="s">
        <v>18232</v>
      </c>
      <c r="G4781" s="46" t="s">
        <v>50609</v>
      </c>
      <c r="H4781" s="48" t="s">
        <v>56716</v>
      </c>
      <c r="I4781" s="48" t="s">
        <v>50564</v>
      </c>
      <c r="J4781" s="48"/>
      <c r="K4781" s="50"/>
      <c r="L4781" s="48"/>
    </row>
    <row r="4782" spans="1:12" s="37" customFormat="1" ht="11.25" x14ac:dyDescent="0.2">
      <c r="A4782" s="46" t="s">
        <v>9221</v>
      </c>
      <c r="B4782" s="46" t="s">
        <v>53821</v>
      </c>
      <c r="C4782" s="58" t="str">
        <f>"16090985"</f>
        <v>16090985</v>
      </c>
      <c r="D4782" s="58" t="str">
        <f>""</f>
        <v/>
      </c>
      <c r="E4782" s="46" t="s">
        <v>55890</v>
      </c>
      <c r="F4782" s="46" t="s">
        <v>50654</v>
      </c>
      <c r="G4782" s="46" t="s">
        <v>50585</v>
      </c>
      <c r="H4782" s="48" t="s">
        <v>56716</v>
      </c>
      <c r="I4782" s="48" t="s">
        <v>50564</v>
      </c>
      <c r="J4782" s="48"/>
      <c r="K4782" s="50"/>
      <c r="L4782" s="48"/>
    </row>
    <row r="4783" spans="1:12" s="37" customFormat="1" ht="11.25" x14ac:dyDescent="0.2">
      <c r="A4783" s="46" t="s">
        <v>17591</v>
      </c>
      <c r="B4783" s="46" t="s">
        <v>53822</v>
      </c>
      <c r="C4783" s="58" t="str">
        <f>""</f>
        <v/>
      </c>
      <c r="D4783" s="58" t="str">
        <f>"20266294"</f>
        <v>20266294</v>
      </c>
      <c r="E4783" s="46" t="s">
        <v>17593</v>
      </c>
      <c r="F4783" s="46" t="s">
        <v>30161</v>
      </c>
      <c r="G4783" s="46" t="s">
        <v>50584</v>
      </c>
      <c r="H4783" s="48" t="s">
        <v>56716</v>
      </c>
      <c r="I4783" s="48" t="s">
        <v>50564</v>
      </c>
      <c r="J4783" s="48"/>
      <c r="K4783" s="50"/>
      <c r="L4783" s="48"/>
    </row>
    <row r="4784" spans="1:12" s="37" customFormat="1" ht="11.25" x14ac:dyDescent="0.2">
      <c r="A4784" s="45" t="s">
        <v>36507</v>
      </c>
      <c r="B4784" s="45" t="s">
        <v>36509</v>
      </c>
      <c r="C4784" s="51" t="s">
        <v>36512</v>
      </c>
      <c r="D4784" s="51" t="s">
        <v>36511</v>
      </c>
      <c r="E4784" s="45" t="s">
        <v>36513</v>
      </c>
      <c r="F4784" s="45" t="s">
        <v>18242</v>
      </c>
      <c r="G4784" s="45" t="s">
        <v>50584</v>
      </c>
      <c r="H4784" s="56"/>
      <c r="I4784" s="56" t="s">
        <v>50564</v>
      </c>
      <c r="J4784" s="56"/>
      <c r="K4784" s="50"/>
      <c r="L4784" s="56" t="s">
        <v>56716</v>
      </c>
    </row>
    <row r="4785" spans="1:12" s="37" customFormat="1" ht="11.25" x14ac:dyDescent="0.2">
      <c r="A4785" s="46" t="s">
        <v>14897</v>
      </c>
      <c r="B4785" s="46" t="s">
        <v>53823</v>
      </c>
      <c r="C4785" s="58" t="str">
        <f>"13091689"</f>
        <v>13091689</v>
      </c>
      <c r="D4785" s="58" t="str">
        <f>"13096222"</f>
        <v>13096222</v>
      </c>
      <c r="E4785" s="46" t="s">
        <v>6173</v>
      </c>
      <c r="F4785" s="46" t="s">
        <v>18396</v>
      </c>
      <c r="G4785" s="46" t="s">
        <v>50638</v>
      </c>
      <c r="H4785" s="48" t="s">
        <v>56716</v>
      </c>
      <c r="I4785" s="48" t="s">
        <v>50564</v>
      </c>
      <c r="J4785" s="48"/>
      <c r="K4785" s="50"/>
      <c r="L4785" s="48"/>
    </row>
    <row r="4786" spans="1:12" s="37" customFormat="1" ht="11.25" x14ac:dyDescent="0.2">
      <c r="A4786" s="46" t="s">
        <v>12085</v>
      </c>
      <c r="B4786" s="46" t="s">
        <v>53824</v>
      </c>
      <c r="C4786" s="58" t="str">
        <f>"14528258"</f>
        <v>14528258</v>
      </c>
      <c r="D4786" s="58" t="str">
        <f>"14528266"</f>
        <v>14528266</v>
      </c>
      <c r="E4786" s="46" t="s">
        <v>12088</v>
      </c>
      <c r="F4786" s="46" t="s">
        <v>18158</v>
      </c>
      <c r="G4786" s="46" t="s">
        <v>50622</v>
      </c>
      <c r="H4786" s="48" t="s">
        <v>56716</v>
      </c>
      <c r="I4786" s="48" t="s">
        <v>50564</v>
      </c>
      <c r="J4786" s="48"/>
      <c r="K4786" s="50"/>
      <c r="L4786" s="48"/>
    </row>
    <row r="4787" spans="1:12" s="37" customFormat="1" ht="11.25" x14ac:dyDescent="0.2">
      <c r="A4787" s="45" t="s">
        <v>36516</v>
      </c>
      <c r="B4787" s="45" t="s">
        <v>36518</v>
      </c>
      <c r="C4787" s="51" t="s">
        <v>36520</v>
      </c>
      <c r="D4787" s="51" t="s">
        <v>36519</v>
      </c>
      <c r="E4787" s="45" t="s">
        <v>18520</v>
      </c>
      <c r="F4787" s="45" t="s">
        <v>50646</v>
      </c>
      <c r="G4787" s="45" t="s">
        <v>50584</v>
      </c>
      <c r="H4787" s="56"/>
      <c r="I4787" s="56" t="s">
        <v>50564</v>
      </c>
      <c r="J4787" s="56"/>
      <c r="K4787" s="50"/>
      <c r="L4787" s="56" t="s">
        <v>56716</v>
      </c>
    </row>
    <row r="4788" spans="1:12" s="37" customFormat="1" ht="11.25" x14ac:dyDescent="0.2">
      <c r="A4788" s="46" t="s">
        <v>12425</v>
      </c>
      <c r="B4788" s="46" t="s">
        <v>53825</v>
      </c>
      <c r="C4788" s="58" t="str">
        <f>""</f>
        <v/>
      </c>
      <c r="D4788" s="58" t="str">
        <f>"17521947"</f>
        <v>17521947</v>
      </c>
      <c r="E4788" s="46" t="s">
        <v>2299</v>
      </c>
      <c r="F4788" s="46" t="s">
        <v>50646</v>
      </c>
      <c r="G4788" s="46" t="s">
        <v>50584</v>
      </c>
      <c r="H4788" s="48" t="s">
        <v>56716</v>
      </c>
      <c r="I4788" s="48" t="s">
        <v>50564</v>
      </c>
      <c r="J4788" s="48" t="s">
        <v>56716</v>
      </c>
      <c r="K4788" s="50" t="s">
        <v>56716</v>
      </c>
      <c r="L4788" s="48" t="s">
        <v>56716</v>
      </c>
    </row>
    <row r="4789" spans="1:12" s="37" customFormat="1" ht="11.25" x14ac:dyDescent="0.2">
      <c r="A4789" s="46" t="s">
        <v>4432</v>
      </c>
      <c r="B4789" s="46" t="s">
        <v>53826</v>
      </c>
      <c r="C4789" s="58" t="str">
        <f>"10001948"</f>
        <v>10001948</v>
      </c>
      <c r="D4789" s="58" t="str">
        <f>"18764797"</f>
        <v>18764797</v>
      </c>
      <c r="E4789" s="46" t="s">
        <v>91</v>
      </c>
      <c r="F4789" s="46" t="s">
        <v>18001</v>
      </c>
      <c r="G4789" s="46" t="s">
        <v>50584</v>
      </c>
      <c r="H4789" s="48" t="s">
        <v>56716</v>
      </c>
      <c r="I4789" s="48" t="s">
        <v>50564</v>
      </c>
      <c r="J4789" s="48" t="s">
        <v>56716</v>
      </c>
      <c r="K4789" s="50"/>
      <c r="L4789" s="48"/>
    </row>
    <row r="4790" spans="1:12" s="37" customFormat="1" ht="11.25" x14ac:dyDescent="0.2">
      <c r="A4790" s="46" t="s">
        <v>12568</v>
      </c>
      <c r="B4790" s="46" t="s">
        <v>53827</v>
      </c>
      <c r="C4790" s="58" t="str">
        <f>"19326181"</f>
        <v>19326181</v>
      </c>
      <c r="D4790" s="58" t="str">
        <f>"1932619X"</f>
        <v>1932619X</v>
      </c>
      <c r="E4790" s="46" t="s">
        <v>2159</v>
      </c>
      <c r="F4790" s="46" t="s">
        <v>17759</v>
      </c>
      <c r="G4790" s="46" t="s">
        <v>50584</v>
      </c>
      <c r="H4790" s="48" t="s">
        <v>56716</v>
      </c>
      <c r="I4790" s="48" t="s">
        <v>50564</v>
      </c>
      <c r="J4790" s="48"/>
      <c r="K4790" s="50"/>
      <c r="L4790" s="48"/>
    </row>
    <row r="4791" spans="1:12" s="37" customFormat="1" ht="11.25" x14ac:dyDescent="0.2">
      <c r="A4791" s="46" t="s">
        <v>7724</v>
      </c>
      <c r="B4791" s="46" t="s">
        <v>53828</v>
      </c>
      <c r="C4791" s="58" t="str">
        <f>"13696998"</f>
        <v>13696998</v>
      </c>
      <c r="D4791" s="58" t="str">
        <f>"1941837X"</f>
        <v>1941837X</v>
      </c>
      <c r="E4791" s="46" t="s">
        <v>291</v>
      </c>
      <c r="F4791" s="46" t="s">
        <v>50646</v>
      </c>
      <c r="G4791" s="46" t="s">
        <v>50584</v>
      </c>
      <c r="H4791" s="48" t="s">
        <v>56716</v>
      </c>
      <c r="I4791" s="48" t="s">
        <v>50564</v>
      </c>
      <c r="J4791" s="48"/>
      <c r="K4791" s="50"/>
      <c r="L4791" s="48" t="s">
        <v>56716</v>
      </c>
    </row>
    <row r="4792" spans="1:12" s="37" customFormat="1" ht="11.25" x14ac:dyDescent="0.2">
      <c r="A4792" s="46" t="s">
        <v>17467</v>
      </c>
      <c r="B4792" s="46" t="s">
        <v>53829</v>
      </c>
      <c r="C4792" s="58" t="str">
        <f>"23145129"</f>
        <v>23145129</v>
      </c>
      <c r="D4792" s="58" t="str">
        <f>"23145137"</f>
        <v>23145137</v>
      </c>
      <c r="E4792" s="46" t="s">
        <v>1412</v>
      </c>
      <c r="F4792" s="46" t="s">
        <v>17759</v>
      </c>
      <c r="G4792" s="46" t="s">
        <v>50584</v>
      </c>
      <c r="H4792" s="48" t="s">
        <v>56716</v>
      </c>
      <c r="I4792" s="48" t="s">
        <v>50564</v>
      </c>
      <c r="J4792" s="48"/>
      <c r="K4792" s="50"/>
      <c r="L4792" s="48"/>
    </row>
    <row r="4793" spans="1:12" s="37" customFormat="1" ht="11.25" x14ac:dyDescent="0.2">
      <c r="A4793" s="46" t="s">
        <v>2461</v>
      </c>
      <c r="B4793" s="46" t="s">
        <v>53830</v>
      </c>
      <c r="C4793" s="58" t="str">
        <f>"03091902"</f>
        <v>03091902</v>
      </c>
      <c r="D4793" s="58" t="str">
        <f>"1464522X"</f>
        <v>1464522X</v>
      </c>
      <c r="E4793" s="46" t="s">
        <v>291</v>
      </c>
      <c r="F4793" s="46" t="s">
        <v>50646</v>
      </c>
      <c r="G4793" s="46" t="s">
        <v>50584</v>
      </c>
      <c r="H4793" s="48" t="s">
        <v>56716</v>
      </c>
      <c r="I4793" s="48" t="s">
        <v>50564</v>
      </c>
      <c r="J4793" s="48" t="s">
        <v>56716</v>
      </c>
      <c r="K4793" s="50"/>
      <c r="L4793" s="48" t="s">
        <v>56716</v>
      </c>
    </row>
    <row r="4794" spans="1:12" s="37" customFormat="1" ht="11.25" x14ac:dyDescent="0.2">
      <c r="A4794" s="45" t="s">
        <v>36534</v>
      </c>
      <c r="B4794" s="45" t="s">
        <v>36536</v>
      </c>
      <c r="C4794" s="51" t="s">
        <v>36537</v>
      </c>
      <c r="D4794" s="51"/>
      <c r="E4794" s="45" t="s">
        <v>28118</v>
      </c>
      <c r="F4794" s="45" t="s">
        <v>17759</v>
      </c>
      <c r="G4794" s="45" t="s">
        <v>50584</v>
      </c>
      <c r="H4794" s="56"/>
      <c r="I4794" s="56" t="s">
        <v>50564</v>
      </c>
      <c r="J4794" s="56"/>
      <c r="K4794" s="50"/>
      <c r="L4794" s="56" t="s">
        <v>56716</v>
      </c>
    </row>
    <row r="4795" spans="1:12" s="37" customFormat="1" ht="11.25" x14ac:dyDescent="0.2">
      <c r="A4795" s="45" t="s">
        <v>36539</v>
      </c>
      <c r="B4795" s="45" t="s">
        <v>36541</v>
      </c>
      <c r="C4795" s="51" t="s">
        <v>36544</v>
      </c>
      <c r="D4795" s="51" t="s">
        <v>36543</v>
      </c>
      <c r="E4795" s="45" t="s">
        <v>159</v>
      </c>
      <c r="F4795" s="45" t="s">
        <v>50646</v>
      </c>
      <c r="G4795" s="45" t="s">
        <v>50584</v>
      </c>
      <c r="H4795" s="56"/>
      <c r="I4795" s="56" t="s">
        <v>50564</v>
      </c>
      <c r="J4795" s="56"/>
      <c r="K4795" s="50"/>
      <c r="L4795" s="56" t="s">
        <v>56716</v>
      </c>
    </row>
    <row r="4796" spans="1:12" s="37" customFormat="1" ht="11.25" x14ac:dyDescent="0.2">
      <c r="A4796" s="46" t="s">
        <v>2435</v>
      </c>
      <c r="B4796" s="46" t="s">
        <v>53831</v>
      </c>
      <c r="C4796" s="58" t="str">
        <f>"00222593"</f>
        <v>00222593</v>
      </c>
      <c r="D4796" s="58" t="str">
        <f>"14686244"</f>
        <v>14686244</v>
      </c>
      <c r="E4796" s="46" t="s">
        <v>159</v>
      </c>
      <c r="F4796" s="46" t="s">
        <v>50646</v>
      </c>
      <c r="G4796" s="46" t="s">
        <v>50584</v>
      </c>
      <c r="H4796" s="48" t="s">
        <v>56716</v>
      </c>
      <c r="I4796" s="48" t="s">
        <v>50564</v>
      </c>
      <c r="J4796" s="48" t="s">
        <v>56716</v>
      </c>
      <c r="K4796" s="50" t="s">
        <v>56716</v>
      </c>
      <c r="L4796" s="48" t="s">
        <v>56716</v>
      </c>
    </row>
    <row r="4797" spans="1:12" s="37" customFormat="1" ht="11.25" x14ac:dyDescent="0.2">
      <c r="A4797" s="46" t="s">
        <v>16501</v>
      </c>
      <c r="B4797" s="46" t="s">
        <v>53832</v>
      </c>
      <c r="C4797" s="58" t="str">
        <f>"22517294"</f>
        <v>22517294</v>
      </c>
      <c r="D4797" s="58" t="str">
        <f>""</f>
        <v/>
      </c>
      <c r="E4797" s="46" t="s">
        <v>12243</v>
      </c>
      <c r="F4797" s="46" t="s">
        <v>18232</v>
      </c>
      <c r="G4797" s="46" t="s">
        <v>50584</v>
      </c>
      <c r="H4797" s="48" t="s">
        <v>56716</v>
      </c>
      <c r="I4797" s="48" t="s">
        <v>50564</v>
      </c>
      <c r="J4797" s="48"/>
      <c r="K4797" s="50"/>
      <c r="L4797" s="48"/>
    </row>
    <row r="4798" spans="1:12" s="37" customFormat="1" ht="11.25" x14ac:dyDescent="0.2">
      <c r="A4798" s="46" t="s">
        <v>56399</v>
      </c>
      <c r="B4798" s="46" t="s">
        <v>56400</v>
      </c>
      <c r="C4798" s="58" t="str">
        <f>"23294302"</f>
        <v>23294302</v>
      </c>
      <c r="D4798" s="58" t="str">
        <f>"23294310"</f>
        <v>23294310</v>
      </c>
      <c r="E4798" s="46" t="s">
        <v>56401</v>
      </c>
      <c r="F4798" s="46" t="s">
        <v>17759</v>
      </c>
      <c r="G4798" s="46" t="s">
        <v>50584</v>
      </c>
      <c r="H4798" s="48" t="s">
        <v>56716</v>
      </c>
      <c r="I4798" s="48" t="s">
        <v>50564</v>
      </c>
      <c r="J4798" s="48"/>
      <c r="K4798" s="50"/>
      <c r="L4798" s="48"/>
    </row>
    <row r="4799" spans="1:12" s="37" customFormat="1" ht="11.25" x14ac:dyDescent="0.2">
      <c r="A4799" s="46" t="s">
        <v>16980</v>
      </c>
      <c r="B4799" s="46" t="s">
        <v>53833</v>
      </c>
      <c r="C4799" s="58" t="str">
        <f>"21567018"</f>
        <v>21567018</v>
      </c>
      <c r="D4799" s="58" t="str">
        <f>"21567026"</f>
        <v>21567026</v>
      </c>
      <c r="E4799" s="46" t="s">
        <v>11896</v>
      </c>
      <c r="F4799" s="46" t="s">
        <v>17759</v>
      </c>
      <c r="G4799" s="46" t="s">
        <v>50584</v>
      </c>
      <c r="H4799" s="48" t="s">
        <v>56716</v>
      </c>
      <c r="I4799" s="48" t="s">
        <v>50564</v>
      </c>
      <c r="J4799" s="48"/>
      <c r="K4799" s="50"/>
      <c r="L4799" s="48"/>
    </row>
    <row r="4800" spans="1:12" s="37" customFormat="1" ht="11.25" x14ac:dyDescent="0.2">
      <c r="A4800" s="46" t="s">
        <v>12681</v>
      </c>
      <c r="B4800" s="46" t="s">
        <v>53834</v>
      </c>
      <c r="C4800" s="58" t="str">
        <f>"17549477"</f>
        <v>17549477</v>
      </c>
      <c r="D4800" s="58" t="str">
        <f>"17549485"</f>
        <v>17549485</v>
      </c>
      <c r="E4800" s="46" t="s">
        <v>296</v>
      </c>
      <c r="F4800" s="46" t="s">
        <v>20082</v>
      </c>
      <c r="G4800" s="46" t="s">
        <v>50584</v>
      </c>
      <c r="H4800" s="48" t="s">
        <v>56716</v>
      </c>
      <c r="I4800" s="48" t="s">
        <v>50564</v>
      </c>
      <c r="J4800" s="48" t="s">
        <v>56716</v>
      </c>
      <c r="K4800" s="50" t="s">
        <v>56716</v>
      </c>
      <c r="L4800" s="48" t="s">
        <v>56716</v>
      </c>
    </row>
    <row r="4801" spans="1:12" s="37" customFormat="1" ht="11.25" x14ac:dyDescent="0.2">
      <c r="A4801" s="46" t="s">
        <v>12787</v>
      </c>
      <c r="B4801" s="46" t="s">
        <v>53835</v>
      </c>
      <c r="C4801" s="58" t="str">
        <f>"19398654"</f>
        <v>19398654</v>
      </c>
      <c r="D4801" s="58" t="str">
        <f>"18767982"</f>
        <v>18767982</v>
      </c>
      <c r="E4801" s="46" t="s">
        <v>272</v>
      </c>
      <c r="F4801" s="46" t="s">
        <v>17759</v>
      </c>
      <c r="G4801" s="46" t="s">
        <v>50584</v>
      </c>
      <c r="H4801" s="48" t="s">
        <v>56716</v>
      </c>
      <c r="I4801" s="48" t="s">
        <v>50564</v>
      </c>
      <c r="J4801" s="48" t="s">
        <v>56716</v>
      </c>
      <c r="K4801" s="50" t="s">
        <v>56716</v>
      </c>
      <c r="L4801" s="48"/>
    </row>
    <row r="4802" spans="1:12" s="37" customFormat="1" ht="11.25" x14ac:dyDescent="0.2">
      <c r="A4802" s="45" t="s">
        <v>36563</v>
      </c>
      <c r="B4802" s="45" t="s">
        <v>36565</v>
      </c>
      <c r="C4802" s="51" t="s">
        <v>36567</v>
      </c>
      <c r="D4802" s="51" t="s">
        <v>36566</v>
      </c>
      <c r="E4802" s="45" t="s">
        <v>36568</v>
      </c>
      <c r="F4802" s="45" t="s">
        <v>18959</v>
      </c>
      <c r="G4802" s="45" t="s">
        <v>50584</v>
      </c>
      <c r="H4802" s="56"/>
      <c r="I4802" s="56" t="s">
        <v>50564</v>
      </c>
      <c r="J4802" s="56"/>
      <c r="K4802" s="50"/>
      <c r="L4802" s="56" t="s">
        <v>56716</v>
      </c>
    </row>
    <row r="4803" spans="1:12" s="37" customFormat="1" ht="11.25" x14ac:dyDescent="0.2">
      <c r="A4803" s="46" t="s">
        <v>8355</v>
      </c>
      <c r="B4803" s="46" t="s">
        <v>53836</v>
      </c>
      <c r="C4803" s="58" t="str">
        <f>"13431420"</f>
        <v>13431420</v>
      </c>
      <c r="D4803" s="58" t="str">
        <f>"13496867"</f>
        <v>13496867</v>
      </c>
      <c r="E4803" s="46" t="s">
        <v>8358</v>
      </c>
      <c r="F4803" s="46" t="s">
        <v>18242</v>
      </c>
      <c r="G4803" s="46" t="s">
        <v>50584</v>
      </c>
      <c r="H4803" s="48" t="s">
        <v>56716</v>
      </c>
      <c r="I4803" s="48" t="s">
        <v>50564</v>
      </c>
      <c r="J4803" s="48"/>
      <c r="K4803" s="50"/>
      <c r="L4803" s="48" t="s">
        <v>56716</v>
      </c>
    </row>
    <row r="4804" spans="1:12" s="37" customFormat="1" ht="11.25" x14ac:dyDescent="0.2">
      <c r="A4804" s="46" t="s">
        <v>2450</v>
      </c>
      <c r="B4804" s="46" t="s">
        <v>53837</v>
      </c>
      <c r="C4804" s="58" t="str">
        <f>"00222615"</f>
        <v>00222615</v>
      </c>
      <c r="D4804" s="58" t="str">
        <f>""</f>
        <v/>
      </c>
      <c r="E4804" s="46" t="s">
        <v>2341</v>
      </c>
      <c r="F4804" s="46" t="s">
        <v>50646</v>
      </c>
      <c r="G4804" s="46" t="s">
        <v>50584</v>
      </c>
      <c r="H4804" s="48" t="s">
        <v>56716</v>
      </c>
      <c r="I4804" s="48" t="s">
        <v>50564</v>
      </c>
      <c r="J4804" s="48" t="s">
        <v>56716</v>
      </c>
      <c r="K4804" s="50"/>
      <c r="L4804" s="48" t="s">
        <v>56716</v>
      </c>
    </row>
    <row r="4805" spans="1:12" s="37" customFormat="1" ht="11.25" x14ac:dyDescent="0.2">
      <c r="A4805" s="46" t="s">
        <v>11560</v>
      </c>
      <c r="B4805" s="46" t="s">
        <v>53838</v>
      </c>
      <c r="C4805" s="58" t="str">
        <f>"09716203"</f>
        <v>09716203</v>
      </c>
      <c r="D4805" s="58" t="str">
        <f>"19983913"</f>
        <v>19983913</v>
      </c>
      <c r="E4805" s="46" t="s">
        <v>19057</v>
      </c>
      <c r="F4805" s="46" t="s">
        <v>20446</v>
      </c>
      <c r="G4805" s="46" t="s">
        <v>50584</v>
      </c>
      <c r="H4805" s="48" t="s">
        <v>56716</v>
      </c>
      <c r="I4805" s="48" t="s">
        <v>50564</v>
      </c>
      <c r="J4805" s="48"/>
      <c r="K4805" s="50"/>
      <c r="L4805" s="48"/>
    </row>
    <row r="4806" spans="1:12" s="37" customFormat="1" ht="11.25" x14ac:dyDescent="0.2">
      <c r="A4806" s="46" t="s">
        <v>2455</v>
      </c>
      <c r="B4806" s="46" t="s">
        <v>53839</v>
      </c>
      <c r="C4806" s="58" t="str">
        <f>"00472565"</f>
        <v>00472565</v>
      </c>
      <c r="D4806" s="58" t="str">
        <f>"16000684"</f>
        <v>16000684</v>
      </c>
      <c r="E4806" s="46" t="s">
        <v>35</v>
      </c>
      <c r="F4806" s="46" t="s">
        <v>50646</v>
      </c>
      <c r="G4806" s="46" t="s">
        <v>50584</v>
      </c>
      <c r="H4806" s="48" t="s">
        <v>56716</v>
      </c>
      <c r="I4806" s="48" t="s">
        <v>50564</v>
      </c>
      <c r="J4806" s="48" t="s">
        <v>56716</v>
      </c>
      <c r="K4806" s="50" t="s">
        <v>56716</v>
      </c>
      <c r="L4806" s="48" t="s">
        <v>56716</v>
      </c>
    </row>
    <row r="4807" spans="1:12" s="37" customFormat="1" ht="11.25" x14ac:dyDescent="0.2">
      <c r="A4807" s="46" t="s">
        <v>17343</v>
      </c>
      <c r="B4807" s="46" t="s">
        <v>53840</v>
      </c>
      <c r="C4807" s="58" t="str">
        <f>"20513895"</f>
        <v>20513895</v>
      </c>
      <c r="D4807" s="58" t="str">
        <f>"20513909"</f>
        <v>20513909</v>
      </c>
      <c r="E4807" s="46" t="s">
        <v>751</v>
      </c>
      <c r="F4807" s="46" t="s">
        <v>50646</v>
      </c>
      <c r="G4807" s="46" t="s">
        <v>50584</v>
      </c>
      <c r="H4807" s="48" t="s">
        <v>56716</v>
      </c>
      <c r="I4807" s="48" t="s">
        <v>50564</v>
      </c>
      <c r="J4807" s="48" t="s">
        <v>56716</v>
      </c>
      <c r="K4807" s="50" t="s">
        <v>56716</v>
      </c>
      <c r="L4807" s="48"/>
    </row>
    <row r="4808" spans="1:12" s="37" customFormat="1" ht="11.25" x14ac:dyDescent="0.2">
      <c r="A4808" s="46" t="s">
        <v>11410</v>
      </c>
      <c r="B4808" s="46" t="s">
        <v>53841</v>
      </c>
      <c r="C4808" s="58" t="str">
        <f>"16824474"</f>
        <v>16824474</v>
      </c>
      <c r="D4808" s="58" t="str">
        <f>"18125727"</f>
        <v>18125727</v>
      </c>
      <c r="E4808" s="46" t="s">
        <v>10959</v>
      </c>
      <c r="F4808" s="46" t="s">
        <v>34138</v>
      </c>
      <c r="G4808" s="46" t="s">
        <v>50584</v>
      </c>
      <c r="H4808" s="48" t="s">
        <v>56716</v>
      </c>
      <c r="I4808" s="48" t="s">
        <v>50564</v>
      </c>
      <c r="J4808" s="48"/>
      <c r="K4808" s="50"/>
      <c r="L4808" s="48"/>
    </row>
    <row r="4809" spans="1:12" s="37" customFormat="1" ht="11.25" x14ac:dyDescent="0.2">
      <c r="A4809" s="46" t="s">
        <v>13623</v>
      </c>
      <c r="B4809" s="46" t="s">
        <v>53841</v>
      </c>
      <c r="C4809" s="58" t="str">
        <f>"19973438"</f>
        <v>19973438</v>
      </c>
      <c r="D4809" s="58" t="str">
        <f>"19973446"</f>
        <v>19973446</v>
      </c>
      <c r="E4809" s="46" t="s">
        <v>13626</v>
      </c>
      <c r="F4809" s="46" t="s">
        <v>34138</v>
      </c>
      <c r="G4809" s="46" t="s">
        <v>50584</v>
      </c>
      <c r="H4809" s="48" t="s">
        <v>56716</v>
      </c>
      <c r="I4809" s="48" t="s">
        <v>50564</v>
      </c>
      <c r="J4809" s="48"/>
      <c r="K4809" s="50"/>
      <c r="L4809" s="48"/>
    </row>
    <row r="4810" spans="1:12" s="37" customFormat="1" ht="11.25" x14ac:dyDescent="0.2">
      <c r="A4810" s="46" t="s">
        <v>10031</v>
      </c>
      <c r="B4810" s="46" t="s">
        <v>53841</v>
      </c>
      <c r="C4810" s="58" t="str">
        <f>"10114564"</f>
        <v>10114564</v>
      </c>
      <c r="D4810" s="58" t="str">
        <f>""</f>
        <v/>
      </c>
      <c r="E4810" s="46" t="s">
        <v>10033</v>
      </c>
      <c r="F4810" s="46" t="s">
        <v>50654</v>
      </c>
      <c r="G4810" s="46" t="s">
        <v>50584</v>
      </c>
      <c r="H4810" s="48" t="s">
        <v>56716</v>
      </c>
      <c r="I4810" s="48" t="s">
        <v>50564</v>
      </c>
      <c r="J4810" s="48"/>
      <c r="K4810" s="50"/>
      <c r="L4810" s="48"/>
    </row>
    <row r="4811" spans="1:12" s="37" customFormat="1" ht="11.25" x14ac:dyDescent="0.2">
      <c r="A4811" s="45" t="s">
        <v>36594</v>
      </c>
      <c r="B4811" s="45" t="s">
        <v>36596</v>
      </c>
      <c r="C4811" s="51" t="s">
        <v>36598</v>
      </c>
      <c r="D4811" s="51" t="s">
        <v>36597</v>
      </c>
      <c r="E4811" s="45" t="s">
        <v>18520</v>
      </c>
      <c r="F4811" s="45" t="s">
        <v>50646</v>
      </c>
      <c r="G4811" s="45" t="s">
        <v>50584</v>
      </c>
      <c r="H4811" s="56"/>
      <c r="I4811" s="56" t="s">
        <v>50564</v>
      </c>
      <c r="J4811" s="56"/>
      <c r="K4811" s="50"/>
      <c r="L4811" s="56" t="s">
        <v>56716</v>
      </c>
    </row>
    <row r="4812" spans="1:12" s="37" customFormat="1" ht="11.25" x14ac:dyDescent="0.2">
      <c r="A4812" s="46" t="s">
        <v>56427</v>
      </c>
      <c r="B4812" s="46" t="s">
        <v>56428</v>
      </c>
      <c r="C4812" s="58" t="str">
        <f>""</f>
        <v/>
      </c>
      <c r="D4812" s="58" t="str">
        <f>"22287477"</f>
        <v>22287477</v>
      </c>
      <c r="E4812" s="46" t="s">
        <v>10464</v>
      </c>
      <c r="F4812" s="46" t="s">
        <v>18232</v>
      </c>
      <c r="G4812" s="46" t="s">
        <v>50584</v>
      </c>
      <c r="H4812" s="48" t="s">
        <v>56716</v>
      </c>
      <c r="I4812" s="48" t="s">
        <v>50564</v>
      </c>
      <c r="J4812" s="48" t="s">
        <v>56716</v>
      </c>
      <c r="K4812" s="50"/>
      <c r="L4812" s="48"/>
    </row>
    <row r="4813" spans="1:12" s="37" customFormat="1" ht="11.25" x14ac:dyDescent="0.2">
      <c r="A4813" s="46" t="s">
        <v>7830</v>
      </c>
      <c r="B4813" s="46" t="s">
        <v>53842</v>
      </c>
      <c r="C4813" s="58" t="str">
        <f>"10651438"</f>
        <v>10651438</v>
      </c>
      <c r="D4813" s="58" t="str">
        <f>""</f>
        <v/>
      </c>
      <c r="E4813" s="46" t="s">
        <v>7832</v>
      </c>
      <c r="F4813" s="46" t="s">
        <v>17759</v>
      </c>
      <c r="G4813" s="46" t="s">
        <v>50584</v>
      </c>
      <c r="H4813" s="48" t="s">
        <v>56716</v>
      </c>
      <c r="I4813" s="48" t="s">
        <v>50564</v>
      </c>
      <c r="J4813" s="48" t="s">
        <v>56716</v>
      </c>
      <c r="K4813" s="50"/>
      <c r="L4813" s="48"/>
    </row>
    <row r="4814" spans="1:12" s="37" customFormat="1" ht="11.25" x14ac:dyDescent="0.2">
      <c r="A4814" s="46" t="s">
        <v>2458</v>
      </c>
      <c r="B4814" s="46" t="s">
        <v>53843</v>
      </c>
      <c r="C4814" s="58" t="str">
        <f>"01485598"</f>
        <v>01485598</v>
      </c>
      <c r="D4814" s="58" t="str">
        <f>"1573689X"</f>
        <v>1573689X</v>
      </c>
      <c r="E4814" s="46" t="s">
        <v>56305</v>
      </c>
      <c r="F4814" s="46" t="s">
        <v>17759</v>
      </c>
      <c r="G4814" s="46" t="s">
        <v>50584</v>
      </c>
      <c r="H4814" s="48" t="s">
        <v>56716</v>
      </c>
      <c r="I4814" s="48" t="s">
        <v>50564</v>
      </c>
      <c r="J4814" s="48"/>
      <c r="K4814" s="50"/>
      <c r="L4814" s="48" t="s">
        <v>56716</v>
      </c>
    </row>
    <row r="4815" spans="1:12" s="37" customFormat="1" ht="11.25" x14ac:dyDescent="0.2">
      <c r="A4815" s="46" t="s">
        <v>7955</v>
      </c>
      <c r="B4815" s="46" t="s">
        <v>53844</v>
      </c>
      <c r="C4815" s="58" t="str">
        <f>"15609006"</f>
        <v>15609006</v>
      </c>
      <c r="D4815" s="58" t="str">
        <f>""</f>
        <v/>
      </c>
      <c r="E4815" s="46" t="s">
        <v>7955</v>
      </c>
      <c r="F4815" s="46" t="s">
        <v>22024</v>
      </c>
      <c r="G4815" s="46" t="s">
        <v>50584</v>
      </c>
      <c r="H4815" s="48" t="s">
        <v>56716</v>
      </c>
      <c r="I4815" s="48" t="s">
        <v>50564</v>
      </c>
      <c r="J4815" s="48"/>
      <c r="K4815" s="50"/>
      <c r="L4815" s="48"/>
    </row>
    <row r="4816" spans="1:12" s="37" customFormat="1" ht="11.25" x14ac:dyDescent="0.2">
      <c r="A4816" s="46" t="s">
        <v>13150</v>
      </c>
      <c r="B4816" s="46" t="s">
        <v>53845</v>
      </c>
      <c r="C4816" s="58" t="str">
        <f>"15569039"</f>
        <v>15569039</v>
      </c>
      <c r="D4816" s="58" t="str">
        <f>"19376995"</f>
        <v>19376995</v>
      </c>
      <c r="E4816" s="46" t="s">
        <v>56305</v>
      </c>
      <c r="F4816" s="46" t="s">
        <v>17759</v>
      </c>
      <c r="G4816" s="46" t="s">
        <v>50584</v>
      </c>
      <c r="H4816" s="48" t="s">
        <v>56716</v>
      </c>
      <c r="I4816" s="48" t="s">
        <v>50564</v>
      </c>
      <c r="J4816" s="48"/>
      <c r="K4816" s="50" t="s">
        <v>56716</v>
      </c>
      <c r="L4816" s="48" t="s">
        <v>56716</v>
      </c>
    </row>
    <row r="4817" spans="1:12" s="37" customFormat="1" ht="11.25" x14ac:dyDescent="0.2">
      <c r="A4817" s="46" t="s">
        <v>7708</v>
      </c>
      <c r="B4817" s="46" t="s">
        <v>53846</v>
      </c>
      <c r="C4817" s="58" t="str">
        <f>"13464523"</f>
        <v>13464523</v>
      </c>
      <c r="D4817" s="58" t="str">
        <f>"16132254"</f>
        <v>16132254</v>
      </c>
      <c r="E4817" s="46" t="s">
        <v>23335</v>
      </c>
      <c r="F4817" s="46" t="s">
        <v>18242</v>
      </c>
      <c r="G4817" s="46" t="s">
        <v>50605</v>
      </c>
      <c r="H4817" s="48" t="s">
        <v>56716</v>
      </c>
      <c r="I4817" s="48" t="s">
        <v>50564</v>
      </c>
      <c r="J4817" s="48"/>
      <c r="K4817" s="50" t="s">
        <v>56716</v>
      </c>
      <c r="L4817" s="48"/>
    </row>
    <row r="4818" spans="1:12" s="37" customFormat="1" ht="11.25" x14ac:dyDescent="0.2">
      <c r="A4818" s="46" t="s">
        <v>6149</v>
      </c>
      <c r="B4818" s="46" t="s">
        <v>53847</v>
      </c>
      <c r="C4818" s="58" t="str">
        <f>"09296441"</f>
        <v>09296441</v>
      </c>
      <c r="D4818" s="58" t="str">
        <f>""</f>
        <v/>
      </c>
      <c r="E4818" s="46" t="s">
        <v>2776</v>
      </c>
      <c r="F4818" s="46" t="s">
        <v>19491</v>
      </c>
      <c r="G4818" s="46" t="s">
        <v>50584</v>
      </c>
      <c r="H4818" s="48" t="s">
        <v>56716</v>
      </c>
      <c r="I4818" s="48" t="s">
        <v>50564</v>
      </c>
      <c r="J4818" s="48"/>
      <c r="K4818" s="50" t="s">
        <v>56716</v>
      </c>
      <c r="L4818" s="48"/>
    </row>
    <row r="4819" spans="1:12" s="37" customFormat="1" ht="11.25" x14ac:dyDescent="0.2">
      <c r="A4819" s="46" t="s">
        <v>2469</v>
      </c>
      <c r="B4819" s="46" t="s">
        <v>53848</v>
      </c>
      <c r="C4819" s="58" t="str">
        <f>"01466615"</f>
        <v>01466615</v>
      </c>
      <c r="D4819" s="58" t="str">
        <f>"10969071"</f>
        <v>10969071</v>
      </c>
      <c r="E4819" s="46" t="s">
        <v>517</v>
      </c>
      <c r="F4819" s="46" t="s">
        <v>17759</v>
      </c>
      <c r="G4819" s="46" t="s">
        <v>50584</v>
      </c>
      <c r="H4819" s="48" t="s">
        <v>56716</v>
      </c>
      <c r="I4819" s="48" t="s">
        <v>50564</v>
      </c>
      <c r="J4819" s="48"/>
      <c r="K4819" s="50" t="s">
        <v>56716</v>
      </c>
      <c r="L4819" s="48" t="s">
        <v>56716</v>
      </c>
    </row>
    <row r="4820" spans="1:12" s="37" customFormat="1" ht="11.25" x14ac:dyDescent="0.2">
      <c r="A4820" s="46" t="s">
        <v>2432</v>
      </c>
      <c r="B4820" s="46" t="s">
        <v>53849</v>
      </c>
      <c r="C4820" s="58" t="str">
        <f>"00222623"</f>
        <v>00222623</v>
      </c>
      <c r="D4820" s="58" t="str">
        <f>"15204804"</f>
        <v>15204804</v>
      </c>
      <c r="E4820" s="46" t="s">
        <v>776</v>
      </c>
      <c r="F4820" s="46" t="s">
        <v>17759</v>
      </c>
      <c r="G4820" s="46" t="s">
        <v>50584</v>
      </c>
      <c r="H4820" s="48" t="s">
        <v>56716</v>
      </c>
      <c r="I4820" s="48" t="s">
        <v>50564</v>
      </c>
      <c r="J4820" s="48"/>
      <c r="K4820" s="50"/>
      <c r="L4820" s="48" t="s">
        <v>56716</v>
      </c>
    </row>
    <row r="4821" spans="1:12" s="37" customFormat="1" ht="11.25" x14ac:dyDescent="0.2">
      <c r="A4821" s="46" t="s">
        <v>7963</v>
      </c>
      <c r="B4821" s="46" t="s">
        <v>53850</v>
      </c>
      <c r="C4821" s="58" t="str">
        <f>"1096620X"</f>
        <v>1096620X</v>
      </c>
      <c r="D4821" s="58" t="str">
        <f>"15577600"</f>
        <v>15577600</v>
      </c>
      <c r="E4821" s="46" t="s">
        <v>4337</v>
      </c>
      <c r="F4821" s="46" t="s">
        <v>17759</v>
      </c>
      <c r="G4821" s="46" t="s">
        <v>50584</v>
      </c>
      <c r="H4821" s="48" t="s">
        <v>56716</v>
      </c>
      <c r="I4821" s="48" t="s">
        <v>50564</v>
      </c>
      <c r="J4821" s="48" t="s">
        <v>56716</v>
      </c>
      <c r="K4821" s="50"/>
      <c r="L4821" s="48" t="s">
        <v>56716</v>
      </c>
    </row>
    <row r="4822" spans="1:12" s="37" customFormat="1" ht="11.25" x14ac:dyDescent="0.2">
      <c r="A4822" s="46" t="s">
        <v>10388</v>
      </c>
      <c r="B4822" s="46" t="s">
        <v>53851</v>
      </c>
      <c r="C4822" s="58" t="str">
        <f>"16840240"</f>
        <v>16840240</v>
      </c>
      <c r="D4822" s="58" t="str">
        <f>""</f>
        <v/>
      </c>
      <c r="E4822" s="46" t="s">
        <v>10390</v>
      </c>
      <c r="F4822" s="46" t="s">
        <v>18232</v>
      </c>
      <c r="G4822" s="46" t="s">
        <v>50609</v>
      </c>
      <c r="H4822" s="48" t="s">
        <v>56716</v>
      </c>
      <c r="I4822" s="48" t="s">
        <v>50564</v>
      </c>
      <c r="J4822" s="48"/>
      <c r="K4822" s="50"/>
      <c r="L4822" s="48"/>
    </row>
    <row r="4823" spans="1:12" s="37" customFormat="1" ht="11.25" x14ac:dyDescent="0.2">
      <c r="A4823" s="46" t="s">
        <v>14312</v>
      </c>
      <c r="B4823" s="46" t="s">
        <v>53852</v>
      </c>
      <c r="C4823" s="58" t="str">
        <f>"19979797"</f>
        <v>19979797</v>
      </c>
      <c r="D4823" s="58" t="str">
        <f>"20755384"</f>
        <v>20755384</v>
      </c>
      <c r="E4823" s="46" t="s">
        <v>14315</v>
      </c>
      <c r="F4823" s="46" t="s">
        <v>22024</v>
      </c>
      <c r="G4823" s="46" t="s">
        <v>50584</v>
      </c>
      <c r="H4823" s="48" t="s">
        <v>56716</v>
      </c>
      <c r="I4823" s="48" t="s">
        <v>50564</v>
      </c>
      <c r="J4823" s="48"/>
      <c r="K4823" s="50"/>
      <c r="L4823" s="48"/>
    </row>
    <row r="4824" spans="1:12" s="37" customFormat="1" ht="11.25" x14ac:dyDescent="0.2">
      <c r="A4824" s="46" t="s">
        <v>14080</v>
      </c>
      <c r="B4824" s="46" t="s">
        <v>53853</v>
      </c>
      <c r="C4824" s="58" t="str">
        <f>"15966941"</f>
        <v>15966941</v>
      </c>
      <c r="D4824" s="58" t="str">
        <f>""</f>
        <v/>
      </c>
      <c r="E4824" s="46" t="s">
        <v>14082</v>
      </c>
      <c r="F4824" s="46" t="s">
        <v>18959</v>
      </c>
      <c r="G4824" s="46" t="s">
        <v>50584</v>
      </c>
      <c r="H4824" s="48" t="s">
        <v>56716</v>
      </c>
      <c r="I4824" s="48" t="s">
        <v>50564</v>
      </c>
      <c r="J4824" s="48"/>
      <c r="K4824" s="50"/>
      <c r="L4824" s="48"/>
    </row>
    <row r="4825" spans="1:12" s="37" customFormat="1" ht="11.25" x14ac:dyDescent="0.2">
      <c r="A4825" s="45" t="s">
        <v>36622</v>
      </c>
      <c r="B4825" s="45" t="s">
        <v>36624</v>
      </c>
      <c r="C4825" s="51" t="s">
        <v>36626</v>
      </c>
      <c r="D4825" s="51" t="s">
        <v>36625</v>
      </c>
      <c r="E4825" s="45" t="s">
        <v>36627</v>
      </c>
      <c r="F4825" s="45" t="s">
        <v>22017</v>
      </c>
      <c r="G4825" s="45" t="s">
        <v>50584</v>
      </c>
      <c r="H4825" s="56"/>
      <c r="I4825" s="56" t="s">
        <v>50564</v>
      </c>
      <c r="J4825" s="56"/>
      <c r="K4825" s="50"/>
      <c r="L4825" s="56" t="s">
        <v>56716</v>
      </c>
    </row>
    <row r="4826" spans="1:12" s="37" customFormat="1" ht="11.25" x14ac:dyDescent="0.2">
      <c r="A4826" s="46" t="s">
        <v>2426</v>
      </c>
      <c r="B4826" s="46" t="s">
        <v>53854</v>
      </c>
      <c r="C4826" s="58" t="str">
        <f>"00222631"</f>
        <v>00222631</v>
      </c>
      <c r="D4826" s="58" t="str">
        <f>"14321424"</f>
        <v>14321424</v>
      </c>
      <c r="E4826" s="46" t="s">
        <v>56305</v>
      </c>
      <c r="F4826" s="46" t="s">
        <v>17759</v>
      </c>
      <c r="G4826" s="46" t="s">
        <v>50584</v>
      </c>
      <c r="H4826" s="48" t="s">
        <v>56716</v>
      </c>
      <c r="I4826" s="48" t="s">
        <v>50564</v>
      </c>
      <c r="J4826" s="48"/>
      <c r="K4826" s="50" t="s">
        <v>56716</v>
      </c>
      <c r="L4826" s="48" t="s">
        <v>56716</v>
      </c>
    </row>
    <row r="4827" spans="1:12" s="37" customFormat="1" ht="11.25" x14ac:dyDescent="0.2">
      <c r="A4827" s="46" t="s">
        <v>2438</v>
      </c>
      <c r="B4827" s="46" t="s">
        <v>53855</v>
      </c>
      <c r="C4827" s="58" t="str">
        <f>"03767388"</f>
        <v>03767388</v>
      </c>
      <c r="D4827" s="58" t="str">
        <f>"18733123"</f>
        <v>18733123</v>
      </c>
      <c r="E4827" s="46" t="s">
        <v>91</v>
      </c>
      <c r="F4827" s="46" t="s">
        <v>18001</v>
      </c>
      <c r="G4827" s="46" t="s">
        <v>50584</v>
      </c>
      <c r="H4827" s="48" t="s">
        <v>56716</v>
      </c>
      <c r="I4827" s="48" t="s">
        <v>50564</v>
      </c>
      <c r="J4827" s="48" t="s">
        <v>56716</v>
      </c>
      <c r="K4827" s="50" t="s">
        <v>56716</v>
      </c>
      <c r="L4827" s="48"/>
    </row>
    <row r="4828" spans="1:12" s="37" customFormat="1" ht="11.25" x14ac:dyDescent="0.2">
      <c r="A4828" s="46" t="s">
        <v>12663</v>
      </c>
      <c r="B4828" s="46" t="s">
        <v>53856</v>
      </c>
      <c r="C4828" s="58" t="str">
        <f>"18756867"</f>
        <v>18756867</v>
      </c>
      <c r="D4828" s="58" t="str">
        <f>"18756859"</f>
        <v>18756859</v>
      </c>
      <c r="E4828" s="46" t="s">
        <v>4337</v>
      </c>
      <c r="F4828" s="46" t="s">
        <v>17759</v>
      </c>
      <c r="G4828" s="46" t="s">
        <v>50584</v>
      </c>
      <c r="H4828" s="48" t="s">
        <v>56716</v>
      </c>
      <c r="I4828" s="48" t="s">
        <v>50564</v>
      </c>
      <c r="J4828" s="48" t="s">
        <v>56716</v>
      </c>
      <c r="K4828" s="50"/>
      <c r="L4828" s="48"/>
    </row>
    <row r="4829" spans="1:12" s="37" customFormat="1" ht="11.25" x14ac:dyDescent="0.2">
      <c r="A4829" s="46" t="s">
        <v>6387</v>
      </c>
      <c r="B4829" s="46" t="s">
        <v>53857</v>
      </c>
      <c r="C4829" s="58" t="str">
        <f>"09638237"</f>
        <v>09638237</v>
      </c>
      <c r="D4829" s="58" t="str">
        <f>"13600567"</f>
        <v>13600567</v>
      </c>
      <c r="E4829" s="46" t="s">
        <v>291</v>
      </c>
      <c r="F4829" s="46" t="s">
        <v>50646</v>
      </c>
      <c r="G4829" s="46" t="s">
        <v>50584</v>
      </c>
      <c r="H4829" s="48" t="s">
        <v>56716</v>
      </c>
      <c r="I4829" s="48" t="s">
        <v>50564</v>
      </c>
      <c r="J4829" s="48"/>
      <c r="K4829" s="50"/>
      <c r="L4829" s="48" t="s">
        <v>56716</v>
      </c>
    </row>
    <row r="4830" spans="1:12" s="37" customFormat="1" ht="11.25" x14ac:dyDescent="0.2">
      <c r="A4830" s="46" t="s">
        <v>7436</v>
      </c>
      <c r="B4830" s="46" t="s">
        <v>53858</v>
      </c>
      <c r="C4830" s="58" t="str">
        <f>"10914358"</f>
        <v>10914358</v>
      </c>
      <c r="D4830" s="58" t="str">
        <f>"1099176X"</f>
        <v>1099176X</v>
      </c>
      <c r="E4830" s="46" t="s">
        <v>7439</v>
      </c>
      <c r="F4830" s="46" t="s">
        <v>17991</v>
      </c>
      <c r="G4830" s="46" t="s">
        <v>50584</v>
      </c>
      <c r="H4830" s="48" t="s">
        <v>56716</v>
      </c>
      <c r="I4830" s="48" t="s">
        <v>50564</v>
      </c>
      <c r="J4830" s="48"/>
      <c r="K4830" s="50"/>
      <c r="L4830" s="48" t="s">
        <v>56716</v>
      </c>
    </row>
    <row r="4831" spans="1:12" s="37" customFormat="1" ht="11.25" x14ac:dyDescent="0.2">
      <c r="A4831" s="46" t="s">
        <v>2444</v>
      </c>
      <c r="B4831" s="46" t="s">
        <v>53859</v>
      </c>
      <c r="C4831" s="58" t="str">
        <f>"01677012"</f>
        <v>01677012</v>
      </c>
      <c r="D4831" s="58" t="str">
        <f>"18728359"</f>
        <v>18728359</v>
      </c>
      <c r="E4831" s="46" t="s">
        <v>91</v>
      </c>
      <c r="F4831" s="46" t="s">
        <v>18001</v>
      </c>
      <c r="G4831" s="46" t="s">
        <v>50584</v>
      </c>
      <c r="H4831" s="48" t="s">
        <v>56716</v>
      </c>
      <c r="I4831" s="48" t="s">
        <v>50564</v>
      </c>
      <c r="J4831" s="48" t="s">
        <v>56716</v>
      </c>
      <c r="K4831" s="50"/>
      <c r="L4831" s="48" t="s">
        <v>56716</v>
      </c>
    </row>
    <row r="4832" spans="1:12" s="37" customFormat="1" ht="11.25" x14ac:dyDescent="0.2">
      <c r="A4832" s="45" t="s">
        <v>36654</v>
      </c>
      <c r="B4832" s="45" t="s">
        <v>36656</v>
      </c>
      <c r="C4832" s="51" t="s">
        <v>36659</v>
      </c>
      <c r="D4832" s="51" t="s">
        <v>36658</v>
      </c>
      <c r="E4832" s="45" t="s">
        <v>36660</v>
      </c>
      <c r="F4832" s="45" t="s">
        <v>50649</v>
      </c>
      <c r="G4832" s="45" t="s">
        <v>50584</v>
      </c>
      <c r="H4832" s="56"/>
      <c r="I4832" s="56" t="s">
        <v>50564</v>
      </c>
      <c r="J4832" s="56"/>
      <c r="K4832" s="50"/>
      <c r="L4832" s="56" t="s">
        <v>56716</v>
      </c>
    </row>
    <row r="4833" spans="1:12" s="37" customFormat="1" ht="11.25" x14ac:dyDescent="0.2">
      <c r="A4833" s="46" t="s">
        <v>7607</v>
      </c>
      <c r="B4833" s="46" t="s">
        <v>53860</v>
      </c>
      <c r="C4833" s="58" t="str">
        <f>"10177825"</f>
        <v>10177825</v>
      </c>
      <c r="D4833" s="58" t="str">
        <f>"17388872"</f>
        <v>17388872</v>
      </c>
      <c r="E4833" s="46" t="s">
        <v>7610</v>
      </c>
      <c r="F4833" s="46" t="s">
        <v>50649</v>
      </c>
      <c r="G4833" s="46" t="s">
        <v>50584</v>
      </c>
      <c r="H4833" s="48" t="s">
        <v>56716</v>
      </c>
      <c r="I4833" s="48" t="s">
        <v>50564</v>
      </c>
      <c r="J4833" s="48"/>
      <c r="K4833" s="50"/>
      <c r="L4833" s="48" t="s">
        <v>56716</v>
      </c>
    </row>
    <row r="4834" spans="1:12" s="37" customFormat="1" ht="11.25" x14ac:dyDescent="0.2">
      <c r="A4834" s="46" t="s">
        <v>8130</v>
      </c>
      <c r="B4834" s="46" t="s">
        <v>53861</v>
      </c>
      <c r="C4834" s="58" t="str">
        <f>"16841182"</f>
        <v>16841182</v>
      </c>
      <c r="D4834" s="58" t="str">
        <f>"19959133"</f>
        <v>19959133</v>
      </c>
      <c r="E4834" s="46" t="s">
        <v>155</v>
      </c>
      <c r="F4834" s="46" t="s">
        <v>50646</v>
      </c>
      <c r="G4834" s="46" t="s">
        <v>50585</v>
      </c>
      <c r="H4834" s="48" t="s">
        <v>56716</v>
      </c>
      <c r="I4834" s="48" t="s">
        <v>50564</v>
      </c>
      <c r="J4834" s="48"/>
      <c r="K4834" s="50" t="s">
        <v>56716</v>
      </c>
      <c r="L4834" s="48" t="s">
        <v>56716</v>
      </c>
    </row>
    <row r="4835" spans="1:12" s="37" customFormat="1" ht="11.25" x14ac:dyDescent="0.2">
      <c r="A4835" s="46" t="s">
        <v>2586</v>
      </c>
      <c r="B4835" s="46" t="s">
        <v>53862</v>
      </c>
      <c r="C4835" s="58" t="str">
        <f>"02652048"</f>
        <v>02652048</v>
      </c>
      <c r="D4835" s="58" t="str">
        <f>"14645246"</f>
        <v>14645246</v>
      </c>
      <c r="E4835" s="46" t="s">
        <v>291</v>
      </c>
      <c r="F4835" s="46" t="s">
        <v>50646</v>
      </c>
      <c r="G4835" s="46" t="s">
        <v>50584</v>
      </c>
      <c r="H4835" s="48" t="s">
        <v>56716</v>
      </c>
      <c r="I4835" s="48" t="s">
        <v>50564</v>
      </c>
      <c r="J4835" s="48"/>
      <c r="K4835" s="50"/>
      <c r="L4835" s="48" t="s">
        <v>56716</v>
      </c>
    </row>
    <row r="4836" spans="1:12" s="37" customFormat="1" ht="11.25" x14ac:dyDescent="0.2">
      <c r="A4836" s="46" t="s">
        <v>2441</v>
      </c>
      <c r="B4836" s="46" t="s">
        <v>53863</v>
      </c>
      <c r="C4836" s="58" t="str">
        <f>"00222720"</f>
        <v>00222720</v>
      </c>
      <c r="D4836" s="58" t="str">
        <f>"13652818"</f>
        <v>13652818</v>
      </c>
      <c r="E4836" s="46" t="s">
        <v>35</v>
      </c>
      <c r="F4836" s="46" t="s">
        <v>50646</v>
      </c>
      <c r="G4836" s="46" t="s">
        <v>50584</v>
      </c>
      <c r="H4836" s="48" t="s">
        <v>56716</v>
      </c>
      <c r="I4836" s="48" t="s">
        <v>50564</v>
      </c>
      <c r="J4836" s="48" t="s">
        <v>56716</v>
      </c>
      <c r="K4836" s="50" t="s">
        <v>56716</v>
      </c>
      <c r="L4836" s="48" t="s">
        <v>56716</v>
      </c>
    </row>
    <row r="4837" spans="1:12" s="37" customFormat="1" ht="11.25" x14ac:dyDescent="0.2">
      <c r="A4837" s="46" t="s">
        <v>9137</v>
      </c>
      <c r="B4837" s="46" t="s">
        <v>53864</v>
      </c>
      <c r="C4837" s="58" t="str">
        <f>"15269523"</f>
        <v>15269523</v>
      </c>
      <c r="D4837" s="58" t="str">
        <f>"15422011"</f>
        <v>15422011</v>
      </c>
      <c r="E4837" s="46" t="s">
        <v>517</v>
      </c>
      <c r="F4837" s="46" t="s">
        <v>17759</v>
      </c>
      <c r="G4837" s="46" t="s">
        <v>50584</v>
      </c>
      <c r="H4837" s="48" t="s">
        <v>56716</v>
      </c>
      <c r="I4837" s="48" t="s">
        <v>50564</v>
      </c>
      <c r="J4837" s="48" t="s">
        <v>56716</v>
      </c>
      <c r="K4837" s="50" t="s">
        <v>56716</v>
      </c>
      <c r="L4837" s="48" t="s">
        <v>56716</v>
      </c>
    </row>
    <row r="4838" spans="1:12" s="37" customFormat="1" ht="11.25" x14ac:dyDescent="0.2">
      <c r="A4838" s="46" t="s">
        <v>6484</v>
      </c>
      <c r="B4838" s="46" t="s">
        <v>53865</v>
      </c>
      <c r="C4838" s="58" t="str">
        <f>"02710137"</f>
        <v>02710137</v>
      </c>
      <c r="D4838" s="58" t="str">
        <f>""</f>
        <v/>
      </c>
      <c r="E4838" s="46" t="s">
        <v>6486</v>
      </c>
      <c r="F4838" s="46" t="s">
        <v>17759</v>
      </c>
      <c r="G4838" s="46" t="s">
        <v>50584</v>
      </c>
      <c r="H4838" s="48" t="s">
        <v>56716</v>
      </c>
      <c r="I4838" s="48" t="s">
        <v>50564</v>
      </c>
      <c r="J4838" s="48"/>
      <c r="K4838" s="50"/>
      <c r="L4838" s="48"/>
    </row>
    <row r="4839" spans="1:12" s="37" customFormat="1" ht="11.25" x14ac:dyDescent="0.2">
      <c r="A4839" s="46" t="s">
        <v>10247</v>
      </c>
      <c r="B4839" s="46" t="s">
        <v>53866</v>
      </c>
      <c r="C4839" s="58" t="str">
        <f>"09729941"</f>
        <v>09729941</v>
      </c>
      <c r="D4839" s="58" t="str">
        <f>"19983921"</f>
        <v>19983921</v>
      </c>
      <c r="E4839" s="46" t="s">
        <v>19057</v>
      </c>
      <c r="F4839" s="46" t="s">
        <v>20446</v>
      </c>
      <c r="G4839" s="46" t="s">
        <v>50584</v>
      </c>
      <c r="H4839" s="48" t="s">
        <v>56716</v>
      </c>
      <c r="I4839" s="48" t="s">
        <v>50564</v>
      </c>
      <c r="J4839" s="48"/>
      <c r="K4839" s="50"/>
      <c r="L4839" s="48"/>
    </row>
    <row r="4840" spans="1:12" s="37" customFormat="1" ht="11.25" x14ac:dyDescent="0.2">
      <c r="A4840" s="46" t="s">
        <v>10779</v>
      </c>
      <c r="B4840" s="46" t="s">
        <v>53867</v>
      </c>
      <c r="C4840" s="58" t="str">
        <f>"15534650"</f>
        <v>15534650</v>
      </c>
      <c r="D4840" s="58" t="str">
        <f>"15534669"</f>
        <v>15534669</v>
      </c>
      <c r="E4840" s="46" t="s">
        <v>91</v>
      </c>
      <c r="F4840" s="46" t="s">
        <v>18001</v>
      </c>
      <c r="G4840" s="46" t="s">
        <v>50584</v>
      </c>
      <c r="H4840" s="48" t="s">
        <v>56716</v>
      </c>
      <c r="I4840" s="48" t="s">
        <v>50564</v>
      </c>
      <c r="J4840" s="48"/>
      <c r="K4840" s="50" t="s">
        <v>56716</v>
      </c>
      <c r="L4840" s="48" t="s">
        <v>56716</v>
      </c>
    </row>
    <row r="4841" spans="1:12" s="37" customFormat="1" ht="11.25" x14ac:dyDescent="0.2">
      <c r="A4841" s="46" t="s">
        <v>2429</v>
      </c>
      <c r="B4841" s="46" t="s">
        <v>53868</v>
      </c>
      <c r="C4841" s="58" t="str">
        <f>"00222828"</f>
        <v>00222828</v>
      </c>
      <c r="D4841" s="58" t="str">
        <f>"10958584"</f>
        <v>10958584</v>
      </c>
      <c r="E4841" s="46" t="s">
        <v>601</v>
      </c>
      <c r="F4841" s="46" t="s">
        <v>50646</v>
      </c>
      <c r="G4841" s="46" t="s">
        <v>50584</v>
      </c>
      <c r="H4841" s="48" t="s">
        <v>56716</v>
      </c>
      <c r="I4841" s="48" t="s">
        <v>50564</v>
      </c>
      <c r="J4841" s="48" t="s">
        <v>56716</v>
      </c>
      <c r="K4841" s="50" t="s">
        <v>56716</v>
      </c>
      <c r="L4841" s="48" t="s">
        <v>56716</v>
      </c>
    </row>
    <row r="4842" spans="1:12" s="37" customFormat="1" ht="11.25" x14ac:dyDescent="0.2">
      <c r="A4842" s="46" t="s">
        <v>2452</v>
      </c>
      <c r="B4842" s="46" t="s">
        <v>53869</v>
      </c>
      <c r="C4842" s="58" t="str">
        <f>"00222836"</f>
        <v>00222836</v>
      </c>
      <c r="D4842" s="58" t="str">
        <f>"10898638"</f>
        <v>10898638</v>
      </c>
      <c r="E4842" s="46" t="s">
        <v>601</v>
      </c>
      <c r="F4842" s="46" t="s">
        <v>50646</v>
      </c>
      <c r="G4842" s="46" t="s">
        <v>50584</v>
      </c>
      <c r="H4842" s="48" t="s">
        <v>56716</v>
      </c>
      <c r="I4842" s="48" t="s">
        <v>50564</v>
      </c>
      <c r="J4842" s="48" t="s">
        <v>56716</v>
      </c>
      <c r="K4842" s="50" t="s">
        <v>56716</v>
      </c>
      <c r="L4842" s="48" t="s">
        <v>56716</v>
      </c>
    </row>
    <row r="4843" spans="1:12" s="37" customFormat="1" ht="11.25" x14ac:dyDescent="0.2">
      <c r="A4843" s="46" t="s">
        <v>6525</v>
      </c>
      <c r="B4843" s="46" t="s">
        <v>53870</v>
      </c>
      <c r="C4843" s="58" t="str">
        <f>"13811177"</f>
        <v>13811177</v>
      </c>
      <c r="D4843" s="58" t="str">
        <f>"18733158"</f>
        <v>18733158</v>
      </c>
      <c r="E4843" s="46" t="s">
        <v>91</v>
      </c>
      <c r="F4843" s="46" t="s">
        <v>18001</v>
      </c>
      <c r="G4843" s="46" t="s">
        <v>50584</v>
      </c>
      <c r="H4843" s="48" t="s">
        <v>56716</v>
      </c>
      <c r="I4843" s="48" t="s">
        <v>50564</v>
      </c>
      <c r="J4843" s="48"/>
      <c r="K4843" s="50" t="s">
        <v>56716</v>
      </c>
      <c r="L4843" s="48"/>
    </row>
    <row r="4844" spans="1:12" s="37" customFormat="1" ht="11.25" x14ac:dyDescent="0.2">
      <c r="A4844" s="46" t="s">
        <v>14763</v>
      </c>
      <c r="B4844" s="46" t="s">
        <v>56065</v>
      </c>
      <c r="C4844" s="58" t="str">
        <f>"16742788"</f>
        <v>16742788</v>
      </c>
      <c r="D4844" s="58" t="str">
        <f>"17594685"</f>
        <v>17594685</v>
      </c>
      <c r="E4844" s="46" t="s">
        <v>55</v>
      </c>
      <c r="F4844" s="46" t="s">
        <v>50646</v>
      </c>
      <c r="G4844" s="46" t="s">
        <v>50584</v>
      </c>
      <c r="H4844" s="48" t="s">
        <v>56716</v>
      </c>
      <c r="I4844" s="48" t="s">
        <v>50564</v>
      </c>
      <c r="J4844" s="48"/>
      <c r="K4844" s="50"/>
      <c r="L4844" s="48" t="s">
        <v>56716</v>
      </c>
    </row>
    <row r="4845" spans="1:12" s="37" customFormat="1" ht="11.25" x14ac:dyDescent="0.2">
      <c r="A4845" s="46" t="s">
        <v>8623</v>
      </c>
      <c r="B4845" s="46" t="s">
        <v>53871</v>
      </c>
      <c r="C4845" s="58" t="str">
        <f>"15251578"</f>
        <v>15251578</v>
      </c>
      <c r="D4845" s="58" t="str">
        <f>"19437811"</f>
        <v>19437811</v>
      </c>
      <c r="E4845" s="46" t="s">
        <v>91</v>
      </c>
      <c r="F4845" s="46" t="s">
        <v>18001</v>
      </c>
      <c r="G4845" s="46" t="s">
        <v>50584</v>
      </c>
      <c r="H4845" s="48" t="s">
        <v>56716</v>
      </c>
      <c r="I4845" s="48" t="s">
        <v>50564</v>
      </c>
      <c r="J4845" s="48"/>
      <c r="K4845" s="50" t="s">
        <v>56716</v>
      </c>
      <c r="L4845" s="48" t="s">
        <v>56716</v>
      </c>
    </row>
    <row r="4846" spans="1:12" s="37" customFormat="1" ht="11.25" x14ac:dyDescent="0.2">
      <c r="A4846" s="46" t="s">
        <v>4700</v>
      </c>
      <c r="B4846" s="46" t="s">
        <v>53872</v>
      </c>
      <c r="C4846" s="58" t="str">
        <f>"09525041"</f>
        <v>09525041</v>
      </c>
      <c r="D4846" s="58" t="str">
        <f>"14796813"</f>
        <v>14796813</v>
      </c>
      <c r="E4846" s="46" t="s">
        <v>2559</v>
      </c>
      <c r="F4846" s="46" t="s">
        <v>50646</v>
      </c>
      <c r="G4846" s="46" t="s">
        <v>50584</v>
      </c>
      <c r="H4846" s="48" t="s">
        <v>56716</v>
      </c>
      <c r="I4846" s="48" t="s">
        <v>50564</v>
      </c>
      <c r="J4846" s="48" t="s">
        <v>56716</v>
      </c>
      <c r="K4846" s="50"/>
      <c r="L4846" s="48" t="s">
        <v>56716</v>
      </c>
    </row>
    <row r="4847" spans="1:12" s="37" customFormat="1" ht="11.25" x14ac:dyDescent="0.2">
      <c r="A4847" s="45" t="s">
        <v>36729</v>
      </c>
      <c r="B4847" s="45" t="s">
        <v>36731</v>
      </c>
      <c r="C4847" s="51" t="s">
        <v>36733</v>
      </c>
      <c r="D4847" s="51" t="s">
        <v>36732</v>
      </c>
      <c r="E4847" s="45" t="s">
        <v>18727</v>
      </c>
      <c r="F4847" s="45" t="s">
        <v>18158</v>
      </c>
      <c r="G4847" s="45" t="s">
        <v>50584</v>
      </c>
      <c r="H4847" s="56"/>
      <c r="I4847" s="56" t="s">
        <v>50564</v>
      </c>
      <c r="J4847" s="56"/>
      <c r="K4847" s="50"/>
      <c r="L4847" s="56" t="s">
        <v>56716</v>
      </c>
    </row>
    <row r="4848" spans="1:12" s="37" customFormat="1" ht="11.25" x14ac:dyDescent="0.2">
      <c r="A4848" s="46" t="s">
        <v>7660</v>
      </c>
      <c r="B4848" s="46" t="s">
        <v>53873</v>
      </c>
      <c r="C4848" s="58" t="str">
        <f>"10933263"</f>
        <v>10933263</v>
      </c>
      <c r="D4848" s="58" t="str">
        <f>"18734243"</f>
        <v>18734243</v>
      </c>
      <c r="E4848" s="46" t="s">
        <v>272</v>
      </c>
      <c r="F4848" s="46" t="s">
        <v>17759</v>
      </c>
      <c r="G4848" s="46" t="s">
        <v>50584</v>
      </c>
      <c r="H4848" s="48" t="s">
        <v>56716</v>
      </c>
      <c r="I4848" s="48" t="s">
        <v>50564</v>
      </c>
      <c r="J4848" s="48" t="s">
        <v>56716</v>
      </c>
      <c r="K4848" s="50"/>
      <c r="L4848" s="48" t="s">
        <v>56716</v>
      </c>
    </row>
    <row r="4849" spans="1:12" s="37" customFormat="1" ht="11.25" x14ac:dyDescent="0.2">
      <c r="A4849" s="46" t="s">
        <v>10209</v>
      </c>
      <c r="B4849" s="46" t="s">
        <v>53874</v>
      </c>
      <c r="C4849" s="58" t="str">
        <f>"15672379"</f>
        <v>15672379</v>
      </c>
      <c r="D4849" s="58" t="str">
        <f>"15672387"</f>
        <v>15672387</v>
      </c>
      <c r="E4849" s="46" t="s">
        <v>18876</v>
      </c>
      <c r="F4849" s="46" t="s">
        <v>18001</v>
      </c>
      <c r="G4849" s="46" t="s">
        <v>50584</v>
      </c>
      <c r="H4849" s="48" t="s">
        <v>56716</v>
      </c>
      <c r="I4849" s="48" t="s">
        <v>50564</v>
      </c>
      <c r="J4849" s="48" t="s">
        <v>56716</v>
      </c>
      <c r="K4849" s="50" t="s">
        <v>56716</v>
      </c>
      <c r="L4849" s="48" t="s">
        <v>56716</v>
      </c>
    </row>
    <row r="4850" spans="1:12" s="37" customFormat="1" ht="11.25" x14ac:dyDescent="0.2">
      <c r="A4850" s="46" t="s">
        <v>6496</v>
      </c>
      <c r="B4850" s="46" t="s">
        <v>53875</v>
      </c>
      <c r="C4850" s="58" t="str">
        <f>"09462716"</f>
        <v>09462716</v>
      </c>
      <c r="D4850" s="58" t="str">
        <f>"14321440"</f>
        <v>14321440</v>
      </c>
      <c r="E4850" s="46" t="s">
        <v>167</v>
      </c>
      <c r="F4850" s="46" t="s">
        <v>18158</v>
      </c>
      <c r="G4850" s="46" t="s">
        <v>50584</v>
      </c>
      <c r="H4850" s="48" t="s">
        <v>56716</v>
      </c>
      <c r="I4850" s="48" t="s">
        <v>50564</v>
      </c>
      <c r="J4850" s="48"/>
      <c r="K4850" s="50" t="s">
        <v>56716</v>
      </c>
      <c r="L4850" s="48" t="s">
        <v>56716</v>
      </c>
    </row>
    <row r="4851" spans="1:12" s="37" customFormat="1" ht="11.25" x14ac:dyDescent="0.2">
      <c r="A4851" s="46" t="s">
        <v>8289</v>
      </c>
      <c r="B4851" s="46" t="s">
        <v>53876</v>
      </c>
      <c r="C4851" s="58" t="str">
        <f>"14641801"</f>
        <v>14641801</v>
      </c>
      <c r="D4851" s="58" t="str">
        <f>"16602412"</f>
        <v>16602412</v>
      </c>
      <c r="E4851" s="46" t="s">
        <v>109</v>
      </c>
      <c r="F4851" s="46" t="s">
        <v>18123</v>
      </c>
      <c r="G4851" s="46" t="s">
        <v>50584</v>
      </c>
      <c r="H4851" s="48" t="s">
        <v>56716</v>
      </c>
      <c r="I4851" s="48" t="s">
        <v>50564</v>
      </c>
      <c r="J4851" s="48"/>
      <c r="K4851" s="50" t="s">
        <v>56716</v>
      </c>
      <c r="L4851" s="48" t="s">
        <v>56716</v>
      </c>
    </row>
    <row r="4852" spans="1:12" s="37" customFormat="1" ht="11.25" x14ac:dyDescent="0.2">
      <c r="A4852" s="46" t="s">
        <v>9232</v>
      </c>
      <c r="B4852" s="46" t="s">
        <v>53877</v>
      </c>
      <c r="C4852" s="58" t="str">
        <f>"16102940"</f>
        <v>16102940</v>
      </c>
      <c r="D4852" s="58" t="str">
        <f>"09485023"</f>
        <v>09485023</v>
      </c>
      <c r="E4852" s="46" t="s">
        <v>167</v>
      </c>
      <c r="F4852" s="46" t="s">
        <v>18158</v>
      </c>
      <c r="G4852" s="46" t="s">
        <v>50584</v>
      </c>
      <c r="H4852" s="48" t="s">
        <v>56716</v>
      </c>
      <c r="I4852" s="48" t="s">
        <v>50564</v>
      </c>
      <c r="J4852" s="48" t="s">
        <v>56716</v>
      </c>
      <c r="K4852" s="50"/>
      <c r="L4852" s="48" t="s">
        <v>56716</v>
      </c>
    </row>
    <row r="4853" spans="1:12" s="37" customFormat="1" ht="11.25" x14ac:dyDescent="0.2">
      <c r="A4853" s="46" t="s">
        <v>7223</v>
      </c>
      <c r="B4853" s="46" t="s">
        <v>53878</v>
      </c>
      <c r="C4853" s="58" t="str">
        <f>"08958696"</f>
        <v>08958696</v>
      </c>
      <c r="D4853" s="58" t="str">
        <f>"15591166"</f>
        <v>15591166</v>
      </c>
      <c r="E4853" s="46" t="s">
        <v>56305</v>
      </c>
      <c r="F4853" s="46" t="s">
        <v>17759</v>
      </c>
      <c r="G4853" s="46" t="s">
        <v>50584</v>
      </c>
      <c r="H4853" s="48" t="s">
        <v>56716</v>
      </c>
      <c r="I4853" s="48" t="s">
        <v>50564</v>
      </c>
      <c r="J4853" s="48"/>
      <c r="K4853" s="50" t="s">
        <v>56716</v>
      </c>
      <c r="L4853" s="48" t="s">
        <v>56716</v>
      </c>
    </row>
    <row r="4854" spans="1:12" s="37" customFormat="1" ht="11.25" x14ac:dyDescent="0.2">
      <c r="A4854" s="46" t="s">
        <v>17216</v>
      </c>
      <c r="B4854" s="46" t="s">
        <v>53879</v>
      </c>
      <c r="C4854" s="58" t="str">
        <f>""</f>
        <v/>
      </c>
      <c r="D4854" s="58" t="str">
        <f>"20499256"</f>
        <v>20499256</v>
      </c>
      <c r="E4854" s="46" t="s">
        <v>2299</v>
      </c>
      <c r="F4854" s="46" t="s">
        <v>50646</v>
      </c>
      <c r="G4854" s="46" t="s">
        <v>50584</v>
      </c>
      <c r="H4854" s="48" t="s">
        <v>56716</v>
      </c>
      <c r="I4854" s="48" t="s">
        <v>50564</v>
      </c>
      <c r="J4854" s="48" t="s">
        <v>56716</v>
      </c>
      <c r="K4854" s="50"/>
      <c r="L4854" s="48"/>
    </row>
    <row r="4855" spans="1:12" s="37" customFormat="1" ht="11.25" x14ac:dyDescent="0.2">
      <c r="A4855" s="45" t="s">
        <v>36766</v>
      </c>
      <c r="B4855" s="45" t="s">
        <v>36768</v>
      </c>
      <c r="C4855" s="51" t="s">
        <v>36770</v>
      </c>
      <c r="D4855" s="51" t="s">
        <v>36769</v>
      </c>
      <c r="E4855" s="45" t="s">
        <v>20207</v>
      </c>
      <c r="F4855" s="45" t="s">
        <v>50646</v>
      </c>
      <c r="G4855" s="45" t="s">
        <v>50584</v>
      </c>
      <c r="H4855" s="56"/>
      <c r="I4855" s="56" t="s">
        <v>50564</v>
      </c>
      <c r="J4855" s="56"/>
      <c r="K4855" s="50"/>
      <c r="L4855" s="56" t="s">
        <v>56716</v>
      </c>
    </row>
    <row r="4856" spans="1:12" s="37" customFormat="1" ht="11.25" x14ac:dyDescent="0.2">
      <c r="A4856" s="46" t="s">
        <v>11671</v>
      </c>
      <c r="B4856" s="46" t="s">
        <v>53880</v>
      </c>
      <c r="C4856" s="58" t="str">
        <f>""</f>
        <v/>
      </c>
      <c r="D4856" s="58" t="str">
        <f>"17502187"</f>
        <v>17502187</v>
      </c>
      <c r="E4856" s="46" t="s">
        <v>2299</v>
      </c>
      <c r="F4856" s="46" t="s">
        <v>50646</v>
      </c>
      <c r="G4856" s="46" t="s">
        <v>50584</v>
      </c>
      <c r="H4856" s="48" t="s">
        <v>56716</v>
      </c>
      <c r="I4856" s="48" t="s">
        <v>50564</v>
      </c>
      <c r="J4856" s="48" t="s">
        <v>56716</v>
      </c>
      <c r="K4856" s="50"/>
      <c r="L4856" s="48"/>
    </row>
    <row r="4857" spans="1:12" s="37" customFormat="1" ht="11.25" x14ac:dyDescent="0.2">
      <c r="A4857" s="45" t="s">
        <v>36772</v>
      </c>
      <c r="B4857" s="45" t="s">
        <v>36774</v>
      </c>
      <c r="C4857" s="51" t="s">
        <v>36776</v>
      </c>
      <c r="D4857" s="51" t="s">
        <v>36775</v>
      </c>
      <c r="E4857" s="45" t="s">
        <v>19094</v>
      </c>
      <c r="F4857" s="45" t="s">
        <v>17759</v>
      </c>
      <c r="G4857" s="45" t="s">
        <v>50584</v>
      </c>
      <c r="H4857" s="56"/>
      <c r="I4857" s="56" t="s">
        <v>50564</v>
      </c>
      <c r="J4857" s="56"/>
      <c r="K4857" s="50"/>
      <c r="L4857" s="56" t="s">
        <v>56716</v>
      </c>
    </row>
    <row r="4858" spans="1:12" s="37" customFormat="1" ht="11.25" x14ac:dyDescent="0.2">
      <c r="A4858" s="45" t="s">
        <v>36779</v>
      </c>
      <c r="B4858" s="45" t="s">
        <v>36781</v>
      </c>
      <c r="C4858" s="51" t="s">
        <v>36783</v>
      </c>
      <c r="D4858" s="51" t="s">
        <v>36782</v>
      </c>
      <c r="E4858" s="45" t="s">
        <v>689</v>
      </c>
      <c r="F4858" s="45" t="s">
        <v>17759</v>
      </c>
      <c r="G4858" s="45" t="s">
        <v>50584</v>
      </c>
      <c r="H4858" s="56"/>
      <c r="I4858" s="56" t="s">
        <v>50564</v>
      </c>
      <c r="J4858" s="56"/>
      <c r="K4858" s="50"/>
      <c r="L4858" s="56" t="s">
        <v>56716</v>
      </c>
    </row>
    <row r="4859" spans="1:12" s="37" customFormat="1" ht="11.25" x14ac:dyDescent="0.2">
      <c r="A4859" s="46" t="s">
        <v>14669</v>
      </c>
      <c r="B4859" s="46" t="s">
        <v>53881</v>
      </c>
      <c r="C4859" s="58" t="str">
        <f>""</f>
        <v/>
      </c>
      <c r="D4859" s="58" t="str">
        <f>"11782390"</f>
        <v>11782390</v>
      </c>
      <c r="E4859" s="46" t="s">
        <v>11079</v>
      </c>
      <c r="F4859" s="46" t="s">
        <v>50646</v>
      </c>
      <c r="G4859" s="46" t="s">
        <v>50584</v>
      </c>
      <c r="H4859" s="48" t="s">
        <v>56716</v>
      </c>
      <c r="I4859" s="48" t="s">
        <v>50564</v>
      </c>
      <c r="J4859" s="48"/>
      <c r="K4859" s="50"/>
      <c r="L4859" s="48"/>
    </row>
    <row r="4860" spans="1:12" s="37" customFormat="1" ht="11.25" x14ac:dyDescent="0.2">
      <c r="A4860" s="45" t="s">
        <v>36785</v>
      </c>
      <c r="B4860" s="45" t="s">
        <v>36787</v>
      </c>
      <c r="C4860" s="51" t="s">
        <v>36789</v>
      </c>
      <c r="D4860" s="51" t="s">
        <v>36788</v>
      </c>
      <c r="E4860" s="45" t="s">
        <v>217</v>
      </c>
      <c r="F4860" s="45" t="s">
        <v>18001</v>
      </c>
      <c r="G4860" s="45" t="s">
        <v>50584</v>
      </c>
      <c r="H4860" s="56"/>
      <c r="I4860" s="56" t="s">
        <v>50564</v>
      </c>
      <c r="J4860" s="56"/>
      <c r="K4860" s="50"/>
      <c r="L4860" s="56" t="s">
        <v>56716</v>
      </c>
    </row>
    <row r="4861" spans="1:12" s="37" customFormat="1" ht="11.25" x14ac:dyDescent="0.2">
      <c r="A4861" s="46" t="s">
        <v>8937</v>
      </c>
      <c r="B4861" s="46" t="s">
        <v>53882</v>
      </c>
      <c r="C4861" s="58" t="str">
        <f>"11087161"</f>
        <v>11087161</v>
      </c>
      <c r="D4861" s="58" t="str">
        <f>""</f>
        <v/>
      </c>
      <c r="E4861" s="46" t="s">
        <v>8939</v>
      </c>
      <c r="F4861" s="46" t="s">
        <v>20969</v>
      </c>
      <c r="G4861" s="46" t="s">
        <v>50584</v>
      </c>
      <c r="H4861" s="48" t="s">
        <v>56716</v>
      </c>
      <c r="I4861" s="48" t="s">
        <v>50564</v>
      </c>
      <c r="J4861" s="48"/>
      <c r="K4861" s="50"/>
      <c r="L4861" s="48" t="s">
        <v>56716</v>
      </c>
    </row>
    <row r="4862" spans="1:12" s="37" customFormat="1" ht="11.25" x14ac:dyDescent="0.2">
      <c r="A4862" s="46" t="s">
        <v>5771</v>
      </c>
      <c r="B4862" s="46" t="s">
        <v>53883</v>
      </c>
      <c r="C4862" s="58" t="str">
        <f>"10582452"</f>
        <v>10582452</v>
      </c>
      <c r="D4862" s="58" t="str">
        <f>"15407012"</f>
        <v>15407012</v>
      </c>
      <c r="E4862" s="46" t="s">
        <v>291</v>
      </c>
      <c r="F4862" s="46" t="s">
        <v>17759</v>
      </c>
      <c r="G4862" s="46" t="s">
        <v>50584</v>
      </c>
      <c r="H4862" s="48" t="s">
        <v>56716</v>
      </c>
      <c r="I4862" s="48" t="s">
        <v>50564</v>
      </c>
      <c r="J4862" s="48"/>
      <c r="K4862" s="50"/>
      <c r="L4862" s="48"/>
    </row>
    <row r="4863" spans="1:12" s="37" customFormat="1" ht="11.25" x14ac:dyDescent="0.2">
      <c r="A4863" s="46" t="s">
        <v>8228</v>
      </c>
      <c r="B4863" s="46" t="s">
        <v>53884</v>
      </c>
      <c r="C4863" s="58" t="str">
        <f>"02189577"</f>
        <v>02189577</v>
      </c>
      <c r="D4863" s="58" t="str">
        <f>""</f>
        <v/>
      </c>
      <c r="E4863" s="46" t="s">
        <v>275</v>
      </c>
      <c r="F4863" s="46" t="s">
        <v>19491</v>
      </c>
      <c r="G4863" s="46" t="s">
        <v>50584</v>
      </c>
      <c r="H4863" s="48" t="s">
        <v>56716</v>
      </c>
      <c r="I4863" s="48" t="s">
        <v>50564</v>
      </c>
      <c r="J4863" s="48"/>
      <c r="K4863" s="50" t="s">
        <v>56716</v>
      </c>
      <c r="L4863" s="48"/>
    </row>
    <row r="4864" spans="1:12" s="37" customFormat="1" ht="11.25" x14ac:dyDescent="0.2">
      <c r="A4864" s="45" t="s">
        <v>36796</v>
      </c>
      <c r="B4864" s="45" t="s">
        <v>36798</v>
      </c>
      <c r="C4864" s="51" t="s">
        <v>36801</v>
      </c>
      <c r="D4864" s="51" t="s">
        <v>36800</v>
      </c>
      <c r="E4864" s="45" t="s">
        <v>55</v>
      </c>
      <c r="F4864" s="45" t="s">
        <v>50646</v>
      </c>
      <c r="G4864" s="45" t="s">
        <v>50584</v>
      </c>
      <c r="H4864" s="56"/>
      <c r="I4864" s="56" t="s">
        <v>50564</v>
      </c>
      <c r="J4864" s="56"/>
      <c r="K4864" s="50"/>
      <c r="L4864" s="56" t="s">
        <v>56716</v>
      </c>
    </row>
    <row r="4865" spans="1:12" s="37" customFormat="1" ht="11.25" x14ac:dyDescent="0.2">
      <c r="A4865" s="46" t="s">
        <v>9752</v>
      </c>
      <c r="B4865" s="46" t="s">
        <v>53885</v>
      </c>
      <c r="C4865" s="58" t="str">
        <f>""</f>
        <v/>
      </c>
      <c r="D4865" s="58" t="str">
        <f>"14773155"</f>
        <v>14773155</v>
      </c>
      <c r="E4865" s="46" t="s">
        <v>2299</v>
      </c>
      <c r="F4865" s="46" t="s">
        <v>50646</v>
      </c>
      <c r="G4865" s="46" t="s">
        <v>50584</v>
      </c>
      <c r="H4865" s="48" t="s">
        <v>56716</v>
      </c>
      <c r="I4865" s="48" t="s">
        <v>50564</v>
      </c>
      <c r="J4865" s="48"/>
      <c r="K4865" s="50" t="s">
        <v>56716</v>
      </c>
      <c r="L4865" s="48" t="s">
        <v>56716</v>
      </c>
    </row>
    <row r="4866" spans="1:12" s="37" customFormat="1" ht="11.25" x14ac:dyDescent="0.2">
      <c r="A4866" s="46" t="s">
        <v>9597</v>
      </c>
      <c r="B4866" s="46" t="s">
        <v>53886</v>
      </c>
      <c r="C4866" s="58" t="str">
        <f>"13880764"</f>
        <v>13880764</v>
      </c>
      <c r="D4866" s="58" t="str">
        <f>"1572896X"</f>
        <v>1572896X</v>
      </c>
      <c r="E4866" s="46" t="s">
        <v>18876</v>
      </c>
      <c r="F4866" s="46" t="s">
        <v>18001</v>
      </c>
      <c r="G4866" s="46" t="s">
        <v>50584</v>
      </c>
      <c r="H4866" s="48" t="s">
        <v>56716</v>
      </c>
      <c r="I4866" s="48" t="s">
        <v>50564</v>
      </c>
      <c r="J4866" s="48" t="s">
        <v>56716</v>
      </c>
      <c r="K4866" s="50"/>
      <c r="L4866" s="48"/>
    </row>
    <row r="4867" spans="1:12" s="37" customFormat="1" ht="11.25" x14ac:dyDescent="0.2">
      <c r="A4867" s="46" t="s">
        <v>17407</v>
      </c>
      <c r="B4867" s="46" t="s">
        <v>53887</v>
      </c>
      <c r="C4867" s="58" t="str">
        <f>"21679312"</f>
        <v>21679312</v>
      </c>
      <c r="D4867" s="58" t="str">
        <f>"21679320"</f>
        <v>21679320</v>
      </c>
      <c r="E4867" s="46" t="s">
        <v>11896</v>
      </c>
      <c r="F4867" s="46" t="s">
        <v>17759</v>
      </c>
      <c r="G4867" s="46" t="s">
        <v>50584</v>
      </c>
      <c r="H4867" s="48" t="s">
        <v>56716</v>
      </c>
      <c r="I4867" s="48" t="s">
        <v>50564</v>
      </c>
      <c r="J4867" s="48"/>
      <c r="K4867" s="50"/>
      <c r="L4867" s="48"/>
    </row>
    <row r="4868" spans="1:12" s="37" customFormat="1" ht="11.25" x14ac:dyDescent="0.2">
      <c r="A4868" s="45" t="s">
        <v>36807</v>
      </c>
      <c r="B4868" s="45" t="s">
        <v>36809</v>
      </c>
      <c r="C4868" s="51" t="s">
        <v>36811</v>
      </c>
      <c r="D4868" s="51" t="s">
        <v>36810</v>
      </c>
      <c r="E4868" s="45" t="s">
        <v>11896</v>
      </c>
      <c r="F4868" s="45" t="s">
        <v>17759</v>
      </c>
      <c r="G4868" s="45" t="s">
        <v>50584</v>
      </c>
      <c r="H4868" s="56"/>
      <c r="I4868" s="56" t="s">
        <v>50564</v>
      </c>
      <c r="J4868" s="56"/>
      <c r="K4868" s="50"/>
      <c r="L4868" s="56" t="s">
        <v>56716</v>
      </c>
    </row>
    <row r="4869" spans="1:12" s="37" customFormat="1" ht="11.25" x14ac:dyDescent="0.2">
      <c r="A4869" s="46" t="s">
        <v>14708</v>
      </c>
      <c r="B4869" s="46" t="s">
        <v>53888</v>
      </c>
      <c r="C4869" s="58" t="str">
        <f>"19492944"</f>
        <v>19492944</v>
      </c>
      <c r="D4869" s="58" t="str">
        <f>"19492952"</f>
        <v>19492952</v>
      </c>
      <c r="E4869" s="46" t="s">
        <v>2159</v>
      </c>
      <c r="F4869" s="46" t="s">
        <v>17759</v>
      </c>
      <c r="G4869" s="46" t="s">
        <v>50584</v>
      </c>
      <c r="H4869" s="48" t="s">
        <v>56716</v>
      </c>
      <c r="I4869" s="48" t="s">
        <v>50564</v>
      </c>
      <c r="J4869" s="48"/>
      <c r="K4869" s="50"/>
      <c r="L4869" s="48"/>
    </row>
    <row r="4870" spans="1:12" s="37" customFormat="1" ht="11.25" x14ac:dyDescent="0.2">
      <c r="A4870" s="46" t="s">
        <v>3035</v>
      </c>
      <c r="B4870" s="46" t="s">
        <v>53889</v>
      </c>
      <c r="C4870" s="58" t="str">
        <f>"13450069"</f>
        <v>13450069</v>
      </c>
      <c r="D4870" s="58" t="str">
        <f>""</f>
        <v/>
      </c>
      <c r="E4870" s="46" t="s">
        <v>3037</v>
      </c>
      <c r="F4870" s="46" t="s">
        <v>18242</v>
      </c>
      <c r="G4870" s="46" t="s">
        <v>50605</v>
      </c>
      <c r="H4870" s="48" t="s">
        <v>56716</v>
      </c>
      <c r="I4870" s="48" t="s">
        <v>50564</v>
      </c>
      <c r="J4870" s="48"/>
      <c r="K4870" s="50"/>
      <c r="L4870" s="48"/>
    </row>
    <row r="4871" spans="1:12" s="37" customFormat="1" ht="11.25" x14ac:dyDescent="0.2">
      <c r="A4871" s="45" t="s">
        <v>36813</v>
      </c>
      <c r="B4871" s="45" t="s">
        <v>36815</v>
      </c>
      <c r="C4871" s="51" t="s">
        <v>36816</v>
      </c>
      <c r="D4871" s="51"/>
      <c r="E4871" s="45" t="s">
        <v>36817</v>
      </c>
      <c r="F4871" s="45" t="s">
        <v>17759</v>
      </c>
      <c r="G4871" s="45" t="s">
        <v>50584</v>
      </c>
      <c r="H4871" s="56"/>
      <c r="I4871" s="56" t="s">
        <v>50564</v>
      </c>
      <c r="J4871" s="56"/>
      <c r="K4871" s="50"/>
      <c r="L4871" s="56" t="s">
        <v>56716</v>
      </c>
    </row>
    <row r="4872" spans="1:12" s="37" customFormat="1" ht="11.25" x14ac:dyDescent="0.2">
      <c r="A4872" s="46" t="s">
        <v>12076</v>
      </c>
      <c r="B4872" s="46" t="s">
        <v>53890</v>
      </c>
      <c r="C4872" s="58" t="str">
        <f>"13403443"</f>
        <v>13403443</v>
      </c>
      <c r="D4872" s="58" t="str">
        <f>"18610293"</f>
        <v>18610293</v>
      </c>
      <c r="E4872" s="46" t="s">
        <v>23335</v>
      </c>
      <c r="F4872" s="46" t="s">
        <v>18242</v>
      </c>
      <c r="G4872" s="46" t="s">
        <v>50605</v>
      </c>
      <c r="H4872" s="48" t="s">
        <v>56716</v>
      </c>
      <c r="I4872" s="48" t="s">
        <v>50564</v>
      </c>
      <c r="J4872" s="48"/>
      <c r="K4872" s="50" t="s">
        <v>56716</v>
      </c>
      <c r="L4872" s="48" t="s">
        <v>56716</v>
      </c>
    </row>
    <row r="4873" spans="1:12" s="37" customFormat="1" ht="11.25" x14ac:dyDescent="0.2">
      <c r="A4873" s="46" t="s">
        <v>2506</v>
      </c>
      <c r="B4873" s="46" t="s">
        <v>53891</v>
      </c>
      <c r="C4873" s="58" t="str">
        <f>"01633864"</f>
        <v>01633864</v>
      </c>
      <c r="D4873" s="58" t="str">
        <f>"15206025"</f>
        <v>15206025</v>
      </c>
      <c r="E4873" s="46" t="s">
        <v>776</v>
      </c>
      <c r="F4873" s="46" t="s">
        <v>17759</v>
      </c>
      <c r="G4873" s="46" t="s">
        <v>50584</v>
      </c>
      <c r="H4873" s="48" t="s">
        <v>56716</v>
      </c>
      <c r="I4873" s="48" t="s">
        <v>50564</v>
      </c>
      <c r="J4873" s="48"/>
      <c r="K4873" s="50"/>
      <c r="L4873" s="48" t="s">
        <v>56716</v>
      </c>
    </row>
    <row r="4874" spans="1:12" s="37" customFormat="1" ht="11.25" x14ac:dyDescent="0.2">
      <c r="A4874" s="46" t="s">
        <v>8873</v>
      </c>
      <c r="B4874" s="46" t="s">
        <v>53892</v>
      </c>
      <c r="C4874" s="58" t="str">
        <f>"09725547"</f>
        <v>09725547</v>
      </c>
      <c r="D4874" s="58" t="str">
        <f>""</f>
        <v/>
      </c>
      <c r="E4874" s="46" t="s">
        <v>8875</v>
      </c>
      <c r="F4874" s="46" t="s">
        <v>20446</v>
      </c>
      <c r="G4874" s="46" t="s">
        <v>50584</v>
      </c>
      <c r="H4874" s="48" t="s">
        <v>56716</v>
      </c>
      <c r="I4874" s="48" t="s">
        <v>50564</v>
      </c>
      <c r="J4874" s="48"/>
      <c r="K4874" s="50"/>
      <c r="L4874" s="48"/>
    </row>
    <row r="4875" spans="1:12" s="37" customFormat="1" ht="11.25" x14ac:dyDescent="0.2">
      <c r="A4875" s="46" t="s">
        <v>9659</v>
      </c>
      <c r="B4875" s="46" t="s">
        <v>53893</v>
      </c>
      <c r="C4875" s="58" t="str">
        <f>""</f>
        <v/>
      </c>
      <c r="D4875" s="58" t="str">
        <f>"14775751"</f>
        <v>14775751</v>
      </c>
      <c r="E4875" s="46" t="s">
        <v>2299</v>
      </c>
      <c r="F4875" s="46" t="s">
        <v>50646</v>
      </c>
      <c r="G4875" s="46" t="s">
        <v>50584</v>
      </c>
      <c r="H4875" s="48" t="s">
        <v>56716</v>
      </c>
      <c r="I4875" s="48" t="s">
        <v>50564</v>
      </c>
      <c r="J4875" s="48"/>
      <c r="K4875" s="50" t="s">
        <v>56716</v>
      </c>
      <c r="L4875" s="48" t="s">
        <v>56716</v>
      </c>
    </row>
    <row r="4876" spans="1:12" s="37" customFormat="1" ht="11.25" x14ac:dyDescent="0.2">
      <c r="A4876" s="46" t="s">
        <v>14017</v>
      </c>
      <c r="B4876" s="46" t="s">
        <v>53894</v>
      </c>
      <c r="C4876" s="58" t="str">
        <f>"19345798"</f>
        <v>19345798</v>
      </c>
      <c r="D4876" s="58" t="str">
        <f>"18784429"</f>
        <v>18784429</v>
      </c>
      <c r="E4876" s="46" t="s">
        <v>920</v>
      </c>
      <c r="F4876" s="46" t="s">
        <v>18001</v>
      </c>
      <c r="G4876" s="46" t="s">
        <v>50584</v>
      </c>
      <c r="H4876" s="48" t="s">
        <v>56716</v>
      </c>
      <c r="I4876" s="48" t="s">
        <v>50564</v>
      </c>
      <c r="J4876" s="48" t="s">
        <v>56716</v>
      </c>
      <c r="K4876" s="50"/>
      <c r="L4876" s="48" t="s">
        <v>56716</v>
      </c>
    </row>
    <row r="4877" spans="1:12" s="37" customFormat="1" ht="11.25" x14ac:dyDescent="0.2">
      <c r="A4877" s="46" t="s">
        <v>9901</v>
      </c>
      <c r="B4877" s="46" t="s">
        <v>53895</v>
      </c>
      <c r="C4877" s="58" t="str">
        <f>"09732179"</f>
        <v>09732179</v>
      </c>
      <c r="D4877" s="58" t="str">
        <f>"09732187"</f>
        <v>09732187</v>
      </c>
      <c r="E4877" s="46" t="s">
        <v>920</v>
      </c>
      <c r="F4877" s="46" t="s">
        <v>18001</v>
      </c>
      <c r="G4877" s="46" t="s">
        <v>50584</v>
      </c>
      <c r="H4877" s="48" t="s">
        <v>56716</v>
      </c>
      <c r="I4877" s="48" t="s">
        <v>50564</v>
      </c>
      <c r="J4877" s="48"/>
      <c r="K4877" s="50"/>
      <c r="L4877" s="48"/>
    </row>
    <row r="4878" spans="1:12" s="37" customFormat="1" ht="11.25" x14ac:dyDescent="0.2">
      <c r="A4878" s="45" t="s">
        <v>36838</v>
      </c>
      <c r="B4878" s="45" t="s">
        <v>36840</v>
      </c>
      <c r="C4878" s="51" t="s">
        <v>36842</v>
      </c>
      <c r="D4878" s="51" t="s">
        <v>36841</v>
      </c>
      <c r="E4878" s="45" t="s">
        <v>36843</v>
      </c>
      <c r="F4878" s="45" t="s">
        <v>33560</v>
      </c>
      <c r="G4878" s="45" t="s">
        <v>50584</v>
      </c>
      <c r="H4878" s="56"/>
      <c r="I4878" s="56" t="s">
        <v>50564</v>
      </c>
      <c r="J4878" s="56"/>
      <c r="K4878" s="50"/>
      <c r="L4878" s="56" t="s">
        <v>56716</v>
      </c>
    </row>
    <row r="4879" spans="1:12" s="37" customFormat="1" ht="11.25" x14ac:dyDescent="0.2">
      <c r="A4879" s="46" t="s">
        <v>12495</v>
      </c>
      <c r="B4879" s="46" t="s">
        <v>53896</v>
      </c>
      <c r="C4879" s="58" t="str">
        <f>"19907974"</f>
        <v>19907974</v>
      </c>
      <c r="D4879" s="58" t="str">
        <f>"19907982"</f>
        <v>19907982</v>
      </c>
      <c r="E4879" s="46" t="s">
        <v>12498</v>
      </c>
      <c r="F4879" s="46" t="s">
        <v>33560</v>
      </c>
      <c r="G4879" s="46" t="s">
        <v>50584</v>
      </c>
      <c r="H4879" s="48" t="s">
        <v>56716</v>
      </c>
      <c r="I4879" s="48" t="s">
        <v>50564</v>
      </c>
      <c r="J4879" s="48"/>
      <c r="K4879" s="50"/>
      <c r="L4879" s="48"/>
    </row>
    <row r="4880" spans="1:12" s="37" customFormat="1" ht="11.25" x14ac:dyDescent="0.2">
      <c r="A4880" s="46" t="s">
        <v>5321</v>
      </c>
      <c r="B4880" s="46" t="s">
        <v>53897</v>
      </c>
      <c r="C4880" s="58" t="str">
        <f>"11218428"</f>
        <v>11218428</v>
      </c>
      <c r="D4880" s="58" t="str">
        <f>"17246059"</f>
        <v>17246059</v>
      </c>
      <c r="E4880" s="46" t="s">
        <v>56305</v>
      </c>
      <c r="F4880" s="46" t="s">
        <v>17759</v>
      </c>
      <c r="G4880" s="46" t="s">
        <v>50584</v>
      </c>
      <c r="H4880" s="48" t="s">
        <v>56716</v>
      </c>
      <c r="I4880" s="48" t="s">
        <v>50564</v>
      </c>
      <c r="J4880" s="48"/>
      <c r="K4880" s="50"/>
      <c r="L4880" s="48" t="s">
        <v>56716</v>
      </c>
    </row>
    <row r="4881" spans="1:12" s="37" customFormat="1" ht="11.25" x14ac:dyDescent="0.2">
      <c r="A4881" s="46" t="s">
        <v>2488</v>
      </c>
      <c r="B4881" s="46" t="s">
        <v>53898</v>
      </c>
      <c r="C4881" s="58" t="str">
        <f>"00223018"</f>
        <v>00223018</v>
      </c>
      <c r="D4881" s="58" t="str">
        <f>"1539736X"</f>
        <v>1539736X</v>
      </c>
      <c r="E4881" s="46" t="s">
        <v>28</v>
      </c>
      <c r="F4881" s="46" t="s">
        <v>17759</v>
      </c>
      <c r="G4881" s="46" t="s">
        <v>50584</v>
      </c>
      <c r="H4881" s="48" t="s">
        <v>56716</v>
      </c>
      <c r="I4881" s="48" t="s">
        <v>50564</v>
      </c>
      <c r="J4881" s="48"/>
      <c r="K4881" s="50" t="s">
        <v>56716</v>
      </c>
      <c r="L4881" s="48" t="s">
        <v>56716</v>
      </c>
    </row>
    <row r="4882" spans="1:12" s="37" customFormat="1" ht="11.25" x14ac:dyDescent="0.2">
      <c r="A4882" s="46" t="s">
        <v>10220</v>
      </c>
      <c r="B4882" s="46" t="s">
        <v>53899</v>
      </c>
      <c r="C4882" s="58" t="str">
        <f>"17412560"</f>
        <v>17412560</v>
      </c>
      <c r="D4882" s="58" t="str">
        <f>"17412552"</f>
        <v>17412552</v>
      </c>
      <c r="E4882" s="46" t="s">
        <v>10223</v>
      </c>
      <c r="F4882" s="46" t="s">
        <v>50646</v>
      </c>
      <c r="G4882" s="46" t="s">
        <v>50584</v>
      </c>
      <c r="H4882" s="48" t="s">
        <v>56716</v>
      </c>
      <c r="I4882" s="48" t="s">
        <v>50564</v>
      </c>
      <c r="J4882" s="48" t="s">
        <v>56716</v>
      </c>
      <c r="K4882" s="50"/>
      <c r="L4882" s="48" t="s">
        <v>56716</v>
      </c>
    </row>
    <row r="4883" spans="1:12" s="37" customFormat="1" ht="11.25" x14ac:dyDescent="0.2">
      <c r="A4883" s="46" t="s">
        <v>7038</v>
      </c>
      <c r="B4883" s="46" t="s">
        <v>53900</v>
      </c>
      <c r="C4883" s="58" t="str">
        <f>"03009564"</f>
        <v>03009564</v>
      </c>
      <c r="D4883" s="58" t="str">
        <f>"14351463"</f>
        <v>14351463</v>
      </c>
      <c r="E4883" s="46" t="s">
        <v>55904</v>
      </c>
      <c r="F4883" s="46" t="s">
        <v>18288</v>
      </c>
      <c r="G4883" s="46" t="s">
        <v>50584</v>
      </c>
      <c r="H4883" s="48" t="s">
        <v>56716</v>
      </c>
      <c r="I4883" s="48" t="s">
        <v>50564</v>
      </c>
      <c r="J4883" s="48" t="s">
        <v>56716</v>
      </c>
      <c r="K4883" s="50" t="s">
        <v>56716</v>
      </c>
      <c r="L4883" s="48" t="s">
        <v>56716</v>
      </c>
    </row>
    <row r="4884" spans="1:12" s="37" customFormat="1" ht="11.25" x14ac:dyDescent="0.2">
      <c r="A4884" s="46" t="s">
        <v>5654</v>
      </c>
      <c r="B4884" s="46" t="s">
        <v>53901</v>
      </c>
      <c r="C4884" s="58" t="str">
        <f>"03036995"</f>
        <v>03036995</v>
      </c>
      <c r="D4884" s="58" t="str">
        <f>""</f>
        <v/>
      </c>
      <c r="E4884" s="46" t="s">
        <v>55904</v>
      </c>
      <c r="F4884" s="46" t="s">
        <v>18288</v>
      </c>
      <c r="G4884" s="46" t="s">
        <v>50584</v>
      </c>
      <c r="H4884" s="48" t="s">
        <v>56716</v>
      </c>
      <c r="I4884" s="48" t="s">
        <v>50565</v>
      </c>
      <c r="J4884" s="48" t="s">
        <v>56716</v>
      </c>
      <c r="K4884" s="50"/>
      <c r="L4884" s="48"/>
    </row>
    <row r="4885" spans="1:12" s="37" customFormat="1" ht="11.25" x14ac:dyDescent="0.2">
      <c r="A4885" s="46" t="s">
        <v>2599</v>
      </c>
      <c r="B4885" s="46" t="s">
        <v>53902</v>
      </c>
      <c r="C4885" s="58" t="str">
        <f>"00223042"</f>
        <v>00223042</v>
      </c>
      <c r="D4885" s="58" t="str">
        <f>"14714159"</f>
        <v>14714159</v>
      </c>
      <c r="E4885" s="46" t="s">
        <v>35</v>
      </c>
      <c r="F4885" s="46" t="s">
        <v>50646</v>
      </c>
      <c r="G4885" s="46" t="s">
        <v>50584</v>
      </c>
      <c r="H4885" s="48" t="s">
        <v>56716</v>
      </c>
      <c r="I4885" s="48" t="s">
        <v>50564</v>
      </c>
      <c r="J4885" s="48" t="s">
        <v>56716</v>
      </c>
      <c r="K4885" s="50" t="s">
        <v>56716</v>
      </c>
      <c r="L4885" s="48" t="s">
        <v>56716</v>
      </c>
    </row>
    <row r="4886" spans="1:12" s="37" customFormat="1" ht="11.25" x14ac:dyDescent="0.2">
      <c r="A4886" s="46" t="s">
        <v>15181</v>
      </c>
      <c r="B4886" s="46" t="s">
        <v>53903</v>
      </c>
      <c r="C4886" s="58" t="str">
        <f>"19321481"</f>
        <v>19321481</v>
      </c>
      <c r="D4886" s="58" t="str">
        <f>""</f>
        <v/>
      </c>
      <c r="E4886" s="46" t="s">
        <v>11924</v>
      </c>
      <c r="F4886" s="46" t="s">
        <v>17759</v>
      </c>
      <c r="G4886" s="46" t="s">
        <v>50584</v>
      </c>
      <c r="H4886" s="48" t="s">
        <v>56716</v>
      </c>
      <c r="I4886" s="48" t="s">
        <v>50564</v>
      </c>
      <c r="J4886" s="48"/>
      <c r="K4886" s="50"/>
      <c r="L4886" s="48"/>
    </row>
    <row r="4887" spans="1:12" s="37" customFormat="1" ht="11.25" x14ac:dyDescent="0.2">
      <c r="A4887" s="46" t="s">
        <v>17470</v>
      </c>
      <c r="B4887" s="46" t="s">
        <v>53904</v>
      </c>
      <c r="C4887" s="58" t="str">
        <f>"2090858X"</f>
        <v>2090858X</v>
      </c>
      <c r="D4887" s="58" t="str">
        <f>"20908601"</f>
        <v>20908601</v>
      </c>
      <c r="E4887" s="46" t="s">
        <v>1412</v>
      </c>
      <c r="F4887" s="46" t="s">
        <v>17759</v>
      </c>
      <c r="G4887" s="46" t="s">
        <v>50584</v>
      </c>
      <c r="H4887" s="48" t="s">
        <v>56716</v>
      </c>
      <c r="I4887" s="48" t="s">
        <v>50564</v>
      </c>
      <c r="J4887" s="48"/>
      <c r="K4887" s="50"/>
      <c r="L4887" s="48"/>
    </row>
    <row r="4888" spans="1:12" s="37" customFormat="1" ht="11.25" x14ac:dyDescent="0.2">
      <c r="A4888" s="46" t="s">
        <v>14664</v>
      </c>
      <c r="B4888" s="46" t="s">
        <v>53905</v>
      </c>
      <c r="C4888" s="58" t="str">
        <f>"18661947"</f>
        <v>18661947</v>
      </c>
      <c r="D4888" s="58" t="str">
        <f>"18661956"</f>
        <v>18661956</v>
      </c>
      <c r="E4888" s="46" t="s">
        <v>56305</v>
      </c>
      <c r="F4888" s="46" t="s">
        <v>17759</v>
      </c>
      <c r="G4888" s="46" t="s">
        <v>50584</v>
      </c>
      <c r="H4888" s="48" t="s">
        <v>56716</v>
      </c>
      <c r="I4888" s="48" t="s">
        <v>50564</v>
      </c>
      <c r="J4888" s="48" t="s">
        <v>56716</v>
      </c>
      <c r="K4888" s="50"/>
      <c r="L4888" s="48"/>
    </row>
    <row r="4889" spans="1:12" s="37" customFormat="1" ht="11.25" x14ac:dyDescent="0.2">
      <c r="A4889" s="46" t="s">
        <v>4919</v>
      </c>
      <c r="B4889" s="46" t="s">
        <v>53906</v>
      </c>
      <c r="C4889" s="58" t="str">
        <f>"09538194"</f>
        <v>09538194</v>
      </c>
      <c r="D4889" s="58" t="str">
        <f>"13652826"</f>
        <v>13652826</v>
      </c>
      <c r="E4889" s="46" t="s">
        <v>35</v>
      </c>
      <c r="F4889" s="46" t="s">
        <v>50646</v>
      </c>
      <c r="G4889" s="46" t="s">
        <v>50584</v>
      </c>
      <c r="H4889" s="48" t="s">
        <v>56716</v>
      </c>
      <c r="I4889" s="48" t="s">
        <v>50564</v>
      </c>
      <c r="J4889" s="48" t="s">
        <v>56716</v>
      </c>
      <c r="K4889" s="50"/>
      <c r="L4889" s="48" t="s">
        <v>56716</v>
      </c>
    </row>
    <row r="4890" spans="1:12" s="37" customFormat="1" ht="11.25" x14ac:dyDescent="0.2">
      <c r="A4890" s="46" t="s">
        <v>10675</v>
      </c>
      <c r="B4890" s="46" t="s">
        <v>53907</v>
      </c>
      <c r="C4890" s="58" t="str">
        <f>""</f>
        <v/>
      </c>
      <c r="D4890" s="58" t="str">
        <f>"17430003"</f>
        <v>17430003</v>
      </c>
      <c r="E4890" s="46" t="s">
        <v>2299</v>
      </c>
      <c r="F4890" s="46" t="s">
        <v>50646</v>
      </c>
      <c r="G4890" s="46" t="s">
        <v>50584</v>
      </c>
      <c r="H4890" s="48" t="s">
        <v>56716</v>
      </c>
      <c r="I4890" s="48" t="s">
        <v>50564</v>
      </c>
      <c r="J4890" s="48" t="s">
        <v>56716</v>
      </c>
      <c r="K4890" s="50" t="s">
        <v>56716</v>
      </c>
      <c r="L4890" s="48" t="s">
        <v>56716</v>
      </c>
    </row>
    <row r="4891" spans="1:12" s="37" customFormat="1" ht="11.25" x14ac:dyDescent="0.2">
      <c r="A4891" s="46" t="s">
        <v>15524</v>
      </c>
      <c r="B4891" s="46" t="s">
        <v>53908</v>
      </c>
      <c r="C4891" s="58" t="str">
        <f>"20930879"</f>
        <v>20930879</v>
      </c>
      <c r="D4891" s="58" t="str">
        <f>"20930887"</f>
        <v>20930887</v>
      </c>
      <c r="E4891" s="46" t="s">
        <v>15524</v>
      </c>
      <c r="F4891" s="46" t="s">
        <v>50649</v>
      </c>
      <c r="G4891" s="46" t="s">
        <v>50584</v>
      </c>
      <c r="H4891" s="48" t="s">
        <v>56716</v>
      </c>
      <c r="I4891" s="48" t="s">
        <v>50564</v>
      </c>
      <c r="J4891" s="48"/>
      <c r="K4891" s="50"/>
      <c r="L4891" s="48"/>
    </row>
    <row r="4892" spans="1:12" s="37" customFormat="1" ht="11.25" x14ac:dyDescent="0.2">
      <c r="A4892" s="46" t="s">
        <v>2417</v>
      </c>
      <c r="B4892" s="46" t="s">
        <v>53909</v>
      </c>
      <c r="C4892" s="58" t="str">
        <f>"01677063"</f>
        <v>01677063</v>
      </c>
      <c r="D4892" s="58" t="str">
        <f>"15635260"</f>
        <v>15635260</v>
      </c>
      <c r="E4892" s="46" t="s">
        <v>291</v>
      </c>
      <c r="F4892" s="46" t="s">
        <v>17759</v>
      </c>
      <c r="G4892" s="46" t="s">
        <v>50584</v>
      </c>
      <c r="H4892" s="48" t="s">
        <v>56716</v>
      </c>
      <c r="I4892" s="48" t="s">
        <v>50564</v>
      </c>
      <c r="J4892" s="48" t="s">
        <v>56716</v>
      </c>
      <c r="K4892" s="50"/>
      <c r="L4892" s="48" t="s">
        <v>56716</v>
      </c>
    </row>
    <row r="4893" spans="1:12" s="37" customFormat="1" ht="11.25" x14ac:dyDescent="0.2">
      <c r="A4893" s="46" t="s">
        <v>5464</v>
      </c>
      <c r="B4893" s="46" t="s">
        <v>53910</v>
      </c>
      <c r="C4893" s="58" t="str">
        <f>"10512284"</f>
        <v>10512284</v>
      </c>
      <c r="D4893" s="58" t="str">
        <f>"15526569"</f>
        <v>15526569</v>
      </c>
      <c r="E4893" s="46" t="s">
        <v>548</v>
      </c>
      <c r="F4893" s="46" t="s">
        <v>17759</v>
      </c>
      <c r="G4893" s="46" t="s">
        <v>50584</v>
      </c>
      <c r="H4893" s="48" t="s">
        <v>56716</v>
      </c>
      <c r="I4893" s="48" t="s">
        <v>50564</v>
      </c>
      <c r="J4893" s="48"/>
      <c r="K4893" s="50" t="s">
        <v>56716</v>
      </c>
      <c r="L4893" s="48" t="s">
        <v>56716</v>
      </c>
    </row>
    <row r="4894" spans="1:12" s="37" customFormat="1" ht="11.25" x14ac:dyDescent="0.2">
      <c r="A4894" s="46" t="s">
        <v>11477</v>
      </c>
      <c r="B4894" s="46" t="s">
        <v>53911</v>
      </c>
      <c r="C4894" s="58" t="str">
        <f>"15571890"</f>
        <v>15571890</v>
      </c>
      <c r="D4894" s="58" t="str">
        <f>"15571904"</f>
        <v>15571904</v>
      </c>
      <c r="E4894" s="46" t="s">
        <v>56305</v>
      </c>
      <c r="F4894" s="46" t="s">
        <v>17759</v>
      </c>
      <c r="G4894" s="46" t="s">
        <v>50584</v>
      </c>
      <c r="H4894" s="48" t="s">
        <v>56716</v>
      </c>
      <c r="I4894" s="48" t="s">
        <v>50564</v>
      </c>
      <c r="J4894" s="48" t="s">
        <v>56716</v>
      </c>
      <c r="K4894" s="50" t="s">
        <v>56716</v>
      </c>
      <c r="L4894" s="48" t="s">
        <v>56716</v>
      </c>
    </row>
    <row r="4895" spans="1:12" s="37" customFormat="1" ht="11.25" x14ac:dyDescent="0.2">
      <c r="A4895" s="46" t="s">
        <v>2512</v>
      </c>
      <c r="B4895" s="46" t="s">
        <v>53912</v>
      </c>
      <c r="C4895" s="58" t="str">
        <f>"01655728"</f>
        <v>01655728</v>
      </c>
      <c r="D4895" s="58" t="str">
        <f>"18728421"</f>
        <v>18728421</v>
      </c>
      <c r="E4895" s="46" t="s">
        <v>91</v>
      </c>
      <c r="F4895" s="46" t="s">
        <v>18001</v>
      </c>
      <c r="G4895" s="46" t="s">
        <v>50584</v>
      </c>
      <c r="H4895" s="48" t="s">
        <v>56716</v>
      </c>
      <c r="I4895" s="48" t="s">
        <v>50564</v>
      </c>
      <c r="J4895" s="48" t="s">
        <v>56716</v>
      </c>
      <c r="K4895" s="50"/>
      <c r="L4895" s="48" t="s">
        <v>56716</v>
      </c>
    </row>
    <row r="4896" spans="1:12" s="37" customFormat="1" ht="11.25" x14ac:dyDescent="0.2">
      <c r="A4896" s="46" t="s">
        <v>10268</v>
      </c>
      <c r="B4896" s="46" t="s">
        <v>53913</v>
      </c>
      <c r="C4896" s="58" t="str">
        <f>""</f>
        <v/>
      </c>
      <c r="D4896" s="58" t="str">
        <f>"17422094"</f>
        <v>17422094</v>
      </c>
      <c r="E4896" s="46" t="s">
        <v>2299</v>
      </c>
      <c r="F4896" s="46" t="s">
        <v>50646</v>
      </c>
      <c r="G4896" s="46" t="s">
        <v>50584</v>
      </c>
      <c r="H4896" s="48" t="s">
        <v>56716</v>
      </c>
      <c r="I4896" s="48" t="s">
        <v>50564</v>
      </c>
      <c r="J4896" s="48"/>
      <c r="K4896" s="50" t="s">
        <v>56716</v>
      </c>
      <c r="L4896" s="48" t="s">
        <v>56716</v>
      </c>
    </row>
    <row r="4897" spans="1:12" s="37" customFormat="1" ht="11.25" x14ac:dyDescent="0.2">
      <c r="A4897" s="46" t="s">
        <v>14985</v>
      </c>
      <c r="B4897" s="46" t="s">
        <v>53914</v>
      </c>
      <c r="C4897" s="58" t="str">
        <f>"17598478"</f>
        <v>17598478</v>
      </c>
      <c r="D4897" s="58" t="str">
        <f>"17598486"</f>
        <v>17598486</v>
      </c>
      <c r="E4897" s="46" t="s">
        <v>159</v>
      </c>
      <c r="F4897" s="46" t="s">
        <v>50646</v>
      </c>
      <c r="G4897" s="46" t="s">
        <v>50584</v>
      </c>
      <c r="H4897" s="48" t="s">
        <v>56716</v>
      </c>
      <c r="I4897" s="48" t="s">
        <v>50564</v>
      </c>
      <c r="J4897" s="48" t="s">
        <v>56716</v>
      </c>
      <c r="K4897" s="50"/>
      <c r="L4897" s="48" t="s">
        <v>56716</v>
      </c>
    </row>
    <row r="4898" spans="1:12" s="37" customFormat="1" ht="11.25" x14ac:dyDescent="0.2">
      <c r="A4898" s="46" t="s">
        <v>9141</v>
      </c>
      <c r="B4898" s="46" t="s">
        <v>53915</v>
      </c>
      <c r="C4898" s="58" t="str">
        <f>"09116044"</f>
        <v>09116044</v>
      </c>
      <c r="D4898" s="58" t="str">
        <f>"18738052"</f>
        <v>18738052</v>
      </c>
      <c r="E4898" s="46" t="s">
        <v>155</v>
      </c>
      <c r="F4898" s="46" t="s">
        <v>50646</v>
      </c>
      <c r="G4898" s="46" t="s">
        <v>50584</v>
      </c>
      <c r="H4898" s="48" t="s">
        <v>56716</v>
      </c>
      <c r="I4898" s="48" t="s">
        <v>50564</v>
      </c>
      <c r="J4898" s="48" t="s">
        <v>56716</v>
      </c>
      <c r="K4898" s="50"/>
      <c r="L4898" s="48"/>
    </row>
    <row r="4899" spans="1:12" s="37" customFormat="1" ht="11.25" x14ac:dyDescent="0.2">
      <c r="A4899" s="45" t="s">
        <v>36918</v>
      </c>
      <c r="B4899" s="45" t="s">
        <v>36920</v>
      </c>
      <c r="C4899" s="51" t="s">
        <v>36923</v>
      </c>
      <c r="D4899" s="51" t="s">
        <v>36922</v>
      </c>
      <c r="E4899" s="45" t="s">
        <v>36924</v>
      </c>
      <c r="F4899" s="45" t="s">
        <v>17759</v>
      </c>
      <c r="G4899" s="45" t="s">
        <v>50584</v>
      </c>
      <c r="H4899" s="56"/>
      <c r="I4899" s="56" t="s">
        <v>50564</v>
      </c>
      <c r="J4899" s="56"/>
      <c r="K4899" s="50"/>
      <c r="L4899" s="56" t="s">
        <v>56716</v>
      </c>
    </row>
    <row r="4900" spans="1:12" s="37" customFormat="1" ht="11.25" x14ac:dyDescent="0.2">
      <c r="A4900" s="46" t="s">
        <v>11912</v>
      </c>
      <c r="B4900" s="46" t="s">
        <v>53916</v>
      </c>
      <c r="C4900" s="58" t="str">
        <f>"13001817"</f>
        <v>13001817</v>
      </c>
      <c r="D4900" s="58" t="str">
        <f>"13021664"</f>
        <v>13021664</v>
      </c>
      <c r="E4900" s="46" t="s">
        <v>11915</v>
      </c>
      <c r="F4900" s="46" t="s">
        <v>18396</v>
      </c>
      <c r="G4900" s="46" t="s">
        <v>50637</v>
      </c>
      <c r="H4900" s="48" t="s">
        <v>56716</v>
      </c>
      <c r="I4900" s="48" t="s">
        <v>50564</v>
      </c>
      <c r="J4900" s="48"/>
      <c r="K4900" s="50"/>
      <c r="L4900" s="48"/>
    </row>
    <row r="4901" spans="1:12" s="37" customFormat="1" ht="11.25" x14ac:dyDescent="0.2">
      <c r="A4901" s="46" t="s">
        <v>17584</v>
      </c>
      <c r="B4901" s="46" t="s">
        <v>53917</v>
      </c>
      <c r="C4901" s="58" t="str">
        <f>"21936358"</f>
        <v>21936358</v>
      </c>
      <c r="D4901" s="58" t="str">
        <f>"21936366"</f>
        <v>21936366</v>
      </c>
      <c r="E4901" s="46" t="s">
        <v>371</v>
      </c>
      <c r="F4901" s="46" t="s">
        <v>17759</v>
      </c>
      <c r="G4901" s="46" t="s">
        <v>50584</v>
      </c>
      <c r="H4901" s="48" t="s">
        <v>56716</v>
      </c>
      <c r="I4901" s="48" t="s">
        <v>50564</v>
      </c>
      <c r="J4901" s="48" t="s">
        <v>56716</v>
      </c>
      <c r="K4901" s="50" t="s">
        <v>56716</v>
      </c>
      <c r="L4901" s="48"/>
    </row>
    <row r="4902" spans="1:12" s="37" customFormat="1" ht="11.25" x14ac:dyDescent="0.2">
      <c r="A4902" s="46" t="s">
        <v>17066</v>
      </c>
      <c r="B4902" s="46" t="s">
        <v>55854</v>
      </c>
      <c r="C4902" s="58" t="str">
        <f>"21936315"</f>
        <v>21936315</v>
      </c>
      <c r="D4902" s="58" t="str">
        <f>"21936323"</f>
        <v>21936323</v>
      </c>
      <c r="E4902" s="46" t="s">
        <v>412</v>
      </c>
      <c r="F4902" s="46" t="s">
        <v>18158</v>
      </c>
      <c r="G4902" s="46" t="s">
        <v>50593</v>
      </c>
      <c r="H4902" s="48" t="s">
        <v>56716</v>
      </c>
      <c r="I4902" s="48" t="s">
        <v>50564</v>
      </c>
      <c r="J4902" s="48"/>
      <c r="K4902" s="50" t="s">
        <v>56716</v>
      </c>
      <c r="L4902" s="48" t="s">
        <v>56716</v>
      </c>
    </row>
    <row r="4903" spans="1:12" s="37" customFormat="1" ht="11.25" x14ac:dyDescent="0.2">
      <c r="A4903" s="46" t="s">
        <v>17069</v>
      </c>
      <c r="B4903" s="46" t="s">
        <v>55855</v>
      </c>
      <c r="C4903" s="58" t="str">
        <f>"2193634X"</f>
        <v>2193634X</v>
      </c>
      <c r="D4903" s="58" t="str">
        <f>"21936331"</f>
        <v>21936331</v>
      </c>
      <c r="E4903" s="46" t="s">
        <v>371</v>
      </c>
      <c r="F4903" s="46" t="s">
        <v>17759</v>
      </c>
      <c r="G4903" s="46" t="s">
        <v>50584</v>
      </c>
      <c r="H4903" s="48" t="s">
        <v>56716</v>
      </c>
      <c r="I4903" s="48" t="s">
        <v>50564</v>
      </c>
      <c r="J4903" s="48" t="s">
        <v>56716</v>
      </c>
      <c r="K4903" s="50"/>
      <c r="L4903" s="48"/>
    </row>
    <row r="4904" spans="1:12" s="37" customFormat="1" ht="11.25" x14ac:dyDescent="0.2">
      <c r="A4904" s="46" t="s">
        <v>2519</v>
      </c>
      <c r="B4904" s="46" t="s">
        <v>53918</v>
      </c>
      <c r="C4904" s="58" t="str">
        <f>"03405354"</f>
        <v>03405354</v>
      </c>
      <c r="D4904" s="58" t="str">
        <f>"14321459"</f>
        <v>14321459</v>
      </c>
      <c r="E4904" s="46" t="s">
        <v>55961</v>
      </c>
      <c r="F4904" s="46" t="s">
        <v>18158</v>
      </c>
      <c r="G4904" s="46" t="s">
        <v>50584</v>
      </c>
      <c r="H4904" s="48" t="s">
        <v>56716</v>
      </c>
      <c r="I4904" s="48" t="s">
        <v>50564</v>
      </c>
      <c r="J4904" s="48" t="s">
        <v>56716</v>
      </c>
      <c r="K4904" s="50" t="s">
        <v>56716</v>
      </c>
      <c r="L4904" s="48" t="s">
        <v>56716</v>
      </c>
    </row>
    <row r="4905" spans="1:12" s="37" customFormat="1" ht="11.25" x14ac:dyDescent="0.2">
      <c r="A4905" s="46" t="s">
        <v>2500</v>
      </c>
      <c r="B4905" s="46" t="s">
        <v>53919</v>
      </c>
      <c r="C4905" s="58" t="str">
        <f>"00223050"</f>
        <v>00223050</v>
      </c>
      <c r="D4905" s="58" t="str">
        <f>"1468330X"</f>
        <v>1468330X</v>
      </c>
      <c r="E4905" s="46" t="s">
        <v>159</v>
      </c>
      <c r="F4905" s="46" t="s">
        <v>50646</v>
      </c>
      <c r="G4905" s="46" t="s">
        <v>50584</v>
      </c>
      <c r="H4905" s="48" t="s">
        <v>56716</v>
      </c>
      <c r="I4905" s="48" t="s">
        <v>50564</v>
      </c>
      <c r="J4905" s="48" t="s">
        <v>56716</v>
      </c>
      <c r="K4905" s="50" t="s">
        <v>56716</v>
      </c>
      <c r="L4905" s="48" t="s">
        <v>56716</v>
      </c>
    </row>
    <row r="4906" spans="1:12" s="37" customFormat="1" ht="11.25" x14ac:dyDescent="0.2">
      <c r="A4906" s="46" t="s">
        <v>2503</v>
      </c>
      <c r="B4906" s="46" t="s">
        <v>53920</v>
      </c>
      <c r="C4906" s="58" t="str">
        <f>"0167594X"</f>
        <v>0167594X</v>
      </c>
      <c r="D4906" s="58" t="str">
        <f>"15737373"</f>
        <v>15737373</v>
      </c>
      <c r="E4906" s="46" t="s">
        <v>56305</v>
      </c>
      <c r="F4906" s="46" t="s">
        <v>17759</v>
      </c>
      <c r="G4906" s="46" t="s">
        <v>50584</v>
      </c>
      <c r="H4906" s="48" t="s">
        <v>56716</v>
      </c>
      <c r="I4906" s="48" t="s">
        <v>50564</v>
      </c>
      <c r="J4906" s="48"/>
      <c r="K4906" s="50" t="s">
        <v>56716</v>
      </c>
      <c r="L4906" s="48" t="s">
        <v>56716</v>
      </c>
    </row>
    <row r="4907" spans="1:12" s="37" customFormat="1" ht="11.25" x14ac:dyDescent="0.2">
      <c r="A4907" s="46" t="s">
        <v>6189</v>
      </c>
      <c r="B4907" s="46" t="s">
        <v>53921</v>
      </c>
      <c r="C4907" s="58" t="str">
        <f>"10708022"</f>
        <v>10708022</v>
      </c>
      <c r="D4907" s="58" t="str">
        <f>"15365166"</f>
        <v>15365166</v>
      </c>
      <c r="E4907" s="46" t="s">
        <v>28</v>
      </c>
      <c r="F4907" s="46" t="s">
        <v>17759</v>
      </c>
      <c r="G4907" s="46" t="s">
        <v>50584</v>
      </c>
      <c r="H4907" s="48" t="s">
        <v>56716</v>
      </c>
      <c r="I4907" s="48" t="s">
        <v>50564</v>
      </c>
      <c r="J4907" s="48" t="s">
        <v>56716</v>
      </c>
      <c r="K4907" s="50" t="s">
        <v>56716</v>
      </c>
      <c r="L4907" s="48" t="s">
        <v>56716</v>
      </c>
    </row>
    <row r="4908" spans="1:12" s="37" customFormat="1" ht="11.25" x14ac:dyDescent="0.2">
      <c r="A4908" s="46" t="s">
        <v>2479</v>
      </c>
      <c r="B4908" s="46" t="s">
        <v>53922</v>
      </c>
      <c r="C4908" s="58" t="str">
        <f>"00223069"</f>
        <v>00223069</v>
      </c>
      <c r="D4908" s="58" t="str">
        <f>"15546578"</f>
        <v>15546578</v>
      </c>
      <c r="E4908" s="46" t="s">
        <v>28</v>
      </c>
      <c r="F4908" s="46" t="s">
        <v>17759</v>
      </c>
      <c r="G4908" s="46" t="s">
        <v>50584</v>
      </c>
      <c r="H4908" s="48" t="s">
        <v>56716</v>
      </c>
      <c r="I4908" s="48" t="s">
        <v>50564</v>
      </c>
      <c r="J4908" s="48" t="s">
        <v>56716</v>
      </c>
      <c r="K4908" s="50"/>
      <c r="L4908" s="48" t="s">
        <v>56716</v>
      </c>
    </row>
    <row r="4909" spans="1:12" s="37" customFormat="1" ht="11.25" x14ac:dyDescent="0.2">
      <c r="A4909" s="46" t="s">
        <v>2596</v>
      </c>
      <c r="B4909" s="46" t="s">
        <v>53923</v>
      </c>
      <c r="C4909" s="58" t="str">
        <f>"00223077"</f>
        <v>00223077</v>
      </c>
      <c r="D4909" s="58" t="str">
        <f>"15221598"</f>
        <v>15221598</v>
      </c>
      <c r="E4909" s="46" t="s">
        <v>367</v>
      </c>
      <c r="F4909" s="46" t="s">
        <v>17759</v>
      </c>
      <c r="G4909" s="46" t="s">
        <v>50584</v>
      </c>
      <c r="H4909" s="48" t="s">
        <v>56716</v>
      </c>
      <c r="I4909" s="48" t="s">
        <v>50564</v>
      </c>
      <c r="J4909" s="48" t="s">
        <v>56716</v>
      </c>
      <c r="K4909" s="50"/>
      <c r="L4909" s="48" t="s">
        <v>56716</v>
      </c>
    </row>
    <row r="4910" spans="1:12" s="37" customFormat="1" ht="11.25" x14ac:dyDescent="0.2">
      <c r="A4910" s="46" t="s">
        <v>4936</v>
      </c>
      <c r="B4910" s="46" t="s">
        <v>53924</v>
      </c>
      <c r="C4910" s="58" t="str">
        <f>"08950172"</f>
        <v>08950172</v>
      </c>
      <c r="D4910" s="58" t="str">
        <f>"15457222"</f>
        <v>15457222</v>
      </c>
      <c r="E4910" s="46" t="s">
        <v>394</v>
      </c>
      <c r="F4910" s="46" t="s">
        <v>17759</v>
      </c>
      <c r="G4910" s="46" t="s">
        <v>50584</v>
      </c>
      <c r="H4910" s="48" t="s">
        <v>56716</v>
      </c>
      <c r="I4910" s="48" t="s">
        <v>50564</v>
      </c>
      <c r="J4910" s="48" t="s">
        <v>56716</v>
      </c>
      <c r="K4910" s="50"/>
      <c r="L4910" s="48" t="s">
        <v>56716</v>
      </c>
    </row>
    <row r="4911" spans="1:12" s="37" customFormat="1" ht="11.25" x14ac:dyDescent="0.2">
      <c r="A4911" s="45" t="s">
        <v>36968</v>
      </c>
      <c r="B4911" s="45" t="s">
        <v>36970</v>
      </c>
      <c r="C4911" s="51" t="s">
        <v>36972</v>
      </c>
      <c r="D4911" s="51" t="s">
        <v>36971</v>
      </c>
      <c r="E4911" s="45" t="s">
        <v>970</v>
      </c>
      <c r="F4911" s="45" t="s">
        <v>50646</v>
      </c>
      <c r="G4911" s="45" t="s">
        <v>50584</v>
      </c>
      <c r="H4911" s="56"/>
      <c r="I4911" s="56" t="s">
        <v>50564</v>
      </c>
      <c r="J4911" s="56"/>
      <c r="K4911" s="50"/>
      <c r="L4911" s="56" t="s">
        <v>56716</v>
      </c>
    </row>
    <row r="4912" spans="1:12" s="37" customFormat="1" ht="11.25" x14ac:dyDescent="0.2">
      <c r="A4912" s="46" t="s">
        <v>2482</v>
      </c>
      <c r="B4912" s="46" t="s">
        <v>53925</v>
      </c>
      <c r="C4912" s="58" t="str">
        <f>"01509861"</f>
        <v>01509861</v>
      </c>
      <c r="D4912" s="58" t="str">
        <f>"17730406"</f>
        <v>17730406</v>
      </c>
      <c r="E4912" s="46" t="s">
        <v>85</v>
      </c>
      <c r="F4912" s="46" t="s">
        <v>20359</v>
      </c>
      <c r="G4912" s="46" t="s">
        <v>50590</v>
      </c>
      <c r="H4912" s="48" t="s">
        <v>56716</v>
      </c>
      <c r="I4912" s="48" t="s">
        <v>50564</v>
      </c>
      <c r="J4912" s="48"/>
      <c r="K4912" s="50" t="s">
        <v>56716</v>
      </c>
      <c r="L4912" s="48" t="s">
        <v>56716</v>
      </c>
    </row>
    <row r="4913" spans="1:12" s="37" customFormat="1" ht="11.25" x14ac:dyDescent="0.2">
      <c r="A4913" s="46" t="s">
        <v>2515</v>
      </c>
      <c r="B4913" s="46" t="s">
        <v>53926</v>
      </c>
      <c r="C4913" s="58" t="str">
        <f>"02706474"</f>
        <v>02706474</v>
      </c>
      <c r="D4913" s="58" t="str">
        <f>"15292401"</f>
        <v>15292401</v>
      </c>
      <c r="E4913" s="46" t="s">
        <v>2518</v>
      </c>
      <c r="F4913" s="46" t="s">
        <v>17759</v>
      </c>
      <c r="G4913" s="46" t="s">
        <v>50584</v>
      </c>
      <c r="H4913" s="48" t="s">
        <v>56716</v>
      </c>
      <c r="I4913" s="48" t="s">
        <v>50564</v>
      </c>
      <c r="J4913" s="48" t="s">
        <v>56716</v>
      </c>
      <c r="K4913" s="50"/>
      <c r="L4913" s="48" t="s">
        <v>56716</v>
      </c>
    </row>
    <row r="4914" spans="1:12" s="37" customFormat="1" ht="11.25" x14ac:dyDescent="0.2">
      <c r="A4914" s="46" t="s">
        <v>17410</v>
      </c>
      <c r="B4914" s="46" t="s">
        <v>53927</v>
      </c>
      <c r="C4914" s="58" t="str">
        <f>"21682011"</f>
        <v>21682011</v>
      </c>
      <c r="D4914" s="58" t="str">
        <f>"2168202X"</f>
        <v>2168202X</v>
      </c>
      <c r="E4914" s="46" t="s">
        <v>11896</v>
      </c>
      <c r="F4914" s="46" t="s">
        <v>17759</v>
      </c>
      <c r="G4914" s="46" t="s">
        <v>50584</v>
      </c>
      <c r="H4914" s="48" t="s">
        <v>56716</v>
      </c>
      <c r="I4914" s="48" t="s">
        <v>50564</v>
      </c>
      <c r="J4914" s="48"/>
      <c r="K4914" s="50"/>
      <c r="L4914" s="48"/>
    </row>
    <row r="4915" spans="1:12" s="37" customFormat="1" ht="11.25" x14ac:dyDescent="0.2">
      <c r="A4915" s="46" t="s">
        <v>2495</v>
      </c>
      <c r="B4915" s="46" t="s">
        <v>53928</v>
      </c>
      <c r="C4915" s="58" t="str">
        <f>"01650270"</f>
        <v>01650270</v>
      </c>
      <c r="D4915" s="58" t="str">
        <f>"1872678X"</f>
        <v>1872678X</v>
      </c>
      <c r="E4915" s="46" t="s">
        <v>91</v>
      </c>
      <c r="F4915" s="46" t="s">
        <v>18001</v>
      </c>
      <c r="G4915" s="46" t="s">
        <v>50584</v>
      </c>
      <c r="H4915" s="48" t="s">
        <v>56716</v>
      </c>
      <c r="I4915" s="48" t="s">
        <v>50564</v>
      </c>
      <c r="J4915" s="48" t="s">
        <v>56716</v>
      </c>
      <c r="K4915" s="50" t="s">
        <v>56716</v>
      </c>
      <c r="L4915" s="48" t="s">
        <v>56716</v>
      </c>
    </row>
    <row r="4916" spans="1:12" s="37" customFormat="1" ht="11.25" x14ac:dyDescent="0.2">
      <c r="A4916" s="46" t="s">
        <v>2509</v>
      </c>
      <c r="B4916" s="46" t="s">
        <v>53929</v>
      </c>
      <c r="C4916" s="58" t="str">
        <f>"03604012"</f>
        <v>03604012</v>
      </c>
      <c r="D4916" s="58" t="str">
        <f>"10974547"</f>
        <v>10974547</v>
      </c>
      <c r="E4916" s="46" t="s">
        <v>517</v>
      </c>
      <c r="F4916" s="46" t="s">
        <v>17759</v>
      </c>
      <c r="G4916" s="46" t="s">
        <v>50584</v>
      </c>
      <c r="H4916" s="48" t="s">
        <v>56716</v>
      </c>
      <c r="I4916" s="48" t="s">
        <v>50564</v>
      </c>
      <c r="J4916" s="48" t="s">
        <v>56716</v>
      </c>
      <c r="K4916" s="50" t="s">
        <v>56716</v>
      </c>
      <c r="L4916" s="48" t="s">
        <v>56716</v>
      </c>
    </row>
    <row r="4917" spans="1:12" s="37" customFormat="1" ht="11.25" x14ac:dyDescent="0.2">
      <c r="A4917" s="46" t="s">
        <v>14340</v>
      </c>
      <c r="B4917" s="46" t="s">
        <v>53930</v>
      </c>
      <c r="C4917" s="58" t="str">
        <f>"1937321X"</f>
        <v>1937321X</v>
      </c>
      <c r="D4917" s="58" t="str">
        <f>"2151318X"</f>
        <v>2151318X</v>
      </c>
      <c r="E4917" s="46" t="s">
        <v>356</v>
      </c>
      <c r="F4917" s="46" t="s">
        <v>17759</v>
      </c>
      <c r="G4917" s="46" t="s">
        <v>50584</v>
      </c>
      <c r="H4917" s="48" t="s">
        <v>56716</v>
      </c>
      <c r="I4917" s="48" t="s">
        <v>50564</v>
      </c>
      <c r="J4917" s="48" t="s">
        <v>56716</v>
      </c>
      <c r="K4917" s="50" t="s">
        <v>56716</v>
      </c>
      <c r="L4917" s="48"/>
    </row>
    <row r="4918" spans="1:12" s="37" customFormat="1" ht="11.25" x14ac:dyDescent="0.2">
      <c r="A4918" s="46" t="s">
        <v>14886</v>
      </c>
      <c r="B4918" s="46" t="s">
        <v>53931</v>
      </c>
      <c r="C4918" s="58" t="str">
        <f>"09763147"</f>
        <v>09763147</v>
      </c>
      <c r="D4918" s="58" t="str">
        <f>"09763155"</f>
        <v>09763155</v>
      </c>
      <c r="E4918" s="46" t="s">
        <v>19057</v>
      </c>
      <c r="F4918" s="46" t="s">
        <v>20446</v>
      </c>
      <c r="G4918" s="46" t="s">
        <v>50584</v>
      </c>
      <c r="H4918" s="48" t="s">
        <v>56716</v>
      </c>
      <c r="I4918" s="48" t="s">
        <v>50564</v>
      </c>
      <c r="J4918" s="48" t="s">
        <v>56716</v>
      </c>
      <c r="K4918" s="50"/>
      <c r="L4918" s="48"/>
    </row>
    <row r="4919" spans="1:12" s="37" customFormat="1" ht="11.25" x14ac:dyDescent="0.2">
      <c r="A4919" s="46" t="s">
        <v>2602</v>
      </c>
      <c r="B4919" s="46" t="s">
        <v>53932</v>
      </c>
      <c r="C4919" s="58" t="str">
        <f>"00223085"</f>
        <v>00223085</v>
      </c>
      <c r="D4919" s="58" t="str">
        <f>"19330693"</f>
        <v>19330693</v>
      </c>
      <c r="E4919" s="46" t="s">
        <v>2605</v>
      </c>
      <c r="F4919" s="46" t="s">
        <v>17759</v>
      </c>
      <c r="G4919" s="46" t="s">
        <v>50584</v>
      </c>
      <c r="H4919" s="48" t="s">
        <v>56716</v>
      </c>
      <c r="I4919" s="48" t="s">
        <v>50564</v>
      </c>
      <c r="J4919" s="48" t="s">
        <v>56716</v>
      </c>
      <c r="K4919" s="50"/>
      <c r="L4919" s="48" t="s">
        <v>56716</v>
      </c>
    </row>
    <row r="4920" spans="1:12" s="37" customFormat="1" ht="11.25" x14ac:dyDescent="0.2">
      <c r="A4920" s="46" t="s">
        <v>12687</v>
      </c>
      <c r="B4920" s="46" t="s">
        <v>56314</v>
      </c>
      <c r="C4920" s="58" t="str">
        <f>"19330707"</f>
        <v>19330707</v>
      </c>
      <c r="D4920" s="58" t="str">
        <f>"19330715"</f>
        <v>19330715</v>
      </c>
      <c r="E4920" s="46" t="s">
        <v>2605</v>
      </c>
      <c r="F4920" s="46" t="s">
        <v>17759</v>
      </c>
      <c r="G4920" s="46" t="s">
        <v>50584</v>
      </c>
      <c r="H4920" s="48" t="s">
        <v>56716</v>
      </c>
      <c r="I4920" s="48" t="s">
        <v>50564</v>
      </c>
      <c r="J4920" s="48" t="s">
        <v>56716</v>
      </c>
      <c r="K4920" s="50"/>
      <c r="L4920" s="48" t="s">
        <v>56716</v>
      </c>
    </row>
    <row r="4921" spans="1:12" s="37" customFormat="1" ht="11.25" x14ac:dyDescent="0.2">
      <c r="A4921" s="46" t="s">
        <v>11657</v>
      </c>
      <c r="B4921" s="46" t="s">
        <v>53933</v>
      </c>
      <c r="C4921" s="58" t="str">
        <f>"15475654"</f>
        <v>15475654</v>
      </c>
      <c r="D4921" s="58" t="str">
        <f>"15475646"</f>
        <v>15475646</v>
      </c>
      <c r="E4921" s="46" t="s">
        <v>2605</v>
      </c>
      <c r="F4921" s="46" t="s">
        <v>17759</v>
      </c>
      <c r="G4921" s="46" t="s">
        <v>50584</v>
      </c>
      <c r="H4921" s="48" t="s">
        <v>56716</v>
      </c>
      <c r="I4921" s="48" t="s">
        <v>50564</v>
      </c>
      <c r="J4921" s="48"/>
      <c r="K4921" s="50"/>
      <c r="L4921" s="48" t="s">
        <v>56716</v>
      </c>
    </row>
    <row r="4922" spans="1:12" s="37" customFormat="1" ht="11.25" x14ac:dyDescent="0.2">
      <c r="A4922" s="46" t="s">
        <v>4712</v>
      </c>
      <c r="B4922" s="46" t="s">
        <v>53934</v>
      </c>
      <c r="C4922" s="58" t="str">
        <f>"08984921"</f>
        <v>08984921</v>
      </c>
      <c r="D4922" s="58" t="str">
        <f>"15371921"</f>
        <v>15371921</v>
      </c>
      <c r="E4922" s="46" t="s">
        <v>28</v>
      </c>
      <c r="F4922" s="46" t="s">
        <v>17759</v>
      </c>
      <c r="G4922" s="46" t="s">
        <v>50584</v>
      </c>
      <c r="H4922" s="48" t="s">
        <v>56716</v>
      </c>
      <c r="I4922" s="48" t="s">
        <v>50564</v>
      </c>
      <c r="J4922" s="48" t="s">
        <v>56716</v>
      </c>
      <c r="K4922" s="50" t="s">
        <v>56716</v>
      </c>
      <c r="L4922" s="48" t="s">
        <v>56716</v>
      </c>
    </row>
    <row r="4923" spans="1:12" s="37" customFormat="1" ht="11.25" x14ac:dyDescent="0.2">
      <c r="A4923" s="46" t="s">
        <v>2525</v>
      </c>
      <c r="B4923" s="46" t="s">
        <v>53935</v>
      </c>
      <c r="C4923" s="58" t="str">
        <f>"03905616"</f>
        <v>03905616</v>
      </c>
      <c r="D4923" s="58" t="str">
        <f>"18271855"</f>
        <v>18271855</v>
      </c>
      <c r="E4923" s="46" t="s">
        <v>1708</v>
      </c>
      <c r="F4923" s="46" t="s">
        <v>17991</v>
      </c>
      <c r="G4923" s="46" t="s">
        <v>50584</v>
      </c>
      <c r="H4923" s="48" t="s">
        <v>56716</v>
      </c>
      <c r="I4923" s="48" t="s">
        <v>50564</v>
      </c>
      <c r="J4923" s="48"/>
      <c r="K4923" s="50"/>
      <c r="L4923" s="48" t="s">
        <v>56716</v>
      </c>
    </row>
    <row r="4924" spans="1:12" s="37" customFormat="1" ht="11.25" x14ac:dyDescent="0.2">
      <c r="A4924" s="46" t="s">
        <v>4738</v>
      </c>
      <c r="B4924" s="46" t="s">
        <v>53936</v>
      </c>
      <c r="C4924" s="58" t="str">
        <f>"08977151"</f>
        <v>08977151</v>
      </c>
      <c r="D4924" s="58" t="str">
        <f>"15579042"</f>
        <v>15579042</v>
      </c>
      <c r="E4924" s="46" t="s">
        <v>4337</v>
      </c>
      <c r="F4924" s="46" t="s">
        <v>17759</v>
      </c>
      <c r="G4924" s="46" t="s">
        <v>50584</v>
      </c>
      <c r="H4924" s="48" t="s">
        <v>56716</v>
      </c>
      <c r="I4924" s="48" t="s">
        <v>50564</v>
      </c>
      <c r="J4924" s="48"/>
      <c r="K4924" s="50"/>
      <c r="L4924" s="48" t="s">
        <v>56716</v>
      </c>
    </row>
    <row r="4925" spans="1:12" s="37" customFormat="1" ht="11.25" x14ac:dyDescent="0.2">
      <c r="A4925" s="46" t="s">
        <v>6678</v>
      </c>
      <c r="B4925" s="46" t="s">
        <v>53937</v>
      </c>
      <c r="C4925" s="58" t="str">
        <f>"13550284"</f>
        <v>13550284</v>
      </c>
      <c r="D4925" s="58" t="str">
        <f>"15382443"</f>
        <v>15382443</v>
      </c>
      <c r="E4925" s="46" t="s">
        <v>56305</v>
      </c>
      <c r="F4925" s="46" t="s">
        <v>17759</v>
      </c>
      <c r="G4925" s="46" t="s">
        <v>50584</v>
      </c>
      <c r="H4925" s="48" t="s">
        <v>56716</v>
      </c>
      <c r="I4925" s="48" t="s">
        <v>50564</v>
      </c>
      <c r="J4925" s="48" t="s">
        <v>56716</v>
      </c>
      <c r="K4925" s="50" t="s">
        <v>56716</v>
      </c>
      <c r="L4925" s="48" t="s">
        <v>56716</v>
      </c>
    </row>
    <row r="4926" spans="1:12" s="37" customFormat="1" ht="11.25" x14ac:dyDescent="0.2">
      <c r="A4926" s="46" t="s">
        <v>4509</v>
      </c>
      <c r="B4926" s="46" t="s">
        <v>53938</v>
      </c>
      <c r="C4926" s="58" t="str">
        <f>"13454676"</f>
        <v>13454676</v>
      </c>
      <c r="D4926" s="58" t="str">
        <f>"13473409"</f>
        <v>13473409</v>
      </c>
      <c r="E4926" s="46" t="s">
        <v>4512</v>
      </c>
      <c r="F4926" s="46" t="s">
        <v>18242</v>
      </c>
      <c r="G4926" s="46" t="s">
        <v>50604</v>
      </c>
      <c r="H4926" s="48" t="s">
        <v>56716</v>
      </c>
      <c r="I4926" s="48" t="s">
        <v>50564</v>
      </c>
      <c r="J4926" s="48"/>
      <c r="K4926" s="50"/>
      <c r="L4926" s="48" t="s">
        <v>56716</v>
      </c>
    </row>
    <row r="4927" spans="1:12" s="37" customFormat="1" ht="11.25" x14ac:dyDescent="0.2">
      <c r="A4927" s="46" t="s">
        <v>6143</v>
      </c>
      <c r="B4927" s="46" t="s">
        <v>53939</v>
      </c>
      <c r="C4927" s="58" t="str">
        <f>"10713581"</f>
        <v>10713581</v>
      </c>
      <c r="D4927" s="58" t="str">
        <f>"15326551"</f>
        <v>15326551</v>
      </c>
      <c r="E4927" s="46" t="s">
        <v>56305</v>
      </c>
      <c r="F4927" s="46" t="s">
        <v>17759</v>
      </c>
      <c r="G4927" s="46" t="s">
        <v>50584</v>
      </c>
      <c r="H4927" s="48" t="s">
        <v>56716</v>
      </c>
      <c r="I4927" s="48" t="s">
        <v>50564</v>
      </c>
      <c r="J4927" s="48" t="s">
        <v>56716</v>
      </c>
      <c r="K4927" s="50" t="s">
        <v>56716</v>
      </c>
      <c r="L4927" s="48" t="s">
        <v>56716</v>
      </c>
    </row>
    <row r="4928" spans="1:12" s="37" customFormat="1" ht="11.25" x14ac:dyDescent="0.2">
      <c r="A4928" s="46" t="s">
        <v>2491</v>
      </c>
      <c r="B4928" s="46" t="s">
        <v>53940</v>
      </c>
      <c r="C4928" s="58" t="str">
        <f>"01615505"</f>
        <v>01615505</v>
      </c>
      <c r="D4928" s="58" t="str">
        <f>""</f>
        <v/>
      </c>
      <c r="E4928" s="46" t="s">
        <v>2493</v>
      </c>
      <c r="F4928" s="46" t="s">
        <v>17759</v>
      </c>
      <c r="G4928" s="46" t="s">
        <v>50584</v>
      </c>
      <c r="H4928" s="48" t="s">
        <v>56716</v>
      </c>
      <c r="I4928" s="48" t="s">
        <v>50564</v>
      </c>
      <c r="J4928" s="48" t="s">
        <v>56716</v>
      </c>
      <c r="K4928" s="50"/>
      <c r="L4928" s="48" t="s">
        <v>56716</v>
      </c>
    </row>
    <row r="4929" spans="1:12" s="37" customFormat="1" ht="11.25" x14ac:dyDescent="0.2">
      <c r="A4929" s="46" t="s">
        <v>2498</v>
      </c>
      <c r="B4929" s="46" t="s">
        <v>53941</v>
      </c>
      <c r="C4929" s="58" t="str">
        <f>"00914916"</f>
        <v>00914916</v>
      </c>
      <c r="D4929" s="58" t="str">
        <f>""</f>
        <v/>
      </c>
      <c r="E4929" s="46" t="s">
        <v>2493</v>
      </c>
      <c r="F4929" s="46" t="s">
        <v>17759</v>
      </c>
      <c r="G4929" s="46" t="s">
        <v>50584</v>
      </c>
      <c r="H4929" s="48" t="s">
        <v>56716</v>
      </c>
      <c r="I4929" s="48" t="s">
        <v>50564</v>
      </c>
      <c r="J4929" s="48"/>
      <c r="K4929" s="50"/>
      <c r="L4929" s="48" t="s">
        <v>56716</v>
      </c>
    </row>
    <row r="4930" spans="1:12" s="37" customFormat="1" ht="11.25" x14ac:dyDescent="0.2">
      <c r="A4930" s="46" t="s">
        <v>16059</v>
      </c>
      <c r="B4930" s="46" t="s">
        <v>53942</v>
      </c>
      <c r="C4930" s="58" t="str">
        <f>"20900201"</f>
        <v>20900201</v>
      </c>
      <c r="D4930" s="58" t="str">
        <f>"2090021X"</f>
        <v>2090021X</v>
      </c>
      <c r="E4930" s="46" t="s">
        <v>1412</v>
      </c>
      <c r="F4930" s="46" t="s">
        <v>17759</v>
      </c>
      <c r="G4930" s="46" t="s">
        <v>50584</v>
      </c>
      <c r="H4930" s="48" t="s">
        <v>56716</v>
      </c>
      <c r="I4930" s="48" t="s">
        <v>50564</v>
      </c>
      <c r="J4930" s="48" t="s">
        <v>56716</v>
      </c>
      <c r="K4930" s="50"/>
      <c r="L4930" s="48"/>
    </row>
    <row r="4931" spans="1:12" s="37" customFormat="1" ht="11.25" x14ac:dyDescent="0.2">
      <c r="A4931" s="46" t="s">
        <v>15179</v>
      </c>
      <c r="B4931" s="46" t="s">
        <v>53943</v>
      </c>
      <c r="C4931" s="58" t="str">
        <f>""</f>
        <v/>
      </c>
      <c r="D4931" s="58" t="str">
        <f>"20356005"</f>
        <v>20356005</v>
      </c>
      <c r="E4931" s="46" t="s">
        <v>1949</v>
      </c>
      <c r="F4931" s="46" t="s">
        <v>17991</v>
      </c>
      <c r="G4931" s="46" t="s">
        <v>50584</v>
      </c>
      <c r="H4931" s="48" t="s">
        <v>56716</v>
      </c>
      <c r="I4931" s="48" t="s">
        <v>50564</v>
      </c>
      <c r="J4931" s="48"/>
      <c r="K4931" s="50"/>
      <c r="L4931" s="48"/>
    </row>
    <row r="4932" spans="1:12" s="37" customFormat="1" ht="11.25" x14ac:dyDescent="0.2">
      <c r="A4932" s="45" t="s">
        <v>37065</v>
      </c>
      <c r="B4932" s="45" t="s">
        <v>37067</v>
      </c>
      <c r="C4932" s="51" t="s">
        <v>37070</v>
      </c>
      <c r="D4932" s="51" t="s">
        <v>37069</v>
      </c>
      <c r="E4932" s="45" t="s">
        <v>17758</v>
      </c>
      <c r="F4932" s="45" t="s">
        <v>17759</v>
      </c>
      <c r="G4932" s="45" t="s">
        <v>50584</v>
      </c>
      <c r="H4932" s="56"/>
      <c r="I4932" s="56" t="s">
        <v>50564</v>
      </c>
      <c r="J4932" s="56"/>
      <c r="K4932" s="50"/>
      <c r="L4932" s="56" t="s">
        <v>56716</v>
      </c>
    </row>
    <row r="4933" spans="1:12" s="37" customFormat="1" ht="11.25" x14ac:dyDescent="0.2">
      <c r="A4933" s="45" t="s">
        <v>37079</v>
      </c>
      <c r="B4933" s="45" t="s">
        <v>37081</v>
      </c>
      <c r="C4933" s="51" t="s">
        <v>37083</v>
      </c>
      <c r="D4933" s="51" t="s">
        <v>37082</v>
      </c>
      <c r="E4933" s="45" t="s">
        <v>23527</v>
      </c>
      <c r="F4933" s="45" t="s">
        <v>50646</v>
      </c>
      <c r="G4933" s="45" t="s">
        <v>50584</v>
      </c>
      <c r="H4933" s="56"/>
      <c r="I4933" s="56" t="s">
        <v>50564</v>
      </c>
      <c r="J4933" s="56"/>
      <c r="K4933" s="50"/>
      <c r="L4933" s="56" t="s">
        <v>56716</v>
      </c>
    </row>
    <row r="4934" spans="1:12" s="37" customFormat="1" ht="11.25" x14ac:dyDescent="0.2">
      <c r="A4934" s="45" t="s">
        <v>37085</v>
      </c>
      <c r="B4934" s="45" t="s">
        <v>37087</v>
      </c>
      <c r="C4934" s="51" t="s">
        <v>37088</v>
      </c>
      <c r="D4934" s="51"/>
      <c r="E4934" s="45" t="s">
        <v>20867</v>
      </c>
      <c r="F4934" s="45" t="s">
        <v>17759</v>
      </c>
      <c r="G4934" s="45" t="s">
        <v>50584</v>
      </c>
      <c r="H4934" s="56"/>
      <c r="I4934" s="56" t="s">
        <v>50564</v>
      </c>
      <c r="J4934" s="56"/>
      <c r="K4934" s="50"/>
      <c r="L4934" s="56" t="s">
        <v>56716</v>
      </c>
    </row>
    <row r="4935" spans="1:12" s="37" customFormat="1" ht="11.25" x14ac:dyDescent="0.2">
      <c r="A4935" s="45" t="s">
        <v>37097</v>
      </c>
      <c r="B4935" s="45" t="s">
        <v>37099</v>
      </c>
      <c r="C4935" s="51" t="s">
        <v>37102</v>
      </c>
      <c r="D4935" s="51" t="s">
        <v>37101</v>
      </c>
      <c r="E4935" s="45" t="s">
        <v>17805</v>
      </c>
      <c r="F4935" s="45" t="s">
        <v>17759</v>
      </c>
      <c r="G4935" s="45" t="s">
        <v>50584</v>
      </c>
      <c r="H4935" s="56"/>
      <c r="I4935" s="56" t="s">
        <v>50564</v>
      </c>
      <c r="J4935" s="56"/>
      <c r="K4935" s="50"/>
      <c r="L4935" s="56" t="s">
        <v>56716</v>
      </c>
    </row>
    <row r="4936" spans="1:12" s="37" customFormat="1" ht="11.25" x14ac:dyDescent="0.2">
      <c r="A4936" s="46" t="s">
        <v>11916</v>
      </c>
      <c r="B4936" s="46" t="s">
        <v>53944</v>
      </c>
      <c r="C4936" s="58" t="str">
        <f>"16616499"</f>
        <v>16616499</v>
      </c>
      <c r="D4936" s="58" t="str">
        <f>"16616758"</f>
        <v>16616758</v>
      </c>
      <c r="E4936" s="46" t="s">
        <v>109</v>
      </c>
      <c r="F4936" s="46" t="s">
        <v>18123</v>
      </c>
      <c r="G4936" s="46" t="s">
        <v>50584</v>
      </c>
      <c r="H4936" s="48" t="s">
        <v>56716</v>
      </c>
      <c r="I4936" s="48" t="s">
        <v>50564</v>
      </c>
      <c r="J4936" s="48" t="s">
        <v>56716</v>
      </c>
      <c r="K4936" s="50" t="s">
        <v>56716</v>
      </c>
      <c r="L4936" s="48" t="s">
        <v>56716</v>
      </c>
    </row>
    <row r="4937" spans="1:12" s="37" customFormat="1" ht="11.25" x14ac:dyDescent="0.2">
      <c r="A4937" s="46" t="s">
        <v>2607</v>
      </c>
      <c r="B4937" s="46" t="s">
        <v>53945</v>
      </c>
      <c r="C4937" s="58" t="str">
        <f>"00223166"</f>
        <v>00223166</v>
      </c>
      <c r="D4937" s="58" t="str">
        <f>"15416100"</f>
        <v>15416100</v>
      </c>
      <c r="E4937" s="46" t="s">
        <v>280</v>
      </c>
      <c r="F4937" s="46" t="s">
        <v>17759</v>
      </c>
      <c r="G4937" s="46" t="s">
        <v>50584</v>
      </c>
      <c r="H4937" s="48" t="s">
        <v>56716</v>
      </c>
      <c r="I4937" s="48" t="s">
        <v>50564</v>
      </c>
      <c r="J4937" s="48"/>
      <c r="K4937" s="50"/>
      <c r="L4937" s="48" t="s">
        <v>56716</v>
      </c>
    </row>
    <row r="4938" spans="1:12" s="37" customFormat="1" ht="11.25" x14ac:dyDescent="0.2">
      <c r="A4938" s="45" t="s">
        <v>37114</v>
      </c>
      <c r="B4938" s="45" t="s">
        <v>37116</v>
      </c>
      <c r="C4938" s="51" t="s">
        <v>37119</v>
      </c>
      <c r="D4938" s="51" t="s">
        <v>37118</v>
      </c>
      <c r="E4938" s="45" t="s">
        <v>91</v>
      </c>
      <c r="F4938" s="45" t="s">
        <v>17759</v>
      </c>
      <c r="G4938" s="45" t="s">
        <v>50584</v>
      </c>
      <c r="H4938" s="56"/>
      <c r="I4938" s="56" t="s">
        <v>50564</v>
      </c>
      <c r="J4938" s="56"/>
      <c r="K4938" s="50"/>
      <c r="L4938" s="56" t="s">
        <v>56716</v>
      </c>
    </row>
    <row r="4939" spans="1:12" s="37" customFormat="1" ht="11.25" x14ac:dyDescent="0.2">
      <c r="A4939" s="45" t="s">
        <v>37122</v>
      </c>
      <c r="B4939" s="45" t="s">
        <v>37124</v>
      </c>
      <c r="C4939" s="51" t="s">
        <v>37127</v>
      </c>
      <c r="D4939" s="51" t="s">
        <v>37126</v>
      </c>
      <c r="E4939" s="45" t="s">
        <v>689</v>
      </c>
      <c r="F4939" s="45" t="s">
        <v>17759</v>
      </c>
      <c r="G4939" s="45" t="s">
        <v>50584</v>
      </c>
      <c r="H4939" s="56"/>
      <c r="I4939" s="56" t="s">
        <v>50564</v>
      </c>
      <c r="J4939" s="56"/>
      <c r="K4939" s="50"/>
      <c r="L4939" s="56" t="s">
        <v>56716</v>
      </c>
    </row>
    <row r="4940" spans="1:12" s="37" customFormat="1" ht="11.25" x14ac:dyDescent="0.2">
      <c r="A4940" s="46" t="s">
        <v>8347</v>
      </c>
      <c r="B4940" s="46" t="s">
        <v>53946</v>
      </c>
      <c r="C4940" s="58" t="str">
        <f>"12797707"</f>
        <v>12797707</v>
      </c>
      <c r="D4940" s="58" t="str">
        <f>"17604788"</f>
        <v>17604788</v>
      </c>
      <c r="E4940" s="46" t="s">
        <v>11245</v>
      </c>
      <c r="F4940" s="46" t="s">
        <v>20359</v>
      </c>
      <c r="G4940" s="46" t="s">
        <v>50584</v>
      </c>
      <c r="H4940" s="48" t="s">
        <v>56716</v>
      </c>
      <c r="I4940" s="48" t="s">
        <v>50564</v>
      </c>
      <c r="J4940" s="48" t="s">
        <v>56716</v>
      </c>
      <c r="K4940" s="50" t="s">
        <v>56716</v>
      </c>
      <c r="L4940" s="48" t="s">
        <v>56716</v>
      </c>
    </row>
    <row r="4941" spans="1:12" s="37" customFormat="1" ht="11.25" x14ac:dyDescent="0.2">
      <c r="A4941" s="46" t="s">
        <v>5061</v>
      </c>
      <c r="B4941" s="46" t="s">
        <v>53947</v>
      </c>
      <c r="C4941" s="58" t="str">
        <f>"09552863"</f>
        <v>09552863</v>
      </c>
      <c r="D4941" s="58" t="str">
        <f>"18734847"</f>
        <v>18734847</v>
      </c>
      <c r="E4941" s="46" t="s">
        <v>272</v>
      </c>
      <c r="F4941" s="46" t="s">
        <v>17759</v>
      </c>
      <c r="G4941" s="46" t="s">
        <v>50584</v>
      </c>
      <c r="H4941" s="48" t="s">
        <v>56716</v>
      </c>
      <c r="I4941" s="48" t="s">
        <v>50564</v>
      </c>
      <c r="J4941" s="48"/>
      <c r="K4941" s="50" t="s">
        <v>56716</v>
      </c>
      <c r="L4941" s="48" t="s">
        <v>56716</v>
      </c>
    </row>
    <row r="4942" spans="1:12" s="37" customFormat="1" ht="11.25" x14ac:dyDescent="0.2">
      <c r="A4942" s="46" t="s">
        <v>16824</v>
      </c>
      <c r="B4942" s="46" t="s">
        <v>53948</v>
      </c>
      <c r="C4942" s="58" t="str">
        <f>"20486790"</f>
        <v>20486790</v>
      </c>
      <c r="D4942" s="58" t="str">
        <f>""</f>
        <v/>
      </c>
      <c r="E4942" s="46" t="s">
        <v>724</v>
      </c>
      <c r="F4942" s="46" t="s">
        <v>50646</v>
      </c>
      <c r="G4942" s="46" t="s">
        <v>50584</v>
      </c>
      <c r="H4942" s="48" t="s">
        <v>56716</v>
      </c>
      <c r="I4942" s="48" t="s">
        <v>50564</v>
      </c>
      <c r="J4942" s="48" t="s">
        <v>56716</v>
      </c>
      <c r="K4942" s="50"/>
      <c r="L4942" s="48"/>
    </row>
    <row r="4943" spans="1:12" s="37" customFormat="1" ht="11.25" x14ac:dyDescent="0.2">
      <c r="A4943" s="46" t="s">
        <v>2528</v>
      </c>
      <c r="B4943" s="46" t="s">
        <v>53949</v>
      </c>
      <c r="C4943" s="58" t="str">
        <f>"03014800"</f>
        <v>03014800</v>
      </c>
      <c r="D4943" s="58" t="str">
        <f>"18817742"</f>
        <v>18817742</v>
      </c>
      <c r="E4943" s="46" t="s">
        <v>2531</v>
      </c>
      <c r="F4943" s="46" t="s">
        <v>18242</v>
      </c>
      <c r="G4943" s="46" t="s">
        <v>50584</v>
      </c>
      <c r="H4943" s="48" t="s">
        <v>56716</v>
      </c>
      <c r="I4943" s="48" t="s">
        <v>50564</v>
      </c>
      <c r="J4943" s="48"/>
      <c r="K4943" s="50"/>
      <c r="L4943" s="48" t="s">
        <v>56716</v>
      </c>
    </row>
    <row r="4944" spans="1:12" s="37" customFormat="1" ht="11.25" x14ac:dyDescent="0.2">
      <c r="A4944" s="46" t="s">
        <v>16307</v>
      </c>
      <c r="B4944" s="46" t="s">
        <v>53950</v>
      </c>
      <c r="C4944" s="58" t="str">
        <f>"20900708"</f>
        <v>20900708</v>
      </c>
      <c r="D4944" s="58" t="str">
        <f>"20900716"</f>
        <v>20900716</v>
      </c>
      <c r="E4944" s="46" t="s">
        <v>1412</v>
      </c>
      <c r="F4944" s="46" t="s">
        <v>17759</v>
      </c>
      <c r="G4944" s="46" t="s">
        <v>50584</v>
      </c>
      <c r="H4944" s="48" t="s">
        <v>56716</v>
      </c>
      <c r="I4944" s="48" t="s">
        <v>50564</v>
      </c>
      <c r="J4944" s="48" t="s">
        <v>56716</v>
      </c>
      <c r="K4944" s="50"/>
      <c r="L4944" s="48" t="s">
        <v>56716</v>
      </c>
    </row>
    <row r="4945" spans="1:12" s="37" customFormat="1" ht="11.25" x14ac:dyDescent="0.2">
      <c r="A4945" s="46" t="s">
        <v>15996</v>
      </c>
      <c r="B4945" s="46" t="s">
        <v>53951</v>
      </c>
      <c r="C4945" s="58" t="str">
        <f>"22113649"</f>
        <v>22113649</v>
      </c>
      <c r="D4945" s="58" t="str">
        <f>"22113657"</f>
        <v>22113657</v>
      </c>
      <c r="E4945" s="46" t="s">
        <v>91</v>
      </c>
      <c r="F4945" s="46" t="s">
        <v>18001</v>
      </c>
      <c r="G4945" s="46" t="s">
        <v>50584</v>
      </c>
      <c r="H4945" s="48" t="s">
        <v>56716</v>
      </c>
      <c r="I4945" s="48" t="s">
        <v>50564</v>
      </c>
      <c r="J4945" s="48" t="s">
        <v>56716</v>
      </c>
      <c r="K4945" s="50" t="s">
        <v>56716</v>
      </c>
      <c r="L4945" s="48"/>
    </row>
    <row r="4946" spans="1:12" s="37" customFormat="1" ht="11.25" x14ac:dyDescent="0.2">
      <c r="A4946" s="45" t="s">
        <v>37151</v>
      </c>
      <c r="B4946" s="45" t="s">
        <v>37153</v>
      </c>
      <c r="C4946" s="51" t="s">
        <v>37156</v>
      </c>
      <c r="D4946" s="51" t="s">
        <v>37155</v>
      </c>
      <c r="E4946" s="45" t="s">
        <v>18377</v>
      </c>
      <c r="F4946" s="45" t="s">
        <v>17759</v>
      </c>
      <c r="G4946" s="45" t="s">
        <v>50584</v>
      </c>
      <c r="H4946" s="56"/>
      <c r="I4946" s="56" t="s">
        <v>50564</v>
      </c>
      <c r="J4946" s="56"/>
      <c r="K4946" s="50"/>
      <c r="L4946" s="56" t="s">
        <v>56716</v>
      </c>
    </row>
    <row r="4947" spans="1:12" s="37" customFormat="1" ht="11.25" x14ac:dyDescent="0.2">
      <c r="A4947" s="46" t="s">
        <v>2564</v>
      </c>
      <c r="B4947" s="46" t="s">
        <v>53952</v>
      </c>
      <c r="C4947" s="58" t="str">
        <f>"01443615"</f>
        <v>01443615</v>
      </c>
      <c r="D4947" s="58" t="str">
        <f>"13646893"</f>
        <v>13646893</v>
      </c>
      <c r="E4947" s="46" t="s">
        <v>291</v>
      </c>
      <c r="F4947" s="46" t="s">
        <v>50646</v>
      </c>
      <c r="G4947" s="46" t="s">
        <v>50584</v>
      </c>
      <c r="H4947" s="48" t="s">
        <v>56716</v>
      </c>
      <c r="I4947" s="48" t="s">
        <v>50564</v>
      </c>
      <c r="J4947" s="48" t="s">
        <v>56716</v>
      </c>
      <c r="K4947" s="50"/>
      <c r="L4947" s="48" t="s">
        <v>56716</v>
      </c>
    </row>
    <row r="4948" spans="1:12" s="37" customFormat="1" ht="11.25" x14ac:dyDescent="0.2">
      <c r="A4948" s="45" t="s">
        <v>37165</v>
      </c>
      <c r="B4948" s="45" t="s">
        <v>37167</v>
      </c>
      <c r="C4948" s="51" t="s">
        <v>37169</v>
      </c>
      <c r="D4948" s="51"/>
      <c r="E4948" s="45" t="s">
        <v>37170</v>
      </c>
      <c r="F4948" s="45" t="s">
        <v>18959</v>
      </c>
      <c r="G4948" s="45" t="s">
        <v>50584</v>
      </c>
      <c r="H4948" s="56"/>
      <c r="I4948" s="56" t="s">
        <v>50564</v>
      </c>
      <c r="J4948" s="56"/>
      <c r="K4948" s="50"/>
      <c r="L4948" s="56" t="s">
        <v>56716</v>
      </c>
    </row>
    <row r="4949" spans="1:12" s="37" customFormat="1" ht="11.25" x14ac:dyDescent="0.2">
      <c r="A4949" s="46" t="s">
        <v>7001</v>
      </c>
      <c r="B4949" s="46" t="s">
        <v>53953</v>
      </c>
      <c r="C4949" s="58" t="str">
        <f>"13418076"</f>
        <v>13418076</v>
      </c>
      <c r="D4949" s="58" t="str">
        <f>"14470756"</f>
        <v>14470756</v>
      </c>
      <c r="E4949" s="46" t="s">
        <v>296</v>
      </c>
      <c r="F4949" s="46" t="s">
        <v>20082</v>
      </c>
      <c r="G4949" s="46" t="s">
        <v>50584</v>
      </c>
      <c r="H4949" s="48" t="s">
        <v>56716</v>
      </c>
      <c r="I4949" s="48" t="s">
        <v>50564</v>
      </c>
      <c r="J4949" s="48"/>
      <c r="K4949" s="50" t="s">
        <v>56716</v>
      </c>
      <c r="L4949" s="48" t="s">
        <v>56716</v>
      </c>
    </row>
    <row r="4950" spans="1:12" s="37" customFormat="1" ht="11.25" x14ac:dyDescent="0.2">
      <c r="A4950" s="46" t="s">
        <v>14049</v>
      </c>
      <c r="B4950" s="46" t="s">
        <v>53954</v>
      </c>
      <c r="C4950" s="58" t="str">
        <f>"09719202"</f>
        <v>09719202</v>
      </c>
      <c r="D4950" s="58" t="str">
        <f>"09756434"</f>
        <v>09756434</v>
      </c>
      <c r="E4950" s="46" t="s">
        <v>14052</v>
      </c>
      <c r="F4950" s="46" t="s">
        <v>20446</v>
      </c>
      <c r="G4950" s="46" t="s">
        <v>50584</v>
      </c>
      <c r="H4950" s="48" t="s">
        <v>56716</v>
      </c>
      <c r="I4950" s="48" t="s">
        <v>50564</v>
      </c>
      <c r="J4950" s="48" t="s">
        <v>56716</v>
      </c>
      <c r="K4950" s="50" t="s">
        <v>56716</v>
      </c>
      <c r="L4950" s="48"/>
    </row>
    <row r="4951" spans="1:12" s="37" customFormat="1" ht="11.25" x14ac:dyDescent="0.2">
      <c r="A4951" s="45" t="s">
        <v>37178</v>
      </c>
      <c r="B4951" s="45" t="s">
        <v>37180</v>
      </c>
      <c r="C4951" s="51" t="s">
        <v>37183</v>
      </c>
      <c r="D4951" s="51" t="s">
        <v>37182</v>
      </c>
      <c r="E4951" s="45" t="s">
        <v>291</v>
      </c>
      <c r="F4951" s="45" t="s">
        <v>50646</v>
      </c>
      <c r="G4951" s="45" t="s">
        <v>50584</v>
      </c>
      <c r="H4951" s="56"/>
      <c r="I4951" s="56" t="s">
        <v>50564</v>
      </c>
      <c r="J4951" s="56"/>
      <c r="K4951" s="50"/>
      <c r="L4951" s="56" t="s">
        <v>56716</v>
      </c>
    </row>
    <row r="4952" spans="1:12" s="37" customFormat="1" ht="11.25" x14ac:dyDescent="0.2">
      <c r="A4952" s="46" t="s">
        <v>6570</v>
      </c>
      <c r="B4952" s="46" t="s">
        <v>53955</v>
      </c>
      <c r="C4952" s="58" t="str">
        <f>"10762752"</f>
        <v>10762752</v>
      </c>
      <c r="D4952" s="58" t="str">
        <f>"15365948"</f>
        <v>15365948</v>
      </c>
      <c r="E4952" s="46" t="s">
        <v>28</v>
      </c>
      <c r="F4952" s="46" t="s">
        <v>17759</v>
      </c>
      <c r="G4952" s="46" t="s">
        <v>50584</v>
      </c>
      <c r="H4952" s="48" t="s">
        <v>56716</v>
      </c>
      <c r="I4952" s="48" t="s">
        <v>50564</v>
      </c>
      <c r="J4952" s="48"/>
      <c r="K4952" s="50" t="s">
        <v>56716</v>
      </c>
      <c r="L4952" s="48" t="s">
        <v>56716</v>
      </c>
    </row>
    <row r="4953" spans="1:12" s="37" customFormat="1" ht="11.25" x14ac:dyDescent="0.2">
      <c r="A4953" s="45" t="s">
        <v>37190</v>
      </c>
      <c r="B4953" s="45" t="s">
        <v>37192</v>
      </c>
      <c r="C4953" s="51" t="s">
        <v>37195</v>
      </c>
      <c r="D4953" s="51" t="s">
        <v>37194</v>
      </c>
      <c r="E4953" s="45" t="s">
        <v>37196</v>
      </c>
      <c r="F4953" s="45" t="s">
        <v>18242</v>
      </c>
      <c r="G4953" s="45" t="s">
        <v>50584</v>
      </c>
      <c r="H4953" s="56"/>
      <c r="I4953" s="56" t="s">
        <v>50564</v>
      </c>
      <c r="J4953" s="56"/>
      <c r="K4953" s="50"/>
      <c r="L4953" s="56" t="s">
        <v>56716</v>
      </c>
    </row>
    <row r="4954" spans="1:12" s="37" customFormat="1" ht="11.25" x14ac:dyDescent="0.2">
      <c r="A4954" s="46" t="s">
        <v>7952</v>
      </c>
      <c r="B4954" s="46" t="s">
        <v>53956</v>
      </c>
      <c r="C4954" s="58" t="str">
        <f>"10768998"</f>
        <v>10768998</v>
      </c>
      <c r="D4954" s="58" t="str">
        <f>"19391307"</f>
        <v>19391307</v>
      </c>
      <c r="E4954" s="46" t="s">
        <v>356</v>
      </c>
      <c r="F4954" s="46" t="s">
        <v>17759</v>
      </c>
      <c r="G4954" s="46" t="s">
        <v>50584</v>
      </c>
      <c r="H4954" s="48" t="s">
        <v>56716</v>
      </c>
      <c r="I4954" s="48" t="s">
        <v>50564</v>
      </c>
      <c r="J4954" s="48" t="s">
        <v>56716</v>
      </c>
      <c r="K4954" s="50" t="s">
        <v>56716</v>
      </c>
      <c r="L4954" s="48" t="s">
        <v>56716</v>
      </c>
    </row>
    <row r="4955" spans="1:12" s="37" customFormat="1" ht="11.25" x14ac:dyDescent="0.2">
      <c r="A4955" s="46" t="s">
        <v>11747</v>
      </c>
      <c r="B4955" s="46" t="s">
        <v>53957</v>
      </c>
      <c r="C4955" s="58" t="str">
        <f>""</f>
        <v/>
      </c>
      <c r="D4955" s="58" t="str">
        <f>"17456673"</f>
        <v>17456673</v>
      </c>
      <c r="E4955" s="46" t="s">
        <v>2299</v>
      </c>
      <c r="F4955" s="46" t="s">
        <v>50646</v>
      </c>
      <c r="G4955" s="46" t="s">
        <v>50584</v>
      </c>
      <c r="H4955" s="48" t="s">
        <v>56716</v>
      </c>
      <c r="I4955" s="48" t="s">
        <v>50564</v>
      </c>
      <c r="J4955" s="48"/>
      <c r="K4955" s="50" t="s">
        <v>56716</v>
      </c>
      <c r="L4955" s="48"/>
    </row>
    <row r="4956" spans="1:12" s="37" customFormat="1" ht="11.25" x14ac:dyDescent="0.2">
      <c r="A4956" s="45" t="s">
        <v>37202</v>
      </c>
      <c r="B4956" s="45" t="s">
        <v>37204</v>
      </c>
      <c r="C4956" s="51" t="s">
        <v>37206</v>
      </c>
      <c r="D4956" s="51" t="s">
        <v>37205</v>
      </c>
      <c r="E4956" s="45" t="s">
        <v>17783</v>
      </c>
      <c r="F4956" s="45" t="s">
        <v>18001</v>
      </c>
      <c r="G4956" s="45" t="s">
        <v>50584</v>
      </c>
      <c r="H4956" s="56"/>
      <c r="I4956" s="56" t="s">
        <v>50564</v>
      </c>
      <c r="J4956" s="56"/>
      <c r="K4956" s="50"/>
      <c r="L4956" s="56" t="s">
        <v>56716</v>
      </c>
    </row>
    <row r="4957" spans="1:12" s="37" customFormat="1" ht="11.25" x14ac:dyDescent="0.2">
      <c r="A4957" s="46" t="s">
        <v>13158</v>
      </c>
      <c r="B4957" s="46" t="s">
        <v>53958</v>
      </c>
      <c r="C4957" s="58" t="str">
        <f>"19368437"</f>
        <v>19368437</v>
      </c>
      <c r="D4957" s="58" t="str">
        <f>"19368445"</f>
        <v>19368445</v>
      </c>
      <c r="E4957" s="46" t="s">
        <v>40314</v>
      </c>
      <c r="F4957" s="46" t="s">
        <v>17759</v>
      </c>
      <c r="G4957" s="46" t="s">
        <v>50584</v>
      </c>
      <c r="H4957" s="48" t="s">
        <v>56716</v>
      </c>
      <c r="I4957" s="48" t="s">
        <v>50564</v>
      </c>
      <c r="J4957" s="48" t="s">
        <v>56716</v>
      </c>
      <c r="K4957" s="50"/>
      <c r="L4957" s="48"/>
    </row>
    <row r="4958" spans="1:12" s="37" customFormat="1" ht="11.25" x14ac:dyDescent="0.2">
      <c r="A4958" s="46" t="s">
        <v>6687</v>
      </c>
      <c r="B4958" s="46" t="s">
        <v>53959</v>
      </c>
      <c r="C4958" s="58" t="str">
        <f>"10807683"</f>
        <v>10807683</v>
      </c>
      <c r="D4958" s="58" t="str">
        <f>"15577732"</f>
        <v>15577732</v>
      </c>
      <c r="E4958" s="46" t="s">
        <v>4337</v>
      </c>
      <c r="F4958" s="46" t="s">
        <v>17759</v>
      </c>
      <c r="G4958" s="46" t="s">
        <v>50584</v>
      </c>
      <c r="H4958" s="48" t="s">
        <v>56716</v>
      </c>
      <c r="I4958" s="48" t="s">
        <v>50564</v>
      </c>
      <c r="J4958" s="48"/>
      <c r="K4958" s="50"/>
      <c r="L4958" s="48" t="s">
        <v>56716</v>
      </c>
    </row>
    <row r="4959" spans="1:12" s="37" customFormat="1" ht="11.25" x14ac:dyDescent="0.2">
      <c r="A4959" s="45" t="s">
        <v>37215</v>
      </c>
      <c r="B4959" s="45" t="s">
        <v>37217</v>
      </c>
      <c r="C4959" s="51" t="s">
        <v>37220</v>
      </c>
      <c r="D4959" s="51" t="s">
        <v>37219</v>
      </c>
      <c r="E4959" s="45" t="s">
        <v>37221</v>
      </c>
      <c r="F4959" s="45" t="s">
        <v>18242</v>
      </c>
      <c r="G4959" s="45" t="s">
        <v>50605</v>
      </c>
      <c r="H4959" s="56"/>
      <c r="I4959" s="56" t="s">
        <v>50564</v>
      </c>
      <c r="J4959" s="56"/>
      <c r="K4959" s="50"/>
      <c r="L4959" s="56" t="s">
        <v>56716</v>
      </c>
    </row>
    <row r="4960" spans="1:12" s="37" customFormat="1" ht="11.25" x14ac:dyDescent="0.2">
      <c r="A4960" s="46" t="s">
        <v>13181</v>
      </c>
      <c r="B4960" s="46" t="s">
        <v>53960</v>
      </c>
      <c r="C4960" s="58" t="str">
        <f>"16878450"</f>
        <v>16878450</v>
      </c>
      <c r="D4960" s="58" t="str">
        <f>"16878469"</f>
        <v>16878469</v>
      </c>
      <c r="E4960" s="46" t="s">
        <v>1412</v>
      </c>
      <c r="F4960" s="46" t="s">
        <v>17759</v>
      </c>
      <c r="G4960" s="46" t="s">
        <v>50584</v>
      </c>
      <c r="H4960" s="48" t="s">
        <v>56716</v>
      </c>
      <c r="I4960" s="48" t="s">
        <v>50564</v>
      </c>
      <c r="J4960" s="48"/>
      <c r="K4960" s="50"/>
      <c r="L4960" s="48"/>
    </row>
    <row r="4961" spans="1:12" s="37" customFormat="1" ht="11.25" x14ac:dyDescent="0.2">
      <c r="A4961" s="46" t="s">
        <v>8469</v>
      </c>
      <c r="B4961" s="46" t="s">
        <v>53961</v>
      </c>
      <c r="C4961" s="58" t="str">
        <f>"10781552"</f>
        <v>10781552</v>
      </c>
      <c r="D4961" s="58" t="str">
        <f>"1477092X"</f>
        <v>1477092X</v>
      </c>
      <c r="E4961" s="46" t="s">
        <v>97</v>
      </c>
      <c r="F4961" s="46" t="s">
        <v>50646</v>
      </c>
      <c r="G4961" s="46" t="s">
        <v>50584</v>
      </c>
      <c r="H4961" s="48" t="s">
        <v>56716</v>
      </c>
      <c r="I4961" s="48" t="s">
        <v>50564</v>
      </c>
      <c r="J4961" s="48" t="s">
        <v>56716</v>
      </c>
      <c r="K4961" s="50"/>
      <c r="L4961" s="48" t="s">
        <v>56716</v>
      </c>
    </row>
    <row r="4962" spans="1:12" s="37" customFormat="1" ht="11.25" x14ac:dyDescent="0.2">
      <c r="A4962" s="46" t="s">
        <v>11919</v>
      </c>
      <c r="B4962" s="46" t="s">
        <v>53962</v>
      </c>
      <c r="C4962" s="58" t="str">
        <f>"15547477"</f>
        <v>15547477</v>
      </c>
      <c r="D4962" s="58" t="str">
        <f>"1935469X"</f>
        <v>1935469X</v>
      </c>
      <c r="E4962" s="46" t="s">
        <v>2247</v>
      </c>
      <c r="F4962" s="46" t="s">
        <v>17759</v>
      </c>
      <c r="G4962" s="46" t="s">
        <v>50584</v>
      </c>
      <c r="H4962" s="48" t="s">
        <v>56716</v>
      </c>
      <c r="I4962" s="48" t="s">
        <v>50564</v>
      </c>
      <c r="J4962" s="48"/>
      <c r="K4962" s="50"/>
      <c r="L4962" s="48" t="s">
        <v>56716</v>
      </c>
    </row>
    <row r="4963" spans="1:12" s="37" customFormat="1" ht="11.25" x14ac:dyDescent="0.2">
      <c r="A4963" s="46" t="s">
        <v>17511</v>
      </c>
      <c r="B4963" s="46" t="s">
        <v>53963</v>
      </c>
      <c r="C4963" s="58" t="str">
        <f>"20525931"</f>
        <v>20525931</v>
      </c>
      <c r="D4963" s="58" t="str">
        <f>"20532091"</f>
        <v>20532091</v>
      </c>
      <c r="E4963" s="46" t="s">
        <v>17514</v>
      </c>
      <c r="F4963" s="46" t="s">
        <v>50646</v>
      </c>
      <c r="G4963" s="46" t="s">
        <v>50584</v>
      </c>
      <c r="H4963" s="48" t="s">
        <v>56716</v>
      </c>
      <c r="I4963" s="48" t="s">
        <v>50564</v>
      </c>
      <c r="J4963" s="48"/>
      <c r="K4963" s="50"/>
      <c r="L4963" s="48"/>
    </row>
    <row r="4964" spans="1:12" s="37" customFormat="1" ht="11.25" x14ac:dyDescent="0.2">
      <c r="A4964" s="46" t="s">
        <v>15804</v>
      </c>
      <c r="B4964" s="46" t="s">
        <v>53964</v>
      </c>
      <c r="C4964" s="58" t="str">
        <f>""</f>
        <v/>
      </c>
      <c r="D4964" s="58" t="str">
        <f>"18695760"</f>
        <v>18695760</v>
      </c>
      <c r="E4964" s="46" t="s">
        <v>167</v>
      </c>
      <c r="F4964" s="46" t="s">
        <v>18158</v>
      </c>
      <c r="G4964" s="46" t="s">
        <v>50584</v>
      </c>
      <c r="H4964" s="48" t="s">
        <v>56716</v>
      </c>
      <c r="I4964" s="48" t="s">
        <v>50564</v>
      </c>
      <c r="J4964" s="48" t="s">
        <v>56716</v>
      </c>
      <c r="K4964" s="50"/>
      <c r="L4964" s="48"/>
    </row>
    <row r="4965" spans="1:12" s="37" customFormat="1" ht="11.25" x14ac:dyDescent="0.2">
      <c r="A4965" s="46" t="s">
        <v>11922</v>
      </c>
      <c r="B4965" s="46" t="s">
        <v>53965</v>
      </c>
      <c r="C4965" s="58" t="str">
        <f>"15517489"</f>
        <v>15517489</v>
      </c>
      <c r="D4965" s="58" t="str">
        <f>""</f>
        <v/>
      </c>
      <c r="E4965" s="46" t="s">
        <v>11924</v>
      </c>
      <c r="F4965" s="46" t="s">
        <v>17759</v>
      </c>
      <c r="G4965" s="46" t="s">
        <v>50584</v>
      </c>
      <c r="H4965" s="48" t="s">
        <v>56716</v>
      </c>
      <c r="I4965" s="48" t="s">
        <v>50564</v>
      </c>
      <c r="J4965" s="48"/>
      <c r="K4965" s="50"/>
      <c r="L4965" s="48" t="s">
        <v>56716</v>
      </c>
    </row>
    <row r="4966" spans="1:12" s="37" customFormat="1" ht="11.25" x14ac:dyDescent="0.2">
      <c r="A4966" s="45" t="s">
        <v>50472</v>
      </c>
      <c r="B4966" s="45" t="s">
        <v>50474</v>
      </c>
      <c r="C4966" s="51" t="s">
        <v>50476</v>
      </c>
      <c r="D4966" s="51" t="s">
        <v>50475</v>
      </c>
      <c r="E4966" s="45" t="s">
        <v>175</v>
      </c>
      <c r="F4966" s="45" t="s">
        <v>18439</v>
      </c>
      <c r="G4966" s="45" t="s">
        <v>50584</v>
      </c>
      <c r="H4966" s="56"/>
      <c r="I4966" s="56" t="s">
        <v>50564</v>
      </c>
      <c r="J4966" s="56"/>
      <c r="K4966" s="50"/>
      <c r="L4966" s="56" t="s">
        <v>56716</v>
      </c>
    </row>
    <row r="4967" spans="1:12" s="37" customFormat="1" ht="11.25" x14ac:dyDescent="0.2">
      <c r="A4967" s="45" t="s">
        <v>37238</v>
      </c>
      <c r="B4967" s="45" t="s">
        <v>56614</v>
      </c>
      <c r="C4967" s="51" t="s">
        <v>37243</v>
      </c>
      <c r="D4967" s="51" t="s">
        <v>37242</v>
      </c>
      <c r="E4967" s="45" t="s">
        <v>50664</v>
      </c>
      <c r="F4967" s="45" t="s">
        <v>17759</v>
      </c>
      <c r="G4967" s="45" t="s">
        <v>50584</v>
      </c>
      <c r="H4967" s="56"/>
      <c r="I4967" s="56" t="s">
        <v>50564</v>
      </c>
      <c r="J4967" s="56"/>
      <c r="K4967" s="50"/>
      <c r="L4967" s="56" t="s">
        <v>56716</v>
      </c>
    </row>
    <row r="4968" spans="1:12" s="37" customFormat="1" ht="11.25" x14ac:dyDescent="0.2">
      <c r="A4968" s="46" t="s">
        <v>2593</v>
      </c>
      <c r="B4968" s="46" t="s">
        <v>53966</v>
      </c>
      <c r="C4968" s="58" t="str">
        <f>"02782391"</f>
        <v>02782391</v>
      </c>
      <c r="D4968" s="58" t="str">
        <f>"15315053"</f>
        <v>15315053</v>
      </c>
      <c r="E4968" s="46" t="s">
        <v>303</v>
      </c>
      <c r="F4968" s="46" t="s">
        <v>17759</v>
      </c>
      <c r="G4968" s="46" t="s">
        <v>50584</v>
      </c>
      <c r="H4968" s="48" t="s">
        <v>56716</v>
      </c>
      <c r="I4968" s="48" t="s">
        <v>50564</v>
      </c>
      <c r="J4968" s="48"/>
      <c r="K4968" s="50" t="s">
        <v>56716</v>
      </c>
      <c r="L4968" s="48" t="s">
        <v>56716</v>
      </c>
    </row>
    <row r="4969" spans="1:12" s="37" customFormat="1" ht="11.25" x14ac:dyDescent="0.2">
      <c r="A4969" s="46" t="s">
        <v>16324</v>
      </c>
      <c r="B4969" s="46" t="s">
        <v>53967</v>
      </c>
      <c r="C4969" s="58" t="str">
        <f>""</f>
        <v/>
      </c>
      <c r="D4969" s="58" t="str">
        <f>"20002297"</f>
        <v>20002297</v>
      </c>
      <c r="E4969" s="46" t="s">
        <v>12818</v>
      </c>
      <c r="F4969" s="46" t="s">
        <v>18130</v>
      </c>
      <c r="G4969" s="46" t="s">
        <v>50584</v>
      </c>
      <c r="H4969" s="48" t="s">
        <v>56716</v>
      </c>
      <c r="I4969" s="48" t="s">
        <v>50564</v>
      </c>
      <c r="J4969" s="48"/>
      <c r="K4969" s="50"/>
      <c r="L4969" s="48"/>
    </row>
    <row r="4970" spans="1:12" s="37" customFormat="1" ht="11.25" x14ac:dyDescent="0.2">
      <c r="A4970" s="46" t="s">
        <v>5010</v>
      </c>
      <c r="B4970" s="46" t="s">
        <v>53968</v>
      </c>
      <c r="C4970" s="58" t="str">
        <f>"09042512"</f>
        <v>09042512</v>
      </c>
      <c r="D4970" s="58" t="str">
        <f>"16000714"</f>
        <v>16000714</v>
      </c>
      <c r="E4970" s="46" t="s">
        <v>35</v>
      </c>
      <c r="F4970" s="46" t="s">
        <v>50646</v>
      </c>
      <c r="G4970" s="46" t="s">
        <v>50584</v>
      </c>
      <c r="H4970" s="48" t="s">
        <v>56716</v>
      </c>
      <c r="I4970" s="48" t="s">
        <v>50564</v>
      </c>
      <c r="J4970" s="48" t="s">
        <v>56716</v>
      </c>
      <c r="K4970" s="50" t="s">
        <v>56716</v>
      </c>
      <c r="L4970" s="48" t="s">
        <v>56716</v>
      </c>
    </row>
    <row r="4971" spans="1:12" s="37" customFormat="1" ht="11.25" x14ac:dyDescent="0.2">
      <c r="A4971" s="45" t="s">
        <v>37272</v>
      </c>
      <c r="B4971" s="45" t="s">
        <v>37274</v>
      </c>
      <c r="C4971" s="51" t="s">
        <v>37276</v>
      </c>
      <c r="D4971" s="51" t="s">
        <v>37275</v>
      </c>
      <c r="E4971" s="45" t="s">
        <v>24835</v>
      </c>
      <c r="F4971" s="45" t="s">
        <v>50646</v>
      </c>
      <c r="G4971" s="45" t="s">
        <v>50584</v>
      </c>
      <c r="H4971" s="56"/>
      <c r="I4971" s="56" t="s">
        <v>50564</v>
      </c>
      <c r="J4971" s="56"/>
      <c r="K4971" s="50"/>
      <c r="L4971" s="56" t="s">
        <v>56716</v>
      </c>
    </row>
    <row r="4972" spans="1:12" s="37" customFormat="1" ht="11.25" x14ac:dyDescent="0.2">
      <c r="A4972" s="45" t="s">
        <v>37278</v>
      </c>
      <c r="B4972" s="45" t="s">
        <v>37280</v>
      </c>
      <c r="C4972" s="51" t="s">
        <v>37283</v>
      </c>
      <c r="D4972" s="51" t="s">
        <v>37282</v>
      </c>
      <c r="E4972" s="45" t="s">
        <v>37284</v>
      </c>
      <c r="F4972" s="45" t="s">
        <v>18242</v>
      </c>
      <c r="G4972" s="45" t="s">
        <v>50584</v>
      </c>
      <c r="H4972" s="56"/>
      <c r="I4972" s="56" t="s">
        <v>50564</v>
      </c>
      <c r="J4972" s="56"/>
      <c r="K4972" s="50"/>
      <c r="L4972" s="56" t="s">
        <v>56716</v>
      </c>
    </row>
    <row r="4973" spans="1:12" s="37" customFormat="1" ht="11.25" x14ac:dyDescent="0.2">
      <c r="A4973" s="46" t="s">
        <v>2550</v>
      </c>
      <c r="B4973" s="46" t="s">
        <v>53969</v>
      </c>
      <c r="C4973" s="58" t="str">
        <f>"00223263"</f>
        <v>00223263</v>
      </c>
      <c r="D4973" s="58" t="str">
        <f>"15206904"</f>
        <v>15206904</v>
      </c>
      <c r="E4973" s="46" t="s">
        <v>776</v>
      </c>
      <c r="F4973" s="46" t="s">
        <v>17759</v>
      </c>
      <c r="G4973" s="46" t="s">
        <v>50584</v>
      </c>
      <c r="H4973" s="48" t="s">
        <v>56716</v>
      </c>
      <c r="I4973" s="48" t="s">
        <v>50564</v>
      </c>
      <c r="J4973" s="48"/>
      <c r="K4973" s="50"/>
      <c r="L4973" s="48" t="s">
        <v>56716</v>
      </c>
    </row>
    <row r="4974" spans="1:12" s="37" customFormat="1" ht="11.25" x14ac:dyDescent="0.2">
      <c r="A4974" s="45" t="s">
        <v>37290</v>
      </c>
      <c r="B4974" s="45" t="s">
        <v>37292</v>
      </c>
      <c r="C4974" s="51" t="s">
        <v>37295</v>
      </c>
      <c r="D4974" s="51" t="s">
        <v>37294</v>
      </c>
      <c r="E4974" s="45" t="s">
        <v>37296</v>
      </c>
      <c r="F4974" s="45" t="s">
        <v>18158</v>
      </c>
      <c r="G4974" s="45" t="s">
        <v>50592</v>
      </c>
      <c r="H4974" s="56"/>
      <c r="I4974" s="56" t="s">
        <v>50564</v>
      </c>
      <c r="J4974" s="56"/>
      <c r="K4974" s="50"/>
      <c r="L4974" s="56" t="s">
        <v>56716</v>
      </c>
    </row>
    <row r="4975" spans="1:12" s="37" customFormat="1" ht="11.25" x14ac:dyDescent="0.2">
      <c r="A4975" s="45" t="s">
        <v>37298</v>
      </c>
      <c r="B4975" s="45" t="s">
        <v>37300</v>
      </c>
      <c r="C4975" s="51" t="s">
        <v>37303</v>
      </c>
      <c r="D4975" s="51" t="s">
        <v>37302</v>
      </c>
      <c r="E4975" s="45" t="s">
        <v>856</v>
      </c>
      <c r="F4975" s="45" t="s">
        <v>50646</v>
      </c>
      <c r="G4975" s="45" t="s">
        <v>50584</v>
      </c>
      <c r="H4975" s="56"/>
      <c r="I4975" s="56" t="s">
        <v>50564</v>
      </c>
      <c r="J4975" s="56"/>
      <c r="K4975" s="50"/>
      <c r="L4975" s="56" t="s">
        <v>56716</v>
      </c>
    </row>
    <row r="4976" spans="1:12" s="37" customFormat="1" ht="11.25" x14ac:dyDescent="0.2">
      <c r="A4976" s="46" t="s">
        <v>4438</v>
      </c>
      <c r="B4976" s="46" t="s">
        <v>53970</v>
      </c>
      <c r="C4976" s="58" t="str">
        <f>"03170209"</f>
        <v>03170209</v>
      </c>
      <c r="D4976" s="58" t="str">
        <f>""</f>
        <v/>
      </c>
      <c r="E4976" s="46" t="s">
        <v>4440</v>
      </c>
      <c r="F4976" s="46" t="s">
        <v>18959</v>
      </c>
      <c r="G4976" s="46" t="s">
        <v>50584</v>
      </c>
      <c r="H4976" s="48" t="s">
        <v>56716</v>
      </c>
      <c r="I4976" s="48" t="s">
        <v>50564</v>
      </c>
      <c r="J4976" s="48"/>
      <c r="K4976" s="50"/>
      <c r="L4976" s="48"/>
    </row>
    <row r="4977" spans="1:12" s="37" customFormat="1" ht="11.25" x14ac:dyDescent="0.2">
      <c r="A4977" s="46" t="s">
        <v>2623</v>
      </c>
      <c r="B4977" s="46" t="s">
        <v>53971</v>
      </c>
      <c r="C4977" s="58" t="str">
        <f>"07360266"</f>
        <v>07360266</v>
      </c>
      <c r="D4977" s="58" t="str">
        <f>"1554527X"</f>
        <v>1554527X</v>
      </c>
      <c r="E4977" s="46" t="s">
        <v>517</v>
      </c>
      <c r="F4977" s="46" t="s">
        <v>17759</v>
      </c>
      <c r="G4977" s="46" t="s">
        <v>50584</v>
      </c>
      <c r="H4977" s="48" t="s">
        <v>56716</v>
      </c>
      <c r="I4977" s="48" t="s">
        <v>50564</v>
      </c>
      <c r="J4977" s="48" t="s">
        <v>56716</v>
      </c>
      <c r="K4977" s="50" t="s">
        <v>56716</v>
      </c>
      <c r="L4977" s="48" t="s">
        <v>56716</v>
      </c>
    </row>
    <row r="4978" spans="1:12" s="37" customFormat="1" ht="11.25" x14ac:dyDescent="0.2">
      <c r="A4978" s="46" t="s">
        <v>7196</v>
      </c>
      <c r="B4978" s="46" t="s">
        <v>53972</v>
      </c>
      <c r="C4978" s="58" t="str">
        <f>"09492658"</f>
        <v>09492658</v>
      </c>
      <c r="D4978" s="58" t="str">
        <f>"14362023"</f>
        <v>14362023</v>
      </c>
      <c r="E4978" s="46" t="s">
        <v>23335</v>
      </c>
      <c r="F4978" s="46" t="s">
        <v>18242</v>
      </c>
      <c r="G4978" s="46" t="s">
        <v>50584</v>
      </c>
      <c r="H4978" s="48" t="s">
        <v>56716</v>
      </c>
      <c r="I4978" s="48" t="s">
        <v>50564</v>
      </c>
      <c r="J4978" s="48"/>
      <c r="K4978" s="50" t="s">
        <v>56716</v>
      </c>
      <c r="L4978" s="48" t="s">
        <v>56716</v>
      </c>
    </row>
    <row r="4979" spans="1:12" s="37" customFormat="1" ht="11.25" x14ac:dyDescent="0.2">
      <c r="A4979" s="45" t="s">
        <v>37321</v>
      </c>
      <c r="B4979" s="45" t="s">
        <v>37323</v>
      </c>
      <c r="C4979" s="51" t="s">
        <v>37325</v>
      </c>
      <c r="D4979" s="51"/>
      <c r="E4979" s="45" t="s">
        <v>6894</v>
      </c>
      <c r="F4979" s="45" t="s">
        <v>17958</v>
      </c>
      <c r="G4979" s="45" t="s">
        <v>50584</v>
      </c>
      <c r="H4979" s="56"/>
      <c r="I4979" s="56" t="s">
        <v>50564</v>
      </c>
      <c r="J4979" s="56"/>
      <c r="K4979" s="50"/>
      <c r="L4979" s="56" t="s">
        <v>56716</v>
      </c>
    </row>
    <row r="4980" spans="1:12" s="37" customFormat="1" ht="11.25" x14ac:dyDescent="0.2">
      <c r="A4980" s="45" t="s">
        <v>37327</v>
      </c>
      <c r="B4980" s="45" t="s">
        <v>37329</v>
      </c>
      <c r="C4980" s="51"/>
      <c r="D4980" s="51" t="s">
        <v>37330</v>
      </c>
      <c r="E4980" s="45" t="s">
        <v>18570</v>
      </c>
      <c r="F4980" s="45" t="s">
        <v>50646</v>
      </c>
      <c r="G4980" s="45" t="s">
        <v>50584</v>
      </c>
      <c r="H4980" s="56"/>
      <c r="I4980" s="56" t="s">
        <v>50564</v>
      </c>
      <c r="J4980" s="56"/>
      <c r="K4980" s="50"/>
      <c r="L4980" s="56" t="s">
        <v>56716</v>
      </c>
    </row>
    <row r="4981" spans="1:12" s="37" customFormat="1" ht="11.25" x14ac:dyDescent="0.2">
      <c r="A4981" s="46" t="s">
        <v>17390</v>
      </c>
      <c r="B4981" s="46" t="s">
        <v>53973</v>
      </c>
      <c r="C4981" s="58" t="str">
        <f>"2214031X"</f>
        <v>2214031X</v>
      </c>
      <c r="D4981" s="58" t="str">
        <f>""</f>
        <v/>
      </c>
      <c r="E4981" s="46" t="s">
        <v>2776</v>
      </c>
      <c r="F4981" s="46" t="s">
        <v>19491</v>
      </c>
      <c r="G4981" s="46" t="s">
        <v>50584</v>
      </c>
      <c r="H4981" s="48" t="s">
        <v>56716</v>
      </c>
      <c r="I4981" s="48" t="s">
        <v>50564</v>
      </c>
      <c r="J4981" s="48"/>
      <c r="K4981" s="50" t="s">
        <v>56716</v>
      </c>
      <c r="L4981" s="48"/>
    </row>
    <row r="4982" spans="1:12" s="37" customFormat="1" ht="11.25" x14ac:dyDescent="0.2">
      <c r="A4982" s="46" t="s">
        <v>8610</v>
      </c>
      <c r="B4982" s="46" t="s">
        <v>53974</v>
      </c>
      <c r="C4982" s="58" t="str">
        <f>"08905339"</f>
        <v>08905339</v>
      </c>
      <c r="D4982" s="58" t="str">
        <f>"15312291"</f>
        <v>15312291</v>
      </c>
      <c r="E4982" s="46" t="s">
        <v>28</v>
      </c>
      <c r="F4982" s="46" t="s">
        <v>17759</v>
      </c>
      <c r="G4982" s="46" t="s">
        <v>50584</v>
      </c>
      <c r="H4982" s="48" t="s">
        <v>56716</v>
      </c>
      <c r="I4982" s="48" t="s">
        <v>50564</v>
      </c>
      <c r="J4982" s="48" t="s">
        <v>56716</v>
      </c>
      <c r="K4982" s="50" t="s">
        <v>56716</v>
      </c>
      <c r="L4982" s="48" t="s">
        <v>56716</v>
      </c>
    </row>
    <row r="4983" spans="1:12" s="37" customFormat="1" ht="11.25" x14ac:dyDescent="0.2">
      <c r="A4983" s="46" t="s">
        <v>12160</v>
      </c>
      <c r="B4983" s="46" t="s">
        <v>53975</v>
      </c>
      <c r="C4983" s="58" t="str">
        <f>""</f>
        <v/>
      </c>
      <c r="D4983" s="58" t="str">
        <f>"0972978X"</f>
        <v>0972978X</v>
      </c>
      <c r="E4983" s="46" t="s">
        <v>12162</v>
      </c>
      <c r="F4983" s="46" t="s">
        <v>20446</v>
      </c>
      <c r="G4983" s="46" t="s">
        <v>50584</v>
      </c>
      <c r="H4983" s="48" t="s">
        <v>56716</v>
      </c>
      <c r="I4983" s="48" t="s">
        <v>50564</v>
      </c>
      <c r="J4983" s="48" t="s">
        <v>56716</v>
      </c>
      <c r="K4983" s="50"/>
      <c r="L4983" s="48"/>
    </row>
    <row r="4984" spans="1:12" s="37" customFormat="1" ht="11.25" x14ac:dyDescent="0.2">
      <c r="A4984" s="46" t="s">
        <v>8955</v>
      </c>
      <c r="B4984" s="46" t="s">
        <v>53976</v>
      </c>
      <c r="C4984" s="58" t="str">
        <f>"15909921"</f>
        <v>15909921</v>
      </c>
      <c r="D4984" s="58" t="str">
        <f>"15909999"</f>
        <v>15909999</v>
      </c>
      <c r="E4984" s="46" t="s">
        <v>55895</v>
      </c>
      <c r="F4984" s="46" t="s">
        <v>17991</v>
      </c>
      <c r="G4984" s="46" t="s">
        <v>50584</v>
      </c>
      <c r="H4984" s="48" t="s">
        <v>56716</v>
      </c>
      <c r="I4984" s="48" t="s">
        <v>50564</v>
      </c>
      <c r="J4984" s="48" t="s">
        <v>56716</v>
      </c>
      <c r="K4984" s="50" t="s">
        <v>56716</v>
      </c>
      <c r="L4984" s="48" t="s">
        <v>56716</v>
      </c>
    </row>
    <row r="4985" spans="1:12" s="37" customFormat="1" ht="11.25" x14ac:dyDescent="0.2">
      <c r="A4985" s="46" t="s">
        <v>15372</v>
      </c>
      <c r="B4985" s="46" t="s">
        <v>53977</v>
      </c>
      <c r="C4985" s="58" t="str">
        <f>"22104917"</f>
        <v>22104917</v>
      </c>
      <c r="D4985" s="58" t="str">
        <f>"22104925"</f>
        <v>22104925</v>
      </c>
      <c r="E4985" s="46" t="s">
        <v>91</v>
      </c>
      <c r="F4985" s="46" t="s">
        <v>18001</v>
      </c>
      <c r="G4985" s="46" t="s">
        <v>50584</v>
      </c>
      <c r="H4985" s="48" t="s">
        <v>56716</v>
      </c>
      <c r="I4985" s="48" t="s">
        <v>50564</v>
      </c>
      <c r="J4985" s="48" t="s">
        <v>56716</v>
      </c>
      <c r="K4985" s="50" t="s">
        <v>56716</v>
      </c>
      <c r="L4985" s="48"/>
    </row>
    <row r="4986" spans="1:12" s="37" customFormat="1" ht="11.25" x14ac:dyDescent="0.2">
      <c r="A4986" s="46" t="s">
        <v>16062</v>
      </c>
      <c r="B4986" s="46" t="s">
        <v>53978</v>
      </c>
      <c r="C4986" s="58" t="str">
        <f>"20908059"</f>
        <v>20908059</v>
      </c>
      <c r="D4986" s="58" t="str">
        <f>"20420064"</f>
        <v>20420064</v>
      </c>
      <c r="E4986" s="46" t="s">
        <v>1412</v>
      </c>
      <c r="F4986" s="46" t="s">
        <v>17759</v>
      </c>
      <c r="G4986" s="46" t="s">
        <v>50584</v>
      </c>
      <c r="H4986" s="48" t="s">
        <v>56716</v>
      </c>
      <c r="I4986" s="48" t="s">
        <v>50564</v>
      </c>
      <c r="J4986" s="48" t="s">
        <v>56716</v>
      </c>
      <c r="K4986" s="50"/>
      <c r="L4986" s="48"/>
    </row>
    <row r="4987" spans="1:12" s="37" customFormat="1" ht="11.25" x14ac:dyDescent="0.2">
      <c r="A4987" s="46" t="s">
        <v>12836</v>
      </c>
      <c r="B4987" s="46" t="s">
        <v>53979</v>
      </c>
      <c r="C4987" s="58" t="str">
        <f>"19160216"</f>
        <v>19160216</v>
      </c>
      <c r="D4987" s="58" t="str">
        <f>""</f>
        <v/>
      </c>
      <c r="E4987" s="46" t="s">
        <v>7346</v>
      </c>
      <c r="F4987" s="46" t="s">
        <v>18959</v>
      </c>
      <c r="G4987" s="46" t="s">
        <v>50590</v>
      </c>
      <c r="H4987" s="48" t="s">
        <v>56716</v>
      </c>
      <c r="I4987" s="48" t="s">
        <v>50564</v>
      </c>
      <c r="J4987" s="48" t="s">
        <v>56716</v>
      </c>
      <c r="K4987" s="50"/>
      <c r="L4987" s="48" t="s">
        <v>56716</v>
      </c>
    </row>
    <row r="4988" spans="1:12" s="37" customFormat="1" ht="11.25" x14ac:dyDescent="0.2">
      <c r="A4988" s="46" t="s">
        <v>55952</v>
      </c>
      <c r="B4988" s="46" t="s">
        <v>55953</v>
      </c>
      <c r="C4988" s="58" t="str">
        <f>""</f>
        <v/>
      </c>
      <c r="D4988" s="58" t="str">
        <f>"16722930"</f>
        <v>16722930</v>
      </c>
      <c r="E4988" s="46" t="s">
        <v>55954</v>
      </c>
      <c r="F4988" s="46" t="s">
        <v>17958</v>
      </c>
      <c r="G4988" s="46" t="s">
        <v>50584</v>
      </c>
      <c r="H4988" s="48" t="s">
        <v>56716</v>
      </c>
      <c r="I4988" s="48" t="s">
        <v>50564</v>
      </c>
      <c r="J4988" s="48"/>
      <c r="K4988" s="50" t="s">
        <v>56716</v>
      </c>
      <c r="L4988" s="48"/>
    </row>
    <row r="4989" spans="1:12" s="37" customFormat="1" ht="11.25" x14ac:dyDescent="0.2">
      <c r="A4989" s="46" t="s">
        <v>13899</v>
      </c>
      <c r="B4989" s="46" t="s">
        <v>53980</v>
      </c>
      <c r="C4989" s="58" t="str">
        <f>""</f>
        <v/>
      </c>
      <c r="D4989" s="58" t="str">
        <f>"17572215"</f>
        <v>17572215</v>
      </c>
      <c r="E4989" s="46" t="s">
        <v>2299</v>
      </c>
      <c r="F4989" s="46" t="s">
        <v>50646</v>
      </c>
      <c r="G4989" s="46" t="s">
        <v>50584</v>
      </c>
      <c r="H4989" s="48" t="s">
        <v>56716</v>
      </c>
      <c r="I4989" s="48" t="s">
        <v>50564</v>
      </c>
      <c r="J4989" s="48" t="s">
        <v>56716</v>
      </c>
      <c r="K4989" s="50" t="s">
        <v>56716</v>
      </c>
      <c r="L4989" s="48" t="s">
        <v>56716</v>
      </c>
    </row>
    <row r="4990" spans="1:12" s="37" customFormat="1" ht="11.25" x14ac:dyDescent="0.2">
      <c r="A4990" s="46" t="s">
        <v>16907</v>
      </c>
      <c r="B4990" s="46" t="s">
        <v>53981</v>
      </c>
      <c r="C4990" s="58" t="str">
        <f>"18144527"</f>
        <v>18144527</v>
      </c>
      <c r="D4990" s="58" t="str">
        <f>""</f>
        <v/>
      </c>
      <c r="E4990" s="46" t="s">
        <v>10015</v>
      </c>
      <c r="F4990" s="46" t="s">
        <v>50647</v>
      </c>
      <c r="G4990" s="46" t="s">
        <v>50584</v>
      </c>
      <c r="H4990" s="48" t="s">
        <v>56716</v>
      </c>
      <c r="I4990" s="48" t="s">
        <v>50564</v>
      </c>
      <c r="J4990" s="48"/>
      <c r="K4990" s="50"/>
      <c r="L4990" s="48"/>
    </row>
    <row r="4991" spans="1:12" s="37" customFormat="1" ht="11.25" x14ac:dyDescent="0.2">
      <c r="A4991" s="46" t="s">
        <v>5228</v>
      </c>
      <c r="B4991" s="46" t="s">
        <v>53982</v>
      </c>
      <c r="C4991" s="58" t="str">
        <f>"10344810"</f>
        <v>10344810</v>
      </c>
      <c r="D4991" s="58" t="str">
        <f>"14401754"</f>
        <v>14401754</v>
      </c>
      <c r="E4991" s="46" t="s">
        <v>296</v>
      </c>
      <c r="F4991" s="46" t="s">
        <v>20082</v>
      </c>
      <c r="G4991" s="46" t="s">
        <v>50584</v>
      </c>
      <c r="H4991" s="48" t="s">
        <v>56716</v>
      </c>
      <c r="I4991" s="48" t="s">
        <v>50564</v>
      </c>
      <c r="J4991" s="48" t="s">
        <v>56716</v>
      </c>
      <c r="K4991" s="50" t="s">
        <v>56716</v>
      </c>
      <c r="L4991" s="48" t="s">
        <v>56716</v>
      </c>
    </row>
    <row r="4992" spans="1:12" s="37" customFormat="1" ht="11.25" x14ac:dyDescent="0.2">
      <c r="A4992" s="46" t="s">
        <v>8628</v>
      </c>
      <c r="B4992" s="46" t="s">
        <v>53983</v>
      </c>
      <c r="C4992" s="58" t="str">
        <f>"15265900"</f>
        <v>15265900</v>
      </c>
      <c r="D4992" s="58" t="str">
        <f>"15288447"</f>
        <v>15288447</v>
      </c>
      <c r="E4992" s="46" t="s">
        <v>2296</v>
      </c>
      <c r="F4992" s="46" t="s">
        <v>17759</v>
      </c>
      <c r="G4992" s="46" t="s">
        <v>50584</v>
      </c>
      <c r="H4992" s="48" t="s">
        <v>56716</v>
      </c>
      <c r="I4992" s="48" t="s">
        <v>50564</v>
      </c>
      <c r="J4992" s="48"/>
      <c r="K4992" s="50" t="s">
        <v>56716</v>
      </c>
      <c r="L4992" s="48" t="s">
        <v>56716</v>
      </c>
    </row>
    <row r="4993" spans="1:12" s="37" customFormat="1" ht="11.25" x14ac:dyDescent="0.2">
      <c r="A4993" s="46" t="s">
        <v>9465</v>
      </c>
      <c r="B4993" s="46" t="s">
        <v>53984</v>
      </c>
      <c r="C4993" s="58" t="str">
        <f>"15360288"</f>
        <v>15360288</v>
      </c>
      <c r="D4993" s="58" t="str">
        <f>"15360539"</f>
        <v>15360539</v>
      </c>
      <c r="E4993" s="46" t="s">
        <v>291</v>
      </c>
      <c r="F4993" s="46" t="s">
        <v>17759</v>
      </c>
      <c r="G4993" s="46" t="s">
        <v>50584</v>
      </c>
      <c r="H4993" s="48" t="s">
        <v>56716</v>
      </c>
      <c r="I4993" s="48" t="s">
        <v>50564</v>
      </c>
      <c r="J4993" s="48"/>
      <c r="K4993" s="50"/>
      <c r="L4993" s="48" t="s">
        <v>56716</v>
      </c>
    </row>
    <row r="4994" spans="1:12" s="37" customFormat="1" ht="11.25" x14ac:dyDescent="0.2">
      <c r="A4994" s="46" t="s">
        <v>2699</v>
      </c>
      <c r="B4994" s="46" t="s">
        <v>53985</v>
      </c>
      <c r="C4994" s="58" t="str">
        <f>"08853924"</f>
        <v>08853924</v>
      </c>
      <c r="D4994" s="58" t="str">
        <f>"18736513"</f>
        <v>18736513</v>
      </c>
      <c r="E4994" s="46" t="s">
        <v>272</v>
      </c>
      <c r="F4994" s="46" t="s">
        <v>17759</v>
      </c>
      <c r="G4994" s="46" t="s">
        <v>50584</v>
      </c>
      <c r="H4994" s="48" t="s">
        <v>56716</v>
      </c>
      <c r="I4994" s="48" t="s">
        <v>50564</v>
      </c>
      <c r="J4994" s="48"/>
      <c r="K4994" s="50" t="s">
        <v>56716</v>
      </c>
      <c r="L4994" s="48" t="s">
        <v>56716</v>
      </c>
    </row>
    <row r="4995" spans="1:12" s="37" customFormat="1" ht="11.25" x14ac:dyDescent="0.2">
      <c r="A4995" s="46" t="s">
        <v>13153</v>
      </c>
      <c r="B4995" s="46" t="s">
        <v>53986</v>
      </c>
      <c r="C4995" s="58" t="str">
        <f>"19395914"</f>
        <v>19395914</v>
      </c>
      <c r="D4995" s="58" t="str">
        <f>""</f>
        <v/>
      </c>
      <c r="E4995" s="46" t="s">
        <v>11878</v>
      </c>
      <c r="F4995" s="46" t="s">
        <v>17759</v>
      </c>
      <c r="G4995" s="46" t="s">
        <v>50584</v>
      </c>
      <c r="H4995" s="48" t="s">
        <v>56716</v>
      </c>
      <c r="I4995" s="48" t="s">
        <v>50564</v>
      </c>
      <c r="J4995" s="48"/>
      <c r="K4995" s="50"/>
      <c r="L4995" s="48"/>
    </row>
    <row r="4996" spans="1:12" s="37" customFormat="1" ht="11.25" x14ac:dyDescent="0.2">
      <c r="A4996" s="46" t="s">
        <v>13950</v>
      </c>
      <c r="B4996" s="46" t="s">
        <v>53987</v>
      </c>
      <c r="C4996" s="58" t="str">
        <f>"11787090"</f>
        <v>11787090</v>
      </c>
      <c r="D4996" s="58" t="str">
        <f>"11787090"</f>
        <v>11787090</v>
      </c>
      <c r="E4996" s="46" t="s">
        <v>11079</v>
      </c>
      <c r="F4996" s="46" t="s">
        <v>19483</v>
      </c>
      <c r="G4996" s="46" t="s">
        <v>50584</v>
      </c>
      <c r="H4996" s="48" t="s">
        <v>56716</v>
      </c>
      <c r="I4996" s="48" t="s">
        <v>50564</v>
      </c>
      <c r="J4996" s="48"/>
      <c r="K4996" s="50"/>
      <c r="L4996" s="48"/>
    </row>
    <row r="4997" spans="1:12" s="37" customFormat="1" ht="11.25" x14ac:dyDescent="0.2">
      <c r="A4997" s="46" t="s">
        <v>7969</v>
      </c>
      <c r="B4997" s="46" t="s">
        <v>53988</v>
      </c>
      <c r="C4997" s="58" t="str">
        <f>"15609014"</f>
        <v>15609014</v>
      </c>
      <c r="D4997" s="58" t="str">
        <f>""</f>
        <v/>
      </c>
      <c r="E4997" s="46" t="s">
        <v>7971</v>
      </c>
      <c r="F4997" s="46" t="s">
        <v>34138</v>
      </c>
      <c r="G4997" s="46" t="s">
        <v>50584</v>
      </c>
      <c r="H4997" s="48" t="s">
        <v>56716</v>
      </c>
      <c r="I4997" s="48" t="s">
        <v>50564</v>
      </c>
      <c r="J4997" s="48"/>
      <c r="K4997" s="50"/>
      <c r="L4997" s="48"/>
    </row>
    <row r="4998" spans="1:12" s="37" customFormat="1" ht="11.25" x14ac:dyDescent="0.2">
      <c r="A4998" s="45" t="s">
        <v>37369</v>
      </c>
      <c r="B4998" s="45" t="s">
        <v>37371</v>
      </c>
      <c r="C4998" s="51" t="s">
        <v>37372</v>
      </c>
      <c r="D4998" s="51"/>
      <c r="E4998" s="45" t="s">
        <v>37373</v>
      </c>
      <c r="F4998" s="45" t="s">
        <v>18959</v>
      </c>
      <c r="G4998" s="45" t="s">
        <v>50584</v>
      </c>
      <c r="H4998" s="56"/>
      <c r="I4998" s="56" t="s">
        <v>50564</v>
      </c>
      <c r="J4998" s="56"/>
      <c r="K4998" s="50"/>
      <c r="L4998" s="56" t="s">
        <v>56716</v>
      </c>
    </row>
    <row r="4999" spans="1:12" s="37" customFormat="1" ht="11.25" x14ac:dyDescent="0.2">
      <c r="A4999" s="46" t="s">
        <v>7966</v>
      </c>
      <c r="B4999" s="46" t="s">
        <v>53989</v>
      </c>
      <c r="C4999" s="58" t="str">
        <f>"10966218"</f>
        <v>10966218</v>
      </c>
      <c r="D4999" s="58" t="str">
        <f>"15577740"</f>
        <v>15577740</v>
      </c>
      <c r="E4999" s="46" t="s">
        <v>4337</v>
      </c>
      <c r="F4999" s="46" t="s">
        <v>17759</v>
      </c>
      <c r="G4999" s="46" t="s">
        <v>50584</v>
      </c>
      <c r="H4999" s="48" t="s">
        <v>56716</v>
      </c>
      <c r="I4999" s="48" t="s">
        <v>50564</v>
      </c>
      <c r="J4999" s="48"/>
      <c r="K4999" s="50"/>
      <c r="L4999" s="48" t="s">
        <v>56716</v>
      </c>
    </row>
    <row r="5000" spans="1:12" s="37" customFormat="1" ht="11.25" x14ac:dyDescent="0.2">
      <c r="A5000" s="46" t="s">
        <v>14405</v>
      </c>
      <c r="B5000" s="46" t="s">
        <v>53990</v>
      </c>
      <c r="C5000" s="58" t="str">
        <f>"09717196"</f>
        <v>09717196</v>
      </c>
      <c r="D5000" s="58" t="str">
        <f>"09750703"</f>
        <v>09750703</v>
      </c>
      <c r="E5000" s="46" t="s">
        <v>1977</v>
      </c>
      <c r="F5000" s="46" t="s">
        <v>20446</v>
      </c>
      <c r="G5000" s="46" t="s">
        <v>50584</v>
      </c>
      <c r="H5000" s="48" t="s">
        <v>56716</v>
      </c>
      <c r="I5000" s="48" t="s">
        <v>50564</v>
      </c>
      <c r="J5000" s="48" t="s">
        <v>56716</v>
      </c>
      <c r="K5000" s="50" t="s">
        <v>56716</v>
      </c>
      <c r="L5000" s="48"/>
    </row>
    <row r="5001" spans="1:12" s="37" customFormat="1" ht="11.25" x14ac:dyDescent="0.2">
      <c r="A5001" s="46" t="s">
        <v>2613</v>
      </c>
      <c r="B5001" s="46" t="s">
        <v>53991</v>
      </c>
      <c r="C5001" s="58" t="str">
        <f>"00223395"</f>
        <v>00223395</v>
      </c>
      <c r="D5001" s="58" t="str">
        <f>"19372345"</f>
        <v>19372345</v>
      </c>
      <c r="E5001" s="46" t="s">
        <v>2616</v>
      </c>
      <c r="F5001" s="46" t="s">
        <v>17759</v>
      </c>
      <c r="G5001" s="46" t="s">
        <v>50584</v>
      </c>
      <c r="H5001" s="48" t="s">
        <v>56716</v>
      </c>
      <c r="I5001" s="48" t="s">
        <v>50564</v>
      </c>
      <c r="J5001" s="48"/>
      <c r="K5001" s="50"/>
      <c r="L5001" s="48" t="s">
        <v>56716</v>
      </c>
    </row>
    <row r="5002" spans="1:12" s="37" customFormat="1" ht="11.25" x14ac:dyDescent="0.2">
      <c r="A5002" s="46" t="s">
        <v>15136</v>
      </c>
      <c r="B5002" s="46" t="s">
        <v>53992</v>
      </c>
      <c r="C5002" s="58" t="str">
        <f>"20900023"</f>
        <v>20900023</v>
      </c>
      <c r="D5002" s="58" t="str">
        <f>"20900031"</f>
        <v>20900031</v>
      </c>
      <c r="E5002" s="46" t="s">
        <v>1412</v>
      </c>
      <c r="F5002" s="46" t="s">
        <v>17759</v>
      </c>
      <c r="G5002" s="46" t="s">
        <v>50584</v>
      </c>
      <c r="H5002" s="48" t="s">
        <v>56716</v>
      </c>
      <c r="I5002" s="48" t="s">
        <v>50564</v>
      </c>
      <c r="J5002" s="48" t="s">
        <v>56716</v>
      </c>
      <c r="K5002" s="50"/>
      <c r="L5002" s="48"/>
    </row>
    <row r="5003" spans="1:12" s="37" customFormat="1" ht="11.25" x14ac:dyDescent="0.2">
      <c r="A5003" s="46" t="s">
        <v>2658</v>
      </c>
      <c r="B5003" s="46" t="s">
        <v>53993</v>
      </c>
      <c r="C5003" s="58" t="str">
        <f>"01486071"</f>
        <v>01486071</v>
      </c>
      <c r="D5003" s="58" t="str">
        <f>"19412444"</f>
        <v>19412444</v>
      </c>
      <c r="E5003" s="46" t="s">
        <v>493</v>
      </c>
      <c r="F5003" s="46" t="s">
        <v>17759</v>
      </c>
      <c r="G5003" s="46" t="s">
        <v>50584</v>
      </c>
      <c r="H5003" s="48" t="s">
        <v>56716</v>
      </c>
      <c r="I5003" s="48" t="s">
        <v>50564</v>
      </c>
      <c r="J5003" s="48" t="s">
        <v>56716</v>
      </c>
      <c r="K5003" s="50"/>
      <c r="L5003" s="48" t="s">
        <v>56716</v>
      </c>
    </row>
    <row r="5004" spans="1:12" s="37" customFormat="1" ht="11.25" x14ac:dyDescent="0.2">
      <c r="A5004" s="46" t="s">
        <v>14994</v>
      </c>
      <c r="B5004" s="46" t="s">
        <v>53994</v>
      </c>
      <c r="C5004" s="58" t="str">
        <f>"18777171"</f>
        <v>18777171</v>
      </c>
      <c r="D5004" s="58" t="str">
        <f>"1877718X"</f>
        <v>1877718X</v>
      </c>
      <c r="E5004" s="46" t="s">
        <v>920</v>
      </c>
      <c r="F5004" s="46" t="s">
        <v>18001</v>
      </c>
      <c r="G5004" s="46" t="s">
        <v>50584</v>
      </c>
      <c r="H5004" s="48" t="s">
        <v>56716</v>
      </c>
      <c r="I5004" s="48" t="s">
        <v>50564</v>
      </c>
      <c r="J5004" s="48" t="s">
        <v>56716</v>
      </c>
      <c r="K5004" s="50"/>
      <c r="L5004" s="48" t="s">
        <v>56716</v>
      </c>
    </row>
    <row r="5005" spans="1:12" s="37" customFormat="1" ht="11.25" x14ac:dyDescent="0.2">
      <c r="A5005" s="46" t="s">
        <v>16065</v>
      </c>
      <c r="B5005" s="46" t="s">
        <v>53995</v>
      </c>
      <c r="C5005" s="58" t="str">
        <f>"20903057"</f>
        <v>20903057</v>
      </c>
      <c r="D5005" s="58" t="str">
        <f>"20903065"</f>
        <v>20903065</v>
      </c>
      <c r="E5005" s="46" t="s">
        <v>1412</v>
      </c>
      <c r="F5005" s="46" t="s">
        <v>17759</v>
      </c>
      <c r="G5005" s="46" t="s">
        <v>50584</v>
      </c>
      <c r="H5005" s="48" t="s">
        <v>56716</v>
      </c>
      <c r="I5005" s="48" t="s">
        <v>50564</v>
      </c>
      <c r="J5005" s="48" t="s">
        <v>56716</v>
      </c>
      <c r="K5005" s="50"/>
      <c r="L5005" s="48"/>
    </row>
    <row r="5006" spans="1:12" s="37" customFormat="1" ht="11.25" x14ac:dyDescent="0.2">
      <c r="A5006" s="46" t="s">
        <v>2702</v>
      </c>
      <c r="B5006" s="46" t="s">
        <v>53996</v>
      </c>
      <c r="C5006" s="58" t="str">
        <f>"00223417"</f>
        <v>00223417</v>
      </c>
      <c r="D5006" s="58" t="str">
        <f>"10969896"</f>
        <v>10969896</v>
      </c>
      <c r="E5006" s="46" t="s">
        <v>751</v>
      </c>
      <c r="F5006" s="46" t="s">
        <v>50646</v>
      </c>
      <c r="G5006" s="46" t="s">
        <v>50584</v>
      </c>
      <c r="H5006" s="48" t="s">
        <v>56716</v>
      </c>
      <c r="I5006" s="48" t="s">
        <v>50564</v>
      </c>
      <c r="J5006" s="48" t="s">
        <v>56716</v>
      </c>
      <c r="K5006" s="50" t="s">
        <v>56716</v>
      </c>
      <c r="L5006" s="48" t="s">
        <v>56716</v>
      </c>
    </row>
    <row r="5007" spans="1:12" s="37" customFormat="1" ht="11.25" x14ac:dyDescent="0.2">
      <c r="A5007" s="45" t="s">
        <v>37400</v>
      </c>
      <c r="B5007" s="45" t="s">
        <v>37402</v>
      </c>
      <c r="C5007" s="51" t="s">
        <v>37404</v>
      </c>
      <c r="D5007" s="51" t="s">
        <v>37403</v>
      </c>
      <c r="E5007" s="45" t="s">
        <v>17758</v>
      </c>
      <c r="F5007" s="45" t="s">
        <v>17759</v>
      </c>
      <c r="G5007" s="45" t="s">
        <v>50584</v>
      </c>
      <c r="H5007" s="56"/>
      <c r="I5007" s="56" t="s">
        <v>50564</v>
      </c>
      <c r="J5007" s="56"/>
      <c r="K5007" s="50"/>
      <c r="L5007" s="56" t="s">
        <v>56716</v>
      </c>
    </row>
    <row r="5008" spans="1:12" s="37" customFormat="1" ht="11.25" x14ac:dyDescent="0.2">
      <c r="A5008" s="46" t="s">
        <v>17200</v>
      </c>
      <c r="B5008" s="46" t="s">
        <v>53997</v>
      </c>
      <c r="C5008" s="58" t="str">
        <f>"2214207X"</f>
        <v>2214207X</v>
      </c>
      <c r="D5008" s="58" t="str">
        <f>"22142088"</f>
        <v>22142088</v>
      </c>
      <c r="E5008" s="46" t="s">
        <v>12162</v>
      </c>
      <c r="F5008" s="46" t="s">
        <v>20446</v>
      </c>
      <c r="G5008" s="46" t="s">
        <v>50584</v>
      </c>
      <c r="H5008" s="48" t="s">
        <v>56716</v>
      </c>
      <c r="I5008" s="48" t="s">
        <v>50564</v>
      </c>
      <c r="J5008" s="48" t="s">
        <v>56716</v>
      </c>
      <c r="K5008" s="50" t="s">
        <v>56716</v>
      </c>
      <c r="L5008" s="48"/>
    </row>
    <row r="5009" spans="1:12" s="37" customFormat="1" ht="11.25" x14ac:dyDescent="0.2">
      <c r="A5009" s="46" t="s">
        <v>7276</v>
      </c>
      <c r="B5009" s="46" t="s">
        <v>53998</v>
      </c>
      <c r="C5009" s="58" t="str">
        <f>"10833188"</f>
        <v>10833188</v>
      </c>
      <c r="D5009" s="58" t="str">
        <f>"18734332"</f>
        <v>18734332</v>
      </c>
      <c r="E5009" s="46" t="s">
        <v>673</v>
      </c>
      <c r="F5009" s="46" t="s">
        <v>17759</v>
      </c>
      <c r="G5009" s="46" t="s">
        <v>50584</v>
      </c>
      <c r="H5009" s="48" t="s">
        <v>56716</v>
      </c>
      <c r="I5009" s="48" t="s">
        <v>50564</v>
      </c>
      <c r="J5009" s="48" t="s">
        <v>56716</v>
      </c>
      <c r="K5009" s="50" t="s">
        <v>56716</v>
      </c>
      <c r="L5009" s="48" t="s">
        <v>56716</v>
      </c>
    </row>
    <row r="5010" spans="1:12" s="37" customFormat="1" ht="11.25" x14ac:dyDescent="0.2">
      <c r="A5010" s="46" t="s">
        <v>14997</v>
      </c>
      <c r="B5010" s="46" t="s">
        <v>53999</v>
      </c>
      <c r="C5010" s="58" t="str">
        <f>"18795390"</f>
        <v>18795390</v>
      </c>
      <c r="D5010" s="58" t="str">
        <f>"18795404"</f>
        <v>18795404</v>
      </c>
      <c r="E5010" s="46" t="s">
        <v>920</v>
      </c>
      <c r="F5010" s="46" t="s">
        <v>18001</v>
      </c>
      <c r="G5010" s="46" t="s">
        <v>50584</v>
      </c>
      <c r="H5010" s="48" t="s">
        <v>56716</v>
      </c>
      <c r="I5010" s="48" t="s">
        <v>50564</v>
      </c>
      <c r="J5010" s="48" t="s">
        <v>56716</v>
      </c>
      <c r="K5010" s="50"/>
      <c r="L5010" s="48"/>
    </row>
    <row r="5011" spans="1:12" s="37" customFormat="1" ht="11.25" x14ac:dyDescent="0.2">
      <c r="A5011" s="46" t="s">
        <v>6753</v>
      </c>
      <c r="B5011" s="46" t="s">
        <v>54000</v>
      </c>
      <c r="C5011" s="58" t="str">
        <f>"0334018X"</f>
        <v>0334018X</v>
      </c>
      <c r="D5011" s="58" t="str">
        <f>"21910251"</f>
        <v>21910251</v>
      </c>
      <c r="E5011" s="46" t="s">
        <v>1887</v>
      </c>
      <c r="F5011" s="46" t="s">
        <v>18158</v>
      </c>
      <c r="G5011" s="46" t="s">
        <v>50584</v>
      </c>
      <c r="H5011" s="48" t="s">
        <v>56716</v>
      </c>
      <c r="I5011" s="48" t="s">
        <v>50564</v>
      </c>
      <c r="J5011" s="48"/>
      <c r="K5011" s="50"/>
      <c r="L5011" s="48" t="s">
        <v>56716</v>
      </c>
    </row>
    <row r="5012" spans="1:12" s="37" customFormat="1" ht="11.25" x14ac:dyDescent="0.2">
      <c r="A5012" s="46" t="s">
        <v>16634</v>
      </c>
      <c r="B5012" s="46" t="s">
        <v>54001</v>
      </c>
      <c r="C5012" s="58" t="str">
        <f>"2146457X"</f>
        <v>2146457X</v>
      </c>
      <c r="D5012" s="58" t="str">
        <f>"21464588"</f>
        <v>21464588</v>
      </c>
      <c r="E5012" s="46" t="s">
        <v>920</v>
      </c>
      <c r="F5012" s="46" t="s">
        <v>18001</v>
      </c>
      <c r="G5012" s="46" t="s">
        <v>50584</v>
      </c>
      <c r="H5012" s="48" t="s">
        <v>56716</v>
      </c>
      <c r="I5012" s="48" t="s">
        <v>50564</v>
      </c>
      <c r="J5012" s="48" t="s">
        <v>56716</v>
      </c>
      <c r="K5012" s="50"/>
      <c r="L5012" s="48"/>
    </row>
    <row r="5013" spans="1:12" s="37" customFormat="1" ht="11.25" x14ac:dyDescent="0.2">
      <c r="A5013" s="46" t="s">
        <v>2663</v>
      </c>
      <c r="B5013" s="46" t="s">
        <v>54002</v>
      </c>
      <c r="C5013" s="58" t="str">
        <f>"02772116"</f>
        <v>02772116</v>
      </c>
      <c r="D5013" s="58" t="str">
        <f>"15364801"</f>
        <v>15364801</v>
      </c>
      <c r="E5013" s="46" t="s">
        <v>28</v>
      </c>
      <c r="F5013" s="46" t="s">
        <v>17759</v>
      </c>
      <c r="G5013" s="46" t="s">
        <v>50584</v>
      </c>
      <c r="H5013" s="48" t="s">
        <v>56716</v>
      </c>
      <c r="I5013" s="48" t="s">
        <v>50564</v>
      </c>
      <c r="J5013" s="48" t="s">
        <v>56716</v>
      </c>
      <c r="K5013" s="50" t="s">
        <v>56716</v>
      </c>
      <c r="L5013" s="48" t="s">
        <v>56716</v>
      </c>
    </row>
    <row r="5014" spans="1:12" s="37" customFormat="1" ht="11.25" x14ac:dyDescent="0.2">
      <c r="A5014" s="46" t="s">
        <v>16643</v>
      </c>
      <c r="B5014" s="46" t="s">
        <v>55856</v>
      </c>
      <c r="C5014" s="58" t="str">
        <f>"21464596"</f>
        <v>21464596</v>
      </c>
      <c r="D5014" s="58" t="str">
        <f>"2146460X"</f>
        <v>2146460X</v>
      </c>
      <c r="E5014" s="46" t="s">
        <v>920</v>
      </c>
      <c r="F5014" s="46" t="s">
        <v>18001</v>
      </c>
      <c r="G5014" s="46" t="s">
        <v>50584</v>
      </c>
      <c r="H5014" s="48" t="s">
        <v>56716</v>
      </c>
      <c r="I5014" s="48" t="s">
        <v>50564</v>
      </c>
      <c r="J5014" s="48" t="s">
        <v>56716</v>
      </c>
      <c r="K5014" s="50"/>
      <c r="L5014" s="48"/>
    </row>
    <row r="5015" spans="1:12" s="37" customFormat="1" ht="11.25" x14ac:dyDescent="0.2">
      <c r="A5015" s="45" t="s">
        <v>37423</v>
      </c>
      <c r="B5015" s="45" t="s">
        <v>37425</v>
      </c>
      <c r="C5015" s="51" t="s">
        <v>37427</v>
      </c>
      <c r="D5015" s="51" t="s">
        <v>37426</v>
      </c>
      <c r="E5015" s="45" t="s">
        <v>18951</v>
      </c>
      <c r="F5015" s="45" t="s">
        <v>17759</v>
      </c>
      <c r="G5015" s="45" t="s">
        <v>50584</v>
      </c>
      <c r="H5015" s="56"/>
      <c r="I5015" s="56" t="s">
        <v>50564</v>
      </c>
      <c r="J5015" s="56"/>
      <c r="K5015" s="50"/>
      <c r="L5015" s="56" t="s">
        <v>56716</v>
      </c>
    </row>
    <row r="5016" spans="1:12" s="37" customFormat="1" ht="11.25" x14ac:dyDescent="0.2">
      <c r="A5016" s="46" t="s">
        <v>6555</v>
      </c>
      <c r="B5016" s="46" t="s">
        <v>54003</v>
      </c>
      <c r="C5016" s="58" t="str">
        <f>"10774114"</f>
        <v>10774114</v>
      </c>
      <c r="D5016" s="58" t="str">
        <f>"15363678"</f>
        <v>15363678</v>
      </c>
      <c r="E5016" s="46" t="s">
        <v>28</v>
      </c>
      <c r="F5016" s="46" t="s">
        <v>17759</v>
      </c>
      <c r="G5016" s="46" t="s">
        <v>50584</v>
      </c>
      <c r="H5016" s="48" t="s">
        <v>56716</v>
      </c>
      <c r="I5016" s="48" t="s">
        <v>50564</v>
      </c>
      <c r="J5016" s="48" t="s">
        <v>56716</v>
      </c>
      <c r="K5016" s="50" t="s">
        <v>56716</v>
      </c>
      <c r="L5016" s="48" t="s">
        <v>56716</v>
      </c>
    </row>
    <row r="5017" spans="1:12" s="37" customFormat="1" ht="11.25" x14ac:dyDescent="0.2">
      <c r="A5017" s="46" t="s">
        <v>11925</v>
      </c>
      <c r="B5017" s="46" t="s">
        <v>54004</v>
      </c>
      <c r="C5017" s="58" t="str">
        <f>"13057707"</f>
        <v>13057707</v>
      </c>
      <c r="D5017" s="58" t="str">
        <f>"13057693"</f>
        <v>13057693</v>
      </c>
      <c r="E5017" s="46" t="s">
        <v>920</v>
      </c>
      <c r="F5017" s="46" t="s">
        <v>18001</v>
      </c>
      <c r="G5017" s="46" t="s">
        <v>50584</v>
      </c>
      <c r="H5017" s="48" t="s">
        <v>56716</v>
      </c>
      <c r="I5017" s="48" t="s">
        <v>50564</v>
      </c>
      <c r="J5017" s="48" t="s">
        <v>56716</v>
      </c>
      <c r="K5017" s="50"/>
      <c r="L5017" s="48"/>
    </row>
    <row r="5018" spans="1:12" s="37" customFormat="1" ht="11.25" x14ac:dyDescent="0.2">
      <c r="A5018" s="46" t="s">
        <v>16637</v>
      </c>
      <c r="B5018" s="46" t="s">
        <v>54005</v>
      </c>
      <c r="C5018" s="58" t="str">
        <f>"21464618"</f>
        <v>21464618</v>
      </c>
      <c r="D5018" s="58" t="str">
        <f>"21464626"</f>
        <v>21464626</v>
      </c>
      <c r="E5018" s="46" t="s">
        <v>920</v>
      </c>
      <c r="F5018" s="46" t="s">
        <v>18001</v>
      </c>
      <c r="G5018" s="46" t="s">
        <v>50584</v>
      </c>
      <c r="H5018" s="48" t="s">
        <v>56716</v>
      </c>
      <c r="I5018" s="48" t="s">
        <v>50564</v>
      </c>
      <c r="J5018" s="48" t="s">
        <v>56716</v>
      </c>
      <c r="K5018" s="50"/>
      <c r="L5018" s="48"/>
    </row>
    <row r="5019" spans="1:12" s="37" customFormat="1" ht="11.25" x14ac:dyDescent="0.2">
      <c r="A5019" s="46" t="s">
        <v>10361</v>
      </c>
      <c r="B5019" s="46" t="s">
        <v>54006</v>
      </c>
      <c r="C5019" s="58" t="str">
        <f>"13042580"</f>
        <v>13042580</v>
      </c>
      <c r="D5019" s="58" t="str">
        <f>"13050613"</f>
        <v>13050613</v>
      </c>
      <c r="E5019" s="46" t="s">
        <v>920</v>
      </c>
      <c r="F5019" s="46" t="s">
        <v>18001</v>
      </c>
      <c r="G5019" s="46" t="s">
        <v>50584</v>
      </c>
      <c r="H5019" s="48" t="s">
        <v>56716</v>
      </c>
      <c r="I5019" s="48" t="s">
        <v>50564</v>
      </c>
      <c r="J5019" s="48"/>
      <c r="K5019" s="50"/>
      <c r="L5019" s="48"/>
    </row>
    <row r="5020" spans="1:12" s="37" customFormat="1" ht="11.25" x14ac:dyDescent="0.2">
      <c r="A5020" s="46" t="s">
        <v>16646</v>
      </c>
      <c r="B5020" s="46" t="s">
        <v>55857</v>
      </c>
      <c r="C5020" s="58" t="str">
        <f>"13096680"</f>
        <v>13096680</v>
      </c>
      <c r="D5020" s="58" t="str">
        <f>"13096745"</f>
        <v>13096745</v>
      </c>
      <c r="E5020" s="46" t="s">
        <v>920</v>
      </c>
      <c r="F5020" s="46" t="s">
        <v>18001</v>
      </c>
      <c r="G5020" s="46" t="s">
        <v>50584</v>
      </c>
      <c r="H5020" s="48" t="s">
        <v>56716</v>
      </c>
      <c r="I5020" s="48" t="s">
        <v>50564</v>
      </c>
      <c r="J5020" s="48" t="s">
        <v>56716</v>
      </c>
      <c r="K5020" s="50"/>
      <c r="L5020" s="48"/>
    </row>
    <row r="5021" spans="1:12" s="37" customFormat="1" ht="11.25" x14ac:dyDescent="0.2">
      <c r="A5021" s="46" t="s">
        <v>11299</v>
      </c>
      <c r="B5021" s="46" t="s">
        <v>54007</v>
      </c>
      <c r="C5021" s="58" t="str">
        <f>"18171745"</f>
        <v>18171745</v>
      </c>
      <c r="D5021" s="58" t="str">
        <f>"19983948"</f>
        <v>19983948</v>
      </c>
      <c r="E5021" s="46" t="s">
        <v>19057</v>
      </c>
      <c r="F5021" s="46" t="s">
        <v>20446</v>
      </c>
      <c r="G5021" s="46" t="s">
        <v>50584</v>
      </c>
      <c r="H5021" s="48" t="s">
        <v>56716</v>
      </c>
      <c r="I5021" s="48" t="s">
        <v>50564</v>
      </c>
      <c r="J5021" s="48"/>
      <c r="K5021" s="50"/>
      <c r="L5021" s="48"/>
    </row>
    <row r="5022" spans="1:12" s="37" customFormat="1" ht="11.25" x14ac:dyDescent="0.2">
      <c r="A5022" s="45" t="s">
        <v>37436</v>
      </c>
      <c r="B5022" s="45" t="s">
        <v>37438</v>
      </c>
      <c r="C5022" s="51" t="s">
        <v>37440</v>
      </c>
      <c r="D5022" s="51" t="s">
        <v>37439</v>
      </c>
      <c r="E5022" s="45" t="s">
        <v>303</v>
      </c>
      <c r="F5022" s="45" t="s">
        <v>17759</v>
      </c>
      <c r="G5022" s="45" t="s">
        <v>50584</v>
      </c>
      <c r="H5022" s="56"/>
      <c r="I5022" s="56" t="s">
        <v>50564</v>
      </c>
      <c r="J5022" s="56"/>
      <c r="K5022" s="50"/>
      <c r="L5022" s="56" t="s">
        <v>56716</v>
      </c>
    </row>
    <row r="5023" spans="1:12" s="37" customFormat="1" ht="11.25" x14ac:dyDescent="0.2">
      <c r="A5023" s="45" t="s">
        <v>37442</v>
      </c>
      <c r="B5023" s="45" t="s">
        <v>37444</v>
      </c>
      <c r="C5023" s="51" t="s">
        <v>37447</v>
      </c>
      <c r="D5023" s="51" t="s">
        <v>37446</v>
      </c>
      <c r="E5023" s="45" t="s">
        <v>19447</v>
      </c>
      <c r="F5023" s="45" t="s">
        <v>17759</v>
      </c>
      <c r="G5023" s="45" t="s">
        <v>50584</v>
      </c>
      <c r="H5023" s="56"/>
      <c r="I5023" s="56" t="s">
        <v>50564</v>
      </c>
      <c r="J5023" s="56"/>
      <c r="K5023" s="50"/>
      <c r="L5023" s="56" t="s">
        <v>56716</v>
      </c>
    </row>
    <row r="5024" spans="1:12" s="37" customFormat="1" ht="11.25" x14ac:dyDescent="0.2">
      <c r="A5024" s="46" t="s">
        <v>2685</v>
      </c>
      <c r="B5024" s="46" t="s">
        <v>54008</v>
      </c>
      <c r="C5024" s="58" t="str">
        <f>"01913913"</f>
        <v>01913913</v>
      </c>
      <c r="D5024" s="58" t="str">
        <f>"19382405"</f>
        <v>19382405</v>
      </c>
      <c r="E5024" s="46" t="s">
        <v>2688</v>
      </c>
      <c r="F5024" s="46" t="s">
        <v>17759</v>
      </c>
      <c r="G5024" s="46" t="s">
        <v>50584</v>
      </c>
      <c r="H5024" s="48" t="s">
        <v>56716</v>
      </c>
      <c r="I5024" s="48" t="s">
        <v>50564</v>
      </c>
      <c r="J5024" s="48"/>
      <c r="K5024" s="50"/>
      <c r="L5024" s="48" t="s">
        <v>56716</v>
      </c>
    </row>
    <row r="5025" spans="1:12" s="37" customFormat="1" ht="11.25" x14ac:dyDescent="0.2">
      <c r="A5025" s="46" t="s">
        <v>2682</v>
      </c>
      <c r="B5025" s="46" t="s">
        <v>54009</v>
      </c>
      <c r="C5025" s="58" t="str">
        <f>"02716798"</f>
        <v>02716798</v>
      </c>
      <c r="D5025" s="58" t="str">
        <f>"15392570"</f>
        <v>15392570</v>
      </c>
      <c r="E5025" s="46" t="s">
        <v>28</v>
      </c>
      <c r="F5025" s="46" t="s">
        <v>17759</v>
      </c>
      <c r="G5025" s="46" t="s">
        <v>50584</v>
      </c>
      <c r="H5025" s="48" t="s">
        <v>56716</v>
      </c>
      <c r="I5025" s="48" t="s">
        <v>50564</v>
      </c>
      <c r="J5025" s="48" t="s">
        <v>56716</v>
      </c>
      <c r="K5025" s="50" t="s">
        <v>56716</v>
      </c>
      <c r="L5025" s="48" t="s">
        <v>56716</v>
      </c>
    </row>
    <row r="5026" spans="1:12" s="37" customFormat="1" ht="11.25" x14ac:dyDescent="0.2">
      <c r="A5026" s="46" t="s">
        <v>7173</v>
      </c>
      <c r="B5026" s="46" t="s">
        <v>54010</v>
      </c>
      <c r="C5026" s="58" t="str">
        <f>"1060152X"</f>
        <v>1060152X</v>
      </c>
      <c r="D5026" s="58" t="str">
        <f>"14735865"</f>
        <v>14735865</v>
      </c>
      <c r="E5026" s="46" t="s">
        <v>28</v>
      </c>
      <c r="F5026" s="46" t="s">
        <v>17759</v>
      </c>
      <c r="G5026" s="46" t="s">
        <v>50584</v>
      </c>
      <c r="H5026" s="48" t="s">
        <v>56716</v>
      </c>
      <c r="I5026" s="48" t="s">
        <v>50564</v>
      </c>
      <c r="J5026" s="48" t="s">
        <v>56716</v>
      </c>
      <c r="K5026" s="50" t="s">
        <v>56716</v>
      </c>
      <c r="L5026" s="48" t="s">
        <v>56716</v>
      </c>
    </row>
    <row r="5027" spans="1:12" s="37" customFormat="1" ht="11.25" x14ac:dyDescent="0.2">
      <c r="A5027" s="45" t="s">
        <v>37467</v>
      </c>
      <c r="B5027" s="45" t="s">
        <v>37469</v>
      </c>
      <c r="C5027" s="51" t="s">
        <v>37472</v>
      </c>
      <c r="D5027" s="51" t="s">
        <v>37471</v>
      </c>
      <c r="E5027" s="45" t="s">
        <v>55</v>
      </c>
      <c r="F5027" s="45" t="s">
        <v>17759</v>
      </c>
      <c r="G5027" s="45" t="s">
        <v>50584</v>
      </c>
      <c r="H5027" s="56"/>
      <c r="I5027" s="56" t="s">
        <v>50564</v>
      </c>
      <c r="J5027" s="56"/>
      <c r="K5027" s="50"/>
      <c r="L5027" s="56" t="s">
        <v>56716</v>
      </c>
    </row>
    <row r="5028" spans="1:12" s="37" customFormat="1" ht="11.25" x14ac:dyDescent="0.2">
      <c r="A5028" s="46" t="s">
        <v>14020</v>
      </c>
      <c r="B5028" s="46" t="s">
        <v>54011</v>
      </c>
      <c r="C5028" s="58" t="str">
        <f>"18745393"</f>
        <v>18745393</v>
      </c>
      <c r="D5028" s="58" t="str">
        <f>"18758894"</f>
        <v>18758894</v>
      </c>
      <c r="E5028" s="46" t="s">
        <v>920</v>
      </c>
      <c r="F5028" s="46" t="s">
        <v>18001</v>
      </c>
      <c r="G5028" s="46" t="s">
        <v>50584</v>
      </c>
      <c r="H5028" s="48" t="s">
        <v>56716</v>
      </c>
      <c r="I5028" s="48" t="s">
        <v>50564</v>
      </c>
      <c r="J5028" s="48" t="s">
        <v>56716</v>
      </c>
      <c r="K5028" s="50"/>
      <c r="L5028" s="48" t="s">
        <v>56716</v>
      </c>
    </row>
    <row r="5029" spans="1:12" s="37" customFormat="1" ht="11.25" x14ac:dyDescent="0.2">
      <c r="A5029" s="46" t="s">
        <v>2652</v>
      </c>
      <c r="B5029" s="46" t="s">
        <v>54012</v>
      </c>
      <c r="C5029" s="58" t="str">
        <f>"00223468"</f>
        <v>00223468</v>
      </c>
      <c r="D5029" s="58" t="str">
        <f>"15315037"</f>
        <v>15315037</v>
      </c>
      <c r="E5029" s="46" t="s">
        <v>303</v>
      </c>
      <c r="F5029" s="46" t="s">
        <v>17759</v>
      </c>
      <c r="G5029" s="46" t="s">
        <v>50584</v>
      </c>
      <c r="H5029" s="48" t="s">
        <v>56716</v>
      </c>
      <c r="I5029" s="48" t="s">
        <v>50564</v>
      </c>
      <c r="J5029" s="48" t="s">
        <v>56716</v>
      </c>
      <c r="K5029" s="50" t="s">
        <v>56716</v>
      </c>
      <c r="L5029" s="48" t="s">
        <v>56716</v>
      </c>
    </row>
    <row r="5030" spans="1:12" s="37" customFormat="1" ht="11.25" x14ac:dyDescent="0.2">
      <c r="A5030" s="46" t="s">
        <v>17119</v>
      </c>
      <c r="B5030" s="46" t="s">
        <v>55859</v>
      </c>
      <c r="C5030" s="58" t="str">
        <f>""</f>
        <v/>
      </c>
      <c r="D5030" s="58" t="str">
        <f>"22135766"</f>
        <v>22135766</v>
      </c>
      <c r="E5030" s="46" t="s">
        <v>272</v>
      </c>
      <c r="F5030" s="46" t="s">
        <v>17759</v>
      </c>
      <c r="G5030" s="46" t="s">
        <v>50584</v>
      </c>
      <c r="H5030" s="48" t="s">
        <v>56716</v>
      </c>
      <c r="I5030" s="48" t="s">
        <v>50564</v>
      </c>
      <c r="J5030" s="48" t="s">
        <v>56716</v>
      </c>
      <c r="K5030" s="50"/>
      <c r="L5030" s="48"/>
    </row>
    <row r="5031" spans="1:12" s="37" customFormat="1" ht="11.25" x14ac:dyDescent="0.2">
      <c r="A5031" s="46" t="s">
        <v>11170</v>
      </c>
      <c r="B5031" s="46" t="s">
        <v>54013</v>
      </c>
      <c r="C5031" s="58" t="str">
        <f>"14775131"</f>
        <v>14775131</v>
      </c>
      <c r="D5031" s="58" t="str">
        <f>"18734898"</f>
        <v>18734898</v>
      </c>
      <c r="E5031" s="46" t="s">
        <v>155</v>
      </c>
      <c r="F5031" s="46" t="s">
        <v>50646</v>
      </c>
      <c r="G5031" s="46" t="s">
        <v>50584</v>
      </c>
      <c r="H5031" s="48" t="s">
        <v>56716</v>
      </c>
      <c r="I5031" s="48" t="s">
        <v>50564</v>
      </c>
      <c r="J5031" s="48" t="s">
        <v>56716</v>
      </c>
      <c r="K5031" s="50" t="s">
        <v>56716</v>
      </c>
      <c r="L5031" s="48" t="s">
        <v>56716</v>
      </c>
    </row>
    <row r="5032" spans="1:12" s="37" customFormat="1" ht="11.25" x14ac:dyDescent="0.2">
      <c r="A5032" s="46" t="s">
        <v>2617</v>
      </c>
      <c r="B5032" s="46" t="s">
        <v>53348</v>
      </c>
      <c r="C5032" s="58" t="str">
        <f>"00223476"</f>
        <v>00223476</v>
      </c>
      <c r="D5032" s="58" t="str">
        <f>"10976833"</f>
        <v>10976833</v>
      </c>
      <c r="E5032" s="46" t="s">
        <v>194</v>
      </c>
      <c r="F5032" s="46" t="s">
        <v>17759</v>
      </c>
      <c r="G5032" s="46" t="s">
        <v>50584</v>
      </c>
      <c r="H5032" s="48" t="s">
        <v>56716</v>
      </c>
      <c r="I5032" s="48" t="s">
        <v>50564</v>
      </c>
      <c r="J5032" s="48" t="s">
        <v>56716</v>
      </c>
      <c r="K5032" s="50" t="s">
        <v>56716</v>
      </c>
      <c r="L5032" s="48" t="s">
        <v>56716</v>
      </c>
    </row>
    <row r="5033" spans="1:12" s="37" customFormat="1" ht="11.25" x14ac:dyDescent="0.2">
      <c r="A5033" s="46" t="s">
        <v>7433</v>
      </c>
      <c r="B5033" s="46" t="s">
        <v>54014</v>
      </c>
      <c r="C5033" s="58" t="str">
        <f>"10752617"</f>
        <v>10752617</v>
      </c>
      <c r="D5033" s="58" t="str">
        <f>"10991387"</f>
        <v>10991387</v>
      </c>
      <c r="E5033" s="46" t="s">
        <v>751</v>
      </c>
      <c r="F5033" s="46" t="s">
        <v>50646</v>
      </c>
      <c r="G5033" s="46" t="s">
        <v>50584</v>
      </c>
      <c r="H5033" s="48" t="s">
        <v>56716</v>
      </c>
      <c r="I5033" s="48" t="s">
        <v>50564</v>
      </c>
      <c r="J5033" s="48" t="s">
        <v>56716</v>
      </c>
      <c r="K5033" s="50" t="s">
        <v>56716</v>
      </c>
      <c r="L5033" s="48" t="s">
        <v>56716</v>
      </c>
    </row>
    <row r="5034" spans="1:12" s="37" customFormat="1" ht="11.25" x14ac:dyDescent="0.2">
      <c r="A5034" s="45" t="s">
        <v>37497</v>
      </c>
      <c r="B5034" s="45" t="s">
        <v>37499</v>
      </c>
      <c r="C5034" s="51" t="s">
        <v>37502</v>
      </c>
      <c r="D5034" s="51" t="s">
        <v>37501</v>
      </c>
      <c r="E5034" s="45" t="s">
        <v>37503</v>
      </c>
      <c r="F5034" s="45" t="s">
        <v>17759</v>
      </c>
      <c r="G5034" s="45" t="s">
        <v>50584</v>
      </c>
      <c r="H5034" s="56"/>
      <c r="I5034" s="56" t="s">
        <v>50564</v>
      </c>
      <c r="J5034" s="56"/>
      <c r="K5034" s="50"/>
      <c r="L5034" s="56" t="s">
        <v>56716</v>
      </c>
    </row>
    <row r="5035" spans="1:12" s="37" customFormat="1" ht="11.25" x14ac:dyDescent="0.2">
      <c r="A5035" s="46" t="s">
        <v>2655</v>
      </c>
      <c r="B5035" s="46" t="s">
        <v>54015</v>
      </c>
      <c r="C5035" s="58" t="str">
        <f>"03005577"</f>
        <v>03005577</v>
      </c>
      <c r="D5035" s="58" t="str">
        <f>"16193997"</f>
        <v>16193997</v>
      </c>
      <c r="E5035" s="46" t="s">
        <v>1887</v>
      </c>
      <c r="F5035" s="46" t="s">
        <v>18158</v>
      </c>
      <c r="G5035" s="46" t="s">
        <v>50584</v>
      </c>
      <c r="H5035" s="48" t="s">
        <v>56716</v>
      </c>
      <c r="I5035" s="48" t="s">
        <v>50564</v>
      </c>
      <c r="J5035" s="48" t="s">
        <v>56716</v>
      </c>
      <c r="K5035" s="50"/>
      <c r="L5035" s="48" t="s">
        <v>56716</v>
      </c>
    </row>
    <row r="5036" spans="1:12" s="37" customFormat="1" ht="11.25" x14ac:dyDescent="0.2">
      <c r="A5036" s="46" t="s">
        <v>7353</v>
      </c>
      <c r="B5036" s="46" t="s">
        <v>54016</v>
      </c>
      <c r="C5036" s="58" t="str">
        <f>"07438346"</f>
        <v>07438346</v>
      </c>
      <c r="D5036" s="58" t="str">
        <f>"14765543"</f>
        <v>14765543</v>
      </c>
      <c r="E5036" s="46" t="s">
        <v>315</v>
      </c>
      <c r="F5036" s="46" t="s">
        <v>50646</v>
      </c>
      <c r="G5036" s="46" t="s">
        <v>50584</v>
      </c>
      <c r="H5036" s="48" t="s">
        <v>56716</v>
      </c>
      <c r="I5036" s="48" t="s">
        <v>50564</v>
      </c>
      <c r="J5036" s="48"/>
      <c r="K5036" s="50" t="s">
        <v>56716</v>
      </c>
      <c r="L5036" s="48" t="s">
        <v>56716</v>
      </c>
    </row>
    <row r="5037" spans="1:12" s="37" customFormat="1" ht="11.25" x14ac:dyDescent="0.2">
      <c r="A5037" s="45" t="s">
        <v>37522</v>
      </c>
      <c r="B5037" s="45" t="s">
        <v>37524</v>
      </c>
      <c r="C5037" s="51" t="s">
        <v>37526</v>
      </c>
      <c r="D5037" s="51" t="s">
        <v>37525</v>
      </c>
      <c r="E5037" s="45" t="s">
        <v>970</v>
      </c>
      <c r="F5037" s="45" t="s">
        <v>17759</v>
      </c>
      <c r="G5037" s="45" t="s">
        <v>50584</v>
      </c>
      <c r="H5037" s="56"/>
      <c r="I5037" s="56" t="s">
        <v>50564</v>
      </c>
      <c r="J5037" s="56"/>
      <c r="K5037" s="50"/>
      <c r="L5037" s="56" t="s">
        <v>56716</v>
      </c>
    </row>
    <row r="5038" spans="1:12" s="37" customFormat="1" ht="11.25" x14ac:dyDescent="0.2">
      <c r="A5038" s="45" t="s">
        <v>37528</v>
      </c>
      <c r="B5038" s="45" t="s">
        <v>37530</v>
      </c>
      <c r="C5038" s="51" t="s">
        <v>37533</v>
      </c>
      <c r="D5038" s="51" t="s">
        <v>37532</v>
      </c>
      <c r="E5038" s="45" t="s">
        <v>37534</v>
      </c>
      <c r="F5038" s="45" t="s">
        <v>17759</v>
      </c>
      <c r="G5038" s="45" t="s">
        <v>50584</v>
      </c>
      <c r="H5038" s="56"/>
      <c r="I5038" s="56" t="s">
        <v>50564</v>
      </c>
      <c r="J5038" s="56"/>
      <c r="K5038" s="50"/>
      <c r="L5038" s="56" t="s">
        <v>56716</v>
      </c>
    </row>
    <row r="5039" spans="1:12" s="37" customFormat="1" ht="11.25" x14ac:dyDescent="0.2">
      <c r="A5039" s="45" t="s">
        <v>37536</v>
      </c>
      <c r="B5039" s="45" t="s">
        <v>37538</v>
      </c>
      <c r="C5039" s="51" t="s">
        <v>37540</v>
      </c>
      <c r="D5039" s="51"/>
      <c r="E5039" s="45" t="s">
        <v>37541</v>
      </c>
      <c r="F5039" s="45" t="s">
        <v>50646</v>
      </c>
      <c r="G5039" s="45" t="s">
        <v>50584</v>
      </c>
      <c r="H5039" s="56"/>
      <c r="I5039" s="56" t="s">
        <v>50564</v>
      </c>
      <c r="J5039" s="56"/>
      <c r="K5039" s="50"/>
      <c r="L5039" s="56" t="s">
        <v>56716</v>
      </c>
    </row>
    <row r="5040" spans="1:12" s="37" customFormat="1" ht="11.25" x14ac:dyDescent="0.2">
      <c r="A5040" s="45" t="s">
        <v>37544</v>
      </c>
      <c r="B5040" s="45" t="s">
        <v>37546</v>
      </c>
      <c r="C5040" s="51" t="s">
        <v>37549</v>
      </c>
      <c r="D5040" s="51" t="s">
        <v>37548</v>
      </c>
      <c r="E5040" s="45" t="s">
        <v>24794</v>
      </c>
      <c r="F5040" s="45" t="s">
        <v>17759</v>
      </c>
      <c r="G5040" s="45" t="s">
        <v>50584</v>
      </c>
      <c r="H5040" s="56"/>
      <c r="I5040" s="56" t="s">
        <v>50564</v>
      </c>
      <c r="J5040" s="56"/>
      <c r="K5040" s="50"/>
      <c r="L5040" s="56" t="s">
        <v>56716</v>
      </c>
    </row>
    <row r="5041" spans="1:12" s="37" customFormat="1" ht="11.25" x14ac:dyDescent="0.2">
      <c r="A5041" s="45" t="s">
        <v>37551</v>
      </c>
      <c r="B5041" s="45" t="s">
        <v>37553</v>
      </c>
      <c r="C5041" s="51" t="s">
        <v>37556</v>
      </c>
      <c r="D5041" s="51" t="s">
        <v>37555</v>
      </c>
      <c r="E5041" s="45" t="s">
        <v>19767</v>
      </c>
      <c r="F5041" s="45" t="s">
        <v>17759</v>
      </c>
      <c r="G5041" s="45" t="s">
        <v>50584</v>
      </c>
      <c r="H5041" s="56"/>
      <c r="I5041" s="56" t="s">
        <v>50564</v>
      </c>
      <c r="J5041" s="56"/>
      <c r="K5041" s="50"/>
      <c r="L5041" s="56" t="s">
        <v>56716</v>
      </c>
    </row>
    <row r="5042" spans="1:12" s="37" customFormat="1" ht="11.25" x14ac:dyDescent="0.2">
      <c r="A5042" s="45" t="s">
        <v>37558</v>
      </c>
      <c r="B5042" s="45" t="s">
        <v>37560</v>
      </c>
      <c r="C5042" s="51" t="s">
        <v>37563</v>
      </c>
      <c r="D5042" s="51" t="s">
        <v>37562</v>
      </c>
      <c r="E5042" s="45" t="s">
        <v>291</v>
      </c>
      <c r="F5042" s="45" t="s">
        <v>50646</v>
      </c>
      <c r="G5042" s="45" t="s">
        <v>50584</v>
      </c>
      <c r="H5042" s="56"/>
      <c r="I5042" s="56" t="s">
        <v>50564</v>
      </c>
      <c r="J5042" s="56"/>
      <c r="K5042" s="50"/>
      <c r="L5042" s="56" t="s">
        <v>56716</v>
      </c>
    </row>
    <row r="5043" spans="1:12" s="37" customFormat="1" ht="11.25" x14ac:dyDescent="0.2">
      <c r="A5043" s="45" t="s">
        <v>37565</v>
      </c>
      <c r="B5043" s="45" t="s">
        <v>37567</v>
      </c>
      <c r="C5043" s="51" t="s">
        <v>37569</v>
      </c>
      <c r="D5043" s="51" t="s">
        <v>37568</v>
      </c>
      <c r="E5043" s="45" t="s">
        <v>32539</v>
      </c>
      <c r="F5043" s="45" t="s">
        <v>17759</v>
      </c>
      <c r="G5043" s="45" t="s">
        <v>50584</v>
      </c>
      <c r="H5043" s="56"/>
      <c r="I5043" s="56" t="s">
        <v>50564</v>
      </c>
      <c r="J5043" s="56"/>
      <c r="K5043" s="50"/>
      <c r="L5043" s="56" t="s">
        <v>56716</v>
      </c>
    </row>
    <row r="5044" spans="1:12" s="37" customFormat="1" ht="11.25" x14ac:dyDescent="0.2">
      <c r="A5044" s="46" t="s">
        <v>16704</v>
      </c>
      <c r="B5044" s="46" t="s">
        <v>54017</v>
      </c>
      <c r="C5044" s="58" t="str">
        <f>""</f>
        <v/>
      </c>
      <c r="D5044" s="58" t="str">
        <f>"20754426"</f>
        <v>20754426</v>
      </c>
      <c r="E5044" s="46" t="s">
        <v>4152</v>
      </c>
      <c r="F5044" s="46" t="s">
        <v>18123</v>
      </c>
      <c r="G5044" s="46" t="s">
        <v>50584</v>
      </c>
      <c r="H5044" s="48" t="s">
        <v>56716</v>
      </c>
      <c r="I5044" s="48" t="s">
        <v>50564</v>
      </c>
      <c r="J5044" s="48"/>
      <c r="K5044" s="50"/>
      <c r="L5044" s="48"/>
    </row>
    <row r="5045" spans="1:12" s="37" customFormat="1" ht="11.25" x14ac:dyDescent="0.2">
      <c r="A5045" s="46" t="s">
        <v>15441</v>
      </c>
      <c r="B5045" s="46" t="s">
        <v>54018</v>
      </c>
      <c r="C5045" s="58" t="str">
        <f>"20951779"</f>
        <v>20951779</v>
      </c>
      <c r="D5045" s="58" t="str">
        <f>""</f>
        <v/>
      </c>
      <c r="E5045" s="46" t="s">
        <v>15443</v>
      </c>
      <c r="F5045" s="46" t="s">
        <v>17958</v>
      </c>
      <c r="G5045" s="46" t="s">
        <v>50584</v>
      </c>
      <c r="H5045" s="48" t="s">
        <v>56716</v>
      </c>
      <c r="I5045" s="48" t="s">
        <v>50564</v>
      </c>
      <c r="J5045" s="48"/>
      <c r="K5045" s="50" t="s">
        <v>56716</v>
      </c>
      <c r="L5045" s="48"/>
    </row>
    <row r="5046" spans="1:12" s="37" customFormat="1" ht="11.25" x14ac:dyDescent="0.2">
      <c r="A5046" s="46" t="s">
        <v>17594</v>
      </c>
      <c r="B5046" s="46" t="s">
        <v>54019</v>
      </c>
      <c r="C5046" s="58" t="str">
        <f>"15968499"</f>
        <v>15968499</v>
      </c>
      <c r="D5046" s="58" t="str">
        <f>""</f>
        <v/>
      </c>
      <c r="E5046" s="46" t="s">
        <v>17596</v>
      </c>
      <c r="F5046" s="46" t="s">
        <v>19049</v>
      </c>
      <c r="G5046" s="46" t="s">
        <v>50584</v>
      </c>
      <c r="H5046" s="48" t="s">
        <v>56716</v>
      </c>
      <c r="I5046" s="48" t="s">
        <v>50564</v>
      </c>
      <c r="J5046" s="48"/>
      <c r="K5046" s="50"/>
      <c r="L5046" s="48"/>
    </row>
    <row r="5047" spans="1:12" s="37" customFormat="1" ht="11.25" x14ac:dyDescent="0.2">
      <c r="A5047" s="46" t="s">
        <v>2635</v>
      </c>
      <c r="B5047" s="46" t="s">
        <v>54020</v>
      </c>
      <c r="C5047" s="58" t="str">
        <f>"07317085"</f>
        <v>07317085</v>
      </c>
      <c r="D5047" s="58" t="str">
        <f>"1873264X"</f>
        <v>1873264X</v>
      </c>
      <c r="E5047" s="46" t="s">
        <v>91</v>
      </c>
      <c r="F5047" s="46" t="s">
        <v>18001</v>
      </c>
      <c r="G5047" s="46" t="s">
        <v>50584</v>
      </c>
      <c r="H5047" s="48" t="s">
        <v>56716</v>
      </c>
      <c r="I5047" s="48" t="s">
        <v>50564</v>
      </c>
      <c r="J5047" s="48" t="s">
        <v>56716</v>
      </c>
      <c r="K5047" s="50" t="s">
        <v>56716</v>
      </c>
      <c r="L5047" s="48" t="s">
        <v>56716</v>
      </c>
    </row>
    <row r="5048" spans="1:12" s="37" customFormat="1" ht="11.25" x14ac:dyDescent="0.2">
      <c r="A5048" s="46" t="s">
        <v>15296</v>
      </c>
      <c r="B5048" s="46" t="s">
        <v>54021</v>
      </c>
      <c r="C5048" s="58" t="str">
        <f>"17598885"</f>
        <v>17598885</v>
      </c>
      <c r="D5048" s="58" t="str">
        <f>"17598893"</f>
        <v>17598893</v>
      </c>
      <c r="E5048" s="46" t="s">
        <v>35</v>
      </c>
      <c r="F5048" s="46" t="s">
        <v>50646</v>
      </c>
      <c r="G5048" s="46" t="s">
        <v>50584</v>
      </c>
      <c r="H5048" s="48" t="s">
        <v>56716</v>
      </c>
      <c r="I5048" s="48" t="s">
        <v>50564</v>
      </c>
      <c r="J5048" s="48" t="s">
        <v>56716</v>
      </c>
      <c r="K5048" s="50" t="s">
        <v>56716</v>
      </c>
      <c r="L5048" s="48"/>
    </row>
    <row r="5049" spans="1:12" s="37" customFormat="1" ht="11.25" x14ac:dyDescent="0.2">
      <c r="A5049" s="46" t="s">
        <v>11928</v>
      </c>
      <c r="B5049" s="46" t="s">
        <v>54022</v>
      </c>
      <c r="C5049" s="58" t="str">
        <f>"18725120"</f>
        <v>18725120</v>
      </c>
      <c r="D5049" s="58" t="str">
        <f>"19398042"</f>
        <v>19398042</v>
      </c>
      <c r="E5049" s="46" t="s">
        <v>56305</v>
      </c>
      <c r="F5049" s="46" t="s">
        <v>17759</v>
      </c>
      <c r="G5049" s="46" t="s">
        <v>50584</v>
      </c>
      <c r="H5049" s="48" t="s">
        <v>56716</v>
      </c>
      <c r="I5049" s="48" t="s">
        <v>50564</v>
      </c>
      <c r="J5049" s="48" t="s">
        <v>56716</v>
      </c>
      <c r="K5049" s="50" t="s">
        <v>56716</v>
      </c>
      <c r="L5049" s="48"/>
    </row>
    <row r="5050" spans="1:12" s="37" customFormat="1" ht="11.25" x14ac:dyDescent="0.2">
      <c r="A5050" s="46" t="s">
        <v>16451</v>
      </c>
      <c r="B5050" s="46" t="s">
        <v>54023</v>
      </c>
      <c r="C5050" s="58" t="str">
        <f>"20935552"</f>
        <v>20935552</v>
      </c>
      <c r="D5050" s="58" t="str">
        <f>"20936214"</f>
        <v>20936214</v>
      </c>
      <c r="E5050" s="46" t="s">
        <v>18876</v>
      </c>
      <c r="F5050" s="46" t="s">
        <v>18001</v>
      </c>
      <c r="G5050" s="46" t="s">
        <v>50584</v>
      </c>
      <c r="H5050" s="48" t="s">
        <v>56716</v>
      </c>
      <c r="I5050" s="48" t="s">
        <v>50564</v>
      </c>
      <c r="J5050" s="48" t="s">
        <v>56716</v>
      </c>
      <c r="K5050" s="50"/>
      <c r="L5050" s="48"/>
    </row>
    <row r="5051" spans="1:12" s="37" customFormat="1" ht="11.25" x14ac:dyDescent="0.2">
      <c r="A5051" s="46" t="s">
        <v>16267</v>
      </c>
      <c r="B5051" s="46" t="s">
        <v>54024</v>
      </c>
      <c r="C5051" s="58" t="str">
        <f>"09769234"</f>
        <v>09769234</v>
      </c>
      <c r="D5051" s="58" t="str">
        <f>"22297723"</f>
        <v>22297723</v>
      </c>
      <c r="E5051" s="46" t="s">
        <v>19057</v>
      </c>
      <c r="F5051" s="46" t="s">
        <v>20446</v>
      </c>
      <c r="G5051" s="46" t="s">
        <v>50584</v>
      </c>
      <c r="H5051" s="48" t="s">
        <v>56716</v>
      </c>
      <c r="I5051" s="48" t="s">
        <v>50564</v>
      </c>
      <c r="J5051" s="48"/>
      <c r="K5051" s="50"/>
      <c r="L5051" s="48"/>
    </row>
    <row r="5052" spans="1:12" s="37" customFormat="1" ht="11.25" x14ac:dyDescent="0.2">
      <c r="A5052" s="46" t="s">
        <v>56077</v>
      </c>
      <c r="B5052" s="46" t="s">
        <v>56078</v>
      </c>
      <c r="C5052" s="58" t="str">
        <f>""</f>
        <v/>
      </c>
      <c r="D5052" s="58" t="str">
        <f>"20523211"</f>
        <v>20523211</v>
      </c>
      <c r="E5052" s="46" t="s">
        <v>2299</v>
      </c>
      <c r="F5052" s="46" t="s">
        <v>50646</v>
      </c>
      <c r="G5052" s="46" t="s">
        <v>50584</v>
      </c>
      <c r="H5052" s="48" t="s">
        <v>56716</v>
      </c>
      <c r="I5052" s="48" t="s">
        <v>50564</v>
      </c>
      <c r="J5052" s="48"/>
      <c r="K5052" s="50"/>
      <c r="L5052" s="48"/>
    </row>
    <row r="5053" spans="1:12" s="37" customFormat="1" ht="11.25" x14ac:dyDescent="0.2">
      <c r="A5053" s="46" t="s">
        <v>2673</v>
      </c>
      <c r="B5053" s="46" t="s">
        <v>54025</v>
      </c>
      <c r="C5053" s="58" t="str">
        <f>"00223549"</f>
        <v>00223549</v>
      </c>
      <c r="D5053" s="58" t="str">
        <f>"15206017"</f>
        <v>15206017</v>
      </c>
      <c r="E5053" s="46" t="s">
        <v>517</v>
      </c>
      <c r="F5053" s="46" t="s">
        <v>17759</v>
      </c>
      <c r="G5053" s="46" t="s">
        <v>50584</v>
      </c>
      <c r="H5053" s="48" t="s">
        <v>56716</v>
      </c>
      <c r="I5053" s="48" t="s">
        <v>50564</v>
      </c>
      <c r="J5053" s="48"/>
      <c r="K5053" s="50" t="s">
        <v>56716</v>
      </c>
      <c r="L5053" s="48" t="s">
        <v>56716</v>
      </c>
    </row>
    <row r="5054" spans="1:12" s="37" customFormat="1" ht="11.25" x14ac:dyDescent="0.2">
      <c r="A5054" s="46" t="s">
        <v>14274</v>
      </c>
      <c r="B5054" s="46" t="s">
        <v>54026</v>
      </c>
      <c r="C5054" s="58" t="str">
        <f>"09751459"</f>
        <v>09751459</v>
      </c>
      <c r="D5054" s="58" t="str">
        <f>"09751459"</f>
        <v>09751459</v>
      </c>
      <c r="E5054" s="46" t="s">
        <v>14276</v>
      </c>
      <c r="F5054" s="46" t="s">
        <v>20446</v>
      </c>
      <c r="G5054" s="46" t="s">
        <v>50584</v>
      </c>
      <c r="H5054" s="48" t="s">
        <v>56716</v>
      </c>
      <c r="I5054" s="48" t="s">
        <v>50564</v>
      </c>
      <c r="J5054" s="48"/>
      <c r="K5054" s="50"/>
      <c r="L5054" s="48"/>
    </row>
    <row r="5055" spans="1:12" s="37" customFormat="1" ht="11.25" x14ac:dyDescent="0.2">
      <c r="A5055" s="46" t="s">
        <v>14614</v>
      </c>
      <c r="B5055" s="46" t="s">
        <v>54027</v>
      </c>
      <c r="C5055" s="58" t="str">
        <f>"21412502"</f>
        <v>21412502</v>
      </c>
      <c r="D5055" s="58" t="str">
        <f>""</f>
        <v/>
      </c>
      <c r="E5055" s="46" t="s">
        <v>12434</v>
      </c>
      <c r="F5055" s="46" t="s">
        <v>17759</v>
      </c>
      <c r="G5055" s="46" t="s">
        <v>50584</v>
      </c>
      <c r="H5055" s="48" t="s">
        <v>56716</v>
      </c>
      <c r="I5055" s="48" t="s">
        <v>50564</v>
      </c>
      <c r="J5055" s="48"/>
      <c r="K5055" s="50"/>
      <c r="L5055" s="48"/>
    </row>
    <row r="5056" spans="1:12" s="37" customFormat="1" ht="11.25" x14ac:dyDescent="0.2">
      <c r="A5056" s="46" t="s">
        <v>8903</v>
      </c>
      <c r="B5056" s="46" t="s">
        <v>54028</v>
      </c>
      <c r="C5056" s="58" t="str">
        <f>"1567567X"</f>
        <v>1567567X</v>
      </c>
      <c r="D5056" s="58" t="str">
        <f>"15738744"</f>
        <v>15738744</v>
      </c>
      <c r="E5056" s="46" t="s">
        <v>56305</v>
      </c>
      <c r="F5056" s="46" t="s">
        <v>17759</v>
      </c>
      <c r="G5056" s="46" t="s">
        <v>50584</v>
      </c>
      <c r="H5056" s="48" t="s">
        <v>56716</v>
      </c>
      <c r="I5056" s="48" t="s">
        <v>50564</v>
      </c>
      <c r="J5056" s="48" t="s">
        <v>56716</v>
      </c>
      <c r="K5056" s="50" t="s">
        <v>56716</v>
      </c>
      <c r="L5056" s="48" t="s">
        <v>56716</v>
      </c>
    </row>
    <row r="5057" spans="1:12" s="37" customFormat="1" ht="11.25" x14ac:dyDescent="0.2">
      <c r="A5057" s="46" t="s">
        <v>5846</v>
      </c>
      <c r="B5057" s="46" t="s">
        <v>54029</v>
      </c>
      <c r="C5057" s="58" t="str">
        <f>"10568719"</f>
        <v>10568719</v>
      </c>
      <c r="D5057" s="58" t="str">
        <f>"1873488X"</f>
        <v>1873488X</v>
      </c>
      <c r="E5057" s="46" t="s">
        <v>272</v>
      </c>
      <c r="F5057" s="46" t="s">
        <v>17759</v>
      </c>
      <c r="G5057" s="46" t="s">
        <v>50584</v>
      </c>
      <c r="H5057" s="48" t="s">
        <v>56716</v>
      </c>
      <c r="I5057" s="48" t="s">
        <v>50564</v>
      </c>
      <c r="J5057" s="48"/>
      <c r="K5057" s="50" t="s">
        <v>56716</v>
      </c>
      <c r="L5057" s="48" t="s">
        <v>56716</v>
      </c>
    </row>
    <row r="5058" spans="1:12" s="37" customFormat="1" ht="11.25" x14ac:dyDescent="0.2">
      <c r="A5058" s="46" t="s">
        <v>9590</v>
      </c>
      <c r="B5058" s="46" t="s">
        <v>54030</v>
      </c>
      <c r="C5058" s="58" t="str">
        <f>"13478613"</f>
        <v>13478613</v>
      </c>
      <c r="D5058" s="58" t="str">
        <f>"13478648"</f>
        <v>13478648</v>
      </c>
      <c r="E5058" s="46" t="s">
        <v>3220</v>
      </c>
      <c r="F5058" s="46" t="s">
        <v>18242</v>
      </c>
      <c r="G5058" s="46" t="s">
        <v>50584</v>
      </c>
      <c r="H5058" s="48" t="s">
        <v>56716</v>
      </c>
      <c r="I5058" s="48" t="s">
        <v>50564</v>
      </c>
      <c r="J5058" s="48"/>
      <c r="K5058" s="50" t="s">
        <v>56716</v>
      </c>
      <c r="L5058" s="48" t="s">
        <v>56716</v>
      </c>
    </row>
    <row r="5059" spans="1:12" s="37" customFormat="1" ht="11.25" x14ac:dyDescent="0.2">
      <c r="A5059" s="46" t="s">
        <v>2660</v>
      </c>
      <c r="B5059" s="46" t="s">
        <v>54031</v>
      </c>
      <c r="C5059" s="58" t="str">
        <f>"00223565"</f>
        <v>00223565</v>
      </c>
      <c r="D5059" s="58" t="str">
        <f>"15210103"</f>
        <v>15210103</v>
      </c>
      <c r="E5059" s="46" t="s">
        <v>1420</v>
      </c>
      <c r="F5059" s="46" t="s">
        <v>17759</v>
      </c>
      <c r="G5059" s="46" t="s">
        <v>50584</v>
      </c>
      <c r="H5059" s="48" t="s">
        <v>56716</v>
      </c>
      <c r="I5059" s="48" t="s">
        <v>50564</v>
      </c>
      <c r="J5059" s="48" t="s">
        <v>56716</v>
      </c>
      <c r="K5059" s="50"/>
      <c r="L5059" s="48" t="s">
        <v>56716</v>
      </c>
    </row>
    <row r="5060" spans="1:12" s="37" customFormat="1" ht="11.25" x14ac:dyDescent="0.2">
      <c r="A5060" s="46" t="s">
        <v>16096</v>
      </c>
      <c r="B5060" s="46" t="s">
        <v>54032</v>
      </c>
      <c r="C5060" s="58" t="str">
        <f>"0976500X"</f>
        <v>0976500X</v>
      </c>
      <c r="D5060" s="58" t="str">
        <f>"09765018"</f>
        <v>09765018</v>
      </c>
      <c r="E5060" s="46" t="s">
        <v>19057</v>
      </c>
      <c r="F5060" s="46" t="s">
        <v>20446</v>
      </c>
      <c r="G5060" s="46" t="s">
        <v>50584</v>
      </c>
      <c r="H5060" s="48" t="s">
        <v>56716</v>
      </c>
      <c r="I5060" s="48" t="s">
        <v>50564</v>
      </c>
      <c r="J5060" s="48"/>
      <c r="K5060" s="50"/>
      <c r="L5060" s="48"/>
    </row>
    <row r="5061" spans="1:12" s="37" customFormat="1" ht="11.25" x14ac:dyDescent="0.2">
      <c r="A5061" s="46" t="s">
        <v>12435</v>
      </c>
      <c r="B5061" s="46" t="s">
        <v>54033</v>
      </c>
      <c r="C5061" s="58" t="str">
        <f>"1816496X"</f>
        <v>1816496X</v>
      </c>
      <c r="D5061" s="58" t="str">
        <f>"2152100X"</f>
        <v>2152100X</v>
      </c>
      <c r="E5061" s="46" t="s">
        <v>12434</v>
      </c>
      <c r="F5061" s="46" t="s">
        <v>17759</v>
      </c>
      <c r="G5061" s="46" t="s">
        <v>50584</v>
      </c>
      <c r="H5061" s="48" t="s">
        <v>56716</v>
      </c>
      <c r="I5061" s="48" t="s">
        <v>50564</v>
      </c>
      <c r="J5061" s="48"/>
      <c r="K5061" s="50"/>
      <c r="L5061" s="48"/>
    </row>
    <row r="5062" spans="1:12" s="37" customFormat="1" ht="11.25" x14ac:dyDescent="0.2">
      <c r="A5062" s="46" t="s">
        <v>15004</v>
      </c>
      <c r="B5062" s="46" t="s">
        <v>54034</v>
      </c>
      <c r="C5062" s="58" t="str">
        <f>""</f>
        <v/>
      </c>
      <c r="D5062" s="58" t="str">
        <f>"09757406"</f>
        <v>09757406</v>
      </c>
      <c r="E5062" s="46" t="s">
        <v>19057</v>
      </c>
      <c r="F5062" s="46" t="s">
        <v>20446</v>
      </c>
      <c r="G5062" s="46" t="s">
        <v>50584</v>
      </c>
      <c r="H5062" s="48" t="s">
        <v>56716</v>
      </c>
      <c r="I5062" s="48" t="s">
        <v>50564</v>
      </c>
      <c r="J5062" s="48" t="s">
        <v>56716</v>
      </c>
      <c r="K5062" s="50"/>
      <c r="L5062" s="48"/>
    </row>
    <row r="5063" spans="1:12" s="37" customFormat="1" ht="11.25" x14ac:dyDescent="0.2">
      <c r="A5063" s="46" t="s">
        <v>9235</v>
      </c>
      <c r="B5063" s="46" t="s">
        <v>54035</v>
      </c>
      <c r="C5063" s="58" t="str">
        <f>""</f>
        <v/>
      </c>
      <c r="D5063" s="58" t="str">
        <f>"14821826"</f>
        <v>14821826</v>
      </c>
      <c r="E5063" s="46" t="s">
        <v>9237</v>
      </c>
      <c r="F5063" s="46" t="s">
        <v>18959</v>
      </c>
      <c r="G5063" s="46" t="s">
        <v>50584</v>
      </c>
      <c r="H5063" s="48" t="s">
        <v>56716</v>
      </c>
      <c r="I5063" s="48" t="s">
        <v>50564</v>
      </c>
      <c r="J5063" s="48"/>
      <c r="K5063" s="50"/>
      <c r="L5063" s="48" t="s">
        <v>56716</v>
      </c>
    </row>
    <row r="5064" spans="1:12" s="37" customFormat="1" ht="11.25" x14ac:dyDescent="0.2">
      <c r="A5064" s="46" t="s">
        <v>2689</v>
      </c>
      <c r="B5064" s="46" t="s">
        <v>54036</v>
      </c>
      <c r="C5064" s="58" t="str">
        <f>"00223573"</f>
        <v>00223573</v>
      </c>
      <c r="D5064" s="58" t="str">
        <f>"20427158"</f>
        <v>20427158</v>
      </c>
      <c r="E5064" s="46" t="s">
        <v>35</v>
      </c>
      <c r="F5064" s="46" t="s">
        <v>50646</v>
      </c>
      <c r="G5064" s="46" t="s">
        <v>50584</v>
      </c>
      <c r="H5064" s="48" t="s">
        <v>56716</v>
      </c>
      <c r="I5064" s="48" t="s">
        <v>50564</v>
      </c>
      <c r="J5064" s="48"/>
      <c r="K5064" s="50" t="s">
        <v>56716</v>
      </c>
      <c r="L5064" s="48" t="s">
        <v>56716</v>
      </c>
    </row>
    <row r="5065" spans="1:12" s="37" customFormat="1" ht="11.25" x14ac:dyDescent="0.2">
      <c r="A5065" s="46" t="s">
        <v>11176</v>
      </c>
      <c r="B5065" s="46" t="s">
        <v>54037</v>
      </c>
      <c r="C5065" s="58" t="str">
        <f>"03677524"</f>
        <v>03677524</v>
      </c>
      <c r="D5065" s="58" t="str">
        <f>""</f>
        <v/>
      </c>
      <c r="E5065" s="46" t="s">
        <v>11178</v>
      </c>
      <c r="F5065" s="46" t="s">
        <v>18396</v>
      </c>
      <c r="G5065" s="46" t="s">
        <v>50584</v>
      </c>
      <c r="H5065" s="48" t="s">
        <v>56716</v>
      </c>
      <c r="I5065" s="48" t="s">
        <v>50564</v>
      </c>
      <c r="J5065" s="48"/>
      <c r="K5065" s="50"/>
      <c r="L5065" s="48"/>
    </row>
    <row r="5066" spans="1:12" s="37" customFormat="1" ht="11.25" x14ac:dyDescent="0.2">
      <c r="A5066" s="46" t="s">
        <v>6845</v>
      </c>
      <c r="B5066" s="46" t="s">
        <v>54038</v>
      </c>
      <c r="C5066" s="58" t="str">
        <f>"08971900"</f>
        <v>08971900</v>
      </c>
      <c r="D5066" s="58" t="str">
        <f>"15311937"</f>
        <v>15311937</v>
      </c>
      <c r="E5066" s="46" t="s">
        <v>493</v>
      </c>
      <c r="F5066" s="46" t="s">
        <v>17759</v>
      </c>
      <c r="G5066" s="46" t="s">
        <v>50584</v>
      </c>
      <c r="H5066" s="48" t="s">
        <v>56716</v>
      </c>
      <c r="I5066" s="48" t="s">
        <v>50564</v>
      </c>
      <c r="J5066" s="48"/>
      <c r="K5066" s="50"/>
      <c r="L5066" s="48" t="s">
        <v>56716</v>
      </c>
    </row>
    <row r="5067" spans="1:12" s="37" customFormat="1" ht="11.25" x14ac:dyDescent="0.2">
      <c r="A5067" s="46" t="s">
        <v>9458</v>
      </c>
      <c r="B5067" s="46" t="s">
        <v>54039</v>
      </c>
      <c r="C5067" s="58" t="str">
        <f>"1445937X"</f>
        <v>1445937X</v>
      </c>
      <c r="D5067" s="58" t="str">
        <f>""</f>
        <v/>
      </c>
      <c r="E5067" s="46" t="s">
        <v>9460</v>
      </c>
      <c r="F5067" s="46" t="s">
        <v>20082</v>
      </c>
      <c r="G5067" s="46" t="s">
        <v>50584</v>
      </c>
      <c r="H5067" s="48" t="s">
        <v>56716</v>
      </c>
      <c r="I5067" s="48" t="s">
        <v>50564</v>
      </c>
      <c r="J5067" s="48"/>
      <c r="K5067" s="50"/>
      <c r="L5067" s="48"/>
    </row>
    <row r="5068" spans="1:12" s="37" customFormat="1" ht="11.25" x14ac:dyDescent="0.2">
      <c r="A5068" s="46" t="s">
        <v>17005</v>
      </c>
      <c r="B5068" s="46" t="s">
        <v>54040</v>
      </c>
      <c r="C5068" s="58" t="str">
        <f>"00974694"</f>
        <v>00974694</v>
      </c>
      <c r="D5068" s="58" t="str">
        <f>"09746943"</f>
        <v>09746943</v>
      </c>
      <c r="E5068" s="46" t="s">
        <v>56102</v>
      </c>
      <c r="F5068" s="46" t="s">
        <v>20446</v>
      </c>
      <c r="G5068" s="46" t="s">
        <v>50584</v>
      </c>
      <c r="H5068" s="48" t="s">
        <v>56716</v>
      </c>
      <c r="I5068" s="48" t="s">
        <v>50564</v>
      </c>
      <c r="J5068" s="48" t="s">
        <v>56716</v>
      </c>
      <c r="K5068" s="50"/>
      <c r="L5068" s="48"/>
    </row>
    <row r="5069" spans="1:12" s="37" customFormat="1" ht="11.25" x14ac:dyDescent="0.2">
      <c r="A5069" s="46" t="s">
        <v>4171</v>
      </c>
      <c r="B5069" s="46" t="s">
        <v>54041</v>
      </c>
      <c r="C5069" s="58" t="str">
        <f>"87551225"</f>
        <v>87551225</v>
      </c>
      <c r="D5069" s="58" t="str">
        <f>"15494810"</f>
        <v>15494810</v>
      </c>
      <c r="E5069" s="46" t="s">
        <v>493</v>
      </c>
      <c r="F5069" s="46" t="s">
        <v>17759</v>
      </c>
      <c r="G5069" s="46" t="s">
        <v>50584</v>
      </c>
      <c r="H5069" s="48" t="s">
        <v>56716</v>
      </c>
      <c r="I5069" s="48" t="s">
        <v>50564</v>
      </c>
      <c r="J5069" s="48"/>
      <c r="K5069" s="50"/>
      <c r="L5069" s="48"/>
    </row>
    <row r="5070" spans="1:12" s="37" customFormat="1" ht="11.25" x14ac:dyDescent="0.2">
      <c r="A5070" s="46" t="s">
        <v>5578</v>
      </c>
      <c r="B5070" s="46" t="s">
        <v>54042</v>
      </c>
      <c r="C5070" s="58" t="str">
        <f>"10111344"</f>
        <v>10111344</v>
      </c>
      <c r="D5070" s="58" t="str">
        <f>"18732682"</f>
        <v>18732682</v>
      </c>
      <c r="E5070" s="46" t="s">
        <v>91</v>
      </c>
      <c r="F5070" s="46" t="s">
        <v>18001</v>
      </c>
      <c r="G5070" s="46" t="s">
        <v>50584</v>
      </c>
      <c r="H5070" s="48" t="s">
        <v>56716</v>
      </c>
      <c r="I5070" s="48" t="s">
        <v>50564</v>
      </c>
      <c r="J5070" s="48" t="s">
        <v>56716</v>
      </c>
      <c r="K5070" s="50" t="s">
        <v>56716</v>
      </c>
      <c r="L5070" s="48" t="s">
        <v>56716</v>
      </c>
    </row>
    <row r="5071" spans="1:12" s="37" customFormat="1" ht="11.25" x14ac:dyDescent="0.2">
      <c r="A5071" s="45" t="s">
        <v>37627</v>
      </c>
      <c r="B5071" s="45" t="s">
        <v>37629</v>
      </c>
      <c r="C5071" s="51" t="s">
        <v>37631</v>
      </c>
      <c r="D5071" s="51" t="s">
        <v>37630</v>
      </c>
      <c r="E5071" s="45" t="s">
        <v>18635</v>
      </c>
      <c r="F5071" s="45" t="s">
        <v>17759</v>
      </c>
      <c r="G5071" s="45" t="s">
        <v>50584</v>
      </c>
      <c r="H5071" s="56"/>
      <c r="I5071" s="56" t="s">
        <v>50564</v>
      </c>
      <c r="J5071" s="56"/>
      <c r="K5071" s="50"/>
      <c r="L5071" s="56" t="s">
        <v>56716</v>
      </c>
    </row>
    <row r="5072" spans="1:12" s="37" customFormat="1" ht="11.25" x14ac:dyDescent="0.2">
      <c r="A5072" s="46" t="s">
        <v>15051</v>
      </c>
      <c r="B5072" s="46" t="s">
        <v>54043</v>
      </c>
      <c r="C5072" s="58" t="str">
        <f>"20790015"</f>
        <v>20790015</v>
      </c>
      <c r="D5072" s="58" t="str">
        <f>"20799209"</f>
        <v>20799209</v>
      </c>
      <c r="E5072" s="46" t="s">
        <v>15051</v>
      </c>
      <c r="F5072" s="46" t="s">
        <v>20446</v>
      </c>
      <c r="G5072" s="46" t="s">
        <v>50584</v>
      </c>
      <c r="H5072" s="48" t="s">
        <v>56716</v>
      </c>
      <c r="I5072" s="48" t="s">
        <v>50564</v>
      </c>
      <c r="J5072" s="48"/>
      <c r="K5072" s="50"/>
      <c r="L5072" s="48"/>
    </row>
    <row r="5073" spans="1:12" s="37" customFormat="1" ht="11.25" x14ac:dyDescent="0.2">
      <c r="A5073" s="45" t="s">
        <v>37656</v>
      </c>
      <c r="B5073" s="45" t="s">
        <v>37658</v>
      </c>
      <c r="C5073" s="51" t="s">
        <v>37661</v>
      </c>
      <c r="D5073" s="51" t="s">
        <v>37660</v>
      </c>
      <c r="E5073" s="45" t="s">
        <v>22394</v>
      </c>
      <c r="F5073" s="45" t="s">
        <v>50646</v>
      </c>
      <c r="G5073" s="45" t="s">
        <v>50594</v>
      </c>
      <c r="H5073" s="56"/>
      <c r="I5073" s="56" t="s">
        <v>50564</v>
      </c>
      <c r="J5073" s="56"/>
      <c r="K5073" s="50"/>
      <c r="L5073" s="56" t="s">
        <v>56716</v>
      </c>
    </row>
    <row r="5074" spans="1:12" s="37" customFormat="1" ht="11.25" x14ac:dyDescent="0.2">
      <c r="A5074" s="45" t="s">
        <v>37665</v>
      </c>
      <c r="B5074" s="45" t="s">
        <v>37667</v>
      </c>
      <c r="C5074" s="51" t="s">
        <v>37670</v>
      </c>
      <c r="D5074" s="51" t="s">
        <v>37669</v>
      </c>
      <c r="E5074" s="45" t="s">
        <v>18570</v>
      </c>
      <c r="F5074" s="45" t="s">
        <v>50646</v>
      </c>
      <c r="G5074" s="45" t="s">
        <v>50584</v>
      </c>
      <c r="H5074" s="56"/>
      <c r="I5074" s="56" t="s">
        <v>50564</v>
      </c>
      <c r="J5074" s="56"/>
      <c r="K5074" s="50"/>
      <c r="L5074" s="56" t="s">
        <v>56716</v>
      </c>
    </row>
    <row r="5075" spans="1:12" s="37" customFormat="1" ht="11.25" x14ac:dyDescent="0.2">
      <c r="A5075" s="46" t="s">
        <v>2666</v>
      </c>
      <c r="B5075" s="46" t="s">
        <v>54044</v>
      </c>
      <c r="C5075" s="58" t="str">
        <f>"00223751"</f>
        <v>00223751</v>
      </c>
      <c r="D5075" s="58" t="str">
        <f>"14697793"</f>
        <v>14697793</v>
      </c>
      <c r="E5075" s="46" t="s">
        <v>35</v>
      </c>
      <c r="F5075" s="46" t="s">
        <v>50646</v>
      </c>
      <c r="G5075" s="46" t="s">
        <v>50584</v>
      </c>
      <c r="H5075" s="48" t="s">
        <v>56716</v>
      </c>
      <c r="I5075" s="48" t="s">
        <v>50564</v>
      </c>
      <c r="J5075" s="48" t="s">
        <v>56716</v>
      </c>
      <c r="K5075" s="50" t="s">
        <v>56716</v>
      </c>
      <c r="L5075" s="48" t="s">
        <v>56716</v>
      </c>
    </row>
    <row r="5076" spans="1:12" s="37" customFormat="1" ht="11.25" x14ac:dyDescent="0.2">
      <c r="A5076" s="46" t="s">
        <v>7297</v>
      </c>
      <c r="B5076" s="46" t="s">
        <v>54045</v>
      </c>
      <c r="C5076" s="58" t="str">
        <f>"11387548"</f>
        <v>11387548</v>
      </c>
      <c r="D5076" s="58" t="str">
        <f>"18778755"</f>
        <v>18778755</v>
      </c>
      <c r="E5076" s="46" t="s">
        <v>18876</v>
      </c>
      <c r="F5076" s="46" t="s">
        <v>18001</v>
      </c>
      <c r="G5076" s="46" t="s">
        <v>50584</v>
      </c>
      <c r="H5076" s="48" t="s">
        <v>56716</v>
      </c>
      <c r="I5076" s="48" t="s">
        <v>50564</v>
      </c>
      <c r="J5076" s="48"/>
      <c r="K5076" s="50" t="s">
        <v>56716</v>
      </c>
      <c r="L5076" s="48" t="s">
        <v>56716</v>
      </c>
    </row>
    <row r="5077" spans="1:12" s="37" customFormat="1" ht="11.25" x14ac:dyDescent="0.2">
      <c r="A5077" s="46" t="s">
        <v>5753</v>
      </c>
      <c r="B5077" s="46" t="s">
        <v>54046</v>
      </c>
      <c r="C5077" s="58" t="str">
        <f>"08675910"</f>
        <v>08675910</v>
      </c>
      <c r="D5077" s="58" t="str">
        <f>"18991505"</f>
        <v>18991505</v>
      </c>
      <c r="E5077" s="46" t="s">
        <v>5756</v>
      </c>
      <c r="F5077" s="46" t="s">
        <v>17967</v>
      </c>
      <c r="G5077" s="46" t="s">
        <v>50584</v>
      </c>
      <c r="H5077" s="48" t="s">
        <v>56716</v>
      </c>
      <c r="I5077" s="48" t="s">
        <v>50564</v>
      </c>
      <c r="J5077" s="48"/>
      <c r="K5077" s="50"/>
      <c r="L5077" s="48" t="s">
        <v>56716</v>
      </c>
    </row>
    <row r="5078" spans="1:12" s="37" customFormat="1" ht="11.25" x14ac:dyDescent="0.2">
      <c r="A5078" s="46" t="s">
        <v>6069</v>
      </c>
      <c r="B5078" s="46" t="s">
        <v>54047</v>
      </c>
      <c r="C5078" s="58" t="str">
        <f>"09284257"</f>
        <v>09284257</v>
      </c>
      <c r="D5078" s="58" t="str">
        <f>"17697115"</f>
        <v>17697115</v>
      </c>
      <c r="E5078" s="46" t="s">
        <v>85</v>
      </c>
      <c r="F5078" s="46" t="s">
        <v>20359</v>
      </c>
      <c r="G5078" s="46" t="s">
        <v>50584</v>
      </c>
      <c r="H5078" s="48" t="s">
        <v>56716</v>
      </c>
      <c r="I5078" s="48" t="s">
        <v>50564</v>
      </c>
      <c r="J5078" s="48"/>
      <c r="K5078" s="50" t="s">
        <v>56716</v>
      </c>
      <c r="L5078" s="48" t="s">
        <v>56716</v>
      </c>
    </row>
    <row r="5079" spans="1:12" s="37" customFormat="1" ht="11.25" x14ac:dyDescent="0.2">
      <c r="A5079" s="45" t="s">
        <v>37701</v>
      </c>
      <c r="B5079" s="45" t="s">
        <v>37703</v>
      </c>
      <c r="C5079" s="51" t="s">
        <v>37706</v>
      </c>
      <c r="D5079" s="51" t="s">
        <v>37705</v>
      </c>
      <c r="E5079" s="45" t="s">
        <v>91</v>
      </c>
      <c r="F5079" s="45" t="s">
        <v>18001</v>
      </c>
      <c r="G5079" s="45" t="s">
        <v>50584</v>
      </c>
      <c r="H5079" s="56"/>
      <c r="I5079" s="56" t="s">
        <v>50564</v>
      </c>
      <c r="J5079" s="56"/>
      <c r="K5079" s="50"/>
      <c r="L5079" s="56" t="s">
        <v>56716</v>
      </c>
    </row>
    <row r="5080" spans="1:12" s="37" customFormat="1" ht="11.25" x14ac:dyDescent="0.2">
      <c r="A5080" s="46" t="s">
        <v>8244</v>
      </c>
      <c r="B5080" s="46" t="s">
        <v>54048</v>
      </c>
      <c r="C5080" s="58" t="str">
        <f>"11181028"</f>
        <v>11181028</v>
      </c>
      <c r="D5080" s="58" t="str">
        <f>""</f>
        <v/>
      </c>
      <c r="E5080" s="46" t="s">
        <v>8246</v>
      </c>
      <c r="F5080" s="46" t="s">
        <v>19049</v>
      </c>
      <c r="G5080" s="46" t="s">
        <v>50584</v>
      </c>
      <c r="H5080" s="48" t="s">
        <v>56716</v>
      </c>
      <c r="I5080" s="48" t="s">
        <v>50564</v>
      </c>
      <c r="J5080" s="48"/>
      <c r="K5080" s="50"/>
      <c r="L5080" s="48"/>
    </row>
    <row r="5081" spans="1:12" s="37" customFormat="1" ht="11.25" x14ac:dyDescent="0.2">
      <c r="A5081" s="46" t="s">
        <v>2693</v>
      </c>
      <c r="B5081" s="46" t="s">
        <v>54049</v>
      </c>
      <c r="C5081" s="58" t="str">
        <f>"07423098"</f>
        <v>07423098</v>
      </c>
      <c r="D5081" s="58" t="str">
        <f>"1600079X"</f>
        <v>1600079X</v>
      </c>
      <c r="E5081" s="46" t="s">
        <v>35</v>
      </c>
      <c r="F5081" s="46" t="s">
        <v>50646</v>
      </c>
      <c r="G5081" s="46" t="s">
        <v>50584</v>
      </c>
      <c r="H5081" s="48" t="s">
        <v>56716</v>
      </c>
      <c r="I5081" s="48" t="s">
        <v>50564</v>
      </c>
      <c r="J5081" s="48"/>
      <c r="K5081" s="50" t="s">
        <v>56716</v>
      </c>
      <c r="L5081" s="48" t="s">
        <v>56716</v>
      </c>
    </row>
    <row r="5082" spans="1:12" s="37" customFormat="1" ht="11.25" x14ac:dyDescent="0.2">
      <c r="A5082" s="46" t="s">
        <v>17312</v>
      </c>
      <c r="B5082" s="46" t="s">
        <v>54050</v>
      </c>
      <c r="C5082" s="58" t="str">
        <f>"23097981"</f>
        <v>23097981</v>
      </c>
      <c r="D5082" s="58" t="str">
        <f>""</f>
        <v/>
      </c>
      <c r="E5082" s="46" t="s">
        <v>17314</v>
      </c>
      <c r="F5082" s="46" t="s">
        <v>34138</v>
      </c>
      <c r="G5082" s="46" t="s">
        <v>50584</v>
      </c>
      <c r="H5082" s="48" t="s">
        <v>56716</v>
      </c>
      <c r="I5082" s="48" t="s">
        <v>50564</v>
      </c>
      <c r="J5082" s="48"/>
      <c r="K5082" s="50"/>
      <c r="L5082" s="48"/>
    </row>
    <row r="5083" spans="1:12" s="37" customFormat="1" ht="11.25" x14ac:dyDescent="0.2">
      <c r="A5083" s="46" t="s">
        <v>6449</v>
      </c>
      <c r="B5083" s="46" t="s">
        <v>54051</v>
      </c>
      <c r="C5083" s="58" t="str">
        <f>"09334173"</f>
        <v>09334173</v>
      </c>
      <c r="D5083" s="58" t="str">
        <f>"17890993"</f>
        <v>17890993</v>
      </c>
      <c r="E5083" s="46" t="s">
        <v>79</v>
      </c>
      <c r="F5083" s="45" t="s">
        <v>17976</v>
      </c>
      <c r="G5083" s="46" t="s">
        <v>50584</v>
      </c>
      <c r="H5083" s="48" t="s">
        <v>56716</v>
      </c>
      <c r="I5083" s="48" t="s">
        <v>50564</v>
      </c>
      <c r="J5083" s="48"/>
      <c r="K5083" s="50"/>
      <c r="L5083" s="48"/>
    </row>
    <row r="5084" spans="1:12" s="37" customFormat="1" ht="11.25" x14ac:dyDescent="0.2">
      <c r="A5084" s="45" t="s">
        <v>37714</v>
      </c>
      <c r="B5084" s="45" t="s">
        <v>37716</v>
      </c>
      <c r="C5084" s="51" t="s">
        <v>37719</v>
      </c>
      <c r="D5084" s="51" t="s">
        <v>37718</v>
      </c>
      <c r="E5084" s="45" t="s">
        <v>31234</v>
      </c>
      <c r="F5084" s="45" t="s">
        <v>18158</v>
      </c>
      <c r="G5084" s="45" t="s">
        <v>50594</v>
      </c>
      <c r="H5084" s="56"/>
      <c r="I5084" s="56" t="s">
        <v>50564</v>
      </c>
      <c r="J5084" s="56"/>
      <c r="K5084" s="50"/>
      <c r="L5084" s="56" t="s">
        <v>56716</v>
      </c>
    </row>
    <row r="5085" spans="1:12" s="37" customFormat="1" ht="11.25" x14ac:dyDescent="0.2">
      <c r="A5085" s="45" t="s">
        <v>37722</v>
      </c>
      <c r="B5085" s="45" t="s">
        <v>37724</v>
      </c>
      <c r="C5085" s="51" t="s">
        <v>37727</v>
      </c>
      <c r="D5085" s="51" t="s">
        <v>37726</v>
      </c>
      <c r="E5085" s="45" t="s">
        <v>23335</v>
      </c>
      <c r="F5085" s="45" t="s">
        <v>18242</v>
      </c>
      <c r="G5085" s="45" t="s">
        <v>50584</v>
      </c>
      <c r="H5085" s="56"/>
      <c r="I5085" s="56" t="s">
        <v>50564</v>
      </c>
      <c r="J5085" s="56"/>
      <c r="K5085" s="50"/>
      <c r="L5085" s="56" t="s">
        <v>56716</v>
      </c>
    </row>
    <row r="5086" spans="1:12" s="37" customFormat="1" ht="11.25" x14ac:dyDescent="0.2">
      <c r="A5086" s="46" t="s">
        <v>11150</v>
      </c>
      <c r="B5086" s="46" t="s">
        <v>54052</v>
      </c>
      <c r="C5086" s="58" t="str">
        <f>"20350686"</f>
        <v>20350686</v>
      </c>
      <c r="D5086" s="58" t="str">
        <f>""</f>
        <v/>
      </c>
      <c r="E5086" s="46" t="s">
        <v>6693</v>
      </c>
      <c r="F5086" s="46" t="s">
        <v>17991</v>
      </c>
      <c r="G5086" s="46" t="s">
        <v>50602</v>
      </c>
      <c r="H5086" s="48" t="s">
        <v>56716</v>
      </c>
      <c r="I5086" s="48" t="s">
        <v>50564</v>
      </c>
      <c r="J5086" s="48"/>
      <c r="K5086" s="50"/>
      <c r="L5086" s="48"/>
    </row>
    <row r="5087" spans="1:12" s="37" customFormat="1" ht="11.25" x14ac:dyDescent="0.2">
      <c r="A5087" s="45" t="s">
        <v>37729</v>
      </c>
      <c r="B5087" s="45" t="s">
        <v>37731</v>
      </c>
      <c r="C5087" s="51" t="s">
        <v>37734</v>
      </c>
      <c r="D5087" s="51" t="s">
        <v>37733</v>
      </c>
      <c r="E5087" s="45" t="s">
        <v>291</v>
      </c>
      <c r="F5087" s="45" t="s">
        <v>18130</v>
      </c>
      <c r="G5087" s="45" t="s">
        <v>50584</v>
      </c>
      <c r="H5087" s="56"/>
      <c r="I5087" s="56" t="s">
        <v>50564</v>
      </c>
      <c r="J5087" s="56"/>
      <c r="K5087" s="50"/>
      <c r="L5087" s="56" t="s">
        <v>56716</v>
      </c>
    </row>
    <row r="5088" spans="1:12" s="37" customFormat="1" ht="11.25" x14ac:dyDescent="0.2">
      <c r="A5088" s="46" t="s">
        <v>11446</v>
      </c>
      <c r="B5088" s="46" t="s">
        <v>54053</v>
      </c>
      <c r="C5088" s="58" t="str">
        <f>"17486815"</f>
        <v>17486815</v>
      </c>
      <c r="D5088" s="58" t="str">
        <f>"18780539"</f>
        <v>18780539</v>
      </c>
      <c r="E5088" s="46" t="s">
        <v>831</v>
      </c>
      <c r="F5088" s="46" t="s">
        <v>50646</v>
      </c>
      <c r="G5088" s="46" t="s">
        <v>50584</v>
      </c>
      <c r="H5088" s="48" t="s">
        <v>56716</v>
      </c>
      <c r="I5088" s="48" t="s">
        <v>50564</v>
      </c>
      <c r="J5088" s="48" t="s">
        <v>56716</v>
      </c>
      <c r="K5088" s="50" t="s">
        <v>56716</v>
      </c>
      <c r="L5088" s="48" t="s">
        <v>56716</v>
      </c>
    </row>
    <row r="5089" spans="1:12" s="37" customFormat="1" ht="11.25" x14ac:dyDescent="0.2">
      <c r="A5089" s="45" t="s">
        <v>37741</v>
      </c>
      <c r="B5089" s="45" t="s">
        <v>37743</v>
      </c>
      <c r="C5089" s="51" t="s">
        <v>37746</v>
      </c>
      <c r="D5089" s="51" t="s">
        <v>37745</v>
      </c>
      <c r="E5089" s="45" t="s">
        <v>37747</v>
      </c>
      <c r="F5089" s="45" t="s">
        <v>17759</v>
      </c>
      <c r="G5089" s="45" t="s">
        <v>50584</v>
      </c>
      <c r="H5089" s="56"/>
      <c r="I5089" s="56" t="s">
        <v>50564</v>
      </c>
      <c r="J5089" s="56"/>
      <c r="K5089" s="50"/>
      <c r="L5089" s="56" t="s">
        <v>56716</v>
      </c>
    </row>
    <row r="5090" spans="1:12" s="37" customFormat="1" ht="11.25" x14ac:dyDescent="0.2">
      <c r="A5090" s="46" t="s">
        <v>15444</v>
      </c>
      <c r="B5090" s="46" t="s">
        <v>54054</v>
      </c>
      <c r="C5090" s="58" t="str">
        <f>"17106222"</f>
        <v>17106222</v>
      </c>
      <c r="D5090" s="58" t="str">
        <f>""</f>
        <v/>
      </c>
      <c r="E5090" s="46" t="s">
        <v>15446</v>
      </c>
      <c r="F5090" s="46" t="s">
        <v>18959</v>
      </c>
      <c r="G5090" s="46" t="s">
        <v>50584</v>
      </c>
      <c r="H5090" s="48" t="s">
        <v>56716</v>
      </c>
      <c r="I5090" s="48" t="s">
        <v>50564</v>
      </c>
      <c r="J5090" s="48"/>
      <c r="K5090" s="50"/>
      <c r="L5090" s="48" t="s">
        <v>56716</v>
      </c>
    </row>
    <row r="5091" spans="1:12" s="37" customFormat="1" ht="11.25" x14ac:dyDescent="0.2">
      <c r="A5091" s="46" t="s">
        <v>10477</v>
      </c>
      <c r="B5091" s="46" t="s">
        <v>54055</v>
      </c>
      <c r="C5091" s="58" t="str">
        <f>"10135472"</f>
        <v>10135472</v>
      </c>
      <c r="D5091" s="58" t="str">
        <f>"18119387"</f>
        <v>18119387</v>
      </c>
      <c r="E5091" s="46" t="s">
        <v>10480</v>
      </c>
      <c r="F5091" s="46" t="s">
        <v>34138</v>
      </c>
      <c r="G5091" s="46" t="s">
        <v>50584</v>
      </c>
      <c r="H5091" s="48" t="s">
        <v>56716</v>
      </c>
      <c r="I5091" s="48" t="s">
        <v>50564</v>
      </c>
      <c r="J5091" s="48"/>
      <c r="K5091" s="50"/>
      <c r="L5091" s="48"/>
    </row>
    <row r="5092" spans="1:12" s="37" customFormat="1" ht="11.25" x14ac:dyDescent="0.2">
      <c r="A5092" s="46" t="s">
        <v>8823</v>
      </c>
      <c r="B5092" s="46" t="s">
        <v>51257</v>
      </c>
      <c r="C5092" s="58" t="str">
        <f>"00223859"</f>
        <v>00223859</v>
      </c>
      <c r="D5092" s="58" t="str">
        <f>"09722823"</f>
        <v>09722823</v>
      </c>
      <c r="E5092" s="46" t="s">
        <v>19057</v>
      </c>
      <c r="F5092" s="46" t="s">
        <v>20446</v>
      </c>
      <c r="G5092" s="46" t="s">
        <v>50584</v>
      </c>
      <c r="H5092" s="48" t="s">
        <v>56716</v>
      </c>
      <c r="I5092" s="48" t="s">
        <v>50564</v>
      </c>
      <c r="J5092" s="48"/>
      <c r="K5092" s="50"/>
      <c r="L5092" s="48" t="s">
        <v>56716</v>
      </c>
    </row>
    <row r="5093" spans="1:12" s="37" customFormat="1" ht="11.25" x14ac:dyDescent="0.2">
      <c r="A5093" s="46" t="s">
        <v>13552</v>
      </c>
      <c r="B5093" s="46" t="s">
        <v>54056</v>
      </c>
      <c r="C5093" s="58" t="str">
        <f>"10011692"</f>
        <v>10011692</v>
      </c>
      <c r="D5093" s="58" t="str">
        <f>""</f>
        <v/>
      </c>
      <c r="E5093" s="46" t="s">
        <v>13554</v>
      </c>
      <c r="F5093" s="46" t="s">
        <v>17958</v>
      </c>
      <c r="G5093" s="46" t="s">
        <v>50580</v>
      </c>
      <c r="H5093" s="48" t="s">
        <v>56716</v>
      </c>
      <c r="I5093" s="48" t="s">
        <v>50564</v>
      </c>
      <c r="J5093" s="48"/>
      <c r="K5093" s="50"/>
      <c r="L5093" s="48"/>
    </row>
    <row r="5094" spans="1:12" s="37" customFormat="1" ht="11.25" x14ac:dyDescent="0.2">
      <c r="A5094" s="45" t="s">
        <v>37766</v>
      </c>
      <c r="B5094" s="45" t="s">
        <v>37768</v>
      </c>
      <c r="C5094" s="51" t="s">
        <v>37770</v>
      </c>
      <c r="D5094" s="51" t="s">
        <v>37769</v>
      </c>
      <c r="E5094" s="45" t="s">
        <v>26009</v>
      </c>
      <c r="F5094" s="45" t="s">
        <v>21182</v>
      </c>
      <c r="G5094" s="45" t="s">
        <v>50584</v>
      </c>
      <c r="H5094" s="56"/>
      <c r="I5094" s="56" t="s">
        <v>50564</v>
      </c>
      <c r="J5094" s="56"/>
      <c r="K5094" s="50"/>
      <c r="L5094" s="56" t="s">
        <v>56716</v>
      </c>
    </row>
    <row r="5095" spans="1:12" s="37" customFormat="1" ht="11.25" x14ac:dyDescent="0.2">
      <c r="A5095" s="46" t="s">
        <v>14889</v>
      </c>
      <c r="B5095" s="46" t="s">
        <v>54057</v>
      </c>
      <c r="C5095" s="58" t="str">
        <f>"09761756"</f>
        <v>09761756</v>
      </c>
      <c r="D5095" s="58" t="str">
        <f>"09764054"</f>
        <v>09764054</v>
      </c>
      <c r="E5095" s="46" t="s">
        <v>19057</v>
      </c>
      <c r="F5095" s="46" t="s">
        <v>20446</v>
      </c>
      <c r="G5095" s="46" t="s">
        <v>50584</v>
      </c>
      <c r="H5095" s="48" t="s">
        <v>56716</v>
      </c>
      <c r="I5095" s="48" t="s">
        <v>50564</v>
      </c>
      <c r="J5095" s="48" t="s">
        <v>56716</v>
      </c>
      <c r="K5095" s="50"/>
      <c r="L5095" s="48"/>
    </row>
    <row r="5096" spans="1:12" s="37" customFormat="1" ht="11.25" x14ac:dyDescent="0.2">
      <c r="A5096" s="45" t="s">
        <v>37772</v>
      </c>
      <c r="B5096" s="45" t="s">
        <v>37774</v>
      </c>
      <c r="C5096" s="51" t="s">
        <v>37777</v>
      </c>
      <c r="D5096" s="51" t="s">
        <v>37776</v>
      </c>
      <c r="E5096" s="45" t="s">
        <v>689</v>
      </c>
      <c r="F5096" s="45" t="s">
        <v>17759</v>
      </c>
      <c r="G5096" s="45" t="s">
        <v>50584</v>
      </c>
      <c r="H5096" s="56"/>
      <c r="I5096" s="56" t="s">
        <v>50564</v>
      </c>
      <c r="J5096" s="56"/>
      <c r="K5096" s="50"/>
      <c r="L5096" s="56" t="s">
        <v>56716</v>
      </c>
    </row>
    <row r="5097" spans="1:12" s="37" customFormat="1" ht="11.25" x14ac:dyDescent="0.2">
      <c r="A5097" s="46" t="s">
        <v>5984</v>
      </c>
      <c r="B5097" s="46" t="s">
        <v>54058</v>
      </c>
      <c r="C5097" s="58" t="str">
        <f>"11212233"</f>
        <v>11212233</v>
      </c>
      <c r="D5097" s="58" t="str">
        <f>""</f>
        <v/>
      </c>
      <c r="E5097" s="46" t="s">
        <v>1711</v>
      </c>
      <c r="F5097" s="46" t="s">
        <v>17991</v>
      </c>
      <c r="G5097" s="46" t="s">
        <v>50584</v>
      </c>
      <c r="H5097" s="48" t="s">
        <v>56716</v>
      </c>
      <c r="I5097" s="48" t="s">
        <v>50564</v>
      </c>
      <c r="J5097" s="48"/>
      <c r="K5097" s="50"/>
      <c r="L5097" s="48" t="s">
        <v>56716</v>
      </c>
    </row>
    <row r="5098" spans="1:12" s="37" customFormat="1" ht="11.25" x14ac:dyDescent="0.2">
      <c r="A5098" s="46" t="s">
        <v>13616</v>
      </c>
      <c r="B5098" s="46" t="s">
        <v>54059</v>
      </c>
      <c r="C5098" s="58" t="str">
        <f>"19758375"</f>
        <v>19758375</v>
      </c>
      <c r="D5098" s="58" t="str">
        <f>""</f>
        <v/>
      </c>
      <c r="E5098" s="46" t="s">
        <v>13618</v>
      </c>
      <c r="F5098" s="46" t="s">
        <v>50649</v>
      </c>
      <c r="G5098" s="46" t="s">
        <v>50607</v>
      </c>
      <c r="H5098" s="48" t="s">
        <v>56716</v>
      </c>
      <c r="I5098" s="48" t="s">
        <v>50564</v>
      </c>
      <c r="J5098" s="48"/>
      <c r="K5098" s="50"/>
      <c r="L5098" s="48" t="s">
        <v>56716</v>
      </c>
    </row>
    <row r="5099" spans="1:12" s="37" customFormat="1" ht="11.25" x14ac:dyDescent="0.2">
      <c r="A5099" s="45" t="s">
        <v>37791</v>
      </c>
      <c r="B5099" s="45" t="s">
        <v>37793</v>
      </c>
      <c r="C5099" s="51" t="s">
        <v>37795</v>
      </c>
      <c r="D5099" s="51" t="s">
        <v>37794</v>
      </c>
      <c r="E5099" s="45" t="s">
        <v>19447</v>
      </c>
      <c r="F5099" s="45" t="s">
        <v>17759</v>
      </c>
      <c r="G5099" s="45" t="s">
        <v>50584</v>
      </c>
      <c r="H5099" s="56"/>
      <c r="I5099" s="56" t="s">
        <v>50564</v>
      </c>
      <c r="J5099" s="56"/>
      <c r="K5099" s="50"/>
      <c r="L5099" s="56" t="s">
        <v>56716</v>
      </c>
    </row>
    <row r="5100" spans="1:12" s="37" customFormat="1" ht="11.25" x14ac:dyDescent="0.2">
      <c r="A5100" s="45" t="s">
        <v>37798</v>
      </c>
      <c r="B5100" s="45" t="s">
        <v>37800</v>
      </c>
      <c r="C5100" s="51" t="s">
        <v>37803</v>
      </c>
      <c r="D5100" s="51" t="s">
        <v>37802</v>
      </c>
      <c r="E5100" s="45" t="s">
        <v>37804</v>
      </c>
      <c r="F5100" s="45" t="s">
        <v>19483</v>
      </c>
      <c r="G5100" s="45" t="s">
        <v>50584</v>
      </c>
      <c r="H5100" s="56"/>
      <c r="I5100" s="56" t="s">
        <v>50564</v>
      </c>
      <c r="J5100" s="56"/>
      <c r="K5100" s="50"/>
      <c r="L5100" s="56" t="s">
        <v>56716</v>
      </c>
    </row>
    <row r="5101" spans="1:12" s="37" customFormat="1" ht="11.25" x14ac:dyDescent="0.2">
      <c r="A5101" s="45" t="s">
        <v>37813</v>
      </c>
      <c r="B5101" s="45" t="s">
        <v>37815</v>
      </c>
      <c r="C5101" s="51" t="s">
        <v>37817</v>
      </c>
      <c r="D5101" s="51" t="s">
        <v>37816</v>
      </c>
      <c r="E5101" s="45" t="s">
        <v>303</v>
      </c>
      <c r="F5101" s="45" t="s">
        <v>17759</v>
      </c>
      <c r="G5101" s="45" t="s">
        <v>50584</v>
      </c>
      <c r="H5101" s="56"/>
      <c r="I5101" s="56" t="s">
        <v>50564</v>
      </c>
      <c r="J5101" s="56"/>
      <c r="K5101" s="50"/>
      <c r="L5101" s="56" t="s">
        <v>56716</v>
      </c>
    </row>
    <row r="5102" spans="1:12" s="37" customFormat="1" ht="11.25" x14ac:dyDescent="0.2">
      <c r="A5102" s="45" t="s">
        <v>37825</v>
      </c>
      <c r="B5102" s="45" t="s">
        <v>37827</v>
      </c>
      <c r="C5102" s="51" t="s">
        <v>37830</v>
      </c>
      <c r="D5102" s="51" t="s">
        <v>37829</v>
      </c>
      <c r="E5102" s="45" t="s">
        <v>91</v>
      </c>
      <c r="F5102" s="45" t="s">
        <v>18001</v>
      </c>
      <c r="G5102" s="45" t="s">
        <v>50584</v>
      </c>
      <c r="H5102" s="56"/>
      <c r="I5102" s="56" t="s">
        <v>50564</v>
      </c>
      <c r="J5102" s="56"/>
      <c r="K5102" s="50"/>
      <c r="L5102" s="56" t="s">
        <v>56716</v>
      </c>
    </row>
    <row r="5103" spans="1:12" s="37" customFormat="1" ht="11.25" x14ac:dyDescent="0.2">
      <c r="A5103" s="45" t="s">
        <v>37832</v>
      </c>
      <c r="B5103" s="45" t="s">
        <v>37834</v>
      </c>
      <c r="C5103" s="51" t="s">
        <v>37836</v>
      </c>
      <c r="D5103" s="51" t="s">
        <v>37835</v>
      </c>
      <c r="E5103" s="45" t="s">
        <v>970</v>
      </c>
      <c r="F5103" s="45" t="s">
        <v>17759</v>
      </c>
      <c r="G5103" s="45" t="s">
        <v>50584</v>
      </c>
      <c r="H5103" s="56"/>
      <c r="I5103" s="56" t="s">
        <v>50564</v>
      </c>
      <c r="J5103" s="56"/>
      <c r="K5103" s="50"/>
      <c r="L5103" s="56" t="s">
        <v>56716</v>
      </c>
    </row>
    <row r="5104" spans="1:12" s="37" customFormat="1" ht="11.25" x14ac:dyDescent="0.2">
      <c r="A5104" s="46" t="s">
        <v>9364</v>
      </c>
      <c r="B5104" s="46" t="s">
        <v>54060</v>
      </c>
      <c r="C5104" s="58" t="str">
        <f>"15353893"</f>
        <v>15353893</v>
      </c>
      <c r="D5104" s="58" t="str">
        <f>"15353907"</f>
        <v>15353907</v>
      </c>
      <c r="E5104" s="46" t="s">
        <v>776</v>
      </c>
      <c r="F5104" s="46" t="s">
        <v>17759</v>
      </c>
      <c r="G5104" s="46" t="s">
        <v>50584</v>
      </c>
      <c r="H5104" s="48" t="s">
        <v>56716</v>
      </c>
      <c r="I5104" s="48" t="s">
        <v>50564</v>
      </c>
      <c r="J5104" s="48" t="s">
        <v>56716</v>
      </c>
      <c r="K5104" s="50"/>
      <c r="L5104" s="48" t="s">
        <v>56716</v>
      </c>
    </row>
    <row r="5105" spans="1:12" s="37" customFormat="1" ht="11.25" x14ac:dyDescent="0.2">
      <c r="A5105" s="46" t="s">
        <v>12728</v>
      </c>
      <c r="B5105" s="46" t="s">
        <v>54061</v>
      </c>
      <c r="C5105" s="58" t="str">
        <f>"18743919"</f>
        <v>18743919</v>
      </c>
      <c r="D5105" s="58" t="str">
        <f>"18767737"</f>
        <v>18767737</v>
      </c>
      <c r="E5105" s="46" t="s">
        <v>91</v>
      </c>
      <c r="F5105" s="46" t="s">
        <v>18001</v>
      </c>
      <c r="G5105" s="46" t="s">
        <v>50584</v>
      </c>
      <c r="H5105" s="48" t="s">
        <v>56716</v>
      </c>
      <c r="I5105" s="48" t="s">
        <v>50564</v>
      </c>
      <c r="J5105" s="48" t="s">
        <v>56716</v>
      </c>
      <c r="K5105" s="50" t="s">
        <v>56716</v>
      </c>
      <c r="L5105" s="48" t="s">
        <v>56716</v>
      </c>
    </row>
    <row r="5106" spans="1:12" s="37" customFormat="1" ht="11.25" x14ac:dyDescent="0.2">
      <c r="A5106" s="45" t="s">
        <v>37848</v>
      </c>
      <c r="B5106" s="45" t="s">
        <v>37850</v>
      </c>
      <c r="C5106" s="51" t="s">
        <v>37852</v>
      </c>
      <c r="D5106" s="51" t="s">
        <v>37851</v>
      </c>
      <c r="E5106" s="45" t="s">
        <v>23527</v>
      </c>
      <c r="F5106" s="45" t="s">
        <v>50646</v>
      </c>
      <c r="G5106" s="45" t="s">
        <v>50584</v>
      </c>
      <c r="H5106" s="56"/>
      <c r="I5106" s="56" t="s">
        <v>50564</v>
      </c>
      <c r="J5106" s="56"/>
      <c r="K5106" s="50"/>
      <c r="L5106" s="56" t="s">
        <v>56716</v>
      </c>
    </row>
    <row r="5107" spans="1:12" s="37" customFormat="1" ht="11.25" x14ac:dyDescent="0.2">
      <c r="A5107" s="46" t="s">
        <v>7359</v>
      </c>
      <c r="B5107" s="46" t="s">
        <v>54062</v>
      </c>
      <c r="C5107" s="58" t="str">
        <f>"15274160"</f>
        <v>15274160</v>
      </c>
      <c r="D5107" s="58" t="str">
        <f>""</f>
        <v/>
      </c>
      <c r="E5107" s="46" t="s">
        <v>28</v>
      </c>
      <c r="F5107" s="46" t="s">
        <v>17759</v>
      </c>
      <c r="G5107" s="46" t="s">
        <v>50584</v>
      </c>
      <c r="H5107" s="48" t="s">
        <v>56716</v>
      </c>
      <c r="I5107" s="48" t="s">
        <v>50564</v>
      </c>
      <c r="J5107" s="48"/>
      <c r="K5107" s="50"/>
      <c r="L5107" s="48" t="s">
        <v>56716</v>
      </c>
    </row>
    <row r="5108" spans="1:12" s="37" customFormat="1" ht="11.25" x14ac:dyDescent="0.2">
      <c r="A5108" s="46" t="s">
        <v>2705</v>
      </c>
      <c r="B5108" s="46" t="s">
        <v>54063</v>
      </c>
      <c r="C5108" s="58" t="str">
        <f>"00223956"</f>
        <v>00223956</v>
      </c>
      <c r="D5108" s="58" t="str">
        <f>"18791379"</f>
        <v>18791379</v>
      </c>
      <c r="E5108" s="46" t="s">
        <v>155</v>
      </c>
      <c r="F5108" s="46" t="s">
        <v>50646</v>
      </c>
      <c r="G5108" s="46" t="s">
        <v>50584</v>
      </c>
      <c r="H5108" s="48" t="s">
        <v>56716</v>
      </c>
      <c r="I5108" s="48" t="s">
        <v>50564</v>
      </c>
      <c r="J5108" s="48" t="s">
        <v>56716</v>
      </c>
      <c r="K5108" s="50" t="s">
        <v>56716</v>
      </c>
      <c r="L5108" s="48" t="s">
        <v>56716</v>
      </c>
    </row>
    <row r="5109" spans="1:12" s="37" customFormat="1" ht="11.25" x14ac:dyDescent="0.2">
      <c r="A5109" s="46" t="s">
        <v>2696</v>
      </c>
      <c r="B5109" s="46" t="s">
        <v>54064</v>
      </c>
      <c r="C5109" s="58" t="str">
        <f>"00931853"</f>
        <v>00931853</v>
      </c>
      <c r="D5109" s="58" t="str">
        <f>""</f>
        <v/>
      </c>
      <c r="E5109" s="46" t="s">
        <v>2698</v>
      </c>
      <c r="F5109" s="46" t="s">
        <v>17759</v>
      </c>
      <c r="G5109" s="46" t="s">
        <v>50584</v>
      </c>
      <c r="H5109" s="48" t="s">
        <v>56716</v>
      </c>
      <c r="I5109" s="48" t="s">
        <v>50564</v>
      </c>
      <c r="J5109" s="48"/>
      <c r="K5109" s="50"/>
      <c r="L5109" s="48"/>
    </row>
    <row r="5110" spans="1:12" s="37" customFormat="1" ht="11.25" x14ac:dyDescent="0.2">
      <c r="A5110" s="46" t="s">
        <v>5515</v>
      </c>
      <c r="B5110" s="46" t="s">
        <v>54065</v>
      </c>
      <c r="C5110" s="58" t="str">
        <f>"11804882"</f>
        <v>11804882</v>
      </c>
      <c r="D5110" s="58" t="str">
        <f>"14882434"</f>
        <v>14882434</v>
      </c>
      <c r="E5110" s="46" t="s">
        <v>1193</v>
      </c>
      <c r="F5110" s="46" t="s">
        <v>18959</v>
      </c>
      <c r="G5110" s="46" t="s">
        <v>50584</v>
      </c>
      <c r="H5110" s="48" t="s">
        <v>56716</v>
      </c>
      <c r="I5110" s="48" t="s">
        <v>50564</v>
      </c>
      <c r="J5110" s="48"/>
      <c r="K5110" s="50"/>
      <c r="L5110" s="48" t="s">
        <v>56716</v>
      </c>
    </row>
    <row r="5111" spans="1:12" s="37" customFormat="1" ht="11.25" x14ac:dyDescent="0.2">
      <c r="A5111" s="46" t="s">
        <v>2649</v>
      </c>
      <c r="B5111" s="46" t="s">
        <v>54066</v>
      </c>
      <c r="C5111" s="58" t="str">
        <f>"02791072"</f>
        <v>02791072</v>
      </c>
      <c r="D5111" s="58" t="str">
        <f>"21599777"</f>
        <v>21599777</v>
      </c>
      <c r="E5111" s="46" t="s">
        <v>689</v>
      </c>
      <c r="F5111" s="46" t="s">
        <v>17759</v>
      </c>
      <c r="G5111" s="46" t="s">
        <v>50584</v>
      </c>
      <c r="H5111" s="48" t="s">
        <v>56716</v>
      </c>
      <c r="I5111" s="48" t="s">
        <v>50564</v>
      </c>
      <c r="J5111" s="48"/>
      <c r="K5111" s="50"/>
      <c r="L5111" s="48" t="s">
        <v>56716</v>
      </c>
    </row>
    <row r="5112" spans="1:12" s="37" customFormat="1" ht="11.25" x14ac:dyDescent="0.2">
      <c r="A5112" s="45" t="s">
        <v>37884</v>
      </c>
      <c r="B5112" s="45" t="s">
        <v>37886</v>
      </c>
      <c r="C5112" s="51" t="s">
        <v>37888</v>
      </c>
      <c r="D5112" s="51" t="s">
        <v>37887</v>
      </c>
      <c r="E5112" s="45" t="s">
        <v>17783</v>
      </c>
      <c r="F5112" s="45" t="s">
        <v>17759</v>
      </c>
      <c r="G5112" s="45" t="s">
        <v>50584</v>
      </c>
      <c r="H5112" s="56"/>
      <c r="I5112" s="56" t="s">
        <v>50564</v>
      </c>
      <c r="J5112" s="56"/>
      <c r="K5112" s="50"/>
      <c r="L5112" s="56" t="s">
        <v>56716</v>
      </c>
    </row>
    <row r="5113" spans="1:12" s="37" customFormat="1" ht="11.25" x14ac:dyDescent="0.2">
      <c r="A5113" s="46" t="s">
        <v>9569</v>
      </c>
      <c r="B5113" s="46" t="s">
        <v>54067</v>
      </c>
      <c r="C5113" s="58" t="str">
        <f>"15921107"</f>
        <v>15921107</v>
      </c>
      <c r="D5113" s="58" t="str">
        <f>""</f>
        <v/>
      </c>
      <c r="E5113" s="46" t="s">
        <v>1711</v>
      </c>
      <c r="F5113" s="46" t="s">
        <v>17991</v>
      </c>
      <c r="G5113" s="46" t="s">
        <v>50602</v>
      </c>
      <c r="H5113" s="48" t="s">
        <v>56716</v>
      </c>
      <c r="I5113" s="48" t="s">
        <v>50564</v>
      </c>
      <c r="J5113" s="48"/>
      <c r="K5113" s="50"/>
      <c r="L5113" s="48"/>
    </row>
    <row r="5114" spans="1:12" s="37" customFormat="1" ht="11.25" x14ac:dyDescent="0.2">
      <c r="A5114" s="46" t="s">
        <v>2638</v>
      </c>
      <c r="B5114" s="46" t="s">
        <v>54068</v>
      </c>
      <c r="C5114" s="58" t="str">
        <f>"08822689"</f>
        <v>08822689</v>
      </c>
      <c r="D5114" s="58" t="str">
        <f>"15733505"</f>
        <v>15733505</v>
      </c>
      <c r="E5114" s="46" t="s">
        <v>56305</v>
      </c>
      <c r="F5114" s="46" t="s">
        <v>17759</v>
      </c>
      <c r="G5114" s="46" t="s">
        <v>50584</v>
      </c>
      <c r="H5114" s="48" t="s">
        <v>56716</v>
      </c>
      <c r="I5114" s="48" t="s">
        <v>50564</v>
      </c>
      <c r="J5114" s="48"/>
      <c r="K5114" s="50" t="s">
        <v>56716</v>
      </c>
      <c r="L5114" s="48"/>
    </row>
    <row r="5115" spans="1:12" s="37" customFormat="1" ht="11.25" x14ac:dyDescent="0.2">
      <c r="A5115" s="46" t="s">
        <v>4610</v>
      </c>
      <c r="B5115" s="46" t="s">
        <v>54069</v>
      </c>
      <c r="C5115" s="58" t="str">
        <f>"02698811"</f>
        <v>02698811</v>
      </c>
      <c r="D5115" s="58" t="str">
        <f>"14617285"</f>
        <v>14617285</v>
      </c>
      <c r="E5115" s="46" t="s">
        <v>97</v>
      </c>
      <c r="F5115" s="46" t="s">
        <v>50646</v>
      </c>
      <c r="G5115" s="46" t="s">
        <v>50584</v>
      </c>
      <c r="H5115" s="48" t="s">
        <v>56716</v>
      </c>
      <c r="I5115" s="48" t="s">
        <v>50564</v>
      </c>
      <c r="J5115" s="48" t="s">
        <v>56716</v>
      </c>
      <c r="K5115" s="50"/>
      <c r="L5115" s="48" t="s">
        <v>56716</v>
      </c>
    </row>
    <row r="5116" spans="1:12" s="37" customFormat="1" ht="11.25" x14ac:dyDescent="0.2">
      <c r="A5116" s="46" t="s">
        <v>4613</v>
      </c>
      <c r="B5116" s="46" t="s">
        <v>54070</v>
      </c>
      <c r="C5116" s="58" t="str">
        <f>"02698803"</f>
        <v>02698803</v>
      </c>
      <c r="D5116" s="58" t="str">
        <f>"21512124"</f>
        <v>21512124</v>
      </c>
      <c r="E5116" s="46" t="s">
        <v>4616</v>
      </c>
      <c r="F5116" s="46" t="s">
        <v>18158</v>
      </c>
      <c r="G5116" s="46" t="s">
        <v>50584</v>
      </c>
      <c r="H5116" s="48" t="s">
        <v>56716</v>
      </c>
      <c r="I5116" s="48" t="s">
        <v>50564</v>
      </c>
      <c r="J5116" s="48"/>
      <c r="K5116" s="50"/>
      <c r="L5116" s="48"/>
    </row>
    <row r="5117" spans="1:12" s="37" customFormat="1" ht="11.25" x14ac:dyDescent="0.2">
      <c r="A5117" s="45" t="s">
        <v>37903</v>
      </c>
      <c r="B5117" s="45" t="s">
        <v>37905</v>
      </c>
      <c r="C5117" s="51" t="s">
        <v>37907</v>
      </c>
      <c r="D5117" s="51"/>
      <c r="E5117" s="45" t="s">
        <v>37908</v>
      </c>
      <c r="F5117" s="45" t="s">
        <v>17759</v>
      </c>
      <c r="G5117" s="45" t="s">
        <v>50584</v>
      </c>
      <c r="H5117" s="56"/>
      <c r="I5117" s="56" t="s">
        <v>50564</v>
      </c>
      <c r="J5117" s="56"/>
      <c r="K5117" s="50"/>
      <c r="L5117" s="56" t="s">
        <v>56716</v>
      </c>
    </row>
    <row r="5118" spans="1:12" s="37" customFormat="1" ht="11.25" x14ac:dyDescent="0.2">
      <c r="A5118" s="46" t="s">
        <v>2679</v>
      </c>
      <c r="B5118" s="46" t="s">
        <v>54071</v>
      </c>
      <c r="C5118" s="58" t="str">
        <f>"07347332"</f>
        <v>07347332</v>
      </c>
      <c r="D5118" s="58" t="str">
        <f>"15407586"</f>
        <v>15407586</v>
      </c>
      <c r="E5118" s="46" t="s">
        <v>689</v>
      </c>
      <c r="F5118" s="46" t="s">
        <v>17759</v>
      </c>
      <c r="G5118" s="46" t="s">
        <v>50584</v>
      </c>
      <c r="H5118" s="48" t="s">
        <v>56716</v>
      </c>
      <c r="I5118" s="48" t="s">
        <v>50564</v>
      </c>
      <c r="J5118" s="48"/>
      <c r="K5118" s="50" t="s">
        <v>56716</v>
      </c>
      <c r="L5118" s="48" t="s">
        <v>56716</v>
      </c>
    </row>
    <row r="5119" spans="1:12" s="37" customFormat="1" ht="11.25" x14ac:dyDescent="0.2">
      <c r="A5119" s="46" t="s">
        <v>2676</v>
      </c>
      <c r="B5119" s="46" t="s">
        <v>54072</v>
      </c>
      <c r="C5119" s="58" t="str">
        <f>"0167482X"</f>
        <v>0167482X</v>
      </c>
      <c r="D5119" s="58" t="str">
        <f>"17438942"</f>
        <v>17438942</v>
      </c>
      <c r="E5119" s="46" t="s">
        <v>291</v>
      </c>
      <c r="F5119" s="46" t="s">
        <v>50646</v>
      </c>
      <c r="G5119" s="46" t="s">
        <v>50584</v>
      </c>
      <c r="H5119" s="48" t="s">
        <v>56716</v>
      </c>
      <c r="I5119" s="48" t="s">
        <v>50564</v>
      </c>
      <c r="J5119" s="48"/>
      <c r="K5119" s="50"/>
      <c r="L5119" s="48" t="s">
        <v>56716</v>
      </c>
    </row>
    <row r="5120" spans="1:12" s="37" customFormat="1" ht="11.25" x14ac:dyDescent="0.2">
      <c r="A5120" s="46" t="s">
        <v>2646</v>
      </c>
      <c r="B5120" s="46" t="s">
        <v>54073</v>
      </c>
      <c r="C5120" s="58" t="str">
        <f>"00223999"</f>
        <v>00223999</v>
      </c>
      <c r="D5120" s="58" t="str">
        <f>"18791360"</f>
        <v>18791360</v>
      </c>
      <c r="E5120" s="46" t="s">
        <v>272</v>
      </c>
      <c r="F5120" s="46" t="s">
        <v>17759</v>
      </c>
      <c r="G5120" s="46" t="s">
        <v>50584</v>
      </c>
      <c r="H5120" s="48" t="s">
        <v>56716</v>
      </c>
      <c r="I5120" s="48" t="s">
        <v>50564</v>
      </c>
      <c r="J5120" s="48"/>
      <c r="K5120" s="50" t="s">
        <v>56716</v>
      </c>
      <c r="L5120" s="48" t="s">
        <v>56716</v>
      </c>
    </row>
    <row r="5121" spans="1:12" s="37" customFormat="1" ht="11.25" x14ac:dyDescent="0.2">
      <c r="A5121" s="46" t="s">
        <v>10385</v>
      </c>
      <c r="B5121" s="46" t="s">
        <v>54074</v>
      </c>
      <c r="C5121" s="58" t="str">
        <f>"10530479"</f>
        <v>10530479</v>
      </c>
      <c r="D5121" s="58" t="str">
        <f>"15733696"</f>
        <v>15733696</v>
      </c>
      <c r="E5121" s="46" t="s">
        <v>356</v>
      </c>
      <c r="F5121" s="46" t="s">
        <v>17759</v>
      </c>
      <c r="G5121" s="46" t="s">
        <v>50584</v>
      </c>
      <c r="H5121" s="48" t="s">
        <v>56716</v>
      </c>
      <c r="I5121" s="48" t="s">
        <v>50564</v>
      </c>
      <c r="J5121" s="48"/>
      <c r="K5121" s="50" t="s">
        <v>56716</v>
      </c>
      <c r="L5121" s="48"/>
    </row>
    <row r="5122" spans="1:12" s="37" customFormat="1" ht="11.25" x14ac:dyDescent="0.2">
      <c r="A5122" s="46" t="s">
        <v>10231</v>
      </c>
      <c r="B5122" s="46" t="s">
        <v>54075</v>
      </c>
      <c r="C5122" s="58" t="str">
        <f>"09431853"</f>
        <v>09431853</v>
      </c>
      <c r="D5122" s="58" t="str">
        <f>"16132238"</f>
        <v>16132238</v>
      </c>
      <c r="E5122" s="46" t="s">
        <v>167</v>
      </c>
      <c r="F5122" s="46" t="s">
        <v>18158</v>
      </c>
      <c r="G5122" s="46" t="s">
        <v>50592</v>
      </c>
      <c r="H5122" s="48" t="s">
        <v>56716</v>
      </c>
      <c r="I5122" s="48" t="s">
        <v>50564</v>
      </c>
      <c r="J5122" s="48"/>
      <c r="K5122" s="50"/>
      <c r="L5122" s="48"/>
    </row>
    <row r="5123" spans="1:12" s="37" customFormat="1" ht="11.25" x14ac:dyDescent="0.2">
      <c r="A5123" s="45" t="s">
        <v>37924</v>
      </c>
      <c r="B5123" s="45" t="s">
        <v>37926</v>
      </c>
      <c r="C5123" s="51" t="s">
        <v>37929</v>
      </c>
      <c r="D5123" s="51" t="s">
        <v>37928</v>
      </c>
      <c r="E5123" s="45" t="s">
        <v>55</v>
      </c>
      <c r="F5123" s="45" t="s">
        <v>50646</v>
      </c>
      <c r="G5123" s="45" t="s">
        <v>50584</v>
      </c>
      <c r="H5123" s="56"/>
      <c r="I5123" s="56" t="s">
        <v>50564</v>
      </c>
      <c r="J5123" s="56"/>
      <c r="K5123" s="50"/>
      <c r="L5123" s="56" t="s">
        <v>56716</v>
      </c>
    </row>
    <row r="5124" spans="1:12" s="37" customFormat="1" ht="11.25" x14ac:dyDescent="0.2">
      <c r="A5124" s="45" t="s">
        <v>37931</v>
      </c>
      <c r="B5124" s="45" t="s">
        <v>37933</v>
      </c>
      <c r="C5124" s="51" t="s">
        <v>37936</v>
      </c>
      <c r="D5124" s="51" t="s">
        <v>37935</v>
      </c>
      <c r="E5124" s="45" t="s">
        <v>37937</v>
      </c>
      <c r="F5124" s="45" t="s">
        <v>17759</v>
      </c>
      <c r="G5124" s="45" t="s">
        <v>50584</v>
      </c>
      <c r="H5124" s="56"/>
      <c r="I5124" s="56" t="s">
        <v>50564</v>
      </c>
      <c r="J5124" s="56"/>
      <c r="K5124" s="50"/>
      <c r="L5124" s="56" t="s">
        <v>56716</v>
      </c>
    </row>
    <row r="5125" spans="1:12" s="37" customFormat="1" ht="11.25" x14ac:dyDescent="0.2">
      <c r="A5125" s="46" t="s">
        <v>16876</v>
      </c>
      <c r="B5125" s="46" t="s">
        <v>54076</v>
      </c>
      <c r="C5125" s="58" t="str">
        <f>"20389922"</f>
        <v>20389922</v>
      </c>
      <c r="D5125" s="58" t="str">
        <f>"20389930"</f>
        <v>20389930</v>
      </c>
      <c r="E5125" s="46" t="s">
        <v>1949</v>
      </c>
      <c r="F5125" s="46" t="s">
        <v>17991</v>
      </c>
      <c r="G5125" s="46" t="s">
        <v>50584</v>
      </c>
      <c r="H5125" s="48" t="s">
        <v>56716</v>
      </c>
      <c r="I5125" s="48" t="s">
        <v>50564</v>
      </c>
      <c r="J5125" s="48"/>
      <c r="K5125" s="50"/>
      <c r="L5125" s="48"/>
    </row>
    <row r="5126" spans="1:12" s="37" customFormat="1" ht="11.25" x14ac:dyDescent="0.2">
      <c r="A5126" s="45" t="s">
        <v>37939</v>
      </c>
      <c r="B5126" s="45" t="s">
        <v>37941</v>
      </c>
      <c r="C5126" s="51" t="s">
        <v>37943</v>
      </c>
      <c r="D5126" s="51" t="s">
        <v>37942</v>
      </c>
      <c r="E5126" s="45" t="s">
        <v>17758</v>
      </c>
      <c r="F5126" s="45" t="s">
        <v>17759</v>
      </c>
      <c r="G5126" s="45" t="s">
        <v>50584</v>
      </c>
      <c r="H5126" s="56"/>
      <c r="I5126" s="56" t="s">
        <v>50564</v>
      </c>
      <c r="J5126" s="56"/>
      <c r="K5126" s="50"/>
      <c r="L5126" s="56" t="s">
        <v>56716</v>
      </c>
    </row>
    <row r="5127" spans="1:12" s="37" customFormat="1" ht="11.25" x14ac:dyDescent="0.2">
      <c r="A5127" s="45" t="s">
        <v>37945</v>
      </c>
      <c r="B5127" s="45" t="s">
        <v>37947</v>
      </c>
      <c r="C5127" s="51" t="s">
        <v>37949</v>
      </c>
      <c r="D5127" s="51" t="s">
        <v>37948</v>
      </c>
      <c r="E5127" s="45" t="s">
        <v>19873</v>
      </c>
      <c r="F5127" s="45" t="s">
        <v>50646</v>
      </c>
      <c r="G5127" s="45" t="s">
        <v>50584</v>
      </c>
      <c r="H5127" s="56"/>
      <c r="I5127" s="56" t="s">
        <v>50564</v>
      </c>
      <c r="J5127" s="56"/>
      <c r="K5127" s="50"/>
      <c r="L5127" s="56" t="s">
        <v>56716</v>
      </c>
    </row>
    <row r="5128" spans="1:12" s="37" customFormat="1" ht="11.25" x14ac:dyDescent="0.2">
      <c r="A5128" s="46" t="s">
        <v>16879</v>
      </c>
      <c r="B5128" s="46" t="s">
        <v>54077</v>
      </c>
      <c r="C5128" s="58" t="str">
        <f>"22799028"</f>
        <v>22799028</v>
      </c>
      <c r="D5128" s="58" t="str">
        <f>"22799036"</f>
        <v>22799036</v>
      </c>
      <c r="E5128" s="46" t="s">
        <v>1949</v>
      </c>
      <c r="F5128" s="46" t="s">
        <v>17991</v>
      </c>
      <c r="G5128" s="46" t="s">
        <v>50584</v>
      </c>
      <c r="H5128" s="48" t="s">
        <v>56716</v>
      </c>
      <c r="I5128" s="48" t="s">
        <v>50564</v>
      </c>
      <c r="J5128" s="48"/>
      <c r="K5128" s="50"/>
      <c r="L5128" s="48"/>
    </row>
    <row r="5129" spans="1:12" s="37" customFormat="1" ht="11.25" x14ac:dyDescent="0.2">
      <c r="A5129" s="46" t="s">
        <v>12609</v>
      </c>
      <c r="B5129" s="46" t="s">
        <v>54078</v>
      </c>
      <c r="C5129" s="58" t="str">
        <f>"09737510"</f>
        <v>09737510</v>
      </c>
      <c r="D5129" s="58" t="str">
        <f>""</f>
        <v/>
      </c>
      <c r="E5129" s="46" t="s">
        <v>12609</v>
      </c>
      <c r="F5129" s="46" t="s">
        <v>20446</v>
      </c>
      <c r="G5129" s="46" t="s">
        <v>50584</v>
      </c>
      <c r="H5129" s="48" t="s">
        <v>56716</v>
      </c>
      <c r="I5129" s="48" t="s">
        <v>50564</v>
      </c>
      <c r="J5129" s="48"/>
      <c r="K5129" s="50"/>
      <c r="L5129" s="48"/>
    </row>
    <row r="5130" spans="1:12" s="37" customFormat="1" ht="11.25" x14ac:dyDescent="0.2">
      <c r="A5130" s="46" t="s">
        <v>16454</v>
      </c>
      <c r="B5130" s="46" t="s">
        <v>54079</v>
      </c>
      <c r="C5130" s="58" t="str">
        <f>"19487894"</f>
        <v>19487894</v>
      </c>
      <c r="D5130" s="58" t="str">
        <f>"19487908"</f>
        <v>19487908</v>
      </c>
      <c r="E5130" s="46" t="s">
        <v>167</v>
      </c>
      <c r="F5130" s="46" t="s">
        <v>18158</v>
      </c>
      <c r="G5130" s="46" t="s">
        <v>50584</v>
      </c>
      <c r="H5130" s="48" t="s">
        <v>56716</v>
      </c>
      <c r="I5130" s="48" t="s">
        <v>50564</v>
      </c>
      <c r="J5130" s="48" t="s">
        <v>56716</v>
      </c>
      <c r="K5130" s="50"/>
      <c r="L5130" s="48"/>
    </row>
    <row r="5131" spans="1:12" s="37" customFormat="1" ht="11.25" x14ac:dyDescent="0.2">
      <c r="A5131" s="45" t="s">
        <v>37951</v>
      </c>
      <c r="B5131" s="45" t="s">
        <v>37953</v>
      </c>
      <c r="C5131" s="51" t="s">
        <v>37956</v>
      </c>
      <c r="D5131" s="51" t="s">
        <v>37955</v>
      </c>
      <c r="E5131" s="45" t="s">
        <v>55</v>
      </c>
      <c r="F5131" s="45" t="s">
        <v>50646</v>
      </c>
      <c r="G5131" s="45" t="s">
        <v>50584</v>
      </c>
      <c r="H5131" s="56"/>
      <c r="I5131" s="56" t="s">
        <v>50564</v>
      </c>
      <c r="J5131" s="56"/>
      <c r="K5131" s="50"/>
      <c r="L5131" s="56" t="s">
        <v>56716</v>
      </c>
    </row>
    <row r="5132" spans="1:12" s="37" customFormat="1" ht="11.25" x14ac:dyDescent="0.2">
      <c r="A5132" s="46" t="s">
        <v>17392</v>
      </c>
      <c r="B5132" s="46" t="s">
        <v>54080</v>
      </c>
      <c r="C5132" s="58" t="str">
        <f>"16878507"</f>
        <v>16878507</v>
      </c>
      <c r="D5132" s="58" t="str">
        <f>""</f>
        <v/>
      </c>
      <c r="E5132" s="46" t="s">
        <v>17194</v>
      </c>
      <c r="F5132" s="46" t="s">
        <v>21182</v>
      </c>
      <c r="G5132" s="46" t="s">
        <v>50584</v>
      </c>
      <c r="H5132" s="48" t="s">
        <v>56716</v>
      </c>
      <c r="I5132" s="48" t="s">
        <v>50564</v>
      </c>
      <c r="J5132" s="48"/>
      <c r="K5132" s="50" t="s">
        <v>56716</v>
      </c>
      <c r="L5132" s="48"/>
    </row>
    <row r="5133" spans="1:12" s="37" customFormat="1" ht="11.25" x14ac:dyDescent="0.2">
      <c r="A5133" s="46" t="s">
        <v>2717</v>
      </c>
      <c r="B5133" s="46" t="s">
        <v>54081</v>
      </c>
      <c r="C5133" s="58" t="str">
        <f>"02365731"</f>
        <v>02365731</v>
      </c>
      <c r="D5133" s="58" t="str">
        <f>"15882780"</f>
        <v>15882780</v>
      </c>
      <c r="E5133" s="46" t="s">
        <v>18876</v>
      </c>
      <c r="F5133" s="46" t="s">
        <v>18001</v>
      </c>
      <c r="G5133" s="46" t="s">
        <v>50584</v>
      </c>
      <c r="H5133" s="48" t="s">
        <v>56716</v>
      </c>
      <c r="I5133" s="48" t="s">
        <v>50564</v>
      </c>
      <c r="J5133" s="48"/>
      <c r="K5133" s="50" t="s">
        <v>56716</v>
      </c>
      <c r="L5133" s="48"/>
    </row>
    <row r="5134" spans="1:12" s="37" customFormat="1" ht="11.25" x14ac:dyDescent="0.2">
      <c r="A5134" s="45" t="s">
        <v>37959</v>
      </c>
      <c r="B5134" s="45" t="s">
        <v>37961</v>
      </c>
      <c r="C5134" s="51" t="s">
        <v>37964</v>
      </c>
      <c r="D5134" s="51" t="s">
        <v>37963</v>
      </c>
      <c r="E5134" s="45" t="s">
        <v>37965</v>
      </c>
      <c r="F5134" s="45" t="s">
        <v>50646</v>
      </c>
      <c r="G5134" s="45" t="s">
        <v>50584</v>
      </c>
      <c r="H5134" s="56"/>
      <c r="I5134" s="56" t="s">
        <v>50564</v>
      </c>
      <c r="J5134" s="56"/>
      <c r="K5134" s="50"/>
      <c r="L5134" s="56" t="s">
        <v>56716</v>
      </c>
    </row>
    <row r="5135" spans="1:12" s="37" customFormat="1" ht="11.25" x14ac:dyDescent="0.2">
      <c r="A5135" s="46" t="s">
        <v>13877</v>
      </c>
      <c r="B5135" s="46" t="s">
        <v>54082</v>
      </c>
      <c r="C5135" s="58" t="str">
        <f>""</f>
        <v/>
      </c>
      <c r="D5135" s="58" t="str">
        <f>"19430922"</f>
        <v>19430922</v>
      </c>
      <c r="E5135" s="46" t="s">
        <v>13879</v>
      </c>
      <c r="F5135" s="46" t="s">
        <v>17759</v>
      </c>
      <c r="G5135" s="46" t="s">
        <v>50584</v>
      </c>
      <c r="H5135" s="48" t="s">
        <v>56716</v>
      </c>
      <c r="I5135" s="48" t="s">
        <v>50564</v>
      </c>
      <c r="J5135" s="48"/>
      <c r="K5135" s="50"/>
      <c r="L5135" s="48" t="s">
        <v>56716</v>
      </c>
    </row>
    <row r="5136" spans="1:12" s="37" customFormat="1" ht="11.25" x14ac:dyDescent="0.2">
      <c r="A5136" s="46" t="s">
        <v>10543</v>
      </c>
      <c r="B5136" s="46" t="s">
        <v>54083</v>
      </c>
      <c r="C5136" s="58" t="str">
        <f>"15460843"</f>
        <v>15460843</v>
      </c>
      <c r="D5136" s="58" t="str">
        <f>"15559912"</f>
        <v>15559912</v>
      </c>
      <c r="E5136" s="46" t="s">
        <v>272</v>
      </c>
      <c r="F5136" s="46" t="s">
        <v>17759</v>
      </c>
      <c r="G5136" s="46" t="s">
        <v>50584</v>
      </c>
      <c r="H5136" s="48" t="s">
        <v>56716</v>
      </c>
      <c r="I5136" s="48" t="s">
        <v>50564</v>
      </c>
      <c r="J5136" s="48" t="s">
        <v>56716</v>
      </c>
      <c r="K5136" s="50" t="s">
        <v>56716</v>
      </c>
      <c r="L5136" s="48"/>
    </row>
    <row r="5137" spans="1:12" s="37" customFormat="1" ht="11.25" x14ac:dyDescent="0.2">
      <c r="A5137" s="46" t="s">
        <v>8478</v>
      </c>
      <c r="B5137" s="46" t="s">
        <v>54084</v>
      </c>
      <c r="C5137" s="58" t="str">
        <f>"14603969"</f>
        <v>14603969</v>
      </c>
      <c r="D5137" s="58" t="str">
        <f>"14671131"</f>
        <v>14671131</v>
      </c>
      <c r="E5137" s="46" t="s">
        <v>724</v>
      </c>
      <c r="F5137" s="46" t="s">
        <v>50646</v>
      </c>
      <c r="G5137" s="46" t="s">
        <v>50584</v>
      </c>
      <c r="H5137" s="48" t="s">
        <v>56716</v>
      </c>
      <c r="I5137" s="48" t="s">
        <v>50564</v>
      </c>
      <c r="J5137" s="48"/>
      <c r="K5137" s="50" t="s">
        <v>56716</v>
      </c>
      <c r="L5137" s="48"/>
    </row>
    <row r="5138" spans="1:12" s="37" customFormat="1" ht="11.25" x14ac:dyDescent="0.2">
      <c r="A5138" s="46" t="s">
        <v>14460</v>
      </c>
      <c r="B5138" s="46" t="s">
        <v>54085</v>
      </c>
      <c r="C5138" s="58" t="str">
        <f>""</f>
        <v/>
      </c>
      <c r="D5138" s="58" t="str">
        <f>"1178699X"</f>
        <v>1178699X</v>
      </c>
      <c r="E5138" s="46" t="s">
        <v>11078</v>
      </c>
      <c r="F5138" s="46" t="s">
        <v>50646</v>
      </c>
      <c r="G5138" s="46" t="s">
        <v>50584</v>
      </c>
      <c r="H5138" s="48" t="s">
        <v>56716</v>
      </c>
      <c r="I5138" s="48" t="s">
        <v>50564</v>
      </c>
      <c r="J5138" s="48"/>
      <c r="K5138" s="50"/>
      <c r="L5138" s="48"/>
    </row>
    <row r="5139" spans="1:12" s="37" customFormat="1" ht="11.25" x14ac:dyDescent="0.2">
      <c r="A5139" s="46" t="s">
        <v>9535</v>
      </c>
      <c r="B5139" s="46" t="s">
        <v>54086</v>
      </c>
      <c r="C5139" s="58" t="str">
        <f>"10799893"</f>
        <v>10799893</v>
      </c>
      <c r="D5139" s="58" t="str">
        <f>"15324281"</f>
        <v>15324281</v>
      </c>
      <c r="E5139" s="46" t="s">
        <v>291</v>
      </c>
      <c r="F5139" s="46" t="s">
        <v>17759</v>
      </c>
      <c r="G5139" s="46" t="s">
        <v>50584</v>
      </c>
      <c r="H5139" s="48" t="s">
        <v>56716</v>
      </c>
      <c r="I5139" s="48" t="s">
        <v>50564</v>
      </c>
      <c r="J5139" s="48"/>
      <c r="K5139" s="50"/>
      <c r="L5139" s="48" t="s">
        <v>56716</v>
      </c>
    </row>
    <row r="5140" spans="1:12" s="37" customFormat="1" ht="11.25" x14ac:dyDescent="0.2">
      <c r="A5140" s="46" t="s">
        <v>2714</v>
      </c>
      <c r="B5140" s="46" t="s">
        <v>54087</v>
      </c>
      <c r="C5140" s="58" t="str">
        <f>"0743684X"</f>
        <v>0743684X</v>
      </c>
      <c r="D5140" s="58" t="str">
        <f>"10988947"</f>
        <v>10988947</v>
      </c>
      <c r="E5140" s="46" t="s">
        <v>371</v>
      </c>
      <c r="F5140" s="46" t="s">
        <v>17759</v>
      </c>
      <c r="G5140" s="46" t="s">
        <v>50584</v>
      </c>
      <c r="H5140" s="48" t="s">
        <v>56716</v>
      </c>
      <c r="I5140" s="48" t="s">
        <v>50564</v>
      </c>
      <c r="J5140" s="48" t="s">
        <v>56716</v>
      </c>
      <c r="K5140" s="50" t="s">
        <v>56716</v>
      </c>
      <c r="L5140" s="48" t="s">
        <v>56716</v>
      </c>
    </row>
    <row r="5141" spans="1:12" s="37" customFormat="1" ht="11.25" x14ac:dyDescent="0.2">
      <c r="A5141" s="46" t="s">
        <v>6634</v>
      </c>
      <c r="B5141" s="46" t="s">
        <v>54088</v>
      </c>
      <c r="C5141" s="58" t="str">
        <f>"1081597X"</f>
        <v>1081597X</v>
      </c>
      <c r="D5141" s="58" t="str">
        <f>"19382391"</f>
        <v>19382391</v>
      </c>
      <c r="E5141" s="46" t="s">
        <v>2688</v>
      </c>
      <c r="F5141" s="46" t="s">
        <v>17759</v>
      </c>
      <c r="G5141" s="46" t="s">
        <v>50584</v>
      </c>
      <c r="H5141" s="48" t="s">
        <v>56716</v>
      </c>
      <c r="I5141" s="48" t="s">
        <v>50564</v>
      </c>
      <c r="J5141" s="48" t="s">
        <v>56716</v>
      </c>
      <c r="K5141" s="50"/>
      <c r="L5141" s="48" t="s">
        <v>56716</v>
      </c>
    </row>
    <row r="5142" spans="1:12" s="37" customFormat="1" ht="11.25" x14ac:dyDescent="0.2">
      <c r="A5142" s="45" t="s">
        <v>37991</v>
      </c>
      <c r="B5142" s="45" t="s">
        <v>37993</v>
      </c>
      <c r="C5142" s="51" t="s">
        <v>37995</v>
      </c>
      <c r="D5142" s="51" t="s">
        <v>37994</v>
      </c>
      <c r="E5142" s="45" t="s">
        <v>37996</v>
      </c>
      <c r="F5142" s="45" t="s">
        <v>17759</v>
      </c>
      <c r="G5142" s="45" t="s">
        <v>50584</v>
      </c>
      <c r="H5142" s="56"/>
      <c r="I5142" s="56" t="s">
        <v>50564</v>
      </c>
      <c r="J5142" s="56"/>
      <c r="K5142" s="50"/>
      <c r="L5142" s="56" t="s">
        <v>56716</v>
      </c>
    </row>
    <row r="5143" spans="1:12" s="37" customFormat="1" ht="11.25" x14ac:dyDescent="0.2">
      <c r="A5143" s="45" t="s">
        <v>56615</v>
      </c>
      <c r="B5143" s="45" t="s">
        <v>38000</v>
      </c>
      <c r="C5143" s="51" t="s">
        <v>38003</v>
      </c>
      <c r="D5143" s="51" t="s">
        <v>38002</v>
      </c>
      <c r="E5143" s="45" t="s">
        <v>38004</v>
      </c>
      <c r="F5143" s="45" t="s">
        <v>18130</v>
      </c>
      <c r="G5143" s="45" t="s">
        <v>50584</v>
      </c>
      <c r="H5143" s="56"/>
      <c r="I5143" s="56" t="s">
        <v>50564</v>
      </c>
      <c r="J5143" s="56"/>
      <c r="K5143" s="50"/>
      <c r="L5143" s="56" t="s">
        <v>56716</v>
      </c>
    </row>
    <row r="5144" spans="1:12" s="37" customFormat="1" ht="11.25" x14ac:dyDescent="0.2">
      <c r="A5144" s="45" t="s">
        <v>38006</v>
      </c>
      <c r="B5144" s="45" t="s">
        <v>38008</v>
      </c>
      <c r="C5144" s="51" t="s">
        <v>38010</v>
      </c>
      <c r="D5144" s="51"/>
      <c r="E5144" s="45" t="s">
        <v>18404</v>
      </c>
      <c r="F5144" s="45" t="s">
        <v>18130</v>
      </c>
      <c r="G5144" s="45" t="s">
        <v>50584</v>
      </c>
      <c r="H5144" s="56"/>
      <c r="I5144" s="56" t="s">
        <v>50564</v>
      </c>
      <c r="J5144" s="56"/>
      <c r="K5144" s="50"/>
      <c r="L5144" s="56" t="s">
        <v>56716</v>
      </c>
    </row>
    <row r="5145" spans="1:12" s="37" customFormat="1" ht="11.25" x14ac:dyDescent="0.2">
      <c r="A5145" s="46" t="s">
        <v>2723</v>
      </c>
      <c r="B5145" s="46" t="s">
        <v>54089</v>
      </c>
      <c r="C5145" s="58" t="str">
        <f>"07487711"</f>
        <v>07487711</v>
      </c>
      <c r="D5145" s="58" t="str">
        <f>"19381352"</f>
        <v>19381352</v>
      </c>
      <c r="E5145" s="46" t="s">
        <v>2726</v>
      </c>
      <c r="F5145" s="46" t="s">
        <v>17759</v>
      </c>
      <c r="G5145" s="46" t="s">
        <v>50584</v>
      </c>
      <c r="H5145" s="48" t="s">
        <v>56716</v>
      </c>
      <c r="I5145" s="48" t="s">
        <v>50564</v>
      </c>
      <c r="J5145" s="48" t="s">
        <v>56716</v>
      </c>
      <c r="K5145" s="50"/>
      <c r="L5145" s="48" t="s">
        <v>56716</v>
      </c>
    </row>
    <row r="5146" spans="1:12" s="37" customFormat="1" ht="11.25" x14ac:dyDescent="0.2">
      <c r="A5146" s="45" t="s">
        <v>38018</v>
      </c>
      <c r="B5146" s="45" t="s">
        <v>38020</v>
      </c>
      <c r="C5146" s="51" t="s">
        <v>38022</v>
      </c>
      <c r="D5146" s="51" t="s">
        <v>38021</v>
      </c>
      <c r="E5146" s="45" t="s">
        <v>17783</v>
      </c>
      <c r="F5146" s="45" t="s">
        <v>17759</v>
      </c>
      <c r="G5146" s="45" t="s">
        <v>50584</v>
      </c>
      <c r="H5146" s="56"/>
      <c r="I5146" s="56" t="s">
        <v>50564</v>
      </c>
      <c r="J5146" s="56"/>
      <c r="K5146" s="50"/>
      <c r="L5146" s="56" t="s">
        <v>56716</v>
      </c>
    </row>
    <row r="5147" spans="1:12" s="37" customFormat="1" ht="11.25" x14ac:dyDescent="0.2">
      <c r="A5147" s="45" t="s">
        <v>38025</v>
      </c>
      <c r="B5147" s="45" t="s">
        <v>38027</v>
      </c>
      <c r="C5147" s="51" t="s">
        <v>38030</v>
      </c>
      <c r="D5147" s="51" t="s">
        <v>38029</v>
      </c>
      <c r="E5147" s="45" t="s">
        <v>970</v>
      </c>
      <c r="F5147" s="45" t="s">
        <v>17759</v>
      </c>
      <c r="G5147" s="45" t="s">
        <v>50584</v>
      </c>
      <c r="H5147" s="56"/>
      <c r="I5147" s="56" t="s">
        <v>50564</v>
      </c>
      <c r="J5147" s="56"/>
      <c r="K5147" s="50"/>
      <c r="L5147" s="56" t="s">
        <v>56716</v>
      </c>
    </row>
    <row r="5148" spans="1:12" s="37" customFormat="1" ht="11.25" x14ac:dyDescent="0.2">
      <c r="A5148" s="45" t="s">
        <v>38033</v>
      </c>
      <c r="B5148" s="45" t="s">
        <v>38035</v>
      </c>
      <c r="C5148" s="51" t="s">
        <v>38037</v>
      </c>
      <c r="D5148" s="51" t="s">
        <v>38036</v>
      </c>
      <c r="E5148" s="45" t="s">
        <v>18921</v>
      </c>
      <c r="F5148" s="45" t="s">
        <v>17759</v>
      </c>
      <c r="G5148" s="45" t="s">
        <v>50584</v>
      </c>
      <c r="H5148" s="56"/>
      <c r="I5148" s="56" t="s">
        <v>50564</v>
      </c>
      <c r="J5148" s="56"/>
      <c r="K5148" s="50"/>
      <c r="L5148" s="56" t="s">
        <v>56716</v>
      </c>
    </row>
    <row r="5149" spans="1:12" s="37" customFormat="1" ht="11.25" x14ac:dyDescent="0.2">
      <c r="A5149" s="46" t="s">
        <v>13860</v>
      </c>
      <c r="B5149" s="46" t="s">
        <v>54090</v>
      </c>
      <c r="C5149" s="58" t="str">
        <f>"10017844"</f>
        <v>10017844</v>
      </c>
      <c r="D5149" s="58" t="str">
        <f>"18767966"</f>
        <v>18767966</v>
      </c>
      <c r="E5149" s="46" t="s">
        <v>2776</v>
      </c>
      <c r="F5149" s="46" t="s">
        <v>19491</v>
      </c>
      <c r="G5149" s="46" t="s">
        <v>50584</v>
      </c>
      <c r="H5149" s="48" t="s">
        <v>56716</v>
      </c>
      <c r="I5149" s="48" t="s">
        <v>50564</v>
      </c>
      <c r="J5149" s="48" t="s">
        <v>56716</v>
      </c>
      <c r="K5149" s="50"/>
      <c r="L5149" s="48"/>
    </row>
    <row r="5150" spans="1:12" s="37" customFormat="1" ht="11.25" x14ac:dyDescent="0.2">
      <c r="A5150" s="46" t="s">
        <v>12165</v>
      </c>
      <c r="B5150" s="46" t="s">
        <v>54091</v>
      </c>
      <c r="C5150" s="58" t="str">
        <f>"22285482"</f>
        <v>22285482</v>
      </c>
      <c r="D5150" s="58" t="str">
        <f>"2251676X"</f>
        <v>2251676X</v>
      </c>
      <c r="E5150" s="46" t="s">
        <v>12168</v>
      </c>
      <c r="F5150" s="46" t="s">
        <v>18232</v>
      </c>
      <c r="G5150" s="46" t="s">
        <v>50610</v>
      </c>
      <c r="H5150" s="48" t="s">
        <v>56716</v>
      </c>
      <c r="I5150" s="48" t="s">
        <v>50564</v>
      </c>
      <c r="J5150" s="48"/>
      <c r="K5150" s="50"/>
      <c r="L5150" s="48"/>
    </row>
    <row r="5151" spans="1:12" s="37" customFormat="1" ht="11.25" x14ac:dyDescent="0.2">
      <c r="A5151" s="46" t="s">
        <v>4617</v>
      </c>
      <c r="B5151" s="46" t="s">
        <v>54092</v>
      </c>
      <c r="C5151" s="58" t="str">
        <f>"02646838"</f>
        <v>02646838</v>
      </c>
      <c r="D5151" s="58" t="str">
        <f>"1469672X"</f>
        <v>1469672X</v>
      </c>
      <c r="E5151" s="46" t="s">
        <v>689</v>
      </c>
      <c r="F5151" s="46" t="s">
        <v>50646</v>
      </c>
      <c r="G5151" s="46" t="s">
        <v>50584</v>
      </c>
      <c r="H5151" s="48" t="s">
        <v>56716</v>
      </c>
      <c r="I5151" s="48" t="s">
        <v>50564</v>
      </c>
      <c r="J5151" s="48"/>
      <c r="K5151" s="50" t="s">
        <v>56716</v>
      </c>
      <c r="L5151" s="48"/>
    </row>
    <row r="5152" spans="1:12" s="37" customFormat="1" ht="11.25" x14ac:dyDescent="0.2">
      <c r="A5152" s="46" t="s">
        <v>56108</v>
      </c>
      <c r="B5152" s="46" t="s">
        <v>56109</v>
      </c>
      <c r="C5152" s="58" t="str">
        <f>"2214420X"</f>
        <v>2214420X</v>
      </c>
      <c r="D5152" s="58" t="str">
        <f>""</f>
        <v/>
      </c>
      <c r="E5152" s="46" t="s">
        <v>12162</v>
      </c>
      <c r="F5152" s="46" t="s">
        <v>20446</v>
      </c>
      <c r="G5152" s="46" t="s">
        <v>50584</v>
      </c>
      <c r="H5152" s="48" t="s">
        <v>56716</v>
      </c>
      <c r="I5152" s="48" t="s">
        <v>50564</v>
      </c>
      <c r="J5152" s="48" t="s">
        <v>56716</v>
      </c>
      <c r="K5152" s="50"/>
      <c r="L5152" s="48"/>
    </row>
    <row r="5153" spans="1:12" s="37" customFormat="1" ht="11.25" x14ac:dyDescent="0.2">
      <c r="A5153" s="46" t="s">
        <v>2711</v>
      </c>
      <c r="B5153" s="46" t="s">
        <v>54093</v>
      </c>
      <c r="C5153" s="58" t="str">
        <f>"01650378"</f>
        <v>01650378</v>
      </c>
      <c r="D5153" s="58" t="str">
        <f>"18727603"</f>
        <v>18727603</v>
      </c>
      <c r="E5153" s="46" t="s">
        <v>221</v>
      </c>
      <c r="F5153" s="46" t="s">
        <v>21771</v>
      </c>
      <c r="G5153" s="46" t="s">
        <v>50584</v>
      </c>
      <c r="H5153" s="48" t="s">
        <v>56716</v>
      </c>
      <c r="I5153" s="48" t="s">
        <v>50564</v>
      </c>
      <c r="J5153" s="48" t="s">
        <v>56716</v>
      </c>
      <c r="K5153" s="50" t="s">
        <v>56716</v>
      </c>
      <c r="L5153" s="48" t="s">
        <v>56716</v>
      </c>
    </row>
    <row r="5154" spans="1:12" s="37" customFormat="1" ht="11.25" x14ac:dyDescent="0.2">
      <c r="A5154" s="46" t="s">
        <v>2720</v>
      </c>
      <c r="B5154" s="46" t="s">
        <v>54094</v>
      </c>
      <c r="C5154" s="58" t="str">
        <f>"00247758"</f>
        <v>00247758</v>
      </c>
      <c r="D5154" s="58" t="str">
        <f>""</f>
        <v/>
      </c>
      <c r="E5154" s="46" t="s">
        <v>2722</v>
      </c>
      <c r="F5154" s="46" t="s">
        <v>17759</v>
      </c>
      <c r="G5154" s="46" t="s">
        <v>50584</v>
      </c>
      <c r="H5154" s="48" t="s">
        <v>56716</v>
      </c>
      <c r="I5154" s="48" t="s">
        <v>50564</v>
      </c>
      <c r="J5154" s="48" t="s">
        <v>56716</v>
      </c>
      <c r="K5154" s="50"/>
      <c r="L5154" s="48" t="s">
        <v>56716</v>
      </c>
    </row>
    <row r="5155" spans="1:12" s="37" customFormat="1" ht="11.25" x14ac:dyDescent="0.2">
      <c r="A5155" s="46" t="s">
        <v>13575</v>
      </c>
      <c r="B5155" s="46" t="s">
        <v>54095</v>
      </c>
      <c r="C5155" s="58" t="str">
        <f>"16822765"</f>
        <v>16822765</v>
      </c>
      <c r="D5155" s="58" t="str">
        <f>""</f>
        <v/>
      </c>
      <c r="E5155" s="46" t="s">
        <v>56158</v>
      </c>
      <c r="F5155" s="46" t="s">
        <v>18232</v>
      </c>
      <c r="G5155" s="46" t="s">
        <v>50584</v>
      </c>
      <c r="H5155" s="48" t="s">
        <v>56716</v>
      </c>
      <c r="I5155" s="48" t="s">
        <v>50564</v>
      </c>
      <c r="J5155" s="48"/>
      <c r="K5155" s="50"/>
      <c r="L5155" s="48" t="s">
        <v>56716</v>
      </c>
    </row>
    <row r="5156" spans="1:12" s="37" customFormat="1" ht="11.25" x14ac:dyDescent="0.2">
      <c r="A5156" s="46" t="s">
        <v>10461</v>
      </c>
      <c r="B5156" s="46" t="s">
        <v>54096</v>
      </c>
      <c r="C5156" s="58" t="str">
        <f>"17351995"</f>
        <v>17351995</v>
      </c>
      <c r="D5156" s="58" t="str">
        <f>"17357136"</f>
        <v>17357136</v>
      </c>
      <c r="E5156" s="46" t="s">
        <v>10464</v>
      </c>
      <c r="F5156" s="46" t="s">
        <v>18232</v>
      </c>
      <c r="G5156" s="46" t="s">
        <v>50584</v>
      </c>
      <c r="H5156" s="48" t="s">
        <v>56716</v>
      </c>
      <c r="I5156" s="48" t="s">
        <v>50564</v>
      </c>
      <c r="J5156" s="48"/>
      <c r="K5156" s="50"/>
      <c r="L5156" s="48"/>
    </row>
    <row r="5157" spans="1:12" s="37" customFormat="1" ht="11.25" x14ac:dyDescent="0.2">
      <c r="A5157" s="46" t="s">
        <v>17254</v>
      </c>
      <c r="B5157" s="46" t="s">
        <v>54097</v>
      </c>
      <c r="C5157" s="58" t="str">
        <f>"23199644"</f>
        <v>23199644</v>
      </c>
      <c r="D5157" s="58" t="str">
        <f>"2279042X"</f>
        <v>2279042X</v>
      </c>
      <c r="E5157" s="46" t="s">
        <v>19057</v>
      </c>
      <c r="F5157" s="46" t="s">
        <v>20446</v>
      </c>
      <c r="G5157" s="46" t="s">
        <v>50584</v>
      </c>
      <c r="H5157" s="48" t="s">
        <v>56716</v>
      </c>
      <c r="I5157" s="48" t="s">
        <v>50564</v>
      </c>
      <c r="J5157" s="48" t="s">
        <v>56716</v>
      </c>
      <c r="K5157" s="50"/>
      <c r="L5157" s="48"/>
    </row>
    <row r="5158" spans="1:12" s="37" customFormat="1" ht="11.25" x14ac:dyDescent="0.2">
      <c r="A5158" s="46" t="s">
        <v>2708</v>
      </c>
      <c r="B5158" s="46" t="s">
        <v>54098</v>
      </c>
      <c r="C5158" s="58" t="str">
        <f>"0315162X"</f>
        <v>0315162X</v>
      </c>
      <c r="D5158" s="58" t="str">
        <f>"14992752"</f>
        <v>14992752</v>
      </c>
      <c r="E5158" s="46" t="s">
        <v>2708</v>
      </c>
      <c r="F5158" s="46" t="s">
        <v>18959</v>
      </c>
      <c r="G5158" s="46" t="s">
        <v>50584</v>
      </c>
      <c r="H5158" s="48" t="s">
        <v>56716</v>
      </c>
      <c r="I5158" s="48" t="s">
        <v>50564</v>
      </c>
      <c r="J5158" s="48" t="s">
        <v>56716</v>
      </c>
      <c r="K5158" s="50"/>
      <c r="L5158" s="48" t="s">
        <v>56716</v>
      </c>
    </row>
    <row r="5159" spans="1:12" s="37" customFormat="1" ht="11.25" x14ac:dyDescent="0.2">
      <c r="A5159" s="46" t="s">
        <v>6056</v>
      </c>
      <c r="B5159" s="46" t="s">
        <v>54099</v>
      </c>
      <c r="C5159" s="58" t="str">
        <f>"13000691"</f>
        <v>13000691</v>
      </c>
      <c r="D5159" s="58" t="str">
        <f>""</f>
        <v/>
      </c>
      <c r="E5159" s="46" t="s">
        <v>6058</v>
      </c>
      <c r="F5159" s="46" t="s">
        <v>18396</v>
      </c>
      <c r="G5159" s="46" t="s">
        <v>50637</v>
      </c>
      <c r="H5159" s="48" t="s">
        <v>56716</v>
      </c>
      <c r="I5159" s="48" t="s">
        <v>50564</v>
      </c>
      <c r="J5159" s="48"/>
      <c r="K5159" s="50"/>
      <c r="L5159" s="48"/>
    </row>
    <row r="5160" spans="1:12" s="37" customFormat="1" ht="11.25" x14ac:dyDescent="0.2">
      <c r="A5160" s="46" t="s">
        <v>15517</v>
      </c>
      <c r="B5160" s="46" t="s">
        <v>54100</v>
      </c>
      <c r="C5160" s="58" t="str">
        <f>"17470854"</f>
        <v>17470854</v>
      </c>
      <c r="D5160" s="58" t="str">
        <f>""</f>
        <v/>
      </c>
      <c r="E5160" s="46" t="s">
        <v>15519</v>
      </c>
      <c r="F5160" s="46" t="s">
        <v>50646</v>
      </c>
      <c r="G5160" s="46" t="s">
        <v>50584</v>
      </c>
      <c r="H5160" s="48" t="s">
        <v>56716</v>
      </c>
      <c r="I5160" s="48" t="s">
        <v>50564</v>
      </c>
      <c r="J5160" s="48"/>
      <c r="K5160" s="50"/>
      <c r="L5160" s="48"/>
    </row>
    <row r="5161" spans="1:12" s="37" customFormat="1" ht="11.25" x14ac:dyDescent="0.2">
      <c r="A5161" s="45" t="s">
        <v>38092</v>
      </c>
      <c r="B5161" s="45" t="s">
        <v>38094</v>
      </c>
      <c r="C5161" s="51" t="s">
        <v>38096</v>
      </c>
      <c r="D5161" s="51" t="s">
        <v>38095</v>
      </c>
      <c r="E5161" s="45" t="s">
        <v>17865</v>
      </c>
      <c r="F5161" s="45" t="s">
        <v>17759</v>
      </c>
      <c r="G5161" s="45" t="s">
        <v>50584</v>
      </c>
      <c r="H5161" s="56"/>
      <c r="I5161" s="56" t="s">
        <v>50564</v>
      </c>
      <c r="J5161" s="56"/>
      <c r="K5161" s="50"/>
      <c r="L5161" s="56" t="s">
        <v>56716</v>
      </c>
    </row>
    <row r="5162" spans="1:12" s="37" customFormat="1" ht="11.25" x14ac:dyDescent="0.2">
      <c r="A5162" s="46" t="s">
        <v>14979</v>
      </c>
      <c r="B5162" s="46" t="s">
        <v>54101</v>
      </c>
      <c r="C5162" s="58" t="str">
        <f>"09748938"</f>
        <v>09748938</v>
      </c>
      <c r="D5162" s="58" t="str">
        <f>"09751920"</f>
        <v>09751920</v>
      </c>
      <c r="E5162" s="46" t="s">
        <v>14870</v>
      </c>
      <c r="F5162" s="46" t="s">
        <v>20446</v>
      </c>
      <c r="G5162" s="46" t="s">
        <v>50584</v>
      </c>
      <c r="H5162" s="48" t="s">
        <v>56716</v>
      </c>
      <c r="I5162" s="48" t="s">
        <v>50564</v>
      </c>
      <c r="J5162" s="48"/>
      <c r="K5162" s="50"/>
      <c r="L5162" s="48"/>
    </row>
    <row r="5163" spans="1:12" s="37" customFormat="1" ht="11.25" x14ac:dyDescent="0.2">
      <c r="A5163" s="45" t="s">
        <v>38112</v>
      </c>
      <c r="B5163" s="45" t="s">
        <v>38114</v>
      </c>
      <c r="C5163" s="51" t="s">
        <v>38116</v>
      </c>
      <c r="D5163" s="51" t="s">
        <v>38115</v>
      </c>
      <c r="E5163" s="45" t="s">
        <v>17865</v>
      </c>
      <c r="F5163" s="45" t="s">
        <v>17759</v>
      </c>
      <c r="G5163" s="45" t="s">
        <v>50584</v>
      </c>
      <c r="H5163" s="56"/>
      <c r="I5163" s="56" t="s">
        <v>50564</v>
      </c>
      <c r="J5163" s="56"/>
      <c r="K5163" s="50"/>
      <c r="L5163" s="56" t="s">
        <v>56716</v>
      </c>
    </row>
    <row r="5164" spans="1:12" s="37" customFormat="1" ht="11.25" x14ac:dyDescent="0.2">
      <c r="A5164" s="46" t="s">
        <v>7784</v>
      </c>
      <c r="B5164" s="46" t="s">
        <v>54102</v>
      </c>
      <c r="C5164" s="58" t="str">
        <f>"14402440"</f>
        <v>14402440</v>
      </c>
      <c r="D5164" s="58" t="str">
        <f>"18781861"</f>
        <v>18781861</v>
      </c>
      <c r="E5164" s="46" t="s">
        <v>155</v>
      </c>
      <c r="F5164" s="46" t="s">
        <v>50646</v>
      </c>
      <c r="G5164" s="46" t="s">
        <v>50584</v>
      </c>
      <c r="H5164" s="48" t="s">
        <v>56716</v>
      </c>
      <c r="I5164" s="48" t="s">
        <v>50564</v>
      </c>
      <c r="J5164" s="48"/>
      <c r="K5164" s="50" t="s">
        <v>56716</v>
      </c>
      <c r="L5164" s="48" t="s">
        <v>56716</v>
      </c>
    </row>
    <row r="5165" spans="1:12" s="37" customFormat="1" ht="11.25" x14ac:dyDescent="0.2">
      <c r="A5165" s="46" t="s">
        <v>8858</v>
      </c>
      <c r="B5165" s="46" t="s">
        <v>54103</v>
      </c>
      <c r="C5165" s="58" t="str">
        <f>"16159306"</f>
        <v>16159306</v>
      </c>
      <c r="D5165" s="58" t="str">
        <f>"16159314"</f>
        <v>16159314</v>
      </c>
      <c r="E5165" s="46" t="s">
        <v>651</v>
      </c>
      <c r="F5165" s="46" t="s">
        <v>18158</v>
      </c>
      <c r="G5165" s="46" t="s">
        <v>50584</v>
      </c>
      <c r="H5165" s="48" t="s">
        <v>56716</v>
      </c>
      <c r="I5165" s="48" t="s">
        <v>50564</v>
      </c>
      <c r="J5165" s="48" t="s">
        <v>56716</v>
      </c>
      <c r="K5165" s="50" t="s">
        <v>56716</v>
      </c>
      <c r="L5165" s="48" t="s">
        <v>56716</v>
      </c>
    </row>
    <row r="5166" spans="1:12" s="37" customFormat="1" ht="11.25" x14ac:dyDescent="0.2">
      <c r="A5166" s="45" t="s">
        <v>38129</v>
      </c>
      <c r="B5166" s="45" t="s">
        <v>38131</v>
      </c>
      <c r="C5166" s="51" t="s">
        <v>38133</v>
      </c>
      <c r="D5166" s="51" t="s">
        <v>38132</v>
      </c>
      <c r="E5166" s="45" t="s">
        <v>291</v>
      </c>
      <c r="F5166" s="45" t="s">
        <v>50646</v>
      </c>
      <c r="G5166" s="45" t="s">
        <v>50584</v>
      </c>
      <c r="H5166" s="56"/>
      <c r="I5166" s="56" t="s">
        <v>50564</v>
      </c>
      <c r="J5166" s="56"/>
      <c r="K5166" s="50"/>
      <c r="L5166" s="56" t="s">
        <v>56716</v>
      </c>
    </row>
    <row r="5167" spans="1:12" s="37" customFormat="1" ht="11.25" x14ac:dyDescent="0.2">
      <c r="A5167" s="45" t="s">
        <v>38135</v>
      </c>
      <c r="B5167" s="45" t="s">
        <v>38137</v>
      </c>
      <c r="C5167" s="51" t="s">
        <v>38140</v>
      </c>
      <c r="D5167" s="51" t="s">
        <v>38139</v>
      </c>
      <c r="E5167" s="45" t="s">
        <v>689</v>
      </c>
      <c r="F5167" s="45" t="s">
        <v>17759</v>
      </c>
      <c r="G5167" s="45" t="s">
        <v>50584</v>
      </c>
      <c r="H5167" s="56"/>
      <c r="I5167" s="56" t="s">
        <v>50564</v>
      </c>
      <c r="J5167" s="56"/>
      <c r="K5167" s="50"/>
      <c r="L5167" s="56" t="s">
        <v>56716</v>
      </c>
    </row>
    <row r="5168" spans="1:12" s="37" customFormat="1" ht="11.25" x14ac:dyDescent="0.2">
      <c r="A5168" s="46" t="s">
        <v>10468</v>
      </c>
      <c r="B5168" s="46" t="s">
        <v>54104</v>
      </c>
      <c r="C5168" s="58" t="str">
        <f>"17436095"</f>
        <v>17436095</v>
      </c>
      <c r="D5168" s="58" t="str">
        <f>"17436109"</f>
        <v>17436109</v>
      </c>
      <c r="E5168" s="46" t="s">
        <v>35</v>
      </c>
      <c r="F5168" s="46" t="s">
        <v>50646</v>
      </c>
      <c r="G5168" s="46" t="s">
        <v>50584</v>
      </c>
      <c r="H5168" s="48" t="s">
        <v>56716</v>
      </c>
      <c r="I5168" s="48" t="s">
        <v>50564</v>
      </c>
      <c r="J5168" s="48" t="s">
        <v>56716</v>
      </c>
      <c r="K5168" s="50" t="s">
        <v>56716</v>
      </c>
      <c r="L5168" s="48" t="s">
        <v>56716</v>
      </c>
    </row>
    <row r="5169" spans="1:12" s="37" customFormat="1" ht="11.25" x14ac:dyDescent="0.2">
      <c r="A5169" s="46" t="s">
        <v>12946</v>
      </c>
      <c r="B5169" s="46" t="s">
        <v>54105</v>
      </c>
      <c r="C5169" s="58" t="str">
        <f>"16748115"</f>
        <v>16748115</v>
      </c>
      <c r="D5169" s="58" t="str">
        <f>""</f>
        <v/>
      </c>
      <c r="E5169" s="46" t="s">
        <v>12948</v>
      </c>
      <c r="F5169" s="46" t="s">
        <v>17958</v>
      </c>
      <c r="G5169" s="46" t="s">
        <v>50580</v>
      </c>
      <c r="H5169" s="48" t="s">
        <v>56716</v>
      </c>
      <c r="I5169" s="48" t="s">
        <v>50564</v>
      </c>
      <c r="J5169" s="48"/>
      <c r="K5169" s="50"/>
      <c r="L5169" s="48"/>
    </row>
    <row r="5170" spans="1:12" s="37" customFormat="1" ht="11.25" x14ac:dyDescent="0.2">
      <c r="A5170" s="46" t="s">
        <v>9420</v>
      </c>
      <c r="B5170" s="46" t="s">
        <v>54106</v>
      </c>
      <c r="C5170" s="58" t="str">
        <f>"10582746"</f>
        <v>10582746</v>
      </c>
      <c r="D5170" s="58" t="str">
        <f>"15326500"</f>
        <v>15326500</v>
      </c>
      <c r="E5170" s="46" t="s">
        <v>194</v>
      </c>
      <c r="F5170" s="46" t="s">
        <v>17759</v>
      </c>
      <c r="G5170" s="46" t="s">
        <v>50584</v>
      </c>
      <c r="H5170" s="48" t="s">
        <v>56716</v>
      </c>
      <c r="I5170" s="48" t="s">
        <v>50564</v>
      </c>
      <c r="J5170" s="48" t="s">
        <v>56716</v>
      </c>
      <c r="K5170" s="50" t="s">
        <v>56716</v>
      </c>
      <c r="L5170" s="48" t="s">
        <v>56716</v>
      </c>
    </row>
    <row r="5171" spans="1:12" s="37" customFormat="1" ht="11.25" x14ac:dyDescent="0.2">
      <c r="A5171" s="46" t="s">
        <v>16814</v>
      </c>
      <c r="B5171" s="46" t="s">
        <v>54107</v>
      </c>
      <c r="C5171" s="58" t="str">
        <f>"20901739"</f>
        <v>20901739</v>
      </c>
      <c r="D5171" s="58" t="str">
        <f>"20901747"</f>
        <v>20901747</v>
      </c>
      <c r="E5171" s="46" t="s">
        <v>1412</v>
      </c>
      <c r="F5171" s="46" t="s">
        <v>17759</v>
      </c>
      <c r="G5171" s="46" t="s">
        <v>50584</v>
      </c>
      <c r="H5171" s="48" t="s">
        <v>56716</v>
      </c>
      <c r="I5171" s="48" t="s">
        <v>50564</v>
      </c>
      <c r="J5171" s="48" t="s">
        <v>56716</v>
      </c>
      <c r="K5171" s="50"/>
      <c r="L5171" s="48"/>
    </row>
    <row r="5172" spans="1:12" s="37" customFormat="1" ht="11.25" x14ac:dyDescent="0.2">
      <c r="A5172" s="46" t="s">
        <v>56233</v>
      </c>
      <c r="B5172" s="46" t="s">
        <v>56234</v>
      </c>
      <c r="C5172" s="58" t="str">
        <f>""</f>
        <v/>
      </c>
      <c r="D5172" s="58" t="str">
        <f>""</f>
        <v/>
      </c>
      <c r="E5172" s="46" t="s">
        <v>56226</v>
      </c>
      <c r="F5172" s="46" t="s">
        <v>18001</v>
      </c>
      <c r="G5172" s="46" t="s">
        <v>50584</v>
      </c>
      <c r="H5172" s="48" t="s">
        <v>56716</v>
      </c>
      <c r="I5172" s="48" t="s">
        <v>50564</v>
      </c>
      <c r="J5172" s="48"/>
      <c r="K5172" s="50"/>
      <c r="L5172" s="48"/>
    </row>
    <row r="5173" spans="1:12" s="37" customFormat="1" ht="11.25" x14ac:dyDescent="0.2">
      <c r="A5173" s="46" t="s">
        <v>15695</v>
      </c>
      <c r="B5173" s="46" t="s">
        <v>54108</v>
      </c>
      <c r="C5173" s="58" t="str">
        <f>"20902905"</f>
        <v>20902905</v>
      </c>
      <c r="D5173" s="58" t="str">
        <f>"20902913"</f>
        <v>20902913</v>
      </c>
      <c r="E5173" s="46" t="s">
        <v>1412</v>
      </c>
      <c r="F5173" s="46" t="s">
        <v>17759</v>
      </c>
      <c r="G5173" s="46" t="s">
        <v>50584</v>
      </c>
      <c r="H5173" s="48" t="s">
        <v>56716</v>
      </c>
      <c r="I5173" s="48" t="s">
        <v>50564</v>
      </c>
      <c r="J5173" s="48" t="s">
        <v>56716</v>
      </c>
      <c r="K5173" s="50"/>
      <c r="L5173" s="48"/>
    </row>
    <row r="5174" spans="1:12" s="37" customFormat="1" ht="11.25" x14ac:dyDescent="0.2">
      <c r="A5174" s="46" t="s">
        <v>5802</v>
      </c>
      <c r="B5174" s="46" t="s">
        <v>54109</v>
      </c>
      <c r="C5174" s="58" t="str">
        <f>"09621105"</f>
        <v>09621105</v>
      </c>
      <c r="D5174" s="58" t="str">
        <f>"13652869"</f>
        <v>13652869</v>
      </c>
      <c r="E5174" s="46" t="s">
        <v>35</v>
      </c>
      <c r="F5174" s="46" t="s">
        <v>50646</v>
      </c>
      <c r="G5174" s="46" t="s">
        <v>50584</v>
      </c>
      <c r="H5174" s="48" t="s">
        <v>56716</v>
      </c>
      <c r="I5174" s="48" t="s">
        <v>50564</v>
      </c>
      <c r="J5174" s="48" t="s">
        <v>56716</v>
      </c>
      <c r="K5174" s="50" t="s">
        <v>56716</v>
      </c>
      <c r="L5174" s="48" t="s">
        <v>56716</v>
      </c>
    </row>
    <row r="5175" spans="1:12" s="37" customFormat="1" ht="11.25" x14ac:dyDescent="0.2">
      <c r="A5175" s="45" t="s">
        <v>38163</v>
      </c>
      <c r="B5175" s="45" t="s">
        <v>38165</v>
      </c>
      <c r="C5175" s="51" t="s">
        <v>38168</v>
      </c>
      <c r="D5175" s="51" t="s">
        <v>38167</v>
      </c>
      <c r="E5175" s="45" t="s">
        <v>38169</v>
      </c>
      <c r="F5175" s="45" t="s">
        <v>18242</v>
      </c>
      <c r="G5175" s="45" t="s">
        <v>50584</v>
      </c>
      <c r="H5175" s="56"/>
      <c r="I5175" s="56" t="s">
        <v>50564</v>
      </c>
      <c r="J5175" s="56"/>
      <c r="K5175" s="50"/>
      <c r="L5175" s="56" t="s">
        <v>56716</v>
      </c>
    </row>
    <row r="5176" spans="1:12" s="37" customFormat="1" ht="11.25" x14ac:dyDescent="0.2">
      <c r="A5176" s="45" t="s">
        <v>38179</v>
      </c>
      <c r="B5176" s="45" t="s">
        <v>38181</v>
      </c>
      <c r="C5176" s="51" t="s">
        <v>38183</v>
      </c>
      <c r="D5176" s="51" t="s">
        <v>38182</v>
      </c>
      <c r="E5176" s="45" t="s">
        <v>689</v>
      </c>
      <c r="F5176" s="45" t="s">
        <v>17759</v>
      </c>
      <c r="G5176" s="45" t="s">
        <v>50584</v>
      </c>
      <c r="H5176" s="56"/>
      <c r="I5176" s="56" t="s">
        <v>50564</v>
      </c>
      <c r="J5176" s="56"/>
      <c r="K5176" s="50"/>
      <c r="L5176" s="56" t="s">
        <v>56716</v>
      </c>
    </row>
    <row r="5177" spans="1:12" s="37" customFormat="1" ht="11.25" x14ac:dyDescent="0.2">
      <c r="A5177" s="45" t="s">
        <v>38186</v>
      </c>
      <c r="B5177" s="45" t="s">
        <v>38188</v>
      </c>
      <c r="C5177" s="51" t="s">
        <v>38191</v>
      </c>
      <c r="D5177" s="51" t="s">
        <v>38190</v>
      </c>
      <c r="E5177" s="45" t="s">
        <v>689</v>
      </c>
      <c r="F5177" s="45" t="s">
        <v>17759</v>
      </c>
      <c r="G5177" s="45" t="s">
        <v>50584</v>
      </c>
      <c r="H5177" s="56"/>
      <c r="I5177" s="56" t="s">
        <v>50564</v>
      </c>
      <c r="J5177" s="56"/>
      <c r="K5177" s="50"/>
      <c r="L5177" s="56" t="s">
        <v>56716</v>
      </c>
    </row>
    <row r="5178" spans="1:12" s="37" customFormat="1" ht="11.25" x14ac:dyDescent="0.2">
      <c r="A5178" s="46" t="s">
        <v>16963</v>
      </c>
      <c r="B5178" s="46" t="s">
        <v>54110</v>
      </c>
      <c r="C5178" s="58" t="str">
        <f>"19254067"</f>
        <v>19254067</v>
      </c>
      <c r="D5178" s="58" t="str">
        <f>"19254075"</f>
        <v>19254075</v>
      </c>
      <c r="E5178" s="46" t="s">
        <v>16966</v>
      </c>
      <c r="F5178" s="46" t="s">
        <v>18959</v>
      </c>
      <c r="G5178" s="46" t="s">
        <v>50584</v>
      </c>
      <c r="H5178" s="48" t="s">
        <v>56716</v>
      </c>
      <c r="I5178" s="48" t="s">
        <v>50564</v>
      </c>
      <c r="J5178" s="48"/>
      <c r="K5178" s="50"/>
      <c r="L5178" s="48"/>
    </row>
    <row r="5179" spans="1:12" s="37" customFormat="1" ht="11.25" x14ac:dyDescent="0.2">
      <c r="A5179" s="45" t="s">
        <v>38194</v>
      </c>
      <c r="B5179" s="45" t="s">
        <v>38196</v>
      </c>
      <c r="C5179" s="51" t="s">
        <v>38197</v>
      </c>
      <c r="D5179" s="51"/>
      <c r="E5179" s="45" t="s">
        <v>38198</v>
      </c>
      <c r="F5179" s="45" t="s">
        <v>17759</v>
      </c>
      <c r="G5179" s="45" t="s">
        <v>50584</v>
      </c>
      <c r="H5179" s="56"/>
      <c r="I5179" s="56" t="s">
        <v>50564</v>
      </c>
      <c r="J5179" s="56"/>
      <c r="K5179" s="50"/>
      <c r="L5179" s="56" t="s">
        <v>56716</v>
      </c>
    </row>
    <row r="5180" spans="1:12" s="37" customFormat="1" ht="11.25" x14ac:dyDescent="0.2">
      <c r="A5180" s="46" t="s">
        <v>17046</v>
      </c>
      <c r="B5180" s="46" t="s">
        <v>54111</v>
      </c>
      <c r="C5180" s="58" t="str">
        <f>"23144920"</f>
        <v>23144920</v>
      </c>
      <c r="D5180" s="58" t="str">
        <f>"23144939"</f>
        <v>23144939</v>
      </c>
      <c r="E5180" s="46" t="s">
        <v>1412</v>
      </c>
      <c r="F5180" s="46" t="s">
        <v>17759</v>
      </c>
      <c r="G5180" s="46" t="s">
        <v>50584</v>
      </c>
      <c r="H5180" s="48" t="s">
        <v>56716</v>
      </c>
      <c r="I5180" s="48" t="s">
        <v>50564</v>
      </c>
      <c r="J5180" s="48"/>
      <c r="K5180" s="50"/>
      <c r="L5180" s="48"/>
    </row>
    <row r="5181" spans="1:12" s="37" customFormat="1" ht="11.25" x14ac:dyDescent="0.2">
      <c r="A5181" s="45" t="s">
        <v>38201</v>
      </c>
      <c r="B5181" s="45" t="s">
        <v>38203</v>
      </c>
      <c r="C5181" s="51" t="s">
        <v>38206</v>
      </c>
      <c r="D5181" s="51" t="s">
        <v>38205</v>
      </c>
      <c r="E5181" s="45" t="s">
        <v>19455</v>
      </c>
      <c r="F5181" s="45" t="s">
        <v>17759</v>
      </c>
      <c r="G5181" s="45" t="s">
        <v>50584</v>
      </c>
      <c r="H5181" s="56"/>
      <c r="I5181" s="56" t="s">
        <v>50564</v>
      </c>
      <c r="J5181" s="56"/>
      <c r="K5181" s="50"/>
      <c r="L5181" s="56" t="s">
        <v>56716</v>
      </c>
    </row>
    <row r="5182" spans="1:12" s="37" customFormat="1" ht="11.25" x14ac:dyDescent="0.2">
      <c r="A5182" s="46" t="s">
        <v>9352</v>
      </c>
      <c r="B5182" s="46" t="s">
        <v>54112</v>
      </c>
      <c r="C5182" s="58" t="str">
        <f>"10790268"</f>
        <v>10790268</v>
      </c>
      <c r="D5182" s="58" t="str">
        <f>"20457723"</f>
        <v>20457723</v>
      </c>
      <c r="E5182" s="46" t="s">
        <v>856</v>
      </c>
      <c r="F5182" s="46" t="s">
        <v>50646</v>
      </c>
      <c r="G5182" s="46" t="s">
        <v>50584</v>
      </c>
      <c r="H5182" s="48" t="s">
        <v>56716</v>
      </c>
      <c r="I5182" s="48" t="s">
        <v>50564</v>
      </c>
      <c r="J5182" s="48"/>
      <c r="K5182" s="50"/>
      <c r="L5182" s="48" t="s">
        <v>56716</v>
      </c>
    </row>
    <row r="5183" spans="1:12" s="37" customFormat="1" ht="11.25" x14ac:dyDescent="0.2">
      <c r="A5183" s="46" t="s">
        <v>9441</v>
      </c>
      <c r="B5183" s="46" t="s">
        <v>54113</v>
      </c>
      <c r="C5183" s="58" t="str">
        <f>"15360652"</f>
        <v>15360652</v>
      </c>
      <c r="D5183" s="58" t="str">
        <f>"15392465"</f>
        <v>15392465</v>
      </c>
      <c r="E5183" s="46" t="s">
        <v>28</v>
      </c>
      <c r="F5183" s="46" t="s">
        <v>17759</v>
      </c>
      <c r="G5183" s="46" t="s">
        <v>50584</v>
      </c>
      <c r="H5183" s="48" t="s">
        <v>56716</v>
      </c>
      <c r="I5183" s="48" t="s">
        <v>50564</v>
      </c>
      <c r="J5183" s="48" t="s">
        <v>56716</v>
      </c>
      <c r="K5183" s="50" t="s">
        <v>56716</v>
      </c>
      <c r="L5183" s="48" t="s">
        <v>56716</v>
      </c>
    </row>
    <row r="5184" spans="1:12" s="37" customFormat="1" ht="11.25" x14ac:dyDescent="0.2">
      <c r="A5184" s="45" t="s">
        <v>38218</v>
      </c>
      <c r="B5184" s="45" t="s">
        <v>38220</v>
      </c>
      <c r="C5184" s="51" t="s">
        <v>38223</v>
      </c>
      <c r="D5184" s="51" t="s">
        <v>38222</v>
      </c>
      <c r="E5184" s="45" t="s">
        <v>38224</v>
      </c>
      <c r="F5184" s="45" t="s">
        <v>17759</v>
      </c>
      <c r="G5184" s="45" t="s">
        <v>50584</v>
      </c>
      <c r="H5184" s="56"/>
      <c r="I5184" s="56" t="s">
        <v>50564</v>
      </c>
      <c r="J5184" s="56"/>
      <c r="K5184" s="50"/>
      <c r="L5184" s="56" t="s">
        <v>56716</v>
      </c>
    </row>
    <row r="5185" spans="1:12" s="37" customFormat="1" ht="11.25" x14ac:dyDescent="0.2">
      <c r="A5185" s="46" t="s">
        <v>16384</v>
      </c>
      <c r="B5185" s="46" t="s">
        <v>54114</v>
      </c>
      <c r="C5185" s="58" t="str">
        <f>"20952546"</f>
        <v>20952546</v>
      </c>
      <c r="D5185" s="58" t="str">
        <f>"22132961"</f>
        <v>22132961</v>
      </c>
      <c r="E5185" s="46" t="s">
        <v>91</v>
      </c>
      <c r="F5185" s="46" t="s">
        <v>18001</v>
      </c>
      <c r="G5185" s="46" t="s">
        <v>50584</v>
      </c>
      <c r="H5185" s="48" t="s">
        <v>56716</v>
      </c>
      <c r="I5185" s="48" t="s">
        <v>50564</v>
      </c>
      <c r="J5185" s="48" t="s">
        <v>56716</v>
      </c>
      <c r="K5185" s="50" t="s">
        <v>56716</v>
      </c>
      <c r="L5185" s="48"/>
    </row>
    <row r="5186" spans="1:12" s="37" customFormat="1" ht="11.25" x14ac:dyDescent="0.2">
      <c r="A5186" s="45" t="s">
        <v>38227</v>
      </c>
      <c r="B5186" s="45" t="s">
        <v>38229</v>
      </c>
      <c r="C5186" s="51" t="s">
        <v>38231</v>
      </c>
      <c r="D5186" s="51" t="s">
        <v>38230</v>
      </c>
      <c r="E5186" s="45" t="s">
        <v>33822</v>
      </c>
      <c r="F5186" s="45" t="s">
        <v>17759</v>
      </c>
      <c r="G5186" s="45" t="s">
        <v>50584</v>
      </c>
      <c r="H5186" s="56"/>
      <c r="I5186" s="56" t="s">
        <v>50564</v>
      </c>
      <c r="J5186" s="56"/>
      <c r="K5186" s="50"/>
      <c r="L5186" s="56" t="s">
        <v>56716</v>
      </c>
    </row>
    <row r="5187" spans="1:12" s="37" customFormat="1" ht="11.25" x14ac:dyDescent="0.2">
      <c r="A5187" s="45" t="s">
        <v>38238</v>
      </c>
      <c r="B5187" s="45" t="s">
        <v>38240</v>
      </c>
      <c r="C5187" s="51" t="s">
        <v>38242</v>
      </c>
      <c r="D5187" s="51" t="s">
        <v>38241</v>
      </c>
      <c r="E5187" s="45" t="s">
        <v>291</v>
      </c>
      <c r="F5187" s="45" t="s">
        <v>50646</v>
      </c>
      <c r="G5187" s="45" t="s">
        <v>50584</v>
      </c>
      <c r="H5187" s="56"/>
      <c r="I5187" s="56" t="s">
        <v>50564</v>
      </c>
      <c r="J5187" s="56"/>
      <c r="K5187" s="50"/>
      <c r="L5187" s="56" t="s">
        <v>56716</v>
      </c>
    </row>
    <row r="5188" spans="1:12" s="37" customFormat="1" ht="11.25" x14ac:dyDescent="0.2">
      <c r="A5188" s="46" t="s">
        <v>11931</v>
      </c>
      <c r="B5188" s="46" t="s">
        <v>54115</v>
      </c>
      <c r="C5188" s="58" t="str">
        <f>"15568539"</f>
        <v>15568539</v>
      </c>
      <c r="D5188" s="58" t="str">
        <f>""</f>
        <v/>
      </c>
      <c r="E5188" s="46" t="s">
        <v>11878</v>
      </c>
      <c r="F5188" s="46" t="s">
        <v>17759</v>
      </c>
      <c r="G5188" s="46" t="s">
        <v>50584</v>
      </c>
      <c r="H5188" s="48" t="s">
        <v>56716</v>
      </c>
      <c r="I5188" s="48" t="s">
        <v>50564</v>
      </c>
      <c r="J5188" s="48"/>
      <c r="K5188" s="50"/>
      <c r="L5188" s="48" t="s">
        <v>56716</v>
      </c>
    </row>
    <row r="5189" spans="1:12" s="37" customFormat="1" ht="11.25" x14ac:dyDescent="0.2">
      <c r="A5189" s="46" t="s">
        <v>15218</v>
      </c>
      <c r="B5189" s="46" t="s">
        <v>54116</v>
      </c>
      <c r="C5189" s="58" t="str">
        <f>"09737154"</f>
        <v>09737154</v>
      </c>
      <c r="D5189" s="58" t="str">
        <f>""</f>
        <v/>
      </c>
      <c r="E5189" s="46" t="s">
        <v>15218</v>
      </c>
      <c r="F5189" s="46" t="s">
        <v>20446</v>
      </c>
      <c r="G5189" s="46" t="s">
        <v>50584</v>
      </c>
      <c r="H5189" s="48" t="s">
        <v>56716</v>
      </c>
      <c r="I5189" s="48" t="s">
        <v>50564</v>
      </c>
      <c r="J5189" s="48"/>
      <c r="K5189" s="50"/>
      <c r="L5189" s="48"/>
    </row>
    <row r="5190" spans="1:12" s="37" customFormat="1" ht="11.25" x14ac:dyDescent="0.2">
      <c r="A5190" s="46" t="s">
        <v>5388</v>
      </c>
      <c r="B5190" s="46" t="s">
        <v>54117</v>
      </c>
      <c r="C5190" s="58" t="str">
        <f>"09600760"</f>
        <v>09600760</v>
      </c>
      <c r="D5190" s="58" t="str">
        <f>"18791220"</f>
        <v>18791220</v>
      </c>
      <c r="E5190" s="46" t="s">
        <v>155</v>
      </c>
      <c r="F5190" s="46" t="s">
        <v>50646</v>
      </c>
      <c r="G5190" s="46" t="s">
        <v>50584</v>
      </c>
      <c r="H5190" s="48" t="s">
        <v>56716</v>
      </c>
      <c r="I5190" s="48" t="s">
        <v>50564</v>
      </c>
      <c r="J5190" s="48"/>
      <c r="K5190" s="50" t="s">
        <v>56716</v>
      </c>
      <c r="L5190" s="48" t="s">
        <v>56716</v>
      </c>
    </row>
    <row r="5191" spans="1:12" s="37" customFormat="1" ht="11.25" x14ac:dyDescent="0.2">
      <c r="A5191" s="45" t="s">
        <v>38254</v>
      </c>
      <c r="B5191" s="45" t="s">
        <v>38256</v>
      </c>
      <c r="C5191" s="51" t="s">
        <v>38259</v>
      </c>
      <c r="D5191" s="51" t="s">
        <v>38258</v>
      </c>
      <c r="E5191" s="45" t="s">
        <v>38260</v>
      </c>
      <c r="F5191" s="45" t="s">
        <v>17759</v>
      </c>
      <c r="G5191" s="45" t="s">
        <v>50584</v>
      </c>
      <c r="H5191" s="56"/>
      <c r="I5191" s="56" t="s">
        <v>50564</v>
      </c>
      <c r="J5191" s="56"/>
      <c r="K5191" s="50"/>
      <c r="L5191" s="56" t="s">
        <v>56716</v>
      </c>
    </row>
    <row r="5192" spans="1:12" s="37" customFormat="1" ht="11.25" x14ac:dyDescent="0.2">
      <c r="A5192" s="46" t="s">
        <v>8176</v>
      </c>
      <c r="B5192" s="46" t="s">
        <v>54118</v>
      </c>
      <c r="C5192" s="58" t="str">
        <f>"10523057"</f>
        <v>10523057</v>
      </c>
      <c r="D5192" s="58" t="str">
        <f>"15328511"</f>
        <v>15328511</v>
      </c>
      <c r="E5192" s="46" t="s">
        <v>303</v>
      </c>
      <c r="F5192" s="46" t="s">
        <v>17759</v>
      </c>
      <c r="G5192" s="46" t="s">
        <v>50584</v>
      </c>
      <c r="H5192" s="48" t="s">
        <v>56716</v>
      </c>
      <c r="I5192" s="48" t="s">
        <v>50564</v>
      </c>
      <c r="J5192" s="48" t="s">
        <v>56716</v>
      </c>
      <c r="K5192" s="50" t="s">
        <v>56716</v>
      </c>
      <c r="L5192" s="48" t="s">
        <v>56716</v>
      </c>
    </row>
    <row r="5193" spans="1:12" s="37" customFormat="1" ht="11.25" x14ac:dyDescent="0.2">
      <c r="A5193" s="46" t="s">
        <v>9156</v>
      </c>
      <c r="B5193" s="46" t="s">
        <v>54119</v>
      </c>
      <c r="C5193" s="58" t="str">
        <f>"1345711X"</f>
        <v>1345711X</v>
      </c>
      <c r="D5193" s="58" t="str">
        <f>"15700267"</f>
        <v>15700267</v>
      </c>
      <c r="E5193" s="46" t="s">
        <v>56196</v>
      </c>
      <c r="F5193" s="46" t="s">
        <v>18001</v>
      </c>
      <c r="G5193" s="46" t="s">
        <v>50584</v>
      </c>
      <c r="H5193" s="48" t="s">
        <v>56716</v>
      </c>
      <c r="I5193" s="48" t="s">
        <v>50564</v>
      </c>
      <c r="J5193" s="48" t="s">
        <v>56716</v>
      </c>
      <c r="K5193" s="50" t="s">
        <v>56716</v>
      </c>
      <c r="L5193" s="48" t="s">
        <v>56716</v>
      </c>
    </row>
    <row r="5194" spans="1:12" s="37" customFormat="1" ht="11.25" x14ac:dyDescent="0.2">
      <c r="A5194" s="46" t="s">
        <v>5274</v>
      </c>
      <c r="B5194" s="46" t="s">
        <v>54120</v>
      </c>
      <c r="C5194" s="58" t="str">
        <f>"10478477"</f>
        <v>10478477</v>
      </c>
      <c r="D5194" s="58" t="str">
        <f>"10958657"</f>
        <v>10958657</v>
      </c>
      <c r="E5194" s="46" t="s">
        <v>60</v>
      </c>
      <c r="F5194" s="46" t="s">
        <v>17759</v>
      </c>
      <c r="G5194" s="46" t="s">
        <v>50584</v>
      </c>
      <c r="H5194" s="48" t="s">
        <v>56716</v>
      </c>
      <c r="I5194" s="48" t="s">
        <v>50564</v>
      </c>
      <c r="J5194" s="48" t="s">
        <v>56716</v>
      </c>
      <c r="K5194" s="50" t="s">
        <v>56716</v>
      </c>
      <c r="L5194" s="48" t="s">
        <v>56716</v>
      </c>
    </row>
    <row r="5195" spans="1:12" s="37" customFormat="1" ht="11.25" x14ac:dyDescent="0.2">
      <c r="A5195" s="45" t="s">
        <v>38275</v>
      </c>
      <c r="B5195" s="45" t="s">
        <v>38277</v>
      </c>
      <c r="C5195" s="51" t="s">
        <v>38280</v>
      </c>
      <c r="D5195" s="51" t="s">
        <v>38279</v>
      </c>
      <c r="E5195" s="45" t="s">
        <v>38281</v>
      </c>
      <c r="F5195" s="45" t="s">
        <v>17759</v>
      </c>
      <c r="G5195" s="45" t="s">
        <v>50584</v>
      </c>
      <c r="H5195" s="56"/>
      <c r="I5195" s="56" t="s">
        <v>50564</v>
      </c>
      <c r="J5195" s="56"/>
      <c r="K5195" s="50"/>
      <c r="L5195" s="56" t="s">
        <v>56716</v>
      </c>
    </row>
    <row r="5196" spans="1:12" s="37" customFormat="1" ht="11.25" x14ac:dyDescent="0.2">
      <c r="A5196" s="45" t="s">
        <v>38283</v>
      </c>
      <c r="B5196" s="45" t="s">
        <v>38285</v>
      </c>
      <c r="C5196" s="51" t="s">
        <v>38288</v>
      </c>
      <c r="D5196" s="51" t="s">
        <v>38287</v>
      </c>
      <c r="E5196" s="45" t="s">
        <v>38289</v>
      </c>
      <c r="F5196" s="45" t="s">
        <v>17759</v>
      </c>
      <c r="G5196" s="45" t="s">
        <v>50584</v>
      </c>
      <c r="H5196" s="56"/>
      <c r="I5196" s="56" t="s">
        <v>50564</v>
      </c>
      <c r="J5196" s="56"/>
      <c r="K5196" s="50"/>
      <c r="L5196" s="56" t="s">
        <v>56716</v>
      </c>
    </row>
    <row r="5197" spans="1:12" s="37" customFormat="1" ht="11.25" x14ac:dyDescent="0.2">
      <c r="A5197" s="46" t="s">
        <v>2729</v>
      </c>
      <c r="B5197" s="46" t="s">
        <v>54121</v>
      </c>
      <c r="C5197" s="58" t="str">
        <f>"07405472"</f>
        <v>07405472</v>
      </c>
      <c r="D5197" s="58" t="str">
        <f>"18736483"</f>
        <v>18736483</v>
      </c>
      <c r="E5197" s="46" t="s">
        <v>272</v>
      </c>
      <c r="F5197" s="46" t="s">
        <v>17759</v>
      </c>
      <c r="G5197" s="46" t="s">
        <v>50584</v>
      </c>
      <c r="H5197" s="48" t="s">
        <v>56716</v>
      </c>
      <c r="I5197" s="48" t="s">
        <v>50564</v>
      </c>
      <c r="J5197" s="48" t="s">
        <v>56716</v>
      </c>
      <c r="K5197" s="50" t="s">
        <v>56716</v>
      </c>
      <c r="L5197" s="48" t="s">
        <v>56716</v>
      </c>
    </row>
    <row r="5198" spans="1:12" s="37" customFormat="1" ht="11.25" x14ac:dyDescent="0.2">
      <c r="A5198" s="46" t="s">
        <v>8192</v>
      </c>
      <c r="B5198" s="46" t="s">
        <v>54122</v>
      </c>
      <c r="C5198" s="58" t="str">
        <f>"14659891"</f>
        <v>14659891</v>
      </c>
      <c r="D5198" s="58" t="str">
        <f>"14759942"</f>
        <v>14759942</v>
      </c>
      <c r="E5198" s="46" t="s">
        <v>291</v>
      </c>
      <c r="F5198" s="46" t="s">
        <v>50646</v>
      </c>
      <c r="G5198" s="46" t="s">
        <v>50584</v>
      </c>
      <c r="H5198" s="48" t="s">
        <v>56716</v>
      </c>
      <c r="I5198" s="48" t="s">
        <v>50564</v>
      </c>
      <c r="J5198" s="48" t="s">
        <v>56716</v>
      </c>
      <c r="K5198" s="50"/>
      <c r="L5198" s="48"/>
    </row>
    <row r="5199" spans="1:12" s="37" customFormat="1" ht="11.25" x14ac:dyDescent="0.2">
      <c r="A5199" s="46" t="s">
        <v>9971</v>
      </c>
      <c r="B5199" s="46" t="s">
        <v>54123</v>
      </c>
      <c r="C5199" s="58" t="str">
        <f>"15446794"</f>
        <v>15446794</v>
      </c>
      <c r="D5199" s="58" t="str">
        <f>"1879596X"</f>
        <v>1879596X</v>
      </c>
      <c r="E5199" s="46" t="s">
        <v>7128</v>
      </c>
      <c r="F5199" s="46" t="s">
        <v>17759</v>
      </c>
      <c r="G5199" s="46" t="s">
        <v>50584</v>
      </c>
      <c r="H5199" s="48" t="s">
        <v>56716</v>
      </c>
      <c r="I5199" s="48" t="s">
        <v>50564</v>
      </c>
      <c r="J5199" s="48"/>
      <c r="K5199" s="50"/>
      <c r="L5199" s="48"/>
    </row>
    <row r="5200" spans="1:12" s="37" customFormat="1" ht="11.25" x14ac:dyDescent="0.2">
      <c r="A5200" s="46" t="s">
        <v>11631</v>
      </c>
      <c r="B5200" s="46" t="s">
        <v>54124</v>
      </c>
      <c r="C5200" s="58" t="str">
        <f>"19317204"</f>
        <v>19317204</v>
      </c>
      <c r="D5200" s="58" t="str">
        <f>"18787452"</f>
        <v>18787452</v>
      </c>
      <c r="E5200" s="46" t="s">
        <v>272</v>
      </c>
      <c r="F5200" s="46" t="s">
        <v>17759</v>
      </c>
      <c r="G5200" s="46" t="s">
        <v>50584</v>
      </c>
      <c r="H5200" s="48" t="s">
        <v>56716</v>
      </c>
      <c r="I5200" s="48" t="s">
        <v>50564</v>
      </c>
      <c r="J5200" s="48" t="s">
        <v>56716</v>
      </c>
      <c r="K5200" s="50" t="s">
        <v>56716</v>
      </c>
      <c r="L5200" s="48" t="s">
        <v>56716</v>
      </c>
    </row>
    <row r="5201" spans="1:12" s="37" customFormat="1" ht="11.25" x14ac:dyDescent="0.2">
      <c r="A5201" s="46" t="s">
        <v>2735</v>
      </c>
      <c r="B5201" s="46" t="s">
        <v>54125</v>
      </c>
      <c r="C5201" s="58" t="str">
        <f>"00224790"</f>
        <v>00224790</v>
      </c>
      <c r="D5201" s="58" t="str">
        <f>"10969098"</f>
        <v>10969098</v>
      </c>
      <c r="E5201" s="46" t="s">
        <v>517</v>
      </c>
      <c r="F5201" s="46" t="s">
        <v>17759</v>
      </c>
      <c r="G5201" s="46" t="s">
        <v>50584</v>
      </c>
      <c r="H5201" s="48" t="s">
        <v>56716</v>
      </c>
      <c r="I5201" s="48" t="s">
        <v>50564</v>
      </c>
      <c r="J5201" s="48" t="s">
        <v>56716</v>
      </c>
      <c r="K5201" s="50" t="s">
        <v>56716</v>
      </c>
      <c r="L5201" s="48" t="s">
        <v>56716</v>
      </c>
    </row>
    <row r="5202" spans="1:12" s="37" customFormat="1" ht="11.25" x14ac:dyDescent="0.2">
      <c r="A5202" s="45" t="s">
        <v>38313</v>
      </c>
      <c r="B5202" s="45" t="s">
        <v>38315</v>
      </c>
      <c r="C5202" s="51" t="s">
        <v>38317</v>
      </c>
      <c r="D5202" s="51"/>
      <c r="E5202" s="45" t="s">
        <v>38318</v>
      </c>
      <c r="F5202" s="45" t="s">
        <v>17759</v>
      </c>
      <c r="G5202" s="45" t="s">
        <v>50584</v>
      </c>
      <c r="H5202" s="56"/>
      <c r="I5202" s="56" t="s">
        <v>50564</v>
      </c>
      <c r="J5202" s="56"/>
      <c r="K5202" s="50"/>
      <c r="L5202" s="56" t="s">
        <v>56716</v>
      </c>
    </row>
    <row r="5203" spans="1:12" s="37" customFormat="1" ht="11.25" x14ac:dyDescent="0.2">
      <c r="A5203" s="46" t="s">
        <v>14929</v>
      </c>
      <c r="B5203" s="46" t="s">
        <v>54126</v>
      </c>
      <c r="C5203" s="58" t="str">
        <f>"2156213X"</f>
        <v>2156213X</v>
      </c>
      <c r="D5203" s="58" t="str">
        <f>"21564566"</f>
        <v>21564566</v>
      </c>
      <c r="E5203" s="46" t="s">
        <v>14932</v>
      </c>
      <c r="F5203" s="46" t="s">
        <v>17759</v>
      </c>
      <c r="G5203" s="46" t="s">
        <v>50584</v>
      </c>
      <c r="H5203" s="48" t="s">
        <v>56716</v>
      </c>
      <c r="I5203" s="48" t="s">
        <v>50564</v>
      </c>
      <c r="J5203" s="48"/>
      <c r="K5203" s="50"/>
      <c r="L5203" s="48"/>
    </row>
    <row r="5204" spans="1:12" s="37" customFormat="1" ht="11.25" x14ac:dyDescent="0.2">
      <c r="A5204" s="46" t="s">
        <v>2732</v>
      </c>
      <c r="B5204" s="46" t="s">
        <v>54127</v>
      </c>
      <c r="C5204" s="58" t="str">
        <f>"00224804"</f>
        <v>00224804</v>
      </c>
      <c r="D5204" s="58" t="str">
        <f>"10958673"</f>
        <v>10958673</v>
      </c>
      <c r="E5204" s="46" t="s">
        <v>60</v>
      </c>
      <c r="F5204" s="46" t="s">
        <v>17759</v>
      </c>
      <c r="G5204" s="46" t="s">
        <v>50584</v>
      </c>
      <c r="H5204" s="48" t="s">
        <v>56716</v>
      </c>
      <c r="I5204" s="48" t="s">
        <v>50564</v>
      </c>
      <c r="J5204" s="48" t="s">
        <v>56716</v>
      </c>
      <c r="K5204" s="50" t="s">
        <v>56716</v>
      </c>
      <c r="L5204" s="48" t="s">
        <v>56716</v>
      </c>
    </row>
    <row r="5205" spans="1:12" s="37" customFormat="1" ht="11.25" x14ac:dyDescent="0.2">
      <c r="A5205" s="46" t="s">
        <v>14892</v>
      </c>
      <c r="B5205" s="46" t="s">
        <v>54128</v>
      </c>
      <c r="C5205" s="58" t="str">
        <f>"20068808"</f>
        <v>20068808</v>
      </c>
      <c r="D5205" s="58" t="str">
        <f>"09762825"</f>
        <v>09762825</v>
      </c>
      <c r="E5205" s="46" t="s">
        <v>19057</v>
      </c>
      <c r="F5205" s="46" t="s">
        <v>20446</v>
      </c>
      <c r="G5205" s="46" t="s">
        <v>50584</v>
      </c>
      <c r="H5205" s="48" t="s">
        <v>56716</v>
      </c>
      <c r="I5205" s="48" t="s">
        <v>50564</v>
      </c>
      <c r="J5205" s="48" t="s">
        <v>56716</v>
      </c>
      <c r="K5205" s="50"/>
      <c r="L5205" s="48"/>
    </row>
    <row r="5206" spans="1:12" s="37" customFormat="1" ht="11.25" x14ac:dyDescent="0.2">
      <c r="A5206" s="45" t="s">
        <v>38325</v>
      </c>
      <c r="B5206" s="45" t="s">
        <v>38327</v>
      </c>
      <c r="C5206" s="51" t="s">
        <v>38329</v>
      </c>
      <c r="D5206" s="51" t="s">
        <v>38328</v>
      </c>
      <c r="E5206" s="45" t="s">
        <v>38330</v>
      </c>
      <c r="F5206" s="45" t="s">
        <v>17759</v>
      </c>
      <c r="G5206" s="45" t="s">
        <v>50584</v>
      </c>
      <c r="H5206" s="56"/>
      <c r="I5206" s="56" t="s">
        <v>50564</v>
      </c>
      <c r="J5206" s="56"/>
      <c r="K5206" s="50"/>
      <c r="L5206" s="56" t="s">
        <v>56716</v>
      </c>
    </row>
    <row r="5207" spans="1:12" s="37" customFormat="1" ht="11.25" x14ac:dyDescent="0.2">
      <c r="A5207" s="46" t="s">
        <v>13498</v>
      </c>
      <c r="B5207" s="46" t="s">
        <v>54129</v>
      </c>
      <c r="C5207" s="58" t="str">
        <f>"16583612"</f>
        <v>16583612</v>
      </c>
      <c r="D5207" s="58" t="str">
        <f>""</f>
        <v/>
      </c>
      <c r="E5207" s="46" t="s">
        <v>91</v>
      </c>
      <c r="F5207" s="46" t="s">
        <v>18001</v>
      </c>
      <c r="G5207" s="46" t="s">
        <v>50584</v>
      </c>
      <c r="H5207" s="48" t="s">
        <v>56716</v>
      </c>
      <c r="I5207" s="48" t="s">
        <v>50564</v>
      </c>
      <c r="J5207" s="48"/>
      <c r="K5207" s="50" t="s">
        <v>56716</v>
      </c>
      <c r="L5207" s="48"/>
    </row>
    <row r="5208" spans="1:12" s="37" customFormat="1" ht="11.25" x14ac:dyDescent="0.2">
      <c r="A5208" s="46" t="s">
        <v>11933</v>
      </c>
      <c r="B5208" s="46" t="s">
        <v>54130</v>
      </c>
      <c r="C5208" s="58" t="str">
        <f>"17358620"</f>
        <v>17358620</v>
      </c>
      <c r="D5208" s="58" t="str">
        <f>"20082371"</f>
        <v>20082371</v>
      </c>
      <c r="E5208" s="46" t="s">
        <v>11936</v>
      </c>
      <c r="F5208" s="46" t="s">
        <v>18232</v>
      </c>
      <c r="G5208" s="46" t="s">
        <v>50584</v>
      </c>
      <c r="H5208" s="48" t="s">
        <v>56716</v>
      </c>
      <c r="I5208" s="48" t="s">
        <v>50564</v>
      </c>
      <c r="J5208" s="48"/>
      <c r="K5208" s="50"/>
      <c r="L5208" s="48"/>
    </row>
    <row r="5209" spans="1:12" s="37" customFormat="1" ht="11.25" x14ac:dyDescent="0.2">
      <c r="A5209" s="45" t="s">
        <v>38332</v>
      </c>
      <c r="B5209" s="45" t="s">
        <v>38334</v>
      </c>
      <c r="C5209" s="51" t="s">
        <v>38336</v>
      </c>
      <c r="D5209" s="51" t="s">
        <v>38335</v>
      </c>
      <c r="E5209" s="45" t="s">
        <v>18520</v>
      </c>
      <c r="F5209" s="45" t="s">
        <v>50646</v>
      </c>
      <c r="G5209" s="45" t="s">
        <v>50584</v>
      </c>
      <c r="H5209" s="56"/>
      <c r="I5209" s="56" t="s">
        <v>50564</v>
      </c>
      <c r="J5209" s="56"/>
      <c r="K5209" s="50"/>
      <c r="L5209" s="56" t="s">
        <v>56716</v>
      </c>
    </row>
    <row r="5210" spans="1:12" s="37" customFormat="1" ht="11.25" x14ac:dyDescent="0.2">
      <c r="A5210" s="45" t="s">
        <v>38338</v>
      </c>
      <c r="B5210" s="45" t="s">
        <v>38340</v>
      </c>
      <c r="C5210" s="51" t="s">
        <v>38342</v>
      </c>
      <c r="D5210" s="51"/>
      <c r="E5210" s="45" t="s">
        <v>91</v>
      </c>
      <c r="F5210" s="45" t="s">
        <v>17759</v>
      </c>
      <c r="G5210" s="45" t="s">
        <v>50584</v>
      </c>
      <c r="H5210" s="56"/>
      <c r="I5210" s="56" t="s">
        <v>50564</v>
      </c>
      <c r="J5210" s="56"/>
      <c r="K5210" s="50"/>
      <c r="L5210" s="56" t="s">
        <v>56716</v>
      </c>
    </row>
    <row r="5211" spans="1:12" s="37" customFormat="1" ht="11.25" x14ac:dyDescent="0.2">
      <c r="A5211" s="46" t="s">
        <v>4957</v>
      </c>
      <c r="B5211" s="46" t="s">
        <v>54131</v>
      </c>
      <c r="C5211" s="58" t="str">
        <f>"1096-2247"</f>
        <v>1096-2247</v>
      </c>
      <c r="D5211" s="58" t="str">
        <f>"2162-2906"</f>
        <v>2162-2906</v>
      </c>
      <c r="E5211" s="46" t="s">
        <v>669</v>
      </c>
      <c r="F5211" s="46" t="s">
        <v>17759</v>
      </c>
      <c r="G5211" s="46" t="s">
        <v>50584</v>
      </c>
      <c r="H5211" s="48" t="s">
        <v>56716</v>
      </c>
      <c r="I5211" s="48" t="s">
        <v>50564</v>
      </c>
      <c r="J5211" s="48" t="s">
        <v>56716</v>
      </c>
      <c r="K5211" s="50"/>
      <c r="L5211" s="48" t="s">
        <v>56716</v>
      </c>
    </row>
    <row r="5212" spans="1:12" s="37" customFormat="1" ht="11.25" x14ac:dyDescent="0.2">
      <c r="A5212" s="46" t="s">
        <v>7347</v>
      </c>
      <c r="B5212" s="46" t="s">
        <v>54132</v>
      </c>
      <c r="C5212" s="58" t="str">
        <f>"10500545"</f>
        <v>10500545</v>
      </c>
      <c r="D5212" s="58" t="str">
        <f>""</f>
        <v/>
      </c>
      <c r="E5212" s="46" t="s">
        <v>7349</v>
      </c>
      <c r="F5212" s="46" t="s">
        <v>17759</v>
      </c>
      <c r="G5212" s="46" t="s">
        <v>50584</v>
      </c>
      <c r="H5212" s="48" t="s">
        <v>56716</v>
      </c>
      <c r="I5212" s="48" t="s">
        <v>50564</v>
      </c>
      <c r="J5212" s="48" t="s">
        <v>56716</v>
      </c>
      <c r="K5212" s="50"/>
      <c r="L5212" s="48" t="s">
        <v>56716</v>
      </c>
    </row>
    <row r="5213" spans="1:12" s="37" customFormat="1" ht="11.25" x14ac:dyDescent="0.2">
      <c r="A5213" s="46" t="s">
        <v>4319</v>
      </c>
      <c r="B5213" s="46" t="s">
        <v>54133</v>
      </c>
      <c r="C5213" s="58" t="str">
        <f>"08908567"</f>
        <v>08908567</v>
      </c>
      <c r="D5213" s="58" t="str">
        <f>"15275418"</f>
        <v>15275418</v>
      </c>
      <c r="E5213" s="46" t="s">
        <v>272</v>
      </c>
      <c r="F5213" s="46" t="s">
        <v>17759</v>
      </c>
      <c r="G5213" s="46" t="s">
        <v>50584</v>
      </c>
      <c r="H5213" s="48" t="s">
        <v>56716</v>
      </c>
      <c r="I5213" s="48" t="s">
        <v>50564</v>
      </c>
      <c r="J5213" s="48" t="s">
        <v>56716</v>
      </c>
      <c r="K5213" s="50" t="s">
        <v>56716</v>
      </c>
      <c r="L5213" s="48" t="s">
        <v>56716</v>
      </c>
    </row>
    <row r="5214" spans="1:12" s="37" customFormat="1" ht="11.25" x14ac:dyDescent="0.2">
      <c r="A5214" s="46" t="s">
        <v>2098</v>
      </c>
      <c r="B5214" s="46" t="s">
        <v>54134</v>
      </c>
      <c r="C5214" s="58" t="str">
        <f>"01909622"</f>
        <v>01909622</v>
      </c>
      <c r="D5214" s="58" t="str">
        <f>"10976787"</f>
        <v>10976787</v>
      </c>
      <c r="E5214" s="46" t="s">
        <v>194</v>
      </c>
      <c r="F5214" s="46" t="s">
        <v>17759</v>
      </c>
      <c r="G5214" s="46" t="s">
        <v>50584</v>
      </c>
      <c r="H5214" s="48" t="s">
        <v>56716</v>
      </c>
      <c r="I5214" s="48" t="s">
        <v>50564</v>
      </c>
      <c r="J5214" s="48" t="s">
        <v>56716</v>
      </c>
      <c r="K5214" s="50" t="s">
        <v>56716</v>
      </c>
      <c r="L5214" s="48" t="s">
        <v>56716</v>
      </c>
    </row>
    <row r="5215" spans="1:12" s="37" customFormat="1" ht="11.25" x14ac:dyDescent="0.2">
      <c r="A5215" s="45" t="s">
        <v>38382</v>
      </c>
      <c r="B5215" s="45" t="s">
        <v>38384</v>
      </c>
      <c r="C5215" s="51" t="s">
        <v>38387</v>
      </c>
      <c r="D5215" s="51" t="s">
        <v>38386</v>
      </c>
      <c r="E5215" s="45" t="s">
        <v>38388</v>
      </c>
      <c r="F5215" s="45" t="s">
        <v>17759</v>
      </c>
      <c r="G5215" s="45" t="s">
        <v>50584</v>
      </c>
      <c r="H5215" s="56"/>
      <c r="I5215" s="56" t="s">
        <v>50564</v>
      </c>
      <c r="J5215" s="56"/>
      <c r="K5215" s="50"/>
      <c r="L5215" s="56" t="s">
        <v>56716</v>
      </c>
    </row>
    <row r="5216" spans="1:12" s="37" customFormat="1" ht="11.25" x14ac:dyDescent="0.2">
      <c r="A5216" s="46" t="s">
        <v>11527</v>
      </c>
      <c r="B5216" s="46" t="s">
        <v>54135</v>
      </c>
      <c r="C5216" s="58" t="str">
        <f>"15596109"</f>
        <v>15596109</v>
      </c>
      <c r="D5216" s="58" t="str">
        <f>""</f>
        <v/>
      </c>
      <c r="E5216" s="46" t="s">
        <v>8384</v>
      </c>
      <c r="F5216" s="46" t="s">
        <v>17759</v>
      </c>
      <c r="G5216" s="46" t="s">
        <v>50584</v>
      </c>
      <c r="H5216" s="48" t="s">
        <v>56716</v>
      </c>
      <c r="I5216" s="48" t="s">
        <v>50564</v>
      </c>
      <c r="J5216" s="48"/>
      <c r="K5216" s="50"/>
      <c r="L5216" s="48" t="s">
        <v>56716</v>
      </c>
    </row>
    <row r="5217" spans="1:12" s="37" customFormat="1" ht="11.25" x14ac:dyDescent="0.2">
      <c r="A5217" s="45" t="s">
        <v>38395</v>
      </c>
      <c r="B5217" s="45" t="s">
        <v>38397</v>
      </c>
      <c r="C5217" s="51" t="s">
        <v>38400</v>
      </c>
      <c r="D5217" s="51" t="s">
        <v>38399</v>
      </c>
      <c r="E5217" s="45" t="s">
        <v>17805</v>
      </c>
      <c r="F5217" s="45" t="s">
        <v>17759</v>
      </c>
      <c r="G5217" s="45" t="s">
        <v>50584</v>
      </c>
      <c r="H5217" s="56"/>
      <c r="I5217" s="56" t="s">
        <v>50564</v>
      </c>
      <c r="J5217" s="56"/>
      <c r="K5217" s="50"/>
      <c r="L5217" s="56" t="s">
        <v>56716</v>
      </c>
    </row>
    <row r="5218" spans="1:12" s="37" customFormat="1" ht="11.25" x14ac:dyDescent="0.2">
      <c r="A5218" s="46" t="s">
        <v>11513</v>
      </c>
      <c r="B5218" s="46" t="s">
        <v>54136</v>
      </c>
      <c r="C5218" s="58" t="str">
        <f>"15572625"</f>
        <v>15572625</v>
      </c>
      <c r="D5218" s="58" t="str">
        <f>"15587118"</f>
        <v>15587118</v>
      </c>
      <c r="E5218" s="46" t="s">
        <v>11516</v>
      </c>
      <c r="F5218" s="46" t="s">
        <v>17759</v>
      </c>
      <c r="G5218" s="46" t="s">
        <v>50584</v>
      </c>
      <c r="H5218" s="48" t="s">
        <v>56716</v>
      </c>
      <c r="I5218" s="48" t="s">
        <v>50564</v>
      </c>
      <c r="J5218" s="48"/>
      <c r="K5218" s="50"/>
      <c r="L5218" s="48" t="s">
        <v>56716</v>
      </c>
    </row>
    <row r="5219" spans="1:12" s="37" customFormat="1" ht="11.25" x14ac:dyDescent="0.2">
      <c r="A5219" s="46" t="s">
        <v>2113</v>
      </c>
      <c r="B5219" s="46" t="s">
        <v>54137</v>
      </c>
      <c r="C5219" s="58" t="str">
        <f>"00027863"</f>
        <v>00027863</v>
      </c>
      <c r="D5219" s="58" t="str">
        <f>"15205126"</f>
        <v>15205126</v>
      </c>
      <c r="E5219" s="46" t="s">
        <v>776</v>
      </c>
      <c r="F5219" s="46" t="s">
        <v>17759</v>
      </c>
      <c r="G5219" s="46" t="s">
        <v>50584</v>
      </c>
      <c r="H5219" s="48" t="s">
        <v>56716</v>
      </c>
      <c r="I5219" s="48" t="s">
        <v>50564</v>
      </c>
      <c r="J5219" s="48"/>
      <c r="K5219" s="50"/>
      <c r="L5219" s="48" t="s">
        <v>56716</v>
      </c>
    </row>
    <row r="5220" spans="1:12" s="37" customFormat="1" ht="11.25" x14ac:dyDescent="0.2">
      <c r="A5220" s="46" t="s">
        <v>2101</v>
      </c>
      <c r="B5220" s="46" t="s">
        <v>54138</v>
      </c>
      <c r="C5220" s="58" t="str">
        <f>"07351097"</f>
        <v>07351097</v>
      </c>
      <c r="D5220" s="58" t="str">
        <f>"15583597"</f>
        <v>15583597</v>
      </c>
      <c r="E5220" s="46" t="s">
        <v>673</v>
      </c>
      <c r="F5220" s="46" t="s">
        <v>17759</v>
      </c>
      <c r="G5220" s="46" t="s">
        <v>50584</v>
      </c>
      <c r="H5220" s="48" t="s">
        <v>56716</v>
      </c>
      <c r="I5220" s="48" t="s">
        <v>50564</v>
      </c>
      <c r="J5220" s="48" t="s">
        <v>56716</v>
      </c>
      <c r="K5220" s="50" t="s">
        <v>56716</v>
      </c>
      <c r="L5220" s="48" t="s">
        <v>56716</v>
      </c>
    </row>
    <row r="5221" spans="1:12" s="37" customFormat="1" ht="11.25" x14ac:dyDescent="0.2">
      <c r="A5221" s="46" t="s">
        <v>16976</v>
      </c>
      <c r="B5221" s="46" t="s">
        <v>54139</v>
      </c>
      <c r="C5221" s="58" t="str">
        <f>"22135103"</f>
        <v>22135103</v>
      </c>
      <c r="D5221" s="58" t="str">
        <f>""</f>
        <v/>
      </c>
      <c r="E5221" s="46" t="s">
        <v>272</v>
      </c>
      <c r="F5221" s="46" t="s">
        <v>17759</v>
      </c>
      <c r="G5221" s="46" t="s">
        <v>50584</v>
      </c>
      <c r="H5221" s="48" t="s">
        <v>56716</v>
      </c>
      <c r="I5221" s="48" t="s">
        <v>50564</v>
      </c>
      <c r="J5221" s="48" t="s">
        <v>56716</v>
      </c>
      <c r="K5221" s="50"/>
      <c r="L5221" s="48"/>
    </row>
    <row r="5222" spans="1:12" s="37" customFormat="1" ht="11.25" x14ac:dyDescent="0.2">
      <c r="A5222" s="46" t="s">
        <v>2610</v>
      </c>
      <c r="B5222" s="46" t="s">
        <v>54140</v>
      </c>
      <c r="C5222" s="58" t="str">
        <f>"07315724"</f>
        <v>07315724</v>
      </c>
      <c r="D5222" s="58" t="str">
        <f>"15411087"</f>
        <v>15411087</v>
      </c>
      <c r="E5222" s="46" t="s">
        <v>689</v>
      </c>
      <c r="F5222" s="46" t="s">
        <v>17759</v>
      </c>
      <c r="G5222" s="46" t="s">
        <v>50584</v>
      </c>
      <c r="H5222" s="48" t="s">
        <v>56716</v>
      </c>
      <c r="I5222" s="48" t="s">
        <v>50564</v>
      </c>
      <c r="J5222" s="48"/>
      <c r="K5222" s="50" t="s">
        <v>56716</v>
      </c>
      <c r="L5222" s="48" t="s">
        <v>56716</v>
      </c>
    </row>
    <row r="5223" spans="1:12" s="37" customFormat="1" ht="11.25" x14ac:dyDescent="0.2">
      <c r="A5223" s="46" t="s">
        <v>50689</v>
      </c>
      <c r="B5223" s="46" t="s">
        <v>54141</v>
      </c>
      <c r="C5223" s="58" t="str">
        <f>"15461440"</f>
        <v>15461440</v>
      </c>
      <c r="D5223" s="58" t="str">
        <f>"1558349X"</f>
        <v>1558349X</v>
      </c>
      <c r="E5223" s="46" t="s">
        <v>91</v>
      </c>
      <c r="F5223" s="46" t="s">
        <v>18001</v>
      </c>
      <c r="G5223" s="46" t="s">
        <v>50584</v>
      </c>
      <c r="H5223" s="48" t="s">
        <v>56716</v>
      </c>
      <c r="I5223" s="48" t="s">
        <v>50564</v>
      </c>
      <c r="J5223" s="48"/>
      <c r="K5223" s="50" t="s">
        <v>56716</v>
      </c>
      <c r="L5223" s="48" t="s">
        <v>56716</v>
      </c>
    </row>
    <row r="5224" spans="1:12" s="37" customFormat="1" ht="11.25" x14ac:dyDescent="0.2">
      <c r="A5224" s="46" t="s">
        <v>6255</v>
      </c>
      <c r="B5224" s="46" t="s">
        <v>54142</v>
      </c>
      <c r="C5224" s="58" t="str">
        <f>"10727515"</f>
        <v>10727515</v>
      </c>
      <c r="D5224" s="58" t="str">
        <f>"18791190"</f>
        <v>18791190</v>
      </c>
      <c r="E5224" s="46" t="s">
        <v>272</v>
      </c>
      <c r="F5224" s="46" t="s">
        <v>17759</v>
      </c>
      <c r="G5224" s="46" t="s">
        <v>50584</v>
      </c>
      <c r="H5224" s="48" t="s">
        <v>56716</v>
      </c>
      <c r="I5224" s="48" t="s">
        <v>50564</v>
      </c>
      <c r="J5224" s="48" t="s">
        <v>56716</v>
      </c>
      <c r="K5224" s="50" t="s">
        <v>56716</v>
      </c>
      <c r="L5224" s="48" t="s">
        <v>56716</v>
      </c>
    </row>
    <row r="5225" spans="1:12" s="37" customFormat="1" ht="11.25" x14ac:dyDescent="0.2">
      <c r="A5225" s="45" t="s">
        <v>38435</v>
      </c>
      <c r="B5225" s="45" t="s">
        <v>38437</v>
      </c>
      <c r="C5225" s="51" t="s">
        <v>38440</v>
      </c>
      <c r="D5225" s="51" t="s">
        <v>38439</v>
      </c>
      <c r="E5225" s="45" t="s">
        <v>91</v>
      </c>
      <c r="F5225" s="45" t="s">
        <v>50646</v>
      </c>
      <c r="G5225" s="45" t="s">
        <v>50584</v>
      </c>
      <c r="H5225" s="56"/>
      <c r="I5225" s="56" t="s">
        <v>50564</v>
      </c>
      <c r="J5225" s="56"/>
      <c r="K5225" s="50"/>
      <c r="L5225" s="56" t="s">
        <v>56716</v>
      </c>
    </row>
    <row r="5226" spans="1:12" s="37" customFormat="1" ht="11.25" x14ac:dyDescent="0.2">
      <c r="A5226" s="46" t="s">
        <v>2122</v>
      </c>
      <c r="B5226" s="46" t="s">
        <v>54143</v>
      </c>
      <c r="C5226" s="58" t="str">
        <f>"00028614"</f>
        <v>00028614</v>
      </c>
      <c r="D5226" s="58" t="str">
        <f>"15325415"</f>
        <v>15325415</v>
      </c>
      <c r="E5226" s="46" t="s">
        <v>548</v>
      </c>
      <c r="F5226" s="46" t="s">
        <v>17759</v>
      </c>
      <c r="G5226" s="46" t="s">
        <v>50584</v>
      </c>
      <c r="H5226" s="48" t="s">
        <v>56716</v>
      </c>
      <c r="I5226" s="48" t="s">
        <v>50564</v>
      </c>
      <c r="J5226" s="48"/>
      <c r="K5226" s="50" t="s">
        <v>56716</v>
      </c>
      <c r="L5226" s="48" t="s">
        <v>56716</v>
      </c>
    </row>
    <row r="5227" spans="1:12" s="37" customFormat="1" ht="11.25" x14ac:dyDescent="0.2">
      <c r="A5227" s="46" t="s">
        <v>16675</v>
      </c>
      <c r="B5227" s="46" t="s">
        <v>54144</v>
      </c>
      <c r="C5227" s="58" t="str">
        <f>""</f>
        <v/>
      </c>
      <c r="D5227" s="58" t="str">
        <f>"20479980"</f>
        <v>20479980</v>
      </c>
      <c r="E5227" s="46" t="s">
        <v>517</v>
      </c>
      <c r="F5227" s="46" t="s">
        <v>17759</v>
      </c>
      <c r="G5227" s="46" t="s">
        <v>50584</v>
      </c>
      <c r="H5227" s="48" t="s">
        <v>56716</v>
      </c>
      <c r="I5227" s="48" t="s">
        <v>50564</v>
      </c>
      <c r="J5227" s="48" t="s">
        <v>56716</v>
      </c>
      <c r="K5227" s="50"/>
      <c r="L5227" s="48" t="s">
        <v>56716</v>
      </c>
    </row>
    <row r="5228" spans="1:12" s="37" customFormat="1" ht="11.25" x14ac:dyDescent="0.2">
      <c r="A5228" s="46" t="s">
        <v>8466</v>
      </c>
      <c r="B5228" s="46" t="s">
        <v>54145</v>
      </c>
      <c r="C5228" s="58" t="str">
        <f>"15258610"</f>
        <v>15258610</v>
      </c>
      <c r="D5228" s="58" t="str">
        <f>"15389375"</f>
        <v>15389375</v>
      </c>
      <c r="E5228" s="46" t="s">
        <v>272</v>
      </c>
      <c r="F5228" s="46" t="s">
        <v>17759</v>
      </c>
      <c r="G5228" s="46" t="s">
        <v>50584</v>
      </c>
      <c r="H5228" s="48" t="s">
        <v>56716</v>
      </c>
      <c r="I5228" s="48" t="s">
        <v>50564</v>
      </c>
      <c r="J5228" s="48"/>
      <c r="K5228" s="50" t="s">
        <v>56716</v>
      </c>
      <c r="L5228" s="48" t="s">
        <v>56716</v>
      </c>
    </row>
    <row r="5229" spans="1:12" s="37" customFormat="1" ht="11.25" x14ac:dyDescent="0.2">
      <c r="A5229" s="46" t="s">
        <v>7408</v>
      </c>
      <c r="B5229" s="46" t="s">
        <v>54146</v>
      </c>
      <c r="C5229" s="58" t="str">
        <f>"10675027"</f>
        <v>10675027</v>
      </c>
      <c r="D5229" s="58" t="str">
        <f>"1527974X"</f>
        <v>1527974X</v>
      </c>
      <c r="E5229" s="46" t="s">
        <v>159</v>
      </c>
      <c r="F5229" s="46" t="s">
        <v>50646</v>
      </c>
      <c r="G5229" s="46" t="s">
        <v>50584</v>
      </c>
      <c r="H5229" s="48" t="s">
        <v>56716</v>
      </c>
      <c r="I5229" s="48" t="s">
        <v>50564</v>
      </c>
      <c r="J5229" s="48"/>
      <c r="K5229" s="50"/>
      <c r="L5229" s="48" t="s">
        <v>56716</v>
      </c>
    </row>
    <row r="5230" spans="1:12" s="37" customFormat="1" ht="11.25" x14ac:dyDescent="0.2">
      <c r="A5230" s="45" t="s">
        <v>38458</v>
      </c>
      <c r="B5230" s="45" t="s">
        <v>38460</v>
      </c>
      <c r="C5230" s="51" t="s">
        <v>38463</v>
      </c>
      <c r="D5230" s="51" t="s">
        <v>38462</v>
      </c>
      <c r="E5230" s="45" t="s">
        <v>38464</v>
      </c>
      <c r="F5230" s="45" t="s">
        <v>17759</v>
      </c>
      <c r="G5230" s="45" t="s">
        <v>50584</v>
      </c>
      <c r="H5230" s="56"/>
      <c r="I5230" s="56" t="s">
        <v>50564</v>
      </c>
      <c r="J5230" s="56"/>
      <c r="K5230" s="50"/>
      <c r="L5230" s="56" t="s">
        <v>56716</v>
      </c>
    </row>
    <row r="5231" spans="1:12" s="37" customFormat="1" ht="11.25" x14ac:dyDescent="0.2">
      <c r="A5231" s="46" t="s">
        <v>10941</v>
      </c>
      <c r="B5231" s="46" t="s">
        <v>54147</v>
      </c>
      <c r="C5231" s="58" t="str">
        <f>"15443191"</f>
        <v>15443191</v>
      </c>
      <c r="D5231" s="58" t="str">
        <f>"15443450"</f>
        <v>15443450</v>
      </c>
      <c r="E5231" s="46" t="s">
        <v>10944</v>
      </c>
      <c r="F5231" s="46" t="s">
        <v>17759</v>
      </c>
      <c r="G5231" s="46" t="s">
        <v>50584</v>
      </c>
      <c r="H5231" s="48" t="s">
        <v>56716</v>
      </c>
      <c r="I5231" s="48" t="s">
        <v>50564</v>
      </c>
      <c r="J5231" s="48"/>
      <c r="K5231" s="50"/>
      <c r="L5231" s="48" t="s">
        <v>56716</v>
      </c>
    </row>
    <row r="5232" spans="1:12" s="37" customFormat="1" ht="11.25" x14ac:dyDescent="0.2">
      <c r="A5232" s="45" t="s">
        <v>38481</v>
      </c>
      <c r="B5232" s="45" t="s">
        <v>38483</v>
      </c>
      <c r="C5232" s="51" t="s">
        <v>38486</v>
      </c>
      <c r="D5232" s="51" t="s">
        <v>38485</v>
      </c>
      <c r="E5232" s="45" t="s">
        <v>38487</v>
      </c>
      <c r="F5232" s="45" t="s">
        <v>17759</v>
      </c>
      <c r="G5232" s="45" t="s">
        <v>50584</v>
      </c>
      <c r="H5232" s="56"/>
      <c r="I5232" s="56" t="s">
        <v>50564</v>
      </c>
      <c r="J5232" s="56"/>
      <c r="K5232" s="50"/>
      <c r="L5232" s="56" t="s">
        <v>56716</v>
      </c>
    </row>
    <row r="5233" spans="1:12" s="37" customFormat="1" ht="11.25" x14ac:dyDescent="0.2">
      <c r="A5233" s="45" t="s">
        <v>38490</v>
      </c>
      <c r="B5233" s="45" t="s">
        <v>38492</v>
      </c>
      <c r="C5233" s="51" t="s">
        <v>38494</v>
      </c>
      <c r="D5233" s="51" t="s">
        <v>38493</v>
      </c>
      <c r="E5233" s="45" t="s">
        <v>18520</v>
      </c>
      <c r="F5233" s="45" t="s">
        <v>17759</v>
      </c>
      <c r="G5233" s="45" t="s">
        <v>50584</v>
      </c>
      <c r="H5233" s="56"/>
      <c r="I5233" s="56" t="s">
        <v>50564</v>
      </c>
      <c r="J5233" s="56"/>
      <c r="K5233" s="50"/>
      <c r="L5233" s="56" t="s">
        <v>56716</v>
      </c>
    </row>
    <row r="5234" spans="1:12" s="37" customFormat="1" ht="11.25" x14ac:dyDescent="0.2">
      <c r="A5234" s="45" t="s">
        <v>38496</v>
      </c>
      <c r="B5234" s="45" t="s">
        <v>38498</v>
      </c>
      <c r="C5234" s="51" t="s">
        <v>38500</v>
      </c>
      <c r="D5234" s="51" t="s">
        <v>38499</v>
      </c>
      <c r="E5234" s="45" t="s">
        <v>38501</v>
      </c>
      <c r="F5234" s="45" t="s">
        <v>17759</v>
      </c>
      <c r="G5234" s="45" t="s">
        <v>50584</v>
      </c>
      <c r="H5234" s="56"/>
      <c r="I5234" s="56" t="s">
        <v>50564</v>
      </c>
      <c r="J5234" s="56"/>
      <c r="K5234" s="50"/>
      <c r="L5234" s="56" t="s">
        <v>56716</v>
      </c>
    </row>
    <row r="5235" spans="1:12" s="37" customFormat="1" ht="11.25" x14ac:dyDescent="0.2">
      <c r="A5235" s="46" t="s">
        <v>6857</v>
      </c>
      <c r="B5235" s="46" t="s">
        <v>54148</v>
      </c>
      <c r="C5235" s="58" t="str">
        <f>"10440305"</f>
        <v>10440305</v>
      </c>
      <c r="D5235" s="58" t="str">
        <f>"18791123"</f>
        <v>18791123</v>
      </c>
      <c r="E5235" s="46" t="s">
        <v>56305</v>
      </c>
      <c r="F5235" s="46" t="s">
        <v>17759</v>
      </c>
      <c r="G5235" s="46" t="s">
        <v>50584</v>
      </c>
      <c r="H5235" s="48" t="s">
        <v>56716</v>
      </c>
      <c r="I5235" s="48" t="s">
        <v>50564</v>
      </c>
      <c r="J5235" s="48"/>
      <c r="K5235" s="50"/>
      <c r="L5235" s="48" t="s">
        <v>56716</v>
      </c>
    </row>
    <row r="5236" spans="1:12" s="37" customFormat="1" ht="11.25" x14ac:dyDescent="0.2">
      <c r="A5236" s="46" t="s">
        <v>16549</v>
      </c>
      <c r="B5236" s="46" t="s">
        <v>54149</v>
      </c>
      <c r="C5236" s="58" t="str">
        <f>"22132945"</f>
        <v>22132945</v>
      </c>
      <c r="D5236" s="58" t="str">
        <f>""</f>
        <v/>
      </c>
      <c r="E5236" s="46" t="s">
        <v>272</v>
      </c>
      <c r="F5236" s="46" t="s">
        <v>17759</v>
      </c>
      <c r="G5236" s="46" t="s">
        <v>50584</v>
      </c>
      <c r="H5236" s="48" t="s">
        <v>56716</v>
      </c>
      <c r="I5236" s="48" t="s">
        <v>50564</v>
      </c>
      <c r="J5236" s="48" t="s">
        <v>56716</v>
      </c>
      <c r="K5236" s="50" t="s">
        <v>56716</v>
      </c>
      <c r="L5236" s="48"/>
    </row>
    <row r="5237" spans="1:12" s="37" customFormat="1" ht="11.25" x14ac:dyDescent="0.2">
      <c r="A5237" s="46" t="s">
        <v>7235</v>
      </c>
      <c r="B5237" s="46" t="s">
        <v>54150</v>
      </c>
      <c r="C5237" s="58" t="str">
        <f>"08947317"</f>
        <v>08947317</v>
      </c>
      <c r="D5237" s="58" t="str">
        <f>"10976795"</f>
        <v>10976795</v>
      </c>
      <c r="E5237" s="46" t="s">
        <v>194</v>
      </c>
      <c r="F5237" s="46" t="s">
        <v>17759</v>
      </c>
      <c r="G5237" s="46" t="s">
        <v>50584</v>
      </c>
      <c r="H5237" s="48" t="s">
        <v>56716</v>
      </c>
      <c r="I5237" s="48" t="s">
        <v>50564</v>
      </c>
      <c r="J5237" s="48"/>
      <c r="K5237" s="50" t="s">
        <v>56716</v>
      </c>
      <c r="L5237" s="48" t="s">
        <v>56716</v>
      </c>
    </row>
    <row r="5238" spans="1:12" s="37" customFormat="1" ht="11.25" x14ac:dyDescent="0.2">
      <c r="A5238" s="46" t="s">
        <v>12062</v>
      </c>
      <c r="B5238" s="46" t="s">
        <v>54151</v>
      </c>
      <c r="C5238" s="58" t="str">
        <f>"19331711"</f>
        <v>19331711</v>
      </c>
      <c r="D5238" s="58" t="str">
        <f>"18787436"</f>
        <v>18787436</v>
      </c>
      <c r="E5238" s="46" t="s">
        <v>221</v>
      </c>
      <c r="F5238" s="46" t="s">
        <v>21771</v>
      </c>
      <c r="G5238" s="46" t="s">
        <v>50584</v>
      </c>
      <c r="H5238" s="48" t="s">
        <v>56716</v>
      </c>
      <c r="I5238" s="48" t="s">
        <v>50564</v>
      </c>
      <c r="J5238" s="48" t="s">
        <v>56716</v>
      </c>
      <c r="K5238" s="50" t="s">
        <v>56716</v>
      </c>
      <c r="L5238" s="48" t="s">
        <v>56716</v>
      </c>
    </row>
    <row r="5239" spans="1:12" s="37" customFormat="1" ht="11.25" x14ac:dyDescent="0.2">
      <c r="A5239" s="46" t="s">
        <v>5336</v>
      </c>
      <c r="B5239" s="46" t="s">
        <v>54152</v>
      </c>
      <c r="C5239" s="58" t="str">
        <f>"10466673"</f>
        <v>10466673</v>
      </c>
      <c r="D5239" s="58" t="str">
        <f>"15333450"</f>
        <v>15333450</v>
      </c>
      <c r="E5239" s="46" t="s">
        <v>5339</v>
      </c>
      <c r="F5239" s="46" t="s">
        <v>17759</v>
      </c>
      <c r="G5239" s="46" t="s">
        <v>50584</v>
      </c>
      <c r="H5239" s="48" t="s">
        <v>56716</v>
      </c>
      <c r="I5239" s="48" t="s">
        <v>50564</v>
      </c>
      <c r="J5239" s="48" t="s">
        <v>56716</v>
      </c>
      <c r="K5239" s="50"/>
      <c r="L5239" s="48" t="s">
        <v>56716</v>
      </c>
    </row>
    <row r="5240" spans="1:12" s="37" customFormat="1" ht="11.25" x14ac:dyDescent="0.2">
      <c r="A5240" s="45" t="s">
        <v>38520</v>
      </c>
      <c r="B5240" s="45" t="s">
        <v>38522</v>
      </c>
      <c r="C5240" s="51" t="s">
        <v>38525</v>
      </c>
      <c r="D5240" s="51" t="s">
        <v>38524</v>
      </c>
      <c r="E5240" s="45" t="s">
        <v>408</v>
      </c>
      <c r="F5240" s="45" t="s">
        <v>17759</v>
      </c>
      <c r="G5240" s="45" t="s">
        <v>50584</v>
      </c>
      <c r="H5240" s="56"/>
      <c r="I5240" s="56" t="s">
        <v>50564</v>
      </c>
      <c r="J5240" s="56"/>
      <c r="K5240" s="50"/>
      <c r="L5240" s="56" t="s">
        <v>56716</v>
      </c>
    </row>
    <row r="5241" spans="1:12" s="37" customFormat="1" ht="11.25" x14ac:dyDescent="0.2">
      <c r="A5241" s="46" t="s">
        <v>56248</v>
      </c>
      <c r="B5241" s="46" t="s">
        <v>56249</v>
      </c>
      <c r="C5241" s="58" t="str">
        <f>"08571074"</f>
        <v>08571074</v>
      </c>
      <c r="D5241" s="58" t="str">
        <f>"2308118X"</f>
        <v>2308118X</v>
      </c>
      <c r="E5241" s="46" t="s">
        <v>56250</v>
      </c>
      <c r="F5241" s="46" t="s">
        <v>49737</v>
      </c>
      <c r="G5241" s="46" t="s">
        <v>50584</v>
      </c>
      <c r="H5241" s="48" t="s">
        <v>56716</v>
      </c>
      <c r="I5241" s="48" t="s">
        <v>50564</v>
      </c>
      <c r="J5241" s="48"/>
      <c r="K5241" s="50"/>
      <c r="L5241" s="48"/>
    </row>
    <row r="5242" spans="1:12" s="37" customFormat="1" ht="11.25" x14ac:dyDescent="0.2">
      <c r="A5242" s="45" t="s">
        <v>38535</v>
      </c>
      <c r="B5242" s="45" t="s">
        <v>38537</v>
      </c>
      <c r="C5242" s="51" t="s">
        <v>38538</v>
      </c>
      <c r="D5242" s="51"/>
      <c r="E5242" s="45" t="s">
        <v>38539</v>
      </c>
      <c r="F5242" s="45" t="s">
        <v>17759</v>
      </c>
      <c r="G5242" s="45" t="s">
        <v>50584</v>
      </c>
      <c r="H5242" s="56"/>
      <c r="I5242" s="56" t="s">
        <v>50564</v>
      </c>
      <c r="J5242" s="56"/>
      <c r="K5242" s="50"/>
      <c r="L5242" s="56" t="s">
        <v>56716</v>
      </c>
    </row>
    <row r="5243" spans="1:12" s="37" customFormat="1" ht="11.25" x14ac:dyDescent="0.2">
      <c r="A5243" s="46" t="s">
        <v>5111</v>
      </c>
      <c r="B5243" s="46" t="s">
        <v>54153</v>
      </c>
      <c r="C5243" s="58" t="str">
        <f>"10156321"</f>
        <v>10156321</v>
      </c>
      <c r="D5243" s="58" t="str">
        <f>""</f>
        <v/>
      </c>
      <c r="E5243" s="46" t="s">
        <v>5113</v>
      </c>
      <c r="F5243" s="46" t="s">
        <v>50643</v>
      </c>
      <c r="G5243" s="46" t="s">
        <v>50584</v>
      </c>
      <c r="H5243" s="48" t="s">
        <v>56716</v>
      </c>
      <c r="I5243" s="48" t="s">
        <v>50564</v>
      </c>
      <c r="J5243" s="48"/>
      <c r="K5243" s="50"/>
      <c r="L5243" s="48"/>
    </row>
    <row r="5244" spans="1:12" s="37" customFormat="1" ht="11.25" x14ac:dyDescent="0.2">
      <c r="A5244" s="45" t="s">
        <v>38559</v>
      </c>
      <c r="B5244" s="45" t="s">
        <v>38561</v>
      </c>
      <c r="C5244" s="51" t="s">
        <v>38564</v>
      </c>
      <c r="D5244" s="51" t="s">
        <v>38563</v>
      </c>
      <c r="E5244" s="45" t="s">
        <v>38565</v>
      </c>
      <c r="F5244" s="45" t="s">
        <v>17759</v>
      </c>
      <c r="G5244" s="45" t="s">
        <v>50584</v>
      </c>
      <c r="H5244" s="56"/>
      <c r="I5244" s="56" t="s">
        <v>50564</v>
      </c>
      <c r="J5244" s="56"/>
      <c r="K5244" s="50"/>
      <c r="L5244" s="56" t="s">
        <v>56716</v>
      </c>
    </row>
    <row r="5245" spans="1:12" s="37" customFormat="1" ht="11.25" x14ac:dyDescent="0.2">
      <c r="A5245" s="46" t="s">
        <v>11058</v>
      </c>
      <c r="B5245" s="46" t="s">
        <v>54154</v>
      </c>
      <c r="C5245" s="58" t="str">
        <f>"17198429"</f>
        <v>17198429</v>
      </c>
      <c r="D5245" s="58" t="str">
        <f>""</f>
        <v/>
      </c>
      <c r="E5245" s="46" t="s">
        <v>11060</v>
      </c>
      <c r="F5245" s="46" t="s">
        <v>18959</v>
      </c>
      <c r="G5245" s="46" t="s">
        <v>50584</v>
      </c>
      <c r="H5245" s="48" t="s">
        <v>56716</v>
      </c>
      <c r="I5245" s="48" t="s">
        <v>50564</v>
      </c>
      <c r="J5245" s="48"/>
      <c r="K5245" s="50"/>
      <c r="L5245" s="48"/>
    </row>
    <row r="5246" spans="1:12" s="37" customFormat="1" ht="11.25" x14ac:dyDescent="0.2">
      <c r="A5246" s="46" t="s">
        <v>2209</v>
      </c>
      <c r="B5246" s="46" t="s">
        <v>54155</v>
      </c>
      <c r="C5246" s="58" t="str">
        <f>"00085030"</f>
        <v>00085030</v>
      </c>
      <c r="D5246" s="58" t="str">
        <f>""</f>
        <v/>
      </c>
      <c r="E5246" s="46" t="s">
        <v>2211</v>
      </c>
      <c r="F5246" s="46" t="s">
        <v>18959</v>
      </c>
      <c r="G5246" s="46" t="s">
        <v>50584</v>
      </c>
      <c r="H5246" s="48" t="s">
        <v>56716</v>
      </c>
      <c r="I5246" s="48" t="s">
        <v>50564</v>
      </c>
      <c r="J5246" s="48"/>
      <c r="K5246" s="50"/>
      <c r="L5246" s="48"/>
    </row>
    <row r="5247" spans="1:12" s="37" customFormat="1" ht="11.25" x14ac:dyDescent="0.2">
      <c r="A5247" s="46" t="s">
        <v>9802</v>
      </c>
      <c r="B5247" s="46" t="s">
        <v>54156</v>
      </c>
      <c r="C5247" s="58" t="str">
        <f>"17264901"</f>
        <v>17264901</v>
      </c>
      <c r="D5247" s="58" t="str">
        <f>"17287731"</f>
        <v>17287731</v>
      </c>
      <c r="E5247" s="46" t="s">
        <v>155</v>
      </c>
      <c r="F5247" s="46" t="s">
        <v>50646</v>
      </c>
      <c r="G5247" s="46" t="s">
        <v>50585</v>
      </c>
      <c r="H5247" s="48" t="s">
        <v>56716</v>
      </c>
      <c r="I5247" s="48" t="s">
        <v>50564</v>
      </c>
      <c r="J5247" s="48"/>
      <c r="K5247" s="50" t="s">
        <v>56716</v>
      </c>
      <c r="L5247" s="48" t="s">
        <v>56716</v>
      </c>
    </row>
    <row r="5248" spans="1:12" s="37" customFormat="1" ht="11.25" x14ac:dyDescent="0.2">
      <c r="A5248" s="46" t="s">
        <v>6427</v>
      </c>
      <c r="B5248" s="46" t="s">
        <v>54157</v>
      </c>
      <c r="C5248" s="58" t="str">
        <f>"1022386X"</f>
        <v>1022386X</v>
      </c>
      <c r="D5248" s="58" t="str">
        <f>""</f>
        <v/>
      </c>
      <c r="E5248" s="46" t="s">
        <v>6429</v>
      </c>
      <c r="F5248" s="46" t="s">
        <v>34138</v>
      </c>
      <c r="G5248" s="46" t="s">
        <v>50584</v>
      </c>
      <c r="H5248" s="48" t="s">
        <v>56716</v>
      </c>
      <c r="I5248" s="48" t="s">
        <v>50564</v>
      </c>
      <c r="J5248" s="48"/>
      <c r="K5248" s="50"/>
      <c r="L5248" s="48" t="s">
        <v>56716</v>
      </c>
    </row>
    <row r="5249" spans="1:12" s="37" customFormat="1" ht="11.25" x14ac:dyDescent="0.2">
      <c r="A5249" s="46" t="s">
        <v>16092</v>
      </c>
      <c r="B5249" s="46" t="s">
        <v>54158</v>
      </c>
      <c r="C5249" s="58" t="str">
        <f>"1945760X"</f>
        <v>1945760X</v>
      </c>
      <c r="D5249" s="58" t="str">
        <f>""</f>
        <v/>
      </c>
      <c r="E5249" s="46" t="s">
        <v>28</v>
      </c>
      <c r="F5249" s="46" t="s">
        <v>17759</v>
      </c>
      <c r="G5249" s="46" t="s">
        <v>50584</v>
      </c>
      <c r="H5249" s="48" t="s">
        <v>56716</v>
      </c>
      <c r="I5249" s="48" t="s">
        <v>50564</v>
      </c>
      <c r="J5249" s="48" t="s">
        <v>56716</v>
      </c>
      <c r="K5249" s="50"/>
      <c r="L5249" s="48"/>
    </row>
    <row r="5250" spans="1:12" s="37" customFormat="1" ht="11.25" x14ac:dyDescent="0.2">
      <c r="A5250" s="46" t="s">
        <v>2280</v>
      </c>
      <c r="B5250" s="46" t="s">
        <v>54159</v>
      </c>
      <c r="C5250" s="58" t="str">
        <f>"09704035"</f>
        <v>09704035</v>
      </c>
      <c r="D5250" s="58" t="str">
        <f>""</f>
        <v/>
      </c>
      <c r="E5250" s="46" t="s">
        <v>2282</v>
      </c>
      <c r="F5250" s="46" t="s">
        <v>20446</v>
      </c>
      <c r="G5250" s="46" t="s">
        <v>50584</v>
      </c>
      <c r="H5250" s="48" t="s">
        <v>56716</v>
      </c>
      <c r="I5250" s="48" t="s">
        <v>50564</v>
      </c>
      <c r="J5250" s="48"/>
      <c r="K5250" s="50"/>
      <c r="L5250" s="48"/>
    </row>
    <row r="5251" spans="1:12" s="37" customFormat="1" ht="11.25" x14ac:dyDescent="0.2">
      <c r="A5251" s="46" t="s">
        <v>15966</v>
      </c>
      <c r="B5251" s="46" t="s">
        <v>54160</v>
      </c>
      <c r="C5251" s="58" t="str">
        <f>"11100362"</f>
        <v>11100362</v>
      </c>
      <c r="D5251" s="58" t="str">
        <f>"16879996"</f>
        <v>16879996</v>
      </c>
      <c r="E5251" s="46" t="s">
        <v>15969</v>
      </c>
      <c r="F5251" s="46" t="s">
        <v>21182</v>
      </c>
      <c r="G5251" s="46" t="s">
        <v>50584</v>
      </c>
      <c r="H5251" s="48" t="s">
        <v>56716</v>
      </c>
      <c r="I5251" s="48" t="s">
        <v>50564</v>
      </c>
      <c r="J5251" s="48"/>
      <c r="K5251" s="50" t="s">
        <v>56716</v>
      </c>
      <c r="L5251" s="48" t="s">
        <v>56716</v>
      </c>
    </row>
    <row r="5252" spans="1:12" s="37" customFormat="1" ht="11.25" x14ac:dyDescent="0.2">
      <c r="A5252" s="45" t="s">
        <v>38589</v>
      </c>
      <c r="B5252" s="45" t="s">
        <v>38591</v>
      </c>
      <c r="C5252" s="51" t="s">
        <v>38592</v>
      </c>
      <c r="D5252" s="51"/>
      <c r="E5252" s="45" t="s">
        <v>38593</v>
      </c>
      <c r="F5252" s="45" t="s">
        <v>21182</v>
      </c>
      <c r="G5252" s="45" t="s">
        <v>50584</v>
      </c>
      <c r="H5252" s="56"/>
      <c r="I5252" s="56" t="s">
        <v>50564</v>
      </c>
      <c r="J5252" s="56"/>
      <c r="K5252" s="50"/>
      <c r="L5252" s="56" t="s">
        <v>56716</v>
      </c>
    </row>
    <row r="5253" spans="1:12" s="37" customFormat="1" ht="11.25" x14ac:dyDescent="0.2">
      <c r="A5253" s="46" t="s">
        <v>5971</v>
      </c>
      <c r="B5253" s="46" t="s">
        <v>54161</v>
      </c>
      <c r="C5253" s="58" t="str">
        <f>"09269959"</f>
        <v>09269959</v>
      </c>
      <c r="D5253" s="58" t="str">
        <f>"14683083"</f>
        <v>14683083</v>
      </c>
      <c r="E5253" s="46" t="s">
        <v>35</v>
      </c>
      <c r="F5253" s="46" t="s">
        <v>50646</v>
      </c>
      <c r="G5253" s="46" t="s">
        <v>50584</v>
      </c>
      <c r="H5253" s="48" t="s">
        <v>56716</v>
      </c>
      <c r="I5253" s="48" t="s">
        <v>50564</v>
      </c>
      <c r="J5253" s="48" t="s">
        <v>56716</v>
      </c>
      <c r="K5253" s="50" t="s">
        <v>56716</v>
      </c>
      <c r="L5253" s="48" t="s">
        <v>56716</v>
      </c>
    </row>
    <row r="5254" spans="1:12" s="37" customFormat="1" ht="11.25" x14ac:dyDescent="0.2">
      <c r="A5254" s="45" t="s">
        <v>38599</v>
      </c>
      <c r="B5254" s="45" t="s">
        <v>38601</v>
      </c>
      <c r="C5254" s="51" t="s">
        <v>38603</v>
      </c>
      <c r="D5254" s="51" t="s">
        <v>38602</v>
      </c>
      <c r="E5254" s="45" t="s">
        <v>970</v>
      </c>
      <c r="F5254" s="45" t="s">
        <v>17759</v>
      </c>
      <c r="G5254" s="45" t="s">
        <v>50584</v>
      </c>
      <c r="H5254" s="56"/>
      <c r="I5254" s="56" t="s">
        <v>50564</v>
      </c>
      <c r="J5254" s="56"/>
      <c r="K5254" s="50"/>
      <c r="L5254" s="56" t="s">
        <v>56716</v>
      </c>
    </row>
    <row r="5255" spans="1:12" s="37" customFormat="1" ht="11.25" x14ac:dyDescent="0.2">
      <c r="A5255" s="46" t="s">
        <v>7295</v>
      </c>
      <c r="B5255" s="46" t="s">
        <v>54162</v>
      </c>
      <c r="C5255" s="58" t="str">
        <f>"09296646"</f>
        <v>09296646</v>
      </c>
      <c r="D5255" s="58" t="str">
        <f>"18760821"</f>
        <v>18760821</v>
      </c>
      <c r="E5255" s="46" t="s">
        <v>91</v>
      </c>
      <c r="F5255" s="46" t="s">
        <v>18001</v>
      </c>
      <c r="G5255" s="46" t="s">
        <v>50584</v>
      </c>
      <c r="H5255" s="48" t="s">
        <v>56716</v>
      </c>
      <c r="I5255" s="48" t="s">
        <v>50564</v>
      </c>
      <c r="J5255" s="48"/>
      <c r="K5255" s="50" t="s">
        <v>56716</v>
      </c>
      <c r="L5255" s="48" t="s">
        <v>56716</v>
      </c>
    </row>
    <row r="5256" spans="1:12" s="37" customFormat="1" ht="11.25" x14ac:dyDescent="0.2">
      <c r="A5256" s="45" t="s">
        <v>38611</v>
      </c>
      <c r="B5256" s="45" t="s">
        <v>38613</v>
      </c>
      <c r="C5256" s="51" t="s">
        <v>38614</v>
      </c>
      <c r="D5256" s="51"/>
      <c r="E5256" s="45" t="s">
        <v>17783</v>
      </c>
      <c r="F5256" s="45" t="s">
        <v>18158</v>
      </c>
      <c r="G5256" s="45" t="s">
        <v>50584</v>
      </c>
      <c r="H5256" s="56"/>
      <c r="I5256" s="56" t="s">
        <v>50564</v>
      </c>
      <c r="J5256" s="56"/>
      <c r="K5256" s="50"/>
      <c r="L5256" s="56" t="s">
        <v>56716</v>
      </c>
    </row>
    <row r="5257" spans="1:12" s="37" customFormat="1" ht="11.25" x14ac:dyDescent="0.2">
      <c r="A5257" s="45" t="s">
        <v>38616</v>
      </c>
      <c r="B5257" s="45" t="s">
        <v>38618</v>
      </c>
      <c r="C5257" s="51" t="s">
        <v>38620</v>
      </c>
      <c r="D5257" s="51"/>
      <c r="E5257" s="45" t="s">
        <v>38621</v>
      </c>
      <c r="F5257" s="45" t="s">
        <v>17759</v>
      </c>
      <c r="G5257" s="45" t="s">
        <v>50584</v>
      </c>
      <c r="H5257" s="56"/>
      <c r="I5257" s="56" t="s">
        <v>50564</v>
      </c>
      <c r="J5257" s="56"/>
      <c r="K5257" s="50"/>
      <c r="L5257" s="56" t="s">
        <v>56716</v>
      </c>
    </row>
    <row r="5258" spans="1:12" s="37" customFormat="1" ht="11.25" x14ac:dyDescent="0.2">
      <c r="A5258" s="45" t="s">
        <v>38624</v>
      </c>
      <c r="B5258" s="45" t="s">
        <v>38626</v>
      </c>
      <c r="C5258" s="51" t="s">
        <v>38628</v>
      </c>
      <c r="D5258" s="51" t="s">
        <v>38627</v>
      </c>
      <c r="E5258" s="45" t="s">
        <v>23783</v>
      </c>
      <c r="F5258" s="45" t="s">
        <v>17759</v>
      </c>
      <c r="G5258" s="45" t="s">
        <v>50584</v>
      </c>
      <c r="H5258" s="56"/>
      <c r="I5258" s="56" t="s">
        <v>50564</v>
      </c>
      <c r="J5258" s="56"/>
      <c r="K5258" s="50"/>
      <c r="L5258" s="56" t="s">
        <v>56716</v>
      </c>
    </row>
    <row r="5259" spans="1:12" s="37" customFormat="1" ht="11.25" x14ac:dyDescent="0.2">
      <c r="A5259" s="45" t="s">
        <v>38631</v>
      </c>
      <c r="B5259" s="45" t="s">
        <v>38633</v>
      </c>
      <c r="C5259" s="51" t="s">
        <v>38635</v>
      </c>
      <c r="D5259" s="51" t="s">
        <v>38634</v>
      </c>
      <c r="E5259" s="45" t="s">
        <v>55</v>
      </c>
      <c r="F5259" s="45" t="s">
        <v>50646</v>
      </c>
      <c r="G5259" s="45" t="s">
        <v>50584</v>
      </c>
      <c r="H5259" s="56"/>
      <c r="I5259" s="56" t="s">
        <v>50564</v>
      </c>
      <c r="J5259" s="56"/>
      <c r="K5259" s="50"/>
      <c r="L5259" s="56" t="s">
        <v>56716</v>
      </c>
    </row>
    <row r="5260" spans="1:12" s="37" customFormat="1" ht="11.25" x14ac:dyDescent="0.2">
      <c r="A5260" s="45" t="s">
        <v>38637</v>
      </c>
      <c r="B5260" s="45" t="s">
        <v>38639</v>
      </c>
      <c r="C5260" s="51" t="s">
        <v>38641</v>
      </c>
      <c r="D5260" s="51" t="s">
        <v>38640</v>
      </c>
      <c r="E5260" s="45" t="s">
        <v>17805</v>
      </c>
      <c r="F5260" s="45" t="s">
        <v>17759</v>
      </c>
      <c r="G5260" s="45" t="s">
        <v>50584</v>
      </c>
      <c r="H5260" s="56"/>
      <c r="I5260" s="56" t="s">
        <v>50564</v>
      </c>
      <c r="J5260" s="56"/>
      <c r="K5260" s="50"/>
      <c r="L5260" s="56" t="s">
        <v>56716</v>
      </c>
    </row>
    <row r="5261" spans="1:12" s="37" customFormat="1" ht="11.25" x14ac:dyDescent="0.2">
      <c r="A5261" s="45" t="s">
        <v>38644</v>
      </c>
      <c r="B5261" s="45" t="s">
        <v>38646</v>
      </c>
      <c r="C5261" s="51" t="s">
        <v>38648</v>
      </c>
      <c r="D5261" s="51" t="s">
        <v>38647</v>
      </c>
      <c r="E5261" s="45" t="s">
        <v>291</v>
      </c>
      <c r="F5261" s="45" t="s">
        <v>50646</v>
      </c>
      <c r="G5261" s="45" t="s">
        <v>50584</v>
      </c>
      <c r="H5261" s="56"/>
      <c r="I5261" s="56" t="s">
        <v>50564</v>
      </c>
      <c r="J5261" s="56"/>
      <c r="K5261" s="50"/>
      <c r="L5261" s="56" t="s">
        <v>56716</v>
      </c>
    </row>
    <row r="5262" spans="1:12" s="37" customFormat="1" ht="11.25" x14ac:dyDescent="0.2">
      <c r="A5262" s="46" t="s">
        <v>16156</v>
      </c>
      <c r="B5262" s="46" t="s">
        <v>54163</v>
      </c>
      <c r="C5262" s="58" t="str">
        <f>"10277811"</f>
        <v>10277811</v>
      </c>
      <c r="D5262" s="58" t="str">
        <f>""</f>
        <v/>
      </c>
      <c r="E5262" s="46" t="s">
        <v>10015</v>
      </c>
      <c r="F5262" s="46" t="s">
        <v>50647</v>
      </c>
      <c r="G5262" s="46" t="s">
        <v>50584</v>
      </c>
      <c r="H5262" s="48" t="s">
        <v>56716</v>
      </c>
      <c r="I5262" s="48" t="s">
        <v>50564</v>
      </c>
      <c r="J5262" s="48"/>
      <c r="K5262" s="50"/>
      <c r="L5262" s="48"/>
    </row>
    <row r="5263" spans="1:12" s="37" customFormat="1" ht="11.25" x14ac:dyDescent="0.2">
      <c r="A5263" s="45" t="s">
        <v>38651</v>
      </c>
      <c r="B5263" s="45" t="s">
        <v>38653</v>
      </c>
      <c r="C5263" s="51" t="s">
        <v>38655</v>
      </c>
      <c r="D5263" s="51" t="s">
        <v>38654</v>
      </c>
      <c r="E5263" s="45" t="s">
        <v>55</v>
      </c>
      <c r="F5263" s="45" t="s">
        <v>50646</v>
      </c>
      <c r="G5263" s="45" t="s">
        <v>50584</v>
      </c>
      <c r="H5263" s="56"/>
      <c r="I5263" s="56" t="s">
        <v>50564</v>
      </c>
      <c r="J5263" s="56"/>
      <c r="K5263" s="50"/>
      <c r="L5263" s="56" t="s">
        <v>56716</v>
      </c>
    </row>
    <row r="5264" spans="1:12" s="37" customFormat="1" ht="11.25" x14ac:dyDescent="0.2">
      <c r="A5264" s="46" t="s">
        <v>2367</v>
      </c>
      <c r="B5264" s="46" t="s">
        <v>54164</v>
      </c>
      <c r="C5264" s="58" t="str">
        <f>"00194522"</f>
        <v>00194522</v>
      </c>
      <c r="D5264" s="58" t="str">
        <f>""</f>
        <v/>
      </c>
      <c r="E5264" s="46" t="s">
        <v>2369</v>
      </c>
      <c r="F5264" s="46" t="s">
        <v>20446</v>
      </c>
      <c r="G5264" s="46" t="s">
        <v>50584</v>
      </c>
      <c r="H5264" s="48" t="s">
        <v>56716</v>
      </c>
      <c r="I5264" s="48" t="s">
        <v>50564</v>
      </c>
      <c r="J5264" s="48"/>
      <c r="K5264" s="50"/>
      <c r="L5264" s="48"/>
    </row>
    <row r="5265" spans="1:12" s="37" customFormat="1" ht="11.25" x14ac:dyDescent="0.2">
      <c r="A5265" s="46" t="s">
        <v>2375</v>
      </c>
      <c r="B5265" s="46" t="s">
        <v>54165</v>
      </c>
      <c r="C5265" s="58" t="str">
        <f>"00195847"</f>
        <v>00195847</v>
      </c>
      <c r="D5265" s="58" t="str">
        <f>""</f>
        <v/>
      </c>
      <c r="E5265" s="46" t="s">
        <v>2377</v>
      </c>
      <c r="F5265" s="46" t="s">
        <v>20446</v>
      </c>
      <c r="G5265" s="46" t="s">
        <v>50584</v>
      </c>
      <c r="H5265" s="48" t="s">
        <v>56716</v>
      </c>
      <c r="I5265" s="48" t="s">
        <v>50564</v>
      </c>
      <c r="J5265" s="48"/>
      <c r="K5265" s="50"/>
      <c r="L5265" s="48" t="s">
        <v>56716</v>
      </c>
    </row>
    <row r="5266" spans="1:12" s="37" customFormat="1" ht="11.25" x14ac:dyDescent="0.2">
      <c r="A5266" s="45" t="s">
        <v>38663</v>
      </c>
      <c r="B5266" s="45" t="s">
        <v>38665</v>
      </c>
      <c r="C5266" s="51" t="s">
        <v>38667</v>
      </c>
      <c r="D5266" s="51" t="s">
        <v>38666</v>
      </c>
      <c r="E5266" s="45" t="s">
        <v>19057</v>
      </c>
      <c r="F5266" s="45" t="s">
        <v>20446</v>
      </c>
      <c r="G5266" s="45" t="s">
        <v>50584</v>
      </c>
      <c r="H5266" s="56"/>
      <c r="I5266" s="56" t="s">
        <v>50564</v>
      </c>
      <c r="J5266" s="56"/>
      <c r="K5266" s="50"/>
      <c r="L5266" s="56" t="s">
        <v>56716</v>
      </c>
    </row>
    <row r="5267" spans="1:12" s="37" customFormat="1" ht="11.25" x14ac:dyDescent="0.2">
      <c r="A5267" s="46" t="s">
        <v>14462</v>
      </c>
      <c r="B5267" s="46" t="s">
        <v>54166</v>
      </c>
      <c r="C5267" s="58" t="str">
        <f>"17511437"</f>
        <v>17511437</v>
      </c>
      <c r="D5267" s="58" t="str">
        <f>""</f>
        <v/>
      </c>
      <c r="E5267" s="46" t="s">
        <v>14464</v>
      </c>
      <c r="F5267" s="46" t="s">
        <v>50646</v>
      </c>
      <c r="G5267" s="46" t="s">
        <v>50584</v>
      </c>
      <c r="H5267" s="48" t="s">
        <v>56716</v>
      </c>
      <c r="I5267" s="48" t="s">
        <v>50564</v>
      </c>
      <c r="J5267" s="48"/>
      <c r="K5267" s="50"/>
      <c r="L5267" s="48"/>
    </row>
    <row r="5268" spans="1:12" s="37" customFormat="1" ht="11.25" x14ac:dyDescent="0.2">
      <c r="A5268" s="45" t="s">
        <v>38669</v>
      </c>
      <c r="B5268" s="45" t="s">
        <v>38671</v>
      </c>
      <c r="C5268" s="51" t="s">
        <v>38672</v>
      </c>
      <c r="D5268" s="51"/>
      <c r="E5268" s="45" t="s">
        <v>38673</v>
      </c>
      <c r="F5268" s="45" t="s">
        <v>50646</v>
      </c>
      <c r="G5268" s="45" t="s">
        <v>50584</v>
      </c>
      <c r="H5268" s="56"/>
      <c r="I5268" s="56" t="s">
        <v>50564</v>
      </c>
      <c r="J5268" s="56"/>
      <c r="K5268" s="50"/>
      <c r="L5268" s="56" t="s">
        <v>56716</v>
      </c>
    </row>
    <row r="5269" spans="1:12" s="37" customFormat="1" ht="11.25" x14ac:dyDescent="0.2">
      <c r="A5269" s="46" t="s">
        <v>13914</v>
      </c>
      <c r="B5269" s="46" t="s">
        <v>54167</v>
      </c>
      <c r="C5269" s="58" t="str">
        <f>""</f>
        <v/>
      </c>
      <c r="D5269" s="58" t="str">
        <f>"17582652"</f>
        <v>17582652</v>
      </c>
      <c r="E5269" s="46" t="s">
        <v>13916</v>
      </c>
      <c r="F5269" s="46" t="s">
        <v>50646</v>
      </c>
      <c r="G5269" s="46" t="s">
        <v>50584</v>
      </c>
      <c r="H5269" s="48" t="s">
        <v>56716</v>
      </c>
      <c r="I5269" s="48" t="s">
        <v>50564</v>
      </c>
      <c r="J5269" s="48" t="s">
        <v>56716</v>
      </c>
      <c r="K5269" s="50"/>
      <c r="L5269" s="48" t="s">
        <v>56716</v>
      </c>
    </row>
    <row r="5270" spans="1:12" s="37" customFormat="1" ht="11.25" x14ac:dyDescent="0.2">
      <c r="A5270" s="46" t="s">
        <v>17058</v>
      </c>
      <c r="B5270" s="46" t="s">
        <v>54168</v>
      </c>
      <c r="C5270" s="58" t="str">
        <f>"23259574"</f>
        <v>23259574</v>
      </c>
      <c r="D5270" s="58" t="str">
        <f>"23259582"</f>
        <v>23259582</v>
      </c>
      <c r="E5270" s="46" t="s">
        <v>493</v>
      </c>
      <c r="F5270" s="46" t="s">
        <v>17759</v>
      </c>
      <c r="G5270" s="46" t="s">
        <v>50584</v>
      </c>
      <c r="H5270" s="48" t="s">
        <v>56716</v>
      </c>
      <c r="I5270" s="48" t="s">
        <v>50564</v>
      </c>
      <c r="J5270" s="48" t="s">
        <v>56716</v>
      </c>
      <c r="K5270" s="50"/>
      <c r="L5270" s="48" t="s">
        <v>56716</v>
      </c>
    </row>
    <row r="5271" spans="1:12" s="37" customFormat="1" ht="11.25" x14ac:dyDescent="0.2">
      <c r="A5271" s="45" t="s">
        <v>38681</v>
      </c>
      <c r="B5271" s="45" t="s">
        <v>38683</v>
      </c>
      <c r="C5271" s="51" t="s">
        <v>38685</v>
      </c>
      <c r="D5271" s="51" t="s">
        <v>38684</v>
      </c>
      <c r="E5271" s="45" t="s">
        <v>724</v>
      </c>
      <c r="F5271" s="45" t="s">
        <v>50646</v>
      </c>
      <c r="G5271" s="45" t="s">
        <v>50584</v>
      </c>
      <c r="H5271" s="56"/>
      <c r="I5271" s="56" t="s">
        <v>50564</v>
      </c>
      <c r="J5271" s="56"/>
      <c r="K5271" s="50"/>
      <c r="L5271" s="56" t="s">
        <v>56716</v>
      </c>
    </row>
    <row r="5272" spans="1:12" s="37" customFormat="1" ht="11.25" x14ac:dyDescent="0.2">
      <c r="A5272" s="45" t="s">
        <v>38687</v>
      </c>
      <c r="B5272" s="45" t="s">
        <v>38689</v>
      </c>
      <c r="C5272" s="51" t="s">
        <v>38690</v>
      </c>
      <c r="D5272" s="51"/>
      <c r="E5272" s="45" t="s">
        <v>38691</v>
      </c>
      <c r="F5272" s="45" t="s">
        <v>21771</v>
      </c>
      <c r="G5272" s="45" t="s">
        <v>50584</v>
      </c>
      <c r="H5272" s="56"/>
      <c r="I5272" s="56" t="s">
        <v>50564</v>
      </c>
      <c r="J5272" s="56"/>
      <c r="K5272" s="50"/>
      <c r="L5272" s="56" t="s">
        <v>56716</v>
      </c>
    </row>
    <row r="5273" spans="1:12" s="37" customFormat="1" ht="11.25" x14ac:dyDescent="0.2">
      <c r="A5273" s="46" t="s">
        <v>3901</v>
      </c>
      <c r="B5273" s="46" t="s">
        <v>54169</v>
      </c>
      <c r="C5273" s="58" t="str">
        <f>"09120890"</f>
        <v>09120890</v>
      </c>
      <c r="D5273" s="58" t="str">
        <f>"13475509"</f>
        <v>13475509</v>
      </c>
      <c r="E5273" s="46" t="s">
        <v>3904</v>
      </c>
      <c r="F5273" s="46" t="s">
        <v>18242</v>
      </c>
      <c r="G5273" s="46" t="s">
        <v>50604</v>
      </c>
      <c r="H5273" s="48" t="s">
        <v>56716</v>
      </c>
      <c r="I5273" s="48" t="s">
        <v>50564</v>
      </c>
      <c r="J5273" s="48"/>
      <c r="K5273" s="50"/>
      <c r="L5273" s="48"/>
    </row>
    <row r="5274" spans="1:12" s="37" customFormat="1" ht="11.25" x14ac:dyDescent="0.2">
      <c r="A5274" s="46" t="s">
        <v>13874</v>
      </c>
      <c r="B5274" s="46" t="s">
        <v>54170</v>
      </c>
      <c r="C5274" s="58" t="str">
        <f>"19758456"</f>
        <v>19758456</v>
      </c>
      <c r="D5274" s="58" t="str">
        <f>""</f>
        <v/>
      </c>
      <c r="E5274" s="46" t="s">
        <v>13876</v>
      </c>
      <c r="F5274" s="46" t="s">
        <v>50649</v>
      </c>
      <c r="G5274" s="46" t="s">
        <v>50606</v>
      </c>
      <c r="H5274" s="48" t="s">
        <v>56716</v>
      </c>
      <c r="I5274" s="48" t="s">
        <v>50564</v>
      </c>
      <c r="J5274" s="48"/>
      <c r="K5274" s="50"/>
      <c r="L5274" s="48"/>
    </row>
    <row r="5275" spans="1:12" s="37" customFormat="1" ht="11.25" x14ac:dyDescent="0.2">
      <c r="A5275" s="46" t="s">
        <v>11225</v>
      </c>
      <c r="B5275" s="46" t="s">
        <v>54171</v>
      </c>
      <c r="C5275" s="58" t="str">
        <f>"17290341"</f>
        <v>17290341</v>
      </c>
      <c r="D5275" s="58" t="str">
        <f>""</f>
        <v/>
      </c>
      <c r="E5275" s="46" t="s">
        <v>11227</v>
      </c>
      <c r="F5275" s="46" t="s">
        <v>34138</v>
      </c>
      <c r="G5275" s="46" t="s">
        <v>50584</v>
      </c>
      <c r="H5275" s="48" t="s">
        <v>56716</v>
      </c>
      <c r="I5275" s="48" t="s">
        <v>50564</v>
      </c>
      <c r="J5275" s="48"/>
      <c r="K5275" s="50"/>
      <c r="L5275" s="48"/>
    </row>
    <row r="5276" spans="1:12" s="37" customFormat="1" ht="11.25" x14ac:dyDescent="0.2">
      <c r="A5276" s="46" t="s">
        <v>16933</v>
      </c>
      <c r="B5276" s="46" t="s">
        <v>54172</v>
      </c>
      <c r="C5276" s="58" t="str">
        <f>"18119514"</f>
        <v>18119514</v>
      </c>
      <c r="D5276" s="58" t="str">
        <f>""</f>
        <v/>
      </c>
      <c r="E5276" s="46" t="s">
        <v>16935</v>
      </c>
      <c r="F5276" s="46" t="s">
        <v>50651</v>
      </c>
      <c r="G5276" s="46" t="s">
        <v>50584</v>
      </c>
      <c r="H5276" s="48" t="s">
        <v>56716</v>
      </c>
      <c r="I5276" s="48" t="s">
        <v>50564</v>
      </c>
      <c r="J5276" s="48"/>
      <c r="K5276" s="50"/>
      <c r="L5276" s="48"/>
    </row>
    <row r="5277" spans="1:12" s="37" customFormat="1" ht="11.25" x14ac:dyDescent="0.2">
      <c r="A5277" s="45" t="s">
        <v>38700</v>
      </c>
      <c r="B5277" s="45" t="s">
        <v>38702</v>
      </c>
      <c r="C5277" s="51" t="s">
        <v>38703</v>
      </c>
      <c r="D5277" s="51"/>
      <c r="E5277" s="45" t="s">
        <v>38704</v>
      </c>
      <c r="F5277" s="45" t="s">
        <v>17759</v>
      </c>
      <c r="G5277" s="45" t="s">
        <v>50584</v>
      </c>
      <c r="H5277" s="56"/>
      <c r="I5277" s="56" t="s">
        <v>50564</v>
      </c>
      <c r="J5277" s="56"/>
      <c r="K5277" s="50"/>
      <c r="L5277" s="56" t="s">
        <v>56716</v>
      </c>
    </row>
    <row r="5278" spans="1:12" s="37" customFormat="1" ht="11.25" x14ac:dyDescent="0.2">
      <c r="A5278" s="46" t="s">
        <v>12117</v>
      </c>
      <c r="B5278" s="46" t="s">
        <v>54173</v>
      </c>
      <c r="C5278" s="58" t="str">
        <f>"17516161"</f>
        <v>17516161</v>
      </c>
      <c r="D5278" s="58" t="str">
        <f>"18780180"</f>
        <v>18780180</v>
      </c>
      <c r="E5278" s="46" t="s">
        <v>155</v>
      </c>
      <c r="F5278" s="46" t="s">
        <v>50646</v>
      </c>
      <c r="G5278" s="46" t="s">
        <v>50584</v>
      </c>
      <c r="H5278" s="48" t="s">
        <v>56716</v>
      </c>
      <c r="I5278" s="48" t="s">
        <v>50564</v>
      </c>
      <c r="J5278" s="48" t="s">
        <v>56716</v>
      </c>
      <c r="K5278" s="50" t="s">
        <v>56716</v>
      </c>
      <c r="L5278" s="48" t="s">
        <v>56716</v>
      </c>
    </row>
    <row r="5279" spans="1:12" s="37" customFormat="1" ht="11.25" x14ac:dyDescent="0.2">
      <c r="A5279" s="45" t="s">
        <v>38710</v>
      </c>
      <c r="B5279" s="45" t="s">
        <v>38712</v>
      </c>
      <c r="C5279" s="51" t="s">
        <v>38713</v>
      </c>
      <c r="D5279" s="51"/>
      <c r="E5279" s="45" t="s">
        <v>38714</v>
      </c>
      <c r="F5279" s="45" t="s">
        <v>17759</v>
      </c>
      <c r="G5279" s="45" t="s">
        <v>50584</v>
      </c>
      <c r="H5279" s="56"/>
      <c r="I5279" s="56" t="s">
        <v>50564</v>
      </c>
      <c r="J5279" s="56"/>
      <c r="K5279" s="50"/>
      <c r="L5279" s="56" t="s">
        <v>56716</v>
      </c>
    </row>
    <row r="5280" spans="1:12" s="37" customFormat="1" ht="11.25" x14ac:dyDescent="0.2">
      <c r="A5280" s="46" t="s">
        <v>2464</v>
      </c>
      <c r="B5280" s="46" t="s">
        <v>54174</v>
      </c>
      <c r="C5280" s="58" t="str">
        <f>"01252208"</f>
        <v>01252208</v>
      </c>
      <c r="D5280" s="58" t="str">
        <f>"01252208"</f>
        <v>01252208</v>
      </c>
      <c r="E5280" s="46" t="s">
        <v>2466</v>
      </c>
      <c r="F5280" s="46" t="s">
        <v>21693</v>
      </c>
      <c r="G5280" s="46" t="s">
        <v>50584</v>
      </c>
      <c r="H5280" s="48" t="s">
        <v>56716</v>
      </c>
      <c r="I5280" s="48" t="s">
        <v>50564</v>
      </c>
      <c r="J5280" s="48"/>
      <c r="K5280" s="50"/>
      <c r="L5280" s="48" t="s">
        <v>56716</v>
      </c>
    </row>
    <row r="5281" spans="1:12" s="37" customFormat="1" ht="11.25" x14ac:dyDescent="0.2">
      <c r="A5281" s="45" t="s">
        <v>38722</v>
      </c>
      <c r="B5281" s="45" t="s">
        <v>38724</v>
      </c>
      <c r="C5281" s="51" t="s">
        <v>38727</v>
      </c>
      <c r="D5281" s="51" t="s">
        <v>38726</v>
      </c>
      <c r="E5281" s="45" t="s">
        <v>38728</v>
      </c>
      <c r="F5281" s="45" t="s">
        <v>17759</v>
      </c>
      <c r="G5281" s="45" t="s">
        <v>50584</v>
      </c>
      <c r="H5281" s="56"/>
      <c r="I5281" s="56" t="s">
        <v>50564</v>
      </c>
      <c r="J5281" s="56"/>
      <c r="K5281" s="50"/>
      <c r="L5281" s="56" t="s">
        <v>56716</v>
      </c>
    </row>
    <row r="5282" spans="1:12" s="37" customFormat="1" ht="11.25" x14ac:dyDescent="0.2">
      <c r="A5282" s="45" t="s">
        <v>38738</v>
      </c>
      <c r="B5282" s="45" t="s">
        <v>38740</v>
      </c>
      <c r="C5282" s="51" t="s">
        <v>38742</v>
      </c>
      <c r="D5282" s="51"/>
      <c r="E5282" s="45" t="s">
        <v>38743</v>
      </c>
      <c r="F5282" s="45" t="s">
        <v>17759</v>
      </c>
      <c r="G5282" s="45" t="s">
        <v>50584</v>
      </c>
      <c r="H5282" s="56"/>
      <c r="I5282" s="56" t="s">
        <v>50564</v>
      </c>
      <c r="J5282" s="56"/>
      <c r="K5282" s="50"/>
      <c r="L5282" s="56" t="s">
        <v>56716</v>
      </c>
    </row>
    <row r="5283" spans="1:12" s="37" customFormat="1" ht="11.25" x14ac:dyDescent="0.2">
      <c r="A5283" s="46" t="s">
        <v>2472</v>
      </c>
      <c r="B5283" s="46" t="s">
        <v>54175</v>
      </c>
      <c r="C5283" s="58" t="str">
        <f>"00278874"</f>
        <v>00278874</v>
      </c>
      <c r="D5283" s="58" t="str">
        <f>"14602105"</f>
        <v>14602105</v>
      </c>
      <c r="E5283" s="46" t="s">
        <v>55</v>
      </c>
      <c r="F5283" s="46" t="s">
        <v>50646</v>
      </c>
      <c r="G5283" s="46" t="s">
        <v>50584</v>
      </c>
      <c r="H5283" s="48" t="s">
        <v>56716</v>
      </c>
      <c r="I5283" s="48" t="s">
        <v>50564</v>
      </c>
      <c r="J5283" s="48" t="s">
        <v>56716</v>
      </c>
      <c r="K5283" s="50"/>
      <c r="L5283" s="48" t="s">
        <v>56716</v>
      </c>
    </row>
    <row r="5284" spans="1:12" s="37" customFormat="1" ht="11.25" x14ac:dyDescent="0.2">
      <c r="A5284" s="46" t="s">
        <v>12366</v>
      </c>
      <c r="B5284" s="46" t="s">
        <v>54176</v>
      </c>
      <c r="C5284" s="58" t="str">
        <f>"10526773"</f>
        <v>10526773</v>
      </c>
      <c r="D5284" s="58" t="str">
        <f>"17456614"</f>
        <v>17456614</v>
      </c>
      <c r="E5284" s="46" t="s">
        <v>55</v>
      </c>
      <c r="F5284" s="46" t="s">
        <v>50646</v>
      </c>
      <c r="G5284" s="46" t="s">
        <v>50584</v>
      </c>
      <c r="H5284" s="48" t="s">
        <v>56716</v>
      </c>
      <c r="I5284" s="48" t="s">
        <v>50565</v>
      </c>
      <c r="J5284" s="48" t="s">
        <v>56716</v>
      </c>
      <c r="K5284" s="50"/>
      <c r="L5284" s="48" t="s">
        <v>56716</v>
      </c>
    </row>
    <row r="5285" spans="1:12" s="37" customFormat="1" ht="11.25" x14ac:dyDescent="0.2">
      <c r="A5285" s="46" t="s">
        <v>2485</v>
      </c>
      <c r="B5285" s="46" t="s">
        <v>54177</v>
      </c>
      <c r="C5285" s="58" t="str">
        <f>"00279684"</f>
        <v>00279684</v>
      </c>
      <c r="D5285" s="58" t="str">
        <f>""</f>
        <v/>
      </c>
      <c r="E5285" s="46" t="s">
        <v>2487</v>
      </c>
      <c r="F5285" s="46" t="s">
        <v>17759</v>
      </c>
      <c r="G5285" s="46" t="s">
        <v>50584</v>
      </c>
      <c r="H5285" s="48" t="s">
        <v>56716</v>
      </c>
      <c r="I5285" s="48" t="s">
        <v>50564</v>
      </c>
      <c r="J5285" s="48" t="s">
        <v>56716</v>
      </c>
      <c r="K5285" s="50"/>
      <c r="L5285" s="48" t="s">
        <v>56716</v>
      </c>
    </row>
    <row r="5286" spans="1:12" s="37" customFormat="1" ht="11.25" x14ac:dyDescent="0.2">
      <c r="A5286" s="46" t="s">
        <v>10524</v>
      </c>
      <c r="B5286" s="46" t="s">
        <v>54178</v>
      </c>
      <c r="C5286" s="58" t="str">
        <f>"00282715"</f>
        <v>00282715</v>
      </c>
      <c r="D5286" s="58" t="str">
        <f>""</f>
        <v/>
      </c>
      <c r="E5286" s="46" t="s">
        <v>10526</v>
      </c>
      <c r="F5286" s="46" t="s">
        <v>33560</v>
      </c>
      <c r="G5286" s="46" t="s">
        <v>50584</v>
      </c>
      <c r="H5286" s="48" t="s">
        <v>56716</v>
      </c>
      <c r="I5286" s="48" t="s">
        <v>50564</v>
      </c>
      <c r="J5286" s="48"/>
      <c r="K5286" s="50"/>
      <c r="L5286" s="48" t="s">
        <v>56716</v>
      </c>
    </row>
    <row r="5287" spans="1:12" s="37" customFormat="1" ht="11.25" x14ac:dyDescent="0.2">
      <c r="A5287" s="46" t="s">
        <v>2522</v>
      </c>
      <c r="B5287" s="46" t="s">
        <v>53916</v>
      </c>
      <c r="C5287" s="58" t="str">
        <f>"0022510X"</f>
        <v>0022510X</v>
      </c>
      <c r="D5287" s="58" t="str">
        <f>"18785883"</f>
        <v>18785883</v>
      </c>
      <c r="E5287" s="46" t="s">
        <v>91</v>
      </c>
      <c r="F5287" s="46" t="s">
        <v>18001</v>
      </c>
      <c r="G5287" s="46" t="s">
        <v>50584</v>
      </c>
      <c r="H5287" s="48" t="s">
        <v>56716</v>
      </c>
      <c r="I5287" s="48" t="s">
        <v>50564</v>
      </c>
      <c r="J5287" s="48" t="s">
        <v>56716</v>
      </c>
      <c r="K5287" s="50" t="s">
        <v>56716</v>
      </c>
      <c r="L5287" s="48" t="s">
        <v>56716</v>
      </c>
    </row>
    <row r="5288" spans="1:12" s="37" customFormat="1" ht="11.25" x14ac:dyDescent="0.2">
      <c r="A5288" s="45" t="s">
        <v>38767</v>
      </c>
      <c r="B5288" s="45" t="s">
        <v>38769</v>
      </c>
      <c r="C5288" s="51" t="s">
        <v>38771</v>
      </c>
      <c r="D5288" s="51"/>
      <c r="E5288" s="45" t="s">
        <v>38772</v>
      </c>
      <c r="F5288" s="45" t="s">
        <v>17759</v>
      </c>
      <c r="G5288" s="45" t="s">
        <v>50584</v>
      </c>
      <c r="H5288" s="56"/>
      <c r="I5288" s="56" t="s">
        <v>50564</v>
      </c>
      <c r="J5288" s="56"/>
      <c r="K5288" s="50"/>
      <c r="L5288" s="56" t="s">
        <v>56716</v>
      </c>
    </row>
    <row r="5289" spans="1:12" s="37" customFormat="1" ht="11.25" x14ac:dyDescent="0.2">
      <c r="A5289" s="45" t="s">
        <v>38795</v>
      </c>
      <c r="B5289" s="45" t="s">
        <v>38797</v>
      </c>
      <c r="C5289" s="51" t="s">
        <v>38800</v>
      </c>
      <c r="D5289" s="51" t="s">
        <v>38799</v>
      </c>
      <c r="E5289" s="45" t="s">
        <v>16258</v>
      </c>
      <c r="F5289" s="45" t="s">
        <v>17759</v>
      </c>
      <c r="G5289" s="45" t="s">
        <v>50584</v>
      </c>
      <c r="H5289" s="56"/>
      <c r="I5289" s="56" t="s">
        <v>50564</v>
      </c>
      <c r="J5289" s="56"/>
      <c r="K5289" s="50"/>
      <c r="L5289" s="56" t="s">
        <v>56716</v>
      </c>
    </row>
    <row r="5290" spans="1:12" s="37" customFormat="1" ht="11.25" x14ac:dyDescent="0.2">
      <c r="A5290" s="46" t="s">
        <v>3278</v>
      </c>
      <c r="B5290" s="46" t="s">
        <v>54179</v>
      </c>
      <c r="C5290" s="58" t="str">
        <f>"03864103"</f>
        <v>03864103</v>
      </c>
      <c r="D5290" s="58" t="str">
        <f>""</f>
        <v/>
      </c>
      <c r="E5290" s="46" t="s">
        <v>3280</v>
      </c>
      <c r="F5290" s="46" t="s">
        <v>18242</v>
      </c>
      <c r="G5290" s="46" t="s">
        <v>50604</v>
      </c>
      <c r="H5290" s="48" t="s">
        <v>56716</v>
      </c>
      <c r="I5290" s="48" t="s">
        <v>50564</v>
      </c>
      <c r="J5290" s="48"/>
      <c r="K5290" s="50"/>
      <c r="L5290" s="48"/>
    </row>
    <row r="5291" spans="1:12" s="37" customFormat="1" ht="11.25" x14ac:dyDescent="0.2">
      <c r="A5291" s="46" t="s">
        <v>2669</v>
      </c>
      <c r="B5291" s="46" t="s">
        <v>54180</v>
      </c>
      <c r="C5291" s="58" t="str">
        <f>"00309982"</f>
        <v>00309982</v>
      </c>
      <c r="D5291" s="58" t="str">
        <f>""</f>
        <v/>
      </c>
      <c r="E5291" s="46" t="s">
        <v>2671</v>
      </c>
      <c r="F5291" s="46" t="s">
        <v>34138</v>
      </c>
      <c r="G5291" s="46" t="s">
        <v>50584</v>
      </c>
      <c r="H5291" s="48" t="s">
        <v>56716</v>
      </c>
      <c r="I5291" s="48" t="s">
        <v>50564</v>
      </c>
      <c r="J5291" s="48"/>
      <c r="K5291" s="50"/>
      <c r="L5291" s="48" t="s">
        <v>56716</v>
      </c>
    </row>
    <row r="5292" spans="1:12" s="37" customFormat="1" ht="11.25" x14ac:dyDescent="0.2">
      <c r="A5292" s="46" t="s">
        <v>9241</v>
      </c>
      <c r="B5292" s="46" t="s">
        <v>54181</v>
      </c>
      <c r="C5292" s="58" t="str">
        <f>"15908577"</f>
        <v>15908577</v>
      </c>
      <c r="D5292" s="58" t="str">
        <f>"15908577"</f>
        <v>15908577</v>
      </c>
      <c r="E5292" s="46" t="s">
        <v>9243</v>
      </c>
      <c r="F5292" s="46" t="s">
        <v>17991</v>
      </c>
      <c r="G5292" s="46" t="s">
        <v>50584</v>
      </c>
      <c r="H5292" s="48" t="s">
        <v>56716</v>
      </c>
      <c r="I5292" s="48" t="s">
        <v>50564</v>
      </c>
      <c r="J5292" s="48"/>
      <c r="K5292" s="50"/>
      <c r="L5292" s="48" t="s">
        <v>56716</v>
      </c>
    </row>
    <row r="5293" spans="1:12" s="37" customFormat="1" ht="11.25" x14ac:dyDescent="0.2">
      <c r="A5293" s="46" t="s">
        <v>17260</v>
      </c>
      <c r="B5293" s="46" t="s">
        <v>54182</v>
      </c>
      <c r="C5293" s="58" t="str">
        <f>"20487193"</f>
        <v>20487193</v>
      </c>
      <c r="D5293" s="58" t="str">
        <f>"20487207"</f>
        <v>20487207</v>
      </c>
      <c r="E5293" s="46" t="s">
        <v>55</v>
      </c>
      <c r="F5293" s="46" t="s">
        <v>50646</v>
      </c>
      <c r="G5293" s="46" t="s">
        <v>50584</v>
      </c>
      <c r="H5293" s="48" t="s">
        <v>56716</v>
      </c>
      <c r="I5293" s="48" t="s">
        <v>50564</v>
      </c>
      <c r="J5293" s="48" t="s">
        <v>56716</v>
      </c>
      <c r="K5293" s="50"/>
      <c r="L5293" s="48"/>
    </row>
    <row r="5294" spans="1:12" s="37" customFormat="1" ht="11.25" x14ac:dyDescent="0.2">
      <c r="A5294" s="46" t="s">
        <v>7513</v>
      </c>
      <c r="B5294" s="46" t="s">
        <v>54183</v>
      </c>
      <c r="C5294" s="58" t="str">
        <f>"10859489"</f>
        <v>10859489</v>
      </c>
      <c r="D5294" s="58" t="str">
        <f>"15298027"</f>
        <v>15298027</v>
      </c>
      <c r="E5294" s="46" t="s">
        <v>548</v>
      </c>
      <c r="F5294" s="46" t="s">
        <v>17759</v>
      </c>
      <c r="G5294" s="46" t="s">
        <v>50584</v>
      </c>
      <c r="H5294" s="48" t="s">
        <v>56716</v>
      </c>
      <c r="I5294" s="48" t="s">
        <v>50564</v>
      </c>
      <c r="J5294" s="48" t="s">
        <v>56716</v>
      </c>
      <c r="K5294" s="50"/>
      <c r="L5294" s="48" t="s">
        <v>56716</v>
      </c>
    </row>
    <row r="5295" spans="1:12" s="37" customFormat="1" ht="11.25" x14ac:dyDescent="0.2">
      <c r="A5295" s="45" t="s">
        <v>38810</v>
      </c>
      <c r="B5295" s="45" t="s">
        <v>38812</v>
      </c>
      <c r="C5295" s="51" t="s">
        <v>38814</v>
      </c>
      <c r="D5295" s="51" t="s">
        <v>38813</v>
      </c>
      <c r="E5295" s="45" t="s">
        <v>38815</v>
      </c>
      <c r="F5295" s="45" t="s">
        <v>50646</v>
      </c>
      <c r="G5295" s="45" t="s">
        <v>50584</v>
      </c>
      <c r="H5295" s="56"/>
      <c r="I5295" s="56" t="s">
        <v>50564</v>
      </c>
      <c r="J5295" s="56"/>
      <c r="K5295" s="50"/>
      <c r="L5295" s="56" t="s">
        <v>56716</v>
      </c>
    </row>
    <row r="5296" spans="1:12" s="37" customFormat="1" ht="11.25" x14ac:dyDescent="0.2">
      <c r="A5296" s="46" t="s">
        <v>12442</v>
      </c>
      <c r="B5296" s="46" t="s">
        <v>54184</v>
      </c>
      <c r="C5296" s="58" t="str">
        <f>"14782715"</f>
        <v>14782715</v>
      </c>
      <c r="D5296" s="58" t="str">
        <f>""</f>
        <v/>
      </c>
      <c r="E5296" s="46" t="s">
        <v>12444</v>
      </c>
      <c r="F5296" s="46" t="s">
        <v>50646</v>
      </c>
      <c r="G5296" s="46" t="s">
        <v>50584</v>
      </c>
      <c r="H5296" s="48" t="s">
        <v>56716</v>
      </c>
      <c r="I5296" s="48" t="s">
        <v>50564</v>
      </c>
      <c r="J5296" s="48"/>
      <c r="K5296" s="50"/>
      <c r="L5296" s="48" t="s">
        <v>56716</v>
      </c>
    </row>
    <row r="5297" spans="1:12" s="37" customFormat="1" ht="11.25" x14ac:dyDescent="0.2">
      <c r="A5297" s="45" t="s">
        <v>38824</v>
      </c>
      <c r="B5297" s="45" t="s">
        <v>38826</v>
      </c>
      <c r="C5297" s="51" t="s">
        <v>38827</v>
      </c>
      <c r="D5297" s="51"/>
      <c r="E5297" s="45" t="s">
        <v>56616</v>
      </c>
      <c r="F5297" s="45" t="s">
        <v>50646</v>
      </c>
      <c r="G5297" s="45" t="s">
        <v>50584</v>
      </c>
      <c r="H5297" s="56"/>
      <c r="I5297" s="56" t="s">
        <v>50564</v>
      </c>
      <c r="J5297" s="56"/>
      <c r="K5297" s="50"/>
      <c r="L5297" s="56" t="s">
        <v>56716</v>
      </c>
    </row>
    <row r="5298" spans="1:12" s="37" customFormat="1" ht="11.25" x14ac:dyDescent="0.2">
      <c r="A5298" s="46" t="s">
        <v>11351</v>
      </c>
      <c r="B5298" s="46" t="s">
        <v>54185</v>
      </c>
      <c r="C5298" s="58" t="str">
        <f>"17425689"</f>
        <v>17425689</v>
      </c>
      <c r="D5298" s="58" t="str">
        <f>"17425662"</f>
        <v>17425662</v>
      </c>
      <c r="E5298" s="46" t="s">
        <v>11354</v>
      </c>
      <c r="F5298" s="46" t="s">
        <v>50646</v>
      </c>
      <c r="G5298" s="46" t="s">
        <v>50584</v>
      </c>
      <c r="H5298" s="48" t="s">
        <v>56716</v>
      </c>
      <c r="I5298" s="48" t="s">
        <v>50564</v>
      </c>
      <c r="J5298" s="48"/>
      <c r="K5298" s="50"/>
      <c r="L5298" s="48" t="s">
        <v>56716</v>
      </c>
    </row>
    <row r="5299" spans="1:12" s="37" customFormat="1" ht="11.25" x14ac:dyDescent="0.2">
      <c r="A5299" s="46" t="s">
        <v>2727</v>
      </c>
      <c r="B5299" s="46" t="s">
        <v>54186</v>
      </c>
      <c r="C5299" s="58" t="str">
        <f>"01410768"</f>
        <v>01410768</v>
      </c>
      <c r="D5299" s="58" t="str">
        <f>""</f>
        <v/>
      </c>
      <c r="E5299" s="46" t="s">
        <v>97</v>
      </c>
      <c r="F5299" s="46" t="s">
        <v>50646</v>
      </c>
      <c r="G5299" s="46" t="s">
        <v>50584</v>
      </c>
      <c r="H5299" s="48" t="s">
        <v>56716</v>
      </c>
      <c r="I5299" s="48" t="s">
        <v>50564</v>
      </c>
      <c r="J5299" s="48"/>
      <c r="K5299" s="50"/>
      <c r="L5299" s="48" t="s">
        <v>56716</v>
      </c>
    </row>
    <row r="5300" spans="1:12" s="37" customFormat="1" ht="11.25" x14ac:dyDescent="0.2">
      <c r="A5300" s="46" t="s">
        <v>5128</v>
      </c>
      <c r="B5300" s="46" t="s">
        <v>54187</v>
      </c>
      <c r="C5300" s="58" t="str">
        <f>"02675331"</f>
        <v>02675331</v>
      </c>
      <c r="D5300" s="58" t="str">
        <f>"2047721X"</f>
        <v>2047721X</v>
      </c>
      <c r="E5300" s="46" t="s">
        <v>97</v>
      </c>
      <c r="F5300" s="46" t="s">
        <v>50646</v>
      </c>
      <c r="G5300" s="46" t="s">
        <v>50584</v>
      </c>
      <c r="H5300" s="48" t="s">
        <v>56716</v>
      </c>
      <c r="I5300" s="48" t="s">
        <v>50564</v>
      </c>
      <c r="J5300" s="48"/>
      <c r="K5300" s="50"/>
      <c r="L5300" s="48"/>
    </row>
    <row r="5301" spans="1:12" s="37" customFormat="1" ht="11.25" x14ac:dyDescent="0.2">
      <c r="A5301" s="46" t="s">
        <v>13840</v>
      </c>
      <c r="B5301" s="46" t="s">
        <v>54188</v>
      </c>
      <c r="C5301" s="58" t="str">
        <f>"10167315"</f>
        <v>10167315</v>
      </c>
      <c r="D5301" s="58" t="str">
        <f>"22125043"</f>
        <v>22125043</v>
      </c>
      <c r="E5301" s="46" t="s">
        <v>91</v>
      </c>
      <c r="F5301" s="46" t="s">
        <v>18001</v>
      </c>
      <c r="G5301" s="46" t="s">
        <v>50584</v>
      </c>
      <c r="H5301" s="48" t="s">
        <v>56716</v>
      </c>
      <c r="I5301" s="48" t="s">
        <v>50564</v>
      </c>
      <c r="J5301" s="48" t="s">
        <v>56716</v>
      </c>
      <c r="K5301" s="50" t="s">
        <v>56716</v>
      </c>
      <c r="L5301" s="48"/>
    </row>
    <row r="5302" spans="1:12" s="37" customFormat="1" ht="11.25" x14ac:dyDescent="0.2">
      <c r="A5302" s="46" t="s">
        <v>15375</v>
      </c>
      <c r="B5302" s="46" t="s">
        <v>54189</v>
      </c>
      <c r="C5302" s="58" t="str">
        <f>"2210836X"</f>
        <v>2210836X</v>
      </c>
      <c r="D5302" s="58" t="str">
        <f>"22108378"</f>
        <v>22108378</v>
      </c>
      <c r="E5302" s="46" t="s">
        <v>91</v>
      </c>
      <c r="F5302" s="46" t="s">
        <v>18001</v>
      </c>
      <c r="G5302" s="46" t="s">
        <v>50584</v>
      </c>
      <c r="H5302" s="48" t="s">
        <v>56716</v>
      </c>
      <c r="I5302" s="48" t="s">
        <v>50564</v>
      </c>
      <c r="J5302" s="48" t="s">
        <v>56716</v>
      </c>
      <c r="K5302" s="50" t="s">
        <v>56716</v>
      </c>
      <c r="L5302" s="48"/>
    </row>
    <row r="5303" spans="1:12" s="37" customFormat="1" ht="11.25" x14ac:dyDescent="0.2">
      <c r="A5303" s="45" t="s">
        <v>38842</v>
      </c>
      <c r="B5303" s="45" t="s">
        <v>38844</v>
      </c>
      <c r="C5303" s="51" t="s">
        <v>38846</v>
      </c>
      <c r="D5303" s="51" t="s">
        <v>38845</v>
      </c>
      <c r="E5303" s="45" t="s">
        <v>20207</v>
      </c>
      <c r="F5303" s="45" t="s">
        <v>50646</v>
      </c>
      <c r="G5303" s="45" t="s">
        <v>50584</v>
      </c>
      <c r="H5303" s="56"/>
      <c r="I5303" s="56" t="s">
        <v>50564</v>
      </c>
      <c r="J5303" s="56"/>
      <c r="K5303" s="50"/>
      <c r="L5303" s="56" t="s">
        <v>56716</v>
      </c>
    </row>
    <row r="5304" spans="1:12" s="37" customFormat="1" ht="11.25" x14ac:dyDescent="0.2">
      <c r="A5304" s="46" t="s">
        <v>11584</v>
      </c>
      <c r="B5304" s="46" t="s">
        <v>54190</v>
      </c>
      <c r="C5304" s="58" t="str">
        <f>"1715894X"</f>
        <v>1715894X</v>
      </c>
      <c r="D5304" s="58" t="str">
        <f>""</f>
        <v/>
      </c>
      <c r="E5304" s="46" t="s">
        <v>7346</v>
      </c>
      <c r="F5304" s="46" t="s">
        <v>18959</v>
      </c>
      <c r="G5304" s="46" t="s">
        <v>50584</v>
      </c>
      <c r="H5304" s="48" t="s">
        <v>56716</v>
      </c>
      <c r="I5304" s="48" t="s">
        <v>50564</v>
      </c>
      <c r="J5304" s="48"/>
      <c r="K5304" s="50"/>
      <c r="L5304" s="48" t="s">
        <v>56716</v>
      </c>
    </row>
    <row r="5305" spans="1:12" s="37" customFormat="1" ht="11.25" x14ac:dyDescent="0.2">
      <c r="A5305" s="46" t="s">
        <v>2142</v>
      </c>
      <c r="B5305" s="46" t="s">
        <v>54191</v>
      </c>
      <c r="C5305" s="58" t="str">
        <f>"00382809"</f>
        <v>00382809</v>
      </c>
      <c r="D5305" s="58" t="str">
        <f>"10199128"</f>
        <v>10199128</v>
      </c>
      <c r="E5305" s="46" t="s">
        <v>2145</v>
      </c>
      <c r="F5305" s="46" t="s">
        <v>24311</v>
      </c>
      <c r="G5305" s="46" t="s">
        <v>50584</v>
      </c>
      <c r="H5305" s="48" t="s">
        <v>56716</v>
      </c>
      <c r="I5305" s="48" t="s">
        <v>50564</v>
      </c>
      <c r="J5305" s="48"/>
      <c r="K5305" s="50"/>
      <c r="L5305" s="48" t="s">
        <v>56716</v>
      </c>
    </row>
    <row r="5306" spans="1:12" s="37" customFormat="1" ht="11.25" x14ac:dyDescent="0.2">
      <c r="A5306" s="45" t="s">
        <v>38859</v>
      </c>
      <c r="B5306" s="45" t="s">
        <v>38861</v>
      </c>
      <c r="C5306" s="51" t="s">
        <v>38864</v>
      </c>
      <c r="D5306" s="51" t="s">
        <v>38863</v>
      </c>
      <c r="E5306" s="45" t="s">
        <v>38865</v>
      </c>
      <c r="F5306" s="45" t="s">
        <v>17759</v>
      </c>
      <c r="G5306" s="45" t="s">
        <v>50584</v>
      </c>
      <c r="H5306" s="56"/>
      <c r="I5306" s="56" t="s">
        <v>50564</v>
      </c>
      <c r="J5306" s="56"/>
      <c r="K5306" s="50"/>
      <c r="L5306" s="56" t="s">
        <v>56716</v>
      </c>
    </row>
    <row r="5307" spans="1:12" s="37" customFormat="1" ht="11.25" x14ac:dyDescent="0.2">
      <c r="A5307" s="46" t="s">
        <v>9947</v>
      </c>
      <c r="B5307" s="46" t="s">
        <v>54192</v>
      </c>
      <c r="C5307" s="58" t="str">
        <f>"13090399"</f>
        <v>13090399</v>
      </c>
      <c r="D5307" s="58" t="str">
        <f>"13090380"</f>
        <v>13090380</v>
      </c>
      <c r="E5307" s="46" t="s">
        <v>6173</v>
      </c>
      <c r="F5307" s="46" t="s">
        <v>18396</v>
      </c>
      <c r="G5307" s="46" t="s">
        <v>50637</v>
      </c>
      <c r="H5307" s="48" t="s">
        <v>56716</v>
      </c>
      <c r="I5307" s="48" t="s">
        <v>50564</v>
      </c>
      <c r="J5307" s="48"/>
      <c r="K5307" s="50"/>
      <c r="L5307" s="48"/>
    </row>
    <row r="5308" spans="1:12" s="37" customFormat="1" ht="11.25" x14ac:dyDescent="0.2">
      <c r="A5308" s="46" t="s">
        <v>2738</v>
      </c>
      <c r="B5308" s="46" t="s">
        <v>54193</v>
      </c>
      <c r="C5308" s="58" t="str">
        <f>"00225193"</f>
        <v>00225193</v>
      </c>
      <c r="D5308" s="58" t="str">
        <f>"10958541"</f>
        <v>10958541</v>
      </c>
      <c r="E5308" s="46" t="s">
        <v>601</v>
      </c>
      <c r="F5308" s="46" t="s">
        <v>50646</v>
      </c>
      <c r="G5308" s="46" t="s">
        <v>50584</v>
      </c>
      <c r="H5308" s="48" t="s">
        <v>56716</v>
      </c>
      <c r="I5308" s="48" t="s">
        <v>50564</v>
      </c>
      <c r="J5308" s="48" t="s">
        <v>56716</v>
      </c>
      <c r="K5308" s="50" t="s">
        <v>56716</v>
      </c>
      <c r="L5308" s="48" t="s">
        <v>56716</v>
      </c>
    </row>
    <row r="5309" spans="1:12" s="37" customFormat="1" ht="11.25" x14ac:dyDescent="0.2">
      <c r="A5309" s="46" t="s">
        <v>17430</v>
      </c>
      <c r="B5309" s="46" t="s">
        <v>54194</v>
      </c>
      <c r="C5309" s="58" t="str">
        <f>""</f>
        <v/>
      </c>
      <c r="D5309" s="58" t="str">
        <f>"20505736"</f>
        <v>20505736</v>
      </c>
      <c r="E5309" s="46" t="s">
        <v>2299</v>
      </c>
      <c r="F5309" s="46" t="s">
        <v>50646</v>
      </c>
      <c r="G5309" s="46" t="s">
        <v>50584</v>
      </c>
      <c r="H5309" s="48" t="s">
        <v>56716</v>
      </c>
      <c r="I5309" s="48" t="s">
        <v>50564</v>
      </c>
      <c r="J5309" s="48" t="s">
        <v>56716</v>
      </c>
      <c r="K5309" s="50"/>
      <c r="L5309" s="48"/>
    </row>
    <row r="5310" spans="1:12" s="37" customFormat="1" ht="11.25" x14ac:dyDescent="0.2">
      <c r="A5310" s="46" t="s">
        <v>2741</v>
      </c>
      <c r="B5310" s="46" t="s">
        <v>54195</v>
      </c>
      <c r="C5310" s="58" t="str">
        <f>"03064565"</f>
        <v>03064565</v>
      </c>
      <c r="D5310" s="58" t="str">
        <f>"18790992"</f>
        <v>18790992</v>
      </c>
      <c r="E5310" s="46" t="s">
        <v>155</v>
      </c>
      <c r="F5310" s="46" t="s">
        <v>50646</v>
      </c>
      <c r="G5310" s="46" t="s">
        <v>50584</v>
      </c>
      <c r="H5310" s="48" t="s">
        <v>56716</v>
      </c>
      <c r="I5310" s="48" t="s">
        <v>50564</v>
      </c>
      <c r="J5310" s="48"/>
      <c r="K5310" s="50" t="s">
        <v>56716</v>
      </c>
      <c r="L5310" s="48" t="s">
        <v>56716</v>
      </c>
    </row>
    <row r="5311" spans="1:12" s="37" customFormat="1" ht="11.25" x14ac:dyDescent="0.2">
      <c r="A5311" s="46" t="s">
        <v>2744</v>
      </c>
      <c r="B5311" s="46" t="s">
        <v>54196</v>
      </c>
      <c r="C5311" s="58" t="str">
        <f>"00225223"</f>
        <v>00225223</v>
      </c>
      <c r="D5311" s="58" t="str">
        <f>"1097685X"</f>
        <v>1097685X</v>
      </c>
      <c r="E5311" s="46" t="s">
        <v>194</v>
      </c>
      <c r="F5311" s="46" t="s">
        <v>17759</v>
      </c>
      <c r="G5311" s="46" t="s">
        <v>50584</v>
      </c>
      <c r="H5311" s="48" t="s">
        <v>56716</v>
      </c>
      <c r="I5311" s="48" t="s">
        <v>50564</v>
      </c>
      <c r="J5311" s="48" t="s">
        <v>56716</v>
      </c>
      <c r="K5311" s="50" t="s">
        <v>56716</v>
      </c>
      <c r="L5311" s="48" t="s">
        <v>56716</v>
      </c>
    </row>
    <row r="5312" spans="1:12" s="37" customFormat="1" ht="11.25" x14ac:dyDescent="0.2">
      <c r="A5312" s="46" t="s">
        <v>16227</v>
      </c>
      <c r="B5312" s="46" t="s">
        <v>54197</v>
      </c>
      <c r="C5312" s="58" t="str">
        <f>"20721439"</f>
        <v>20721439</v>
      </c>
      <c r="D5312" s="58" t="str">
        <f>"20776624"</f>
        <v>20776624</v>
      </c>
      <c r="E5312" s="46" t="s">
        <v>56095</v>
      </c>
      <c r="F5312" s="46" t="s">
        <v>50647</v>
      </c>
      <c r="G5312" s="46" t="s">
        <v>50584</v>
      </c>
      <c r="H5312" s="48" t="s">
        <v>56716</v>
      </c>
      <c r="I5312" s="48" t="s">
        <v>50564</v>
      </c>
      <c r="J5312" s="48"/>
      <c r="K5312" s="50"/>
      <c r="L5312" s="48"/>
    </row>
    <row r="5313" spans="1:12" s="37" customFormat="1" ht="11.25" x14ac:dyDescent="0.2">
      <c r="A5313" s="46" t="s">
        <v>4230</v>
      </c>
      <c r="B5313" s="46" t="s">
        <v>54198</v>
      </c>
      <c r="C5313" s="58" t="str">
        <f>"08835993"</f>
        <v>08835993</v>
      </c>
      <c r="D5313" s="58" t="str">
        <f>"15360237"</f>
        <v>15360237</v>
      </c>
      <c r="E5313" s="46" t="s">
        <v>28</v>
      </c>
      <c r="F5313" s="46" t="s">
        <v>17759</v>
      </c>
      <c r="G5313" s="46" t="s">
        <v>50584</v>
      </c>
      <c r="H5313" s="48" t="s">
        <v>56716</v>
      </c>
      <c r="I5313" s="48" t="s">
        <v>50564</v>
      </c>
      <c r="J5313" s="48"/>
      <c r="K5313" s="50" t="s">
        <v>56716</v>
      </c>
      <c r="L5313" s="48" t="s">
        <v>56716</v>
      </c>
    </row>
    <row r="5314" spans="1:12" s="37" customFormat="1" ht="11.25" x14ac:dyDescent="0.2">
      <c r="A5314" s="46" t="s">
        <v>11701</v>
      </c>
      <c r="B5314" s="46" t="s">
        <v>54199</v>
      </c>
      <c r="C5314" s="58" t="str">
        <f>"15560864"</f>
        <v>15560864</v>
      </c>
      <c r="D5314" s="58" t="str">
        <f>"15561380"</f>
        <v>15561380</v>
      </c>
      <c r="E5314" s="46" t="s">
        <v>28</v>
      </c>
      <c r="F5314" s="46" t="s">
        <v>17759</v>
      </c>
      <c r="G5314" s="46" t="s">
        <v>50584</v>
      </c>
      <c r="H5314" s="48" t="s">
        <v>56716</v>
      </c>
      <c r="I5314" s="48" t="s">
        <v>50564</v>
      </c>
      <c r="J5314" s="48" t="s">
        <v>56716</v>
      </c>
      <c r="K5314" s="50" t="s">
        <v>56716</v>
      </c>
      <c r="L5314" s="48" t="s">
        <v>56716</v>
      </c>
    </row>
    <row r="5315" spans="1:12" s="37" customFormat="1" ht="11.25" x14ac:dyDescent="0.2">
      <c r="A5315" s="46" t="s">
        <v>9886</v>
      </c>
      <c r="B5315" s="46" t="s">
        <v>54200</v>
      </c>
      <c r="C5315" s="58" t="str">
        <f>"15387933"</f>
        <v>15387933</v>
      </c>
      <c r="D5315" s="58" t="str">
        <f>"15387836"</f>
        <v>15387836</v>
      </c>
      <c r="E5315" s="46" t="s">
        <v>35</v>
      </c>
      <c r="F5315" s="46" t="s">
        <v>50646</v>
      </c>
      <c r="G5315" s="46" t="s">
        <v>50584</v>
      </c>
      <c r="H5315" s="48" t="s">
        <v>56716</v>
      </c>
      <c r="I5315" s="48" t="s">
        <v>50564</v>
      </c>
      <c r="J5315" s="48" t="s">
        <v>56716</v>
      </c>
      <c r="K5315" s="50" t="s">
        <v>56716</v>
      </c>
      <c r="L5315" s="48" t="s">
        <v>56716</v>
      </c>
    </row>
    <row r="5316" spans="1:12" s="37" customFormat="1" ht="11.25" x14ac:dyDescent="0.2">
      <c r="A5316" s="46" t="s">
        <v>6613</v>
      </c>
      <c r="B5316" s="46" t="s">
        <v>54201</v>
      </c>
      <c r="C5316" s="58" t="str">
        <f>"09295305"</f>
        <v>09295305</v>
      </c>
      <c r="D5316" s="58" t="str">
        <f>"1573742X"</f>
        <v>1573742X</v>
      </c>
      <c r="E5316" s="46" t="s">
        <v>18876</v>
      </c>
      <c r="F5316" s="46" t="s">
        <v>18001</v>
      </c>
      <c r="G5316" s="46" t="s">
        <v>50584</v>
      </c>
      <c r="H5316" s="48" t="s">
        <v>56716</v>
      </c>
      <c r="I5316" s="48" t="s">
        <v>50564</v>
      </c>
      <c r="J5316" s="48" t="s">
        <v>56716</v>
      </c>
      <c r="K5316" s="50" t="s">
        <v>56716</v>
      </c>
      <c r="L5316" s="48" t="s">
        <v>56716</v>
      </c>
    </row>
    <row r="5317" spans="1:12" s="37" customFormat="1" ht="11.25" x14ac:dyDescent="0.2">
      <c r="A5317" s="46" t="s">
        <v>16068</v>
      </c>
      <c r="B5317" s="46" t="s">
        <v>54202</v>
      </c>
      <c r="C5317" s="58" t="str">
        <f>"20908067"</f>
        <v>20908067</v>
      </c>
      <c r="D5317" s="58" t="str">
        <f>"20420072"</f>
        <v>20420072</v>
      </c>
      <c r="E5317" s="46" t="s">
        <v>1412</v>
      </c>
      <c r="F5317" s="46" t="s">
        <v>17759</v>
      </c>
      <c r="G5317" s="46" t="s">
        <v>50584</v>
      </c>
      <c r="H5317" s="48" t="s">
        <v>56716</v>
      </c>
      <c r="I5317" s="48" t="s">
        <v>50564</v>
      </c>
      <c r="J5317" s="48" t="s">
        <v>56716</v>
      </c>
      <c r="K5317" s="50"/>
      <c r="L5317" s="48"/>
    </row>
    <row r="5318" spans="1:12" s="37" customFormat="1" ht="11.25" x14ac:dyDescent="0.2">
      <c r="A5318" s="46" t="s">
        <v>17318</v>
      </c>
      <c r="B5318" s="46" t="s">
        <v>54203</v>
      </c>
      <c r="C5318" s="58" t="str">
        <f>""</f>
        <v/>
      </c>
      <c r="D5318" s="58" t="str">
        <f>"20417314"</f>
        <v>20417314</v>
      </c>
      <c r="E5318" s="46" t="s">
        <v>97</v>
      </c>
      <c r="F5318" s="46" t="s">
        <v>50646</v>
      </c>
      <c r="G5318" s="46" t="s">
        <v>50584</v>
      </c>
      <c r="H5318" s="48" t="s">
        <v>56716</v>
      </c>
      <c r="I5318" s="48" t="s">
        <v>50564</v>
      </c>
      <c r="J5318" s="48" t="s">
        <v>56716</v>
      </c>
      <c r="K5318" s="50"/>
      <c r="L5318" s="48"/>
    </row>
    <row r="5319" spans="1:12" s="37" customFormat="1" ht="11.25" x14ac:dyDescent="0.2">
      <c r="A5319" s="46" t="s">
        <v>12526</v>
      </c>
      <c r="B5319" s="46" t="s">
        <v>55860</v>
      </c>
      <c r="C5319" s="58" t="str">
        <f>"19326254"</f>
        <v>19326254</v>
      </c>
      <c r="D5319" s="58" t="str">
        <f>"19327005"</f>
        <v>19327005</v>
      </c>
      <c r="E5319" s="46" t="s">
        <v>751</v>
      </c>
      <c r="F5319" s="46" t="s">
        <v>50646</v>
      </c>
      <c r="G5319" s="46" t="s">
        <v>50584</v>
      </c>
      <c r="H5319" s="48" t="s">
        <v>56716</v>
      </c>
      <c r="I5319" s="48" t="s">
        <v>50564</v>
      </c>
      <c r="J5319" s="48" t="s">
        <v>56716</v>
      </c>
      <c r="K5319" s="50" t="s">
        <v>56716</v>
      </c>
      <c r="L5319" s="48" t="s">
        <v>56716</v>
      </c>
    </row>
    <row r="5320" spans="1:12" s="37" customFormat="1" ht="11.25" x14ac:dyDescent="0.2">
      <c r="A5320" s="46" t="s">
        <v>12334</v>
      </c>
      <c r="B5320" s="46" t="s">
        <v>54204</v>
      </c>
      <c r="C5320" s="58" t="str">
        <f>"0965206X"</f>
        <v>0965206X</v>
      </c>
      <c r="D5320" s="58" t="str">
        <f>"18764746"</f>
        <v>18764746</v>
      </c>
      <c r="E5320" s="46" t="s">
        <v>12337</v>
      </c>
      <c r="F5320" s="46" t="s">
        <v>50646</v>
      </c>
      <c r="G5320" s="46" t="s">
        <v>50584</v>
      </c>
      <c r="H5320" s="48" t="s">
        <v>56716</v>
      </c>
      <c r="I5320" s="48" t="s">
        <v>50564</v>
      </c>
      <c r="J5320" s="48" t="s">
        <v>56716</v>
      </c>
      <c r="K5320" s="50" t="s">
        <v>56716</v>
      </c>
      <c r="L5320" s="48" t="s">
        <v>56716</v>
      </c>
    </row>
    <row r="5321" spans="1:12" s="37" customFormat="1" ht="11.25" x14ac:dyDescent="0.2">
      <c r="A5321" s="46" t="s">
        <v>7948</v>
      </c>
      <c r="B5321" s="46" t="s">
        <v>54205</v>
      </c>
      <c r="C5321" s="58" t="str">
        <f>"00408905"</f>
        <v>00408905</v>
      </c>
      <c r="D5321" s="58" t="str">
        <f>""</f>
        <v/>
      </c>
      <c r="E5321" s="46" t="s">
        <v>7950</v>
      </c>
      <c r="F5321" s="46" t="s">
        <v>18242</v>
      </c>
      <c r="G5321" s="46" t="s">
        <v>50604</v>
      </c>
      <c r="H5321" s="48" t="s">
        <v>56716</v>
      </c>
      <c r="I5321" s="48" t="s">
        <v>50564</v>
      </c>
      <c r="J5321" s="48"/>
      <c r="K5321" s="50"/>
      <c r="L5321" s="48"/>
    </row>
    <row r="5322" spans="1:12" s="37" customFormat="1" ht="11.25" x14ac:dyDescent="0.2">
      <c r="A5322" s="46" t="s">
        <v>10244</v>
      </c>
      <c r="B5322" s="46" t="s">
        <v>54206</v>
      </c>
      <c r="C5322" s="58" t="str">
        <f>"09149198"</f>
        <v>09149198</v>
      </c>
      <c r="D5322" s="58" t="str">
        <f>""</f>
        <v/>
      </c>
      <c r="E5322" s="46" t="s">
        <v>10246</v>
      </c>
      <c r="F5322" s="46" t="s">
        <v>18242</v>
      </c>
      <c r="G5322" s="46" t="s">
        <v>50584</v>
      </c>
      <c r="H5322" s="48" t="s">
        <v>56716</v>
      </c>
      <c r="I5322" s="48" t="s">
        <v>50564</v>
      </c>
      <c r="J5322" s="48"/>
      <c r="K5322" s="50"/>
      <c r="L5322" s="48"/>
    </row>
    <row r="5323" spans="1:12" s="37" customFormat="1" ht="11.25" x14ac:dyDescent="0.2">
      <c r="A5323" s="46" t="s">
        <v>2750</v>
      </c>
      <c r="B5323" s="46" t="s">
        <v>54207</v>
      </c>
      <c r="C5323" s="58" t="str">
        <f>"18803989"</f>
        <v>18803989</v>
      </c>
      <c r="D5323" s="58" t="str">
        <f>"03881350"</f>
        <v>03881350</v>
      </c>
      <c r="E5323" s="46" t="s">
        <v>2753</v>
      </c>
      <c r="F5323" s="46" t="s">
        <v>18242</v>
      </c>
      <c r="G5323" s="46" t="s">
        <v>50604</v>
      </c>
      <c r="H5323" s="48" t="s">
        <v>56716</v>
      </c>
      <c r="I5323" s="48" t="s">
        <v>50564</v>
      </c>
      <c r="J5323" s="48"/>
      <c r="K5323" s="50"/>
      <c r="L5323" s="48" t="s">
        <v>56716</v>
      </c>
    </row>
    <row r="5324" spans="1:12" s="37" customFormat="1" ht="11.25" x14ac:dyDescent="0.2">
      <c r="A5324" s="46" t="s">
        <v>14028</v>
      </c>
      <c r="B5324" s="46" t="s">
        <v>54208</v>
      </c>
      <c r="C5324" s="58" t="str">
        <f>"16878191"</f>
        <v>16878191</v>
      </c>
      <c r="D5324" s="58" t="str">
        <f>"16878205"</f>
        <v>16878205</v>
      </c>
      <c r="E5324" s="46" t="s">
        <v>1412</v>
      </c>
      <c r="F5324" s="46" t="s">
        <v>17759</v>
      </c>
      <c r="G5324" s="46" t="s">
        <v>50584</v>
      </c>
      <c r="H5324" s="48" t="s">
        <v>56716</v>
      </c>
      <c r="I5324" s="48" t="s">
        <v>50564</v>
      </c>
      <c r="J5324" s="48" t="s">
        <v>56716</v>
      </c>
      <c r="K5324" s="50"/>
      <c r="L5324" s="48"/>
    </row>
    <row r="5325" spans="1:12" s="37" customFormat="1" ht="11.25" x14ac:dyDescent="0.2">
      <c r="A5325" s="46" t="s">
        <v>11534</v>
      </c>
      <c r="B5325" s="46" t="s">
        <v>54209</v>
      </c>
      <c r="C5325" s="58" t="str">
        <f>"15287394"</f>
        <v>15287394</v>
      </c>
      <c r="D5325" s="58" t="str">
        <f>"10872620"</f>
        <v>10872620</v>
      </c>
      <c r="E5325" s="46" t="s">
        <v>669</v>
      </c>
      <c r="F5325" s="46" t="s">
        <v>17759</v>
      </c>
      <c r="G5325" s="46" t="s">
        <v>50584</v>
      </c>
      <c r="H5325" s="48" t="s">
        <v>56716</v>
      </c>
      <c r="I5325" s="48" t="s">
        <v>50564</v>
      </c>
      <c r="J5325" s="48" t="s">
        <v>56716</v>
      </c>
      <c r="K5325" s="50"/>
      <c r="L5325" s="48" t="s">
        <v>56716</v>
      </c>
    </row>
    <row r="5326" spans="1:12" s="37" customFormat="1" ht="11.25" x14ac:dyDescent="0.2">
      <c r="A5326" s="46" t="s">
        <v>7945</v>
      </c>
      <c r="B5326" s="46" t="s">
        <v>54210</v>
      </c>
      <c r="C5326" s="58" t="str">
        <f>"10937404"</f>
        <v>10937404</v>
      </c>
      <c r="D5326" s="58" t="str">
        <f>"15216950"</f>
        <v>15216950</v>
      </c>
      <c r="E5326" s="46" t="s">
        <v>669</v>
      </c>
      <c r="F5326" s="46" t="s">
        <v>17759</v>
      </c>
      <c r="G5326" s="46" t="s">
        <v>50584</v>
      </c>
      <c r="H5326" s="48" t="s">
        <v>56716</v>
      </c>
      <c r="I5326" s="48" t="s">
        <v>50564</v>
      </c>
      <c r="J5326" s="48"/>
      <c r="K5326" s="50"/>
      <c r="L5326" s="48" t="s">
        <v>56716</v>
      </c>
    </row>
    <row r="5327" spans="1:12" s="37" customFormat="1" ht="11.25" x14ac:dyDescent="0.2">
      <c r="A5327" s="46" t="s">
        <v>6684</v>
      </c>
      <c r="B5327" s="46" t="s">
        <v>54211</v>
      </c>
      <c r="C5327" s="58" t="str">
        <f>"0946672X"</f>
        <v>0946672X</v>
      </c>
      <c r="D5327" s="58" t="str">
        <f>"18783252"</f>
        <v>18783252</v>
      </c>
      <c r="E5327" s="46" t="s">
        <v>1479</v>
      </c>
      <c r="F5327" s="46" t="s">
        <v>18158</v>
      </c>
      <c r="G5327" s="46" t="s">
        <v>50584</v>
      </c>
      <c r="H5327" s="48" t="s">
        <v>56716</v>
      </c>
      <c r="I5327" s="48" t="s">
        <v>50564</v>
      </c>
      <c r="J5327" s="48" t="s">
        <v>56716</v>
      </c>
      <c r="K5327" s="50" t="s">
        <v>56716</v>
      </c>
      <c r="L5327" s="48" t="s">
        <v>56716</v>
      </c>
    </row>
    <row r="5328" spans="1:12" s="37" customFormat="1" ht="11.25" x14ac:dyDescent="0.2">
      <c r="A5328" s="46" t="s">
        <v>55955</v>
      </c>
      <c r="B5328" s="46" t="s">
        <v>55956</v>
      </c>
      <c r="C5328" s="58" t="str">
        <f>""</f>
        <v/>
      </c>
      <c r="D5328" s="58" t="str">
        <f>"20957548"</f>
        <v>20957548</v>
      </c>
      <c r="E5328" s="46" t="s">
        <v>55957</v>
      </c>
      <c r="F5328" s="46" t="s">
        <v>17958</v>
      </c>
      <c r="G5328" s="46" t="s">
        <v>50584</v>
      </c>
      <c r="H5328" s="48" t="s">
        <v>56716</v>
      </c>
      <c r="I5328" s="48" t="s">
        <v>50564</v>
      </c>
      <c r="J5328" s="48"/>
      <c r="K5328" s="50" t="s">
        <v>56716</v>
      </c>
      <c r="L5328" s="48"/>
    </row>
    <row r="5329" spans="1:12" s="37" customFormat="1" ht="11.25" x14ac:dyDescent="0.2">
      <c r="A5329" s="46" t="s">
        <v>8515</v>
      </c>
      <c r="B5329" s="46" t="s">
        <v>54212</v>
      </c>
      <c r="C5329" s="58" t="str">
        <f>"02552922"</f>
        <v>02552922</v>
      </c>
      <c r="D5329" s="58" t="str">
        <f>""</f>
        <v/>
      </c>
      <c r="E5329" s="46" t="s">
        <v>8515</v>
      </c>
      <c r="F5329" s="46" t="s">
        <v>17958</v>
      </c>
      <c r="G5329" s="46" t="s">
        <v>50584</v>
      </c>
      <c r="H5329" s="48" t="s">
        <v>56716</v>
      </c>
      <c r="I5329" s="48" t="s">
        <v>50564</v>
      </c>
      <c r="J5329" s="48"/>
      <c r="K5329" s="50"/>
      <c r="L5329" s="48" t="s">
        <v>56716</v>
      </c>
    </row>
    <row r="5330" spans="1:12" s="37" customFormat="1" ht="11.25" x14ac:dyDescent="0.2">
      <c r="A5330" s="46" t="s">
        <v>16686</v>
      </c>
      <c r="B5330" s="46" t="s">
        <v>55858</v>
      </c>
      <c r="C5330" s="58" t="str">
        <f>"18801447"</f>
        <v>18801447</v>
      </c>
      <c r="D5330" s="58" t="str">
        <f>"18813747"</f>
        <v>18813747</v>
      </c>
      <c r="E5330" s="46" t="s">
        <v>16689</v>
      </c>
      <c r="F5330" s="46" t="s">
        <v>18242</v>
      </c>
      <c r="G5330" s="46" t="s">
        <v>50584</v>
      </c>
      <c r="H5330" s="48" t="s">
        <v>56716</v>
      </c>
      <c r="I5330" s="48" t="s">
        <v>50564</v>
      </c>
      <c r="J5330" s="48"/>
      <c r="K5330" s="50"/>
      <c r="L5330" s="48"/>
    </row>
    <row r="5331" spans="1:12" s="37" customFormat="1" ht="11.25" x14ac:dyDescent="0.2">
      <c r="A5331" s="45" t="s">
        <v>38953</v>
      </c>
      <c r="B5331" s="45" t="s">
        <v>38955</v>
      </c>
      <c r="C5331" s="51" t="s">
        <v>38957</v>
      </c>
      <c r="D5331" s="51" t="s">
        <v>38956</v>
      </c>
      <c r="E5331" s="45" t="s">
        <v>19447</v>
      </c>
      <c r="F5331" s="45" t="s">
        <v>17759</v>
      </c>
      <c r="G5331" s="45" t="s">
        <v>50584</v>
      </c>
      <c r="H5331" s="56"/>
      <c r="I5331" s="56" t="s">
        <v>50564</v>
      </c>
      <c r="J5331" s="56"/>
      <c r="K5331" s="50"/>
      <c r="L5331" s="56" t="s">
        <v>56716</v>
      </c>
    </row>
    <row r="5332" spans="1:12" s="37" customFormat="1" ht="11.25" x14ac:dyDescent="0.2">
      <c r="A5332" s="46" t="s">
        <v>10270</v>
      </c>
      <c r="B5332" s="46" t="s">
        <v>54213</v>
      </c>
      <c r="C5332" s="58" t="str">
        <f>""</f>
        <v/>
      </c>
      <c r="D5332" s="58" t="str">
        <f>"14795876"</f>
        <v>14795876</v>
      </c>
      <c r="E5332" s="46" t="s">
        <v>2299</v>
      </c>
      <c r="F5332" s="46" t="s">
        <v>50646</v>
      </c>
      <c r="G5332" s="46" t="s">
        <v>50584</v>
      </c>
      <c r="H5332" s="48" t="s">
        <v>56716</v>
      </c>
      <c r="I5332" s="48" t="s">
        <v>50564</v>
      </c>
      <c r="J5332" s="48"/>
      <c r="K5332" s="50" t="s">
        <v>56716</v>
      </c>
      <c r="L5332" s="48" t="s">
        <v>56716</v>
      </c>
    </row>
    <row r="5333" spans="1:12" s="37" customFormat="1" ht="11.25" x14ac:dyDescent="0.2">
      <c r="A5333" s="46" t="s">
        <v>16027</v>
      </c>
      <c r="B5333" s="46" t="s">
        <v>54214</v>
      </c>
      <c r="C5333" s="58" t="str">
        <f>"21630755"</f>
        <v>21630755</v>
      </c>
      <c r="D5333" s="58" t="str">
        <f>"21630763"</f>
        <v>21630763</v>
      </c>
      <c r="E5333" s="46" t="s">
        <v>28</v>
      </c>
      <c r="F5333" s="46" t="s">
        <v>17759</v>
      </c>
      <c r="G5333" s="46" t="s">
        <v>50584</v>
      </c>
      <c r="H5333" s="48" t="s">
        <v>56716</v>
      </c>
      <c r="I5333" s="48" t="s">
        <v>50564</v>
      </c>
      <c r="J5333" s="48" t="s">
        <v>56716</v>
      </c>
      <c r="K5333" s="50" t="s">
        <v>56716</v>
      </c>
      <c r="L5333" s="48" t="s">
        <v>56716</v>
      </c>
    </row>
    <row r="5334" spans="1:12" s="37" customFormat="1" ht="11.25" x14ac:dyDescent="0.2">
      <c r="A5334" s="46" t="s">
        <v>8671</v>
      </c>
      <c r="B5334" s="46" t="s">
        <v>54215</v>
      </c>
      <c r="C5334" s="58" t="str">
        <f>"15299732"</f>
        <v>15299732</v>
      </c>
      <c r="D5334" s="58" t="str">
        <f>"15299740"</f>
        <v>15299740</v>
      </c>
      <c r="E5334" s="46" t="s">
        <v>689</v>
      </c>
      <c r="F5334" s="46" t="s">
        <v>17759</v>
      </c>
      <c r="G5334" s="46" t="s">
        <v>50584</v>
      </c>
      <c r="H5334" s="48" t="s">
        <v>56716</v>
      </c>
      <c r="I5334" s="48" t="s">
        <v>50564</v>
      </c>
      <c r="J5334" s="48" t="s">
        <v>56716</v>
      </c>
      <c r="K5334" s="50" t="s">
        <v>56716</v>
      </c>
      <c r="L5334" s="48" t="s">
        <v>56716</v>
      </c>
    </row>
    <row r="5335" spans="1:12" s="37" customFormat="1" ht="11.25" x14ac:dyDescent="0.2">
      <c r="A5335" s="45" t="s">
        <v>38973</v>
      </c>
      <c r="B5335" s="45" t="s">
        <v>38975</v>
      </c>
      <c r="C5335" s="51" t="s">
        <v>38977</v>
      </c>
      <c r="D5335" s="51"/>
      <c r="E5335" s="45" t="s">
        <v>38978</v>
      </c>
      <c r="F5335" s="45" t="s">
        <v>17759</v>
      </c>
      <c r="G5335" s="45" t="s">
        <v>50584</v>
      </c>
      <c r="H5335" s="56"/>
      <c r="I5335" s="56" t="s">
        <v>50564</v>
      </c>
      <c r="J5335" s="56"/>
      <c r="K5335" s="50"/>
      <c r="L5335" s="56" t="s">
        <v>56716</v>
      </c>
    </row>
    <row r="5336" spans="1:12" s="37" customFormat="1" ht="11.25" x14ac:dyDescent="0.2">
      <c r="A5336" s="45" t="s">
        <v>38981</v>
      </c>
      <c r="B5336" s="45" t="s">
        <v>38983</v>
      </c>
      <c r="C5336" s="51" t="s">
        <v>38985</v>
      </c>
      <c r="D5336" s="51" t="s">
        <v>38984</v>
      </c>
      <c r="E5336" s="45" t="s">
        <v>17805</v>
      </c>
      <c r="F5336" s="45" t="s">
        <v>17759</v>
      </c>
      <c r="G5336" s="45" t="s">
        <v>50584</v>
      </c>
      <c r="H5336" s="56"/>
      <c r="I5336" s="56" t="s">
        <v>50564</v>
      </c>
      <c r="J5336" s="56"/>
      <c r="K5336" s="50"/>
      <c r="L5336" s="56" t="s">
        <v>56716</v>
      </c>
    </row>
    <row r="5337" spans="1:12" s="37" customFormat="1" ht="11.25" x14ac:dyDescent="0.2">
      <c r="A5337" s="46" t="s">
        <v>7257</v>
      </c>
      <c r="B5337" s="46" t="s">
        <v>54216</v>
      </c>
      <c r="C5337" s="58" t="str">
        <f>"11951982"</f>
        <v>11951982</v>
      </c>
      <c r="D5337" s="58" t="str">
        <f>"17088305"</f>
        <v>17088305</v>
      </c>
      <c r="E5337" s="46" t="s">
        <v>548</v>
      </c>
      <c r="F5337" s="46" t="s">
        <v>17759</v>
      </c>
      <c r="G5337" s="46" t="s">
        <v>50584</v>
      </c>
      <c r="H5337" s="48" t="s">
        <v>56716</v>
      </c>
      <c r="I5337" s="48" t="s">
        <v>50564</v>
      </c>
      <c r="J5337" s="48"/>
      <c r="K5337" s="50" t="s">
        <v>56716</v>
      </c>
      <c r="L5337" s="48" t="s">
        <v>56716</v>
      </c>
    </row>
    <row r="5338" spans="1:12" s="37" customFormat="1" ht="11.25" x14ac:dyDescent="0.2">
      <c r="A5338" s="46" t="s">
        <v>14034</v>
      </c>
      <c r="B5338" s="46" t="s">
        <v>54217</v>
      </c>
      <c r="C5338" s="58" t="str">
        <f>"16879686"</f>
        <v>16879686</v>
      </c>
      <c r="D5338" s="58" t="str">
        <f>"16879694"</f>
        <v>16879694</v>
      </c>
      <c r="E5338" s="46" t="s">
        <v>1412</v>
      </c>
      <c r="F5338" s="46" t="s">
        <v>17759</v>
      </c>
      <c r="G5338" s="46" t="s">
        <v>50584</v>
      </c>
      <c r="H5338" s="48" t="s">
        <v>56716</v>
      </c>
      <c r="I5338" s="48" t="s">
        <v>50564</v>
      </c>
      <c r="J5338" s="48" t="s">
        <v>56716</v>
      </c>
      <c r="K5338" s="50"/>
      <c r="L5338" s="48"/>
    </row>
    <row r="5339" spans="1:12" s="37" customFormat="1" ht="11.25" x14ac:dyDescent="0.2">
      <c r="A5339" s="46" t="s">
        <v>2747</v>
      </c>
      <c r="B5339" s="46" t="s">
        <v>54218</v>
      </c>
      <c r="C5339" s="58" t="str">
        <f>"01426338"</f>
        <v>01426338</v>
      </c>
      <c r="D5339" s="58" t="str">
        <f>"14653664"</f>
        <v>14653664</v>
      </c>
      <c r="E5339" s="46" t="s">
        <v>55</v>
      </c>
      <c r="F5339" s="46" t="s">
        <v>50646</v>
      </c>
      <c r="G5339" s="46" t="s">
        <v>50584</v>
      </c>
      <c r="H5339" s="48" t="s">
        <v>56716</v>
      </c>
      <c r="I5339" s="48" t="s">
        <v>50564</v>
      </c>
      <c r="J5339" s="48"/>
      <c r="K5339" s="50"/>
      <c r="L5339" s="48" t="s">
        <v>56716</v>
      </c>
    </row>
    <row r="5340" spans="1:12" s="37" customFormat="1" ht="11.25" x14ac:dyDescent="0.2">
      <c r="A5340" s="46" t="s">
        <v>12113</v>
      </c>
      <c r="B5340" s="46" t="s">
        <v>54219</v>
      </c>
      <c r="C5340" s="58" t="str">
        <f>"19713495"</f>
        <v>19713495</v>
      </c>
      <c r="D5340" s="58" t="str">
        <f>"18767931"</f>
        <v>18767931</v>
      </c>
      <c r="E5340" s="46" t="s">
        <v>56215</v>
      </c>
      <c r="F5340" s="46" t="s">
        <v>18001</v>
      </c>
      <c r="G5340" s="46" t="s">
        <v>50584</v>
      </c>
      <c r="H5340" s="48" t="s">
        <v>56716</v>
      </c>
      <c r="I5340" s="48" t="s">
        <v>50564</v>
      </c>
      <c r="J5340" s="48" t="s">
        <v>56716</v>
      </c>
      <c r="K5340" s="50"/>
      <c r="L5340" s="48"/>
    </row>
    <row r="5341" spans="1:12" s="37" customFormat="1" ht="11.25" x14ac:dyDescent="0.2">
      <c r="A5341" s="45" t="s">
        <v>38998</v>
      </c>
      <c r="B5341" s="45" t="s">
        <v>39000</v>
      </c>
      <c r="C5341" s="51" t="s">
        <v>39002</v>
      </c>
      <c r="D5341" s="51" t="s">
        <v>39001</v>
      </c>
      <c r="E5341" s="45" t="s">
        <v>39003</v>
      </c>
      <c r="F5341" s="45" t="s">
        <v>17759</v>
      </c>
      <c r="G5341" s="45" t="s">
        <v>50584</v>
      </c>
      <c r="H5341" s="56"/>
      <c r="I5341" s="56" t="s">
        <v>50564</v>
      </c>
      <c r="J5341" s="56"/>
      <c r="K5341" s="50"/>
      <c r="L5341" s="56" t="s">
        <v>56716</v>
      </c>
    </row>
    <row r="5342" spans="1:12" s="37" customFormat="1" ht="11.25" x14ac:dyDescent="0.2">
      <c r="A5342" s="45" t="s">
        <v>39005</v>
      </c>
      <c r="B5342" s="45" t="s">
        <v>39007</v>
      </c>
      <c r="C5342" s="51" t="s">
        <v>39008</v>
      </c>
      <c r="D5342" s="51"/>
      <c r="E5342" s="45" t="s">
        <v>39009</v>
      </c>
      <c r="F5342" s="45" t="s">
        <v>18242</v>
      </c>
      <c r="G5342" s="45" t="s">
        <v>50605</v>
      </c>
      <c r="H5342" s="56"/>
      <c r="I5342" s="56" t="s">
        <v>50564</v>
      </c>
      <c r="J5342" s="56"/>
      <c r="K5342" s="50"/>
      <c r="L5342" s="56" t="s">
        <v>56716</v>
      </c>
    </row>
    <row r="5343" spans="1:12" s="37" customFormat="1" ht="11.25" x14ac:dyDescent="0.2">
      <c r="A5343" s="45" t="s">
        <v>39011</v>
      </c>
      <c r="B5343" s="45" t="s">
        <v>39013</v>
      </c>
      <c r="C5343" s="51" t="s">
        <v>39016</v>
      </c>
      <c r="D5343" s="51" t="s">
        <v>39015</v>
      </c>
      <c r="E5343" s="45" t="s">
        <v>17783</v>
      </c>
      <c r="F5343" s="45" t="s">
        <v>17759</v>
      </c>
      <c r="G5343" s="45" t="s">
        <v>50584</v>
      </c>
      <c r="H5343" s="56"/>
      <c r="I5343" s="56" t="s">
        <v>50564</v>
      </c>
      <c r="J5343" s="56"/>
      <c r="K5343" s="50"/>
      <c r="L5343" s="56" t="s">
        <v>56716</v>
      </c>
    </row>
    <row r="5344" spans="1:12" s="37" customFormat="1" ht="11.25" x14ac:dyDescent="0.2">
      <c r="A5344" s="46" t="s">
        <v>2629</v>
      </c>
      <c r="B5344" s="46" t="s">
        <v>54220</v>
      </c>
      <c r="C5344" s="58" t="str">
        <f>"00225347"</f>
        <v>00225347</v>
      </c>
      <c r="D5344" s="58" t="str">
        <f>"15273792"</f>
        <v>15273792</v>
      </c>
      <c r="E5344" s="46" t="s">
        <v>272</v>
      </c>
      <c r="F5344" s="46" t="s">
        <v>17759</v>
      </c>
      <c r="G5344" s="46" t="s">
        <v>50584</v>
      </c>
      <c r="H5344" s="48" t="s">
        <v>56716</v>
      </c>
      <c r="I5344" s="48" t="s">
        <v>50564</v>
      </c>
      <c r="J5344" s="48" t="s">
        <v>56716</v>
      </c>
      <c r="K5344" s="50" t="s">
        <v>56716</v>
      </c>
      <c r="L5344" s="48" t="s">
        <v>56716</v>
      </c>
    </row>
    <row r="5345" spans="1:12" s="37" customFormat="1" ht="11.25" x14ac:dyDescent="0.2">
      <c r="A5345" s="46" t="s">
        <v>8649</v>
      </c>
      <c r="B5345" s="46" t="s">
        <v>54221</v>
      </c>
      <c r="C5345" s="58" t="str">
        <f>"11297298"</f>
        <v>11297298</v>
      </c>
      <c r="D5345" s="58" t="str">
        <f>""</f>
        <v/>
      </c>
      <c r="E5345" s="46" t="s">
        <v>56167</v>
      </c>
      <c r="F5345" s="46" t="s">
        <v>17991</v>
      </c>
      <c r="G5345" s="46" t="s">
        <v>50584</v>
      </c>
      <c r="H5345" s="48" t="s">
        <v>56716</v>
      </c>
      <c r="I5345" s="48" t="s">
        <v>50564</v>
      </c>
      <c r="J5345" s="48"/>
      <c r="K5345" s="50"/>
      <c r="L5345" s="48" t="s">
        <v>56716</v>
      </c>
    </row>
    <row r="5346" spans="1:12" s="37" customFormat="1" ht="11.25" x14ac:dyDescent="0.2">
      <c r="A5346" s="46" t="s">
        <v>6785</v>
      </c>
      <c r="B5346" s="46" t="s">
        <v>54222</v>
      </c>
      <c r="C5346" s="58" t="str">
        <f>"10510443"</f>
        <v>10510443</v>
      </c>
      <c r="D5346" s="58" t="str">
        <f>"15357732"</f>
        <v>15357732</v>
      </c>
      <c r="E5346" s="46" t="s">
        <v>272</v>
      </c>
      <c r="F5346" s="46" t="s">
        <v>17759</v>
      </c>
      <c r="G5346" s="46" t="s">
        <v>50584</v>
      </c>
      <c r="H5346" s="48" t="s">
        <v>56716</v>
      </c>
      <c r="I5346" s="48" t="s">
        <v>50564</v>
      </c>
      <c r="J5346" s="48" t="s">
        <v>56716</v>
      </c>
      <c r="K5346" s="50" t="s">
        <v>56716</v>
      </c>
      <c r="L5346" s="48" t="s">
        <v>56716</v>
      </c>
    </row>
    <row r="5347" spans="1:12" s="37" customFormat="1" ht="11.25" x14ac:dyDescent="0.2">
      <c r="A5347" s="45" t="s">
        <v>39033</v>
      </c>
      <c r="B5347" s="45" t="s">
        <v>39035</v>
      </c>
      <c r="C5347" s="51" t="s">
        <v>39038</v>
      </c>
      <c r="D5347" s="51" t="s">
        <v>39037</v>
      </c>
      <c r="E5347" s="45" t="s">
        <v>39039</v>
      </c>
      <c r="F5347" s="45" t="s">
        <v>17759</v>
      </c>
      <c r="G5347" s="45" t="s">
        <v>50584</v>
      </c>
      <c r="H5347" s="56"/>
      <c r="I5347" s="56" t="s">
        <v>50564</v>
      </c>
      <c r="J5347" s="56"/>
      <c r="K5347" s="50"/>
      <c r="L5347" s="56" t="s">
        <v>56716</v>
      </c>
    </row>
    <row r="5348" spans="1:12" s="37" customFormat="1" ht="11.25" x14ac:dyDescent="0.2">
      <c r="A5348" s="46" t="s">
        <v>5641</v>
      </c>
      <c r="B5348" s="46" t="s">
        <v>54223</v>
      </c>
      <c r="C5348" s="58" t="str">
        <f>"10181172"</f>
        <v>10181172</v>
      </c>
      <c r="D5348" s="58" t="str">
        <f>"14230135"</f>
        <v>14230135</v>
      </c>
      <c r="E5348" s="46" t="s">
        <v>109</v>
      </c>
      <c r="F5348" s="46" t="s">
        <v>18123</v>
      </c>
      <c r="G5348" s="46" t="s">
        <v>50584</v>
      </c>
      <c r="H5348" s="48" t="s">
        <v>56716</v>
      </c>
      <c r="I5348" s="48" t="s">
        <v>50564</v>
      </c>
      <c r="J5348" s="48" t="s">
        <v>56716</v>
      </c>
      <c r="K5348" s="50" t="s">
        <v>56716</v>
      </c>
      <c r="L5348" s="48" t="s">
        <v>56716</v>
      </c>
    </row>
    <row r="5349" spans="1:12" s="37" customFormat="1" ht="11.25" x14ac:dyDescent="0.2">
      <c r="A5349" s="46" t="s">
        <v>2757</v>
      </c>
      <c r="B5349" s="46" t="s">
        <v>54224</v>
      </c>
      <c r="C5349" s="58" t="str">
        <f>"07415214"</f>
        <v>07415214</v>
      </c>
      <c r="D5349" s="58" t="str">
        <f>"10976809"</f>
        <v>10976809</v>
      </c>
      <c r="E5349" s="46" t="s">
        <v>194</v>
      </c>
      <c r="F5349" s="46" t="s">
        <v>17759</v>
      </c>
      <c r="G5349" s="46" t="s">
        <v>50584</v>
      </c>
      <c r="H5349" s="48" t="s">
        <v>56716</v>
      </c>
      <c r="I5349" s="48" t="s">
        <v>50564</v>
      </c>
      <c r="J5349" s="48" t="s">
        <v>56716</v>
      </c>
      <c r="K5349" s="50" t="s">
        <v>56716</v>
      </c>
      <c r="L5349" s="48" t="s">
        <v>56716</v>
      </c>
    </row>
    <row r="5350" spans="1:12" s="37" customFormat="1" ht="11.25" x14ac:dyDescent="0.2">
      <c r="A5350" s="46" t="s">
        <v>17007</v>
      </c>
      <c r="B5350" s="46" t="s">
        <v>54225</v>
      </c>
      <c r="C5350" s="58" t="str">
        <f>"2213333X"</f>
        <v>2213333X</v>
      </c>
      <c r="D5350" s="58" t="str">
        <f>"22133348"</f>
        <v>22133348</v>
      </c>
      <c r="E5350" s="46" t="s">
        <v>272</v>
      </c>
      <c r="F5350" s="46" t="s">
        <v>17759</v>
      </c>
      <c r="G5350" s="46" t="s">
        <v>50584</v>
      </c>
      <c r="H5350" s="48" t="s">
        <v>56716</v>
      </c>
      <c r="I5350" s="48" t="s">
        <v>50564</v>
      </c>
      <c r="J5350" s="48" t="s">
        <v>56716</v>
      </c>
      <c r="K5350" s="50" t="s">
        <v>56716</v>
      </c>
      <c r="L5350" s="48"/>
    </row>
    <row r="5351" spans="1:12" s="37" customFormat="1" ht="11.25" x14ac:dyDescent="0.2">
      <c r="A5351" s="46" t="s">
        <v>10196</v>
      </c>
      <c r="B5351" s="46" t="s">
        <v>54226</v>
      </c>
      <c r="C5351" s="58" t="str">
        <f>"09729062"</f>
        <v>09729062</v>
      </c>
      <c r="D5351" s="58" t="str">
        <f>""</f>
        <v/>
      </c>
      <c r="E5351" s="46" t="s">
        <v>10198</v>
      </c>
      <c r="F5351" s="46" t="s">
        <v>20446</v>
      </c>
      <c r="G5351" s="46" t="s">
        <v>50584</v>
      </c>
      <c r="H5351" s="48" t="s">
        <v>56716</v>
      </c>
      <c r="I5351" s="48" t="s">
        <v>50564</v>
      </c>
      <c r="J5351" s="48"/>
      <c r="K5351" s="50"/>
      <c r="L5351" s="48" t="s">
        <v>56716</v>
      </c>
    </row>
    <row r="5352" spans="1:12" s="37" customFormat="1" ht="11.25" x14ac:dyDescent="0.2">
      <c r="A5352" s="45" t="s">
        <v>39059</v>
      </c>
      <c r="B5352" s="45" t="s">
        <v>39061</v>
      </c>
      <c r="C5352" s="51" t="s">
        <v>39063</v>
      </c>
      <c r="D5352" s="51"/>
      <c r="E5352" s="45" t="s">
        <v>21960</v>
      </c>
      <c r="F5352" s="45" t="s">
        <v>17759</v>
      </c>
      <c r="G5352" s="45" t="s">
        <v>50584</v>
      </c>
      <c r="H5352" s="56"/>
      <c r="I5352" s="56" t="s">
        <v>50564</v>
      </c>
      <c r="J5352" s="56"/>
      <c r="K5352" s="50"/>
      <c r="L5352" s="56" t="s">
        <v>56716</v>
      </c>
    </row>
    <row r="5353" spans="1:12" s="37" customFormat="1" ht="11.25" x14ac:dyDescent="0.2">
      <c r="A5353" s="46" t="s">
        <v>10927</v>
      </c>
      <c r="B5353" s="46" t="s">
        <v>54227</v>
      </c>
      <c r="C5353" s="58" t="str">
        <f>"16789180"</f>
        <v>16789180</v>
      </c>
      <c r="D5353" s="58" t="str">
        <f>"16789199"</f>
        <v>16789199</v>
      </c>
      <c r="E5353" s="46" t="s">
        <v>2299</v>
      </c>
      <c r="F5353" s="46" t="s">
        <v>50646</v>
      </c>
      <c r="G5353" s="46" t="s">
        <v>50584</v>
      </c>
      <c r="H5353" s="48" t="s">
        <v>56716</v>
      </c>
      <c r="I5353" s="48" t="s">
        <v>50564</v>
      </c>
      <c r="J5353" s="48"/>
      <c r="K5353" s="50"/>
      <c r="L5353" s="48"/>
    </row>
    <row r="5354" spans="1:12" s="37" customFormat="1" ht="11.25" x14ac:dyDescent="0.2">
      <c r="A5354" s="45" t="s">
        <v>39065</v>
      </c>
      <c r="B5354" s="45" t="s">
        <v>39067</v>
      </c>
      <c r="C5354" s="51" t="s">
        <v>39069</v>
      </c>
      <c r="D5354" s="51" t="s">
        <v>39068</v>
      </c>
      <c r="E5354" s="45" t="s">
        <v>920</v>
      </c>
      <c r="F5354" s="45" t="s">
        <v>18001</v>
      </c>
      <c r="G5354" s="45" t="s">
        <v>50584</v>
      </c>
      <c r="H5354" s="56"/>
      <c r="I5354" s="56" t="s">
        <v>50564</v>
      </c>
      <c r="J5354" s="56"/>
      <c r="K5354" s="50"/>
      <c r="L5354" s="56" t="s">
        <v>56716</v>
      </c>
    </row>
    <row r="5355" spans="1:12" s="37" customFormat="1" ht="11.25" x14ac:dyDescent="0.2">
      <c r="A5355" s="46" t="s">
        <v>11152</v>
      </c>
      <c r="B5355" s="46" t="s">
        <v>54228</v>
      </c>
      <c r="C5355" s="58" t="str">
        <f>"17602734"</f>
        <v>17602734</v>
      </c>
      <c r="D5355" s="58" t="str">
        <f>"18750834"</f>
        <v>18750834</v>
      </c>
      <c r="E5355" s="46" t="s">
        <v>91</v>
      </c>
      <c r="F5355" s="46" t="s">
        <v>18001</v>
      </c>
      <c r="G5355" s="46" t="s">
        <v>50584</v>
      </c>
      <c r="H5355" s="48" t="s">
        <v>56716</v>
      </c>
      <c r="I5355" s="48" t="s">
        <v>50564</v>
      </c>
      <c r="J5355" s="48" t="s">
        <v>56716</v>
      </c>
      <c r="K5355" s="50" t="s">
        <v>56716</v>
      </c>
      <c r="L5355" s="48" t="s">
        <v>56716</v>
      </c>
    </row>
    <row r="5356" spans="1:12" s="37" customFormat="1" ht="11.25" x14ac:dyDescent="0.2">
      <c r="A5356" s="45" t="s">
        <v>39076</v>
      </c>
      <c r="B5356" s="45" t="s">
        <v>39078</v>
      </c>
      <c r="C5356" s="51" t="s">
        <v>39080</v>
      </c>
      <c r="D5356" s="51"/>
      <c r="E5356" s="45" t="s">
        <v>39081</v>
      </c>
      <c r="F5356" s="45" t="s">
        <v>17759</v>
      </c>
      <c r="G5356" s="45" t="s">
        <v>50584</v>
      </c>
      <c r="H5356" s="56"/>
      <c r="I5356" s="56" t="s">
        <v>50564</v>
      </c>
      <c r="J5356" s="56"/>
      <c r="K5356" s="50"/>
      <c r="L5356" s="56" t="s">
        <v>56716</v>
      </c>
    </row>
    <row r="5357" spans="1:12" s="37" customFormat="1" ht="11.25" x14ac:dyDescent="0.2">
      <c r="A5357" s="45" t="s">
        <v>39084</v>
      </c>
      <c r="B5357" s="45" t="s">
        <v>39086</v>
      </c>
      <c r="C5357" s="51" t="s">
        <v>39088</v>
      </c>
      <c r="D5357" s="51" t="s">
        <v>39087</v>
      </c>
      <c r="E5357" s="45" t="s">
        <v>18520</v>
      </c>
      <c r="F5357" s="45" t="s">
        <v>17759</v>
      </c>
      <c r="G5357" s="45" t="s">
        <v>50584</v>
      </c>
      <c r="H5357" s="56"/>
      <c r="I5357" s="56" t="s">
        <v>50564</v>
      </c>
      <c r="J5357" s="56"/>
      <c r="K5357" s="50"/>
      <c r="L5357" s="56" t="s">
        <v>56716</v>
      </c>
    </row>
    <row r="5358" spans="1:12" s="37" customFormat="1" ht="11.25" x14ac:dyDescent="0.2">
      <c r="A5358" s="45" t="s">
        <v>39090</v>
      </c>
      <c r="B5358" s="45" t="s">
        <v>39092</v>
      </c>
      <c r="C5358" s="51" t="s">
        <v>39095</v>
      </c>
      <c r="D5358" s="51" t="s">
        <v>39094</v>
      </c>
      <c r="E5358" s="45" t="s">
        <v>21146</v>
      </c>
      <c r="F5358" s="45" t="s">
        <v>17759</v>
      </c>
      <c r="G5358" s="45" t="s">
        <v>50584</v>
      </c>
      <c r="H5358" s="56"/>
      <c r="I5358" s="56" t="s">
        <v>50564</v>
      </c>
      <c r="J5358" s="56"/>
      <c r="K5358" s="50"/>
      <c r="L5358" s="56" t="s">
        <v>56716</v>
      </c>
    </row>
    <row r="5359" spans="1:12" s="37" customFormat="1" ht="11.25" x14ac:dyDescent="0.2">
      <c r="A5359" s="45" t="s">
        <v>39098</v>
      </c>
      <c r="B5359" s="45" t="s">
        <v>39100</v>
      </c>
      <c r="C5359" s="51" t="s">
        <v>39102</v>
      </c>
      <c r="D5359" s="51" t="s">
        <v>39101</v>
      </c>
      <c r="E5359" s="45" t="s">
        <v>39103</v>
      </c>
      <c r="F5359" s="45" t="s">
        <v>17759</v>
      </c>
      <c r="G5359" s="45" t="s">
        <v>50584</v>
      </c>
      <c r="H5359" s="56"/>
      <c r="I5359" s="56" t="s">
        <v>50564</v>
      </c>
      <c r="J5359" s="56"/>
      <c r="K5359" s="50"/>
      <c r="L5359" s="56" t="s">
        <v>56716</v>
      </c>
    </row>
    <row r="5360" spans="1:12" s="37" customFormat="1" ht="11.25" x14ac:dyDescent="0.2">
      <c r="A5360" s="45" t="s">
        <v>39106</v>
      </c>
      <c r="B5360" s="45" t="s">
        <v>39108</v>
      </c>
      <c r="C5360" s="51" t="s">
        <v>39109</v>
      </c>
      <c r="D5360" s="51"/>
      <c r="E5360" s="45" t="s">
        <v>39110</v>
      </c>
      <c r="F5360" s="45" t="s">
        <v>18959</v>
      </c>
      <c r="G5360" s="45" t="s">
        <v>50584</v>
      </c>
      <c r="H5360" s="56"/>
      <c r="I5360" s="56" t="s">
        <v>50564</v>
      </c>
      <c r="J5360" s="56"/>
      <c r="K5360" s="50"/>
      <c r="L5360" s="56" t="s">
        <v>56716</v>
      </c>
    </row>
    <row r="5361" spans="1:12" s="37" customFormat="1" ht="11.25" x14ac:dyDescent="0.2">
      <c r="A5361" s="46" t="s">
        <v>4849</v>
      </c>
      <c r="B5361" s="46" t="s">
        <v>54229</v>
      </c>
      <c r="C5361" s="58" t="str">
        <f>"01407783"</f>
        <v>01407783</v>
      </c>
      <c r="D5361" s="58" t="str">
        <f>"13652885"</f>
        <v>13652885</v>
      </c>
      <c r="E5361" s="46" t="s">
        <v>35</v>
      </c>
      <c r="F5361" s="46" t="s">
        <v>50646</v>
      </c>
      <c r="G5361" s="46" t="s">
        <v>50584</v>
      </c>
      <c r="H5361" s="48" t="s">
        <v>56716</v>
      </c>
      <c r="I5361" s="48" t="s">
        <v>50564</v>
      </c>
      <c r="J5361" s="48" t="s">
        <v>56716</v>
      </c>
      <c r="K5361" s="50" t="s">
        <v>56716</v>
      </c>
      <c r="L5361" s="48" t="s">
        <v>56716</v>
      </c>
    </row>
    <row r="5362" spans="1:12" s="37" customFormat="1" ht="11.25" x14ac:dyDescent="0.2">
      <c r="A5362" s="45" t="s">
        <v>39126</v>
      </c>
      <c r="B5362" s="45" t="s">
        <v>39128</v>
      </c>
      <c r="C5362" s="51" t="s">
        <v>39130</v>
      </c>
      <c r="D5362" s="51" t="s">
        <v>39129</v>
      </c>
      <c r="E5362" s="45" t="s">
        <v>39131</v>
      </c>
      <c r="F5362" s="45" t="s">
        <v>50649</v>
      </c>
      <c r="G5362" s="45" t="s">
        <v>50584</v>
      </c>
      <c r="H5362" s="56"/>
      <c r="I5362" s="56" t="s">
        <v>50564</v>
      </c>
      <c r="J5362" s="56"/>
      <c r="K5362" s="50"/>
      <c r="L5362" s="56" t="s">
        <v>56716</v>
      </c>
    </row>
    <row r="5363" spans="1:12" s="37" customFormat="1" ht="11.25" x14ac:dyDescent="0.2">
      <c r="A5363" s="46" t="s">
        <v>13523</v>
      </c>
      <c r="B5363" s="46" t="s">
        <v>54230</v>
      </c>
      <c r="C5363" s="58" t="str">
        <f>"17480329"</f>
        <v>17480329</v>
      </c>
      <c r="D5363" s="58" t="str">
        <f>"20403925"</f>
        <v>20403925</v>
      </c>
      <c r="E5363" s="46" t="s">
        <v>13516</v>
      </c>
      <c r="F5363" s="46" t="s">
        <v>50646</v>
      </c>
      <c r="G5363" s="46" t="s">
        <v>50584</v>
      </c>
      <c r="H5363" s="48" t="s">
        <v>56716</v>
      </c>
      <c r="I5363" s="48" t="s">
        <v>50564</v>
      </c>
      <c r="J5363" s="48"/>
      <c r="K5363" s="50"/>
      <c r="L5363" s="48"/>
    </row>
    <row r="5364" spans="1:12" s="37" customFormat="1" ht="11.25" x14ac:dyDescent="0.2">
      <c r="A5364" s="46" t="s">
        <v>7383</v>
      </c>
      <c r="B5364" s="46" t="s">
        <v>54231</v>
      </c>
      <c r="C5364" s="58" t="str">
        <f>"13520504"</f>
        <v>13520504</v>
      </c>
      <c r="D5364" s="58" t="str">
        <f>"13652893"</f>
        <v>13652893</v>
      </c>
      <c r="E5364" s="46" t="s">
        <v>35</v>
      </c>
      <c r="F5364" s="46" t="s">
        <v>50646</v>
      </c>
      <c r="G5364" s="46" t="s">
        <v>50584</v>
      </c>
      <c r="H5364" s="48" t="s">
        <v>56716</v>
      </c>
      <c r="I5364" s="48" t="s">
        <v>50564</v>
      </c>
      <c r="J5364" s="48" t="s">
        <v>56716</v>
      </c>
      <c r="K5364" s="50" t="s">
        <v>56716</v>
      </c>
      <c r="L5364" s="48" t="s">
        <v>56716</v>
      </c>
    </row>
    <row r="5365" spans="1:12" s="37" customFormat="1" ht="11.25" x14ac:dyDescent="0.2">
      <c r="A5365" s="46" t="s">
        <v>2754</v>
      </c>
      <c r="B5365" s="46" t="s">
        <v>54232</v>
      </c>
      <c r="C5365" s="58" t="str">
        <f>"01660934"</f>
        <v>01660934</v>
      </c>
      <c r="D5365" s="58" t="str">
        <f>"18790984"</f>
        <v>18790984</v>
      </c>
      <c r="E5365" s="46" t="s">
        <v>91</v>
      </c>
      <c r="F5365" s="46" t="s">
        <v>18001</v>
      </c>
      <c r="G5365" s="46" t="s">
        <v>50584</v>
      </c>
      <c r="H5365" s="48" t="s">
        <v>56716</v>
      </c>
      <c r="I5365" s="48" t="s">
        <v>50564</v>
      </c>
      <c r="J5365" s="48" t="s">
        <v>56716</v>
      </c>
      <c r="K5365" s="50"/>
      <c r="L5365" s="48" t="s">
        <v>56716</v>
      </c>
    </row>
    <row r="5366" spans="1:12" s="37" customFormat="1" ht="11.25" x14ac:dyDescent="0.2">
      <c r="A5366" s="46" t="s">
        <v>2632</v>
      </c>
      <c r="B5366" s="46" t="s">
        <v>54233</v>
      </c>
      <c r="C5366" s="58" t="str">
        <f>"0022538X"</f>
        <v>0022538X</v>
      </c>
      <c r="D5366" s="58" t="str">
        <f>"10985514"</f>
        <v>10985514</v>
      </c>
      <c r="E5366" s="46" t="s">
        <v>441</v>
      </c>
      <c r="F5366" s="46" t="s">
        <v>17759</v>
      </c>
      <c r="G5366" s="46" t="s">
        <v>50584</v>
      </c>
      <c r="H5366" s="48" t="s">
        <v>56716</v>
      </c>
      <c r="I5366" s="48" t="s">
        <v>50564</v>
      </c>
      <c r="J5366" s="48" t="s">
        <v>56716</v>
      </c>
      <c r="K5366" s="50"/>
      <c r="L5366" s="48" t="s">
        <v>56716</v>
      </c>
    </row>
    <row r="5367" spans="1:12" s="37" customFormat="1" ht="11.25" x14ac:dyDescent="0.2">
      <c r="A5367" s="45" t="s">
        <v>39147</v>
      </c>
      <c r="B5367" s="45" t="s">
        <v>39149</v>
      </c>
      <c r="C5367" s="51"/>
      <c r="D5367" s="51" t="s">
        <v>39150</v>
      </c>
      <c r="E5367" s="45" t="s">
        <v>39151</v>
      </c>
      <c r="F5367" s="45" t="s">
        <v>20359</v>
      </c>
      <c r="G5367" s="45" t="s">
        <v>50584</v>
      </c>
      <c r="H5367" s="56"/>
      <c r="I5367" s="56" t="s">
        <v>50564</v>
      </c>
      <c r="J5367" s="56"/>
      <c r="K5367" s="50"/>
      <c r="L5367" s="56" t="s">
        <v>56716</v>
      </c>
    </row>
    <row r="5368" spans="1:12" s="37" customFormat="1" ht="11.25" x14ac:dyDescent="0.2">
      <c r="A5368" s="45" t="s">
        <v>39153</v>
      </c>
      <c r="B5368" s="45" t="s">
        <v>39155</v>
      </c>
      <c r="C5368" s="51"/>
      <c r="D5368" s="51" t="s">
        <v>39156</v>
      </c>
      <c r="E5368" s="45" t="s">
        <v>39157</v>
      </c>
      <c r="F5368" s="45" t="s">
        <v>17759</v>
      </c>
      <c r="G5368" s="45" t="s">
        <v>50584</v>
      </c>
      <c r="H5368" s="56"/>
      <c r="I5368" s="56" t="s">
        <v>50564</v>
      </c>
      <c r="J5368" s="56"/>
      <c r="K5368" s="50"/>
      <c r="L5368" s="56" t="s">
        <v>56716</v>
      </c>
    </row>
    <row r="5369" spans="1:12" s="37" customFormat="1" ht="11.25" x14ac:dyDescent="0.2">
      <c r="A5369" s="45" t="s">
        <v>39159</v>
      </c>
      <c r="B5369" s="45" t="s">
        <v>39161</v>
      </c>
      <c r="C5369" s="51" t="s">
        <v>39164</v>
      </c>
      <c r="D5369" s="51" t="s">
        <v>39163</v>
      </c>
      <c r="E5369" s="45" t="s">
        <v>291</v>
      </c>
      <c r="F5369" s="45" t="s">
        <v>50646</v>
      </c>
      <c r="G5369" s="45" t="s">
        <v>50584</v>
      </c>
      <c r="H5369" s="56"/>
      <c r="I5369" s="56" t="s">
        <v>50564</v>
      </c>
      <c r="J5369" s="56"/>
      <c r="K5369" s="50"/>
      <c r="L5369" s="56" t="s">
        <v>56716</v>
      </c>
    </row>
    <row r="5370" spans="1:12" s="37" customFormat="1" ht="11.25" x14ac:dyDescent="0.2">
      <c r="A5370" s="45" t="s">
        <v>39167</v>
      </c>
      <c r="B5370" s="45" t="s">
        <v>39169</v>
      </c>
      <c r="C5370" s="51"/>
      <c r="D5370" s="51" t="s">
        <v>39170</v>
      </c>
      <c r="E5370" s="45" t="s">
        <v>39171</v>
      </c>
      <c r="F5370" s="45" t="s">
        <v>17759</v>
      </c>
      <c r="G5370" s="45" t="s">
        <v>50584</v>
      </c>
      <c r="H5370" s="56"/>
      <c r="I5370" s="56" t="s">
        <v>50564</v>
      </c>
      <c r="J5370" s="56"/>
      <c r="K5370" s="50"/>
      <c r="L5370" s="56" t="s">
        <v>56716</v>
      </c>
    </row>
    <row r="5371" spans="1:12" s="37" customFormat="1" ht="11.25" x14ac:dyDescent="0.2">
      <c r="A5371" s="46" t="s">
        <v>6564</v>
      </c>
      <c r="B5371" s="46" t="s">
        <v>54234</v>
      </c>
      <c r="C5371" s="58" t="str">
        <f>"10522263"</f>
        <v>10522263</v>
      </c>
      <c r="D5371" s="58" t="str">
        <f>"18786316"</f>
        <v>18786316</v>
      </c>
      <c r="E5371" s="46" t="s">
        <v>920</v>
      </c>
      <c r="F5371" s="46" t="s">
        <v>18001</v>
      </c>
      <c r="G5371" s="46" t="s">
        <v>50584</v>
      </c>
      <c r="H5371" s="48" t="s">
        <v>56716</v>
      </c>
      <c r="I5371" s="48" t="s">
        <v>50564</v>
      </c>
      <c r="J5371" s="48"/>
      <c r="K5371" s="50"/>
      <c r="L5371" s="48"/>
    </row>
    <row r="5372" spans="1:12" s="37" customFormat="1" ht="11.25" x14ac:dyDescent="0.2">
      <c r="A5372" s="46" t="s">
        <v>4506</v>
      </c>
      <c r="B5372" s="46" t="s">
        <v>54235</v>
      </c>
      <c r="C5372" s="58" t="str">
        <f>"08921997"</f>
        <v>08921997</v>
      </c>
      <c r="D5372" s="58" t="str">
        <f>"18734588"</f>
        <v>18734588</v>
      </c>
      <c r="E5372" s="46" t="s">
        <v>194</v>
      </c>
      <c r="F5372" s="46" t="s">
        <v>17759</v>
      </c>
      <c r="G5372" s="46" t="s">
        <v>50584</v>
      </c>
      <c r="H5372" s="48" t="s">
        <v>56716</v>
      </c>
      <c r="I5372" s="48" t="s">
        <v>50564</v>
      </c>
      <c r="J5372" s="48"/>
      <c r="K5372" s="50" t="s">
        <v>56716</v>
      </c>
      <c r="L5372" s="48" t="s">
        <v>56716</v>
      </c>
    </row>
    <row r="5373" spans="1:12" s="37" customFormat="1" ht="11.25" x14ac:dyDescent="0.2">
      <c r="A5373" s="46" t="s">
        <v>9924</v>
      </c>
      <c r="B5373" s="46" t="s">
        <v>54236</v>
      </c>
      <c r="C5373" s="58" t="str">
        <f>"14778920"</f>
        <v>14778920</v>
      </c>
      <c r="D5373" s="58" t="str">
        <f>""</f>
        <v/>
      </c>
      <c r="E5373" s="46" t="s">
        <v>4109</v>
      </c>
      <c r="F5373" s="46" t="s">
        <v>50646</v>
      </c>
      <c r="G5373" s="46" t="s">
        <v>50584</v>
      </c>
      <c r="H5373" s="48" t="s">
        <v>56716</v>
      </c>
      <c r="I5373" s="48" t="s">
        <v>50564</v>
      </c>
      <c r="J5373" s="48"/>
      <c r="K5373" s="50"/>
      <c r="L5373" s="48" t="s">
        <v>56716</v>
      </c>
    </row>
    <row r="5374" spans="1:12" s="37" customFormat="1" ht="11.25" x14ac:dyDescent="0.2">
      <c r="A5374" s="45" t="s">
        <v>39182</v>
      </c>
      <c r="B5374" s="45" t="s">
        <v>39184</v>
      </c>
      <c r="C5374" s="51" t="s">
        <v>39187</v>
      </c>
      <c r="D5374" s="51" t="s">
        <v>39186</v>
      </c>
      <c r="E5374" s="45" t="s">
        <v>39188</v>
      </c>
      <c r="F5374" s="45" t="s">
        <v>17759</v>
      </c>
      <c r="G5374" s="45" t="s">
        <v>50584</v>
      </c>
      <c r="H5374" s="56"/>
      <c r="I5374" s="56" t="s">
        <v>50564</v>
      </c>
      <c r="J5374" s="56"/>
      <c r="K5374" s="50"/>
      <c r="L5374" s="56" t="s">
        <v>56716</v>
      </c>
    </row>
    <row r="5375" spans="1:12" s="37" customFormat="1" ht="11.25" x14ac:dyDescent="0.2">
      <c r="A5375" s="45" t="s">
        <v>39190</v>
      </c>
      <c r="B5375" s="45" t="s">
        <v>39192</v>
      </c>
      <c r="C5375" s="51" t="s">
        <v>39194</v>
      </c>
      <c r="D5375" s="51" t="s">
        <v>39193</v>
      </c>
      <c r="E5375" s="45" t="s">
        <v>291</v>
      </c>
      <c r="F5375" s="45" t="s">
        <v>50646</v>
      </c>
      <c r="G5375" s="45" t="s">
        <v>50584</v>
      </c>
      <c r="H5375" s="56"/>
      <c r="I5375" s="56" t="s">
        <v>50564</v>
      </c>
      <c r="J5375" s="56"/>
      <c r="K5375" s="50"/>
      <c r="L5375" s="56" t="s">
        <v>56716</v>
      </c>
    </row>
    <row r="5376" spans="1:12" s="37" customFormat="1" ht="11.25" x14ac:dyDescent="0.2">
      <c r="A5376" s="46" t="s">
        <v>9563</v>
      </c>
      <c r="B5376" s="46" t="s">
        <v>54237</v>
      </c>
      <c r="C5376" s="58" t="str">
        <f>"15409996"</f>
        <v>15409996</v>
      </c>
      <c r="D5376" s="58" t="str">
        <f>"1931843X"</f>
        <v>1931843X</v>
      </c>
      <c r="E5376" s="46" t="s">
        <v>4337</v>
      </c>
      <c r="F5376" s="46" t="s">
        <v>17759</v>
      </c>
      <c r="G5376" s="46" t="s">
        <v>50584</v>
      </c>
      <c r="H5376" s="48" t="s">
        <v>56716</v>
      </c>
      <c r="I5376" s="48" t="s">
        <v>50564</v>
      </c>
      <c r="J5376" s="48" t="s">
        <v>56716</v>
      </c>
      <c r="K5376" s="50"/>
      <c r="L5376" s="48" t="s">
        <v>56716</v>
      </c>
    </row>
    <row r="5377" spans="1:12" s="37" customFormat="1" ht="11.25" x14ac:dyDescent="0.2">
      <c r="A5377" s="45" t="s">
        <v>39203</v>
      </c>
      <c r="B5377" s="45" t="s">
        <v>39205</v>
      </c>
      <c r="C5377" s="51" t="s">
        <v>39206</v>
      </c>
      <c r="D5377" s="51"/>
      <c r="E5377" s="45" t="s">
        <v>23568</v>
      </c>
      <c r="F5377" s="45" t="s">
        <v>50646</v>
      </c>
      <c r="G5377" s="45" t="s">
        <v>50584</v>
      </c>
      <c r="H5377" s="56"/>
      <c r="I5377" s="56" t="s">
        <v>50564</v>
      </c>
      <c r="J5377" s="56"/>
      <c r="K5377" s="50"/>
      <c r="L5377" s="56" t="s">
        <v>56716</v>
      </c>
    </row>
    <row r="5378" spans="1:12" s="37" customFormat="1" ht="11.25" x14ac:dyDescent="0.2">
      <c r="A5378" s="45" t="s">
        <v>39208</v>
      </c>
      <c r="B5378" s="45" t="s">
        <v>39210</v>
      </c>
      <c r="C5378" s="51" t="s">
        <v>39213</v>
      </c>
      <c r="D5378" s="51" t="s">
        <v>39212</v>
      </c>
      <c r="E5378" s="45" t="s">
        <v>26729</v>
      </c>
      <c r="F5378" s="45" t="s">
        <v>17759</v>
      </c>
      <c r="G5378" s="45" t="s">
        <v>50584</v>
      </c>
      <c r="H5378" s="56"/>
      <c r="I5378" s="56" t="s">
        <v>50564</v>
      </c>
      <c r="J5378" s="56"/>
      <c r="K5378" s="50"/>
      <c r="L5378" s="56" t="s">
        <v>56716</v>
      </c>
    </row>
    <row r="5379" spans="1:12" s="37" customFormat="1" ht="11.25" x14ac:dyDescent="0.2">
      <c r="A5379" s="46" t="s">
        <v>17363</v>
      </c>
      <c r="B5379" s="46" t="s">
        <v>54238</v>
      </c>
      <c r="C5379" s="58" t="str">
        <f>"21633916"</f>
        <v>21633916</v>
      </c>
      <c r="D5379" s="58" t="str">
        <f>"21633924"</f>
        <v>21633924</v>
      </c>
      <c r="E5379" s="46" t="s">
        <v>371</v>
      </c>
      <c r="F5379" s="46" t="s">
        <v>17759</v>
      </c>
      <c r="G5379" s="46" t="s">
        <v>50584</v>
      </c>
      <c r="H5379" s="48" t="s">
        <v>56716</v>
      </c>
      <c r="I5379" s="48" t="s">
        <v>50564</v>
      </c>
      <c r="J5379" s="48" t="s">
        <v>56716</v>
      </c>
      <c r="K5379" s="50"/>
      <c r="L5379" s="48"/>
    </row>
    <row r="5380" spans="1:12" s="37" customFormat="1" ht="11.25" x14ac:dyDescent="0.2">
      <c r="A5380" s="46" t="s">
        <v>16900</v>
      </c>
      <c r="B5380" s="46" t="s">
        <v>54239</v>
      </c>
      <c r="C5380" s="58" t="str">
        <f>""</f>
        <v/>
      </c>
      <c r="D5380" s="58" t="str">
        <f>"20394705"</f>
        <v>20394705</v>
      </c>
      <c r="E5380" s="46" t="s">
        <v>1949</v>
      </c>
      <c r="F5380" s="46" t="s">
        <v>17991</v>
      </c>
      <c r="G5380" s="46" t="s">
        <v>50584</v>
      </c>
      <c r="H5380" s="48" t="s">
        <v>56716</v>
      </c>
      <c r="I5380" s="48" t="s">
        <v>50564</v>
      </c>
      <c r="J5380" s="48"/>
      <c r="K5380" s="50"/>
      <c r="L5380" s="48"/>
    </row>
    <row r="5381" spans="1:12" s="37" customFormat="1" ht="11.25" x14ac:dyDescent="0.2">
      <c r="A5381" s="46" t="s">
        <v>9582</v>
      </c>
      <c r="B5381" s="46" t="s">
        <v>54240</v>
      </c>
      <c r="C5381" s="58" t="str">
        <f>"16718259"</f>
        <v>16718259</v>
      </c>
      <c r="D5381" s="58" t="str">
        <f>""</f>
        <v/>
      </c>
      <c r="E5381" s="46" t="s">
        <v>9584</v>
      </c>
      <c r="F5381" s="46" t="s">
        <v>17958</v>
      </c>
      <c r="G5381" s="46" t="s">
        <v>50580</v>
      </c>
      <c r="H5381" s="48" t="s">
        <v>56716</v>
      </c>
      <c r="I5381" s="48" t="s">
        <v>50564</v>
      </c>
      <c r="J5381" s="48"/>
      <c r="K5381" s="50"/>
      <c r="L5381" s="48"/>
    </row>
    <row r="5382" spans="1:12" s="37" customFormat="1" ht="11.25" x14ac:dyDescent="0.2">
      <c r="A5382" s="45" t="s">
        <v>39215</v>
      </c>
      <c r="B5382" s="45" t="s">
        <v>39217</v>
      </c>
      <c r="C5382" s="51" t="s">
        <v>39219</v>
      </c>
      <c r="D5382" s="51" t="s">
        <v>39218</v>
      </c>
      <c r="E5382" s="45" t="s">
        <v>920</v>
      </c>
      <c r="F5382" s="45" t="s">
        <v>18001</v>
      </c>
      <c r="G5382" s="45" t="s">
        <v>50584</v>
      </c>
      <c r="H5382" s="56"/>
      <c r="I5382" s="56" t="s">
        <v>50564</v>
      </c>
      <c r="J5382" s="56"/>
      <c r="K5382" s="50"/>
      <c r="L5382" s="56" t="s">
        <v>56716</v>
      </c>
    </row>
    <row r="5383" spans="1:12" s="37" customFormat="1" ht="11.25" x14ac:dyDescent="0.2">
      <c r="A5383" s="46" t="s">
        <v>14408</v>
      </c>
      <c r="B5383" s="46" t="s">
        <v>54241</v>
      </c>
      <c r="C5383" s="58" t="str">
        <f>"09751483"</f>
        <v>09751483</v>
      </c>
      <c r="D5383" s="58" t="str">
        <f>"09751505"</f>
        <v>09751505</v>
      </c>
      <c r="E5383" s="46" t="s">
        <v>19057</v>
      </c>
      <c r="F5383" s="46" t="s">
        <v>20446</v>
      </c>
      <c r="G5383" s="46" t="s">
        <v>50584</v>
      </c>
      <c r="H5383" s="48" t="s">
        <v>56716</v>
      </c>
      <c r="I5383" s="48" t="s">
        <v>50564</v>
      </c>
      <c r="J5383" s="48" t="s">
        <v>56716</v>
      </c>
      <c r="K5383" s="50"/>
      <c r="L5383" s="48"/>
    </row>
    <row r="5384" spans="1:12" s="37" customFormat="1" ht="11.25" x14ac:dyDescent="0.2">
      <c r="A5384" s="45" t="s">
        <v>39221</v>
      </c>
      <c r="B5384" s="45" t="s">
        <v>39223</v>
      </c>
      <c r="C5384" s="51" t="s">
        <v>39225</v>
      </c>
      <c r="D5384" s="51" t="s">
        <v>39224</v>
      </c>
      <c r="E5384" s="45" t="s">
        <v>18832</v>
      </c>
      <c r="F5384" s="45" t="s">
        <v>17759</v>
      </c>
      <c r="G5384" s="45" t="s">
        <v>50584</v>
      </c>
      <c r="H5384" s="56"/>
      <c r="I5384" s="56" t="s">
        <v>50564</v>
      </c>
      <c r="J5384" s="56"/>
      <c r="K5384" s="50"/>
      <c r="L5384" s="56" t="s">
        <v>56716</v>
      </c>
    </row>
    <row r="5385" spans="1:12" s="37" customFormat="1" ht="11.25" x14ac:dyDescent="0.2">
      <c r="A5385" s="46" t="s">
        <v>14302</v>
      </c>
      <c r="B5385" s="46" t="s">
        <v>54242</v>
      </c>
      <c r="C5385" s="58" t="str">
        <f>"16069366"</f>
        <v>16069366</v>
      </c>
      <c r="D5385" s="58" t="str">
        <f>""</f>
        <v/>
      </c>
      <c r="E5385" s="46" t="s">
        <v>14304</v>
      </c>
      <c r="F5385" s="46" t="s">
        <v>18232</v>
      </c>
      <c r="G5385" s="46" t="s">
        <v>50609</v>
      </c>
      <c r="H5385" s="48" t="s">
        <v>56716</v>
      </c>
      <c r="I5385" s="48" t="s">
        <v>50564</v>
      </c>
      <c r="J5385" s="48"/>
      <c r="K5385" s="50"/>
      <c r="L5385" s="48"/>
    </row>
    <row r="5386" spans="1:12" s="37" customFormat="1" ht="11.25" x14ac:dyDescent="0.2">
      <c r="A5386" s="46" t="s">
        <v>12350</v>
      </c>
      <c r="B5386" s="46" t="s">
        <v>54243</v>
      </c>
      <c r="C5386" s="58" t="str">
        <f>"16731581"</f>
        <v>16731581</v>
      </c>
      <c r="D5386" s="58" t="str">
        <f>"18621783"</f>
        <v>18621783</v>
      </c>
      <c r="E5386" s="46" t="s">
        <v>12353</v>
      </c>
      <c r="F5386" s="46" t="s">
        <v>17958</v>
      </c>
      <c r="G5386" s="46" t="s">
        <v>50584</v>
      </c>
      <c r="H5386" s="48" t="s">
        <v>56716</v>
      </c>
      <c r="I5386" s="48" t="s">
        <v>50564</v>
      </c>
      <c r="J5386" s="48" t="s">
        <v>56716</v>
      </c>
      <c r="K5386" s="50" t="s">
        <v>56716</v>
      </c>
      <c r="L5386" s="48" t="s">
        <v>56716</v>
      </c>
    </row>
    <row r="5387" spans="1:12" s="37" customFormat="1" ht="11.25" x14ac:dyDescent="0.2">
      <c r="A5387" s="45" t="s">
        <v>39233</v>
      </c>
      <c r="B5387" s="45" t="s">
        <v>39235</v>
      </c>
      <c r="C5387" s="51" t="s">
        <v>39237</v>
      </c>
      <c r="D5387" s="51"/>
      <c r="E5387" s="45" t="s">
        <v>39238</v>
      </c>
      <c r="F5387" s="45" t="s">
        <v>17759</v>
      </c>
      <c r="G5387" s="45" t="s">
        <v>50584</v>
      </c>
      <c r="H5387" s="56"/>
      <c r="I5387" s="56" t="s">
        <v>50564</v>
      </c>
      <c r="J5387" s="56"/>
      <c r="K5387" s="50"/>
      <c r="L5387" s="56" t="s">
        <v>56716</v>
      </c>
    </row>
    <row r="5388" spans="1:12" s="37" customFormat="1" ht="11.25" x14ac:dyDescent="0.2">
      <c r="A5388" s="46" t="s">
        <v>14875</v>
      </c>
      <c r="B5388" s="46" t="s">
        <v>54244</v>
      </c>
      <c r="C5388" s="58" t="str">
        <f>"19838905"</f>
        <v>19838905</v>
      </c>
      <c r="D5388" s="58" t="str">
        <f>""</f>
        <v/>
      </c>
      <c r="E5388" s="46" t="s">
        <v>14877</v>
      </c>
      <c r="F5388" s="46" t="s">
        <v>18058</v>
      </c>
      <c r="G5388" s="46" t="s">
        <v>50584</v>
      </c>
      <c r="H5388" s="48" t="s">
        <v>56716</v>
      </c>
      <c r="I5388" s="48" t="s">
        <v>50564</v>
      </c>
      <c r="J5388" s="48"/>
      <c r="K5388" s="50"/>
      <c r="L5388" s="48"/>
    </row>
    <row r="5389" spans="1:12" s="37" customFormat="1" ht="11.25" x14ac:dyDescent="0.2">
      <c r="A5389" s="45" t="s">
        <v>39240</v>
      </c>
      <c r="B5389" s="45" t="s">
        <v>39242</v>
      </c>
      <c r="C5389" s="51"/>
      <c r="D5389" s="51"/>
      <c r="E5389" s="45" t="s">
        <v>39244</v>
      </c>
      <c r="F5389" s="45" t="s">
        <v>17759</v>
      </c>
      <c r="G5389" s="45" t="s">
        <v>50584</v>
      </c>
      <c r="H5389" s="56"/>
      <c r="I5389" s="56" t="s">
        <v>50564</v>
      </c>
      <c r="J5389" s="56"/>
      <c r="K5389" s="50"/>
      <c r="L5389" s="56" t="s">
        <v>56716</v>
      </c>
    </row>
    <row r="5390" spans="1:12" s="37" customFormat="1" ht="11.25" x14ac:dyDescent="0.2">
      <c r="A5390" s="46" t="s">
        <v>10509</v>
      </c>
      <c r="B5390" s="46" t="s">
        <v>54245</v>
      </c>
      <c r="C5390" s="58" t="str">
        <f>"09723560"</f>
        <v>09723560</v>
      </c>
      <c r="D5390" s="58" t="str">
        <f>""</f>
        <v/>
      </c>
      <c r="E5390" s="46" t="s">
        <v>10511</v>
      </c>
      <c r="F5390" s="46" t="s">
        <v>20446</v>
      </c>
      <c r="G5390" s="46" t="s">
        <v>50584</v>
      </c>
      <c r="H5390" s="48" t="s">
        <v>56716</v>
      </c>
      <c r="I5390" s="48" t="s">
        <v>50564</v>
      </c>
      <c r="J5390" s="48"/>
      <c r="K5390" s="50"/>
      <c r="L5390" s="48"/>
    </row>
    <row r="5391" spans="1:12" s="37" customFormat="1" ht="11.25" x14ac:dyDescent="0.2">
      <c r="A5391" s="46" t="s">
        <v>9118</v>
      </c>
      <c r="B5391" s="46" t="s">
        <v>54246</v>
      </c>
      <c r="C5391" s="58" t="str">
        <f>"14703203"</f>
        <v>14703203</v>
      </c>
      <c r="D5391" s="58" t="str">
        <f>"17528976"</f>
        <v>17528976</v>
      </c>
      <c r="E5391" s="46" t="s">
        <v>97</v>
      </c>
      <c r="F5391" s="46" t="s">
        <v>50646</v>
      </c>
      <c r="G5391" s="46" t="s">
        <v>50584</v>
      </c>
      <c r="H5391" s="48" t="s">
        <v>56716</v>
      </c>
      <c r="I5391" s="48" t="s">
        <v>50564</v>
      </c>
      <c r="J5391" s="48"/>
      <c r="K5391" s="50"/>
      <c r="L5391" s="48" t="s">
        <v>56716</v>
      </c>
    </row>
    <row r="5392" spans="1:12" s="37" customFormat="1" ht="11.25" x14ac:dyDescent="0.2">
      <c r="A5392" s="46" t="s">
        <v>17540</v>
      </c>
      <c r="B5392" s="46" t="s">
        <v>54247</v>
      </c>
      <c r="C5392" s="58" t="str">
        <f>""</f>
        <v/>
      </c>
      <c r="D5392" s="58" t="str">
        <f>"20480040"</f>
        <v>20480040</v>
      </c>
      <c r="E5392" s="46" t="s">
        <v>97</v>
      </c>
      <c r="F5392" s="46" t="s">
        <v>50646</v>
      </c>
      <c r="G5392" s="46" t="s">
        <v>50584</v>
      </c>
      <c r="H5392" s="48" t="s">
        <v>56716</v>
      </c>
      <c r="I5392" s="48" t="s">
        <v>50564</v>
      </c>
      <c r="J5392" s="48" t="s">
        <v>56716</v>
      </c>
      <c r="K5392" s="50"/>
      <c r="L5392" s="48"/>
    </row>
    <row r="5393" spans="1:12" s="37" customFormat="1" ht="11.25" x14ac:dyDescent="0.2">
      <c r="A5393" s="46" t="s">
        <v>17542</v>
      </c>
      <c r="B5393" s="46" t="s">
        <v>54248</v>
      </c>
      <c r="C5393" s="58" t="str">
        <f>""</f>
        <v/>
      </c>
      <c r="D5393" s="58" t="str">
        <f>"20425333"</f>
        <v>20425333</v>
      </c>
      <c r="E5393" s="46" t="s">
        <v>97</v>
      </c>
      <c r="F5393" s="46" t="s">
        <v>50646</v>
      </c>
      <c r="G5393" s="46" t="s">
        <v>50584</v>
      </c>
      <c r="H5393" s="48" t="s">
        <v>56716</v>
      </c>
      <c r="I5393" s="48" t="s">
        <v>50564</v>
      </c>
      <c r="J5393" s="48" t="s">
        <v>56716</v>
      </c>
      <c r="K5393" s="50"/>
      <c r="L5393" s="48"/>
    </row>
    <row r="5394" spans="1:12" s="37" customFormat="1" ht="11.25" x14ac:dyDescent="0.2">
      <c r="A5394" s="45" t="s">
        <v>39270</v>
      </c>
      <c r="B5394" s="45" t="s">
        <v>39272</v>
      </c>
      <c r="C5394" s="51" t="s">
        <v>39274</v>
      </c>
      <c r="D5394" s="51" t="s">
        <v>39273</v>
      </c>
      <c r="E5394" s="45" t="s">
        <v>30979</v>
      </c>
      <c r="F5394" s="45" t="s">
        <v>17759</v>
      </c>
      <c r="G5394" s="45" t="s">
        <v>50584</v>
      </c>
      <c r="H5394" s="56"/>
      <c r="I5394" s="56" t="s">
        <v>50564</v>
      </c>
      <c r="J5394" s="56"/>
      <c r="K5394" s="50"/>
      <c r="L5394" s="56" t="s">
        <v>56716</v>
      </c>
    </row>
    <row r="5395" spans="1:12" s="37" customFormat="1" ht="11.25" x14ac:dyDescent="0.2">
      <c r="A5395" s="46" t="s">
        <v>14196</v>
      </c>
      <c r="B5395" s="46" t="s">
        <v>54249</v>
      </c>
      <c r="C5395" s="58" t="str">
        <f>"20083645"</f>
        <v>20083645</v>
      </c>
      <c r="D5395" s="58" t="str">
        <f>"20084161"</f>
        <v>20084161</v>
      </c>
      <c r="E5395" s="46" t="s">
        <v>55898</v>
      </c>
      <c r="F5395" s="46" t="s">
        <v>18232</v>
      </c>
      <c r="G5395" s="46" t="s">
        <v>50584</v>
      </c>
      <c r="H5395" s="48" t="s">
        <v>56716</v>
      </c>
      <c r="I5395" s="48" t="s">
        <v>50564</v>
      </c>
      <c r="J5395" s="48"/>
      <c r="K5395" s="50"/>
      <c r="L5395" s="48"/>
    </row>
    <row r="5396" spans="1:12" s="37" customFormat="1" ht="11.25" x14ac:dyDescent="0.2">
      <c r="A5396" s="46" t="s">
        <v>15833</v>
      </c>
      <c r="B5396" s="46" t="s">
        <v>54250</v>
      </c>
      <c r="C5396" s="58" t="str">
        <f>"17357780"</f>
        <v>17357780</v>
      </c>
      <c r="D5396" s="58" t="str">
        <f>"22287876"</f>
        <v>22287876</v>
      </c>
      <c r="E5396" s="46" t="s">
        <v>14199</v>
      </c>
      <c r="F5396" s="46" t="s">
        <v>18232</v>
      </c>
      <c r="G5396" s="46" t="s">
        <v>50584</v>
      </c>
      <c r="H5396" s="48" t="s">
        <v>56716</v>
      </c>
      <c r="I5396" s="48" t="s">
        <v>50564</v>
      </c>
      <c r="J5396" s="48"/>
      <c r="K5396" s="50"/>
      <c r="L5396" s="48"/>
    </row>
    <row r="5397" spans="1:12" s="37" customFormat="1" ht="11.25" x14ac:dyDescent="0.2">
      <c r="A5397" s="46" t="s">
        <v>13509</v>
      </c>
      <c r="B5397" s="46" t="s">
        <v>54251</v>
      </c>
      <c r="C5397" s="58" t="str">
        <f>"1582652X"</f>
        <v>1582652X</v>
      </c>
      <c r="D5397" s="58" t="str">
        <f>""</f>
        <v/>
      </c>
      <c r="E5397" s="46" t="s">
        <v>13511</v>
      </c>
      <c r="F5397" s="46" t="s">
        <v>22017</v>
      </c>
      <c r="G5397" s="46" t="s">
        <v>50584</v>
      </c>
      <c r="H5397" s="48" t="s">
        <v>56716</v>
      </c>
      <c r="I5397" s="48" t="s">
        <v>50564</v>
      </c>
      <c r="J5397" s="48"/>
      <c r="K5397" s="50"/>
      <c r="L5397" s="48"/>
    </row>
    <row r="5398" spans="1:12" s="37" customFormat="1" ht="11.25" x14ac:dyDescent="0.2">
      <c r="A5398" s="45" t="s">
        <v>39276</v>
      </c>
      <c r="B5398" s="45" t="s">
        <v>39278</v>
      </c>
      <c r="C5398" s="51" t="s">
        <v>39279</v>
      </c>
      <c r="D5398" s="51"/>
      <c r="E5398" s="45" t="s">
        <v>39280</v>
      </c>
      <c r="F5398" s="45" t="s">
        <v>18242</v>
      </c>
      <c r="G5398" s="45" t="s">
        <v>50604</v>
      </c>
      <c r="H5398" s="56"/>
      <c r="I5398" s="56" t="s">
        <v>50564</v>
      </c>
      <c r="J5398" s="56"/>
      <c r="K5398" s="50"/>
      <c r="L5398" s="56" t="s">
        <v>56716</v>
      </c>
    </row>
    <row r="5399" spans="1:12" s="37" customFormat="1" ht="11.25" x14ac:dyDescent="0.2">
      <c r="A5399" s="45" t="s">
        <v>39282</v>
      </c>
      <c r="B5399" s="45" t="s">
        <v>39284</v>
      </c>
      <c r="C5399" s="51" t="s">
        <v>39286</v>
      </c>
      <c r="D5399" s="51"/>
      <c r="E5399" s="45" t="s">
        <v>39287</v>
      </c>
      <c r="F5399" s="45" t="s">
        <v>18242</v>
      </c>
      <c r="G5399" s="45" t="s">
        <v>50605</v>
      </c>
      <c r="H5399" s="56"/>
      <c r="I5399" s="56" t="s">
        <v>50564</v>
      </c>
      <c r="J5399" s="56"/>
      <c r="K5399" s="50"/>
      <c r="L5399" s="56" t="s">
        <v>56716</v>
      </c>
    </row>
    <row r="5400" spans="1:12" s="37" customFormat="1" ht="11.25" x14ac:dyDescent="0.2">
      <c r="A5400" s="45" t="s">
        <v>39289</v>
      </c>
      <c r="B5400" s="45" t="s">
        <v>39291</v>
      </c>
      <c r="C5400" s="51" t="s">
        <v>39292</v>
      </c>
      <c r="D5400" s="51"/>
      <c r="E5400" s="45" t="s">
        <v>39293</v>
      </c>
      <c r="F5400" s="45" t="s">
        <v>18242</v>
      </c>
      <c r="G5400" s="45" t="s">
        <v>50605</v>
      </c>
      <c r="H5400" s="56"/>
      <c r="I5400" s="56" t="s">
        <v>50564</v>
      </c>
      <c r="J5400" s="56"/>
      <c r="K5400" s="50"/>
      <c r="L5400" s="56" t="s">
        <v>56716</v>
      </c>
    </row>
    <row r="5401" spans="1:12" s="37" customFormat="1" ht="11.25" x14ac:dyDescent="0.2">
      <c r="A5401" s="45" t="s">
        <v>39302</v>
      </c>
      <c r="B5401" s="45" t="s">
        <v>39304</v>
      </c>
      <c r="C5401" s="51" t="s">
        <v>39305</v>
      </c>
      <c r="D5401" s="51"/>
      <c r="E5401" s="45" t="s">
        <v>39306</v>
      </c>
      <c r="F5401" s="45" t="s">
        <v>18242</v>
      </c>
      <c r="G5401" s="45" t="s">
        <v>50605</v>
      </c>
      <c r="H5401" s="56"/>
      <c r="I5401" s="56" t="s">
        <v>50564</v>
      </c>
      <c r="J5401" s="56"/>
      <c r="K5401" s="50"/>
      <c r="L5401" s="56" t="s">
        <v>56716</v>
      </c>
    </row>
    <row r="5402" spans="1:12" s="37" customFormat="1" ht="11.25" x14ac:dyDescent="0.2">
      <c r="A5402" s="46" t="s">
        <v>2774</v>
      </c>
      <c r="B5402" s="46" t="s">
        <v>54252</v>
      </c>
      <c r="C5402" s="58" t="str">
        <f>"1607551X"</f>
        <v>1607551X</v>
      </c>
      <c r="D5402" s="58" t="str">
        <f>""</f>
        <v/>
      </c>
      <c r="E5402" s="46" t="s">
        <v>2776</v>
      </c>
      <c r="F5402" s="46" t="s">
        <v>19491</v>
      </c>
      <c r="G5402" s="46" t="s">
        <v>50585</v>
      </c>
      <c r="H5402" s="48" t="s">
        <v>56716</v>
      </c>
      <c r="I5402" s="48" t="s">
        <v>50564</v>
      </c>
      <c r="J5402" s="48"/>
      <c r="K5402" s="50" t="s">
        <v>56716</v>
      </c>
      <c r="L5402" s="48" t="s">
        <v>56716</v>
      </c>
    </row>
    <row r="5403" spans="1:12" s="37" customFormat="1" ht="11.25" x14ac:dyDescent="0.2">
      <c r="A5403" s="46" t="s">
        <v>14411</v>
      </c>
      <c r="B5403" s="46" t="s">
        <v>54253</v>
      </c>
      <c r="C5403" s="58" t="str">
        <f>"18649718"</f>
        <v>18649718</v>
      </c>
      <c r="D5403" s="58" t="str">
        <f>"18649726"</f>
        <v>18649726</v>
      </c>
      <c r="E5403" s="46" t="s">
        <v>167</v>
      </c>
      <c r="F5403" s="46" t="s">
        <v>18158</v>
      </c>
      <c r="G5403" s="46" t="s">
        <v>50593</v>
      </c>
      <c r="H5403" s="48" t="s">
        <v>56716</v>
      </c>
      <c r="I5403" s="48" t="s">
        <v>50564</v>
      </c>
      <c r="J5403" s="48"/>
      <c r="K5403" s="50" t="s">
        <v>56716</v>
      </c>
      <c r="L5403" s="48"/>
    </row>
    <row r="5404" spans="1:12" s="37" customFormat="1" ht="11.25" x14ac:dyDescent="0.2">
      <c r="A5404" s="46" t="s">
        <v>2764</v>
      </c>
      <c r="B5404" s="46" t="s">
        <v>54254</v>
      </c>
      <c r="C5404" s="58" t="str">
        <f>"00229032"</f>
        <v>00229032</v>
      </c>
      <c r="D5404" s="58" t="str">
        <f>"00229032"</f>
        <v>00229032</v>
      </c>
      <c r="E5404" s="46" t="s">
        <v>1462</v>
      </c>
      <c r="F5404" s="46" t="s">
        <v>17967</v>
      </c>
      <c r="G5404" s="46" t="s">
        <v>50612</v>
      </c>
      <c r="H5404" s="48" t="s">
        <v>56716</v>
      </c>
      <c r="I5404" s="48" t="s">
        <v>50564</v>
      </c>
      <c r="J5404" s="48"/>
      <c r="K5404" s="50"/>
      <c r="L5404" s="48" t="s">
        <v>56716</v>
      </c>
    </row>
    <row r="5405" spans="1:12" s="37" customFormat="1" ht="11.25" x14ac:dyDescent="0.2">
      <c r="A5405" s="46" t="s">
        <v>14270</v>
      </c>
      <c r="B5405" s="46" t="s">
        <v>54255</v>
      </c>
      <c r="C5405" s="58" t="str">
        <f>"12124540"</f>
        <v>12124540</v>
      </c>
      <c r="D5405" s="58" t="str">
        <f>"18018653"</f>
        <v>18018653</v>
      </c>
      <c r="E5405" s="46" t="s">
        <v>14273</v>
      </c>
      <c r="F5405" s="46" t="s">
        <v>18025</v>
      </c>
      <c r="G5405" s="46" t="s">
        <v>50581</v>
      </c>
      <c r="H5405" s="48" t="s">
        <v>56716</v>
      </c>
      <c r="I5405" s="48" t="s">
        <v>50564</v>
      </c>
      <c r="J5405" s="48"/>
      <c r="K5405" s="50"/>
      <c r="L5405" s="48"/>
    </row>
    <row r="5406" spans="1:12" s="37" customFormat="1" ht="11.25" x14ac:dyDescent="0.2">
      <c r="A5406" s="45" t="s">
        <v>39320</v>
      </c>
      <c r="B5406" s="45" t="s">
        <v>39320</v>
      </c>
      <c r="C5406" s="51" t="s">
        <v>39322</v>
      </c>
      <c r="D5406" s="51"/>
      <c r="E5406" s="45" t="s">
        <v>21545</v>
      </c>
      <c r="F5406" s="45" t="s">
        <v>50653</v>
      </c>
      <c r="G5406" s="45" t="s">
        <v>56509</v>
      </c>
      <c r="H5406" s="56"/>
      <c r="I5406" s="56" t="s">
        <v>50564</v>
      </c>
      <c r="J5406" s="56"/>
      <c r="K5406" s="50"/>
      <c r="L5406" s="56" t="s">
        <v>56716</v>
      </c>
    </row>
    <row r="5407" spans="1:12" s="37" customFormat="1" ht="11.25" x14ac:dyDescent="0.2">
      <c r="A5407" s="46" t="s">
        <v>7793</v>
      </c>
      <c r="B5407" s="46" t="s">
        <v>7793</v>
      </c>
      <c r="C5407" s="58" t="str">
        <f>"09412670"</f>
        <v>09412670</v>
      </c>
      <c r="D5407" s="58" t="str">
        <f>""</f>
        <v/>
      </c>
      <c r="E5407" s="46" t="s">
        <v>7795</v>
      </c>
      <c r="F5407" s="46" t="s">
        <v>18158</v>
      </c>
      <c r="G5407" s="46" t="s">
        <v>50593</v>
      </c>
      <c r="H5407" s="48" t="s">
        <v>56716</v>
      </c>
      <c r="I5407" s="48" t="s">
        <v>50564</v>
      </c>
      <c r="J5407" s="48"/>
      <c r="K5407" s="50"/>
      <c r="L5407" s="48"/>
    </row>
    <row r="5408" spans="1:12" s="37" customFormat="1" ht="11.25" x14ac:dyDescent="0.2">
      <c r="A5408" s="46" t="s">
        <v>16918</v>
      </c>
      <c r="B5408" s="46" t="s">
        <v>54256</v>
      </c>
      <c r="C5408" s="58" t="str">
        <f>"14235528"</f>
        <v>14235528</v>
      </c>
      <c r="D5408" s="58" t="str">
        <f>"1662629X"</f>
        <v>1662629X</v>
      </c>
      <c r="E5408" s="46" t="s">
        <v>3733</v>
      </c>
      <c r="F5408" s="46" t="s">
        <v>18123</v>
      </c>
      <c r="G5408" s="46" t="s">
        <v>50584</v>
      </c>
      <c r="H5408" s="48" t="s">
        <v>56716</v>
      </c>
      <c r="I5408" s="48" t="s">
        <v>50564</v>
      </c>
      <c r="J5408" s="48"/>
      <c r="K5408" s="50"/>
      <c r="L5408" s="48"/>
    </row>
    <row r="5409" spans="1:12" s="37" customFormat="1" ht="11.25" x14ac:dyDescent="0.2">
      <c r="A5409" s="46" t="s">
        <v>11231</v>
      </c>
      <c r="B5409" s="46" t="s">
        <v>54257</v>
      </c>
      <c r="C5409" s="58" t="str">
        <f>"18122027"</f>
        <v>18122027</v>
      </c>
      <c r="D5409" s="58" t="str">
        <f>"48122078"</f>
        <v>48122078</v>
      </c>
      <c r="E5409" s="46" t="s">
        <v>11234</v>
      </c>
      <c r="F5409" s="46" t="s">
        <v>33560</v>
      </c>
      <c r="G5409" s="46" t="s">
        <v>50584</v>
      </c>
      <c r="H5409" s="48" t="s">
        <v>56716</v>
      </c>
      <c r="I5409" s="48" t="s">
        <v>50564</v>
      </c>
      <c r="J5409" s="48"/>
      <c r="K5409" s="50"/>
      <c r="L5409" s="48" t="s">
        <v>56716</v>
      </c>
    </row>
    <row r="5410" spans="1:12" s="37" customFormat="1" ht="11.25" x14ac:dyDescent="0.2">
      <c r="A5410" s="46" t="s">
        <v>2784</v>
      </c>
      <c r="B5410" s="46" t="s">
        <v>54258</v>
      </c>
      <c r="C5410" s="58" t="str">
        <f>"00229717"</f>
        <v>00229717</v>
      </c>
      <c r="D5410" s="58" t="str">
        <f>"18801293"</f>
        <v>18801293</v>
      </c>
      <c r="E5410" s="46" t="s">
        <v>2787</v>
      </c>
      <c r="F5410" s="46" t="s">
        <v>18242</v>
      </c>
      <c r="G5410" s="46" t="s">
        <v>50584</v>
      </c>
      <c r="H5410" s="48" t="s">
        <v>56716</v>
      </c>
      <c r="I5410" s="48" t="s">
        <v>50564</v>
      </c>
      <c r="J5410" s="48"/>
      <c r="K5410" s="50"/>
      <c r="L5410" s="48" t="s">
        <v>56716</v>
      </c>
    </row>
    <row r="5411" spans="1:12" s="37" customFormat="1" ht="11.25" x14ac:dyDescent="0.2">
      <c r="A5411" s="45" t="s">
        <v>39334</v>
      </c>
      <c r="B5411" s="45" t="s">
        <v>39336</v>
      </c>
      <c r="C5411" s="51" t="s">
        <v>39338</v>
      </c>
      <c r="D5411" s="51" t="s">
        <v>39337</v>
      </c>
      <c r="E5411" s="45" t="s">
        <v>39339</v>
      </c>
      <c r="F5411" s="45" t="s">
        <v>18242</v>
      </c>
      <c r="G5411" s="45" t="s">
        <v>50605</v>
      </c>
      <c r="H5411" s="56"/>
      <c r="I5411" s="56" t="s">
        <v>50564</v>
      </c>
      <c r="J5411" s="56"/>
      <c r="K5411" s="50"/>
      <c r="L5411" s="56" t="s">
        <v>56716</v>
      </c>
    </row>
    <row r="5412" spans="1:12" s="37" customFormat="1" ht="11.25" x14ac:dyDescent="0.2">
      <c r="A5412" s="45" t="s">
        <v>39341</v>
      </c>
      <c r="B5412" s="45" t="s">
        <v>39343</v>
      </c>
      <c r="C5412" s="51" t="s">
        <v>39345</v>
      </c>
      <c r="D5412" s="51" t="s">
        <v>39344</v>
      </c>
      <c r="E5412" s="45" t="s">
        <v>23783</v>
      </c>
      <c r="F5412" s="45" t="s">
        <v>17759</v>
      </c>
      <c r="G5412" s="45" t="s">
        <v>50584</v>
      </c>
      <c r="H5412" s="56"/>
      <c r="I5412" s="56" t="s">
        <v>50564</v>
      </c>
      <c r="J5412" s="56"/>
      <c r="K5412" s="50"/>
      <c r="L5412" s="56" t="s">
        <v>56716</v>
      </c>
    </row>
    <row r="5413" spans="1:12" s="37" customFormat="1" ht="11.25" x14ac:dyDescent="0.2">
      <c r="A5413" s="45" t="s">
        <v>39347</v>
      </c>
      <c r="B5413" s="45" t="s">
        <v>39349</v>
      </c>
      <c r="C5413" s="51" t="s">
        <v>39351</v>
      </c>
      <c r="D5413" s="51"/>
      <c r="E5413" s="45" t="s">
        <v>39352</v>
      </c>
      <c r="F5413" s="45" t="s">
        <v>17759</v>
      </c>
      <c r="G5413" s="45" t="s">
        <v>50584</v>
      </c>
      <c r="H5413" s="56"/>
      <c r="I5413" s="56" t="s">
        <v>50564</v>
      </c>
      <c r="J5413" s="56"/>
      <c r="K5413" s="50"/>
      <c r="L5413" s="56" t="s">
        <v>56716</v>
      </c>
    </row>
    <row r="5414" spans="1:12" s="37" customFormat="1" ht="11.25" x14ac:dyDescent="0.2">
      <c r="A5414" s="45" t="s">
        <v>39361</v>
      </c>
      <c r="B5414" s="45" t="s">
        <v>39362</v>
      </c>
      <c r="C5414" s="51" t="s">
        <v>39365</v>
      </c>
      <c r="D5414" s="51" t="s">
        <v>39364</v>
      </c>
      <c r="E5414" s="45" t="s">
        <v>21545</v>
      </c>
      <c r="F5414" s="45" t="s">
        <v>50653</v>
      </c>
      <c r="G5414" s="45" t="s">
        <v>56509</v>
      </c>
      <c r="H5414" s="56"/>
      <c r="I5414" s="56" t="s">
        <v>50564</v>
      </c>
      <c r="J5414" s="56"/>
      <c r="K5414" s="50"/>
      <c r="L5414" s="56" t="s">
        <v>56716</v>
      </c>
    </row>
    <row r="5415" spans="1:12" s="37" customFormat="1" ht="11.25" x14ac:dyDescent="0.2">
      <c r="A5415" s="45" t="s">
        <v>39354</v>
      </c>
      <c r="B5415" s="45" t="s">
        <v>39356</v>
      </c>
      <c r="C5415" s="51" t="s">
        <v>39358</v>
      </c>
      <c r="D5415" s="51"/>
      <c r="E5415" s="45" t="s">
        <v>39359</v>
      </c>
      <c r="F5415" s="45" t="s">
        <v>19251</v>
      </c>
      <c r="G5415" s="45" t="s">
        <v>56513</v>
      </c>
      <c r="H5415" s="56"/>
      <c r="I5415" s="56" t="s">
        <v>50564</v>
      </c>
      <c r="J5415" s="56"/>
      <c r="K5415" s="50"/>
      <c r="L5415" s="56" t="s">
        <v>56716</v>
      </c>
    </row>
    <row r="5416" spans="1:12" s="37" customFormat="1" ht="11.25" x14ac:dyDescent="0.2">
      <c r="A5416" s="46" t="s">
        <v>7075</v>
      </c>
      <c r="B5416" s="46" t="s">
        <v>54259</v>
      </c>
      <c r="C5416" s="58" t="str">
        <f>"14204096"</f>
        <v>14204096</v>
      </c>
      <c r="D5416" s="58" t="str">
        <f>"14230143"</f>
        <v>14230143</v>
      </c>
      <c r="E5416" s="46" t="s">
        <v>109</v>
      </c>
      <c r="F5416" s="46" t="s">
        <v>18123</v>
      </c>
      <c r="G5416" s="46" t="s">
        <v>50584</v>
      </c>
      <c r="H5416" s="48" t="s">
        <v>56716</v>
      </c>
      <c r="I5416" s="48" t="s">
        <v>50564</v>
      </c>
      <c r="J5416" s="48" t="s">
        <v>56716</v>
      </c>
      <c r="K5416" s="50" t="s">
        <v>56716</v>
      </c>
      <c r="L5416" s="48" t="s">
        <v>56716</v>
      </c>
    </row>
    <row r="5417" spans="1:12" s="37" customFormat="1" ht="11.25" x14ac:dyDescent="0.2">
      <c r="A5417" s="46" t="s">
        <v>2766</v>
      </c>
      <c r="B5417" s="46" t="s">
        <v>54260</v>
      </c>
      <c r="C5417" s="58" t="str">
        <f>"00852538"</f>
        <v>00852538</v>
      </c>
      <c r="D5417" s="58" t="str">
        <f>"15231755"</f>
        <v>15231755</v>
      </c>
      <c r="E5417" s="46" t="s">
        <v>315</v>
      </c>
      <c r="F5417" s="46" t="s">
        <v>50646</v>
      </c>
      <c r="G5417" s="46" t="s">
        <v>50584</v>
      </c>
      <c r="H5417" s="48" t="s">
        <v>56716</v>
      </c>
      <c r="I5417" s="48" t="s">
        <v>50564</v>
      </c>
      <c r="J5417" s="48" t="s">
        <v>56716</v>
      </c>
      <c r="K5417" s="50" t="s">
        <v>56716</v>
      </c>
      <c r="L5417" s="48" t="s">
        <v>56716</v>
      </c>
    </row>
    <row r="5418" spans="1:12" s="37" customFormat="1" ht="11.25" x14ac:dyDescent="0.2">
      <c r="A5418" s="46" t="s">
        <v>17161</v>
      </c>
      <c r="B5418" s="46" t="s">
        <v>54261</v>
      </c>
      <c r="C5418" s="58" t="str">
        <f>"21571724"</f>
        <v>21571724</v>
      </c>
      <c r="D5418" s="58" t="str">
        <f>"21571716"</f>
        <v>21571716</v>
      </c>
      <c r="E5418" s="46" t="s">
        <v>315</v>
      </c>
      <c r="F5418" s="46" t="s">
        <v>17759</v>
      </c>
      <c r="G5418" s="46" t="s">
        <v>50584</v>
      </c>
      <c r="H5418" s="48" t="s">
        <v>56716</v>
      </c>
      <c r="I5418" s="48" t="s">
        <v>50564</v>
      </c>
      <c r="J5418" s="48" t="s">
        <v>56716</v>
      </c>
      <c r="K5418" s="50"/>
      <c r="L5418" s="48"/>
    </row>
    <row r="5419" spans="1:12" s="37" customFormat="1" ht="11.25" x14ac:dyDescent="0.2">
      <c r="A5419" s="46" t="s">
        <v>15982</v>
      </c>
      <c r="B5419" s="46" t="s">
        <v>54262</v>
      </c>
      <c r="C5419" s="58" t="str">
        <f>"22119132"</f>
        <v>22119132</v>
      </c>
      <c r="D5419" s="58" t="str">
        <f>"22119140"</f>
        <v>22119140</v>
      </c>
      <c r="E5419" s="46" t="s">
        <v>91</v>
      </c>
      <c r="F5419" s="46" t="s">
        <v>18001</v>
      </c>
      <c r="G5419" s="46" t="s">
        <v>50584</v>
      </c>
      <c r="H5419" s="48" t="s">
        <v>56716</v>
      </c>
      <c r="I5419" s="48" t="s">
        <v>50564</v>
      </c>
      <c r="J5419" s="48" t="s">
        <v>56716</v>
      </c>
      <c r="K5419" s="50" t="s">
        <v>56716</v>
      </c>
      <c r="L5419" s="48"/>
    </row>
    <row r="5420" spans="1:12" s="37" customFormat="1" ht="11.25" x14ac:dyDescent="0.2">
      <c r="A5420" s="45" t="s">
        <v>39376</v>
      </c>
      <c r="B5420" s="45" t="s">
        <v>39378</v>
      </c>
      <c r="C5420" s="51" t="s">
        <v>39379</v>
      </c>
      <c r="D5420" s="51"/>
      <c r="E5420" s="45" t="s">
        <v>39380</v>
      </c>
      <c r="F5420" s="45" t="s">
        <v>18158</v>
      </c>
      <c r="G5420" s="45" t="s">
        <v>50593</v>
      </c>
      <c r="H5420" s="56"/>
      <c r="I5420" s="56" t="s">
        <v>50564</v>
      </c>
      <c r="J5420" s="56"/>
      <c r="K5420" s="50"/>
      <c r="L5420" s="56" t="s">
        <v>56716</v>
      </c>
    </row>
    <row r="5421" spans="1:12" s="37" customFormat="1" ht="11.25" x14ac:dyDescent="0.2">
      <c r="A5421" s="46" t="s">
        <v>10925</v>
      </c>
      <c r="B5421" s="46" t="s">
        <v>10925</v>
      </c>
      <c r="C5421" s="58" t="str">
        <f>"17790123"</f>
        <v>17790123</v>
      </c>
      <c r="D5421" s="58" t="str">
        <f>""</f>
        <v/>
      </c>
      <c r="E5421" s="46" t="s">
        <v>85</v>
      </c>
      <c r="F5421" s="46" t="s">
        <v>20359</v>
      </c>
      <c r="G5421" s="46" t="s">
        <v>50591</v>
      </c>
      <c r="H5421" s="48" t="s">
        <v>56716</v>
      </c>
      <c r="I5421" s="48" t="s">
        <v>50564</v>
      </c>
      <c r="J5421" s="48"/>
      <c r="K5421" s="50" t="s">
        <v>56716</v>
      </c>
      <c r="L5421" s="48"/>
    </row>
    <row r="5422" spans="1:12" s="37" customFormat="1" ht="11.25" x14ac:dyDescent="0.2">
      <c r="A5422" s="46" t="s">
        <v>14465</v>
      </c>
      <c r="B5422" s="46" t="s">
        <v>54263</v>
      </c>
      <c r="C5422" s="58" t="str">
        <f>"1301143X"</f>
        <v>1301143X</v>
      </c>
      <c r="D5422" s="58" t="str">
        <f>"13091484"</f>
        <v>13091484</v>
      </c>
      <c r="E5422" s="46" t="s">
        <v>6173</v>
      </c>
      <c r="F5422" s="46" t="s">
        <v>18396</v>
      </c>
      <c r="G5422" s="46" t="s">
        <v>50638</v>
      </c>
      <c r="H5422" s="48" t="s">
        <v>56716</v>
      </c>
      <c r="I5422" s="48" t="s">
        <v>50564</v>
      </c>
      <c r="J5422" s="48"/>
      <c r="K5422" s="50"/>
      <c r="L5422" s="48"/>
    </row>
    <row r="5423" spans="1:12" s="37" customFormat="1" ht="11.25" x14ac:dyDescent="0.2">
      <c r="A5423" s="45" t="s">
        <v>39382</v>
      </c>
      <c r="B5423" s="45" t="s">
        <v>39384</v>
      </c>
      <c r="C5423" s="51" t="s">
        <v>39386</v>
      </c>
      <c r="D5423" s="51"/>
      <c r="E5423" s="45" t="s">
        <v>39387</v>
      </c>
      <c r="F5423" s="45" t="s">
        <v>50653</v>
      </c>
      <c r="G5423" s="45" t="s">
        <v>56509</v>
      </c>
      <c r="H5423" s="56"/>
      <c r="I5423" s="56" t="s">
        <v>50564</v>
      </c>
      <c r="J5423" s="56"/>
      <c r="K5423" s="50"/>
      <c r="L5423" s="56" t="s">
        <v>56716</v>
      </c>
    </row>
    <row r="5424" spans="1:12" s="37" customFormat="1" ht="11.25" x14ac:dyDescent="0.2">
      <c r="A5424" s="45" t="s">
        <v>39389</v>
      </c>
      <c r="B5424" s="45" t="s">
        <v>39391</v>
      </c>
      <c r="C5424" s="51" t="s">
        <v>39392</v>
      </c>
      <c r="D5424" s="51"/>
      <c r="E5424" s="45" t="s">
        <v>20950</v>
      </c>
      <c r="F5424" s="45" t="s">
        <v>50653</v>
      </c>
      <c r="G5424" s="45" t="s">
        <v>56509</v>
      </c>
      <c r="H5424" s="56"/>
      <c r="I5424" s="56" t="s">
        <v>50564</v>
      </c>
      <c r="J5424" s="56"/>
      <c r="K5424" s="50"/>
      <c r="L5424" s="56" t="s">
        <v>56716</v>
      </c>
    </row>
    <row r="5425" spans="1:12" s="37" customFormat="1" ht="11.25" x14ac:dyDescent="0.2">
      <c r="A5425" s="45" t="s">
        <v>39394</v>
      </c>
      <c r="B5425" s="45" t="s">
        <v>39396</v>
      </c>
      <c r="C5425" s="51" t="s">
        <v>39398</v>
      </c>
      <c r="D5425" s="51"/>
      <c r="E5425" s="45" t="s">
        <v>39399</v>
      </c>
      <c r="F5425" s="45" t="s">
        <v>29064</v>
      </c>
      <c r="G5425" s="45" t="s">
        <v>50640</v>
      </c>
      <c r="H5425" s="56"/>
      <c r="I5425" s="56" t="s">
        <v>50564</v>
      </c>
      <c r="J5425" s="56"/>
      <c r="K5425" s="50"/>
      <c r="L5425" s="56" t="s">
        <v>56716</v>
      </c>
    </row>
    <row r="5426" spans="1:12" s="37" customFormat="1" ht="11.25" x14ac:dyDescent="0.2">
      <c r="A5426" s="46" t="s">
        <v>6669</v>
      </c>
      <c r="B5426" s="46" t="s">
        <v>54264</v>
      </c>
      <c r="C5426" s="58" t="str">
        <f>"12107921"</f>
        <v>12107921</v>
      </c>
      <c r="D5426" s="58" t="str">
        <f>""</f>
        <v/>
      </c>
      <c r="E5426" s="46" t="s">
        <v>1130</v>
      </c>
      <c r="F5426" s="46" t="s">
        <v>18025</v>
      </c>
      <c r="G5426" s="46" t="s">
        <v>50629</v>
      </c>
      <c r="H5426" s="48" t="s">
        <v>56716</v>
      </c>
      <c r="I5426" s="48" t="s">
        <v>50564</v>
      </c>
      <c r="J5426" s="48"/>
      <c r="K5426" s="50"/>
      <c r="L5426" s="48"/>
    </row>
    <row r="5427" spans="1:12" s="37" customFormat="1" ht="11.25" x14ac:dyDescent="0.2">
      <c r="A5427" s="46" t="s">
        <v>13504</v>
      </c>
      <c r="B5427" s="46" t="s">
        <v>54265</v>
      </c>
      <c r="C5427" s="58" t="str">
        <f>"12127973"</f>
        <v>12127973</v>
      </c>
      <c r="D5427" s="58" t="str">
        <f>"18035353"</f>
        <v>18035353</v>
      </c>
      <c r="E5427" s="46" t="s">
        <v>55891</v>
      </c>
      <c r="F5427" s="46" t="s">
        <v>18025</v>
      </c>
      <c r="G5427" s="46" t="s">
        <v>50581</v>
      </c>
      <c r="H5427" s="48" t="s">
        <v>56716</v>
      </c>
      <c r="I5427" s="48" t="s">
        <v>50564</v>
      </c>
      <c r="J5427" s="48"/>
      <c r="K5427" s="50"/>
      <c r="L5427" s="48"/>
    </row>
    <row r="5428" spans="1:12" s="37" customFormat="1" ht="11.25" x14ac:dyDescent="0.2">
      <c r="A5428" s="46" t="s">
        <v>5884</v>
      </c>
      <c r="B5428" s="46" t="s">
        <v>54266</v>
      </c>
      <c r="C5428" s="58" t="str">
        <f>"13350013"</f>
        <v>13350013</v>
      </c>
      <c r="D5428" s="58" t="str">
        <f>""</f>
        <v/>
      </c>
      <c r="E5428" s="46" t="s">
        <v>5886</v>
      </c>
      <c r="F5428" s="46" t="s">
        <v>18577</v>
      </c>
      <c r="G5428" s="46" t="s">
        <v>50581</v>
      </c>
      <c r="H5428" s="48" t="s">
        <v>56716</v>
      </c>
      <c r="I5428" s="48" t="s">
        <v>50564</v>
      </c>
      <c r="J5428" s="48"/>
      <c r="K5428" s="50"/>
      <c r="L5428" s="48"/>
    </row>
    <row r="5429" spans="1:12" s="37" customFormat="1" ht="11.25" x14ac:dyDescent="0.2">
      <c r="A5429" s="46" t="s">
        <v>8718</v>
      </c>
      <c r="B5429" s="46" t="s">
        <v>54267</v>
      </c>
      <c r="C5429" s="58" t="str">
        <f>"1211264X"</f>
        <v>1211264X</v>
      </c>
      <c r="D5429" s="58" t="str">
        <f>""</f>
        <v/>
      </c>
      <c r="E5429" s="46" t="s">
        <v>8720</v>
      </c>
      <c r="F5429" s="46" t="s">
        <v>18025</v>
      </c>
      <c r="G5429" s="46" t="s">
        <v>50581</v>
      </c>
      <c r="H5429" s="48" t="s">
        <v>56716</v>
      </c>
      <c r="I5429" s="48" t="s">
        <v>50564</v>
      </c>
      <c r="J5429" s="48"/>
      <c r="K5429" s="50"/>
      <c r="L5429" s="48" t="s">
        <v>56716</v>
      </c>
    </row>
    <row r="5430" spans="1:12" s="37" customFormat="1" ht="11.25" x14ac:dyDescent="0.2">
      <c r="A5430" s="46" t="s">
        <v>5923</v>
      </c>
      <c r="B5430" s="46" t="s">
        <v>54268</v>
      </c>
      <c r="C5430" s="58" t="str">
        <f>"0862495X"</f>
        <v>0862495X</v>
      </c>
      <c r="D5430" s="58" t="str">
        <f>"18025307"</f>
        <v>18025307</v>
      </c>
      <c r="E5430" s="46" t="s">
        <v>1130</v>
      </c>
      <c r="F5430" s="46" t="s">
        <v>18025</v>
      </c>
      <c r="G5430" s="46" t="s">
        <v>50628</v>
      </c>
      <c r="H5430" s="48" t="s">
        <v>56716</v>
      </c>
      <c r="I5430" s="48" t="s">
        <v>50564</v>
      </c>
      <c r="J5430" s="48"/>
      <c r="K5430" s="50"/>
      <c r="L5430" s="48" t="s">
        <v>56716</v>
      </c>
    </row>
    <row r="5431" spans="1:12" s="37" customFormat="1" ht="11.25" x14ac:dyDescent="0.2">
      <c r="A5431" s="46" t="s">
        <v>9095</v>
      </c>
      <c r="B5431" s="46" t="s">
        <v>54269</v>
      </c>
      <c r="C5431" s="58" t="str">
        <f>"10177833"</f>
        <v>10177833</v>
      </c>
      <c r="D5431" s="58" t="str">
        <f>"13029657"</f>
        <v>13029657</v>
      </c>
      <c r="E5431" s="46" t="s">
        <v>9098</v>
      </c>
      <c r="F5431" s="46" t="s">
        <v>18396</v>
      </c>
      <c r="G5431" s="46" t="s">
        <v>50638</v>
      </c>
      <c r="H5431" s="48" t="s">
        <v>56716</v>
      </c>
      <c r="I5431" s="48" t="s">
        <v>50564</v>
      </c>
      <c r="J5431" s="48"/>
      <c r="K5431" s="50"/>
      <c r="L5431" s="48"/>
    </row>
    <row r="5432" spans="1:12" s="37" customFormat="1" ht="11.25" x14ac:dyDescent="0.2">
      <c r="A5432" s="45" t="s">
        <v>39411</v>
      </c>
      <c r="B5432" s="45" t="s">
        <v>39413</v>
      </c>
      <c r="C5432" s="51" t="s">
        <v>39415</v>
      </c>
      <c r="D5432" s="51"/>
      <c r="E5432" s="45" t="s">
        <v>39416</v>
      </c>
      <c r="F5432" s="45" t="s">
        <v>17967</v>
      </c>
      <c r="G5432" s="45" t="s">
        <v>50611</v>
      </c>
      <c r="H5432" s="56"/>
      <c r="I5432" s="56" t="s">
        <v>50564</v>
      </c>
      <c r="J5432" s="56"/>
      <c r="K5432" s="50"/>
      <c r="L5432" s="56" t="s">
        <v>56716</v>
      </c>
    </row>
    <row r="5433" spans="1:12" s="37" customFormat="1" ht="11.25" x14ac:dyDescent="0.2">
      <c r="A5433" s="46" t="s">
        <v>6860</v>
      </c>
      <c r="B5433" s="46" t="s">
        <v>6860</v>
      </c>
      <c r="C5433" s="58" t="str">
        <f>"03412350"</f>
        <v>03412350</v>
      </c>
      <c r="D5433" s="58" t="str">
        <f>"14393859"</f>
        <v>14393859</v>
      </c>
      <c r="E5433" s="46" t="s">
        <v>6863</v>
      </c>
      <c r="F5433" s="46" t="s">
        <v>18158</v>
      </c>
      <c r="G5433" s="46" t="s">
        <v>50593</v>
      </c>
      <c r="H5433" s="48" t="s">
        <v>56716</v>
      </c>
      <c r="I5433" s="48" t="s">
        <v>50564</v>
      </c>
      <c r="J5433" s="48"/>
      <c r="K5433" s="50"/>
      <c r="L5433" s="48"/>
    </row>
    <row r="5434" spans="1:12" s="37" customFormat="1" ht="11.25" x14ac:dyDescent="0.2">
      <c r="A5434" s="46" t="s">
        <v>2792</v>
      </c>
      <c r="B5434" s="46" t="s">
        <v>54270</v>
      </c>
      <c r="C5434" s="58" t="str">
        <f>"00232165"</f>
        <v>00232165</v>
      </c>
      <c r="D5434" s="58" t="str">
        <f>"14393999"</f>
        <v>14393999</v>
      </c>
      <c r="E5434" s="46" t="s">
        <v>412</v>
      </c>
      <c r="F5434" s="46" t="s">
        <v>18158</v>
      </c>
      <c r="G5434" s="46" t="s">
        <v>50595</v>
      </c>
      <c r="H5434" s="48" t="s">
        <v>56716</v>
      </c>
      <c r="I5434" s="48" t="s">
        <v>50564</v>
      </c>
      <c r="J5434" s="48"/>
      <c r="K5434" s="50" t="s">
        <v>56716</v>
      </c>
      <c r="L5434" s="48" t="s">
        <v>56716</v>
      </c>
    </row>
    <row r="5435" spans="1:12" s="37" customFormat="1" ht="11.25" x14ac:dyDescent="0.2">
      <c r="A5435" s="46" t="s">
        <v>7682</v>
      </c>
      <c r="B5435" s="46" t="s">
        <v>54271</v>
      </c>
      <c r="C5435" s="58" t="str">
        <f>"14340275"</f>
        <v>14340275</v>
      </c>
      <c r="D5435" s="58" t="str">
        <f>"14394081"</f>
        <v>14394081</v>
      </c>
      <c r="E5435" s="46" t="s">
        <v>412</v>
      </c>
      <c r="F5435" s="46" t="s">
        <v>18158</v>
      </c>
      <c r="G5435" s="46" t="s">
        <v>50593</v>
      </c>
      <c r="H5435" s="48" t="s">
        <v>56716</v>
      </c>
      <c r="I5435" s="48" t="s">
        <v>50564</v>
      </c>
      <c r="J5435" s="48"/>
      <c r="K5435" s="50" t="s">
        <v>56716</v>
      </c>
      <c r="L5435" s="48"/>
    </row>
    <row r="5436" spans="1:12" s="37" customFormat="1" ht="11.25" x14ac:dyDescent="0.2">
      <c r="A5436" s="46" t="s">
        <v>2789</v>
      </c>
      <c r="B5436" s="46" t="s">
        <v>54272</v>
      </c>
      <c r="C5436" s="58" t="str">
        <f>"03008630"</f>
        <v>03008630</v>
      </c>
      <c r="D5436" s="58" t="str">
        <f>"14393824"</f>
        <v>14393824</v>
      </c>
      <c r="E5436" s="46" t="s">
        <v>412</v>
      </c>
      <c r="F5436" s="46" t="s">
        <v>18158</v>
      </c>
      <c r="G5436" s="46" t="s">
        <v>50592</v>
      </c>
      <c r="H5436" s="48" t="s">
        <v>56716</v>
      </c>
      <c r="I5436" s="48" t="s">
        <v>50564</v>
      </c>
      <c r="J5436" s="48"/>
      <c r="K5436" s="50" t="s">
        <v>56716</v>
      </c>
      <c r="L5436" s="48" t="s">
        <v>56716</v>
      </c>
    </row>
    <row r="5437" spans="1:12" s="37" customFormat="1" ht="11.25" x14ac:dyDescent="0.2">
      <c r="A5437" s="46" t="s">
        <v>6666</v>
      </c>
      <c r="B5437" s="46" t="s">
        <v>6666</v>
      </c>
      <c r="C5437" s="58" t="str">
        <f>"09680160"</f>
        <v>09680160</v>
      </c>
      <c r="D5437" s="58" t="str">
        <f>"18735800"</f>
        <v>18735800</v>
      </c>
      <c r="E5437" s="46" t="s">
        <v>91</v>
      </c>
      <c r="F5437" s="46" t="s">
        <v>18001</v>
      </c>
      <c r="G5437" s="46" t="s">
        <v>50584</v>
      </c>
      <c r="H5437" s="48" t="s">
        <v>56716</v>
      </c>
      <c r="I5437" s="48" t="s">
        <v>50564</v>
      </c>
      <c r="J5437" s="48" t="s">
        <v>56716</v>
      </c>
      <c r="K5437" s="50" t="s">
        <v>56716</v>
      </c>
      <c r="L5437" s="48" t="s">
        <v>56716</v>
      </c>
    </row>
    <row r="5438" spans="1:12" s="37" customFormat="1" ht="11.25" x14ac:dyDescent="0.2">
      <c r="A5438" s="45" t="s">
        <v>39432</v>
      </c>
      <c r="B5438" s="45" t="s">
        <v>39434</v>
      </c>
      <c r="C5438" s="51" t="s">
        <v>39436</v>
      </c>
      <c r="D5438" s="51" t="s">
        <v>39435</v>
      </c>
      <c r="E5438" s="45" t="s">
        <v>17790</v>
      </c>
      <c r="F5438" s="45" t="s">
        <v>18158</v>
      </c>
      <c r="G5438" s="45" t="s">
        <v>50584</v>
      </c>
      <c r="H5438" s="56"/>
      <c r="I5438" s="56" t="s">
        <v>50564</v>
      </c>
      <c r="J5438" s="56"/>
      <c r="K5438" s="50"/>
      <c r="L5438" s="56" t="s">
        <v>56716</v>
      </c>
    </row>
    <row r="5439" spans="1:12" s="37" customFormat="1" ht="11.25" x14ac:dyDescent="0.2">
      <c r="A5439" s="46" t="s">
        <v>2780</v>
      </c>
      <c r="B5439" s="46" t="s">
        <v>54273</v>
      </c>
      <c r="C5439" s="58" t="str">
        <f>"00232513"</f>
        <v>00232513</v>
      </c>
      <c r="D5439" s="58" t="str">
        <f>"18830498"</f>
        <v>18830498</v>
      </c>
      <c r="E5439" s="46" t="s">
        <v>2783</v>
      </c>
      <c r="F5439" s="46" t="s">
        <v>18242</v>
      </c>
      <c r="G5439" s="46" t="s">
        <v>50584</v>
      </c>
      <c r="H5439" s="48" t="s">
        <v>56716</v>
      </c>
      <c r="I5439" s="48" t="s">
        <v>50564</v>
      </c>
      <c r="J5439" s="48"/>
      <c r="K5439" s="50"/>
      <c r="L5439" s="48" t="s">
        <v>56716</v>
      </c>
    </row>
    <row r="5440" spans="1:12" s="37" customFormat="1" ht="11.25" x14ac:dyDescent="0.2">
      <c r="A5440" s="45" t="s">
        <v>39444</v>
      </c>
      <c r="B5440" s="45" t="s">
        <v>39446</v>
      </c>
      <c r="C5440" s="51" t="s">
        <v>39448</v>
      </c>
      <c r="D5440" s="51" t="s">
        <v>39447</v>
      </c>
      <c r="E5440" s="45" t="s">
        <v>39449</v>
      </c>
      <c r="F5440" s="45" t="s">
        <v>18242</v>
      </c>
      <c r="G5440" s="45" t="s">
        <v>50605</v>
      </c>
      <c r="H5440" s="56"/>
      <c r="I5440" s="56" t="s">
        <v>50564</v>
      </c>
      <c r="J5440" s="56"/>
      <c r="K5440" s="50"/>
      <c r="L5440" s="56" t="s">
        <v>56716</v>
      </c>
    </row>
    <row r="5441" spans="1:12" s="37" customFormat="1" ht="11.25" x14ac:dyDescent="0.2">
      <c r="A5441" s="45" t="s">
        <v>39451</v>
      </c>
      <c r="B5441" s="45" t="s">
        <v>39453</v>
      </c>
      <c r="C5441" s="51" t="s">
        <v>39455</v>
      </c>
      <c r="D5441" s="51"/>
      <c r="E5441" s="45" t="s">
        <v>39456</v>
      </c>
      <c r="F5441" s="45" t="s">
        <v>18242</v>
      </c>
      <c r="G5441" s="45" t="s">
        <v>50605</v>
      </c>
      <c r="H5441" s="56"/>
      <c r="I5441" s="56" t="s">
        <v>50564</v>
      </c>
      <c r="J5441" s="56"/>
      <c r="K5441" s="50"/>
      <c r="L5441" s="56" t="s">
        <v>56716</v>
      </c>
    </row>
    <row r="5442" spans="1:12" s="37" customFormat="1" ht="11.25" x14ac:dyDescent="0.2">
      <c r="A5442" s="46" t="s">
        <v>13378</v>
      </c>
      <c r="B5442" s="46" t="s">
        <v>54274</v>
      </c>
      <c r="C5442" s="58" t="str">
        <f>"16169689"</f>
        <v>16169689</v>
      </c>
      <c r="D5442" s="58" t="str">
        <f>"18600638"</f>
        <v>18600638</v>
      </c>
      <c r="E5442" s="46" t="s">
        <v>412</v>
      </c>
      <c r="F5442" s="46" t="s">
        <v>18158</v>
      </c>
      <c r="G5442" s="46" t="s">
        <v>50593</v>
      </c>
      <c r="H5442" s="48" t="s">
        <v>56716</v>
      </c>
      <c r="I5442" s="48" t="s">
        <v>50564</v>
      </c>
      <c r="J5442" s="48"/>
      <c r="K5442" s="50"/>
      <c r="L5442" s="48"/>
    </row>
    <row r="5443" spans="1:12" s="37" customFormat="1" ht="11.25" x14ac:dyDescent="0.2">
      <c r="A5443" s="45" t="s">
        <v>39458</v>
      </c>
      <c r="B5443" s="45" t="s">
        <v>39460</v>
      </c>
      <c r="C5443" s="51"/>
      <c r="D5443" s="51" t="s">
        <v>39462</v>
      </c>
      <c r="E5443" s="45" t="s">
        <v>17089</v>
      </c>
      <c r="F5443" s="45" t="s">
        <v>18158</v>
      </c>
      <c r="G5443" s="45" t="s">
        <v>50592</v>
      </c>
      <c r="H5443" s="56"/>
      <c r="I5443" s="56" t="s">
        <v>50564</v>
      </c>
      <c r="J5443" s="56"/>
      <c r="K5443" s="50"/>
      <c r="L5443" s="56" t="s">
        <v>56716</v>
      </c>
    </row>
    <row r="5444" spans="1:12" s="37" customFormat="1" ht="11.25" x14ac:dyDescent="0.2">
      <c r="A5444" s="46" t="s">
        <v>16913</v>
      </c>
      <c r="B5444" s="46" t="s">
        <v>54275</v>
      </c>
      <c r="C5444" s="58" t="str">
        <f>"13093878"</f>
        <v>13093878</v>
      </c>
      <c r="D5444" s="58" t="str">
        <f>""</f>
        <v/>
      </c>
      <c r="E5444" s="46" t="s">
        <v>14429</v>
      </c>
      <c r="F5444" s="46" t="s">
        <v>18396</v>
      </c>
      <c r="G5444" s="46" t="s">
        <v>50638</v>
      </c>
      <c r="H5444" s="48" t="s">
        <v>56716</v>
      </c>
      <c r="I5444" s="48" t="s">
        <v>50564</v>
      </c>
      <c r="J5444" s="48"/>
      <c r="K5444" s="50"/>
      <c r="L5444" s="48"/>
    </row>
    <row r="5445" spans="1:12" s="37" customFormat="1" ht="11.25" x14ac:dyDescent="0.2">
      <c r="A5445" s="46" t="s">
        <v>11356</v>
      </c>
      <c r="B5445" s="46" t="s">
        <v>11356</v>
      </c>
      <c r="C5445" s="58" t="str">
        <f>"16087046"</f>
        <v>16087046</v>
      </c>
      <c r="D5445" s="58" t="str">
        <f>""</f>
        <v/>
      </c>
      <c r="E5445" s="46" t="s">
        <v>11358</v>
      </c>
      <c r="F5445" s="46" t="s">
        <v>18232</v>
      </c>
      <c r="G5445" s="46" t="s">
        <v>50609</v>
      </c>
      <c r="H5445" s="48" t="s">
        <v>56716</v>
      </c>
      <c r="I5445" s="48" t="s">
        <v>50564</v>
      </c>
      <c r="J5445" s="48"/>
      <c r="K5445" s="50"/>
      <c r="L5445" s="48"/>
    </row>
    <row r="5446" spans="1:12" s="37" customFormat="1" ht="11.25" x14ac:dyDescent="0.2">
      <c r="A5446" s="46" t="s">
        <v>11235</v>
      </c>
      <c r="B5446" s="46" t="s">
        <v>54276</v>
      </c>
      <c r="C5446" s="58" t="str">
        <f>"17385520"</f>
        <v>17385520</v>
      </c>
      <c r="D5446" s="58" t="str">
        <f>"17385555"</f>
        <v>17385555</v>
      </c>
      <c r="E5446" s="46" t="s">
        <v>11238</v>
      </c>
      <c r="F5446" s="46" t="s">
        <v>50649</v>
      </c>
      <c r="G5446" s="46" t="s">
        <v>50584</v>
      </c>
      <c r="H5446" s="48" t="s">
        <v>56716</v>
      </c>
      <c r="I5446" s="48" t="s">
        <v>50564</v>
      </c>
      <c r="J5446" s="48"/>
      <c r="K5446" s="50"/>
      <c r="L5446" s="48"/>
    </row>
    <row r="5447" spans="1:12" s="37" customFormat="1" ht="11.25" x14ac:dyDescent="0.2">
      <c r="A5447" s="46" t="s">
        <v>14255</v>
      </c>
      <c r="B5447" s="46" t="s">
        <v>54277</v>
      </c>
      <c r="C5447" s="58" t="str">
        <f>"20056419"</f>
        <v>20056419</v>
      </c>
      <c r="D5447" s="58" t="str">
        <f>"20057563"</f>
        <v>20057563</v>
      </c>
      <c r="E5447" s="46" t="s">
        <v>14258</v>
      </c>
      <c r="F5447" s="46" t="s">
        <v>50649</v>
      </c>
      <c r="G5447" s="46" t="s">
        <v>50606</v>
      </c>
      <c r="H5447" s="48" t="s">
        <v>56716</v>
      </c>
      <c r="I5447" s="48" t="s">
        <v>50564</v>
      </c>
      <c r="J5447" s="48"/>
      <c r="K5447" s="50"/>
      <c r="L5447" s="48"/>
    </row>
    <row r="5448" spans="1:12" s="37" customFormat="1" ht="11.25" x14ac:dyDescent="0.2">
      <c r="A5448" s="46" t="s">
        <v>5708</v>
      </c>
      <c r="B5448" s="46" t="s">
        <v>54278</v>
      </c>
      <c r="C5448" s="58" t="str">
        <f>"12263303"</f>
        <v>12263303</v>
      </c>
      <c r="D5448" s="58" t="str">
        <f>"20056648"</f>
        <v>20056648</v>
      </c>
      <c r="E5448" s="46" t="s">
        <v>5711</v>
      </c>
      <c r="F5448" s="46" t="s">
        <v>50649</v>
      </c>
      <c r="G5448" s="46" t="s">
        <v>50584</v>
      </c>
      <c r="H5448" s="48" t="s">
        <v>56716</v>
      </c>
      <c r="I5448" s="48" t="s">
        <v>50564</v>
      </c>
      <c r="J5448" s="48"/>
      <c r="K5448" s="50"/>
      <c r="L5448" s="48" t="s">
        <v>56716</v>
      </c>
    </row>
    <row r="5449" spans="1:12" s="37" customFormat="1" ht="11.25" x14ac:dyDescent="0.2">
      <c r="A5449" s="46" t="s">
        <v>9207</v>
      </c>
      <c r="B5449" s="46" t="s">
        <v>54279</v>
      </c>
      <c r="C5449" s="58" t="str">
        <f>"12264709"</f>
        <v>12264709</v>
      </c>
      <c r="D5449" s="58" t="str">
        <f>""</f>
        <v/>
      </c>
      <c r="E5449" s="46" t="s">
        <v>9209</v>
      </c>
      <c r="F5449" s="46" t="s">
        <v>50649</v>
      </c>
      <c r="G5449" s="46" t="s">
        <v>50606</v>
      </c>
      <c r="H5449" s="48" t="s">
        <v>56716</v>
      </c>
      <c r="I5449" s="48" t="s">
        <v>50564</v>
      </c>
      <c r="J5449" s="48"/>
      <c r="K5449" s="50"/>
      <c r="L5449" s="48"/>
    </row>
    <row r="5450" spans="1:12" s="37" customFormat="1" ht="11.25" x14ac:dyDescent="0.2">
      <c r="A5450" s="46" t="s">
        <v>9830</v>
      </c>
      <c r="B5450" s="46" t="s">
        <v>54280</v>
      </c>
      <c r="C5450" s="58" t="str">
        <f>"1598642X"</f>
        <v>1598642X</v>
      </c>
      <c r="D5450" s="58" t="str">
        <f>""</f>
        <v/>
      </c>
      <c r="E5450" s="46" t="s">
        <v>7610</v>
      </c>
      <c r="F5450" s="46" t="s">
        <v>50649</v>
      </c>
      <c r="G5450" s="46" t="s">
        <v>50606</v>
      </c>
      <c r="H5450" s="48" t="s">
        <v>56716</v>
      </c>
      <c r="I5450" s="48" t="s">
        <v>50564</v>
      </c>
      <c r="J5450" s="48"/>
      <c r="K5450" s="50"/>
      <c r="L5450" s="48"/>
    </row>
    <row r="5451" spans="1:12" s="37" customFormat="1" ht="11.25" x14ac:dyDescent="0.2">
      <c r="A5451" s="45" t="s">
        <v>39475</v>
      </c>
      <c r="B5451" s="45" t="s">
        <v>39477</v>
      </c>
      <c r="C5451" s="51" t="s">
        <v>39478</v>
      </c>
      <c r="D5451" s="51"/>
      <c r="E5451" s="45" t="s">
        <v>39479</v>
      </c>
      <c r="F5451" s="45" t="s">
        <v>50649</v>
      </c>
      <c r="G5451" s="45" t="s">
        <v>50584</v>
      </c>
      <c r="H5451" s="56"/>
      <c r="I5451" s="56" t="s">
        <v>50564</v>
      </c>
      <c r="J5451" s="56"/>
      <c r="K5451" s="50"/>
      <c r="L5451" s="56" t="s">
        <v>56716</v>
      </c>
    </row>
    <row r="5452" spans="1:12" s="37" customFormat="1" ht="11.25" x14ac:dyDescent="0.2">
      <c r="A5452" s="46" t="s">
        <v>15887</v>
      </c>
      <c r="B5452" s="46" t="s">
        <v>54281</v>
      </c>
      <c r="C5452" s="58" t="str">
        <f>"20059159"</f>
        <v>20059159</v>
      </c>
      <c r="D5452" s="58" t="str">
        <f>"20930569"</f>
        <v>20930569</v>
      </c>
      <c r="E5452" s="46" t="s">
        <v>15890</v>
      </c>
      <c r="F5452" s="46" t="s">
        <v>50649</v>
      </c>
      <c r="G5452" s="46" t="s">
        <v>50584</v>
      </c>
      <c r="H5452" s="48" t="s">
        <v>56716</v>
      </c>
      <c r="I5452" s="48" t="s">
        <v>50564</v>
      </c>
      <c r="J5452" s="48"/>
      <c r="K5452" s="50"/>
      <c r="L5452" s="48"/>
    </row>
    <row r="5453" spans="1:12" s="37" customFormat="1" ht="11.25" x14ac:dyDescent="0.2">
      <c r="A5453" s="46" t="s">
        <v>2807</v>
      </c>
      <c r="B5453" s="46" t="s">
        <v>54282</v>
      </c>
      <c r="C5453" s="58" t="str">
        <f>"00234001"</f>
        <v>00234001</v>
      </c>
      <c r="D5453" s="58" t="str">
        <f>"17380006"</f>
        <v>17380006</v>
      </c>
      <c r="E5453" s="46" t="s">
        <v>2807</v>
      </c>
      <c r="F5453" s="46" t="s">
        <v>50649</v>
      </c>
      <c r="G5453" s="46" t="s">
        <v>50584</v>
      </c>
      <c r="H5453" s="48" t="s">
        <v>56716</v>
      </c>
      <c r="I5453" s="48" t="s">
        <v>50564</v>
      </c>
      <c r="J5453" s="48"/>
      <c r="K5453" s="50"/>
      <c r="L5453" s="48" t="s">
        <v>56716</v>
      </c>
    </row>
    <row r="5454" spans="1:12" s="37" customFormat="1" ht="11.25" x14ac:dyDescent="0.2">
      <c r="A5454" s="46" t="s">
        <v>14755</v>
      </c>
      <c r="B5454" s="46" t="s">
        <v>54283</v>
      </c>
      <c r="C5454" s="58" t="str">
        <f>"17381061"</f>
        <v>17381061</v>
      </c>
      <c r="D5454" s="58" t="str">
        <f>"20927258"</f>
        <v>20927258</v>
      </c>
      <c r="E5454" s="46" t="s">
        <v>14758</v>
      </c>
      <c r="F5454" s="46" t="s">
        <v>50649</v>
      </c>
      <c r="G5454" s="46" t="s">
        <v>50584</v>
      </c>
      <c r="H5454" s="48" t="s">
        <v>56716</v>
      </c>
      <c r="I5454" s="48" t="s">
        <v>50564</v>
      </c>
      <c r="J5454" s="48"/>
      <c r="K5454" s="50"/>
      <c r="L5454" s="48"/>
    </row>
    <row r="5455" spans="1:12" s="37" customFormat="1" ht="11.25" x14ac:dyDescent="0.2">
      <c r="A5455" s="46" t="s">
        <v>4973</v>
      </c>
      <c r="B5455" s="46" t="s">
        <v>54284</v>
      </c>
      <c r="C5455" s="58" t="str">
        <f>"02533073"</f>
        <v>02533073</v>
      </c>
      <c r="D5455" s="58" t="str">
        <f>""</f>
        <v/>
      </c>
      <c r="E5455" s="46" t="s">
        <v>4975</v>
      </c>
      <c r="F5455" s="46" t="s">
        <v>50649</v>
      </c>
      <c r="G5455" s="46" t="s">
        <v>50607</v>
      </c>
      <c r="H5455" s="48" t="s">
        <v>56716</v>
      </c>
      <c r="I5455" s="48" t="s">
        <v>50564</v>
      </c>
      <c r="J5455" s="48"/>
      <c r="K5455" s="50"/>
      <c r="L5455" s="48"/>
    </row>
    <row r="5456" spans="1:12" s="37" customFormat="1" ht="11.25" x14ac:dyDescent="0.2">
      <c r="A5456" s="46" t="s">
        <v>7575</v>
      </c>
      <c r="B5456" s="46" t="s">
        <v>54285</v>
      </c>
      <c r="C5456" s="58" t="str">
        <f>"12264512"</f>
        <v>12264512</v>
      </c>
      <c r="D5456" s="58" t="str">
        <f>"20933827"</f>
        <v>20933827</v>
      </c>
      <c r="E5456" s="46" t="s">
        <v>7578</v>
      </c>
      <c r="F5456" s="46" t="s">
        <v>50649</v>
      </c>
      <c r="G5456" s="46" t="s">
        <v>50607</v>
      </c>
      <c r="H5456" s="48" t="s">
        <v>56716</v>
      </c>
      <c r="I5456" s="48" t="s">
        <v>50564</v>
      </c>
      <c r="J5456" s="48"/>
      <c r="K5456" s="50"/>
      <c r="L5456" s="48"/>
    </row>
    <row r="5457" spans="1:12" s="37" customFormat="1" ht="11.25" x14ac:dyDescent="0.2">
      <c r="A5457" s="46" t="s">
        <v>9608</v>
      </c>
      <c r="B5457" s="46" t="s">
        <v>55861</v>
      </c>
      <c r="C5457" s="58" t="str">
        <f>"12296929"</f>
        <v>12296929</v>
      </c>
      <c r="D5457" s="58" t="str">
        <f>""</f>
        <v/>
      </c>
      <c r="E5457" s="46" t="s">
        <v>9610</v>
      </c>
      <c r="F5457" s="46" t="s">
        <v>50649</v>
      </c>
      <c r="G5457" s="46" t="s">
        <v>50584</v>
      </c>
      <c r="H5457" s="48" t="s">
        <v>56716</v>
      </c>
      <c r="I5457" s="48" t="s">
        <v>50564</v>
      </c>
      <c r="J5457" s="48"/>
      <c r="K5457" s="50"/>
      <c r="L5457" s="48" t="s">
        <v>56716</v>
      </c>
    </row>
    <row r="5458" spans="1:12" s="37" customFormat="1" ht="11.25" x14ac:dyDescent="0.2">
      <c r="A5458" s="46" t="s">
        <v>10663</v>
      </c>
      <c r="B5458" s="46" t="s">
        <v>54286</v>
      </c>
      <c r="C5458" s="58" t="str">
        <f>"20056737"</f>
        <v>20056737</v>
      </c>
      <c r="D5458" s="58" t="str">
        <f>"20056745"</f>
        <v>20056745</v>
      </c>
      <c r="E5458" s="46" t="s">
        <v>10666</v>
      </c>
      <c r="F5458" s="46" t="s">
        <v>50649</v>
      </c>
      <c r="G5458" s="46" t="s">
        <v>50606</v>
      </c>
      <c r="H5458" s="48" t="s">
        <v>56716</v>
      </c>
      <c r="I5458" s="48" t="s">
        <v>50564</v>
      </c>
      <c r="J5458" s="48"/>
      <c r="K5458" s="50"/>
      <c r="L5458" s="48" t="s">
        <v>56716</v>
      </c>
    </row>
    <row r="5459" spans="1:12" s="37" customFormat="1" ht="11.25" x14ac:dyDescent="0.2">
      <c r="A5459" s="45" t="s">
        <v>39492</v>
      </c>
      <c r="B5459" s="45" t="s">
        <v>39493</v>
      </c>
      <c r="C5459" s="51" t="s">
        <v>39494</v>
      </c>
      <c r="D5459" s="51"/>
      <c r="E5459" s="45" t="s">
        <v>39495</v>
      </c>
      <c r="F5459" s="45" t="s">
        <v>17991</v>
      </c>
      <c r="G5459" s="45" t="s">
        <v>50603</v>
      </c>
      <c r="H5459" s="56"/>
      <c r="I5459" s="56" t="s">
        <v>50564</v>
      </c>
      <c r="J5459" s="56"/>
      <c r="K5459" s="50"/>
      <c r="L5459" s="56" t="s">
        <v>56716</v>
      </c>
    </row>
    <row r="5460" spans="1:12" s="37" customFormat="1" ht="11.25" x14ac:dyDescent="0.2">
      <c r="A5460" s="46" t="s">
        <v>12193</v>
      </c>
      <c r="B5460" s="46" t="s">
        <v>12193</v>
      </c>
      <c r="C5460" s="58" t="str">
        <f>"15778843"</f>
        <v>15778843</v>
      </c>
      <c r="D5460" s="58" t="str">
        <f>""</f>
        <v/>
      </c>
      <c r="E5460" s="46" t="s">
        <v>6609</v>
      </c>
      <c r="F5460" s="46" t="s">
        <v>18439</v>
      </c>
      <c r="G5460" s="46" t="s">
        <v>50632</v>
      </c>
      <c r="H5460" s="48" t="s">
        <v>56716</v>
      </c>
      <c r="I5460" s="48" t="s">
        <v>50564</v>
      </c>
      <c r="J5460" s="48"/>
      <c r="K5460" s="50"/>
      <c r="L5460" s="48"/>
    </row>
    <row r="5461" spans="1:12" s="37" customFormat="1" ht="11.25" x14ac:dyDescent="0.2">
      <c r="A5461" s="46" t="s">
        <v>2777</v>
      </c>
      <c r="B5461" s="46" t="s">
        <v>54287</v>
      </c>
      <c r="C5461" s="58" t="str">
        <f>"07203373"</f>
        <v>07203373</v>
      </c>
      <c r="D5461" s="58" t="str">
        <f>"18764495"</f>
        <v>18764495</v>
      </c>
      <c r="E5461" s="46" t="s">
        <v>241</v>
      </c>
      <c r="F5461" s="46" t="s">
        <v>18158</v>
      </c>
      <c r="G5461" s="46" t="s">
        <v>50593</v>
      </c>
      <c r="H5461" s="48" t="s">
        <v>56716</v>
      </c>
      <c r="I5461" s="48" t="s">
        <v>50564</v>
      </c>
      <c r="J5461" s="48"/>
      <c r="K5461" s="50" t="s">
        <v>56716</v>
      </c>
      <c r="L5461" s="48"/>
    </row>
    <row r="5462" spans="1:12" s="37" customFormat="1" ht="11.25" x14ac:dyDescent="0.2">
      <c r="A5462" s="46" t="s">
        <v>4980</v>
      </c>
      <c r="B5462" s="46" t="s">
        <v>4980</v>
      </c>
      <c r="C5462" s="58" t="str">
        <f>"01737597"</f>
        <v>01737597</v>
      </c>
      <c r="D5462" s="58" t="str">
        <f>""</f>
        <v/>
      </c>
      <c r="E5462" s="46" t="s">
        <v>1343</v>
      </c>
      <c r="F5462" s="46" t="s">
        <v>18158</v>
      </c>
      <c r="G5462" s="46" t="s">
        <v>50593</v>
      </c>
      <c r="H5462" s="48" t="s">
        <v>56716</v>
      </c>
      <c r="I5462" s="48" t="s">
        <v>50564</v>
      </c>
      <c r="J5462" s="48"/>
      <c r="K5462" s="50"/>
      <c r="L5462" s="48"/>
    </row>
    <row r="5463" spans="1:12" s="37" customFormat="1" ht="11.25" x14ac:dyDescent="0.2">
      <c r="A5463" s="45" t="s">
        <v>39497</v>
      </c>
      <c r="B5463" s="45" t="s">
        <v>39499</v>
      </c>
      <c r="C5463" s="51" t="s">
        <v>39501</v>
      </c>
      <c r="D5463" s="51"/>
      <c r="E5463" s="45" t="s">
        <v>39502</v>
      </c>
      <c r="F5463" s="45" t="s">
        <v>18158</v>
      </c>
      <c r="G5463" s="45" t="s">
        <v>50593</v>
      </c>
      <c r="H5463" s="56"/>
      <c r="I5463" s="56" t="s">
        <v>50564</v>
      </c>
      <c r="J5463" s="56"/>
      <c r="K5463" s="50"/>
      <c r="L5463" s="56" t="s">
        <v>56716</v>
      </c>
    </row>
    <row r="5464" spans="1:12" s="37" customFormat="1" ht="11.25" x14ac:dyDescent="0.2">
      <c r="A5464" s="45" t="s">
        <v>39504</v>
      </c>
      <c r="B5464" s="45" t="s">
        <v>39506</v>
      </c>
      <c r="C5464" s="51" t="s">
        <v>39508</v>
      </c>
      <c r="D5464" s="51"/>
      <c r="E5464" s="45" t="s">
        <v>39509</v>
      </c>
      <c r="F5464" s="45" t="s">
        <v>18123</v>
      </c>
      <c r="G5464" s="45" t="s">
        <v>56617</v>
      </c>
      <c r="H5464" s="56"/>
      <c r="I5464" s="56" t="s">
        <v>50564</v>
      </c>
      <c r="J5464" s="56"/>
      <c r="K5464" s="50"/>
      <c r="L5464" s="56" t="s">
        <v>56716</v>
      </c>
    </row>
    <row r="5465" spans="1:12" s="37" customFormat="1" ht="11.25" x14ac:dyDescent="0.2">
      <c r="A5465" s="45" t="s">
        <v>39511</v>
      </c>
      <c r="B5465" s="45" t="s">
        <v>39513</v>
      </c>
      <c r="C5465" s="51" t="s">
        <v>39514</v>
      </c>
      <c r="D5465" s="51"/>
      <c r="E5465" s="45" t="s">
        <v>39515</v>
      </c>
      <c r="F5465" s="45" t="s">
        <v>18396</v>
      </c>
      <c r="G5465" s="45" t="s">
        <v>50639</v>
      </c>
      <c r="H5465" s="56"/>
      <c r="I5465" s="56" t="s">
        <v>50564</v>
      </c>
      <c r="J5465" s="56"/>
      <c r="K5465" s="50"/>
      <c r="L5465" s="56" t="s">
        <v>56716</v>
      </c>
    </row>
    <row r="5466" spans="1:12" s="37" customFormat="1" ht="11.25" x14ac:dyDescent="0.2">
      <c r="A5466" s="46" t="s">
        <v>2803</v>
      </c>
      <c r="B5466" s="46" t="s">
        <v>54288</v>
      </c>
      <c r="C5466" s="58" t="str">
        <f>"00235679"</f>
        <v>00235679</v>
      </c>
      <c r="D5466" s="58" t="str">
        <f>"18812090"</f>
        <v>18812090</v>
      </c>
      <c r="E5466" s="46" t="s">
        <v>2806</v>
      </c>
      <c r="F5466" s="46" t="s">
        <v>18242</v>
      </c>
      <c r="G5466" s="46" t="s">
        <v>50584</v>
      </c>
      <c r="H5466" s="48" t="s">
        <v>56716</v>
      </c>
      <c r="I5466" s="48" t="s">
        <v>50564</v>
      </c>
      <c r="J5466" s="48"/>
      <c r="K5466" s="50"/>
      <c r="L5466" s="48" t="s">
        <v>56716</v>
      </c>
    </row>
    <row r="5467" spans="1:12" s="37" customFormat="1" ht="11.25" x14ac:dyDescent="0.2">
      <c r="A5467" s="46" t="s">
        <v>12310</v>
      </c>
      <c r="B5467" s="46" t="s">
        <v>54289</v>
      </c>
      <c r="C5467" s="58" t="str">
        <f>"00235776"</f>
        <v>00235776</v>
      </c>
      <c r="D5467" s="58" t="str">
        <f>""</f>
        <v/>
      </c>
      <c r="E5467" s="46" t="s">
        <v>12312</v>
      </c>
      <c r="F5467" s="46" t="s">
        <v>30320</v>
      </c>
      <c r="G5467" s="46" t="s">
        <v>50584</v>
      </c>
      <c r="H5467" s="48" t="s">
        <v>56716</v>
      </c>
      <c r="I5467" s="48" t="s">
        <v>50564</v>
      </c>
      <c r="J5467" s="48"/>
      <c r="K5467" s="50"/>
      <c r="L5467" s="48"/>
    </row>
    <row r="5468" spans="1:12" s="37" customFormat="1" ht="11.25" x14ac:dyDescent="0.2">
      <c r="A5468" s="45" t="s">
        <v>39524</v>
      </c>
      <c r="B5468" s="45" t="s">
        <v>39526</v>
      </c>
      <c r="C5468" s="51" t="s">
        <v>39528</v>
      </c>
      <c r="D5468" s="51"/>
      <c r="E5468" s="45" t="s">
        <v>39529</v>
      </c>
      <c r="F5468" s="45" t="s">
        <v>17967</v>
      </c>
      <c r="G5468" s="45" t="s">
        <v>50611</v>
      </c>
      <c r="H5468" s="56"/>
      <c r="I5468" s="56" t="s">
        <v>50564</v>
      </c>
      <c r="J5468" s="56"/>
      <c r="K5468" s="50"/>
      <c r="L5468" s="56" t="s">
        <v>56716</v>
      </c>
    </row>
    <row r="5469" spans="1:12" s="37" customFormat="1" ht="11.25" x14ac:dyDescent="0.2">
      <c r="A5469" s="45" t="s">
        <v>39532</v>
      </c>
      <c r="B5469" s="45" t="s">
        <v>39534</v>
      </c>
      <c r="C5469" s="51" t="s">
        <v>39535</v>
      </c>
      <c r="D5469" s="51"/>
      <c r="E5469" s="45" t="s">
        <v>39536</v>
      </c>
      <c r="F5469" s="45" t="s">
        <v>18242</v>
      </c>
      <c r="G5469" s="45" t="s">
        <v>50605</v>
      </c>
      <c r="H5469" s="56"/>
      <c r="I5469" s="56" t="s">
        <v>50564</v>
      </c>
      <c r="J5469" s="56"/>
      <c r="K5469" s="50"/>
      <c r="L5469" s="56" t="s">
        <v>56716</v>
      </c>
    </row>
    <row r="5470" spans="1:12" s="37" customFormat="1" ht="11.25" x14ac:dyDescent="0.2">
      <c r="A5470" s="45" t="s">
        <v>43421</v>
      </c>
      <c r="B5470" s="45" t="s">
        <v>43423</v>
      </c>
      <c r="C5470" s="51" t="s">
        <v>43424</v>
      </c>
      <c r="D5470" s="51" t="s">
        <v>56618</v>
      </c>
      <c r="E5470" s="45" t="s">
        <v>3916</v>
      </c>
      <c r="F5470" s="45" t="s">
        <v>20359</v>
      </c>
      <c r="G5470" s="45" t="s">
        <v>50591</v>
      </c>
      <c r="H5470" s="56"/>
      <c r="I5470" s="56" t="s">
        <v>50564</v>
      </c>
      <c r="J5470" s="56"/>
      <c r="K5470" s="50"/>
      <c r="L5470" s="56" t="s">
        <v>56716</v>
      </c>
    </row>
    <row r="5471" spans="1:12" s="37" customFormat="1" ht="11.25" x14ac:dyDescent="0.2">
      <c r="A5471" s="45" t="s">
        <v>40403</v>
      </c>
      <c r="B5471" s="45" t="s">
        <v>40405</v>
      </c>
      <c r="C5471" s="51" t="s">
        <v>40407</v>
      </c>
      <c r="D5471" s="51"/>
      <c r="E5471" s="45" t="s">
        <v>17990</v>
      </c>
      <c r="F5471" s="45" t="s">
        <v>17991</v>
      </c>
      <c r="G5471" s="45" t="s">
        <v>50602</v>
      </c>
      <c r="H5471" s="56"/>
      <c r="I5471" s="56" t="s">
        <v>50564</v>
      </c>
      <c r="J5471" s="56"/>
      <c r="K5471" s="50"/>
      <c r="L5471" s="56" t="s">
        <v>56716</v>
      </c>
    </row>
    <row r="5472" spans="1:12" s="37" customFormat="1" ht="11.25" x14ac:dyDescent="0.2">
      <c r="A5472" s="45" t="s">
        <v>43781</v>
      </c>
      <c r="B5472" s="45" t="s">
        <v>43783</v>
      </c>
      <c r="C5472" s="51" t="s">
        <v>43784</v>
      </c>
      <c r="D5472" s="51" t="s">
        <v>56619</v>
      </c>
      <c r="E5472" s="45" t="s">
        <v>43785</v>
      </c>
      <c r="F5472" s="45" t="s">
        <v>17991</v>
      </c>
      <c r="G5472" s="45" t="s">
        <v>50602</v>
      </c>
      <c r="H5472" s="56"/>
      <c r="I5472" s="56" t="s">
        <v>50564</v>
      </c>
      <c r="J5472" s="56"/>
      <c r="K5472" s="50"/>
      <c r="L5472" s="56" t="s">
        <v>56716</v>
      </c>
    </row>
    <row r="5473" spans="1:12" s="37" customFormat="1" ht="11.25" x14ac:dyDescent="0.2">
      <c r="A5473" s="45" t="s">
        <v>45794</v>
      </c>
      <c r="B5473" s="45" t="s">
        <v>45796</v>
      </c>
      <c r="C5473" s="51" t="s">
        <v>45799</v>
      </c>
      <c r="D5473" s="51" t="s">
        <v>45798</v>
      </c>
      <c r="E5473" s="45" t="s">
        <v>540</v>
      </c>
      <c r="F5473" s="45" t="s">
        <v>17991</v>
      </c>
      <c r="G5473" s="45" t="s">
        <v>50602</v>
      </c>
      <c r="H5473" s="56"/>
      <c r="I5473" s="56" t="s">
        <v>50564</v>
      </c>
      <c r="J5473" s="56"/>
      <c r="K5473" s="50"/>
      <c r="L5473" s="56" t="s">
        <v>56716</v>
      </c>
    </row>
    <row r="5474" spans="1:12" s="37" customFormat="1" ht="11.25" x14ac:dyDescent="0.2">
      <c r="A5474" s="45" t="s">
        <v>39538</v>
      </c>
      <c r="B5474" s="45" t="s">
        <v>39540</v>
      </c>
      <c r="C5474" s="51" t="s">
        <v>39542</v>
      </c>
      <c r="D5474" s="51" t="s">
        <v>39541</v>
      </c>
      <c r="E5474" s="45" t="s">
        <v>39543</v>
      </c>
      <c r="F5474" s="45" t="s">
        <v>17759</v>
      </c>
      <c r="G5474" s="45" t="s">
        <v>50584</v>
      </c>
      <c r="H5474" s="56"/>
      <c r="I5474" s="56" t="s">
        <v>50564</v>
      </c>
      <c r="J5474" s="56"/>
      <c r="K5474" s="50"/>
      <c r="L5474" s="56" t="s">
        <v>56716</v>
      </c>
    </row>
    <row r="5475" spans="1:12" s="37" customFormat="1" ht="11.25" x14ac:dyDescent="0.2">
      <c r="A5475" s="46" t="s">
        <v>9246</v>
      </c>
      <c r="B5475" s="46" t="s">
        <v>54290</v>
      </c>
      <c r="C5475" s="58" t="str">
        <f>"14730197"</f>
        <v>14730197</v>
      </c>
      <c r="D5475" s="58" t="str">
        <f>"14730189"</f>
        <v>14730189</v>
      </c>
      <c r="E5475" s="46" t="s">
        <v>6914</v>
      </c>
      <c r="F5475" s="46" t="s">
        <v>50646</v>
      </c>
      <c r="G5475" s="46" t="s">
        <v>50584</v>
      </c>
      <c r="H5475" s="48" t="s">
        <v>56716</v>
      </c>
      <c r="I5475" s="48" t="s">
        <v>50564</v>
      </c>
      <c r="J5475" s="48" t="s">
        <v>56716</v>
      </c>
      <c r="K5475" s="50"/>
      <c r="L5475" s="48" t="s">
        <v>56716</v>
      </c>
    </row>
    <row r="5476" spans="1:12" s="37" customFormat="1" ht="11.25" x14ac:dyDescent="0.2">
      <c r="A5476" s="46" t="s">
        <v>2810</v>
      </c>
      <c r="B5476" s="46" t="s">
        <v>2810</v>
      </c>
      <c r="C5476" s="58" t="str">
        <f>"03423026"</f>
        <v>03423026</v>
      </c>
      <c r="D5476" s="58" t="str">
        <f>"14390477"</f>
        <v>14390477</v>
      </c>
      <c r="E5476" s="46" t="s">
        <v>1887</v>
      </c>
      <c r="F5476" s="46" t="s">
        <v>18158</v>
      </c>
      <c r="G5476" s="46" t="s">
        <v>50593</v>
      </c>
      <c r="H5476" s="48" t="s">
        <v>56716</v>
      </c>
      <c r="I5476" s="48" t="s">
        <v>50564</v>
      </c>
      <c r="J5476" s="48"/>
      <c r="K5476" s="50"/>
      <c r="L5476" s="48"/>
    </row>
    <row r="5477" spans="1:12" s="37" customFormat="1" ht="11.25" x14ac:dyDescent="0.2">
      <c r="A5477" s="46" t="s">
        <v>2826</v>
      </c>
      <c r="B5477" s="46" t="s">
        <v>54291</v>
      </c>
      <c r="C5477" s="58" t="str">
        <f>"00236772"</f>
        <v>00236772</v>
      </c>
      <c r="D5477" s="58" t="str">
        <f>"17581117"</f>
        <v>17581117</v>
      </c>
      <c r="E5477" s="46" t="s">
        <v>97</v>
      </c>
      <c r="F5477" s="46" t="s">
        <v>50646</v>
      </c>
      <c r="G5477" s="46" t="s">
        <v>50584</v>
      </c>
      <c r="H5477" s="48" t="s">
        <v>56716</v>
      </c>
      <c r="I5477" s="48" t="s">
        <v>50564</v>
      </c>
      <c r="J5477" s="48"/>
      <c r="K5477" s="50"/>
      <c r="L5477" s="48" t="s">
        <v>56716</v>
      </c>
    </row>
    <row r="5478" spans="1:12" s="37" customFormat="1" ht="11.25" x14ac:dyDescent="0.2">
      <c r="A5478" s="46" t="s">
        <v>8534</v>
      </c>
      <c r="B5478" s="46" t="s">
        <v>54292</v>
      </c>
      <c r="C5478" s="58" t="str">
        <f>"10802924"</f>
        <v>10802924</v>
      </c>
      <c r="D5478" s="58" t="str">
        <f>""</f>
        <v/>
      </c>
      <c r="E5478" s="46" t="s">
        <v>8495</v>
      </c>
      <c r="F5478" s="46" t="s">
        <v>17759</v>
      </c>
      <c r="G5478" s="46" t="s">
        <v>50584</v>
      </c>
      <c r="H5478" s="48" t="s">
        <v>56716</v>
      </c>
      <c r="I5478" s="48" t="s">
        <v>50564</v>
      </c>
      <c r="J5478" s="48"/>
      <c r="K5478" s="50"/>
      <c r="L5478" s="48" t="s">
        <v>56716</v>
      </c>
    </row>
    <row r="5479" spans="1:12" s="37" customFormat="1" ht="11.25" x14ac:dyDescent="0.2">
      <c r="A5479" s="46" t="s">
        <v>2813</v>
      </c>
      <c r="B5479" s="46" t="s">
        <v>54293</v>
      </c>
      <c r="C5479" s="58" t="str">
        <f>"00236837"</f>
        <v>00236837</v>
      </c>
      <c r="D5479" s="58" t="str">
        <f>"15300307"</f>
        <v>15300307</v>
      </c>
      <c r="E5479" s="46" t="s">
        <v>315</v>
      </c>
      <c r="F5479" s="46" t="s">
        <v>50646</v>
      </c>
      <c r="G5479" s="46" t="s">
        <v>50584</v>
      </c>
      <c r="H5479" s="48" t="s">
        <v>56716</v>
      </c>
      <c r="I5479" s="48" t="s">
        <v>50564</v>
      </c>
      <c r="J5479" s="48" t="s">
        <v>56716</v>
      </c>
      <c r="K5479" s="50"/>
      <c r="L5479" s="48" t="s">
        <v>56716</v>
      </c>
    </row>
    <row r="5480" spans="1:12" s="37" customFormat="1" ht="11.25" x14ac:dyDescent="0.2">
      <c r="A5480" s="46" t="s">
        <v>2828</v>
      </c>
      <c r="B5480" s="46" t="s">
        <v>54294</v>
      </c>
      <c r="C5480" s="58" t="str">
        <f>"00075027"</f>
        <v>00075027</v>
      </c>
      <c r="D5480" s="58" t="str">
        <f>"19437730"</f>
        <v>19437730</v>
      </c>
      <c r="E5480" s="46" t="s">
        <v>287</v>
      </c>
      <c r="F5480" s="46" t="s">
        <v>17759</v>
      </c>
      <c r="G5480" s="46" t="s">
        <v>50584</v>
      </c>
      <c r="H5480" s="48" t="s">
        <v>56716</v>
      </c>
      <c r="I5480" s="48" t="s">
        <v>50564</v>
      </c>
      <c r="J5480" s="48"/>
      <c r="K5480" s="50"/>
      <c r="L5480" s="48" t="s">
        <v>56716</v>
      </c>
    </row>
    <row r="5481" spans="1:12" s="37" customFormat="1" ht="11.25" x14ac:dyDescent="0.2">
      <c r="A5481" s="45" t="s">
        <v>39571</v>
      </c>
      <c r="B5481" s="45" t="s">
        <v>39573</v>
      </c>
      <c r="C5481" s="51" t="s">
        <v>39575</v>
      </c>
      <c r="D5481" s="51" t="s">
        <v>39574</v>
      </c>
      <c r="E5481" s="45" t="s">
        <v>39576</v>
      </c>
      <c r="F5481" s="45" t="s">
        <v>39577</v>
      </c>
      <c r="G5481" s="45" t="s">
        <v>50601</v>
      </c>
      <c r="H5481" s="56"/>
      <c r="I5481" s="56" t="s">
        <v>50564</v>
      </c>
      <c r="J5481" s="56"/>
      <c r="K5481" s="50"/>
      <c r="L5481" s="56" t="s">
        <v>56716</v>
      </c>
    </row>
    <row r="5482" spans="1:12" s="37" customFormat="1" ht="11.25" x14ac:dyDescent="0.2">
      <c r="A5482" s="45" t="s">
        <v>39580</v>
      </c>
      <c r="B5482" s="45" t="s">
        <v>39582</v>
      </c>
      <c r="C5482" s="51" t="s">
        <v>39585</v>
      </c>
      <c r="D5482" s="51" t="s">
        <v>39584</v>
      </c>
      <c r="E5482" s="45" t="s">
        <v>39586</v>
      </c>
      <c r="F5482" s="45" t="s">
        <v>18130</v>
      </c>
      <c r="G5482" s="45" t="s">
        <v>56620</v>
      </c>
      <c r="H5482" s="56"/>
      <c r="I5482" s="56" t="s">
        <v>50564</v>
      </c>
      <c r="J5482" s="56"/>
      <c r="K5482" s="50"/>
      <c r="L5482" s="56" t="s">
        <v>56716</v>
      </c>
    </row>
    <row r="5483" spans="1:12" s="37" customFormat="1" ht="11.25" x14ac:dyDescent="0.2">
      <c r="A5483" s="46" t="s">
        <v>7775</v>
      </c>
      <c r="B5483" s="46" t="s">
        <v>54295</v>
      </c>
      <c r="C5483" s="58" t="str">
        <f>"14352443"</f>
        <v>14352443</v>
      </c>
      <c r="D5483" s="58" t="str">
        <f>"14352451"</f>
        <v>14352451</v>
      </c>
      <c r="E5483" s="46" t="s">
        <v>167</v>
      </c>
      <c r="F5483" s="46" t="s">
        <v>18158</v>
      </c>
      <c r="G5483" s="46" t="s">
        <v>50584</v>
      </c>
      <c r="H5483" s="48" t="s">
        <v>56716</v>
      </c>
      <c r="I5483" s="48" t="s">
        <v>50564</v>
      </c>
      <c r="J5483" s="48" t="s">
        <v>56716</v>
      </c>
      <c r="K5483" s="50" t="s">
        <v>56716</v>
      </c>
      <c r="L5483" s="48" t="s">
        <v>56716</v>
      </c>
    </row>
    <row r="5484" spans="1:12" s="37" customFormat="1" ht="11.25" x14ac:dyDescent="0.2">
      <c r="A5484" s="45" t="s">
        <v>39616</v>
      </c>
      <c r="B5484" s="45" t="s">
        <v>39618</v>
      </c>
      <c r="C5484" s="51" t="s">
        <v>39620</v>
      </c>
      <c r="D5484" s="51" t="s">
        <v>39619</v>
      </c>
      <c r="E5484" s="45" t="s">
        <v>776</v>
      </c>
      <c r="F5484" s="45" t="s">
        <v>17759</v>
      </c>
      <c r="G5484" s="45" t="s">
        <v>50584</v>
      </c>
      <c r="H5484" s="56"/>
      <c r="I5484" s="56" t="s">
        <v>50564</v>
      </c>
      <c r="J5484" s="56"/>
      <c r="K5484" s="50"/>
      <c r="L5484" s="56" t="s">
        <v>56716</v>
      </c>
    </row>
    <row r="5485" spans="1:12" s="37" customFormat="1" ht="11.25" x14ac:dyDescent="0.2">
      <c r="A5485" s="45" t="s">
        <v>39623</v>
      </c>
      <c r="B5485" s="45" t="s">
        <v>39625</v>
      </c>
      <c r="C5485" s="51" t="s">
        <v>39627</v>
      </c>
      <c r="D5485" s="51" t="s">
        <v>39626</v>
      </c>
      <c r="E5485" s="45" t="s">
        <v>18520</v>
      </c>
      <c r="F5485" s="45" t="s">
        <v>50646</v>
      </c>
      <c r="G5485" s="45" t="s">
        <v>50584</v>
      </c>
      <c r="H5485" s="56"/>
      <c r="I5485" s="56" t="s">
        <v>50564</v>
      </c>
      <c r="J5485" s="56"/>
      <c r="K5485" s="50"/>
      <c r="L5485" s="56" t="s">
        <v>56716</v>
      </c>
    </row>
    <row r="5486" spans="1:12" s="37" customFormat="1" ht="11.25" x14ac:dyDescent="0.2">
      <c r="A5486" s="46" t="s">
        <v>56079</v>
      </c>
      <c r="B5486" s="46" t="s">
        <v>56080</v>
      </c>
      <c r="C5486" s="58" t="str">
        <f>"23273798"</f>
        <v>23273798</v>
      </c>
      <c r="D5486" s="58" t="str">
        <f>"23273801"</f>
        <v>23273801</v>
      </c>
      <c r="E5486" s="46" t="s">
        <v>689</v>
      </c>
      <c r="F5486" s="46" t="s">
        <v>50646</v>
      </c>
      <c r="G5486" s="46" t="s">
        <v>50584</v>
      </c>
      <c r="H5486" s="48" t="s">
        <v>56716</v>
      </c>
      <c r="I5486" s="48" t="s">
        <v>50564</v>
      </c>
      <c r="J5486" s="48"/>
      <c r="K5486" s="50" t="s">
        <v>56716</v>
      </c>
      <c r="L5486" s="48"/>
    </row>
    <row r="5487" spans="1:12" s="37" customFormat="1" ht="11.25" x14ac:dyDescent="0.2">
      <c r="A5487" s="45" t="s">
        <v>39629</v>
      </c>
      <c r="B5487" s="45" t="s">
        <v>39631</v>
      </c>
      <c r="C5487" s="51" t="s">
        <v>39634</v>
      </c>
      <c r="D5487" s="51" t="s">
        <v>39633</v>
      </c>
      <c r="E5487" s="45" t="s">
        <v>39635</v>
      </c>
      <c r="F5487" s="45" t="s">
        <v>17759</v>
      </c>
      <c r="G5487" s="45" t="s">
        <v>50584</v>
      </c>
      <c r="H5487" s="56"/>
      <c r="I5487" s="56" t="s">
        <v>50564</v>
      </c>
      <c r="J5487" s="56"/>
      <c r="K5487" s="50"/>
      <c r="L5487" s="56" t="s">
        <v>56716</v>
      </c>
    </row>
    <row r="5488" spans="1:12" s="37" customFormat="1" ht="11.25" x14ac:dyDescent="0.2">
      <c r="A5488" s="46" t="s">
        <v>4883</v>
      </c>
      <c r="B5488" s="46" t="s">
        <v>54296</v>
      </c>
      <c r="C5488" s="58" t="str">
        <f>"09358943"</f>
        <v>09358943</v>
      </c>
      <c r="D5488" s="58" t="str">
        <f>"14388685"</f>
        <v>14388685</v>
      </c>
      <c r="E5488" s="46" t="s">
        <v>412</v>
      </c>
      <c r="F5488" s="46" t="s">
        <v>18158</v>
      </c>
      <c r="G5488" s="46" t="s">
        <v>50593</v>
      </c>
      <c r="H5488" s="48" t="s">
        <v>56716</v>
      </c>
      <c r="I5488" s="48" t="s">
        <v>50564</v>
      </c>
      <c r="J5488" s="48" t="s">
        <v>56716</v>
      </c>
      <c r="K5488" s="50" t="s">
        <v>56716</v>
      </c>
      <c r="L5488" s="48" t="s">
        <v>56716</v>
      </c>
    </row>
    <row r="5489" spans="1:12" s="37" customFormat="1" ht="11.25" x14ac:dyDescent="0.2">
      <c r="A5489" s="46" t="s">
        <v>2823</v>
      </c>
      <c r="B5489" s="46" t="s">
        <v>2823</v>
      </c>
      <c r="C5489" s="58" t="str">
        <f>"0023852X"</f>
        <v>0023852X</v>
      </c>
      <c r="D5489" s="58" t="str">
        <f>"15314995"</f>
        <v>15314995</v>
      </c>
      <c r="E5489" s="46" t="s">
        <v>517</v>
      </c>
      <c r="F5489" s="46" t="s">
        <v>17759</v>
      </c>
      <c r="G5489" s="46" t="s">
        <v>50584</v>
      </c>
      <c r="H5489" s="48" t="s">
        <v>56716</v>
      </c>
      <c r="I5489" s="48" t="s">
        <v>50564</v>
      </c>
      <c r="J5489" s="48" t="s">
        <v>56716</v>
      </c>
      <c r="K5489" s="50" t="s">
        <v>56716</v>
      </c>
      <c r="L5489" s="48" t="s">
        <v>56716</v>
      </c>
    </row>
    <row r="5490" spans="1:12" s="37" customFormat="1" ht="11.25" x14ac:dyDescent="0.2">
      <c r="A5490" s="46" t="s">
        <v>15343</v>
      </c>
      <c r="B5490" s="46" t="s">
        <v>54297</v>
      </c>
      <c r="C5490" s="58" t="str">
        <f>"08985901"</f>
        <v>08985901</v>
      </c>
      <c r="D5490" s="58" t="str">
        <f>"18847269"</f>
        <v>18847269</v>
      </c>
      <c r="E5490" s="46" t="s">
        <v>15346</v>
      </c>
      <c r="F5490" s="46" t="s">
        <v>18242</v>
      </c>
      <c r="G5490" s="46" t="s">
        <v>50584</v>
      </c>
      <c r="H5490" s="48" t="s">
        <v>56716</v>
      </c>
      <c r="I5490" s="48" t="s">
        <v>50564</v>
      </c>
      <c r="J5490" s="48"/>
      <c r="K5490" s="50"/>
      <c r="L5490" s="48"/>
    </row>
    <row r="5491" spans="1:12" s="37" customFormat="1" ht="11.25" x14ac:dyDescent="0.2">
      <c r="A5491" s="46" t="s">
        <v>4185</v>
      </c>
      <c r="B5491" s="46" t="s">
        <v>54298</v>
      </c>
      <c r="C5491" s="58" t="str">
        <f>"02688921"</f>
        <v>02688921</v>
      </c>
      <c r="D5491" s="58" t="str">
        <f>"1435604X"</f>
        <v>1435604X</v>
      </c>
      <c r="E5491" s="46" t="s">
        <v>56002</v>
      </c>
      <c r="F5491" s="46" t="s">
        <v>50646</v>
      </c>
      <c r="G5491" s="46" t="s">
        <v>50584</v>
      </c>
      <c r="H5491" s="48" t="s">
        <v>56716</v>
      </c>
      <c r="I5491" s="48" t="s">
        <v>50564</v>
      </c>
      <c r="J5491" s="48" t="s">
        <v>56716</v>
      </c>
      <c r="K5491" s="50" t="s">
        <v>56716</v>
      </c>
      <c r="L5491" s="48" t="s">
        <v>56716</v>
      </c>
    </row>
    <row r="5492" spans="1:12" s="37" customFormat="1" ht="11.25" x14ac:dyDescent="0.2">
      <c r="A5492" s="46" t="s">
        <v>2852</v>
      </c>
      <c r="B5492" s="46" t="s">
        <v>54299</v>
      </c>
      <c r="C5492" s="58" t="str">
        <f>"01968092"</f>
        <v>01968092</v>
      </c>
      <c r="D5492" s="58" t="str">
        <f>"10969101"</f>
        <v>10969101</v>
      </c>
      <c r="E5492" s="46" t="s">
        <v>517</v>
      </c>
      <c r="F5492" s="46" t="s">
        <v>17759</v>
      </c>
      <c r="G5492" s="46" t="s">
        <v>50584</v>
      </c>
      <c r="H5492" s="48" t="s">
        <v>56716</v>
      </c>
      <c r="I5492" s="48" t="s">
        <v>50564</v>
      </c>
      <c r="J5492" s="48" t="s">
        <v>56716</v>
      </c>
      <c r="K5492" s="50" t="s">
        <v>56716</v>
      </c>
      <c r="L5492" s="48" t="s">
        <v>56716</v>
      </c>
    </row>
    <row r="5493" spans="1:12" s="37" customFormat="1" ht="11.25" x14ac:dyDescent="0.2">
      <c r="A5493" s="45" t="s">
        <v>39662</v>
      </c>
      <c r="B5493" s="45" t="s">
        <v>39662</v>
      </c>
      <c r="C5493" s="51" t="s">
        <v>39665</v>
      </c>
      <c r="D5493" s="51" t="s">
        <v>39664</v>
      </c>
      <c r="E5493" s="45" t="s">
        <v>291</v>
      </c>
      <c r="F5493" s="45" t="s">
        <v>50646</v>
      </c>
      <c r="G5493" s="45" t="s">
        <v>50584</v>
      </c>
      <c r="H5493" s="56"/>
      <c r="I5493" s="56" t="s">
        <v>50564</v>
      </c>
      <c r="J5493" s="56"/>
      <c r="K5493" s="50"/>
      <c r="L5493" s="56" t="s">
        <v>56716</v>
      </c>
    </row>
    <row r="5494" spans="1:12" s="37" customFormat="1" ht="11.25" x14ac:dyDescent="0.2">
      <c r="A5494" s="46" t="s">
        <v>12105</v>
      </c>
      <c r="B5494" s="46" t="s">
        <v>54300</v>
      </c>
      <c r="C5494" s="58" t="str">
        <f>"03262383"</f>
        <v>03262383</v>
      </c>
      <c r="D5494" s="58" t="str">
        <f>""</f>
        <v/>
      </c>
      <c r="E5494" s="46" t="s">
        <v>12107</v>
      </c>
      <c r="F5494" s="46" t="s">
        <v>18169</v>
      </c>
      <c r="G5494" s="46" t="s">
        <v>50635</v>
      </c>
      <c r="H5494" s="48" t="s">
        <v>56716</v>
      </c>
      <c r="I5494" s="48" t="s">
        <v>50564</v>
      </c>
      <c r="J5494" s="48"/>
      <c r="K5494" s="50"/>
      <c r="L5494" s="48"/>
    </row>
    <row r="5495" spans="1:12" s="37" customFormat="1" ht="11.25" x14ac:dyDescent="0.2">
      <c r="A5495" s="45" t="s">
        <v>39667</v>
      </c>
      <c r="B5495" s="45" t="s">
        <v>39669</v>
      </c>
      <c r="C5495" s="51" t="s">
        <v>39671</v>
      </c>
      <c r="D5495" s="51" t="s">
        <v>39670</v>
      </c>
      <c r="E5495" s="45" t="s">
        <v>19767</v>
      </c>
      <c r="F5495" s="45" t="s">
        <v>17759</v>
      </c>
      <c r="G5495" s="45" t="s">
        <v>50584</v>
      </c>
      <c r="H5495" s="56"/>
      <c r="I5495" s="56" t="s">
        <v>50564</v>
      </c>
      <c r="J5495" s="56"/>
      <c r="K5495" s="50"/>
      <c r="L5495" s="56" t="s">
        <v>56716</v>
      </c>
    </row>
    <row r="5496" spans="1:12" s="37" customFormat="1" ht="11.25" x14ac:dyDescent="0.2">
      <c r="A5496" s="45" t="s">
        <v>39673</v>
      </c>
      <c r="B5496" s="45" t="s">
        <v>39675</v>
      </c>
      <c r="C5496" s="51" t="s">
        <v>39677</v>
      </c>
      <c r="D5496" s="51"/>
      <c r="E5496" s="45" t="s">
        <v>39678</v>
      </c>
      <c r="F5496" s="45" t="s">
        <v>17759</v>
      </c>
      <c r="G5496" s="45" t="s">
        <v>50584</v>
      </c>
      <c r="H5496" s="56"/>
      <c r="I5496" s="56" t="s">
        <v>50564</v>
      </c>
      <c r="J5496" s="56"/>
      <c r="K5496" s="50"/>
      <c r="L5496" s="56" t="s">
        <v>56716</v>
      </c>
    </row>
    <row r="5497" spans="1:12" s="37" customFormat="1" ht="11.25" x14ac:dyDescent="0.2">
      <c r="A5497" s="45" t="s">
        <v>39680</v>
      </c>
      <c r="B5497" s="45" t="s">
        <v>39682</v>
      </c>
      <c r="C5497" s="51"/>
      <c r="D5497" s="51" t="s">
        <v>39683</v>
      </c>
      <c r="E5497" s="45" t="s">
        <v>39684</v>
      </c>
      <c r="F5497" s="45" t="s">
        <v>17759</v>
      </c>
      <c r="G5497" s="45" t="s">
        <v>50584</v>
      </c>
      <c r="H5497" s="56"/>
      <c r="I5497" s="56" t="s">
        <v>50564</v>
      </c>
      <c r="J5497" s="56"/>
      <c r="K5497" s="50"/>
      <c r="L5497" s="56" t="s">
        <v>56716</v>
      </c>
    </row>
    <row r="5498" spans="1:12" s="37" customFormat="1" ht="11.25" x14ac:dyDescent="0.2">
      <c r="A5498" s="45" t="s">
        <v>33680</v>
      </c>
      <c r="B5498" s="45" t="s">
        <v>33682</v>
      </c>
      <c r="C5498" s="51" t="s">
        <v>33683</v>
      </c>
      <c r="D5498" s="51"/>
      <c r="E5498" s="45" t="s">
        <v>33684</v>
      </c>
      <c r="F5498" s="45" t="s">
        <v>20359</v>
      </c>
      <c r="G5498" s="45" t="s">
        <v>50590</v>
      </c>
      <c r="H5498" s="56"/>
      <c r="I5498" s="56" t="s">
        <v>50564</v>
      </c>
      <c r="J5498" s="56"/>
      <c r="K5498" s="50"/>
      <c r="L5498" s="56" t="s">
        <v>56716</v>
      </c>
    </row>
    <row r="5499" spans="1:12" s="37" customFormat="1" ht="11.25" x14ac:dyDescent="0.2">
      <c r="A5499" s="45" t="s">
        <v>39938</v>
      </c>
      <c r="B5499" s="45" t="s">
        <v>39940</v>
      </c>
      <c r="C5499" s="51" t="s">
        <v>39942</v>
      </c>
      <c r="D5499" s="51" t="s">
        <v>39941</v>
      </c>
      <c r="E5499" s="45" t="s">
        <v>39943</v>
      </c>
      <c r="F5499" s="45" t="s">
        <v>39944</v>
      </c>
      <c r="G5499" s="45" t="s">
        <v>50591</v>
      </c>
      <c r="H5499" s="56"/>
      <c r="I5499" s="56" t="s">
        <v>50564</v>
      </c>
      <c r="J5499" s="56"/>
      <c r="K5499" s="50"/>
      <c r="L5499" s="56" t="s">
        <v>56716</v>
      </c>
    </row>
    <row r="5500" spans="1:12" s="37" customFormat="1" ht="11.25" x14ac:dyDescent="0.2">
      <c r="A5500" s="45" t="s">
        <v>39687</v>
      </c>
      <c r="B5500" s="45" t="s">
        <v>39689</v>
      </c>
      <c r="C5500" s="51" t="s">
        <v>39692</v>
      </c>
      <c r="D5500" s="51" t="s">
        <v>39691</v>
      </c>
      <c r="E5500" s="45" t="s">
        <v>39693</v>
      </c>
      <c r="F5500" s="45" t="s">
        <v>50646</v>
      </c>
      <c r="G5500" s="45" t="s">
        <v>50584</v>
      </c>
      <c r="H5500" s="56"/>
      <c r="I5500" s="56" t="s">
        <v>50564</v>
      </c>
      <c r="J5500" s="56"/>
      <c r="K5500" s="50"/>
      <c r="L5500" s="56" t="s">
        <v>56716</v>
      </c>
    </row>
    <row r="5501" spans="1:12" s="37" customFormat="1" ht="11.25" x14ac:dyDescent="0.2">
      <c r="A5501" s="45" t="s">
        <v>39695</v>
      </c>
      <c r="B5501" s="45" t="s">
        <v>39697</v>
      </c>
      <c r="C5501" s="51" t="s">
        <v>39700</v>
      </c>
      <c r="D5501" s="51" t="s">
        <v>39699</v>
      </c>
      <c r="E5501" s="45" t="s">
        <v>17783</v>
      </c>
      <c r="F5501" s="45" t="s">
        <v>17759</v>
      </c>
      <c r="G5501" s="45" t="s">
        <v>50584</v>
      </c>
      <c r="H5501" s="56"/>
      <c r="I5501" s="56" t="s">
        <v>50564</v>
      </c>
      <c r="J5501" s="56"/>
      <c r="K5501" s="50"/>
      <c r="L5501" s="56" t="s">
        <v>56716</v>
      </c>
    </row>
    <row r="5502" spans="1:12" s="37" customFormat="1" ht="11.25" x14ac:dyDescent="0.2">
      <c r="A5502" s="46" t="s">
        <v>6801</v>
      </c>
      <c r="B5502" s="46" t="s">
        <v>54301</v>
      </c>
      <c r="C5502" s="58" t="str">
        <f>"10720502"</f>
        <v>10720502</v>
      </c>
      <c r="D5502" s="58" t="str">
        <f>"15495485"</f>
        <v>15495485</v>
      </c>
      <c r="E5502" s="46" t="s">
        <v>1307</v>
      </c>
      <c r="F5502" s="46" t="s">
        <v>17759</v>
      </c>
      <c r="G5502" s="46" t="s">
        <v>50584</v>
      </c>
      <c r="H5502" s="48" t="s">
        <v>56716</v>
      </c>
      <c r="I5502" s="48" t="s">
        <v>50564</v>
      </c>
      <c r="J5502" s="48" t="s">
        <v>56716</v>
      </c>
      <c r="K5502" s="50"/>
      <c r="L5502" s="48" t="s">
        <v>56716</v>
      </c>
    </row>
    <row r="5503" spans="1:12" s="37" customFormat="1" ht="11.25" x14ac:dyDescent="0.2">
      <c r="A5503" s="46" t="s">
        <v>7093</v>
      </c>
      <c r="B5503" s="46" t="s">
        <v>54302</v>
      </c>
      <c r="C5503" s="58" t="str">
        <f>"13553259"</f>
        <v>13553259</v>
      </c>
      <c r="D5503" s="58" t="str">
        <f>"20448333"</f>
        <v>20448333</v>
      </c>
      <c r="E5503" s="46" t="s">
        <v>751</v>
      </c>
      <c r="F5503" s="46" t="s">
        <v>50646</v>
      </c>
      <c r="G5503" s="46" t="s">
        <v>50584</v>
      </c>
      <c r="H5503" s="48" t="s">
        <v>56716</v>
      </c>
      <c r="I5503" s="48" t="s">
        <v>50564</v>
      </c>
      <c r="J5503" s="48" t="s">
        <v>56716</v>
      </c>
      <c r="K5503" s="50" t="s">
        <v>56716</v>
      </c>
      <c r="L5503" s="48"/>
    </row>
    <row r="5504" spans="1:12" s="37" customFormat="1" ht="11.25" x14ac:dyDescent="0.2">
      <c r="A5504" s="46" t="s">
        <v>8207</v>
      </c>
      <c r="B5504" s="46" t="s">
        <v>54303</v>
      </c>
      <c r="C5504" s="58" t="str">
        <f>"13446223"</f>
        <v>13446223</v>
      </c>
      <c r="D5504" s="58" t="str">
        <f>"18734162"</f>
        <v>18734162</v>
      </c>
      <c r="E5504" s="46" t="s">
        <v>91</v>
      </c>
      <c r="F5504" s="46" t="s">
        <v>18001</v>
      </c>
      <c r="G5504" s="46" t="s">
        <v>50584</v>
      </c>
      <c r="H5504" s="48" t="s">
        <v>56716</v>
      </c>
      <c r="I5504" s="48" t="s">
        <v>50564</v>
      </c>
      <c r="J5504" s="48"/>
      <c r="K5504" s="50" t="s">
        <v>56716</v>
      </c>
      <c r="L5504" s="48" t="s">
        <v>56716</v>
      </c>
    </row>
    <row r="5505" spans="1:12" s="37" customFormat="1" ht="11.25" x14ac:dyDescent="0.2">
      <c r="A5505" s="45" t="s">
        <v>39712</v>
      </c>
      <c r="B5505" s="45" t="s">
        <v>39714</v>
      </c>
      <c r="C5505" s="51" t="s">
        <v>39715</v>
      </c>
      <c r="D5505" s="51"/>
      <c r="E5505" s="45" t="s">
        <v>39716</v>
      </c>
      <c r="F5505" s="45" t="s">
        <v>17976</v>
      </c>
      <c r="G5505" s="45" t="s">
        <v>50599</v>
      </c>
      <c r="H5505" s="56"/>
      <c r="I5505" s="56" t="s">
        <v>50564</v>
      </c>
      <c r="J5505" s="56"/>
      <c r="K5505" s="50"/>
      <c r="L5505" s="56" t="s">
        <v>56716</v>
      </c>
    </row>
    <row r="5506" spans="1:12" s="37" customFormat="1" ht="11.25" x14ac:dyDescent="0.2">
      <c r="A5506" s="46" t="s">
        <v>50690</v>
      </c>
      <c r="B5506" s="46" t="s">
        <v>54304</v>
      </c>
      <c r="C5506" s="58" t="str">
        <f>"03015491"</f>
        <v>03015491</v>
      </c>
      <c r="D5506" s="58" t="str">
        <f>""</f>
        <v/>
      </c>
      <c r="E5506" s="46" t="s">
        <v>1130</v>
      </c>
      <c r="F5506" s="46" t="s">
        <v>18025</v>
      </c>
      <c r="G5506" s="46" t="s">
        <v>50629</v>
      </c>
      <c r="H5506" s="48" t="s">
        <v>56716</v>
      </c>
      <c r="I5506" s="48" t="s">
        <v>50564</v>
      </c>
      <c r="J5506" s="48"/>
      <c r="K5506" s="50"/>
      <c r="L5506" s="48"/>
    </row>
    <row r="5507" spans="1:12" s="37" customFormat="1" ht="11.25" x14ac:dyDescent="0.2">
      <c r="A5507" s="45" t="s">
        <v>39718</v>
      </c>
      <c r="B5507" s="45" t="s">
        <v>39720</v>
      </c>
      <c r="C5507" s="51" t="s">
        <v>39722</v>
      </c>
      <c r="D5507" s="51"/>
      <c r="E5507" s="45" t="s">
        <v>39723</v>
      </c>
      <c r="F5507" s="45" t="s">
        <v>50646</v>
      </c>
      <c r="G5507" s="45" t="s">
        <v>50584</v>
      </c>
      <c r="H5507" s="56"/>
      <c r="I5507" s="56" t="s">
        <v>50564</v>
      </c>
      <c r="J5507" s="56"/>
      <c r="K5507" s="50"/>
      <c r="L5507" s="56" t="s">
        <v>56716</v>
      </c>
    </row>
    <row r="5508" spans="1:12" s="37" customFormat="1" ht="11.25" x14ac:dyDescent="0.2">
      <c r="A5508" s="46" t="s">
        <v>2816</v>
      </c>
      <c r="B5508" s="46" t="s">
        <v>54305</v>
      </c>
      <c r="C5508" s="58" t="str">
        <f>"02668254"</f>
        <v>02668254</v>
      </c>
      <c r="D5508" s="58" t="str">
        <f>"1472765X"</f>
        <v>1472765X</v>
      </c>
      <c r="E5508" s="46" t="s">
        <v>35</v>
      </c>
      <c r="F5508" s="46" t="s">
        <v>50646</v>
      </c>
      <c r="G5508" s="46" t="s">
        <v>50584</v>
      </c>
      <c r="H5508" s="48" t="s">
        <v>56716</v>
      </c>
      <c r="I5508" s="48" t="s">
        <v>50564</v>
      </c>
      <c r="J5508" s="48"/>
      <c r="K5508" s="50" t="s">
        <v>56716</v>
      </c>
      <c r="L5508" s="48" t="s">
        <v>56716</v>
      </c>
    </row>
    <row r="5509" spans="1:12" s="37" customFormat="1" ht="11.25" x14ac:dyDescent="0.2">
      <c r="A5509" s="46" t="s">
        <v>10409</v>
      </c>
      <c r="B5509" s="46" t="s">
        <v>54306</v>
      </c>
      <c r="C5509" s="58" t="str">
        <f>"15701808"</f>
        <v>15701808</v>
      </c>
      <c r="D5509" s="58" t="str">
        <f>"1875628X"</f>
        <v>1875628X</v>
      </c>
      <c r="E5509" s="46" t="s">
        <v>6405</v>
      </c>
      <c r="F5509" s="46" t="s">
        <v>18001</v>
      </c>
      <c r="G5509" s="46" t="s">
        <v>50584</v>
      </c>
      <c r="H5509" s="48" t="s">
        <v>56716</v>
      </c>
      <c r="I5509" s="48" t="s">
        <v>50564</v>
      </c>
      <c r="J5509" s="48" t="s">
        <v>56716</v>
      </c>
      <c r="K5509" s="50"/>
      <c r="L5509" s="48"/>
    </row>
    <row r="5510" spans="1:12" s="37" customFormat="1" ht="11.25" x14ac:dyDescent="0.2">
      <c r="A5510" s="46" t="s">
        <v>4182</v>
      </c>
      <c r="B5510" s="46" t="s">
        <v>4182</v>
      </c>
      <c r="C5510" s="58" t="str">
        <f>"08876924"</f>
        <v>08876924</v>
      </c>
      <c r="D5510" s="58" t="str">
        <f>"14765551"</f>
        <v>14765551</v>
      </c>
      <c r="E5510" s="46" t="s">
        <v>315</v>
      </c>
      <c r="F5510" s="46" t="s">
        <v>50646</v>
      </c>
      <c r="G5510" s="46" t="s">
        <v>50584</v>
      </c>
      <c r="H5510" s="48" t="s">
        <v>56716</v>
      </c>
      <c r="I5510" s="48" t="s">
        <v>50564</v>
      </c>
      <c r="J5510" s="48" t="s">
        <v>56716</v>
      </c>
      <c r="K5510" s="50" t="s">
        <v>56716</v>
      </c>
      <c r="L5510" s="48" t="s">
        <v>56716</v>
      </c>
    </row>
    <row r="5511" spans="1:12" s="37" customFormat="1" ht="11.25" x14ac:dyDescent="0.2">
      <c r="A5511" s="46" t="s">
        <v>5027</v>
      </c>
      <c r="B5511" s="46" t="s">
        <v>54307</v>
      </c>
      <c r="C5511" s="58" t="str">
        <f>"10428194"</f>
        <v>10428194</v>
      </c>
      <c r="D5511" s="58" t="str">
        <f>"10292403"</f>
        <v>10292403</v>
      </c>
      <c r="E5511" s="46" t="s">
        <v>291</v>
      </c>
      <c r="F5511" s="46" t="s">
        <v>50646</v>
      </c>
      <c r="G5511" s="46" t="s">
        <v>50584</v>
      </c>
      <c r="H5511" s="48" t="s">
        <v>56716</v>
      </c>
      <c r="I5511" s="48" t="s">
        <v>50564</v>
      </c>
      <c r="J5511" s="48" t="s">
        <v>56716</v>
      </c>
      <c r="K5511" s="50"/>
      <c r="L5511" s="48" t="s">
        <v>56716</v>
      </c>
    </row>
    <row r="5512" spans="1:12" s="37" customFormat="1" ht="11.25" x14ac:dyDescent="0.2">
      <c r="A5512" s="46" t="s">
        <v>2836</v>
      </c>
      <c r="B5512" s="46" t="s">
        <v>54308</v>
      </c>
      <c r="C5512" s="58" t="str">
        <f>"01452126"</f>
        <v>01452126</v>
      </c>
      <c r="D5512" s="58" t="str">
        <f>"18735835"</f>
        <v>18735835</v>
      </c>
      <c r="E5512" s="46" t="s">
        <v>155</v>
      </c>
      <c r="F5512" s="46" t="s">
        <v>50646</v>
      </c>
      <c r="G5512" s="46" t="s">
        <v>50584</v>
      </c>
      <c r="H5512" s="48" t="s">
        <v>56716</v>
      </c>
      <c r="I5512" s="48" t="s">
        <v>50564</v>
      </c>
      <c r="J5512" s="48" t="s">
        <v>56716</v>
      </c>
      <c r="K5512" s="50" t="s">
        <v>56716</v>
      </c>
      <c r="L5512" s="48" t="s">
        <v>56716</v>
      </c>
    </row>
    <row r="5513" spans="1:12" s="37" customFormat="1" ht="11.25" x14ac:dyDescent="0.2">
      <c r="A5513" s="46" t="s">
        <v>16071</v>
      </c>
      <c r="B5513" s="46" t="s">
        <v>54309</v>
      </c>
      <c r="C5513" s="58" t="str">
        <f>"20903219"</f>
        <v>20903219</v>
      </c>
      <c r="D5513" s="58" t="str">
        <f>"20903227"</f>
        <v>20903227</v>
      </c>
      <c r="E5513" s="46" t="s">
        <v>1412</v>
      </c>
      <c r="F5513" s="46" t="s">
        <v>17759</v>
      </c>
      <c r="G5513" s="46" t="s">
        <v>50584</v>
      </c>
      <c r="H5513" s="48" t="s">
        <v>56716</v>
      </c>
      <c r="I5513" s="48" t="s">
        <v>50564</v>
      </c>
      <c r="J5513" s="48" t="s">
        <v>56716</v>
      </c>
      <c r="K5513" s="50"/>
      <c r="L5513" s="48"/>
    </row>
    <row r="5514" spans="1:12" s="37" customFormat="1" ht="11.25" x14ac:dyDescent="0.2">
      <c r="A5514" s="46" t="s">
        <v>16551</v>
      </c>
      <c r="B5514" s="46" t="s">
        <v>54310</v>
      </c>
      <c r="C5514" s="58" t="str">
        <f>"22130489"</f>
        <v>22130489</v>
      </c>
      <c r="D5514" s="58" t="str">
        <f>""</f>
        <v/>
      </c>
      <c r="E5514" s="46" t="s">
        <v>155</v>
      </c>
      <c r="F5514" s="46" t="s">
        <v>50646</v>
      </c>
      <c r="G5514" s="46" t="s">
        <v>50584</v>
      </c>
      <c r="H5514" s="48" t="s">
        <v>56716</v>
      </c>
      <c r="I5514" s="48" t="s">
        <v>50564</v>
      </c>
      <c r="J5514" s="48" t="s">
        <v>56716</v>
      </c>
      <c r="K5514" s="50"/>
      <c r="L5514" s="48"/>
    </row>
    <row r="5515" spans="1:12" s="37" customFormat="1" ht="11.25" x14ac:dyDescent="0.2">
      <c r="A5515" s="46" t="s">
        <v>2831</v>
      </c>
      <c r="B5515" s="46" t="s">
        <v>54311</v>
      </c>
      <c r="C5515" s="58" t="str">
        <f>"03008142"</f>
        <v>03008142</v>
      </c>
      <c r="D5515" s="58" t="str">
        <f>""</f>
        <v/>
      </c>
      <c r="E5515" s="46" t="s">
        <v>2833</v>
      </c>
      <c r="F5515" s="46" t="s">
        <v>18079</v>
      </c>
      <c r="G5515" s="46" t="s">
        <v>50626</v>
      </c>
      <c r="H5515" s="48" t="s">
        <v>56716</v>
      </c>
      <c r="I5515" s="48" t="s">
        <v>50564</v>
      </c>
      <c r="J5515" s="48"/>
      <c r="K5515" s="50"/>
      <c r="L5515" s="48"/>
    </row>
    <row r="5516" spans="1:12" s="37" customFormat="1" ht="11.25" x14ac:dyDescent="0.2">
      <c r="A5516" s="46" t="s">
        <v>12815</v>
      </c>
      <c r="B5516" s="46" t="s">
        <v>54312</v>
      </c>
      <c r="C5516" s="58" t="str">
        <f>"19932820"</f>
        <v>19932820</v>
      </c>
      <c r="D5516" s="58" t="str">
        <f>"18196357"</f>
        <v>18196357</v>
      </c>
      <c r="E5516" s="46" t="s">
        <v>12818</v>
      </c>
      <c r="F5516" s="46" t="s">
        <v>18130</v>
      </c>
      <c r="G5516" s="46" t="s">
        <v>50584</v>
      </c>
      <c r="H5516" s="48" t="s">
        <v>56716</v>
      </c>
      <c r="I5516" s="48" t="s">
        <v>50564</v>
      </c>
      <c r="J5516" s="48"/>
      <c r="K5516" s="50"/>
      <c r="L5516" s="48" t="s">
        <v>56716</v>
      </c>
    </row>
    <row r="5517" spans="1:12" s="37" customFormat="1" ht="11.25" x14ac:dyDescent="0.2">
      <c r="A5517" s="46" t="s">
        <v>2839</v>
      </c>
      <c r="B5517" s="46" t="s">
        <v>54313</v>
      </c>
      <c r="C5517" s="58" t="str">
        <f>"00243205"</f>
        <v>00243205</v>
      </c>
      <c r="D5517" s="58" t="str">
        <f>"18790631"</f>
        <v>18790631</v>
      </c>
      <c r="E5517" s="46" t="s">
        <v>272</v>
      </c>
      <c r="F5517" s="46" t="s">
        <v>17759</v>
      </c>
      <c r="G5517" s="46" t="s">
        <v>50584</v>
      </c>
      <c r="H5517" s="48" t="s">
        <v>56716</v>
      </c>
      <c r="I5517" s="48" t="s">
        <v>50564</v>
      </c>
      <c r="J5517" s="48"/>
      <c r="K5517" s="50" t="s">
        <v>56716</v>
      </c>
      <c r="L5517" s="48" t="s">
        <v>56716</v>
      </c>
    </row>
    <row r="5518" spans="1:12" s="37" customFormat="1" ht="11.25" x14ac:dyDescent="0.2">
      <c r="A5518" s="46" t="s">
        <v>17642</v>
      </c>
      <c r="B5518" s="46" t="s">
        <v>54314</v>
      </c>
      <c r="C5518" s="58" t="str">
        <f>"22145524"</f>
        <v>22145524</v>
      </c>
      <c r="D5518" s="58" t="str">
        <f>"22145532"</f>
        <v>22145532</v>
      </c>
      <c r="E5518" s="46" t="s">
        <v>155</v>
      </c>
      <c r="F5518" s="46" t="s">
        <v>50646</v>
      </c>
      <c r="G5518" s="46" t="s">
        <v>50584</v>
      </c>
      <c r="H5518" s="48" t="s">
        <v>56716</v>
      </c>
      <c r="I5518" s="48" t="s">
        <v>50564</v>
      </c>
      <c r="J5518" s="48" t="s">
        <v>56716</v>
      </c>
      <c r="K5518" s="50" t="s">
        <v>56716</v>
      </c>
      <c r="L5518" s="48"/>
    </row>
    <row r="5519" spans="1:12" s="37" customFormat="1" ht="11.25" x14ac:dyDescent="0.2">
      <c r="A5519" s="45" t="s">
        <v>39752</v>
      </c>
      <c r="B5519" s="45" t="s">
        <v>39754</v>
      </c>
      <c r="C5519" s="51" t="s">
        <v>39756</v>
      </c>
      <c r="D5519" s="51" t="s">
        <v>39755</v>
      </c>
      <c r="E5519" s="45" t="s">
        <v>17783</v>
      </c>
      <c r="F5519" s="45" t="s">
        <v>17759</v>
      </c>
      <c r="G5519" s="45" t="s">
        <v>50584</v>
      </c>
      <c r="H5519" s="56"/>
      <c r="I5519" s="56" t="s">
        <v>50564</v>
      </c>
      <c r="J5519" s="56"/>
      <c r="K5519" s="50"/>
      <c r="L5519" s="56" t="s">
        <v>56716</v>
      </c>
    </row>
    <row r="5520" spans="1:12" s="37" customFormat="1" ht="11.25" x14ac:dyDescent="0.2">
      <c r="A5520" s="45" t="s">
        <v>39758</v>
      </c>
      <c r="B5520" s="45" t="s">
        <v>39760</v>
      </c>
      <c r="C5520" s="51" t="s">
        <v>39761</v>
      </c>
      <c r="D5520" s="51"/>
      <c r="E5520" s="45" t="s">
        <v>39762</v>
      </c>
      <c r="F5520" s="45" t="s">
        <v>18079</v>
      </c>
      <c r="G5520" s="45" t="s">
        <v>50625</v>
      </c>
      <c r="H5520" s="56"/>
      <c r="I5520" s="56" t="s">
        <v>50564</v>
      </c>
      <c r="J5520" s="56"/>
      <c r="K5520" s="50"/>
      <c r="L5520" s="56" t="s">
        <v>56716</v>
      </c>
    </row>
    <row r="5521" spans="1:12" s="37" customFormat="1" ht="11.25" x14ac:dyDescent="0.2">
      <c r="A5521" s="46" t="s">
        <v>10717</v>
      </c>
      <c r="B5521" s="46" t="s">
        <v>54315</v>
      </c>
      <c r="C5521" s="58" t="str">
        <f>"13304917"</f>
        <v>13304917</v>
      </c>
      <c r="D5521" s="58" t="str">
        <f>""</f>
        <v/>
      </c>
      <c r="E5521" s="46" t="s">
        <v>10719</v>
      </c>
      <c r="F5521" s="46" t="s">
        <v>18079</v>
      </c>
      <c r="G5521" s="46" t="s">
        <v>50626</v>
      </c>
      <c r="H5521" s="48" t="s">
        <v>56716</v>
      </c>
      <c r="I5521" s="48" t="s">
        <v>50564</v>
      </c>
      <c r="J5521" s="48"/>
      <c r="K5521" s="50"/>
      <c r="L5521" s="48"/>
    </row>
    <row r="5522" spans="1:12" s="37" customFormat="1" ht="11.25" x14ac:dyDescent="0.2">
      <c r="A5522" s="45" t="s">
        <v>39764</v>
      </c>
      <c r="B5522" s="45" t="s">
        <v>39766</v>
      </c>
      <c r="C5522" s="51" t="s">
        <v>39768</v>
      </c>
      <c r="D5522" s="51"/>
      <c r="E5522" s="45" t="s">
        <v>39769</v>
      </c>
      <c r="F5522" s="45" t="s">
        <v>29064</v>
      </c>
      <c r="G5522" s="45" t="s">
        <v>56560</v>
      </c>
      <c r="H5522" s="56"/>
      <c r="I5522" s="56" t="s">
        <v>50564</v>
      </c>
      <c r="J5522" s="56"/>
      <c r="K5522" s="50"/>
      <c r="L5522" s="56" t="s">
        <v>56716</v>
      </c>
    </row>
    <row r="5523" spans="1:12" s="37" customFormat="1" ht="11.25" x14ac:dyDescent="0.2">
      <c r="A5523" s="45" t="s">
        <v>39771</v>
      </c>
      <c r="B5523" s="45" t="s">
        <v>39773</v>
      </c>
      <c r="C5523" s="51" t="s">
        <v>39775</v>
      </c>
      <c r="D5523" s="51"/>
      <c r="E5523" s="45" t="s">
        <v>39776</v>
      </c>
      <c r="F5523" s="45" t="s">
        <v>17958</v>
      </c>
      <c r="G5523" s="45" t="s">
        <v>50586</v>
      </c>
      <c r="H5523" s="56"/>
      <c r="I5523" s="56" t="s">
        <v>50564</v>
      </c>
      <c r="J5523" s="56"/>
      <c r="K5523" s="50"/>
      <c r="L5523" s="56" t="s">
        <v>56716</v>
      </c>
    </row>
    <row r="5524" spans="1:12" s="37" customFormat="1" ht="11.25" x14ac:dyDescent="0.2">
      <c r="A5524" s="46" t="s">
        <v>15586</v>
      </c>
      <c r="B5524" s="46" t="s">
        <v>15586</v>
      </c>
      <c r="C5524" s="58" t="str">
        <f>""</f>
        <v/>
      </c>
      <c r="D5524" s="58" t="str">
        <f>"11786353"</f>
        <v>11786353</v>
      </c>
      <c r="E5524" s="46" t="s">
        <v>11251</v>
      </c>
      <c r="F5524" s="46" t="s">
        <v>19483</v>
      </c>
      <c r="G5524" s="46" t="s">
        <v>50584</v>
      </c>
      <c r="H5524" s="48" t="s">
        <v>56716</v>
      </c>
      <c r="I5524" s="48" t="s">
        <v>50564</v>
      </c>
      <c r="J5524" s="48"/>
      <c r="K5524" s="50"/>
      <c r="L5524" s="48"/>
    </row>
    <row r="5525" spans="1:12" s="37" customFormat="1" ht="11.25" x14ac:dyDescent="0.2">
      <c r="A5525" s="46" t="s">
        <v>2849</v>
      </c>
      <c r="B5525" s="46" t="s">
        <v>2849</v>
      </c>
      <c r="C5525" s="58" t="str">
        <f>"00244201"</f>
        <v>00244201</v>
      </c>
      <c r="D5525" s="58" t="str">
        <f>"15589307"</f>
        <v>15589307</v>
      </c>
      <c r="E5525" s="46" t="s">
        <v>167</v>
      </c>
      <c r="F5525" s="46" t="s">
        <v>18158</v>
      </c>
      <c r="G5525" s="46" t="s">
        <v>50584</v>
      </c>
      <c r="H5525" s="48" t="s">
        <v>56716</v>
      </c>
      <c r="I5525" s="48" t="s">
        <v>50564</v>
      </c>
      <c r="J5525" s="48"/>
      <c r="K5525" s="50" t="s">
        <v>56716</v>
      </c>
      <c r="L5525" s="48" t="s">
        <v>56716</v>
      </c>
    </row>
    <row r="5526" spans="1:12" s="37" customFormat="1" ht="11.25" x14ac:dyDescent="0.2">
      <c r="A5526" s="46" t="s">
        <v>9661</v>
      </c>
      <c r="B5526" s="46" t="s">
        <v>54316</v>
      </c>
      <c r="C5526" s="58" t="str">
        <f>""</f>
        <v/>
      </c>
      <c r="D5526" s="58" t="str">
        <f>"1476511X"</f>
        <v>1476511X</v>
      </c>
      <c r="E5526" s="46" t="s">
        <v>2299</v>
      </c>
      <c r="F5526" s="46" t="s">
        <v>50646</v>
      </c>
      <c r="G5526" s="46" t="s">
        <v>50584</v>
      </c>
      <c r="H5526" s="48" t="s">
        <v>56716</v>
      </c>
      <c r="I5526" s="48" t="s">
        <v>50564</v>
      </c>
      <c r="J5526" s="48"/>
      <c r="K5526" s="50" t="s">
        <v>56716</v>
      </c>
      <c r="L5526" s="48" t="s">
        <v>56716</v>
      </c>
    </row>
    <row r="5527" spans="1:12" s="37" customFormat="1" ht="11.25" x14ac:dyDescent="0.2">
      <c r="A5527" s="45" t="s">
        <v>39785</v>
      </c>
      <c r="B5527" s="45" t="s">
        <v>39787</v>
      </c>
      <c r="C5527" s="51" t="s">
        <v>39789</v>
      </c>
      <c r="D5527" s="51" t="s">
        <v>39788</v>
      </c>
      <c r="E5527" s="45" t="s">
        <v>23783</v>
      </c>
      <c r="F5527" s="45" t="s">
        <v>17759</v>
      </c>
      <c r="G5527" s="45" t="s">
        <v>50584</v>
      </c>
      <c r="H5527" s="56"/>
      <c r="I5527" s="56" t="s">
        <v>50564</v>
      </c>
      <c r="J5527" s="56"/>
      <c r="K5527" s="50"/>
      <c r="L5527" s="56" t="s">
        <v>56716</v>
      </c>
    </row>
    <row r="5528" spans="1:12" s="37" customFormat="1" ht="11.25" x14ac:dyDescent="0.2">
      <c r="A5528" s="46" t="s">
        <v>17530</v>
      </c>
      <c r="B5528" s="46" t="s">
        <v>17530</v>
      </c>
      <c r="C5528" s="58" t="str">
        <f>"22351795"</f>
        <v>22351795</v>
      </c>
      <c r="D5528" s="58" t="str">
        <f>"16645553"</f>
        <v>16645553</v>
      </c>
      <c r="E5528" s="46" t="s">
        <v>109</v>
      </c>
      <c r="F5528" s="46" t="s">
        <v>18123</v>
      </c>
      <c r="G5528" s="46" t="s">
        <v>50584</v>
      </c>
      <c r="H5528" s="48" t="s">
        <v>56716</v>
      </c>
      <c r="I5528" s="48" t="s">
        <v>50564</v>
      </c>
      <c r="J5528" s="48" t="s">
        <v>56716</v>
      </c>
      <c r="K5528" s="50"/>
      <c r="L5528" s="48"/>
    </row>
    <row r="5529" spans="1:12" s="37" customFormat="1" ht="11.25" x14ac:dyDescent="0.2">
      <c r="A5529" s="46" t="s">
        <v>9808</v>
      </c>
      <c r="B5529" s="46" t="s">
        <v>54317</v>
      </c>
      <c r="C5529" s="58" t="str">
        <f>"14783223"</f>
        <v>14783223</v>
      </c>
      <c r="D5529" s="58" t="str">
        <f>"14783231"</f>
        <v>14783231</v>
      </c>
      <c r="E5529" s="46" t="s">
        <v>35</v>
      </c>
      <c r="F5529" s="46" t="s">
        <v>50646</v>
      </c>
      <c r="G5529" s="46" t="s">
        <v>50584</v>
      </c>
      <c r="H5529" s="48" t="s">
        <v>56716</v>
      </c>
      <c r="I5529" s="48" t="s">
        <v>50564</v>
      </c>
      <c r="J5529" s="48"/>
      <c r="K5529" s="50" t="s">
        <v>56716</v>
      </c>
      <c r="L5529" s="48" t="s">
        <v>56716</v>
      </c>
    </row>
    <row r="5530" spans="1:12" s="37" customFormat="1" ht="11.25" x14ac:dyDescent="0.2">
      <c r="A5530" s="46" t="s">
        <v>8373</v>
      </c>
      <c r="B5530" s="46" t="s">
        <v>54318</v>
      </c>
      <c r="C5530" s="58" t="str">
        <f>"15276465"</f>
        <v>15276465</v>
      </c>
      <c r="D5530" s="58" t="str">
        <f>"15276473"</f>
        <v>15276473</v>
      </c>
      <c r="E5530" s="46" t="s">
        <v>751</v>
      </c>
      <c r="F5530" s="46" t="s">
        <v>50646</v>
      </c>
      <c r="G5530" s="46" t="s">
        <v>50584</v>
      </c>
      <c r="H5530" s="48" t="s">
        <v>56716</v>
      </c>
      <c r="I5530" s="48" t="s">
        <v>50564</v>
      </c>
      <c r="J5530" s="48" t="s">
        <v>56716</v>
      </c>
      <c r="K5530" s="50" t="s">
        <v>56716</v>
      </c>
      <c r="L5530" s="48" t="s">
        <v>56716</v>
      </c>
    </row>
    <row r="5531" spans="1:12" s="37" customFormat="1" ht="11.25" x14ac:dyDescent="0.2">
      <c r="A5531" s="46" t="s">
        <v>14136</v>
      </c>
      <c r="B5531" s="46" t="s">
        <v>54319</v>
      </c>
      <c r="C5531" s="58" t="str">
        <f>""</f>
        <v/>
      </c>
      <c r="D5531" s="58" t="str">
        <f>"11787112"</f>
        <v>11787112</v>
      </c>
      <c r="E5531" s="46" t="s">
        <v>11078</v>
      </c>
      <c r="F5531" s="46" t="s">
        <v>19483</v>
      </c>
      <c r="G5531" s="46" t="s">
        <v>50584</v>
      </c>
      <c r="H5531" s="48" t="s">
        <v>56716</v>
      </c>
      <c r="I5531" s="48" t="s">
        <v>50564</v>
      </c>
      <c r="J5531" s="48"/>
      <c r="K5531" s="50"/>
      <c r="L5531" s="48"/>
    </row>
    <row r="5532" spans="1:12" s="37" customFormat="1" ht="11.25" x14ac:dyDescent="0.2">
      <c r="A5532" s="45" t="s">
        <v>39803</v>
      </c>
      <c r="B5532" s="45" t="s">
        <v>39805</v>
      </c>
      <c r="C5532" s="51" t="s">
        <v>39806</v>
      </c>
      <c r="D5532" s="51"/>
      <c r="E5532" s="45" t="s">
        <v>39807</v>
      </c>
      <c r="F5532" s="45" t="s">
        <v>50646</v>
      </c>
      <c r="G5532" s="45" t="s">
        <v>50584</v>
      </c>
      <c r="H5532" s="56"/>
      <c r="I5532" s="56" t="s">
        <v>50564</v>
      </c>
      <c r="J5532" s="56"/>
      <c r="K5532" s="50"/>
      <c r="L5532" s="56" t="s">
        <v>56716</v>
      </c>
    </row>
    <row r="5533" spans="1:12" s="37" customFormat="1" ht="11.25" x14ac:dyDescent="0.2">
      <c r="A5533" s="45" t="s">
        <v>39810</v>
      </c>
      <c r="B5533" s="45" t="s">
        <v>39812</v>
      </c>
      <c r="C5533" s="51" t="s">
        <v>39815</v>
      </c>
      <c r="D5533" s="51" t="s">
        <v>39814</v>
      </c>
      <c r="E5533" s="45" t="s">
        <v>291</v>
      </c>
      <c r="F5533" s="45" t="s">
        <v>50646</v>
      </c>
      <c r="G5533" s="45" t="s">
        <v>50584</v>
      </c>
      <c r="H5533" s="56"/>
      <c r="I5533" s="56" t="s">
        <v>50564</v>
      </c>
      <c r="J5533" s="56"/>
      <c r="K5533" s="50"/>
      <c r="L5533" s="56" t="s">
        <v>56716</v>
      </c>
    </row>
    <row r="5534" spans="1:12" s="37" customFormat="1" ht="11.25" x14ac:dyDescent="0.2">
      <c r="A5534" s="46" t="s">
        <v>12891</v>
      </c>
      <c r="B5534" s="46" t="s">
        <v>54320</v>
      </c>
      <c r="C5534" s="58" t="str">
        <f>"17571472"</f>
        <v>17571472</v>
      </c>
      <c r="D5534" s="58" t="str">
        <f>"17571480"</f>
        <v>17571480</v>
      </c>
      <c r="E5534" s="46" t="s">
        <v>12701</v>
      </c>
      <c r="F5534" s="46" t="s">
        <v>50646</v>
      </c>
      <c r="G5534" s="46" t="s">
        <v>50584</v>
      </c>
      <c r="H5534" s="48" t="s">
        <v>56716</v>
      </c>
      <c r="I5534" s="48" t="s">
        <v>50564</v>
      </c>
      <c r="J5534" s="48"/>
      <c r="K5534" s="50"/>
      <c r="L5534" s="48"/>
    </row>
    <row r="5535" spans="1:12" s="37" customFormat="1" ht="11.25" x14ac:dyDescent="0.2">
      <c r="A5535" s="46" t="s">
        <v>17335</v>
      </c>
      <c r="B5535" s="46" t="s">
        <v>54321</v>
      </c>
      <c r="C5535" s="58" t="str">
        <f>""</f>
        <v/>
      </c>
      <c r="D5535" s="58" t="str">
        <f>"20462395"</f>
        <v>20462395</v>
      </c>
      <c r="E5535" s="46" t="s">
        <v>2299</v>
      </c>
      <c r="F5535" s="46" t="s">
        <v>50646</v>
      </c>
      <c r="G5535" s="46" t="s">
        <v>50584</v>
      </c>
      <c r="H5535" s="48" t="s">
        <v>56716</v>
      </c>
      <c r="I5535" s="48" t="s">
        <v>50564</v>
      </c>
      <c r="J5535" s="48" t="s">
        <v>56716</v>
      </c>
      <c r="K5535" s="50"/>
      <c r="L5535" s="48"/>
    </row>
    <row r="5536" spans="1:12" s="37" customFormat="1" ht="11.25" x14ac:dyDescent="0.2">
      <c r="A5536" s="46" t="s">
        <v>2845</v>
      </c>
      <c r="B5536" s="46" t="s">
        <v>54322</v>
      </c>
      <c r="C5536" s="58" t="str">
        <f>"00246956"</f>
        <v>00246956</v>
      </c>
      <c r="D5536" s="58" t="str">
        <f>""</f>
        <v/>
      </c>
      <c r="E5536" s="46" t="s">
        <v>2847</v>
      </c>
      <c r="F5536" s="46" t="s">
        <v>17929</v>
      </c>
      <c r="G5536" s="46" t="s">
        <v>50591</v>
      </c>
      <c r="H5536" s="48" t="s">
        <v>56716</v>
      </c>
      <c r="I5536" s="48" t="s">
        <v>50564</v>
      </c>
      <c r="J5536" s="48"/>
      <c r="K5536" s="50"/>
      <c r="L5536" s="48"/>
    </row>
    <row r="5537" spans="1:12" s="37" customFormat="1" ht="11.25" x14ac:dyDescent="0.2">
      <c r="A5537" s="45" t="s">
        <v>39817</v>
      </c>
      <c r="B5537" s="45" t="s">
        <v>39819</v>
      </c>
      <c r="C5537" s="51" t="s">
        <v>39822</v>
      </c>
      <c r="D5537" s="51" t="s">
        <v>39821</v>
      </c>
      <c r="E5537" s="45" t="s">
        <v>31434</v>
      </c>
      <c r="F5537" s="45" t="s">
        <v>50646</v>
      </c>
      <c r="G5537" s="45" t="s">
        <v>50584</v>
      </c>
      <c r="H5537" s="56"/>
      <c r="I5537" s="56" t="s">
        <v>50564</v>
      </c>
      <c r="J5537" s="56"/>
      <c r="K5537" s="50"/>
      <c r="L5537" s="56" t="s">
        <v>56716</v>
      </c>
    </row>
    <row r="5538" spans="1:12" s="37" customFormat="1" ht="11.25" x14ac:dyDescent="0.2">
      <c r="A5538" s="46" t="s">
        <v>2855</v>
      </c>
      <c r="B5538" s="46" t="s">
        <v>2855</v>
      </c>
      <c r="C5538" s="58" t="str">
        <f>"03412040"</f>
        <v>03412040</v>
      </c>
      <c r="D5538" s="58" t="str">
        <f>"14321750"</f>
        <v>14321750</v>
      </c>
      <c r="E5538" s="46" t="s">
        <v>56305</v>
      </c>
      <c r="F5538" s="46" t="s">
        <v>17759</v>
      </c>
      <c r="G5538" s="46" t="s">
        <v>50584</v>
      </c>
      <c r="H5538" s="48" t="s">
        <v>56716</v>
      </c>
      <c r="I5538" s="48" t="s">
        <v>50564</v>
      </c>
      <c r="J5538" s="48" t="s">
        <v>56716</v>
      </c>
      <c r="K5538" s="50" t="s">
        <v>56716</v>
      </c>
      <c r="L5538" s="48" t="s">
        <v>56716</v>
      </c>
    </row>
    <row r="5539" spans="1:12" s="37" customFormat="1" ht="11.25" x14ac:dyDescent="0.2">
      <c r="A5539" s="46" t="s">
        <v>4264</v>
      </c>
      <c r="B5539" s="46" t="s">
        <v>4264</v>
      </c>
      <c r="C5539" s="58" t="str">
        <f>"01695002"</f>
        <v>01695002</v>
      </c>
      <c r="D5539" s="58" t="str">
        <f>"18728332"</f>
        <v>18728332</v>
      </c>
      <c r="E5539" s="46" t="s">
        <v>221</v>
      </c>
      <c r="F5539" s="46" t="s">
        <v>21771</v>
      </c>
      <c r="G5539" s="46" t="s">
        <v>50584</v>
      </c>
      <c r="H5539" s="48" t="s">
        <v>56716</v>
      </c>
      <c r="I5539" s="48" t="s">
        <v>50564</v>
      </c>
      <c r="J5539" s="48" t="s">
        <v>56716</v>
      </c>
      <c r="K5539" s="50" t="s">
        <v>56716</v>
      </c>
      <c r="L5539" s="48" t="s">
        <v>56716</v>
      </c>
    </row>
    <row r="5540" spans="1:12" s="37" customFormat="1" ht="11.25" x14ac:dyDescent="0.2">
      <c r="A5540" s="46" t="s">
        <v>16074</v>
      </c>
      <c r="B5540" s="46" t="s">
        <v>54323</v>
      </c>
      <c r="C5540" s="58" t="str">
        <f>"20903197"</f>
        <v>20903197</v>
      </c>
      <c r="D5540" s="58" t="str">
        <f>"20903200"</f>
        <v>20903200</v>
      </c>
      <c r="E5540" s="46" t="s">
        <v>1412</v>
      </c>
      <c r="F5540" s="46" t="s">
        <v>17759</v>
      </c>
      <c r="G5540" s="46" t="s">
        <v>50584</v>
      </c>
      <c r="H5540" s="48" t="s">
        <v>56716</v>
      </c>
      <c r="I5540" s="48" t="s">
        <v>50564</v>
      </c>
      <c r="J5540" s="48" t="s">
        <v>56716</v>
      </c>
      <c r="K5540" s="50"/>
      <c r="L5540" s="48"/>
    </row>
    <row r="5541" spans="1:12" s="37" customFormat="1" ht="11.25" x14ac:dyDescent="0.2">
      <c r="A5541" s="46" t="s">
        <v>16416</v>
      </c>
      <c r="B5541" s="46" t="s">
        <v>54324</v>
      </c>
      <c r="C5541" s="58" t="str">
        <f>"17581966"</f>
        <v>17581966</v>
      </c>
      <c r="D5541" s="58" t="str">
        <f>""</f>
        <v/>
      </c>
      <c r="E5541" s="46" t="s">
        <v>8442</v>
      </c>
      <c r="F5541" s="46" t="s">
        <v>50646</v>
      </c>
      <c r="G5541" s="46" t="s">
        <v>50584</v>
      </c>
      <c r="H5541" s="48" t="s">
        <v>56716</v>
      </c>
      <c r="I5541" s="48" t="s">
        <v>50564</v>
      </c>
      <c r="J5541" s="48" t="s">
        <v>56716</v>
      </c>
      <c r="K5541" s="50"/>
      <c r="L5541" s="48"/>
    </row>
    <row r="5542" spans="1:12" s="37" customFormat="1" ht="11.25" x14ac:dyDescent="0.2">
      <c r="A5542" s="46" t="s">
        <v>14694</v>
      </c>
      <c r="B5542" s="46" t="s">
        <v>54325</v>
      </c>
      <c r="C5542" s="58" t="str">
        <f>""</f>
        <v/>
      </c>
      <c r="D5542" s="58" t="str">
        <f>"11791314"</f>
        <v>11791314</v>
      </c>
      <c r="E5542" s="46" t="s">
        <v>11079</v>
      </c>
      <c r="F5542" s="46" t="s">
        <v>19483</v>
      </c>
      <c r="G5542" s="46" t="s">
        <v>50584</v>
      </c>
      <c r="H5542" s="48" t="s">
        <v>56716</v>
      </c>
      <c r="I5542" s="48" t="s">
        <v>50564</v>
      </c>
      <c r="J5542" s="48"/>
      <c r="K5542" s="50"/>
      <c r="L5542" s="48"/>
    </row>
    <row r="5543" spans="1:12" s="37" customFormat="1" ht="11.25" x14ac:dyDescent="0.2">
      <c r="A5543" s="46" t="s">
        <v>13217</v>
      </c>
      <c r="B5543" s="46" t="s">
        <v>13217</v>
      </c>
      <c r="C5543" s="58" t="str">
        <f>"09702113"</f>
        <v>09702113</v>
      </c>
      <c r="D5543" s="58" t="str">
        <f>"0974598X"</f>
        <v>0974598X</v>
      </c>
      <c r="E5543" s="46" t="s">
        <v>19057</v>
      </c>
      <c r="F5543" s="46" t="s">
        <v>20446</v>
      </c>
      <c r="G5543" s="46" t="s">
        <v>50584</v>
      </c>
      <c r="H5543" s="48" t="s">
        <v>56716</v>
      </c>
      <c r="I5543" s="48" t="s">
        <v>50564</v>
      </c>
      <c r="J5543" s="48"/>
      <c r="K5543" s="50"/>
      <c r="L5543" s="48"/>
    </row>
    <row r="5544" spans="1:12" s="37" customFormat="1" ht="11.25" x14ac:dyDescent="0.2">
      <c r="A5544" s="46" t="s">
        <v>5726</v>
      </c>
      <c r="B5544" s="46" t="s">
        <v>5726</v>
      </c>
      <c r="C5544" s="58" t="str">
        <f>"09612033"</f>
        <v>09612033</v>
      </c>
      <c r="D5544" s="58" t="str">
        <f>"14770962"</f>
        <v>14770962</v>
      </c>
      <c r="E5544" s="46" t="s">
        <v>97</v>
      </c>
      <c r="F5544" s="46" t="s">
        <v>50646</v>
      </c>
      <c r="G5544" s="46" t="s">
        <v>50584</v>
      </c>
      <c r="H5544" s="48" t="s">
        <v>56716</v>
      </c>
      <c r="I5544" s="48" t="s">
        <v>50564</v>
      </c>
      <c r="J5544" s="48" t="s">
        <v>56716</v>
      </c>
      <c r="K5544" s="50"/>
      <c r="L5544" s="48" t="s">
        <v>56716</v>
      </c>
    </row>
    <row r="5545" spans="1:12" s="37" customFormat="1" ht="11.25" x14ac:dyDescent="0.2">
      <c r="A5545" s="46" t="s">
        <v>56032</v>
      </c>
      <c r="B5545" s="46" t="s">
        <v>56033</v>
      </c>
      <c r="C5545" s="58" t="str">
        <f>""</f>
        <v/>
      </c>
      <c r="D5545" s="58" t="str">
        <f>"20538790"</f>
        <v>20538790</v>
      </c>
      <c r="E5545" s="46" t="s">
        <v>159</v>
      </c>
      <c r="F5545" s="46" t="s">
        <v>50646</v>
      </c>
      <c r="G5545" s="46" t="s">
        <v>50584</v>
      </c>
      <c r="H5545" s="48" t="s">
        <v>56716</v>
      </c>
      <c r="I5545" s="48" t="s">
        <v>50564</v>
      </c>
      <c r="J5545" s="48" t="s">
        <v>56716</v>
      </c>
      <c r="K5545" s="50"/>
      <c r="L5545" s="48"/>
    </row>
    <row r="5546" spans="1:12" s="37" customFormat="1" ht="11.25" x14ac:dyDescent="0.2">
      <c r="A5546" s="46" t="s">
        <v>15226</v>
      </c>
      <c r="B5546" s="46" t="s">
        <v>54326</v>
      </c>
      <c r="C5546" s="58" t="str">
        <f>"17575664"</f>
        <v>17575664</v>
      </c>
      <c r="D5546" s="58" t="str">
        <f>"17575672"</f>
        <v>17575672</v>
      </c>
      <c r="E5546" s="46" t="s">
        <v>296</v>
      </c>
      <c r="F5546" s="46" t="s">
        <v>20082</v>
      </c>
      <c r="G5546" s="46" t="s">
        <v>50584</v>
      </c>
      <c r="H5546" s="48" t="s">
        <v>56716</v>
      </c>
      <c r="I5546" s="48" t="s">
        <v>50564</v>
      </c>
      <c r="J5546" s="48" t="s">
        <v>56716</v>
      </c>
      <c r="K5546" s="50" t="s">
        <v>56716</v>
      </c>
      <c r="L5546" s="48"/>
    </row>
    <row r="5547" spans="1:12" s="37" customFormat="1" ht="11.25" x14ac:dyDescent="0.2">
      <c r="A5547" s="45" t="s">
        <v>39832</v>
      </c>
      <c r="B5547" s="45" t="s">
        <v>39834</v>
      </c>
      <c r="C5547" s="51" t="s">
        <v>39835</v>
      </c>
      <c r="D5547" s="51"/>
      <c r="E5547" s="45" t="s">
        <v>39836</v>
      </c>
      <c r="F5547" s="45" t="s">
        <v>18158</v>
      </c>
      <c r="G5547" s="45" t="s">
        <v>50593</v>
      </c>
      <c r="H5547" s="56"/>
      <c r="I5547" s="56" t="s">
        <v>50564</v>
      </c>
      <c r="J5547" s="56"/>
      <c r="K5547" s="50"/>
      <c r="L5547" s="56" t="s">
        <v>56716</v>
      </c>
    </row>
    <row r="5548" spans="1:12" s="37" customFormat="1" ht="11.25" x14ac:dyDescent="0.2">
      <c r="A5548" s="46" t="s">
        <v>9841</v>
      </c>
      <c r="B5548" s="46" t="s">
        <v>54327</v>
      </c>
      <c r="C5548" s="58" t="str">
        <f>"15396851"</f>
        <v>15396851</v>
      </c>
      <c r="D5548" s="58" t="str">
        <f>"15578585"</f>
        <v>15578585</v>
      </c>
      <c r="E5548" s="46" t="s">
        <v>4337</v>
      </c>
      <c r="F5548" s="46" t="s">
        <v>17759</v>
      </c>
      <c r="G5548" s="46" t="s">
        <v>50584</v>
      </c>
      <c r="H5548" s="48" t="s">
        <v>56716</v>
      </c>
      <c r="I5548" s="48" t="s">
        <v>50564</v>
      </c>
      <c r="J5548" s="48" t="s">
        <v>56716</v>
      </c>
      <c r="K5548" s="50"/>
      <c r="L5548" s="48" t="s">
        <v>56716</v>
      </c>
    </row>
    <row r="5549" spans="1:12" s="37" customFormat="1" ht="11.25" x14ac:dyDescent="0.2">
      <c r="A5549" s="46" t="s">
        <v>7930</v>
      </c>
      <c r="B5549" s="46" t="s">
        <v>54328</v>
      </c>
      <c r="C5549" s="58" t="str">
        <f>"14335255"</f>
        <v>14335255</v>
      </c>
      <c r="D5549" s="58" t="str">
        <f>""</f>
        <v/>
      </c>
      <c r="E5549" s="46" t="s">
        <v>7162</v>
      </c>
      <c r="F5549" s="46" t="s">
        <v>18158</v>
      </c>
      <c r="G5549" s="46" t="s">
        <v>50593</v>
      </c>
      <c r="H5549" s="48" t="s">
        <v>56716</v>
      </c>
      <c r="I5549" s="48" t="s">
        <v>50564</v>
      </c>
      <c r="J5549" s="48"/>
      <c r="K5549" s="50"/>
      <c r="L5549" s="48"/>
    </row>
    <row r="5550" spans="1:12" s="37" customFormat="1" ht="11.25" x14ac:dyDescent="0.2">
      <c r="A5550" s="46" t="s">
        <v>2858</v>
      </c>
      <c r="B5550" s="46" t="s">
        <v>2858</v>
      </c>
      <c r="C5550" s="58" t="str">
        <f>"00247766"</f>
        <v>00247766</v>
      </c>
      <c r="D5550" s="58" t="str">
        <f>""</f>
        <v/>
      </c>
      <c r="E5550" s="46" t="s">
        <v>2860</v>
      </c>
      <c r="F5550" s="46" t="s">
        <v>17759</v>
      </c>
      <c r="G5550" s="46" t="s">
        <v>50584</v>
      </c>
      <c r="H5550" s="48" t="s">
        <v>56716</v>
      </c>
      <c r="I5550" s="48" t="s">
        <v>50564</v>
      </c>
      <c r="J5550" s="48" t="s">
        <v>56716</v>
      </c>
      <c r="K5550" s="50"/>
      <c r="L5550" s="48" t="s">
        <v>56716</v>
      </c>
    </row>
    <row r="5551" spans="1:12" s="37" customFormat="1" ht="11.25" x14ac:dyDescent="0.2">
      <c r="A5551" s="46" t="s">
        <v>16077</v>
      </c>
      <c r="B5551" s="46" t="s">
        <v>16077</v>
      </c>
      <c r="C5551" s="58" t="str">
        <f>"2090309X"</f>
        <v>2090309X</v>
      </c>
      <c r="D5551" s="58" t="str">
        <f>"20903103"</f>
        <v>20903103</v>
      </c>
      <c r="E5551" s="46" t="s">
        <v>1412</v>
      </c>
      <c r="F5551" s="46" t="s">
        <v>17759</v>
      </c>
      <c r="G5551" s="46" t="s">
        <v>50584</v>
      </c>
      <c r="H5551" s="48" t="s">
        <v>56716</v>
      </c>
      <c r="I5551" s="48" t="s">
        <v>50564</v>
      </c>
      <c r="J5551" s="48" t="s">
        <v>56716</v>
      </c>
      <c r="K5551" s="50"/>
      <c r="L5551" s="48"/>
    </row>
    <row r="5552" spans="1:12" s="37" customFormat="1" ht="11.25" x14ac:dyDescent="0.2">
      <c r="A5552" s="46" t="s">
        <v>13662</v>
      </c>
      <c r="B5552" s="46" t="s">
        <v>13662</v>
      </c>
      <c r="C5552" s="58" t="str">
        <f>"19420862"</f>
        <v>19420862</v>
      </c>
      <c r="D5552" s="58" t="str">
        <f>"19420870"</f>
        <v>19420870</v>
      </c>
      <c r="E5552" s="46" t="s">
        <v>669</v>
      </c>
      <c r="F5552" s="46" t="s">
        <v>17759</v>
      </c>
      <c r="G5552" s="46" t="s">
        <v>50584</v>
      </c>
      <c r="H5552" s="48" t="s">
        <v>56716</v>
      </c>
      <c r="I5552" s="48" t="s">
        <v>50564</v>
      </c>
      <c r="J5552" s="48"/>
      <c r="K5552" s="50"/>
      <c r="L5552" s="48" t="s">
        <v>56716</v>
      </c>
    </row>
    <row r="5553" spans="1:12" s="37" customFormat="1" ht="11.25" x14ac:dyDescent="0.2">
      <c r="A5553" s="46" t="s">
        <v>13582</v>
      </c>
      <c r="B5553" s="46" t="s">
        <v>54329</v>
      </c>
      <c r="C5553" s="58" t="str">
        <f>"18575749"</f>
        <v>18575749</v>
      </c>
      <c r="D5553" s="58" t="str">
        <f>"18575773"</f>
        <v>18575773</v>
      </c>
      <c r="E5553" s="46" t="s">
        <v>13585</v>
      </c>
      <c r="F5553" s="46" t="s">
        <v>45007</v>
      </c>
      <c r="G5553" s="46" t="s">
        <v>50584</v>
      </c>
      <c r="H5553" s="48" t="s">
        <v>56716</v>
      </c>
      <c r="I5553" s="48" t="s">
        <v>50564</v>
      </c>
      <c r="J5553" s="48"/>
      <c r="K5553" s="50"/>
      <c r="L5553" s="48"/>
    </row>
    <row r="5554" spans="1:12" s="37" customFormat="1" ht="11.25" x14ac:dyDescent="0.2">
      <c r="A5554" s="46" t="s">
        <v>9059</v>
      </c>
      <c r="B5554" s="46" t="s">
        <v>54330</v>
      </c>
      <c r="C5554" s="58" t="str">
        <f>"16165187"</f>
        <v>16165187</v>
      </c>
      <c r="D5554" s="58" t="str">
        <f>"16165195"</f>
        <v>16165195</v>
      </c>
      <c r="E5554" s="46" t="s">
        <v>651</v>
      </c>
      <c r="F5554" s="46" t="s">
        <v>18158</v>
      </c>
      <c r="G5554" s="46" t="s">
        <v>50584</v>
      </c>
      <c r="H5554" s="48" t="s">
        <v>56716</v>
      </c>
      <c r="I5554" s="48" t="s">
        <v>50564</v>
      </c>
      <c r="J5554" s="48"/>
      <c r="K5554" s="50" t="s">
        <v>56716</v>
      </c>
      <c r="L5554" s="48" t="s">
        <v>56716</v>
      </c>
    </row>
    <row r="5555" spans="1:12" s="37" customFormat="1" ht="11.25" x14ac:dyDescent="0.2">
      <c r="A5555" s="45" t="s">
        <v>39852</v>
      </c>
      <c r="B5555" s="45" t="s">
        <v>39854</v>
      </c>
      <c r="C5555" s="51" t="s">
        <v>39857</v>
      </c>
      <c r="D5555" s="51" t="s">
        <v>39856</v>
      </c>
      <c r="E5555" s="45" t="s">
        <v>18712</v>
      </c>
      <c r="F5555" s="45" t="s">
        <v>18158</v>
      </c>
      <c r="G5555" s="45" t="s">
        <v>50584</v>
      </c>
      <c r="H5555" s="56"/>
      <c r="I5555" s="56" t="s">
        <v>50564</v>
      </c>
      <c r="J5555" s="56"/>
      <c r="K5555" s="50"/>
      <c r="L5555" s="56" t="s">
        <v>56716</v>
      </c>
    </row>
    <row r="5556" spans="1:12" s="37" customFormat="1" ht="11.25" x14ac:dyDescent="0.2">
      <c r="A5556" s="45" t="s">
        <v>39859</v>
      </c>
      <c r="B5556" s="45" t="s">
        <v>39861</v>
      </c>
      <c r="C5556" s="51" t="s">
        <v>39863</v>
      </c>
      <c r="D5556" s="51" t="s">
        <v>39862</v>
      </c>
      <c r="E5556" s="45" t="s">
        <v>17783</v>
      </c>
      <c r="F5556" s="45" t="s">
        <v>18158</v>
      </c>
      <c r="G5556" s="45" t="s">
        <v>50584</v>
      </c>
      <c r="H5556" s="56"/>
      <c r="I5556" s="56" t="s">
        <v>50564</v>
      </c>
      <c r="J5556" s="56"/>
      <c r="K5556" s="50"/>
      <c r="L5556" s="56" t="s">
        <v>56716</v>
      </c>
    </row>
    <row r="5557" spans="1:12" s="37" customFormat="1" ht="11.25" x14ac:dyDescent="0.2">
      <c r="A5557" s="46" t="s">
        <v>9629</v>
      </c>
      <c r="B5557" s="46" t="s">
        <v>54331</v>
      </c>
      <c r="C5557" s="58" t="str">
        <f>"09531424"</f>
        <v>09531424</v>
      </c>
      <c r="D5557" s="58" t="str">
        <f>"19524021"</f>
        <v>19524021</v>
      </c>
      <c r="E5557" s="46" t="s">
        <v>948</v>
      </c>
      <c r="F5557" s="46" t="s">
        <v>20359</v>
      </c>
      <c r="G5557" s="46" t="s">
        <v>50584</v>
      </c>
      <c r="H5557" s="48" t="s">
        <v>56716</v>
      </c>
      <c r="I5557" s="48" t="s">
        <v>50564</v>
      </c>
      <c r="J5557" s="48"/>
      <c r="K5557" s="50"/>
      <c r="L5557" s="48" t="s">
        <v>56716</v>
      </c>
    </row>
    <row r="5558" spans="1:12" s="37" customFormat="1" ht="11.25" x14ac:dyDescent="0.2">
      <c r="A5558" s="46" t="s">
        <v>3014</v>
      </c>
      <c r="B5558" s="46" t="s">
        <v>54332</v>
      </c>
      <c r="C5558" s="58" t="str">
        <f>"0730725X"</f>
        <v>0730725X</v>
      </c>
      <c r="D5558" s="58" t="str">
        <f>"18735894"</f>
        <v>18735894</v>
      </c>
      <c r="E5558" s="46" t="s">
        <v>272</v>
      </c>
      <c r="F5558" s="46" t="s">
        <v>17759</v>
      </c>
      <c r="G5558" s="46" t="s">
        <v>50584</v>
      </c>
      <c r="H5558" s="48" t="s">
        <v>56716</v>
      </c>
      <c r="I5558" s="48" t="s">
        <v>50564</v>
      </c>
      <c r="J5558" s="48" t="s">
        <v>56716</v>
      </c>
      <c r="K5558" s="50" t="s">
        <v>56716</v>
      </c>
      <c r="L5558" s="48" t="s">
        <v>56716</v>
      </c>
    </row>
    <row r="5559" spans="1:12" s="37" customFormat="1" ht="11.25" x14ac:dyDescent="0.2">
      <c r="A5559" s="46" t="s">
        <v>6842</v>
      </c>
      <c r="B5559" s="46" t="s">
        <v>54333</v>
      </c>
      <c r="C5559" s="58" t="str">
        <f>"10649689"</f>
        <v>10649689</v>
      </c>
      <c r="D5559" s="58" t="str">
        <f>"15579786"</f>
        <v>15579786</v>
      </c>
      <c r="E5559" s="46" t="s">
        <v>303</v>
      </c>
      <c r="F5559" s="46" t="s">
        <v>17759</v>
      </c>
      <c r="G5559" s="46" t="s">
        <v>50584</v>
      </c>
      <c r="H5559" s="48" t="s">
        <v>56716</v>
      </c>
      <c r="I5559" s="48" t="s">
        <v>50564</v>
      </c>
      <c r="J5559" s="48"/>
      <c r="K5559" s="50" t="s">
        <v>56716</v>
      </c>
      <c r="L5559" s="48" t="s">
        <v>56716</v>
      </c>
    </row>
    <row r="5560" spans="1:12" s="37" customFormat="1" ht="11.25" x14ac:dyDescent="0.2">
      <c r="A5560" s="45" t="s">
        <v>39879</v>
      </c>
      <c r="B5560" s="45" t="s">
        <v>39881</v>
      </c>
      <c r="C5560" s="51" t="s">
        <v>39884</v>
      </c>
      <c r="D5560" s="51" t="s">
        <v>39883</v>
      </c>
      <c r="E5560" s="45" t="s">
        <v>39885</v>
      </c>
      <c r="F5560" s="45" t="s">
        <v>50646</v>
      </c>
      <c r="G5560" s="45" t="s">
        <v>50584</v>
      </c>
      <c r="H5560" s="56"/>
      <c r="I5560" s="56" t="s">
        <v>50564</v>
      </c>
      <c r="J5560" s="56"/>
      <c r="K5560" s="50"/>
      <c r="L5560" s="56" t="s">
        <v>56716</v>
      </c>
    </row>
    <row r="5561" spans="1:12" s="37" customFormat="1" ht="11.25" x14ac:dyDescent="0.2">
      <c r="A5561" s="45" t="s">
        <v>39887</v>
      </c>
      <c r="B5561" s="45" t="s">
        <v>39889</v>
      </c>
      <c r="C5561" s="51" t="s">
        <v>39891</v>
      </c>
      <c r="D5561" s="51" t="s">
        <v>39890</v>
      </c>
      <c r="E5561" s="45" t="s">
        <v>39892</v>
      </c>
      <c r="F5561" s="45" t="s">
        <v>18242</v>
      </c>
      <c r="G5561" s="45" t="s">
        <v>50584</v>
      </c>
      <c r="H5561" s="56"/>
      <c r="I5561" s="56" t="s">
        <v>50564</v>
      </c>
      <c r="J5561" s="56"/>
      <c r="K5561" s="50"/>
      <c r="L5561" s="56" t="s">
        <v>56716</v>
      </c>
    </row>
    <row r="5562" spans="1:12" s="37" customFormat="1" ht="11.25" x14ac:dyDescent="0.2">
      <c r="A5562" s="46" t="s">
        <v>3017</v>
      </c>
      <c r="B5562" s="46" t="s">
        <v>54334</v>
      </c>
      <c r="C5562" s="58" t="str">
        <f>"07403194"</f>
        <v>07403194</v>
      </c>
      <c r="D5562" s="58" t="str">
        <f>"15222594"</f>
        <v>15222594</v>
      </c>
      <c r="E5562" s="46" t="s">
        <v>517</v>
      </c>
      <c r="F5562" s="46" t="s">
        <v>17759</v>
      </c>
      <c r="G5562" s="46" t="s">
        <v>50584</v>
      </c>
      <c r="H5562" s="48" t="s">
        <v>56716</v>
      </c>
      <c r="I5562" s="48" t="s">
        <v>50564</v>
      </c>
      <c r="J5562" s="48"/>
      <c r="K5562" s="50" t="s">
        <v>56716</v>
      </c>
      <c r="L5562" s="48" t="s">
        <v>56716</v>
      </c>
    </row>
    <row r="5563" spans="1:12" s="37" customFormat="1" ht="11.25" x14ac:dyDescent="0.2">
      <c r="A5563" s="46" t="s">
        <v>2947</v>
      </c>
      <c r="B5563" s="46" t="s">
        <v>54335</v>
      </c>
      <c r="C5563" s="58" t="str">
        <f>"00250244"</f>
        <v>00250244</v>
      </c>
      <c r="D5563" s="58" t="str">
        <f>"20600399"</f>
        <v>20600399</v>
      </c>
      <c r="E5563" s="46" t="s">
        <v>2950</v>
      </c>
      <c r="F5563" s="45" t="s">
        <v>17976</v>
      </c>
      <c r="G5563" s="46" t="s">
        <v>50599</v>
      </c>
      <c r="H5563" s="48" t="s">
        <v>56716</v>
      </c>
      <c r="I5563" s="48" t="s">
        <v>50564</v>
      </c>
      <c r="J5563" s="48"/>
      <c r="K5563" s="50"/>
      <c r="L5563" s="48" t="s">
        <v>56716</v>
      </c>
    </row>
    <row r="5564" spans="1:12" s="37" customFormat="1" ht="11.25" x14ac:dyDescent="0.2">
      <c r="A5564" s="45" t="s">
        <v>39906</v>
      </c>
      <c r="B5564" s="45" t="s">
        <v>39908</v>
      </c>
      <c r="C5564" s="51" t="s">
        <v>39911</v>
      </c>
      <c r="D5564" s="51" t="s">
        <v>39910</v>
      </c>
      <c r="E5564" s="45" t="s">
        <v>39912</v>
      </c>
      <c r="F5564" s="45" t="s">
        <v>17976</v>
      </c>
      <c r="G5564" s="45" t="s">
        <v>50599</v>
      </c>
      <c r="H5564" s="56"/>
      <c r="I5564" s="56" t="s">
        <v>50564</v>
      </c>
      <c r="J5564" s="56"/>
      <c r="K5564" s="50"/>
      <c r="L5564" s="56" t="s">
        <v>56716</v>
      </c>
    </row>
    <row r="5565" spans="1:12" s="36" customFormat="1" ht="11.25" x14ac:dyDescent="0.2">
      <c r="A5565" s="46" t="s">
        <v>9663</v>
      </c>
      <c r="B5565" s="46" t="s">
        <v>55862</v>
      </c>
      <c r="C5565" s="58" t="str">
        <f>""</f>
        <v/>
      </c>
      <c r="D5565" s="58" t="str">
        <f>"14752875"</f>
        <v>14752875</v>
      </c>
      <c r="E5565" s="46" t="s">
        <v>2299</v>
      </c>
      <c r="F5565" s="46" t="s">
        <v>50646</v>
      </c>
      <c r="G5565" s="46" t="s">
        <v>50584</v>
      </c>
      <c r="H5565" s="48" t="s">
        <v>56716</v>
      </c>
      <c r="I5565" s="48" t="s">
        <v>50564</v>
      </c>
      <c r="J5565" s="48"/>
      <c r="K5565" s="50" t="s">
        <v>56716</v>
      </c>
      <c r="L5565" s="48" t="s">
        <v>56716</v>
      </c>
    </row>
    <row r="5566" spans="1:12" s="37" customFormat="1" ht="11.25" x14ac:dyDescent="0.2">
      <c r="A5566" s="46" t="s">
        <v>16080</v>
      </c>
      <c r="B5566" s="46" t="s">
        <v>54336</v>
      </c>
      <c r="C5566" s="58" t="str">
        <f>"20908075"</f>
        <v>20908075</v>
      </c>
      <c r="D5566" s="58" t="str">
        <f>"20444362"</f>
        <v>20444362</v>
      </c>
      <c r="E5566" s="46" t="s">
        <v>1412</v>
      </c>
      <c r="F5566" s="46" t="s">
        <v>17759</v>
      </c>
      <c r="G5566" s="46" t="s">
        <v>50584</v>
      </c>
      <c r="H5566" s="48" t="s">
        <v>56716</v>
      </c>
      <c r="I5566" s="48" t="s">
        <v>50564</v>
      </c>
      <c r="J5566" s="48" t="s">
        <v>56716</v>
      </c>
      <c r="K5566" s="50"/>
      <c r="L5566" s="48"/>
    </row>
    <row r="5567" spans="1:12" s="37" customFormat="1" ht="11.25" x14ac:dyDescent="0.2">
      <c r="A5567" s="45" t="s">
        <v>39918</v>
      </c>
      <c r="B5567" s="45" t="s">
        <v>39920</v>
      </c>
      <c r="C5567" s="51" t="s">
        <v>39922</v>
      </c>
      <c r="D5567" s="51" t="s">
        <v>39921</v>
      </c>
      <c r="E5567" s="45" t="s">
        <v>39923</v>
      </c>
      <c r="F5567" s="45" t="s">
        <v>39924</v>
      </c>
      <c r="G5567" s="45" t="s">
        <v>50584</v>
      </c>
      <c r="H5567" s="56"/>
      <c r="I5567" s="56" t="s">
        <v>50564</v>
      </c>
      <c r="J5567" s="56"/>
      <c r="K5567" s="50"/>
      <c r="L5567" s="56" t="s">
        <v>56716</v>
      </c>
    </row>
    <row r="5568" spans="1:12" s="37" customFormat="1" ht="11.25" x14ac:dyDescent="0.2">
      <c r="A5568" s="46" t="s">
        <v>9995</v>
      </c>
      <c r="B5568" s="46" t="s">
        <v>54337</v>
      </c>
      <c r="C5568" s="58" t="str">
        <f>"1394195X"</f>
        <v>1394195X</v>
      </c>
      <c r="D5568" s="58" t="str">
        <f>"21804303"</f>
        <v>21804303</v>
      </c>
      <c r="E5568" s="46" t="s">
        <v>9995</v>
      </c>
      <c r="F5568" s="46" t="s">
        <v>39931</v>
      </c>
      <c r="G5568" s="46" t="s">
        <v>50584</v>
      </c>
      <c r="H5568" s="48" t="s">
        <v>56716</v>
      </c>
      <c r="I5568" s="48" t="s">
        <v>50564</v>
      </c>
      <c r="J5568" s="48"/>
      <c r="K5568" s="50"/>
      <c r="L5568" s="48"/>
    </row>
    <row r="5569" spans="1:12" s="37" customFormat="1" ht="11.25" x14ac:dyDescent="0.2">
      <c r="A5569" s="45" t="s">
        <v>39926</v>
      </c>
      <c r="B5569" s="45" t="s">
        <v>39928</v>
      </c>
      <c r="C5569" s="51" t="s">
        <v>39929</v>
      </c>
      <c r="D5569" s="51"/>
      <c r="E5569" s="45" t="s">
        <v>39930</v>
      </c>
      <c r="F5569" s="45" t="s">
        <v>39931</v>
      </c>
      <c r="G5569" s="45" t="s">
        <v>50584</v>
      </c>
      <c r="H5569" s="56"/>
      <c r="I5569" s="56" t="s">
        <v>50564</v>
      </c>
      <c r="J5569" s="56"/>
      <c r="K5569" s="50"/>
      <c r="L5569" s="56" t="s">
        <v>56716</v>
      </c>
    </row>
    <row r="5570" spans="1:12" s="37" customFormat="1" ht="11.25" x14ac:dyDescent="0.2">
      <c r="A5570" s="46" t="s">
        <v>13587</v>
      </c>
      <c r="B5570" s="46" t="s">
        <v>54338</v>
      </c>
      <c r="C5570" s="58" t="str">
        <f>"01268635"</f>
        <v>01268635</v>
      </c>
      <c r="D5570" s="58" t="str">
        <f>""</f>
        <v/>
      </c>
      <c r="E5570" s="46" t="s">
        <v>13589</v>
      </c>
      <c r="F5570" s="46" t="s">
        <v>39931</v>
      </c>
      <c r="G5570" s="46" t="s">
        <v>50584</v>
      </c>
      <c r="H5570" s="48" t="s">
        <v>56716</v>
      </c>
      <c r="I5570" s="48" t="s">
        <v>50564</v>
      </c>
      <c r="J5570" s="48"/>
      <c r="K5570" s="50"/>
      <c r="L5570" s="48" t="s">
        <v>56716</v>
      </c>
    </row>
    <row r="5571" spans="1:12" s="37" customFormat="1" ht="11.25" x14ac:dyDescent="0.2">
      <c r="A5571" s="46" t="s">
        <v>12823</v>
      </c>
      <c r="B5571" s="46" t="s">
        <v>54339</v>
      </c>
      <c r="C5571" s="58" t="str">
        <f>"19852533"</f>
        <v>19852533</v>
      </c>
      <c r="D5571" s="58" t="str">
        <f>""</f>
        <v/>
      </c>
      <c r="E5571" s="46" t="s">
        <v>12825</v>
      </c>
      <c r="F5571" s="46" t="s">
        <v>39931</v>
      </c>
      <c r="G5571" s="46" t="s">
        <v>50584</v>
      </c>
      <c r="H5571" s="48" t="s">
        <v>56716</v>
      </c>
      <c r="I5571" s="48" t="s">
        <v>50564</v>
      </c>
      <c r="J5571" s="48"/>
      <c r="K5571" s="50"/>
      <c r="L5571" s="48"/>
    </row>
    <row r="5572" spans="1:12" s="37" customFormat="1" ht="11.25" x14ac:dyDescent="0.2">
      <c r="A5572" s="46" t="s">
        <v>12180</v>
      </c>
      <c r="B5572" s="46" t="s">
        <v>54340</v>
      </c>
      <c r="C5572" s="58" t="str">
        <f>"18133339"</f>
        <v>18133339</v>
      </c>
      <c r="D5572" s="58" t="str">
        <f>""</f>
        <v/>
      </c>
      <c r="E5572" s="46" t="s">
        <v>12182</v>
      </c>
      <c r="F5572" s="46" t="s">
        <v>50651</v>
      </c>
      <c r="G5572" s="46" t="s">
        <v>50584</v>
      </c>
      <c r="H5572" s="48" t="s">
        <v>56716</v>
      </c>
      <c r="I5572" s="48" t="s">
        <v>50564</v>
      </c>
      <c r="J5572" s="48"/>
      <c r="K5572" s="50"/>
      <c r="L5572" s="48"/>
    </row>
    <row r="5573" spans="1:12" s="37" customFormat="1" ht="11.25" x14ac:dyDescent="0.2">
      <c r="A5573" s="46" t="s">
        <v>6953</v>
      </c>
      <c r="B5573" s="46" t="s">
        <v>54341</v>
      </c>
      <c r="C5573" s="58" t="str">
        <f>"09388990"</f>
        <v>09388990</v>
      </c>
      <c r="D5573" s="58" t="str">
        <f>"14321777"</f>
        <v>14321777</v>
      </c>
      <c r="E5573" s="46" t="s">
        <v>56305</v>
      </c>
      <c r="F5573" s="46" t="s">
        <v>17759</v>
      </c>
      <c r="G5573" s="46" t="s">
        <v>50584</v>
      </c>
      <c r="H5573" s="48" t="s">
        <v>56716</v>
      </c>
      <c r="I5573" s="48" t="s">
        <v>50564</v>
      </c>
      <c r="J5573" s="48"/>
      <c r="K5573" s="50" t="s">
        <v>56716</v>
      </c>
      <c r="L5573" s="48" t="s">
        <v>56716</v>
      </c>
    </row>
    <row r="5574" spans="1:12" s="37" customFormat="1" ht="11.25" x14ac:dyDescent="0.2">
      <c r="A5574" s="45" t="s">
        <v>39951</v>
      </c>
      <c r="B5574" s="45" t="s">
        <v>39953</v>
      </c>
      <c r="C5574" s="51" t="s">
        <v>39954</v>
      </c>
      <c r="D5574" s="51"/>
      <c r="E5574" s="45" t="s">
        <v>39955</v>
      </c>
      <c r="F5574" s="45" t="s">
        <v>17759</v>
      </c>
      <c r="G5574" s="45" t="s">
        <v>50584</v>
      </c>
      <c r="H5574" s="56"/>
      <c r="I5574" s="56" t="s">
        <v>50564</v>
      </c>
      <c r="J5574" s="56"/>
      <c r="K5574" s="50"/>
      <c r="L5574" s="56" t="s">
        <v>56716</v>
      </c>
    </row>
    <row r="5575" spans="1:12" s="37" customFormat="1" ht="11.25" x14ac:dyDescent="0.2">
      <c r="A5575" s="46" t="s">
        <v>7011</v>
      </c>
      <c r="B5575" s="46" t="s">
        <v>54342</v>
      </c>
      <c r="C5575" s="58" t="str">
        <f>"1356689X"</f>
        <v>1356689X</v>
      </c>
      <c r="D5575" s="58" t="str">
        <f>"15322769"</f>
        <v>15322769</v>
      </c>
      <c r="E5575" s="46" t="s">
        <v>831</v>
      </c>
      <c r="F5575" s="46" t="s">
        <v>50646</v>
      </c>
      <c r="G5575" s="46" t="s">
        <v>50584</v>
      </c>
      <c r="H5575" s="48" t="s">
        <v>56716</v>
      </c>
      <c r="I5575" s="48" t="s">
        <v>50564</v>
      </c>
      <c r="J5575" s="48" t="s">
        <v>56716</v>
      </c>
      <c r="K5575" s="50" t="s">
        <v>56716</v>
      </c>
      <c r="L5575" s="48" t="s">
        <v>56716</v>
      </c>
    </row>
    <row r="5576" spans="1:12" s="37" customFormat="1" ht="11.25" x14ac:dyDescent="0.2">
      <c r="A5576" s="46" t="s">
        <v>6772</v>
      </c>
      <c r="B5576" s="46" t="s">
        <v>54343</v>
      </c>
      <c r="C5576" s="58" t="str">
        <f>"02624230"</f>
        <v>02624230</v>
      </c>
      <c r="D5576" s="58" t="str">
        <f>""</f>
        <v/>
      </c>
      <c r="E5576" s="46" t="s">
        <v>6774</v>
      </c>
      <c r="F5576" s="46" t="s">
        <v>50646</v>
      </c>
      <c r="G5576" s="46" t="s">
        <v>50584</v>
      </c>
      <c r="H5576" s="48" t="s">
        <v>56716</v>
      </c>
      <c r="I5576" s="48" t="s">
        <v>50566</v>
      </c>
      <c r="J5576" s="48"/>
      <c r="K5576" s="50"/>
      <c r="L5576" s="48"/>
    </row>
    <row r="5577" spans="1:12" s="37" customFormat="1" ht="11.25" x14ac:dyDescent="0.2">
      <c r="A5577" s="45" t="s">
        <v>39968</v>
      </c>
      <c r="B5577" s="45" t="s">
        <v>39970</v>
      </c>
      <c r="C5577" s="51" t="s">
        <v>39971</v>
      </c>
      <c r="D5577" s="51"/>
      <c r="E5577" s="45" t="s">
        <v>39972</v>
      </c>
      <c r="F5577" s="45" t="s">
        <v>18158</v>
      </c>
      <c r="G5577" s="45" t="s">
        <v>50592</v>
      </c>
      <c r="H5577" s="56"/>
      <c r="I5577" s="56" t="s">
        <v>50564</v>
      </c>
      <c r="J5577" s="56"/>
      <c r="K5577" s="50"/>
      <c r="L5577" s="56" t="s">
        <v>56716</v>
      </c>
    </row>
    <row r="5578" spans="1:12" s="37" customFormat="1" ht="11.25" x14ac:dyDescent="0.2">
      <c r="A5578" s="45" t="s">
        <v>39974</v>
      </c>
      <c r="B5578" s="45" t="s">
        <v>39976</v>
      </c>
      <c r="C5578" s="51" t="s">
        <v>39979</v>
      </c>
      <c r="D5578" s="51" t="s">
        <v>39978</v>
      </c>
      <c r="E5578" s="45" t="s">
        <v>38544</v>
      </c>
      <c r="F5578" s="45" t="s">
        <v>17759</v>
      </c>
      <c r="G5578" s="45" t="s">
        <v>50584</v>
      </c>
      <c r="H5578" s="56"/>
      <c r="I5578" s="56" t="s">
        <v>50564</v>
      </c>
      <c r="J5578" s="56"/>
      <c r="K5578" s="50"/>
      <c r="L5578" s="56" t="s">
        <v>56716</v>
      </c>
    </row>
    <row r="5579" spans="1:12" s="37" customFormat="1" ht="11.25" x14ac:dyDescent="0.2">
      <c r="A5579" s="46" t="s">
        <v>10618</v>
      </c>
      <c r="B5579" s="46" t="s">
        <v>54344</v>
      </c>
      <c r="C5579" s="58" t="str">
        <f>""</f>
        <v/>
      </c>
      <c r="D5579" s="58" t="str">
        <f>"16603397"</f>
        <v>16603397</v>
      </c>
      <c r="E5579" s="46" t="s">
        <v>4152</v>
      </c>
      <c r="F5579" s="46" t="s">
        <v>18123</v>
      </c>
      <c r="G5579" s="46" t="s">
        <v>50584</v>
      </c>
      <c r="H5579" s="48" t="s">
        <v>56716</v>
      </c>
      <c r="I5579" s="48" t="s">
        <v>50564</v>
      </c>
      <c r="J5579" s="48"/>
      <c r="K5579" s="50"/>
      <c r="L5579" s="48" t="s">
        <v>56716</v>
      </c>
    </row>
    <row r="5580" spans="1:12" s="37" customFormat="1" ht="11.25" x14ac:dyDescent="0.2">
      <c r="A5580" s="46" t="s">
        <v>2939</v>
      </c>
      <c r="B5580" s="46" t="s">
        <v>54345</v>
      </c>
      <c r="C5580" s="58" t="str">
        <f>"01411136"</f>
        <v>01411136</v>
      </c>
      <c r="D5580" s="58" t="str">
        <f>"18790291"</f>
        <v>18790291</v>
      </c>
      <c r="E5580" s="46" t="s">
        <v>155</v>
      </c>
      <c r="F5580" s="46" t="s">
        <v>50646</v>
      </c>
      <c r="G5580" s="46" t="s">
        <v>50584</v>
      </c>
      <c r="H5580" s="48" t="s">
        <v>56716</v>
      </c>
      <c r="I5580" s="48" t="s">
        <v>50564</v>
      </c>
      <c r="J5580" s="48"/>
      <c r="K5580" s="50" t="s">
        <v>56716</v>
      </c>
      <c r="L5580" s="48" t="s">
        <v>56716</v>
      </c>
    </row>
    <row r="5581" spans="1:12" s="37" customFormat="1" ht="11.25" x14ac:dyDescent="0.2">
      <c r="A5581" s="45" t="s">
        <v>39992</v>
      </c>
      <c r="B5581" s="45" t="s">
        <v>39994</v>
      </c>
      <c r="C5581" s="51" t="s">
        <v>39996</v>
      </c>
      <c r="D5581" s="51" t="s">
        <v>39995</v>
      </c>
      <c r="E5581" s="45" t="s">
        <v>91</v>
      </c>
      <c r="F5581" s="45" t="s">
        <v>18001</v>
      </c>
      <c r="G5581" s="45" t="s">
        <v>50584</v>
      </c>
      <c r="H5581" s="56"/>
      <c r="I5581" s="56" t="s">
        <v>50564</v>
      </c>
      <c r="J5581" s="56"/>
      <c r="K5581" s="50"/>
      <c r="L5581" s="56" t="s">
        <v>56716</v>
      </c>
    </row>
    <row r="5582" spans="1:12" s="37" customFormat="1" ht="11.25" x14ac:dyDescent="0.2">
      <c r="A5582" s="46" t="s">
        <v>3008</v>
      </c>
      <c r="B5582" s="46" t="s">
        <v>54346</v>
      </c>
      <c r="C5582" s="58" t="str">
        <f>"0025326X"</f>
        <v>0025326X</v>
      </c>
      <c r="D5582" s="58" t="str">
        <f>"18793363"</f>
        <v>18793363</v>
      </c>
      <c r="E5582" s="46" t="s">
        <v>155</v>
      </c>
      <c r="F5582" s="46" t="s">
        <v>50646</v>
      </c>
      <c r="G5582" s="46" t="s">
        <v>50584</v>
      </c>
      <c r="H5582" s="48" t="s">
        <v>56716</v>
      </c>
      <c r="I5582" s="48" t="s">
        <v>50564</v>
      </c>
      <c r="J5582" s="48"/>
      <c r="K5582" s="50" t="s">
        <v>56716</v>
      </c>
      <c r="L5582" s="48" t="s">
        <v>56716</v>
      </c>
    </row>
    <row r="5583" spans="1:12" s="37" customFormat="1" ht="11.25" x14ac:dyDescent="0.2">
      <c r="A5583" s="45" t="s">
        <v>40003</v>
      </c>
      <c r="B5583" s="45" t="s">
        <v>40005</v>
      </c>
      <c r="C5583" s="51" t="s">
        <v>40007</v>
      </c>
      <c r="D5583" s="51"/>
      <c r="E5583" s="45" t="s">
        <v>40008</v>
      </c>
      <c r="F5583" s="45" t="s">
        <v>17759</v>
      </c>
      <c r="G5583" s="45" t="s">
        <v>50584</v>
      </c>
      <c r="H5583" s="56"/>
      <c r="I5583" s="56" t="s">
        <v>50564</v>
      </c>
      <c r="J5583" s="56"/>
      <c r="K5583" s="50"/>
      <c r="L5583" s="56" t="s">
        <v>56716</v>
      </c>
    </row>
    <row r="5584" spans="1:12" s="37" customFormat="1" ht="11.25" x14ac:dyDescent="0.2">
      <c r="A5584" s="46" t="s">
        <v>6465</v>
      </c>
      <c r="B5584" s="46" t="s">
        <v>54347</v>
      </c>
      <c r="C5584" s="58" t="str">
        <f>"10191941"</f>
        <v>10191941</v>
      </c>
      <c r="D5584" s="58" t="str">
        <f>"13099469"</f>
        <v>13099469</v>
      </c>
      <c r="E5584" s="46" t="s">
        <v>6468</v>
      </c>
      <c r="F5584" s="46" t="s">
        <v>18396</v>
      </c>
      <c r="G5584" s="46" t="s">
        <v>50584</v>
      </c>
      <c r="H5584" s="48" t="s">
        <v>56716</v>
      </c>
      <c r="I5584" s="48" t="s">
        <v>50564</v>
      </c>
      <c r="J5584" s="48"/>
      <c r="K5584" s="50"/>
      <c r="L5584" s="48"/>
    </row>
    <row r="5585" spans="1:12" s="37" customFormat="1" ht="11.25" x14ac:dyDescent="0.2">
      <c r="A5585" s="46" t="s">
        <v>17084</v>
      </c>
      <c r="B5585" s="46" t="s">
        <v>54348</v>
      </c>
      <c r="C5585" s="58" t="str">
        <f>""</f>
        <v/>
      </c>
      <c r="D5585" s="58" t="str">
        <f>"13090801"</f>
        <v>13090801</v>
      </c>
      <c r="E5585" s="46" t="s">
        <v>6468</v>
      </c>
      <c r="F5585" s="46" t="s">
        <v>18396</v>
      </c>
      <c r="G5585" s="46" t="s">
        <v>50637</v>
      </c>
      <c r="H5585" s="48" t="s">
        <v>56716</v>
      </c>
      <c r="I5585" s="48" t="s">
        <v>50564</v>
      </c>
      <c r="J5585" s="48"/>
      <c r="K5585" s="50"/>
      <c r="L5585" s="48"/>
    </row>
    <row r="5586" spans="1:12" s="37" customFormat="1" ht="11.25" x14ac:dyDescent="0.2">
      <c r="A5586" s="45" t="s">
        <v>40010</v>
      </c>
      <c r="B5586" s="45" t="s">
        <v>40012</v>
      </c>
      <c r="C5586" s="51" t="s">
        <v>40014</v>
      </c>
      <c r="D5586" s="51"/>
      <c r="E5586" s="45" t="s">
        <v>30979</v>
      </c>
      <c r="F5586" s="45" t="s">
        <v>17759</v>
      </c>
      <c r="G5586" s="45" t="s">
        <v>50584</v>
      </c>
      <c r="H5586" s="56"/>
      <c r="I5586" s="56" t="s">
        <v>50564</v>
      </c>
      <c r="J5586" s="56"/>
      <c r="K5586" s="50"/>
      <c r="L5586" s="56" t="s">
        <v>56716</v>
      </c>
    </row>
    <row r="5587" spans="1:12" s="37" customFormat="1" ht="11.25" x14ac:dyDescent="0.2">
      <c r="A5587" s="45" t="s">
        <v>40016</v>
      </c>
      <c r="B5587" s="45" t="s">
        <v>40018</v>
      </c>
      <c r="C5587" s="51" t="s">
        <v>40020</v>
      </c>
      <c r="D5587" s="51" t="s">
        <v>40019</v>
      </c>
      <c r="E5587" s="45" t="s">
        <v>17805</v>
      </c>
      <c r="F5587" s="45" t="s">
        <v>17759</v>
      </c>
      <c r="G5587" s="45" t="s">
        <v>50584</v>
      </c>
      <c r="H5587" s="56"/>
      <c r="I5587" s="56" t="s">
        <v>50564</v>
      </c>
      <c r="J5587" s="56"/>
      <c r="K5587" s="50"/>
      <c r="L5587" s="56" t="s">
        <v>56716</v>
      </c>
    </row>
    <row r="5588" spans="1:12" s="37" customFormat="1" ht="11.25" x14ac:dyDescent="0.2">
      <c r="A5588" s="45" t="s">
        <v>40027</v>
      </c>
      <c r="B5588" s="45" t="s">
        <v>40029</v>
      </c>
      <c r="C5588" s="51" t="s">
        <v>40030</v>
      </c>
      <c r="D5588" s="51"/>
      <c r="E5588" s="45" t="s">
        <v>30676</v>
      </c>
      <c r="F5588" s="45" t="s">
        <v>17759</v>
      </c>
      <c r="G5588" s="45" t="s">
        <v>50584</v>
      </c>
      <c r="H5588" s="56"/>
      <c r="I5588" s="56" t="s">
        <v>50564</v>
      </c>
      <c r="J5588" s="56"/>
      <c r="K5588" s="50"/>
      <c r="L5588" s="56" t="s">
        <v>56716</v>
      </c>
    </row>
    <row r="5589" spans="1:12" s="37" customFormat="1" ht="11.25" x14ac:dyDescent="0.2">
      <c r="A5589" s="45" t="s">
        <v>40032</v>
      </c>
      <c r="B5589" s="45" t="s">
        <v>40034</v>
      </c>
      <c r="C5589" s="51" t="s">
        <v>40037</v>
      </c>
      <c r="D5589" s="51" t="s">
        <v>40036</v>
      </c>
      <c r="E5589" s="45" t="s">
        <v>91</v>
      </c>
      <c r="F5589" s="45" t="s">
        <v>18001</v>
      </c>
      <c r="G5589" s="45" t="s">
        <v>50584</v>
      </c>
      <c r="H5589" s="56"/>
      <c r="I5589" s="56" t="s">
        <v>50564</v>
      </c>
      <c r="J5589" s="56"/>
      <c r="K5589" s="50"/>
      <c r="L5589" s="56" t="s">
        <v>56716</v>
      </c>
    </row>
    <row r="5590" spans="1:12" s="37" customFormat="1" ht="11.25" x14ac:dyDescent="0.2">
      <c r="A5590" s="45" t="s">
        <v>40045</v>
      </c>
      <c r="B5590" s="45" t="s">
        <v>40047</v>
      </c>
      <c r="C5590" s="51" t="s">
        <v>40049</v>
      </c>
      <c r="D5590" s="51" t="s">
        <v>40048</v>
      </c>
      <c r="E5590" s="45" t="s">
        <v>18832</v>
      </c>
      <c r="F5590" s="45" t="s">
        <v>17759</v>
      </c>
      <c r="G5590" s="45" t="s">
        <v>50584</v>
      </c>
      <c r="H5590" s="56"/>
      <c r="I5590" s="56" t="s">
        <v>50564</v>
      </c>
      <c r="J5590" s="56"/>
      <c r="K5590" s="50"/>
      <c r="L5590" s="56" t="s">
        <v>56716</v>
      </c>
    </row>
    <row r="5591" spans="1:12" s="37" customFormat="1" ht="11.25" x14ac:dyDescent="0.2">
      <c r="A5591" s="46" t="s">
        <v>10537</v>
      </c>
      <c r="B5591" s="46" t="s">
        <v>54349</v>
      </c>
      <c r="C5591" s="58" t="str">
        <f>"17408695"</f>
        <v>17408695</v>
      </c>
      <c r="D5591" s="58" t="str">
        <f>"17408709"</f>
        <v>17408709</v>
      </c>
      <c r="E5591" s="46" t="s">
        <v>35</v>
      </c>
      <c r="F5591" s="46" t="s">
        <v>50646</v>
      </c>
      <c r="G5591" s="46" t="s">
        <v>50584</v>
      </c>
      <c r="H5591" s="48" t="s">
        <v>56716</v>
      </c>
      <c r="I5591" s="48" t="s">
        <v>50564</v>
      </c>
      <c r="J5591" s="48" t="s">
        <v>56716</v>
      </c>
      <c r="K5591" s="50" t="s">
        <v>56716</v>
      </c>
      <c r="L5591" s="48" t="s">
        <v>56716</v>
      </c>
    </row>
    <row r="5592" spans="1:12" s="37" customFormat="1" ht="11.25" x14ac:dyDescent="0.2">
      <c r="A5592" s="46" t="s">
        <v>2862</v>
      </c>
      <c r="B5592" s="46" t="s">
        <v>54350</v>
      </c>
      <c r="C5592" s="58" t="str">
        <f>"00255564"</f>
        <v>00255564</v>
      </c>
      <c r="D5592" s="58" t="str">
        <f>"18793134"</f>
        <v>18793134</v>
      </c>
      <c r="E5592" s="46" t="s">
        <v>272</v>
      </c>
      <c r="F5592" s="46" t="s">
        <v>17759</v>
      </c>
      <c r="G5592" s="46" t="s">
        <v>50584</v>
      </c>
      <c r="H5592" s="48" t="s">
        <v>56716</v>
      </c>
      <c r="I5592" s="48" t="s">
        <v>50564</v>
      </c>
      <c r="J5592" s="48"/>
      <c r="K5592" s="50" t="s">
        <v>56716</v>
      </c>
      <c r="L5592" s="48" t="s">
        <v>56716</v>
      </c>
    </row>
    <row r="5593" spans="1:12" s="37" customFormat="1" ht="11.25" x14ac:dyDescent="0.2">
      <c r="A5593" s="45" t="s">
        <v>40056</v>
      </c>
      <c r="B5593" s="45" t="s">
        <v>40058</v>
      </c>
      <c r="C5593" s="51" t="s">
        <v>40060</v>
      </c>
      <c r="D5593" s="51" t="s">
        <v>40059</v>
      </c>
      <c r="E5593" s="45" t="s">
        <v>40061</v>
      </c>
      <c r="F5593" s="45" t="s">
        <v>17759</v>
      </c>
      <c r="G5593" s="45" t="s">
        <v>50584</v>
      </c>
      <c r="H5593" s="56"/>
      <c r="I5593" s="56" t="s">
        <v>50564</v>
      </c>
      <c r="J5593" s="56"/>
      <c r="K5593" s="50"/>
      <c r="L5593" s="56" t="s">
        <v>56716</v>
      </c>
    </row>
    <row r="5594" spans="1:12" s="37" customFormat="1" ht="11.25" x14ac:dyDescent="0.2">
      <c r="A5594" s="45" t="s">
        <v>40063</v>
      </c>
      <c r="B5594" s="45" t="s">
        <v>40065</v>
      </c>
      <c r="C5594" s="51" t="s">
        <v>40068</v>
      </c>
      <c r="D5594" s="51" t="s">
        <v>40067</v>
      </c>
      <c r="E5594" s="45" t="s">
        <v>40069</v>
      </c>
      <c r="F5594" s="45" t="s">
        <v>50646</v>
      </c>
      <c r="G5594" s="45" t="s">
        <v>50584</v>
      </c>
      <c r="H5594" s="56"/>
      <c r="I5594" s="56" t="s">
        <v>50564</v>
      </c>
      <c r="J5594" s="56"/>
      <c r="K5594" s="50"/>
      <c r="L5594" s="56" t="s">
        <v>56716</v>
      </c>
    </row>
    <row r="5595" spans="1:12" s="37" customFormat="1" ht="11.25" x14ac:dyDescent="0.2">
      <c r="A5595" s="46" t="s">
        <v>6308</v>
      </c>
      <c r="B5595" s="46" t="s">
        <v>54351</v>
      </c>
      <c r="C5595" s="58" t="str">
        <f>"0945053X"</f>
        <v>0945053X</v>
      </c>
      <c r="D5595" s="58" t="str">
        <f>"15691802"</f>
        <v>15691802</v>
      </c>
      <c r="E5595" s="46" t="s">
        <v>91</v>
      </c>
      <c r="F5595" s="46" t="s">
        <v>18001</v>
      </c>
      <c r="G5595" s="46" t="s">
        <v>50584</v>
      </c>
      <c r="H5595" s="48" t="s">
        <v>56716</v>
      </c>
      <c r="I5595" s="48" t="s">
        <v>50564</v>
      </c>
      <c r="J5595" s="48" t="s">
        <v>56716</v>
      </c>
      <c r="K5595" s="50" t="s">
        <v>56716</v>
      </c>
      <c r="L5595" s="48" t="s">
        <v>56716</v>
      </c>
    </row>
    <row r="5596" spans="1:12" s="37" customFormat="1" ht="11.25" x14ac:dyDescent="0.2">
      <c r="A5596" s="46" t="s">
        <v>10531</v>
      </c>
      <c r="B5596" s="46" t="s">
        <v>10531</v>
      </c>
      <c r="C5596" s="58" t="str">
        <f>"15780740"</f>
        <v>15780740</v>
      </c>
      <c r="D5596" s="58" t="str">
        <f>""</f>
        <v/>
      </c>
      <c r="E5596" s="46" t="s">
        <v>570</v>
      </c>
      <c r="F5596" s="46" t="s">
        <v>18439</v>
      </c>
      <c r="G5596" s="46" t="s">
        <v>50632</v>
      </c>
      <c r="H5596" s="48" t="s">
        <v>56716</v>
      </c>
      <c r="I5596" s="48" t="s">
        <v>50564</v>
      </c>
      <c r="J5596" s="48"/>
      <c r="K5596" s="50"/>
      <c r="L5596" s="48"/>
    </row>
    <row r="5597" spans="1:12" s="37" customFormat="1" ht="11.25" x14ac:dyDescent="0.2">
      <c r="A5597" s="46" t="s">
        <v>2876</v>
      </c>
      <c r="B5597" s="46" t="s">
        <v>2876</v>
      </c>
      <c r="C5597" s="58" t="str">
        <f>"03785122"</f>
        <v>03785122</v>
      </c>
      <c r="D5597" s="58" t="str">
        <f>"18734111"</f>
        <v>18734111</v>
      </c>
      <c r="E5597" s="46" t="s">
        <v>221</v>
      </c>
      <c r="F5597" s="46" t="s">
        <v>21771</v>
      </c>
      <c r="G5597" s="46" t="s">
        <v>50584</v>
      </c>
      <c r="H5597" s="48" t="s">
        <v>56716</v>
      </c>
      <c r="I5597" s="48" t="s">
        <v>50564</v>
      </c>
      <c r="J5597" s="48"/>
      <c r="K5597" s="50" t="s">
        <v>56716</v>
      </c>
      <c r="L5597" s="48" t="s">
        <v>56716</v>
      </c>
    </row>
    <row r="5598" spans="1:12" s="37" customFormat="1" ht="11.25" x14ac:dyDescent="0.2">
      <c r="A5598" s="45" t="s">
        <v>40079</v>
      </c>
      <c r="B5598" s="45" t="s">
        <v>40081</v>
      </c>
      <c r="C5598" s="51" t="s">
        <v>40082</v>
      </c>
      <c r="D5598" s="51"/>
      <c r="E5598" s="45" t="s">
        <v>40083</v>
      </c>
      <c r="F5598" s="45" t="s">
        <v>17759</v>
      </c>
      <c r="G5598" s="45" t="s">
        <v>50584</v>
      </c>
      <c r="H5598" s="56"/>
      <c r="I5598" s="56" t="s">
        <v>50564</v>
      </c>
      <c r="J5598" s="56"/>
      <c r="K5598" s="50"/>
      <c r="L5598" s="56" t="s">
        <v>56716</v>
      </c>
    </row>
    <row r="5599" spans="1:12" s="37" customFormat="1" ht="11.25" x14ac:dyDescent="0.2">
      <c r="A5599" s="46" t="s">
        <v>2865</v>
      </c>
      <c r="B5599" s="46" t="s">
        <v>54352</v>
      </c>
      <c r="C5599" s="58" t="str">
        <f>"00256196"</f>
        <v>00256196</v>
      </c>
      <c r="D5599" s="58" t="str">
        <f>"19425546"</f>
        <v>19425546</v>
      </c>
      <c r="E5599" s="46" t="s">
        <v>155</v>
      </c>
      <c r="F5599" s="46" t="s">
        <v>50646</v>
      </c>
      <c r="G5599" s="46" t="s">
        <v>50584</v>
      </c>
      <c r="H5599" s="48" t="s">
        <v>56716</v>
      </c>
      <c r="I5599" s="48" t="s">
        <v>50564</v>
      </c>
      <c r="J5599" s="48"/>
      <c r="K5599" s="50" t="s">
        <v>56716</v>
      </c>
      <c r="L5599" s="48" t="s">
        <v>56716</v>
      </c>
    </row>
    <row r="5600" spans="1:12" s="37" customFormat="1" ht="11.25" x14ac:dyDescent="0.2">
      <c r="A5600" s="46" t="s">
        <v>15020</v>
      </c>
      <c r="B5600" s="46" t="s">
        <v>15020</v>
      </c>
      <c r="C5600" s="58" t="str">
        <f>"21612129"</f>
        <v>21612129</v>
      </c>
      <c r="D5600" s="58" t="str">
        <f>"21507511"</f>
        <v>21507511</v>
      </c>
      <c r="E5600" s="46" t="s">
        <v>441</v>
      </c>
      <c r="F5600" s="46" t="s">
        <v>17759</v>
      </c>
      <c r="G5600" s="46" t="s">
        <v>50584</v>
      </c>
      <c r="H5600" s="48" t="s">
        <v>56716</v>
      </c>
      <c r="I5600" s="48" t="s">
        <v>50564</v>
      </c>
      <c r="J5600" s="48" t="s">
        <v>56716</v>
      </c>
      <c r="K5600" s="50"/>
      <c r="L5600" s="48" t="s">
        <v>56716</v>
      </c>
    </row>
    <row r="5601" spans="1:12" s="37" customFormat="1" ht="11.25" x14ac:dyDescent="0.2">
      <c r="A5601" s="46" t="s">
        <v>7250</v>
      </c>
      <c r="B5601" s="46" t="s">
        <v>54353</v>
      </c>
      <c r="C5601" s="58" t="str">
        <f>"1201026X"</f>
        <v>1201026X</v>
      </c>
      <c r="D5601" s="58" t="str">
        <f>""</f>
        <v/>
      </c>
      <c r="E5601" s="46" t="s">
        <v>7252</v>
      </c>
      <c r="F5601" s="46" t="s">
        <v>18959</v>
      </c>
      <c r="G5601" s="46" t="s">
        <v>50584</v>
      </c>
      <c r="H5601" s="48" t="s">
        <v>56716</v>
      </c>
      <c r="I5601" s="48" t="s">
        <v>50564</v>
      </c>
      <c r="J5601" s="48"/>
      <c r="K5601" s="50"/>
      <c r="L5601" s="48"/>
    </row>
    <row r="5602" spans="1:12" s="37" customFormat="1" ht="11.25" x14ac:dyDescent="0.2">
      <c r="A5602" s="45" t="s">
        <v>40095</v>
      </c>
      <c r="B5602" s="45" t="s">
        <v>40097</v>
      </c>
      <c r="C5602" s="51" t="s">
        <v>40099</v>
      </c>
      <c r="D5602" s="51" t="s">
        <v>40098</v>
      </c>
      <c r="E5602" s="45" t="s">
        <v>17758</v>
      </c>
      <c r="F5602" s="45" t="s">
        <v>17759</v>
      </c>
      <c r="G5602" s="45" t="s">
        <v>50584</v>
      </c>
      <c r="H5602" s="56"/>
      <c r="I5602" s="56" t="s">
        <v>50564</v>
      </c>
      <c r="J5602" s="56"/>
      <c r="K5602" s="50"/>
      <c r="L5602" s="56" t="s">
        <v>56716</v>
      </c>
    </row>
    <row r="5603" spans="1:12" s="37" customFormat="1" ht="11.25" x14ac:dyDescent="0.2">
      <c r="A5603" s="45" t="s">
        <v>40101</v>
      </c>
      <c r="B5603" s="45" t="s">
        <v>40103</v>
      </c>
      <c r="C5603" s="51" t="s">
        <v>40105</v>
      </c>
      <c r="D5603" s="51" t="s">
        <v>40104</v>
      </c>
      <c r="E5603" s="45" t="s">
        <v>40106</v>
      </c>
      <c r="F5603" s="45" t="s">
        <v>17759</v>
      </c>
      <c r="G5603" s="45" t="s">
        <v>50584</v>
      </c>
      <c r="H5603" s="56"/>
      <c r="I5603" s="56" t="s">
        <v>50564</v>
      </c>
      <c r="J5603" s="56"/>
      <c r="K5603" s="50"/>
      <c r="L5603" s="56" t="s">
        <v>56716</v>
      </c>
    </row>
    <row r="5604" spans="1:12" s="37" customFormat="1" ht="11.25" x14ac:dyDescent="0.2">
      <c r="A5604" s="46" t="s">
        <v>7884</v>
      </c>
      <c r="B5604" s="46" t="s">
        <v>54354</v>
      </c>
      <c r="C5604" s="58" t="str">
        <f>"1091367X"</f>
        <v>1091367X</v>
      </c>
      <c r="D5604" s="58" t="str">
        <f>"15327841"</f>
        <v>15327841</v>
      </c>
      <c r="E5604" s="46" t="s">
        <v>689</v>
      </c>
      <c r="F5604" s="46" t="s">
        <v>17759</v>
      </c>
      <c r="G5604" s="46" t="s">
        <v>50584</v>
      </c>
      <c r="H5604" s="48" t="s">
        <v>56716</v>
      </c>
      <c r="I5604" s="48" t="s">
        <v>50564</v>
      </c>
      <c r="J5604" s="48"/>
      <c r="K5604" s="50"/>
      <c r="L5604" s="48"/>
    </row>
    <row r="5605" spans="1:12" s="37" customFormat="1" ht="11.25" x14ac:dyDescent="0.2">
      <c r="A5605" s="45" t="s">
        <v>40108</v>
      </c>
      <c r="B5605" s="45" t="s">
        <v>40110</v>
      </c>
      <c r="C5605" s="51" t="s">
        <v>40112</v>
      </c>
      <c r="D5605" s="51" t="s">
        <v>40111</v>
      </c>
      <c r="E5605" s="45" t="s">
        <v>91</v>
      </c>
      <c r="F5605" s="45" t="s">
        <v>50646</v>
      </c>
      <c r="G5605" s="45" t="s">
        <v>50584</v>
      </c>
      <c r="H5605" s="56"/>
      <c r="I5605" s="56" t="s">
        <v>50564</v>
      </c>
      <c r="J5605" s="56"/>
      <c r="K5605" s="50"/>
      <c r="L5605" s="56" t="s">
        <v>56716</v>
      </c>
    </row>
    <row r="5606" spans="1:12" s="37" customFormat="1" ht="11.25" x14ac:dyDescent="0.2">
      <c r="A5606" s="46" t="s">
        <v>2867</v>
      </c>
      <c r="B5606" s="46" t="s">
        <v>54355</v>
      </c>
      <c r="C5606" s="58" t="str">
        <f>"00476374"</f>
        <v>00476374</v>
      </c>
      <c r="D5606" s="58" t="str">
        <f>"18726216"</f>
        <v>18726216</v>
      </c>
      <c r="E5606" s="46" t="s">
        <v>221</v>
      </c>
      <c r="F5606" s="46" t="s">
        <v>21771</v>
      </c>
      <c r="G5606" s="46" t="s">
        <v>50584</v>
      </c>
      <c r="H5606" s="48" t="s">
        <v>56716</v>
      </c>
      <c r="I5606" s="48" t="s">
        <v>50564</v>
      </c>
      <c r="J5606" s="48" t="s">
        <v>56716</v>
      </c>
      <c r="K5606" s="50" t="s">
        <v>56716</v>
      </c>
      <c r="L5606" s="48" t="s">
        <v>56716</v>
      </c>
    </row>
    <row r="5607" spans="1:12" s="37" customFormat="1" ht="11.25" x14ac:dyDescent="0.2">
      <c r="A5607" s="46" t="s">
        <v>5472</v>
      </c>
      <c r="B5607" s="46" t="s">
        <v>54356</v>
      </c>
      <c r="C5607" s="58" t="str">
        <f>"09254773"</f>
        <v>09254773</v>
      </c>
      <c r="D5607" s="58" t="str">
        <f>"18726356"</f>
        <v>18726356</v>
      </c>
      <c r="E5607" s="46" t="s">
        <v>221</v>
      </c>
      <c r="F5607" s="46" t="s">
        <v>21771</v>
      </c>
      <c r="G5607" s="46" t="s">
        <v>50584</v>
      </c>
      <c r="H5607" s="48" t="s">
        <v>56716</v>
      </c>
      <c r="I5607" s="48" t="s">
        <v>50564</v>
      </c>
      <c r="J5607" s="48" t="s">
        <v>56716</v>
      </c>
      <c r="K5607" s="50" t="s">
        <v>56716</v>
      </c>
      <c r="L5607" s="48" t="s">
        <v>56716</v>
      </c>
    </row>
    <row r="5608" spans="1:12" s="37" customFormat="1" ht="11.25" x14ac:dyDescent="0.2">
      <c r="A5608" s="46" t="s">
        <v>15187</v>
      </c>
      <c r="B5608" s="46" t="s">
        <v>15187</v>
      </c>
      <c r="C5608" s="58" t="str">
        <f>"20402503"</f>
        <v>20402503</v>
      </c>
      <c r="D5608" s="58" t="str">
        <f>"20402511"</f>
        <v>20402511</v>
      </c>
      <c r="E5608" s="46" t="s">
        <v>6914</v>
      </c>
      <c r="F5608" s="46" t="s">
        <v>50646</v>
      </c>
      <c r="G5608" s="46" t="s">
        <v>50584</v>
      </c>
      <c r="H5608" s="48" t="s">
        <v>56716</v>
      </c>
      <c r="I5608" s="48" t="s">
        <v>50564</v>
      </c>
      <c r="J5608" s="48" t="s">
        <v>56716</v>
      </c>
      <c r="K5608" s="50"/>
      <c r="L5608" s="48"/>
    </row>
    <row r="5609" spans="1:12" s="37" customFormat="1" ht="11.25" x14ac:dyDescent="0.2">
      <c r="A5609" s="46" t="s">
        <v>12103</v>
      </c>
      <c r="B5609" s="46" t="s">
        <v>54357</v>
      </c>
      <c r="C5609" s="58" t="str">
        <f>"19572557"</f>
        <v>19572557</v>
      </c>
      <c r="D5609" s="58" t="str">
        <f>"22148477"</f>
        <v>22148477</v>
      </c>
      <c r="E5609" s="46" t="s">
        <v>85</v>
      </c>
      <c r="F5609" s="46" t="s">
        <v>20359</v>
      </c>
      <c r="G5609" s="46" t="s">
        <v>50591</v>
      </c>
      <c r="H5609" s="48" t="s">
        <v>56716</v>
      </c>
      <c r="I5609" s="48" t="s">
        <v>50564</v>
      </c>
      <c r="J5609" s="48"/>
      <c r="K5609" s="50"/>
      <c r="L5609" s="48"/>
    </row>
    <row r="5610" spans="1:12" s="37" customFormat="1" ht="11.25" x14ac:dyDescent="0.2">
      <c r="A5610" s="46" t="s">
        <v>13399</v>
      </c>
      <c r="B5610" s="46" t="s">
        <v>54358</v>
      </c>
      <c r="C5610" s="58" t="str">
        <f>"17694493"</f>
        <v>17694493</v>
      </c>
      <c r="D5610" s="58" t="str">
        <f>""</f>
        <v/>
      </c>
      <c r="E5610" s="46" t="s">
        <v>85</v>
      </c>
      <c r="F5610" s="46" t="s">
        <v>20359</v>
      </c>
      <c r="G5610" s="46" t="s">
        <v>50591</v>
      </c>
      <c r="H5610" s="48" t="s">
        <v>56716</v>
      </c>
      <c r="I5610" s="48" t="s">
        <v>50564</v>
      </c>
      <c r="J5610" s="48"/>
      <c r="K5610" s="50" t="s">
        <v>56716</v>
      </c>
      <c r="L5610" s="48"/>
    </row>
    <row r="5611" spans="1:12" s="37" customFormat="1" ht="11.25" x14ac:dyDescent="0.2">
      <c r="A5611" s="46" t="s">
        <v>6902</v>
      </c>
      <c r="B5611" s="46" t="s">
        <v>54359</v>
      </c>
      <c r="C5611" s="58" t="str">
        <f>"12467391"</f>
        <v>12467391</v>
      </c>
      <c r="D5611" s="58" t="str">
        <f>"17775612"</f>
        <v>17775612</v>
      </c>
      <c r="E5611" s="46" t="s">
        <v>85</v>
      </c>
      <c r="F5611" s="46" t="s">
        <v>20359</v>
      </c>
      <c r="G5611" s="46" t="s">
        <v>50591</v>
      </c>
      <c r="H5611" s="48" t="s">
        <v>56716</v>
      </c>
      <c r="I5611" s="48" t="s">
        <v>50564</v>
      </c>
      <c r="J5611" s="48"/>
      <c r="K5611" s="50" t="s">
        <v>56716</v>
      </c>
      <c r="L5611" s="48"/>
    </row>
    <row r="5612" spans="1:12" s="37" customFormat="1" ht="11.25" x14ac:dyDescent="0.2">
      <c r="A5612" s="46" t="s">
        <v>2989</v>
      </c>
      <c r="B5612" s="46" t="s">
        <v>54360</v>
      </c>
      <c r="C5612" s="58" t="str">
        <f>"0399077X"</f>
        <v>0399077X</v>
      </c>
      <c r="D5612" s="58" t="str">
        <f>"17696690"</f>
        <v>17696690</v>
      </c>
      <c r="E5612" s="46" t="s">
        <v>85</v>
      </c>
      <c r="F5612" s="46" t="s">
        <v>20359</v>
      </c>
      <c r="G5612" s="46" t="s">
        <v>50591</v>
      </c>
      <c r="H5612" s="48" t="s">
        <v>56716</v>
      </c>
      <c r="I5612" s="48" t="s">
        <v>50564</v>
      </c>
      <c r="J5612" s="48"/>
      <c r="K5612" s="50" t="s">
        <v>56716</v>
      </c>
      <c r="L5612" s="48" t="s">
        <v>56716</v>
      </c>
    </row>
    <row r="5613" spans="1:12" s="37" customFormat="1" ht="11.25" x14ac:dyDescent="0.2">
      <c r="A5613" s="45" t="s">
        <v>40131</v>
      </c>
      <c r="B5613" s="45" t="s">
        <v>40133</v>
      </c>
      <c r="C5613" s="51" t="s">
        <v>40136</v>
      </c>
      <c r="D5613" s="51" t="s">
        <v>40135</v>
      </c>
      <c r="E5613" s="45" t="s">
        <v>948</v>
      </c>
      <c r="F5613" s="45" t="s">
        <v>20359</v>
      </c>
      <c r="G5613" s="45" t="s">
        <v>50591</v>
      </c>
      <c r="H5613" s="56"/>
      <c r="I5613" s="56" t="s">
        <v>50564</v>
      </c>
      <c r="J5613" s="56"/>
      <c r="K5613" s="50"/>
      <c r="L5613" s="56" t="s">
        <v>56716</v>
      </c>
    </row>
    <row r="5614" spans="1:12" s="37" customFormat="1" ht="11.25" x14ac:dyDescent="0.2">
      <c r="A5614" s="46" t="s">
        <v>6090</v>
      </c>
      <c r="B5614" s="46" t="s">
        <v>54361</v>
      </c>
      <c r="C5614" s="58" t="str">
        <f>"09281258"</f>
        <v>09281258</v>
      </c>
      <c r="D5614" s="58" t="str">
        <f>"18786820"</f>
        <v>18786820</v>
      </c>
      <c r="E5614" s="46" t="s">
        <v>85</v>
      </c>
      <c r="F5614" s="46" t="s">
        <v>20359</v>
      </c>
      <c r="G5614" s="46" t="s">
        <v>50591</v>
      </c>
      <c r="H5614" s="48" t="s">
        <v>56716</v>
      </c>
      <c r="I5614" s="48" t="s">
        <v>50564</v>
      </c>
      <c r="J5614" s="48"/>
      <c r="K5614" s="50" t="s">
        <v>56716</v>
      </c>
      <c r="L5614" s="48"/>
    </row>
    <row r="5615" spans="1:12" s="37" customFormat="1" ht="11.25" x14ac:dyDescent="0.2">
      <c r="A5615" s="45" t="s">
        <v>40138</v>
      </c>
      <c r="B5615" s="45" t="s">
        <v>40140</v>
      </c>
      <c r="C5615" s="51" t="s">
        <v>40142</v>
      </c>
      <c r="D5615" s="51" t="s">
        <v>40141</v>
      </c>
      <c r="E5615" s="45" t="s">
        <v>40143</v>
      </c>
      <c r="F5615" s="45" t="s">
        <v>20359</v>
      </c>
      <c r="G5615" s="45" t="s">
        <v>50590</v>
      </c>
      <c r="H5615" s="56"/>
      <c r="I5615" s="56" t="s">
        <v>50564</v>
      </c>
      <c r="J5615" s="56"/>
      <c r="K5615" s="50"/>
      <c r="L5615" s="56" t="s">
        <v>56716</v>
      </c>
    </row>
    <row r="5616" spans="1:12" s="37" customFormat="1" ht="11.25" x14ac:dyDescent="0.2">
      <c r="A5616" s="46" t="s">
        <v>5858</v>
      </c>
      <c r="B5616" s="46" t="s">
        <v>54362</v>
      </c>
      <c r="C5616" s="58" t="str">
        <f>"09629351"</f>
        <v>09629351</v>
      </c>
      <c r="D5616" s="58" t="str">
        <f>"14661861"</f>
        <v>14661861</v>
      </c>
      <c r="E5616" s="46" t="s">
        <v>1412</v>
      </c>
      <c r="F5616" s="46" t="s">
        <v>17759</v>
      </c>
      <c r="G5616" s="46" t="s">
        <v>50584</v>
      </c>
      <c r="H5616" s="48" t="s">
        <v>56716</v>
      </c>
      <c r="I5616" s="48" t="s">
        <v>50564</v>
      </c>
      <c r="J5616" s="48" t="s">
        <v>56716</v>
      </c>
      <c r="K5616" s="50"/>
      <c r="L5616" s="48" t="s">
        <v>56716</v>
      </c>
    </row>
    <row r="5617" spans="1:12" s="37" customFormat="1" ht="11.25" x14ac:dyDescent="0.2">
      <c r="A5617" s="46" t="s">
        <v>12302</v>
      </c>
      <c r="B5617" s="46" t="s">
        <v>54363</v>
      </c>
      <c r="C5617" s="58" t="str">
        <f>"19336586"</f>
        <v>19336586</v>
      </c>
      <c r="D5617" s="58" t="str">
        <f>"19336594"</f>
        <v>19336594</v>
      </c>
      <c r="E5617" s="46" t="s">
        <v>4337</v>
      </c>
      <c r="F5617" s="46" t="s">
        <v>17759</v>
      </c>
      <c r="G5617" s="46" t="s">
        <v>50584</v>
      </c>
      <c r="H5617" s="48" t="s">
        <v>56716</v>
      </c>
      <c r="I5617" s="48" t="s">
        <v>50564</v>
      </c>
      <c r="J5617" s="48" t="s">
        <v>56716</v>
      </c>
      <c r="K5617" s="50"/>
      <c r="L5617" s="48"/>
    </row>
    <row r="5618" spans="1:12" s="37" customFormat="1" ht="11.25" x14ac:dyDescent="0.2">
      <c r="A5618" s="46" t="s">
        <v>2879</v>
      </c>
      <c r="B5618" s="46" t="s">
        <v>54364</v>
      </c>
      <c r="C5618" s="58" t="str">
        <f>"01400118"</f>
        <v>01400118</v>
      </c>
      <c r="D5618" s="58" t="str">
        <f>"17410444"</f>
        <v>17410444</v>
      </c>
      <c r="E5618" s="46" t="s">
        <v>167</v>
      </c>
      <c r="F5618" s="46" t="s">
        <v>18158</v>
      </c>
      <c r="G5618" s="46" t="s">
        <v>50584</v>
      </c>
      <c r="H5618" s="48" t="s">
        <v>56716</v>
      </c>
      <c r="I5618" s="48" t="s">
        <v>50564</v>
      </c>
      <c r="J5618" s="48" t="s">
        <v>56716</v>
      </c>
      <c r="K5618" s="50" t="s">
        <v>56716</v>
      </c>
      <c r="L5618" s="48" t="s">
        <v>56716</v>
      </c>
    </row>
    <row r="5619" spans="1:12" s="37" customFormat="1" ht="11.25" x14ac:dyDescent="0.2">
      <c r="A5619" s="45" t="s">
        <v>40157</v>
      </c>
      <c r="B5619" s="45" t="s">
        <v>40159</v>
      </c>
      <c r="C5619" s="51" t="s">
        <v>40160</v>
      </c>
      <c r="D5619" s="51"/>
      <c r="E5619" s="45" t="s">
        <v>19094</v>
      </c>
      <c r="F5619" s="45" t="s">
        <v>17759</v>
      </c>
      <c r="G5619" s="45" t="s">
        <v>50584</v>
      </c>
      <c r="H5619" s="56"/>
      <c r="I5619" s="56" t="s">
        <v>50564</v>
      </c>
      <c r="J5619" s="56"/>
      <c r="K5619" s="50"/>
      <c r="L5619" s="56" t="s">
        <v>56716</v>
      </c>
    </row>
    <row r="5620" spans="1:12" s="37" customFormat="1" ht="11.25" x14ac:dyDescent="0.2">
      <c r="A5620" s="45" t="s">
        <v>40164</v>
      </c>
      <c r="B5620" s="45" t="s">
        <v>40166</v>
      </c>
      <c r="C5620" s="51" t="s">
        <v>40168</v>
      </c>
      <c r="D5620" s="51" t="s">
        <v>40167</v>
      </c>
      <c r="E5620" s="45" t="s">
        <v>40169</v>
      </c>
      <c r="F5620" s="45" t="s">
        <v>50646</v>
      </c>
      <c r="G5620" s="45" t="s">
        <v>50584</v>
      </c>
      <c r="H5620" s="56"/>
      <c r="I5620" s="56" t="s">
        <v>50564</v>
      </c>
      <c r="J5620" s="56"/>
      <c r="K5620" s="50"/>
      <c r="L5620" s="56" t="s">
        <v>56716</v>
      </c>
    </row>
    <row r="5621" spans="1:12" s="37" customFormat="1" ht="11.25" x14ac:dyDescent="0.2">
      <c r="A5621" s="45" t="s">
        <v>40171</v>
      </c>
      <c r="B5621" s="45" t="s">
        <v>40173</v>
      </c>
      <c r="C5621" s="51" t="s">
        <v>40175</v>
      </c>
      <c r="D5621" s="51" t="s">
        <v>40174</v>
      </c>
      <c r="E5621" s="45" t="s">
        <v>18404</v>
      </c>
      <c r="F5621" s="45" t="s">
        <v>17759</v>
      </c>
      <c r="G5621" s="45" t="s">
        <v>50584</v>
      </c>
      <c r="H5621" s="56"/>
      <c r="I5621" s="56" t="s">
        <v>50564</v>
      </c>
      <c r="J5621" s="56"/>
      <c r="K5621" s="50"/>
      <c r="L5621" s="56" t="s">
        <v>56716</v>
      </c>
    </row>
    <row r="5622" spans="1:12" s="37" customFormat="1" ht="11.25" x14ac:dyDescent="0.2">
      <c r="A5622" s="45" t="s">
        <v>40177</v>
      </c>
      <c r="B5622" s="45" t="s">
        <v>40179</v>
      </c>
      <c r="C5622" s="51" t="s">
        <v>40181</v>
      </c>
      <c r="D5622" s="51"/>
      <c r="E5622" s="45" t="s">
        <v>40182</v>
      </c>
      <c r="F5622" s="45" t="s">
        <v>17759</v>
      </c>
      <c r="G5622" s="45" t="s">
        <v>50584</v>
      </c>
      <c r="H5622" s="56"/>
      <c r="I5622" s="56" t="s">
        <v>50564</v>
      </c>
      <c r="J5622" s="56"/>
      <c r="K5622" s="50"/>
      <c r="L5622" s="56" t="s">
        <v>56716</v>
      </c>
    </row>
    <row r="5623" spans="1:12" s="37" customFormat="1" ht="11.25" x14ac:dyDescent="0.2">
      <c r="A5623" s="45" t="s">
        <v>56621</v>
      </c>
      <c r="B5623" s="45" t="s">
        <v>56622</v>
      </c>
      <c r="C5623" s="51" t="s">
        <v>40491</v>
      </c>
      <c r="D5623" s="51" t="s">
        <v>40490</v>
      </c>
      <c r="E5623" s="45" t="s">
        <v>56623</v>
      </c>
      <c r="F5623" s="45" t="s">
        <v>50644</v>
      </c>
      <c r="G5623" s="45" t="s">
        <v>50584</v>
      </c>
      <c r="H5623" s="56"/>
      <c r="I5623" s="56" t="s">
        <v>50564</v>
      </c>
      <c r="J5623" s="56"/>
      <c r="K5623" s="50"/>
      <c r="L5623" s="56" t="s">
        <v>56716</v>
      </c>
    </row>
    <row r="5624" spans="1:12" s="37" customFormat="1" ht="11.25" x14ac:dyDescent="0.2">
      <c r="A5624" s="46" t="s">
        <v>2913</v>
      </c>
      <c r="B5624" s="46" t="s">
        <v>54365</v>
      </c>
      <c r="C5624" s="58" t="str">
        <f>"00257079"</f>
        <v>00257079</v>
      </c>
      <c r="D5624" s="58" t="str">
        <f>"15371948"</f>
        <v>15371948</v>
      </c>
      <c r="E5624" s="46" t="s">
        <v>28</v>
      </c>
      <c r="F5624" s="46" t="s">
        <v>17759</v>
      </c>
      <c r="G5624" s="46" t="s">
        <v>50584</v>
      </c>
      <c r="H5624" s="48" t="s">
        <v>56716</v>
      </c>
      <c r="I5624" s="48" t="s">
        <v>50564</v>
      </c>
      <c r="J5624" s="48" t="s">
        <v>56716</v>
      </c>
      <c r="K5624" s="50" t="s">
        <v>56716</v>
      </c>
      <c r="L5624" s="48" t="s">
        <v>56716</v>
      </c>
    </row>
    <row r="5625" spans="1:12" s="37" customFormat="1" ht="11.25" x14ac:dyDescent="0.2">
      <c r="A5625" s="46" t="s">
        <v>7554</v>
      </c>
      <c r="B5625" s="46" t="s">
        <v>54366</v>
      </c>
      <c r="C5625" s="58" t="str">
        <f>"10775587"</f>
        <v>10775587</v>
      </c>
      <c r="D5625" s="58" t="str">
        <f>"15526801"</f>
        <v>15526801</v>
      </c>
      <c r="E5625" s="46" t="s">
        <v>493</v>
      </c>
      <c r="F5625" s="46" t="s">
        <v>17759</v>
      </c>
      <c r="G5625" s="46" t="s">
        <v>50584</v>
      </c>
      <c r="H5625" s="48" t="s">
        <v>56716</v>
      </c>
      <c r="I5625" s="48" t="s">
        <v>50564</v>
      </c>
      <c r="J5625" s="48"/>
      <c r="K5625" s="50"/>
      <c r="L5625" s="48" t="s">
        <v>56716</v>
      </c>
    </row>
    <row r="5626" spans="1:12" s="37" customFormat="1" ht="11.25" x14ac:dyDescent="0.2">
      <c r="A5626" s="46" t="s">
        <v>15054</v>
      </c>
      <c r="B5626" s="46" t="s">
        <v>54367</v>
      </c>
      <c r="C5626" s="58" t="str">
        <f>"16815491"</f>
        <v>16815491</v>
      </c>
      <c r="D5626" s="58" t="str">
        <f>"20779135"</f>
        <v>20779135</v>
      </c>
      <c r="E5626" s="46" t="s">
        <v>15057</v>
      </c>
      <c r="F5626" s="46" t="s">
        <v>34138</v>
      </c>
      <c r="G5626" s="46" t="s">
        <v>50584</v>
      </c>
      <c r="H5626" s="48" t="s">
        <v>56716</v>
      </c>
      <c r="I5626" s="48" t="s">
        <v>50564</v>
      </c>
      <c r="J5626" s="48"/>
      <c r="K5626" s="50"/>
      <c r="L5626" s="48"/>
    </row>
    <row r="5627" spans="1:12" s="37" customFormat="1" ht="11.25" x14ac:dyDescent="0.2">
      <c r="A5627" s="46" t="s">
        <v>2907</v>
      </c>
      <c r="B5627" s="46" t="s">
        <v>54368</v>
      </c>
      <c r="C5627" s="58" t="str">
        <f>"00257125"</f>
        <v>00257125</v>
      </c>
      <c r="D5627" s="58" t="str">
        <f>"15579859"</f>
        <v>15579859</v>
      </c>
      <c r="E5627" s="46" t="s">
        <v>303</v>
      </c>
      <c r="F5627" s="46" t="s">
        <v>17759</v>
      </c>
      <c r="G5627" s="46" t="s">
        <v>50584</v>
      </c>
      <c r="H5627" s="48" t="s">
        <v>56716</v>
      </c>
      <c r="I5627" s="48" t="s">
        <v>50564</v>
      </c>
      <c r="J5627" s="48" t="s">
        <v>56716</v>
      </c>
      <c r="K5627" s="50" t="s">
        <v>56716</v>
      </c>
      <c r="L5627" s="48" t="s">
        <v>56716</v>
      </c>
    </row>
    <row r="5628" spans="1:12" s="37" customFormat="1" ht="11.25" x14ac:dyDescent="0.2">
      <c r="A5628" s="45" t="s">
        <v>40198</v>
      </c>
      <c r="B5628" s="45" t="s">
        <v>40200</v>
      </c>
      <c r="C5628" s="51" t="s">
        <v>40202</v>
      </c>
      <c r="D5628" s="51" t="s">
        <v>40201</v>
      </c>
      <c r="E5628" s="45" t="s">
        <v>19447</v>
      </c>
      <c r="F5628" s="45" t="s">
        <v>17759</v>
      </c>
      <c r="G5628" s="45" t="s">
        <v>50584</v>
      </c>
      <c r="H5628" s="56"/>
      <c r="I5628" s="56" t="s">
        <v>50564</v>
      </c>
      <c r="J5628" s="56"/>
      <c r="K5628" s="50"/>
      <c r="L5628" s="56" t="s">
        <v>56716</v>
      </c>
    </row>
    <row r="5629" spans="1:12" s="37" customFormat="1" ht="11.25" x14ac:dyDescent="0.2">
      <c r="A5629" s="46" t="s">
        <v>14097</v>
      </c>
      <c r="B5629" s="46" t="s">
        <v>54369</v>
      </c>
      <c r="C5629" s="58" t="str">
        <f>""</f>
        <v/>
      </c>
      <c r="D5629" s="58" t="str">
        <f>"11791470"</f>
        <v>11791470</v>
      </c>
      <c r="E5629" s="46" t="s">
        <v>11078</v>
      </c>
      <c r="F5629" s="46" t="s">
        <v>19483</v>
      </c>
      <c r="G5629" s="46" t="s">
        <v>50584</v>
      </c>
      <c r="H5629" s="48" t="s">
        <v>56716</v>
      </c>
      <c r="I5629" s="48" t="s">
        <v>50564</v>
      </c>
      <c r="J5629" s="48"/>
      <c r="K5629" s="50"/>
      <c r="L5629" s="48"/>
    </row>
    <row r="5630" spans="1:12" s="37" customFormat="1" ht="11.25" x14ac:dyDescent="0.2">
      <c r="A5630" s="46" t="s">
        <v>7116</v>
      </c>
      <c r="B5630" s="46" t="s">
        <v>54370</v>
      </c>
      <c r="C5630" s="58" t="str">
        <f>"09583947"</f>
        <v>09583947</v>
      </c>
      <c r="D5630" s="58" t="str">
        <f>"18734022"</f>
        <v>18734022</v>
      </c>
      <c r="E5630" s="46" t="s">
        <v>272</v>
      </c>
      <c r="F5630" s="46" t="s">
        <v>17759</v>
      </c>
      <c r="G5630" s="46" t="s">
        <v>50584</v>
      </c>
      <c r="H5630" s="48" t="s">
        <v>56716</v>
      </c>
      <c r="I5630" s="48" t="s">
        <v>50564</v>
      </c>
      <c r="J5630" s="48" t="s">
        <v>56716</v>
      </c>
      <c r="K5630" s="50" t="s">
        <v>56716</v>
      </c>
      <c r="L5630" s="48" t="s">
        <v>56716</v>
      </c>
    </row>
    <row r="5631" spans="1:12" s="37" customFormat="1" ht="11.25" x14ac:dyDescent="0.2">
      <c r="A5631" s="45" t="s">
        <v>40210</v>
      </c>
      <c r="B5631" s="45" t="s">
        <v>40212</v>
      </c>
      <c r="C5631" s="51" t="s">
        <v>40214</v>
      </c>
      <c r="D5631" s="51" t="s">
        <v>40213</v>
      </c>
      <c r="E5631" s="45" t="s">
        <v>40215</v>
      </c>
      <c r="F5631" s="45" t="s">
        <v>17759</v>
      </c>
      <c r="G5631" s="45" t="s">
        <v>50584</v>
      </c>
      <c r="H5631" s="56"/>
      <c r="I5631" s="56" t="s">
        <v>50564</v>
      </c>
      <c r="J5631" s="56"/>
      <c r="K5631" s="50"/>
      <c r="L5631" s="56" t="s">
        <v>56716</v>
      </c>
    </row>
    <row r="5632" spans="1:12" s="37" customFormat="1" ht="11.25" x14ac:dyDescent="0.2">
      <c r="A5632" s="45" t="s">
        <v>40217</v>
      </c>
      <c r="B5632" s="45" t="s">
        <v>40219</v>
      </c>
      <c r="C5632" s="51" t="s">
        <v>40222</v>
      </c>
      <c r="D5632" s="51" t="s">
        <v>40221</v>
      </c>
      <c r="E5632" s="45" t="s">
        <v>970</v>
      </c>
      <c r="F5632" s="45" t="s">
        <v>50646</v>
      </c>
      <c r="G5632" s="45" t="s">
        <v>50584</v>
      </c>
      <c r="H5632" s="56"/>
      <c r="I5632" s="56" t="s">
        <v>50564</v>
      </c>
      <c r="J5632" s="56"/>
      <c r="K5632" s="50"/>
      <c r="L5632" s="56" t="s">
        <v>56716</v>
      </c>
    </row>
    <row r="5633" spans="1:12" s="37" customFormat="1" ht="11.25" x14ac:dyDescent="0.2">
      <c r="A5633" s="45" t="s">
        <v>40224</v>
      </c>
      <c r="B5633" s="45" t="s">
        <v>40226</v>
      </c>
      <c r="C5633" s="51"/>
      <c r="D5633" s="51" t="s">
        <v>40227</v>
      </c>
      <c r="E5633" s="45" t="s">
        <v>27985</v>
      </c>
      <c r="F5633" s="45" t="s">
        <v>18130</v>
      </c>
      <c r="G5633" s="45" t="s">
        <v>50584</v>
      </c>
      <c r="H5633" s="56"/>
      <c r="I5633" s="56" t="s">
        <v>50564</v>
      </c>
      <c r="J5633" s="56"/>
      <c r="K5633" s="50"/>
      <c r="L5633" s="56" t="s">
        <v>56716</v>
      </c>
    </row>
    <row r="5634" spans="1:12" s="37" customFormat="1" ht="11.25" x14ac:dyDescent="0.2">
      <c r="A5634" s="46" t="s">
        <v>8877</v>
      </c>
      <c r="B5634" s="46" t="s">
        <v>54371</v>
      </c>
      <c r="C5634" s="58" t="str">
        <f>"13523929"</f>
        <v>13523929</v>
      </c>
      <c r="D5634" s="58" t="str">
        <f>""</f>
        <v/>
      </c>
      <c r="E5634" s="46" t="s">
        <v>35</v>
      </c>
      <c r="F5634" s="46" t="s">
        <v>50646</v>
      </c>
      <c r="G5634" s="46" t="s">
        <v>50584</v>
      </c>
      <c r="H5634" s="48" t="s">
        <v>56716</v>
      </c>
      <c r="I5634" s="48" t="s">
        <v>50564</v>
      </c>
      <c r="J5634" s="48"/>
      <c r="K5634" s="50"/>
      <c r="L5634" s="48"/>
    </row>
    <row r="5635" spans="1:12" s="37" customFormat="1" ht="11.25" x14ac:dyDescent="0.2">
      <c r="A5635" s="46" t="s">
        <v>6198</v>
      </c>
      <c r="B5635" s="46" t="s">
        <v>54372</v>
      </c>
      <c r="C5635" s="58" t="str">
        <f>"13504533"</f>
        <v>13504533</v>
      </c>
      <c r="D5635" s="58" t="str">
        <f>"18734030"</f>
        <v>18734030</v>
      </c>
      <c r="E5635" s="46" t="s">
        <v>155</v>
      </c>
      <c r="F5635" s="46" t="s">
        <v>50646</v>
      </c>
      <c r="G5635" s="46" t="s">
        <v>50584</v>
      </c>
      <c r="H5635" s="48" t="s">
        <v>56716</v>
      </c>
      <c r="I5635" s="48" t="s">
        <v>50564</v>
      </c>
      <c r="J5635" s="48" t="s">
        <v>56716</v>
      </c>
      <c r="K5635" s="50" t="s">
        <v>56716</v>
      </c>
      <c r="L5635" s="48" t="s">
        <v>56716</v>
      </c>
    </row>
    <row r="5636" spans="1:12" s="37" customFormat="1" ht="11.25" x14ac:dyDescent="0.2">
      <c r="A5636" s="46" t="s">
        <v>17533</v>
      </c>
      <c r="B5636" s="46" t="s">
        <v>54373</v>
      </c>
      <c r="C5636" s="58" t="str">
        <f>""</f>
        <v/>
      </c>
      <c r="D5636" s="58" t="str">
        <f>"16645561"</f>
        <v>16645561</v>
      </c>
      <c r="E5636" s="46" t="s">
        <v>109</v>
      </c>
      <c r="F5636" s="46" t="s">
        <v>18123</v>
      </c>
      <c r="G5636" s="46" t="s">
        <v>50584</v>
      </c>
      <c r="H5636" s="48" t="s">
        <v>56716</v>
      </c>
      <c r="I5636" s="48" t="s">
        <v>50564</v>
      </c>
      <c r="J5636" s="48" t="s">
        <v>56716</v>
      </c>
      <c r="K5636" s="50"/>
      <c r="L5636" s="48"/>
    </row>
    <row r="5637" spans="1:12" s="37" customFormat="1" ht="11.25" x14ac:dyDescent="0.2">
      <c r="A5637" s="46" t="s">
        <v>8345</v>
      </c>
      <c r="B5637" s="46" t="s">
        <v>54374</v>
      </c>
      <c r="C5637" s="58" t="str">
        <f>"1029385X"</f>
        <v>1029385X</v>
      </c>
      <c r="D5637" s="58" t="str">
        <f>""</f>
        <v/>
      </c>
      <c r="E5637" s="46" t="s">
        <v>8345</v>
      </c>
      <c r="F5637" s="46" t="s">
        <v>34138</v>
      </c>
      <c r="G5637" s="46" t="s">
        <v>50584</v>
      </c>
      <c r="H5637" s="48" t="s">
        <v>56716</v>
      </c>
      <c r="I5637" s="48" t="s">
        <v>50564</v>
      </c>
      <c r="J5637" s="48"/>
      <c r="K5637" s="50"/>
      <c r="L5637" s="48"/>
    </row>
    <row r="5638" spans="1:12" s="37" customFormat="1" ht="11.25" x14ac:dyDescent="0.2">
      <c r="A5638" s="46" t="s">
        <v>16138</v>
      </c>
      <c r="B5638" s="46" t="s">
        <v>54375</v>
      </c>
      <c r="C5638" s="58" t="str">
        <f>""</f>
        <v/>
      </c>
      <c r="D5638" s="58" t="str">
        <f>"20459912"</f>
        <v>20459912</v>
      </c>
      <c r="E5638" s="46" t="s">
        <v>2299</v>
      </c>
      <c r="F5638" s="46" t="s">
        <v>50646</v>
      </c>
      <c r="G5638" s="46" t="s">
        <v>50584</v>
      </c>
      <c r="H5638" s="48" t="s">
        <v>56716</v>
      </c>
      <c r="I5638" s="48" t="s">
        <v>50564</v>
      </c>
      <c r="J5638" s="48" t="s">
        <v>56716</v>
      </c>
      <c r="K5638" s="50"/>
      <c r="L5638" s="48"/>
    </row>
    <row r="5639" spans="1:12" s="37" customFormat="1" ht="11.25" x14ac:dyDescent="0.2">
      <c r="A5639" s="45" t="s">
        <v>40235</v>
      </c>
      <c r="B5639" s="45" t="s">
        <v>40237</v>
      </c>
      <c r="C5639" s="51" t="s">
        <v>40238</v>
      </c>
      <c r="D5639" s="51"/>
      <c r="E5639" s="45" t="s">
        <v>724</v>
      </c>
      <c r="F5639" s="45" t="s">
        <v>50646</v>
      </c>
      <c r="G5639" s="45" t="s">
        <v>50584</v>
      </c>
      <c r="H5639" s="56"/>
      <c r="I5639" s="56" t="s">
        <v>50564</v>
      </c>
      <c r="J5639" s="56"/>
      <c r="K5639" s="50"/>
      <c r="L5639" s="56" t="s">
        <v>56716</v>
      </c>
    </row>
    <row r="5640" spans="1:12" s="37" customFormat="1" ht="11.25" x14ac:dyDescent="0.2">
      <c r="A5640" s="45" t="s">
        <v>40240</v>
      </c>
      <c r="B5640" s="45" t="s">
        <v>40242</v>
      </c>
      <c r="C5640" s="51" t="s">
        <v>40245</v>
      </c>
      <c r="D5640" s="51" t="s">
        <v>40244</v>
      </c>
      <c r="E5640" s="45" t="s">
        <v>18616</v>
      </c>
      <c r="F5640" s="45" t="s">
        <v>17759</v>
      </c>
      <c r="G5640" s="45" t="s">
        <v>50584</v>
      </c>
      <c r="H5640" s="56"/>
      <c r="I5640" s="56" t="s">
        <v>50564</v>
      </c>
      <c r="J5640" s="56"/>
      <c r="K5640" s="50"/>
      <c r="L5640" s="56" t="s">
        <v>56716</v>
      </c>
    </row>
    <row r="5641" spans="1:12" s="37" customFormat="1" ht="11.25" x14ac:dyDescent="0.2">
      <c r="A5641" s="46" t="s">
        <v>2927</v>
      </c>
      <c r="B5641" s="46" t="s">
        <v>54376</v>
      </c>
      <c r="C5641" s="58" t="str">
        <f>"03069877"</f>
        <v>03069877</v>
      </c>
      <c r="D5641" s="58" t="str">
        <f>"15322777"</f>
        <v>15322777</v>
      </c>
      <c r="E5641" s="46" t="s">
        <v>831</v>
      </c>
      <c r="F5641" s="46" t="s">
        <v>50646</v>
      </c>
      <c r="G5641" s="46" t="s">
        <v>50584</v>
      </c>
      <c r="H5641" s="48" t="s">
        <v>56716</v>
      </c>
      <c r="I5641" s="48" t="s">
        <v>50564</v>
      </c>
      <c r="J5641" s="48"/>
      <c r="K5641" s="50" t="s">
        <v>56716</v>
      </c>
      <c r="L5641" s="48" t="s">
        <v>56716</v>
      </c>
    </row>
    <row r="5642" spans="1:12" s="37" customFormat="1" ht="11.25" x14ac:dyDescent="0.2">
      <c r="A5642" s="46" t="s">
        <v>8554</v>
      </c>
      <c r="B5642" s="46" t="s">
        <v>54377</v>
      </c>
      <c r="C5642" s="58" t="str">
        <f>"13618415"</f>
        <v>13618415</v>
      </c>
      <c r="D5642" s="58" t="str">
        <f>"13618423"</f>
        <v>13618423</v>
      </c>
      <c r="E5642" s="46" t="s">
        <v>91</v>
      </c>
      <c r="F5642" s="46" t="s">
        <v>18001</v>
      </c>
      <c r="G5642" s="46" t="s">
        <v>50584</v>
      </c>
      <c r="H5642" s="48" t="s">
        <v>56716</v>
      </c>
      <c r="I5642" s="48" t="s">
        <v>50564</v>
      </c>
      <c r="J5642" s="48" t="s">
        <v>56716</v>
      </c>
      <c r="K5642" s="50" t="s">
        <v>56716</v>
      </c>
      <c r="L5642" s="48" t="s">
        <v>56716</v>
      </c>
    </row>
    <row r="5643" spans="1:12" s="37" customFormat="1" ht="11.25" x14ac:dyDescent="0.2">
      <c r="A5643" s="45" t="s">
        <v>40256</v>
      </c>
      <c r="B5643" s="45" t="s">
        <v>40258</v>
      </c>
      <c r="C5643" s="51"/>
      <c r="D5643" s="51"/>
      <c r="E5643" s="45" t="s">
        <v>17783</v>
      </c>
      <c r="F5643" s="45" t="s">
        <v>18158</v>
      </c>
      <c r="G5643" s="45" t="s">
        <v>50584</v>
      </c>
      <c r="H5643" s="56"/>
      <c r="I5643" s="56" t="s">
        <v>50564</v>
      </c>
      <c r="J5643" s="56"/>
      <c r="K5643" s="50"/>
      <c r="L5643" s="56" t="s">
        <v>56716</v>
      </c>
    </row>
    <row r="5644" spans="1:12" s="37" customFormat="1" ht="11.25" x14ac:dyDescent="0.2">
      <c r="A5644" s="46" t="s">
        <v>2979</v>
      </c>
      <c r="B5644" s="46" t="s">
        <v>54378</v>
      </c>
      <c r="C5644" s="58" t="str">
        <f>"03771237"</f>
        <v>03771237</v>
      </c>
      <c r="D5644" s="58" t="str">
        <f>""</f>
        <v/>
      </c>
      <c r="E5644" s="46" t="s">
        <v>2979</v>
      </c>
      <c r="F5644" s="46" t="s">
        <v>20446</v>
      </c>
      <c r="G5644" s="46" t="s">
        <v>50584</v>
      </c>
      <c r="H5644" s="48" t="s">
        <v>56716</v>
      </c>
      <c r="I5644" s="48" t="s">
        <v>50564</v>
      </c>
      <c r="J5644" s="48"/>
      <c r="K5644" s="50"/>
      <c r="L5644" s="48"/>
    </row>
    <row r="5645" spans="1:12" s="37" customFormat="1" ht="11.25" x14ac:dyDescent="0.2">
      <c r="A5645" s="46" t="s">
        <v>2981</v>
      </c>
      <c r="B5645" s="46" t="s">
        <v>54379</v>
      </c>
      <c r="C5645" s="58" t="str">
        <f>"0025729X"</f>
        <v>0025729X</v>
      </c>
      <c r="D5645" s="58" t="str">
        <f>"13265377"</f>
        <v>13265377</v>
      </c>
      <c r="E5645" s="46" t="s">
        <v>2984</v>
      </c>
      <c r="F5645" s="46" t="s">
        <v>20082</v>
      </c>
      <c r="G5645" s="46" t="s">
        <v>50584</v>
      </c>
      <c r="H5645" s="48" t="s">
        <v>56716</v>
      </c>
      <c r="I5645" s="48" t="s">
        <v>50564</v>
      </c>
      <c r="J5645" s="48"/>
      <c r="K5645" s="50"/>
      <c r="L5645" s="48" t="s">
        <v>56716</v>
      </c>
    </row>
    <row r="5646" spans="1:12" s="37" customFormat="1" ht="11.25" x14ac:dyDescent="0.2">
      <c r="A5646" s="46" t="s">
        <v>15093</v>
      </c>
      <c r="B5646" s="46" t="s">
        <v>54380</v>
      </c>
      <c r="C5646" s="58" t="str">
        <f>"13059327"</f>
        <v>13059327</v>
      </c>
      <c r="D5646" s="58" t="str">
        <f>""</f>
        <v/>
      </c>
      <c r="E5646" s="46" t="s">
        <v>15092</v>
      </c>
      <c r="F5646" s="46" t="s">
        <v>18396</v>
      </c>
      <c r="G5646" s="46" t="s">
        <v>50638</v>
      </c>
      <c r="H5646" s="48" t="s">
        <v>56716</v>
      </c>
      <c r="I5646" s="48" t="s">
        <v>50564</v>
      </c>
      <c r="J5646" s="48"/>
      <c r="K5646" s="50"/>
      <c r="L5646" s="48"/>
    </row>
    <row r="5647" spans="1:12" s="37" customFormat="1" ht="11.25" x14ac:dyDescent="0.2">
      <c r="A5647" s="46" t="s">
        <v>16337</v>
      </c>
      <c r="B5647" s="46" t="s">
        <v>54381</v>
      </c>
      <c r="C5647" s="58" t="str">
        <f>"05777402"</f>
        <v>05777402</v>
      </c>
      <c r="D5647" s="58" t="str">
        <f>""</f>
        <v/>
      </c>
      <c r="E5647" s="46" t="s">
        <v>16339</v>
      </c>
      <c r="F5647" s="46" t="s">
        <v>17958</v>
      </c>
      <c r="G5647" s="46" t="s">
        <v>50584</v>
      </c>
      <c r="H5647" s="48" t="s">
        <v>56716</v>
      </c>
      <c r="I5647" s="48" t="s">
        <v>50564</v>
      </c>
      <c r="J5647" s="48"/>
      <c r="K5647" s="50"/>
      <c r="L5647" s="48"/>
    </row>
    <row r="5648" spans="1:12" s="37" customFormat="1" ht="11.25" x14ac:dyDescent="0.2">
      <c r="A5648" s="46" t="s">
        <v>2985</v>
      </c>
      <c r="B5648" s="46" t="s">
        <v>54382</v>
      </c>
      <c r="C5648" s="58" t="str">
        <f>"03005283"</f>
        <v>03005283</v>
      </c>
      <c r="D5648" s="58" t="str">
        <f>""</f>
        <v/>
      </c>
      <c r="E5648" s="46" t="s">
        <v>2987</v>
      </c>
      <c r="F5648" s="46" t="s">
        <v>39931</v>
      </c>
      <c r="G5648" s="46" t="s">
        <v>50584</v>
      </c>
      <c r="H5648" s="48" t="s">
        <v>56716</v>
      </c>
      <c r="I5648" s="48" t="s">
        <v>50564</v>
      </c>
      <c r="J5648" s="48"/>
      <c r="K5648" s="50"/>
      <c r="L5648" s="48" t="s">
        <v>56716</v>
      </c>
    </row>
    <row r="5649" spans="1:12" s="37" customFormat="1" ht="11.25" x14ac:dyDescent="0.2">
      <c r="A5649" s="46" t="s">
        <v>16936</v>
      </c>
      <c r="B5649" s="46" t="s">
        <v>54383</v>
      </c>
      <c r="C5649" s="58" t="str">
        <f>"17354013"</f>
        <v>17354013</v>
      </c>
      <c r="D5649" s="58" t="str">
        <f>"20082673"</f>
        <v>20082673</v>
      </c>
      <c r="E5649" s="46" t="s">
        <v>14308</v>
      </c>
      <c r="F5649" s="46" t="s">
        <v>18232</v>
      </c>
      <c r="G5649" s="46" t="s">
        <v>50609</v>
      </c>
      <c r="H5649" s="48" t="s">
        <v>56716</v>
      </c>
      <c r="I5649" s="48" t="s">
        <v>50564</v>
      </c>
      <c r="J5649" s="48"/>
      <c r="K5649" s="50"/>
      <c r="L5649" s="48"/>
    </row>
    <row r="5650" spans="1:12" s="37" customFormat="1" ht="11.25" x14ac:dyDescent="0.2">
      <c r="A5650" s="46" t="s">
        <v>4273</v>
      </c>
      <c r="B5650" s="46" t="s">
        <v>54384</v>
      </c>
      <c r="C5650" s="58" t="str">
        <f>"05401259"</f>
        <v>05401259</v>
      </c>
      <c r="D5650" s="58" t="str">
        <f>""</f>
        <v/>
      </c>
      <c r="E5650" s="46" t="s">
        <v>4275</v>
      </c>
      <c r="F5650" s="46" t="s">
        <v>18242</v>
      </c>
      <c r="G5650" s="46" t="s">
        <v>50605</v>
      </c>
      <c r="H5650" s="48" t="s">
        <v>56716</v>
      </c>
      <c r="I5650" s="48" t="s">
        <v>50564</v>
      </c>
      <c r="J5650" s="48"/>
      <c r="K5650" s="50"/>
      <c r="L5650" s="48"/>
    </row>
    <row r="5651" spans="1:12" s="37" customFormat="1" ht="11.25" x14ac:dyDescent="0.2">
      <c r="A5651" s="46" t="s">
        <v>6281</v>
      </c>
      <c r="B5651" s="46" t="s">
        <v>54385</v>
      </c>
      <c r="C5651" s="58" t="str">
        <f>"09685332"</f>
        <v>09685332</v>
      </c>
      <c r="D5651" s="58" t="str">
        <f>"20479441"</f>
        <v>20479441</v>
      </c>
      <c r="E5651" s="46" t="s">
        <v>493</v>
      </c>
      <c r="F5651" s="46" t="s">
        <v>50646</v>
      </c>
      <c r="G5651" s="46" t="s">
        <v>50584</v>
      </c>
      <c r="H5651" s="48" t="s">
        <v>56716</v>
      </c>
      <c r="I5651" s="48" t="s">
        <v>50564</v>
      </c>
      <c r="J5651" s="48"/>
      <c r="K5651" s="50"/>
      <c r="L5651" s="48"/>
    </row>
    <row r="5652" spans="1:12" s="37" customFormat="1" ht="11.25" x14ac:dyDescent="0.2">
      <c r="A5652" s="45" t="s">
        <v>40272</v>
      </c>
      <c r="B5652" s="45" t="s">
        <v>40274</v>
      </c>
      <c r="C5652" s="51" t="s">
        <v>40276</v>
      </c>
      <c r="D5652" s="51" t="s">
        <v>40275</v>
      </c>
      <c r="E5652" s="45" t="s">
        <v>55</v>
      </c>
      <c r="F5652" s="45" t="s">
        <v>50646</v>
      </c>
      <c r="G5652" s="45" t="s">
        <v>50584</v>
      </c>
      <c r="H5652" s="56"/>
      <c r="I5652" s="56" t="s">
        <v>50564</v>
      </c>
      <c r="J5652" s="56"/>
      <c r="K5652" s="50"/>
      <c r="L5652" s="56" t="s">
        <v>56716</v>
      </c>
    </row>
    <row r="5653" spans="1:12" s="37" customFormat="1" ht="11.25" x14ac:dyDescent="0.2">
      <c r="A5653" s="46" t="s">
        <v>2930</v>
      </c>
      <c r="B5653" s="46" t="s">
        <v>54386</v>
      </c>
      <c r="C5653" s="58" t="str">
        <f>"0025732X"</f>
        <v>0025732X</v>
      </c>
      <c r="D5653" s="58" t="str">
        <f>""</f>
        <v/>
      </c>
      <c r="E5653" s="46" t="s">
        <v>2932</v>
      </c>
      <c r="F5653" s="46" t="s">
        <v>17759</v>
      </c>
      <c r="G5653" s="46" t="s">
        <v>50584</v>
      </c>
      <c r="H5653" s="48" t="s">
        <v>56716</v>
      </c>
      <c r="I5653" s="48" t="s">
        <v>50564</v>
      </c>
      <c r="J5653" s="48"/>
      <c r="K5653" s="50"/>
      <c r="L5653" s="48" t="s">
        <v>56716</v>
      </c>
    </row>
    <row r="5654" spans="1:12" s="37" customFormat="1" ht="11.25" x14ac:dyDescent="0.2">
      <c r="A5654" s="46" t="s">
        <v>2992</v>
      </c>
      <c r="B5654" s="46" t="s">
        <v>54387</v>
      </c>
      <c r="C5654" s="58" t="str">
        <f>"03008584"</f>
        <v>03008584</v>
      </c>
      <c r="D5654" s="58" t="str">
        <f>"14321831"</f>
        <v>14321831</v>
      </c>
      <c r="E5654" s="46" t="s">
        <v>167</v>
      </c>
      <c r="F5654" s="46" t="s">
        <v>18158</v>
      </c>
      <c r="G5654" s="46" t="s">
        <v>50584</v>
      </c>
      <c r="H5654" s="48" t="s">
        <v>56716</v>
      </c>
      <c r="I5654" s="48" t="s">
        <v>50564</v>
      </c>
      <c r="J5654" s="48" t="s">
        <v>56716</v>
      </c>
      <c r="K5654" s="50" t="s">
        <v>56716</v>
      </c>
      <c r="L5654" s="48" t="s">
        <v>56716</v>
      </c>
    </row>
    <row r="5655" spans="1:12" s="37" customFormat="1" ht="11.25" x14ac:dyDescent="0.2">
      <c r="A5655" s="46" t="s">
        <v>11592</v>
      </c>
      <c r="B5655" s="46" t="s">
        <v>54388</v>
      </c>
      <c r="C5655" s="58" t="str">
        <f>"18601480"</f>
        <v>18601480</v>
      </c>
      <c r="D5655" s="58" t="str">
        <f>"18601499"</f>
        <v>18601499</v>
      </c>
      <c r="E5655" s="46" t="s">
        <v>23335</v>
      </c>
      <c r="F5655" s="46" t="s">
        <v>18242</v>
      </c>
      <c r="G5655" s="46" t="s">
        <v>50584</v>
      </c>
      <c r="H5655" s="48" t="s">
        <v>56716</v>
      </c>
      <c r="I5655" s="48" t="s">
        <v>50564</v>
      </c>
      <c r="J5655" s="48" t="s">
        <v>56716</v>
      </c>
      <c r="K5655" s="50" t="s">
        <v>56716</v>
      </c>
      <c r="L5655" s="48" t="s">
        <v>56716</v>
      </c>
    </row>
    <row r="5656" spans="1:12" s="37" customFormat="1" ht="11.25" x14ac:dyDescent="0.2">
      <c r="A5656" s="46" t="s">
        <v>7733</v>
      </c>
      <c r="B5656" s="46" t="s">
        <v>54389</v>
      </c>
      <c r="C5656" s="58" t="str">
        <f>"13693786"</f>
        <v>13693786</v>
      </c>
      <c r="D5656" s="58" t="str">
        <f>"14602709"</f>
        <v>14602709</v>
      </c>
      <c r="E5656" s="46" t="s">
        <v>55</v>
      </c>
      <c r="F5656" s="46" t="s">
        <v>50646</v>
      </c>
      <c r="G5656" s="46" t="s">
        <v>50584</v>
      </c>
      <c r="H5656" s="48" t="s">
        <v>56716</v>
      </c>
      <c r="I5656" s="48" t="s">
        <v>50564</v>
      </c>
      <c r="J5656" s="48"/>
      <c r="K5656" s="50"/>
      <c r="L5656" s="48" t="s">
        <v>56716</v>
      </c>
    </row>
    <row r="5657" spans="1:12" s="37" customFormat="1" ht="11.25" x14ac:dyDescent="0.2">
      <c r="A5657" s="46" t="s">
        <v>16280</v>
      </c>
      <c r="B5657" s="46" t="s">
        <v>54390</v>
      </c>
      <c r="C5657" s="58" t="str">
        <f>"22117539"</f>
        <v>22117539</v>
      </c>
      <c r="D5657" s="58" t="str">
        <f>""</f>
        <v/>
      </c>
      <c r="E5657" s="46" t="s">
        <v>91</v>
      </c>
      <c r="F5657" s="46" t="s">
        <v>18001</v>
      </c>
      <c r="G5657" s="46" t="s">
        <v>50584</v>
      </c>
      <c r="H5657" s="48" t="s">
        <v>56716</v>
      </c>
      <c r="I5657" s="48" t="s">
        <v>50564</v>
      </c>
      <c r="J5657" s="48" t="s">
        <v>56716</v>
      </c>
      <c r="K5657" s="50"/>
      <c r="L5657" s="48"/>
    </row>
    <row r="5658" spans="1:12" s="37" customFormat="1" ht="11.25" x14ac:dyDescent="0.2">
      <c r="A5658" s="45" t="s">
        <v>40302</v>
      </c>
      <c r="B5658" s="45" t="s">
        <v>40304</v>
      </c>
      <c r="C5658" s="51" t="s">
        <v>40307</v>
      </c>
      <c r="D5658" s="51" t="s">
        <v>40306</v>
      </c>
      <c r="E5658" s="45" t="s">
        <v>40308</v>
      </c>
      <c r="F5658" s="45" t="s">
        <v>18242</v>
      </c>
      <c r="G5658" s="45" t="s">
        <v>50605</v>
      </c>
      <c r="H5658" s="56"/>
      <c r="I5658" s="56" t="s">
        <v>50564</v>
      </c>
      <c r="J5658" s="56"/>
      <c r="K5658" s="50"/>
      <c r="L5658" s="56" t="s">
        <v>56716</v>
      </c>
    </row>
    <row r="5659" spans="1:12" s="37" customFormat="1" ht="11.25" x14ac:dyDescent="0.2">
      <c r="A5659" s="46" t="s">
        <v>6416</v>
      </c>
      <c r="B5659" s="46" t="s">
        <v>54391</v>
      </c>
      <c r="C5659" s="58" t="str">
        <f>"13570560"</f>
        <v>13570560</v>
      </c>
      <c r="D5659" s="58" t="str">
        <f>"1559131X"</f>
        <v>1559131X</v>
      </c>
      <c r="E5659" s="46" t="s">
        <v>40314</v>
      </c>
      <c r="F5659" s="46" t="s">
        <v>17759</v>
      </c>
      <c r="G5659" s="46" t="s">
        <v>50584</v>
      </c>
      <c r="H5659" s="48" t="s">
        <v>56716</v>
      </c>
      <c r="I5659" s="48" t="s">
        <v>50564</v>
      </c>
      <c r="J5659" s="48" t="s">
        <v>56716</v>
      </c>
      <c r="K5659" s="50"/>
      <c r="L5659" s="48" t="s">
        <v>56716</v>
      </c>
    </row>
    <row r="5660" spans="1:12" s="37" customFormat="1" ht="11.25" x14ac:dyDescent="0.2">
      <c r="A5660" s="46" t="s">
        <v>3004</v>
      </c>
      <c r="B5660" s="46" t="s">
        <v>54392</v>
      </c>
      <c r="C5660" s="58" t="str">
        <f>"00942405"</f>
        <v>00942405</v>
      </c>
      <c r="D5660" s="58" t="str">
        <f>""</f>
        <v/>
      </c>
      <c r="E5660" s="46" t="s">
        <v>3006</v>
      </c>
      <c r="F5660" s="46" t="s">
        <v>17759</v>
      </c>
      <c r="G5660" s="46" t="s">
        <v>50584</v>
      </c>
      <c r="H5660" s="48" t="s">
        <v>56716</v>
      </c>
      <c r="I5660" s="48" t="s">
        <v>50564</v>
      </c>
      <c r="J5660" s="48"/>
      <c r="K5660" s="50"/>
      <c r="L5660" s="48" t="s">
        <v>56716</v>
      </c>
    </row>
    <row r="5661" spans="1:12" s="37" customFormat="1" ht="11.25" x14ac:dyDescent="0.2">
      <c r="A5661" s="46" t="s">
        <v>13285</v>
      </c>
      <c r="B5661" s="46" t="s">
        <v>54393</v>
      </c>
      <c r="C5661" s="58" t="str">
        <f>""</f>
        <v/>
      </c>
      <c r="D5661" s="58" t="str">
        <f>"19854811"</f>
        <v>19854811</v>
      </c>
      <c r="E5661" s="46" t="s">
        <v>13287</v>
      </c>
      <c r="F5661" s="46" t="s">
        <v>39931</v>
      </c>
      <c r="G5661" s="46" t="s">
        <v>50584</v>
      </c>
      <c r="H5661" s="48" t="s">
        <v>56716</v>
      </c>
      <c r="I5661" s="48" t="s">
        <v>50564</v>
      </c>
      <c r="J5661" s="48"/>
      <c r="K5661" s="50"/>
      <c r="L5661" s="48"/>
    </row>
    <row r="5662" spans="1:12" s="37" customFormat="1" ht="11.25" x14ac:dyDescent="0.2">
      <c r="A5662" s="46" t="s">
        <v>4768</v>
      </c>
      <c r="B5662" s="46" t="s">
        <v>54394</v>
      </c>
      <c r="C5662" s="58" t="str">
        <f>"10117571"</f>
        <v>10117571</v>
      </c>
      <c r="D5662" s="58" t="str">
        <f>"14230151"</f>
        <v>14230151</v>
      </c>
      <c r="E5662" s="46" t="s">
        <v>109</v>
      </c>
      <c r="F5662" s="46" t="s">
        <v>18123</v>
      </c>
      <c r="G5662" s="46" t="s">
        <v>50584</v>
      </c>
      <c r="H5662" s="48" t="s">
        <v>56716</v>
      </c>
      <c r="I5662" s="48" t="s">
        <v>50564</v>
      </c>
      <c r="J5662" s="48"/>
      <c r="K5662" s="50" t="s">
        <v>56716</v>
      </c>
      <c r="L5662" s="48" t="s">
        <v>56716</v>
      </c>
    </row>
    <row r="5663" spans="1:12" s="37" customFormat="1" ht="11.25" x14ac:dyDescent="0.2">
      <c r="A5663" s="46" t="s">
        <v>6588</v>
      </c>
      <c r="B5663" s="46" t="s">
        <v>54395</v>
      </c>
      <c r="C5663" s="58" t="str">
        <f>"08851158"</f>
        <v>08851158</v>
      </c>
      <c r="D5663" s="58" t="str">
        <f>"19382766"</f>
        <v>19382766</v>
      </c>
      <c r="E5663" s="46" t="s">
        <v>6591</v>
      </c>
      <c r="F5663" s="46" t="s">
        <v>17759</v>
      </c>
      <c r="G5663" s="46" t="s">
        <v>50584</v>
      </c>
      <c r="H5663" s="48" t="s">
        <v>56716</v>
      </c>
      <c r="I5663" s="48" t="s">
        <v>50564</v>
      </c>
      <c r="J5663" s="48"/>
      <c r="K5663" s="50"/>
      <c r="L5663" s="48" t="s">
        <v>56716</v>
      </c>
    </row>
    <row r="5664" spans="1:12" s="37" customFormat="1" ht="11.25" x14ac:dyDescent="0.2">
      <c r="A5664" s="46" t="s">
        <v>55996</v>
      </c>
      <c r="B5664" s="46" t="s">
        <v>55997</v>
      </c>
      <c r="C5664" s="58" t="str">
        <f>"09425373"</f>
        <v>09425373</v>
      </c>
      <c r="D5664" s="58" t="str">
        <f>"21974187"</f>
        <v>21974187</v>
      </c>
      <c r="E5664" s="46" t="s">
        <v>167</v>
      </c>
      <c r="F5664" s="46" t="s">
        <v>18158</v>
      </c>
      <c r="G5664" s="46" t="s">
        <v>50584</v>
      </c>
      <c r="H5664" s="48" t="s">
        <v>56716</v>
      </c>
      <c r="I5664" s="48" t="s">
        <v>50565</v>
      </c>
      <c r="J5664" s="48" t="s">
        <v>56716</v>
      </c>
      <c r="K5664" s="50"/>
      <c r="L5664" s="48"/>
    </row>
    <row r="5665" spans="1:12" s="36" customFormat="1" ht="11.25" x14ac:dyDescent="0.2">
      <c r="A5665" s="45" t="s">
        <v>40335</v>
      </c>
      <c r="B5665" s="45" t="s">
        <v>40337</v>
      </c>
      <c r="C5665" s="51" t="s">
        <v>40339</v>
      </c>
      <c r="D5665" s="51" t="s">
        <v>40338</v>
      </c>
      <c r="E5665" s="45" t="s">
        <v>689</v>
      </c>
      <c r="F5665" s="45" t="s">
        <v>17759</v>
      </c>
      <c r="G5665" s="45" t="s">
        <v>50584</v>
      </c>
      <c r="H5665" s="56"/>
      <c r="I5665" s="56" t="s">
        <v>50564</v>
      </c>
      <c r="J5665" s="56"/>
      <c r="K5665" s="50"/>
      <c r="L5665" s="56" t="s">
        <v>56716</v>
      </c>
    </row>
    <row r="5666" spans="1:12" s="36" customFormat="1" ht="11.25" x14ac:dyDescent="0.2">
      <c r="A5666" s="46" t="s">
        <v>6979</v>
      </c>
      <c r="B5666" s="46" t="s">
        <v>54396</v>
      </c>
      <c r="C5666" s="58" t="str">
        <f>"12341010"</f>
        <v>12341010</v>
      </c>
      <c r="D5666" s="58" t="str">
        <f>"16433750"</f>
        <v>16433750</v>
      </c>
      <c r="E5666" s="46" t="s">
        <v>6982</v>
      </c>
      <c r="F5666" s="46" t="s">
        <v>17759</v>
      </c>
      <c r="G5666" s="46" t="s">
        <v>50584</v>
      </c>
      <c r="H5666" s="48" t="s">
        <v>56716</v>
      </c>
      <c r="I5666" s="48" t="s">
        <v>50564</v>
      </c>
      <c r="J5666" s="48"/>
      <c r="K5666" s="50"/>
      <c r="L5666" s="48" t="s">
        <v>56716</v>
      </c>
    </row>
    <row r="5667" spans="1:12" s="36" customFormat="1" ht="11.25" x14ac:dyDescent="0.2">
      <c r="A5667" s="45" t="s">
        <v>40347</v>
      </c>
      <c r="B5667" s="45" t="s">
        <v>40349</v>
      </c>
      <c r="C5667" s="51" t="s">
        <v>40352</v>
      </c>
      <c r="D5667" s="51" t="s">
        <v>40351</v>
      </c>
      <c r="E5667" s="45" t="s">
        <v>56404</v>
      </c>
      <c r="F5667" s="45" t="s">
        <v>17759</v>
      </c>
      <c r="G5667" s="45" t="s">
        <v>50584</v>
      </c>
      <c r="H5667" s="56"/>
      <c r="I5667" s="56" t="s">
        <v>50564</v>
      </c>
      <c r="J5667" s="56"/>
      <c r="K5667" s="50"/>
      <c r="L5667" s="56" t="s">
        <v>56716</v>
      </c>
    </row>
    <row r="5668" spans="1:12" s="36" customFormat="1" ht="11.25" x14ac:dyDescent="0.2">
      <c r="A5668" s="45" t="s">
        <v>40355</v>
      </c>
      <c r="B5668" s="45" t="s">
        <v>40357</v>
      </c>
      <c r="C5668" s="51" t="s">
        <v>40359</v>
      </c>
      <c r="D5668" s="51" t="s">
        <v>40358</v>
      </c>
      <c r="E5668" s="45" t="s">
        <v>291</v>
      </c>
      <c r="F5668" s="45" t="s">
        <v>50646</v>
      </c>
      <c r="G5668" s="45" t="s">
        <v>50584</v>
      </c>
      <c r="H5668" s="56"/>
      <c r="I5668" s="56" t="s">
        <v>50564</v>
      </c>
      <c r="J5668" s="56"/>
      <c r="K5668" s="50"/>
      <c r="L5668" s="56" t="s">
        <v>56716</v>
      </c>
    </row>
    <row r="5669" spans="1:12" s="36" customFormat="1" ht="11.25" x14ac:dyDescent="0.2">
      <c r="A5669" s="46" t="s">
        <v>15080</v>
      </c>
      <c r="B5669" s="46" t="s">
        <v>54397</v>
      </c>
      <c r="C5669" s="58" t="str">
        <f>"18444172"</f>
        <v>18444172</v>
      </c>
      <c r="D5669" s="58" t="str">
        <f>"20668643"</f>
        <v>20668643</v>
      </c>
      <c r="E5669" s="46" t="s">
        <v>15083</v>
      </c>
      <c r="F5669" s="46" t="s">
        <v>22017</v>
      </c>
      <c r="G5669" s="46" t="s">
        <v>50584</v>
      </c>
      <c r="H5669" s="48" t="s">
        <v>56716</v>
      </c>
      <c r="I5669" s="48" t="s">
        <v>50564</v>
      </c>
      <c r="J5669" s="48"/>
      <c r="K5669" s="50"/>
      <c r="L5669" s="48" t="s">
        <v>56716</v>
      </c>
    </row>
    <row r="5670" spans="1:12" s="36" customFormat="1" ht="11.25" x14ac:dyDescent="0.2">
      <c r="A5670" s="46" t="s">
        <v>2933</v>
      </c>
      <c r="B5670" s="46" t="s">
        <v>2933</v>
      </c>
      <c r="C5670" s="58" t="str">
        <f>"00257664"</f>
        <v>00257664</v>
      </c>
      <c r="D5670" s="58" t="str">
        <f>""</f>
        <v/>
      </c>
      <c r="E5670" s="46" t="s">
        <v>2935</v>
      </c>
      <c r="F5670" s="46" t="s">
        <v>18001</v>
      </c>
      <c r="G5670" s="46" t="s">
        <v>50584</v>
      </c>
      <c r="H5670" s="48" t="s">
        <v>56716</v>
      </c>
      <c r="I5670" s="48" t="s">
        <v>50564</v>
      </c>
      <c r="J5670" s="48"/>
      <c r="K5670" s="50"/>
      <c r="L5670" s="48"/>
    </row>
    <row r="5671" spans="1:12" s="36" customFormat="1" ht="11.25" x14ac:dyDescent="0.2">
      <c r="A5671" s="46" t="s">
        <v>16014</v>
      </c>
      <c r="B5671" s="46" t="s">
        <v>54398</v>
      </c>
      <c r="C5671" s="58" t="str">
        <f>"21590354"</f>
        <v>21590354</v>
      </c>
      <c r="D5671" s="58" t="str">
        <f>""</f>
        <v/>
      </c>
      <c r="E5671" s="46" t="s">
        <v>16016</v>
      </c>
      <c r="F5671" s="46" t="s">
        <v>17759</v>
      </c>
      <c r="G5671" s="46" t="s">
        <v>50584</v>
      </c>
      <c r="H5671" s="48" t="s">
        <v>56716</v>
      </c>
      <c r="I5671" s="48" t="s">
        <v>50564</v>
      </c>
      <c r="J5671" s="48"/>
      <c r="K5671" s="50"/>
      <c r="L5671" s="48" t="s">
        <v>56716</v>
      </c>
    </row>
    <row r="5672" spans="1:12" s="36" customFormat="1" ht="11.25" x14ac:dyDescent="0.2">
      <c r="A5672" s="46" t="s">
        <v>13005</v>
      </c>
      <c r="B5672" s="46" t="s">
        <v>54399</v>
      </c>
      <c r="C5672" s="58" t="str">
        <f>"15557960"</f>
        <v>15557960</v>
      </c>
      <c r="D5672" s="58" t="str">
        <f>"15273172"</f>
        <v>15273172</v>
      </c>
      <c r="E5672" s="46" t="s">
        <v>13008</v>
      </c>
      <c r="F5672" s="46" t="s">
        <v>17759</v>
      </c>
      <c r="G5672" s="46" t="s">
        <v>50584</v>
      </c>
      <c r="H5672" s="48" t="s">
        <v>56716</v>
      </c>
      <c r="I5672" s="48" t="s">
        <v>50564</v>
      </c>
      <c r="J5672" s="48"/>
      <c r="K5672" s="50"/>
      <c r="L5672" s="48" t="s">
        <v>56716</v>
      </c>
    </row>
    <row r="5673" spans="1:12" s="36" customFormat="1" ht="11.25" x14ac:dyDescent="0.2">
      <c r="A5673" s="46" t="s">
        <v>2919</v>
      </c>
      <c r="B5673" s="46" t="s">
        <v>40384</v>
      </c>
      <c r="C5673" s="58" t="str">
        <f>"00257680"</f>
        <v>00257680</v>
      </c>
      <c r="D5673" s="58" t="str">
        <f>"16699106"</f>
        <v>16699106</v>
      </c>
      <c r="E5673" s="46" t="s">
        <v>2922</v>
      </c>
      <c r="F5673" s="46" t="s">
        <v>18169</v>
      </c>
      <c r="G5673" s="46" t="s">
        <v>50632</v>
      </c>
      <c r="H5673" s="48" t="s">
        <v>56716</v>
      </c>
      <c r="I5673" s="48" t="s">
        <v>50564</v>
      </c>
      <c r="J5673" s="48"/>
      <c r="K5673" s="50"/>
      <c r="L5673" s="48" t="s">
        <v>56716</v>
      </c>
    </row>
    <row r="5674" spans="1:12" s="36" customFormat="1" ht="11.25" x14ac:dyDescent="0.2">
      <c r="A5674" s="46" t="s">
        <v>4932</v>
      </c>
      <c r="B5674" s="46" t="s">
        <v>40384</v>
      </c>
      <c r="C5674" s="58" t="str">
        <f>"00766046"</f>
        <v>00766046</v>
      </c>
      <c r="D5674" s="58" t="str">
        <f>"21767262"</f>
        <v>21767262</v>
      </c>
      <c r="E5674" s="46" t="s">
        <v>4935</v>
      </c>
      <c r="F5674" s="46" t="s">
        <v>18058</v>
      </c>
      <c r="G5674" s="46" t="s">
        <v>50614</v>
      </c>
      <c r="H5674" s="48" t="s">
        <v>56716</v>
      </c>
      <c r="I5674" s="48" t="s">
        <v>50564</v>
      </c>
      <c r="J5674" s="48"/>
      <c r="K5674" s="50"/>
      <c r="L5674" s="48"/>
    </row>
    <row r="5675" spans="1:12" s="36" customFormat="1" ht="11.25" x14ac:dyDescent="0.2">
      <c r="A5675" s="45" t="s">
        <v>40389</v>
      </c>
      <c r="B5675" s="45" t="s">
        <v>40391</v>
      </c>
      <c r="C5675" s="51" t="s">
        <v>40393</v>
      </c>
      <c r="D5675" s="51" t="s">
        <v>40392</v>
      </c>
      <c r="E5675" s="45" t="s">
        <v>91</v>
      </c>
      <c r="F5675" s="45" t="s">
        <v>18001</v>
      </c>
      <c r="G5675" s="45" t="s">
        <v>50584</v>
      </c>
      <c r="H5675" s="56"/>
      <c r="I5675" s="56" t="s">
        <v>50564</v>
      </c>
      <c r="J5675" s="56"/>
      <c r="K5675" s="50"/>
      <c r="L5675" s="56" t="s">
        <v>56716</v>
      </c>
    </row>
    <row r="5676" spans="1:12" s="36" customFormat="1" ht="11.25" x14ac:dyDescent="0.2">
      <c r="A5676" s="46" t="s">
        <v>2904</v>
      </c>
      <c r="B5676" s="46" t="s">
        <v>54400</v>
      </c>
      <c r="C5676" s="58" t="str">
        <f>"00257753"</f>
        <v>00257753</v>
      </c>
      <c r="D5676" s="58" t="str">
        <f>"15788989"</f>
        <v>15788989</v>
      </c>
      <c r="E5676" s="46" t="s">
        <v>1683</v>
      </c>
      <c r="F5676" s="46" t="s">
        <v>18439</v>
      </c>
      <c r="G5676" s="46" t="s">
        <v>50632</v>
      </c>
      <c r="H5676" s="48" t="s">
        <v>56716</v>
      </c>
      <c r="I5676" s="48" t="s">
        <v>50564</v>
      </c>
      <c r="J5676" s="48"/>
      <c r="K5676" s="50" t="s">
        <v>56716</v>
      </c>
      <c r="L5676" s="48" t="s">
        <v>56716</v>
      </c>
    </row>
    <row r="5677" spans="1:12" s="36" customFormat="1" ht="11.25" x14ac:dyDescent="0.2">
      <c r="A5677" s="46" t="s">
        <v>7089</v>
      </c>
      <c r="B5677" s="46" t="s">
        <v>54401</v>
      </c>
      <c r="C5677" s="58" t="str">
        <f>"11239395"</f>
        <v>11239395</v>
      </c>
      <c r="D5677" s="58" t="str">
        <f>""</f>
        <v/>
      </c>
      <c r="E5677" s="46" t="s">
        <v>7091</v>
      </c>
      <c r="F5677" s="46" t="s">
        <v>17991</v>
      </c>
      <c r="G5677" s="46" t="s">
        <v>50603</v>
      </c>
      <c r="H5677" s="48" t="s">
        <v>56716</v>
      </c>
      <c r="I5677" s="48" t="s">
        <v>50564</v>
      </c>
      <c r="J5677" s="48"/>
      <c r="K5677" s="50"/>
      <c r="L5677" s="48"/>
    </row>
    <row r="5678" spans="1:12" s="36" customFormat="1" ht="11.25" x14ac:dyDescent="0.2">
      <c r="A5678" s="46" t="s">
        <v>12141</v>
      </c>
      <c r="B5678" s="46" t="s">
        <v>54402</v>
      </c>
      <c r="C5678" s="58" t="str">
        <f>"15771512"</f>
        <v>15771512</v>
      </c>
      <c r="D5678" s="58" t="str">
        <f>""</f>
        <v/>
      </c>
      <c r="E5678" s="46" t="s">
        <v>1683</v>
      </c>
      <c r="F5678" s="46" t="s">
        <v>18439</v>
      </c>
      <c r="G5678" s="46" t="s">
        <v>50632</v>
      </c>
      <c r="H5678" s="48" t="s">
        <v>56716</v>
      </c>
      <c r="I5678" s="48" t="s">
        <v>50564</v>
      </c>
      <c r="J5678" s="48"/>
      <c r="K5678" s="50"/>
      <c r="L5678" s="48"/>
    </row>
    <row r="5679" spans="1:12" s="36" customFormat="1" ht="11.25" x14ac:dyDescent="0.2">
      <c r="A5679" s="46" t="s">
        <v>2899</v>
      </c>
      <c r="B5679" s="46" t="s">
        <v>54403</v>
      </c>
      <c r="C5679" s="58" t="str">
        <f>"02105187"</f>
        <v>02105187</v>
      </c>
      <c r="D5679" s="58" t="str">
        <f>""</f>
        <v/>
      </c>
      <c r="E5679" s="46" t="s">
        <v>2901</v>
      </c>
      <c r="F5679" s="46" t="s">
        <v>18439</v>
      </c>
      <c r="G5679" s="46" t="s">
        <v>56480</v>
      </c>
      <c r="H5679" s="48" t="s">
        <v>56716</v>
      </c>
      <c r="I5679" s="48" t="s">
        <v>50564</v>
      </c>
      <c r="J5679" s="48"/>
      <c r="K5679" s="50"/>
      <c r="L5679" s="48"/>
    </row>
    <row r="5680" spans="1:12" s="36" customFormat="1" ht="11.25" x14ac:dyDescent="0.2">
      <c r="A5680" s="45" t="s">
        <v>40409</v>
      </c>
      <c r="B5680" s="45" t="s">
        <v>40411</v>
      </c>
      <c r="C5680" s="51" t="s">
        <v>40412</v>
      </c>
      <c r="D5680" s="51"/>
      <c r="E5680" s="45" t="s">
        <v>40413</v>
      </c>
      <c r="F5680" s="45" t="s">
        <v>18439</v>
      </c>
      <c r="G5680" s="45" t="s">
        <v>50632</v>
      </c>
      <c r="H5680" s="56"/>
      <c r="I5680" s="56" t="s">
        <v>50564</v>
      </c>
      <c r="J5680" s="56"/>
      <c r="K5680" s="50"/>
      <c r="L5680" s="56" t="s">
        <v>56716</v>
      </c>
    </row>
    <row r="5681" spans="1:12" s="36" customFormat="1" ht="11.25" x14ac:dyDescent="0.2">
      <c r="A5681" s="46" t="s">
        <v>4299</v>
      </c>
      <c r="B5681" s="46" t="s">
        <v>54404</v>
      </c>
      <c r="C5681" s="58" t="str">
        <f>"02105691"</f>
        <v>02105691</v>
      </c>
      <c r="D5681" s="58" t="str">
        <f>"15786749"</f>
        <v>15786749</v>
      </c>
      <c r="E5681" s="46" t="s">
        <v>1683</v>
      </c>
      <c r="F5681" s="46" t="s">
        <v>18439</v>
      </c>
      <c r="G5681" s="46" t="s">
        <v>50632</v>
      </c>
      <c r="H5681" s="48" t="s">
        <v>56716</v>
      </c>
      <c r="I5681" s="48" t="s">
        <v>50564</v>
      </c>
      <c r="J5681" s="48"/>
      <c r="K5681" s="50" t="s">
        <v>56716</v>
      </c>
      <c r="L5681" s="48" t="s">
        <v>56716</v>
      </c>
    </row>
    <row r="5682" spans="1:12" s="36" customFormat="1" ht="11.25" x14ac:dyDescent="0.2">
      <c r="A5682" s="46" t="s">
        <v>7750</v>
      </c>
      <c r="B5682" s="46" t="s">
        <v>54405</v>
      </c>
      <c r="C5682" s="58" t="str">
        <f>"01864866"</f>
        <v>01864866</v>
      </c>
      <c r="D5682" s="58" t="str">
        <f>""</f>
        <v/>
      </c>
      <c r="E5682" s="46" t="s">
        <v>1372</v>
      </c>
      <c r="F5682" s="46" t="s">
        <v>18411</v>
      </c>
      <c r="G5682" s="46" t="s">
        <v>50632</v>
      </c>
      <c r="H5682" s="48" t="s">
        <v>56716</v>
      </c>
      <c r="I5682" s="48" t="s">
        <v>50564</v>
      </c>
      <c r="J5682" s="48"/>
      <c r="K5682" s="50"/>
      <c r="L5682" s="48"/>
    </row>
    <row r="5683" spans="1:12" s="36" customFormat="1" ht="11.25" x14ac:dyDescent="0.2">
      <c r="A5683" s="45" t="s">
        <v>40420</v>
      </c>
      <c r="B5683" s="45" t="s">
        <v>40422</v>
      </c>
      <c r="C5683" s="51" t="s">
        <v>40424</v>
      </c>
      <c r="D5683" s="51"/>
      <c r="E5683" s="45" t="s">
        <v>40425</v>
      </c>
      <c r="F5683" s="45" t="s">
        <v>17991</v>
      </c>
      <c r="G5683" s="45" t="s">
        <v>56624</v>
      </c>
      <c r="H5683" s="56"/>
      <c r="I5683" s="56" t="s">
        <v>50564</v>
      </c>
      <c r="J5683" s="56"/>
      <c r="K5683" s="50"/>
      <c r="L5683" s="56" t="s">
        <v>56716</v>
      </c>
    </row>
    <row r="5684" spans="1:12" s="36" customFormat="1" ht="11.25" x14ac:dyDescent="0.2">
      <c r="A5684" s="46" t="s">
        <v>10735</v>
      </c>
      <c r="B5684" s="46" t="s">
        <v>54406</v>
      </c>
      <c r="C5684" s="58" t="str">
        <f>"16984447"</f>
        <v>16984447</v>
      </c>
      <c r="D5684" s="58" t="str">
        <f>"16986946"</f>
        <v>16986946</v>
      </c>
      <c r="E5684" s="46" t="s">
        <v>10735</v>
      </c>
      <c r="F5684" s="46" t="s">
        <v>18439</v>
      </c>
      <c r="G5684" s="46" t="s">
        <v>50632</v>
      </c>
      <c r="H5684" s="48" t="s">
        <v>56716</v>
      </c>
      <c r="I5684" s="48" t="s">
        <v>50564</v>
      </c>
      <c r="J5684" s="48"/>
      <c r="K5684" s="50"/>
      <c r="L5684" s="48" t="s">
        <v>56716</v>
      </c>
    </row>
    <row r="5685" spans="1:12" s="36" customFormat="1" ht="11.25" x14ac:dyDescent="0.2">
      <c r="A5685" s="46" t="s">
        <v>8230</v>
      </c>
      <c r="B5685" s="46" t="s">
        <v>54407</v>
      </c>
      <c r="C5685" s="58" t="str">
        <f>"1134248X"</f>
        <v>1134248X</v>
      </c>
      <c r="D5685" s="58" t="str">
        <f>""</f>
        <v/>
      </c>
      <c r="E5685" s="46" t="s">
        <v>8232</v>
      </c>
      <c r="F5685" s="46" t="s">
        <v>18439</v>
      </c>
      <c r="G5685" s="46" t="s">
        <v>50632</v>
      </c>
      <c r="H5685" s="48" t="s">
        <v>56716</v>
      </c>
      <c r="I5685" s="48" t="s">
        <v>50564</v>
      </c>
      <c r="J5685" s="48"/>
      <c r="K5685" s="50" t="s">
        <v>56716</v>
      </c>
      <c r="L5685" s="48"/>
    </row>
    <row r="5686" spans="1:12" s="36" customFormat="1" ht="11.25" x14ac:dyDescent="0.2">
      <c r="A5686" s="46" t="s">
        <v>13256</v>
      </c>
      <c r="B5686" s="46" t="s">
        <v>54408</v>
      </c>
      <c r="C5686" s="58" t="str">
        <f>"17342260"</f>
        <v>17342260</v>
      </c>
      <c r="D5686" s="58" t="str">
        <f>"17342260"</f>
        <v>17342260</v>
      </c>
      <c r="E5686" s="46" t="s">
        <v>13256</v>
      </c>
      <c r="F5686" s="46" t="s">
        <v>17967</v>
      </c>
      <c r="G5686" s="46" t="s">
        <v>50612</v>
      </c>
      <c r="H5686" s="48" t="s">
        <v>56716</v>
      </c>
      <c r="I5686" s="48" t="s">
        <v>50564</v>
      </c>
      <c r="J5686" s="48"/>
      <c r="K5686" s="50"/>
      <c r="L5686" s="48"/>
    </row>
    <row r="5687" spans="1:12" s="36" customFormat="1" ht="11.25" x14ac:dyDescent="0.2">
      <c r="A5687" s="46" t="s">
        <v>11018</v>
      </c>
      <c r="B5687" s="46" t="s">
        <v>54409</v>
      </c>
      <c r="C5687" s="58" t="str">
        <f>"15734064"</f>
        <v>15734064</v>
      </c>
      <c r="D5687" s="58" t="str">
        <f>"18756638"</f>
        <v>18756638</v>
      </c>
      <c r="E5687" s="46" t="s">
        <v>6405</v>
      </c>
      <c r="F5687" s="46" t="s">
        <v>18001</v>
      </c>
      <c r="G5687" s="46" t="s">
        <v>50584</v>
      </c>
      <c r="H5687" s="48" t="s">
        <v>56716</v>
      </c>
      <c r="I5687" s="48" t="s">
        <v>50564</v>
      </c>
      <c r="J5687" s="48" t="s">
        <v>56716</v>
      </c>
      <c r="K5687" s="50"/>
      <c r="L5687" s="48" t="s">
        <v>56716</v>
      </c>
    </row>
    <row r="5688" spans="1:12" s="36" customFormat="1" ht="11.25" x14ac:dyDescent="0.2">
      <c r="A5688" s="46" t="s">
        <v>7535</v>
      </c>
      <c r="B5688" s="46" t="s">
        <v>54410</v>
      </c>
      <c r="C5688" s="58" t="str">
        <f>"10542523"</f>
        <v>10542523</v>
      </c>
      <c r="D5688" s="58" t="str">
        <f>"15548120"</f>
        <v>15548120</v>
      </c>
      <c r="E5688" s="46" t="s">
        <v>7538</v>
      </c>
      <c r="F5688" s="46" t="s">
        <v>17759</v>
      </c>
      <c r="G5688" s="46" t="s">
        <v>50584</v>
      </c>
      <c r="H5688" s="48" t="s">
        <v>56716</v>
      </c>
      <c r="I5688" s="48" t="s">
        <v>50564</v>
      </c>
      <c r="J5688" s="48"/>
      <c r="K5688" s="50" t="s">
        <v>56716</v>
      </c>
      <c r="L5688" s="48"/>
    </row>
    <row r="5689" spans="1:12" s="36" customFormat="1" ht="11.25" x14ac:dyDescent="0.2">
      <c r="A5689" s="46" t="s">
        <v>15000</v>
      </c>
      <c r="B5689" s="46" t="s">
        <v>54411</v>
      </c>
      <c r="C5689" s="58" t="str">
        <f>"09754261"</f>
        <v>09754261</v>
      </c>
      <c r="D5689" s="58" t="str">
        <f>"09756892"</f>
        <v>09756892</v>
      </c>
      <c r="E5689" s="46" t="s">
        <v>15003</v>
      </c>
      <c r="F5689" s="46" t="s">
        <v>20446</v>
      </c>
      <c r="G5689" s="46" t="s">
        <v>50584</v>
      </c>
      <c r="H5689" s="48" t="s">
        <v>56716</v>
      </c>
      <c r="I5689" s="48" t="s">
        <v>50564</v>
      </c>
      <c r="J5689" s="48" t="s">
        <v>56716</v>
      </c>
      <c r="K5689" s="50"/>
      <c r="L5689" s="48"/>
    </row>
    <row r="5690" spans="1:12" s="36" customFormat="1" ht="11.25" x14ac:dyDescent="0.2">
      <c r="A5690" s="46" t="s">
        <v>3020</v>
      </c>
      <c r="B5690" s="46" t="s">
        <v>54412</v>
      </c>
      <c r="C5690" s="58" t="str">
        <f>"01986325"</f>
        <v>01986325</v>
      </c>
      <c r="D5690" s="58" t="str">
        <f>"10981128"</f>
        <v>10981128</v>
      </c>
      <c r="E5690" s="46" t="s">
        <v>517</v>
      </c>
      <c r="F5690" s="46" t="s">
        <v>17759</v>
      </c>
      <c r="G5690" s="46" t="s">
        <v>50584</v>
      </c>
      <c r="H5690" s="48" t="s">
        <v>56716</v>
      </c>
      <c r="I5690" s="48" t="s">
        <v>50564</v>
      </c>
      <c r="J5690" s="48"/>
      <c r="K5690" s="50" t="s">
        <v>56716</v>
      </c>
      <c r="L5690" s="48" t="s">
        <v>56716</v>
      </c>
    </row>
    <row r="5691" spans="1:12" s="36" customFormat="1" ht="11.25" x14ac:dyDescent="0.2">
      <c r="A5691" s="46" t="s">
        <v>10057</v>
      </c>
      <c r="B5691" s="46" t="s">
        <v>17993</v>
      </c>
      <c r="C5691" s="58" t="str">
        <f>"03045412"</f>
        <v>03045412</v>
      </c>
      <c r="D5691" s="58" t="str">
        <f>"15788822"</f>
        <v>15788822</v>
      </c>
      <c r="E5691" s="46" t="s">
        <v>1683</v>
      </c>
      <c r="F5691" s="46" t="s">
        <v>18439</v>
      </c>
      <c r="G5691" s="46" t="s">
        <v>50632</v>
      </c>
      <c r="H5691" s="48" t="s">
        <v>56716</v>
      </c>
      <c r="I5691" s="48" t="s">
        <v>50564</v>
      </c>
      <c r="J5691" s="48"/>
      <c r="K5691" s="50"/>
      <c r="L5691" s="48"/>
    </row>
    <row r="5692" spans="1:12" s="36" customFormat="1" ht="11.25" x14ac:dyDescent="0.2">
      <c r="A5692" s="46" t="s">
        <v>11625</v>
      </c>
      <c r="B5692" s="46" t="s">
        <v>17993</v>
      </c>
      <c r="C5692" s="58" t="str">
        <f>"13573039"</f>
        <v>13573039</v>
      </c>
      <c r="D5692" s="58" t="str">
        <f>"13654357"</f>
        <v>13654357</v>
      </c>
      <c r="E5692" s="46" t="s">
        <v>155</v>
      </c>
      <c r="F5692" s="46" t="s">
        <v>50646</v>
      </c>
      <c r="G5692" s="46" t="s">
        <v>50584</v>
      </c>
      <c r="H5692" s="48" t="s">
        <v>56716</v>
      </c>
      <c r="I5692" s="48" t="s">
        <v>50564</v>
      </c>
      <c r="J5692" s="48" t="s">
        <v>56716</v>
      </c>
      <c r="K5692" s="50" t="s">
        <v>56716</v>
      </c>
      <c r="L5692" s="48"/>
    </row>
    <row r="5693" spans="1:12" s="36" customFormat="1" ht="11.25" x14ac:dyDescent="0.2">
      <c r="A5693" s="46" t="s">
        <v>2924</v>
      </c>
      <c r="B5693" s="46" t="s">
        <v>17993</v>
      </c>
      <c r="C5693" s="58" t="str">
        <f>"00257974"</f>
        <v>00257974</v>
      </c>
      <c r="D5693" s="58" t="str">
        <f>"15365964"</f>
        <v>15365964</v>
      </c>
      <c r="E5693" s="46" t="s">
        <v>28</v>
      </c>
      <c r="F5693" s="46" t="s">
        <v>17759</v>
      </c>
      <c r="G5693" s="46" t="s">
        <v>50584</v>
      </c>
      <c r="H5693" s="48" t="s">
        <v>56716</v>
      </c>
      <c r="I5693" s="48" t="s">
        <v>50564</v>
      </c>
      <c r="J5693" s="48" t="s">
        <v>56716</v>
      </c>
      <c r="K5693" s="50"/>
      <c r="L5693" s="48" t="s">
        <v>56716</v>
      </c>
    </row>
    <row r="5694" spans="1:12" s="36" customFormat="1" ht="11.25" x14ac:dyDescent="0.2">
      <c r="A5694" s="45" t="s">
        <v>40444</v>
      </c>
      <c r="B5694" s="45" t="s">
        <v>40446</v>
      </c>
      <c r="C5694" s="51" t="s">
        <v>40447</v>
      </c>
      <c r="D5694" s="51"/>
      <c r="E5694" s="45" t="s">
        <v>40448</v>
      </c>
      <c r="F5694" s="45" t="s">
        <v>19134</v>
      </c>
      <c r="G5694" s="45" t="s">
        <v>50584</v>
      </c>
      <c r="H5694" s="56"/>
      <c r="I5694" s="56" t="s">
        <v>50564</v>
      </c>
      <c r="J5694" s="56"/>
      <c r="K5694" s="50"/>
      <c r="L5694" s="56" t="s">
        <v>56716</v>
      </c>
    </row>
    <row r="5695" spans="1:12" s="36" customFormat="1" ht="11.25" x14ac:dyDescent="0.2">
      <c r="A5695" s="45" t="s">
        <v>40450</v>
      </c>
      <c r="B5695" s="45" t="s">
        <v>40452</v>
      </c>
      <c r="C5695" s="51" t="s">
        <v>40455</v>
      </c>
      <c r="D5695" s="51" t="s">
        <v>40454</v>
      </c>
      <c r="E5695" s="45" t="s">
        <v>17758</v>
      </c>
      <c r="F5695" s="45" t="s">
        <v>17759</v>
      </c>
      <c r="G5695" s="45" t="s">
        <v>50584</v>
      </c>
      <c r="H5695" s="56"/>
      <c r="I5695" s="56" t="s">
        <v>50564</v>
      </c>
      <c r="J5695" s="56"/>
      <c r="K5695" s="50"/>
      <c r="L5695" s="56" t="s">
        <v>56716</v>
      </c>
    </row>
    <row r="5696" spans="1:12" s="36" customFormat="1" ht="11.25" x14ac:dyDescent="0.2">
      <c r="A5696" s="45" t="s">
        <v>40457</v>
      </c>
      <c r="B5696" s="45" t="s">
        <v>40459</v>
      </c>
      <c r="C5696" s="51" t="s">
        <v>40462</v>
      </c>
      <c r="D5696" s="51" t="s">
        <v>40461</v>
      </c>
      <c r="E5696" s="45" t="s">
        <v>18122</v>
      </c>
      <c r="F5696" s="45" t="s">
        <v>18123</v>
      </c>
      <c r="G5696" s="45" t="s">
        <v>50584</v>
      </c>
      <c r="H5696" s="56"/>
      <c r="I5696" s="56" t="s">
        <v>50564</v>
      </c>
      <c r="J5696" s="56"/>
      <c r="K5696" s="50"/>
      <c r="L5696" s="56" t="s">
        <v>56716</v>
      </c>
    </row>
    <row r="5697" spans="1:12" s="36" customFormat="1" ht="11.25" x14ac:dyDescent="0.2">
      <c r="A5697" s="46" t="s">
        <v>8456</v>
      </c>
      <c r="B5697" s="46" t="s">
        <v>54413</v>
      </c>
      <c r="C5697" s="58" t="str">
        <f>"1443430X"</f>
        <v>1443430X</v>
      </c>
      <c r="D5697" s="58" t="str">
        <f>"22030794"</f>
        <v>22030794</v>
      </c>
      <c r="E5697" s="46" t="s">
        <v>8459</v>
      </c>
      <c r="F5697" s="46" t="s">
        <v>20082</v>
      </c>
      <c r="G5697" s="46" t="s">
        <v>50584</v>
      </c>
      <c r="H5697" s="48" t="s">
        <v>56716</v>
      </c>
      <c r="I5697" s="48" t="s">
        <v>50564</v>
      </c>
      <c r="J5697" s="48"/>
      <c r="K5697" s="50"/>
      <c r="L5697" s="48"/>
    </row>
    <row r="5698" spans="1:12" s="36" customFormat="1" ht="11.25" x14ac:dyDescent="0.2">
      <c r="A5698" s="45" t="s">
        <v>40465</v>
      </c>
      <c r="B5698" s="45" t="s">
        <v>40467</v>
      </c>
      <c r="C5698" s="51" t="s">
        <v>40469</v>
      </c>
      <c r="D5698" s="51"/>
      <c r="E5698" s="45" t="s">
        <v>40470</v>
      </c>
      <c r="F5698" s="45" t="s">
        <v>50646</v>
      </c>
      <c r="G5698" s="45" t="s">
        <v>50584</v>
      </c>
      <c r="H5698" s="56"/>
      <c r="I5698" s="56" t="s">
        <v>50564</v>
      </c>
      <c r="J5698" s="56"/>
      <c r="K5698" s="50"/>
      <c r="L5698" s="56" t="s">
        <v>56716</v>
      </c>
    </row>
    <row r="5699" spans="1:12" s="36" customFormat="1" ht="11.25" x14ac:dyDescent="0.2">
      <c r="A5699" s="45" t="s">
        <v>40473</v>
      </c>
      <c r="B5699" s="45" t="s">
        <v>40475</v>
      </c>
      <c r="C5699" s="51" t="s">
        <v>40478</v>
      </c>
      <c r="D5699" s="51" t="s">
        <v>40477</v>
      </c>
      <c r="E5699" s="45" t="s">
        <v>18876</v>
      </c>
      <c r="F5699" s="45" t="s">
        <v>18001</v>
      </c>
      <c r="G5699" s="45" t="s">
        <v>50584</v>
      </c>
      <c r="H5699" s="56"/>
      <c r="I5699" s="56" t="s">
        <v>50564</v>
      </c>
      <c r="J5699" s="56"/>
      <c r="K5699" s="50"/>
      <c r="L5699" s="56" t="s">
        <v>56716</v>
      </c>
    </row>
    <row r="5700" spans="1:12" s="36" customFormat="1" ht="11.25" x14ac:dyDescent="0.2">
      <c r="A5700" s="45" t="s">
        <v>40481</v>
      </c>
      <c r="B5700" s="45" t="s">
        <v>40483</v>
      </c>
      <c r="C5700" s="51" t="s">
        <v>40485</v>
      </c>
      <c r="D5700" s="51" t="s">
        <v>40484</v>
      </c>
      <c r="E5700" s="45" t="s">
        <v>18520</v>
      </c>
      <c r="F5700" s="45" t="s">
        <v>50646</v>
      </c>
      <c r="G5700" s="45" t="s">
        <v>50584</v>
      </c>
      <c r="H5700" s="56"/>
      <c r="I5700" s="56" t="s">
        <v>50564</v>
      </c>
      <c r="J5700" s="56"/>
      <c r="K5700" s="50"/>
      <c r="L5700" s="56" t="s">
        <v>56716</v>
      </c>
    </row>
    <row r="5701" spans="1:12" s="36" customFormat="1" ht="11.25" x14ac:dyDescent="0.2">
      <c r="A5701" s="46" t="s">
        <v>14513</v>
      </c>
      <c r="B5701" s="46" t="s">
        <v>54414</v>
      </c>
      <c r="C5701" s="58" t="str">
        <f>"03501221"</f>
        <v>03501221</v>
      </c>
      <c r="D5701" s="58" t="str">
        <f>""</f>
        <v/>
      </c>
      <c r="E5701" s="46" t="s">
        <v>14515</v>
      </c>
      <c r="F5701" s="46" t="s">
        <v>18050</v>
      </c>
      <c r="G5701" s="46" t="s">
        <v>50622</v>
      </c>
      <c r="H5701" s="48" t="s">
        <v>56716</v>
      </c>
      <c r="I5701" s="48" t="s">
        <v>50564</v>
      </c>
      <c r="J5701" s="48"/>
      <c r="K5701" s="50"/>
      <c r="L5701" s="48"/>
    </row>
    <row r="5702" spans="1:12" s="36" customFormat="1" ht="11.25" x14ac:dyDescent="0.2">
      <c r="A5702" s="46" t="s">
        <v>11284</v>
      </c>
      <c r="B5702" s="46" t="s">
        <v>54415</v>
      </c>
      <c r="C5702" s="58" t="str">
        <f>"18400132"</f>
        <v>18400132</v>
      </c>
      <c r="D5702" s="58" t="str">
        <f>"18402445"</f>
        <v>18402445</v>
      </c>
      <c r="E5702" s="46" t="s">
        <v>11287</v>
      </c>
      <c r="F5702" s="46" t="s">
        <v>50644</v>
      </c>
      <c r="G5702" s="46" t="s">
        <v>50577</v>
      </c>
      <c r="H5702" s="48" t="s">
        <v>56716</v>
      </c>
      <c r="I5702" s="48" t="s">
        <v>50564</v>
      </c>
      <c r="J5702" s="48"/>
      <c r="K5702" s="50"/>
      <c r="L5702" s="48" t="s">
        <v>56716</v>
      </c>
    </row>
    <row r="5703" spans="1:12" s="36" customFormat="1" ht="11.25" x14ac:dyDescent="0.2">
      <c r="A5703" s="45" t="s">
        <v>40500</v>
      </c>
      <c r="B5703" s="45" t="s">
        <v>40502</v>
      </c>
      <c r="C5703" s="51" t="s">
        <v>40503</v>
      </c>
      <c r="D5703" s="51"/>
      <c r="E5703" s="45" t="s">
        <v>40504</v>
      </c>
      <c r="F5703" s="45" t="s">
        <v>18050</v>
      </c>
      <c r="G5703" s="45" t="s">
        <v>50624</v>
      </c>
      <c r="H5703" s="56"/>
      <c r="I5703" s="56" t="s">
        <v>50564</v>
      </c>
      <c r="J5703" s="56"/>
      <c r="K5703" s="50"/>
      <c r="L5703" s="56" t="s">
        <v>56716</v>
      </c>
    </row>
    <row r="5704" spans="1:12" s="36" customFormat="1" ht="11.25" x14ac:dyDescent="0.2">
      <c r="A5704" s="46" t="s">
        <v>6162</v>
      </c>
      <c r="B5704" s="46" t="s">
        <v>54416</v>
      </c>
      <c r="C5704" s="58" t="str">
        <f>"15913090"</f>
        <v>15913090</v>
      </c>
      <c r="D5704" s="58" t="str">
        <f>""</f>
        <v/>
      </c>
      <c r="E5704" s="46" t="s">
        <v>6162</v>
      </c>
      <c r="F5704" s="46" t="s">
        <v>17991</v>
      </c>
      <c r="G5704" s="46" t="s">
        <v>50603</v>
      </c>
      <c r="H5704" s="48" t="s">
        <v>56716</v>
      </c>
      <c r="I5704" s="48" t="s">
        <v>50564</v>
      </c>
      <c r="J5704" s="48"/>
      <c r="K5704" s="50"/>
      <c r="L5704" s="48"/>
    </row>
    <row r="5705" spans="1:12" s="36" customFormat="1" ht="11.25" x14ac:dyDescent="0.2">
      <c r="A5705" s="46" t="s">
        <v>7156</v>
      </c>
      <c r="B5705" s="46" t="s">
        <v>54417</v>
      </c>
      <c r="C5705" s="58" t="str">
        <f>"0971720X"</f>
        <v>0971720X</v>
      </c>
      <c r="D5705" s="58" t="str">
        <f>"09741283"</f>
        <v>09741283</v>
      </c>
      <c r="E5705" s="46" t="s">
        <v>56128</v>
      </c>
      <c r="F5705" s="46" t="s">
        <v>20446</v>
      </c>
      <c r="G5705" s="46" t="s">
        <v>50584</v>
      </c>
      <c r="H5705" s="48" t="s">
        <v>56716</v>
      </c>
      <c r="I5705" s="48" t="s">
        <v>50564</v>
      </c>
      <c r="J5705" s="48"/>
      <c r="K5705" s="50"/>
      <c r="L5705" s="48"/>
    </row>
    <row r="5706" spans="1:12" s="36" customFormat="1" ht="11.25" x14ac:dyDescent="0.2">
      <c r="A5706" s="45" t="s">
        <v>40513</v>
      </c>
      <c r="B5706" s="45" t="s">
        <v>40515</v>
      </c>
      <c r="C5706" s="51"/>
      <c r="D5706" s="51"/>
      <c r="E5706" s="45" t="s">
        <v>920</v>
      </c>
      <c r="F5706" s="45" t="s">
        <v>18001</v>
      </c>
      <c r="G5706" s="45" t="s">
        <v>50584</v>
      </c>
      <c r="H5706" s="56"/>
      <c r="I5706" s="56" t="s">
        <v>50564</v>
      </c>
      <c r="J5706" s="56"/>
      <c r="K5706" s="50"/>
      <c r="L5706" s="56" t="s">
        <v>56716</v>
      </c>
    </row>
    <row r="5707" spans="1:12" s="36" customFormat="1" ht="11.25" x14ac:dyDescent="0.2">
      <c r="A5707" s="46" t="s">
        <v>15310</v>
      </c>
      <c r="B5707" s="46" t="s">
        <v>54418</v>
      </c>
      <c r="C5707" s="58" t="str">
        <f>""</f>
        <v/>
      </c>
      <c r="D5707" s="58" t="str">
        <f>"20353006"</f>
        <v>20353006</v>
      </c>
      <c r="E5707" s="46" t="s">
        <v>15312</v>
      </c>
      <c r="F5707" s="46" t="s">
        <v>17991</v>
      </c>
      <c r="G5707" s="46" t="s">
        <v>50584</v>
      </c>
      <c r="H5707" s="48" t="s">
        <v>56716</v>
      </c>
      <c r="I5707" s="48" t="s">
        <v>50564</v>
      </c>
      <c r="J5707" s="48"/>
      <c r="K5707" s="50"/>
      <c r="L5707" s="48"/>
    </row>
    <row r="5708" spans="1:12" s="36" customFormat="1" ht="11.25" x14ac:dyDescent="0.2">
      <c r="A5708" s="46" t="s">
        <v>13460</v>
      </c>
      <c r="B5708" s="46" t="s">
        <v>54419</v>
      </c>
      <c r="C5708" s="58" t="str">
        <f>"1973798X"</f>
        <v>1973798X</v>
      </c>
      <c r="D5708" s="58" t="str">
        <f>"19737998"</f>
        <v>19737998</v>
      </c>
      <c r="E5708" s="46" t="s">
        <v>920</v>
      </c>
      <c r="F5708" s="46" t="s">
        <v>18001</v>
      </c>
      <c r="G5708" s="46" t="s">
        <v>50584</v>
      </c>
      <c r="H5708" s="48" t="s">
        <v>56716</v>
      </c>
      <c r="I5708" s="48" t="s">
        <v>50564</v>
      </c>
      <c r="J5708" s="48" t="s">
        <v>56716</v>
      </c>
      <c r="K5708" s="50"/>
      <c r="L5708" s="48"/>
    </row>
    <row r="5709" spans="1:12" s="36" customFormat="1" ht="11.25" x14ac:dyDescent="0.2">
      <c r="A5709" s="46" t="s">
        <v>9328</v>
      </c>
      <c r="B5709" s="46" t="s">
        <v>54420</v>
      </c>
      <c r="C5709" s="58" t="str">
        <f>"11284293"</f>
        <v>11284293</v>
      </c>
      <c r="D5709" s="58" t="str">
        <f>""</f>
        <v/>
      </c>
      <c r="E5709" s="46" t="s">
        <v>9330</v>
      </c>
      <c r="F5709" s="46" t="s">
        <v>17991</v>
      </c>
      <c r="G5709" s="46" t="s">
        <v>50584</v>
      </c>
      <c r="H5709" s="48" t="s">
        <v>56716</v>
      </c>
      <c r="I5709" s="48" t="s">
        <v>50564</v>
      </c>
      <c r="J5709" s="48"/>
      <c r="K5709" s="50"/>
      <c r="L5709" s="48"/>
    </row>
    <row r="5710" spans="1:12" s="36" customFormat="1" ht="11.25" x14ac:dyDescent="0.2">
      <c r="A5710" s="45" t="s">
        <v>40518</v>
      </c>
      <c r="B5710" s="45" t="s">
        <v>40520</v>
      </c>
      <c r="C5710" s="51" t="s">
        <v>40522</v>
      </c>
      <c r="D5710" s="51"/>
      <c r="E5710" s="45" t="s">
        <v>40523</v>
      </c>
      <c r="F5710" s="45" t="s">
        <v>50653</v>
      </c>
      <c r="G5710" s="45" t="s">
        <v>56509</v>
      </c>
      <c r="H5710" s="56"/>
      <c r="I5710" s="56" t="s">
        <v>50564</v>
      </c>
      <c r="J5710" s="56"/>
      <c r="K5710" s="50"/>
      <c r="L5710" s="56" t="s">
        <v>56716</v>
      </c>
    </row>
    <row r="5711" spans="1:12" s="36" customFormat="1" ht="11.25" x14ac:dyDescent="0.2">
      <c r="A5711" s="45" t="s">
        <v>40525</v>
      </c>
      <c r="B5711" s="45" t="s">
        <v>40527</v>
      </c>
      <c r="C5711" s="51" t="s">
        <v>40529</v>
      </c>
      <c r="D5711" s="51"/>
      <c r="E5711" s="45" t="s">
        <v>20950</v>
      </c>
      <c r="F5711" s="45" t="s">
        <v>50653</v>
      </c>
      <c r="G5711" s="45" t="s">
        <v>56509</v>
      </c>
      <c r="H5711" s="56"/>
      <c r="I5711" s="56" t="s">
        <v>50564</v>
      </c>
      <c r="J5711" s="56"/>
      <c r="K5711" s="50"/>
      <c r="L5711" s="56" t="s">
        <v>56716</v>
      </c>
    </row>
    <row r="5712" spans="1:12" s="36" customFormat="1" ht="11.25" x14ac:dyDescent="0.2">
      <c r="A5712" s="45" t="s">
        <v>40531</v>
      </c>
      <c r="B5712" s="45" t="s">
        <v>40533</v>
      </c>
      <c r="C5712" s="51" t="s">
        <v>40535</v>
      </c>
      <c r="D5712" s="51"/>
      <c r="E5712" s="45" t="s">
        <v>20950</v>
      </c>
      <c r="F5712" s="45" t="s">
        <v>50653</v>
      </c>
      <c r="G5712" s="45" t="s">
        <v>56509</v>
      </c>
      <c r="H5712" s="56"/>
      <c r="I5712" s="56" t="s">
        <v>50564</v>
      </c>
      <c r="J5712" s="56"/>
      <c r="K5712" s="50"/>
      <c r="L5712" s="56" t="s">
        <v>56716</v>
      </c>
    </row>
    <row r="5713" spans="1:12" s="36" customFormat="1" ht="11.25" x14ac:dyDescent="0.2">
      <c r="A5713" s="45" t="s">
        <v>40537</v>
      </c>
      <c r="B5713" s="45" t="s">
        <v>40539</v>
      </c>
      <c r="C5713" s="51" t="s">
        <v>40541</v>
      </c>
      <c r="D5713" s="51"/>
      <c r="E5713" s="45" t="s">
        <v>40542</v>
      </c>
      <c r="F5713" s="45" t="s">
        <v>18158</v>
      </c>
      <c r="G5713" s="45" t="s">
        <v>50592</v>
      </c>
      <c r="H5713" s="56"/>
      <c r="I5713" s="56" t="s">
        <v>50564</v>
      </c>
      <c r="J5713" s="56"/>
      <c r="K5713" s="50"/>
      <c r="L5713" s="56" t="s">
        <v>56716</v>
      </c>
    </row>
    <row r="5714" spans="1:12" s="36" customFormat="1" ht="11.25" x14ac:dyDescent="0.2">
      <c r="A5714" s="45" t="s">
        <v>40544</v>
      </c>
      <c r="B5714" s="45" t="s">
        <v>40546</v>
      </c>
      <c r="C5714" s="51" t="s">
        <v>40547</v>
      </c>
      <c r="D5714" s="51" t="s">
        <v>56625</v>
      </c>
      <c r="E5714" s="45" t="s">
        <v>56626</v>
      </c>
      <c r="F5714" s="45" t="s">
        <v>18158</v>
      </c>
      <c r="G5714" s="45" t="s">
        <v>50593</v>
      </c>
      <c r="H5714" s="56"/>
      <c r="I5714" s="56" t="s">
        <v>50564</v>
      </c>
      <c r="J5714" s="56"/>
      <c r="K5714" s="50"/>
      <c r="L5714" s="56" t="s">
        <v>56716</v>
      </c>
    </row>
    <row r="5715" spans="1:12" s="36" customFormat="1" ht="11.25" x14ac:dyDescent="0.2">
      <c r="A5715" s="46" t="s">
        <v>6096</v>
      </c>
      <c r="B5715" s="46" t="s">
        <v>54421</v>
      </c>
      <c r="C5715" s="58" t="str">
        <f>"09365931"</f>
        <v>09365931</v>
      </c>
      <c r="D5715" s="58" t="str">
        <f>"18635490"</f>
        <v>18635490</v>
      </c>
      <c r="E5715" s="46" t="s">
        <v>167</v>
      </c>
      <c r="F5715" s="46" t="s">
        <v>18158</v>
      </c>
      <c r="G5715" s="46" t="s">
        <v>50593</v>
      </c>
      <c r="H5715" s="48" t="s">
        <v>56716</v>
      </c>
      <c r="I5715" s="48" t="s">
        <v>50564</v>
      </c>
      <c r="J5715" s="48"/>
      <c r="K5715" s="50" t="s">
        <v>56716</v>
      </c>
      <c r="L5715" s="48"/>
    </row>
    <row r="5716" spans="1:12" s="36" customFormat="1" ht="11.25" x14ac:dyDescent="0.2">
      <c r="A5716" s="46" t="s">
        <v>17086</v>
      </c>
      <c r="B5716" s="46" t="s">
        <v>54422</v>
      </c>
      <c r="C5716" s="58" t="str">
        <f>"21936218"</f>
        <v>21936218</v>
      </c>
      <c r="D5716" s="58" t="str">
        <f>"21936226"</f>
        <v>21936226</v>
      </c>
      <c r="E5716" s="46" t="s">
        <v>17089</v>
      </c>
      <c r="F5716" s="46" t="s">
        <v>18158</v>
      </c>
      <c r="G5716" s="46" t="s">
        <v>50593</v>
      </c>
      <c r="H5716" s="48" t="s">
        <v>56716</v>
      </c>
      <c r="I5716" s="48" t="s">
        <v>50564</v>
      </c>
      <c r="J5716" s="48"/>
      <c r="K5716" s="50" t="s">
        <v>56716</v>
      </c>
      <c r="L5716" s="48" t="s">
        <v>56716</v>
      </c>
    </row>
    <row r="5717" spans="1:12" s="36" customFormat="1" ht="11.25" x14ac:dyDescent="0.2">
      <c r="A5717" s="46" t="s">
        <v>2995</v>
      </c>
      <c r="B5717" s="46" t="s">
        <v>54423</v>
      </c>
      <c r="C5717" s="58" t="str">
        <f>"03429601"</f>
        <v>03429601</v>
      </c>
      <c r="D5717" s="58" t="str">
        <f>""</f>
        <v/>
      </c>
      <c r="E5717" s="46" t="s">
        <v>2997</v>
      </c>
      <c r="F5717" s="46" t="s">
        <v>18158</v>
      </c>
      <c r="G5717" s="46" t="s">
        <v>50593</v>
      </c>
      <c r="H5717" s="48" t="s">
        <v>56716</v>
      </c>
      <c r="I5717" s="48" t="s">
        <v>50564</v>
      </c>
      <c r="J5717" s="48"/>
      <c r="K5717" s="50"/>
      <c r="L5717" s="48" t="s">
        <v>56716</v>
      </c>
    </row>
    <row r="5718" spans="1:12" s="36" customFormat="1" ht="11.25" x14ac:dyDescent="0.2">
      <c r="A5718" s="46" t="s">
        <v>2945</v>
      </c>
      <c r="B5718" s="46" t="s">
        <v>54424</v>
      </c>
      <c r="C5718" s="58" t="str">
        <f>"00258512"</f>
        <v>00258512</v>
      </c>
      <c r="D5718" s="58" t="str">
        <f>""</f>
        <v/>
      </c>
      <c r="E5718" s="46" t="s">
        <v>1758</v>
      </c>
      <c r="F5718" s="46" t="s">
        <v>18158</v>
      </c>
      <c r="G5718" s="46" t="s">
        <v>50593</v>
      </c>
      <c r="H5718" s="48" t="s">
        <v>56716</v>
      </c>
      <c r="I5718" s="48" t="s">
        <v>50564</v>
      </c>
      <c r="J5718" s="48"/>
      <c r="K5718" s="50"/>
      <c r="L5718" s="48"/>
    </row>
    <row r="5719" spans="1:12" s="36" customFormat="1" ht="11.25" x14ac:dyDescent="0.2">
      <c r="A5719" s="46" t="s">
        <v>2916</v>
      </c>
      <c r="B5719" s="46" t="s">
        <v>54425</v>
      </c>
      <c r="C5719" s="58" t="str">
        <f>"03449416"</f>
        <v>03449416</v>
      </c>
      <c r="D5719" s="58" t="str">
        <f>""</f>
        <v/>
      </c>
      <c r="E5719" s="46" t="s">
        <v>2918</v>
      </c>
      <c r="F5719" s="46" t="s">
        <v>18158</v>
      </c>
      <c r="G5719" s="46" t="s">
        <v>50593</v>
      </c>
      <c r="H5719" s="48" t="s">
        <v>56716</v>
      </c>
      <c r="I5719" s="48" t="s">
        <v>50564</v>
      </c>
      <c r="J5719" s="48"/>
      <c r="K5719" s="50"/>
      <c r="L5719" s="48"/>
    </row>
    <row r="5720" spans="1:12" s="36" customFormat="1" ht="11.25" x14ac:dyDescent="0.2">
      <c r="A5720" s="46" t="s">
        <v>9772</v>
      </c>
      <c r="B5720" s="46" t="s">
        <v>54426</v>
      </c>
      <c r="C5720" s="58" t="str">
        <f>"15310132"</f>
        <v>15310132</v>
      </c>
      <c r="D5720" s="58" t="str">
        <f>""</f>
        <v/>
      </c>
      <c r="E5720" s="46" t="s">
        <v>9774</v>
      </c>
      <c r="F5720" s="46" t="s">
        <v>17759</v>
      </c>
      <c r="G5720" s="46" t="s">
        <v>50584</v>
      </c>
      <c r="H5720" s="48" t="s">
        <v>56716</v>
      </c>
      <c r="I5720" s="48" t="s">
        <v>50564</v>
      </c>
      <c r="J5720" s="48"/>
      <c r="K5720" s="50"/>
      <c r="L5720" s="48"/>
    </row>
    <row r="5721" spans="1:12" s="36" customFormat="1" ht="11.25" x14ac:dyDescent="0.2">
      <c r="A5721" s="45" t="s">
        <v>40561</v>
      </c>
      <c r="B5721" s="45" t="s">
        <v>40563</v>
      </c>
      <c r="C5721" s="51" t="s">
        <v>40564</v>
      </c>
      <c r="D5721" s="51"/>
      <c r="E5721" s="45" t="s">
        <v>40565</v>
      </c>
      <c r="F5721" s="45" t="s">
        <v>17759</v>
      </c>
      <c r="G5721" s="45" t="s">
        <v>50584</v>
      </c>
      <c r="H5721" s="56"/>
      <c r="I5721" s="56" t="s">
        <v>50564</v>
      </c>
      <c r="J5721" s="56"/>
      <c r="K5721" s="50"/>
      <c r="L5721" s="56" t="s">
        <v>56716</v>
      </c>
    </row>
    <row r="5722" spans="1:12" s="36" customFormat="1" ht="11.25" x14ac:dyDescent="0.2">
      <c r="A5722" s="45" t="s">
        <v>56627</v>
      </c>
      <c r="B5722" s="45" t="s">
        <v>56627</v>
      </c>
      <c r="C5722" s="51"/>
      <c r="D5722" s="51" t="s">
        <v>56628</v>
      </c>
      <c r="E5722" s="45" t="s">
        <v>56629</v>
      </c>
      <c r="F5722" s="45" t="s">
        <v>46383</v>
      </c>
      <c r="G5722" s="45" t="s">
        <v>50632</v>
      </c>
      <c r="H5722" s="56"/>
      <c r="I5722" s="56" t="s">
        <v>50564</v>
      </c>
      <c r="J5722" s="56"/>
      <c r="K5722" s="50"/>
      <c r="L5722" s="56" t="s">
        <v>56716</v>
      </c>
    </row>
    <row r="5723" spans="1:12" s="36" customFormat="1" ht="11.25" x14ac:dyDescent="0.2">
      <c r="A5723" s="45" t="s">
        <v>40567</v>
      </c>
      <c r="B5723" s="45" t="s">
        <v>40569</v>
      </c>
      <c r="C5723" s="51" t="s">
        <v>40570</v>
      </c>
      <c r="D5723" s="51"/>
      <c r="E5723" s="45" t="s">
        <v>39416</v>
      </c>
      <c r="F5723" s="45" t="s">
        <v>17967</v>
      </c>
      <c r="G5723" s="45" t="s">
        <v>50611</v>
      </c>
      <c r="H5723" s="56"/>
      <c r="I5723" s="56" t="s">
        <v>50564</v>
      </c>
      <c r="J5723" s="56"/>
      <c r="K5723" s="50"/>
      <c r="L5723" s="56" t="s">
        <v>56716</v>
      </c>
    </row>
    <row r="5724" spans="1:12" s="36" customFormat="1" ht="11.25" x14ac:dyDescent="0.2">
      <c r="A5724" s="46" t="s">
        <v>12267</v>
      </c>
      <c r="B5724" s="46" t="s">
        <v>54427</v>
      </c>
      <c r="C5724" s="58" t="str">
        <f>"18980678"</f>
        <v>18980678</v>
      </c>
      <c r="D5724" s="58" t="str">
        <f>"16894898"</f>
        <v>16894898</v>
      </c>
      <c r="E5724" s="46" t="s">
        <v>1462</v>
      </c>
      <c r="F5724" s="46" t="s">
        <v>17967</v>
      </c>
      <c r="G5724" s="46" t="s">
        <v>50612</v>
      </c>
      <c r="H5724" s="48" t="s">
        <v>56716</v>
      </c>
      <c r="I5724" s="48" t="s">
        <v>50564</v>
      </c>
      <c r="J5724" s="48"/>
      <c r="K5724" s="50"/>
      <c r="L5724" s="48"/>
    </row>
    <row r="5725" spans="1:12" s="36" customFormat="1" ht="11.25" x14ac:dyDescent="0.2">
      <c r="A5725" s="45" t="s">
        <v>40573</v>
      </c>
      <c r="B5725" s="45" t="s">
        <v>40575</v>
      </c>
      <c r="C5725" s="51" t="s">
        <v>40576</v>
      </c>
      <c r="D5725" s="51"/>
      <c r="E5725" s="45" t="s">
        <v>39416</v>
      </c>
      <c r="F5725" s="45" t="s">
        <v>17967</v>
      </c>
      <c r="G5725" s="45" t="s">
        <v>50611</v>
      </c>
      <c r="H5725" s="56"/>
      <c r="I5725" s="56" t="s">
        <v>50564</v>
      </c>
      <c r="J5725" s="56"/>
      <c r="K5725" s="50"/>
      <c r="L5725" s="56" t="s">
        <v>56716</v>
      </c>
    </row>
    <row r="5726" spans="1:12" s="36" customFormat="1" ht="11.25" x14ac:dyDescent="0.2">
      <c r="A5726" s="46" t="s">
        <v>5458</v>
      </c>
      <c r="B5726" s="46" t="s">
        <v>54428</v>
      </c>
      <c r="C5726" s="58" t="str">
        <f>"09608931"</f>
        <v>09608931</v>
      </c>
      <c r="D5726" s="58" t="str">
        <f>"14735636"</f>
        <v>14735636</v>
      </c>
      <c r="E5726" s="46" t="s">
        <v>28</v>
      </c>
      <c r="F5726" s="46" t="s">
        <v>50646</v>
      </c>
      <c r="G5726" s="46" t="s">
        <v>50584</v>
      </c>
      <c r="H5726" s="48" t="s">
        <v>56716</v>
      </c>
      <c r="I5726" s="48" t="s">
        <v>50564</v>
      </c>
      <c r="J5726" s="48" t="s">
        <v>56716</v>
      </c>
      <c r="K5726" s="50" t="s">
        <v>56716</v>
      </c>
      <c r="L5726" s="48" t="s">
        <v>56716</v>
      </c>
    </row>
    <row r="5727" spans="1:12" s="36" customFormat="1" ht="11.25" x14ac:dyDescent="0.2">
      <c r="A5727" s="46" t="s">
        <v>14682</v>
      </c>
      <c r="B5727" s="46" t="s">
        <v>54429</v>
      </c>
      <c r="C5727" s="58" t="str">
        <f>"13060945"</f>
        <v>13060945</v>
      </c>
      <c r="D5727" s="58" t="str">
        <f>""</f>
        <v/>
      </c>
      <c r="E5727" s="46" t="s">
        <v>14684</v>
      </c>
      <c r="F5727" s="46" t="s">
        <v>18396</v>
      </c>
      <c r="G5727" s="46" t="s">
        <v>50638</v>
      </c>
      <c r="H5727" s="48" t="s">
        <v>56716</v>
      </c>
      <c r="I5727" s="48" t="s">
        <v>50564</v>
      </c>
      <c r="J5727" s="48"/>
      <c r="K5727" s="50"/>
      <c r="L5727" s="48"/>
    </row>
    <row r="5728" spans="1:12" s="36" customFormat="1" ht="11.25" x14ac:dyDescent="0.2">
      <c r="A5728" s="46" t="s">
        <v>13412</v>
      </c>
      <c r="B5728" s="46" t="s">
        <v>54430</v>
      </c>
      <c r="C5728" s="58" t="str">
        <f>"18655041"</f>
        <v>18655041</v>
      </c>
      <c r="D5728" s="58" t="str">
        <f>"18655076"</f>
        <v>18655076</v>
      </c>
      <c r="E5728" s="46" t="s">
        <v>55904</v>
      </c>
      <c r="F5728" s="46" t="s">
        <v>18288</v>
      </c>
      <c r="G5728" s="46" t="s">
        <v>50584</v>
      </c>
      <c r="H5728" s="48" t="s">
        <v>56716</v>
      </c>
      <c r="I5728" s="48" t="s">
        <v>50564</v>
      </c>
      <c r="J5728" s="48" t="s">
        <v>56716</v>
      </c>
      <c r="K5728" s="50" t="s">
        <v>56716</v>
      </c>
      <c r="L5728" s="48"/>
    </row>
    <row r="5729" spans="1:12" s="36" customFormat="1" ht="11.25" x14ac:dyDescent="0.2">
      <c r="A5729" s="45" t="s">
        <v>40589</v>
      </c>
      <c r="B5729" s="45" t="s">
        <v>40591</v>
      </c>
      <c r="C5729" s="51" t="s">
        <v>40593</v>
      </c>
      <c r="D5729" s="51" t="s">
        <v>40592</v>
      </c>
      <c r="E5729" s="45" t="s">
        <v>40594</v>
      </c>
      <c r="F5729" s="45" t="s">
        <v>18058</v>
      </c>
      <c r="G5729" s="45" t="s">
        <v>50584</v>
      </c>
      <c r="H5729" s="56"/>
      <c r="I5729" s="56" t="s">
        <v>50564</v>
      </c>
      <c r="J5729" s="56"/>
      <c r="K5729" s="50"/>
      <c r="L5729" s="56" t="s">
        <v>56716</v>
      </c>
    </row>
    <row r="5730" spans="1:12" s="36" customFormat="1" ht="11.25" x14ac:dyDescent="0.2">
      <c r="A5730" s="45" t="s">
        <v>40596</v>
      </c>
      <c r="B5730" s="45" t="s">
        <v>40598</v>
      </c>
      <c r="C5730" s="51" t="s">
        <v>40601</v>
      </c>
      <c r="D5730" s="51" t="s">
        <v>40600</v>
      </c>
      <c r="E5730" s="45" t="s">
        <v>40602</v>
      </c>
      <c r="F5730" s="45" t="s">
        <v>17759</v>
      </c>
      <c r="G5730" s="45" t="s">
        <v>50584</v>
      </c>
      <c r="H5730" s="56"/>
      <c r="I5730" s="56" t="s">
        <v>50564</v>
      </c>
      <c r="J5730" s="56"/>
      <c r="K5730" s="50"/>
      <c r="L5730" s="56" t="s">
        <v>56716</v>
      </c>
    </row>
    <row r="5731" spans="1:12" s="36" customFormat="1" ht="11.25" x14ac:dyDescent="0.2">
      <c r="A5731" s="45" t="s">
        <v>40604</v>
      </c>
      <c r="B5731" s="45" t="s">
        <v>40606</v>
      </c>
      <c r="C5731" s="51" t="s">
        <v>40608</v>
      </c>
      <c r="D5731" s="51" t="s">
        <v>40607</v>
      </c>
      <c r="E5731" s="45" t="s">
        <v>25444</v>
      </c>
      <c r="F5731" s="45" t="s">
        <v>50646</v>
      </c>
      <c r="G5731" s="45" t="s">
        <v>50584</v>
      </c>
      <c r="H5731" s="56"/>
      <c r="I5731" s="56" t="s">
        <v>50564</v>
      </c>
      <c r="J5731" s="56"/>
      <c r="K5731" s="50"/>
      <c r="L5731" s="56" t="s">
        <v>56716</v>
      </c>
    </row>
    <row r="5732" spans="1:12" s="36" customFormat="1" ht="11.25" x14ac:dyDescent="0.2">
      <c r="A5732" s="46" t="s">
        <v>7601</v>
      </c>
      <c r="B5732" s="46" t="s">
        <v>7601</v>
      </c>
      <c r="C5732" s="58" t="str">
        <f>"10723714"</f>
        <v>10723714</v>
      </c>
      <c r="D5732" s="58" t="str">
        <f>"15300374"</f>
        <v>15300374</v>
      </c>
      <c r="E5732" s="46" t="s">
        <v>28</v>
      </c>
      <c r="F5732" s="46" t="s">
        <v>17759</v>
      </c>
      <c r="G5732" s="46" t="s">
        <v>50584</v>
      </c>
      <c r="H5732" s="48" t="s">
        <v>56716</v>
      </c>
      <c r="I5732" s="48" t="s">
        <v>50564</v>
      </c>
      <c r="J5732" s="48"/>
      <c r="K5732" s="50" t="s">
        <v>56716</v>
      </c>
      <c r="L5732" s="48" t="s">
        <v>56716</v>
      </c>
    </row>
    <row r="5733" spans="1:12" s="36" customFormat="1" ht="11.25" x14ac:dyDescent="0.2">
      <c r="A5733" s="46" t="s">
        <v>12790</v>
      </c>
      <c r="B5733" s="46" t="s">
        <v>54431</v>
      </c>
      <c r="C5733" s="58" t="str">
        <f>"17552966"</f>
        <v>17552966</v>
      </c>
      <c r="D5733" s="58" t="str">
        <f>"18780199"</f>
        <v>18780199</v>
      </c>
      <c r="E5733" s="46" t="s">
        <v>155</v>
      </c>
      <c r="F5733" s="46" t="s">
        <v>50646</v>
      </c>
      <c r="G5733" s="46" t="s">
        <v>50584</v>
      </c>
      <c r="H5733" s="48" t="s">
        <v>56716</v>
      </c>
      <c r="I5733" s="48" t="s">
        <v>50564</v>
      </c>
      <c r="J5733" s="48" t="s">
        <v>56716</v>
      </c>
      <c r="K5733" s="50"/>
      <c r="L5733" s="48"/>
    </row>
    <row r="5734" spans="1:12" s="36" customFormat="1" ht="11.25" x14ac:dyDescent="0.2">
      <c r="A5734" s="46" t="s">
        <v>13178</v>
      </c>
      <c r="B5734" s="46" t="s">
        <v>54432</v>
      </c>
      <c r="C5734" s="58" t="str">
        <f>"17523281"</f>
        <v>17523281</v>
      </c>
      <c r="D5734" s="58" t="str">
        <f>"17523273"</f>
        <v>17523273</v>
      </c>
      <c r="E5734" s="46" t="s">
        <v>689</v>
      </c>
      <c r="F5734" s="46" t="s">
        <v>50646</v>
      </c>
      <c r="G5734" s="46" t="s">
        <v>50584</v>
      </c>
      <c r="H5734" s="48" t="s">
        <v>56716</v>
      </c>
      <c r="I5734" s="48" t="s">
        <v>50564</v>
      </c>
      <c r="J5734" s="48" t="s">
        <v>56716</v>
      </c>
      <c r="K5734" s="50"/>
      <c r="L5734" s="48"/>
    </row>
    <row r="5735" spans="1:12" s="36" customFormat="1" ht="11.25" x14ac:dyDescent="0.2">
      <c r="A5735" s="46" t="s">
        <v>12699</v>
      </c>
      <c r="B5735" s="46" t="s">
        <v>54433</v>
      </c>
      <c r="C5735" s="58" t="str">
        <f>"1756834X"</f>
        <v>1756834X</v>
      </c>
      <c r="D5735" s="58" t="str">
        <f>""</f>
        <v/>
      </c>
      <c r="E5735" s="46" t="s">
        <v>12701</v>
      </c>
      <c r="F5735" s="46" t="s">
        <v>50646</v>
      </c>
      <c r="G5735" s="46" t="s">
        <v>50584</v>
      </c>
      <c r="H5735" s="48" t="s">
        <v>56716</v>
      </c>
      <c r="I5735" s="48" t="s">
        <v>50564</v>
      </c>
      <c r="J5735" s="48"/>
      <c r="K5735" s="50"/>
      <c r="L5735" s="48"/>
    </row>
    <row r="5736" spans="1:12" s="36" customFormat="1" ht="11.25" x14ac:dyDescent="0.2">
      <c r="A5736" s="45" t="s">
        <v>40621</v>
      </c>
      <c r="B5736" s="45" t="s">
        <v>40623</v>
      </c>
      <c r="C5736" s="51" t="s">
        <v>40625</v>
      </c>
      <c r="D5736" s="51"/>
      <c r="E5736" s="45" t="s">
        <v>40626</v>
      </c>
      <c r="F5736" s="45" t="s">
        <v>50646</v>
      </c>
      <c r="G5736" s="45" t="s">
        <v>50584</v>
      </c>
      <c r="H5736" s="56"/>
      <c r="I5736" s="56" t="s">
        <v>50564</v>
      </c>
      <c r="J5736" s="56"/>
      <c r="K5736" s="50"/>
      <c r="L5736" s="56" t="s">
        <v>56716</v>
      </c>
    </row>
    <row r="5737" spans="1:12" s="36" customFormat="1" ht="11.25" x14ac:dyDescent="0.2">
      <c r="A5737" s="46" t="s">
        <v>16326</v>
      </c>
      <c r="B5737" s="46" t="s">
        <v>54434</v>
      </c>
      <c r="C5737" s="58" t="str">
        <f>"20367457"</f>
        <v>20367457</v>
      </c>
      <c r="D5737" s="58" t="str">
        <f>"20367465"</f>
        <v>20367465</v>
      </c>
      <c r="E5737" s="46" t="s">
        <v>1949</v>
      </c>
      <c r="F5737" s="46" t="s">
        <v>17991</v>
      </c>
      <c r="G5737" s="46" t="s">
        <v>50584</v>
      </c>
      <c r="H5737" s="48" t="s">
        <v>56716</v>
      </c>
      <c r="I5737" s="48" t="s">
        <v>50564</v>
      </c>
      <c r="J5737" s="48"/>
      <c r="K5737" s="50"/>
      <c r="L5737" s="48"/>
    </row>
    <row r="5738" spans="1:12" s="36" customFormat="1" ht="11.25" x14ac:dyDescent="0.2">
      <c r="A5738" s="46" t="s">
        <v>7893</v>
      </c>
      <c r="B5738" s="46" t="s">
        <v>54435</v>
      </c>
      <c r="C5738" s="58" t="str">
        <f>"14655659"</f>
        <v>14655659</v>
      </c>
      <c r="D5738" s="58" t="str">
        <f>""</f>
        <v/>
      </c>
      <c r="E5738" s="46" t="s">
        <v>7895</v>
      </c>
      <c r="F5738" s="46" t="s">
        <v>50646</v>
      </c>
      <c r="G5738" s="46" t="s">
        <v>50584</v>
      </c>
      <c r="H5738" s="48" t="s">
        <v>56716</v>
      </c>
      <c r="I5738" s="48" t="s">
        <v>50564</v>
      </c>
      <c r="J5738" s="48"/>
      <c r="K5738" s="50"/>
      <c r="L5738" s="48"/>
    </row>
    <row r="5739" spans="1:12" s="36" customFormat="1" ht="11.25" x14ac:dyDescent="0.2">
      <c r="A5739" s="46" t="s">
        <v>17382</v>
      </c>
      <c r="B5739" s="46" t="s">
        <v>17382</v>
      </c>
      <c r="C5739" s="58" t="str">
        <f>"22145400"</f>
        <v>22145400</v>
      </c>
      <c r="D5739" s="58" t="str">
        <f>"22145400"</f>
        <v>22145400</v>
      </c>
      <c r="E5739" s="46" t="s">
        <v>91</v>
      </c>
      <c r="F5739" s="46" t="s">
        <v>18001</v>
      </c>
      <c r="G5739" s="46" t="s">
        <v>50584</v>
      </c>
      <c r="H5739" s="48" t="s">
        <v>56716</v>
      </c>
      <c r="I5739" s="48" t="s">
        <v>50564</v>
      </c>
      <c r="J5739" s="48" t="s">
        <v>56716</v>
      </c>
      <c r="K5739" s="50"/>
      <c r="L5739" s="48"/>
    </row>
    <row r="5740" spans="1:12" s="36" customFormat="1" ht="11.25" x14ac:dyDescent="0.2">
      <c r="A5740" s="46" t="s">
        <v>4165</v>
      </c>
      <c r="B5740" s="46" t="s">
        <v>54436</v>
      </c>
      <c r="C5740" s="58" t="str">
        <f>"08857490"</f>
        <v>08857490</v>
      </c>
      <c r="D5740" s="58" t="str">
        <f>"15737365"</f>
        <v>15737365</v>
      </c>
      <c r="E5740" s="46" t="s">
        <v>56305</v>
      </c>
      <c r="F5740" s="46" t="s">
        <v>17759</v>
      </c>
      <c r="G5740" s="46" t="s">
        <v>50584</v>
      </c>
      <c r="H5740" s="48" t="s">
        <v>56716</v>
      </c>
      <c r="I5740" s="48" t="s">
        <v>50564</v>
      </c>
      <c r="J5740" s="48"/>
      <c r="K5740" s="50" t="s">
        <v>56716</v>
      </c>
      <c r="L5740" s="48" t="s">
        <v>56716</v>
      </c>
    </row>
    <row r="5741" spans="1:12" s="36" customFormat="1" ht="11.25" x14ac:dyDescent="0.2">
      <c r="A5741" s="46" t="s">
        <v>8068</v>
      </c>
      <c r="B5741" s="46" t="s">
        <v>54437</v>
      </c>
      <c r="C5741" s="58" t="str">
        <f>"10967176"</f>
        <v>10967176</v>
      </c>
      <c r="D5741" s="58" t="str">
        <f>"10967184"</f>
        <v>10967184</v>
      </c>
      <c r="E5741" s="46" t="s">
        <v>60</v>
      </c>
      <c r="F5741" s="46" t="s">
        <v>17759</v>
      </c>
      <c r="G5741" s="46" t="s">
        <v>50584</v>
      </c>
      <c r="H5741" s="48" t="s">
        <v>56716</v>
      </c>
      <c r="I5741" s="48" t="s">
        <v>50564</v>
      </c>
      <c r="J5741" s="48" t="s">
        <v>56716</v>
      </c>
      <c r="K5741" s="50"/>
      <c r="L5741" s="48" t="s">
        <v>56716</v>
      </c>
    </row>
    <row r="5742" spans="1:12" s="36" customFormat="1" ht="11.25" x14ac:dyDescent="0.2">
      <c r="A5742" s="46" t="s">
        <v>56216</v>
      </c>
      <c r="B5742" s="46" t="s">
        <v>56217</v>
      </c>
      <c r="C5742" s="58" t="str">
        <f>""</f>
        <v/>
      </c>
      <c r="D5742" s="58" t="str">
        <f>"22140301"</f>
        <v>22140301</v>
      </c>
      <c r="E5742" s="46" t="s">
        <v>91</v>
      </c>
      <c r="F5742" s="46" t="s">
        <v>18001</v>
      </c>
      <c r="G5742" s="46" t="s">
        <v>50584</v>
      </c>
      <c r="H5742" s="48" t="s">
        <v>56716</v>
      </c>
      <c r="I5742" s="48" t="s">
        <v>50564</v>
      </c>
      <c r="J5742" s="48" t="s">
        <v>56716</v>
      </c>
      <c r="K5742" s="50"/>
      <c r="L5742" s="48"/>
    </row>
    <row r="5743" spans="1:12" s="36" customFormat="1" ht="11.25" x14ac:dyDescent="0.2">
      <c r="A5743" s="46" t="s">
        <v>9907</v>
      </c>
      <c r="B5743" s="46" t="s">
        <v>54438</v>
      </c>
      <c r="C5743" s="58" t="str">
        <f>"15404196"</f>
        <v>15404196</v>
      </c>
      <c r="D5743" s="58" t="str">
        <f>"15578518"</f>
        <v>15578518</v>
      </c>
      <c r="E5743" s="46" t="s">
        <v>4337</v>
      </c>
      <c r="F5743" s="46" t="s">
        <v>17759</v>
      </c>
      <c r="G5743" s="46" t="s">
        <v>50584</v>
      </c>
      <c r="H5743" s="48" t="s">
        <v>56716</v>
      </c>
      <c r="I5743" s="48" t="s">
        <v>50564</v>
      </c>
      <c r="J5743" s="48" t="s">
        <v>56716</v>
      </c>
      <c r="K5743" s="50"/>
      <c r="L5743" s="48" t="s">
        <v>56716</v>
      </c>
    </row>
    <row r="5744" spans="1:12" s="36" customFormat="1" ht="11.25" x14ac:dyDescent="0.2">
      <c r="A5744" s="46" t="s">
        <v>17587</v>
      </c>
      <c r="B5744" s="46" t="s">
        <v>54439</v>
      </c>
      <c r="C5744" s="58" t="str">
        <f>""</f>
        <v/>
      </c>
      <c r="D5744" s="58" t="str">
        <f>"2194735X"</f>
        <v>2194735X</v>
      </c>
      <c r="E5744" s="46" t="s">
        <v>412</v>
      </c>
      <c r="F5744" s="46" t="s">
        <v>18158</v>
      </c>
      <c r="G5744" s="46" t="s">
        <v>50584</v>
      </c>
      <c r="H5744" s="48" t="s">
        <v>56716</v>
      </c>
      <c r="I5744" s="48" t="s">
        <v>50564</v>
      </c>
      <c r="J5744" s="48" t="s">
        <v>56716</v>
      </c>
      <c r="K5744" s="50"/>
      <c r="L5744" s="48"/>
    </row>
    <row r="5745" spans="1:12" s="36" customFormat="1" ht="11.25" x14ac:dyDescent="0.2">
      <c r="A5745" s="46" t="s">
        <v>2942</v>
      </c>
      <c r="B5745" s="46" t="s">
        <v>54440</v>
      </c>
      <c r="C5745" s="58" t="str">
        <f>"00260495"</f>
        <v>00260495</v>
      </c>
      <c r="D5745" s="58" t="str">
        <f>"15328600"</f>
        <v>15328600</v>
      </c>
      <c r="E5745" s="46" t="s">
        <v>303</v>
      </c>
      <c r="F5745" s="46" t="s">
        <v>17759</v>
      </c>
      <c r="G5745" s="46" t="s">
        <v>50584</v>
      </c>
      <c r="H5745" s="48" t="s">
        <v>56716</v>
      </c>
      <c r="I5745" s="48" t="s">
        <v>50564</v>
      </c>
      <c r="J5745" s="48" t="s">
        <v>56716</v>
      </c>
      <c r="K5745" s="50" t="s">
        <v>56716</v>
      </c>
      <c r="L5745" s="48" t="s">
        <v>56716</v>
      </c>
    </row>
    <row r="5746" spans="1:12" s="36" customFormat="1" ht="11.25" x14ac:dyDescent="0.2">
      <c r="A5746" s="46" t="s">
        <v>16706</v>
      </c>
      <c r="B5746" s="46" t="s">
        <v>16706</v>
      </c>
      <c r="C5746" s="58" t="str">
        <f>""</f>
        <v/>
      </c>
      <c r="D5746" s="58" t="str">
        <f>"22181989"</f>
        <v>22181989</v>
      </c>
      <c r="E5746" s="46" t="s">
        <v>4152</v>
      </c>
      <c r="F5746" s="46" t="s">
        <v>18123</v>
      </c>
      <c r="G5746" s="46" t="s">
        <v>50584</v>
      </c>
      <c r="H5746" s="48" t="s">
        <v>56716</v>
      </c>
      <c r="I5746" s="48" t="s">
        <v>50564</v>
      </c>
      <c r="J5746" s="48"/>
      <c r="K5746" s="50"/>
      <c r="L5746" s="48"/>
    </row>
    <row r="5747" spans="1:12" s="36" customFormat="1" ht="11.25" x14ac:dyDescent="0.2">
      <c r="A5747" s="46" t="s">
        <v>10696</v>
      </c>
      <c r="B5747" s="46" t="s">
        <v>10696</v>
      </c>
      <c r="C5747" s="58" t="str">
        <f>"15733882"</f>
        <v>15733882</v>
      </c>
      <c r="D5747" s="58" t="str">
        <f>"15733890"</f>
        <v>15733890</v>
      </c>
      <c r="E5747" s="46" t="s">
        <v>56305</v>
      </c>
      <c r="F5747" s="46" t="s">
        <v>17759</v>
      </c>
      <c r="G5747" s="46" t="s">
        <v>50584</v>
      </c>
      <c r="H5747" s="48" t="s">
        <v>56716</v>
      </c>
      <c r="I5747" s="48" t="s">
        <v>50564</v>
      </c>
      <c r="J5747" s="48"/>
      <c r="K5747" s="50" t="s">
        <v>56716</v>
      </c>
      <c r="L5747" s="48"/>
    </row>
    <row r="5748" spans="1:12" s="36" customFormat="1" ht="11.25" x14ac:dyDescent="0.2">
      <c r="A5748" s="45" t="s">
        <v>40645</v>
      </c>
      <c r="B5748" s="45" t="s">
        <v>40647</v>
      </c>
      <c r="C5748" s="51" t="s">
        <v>40650</v>
      </c>
      <c r="D5748" s="51" t="s">
        <v>40649</v>
      </c>
      <c r="E5748" s="45" t="s">
        <v>40651</v>
      </c>
      <c r="F5748" s="45" t="s">
        <v>50646</v>
      </c>
      <c r="G5748" s="45" t="s">
        <v>50584</v>
      </c>
      <c r="H5748" s="56"/>
      <c r="I5748" s="56" t="s">
        <v>50564</v>
      </c>
      <c r="J5748" s="56"/>
      <c r="K5748" s="50"/>
      <c r="L5748" s="56" t="s">
        <v>56716</v>
      </c>
    </row>
    <row r="5749" spans="1:12" s="36" customFormat="1" ht="11.25" x14ac:dyDescent="0.2">
      <c r="A5749" s="46" t="s">
        <v>14014</v>
      </c>
      <c r="B5749" s="46" t="s">
        <v>14014</v>
      </c>
      <c r="C5749" s="58" t="str">
        <f>"17565901"</f>
        <v>17565901</v>
      </c>
      <c r="D5749" s="58" t="str">
        <f>"1756591X"</f>
        <v>1756591X</v>
      </c>
      <c r="E5749" s="46" t="s">
        <v>6914</v>
      </c>
      <c r="F5749" s="46" t="s">
        <v>50646</v>
      </c>
      <c r="G5749" s="46" t="s">
        <v>50584</v>
      </c>
      <c r="H5749" s="48" t="s">
        <v>56716</v>
      </c>
      <c r="I5749" s="48" t="s">
        <v>50564</v>
      </c>
      <c r="J5749" s="48" t="s">
        <v>56716</v>
      </c>
      <c r="K5749" s="50"/>
      <c r="L5749" s="48" t="s">
        <v>56716</v>
      </c>
    </row>
    <row r="5750" spans="1:12" s="36" customFormat="1" ht="11.25" x14ac:dyDescent="0.2">
      <c r="A5750" s="45" t="s">
        <v>40656</v>
      </c>
      <c r="B5750" s="45" t="s">
        <v>40658</v>
      </c>
      <c r="C5750" s="51" t="s">
        <v>40661</v>
      </c>
      <c r="D5750" s="51" t="s">
        <v>40660</v>
      </c>
      <c r="E5750" s="45" t="s">
        <v>40662</v>
      </c>
      <c r="F5750" s="45" t="s">
        <v>17759</v>
      </c>
      <c r="G5750" s="45" t="s">
        <v>50584</v>
      </c>
      <c r="H5750" s="56"/>
      <c r="I5750" s="56" t="s">
        <v>50564</v>
      </c>
      <c r="J5750" s="56"/>
      <c r="K5750" s="50"/>
      <c r="L5750" s="56" t="s">
        <v>56716</v>
      </c>
    </row>
    <row r="5751" spans="1:12" s="36" customFormat="1" ht="11.25" x14ac:dyDescent="0.2">
      <c r="A5751" s="46" t="s">
        <v>8376</v>
      </c>
      <c r="B5751" s="46" t="s">
        <v>8376</v>
      </c>
      <c r="C5751" s="58" t="str">
        <f>"10462023"</f>
        <v>10462023</v>
      </c>
      <c r="D5751" s="58" t="str">
        <f>"10959130"</f>
        <v>10959130</v>
      </c>
      <c r="E5751" s="46" t="s">
        <v>60</v>
      </c>
      <c r="F5751" s="46" t="s">
        <v>17759</v>
      </c>
      <c r="G5751" s="46" t="s">
        <v>50584</v>
      </c>
      <c r="H5751" s="48" t="s">
        <v>56716</v>
      </c>
      <c r="I5751" s="48" t="s">
        <v>50564</v>
      </c>
      <c r="J5751" s="48" t="s">
        <v>56716</v>
      </c>
      <c r="K5751" s="50" t="s">
        <v>56716</v>
      </c>
      <c r="L5751" s="48" t="s">
        <v>56716</v>
      </c>
    </row>
    <row r="5752" spans="1:12" s="36" customFormat="1" ht="11.25" x14ac:dyDescent="0.2">
      <c r="A5752" s="46" t="s">
        <v>13100</v>
      </c>
      <c r="B5752" s="46" t="s">
        <v>54441</v>
      </c>
      <c r="C5752" s="58" t="str">
        <f>"19406061"</f>
        <v>19406061</v>
      </c>
      <c r="D5752" s="58" t="str">
        <f>"1940607X"</f>
        <v>1940607X</v>
      </c>
      <c r="E5752" s="46" t="s">
        <v>40314</v>
      </c>
      <c r="F5752" s="46" t="s">
        <v>17759</v>
      </c>
      <c r="G5752" s="46" t="s">
        <v>50584</v>
      </c>
      <c r="H5752" s="48" t="s">
        <v>56716</v>
      </c>
      <c r="I5752" s="48" t="s">
        <v>50565</v>
      </c>
      <c r="J5752" s="48" t="s">
        <v>56716</v>
      </c>
      <c r="K5752" s="50"/>
      <c r="L5752" s="48"/>
    </row>
    <row r="5753" spans="1:12" s="36" customFormat="1" ht="11.25" x14ac:dyDescent="0.2">
      <c r="A5753" s="45" t="s">
        <v>40667</v>
      </c>
      <c r="B5753" s="45" t="s">
        <v>40669</v>
      </c>
      <c r="C5753" s="51" t="s">
        <v>40670</v>
      </c>
      <c r="D5753" s="51"/>
      <c r="E5753" s="45" t="s">
        <v>601</v>
      </c>
      <c r="F5753" s="45" t="s">
        <v>17759</v>
      </c>
      <c r="G5753" s="45" t="s">
        <v>50584</v>
      </c>
      <c r="H5753" s="56"/>
      <c r="I5753" s="56" t="s">
        <v>50564</v>
      </c>
      <c r="J5753" s="56"/>
      <c r="K5753" s="50"/>
      <c r="L5753" s="56" t="s">
        <v>56716</v>
      </c>
    </row>
    <row r="5754" spans="1:12" s="36" customFormat="1" ht="11.25" x14ac:dyDescent="0.2">
      <c r="A5754" s="46" t="s">
        <v>2936</v>
      </c>
      <c r="B5754" s="46" t="s">
        <v>54442</v>
      </c>
      <c r="C5754" s="58" t="str">
        <f>"00766879"</f>
        <v>00766879</v>
      </c>
      <c r="D5754" s="58" t="str">
        <f>"15577988"</f>
        <v>15577988</v>
      </c>
      <c r="E5754" s="46" t="s">
        <v>60</v>
      </c>
      <c r="F5754" s="46" t="s">
        <v>17759</v>
      </c>
      <c r="G5754" s="46" t="s">
        <v>50584</v>
      </c>
      <c r="H5754" s="48" t="s">
        <v>56716</v>
      </c>
      <c r="I5754" s="48" t="s">
        <v>50565</v>
      </c>
      <c r="J5754" s="48" t="s">
        <v>56716</v>
      </c>
      <c r="K5754" s="50" t="s">
        <v>56716</v>
      </c>
      <c r="L5754" s="48" t="s">
        <v>56716</v>
      </c>
    </row>
    <row r="5755" spans="1:12" s="36" customFormat="1" ht="11.25" x14ac:dyDescent="0.2">
      <c r="A5755" s="46" t="s">
        <v>11691</v>
      </c>
      <c r="B5755" s="46" t="s">
        <v>54443</v>
      </c>
      <c r="C5755" s="58" t="str">
        <f>"10643745"</f>
        <v>10643745</v>
      </c>
      <c r="D5755" s="58" t="str">
        <f>""</f>
        <v/>
      </c>
      <c r="E5755" s="46" t="s">
        <v>40314</v>
      </c>
      <c r="F5755" s="46" t="s">
        <v>17759</v>
      </c>
      <c r="G5755" s="46" t="s">
        <v>50584</v>
      </c>
      <c r="H5755" s="48" t="s">
        <v>56716</v>
      </c>
      <c r="I5755" s="48" t="s">
        <v>50565</v>
      </c>
      <c r="J5755" s="48" t="s">
        <v>56716</v>
      </c>
      <c r="K5755" s="50"/>
      <c r="L5755" s="48" t="s">
        <v>56716</v>
      </c>
    </row>
    <row r="5756" spans="1:12" s="36" customFormat="1" ht="11.25" x14ac:dyDescent="0.2">
      <c r="A5756" s="46" t="s">
        <v>13103</v>
      </c>
      <c r="B5756" s="46" t="s">
        <v>54444</v>
      </c>
      <c r="C5756" s="58" t="str">
        <f>"15431894"</f>
        <v>15431894</v>
      </c>
      <c r="D5756" s="58" t="str">
        <f>"19406037"</f>
        <v>19406037</v>
      </c>
      <c r="E5756" s="46" t="s">
        <v>40314</v>
      </c>
      <c r="F5756" s="46" t="s">
        <v>17759</v>
      </c>
      <c r="G5756" s="46" t="s">
        <v>50584</v>
      </c>
      <c r="H5756" s="48" t="s">
        <v>56716</v>
      </c>
      <c r="I5756" s="48" t="s">
        <v>50565</v>
      </c>
      <c r="J5756" s="48" t="s">
        <v>56716</v>
      </c>
      <c r="K5756" s="50"/>
      <c r="L5756" s="48"/>
    </row>
    <row r="5757" spans="1:12" s="36" customFormat="1" ht="11.25" x14ac:dyDescent="0.2">
      <c r="A5757" s="46" t="s">
        <v>12962</v>
      </c>
      <c r="B5757" s="46" t="s">
        <v>54445</v>
      </c>
      <c r="C5757" s="58" t="str">
        <f>"15572153"</f>
        <v>15572153</v>
      </c>
      <c r="D5757" s="58" t="str">
        <f>"19406053"</f>
        <v>19406053</v>
      </c>
      <c r="E5757" s="46" t="s">
        <v>40314</v>
      </c>
      <c r="F5757" s="46" t="s">
        <v>17759</v>
      </c>
      <c r="G5757" s="46" t="s">
        <v>50584</v>
      </c>
      <c r="H5757" s="48" t="s">
        <v>56716</v>
      </c>
      <c r="I5757" s="48" t="s">
        <v>50565</v>
      </c>
      <c r="J5757" s="48" t="s">
        <v>56716</v>
      </c>
      <c r="K5757" s="50"/>
      <c r="L5757" s="48"/>
    </row>
    <row r="5758" spans="1:12" s="36" customFormat="1" ht="11.25" x14ac:dyDescent="0.2">
      <c r="A5758" s="45" t="s">
        <v>40681</v>
      </c>
      <c r="B5758" s="45" t="s">
        <v>40683</v>
      </c>
      <c r="C5758" s="51" t="s">
        <v>40684</v>
      </c>
      <c r="D5758" s="51"/>
      <c r="E5758" s="45" t="s">
        <v>18827</v>
      </c>
      <c r="F5758" s="45" t="s">
        <v>17759</v>
      </c>
      <c r="G5758" s="45" t="s">
        <v>50584</v>
      </c>
      <c r="H5758" s="56"/>
      <c r="I5758" s="56" t="s">
        <v>50564</v>
      </c>
      <c r="J5758" s="56"/>
      <c r="K5758" s="50"/>
      <c r="L5758" s="56" t="s">
        <v>56716</v>
      </c>
    </row>
    <row r="5759" spans="1:12" s="36" customFormat="1" ht="11.25" x14ac:dyDescent="0.2">
      <c r="A5759" s="45" t="s">
        <v>40686</v>
      </c>
      <c r="B5759" s="45" t="s">
        <v>40688</v>
      </c>
      <c r="C5759" s="51" t="s">
        <v>40690</v>
      </c>
      <c r="D5759" s="51"/>
      <c r="E5759" s="45" t="s">
        <v>40691</v>
      </c>
      <c r="F5759" s="45" t="s">
        <v>18158</v>
      </c>
      <c r="G5759" s="45" t="s">
        <v>50584</v>
      </c>
      <c r="H5759" s="56"/>
      <c r="I5759" s="56" t="s">
        <v>50564</v>
      </c>
      <c r="J5759" s="56"/>
      <c r="K5759" s="50"/>
      <c r="L5759" s="56" t="s">
        <v>56716</v>
      </c>
    </row>
    <row r="5760" spans="1:12" s="36" customFormat="1" ht="11.25" x14ac:dyDescent="0.2">
      <c r="A5760" s="46" t="s">
        <v>17644</v>
      </c>
      <c r="B5760" s="46" t="s">
        <v>17644</v>
      </c>
      <c r="C5760" s="58" t="str">
        <f>""</f>
        <v/>
      </c>
      <c r="D5760" s="58" t="str">
        <f>"22150161"</f>
        <v>22150161</v>
      </c>
      <c r="E5760" s="46" t="s">
        <v>91</v>
      </c>
      <c r="F5760" s="46" t="s">
        <v>18001</v>
      </c>
      <c r="G5760" s="46" t="s">
        <v>50584</v>
      </c>
      <c r="H5760" s="48" t="s">
        <v>56716</v>
      </c>
      <c r="I5760" s="48" t="s">
        <v>50564</v>
      </c>
      <c r="J5760" s="48" t="s">
        <v>56716</v>
      </c>
      <c r="K5760" s="50" t="s">
        <v>56716</v>
      </c>
      <c r="L5760" s="48"/>
    </row>
    <row r="5761" spans="1:12" s="36" customFormat="1" ht="11.25" x14ac:dyDescent="0.2">
      <c r="A5761" s="45" t="s">
        <v>40693</v>
      </c>
      <c r="B5761" s="45" t="s">
        <v>40695</v>
      </c>
      <c r="C5761" s="51" t="s">
        <v>40697</v>
      </c>
      <c r="D5761" s="51"/>
      <c r="E5761" s="45" t="s">
        <v>40698</v>
      </c>
      <c r="F5761" s="45" t="s">
        <v>17759</v>
      </c>
      <c r="G5761" s="45" t="s">
        <v>50584</v>
      </c>
      <c r="H5761" s="56"/>
      <c r="I5761" s="56" t="s">
        <v>50564</v>
      </c>
      <c r="J5761" s="56"/>
      <c r="K5761" s="50"/>
      <c r="L5761" s="56" t="s">
        <v>56716</v>
      </c>
    </row>
    <row r="5762" spans="1:12" s="36" customFormat="1" ht="11.25" x14ac:dyDescent="0.2">
      <c r="A5762" s="45" t="s">
        <v>40701</v>
      </c>
      <c r="B5762" s="45" t="s">
        <v>40703</v>
      </c>
      <c r="C5762" s="51" t="s">
        <v>40704</v>
      </c>
      <c r="D5762" s="51"/>
      <c r="E5762" s="45" t="s">
        <v>40705</v>
      </c>
      <c r="F5762" s="45" t="s">
        <v>17759</v>
      </c>
      <c r="G5762" s="45" t="s">
        <v>50584</v>
      </c>
      <c r="H5762" s="56"/>
      <c r="I5762" s="56" t="s">
        <v>50564</v>
      </c>
      <c r="J5762" s="56"/>
      <c r="K5762" s="50"/>
      <c r="L5762" s="56" t="s">
        <v>56716</v>
      </c>
    </row>
    <row r="5763" spans="1:12" s="36" customFormat="1" ht="11.25" x14ac:dyDescent="0.2">
      <c r="A5763" s="45" t="s">
        <v>40709</v>
      </c>
      <c r="B5763" s="45" t="s">
        <v>40711</v>
      </c>
      <c r="C5763" s="51" t="s">
        <v>40713</v>
      </c>
      <c r="D5763" s="51"/>
      <c r="E5763" s="45" t="s">
        <v>40714</v>
      </c>
      <c r="F5763" s="45" t="s">
        <v>17759</v>
      </c>
      <c r="G5763" s="45" t="s">
        <v>50584</v>
      </c>
      <c r="H5763" s="56"/>
      <c r="I5763" s="56" t="s">
        <v>50564</v>
      </c>
      <c r="J5763" s="56"/>
      <c r="K5763" s="50"/>
      <c r="L5763" s="56" t="s">
        <v>56716</v>
      </c>
    </row>
    <row r="5764" spans="1:12" s="36" customFormat="1" ht="11.25" x14ac:dyDescent="0.2">
      <c r="A5764" s="46" t="s">
        <v>11693</v>
      </c>
      <c r="B5764" s="46" t="s">
        <v>54446</v>
      </c>
      <c r="C5764" s="58" t="str">
        <f>""</f>
        <v/>
      </c>
      <c r="D5764" s="58" t="str">
        <f>"17500443"</f>
        <v>17500443</v>
      </c>
      <c r="E5764" s="46" t="s">
        <v>11695</v>
      </c>
      <c r="F5764" s="46" t="s">
        <v>50646</v>
      </c>
      <c r="G5764" s="46" t="s">
        <v>50584</v>
      </c>
      <c r="H5764" s="48" t="s">
        <v>56716</v>
      </c>
      <c r="I5764" s="48" t="s">
        <v>50564</v>
      </c>
      <c r="J5764" s="48"/>
      <c r="K5764" s="50"/>
      <c r="L5764" s="48"/>
    </row>
    <row r="5765" spans="1:12" s="36" customFormat="1" ht="11.25" x14ac:dyDescent="0.2">
      <c r="A5765" s="45" t="s">
        <v>40723</v>
      </c>
      <c r="B5765" s="45" t="s">
        <v>40725</v>
      </c>
      <c r="C5765" s="51" t="s">
        <v>40728</v>
      </c>
      <c r="D5765" s="51" t="s">
        <v>40727</v>
      </c>
      <c r="E5765" s="45" t="s">
        <v>40729</v>
      </c>
      <c r="F5765" s="45" t="s">
        <v>18242</v>
      </c>
      <c r="G5765" s="45" t="s">
        <v>50584</v>
      </c>
      <c r="H5765" s="56"/>
      <c r="I5765" s="56" t="s">
        <v>50564</v>
      </c>
      <c r="J5765" s="56"/>
      <c r="K5765" s="50"/>
      <c r="L5765" s="56" t="s">
        <v>56716</v>
      </c>
    </row>
    <row r="5766" spans="1:12" s="36" customFormat="1" ht="11.25" x14ac:dyDescent="0.2">
      <c r="A5766" s="46" t="s">
        <v>8210</v>
      </c>
      <c r="B5766" s="46" t="s">
        <v>54447</v>
      </c>
      <c r="C5766" s="58" t="str">
        <f>"12864579"</f>
        <v>12864579</v>
      </c>
      <c r="D5766" s="58" t="str">
        <f>"1769714X"</f>
        <v>1769714X</v>
      </c>
      <c r="E5766" s="46" t="s">
        <v>85</v>
      </c>
      <c r="F5766" s="46" t="s">
        <v>20359</v>
      </c>
      <c r="G5766" s="46" t="s">
        <v>50584</v>
      </c>
      <c r="H5766" s="48" t="s">
        <v>56716</v>
      </c>
      <c r="I5766" s="48" t="s">
        <v>50564</v>
      </c>
      <c r="J5766" s="48" t="s">
        <v>56716</v>
      </c>
      <c r="K5766" s="50" t="s">
        <v>56716</v>
      </c>
      <c r="L5766" s="48" t="s">
        <v>56716</v>
      </c>
    </row>
    <row r="5767" spans="1:12" s="36" customFormat="1" ht="11.25" x14ac:dyDescent="0.2">
      <c r="A5767" s="46" t="s">
        <v>13406</v>
      </c>
      <c r="B5767" s="46" t="s">
        <v>54448</v>
      </c>
      <c r="C5767" s="58" t="str">
        <f>"17517907"</f>
        <v>17517907</v>
      </c>
      <c r="D5767" s="58" t="str">
        <f>"17517915"</f>
        <v>17517915</v>
      </c>
      <c r="E5767" s="46" t="s">
        <v>751</v>
      </c>
      <c r="F5767" s="46" t="s">
        <v>50646</v>
      </c>
      <c r="G5767" s="46" t="s">
        <v>50584</v>
      </c>
      <c r="H5767" s="48" t="s">
        <v>56716</v>
      </c>
      <c r="I5767" s="48" t="s">
        <v>50564</v>
      </c>
      <c r="J5767" s="48"/>
      <c r="K5767" s="50" t="s">
        <v>56716</v>
      </c>
      <c r="L5767" s="48" t="s">
        <v>56716</v>
      </c>
    </row>
    <row r="5768" spans="1:12" s="36" customFormat="1" ht="11.25" x14ac:dyDescent="0.2">
      <c r="A5768" s="46" t="s">
        <v>9754</v>
      </c>
      <c r="B5768" s="46" t="s">
        <v>54449</v>
      </c>
      <c r="C5768" s="58" t="str">
        <f>""</f>
        <v/>
      </c>
      <c r="D5768" s="58" t="str">
        <f>"14752859"</f>
        <v>14752859</v>
      </c>
      <c r="E5768" s="46" t="s">
        <v>2299</v>
      </c>
      <c r="F5768" s="46" t="s">
        <v>50646</v>
      </c>
      <c r="G5768" s="46" t="s">
        <v>50584</v>
      </c>
      <c r="H5768" s="48" t="s">
        <v>56716</v>
      </c>
      <c r="I5768" s="48" t="s">
        <v>50564</v>
      </c>
      <c r="J5768" s="48"/>
      <c r="K5768" s="50" t="s">
        <v>56716</v>
      </c>
      <c r="L5768" s="48" t="s">
        <v>56716</v>
      </c>
    </row>
    <row r="5769" spans="1:12" s="36" customFormat="1" ht="11.25" x14ac:dyDescent="0.2">
      <c r="A5769" s="46" t="s">
        <v>6704</v>
      </c>
      <c r="B5769" s="46" t="s">
        <v>54450</v>
      </c>
      <c r="C5769" s="58" t="str">
        <f>"10766294"</f>
        <v>10766294</v>
      </c>
      <c r="D5769" s="58" t="str">
        <f>"19318448"</f>
        <v>19318448</v>
      </c>
      <c r="E5769" s="46" t="s">
        <v>4337</v>
      </c>
      <c r="F5769" s="46" t="s">
        <v>17759</v>
      </c>
      <c r="G5769" s="46" t="s">
        <v>50584</v>
      </c>
      <c r="H5769" s="48" t="s">
        <v>56716</v>
      </c>
      <c r="I5769" s="48" t="s">
        <v>50564</v>
      </c>
      <c r="J5769" s="48" t="s">
        <v>56716</v>
      </c>
      <c r="K5769" s="50"/>
      <c r="L5769" s="48" t="s">
        <v>56716</v>
      </c>
    </row>
    <row r="5770" spans="1:12" s="36" customFormat="1" ht="11.25" x14ac:dyDescent="0.2">
      <c r="A5770" s="45" t="s">
        <v>40750</v>
      </c>
      <c r="B5770" s="45" t="s">
        <v>40752</v>
      </c>
      <c r="C5770" s="51" t="s">
        <v>40754</v>
      </c>
      <c r="D5770" s="51" t="s">
        <v>40753</v>
      </c>
      <c r="E5770" s="45" t="s">
        <v>18727</v>
      </c>
      <c r="F5770" s="45" t="s">
        <v>17759</v>
      </c>
      <c r="G5770" s="45" t="s">
        <v>50584</v>
      </c>
      <c r="H5770" s="56"/>
      <c r="I5770" s="56" t="s">
        <v>50564</v>
      </c>
      <c r="J5770" s="56"/>
      <c r="K5770" s="50"/>
      <c r="L5770" s="56" t="s">
        <v>56716</v>
      </c>
    </row>
    <row r="5771" spans="1:12" s="36" customFormat="1" ht="11.25" x14ac:dyDescent="0.2">
      <c r="A5771" s="46" t="s">
        <v>16619</v>
      </c>
      <c r="B5771" s="46" t="s">
        <v>54451</v>
      </c>
      <c r="C5771" s="58" t="str">
        <f>""</f>
        <v/>
      </c>
      <c r="D5771" s="58" t="str">
        <f>"20425783"</f>
        <v>20425783</v>
      </c>
      <c r="E5771" s="46" t="s">
        <v>2299</v>
      </c>
      <c r="F5771" s="46" t="s">
        <v>50646</v>
      </c>
      <c r="G5771" s="46" t="s">
        <v>50584</v>
      </c>
      <c r="H5771" s="48" t="s">
        <v>56716</v>
      </c>
      <c r="I5771" s="48" t="s">
        <v>50564</v>
      </c>
      <c r="J5771" s="48" t="s">
        <v>56716</v>
      </c>
      <c r="K5771" s="50"/>
      <c r="L5771" s="48"/>
    </row>
    <row r="5772" spans="1:12" s="36" customFormat="1" ht="11.25" x14ac:dyDescent="0.2">
      <c r="A5772" s="46" t="s">
        <v>2966</v>
      </c>
      <c r="B5772" s="46" t="s">
        <v>54452</v>
      </c>
      <c r="C5772" s="58" t="str">
        <f>"08824010"</f>
        <v>08824010</v>
      </c>
      <c r="D5772" s="58" t="str">
        <f>"10961208"</f>
        <v>10961208</v>
      </c>
      <c r="E5772" s="46" t="s">
        <v>601</v>
      </c>
      <c r="F5772" s="46" t="s">
        <v>50646</v>
      </c>
      <c r="G5772" s="46" t="s">
        <v>50584</v>
      </c>
      <c r="H5772" s="48" t="s">
        <v>56716</v>
      </c>
      <c r="I5772" s="48" t="s">
        <v>50564</v>
      </c>
      <c r="J5772" s="48" t="s">
        <v>56716</v>
      </c>
      <c r="K5772" s="50" t="s">
        <v>56716</v>
      </c>
      <c r="L5772" s="48" t="s">
        <v>56716</v>
      </c>
    </row>
    <row r="5773" spans="1:12" s="36" customFormat="1" ht="11.25" x14ac:dyDescent="0.2">
      <c r="A5773" s="45" t="s">
        <v>40760</v>
      </c>
      <c r="B5773" s="45" t="s">
        <v>40762</v>
      </c>
      <c r="C5773" s="51" t="s">
        <v>40765</v>
      </c>
      <c r="D5773" s="51" t="s">
        <v>40764</v>
      </c>
      <c r="E5773" s="45" t="s">
        <v>20465</v>
      </c>
      <c r="F5773" s="45" t="s">
        <v>18158</v>
      </c>
      <c r="G5773" s="45" t="s">
        <v>50592</v>
      </c>
      <c r="H5773" s="56"/>
      <c r="I5773" s="56" t="s">
        <v>50564</v>
      </c>
      <c r="J5773" s="56"/>
      <c r="K5773" s="50"/>
      <c r="L5773" s="56" t="s">
        <v>56716</v>
      </c>
    </row>
    <row r="5774" spans="1:12" s="36" customFormat="1" ht="11.25" x14ac:dyDescent="0.2">
      <c r="A5774" s="46" t="s">
        <v>6192</v>
      </c>
      <c r="B5774" s="46" t="s">
        <v>18746</v>
      </c>
      <c r="C5774" s="58" t="str">
        <f>"13500872"</f>
        <v>13500872</v>
      </c>
      <c r="D5774" s="58" t="str">
        <f>"14652080"</f>
        <v>14652080</v>
      </c>
      <c r="E5774" s="46" t="s">
        <v>2341</v>
      </c>
      <c r="F5774" s="46" t="s">
        <v>50646</v>
      </c>
      <c r="G5774" s="46" t="s">
        <v>50584</v>
      </c>
      <c r="H5774" s="48" t="s">
        <v>56716</v>
      </c>
      <c r="I5774" s="48" t="s">
        <v>50564</v>
      </c>
      <c r="J5774" s="48" t="s">
        <v>56716</v>
      </c>
      <c r="K5774" s="50"/>
      <c r="L5774" s="48" t="s">
        <v>56716</v>
      </c>
    </row>
    <row r="5775" spans="1:12" s="36" customFormat="1" ht="11.25" x14ac:dyDescent="0.2">
      <c r="A5775" s="46" t="s">
        <v>2961</v>
      </c>
      <c r="B5775" s="46" t="s">
        <v>54453</v>
      </c>
      <c r="C5775" s="58" t="str">
        <f>"03855600"</f>
        <v>03855600</v>
      </c>
      <c r="D5775" s="58" t="str">
        <f>"13480421"</f>
        <v>13480421</v>
      </c>
      <c r="E5775" s="46" t="s">
        <v>7004</v>
      </c>
      <c r="F5775" s="46" t="s">
        <v>18242</v>
      </c>
      <c r="G5775" s="46" t="s">
        <v>50584</v>
      </c>
      <c r="H5775" s="48" t="s">
        <v>56716</v>
      </c>
      <c r="I5775" s="48" t="s">
        <v>50564</v>
      </c>
      <c r="J5775" s="48"/>
      <c r="K5775" s="50"/>
      <c r="L5775" s="48" t="s">
        <v>56716</v>
      </c>
    </row>
    <row r="5776" spans="1:12" s="36" customFormat="1" ht="11.25" x14ac:dyDescent="0.2">
      <c r="A5776" s="46" t="s">
        <v>7418</v>
      </c>
      <c r="B5776" s="46" t="s">
        <v>54454</v>
      </c>
      <c r="C5776" s="58" t="str">
        <f>"10922172"</f>
        <v>10922172</v>
      </c>
      <c r="D5776" s="58" t="str">
        <f>"10985557"</f>
        <v>10985557</v>
      </c>
      <c r="E5776" s="46" t="s">
        <v>441</v>
      </c>
      <c r="F5776" s="46" t="s">
        <v>17759</v>
      </c>
      <c r="G5776" s="46" t="s">
        <v>50584</v>
      </c>
      <c r="H5776" s="48" t="s">
        <v>56716</v>
      </c>
      <c r="I5776" s="48" t="s">
        <v>50564</v>
      </c>
      <c r="J5776" s="48"/>
      <c r="K5776" s="50"/>
      <c r="L5776" s="48" t="s">
        <v>56716</v>
      </c>
    </row>
    <row r="5777" spans="1:12" s="36" customFormat="1" ht="11.25" x14ac:dyDescent="0.2">
      <c r="A5777" s="46" t="s">
        <v>16882</v>
      </c>
      <c r="B5777" s="46" t="s">
        <v>54455</v>
      </c>
      <c r="C5777" s="58" t="str">
        <f>"20367473"</f>
        <v>20367473</v>
      </c>
      <c r="D5777" s="58" t="str">
        <f>"20367481"</f>
        <v>20367481</v>
      </c>
      <c r="E5777" s="46" t="s">
        <v>1949</v>
      </c>
      <c r="F5777" s="46" t="s">
        <v>17991</v>
      </c>
      <c r="G5777" s="46" t="s">
        <v>50584</v>
      </c>
      <c r="H5777" s="48" t="s">
        <v>56716</v>
      </c>
      <c r="I5777" s="48" t="s">
        <v>50564</v>
      </c>
      <c r="J5777" s="48"/>
      <c r="K5777" s="50"/>
      <c r="L5777" s="48"/>
    </row>
    <row r="5778" spans="1:12" s="36" customFormat="1" ht="11.25" x14ac:dyDescent="0.2">
      <c r="A5778" s="46" t="s">
        <v>16678</v>
      </c>
      <c r="B5778" s="46" t="s">
        <v>16678</v>
      </c>
      <c r="C5778" s="58" t="str">
        <f>""</f>
        <v/>
      </c>
      <c r="D5778" s="58" t="str">
        <f>"20458827"</f>
        <v>20458827</v>
      </c>
      <c r="E5778" s="46" t="s">
        <v>35</v>
      </c>
      <c r="F5778" s="46" t="s">
        <v>50646</v>
      </c>
      <c r="G5778" s="46" t="s">
        <v>50584</v>
      </c>
      <c r="H5778" s="48" t="s">
        <v>56716</v>
      </c>
      <c r="I5778" s="48" t="s">
        <v>50564</v>
      </c>
      <c r="J5778" s="48" t="s">
        <v>56716</v>
      </c>
      <c r="K5778" s="50" t="s">
        <v>56716</v>
      </c>
      <c r="L5778" s="48" t="s">
        <v>56716</v>
      </c>
    </row>
    <row r="5779" spans="1:12" s="36" customFormat="1" ht="11.25" x14ac:dyDescent="0.2">
      <c r="A5779" s="46" t="s">
        <v>17329</v>
      </c>
      <c r="B5779" s="46" t="s">
        <v>17329</v>
      </c>
      <c r="C5779" s="58" t="str">
        <f>""</f>
        <v/>
      </c>
      <c r="D5779" s="58" t="str">
        <f>"20492618"</f>
        <v>20492618</v>
      </c>
      <c r="E5779" s="46" t="s">
        <v>2299</v>
      </c>
      <c r="F5779" s="46" t="s">
        <v>50646</v>
      </c>
      <c r="G5779" s="46" t="s">
        <v>50584</v>
      </c>
      <c r="H5779" s="48" t="s">
        <v>56716</v>
      </c>
      <c r="I5779" s="48" t="s">
        <v>50564</v>
      </c>
      <c r="J5779" s="48" t="s">
        <v>56716</v>
      </c>
      <c r="K5779" s="50"/>
      <c r="L5779" s="48"/>
    </row>
    <row r="5780" spans="1:12" s="36" customFormat="1" ht="11.25" x14ac:dyDescent="0.2">
      <c r="A5780" s="46" t="s">
        <v>2890</v>
      </c>
      <c r="B5780" s="46" t="s">
        <v>2890</v>
      </c>
      <c r="C5780" s="58" t="str">
        <f>"10739688"</f>
        <v>10739688</v>
      </c>
      <c r="D5780" s="58" t="str">
        <f>"15498719"</f>
        <v>15498719</v>
      </c>
      <c r="E5780" s="46" t="s">
        <v>35</v>
      </c>
      <c r="F5780" s="46" t="s">
        <v>50646</v>
      </c>
      <c r="G5780" s="46" t="s">
        <v>50584</v>
      </c>
      <c r="H5780" s="48" t="s">
        <v>56716</v>
      </c>
      <c r="I5780" s="48" t="s">
        <v>50564</v>
      </c>
      <c r="J5780" s="48" t="s">
        <v>56716</v>
      </c>
      <c r="K5780" s="50"/>
      <c r="L5780" s="48" t="s">
        <v>56716</v>
      </c>
    </row>
    <row r="5781" spans="1:12" s="36" customFormat="1" ht="11.25" x14ac:dyDescent="0.2">
      <c r="A5781" s="45" t="s">
        <v>40788</v>
      </c>
      <c r="B5781" s="45" t="s">
        <v>40790</v>
      </c>
      <c r="C5781" s="51" t="s">
        <v>40793</v>
      </c>
      <c r="D5781" s="51" t="s">
        <v>40792</v>
      </c>
      <c r="E5781" s="45" t="s">
        <v>17865</v>
      </c>
      <c r="F5781" s="45" t="s">
        <v>50646</v>
      </c>
      <c r="G5781" s="45" t="s">
        <v>50584</v>
      </c>
      <c r="H5781" s="56"/>
      <c r="I5781" s="56" t="s">
        <v>50564</v>
      </c>
      <c r="J5781" s="56"/>
      <c r="K5781" s="50"/>
      <c r="L5781" s="56" t="s">
        <v>56716</v>
      </c>
    </row>
    <row r="5782" spans="1:12" s="36" customFormat="1" ht="11.25" x14ac:dyDescent="0.2">
      <c r="A5782" s="46" t="s">
        <v>16605</v>
      </c>
      <c r="B5782" s="46" t="s">
        <v>16605</v>
      </c>
      <c r="C5782" s="58" t="str">
        <f>"22115366"</f>
        <v>22115366</v>
      </c>
      <c r="D5782" s="58" t="str">
        <f>"22115374"</f>
        <v>22115374</v>
      </c>
      <c r="E5782" s="46" t="s">
        <v>6405</v>
      </c>
      <c r="F5782" s="46" t="s">
        <v>18001</v>
      </c>
      <c r="G5782" s="46" t="s">
        <v>50584</v>
      </c>
      <c r="H5782" s="48" t="s">
        <v>56716</v>
      </c>
      <c r="I5782" s="48" t="s">
        <v>50564</v>
      </c>
      <c r="J5782" s="48" t="s">
        <v>56716</v>
      </c>
      <c r="K5782" s="50"/>
      <c r="L5782" s="48" t="s">
        <v>56716</v>
      </c>
    </row>
    <row r="5783" spans="1:12" s="36" customFormat="1" ht="11.25" x14ac:dyDescent="0.2">
      <c r="A5783" s="46" t="s">
        <v>56264</v>
      </c>
      <c r="B5783" s="46" t="s">
        <v>56265</v>
      </c>
      <c r="C5783" s="58" t="str">
        <f>""</f>
        <v/>
      </c>
      <c r="D5783" s="58" t="str">
        <f>"20846843"</f>
        <v>20846843</v>
      </c>
      <c r="E5783" s="46" t="s">
        <v>56253</v>
      </c>
      <c r="F5783" s="46" t="s">
        <v>17967</v>
      </c>
      <c r="G5783" s="46" t="s">
        <v>50584</v>
      </c>
      <c r="H5783" s="48" t="s">
        <v>56716</v>
      </c>
      <c r="I5783" s="48" t="s">
        <v>50564</v>
      </c>
      <c r="J5783" s="48" t="s">
        <v>56716</v>
      </c>
      <c r="K5783" s="50"/>
      <c r="L5783" s="48"/>
    </row>
    <row r="5784" spans="1:12" s="36" customFormat="1" ht="11.25" x14ac:dyDescent="0.2">
      <c r="A5784" s="45" t="s">
        <v>40795</v>
      </c>
      <c r="B5784" s="45" t="s">
        <v>40797</v>
      </c>
      <c r="C5784" s="51" t="s">
        <v>40800</v>
      </c>
      <c r="D5784" s="51" t="s">
        <v>40799</v>
      </c>
      <c r="E5784" s="45" t="s">
        <v>55</v>
      </c>
      <c r="F5784" s="45" t="s">
        <v>50646</v>
      </c>
      <c r="G5784" s="45" t="s">
        <v>50584</v>
      </c>
      <c r="H5784" s="56"/>
      <c r="I5784" s="56" t="s">
        <v>50564</v>
      </c>
      <c r="J5784" s="56"/>
      <c r="K5784" s="50"/>
      <c r="L5784" s="56" t="s">
        <v>56716</v>
      </c>
    </row>
    <row r="5785" spans="1:12" s="36" customFormat="1" ht="11.25" x14ac:dyDescent="0.2">
      <c r="A5785" s="45" t="s">
        <v>40802</v>
      </c>
      <c r="B5785" s="45" t="s">
        <v>40804</v>
      </c>
      <c r="C5785" s="51" t="s">
        <v>40807</v>
      </c>
      <c r="D5785" s="51" t="s">
        <v>40806</v>
      </c>
      <c r="E5785" s="45" t="s">
        <v>724</v>
      </c>
      <c r="F5785" s="45" t="s">
        <v>17759</v>
      </c>
      <c r="G5785" s="45" t="s">
        <v>50584</v>
      </c>
      <c r="H5785" s="56"/>
      <c r="I5785" s="56" t="s">
        <v>50564</v>
      </c>
      <c r="J5785" s="56"/>
      <c r="K5785" s="50"/>
      <c r="L5785" s="56" t="s">
        <v>56716</v>
      </c>
    </row>
    <row r="5786" spans="1:12" s="36" customFormat="1" ht="11.25" x14ac:dyDescent="0.2">
      <c r="A5786" s="45" t="s">
        <v>40809</v>
      </c>
      <c r="B5786" s="45" t="s">
        <v>40811</v>
      </c>
      <c r="C5786" s="51" t="s">
        <v>40814</v>
      </c>
      <c r="D5786" s="51" t="s">
        <v>40813</v>
      </c>
      <c r="E5786" s="45" t="s">
        <v>19094</v>
      </c>
      <c r="F5786" s="45" t="s">
        <v>17759</v>
      </c>
      <c r="G5786" s="45" t="s">
        <v>50584</v>
      </c>
      <c r="H5786" s="56"/>
      <c r="I5786" s="56" t="s">
        <v>50564</v>
      </c>
      <c r="J5786" s="56"/>
      <c r="K5786" s="50"/>
      <c r="L5786" s="56" t="s">
        <v>56716</v>
      </c>
    </row>
    <row r="5787" spans="1:12" s="36" customFormat="1" ht="11.25" x14ac:dyDescent="0.2">
      <c r="A5787" s="46" t="s">
        <v>3023</v>
      </c>
      <c r="B5787" s="46" t="s">
        <v>3023</v>
      </c>
      <c r="C5787" s="58" t="str">
        <f>"07381085"</f>
        <v>07381085</v>
      </c>
      <c r="D5787" s="58" t="str">
        <f>"10982752"</f>
        <v>10982752</v>
      </c>
      <c r="E5787" s="46" t="s">
        <v>517</v>
      </c>
      <c r="F5787" s="46" t="s">
        <v>17759</v>
      </c>
      <c r="G5787" s="46" t="s">
        <v>50584</v>
      </c>
      <c r="H5787" s="48" t="s">
        <v>56716</v>
      </c>
      <c r="I5787" s="48" t="s">
        <v>50564</v>
      </c>
      <c r="J5787" s="48" t="s">
        <v>56716</v>
      </c>
      <c r="K5787" s="50" t="s">
        <v>56716</v>
      </c>
      <c r="L5787" s="48" t="s">
        <v>56716</v>
      </c>
    </row>
    <row r="5788" spans="1:12" s="36" customFormat="1" ht="11.25" x14ac:dyDescent="0.2">
      <c r="A5788" s="46" t="s">
        <v>2976</v>
      </c>
      <c r="B5788" s="46" t="s">
        <v>54456</v>
      </c>
      <c r="C5788" s="58" t="str">
        <f>"00262862"</f>
        <v>00262862</v>
      </c>
      <c r="D5788" s="58" t="str">
        <f>"10959319"</f>
        <v>10959319</v>
      </c>
      <c r="E5788" s="46" t="s">
        <v>60</v>
      </c>
      <c r="F5788" s="46" t="s">
        <v>17759</v>
      </c>
      <c r="G5788" s="46" t="s">
        <v>50584</v>
      </c>
      <c r="H5788" s="48" t="s">
        <v>56716</v>
      </c>
      <c r="I5788" s="48" t="s">
        <v>50564</v>
      </c>
      <c r="J5788" s="48" t="s">
        <v>56716</v>
      </c>
      <c r="K5788" s="50" t="s">
        <v>56716</v>
      </c>
      <c r="L5788" s="48" t="s">
        <v>56716</v>
      </c>
    </row>
    <row r="5789" spans="1:12" s="36" customFormat="1" ht="11.25" x14ac:dyDescent="0.2">
      <c r="A5789" s="46" t="s">
        <v>15006</v>
      </c>
      <c r="B5789" s="46" t="s">
        <v>54457</v>
      </c>
      <c r="C5789" s="58" t="str">
        <f>"09749233"</f>
        <v>09749233</v>
      </c>
      <c r="D5789" s="58" t="str">
        <f>"09751599"</f>
        <v>09751599</v>
      </c>
      <c r="E5789" s="46" t="s">
        <v>19057</v>
      </c>
      <c r="F5789" s="46" t="s">
        <v>20446</v>
      </c>
      <c r="G5789" s="46" t="s">
        <v>50584</v>
      </c>
      <c r="H5789" s="48" t="s">
        <v>56716</v>
      </c>
      <c r="I5789" s="48" t="s">
        <v>50564</v>
      </c>
      <c r="J5789" s="48" t="s">
        <v>56716</v>
      </c>
      <c r="K5789" s="50"/>
      <c r="L5789" s="48" t="s">
        <v>56716</v>
      </c>
    </row>
    <row r="5790" spans="1:12" s="36" customFormat="1" ht="11.25" x14ac:dyDescent="0.2">
      <c r="A5790" s="46" t="s">
        <v>7636</v>
      </c>
      <c r="B5790" s="46" t="s">
        <v>54458</v>
      </c>
      <c r="C5790" s="58" t="str">
        <f>"11105690"</f>
        <v>11105690</v>
      </c>
      <c r="D5790" s="58" t="str">
        <f>"20903251"</f>
        <v>20903251</v>
      </c>
      <c r="E5790" s="46" t="s">
        <v>7639</v>
      </c>
      <c r="F5790" s="46" t="s">
        <v>21182</v>
      </c>
      <c r="G5790" s="46" t="s">
        <v>50584</v>
      </c>
      <c r="H5790" s="48" t="s">
        <v>56716</v>
      </c>
      <c r="I5790" s="48" t="s">
        <v>50564</v>
      </c>
      <c r="J5790" s="48"/>
      <c r="K5790" s="50" t="s">
        <v>56716</v>
      </c>
      <c r="L5790" s="48"/>
    </row>
    <row r="5791" spans="1:12" s="36" customFormat="1" ht="11.25" x14ac:dyDescent="0.2">
      <c r="A5791" s="45" t="s">
        <v>56630</v>
      </c>
      <c r="B5791" s="45" t="s">
        <v>56631</v>
      </c>
      <c r="C5791" s="51" t="s">
        <v>40833</v>
      </c>
      <c r="D5791" s="51"/>
      <c r="E5791" s="45" t="s">
        <v>56632</v>
      </c>
      <c r="F5791" s="45" t="s">
        <v>33728</v>
      </c>
      <c r="G5791" s="45" t="s">
        <v>50584</v>
      </c>
      <c r="H5791" s="56"/>
      <c r="I5791" s="56" t="s">
        <v>50564</v>
      </c>
      <c r="J5791" s="56"/>
      <c r="K5791" s="50"/>
      <c r="L5791" s="56" t="s">
        <v>56716</v>
      </c>
    </row>
    <row r="5792" spans="1:12" s="36" customFormat="1" ht="11.25" x14ac:dyDescent="0.2">
      <c r="A5792" s="46" t="s">
        <v>16967</v>
      </c>
      <c r="B5792" s="46" t="s">
        <v>54459</v>
      </c>
      <c r="C5792" s="58" t="str">
        <f>"20086709"</f>
        <v>20086709</v>
      </c>
      <c r="D5792" s="58" t="str">
        <f>"20086687"</f>
        <v>20086687</v>
      </c>
      <c r="E5792" s="46" t="s">
        <v>1956</v>
      </c>
      <c r="F5792" s="46" t="s">
        <v>18232</v>
      </c>
      <c r="G5792" s="46" t="s">
        <v>50584</v>
      </c>
      <c r="H5792" s="48" t="s">
        <v>56716</v>
      </c>
      <c r="I5792" s="48" t="s">
        <v>50564</v>
      </c>
      <c r="J5792" s="48"/>
      <c r="K5792" s="50"/>
      <c r="L5792" s="48"/>
    </row>
    <row r="5793" spans="1:12" s="36" customFormat="1" ht="11.25" x14ac:dyDescent="0.2">
      <c r="A5793" s="46" t="s">
        <v>56159</v>
      </c>
      <c r="B5793" s="46" t="s">
        <v>56160</v>
      </c>
      <c r="C5793" s="58" t="str">
        <f>"20085230"</f>
        <v>20085230</v>
      </c>
      <c r="D5793" s="58" t="str">
        <f>"20085249"</f>
        <v>20085249</v>
      </c>
      <c r="E5793" s="46" t="s">
        <v>1956</v>
      </c>
      <c r="F5793" s="46" t="s">
        <v>18232</v>
      </c>
      <c r="G5793" s="46" t="s">
        <v>50584</v>
      </c>
      <c r="H5793" s="48" t="s">
        <v>56716</v>
      </c>
      <c r="I5793" s="48" t="s">
        <v>50564</v>
      </c>
      <c r="J5793" s="48"/>
      <c r="K5793" s="50"/>
      <c r="L5793" s="48"/>
    </row>
    <row r="5794" spans="1:12" s="36" customFormat="1" ht="11.25" x14ac:dyDescent="0.2">
      <c r="A5794" s="46" t="s">
        <v>10491</v>
      </c>
      <c r="B5794" s="46" t="s">
        <v>54460</v>
      </c>
      <c r="C5794" s="58" t="str">
        <f>"10293507"</f>
        <v>10293507</v>
      </c>
      <c r="D5794" s="58" t="str">
        <f>""</f>
        <v/>
      </c>
      <c r="E5794" s="46" t="s">
        <v>10491</v>
      </c>
      <c r="F5794" s="46" t="s">
        <v>50654</v>
      </c>
      <c r="G5794" s="46" t="s">
        <v>50585</v>
      </c>
      <c r="H5794" s="48" t="s">
        <v>56716</v>
      </c>
      <c r="I5794" s="48" t="s">
        <v>50564</v>
      </c>
      <c r="J5794" s="48"/>
      <c r="K5794" s="50"/>
      <c r="L5794" s="48"/>
    </row>
    <row r="5795" spans="1:12" s="36" customFormat="1" ht="11.25" x14ac:dyDescent="0.2">
      <c r="A5795" s="45" t="s">
        <v>40836</v>
      </c>
      <c r="B5795" s="45" t="s">
        <v>40836</v>
      </c>
      <c r="C5795" s="51" t="s">
        <v>40839</v>
      </c>
      <c r="D5795" s="51" t="s">
        <v>40838</v>
      </c>
      <c r="E5795" s="45" t="s">
        <v>831</v>
      </c>
      <c r="F5795" s="45" t="s">
        <v>50646</v>
      </c>
      <c r="G5795" s="45" t="s">
        <v>50584</v>
      </c>
      <c r="H5795" s="56"/>
      <c r="I5795" s="56" t="s">
        <v>50564</v>
      </c>
      <c r="J5795" s="56"/>
      <c r="K5795" s="50"/>
      <c r="L5795" s="56" t="s">
        <v>56716</v>
      </c>
    </row>
    <row r="5796" spans="1:12" s="36" customFormat="1" ht="11.25" x14ac:dyDescent="0.2">
      <c r="A5796" s="45" t="s">
        <v>40841</v>
      </c>
      <c r="B5796" s="45" t="s">
        <v>40843</v>
      </c>
      <c r="C5796" s="51" t="s">
        <v>40845</v>
      </c>
      <c r="D5796" s="51"/>
      <c r="E5796" s="45" t="s">
        <v>40846</v>
      </c>
      <c r="F5796" s="45" t="s">
        <v>17759</v>
      </c>
      <c r="G5796" s="45" t="s">
        <v>50584</v>
      </c>
      <c r="H5796" s="56"/>
      <c r="I5796" s="56" t="s">
        <v>50564</v>
      </c>
      <c r="J5796" s="56"/>
      <c r="K5796" s="50"/>
      <c r="L5796" s="56" t="s">
        <v>56716</v>
      </c>
    </row>
    <row r="5797" spans="1:12" s="36" customFormat="1" ht="11.25" x14ac:dyDescent="0.2">
      <c r="A5797" s="45" t="s">
        <v>40848</v>
      </c>
      <c r="B5797" s="45" t="s">
        <v>40848</v>
      </c>
      <c r="C5797" s="51" t="s">
        <v>56633</v>
      </c>
      <c r="D5797" s="51"/>
      <c r="E5797" s="45" t="s">
        <v>40851</v>
      </c>
      <c r="F5797" s="45" t="s">
        <v>50646</v>
      </c>
      <c r="G5797" s="45" t="s">
        <v>50584</v>
      </c>
      <c r="H5797" s="56"/>
      <c r="I5797" s="56" t="s">
        <v>50564</v>
      </c>
      <c r="J5797" s="56"/>
      <c r="K5797" s="50"/>
      <c r="L5797" s="56" t="s">
        <v>56716</v>
      </c>
    </row>
    <row r="5798" spans="1:12" s="36" customFormat="1" ht="11.25" x14ac:dyDescent="0.2">
      <c r="A5798" s="46" t="s">
        <v>7896</v>
      </c>
      <c r="B5798" s="46" t="s">
        <v>54461</v>
      </c>
      <c r="C5798" s="58" t="str">
        <f>"1232986X"</f>
        <v>1232986X</v>
      </c>
      <c r="D5798" s="58" t="str">
        <f>""</f>
        <v/>
      </c>
      <c r="E5798" s="46" t="s">
        <v>6797</v>
      </c>
      <c r="F5798" s="46" t="s">
        <v>17967</v>
      </c>
      <c r="G5798" s="46" t="s">
        <v>50613</v>
      </c>
      <c r="H5798" s="48" t="s">
        <v>56716</v>
      </c>
      <c r="I5798" s="48" t="s">
        <v>50564</v>
      </c>
      <c r="J5798" s="48"/>
      <c r="K5798" s="50"/>
      <c r="L5798" s="48"/>
    </row>
    <row r="5799" spans="1:12" s="36" customFormat="1" ht="11.25" x14ac:dyDescent="0.2">
      <c r="A5799" s="45" t="s">
        <v>40853</v>
      </c>
      <c r="B5799" s="45" t="s">
        <v>40853</v>
      </c>
      <c r="C5799" s="51" t="s">
        <v>40855</v>
      </c>
      <c r="D5799" s="51"/>
      <c r="E5799" s="45" t="s">
        <v>22405</v>
      </c>
      <c r="F5799" s="45" t="s">
        <v>50653</v>
      </c>
      <c r="G5799" s="45" t="s">
        <v>56509</v>
      </c>
      <c r="H5799" s="56"/>
      <c r="I5799" s="56" t="s">
        <v>50564</v>
      </c>
      <c r="J5799" s="56"/>
      <c r="K5799" s="50"/>
      <c r="L5799" s="56" t="s">
        <v>56716</v>
      </c>
    </row>
    <row r="5800" spans="1:12" s="36" customFormat="1" ht="11.25" x14ac:dyDescent="0.2">
      <c r="A5800" s="45" t="s">
        <v>40857</v>
      </c>
      <c r="B5800" s="45" t="s">
        <v>40859</v>
      </c>
      <c r="C5800" s="51" t="s">
        <v>40861</v>
      </c>
      <c r="D5800" s="51"/>
      <c r="E5800" s="45" t="s">
        <v>29417</v>
      </c>
      <c r="F5800" s="45" t="s">
        <v>29064</v>
      </c>
      <c r="G5800" s="45" t="s">
        <v>56509</v>
      </c>
      <c r="H5800" s="56"/>
      <c r="I5800" s="56" t="s">
        <v>50564</v>
      </c>
      <c r="J5800" s="56"/>
      <c r="K5800" s="50"/>
      <c r="L5800" s="56" t="s">
        <v>56716</v>
      </c>
    </row>
    <row r="5801" spans="1:12" s="36" customFormat="1" ht="11.25" x14ac:dyDescent="0.2">
      <c r="A5801" s="45" t="s">
        <v>40863</v>
      </c>
      <c r="B5801" s="45" t="s">
        <v>40865</v>
      </c>
      <c r="C5801" s="51" t="s">
        <v>40866</v>
      </c>
      <c r="D5801" s="51"/>
      <c r="E5801" s="45" t="s">
        <v>40867</v>
      </c>
      <c r="F5801" s="45" t="s">
        <v>18396</v>
      </c>
      <c r="G5801" s="45" t="s">
        <v>50639</v>
      </c>
      <c r="H5801" s="56"/>
      <c r="I5801" s="56" t="s">
        <v>50564</v>
      </c>
      <c r="J5801" s="56"/>
      <c r="K5801" s="50"/>
      <c r="L5801" s="56" t="s">
        <v>56716</v>
      </c>
    </row>
    <row r="5802" spans="1:12" s="36" customFormat="1" ht="11.25" x14ac:dyDescent="0.2">
      <c r="A5802" s="46" t="s">
        <v>4209</v>
      </c>
      <c r="B5802" s="46" t="s">
        <v>54462</v>
      </c>
      <c r="C5802" s="58" t="str">
        <f>"0887378X"</f>
        <v>0887378X</v>
      </c>
      <c r="D5802" s="58" t="str">
        <f>"14680009"</f>
        <v>14680009</v>
      </c>
      <c r="E5802" s="46" t="s">
        <v>548</v>
      </c>
      <c r="F5802" s="46" t="s">
        <v>17759</v>
      </c>
      <c r="G5802" s="46" t="s">
        <v>50584</v>
      </c>
      <c r="H5802" s="48" t="s">
        <v>56716</v>
      </c>
      <c r="I5802" s="48" t="s">
        <v>50564</v>
      </c>
      <c r="J5802" s="48" t="s">
        <v>56716</v>
      </c>
      <c r="K5802" s="50"/>
      <c r="L5802" s="48" t="s">
        <v>56716</v>
      </c>
    </row>
    <row r="5803" spans="1:12" s="36" customFormat="1" ht="11.25" x14ac:dyDescent="0.2">
      <c r="A5803" s="46" t="s">
        <v>15167</v>
      </c>
      <c r="B5803" s="46" t="s">
        <v>54463</v>
      </c>
      <c r="C5803" s="58" t="str">
        <f>"22966056"</f>
        <v>22966056</v>
      </c>
      <c r="D5803" s="58" t="str">
        <f>""</f>
        <v/>
      </c>
      <c r="E5803" s="46" t="s">
        <v>15169</v>
      </c>
      <c r="F5803" s="46" t="s">
        <v>18123</v>
      </c>
      <c r="G5803" s="46" t="s">
        <v>50584</v>
      </c>
      <c r="H5803" s="48" t="s">
        <v>56716</v>
      </c>
      <c r="I5803" s="48" t="s">
        <v>50565</v>
      </c>
      <c r="J5803" s="48" t="s">
        <v>56716</v>
      </c>
      <c r="K5803" s="50"/>
      <c r="L5803" s="48"/>
    </row>
    <row r="5804" spans="1:12" s="36" customFormat="1" ht="11.25" x14ac:dyDescent="0.2">
      <c r="A5804" s="45" t="s">
        <v>40874</v>
      </c>
      <c r="B5804" s="45" t="s">
        <v>40876</v>
      </c>
      <c r="C5804" s="51" t="s">
        <v>40879</v>
      </c>
      <c r="D5804" s="51" t="s">
        <v>40878</v>
      </c>
      <c r="E5804" s="45" t="s">
        <v>40880</v>
      </c>
      <c r="F5804" s="45" t="s">
        <v>17759</v>
      </c>
      <c r="G5804" s="45" t="s">
        <v>50584</v>
      </c>
      <c r="H5804" s="56"/>
      <c r="I5804" s="56" t="s">
        <v>50564</v>
      </c>
      <c r="J5804" s="56"/>
      <c r="K5804" s="50"/>
      <c r="L5804" s="56" t="s">
        <v>56716</v>
      </c>
    </row>
    <row r="5805" spans="1:12" s="36" customFormat="1" ht="11.25" x14ac:dyDescent="0.2">
      <c r="A5805" s="46" t="s">
        <v>17506</v>
      </c>
      <c r="B5805" s="46" t="s">
        <v>54464</v>
      </c>
      <c r="C5805" s="58" t="str">
        <f>"22270892"</f>
        <v>22270892</v>
      </c>
      <c r="D5805" s="58" t="str">
        <f>""</f>
        <v/>
      </c>
      <c r="E5805" s="46" t="s">
        <v>17508</v>
      </c>
      <c r="F5805" s="46" t="s">
        <v>50642</v>
      </c>
      <c r="G5805" s="46" t="s">
        <v>50621</v>
      </c>
      <c r="H5805" s="48" t="s">
        <v>56716</v>
      </c>
      <c r="I5805" s="48" t="s">
        <v>50564</v>
      </c>
      <c r="J5805" s="48"/>
      <c r="K5805" s="50"/>
      <c r="L5805" s="48"/>
    </row>
    <row r="5806" spans="1:12" s="36" customFormat="1" ht="11.25" x14ac:dyDescent="0.2">
      <c r="A5806" s="46" t="s">
        <v>2952</v>
      </c>
      <c r="B5806" s="46" t="s">
        <v>54465</v>
      </c>
      <c r="C5806" s="58" t="str">
        <f>"03759393"</f>
        <v>03759393</v>
      </c>
      <c r="D5806" s="58" t="str">
        <f>""</f>
        <v/>
      </c>
      <c r="E5806" s="46" t="s">
        <v>1708</v>
      </c>
      <c r="F5806" s="46" t="s">
        <v>17991</v>
      </c>
      <c r="G5806" s="46" t="s">
        <v>50602</v>
      </c>
      <c r="H5806" s="48" t="s">
        <v>56716</v>
      </c>
      <c r="I5806" s="48" t="s">
        <v>50564</v>
      </c>
      <c r="J5806" s="48"/>
      <c r="K5806" s="50"/>
      <c r="L5806" s="48" t="s">
        <v>56716</v>
      </c>
    </row>
    <row r="5807" spans="1:12" s="36" customFormat="1" ht="11.25" x14ac:dyDescent="0.2">
      <c r="A5807" s="46" t="s">
        <v>5475</v>
      </c>
      <c r="B5807" s="46" t="s">
        <v>54466</v>
      </c>
      <c r="C5807" s="58" t="str">
        <f>"11204826"</f>
        <v>11204826</v>
      </c>
      <c r="D5807" s="58" t="str">
        <f>""</f>
        <v/>
      </c>
      <c r="E5807" s="46" t="s">
        <v>1708</v>
      </c>
      <c r="F5807" s="46" t="s">
        <v>17991</v>
      </c>
      <c r="G5807" s="46" t="s">
        <v>50584</v>
      </c>
      <c r="H5807" s="48" t="s">
        <v>56716</v>
      </c>
      <c r="I5807" s="48" t="s">
        <v>50564</v>
      </c>
      <c r="J5807" s="48"/>
      <c r="K5807" s="50"/>
      <c r="L5807" s="48"/>
    </row>
    <row r="5808" spans="1:12" s="36" customFormat="1" ht="11.25" x14ac:dyDescent="0.2">
      <c r="A5808" s="46" t="s">
        <v>2954</v>
      </c>
      <c r="B5808" s="46" t="s">
        <v>54467</v>
      </c>
      <c r="C5808" s="58" t="str">
        <f>"00264725"</f>
        <v>00264725</v>
      </c>
      <c r="D5808" s="58" t="str">
        <f>""</f>
        <v/>
      </c>
      <c r="E5808" s="46" t="s">
        <v>1708</v>
      </c>
      <c r="F5808" s="46" t="s">
        <v>17991</v>
      </c>
      <c r="G5808" s="46" t="s">
        <v>50603</v>
      </c>
      <c r="H5808" s="48" t="s">
        <v>56716</v>
      </c>
      <c r="I5808" s="48" t="s">
        <v>50564</v>
      </c>
      <c r="J5808" s="48"/>
      <c r="K5808" s="50"/>
      <c r="L5808" s="48" t="s">
        <v>56716</v>
      </c>
    </row>
    <row r="5809" spans="1:12" s="36" customFormat="1" ht="11.25" x14ac:dyDescent="0.2">
      <c r="A5809" s="45" t="s">
        <v>40894</v>
      </c>
      <c r="B5809" s="45" t="s">
        <v>40896</v>
      </c>
      <c r="C5809" s="51" t="s">
        <v>40899</v>
      </c>
      <c r="D5809" s="51" t="s">
        <v>40898</v>
      </c>
      <c r="E5809" s="45" t="s">
        <v>1708</v>
      </c>
      <c r="F5809" s="45" t="s">
        <v>17991</v>
      </c>
      <c r="G5809" s="45" t="s">
        <v>50602</v>
      </c>
      <c r="H5809" s="56"/>
      <c r="I5809" s="56" t="s">
        <v>50564</v>
      </c>
      <c r="J5809" s="56"/>
      <c r="K5809" s="50"/>
      <c r="L5809" s="56" t="s">
        <v>56716</v>
      </c>
    </row>
    <row r="5810" spans="1:12" s="36" customFormat="1" ht="11.25" x14ac:dyDescent="0.2">
      <c r="A5810" s="46" t="s">
        <v>10073</v>
      </c>
      <c r="B5810" s="46" t="s">
        <v>54468</v>
      </c>
      <c r="C5810" s="58" t="str">
        <f>"03911977"</f>
        <v>03911977</v>
      </c>
      <c r="D5810" s="58" t="str">
        <f>"18271634"</f>
        <v>18271634</v>
      </c>
      <c r="E5810" s="46" t="s">
        <v>1708</v>
      </c>
      <c r="F5810" s="46" t="s">
        <v>17991</v>
      </c>
      <c r="G5810" s="46" t="s">
        <v>50603</v>
      </c>
      <c r="H5810" s="48" t="s">
        <v>56716</v>
      </c>
      <c r="I5810" s="48" t="s">
        <v>50564</v>
      </c>
      <c r="J5810" s="48"/>
      <c r="K5810" s="50"/>
      <c r="L5810" s="48" t="s">
        <v>56716</v>
      </c>
    </row>
    <row r="5811" spans="1:12" s="36" customFormat="1" ht="11.25" x14ac:dyDescent="0.2">
      <c r="A5811" s="46" t="s">
        <v>5942</v>
      </c>
      <c r="B5811" s="46" t="s">
        <v>54469</v>
      </c>
      <c r="C5811" s="58" t="str">
        <f>"1121421X"</f>
        <v>1121421X</v>
      </c>
      <c r="D5811" s="58" t="str">
        <f>"18271642"</f>
        <v>18271642</v>
      </c>
      <c r="E5811" s="46" t="s">
        <v>1708</v>
      </c>
      <c r="F5811" s="46" t="s">
        <v>17991</v>
      </c>
      <c r="G5811" s="46" t="s">
        <v>50603</v>
      </c>
      <c r="H5811" s="48" t="s">
        <v>56716</v>
      </c>
      <c r="I5811" s="48" t="s">
        <v>50564</v>
      </c>
      <c r="J5811" s="48"/>
      <c r="K5811" s="50"/>
      <c r="L5811" s="48" t="s">
        <v>56716</v>
      </c>
    </row>
    <row r="5812" spans="1:12" s="36" customFormat="1" ht="11.25" x14ac:dyDescent="0.2">
      <c r="A5812" s="46" t="s">
        <v>2959</v>
      </c>
      <c r="B5812" s="46" t="s">
        <v>54470</v>
      </c>
      <c r="C5812" s="58" t="str">
        <f>"00264784"</f>
        <v>00264784</v>
      </c>
      <c r="D5812" s="58" t="str">
        <f>""</f>
        <v/>
      </c>
      <c r="E5812" s="46" t="s">
        <v>1708</v>
      </c>
      <c r="F5812" s="46" t="s">
        <v>17991</v>
      </c>
      <c r="G5812" s="46" t="s">
        <v>50603</v>
      </c>
      <c r="H5812" s="48" t="s">
        <v>56716</v>
      </c>
      <c r="I5812" s="48" t="s">
        <v>50564</v>
      </c>
      <c r="J5812" s="48"/>
      <c r="K5812" s="50"/>
      <c r="L5812" s="48" t="s">
        <v>56716</v>
      </c>
    </row>
    <row r="5813" spans="1:12" s="36" customFormat="1" ht="11.25" x14ac:dyDescent="0.2">
      <c r="A5813" s="46" t="s">
        <v>2964</v>
      </c>
      <c r="B5813" s="46" t="s">
        <v>54471</v>
      </c>
      <c r="C5813" s="58" t="str">
        <f>"00264806"</f>
        <v>00264806</v>
      </c>
      <c r="D5813" s="58" t="str">
        <f>""</f>
        <v/>
      </c>
      <c r="E5813" s="46" t="s">
        <v>1708</v>
      </c>
      <c r="F5813" s="46" t="s">
        <v>17991</v>
      </c>
      <c r="G5813" s="46" t="s">
        <v>50603</v>
      </c>
      <c r="H5813" s="48" t="s">
        <v>56716</v>
      </c>
      <c r="I5813" s="48" t="s">
        <v>50564</v>
      </c>
      <c r="J5813" s="48"/>
      <c r="K5813" s="50"/>
      <c r="L5813" s="48" t="s">
        <v>56716</v>
      </c>
    </row>
    <row r="5814" spans="1:12" s="36" customFormat="1" ht="11.25" x14ac:dyDescent="0.2">
      <c r="A5814" s="46" t="s">
        <v>2969</v>
      </c>
      <c r="B5814" s="46" t="s">
        <v>54472</v>
      </c>
      <c r="C5814" s="58" t="str">
        <f>"00264946"</f>
        <v>00264946</v>
      </c>
      <c r="D5814" s="58" t="str">
        <f>""</f>
        <v/>
      </c>
      <c r="E5814" s="46" t="s">
        <v>1708</v>
      </c>
      <c r="F5814" s="46" t="s">
        <v>17991</v>
      </c>
      <c r="G5814" s="46" t="s">
        <v>50603</v>
      </c>
      <c r="H5814" s="48" t="s">
        <v>56716</v>
      </c>
      <c r="I5814" s="48" t="s">
        <v>50564</v>
      </c>
      <c r="J5814" s="48"/>
      <c r="K5814" s="50"/>
      <c r="L5814" s="48" t="s">
        <v>56716</v>
      </c>
    </row>
    <row r="5815" spans="1:12" s="36" customFormat="1" ht="11.25" x14ac:dyDescent="0.2">
      <c r="A5815" s="46" t="s">
        <v>2971</v>
      </c>
      <c r="B5815" s="46" t="s">
        <v>54473</v>
      </c>
      <c r="C5815" s="58" t="str">
        <f>"00264954"</f>
        <v>00264954</v>
      </c>
      <c r="D5815" s="58" t="str">
        <f>""</f>
        <v/>
      </c>
      <c r="E5815" s="46" t="s">
        <v>1708</v>
      </c>
      <c r="F5815" s="46" t="s">
        <v>17991</v>
      </c>
      <c r="G5815" s="46" t="s">
        <v>50603</v>
      </c>
      <c r="H5815" s="48" t="s">
        <v>56716</v>
      </c>
      <c r="I5815" s="48" t="s">
        <v>50564</v>
      </c>
      <c r="J5815" s="48"/>
      <c r="K5815" s="50"/>
      <c r="L5815" s="48"/>
    </row>
    <row r="5816" spans="1:12" s="36" customFormat="1" ht="11.25" x14ac:dyDescent="0.2">
      <c r="A5816" s="46" t="s">
        <v>3011</v>
      </c>
      <c r="B5816" s="46" t="s">
        <v>54474</v>
      </c>
      <c r="C5816" s="58" t="str">
        <f>"03911772"</f>
        <v>03911772</v>
      </c>
      <c r="D5816" s="58" t="str">
        <f>"18271731"</f>
        <v>18271731</v>
      </c>
      <c r="E5816" s="46" t="s">
        <v>1708</v>
      </c>
      <c r="F5816" s="46" t="s">
        <v>17991</v>
      </c>
      <c r="G5816" s="46" t="s">
        <v>50603</v>
      </c>
      <c r="H5816" s="48" t="s">
        <v>56716</v>
      </c>
      <c r="I5816" s="48" t="s">
        <v>50564</v>
      </c>
      <c r="J5816" s="48"/>
      <c r="K5816" s="50"/>
      <c r="L5816" s="48"/>
    </row>
    <row r="5817" spans="1:12" s="36" customFormat="1" ht="11.25" x14ac:dyDescent="0.2">
      <c r="A5817" s="46" t="s">
        <v>2973</v>
      </c>
      <c r="B5817" s="46" t="s">
        <v>54475</v>
      </c>
      <c r="C5817" s="58" t="str">
        <f>"09264970"</f>
        <v>09264970</v>
      </c>
      <c r="D5817" s="58" t="str">
        <f>"1827174X"</f>
        <v>1827174X</v>
      </c>
      <c r="E5817" s="46" t="s">
        <v>1708</v>
      </c>
      <c r="F5817" s="46" t="s">
        <v>17991</v>
      </c>
      <c r="G5817" s="46" t="s">
        <v>50602</v>
      </c>
      <c r="H5817" s="48" t="s">
        <v>56716</v>
      </c>
      <c r="I5817" s="48" t="s">
        <v>50564</v>
      </c>
      <c r="J5817" s="48"/>
      <c r="K5817" s="50"/>
      <c r="L5817" s="48" t="s">
        <v>56716</v>
      </c>
    </row>
    <row r="5818" spans="1:12" s="36" customFormat="1" ht="11.25" x14ac:dyDescent="0.2">
      <c r="A5818" s="46" t="s">
        <v>3030</v>
      </c>
      <c r="B5818" s="46" t="s">
        <v>54476</v>
      </c>
      <c r="C5818" s="58" t="str">
        <f>"03932249"</f>
        <v>03932249</v>
      </c>
      <c r="D5818" s="58" t="str">
        <f>""</f>
        <v/>
      </c>
      <c r="E5818" s="46" t="s">
        <v>1708</v>
      </c>
      <c r="F5818" s="46" t="s">
        <v>17991</v>
      </c>
      <c r="G5818" s="46" t="s">
        <v>50603</v>
      </c>
      <c r="H5818" s="48" t="s">
        <v>56716</v>
      </c>
      <c r="I5818" s="48" t="s">
        <v>50564</v>
      </c>
      <c r="J5818" s="48"/>
      <c r="K5818" s="50"/>
      <c r="L5818" s="48" t="s">
        <v>56716</v>
      </c>
    </row>
    <row r="5819" spans="1:12" s="36" customFormat="1" ht="11.25" x14ac:dyDescent="0.2">
      <c r="A5819" s="46" t="s">
        <v>7137</v>
      </c>
      <c r="B5819" s="46" t="s">
        <v>54477</v>
      </c>
      <c r="C5819" s="58" t="str">
        <f>"13645706"</f>
        <v>13645706</v>
      </c>
      <c r="D5819" s="58" t="str">
        <f>"13652931"</f>
        <v>13652931</v>
      </c>
      <c r="E5819" s="46" t="s">
        <v>291</v>
      </c>
      <c r="F5819" s="46" t="s">
        <v>50646</v>
      </c>
      <c r="G5819" s="46" t="s">
        <v>50584</v>
      </c>
      <c r="H5819" s="48" t="s">
        <v>56716</v>
      </c>
      <c r="I5819" s="48" t="s">
        <v>50564</v>
      </c>
      <c r="J5819" s="48" t="s">
        <v>56716</v>
      </c>
      <c r="K5819" s="50"/>
      <c r="L5819" s="48" t="s">
        <v>56716</v>
      </c>
    </row>
    <row r="5820" spans="1:12" s="36" customFormat="1" ht="11.25" x14ac:dyDescent="0.2">
      <c r="A5820" s="46" t="s">
        <v>9790</v>
      </c>
      <c r="B5820" s="46" t="s">
        <v>54478</v>
      </c>
      <c r="C5820" s="58" t="str">
        <f>"13895575"</f>
        <v>13895575</v>
      </c>
      <c r="D5820" s="58" t="str">
        <f>"18755607"</f>
        <v>18755607</v>
      </c>
      <c r="E5820" s="46" t="s">
        <v>6405</v>
      </c>
      <c r="F5820" s="46" t="s">
        <v>18001</v>
      </c>
      <c r="G5820" s="46" t="s">
        <v>50584</v>
      </c>
      <c r="H5820" s="48" t="s">
        <v>56716</v>
      </c>
      <c r="I5820" s="48" t="s">
        <v>50564</v>
      </c>
      <c r="J5820" s="48"/>
      <c r="K5820" s="50"/>
      <c r="L5820" s="48" t="s">
        <v>56716</v>
      </c>
    </row>
    <row r="5821" spans="1:12" s="36" customFormat="1" ht="11.25" x14ac:dyDescent="0.2">
      <c r="A5821" s="45" t="s">
        <v>40949</v>
      </c>
      <c r="B5821" s="45" t="s">
        <v>40951</v>
      </c>
      <c r="C5821" s="51" t="s">
        <v>40952</v>
      </c>
      <c r="D5821" s="51"/>
      <c r="E5821" s="45" t="s">
        <v>40953</v>
      </c>
      <c r="F5821" s="45" t="s">
        <v>17759</v>
      </c>
      <c r="G5821" s="45" t="s">
        <v>50584</v>
      </c>
      <c r="H5821" s="56"/>
      <c r="I5821" s="56" t="s">
        <v>50564</v>
      </c>
      <c r="J5821" s="56"/>
      <c r="K5821" s="50"/>
      <c r="L5821" s="56" t="s">
        <v>56716</v>
      </c>
    </row>
    <row r="5822" spans="1:12" s="36" customFormat="1" ht="11.25" x14ac:dyDescent="0.2">
      <c r="A5822" s="45" t="s">
        <v>40955</v>
      </c>
      <c r="B5822" s="45" t="s">
        <v>40957</v>
      </c>
      <c r="C5822" s="51" t="s">
        <v>40958</v>
      </c>
      <c r="D5822" s="51"/>
      <c r="E5822" s="45" t="s">
        <v>40959</v>
      </c>
      <c r="F5822" s="45" t="s">
        <v>17759</v>
      </c>
      <c r="G5822" s="45" t="s">
        <v>50584</v>
      </c>
      <c r="H5822" s="56"/>
      <c r="I5822" s="56" t="s">
        <v>50564</v>
      </c>
      <c r="J5822" s="56"/>
      <c r="K5822" s="50"/>
      <c r="L5822" s="56" t="s">
        <v>56716</v>
      </c>
    </row>
    <row r="5823" spans="1:12" s="36" customFormat="1" ht="11.25" x14ac:dyDescent="0.2">
      <c r="A5823" s="45" t="s">
        <v>40963</v>
      </c>
      <c r="B5823" s="45" t="s">
        <v>40965</v>
      </c>
      <c r="C5823" s="51" t="s">
        <v>40967</v>
      </c>
      <c r="D5823" s="51"/>
      <c r="E5823" s="45" t="s">
        <v>40968</v>
      </c>
      <c r="F5823" s="45" t="s">
        <v>17759</v>
      </c>
      <c r="G5823" s="45" t="s">
        <v>50584</v>
      </c>
      <c r="H5823" s="56"/>
      <c r="I5823" s="56" t="s">
        <v>50564</v>
      </c>
      <c r="J5823" s="56"/>
      <c r="K5823" s="50"/>
      <c r="L5823" s="56" t="s">
        <v>56716</v>
      </c>
    </row>
    <row r="5824" spans="1:12" s="36" customFormat="1" ht="11.25" x14ac:dyDescent="0.2">
      <c r="A5824" s="46" t="s">
        <v>12840</v>
      </c>
      <c r="B5824" s="46" t="s">
        <v>12840</v>
      </c>
      <c r="C5824" s="58" t="str">
        <f>"19401736"</f>
        <v>19401736</v>
      </c>
      <c r="D5824" s="58" t="str">
        <f>"19401744"</f>
        <v>19401744</v>
      </c>
      <c r="E5824" s="46" t="s">
        <v>291</v>
      </c>
      <c r="F5824" s="46" t="s">
        <v>50646</v>
      </c>
      <c r="G5824" s="46" t="s">
        <v>50584</v>
      </c>
      <c r="H5824" s="48" t="s">
        <v>56716</v>
      </c>
      <c r="I5824" s="48" t="s">
        <v>50564</v>
      </c>
      <c r="J5824" s="48" t="s">
        <v>56716</v>
      </c>
      <c r="K5824" s="50"/>
      <c r="L5824" s="48" t="s">
        <v>56716</v>
      </c>
    </row>
    <row r="5825" spans="1:12" s="36" customFormat="1" ht="11.25" x14ac:dyDescent="0.2">
      <c r="A5825" s="46" t="s">
        <v>8993</v>
      </c>
      <c r="B5825" s="46" t="s">
        <v>8993</v>
      </c>
      <c r="C5825" s="58" t="str">
        <f>"15677249"</f>
        <v>15677249</v>
      </c>
      <c r="D5825" s="58" t="str">
        <f>"18728278"</f>
        <v>18728278</v>
      </c>
      <c r="E5825" s="46" t="s">
        <v>91</v>
      </c>
      <c r="F5825" s="46" t="s">
        <v>18001</v>
      </c>
      <c r="G5825" s="46" t="s">
        <v>50584</v>
      </c>
      <c r="H5825" s="48" t="s">
        <v>56716</v>
      </c>
      <c r="I5825" s="48" t="s">
        <v>50564</v>
      </c>
      <c r="J5825" s="48" t="s">
        <v>56716</v>
      </c>
      <c r="K5825" s="50" t="s">
        <v>56716</v>
      </c>
      <c r="L5825" s="48" t="s">
        <v>56716</v>
      </c>
    </row>
    <row r="5826" spans="1:12" s="36" customFormat="1" ht="11.25" x14ac:dyDescent="0.2">
      <c r="A5826" s="45" t="s">
        <v>40982</v>
      </c>
      <c r="B5826" s="45" t="s">
        <v>40984</v>
      </c>
      <c r="C5826" s="51" t="s">
        <v>40985</v>
      </c>
      <c r="D5826" s="51"/>
      <c r="E5826" s="45" t="s">
        <v>40986</v>
      </c>
      <c r="F5826" s="45" t="s">
        <v>17759</v>
      </c>
      <c r="G5826" s="45" t="s">
        <v>50584</v>
      </c>
      <c r="H5826" s="56"/>
      <c r="I5826" s="56" t="s">
        <v>50564</v>
      </c>
      <c r="J5826" s="56"/>
      <c r="K5826" s="50"/>
      <c r="L5826" s="56" t="s">
        <v>56716</v>
      </c>
    </row>
    <row r="5827" spans="1:12" s="36" customFormat="1" ht="11.25" x14ac:dyDescent="0.2">
      <c r="A5827" s="46" t="s">
        <v>8305</v>
      </c>
      <c r="B5827" s="46" t="s">
        <v>54479</v>
      </c>
      <c r="C5827" s="58" t="str">
        <f>"14383276"</f>
        <v>14383276</v>
      </c>
      <c r="D5827" s="58" t="str">
        <f>""</f>
        <v/>
      </c>
      <c r="E5827" s="46" t="s">
        <v>6022</v>
      </c>
      <c r="F5827" s="46" t="s">
        <v>18158</v>
      </c>
      <c r="G5827" s="46" t="s">
        <v>50593</v>
      </c>
      <c r="H5827" s="48" t="s">
        <v>56716</v>
      </c>
      <c r="I5827" s="48" t="s">
        <v>50564</v>
      </c>
      <c r="J5827" s="48"/>
      <c r="K5827" s="50"/>
      <c r="L5827" s="48" t="s">
        <v>56716</v>
      </c>
    </row>
    <row r="5828" spans="1:12" s="36" customFormat="1" ht="11.25" x14ac:dyDescent="0.2">
      <c r="A5828" s="45" t="s">
        <v>40993</v>
      </c>
      <c r="B5828" s="45" t="s">
        <v>40995</v>
      </c>
      <c r="C5828" s="51" t="s">
        <v>40998</v>
      </c>
      <c r="D5828" s="51" t="s">
        <v>40997</v>
      </c>
      <c r="E5828" s="45" t="s">
        <v>40999</v>
      </c>
      <c r="F5828" s="45" t="s">
        <v>17759</v>
      </c>
      <c r="G5828" s="45" t="s">
        <v>50584</v>
      </c>
      <c r="H5828" s="56"/>
      <c r="I5828" s="56" t="s">
        <v>50564</v>
      </c>
      <c r="J5828" s="56"/>
      <c r="K5828" s="50"/>
      <c r="L5828" s="56" t="s">
        <v>56716</v>
      </c>
    </row>
    <row r="5829" spans="1:12" s="36" customFormat="1" ht="11.25" x14ac:dyDescent="0.2">
      <c r="A5829" s="45" t="s">
        <v>41002</v>
      </c>
      <c r="B5829" s="45" t="s">
        <v>41004</v>
      </c>
      <c r="C5829" s="51" t="s">
        <v>41007</v>
      </c>
      <c r="D5829" s="51" t="s">
        <v>41006</v>
      </c>
      <c r="E5829" s="45" t="s">
        <v>41008</v>
      </c>
      <c r="F5829" s="45" t="s">
        <v>17759</v>
      </c>
      <c r="G5829" s="45" t="s">
        <v>50584</v>
      </c>
      <c r="H5829" s="56"/>
      <c r="I5829" s="56" t="s">
        <v>50564</v>
      </c>
      <c r="J5829" s="56"/>
      <c r="K5829" s="50"/>
      <c r="L5829" s="56" t="s">
        <v>56716</v>
      </c>
    </row>
    <row r="5830" spans="1:12" s="36" customFormat="1" ht="11.25" x14ac:dyDescent="0.2">
      <c r="A5830" s="46" t="s">
        <v>14606</v>
      </c>
      <c r="B5830" s="46" t="s">
        <v>54480</v>
      </c>
      <c r="C5830" s="58" t="str">
        <f>""</f>
        <v/>
      </c>
      <c r="D5830" s="58" t="str">
        <f>"17598753"</f>
        <v>17598753</v>
      </c>
      <c r="E5830" s="46" t="s">
        <v>2299</v>
      </c>
      <c r="F5830" s="46" t="s">
        <v>50646</v>
      </c>
      <c r="G5830" s="46" t="s">
        <v>50584</v>
      </c>
      <c r="H5830" s="48" t="s">
        <v>56716</v>
      </c>
      <c r="I5830" s="48" t="s">
        <v>50564</v>
      </c>
      <c r="J5830" s="48" t="s">
        <v>56716</v>
      </c>
      <c r="K5830" s="50" t="s">
        <v>56716</v>
      </c>
      <c r="L5830" s="48"/>
    </row>
    <row r="5831" spans="1:12" s="36" customFormat="1" ht="11.25" x14ac:dyDescent="0.2">
      <c r="A5831" s="46" t="s">
        <v>15898</v>
      </c>
      <c r="B5831" s="46" t="s">
        <v>54481</v>
      </c>
      <c r="C5831" s="58" t="str">
        <f>"21592543"</f>
        <v>21592543</v>
      </c>
      <c r="D5831" s="58" t="str">
        <f>"2159256X"</f>
        <v>2159256X</v>
      </c>
      <c r="E5831" s="46" t="s">
        <v>669</v>
      </c>
      <c r="F5831" s="46" t="s">
        <v>17759</v>
      </c>
      <c r="G5831" s="46" t="s">
        <v>50584</v>
      </c>
      <c r="H5831" s="48" t="s">
        <v>56716</v>
      </c>
      <c r="I5831" s="48" t="s">
        <v>50564</v>
      </c>
      <c r="J5831" s="48"/>
      <c r="K5831" s="50"/>
      <c r="L5831" s="48"/>
    </row>
    <row r="5832" spans="1:12" s="36" customFormat="1" ht="11.25" x14ac:dyDescent="0.2">
      <c r="A5832" s="45" t="s">
        <v>41010</v>
      </c>
      <c r="B5832" s="45" t="s">
        <v>41012</v>
      </c>
      <c r="C5832" s="51" t="s">
        <v>41014</v>
      </c>
      <c r="D5832" s="51"/>
      <c r="E5832" s="45" t="s">
        <v>41015</v>
      </c>
      <c r="F5832" s="45" t="s">
        <v>17759</v>
      </c>
      <c r="G5832" s="45" t="s">
        <v>50584</v>
      </c>
      <c r="H5832" s="56"/>
      <c r="I5832" s="56" t="s">
        <v>50564</v>
      </c>
      <c r="J5832" s="56"/>
      <c r="K5832" s="50"/>
      <c r="L5832" s="56" t="s">
        <v>56716</v>
      </c>
    </row>
    <row r="5833" spans="1:12" s="36" customFormat="1" ht="11.25" x14ac:dyDescent="0.2">
      <c r="A5833" s="46" t="s">
        <v>6393</v>
      </c>
      <c r="B5833" s="46" t="s">
        <v>54482</v>
      </c>
      <c r="C5833" s="58" t="str">
        <f>"08933952"</f>
        <v>08933952</v>
      </c>
      <c r="D5833" s="58" t="str">
        <f>"15300285"</f>
        <v>15300285</v>
      </c>
      <c r="E5833" s="46" t="s">
        <v>315</v>
      </c>
      <c r="F5833" s="46" t="s">
        <v>50646</v>
      </c>
      <c r="G5833" s="46" t="s">
        <v>50584</v>
      </c>
      <c r="H5833" s="48" t="s">
        <v>56716</v>
      </c>
      <c r="I5833" s="48" t="s">
        <v>50564</v>
      </c>
      <c r="J5833" s="48" t="s">
        <v>56716</v>
      </c>
      <c r="K5833" s="50" t="s">
        <v>56716</v>
      </c>
      <c r="L5833" s="48" t="s">
        <v>56716</v>
      </c>
    </row>
    <row r="5834" spans="1:12" s="36" customFormat="1" ht="11.25" x14ac:dyDescent="0.2">
      <c r="A5834" s="46" t="s">
        <v>14641</v>
      </c>
      <c r="B5834" s="46" t="s">
        <v>54483</v>
      </c>
      <c r="C5834" s="58" t="str">
        <f>"19409257"</f>
        <v>19409257</v>
      </c>
      <c r="D5834" s="58" t="str">
        <f>""</f>
        <v/>
      </c>
      <c r="E5834" s="46" t="s">
        <v>14643</v>
      </c>
      <c r="F5834" s="46" t="s">
        <v>17759</v>
      </c>
      <c r="G5834" s="46" t="s">
        <v>50584</v>
      </c>
      <c r="H5834" s="48" t="s">
        <v>56716</v>
      </c>
      <c r="I5834" s="48" t="s">
        <v>50564</v>
      </c>
      <c r="J5834" s="48"/>
      <c r="K5834" s="50"/>
      <c r="L5834" s="48"/>
    </row>
    <row r="5835" spans="1:12" s="36" customFormat="1" ht="11.25" x14ac:dyDescent="0.2">
      <c r="A5835" s="46" t="s">
        <v>8744</v>
      </c>
      <c r="B5835" s="46" t="s">
        <v>54484</v>
      </c>
      <c r="C5835" s="58" t="str">
        <f>"14397595"</f>
        <v>14397595</v>
      </c>
      <c r="D5835" s="58" t="str">
        <f>"14397609"</f>
        <v>14397609</v>
      </c>
      <c r="E5835" s="46" t="s">
        <v>291</v>
      </c>
      <c r="F5835" s="46" t="s">
        <v>18242</v>
      </c>
      <c r="G5835" s="46" t="s">
        <v>50584</v>
      </c>
      <c r="H5835" s="48" t="s">
        <v>56716</v>
      </c>
      <c r="I5835" s="48" t="s">
        <v>50564</v>
      </c>
      <c r="J5835" s="48" t="s">
        <v>56716</v>
      </c>
      <c r="K5835" s="50"/>
      <c r="L5835" s="48" t="s">
        <v>56716</v>
      </c>
    </row>
    <row r="5836" spans="1:12" s="36" customFormat="1" ht="11.25" x14ac:dyDescent="0.2">
      <c r="A5836" s="46" t="s">
        <v>12291</v>
      </c>
      <c r="B5836" s="46" t="s">
        <v>54485</v>
      </c>
      <c r="C5836" s="58" t="str">
        <f>"16622685"</f>
        <v>16622685</v>
      </c>
      <c r="D5836" s="58" t="str">
        <f>"16624505"</f>
        <v>16624505</v>
      </c>
      <c r="E5836" s="46" t="s">
        <v>109</v>
      </c>
      <c r="F5836" s="46" t="s">
        <v>18123</v>
      </c>
      <c r="G5836" s="46" t="s">
        <v>50584</v>
      </c>
      <c r="H5836" s="48" t="s">
        <v>56716</v>
      </c>
      <c r="I5836" s="48" t="s">
        <v>50565</v>
      </c>
      <c r="J5836" s="48" t="s">
        <v>56716</v>
      </c>
      <c r="K5836" s="50"/>
      <c r="L5836" s="48" t="s">
        <v>56716</v>
      </c>
    </row>
    <row r="5837" spans="1:12" s="36" customFormat="1" ht="11.25" x14ac:dyDescent="0.2">
      <c r="A5837" s="45" t="s">
        <v>41027</v>
      </c>
      <c r="B5837" s="45" t="s">
        <v>41029</v>
      </c>
      <c r="C5837" s="51" t="s">
        <v>41032</v>
      </c>
      <c r="D5837" s="51" t="s">
        <v>41031</v>
      </c>
      <c r="E5837" s="45" t="s">
        <v>41033</v>
      </c>
      <c r="F5837" s="45" t="s">
        <v>17759</v>
      </c>
      <c r="G5837" s="45" t="s">
        <v>50584</v>
      </c>
      <c r="H5837" s="56"/>
      <c r="I5837" s="56" t="s">
        <v>50564</v>
      </c>
      <c r="J5837" s="56"/>
      <c r="K5837" s="50"/>
      <c r="L5837" s="56" t="s">
        <v>56716</v>
      </c>
    </row>
    <row r="5838" spans="1:12" s="36" customFormat="1" ht="11.25" x14ac:dyDescent="0.2">
      <c r="A5838" s="46" t="s">
        <v>2884</v>
      </c>
      <c r="B5838" s="46" t="s">
        <v>54486</v>
      </c>
      <c r="C5838" s="58" t="str">
        <f>"01666851"</f>
        <v>01666851</v>
      </c>
      <c r="D5838" s="58" t="str">
        <f>"18729428"</f>
        <v>18729428</v>
      </c>
      <c r="E5838" s="46" t="s">
        <v>91</v>
      </c>
      <c r="F5838" s="46" t="s">
        <v>18001</v>
      </c>
      <c r="G5838" s="46" t="s">
        <v>50584</v>
      </c>
      <c r="H5838" s="48" t="s">
        <v>56716</v>
      </c>
      <c r="I5838" s="48" t="s">
        <v>50564</v>
      </c>
      <c r="J5838" s="48" t="s">
        <v>56716</v>
      </c>
      <c r="K5838" s="50" t="s">
        <v>56716</v>
      </c>
      <c r="L5838" s="48" t="s">
        <v>56716</v>
      </c>
    </row>
    <row r="5839" spans="1:12" s="36" customFormat="1" ht="11.25" x14ac:dyDescent="0.2">
      <c r="A5839" s="46" t="s">
        <v>2887</v>
      </c>
      <c r="B5839" s="46" t="s">
        <v>54487</v>
      </c>
      <c r="C5839" s="58" t="str">
        <f>"03008177"</f>
        <v>03008177</v>
      </c>
      <c r="D5839" s="58" t="str">
        <f>"15734919"</f>
        <v>15734919</v>
      </c>
      <c r="E5839" s="46" t="s">
        <v>18876</v>
      </c>
      <c r="F5839" s="46" t="s">
        <v>18001</v>
      </c>
      <c r="G5839" s="46" t="s">
        <v>50584</v>
      </c>
      <c r="H5839" s="48" t="s">
        <v>56716</v>
      </c>
      <c r="I5839" s="48" t="s">
        <v>50564</v>
      </c>
      <c r="J5839" s="48"/>
      <c r="K5839" s="50" t="s">
        <v>56716</v>
      </c>
      <c r="L5839" s="48" t="s">
        <v>56716</v>
      </c>
    </row>
    <row r="5840" spans="1:12" s="36" customFormat="1" ht="11.25" x14ac:dyDescent="0.2">
      <c r="A5840" s="46" t="s">
        <v>2893</v>
      </c>
      <c r="B5840" s="46" t="s">
        <v>54488</v>
      </c>
      <c r="C5840" s="58" t="str">
        <f>"02707306"</f>
        <v>02707306</v>
      </c>
      <c r="D5840" s="58" t="str">
        <f>"10985549"</f>
        <v>10985549</v>
      </c>
      <c r="E5840" s="46" t="s">
        <v>441</v>
      </c>
      <c r="F5840" s="46" t="s">
        <v>17759</v>
      </c>
      <c r="G5840" s="46" t="s">
        <v>50584</v>
      </c>
      <c r="H5840" s="48" t="s">
        <v>56716</v>
      </c>
      <c r="I5840" s="48" t="s">
        <v>50564</v>
      </c>
      <c r="J5840" s="48" t="s">
        <v>56716</v>
      </c>
      <c r="K5840" s="50"/>
      <c r="L5840" s="48" t="s">
        <v>56716</v>
      </c>
    </row>
    <row r="5841" spans="1:12" s="36" customFormat="1" ht="11.25" x14ac:dyDescent="0.2">
      <c r="A5841" s="46" t="s">
        <v>2896</v>
      </c>
      <c r="B5841" s="46" t="s">
        <v>54489</v>
      </c>
      <c r="C5841" s="58" t="str">
        <f>"03037207"</f>
        <v>03037207</v>
      </c>
      <c r="D5841" s="58" t="str">
        <f>"18728057"</f>
        <v>18728057</v>
      </c>
      <c r="E5841" s="46" t="s">
        <v>221</v>
      </c>
      <c r="F5841" s="46" t="s">
        <v>21771</v>
      </c>
      <c r="G5841" s="46" t="s">
        <v>50584</v>
      </c>
      <c r="H5841" s="48" t="s">
        <v>56716</v>
      </c>
      <c r="I5841" s="48" t="s">
        <v>50564</v>
      </c>
      <c r="J5841" s="48" t="s">
        <v>56716</v>
      </c>
      <c r="K5841" s="50" t="s">
        <v>56716</v>
      </c>
      <c r="L5841" s="48" t="s">
        <v>56716</v>
      </c>
    </row>
    <row r="5842" spans="1:12" s="36" customFormat="1" ht="11.25" x14ac:dyDescent="0.2">
      <c r="A5842" s="46" t="s">
        <v>5627</v>
      </c>
      <c r="B5842" s="46" t="s">
        <v>54490</v>
      </c>
      <c r="C5842" s="58" t="str">
        <f>"10447431"</f>
        <v>10447431</v>
      </c>
      <c r="D5842" s="58" t="str">
        <f>"10959327"</f>
        <v>10959327</v>
      </c>
      <c r="E5842" s="46" t="s">
        <v>60</v>
      </c>
      <c r="F5842" s="46" t="s">
        <v>17759</v>
      </c>
      <c r="G5842" s="46" t="s">
        <v>50584</v>
      </c>
      <c r="H5842" s="48" t="s">
        <v>56716</v>
      </c>
      <c r="I5842" s="48" t="s">
        <v>50564</v>
      </c>
      <c r="J5842" s="48" t="s">
        <v>56716</v>
      </c>
      <c r="K5842" s="50" t="s">
        <v>56716</v>
      </c>
      <c r="L5842" s="48" t="s">
        <v>56716</v>
      </c>
    </row>
    <row r="5843" spans="1:12" s="36" customFormat="1" ht="11.25" x14ac:dyDescent="0.2">
      <c r="A5843" s="46" t="s">
        <v>13999</v>
      </c>
      <c r="B5843" s="46" t="s">
        <v>54491</v>
      </c>
      <c r="C5843" s="58" t="str">
        <f>""</f>
        <v/>
      </c>
      <c r="D5843" s="58" t="str">
        <f>"19381247"</f>
        <v>19381247</v>
      </c>
      <c r="E5843" s="46" t="s">
        <v>14001</v>
      </c>
      <c r="F5843" s="46" t="s">
        <v>17759</v>
      </c>
      <c r="G5843" s="46" t="s">
        <v>50584</v>
      </c>
      <c r="H5843" s="48" t="s">
        <v>56716</v>
      </c>
      <c r="I5843" s="48" t="s">
        <v>50564</v>
      </c>
      <c r="J5843" s="48"/>
      <c r="K5843" s="50"/>
      <c r="L5843" s="48"/>
    </row>
    <row r="5844" spans="1:12" s="36" customFormat="1" ht="11.25" x14ac:dyDescent="0.2">
      <c r="A5844" s="46" t="s">
        <v>5952</v>
      </c>
      <c r="B5844" s="46" t="s">
        <v>54492</v>
      </c>
      <c r="C5844" s="58" t="str">
        <f>"08908508"</f>
        <v>08908508</v>
      </c>
      <c r="D5844" s="58" t="str">
        <f>"10961194"</f>
        <v>10961194</v>
      </c>
      <c r="E5844" s="46" t="s">
        <v>601</v>
      </c>
      <c r="F5844" s="46" t="s">
        <v>50646</v>
      </c>
      <c r="G5844" s="46" t="s">
        <v>50584</v>
      </c>
      <c r="H5844" s="48" t="s">
        <v>56716</v>
      </c>
      <c r="I5844" s="48" t="s">
        <v>50564</v>
      </c>
      <c r="J5844" s="48" t="s">
        <v>56716</v>
      </c>
      <c r="K5844" s="50" t="s">
        <v>56716</v>
      </c>
      <c r="L5844" s="48" t="s">
        <v>56716</v>
      </c>
    </row>
    <row r="5845" spans="1:12" s="36" customFormat="1" ht="11.25" x14ac:dyDescent="0.2">
      <c r="A5845" s="46" t="s">
        <v>9867</v>
      </c>
      <c r="B5845" s="46" t="s">
        <v>54493</v>
      </c>
      <c r="C5845" s="58" t="str">
        <f>"15359476"</f>
        <v>15359476</v>
      </c>
      <c r="D5845" s="58" t="str">
        <f>"15359484"</f>
        <v>15359484</v>
      </c>
      <c r="E5845" s="46" t="s">
        <v>2154</v>
      </c>
      <c r="F5845" s="46" t="s">
        <v>17759</v>
      </c>
      <c r="G5845" s="46" t="s">
        <v>50584</v>
      </c>
      <c r="H5845" s="48" t="s">
        <v>56716</v>
      </c>
      <c r="I5845" s="48" t="s">
        <v>50564</v>
      </c>
      <c r="J5845" s="48" t="s">
        <v>56716</v>
      </c>
      <c r="K5845" s="50"/>
      <c r="L5845" s="48" t="s">
        <v>56716</v>
      </c>
    </row>
    <row r="5846" spans="1:12" s="36" customFormat="1" ht="11.25" x14ac:dyDescent="0.2">
      <c r="A5846" s="46" t="s">
        <v>12632</v>
      </c>
      <c r="B5846" s="46" t="s">
        <v>54494</v>
      </c>
      <c r="C5846" s="58" t="str">
        <f>"1738642X"</f>
        <v>1738642X</v>
      </c>
      <c r="D5846" s="58" t="str">
        <f>"20928467"</f>
        <v>20928467</v>
      </c>
      <c r="E5846" s="46" t="s">
        <v>167</v>
      </c>
      <c r="F5846" s="46" t="s">
        <v>18158</v>
      </c>
      <c r="G5846" s="46" t="s">
        <v>50584</v>
      </c>
      <c r="H5846" s="48" t="s">
        <v>56716</v>
      </c>
      <c r="I5846" s="48" t="s">
        <v>50564</v>
      </c>
      <c r="J5846" s="48"/>
      <c r="K5846" s="50"/>
      <c r="L5846" s="48"/>
    </row>
    <row r="5847" spans="1:12" s="36" customFormat="1" ht="11.25" x14ac:dyDescent="0.2">
      <c r="A5847" s="46" t="s">
        <v>17297</v>
      </c>
      <c r="B5847" s="46" t="s">
        <v>54495</v>
      </c>
      <c r="C5847" s="58" t="str">
        <f>"20499450"</f>
        <v>20499450</v>
      </c>
      <c r="D5847" s="58" t="str">
        <f>"20499469"</f>
        <v>20499469</v>
      </c>
      <c r="E5847" s="46" t="s">
        <v>5951</v>
      </c>
      <c r="F5847" s="46" t="s">
        <v>20969</v>
      </c>
      <c r="G5847" s="46" t="s">
        <v>50584</v>
      </c>
      <c r="H5847" s="48" t="s">
        <v>56716</v>
      </c>
      <c r="I5847" s="48" t="s">
        <v>50564</v>
      </c>
      <c r="J5847" s="48"/>
      <c r="K5847" s="50"/>
      <c r="L5847" s="48"/>
    </row>
    <row r="5848" spans="1:12" s="36" customFormat="1" ht="11.25" x14ac:dyDescent="0.2">
      <c r="A5848" s="46" t="s">
        <v>2870</v>
      </c>
      <c r="B5848" s="46" t="s">
        <v>54496</v>
      </c>
      <c r="C5848" s="58" t="str">
        <f>"00982997"</f>
        <v>00982997</v>
      </c>
      <c r="D5848" s="58" t="str">
        <f>"18729452"</f>
        <v>18729452</v>
      </c>
      <c r="E5848" s="46" t="s">
        <v>155</v>
      </c>
      <c r="F5848" s="46" t="s">
        <v>50646</v>
      </c>
      <c r="G5848" s="46" t="s">
        <v>50584</v>
      </c>
      <c r="H5848" s="48" t="s">
        <v>56716</v>
      </c>
      <c r="I5848" s="48" t="s">
        <v>50564</v>
      </c>
      <c r="J5848" s="48"/>
      <c r="K5848" s="50" t="s">
        <v>56716</v>
      </c>
      <c r="L5848" s="48" t="s">
        <v>56716</v>
      </c>
    </row>
    <row r="5849" spans="1:12" s="36" customFormat="1" ht="11.25" x14ac:dyDescent="0.2">
      <c r="A5849" s="46" t="s">
        <v>14610</v>
      </c>
      <c r="B5849" s="46" t="s">
        <v>54497</v>
      </c>
      <c r="C5849" s="58" t="str">
        <f>""</f>
        <v/>
      </c>
      <c r="D5849" s="58" t="str">
        <f>"20402392"</f>
        <v>20402392</v>
      </c>
      <c r="E5849" s="46" t="s">
        <v>2299</v>
      </c>
      <c r="F5849" s="46" t="s">
        <v>50646</v>
      </c>
      <c r="G5849" s="46" t="s">
        <v>50584</v>
      </c>
      <c r="H5849" s="48" t="s">
        <v>56716</v>
      </c>
      <c r="I5849" s="48" t="s">
        <v>50564</v>
      </c>
      <c r="J5849" s="48" t="s">
        <v>56716</v>
      </c>
      <c r="K5849" s="50" t="s">
        <v>56716</v>
      </c>
      <c r="L5849" s="48"/>
    </row>
    <row r="5850" spans="1:12" s="36" customFormat="1" ht="11.25" x14ac:dyDescent="0.2">
      <c r="A5850" s="46" t="s">
        <v>2881</v>
      </c>
      <c r="B5850" s="46" t="s">
        <v>54498</v>
      </c>
      <c r="C5850" s="58" t="str">
        <f>"07374038"</f>
        <v>07374038</v>
      </c>
      <c r="D5850" s="58" t="str">
        <f>"15371719"</f>
        <v>15371719</v>
      </c>
      <c r="E5850" s="46" t="s">
        <v>55</v>
      </c>
      <c r="F5850" s="46" t="s">
        <v>50646</v>
      </c>
      <c r="G5850" s="46" t="s">
        <v>50584</v>
      </c>
      <c r="H5850" s="48" t="s">
        <v>56716</v>
      </c>
      <c r="I5850" s="48" t="s">
        <v>50564</v>
      </c>
      <c r="J5850" s="48"/>
      <c r="K5850" s="50"/>
      <c r="L5850" s="48" t="s">
        <v>56716</v>
      </c>
    </row>
    <row r="5851" spans="1:12" s="36" customFormat="1" ht="11.25" x14ac:dyDescent="0.2">
      <c r="A5851" s="46" t="s">
        <v>5888</v>
      </c>
      <c r="B5851" s="46" t="s">
        <v>54499</v>
      </c>
      <c r="C5851" s="58" t="str">
        <f>"10591524"</f>
        <v>10591524</v>
      </c>
      <c r="D5851" s="58" t="str">
        <f>"19394586"</f>
        <v>19394586</v>
      </c>
      <c r="E5851" s="46" t="s">
        <v>5891</v>
      </c>
      <c r="F5851" s="46" t="s">
        <v>17759</v>
      </c>
      <c r="G5851" s="46" t="s">
        <v>50584</v>
      </c>
      <c r="H5851" s="48" t="s">
        <v>56716</v>
      </c>
      <c r="I5851" s="48" t="s">
        <v>50564</v>
      </c>
      <c r="J5851" s="48" t="s">
        <v>56716</v>
      </c>
      <c r="K5851" s="50"/>
      <c r="L5851" s="48" t="s">
        <v>56716</v>
      </c>
    </row>
    <row r="5852" spans="1:12" s="36" customFormat="1" ht="11.25" x14ac:dyDescent="0.2">
      <c r="A5852" s="46" t="s">
        <v>6944</v>
      </c>
      <c r="B5852" s="46" t="s">
        <v>54500</v>
      </c>
      <c r="C5852" s="58" t="str">
        <f>"03014851"</f>
        <v>03014851</v>
      </c>
      <c r="D5852" s="58" t="str">
        <f>"15734978"</f>
        <v>15734978</v>
      </c>
      <c r="E5852" s="46" t="s">
        <v>18876</v>
      </c>
      <c r="F5852" s="46" t="s">
        <v>18001</v>
      </c>
      <c r="G5852" s="46" t="s">
        <v>50584</v>
      </c>
      <c r="H5852" s="48" t="s">
        <v>56716</v>
      </c>
      <c r="I5852" s="48" t="s">
        <v>50564</v>
      </c>
      <c r="J5852" s="48"/>
      <c r="K5852" s="50" t="s">
        <v>56716</v>
      </c>
      <c r="L5852" s="48" t="s">
        <v>56716</v>
      </c>
    </row>
    <row r="5853" spans="1:12" s="36" customFormat="1" ht="11.25" x14ac:dyDescent="0.2">
      <c r="A5853" s="45" t="s">
        <v>41089</v>
      </c>
      <c r="B5853" s="45" t="s">
        <v>41091</v>
      </c>
      <c r="C5853" s="51" t="s">
        <v>41093</v>
      </c>
      <c r="D5853" s="51" t="s">
        <v>41092</v>
      </c>
      <c r="E5853" s="45" t="s">
        <v>6914</v>
      </c>
      <c r="F5853" s="45" t="s">
        <v>50646</v>
      </c>
      <c r="G5853" s="45" t="s">
        <v>50584</v>
      </c>
      <c r="H5853" s="56"/>
      <c r="I5853" s="56" t="s">
        <v>50564</v>
      </c>
      <c r="J5853" s="56"/>
      <c r="K5853" s="50"/>
      <c r="L5853" s="56" t="s">
        <v>56716</v>
      </c>
    </row>
    <row r="5854" spans="1:12" s="36" customFormat="1" ht="11.25" x14ac:dyDescent="0.2">
      <c r="A5854" s="46" t="s">
        <v>10793</v>
      </c>
      <c r="B5854" s="46" t="s">
        <v>54501</v>
      </c>
      <c r="C5854" s="58" t="str">
        <f>"10736085"</f>
        <v>10736085</v>
      </c>
      <c r="D5854" s="58" t="str">
        <f>"15590305"</f>
        <v>15590305</v>
      </c>
      <c r="E5854" s="46" t="s">
        <v>40314</v>
      </c>
      <c r="F5854" s="46" t="s">
        <v>17759</v>
      </c>
      <c r="G5854" s="46" t="s">
        <v>50584</v>
      </c>
      <c r="H5854" s="48" t="s">
        <v>56716</v>
      </c>
      <c r="I5854" s="48" t="s">
        <v>50564</v>
      </c>
      <c r="J5854" s="48"/>
      <c r="K5854" s="50" t="s">
        <v>56716</v>
      </c>
      <c r="L5854" s="48" t="s">
        <v>56716</v>
      </c>
    </row>
    <row r="5855" spans="1:12" s="36" customFormat="1" ht="11.25" x14ac:dyDescent="0.2">
      <c r="A5855" s="46" t="s">
        <v>13123</v>
      </c>
      <c r="B5855" s="46" t="s">
        <v>54502</v>
      </c>
      <c r="C5855" s="58" t="str">
        <f>""</f>
        <v/>
      </c>
      <c r="D5855" s="58" t="str">
        <f>"17566606"</f>
        <v>17566606</v>
      </c>
      <c r="E5855" s="46" t="s">
        <v>2299</v>
      </c>
      <c r="F5855" s="46" t="s">
        <v>50646</v>
      </c>
      <c r="G5855" s="46" t="s">
        <v>50584</v>
      </c>
      <c r="H5855" s="48" t="s">
        <v>56716</v>
      </c>
      <c r="I5855" s="48" t="s">
        <v>50564</v>
      </c>
      <c r="J5855" s="48" t="s">
        <v>56716</v>
      </c>
      <c r="K5855" s="50" t="s">
        <v>56716</v>
      </c>
      <c r="L5855" s="48" t="s">
        <v>56716</v>
      </c>
    </row>
    <row r="5856" spans="1:12" s="36" customFormat="1" ht="11.25" x14ac:dyDescent="0.2">
      <c r="A5856" s="46" t="s">
        <v>9756</v>
      </c>
      <c r="B5856" s="46" t="s">
        <v>54503</v>
      </c>
      <c r="C5856" s="58" t="str">
        <f>""</f>
        <v/>
      </c>
      <c r="D5856" s="58" t="str">
        <f>"14764598"</f>
        <v>14764598</v>
      </c>
      <c r="E5856" s="46" t="s">
        <v>2299</v>
      </c>
      <c r="F5856" s="46" t="s">
        <v>50646</v>
      </c>
      <c r="G5856" s="46" t="s">
        <v>50584</v>
      </c>
      <c r="H5856" s="48" t="s">
        <v>56716</v>
      </c>
      <c r="I5856" s="48" t="s">
        <v>50564</v>
      </c>
      <c r="J5856" s="48"/>
      <c r="K5856" s="50" t="s">
        <v>56716</v>
      </c>
      <c r="L5856" s="48" t="s">
        <v>56716</v>
      </c>
    </row>
    <row r="5857" spans="1:12" s="36" customFormat="1" ht="11.25" x14ac:dyDescent="0.2">
      <c r="A5857" s="46" t="s">
        <v>9557</v>
      </c>
      <c r="B5857" s="46" t="s">
        <v>54504</v>
      </c>
      <c r="C5857" s="58" t="str">
        <f>"15417786"</f>
        <v>15417786</v>
      </c>
      <c r="D5857" s="58" t="str">
        <f>"15573125"</f>
        <v>15573125</v>
      </c>
      <c r="E5857" s="46" t="s">
        <v>1224</v>
      </c>
      <c r="F5857" s="46" t="s">
        <v>17759</v>
      </c>
      <c r="G5857" s="46" t="s">
        <v>50584</v>
      </c>
      <c r="H5857" s="48" t="s">
        <v>56716</v>
      </c>
      <c r="I5857" s="48" t="s">
        <v>50564</v>
      </c>
      <c r="J5857" s="48" t="s">
        <v>56716</v>
      </c>
      <c r="K5857" s="50"/>
      <c r="L5857" s="48" t="s">
        <v>56716</v>
      </c>
    </row>
    <row r="5858" spans="1:12" s="36" customFormat="1" ht="11.25" x14ac:dyDescent="0.2">
      <c r="A5858" s="46" t="s">
        <v>9880</v>
      </c>
      <c r="B5858" s="46" t="s">
        <v>54505</v>
      </c>
      <c r="C5858" s="58" t="str">
        <f>"15357163"</f>
        <v>15357163</v>
      </c>
      <c r="D5858" s="58" t="str">
        <f>"15388514"</f>
        <v>15388514</v>
      </c>
      <c r="E5858" s="46" t="s">
        <v>1224</v>
      </c>
      <c r="F5858" s="46" t="s">
        <v>17759</v>
      </c>
      <c r="G5858" s="46" t="s">
        <v>50584</v>
      </c>
      <c r="H5858" s="48" t="s">
        <v>56716</v>
      </c>
      <c r="I5858" s="48" t="s">
        <v>50564</v>
      </c>
      <c r="J5858" s="48" t="s">
        <v>56716</v>
      </c>
      <c r="K5858" s="50"/>
      <c r="L5858" s="48" t="s">
        <v>56716</v>
      </c>
    </row>
    <row r="5859" spans="1:12" s="36" customFormat="1" ht="11.25" x14ac:dyDescent="0.2">
      <c r="A5859" s="46" t="s">
        <v>4731</v>
      </c>
      <c r="B5859" s="46" t="s">
        <v>54506</v>
      </c>
      <c r="C5859" s="58" t="str">
        <f>"08991987"</f>
        <v>08991987</v>
      </c>
      <c r="D5859" s="58" t="str">
        <f>"10982744"</f>
        <v>10982744</v>
      </c>
      <c r="E5859" s="46" t="s">
        <v>517</v>
      </c>
      <c r="F5859" s="46" t="s">
        <v>17759</v>
      </c>
      <c r="G5859" s="46" t="s">
        <v>50584</v>
      </c>
      <c r="H5859" s="48" t="s">
        <v>56716</v>
      </c>
      <c r="I5859" s="48" t="s">
        <v>50564</v>
      </c>
      <c r="J5859" s="48" t="s">
        <v>56716</v>
      </c>
      <c r="K5859" s="50" t="s">
        <v>56716</v>
      </c>
      <c r="L5859" s="48" t="s">
        <v>56716</v>
      </c>
    </row>
    <row r="5860" spans="1:12" s="36" customFormat="1" ht="11.25" x14ac:dyDescent="0.2">
      <c r="A5860" s="46" t="s">
        <v>7809</v>
      </c>
      <c r="B5860" s="46" t="s">
        <v>54507</v>
      </c>
      <c r="C5860" s="58" t="str">
        <f>"10972765"</f>
        <v>10972765</v>
      </c>
      <c r="D5860" s="58" t="str">
        <f>"10974164"</f>
        <v>10974164</v>
      </c>
      <c r="E5860" s="46" t="s">
        <v>324</v>
      </c>
      <c r="F5860" s="46" t="s">
        <v>17759</v>
      </c>
      <c r="G5860" s="46" t="s">
        <v>50584</v>
      </c>
      <c r="H5860" s="48" t="s">
        <v>56716</v>
      </c>
      <c r="I5860" s="48" t="s">
        <v>50564</v>
      </c>
      <c r="J5860" s="48"/>
      <c r="K5860" s="50" t="s">
        <v>56716</v>
      </c>
      <c r="L5860" s="48" t="s">
        <v>56716</v>
      </c>
    </row>
    <row r="5861" spans="1:12" s="36" customFormat="1" ht="11.25" x14ac:dyDescent="0.2">
      <c r="A5861" s="46" t="s">
        <v>13021</v>
      </c>
      <c r="B5861" s="46" t="s">
        <v>54508</v>
      </c>
      <c r="C5861" s="58" t="str">
        <f>""</f>
        <v/>
      </c>
      <c r="D5861" s="58" t="str">
        <f>"17558166"</f>
        <v>17558166</v>
      </c>
      <c r="E5861" s="46" t="s">
        <v>2299</v>
      </c>
      <c r="F5861" s="46" t="s">
        <v>50646</v>
      </c>
      <c r="G5861" s="46" t="s">
        <v>50584</v>
      </c>
      <c r="H5861" s="48" t="s">
        <v>56716</v>
      </c>
      <c r="I5861" s="48" t="s">
        <v>50564</v>
      </c>
      <c r="J5861" s="48" t="s">
        <v>56716</v>
      </c>
      <c r="K5861" s="50" t="s">
        <v>56716</v>
      </c>
      <c r="L5861" s="48"/>
    </row>
    <row r="5862" spans="1:12" s="36" customFormat="1" ht="11.25" x14ac:dyDescent="0.2">
      <c r="A5862" s="46" t="s">
        <v>10919</v>
      </c>
      <c r="B5862" s="46" t="s">
        <v>54509</v>
      </c>
      <c r="C5862" s="58" t="str">
        <f>"11771062"</f>
        <v>11771062</v>
      </c>
      <c r="D5862" s="58" t="str">
        <f>"11792000"</f>
        <v>11792000</v>
      </c>
      <c r="E5862" s="46" t="s">
        <v>55920</v>
      </c>
      <c r="F5862" s="46" t="s">
        <v>18123</v>
      </c>
      <c r="G5862" s="46" t="s">
        <v>50584</v>
      </c>
      <c r="H5862" s="48" t="s">
        <v>56716</v>
      </c>
      <c r="I5862" s="48" t="s">
        <v>50564</v>
      </c>
      <c r="J5862" s="48" t="s">
        <v>56716</v>
      </c>
      <c r="K5862" s="50" t="s">
        <v>56716</v>
      </c>
      <c r="L5862" s="48" t="s">
        <v>56716</v>
      </c>
    </row>
    <row r="5863" spans="1:12" s="36" customFormat="1" ht="11.25" x14ac:dyDescent="0.2">
      <c r="A5863" s="46" t="s">
        <v>7386</v>
      </c>
      <c r="B5863" s="46" t="s">
        <v>54510</v>
      </c>
      <c r="C5863" s="58" t="str">
        <f>"13811991"</f>
        <v>13811991</v>
      </c>
      <c r="D5863" s="58" t="str">
        <f>"1573501X"</f>
        <v>1573501X</v>
      </c>
      <c r="E5863" s="46" t="s">
        <v>18876</v>
      </c>
      <c r="F5863" s="46" t="s">
        <v>18001</v>
      </c>
      <c r="G5863" s="46" t="s">
        <v>50584</v>
      </c>
      <c r="H5863" s="48" t="s">
        <v>56716</v>
      </c>
      <c r="I5863" s="48" t="s">
        <v>50564</v>
      </c>
      <c r="J5863" s="48" t="s">
        <v>56716</v>
      </c>
      <c r="K5863" s="50" t="s">
        <v>56716</v>
      </c>
      <c r="L5863" s="48" t="s">
        <v>56716</v>
      </c>
    </row>
    <row r="5864" spans="1:12" s="36" customFormat="1" ht="11.25" x14ac:dyDescent="0.2">
      <c r="A5864" s="45" t="s">
        <v>41139</v>
      </c>
      <c r="B5864" s="45" t="s">
        <v>41141</v>
      </c>
      <c r="C5864" s="51" t="s">
        <v>41143</v>
      </c>
      <c r="D5864" s="51" t="s">
        <v>41142</v>
      </c>
      <c r="E5864" s="45" t="s">
        <v>23527</v>
      </c>
      <c r="F5864" s="45" t="s">
        <v>50646</v>
      </c>
      <c r="G5864" s="45" t="s">
        <v>50584</v>
      </c>
      <c r="H5864" s="56"/>
      <c r="I5864" s="56" t="s">
        <v>50564</v>
      </c>
      <c r="J5864" s="56"/>
      <c r="K5864" s="50"/>
      <c r="L5864" s="56" t="s">
        <v>56716</v>
      </c>
    </row>
    <row r="5865" spans="1:12" s="36" customFormat="1" ht="11.25" x14ac:dyDescent="0.2">
      <c r="A5865" s="45" t="s">
        <v>41146</v>
      </c>
      <c r="B5865" s="45" t="s">
        <v>41148</v>
      </c>
      <c r="C5865" s="51" t="s">
        <v>41151</v>
      </c>
      <c r="D5865" s="51" t="s">
        <v>41150</v>
      </c>
      <c r="E5865" s="45" t="s">
        <v>21146</v>
      </c>
      <c r="F5865" s="45" t="s">
        <v>50646</v>
      </c>
      <c r="G5865" s="45" t="s">
        <v>50584</v>
      </c>
      <c r="H5865" s="56"/>
      <c r="I5865" s="56" t="s">
        <v>50564</v>
      </c>
      <c r="J5865" s="56"/>
      <c r="K5865" s="50"/>
      <c r="L5865" s="56" t="s">
        <v>56716</v>
      </c>
    </row>
    <row r="5866" spans="1:12" s="36" customFormat="1" ht="11.25" x14ac:dyDescent="0.2">
      <c r="A5866" s="46" t="s">
        <v>4180</v>
      </c>
      <c r="B5866" s="46" t="s">
        <v>54511</v>
      </c>
      <c r="C5866" s="58" t="str">
        <f>"08888809"</f>
        <v>08888809</v>
      </c>
      <c r="D5866" s="58" t="str">
        <f>"19449917"</f>
        <v>19449917</v>
      </c>
      <c r="E5866" s="46" t="s">
        <v>1538</v>
      </c>
      <c r="F5866" s="46" t="s">
        <v>17759</v>
      </c>
      <c r="G5866" s="46" t="s">
        <v>50584</v>
      </c>
      <c r="H5866" s="48" t="s">
        <v>56716</v>
      </c>
      <c r="I5866" s="48" t="s">
        <v>50564</v>
      </c>
      <c r="J5866" s="48" t="s">
        <v>56716</v>
      </c>
      <c r="K5866" s="50"/>
      <c r="L5866" s="48" t="s">
        <v>56716</v>
      </c>
    </row>
    <row r="5867" spans="1:12" s="36" customFormat="1" ht="11.25" x14ac:dyDescent="0.2">
      <c r="A5867" s="46" t="s">
        <v>8917</v>
      </c>
      <c r="B5867" s="46" t="s">
        <v>54512</v>
      </c>
      <c r="C5867" s="58" t="str">
        <f>"16174615"</f>
        <v>16174615</v>
      </c>
      <c r="D5867" s="58" t="str">
        <f>"16174623"</f>
        <v>16174623</v>
      </c>
      <c r="E5867" s="46" t="s">
        <v>167</v>
      </c>
      <c r="F5867" s="46" t="s">
        <v>18158</v>
      </c>
      <c r="G5867" s="46" t="s">
        <v>50584</v>
      </c>
      <c r="H5867" s="48" t="s">
        <v>56716</v>
      </c>
      <c r="I5867" s="48" t="s">
        <v>50564</v>
      </c>
      <c r="J5867" s="48" t="s">
        <v>56716</v>
      </c>
      <c r="K5867" s="50" t="s">
        <v>56716</v>
      </c>
      <c r="L5867" s="48" t="s">
        <v>56716</v>
      </c>
    </row>
    <row r="5868" spans="1:12" s="36" customFormat="1" ht="11.25" x14ac:dyDescent="0.2">
      <c r="A5868" s="46" t="s">
        <v>7778</v>
      </c>
      <c r="B5868" s="46" t="s">
        <v>54513</v>
      </c>
      <c r="C5868" s="58" t="str">
        <f>"10967192"</f>
        <v>10967192</v>
      </c>
      <c r="D5868" s="58" t="str">
        <f>"10967206"</f>
        <v>10967206</v>
      </c>
      <c r="E5868" s="46" t="s">
        <v>60</v>
      </c>
      <c r="F5868" s="46" t="s">
        <v>17759</v>
      </c>
      <c r="G5868" s="46" t="s">
        <v>50584</v>
      </c>
      <c r="H5868" s="48" t="s">
        <v>56716</v>
      </c>
      <c r="I5868" s="48" t="s">
        <v>50564</v>
      </c>
      <c r="J5868" s="48" t="s">
        <v>56716</v>
      </c>
      <c r="K5868" s="50" t="s">
        <v>56716</v>
      </c>
      <c r="L5868" s="48" t="s">
        <v>56716</v>
      </c>
    </row>
    <row r="5869" spans="1:12" s="36" customFormat="1" ht="11.25" x14ac:dyDescent="0.2">
      <c r="A5869" s="46" t="s">
        <v>17646</v>
      </c>
      <c r="B5869" s="46" t="s">
        <v>54514</v>
      </c>
      <c r="C5869" s="58" t="str">
        <f>""</f>
        <v/>
      </c>
      <c r="D5869" s="58" t="str">
        <f>"22144269"</f>
        <v>22144269</v>
      </c>
      <c r="E5869" s="46" t="s">
        <v>272</v>
      </c>
      <c r="F5869" s="46" t="s">
        <v>17759</v>
      </c>
      <c r="G5869" s="46" t="s">
        <v>50584</v>
      </c>
      <c r="H5869" s="48" t="s">
        <v>56716</v>
      </c>
      <c r="I5869" s="48" t="s">
        <v>50564</v>
      </c>
      <c r="J5869" s="48"/>
      <c r="K5869" s="50"/>
      <c r="L5869" s="48"/>
    </row>
    <row r="5870" spans="1:12" s="36" customFormat="1" ht="11.25" x14ac:dyDescent="0.2">
      <c r="A5870" s="46" t="s">
        <v>13380</v>
      </c>
      <c r="B5870" s="46" t="s">
        <v>54515</v>
      </c>
      <c r="C5870" s="58" t="str">
        <f>"08914168"</f>
        <v>08914168</v>
      </c>
      <c r="D5870" s="58" t="str">
        <f>"1934841X"</f>
        <v>1934841X</v>
      </c>
      <c r="E5870" s="46" t="s">
        <v>13383</v>
      </c>
      <c r="F5870" s="46" t="s">
        <v>17759</v>
      </c>
      <c r="G5870" s="46" t="s">
        <v>50584</v>
      </c>
      <c r="H5870" s="48" t="s">
        <v>56716</v>
      </c>
      <c r="I5870" s="48" t="s">
        <v>50564</v>
      </c>
      <c r="J5870" s="48" t="s">
        <v>56716</v>
      </c>
      <c r="K5870" s="50"/>
      <c r="L5870" s="48"/>
    </row>
    <row r="5871" spans="1:12" s="36" customFormat="1" ht="11.25" x14ac:dyDescent="0.2">
      <c r="A5871" s="46" t="s">
        <v>7572</v>
      </c>
      <c r="B5871" s="46" t="s">
        <v>54516</v>
      </c>
      <c r="C5871" s="58" t="str">
        <f>"13609947"</f>
        <v>13609947</v>
      </c>
      <c r="D5871" s="58" t="str">
        <f>"14602407"</f>
        <v>14602407</v>
      </c>
      <c r="E5871" s="46" t="s">
        <v>55</v>
      </c>
      <c r="F5871" s="46" t="s">
        <v>50646</v>
      </c>
      <c r="G5871" s="46" t="s">
        <v>50584</v>
      </c>
      <c r="H5871" s="48" t="s">
        <v>56716</v>
      </c>
      <c r="I5871" s="48" t="s">
        <v>50564</v>
      </c>
      <c r="J5871" s="48" t="s">
        <v>56716</v>
      </c>
      <c r="K5871" s="50"/>
      <c r="L5871" s="48" t="s">
        <v>56716</v>
      </c>
    </row>
    <row r="5872" spans="1:12" s="36" customFormat="1" ht="11.25" x14ac:dyDescent="0.2">
      <c r="A5872" s="45" t="s">
        <v>41175</v>
      </c>
      <c r="B5872" s="45" t="s">
        <v>41177</v>
      </c>
      <c r="C5872" s="51" t="s">
        <v>41179</v>
      </c>
      <c r="D5872" s="51" t="s">
        <v>41178</v>
      </c>
      <c r="E5872" s="45" t="s">
        <v>41180</v>
      </c>
      <c r="F5872" s="45" t="s">
        <v>17759</v>
      </c>
      <c r="G5872" s="45" t="s">
        <v>50584</v>
      </c>
      <c r="H5872" s="56"/>
      <c r="I5872" s="56" t="s">
        <v>50564</v>
      </c>
      <c r="J5872" s="56"/>
      <c r="K5872" s="50"/>
      <c r="L5872" s="56" t="s">
        <v>56716</v>
      </c>
    </row>
    <row r="5873" spans="1:12" s="36" customFormat="1" ht="11.25" x14ac:dyDescent="0.2">
      <c r="A5873" s="46" t="s">
        <v>9065</v>
      </c>
      <c r="B5873" s="46" t="s">
        <v>54517</v>
      </c>
      <c r="C5873" s="58" t="str">
        <f>"15361632"</f>
        <v>15361632</v>
      </c>
      <c r="D5873" s="58" t="str">
        <f>"18602002"</f>
        <v>18602002</v>
      </c>
      <c r="E5873" s="46" t="s">
        <v>56305</v>
      </c>
      <c r="F5873" s="46" t="s">
        <v>17759</v>
      </c>
      <c r="G5873" s="46" t="s">
        <v>50584</v>
      </c>
      <c r="H5873" s="48" t="s">
        <v>56716</v>
      </c>
      <c r="I5873" s="48" t="s">
        <v>50564</v>
      </c>
      <c r="J5873" s="48" t="s">
        <v>56716</v>
      </c>
      <c r="K5873" s="50" t="s">
        <v>56716</v>
      </c>
      <c r="L5873" s="48" t="s">
        <v>56716</v>
      </c>
    </row>
    <row r="5874" spans="1:12" s="36" customFormat="1" ht="11.25" x14ac:dyDescent="0.2">
      <c r="A5874" s="46" t="s">
        <v>2010</v>
      </c>
      <c r="B5874" s="46" t="s">
        <v>54518</v>
      </c>
      <c r="C5874" s="58" t="str">
        <f>"01615890"</f>
        <v>01615890</v>
      </c>
      <c r="D5874" s="58" t="str">
        <f>"18729142"</f>
        <v>18729142</v>
      </c>
      <c r="E5874" s="46" t="s">
        <v>155</v>
      </c>
      <c r="F5874" s="46" t="s">
        <v>50646</v>
      </c>
      <c r="G5874" s="46" t="s">
        <v>50584</v>
      </c>
      <c r="H5874" s="48" t="s">
        <v>56716</v>
      </c>
      <c r="I5874" s="48" t="s">
        <v>50564</v>
      </c>
      <c r="J5874" s="48" t="s">
        <v>56716</v>
      </c>
      <c r="K5874" s="50" t="s">
        <v>56716</v>
      </c>
      <c r="L5874" s="48" t="s">
        <v>56716</v>
      </c>
    </row>
    <row r="5875" spans="1:12" s="36" customFormat="1" ht="11.25" x14ac:dyDescent="0.2">
      <c r="A5875" s="46" t="s">
        <v>13893</v>
      </c>
      <c r="B5875" s="46" t="s">
        <v>54519</v>
      </c>
      <c r="C5875" s="58" t="str">
        <f>"18681743"</f>
        <v>18681743</v>
      </c>
      <c r="D5875" s="58" t="str">
        <f>"18681751"</f>
        <v>18681751</v>
      </c>
      <c r="E5875" s="46" t="s">
        <v>651</v>
      </c>
      <c r="F5875" s="46" t="s">
        <v>18158</v>
      </c>
      <c r="G5875" s="46" t="s">
        <v>50584</v>
      </c>
      <c r="H5875" s="48" t="s">
        <v>56716</v>
      </c>
      <c r="I5875" s="48" t="s">
        <v>50564</v>
      </c>
      <c r="J5875" s="48" t="s">
        <v>56716</v>
      </c>
      <c r="K5875" s="50" t="s">
        <v>56716</v>
      </c>
      <c r="L5875" s="48"/>
    </row>
    <row r="5876" spans="1:12" s="36" customFormat="1" ht="11.25" x14ac:dyDescent="0.2">
      <c r="A5876" s="46" t="s">
        <v>6701</v>
      </c>
      <c r="B5876" s="46" t="s">
        <v>54520</v>
      </c>
      <c r="C5876" s="58" t="str">
        <f>"10761551"</f>
        <v>10761551</v>
      </c>
      <c r="D5876" s="58" t="str">
        <f>""</f>
        <v/>
      </c>
      <c r="E5876" s="46" t="s">
        <v>56309</v>
      </c>
      <c r="F5876" s="46" t="s">
        <v>17759</v>
      </c>
      <c r="G5876" s="46" t="s">
        <v>50584</v>
      </c>
      <c r="H5876" s="48" t="s">
        <v>56716</v>
      </c>
      <c r="I5876" s="48" t="s">
        <v>50564</v>
      </c>
      <c r="J5876" s="48" t="s">
        <v>56716</v>
      </c>
      <c r="K5876" s="50"/>
      <c r="L5876" s="48" t="s">
        <v>56716</v>
      </c>
    </row>
    <row r="5877" spans="1:12" s="36" customFormat="1" ht="11.25" x14ac:dyDescent="0.2">
      <c r="A5877" s="46" t="s">
        <v>13785</v>
      </c>
      <c r="B5877" s="46" t="s">
        <v>54521</v>
      </c>
      <c r="C5877" s="58" t="str">
        <f>"17912997"</f>
        <v>17912997</v>
      </c>
      <c r="D5877" s="58" t="str">
        <f>"17913004"</f>
        <v>17913004</v>
      </c>
      <c r="E5877" s="46" t="s">
        <v>5951</v>
      </c>
      <c r="F5877" s="46" t="s">
        <v>20969</v>
      </c>
      <c r="G5877" s="46" t="s">
        <v>50584</v>
      </c>
      <c r="H5877" s="48" t="s">
        <v>56716</v>
      </c>
      <c r="I5877" s="48" t="s">
        <v>50564</v>
      </c>
      <c r="J5877" s="48"/>
      <c r="K5877" s="50"/>
      <c r="L5877" s="48" t="s">
        <v>56716</v>
      </c>
    </row>
    <row r="5878" spans="1:12" s="36" customFormat="1" ht="11.25" x14ac:dyDescent="0.2">
      <c r="A5878" s="46" t="s">
        <v>6355</v>
      </c>
      <c r="B5878" s="46" t="s">
        <v>54522</v>
      </c>
      <c r="C5878" s="58" t="str">
        <f>"09687688"</f>
        <v>09687688</v>
      </c>
      <c r="D5878" s="58" t="str">
        <f>"14645203"</f>
        <v>14645203</v>
      </c>
      <c r="E5878" s="46" t="s">
        <v>291</v>
      </c>
      <c r="F5878" s="46" t="s">
        <v>50646</v>
      </c>
      <c r="G5878" s="46" t="s">
        <v>50584</v>
      </c>
      <c r="H5878" s="48" t="s">
        <v>56716</v>
      </c>
      <c r="I5878" s="48" t="s">
        <v>50564</v>
      </c>
      <c r="J5878" s="48" t="s">
        <v>56716</v>
      </c>
      <c r="K5878" s="50"/>
      <c r="L5878" s="48" t="s">
        <v>56716</v>
      </c>
    </row>
    <row r="5879" spans="1:12" s="36" customFormat="1" ht="11.25" x14ac:dyDescent="0.2">
      <c r="A5879" s="46" t="s">
        <v>16374</v>
      </c>
      <c r="B5879" s="46" t="s">
        <v>54523</v>
      </c>
      <c r="C5879" s="58" t="str">
        <f>"22128778"</f>
        <v>22128778</v>
      </c>
      <c r="D5879" s="58" t="str">
        <f>""</f>
        <v/>
      </c>
      <c r="E5879" s="46" t="s">
        <v>6159</v>
      </c>
      <c r="F5879" s="46" t="s">
        <v>18158</v>
      </c>
      <c r="G5879" s="46" t="s">
        <v>50584</v>
      </c>
      <c r="H5879" s="48" t="s">
        <v>56716</v>
      </c>
      <c r="I5879" s="48" t="s">
        <v>50564</v>
      </c>
      <c r="J5879" s="48" t="s">
        <v>56716</v>
      </c>
      <c r="K5879" s="50" t="s">
        <v>56716</v>
      </c>
      <c r="L5879" s="48"/>
    </row>
    <row r="5880" spans="1:12" s="36" customFormat="1" ht="11.25" x14ac:dyDescent="0.2">
      <c r="A5880" s="46" t="s">
        <v>4345</v>
      </c>
      <c r="B5880" s="46" t="s">
        <v>54524</v>
      </c>
      <c r="C5880" s="58" t="str">
        <f>"0950382X"</f>
        <v>0950382X</v>
      </c>
      <c r="D5880" s="58" t="str">
        <f>"13652958"</f>
        <v>13652958</v>
      </c>
      <c r="E5880" s="46" t="s">
        <v>35</v>
      </c>
      <c r="F5880" s="46" t="s">
        <v>50646</v>
      </c>
      <c r="G5880" s="46" t="s">
        <v>50584</v>
      </c>
      <c r="H5880" s="48" t="s">
        <v>56716</v>
      </c>
      <c r="I5880" s="48" t="s">
        <v>50564</v>
      </c>
      <c r="J5880" s="48" t="s">
        <v>56716</v>
      </c>
      <c r="K5880" s="50" t="s">
        <v>56716</v>
      </c>
      <c r="L5880" s="48" t="s">
        <v>56716</v>
      </c>
    </row>
    <row r="5881" spans="1:12" s="36" customFormat="1" ht="11.25" x14ac:dyDescent="0.2">
      <c r="A5881" s="46" t="s">
        <v>7229</v>
      </c>
      <c r="B5881" s="46" t="s">
        <v>54525</v>
      </c>
      <c r="C5881" s="58" t="str">
        <f>"08937648"</f>
        <v>08937648</v>
      </c>
      <c r="D5881" s="58" t="str">
        <f>"15591182"</f>
        <v>15591182</v>
      </c>
      <c r="E5881" s="46" t="s">
        <v>40314</v>
      </c>
      <c r="F5881" s="46" t="s">
        <v>17759</v>
      </c>
      <c r="G5881" s="46" t="s">
        <v>50584</v>
      </c>
      <c r="H5881" s="48" t="s">
        <v>56716</v>
      </c>
      <c r="I5881" s="48" t="s">
        <v>50564</v>
      </c>
      <c r="J5881" s="48"/>
      <c r="K5881" s="50" t="s">
        <v>56716</v>
      </c>
      <c r="L5881" s="48" t="s">
        <v>56716</v>
      </c>
    </row>
    <row r="5882" spans="1:12" s="36" customFormat="1" ht="11.25" x14ac:dyDescent="0.2">
      <c r="A5882" s="46" t="s">
        <v>11673</v>
      </c>
      <c r="B5882" s="46" t="s">
        <v>54526</v>
      </c>
      <c r="C5882" s="58" t="str">
        <f>""</f>
        <v/>
      </c>
      <c r="D5882" s="58" t="str">
        <f>"17501326"</f>
        <v>17501326</v>
      </c>
      <c r="E5882" s="46" t="s">
        <v>2299</v>
      </c>
      <c r="F5882" s="46" t="s">
        <v>50646</v>
      </c>
      <c r="G5882" s="46" t="s">
        <v>50584</v>
      </c>
      <c r="H5882" s="48" t="s">
        <v>56716</v>
      </c>
      <c r="I5882" s="48" t="s">
        <v>50564</v>
      </c>
      <c r="J5882" s="48"/>
      <c r="K5882" s="50" t="s">
        <v>56716</v>
      </c>
      <c r="L5882" s="48" t="s">
        <v>56716</v>
      </c>
    </row>
    <row r="5883" spans="1:12" s="36" customFormat="1" ht="11.25" x14ac:dyDescent="0.2">
      <c r="A5883" s="45" t="s">
        <v>41223</v>
      </c>
      <c r="B5883" s="45" t="s">
        <v>41225</v>
      </c>
      <c r="C5883" s="51" t="s">
        <v>41228</v>
      </c>
      <c r="D5883" s="51" t="s">
        <v>41227</v>
      </c>
      <c r="E5883" s="45" t="s">
        <v>18712</v>
      </c>
      <c r="F5883" s="45" t="s">
        <v>18158</v>
      </c>
      <c r="G5883" s="45" t="s">
        <v>50584</v>
      </c>
      <c r="H5883" s="56"/>
      <c r="I5883" s="56" t="s">
        <v>50564</v>
      </c>
      <c r="J5883" s="56"/>
      <c r="K5883" s="50"/>
      <c r="L5883" s="56" t="s">
        <v>56716</v>
      </c>
    </row>
    <row r="5884" spans="1:12" s="36" customFormat="1" ht="11.25" x14ac:dyDescent="0.2">
      <c r="A5884" s="46" t="s">
        <v>12094</v>
      </c>
      <c r="B5884" s="46" t="s">
        <v>54527</v>
      </c>
      <c r="C5884" s="58" t="str">
        <f>"15747891"</f>
        <v>15747891</v>
      </c>
      <c r="D5884" s="58" t="str">
        <f>"18780261"</f>
        <v>18780261</v>
      </c>
      <c r="E5884" s="46" t="s">
        <v>91</v>
      </c>
      <c r="F5884" s="46" t="s">
        <v>18001</v>
      </c>
      <c r="G5884" s="46" t="s">
        <v>50584</v>
      </c>
      <c r="H5884" s="48" t="s">
        <v>56716</v>
      </c>
      <c r="I5884" s="48" t="s">
        <v>50564</v>
      </c>
      <c r="J5884" s="48" t="s">
        <v>56716</v>
      </c>
      <c r="K5884" s="50" t="s">
        <v>56716</v>
      </c>
      <c r="L5884" s="48" t="s">
        <v>56716</v>
      </c>
    </row>
    <row r="5885" spans="1:12" s="36" customFormat="1" ht="11.25" x14ac:dyDescent="0.2">
      <c r="A5885" s="46" t="s">
        <v>13890</v>
      </c>
      <c r="B5885" s="46" t="s">
        <v>54528</v>
      </c>
      <c r="C5885" s="58" t="str">
        <f>"20411006"</f>
        <v>20411006</v>
      </c>
      <c r="D5885" s="58" t="str">
        <f>"20411014"</f>
        <v>20411014</v>
      </c>
      <c r="E5885" s="46" t="s">
        <v>35</v>
      </c>
      <c r="F5885" s="46" t="s">
        <v>50646</v>
      </c>
      <c r="G5885" s="46" t="s">
        <v>50584</v>
      </c>
      <c r="H5885" s="48" t="s">
        <v>56716</v>
      </c>
      <c r="I5885" s="48" t="s">
        <v>50564</v>
      </c>
      <c r="J5885" s="48"/>
      <c r="K5885" s="50" t="s">
        <v>56716</v>
      </c>
      <c r="L5885" s="48" t="s">
        <v>56716</v>
      </c>
    </row>
    <row r="5886" spans="1:12" s="36" customFormat="1" ht="11.25" x14ac:dyDescent="0.2">
      <c r="A5886" s="46" t="s">
        <v>11038</v>
      </c>
      <c r="B5886" s="46" t="s">
        <v>54529</v>
      </c>
      <c r="C5886" s="58" t="str">
        <f>"17448069"</f>
        <v>17448069</v>
      </c>
      <c r="D5886" s="58" t="str">
        <f>"17448069"</f>
        <v>17448069</v>
      </c>
      <c r="E5886" s="46" t="s">
        <v>2299</v>
      </c>
      <c r="F5886" s="46" t="s">
        <v>50646</v>
      </c>
      <c r="G5886" s="46" t="s">
        <v>50584</v>
      </c>
      <c r="H5886" s="48" t="s">
        <v>56716</v>
      </c>
      <c r="I5886" s="48" t="s">
        <v>50564</v>
      </c>
      <c r="J5886" s="48" t="s">
        <v>56716</v>
      </c>
      <c r="K5886" s="50" t="s">
        <v>56716</v>
      </c>
      <c r="L5886" s="48" t="s">
        <v>56716</v>
      </c>
    </row>
    <row r="5887" spans="1:12" s="36" customFormat="1" ht="11.25" x14ac:dyDescent="0.2">
      <c r="A5887" s="46" t="s">
        <v>10302</v>
      </c>
      <c r="B5887" s="46" t="s">
        <v>54530</v>
      </c>
      <c r="C5887" s="58" t="str">
        <f>"15438384"</f>
        <v>15438384</v>
      </c>
      <c r="D5887" s="58" t="str">
        <f>"15438392"</f>
        <v>15438392</v>
      </c>
      <c r="E5887" s="46" t="s">
        <v>776</v>
      </c>
      <c r="F5887" s="46" t="s">
        <v>17759</v>
      </c>
      <c r="G5887" s="46" t="s">
        <v>50584</v>
      </c>
      <c r="H5887" s="48" t="s">
        <v>56716</v>
      </c>
      <c r="I5887" s="48" t="s">
        <v>50564</v>
      </c>
      <c r="J5887" s="48" t="s">
        <v>56716</v>
      </c>
      <c r="K5887" s="50"/>
      <c r="L5887" s="48" t="s">
        <v>56716</v>
      </c>
    </row>
    <row r="5888" spans="1:12" s="36" customFormat="1" ht="11.25" x14ac:dyDescent="0.2">
      <c r="A5888" s="46" t="s">
        <v>3001</v>
      </c>
      <c r="B5888" s="46" t="s">
        <v>54531</v>
      </c>
      <c r="C5888" s="58" t="str">
        <f>"0026895X"</f>
        <v>0026895X</v>
      </c>
      <c r="D5888" s="58" t="str">
        <f>"15210111"</f>
        <v>15210111</v>
      </c>
      <c r="E5888" s="46" t="s">
        <v>1420</v>
      </c>
      <c r="F5888" s="46" t="s">
        <v>17759</v>
      </c>
      <c r="G5888" s="46" t="s">
        <v>50584</v>
      </c>
      <c r="H5888" s="48" t="s">
        <v>56716</v>
      </c>
      <c r="I5888" s="48" t="s">
        <v>50564</v>
      </c>
      <c r="J5888" s="48" t="s">
        <v>56716</v>
      </c>
      <c r="K5888" s="50"/>
      <c r="L5888" s="48" t="s">
        <v>56716</v>
      </c>
    </row>
    <row r="5889" spans="1:12" s="36" customFormat="1" ht="11.25" x14ac:dyDescent="0.2">
      <c r="A5889" s="45" t="s">
        <v>41254</v>
      </c>
      <c r="B5889" s="45" t="s">
        <v>41256</v>
      </c>
      <c r="C5889" s="51" t="s">
        <v>41258</v>
      </c>
      <c r="D5889" s="51" t="s">
        <v>41257</v>
      </c>
      <c r="E5889" s="45" t="s">
        <v>601</v>
      </c>
      <c r="F5889" s="45" t="s">
        <v>17759</v>
      </c>
      <c r="G5889" s="45" t="s">
        <v>50584</v>
      </c>
      <c r="H5889" s="56"/>
      <c r="I5889" s="56" t="s">
        <v>50564</v>
      </c>
      <c r="J5889" s="56"/>
      <c r="K5889" s="50"/>
      <c r="L5889" s="56" t="s">
        <v>56716</v>
      </c>
    </row>
    <row r="5890" spans="1:12" s="36" customFormat="1" ht="11.25" x14ac:dyDescent="0.2">
      <c r="A5890" s="45" t="s">
        <v>41260</v>
      </c>
      <c r="B5890" s="45" t="s">
        <v>41262</v>
      </c>
      <c r="C5890" s="51" t="s">
        <v>41265</v>
      </c>
      <c r="D5890" s="51" t="s">
        <v>41264</v>
      </c>
      <c r="E5890" s="45" t="s">
        <v>324</v>
      </c>
      <c r="F5890" s="45" t="s">
        <v>50646</v>
      </c>
      <c r="G5890" s="45" t="s">
        <v>50584</v>
      </c>
      <c r="H5890" s="56"/>
      <c r="I5890" s="56" t="s">
        <v>50564</v>
      </c>
      <c r="J5890" s="56"/>
      <c r="K5890" s="50"/>
      <c r="L5890" s="56" t="s">
        <v>56716</v>
      </c>
    </row>
    <row r="5891" spans="1:12" s="36" customFormat="1" ht="11.25" x14ac:dyDescent="0.2">
      <c r="A5891" s="45" t="s">
        <v>41268</v>
      </c>
      <c r="B5891" s="45" t="s">
        <v>41270</v>
      </c>
      <c r="C5891" s="51" t="s">
        <v>41273</v>
      </c>
      <c r="D5891" s="51" t="s">
        <v>41272</v>
      </c>
      <c r="E5891" s="45" t="s">
        <v>41274</v>
      </c>
      <c r="F5891" s="45" t="s">
        <v>50646</v>
      </c>
      <c r="G5891" s="45" t="s">
        <v>50584</v>
      </c>
      <c r="H5891" s="56"/>
      <c r="I5891" s="56" t="s">
        <v>50564</v>
      </c>
      <c r="J5891" s="56"/>
      <c r="K5891" s="50"/>
      <c r="L5891" s="56" t="s">
        <v>56716</v>
      </c>
    </row>
    <row r="5892" spans="1:12" s="36" customFormat="1" ht="11.25" x14ac:dyDescent="0.2">
      <c r="A5892" s="45" t="s">
        <v>41276</v>
      </c>
      <c r="B5892" s="45" t="s">
        <v>41278</v>
      </c>
      <c r="C5892" s="51" t="s">
        <v>41279</v>
      </c>
      <c r="D5892" s="51"/>
      <c r="E5892" s="45" t="s">
        <v>41280</v>
      </c>
      <c r="F5892" s="45" t="s">
        <v>17759</v>
      </c>
      <c r="G5892" s="45" t="s">
        <v>50584</v>
      </c>
      <c r="H5892" s="56"/>
      <c r="I5892" s="56" t="s">
        <v>50564</v>
      </c>
      <c r="J5892" s="56"/>
      <c r="K5892" s="50"/>
      <c r="L5892" s="56" t="s">
        <v>56716</v>
      </c>
    </row>
    <row r="5893" spans="1:12" s="36" customFormat="1" ht="11.25" x14ac:dyDescent="0.2">
      <c r="A5893" s="46" t="s">
        <v>7193</v>
      </c>
      <c r="B5893" s="46" t="s">
        <v>54532</v>
      </c>
      <c r="C5893" s="58" t="str">
        <f>"13594184"</f>
        <v>13594184</v>
      </c>
      <c r="D5893" s="58" t="str">
        <f>"14765578"</f>
        <v>14765578</v>
      </c>
      <c r="E5893" s="46" t="s">
        <v>315</v>
      </c>
      <c r="F5893" s="46" t="s">
        <v>50646</v>
      </c>
      <c r="G5893" s="46" t="s">
        <v>50584</v>
      </c>
      <c r="H5893" s="48" t="s">
        <v>56716</v>
      </c>
      <c r="I5893" s="48" t="s">
        <v>50564</v>
      </c>
      <c r="J5893" s="48" t="s">
        <v>56716</v>
      </c>
      <c r="K5893" s="50" t="s">
        <v>56716</v>
      </c>
      <c r="L5893" s="48" t="s">
        <v>56716</v>
      </c>
    </row>
    <row r="5894" spans="1:12" s="36" customFormat="1" ht="11.25" x14ac:dyDescent="0.2">
      <c r="A5894" s="46" t="s">
        <v>4867</v>
      </c>
      <c r="B5894" s="46" t="s">
        <v>54533</v>
      </c>
      <c r="C5894" s="58" t="str">
        <f>"1040452X"</f>
        <v>1040452X</v>
      </c>
      <c r="D5894" s="58" t="str">
        <f>"10982795"</f>
        <v>10982795</v>
      </c>
      <c r="E5894" s="46" t="s">
        <v>517</v>
      </c>
      <c r="F5894" s="46" t="s">
        <v>17759</v>
      </c>
      <c r="G5894" s="46" t="s">
        <v>50584</v>
      </c>
      <c r="H5894" s="48" t="s">
        <v>56716</v>
      </c>
      <c r="I5894" s="48" t="s">
        <v>50564</v>
      </c>
      <c r="J5894" s="48" t="s">
        <v>56716</v>
      </c>
      <c r="K5894" s="50" t="s">
        <v>56716</v>
      </c>
      <c r="L5894" s="48" t="s">
        <v>56716</v>
      </c>
    </row>
    <row r="5895" spans="1:12" s="36" customFormat="1" ht="11.25" x14ac:dyDescent="0.2">
      <c r="A5895" s="46" t="s">
        <v>14573</v>
      </c>
      <c r="B5895" s="46" t="s">
        <v>54534</v>
      </c>
      <c r="C5895" s="58" t="str">
        <f>"16618769"</f>
        <v>16618769</v>
      </c>
      <c r="D5895" s="58" t="str">
        <f>"16618777"</f>
        <v>16618777</v>
      </c>
      <c r="E5895" s="46" t="s">
        <v>109</v>
      </c>
      <c r="F5895" s="46" t="s">
        <v>18123</v>
      </c>
      <c r="G5895" s="46" t="s">
        <v>50584</v>
      </c>
      <c r="H5895" s="48" t="s">
        <v>56716</v>
      </c>
      <c r="I5895" s="48" t="s">
        <v>50564</v>
      </c>
      <c r="J5895" s="48" t="s">
        <v>56716</v>
      </c>
      <c r="K5895" s="50"/>
      <c r="L5895" s="48"/>
    </row>
    <row r="5896" spans="1:12" s="36" customFormat="1" ht="11.25" x14ac:dyDescent="0.2">
      <c r="A5896" s="46" t="s">
        <v>11312</v>
      </c>
      <c r="B5896" s="46" t="s">
        <v>54535</v>
      </c>
      <c r="C5896" s="58" t="str">
        <f>""</f>
        <v/>
      </c>
      <c r="D5896" s="58" t="str">
        <f>"17444292"</f>
        <v>17444292</v>
      </c>
      <c r="E5896" s="46" t="s">
        <v>35</v>
      </c>
      <c r="F5896" s="46" t="s">
        <v>50646</v>
      </c>
      <c r="G5896" s="46" t="s">
        <v>50584</v>
      </c>
      <c r="H5896" s="48" t="s">
        <v>56716</v>
      </c>
      <c r="I5896" s="48" t="s">
        <v>50564</v>
      </c>
      <c r="J5896" s="48" t="s">
        <v>56716</v>
      </c>
      <c r="K5896" s="50"/>
      <c r="L5896" s="48" t="s">
        <v>56716</v>
      </c>
    </row>
    <row r="5897" spans="1:12" s="36" customFormat="1" ht="11.25" x14ac:dyDescent="0.2">
      <c r="A5897" s="46" t="s">
        <v>8502</v>
      </c>
      <c r="B5897" s="46" t="s">
        <v>54536</v>
      </c>
      <c r="C5897" s="58" t="str">
        <f>"15250016"</f>
        <v>15250016</v>
      </c>
      <c r="D5897" s="58" t="str">
        <f>"15250024"</f>
        <v>15250024</v>
      </c>
      <c r="E5897" s="46" t="s">
        <v>315</v>
      </c>
      <c r="F5897" s="46" t="s">
        <v>50646</v>
      </c>
      <c r="G5897" s="46" t="s">
        <v>50584</v>
      </c>
      <c r="H5897" s="48" t="s">
        <v>56716</v>
      </c>
      <c r="I5897" s="48" t="s">
        <v>50564</v>
      </c>
      <c r="J5897" s="48"/>
      <c r="K5897" s="50" t="s">
        <v>56716</v>
      </c>
      <c r="L5897" s="48" t="s">
        <v>56716</v>
      </c>
    </row>
    <row r="5898" spans="1:12" s="36" customFormat="1" ht="11.25" x14ac:dyDescent="0.2">
      <c r="A5898" s="46" t="s">
        <v>16430</v>
      </c>
      <c r="B5898" s="46" t="s">
        <v>54537</v>
      </c>
      <c r="C5898" s="58" t="str">
        <f>""</f>
        <v/>
      </c>
      <c r="D5898" s="58" t="str">
        <f>"21622531"</f>
        <v>21622531</v>
      </c>
      <c r="E5898" s="46" t="s">
        <v>315</v>
      </c>
      <c r="F5898" s="46" t="s">
        <v>50646</v>
      </c>
      <c r="G5898" s="46" t="s">
        <v>50584</v>
      </c>
      <c r="H5898" s="48" t="s">
        <v>56716</v>
      </c>
      <c r="I5898" s="48" t="s">
        <v>50564</v>
      </c>
      <c r="J5898" s="48" t="s">
        <v>56716</v>
      </c>
      <c r="K5898" s="50"/>
      <c r="L5898" s="48"/>
    </row>
    <row r="5899" spans="1:12" s="36" customFormat="1" ht="11.25" x14ac:dyDescent="0.2">
      <c r="A5899" s="46" t="s">
        <v>9244</v>
      </c>
      <c r="B5899" s="46" t="s">
        <v>54538</v>
      </c>
      <c r="C5899" s="58" t="str">
        <f>""</f>
        <v/>
      </c>
      <c r="D5899" s="58" t="str">
        <f>"10900535"</f>
        <v>10900535</v>
      </c>
      <c r="E5899" s="46" t="s">
        <v>9244</v>
      </c>
      <c r="F5899" s="46" t="s">
        <v>17759</v>
      </c>
      <c r="G5899" s="46" t="s">
        <v>50584</v>
      </c>
      <c r="H5899" s="48" t="s">
        <v>56716</v>
      </c>
      <c r="I5899" s="48" t="s">
        <v>50564</v>
      </c>
      <c r="J5899" s="48" t="s">
        <v>56716</v>
      </c>
      <c r="K5899" s="50"/>
      <c r="L5899" s="48" t="s">
        <v>56716</v>
      </c>
    </row>
    <row r="5900" spans="1:12" s="36" customFormat="1" ht="11.25" x14ac:dyDescent="0.2">
      <c r="A5900" s="45" t="s">
        <v>41309</v>
      </c>
      <c r="B5900" s="45" t="s">
        <v>41311</v>
      </c>
      <c r="C5900" s="51"/>
      <c r="D5900" s="51" t="s">
        <v>41312</v>
      </c>
      <c r="E5900" s="45" t="s">
        <v>32492</v>
      </c>
      <c r="F5900" s="45" t="s">
        <v>18123</v>
      </c>
      <c r="G5900" s="45" t="s">
        <v>50584</v>
      </c>
      <c r="H5900" s="56"/>
      <c r="I5900" s="56" t="s">
        <v>50564</v>
      </c>
      <c r="J5900" s="56"/>
      <c r="K5900" s="50"/>
      <c r="L5900" s="56" t="s">
        <v>56716</v>
      </c>
    </row>
    <row r="5901" spans="1:12" s="36" customFormat="1" ht="11.25" x14ac:dyDescent="0.2">
      <c r="A5901" s="46" t="s">
        <v>8740</v>
      </c>
      <c r="B5901" s="46" t="s">
        <v>54539</v>
      </c>
      <c r="C5901" s="58" t="str">
        <f>"10168478"</f>
        <v>10168478</v>
      </c>
      <c r="D5901" s="58" t="str">
        <f>"02191032"</f>
        <v>02191032</v>
      </c>
      <c r="E5901" s="46" t="s">
        <v>8743</v>
      </c>
      <c r="F5901" s="46" t="s">
        <v>50649</v>
      </c>
      <c r="G5901" s="46" t="s">
        <v>50584</v>
      </c>
      <c r="H5901" s="48" t="s">
        <v>56716</v>
      </c>
      <c r="I5901" s="48" t="s">
        <v>50564</v>
      </c>
      <c r="J5901" s="48"/>
      <c r="K5901" s="50"/>
      <c r="L5901" s="48" t="s">
        <v>56716</v>
      </c>
    </row>
    <row r="5902" spans="1:12" s="36" customFormat="1" ht="11.25" x14ac:dyDescent="0.2">
      <c r="A5902" s="45" t="s">
        <v>41319</v>
      </c>
      <c r="B5902" s="45" t="s">
        <v>41321</v>
      </c>
      <c r="C5902" s="51" t="s">
        <v>41322</v>
      </c>
      <c r="D5902" s="51"/>
      <c r="E5902" s="45" t="s">
        <v>22405</v>
      </c>
      <c r="F5902" s="45" t="s">
        <v>50653</v>
      </c>
      <c r="G5902" s="45" t="s">
        <v>56509</v>
      </c>
      <c r="H5902" s="56"/>
      <c r="I5902" s="56" t="s">
        <v>50564</v>
      </c>
      <c r="J5902" s="56"/>
      <c r="K5902" s="50"/>
      <c r="L5902" s="56" t="s">
        <v>56716</v>
      </c>
    </row>
    <row r="5903" spans="1:12" s="36" customFormat="1" ht="11.25" x14ac:dyDescent="0.2">
      <c r="A5903" s="45" t="s">
        <v>41324</v>
      </c>
      <c r="B5903" s="45" t="s">
        <v>41326</v>
      </c>
      <c r="C5903" s="51" t="s">
        <v>41327</v>
      </c>
      <c r="D5903" s="51"/>
      <c r="E5903" s="45" t="s">
        <v>20236</v>
      </c>
      <c r="F5903" s="45" t="s">
        <v>50653</v>
      </c>
      <c r="G5903" s="45" t="s">
        <v>56509</v>
      </c>
      <c r="H5903" s="56"/>
      <c r="I5903" s="56" t="s">
        <v>50564</v>
      </c>
      <c r="J5903" s="56"/>
      <c r="K5903" s="50"/>
      <c r="L5903" s="56" t="s">
        <v>56716</v>
      </c>
    </row>
    <row r="5904" spans="1:12" s="36" customFormat="1" ht="11.25" x14ac:dyDescent="0.2">
      <c r="A5904" s="46" t="s">
        <v>9571</v>
      </c>
      <c r="B5904" s="46" t="s">
        <v>54540</v>
      </c>
      <c r="C5904" s="58" t="str">
        <f>"11220643"</f>
        <v>11220643</v>
      </c>
      <c r="D5904" s="58" t="str">
        <f>""</f>
        <v/>
      </c>
      <c r="E5904" s="46" t="s">
        <v>9573</v>
      </c>
      <c r="F5904" s="46" t="s">
        <v>17991</v>
      </c>
      <c r="G5904" s="46" t="s">
        <v>50602</v>
      </c>
      <c r="H5904" s="48" t="s">
        <v>56716</v>
      </c>
      <c r="I5904" s="48" t="s">
        <v>50564</v>
      </c>
      <c r="J5904" s="48"/>
      <c r="K5904" s="50"/>
      <c r="L5904" s="48" t="s">
        <v>56716</v>
      </c>
    </row>
    <row r="5905" spans="1:12" s="36" customFormat="1" ht="11.25" x14ac:dyDescent="0.2">
      <c r="A5905" s="46" t="s">
        <v>10203</v>
      </c>
      <c r="B5905" s="46" t="s">
        <v>54541</v>
      </c>
      <c r="C5905" s="58" t="str">
        <f>"11220643"</f>
        <v>11220643</v>
      </c>
      <c r="D5905" s="58" t="str">
        <f>""</f>
        <v/>
      </c>
      <c r="E5905" s="46" t="s">
        <v>10204</v>
      </c>
      <c r="F5905" s="46" t="s">
        <v>17991</v>
      </c>
      <c r="G5905" s="46" t="s">
        <v>50584</v>
      </c>
      <c r="H5905" s="48" t="s">
        <v>56716</v>
      </c>
      <c r="I5905" s="48" t="s">
        <v>50564</v>
      </c>
      <c r="J5905" s="48"/>
      <c r="K5905" s="50"/>
      <c r="L5905" s="48" t="s">
        <v>56716</v>
      </c>
    </row>
    <row r="5906" spans="1:12" s="36" customFormat="1" ht="11.25" x14ac:dyDescent="0.2">
      <c r="A5906" s="45" t="s">
        <v>41336</v>
      </c>
      <c r="B5906" s="45" t="s">
        <v>41338</v>
      </c>
      <c r="C5906" s="51" t="s">
        <v>41341</v>
      </c>
      <c r="D5906" s="51" t="s">
        <v>41340</v>
      </c>
      <c r="E5906" s="45" t="s">
        <v>17783</v>
      </c>
      <c r="F5906" s="45" t="s">
        <v>17759</v>
      </c>
      <c r="G5906" s="45" t="s">
        <v>50584</v>
      </c>
      <c r="H5906" s="56"/>
      <c r="I5906" s="56" t="s">
        <v>50564</v>
      </c>
      <c r="J5906" s="56"/>
      <c r="K5906" s="50"/>
      <c r="L5906" s="56" t="s">
        <v>56716</v>
      </c>
    </row>
    <row r="5907" spans="1:12" s="36" customFormat="1" ht="11.25" x14ac:dyDescent="0.2">
      <c r="A5907" s="46" t="s">
        <v>2998</v>
      </c>
      <c r="B5907" s="46" t="s">
        <v>54542</v>
      </c>
      <c r="C5907" s="58" t="str">
        <f>"00269298"</f>
        <v>00269298</v>
      </c>
      <c r="D5907" s="58" t="str">
        <f>"14330474"</f>
        <v>14330474</v>
      </c>
      <c r="E5907" s="46" t="s">
        <v>167</v>
      </c>
      <c r="F5907" s="46" t="s">
        <v>18158</v>
      </c>
      <c r="G5907" s="46" t="s">
        <v>50593</v>
      </c>
      <c r="H5907" s="48" t="s">
        <v>56716</v>
      </c>
      <c r="I5907" s="48" t="s">
        <v>50564</v>
      </c>
      <c r="J5907" s="48"/>
      <c r="K5907" s="50" t="s">
        <v>56716</v>
      </c>
      <c r="L5907" s="48"/>
    </row>
    <row r="5908" spans="1:12" s="36" customFormat="1" ht="11.25" x14ac:dyDescent="0.2">
      <c r="A5908" s="46" t="s">
        <v>16566</v>
      </c>
      <c r="B5908" s="46" t="s">
        <v>54543</v>
      </c>
      <c r="C5908" s="58" t="str">
        <f>""</f>
        <v/>
      </c>
      <c r="D5908" s="58" t="str">
        <f>"21679436"</f>
        <v>21679436</v>
      </c>
      <c r="E5908" s="46" t="s">
        <v>4337</v>
      </c>
      <c r="F5908" s="46" t="s">
        <v>17759</v>
      </c>
      <c r="G5908" s="46" t="s">
        <v>50584</v>
      </c>
      <c r="H5908" s="48" t="s">
        <v>56716</v>
      </c>
      <c r="I5908" s="48" t="s">
        <v>50564</v>
      </c>
      <c r="J5908" s="48" t="s">
        <v>56716</v>
      </c>
      <c r="K5908" s="50"/>
      <c r="L5908" s="48" t="s">
        <v>56716</v>
      </c>
    </row>
    <row r="5909" spans="1:12" s="36" customFormat="1" ht="11.25" x14ac:dyDescent="0.2">
      <c r="A5909" s="45" t="s">
        <v>41350</v>
      </c>
      <c r="B5909" s="45" t="s">
        <v>41352</v>
      </c>
      <c r="C5909" s="51" t="s">
        <v>41355</v>
      </c>
      <c r="D5909" s="51" t="s">
        <v>41354</v>
      </c>
      <c r="E5909" s="45" t="s">
        <v>18122</v>
      </c>
      <c r="F5909" s="45" t="s">
        <v>18123</v>
      </c>
      <c r="G5909" s="45" t="s">
        <v>50584</v>
      </c>
      <c r="H5909" s="56"/>
      <c r="I5909" s="56" t="s">
        <v>50564</v>
      </c>
      <c r="J5909" s="56"/>
      <c r="K5909" s="50"/>
      <c r="L5909" s="56" t="s">
        <v>56716</v>
      </c>
    </row>
    <row r="5910" spans="1:12" s="36" customFormat="1" ht="11.25" x14ac:dyDescent="0.2">
      <c r="A5910" s="45" t="s">
        <v>41357</v>
      </c>
      <c r="B5910" s="45" t="s">
        <v>41359</v>
      </c>
      <c r="C5910" s="51" t="s">
        <v>41361</v>
      </c>
      <c r="D5910" s="51" t="s">
        <v>41360</v>
      </c>
      <c r="E5910" s="45" t="s">
        <v>18176</v>
      </c>
      <c r="F5910" s="45" t="s">
        <v>18123</v>
      </c>
      <c r="G5910" s="45" t="s">
        <v>50584</v>
      </c>
      <c r="H5910" s="56"/>
      <c r="I5910" s="56" t="s">
        <v>50564</v>
      </c>
      <c r="J5910" s="56"/>
      <c r="K5910" s="50"/>
      <c r="L5910" s="56" t="s">
        <v>56716</v>
      </c>
    </row>
    <row r="5911" spans="1:12" s="36" customFormat="1" ht="11.25" x14ac:dyDescent="0.2">
      <c r="A5911" s="45" t="s">
        <v>41363</v>
      </c>
      <c r="B5911" s="45" t="s">
        <v>41365</v>
      </c>
      <c r="C5911" s="51" t="s">
        <v>41367</v>
      </c>
      <c r="D5911" s="51" t="s">
        <v>41366</v>
      </c>
      <c r="E5911" s="45" t="s">
        <v>21146</v>
      </c>
      <c r="F5911" s="45" t="s">
        <v>17759</v>
      </c>
      <c r="G5911" s="45" t="s">
        <v>50584</v>
      </c>
      <c r="H5911" s="56"/>
      <c r="I5911" s="56" t="s">
        <v>50564</v>
      </c>
      <c r="J5911" s="56"/>
      <c r="K5911" s="50"/>
      <c r="L5911" s="56" t="s">
        <v>56716</v>
      </c>
    </row>
    <row r="5912" spans="1:12" s="36" customFormat="1" ht="11.25" x14ac:dyDescent="0.2">
      <c r="A5912" s="45" t="s">
        <v>41369</v>
      </c>
      <c r="B5912" s="45" t="s">
        <v>41371</v>
      </c>
      <c r="C5912" s="51" t="s">
        <v>41374</v>
      </c>
      <c r="D5912" s="51" t="s">
        <v>41373</v>
      </c>
      <c r="E5912" s="45" t="s">
        <v>41376</v>
      </c>
      <c r="F5912" s="45" t="s">
        <v>17759</v>
      </c>
      <c r="G5912" s="45" t="s">
        <v>50584</v>
      </c>
      <c r="H5912" s="56"/>
      <c r="I5912" s="56" t="s">
        <v>50564</v>
      </c>
      <c r="J5912" s="56"/>
      <c r="K5912" s="50"/>
      <c r="L5912" s="56" t="s">
        <v>56716</v>
      </c>
    </row>
    <row r="5913" spans="1:12" s="36" customFormat="1" ht="11.25" x14ac:dyDescent="0.2">
      <c r="A5913" s="45" t="s">
        <v>41378</v>
      </c>
      <c r="B5913" s="45" t="s">
        <v>41380</v>
      </c>
      <c r="C5913" s="51" t="s">
        <v>41382</v>
      </c>
      <c r="D5913" s="51"/>
      <c r="E5913" s="45" t="s">
        <v>18853</v>
      </c>
      <c r="F5913" s="45" t="s">
        <v>50653</v>
      </c>
      <c r="G5913" s="45" t="s">
        <v>56509</v>
      </c>
      <c r="H5913" s="56"/>
      <c r="I5913" s="56" t="s">
        <v>50564</v>
      </c>
      <c r="J5913" s="56"/>
      <c r="K5913" s="50"/>
      <c r="L5913" s="56" t="s">
        <v>56716</v>
      </c>
    </row>
    <row r="5914" spans="1:12" s="36" customFormat="1" ht="11.25" x14ac:dyDescent="0.2">
      <c r="A5914" s="46" t="s">
        <v>11282</v>
      </c>
      <c r="B5914" s="46" t="s">
        <v>11282</v>
      </c>
      <c r="C5914" s="58" t="str">
        <f>"12860115"</f>
        <v>12860115</v>
      </c>
      <c r="D5914" s="58" t="str">
        <f>""</f>
        <v/>
      </c>
      <c r="E5914" s="46" t="s">
        <v>85</v>
      </c>
      <c r="F5914" s="46" t="s">
        <v>20359</v>
      </c>
      <c r="G5914" s="46" t="s">
        <v>50591</v>
      </c>
      <c r="H5914" s="48" t="s">
        <v>56716</v>
      </c>
      <c r="I5914" s="48" t="s">
        <v>50564</v>
      </c>
      <c r="J5914" s="48"/>
      <c r="K5914" s="50" t="s">
        <v>56716</v>
      </c>
      <c r="L5914" s="48" t="s">
        <v>56716</v>
      </c>
    </row>
    <row r="5915" spans="1:12" s="36" customFormat="1" ht="11.25" x14ac:dyDescent="0.2">
      <c r="A5915" s="46" t="s">
        <v>10660</v>
      </c>
      <c r="B5915" s="46" t="s">
        <v>54544</v>
      </c>
      <c r="C5915" s="58" t="str">
        <f>"10871640"</f>
        <v>10871640</v>
      </c>
      <c r="D5915" s="58" t="str">
        <f>"15432696"</f>
        <v>15432696</v>
      </c>
      <c r="E5915" s="46" t="s">
        <v>6280</v>
      </c>
      <c r="F5915" s="46" t="s">
        <v>17759</v>
      </c>
      <c r="G5915" s="46" t="s">
        <v>50584</v>
      </c>
      <c r="H5915" s="48" t="s">
        <v>56716</v>
      </c>
      <c r="I5915" s="48" t="s">
        <v>50564</v>
      </c>
      <c r="J5915" s="48"/>
      <c r="K5915" s="57"/>
      <c r="L5915" s="48" t="s">
        <v>56716</v>
      </c>
    </row>
    <row r="5916" spans="1:12" s="36" customFormat="1" ht="11.25" x14ac:dyDescent="0.2">
      <c r="A5916" s="46" t="s">
        <v>4684</v>
      </c>
      <c r="B5916" s="46" t="s">
        <v>54545</v>
      </c>
      <c r="C5916" s="58" t="str">
        <f>"08853185"</f>
        <v>08853185</v>
      </c>
      <c r="D5916" s="58" t="str">
        <f>"15318257"</f>
        <v>15318257</v>
      </c>
      <c r="E5916" s="46" t="s">
        <v>517</v>
      </c>
      <c r="F5916" s="46" t="s">
        <v>17759</v>
      </c>
      <c r="G5916" s="46" t="s">
        <v>50584</v>
      </c>
      <c r="H5916" s="48" t="s">
        <v>56716</v>
      </c>
      <c r="I5916" s="48" t="s">
        <v>50564</v>
      </c>
      <c r="J5916" s="48" t="s">
        <v>56716</v>
      </c>
      <c r="K5916" s="50" t="s">
        <v>56716</v>
      </c>
      <c r="L5916" s="48" t="s">
        <v>56716</v>
      </c>
    </row>
    <row r="5917" spans="1:12" s="36" customFormat="1" ht="11.25" x14ac:dyDescent="0.2">
      <c r="A5917" s="46" t="s">
        <v>56339</v>
      </c>
      <c r="B5917" s="46" t="s">
        <v>56340</v>
      </c>
      <c r="C5917" s="58" t="str">
        <f>""</f>
        <v/>
      </c>
      <c r="D5917" s="58" t="str">
        <f>"23301619"</f>
        <v>23301619</v>
      </c>
      <c r="E5917" s="46" t="s">
        <v>970</v>
      </c>
      <c r="F5917" s="46" t="s">
        <v>17759</v>
      </c>
      <c r="G5917" s="46" t="s">
        <v>50584</v>
      </c>
      <c r="H5917" s="48" t="s">
        <v>56716</v>
      </c>
      <c r="I5917" s="48" t="s">
        <v>50564</v>
      </c>
      <c r="J5917" s="48" t="s">
        <v>56716</v>
      </c>
      <c r="K5917" s="57"/>
      <c r="L5917" s="48"/>
    </row>
    <row r="5918" spans="1:12" s="36" customFormat="1" ht="11.25" x14ac:dyDescent="0.2">
      <c r="A5918" s="45" t="s">
        <v>41396</v>
      </c>
      <c r="B5918" s="45" t="s">
        <v>41396</v>
      </c>
      <c r="C5918" s="51" t="s">
        <v>41398</v>
      </c>
      <c r="D5918" s="51" t="s">
        <v>41397</v>
      </c>
      <c r="E5918" s="45" t="s">
        <v>41399</v>
      </c>
      <c r="F5918" s="45" t="s">
        <v>17759</v>
      </c>
      <c r="G5918" s="45" t="s">
        <v>50584</v>
      </c>
      <c r="H5918" s="56"/>
      <c r="I5918" s="56" t="s">
        <v>50564</v>
      </c>
      <c r="J5918" s="56"/>
      <c r="K5918" s="57"/>
      <c r="L5918" s="56" t="s">
        <v>56716</v>
      </c>
    </row>
    <row r="5919" spans="1:12" s="36" customFormat="1" ht="11.25" x14ac:dyDescent="0.2">
      <c r="A5919" s="46" t="s">
        <v>12363</v>
      </c>
      <c r="B5919" s="46" t="s">
        <v>54546</v>
      </c>
      <c r="C5919" s="58" t="str">
        <f>"19330219"</f>
        <v>19330219</v>
      </c>
      <c r="D5919" s="58" t="str">
        <f>"19353456"</f>
        <v>19353456</v>
      </c>
      <c r="E5919" s="46" t="s">
        <v>315</v>
      </c>
      <c r="F5919" s="46" t="s">
        <v>50646</v>
      </c>
      <c r="G5919" s="46" t="s">
        <v>50584</v>
      </c>
      <c r="H5919" s="48" t="s">
        <v>56716</v>
      </c>
      <c r="I5919" s="48" t="s">
        <v>50564</v>
      </c>
      <c r="J5919" s="48" t="s">
        <v>56716</v>
      </c>
      <c r="K5919" s="57"/>
      <c r="L5919" s="48" t="s">
        <v>56716</v>
      </c>
    </row>
    <row r="5920" spans="1:12" s="37" customFormat="1" ht="11.25" x14ac:dyDescent="0.2">
      <c r="A5920" s="46" t="s">
        <v>12163</v>
      </c>
      <c r="B5920" s="46" t="s">
        <v>54547</v>
      </c>
      <c r="C5920" s="58" t="str">
        <f>"1828695X"</f>
        <v>1828695X</v>
      </c>
      <c r="D5920" s="58" t="str">
        <f>"20496958"</f>
        <v>20496958</v>
      </c>
      <c r="E5920" s="46" t="s">
        <v>2299</v>
      </c>
      <c r="F5920" s="46" t="s">
        <v>50646</v>
      </c>
      <c r="G5920" s="46" t="s">
        <v>50584</v>
      </c>
      <c r="H5920" s="48" t="s">
        <v>56716</v>
      </c>
      <c r="I5920" s="48" t="s">
        <v>50564</v>
      </c>
      <c r="J5920" s="48"/>
      <c r="K5920" s="57"/>
      <c r="L5920" s="48"/>
    </row>
    <row r="5921" spans="1:12" s="37" customFormat="1" ht="11.25" x14ac:dyDescent="0.2">
      <c r="A5921" s="45" t="s">
        <v>41406</v>
      </c>
      <c r="B5921" s="45" t="s">
        <v>41408</v>
      </c>
      <c r="C5921" s="51"/>
      <c r="D5921" s="51" t="s">
        <v>41409</v>
      </c>
      <c r="E5921" s="45" t="s">
        <v>55</v>
      </c>
      <c r="F5921" s="45" t="s">
        <v>50646</v>
      </c>
      <c r="G5921" s="45" t="s">
        <v>50584</v>
      </c>
      <c r="H5921" s="56"/>
      <c r="I5921" s="56" t="s">
        <v>50564</v>
      </c>
      <c r="J5921" s="56"/>
      <c r="K5921" s="57"/>
      <c r="L5921" s="56" t="s">
        <v>56716</v>
      </c>
    </row>
    <row r="5922" spans="1:12" ht="11.25" x14ac:dyDescent="0.2">
      <c r="A5922" s="46" t="s">
        <v>6675</v>
      </c>
      <c r="B5922" s="46" t="s">
        <v>54548</v>
      </c>
      <c r="C5922" s="58" t="str">
        <f>"13524585"</f>
        <v>13524585</v>
      </c>
      <c r="D5922" s="58" t="str">
        <f>"14770970"</f>
        <v>14770970</v>
      </c>
      <c r="E5922" s="46" t="s">
        <v>97</v>
      </c>
      <c r="F5922" s="46" t="s">
        <v>50646</v>
      </c>
      <c r="G5922" s="46" t="s">
        <v>50584</v>
      </c>
      <c r="H5922" s="48" t="s">
        <v>56716</v>
      </c>
      <c r="I5922" s="48" t="s">
        <v>50564</v>
      </c>
      <c r="J5922" s="48"/>
      <c r="K5922" s="57"/>
      <c r="L5922" s="48" t="s">
        <v>56716</v>
      </c>
    </row>
    <row r="5923" spans="1:12" ht="11.25" x14ac:dyDescent="0.2">
      <c r="A5923" s="46" t="s">
        <v>15530</v>
      </c>
      <c r="B5923" s="46" t="s">
        <v>54549</v>
      </c>
      <c r="C5923" s="58" t="str">
        <f>"22110348"</f>
        <v>22110348</v>
      </c>
      <c r="D5923" s="58" t="str">
        <f>"22110356"</f>
        <v>22110356</v>
      </c>
      <c r="E5923" s="46" t="s">
        <v>91</v>
      </c>
      <c r="F5923" s="46" t="s">
        <v>18001</v>
      </c>
      <c r="G5923" s="46" t="s">
        <v>50584</v>
      </c>
      <c r="H5923" s="48" t="s">
        <v>56716</v>
      </c>
      <c r="I5923" s="48" t="s">
        <v>50564</v>
      </c>
      <c r="J5923" s="48"/>
      <c r="K5923" s="50" t="s">
        <v>56716</v>
      </c>
      <c r="L5923" s="48"/>
    </row>
    <row r="5924" spans="1:12" ht="11.25" x14ac:dyDescent="0.2">
      <c r="A5924" s="46" t="s">
        <v>15719</v>
      </c>
      <c r="B5924" s="46" t="s">
        <v>54550</v>
      </c>
      <c r="C5924" s="58" t="str">
        <f>"20902654"</f>
        <v>20902654</v>
      </c>
      <c r="D5924" s="58" t="str">
        <f>"20902662"</f>
        <v>20902662</v>
      </c>
      <c r="E5924" s="46" t="s">
        <v>1412</v>
      </c>
      <c r="F5924" s="46" t="s">
        <v>17759</v>
      </c>
      <c r="G5924" s="46" t="s">
        <v>50584</v>
      </c>
      <c r="H5924" s="48" t="s">
        <v>56716</v>
      </c>
      <c r="I5924" s="48" t="s">
        <v>50564</v>
      </c>
      <c r="J5924" s="48" t="s">
        <v>56716</v>
      </c>
      <c r="K5924" s="57"/>
      <c r="L5924" s="48"/>
    </row>
    <row r="5925" spans="1:12" ht="11.25" x14ac:dyDescent="0.2">
      <c r="A5925" s="45" t="s">
        <v>41415</v>
      </c>
      <c r="B5925" s="45" t="s">
        <v>41417</v>
      </c>
      <c r="C5925" s="51" t="s">
        <v>41420</v>
      </c>
      <c r="D5925" s="51" t="s">
        <v>41419</v>
      </c>
      <c r="E5925" s="45" t="s">
        <v>50665</v>
      </c>
      <c r="F5925" s="45" t="s">
        <v>18001</v>
      </c>
      <c r="G5925" s="45" t="s">
        <v>50584</v>
      </c>
      <c r="H5925" s="56"/>
      <c r="I5925" s="56" t="s">
        <v>50564</v>
      </c>
      <c r="J5925" s="56"/>
      <c r="K5925" s="57"/>
      <c r="L5925" s="56" t="s">
        <v>56716</v>
      </c>
    </row>
    <row r="5926" spans="1:12" ht="11.25" x14ac:dyDescent="0.2">
      <c r="A5926" s="46" t="s">
        <v>3026</v>
      </c>
      <c r="B5926" s="46" t="s">
        <v>41426</v>
      </c>
      <c r="C5926" s="58" t="str">
        <f>"0148639X"</f>
        <v>0148639X</v>
      </c>
      <c r="D5926" s="58" t="str">
        <f>"10974598"</f>
        <v>10974598</v>
      </c>
      <c r="E5926" s="46" t="s">
        <v>517</v>
      </c>
      <c r="F5926" s="46" t="s">
        <v>17759</v>
      </c>
      <c r="G5926" s="46" t="s">
        <v>50584</v>
      </c>
      <c r="H5926" s="48" t="s">
        <v>56716</v>
      </c>
      <c r="I5926" s="48" t="s">
        <v>50564</v>
      </c>
      <c r="J5926" s="48" t="s">
        <v>56716</v>
      </c>
      <c r="K5926" s="50" t="s">
        <v>56716</v>
      </c>
      <c r="L5926" s="48" t="s">
        <v>56716</v>
      </c>
    </row>
    <row r="5927" spans="1:12" ht="11.25" x14ac:dyDescent="0.2">
      <c r="A5927" s="45" t="s">
        <v>41429</v>
      </c>
      <c r="B5927" s="45" t="s">
        <v>41431</v>
      </c>
      <c r="C5927" s="51" t="s">
        <v>41433</v>
      </c>
      <c r="D5927" s="51" t="s">
        <v>41432</v>
      </c>
      <c r="E5927" s="45" t="s">
        <v>41434</v>
      </c>
      <c r="F5927" s="45" t="s">
        <v>50646</v>
      </c>
      <c r="G5927" s="45" t="s">
        <v>50584</v>
      </c>
      <c r="H5927" s="56"/>
      <c r="I5927" s="56" t="s">
        <v>50564</v>
      </c>
      <c r="J5927" s="56"/>
      <c r="K5927" s="57"/>
      <c r="L5927" s="56" t="s">
        <v>56716</v>
      </c>
    </row>
    <row r="5928" spans="1:12" ht="11.25" x14ac:dyDescent="0.2">
      <c r="A5928" s="45" t="s">
        <v>41436</v>
      </c>
      <c r="B5928" s="45" t="s">
        <v>41438</v>
      </c>
      <c r="C5928" s="51" t="s">
        <v>41441</v>
      </c>
      <c r="D5928" s="51" t="s">
        <v>41440</v>
      </c>
      <c r="E5928" s="45" t="s">
        <v>35827</v>
      </c>
      <c r="F5928" s="45" t="s">
        <v>17991</v>
      </c>
      <c r="G5928" s="45" t="s">
        <v>50584</v>
      </c>
      <c r="H5928" s="56"/>
      <c r="I5928" s="56" t="s">
        <v>50564</v>
      </c>
      <c r="J5928" s="56"/>
      <c r="K5928" s="57"/>
      <c r="L5928" s="56" t="s">
        <v>56716</v>
      </c>
    </row>
    <row r="5929" spans="1:12" ht="11.25" x14ac:dyDescent="0.2">
      <c r="A5929" s="46" t="s">
        <v>3032</v>
      </c>
      <c r="B5929" s="46" t="s">
        <v>3032</v>
      </c>
      <c r="C5929" s="58" t="str">
        <f>"02678357"</f>
        <v>02678357</v>
      </c>
      <c r="D5929" s="58" t="str">
        <f>"14643804"</f>
        <v>14643804</v>
      </c>
      <c r="E5929" s="46" t="s">
        <v>55</v>
      </c>
      <c r="F5929" s="46" t="s">
        <v>50646</v>
      </c>
      <c r="G5929" s="46" t="s">
        <v>50584</v>
      </c>
      <c r="H5929" s="48" t="s">
        <v>56716</v>
      </c>
      <c r="I5929" s="48" t="s">
        <v>50564</v>
      </c>
      <c r="J5929" s="48" t="s">
        <v>56716</v>
      </c>
      <c r="K5929" s="57"/>
      <c r="L5929" s="48" t="s">
        <v>56716</v>
      </c>
    </row>
    <row r="5930" spans="1:12" ht="11.25" x14ac:dyDescent="0.2">
      <c r="A5930" s="46" t="s">
        <v>5504</v>
      </c>
      <c r="B5930" s="46" t="s">
        <v>54551</v>
      </c>
      <c r="C5930" s="58" t="str">
        <f>"00275107"</f>
        <v>00275107</v>
      </c>
      <c r="D5930" s="58" t="str">
        <f>"18792871"</f>
        <v>18792871</v>
      </c>
      <c r="E5930" s="46" t="s">
        <v>91</v>
      </c>
      <c r="F5930" s="46" t="s">
        <v>18001</v>
      </c>
      <c r="G5930" s="46" t="s">
        <v>50584</v>
      </c>
      <c r="H5930" s="48" t="s">
        <v>56716</v>
      </c>
      <c r="I5930" s="48" t="s">
        <v>50564</v>
      </c>
      <c r="J5930" s="48" t="s">
        <v>56716</v>
      </c>
      <c r="K5930" s="50" t="s">
        <v>56716</v>
      </c>
      <c r="L5930" s="48" t="s">
        <v>56716</v>
      </c>
    </row>
    <row r="5931" spans="1:12" ht="11.25" x14ac:dyDescent="0.2">
      <c r="A5931" s="46" t="s">
        <v>7289</v>
      </c>
      <c r="B5931" s="46" t="s">
        <v>54552</v>
      </c>
      <c r="C5931" s="58" t="str">
        <f>"13835718"</f>
        <v>13835718</v>
      </c>
      <c r="D5931" s="58" t="str">
        <f>"18793592"</f>
        <v>18793592</v>
      </c>
      <c r="E5931" s="46" t="s">
        <v>91</v>
      </c>
      <c r="F5931" s="46" t="s">
        <v>18001</v>
      </c>
      <c r="G5931" s="46" t="s">
        <v>50584</v>
      </c>
      <c r="H5931" s="48" t="s">
        <v>56716</v>
      </c>
      <c r="I5931" s="48" t="s">
        <v>50564</v>
      </c>
      <c r="J5931" s="48" t="s">
        <v>56716</v>
      </c>
      <c r="K5931" s="50" t="s">
        <v>56716</v>
      </c>
      <c r="L5931" s="48" t="s">
        <v>56716</v>
      </c>
    </row>
    <row r="5932" spans="1:12" ht="11.25" x14ac:dyDescent="0.2">
      <c r="A5932" s="46" t="s">
        <v>7286</v>
      </c>
      <c r="B5932" s="46" t="s">
        <v>54553</v>
      </c>
      <c r="C5932" s="58" t="str">
        <f>"13835742"</f>
        <v>13835742</v>
      </c>
      <c r="D5932" s="58" t="str">
        <f>"13882139"</f>
        <v>13882139</v>
      </c>
      <c r="E5932" s="46" t="s">
        <v>91</v>
      </c>
      <c r="F5932" s="46" t="s">
        <v>18001</v>
      </c>
      <c r="G5932" s="46" t="s">
        <v>50584</v>
      </c>
      <c r="H5932" s="48" t="s">
        <v>56716</v>
      </c>
      <c r="I5932" s="48" t="s">
        <v>50564</v>
      </c>
      <c r="J5932" s="48" t="s">
        <v>56716</v>
      </c>
      <c r="K5932" s="50" t="s">
        <v>56716</v>
      </c>
      <c r="L5932" s="48" t="s">
        <v>56716</v>
      </c>
    </row>
    <row r="5933" spans="1:12" ht="11.25" x14ac:dyDescent="0.2">
      <c r="A5933" s="45" t="s">
        <v>41453</v>
      </c>
      <c r="B5933" s="45" t="s">
        <v>41453</v>
      </c>
      <c r="C5933" s="51" t="s">
        <v>41457</v>
      </c>
      <c r="D5933" s="51" t="s">
        <v>41456</v>
      </c>
      <c r="E5933" s="45" t="s">
        <v>41458</v>
      </c>
      <c r="F5933" s="45" t="s">
        <v>17759</v>
      </c>
      <c r="G5933" s="45" t="s">
        <v>50584</v>
      </c>
      <c r="H5933" s="56"/>
      <c r="I5933" s="56" t="s">
        <v>50564</v>
      </c>
      <c r="J5933" s="56"/>
      <c r="K5933" s="57"/>
      <c r="L5933" s="56" t="s">
        <v>56716</v>
      </c>
    </row>
    <row r="5934" spans="1:12" ht="11.25" x14ac:dyDescent="0.2">
      <c r="A5934" s="45" t="s">
        <v>41460</v>
      </c>
      <c r="B5934" s="45" t="s">
        <v>41460</v>
      </c>
      <c r="C5934" s="51" t="s">
        <v>56725</v>
      </c>
      <c r="D5934" s="51"/>
      <c r="E5934" s="45" t="s">
        <v>21011</v>
      </c>
      <c r="F5934" s="45" t="s">
        <v>18001</v>
      </c>
      <c r="G5934" s="45" t="s">
        <v>50584</v>
      </c>
      <c r="H5934" s="56"/>
      <c r="I5934" s="56" t="s">
        <v>50564</v>
      </c>
      <c r="J5934" s="56"/>
      <c r="K5934" s="57"/>
      <c r="L5934" s="56" t="s">
        <v>56716</v>
      </c>
    </row>
    <row r="5935" spans="1:12" ht="11.25" x14ac:dyDescent="0.2">
      <c r="A5935" s="45" t="s">
        <v>41466</v>
      </c>
      <c r="B5935" s="45" t="s">
        <v>41466</v>
      </c>
      <c r="C5935" s="51" t="s">
        <v>41469</v>
      </c>
      <c r="D5935" s="51" t="s">
        <v>41468</v>
      </c>
      <c r="E5935" s="45" t="s">
        <v>17089</v>
      </c>
      <c r="F5935" s="45" t="s">
        <v>18158</v>
      </c>
      <c r="G5935" s="45" t="s">
        <v>50584</v>
      </c>
      <c r="H5935" s="56"/>
      <c r="I5935" s="56" t="s">
        <v>50564</v>
      </c>
      <c r="J5935" s="56"/>
      <c r="K5935" s="57"/>
      <c r="L5935" s="56" t="s">
        <v>56716</v>
      </c>
    </row>
    <row r="5936" spans="1:12" ht="11.25" x14ac:dyDescent="0.2">
      <c r="A5936" s="46" t="s">
        <v>4645</v>
      </c>
      <c r="B5936" s="46" t="s">
        <v>4645</v>
      </c>
      <c r="C5936" s="58" t="str">
        <f>"09337407"</f>
        <v>09337407</v>
      </c>
      <c r="D5936" s="58" t="str">
        <f>"14390507"</f>
        <v>14390507</v>
      </c>
      <c r="E5936" s="46" t="s">
        <v>35</v>
      </c>
      <c r="F5936" s="46" t="s">
        <v>50646</v>
      </c>
      <c r="G5936" s="46" t="s">
        <v>50592</v>
      </c>
      <c r="H5936" s="48" t="s">
        <v>56716</v>
      </c>
      <c r="I5936" s="48" t="s">
        <v>50564</v>
      </c>
      <c r="J5936" s="48" t="s">
        <v>56716</v>
      </c>
      <c r="K5936" s="50" t="s">
        <v>56716</v>
      </c>
      <c r="L5936" s="48" t="s">
        <v>56716</v>
      </c>
    </row>
    <row r="5937" spans="1:12" ht="11.25" x14ac:dyDescent="0.2">
      <c r="A5937" s="46" t="s">
        <v>12620</v>
      </c>
      <c r="B5937" s="46" t="s">
        <v>54554</v>
      </c>
      <c r="C5937" s="58" t="str">
        <f>"01787888"</f>
        <v>01787888</v>
      </c>
      <c r="D5937" s="58" t="str">
        <f>"18671632"</f>
        <v>18671632</v>
      </c>
      <c r="E5937" s="46" t="s">
        <v>167</v>
      </c>
      <c r="F5937" s="46" t="s">
        <v>18158</v>
      </c>
      <c r="G5937" s="46" t="s">
        <v>50584</v>
      </c>
      <c r="H5937" s="48" t="s">
        <v>56716</v>
      </c>
      <c r="I5937" s="48" t="s">
        <v>50564</v>
      </c>
      <c r="J5937" s="48"/>
      <c r="K5937" s="50" t="s">
        <v>56716</v>
      </c>
      <c r="L5937" s="48" t="s">
        <v>56716</v>
      </c>
    </row>
    <row r="5938" spans="1:12" ht="11.25" x14ac:dyDescent="0.2">
      <c r="A5938" s="45" t="s">
        <v>41481</v>
      </c>
      <c r="B5938" s="45" t="s">
        <v>41483</v>
      </c>
      <c r="C5938" s="51" t="s">
        <v>41484</v>
      </c>
      <c r="D5938" s="51"/>
      <c r="E5938" s="45" t="s">
        <v>41485</v>
      </c>
      <c r="F5938" s="45" t="s">
        <v>22024</v>
      </c>
      <c r="G5938" s="45" t="s">
        <v>50584</v>
      </c>
      <c r="H5938" s="56"/>
      <c r="I5938" s="56" t="s">
        <v>50564</v>
      </c>
      <c r="J5938" s="56"/>
      <c r="K5938" s="57"/>
      <c r="L5938" s="56" t="s">
        <v>56716</v>
      </c>
    </row>
    <row r="5939" spans="1:12" ht="11.25" x14ac:dyDescent="0.2">
      <c r="A5939" s="46" t="s">
        <v>8960</v>
      </c>
      <c r="B5939" s="46" t="s">
        <v>8960</v>
      </c>
      <c r="C5939" s="58" t="str">
        <f>"14285851"</f>
        <v>14285851</v>
      </c>
      <c r="D5939" s="58" t="str">
        <f>"16443101"</f>
        <v>16443101</v>
      </c>
      <c r="E5939" s="46" t="s">
        <v>1462</v>
      </c>
      <c r="F5939" s="46" t="s">
        <v>17967</v>
      </c>
      <c r="G5939" s="46" t="s">
        <v>50613</v>
      </c>
      <c r="H5939" s="48" t="s">
        <v>56716</v>
      </c>
      <c r="I5939" s="48" t="s">
        <v>50564</v>
      </c>
      <c r="J5939" s="48"/>
      <c r="K5939" s="57"/>
      <c r="L5939" s="48"/>
    </row>
    <row r="5940" spans="1:12" ht="11.25" x14ac:dyDescent="0.2">
      <c r="A5940" s="45" t="s">
        <v>41487</v>
      </c>
      <c r="B5940" s="45" t="s">
        <v>41489</v>
      </c>
      <c r="C5940" s="51" t="s">
        <v>41492</v>
      </c>
      <c r="D5940" s="51" t="s">
        <v>41491</v>
      </c>
      <c r="E5940" s="45" t="s">
        <v>41493</v>
      </c>
      <c r="F5940" s="45" t="s">
        <v>18242</v>
      </c>
      <c r="G5940" s="45" t="s">
        <v>50584</v>
      </c>
      <c r="H5940" s="56"/>
      <c r="I5940" s="56" t="s">
        <v>50564</v>
      </c>
      <c r="J5940" s="56"/>
      <c r="K5940" s="57"/>
      <c r="L5940" s="56" t="s">
        <v>56716</v>
      </c>
    </row>
    <row r="5941" spans="1:12" ht="11.25" x14ac:dyDescent="0.2">
      <c r="A5941" s="45" t="s">
        <v>41495</v>
      </c>
      <c r="B5941" s="45" t="s">
        <v>41497</v>
      </c>
      <c r="C5941" s="51" t="s">
        <v>41499</v>
      </c>
      <c r="D5941" s="51"/>
      <c r="E5941" s="45" t="s">
        <v>41500</v>
      </c>
      <c r="F5941" s="45" t="s">
        <v>17958</v>
      </c>
      <c r="G5941" s="45" t="s">
        <v>50586</v>
      </c>
      <c r="H5941" s="56"/>
      <c r="I5941" s="56" t="s">
        <v>50564</v>
      </c>
      <c r="J5941" s="56"/>
      <c r="K5941" s="57"/>
      <c r="L5941" s="56" t="s">
        <v>56716</v>
      </c>
    </row>
    <row r="5942" spans="1:12" ht="11.25" x14ac:dyDescent="0.2">
      <c r="A5942" s="46" t="s">
        <v>15514</v>
      </c>
      <c r="B5942" s="46" t="s">
        <v>54555</v>
      </c>
      <c r="C5942" s="58" t="str">
        <f>""</f>
        <v/>
      </c>
      <c r="D5942" s="58" t="str">
        <f>"21505578"</f>
        <v>21505578</v>
      </c>
      <c r="E5942" s="46" t="s">
        <v>15516</v>
      </c>
      <c r="F5942" s="46" t="s">
        <v>17759</v>
      </c>
      <c r="G5942" s="46" t="s">
        <v>50584</v>
      </c>
      <c r="H5942" s="48" t="s">
        <v>56716</v>
      </c>
      <c r="I5942" s="48" t="s">
        <v>50564</v>
      </c>
      <c r="J5942" s="48"/>
      <c r="K5942" s="57"/>
      <c r="L5942" s="48"/>
    </row>
    <row r="5943" spans="1:12" ht="11.25" x14ac:dyDescent="0.2">
      <c r="A5943" s="45" t="s">
        <v>41502</v>
      </c>
      <c r="B5943" s="45" t="s">
        <v>41504</v>
      </c>
      <c r="C5943" s="51" t="s">
        <v>41506</v>
      </c>
      <c r="D5943" s="51" t="s">
        <v>41505</v>
      </c>
      <c r="E5943" s="45" t="s">
        <v>776</v>
      </c>
      <c r="F5943" s="45" t="s">
        <v>17759</v>
      </c>
      <c r="G5943" s="45" t="s">
        <v>50584</v>
      </c>
      <c r="H5943" s="56"/>
      <c r="I5943" s="56" t="s">
        <v>50564</v>
      </c>
      <c r="J5943" s="56"/>
      <c r="K5943" s="57"/>
      <c r="L5943" s="56" t="s">
        <v>56716</v>
      </c>
    </row>
    <row r="5944" spans="1:12" ht="11.25" x14ac:dyDescent="0.2">
      <c r="A5944" s="46" t="s">
        <v>17284</v>
      </c>
      <c r="B5944" s="46" t="s">
        <v>17284</v>
      </c>
      <c r="C5944" s="58" t="str">
        <f>"17939844"</f>
        <v>17939844</v>
      </c>
      <c r="D5944" s="58" t="str">
        <f>"17939852"</f>
        <v>17939852</v>
      </c>
      <c r="E5944" s="46" t="s">
        <v>275</v>
      </c>
      <c r="F5944" s="46" t="s">
        <v>19491</v>
      </c>
      <c r="G5944" s="46" t="s">
        <v>50584</v>
      </c>
      <c r="H5944" s="48" t="s">
        <v>56716</v>
      </c>
      <c r="I5944" s="48" t="s">
        <v>50564</v>
      </c>
      <c r="J5944" s="48"/>
      <c r="K5944" s="57"/>
      <c r="L5944" s="48"/>
    </row>
    <row r="5945" spans="1:12" ht="11.25" x14ac:dyDescent="0.2">
      <c r="A5945" s="46" t="s">
        <v>10873</v>
      </c>
      <c r="B5945" s="46" t="s">
        <v>10873</v>
      </c>
      <c r="C5945" s="58" t="str">
        <f>"17480132"</f>
        <v>17480132</v>
      </c>
      <c r="D5945" s="58" t="str">
        <f>"1878044X"</f>
        <v>1878044X</v>
      </c>
      <c r="E5945" s="46" t="s">
        <v>91</v>
      </c>
      <c r="F5945" s="46" t="s">
        <v>18001</v>
      </c>
      <c r="G5945" s="46" t="s">
        <v>50584</v>
      </c>
      <c r="H5945" s="48" t="s">
        <v>56716</v>
      </c>
      <c r="I5945" s="48" t="s">
        <v>50564</v>
      </c>
      <c r="J5945" s="48"/>
      <c r="K5945" s="50" t="s">
        <v>56716</v>
      </c>
      <c r="L5945" s="48"/>
    </row>
    <row r="5946" spans="1:12" ht="11.25" x14ac:dyDescent="0.2">
      <c r="A5946" s="46" t="s">
        <v>10761</v>
      </c>
      <c r="B5946" s="46" t="s">
        <v>10761</v>
      </c>
      <c r="C5946" s="58" t="str">
        <f>"15511286"</f>
        <v>15511286</v>
      </c>
      <c r="D5946" s="58" t="str">
        <f>"15511294"</f>
        <v>15511294</v>
      </c>
      <c r="E5946" s="46" t="s">
        <v>40314</v>
      </c>
      <c r="F5946" s="46" t="s">
        <v>17759</v>
      </c>
      <c r="G5946" s="46" t="s">
        <v>50584</v>
      </c>
      <c r="H5946" s="48" t="s">
        <v>56716</v>
      </c>
      <c r="I5946" s="48" t="s">
        <v>50564</v>
      </c>
      <c r="J5946" s="48" t="s">
        <v>56716</v>
      </c>
      <c r="K5946" s="57"/>
      <c r="L5946" s="48"/>
    </row>
    <row r="5947" spans="1:12" ht="11.25" x14ac:dyDescent="0.2">
      <c r="A5947" s="46" t="s">
        <v>56266</v>
      </c>
      <c r="B5947" s="46" t="s">
        <v>56267</v>
      </c>
      <c r="C5947" s="58" t="str">
        <f>""</f>
        <v/>
      </c>
      <c r="D5947" s="58" t="str">
        <f>"20847211"</f>
        <v>20847211</v>
      </c>
      <c r="E5947" s="46" t="s">
        <v>56253</v>
      </c>
      <c r="F5947" s="46" t="s">
        <v>17967</v>
      </c>
      <c r="G5947" s="46" t="s">
        <v>50584</v>
      </c>
      <c r="H5947" s="48" t="s">
        <v>56716</v>
      </c>
      <c r="I5947" s="48" t="s">
        <v>50564</v>
      </c>
      <c r="J5947" s="48" t="s">
        <v>56716</v>
      </c>
      <c r="K5947" s="57"/>
      <c r="L5947" s="48"/>
    </row>
    <row r="5948" spans="1:12" ht="11.25" x14ac:dyDescent="0.2">
      <c r="A5948" s="46" t="s">
        <v>11937</v>
      </c>
      <c r="B5948" s="46" t="s">
        <v>11937</v>
      </c>
      <c r="C5948" s="58" t="str">
        <f>"17435889"</f>
        <v>17435889</v>
      </c>
      <c r="D5948" s="58" t="str">
        <f>"17486963"</f>
        <v>17486963</v>
      </c>
      <c r="E5948" s="46" t="s">
        <v>8442</v>
      </c>
      <c r="F5948" s="46" t="s">
        <v>50646</v>
      </c>
      <c r="G5948" s="46" t="s">
        <v>50584</v>
      </c>
      <c r="H5948" s="48" t="s">
        <v>56716</v>
      </c>
      <c r="I5948" s="48" t="s">
        <v>50564</v>
      </c>
      <c r="J5948" s="48" t="s">
        <v>56716</v>
      </c>
      <c r="K5948" s="57"/>
      <c r="L5948" s="48" t="s">
        <v>56716</v>
      </c>
    </row>
    <row r="5949" spans="1:12" ht="11.25" x14ac:dyDescent="0.2">
      <c r="A5949" s="46" t="s">
        <v>10879</v>
      </c>
      <c r="B5949" s="46" t="s">
        <v>54556</v>
      </c>
      <c r="C5949" s="58" t="str">
        <f>"15499634"</f>
        <v>15499634</v>
      </c>
      <c r="D5949" s="58" t="str">
        <f>"15499642"</f>
        <v>15499642</v>
      </c>
      <c r="E5949" s="46" t="s">
        <v>272</v>
      </c>
      <c r="F5949" s="46" t="s">
        <v>17759</v>
      </c>
      <c r="G5949" s="46" t="s">
        <v>50584</v>
      </c>
      <c r="H5949" s="48" t="s">
        <v>56716</v>
      </c>
      <c r="I5949" s="48" t="s">
        <v>50564</v>
      </c>
      <c r="J5949" s="48"/>
      <c r="K5949" s="50" t="s">
        <v>56716</v>
      </c>
      <c r="L5949" s="48" t="s">
        <v>56716</v>
      </c>
    </row>
    <row r="5950" spans="1:12" ht="11.25" x14ac:dyDescent="0.2">
      <c r="A5950" s="45" t="s">
        <v>41515</v>
      </c>
      <c r="B5950" s="45" t="s">
        <v>41515</v>
      </c>
      <c r="C5950" s="51" t="s">
        <v>41518</v>
      </c>
      <c r="D5950" s="51" t="s">
        <v>41517</v>
      </c>
      <c r="E5950" s="45" t="s">
        <v>41519</v>
      </c>
      <c r="F5950" s="45" t="s">
        <v>50646</v>
      </c>
      <c r="G5950" s="45" t="s">
        <v>50584</v>
      </c>
      <c r="H5950" s="56"/>
      <c r="I5950" s="56" t="s">
        <v>50564</v>
      </c>
      <c r="J5950" s="56"/>
      <c r="K5950" s="57"/>
      <c r="L5950" s="56" t="s">
        <v>56716</v>
      </c>
    </row>
    <row r="5951" spans="1:12" ht="11.25" x14ac:dyDescent="0.2">
      <c r="A5951" s="45" t="s">
        <v>17916</v>
      </c>
      <c r="B5951" s="45" t="s">
        <v>17916</v>
      </c>
      <c r="C5951" s="51" t="s">
        <v>41523</v>
      </c>
      <c r="D5951" s="51" t="s">
        <v>41522</v>
      </c>
      <c r="E5951" s="45" t="s">
        <v>22394</v>
      </c>
      <c r="F5951" s="45" t="s">
        <v>50646</v>
      </c>
      <c r="G5951" s="45" t="s">
        <v>50584</v>
      </c>
      <c r="H5951" s="56"/>
      <c r="I5951" s="56" t="s">
        <v>50564</v>
      </c>
      <c r="J5951" s="56"/>
      <c r="K5951" s="57"/>
      <c r="L5951" s="56" t="s">
        <v>56716</v>
      </c>
    </row>
    <row r="5952" spans="1:12" ht="11.25" x14ac:dyDescent="0.2">
      <c r="A5952" s="46" t="s">
        <v>14105</v>
      </c>
      <c r="B5952" s="46" t="s">
        <v>54557</v>
      </c>
      <c r="C5952" s="58" t="str">
        <f>""</f>
        <v/>
      </c>
      <c r="D5952" s="58" t="str">
        <f>"11778903"</f>
        <v>11778903</v>
      </c>
      <c r="E5952" s="46" t="s">
        <v>11078</v>
      </c>
      <c r="F5952" s="46" t="s">
        <v>19483</v>
      </c>
      <c r="G5952" s="46" t="s">
        <v>50584</v>
      </c>
      <c r="H5952" s="48" t="s">
        <v>56716</v>
      </c>
      <c r="I5952" s="48" t="s">
        <v>50564</v>
      </c>
      <c r="J5952" s="48"/>
      <c r="K5952" s="57"/>
      <c r="L5952" s="48"/>
    </row>
    <row r="5953" spans="1:12" ht="11.25" x14ac:dyDescent="0.2">
      <c r="A5953" s="46" t="s">
        <v>11374</v>
      </c>
      <c r="B5953" s="46" t="s">
        <v>11374</v>
      </c>
      <c r="C5953" s="58" t="str">
        <f>"17435390"</f>
        <v>17435390</v>
      </c>
      <c r="D5953" s="58" t="str">
        <f>"17435404"</f>
        <v>17435404</v>
      </c>
      <c r="E5953" s="46" t="s">
        <v>291</v>
      </c>
      <c r="F5953" s="46" t="s">
        <v>50646</v>
      </c>
      <c r="G5953" s="46" t="s">
        <v>50584</v>
      </c>
      <c r="H5953" s="48" t="s">
        <v>56716</v>
      </c>
      <c r="I5953" s="48" t="s">
        <v>50564</v>
      </c>
      <c r="J5953" s="48" t="s">
        <v>56716</v>
      </c>
      <c r="K5953" s="57"/>
      <c r="L5953" s="48" t="s">
        <v>56716</v>
      </c>
    </row>
    <row r="5954" spans="1:12" ht="11.25" x14ac:dyDescent="0.2">
      <c r="A5954" s="45" t="s">
        <v>41529</v>
      </c>
      <c r="B5954" s="45" t="s">
        <v>41531</v>
      </c>
      <c r="C5954" s="51" t="s">
        <v>41533</v>
      </c>
      <c r="D5954" s="51" t="s">
        <v>41532</v>
      </c>
      <c r="E5954" s="45" t="s">
        <v>23783</v>
      </c>
      <c r="F5954" s="45" t="s">
        <v>17759</v>
      </c>
      <c r="G5954" s="45" t="s">
        <v>50584</v>
      </c>
      <c r="H5954" s="56"/>
      <c r="I5954" s="56" t="s">
        <v>50564</v>
      </c>
      <c r="J5954" s="56"/>
      <c r="K5954" s="57"/>
      <c r="L5954" s="56" t="s">
        <v>56716</v>
      </c>
    </row>
    <row r="5955" spans="1:12" ht="11.25" x14ac:dyDescent="0.2">
      <c r="A5955" s="45" t="s">
        <v>41535</v>
      </c>
      <c r="B5955" s="45" t="s">
        <v>41537</v>
      </c>
      <c r="C5955" s="51" t="s">
        <v>41540</v>
      </c>
      <c r="D5955" s="51" t="s">
        <v>41539</v>
      </c>
      <c r="E5955" s="45" t="s">
        <v>19447</v>
      </c>
      <c r="F5955" s="45" t="s">
        <v>17759</v>
      </c>
      <c r="G5955" s="45" t="s">
        <v>50584</v>
      </c>
      <c r="H5955" s="56"/>
      <c r="I5955" s="56" t="s">
        <v>50564</v>
      </c>
      <c r="J5955" s="56"/>
      <c r="K5955" s="57"/>
      <c r="L5955" s="56" t="s">
        <v>56716</v>
      </c>
    </row>
    <row r="5956" spans="1:12" ht="11.25" x14ac:dyDescent="0.2">
      <c r="A5956" s="45" t="s">
        <v>41542</v>
      </c>
      <c r="B5956" s="45" t="s">
        <v>41544</v>
      </c>
      <c r="C5956" s="51"/>
      <c r="D5956" s="51"/>
      <c r="E5956" s="45" t="s">
        <v>41545</v>
      </c>
      <c r="F5956" s="45" t="s">
        <v>17759</v>
      </c>
      <c r="G5956" s="45" t="s">
        <v>50584</v>
      </c>
      <c r="H5956" s="56"/>
      <c r="I5956" s="56" t="s">
        <v>50564</v>
      </c>
      <c r="J5956" s="56"/>
      <c r="K5956" s="57"/>
      <c r="L5956" s="56" t="s">
        <v>56716</v>
      </c>
    </row>
    <row r="5957" spans="1:12" ht="11.25" x14ac:dyDescent="0.2">
      <c r="A5957" s="45" t="s">
        <v>41549</v>
      </c>
      <c r="B5957" s="45" t="s">
        <v>41551</v>
      </c>
      <c r="C5957" s="51" t="s">
        <v>41554</v>
      </c>
      <c r="D5957" s="51" t="s">
        <v>41553</v>
      </c>
      <c r="E5957" s="45" t="s">
        <v>30892</v>
      </c>
      <c r="F5957" s="45" t="s">
        <v>17759</v>
      </c>
      <c r="G5957" s="45" t="s">
        <v>50584</v>
      </c>
      <c r="H5957" s="56"/>
      <c r="I5957" s="56" t="s">
        <v>50564</v>
      </c>
      <c r="J5957" s="56"/>
      <c r="K5957" s="57"/>
      <c r="L5957" s="56" t="s">
        <v>56716</v>
      </c>
    </row>
    <row r="5958" spans="1:12" ht="11.25" x14ac:dyDescent="0.2">
      <c r="A5958" s="46" t="s">
        <v>16724</v>
      </c>
      <c r="B5958" s="46" t="s">
        <v>54558</v>
      </c>
      <c r="C5958" s="58" t="str">
        <f>"23204672"</f>
        <v>23204672</v>
      </c>
      <c r="D5958" s="58" t="str">
        <f>"22313206"</f>
        <v>22313206</v>
      </c>
      <c r="E5958" s="46" t="s">
        <v>56129</v>
      </c>
      <c r="F5958" s="46" t="s">
        <v>20446</v>
      </c>
      <c r="G5958" s="46" t="s">
        <v>50584</v>
      </c>
      <c r="H5958" s="48" t="s">
        <v>56716</v>
      </c>
      <c r="I5958" s="48" t="s">
        <v>50564</v>
      </c>
      <c r="J5958" s="48"/>
      <c r="K5958" s="57"/>
      <c r="L5958" s="48"/>
    </row>
    <row r="5959" spans="1:12" ht="11.25" x14ac:dyDescent="0.2">
      <c r="A5959" s="46" t="s">
        <v>10667</v>
      </c>
      <c r="B5959" s="46" t="s">
        <v>54559</v>
      </c>
      <c r="C5959" s="58" t="str">
        <f>"03762491"</f>
        <v>03762491</v>
      </c>
      <c r="D5959" s="58" t="str">
        <f>""</f>
        <v/>
      </c>
      <c r="E5959" s="46" t="s">
        <v>1065</v>
      </c>
      <c r="F5959" s="46" t="s">
        <v>17958</v>
      </c>
      <c r="G5959" s="46" t="s">
        <v>50580</v>
      </c>
      <c r="H5959" s="48" t="s">
        <v>56716</v>
      </c>
      <c r="I5959" s="48" t="s">
        <v>50564</v>
      </c>
      <c r="J5959" s="48"/>
      <c r="K5959" s="57"/>
      <c r="L5959" s="48" t="s">
        <v>56716</v>
      </c>
    </row>
    <row r="5960" spans="1:12" ht="11.25" x14ac:dyDescent="0.2">
      <c r="A5960" s="46" t="s">
        <v>4660</v>
      </c>
      <c r="B5960" s="46" t="s">
        <v>54560</v>
      </c>
      <c r="C5960" s="58" t="str">
        <f>"0970258X"</f>
        <v>0970258X</v>
      </c>
      <c r="D5960" s="58" t="str">
        <f>""</f>
        <v/>
      </c>
      <c r="E5960" s="46" t="s">
        <v>1984</v>
      </c>
      <c r="F5960" s="46" t="s">
        <v>20446</v>
      </c>
      <c r="G5960" s="46" t="s">
        <v>50584</v>
      </c>
      <c r="H5960" s="48" t="s">
        <v>56716</v>
      </c>
      <c r="I5960" s="48" t="s">
        <v>50564</v>
      </c>
      <c r="J5960" s="48"/>
      <c r="K5960" s="57"/>
      <c r="L5960" s="48" t="s">
        <v>56716</v>
      </c>
    </row>
    <row r="5961" spans="1:12" ht="11.25" x14ac:dyDescent="0.2">
      <c r="A5961" s="45" t="s">
        <v>41570</v>
      </c>
      <c r="B5961" s="45" t="s">
        <v>41572</v>
      </c>
      <c r="C5961" s="51" t="s">
        <v>41574</v>
      </c>
      <c r="D5961" s="51" t="s">
        <v>41573</v>
      </c>
      <c r="E5961" s="45" t="s">
        <v>41575</v>
      </c>
      <c r="F5961" s="45" t="s">
        <v>17759</v>
      </c>
      <c r="G5961" s="45" t="s">
        <v>50584</v>
      </c>
      <c r="H5961" s="56"/>
      <c r="I5961" s="56" t="s">
        <v>50564</v>
      </c>
      <c r="J5961" s="56"/>
      <c r="K5961" s="57"/>
      <c r="L5961" s="56" t="s">
        <v>56716</v>
      </c>
    </row>
    <row r="5962" spans="1:12" ht="11.25" x14ac:dyDescent="0.2">
      <c r="A5962" s="45" t="s">
        <v>41577</v>
      </c>
      <c r="B5962" s="45" t="s">
        <v>41579</v>
      </c>
      <c r="C5962" s="51" t="s">
        <v>41581</v>
      </c>
      <c r="D5962" s="51"/>
      <c r="E5962" s="45" t="s">
        <v>41582</v>
      </c>
      <c r="F5962" s="45" t="s">
        <v>17759</v>
      </c>
      <c r="G5962" s="45" t="s">
        <v>50584</v>
      </c>
      <c r="H5962" s="56"/>
      <c r="I5962" s="56" t="s">
        <v>50564</v>
      </c>
      <c r="J5962" s="56"/>
      <c r="K5962" s="57"/>
      <c r="L5962" s="56" t="s">
        <v>56716</v>
      </c>
    </row>
    <row r="5963" spans="1:12" ht="11.25" x14ac:dyDescent="0.2">
      <c r="A5963" s="45" t="s">
        <v>41584</v>
      </c>
      <c r="B5963" s="45" t="s">
        <v>41586</v>
      </c>
      <c r="C5963" s="51" t="s">
        <v>41589</v>
      </c>
      <c r="D5963" s="51" t="s">
        <v>41588</v>
      </c>
      <c r="E5963" s="45" t="s">
        <v>30892</v>
      </c>
      <c r="F5963" s="45" t="s">
        <v>17759</v>
      </c>
      <c r="G5963" s="45" t="s">
        <v>50584</v>
      </c>
      <c r="H5963" s="56"/>
      <c r="I5963" s="56" t="s">
        <v>50564</v>
      </c>
      <c r="J5963" s="56"/>
      <c r="K5963" s="57"/>
      <c r="L5963" s="56" t="s">
        <v>56716</v>
      </c>
    </row>
    <row r="5964" spans="1:12" ht="11.25" x14ac:dyDescent="0.2">
      <c r="A5964" s="46" t="s">
        <v>10045</v>
      </c>
      <c r="B5964" s="46" t="s">
        <v>54561</v>
      </c>
      <c r="C5964" s="58" t="str">
        <f>"15677818"</f>
        <v>15677818</v>
      </c>
      <c r="D5964" s="58" t="str">
        <f>"15729796"</f>
        <v>15729796</v>
      </c>
      <c r="E5964" s="46" t="s">
        <v>18876</v>
      </c>
      <c r="F5964" s="46" t="s">
        <v>18001</v>
      </c>
      <c r="G5964" s="46" t="s">
        <v>50584</v>
      </c>
      <c r="H5964" s="48" t="s">
        <v>56716</v>
      </c>
      <c r="I5964" s="48" t="s">
        <v>50564</v>
      </c>
      <c r="J5964" s="48"/>
      <c r="K5964" s="50" t="s">
        <v>56716</v>
      </c>
      <c r="L5964" s="48"/>
    </row>
    <row r="5965" spans="1:12" ht="11.25" x14ac:dyDescent="0.2">
      <c r="A5965" s="46" t="s">
        <v>13752</v>
      </c>
      <c r="B5965" s="46" t="s">
        <v>54562</v>
      </c>
      <c r="C5965" s="58" t="str">
        <f>"1934578X"</f>
        <v>1934578X</v>
      </c>
      <c r="D5965" s="58" t="str">
        <f>"15559475"</f>
        <v>15559475</v>
      </c>
      <c r="E5965" s="46" t="s">
        <v>13755</v>
      </c>
      <c r="F5965" s="46" t="s">
        <v>17759</v>
      </c>
      <c r="G5965" s="46" t="s">
        <v>50584</v>
      </c>
      <c r="H5965" s="48" t="s">
        <v>56716</v>
      </c>
      <c r="I5965" s="48" t="s">
        <v>50564</v>
      </c>
      <c r="J5965" s="48"/>
      <c r="K5965" s="57"/>
      <c r="L5965" s="48" t="s">
        <v>56716</v>
      </c>
    </row>
    <row r="5966" spans="1:12" ht="11.25" x14ac:dyDescent="0.2">
      <c r="A5966" s="45" t="s">
        <v>41597</v>
      </c>
      <c r="B5966" s="45" t="s">
        <v>41599</v>
      </c>
      <c r="C5966" s="51" t="s">
        <v>41602</v>
      </c>
      <c r="D5966" s="51" t="s">
        <v>41601</v>
      </c>
      <c r="E5966" s="45" t="s">
        <v>6914</v>
      </c>
      <c r="F5966" s="45" t="s">
        <v>50646</v>
      </c>
      <c r="G5966" s="45" t="s">
        <v>50584</v>
      </c>
      <c r="H5966" s="56"/>
      <c r="I5966" s="56" t="s">
        <v>50564</v>
      </c>
      <c r="J5966" s="56"/>
      <c r="K5966" s="57"/>
      <c r="L5966" s="56" t="s">
        <v>56716</v>
      </c>
    </row>
    <row r="5967" spans="1:12" ht="11.25" x14ac:dyDescent="0.2">
      <c r="A5967" s="46" t="s">
        <v>9587</v>
      </c>
      <c r="B5967" s="46" t="s">
        <v>54563</v>
      </c>
      <c r="C5967" s="58" t="str">
        <f>"14786419"</f>
        <v>14786419</v>
      </c>
      <c r="D5967" s="58" t="str">
        <f>"14786427"</f>
        <v>14786427</v>
      </c>
      <c r="E5967" s="46" t="s">
        <v>310</v>
      </c>
      <c r="F5967" s="46" t="s">
        <v>50646</v>
      </c>
      <c r="G5967" s="46" t="s">
        <v>50584</v>
      </c>
      <c r="H5967" s="48" t="s">
        <v>56716</v>
      </c>
      <c r="I5967" s="48" t="s">
        <v>50564</v>
      </c>
      <c r="J5967" s="48"/>
      <c r="K5967" s="50" t="s">
        <v>56716</v>
      </c>
      <c r="L5967" s="48" t="s">
        <v>56716</v>
      </c>
    </row>
    <row r="5968" spans="1:12" ht="11.25" x14ac:dyDescent="0.2">
      <c r="A5968" s="46" t="s">
        <v>7087</v>
      </c>
      <c r="B5968" s="46" t="s">
        <v>54564</v>
      </c>
      <c r="C5968" s="58" t="str">
        <f>"12263907"</f>
        <v>12263907</v>
      </c>
      <c r="D5968" s="58" t="str">
        <f>""</f>
        <v/>
      </c>
      <c r="E5968" s="46" t="s">
        <v>4975</v>
      </c>
      <c r="F5968" s="46" t="s">
        <v>50649</v>
      </c>
      <c r="G5968" s="46" t="s">
        <v>50584</v>
      </c>
      <c r="H5968" s="48" t="s">
        <v>56716</v>
      </c>
      <c r="I5968" s="48" t="s">
        <v>50564</v>
      </c>
      <c r="J5968" s="48"/>
      <c r="K5968" s="57"/>
      <c r="L5968" s="48"/>
    </row>
    <row r="5969" spans="1:12" ht="11.25" x14ac:dyDescent="0.2">
      <c r="A5969" s="46" t="s">
        <v>16407</v>
      </c>
      <c r="B5969" s="46" t="s">
        <v>54565</v>
      </c>
      <c r="C5969" s="58" t="str">
        <f>"22103155"</f>
        <v>22103155</v>
      </c>
      <c r="D5969" s="58" t="str">
        <f>"22103163"</f>
        <v>22103163</v>
      </c>
      <c r="E5969" s="46" t="s">
        <v>6405</v>
      </c>
      <c r="F5969" s="46" t="s">
        <v>18001</v>
      </c>
      <c r="G5969" s="46" t="s">
        <v>50584</v>
      </c>
      <c r="H5969" s="48" t="s">
        <v>56716</v>
      </c>
      <c r="I5969" s="48" t="s">
        <v>50564</v>
      </c>
      <c r="J5969" s="48" t="s">
        <v>56716</v>
      </c>
      <c r="K5969" s="57"/>
      <c r="L5969" s="48"/>
    </row>
    <row r="5970" spans="1:12" ht="11.25" x14ac:dyDescent="0.2">
      <c r="A5970" s="46" t="s">
        <v>3045</v>
      </c>
      <c r="B5970" s="46" t="s">
        <v>3045</v>
      </c>
      <c r="C5970" s="58" t="str">
        <f>"00280836"</f>
        <v>00280836</v>
      </c>
      <c r="D5970" s="58" t="str">
        <f>"14764687"</f>
        <v>14764687</v>
      </c>
      <c r="E5970" s="46" t="s">
        <v>315</v>
      </c>
      <c r="F5970" s="46" t="s">
        <v>50646</v>
      </c>
      <c r="G5970" s="46" t="s">
        <v>50584</v>
      </c>
      <c r="H5970" s="48" t="s">
        <v>56716</v>
      </c>
      <c r="I5970" s="48" t="s">
        <v>50564</v>
      </c>
      <c r="J5970" s="48" t="s">
        <v>56716</v>
      </c>
      <c r="K5970" s="50" t="s">
        <v>56716</v>
      </c>
      <c r="L5970" s="48" t="s">
        <v>56716</v>
      </c>
    </row>
    <row r="5971" spans="1:12" ht="11.25" x14ac:dyDescent="0.2">
      <c r="A5971" s="46" t="s">
        <v>6950</v>
      </c>
      <c r="B5971" s="46" t="s">
        <v>54566</v>
      </c>
      <c r="C5971" s="58" t="str">
        <f>"10870156"</f>
        <v>10870156</v>
      </c>
      <c r="D5971" s="58" t="str">
        <f>"15461696"</f>
        <v>15461696</v>
      </c>
      <c r="E5971" s="46" t="s">
        <v>315</v>
      </c>
      <c r="F5971" s="46" t="s">
        <v>17759</v>
      </c>
      <c r="G5971" s="46" t="s">
        <v>50584</v>
      </c>
      <c r="H5971" s="48" t="s">
        <v>56716</v>
      </c>
      <c r="I5971" s="48" t="s">
        <v>50564</v>
      </c>
      <c r="J5971" s="48" t="s">
        <v>56716</v>
      </c>
      <c r="K5971" s="57"/>
      <c r="L5971" s="48" t="s">
        <v>56716</v>
      </c>
    </row>
    <row r="5972" spans="1:12" ht="11.25" x14ac:dyDescent="0.2">
      <c r="A5972" s="46" t="s">
        <v>8163</v>
      </c>
      <c r="B5972" s="46" t="s">
        <v>55863</v>
      </c>
      <c r="C5972" s="58" t="str">
        <f>"14657392"</f>
        <v>14657392</v>
      </c>
      <c r="D5972" s="58" t="str">
        <f>"14764679"</f>
        <v>14764679</v>
      </c>
      <c r="E5972" s="46" t="s">
        <v>315</v>
      </c>
      <c r="F5972" s="46" t="s">
        <v>50646</v>
      </c>
      <c r="G5972" s="46" t="s">
        <v>50584</v>
      </c>
      <c r="H5972" s="48" t="s">
        <v>56716</v>
      </c>
      <c r="I5972" s="48" t="s">
        <v>50564</v>
      </c>
      <c r="J5972" s="48" t="s">
        <v>56716</v>
      </c>
      <c r="K5972" s="50" t="s">
        <v>56716</v>
      </c>
      <c r="L5972" s="48" t="s">
        <v>56716</v>
      </c>
    </row>
    <row r="5973" spans="1:12" ht="11.25" x14ac:dyDescent="0.2">
      <c r="A5973" s="46" t="s">
        <v>11314</v>
      </c>
      <c r="B5973" s="46" t="s">
        <v>54567</v>
      </c>
      <c r="C5973" s="58" t="str">
        <f>"15524450"</f>
        <v>15524450</v>
      </c>
      <c r="D5973" s="58" t="str">
        <f>"15524469"</f>
        <v>15524469</v>
      </c>
      <c r="E5973" s="46" t="s">
        <v>315</v>
      </c>
      <c r="F5973" s="46" t="s">
        <v>50646</v>
      </c>
      <c r="G5973" s="46" t="s">
        <v>50584</v>
      </c>
      <c r="H5973" s="48" t="s">
        <v>56716</v>
      </c>
      <c r="I5973" s="48" t="s">
        <v>50564</v>
      </c>
      <c r="J5973" s="48" t="s">
        <v>56716</v>
      </c>
      <c r="K5973" s="50" t="s">
        <v>56716</v>
      </c>
      <c r="L5973" s="48" t="s">
        <v>56716</v>
      </c>
    </row>
    <row r="5974" spans="1:12" ht="11.25" x14ac:dyDescent="0.2">
      <c r="A5974" s="45" t="s">
        <v>41628</v>
      </c>
      <c r="B5974" s="45" t="s">
        <v>41630</v>
      </c>
      <c r="C5974" s="51" t="s">
        <v>41632</v>
      </c>
      <c r="D5974" s="51" t="s">
        <v>41631</v>
      </c>
      <c r="E5974" s="45" t="s">
        <v>19584</v>
      </c>
      <c r="F5974" s="45" t="s">
        <v>50646</v>
      </c>
      <c r="G5974" s="45" t="s">
        <v>50584</v>
      </c>
      <c r="H5974" s="56"/>
      <c r="I5974" s="56" t="s">
        <v>50564</v>
      </c>
      <c r="J5974" s="56"/>
      <c r="K5974" s="57"/>
      <c r="L5974" s="56" t="s">
        <v>56716</v>
      </c>
    </row>
    <row r="5975" spans="1:12" ht="11.25" x14ac:dyDescent="0.2">
      <c r="A5975" s="46" t="s">
        <v>14733</v>
      </c>
      <c r="B5975" s="46" t="s">
        <v>54568</v>
      </c>
      <c r="C5975" s="58" t="str">
        <f>""</f>
        <v/>
      </c>
      <c r="D5975" s="58" t="str">
        <f>"20411723"</f>
        <v>20411723</v>
      </c>
      <c r="E5975" s="46" t="s">
        <v>315</v>
      </c>
      <c r="F5975" s="46" t="s">
        <v>50646</v>
      </c>
      <c r="G5975" s="46" t="s">
        <v>50584</v>
      </c>
      <c r="H5975" s="48" t="s">
        <v>56716</v>
      </c>
      <c r="I5975" s="48" t="s">
        <v>50564</v>
      </c>
      <c r="J5975" s="48"/>
      <c r="K5975" s="57"/>
      <c r="L5975" s="48" t="s">
        <v>56716</v>
      </c>
    </row>
    <row r="5976" spans="1:12" ht="11.25" x14ac:dyDescent="0.2">
      <c r="A5976" s="46" t="s">
        <v>5905</v>
      </c>
      <c r="B5976" s="46" t="s">
        <v>54569</v>
      </c>
      <c r="C5976" s="58" t="str">
        <f>"10614036"</f>
        <v>10614036</v>
      </c>
      <c r="D5976" s="58" t="str">
        <f>"15461718"</f>
        <v>15461718</v>
      </c>
      <c r="E5976" s="46" t="s">
        <v>315</v>
      </c>
      <c r="F5976" s="46" t="s">
        <v>17759</v>
      </c>
      <c r="G5976" s="46" t="s">
        <v>50584</v>
      </c>
      <c r="H5976" s="48" t="s">
        <v>56716</v>
      </c>
      <c r="I5976" s="48" t="s">
        <v>50564</v>
      </c>
      <c r="J5976" s="48" t="s">
        <v>56716</v>
      </c>
      <c r="K5976" s="50" t="s">
        <v>56716</v>
      </c>
      <c r="L5976" s="48" t="s">
        <v>56716</v>
      </c>
    </row>
    <row r="5977" spans="1:12" ht="11.25" x14ac:dyDescent="0.2">
      <c r="A5977" s="46" t="s">
        <v>8734</v>
      </c>
      <c r="B5977" s="46" t="s">
        <v>54570</v>
      </c>
      <c r="C5977" s="58" t="str">
        <f>"15292908"</f>
        <v>15292908</v>
      </c>
      <c r="D5977" s="58" t="str">
        <f>"15292916"</f>
        <v>15292916</v>
      </c>
      <c r="E5977" s="46" t="s">
        <v>315</v>
      </c>
      <c r="F5977" s="46" t="s">
        <v>50646</v>
      </c>
      <c r="G5977" s="46" t="s">
        <v>50584</v>
      </c>
      <c r="H5977" s="48" t="s">
        <v>56716</v>
      </c>
      <c r="I5977" s="48" t="s">
        <v>50564</v>
      </c>
      <c r="J5977" s="48" t="s">
        <v>56716</v>
      </c>
      <c r="K5977" s="50" t="s">
        <v>56716</v>
      </c>
      <c r="L5977" s="48" t="s">
        <v>56716</v>
      </c>
    </row>
    <row r="5978" spans="1:12" ht="11.25" x14ac:dyDescent="0.2">
      <c r="A5978" s="45" t="s">
        <v>41648</v>
      </c>
      <c r="B5978" s="45" t="s">
        <v>41650</v>
      </c>
      <c r="C5978" s="51" t="s">
        <v>41651</v>
      </c>
      <c r="D5978" s="51"/>
      <c r="E5978" s="45" t="s">
        <v>19584</v>
      </c>
      <c r="F5978" s="45" t="s">
        <v>50646</v>
      </c>
      <c r="G5978" s="45" t="s">
        <v>50584</v>
      </c>
      <c r="H5978" s="56"/>
      <c r="I5978" s="56" t="s">
        <v>50564</v>
      </c>
      <c r="J5978" s="56"/>
      <c r="K5978" s="57"/>
      <c r="L5978" s="56" t="s">
        <v>56716</v>
      </c>
    </row>
    <row r="5979" spans="1:12" ht="11.25" x14ac:dyDescent="0.2">
      <c r="A5979" s="46" t="s">
        <v>6499</v>
      </c>
      <c r="B5979" s="46" t="s">
        <v>54571</v>
      </c>
      <c r="C5979" s="58" t="str">
        <f>"10788956"</f>
        <v>10788956</v>
      </c>
      <c r="D5979" s="58" t="str">
        <f>"1546170X"</f>
        <v>1546170X</v>
      </c>
      <c r="E5979" s="46" t="s">
        <v>315</v>
      </c>
      <c r="F5979" s="46" t="s">
        <v>50646</v>
      </c>
      <c r="G5979" s="46" t="s">
        <v>50584</v>
      </c>
      <c r="H5979" s="48" t="s">
        <v>56716</v>
      </c>
      <c r="I5979" s="48" t="s">
        <v>50564</v>
      </c>
      <c r="J5979" s="48" t="s">
        <v>56716</v>
      </c>
      <c r="K5979" s="50" t="s">
        <v>56716</v>
      </c>
      <c r="L5979" s="48" t="s">
        <v>56716</v>
      </c>
    </row>
    <row r="5980" spans="1:12" ht="11.25" x14ac:dyDescent="0.2">
      <c r="A5980" s="46" t="s">
        <v>10549</v>
      </c>
      <c r="B5980" s="46" t="s">
        <v>54572</v>
      </c>
      <c r="C5980" s="58" t="str">
        <f>"15487091"</f>
        <v>15487091</v>
      </c>
      <c r="D5980" s="58" t="str">
        <f>"15487105"</f>
        <v>15487105</v>
      </c>
      <c r="E5980" s="46" t="s">
        <v>315</v>
      </c>
      <c r="F5980" s="46" t="s">
        <v>50646</v>
      </c>
      <c r="G5980" s="46" t="s">
        <v>50584</v>
      </c>
      <c r="H5980" s="48" t="s">
        <v>56716</v>
      </c>
      <c r="I5980" s="48" t="s">
        <v>50564</v>
      </c>
      <c r="J5980" s="48" t="s">
        <v>56716</v>
      </c>
      <c r="K5980" s="50" t="s">
        <v>56716</v>
      </c>
      <c r="L5980" s="48" t="s">
        <v>56716</v>
      </c>
    </row>
    <row r="5981" spans="1:12" ht="11.25" x14ac:dyDescent="0.2">
      <c r="A5981" s="46" t="s">
        <v>11744</v>
      </c>
      <c r="B5981" s="46" t="s">
        <v>54573</v>
      </c>
      <c r="C5981" s="58" t="str">
        <f>"17483387"</f>
        <v>17483387</v>
      </c>
      <c r="D5981" s="58" t="str">
        <f>"17483395"</f>
        <v>17483395</v>
      </c>
      <c r="E5981" s="46" t="s">
        <v>315</v>
      </c>
      <c r="F5981" s="46" t="s">
        <v>50646</v>
      </c>
      <c r="G5981" s="46" t="s">
        <v>50584</v>
      </c>
      <c r="H5981" s="48" t="s">
        <v>56716</v>
      </c>
      <c r="I5981" s="48" t="s">
        <v>50564</v>
      </c>
      <c r="J5981" s="48" t="s">
        <v>56716</v>
      </c>
      <c r="K5981" s="50" t="s">
        <v>56716</v>
      </c>
      <c r="L5981" s="48" t="s">
        <v>56716</v>
      </c>
    </row>
    <row r="5982" spans="1:12" ht="11.25" x14ac:dyDescent="0.2">
      <c r="A5982" s="46" t="s">
        <v>7787</v>
      </c>
      <c r="B5982" s="46" t="s">
        <v>54574</v>
      </c>
      <c r="C5982" s="58" t="str">
        <f>"10976256"</f>
        <v>10976256</v>
      </c>
      <c r="D5982" s="58" t="str">
        <f>"15461726"</f>
        <v>15461726</v>
      </c>
      <c r="E5982" s="46" t="s">
        <v>315</v>
      </c>
      <c r="F5982" s="46" t="s">
        <v>17759</v>
      </c>
      <c r="G5982" s="46" t="s">
        <v>50584</v>
      </c>
      <c r="H5982" s="48" t="s">
        <v>56716</v>
      </c>
      <c r="I5982" s="48" t="s">
        <v>50564</v>
      </c>
      <c r="J5982" s="48" t="s">
        <v>56716</v>
      </c>
      <c r="K5982" s="50" t="s">
        <v>56716</v>
      </c>
      <c r="L5982" s="48" t="s">
        <v>56716</v>
      </c>
    </row>
    <row r="5983" spans="1:12" ht="11.25" x14ac:dyDescent="0.2">
      <c r="A5983" s="46" t="s">
        <v>11940</v>
      </c>
      <c r="B5983" s="46" t="s">
        <v>54575</v>
      </c>
      <c r="C5983" s="58" t="str">
        <f>"17542189"</f>
        <v>17542189</v>
      </c>
      <c r="D5983" s="58" t="str">
        <f>"17502799"</f>
        <v>17502799</v>
      </c>
      <c r="E5983" s="46" t="s">
        <v>315</v>
      </c>
      <c r="F5983" s="46" t="s">
        <v>50646</v>
      </c>
      <c r="G5983" s="46" t="s">
        <v>50584</v>
      </c>
      <c r="H5983" s="48" t="s">
        <v>56716</v>
      </c>
      <c r="I5983" s="48" t="s">
        <v>50564</v>
      </c>
      <c r="J5983" s="48" t="s">
        <v>56716</v>
      </c>
      <c r="K5983" s="57"/>
      <c r="L5983" s="48" t="s">
        <v>56716</v>
      </c>
    </row>
    <row r="5984" spans="1:12" ht="11.25" x14ac:dyDescent="0.2">
      <c r="A5984" s="46" t="s">
        <v>9285</v>
      </c>
      <c r="B5984" s="46" t="s">
        <v>54576</v>
      </c>
      <c r="C5984" s="58" t="str">
        <f>"1474175X"</f>
        <v>1474175X</v>
      </c>
      <c r="D5984" s="58" t="str">
        <f>"14741768"</f>
        <v>14741768</v>
      </c>
      <c r="E5984" s="46" t="s">
        <v>315</v>
      </c>
      <c r="F5984" s="46" t="s">
        <v>50646</v>
      </c>
      <c r="G5984" s="46" t="s">
        <v>50584</v>
      </c>
      <c r="H5984" s="48" t="s">
        <v>56716</v>
      </c>
      <c r="I5984" s="48" t="s">
        <v>50564</v>
      </c>
      <c r="J5984" s="48" t="s">
        <v>56716</v>
      </c>
      <c r="K5984" s="50" t="s">
        <v>56716</v>
      </c>
      <c r="L5984" s="48" t="s">
        <v>56716</v>
      </c>
    </row>
    <row r="5985" spans="1:12" ht="11.25" x14ac:dyDescent="0.2">
      <c r="A5985" s="46" t="s">
        <v>13671</v>
      </c>
      <c r="B5985" s="46" t="s">
        <v>54577</v>
      </c>
      <c r="C5985" s="58" t="str">
        <f>"17595002"</f>
        <v>17595002</v>
      </c>
      <c r="D5985" s="58" t="str">
        <f>"17595010"</f>
        <v>17595010</v>
      </c>
      <c r="E5985" s="46" t="s">
        <v>315</v>
      </c>
      <c r="F5985" s="46" t="s">
        <v>50646</v>
      </c>
      <c r="G5985" s="46" t="s">
        <v>50584</v>
      </c>
      <c r="H5985" s="48" t="s">
        <v>56716</v>
      </c>
      <c r="I5985" s="48" t="s">
        <v>50564</v>
      </c>
      <c r="J5985" s="48" t="s">
        <v>56716</v>
      </c>
      <c r="K5985" s="50" t="s">
        <v>56716</v>
      </c>
      <c r="L5985" s="48" t="s">
        <v>56716</v>
      </c>
    </row>
    <row r="5986" spans="1:12" ht="11.25" x14ac:dyDescent="0.2">
      <c r="A5986" s="46" t="s">
        <v>13683</v>
      </c>
      <c r="B5986" s="46" t="s">
        <v>54578</v>
      </c>
      <c r="C5986" s="58" t="str">
        <f>"17594774"</f>
        <v>17594774</v>
      </c>
      <c r="D5986" s="58" t="str">
        <f>"17594782"</f>
        <v>17594782</v>
      </c>
      <c r="E5986" s="46" t="s">
        <v>315</v>
      </c>
      <c r="F5986" s="46" t="s">
        <v>50646</v>
      </c>
      <c r="G5986" s="46" t="s">
        <v>50584</v>
      </c>
      <c r="H5986" s="48" t="s">
        <v>56716</v>
      </c>
      <c r="I5986" s="48" t="s">
        <v>50564</v>
      </c>
      <c r="J5986" s="48" t="s">
        <v>56716</v>
      </c>
      <c r="K5986" s="50" t="s">
        <v>56716</v>
      </c>
      <c r="L5986" s="48" t="s">
        <v>56716</v>
      </c>
    </row>
    <row r="5987" spans="1:12" ht="11.25" x14ac:dyDescent="0.2">
      <c r="A5987" s="46" t="s">
        <v>9282</v>
      </c>
      <c r="B5987" s="46" t="s">
        <v>54579</v>
      </c>
      <c r="C5987" s="58" t="str">
        <f>"14741776"</f>
        <v>14741776</v>
      </c>
      <c r="D5987" s="58" t="str">
        <f>"14741784"</f>
        <v>14741784</v>
      </c>
      <c r="E5987" s="46" t="s">
        <v>315</v>
      </c>
      <c r="F5987" s="46" t="s">
        <v>50646</v>
      </c>
      <c r="G5987" s="46" t="s">
        <v>50584</v>
      </c>
      <c r="H5987" s="48" t="s">
        <v>56716</v>
      </c>
      <c r="I5987" s="48" t="s">
        <v>50564</v>
      </c>
      <c r="J5987" s="48" t="s">
        <v>56716</v>
      </c>
      <c r="K5987" s="50" t="s">
        <v>56716</v>
      </c>
      <c r="L5987" s="48" t="s">
        <v>56716</v>
      </c>
    </row>
    <row r="5988" spans="1:12" ht="11.25" x14ac:dyDescent="0.2">
      <c r="A5988" s="46" t="s">
        <v>13674</v>
      </c>
      <c r="B5988" s="46" t="s">
        <v>54580</v>
      </c>
      <c r="C5988" s="58" t="str">
        <f>"17595029"</f>
        <v>17595029</v>
      </c>
      <c r="D5988" s="58" t="str">
        <f>"17595037"</f>
        <v>17595037</v>
      </c>
      <c r="E5988" s="46" t="s">
        <v>315</v>
      </c>
      <c r="F5988" s="46" t="s">
        <v>50646</v>
      </c>
      <c r="G5988" s="46" t="s">
        <v>50584</v>
      </c>
      <c r="H5988" s="48" t="s">
        <v>56716</v>
      </c>
      <c r="I5988" s="48" t="s">
        <v>50564</v>
      </c>
      <c r="J5988" s="48" t="s">
        <v>56716</v>
      </c>
      <c r="K5988" s="50" t="s">
        <v>56716</v>
      </c>
      <c r="L5988" s="48" t="s">
        <v>56716</v>
      </c>
    </row>
    <row r="5989" spans="1:12" ht="11.25" x14ac:dyDescent="0.2">
      <c r="A5989" s="46" t="s">
        <v>13639</v>
      </c>
      <c r="B5989" s="46" t="s">
        <v>54581</v>
      </c>
      <c r="C5989" s="58" t="str">
        <f>"17595045"</f>
        <v>17595045</v>
      </c>
      <c r="D5989" s="58" t="str">
        <f>"17595053"</f>
        <v>17595053</v>
      </c>
      <c r="E5989" s="46" t="s">
        <v>315</v>
      </c>
      <c r="F5989" s="46" t="s">
        <v>50646</v>
      </c>
      <c r="G5989" s="46" t="s">
        <v>50584</v>
      </c>
      <c r="H5989" s="48" t="s">
        <v>56716</v>
      </c>
      <c r="I5989" s="48" t="s">
        <v>50564</v>
      </c>
      <c r="J5989" s="48" t="s">
        <v>56716</v>
      </c>
      <c r="K5989" s="50" t="s">
        <v>56716</v>
      </c>
      <c r="L5989" s="48" t="s">
        <v>56716</v>
      </c>
    </row>
    <row r="5990" spans="1:12" ht="11.25" x14ac:dyDescent="0.2">
      <c r="A5990" s="46" t="s">
        <v>8943</v>
      </c>
      <c r="B5990" s="46" t="s">
        <v>54582</v>
      </c>
      <c r="C5990" s="58" t="str">
        <f>"14710056"</f>
        <v>14710056</v>
      </c>
      <c r="D5990" s="58" t="str">
        <f>"14710064"</f>
        <v>14710064</v>
      </c>
      <c r="E5990" s="46" t="s">
        <v>315</v>
      </c>
      <c r="F5990" s="46" t="s">
        <v>50646</v>
      </c>
      <c r="G5990" s="46" t="s">
        <v>50584</v>
      </c>
      <c r="H5990" s="48" t="s">
        <v>56716</v>
      </c>
      <c r="I5990" s="48" t="s">
        <v>50564</v>
      </c>
      <c r="J5990" s="48" t="s">
        <v>56716</v>
      </c>
      <c r="K5990" s="50" t="s">
        <v>56716</v>
      </c>
      <c r="L5990" s="48" t="s">
        <v>56716</v>
      </c>
    </row>
    <row r="5991" spans="1:12" ht="11.25" x14ac:dyDescent="0.2">
      <c r="A5991" s="46" t="s">
        <v>9288</v>
      </c>
      <c r="B5991" s="46" t="s">
        <v>54583</v>
      </c>
      <c r="C5991" s="58" t="str">
        <f>"14741733"</f>
        <v>14741733</v>
      </c>
      <c r="D5991" s="58" t="str">
        <f>"14741741"</f>
        <v>14741741</v>
      </c>
      <c r="E5991" s="46" t="s">
        <v>315</v>
      </c>
      <c r="F5991" s="46" t="s">
        <v>50646</v>
      </c>
      <c r="G5991" s="46" t="s">
        <v>50584</v>
      </c>
      <c r="H5991" s="48" t="s">
        <v>56716</v>
      </c>
      <c r="I5991" s="48" t="s">
        <v>50564</v>
      </c>
      <c r="J5991" s="48" t="s">
        <v>56716</v>
      </c>
      <c r="K5991" s="50" t="s">
        <v>56716</v>
      </c>
      <c r="L5991" s="48" t="s">
        <v>56716</v>
      </c>
    </row>
    <row r="5992" spans="1:12" ht="11.25" x14ac:dyDescent="0.2">
      <c r="A5992" s="46" t="s">
        <v>10076</v>
      </c>
      <c r="B5992" s="46" t="s">
        <v>54584</v>
      </c>
      <c r="C5992" s="58" t="str">
        <f>"17401526"</f>
        <v>17401526</v>
      </c>
      <c r="D5992" s="58" t="str">
        <f>"17401534"</f>
        <v>17401534</v>
      </c>
      <c r="E5992" s="46" t="s">
        <v>315</v>
      </c>
      <c r="F5992" s="46" t="s">
        <v>50646</v>
      </c>
      <c r="G5992" s="46" t="s">
        <v>50584</v>
      </c>
      <c r="H5992" s="48" t="s">
        <v>56716</v>
      </c>
      <c r="I5992" s="48" t="s">
        <v>50564</v>
      </c>
      <c r="J5992" s="48" t="s">
        <v>56716</v>
      </c>
      <c r="K5992" s="50" t="s">
        <v>56716</v>
      </c>
      <c r="L5992" s="48" t="s">
        <v>56716</v>
      </c>
    </row>
    <row r="5993" spans="1:12" ht="11.25" x14ac:dyDescent="0.2">
      <c r="A5993" s="46" t="s">
        <v>8940</v>
      </c>
      <c r="B5993" s="46" t="s">
        <v>54585</v>
      </c>
      <c r="C5993" s="58" t="str">
        <f>"14710072"</f>
        <v>14710072</v>
      </c>
      <c r="D5993" s="58" t="str">
        <f>"14710080"</f>
        <v>14710080</v>
      </c>
      <c r="E5993" s="46" t="s">
        <v>315</v>
      </c>
      <c r="F5993" s="46" t="s">
        <v>50646</v>
      </c>
      <c r="G5993" s="46" t="s">
        <v>50584</v>
      </c>
      <c r="H5993" s="48" t="s">
        <v>56716</v>
      </c>
      <c r="I5993" s="48" t="s">
        <v>50564</v>
      </c>
      <c r="J5993" s="48" t="s">
        <v>56716</v>
      </c>
      <c r="K5993" s="50" t="s">
        <v>56716</v>
      </c>
      <c r="L5993" s="48" t="s">
        <v>56716</v>
      </c>
    </row>
    <row r="5994" spans="1:12" ht="11.25" x14ac:dyDescent="0.2">
      <c r="A5994" s="46" t="s">
        <v>13677</v>
      </c>
      <c r="B5994" s="46" t="s">
        <v>54586</v>
      </c>
      <c r="C5994" s="58" t="str">
        <f>"17595061"</f>
        <v>17595061</v>
      </c>
      <c r="D5994" s="58" t="str">
        <f>"1759507X"</f>
        <v>1759507X</v>
      </c>
      <c r="E5994" s="46" t="s">
        <v>315</v>
      </c>
      <c r="F5994" s="46" t="s">
        <v>50646</v>
      </c>
      <c r="G5994" s="46" t="s">
        <v>50584</v>
      </c>
      <c r="H5994" s="48" t="s">
        <v>56716</v>
      </c>
      <c r="I5994" s="48" t="s">
        <v>50564</v>
      </c>
      <c r="J5994" s="48" t="s">
        <v>56716</v>
      </c>
      <c r="K5994" s="50" t="s">
        <v>56716</v>
      </c>
      <c r="L5994" s="48" t="s">
        <v>56716</v>
      </c>
    </row>
    <row r="5995" spans="1:12" ht="11.25" x14ac:dyDescent="0.2">
      <c r="A5995" s="46" t="s">
        <v>13680</v>
      </c>
      <c r="B5995" s="46" t="s">
        <v>54587</v>
      </c>
      <c r="C5995" s="58" t="str">
        <f>"17594758"</f>
        <v>17594758</v>
      </c>
      <c r="D5995" s="58" t="str">
        <f>"17594766"</f>
        <v>17594766</v>
      </c>
      <c r="E5995" s="46" t="s">
        <v>315</v>
      </c>
      <c r="F5995" s="46" t="s">
        <v>50646</v>
      </c>
      <c r="G5995" s="46" t="s">
        <v>50584</v>
      </c>
      <c r="H5995" s="48" t="s">
        <v>56716</v>
      </c>
      <c r="I5995" s="48" t="s">
        <v>50564</v>
      </c>
      <c r="J5995" s="48" t="s">
        <v>56716</v>
      </c>
      <c r="K5995" s="50" t="s">
        <v>56716</v>
      </c>
      <c r="L5995" s="48" t="s">
        <v>56716</v>
      </c>
    </row>
    <row r="5996" spans="1:12" ht="11.25" x14ac:dyDescent="0.2">
      <c r="A5996" s="46" t="s">
        <v>9291</v>
      </c>
      <c r="B5996" s="46" t="s">
        <v>54588</v>
      </c>
      <c r="C5996" s="58" t="str">
        <f>"1471003X"</f>
        <v>1471003X</v>
      </c>
      <c r="D5996" s="58" t="str">
        <f>"14710048"</f>
        <v>14710048</v>
      </c>
      <c r="E5996" s="46" t="s">
        <v>315</v>
      </c>
      <c r="F5996" s="46" t="s">
        <v>50646</v>
      </c>
      <c r="G5996" s="46" t="s">
        <v>50584</v>
      </c>
      <c r="H5996" s="48" t="s">
        <v>56716</v>
      </c>
      <c r="I5996" s="48" t="s">
        <v>50564</v>
      </c>
      <c r="J5996" s="48" t="s">
        <v>56716</v>
      </c>
      <c r="K5996" s="50" t="s">
        <v>56716</v>
      </c>
      <c r="L5996" s="48" t="s">
        <v>56716</v>
      </c>
    </row>
    <row r="5997" spans="1:12" ht="11.25" x14ac:dyDescent="0.2">
      <c r="A5997" s="46" t="s">
        <v>13686</v>
      </c>
      <c r="B5997" s="46" t="s">
        <v>54589</v>
      </c>
      <c r="C5997" s="58" t="str">
        <f>"17594790"</f>
        <v>17594790</v>
      </c>
      <c r="D5997" s="58" t="str">
        <f>"17594804"</f>
        <v>17594804</v>
      </c>
      <c r="E5997" s="46" t="s">
        <v>315</v>
      </c>
      <c r="F5997" s="46" t="s">
        <v>50646</v>
      </c>
      <c r="G5997" s="46" t="s">
        <v>50584</v>
      </c>
      <c r="H5997" s="48" t="s">
        <v>56716</v>
      </c>
      <c r="I5997" s="48" t="s">
        <v>50564</v>
      </c>
      <c r="J5997" s="48" t="s">
        <v>56716</v>
      </c>
      <c r="K5997" s="50" t="s">
        <v>56716</v>
      </c>
      <c r="L5997" s="48" t="s">
        <v>56716</v>
      </c>
    </row>
    <row r="5998" spans="1:12" ht="11.25" x14ac:dyDescent="0.2">
      <c r="A5998" s="46" t="s">
        <v>13668</v>
      </c>
      <c r="B5998" s="46" t="s">
        <v>54590</v>
      </c>
      <c r="C5998" s="58" t="str">
        <f>"17594812"</f>
        <v>17594812</v>
      </c>
      <c r="D5998" s="58" t="str">
        <f>"17594820"</f>
        <v>17594820</v>
      </c>
      <c r="E5998" s="46" t="s">
        <v>315</v>
      </c>
      <c r="F5998" s="46" t="s">
        <v>50646</v>
      </c>
      <c r="G5998" s="46" t="s">
        <v>50584</v>
      </c>
      <c r="H5998" s="48" t="s">
        <v>56716</v>
      </c>
      <c r="I5998" s="48" t="s">
        <v>50564</v>
      </c>
      <c r="J5998" s="48" t="s">
        <v>56716</v>
      </c>
      <c r="K5998" s="50" t="s">
        <v>56716</v>
      </c>
      <c r="L5998" s="48" t="s">
        <v>56716</v>
      </c>
    </row>
    <row r="5999" spans="1:12" ht="11.25" x14ac:dyDescent="0.2">
      <c r="A5999" s="46" t="s">
        <v>10113</v>
      </c>
      <c r="B5999" s="46" t="s">
        <v>54591</v>
      </c>
      <c r="C5999" s="58" t="str">
        <f>"15459993"</f>
        <v>15459993</v>
      </c>
      <c r="D5999" s="58" t="str">
        <f>"15459985"</f>
        <v>15459985</v>
      </c>
      <c r="E5999" s="46" t="s">
        <v>315</v>
      </c>
      <c r="F5999" s="46" t="s">
        <v>17759</v>
      </c>
      <c r="G5999" s="46" t="s">
        <v>50584</v>
      </c>
      <c r="H5999" s="48" t="s">
        <v>56716</v>
      </c>
      <c r="I5999" s="48" t="s">
        <v>50564</v>
      </c>
      <c r="J5999" s="48" t="s">
        <v>56716</v>
      </c>
      <c r="K5999" s="50" t="s">
        <v>56716</v>
      </c>
      <c r="L5999" s="48" t="s">
        <v>56716</v>
      </c>
    </row>
    <row r="6000" spans="1:12" ht="11.25" x14ac:dyDescent="0.2">
      <c r="A6000" s="46" t="s">
        <v>3181</v>
      </c>
      <c r="B6000" s="46" t="s">
        <v>54592</v>
      </c>
      <c r="C6000" s="58" t="str">
        <f>"00281298"</f>
        <v>00281298</v>
      </c>
      <c r="D6000" s="58" t="str">
        <f>"14321912"</f>
        <v>14321912</v>
      </c>
      <c r="E6000" s="46" t="s">
        <v>167</v>
      </c>
      <c r="F6000" s="46" t="s">
        <v>18158</v>
      </c>
      <c r="G6000" s="46" t="s">
        <v>50584</v>
      </c>
      <c r="H6000" s="48" t="s">
        <v>56716</v>
      </c>
      <c r="I6000" s="48" t="s">
        <v>50564</v>
      </c>
      <c r="J6000" s="48"/>
      <c r="K6000" s="50" t="s">
        <v>56716</v>
      </c>
      <c r="L6000" s="48" t="s">
        <v>56716</v>
      </c>
    </row>
    <row r="6001" spans="1:12" ht="11.25" x14ac:dyDescent="0.2">
      <c r="A6001" s="45" t="s">
        <v>41763</v>
      </c>
      <c r="B6001" s="45" t="s">
        <v>41765</v>
      </c>
      <c r="C6001" s="51" t="s">
        <v>41767</v>
      </c>
      <c r="D6001" s="51" t="s">
        <v>41766</v>
      </c>
      <c r="E6001" s="45" t="s">
        <v>41768</v>
      </c>
      <c r="F6001" s="45" t="s">
        <v>17759</v>
      </c>
      <c r="G6001" s="45" t="s">
        <v>50584</v>
      </c>
      <c r="H6001" s="56"/>
      <c r="I6001" s="56" t="s">
        <v>50564</v>
      </c>
      <c r="J6001" s="56"/>
      <c r="K6001" s="57"/>
      <c r="L6001" s="56" t="s">
        <v>56716</v>
      </c>
    </row>
    <row r="6002" spans="1:12" ht="11.25" x14ac:dyDescent="0.2">
      <c r="A6002" s="46" t="s">
        <v>4422</v>
      </c>
      <c r="B6002" s="46" t="s">
        <v>54593</v>
      </c>
      <c r="C6002" s="58" t="str">
        <f>"0083209X"</f>
        <v>0083209X</v>
      </c>
      <c r="D6002" s="58" t="str">
        <f>""</f>
        <v/>
      </c>
      <c r="E6002" s="46" t="s">
        <v>4424</v>
      </c>
      <c r="F6002" s="46" t="s">
        <v>17759</v>
      </c>
      <c r="G6002" s="46" t="s">
        <v>50584</v>
      </c>
      <c r="H6002" s="48" t="s">
        <v>56716</v>
      </c>
      <c r="I6002" s="48" t="s">
        <v>50565</v>
      </c>
      <c r="J6002" s="48"/>
      <c r="K6002" s="57"/>
      <c r="L6002" s="48"/>
    </row>
    <row r="6003" spans="1:12" ht="11.25" x14ac:dyDescent="0.2">
      <c r="A6003" s="45" t="s">
        <v>41770</v>
      </c>
      <c r="B6003" s="45" t="s">
        <v>41772</v>
      </c>
      <c r="C6003" s="51" t="s">
        <v>41773</v>
      </c>
      <c r="D6003" s="51"/>
      <c r="E6003" s="45" t="s">
        <v>41774</v>
      </c>
      <c r="F6003" s="45" t="s">
        <v>17759</v>
      </c>
      <c r="G6003" s="45" t="s">
        <v>50584</v>
      </c>
      <c r="H6003" s="56"/>
      <c r="I6003" s="56" t="s">
        <v>50564</v>
      </c>
      <c r="J6003" s="56"/>
      <c r="K6003" s="57"/>
      <c r="L6003" s="56" t="s">
        <v>56716</v>
      </c>
    </row>
    <row r="6004" spans="1:12" ht="11.25" x14ac:dyDescent="0.2">
      <c r="A6004" s="45" t="s">
        <v>41777</v>
      </c>
      <c r="B6004" s="45" t="s">
        <v>41779</v>
      </c>
      <c r="C6004" s="51" t="s">
        <v>41780</v>
      </c>
      <c r="D6004" s="51"/>
      <c r="E6004" s="45" t="s">
        <v>41781</v>
      </c>
      <c r="F6004" s="45" t="s">
        <v>17759</v>
      </c>
      <c r="G6004" s="45" t="s">
        <v>50584</v>
      </c>
      <c r="H6004" s="56"/>
      <c r="I6004" s="56" t="s">
        <v>50564</v>
      </c>
      <c r="J6004" s="56"/>
      <c r="K6004" s="57"/>
      <c r="L6004" s="56" t="s">
        <v>56716</v>
      </c>
    </row>
    <row r="6005" spans="1:12" ht="11.25" x14ac:dyDescent="0.2">
      <c r="A6005" s="45" t="s">
        <v>41783</v>
      </c>
      <c r="B6005" s="45" t="s">
        <v>41785</v>
      </c>
      <c r="C6005" s="51" t="s">
        <v>41787</v>
      </c>
      <c r="D6005" s="51"/>
      <c r="E6005" s="45" t="s">
        <v>41788</v>
      </c>
      <c r="F6005" s="45" t="s">
        <v>17759</v>
      </c>
      <c r="G6005" s="45" t="s">
        <v>50584</v>
      </c>
      <c r="H6005" s="56"/>
      <c r="I6005" s="56" t="s">
        <v>50564</v>
      </c>
      <c r="J6005" s="56"/>
      <c r="K6005" s="57"/>
      <c r="L6005" s="56" t="s">
        <v>56716</v>
      </c>
    </row>
    <row r="6006" spans="1:12" ht="11.25" x14ac:dyDescent="0.2">
      <c r="A6006" s="46" t="s">
        <v>10131</v>
      </c>
      <c r="B6006" s="46" t="s">
        <v>54594</v>
      </c>
      <c r="C6006" s="58" t="str">
        <f>"09258604"</f>
        <v>09258604</v>
      </c>
      <c r="D6006" s="58" t="str">
        <f>""</f>
        <v/>
      </c>
      <c r="E6006" s="46" t="s">
        <v>10133</v>
      </c>
      <c r="F6006" s="46" t="s">
        <v>18001</v>
      </c>
      <c r="G6006" s="46" t="s">
        <v>50583</v>
      </c>
      <c r="H6006" s="48" t="s">
        <v>56716</v>
      </c>
      <c r="I6006" s="48" t="s">
        <v>50564</v>
      </c>
      <c r="J6006" s="48"/>
      <c r="K6006" s="57"/>
      <c r="L6006" s="48"/>
    </row>
    <row r="6007" spans="1:12" ht="11.25" x14ac:dyDescent="0.2">
      <c r="A6007" s="46" t="s">
        <v>3091</v>
      </c>
      <c r="B6007" s="46" t="s">
        <v>54595</v>
      </c>
      <c r="C6007" s="58" t="str">
        <f>"00282162"</f>
        <v>00282162</v>
      </c>
      <c r="D6007" s="58" t="str">
        <f>""</f>
        <v/>
      </c>
      <c r="E6007" s="46" t="s">
        <v>3093</v>
      </c>
      <c r="F6007" s="46" t="s">
        <v>18001</v>
      </c>
      <c r="G6007" s="46" t="s">
        <v>50583</v>
      </c>
      <c r="H6007" s="48" t="s">
        <v>56716</v>
      </c>
      <c r="I6007" s="48" t="s">
        <v>50564</v>
      </c>
      <c r="J6007" s="48"/>
      <c r="K6007" s="57"/>
      <c r="L6007" s="48" t="s">
        <v>56716</v>
      </c>
    </row>
    <row r="6008" spans="1:12" ht="11.25" x14ac:dyDescent="0.2">
      <c r="A6008" s="46" t="s">
        <v>9811</v>
      </c>
      <c r="B6008" s="46" t="s">
        <v>54596</v>
      </c>
      <c r="C6008" s="58" t="str">
        <f>"15708306"</f>
        <v>15708306</v>
      </c>
      <c r="D6008" s="58" t="str">
        <f>""</f>
        <v/>
      </c>
      <c r="E6008" s="46" t="s">
        <v>9813</v>
      </c>
      <c r="F6008" s="46" t="s">
        <v>18001</v>
      </c>
      <c r="G6008" s="46" t="s">
        <v>50583</v>
      </c>
      <c r="H6008" s="48" t="s">
        <v>56716</v>
      </c>
      <c r="I6008" s="48" t="s">
        <v>50564</v>
      </c>
      <c r="J6008" s="48"/>
      <c r="K6008" s="57"/>
      <c r="L6008" s="48"/>
    </row>
    <row r="6009" spans="1:12" ht="11.25" x14ac:dyDescent="0.2">
      <c r="A6009" s="45" t="s">
        <v>41796</v>
      </c>
      <c r="B6009" s="45" t="s">
        <v>41798</v>
      </c>
      <c r="C6009" s="51" t="s">
        <v>41800</v>
      </c>
      <c r="D6009" s="51"/>
      <c r="E6009" s="45" t="s">
        <v>41801</v>
      </c>
      <c r="F6009" s="45" t="s">
        <v>18001</v>
      </c>
      <c r="G6009" s="45" t="s">
        <v>50583</v>
      </c>
      <c r="H6009" s="56"/>
      <c r="I6009" s="56" t="s">
        <v>50564</v>
      </c>
      <c r="J6009" s="56"/>
      <c r="K6009" s="57"/>
      <c r="L6009" s="56" t="s">
        <v>56716</v>
      </c>
    </row>
    <row r="6010" spans="1:12" ht="11.25" x14ac:dyDescent="0.2">
      <c r="A6010" s="45" t="s">
        <v>41803</v>
      </c>
      <c r="B6010" s="45" t="s">
        <v>41805</v>
      </c>
      <c r="C6010" s="51" t="s">
        <v>41807</v>
      </c>
      <c r="D6010" s="51" t="s">
        <v>41806</v>
      </c>
      <c r="E6010" s="45" t="s">
        <v>41808</v>
      </c>
      <c r="F6010" s="45" t="s">
        <v>18439</v>
      </c>
      <c r="G6010" s="45" t="s">
        <v>50633</v>
      </c>
      <c r="H6010" s="56"/>
      <c r="I6010" s="56" t="s">
        <v>50564</v>
      </c>
      <c r="J6010" s="56"/>
      <c r="K6010" s="57"/>
      <c r="L6010" s="56" t="s">
        <v>56716</v>
      </c>
    </row>
    <row r="6011" spans="1:12" ht="11.25" x14ac:dyDescent="0.2">
      <c r="A6011" s="45" t="s">
        <v>41810</v>
      </c>
      <c r="B6011" s="45" t="s">
        <v>41812</v>
      </c>
      <c r="C6011" s="51" t="s">
        <v>41814</v>
      </c>
      <c r="D6011" s="51" t="s">
        <v>41813</v>
      </c>
      <c r="E6011" s="45" t="s">
        <v>41815</v>
      </c>
      <c r="F6011" s="45" t="s">
        <v>17759</v>
      </c>
      <c r="G6011" s="45" t="s">
        <v>50584</v>
      </c>
      <c r="H6011" s="56"/>
      <c r="I6011" s="56" t="s">
        <v>50564</v>
      </c>
      <c r="J6011" s="56"/>
      <c r="K6011" s="57"/>
      <c r="L6011" s="56" t="s">
        <v>56716</v>
      </c>
    </row>
    <row r="6012" spans="1:12" ht="11.25" x14ac:dyDescent="0.2">
      <c r="A6012" s="46" t="s">
        <v>11606</v>
      </c>
      <c r="B6012" s="46" t="s">
        <v>11606</v>
      </c>
      <c r="C6012" s="58" t="str">
        <f>"16617800"</f>
        <v>16617800</v>
      </c>
      <c r="D6012" s="58" t="str">
        <f>"16617819"</f>
        <v>16617819</v>
      </c>
      <c r="E6012" s="46" t="s">
        <v>109</v>
      </c>
      <c r="F6012" s="46" t="s">
        <v>18123</v>
      </c>
      <c r="G6012" s="46" t="s">
        <v>50584</v>
      </c>
      <c r="H6012" s="48" t="s">
        <v>56716</v>
      </c>
      <c r="I6012" s="48" t="s">
        <v>50564</v>
      </c>
      <c r="J6012" s="48" t="s">
        <v>56716</v>
      </c>
      <c r="K6012" s="50" t="s">
        <v>56716</v>
      </c>
      <c r="L6012" s="48" t="s">
        <v>56716</v>
      </c>
    </row>
    <row r="6013" spans="1:12" ht="11.25" x14ac:dyDescent="0.2">
      <c r="A6013" s="46" t="s">
        <v>8169</v>
      </c>
      <c r="B6013" s="46" t="s">
        <v>41823</v>
      </c>
      <c r="C6013" s="58" t="str">
        <f>"15228002"</f>
        <v>15228002</v>
      </c>
      <c r="D6013" s="58" t="str">
        <f>"14765586"</f>
        <v>14765586</v>
      </c>
      <c r="E6013" s="46" t="s">
        <v>91</v>
      </c>
      <c r="F6013" s="46" t="s">
        <v>18001</v>
      </c>
      <c r="G6013" s="46" t="s">
        <v>50584</v>
      </c>
      <c r="H6013" s="48" t="s">
        <v>56716</v>
      </c>
      <c r="I6013" s="48" t="s">
        <v>50564</v>
      </c>
      <c r="J6013" s="48" t="s">
        <v>56716</v>
      </c>
      <c r="K6013" s="57"/>
      <c r="L6013" s="48" t="s">
        <v>56716</v>
      </c>
    </row>
    <row r="6014" spans="1:12" ht="11.25" x14ac:dyDescent="0.2">
      <c r="A6014" s="46" t="s">
        <v>3073</v>
      </c>
      <c r="B6014" s="46" t="s">
        <v>3073</v>
      </c>
      <c r="C6014" s="58" t="str">
        <f>"00282685"</f>
        <v>00282685</v>
      </c>
      <c r="D6014" s="58" t="str">
        <f>"13384317"</f>
        <v>13384317</v>
      </c>
      <c r="E6014" s="46" t="s">
        <v>56297</v>
      </c>
      <c r="F6014" s="46" t="s">
        <v>18577</v>
      </c>
      <c r="G6014" s="46" t="s">
        <v>50584</v>
      </c>
      <c r="H6014" s="48" t="s">
        <v>56716</v>
      </c>
      <c r="I6014" s="48" t="s">
        <v>50564</v>
      </c>
      <c r="J6014" s="48"/>
      <c r="K6014" s="57"/>
      <c r="L6014" s="48" t="s">
        <v>56716</v>
      </c>
    </row>
    <row r="6015" spans="1:12" ht="11.25" x14ac:dyDescent="0.2">
      <c r="A6015" s="45" t="s">
        <v>41829</v>
      </c>
      <c r="B6015" s="45" t="s">
        <v>41831</v>
      </c>
      <c r="C6015" s="51" t="s">
        <v>41834</v>
      </c>
      <c r="D6015" s="51" t="s">
        <v>41833</v>
      </c>
      <c r="E6015" s="45" t="s">
        <v>17783</v>
      </c>
      <c r="F6015" s="45" t="s">
        <v>18001</v>
      </c>
      <c r="G6015" s="45" t="s">
        <v>50611</v>
      </c>
      <c r="H6015" s="56"/>
      <c r="I6015" s="56" t="s">
        <v>50564</v>
      </c>
      <c r="J6015" s="56"/>
      <c r="K6015" s="57"/>
      <c r="L6015" s="56" t="s">
        <v>56716</v>
      </c>
    </row>
    <row r="6016" spans="1:12" ht="11.25" x14ac:dyDescent="0.2">
      <c r="A6016" s="46" t="s">
        <v>16203</v>
      </c>
      <c r="B6016" s="46" t="s">
        <v>54597</v>
      </c>
      <c r="C6016" s="58" t="str">
        <f>""</f>
        <v/>
      </c>
      <c r="D6016" s="58" t="str">
        <f>"20910800"</f>
        <v>20910800</v>
      </c>
      <c r="E6016" s="46" t="s">
        <v>16205</v>
      </c>
      <c r="F6016" s="46" t="s">
        <v>33560</v>
      </c>
      <c r="G6016" s="46" t="s">
        <v>50584</v>
      </c>
      <c r="H6016" s="48" t="s">
        <v>56716</v>
      </c>
      <c r="I6016" s="48" t="s">
        <v>50564</v>
      </c>
      <c r="J6016" s="48"/>
      <c r="K6016" s="57"/>
      <c r="L6016" s="48"/>
    </row>
    <row r="6017" spans="1:12" ht="11.25" x14ac:dyDescent="0.2">
      <c r="A6017" s="45" t="s">
        <v>41836</v>
      </c>
      <c r="B6017" s="45" t="s">
        <v>41838</v>
      </c>
      <c r="C6017" s="51"/>
      <c r="D6017" s="51"/>
      <c r="E6017" s="45" t="s">
        <v>25400</v>
      </c>
      <c r="F6017" s="45" t="s">
        <v>33560</v>
      </c>
      <c r="G6017" s="45" t="s">
        <v>50584</v>
      </c>
      <c r="H6017" s="56"/>
      <c r="I6017" s="56" t="s">
        <v>50564</v>
      </c>
      <c r="J6017" s="56"/>
      <c r="K6017" s="57"/>
      <c r="L6017" s="56" t="s">
        <v>56716</v>
      </c>
    </row>
    <row r="6018" spans="1:12" ht="11.25" x14ac:dyDescent="0.2">
      <c r="A6018" s="45" t="s">
        <v>41840</v>
      </c>
      <c r="B6018" s="45" t="s">
        <v>41842</v>
      </c>
      <c r="C6018" s="51" t="s">
        <v>41844</v>
      </c>
      <c r="D6018" s="51" t="s">
        <v>41843</v>
      </c>
      <c r="E6018" s="45" t="s">
        <v>41845</v>
      </c>
      <c r="F6018" s="45" t="s">
        <v>33560</v>
      </c>
      <c r="G6018" s="45" t="s">
        <v>50584</v>
      </c>
      <c r="H6018" s="56"/>
      <c r="I6018" s="56" t="s">
        <v>50564</v>
      </c>
      <c r="J6018" s="56"/>
      <c r="K6018" s="57"/>
      <c r="L6018" s="56" t="s">
        <v>56716</v>
      </c>
    </row>
    <row r="6019" spans="1:12" ht="11.25" x14ac:dyDescent="0.2">
      <c r="A6019" s="46" t="s">
        <v>11480</v>
      </c>
      <c r="B6019" s="46" t="s">
        <v>11480</v>
      </c>
      <c r="C6019" s="58" t="str">
        <f>"1862040X"</f>
        <v>1862040X</v>
      </c>
      <c r="D6019" s="58" t="str">
        <f>"18620418"</f>
        <v>18620418</v>
      </c>
      <c r="E6019" s="46" t="s">
        <v>167</v>
      </c>
      <c r="F6019" s="46" t="s">
        <v>18158</v>
      </c>
      <c r="G6019" s="46" t="s">
        <v>50593</v>
      </c>
      <c r="H6019" s="48" t="s">
        <v>56716</v>
      </c>
      <c r="I6019" s="48" t="s">
        <v>50564</v>
      </c>
      <c r="J6019" s="48"/>
      <c r="K6019" s="50" t="s">
        <v>56716</v>
      </c>
      <c r="L6019" s="48"/>
    </row>
    <row r="6020" spans="1:12" ht="11.25" x14ac:dyDescent="0.2">
      <c r="A6020" s="46" t="s">
        <v>10819</v>
      </c>
      <c r="B6020" s="46" t="s">
        <v>54598</v>
      </c>
      <c r="C6020" s="58" t="str">
        <f>"17697255"</f>
        <v>17697255</v>
      </c>
      <c r="D6020" s="58" t="str">
        <f>"18729177"</f>
        <v>18729177</v>
      </c>
      <c r="E6020" s="46" t="s">
        <v>85</v>
      </c>
      <c r="F6020" s="46" t="s">
        <v>20359</v>
      </c>
      <c r="G6020" s="46" t="s">
        <v>50591</v>
      </c>
      <c r="H6020" s="48" t="s">
        <v>56716</v>
      </c>
      <c r="I6020" s="48" t="s">
        <v>50564</v>
      </c>
      <c r="J6020" s="48"/>
      <c r="K6020" s="50" t="s">
        <v>56716</v>
      </c>
      <c r="L6020" s="48" t="s">
        <v>56716</v>
      </c>
    </row>
    <row r="6021" spans="1:12" ht="11.25" x14ac:dyDescent="0.2">
      <c r="A6021" s="46" t="s">
        <v>7269</v>
      </c>
      <c r="B6021" s="46" t="s">
        <v>7269</v>
      </c>
      <c r="C6021" s="58" t="str">
        <f>"13205358"</f>
        <v>13205358</v>
      </c>
      <c r="D6021" s="58" t="str">
        <f>"14401797"</f>
        <v>14401797</v>
      </c>
      <c r="E6021" s="46" t="s">
        <v>296</v>
      </c>
      <c r="F6021" s="46" t="s">
        <v>20082</v>
      </c>
      <c r="G6021" s="46" t="s">
        <v>50584</v>
      </c>
      <c r="H6021" s="48" t="s">
        <v>56716</v>
      </c>
      <c r="I6021" s="48" t="s">
        <v>50564</v>
      </c>
      <c r="J6021" s="48" t="s">
        <v>56716</v>
      </c>
      <c r="K6021" s="57"/>
      <c r="L6021" s="48" t="s">
        <v>56716</v>
      </c>
    </row>
    <row r="6022" spans="1:12" ht="11.25" x14ac:dyDescent="0.2">
      <c r="A6022" s="46" t="s">
        <v>4342</v>
      </c>
      <c r="B6022" s="46" t="s">
        <v>54599</v>
      </c>
      <c r="C6022" s="58" t="str">
        <f>"09310509"</f>
        <v>09310509</v>
      </c>
      <c r="D6022" s="58" t="str">
        <f>"14602385"</f>
        <v>14602385</v>
      </c>
      <c r="E6022" s="46" t="s">
        <v>55</v>
      </c>
      <c r="F6022" s="46" t="s">
        <v>50646</v>
      </c>
      <c r="G6022" s="46" t="s">
        <v>50584</v>
      </c>
      <c r="H6022" s="48" t="s">
        <v>56716</v>
      </c>
      <c r="I6022" s="48" t="s">
        <v>50564</v>
      </c>
      <c r="J6022" s="48" t="s">
        <v>56716</v>
      </c>
      <c r="K6022" s="57"/>
      <c r="L6022" s="48" t="s">
        <v>56716</v>
      </c>
    </row>
    <row r="6023" spans="1:12" ht="11.25" x14ac:dyDescent="0.2">
      <c r="A6023" s="45" t="s">
        <v>41856</v>
      </c>
      <c r="B6023" s="45" t="s">
        <v>41858</v>
      </c>
      <c r="C6023" s="51" t="s">
        <v>41859</v>
      </c>
      <c r="D6023" s="51"/>
      <c r="E6023" s="45" t="s">
        <v>41860</v>
      </c>
      <c r="F6023" s="45" t="s">
        <v>17759</v>
      </c>
      <c r="G6023" s="45" t="s">
        <v>50584</v>
      </c>
      <c r="H6023" s="56"/>
      <c r="I6023" s="56" t="s">
        <v>50564</v>
      </c>
      <c r="J6023" s="56"/>
      <c r="K6023" s="57"/>
      <c r="L6023" s="56" t="s">
        <v>56716</v>
      </c>
    </row>
    <row r="6024" spans="1:12" ht="11.25" x14ac:dyDescent="0.2">
      <c r="A6024" s="45" t="s">
        <v>41862</v>
      </c>
      <c r="B6024" s="45" t="s">
        <v>41864</v>
      </c>
      <c r="C6024" s="51" t="s">
        <v>41866</v>
      </c>
      <c r="D6024" s="51"/>
      <c r="E6024" s="45" t="s">
        <v>19282</v>
      </c>
      <c r="F6024" s="45" t="s">
        <v>17759</v>
      </c>
      <c r="G6024" s="45" t="s">
        <v>50584</v>
      </c>
      <c r="H6024" s="56"/>
      <c r="I6024" s="56" t="s">
        <v>50564</v>
      </c>
      <c r="J6024" s="56"/>
      <c r="K6024" s="57"/>
      <c r="L6024" s="56" t="s">
        <v>56716</v>
      </c>
    </row>
    <row r="6025" spans="1:12" ht="11.25" x14ac:dyDescent="0.2">
      <c r="A6025" s="46" t="s">
        <v>16861</v>
      </c>
      <c r="B6025" s="46" t="s">
        <v>54600</v>
      </c>
      <c r="C6025" s="58" t="str">
        <f>"20358261"</f>
        <v>20358261</v>
      </c>
      <c r="D6025" s="58" t="str">
        <f>"2035813X"</f>
        <v>2035813X</v>
      </c>
      <c r="E6025" s="46" t="s">
        <v>1949</v>
      </c>
      <c r="F6025" s="46" t="s">
        <v>17991</v>
      </c>
      <c r="G6025" s="46" t="s">
        <v>50584</v>
      </c>
      <c r="H6025" s="48" t="s">
        <v>56716</v>
      </c>
      <c r="I6025" s="48" t="s">
        <v>50564</v>
      </c>
      <c r="J6025" s="48"/>
      <c r="K6025" s="57"/>
      <c r="L6025" s="48"/>
    </row>
    <row r="6026" spans="1:12" ht="11.25" x14ac:dyDescent="0.2">
      <c r="A6026" s="46" t="s">
        <v>10163</v>
      </c>
      <c r="B6026" s="46" t="s">
        <v>54601</v>
      </c>
      <c r="C6026" s="58" t="str">
        <f>""</f>
        <v/>
      </c>
      <c r="D6026" s="58" t="str">
        <f>"16602110"</f>
        <v>16602110</v>
      </c>
      <c r="E6026" s="46" t="s">
        <v>109</v>
      </c>
      <c r="F6026" s="46" t="s">
        <v>18123</v>
      </c>
      <c r="G6026" s="46" t="s">
        <v>50584</v>
      </c>
      <c r="H6026" s="48" t="s">
        <v>56716</v>
      </c>
      <c r="I6026" s="48" t="s">
        <v>50564</v>
      </c>
      <c r="J6026" s="48" t="s">
        <v>56716</v>
      </c>
      <c r="K6026" s="57"/>
      <c r="L6026" s="48" t="s">
        <v>56716</v>
      </c>
    </row>
    <row r="6027" spans="1:12" ht="11.25" x14ac:dyDescent="0.2">
      <c r="A6027" s="46" t="s">
        <v>10167</v>
      </c>
      <c r="B6027" s="46" t="s">
        <v>54602</v>
      </c>
      <c r="C6027" s="58" t="str">
        <f>""</f>
        <v/>
      </c>
      <c r="D6027" s="58" t="str">
        <f>"16602129"</f>
        <v>16602129</v>
      </c>
      <c r="E6027" s="46" t="s">
        <v>109</v>
      </c>
      <c r="F6027" s="46" t="s">
        <v>18123</v>
      </c>
      <c r="G6027" s="46" t="s">
        <v>50584</v>
      </c>
      <c r="H6027" s="48" t="s">
        <v>56716</v>
      </c>
      <c r="I6027" s="48" t="s">
        <v>50564</v>
      </c>
      <c r="J6027" s="48" t="s">
        <v>56716</v>
      </c>
      <c r="K6027" s="57"/>
      <c r="L6027" s="48" t="s">
        <v>56716</v>
      </c>
    </row>
    <row r="6028" spans="1:12" ht="11.25" x14ac:dyDescent="0.2">
      <c r="A6028" s="46" t="s">
        <v>10165</v>
      </c>
      <c r="B6028" s="46" t="s">
        <v>54603</v>
      </c>
      <c r="C6028" s="58" t="str">
        <f>""</f>
        <v/>
      </c>
      <c r="D6028" s="58" t="str">
        <f>"16602137"</f>
        <v>16602137</v>
      </c>
      <c r="E6028" s="46" t="s">
        <v>109</v>
      </c>
      <c r="F6028" s="46" t="s">
        <v>18123</v>
      </c>
      <c r="G6028" s="46" t="s">
        <v>50584</v>
      </c>
      <c r="H6028" s="48" t="s">
        <v>56716</v>
      </c>
      <c r="I6028" s="48" t="s">
        <v>50564</v>
      </c>
      <c r="J6028" s="48" t="s">
        <v>56716</v>
      </c>
      <c r="K6028" s="57"/>
      <c r="L6028" s="48" t="s">
        <v>56716</v>
      </c>
    </row>
    <row r="6029" spans="1:12" ht="11.25" x14ac:dyDescent="0.2">
      <c r="A6029" s="46" t="s">
        <v>55933</v>
      </c>
      <c r="B6029" s="46" t="s">
        <v>55933</v>
      </c>
      <c r="C6029" s="58" t="str">
        <f>""</f>
        <v/>
      </c>
      <c r="D6029" s="58" t="str">
        <f>"16645529"</f>
        <v>16645529</v>
      </c>
      <c r="E6029" s="46" t="s">
        <v>109</v>
      </c>
      <c r="F6029" s="46" t="s">
        <v>18123</v>
      </c>
      <c r="G6029" s="46" t="s">
        <v>50584</v>
      </c>
      <c r="H6029" s="48" t="s">
        <v>56716</v>
      </c>
      <c r="I6029" s="48" t="s">
        <v>50564</v>
      </c>
      <c r="J6029" s="48" t="s">
        <v>56716</v>
      </c>
      <c r="K6029" s="57"/>
      <c r="L6029" s="48"/>
    </row>
    <row r="6030" spans="1:12" ht="11.25" x14ac:dyDescent="0.2">
      <c r="A6030" s="46" t="s">
        <v>15023</v>
      </c>
      <c r="B6030" s="46" t="s">
        <v>56161</v>
      </c>
      <c r="C6030" s="58" t="str">
        <f>"22517006"</f>
        <v>22517006</v>
      </c>
      <c r="D6030" s="58" t="str">
        <f>"22517014"</f>
        <v>22517014</v>
      </c>
      <c r="E6030" s="46" t="s">
        <v>56162</v>
      </c>
      <c r="F6030" s="46" t="s">
        <v>18232</v>
      </c>
      <c r="G6030" s="46" t="s">
        <v>50584</v>
      </c>
      <c r="H6030" s="48" t="s">
        <v>56716</v>
      </c>
      <c r="I6030" s="48" t="s">
        <v>50564</v>
      </c>
      <c r="J6030" s="48"/>
      <c r="K6030" s="57"/>
      <c r="L6030" s="48"/>
    </row>
    <row r="6031" spans="1:12" ht="11.25" x14ac:dyDescent="0.2">
      <c r="A6031" s="46" t="s">
        <v>3086</v>
      </c>
      <c r="B6031" s="46" t="s">
        <v>3086</v>
      </c>
      <c r="C6031" s="58" t="str">
        <f>"00282804"</f>
        <v>00282804</v>
      </c>
      <c r="D6031" s="58" t="str">
        <f>"14330407"</f>
        <v>14330407</v>
      </c>
      <c r="E6031" s="46" t="s">
        <v>167</v>
      </c>
      <c r="F6031" s="46" t="s">
        <v>18158</v>
      </c>
      <c r="G6031" s="46" t="s">
        <v>50593</v>
      </c>
      <c r="H6031" s="48" t="s">
        <v>56716</v>
      </c>
      <c r="I6031" s="48" t="s">
        <v>50564</v>
      </c>
      <c r="J6031" s="48"/>
      <c r="K6031" s="50" t="s">
        <v>56716</v>
      </c>
      <c r="L6031" s="48" t="s">
        <v>56716</v>
      </c>
    </row>
    <row r="6032" spans="1:12" ht="11.25" x14ac:dyDescent="0.2">
      <c r="A6032" s="46" t="s">
        <v>3089</v>
      </c>
      <c r="B6032" s="46" t="s">
        <v>3089</v>
      </c>
      <c r="C6032" s="58" t="str">
        <f>"07221541"</f>
        <v>07221541</v>
      </c>
      <c r="D6032" s="58" t="str">
        <f>""</f>
        <v/>
      </c>
      <c r="E6032" s="46" t="s">
        <v>1758</v>
      </c>
      <c r="F6032" s="46" t="s">
        <v>18158</v>
      </c>
      <c r="G6032" s="46" t="s">
        <v>50593</v>
      </c>
      <c r="H6032" s="48" t="s">
        <v>56716</v>
      </c>
      <c r="I6032" s="48" t="s">
        <v>50564</v>
      </c>
      <c r="J6032" s="48"/>
      <c r="K6032" s="57"/>
      <c r="L6032" s="48"/>
    </row>
    <row r="6033" spans="1:12" ht="11.25" x14ac:dyDescent="0.2">
      <c r="A6033" s="45" t="s">
        <v>41891</v>
      </c>
      <c r="B6033" s="45" t="s">
        <v>41893</v>
      </c>
      <c r="C6033" s="51" t="s">
        <v>41896</v>
      </c>
      <c r="D6033" s="51" t="s">
        <v>41895</v>
      </c>
      <c r="E6033" s="45" t="s">
        <v>18122</v>
      </c>
      <c r="F6033" s="45" t="s">
        <v>18123</v>
      </c>
      <c r="G6033" s="45" t="s">
        <v>50584</v>
      </c>
      <c r="H6033" s="56"/>
      <c r="I6033" s="56" t="s">
        <v>50564</v>
      </c>
      <c r="J6033" s="56"/>
      <c r="K6033" s="57"/>
      <c r="L6033" s="56" t="s">
        <v>56716</v>
      </c>
    </row>
    <row r="6034" spans="1:12" ht="11.25" x14ac:dyDescent="0.2">
      <c r="A6034" s="46" t="s">
        <v>10339</v>
      </c>
      <c r="B6034" s="46" t="s">
        <v>54604</v>
      </c>
      <c r="C6034" s="58" t="str">
        <f>"15685888"</f>
        <v>15685888</v>
      </c>
      <c r="D6034" s="58" t="str">
        <f>"18766250"</f>
        <v>18766250</v>
      </c>
      <c r="E6034" s="46" t="s">
        <v>3093</v>
      </c>
      <c r="F6034" s="46" t="s">
        <v>18001</v>
      </c>
      <c r="G6034" s="46" t="s">
        <v>50584</v>
      </c>
      <c r="H6034" s="48" t="s">
        <v>56716</v>
      </c>
      <c r="I6034" s="48" t="s">
        <v>50564</v>
      </c>
      <c r="J6034" s="48"/>
      <c r="K6034" s="57"/>
      <c r="L6034" s="48"/>
    </row>
    <row r="6035" spans="1:12" ht="11.25" x14ac:dyDescent="0.2">
      <c r="A6035" s="46" t="s">
        <v>12176</v>
      </c>
      <c r="B6035" s="46" t="s">
        <v>54605</v>
      </c>
      <c r="C6035" s="58" t="str">
        <f>"15693511"</f>
        <v>15693511</v>
      </c>
      <c r="D6035" s="58" t="str">
        <f>""</f>
        <v/>
      </c>
      <c r="E6035" s="46" t="s">
        <v>12178</v>
      </c>
      <c r="F6035" s="46" t="s">
        <v>18001</v>
      </c>
      <c r="G6035" s="46" t="s">
        <v>50584</v>
      </c>
      <c r="H6035" s="48" t="s">
        <v>56716</v>
      </c>
      <c r="I6035" s="48" t="s">
        <v>50564</v>
      </c>
      <c r="J6035" s="48"/>
      <c r="K6035" s="57"/>
      <c r="L6035" s="48"/>
    </row>
    <row r="6036" spans="1:12" ht="11.25" x14ac:dyDescent="0.2">
      <c r="A6036" s="46" t="s">
        <v>5208</v>
      </c>
      <c r="B6036" s="46" t="s">
        <v>54606</v>
      </c>
      <c r="C6036" s="58" t="str">
        <f>"03002977"</f>
        <v>03002977</v>
      </c>
      <c r="D6036" s="58" t="str">
        <f>""</f>
        <v/>
      </c>
      <c r="E6036" s="46" t="s">
        <v>5210</v>
      </c>
      <c r="F6036" s="46" t="s">
        <v>18001</v>
      </c>
      <c r="G6036" s="46" t="s">
        <v>50584</v>
      </c>
      <c r="H6036" s="48" t="s">
        <v>56716</v>
      </c>
      <c r="I6036" s="48" t="s">
        <v>50564</v>
      </c>
      <c r="J6036" s="48"/>
      <c r="K6036" s="57"/>
      <c r="L6036" s="48" t="s">
        <v>56716</v>
      </c>
    </row>
    <row r="6037" spans="1:12" ht="11.25" x14ac:dyDescent="0.2">
      <c r="A6037" s="45" t="s">
        <v>41915</v>
      </c>
      <c r="B6037" s="45" t="s">
        <v>41917</v>
      </c>
      <c r="C6037" s="51" t="s">
        <v>41919</v>
      </c>
      <c r="D6037" s="51" t="s">
        <v>41918</v>
      </c>
      <c r="E6037" s="45" t="s">
        <v>291</v>
      </c>
      <c r="F6037" s="45" t="s">
        <v>50646</v>
      </c>
      <c r="G6037" s="45" t="s">
        <v>50584</v>
      </c>
      <c r="H6037" s="56"/>
      <c r="I6037" s="56" t="s">
        <v>50564</v>
      </c>
      <c r="J6037" s="56"/>
      <c r="K6037" s="57"/>
      <c r="L6037" s="56" t="s">
        <v>56716</v>
      </c>
    </row>
    <row r="6038" spans="1:12" ht="11.25" x14ac:dyDescent="0.2">
      <c r="A6038" s="46" t="s">
        <v>16629</v>
      </c>
      <c r="B6038" s="46" t="s">
        <v>54607</v>
      </c>
      <c r="C6038" s="58" t="str">
        <f>""</f>
        <v/>
      </c>
      <c r="D6038" s="58" t="str">
        <f>"21926670"</f>
        <v>21926670</v>
      </c>
      <c r="E6038" s="46" t="s">
        <v>167</v>
      </c>
      <c r="F6038" s="46" t="s">
        <v>18158</v>
      </c>
      <c r="G6038" s="46" t="s">
        <v>50584</v>
      </c>
      <c r="H6038" s="48" t="s">
        <v>56716</v>
      </c>
      <c r="I6038" s="48" t="s">
        <v>50564</v>
      </c>
      <c r="J6038" s="48" t="s">
        <v>56716</v>
      </c>
      <c r="K6038" s="57"/>
      <c r="L6038" s="48"/>
    </row>
    <row r="6039" spans="1:12" ht="11.25" x14ac:dyDescent="0.2">
      <c r="A6039" s="45" t="s">
        <v>41921</v>
      </c>
      <c r="B6039" s="45" t="s">
        <v>41923</v>
      </c>
      <c r="C6039" s="51" t="s">
        <v>41924</v>
      </c>
      <c r="D6039" s="51"/>
      <c r="E6039" s="45" t="s">
        <v>41925</v>
      </c>
      <c r="F6039" s="45" t="s">
        <v>18158</v>
      </c>
      <c r="G6039" s="45" t="s">
        <v>50593</v>
      </c>
      <c r="H6039" s="56"/>
      <c r="I6039" s="56" t="s">
        <v>50564</v>
      </c>
      <c r="J6039" s="56"/>
      <c r="K6039" s="57"/>
      <c r="L6039" s="56" t="s">
        <v>56716</v>
      </c>
    </row>
    <row r="6040" spans="1:12" ht="11.25" x14ac:dyDescent="0.2">
      <c r="A6040" s="45" t="s">
        <v>41927</v>
      </c>
      <c r="B6040" s="45" t="s">
        <v>41929</v>
      </c>
      <c r="C6040" s="51" t="s">
        <v>41931</v>
      </c>
      <c r="D6040" s="51" t="s">
        <v>41930</v>
      </c>
      <c r="E6040" s="45" t="s">
        <v>21642</v>
      </c>
      <c r="F6040" s="45" t="s">
        <v>17759</v>
      </c>
      <c r="G6040" s="45" t="s">
        <v>50584</v>
      </c>
      <c r="H6040" s="56"/>
      <c r="I6040" s="56" t="s">
        <v>50564</v>
      </c>
      <c r="J6040" s="56"/>
      <c r="K6040" s="57"/>
      <c r="L6040" s="56" t="s">
        <v>56716</v>
      </c>
    </row>
    <row r="6041" spans="1:12" ht="11.25" x14ac:dyDescent="0.2">
      <c r="A6041" s="46" t="s">
        <v>11675</v>
      </c>
      <c r="B6041" s="46" t="s">
        <v>54608</v>
      </c>
      <c r="C6041" s="58" t="str">
        <f>""</f>
        <v/>
      </c>
      <c r="D6041" s="58" t="str">
        <f>"17498104"</f>
        <v>17498104</v>
      </c>
      <c r="E6041" s="46" t="s">
        <v>2299</v>
      </c>
      <c r="F6041" s="46" t="s">
        <v>50646</v>
      </c>
      <c r="G6041" s="46" t="s">
        <v>50584</v>
      </c>
      <c r="H6041" s="48" t="s">
        <v>56716</v>
      </c>
      <c r="I6041" s="48" t="s">
        <v>50564</v>
      </c>
      <c r="J6041" s="48" t="s">
        <v>56716</v>
      </c>
      <c r="K6041" s="50" t="s">
        <v>56716</v>
      </c>
      <c r="L6041" s="48" t="s">
        <v>56716</v>
      </c>
    </row>
    <row r="6042" spans="1:12" ht="11.25" x14ac:dyDescent="0.2">
      <c r="A6042" s="46" t="s">
        <v>6367</v>
      </c>
      <c r="B6042" s="46" t="s">
        <v>54609</v>
      </c>
      <c r="C6042" s="58" t="str">
        <f>"08936080"</f>
        <v>08936080</v>
      </c>
      <c r="D6042" s="58" t="str">
        <f>"18792782"</f>
        <v>18792782</v>
      </c>
      <c r="E6042" s="46" t="s">
        <v>155</v>
      </c>
      <c r="F6042" s="46" t="s">
        <v>50646</v>
      </c>
      <c r="G6042" s="46" t="s">
        <v>50584</v>
      </c>
      <c r="H6042" s="48" t="s">
        <v>56716</v>
      </c>
      <c r="I6042" s="48" t="s">
        <v>50564</v>
      </c>
      <c r="J6042" s="48" t="s">
        <v>56716</v>
      </c>
      <c r="K6042" s="50" t="s">
        <v>56716</v>
      </c>
      <c r="L6042" s="48" t="s">
        <v>56716</v>
      </c>
    </row>
    <row r="6043" spans="1:12" ht="11.25" x14ac:dyDescent="0.2">
      <c r="A6043" s="46" t="s">
        <v>7790</v>
      </c>
      <c r="B6043" s="46" t="s">
        <v>54610</v>
      </c>
      <c r="C6043" s="58" t="str">
        <f>"20905904"</f>
        <v>20905904</v>
      </c>
      <c r="D6043" s="58" t="str">
        <f>"16875443"</f>
        <v>16875443</v>
      </c>
      <c r="E6043" s="46" t="s">
        <v>1412</v>
      </c>
      <c r="F6043" s="46" t="s">
        <v>17759</v>
      </c>
      <c r="G6043" s="46" t="s">
        <v>50584</v>
      </c>
      <c r="H6043" s="48" t="s">
        <v>56716</v>
      </c>
      <c r="I6043" s="48" t="s">
        <v>50564</v>
      </c>
      <c r="J6043" s="48"/>
      <c r="K6043" s="57"/>
      <c r="L6043" s="48" t="s">
        <v>56716</v>
      </c>
    </row>
    <row r="6044" spans="1:12" ht="11.25" x14ac:dyDescent="0.2">
      <c r="A6044" s="46" t="s">
        <v>11943</v>
      </c>
      <c r="B6044" s="46" t="s">
        <v>54611</v>
      </c>
      <c r="C6044" s="58" t="str">
        <f>"16735374"</f>
        <v>16735374</v>
      </c>
      <c r="D6044" s="58" t="str">
        <f>"18767958"</f>
        <v>18767958</v>
      </c>
      <c r="E6044" s="46" t="s">
        <v>11946</v>
      </c>
      <c r="F6044" s="46" t="s">
        <v>17958</v>
      </c>
      <c r="G6044" s="46" t="s">
        <v>50584</v>
      </c>
      <c r="H6044" s="48" t="s">
        <v>56716</v>
      </c>
      <c r="I6044" s="48" t="s">
        <v>50564</v>
      </c>
      <c r="J6044" s="48"/>
      <c r="K6044" s="57"/>
      <c r="L6044" s="48"/>
    </row>
    <row r="6045" spans="1:12" ht="11.25" x14ac:dyDescent="0.2">
      <c r="A6045" s="46" t="s">
        <v>9954</v>
      </c>
      <c r="B6045" s="46" t="s">
        <v>9954</v>
      </c>
      <c r="C6045" s="58" t="str">
        <f>"13031783"</f>
        <v>13031783</v>
      </c>
      <c r="D6045" s="58" t="str">
        <f>"13031775"</f>
        <v>13031775</v>
      </c>
      <c r="E6045" s="46" t="s">
        <v>9957</v>
      </c>
      <c r="F6045" s="46" t="s">
        <v>18396</v>
      </c>
      <c r="G6045" s="46" t="s">
        <v>50584</v>
      </c>
      <c r="H6045" s="48" t="s">
        <v>56716</v>
      </c>
      <c r="I6045" s="48" t="s">
        <v>50564</v>
      </c>
      <c r="J6045" s="48"/>
      <c r="K6045" s="57"/>
      <c r="L6045" s="48"/>
    </row>
    <row r="6046" spans="1:12" ht="11.25" x14ac:dyDescent="0.2">
      <c r="A6046" s="46" t="s">
        <v>15854</v>
      </c>
      <c r="B6046" s="46" t="s">
        <v>54612</v>
      </c>
      <c r="C6046" s="58" t="str">
        <f>""</f>
        <v/>
      </c>
      <c r="D6046" s="58" t="str">
        <f>"11791497"</f>
        <v>11791497</v>
      </c>
      <c r="E6046" s="46" t="s">
        <v>11079</v>
      </c>
      <c r="F6046" s="46" t="s">
        <v>19483</v>
      </c>
      <c r="G6046" s="46" t="s">
        <v>50584</v>
      </c>
      <c r="H6046" s="48" t="s">
        <v>56716</v>
      </c>
      <c r="I6046" s="48" t="s">
        <v>50564</v>
      </c>
      <c r="J6046" s="48"/>
      <c r="K6046" s="57"/>
      <c r="L6046" s="48"/>
    </row>
    <row r="6047" spans="1:12" ht="11.25" x14ac:dyDescent="0.2">
      <c r="A6047" s="46" t="s">
        <v>3057</v>
      </c>
      <c r="B6047" s="46" t="s">
        <v>54613</v>
      </c>
      <c r="C6047" s="58" t="str">
        <f>"01974580"</f>
        <v>01974580</v>
      </c>
      <c r="D6047" s="58" t="str">
        <f>"15581497"</f>
        <v>15581497</v>
      </c>
      <c r="E6047" s="46" t="s">
        <v>272</v>
      </c>
      <c r="F6047" s="46" t="s">
        <v>17759</v>
      </c>
      <c r="G6047" s="46" t="s">
        <v>50584</v>
      </c>
      <c r="H6047" s="48" t="s">
        <v>56716</v>
      </c>
      <c r="I6047" s="48" t="s">
        <v>50564</v>
      </c>
      <c r="J6047" s="48" t="s">
        <v>56716</v>
      </c>
      <c r="K6047" s="50" t="s">
        <v>56716</v>
      </c>
      <c r="L6047" s="48" t="s">
        <v>56716</v>
      </c>
    </row>
    <row r="6048" spans="1:12" ht="11.25" x14ac:dyDescent="0.2">
      <c r="A6048" s="46" t="s">
        <v>6384</v>
      </c>
      <c r="B6048" s="46" t="s">
        <v>54614</v>
      </c>
      <c r="C6048" s="58" t="str">
        <f>"09699961"</f>
        <v>09699961</v>
      </c>
      <c r="D6048" s="58" t="str">
        <f>"1095953X"</f>
        <v>1095953X</v>
      </c>
      <c r="E6048" s="46" t="s">
        <v>60</v>
      </c>
      <c r="F6048" s="46" t="s">
        <v>17759</v>
      </c>
      <c r="G6048" s="46" t="s">
        <v>50584</v>
      </c>
      <c r="H6048" s="48" t="s">
        <v>56716</v>
      </c>
      <c r="I6048" s="48" t="s">
        <v>50564</v>
      </c>
      <c r="J6048" s="48" t="s">
        <v>56716</v>
      </c>
      <c r="K6048" s="50" t="s">
        <v>56716</v>
      </c>
      <c r="L6048" s="48" t="s">
        <v>56716</v>
      </c>
    </row>
    <row r="6049" spans="1:12" ht="11.25" x14ac:dyDescent="0.2">
      <c r="A6049" s="46" t="s">
        <v>6419</v>
      </c>
      <c r="B6049" s="46" t="s">
        <v>54615</v>
      </c>
      <c r="C6049" s="58" t="str">
        <f>"10747427"</f>
        <v>10747427</v>
      </c>
      <c r="D6049" s="58" t="str">
        <f>"10959564"</f>
        <v>10959564</v>
      </c>
      <c r="E6049" s="46" t="s">
        <v>60</v>
      </c>
      <c r="F6049" s="46" t="s">
        <v>17759</v>
      </c>
      <c r="G6049" s="46" t="s">
        <v>50584</v>
      </c>
      <c r="H6049" s="48" t="s">
        <v>56716</v>
      </c>
      <c r="I6049" s="48" t="s">
        <v>50564</v>
      </c>
      <c r="J6049" s="48"/>
      <c r="K6049" s="50" t="s">
        <v>56716</v>
      </c>
      <c r="L6049" s="48" t="s">
        <v>56716</v>
      </c>
    </row>
    <row r="6050" spans="1:12" ht="11.25" x14ac:dyDescent="0.2">
      <c r="A6050" s="46" t="s">
        <v>56341</v>
      </c>
      <c r="B6050" s="46" t="s">
        <v>56342</v>
      </c>
      <c r="C6050" s="58" t="str">
        <f>""</f>
        <v/>
      </c>
      <c r="D6050" s="58" t="str">
        <f>"23522895"</f>
        <v>23522895</v>
      </c>
      <c r="E6050" s="46" t="s">
        <v>272</v>
      </c>
      <c r="F6050" s="46" t="s">
        <v>17759</v>
      </c>
      <c r="G6050" s="46" t="s">
        <v>50584</v>
      </c>
      <c r="H6050" s="48" t="s">
        <v>56716</v>
      </c>
      <c r="I6050" s="48" t="s">
        <v>50564</v>
      </c>
      <c r="J6050" s="48" t="s">
        <v>56716</v>
      </c>
      <c r="K6050" s="57"/>
      <c r="L6050" s="48"/>
    </row>
    <row r="6051" spans="1:12" ht="11.25" x14ac:dyDescent="0.2">
      <c r="A6051" s="46" t="s">
        <v>6828</v>
      </c>
      <c r="B6051" s="46" t="s">
        <v>6828</v>
      </c>
      <c r="C6051" s="58" t="str">
        <f>"13554794"</f>
        <v>13554794</v>
      </c>
      <c r="D6051" s="58" t="str">
        <f>"14653656"</f>
        <v>14653656</v>
      </c>
      <c r="E6051" s="46" t="s">
        <v>689</v>
      </c>
      <c r="F6051" s="46" t="s">
        <v>50646</v>
      </c>
      <c r="G6051" s="46" t="s">
        <v>50584</v>
      </c>
      <c r="H6051" s="48" t="s">
        <v>56716</v>
      </c>
      <c r="I6051" s="48" t="s">
        <v>50564</v>
      </c>
      <c r="J6051" s="48"/>
      <c r="K6051" s="50" t="s">
        <v>56716</v>
      </c>
      <c r="L6051" s="48" t="s">
        <v>56716</v>
      </c>
    </row>
    <row r="6052" spans="1:12" ht="11.25" x14ac:dyDescent="0.2">
      <c r="A6052" s="46" t="s">
        <v>3083</v>
      </c>
      <c r="B6052" s="46" t="s">
        <v>54616</v>
      </c>
      <c r="C6052" s="58" t="str">
        <f>"03643190"</f>
        <v>03643190</v>
      </c>
      <c r="D6052" s="58" t="str">
        <f>"15736903"</f>
        <v>15736903</v>
      </c>
      <c r="E6052" s="46" t="s">
        <v>56305</v>
      </c>
      <c r="F6052" s="46" t="s">
        <v>17759</v>
      </c>
      <c r="G6052" s="46" t="s">
        <v>50584</v>
      </c>
      <c r="H6052" s="48" t="s">
        <v>56716</v>
      </c>
      <c r="I6052" s="48" t="s">
        <v>50564</v>
      </c>
      <c r="J6052" s="48" t="s">
        <v>56716</v>
      </c>
      <c r="K6052" s="50" t="s">
        <v>56716</v>
      </c>
      <c r="L6052" s="48" t="s">
        <v>56716</v>
      </c>
    </row>
    <row r="6053" spans="1:12" ht="11.25" x14ac:dyDescent="0.2">
      <c r="A6053" s="46" t="s">
        <v>3094</v>
      </c>
      <c r="B6053" s="46" t="s">
        <v>54617</v>
      </c>
      <c r="C6053" s="58" t="str">
        <f>"01970186"</f>
        <v>01970186</v>
      </c>
      <c r="D6053" s="58" t="str">
        <f>"18729754"</f>
        <v>18729754</v>
      </c>
      <c r="E6053" s="46" t="s">
        <v>155</v>
      </c>
      <c r="F6053" s="46" t="s">
        <v>50646</v>
      </c>
      <c r="G6053" s="46" t="s">
        <v>50584</v>
      </c>
      <c r="H6053" s="48" t="s">
        <v>56716</v>
      </c>
      <c r="I6053" s="48" t="s">
        <v>50564</v>
      </c>
      <c r="J6053" s="48" t="s">
        <v>56716</v>
      </c>
      <c r="K6053" s="50" t="s">
        <v>56716</v>
      </c>
      <c r="L6053" s="48" t="s">
        <v>56716</v>
      </c>
    </row>
    <row r="6054" spans="1:12" ht="11.25" x14ac:dyDescent="0.2">
      <c r="A6054" s="46" t="s">
        <v>3211</v>
      </c>
      <c r="B6054" s="46" t="s">
        <v>3211</v>
      </c>
      <c r="C6054" s="58" t="str">
        <f>"00283770"</f>
        <v>00283770</v>
      </c>
      <c r="D6054" s="58" t="str">
        <f>"17730619"</f>
        <v>17730619</v>
      </c>
      <c r="E6054" s="46" t="s">
        <v>85</v>
      </c>
      <c r="F6054" s="46" t="s">
        <v>20359</v>
      </c>
      <c r="G6054" s="46" t="s">
        <v>50591</v>
      </c>
      <c r="H6054" s="48" t="s">
        <v>56716</v>
      </c>
      <c r="I6054" s="48" t="s">
        <v>50564</v>
      </c>
      <c r="J6054" s="48"/>
      <c r="K6054" s="50" t="s">
        <v>56716</v>
      </c>
      <c r="L6054" s="48" t="s">
        <v>56716</v>
      </c>
    </row>
    <row r="6055" spans="1:12" ht="11.25" x14ac:dyDescent="0.2">
      <c r="A6055" s="46" t="s">
        <v>3097</v>
      </c>
      <c r="B6055" s="46" t="s">
        <v>3097</v>
      </c>
      <c r="C6055" s="58" t="str">
        <f>"11301473"</f>
        <v>11301473</v>
      </c>
      <c r="D6055" s="58" t="str">
        <f>""</f>
        <v/>
      </c>
      <c r="E6055" s="46" t="s">
        <v>3097</v>
      </c>
      <c r="F6055" s="46" t="s">
        <v>18439</v>
      </c>
      <c r="G6055" s="46" t="s">
        <v>50632</v>
      </c>
      <c r="H6055" s="48" t="s">
        <v>56716</v>
      </c>
      <c r="I6055" s="48" t="s">
        <v>50564</v>
      </c>
      <c r="J6055" s="48"/>
      <c r="K6055" s="50" t="s">
        <v>56716</v>
      </c>
      <c r="L6055" s="48" t="s">
        <v>56716</v>
      </c>
    </row>
    <row r="6056" spans="1:12" ht="11.25" x14ac:dyDescent="0.2">
      <c r="A6056" s="46" t="s">
        <v>5553</v>
      </c>
      <c r="B6056" s="46" t="s">
        <v>5553</v>
      </c>
      <c r="C6056" s="58" t="str">
        <f>"09252312"</f>
        <v>09252312</v>
      </c>
      <c r="D6056" s="58" t="str">
        <f>"18728286"</f>
        <v>18728286</v>
      </c>
      <c r="E6056" s="46" t="s">
        <v>91</v>
      </c>
      <c r="F6056" s="46" t="s">
        <v>18001</v>
      </c>
      <c r="G6056" s="46" t="s">
        <v>50584</v>
      </c>
      <c r="H6056" s="48" t="s">
        <v>56716</v>
      </c>
      <c r="I6056" s="48" t="s">
        <v>50564</v>
      </c>
      <c r="J6056" s="48" t="s">
        <v>56716</v>
      </c>
      <c r="K6056" s="50" t="s">
        <v>56716</v>
      </c>
      <c r="L6056" s="48"/>
    </row>
    <row r="6057" spans="1:12" ht="11.25" x14ac:dyDescent="0.2">
      <c r="A6057" s="46" t="s">
        <v>10421</v>
      </c>
      <c r="B6057" s="46" t="s">
        <v>54618</v>
      </c>
      <c r="C6057" s="58" t="str">
        <f>"15416933"</f>
        <v>15416933</v>
      </c>
      <c r="D6057" s="58" t="str">
        <f>"15560961"</f>
        <v>15560961</v>
      </c>
      <c r="E6057" s="46" t="s">
        <v>40314</v>
      </c>
      <c r="F6057" s="46" t="s">
        <v>17759</v>
      </c>
      <c r="G6057" s="46" t="s">
        <v>50584</v>
      </c>
      <c r="H6057" s="48" t="s">
        <v>56716</v>
      </c>
      <c r="I6057" s="48" t="s">
        <v>50564</v>
      </c>
      <c r="J6057" s="48" t="s">
        <v>56716</v>
      </c>
      <c r="K6057" s="50" t="s">
        <v>56716</v>
      </c>
      <c r="L6057" s="48" t="s">
        <v>56716</v>
      </c>
    </row>
    <row r="6058" spans="1:12" ht="11.25" x14ac:dyDescent="0.2">
      <c r="A6058" s="46" t="s">
        <v>15657</v>
      </c>
      <c r="B6058" s="46" t="s">
        <v>54619</v>
      </c>
      <c r="C6058" s="58" t="str">
        <f>"17582024"</f>
        <v>17582024</v>
      </c>
      <c r="D6058" s="58" t="str">
        <f>"17582032"</f>
        <v>17582032</v>
      </c>
      <c r="E6058" s="46" t="s">
        <v>8442</v>
      </c>
      <c r="F6058" s="46" t="s">
        <v>50646</v>
      </c>
      <c r="G6058" s="46" t="s">
        <v>50584</v>
      </c>
      <c r="H6058" s="48" t="s">
        <v>56716</v>
      </c>
      <c r="I6058" s="48" t="s">
        <v>50564</v>
      </c>
      <c r="J6058" s="48" t="s">
        <v>56716</v>
      </c>
      <c r="K6058" s="57"/>
      <c r="L6058" s="48" t="s">
        <v>56716</v>
      </c>
    </row>
    <row r="6059" spans="1:12" ht="11.25" x14ac:dyDescent="0.2">
      <c r="A6059" s="46" t="s">
        <v>10185</v>
      </c>
      <c r="B6059" s="46" t="s">
        <v>54620</v>
      </c>
      <c r="C6059" s="58" t="str">
        <f>"16602854"</f>
        <v>16602854</v>
      </c>
      <c r="D6059" s="58" t="str">
        <f>"16602862"</f>
        <v>16602862</v>
      </c>
      <c r="E6059" s="46" t="s">
        <v>109</v>
      </c>
      <c r="F6059" s="46" t="s">
        <v>18123</v>
      </c>
      <c r="G6059" s="46" t="s">
        <v>50584</v>
      </c>
      <c r="H6059" s="48" t="s">
        <v>56716</v>
      </c>
      <c r="I6059" s="48" t="s">
        <v>50564</v>
      </c>
      <c r="J6059" s="48" t="s">
        <v>56716</v>
      </c>
      <c r="K6059" s="50" t="s">
        <v>56716</v>
      </c>
      <c r="L6059" s="48" t="s">
        <v>56716</v>
      </c>
    </row>
    <row r="6060" spans="1:12" ht="11.25" x14ac:dyDescent="0.2">
      <c r="A6060" s="46" t="s">
        <v>6888</v>
      </c>
      <c r="B6060" s="46" t="s">
        <v>6888</v>
      </c>
      <c r="C6060" s="58" t="str">
        <f>"21646821"</f>
        <v>21646821</v>
      </c>
      <c r="D6060" s="58" t="str">
        <f>""</f>
        <v/>
      </c>
      <c r="E6060" s="46" t="s">
        <v>6890</v>
      </c>
      <c r="F6060" s="46" t="s">
        <v>17759</v>
      </c>
      <c r="G6060" s="46" t="s">
        <v>50584</v>
      </c>
      <c r="H6060" s="48" t="s">
        <v>56716</v>
      </c>
      <c r="I6060" s="48" t="s">
        <v>50564</v>
      </c>
      <c r="J6060" s="48"/>
      <c r="K6060" s="57"/>
      <c r="L6060" s="48" t="s">
        <v>56716</v>
      </c>
    </row>
    <row r="6061" spans="1:12" ht="11.25" x14ac:dyDescent="0.2">
      <c r="A6061" s="46" t="s">
        <v>3202</v>
      </c>
      <c r="B6061" s="46" t="s">
        <v>3202</v>
      </c>
      <c r="C6061" s="58" t="str">
        <f>"00283835"</f>
        <v>00283835</v>
      </c>
      <c r="D6061" s="58" t="str">
        <f>"14230194"</f>
        <v>14230194</v>
      </c>
      <c r="E6061" s="46" t="s">
        <v>109</v>
      </c>
      <c r="F6061" s="46" t="s">
        <v>18123</v>
      </c>
      <c r="G6061" s="46" t="s">
        <v>50584</v>
      </c>
      <c r="H6061" s="48" t="s">
        <v>56716</v>
      </c>
      <c r="I6061" s="48" t="s">
        <v>50564</v>
      </c>
      <c r="J6061" s="48" t="s">
        <v>56716</v>
      </c>
      <c r="K6061" s="50" t="s">
        <v>56716</v>
      </c>
      <c r="L6061" s="48" t="s">
        <v>56716</v>
      </c>
    </row>
    <row r="6062" spans="1:12" ht="11.25" x14ac:dyDescent="0.2">
      <c r="A6062" s="46" t="s">
        <v>3111</v>
      </c>
      <c r="B6062" s="46" t="s">
        <v>54621</v>
      </c>
      <c r="C6062" s="58" t="str">
        <f>"0172780X"</f>
        <v>0172780X</v>
      </c>
      <c r="D6062" s="58" t="str">
        <f>""</f>
        <v/>
      </c>
      <c r="E6062" s="46" t="s">
        <v>3113</v>
      </c>
      <c r="F6062" s="46" t="s">
        <v>18130</v>
      </c>
      <c r="G6062" s="46" t="s">
        <v>50584</v>
      </c>
      <c r="H6062" s="48" t="s">
        <v>56716</v>
      </c>
      <c r="I6062" s="48" t="s">
        <v>50564</v>
      </c>
      <c r="J6062" s="48"/>
      <c r="K6062" s="57"/>
      <c r="L6062" s="48" t="s">
        <v>56716</v>
      </c>
    </row>
    <row r="6063" spans="1:12" ht="11.25" x14ac:dyDescent="0.2">
      <c r="A6063" s="46" t="s">
        <v>3063</v>
      </c>
      <c r="B6063" s="46" t="s">
        <v>3063</v>
      </c>
      <c r="C6063" s="58" t="str">
        <f>"02515350"</f>
        <v>02515350</v>
      </c>
      <c r="D6063" s="58" t="str">
        <f>"14230208"</f>
        <v>14230208</v>
      </c>
      <c r="E6063" s="46" t="s">
        <v>109</v>
      </c>
      <c r="F6063" s="46" t="s">
        <v>18123</v>
      </c>
      <c r="G6063" s="46" t="s">
        <v>50584</v>
      </c>
      <c r="H6063" s="48" t="s">
        <v>56716</v>
      </c>
      <c r="I6063" s="48" t="s">
        <v>50564</v>
      </c>
      <c r="J6063" s="48"/>
      <c r="K6063" s="50" t="s">
        <v>56716</v>
      </c>
      <c r="L6063" s="48" t="s">
        <v>56716</v>
      </c>
    </row>
    <row r="6064" spans="1:12" ht="11.25" x14ac:dyDescent="0.2">
      <c r="A6064" s="46" t="s">
        <v>56343</v>
      </c>
      <c r="B6064" s="46" t="s">
        <v>56343</v>
      </c>
      <c r="C6064" s="58" t="str">
        <f>""</f>
        <v/>
      </c>
      <c r="D6064" s="58" t="str">
        <f>"22147845"</f>
        <v>22147845</v>
      </c>
      <c r="E6064" s="46" t="s">
        <v>272</v>
      </c>
      <c r="F6064" s="46" t="s">
        <v>17759</v>
      </c>
      <c r="G6064" s="46" t="s">
        <v>50584</v>
      </c>
      <c r="H6064" s="48" t="s">
        <v>56716</v>
      </c>
      <c r="I6064" s="48" t="s">
        <v>50564</v>
      </c>
      <c r="J6064" s="48" t="s">
        <v>56716</v>
      </c>
      <c r="K6064" s="57"/>
      <c r="L6064" s="48"/>
    </row>
    <row r="6065" spans="1:12" ht="11.25" x14ac:dyDescent="0.2">
      <c r="A6065" s="46" t="s">
        <v>12986</v>
      </c>
      <c r="B6065" s="46" t="s">
        <v>12986</v>
      </c>
      <c r="C6065" s="58" t="str">
        <f>"18745490"</f>
        <v>18745490</v>
      </c>
      <c r="D6065" s="58" t="str">
        <f>"18745504"</f>
        <v>18745504</v>
      </c>
      <c r="E6065" s="46" t="s">
        <v>18876</v>
      </c>
      <c r="F6065" s="46" t="s">
        <v>18001</v>
      </c>
      <c r="G6065" s="46" t="s">
        <v>50584</v>
      </c>
      <c r="H6065" s="48" t="s">
        <v>56716</v>
      </c>
      <c r="I6065" s="48" t="s">
        <v>50564</v>
      </c>
      <c r="J6065" s="48" t="s">
        <v>56716</v>
      </c>
      <c r="K6065" s="50" t="s">
        <v>56716</v>
      </c>
      <c r="L6065" s="48"/>
    </row>
    <row r="6066" spans="1:12" ht="11.25" x14ac:dyDescent="0.2">
      <c r="A6066" s="46" t="s">
        <v>10535</v>
      </c>
      <c r="B6066" s="46" t="s">
        <v>10535</v>
      </c>
      <c r="C6066" s="58" t="str">
        <f>"09470875"</f>
        <v>09470875</v>
      </c>
      <c r="D6066" s="58" t="str">
        <f>""</f>
        <v/>
      </c>
      <c r="E6066" s="46" t="s">
        <v>6159</v>
      </c>
      <c r="F6066" s="46" t="s">
        <v>18158</v>
      </c>
      <c r="G6066" s="46" t="s">
        <v>50593</v>
      </c>
      <c r="H6066" s="48" t="s">
        <v>56716</v>
      </c>
      <c r="I6066" s="48" t="s">
        <v>50564</v>
      </c>
      <c r="J6066" s="48"/>
      <c r="K6066" s="57"/>
      <c r="L6066" s="48"/>
    </row>
    <row r="6067" spans="1:12" ht="11.25" x14ac:dyDescent="0.2">
      <c r="A6067" s="46" t="s">
        <v>6299</v>
      </c>
      <c r="B6067" s="46" t="s">
        <v>54622</v>
      </c>
      <c r="C6067" s="58" t="str">
        <f>"13501925"</f>
        <v>13501925</v>
      </c>
      <c r="D6067" s="58" t="str">
        <f>"13652982"</f>
        <v>13652982</v>
      </c>
      <c r="E6067" s="46" t="s">
        <v>35</v>
      </c>
      <c r="F6067" s="46" t="s">
        <v>50646</v>
      </c>
      <c r="G6067" s="46" t="s">
        <v>50584</v>
      </c>
      <c r="H6067" s="48" t="s">
        <v>56716</v>
      </c>
      <c r="I6067" s="48" t="s">
        <v>50564</v>
      </c>
      <c r="J6067" s="48" t="s">
        <v>56716</v>
      </c>
      <c r="K6067" s="50" t="s">
        <v>56716</v>
      </c>
      <c r="L6067" s="48" t="s">
        <v>56716</v>
      </c>
    </row>
    <row r="6068" spans="1:12" ht="11.25" x14ac:dyDescent="0.2">
      <c r="A6068" s="46" t="s">
        <v>7670</v>
      </c>
      <c r="B6068" s="46" t="s">
        <v>7670</v>
      </c>
      <c r="C6068" s="58" t="str">
        <f>"13646745"</f>
        <v>13646745</v>
      </c>
      <c r="D6068" s="58" t="str">
        <f>"13646753"</f>
        <v>13646753</v>
      </c>
      <c r="E6068" s="46" t="s">
        <v>167</v>
      </c>
      <c r="F6068" s="46" t="s">
        <v>18158</v>
      </c>
      <c r="G6068" s="46" t="s">
        <v>50584</v>
      </c>
      <c r="H6068" s="48" t="s">
        <v>56716</v>
      </c>
      <c r="I6068" s="48" t="s">
        <v>50564</v>
      </c>
      <c r="J6068" s="48" t="s">
        <v>56716</v>
      </c>
      <c r="K6068" s="50" t="s">
        <v>56716</v>
      </c>
      <c r="L6068" s="48" t="s">
        <v>56716</v>
      </c>
    </row>
    <row r="6069" spans="1:12" ht="11.25" x14ac:dyDescent="0.2">
      <c r="A6069" s="46" t="s">
        <v>6023</v>
      </c>
      <c r="B6069" s="46" t="s">
        <v>6023</v>
      </c>
      <c r="C6069" s="58" t="str">
        <f>"10538119"</f>
        <v>10538119</v>
      </c>
      <c r="D6069" s="58" t="str">
        <f>"10959572"</f>
        <v>10959572</v>
      </c>
      <c r="E6069" s="46" t="s">
        <v>60</v>
      </c>
      <c r="F6069" s="46" t="s">
        <v>17759</v>
      </c>
      <c r="G6069" s="46" t="s">
        <v>50584</v>
      </c>
      <c r="H6069" s="48" t="s">
        <v>56716</v>
      </c>
      <c r="I6069" s="48" t="s">
        <v>50564</v>
      </c>
      <c r="J6069" s="48" t="s">
        <v>56716</v>
      </c>
      <c r="K6069" s="50" t="s">
        <v>56716</v>
      </c>
      <c r="L6069" s="48" t="s">
        <v>56716</v>
      </c>
    </row>
    <row r="6070" spans="1:12" ht="11.25" x14ac:dyDescent="0.2">
      <c r="A6070" s="46" t="s">
        <v>16492</v>
      </c>
      <c r="B6070" s="46" t="s">
        <v>54623</v>
      </c>
      <c r="C6070" s="58" t="str">
        <f>""</f>
        <v/>
      </c>
      <c r="D6070" s="58" t="str">
        <f>"22131582"</f>
        <v>22131582</v>
      </c>
      <c r="E6070" s="46" t="s">
        <v>272</v>
      </c>
      <c r="F6070" s="46" t="s">
        <v>17759</v>
      </c>
      <c r="G6070" s="46" t="s">
        <v>50584</v>
      </c>
      <c r="H6070" s="48" t="s">
        <v>56716</v>
      </c>
      <c r="I6070" s="48" t="s">
        <v>50564</v>
      </c>
      <c r="J6070" s="48" t="s">
        <v>56716</v>
      </c>
      <c r="K6070" s="50" t="s">
        <v>56716</v>
      </c>
      <c r="L6070" s="48" t="s">
        <v>56716</v>
      </c>
    </row>
    <row r="6071" spans="1:12" ht="11.25" x14ac:dyDescent="0.2">
      <c r="A6071" s="46" t="s">
        <v>5781</v>
      </c>
      <c r="B6071" s="46" t="s">
        <v>54624</v>
      </c>
      <c r="C6071" s="58" t="str">
        <f>"10525149"</f>
        <v>10525149</v>
      </c>
      <c r="D6071" s="58" t="str">
        <f>"15579867"</f>
        <v>15579867</v>
      </c>
      <c r="E6071" s="46" t="s">
        <v>303</v>
      </c>
      <c r="F6071" s="46" t="s">
        <v>17759</v>
      </c>
      <c r="G6071" s="46" t="s">
        <v>50584</v>
      </c>
      <c r="H6071" s="48" t="s">
        <v>56716</v>
      </c>
      <c r="I6071" s="48" t="s">
        <v>50564</v>
      </c>
      <c r="J6071" s="48" t="s">
        <v>56716</v>
      </c>
      <c r="K6071" s="50" t="s">
        <v>56716</v>
      </c>
      <c r="L6071" s="48" t="s">
        <v>56716</v>
      </c>
    </row>
    <row r="6072" spans="1:12" ht="11.25" x14ac:dyDescent="0.2">
      <c r="A6072" s="46" t="s">
        <v>6180</v>
      </c>
      <c r="B6072" s="46" t="s">
        <v>54625</v>
      </c>
      <c r="C6072" s="58" t="str">
        <f>"10217401"</f>
        <v>10217401</v>
      </c>
      <c r="D6072" s="58" t="str">
        <f>"14230216"</f>
        <v>14230216</v>
      </c>
      <c r="E6072" s="46" t="s">
        <v>109</v>
      </c>
      <c r="F6072" s="46" t="s">
        <v>18123</v>
      </c>
      <c r="G6072" s="46" t="s">
        <v>50584</v>
      </c>
      <c r="H6072" s="48" t="s">
        <v>56716</v>
      </c>
      <c r="I6072" s="48" t="s">
        <v>50564</v>
      </c>
      <c r="J6072" s="48" t="s">
        <v>56716</v>
      </c>
      <c r="K6072" s="50" t="s">
        <v>56716</v>
      </c>
      <c r="L6072" s="48" t="s">
        <v>56716</v>
      </c>
    </row>
    <row r="6073" spans="1:12" ht="11.25" x14ac:dyDescent="0.2">
      <c r="A6073" s="45" t="s">
        <v>42031</v>
      </c>
      <c r="B6073" s="45" t="s">
        <v>42031</v>
      </c>
      <c r="C6073" s="51" t="s">
        <v>42034</v>
      </c>
      <c r="D6073" s="51" t="s">
        <v>42033</v>
      </c>
      <c r="E6073" s="45" t="s">
        <v>42035</v>
      </c>
      <c r="F6073" s="45" t="s">
        <v>17759</v>
      </c>
      <c r="G6073" s="45" t="s">
        <v>50584</v>
      </c>
      <c r="H6073" s="56"/>
      <c r="I6073" s="56" t="s">
        <v>50564</v>
      </c>
      <c r="J6073" s="56"/>
      <c r="K6073" s="57"/>
      <c r="L6073" s="56" t="s">
        <v>56716</v>
      </c>
    </row>
    <row r="6074" spans="1:12" ht="11.25" x14ac:dyDescent="0.2">
      <c r="A6074" s="46" t="s">
        <v>4966</v>
      </c>
      <c r="B6074" s="46" t="s">
        <v>4966</v>
      </c>
      <c r="C6074" s="58" t="str">
        <f>"02134853"</f>
        <v>02134853</v>
      </c>
      <c r="D6074" s="58" t="str">
        <f>"15781968"</f>
        <v>15781968</v>
      </c>
      <c r="E6074" s="46" t="s">
        <v>4969</v>
      </c>
      <c r="F6074" s="46" t="s">
        <v>18439</v>
      </c>
      <c r="G6074" s="46" t="s">
        <v>50632</v>
      </c>
      <c r="H6074" s="48" t="s">
        <v>56716</v>
      </c>
      <c r="I6074" s="48" t="s">
        <v>50564</v>
      </c>
      <c r="J6074" s="48"/>
      <c r="K6074" s="50" t="s">
        <v>56716</v>
      </c>
      <c r="L6074" s="48" t="s">
        <v>56716</v>
      </c>
    </row>
    <row r="6075" spans="1:12" ht="11.25" x14ac:dyDescent="0.2">
      <c r="A6075" s="46" t="s">
        <v>14720</v>
      </c>
      <c r="B6075" s="46" t="s">
        <v>54626</v>
      </c>
      <c r="C6075" s="58" t="str">
        <f>"18530028"</f>
        <v>18530028</v>
      </c>
      <c r="D6075" s="58" t="str">
        <f>""</f>
        <v/>
      </c>
      <c r="E6075" s="46" t="s">
        <v>1683</v>
      </c>
      <c r="F6075" s="46" t="s">
        <v>18439</v>
      </c>
      <c r="G6075" s="46" t="s">
        <v>50632</v>
      </c>
      <c r="H6075" s="48" t="s">
        <v>56716</v>
      </c>
      <c r="I6075" s="48" t="s">
        <v>50564</v>
      </c>
      <c r="J6075" s="48"/>
      <c r="K6075" s="50" t="s">
        <v>56716</v>
      </c>
      <c r="L6075" s="48"/>
    </row>
    <row r="6076" spans="1:12" ht="11.25" x14ac:dyDescent="0.2">
      <c r="A6076" s="46" t="s">
        <v>5715</v>
      </c>
      <c r="B6076" s="46" t="s">
        <v>54627</v>
      </c>
      <c r="C6076" s="58" t="str">
        <f>"03538842"</f>
        <v>03538842</v>
      </c>
      <c r="D6076" s="58" t="str">
        <f>""</f>
        <v/>
      </c>
      <c r="E6076" s="46" t="s">
        <v>5717</v>
      </c>
      <c r="F6076" s="46" t="s">
        <v>18079</v>
      </c>
      <c r="G6076" s="46" t="s">
        <v>50584</v>
      </c>
      <c r="H6076" s="48" t="s">
        <v>56716</v>
      </c>
      <c r="I6076" s="48" t="s">
        <v>50564</v>
      </c>
      <c r="J6076" s="48"/>
      <c r="K6076" s="57"/>
      <c r="L6076" s="48"/>
    </row>
    <row r="6077" spans="1:12" ht="11.25" x14ac:dyDescent="0.2">
      <c r="A6077" s="46" t="s">
        <v>3131</v>
      </c>
      <c r="B6077" s="46" t="s">
        <v>54628</v>
      </c>
      <c r="C6077" s="58" t="str">
        <f>"00283843"</f>
        <v>00283843</v>
      </c>
      <c r="D6077" s="58" t="str">
        <f>"18974260"</f>
        <v>18974260</v>
      </c>
      <c r="E6077" s="46" t="s">
        <v>91</v>
      </c>
      <c r="F6077" s="46" t="s">
        <v>17967</v>
      </c>
      <c r="G6077" s="46" t="s">
        <v>50612</v>
      </c>
      <c r="H6077" s="48" t="s">
        <v>56716</v>
      </c>
      <c r="I6077" s="48" t="s">
        <v>50564</v>
      </c>
      <c r="J6077" s="48"/>
      <c r="K6077" s="50" t="s">
        <v>56716</v>
      </c>
      <c r="L6077" s="48" t="s">
        <v>56716</v>
      </c>
    </row>
    <row r="6078" spans="1:12" ht="11.25" x14ac:dyDescent="0.2">
      <c r="A6078" s="46" t="s">
        <v>3117</v>
      </c>
      <c r="B6078" s="46" t="s">
        <v>54629</v>
      </c>
      <c r="C6078" s="58" t="str">
        <f>"04708105"</f>
        <v>04708105</v>
      </c>
      <c r="D6078" s="58" t="str">
        <f>"13498029"</f>
        <v>13498029</v>
      </c>
      <c r="E6078" s="46" t="s">
        <v>3120</v>
      </c>
      <c r="F6078" s="46" t="s">
        <v>18242</v>
      </c>
      <c r="G6078" s="46" t="s">
        <v>50605</v>
      </c>
      <c r="H6078" s="48" t="s">
        <v>56716</v>
      </c>
      <c r="I6078" s="48" t="s">
        <v>50564</v>
      </c>
      <c r="J6078" s="48"/>
      <c r="K6078" s="57"/>
      <c r="L6078" s="48" t="s">
        <v>56716</v>
      </c>
    </row>
    <row r="6079" spans="1:12" ht="11.25" x14ac:dyDescent="0.2">
      <c r="A6079" s="46" t="s">
        <v>11458</v>
      </c>
      <c r="B6079" s="46" t="s">
        <v>54630</v>
      </c>
      <c r="C6079" s="58" t="str">
        <f>"16955374"</f>
        <v>16955374</v>
      </c>
      <c r="D6079" s="58" t="str">
        <f>""</f>
        <v/>
      </c>
      <c r="E6079" s="46" t="s">
        <v>11460</v>
      </c>
      <c r="F6079" s="46" t="s">
        <v>18439</v>
      </c>
      <c r="G6079" s="46" t="s">
        <v>50632</v>
      </c>
      <c r="H6079" s="48" t="s">
        <v>56716</v>
      </c>
      <c r="I6079" s="48" t="s">
        <v>50564</v>
      </c>
      <c r="J6079" s="48"/>
      <c r="K6079" s="57"/>
      <c r="L6079" s="48"/>
    </row>
    <row r="6080" spans="1:12" ht="11.25" x14ac:dyDescent="0.2">
      <c r="A6080" s="46" t="s">
        <v>12486</v>
      </c>
      <c r="B6080" s="46" t="s">
        <v>54631</v>
      </c>
      <c r="C6080" s="58" t="str">
        <f>"00283851"</f>
        <v>00283851</v>
      </c>
      <c r="D6080" s="58" t="str">
        <f>""</f>
        <v/>
      </c>
      <c r="E6080" s="46" t="s">
        <v>12488</v>
      </c>
      <c r="F6080" s="46" t="s">
        <v>18411</v>
      </c>
      <c r="G6080" s="46" t="s">
        <v>50632</v>
      </c>
      <c r="H6080" s="48" t="s">
        <v>56716</v>
      </c>
      <c r="I6080" s="48" t="s">
        <v>50564</v>
      </c>
      <c r="J6080" s="48"/>
      <c r="K6080" s="57"/>
      <c r="L6080" s="48"/>
    </row>
    <row r="6081" spans="1:12" ht="11.25" x14ac:dyDescent="0.2">
      <c r="A6081" s="46" t="s">
        <v>3060</v>
      </c>
      <c r="B6081" s="46" t="s">
        <v>54632</v>
      </c>
      <c r="C6081" s="58" t="str">
        <f>"07338619"</f>
        <v>07338619</v>
      </c>
      <c r="D6081" s="58" t="str">
        <f>"15579875"</f>
        <v>15579875</v>
      </c>
      <c r="E6081" s="46" t="s">
        <v>303</v>
      </c>
      <c r="F6081" s="46" t="s">
        <v>17759</v>
      </c>
      <c r="G6081" s="46" t="s">
        <v>50584</v>
      </c>
      <c r="H6081" s="48" t="s">
        <v>56716</v>
      </c>
      <c r="I6081" s="48" t="s">
        <v>50564</v>
      </c>
      <c r="J6081" s="48" t="s">
        <v>56716</v>
      </c>
      <c r="K6081" s="50" t="s">
        <v>56716</v>
      </c>
      <c r="L6081" s="48" t="s">
        <v>56716</v>
      </c>
    </row>
    <row r="6082" spans="1:12" ht="11.25" x14ac:dyDescent="0.2">
      <c r="A6082" s="46" t="s">
        <v>3156</v>
      </c>
      <c r="B6082" s="46" t="s">
        <v>54633</v>
      </c>
      <c r="C6082" s="58" t="str">
        <f>"01616412"</f>
        <v>01616412</v>
      </c>
      <c r="D6082" s="58" t="str">
        <f>"17431328"</f>
        <v>17431328</v>
      </c>
      <c r="E6082" s="46" t="s">
        <v>856</v>
      </c>
      <c r="F6082" s="46" t="s">
        <v>50646</v>
      </c>
      <c r="G6082" s="46" t="s">
        <v>50584</v>
      </c>
      <c r="H6082" s="48" t="s">
        <v>56716</v>
      </c>
      <c r="I6082" s="48" t="s">
        <v>50564</v>
      </c>
      <c r="J6082" s="48"/>
      <c r="K6082" s="57"/>
      <c r="L6082" s="48" t="s">
        <v>56716</v>
      </c>
    </row>
    <row r="6083" spans="1:12" ht="11.25" x14ac:dyDescent="0.2">
      <c r="A6083" s="46" t="s">
        <v>8586</v>
      </c>
      <c r="B6083" s="46" t="s">
        <v>54634</v>
      </c>
      <c r="C6083" s="58" t="str">
        <f>"15901874"</f>
        <v>15901874</v>
      </c>
      <c r="D6083" s="58" t="str">
        <f>"15903478"</f>
        <v>15903478</v>
      </c>
      <c r="E6083" s="46" t="s">
        <v>55895</v>
      </c>
      <c r="F6083" s="46" t="s">
        <v>17991</v>
      </c>
      <c r="G6083" s="46" t="s">
        <v>50584</v>
      </c>
      <c r="H6083" s="48" t="s">
        <v>56716</v>
      </c>
      <c r="I6083" s="48" t="s">
        <v>50564</v>
      </c>
      <c r="J6083" s="48"/>
      <c r="K6083" s="50" t="s">
        <v>56716</v>
      </c>
      <c r="L6083" s="48" t="s">
        <v>56716</v>
      </c>
    </row>
    <row r="6084" spans="1:12" ht="11.25" x14ac:dyDescent="0.2">
      <c r="A6084" s="46" t="s">
        <v>3135</v>
      </c>
      <c r="B6084" s="46" t="s">
        <v>54635</v>
      </c>
      <c r="C6084" s="58" t="str">
        <f>"03012603"</f>
        <v>03012603</v>
      </c>
      <c r="D6084" s="58" t="str">
        <f>"18821251"</f>
        <v>18821251</v>
      </c>
      <c r="E6084" s="46" t="s">
        <v>2802</v>
      </c>
      <c r="F6084" s="46" t="s">
        <v>18242</v>
      </c>
      <c r="G6084" s="46" t="s">
        <v>50604</v>
      </c>
      <c r="H6084" s="48" t="s">
        <v>56716</v>
      </c>
      <c r="I6084" s="48" t="s">
        <v>50564</v>
      </c>
      <c r="J6084" s="48"/>
      <c r="K6084" s="57"/>
      <c r="L6084" s="48" t="s">
        <v>56716</v>
      </c>
    </row>
    <row r="6085" spans="1:12" ht="11.25" x14ac:dyDescent="0.2">
      <c r="A6085" s="46" t="s">
        <v>7163</v>
      </c>
      <c r="B6085" s="46" t="s">
        <v>54636</v>
      </c>
      <c r="C6085" s="58" t="str">
        <f>"09472177"</f>
        <v>09472177</v>
      </c>
      <c r="D6085" s="58" t="str">
        <f>""</f>
        <v/>
      </c>
      <c r="E6085" s="46" t="s">
        <v>7165</v>
      </c>
      <c r="F6085" s="46" t="s">
        <v>18158</v>
      </c>
      <c r="G6085" s="46" t="s">
        <v>50593</v>
      </c>
      <c r="H6085" s="48" t="s">
        <v>56716</v>
      </c>
      <c r="I6085" s="48" t="s">
        <v>50564</v>
      </c>
      <c r="J6085" s="48"/>
      <c r="K6085" s="57"/>
      <c r="L6085" s="48"/>
    </row>
    <row r="6086" spans="1:12" ht="11.25" x14ac:dyDescent="0.2">
      <c r="A6086" s="46" t="s">
        <v>7183</v>
      </c>
      <c r="B6086" s="46" t="s">
        <v>7183</v>
      </c>
      <c r="C6086" s="58" t="str">
        <f>"10747931"</f>
        <v>10747931</v>
      </c>
      <c r="D6086" s="58" t="str">
        <f>""</f>
        <v/>
      </c>
      <c r="E6086" s="46" t="s">
        <v>28</v>
      </c>
      <c r="F6086" s="46" t="s">
        <v>17759</v>
      </c>
      <c r="G6086" s="46" t="s">
        <v>50584</v>
      </c>
      <c r="H6086" s="48" t="s">
        <v>56716</v>
      </c>
      <c r="I6086" s="48" t="s">
        <v>50564</v>
      </c>
      <c r="J6086" s="48" t="s">
        <v>56716</v>
      </c>
      <c r="K6086" s="57"/>
      <c r="L6086" s="48" t="s">
        <v>56716</v>
      </c>
    </row>
    <row r="6087" spans="1:12" ht="11.25" x14ac:dyDescent="0.2">
      <c r="A6087" s="46" t="s">
        <v>3100</v>
      </c>
      <c r="B6087" s="46" t="s">
        <v>3100</v>
      </c>
      <c r="C6087" s="58" t="str">
        <f>"00283878"</f>
        <v>00283878</v>
      </c>
      <c r="D6087" s="58" t="str">
        <f>"1526632X"</f>
        <v>1526632X</v>
      </c>
      <c r="E6087" s="46" t="s">
        <v>28</v>
      </c>
      <c r="F6087" s="46" t="s">
        <v>17759</v>
      </c>
      <c r="G6087" s="46" t="s">
        <v>50584</v>
      </c>
      <c r="H6087" s="48" t="s">
        <v>56716</v>
      </c>
      <c r="I6087" s="48" t="s">
        <v>50564</v>
      </c>
      <c r="J6087" s="48" t="s">
        <v>56716</v>
      </c>
      <c r="K6087" s="57"/>
      <c r="L6087" s="48" t="s">
        <v>56716</v>
      </c>
    </row>
    <row r="6088" spans="1:12" ht="11.25" x14ac:dyDescent="0.2">
      <c r="A6088" s="46" t="s">
        <v>17282</v>
      </c>
      <c r="B6088" s="46" t="s">
        <v>54637</v>
      </c>
      <c r="C6088" s="58" t="str">
        <f>""</f>
        <v/>
      </c>
      <c r="D6088" s="58" t="str">
        <f>"20494173"</f>
        <v>20494173</v>
      </c>
      <c r="E6088" s="46" t="s">
        <v>35</v>
      </c>
      <c r="F6088" s="46" t="s">
        <v>50646</v>
      </c>
      <c r="G6088" s="46" t="s">
        <v>50584</v>
      </c>
      <c r="H6088" s="48" t="s">
        <v>56716</v>
      </c>
      <c r="I6088" s="48" t="s">
        <v>50564</v>
      </c>
      <c r="J6088" s="48" t="s">
        <v>56716</v>
      </c>
      <c r="K6088" s="50" t="s">
        <v>56716</v>
      </c>
      <c r="L6088" s="48"/>
    </row>
    <row r="6089" spans="1:12" ht="11.25" x14ac:dyDescent="0.2">
      <c r="A6089" s="46" t="s">
        <v>17557</v>
      </c>
      <c r="B6089" s="46" t="s">
        <v>54638</v>
      </c>
      <c r="C6089" s="58" t="str">
        <f>"21938253"</f>
        <v>21938253</v>
      </c>
      <c r="D6089" s="58" t="str">
        <f>"21936536"</f>
        <v>21936536</v>
      </c>
      <c r="E6089" s="46" t="s">
        <v>17556</v>
      </c>
      <c r="F6089" s="46" t="s">
        <v>17759</v>
      </c>
      <c r="G6089" s="46" t="s">
        <v>50584</v>
      </c>
      <c r="H6089" s="48" t="s">
        <v>56716</v>
      </c>
      <c r="I6089" s="48" t="s">
        <v>50564</v>
      </c>
      <c r="J6089" s="48" t="s">
        <v>56716</v>
      </c>
      <c r="K6089" s="57"/>
      <c r="L6089" s="48"/>
    </row>
    <row r="6090" spans="1:12" ht="11.25" x14ac:dyDescent="0.2">
      <c r="A6090" s="46" t="s">
        <v>12507</v>
      </c>
      <c r="B6090" s="46" t="s">
        <v>54639</v>
      </c>
      <c r="C6090" s="58" t="str">
        <f>"18236138"</f>
        <v>18236138</v>
      </c>
      <c r="D6090" s="58" t="str">
        <f>""</f>
        <v/>
      </c>
      <c r="E6090" s="46" t="s">
        <v>12509</v>
      </c>
      <c r="F6090" s="46" t="s">
        <v>39931</v>
      </c>
      <c r="G6090" s="46" t="s">
        <v>50584</v>
      </c>
      <c r="H6090" s="48" t="s">
        <v>56716</v>
      </c>
      <c r="I6090" s="48" t="s">
        <v>50564</v>
      </c>
      <c r="J6090" s="48"/>
      <c r="K6090" s="57"/>
      <c r="L6090" s="48"/>
    </row>
    <row r="6091" spans="1:12" ht="11.25" x14ac:dyDescent="0.2">
      <c r="A6091" s="46" t="s">
        <v>3214</v>
      </c>
      <c r="B6091" s="46" t="s">
        <v>54640</v>
      </c>
      <c r="C6091" s="58" t="str">
        <f>"00283886"</f>
        <v>00283886</v>
      </c>
      <c r="D6091" s="58" t="str">
        <f>"19984022"</f>
        <v>19984022</v>
      </c>
      <c r="E6091" s="46" t="s">
        <v>19057</v>
      </c>
      <c r="F6091" s="46" t="s">
        <v>20446</v>
      </c>
      <c r="G6091" s="46" t="s">
        <v>50584</v>
      </c>
      <c r="H6091" s="48" t="s">
        <v>56716</v>
      </c>
      <c r="I6091" s="48" t="s">
        <v>50564</v>
      </c>
      <c r="J6091" s="48"/>
      <c r="K6091" s="57"/>
      <c r="L6091" s="48" t="s">
        <v>56716</v>
      </c>
    </row>
    <row r="6092" spans="1:12" ht="11.25" x14ac:dyDescent="0.2">
      <c r="A6092" s="46" t="s">
        <v>14283</v>
      </c>
      <c r="B6092" s="46" t="s">
        <v>54641</v>
      </c>
      <c r="C6092" s="58" t="str">
        <f>"20358385"</f>
        <v>20358385</v>
      </c>
      <c r="D6092" s="58" t="str">
        <f>"20358377"</f>
        <v>20358377</v>
      </c>
      <c r="E6092" s="46" t="s">
        <v>1949</v>
      </c>
      <c r="F6092" s="46" t="s">
        <v>17991</v>
      </c>
      <c r="G6092" s="46" t="s">
        <v>50584</v>
      </c>
      <c r="H6092" s="48" t="s">
        <v>56716</v>
      </c>
      <c r="I6092" s="48" t="s">
        <v>50564</v>
      </c>
      <c r="J6092" s="48"/>
      <c r="K6092" s="57"/>
      <c r="L6092" s="48"/>
    </row>
    <row r="6093" spans="1:12" ht="11.25" x14ac:dyDescent="0.2">
      <c r="A6093" s="46" t="s">
        <v>6157</v>
      </c>
      <c r="B6093" s="46" t="s">
        <v>54642</v>
      </c>
      <c r="C6093" s="58" t="str">
        <f>"09419500"</f>
        <v>09419500</v>
      </c>
      <c r="D6093" s="58" t="str">
        <f>"22128581"</f>
        <v>22128581</v>
      </c>
      <c r="E6093" s="46" t="s">
        <v>91</v>
      </c>
      <c r="F6093" s="46" t="s">
        <v>18001</v>
      </c>
      <c r="G6093" s="46" t="s">
        <v>50584</v>
      </c>
      <c r="H6093" s="48" t="s">
        <v>56716</v>
      </c>
      <c r="I6093" s="48" t="s">
        <v>50564</v>
      </c>
      <c r="J6093" s="48" t="s">
        <v>56716</v>
      </c>
      <c r="K6093" s="50" t="s">
        <v>56716</v>
      </c>
      <c r="L6093" s="48"/>
    </row>
    <row r="6094" spans="1:12" ht="11.25" x14ac:dyDescent="0.2">
      <c r="A6094" s="46" t="s">
        <v>16310</v>
      </c>
      <c r="B6094" s="46" t="s">
        <v>54643</v>
      </c>
      <c r="C6094" s="58" t="str">
        <f>"20901852"</f>
        <v>20901852</v>
      </c>
      <c r="D6094" s="58" t="str">
        <f>"20901860"</f>
        <v>20901860</v>
      </c>
      <c r="E6094" s="46" t="s">
        <v>1412</v>
      </c>
      <c r="F6094" s="46" t="s">
        <v>17759</v>
      </c>
      <c r="G6094" s="46" t="s">
        <v>50584</v>
      </c>
      <c r="H6094" s="48" t="s">
        <v>56716</v>
      </c>
      <c r="I6094" s="48" t="s">
        <v>50564</v>
      </c>
      <c r="J6094" s="48" t="s">
        <v>56716</v>
      </c>
      <c r="K6094" s="57"/>
      <c r="L6094" s="48"/>
    </row>
    <row r="6095" spans="1:12" ht="11.25" x14ac:dyDescent="0.2">
      <c r="A6095" s="46" t="s">
        <v>11595</v>
      </c>
      <c r="B6095" s="46" t="s">
        <v>54644</v>
      </c>
      <c r="C6095" s="58" t="str">
        <f>"15268748"</f>
        <v>15268748</v>
      </c>
      <c r="D6095" s="58" t="str">
        <f>"19331266"</f>
        <v>19331266</v>
      </c>
      <c r="E6095" s="46" t="s">
        <v>11598</v>
      </c>
      <c r="F6095" s="46" t="s">
        <v>17759</v>
      </c>
      <c r="G6095" s="46" t="s">
        <v>50584</v>
      </c>
      <c r="H6095" s="48" t="s">
        <v>56716</v>
      </c>
      <c r="I6095" s="48" t="s">
        <v>50564</v>
      </c>
      <c r="J6095" s="48"/>
      <c r="K6095" s="57"/>
      <c r="L6095" s="48"/>
    </row>
    <row r="6096" spans="1:12" ht="11.25" x14ac:dyDescent="0.2">
      <c r="A6096" s="46" t="s">
        <v>16423</v>
      </c>
      <c r="B6096" s="46" t="s">
        <v>54645</v>
      </c>
      <c r="C6096" s="58" t="str">
        <f>"21630402"</f>
        <v>21630402</v>
      </c>
      <c r="D6096" s="58" t="str">
        <f>"21630933"</f>
        <v>21630933</v>
      </c>
      <c r="E6096" s="46" t="s">
        <v>28</v>
      </c>
      <c r="F6096" s="46" t="s">
        <v>17759</v>
      </c>
      <c r="G6096" s="46" t="s">
        <v>50584</v>
      </c>
      <c r="H6096" s="48" t="s">
        <v>56716</v>
      </c>
      <c r="I6096" s="48" t="s">
        <v>50564</v>
      </c>
      <c r="J6096" s="48" t="s">
        <v>56716</v>
      </c>
      <c r="K6096" s="57"/>
      <c r="L6096" s="48"/>
    </row>
    <row r="6097" spans="1:12" ht="11.25" x14ac:dyDescent="0.2">
      <c r="A6097" s="46" t="s">
        <v>56344</v>
      </c>
      <c r="B6097" s="46" t="s">
        <v>56345</v>
      </c>
      <c r="C6097" s="58" t="str">
        <f>""</f>
        <v/>
      </c>
      <c r="D6097" s="58" t="str">
        <f>"23327812"</f>
        <v>23327812</v>
      </c>
      <c r="E6097" s="46" t="s">
        <v>28</v>
      </c>
      <c r="F6097" s="46" t="s">
        <v>17759</v>
      </c>
      <c r="G6097" s="46" t="s">
        <v>50584</v>
      </c>
      <c r="H6097" s="48" t="s">
        <v>56716</v>
      </c>
      <c r="I6097" s="48" t="s">
        <v>50564</v>
      </c>
      <c r="J6097" s="48" t="s">
        <v>56716</v>
      </c>
      <c r="K6097" s="57"/>
      <c r="L6097" s="48"/>
    </row>
    <row r="6098" spans="1:12" ht="11.25" x14ac:dyDescent="0.2">
      <c r="A6098" s="46" t="s">
        <v>13155</v>
      </c>
      <c r="B6098" s="46" t="s">
        <v>13155</v>
      </c>
      <c r="C6098" s="58" t="str">
        <f>"08932336"</f>
        <v>08932336</v>
      </c>
      <c r="D6098" s="58" t="str">
        <f>"19406045"</f>
        <v>19406045</v>
      </c>
      <c r="E6098" s="46" t="s">
        <v>40314</v>
      </c>
      <c r="F6098" s="46" t="s">
        <v>17759</v>
      </c>
      <c r="G6098" s="46" t="s">
        <v>50584</v>
      </c>
      <c r="H6098" s="48" t="s">
        <v>56716</v>
      </c>
      <c r="I6098" s="48" t="s">
        <v>50565</v>
      </c>
      <c r="J6098" s="48" t="s">
        <v>56716</v>
      </c>
      <c r="K6098" s="57"/>
      <c r="L6098" s="48"/>
    </row>
    <row r="6099" spans="1:12" ht="11.25" x14ac:dyDescent="0.2">
      <c r="A6099" s="46" t="s">
        <v>7905</v>
      </c>
      <c r="B6099" s="46" t="s">
        <v>7905</v>
      </c>
      <c r="C6099" s="58" t="str">
        <f>"10947159"</f>
        <v>10947159</v>
      </c>
      <c r="D6099" s="58" t="str">
        <f>"15251403"</f>
        <v>15251403</v>
      </c>
      <c r="E6099" s="46" t="s">
        <v>548</v>
      </c>
      <c r="F6099" s="46" t="s">
        <v>17759</v>
      </c>
      <c r="G6099" s="46" t="s">
        <v>50584</v>
      </c>
      <c r="H6099" s="48" t="s">
        <v>56716</v>
      </c>
      <c r="I6099" s="48" t="s">
        <v>50564</v>
      </c>
      <c r="J6099" s="48"/>
      <c r="K6099" s="50" t="s">
        <v>56716</v>
      </c>
      <c r="L6099" s="48" t="s">
        <v>56716</v>
      </c>
    </row>
    <row r="6100" spans="1:12" ht="11.25" x14ac:dyDescent="0.2">
      <c r="A6100" s="46" t="s">
        <v>9294</v>
      </c>
      <c r="B6100" s="46" t="s">
        <v>54646</v>
      </c>
      <c r="C6100" s="58" t="str">
        <f>"15351084"</f>
        <v>15351084</v>
      </c>
      <c r="D6100" s="58" t="str">
        <f>"15591174"</f>
        <v>15591174</v>
      </c>
      <c r="E6100" s="46" t="s">
        <v>40314</v>
      </c>
      <c r="F6100" s="46" t="s">
        <v>17759</v>
      </c>
      <c r="G6100" s="46" t="s">
        <v>50584</v>
      </c>
      <c r="H6100" s="48" t="s">
        <v>56716</v>
      </c>
      <c r="I6100" s="48" t="s">
        <v>50564</v>
      </c>
      <c r="J6100" s="48" t="s">
        <v>56716</v>
      </c>
      <c r="K6100" s="50" t="s">
        <v>56716</v>
      </c>
      <c r="L6100" s="48" t="s">
        <v>56716</v>
      </c>
    </row>
    <row r="6101" spans="1:12" ht="11.25" x14ac:dyDescent="0.2">
      <c r="A6101" s="46" t="s">
        <v>5498</v>
      </c>
      <c r="B6101" s="46" t="s">
        <v>54647</v>
      </c>
      <c r="C6101" s="58" t="str">
        <f>"09608966"</f>
        <v>09608966</v>
      </c>
      <c r="D6101" s="58" t="str">
        <f>"18732364"</f>
        <v>18732364</v>
      </c>
      <c r="E6101" s="46" t="s">
        <v>155</v>
      </c>
      <c r="F6101" s="46" t="s">
        <v>50646</v>
      </c>
      <c r="G6101" s="46" t="s">
        <v>50584</v>
      </c>
      <c r="H6101" s="48" t="s">
        <v>56716</v>
      </c>
      <c r="I6101" s="48" t="s">
        <v>50564</v>
      </c>
      <c r="J6101" s="48" t="s">
        <v>56716</v>
      </c>
      <c r="K6101" s="50" t="s">
        <v>56716</v>
      </c>
      <c r="L6101" s="48" t="s">
        <v>56716</v>
      </c>
    </row>
    <row r="6102" spans="1:12" ht="11.25" x14ac:dyDescent="0.2">
      <c r="A6102" s="46" t="s">
        <v>5082</v>
      </c>
      <c r="B6102" s="46" t="s">
        <v>5082</v>
      </c>
      <c r="C6102" s="58" t="str">
        <f>"08966273"</f>
        <v>08966273</v>
      </c>
      <c r="D6102" s="58" t="str">
        <f>"10974199"</f>
        <v>10974199</v>
      </c>
      <c r="E6102" s="46" t="s">
        <v>324</v>
      </c>
      <c r="F6102" s="46" t="s">
        <v>17759</v>
      </c>
      <c r="G6102" s="46" t="s">
        <v>50584</v>
      </c>
      <c r="H6102" s="48" t="s">
        <v>56716</v>
      </c>
      <c r="I6102" s="48" t="s">
        <v>50564</v>
      </c>
      <c r="J6102" s="48" t="s">
        <v>56716</v>
      </c>
      <c r="K6102" s="50" t="s">
        <v>56716</v>
      </c>
      <c r="L6102" s="48" t="s">
        <v>56716</v>
      </c>
    </row>
    <row r="6103" spans="1:12" ht="11.25" x14ac:dyDescent="0.2">
      <c r="A6103" s="46" t="s">
        <v>10418</v>
      </c>
      <c r="B6103" s="46" t="s">
        <v>54648</v>
      </c>
      <c r="C6103" s="58" t="str">
        <f>"1740925X"</f>
        <v>1740925X</v>
      </c>
      <c r="D6103" s="58" t="str">
        <f>"17410533"</f>
        <v>17410533</v>
      </c>
      <c r="E6103" s="46" t="s">
        <v>724</v>
      </c>
      <c r="F6103" s="46" t="s">
        <v>50646</v>
      </c>
      <c r="G6103" s="46" t="s">
        <v>50584</v>
      </c>
      <c r="H6103" s="48" t="s">
        <v>56716</v>
      </c>
      <c r="I6103" s="48" t="s">
        <v>50564</v>
      </c>
      <c r="J6103" s="48" t="s">
        <v>56716</v>
      </c>
      <c r="K6103" s="57"/>
      <c r="L6103" s="48" t="s">
        <v>56716</v>
      </c>
    </row>
    <row r="6104" spans="1:12" ht="11.25" x14ac:dyDescent="0.2">
      <c r="A6104" s="46" t="s">
        <v>9077</v>
      </c>
      <c r="B6104" s="46" t="s">
        <v>9077</v>
      </c>
      <c r="C6104" s="58" t="str">
        <f>"15228517"</f>
        <v>15228517</v>
      </c>
      <c r="D6104" s="58" t="str">
        <f>"15235866"</f>
        <v>15235866</v>
      </c>
      <c r="E6104" s="46" t="s">
        <v>55</v>
      </c>
      <c r="F6104" s="46" t="s">
        <v>50646</v>
      </c>
      <c r="G6104" s="46" t="s">
        <v>50584</v>
      </c>
      <c r="H6104" s="48" t="s">
        <v>56716</v>
      </c>
      <c r="I6104" s="48" t="s">
        <v>50564</v>
      </c>
      <c r="J6104" s="48"/>
      <c r="K6104" s="57"/>
      <c r="L6104" s="48" t="s">
        <v>56716</v>
      </c>
    </row>
    <row r="6105" spans="1:12" ht="11.25" x14ac:dyDescent="0.2">
      <c r="A6105" s="46" t="s">
        <v>56346</v>
      </c>
      <c r="B6105" s="46" t="s">
        <v>56347</v>
      </c>
      <c r="C6105" s="58" t="str">
        <f>"20542577"</f>
        <v>20542577</v>
      </c>
      <c r="D6105" s="58" t="str">
        <f>"20542585"</f>
        <v>20542585</v>
      </c>
      <c r="E6105" s="46" t="s">
        <v>55</v>
      </c>
      <c r="F6105" s="46" t="s">
        <v>17759</v>
      </c>
      <c r="G6105" s="46" t="s">
        <v>50584</v>
      </c>
      <c r="H6105" s="48" t="s">
        <v>56716</v>
      </c>
      <c r="I6105" s="48" t="s">
        <v>50564</v>
      </c>
      <c r="J6105" s="48" t="s">
        <v>56716</v>
      </c>
      <c r="K6105" s="57"/>
      <c r="L6105" s="48"/>
    </row>
    <row r="6106" spans="1:12" ht="11.25" x14ac:dyDescent="0.2">
      <c r="A6106" s="46" t="s">
        <v>3167</v>
      </c>
      <c r="B6106" s="46" t="s">
        <v>3167</v>
      </c>
      <c r="C6106" s="58" t="str">
        <f>"01658107"</f>
        <v>01658107</v>
      </c>
      <c r="D6106" s="58" t="str">
        <f>"1744506X"</f>
        <v>1744506X</v>
      </c>
      <c r="E6106" s="46" t="s">
        <v>291</v>
      </c>
      <c r="F6106" s="46" t="s">
        <v>50646</v>
      </c>
      <c r="G6106" s="46" t="s">
        <v>50584</v>
      </c>
      <c r="H6106" s="48" t="s">
        <v>56716</v>
      </c>
      <c r="I6106" s="48" t="s">
        <v>50564</v>
      </c>
      <c r="J6106" s="48"/>
      <c r="K6106" s="57"/>
      <c r="L6106" s="48"/>
    </row>
    <row r="6107" spans="1:12" ht="11.25" x14ac:dyDescent="0.2">
      <c r="A6107" s="46" t="s">
        <v>3779</v>
      </c>
      <c r="B6107" s="46" t="s">
        <v>54649</v>
      </c>
      <c r="C6107" s="58" t="str">
        <f>"02897024"</f>
        <v>02897024</v>
      </c>
      <c r="D6107" s="58" t="str">
        <f>""</f>
        <v/>
      </c>
      <c r="E6107" s="46" t="s">
        <v>3781</v>
      </c>
      <c r="F6107" s="46" t="s">
        <v>18242</v>
      </c>
      <c r="G6107" s="46" t="s">
        <v>50604</v>
      </c>
      <c r="H6107" s="48" t="s">
        <v>56716</v>
      </c>
      <c r="I6107" s="48" t="s">
        <v>50564</v>
      </c>
      <c r="J6107" s="48"/>
      <c r="K6107" s="57"/>
      <c r="L6107" s="48"/>
    </row>
    <row r="6108" spans="1:12" ht="11.25" x14ac:dyDescent="0.2">
      <c r="A6108" s="46" t="s">
        <v>16602</v>
      </c>
      <c r="B6108" s="46" t="s">
        <v>54650</v>
      </c>
      <c r="C6108" s="58" t="str">
        <f>"21602468"</f>
        <v>21602468</v>
      </c>
      <c r="D6108" s="58" t="str">
        <f>"21602476"</f>
        <v>21602476</v>
      </c>
      <c r="E6108" s="46" t="s">
        <v>1278</v>
      </c>
      <c r="F6108" s="46" t="s">
        <v>17759</v>
      </c>
      <c r="G6108" s="46" t="s">
        <v>50584</v>
      </c>
      <c r="H6108" s="48" t="s">
        <v>56716</v>
      </c>
      <c r="I6108" s="48" t="s">
        <v>50564</v>
      </c>
      <c r="J6108" s="48" t="s">
        <v>56716</v>
      </c>
      <c r="K6108" s="57"/>
      <c r="L6108" s="48"/>
    </row>
    <row r="6109" spans="1:12" ht="11.25" x14ac:dyDescent="0.2">
      <c r="A6109" s="46" t="s">
        <v>6598</v>
      </c>
      <c r="B6109" s="46" t="s">
        <v>6598</v>
      </c>
      <c r="C6109" s="58" t="str">
        <f>"09196544"</f>
        <v>09196544</v>
      </c>
      <c r="D6109" s="58" t="str">
        <f>"14401789"</f>
        <v>14401789</v>
      </c>
      <c r="E6109" s="46" t="s">
        <v>296</v>
      </c>
      <c r="F6109" s="46" t="s">
        <v>20082</v>
      </c>
      <c r="G6109" s="46" t="s">
        <v>50584</v>
      </c>
      <c r="H6109" s="48" t="s">
        <v>56716</v>
      </c>
      <c r="I6109" s="48" t="s">
        <v>50564</v>
      </c>
      <c r="J6109" s="48" t="s">
        <v>56716</v>
      </c>
      <c r="K6109" s="50" t="s">
        <v>56716</v>
      </c>
      <c r="L6109" s="48" t="s">
        <v>56716</v>
      </c>
    </row>
    <row r="6110" spans="1:12" ht="11.25" x14ac:dyDescent="0.2">
      <c r="A6110" s="46" t="s">
        <v>3039</v>
      </c>
      <c r="B6110" s="46" t="s">
        <v>54651</v>
      </c>
      <c r="C6110" s="58" t="str">
        <f>"03051846"</f>
        <v>03051846</v>
      </c>
      <c r="D6110" s="58" t="str">
        <f>"13652990"</f>
        <v>13652990</v>
      </c>
      <c r="E6110" s="46" t="s">
        <v>35</v>
      </c>
      <c r="F6110" s="46" t="s">
        <v>50646</v>
      </c>
      <c r="G6110" s="46" t="s">
        <v>50584</v>
      </c>
      <c r="H6110" s="48" t="s">
        <v>56716</v>
      </c>
      <c r="I6110" s="48" t="s">
        <v>50564</v>
      </c>
      <c r="J6110" s="48" t="s">
        <v>56716</v>
      </c>
      <c r="K6110" s="50" t="s">
        <v>56716</v>
      </c>
      <c r="L6110" s="48" t="s">
        <v>56716</v>
      </c>
    </row>
    <row r="6111" spans="1:12" ht="11.25" x14ac:dyDescent="0.2">
      <c r="A6111" s="46" t="s">
        <v>3163</v>
      </c>
      <c r="B6111" s="46" t="s">
        <v>3163</v>
      </c>
      <c r="C6111" s="58" t="str">
        <f>"0174304X"</f>
        <v>0174304X</v>
      </c>
      <c r="D6111" s="58" t="str">
        <f>"14391899"</f>
        <v>14391899</v>
      </c>
      <c r="E6111" s="46" t="s">
        <v>3166</v>
      </c>
      <c r="F6111" s="46" t="s">
        <v>18158</v>
      </c>
      <c r="G6111" s="46" t="s">
        <v>50584</v>
      </c>
      <c r="H6111" s="48" t="s">
        <v>56716</v>
      </c>
      <c r="I6111" s="48" t="s">
        <v>50564</v>
      </c>
      <c r="J6111" s="48" t="s">
        <v>56716</v>
      </c>
      <c r="K6111" s="50" t="s">
        <v>56716</v>
      </c>
      <c r="L6111" s="48" t="s">
        <v>56716</v>
      </c>
    </row>
    <row r="6112" spans="1:12" ht="11.25" x14ac:dyDescent="0.2">
      <c r="A6112" s="46" t="s">
        <v>3170</v>
      </c>
      <c r="B6112" s="46" t="s">
        <v>3170</v>
      </c>
      <c r="C6112" s="58" t="str">
        <f>"01434179"</f>
        <v>01434179</v>
      </c>
      <c r="D6112" s="58" t="str">
        <f>"15322785"</f>
        <v>15322785</v>
      </c>
      <c r="E6112" s="46" t="s">
        <v>831</v>
      </c>
      <c r="F6112" s="46" t="s">
        <v>50646</v>
      </c>
      <c r="G6112" s="46" t="s">
        <v>50584</v>
      </c>
      <c r="H6112" s="48" t="s">
        <v>56716</v>
      </c>
      <c r="I6112" s="48" t="s">
        <v>50564</v>
      </c>
      <c r="J6112" s="48" t="s">
        <v>56716</v>
      </c>
      <c r="K6112" s="50" t="s">
        <v>56716</v>
      </c>
      <c r="L6112" s="48" t="s">
        <v>56716</v>
      </c>
    </row>
    <row r="6113" spans="1:12" ht="11.25" x14ac:dyDescent="0.2">
      <c r="A6113" s="46" t="s">
        <v>3077</v>
      </c>
      <c r="B6113" s="46" t="s">
        <v>3077</v>
      </c>
      <c r="C6113" s="58" t="str">
        <f>"00283908"</f>
        <v>00283908</v>
      </c>
      <c r="D6113" s="58" t="str">
        <f>"18737064"</f>
        <v>18737064</v>
      </c>
      <c r="E6113" s="46" t="s">
        <v>155</v>
      </c>
      <c r="F6113" s="46" t="s">
        <v>50646</v>
      </c>
      <c r="G6113" s="46" t="s">
        <v>50584</v>
      </c>
      <c r="H6113" s="48" t="s">
        <v>56716</v>
      </c>
      <c r="I6113" s="48" t="s">
        <v>50564</v>
      </c>
      <c r="J6113" s="48" t="s">
        <v>56716</v>
      </c>
      <c r="K6113" s="50" t="s">
        <v>56716</v>
      </c>
      <c r="L6113" s="48" t="s">
        <v>56716</v>
      </c>
    </row>
    <row r="6114" spans="1:12" ht="11.25" x14ac:dyDescent="0.2">
      <c r="A6114" s="46" t="s">
        <v>4490</v>
      </c>
      <c r="B6114" s="46" t="s">
        <v>54652</v>
      </c>
      <c r="C6114" s="58" t="str">
        <f>"09877053"</f>
        <v>09877053</v>
      </c>
      <c r="D6114" s="58" t="str">
        <f>"17697131"</f>
        <v>17697131</v>
      </c>
      <c r="E6114" s="46" t="s">
        <v>85</v>
      </c>
      <c r="F6114" s="46" t="s">
        <v>20359</v>
      </c>
      <c r="G6114" s="46" t="s">
        <v>50591</v>
      </c>
      <c r="H6114" s="48" t="s">
        <v>56716</v>
      </c>
      <c r="I6114" s="48" t="s">
        <v>50564</v>
      </c>
      <c r="J6114" s="48"/>
      <c r="K6114" s="57"/>
      <c r="L6114" s="48" t="s">
        <v>56716</v>
      </c>
    </row>
    <row r="6115" spans="1:12" ht="11.25" x14ac:dyDescent="0.2">
      <c r="A6115" s="46" t="s">
        <v>8395</v>
      </c>
      <c r="B6115" s="46" t="s">
        <v>54653</v>
      </c>
      <c r="C6115" s="58" t="str">
        <f>"14394847"</f>
        <v>14394847</v>
      </c>
      <c r="D6115" s="58" t="str">
        <f>"18764487"</f>
        <v>18764487</v>
      </c>
      <c r="E6115" s="46" t="s">
        <v>241</v>
      </c>
      <c r="F6115" s="46" t="s">
        <v>18158</v>
      </c>
      <c r="G6115" s="46" t="s">
        <v>50593</v>
      </c>
      <c r="H6115" s="48" t="s">
        <v>56716</v>
      </c>
      <c r="I6115" s="48" t="s">
        <v>50564</v>
      </c>
      <c r="J6115" s="48"/>
      <c r="K6115" s="50" t="s">
        <v>56716</v>
      </c>
      <c r="L6115" s="48"/>
    </row>
    <row r="6116" spans="1:12" ht="11.25" x14ac:dyDescent="0.2">
      <c r="A6116" s="46" t="s">
        <v>3150</v>
      </c>
      <c r="B6116" s="46" t="s">
        <v>3150</v>
      </c>
      <c r="C6116" s="58" t="str">
        <f>"00902977"</f>
        <v>00902977</v>
      </c>
      <c r="D6116" s="58" t="str">
        <f>"15739007"</f>
        <v>15739007</v>
      </c>
      <c r="E6116" s="46" t="s">
        <v>56305</v>
      </c>
      <c r="F6116" s="46" t="s">
        <v>17759</v>
      </c>
      <c r="G6116" s="46" t="s">
        <v>50584</v>
      </c>
      <c r="H6116" s="48" t="s">
        <v>56716</v>
      </c>
      <c r="I6116" s="48" t="s">
        <v>50564</v>
      </c>
      <c r="J6116" s="48"/>
      <c r="K6116" s="50" t="s">
        <v>56716</v>
      </c>
      <c r="L6116" s="48"/>
    </row>
    <row r="6117" spans="1:12" ht="11.25" x14ac:dyDescent="0.2">
      <c r="A6117" s="46" t="s">
        <v>13345</v>
      </c>
      <c r="B6117" s="46" t="s">
        <v>54654</v>
      </c>
      <c r="C6117" s="58" t="str">
        <f>"18966764"</f>
        <v>18966764</v>
      </c>
      <c r="D6117" s="58" t="str">
        <f>""</f>
        <v/>
      </c>
      <c r="E6117" s="46" t="s">
        <v>3134</v>
      </c>
      <c r="F6117" s="46" t="s">
        <v>17967</v>
      </c>
      <c r="G6117" s="46" t="s">
        <v>50613</v>
      </c>
      <c r="H6117" s="48" t="s">
        <v>56716</v>
      </c>
      <c r="I6117" s="48" t="s">
        <v>50564</v>
      </c>
      <c r="J6117" s="48"/>
      <c r="K6117" s="57"/>
      <c r="L6117" s="48"/>
    </row>
    <row r="6118" spans="1:12" ht="11.25" x14ac:dyDescent="0.2">
      <c r="A6118" s="46" t="s">
        <v>11115</v>
      </c>
      <c r="B6118" s="46" t="s">
        <v>54655</v>
      </c>
      <c r="C6118" s="58" t="str">
        <f>"11766328"</f>
        <v>11766328</v>
      </c>
      <c r="D6118" s="58" t="str">
        <f>"11782021"</f>
        <v>11782021</v>
      </c>
      <c r="E6118" s="46" t="s">
        <v>11079</v>
      </c>
      <c r="F6118" s="46" t="s">
        <v>19483</v>
      </c>
      <c r="G6118" s="46" t="s">
        <v>50584</v>
      </c>
      <c r="H6118" s="48" t="s">
        <v>56716</v>
      </c>
      <c r="I6118" s="48" t="s">
        <v>50564</v>
      </c>
      <c r="J6118" s="48"/>
      <c r="K6118" s="57"/>
      <c r="L6118" s="48"/>
    </row>
    <row r="6119" spans="1:12" ht="11.25" x14ac:dyDescent="0.2">
      <c r="A6119" s="46" t="s">
        <v>6443</v>
      </c>
      <c r="B6119" s="46" t="s">
        <v>6443</v>
      </c>
      <c r="C6119" s="58" t="str">
        <f>"09486259"</f>
        <v>09486259</v>
      </c>
      <c r="D6119" s="58" t="str">
        <f>"21941327"</f>
        <v>21941327</v>
      </c>
      <c r="E6119" s="46" t="s">
        <v>55904</v>
      </c>
      <c r="F6119" s="46" t="s">
        <v>18288</v>
      </c>
      <c r="G6119" s="46" t="s">
        <v>50593</v>
      </c>
      <c r="H6119" s="48" t="s">
        <v>56716</v>
      </c>
      <c r="I6119" s="48" t="s">
        <v>50564</v>
      </c>
      <c r="J6119" s="48"/>
      <c r="K6119" s="50" t="s">
        <v>56716</v>
      </c>
      <c r="L6119" s="48" t="s">
        <v>56716</v>
      </c>
    </row>
    <row r="6120" spans="1:12" ht="11.25" x14ac:dyDescent="0.2">
      <c r="A6120" s="46" t="s">
        <v>3054</v>
      </c>
      <c r="B6120" s="46" t="s">
        <v>54656</v>
      </c>
      <c r="C6120" s="58" t="str">
        <f>"02229617"</f>
        <v>02229617</v>
      </c>
      <c r="D6120" s="58" t="str">
        <f>"17696615"</f>
        <v>17696615</v>
      </c>
      <c r="E6120" s="46" t="s">
        <v>85</v>
      </c>
      <c r="F6120" s="46" t="s">
        <v>20359</v>
      </c>
      <c r="G6120" s="46" t="s">
        <v>50591</v>
      </c>
      <c r="H6120" s="48" t="s">
        <v>56716</v>
      </c>
      <c r="I6120" s="48" t="s">
        <v>50564</v>
      </c>
      <c r="J6120" s="48"/>
      <c r="K6120" s="50" t="s">
        <v>56716</v>
      </c>
      <c r="L6120" s="48"/>
    </row>
    <row r="6121" spans="1:12" ht="11.25" x14ac:dyDescent="0.2">
      <c r="A6121" s="46" t="s">
        <v>15663</v>
      </c>
      <c r="B6121" s="46" t="s">
        <v>15663</v>
      </c>
      <c r="C6121" s="58" t="str">
        <f>"17582008"</f>
        <v>17582008</v>
      </c>
      <c r="D6121" s="58" t="str">
        <f>"17582016"</f>
        <v>17582016</v>
      </c>
      <c r="E6121" s="46" t="s">
        <v>8442</v>
      </c>
      <c r="F6121" s="46" t="s">
        <v>50646</v>
      </c>
      <c r="G6121" s="46" t="s">
        <v>50584</v>
      </c>
      <c r="H6121" s="48" t="s">
        <v>56716</v>
      </c>
      <c r="I6121" s="48" t="s">
        <v>50564</v>
      </c>
      <c r="J6121" s="48" t="s">
        <v>56716</v>
      </c>
      <c r="K6121" s="57"/>
      <c r="L6121" s="48"/>
    </row>
    <row r="6122" spans="1:12" ht="11.25" x14ac:dyDescent="0.2">
      <c r="A6122" s="46" t="s">
        <v>3147</v>
      </c>
      <c r="B6122" s="46" t="s">
        <v>3147</v>
      </c>
      <c r="C6122" s="58" t="str">
        <f>"0302282X"</f>
        <v>0302282X</v>
      </c>
      <c r="D6122" s="58" t="str">
        <f>"14230224"</f>
        <v>14230224</v>
      </c>
      <c r="E6122" s="46" t="s">
        <v>109</v>
      </c>
      <c r="F6122" s="46" t="s">
        <v>18123</v>
      </c>
      <c r="G6122" s="46" t="s">
        <v>50584</v>
      </c>
      <c r="H6122" s="48" t="s">
        <v>56716</v>
      </c>
      <c r="I6122" s="48" t="s">
        <v>50564</v>
      </c>
      <c r="J6122" s="48" t="s">
        <v>56716</v>
      </c>
      <c r="K6122" s="50" t="s">
        <v>56716</v>
      </c>
      <c r="L6122" s="48" t="s">
        <v>56716</v>
      </c>
    </row>
    <row r="6123" spans="1:12" ht="11.25" x14ac:dyDescent="0.2">
      <c r="A6123" s="46" t="s">
        <v>3205</v>
      </c>
      <c r="B6123" s="46" t="s">
        <v>3205</v>
      </c>
      <c r="C6123" s="58" t="str">
        <f>"00283932"</f>
        <v>00283932</v>
      </c>
      <c r="D6123" s="58" t="str">
        <f>"18733514"</f>
        <v>18733514</v>
      </c>
      <c r="E6123" s="46" t="s">
        <v>155</v>
      </c>
      <c r="F6123" s="46" t="s">
        <v>50646</v>
      </c>
      <c r="G6123" s="46" t="s">
        <v>50584</v>
      </c>
      <c r="H6123" s="48" t="s">
        <v>56716</v>
      </c>
      <c r="I6123" s="48" t="s">
        <v>50564</v>
      </c>
      <c r="J6123" s="48"/>
      <c r="K6123" s="50" t="s">
        <v>56716</v>
      </c>
      <c r="L6123" s="48" t="s">
        <v>56716</v>
      </c>
    </row>
    <row r="6124" spans="1:12" ht="11.25" x14ac:dyDescent="0.2">
      <c r="A6124" s="45" t="s">
        <v>42134</v>
      </c>
      <c r="B6124" s="45" t="s">
        <v>42136</v>
      </c>
      <c r="C6124" s="51" t="s">
        <v>42138</v>
      </c>
      <c r="D6124" s="51" t="s">
        <v>42137</v>
      </c>
      <c r="E6124" s="45" t="s">
        <v>25444</v>
      </c>
      <c r="F6124" s="45" t="s">
        <v>50646</v>
      </c>
      <c r="G6124" s="45" t="s">
        <v>50584</v>
      </c>
      <c r="H6124" s="56"/>
      <c r="I6124" s="56" t="s">
        <v>50564</v>
      </c>
      <c r="J6124" s="56"/>
      <c r="K6124" s="57"/>
      <c r="L6124" s="56" t="s">
        <v>56716</v>
      </c>
    </row>
    <row r="6125" spans="1:12" ht="11.25" x14ac:dyDescent="0.2">
      <c r="A6125" s="46" t="s">
        <v>4809</v>
      </c>
      <c r="B6125" s="46" t="s">
        <v>4809</v>
      </c>
      <c r="C6125" s="58" t="str">
        <f>"08944105"</f>
        <v>08944105</v>
      </c>
      <c r="D6125" s="58" t="str">
        <f>"19311559"</f>
        <v>19311559</v>
      </c>
      <c r="E6125" s="46" t="s">
        <v>356</v>
      </c>
      <c r="F6125" s="46" t="s">
        <v>17759</v>
      </c>
      <c r="G6125" s="46" t="s">
        <v>50584</v>
      </c>
      <c r="H6125" s="48" t="s">
        <v>56716</v>
      </c>
      <c r="I6125" s="48" t="s">
        <v>50564</v>
      </c>
      <c r="J6125" s="48" t="s">
        <v>56716</v>
      </c>
      <c r="K6125" s="50" t="s">
        <v>56716</v>
      </c>
      <c r="L6125" s="48" t="s">
        <v>56716</v>
      </c>
    </row>
    <row r="6126" spans="1:12" ht="11.25" x14ac:dyDescent="0.2">
      <c r="A6126" s="45" t="s">
        <v>42143</v>
      </c>
      <c r="B6126" s="45" t="s">
        <v>42145</v>
      </c>
      <c r="C6126" s="51" t="s">
        <v>42147</v>
      </c>
      <c r="D6126" s="51" t="s">
        <v>42146</v>
      </c>
      <c r="E6126" s="45" t="s">
        <v>18832</v>
      </c>
      <c r="F6126" s="45" t="s">
        <v>17759</v>
      </c>
      <c r="G6126" s="45" t="s">
        <v>50584</v>
      </c>
      <c r="H6126" s="56"/>
      <c r="I6126" s="56" t="s">
        <v>50564</v>
      </c>
      <c r="J6126" s="56"/>
      <c r="K6126" s="57"/>
      <c r="L6126" s="56" t="s">
        <v>56716</v>
      </c>
    </row>
    <row r="6127" spans="1:12" ht="11.25" x14ac:dyDescent="0.2">
      <c r="A6127" s="45" t="s">
        <v>42149</v>
      </c>
      <c r="B6127" s="45" t="s">
        <v>42151</v>
      </c>
      <c r="C6127" s="51" t="s">
        <v>42154</v>
      </c>
      <c r="D6127" s="51" t="s">
        <v>42153</v>
      </c>
      <c r="E6127" s="45" t="s">
        <v>42155</v>
      </c>
      <c r="F6127" s="45" t="s">
        <v>17759</v>
      </c>
      <c r="G6127" s="45" t="s">
        <v>50584</v>
      </c>
      <c r="H6127" s="56"/>
      <c r="I6127" s="56" t="s">
        <v>50564</v>
      </c>
      <c r="J6127" s="56"/>
      <c r="K6127" s="57"/>
      <c r="L6127" s="56" t="s">
        <v>56716</v>
      </c>
    </row>
    <row r="6128" spans="1:12" ht="11.25" x14ac:dyDescent="0.2">
      <c r="A6128" s="46" t="s">
        <v>12647</v>
      </c>
      <c r="B6128" s="46" t="s">
        <v>12647</v>
      </c>
      <c r="C6128" s="58" t="str">
        <f>"14198711"</f>
        <v>14198711</v>
      </c>
      <c r="D6128" s="58" t="str">
        <f>""</f>
        <v/>
      </c>
      <c r="E6128" s="46" t="s">
        <v>12649</v>
      </c>
      <c r="F6128" s="45" t="s">
        <v>17976</v>
      </c>
      <c r="G6128" s="46" t="s">
        <v>50600</v>
      </c>
      <c r="H6128" s="48" t="s">
        <v>56716</v>
      </c>
      <c r="I6128" s="48" t="s">
        <v>50564</v>
      </c>
      <c r="J6128" s="48"/>
      <c r="K6128" s="57"/>
      <c r="L6128" s="48" t="s">
        <v>56716</v>
      </c>
    </row>
    <row r="6129" spans="1:12" ht="11.25" x14ac:dyDescent="0.2">
      <c r="A6129" s="46" t="s">
        <v>4756</v>
      </c>
      <c r="B6129" s="46" t="s">
        <v>4756</v>
      </c>
      <c r="C6129" s="58" t="str">
        <f>"0893133X"</f>
        <v>0893133X</v>
      </c>
      <c r="D6129" s="58" t="str">
        <f>"1740634X"</f>
        <v>1740634X</v>
      </c>
      <c r="E6129" s="46" t="s">
        <v>315</v>
      </c>
      <c r="F6129" s="46" t="s">
        <v>50646</v>
      </c>
      <c r="G6129" s="46" t="s">
        <v>50584</v>
      </c>
      <c r="H6129" s="48" t="s">
        <v>56716</v>
      </c>
      <c r="I6129" s="48" t="s">
        <v>50564</v>
      </c>
      <c r="J6129" s="48" t="s">
        <v>56716</v>
      </c>
      <c r="K6129" s="50" t="s">
        <v>56716</v>
      </c>
      <c r="L6129" s="48" t="s">
        <v>56716</v>
      </c>
    </row>
    <row r="6130" spans="1:12" ht="11.25" x14ac:dyDescent="0.2">
      <c r="A6130" s="46" t="s">
        <v>11947</v>
      </c>
      <c r="B6130" s="46" t="s">
        <v>11947</v>
      </c>
      <c r="C6130" s="58" t="str">
        <f>"13035150"</f>
        <v>13035150</v>
      </c>
      <c r="D6130" s="58" t="str">
        <f>""</f>
        <v/>
      </c>
      <c r="E6130" s="46" t="s">
        <v>11947</v>
      </c>
      <c r="F6130" s="46" t="s">
        <v>18396</v>
      </c>
      <c r="G6130" s="46" t="s">
        <v>50637</v>
      </c>
      <c r="H6130" s="48" t="s">
        <v>56716</v>
      </c>
      <c r="I6130" s="48" t="s">
        <v>50564</v>
      </c>
      <c r="J6130" s="48"/>
      <c r="K6130" s="57"/>
      <c r="L6130" s="48"/>
    </row>
    <row r="6131" spans="1:12" ht="11.25" x14ac:dyDescent="0.2">
      <c r="A6131" s="46" t="s">
        <v>3153</v>
      </c>
      <c r="B6131" s="46" t="s">
        <v>3153</v>
      </c>
      <c r="C6131" s="58" t="str">
        <f>"00283940"</f>
        <v>00283940</v>
      </c>
      <c r="D6131" s="58" t="str">
        <f>"14321920"</f>
        <v>14321920</v>
      </c>
      <c r="E6131" s="46" t="s">
        <v>167</v>
      </c>
      <c r="F6131" s="46" t="s">
        <v>18158</v>
      </c>
      <c r="G6131" s="46" t="s">
        <v>50584</v>
      </c>
      <c r="H6131" s="48" t="s">
        <v>56716</v>
      </c>
      <c r="I6131" s="48" t="s">
        <v>50564</v>
      </c>
      <c r="J6131" s="48" t="s">
        <v>56716</v>
      </c>
      <c r="K6131" s="50" t="s">
        <v>56716</v>
      </c>
      <c r="L6131" s="48" t="s">
        <v>56716</v>
      </c>
    </row>
    <row r="6132" spans="1:12" ht="11.25" x14ac:dyDescent="0.2">
      <c r="A6132" s="46" t="s">
        <v>11529</v>
      </c>
      <c r="B6132" s="46" t="s">
        <v>54657</v>
      </c>
      <c r="C6132" s="58" t="str">
        <f>"19714009"</f>
        <v>19714009</v>
      </c>
      <c r="D6132" s="58" t="str">
        <f>""</f>
        <v/>
      </c>
      <c r="E6132" s="46" t="s">
        <v>33183</v>
      </c>
      <c r="F6132" s="46" t="s">
        <v>17991</v>
      </c>
      <c r="G6132" s="46" t="s">
        <v>50584</v>
      </c>
      <c r="H6132" s="48" t="s">
        <v>56716</v>
      </c>
      <c r="I6132" s="48" t="s">
        <v>50564</v>
      </c>
      <c r="J6132" s="48"/>
      <c r="K6132" s="57"/>
      <c r="L6132" s="48" t="s">
        <v>56716</v>
      </c>
    </row>
    <row r="6133" spans="1:12" ht="11.25" x14ac:dyDescent="0.2">
      <c r="A6133" s="46" t="s">
        <v>6561</v>
      </c>
      <c r="B6133" s="46" t="s">
        <v>6561</v>
      </c>
      <c r="C6133" s="58" t="str">
        <f>"10538135"</f>
        <v>10538135</v>
      </c>
      <c r="D6133" s="58" t="str">
        <f>"18786448"</f>
        <v>18786448</v>
      </c>
      <c r="E6133" s="46" t="s">
        <v>920</v>
      </c>
      <c r="F6133" s="46" t="s">
        <v>18001</v>
      </c>
      <c r="G6133" s="46" t="s">
        <v>50584</v>
      </c>
      <c r="H6133" s="48" t="s">
        <v>56716</v>
      </c>
      <c r="I6133" s="48" t="s">
        <v>50564</v>
      </c>
      <c r="J6133" s="48"/>
      <c r="K6133" s="57"/>
      <c r="L6133" s="48" t="s">
        <v>56716</v>
      </c>
    </row>
    <row r="6134" spans="1:12" ht="11.25" x14ac:dyDescent="0.2">
      <c r="A6134" s="46" t="s">
        <v>8286</v>
      </c>
      <c r="B6134" s="46" t="s">
        <v>54658</v>
      </c>
      <c r="C6134" s="58" t="str">
        <f>"15459683"</f>
        <v>15459683</v>
      </c>
      <c r="D6134" s="58" t="str">
        <f>"15526844"</f>
        <v>15526844</v>
      </c>
      <c r="E6134" s="46" t="s">
        <v>493</v>
      </c>
      <c r="F6134" s="46" t="s">
        <v>17759</v>
      </c>
      <c r="G6134" s="46" t="s">
        <v>50584</v>
      </c>
      <c r="H6134" s="48" t="s">
        <v>56716</v>
      </c>
      <c r="I6134" s="48" t="s">
        <v>50564</v>
      </c>
      <c r="J6134" s="48"/>
      <c r="K6134" s="57"/>
      <c r="L6134" s="48" t="s">
        <v>56716</v>
      </c>
    </row>
    <row r="6135" spans="1:12" ht="11.25" x14ac:dyDescent="0.2">
      <c r="A6135" s="46" t="s">
        <v>5424</v>
      </c>
      <c r="B6135" s="46" t="s">
        <v>5424</v>
      </c>
      <c r="C6135" s="58" t="str">
        <f>"09594965"</f>
        <v>09594965</v>
      </c>
      <c r="D6135" s="58" t="str">
        <f>"1473558X"</f>
        <v>1473558X</v>
      </c>
      <c r="E6135" s="46" t="s">
        <v>28</v>
      </c>
      <c r="F6135" s="46" t="s">
        <v>50646</v>
      </c>
      <c r="G6135" s="46" t="s">
        <v>50584</v>
      </c>
      <c r="H6135" s="48" t="s">
        <v>56716</v>
      </c>
      <c r="I6135" s="48" t="s">
        <v>50564</v>
      </c>
      <c r="J6135" s="48" t="s">
        <v>56716</v>
      </c>
      <c r="K6135" s="50" t="s">
        <v>56716</v>
      </c>
      <c r="L6135" s="48" t="s">
        <v>56716</v>
      </c>
    </row>
    <row r="6136" spans="1:12" ht="11.25" x14ac:dyDescent="0.2">
      <c r="A6136" s="46" t="s">
        <v>3173</v>
      </c>
      <c r="B6136" s="46" t="s">
        <v>3173</v>
      </c>
      <c r="C6136" s="58" t="str">
        <f>"03064522"</f>
        <v>03064522</v>
      </c>
      <c r="D6136" s="58" t="str">
        <f>"18737544"</f>
        <v>18737544</v>
      </c>
      <c r="E6136" s="46" t="s">
        <v>155</v>
      </c>
      <c r="F6136" s="46" t="s">
        <v>50646</v>
      </c>
      <c r="G6136" s="46" t="s">
        <v>50584</v>
      </c>
      <c r="H6136" s="48" t="s">
        <v>56716</v>
      </c>
      <c r="I6136" s="48" t="s">
        <v>50564</v>
      </c>
      <c r="J6136" s="48" t="s">
        <v>56716</v>
      </c>
      <c r="K6136" s="50" t="s">
        <v>56716</v>
      </c>
      <c r="L6136" s="48" t="s">
        <v>56716</v>
      </c>
    </row>
    <row r="6137" spans="1:12" ht="11.25" x14ac:dyDescent="0.2">
      <c r="A6137" s="46" t="s">
        <v>3048</v>
      </c>
      <c r="B6137" s="46" t="s">
        <v>54659</v>
      </c>
      <c r="C6137" s="58" t="str">
        <f>"00970549"</f>
        <v>00970549</v>
      </c>
      <c r="D6137" s="58" t="str">
        <f>"1573899X"</f>
        <v>1573899X</v>
      </c>
      <c r="E6137" s="46" t="s">
        <v>56305</v>
      </c>
      <c r="F6137" s="46" t="s">
        <v>17759</v>
      </c>
      <c r="G6137" s="46" t="s">
        <v>50584</v>
      </c>
      <c r="H6137" s="48" t="s">
        <v>56716</v>
      </c>
      <c r="I6137" s="48" t="s">
        <v>50564</v>
      </c>
      <c r="J6137" s="48"/>
      <c r="K6137" s="50" t="s">
        <v>56716</v>
      </c>
      <c r="L6137" s="48"/>
    </row>
    <row r="6138" spans="1:12" ht="11.25" x14ac:dyDescent="0.2">
      <c r="A6138" s="46" t="s">
        <v>3051</v>
      </c>
      <c r="B6138" s="46" t="s">
        <v>54660</v>
      </c>
      <c r="C6138" s="58" t="str">
        <f>"01497634"</f>
        <v>01497634</v>
      </c>
      <c r="D6138" s="58" t="str">
        <f>"18737528"</f>
        <v>18737528</v>
      </c>
      <c r="E6138" s="46" t="s">
        <v>155</v>
      </c>
      <c r="F6138" s="46" t="s">
        <v>50646</v>
      </c>
      <c r="G6138" s="46" t="s">
        <v>50584</v>
      </c>
      <c r="H6138" s="48" t="s">
        <v>56716</v>
      </c>
      <c r="I6138" s="48" t="s">
        <v>50564</v>
      </c>
      <c r="J6138" s="48" t="s">
        <v>56716</v>
      </c>
      <c r="K6138" s="50" t="s">
        <v>56716</v>
      </c>
      <c r="L6138" s="48" t="s">
        <v>56716</v>
      </c>
    </row>
    <row r="6139" spans="1:12" ht="11.25" x14ac:dyDescent="0.2">
      <c r="A6139" s="46" t="s">
        <v>17421</v>
      </c>
      <c r="B6139" s="46" t="s">
        <v>54661</v>
      </c>
      <c r="C6139" s="58" t="str">
        <f>"22133852"</f>
        <v>22133852</v>
      </c>
      <c r="D6139" s="58" t="str">
        <f>"22133860"</f>
        <v>22133860</v>
      </c>
      <c r="E6139" s="46" t="s">
        <v>6405</v>
      </c>
      <c r="F6139" s="46" t="s">
        <v>18001</v>
      </c>
      <c r="G6139" s="46" t="s">
        <v>50584</v>
      </c>
      <c r="H6139" s="48" t="s">
        <v>56716</v>
      </c>
      <c r="I6139" s="48" t="s">
        <v>50564</v>
      </c>
      <c r="J6139" s="48" t="s">
        <v>56716</v>
      </c>
      <c r="K6139" s="57"/>
      <c r="L6139" s="48"/>
    </row>
    <row r="6140" spans="1:12" ht="11.25" x14ac:dyDescent="0.2">
      <c r="A6140" s="46" t="s">
        <v>56243</v>
      </c>
      <c r="B6140" s="46" t="s">
        <v>56244</v>
      </c>
      <c r="C6140" s="58" t="str">
        <f>""</f>
        <v/>
      </c>
      <c r="D6140" s="58" t="str">
        <f>"22303561"</f>
        <v>22303561</v>
      </c>
      <c r="E6140" s="46" t="s">
        <v>11079</v>
      </c>
      <c r="F6140" s="46" t="s">
        <v>19483</v>
      </c>
      <c r="G6140" s="46" t="s">
        <v>50584</v>
      </c>
      <c r="H6140" s="48" t="s">
        <v>56716</v>
      </c>
      <c r="I6140" s="48" t="s">
        <v>50564</v>
      </c>
      <c r="J6140" s="48"/>
      <c r="K6140" s="57"/>
      <c r="L6140" s="48"/>
    </row>
    <row r="6141" spans="1:12" ht="11.25" x14ac:dyDescent="0.2">
      <c r="A6141" s="46" t="s">
        <v>11707</v>
      </c>
      <c r="B6141" s="46" t="s">
        <v>54662</v>
      </c>
      <c r="C6141" s="58" t="str">
        <f>"16737067"</f>
        <v>16737067</v>
      </c>
      <c r="D6141" s="58" t="str">
        <f>"19958218"</f>
        <v>19958218</v>
      </c>
      <c r="E6141" s="46" t="s">
        <v>6433</v>
      </c>
      <c r="F6141" s="46" t="s">
        <v>17958</v>
      </c>
      <c r="G6141" s="46" t="s">
        <v>50584</v>
      </c>
      <c r="H6141" s="48" t="s">
        <v>56716</v>
      </c>
      <c r="I6141" s="48" t="s">
        <v>50564</v>
      </c>
      <c r="J6141" s="48"/>
      <c r="K6141" s="50" t="s">
        <v>56716</v>
      </c>
      <c r="L6141" s="48" t="s">
        <v>56716</v>
      </c>
    </row>
    <row r="6142" spans="1:12" ht="11.25" x14ac:dyDescent="0.2">
      <c r="A6142" s="46" t="s">
        <v>12607</v>
      </c>
      <c r="B6142" s="46" t="s">
        <v>54663</v>
      </c>
      <c r="C6142" s="58" t="str">
        <f>"15564010"</f>
        <v>15564010</v>
      </c>
      <c r="D6142" s="58" t="str">
        <f>""</f>
        <v/>
      </c>
      <c r="E6142" s="46" t="s">
        <v>11878</v>
      </c>
      <c r="F6142" s="46" t="s">
        <v>17759</v>
      </c>
      <c r="G6142" s="46" t="s">
        <v>50584</v>
      </c>
      <c r="H6142" s="48" t="s">
        <v>56716</v>
      </c>
      <c r="I6142" s="48" t="s">
        <v>50564</v>
      </c>
      <c r="J6142" s="48"/>
      <c r="K6142" s="57"/>
      <c r="L6142" s="48"/>
    </row>
    <row r="6143" spans="1:12" ht="11.25" x14ac:dyDescent="0.2">
      <c r="A6143" s="46" t="s">
        <v>3070</v>
      </c>
      <c r="B6143" s="46" t="s">
        <v>54664</v>
      </c>
      <c r="C6143" s="58" t="str">
        <f>"03043940"</f>
        <v>03043940</v>
      </c>
      <c r="D6143" s="58" t="str">
        <f>"18727972"</f>
        <v>18727972</v>
      </c>
      <c r="E6143" s="46" t="s">
        <v>221</v>
      </c>
      <c r="F6143" s="46" t="s">
        <v>21771</v>
      </c>
      <c r="G6143" s="46" t="s">
        <v>50584</v>
      </c>
      <c r="H6143" s="48" t="s">
        <v>56716</v>
      </c>
      <c r="I6143" s="48" t="s">
        <v>50564</v>
      </c>
      <c r="J6143" s="48" t="s">
        <v>56716</v>
      </c>
      <c r="K6143" s="50" t="s">
        <v>56716</v>
      </c>
      <c r="L6143" s="48" t="s">
        <v>56716</v>
      </c>
    </row>
    <row r="6144" spans="1:12" ht="11.25" x14ac:dyDescent="0.2">
      <c r="A6144" s="46" t="s">
        <v>3080</v>
      </c>
      <c r="B6144" s="46" t="s">
        <v>54665</v>
      </c>
      <c r="C6144" s="58" t="str">
        <f>"01680102"</f>
        <v>01680102</v>
      </c>
      <c r="D6144" s="58" t="str">
        <f>"18728111"</f>
        <v>18728111</v>
      </c>
      <c r="E6144" s="46" t="s">
        <v>221</v>
      </c>
      <c r="F6144" s="46" t="s">
        <v>21771</v>
      </c>
      <c r="G6144" s="46" t="s">
        <v>50584</v>
      </c>
      <c r="H6144" s="48" t="s">
        <v>56716</v>
      </c>
      <c r="I6144" s="48" t="s">
        <v>50564</v>
      </c>
      <c r="J6144" s="48" t="s">
        <v>56716</v>
      </c>
      <c r="K6144" s="50" t="s">
        <v>56716</v>
      </c>
      <c r="L6144" s="48" t="s">
        <v>56716</v>
      </c>
    </row>
    <row r="6145" spans="1:12" ht="11.25" x14ac:dyDescent="0.2">
      <c r="A6145" s="46" t="s">
        <v>8977</v>
      </c>
      <c r="B6145" s="46" t="s">
        <v>8977</v>
      </c>
      <c r="C6145" s="58" t="str">
        <f>"13196138"</f>
        <v>13196138</v>
      </c>
      <c r="D6145" s="58" t="str">
        <f>""</f>
        <v/>
      </c>
      <c r="E6145" s="46" t="s">
        <v>3729</v>
      </c>
      <c r="F6145" s="46" t="s">
        <v>42225</v>
      </c>
      <c r="G6145" s="46" t="s">
        <v>50584</v>
      </c>
      <c r="H6145" s="48" t="s">
        <v>56716</v>
      </c>
      <c r="I6145" s="48" t="s">
        <v>50564</v>
      </c>
      <c r="J6145" s="48"/>
      <c r="K6145" s="57"/>
      <c r="L6145" s="48" t="s">
        <v>56716</v>
      </c>
    </row>
    <row r="6146" spans="1:12" ht="11.25" x14ac:dyDescent="0.2">
      <c r="A6146" s="46" t="s">
        <v>7217</v>
      </c>
      <c r="B6146" s="46" t="s">
        <v>7217</v>
      </c>
      <c r="C6146" s="58" t="str">
        <f>"10738584"</f>
        <v>10738584</v>
      </c>
      <c r="D6146" s="58" t="str">
        <f>"10894098"</f>
        <v>10894098</v>
      </c>
      <c r="E6146" s="46" t="s">
        <v>493</v>
      </c>
      <c r="F6146" s="46" t="s">
        <v>17759</v>
      </c>
      <c r="G6146" s="46" t="s">
        <v>50584</v>
      </c>
      <c r="H6146" s="48" t="s">
        <v>56716</v>
      </c>
      <c r="I6146" s="48" t="s">
        <v>50564</v>
      </c>
      <c r="J6146" s="48" t="s">
        <v>56716</v>
      </c>
      <c r="K6146" s="57"/>
      <c r="L6146" s="48" t="s">
        <v>56716</v>
      </c>
    </row>
    <row r="6147" spans="1:12" ht="11.25" x14ac:dyDescent="0.2">
      <c r="A6147" s="46" t="s">
        <v>9883</v>
      </c>
      <c r="B6147" s="46" t="s">
        <v>42232</v>
      </c>
      <c r="C6147" s="58" t="str">
        <f>"1424862X"</f>
        <v>1424862X</v>
      </c>
      <c r="D6147" s="58" t="str">
        <f>"14248638"</f>
        <v>14248638</v>
      </c>
      <c r="E6147" s="46" t="s">
        <v>109</v>
      </c>
      <c r="F6147" s="46" t="s">
        <v>18123</v>
      </c>
      <c r="G6147" s="46" t="s">
        <v>50584</v>
      </c>
      <c r="H6147" s="48" t="s">
        <v>56716</v>
      </c>
      <c r="I6147" s="48" t="s">
        <v>50564</v>
      </c>
      <c r="J6147" s="48"/>
      <c r="K6147" s="50" t="s">
        <v>56716</v>
      </c>
      <c r="L6147" s="48" t="s">
        <v>56716</v>
      </c>
    </row>
    <row r="6148" spans="1:12" ht="11.25" x14ac:dyDescent="0.2">
      <c r="A6148" s="46" t="s">
        <v>3176</v>
      </c>
      <c r="B6148" s="46" t="s">
        <v>3176</v>
      </c>
      <c r="C6148" s="58" t="str">
        <f>"0148396X"</f>
        <v>0148396X</v>
      </c>
      <c r="D6148" s="58" t="str">
        <f>"15244040"</f>
        <v>15244040</v>
      </c>
      <c r="E6148" s="46" t="s">
        <v>28</v>
      </c>
      <c r="F6148" s="46" t="s">
        <v>17759</v>
      </c>
      <c r="G6148" s="46" t="s">
        <v>50584</v>
      </c>
      <c r="H6148" s="48" t="s">
        <v>56716</v>
      </c>
      <c r="I6148" s="48" t="s">
        <v>50564</v>
      </c>
      <c r="J6148" s="48" t="s">
        <v>56716</v>
      </c>
      <c r="K6148" s="50" t="s">
        <v>56716</v>
      </c>
      <c r="L6148" s="48" t="s">
        <v>56716</v>
      </c>
    </row>
    <row r="6149" spans="1:12" ht="11.25" x14ac:dyDescent="0.2">
      <c r="A6149" s="46" t="s">
        <v>6321</v>
      </c>
      <c r="B6149" s="46" t="s">
        <v>54666</v>
      </c>
      <c r="C6149" s="58" t="str">
        <f>"10423680"</f>
        <v>10423680</v>
      </c>
      <c r="D6149" s="58" t="str">
        <f>"15581349"</f>
        <v>15581349</v>
      </c>
      <c r="E6149" s="46" t="s">
        <v>303</v>
      </c>
      <c r="F6149" s="46" t="s">
        <v>17759</v>
      </c>
      <c r="G6149" s="46" t="s">
        <v>50584</v>
      </c>
      <c r="H6149" s="48" t="s">
        <v>56716</v>
      </c>
      <c r="I6149" s="48" t="s">
        <v>50564</v>
      </c>
      <c r="J6149" s="48" t="s">
        <v>56716</v>
      </c>
      <c r="K6149" s="50" t="s">
        <v>56716</v>
      </c>
      <c r="L6149" s="48" t="s">
        <v>56716</v>
      </c>
    </row>
    <row r="6150" spans="1:12" ht="11.25" x14ac:dyDescent="0.2">
      <c r="A6150" s="46" t="s">
        <v>5365</v>
      </c>
      <c r="B6150" s="46" t="s">
        <v>54667</v>
      </c>
      <c r="C6150" s="58" t="str">
        <f>"10506438"</f>
        <v>10506438</v>
      </c>
      <c r="D6150" s="58" t="str">
        <f>"15344916"</f>
        <v>15344916</v>
      </c>
      <c r="E6150" s="46" t="s">
        <v>28</v>
      </c>
      <c r="F6150" s="46" t="s">
        <v>17759</v>
      </c>
      <c r="G6150" s="46" t="s">
        <v>50584</v>
      </c>
      <c r="H6150" s="48" t="s">
        <v>56716</v>
      </c>
      <c r="I6150" s="48" t="s">
        <v>50564</v>
      </c>
      <c r="J6150" s="48" t="s">
        <v>56716</v>
      </c>
      <c r="K6150" s="50" t="s">
        <v>56716</v>
      </c>
      <c r="L6150" s="48"/>
    </row>
    <row r="6151" spans="1:12" ht="11.25" x14ac:dyDescent="0.2">
      <c r="A6151" s="45" t="s">
        <v>42243</v>
      </c>
      <c r="B6151" s="45" t="s">
        <v>42245</v>
      </c>
      <c r="C6151" s="51"/>
      <c r="D6151" s="51" t="s">
        <v>42246</v>
      </c>
      <c r="E6151" s="45" t="s">
        <v>2605</v>
      </c>
      <c r="F6151" s="45" t="s">
        <v>17759</v>
      </c>
      <c r="G6151" s="45" t="s">
        <v>50584</v>
      </c>
      <c r="H6151" s="56"/>
      <c r="I6151" s="56" t="s">
        <v>50564</v>
      </c>
      <c r="J6151" s="56"/>
      <c r="K6151" s="57"/>
      <c r="L6151" s="56" t="s">
        <v>56716</v>
      </c>
    </row>
    <row r="6152" spans="1:12" ht="11.25" x14ac:dyDescent="0.2">
      <c r="A6152" s="46" t="s">
        <v>3184</v>
      </c>
      <c r="B6152" s="46" t="s">
        <v>54668</v>
      </c>
      <c r="C6152" s="58" t="str">
        <f>"03445607"</f>
        <v>03445607</v>
      </c>
      <c r="D6152" s="58" t="str">
        <f>"14372320"</f>
        <v>14372320</v>
      </c>
      <c r="E6152" s="46" t="s">
        <v>167</v>
      </c>
      <c r="F6152" s="46" t="s">
        <v>18158</v>
      </c>
      <c r="G6152" s="46" t="s">
        <v>50584</v>
      </c>
      <c r="H6152" s="48" t="s">
        <v>56716</v>
      </c>
      <c r="I6152" s="48" t="s">
        <v>50564</v>
      </c>
      <c r="J6152" s="48" t="s">
        <v>56716</v>
      </c>
      <c r="K6152" s="50" t="s">
        <v>56716</v>
      </c>
      <c r="L6152" s="48" t="s">
        <v>56716</v>
      </c>
    </row>
    <row r="6153" spans="1:12" ht="11.25" x14ac:dyDescent="0.2">
      <c r="A6153" s="46" t="s">
        <v>11616</v>
      </c>
      <c r="B6153" s="46" t="s">
        <v>11616</v>
      </c>
      <c r="C6153" s="58" t="str">
        <f>"19337213"</f>
        <v>19337213</v>
      </c>
      <c r="D6153" s="58" t="str">
        <f>"18787479"</f>
        <v>18787479</v>
      </c>
      <c r="E6153" s="46" t="s">
        <v>56305</v>
      </c>
      <c r="F6153" s="46" t="s">
        <v>17759</v>
      </c>
      <c r="G6153" s="46" t="s">
        <v>50584</v>
      </c>
      <c r="H6153" s="48" t="s">
        <v>56716</v>
      </c>
      <c r="I6153" s="48" t="s">
        <v>50564</v>
      </c>
      <c r="J6153" s="48" t="s">
        <v>56716</v>
      </c>
      <c r="K6153" s="50" t="s">
        <v>56716</v>
      </c>
      <c r="L6153" s="48" t="s">
        <v>56716</v>
      </c>
    </row>
    <row r="6154" spans="1:12" ht="11.25" x14ac:dyDescent="0.2">
      <c r="A6154" s="46" t="s">
        <v>8450</v>
      </c>
      <c r="B6154" s="46" t="s">
        <v>54669</v>
      </c>
      <c r="C6154" s="58" t="str">
        <f>"10298428"</f>
        <v>10298428</v>
      </c>
      <c r="D6154" s="58" t="str">
        <f>"14763524"</f>
        <v>14763524</v>
      </c>
      <c r="E6154" s="46" t="s">
        <v>56305</v>
      </c>
      <c r="F6154" s="46" t="s">
        <v>17759</v>
      </c>
      <c r="G6154" s="46" t="s">
        <v>50584</v>
      </c>
      <c r="H6154" s="48" t="s">
        <v>56716</v>
      </c>
      <c r="I6154" s="48" t="s">
        <v>50564</v>
      </c>
      <c r="J6154" s="48" t="s">
        <v>56716</v>
      </c>
      <c r="K6154" s="50" t="s">
        <v>56716</v>
      </c>
      <c r="L6154" s="48" t="s">
        <v>56716</v>
      </c>
    </row>
    <row r="6155" spans="1:12" ht="11.25" x14ac:dyDescent="0.2">
      <c r="A6155" s="46" t="s">
        <v>3178</v>
      </c>
      <c r="B6155" s="46" t="s">
        <v>3178</v>
      </c>
      <c r="C6155" s="58" t="str">
        <f>"0161813X"</f>
        <v>0161813X</v>
      </c>
      <c r="D6155" s="58" t="str">
        <f>"18729711"</f>
        <v>18729711</v>
      </c>
      <c r="E6155" s="46" t="s">
        <v>91</v>
      </c>
      <c r="F6155" s="46" t="s">
        <v>18001</v>
      </c>
      <c r="G6155" s="46" t="s">
        <v>50584</v>
      </c>
      <c r="H6155" s="48" t="s">
        <v>56716</v>
      </c>
      <c r="I6155" s="48" t="s">
        <v>50564</v>
      </c>
      <c r="J6155" s="48" t="s">
        <v>56716</v>
      </c>
      <c r="K6155" s="50" t="s">
        <v>56716</v>
      </c>
      <c r="L6155" s="48" t="s">
        <v>56716</v>
      </c>
    </row>
    <row r="6156" spans="1:12" ht="11.25" x14ac:dyDescent="0.2">
      <c r="A6156" s="46" t="s">
        <v>4444</v>
      </c>
      <c r="B6156" s="46" t="s">
        <v>54670</v>
      </c>
      <c r="C6156" s="58" t="str">
        <f>"08920362"</f>
        <v>08920362</v>
      </c>
      <c r="D6156" s="58" t="str">
        <f>"18729738"</f>
        <v>18729738</v>
      </c>
      <c r="E6156" s="46" t="s">
        <v>272</v>
      </c>
      <c r="F6156" s="46" t="s">
        <v>17759</v>
      </c>
      <c r="G6156" s="46" t="s">
        <v>50584</v>
      </c>
      <c r="H6156" s="48" t="s">
        <v>56716</v>
      </c>
      <c r="I6156" s="48" t="s">
        <v>50564</v>
      </c>
      <c r="J6156" s="48" t="s">
        <v>56716</v>
      </c>
      <c r="K6156" s="50" t="s">
        <v>56716</v>
      </c>
      <c r="L6156" s="48" t="s">
        <v>56716</v>
      </c>
    </row>
    <row r="6157" spans="1:12" ht="11.25" x14ac:dyDescent="0.2">
      <c r="A6157" s="46" t="s">
        <v>3103</v>
      </c>
      <c r="B6157" s="46" t="s">
        <v>54671</v>
      </c>
      <c r="C6157" s="58" t="str">
        <f>"07332467"</f>
        <v>07332467</v>
      </c>
      <c r="D6157" s="58" t="str">
        <f>"15206777"</f>
        <v>15206777</v>
      </c>
      <c r="E6157" s="46" t="s">
        <v>517</v>
      </c>
      <c r="F6157" s="46" t="s">
        <v>17759</v>
      </c>
      <c r="G6157" s="46" t="s">
        <v>50584</v>
      </c>
      <c r="H6157" s="48" t="s">
        <v>56716</v>
      </c>
      <c r="I6157" s="48" t="s">
        <v>50564</v>
      </c>
      <c r="J6157" s="48"/>
      <c r="K6157" s="50" t="s">
        <v>56716</v>
      </c>
      <c r="L6157" s="48" t="s">
        <v>56716</v>
      </c>
    </row>
    <row r="6158" spans="1:12" ht="11.25" x14ac:dyDescent="0.2">
      <c r="A6158" s="46" t="s">
        <v>13736</v>
      </c>
      <c r="B6158" s="46" t="s">
        <v>54672</v>
      </c>
      <c r="C6158" s="58" t="str">
        <f>"18290825"</f>
        <v>18290825</v>
      </c>
      <c r="D6158" s="58" t="str">
        <f>""</f>
        <v/>
      </c>
      <c r="E6158" s="46" t="s">
        <v>13738</v>
      </c>
      <c r="F6158" s="46" t="s">
        <v>50641</v>
      </c>
      <c r="G6158" s="46" t="s">
        <v>50584</v>
      </c>
      <c r="H6158" s="48" t="s">
        <v>56716</v>
      </c>
      <c r="I6158" s="48" t="s">
        <v>50564</v>
      </c>
      <c r="J6158" s="48"/>
      <c r="K6158" s="57"/>
      <c r="L6158" s="48"/>
    </row>
    <row r="6159" spans="1:12" ht="11.25" x14ac:dyDescent="0.2">
      <c r="A6159" s="46" t="s">
        <v>12725</v>
      </c>
      <c r="B6159" s="46" t="s">
        <v>54673</v>
      </c>
      <c r="C6159" s="58" t="str">
        <f>"18716784"</f>
        <v>18716784</v>
      </c>
      <c r="D6159" s="58" t="str">
        <f>"18764347"</f>
        <v>18764347</v>
      </c>
      <c r="E6159" s="46" t="s">
        <v>91</v>
      </c>
      <c r="F6159" s="46" t="s">
        <v>18001</v>
      </c>
      <c r="G6159" s="46" t="s">
        <v>50584</v>
      </c>
      <c r="H6159" s="48" t="s">
        <v>56716</v>
      </c>
      <c r="I6159" s="48" t="s">
        <v>50564</v>
      </c>
      <c r="J6159" s="48" t="s">
        <v>56716</v>
      </c>
      <c r="K6159" s="50" t="s">
        <v>56716</v>
      </c>
      <c r="L6159" s="48" t="s">
        <v>56716</v>
      </c>
    </row>
    <row r="6160" spans="1:12" ht="11.25" x14ac:dyDescent="0.2">
      <c r="A6160" s="46" t="s">
        <v>15641</v>
      </c>
      <c r="B6160" s="46" t="s">
        <v>54674</v>
      </c>
      <c r="C6160" s="58" t="str">
        <f>"22109277"</f>
        <v>22109277</v>
      </c>
      <c r="D6160" s="58" t="str">
        <f>""</f>
        <v/>
      </c>
      <c r="E6160" s="46" t="s">
        <v>6405</v>
      </c>
      <c r="F6160" s="46" t="s">
        <v>18001</v>
      </c>
      <c r="G6160" s="46" t="s">
        <v>50584</v>
      </c>
      <c r="H6160" s="48" t="s">
        <v>56716</v>
      </c>
      <c r="I6160" s="48" t="s">
        <v>50565</v>
      </c>
      <c r="J6160" s="48" t="s">
        <v>56716</v>
      </c>
      <c r="K6160" s="57"/>
      <c r="L6160" s="48"/>
    </row>
    <row r="6161" spans="1:12" ht="11.25" x14ac:dyDescent="0.2">
      <c r="A6161" s="46" t="s">
        <v>56088</v>
      </c>
      <c r="B6161" s="46" t="s">
        <v>56089</v>
      </c>
      <c r="C6161" s="58" t="str">
        <f>"2044253X"</f>
        <v>2044253X</v>
      </c>
      <c r="D6161" s="58" t="str">
        <f>"20442548"</f>
        <v>20442548</v>
      </c>
      <c r="E6161" s="46" t="s">
        <v>6914</v>
      </c>
      <c r="F6161" s="46" t="s">
        <v>50646</v>
      </c>
      <c r="G6161" s="46" t="s">
        <v>50584</v>
      </c>
      <c r="H6161" s="48" t="s">
        <v>56716</v>
      </c>
      <c r="I6161" s="48" t="s">
        <v>50565</v>
      </c>
      <c r="J6161" s="48" t="s">
        <v>56716</v>
      </c>
      <c r="K6161" s="57"/>
      <c r="L6161" s="48"/>
    </row>
    <row r="6162" spans="1:12" ht="11.25" x14ac:dyDescent="0.2">
      <c r="A6162" s="45" t="s">
        <v>42282</v>
      </c>
      <c r="B6162" s="45" t="s">
        <v>42284</v>
      </c>
      <c r="C6162" s="51" t="s">
        <v>42287</v>
      </c>
      <c r="D6162" s="51" t="s">
        <v>42286</v>
      </c>
      <c r="E6162" s="45" t="s">
        <v>20207</v>
      </c>
      <c r="F6162" s="45" t="s">
        <v>17759</v>
      </c>
      <c r="G6162" s="45" t="s">
        <v>50584</v>
      </c>
      <c r="H6162" s="56"/>
      <c r="I6162" s="56" t="s">
        <v>50564</v>
      </c>
      <c r="J6162" s="56"/>
      <c r="K6162" s="57"/>
      <c r="L6162" s="56" t="s">
        <v>56716</v>
      </c>
    </row>
    <row r="6163" spans="1:12" ht="11.25" x14ac:dyDescent="0.2">
      <c r="A6163" s="45" t="s">
        <v>42289</v>
      </c>
      <c r="B6163" s="45" t="s">
        <v>42291</v>
      </c>
      <c r="C6163" s="51" t="s">
        <v>42294</v>
      </c>
      <c r="D6163" s="51" t="s">
        <v>42293</v>
      </c>
      <c r="E6163" s="45" t="s">
        <v>20207</v>
      </c>
      <c r="F6163" s="45" t="s">
        <v>17759</v>
      </c>
      <c r="G6163" s="45" t="s">
        <v>50584</v>
      </c>
      <c r="H6163" s="56"/>
      <c r="I6163" s="56" t="s">
        <v>50564</v>
      </c>
      <c r="J6163" s="56"/>
      <c r="K6163" s="57"/>
      <c r="L6163" s="56" t="s">
        <v>56716</v>
      </c>
    </row>
    <row r="6164" spans="1:12" ht="11.25" x14ac:dyDescent="0.2">
      <c r="A6164" s="46" t="s">
        <v>3066</v>
      </c>
      <c r="B6164" s="46" t="s">
        <v>54675</v>
      </c>
      <c r="C6164" s="58" t="str">
        <f>"00284793"</f>
        <v>00284793</v>
      </c>
      <c r="D6164" s="58" t="str">
        <f>"15334406"</f>
        <v>15334406</v>
      </c>
      <c r="E6164" s="46" t="s">
        <v>3069</v>
      </c>
      <c r="F6164" s="46" t="s">
        <v>17759</v>
      </c>
      <c r="G6164" s="46" t="s">
        <v>50584</v>
      </c>
      <c r="H6164" s="48" t="s">
        <v>56716</v>
      </c>
      <c r="I6164" s="48" t="s">
        <v>50564</v>
      </c>
      <c r="J6164" s="48" t="s">
        <v>56716</v>
      </c>
      <c r="K6164" s="57"/>
      <c r="L6164" s="48" t="s">
        <v>56716</v>
      </c>
    </row>
    <row r="6165" spans="1:12" ht="11.25" x14ac:dyDescent="0.2">
      <c r="A6165" s="46" t="s">
        <v>8189</v>
      </c>
      <c r="B6165" s="46" t="s">
        <v>54676</v>
      </c>
      <c r="C6165" s="58" t="str">
        <f>"14636778"</f>
        <v>14636778</v>
      </c>
      <c r="D6165" s="58" t="str">
        <f>"14699915"</f>
        <v>14699915</v>
      </c>
      <c r="E6165" s="46" t="s">
        <v>689</v>
      </c>
      <c r="F6165" s="46" t="s">
        <v>50646</v>
      </c>
      <c r="G6165" s="46" t="s">
        <v>50584</v>
      </c>
      <c r="H6165" s="48" t="s">
        <v>56716</v>
      </c>
      <c r="I6165" s="48" t="s">
        <v>50564</v>
      </c>
      <c r="J6165" s="48" t="s">
        <v>56716</v>
      </c>
      <c r="K6165" s="50" t="s">
        <v>56716</v>
      </c>
      <c r="L6165" s="48"/>
    </row>
    <row r="6166" spans="1:12" ht="11.25" x14ac:dyDescent="0.2">
      <c r="A6166" s="46" t="s">
        <v>56034</v>
      </c>
      <c r="B6166" s="46" t="s">
        <v>56035</v>
      </c>
      <c r="C6166" s="58" t="str">
        <f>""</f>
        <v/>
      </c>
      <c r="D6166" s="58" t="str">
        <f>"23075023"</f>
        <v>23075023</v>
      </c>
      <c r="E6166" s="46" t="s">
        <v>155</v>
      </c>
      <c r="F6166" s="46" t="s">
        <v>50646</v>
      </c>
      <c r="G6166" s="46" t="s">
        <v>50584</v>
      </c>
      <c r="H6166" s="48" t="s">
        <v>56716</v>
      </c>
      <c r="I6166" s="48" t="s">
        <v>50564</v>
      </c>
      <c r="J6166" s="48" t="s">
        <v>56716</v>
      </c>
      <c r="K6166" s="57"/>
      <c r="L6166" s="48"/>
    </row>
    <row r="6167" spans="1:12" ht="11.25" x14ac:dyDescent="0.2">
      <c r="A6167" s="45" t="s">
        <v>42302</v>
      </c>
      <c r="B6167" s="45" t="s">
        <v>42304</v>
      </c>
      <c r="C6167" s="51" t="s">
        <v>42306</v>
      </c>
      <c r="D6167" s="51"/>
      <c r="E6167" s="45" t="s">
        <v>42307</v>
      </c>
      <c r="F6167" s="45" t="s">
        <v>17759</v>
      </c>
      <c r="G6167" s="45" t="s">
        <v>50584</v>
      </c>
      <c r="H6167" s="56"/>
      <c r="I6167" s="56" t="s">
        <v>50564</v>
      </c>
      <c r="J6167" s="56"/>
      <c r="K6167" s="57"/>
      <c r="L6167" s="56" t="s">
        <v>56716</v>
      </c>
    </row>
    <row r="6168" spans="1:12" ht="11.25" x14ac:dyDescent="0.2">
      <c r="A6168" s="46" t="s">
        <v>7957</v>
      </c>
      <c r="B6168" s="46" t="s">
        <v>54677</v>
      </c>
      <c r="C6168" s="58" t="str">
        <f>"11440546"</f>
        <v>11440546</v>
      </c>
      <c r="D6168" s="58" t="str">
        <f>"13699261"</f>
        <v>13699261</v>
      </c>
      <c r="E6168" s="46" t="s">
        <v>6914</v>
      </c>
      <c r="F6168" s="46" t="s">
        <v>50646</v>
      </c>
      <c r="G6168" s="46" t="s">
        <v>50584</v>
      </c>
      <c r="H6168" s="48" t="s">
        <v>56716</v>
      </c>
      <c r="I6168" s="48" t="s">
        <v>50564</v>
      </c>
      <c r="J6168" s="48" t="s">
        <v>56716</v>
      </c>
      <c r="K6168" s="57"/>
      <c r="L6168" s="48"/>
    </row>
    <row r="6169" spans="1:12" ht="11.25" x14ac:dyDescent="0.2">
      <c r="A6169" s="46" t="s">
        <v>7995</v>
      </c>
      <c r="B6169" s="46" t="s">
        <v>54678</v>
      </c>
      <c r="C6169" s="58" t="str">
        <f>"14270994"</f>
        <v>14270994</v>
      </c>
      <c r="D6169" s="58" t="str">
        <f>"1731-2507"</f>
        <v>1731-2507</v>
      </c>
      <c r="E6169" s="46" t="s">
        <v>7997</v>
      </c>
      <c r="F6169" s="46" t="s">
        <v>17967</v>
      </c>
      <c r="G6169" s="46" t="s">
        <v>50584</v>
      </c>
      <c r="H6169" s="48" t="s">
        <v>56716</v>
      </c>
      <c r="I6169" s="48" t="s">
        <v>50564</v>
      </c>
      <c r="J6169" s="48"/>
      <c r="K6169" s="57"/>
      <c r="L6169" s="48"/>
    </row>
    <row r="6170" spans="1:12" ht="11.25" x14ac:dyDescent="0.2">
      <c r="A6170" s="46" t="s">
        <v>56036</v>
      </c>
      <c r="B6170" s="46" t="s">
        <v>56037</v>
      </c>
      <c r="C6170" s="58" t="str">
        <f>"20522975"</f>
        <v>20522975</v>
      </c>
      <c r="D6170" s="58" t="str">
        <f>""</f>
        <v/>
      </c>
      <c r="E6170" s="46" t="s">
        <v>155</v>
      </c>
      <c r="F6170" s="46" t="s">
        <v>50646</v>
      </c>
      <c r="G6170" s="46" t="s">
        <v>50584</v>
      </c>
      <c r="H6170" s="48" t="s">
        <v>56716</v>
      </c>
      <c r="I6170" s="48" t="s">
        <v>50564</v>
      </c>
      <c r="J6170" s="48" t="s">
        <v>56716</v>
      </c>
      <c r="K6170" s="57"/>
      <c r="L6170" s="48"/>
    </row>
    <row r="6171" spans="1:12" ht="11.25" x14ac:dyDescent="0.2">
      <c r="A6171" s="45" t="s">
        <v>42323</v>
      </c>
      <c r="B6171" s="45" t="s">
        <v>42325</v>
      </c>
      <c r="C6171" s="51" t="s">
        <v>42327</v>
      </c>
      <c r="D6171" s="51" t="s">
        <v>42326</v>
      </c>
      <c r="E6171" s="45" t="s">
        <v>19447</v>
      </c>
      <c r="F6171" s="45" t="s">
        <v>17759</v>
      </c>
      <c r="G6171" s="45" t="s">
        <v>50584</v>
      </c>
      <c r="H6171" s="56"/>
      <c r="I6171" s="56" t="s">
        <v>50564</v>
      </c>
      <c r="J6171" s="56"/>
      <c r="K6171" s="57"/>
      <c r="L6171" s="56" t="s">
        <v>56716</v>
      </c>
    </row>
    <row r="6172" spans="1:12" ht="11.25" x14ac:dyDescent="0.2">
      <c r="A6172" s="46" t="s">
        <v>7972</v>
      </c>
      <c r="B6172" s="46" t="s">
        <v>54679</v>
      </c>
      <c r="C6172" s="58" t="str">
        <f>"11710195"</f>
        <v>11710195</v>
      </c>
      <c r="D6172" s="58" t="str">
        <f>""</f>
        <v/>
      </c>
      <c r="E6172" s="46" t="s">
        <v>7974</v>
      </c>
      <c r="F6172" s="46" t="s">
        <v>19483</v>
      </c>
      <c r="G6172" s="46" t="s">
        <v>50584</v>
      </c>
      <c r="H6172" s="48" t="s">
        <v>56716</v>
      </c>
      <c r="I6172" s="48" t="s">
        <v>50564</v>
      </c>
      <c r="J6172" s="48"/>
      <c r="K6172" s="57"/>
      <c r="L6172" s="48"/>
    </row>
    <row r="6173" spans="1:12" ht="11.25" x14ac:dyDescent="0.2">
      <c r="A6173" s="46" t="s">
        <v>3224</v>
      </c>
      <c r="B6173" s="46" t="s">
        <v>54680</v>
      </c>
      <c r="C6173" s="58" t="str">
        <f>"00288446"</f>
        <v>00288446</v>
      </c>
      <c r="D6173" s="58" t="str">
        <f>"11758716"</f>
        <v>11758716</v>
      </c>
      <c r="E6173" s="46" t="s">
        <v>3227</v>
      </c>
      <c r="F6173" s="46" t="s">
        <v>19483</v>
      </c>
      <c r="G6173" s="46" t="s">
        <v>50584</v>
      </c>
      <c r="H6173" s="48" t="s">
        <v>56716</v>
      </c>
      <c r="I6173" s="48" t="s">
        <v>50564</v>
      </c>
      <c r="J6173" s="48"/>
      <c r="K6173" s="57"/>
      <c r="L6173" s="48" t="s">
        <v>56716</v>
      </c>
    </row>
    <row r="6174" spans="1:12" ht="11.25" x14ac:dyDescent="0.2">
      <c r="A6174" s="46" t="s">
        <v>10863</v>
      </c>
      <c r="B6174" s="46" t="s">
        <v>54681</v>
      </c>
      <c r="C6174" s="58" t="str">
        <f>"11762888"</f>
        <v>11762888</v>
      </c>
      <c r="D6174" s="58" t="str">
        <f>""</f>
        <v/>
      </c>
      <c r="E6174" s="46" t="s">
        <v>10865</v>
      </c>
      <c r="F6174" s="46" t="s">
        <v>19483</v>
      </c>
      <c r="G6174" s="46" t="s">
        <v>50584</v>
      </c>
      <c r="H6174" s="48" t="s">
        <v>56716</v>
      </c>
      <c r="I6174" s="48" t="s">
        <v>50564</v>
      </c>
      <c r="J6174" s="48"/>
      <c r="K6174" s="57"/>
      <c r="L6174" s="48"/>
    </row>
    <row r="6175" spans="1:12" ht="11.25" x14ac:dyDescent="0.2">
      <c r="A6175" s="45" t="s">
        <v>42353</v>
      </c>
      <c r="B6175" s="45" t="s">
        <v>42355</v>
      </c>
      <c r="C6175" s="51" t="s">
        <v>42356</v>
      </c>
      <c r="D6175" s="51"/>
      <c r="E6175" s="45" t="s">
        <v>42357</v>
      </c>
      <c r="F6175" s="45" t="s">
        <v>19483</v>
      </c>
      <c r="G6175" s="45" t="s">
        <v>50584</v>
      </c>
      <c r="H6175" s="56"/>
      <c r="I6175" s="56" t="s">
        <v>50564</v>
      </c>
      <c r="J6175" s="56"/>
      <c r="K6175" s="57"/>
      <c r="L6175" s="56" t="s">
        <v>56716</v>
      </c>
    </row>
    <row r="6176" spans="1:12" ht="11.25" x14ac:dyDescent="0.2">
      <c r="A6176" s="46" t="s">
        <v>13559</v>
      </c>
      <c r="B6176" s="46" t="s">
        <v>54682</v>
      </c>
      <c r="C6176" s="58" t="str">
        <f>""</f>
        <v/>
      </c>
      <c r="D6176" s="58" t="str">
        <f>""</f>
        <v/>
      </c>
      <c r="E6176" s="46" t="s">
        <v>13560</v>
      </c>
      <c r="F6176" s="46" t="s">
        <v>17759</v>
      </c>
      <c r="G6176" s="46" t="s">
        <v>50584</v>
      </c>
      <c r="H6176" s="48" t="s">
        <v>56716</v>
      </c>
      <c r="I6176" s="48" t="s">
        <v>50566</v>
      </c>
      <c r="J6176" s="48"/>
      <c r="K6176" s="57"/>
      <c r="L6176" s="48"/>
    </row>
    <row r="6177" spans="1:12" ht="11.25" x14ac:dyDescent="0.2">
      <c r="A6177" s="46" t="s">
        <v>8613</v>
      </c>
      <c r="B6177" s="46" t="s">
        <v>54683</v>
      </c>
      <c r="C6177" s="58" t="str">
        <f>"14622203"</f>
        <v>14622203</v>
      </c>
      <c r="D6177" s="58" t="str">
        <f>"1469994X"</f>
        <v>1469994X</v>
      </c>
      <c r="E6177" s="46" t="s">
        <v>55</v>
      </c>
      <c r="F6177" s="46" t="s">
        <v>50646</v>
      </c>
      <c r="G6177" s="46" t="s">
        <v>50584</v>
      </c>
      <c r="H6177" s="48" t="s">
        <v>56716</v>
      </c>
      <c r="I6177" s="48" t="s">
        <v>50564</v>
      </c>
      <c r="J6177" s="48" t="s">
        <v>56716</v>
      </c>
      <c r="K6177" s="57"/>
      <c r="L6177" s="48" t="s">
        <v>56716</v>
      </c>
    </row>
    <row r="6178" spans="1:12" ht="11.25" x14ac:dyDescent="0.2">
      <c r="A6178" s="46" t="s">
        <v>2956</v>
      </c>
      <c r="B6178" s="46" t="s">
        <v>54684</v>
      </c>
      <c r="C6178" s="58" t="str">
        <f>"10469516"</f>
        <v>10469516</v>
      </c>
      <c r="D6178" s="58" t="str">
        <f>""</f>
        <v/>
      </c>
      <c r="E6178" s="46" t="s">
        <v>2958</v>
      </c>
      <c r="F6178" s="46" t="s">
        <v>17759</v>
      </c>
      <c r="G6178" s="46" t="s">
        <v>50584</v>
      </c>
      <c r="H6178" s="48" t="s">
        <v>56716</v>
      </c>
      <c r="I6178" s="48" t="s">
        <v>50565</v>
      </c>
      <c r="J6178" s="48"/>
      <c r="K6178" s="57"/>
      <c r="L6178" s="48"/>
    </row>
    <row r="6179" spans="1:12" ht="11.25" x14ac:dyDescent="0.2">
      <c r="A6179" s="46" t="s">
        <v>3106</v>
      </c>
      <c r="B6179" s="46" t="s">
        <v>54685</v>
      </c>
      <c r="C6179" s="58" t="str">
        <f>"03005224"</f>
        <v>03005224</v>
      </c>
      <c r="D6179" s="58" t="str">
        <f>""</f>
        <v/>
      </c>
      <c r="E6179" s="46" t="s">
        <v>437</v>
      </c>
      <c r="F6179" s="46" t="s">
        <v>18158</v>
      </c>
      <c r="G6179" s="46" t="s">
        <v>50593</v>
      </c>
      <c r="H6179" s="48" t="s">
        <v>56716</v>
      </c>
      <c r="I6179" s="48" t="s">
        <v>50564</v>
      </c>
      <c r="J6179" s="48"/>
      <c r="K6179" s="57"/>
      <c r="L6179" s="48"/>
    </row>
    <row r="6180" spans="1:12" ht="11.25" x14ac:dyDescent="0.2">
      <c r="A6180" s="45" t="s">
        <v>42367</v>
      </c>
      <c r="B6180" s="45" t="s">
        <v>42369</v>
      </c>
      <c r="C6180" s="51" t="s">
        <v>42370</v>
      </c>
      <c r="D6180" s="51"/>
      <c r="E6180" s="45" t="s">
        <v>19057</v>
      </c>
      <c r="F6180" s="45" t="s">
        <v>20446</v>
      </c>
      <c r="G6180" s="45" t="s">
        <v>50584</v>
      </c>
      <c r="H6180" s="56"/>
      <c r="I6180" s="56" t="s">
        <v>50564</v>
      </c>
      <c r="J6180" s="56"/>
      <c r="K6180" s="57"/>
      <c r="L6180" s="56" t="s">
        <v>56716</v>
      </c>
    </row>
    <row r="6181" spans="1:12" ht="11.25" x14ac:dyDescent="0.2">
      <c r="A6181" s="45" t="s">
        <v>42372</v>
      </c>
      <c r="B6181" s="45" t="s">
        <v>42374</v>
      </c>
      <c r="C6181" s="51" t="s">
        <v>42375</v>
      </c>
      <c r="D6181" s="51"/>
      <c r="E6181" s="45" t="s">
        <v>19282</v>
      </c>
      <c r="F6181" s="45" t="s">
        <v>19049</v>
      </c>
      <c r="G6181" s="45" t="s">
        <v>50584</v>
      </c>
      <c r="H6181" s="56"/>
      <c r="I6181" s="56" t="s">
        <v>50564</v>
      </c>
      <c r="J6181" s="56"/>
      <c r="K6181" s="57"/>
      <c r="L6181" s="56" t="s">
        <v>56716</v>
      </c>
    </row>
    <row r="6182" spans="1:12" ht="11.25" x14ac:dyDescent="0.2">
      <c r="A6182" s="46" t="s">
        <v>14146</v>
      </c>
      <c r="B6182" s="46" t="s">
        <v>54686</v>
      </c>
      <c r="C6182" s="58" t="str">
        <f>"11174145"</f>
        <v>11174145</v>
      </c>
      <c r="D6182" s="58" t="str">
        <f>""</f>
        <v/>
      </c>
      <c r="E6182" s="46" t="s">
        <v>56411</v>
      </c>
      <c r="F6182" s="46" t="s">
        <v>24311</v>
      </c>
      <c r="G6182" s="46" t="s">
        <v>50584</v>
      </c>
      <c r="H6182" s="48" t="s">
        <v>56716</v>
      </c>
      <c r="I6182" s="48" t="s">
        <v>50564</v>
      </c>
      <c r="J6182" s="48"/>
      <c r="K6182" s="57"/>
      <c r="L6182" s="48"/>
    </row>
    <row r="6183" spans="1:12" ht="11.25" x14ac:dyDescent="0.2">
      <c r="A6183" s="45" t="s">
        <v>42377</v>
      </c>
      <c r="B6183" s="45" t="s">
        <v>42379</v>
      </c>
      <c r="C6183" s="51" t="s">
        <v>42380</v>
      </c>
      <c r="D6183" s="51"/>
      <c r="E6183" s="45" t="s">
        <v>42381</v>
      </c>
      <c r="F6183" s="45" t="s">
        <v>19049</v>
      </c>
      <c r="G6183" s="45" t="s">
        <v>50584</v>
      </c>
      <c r="H6183" s="56"/>
      <c r="I6183" s="56" t="s">
        <v>50564</v>
      </c>
      <c r="J6183" s="56"/>
      <c r="K6183" s="57"/>
      <c r="L6183" s="56" t="s">
        <v>56716</v>
      </c>
    </row>
    <row r="6184" spans="1:12" ht="11.25" x14ac:dyDescent="0.2">
      <c r="A6184" s="45" t="s">
        <v>42389</v>
      </c>
      <c r="B6184" s="45" t="s">
        <v>42391</v>
      </c>
      <c r="C6184" s="51" t="s">
        <v>42392</v>
      </c>
      <c r="D6184" s="51"/>
      <c r="E6184" s="45" t="s">
        <v>42393</v>
      </c>
      <c r="F6184" s="45" t="s">
        <v>19049</v>
      </c>
      <c r="G6184" s="45" t="s">
        <v>50584</v>
      </c>
      <c r="H6184" s="56"/>
      <c r="I6184" s="56" t="s">
        <v>50564</v>
      </c>
      <c r="J6184" s="56"/>
      <c r="K6184" s="57"/>
      <c r="L6184" s="56" t="s">
        <v>56716</v>
      </c>
    </row>
    <row r="6185" spans="1:12" ht="11.25" x14ac:dyDescent="0.2">
      <c r="A6185" s="45" t="s">
        <v>42395</v>
      </c>
      <c r="B6185" s="45" t="s">
        <v>42397</v>
      </c>
      <c r="C6185" s="51" t="s">
        <v>42400</v>
      </c>
      <c r="D6185" s="51" t="s">
        <v>42399</v>
      </c>
      <c r="E6185" s="45" t="s">
        <v>42401</v>
      </c>
      <c r="F6185" s="45" t="s">
        <v>17759</v>
      </c>
      <c r="G6185" s="45" t="s">
        <v>50584</v>
      </c>
      <c r="H6185" s="56"/>
      <c r="I6185" s="56" t="s">
        <v>50564</v>
      </c>
      <c r="J6185" s="56"/>
      <c r="K6185" s="57"/>
      <c r="L6185" s="56" t="s">
        <v>56716</v>
      </c>
    </row>
    <row r="6186" spans="1:12" ht="11.25" x14ac:dyDescent="0.2">
      <c r="A6186" s="45" t="s">
        <v>42404</v>
      </c>
      <c r="B6186" s="45" t="s">
        <v>42406</v>
      </c>
      <c r="C6186" s="51"/>
      <c r="D6186" s="51" t="s">
        <v>42408</v>
      </c>
      <c r="E6186" s="45" t="s">
        <v>42409</v>
      </c>
      <c r="F6186" s="45" t="s">
        <v>17759</v>
      </c>
      <c r="G6186" s="45" t="s">
        <v>50584</v>
      </c>
      <c r="H6186" s="56"/>
      <c r="I6186" s="56" t="s">
        <v>50564</v>
      </c>
      <c r="J6186" s="56"/>
      <c r="K6186" s="57"/>
      <c r="L6186" s="56" t="s">
        <v>56716</v>
      </c>
    </row>
    <row r="6187" spans="1:12" ht="11.25" x14ac:dyDescent="0.2">
      <c r="A6187" s="45" t="s">
        <v>42411</v>
      </c>
      <c r="B6187" s="45" t="s">
        <v>42413</v>
      </c>
      <c r="C6187" s="51" t="s">
        <v>42415</v>
      </c>
      <c r="D6187" s="51"/>
      <c r="E6187" s="45" t="s">
        <v>42416</v>
      </c>
      <c r="F6187" s="45" t="s">
        <v>18242</v>
      </c>
      <c r="G6187" s="45" t="s">
        <v>50605</v>
      </c>
      <c r="H6187" s="56"/>
      <c r="I6187" s="56" t="s">
        <v>50564</v>
      </c>
      <c r="J6187" s="56"/>
      <c r="K6187" s="57"/>
      <c r="L6187" s="56" t="s">
        <v>56716</v>
      </c>
    </row>
    <row r="6188" spans="1:12" ht="11.25" x14ac:dyDescent="0.2">
      <c r="A6188" s="45" t="s">
        <v>42418</v>
      </c>
      <c r="B6188" s="45" t="s">
        <v>42420</v>
      </c>
      <c r="C6188" s="51" t="s">
        <v>42422</v>
      </c>
      <c r="D6188" s="51" t="s">
        <v>42421</v>
      </c>
      <c r="E6188" s="45" t="s">
        <v>42423</v>
      </c>
      <c r="F6188" s="45" t="s">
        <v>18242</v>
      </c>
      <c r="G6188" s="45" t="s">
        <v>50605</v>
      </c>
      <c r="H6188" s="56"/>
      <c r="I6188" s="56" t="s">
        <v>50564</v>
      </c>
      <c r="J6188" s="56"/>
      <c r="K6188" s="57"/>
      <c r="L6188" s="56" t="s">
        <v>56716</v>
      </c>
    </row>
    <row r="6189" spans="1:12" ht="11.25" x14ac:dyDescent="0.2">
      <c r="A6189" s="45" t="s">
        <v>42425</v>
      </c>
      <c r="B6189" s="45" t="s">
        <v>42427</v>
      </c>
      <c r="C6189" s="51" t="s">
        <v>42430</v>
      </c>
      <c r="D6189" s="51" t="s">
        <v>42429</v>
      </c>
      <c r="E6189" s="45" t="s">
        <v>42431</v>
      </c>
      <c r="F6189" s="45" t="s">
        <v>18242</v>
      </c>
      <c r="G6189" s="45" t="s">
        <v>50605</v>
      </c>
      <c r="H6189" s="56"/>
      <c r="I6189" s="56" t="s">
        <v>50564</v>
      </c>
      <c r="J6189" s="56"/>
      <c r="K6189" s="57"/>
      <c r="L6189" s="56" t="s">
        <v>56716</v>
      </c>
    </row>
    <row r="6190" spans="1:12" ht="11.25" x14ac:dyDescent="0.2">
      <c r="A6190" s="45" t="s">
        <v>42440</v>
      </c>
      <c r="B6190" s="45" t="s">
        <v>42442</v>
      </c>
      <c r="C6190" s="51" t="s">
        <v>42445</v>
      </c>
      <c r="D6190" s="51" t="s">
        <v>42444</v>
      </c>
      <c r="E6190" s="45" t="s">
        <v>42446</v>
      </c>
      <c r="F6190" s="45" t="s">
        <v>18242</v>
      </c>
      <c r="G6190" s="45" t="s">
        <v>50605</v>
      </c>
      <c r="H6190" s="56"/>
      <c r="I6190" s="56" t="s">
        <v>50564</v>
      </c>
      <c r="J6190" s="56"/>
      <c r="K6190" s="57"/>
      <c r="L6190" s="56" t="s">
        <v>56716</v>
      </c>
    </row>
    <row r="6191" spans="1:12" ht="11.25" x14ac:dyDescent="0.2">
      <c r="A6191" s="45" t="s">
        <v>42448</v>
      </c>
      <c r="B6191" s="45" t="s">
        <v>42450</v>
      </c>
      <c r="C6191" s="51" t="s">
        <v>42452</v>
      </c>
      <c r="D6191" s="51"/>
      <c r="E6191" s="45" t="s">
        <v>42453</v>
      </c>
      <c r="F6191" s="45" t="s">
        <v>18242</v>
      </c>
      <c r="G6191" s="45" t="s">
        <v>50605</v>
      </c>
      <c r="H6191" s="56"/>
      <c r="I6191" s="56" t="s">
        <v>50564</v>
      </c>
      <c r="J6191" s="56"/>
      <c r="K6191" s="57"/>
      <c r="L6191" s="56" t="s">
        <v>56716</v>
      </c>
    </row>
    <row r="6192" spans="1:12" ht="11.25" x14ac:dyDescent="0.2">
      <c r="A6192" s="45" t="s">
        <v>42456</v>
      </c>
      <c r="B6192" s="45" t="s">
        <v>42458</v>
      </c>
      <c r="C6192" s="51" t="s">
        <v>42460</v>
      </c>
      <c r="D6192" s="51" t="s">
        <v>42459</v>
      </c>
      <c r="E6192" s="45" t="s">
        <v>42461</v>
      </c>
      <c r="F6192" s="45" t="s">
        <v>18242</v>
      </c>
      <c r="G6192" s="45" t="s">
        <v>50605</v>
      </c>
      <c r="H6192" s="56"/>
      <c r="I6192" s="56" t="s">
        <v>50564</v>
      </c>
      <c r="J6192" s="56"/>
      <c r="K6192" s="57"/>
      <c r="L6192" s="56" t="s">
        <v>56716</v>
      </c>
    </row>
    <row r="6193" spans="1:12" ht="11.25" x14ac:dyDescent="0.2">
      <c r="A6193" s="45" t="s">
        <v>42463</v>
      </c>
      <c r="B6193" s="45" t="s">
        <v>42465</v>
      </c>
      <c r="C6193" s="51" t="s">
        <v>42467</v>
      </c>
      <c r="D6193" s="51"/>
      <c r="E6193" s="45" t="s">
        <v>42465</v>
      </c>
      <c r="F6193" s="45" t="s">
        <v>18242</v>
      </c>
      <c r="G6193" s="45" t="s">
        <v>50604</v>
      </c>
      <c r="H6193" s="56"/>
      <c r="I6193" s="56" t="s">
        <v>50564</v>
      </c>
      <c r="J6193" s="56"/>
      <c r="K6193" s="57"/>
      <c r="L6193" s="56" t="s">
        <v>56716</v>
      </c>
    </row>
    <row r="6194" spans="1:12" ht="11.25" x14ac:dyDescent="0.2">
      <c r="A6194" s="45" t="s">
        <v>42469</v>
      </c>
      <c r="B6194" s="45" t="s">
        <v>42471</v>
      </c>
      <c r="C6194" s="51" t="s">
        <v>42474</v>
      </c>
      <c r="D6194" s="51" t="s">
        <v>42473</v>
      </c>
      <c r="E6194" s="45" t="s">
        <v>42475</v>
      </c>
      <c r="F6194" s="45" t="s">
        <v>18242</v>
      </c>
      <c r="G6194" s="45" t="s">
        <v>50605</v>
      </c>
      <c r="H6194" s="56"/>
      <c r="I6194" s="56" t="s">
        <v>50564</v>
      </c>
      <c r="J6194" s="56"/>
      <c r="K6194" s="57"/>
      <c r="L6194" s="56" t="s">
        <v>56716</v>
      </c>
    </row>
    <row r="6195" spans="1:12" ht="11.25" x14ac:dyDescent="0.2">
      <c r="A6195" s="45" t="s">
        <v>42488</v>
      </c>
      <c r="B6195" s="45" t="s">
        <v>42490</v>
      </c>
      <c r="C6195" s="51" t="s">
        <v>42493</v>
      </c>
      <c r="D6195" s="51" t="s">
        <v>42492</v>
      </c>
      <c r="E6195" s="45" t="s">
        <v>42494</v>
      </c>
      <c r="F6195" s="45" t="s">
        <v>18242</v>
      </c>
      <c r="G6195" s="45" t="s">
        <v>50605</v>
      </c>
      <c r="H6195" s="56"/>
      <c r="I6195" s="56" t="s">
        <v>50564</v>
      </c>
      <c r="J6195" s="56"/>
      <c r="K6195" s="57"/>
      <c r="L6195" s="56" t="s">
        <v>56716</v>
      </c>
    </row>
    <row r="6196" spans="1:12" ht="11.25" x14ac:dyDescent="0.2">
      <c r="A6196" s="45" t="s">
        <v>42501</v>
      </c>
      <c r="B6196" s="45" t="s">
        <v>42503</v>
      </c>
      <c r="C6196" s="51" t="s">
        <v>42505</v>
      </c>
      <c r="D6196" s="51"/>
      <c r="E6196" s="45" t="s">
        <v>42506</v>
      </c>
      <c r="F6196" s="45" t="s">
        <v>18242</v>
      </c>
      <c r="G6196" s="45" t="s">
        <v>50604</v>
      </c>
      <c r="H6196" s="56"/>
      <c r="I6196" s="56" t="s">
        <v>50564</v>
      </c>
      <c r="J6196" s="56"/>
      <c r="K6196" s="57"/>
      <c r="L6196" s="56" t="s">
        <v>56716</v>
      </c>
    </row>
    <row r="6197" spans="1:12" ht="11.25" x14ac:dyDescent="0.2">
      <c r="A6197" s="45" t="s">
        <v>42508</v>
      </c>
      <c r="B6197" s="45" t="s">
        <v>42510</v>
      </c>
      <c r="C6197" s="51" t="s">
        <v>42511</v>
      </c>
      <c r="D6197" s="51"/>
      <c r="E6197" s="45" t="s">
        <v>30105</v>
      </c>
      <c r="F6197" s="45" t="s">
        <v>18242</v>
      </c>
      <c r="G6197" s="45" t="s">
        <v>50605</v>
      </c>
      <c r="H6197" s="56"/>
      <c r="I6197" s="56" t="s">
        <v>50564</v>
      </c>
      <c r="J6197" s="56"/>
      <c r="K6197" s="57"/>
      <c r="L6197" s="56" t="s">
        <v>56716</v>
      </c>
    </row>
    <row r="6198" spans="1:12" ht="11.25" x14ac:dyDescent="0.2">
      <c r="A6198" s="45" t="s">
        <v>42513</v>
      </c>
      <c r="B6198" s="45" t="s">
        <v>42515</v>
      </c>
      <c r="C6198" s="51" t="s">
        <v>42518</v>
      </c>
      <c r="D6198" s="51" t="s">
        <v>42517</v>
      </c>
      <c r="E6198" s="45" t="s">
        <v>42519</v>
      </c>
      <c r="F6198" s="45" t="s">
        <v>18242</v>
      </c>
      <c r="G6198" s="45" t="s">
        <v>50605</v>
      </c>
      <c r="H6198" s="56"/>
      <c r="I6198" s="56" t="s">
        <v>50564</v>
      </c>
      <c r="J6198" s="56"/>
      <c r="K6198" s="57"/>
      <c r="L6198" s="56" t="s">
        <v>56716</v>
      </c>
    </row>
    <row r="6199" spans="1:12" ht="11.25" x14ac:dyDescent="0.2">
      <c r="A6199" s="45" t="s">
        <v>42521</v>
      </c>
      <c r="B6199" s="45" t="s">
        <v>42523</v>
      </c>
      <c r="C6199" s="51" t="s">
        <v>42525</v>
      </c>
      <c r="D6199" s="51"/>
      <c r="E6199" s="45" t="s">
        <v>42526</v>
      </c>
      <c r="F6199" s="45" t="s">
        <v>18242</v>
      </c>
      <c r="G6199" s="45" t="s">
        <v>50605</v>
      </c>
      <c r="H6199" s="56"/>
      <c r="I6199" s="56" t="s">
        <v>50564</v>
      </c>
      <c r="J6199" s="56"/>
      <c r="K6199" s="57"/>
      <c r="L6199" s="56" t="s">
        <v>56716</v>
      </c>
    </row>
    <row r="6200" spans="1:12" ht="11.25" x14ac:dyDescent="0.2">
      <c r="A6200" s="45" t="s">
        <v>42546</v>
      </c>
      <c r="B6200" s="45" t="s">
        <v>42548</v>
      </c>
      <c r="C6200" s="51" t="s">
        <v>42549</v>
      </c>
      <c r="D6200" s="51"/>
      <c r="E6200" s="45" t="s">
        <v>42550</v>
      </c>
      <c r="F6200" s="45" t="s">
        <v>18242</v>
      </c>
      <c r="G6200" s="45" t="s">
        <v>50605</v>
      </c>
      <c r="H6200" s="56"/>
      <c r="I6200" s="56" t="s">
        <v>50564</v>
      </c>
      <c r="J6200" s="56"/>
      <c r="K6200" s="57"/>
      <c r="L6200" s="56" t="s">
        <v>56716</v>
      </c>
    </row>
    <row r="6201" spans="1:12" ht="11.25" x14ac:dyDescent="0.2">
      <c r="A6201" s="46" t="s">
        <v>3127</v>
      </c>
      <c r="B6201" s="46" t="s">
        <v>54687</v>
      </c>
      <c r="C6201" s="58" t="str">
        <f>"03869784"</f>
        <v>03869784</v>
      </c>
      <c r="D6201" s="58" t="str">
        <f>"18804047 "</f>
        <v xml:space="preserve">18804047 </v>
      </c>
      <c r="E6201" s="46" t="s">
        <v>56475</v>
      </c>
      <c r="F6201" s="46" t="s">
        <v>18242</v>
      </c>
      <c r="G6201" s="46" t="s">
        <v>50604</v>
      </c>
      <c r="H6201" s="48" t="s">
        <v>56716</v>
      </c>
      <c r="I6201" s="48" t="s">
        <v>50564</v>
      </c>
      <c r="J6201" s="48"/>
      <c r="K6201" s="57"/>
      <c r="L6201" s="48"/>
    </row>
    <row r="6202" spans="1:12" ht="11.25" x14ac:dyDescent="0.2">
      <c r="A6202" s="46" t="s">
        <v>7263</v>
      </c>
      <c r="B6202" s="46" t="s">
        <v>54688</v>
      </c>
      <c r="C6202" s="58" t="str">
        <f>"10898603"</f>
        <v>10898603</v>
      </c>
      <c r="D6202" s="58" t="str">
        <f>"10898611"</f>
        <v>10898611</v>
      </c>
      <c r="E6202" s="46" t="s">
        <v>60</v>
      </c>
      <c r="F6202" s="46" t="s">
        <v>17759</v>
      </c>
      <c r="G6202" s="46" t="s">
        <v>50584</v>
      </c>
      <c r="H6202" s="48" t="s">
        <v>56716</v>
      </c>
      <c r="I6202" s="48" t="s">
        <v>50564</v>
      </c>
      <c r="J6202" s="48" t="s">
        <v>56716</v>
      </c>
      <c r="K6202" s="50" t="s">
        <v>56716</v>
      </c>
      <c r="L6202" s="48" t="s">
        <v>56716</v>
      </c>
    </row>
    <row r="6203" spans="1:12" ht="11.25" x14ac:dyDescent="0.2">
      <c r="A6203" s="46" t="s">
        <v>16488</v>
      </c>
      <c r="B6203" s="46" t="s">
        <v>54689</v>
      </c>
      <c r="C6203" s="58" t="str">
        <f>"22497110"</f>
        <v>22497110</v>
      </c>
      <c r="D6203" s="58" t="str">
        <f>""</f>
        <v/>
      </c>
      <c r="E6203" s="46" t="s">
        <v>56130</v>
      </c>
      <c r="F6203" s="46" t="s">
        <v>20446</v>
      </c>
      <c r="G6203" s="46" t="s">
        <v>50584</v>
      </c>
      <c r="H6203" s="48" t="s">
        <v>56716</v>
      </c>
      <c r="I6203" s="48" t="s">
        <v>50564</v>
      </c>
      <c r="J6203" s="48"/>
      <c r="K6203" s="57"/>
      <c r="L6203" s="48"/>
    </row>
    <row r="6204" spans="1:12" ht="11.25" x14ac:dyDescent="0.2">
      <c r="A6204" s="46" t="s">
        <v>5400</v>
      </c>
      <c r="B6204" s="46" t="s">
        <v>54690</v>
      </c>
      <c r="C6204" s="58" t="str">
        <f>"09523480"</f>
        <v>09523480</v>
      </c>
      <c r="D6204" s="58" t="str">
        <f>"10991492"</f>
        <v>10991492</v>
      </c>
      <c r="E6204" s="46" t="s">
        <v>751</v>
      </c>
      <c r="F6204" s="46" t="s">
        <v>50646</v>
      </c>
      <c r="G6204" s="46" t="s">
        <v>50584</v>
      </c>
      <c r="H6204" s="48" t="s">
        <v>56716</v>
      </c>
      <c r="I6204" s="48" t="s">
        <v>50564</v>
      </c>
      <c r="J6204" s="48" t="s">
        <v>56716</v>
      </c>
      <c r="K6204" s="50" t="s">
        <v>56716</v>
      </c>
      <c r="L6204" s="48" t="s">
        <v>56716</v>
      </c>
    </row>
    <row r="6205" spans="1:12" ht="11.25" x14ac:dyDescent="0.2">
      <c r="A6205" s="46" t="s">
        <v>3187</v>
      </c>
      <c r="B6205" s="46" t="s">
        <v>3187</v>
      </c>
      <c r="C6205" s="58" t="str">
        <f>"00290831"</f>
        <v>00290831</v>
      </c>
      <c r="D6205" s="58" t="str">
        <f>""</f>
        <v/>
      </c>
      <c r="E6205" s="46" t="s">
        <v>3189</v>
      </c>
      <c r="F6205" s="46" t="s">
        <v>18242</v>
      </c>
      <c r="G6205" s="46" t="s">
        <v>50604</v>
      </c>
      <c r="H6205" s="48" t="s">
        <v>56716</v>
      </c>
      <c r="I6205" s="48" t="s">
        <v>50564</v>
      </c>
      <c r="J6205" s="48"/>
      <c r="K6205" s="57"/>
      <c r="L6205" s="48" t="s">
        <v>56716</v>
      </c>
    </row>
    <row r="6206" spans="1:12" ht="11.25" x14ac:dyDescent="0.2">
      <c r="A6206" s="46" t="s">
        <v>11317</v>
      </c>
      <c r="B6206" s="46" t="s">
        <v>54691</v>
      </c>
      <c r="C6206" s="58" t="str">
        <f>"13052381"</f>
        <v>13052381</v>
      </c>
      <c r="D6206" s="58" t="str">
        <f>""</f>
        <v/>
      </c>
      <c r="E6206" s="46" t="s">
        <v>11319</v>
      </c>
      <c r="F6206" s="46" t="s">
        <v>18396</v>
      </c>
      <c r="G6206" s="46" t="s">
        <v>50638</v>
      </c>
      <c r="H6206" s="48" t="s">
        <v>56716</v>
      </c>
      <c r="I6206" s="48" t="s">
        <v>50564</v>
      </c>
      <c r="J6206" s="48"/>
      <c r="K6206" s="57"/>
      <c r="L6206" s="48"/>
    </row>
    <row r="6207" spans="1:12" ht="11.25" x14ac:dyDescent="0.2">
      <c r="A6207" s="45" t="s">
        <v>42572</v>
      </c>
      <c r="B6207" s="45" t="s">
        <v>42574</v>
      </c>
      <c r="C6207" s="51" t="s">
        <v>42576</v>
      </c>
      <c r="D6207" s="51" t="s">
        <v>42575</v>
      </c>
      <c r="E6207" s="45" t="s">
        <v>42577</v>
      </c>
      <c r="F6207" s="45" t="s">
        <v>20446</v>
      </c>
      <c r="G6207" s="45" t="s">
        <v>50584</v>
      </c>
      <c r="H6207" s="56"/>
      <c r="I6207" s="56" t="s">
        <v>50564</v>
      </c>
      <c r="J6207" s="56"/>
      <c r="K6207" s="57"/>
      <c r="L6207" s="56" t="s">
        <v>56716</v>
      </c>
    </row>
    <row r="6208" spans="1:12" ht="11.25" x14ac:dyDescent="0.2">
      <c r="A6208" s="46" t="s">
        <v>12427</v>
      </c>
      <c r="B6208" s="46" t="s">
        <v>54692</v>
      </c>
      <c r="C6208" s="58" t="str">
        <f>""</f>
        <v/>
      </c>
      <c r="D6208" s="58" t="str">
        <f>"17534631"</f>
        <v>17534631</v>
      </c>
      <c r="E6208" s="46" t="s">
        <v>2299</v>
      </c>
      <c r="F6208" s="46" t="s">
        <v>50646</v>
      </c>
      <c r="G6208" s="46" t="s">
        <v>50584</v>
      </c>
      <c r="H6208" s="48" t="s">
        <v>56716</v>
      </c>
      <c r="I6208" s="48" t="s">
        <v>50564</v>
      </c>
      <c r="J6208" s="48" t="s">
        <v>56716</v>
      </c>
      <c r="K6208" s="57"/>
      <c r="L6208" s="48"/>
    </row>
    <row r="6209" spans="1:12" ht="11.25" x14ac:dyDescent="0.2">
      <c r="A6209" s="45" t="s">
        <v>42579</v>
      </c>
      <c r="B6209" s="45" t="s">
        <v>42581</v>
      </c>
      <c r="C6209" s="51" t="s">
        <v>42582</v>
      </c>
      <c r="D6209" s="51"/>
      <c r="E6209" s="45" t="s">
        <v>42583</v>
      </c>
      <c r="F6209" s="45" t="s">
        <v>17759</v>
      </c>
      <c r="G6209" s="45" t="s">
        <v>50584</v>
      </c>
      <c r="H6209" s="56"/>
      <c r="I6209" s="56" t="s">
        <v>50564</v>
      </c>
      <c r="J6209" s="56"/>
      <c r="K6209" s="57"/>
      <c r="L6209" s="56" t="s">
        <v>56716</v>
      </c>
    </row>
    <row r="6210" spans="1:12" ht="11.25" x14ac:dyDescent="0.2">
      <c r="A6210" s="46" t="s">
        <v>5855</v>
      </c>
      <c r="B6210" s="46" t="s">
        <v>54693</v>
      </c>
      <c r="C6210" s="58" t="str">
        <f>"08039488"</f>
        <v>08039488</v>
      </c>
      <c r="D6210" s="58" t="str">
        <f>"15024725"</f>
        <v>15024725</v>
      </c>
      <c r="E6210" s="46" t="s">
        <v>291</v>
      </c>
      <c r="F6210" s="46" t="s">
        <v>50646</v>
      </c>
      <c r="G6210" s="46" t="s">
        <v>50584</v>
      </c>
      <c r="H6210" s="48" t="s">
        <v>56716</v>
      </c>
      <c r="I6210" s="48" t="s">
        <v>50564</v>
      </c>
      <c r="J6210" s="48"/>
      <c r="K6210" s="57"/>
      <c r="L6210" s="48" t="s">
        <v>56716</v>
      </c>
    </row>
    <row r="6211" spans="1:12" ht="11.25" x14ac:dyDescent="0.2">
      <c r="A6211" s="46" t="s">
        <v>3138</v>
      </c>
      <c r="B6211" s="46" t="s">
        <v>54694</v>
      </c>
      <c r="C6211" s="58" t="str">
        <f>"13000667"</f>
        <v>13000667</v>
      </c>
      <c r="D6211" s="58" t="str">
        <f>""</f>
        <v/>
      </c>
      <c r="E6211" s="46" t="s">
        <v>3140</v>
      </c>
      <c r="F6211" s="46" t="s">
        <v>18396</v>
      </c>
      <c r="G6211" s="46" t="s">
        <v>50637</v>
      </c>
      <c r="H6211" s="48" t="s">
        <v>56716</v>
      </c>
      <c r="I6211" s="48" t="s">
        <v>50564</v>
      </c>
      <c r="J6211" s="48"/>
      <c r="K6211" s="57"/>
      <c r="L6211" s="48"/>
    </row>
    <row r="6212" spans="1:12" ht="11.25" x14ac:dyDescent="0.2">
      <c r="A6212" s="46" t="s">
        <v>10504</v>
      </c>
      <c r="B6212" s="46" t="s">
        <v>54695</v>
      </c>
      <c r="C6212" s="58" t="str">
        <f>"08032491"</f>
        <v>08032491</v>
      </c>
      <c r="D6212" s="58" t="str">
        <f>""</f>
        <v/>
      </c>
      <c r="E6212" s="46" t="s">
        <v>10506</v>
      </c>
      <c r="F6212" s="45" t="s">
        <v>18138</v>
      </c>
      <c r="G6212" s="46" t="s">
        <v>50608</v>
      </c>
      <c r="H6212" s="48" t="s">
        <v>56716</v>
      </c>
      <c r="I6212" s="48" t="s">
        <v>50564</v>
      </c>
      <c r="J6212" s="48"/>
      <c r="K6212" s="57"/>
      <c r="L6212" s="48"/>
    </row>
    <row r="6213" spans="1:12" ht="11.25" x14ac:dyDescent="0.2">
      <c r="A6213" s="46" t="s">
        <v>15126</v>
      </c>
      <c r="B6213" s="46" t="s">
        <v>54696</v>
      </c>
      <c r="C6213" s="58" t="str">
        <f>"22501541"</f>
        <v>22501541</v>
      </c>
      <c r="D6213" s="58" t="str">
        <f>"19472714"</f>
        <v>19472714</v>
      </c>
      <c r="E6213" s="46" t="s">
        <v>15126</v>
      </c>
      <c r="F6213" s="46" t="s">
        <v>18959</v>
      </c>
      <c r="G6213" s="46" t="s">
        <v>50584</v>
      </c>
      <c r="H6213" s="48" t="s">
        <v>56716</v>
      </c>
      <c r="I6213" s="48" t="s">
        <v>50564</v>
      </c>
      <c r="J6213" s="48"/>
      <c r="K6213" s="57"/>
      <c r="L6213" s="48"/>
    </row>
    <row r="6214" spans="1:12" ht="11.25" x14ac:dyDescent="0.2">
      <c r="A6214" s="46" t="s">
        <v>9494</v>
      </c>
      <c r="B6214" s="46" t="s">
        <v>54697</v>
      </c>
      <c r="C6214" s="58" t="str">
        <f>"20425503"</f>
        <v>20425503</v>
      </c>
      <c r="D6214" s="58" t="str">
        <f>"20425511"</f>
        <v>20425511</v>
      </c>
      <c r="E6214" s="46" t="s">
        <v>9386</v>
      </c>
      <c r="F6214" s="46" t="s">
        <v>50646</v>
      </c>
      <c r="G6214" s="46" t="s">
        <v>50584</v>
      </c>
      <c r="H6214" s="48" t="s">
        <v>56716</v>
      </c>
      <c r="I6214" s="48" t="s">
        <v>50564</v>
      </c>
      <c r="J6214" s="48"/>
      <c r="K6214" s="57"/>
      <c r="L6214" s="48"/>
    </row>
    <row r="6215" spans="1:12" ht="11.25" x14ac:dyDescent="0.2">
      <c r="A6215" s="45" t="s">
        <v>42592</v>
      </c>
      <c r="B6215" s="45" t="s">
        <v>42594</v>
      </c>
      <c r="C6215" s="51" t="s">
        <v>42595</v>
      </c>
      <c r="D6215" s="51"/>
      <c r="E6215" s="45" t="s">
        <v>42596</v>
      </c>
      <c r="F6215" s="45" t="s">
        <v>17759</v>
      </c>
      <c r="G6215" s="45" t="s">
        <v>50584</v>
      </c>
      <c r="H6215" s="56"/>
      <c r="I6215" s="56" t="s">
        <v>50564</v>
      </c>
      <c r="J6215" s="56"/>
      <c r="K6215" s="57"/>
      <c r="L6215" s="56" t="s">
        <v>56716</v>
      </c>
    </row>
    <row r="6216" spans="1:12" ht="11.25" x14ac:dyDescent="0.2">
      <c r="A6216" s="45" t="s">
        <v>42598</v>
      </c>
      <c r="B6216" s="45" t="s">
        <v>42600</v>
      </c>
      <c r="C6216" s="51" t="s">
        <v>42602</v>
      </c>
      <c r="D6216" s="51"/>
      <c r="E6216" s="45" t="s">
        <v>42603</v>
      </c>
      <c r="F6216" s="45" t="s">
        <v>17759</v>
      </c>
      <c r="G6216" s="45" t="s">
        <v>50584</v>
      </c>
      <c r="H6216" s="56"/>
      <c r="I6216" s="56" t="s">
        <v>50564</v>
      </c>
      <c r="J6216" s="56"/>
      <c r="K6216" s="57"/>
      <c r="L6216" s="56" t="s">
        <v>56716</v>
      </c>
    </row>
    <row r="6217" spans="1:12" ht="11.25" x14ac:dyDescent="0.2">
      <c r="A6217" s="46" t="s">
        <v>3194</v>
      </c>
      <c r="B6217" s="46" t="s">
        <v>3194</v>
      </c>
      <c r="C6217" s="58" t="str">
        <f>"01772309"</f>
        <v>01772309</v>
      </c>
      <c r="D6217" s="58" t="str">
        <f>"14388693"</f>
        <v>14388693</v>
      </c>
      <c r="E6217" s="46" t="s">
        <v>412</v>
      </c>
      <c r="F6217" s="46" t="s">
        <v>18158</v>
      </c>
      <c r="G6217" s="46" t="s">
        <v>50593</v>
      </c>
      <c r="H6217" s="48" t="s">
        <v>56716</v>
      </c>
      <c r="I6217" s="48" t="s">
        <v>50564</v>
      </c>
      <c r="J6217" s="48"/>
      <c r="K6217" s="57"/>
      <c r="L6217" s="48"/>
    </row>
    <row r="6218" spans="1:12" ht="11.25" x14ac:dyDescent="0.2">
      <c r="A6218" s="45" t="s">
        <v>42605</v>
      </c>
      <c r="B6218" s="45" t="s">
        <v>42607</v>
      </c>
      <c r="C6218" s="51" t="s">
        <v>42609</v>
      </c>
      <c r="D6218" s="51" t="s">
        <v>56634</v>
      </c>
      <c r="E6218" s="45" t="s">
        <v>56635</v>
      </c>
      <c r="F6218" s="45" t="s">
        <v>50646</v>
      </c>
      <c r="G6218" s="45" t="s">
        <v>50584</v>
      </c>
      <c r="H6218" s="56"/>
      <c r="I6218" s="56" t="s">
        <v>50564</v>
      </c>
      <c r="J6218" s="56"/>
      <c r="K6218" s="57"/>
      <c r="L6218" s="56" t="s">
        <v>56716</v>
      </c>
    </row>
    <row r="6219" spans="1:12" ht="11.25" x14ac:dyDescent="0.2">
      <c r="A6219" s="46" t="s">
        <v>10702</v>
      </c>
      <c r="B6219" s="46" t="s">
        <v>54698</v>
      </c>
      <c r="C6219" s="58" t="str">
        <f>"14346222"</f>
        <v>14346222</v>
      </c>
      <c r="D6219" s="58" t="str">
        <f>"14360578"</f>
        <v>14360578</v>
      </c>
      <c r="E6219" s="46" t="s">
        <v>167</v>
      </c>
      <c r="F6219" s="46" t="s">
        <v>18158</v>
      </c>
      <c r="G6219" s="46" t="s">
        <v>50593</v>
      </c>
      <c r="H6219" s="48" t="s">
        <v>56716</v>
      </c>
      <c r="I6219" s="48" t="s">
        <v>50564</v>
      </c>
      <c r="J6219" s="48"/>
      <c r="K6219" s="50" t="s">
        <v>56716</v>
      </c>
      <c r="L6219" s="48"/>
    </row>
    <row r="6220" spans="1:12" ht="11.25" x14ac:dyDescent="0.2">
      <c r="A6220" s="46" t="s">
        <v>4453</v>
      </c>
      <c r="B6220" s="46" t="s">
        <v>54699</v>
      </c>
      <c r="C6220" s="58" t="str">
        <f>"07525370"</f>
        <v>07525370</v>
      </c>
      <c r="D6220" s="58" t="str">
        <f>""</f>
        <v/>
      </c>
      <c r="E6220" s="46" t="s">
        <v>4455</v>
      </c>
      <c r="F6220" s="46" t="s">
        <v>20359</v>
      </c>
      <c r="G6220" s="46" t="s">
        <v>50590</v>
      </c>
      <c r="H6220" s="48" t="s">
        <v>56716</v>
      </c>
      <c r="I6220" s="48" t="s">
        <v>50564</v>
      </c>
      <c r="J6220" s="48"/>
      <c r="K6220" s="57"/>
      <c r="L6220" s="48"/>
    </row>
    <row r="6221" spans="1:12" ht="11.25" x14ac:dyDescent="0.2">
      <c r="A6221" s="45" t="s">
        <v>42611</v>
      </c>
      <c r="B6221" s="45" t="s">
        <v>42613</v>
      </c>
      <c r="C6221" s="51" t="s">
        <v>42614</v>
      </c>
      <c r="D6221" s="51"/>
      <c r="E6221" s="45" t="s">
        <v>42615</v>
      </c>
      <c r="F6221" s="45" t="s">
        <v>18123</v>
      </c>
      <c r="G6221" s="45" t="s">
        <v>50593</v>
      </c>
      <c r="H6221" s="56"/>
      <c r="I6221" s="56" t="s">
        <v>50564</v>
      </c>
      <c r="J6221" s="56"/>
      <c r="K6221" s="57"/>
      <c r="L6221" s="56" t="s">
        <v>56716</v>
      </c>
    </row>
    <row r="6222" spans="1:12" ht="11.25" x14ac:dyDescent="0.2">
      <c r="A6222" s="46" t="s">
        <v>3145</v>
      </c>
      <c r="B6222" s="46" t="s">
        <v>3145</v>
      </c>
      <c r="C6222" s="58" t="str">
        <f>"0029540X"</f>
        <v>0029540X</v>
      </c>
      <c r="D6222" s="58" t="str">
        <f>""</f>
        <v/>
      </c>
      <c r="E6222" s="46" t="s">
        <v>1462</v>
      </c>
      <c r="F6222" s="46" t="s">
        <v>17967</v>
      </c>
      <c r="G6222" s="46" t="s">
        <v>50613</v>
      </c>
      <c r="H6222" s="48" t="s">
        <v>56716</v>
      </c>
      <c r="I6222" s="48" t="s">
        <v>50564</v>
      </c>
      <c r="J6222" s="48"/>
      <c r="K6222" s="57"/>
      <c r="L6222" s="48"/>
    </row>
    <row r="6223" spans="1:12" ht="11.25" x14ac:dyDescent="0.2">
      <c r="A6223" s="46" t="s">
        <v>56067</v>
      </c>
      <c r="B6223" s="46" t="s">
        <v>56068</v>
      </c>
      <c r="C6223" s="58" t="str">
        <f>""</f>
        <v/>
      </c>
      <c r="D6223" s="58" t="str">
        <f>"20551010"</f>
        <v>20551010</v>
      </c>
      <c r="E6223" s="46" t="s">
        <v>315</v>
      </c>
      <c r="F6223" s="46" t="s">
        <v>50646</v>
      </c>
      <c r="G6223" s="46" t="s">
        <v>50584</v>
      </c>
      <c r="H6223" s="48" t="s">
        <v>56716</v>
      </c>
      <c r="I6223" s="48" t="s">
        <v>50564</v>
      </c>
      <c r="J6223" s="48"/>
      <c r="K6223" s="57"/>
      <c r="L6223" s="48" t="s">
        <v>56716</v>
      </c>
    </row>
    <row r="6224" spans="1:12" ht="11.25" x14ac:dyDescent="0.2">
      <c r="A6224" s="45" t="s">
        <v>42617</v>
      </c>
      <c r="B6224" s="45" t="s">
        <v>42617</v>
      </c>
      <c r="C6224" s="51" t="s">
        <v>42618</v>
      </c>
      <c r="D6224" s="51"/>
      <c r="E6224" s="45" t="s">
        <v>24526</v>
      </c>
      <c r="F6224" s="45" t="s">
        <v>18123</v>
      </c>
      <c r="G6224" s="45" t="s">
        <v>50594</v>
      </c>
      <c r="H6224" s="56"/>
      <c r="I6224" s="56" t="s">
        <v>50564</v>
      </c>
      <c r="J6224" s="56"/>
      <c r="K6224" s="57"/>
      <c r="L6224" s="56" t="s">
        <v>56716</v>
      </c>
    </row>
    <row r="6225" spans="1:12" ht="11.25" x14ac:dyDescent="0.2">
      <c r="A6225" s="45" t="s">
        <v>42622</v>
      </c>
      <c r="B6225" s="45" t="s">
        <v>42624</v>
      </c>
      <c r="C6225" s="51" t="s">
        <v>42626</v>
      </c>
      <c r="D6225" s="51"/>
      <c r="E6225" s="45" t="s">
        <v>50666</v>
      </c>
      <c r="F6225" s="45" t="s">
        <v>17759</v>
      </c>
      <c r="G6225" s="45" t="s">
        <v>50584</v>
      </c>
      <c r="H6225" s="56"/>
      <c r="I6225" s="56" t="s">
        <v>50564</v>
      </c>
      <c r="J6225" s="56"/>
      <c r="K6225" s="57"/>
      <c r="L6225" s="56" t="s">
        <v>56716</v>
      </c>
    </row>
    <row r="6226" spans="1:12" ht="11.25" x14ac:dyDescent="0.2">
      <c r="A6226" s="46" t="s">
        <v>3114</v>
      </c>
      <c r="B6226" s="46" t="s">
        <v>54700</v>
      </c>
      <c r="C6226" s="58" t="str">
        <f>"09698051"</f>
        <v>09698051</v>
      </c>
      <c r="D6226" s="58" t="str">
        <f>"18729614"</f>
        <v>18729614</v>
      </c>
      <c r="E6226" s="46" t="s">
        <v>272</v>
      </c>
      <c r="F6226" s="46" t="s">
        <v>17759</v>
      </c>
      <c r="G6226" s="46" t="s">
        <v>50584</v>
      </c>
      <c r="H6226" s="48" t="s">
        <v>56716</v>
      </c>
      <c r="I6226" s="48" t="s">
        <v>50564</v>
      </c>
      <c r="J6226" s="48"/>
      <c r="K6226" s="50" t="s">
        <v>56716</v>
      </c>
      <c r="L6226" s="48" t="s">
        <v>56716</v>
      </c>
    </row>
    <row r="6227" spans="1:12" ht="11.25" x14ac:dyDescent="0.2">
      <c r="A6227" s="46" t="s">
        <v>15293</v>
      </c>
      <c r="B6227" s="46" t="s">
        <v>54701</v>
      </c>
      <c r="C6227" s="58" t="str">
        <f>"18693474"</f>
        <v>18693474</v>
      </c>
      <c r="D6227" s="58" t="str">
        <f>"18693482"</f>
        <v>18693482</v>
      </c>
      <c r="E6227" s="46" t="s">
        <v>167</v>
      </c>
      <c r="F6227" s="46" t="s">
        <v>18158</v>
      </c>
      <c r="G6227" s="46" t="s">
        <v>50584</v>
      </c>
      <c r="H6227" s="48" t="s">
        <v>56716</v>
      </c>
      <c r="I6227" s="48" t="s">
        <v>50564</v>
      </c>
      <c r="J6227" s="48" t="s">
        <v>56716</v>
      </c>
      <c r="K6227" s="57"/>
      <c r="L6227" s="48"/>
    </row>
    <row r="6228" spans="1:12" ht="11.25" x14ac:dyDescent="0.2">
      <c r="A6228" s="46" t="s">
        <v>3121</v>
      </c>
      <c r="B6228" s="46" t="s">
        <v>54702</v>
      </c>
      <c r="C6228" s="58" t="str">
        <f>"01433636"</f>
        <v>01433636</v>
      </c>
      <c r="D6228" s="58" t="str">
        <f>"14735628"</f>
        <v>14735628</v>
      </c>
      <c r="E6228" s="46" t="s">
        <v>28</v>
      </c>
      <c r="F6228" s="46" t="s">
        <v>50646</v>
      </c>
      <c r="G6228" s="46" t="s">
        <v>50584</v>
      </c>
      <c r="H6228" s="48" t="s">
        <v>56716</v>
      </c>
      <c r="I6228" s="48" t="s">
        <v>50564</v>
      </c>
      <c r="J6228" s="48"/>
      <c r="K6228" s="50" t="s">
        <v>56716</v>
      </c>
      <c r="L6228" s="48" t="s">
        <v>56716</v>
      </c>
    </row>
    <row r="6229" spans="1:12" ht="11.25" x14ac:dyDescent="0.2">
      <c r="A6229" s="46" t="s">
        <v>8958</v>
      </c>
      <c r="B6229" s="46" t="s">
        <v>54703</v>
      </c>
      <c r="C6229" s="58" t="str">
        <f>"15069680"</f>
        <v>15069680</v>
      </c>
      <c r="D6229" s="58" t="str">
        <f>""</f>
        <v/>
      </c>
      <c r="E6229" s="46" t="s">
        <v>1462</v>
      </c>
      <c r="F6229" s="46" t="s">
        <v>17967</v>
      </c>
      <c r="G6229" s="46" t="s">
        <v>50584</v>
      </c>
      <c r="H6229" s="48" t="s">
        <v>56716</v>
      </c>
      <c r="I6229" s="48" t="s">
        <v>50564</v>
      </c>
      <c r="J6229" s="48"/>
      <c r="K6229" s="57"/>
      <c r="L6229" s="48" t="s">
        <v>56716</v>
      </c>
    </row>
    <row r="6230" spans="1:12" ht="11.25" x14ac:dyDescent="0.2">
      <c r="A6230" s="45" t="s">
        <v>42645</v>
      </c>
      <c r="B6230" s="45" t="s">
        <v>42647</v>
      </c>
      <c r="C6230" s="51"/>
      <c r="D6230" s="51" t="s">
        <v>42648</v>
      </c>
      <c r="E6230" s="45" t="s">
        <v>42649</v>
      </c>
      <c r="F6230" s="45" t="s">
        <v>17759</v>
      </c>
      <c r="G6230" s="45" t="s">
        <v>50584</v>
      </c>
      <c r="H6230" s="56"/>
      <c r="I6230" s="56" t="s">
        <v>50564</v>
      </c>
      <c r="J6230" s="56"/>
      <c r="K6230" s="57"/>
      <c r="L6230" s="56" t="s">
        <v>56716</v>
      </c>
    </row>
    <row r="6231" spans="1:12" ht="11.25" x14ac:dyDescent="0.2">
      <c r="A6231" s="46" t="s">
        <v>15487</v>
      </c>
      <c r="B6231" s="46" t="s">
        <v>54704</v>
      </c>
      <c r="C6231" s="58" t="str">
        <f>"21593337"</f>
        <v>21593337</v>
      </c>
      <c r="D6231" s="58" t="str">
        <f>"21593345"</f>
        <v>21593345</v>
      </c>
      <c r="E6231" s="46" t="s">
        <v>4337</v>
      </c>
      <c r="F6231" s="46" t="s">
        <v>17759</v>
      </c>
      <c r="G6231" s="46" t="s">
        <v>50584</v>
      </c>
      <c r="H6231" s="48" t="s">
        <v>56716</v>
      </c>
      <c r="I6231" s="48" t="s">
        <v>50564</v>
      </c>
      <c r="J6231" s="48" t="s">
        <v>56716</v>
      </c>
      <c r="K6231" s="57"/>
      <c r="L6231" s="48" t="s">
        <v>56716</v>
      </c>
    </row>
    <row r="6232" spans="1:12" ht="11.25" x14ac:dyDescent="0.2">
      <c r="A6232" s="46" t="s">
        <v>3042</v>
      </c>
      <c r="B6232" s="46" t="s">
        <v>54705</v>
      </c>
      <c r="C6232" s="58" t="str">
        <f>"03051048"</f>
        <v>03051048</v>
      </c>
      <c r="D6232" s="58" t="str">
        <f>"13624962"</f>
        <v>13624962</v>
      </c>
      <c r="E6232" s="46" t="s">
        <v>55</v>
      </c>
      <c r="F6232" s="46" t="s">
        <v>50646</v>
      </c>
      <c r="G6232" s="46" t="s">
        <v>50584</v>
      </c>
      <c r="H6232" s="48" t="s">
        <v>56716</v>
      </c>
      <c r="I6232" s="48" t="s">
        <v>50564</v>
      </c>
      <c r="J6232" s="48" t="s">
        <v>56716</v>
      </c>
      <c r="K6232" s="57"/>
      <c r="L6232" s="48" t="s">
        <v>56716</v>
      </c>
    </row>
    <row r="6233" spans="1:12" ht="11.25" x14ac:dyDescent="0.2">
      <c r="A6233" s="45" t="s">
        <v>42662</v>
      </c>
      <c r="B6233" s="45" t="s">
        <v>42664</v>
      </c>
      <c r="C6233" s="51"/>
      <c r="D6233" s="51" t="s">
        <v>42666</v>
      </c>
      <c r="E6233" s="45" t="s">
        <v>55</v>
      </c>
      <c r="F6233" s="45" t="s">
        <v>50646</v>
      </c>
      <c r="G6233" s="45" t="s">
        <v>50584</v>
      </c>
      <c r="H6233" s="56"/>
      <c r="I6233" s="56" t="s">
        <v>50564</v>
      </c>
      <c r="J6233" s="56"/>
      <c r="K6233" s="57"/>
      <c r="L6233" s="56" t="s">
        <v>56716</v>
      </c>
    </row>
    <row r="6234" spans="1:12" ht="11.25" x14ac:dyDescent="0.2">
      <c r="A6234" s="46" t="s">
        <v>8392</v>
      </c>
      <c r="B6234" s="46" t="s">
        <v>42671</v>
      </c>
      <c r="C6234" s="58" t="str">
        <f>"15257770"</f>
        <v>15257770</v>
      </c>
      <c r="D6234" s="58" t="str">
        <f>"15322335"</f>
        <v>15322335</v>
      </c>
      <c r="E6234" s="46" t="s">
        <v>669</v>
      </c>
      <c r="F6234" s="46" t="s">
        <v>17759</v>
      </c>
      <c r="G6234" s="46" t="s">
        <v>50584</v>
      </c>
      <c r="H6234" s="48" t="s">
        <v>56716</v>
      </c>
      <c r="I6234" s="48" t="s">
        <v>50564</v>
      </c>
      <c r="J6234" s="48"/>
      <c r="K6234" s="57"/>
      <c r="L6234" s="48" t="s">
        <v>56716</v>
      </c>
    </row>
    <row r="6235" spans="1:12" ht="11.25" x14ac:dyDescent="0.2">
      <c r="A6235" s="46" t="s">
        <v>42676</v>
      </c>
      <c r="B6235" s="46" t="s">
        <v>56369</v>
      </c>
      <c r="C6235" s="58" t="str">
        <f>"19491034"</f>
        <v>19491034</v>
      </c>
      <c r="D6235" s="58" t="str">
        <f>"19491042"</f>
        <v>19491042</v>
      </c>
      <c r="E6235" s="46" t="s">
        <v>669</v>
      </c>
      <c r="F6235" s="46" t="s">
        <v>17759</v>
      </c>
      <c r="G6235" s="46" t="s">
        <v>50584</v>
      </c>
      <c r="H6235" s="48" t="s">
        <v>56716</v>
      </c>
      <c r="I6235" s="48" t="s">
        <v>50564</v>
      </c>
      <c r="J6235" s="48"/>
      <c r="K6235" s="57"/>
      <c r="L6235" s="48" t="s">
        <v>56716</v>
      </c>
    </row>
    <row r="6236" spans="1:12" ht="11.25" x14ac:dyDescent="0.2">
      <c r="A6236" s="46" t="s">
        <v>3200</v>
      </c>
      <c r="B6236" s="46" t="s">
        <v>3200</v>
      </c>
      <c r="C6236" s="58" t="str">
        <f>"00295566"</f>
        <v>00295566</v>
      </c>
      <c r="D6236" s="58" t="str">
        <f>""</f>
        <v/>
      </c>
      <c r="E6236" s="46" t="s">
        <v>1758</v>
      </c>
      <c r="F6236" s="46" t="s">
        <v>18158</v>
      </c>
      <c r="G6236" s="46" t="s">
        <v>50593</v>
      </c>
      <c r="H6236" s="48" t="s">
        <v>56716</v>
      </c>
      <c r="I6236" s="48" t="s">
        <v>50564</v>
      </c>
      <c r="J6236" s="48"/>
      <c r="K6236" s="57"/>
      <c r="L6236" s="48" t="s">
        <v>56716</v>
      </c>
    </row>
    <row r="6237" spans="1:12" ht="11.25" x14ac:dyDescent="0.2">
      <c r="A6237" s="45" t="s">
        <v>42684</v>
      </c>
      <c r="B6237" s="45" t="s">
        <v>42686</v>
      </c>
      <c r="C6237" s="51" t="s">
        <v>42688</v>
      </c>
      <c r="D6237" s="51"/>
      <c r="E6237" s="45" t="s">
        <v>42689</v>
      </c>
      <c r="F6237" s="45" t="s">
        <v>17991</v>
      </c>
      <c r="G6237" s="45" t="s">
        <v>50602</v>
      </c>
      <c r="H6237" s="56"/>
      <c r="I6237" s="56" t="s">
        <v>50564</v>
      </c>
      <c r="J6237" s="56"/>
      <c r="K6237" s="57"/>
      <c r="L6237" s="56" t="s">
        <v>56716</v>
      </c>
    </row>
    <row r="6238" spans="1:12" ht="11.25" x14ac:dyDescent="0.2">
      <c r="A6238" s="45" t="s">
        <v>42697</v>
      </c>
      <c r="B6238" s="45" t="s">
        <v>42699</v>
      </c>
      <c r="C6238" s="51" t="s">
        <v>42701</v>
      </c>
      <c r="D6238" s="51" t="s">
        <v>42700</v>
      </c>
      <c r="E6238" s="45" t="s">
        <v>831</v>
      </c>
      <c r="F6238" s="45" t="s">
        <v>50646</v>
      </c>
      <c r="G6238" s="45" t="s">
        <v>50584</v>
      </c>
      <c r="H6238" s="56"/>
      <c r="I6238" s="56" t="s">
        <v>50564</v>
      </c>
      <c r="J6238" s="56"/>
      <c r="K6238" s="57"/>
      <c r="L6238" s="56" t="s">
        <v>56716</v>
      </c>
    </row>
    <row r="6239" spans="1:12" ht="11.25" x14ac:dyDescent="0.2">
      <c r="A6239" s="45" t="s">
        <v>42703</v>
      </c>
      <c r="B6239" s="45" t="s">
        <v>42705</v>
      </c>
      <c r="C6239" s="51" t="s">
        <v>42707</v>
      </c>
      <c r="D6239" s="51" t="s">
        <v>42706</v>
      </c>
      <c r="E6239" s="45" t="s">
        <v>831</v>
      </c>
      <c r="F6239" s="45" t="s">
        <v>50646</v>
      </c>
      <c r="G6239" s="45" t="s">
        <v>50584</v>
      </c>
      <c r="H6239" s="56"/>
      <c r="I6239" s="56" t="s">
        <v>50564</v>
      </c>
      <c r="J6239" s="56"/>
      <c r="K6239" s="57"/>
      <c r="L6239" s="56" t="s">
        <v>56716</v>
      </c>
    </row>
    <row r="6240" spans="1:12" ht="11.25" x14ac:dyDescent="0.2">
      <c r="A6240" s="45" t="s">
        <v>42709</v>
      </c>
      <c r="B6240" s="45" t="s">
        <v>42711</v>
      </c>
      <c r="C6240" s="51" t="s">
        <v>42713</v>
      </c>
      <c r="D6240" s="51" t="s">
        <v>42712</v>
      </c>
      <c r="E6240" s="45" t="s">
        <v>17758</v>
      </c>
      <c r="F6240" s="45" t="s">
        <v>17759</v>
      </c>
      <c r="G6240" s="45" t="s">
        <v>50584</v>
      </c>
      <c r="H6240" s="56"/>
      <c r="I6240" s="56" t="s">
        <v>50564</v>
      </c>
      <c r="J6240" s="56"/>
      <c r="K6240" s="57"/>
      <c r="L6240" s="56" t="s">
        <v>56716</v>
      </c>
    </row>
    <row r="6241" spans="1:12" ht="11.25" x14ac:dyDescent="0.2">
      <c r="A6241" s="45" t="s">
        <v>42722</v>
      </c>
      <c r="B6241" s="45" t="s">
        <v>42724</v>
      </c>
      <c r="C6241" s="51" t="s">
        <v>42725</v>
      </c>
      <c r="D6241" s="51"/>
      <c r="E6241" s="45" t="s">
        <v>56636</v>
      </c>
      <c r="F6241" s="45" t="s">
        <v>50646</v>
      </c>
      <c r="G6241" s="45" t="s">
        <v>50584</v>
      </c>
      <c r="H6241" s="56"/>
      <c r="I6241" s="56" t="s">
        <v>50564</v>
      </c>
      <c r="J6241" s="56"/>
      <c r="K6241" s="57"/>
      <c r="L6241" s="56" t="s">
        <v>56716</v>
      </c>
    </row>
    <row r="6242" spans="1:12" ht="11.25" x14ac:dyDescent="0.2">
      <c r="A6242" s="45" t="s">
        <v>17800</v>
      </c>
      <c r="B6242" s="45" t="s">
        <v>17800</v>
      </c>
      <c r="C6242" s="51" t="s">
        <v>42731</v>
      </c>
      <c r="D6242" s="51" t="s">
        <v>42730</v>
      </c>
      <c r="E6242" s="45" t="s">
        <v>26253</v>
      </c>
      <c r="F6242" s="45" t="s">
        <v>17759</v>
      </c>
      <c r="G6242" s="45" t="s">
        <v>50584</v>
      </c>
      <c r="H6242" s="56"/>
      <c r="I6242" s="56" t="s">
        <v>50564</v>
      </c>
      <c r="J6242" s="56"/>
      <c r="K6242" s="57"/>
      <c r="L6242" s="56" t="s">
        <v>56716</v>
      </c>
    </row>
    <row r="6243" spans="1:12" ht="11.25" x14ac:dyDescent="0.2">
      <c r="A6243" s="45" t="s">
        <v>42733</v>
      </c>
      <c r="B6243" s="45" t="s">
        <v>42735</v>
      </c>
      <c r="C6243" s="51" t="s">
        <v>42737</v>
      </c>
      <c r="D6243" s="51" t="s">
        <v>42736</v>
      </c>
      <c r="E6243" s="45" t="s">
        <v>27397</v>
      </c>
      <c r="F6243" s="45" t="s">
        <v>20082</v>
      </c>
      <c r="G6243" s="45" t="s">
        <v>50584</v>
      </c>
      <c r="H6243" s="56"/>
      <c r="I6243" s="56" t="s">
        <v>50564</v>
      </c>
      <c r="J6243" s="56"/>
      <c r="K6243" s="57"/>
      <c r="L6243" s="56" t="s">
        <v>56716</v>
      </c>
    </row>
    <row r="6244" spans="1:12" ht="11.25" x14ac:dyDescent="0.2">
      <c r="A6244" s="45" t="s">
        <v>42739</v>
      </c>
      <c r="B6244" s="45" t="s">
        <v>42741</v>
      </c>
      <c r="C6244" s="51" t="s">
        <v>42743</v>
      </c>
      <c r="D6244" s="51" t="s">
        <v>42742</v>
      </c>
      <c r="E6244" s="45" t="s">
        <v>17758</v>
      </c>
      <c r="F6244" s="45" t="s">
        <v>17759</v>
      </c>
      <c r="G6244" s="45" t="s">
        <v>50584</v>
      </c>
      <c r="H6244" s="56"/>
      <c r="I6244" s="56" t="s">
        <v>50564</v>
      </c>
      <c r="J6244" s="56"/>
      <c r="K6244" s="57"/>
      <c r="L6244" s="56" t="s">
        <v>56716</v>
      </c>
    </row>
    <row r="6245" spans="1:12" ht="11.25" x14ac:dyDescent="0.2">
      <c r="A6245" s="45" t="s">
        <v>42745</v>
      </c>
      <c r="B6245" s="45" t="s">
        <v>42747</v>
      </c>
      <c r="C6245" s="51" t="s">
        <v>42750</v>
      </c>
      <c r="D6245" s="51" t="s">
        <v>42749</v>
      </c>
      <c r="E6245" s="45" t="s">
        <v>28916</v>
      </c>
      <c r="F6245" s="45" t="s">
        <v>50646</v>
      </c>
      <c r="G6245" s="45" t="s">
        <v>50584</v>
      </c>
      <c r="H6245" s="56"/>
      <c r="I6245" s="56" t="s">
        <v>50564</v>
      </c>
      <c r="J6245" s="56"/>
      <c r="K6245" s="57"/>
      <c r="L6245" s="56" t="s">
        <v>56716</v>
      </c>
    </row>
    <row r="6246" spans="1:12" ht="11.25" x14ac:dyDescent="0.2">
      <c r="A6246" s="46" t="s">
        <v>16094</v>
      </c>
      <c r="B6246" s="46" t="s">
        <v>54706</v>
      </c>
      <c r="C6246" s="58" t="str">
        <f>"1558447X"</f>
        <v>1558447X</v>
      </c>
      <c r="D6246" s="58" t="str">
        <f>""</f>
        <v/>
      </c>
      <c r="E6246" s="46" t="s">
        <v>28</v>
      </c>
      <c r="F6246" s="46" t="s">
        <v>17759</v>
      </c>
      <c r="G6246" s="46" t="s">
        <v>50584</v>
      </c>
      <c r="H6246" s="48" t="s">
        <v>56716</v>
      </c>
      <c r="I6246" s="48" t="s">
        <v>50564</v>
      </c>
      <c r="J6246" s="48" t="s">
        <v>56716</v>
      </c>
      <c r="K6246" s="57"/>
      <c r="L6246" s="48"/>
    </row>
    <row r="6247" spans="1:12" ht="11.25" x14ac:dyDescent="0.2">
      <c r="A6247" s="45" t="s">
        <v>42758</v>
      </c>
      <c r="B6247" s="45" t="s">
        <v>42760</v>
      </c>
      <c r="C6247" s="51" t="s">
        <v>42761</v>
      </c>
      <c r="D6247" s="51"/>
      <c r="E6247" s="45" t="s">
        <v>42762</v>
      </c>
      <c r="F6247" s="45" t="s">
        <v>17759</v>
      </c>
      <c r="G6247" s="45" t="s">
        <v>50584</v>
      </c>
      <c r="H6247" s="56"/>
      <c r="I6247" s="56" t="s">
        <v>50564</v>
      </c>
      <c r="J6247" s="56"/>
      <c r="K6247" s="57"/>
      <c r="L6247" s="56" t="s">
        <v>56716</v>
      </c>
    </row>
    <row r="6248" spans="1:12" ht="11.25" x14ac:dyDescent="0.2">
      <c r="A6248" s="45" t="s">
        <v>42764</v>
      </c>
      <c r="B6248" s="45" t="s">
        <v>42766</v>
      </c>
      <c r="C6248" s="51" t="s">
        <v>42768</v>
      </c>
      <c r="D6248" s="51"/>
      <c r="E6248" s="45" t="s">
        <v>42769</v>
      </c>
      <c r="F6248" s="45" t="s">
        <v>17759</v>
      </c>
      <c r="G6248" s="45" t="s">
        <v>50584</v>
      </c>
      <c r="H6248" s="56"/>
      <c r="I6248" s="56" t="s">
        <v>50564</v>
      </c>
      <c r="J6248" s="56"/>
      <c r="K6248" s="57"/>
      <c r="L6248" s="56" t="s">
        <v>56716</v>
      </c>
    </row>
    <row r="6249" spans="1:12" ht="11.25" x14ac:dyDescent="0.2">
      <c r="A6249" s="45" t="s">
        <v>42771</v>
      </c>
      <c r="B6249" s="45" t="s">
        <v>42773</v>
      </c>
      <c r="C6249" s="51" t="s">
        <v>42775</v>
      </c>
      <c r="D6249" s="51" t="s">
        <v>42774</v>
      </c>
      <c r="E6249" s="45" t="s">
        <v>21721</v>
      </c>
      <c r="F6249" s="45" t="s">
        <v>50646</v>
      </c>
      <c r="G6249" s="45" t="s">
        <v>50584</v>
      </c>
      <c r="H6249" s="56"/>
      <c r="I6249" s="56" t="s">
        <v>50564</v>
      </c>
      <c r="J6249" s="56"/>
      <c r="K6249" s="57"/>
      <c r="L6249" s="56" t="s">
        <v>56716</v>
      </c>
    </row>
    <row r="6250" spans="1:12" ht="11.25" x14ac:dyDescent="0.2">
      <c r="A6250" s="45" t="s">
        <v>42778</v>
      </c>
      <c r="B6250" s="45" t="s">
        <v>42780</v>
      </c>
      <c r="C6250" s="51" t="s">
        <v>42783</v>
      </c>
      <c r="D6250" s="51" t="s">
        <v>42782</v>
      </c>
      <c r="E6250" s="45" t="s">
        <v>20225</v>
      </c>
      <c r="F6250" s="45" t="s">
        <v>17759</v>
      </c>
      <c r="G6250" s="45" t="s">
        <v>50584</v>
      </c>
      <c r="H6250" s="56"/>
      <c r="I6250" s="56" t="s">
        <v>50564</v>
      </c>
      <c r="J6250" s="56"/>
      <c r="K6250" s="57"/>
      <c r="L6250" s="56" t="s">
        <v>56716</v>
      </c>
    </row>
    <row r="6251" spans="1:12" ht="11.25" x14ac:dyDescent="0.2">
      <c r="A6251" s="45" t="s">
        <v>42786</v>
      </c>
      <c r="B6251" s="45" t="s">
        <v>42788</v>
      </c>
      <c r="C6251" s="51" t="s">
        <v>42790</v>
      </c>
      <c r="D6251" s="51" t="s">
        <v>42789</v>
      </c>
      <c r="E6251" s="45" t="s">
        <v>17805</v>
      </c>
      <c r="F6251" s="45" t="s">
        <v>17759</v>
      </c>
      <c r="G6251" s="45" t="s">
        <v>50584</v>
      </c>
      <c r="H6251" s="56"/>
      <c r="I6251" s="56" t="s">
        <v>50564</v>
      </c>
      <c r="J6251" s="56"/>
      <c r="K6251" s="57"/>
      <c r="L6251" s="56" t="s">
        <v>56716</v>
      </c>
    </row>
    <row r="6252" spans="1:12" ht="11.25" x14ac:dyDescent="0.2">
      <c r="A6252" s="45" t="s">
        <v>42792</v>
      </c>
      <c r="B6252" s="45" t="s">
        <v>42794</v>
      </c>
      <c r="C6252" s="51" t="s">
        <v>42795</v>
      </c>
      <c r="D6252" s="51"/>
      <c r="E6252" s="45" t="s">
        <v>42796</v>
      </c>
      <c r="F6252" s="45" t="s">
        <v>17759</v>
      </c>
      <c r="G6252" s="45" t="s">
        <v>50584</v>
      </c>
      <c r="H6252" s="56"/>
      <c r="I6252" s="56" t="s">
        <v>50564</v>
      </c>
      <c r="J6252" s="56"/>
      <c r="K6252" s="57"/>
      <c r="L6252" s="56" t="s">
        <v>56716</v>
      </c>
    </row>
    <row r="6253" spans="1:12" ht="11.25" x14ac:dyDescent="0.2">
      <c r="A6253" s="45" t="s">
        <v>42798</v>
      </c>
      <c r="B6253" s="45" t="s">
        <v>42800</v>
      </c>
      <c r="C6253" s="51" t="s">
        <v>42802</v>
      </c>
      <c r="D6253" s="51" t="s">
        <v>42801</v>
      </c>
      <c r="E6253" s="45" t="s">
        <v>17805</v>
      </c>
      <c r="F6253" s="45" t="s">
        <v>50646</v>
      </c>
      <c r="G6253" s="45" t="s">
        <v>50584</v>
      </c>
      <c r="H6253" s="56"/>
      <c r="I6253" s="56" t="s">
        <v>50564</v>
      </c>
      <c r="J6253" s="56"/>
      <c r="K6253" s="57"/>
      <c r="L6253" s="56" t="s">
        <v>56716</v>
      </c>
    </row>
    <row r="6254" spans="1:12" ht="11.25" x14ac:dyDescent="0.2">
      <c r="A6254" s="45" t="s">
        <v>42805</v>
      </c>
      <c r="B6254" s="45" t="s">
        <v>42807</v>
      </c>
      <c r="C6254" s="51" t="s">
        <v>42809</v>
      </c>
      <c r="D6254" s="51" t="s">
        <v>42808</v>
      </c>
      <c r="E6254" s="45" t="s">
        <v>22893</v>
      </c>
      <c r="F6254" s="45" t="s">
        <v>20082</v>
      </c>
      <c r="G6254" s="45" t="s">
        <v>50584</v>
      </c>
      <c r="H6254" s="56"/>
      <c r="I6254" s="56" t="s">
        <v>50564</v>
      </c>
      <c r="J6254" s="56"/>
      <c r="K6254" s="57"/>
      <c r="L6254" s="56" t="s">
        <v>56716</v>
      </c>
    </row>
    <row r="6255" spans="1:12" ht="11.25" x14ac:dyDescent="0.2">
      <c r="A6255" s="45" t="s">
        <v>42819</v>
      </c>
      <c r="B6255" s="45" t="s">
        <v>42821</v>
      </c>
      <c r="C6255" s="51" t="s">
        <v>42823</v>
      </c>
      <c r="D6255" s="51"/>
      <c r="E6255" s="45" t="s">
        <v>42824</v>
      </c>
      <c r="F6255" s="45" t="s">
        <v>17759</v>
      </c>
      <c r="G6255" s="45" t="s">
        <v>50584</v>
      </c>
      <c r="H6255" s="56"/>
      <c r="I6255" s="56" t="s">
        <v>50564</v>
      </c>
      <c r="J6255" s="56"/>
      <c r="K6255" s="57"/>
      <c r="L6255" s="56" t="s">
        <v>56716</v>
      </c>
    </row>
    <row r="6256" spans="1:12" ht="11.25" x14ac:dyDescent="0.2">
      <c r="A6256" s="45" t="s">
        <v>42826</v>
      </c>
      <c r="B6256" s="45" t="s">
        <v>42828</v>
      </c>
      <c r="C6256" s="51" t="s">
        <v>42830</v>
      </c>
      <c r="D6256" s="51"/>
      <c r="E6256" s="45" t="s">
        <v>42831</v>
      </c>
      <c r="F6256" s="45" t="s">
        <v>18959</v>
      </c>
      <c r="G6256" s="45" t="s">
        <v>50584</v>
      </c>
      <c r="H6256" s="56"/>
      <c r="I6256" s="56" t="s">
        <v>50564</v>
      </c>
      <c r="J6256" s="56"/>
      <c r="K6256" s="57"/>
      <c r="L6256" s="56" t="s">
        <v>56716</v>
      </c>
    </row>
    <row r="6257" spans="1:12" ht="11.25" x14ac:dyDescent="0.2">
      <c r="A6257" s="45" t="s">
        <v>42833</v>
      </c>
      <c r="B6257" s="45" t="s">
        <v>42835</v>
      </c>
      <c r="C6257" s="51" t="s">
        <v>42838</v>
      </c>
      <c r="D6257" s="51" t="s">
        <v>42837</v>
      </c>
      <c r="E6257" s="45" t="s">
        <v>42839</v>
      </c>
      <c r="F6257" s="45" t="s">
        <v>17759</v>
      </c>
      <c r="G6257" s="45" t="s">
        <v>50584</v>
      </c>
      <c r="H6257" s="56"/>
      <c r="I6257" s="56" t="s">
        <v>50564</v>
      </c>
      <c r="J6257" s="56"/>
      <c r="K6257" s="57"/>
      <c r="L6257" s="56" t="s">
        <v>56716</v>
      </c>
    </row>
    <row r="6258" spans="1:12" ht="11.25" x14ac:dyDescent="0.2">
      <c r="A6258" s="45" t="s">
        <v>42841</v>
      </c>
      <c r="B6258" s="45" t="s">
        <v>42843</v>
      </c>
      <c r="C6258" s="51" t="s">
        <v>42845</v>
      </c>
      <c r="D6258" s="51"/>
      <c r="E6258" s="45" t="s">
        <v>42846</v>
      </c>
      <c r="F6258" s="45" t="s">
        <v>50646</v>
      </c>
      <c r="G6258" s="45" t="s">
        <v>50584</v>
      </c>
      <c r="H6258" s="56"/>
      <c r="I6258" s="56" t="s">
        <v>50564</v>
      </c>
      <c r="J6258" s="56"/>
      <c r="K6258" s="57"/>
      <c r="L6258" s="56" t="s">
        <v>56716</v>
      </c>
    </row>
    <row r="6259" spans="1:12" ht="11.25" x14ac:dyDescent="0.2">
      <c r="A6259" s="45" t="s">
        <v>42848</v>
      </c>
      <c r="B6259" s="45" t="s">
        <v>42850</v>
      </c>
      <c r="C6259" s="51" t="s">
        <v>42852</v>
      </c>
      <c r="D6259" s="51"/>
      <c r="E6259" s="45" t="s">
        <v>42853</v>
      </c>
      <c r="F6259" s="45" t="s">
        <v>19483</v>
      </c>
      <c r="G6259" s="45" t="s">
        <v>50584</v>
      </c>
      <c r="H6259" s="56"/>
      <c r="I6259" s="56" t="s">
        <v>50564</v>
      </c>
      <c r="J6259" s="56"/>
      <c r="K6259" s="57"/>
      <c r="L6259" s="56" t="s">
        <v>56716</v>
      </c>
    </row>
    <row r="6260" spans="1:12" ht="11.25" x14ac:dyDescent="0.2">
      <c r="A6260" s="45" t="s">
        <v>42855</v>
      </c>
      <c r="B6260" s="45" t="s">
        <v>42857</v>
      </c>
      <c r="C6260" s="51" t="s">
        <v>42860</v>
      </c>
      <c r="D6260" s="51" t="s">
        <v>42859</v>
      </c>
      <c r="E6260" s="45" t="s">
        <v>42861</v>
      </c>
      <c r="F6260" s="45" t="s">
        <v>50646</v>
      </c>
      <c r="G6260" s="45" t="s">
        <v>50584</v>
      </c>
      <c r="H6260" s="56"/>
      <c r="I6260" s="56" t="s">
        <v>50564</v>
      </c>
      <c r="J6260" s="56"/>
      <c r="K6260" s="57"/>
      <c r="L6260" s="56" t="s">
        <v>56716</v>
      </c>
    </row>
    <row r="6261" spans="1:12" ht="11.25" x14ac:dyDescent="0.2">
      <c r="A6261" s="45" t="s">
        <v>42863</v>
      </c>
      <c r="B6261" s="45" t="s">
        <v>42865</v>
      </c>
      <c r="C6261" s="51" t="s">
        <v>42868</v>
      </c>
      <c r="D6261" s="51" t="s">
        <v>42867</v>
      </c>
      <c r="E6261" s="45" t="s">
        <v>18951</v>
      </c>
      <c r="F6261" s="45" t="s">
        <v>17759</v>
      </c>
      <c r="G6261" s="45" t="s">
        <v>50584</v>
      </c>
      <c r="H6261" s="56"/>
      <c r="I6261" s="56" t="s">
        <v>50564</v>
      </c>
      <c r="J6261" s="56"/>
      <c r="K6261" s="57"/>
      <c r="L6261" s="56" t="s">
        <v>56716</v>
      </c>
    </row>
    <row r="6262" spans="1:12" ht="11.25" x14ac:dyDescent="0.2">
      <c r="A6262" s="45" t="s">
        <v>42871</v>
      </c>
      <c r="B6262" s="45" t="s">
        <v>42873</v>
      </c>
      <c r="C6262" s="51" t="s">
        <v>42875</v>
      </c>
      <c r="D6262" s="51" t="s">
        <v>42874</v>
      </c>
      <c r="E6262" s="45" t="s">
        <v>22893</v>
      </c>
      <c r="F6262" s="45" t="s">
        <v>50646</v>
      </c>
      <c r="G6262" s="45" t="s">
        <v>50584</v>
      </c>
      <c r="H6262" s="56"/>
      <c r="I6262" s="56" t="s">
        <v>50564</v>
      </c>
      <c r="J6262" s="56"/>
      <c r="K6262" s="57"/>
      <c r="L6262" s="56" t="s">
        <v>56716</v>
      </c>
    </row>
    <row r="6263" spans="1:12" ht="11.25" x14ac:dyDescent="0.2">
      <c r="A6263" s="45" t="s">
        <v>42877</v>
      </c>
      <c r="B6263" s="45" t="s">
        <v>42879</v>
      </c>
      <c r="C6263" s="51" t="s">
        <v>42880</v>
      </c>
      <c r="D6263" s="51"/>
      <c r="E6263" s="45" t="s">
        <v>42881</v>
      </c>
      <c r="F6263" s="45" t="s">
        <v>19483</v>
      </c>
      <c r="G6263" s="45" t="s">
        <v>50584</v>
      </c>
      <c r="H6263" s="56"/>
      <c r="I6263" s="56" t="s">
        <v>50564</v>
      </c>
      <c r="J6263" s="56"/>
      <c r="K6263" s="57"/>
      <c r="L6263" s="56" t="s">
        <v>56716</v>
      </c>
    </row>
    <row r="6264" spans="1:12" ht="11.25" x14ac:dyDescent="0.2">
      <c r="A6264" s="45" t="s">
        <v>42883</v>
      </c>
      <c r="B6264" s="45" t="s">
        <v>42885</v>
      </c>
      <c r="C6264" s="51" t="s">
        <v>42887</v>
      </c>
      <c r="D6264" s="51" t="s">
        <v>42886</v>
      </c>
      <c r="E6264" s="45" t="s">
        <v>42888</v>
      </c>
      <c r="F6264" s="45" t="s">
        <v>17759</v>
      </c>
      <c r="G6264" s="45" t="s">
        <v>50584</v>
      </c>
      <c r="H6264" s="56"/>
      <c r="I6264" s="56" t="s">
        <v>50564</v>
      </c>
      <c r="J6264" s="56"/>
      <c r="K6264" s="57"/>
      <c r="L6264" s="56" t="s">
        <v>56716</v>
      </c>
    </row>
    <row r="6265" spans="1:12" ht="11.25" x14ac:dyDescent="0.2">
      <c r="A6265" s="45" t="s">
        <v>42891</v>
      </c>
      <c r="B6265" s="45" t="s">
        <v>42893</v>
      </c>
      <c r="C6265" s="51" t="s">
        <v>42895</v>
      </c>
      <c r="D6265" s="51" t="s">
        <v>42894</v>
      </c>
      <c r="E6265" s="45" t="s">
        <v>19447</v>
      </c>
      <c r="F6265" s="45" t="s">
        <v>17759</v>
      </c>
      <c r="G6265" s="45" t="s">
        <v>50584</v>
      </c>
      <c r="H6265" s="56"/>
      <c r="I6265" s="56" t="s">
        <v>50564</v>
      </c>
      <c r="J6265" s="56"/>
      <c r="K6265" s="57"/>
      <c r="L6265" s="56" t="s">
        <v>56716</v>
      </c>
    </row>
    <row r="6266" spans="1:12" ht="11.25" x14ac:dyDescent="0.2">
      <c r="A6266" s="45" t="s">
        <v>42897</v>
      </c>
      <c r="B6266" s="45" t="s">
        <v>42899</v>
      </c>
      <c r="C6266" s="51" t="s">
        <v>42901</v>
      </c>
      <c r="D6266" s="51"/>
      <c r="E6266" s="45" t="s">
        <v>42902</v>
      </c>
      <c r="F6266" s="45" t="s">
        <v>50646</v>
      </c>
      <c r="G6266" s="45" t="s">
        <v>50584</v>
      </c>
      <c r="H6266" s="56"/>
      <c r="I6266" s="56" t="s">
        <v>50564</v>
      </c>
      <c r="J6266" s="56"/>
      <c r="K6266" s="57"/>
      <c r="L6266" s="56" t="s">
        <v>56716</v>
      </c>
    </row>
    <row r="6267" spans="1:12" ht="11.25" x14ac:dyDescent="0.2">
      <c r="A6267" s="45" t="s">
        <v>42904</v>
      </c>
      <c r="B6267" s="45" t="s">
        <v>42906</v>
      </c>
      <c r="C6267" s="51" t="s">
        <v>42908</v>
      </c>
      <c r="D6267" s="51"/>
      <c r="E6267" s="45" t="s">
        <v>42909</v>
      </c>
      <c r="F6267" s="45" t="s">
        <v>50646</v>
      </c>
      <c r="G6267" s="45" t="s">
        <v>50584</v>
      </c>
      <c r="H6267" s="56"/>
      <c r="I6267" s="56" t="s">
        <v>50564</v>
      </c>
      <c r="J6267" s="56"/>
      <c r="K6267" s="57"/>
      <c r="L6267" s="56" t="s">
        <v>56716</v>
      </c>
    </row>
    <row r="6268" spans="1:12" ht="11.25" x14ac:dyDescent="0.2">
      <c r="A6268" s="45" t="s">
        <v>42911</v>
      </c>
      <c r="B6268" s="45" t="s">
        <v>42913</v>
      </c>
      <c r="C6268" s="51" t="s">
        <v>42915</v>
      </c>
      <c r="D6268" s="51" t="s">
        <v>42914</v>
      </c>
      <c r="E6268" s="45" t="s">
        <v>42916</v>
      </c>
      <c r="F6268" s="45" t="s">
        <v>18439</v>
      </c>
      <c r="G6268" s="45" t="s">
        <v>50633</v>
      </c>
      <c r="H6268" s="56"/>
      <c r="I6268" s="56" t="s">
        <v>50564</v>
      </c>
      <c r="J6268" s="56"/>
      <c r="K6268" s="57"/>
      <c r="L6268" s="56" t="s">
        <v>56716</v>
      </c>
    </row>
    <row r="6269" spans="1:12" ht="11.25" x14ac:dyDescent="0.2">
      <c r="A6269" s="46" t="s">
        <v>15195</v>
      </c>
      <c r="B6269" s="46" t="s">
        <v>15195</v>
      </c>
      <c r="C6269" s="58" t="str">
        <f>""</f>
        <v/>
      </c>
      <c r="D6269" s="58" t="str">
        <f>"20726643"</f>
        <v>20726643</v>
      </c>
      <c r="E6269" s="46" t="s">
        <v>4152</v>
      </c>
      <c r="F6269" s="46" t="s">
        <v>18123</v>
      </c>
      <c r="G6269" s="46" t="s">
        <v>50584</v>
      </c>
      <c r="H6269" s="48" t="s">
        <v>56716</v>
      </c>
      <c r="I6269" s="48" t="s">
        <v>50564</v>
      </c>
      <c r="J6269" s="48"/>
      <c r="K6269" s="57"/>
      <c r="L6269" s="48" t="s">
        <v>56716</v>
      </c>
    </row>
    <row r="6270" spans="1:12" ht="11.25" x14ac:dyDescent="0.2">
      <c r="A6270" s="46" t="s">
        <v>4457</v>
      </c>
      <c r="B6270" s="46" t="s">
        <v>4457</v>
      </c>
      <c r="C6270" s="58" t="str">
        <f>"08999007"</f>
        <v>08999007</v>
      </c>
      <c r="D6270" s="58" t="str">
        <f>"18731244"</f>
        <v>18731244</v>
      </c>
      <c r="E6270" s="46" t="s">
        <v>272</v>
      </c>
      <c r="F6270" s="46" t="s">
        <v>17759</v>
      </c>
      <c r="G6270" s="46" t="s">
        <v>50584</v>
      </c>
      <c r="H6270" s="48" t="s">
        <v>56716</v>
      </c>
      <c r="I6270" s="48" t="s">
        <v>50564</v>
      </c>
      <c r="J6270" s="48" t="s">
        <v>56716</v>
      </c>
      <c r="K6270" s="50" t="s">
        <v>56716</v>
      </c>
      <c r="L6270" s="48" t="s">
        <v>56716</v>
      </c>
    </row>
    <row r="6271" spans="1:12" ht="11.25" x14ac:dyDescent="0.2">
      <c r="A6271" s="46" t="s">
        <v>3197</v>
      </c>
      <c r="B6271" s="46" t="s">
        <v>54707</v>
      </c>
      <c r="C6271" s="58" t="str">
        <f>"01635581"</f>
        <v>01635581</v>
      </c>
      <c r="D6271" s="58" t="str">
        <f>"15327914"</f>
        <v>15327914</v>
      </c>
      <c r="E6271" s="46" t="s">
        <v>689</v>
      </c>
      <c r="F6271" s="46" t="s">
        <v>17759</v>
      </c>
      <c r="G6271" s="46" t="s">
        <v>50584</v>
      </c>
      <c r="H6271" s="48" t="s">
        <v>56716</v>
      </c>
      <c r="I6271" s="48" t="s">
        <v>50564</v>
      </c>
      <c r="J6271" s="48"/>
      <c r="K6271" s="50" t="s">
        <v>56716</v>
      </c>
      <c r="L6271" s="48" t="s">
        <v>56716</v>
      </c>
    </row>
    <row r="6272" spans="1:12" ht="11.25" x14ac:dyDescent="0.2">
      <c r="A6272" s="46" t="s">
        <v>16666</v>
      </c>
      <c r="B6272" s="46" t="s">
        <v>54708</v>
      </c>
      <c r="C6272" s="58" t="str">
        <f>""</f>
        <v/>
      </c>
      <c r="D6272" s="58" t="str">
        <f>"20444052"</f>
        <v>20444052</v>
      </c>
      <c r="E6272" s="46" t="s">
        <v>315</v>
      </c>
      <c r="F6272" s="46" t="s">
        <v>50646</v>
      </c>
      <c r="G6272" s="46" t="s">
        <v>50584</v>
      </c>
      <c r="H6272" s="48" t="s">
        <v>56716</v>
      </c>
      <c r="I6272" s="48" t="s">
        <v>50564</v>
      </c>
      <c r="J6272" s="48" t="s">
        <v>56716</v>
      </c>
      <c r="K6272" s="57"/>
      <c r="L6272" s="48"/>
    </row>
    <row r="6273" spans="1:12" ht="11.25" x14ac:dyDescent="0.2">
      <c r="A6273" s="45" t="s">
        <v>42930</v>
      </c>
      <c r="B6273" s="45" t="s">
        <v>42932</v>
      </c>
      <c r="C6273" s="51" t="s">
        <v>42933</v>
      </c>
      <c r="D6273" s="51"/>
      <c r="E6273" s="45" t="s">
        <v>18520</v>
      </c>
      <c r="F6273" s="45" t="s">
        <v>50646</v>
      </c>
      <c r="G6273" s="45" t="s">
        <v>50584</v>
      </c>
      <c r="H6273" s="56"/>
      <c r="I6273" s="56" t="s">
        <v>50564</v>
      </c>
      <c r="J6273" s="56"/>
      <c r="K6273" s="57"/>
      <c r="L6273" s="56" t="s">
        <v>56716</v>
      </c>
    </row>
    <row r="6274" spans="1:12" ht="11.25" x14ac:dyDescent="0.2">
      <c r="A6274" s="46" t="s">
        <v>10677</v>
      </c>
      <c r="B6274" s="46" t="s">
        <v>54709</v>
      </c>
      <c r="C6274" s="58" t="str">
        <f>""</f>
        <v/>
      </c>
      <c r="D6274" s="58" t="str">
        <f>"17437075"</f>
        <v>17437075</v>
      </c>
      <c r="E6274" s="46" t="s">
        <v>2299</v>
      </c>
      <c r="F6274" s="46" t="s">
        <v>50646</v>
      </c>
      <c r="G6274" s="46" t="s">
        <v>50584</v>
      </c>
      <c r="H6274" s="48" t="s">
        <v>56716</v>
      </c>
      <c r="I6274" s="48" t="s">
        <v>50564</v>
      </c>
      <c r="J6274" s="48"/>
      <c r="K6274" s="50" t="s">
        <v>56716</v>
      </c>
      <c r="L6274" s="48"/>
    </row>
    <row r="6275" spans="1:12" ht="11.25" x14ac:dyDescent="0.2">
      <c r="A6275" s="46" t="s">
        <v>5374</v>
      </c>
      <c r="B6275" s="46" t="s">
        <v>54710</v>
      </c>
      <c r="C6275" s="58" t="str">
        <f>"09850562"</f>
        <v>09850562</v>
      </c>
      <c r="D6275" s="58" t="str">
        <f>"17683092"</f>
        <v>17683092</v>
      </c>
      <c r="E6275" s="46" t="s">
        <v>85</v>
      </c>
      <c r="F6275" s="46" t="s">
        <v>20359</v>
      </c>
      <c r="G6275" s="46" t="s">
        <v>50591</v>
      </c>
      <c r="H6275" s="48" t="s">
        <v>56716</v>
      </c>
      <c r="I6275" s="48" t="s">
        <v>50564</v>
      </c>
      <c r="J6275" s="48"/>
      <c r="K6275" s="50" t="s">
        <v>56716</v>
      </c>
      <c r="L6275" s="48"/>
    </row>
    <row r="6276" spans="1:12" ht="11.25" x14ac:dyDescent="0.2">
      <c r="A6276" s="46" t="s">
        <v>9331</v>
      </c>
      <c r="B6276" s="46" t="s">
        <v>54711</v>
      </c>
      <c r="C6276" s="58" t="str">
        <f>"08845336"</f>
        <v>08845336</v>
      </c>
      <c r="D6276" s="58" t="str">
        <f>"19412452"</f>
        <v>19412452</v>
      </c>
      <c r="E6276" s="46" t="s">
        <v>493</v>
      </c>
      <c r="F6276" s="46" t="s">
        <v>17759</v>
      </c>
      <c r="G6276" s="46" t="s">
        <v>50584</v>
      </c>
      <c r="H6276" s="48" t="s">
        <v>56716</v>
      </c>
      <c r="I6276" s="48" t="s">
        <v>50564</v>
      </c>
      <c r="J6276" s="48"/>
      <c r="K6276" s="57"/>
      <c r="L6276" s="48" t="s">
        <v>56716</v>
      </c>
    </row>
    <row r="6277" spans="1:12" ht="11.25" x14ac:dyDescent="0.2">
      <c r="A6277" s="46" t="s">
        <v>9665</v>
      </c>
      <c r="B6277" s="46" t="s">
        <v>54712</v>
      </c>
      <c r="C6277" s="58" t="str">
        <f>""</f>
        <v/>
      </c>
      <c r="D6277" s="58" t="str">
        <f>"14752891"</f>
        <v>14752891</v>
      </c>
      <c r="E6277" s="46" t="s">
        <v>2299</v>
      </c>
      <c r="F6277" s="46" t="s">
        <v>50646</v>
      </c>
      <c r="G6277" s="46" t="s">
        <v>50584</v>
      </c>
      <c r="H6277" s="48" t="s">
        <v>56716</v>
      </c>
      <c r="I6277" s="48" t="s">
        <v>50564</v>
      </c>
      <c r="J6277" s="48"/>
      <c r="K6277" s="50" t="s">
        <v>56716</v>
      </c>
      <c r="L6277" s="48" t="s">
        <v>56716</v>
      </c>
    </row>
    <row r="6278" spans="1:12" ht="11.25" x14ac:dyDescent="0.2">
      <c r="A6278" s="46" t="s">
        <v>3191</v>
      </c>
      <c r="B6278" s="46" t="s">
        <v>54713</v>
      </c>
      <c r="C6278" s="58" t="str">
        <f>"02715317"</f>
        <v>02715317</v>
      </c>
      <c r="D6278" s="58" t="str">
        <f>"18790739"</f>
        <v>18790739</v>
      </c>
      <c r="E6278" s="46" t="s">
        <v>272</v>
      </c>
      <c r="F6278" s="46" t="s">
        <v>17759</v>
      </c>
      <c r="G6278" s="46" t="s">
        <v>50584</v>
      </c>
      <c r="H6278" s="48" t="s">
        <v>56716</v>
      </c>
      <c r="I6278" s="48" t="s">
        <v>50564</v>
      </c>
      <c r="J6278" s="48" t="s">
        <v>56716</v>
      </c>
      <c r="K6278" s="50" t="s">
        <v>56716</v>
      </c>
      <c r="L6278" s="48" t="s">
        <v>56716</v>
      </c>
    </row>
    <row r="6279" spans="1:12" ht="11.25" x14ac:dyDescent="0.2">
      <c r="A6279" s="46" t="s">
        <v>4901</v>
      </c>
      <c r="B6279" s="46" t="s">
        <v>54714</v>
      </c>
      <c r="C6279" s="58" t="str">
        <f>"09544224"</f>
        <v>09544224</v>
      </c>
      <c r="D6279" s="58" t="str">
        <f>"14752700"</f>
        <v>14752700</v>
      </c>
      <c r="E6279" s="46" t="s">
        <v>724</v>
      </c>
      <c r="F6279" s="46" t="s">
        <v>50646</v>
      </c>
      <c r="G6279" s="46" t="s">
        <v>50584</v>
      </c>
      <c r="H6279" s="48" t="s">
        <v>56716</v>
      </c>
      <c r="I6279" s="48" t="s">
        <v>50564</v>
      </c>
      <c r="J6279" s="48"/>
      <c r="K6279" s="57"/>
      <c r="L6279" s="48" t="s">
        <v>56716</v>
      </c>
    </row>
    <row r="6280" spans="1:12" ht="11.25" x14ac:dyDescent="0.2">
      <c r="A6280" s="46" t="s">
        <v>3208</v>
      </c>
      <c r="B6280" s="46" t="s">
        <v>54715</v>
      </c>
      <c r="C6280" s="58" t="str">
        <f>"00296643"</f>
        <v>00296643</v>
      </c>
      <c r="D6280" s="58" t="str">
        <f>"17534887"</f>
        <v>17534887</v>
      </c>
      <c r="E6280" s="46" t="s">
        <v>548</v>
      </c>
      <c r="F6280" s="46" t="s">
        <v>17759</v>
      </c>
      <c r="G6280" s="46" t="s">
        <v>50584</v>
      </c>
      <c r="H6280" s="48" t="s">
        <v>56716</v>
      </c>
      <c r="I6280" s="48" t="s">
        <v>50564</v>
      </c>
      <c r="J6280" s="48"/>
      <c r="K6280" s="57"/>
      <c r="L6280" s="48" t="s">
        <v>56716</v>
      </c>
    </row>
    <row r="6281" spans="1:12" ht="11.25" x14ac:dyDescent="0.2">
      <c r="A6281" s="46" t="s">
        <v>9617</v>
      </c>
      <c r="B6281" s="46" t="s">
        <v>54716</v>
      </c>
      <c r="C6281" s="58" t="str">
        <f>"09394753"</f>
        <v>09394753</v>
      </c>
      <c r="D6281" s="58" t="str">
        <f>"15903729"</f>
        <v>15903729</v>
      </c>
      <c r="E6281" s="46" t="s">
        <v>91</v>
      </c>
      <c r="F6281" s="46" t="s">
        <v>18001</v>
      </c>
      <c r="G6281" s="46" t="s">
        <v>50584</v>
      </c>
      <c r="H6281" s="48" t="s">
        <v>56716</v>
      </c>
      <c r="I6281" s="48" t="s">
        <v>50564</v>
      </c>
      <c r="J6281" s="48" t="s">
        <v>56716</v>
      </c>
      <c r="K6281" s="50" t="s">
        <v>56716</v>
      </c>
      <c r="L6281" s="48" t="s">
        <v>56716</v>
      </c>
    </row>
    <row r="6282" spans="1:12" ht="11.25" x14ac:dyDescent="0.2">
      <c r="A6282" s="46" t="s">
        <v>8520</v>
      </c>
      <c r="B6282" s="46" t="s">
        <v>54717</v>
      </c>
      <c r="C6282" s="58" t="str">
        <f>"1028415X"</f>
        <v>1028415X</v>
      </c>
      <c r="D6282" s="58" t="str">
        <f>"14768305"</f>
        <v>14768305</v>
      </c>
      <c r="E6282" s="46" t="s">
        <v>856</v>
      </c>
      <c r="F6282" s="46" t="s">
        <v>50646</v>
      </c>
      <c r="G6282" s="46" t="s">
        <v>50584</v>
      </c>
      <c r="H6282" s="48" t="s">
        <v>56716</v>
      </c>
      <c r="I6282" s="48" t="s">
        <v>50564</v>
      </c>
      <c r="J6282" s="48" t="s">
        <v>56716</v>
      </c>
      <c r="K6282" s="57"/>
      <c r="L6282" s="48" t="s">
        <v>56716</v>
      </c>
    </row>
    <row r="6283" spans="1:12" ht="11.25" x14ac:dyDescent="0.2">
      <c r="A6283" s="46" t="s">
        <v>6998</v>
      </c>
      <c r="B6283" s="46" t="s">
        <v>54718</v>
      </c>
      <c r="C6283" s="58" t="str">
        <f>"10116958"</f>
        <v>10116958</v>
      </c>
      <c r="D6283" s="58" t="str">
        <f>""</f>
        <v/>
      </c>
      <c r="E6283" s="46" t="s">
        <v>7000</v>
      </c>
      <c r="F6283" s="46" t="s">
        <v>50654</v>
      </c>
      <c r="G6283" s="46" t="s">
        <v>50585</v>
      </c>
      <c r="H6283" s="48" t="s">
        <v>56716</v>
      </c>
      <c r="I6283" s="48" t="s">
        <v>50564</v>
      </c>
      <c r="J6283" s="48"/>
      <c r="K6283" s="57"/>
      <c r="L6283" s="48"/>
    </row>
    <row r="6284" spans="1:12" ht="11.25" x14ac:dyDescent="0.2">
      <c r="A6284" s="46" t="s">
        <v>11575</v>
      </c>
      <c r="B6284" s="46" t="s">
        <v>11575</v>
      </c>
      <c r="C6284" s="58" t="str">
        <f>"19307381"</f>
        <v>19307381</v>
      </c>
      <c r="D6284" s="58" t="str">
        <f>"1930739X"</f>
        <v>1930739X</v>
      </c>
      <c r="E6284" s="46" t="s">
        <v>548</v>
      </c>
      <c r="F6284" s="46" t="s">
        <v>17759</v>
      </c>
      <c r="G6284" s="46" t="s">
        <v>50584</v>
      </c>
      <c r="H6284" s="48" t="s">
        <v>56716</v>
      </c>
      <c r="I6284" s="48" t="s">
        <v>50564</v>
      </c>
      <c r="J6284" s="48"/>
      <c r="K6284" s="50" t="s">
        <v>56716</v>
      </c>
      <c r="L6284" s="48" t="s">
        <v>56716</v>
      </c>
    </row>
    <row r="6285" spans="1:12" ht="11.25" x14ac:dyDescent="0.2">
      <c r="A6285" s="46" t="s">
        <v>13871</v>
      </c>
      <c r="B6285" s="46" t="s">
        <v>54719</v>
      </c>
      <c r="C6285" s="58" t="str">
        <f>"18253865"</f>
        <v>18253865</v>
      </c>
      <c r="D6285" s="58" t="str">
        <f>"18267572"</f>
        <v>18267572</v>
      </c>
      <c r="E6285" s="46" t="s">
        <v>2304</v>
      </c>
      <c r="F6285" s="46" t="s">
        <v>17991</v>
      </c>
      <c r="G6285" s="46" t="s">
        <v>50584</v>
      </c>
      <c r="H6285" s="48" t="s">
        <v>56716</v>
      </c>
      <c r="I6285" s="48" t="s">
        <v>50564</v>
      </c>
      <c r="J6285" s="48"/>
      <c r="K6285" s="57"/>
      <c r="L6285" s="48"/>
    </row>
    <row r="6286" spans="1:12" ht="11.25" x14ac:dyDescent="0.2">
      <c r="A6286" s="46" t="s">
        <v>12922</v>
      </c>
      <c r="B6286" s="46" t="s">
        <v>54720</v>
      </c>
      <c r="C6286" s="58" t="str">
        <f>"16624025"</f>
        <v>16624025</v>
      </c>
      <c r="D6286" s="58" t="str">
        <f>"16624033"</f>
        <v>16624033</v>
      </c>
      <c r="E6286" s="46" t="s">
        <v>109</v>
      </c>
      <c r="F6286" s="46" t="s">
        <v>18123</v>
      </c>
      <c r="G6286" s="46" t="s">
        <v>50584</v>
      </c>
      <c r="H6286" s="48" t="s">
        <v>56716</v>
      </c>
      <c r="I6286" s="48" t="s">
        <v>50564</v>
      </c>
      <c r="J6286" s="48" t="s">
        <v>56716</v>
      </c>
      <c r="K6286" s="50" t="s">
        <v>56716</v>
      </c>
      <c r="L6286" s="48" t="s">
        <v>56716</v>
      </c>
    </row>
    <row r="6287" spans="1:12" ht="11.25" x14ac:dyDescent="0.2">
      <c r="A6287" s="46" t="s">
        <v>12059</v>
      </c>
      <c r="B6287" s="46" t="s">
        <v>54721</v>
      </c>
      <c r="C6287" s="58" t="str">
        <f>"1871403X"</f>
        <v>1871403X</v>
      </c>
      <c r="D6287" s="58" t="str">
        <f>"18780318"</f>
        <v>18780318</v>
      </c>
      <c r="E6287" s="46" t="s">
        <v>155</v>
      </c>
      <c r="F6287" s="46" t="s">
        <v>50646</v>
      </c>
      <c r="G6287" s="46" t="s">
        <v>50584</v>
      </c>
      <c r="H6287" s="48" t="s">
        <v>56716</v>
      </c>
      <c r="I6287" s="48" t="s">
        <v>50564</v>
      </c>
      <c r="J6287" s="48" t="s">
        <v>56716</v>
      </c>
      <c r="K6287" s="50" t="s">
        <v>56716</v>
      </c>
      <c r="L6287" s="48" t="s">
        <v>56716</v>
      </c>
    </row>
    <row r="6288" spans="1:12" ht="11.25" x14ac:dyDescent="0.2">
      <c r="A6288" s="46" t="s">
        <v>8971</v>
      </c>
      <c r="B6288" s="46" t="s">
        <v>54722</v>
      </c>
      <c r="C6288" s="58" t="str">
        <f>"14677881"</f>
        <v>14677881</v>
      </c>
      <c r="D6288" s="58" t="str">
        <f>"1467789X"</f>
        <v>1467789X</v>
      </c>
      <c r="E6288" s="46" t="s">
        <v>35</v>
      </c>
      <c r="F6288" s="46" t="s">
        <v>50646</v>
      </c>
      <c r="G6288" s="46" t="s">
        <v>50584</v>
      </c>
      <c r="H6288" s="48" t="s">
        <v>56716</v>
      </c>
      <c r="I6288" s="48" t="s">
        <v>50564</v>
      </c>
      <c r="J6288" s="48"/>
      <c r="K6288" s="50" t="s">
        <v>56716</v>
      </c>
      <c r="L6288" s="48" t="s">
        <v>56716</v>
      </c>
    </row>
    <row r="6289" spans="1:12" ht="11.25" x14ac:dyDescent="0.2">
      <c r="A6289" s="46" t="s">
        <v>5461</v>
      </c>
      <c r="B6289" s="46" t="s">
        <v>54723</v>
      </c>
      <c r="C6289" s="58" t="str">
        <f>"09608923"</f>
        <v>09608923</v>
      </c>
      <c r="D6289" s="58" t="str">
        <f>"17080428"</f>
        <v>17080428</v>
      </c>
      <c r="E6289" s="46" t="s">
        <v>56305</v>
      </c>
      <c r="F6289" s="46" t="s">
        <v>17759</v>
      </c>
      <c r="G6289" s="46" t="s">
        <v>50584</v>
      </c>
      <c r="H6289" s="48" t="s">
        <v>56716</v>
      </c>
      <c r="I6289" s="48" t="s">
        <v>50564</v>
      </c>
      <c r="J6289" s="48" t="s">
        <v>56716</v>
      </c>
      <c r="K6289" s="50" t="s">
        <v>56716</v>
      </c>
      <c r="L6289" s="48" t="s">
        <v>56716</v>
      </c>
    </row>
    <row r="6290" spans="1:12" ht="11.25" x14ac:dyDescent="0.2">
      <c r="A6290" s="46" t="s">
        <v>14661</v>
      </c>
      <c r="B6290" s="46" t="s">
        <v>54724</v>
      </c>
      <c r="C6290" s="58" t="str">
        <f>"1753495X"</f>
        <v>1753495X</v>
      </c>
      <c r="D6290" s="58" t="str">
        <f>"17534968"</f>
        <v>17534968</v>
      </c>
      <c r="E6290" s="46" t="s">
        <v>56038</v>
      </c>
      <c r="F6290" s="46" t="s">
        <v>50646</v>
      </c>
      <c r="G6290" s="46" t="s">
        <v>50584</v>
      </c>
      <c r="H6290" s="48" t="s">
        <v>56716</v>
      </c>
      <c r="I6290" s="48" t="s">
        <v>50564</v>
      </c>
      <c r="J6290" s="48" t="s">
        <v>56716</v>
      </c>
      <c r="K6290" s="57"/>
      <c r="L6290" s="48"/>
    </row>
    <row r="6291" spans="1:12" ht="11.25" x14ac:dyDescent="0.2">
      <c r="A6291" s="46" t="s">
        <v>3229</v>
      </c>
      <c r="B6291" s="46" t="s">
        <v>54725</v>
      </c>
      <c r="C6291" s="58" t="str">
        <f>"12205532"</f>
        <v>12205532</v>
      </c>
      <c r="D6291" s="58" t="str">
        <f>""</f>
        <v/>
      </c>
      <c r="E6291" s="46" t="s">
        <v>3231</v>
      </c>
      <c r="F6291" s="46" t="s">
        <v>22017</v>
      </c>
      <c r="G6291" s="46" t="s">
        <v>50617</v>
      </c>
      <c r="H6291" s="48" t="s">
        <v>56716</v>
      </c>
      <c r="I6291" s="48" t="s">
        <v>50564</v>
      </c>
      <c r="J6291" s="48"/>
      <c r="K6291" s="57"/>
      <c r="L6291" s="48"/>
    </row>
    <row r="6292" spans="1:12" ht="11.25" x14ac:dyDescent="0.2">
      <c r="A6292" s="46" t="s">
        <v>3243</v>
      </c>
      <c r="B6292" s="46" t="s">
        <v>54726</v>
      </c>
      <c r="C6292" s="58" t="str">
        <f>"00297828"</f>
        <v>00297828</v>
      </c>
      <c r="D6292" s="58" t="str">
        <f>"15339866"</f>
        <v>15339866</v>
      </c>
      <c r="E6292" s="46" t="s">
        <v>28</v>
      </c>
      <c r="F6292" s="46" t="s">
        <v>17759</v>
      </c>
      <c r="G6292" s="46" t="s">
        <v>50584</v>
      </c>
      <c r="H6292" s="48" t="s">
        <v>56716</v>
      </c>
      <c r="I6292" s="48" t="s">
        <v>50564</v>
      </c>
      <c r="J6292" s="48"/>
      <c r="K6292" s="57"/>
      <c r="L6292" s="48" t="s">
        <v>56716</v>
      </c>
    </row>
    <row r="6293" spans="1:12" ht="11.25" x14ac:dyDescent="0.2">
      <c r="A6293" s="46" t="s">
        <v>12233</v>
      </c>
      <c r="B6293" s="46" t="s">
        <v>54727</v>
      </c>
      <c r="C6293" s="58" t="str">
        <f>"10291962"</f>
        <v>10291962</v>
      </c>
      <c r="D6293" s="58" t="str">
        <f>""</f>
        <v/>
      </c>
      <c r="E6293" s="46" t="s">
        <v>12010</v>
      </c>
      <c r="F6293" s="46" t="s">
        <v>24311</v>
      </c>
      <c r="G6293" s="46" t="s">
        <v>50584</v>
      </c>
      <c r="H6293" s="48" t="s">
        <v>56716</v>
      </c>
      <c r="I6293" s="48" t="s">
        <v>50564</v>
      </c>
      <c r="J6293" s="48"/>
      <c r="K6293" s="57"/>
      <c r="L6293" s="48"/>
    </row>
    <row r="6294" spans="1:12" ht="11.25" x14ac:dyDescent="0.2">
      <c r="A6294" s="46" t="s">
        <v>3234</v>
      </c>
      <c r="B6294" s="46" t="s">
        <v>54728</v>
      </c>
      <c r="C6294" s="58" t="str">
        <f>"00297844"</f>
        <v>00297844</v>
      </c>
      <c r="D6294" s="58" t="str">
        <f>"1873233X"</f>
        <v>1873233X</v>
      </c>
      <c r="E6294" s="46" t="s">
        <v>28</v>
      </c>
      <c r="F6294" s="46" t="s">
        <v>50646</v>
      </c>
      <c r="G6294" s="46" t="s">
        <v>50584</v>
      </c>
      <c r="H6294" s="48" t="s">
        <v>56716</v>
      </c>
      <c r="I6294" s="48" t="s">
        <v>50564</v>
      </c>
      <c r="J6294" s="48" t="s">
        <v>56716</v>
      </c>
      <c r="K6294" s="50" t="s">
        <v>56716</v>
      </c>
      <c r="L6294" s="48" t="s">
        <v>56716</v>
      </c>
    </row>
    <row r="6295" spans="1:12" ht="11.25" x14ac:dyDescent="0.2">
      <c r="A6295" s="46" t="s">
        <v>4539</v>
      </c>
      <c r="B6295" s="46" t="s">
        <v>54729</v>
      </c>
      <c r="C6295" s="58" t="str">
        <f>"08898545"</f>
        <v>08898545</v>
      </c>
      <c r="D6295" s="58" t="str">
        <f>"15580474"</f>
        <v>15580474</v>
      </c>
      <c r="E6295" s="46" t="s">
        <v>303</v>
      </c>
      <c r="F6295" s="46" t="s">
        <v>17759</v>
      </c>
      <c r="G6295" s="46" t="s">
        <v>50584</v>
      </c>
      <c r="H6295" s="48" t="s">
        <v>56716</v>
      </c>
      <c r="I6295" s="48" t="s">
        <v>50564</v>
      </c>
      <c r="J6295" s="48" t="s">
        <v>56716</v>
      </c>
      <c r="K6295" s="50" t="s">
        <v>56716</v>
      </c>
      <c r="L6295" s="48" t="s">
        <v>56716</v>
      </c>
    </row>
    <row r="6296" spans="1:12" ht="11.25" x14ac:dyDescent="0.2">
      <c r="A6296" s="46" t="s">
        <v>11637</v>
      </c>
      <c r="B6296" s="46" t="s">
        <v>54730</v>
      </c>
      <c r="C6296" s="58" t="str">
        <f>"17517214"</f>
        <v>17517214</v>
      </c>
      <c r="D6296" s="58" t="str">
        <f>"18793622"</f>
        <v>18793622</v>
      </c>
      <c r="E6296" s="46" t="s">
        <v>831</v>
      </c>
      <c r="F6296" s="46" t="s">
        <v>50646</v>
      </c>
      <c r="G6296" s="46" t="s">
        <v>50584</v>
      </c>
      <c r="H6296" s="48" t="s">
        <v>56716</v>
      </c>
      <c r="I6296" s="48" t="s">
        <v>50564</v>
      </c>
      <c r="J6296" s="48"/>
      <c r="K6296" s="50" t="s">
        <v>56716</v>
      </c>
      <c r="L6296" s="48"/>
    </row>
    <row r="6297" spans="1:12" ht="11.25" x14ac:dyDescent="0.2">
      <c r="A6297" s="45" t="s">
        <v>43010</v>
      </c>
      <c r="B6297" s="45" t="s">
        <v>43012</v>
      </c>
      <c r="C6297" s="51" t="s">
        <v>43014</v>
      </c>
      <c r="D6297" s="51"/>
      <c r="E6297" s="45" t="s">
        <v>5364</v>
      </c>
      <c r="F6297" s="45" t="s">
        <v>50646</v>
      </c>
      <c r="G6297" s="45" t="s">
        <v>50584</v>
      </c>
      <c r="H6297" s="56"/>
      <c r="I6297" s="56" t="s">
        <v>50564</v>
      </c>
      <c r="J6297" s="56"/>
      <c r="K6297" s="57"/>
      <c r="L6297" s="56" t="s">
        <v>56716</v>
      </c>
    </row>
    <row r="6298" spans="1:12" ht="11.25" x14ac:dyDescent="0.2">
      <c r="A6298" s="46" t="s">
        <v>6209</v>
      </c>
      <c r="B6298" s="46" t="s">
        <v>54731</v>
      </c>
      <c r="C6298" s="58" t="str">
        <f>"13510711"</f>
        <v>13510711</v>
      </c>
      <c r="D6298" s="58" t="str">
        <f>"14707926"</f>
        <v>14707926</v>
      </c>
      <c r="E6298" s="46" t="s">
        <v>159</v>
      </c>
      <c r="F6298" s="46" t="s">
        <v>50646</v>
      </c>
      <c r="G6298" s="46" t="s">
        <v>50584</v>
      </c>
      <c r="H6298" s="48" t="s">
        <v>56716</v>
      </c>
      <c r="I6298" s="48" t="s">
        <v>50564</v>
      </c>
      <c r="J6298" s="48" t="s">
        <v>56716</v>
      </c>
      <c r="K6298" s="50" t="s">
        <v>56716</v>
      </c>
      <c r="L6298" s="48" t="s">
        <v>56716</v>
      </c>
    </row>
    <row r="6299" spans="1:12" ht="11.25" x14ac:dyDescent="0.2">
      <c r="A6299" s="45" t="s">
        <v>43021</v>
      </c>
      <c r="B6299" s="45" t="s">
        <v>43023</v>
      </c>
      <c r="C6299" s="51" t="s">
        <v>43025</v>
      </c>
      <c r="D6299" s="51"/>
      <c r="E6299" s="45" t="s">
        <v>43026</v>
      </c>
      <c r="F6299" s="45" t="s">
        <v>17759</v>
      </c>
      <c r="G6299" s="45" t="s">
        <v>50584</v>
      </c>
      <c r="H6299" s="56"/>
      <c r="I6299" s="56" t="s">
        <v>50564</v>
      </c>
      <c r="J6299" s="56"/>
      <c r="K6299" s="57"/>
      <c r="L6299" s="56" t="s">
        <v>56716</v>
      </c>
    </row>
    <row r="6300" spans="1:12" ht="11.25" x14ac:dyDescent="0.2">
      <c r="A6300" s="45" t="s">
        <v>43028</v>
      </c>
      <c r="B6300" s="45" t="s">
        <v>43030</v>
      </c>
      <c r="C6300" s="51" t="s">
        <v>43033</v>
      </c>
      <c r="D6300" s="51" t="s">
        <v>43032</v>
      </c>
      <c r="E6300" s="45" t="s">
        <v>55</v>
      </c>
      <c r="F6300" s="45" t="s">
        <v>50646</v>
      </c>
      <c r="G6300" s="45" t="s">
        <v>50584</v>
      </c>
      <c r="H6300" s="56"/>
      <c r="I6300" s="56" t="s">
        <v>50564</v>
      </c>
      <c r="J6300" s="56"/>
      <c r="K6300" s="57"/>
      <c r="L6300" s="56" t="s">
        <v>56716</v>
      </c>
    </row>
    <row r="6301" spans="1:12" ht="11.25" x14ac:dyDescent="0.2">
      <c r="A6301" s="46" t="s">
        <v>3282</v>
      </c>
      <c r="B6301" s="46" t="s">
        <v>54732</v>
      </c>
      <c r="C6301" s="58" t="str">
        <f>"07380577"</f>
        <v>07380577</v>
      </c>
      <c r="D6301" s="58" t="str">
        <f>"15413098"</f>
        <v>15413098</v>
      </c>
      <c r="E6301" s="46" t="s">
        <v>291</v>
      </c>
      <c r="F6301" s="46" t="s">
        <v>17759</v>
      </c>
      <c r="G6301" s="46" t="s">
        <v>50584</v>
      </c>
      <c r="H6301" s="48" t="s">
        <v>56716</v>
      </c>
      <c r="I6301" s="48" t="s">
        <v>50564</v>
      </c>
      <c r="J6301" s="48"/>
      <c r="K6301" s="57"/>
      <c r="L6301" s="48" t="s">
        <v>56716</v>
      </c>
    </row>
    <row r="6302" spans="1:12" ht="11.25" x14ac:dyDescent="0.2">
      <c r="A6302" s="45" t="s">
        <v>43039</v>
      </c>
      <c r="B6302" s="45" t="s">
        <v>43041</v>
      </c>
      <c r="C6302" s="51" t="s">
        <v>43043</v>
      </c>
      <c r="D6302" s="51" t="s">
        <v>43042</v>
      </c>
      <c r="E6302" s="45" t="s">
        <v>20207</v>
      </c>
      <c r="F6302" s="45" t="s">
        <v>50646</v>
      </c>
      <c r="G6302" s="45" t="s">
        <v>50584</v>
      </c>
      <c r="H6302" s="56"/>
      <c r="I6302" s="56" t="s">
        <v>50564</v>
      </c>
      <c r="J6302" s="56"/>
      <c r="K6302" s="57"/>
      <c r="L6302" s="56" t="s">
        <v>56716</v>
      </c>
    </row>
    <row r="6303" spans="1:12" ht="11.25" x14ac:dyDescent="0.2">
      <c r="A6303" s="46" t="s">
        <v>8731</v>
      </c>
      <c r="B6303" s="46" t="s">
        <v>54733</v>
      </c>
      <c r="C6303" s="58" t="str">
        <f>"15245012"</f>
        <v>15245012</v>
      </c>
      <c r="D6303" s="58" t="str">
        <f>""</f>
        <v/>
      </c>
      <c r="E6303" s="46" t="s">
        <v>8733</v>
      </c>
      <c r="F6303" s="46" t="s">
        <v>17759</v>
      </c>
      <c r="G6303" s="46" t="s">
        <v>50584</v>
      </c>
      <c r="H6303" s="48" t="s">
        <v>56716</v>
      </c>
      <c r="I6303" s="48" t="s">
        <v>50564</v>
      </c>
      <c r="J6303" s="48"/>
      <c r="K6303" s="57"/>
      <c r="L6303" s="48"/>
    </row>
    <row r="6304" spans="1:12" ht="11.25" x14ac:dyDescent="0.2">
      <c r="A6304" s="46" t="s">
        <v>6201</v>
      </c>
      <c r="B6304" s="46" t="s">
        <v>54734</v>
      </c>
      <c r="C6304" s="58" t="str">
        <f>"09273948"</f>
        <v>09273948</v>
      </c>
      <c r="D6304" s="58" t="str">
        <f>"17445078"</f>
        <v>17445078</v>
      </c>
      <c r="E6304" s="46" t="s">
        <v>291</v>
      </c>
      <c r="F6304" s="46" t="s">
        <v>50646</v>
      </c>
      <c r="G6304" s="46" t="s">
        <v>50584</v>
      </c>
      <c r="H6304" s="48" t="s">
        <v>56716</v>
      </c>
      <c r="I6304" s="48" t="s">
        <v>50564</v>
      </c>
      <c r="J6304" s="48"/>
      <c r="K6304" s="57"/>
      <c r="L6304" s="48" t="s">
        <v>56716</v>
      </c>
    </row>
    <row r="6305" spans="1:12" ht="11.25" x14ac:dyDescent="0.2">
      <c r="A6305" s="46" t="s">
        <v>10448</v>
      </c>
      <c r="B6305" s="46" t="s">
        <v>54735</v>
      </c>
      <c r="C6305" s="58" t="str">
        <f>"15420124"</f>
        <v>15420124</v>
      </c>
      <c r="D6305" s="58" t="str">
        <f>"19375913"</f>
        <v>19375913</v>
      </c>
      <c r="E6305" s="46" t="s">
        <v>272</v>
      </c>
      <c r="F6305" s="46" t="s">
        <v>17759</v>
      </c>
      <c r="G6305" s="46" t="s">
        <v>50584</v>
      </c>
      <c r="H6305" s="48" t="s">
        <v>56716</v>
      </c>
      <c r="I6305" s="48" t="s">
        <v>50564</v>
      </c>
      <c r="J6305" s="48"/>
      <c r="K6305" s="50" t="s">
        <v>56716</v>
      </c>
      <c r="L6305" s="48" t="s">
        <v>56716</v>
      </c>
    </row>
    <row r="6306" spans="1:12" ht="11.25" x14ac:dyDescent="0.2">
      <c r="A6306" s="45" t="s">
        <v>43055</v>
      </c>
      <c r="B6306" s="45" t="s">
        <v>43057</v>
      </c>
      <c r="C6306" s="51" t="s">
        <v>43060</v>
      </c>
      <c r="D6306" s="51" t="s">
        <v>43059</v>
      </c>
      <c r="E6306" s="45" t="s">
        <v>23335</v>
      </c>
      <c r="F6306" s="45" t="s">
        <v>18242</v>
      </c>
      <c r="G6306" s="45" t="s">
        <v>50584</v>
      </c>
      <c r="H6306" s="56"/>
      <c r="I6306" s="56" t="s">
        <v>50564</v>
      </c>
      <c r="J6306" s="56"/>
      <c r="K6306" s="57"/>
      <c r="L6306" s="56" t="s">
        <v>56716</v>
      </c>
    </row>
    <row r="6307" spans="1:12" ht="11.25" x14ac:dyDescent="0.2">
      <c r="A6307" s="45" t="s">
        <v>43063</v>
      </c>
      <c r="B6307" s="45" t="s">
        <v>43065</v>
      </c>
      <c r="C6307" s="51" t="s">
        <v>43067</v>
      </c>
      <c r="D6307" s="51"/>
      <c r="E6307" s="45" t="s">
        <v>43068</v>
      </c>
      <c r="F6307" s="45" t="s">
        <v>26941</v>
      </c>
      <c r="G6307" s="45" t="s">
        <v>50590</v>
      </c>
      <c r="H6307" s="56"/>
      <c r="I6307" s="56" t="s">
        <v>50564</v>
      </c>
      <c r="J6307" s="56"/>
      <c r="K6307" s="57"/>
      <c r="L6307" s="56" t="s">
        <v>56716</v>
      </c>
    </row>
    <row r="6308" spans="1:12" ht="11.25" x14ac:dyDescent="0.2">
      <c r="A6308" s="45" t="s">
        <v>43071</v>
      </c>
      <c r="B6308" s="45" t="s">
        <v>43071</v>
      </c>
      <c r="C6308" s="51" t="s">
        <v>43075</v>
      </c>
      <c r="D6308" s="51" t="s">
        <v>43074</v>
      </c>
      <c r="E6308" s="45" t="s">
        <v>18287</v>
      </c>
      <c r="F6308" s="45" t="s">
        <v>18158</v>
      </c>
      <c r="G6308" s="45" t="s">
        <v>50593</v>
      </c>
      <c r="H6308" s="56"/>
      <c r="I6308" s="56" t="s">
        <v>50564</v>
      </c>
      <c r="J6308" s="56"/>
      <c r="K6308" s="57"/>
      <c r="L6308" s="56" t="s">
        <v>56716</v>
      </c>
    </row>
    <row r="6309" spans="1:12" ht="11.25" x14ac:dyDescent="0.2">
      <c r="A6309" s="45" t="s">
        <v>43077</v>
      </c>
      <c r="B6309" s="45" t="s">
        <v>43079</v>
      </c>
      <c r="C6309" s="51" t="s">
        <v>43081</v>
      </c>
      <c r="D6309" s="51"/>
      <c r="E6309" s="45" t="s">
        <v>43082</v>
      </c>
      <c r="F6309" s="45" t="s">
        <v>22017</v>
      </c>
      <c r="G6309" s="45" t="s">
        <v>50618</v>
      </c>
      <c r="H6309" s="56"/>
      <c r="I6309" s="56" t="s">
        <v>50564</v>
      </c>
      <c r="J6309" s="56"/>
      <c r="K6309" s="57"/>
      <c r="L6309" s="56" t="s">
        <v>56716</v>
      </c>
    </row>
    <row r="6310" spans="1:12" ht="11.25" x14ac:dyDescent="0.2">
      <c r="A6310" s="45" t="s">
        <v>43084</v>
      </c>
      <c r="B6310" s="45" t="s">
        <v>43086</v>
      </c>
      <c r="C6310" s="51" t="s">
        <v>43088</v>
      </c>
      <c r="D6310" s="51"/>
      <c r="E6310" s="45" t="s">
        <v>43089</v>
      </c>
      <c r="F6310" s="45" t="s">
        <v>17759</v>
      </c>
      <c r="G6310" s="45" t="s">
        <v>50584</v>
      </c>
      <c r="H6310" s="56"/>
      <c r="I6310" s="56" t="s">
        <v>50564</v>
      </c>
      <c r="J6310" s="56"/>
      <c r="K6310" s="57"/>
      <c r="L6310" s="56" t="s">
        <v>56716</v>
      </c>
    </row>
    <row r="6311" spans="1:12" ht="11.25" x14ac:dyDescent="0.2">
      <c r="A6311" s="45" t="s">
        <v>43091</v>
      </c>
      <c r="B6311" s="45" t="s">
        <v>43093</v>
      </c>
      <c r="C6311" s="51" t="s">
        <v>43096</v>
      </c>
      <c r="D6311" s="51" t="s">
        <v>43095</v>
      </c>
      <c r="E6311" s="45" t="s">
        <v>43097</v>
      </c>
      <c r="F6311" s="45" t="s">
        <v>18242</v>
      </c>
      <c r="G6311" s="45" t="s">
        <v>50584</v>
      </c>
      <c r="H6311" s="56"/>
      <c r="I6311" s="56" t="s">
        <v>50564</v>
      </c>
      <c r="J6311" s="56"/>
      <c r="K6311" s="57"/>
      <c r="L6311" s="56" t="s">
        <v>56716</v>
      </c>
    </row>
    <row r="6312" spans="1:12" ht="11.25" x14ac:dyDescent="0.2">
      <c r="A6312" s="46" t="s">
        <v>15940</v>
      </c>
      <c r="B6312" s="46" t="s">
        <v>54736</v>
      </c>
      <c r="C6312" s="58" t="str">
        <f>"1999768X"</f>
        <v>1999768X</v>
      </c>
      <c r="D6312" s="58" t="str">
        <f>"20705204"</f>
        <v>20705204</v>
      </c>
      <c r="E6312" s="46" t="s">
        <v>15943</v>
      </c>
      <c r="F6312" s="46" t="s">
        <v>50658</v>
      </c>
      <c r="G6312" s="46" t="s">
        <v>50584</v>
      </c>
      <c r="H6312" s="48" t="s">
        <v>56716</v>
      </c>
      <c r="I6312" s="48" t="s">
        <v>50564</v>
      </c>
      <c r="J6312" s="48"/>
      <c r="K6312" s="57"/>
      <c r="L6312" s="48"/>
    </row>
    <row r="6313" spans="1:12" ht="11.25" x14ac:dyDescent="0.2">
      <c r="A6313" s="45" t="s">
        <v>43105</v>
      </c>
      <c r="B6313" s="45" t="s">
        <v>43107</v>
      </c>
      <c r="C6313" s="51" t="s">
        <v>43109</v>
      </c>
      <c r="D6313" s="51" t="s">
        <v>43108</v>
      </c>
      <c r="E6313" s="45" t="s">
        <v>19447</v>
      </c>
      <c r="F6313" s="45" t="s">
        <v>17759</v>
      </c>
      <c r="G6313" s="45" t="s">
        <v>50584</v>
      </c>
      <c r="H6313" s="56"/>
      <c r="I6313" s="56" t="s">
        <v>50564</v>
      </c>
      <c r="J6313" s="56"/>
      <c r="K6313" s="57"/>
      <c r="L6313" s="56" t="s">
        <v>56716</v>
      </c>
    </row>
    <row r="6314" spans="1:12" ht="11.25" x14ac:dyDescent="0.2">
      <c r="A6314" s="46" t="s">
        <v>9438</v>
      </c>
      <c r="B6314" s="46" t="s">
        <v>54737</v>
      </c>
      <c r="C6314" s="58" t="str">
        <f>"15362310"</f>
        <v>15362310</v>
      </c>
      <c r="D6314" s="58" t="str">
        <f>"15578100"</f>
        <v>15578100</v>
      </c>
      <c r="E6314" s="46" t="s">
        <v>4337</v>
      </c>
      <c r="F6314" s="46" t="s">
        <v>17759</v>
      </c>
      <c r="G6314" s="46" t="s">
        <v>50584</v>
      </c>
      <c r="H6314" s="48" t="s">
        <v>56716</v>
      </c>
      <c r="I6314" s="48" t="s">
        <v>50564</v>
      </c>
      <c r="J6314" s="48" t="s">
        <v>56716</v>
      </c>
      <c r="K6314" s="57"/>
      <c r="L6314" s="48" t="s">
        <v>56716</v>
      </c>
    </row>
    <row r="6315" spans="1:12" ht="11.25" x14ac:dyDescent="0.2">
      <c r="A6315" s="46" t="s">
        <v>4236</v>
      </c>
      <c r="B6315" s="46" t="s">
        <v>4236</v>
      </c>
      <c r="C6315" s="58" t="str">
        <f>"09509232"</f>
        <v>09509232</v>
      </c>
      <c r="D6315" s="58" t="str">
        <f>"14765594"</f>
        <v>14765594</v>
      </c>
      <c r="E6315" s="46" t="s">
        <v>315</v>
      </c>
      <c r="F6315" s="46" t="s">
        <v>50646</v>
      </c>
      <c r="G6315" s="46" t="s">
        <v>50584</v>
      </c>
      <c r="H6315" s="48" t="s">
        <v>56716</v>
      </c>
      <c r="I6315" s="48" t="s">
        <v>50564</v>
      </c>
      <c r="J6315" s="48" t="s">
        <v>56716</v>
      </c>
      <c r="K6315" s="50" t="s">
        <v>56716</v>
      </c>
      <c r="L6315" s="48" t="s">
        <v>56716</v>
      </c>
    </row>
    <row r="6316" spans="1:12" ht="11.25" x14ac:dyDescent="0.2">
      <c r="A6316" s="46" t="s">
        <v>16432</v>
      </c>
      <c r="B6316" s="46" t="s">
        <v>16432</v>
      </c>
      <c r="C6316" s="58" t="str">
        <f>""</f>
        <v/>
      </c>
      <c r="D6316" s="58" t="str">
        <f>"21579024"</f>
        <v>21579024</v>
      </c>
      <c r="E6316" s="46" t="s">
        <v>315</v>
      </c>
      <c r="F6316" s="46" t="s">
        <v>17759</v>
      </c>
      <c r="G6316" s="46" t="s">
        <v>50584</v>
      </c>
      <c r="H6316" s="48" t="s">
        <v>56716</v>
      </c>
      <c r="I6316" s="48" t="s">
        <v>50564</v>
      </c>
      <c r="J6316" s="48" t="s">
        <v>56716</v>
      </c>
      <c r="K6316" s="57"/>
      <c r="L6316" s="48"/>
    </row>
    <row r="6317" spans="1:12" ht="11.25" x14ac:dyDescent="0.2">
      <c r="A6317" s="46" t="s">
        <v>16481</v>
      </c>
      <c r="B6317" s="46" t="s">
        <v>16481</v>
      </c>
      <c r="C6317" s="58" t="str">
        <f>"21624011"</f>
        <v>21624011</v>
      </c>
      <c r="D6317" s="58" t="str">
        <f>"2162402X"</f>
        <v>2162402X</v>
      </c>
      <c r="E6317" s="46" t="s">
        <v>669</v>
      </c>
      <c r="F6317" s="46" t="s">
        <v>17759</v>
      </c>
      <c r="G6317" s="46" t="s">
        <v>50584</v>
      </c>
      <c r="H6317" s="48" t="s">
        <v>56716</v>
      </c>
      <c r="I6317" s="48" t="s">
        <v>50564</v>
      </c>
      <c r="J6317" s="48"/>
      <c r="K6317" s="57"/>
      <c r="L6317" s="48"/>
    </row>
    <row r="6318" spans="1:12" ht="11.25" x14ac:dyDescent="0.2">
      <c r="A6318" s="46" t="s">
        <v>8090</v>
      </c>
      <c r="B6318" s="46" t="s">
        <v>8090</v>
      </c>
      <c r="C6318" s="58" t="str">
        <f>"12923818"</f>
        <v>12923818</v>
      </c>
      <c r="D6318" s="58" t="str">
        <f>"17652839"</f>
        <v>17652839</v>
      </c>
      <c r="E6318" s="46" t="s">
        <v>11245</v>
      </c>
      <c r="F6318" s="46" t="s">
        <v>20359</v>
      </c>
      <c r="G6318" s="46" t="s">
        <v>50591</v>
      </c>
      <c r="H6318" s="48" t="s">
        <v>56716</v>
      </c>
      <c r="I6318" s="48" t="s">
        <v>50564</v>
      </c>
      <c r="J6318" s="48"/>
      <c r="K6318" s="50" t="s">
        <v>56716</v>
      </c>
      <c r="L6318" s="48"/>
    </row>
    <row r="6319" spans="1:12" ht="11.25" x14ac:dyDescent="0.2">
      <c r="A6319" s="46" t="s">
        <v>7207</v>
      </c>
      <c r="B6319" s="46" t="s">
        <v>7207</v>
      </c>
      <c r="C6319" s="58" t="str">
        <f>"10837159"</f>
        <v>10837159</v>
      </c>
      <c r="D6319" s="58" t="str">
        <f>"1549490X"</f>
        <v>1549490X</v>
      </c>
      <c r="E6319" s="46" t="s">
        <v>7210</v>
      </c>
      <c r="F6319" s="46" t="s">
        <v>17759</v>
      </c>
      <c r="G6319" s="46" t="s">
        <v>50584</v>
      </c>
      <c r="H6319" s="48" t="s">
        <v>56716</v>
      </c>
      <c r="I6319" s="48" t="s">
        <v>50564</v>
      </c>
      <c r="J6319" s="48" t="s">
        <v>56716</v>
      </c>
      <c r="K6319" s="57"/>
      <c r="L6319" s="48" t="s">
        <v>56716</v>
      </c>
    </row>
    <row r="6320" spans="1:12" ht="11.25" x14ac:dyDescent="0.2">
      <c r="A6320" s="46" t="s">
        <v>3246</v>
      </c>
      <c r="B6320" s="46" t="s">
        <v>43123</v>
      </c>
      <c r="C6320" s="58" t="str">
        <f>"00302414"</f>
        <v>00302414</v>
      </c>
      <c r="D6320" s="58" t="str">
        <f>"14230232"</f>
        <v>14230232</v>
      </c>
      <c r="E6320" s="46" t="s">
        <v>109</v>
      </c>
      <c r="F6320" s="46" t="s">
        <v>18123</v>
      </c>
      <c r="G6320" s="46" t="s">
        <v>50584</v>
      </c>
      <c r="H6320" s="48" t="s">
        <v>56716</v>
      </c>
      <c r="I6320" s="48" t="s">
        <v>50564</v>
      </c>
      <c r="J6320" s="48" t="s">
        <v>56716</v>
      </c>
      <c r="K6320" s="50" t="s">
        <v>56716</v>
      </c>
      <c r="L6320" s="48" t="s">
        <v>56716</v>
      </c>
    </row>
    <row r="6321" spans="1:12" ht="11.25" x14ac:dyDescent="0.2">
      <c r="A6321" s="46" t="s">
        <v>4815</v>
      </c>
      <c r="B6321" s="46" t="s">
        <v>43124</v>
      </c>
      <c r="C6321" s="58" t="str">
        <f>"08909091"</f>
        <v>08909091</v>
      </c>
      <c r="D6321" s="58" t="str">
        <f>"08909091"</f>
        <v>08909091</v>
      </c>
      <c r="E6321" s="46" t="s">
        <v>4817</v>
      </c>
      <c r="F6321" s="46" t="s">
        <v>17759</v>
      </c>
      <c r="G6321" s="46" t="s">
        <v>50584</v>
      </c>
      <c r="H6321" s="48" t="s">
        <v>56716</v>
      </c>
      <c r="I6321" s="48" t="s">
        <v>50564</v>
      </c>
      <c r="J6321" s="48"/>
      <c r="K6321" s="57"/>
      <c r="L6321" s="48" t="s">
        <v>56716</v>
      </c>
    </row>
    <row r="6322" spans="1:12" ht="11.25" x14ac:dyDescent="0.2">
      <c r="A6322" s="46" t="s">
        <v>14553</v>
      </c>
      <c r="B6322" s="46" t="s">
        <v>54738</v>
      </c>
      <c r="C6322" s="58" t="str">
        <f>"17921074"</f>
        <v>17921074</v>
      </c>
      <c r="D6322" s="58" t="str">
        <f>"17921082"</f>
        <v>17921082</v>
      </c>
      <c r="E6322" s="46" t="s">
        <v>5951</v>
      </c>
      <c r="F6322" s="46" t="s">
        <v>20969</v>
      </c>
      <c r="G6322" s="46" t="s">
        <v>50584</v>
      </c>
      <c r="H6322" s="48" t="s">
        <v>56716</v>
      </c>
      <c r="I6322" s="48" t="s">
        <v>50564</v>
      </c>
      <c r="J6322" s="48"/>
      <c r="K6322" s="57"/>
      <c r="L6322" s="48"/>
    </row>
    <row r="6323" spans="1:12" ht="11.25" x14ac:dyDescent="0.2">
      <c r="A6323" s="45" t="s">
        <v>43133</v>
      </c>
      <c r="B6323" s="45" t="s">
        <v>43135</v>
      </c>
      <c r="C6323" s="51" t="s">
        <v>43138</v>
      </c>
      <c r="D6323" s="51" t="s">
        <v>43137</v>
      </c>
      <c r="E6323" s="45" t="s">
        <v>43139</v>
      </c>
      <c r="F6323" s="45" t="s">
        <v>17759</v>
      </c>
      <c r="G6323" s="45" t="s">
        <v>50584</v>
      </c>
      <c r="H6323" s="56"/>
      <c r="I6323" s="56" t="s">
        <v>50564</v>
      </c>
      <c r="J6323" s="56"/>
      <c r="K6323" s="57"/>
      <c r="L6323" s="56" t="s">
        <v>56716</v>
      </c>
    </row>
    <row r="6324" spans="1:12" ht="11.25" x14ac:dyDescent="0.2">
      <c r="A6324" s="46" t="s">
        <v>10516</v>
      </c>
      <c r="B6324" s="46" t="s">
        <v>54739</v>
      </c>
      <c r="C6324" s="58" t="str">
        <f>"15485323"</f>
        <v>15485323</v>
      </c>
      <c r="D6324" s="58" t="str">
        <f>""</f>
        <v/>
      </c>
      <c r="E6324" s="46" t="s">
        <v>9974</v>
      </c>
      <c r="F6324" s="46" t="s">
        <v>17759</v>
      </c>
      <c r="G6324" s="46" t="s">
        <v>50584</v>
      </c>
      <c r="H6324" s="48" t="s">
        <v>56716</v>
      </c>
      <c r="I6324" s="48" t="s">
        <v>50564</v>
      </c>
      <c r="J6324" s="48"/>
      <c r="K6324" s="57"/>
      <c r="L6324" s="48"/>
    </row>
    <row r="6325" spans="1:12" ht="11.25" x14ac:dyDescent="0.2">
      <c r="A6325" s="46" t="s">
        <v>6246</v>
      </c>
      <c r="B6325" s="46" t="s">
        <v>54739</v>
      </c>
      <c r="C6325" s="58" t="str">
        <f>"1021335X"</f>
        <v>1021335X</v>
      </c>
      <c r="D6325" s="58" t="str">
        <f>"17912431"</f>
        <v>17912431</v>
      </c>
      <c r="E6325" s="46" t="s">
        <v>5951</v>
      </c>
      <c r="F6325" s="46" t="s">
        <v>20969</v>
      </c>
      <c r="G6325" s="46" t="s">
        <v>50584</v>
      </c>
      <c r="H6325" s="48" t="s">
        <v>56716</v>
      </c>
      <c r="I6325" s="48" t="s">
        <v>50564</v>
      </c>
      <c r="J6325" s="48" t="s">
        <v>56716</v>
      </c>
      <c r="K6325" s="57"/>
      <c r="L6325" s="48" t="s">
        <v>56716</v>
      </c>
    </row>
    <row r="6326" spans="1:12" ht="11.25" x14ac:dyDescent="0.2">
      <c r="A6326" s="46" t="s">
        <v>5814</v>
      </c>
      <c r="B6326" s="46" t="s">
        <v>54740</v>
      </c>
      <c r="C6326" s="58" t="str">
        <f>"09650407"</f>
        <v>09650407</v>
      </c>
      <c r="D6326" s="58" t="str">
        <f>"15553906"</f>
        <v>15553906</v>
      </c>
      <c r="E6326" s="46" t="s">
        <v>5766</v>
      </c>
      <c r="F6326" s="46" t="s">
        <v>17759</v>
      </c>
      <c r="G6326" s="46" t="s">
        <v>50584</v>
      </c>
      <c r="H6326" s="48" t="s">
        <v>56716</v>
      </c>
      <c r="I6326" s="48" t="s">
        <v>50564</v>
      </c>
      <c r="J6326" s="48" t="s">
        <v>56716</v>
      </c>
      <c r="K6326" s="57"/>
      <c r="L6326" s="48" t="s">
        <v>56716</v>
      </c>
    </row>
    <row r="6327" spans="1:12" ht="11.25" x14ac:dyDescent="0.2">
      <c r="A6327" s="46" t="s">
        <v>50686</v>
      </c>
      <c r="B6327" s="46" t="s">
        <v>55864</v>
      </c>
      <c r="C6327" s="58" t="str">
        <f>"22965270"</f>
        <v>22965270</v>
      </c>
      <c r="D6327" s="58" t="str">
        <f>""</f>
        <v/>
      </c>
      <c r="E6327" s="46" t="s">
        <v>109</v>
      </c>
      <c r="F6327" s="46" t="s">
        <v>18123</v>
      </c>
      <c r="G6327" s="46" t="s">
        <v>50584</v>
      </c>
      <c r="H6327" s="48" t="s">
        <v>56716</v>
      </c>
      <c r="I6327" s="48" t="s">
        <v>50564</v>
      </c>
      <c r="J6327" s="48"/>
      <c r="K6327" s="50" t="s">
        <v>56716</v>
      </c>
      <c r="L6327" s="48" t="s">
        <v>56716</v>
      </c>
    </row>
    <row r="6328" spans="1:12" ht="11.25" x14ac:dyDescent="0.2">
      <c r="A6328" s="46" t="s">
        <v>12989</v>
      </c>
      <c r="B6328" s="46" t="s">
        <v>55865</v>
      </c>
      <c r="C6328" s="58" t="str">
        <f>"19705557"</f>
        <v>19705557</v>
      </c>
      <c r="D6328" s="58" t="str">
        <f>"19705565"</f>
        <v>19705565</v>
      </c>
      <c r="E6328" s="46" t="s">
        <v>1949</v>
      </c>
      <c r="F6328" s="46" t="s">
        <v>17991</v>
      </c>
      <c r="G6328" s="46" t="s">
        <v>50584</v>
      </c>
      <c r="H6328" s="48" t="s">
        <v>56716</v>
      </c>
      <c r="I6328" s="48" t="s">
        <v>50564</v>
      </c>
      <c r="J6328" s="48" t="s">
        <v>56716</v>
      </c>
      <c r="K6328" s="57"/>
      <c r="L6328" s="48"/>
    </row>
    <row r="6329" spans="1:12" ht="11.25" x14ac:dyDescent="0.2">
      <c r="A6329" s="46" t="s">
        <v>16264</v>
      </c>
      <c r="B6329" s="46" t="s">
        <v>16264</v>
      </c>
      <c r="C6329" s="58" t="str">
        <f>""</f>
        <v/>
      </c>
      <c r="D6329" s="58" t="str">
        <f>"19492553"</f>
        <v>19492553</v>
      </c>
      <c r="E6329" s="46" t="s">
        <v>16266</v>
      </c>
      <c r="F6329" s="46" t="s">
        <v>17759</v>
      </c>
      <c r="G6329" s="46" t="s">
        <v>50584</v>
      </c>
      <c r="H6329" s="48" t="s">
        <v>56716</v>
      </c>
      <c r="I6329" s="48" t="s">
        <v>50564</v>
      </c>
      <c r="J6329" s="48"/>
      <c r="K6329" s="57"/>
      <c r="L6329" s="48" t="s">
        <v>56716</v>
      </c>
    </row>
    <row r="6330" spans="1:12" ht="11.25" x14ac:dyDescent="0.2">
      <c r="A6330" s="46" t="s">
        <v>13705</v>
      </c>
      <c r="B6330" s="46" t="s">
        <v>55866</v>
      </c>
      <c r="C6330" s="58" t="str">
        <f>"11786930"</f>
        <v>11786930</v>
      </c>
      <c r="D6330" s="58" t="str">
        <f>"11786930"</f>
        <v>11786930</v>
      </c>
      <c r="E6330" s="46" t="s">
        <v>11079</v>
      </c>
      <c r="F6330" s="46" t="s">
        <v>19483</v>
      </c>
      <c r="G6330" s="46" t="s">
        <v>50584</v>
      </c>
      <c r="H6330" s="48" t="s">
        <v>56716</v>
      </c>
      <c r="I6330" s="48" t="s">
        <v>50564</v>
      </c>
      <c r="J6330" s="48"/>
      <c r="K6330" s="57"/>
      <c r="L6330" s="48"/>
    </row>
    <row r="6331" spans="1:12" ht="11.25" x14ac:dyDescent="0.2">
      <c r="A6331" s="46" t="s">
        <v>13539</v>
      </c>
      <c r="B6331" s="46" t="s">
        <v>13539</v>
      </c>
      <c r="C6331" s="58" t="str">
        <f>"2049145X"</f>
        <v>2049145X</v>
      </c>
      <c r="D6331" s="58" t="str">
        <f>"20491468"</f>
        <v>20491468</v>
      </c>
      <c r="E6331" s="46" t="s">
        <v>13542</v>
      </c>
      <c r="F6331" s="46" t="s">
        <v>50646</v>
      </c>
      <c r="G6331" s="46" t="s">
        <v>50584</v>
      </c>
      <c r="H6331" s="48" t="s">
        <v>56716</v>
      </c>
      <c r="I6331" s="48" t="s">
        <v>50566</v>
      </c>
      <c r="J6331" s="48"/>
      <c r="K6331" s="57"/>
      <c r="L6331" s="48"/>
    </row>
    <row r="6332" spans="1:12" ht="11.25" x14ac:dyDescent="0.2">
      <c r="A6332" s="46" t="s">
        <v>6641</v>
      </c>
      <c r="B6332" s="46" t="s">
        <v>6641</v>
      </c>
      <c r="C6332" s="58" t="str">
        <f>"09478965"</f>
        <v>09478965</v>
      </c>
      <c r="D6332" s="58" t="str">
        <f>"14330415"</f>
        <v>14330415</v>
      </c>
      <c r="E6332" s="46" t="s">
        <v>167</v>
      </c>
      <c r="F6332" s="46" t="s">
        <v>18158</v>
      </c>
      <c r="G6332" s="46" t="s">
        <v>50593</v>
      </c>
      <c r="H6332" s="48" t="s">
        <v>56716</v>
      </c>
      <c r="I6332" s="48" t="s">
        <v>50564</v>
      </c>
      <c r="J6332" s="48"/>
      <c r="K6332" s="50" t="s">
        <v>56716</v>
      </c>
      <c r="L6332" s="48"/>
    </row>
    <row r="6333" spans="1:12" ht="11.25" x14ac:dyDescent="0.2">
      <c r="A6333" s="46" t="s">
        <v>14138</v>
      </c>
      <c r="B6333" s="46" t="s">
        <v>54741</v>
      </c>
      <c r="C6333" s="58" t="str">
        <f>"18968961"</f>
        <v>18968961</v>
      </c>
      <c r="D6333" s="58" t="str">
        <f>""</f>
        <v/>
      </c>
      <c r="E6333" s="46" t="s">
        <v>12619</v>
      </c>
      <c r="F6333" s="46" t="s">
        <v>17967</v>
      </c>
      <c r="G6333" s="46" t="s">
        <v>50613</v>
      </c>
      <c r="H6333" s="48" t="s">
        <v>56716</v>
      </c>
      <c r="I6333" s="48" t="s">
        <v>50564</v>
      </c>
      <c r="J6333" s="48"/>
      <c r="K6333" s="57"/>
      <c r="L6333" s="48"/>
    </row>
    <row r="6334" spans="1:12" ht="11.25" x14ac:dyDescent="0.2">
      <c r="A6334" s="46" t="s">
        <v>8526</v>
      </c>
      <c r="B6334" s="46" t="s">
        <v>54742</v>
      </c>
      <c r="C6334" s="58" t="str">
        <f>"15056732"</f>
        <v>15056732</v>
      </c>
      <c r="D6334" s="58" t="str">
        <f>""</f>
        <v/>
      </c>
      <c r="E6334" s="46" t="s">
        <v>6797</v>
      </c>
      <c r="F6334" s="46" t="s">
        <v>17967</v>
      </c>
      <c r="G6334" s="46" t="s">
        <v>50612</v>
      </c>
      <c r="H6334" s="48" t="s">
        <v>56716</v>
      </c>
      <c r="I6334" s="48" t="s">
        <v>50564</v>
      </c>
      <c r="J6334" s="48"/>
      <c r="K6334" s="57"/>
      <c r="L6334" s="48"/>
    </row>
    <row r="6335" spans="1:12" ht="11.25" x14ac:dyDescent="0.2">
      <c r="A6335" s="46" t="s">
        <v>55892</v>
      </c>
      <c r="B6335" s="46" t="s">
        <v>55893</v>
      </c>
      <c r="C6335" s="58" t="str">
        <f>"18024475"</f>
        <v>18024475</v>
      </c>
      <c r="D6335" s="58" t="str">
        <f>"18035345"</f>
        <v>18035345</v>
      </c>
      <c r="E6335" s="46" t="s">
        <v>55891</v>
      </c>
      <c r="F6335" s="46" t="s">
        <v>18025</v>
      </c>
      <c r="G6335" s="46" t="s">
        <v>50581</v>
      </c>
      <c r="H6335" s="48" t="s">
        <v>56716</v>
      </c>
      <c r="I6335" s="48" t="s">
        <v>50564</v>
      </c>
      <c r="J6335" s="48"/>
      <c r="K6335" s="57"/>
      <c r="L6335" s="48"/>
    </row>
    <row r="6336" spans="1:12" ht="11.25" x14ac:dyDescent="0.2">
      <c r="A6336" s="45" t="s">
        <v>43161</v>
      </c>
      <c r="B6336" s="45" t="s">
        <v>43163</v>
      </c>
      <c r="C6336" s="51"/>
      <c r="D6336" s="51" t="s">
        <v>43164</v>
      </c>
      <c r="E6336" s="45" t="s">
        <v>43165</v>
      </c>
      <c r="F6336" s="45" t="s">
        <v>17759</v>
      </c>
      <c r="G6336" s="45" t="s">
        <v>50584</v>
      </c>
      <c r="H6336" s="56"/>
      <c r="I6336" s="56" t="s">
        <v>50564</v>
      </c>
      <c r="J6336" s="56"/>
      <c r="K6336" s="57"/>
      <c r="L6336" s="56" t="s">
        <v>56716</v>
      </c>
    </row>
    <row r="6337" spans="1:12" ht="11.25" x14ac:dyDescent="0.2">
      <c r="A6337" s="45" t="s">
        <v>43167</v>
      </c>
      <c r="B6337" s="45" t="s">
        <v>43169</v>
      </c>
      <c r="C6337" s="51" t="s">
        <v>43171</v>
      </c>
      <c r="D6337" s="51"/>
      <c r="E6337" s="45" t="s">
        <v>43139</v>
      </c>
      <c r="F6337" s="45" t="s">
        <v>17759</v>
      </c>
      <c r="G6337" s="45" t="s">
        <v>50584</v>
      </c>
      <c r="H6337" s="56"/>
      <c r="I6337" s="56" t="s">
        <v>50564</v>
      </c>
      <c r="J6337" s="56"/>
      <c r="K6337" s="57"/>
      <c r="L6337" s="56" t="s">
        <v>56716</v>
      </c>
    </row>
    <row r="6338" spans="1:12" ht="11.25" x14ac:dyDescent="0.2">
      <c r="A6338" s="46" t="s">
        <v>14468</v>
      </c>
      <c r="B6338" s="46" t="s">
        <v>54743</v>
      </c>
      <c r="C6338" s="58" t="str">
        <f>"19157398"</f>
        <v>19157398</v>
      </c>
      <c r="D6338" s="58" t="str">
        <f>""</f>
        <v/>
      </c>
      <c r="E6338" s="46" t="s">
        <v>14470</v>
      </c>
      <c r="F6338" s="46" t="s">
        <v>18959</v>
      </c>
      <c r="G6338" s="46" t="s">
        <v>50584</v>
      </c>
      <c r="H6338" s="48" t="s">
        <v>56716</v>
      </c>
      <c r="I6338" s="48" t="s">
        <v>50564</v>
      </c>
      <c r="J6338" s="48"/>
      <c r="K6338" s="57"/>
      <c r="L6338" s="48" t="s">
        <v>56716</v>
      </c>
    </row>
    <row r="6339" spans="1:12" ht="11.25" x14ac:dyDescent="0.2">
      <c r="A6339" s="45" t="s">
        <v>43177</v>
      </c>
      <c r="B6339" s="45" t="s">
        <v>43177</v>
      </c>
      <c r="C6339" s="51" t="s">
        <v>43179</v>
      </c>
      <c r="D6339" s="51"/>
      <c r="E6339" s="45" t="s">
        <v>22718</v>
      </c>
      <c r="F6339" s="45" t="s">
        <v>50653</v>
      </c>
      <c r="G6339" s="45" t="s">
        <v>56509</v>
      </c>
      <c r="H6339" s="56"/>
      <c r="I6339" s="56" t="s">
        <v>50564</v>
      </c>
      <c r="J6339" s="56"/>
      <c r="K6339" s="57"/>
      <c r="L6339" s="56" t="s">
        <v>56716</v>
      </c>
    </row>
    <row r="6340" spans="1:12" ht="11.25" x14ac:dyDescent="0.2">
      <c r="A6340" s="46" t="s">
        <v>17347</v>
      </c>
      <c r="B6340" s="46" t="s">
        <v>17347</v>
      </c>
      <c r="C6340" s="58" t="str">
        <f>""</f>
        <v/>
      </c>
      <c r="D6340" s="58" t="str">
        <f>"11792701"</f>
        <v>11792701</v>
      </c>
      <c r="E6340" s="46" t="s">
        <v>11078</v>
      </c>
      <c r="F6340" s="46" t="s">
        <v>50646</v>
      </c>
      <c r="G6340" s="46" t="s">
        <v>50584</v>
      </c>
      <c r="H6340" s="48" t="s">
        <v>56716</v>
      </c>
      <c r="I6340" s="48" t="s">
        <v>50564</v>
      </c>
      <c r="J6340" s="48"/>
      <c r="K6340" s="57"/>
      <c r="L6340" s="48"/>
    </row>
    <row r="6341" spans="1:12" ht="11.25" x14ac:dyDescent="0.2">
      <c r="A6341" s="46" t="s">
        <v>14471</v>
      </c>
      <c r="B6341" s="46" t="s">
        <v>54744</v>
      </c>
      <c r="C6341" s="58" t="str">
        <f>""</f>
        <v/>
      </c>
      <c r="D6341" s="58" t="str">
        <f>"11791500"</f>
        <v>11791500</v>
      </c>
      <c r="E6341" s="46" t="s">
        <v>11078</v>
      </c>
      <c r="F6341" s="46" t="s">
        <v>50646</v>
      </c>
      <c r="G6341" s="46" t="s">
        <v>50584</v>
      </c>
      <c r="H6341" s="48" t="s">
        <v>56716</v>
      </c>
      <c r="I6341" s="48" t="s">
        <v>50564</v>
      </c>
      <c r="J6341" s="48"/>
      <c r="K6341" s="57"/>
      <c r="L6341" s="48"/>
    </row>
    <row r="6342" spans="1:12" ht="11.25" x14ac:dyDescent="0.2">
      <c r="A6342" s="46" t="s">
        <v>14604</v>
      </c>
      <c r="B6342" s="46" t="s">
        <v>54745</v>
      </c>
      <c r="C6342" s="58" t="str">
        <f>""</f>
        <v/>
      </c>
      <c r="D6342" s="58" t="str">
        <f>"11791519"</f>
        <v>11791519</v>
      </c>
      <c r="E6342" s="46" t="s">
        <v>11079</v>
      </c>
      <c r="F6342" s="46" t="s">
        <v>19483</v>
      </c>
      <c r="G6342" s="46" t="s">
        <v>50584</v>
      </c>
      <c r="H6342" s="48" t="s">
        <v>56716</v>
      </c>
      <c r="I6342" s="48" t="s">
        <v>50564</v>
      </c>
      <c r="J6342" s="48"/>
      <c r="K6342" s="57"/>
      <c r="L6342" s="48"/>
    </row>
    <row r="6343" spans="1:12" ht="11.25" x14ac:dyDescent="0.2">
      <c r="A6343" s="46" t="s">
        <v>14872</v>
      </c>
      <c r="B6343" s="46" t="s">
        <v>54746</v>
      </c>
      <c r="C6343" s="58" t="str">
        <f>""</f>
        <v/>
      </c>
      <c r="D6343" s="58" t="str">
        <f>"09747877"</f>
        <v>09747877</v>
      </c>
      <c r="E6343" s="46" t="s">
        <v>14874</v>
      </c>
      <c r="F6343" s="46" t="s">
        <v>20446</v>
      </c>
      <c r="G6343" s="46" t="s">
        <v>50584</v>
      </c>
      <c r="H6343" s="48" t="s">
        <v>56716</v>
      </c>
      <c r="I6343" s="48" t="s">
        <v>50564</v>
      </c>
      <c r="J6343" s="48"/>
      <c r="K6343" s="57"/>
      <c r="L6343" s="48"/>
    </row>
    <row r="6344" spans="1:12" ht="11.25" x14ac:dyDescent="0.2">
      <c r="A6344" s="46" t="s">
        <v>14113</v>
      </c>
      <c r="B6344" s="46" t="s">
        <v>54747</v>
      </c>
      <c r="C6344" s="58" t="str">
        <f>""</f>
        <v/>
      </c>
      <c r="D6344" s="58" t="str">
        <f>"1179156X"</f>
        <v>1179156X</v>
      </c>
      <c r="E6344" s="46" t="s">
        <v>11078</v>
      </c>
      <c r="F6344" s="46" t="s">
        <v>19483</v>
      </c>
      <c r="G6344" s="46" t="s">
        <v>50584</v>
      </c>
      <c r="H6344" s="48" t="s">
        <v>56716</v>
      </c>
      <c r="I6344" s="48" t="s">
        <v>50564</v>
      </c>
      <c r="J6344" s="48"/>
      <c r="K6344" s="57"/>
      <c r="L6344" s="48"/>
    </row>
    <row r="6345" spans="1:12" ht="11.25" x14ac:dyDescent="0.2">
      <c r="A6345" s="46" t="s">
        <v>13693</v>
      </c>
      <c r="B6345" s="46" t="s">
        <v>54748</v>
      </c>
      <c r="C6345" s="58" t="str">
        <f>""</f>
        <v/>
      </c>
      <c r="D6345" s="58" t="str">
        <f>"18746136"</f>
        <v>18746136</v>
      </c>
      <c r="E6345" s="46" t="s">
        <v>6405</v>
      </c>
      <c r="F6345" s="46" t="s">
        <v>18001</v>
      </c>
      <c r="G6345" s="46" t="s">
        <v>50584</v>
      </c>
      <c r="H6345" s="48" t="s">
        <v>56716</v>
      </c>
      <c r="I6345" s="48" t="s">
        <v>50564</v>
      </c>
      <c r="J6345" s="48" t="s">
        <v>56716</v>
      </c>
      <c r="K6345" s="57"/>
      <c r="L6345" s="48"/>
    </row>
    <row r="6346" spans="1:12" ht="11.25" x14ac:dyDescent="0.2">
      <c r="A6346" s="46" t="s">
        <v>14063</v>
      </c>
      <c r="B6346" s="46" t="s">
        <v>54749</v>
      </c>
      <c r="C6346" s="58" t="str">
        <f>""</f>
        <v/>
      </c>
      <c r="D6346" s="58" t="str">
        <f>"18748384"</f>
        <v>18748384</v>
      </c>
      <c r="E6346" s="46" t="s">
        <v>6405</v>
      </c>
      <c r="F6346" s="46" t="s">
        <v>18001</v>
      </c>
      <c r="G6346" s="46" t="s">
        <v>50584</v>
      </c>
      <c r="H6346" s="48" t="s">
        <v>56716</v>
      </c>
      <c r="I6346" s="48" t="s">
        <v>50564</v>
      </c>
      <c r="J6346" s="48" t="s">
        <v>56716</v>
      </c>
      <c r="K6346" s="57"/>
      <c r="L6346" s="48"/>
    </row>
    <row r="6347" spans="1:12" ht="11.25" x14ac:dyDescent="0.2">
      <c r="A6347" s="46" t="s">
        <v>14807</v>
      </c>
      <c r="B6347" s="46" t="s">
        <v>54750</v>
      </c>
      <c r="C6347" s="58" t="str">
        <f>""</f>
        <v/>
      </c>
      <c r="D6347" s="58" t="str">
        <f>"1876827X"</f>
        <v>1876827X</v>
      </c>
      <c r="E6347" s="46" t="s">
        <v>6405</v>
      </c>
      <c r="F6347" s="46" t="s">
        <v>18001</v>
      </c>
      <c r="G6347" s="46" t="s">
        <v>50584</v>
      </c>
      <c r="H6347" s="48" t="s">
        <v>56716</v>
      </c>
      <c r="I6347" s="48" t="s">
        <v>50564</v>
      </c>
      <c r="J6347" s="48" t="s">
        <v>56716</v>
      </c>
      <c r="K6347" s="57"/>
      <c r="L6347" s="48"/>
    </row>
    <row r="6348" spans="1:12" ht="11.25" x14ac:dyDescent="0.2">
      <c r="A6348" s="46" t="s">
        <v>14065</v>
      </c>
      <c r="B6348" s="46" t="s">
        <v>54751</v>
      </c>
      <c r="C6348" s="58" t="str">
        <f>""</f>
        <v/>
      </c>
      <c r="D6348" s="58" t="str">
        <f>"18743218"</f>
        <v>18743218</v>
      </c>
      <c r="E6348" s="46" t="s">
        <v>6405</v>
      </c>
      <c r="F6348" s="46" t="s">
        <v>18001</v>
      </c>
      <c r="G6348" s="46" t="s">
        <v>50584</v>
      </c>
      <c r="H6348" s="48" t="s">
        <v>56716</v>
      </c>
      <c r="I6348" s="48" t="s">
        <v>50564</v>
      </c>
      <c r="J6348" s="48" t="s">
        <v>56716</v>
      </c>
      <c r="K6348" s="57"/>
      <c r="L6348" s="48"/>
    </row>
    <row r="6349" spans="1:12" ht="11.25" x14ac:dyDescent="0.2">
      <c r="A6349" s="46" t="s">
        <v>15643</v>
      </c>
      <c r="B6349" s="46" t="s">
        <v>54752</v>
      </c>
      <c r="C6349" s="58" t="str">
        <f>""</f>
        <v/>
      </c>
      <c r="D6349" s="58" t="str">
        <f>"18765181"</f>
        <v>18765181</v>
      </c>
      <c r="E6349" s="46" t="s">
        <v>6405</v>
      </c>
      <c r="F6349" s="46" t="s">
        <v>18001</v>
      </c>
      <c r="G6349" s="46" t="s">
        <v>50584</v>
      </c>
      <c r="H6349" s="48" t="s">
        <v>56716</v>
      </c>
      <c r="I6349" s="48" t="s">
        <v>50564</v>
      </c>
      <c r="J6349" s="48" t="s">
        <v>56716</v>
      </c>
      <c r="K6349" s="57"/>
      <c r="L6349" s="48"/>
    </row>
    <row r="6350" spans="1:12" ht="11.25" x14ac:dyDescent="0.2">
      <c r="A6350" s="46" t="s">
        <v>14837</v>
      </c>
      <c r="B6350" s="46" t="s">
        <v>54753</v>
      </c>
      <c r="C6350" s="58" t="str">
        <f>""</f>
        <v/>
      </c>
      <c r="D6350" s="58" t="str">
        <f>"18765394"</f>
        <v>18765394</v>
      </c>
      <c r="E6350" s="46" t="s">
        <v>6405</v>
      </c>
      <c r="F6350" s="46" t="s">
        <v>18001</v>
      </c>
      <c r="G6350" s="46" t="s">
        <v>50584</v>
      </c>
      <c r="H6350" s="48" t="s">
        <v>56716</v>
      </c>
      <c r="I6350" s="48" t="s">
        <v>50564</v>
      </c>
      <c r="J6350" s="48" t="s">
        <v>56716</v>
      </c>
      <c r="K6350" s="57"/>
      <c r="L6350" s="48"/>
    </row>
    <row r="6351" spans="1:12" ht="11.25" x14ac:dyDescent="0.2">
      <c r="A6351" s="46" t="s">
        <v>14793</v>
      </c>
      <c r="B6351" s="46" t="s">
        <v>54754</v>
      </c>
      <c r="C6351" s="58" t="str">
        <f>""</f>
        <v/>
      </c>
      <c r="D6351" s="58" t="str">
        <f>"18768946"</f>
        <v>18768946</v>
      </c>
      <c r="E6351" s="46" t="s">
        <v>6405</v>
      </c>
      <c r="F6351" s="46" t="s">
        <v>18001</v>
      </c>
      <c r="G6351" s="46" t="s">
        <v>50584</v>
      </c>
      <c r="H6351" s="48" t="s">
        <v>56716</v>
      </c>
      <c r="I6351" s="48" t="s">
        <v>50564</v>
      </c>
      <c r="J6351" s="48" t="s">
        <v>56716</v>
      </c>
      <c r="K6351" s="57"/>
      <c r="L6351" s="48"/>
    </row>
    <row r="6352" spans="1:12" ht="11.25" x14ac:dyDescent="0.2">
      <c r="A6352" s="46" t="s">
        <v>13433</v>
      </c>
      <c r="B6352" s="46" t="s">
        <v>54755</v>
      </c>
      <c r="C6352" s="58" t="str">
        <f>""</f>
        <v/>
      </c>
      <c r="D6352" s="58" t="str">
        <f>"18748473"</f>
        <v>18748473</v>
      </c>
      <c r="E6352" s="46" t="s">
        <v>6405</v>
      </c>
      <c r="F6352" s="46" t="s">
        <v>18001</v>
      </c>
      <c r="G6352" s="46" t="s">
        <v>50584</v>
      </c>
      <c r="H6352" s="48" t="s">
        <v>56716</v>
      </c>
      <c r="I6352" s="48" t="s">
        <v>50564</v>
      </c>
      <c r="J6352" s="48" t="s">
        <v>56716</v>
      </c>
      <c r="K6352" s="57"/>
      <c r="L6352" s="48"/>
    </row>
    <row r="6353" spans="1:12" ht="11.25" x14ac:dyDescent="0.2">
      <c r="A6353" s="46" t="s">
        <v>15148</v>
      </c>
      <c r="B6353" s="46" t="s">
        <v>54756</v>
      </c>
      <c r="C6353" s="58" t="str">
        <f>""</f>
        <v/>
      </c>
      <c r="D6353" s="58" t="str">
        <f>"1874091X"</f>
        <v>1874091X</v>
      </c>
      <c r="E6353" s="46" t="s">
        <v>6405</v>
      </c>
      <c r="F6353" s="46" t="s">
        <v>18001</v>
      </c>
      <c r="G6353" s="46" t="s">
        <v>50584</v>
      </c>
      <c r="H6353" s="48" t="s">
        <v>56716</v>
      </c>
      <c r="I6353" s="48" t="s">
        <v>50564</v>
      </c>
      <c r="J6353" s="48" t="s">
        <v>56716</v>
      </c>
      <c r="K6353" s="57"/>
      <c r="L6353" s="48"/>
    </row>
    <row r="6354" spans="1:12" ht="11.25" x14ac:dyDescent="0.2">
      <c r="A6354" s="46" t="s">
        <v>14841</v>
      </c>
      <c r="B6354" s="46" t="s">
        <v>54757</v>
      </c>
      <c r="C6354" s="58" t="str">
        <f>""</f>
        <v/>
      </c>
      <c r="D6354" s="58" t="str">
        <f>"18750362"</f>
        <v>18750362</v>
      </c>
      <c r="E6354" s="46" t="s">
        <v>6405</v>
      </c>
      <c r="F6354" s="46" t="s">
        <v>18001</v>
      </c>
      <c r="G6354" s="46" t="s">
        <v>50584</v>
      </c>
      <c r="H6354" s="48" t="s">
        <v>56716</v>
      </c>
      <c r="I6354" s="48" t="s">
        <v>50564</v>
      </c>
      <c r="J6354" s="48" t="s">
        <v>56716</v>
      </c>
      <c r="K6354" s="57"/>
      <c r="L6354" s="48"/>
    </row>
    <row r="6355" spans="1:12" ht="11.25" x14ac:dyDescent="0.2">
      <c r="A6355" s="45" t="s">
        <v>43181</v>
      </c>
      <c r="B6355" s="45" t="s">
        <v>43183</v>
      </c>
      <c r="C6355" s="51"/>
      <c r="D6355" s="51" t="s">
        <v>43184</v>
      </c>
      <c r="E6355" s="45" t="s">
        <v>43185</v>
      </c>
      <c r="F6355" s="45" t="s">
        <v>50646</v>
      </c>
      <c r="G6355" s="45" t="s">
        <v>50584</v>
      </c>
      <c r="H6355" s="56"/>
      <c r="I6355" s="56" t="s">
        <v>50564</v>
      </c>
      <c r="J6355" s="56"/>
      <c r="K6355" s="57"/>
      <c r="L6355" s="56" t="s">
        <v>56716</v>
      </c>
    </row>
    <row r="6356" spans="1:12" ht="11.25" x14ac:dyDescent="0.2">
      <c r="A6356" s="46" t="s">
        <v>13655</v>
      </c>
      <c r="B6356" s="46" t="s">
        <v>54758</v>
      </c>
      <c r="C6356" s="58" t="str">
        <f>""</f>
        <v/>
      </c>
      <c r="D6356" s="58" t="str">
        <f>"18753183"</f>
        <v>18753183</v>
      </c>
      <c r="E6356" s="46" t="s">
        <v>6405</v>
      </c>
      <c r="F6356" s="46" t="s">
        <v>18001</v>
      </c>
      <c r="G6356" s="46" t="s">
        <v>50584</v>
      </c>
      <c r="H6356" s="48" t="s">
        <v>56716</v>
      </c>
      <c r="I6356" s="48" t="s">
        <v>50564</v>
      </c>
      <c r="J6356" s="48" t="s">
        <v>56716</v>
      </c>
      <c r="K6356" s="57"/>
      <c r="L6356" s="48"/>
    </row>
    <row r="6357" spans="1:12" ht="11.25" x14ac:dyDescent="0.2">
      <c r="A6357" s="46" t="s">
        <v>13329</v>
      </c>
      <c r="B6357" s="46" t="s">
        <v>54759</v>
      </c>
      <c r="C6357" s="58" t="str">
        <f>""</f>
        <v/>
      </c>
      <c r="D6357" s="58" t="str">
        <f>"18741207"</f>
        <v>18741207</v>
      </c>
      <c r="E6357" s="46" t="s">
        <v>6405</v>
      </c>
      <c r="F6357" s="46" t="s">
        <v>18001</v>
      </c>
      <c r="G6357" s="46" t="s">
        <v>50584</v>
      </c>
      <c r="H6357" s="48" t="s">
        <v>56716</v>
      </c>
      <c r="I6357" s="48" t="s">
        <v>50564</v>
      </c>
      <c r="J6357" s="48" t="s">
        <v>56716</v>
      </c>
      <c r="K6357" s="57"/>
      <c r="L6357" s="48"/>
    </row>
    <row r="6358" spans="1:12" ht="11.25" x14ac:dyDescent="0.2">
      <c r="A6358" s="46" t="s">
        <v>13331</v>
      </c>
      <c r="B6358" s="46" t="s">
        <v>54760</v>
      </c>
      <c r="C6358" s="58" t="str">
        <f>""</f>
        <v/>
      </c>
      <c r="D6358" s="58" t="str">
        <f>"18740707"</f>
        <v>18740707</v>
      </c>
      <c r="E6358" s="46" t="s">
        <v>6405</v>
      </c>
      <c r="F6358" s="46" t="s">
        <v>18001</v>
      </c>
      <c r="G6358" s="46" t="s">
        <v>50584</v>
      </c>
      <c r="H6358" s="48" t="s">
        <v>56716</v>
      </c>
      <c r="I6358" s="48" t="s">
        <v>50564</v>
      </c>
      <c r="J6358" s="48" t="s">
        <v>56716</v>
      </c>
      <c r="K6358" s="57"/>
      <c r="L6358" s="48"/>
    </row>
    <row r="6359" spans="1:12" ht="11.25" x14ac:dyDescent="0.2">
      <c r="A6359" s="46" t="s">
        <v>14825</v>
      </c>
      <c r="B6359" s="46" t="s">
        <v>54761</v>
      </c>
      <c r="C6359" s="58" t="str">
        <f>""</f>
        <v/>
      </c>
      <c r="D6359" s="58" t="str">
        <f>"18765254"</f>
        <v>18765254</v>
      </c>
      <c r="E6359" s="46" t="s">
        <v>6405</v>
      </c>
      <c r="F6359" s="46" t="s">
        <v>18001</v>
      </c>
      <c r="G6359" s="46" t="s">
        <v>50584</v>
      </c>
      <c r="H6359" s="48" t="s">
        <v>56716</v>
      </c>
      <c r="I6359" s="48" t="s">
        <v>50564</v>
      </c>
      <c r="J6359" s="48" t="s">
        <v>56716</v>
      </c>
      <c r="K6359" s="57"/>
      <c r="L6359" s="48"/>
    </row>
    <row r="6360" spans="1:12" ht="11.25" x14ac:dyDescent="0.2">
      <c r="A6360" s="46" t="s">
        <v>14831</v>
      </c>
      <c r="B6360" s="46" t="s">
        <v>54762</v>
      </c>
      <c r="C6360" s="58" t="str">
        <f>""</f>
        <v/>
      </c>
      <c r="D6360" s="58" t="str">
        <f>"18768172"</f>
        <v>18768172</v>
      </c>
      <c r="E6360" s="46" t="s">
        <v>6405</v>
      </c>
      <c r="F6360" s="46" t="s">
        <v>18001</v>
      </c>
      <c r="G6360" s="46" t="s">
        <v>50584</v>
      </c>
      <c r="H6360" s="48" t="s">
        <v>56716</v>
      </c>
      <c r="I6360" s="48" t="s">
        <v>50564</v>
      </c>
      <c r="J6360" s="48" t="s">
        <v>56716</v>
      </c>
      <c r="K6360" s="57"/>
      <c r="L6360" s="48"/>
    </row>
    <row r="6361" spans="1:12" ht="11.25" x14ac:dyDescent="0.2">
      <c r="A6361" s="46" t="s">
        <v>14631</v>
      </c>
      <c r="B6361" s="46" t="s">
        <v>54763</v>
      </c>
      <c r="C6361" s="58" t="str">
        <f>""</f>
        <v/>
      </c>
      <c r="D6361" s="58" t="str">
        <f>"18764010"</f>
        <v>18764010</v>
      </c>
      <c r="E6361" s="46" t="s">
        <v>6405</v>
      </c>
      <c r="F6361" s="46" t="s">
        <v>18001</v>
      </c>
      <c r="G6361" s="46" t="s">
        <v>50584</v>
      </c>
      <c r="H6361" s="48" t="s">
        <v>56716</v>
      </c>
      <c r="I6361" s="48" t="s">
        <v>50564</v>
      </c>
      <c r="J6361" s="48" t="s">
        <v>56716</v>
      </c>
      <c r="K6361" s="57"/>
      <c r="L6361" s="48"/>
    </row>
    <row r="6362" spans="1:12" ht="11.25" x14ac:dyDescent="0.2">
      <c r="A6362" s="46" t="s">
        <v>13435</v>
      </c>
      <c r="B6362" s="46" t="s">
        <v>54764</v>
      </c>
      <c r="C6362" s="58" t="str">
        <f>""</f>
        <v/>
      </c>
      <c r="D6362" s="58" t="str">
        <f>"18740790"</f>
        <v>18740790</v>
      </c>
      <c r="E6362" s="46" t="s">
        <v>6405</v>
      </c>
      <c r="F6362" s="46" t="s">
        <v>18001</v>
      </c>
      <c r="G6362" s="46" t="s">
        <v>50584</v>
      </c>
      <c r="H6362" s="48" t="s">
        <v>56716</v>
      </c>
      <c r="I6362" s="48" t="s">
        <v>50564</v>
      </c>
      <c r="J6362" s="48" t="s">
        <v>56716</v>
      </c>
      <c r="K6362" s="57"/>
      <c r="L6362" s="48"/>
    </row>
    <row r="6363" spans="1:12" ht="11.25" x14ac:dyDescent="0.2">
      <c r="A6363" s="46" t="s">
        <v>14783</v>
      </c>
      <c r="B6363" s="46" t="s">
        <v>54765</v>
      </c>
      <c r="C6363" s="58" t="str">
        <f>""</f>
        <v/>
      </c>
      <c r="D6363" s="58" t="str">
        <f>"18765386"</f>
        <v>18765386</v>
      </c>
      <c r="E6363" s="46" t="s">
        <v>6405</v>
      </c>
      <c r="F6363" s="46" t="s">
        <v>18001</v>
      </c>
      <c r="G6363" s="46" t="s">
        <v>50584</v>
      </c>
      <c r="H6363" s="48" t="s">
        <v>56716</v>
      </c>
      <c r="I6363" s="48" t="s">
        <v>50564</v>
      </c>
      <c r="J6363" s="48" t="s">
        <v>56716</v>
      </c>
      <c r="K6363" s="57"/>
      <c r="L6363" s="48"/>
    </row>
    <row r="6364" spans="1:12" ht="11.25" x14ac:dyDescent="0.2">
      <c r="A6364" s="46" t="s">
        <v>13437</v>
      </c>
      <c r="B6364" s="46" t="s">
        <v>54766</v>
      </c>
      <c r="C6364" s="58" t="str">
        <f>""</f>
        <v/>
      </c>
      <c r="D6364" s="58" t="str">
        <f>"18741924"</f>
        <v>18741924</v>
      </c>
      <c r="E6364" s="46" t="s">
        <v>6405</v>
      </c>
      <c r="F6364" s="46" t="s">
        <v>18001</v>
      </c>
      <c r="G6364" s="46" t="s">
        <v>50584</v>
      </c>
      <c r="H6364" s="48" t="s">
        <v>56716</v>
      </c>
      <c r="I6364" s="48" t="s">
        <v>50564</v>
      </c>
      <c r="J6364" s="48" t="s">
        <v>56716</v>
      </c>
      <c r="K6364" s="57"/>
      <c r="L6364" s="48"/>
    </row>
    <row r="6365" spans="1:12" ht="11.25" x14ac:dyDescent="0.2">
      <c r="A6365" s="46" t="s">
        <v>14854</v>
      </c>
      <c r="B6365" s="46" t="s">
        <v>54767</v>
      </c>
      <c r="C6365" s="58" t="str">
        <f>""</f>
        <v/>
      </c>
      <c r="D6365" s="58" t="str">
        <f>"1876536X"</f>
        <v>1876536X</v>
      </c>
      <c r="E6365" s="46" t="s">
        <v>6405</v>
      </c>
      <c r="F6365" s="46" t="s">
        <v>18001</v>
      </c>
      <c r="G6365" s="46" t="s">
        <v>50584</v>
      </c>
      <c r="H6365" s="48" t="s">
        <v>56716</v>
      </c>
      <c r="I6365" s="48" t="s">
        <v>50564</v>
      </c>
      <c r="J6365" s="48" t="s">
        <v>56716</v>
      </c>
      <c r="K6365" s="57"/>
      <c r="L6365" s="48"/>
    </row>
    <row r="6366" spans="1:12" ht="11.25" x14ac:dyDescent="0.2">
      <c r="A6366" s="46" t="s">
        <v>13441</v>
      </c>
      <c r="B6366" s="46" t="s">
        <v>54768</v>
      </c>
      <c r="C6366" s="58" t="str">
        <f>""</f>
        <v/>
      </c>
      <c r="D6366" s="58" t="str">
        <f>"18741894"</f>
        <v>18741894</v>
      </c>
      <c r="E6366" s="46" t="s">
        <v>6405</v>
      </c>
      <c r="F6366" s="46" t="s">
        <v>18001</v>
      </c>
      <c r="G6366" s="46" t="s">
        <v>50584</v>
      </c>
      <c r="H6366" s="48" t="s">
        <v>56716</v>
      </c>
      <c r="I6366" s="48" t="s">
        <v>50564</v>
      </c>
      <c r="J6366" s="48" t="s">
        <v>56716</v>
      </c>
      <c r="K6366" s="57"/>
      <c r="L6366" s="48"/>
    </row>
    <row r="6367" spans="1:12" ht="11.25" x14ac:dyDescent="0.2">
      <c r="A6367" s="46" t="s">
        <v>13443</v>
      </c>
      <c r="B6367" s="46" t="s">
        <v>54769</v>
      </c>
      <c r="C6367" s="58" t="str">
        <f>""</f>
        <v/>
      </c>
      <c r="D6367" s="58" t="str">
        <f>"18742416"</f>
        <v>18742416</v>
      </c>
      <c r="E6367" s="46" t="s">
        <v>6405</v>
      </c>
      <c r="F6367" s="46" t="s">
        <v>18001</v>
      </c>
      <c r="G6367" s="46" t="s">
        <v>50584</v>
      </c>
      <c r="H6367" s="48" t="s">
        <v>56716</v>
      </c>
      <c r="I6367" s="48" t="s">
        <v>50564</v>
      </c>
      <c r="J6367" s="48" t="s">
        <v>56716</v>
      </c>
      <c r="K6367" s="57"/>
      <c r="L6367" s="48"/>
    </row>
    <row r="6368" spans="1:12" ht="11.25" x14ac:dyDescent="0.2">
      <c r="A6368" s="46" t="s">
        <v>14775</v>
      </c>
      <c r="B6368" s="46" t="s">
        <v>54770</v>
      </c>
      <c r="C6368" s="58" t="str">
        <f>""</f>
        <v/>
      </c>
      <c r="D6368" s="58" t="str">
        <f>"18768210"</f>
        <v>18768210</v>
      </c>
      <c r="E6368" s="46" t="s">
        <v>6405</v>
      </c>
      <c r="F6368" s="46" t="s">
        <v>18001</v>
      </c>
      <c r="G6368" s="46" t="s">
        <v>50584</v>
      </c>
      <c r="H6368" s="48" t="s">
        <v>56716</v>
      </c>
      <c r="I6368" s="48" t="s">
        <v>50564</v>
      </c>
      <c r="J6368" s="48" t="s">
        <v>56716</v>
      </c>
      <c r="K6368" s="57"/>
      <c r="L6368" s="48"/>
    </row>
    <row r="6369" spans="1:12" ht="11.25" x14ac:dyDescent="0.2">
      <c r="A6369" s="46" t="s">
        <v>14789</v>
      </c>
      <c r="B6369" s="46" t="s">
        <v>54771</v>
      </c>
      <c r="C6369" s="58" t="str">
        <f>""</f>
        <v/>
      </c>
      <c r="D6369" s="58" t="str">
        <f>"18768202"</f>
        <v>18768202</v>
      </c>
      <c r="E6369" s="46" t="s">
        <v>6405</v>
      </c>
      <c r="F6369" s="46" t="s">
        <v>18001</v>
      </c>
      <c r="G6369" s="46" t="s">
        <v>50584</v>
      </c>
      <c r="H6369" s="48" t="s">
        <v>56716</v>
      </c>
      <c r="I6369" s="48" t="s">
        <v>50564</v>
      </c>
      <c r="J6369" s="48" t="s">
        <v>56716</v>
      </c>
      <c r="K6369" s="57"/>
      <c r="L6369" s="48"/>
    </row>
    <row r="6370" spans="1:12" ht="11.25" x14ac:dyDescent="0.2">
      <c r="A6370" s="46" t="s">
        <v>14799</v>
      </c>
      <c r="B6370" s="46" t="s">
        <v>54772</v>
      </c>
      <c r="C6370" s="58" t="str">
        <f>""</f>
        <v/>
      </c>
      <c r="D6370" s="58" t="str">
        <f>"1876391X"</f>
        <v>1876391X</v>
      </c>
      <c r="E6370" s="46" t="s">
        <v>6405</v>
      </c>
      <c r="F6370" s="46" t="s">
        <v>18001</v>
      </c>
      <c r="G6370" s="46" t="s">
        <v>50584</v>
      </c>
      <c r="H6370" s="48" t="s">
        <v>56716</v>
      </c>
      <c r="I6370" s="48" t="s">
        <v>50564</v>
      </c>
      <c r="J6370" s="48" t="s">
        <v>56716</v>
      </c>
      <c r="K6370" s="57"/>
      <c r="L6370" s="48"/>
    </row>
    <row r="6371" spans="1:12" ht="11.25" x14ac:dyDescent="0.2">
      <c r="A6371" s="46" t="s">
        <v>14815</v>
      </c>
      <c r="B6371" s="46" t="s">
        <v>54773</v>
      </c>
      <c r="C6371" s="58" t="str">
        <f>""</f>
        <v/>
      </c>
      <c r="D6371" s="58" t="str">
        <f>"18748287"</f>
        <v>18748287</v>
      </c>
      <c r="E6371" s="46" t="s">
        <v>6405</v>
      </c>
      <c r="F6371" s="46" t="s">
        <v>18001</v>
      </c>
      <c r="G6371" s="46" t="s">
        <v>50584</v>
      </c>
      <c r="H6371" s="48" t="s">
        <v>56716</v>
      </c>
      <c r="I6371" s="48" t="s">
        <v>50564</v>
      </c>
      <c r="J6371" s="48" t="s">
        <v>56716</v>
      </c>
      <c r="K6371" s="57"/>
      <c r="L6371" s="48"/>
    </row>
    <row r="6372" spans="1:12" ht="11.25" x14ac:dyDescent="0.2">
      <c r="A6372" s="46" t="s">
        <v>14057</v>
      </c>
      <c r="B6372" s="46" t="s">
        <v>54774</v>
      </c>
      <c r="C6372" s="58" t="str">
        <f>""</f>
        <v/>
      </c>
      <c r="D6372" s="58" t="str">
        <f>"18743722"</f>
        <v>18743722</v>
      </c>
      <c r="E6372" s="46" t="s">
        <v>6405</v>
      </c>
      <c r="F6372" s="46" t="s">
        <v>18001</v>
      </c>
      <c r="G6372" s="46" t="s">
        <v>50584</v>
      </c>
      <c r="H6372" s="48" t="s">
        <v>56716</v>
      </c>
      <c r="I6372" s="48" t="s">
        <v>50564</v>
      </c>
      <c r="J6372" s="48" t="s">
        <v>56716</v>
      </c>
      <c r="K6372" s="57"/>
      <c r="L6372" s="48"/>
    </row>
    <row r="6373" spans="1:12" ht="11.25" x14ac:dyDescent="0.2">
      <c r="A6373" s="46" t="s">
        <v>14067</v>
      </c>
      <c r="B6373" s="46" t="s">
        <v>54775</v>
      </c>
      <c r="C6373" s="58" t="str">
        <f>""</f>
        <v/>
      </c>
      <c r="D6373" s="58" t="str">
        <f>"18765246"</f>
        <v>18765246</v>
      </c>
      <c r="E6373" s="46" t="s">
        <v>6405</v>
      </c>
      <c r="F6373" s="46" t="s">
        <v>18001</v>
      </c>
      <c r="G6373" s="46" t="s">
        <v>50584</v>
      </c>
      <c r="H6373" s="48" t="s">
        <v>56716</v>
      </c>
      <c r="I6373" s="48" t="s">
        <v>50564</v>
      </c>
      <c r="J6373" s="48" t="s">
        <v>56716</v>
      </c>
      <c r="K6373" s="57"/>
      <c r="L6373" s="48"/>
    </row>
    <row r="6374" spans="1:12" ht="11.25" x14ac:dyDescent="0.2">
      <c r="A6374" s="46" t="s">
        <v>13439</v>
      </c>
      <c r="B6374" s="46" t="s">
        <v>54776</v>
      </c>
      <c r="C6374" s="58" t="str">
        <f>""</f>
        <v/>
      </c>
      <c r="D6374" s="58" t="str">
        <f>"18741266"</f>
        <v>18741266</v>
      </c>
      <c r="E6374" s="46" t="s">
        <v>6405</v>
      </c>
      <c r="F6374" s="46" t="s">
        <v>18001</v>
      </c>
      <c r="G6374" s="46" t="s">
        <v>50584</v>
      </c>
      <c r="H6374" s="48" t="s">
        <v>56716</v>
      </c>
      <c r="I6374" s="48" t="s">
        <v>50564</v>
      </c>
      <c r="J6374" s="48" t="s">
        <v>56716</v>
      </c>
      <c r="K6374" s="57"/>
      <c r="L6374" s="48"/>
    </row>
    <row r="6375" spans="1:12" ht="11.25" x14ac:dyDescent="0.2">
      <c r="A6375" s="46" t="s">
        <v>14773</v>
      </c>
      <c r="B6375" s="46" t="s">
        <v>54777</v>
      </c>
      <c r="C6375" s="58" t="str">
        <f>""</f>
        <v/>
      </c>
      <c r="D6375" s="58" t="str">
        <f>"18773818"</f>
        <v>18773818</v>
      </c>
      <c r="E6375" s="46" t="s">
        <v>6405</v>
      </c>
      <c r="F6375" s="46" t="s">
        <v>18001</v>
      </c>
      <c r="G6375" s="46" t="s">
        <v>50584</v>
      </c>
      <c r="H6375" s="48" t="s">
        <v>56716</v>
      </c>
      <c r="I6375" s="48" t="s">
        <v>50564</v>
      </c>
      <c r="J6375" s="48" t="s">
        <v>56716</v>
      </c>
      <c r="K6375" s="57"/>
      <c r="L6375" s="48"/>
    </row>
    <row r="6376" spans="1:12" ht="11.25" x14ac:dyDescent="0.2">
      <c r="A6376" s="46" t="s">
        <v>13651</v>
      </c>
      <c r="B6376" s="46" t="s">
        <v>54778</v>
      </c>
      <c r="C6376" s="58" t="str">
        <f>""</f>
        <v/>
      </c>
      <c r="D6376" s="58" t="str">
        <f>"18740731"</f>
        <v>18740731</v>
      </c>
      <c r="E6376" s="46" t="s">
        <v>6405</v>
      </c>
      <c r="F6376" s="46" t="s">
        <v>18001</v>
      </c>
      <c r="G6376" s="46" t="s">
        <v>50584</v>
      </c>
      <c r="H6376" s="48" t="s">
        <v>56716</v>
      </c>
      <c r="I6376" s="48" t="s">
        <v>50564</v>
      </c>
      <c r="J6376" s="48" t="s">
        <v>56716</v>
      </c>
      <c r="K6376" s="57"/>
      <c r="L6376" s="48"/>
    </row>
    <row r="6377" spans="1:12" ht="11.25" x14ac:dyDescent="0.2">
      <c r="A6377" s="46" t="s">
        <v>14769</v>
      </c>
      <c r="B6377" s="46" t="s">
        <v>54779</v>
      </c>
      <c r="C6377" s="58" t="str">
        <f>""</f>
        <v/>
      </c>
      <c r="D6377" s="58" t="str">
        <f>"18768180"</f>
        <v>18768180</v>
      </c>
      <c r="E6377" s="46" t="s">
        <v>6405</v>
      </c>
      <c r="F6377" s="46" t="s">
        <v>18001</v>
      </c>
      <c r="G6377" s="46" t="s">
        <v>50584</v>
      </c>
      <c r="H6377" s="48" t="s">
        <v>56716</v>
      </c>
      <c r="I6377" s="48" t="s">
        <v>50564</v>
      </c>
      <c r="J6377" s="48" t="s">
        <v>56716</v>
      </c>
      <c r="K6377" s="57"/>
      <c r="L6377" s="48"/>
    </row>
    <row r="6378" spans="1:12" ht="11.25" x14ac:dyDescent="0.2">
      <c r="A6378" s="46" t="s">
        <v>14055</v>
      </c>
      <c r="B6378" s="46" t="s">
        <v>54780</v>
      </c>
      <c r="C6378" s="58" t="str">
        <f>""</f>
        <v/>
      </c>
      <c r="D6378" s="58" t="str">
        <f>"18749402"</f>
        <v>18749402</v>
      </c>
      <c r="E6378" s="46" t="s">
        <v>6405</v>
      </c>
      <c r="F6378" s="46" t="s">
        <v>18001</v>
      </c>
      <c r="G6378" s="46" t="s">
        <v>50584</v>
      </c>
      <c r="H6378" s="48" t="s">
        <v>56716</v>
      </c>
      <c r="I6378" s="48" t="s">
        <v>50564</v>
      </c>
      <c r="J6378" s="48" t="s">
        <v>56716</v>
      </c>
      <c r="K6378" s="57"/>
      <c r="L6378" s="48"/>
    </row>
    <row r="6379" spans="1:12" ht="11.25" x14ac:dyDescent="0.2">
      <c r="A6379" s="46" t="s">
        <v>56348</v>
      </c>
      <c r="B6379" s="46" t="s">
        <v>56349</v>
      </c>
      <c r="C6379" s="58" t="str">
        <f>""</f>
        <v/>
      </c>
      <c r="D6379" s="58" t="str">
        <f>"23288957"</f>
        <v>23288957</v>
      </c>
      <c r="E6379" s="46" t="s">
        <v>55</v>
      </c>
      <c r="F6379" s="46" t="s">
        <v>17759</v>
      </c>
      <c r="G6379" s="46" t="s">
        <v>50584</v>
      </c>
      <c r="H6379" s="48" t="s">
        <v>56716</v>
      </c>
      <c r="I6379" s="48" t="s">
        <v>50564</v>
      </c>
      <c r="J6379" s="48" t="s">
        <v>56716</v>
      </c>
      <c r="K6379" s="57"/>
      <c r="L6379" s="48"/>
    </row>
    <row r="6380" spans="1:12" ht="11.25" x14ac:dyDescent="0.2">
      <c r="A6380" s="46" t="s">
        <v>14053</v>
      </c>
      <c r="B6380" s="46" t="s">
        <v>54781</v>
      </c>
      <c r="C6380" s="58" t="str">
        <f>""</f>
        <v/>
      </c>
      <c r="D6380" s="58" t="str">
        <f>"18750370"</f>
        <v>18750370</v>
      </c>
      <c r="E6380" s="46" t="s">
        <v>6405</v>
      </c>
      <c r="F6380" s="46" t="s">
        <v>18001</v>
      </c>
      <c r="G6380" s="46" t="s">
        <v>50584</v>
      </c>
      <c r="H6380" s="48" t="s">
        <v>56716</v>
      </c>
      <c r="I6380" s="48" t="s">
        <v>50564</v>
      </c>
      <c r="J6380" s="48" t="s">
        <v>56716</v>
      </c>
      <c r="K6380" s="57"/>
      <c r="L6380" s="48"/>
    </row>
    <row r="6381" spans="1:12" ht="11.25" x14ac:dyDescent="0.2">
      <c r="A6381" s="46" t="s">
        <v>13445</v>
      </c>
      <c r="B6381" s="46" t="s">
        <v>54782</v>
      </c>
      <c r="C6381" s="58" t="str">
        <f>""</f>
        <v/>
      </c>
      <c r="D6381" s="58" t="str">
        <f>"1875693X"</f>
        <v>1875693X</v>
      </c>
      <c r="E6381" s="46" t="s">
        <v>6405</v>
      </c>
      <c r="F6381" s="46" t="s">
        <v>18001</v>
      </c>
      <c r="G6381" s="46" t="s">
        <v>50584</v>
      </c>
      <c r="H6381" s="48" t="s">
        <v>56716</v>
      </c>
      <c r="I6381" s="48" t="s">
        <v>50564</v>
      </c>
      <c r="J6381" s="48" t="s">
        <v>56716</v>
      </c>
      <c r="K6381" s="57"/>
      <c r="L6381" s="48"/>
    </row>
    <row r="6382" spans="1:12" ht="11.25" x14ac:dyDescent="0.2">
      <c r="A6382" s="46" t="s">
        <v>14777</v>
      </c>
      <c r="B6382" s="46" t="s">
        <v>54783</v>
      </c>
      <c r="C6382" s="58" t="str">
        <f>""</f>
        <v/>
      </c>
      <c r="D6382" s="58" t="str">
        <f>"18749240"</f>
        <v>18749240</v>
      </c>
      <c r="E6382" s="46" t="s">
        <v>6405</v>
      </c>
      <c r="F6382" s="46" t="s">
        <v>18001</v>
      </c>
      <c r="G6382" s="46" t="s">
        <v>50584</v>
      </c>
      <c r="H6382" s="48" t="s">
        <v>56716</v>
      </c>
      <c r="I6382" s="48" t="s">
        <v>50564</v>
      </c>
      <c r="J6382" s="48" t="s">
        <v>56716</v>
      </c>
      <c r="K6382" s="57"/>
      <c r="L6382" s="48"/>
    </row>
    <row r="6383" spans="1:12" ht="11.25" x14ac:dyDescent="0.2">
      <c r="A6383" s="46" t="s">
        <v>14803</v>
      </c>
      <c r="B6383" s="46" t="s">
        <v>54784</v>
      </c>
      <c r="C6383" s="58" t="str">
        <f>""</f>
        <v/>
      </c>
      <c r="D6383" s="58" t="str">
        <f>"18765351"</f>
        <v>18765351</v>
      </c>
      <c r="E6383" s="46" t="s">
        <v>6405</v>
      </c>
      <c r="F6383" s="46" t="s">
        <v>18001</v>
      </c>
      <c r="G6383" s="46" t="s">
        <v>50584</v>
      </c>
      <c r="H6383" s="48" t="s">
        <v>56716</v>
      </c>
      <c r="I6383" s="48" t="s">
        <v>50564</v>
      </c>
      <c r="J6383" s="48" t="s">
        <v>56716</v>
      </c>
      <c r="K6383" s="57"/>
      <c r="L6383" s="48"/>
    </row>
    <row r="6384" spans="1:12" ht="11.25" x14ac:dyDescent="0.2">
      <c r="A6384" s="46" t="s">
        <v>13453</v>
      </c>
      <c r="B6384" s="46" t="s">
        <v>54785</v>
      </c>
      <c r="C6384" s="58" t="str">
        <f>""</f>
        <v/>
      </c>
      <c r="D6384" s="58" t="str">
        <f>"18742769"</f>
        <v>18742769</v>
      </c>
      <c r="E6384" s="46" t="s">
        <v>6405</v>
      </c>
      <c r="F6384" s="46" t="s">
        <v>18001</v>
      </c>
      <c r="G6384" s="46" t="s">
        <v>50584</v>
      </c>
      <c r="H6384" s="48" t="s">
        <v>56716</v>
      </c>
      <c r="I6384" s="48" t="s">
        <v>50564</v>
      </c>
      <c r="J6384" s="48" t="s">
        <v>56716</v>
      </c>
      <c r="K6384" s="57"/>
      <c r="L6384" s="48"/>
    </row>
    <row r="6385" spans="1:12" ht="11.25" x14ac:dyDescent="0.2">
      <c r="A6385" s="46" t="s">
        <v>14779</v>
      </c>
      <c r="B6385" s="46" t="s">
        <v>54786</v>
      </c>
      <c r="C6385" s="58" t="str">
        <f>""</f>
        <v/>
      </c>
      <c r="D6385" s="58" t="str">
        <f>"18765262"</f>
        <v>18765262</v>
      </c>
      <c r="E6385" s="46" t="s">
        <v>6405</v>
      </c>
      <c r="F6385" s="46" t="s">
        <v>18001</v>
      </c>
      <c r="G6385" s="46" t="s">
        <v>50584</v>
      </c>
      <c r="H6385" s="48" t="s">
        <v>56716</v>
      </c>
      <c r="I6385" s="48" t="s">
        <v>50564</v>
      </c>
      <c r="J6385" s="48" t="s">
        <v>56716</v>
      </c>
      <c r="K6385" s="57"/>
      <c r="L6385" s="48"/>
    </row>
    <row r="6386" spans="1:12" ht="11.25" x14ac:dyDescent="0.2">
      <c r="A6386" s="46" t="s">
        <v>13449</v>
      </c>
      <c r="B6386" s="46" t="s">
        <v>54787</v>
      </c>
      <c r="C6386" s="58" t="str">
        <f>""</f>
        <v/>
      </c>
      <c r="D6386" s="58" t="str">
        <f>"18742262"</f>
        <v>18742262</v>
      </c>
      <c r="E6386" s="46" t="s">
        <v>6405</v>
      </c>
      <c r="F6386" s="46" t="s">
        <v>18001</v>
      </c>
      <c r="G6386" s="46" t="s">
        <v>50584</v>
      </c>
      <c r="H6386" s="48" t="s">
        <v>56716</v>
      </c>
      <c r="I6386" s="48" t="s">
        <v>50564</v>
      </c>
      <c r="J6386" s="48" t="s">
        <v>56716</v>
      </c>
      <c r="K6386" s="57"/>
      <c r="L6386" s="48"/>
    </row>
    <row r="6387" spans="1:12" ht="11.25" x14ac:dyDescent="0.2">
      <c r="A6387" s="46" t="s">
        <v>13451</v>
      </c>
      <c r="B6387" s="46" t="s">
        <v>54788</v>
      </c>
      <c r="C6387" s="58" t="str">
        <f>""</f>
        <v/>
      </c>
      <c r="D6387" s="58" t="str">
        <f>"18742793"</f>
        <v>18742793</v>
      </c>
      <c r="E6387" s="46" t="s">
        <v>6405</v>
      </c>
      <c r="F6387" s="46" t="s">
        <v>18001</v>
      </c>
      <c r="G6387" s="46" t="s">
        <v>50584</v>
      </c>
      <c r="H6387" s="48" t="s">
        <v>56716</v>
      </c>
      <c r="I6387" s="48" t="s">
        <v>50564</v>
      </c>
      <c r="J6387" s="48" t="s">
        <v>56716</v>
      </c>
      <c r="K6387" s="57"/>
      <c r="L6387" s="48"/>
    </row>
    <row r="6388" spans="1:12" ht="11.25" x14ac:dyDescent="0.2">
      <c r="A6388" s="46" t="s">
        <v>16030</v>
      </c>
      <c r="B6388" s="46" t="s">
        <v>54789</v>
      </c>
      <c r="C6388" s="58" t="str">
        <f>""</f>
        <v/>
      </c>
      <c r="D6388" s="58" t="str">
        <f>"18750419"</f>
        <v>18750419</v>
      </c>
      <c r="E6388" s="46" t="s">
        <v>6405</v>
      </c>
      <c r="F6388" s="46" t="s">
        <v>18001</v>
      </c>
      <c r="G6388" s="46" t="s">
        <v>50584</v>
      </c>
      <c r="H6388" s="48" t="s">
        <v>56716</v>
      </c>
      <c r="I6388" s="48" t="s">
        <v>50564</v>
      </c>
      <c r="J6388" s="48" t="s">
        <v>56716</v>
      </c>
      <c r="K6388" s="57"/>
      <c r="L6388" s="48"/>
    </row>
    <row r="6389" spans="1:12" ht="11.25" x14ac:dyDescent="0.2">
      <c r="A6389" s="46" t="s">
        <v>16213</v>
      </c>
      <c r="B6389" s="46" t="s">
        <v>54790</v>
      </c>
      <c r="C6389" s="58" t="str">
        <f>""</f>
        <v/>
      </c>
      <c r="D6389" s="58" t="str">
        <f>"20759010"</f>
        <v>20759010</v>
      </c>
      <c r="E6389" s="46" t="s">
        <v>15915</v>
      </c>
      <c r="F6389" s="46" t="s">
        <v>17759</v>
      </c>
      <c r="G6389" s="46" t="s">
        <v>50584</v>
      </c>
      <c r="H6389" s="48" t="s">
        <v>56716</v>
      </c>
      <c r="I6389" s="48" t="s">
        <v>50564</v>
      </c>
      <c r="J6389" s="48"/>
      <c r="K6389" s="57"/>
      <c r="L6389" s="48"/>
    </row>
    <row r="6390" spans="1:12" ht="11.25" x14ac:dyDescent="0.2">
      <c r="A6390" s="46" t="s">
        <v>15913</v>
      </c>
      <c r="B6390" s="46" t="s">
        <v>54791</v>
      </c>
      <c r="C6390" s="58" t="str">
        <f>""</f>
        <v/>
      </c>
      <c r="D6390" s="58" t="str">
        <f>"2075907X"</f>
        <v>2075907X</v>
      </c>
      <c r="E6390" s="46" t="s">
        <v>15915</v>
      </c>
      <c r="F6390" s="46" t="s">
        <v>34138</v>
      </c>
      <c r="G6390" s="46" t="s">
        <v>50584</v>
      </c>
      <c r="H6390" s="48" t="s">
        <v>56716</v>
      </c>
      <c r="I6390" s="48" t="s">
        <v>50564</v>
      </c>
      <c r="J6390" s="48"/>
      <c r="K6390" s="57"/>
      <c r="L6390" s="48"/>
    </row>
    <row r="6391" spans="1:12" ht="11.25" x14ac:dyDescent="0.2">
      <c r="A6391" s="46" t="s">
        <v>16215</v>
      </c>
      <c r="B6391" s="46" t="s">
        <v>54792</v>
      </c>
      <c r="C6391" s="58" t="str">
        <f>""</f>
        <v/>
      </c>
      <c r="D6391" s="58" t="str">
        <f>"2075910X"</f>
        <v>2075910X</v>
      </c>
      <c r="E6391" s="46" t="s">
        <v>15915</v>
      </c>
      <c r="F6391" s="46" t="s">
        <v>17759</v>
      </c>
      <c r="G6391" s="46" t="s">
        <v>50584</v>
      </c>
      <c r="H6391" s="48" t="s">
        <v>56716</v>
      </c>
      <c r="I6391" s="48" t="s">
        <v>50564</v>
      </c>
      <c r="J6391" s="48"/>
      <c r="K6391" s="57"/>
      <c r="L6391" s="48"/>
    </row>
    <row r="6392" spans="1:12" ht="11.25" x14ac:dyDescent="0.2">
      <c r="A6392" s="46" t="s">
        <v>14839</v>
      </c>
      <c r="B6392" s="46" t="s">
        <v>54793</v>
      </c>
      <c r="C6392" s="58" t="str">
        <f>""</f>
        <v/>
      </c>
      <c r="D6392" s="58" t="str">
        <f>"1876326X"</f>
        <v>1876326X</v>
      </c>
      <c r="E6392" s="46" t="s">
        <v>6405</v>
      </c>
      <c r="F6392" s="46" t="s">
        <v>18001</v>
      </c>
      <c r="G6392" s="46" t="s">
        <v>50584</v>
      </c>
      <c r="H6392" s="48" t="s">
        <v>56716</v>
      </c>
      <c r="I6392" s="48" t="s">
        <v>50564</v>
      </c>
      <c r="J6392" s="48" t="s">
        <v>56716</v>
      </c>
      <c r="K6392" s="57"/>
      <c r="L6392" s="48"/>
    </row>
    <row r="6393" spans="1:12" ht="11.25" x14ac:dyDescent="0.2">
      <c r="A6393" s="46" t="s">
        <v>14833</v>
      </c>
      <c r="B6393" s="46" t="s">
        <v>54794</v>
      </c>
      <c r="C6393" s="58" t="str">
        <f>""</f>
        <v/>
      </c>
      <c r="D6393" s="58" t="str">
        <f>"18768199"</f>
        <v>18768199</v>
      </c>
      <c r="E6393" s="46" t="s">
        <v>6405</v>
      </c>
      <c r="F6393" s="46" t="s">
        <v>18001</v>
      </c>
      <c r="G6393" s="46" t="s">
        <v>50584</v>
      </c>
      <c r="H6393" s="48" t="s">
        <v>56716</v>
      </c>
      <c r="I6393" s="48" t="s">
        <v>50564</v>
      </c>
      <c r="J6393" s="48" t="s">
        <v>56716</v>
      </c>
      <c r="K6393" s="57"/>
      <c r="L6393" s="48"/>
    </row>
    <row r="6394" spans="1:12" ht="11.25" x14ac:dyDescent="0.2">
      <c r="A6394" s="46" t="s">
        <v>14797</v>
      </c>
      <c r="B6394" s="46" t="s">
        <v>54795</v>
      </c>
      <c r="C6394" s="58" t="str">
        <f>""</f>
        <v/>
      </c>
      <c r="D6394" s="58" t="str">
        <f>"18747698"</f>
        <v>18747698</v>
      </c>
      <c r="E6394" s="46" t="s">
        <v>6405</v>
      </c>
      <c r="F6394" s="46" t="s">
        <v>18001</v>
      </c>
      <c r="G6394" s="46" t="s">
        <v>50584</v>
      </c>
      <c r="H6394" s="48" t="s">
        <v>56716</v>
      </c>
      <c r="I6394" s="48" t="s">
        <v>50564</v>
      </c>
      <c r="J6394" s="48" t="s">
        <v>56716</v>
      </c>
      <c r="K6394" s="57"/>
      <c r="L6394" s="48"/>
    </row>
    <row r="6395" spans="1:12" ht="11.25" x14ac:dyDescent="0.2">
      <c r="A6395" s="46" t="s">
        <v>14813</v>
      </c>
      <c r="B6395" s="46" t="s">
        <v>54796</v>
      </c>
      <c r="C6395" s="58" t="str">
        <f>""</f>
        <v/>
      </c>
      <c r="D6395" s="58" t="str">
        <f>"18751814"</f>
        <v>18751814</v>
      </c>
      <c r="E6395" s="46" t="s">
        <v>6405</v>
      </c>
      <c r="F6395" s="46" t="s">
        <v>18001</v>
      </c>
      <c r="G6395" s="46" t="s">
        <v>50584</v>
      </c>
      <c r="H6395" s="48" t="s">
        <v>56716</v>
      </c>
      <c r="I6395" s="48" t="s">
        <v>50564</v>
      </c>
      <c r="J6395" s="48" t="s">
        <v>56716</v>
      </c>
      <c r="K6395" s="57"/>
      <c r="L6395" s="48"/>
    </row>
    <row r="6396" spans="1:12" ht="11.25" x14ac:dyDescent="0.2">
      <c r="A6396" s="46" t="s">
        <v>14785</v>
      </c>
      <c r="B6396" s="46" t="s">
        <v>54797</v>
      </c>
      <c r="C6396" s="58" t="str">
        <f>""</f>
        <v/>
      </c>
      <c r="D6396" s="58" t="str">
        <f>"18743471"</f>
        <v>18743471</v>
      </c>
      <c r="E6396" s="46" t="s">
        <v>6405</v>
      </c>
      <c r="F6396" s="46" t="s">
        <v>18001</v>
      </c>
      <c r="G6396" s="46" t="s">
        <v>50584</v>
      </c>
      <c r="H6396" s="48" t="s">
        <v>56716</v>
      </c>
      <c r="I6396" s="48" t="s">
        <v>50564</v>
      </c>
      <c r="J6396" s="48" t="s">
        <v>56716</v>
      </c>
      <c r="K6396" s="57"/>
      <c r="L6396" s="48"/>
    </row>
    <row r="6397" spans="1:12" ht="11.25" x14ac:dyDescent="0.2">
      <c r="A6397" s="46" t="s">
        <v>13447</v>
      </c>
      <c r="B6397" s="46" t="s">
        <v>54798</v>
      </c>
      <c r="C6397" s="58" t="str">
        <f>""</f>
        <v/>
      </c>
      <c r="D6397" s="58" t="str">
        <f>"18741045"</f>
        <v>18741045</v>
      </c>
      <c r="E6397" s="46" t="s">
        <v>6405</v>
      </c>
      <c r="F6397" s="46" t="s">
        <v>18001</v>
      </c>
      <c r="G6397" s="46" t="s">
        <v>50584</v>
      </c>
      <c r="H6397" s="48" t="s">
        <v>56716</v>
      </c>
      <c r="I6397" s="48" t="s">
        <v>50564</v>
      </c>
      <c r="J6397" s="48" t="s">
        <v>56716</v>
      </c>
      <c r="K6397" s="57"/>
      <c r="L6397" s="48"/>
    </row>
    <row r="6398" spans="1:12" ht="11.25" x14ac:dyDescent="0.2">
      <c r="A6398" s="46" t="s">
        <v>56268</v>
      </c>
      <c r="B6398" s="46" t="s">
        <v>56269</v>
      </c>
      <c r="C6398" s="58" t="str">
        <f>""</f>
        <v/>
      </c>
      <c r="D6398" s="58" t="str">
        <f>""</f>
        <v/>
      </c>
      <c r="E6398" s="46" t="s">
        <v>56253</v>
      </c>
      <c r="F6398" s="46" t="s">
        <v>17967</v>
      </c>
      <c r="G6398" s="46" t="s">
        <v>50584</v>
      </c>
      <c r="H6398" s="48" t="s">
        <v>56716</v>
      </c>
      <c r="I6398" s="48" t="s">
        <v>50564</v>
      </c>
      <c r="J6398" s="48" t="s">
        <v>56716</v>
      </c>
      <c r="K6398" s="57"/>
      <c r="L6398" s="48"/>
    </row>
    <row r="6399" spans="1:12" ht="11.25" x14ac:dyDescent="0.2">
      <c r="A6399" s="45" t="s">
        <v>43187</v>
      </c>
      <c r="B6399" s="45" t="s">
        <v>43189</v>
      </c>
      <c r="C6399" s="51"/>
      <c r="D6399" s="51" t="s">
        <v>43190</v>
      </c>
      <c r="E6399" s="45" t="s">
        <v>43191</v>
      </c>
      <c r="F6399" s="45" t="s">
        <v>18959</v>
      </c>
      <c r="G6399" s="45" t="s">
        <v>50584</v>
      </c>
      <c r="H6399" s="56"/>
      <c r="I6399" s="56" t="s">
        <v>50564</v>
      </c>
      <c r="J6399" s="56"/>
      <c r="K6399" s="57"/>
      <c r="L6399" s="56" t="s">
        <v>56716</v>
      </c>
    </row>
    <row r="6400" spans="1:12" ht="11.25" x14ac:dyDescent="0.2">
      <c r="A6400" s="46" t="s">
        <v>14805</v>
      </c>
      <c r="B6400" s="46" t="s">
        <v>54799</v>
      </c>
      <c r="C6400" s="58" t="str">
        <f>""</f>
        <v/>
      </c>
      <c r="D6400" s="58" t="str">
        <f>"18742858"</f>
        <v>18742858</v>
      </c>
      <c r="E6400" s="46" t="s">
        <v>6405</v>
      </c>
      <c r="F6400" s="46" t="s">
        <v>18001</v>
      </c>
      <c r="G6400" s="46" t="s">
        <v>50584</v>
      </c>
      <c r="H6400" s="48" t="s">
        <v>56716</v>
      </c>
      <c r="I6400" s="48" t="s">
        <v>50564</v>
      </c>
      <c r="J6400" s="48" t="s">
        <v>56716</v>
      </c>
      <c r="K6400" s="57"/>
      <c r="L6400" s="48"/>
    </row>
    <row r="6401" spans="1:12" ht="11.25" x14ac:dyDescent="0.2">
      <c r="A6401" s="46" t="s">
        <v>14845</v>
      </c>
      <c r="B6401" s="46" t="s">
        <v>54800</v>
      </c>
      <c r="C6401" s="58" t="str">
        <f>""</f>
        <v/>
      </c>
      <c r="D6401" s="58" t="str">
        <f>"18759335"</f>
        <v>18759335</v>
      </c>
      <c r="E6401" s="46" t="s">
        <v>6405</v>
      </c>
      <c r="F6401" s="46" t="s">
        <v>18001</v>
      </c>
      <c r="G6401" s="46" t="s">
        <v>50584</v>
      </c>
      <c r="H6401" s="48" t="s">
        <v>56716</v>
      </c>
      <c r="I6401" s="48" t="s">
        <v>50564</v>
      </c>
      <c r="J6401" s="48" t="s">
        <v>56716</v>
      </c>
      <c r="K6401" s="57"/>
      <c r="L6401" s="48"/>
    </row>
    <row r="6402" spans="1:12" ht="11.25" x14ac:dyDescent="0.2">
      <c r="A6402" s="46" t="s">
        <v>14801</v>
      </c>
      <c r="B6402" s="46" t="s">
        <v>54801</v>
      </c>
      <c r="C6402" s="58" t="str">
        <f>""</f>
        <v/>
      </c>
      <c r="D6402" s="58" t="str">
        <f>"18748481"</f>
        <v>18748481</v>
      </c>
      <c r="E6402" s="46" t="s">
        <v>6405</v>
      </c>
      <c r="F6402" s="46" t="s">
        <v>18001</v>
      </c>
      <c r="G6402" s="46" t="s">
        <v>50584</v>
      </c>
      <c r="H6402" s="48" t="s">
        <v>56716</v>
      </c>
      <c r="I6402" s="48" t="s">
        <v>50564</v>
      </c>
      <c r="J6402" s="48" t="s">
        <v>56716</v>
      </c>
      <c r="K6402" s="57"/>
      <c r="L6402" s="48"/>
    </row>
    <row r="6403" spans="1:12" ht="11.25" x14ac:dyDescent="0.2">
      <c r="A6403" s="46" t="s">
        <v>14781</v>
      </c>
      <c r="B6403" s="46" t="s">
        <v>54802</v>
      </c>
      <c r="C6403" s="58" t="str">
        <f>""</f>
        <v/>
      </c>
      <c r="D6403" s="58" t="str">
        <f>"18765289"</f>
        <v>18765289</v>
      </c>
      <c r="E6403" s="46" t="s">
        <v>6405</v>
      </c>
      <c r="F6403" s="46" t="s">
        <v>18001</v>
      </c>
      <c r="G6403" s="46" t="s">
        <v>50584</v>
      </c>
      <c r="H6403" s="48" t="s">
        <v>56716</v>
      </c>
      <c r="I6403" s="48" t="s">
        <v>50564</v>
      </c>
      <c r="J6403" s="48" t="s">
        <v>56716</v>
      </c>
      <c r="K6403" s="57"/>
      <c r="L6403" s="48"/>
    </row>
    <row r="6404" spans="1:12" ht="11.25" x14ac:dyDescent="0.2">
      <c r="A6404" s="46" t="s">
        <v>14059</v>
      </c>
      <c r="B6404" s="46" t="s">
        <v>54803</v>
      </c>
      <c r="C6404" s="58" t="str">
        <f>""</f>
        <v/>
      </c>
      <c r="D6404" s="58" t="str">
        <f>"1874205X"</f>
        <v>1874205X</v>
      </c>
      <c r="E6404" s="46" t="s">
        <v>6405</v>
      </c>
      <c r="F6404" s="46" t="s">
        <v>18001</v>
      </c>
      <c r="G6404" s="46" t="s">
        <v>50584</v>
      </c>
      <c r="H6404" s="48" t="s">
        <v>56716</v>
      </c>
      <c r="I6404" s="48" t="s">
        <v>50564</v>
      </c>
      <c r="J6404" s="48" t="s">
        <v>56716</v>
      </c>
      <c r="K6404" s="57"/>
      <c r="L6404" s="48"/>
    </row>
    <row r="6405" spans="1:12" ht="11.25" x14ac:dyDescent="0.2">
      <c r="A6405" s="46" t="s">
        <v>13689</v>
      </c>
      <c r="B6405" s="46" t="s">
        <v>54804</v>
      </c>
      <c r="C6405" s="58" t="str">
        <f>""</f>
        <v/>
      </c>
      <c r="D6405" s="58" t="str">
        <f>"18765238"</f>
        <v>18765238</v>
      </c>
      <c r="E6405" s="46" t="s">
        <v>6405</v>
      </c>
      <c r="F6405" s="46" t="s">
        <v>18001</v>
      </c>
      <c r="G6405" s="46" t="s">
        <v>50584</v>
      </c>
      <c r="H6405" s="48" t="s">
        <v>56716</v>
      </c>
      <c r="I6405" s="48" t="s">
        <v>50564</v>
      </c>
      <c r="J6405" s="48" t="s">
        <v>56716</v>
      </c>
      <c r="K6405" s="57"/>
      <c r="L6405" s="48"/>
    </row>
    <row r="6406" spans="1:12" ht="11.25" x14ac:dyDescent="0.2">
      <c r="A6406" s="46" t="s">
        <v>14829</v>
      </c>
      <c r="B6406" s="46" t="s">
        <v>54805</v>
      </c>
      <c r="C6406" s="58" t="str">
        <f>""</f>
        <v/>
      </c>
      <c r="D6406" s="58" t="str">
        <f>"18765297"</f>
        <v>18765297</v>
      </c>
      <c r="E6406" s="46" t="s">
        <v>6405</v>
      </c>
      <c r="F6406" s="46" t="s">
        <v>18001</v>
      </c>
      <c r="G6406" s="46" t="s">
        <v>50584</v>
      </c>
      <c r="H6406" s="48" t="s">
        <v>56716</v>
      </c>
      <c r="I6406" s="48" t="s">
        <v>50564</v>
      </c>
      <c r="J6406" s="48" t="s">
        <v>56716</v>
      </c>
      <c r="K6406" s="57"/>
      <c r="L6406" s="48"/>
    </row>
    <row r="6407" spans="1:12" ht="11.25" x14ac:dyDescent="0.2">
      <c r="A6407" s="46" t="s">
        <v>14809</v>
      </c>
      <c r="B6407" s="46" t="s">
        <v>54806</v>
      </c>
      <c r="C6407" s="58" t="str">
        <f>""</f>
        <v/>
      </c>
      <c r="D6407" s="58" t="str">
        <f>"1876388X"</f>
        <v>1876388X</v>
      </c>
      <c r="E6407" s="46" t="s">
        <v>6405</v>
      </c>
      <c r="F6407" s="46" t="s">
        <v>18001</v>
      </c>
      <c r="G6407" s="46" t="s">
        <v>50584</v>
      </c>
      <c r="H6407" s="48" t="s">
        <v>56716</v>
      </c>
      <c r="I6407" s="48" t="s">
        <v>50564</v>
      </c>
      <c r="J6407" s="48" t="s">
        <v>56716</v>
      </c>
      <c r="K6407" s="57"/>
      <c r="L6407" s="48"/>
    </row>
    <row r="6408" spans="1:12" ht="11.25" x14ac:dyDescent="0.2">
      <c r="A6408" s="46" t="s">
        <v>14835</v>
      </c>
      <c r="B6408" s="46" t="s">
        <v>54807</v>
      </c>
      <c r="C6408" s="58" t="str">
        <f>""</f>
        <v/>
      </c>
      <c r="D6408" s="58" t="str">
        <f>"18763960"</f>
        <v>18763960</v>
      </c>
      <c r="E6408" s="46" t="s">
        <v>6405</v>
      </c>
      <c r="F6408" s="46" t="s">
        <v>18001</v>
      </c>
      <c r="G6408" s="46" t="s">
        <v>50584</v>
      </c>
      <c r="H6408" s="48" t="s">
        <v>56716</v>
      </c>
      <c r="I6408" s="48" t="s">
        <v>50564</v>
      </c>
      <c r="J6408" s="48" t="s">
        <v>56716</v>
      </c>
      <c r="K6408" s="57"/>
      <c r="L6408" s="48"/>
    </row>
    <row r="6409" spans="1:12" ht="11.25" x14ac:dyDescent="0.2">
      <c r="A6409" s="46" t="s">
        <v>14821</v>
      </c>
      <c r="B6409" s="46" t="s">
        <v>54808</v>
      </c>
      <c r="C6409" s="58" t="str">
        <f>""</f>
        <v/>
      </c>
      <c r="D6409" s="58" t="str">
        <f>"18768237"</f>
        <v>18768237</v>
      </c>
      <c r="E6409" s="46" t="s">
        <v>6405</v>
      </c>
      <c r="F6409" s="46" t="s">
        <v>18001</v>
      </c>
      <c r="G6409" s="46" t="s">
        <v>50584</v>
      </c>
      <c r="H6409" s="48" t="s">
        <v>56716</v>
      </c>
      <c r="I6409" s="48" t="s">
        <v>50564</v>
      </c>
      <c r="J6409" s="48" t="s">
        <v>56716</v>
      </c>
      <c r="K6409" s="57"/>
      <c r="L6409" s="48"/>
    </row>
    <row r="6410" spans="1:12" ht="11.25" x14ac:dyDescent="0.2">
      <c r="A6410" s="46" t="s">
        <v>14817</v>
      </c>
      <c r="B6410" s="46" t="s">
        <v>54809</v>
      </c>
      <c r="C6410" s="58" t="str">
        <f>""</f>
        <v/>
      </c>
      <c r="D6410" s="58" t="str">
        <f>"18743641"</f>
        <v>18743641</v>
      </c>
      <c r="E6410" s="46" t="s">
        <v>6405</v>
      </c>
      <c r="F6410" s="46" t="s">
        <v>18001</v>
      </c>
      <c r="G6410" s="46" t="s">
        <v>50584</v>
      </c>
      <c r="H6410" s="48" t="s">
        <v>56716</v>
      </c>
      <c r="I6410" s="48" t="s">
        <v>50564</v>
      </c>
      <c r="J6410" s="48" t="s">
        <v>56716</v>
      </c>
      <c r="K6410" s="57"/>
      <c r="L6410" s="48"/>
    </row>
    <row r="6411" spans="1:12" ht="11.25" x14ac:dyDescent="0.2">
      <c r="A6411" s="46" t="s">
        <v>14853</v>
      </c>
      <c r="B6411" s="46" t="s">
        <v>54810</v>
      </c>
      <c r="C6411" s="58" t="str">
        <f>""</f>
        <v/>
      </c>
      <c r="D6411" s="58" t="str">
        <f>"1876536X"</f>
        <v>1876536X</v>
      </c>
      <c r="E6411" s="46" t="s">
        <v>6405</v>
      </c>
      <c r="F6411" s="46" t="s">
        <v>18001</v>
      </c>
      <c r="G6411" s="46" t="s">
        <v>50584</v>
      </c>
      <c r="H6411" s="48" t="s">
        <v>56716</v>
      </c>
      <c r="I6411" s="48" t="s">
        <v>50564</v>
      </c>
      <c r="J6411" s="48" t="s">
        <v>56716</v>
      </c>
      <c r="K6411" s="57"/>
      <c r="L6411" s="48"/>
    </row>
    <row r="6412" spans="1:12" ht="11.25" x14ac:dyDescent="0.2">
      <c r="A6412" s="46" t="s">
        <v>14061</v>
      </c>
      <c r="B6412" s="46" t="s">
        <v>54811</v>
      </c>
      <c r="C6412" s="58" t="str">
        <f>""</f>
        <v/>
      </c>
      <c r="D6412" s="58" t="str">
        <f>"18763863"</f>
        <v>18763863</v>
      </c>
      <c r="E6412" s="46" t="s">
        <v>6405</v>
      </c>
      <c r="F6412" s="46" t="s">
        <v>18001</v>
      </c>
      <c r="G6412" s="46" t="s">
        <v>50584</v>
      </c>
      <c r="H6412" s="48" t="s">
        <v>56716</v>
      </c>
      <c r="I6412" s="48" t="s">
        <v>50564</v>
      </c>
      <c r="J6412" s="48" t="s">
        <v>56716</v>
      </c>
      <c r="K6412" s="57"/>
      <c r="L6412" s="48"/>
    </row>
    <row r="6413" spans="1:12" ht="11.25" x14ac:dyDescent="0.2">
      <c r="A6413" s="46" t="s">
        <v>14843</v>
      </c>
      <c r="B6413" s="46" t="s">
        <v>54812</v>
      </c>
      <c r="C6413" s="58" t="str">
        <f>""</f>
        <v/>
      </c>
      <c r="D6413" s="58" t="str">
        <f>"18744214"</f>
        <v>18744214</v>
      </c>
      <c r="E6413" s="46" t="s">
        <v>6405</v>
      </c>
      <c r="F6413" s="46" t="s">
        <v>18001</v>
      </c>
      <c r="G6413" s="46" t="s">
        <v>50584</v>
      </c>
      <c r="H6413" s="48" t="s">
        <v>56716</v>
      </c>
      <c r="I6413" s="48" t="s">
        <v>50564</v>
      </c>
      <c r="J6413" s="48" t="s">
        <v>56716</v>
      </c>
      <c r="K6413" s="57"/>
      <c r="L6413" s="48"/>
    </row>
    <row r="6414" spans="1:12" ht="11.25" x14ac:dyDescent="0.2">
      <c r="A6414" s="46" t="s">
        <v>16789</v>
      </c>
      <c r="B6414" s="46" t="s">
        <v>54813</v>
      </c>
      <c r="C6414" s="58" t="str">
        <f>""</f>
        <v/>
      </c>
      <c r="D6414" s="58" t="str">
        <f>"18743757"</f>
        <v>18743757</v>
      </c>
      <c r="E6414" s="46" t="s">
        <v>6405</v>
      </c>
      <c r="F6414" s="46" t="s">
        <v>18001</v>
      </c>
      <c r="G6414" s="46" t="s">
        <v>50584</v>
      </c>
      <c r="H6414" s="48" t="s">
        <v>56716</v>
      </c>
      <c r="I6414" s="48" t="s">
        <v>50564</v>
      </c>
      <c r="J6414" s="48" t="s">
        <v>56716</v>
      </c>
      <c r="K6414" s="57"/>
      <c r="L6414" s="48"/>
    </row>
    <row r="6415" spans="1:12" ht="11.25" x14ac:dyDescent="0.2">
      <c r="A6415" s="46" t="s">
        <v>14771</v>
      </c>
      <c r="B6415" s="46" t="s">
        <v>54814</v>
      </c>
      <c r="C6415" s="58" t="str">
        <f>""</f>
        <v/>
      </c>
      <c r="D6415" s="58" t="str">
        <f>"18768245"</f>
        <v>18768245</v>
      </c>
      <c r="E6415" s="46" t="s">
        <v>6405</v>
      </c>
      <c r="F6415" s="46" t="s">
        <v>18001</v>
      </c>
      <c r="G6415" s="46" t="s">
        <v>50584</v>
      </c>
      <c r="H6415" s="48" t="s">
        <v>56716</v>
      </c>
      <c r="I6415" s="48" t="s">
        <v>50564</v>
      </c>
      <c r="J6415" s="48" t="s">
        <v>56716</v>
      </c>
      <c r="K6415" s="57"/>
      <c r="L6415" s="48"/>
    </row>
    <row r="6416" spans="1:12" ht="11.25" x14ac:dyDescent="0.2">
      <c r="A6416" s="46" t="s">
        <v>13431</v>
      </c>
      <c r="B6416" s="46" t="s">
        <v>54815</v>
      </c>
      <c r="C6416" s="58" t="str">
        <f>""</f>
        <v/>
      </c>
      <c r="D6416" s="58" t="str">
        <f>"18741436"</f>
        <v>18741436</v>
      </c>
      <c r="E6416" s="46" t="s">
        <v>6405</v>
      </c>
      <c r="F6416" s="46" t="s">
        <v>18001</v>
      </c>
      <c r="G6416" s="46" t="s">
        <v>50584</v>
      </c>
      <c r="H6416" s="48" t="s">
        <v>56716</v>
      </c>
      <c r="I6416" s="48" t="s">
        <v>50564</v>
      </c>
      <c r="J6416" s="48" t="s">
        <v>56716</v>
      </c>
      <c r="K6416" s="57"/>
      <c r="L6416" s="48"/>
    </row>
    <row r="6417" spans="1:12" ht="11.25" x14ac:dyDescent="0.2">
      <c r="A6417" s="46" t="s">
        <v>14791</v>
      </c>
      <c r="B6417" s="46" t="s">
        <v>54816</v>
      </c>
      <c r="C6417" s="58" t="str">
        <f>""</f>
        <v/>
      </c>
      <c r="D6417" s="58" t="str">
        <f>"18768229"</f>
        <v>18768229</v>
      </c>
      <c r="E6417" s="46" t="s">
        <v>6405</v>
      </c>
      <c r="F6417" s="46" t="s">
        <v>18001</v>
      </c>
      <c r="G6417" s="46" t="s">
        <v>50584</v>
      </c>
      <c r="H6417" s="48" t="s">
        <v>56716</v>
      </c>
      <c r="I6417" s="48" t="s">
        <v>50564</v>
      </c>
      <c r="J6417" s="48" t="s">
        <v>56716</v>
      </c>
      <c r="K6417" s="57"/>
      <c r="L6417" s="48"/>
    </row>
    <row r="6418" spans="1:12" ht="11.25" x14ac:dyDescent="0.2">
      <c r="A6418" s="46" t="s">
        <v>13455</v>
      </c>
      <c r="B6418" s="46" t="s">
        <v>54817</v>
      </c>
      <c r="C6418" s="58" t="str">
        <f>""</f>
        <v/>
      </c>
      <c r="D6418" s="58" t="str">
        <f>"18750397"</f>
        <v>18750397</v>
      </c>
      <c r="E6418" s="46" t="s">
        <v>6405</v>
      </c>
      <c r="F6418" s="46" t="s">
        <v>18001</v>
      </c>
      <c r="G6418" s="46" t="s">
        <v>50584</v>
      </c>
      <c r="H6418" s="48" t="s">
        <v>56716</v>
      </c>
      <c r="I6418" s="48" t="s">
        <v>50564</v>
      </c>
      <c r="J6418" s="48" t="s">
        <v>56716</v>
      </c>
      <c r="K6418" s="57"/>
      <c r="L6418" s="48"/>
    </row>
    <row r="6419" spans="1:12" ht="11.25" x14ac:dyDescent="0.2">
      <c r="A6419" s="46" t="s">
        <v>14819</v>
      </c>
      <c r="B6419" s="46" t="s">
        <v>54818</v>
      </c>
      <c r="C6419" s="58" t="str">
        <f>""</f>
        <v/>
      </c>
      <c r="D6419" s="58" t="str">
        <f>"18749445"</f>
        <v>18749445</v>
      </c>
      <c r="E6419" s="46" t="s">
        <v>6405</v>
      </c>
      <c r="F6419" s="46" t="s">
        <v>18001</v>
      </c>
      <c r="G6419" s="46" t="s">
        <v>50584</v>
      </c>
      <c r="H6419" s="48" t="s">
        <v>56716</v>
      </c>
      <c r="I6419" s="48" t="s">
        <v>50564</v>
      </c>
      <c r="J6419" s="48" t="s">
        <v>56716</v>
      </c>
      <c r="K6419" s="57"/>
      <c r="L6419" s="48"/>
    </row>
    <row r="6420" spans="1:12" ht="11.25" x14ac:dyDescent="0.2">
      <c r="A6420" s="46" t="s">
        <v>13941</v>
      </c>
      <c r="B6420" s="46" t="s">
        <v>54819</v>
      </c>
      <c r="C6420" s="58" t="str">
        <f>""</f>
        <v/>
      </c>
      <c r="D6420" s="58" t="str">
        <f>"18743064"</f>
        <v>18743064</v>
      </c>
      <c r="E6420" s="46" t="s">
        <v>6405</v>
      </c>
      <c r="F6420" s="46" t="s">
        <v>18001</v>
      </c>
      <c r="G6420" s="46" t="s">
        <v>50584</v>
      </c>
      <c r="H6420" s="48" t="s">
        <v>56716</v>
      </c>
      <c r="I6420" s="48" t="s">
        <v>50564</v>
      </c>
      <c r="J6420" s="48" t="s">
        <v>56716</v>
      </c>
      <c r="K6420" s="57"/>
      <c r="L6420" s="48"/>
    </row>
    <row r="6421" spans="1:12" ht="11.25" x14ac:dyDescent="0.2">
      <c r="A6421" s="46" t="s">
        <v>13943</v>
      </c>
      <c r="B6421" s="46" t="s">
        <v>54820</v>
      </c>
      <c r="C6421" s="58" t="str">
        <f>""</f>
        <v/>
      </c>
      <c r="D6421" s="58" t="str">
        <f>"18743129"</f>
        <v>18743129</v>
      </c>
      <c r="E6421" s="46" t="s">
        <v>6405</v>
      </c>
      <c r="F6421" s="46" t="s">
        <v>18001</v>
      </c>
      <c r="G6421" s="46" t="s">
        <v>50584</v>
      </c>
      <c r="H6421" s="48" t="s">
        <v>56716</v>
      </c>
      <c r="I6421" s="48" t="s">
        <v>50564</v>
      </c>
      <c r="J6421" s="48" t="s">
        <v>56716</v>
      </c>
      <c r="K6421" s="57"/>
      <c r="L6421" s="48"/>
    </row>
    <row r="6422" spans="1:12" ht="11.25" x14ac:dyDescent="0.2">
      <c r="A6422" s="46" t="s">
        <v>15645</v>
      </c>
      <c r="B6422" s="46" t="s">
        <v>54821</v>
      </c>
      <c r="C6422" s="58" t="str">
        <f>""</f>
        <v/>
      </c>
      <c r="D6422" s="58" t="str">
        <f>"18765327"</f>
        <v>18765327</v>
      </c>
      <c r="E6422" s="46" t="s">
        <v>6405</v>
      </c>
      <c r="F6422" s="46" t="s">
        <v>18001</v>
      </c>
      <c r="G6422" s="46" t="s">
        <v>50584</v>
      </c>
      <c r="H6422" s="48" t="s">
        <v>56716</v>
      </c>
      <c r="I6422" s="48" t="s">
        <v>50564</v>
      </c>
      <c r="J6422" s="48" t="s">
        <v>56716</v>
      </c>
      <c r="K6422" s="57"/>
      <c r="L6422" s="48"/>
    </row>
    <row r="6423" spans="1:12" ht="11.25" x14ac:dyDescent="0.2">
      <c r="A6423" s="46" t="s">
        <v>14795</v>
      </c>
      <c r="B6423" s="46" t="s">
        <v>54822</v>
      </c>
      <c r="C6423" s="58" t="str">
        <f>""</f>
        <v/>
      </c>
      <c r="D6423" s="58" t="str">
        <f>"18768938"</f>
        <v>18768938</v>
      </c>
      <c r="E6423" s="46" t="s">
        <v>6405</v>
      </c>
      <c r="F6423" s="46" t="s">
        <v>18001</v>
      </c>
      <c r="G6423" s="46" t="s">
        <v>50584</v>
      </c>
      <c r="H6423" s="48" t="s">
        <v>56716</v>
      </c>
      <c r="I6423" s="48" t="s">
        <v>50564</v>
      </c>
      <c r="J6423" s="48" t="s">
        <v>56716</v>
      </c>
      <c r="K6423" s="57"/>
      <c r="L6423" s="48"/>
    </row>
    <row r="6424" spans="1:12" ht="11.25" x14ac:dyDescent="0.2">
      <c r="A6424" s="46" t="s">
        <v>14823</v>
      </c>
      <c r="B6424" s="46" t="s">
        <v>54823</v>
      </c>
      <c r="C6424" s="58" t="str">
        <f>""</f>
        <v/>
      </c>
      <c r="D6424" s="58" t="str">
        <f>"18741991"</f>
        <v>18741991</v>
      </c>
      <c r="E6424" s="46" t="s">
        <v>6405</v>
      </c>
      <c r="F6424" s="46" t="s">
        <v>18001</v>
      </c>
      <c r="G6424" s="46" t="s">
        <v>50584</v>
      </c>
      <c r="H6424" s="48" t="s">
        <v>56716</v>
      </c>
      <c r="I6424" s="48" t="s">
        <v>50564</v>
      </c>
      <c r="J6424" s="48" t="s">
        <v>56716</v>
      </c>
      <c r="K6424" s="57"/>
      <c r="L6424" s="48"/>
    </row>
    <row r="6425" spans="1:12" ht="11.25" x14ac:dyDescent="0.2">
      <c r="A6425" s="46" t="s">
        <v>14787</v>
      </c>
      <c r="B6425" s="46" t="s">
        <v>54824</v>
      </c>
      <c r="C6425" s="58" t="str">
        <f>""</f>
        <v/>
      </c>
      <c r="D6425" s="58" t="str">
        <f>"18765041"</f>
        <v>18765041</v>
      </c>
      <c r="E6425" s="46" t="s">
        <v>6405</v>
      </c>
      <c r="F6425" s="46" t="s">
        <v>18001</v>
      </c>
      <c r="G6425" s="46" t="s">
        <v>50584</v>
      </c>
      <c r="H6425" s="48" t="s">
        <v>56716</v>
      </c>
      <c r="I6425" s="48" t="s">
        <v>50564</v>
      </c>
      <c r="J6425" s="48" t="s">
        <v>56716</v>
      </c>
      <c r="K6425" s="57"/>
      <c r="L6425" s="48"/>
    </row>
    <row r="6426" spans="1:12" ht="11.25" x14ac:dyDescent="0.2">
      <c r="A6426" s="46" t="s">
        <v>14827</v>
      </c>
      <c r="B6426" s="46" t="s">
        <v>54825</v>
      </c>
      <c r="C6426" s="58" t="str">
        <f>""</f>
        <v/>
      </c>
      <c r="D6426" s="58" t="str">
        <f>"18750435"</f>
        <v>18750435</v>
      </c>
      <c r="E6426" s="46" t="s">
        <v>6405</v>
      </c>
      <c r="F6426" s="46" t="s">
        <v>18001</v>
      </c>
      <c r="G6426" s="46" t="s">
        <v>50584</v>
      </c>
      <c r="H6426" s="48" t="s">
        <v>56716</v>
      </c>
      <c r="I6426" s="48" t="s">
        <v>50564</v>
      </c>
      <c r="J6426" s="48" t="s">
        <v>56716</v>
      </c>
      <c r="K6426" s="57"/>
      <c r="L6426" s="48"/>
    </row>
    <row r="6427" spans="1:12" ht="11.25" x14ac:dyDescent="0.2">
      <c r="A6427" s="46" t="s">
        <v>13691</v>
      </c>
      <c r="B6427" s="46" t="s">
        <v>54826</v>
      </c>
      <c r="C6427" s="58" t="str">
        <f>""</f>
        <v/>
      </c>
      <c r="D6427" s="58" t="str">
        <f>"18743404"</f>
        <v>18743404</v>
      </c>
      <c r="E6427" s="46" t="s">
        <v>6405</v>
      </c>
      <c r="F6427" s="46" t="s">
        <v>18001</v>
      </c>
      <c r="G6427" s="46" t="s">
        <v>50584</v>
      </c>
      <c r="H6427" s="48" t="s">
        <v>56716</v>
      </c>
      <c r="I6427" s="48" t="s">
        <v>50564</v>
      </c>
      <c r="J6427" s="48" t="s">
        <v>56716</v>
      </c>
      <c r="K6427" s="57"/>
      <c r="L6427" s="48"/>
    </row>
    <row r="6428" spans="1:12" ht="11.25" x14ac:dyDescent="0.2">
      <c r="A6428" s="46" t="s">
        <v>14849</v>
      </c>
      <c r="B6428" s="46" t="s">
        <v>54827</v>
      </c>
      <c r="C6428" s="58" t="str">
        <f>""</f>
        <v/>
      </c>
      <c r="D6428" s="58" t="str">
        <f>"18754147"</f>
        <v>18754147</v>
      </c>
      <c r="E6428" s="46" t="s">
        <v>6405</v>
      </c>
      <c r="F6428" s="46" t="s">
        <v>18001</v>
      </c>
      <c r="G6428" s="46" t="s">
        <v>50584</v>
      </c>
      <c r="H6428" s="48" t="s">
        <v>56716</v>
      </c>
      <c r="I6428" s="48" t="s">
        <v>50564</v>
      </c>
      <c r="J6428" s="48" t="s">
        <v>56716</v>
      </c>
      <c r="K6428" s="57"/>
      <c r="L6428" s="48"/>
    </row>
    <row r="6429" spans="1:12" ht="11.25" x14ac:dyDescent="0.2">
      <c r="A6429" s="46" t="s">
        <v>14633</v>
      </c>
      <c r="B6429" s="46" t="s">
        <v>54828</v>
      </c>
      <c r="C6429" s="58" t="str">
        <f>""</f>
        <v/>
      </c>
      <c r="D6429" s="58" t="str">
        <f>"18763995"</f>
        <v>18763995</v>
      </c>
      <c r="E6429" s="46" t="s">
        <v>6405</v>
      </c>
      <c r="F6429" s="46" t="s">
        <v>18001</v>
      </c>
      <c r="G6429" s="46" t="s">
        <v>50584</v>
      </c>
      <c r="H6429" s="48" t="s">
        <v>56716</v>
      </c>
      <c r="I6429" s="48" t="s">
        <v>50564</v>
      </c>
      <c r="J6429" s="48" t="s">
        <v>56716</v>
      </c>
      <c r="K6429" s="57"/>
      <c r="L6429" s="48"/>
    </row>
    <row r="6430" spans="1:12" ht="11.25" x14ac:dyDescent="0.2">
      <c r="A6430" s="46" t="s">
        <v>14847</v>
      </c>
      <c r="B6430" s="46" t="s">
        <v>54829</v>
      </c>
      <c r="C6430" s="58" t="str">
        <f>""</f>
        <v/>
      </c>
      <c r="D6430" s="58" t="str">
        <f>"18744184"</f>
        <v>18744184</v>
      </c>
      <c r="E6430" s="46" t="s">
        <v>6405</v>
      </c>
      <c r="F6430" s="46" t="s">
        <v>18001</v>
      </c>
      <c r="G6430" s="46" t="s">
        <v>50584</v>
      </c>
      <c r="H6430" s="48" t="s">
        <v>56716</v>
      </c>
      <c r="I6430" s="48" t="s">
        <v>50564</v>
      </c>
      <c r="J6430" s="48" t="s">
        <v>56716</v>
      </c>
      <c r="K6430" s="57"/>
      <c r="L6430" s="48"/>
    </row>
    <row r="6431" spans="1:12" ht="11.25" x14ac:dyDescent="0.2">
      <c r="A6431" s="46" t="s">
        <v>14069</v>
      </c>
      <c r="B6431" s="46" t="s">
        <v>54830</v>
      </c>
      <c r="C6431" s="58" t="str">
        <f>""</f>
        <v/>
      </c>
      <c r="D6431" s="58" t="str">
        <f>"18743153"</f>
        <v>18743153</v>
      </c>
      <c r="E6431" s="46" t="s">
        <v>6405</v>
      </c>
      <c r="F6431" s="46" t="s">
        <v>18001</v>
      </c>
      <c r="G6431" s="46" t="s">
        <v>50584</v>
      </c>
      <c r="H6431" s="48" t="s">
        <v>56716</v>
      </c>
      <c r="I6431" s="48" t="s">
        <v>50564</v>
      </c>
      <c r="J6431" s="48" t="s">
        <v>56716</v>
      </c>
      <c r="K6431" s="57"/>
      <c r="L6431" s="48"/>
    </row>
    <row r="6432" spans="1:12" ht="11.25" x14ac:dyDescent="0.2">
      <c r="A6432" s="46" t="s">
        <v>14811</v>
      </c>
      <c r="B6432" s="46" t="s">
        <v>54831</v>
      </c>
      <c r="C6432" s="58" t="str">
        <f>""</f>
        <v/>
      </c>
      <c r="D6432" s="58" t="str">
        <f>"1874303X"</f>
        <v>1874303X</v>
      </c>
      <c r="E6432" s="46" t="s">
        <v>6405</v>
      </c>
      <c r="F6432" s="46" t="s">
        <v>18001</v>
      </c>
      <c r="G6432" s="46" t="s">
        <v>50584</v>
      </c>
      <c r="H6432" s="48" t="s">
        <v>56716</v>
      </c>
      <c r="I6432" s="48" t="s">
        <v>50564</v>
      </c>
      <c r="J6432" s="48" t="s">
        <v>56716</v>
      </c>
      <c r="K6432" s="57"/>
      <c r="L6432" s="48"/>
    </row>
    <row r="6433" spans="1:12" ht="11.25" x14ac:dyDescent="0.2">
      <c r="A6433" s="46" t="s">
        <v>13695</v>
      </c>
      <c r="B6433" s="46" t="s">
        <v>54832</v>
      </c>
      <c r="C6433" s="58" t="str">
        <f>""</f>
        <v/>
      </c>
      <c r="D6433" s="58" t="str">
        <f>"18750354"</f>
        <v>18750354</v>
      </c>
      <c r="E6433" s="46" t="s">
        <v>6405</v>
      </c>
      <c r="F6433" s="46" t="s">
        <v>18001</v>
      </c>
      <c r="G6433" s="46" t="s">
        <v>50584</v>
      </c>
      <c r="H6433" s="48" t="s">
        <v>56716</v>
      </c>
      <c r="I6433" s="48" t="s">
        <v>50564</v>
      </c>
      <c r="J6433" s="48" t="s">
        <v>56716</v>
      </c>
      <c r="K6433" s="57"/>
      <c r="L6433" s="48"/>
    </row>
    <row r="6434" spans="1:12" ht="11.25" x14ac:dyDescent="0.2">
      <c r="A6434" s="46" t="s">
        <v>15647</v>
      </c>
      <c r="B6434" s="46" t="s">
        <v>54833</v>
      </c>
      <c r="C6434" s="58" t="str">
        <f>""</f>
        <v/>
      </c>
      <c r="D6434" s="58" t="str">
        <f>"18742912"</f>
        <v>18742912</v>
      </c>
      <c r="E6434" s="46" t="s">
        <v>6405</v>
      </c>
      <c r="F6434" s="46" t="s">
        <v>18001</v>
      </c>
      <c r="G6434" s="46" t="s">
        <v>50584</v>
      </c>
      <c r="H6434" s="48" t="s">
        <v>56716</v>
      </c>
      <c r="I6434" s="48" t="s">
        <v>50564</v>
      </c>
      <c r="J6434" s="48" t="s">
        <v>56716</v>
      </c>
      <c r="K6434" s="57"/>
      <c r="L6434" s="48"/>
    </row>
    <row r="6435" spans="1:12" ht="11.25" x14ac:dyDescent="0.2">
      <c r="A6435" s="45" t="s">
        <v>43194</v>
      </c>
      <c r="B6435" s="45" t="s">
        <v>43196</v>
      </c>
      <c r="C6435" s="51" t="s">
        <v>43199</v>
      </c>
      <c r="D6435" s="51" t="s">
        <v>43198</v>
      </c>
      <c r="E6435" s="45" t="s">
        <v>43200</v>
      </c>
      <c r="F6435" s="45" t="s">
        <v>17759</v>
      </c>
      <c r="G6435" s="45" t="s">
        <v>50584</v>
      </c>
      <c r="H6435" s="56"/>
      <c r="I6435" s="56" t="s">
        <v>50564</v>
      </c>
      <c r="J6435" s="56"/>
      <c r="K6435" s="57"/>
      <c r="L6435" s="56" t="s">
        <v>56716</v>
      </c>
    </row>
    <row r="6436" spans="1:12" ht="11.25" x14ac:dyDescent="0.2">
      <c r="A6436" s="45" t="s">
        <v>43202</v>
      </c>
      <c r="B6436" s="45" t="s">
        <v>43204</v>
      </c>
      <c r="C6436" s="51" t="s">
        <v>43205</v>
      </c>
      <c r="D6436" s="51"/>
      <c r="E6436" s="45" t="s">
        <v>43206</v>
      </c>
      <c r="F6436" s="45" t="s">
        <v>17759</v>
      </c>
      <c r="G6436" s="45" t="s">
        <v>50584</v>
      </c>
      <c r="H6436" s="56"/>
      <c r="I6436" s="56" t="s">
        <v>50564</v>
      </c>
      <c r="J6436" s="56"/>
      <c r="K6436" s="57"/>
      <c r="L6436" s="56" t="s">
        <v>56716</v>
      </c>
    </row>
    <row r="6437" spans="1:12" ht="11.25" x14ac:dyDescent="0.2">
      <c r="A6437" s="46" t="s">
        <v>9859</v>
      </c>
      <c r="B6437" s="46" t="s">
        <v>54834</v>
      </c>
      <c r="C6437" s="58" t="str">
        <f>"09346694"</f>
        <v>09346694</v>
      </c>
      <c r="D6437" s="58" t="str">
        <f>"14390981"</f>
        <v>14390981</v>
      </c>
      <c r="E6437" s="46" t="s">
        <v>6022</v>
      </c>
      <c r="F6437" s="46" t="s">
        <v>18158</v>
      </c>
      <c r="G6437" s="46" t="s">
        <v>50592</v>
      </c>
      <c r="H6437" s="48" t="s">
        <v>56716</v>
      </c>
      <c r="I6437" s="48" t="s">
        <v>50564</v>
      </c>
      <c r="J6437" s="48" t="s">
        <v>56716</v>
      </c>
      <c r="K6437" s="50" t="s">
        <v>56716</v>
      </c>
      <c r="L6437" s="48" t="s">
        <v>56716</v>
      </c>
    </row>
    <row r="6438" spans="1:12" ht="11.25" x14ac:dyDescent="0.2">
      <c r="A6438" s="46" t="s">
        <v>9016</v>
      </c>
      <c r="B6438" s="46" t="s">
        <v>54835</v>
      </c>
      <c r="C6438" s="58" t="str">
        <f>"10486666"</f>
        <v>10486666</v>
      </c>
      <c r="D6438" s="58" t="str">
        <f>"15583848"</f>
        <v>15583848</v>
      </c>
      <c r="E6438" s="46" t="s">
        <v>303</v>
      </c>
      <c r="F6438" s="46" t="s">
        <v>17759</v>
      </c>
      <c r="G6438" s="46" t="s">
        <v>50584</v>
      </c>
      <c r="H6438" s="48" t="s">
        <v>56716</v>
      </c>
      <c r="I6438" s="48" t="s">
        <v>50564</v>
      </c>
      <c r="J6438" s="48" t="s">
        <v>56716</v>
      </c>
      <c r="K6438" s="50" t="s">
        <v>56716</v>
      </c>
      <c r="L6438" s="48"/>
    </row>
    <row r="6439" spans="1:12" ht="11.25" x14ac:dyDescent="0.2">
      <c r="A6439" s="46" t="s">
        <v>5480</v>
      </c>
      <c r="B6439" s="46" t="s">
        <v>54836</v>
      </c>
      <c r="C6439" s="58" t="str">
        <f>"10431810"</f>
        <v>10431810</v>
      </c>
      <c r="D6439" s="58" t="str">
        <f>"15579395"</f>
        <v>15579395</v>
      </c>
      <c r="E6439" s="46" t="s">
        <v>303</v>
      </c>
      <c r="F6439" s="46" t="s">
        <v>17759</v>
      </c>
      <c r="G6439" s="46" t="s">
        <v>50584</v>
      </c>
      <c r="H6439" s="48" t="s">
        <v>56716</v>
      </c>
      <c r="I6439" s="48" t="s">
        <v>50564</v>
      </c>
      <c r="J6439" s="48" t="s">
        <v>56716</v>
      </c>
      <c r="K6439" s="50" t="s">
        <v>56716</v>
      </c>
      <c r="L6439" s="48"/>
    </row>
    <row r="6440" spans="1:12" ht="11.25" x14ac:dyDescent="0.2">
      <c r="A6440" s="46" t="s">
        <v>9019</v>
      </c>
      <c r="B6440" s="46" t="s">
        <v>54837</v>
      </c>
      <c r="C6440" s="58" t="str">
        <f>"10601872"</f>
        <v>10601872</v>
      </c>
      <c r="D6440" s="58" t="str">
        <f>"15579794"</f>
        <v>15579794</v>
      </c>
      <c r="E6440" s="46" t="s">
        <v>303</v>
      </c>
      <c r="F6440" s="46" t="s">
        <v>17759</v>
      </c>
      <c r="G6440" s="46" t="s">
        <v>50584</v>
      </c>
      <c r="H6440" s="48" t="s">
        <v>56716</v>
      </c>
      <c r="I6440" s="48" t="s">
        <v>50564</v>
      </c>
      <c r="J6440" s="48" t="s">
        <v>56716</v>
      </c>
      <c r="K6440" s="50" t="s">
        <v>56716</v>
      </c>
      <c r="L6440" s="48"/>
    </row>
    <row r="6441" spans="1:12" ht="11.25" x14ac:dyDescent="0.2">
      <c r="A6441" s="46" t="s">
        <v>9022</v>
      </c>
      <c r="B6441" s="46" t="s">
        <v>54838</v>
      </c>
      <c r="C6441" s="58" t="str">
        <f>"15222942"</f>
        <v>15222942</v>
      </c>
      <c r="D6441" s="58" t="str">
        <f>"15328627"</f>
        <v>15328627</v>
      </c>
      <c r="E6441" s="46" t="s">
        <v>303</v>
      </c>
      <c r="F6441" s="46" t="s">
        <v>17759</v>
      </c>
      <c r="G6441" s="46" t="s">
        <v>50584</v>
      </c>
      <c r="H6441" s="48" t="s">
        <v>56716</v>
      </c>
      <c r="I6441" s="48" t="s">
        <v>50564</v>
      </c>
      <c r="J6441" s="48" t="s">
        <v>56716</v>
      </c>
      <c r="K6441" s="50" t="s">
        <v>56716</v>
      </c>
      <c r="L6441" s="48"/>
    </row>
    <row r="6442" spans="1:12" ht="11.25" x14ac:dyDescent="0.2">
      <c r="A6442" s="45" t="s">
        <v>43213</v>
      </c>
      <c r="B6442" s="45" t="s">
        <v>43215</v>
      </c>
      <c r="C6442" s="51" t="s">
        <v>43218</v>
      </c>
      <c r="D6442" s="51" t="s">
        <v>43217</v>
      </c>
      <c r="E6442" s="45" t="s">
        <v>24794</v>
      </c>
      <c r="F6442" s="45" t="s">
        <v>50646</v>
      </c>
      <c r="G6442" s="45" t="s">
        <v>50584</v>
      </c>
      <c r="H6442" s="56"/>
      <c r="I6442" s="56" t="s">
        <v>50564</v>
      </c>
      <c r="J6442" s="56"/>
      <c r="K6442" s="57"/>
      <c r="L6442" s="56" t="s">
        <v>56716</v>
      </c>
    </row>
    <row r="6443" spans="1:12" ht="11.25" x14ac:dyDescent="0.2">
      <c r="A6443" s="46" t="s">
        <v>6807</v>
      </c>
      <c r="B6443" s="46" t="s">
        <v>54839</v>
      </c>
      <c r="C6443" s="58" t="str">
        <f>"09286586"</f>
        <v>09286586</v>
      </c>
      <c r="D6443" s="58" t="str">
        <f>"17445086"</f>
        <v>17445086</v>
      </c>
      <c r="E6443" s="46" t="s">
        <v>291</v>
      </c>
      <c r="F6443" s="46" t="s">
        <v>50646</v>
      </c>
      <c r="G6443" s="46" t="s">
        <v>50584</v>
      </c>
      <c r="H6443" s="48" t="s">
        <v>56716</v>
      </c>
      <c r="I6443" s="48" t="s">
        <v>50564</v>
      </c>
      <c r="J6443" s="48" t="s">
        <v>56716</v>
      </c>
      <c r="K6443" s="57"/>
      <c r="L6443" s="48" t="s">
        <v>56716</v>
      </c>
    </row>
    <row r="6444" spans="1:12" ht="11.25" x14ac:dyDescent="0.2">
      <c r="A6444" s="46" t="s">
        <v>6234</v>
      </c>
      <c r="B6444" s="46" t="s">
        <v>54840</v>
      </c>
      <c r="C6444" s="58" t="str">
        <f>"13816810"</f>
        <v>13816810</v>
      </c>
      <c r="D6444" s="58" t="str">
        <f>"17445094"</f>
        <v>17445094</v>
      </c>
      <c r="E6444" s="46" t="s">
        <v>291</v>
      </c>
      <c r="F6444" s="46" t="s">
        <v>50646</v>
      </c>
      <c r="G6444" s="46" t="s">
        <v>50584</v>
      </c>
      <c r="H6444" s="48" t="s">
        <v>56716</v>
      </c>
      <c r="I6444" s="48" t="s">
        <v>50564</v>
      </c>
      <c r="J6444" s="48" t="s">
        <v>56716</v>
      </c>
      <c r="K6444" s="57"/>
      <c r="L6444" s="48" t="s">
        <v>56716</v>
      </c>
    </row>
    <row r="6445" spans="1:12" ht="11.25" x14ac:dyDescent="0.2">
      <c r="A6445" s="46" t="s">
        <v>3261</v>
      </c>
      <c r="B6445" s="46" t="s">
        <v>54841</v>
      </c>
      <c r="C6445" s="58" t="str">
        <f>"07409303"</f>
        <v>07409303</v>
      </c>
      <c r="D6445" s="58" t="str">
        <f>"15372677"</f>
        <v>15372677</v>
      </c>
      <c r="E6445" s="46" t="s">
        <v>28</v>
      </c>
      <c r="F6445" s="46" t="s">
        <v>17759</v>
      </c>
      <c r="G6445" s="46" t="s">
        <v>50584</v>
      </c>
      <c r="H6445" s="48" t="s">
        <v>56716</v>
      </c>
      <c r="I6445" s="48" t="s">
        <v>50564</v>
      </c>
      <c r="J6445" s="48" t="s">
        <v>56716</v>
      </c>
      <c r="K6445" s="50" t="s">
        <v>56716</v>
      </c>
      <c r="L6445" s="48" t="s">
        <v>56716</v>
      </c>
    </row>
    <row r="6446" spans="1:12" ht="11.25" x14ac:dyDescent="0.2">
      <c r="A6446" s="46" t="s">
        <v>3258</v>
      </c>
      <c r="B6446" s="46" t="s">
        <v>54842</v>
      </c>
      <c r="C6446" s="58" t="str">
        <f>"00303747"</f>
        <v>00303747</v>
      </c>
      <c r="D6446" s="58" t="str">
        <f>"14230259"</f>
        <v>14230259</v>
      </c>
      <c r="E6446" s="46" t="s">
        <v>109</v>
      </c>
      <c r="F6446" s="46" t="s">
        <v>18123</v>
      </c>
      <c r="G6446" s="46" t="s">
        <v>50584</v>
      </c>
      <c r="H6446" s="48" t="s">
        <v>56716</v>
      </c>
      <c r="I6446" s="48" t="s">
        <v>50564</v>
      </c>
      <c r="J6446" s="48" t="s">
        <v>56716</v>
      </c>
      <c r="K6446" s="50" t="s">
        <v>56716</v>
      </c>
      <c r="L6446" s="48" t="s">
        <v>56716</v>
      </c>
    </row>
    <row r="6447" spans="1:12" ht="11.25" x14ac:dyDescent="0.2">
      <c r="A6447" s="46" t="s">
        <v>9615</v>
      </c>
      <c r="B6447" s="46" t="s">
        <v>54843</v>
      </c>
      <c r="C6447" s="58" t="str">
        <f>"15428877"</f>
        <v>15428877</v>
      </c>
      <c r="D6447" s="58" t="str">
        <f>"19382375"</f>
        <v>19382375</v>
      </c>
      <c r="E6447" s="46" t="s">
        <v>2688</v>
      </c>
      <c r="F6447" s="46" t="s">
        <v>17759</v>
      </c>
      <c r="G6447" s="46" t="s">
        <v>50584</v>
      </c>
      <c r="H6447" s="48" t="s">
        <v>56716</v>
      </c>
      <c r="I6447" s="48" t="s">
        <v>50564</v>
      </c>
      <c r="J6447" s="48" t="s">
        <v>56716</v>
      </c>
      <c r="K6447" s="57"/>
      <c r="L6447" s="48"/>
    </row>
    <row r="6448" spans="1:12" ht="11.25" x14ac:dyDescent="0.2">
      <c r="A6448" s="46" t="s">
        <v>3861</v>
      </c>
      <c r="B6448" s="46" t="s">
        <v>54844</v>
      </c>
      <c r="C6448" s="58" t="str">
        <f>"23258160"</f>
        <v>23258160</v>
      </c>
      <c r="D6448" s="58" t="str">
        <f>"23258179"</f>
        <v>23258179</v>
      </c>
      <c r="E6448" s="46" t="s">
        <v>2688</v>
      </c>
      <c r="F6448" s="46" t="s">
        <v>17759</v>
      </c>
      <c r="G6448" s="46" t="s">
        <v>50584</v>
      </c>
      <c r="H6448" s="48" t="s">
        <v>56716</v>
      </c>
      <c r="I6448" s="48" t="s">
        <v>50564</v>
      </c>
      <c r="J6448" s="48" t="s">
        <v>56716</v>
      </c>
      <c r="K6448" s="57"/>
      <c r="L6448" s="48" t="s">
        <v>56716</v>
      </c>
    </row>
    <row r="6449" spans="1:12" ht="11.25" x14ac:dyDescent="0.2">
      <c r="A6449" s="46" t="s">
        <v>3252</v>
      </c>
      <c r="B6449" s="46" t="s">
        <v>3252</v>
      </c>
      <c r="C6449" s="58" t="str">
        <f>"00303755"</f>
        <v>00303755</v>
      </c>
      <c r="D6449" s="58" t="str">
        <f>"14230267"</f>
        <v>14230267</v>
      </c>
      <c r="E6449" s="46" t="s">
        <v>109</v>
      </c>
      <c r="F6449" s="46" t="s">
        <v>18123</v>
      </c>
      <c r="G6449" s="46" t="s">
        <v>50584</v>
      </c>
      <c r="H6449" s="48" t="s">
        <v>56716</v>
      </c>
      <c r="I6449" s="48" t="s">
        <v>50564</v>
      </c>
      <c r="J6449" s="48"/>
      <c r="K6449" s="50" t="s">
        <v>56716</v>
      </c>
      <c r="L6449" s="48" t="s">
        <v>56716</v>
      </c>
    </row>
    <row r="6450" spans="1:12" ht="11.25" x14ac:dyDescent="0.2">
      <c r="A6450" s="46" t="s">
        <v>55934</v>
      </c>
      <c r="B6450" s="46" t="s">
        <v>55935</v>
      </c>
      <c r="C6450" s="58" t="str">
        <f>""</f>
        <v/>
      </c>
      <c r="D6450" s="58" t="str">
        <f>"22961445"</f>
        <v>22961445</v>
      </c>
      <c r="E6450" s="46" t="s">
        <v>109</v>
      </c>
      <c r="F6450" s="46" t="s">
        <v>18123</v>
      </c>
      <c r="G6450" s="46" t="s">
        <v>50584</v>
      </c>
      <c r="H6450" s="48" t="s">
        <v>56716</v>
      </c>
      <c r="I6450" s="48" t="s">
        <v>50564</v>
      </c>
      <c r="J6450" s="48" t="s">
        <v>56716</v>
      </c>
      <c r="K6450" s="57"/>
      <c r="L6450" s="48"/>
    </row>
    <row r="6451" spans="1:12" ht="11.25" x14ac:dyDescent="0.2">
      <c r="A6451" s="46" t="s">
        <v>3255</v>
      </c>
      <c r="B6451" s="46" t="s">
        <v>3255</v>
      </c>
      <c r="C6451" s="58" t="str">
        <f>"01616420"</f>
        <v>01616420</v>
      </c>
      <c r="D6451" s="58" t="str">
        <f>"15494713"</f>
        <v>15494713</v>
      </c>
      <c r="E6451" s="46" t="s">
        <v>272</v>
      </c>
      <c r="F6451" s="46" t="s">
        <v>17759</v>
      </c>
      <c r="G6451" s="46" t="s">
        <v>50584</v>
      </c>
      <c r="H6451" s="48" t="s">
        <v>56716</v>
      </c>
      <c r="I6451" s="48" t="s">
        <v>50564</v>
      </c>
      <c r="J6451" s="48" t="s">
        <v>56716</v>
      </c>
      <c r="K6451" s="50" t="s">
        <v>56716</v>
      </c>
      <c r="L6451" s="48" t="s">
        <v>56716</v>
      </c>
    </row>
    <row r="6452" spans="1:12" ht="11.25" x14ac:dyDescent="0.2">
      <c r="A6452" s="46" t="s">
        <v>17560</v>
      </c>
      <c r="B6452" s="46" t="s">
        <v>54845</v>
      </c>
      <c r="C6452" s="58" t="str">
        <f>"21938245"</f>
        <v>21938245</v>
      </c>
      <c r="D6452" s="58" t="str">
        <f>"21936528"</f>
        <v>21936528</v>
      </c>
      <c r="E6452" s="46" t="s">
        <v>17556</v>
      </c>
      <c r="F6452" s="46" t="s">
        <v>17759</v>
      </c>
      <c r="G6452" s="46" t="s">
        <v>50584</v>
      </c>
      <c r="H6452" s="48" t="s">
        <v>56716</v>
      </c>
      <c r="I6452" s="48" t="s">
        <v>50564</v>
      </c>
      <c r="J6452" s="48" t="s">
        <v>56716</v>
      </c>
      <c r="K6452" s="57"/>
      <c r="L6452" s="48"/>
    </row>
    <row r="6453" spans="1:12" ht="11.25" x14ac:dyDescent="0.2">
      <c r="A6453" s="45" t="s">
        <v>43261</v>
      </c>
      <c r="B6453" s="45" t="s">
        <v>43263</v>
      </c>
      <c r="C6453" s="51"/>
      <c r="D6453" s="51" t="s">
        <v>43264</v>
      </c>
      <c r="E6453" s="45" t="s">
        <v>16258</v>
      </c>
      <c r="F6453" s="45" t="s">
        <v>17759</v>
      </c>
      <c r="G6453" s="45" t="s">
        <v>50584</v>
      </c>
      <c r="H6453" s="56"/>
      <c r="I6453" s="56" t="s">
        <v>50564</v>
      </c>
      <c r="J6453" s="56"/>
      <c r="K6453" s="57"/>
      <c r="L6453" s="56" t="s">
        <v>56716</v>
      </c>
    </row>
    <row r="6454" spans="1:12" ht="11.25" x14ac:dyDescent="0.2">
      <c r="A6454" s="45" t="s">
        <v>43267</v>
      </c>
      <c r="B6454" s="45" t="s">
        <v>43269</v>
      </c>
      <c r="C6454" s="51" t="s">
        <v>43271</v>
      </c>
      <c r="D6454" s="51" t="s">
        <v>43270</v>
      </c>
      <c r="E6454" s="45" t="s">
        <v>43272</v>
      </c>
      <c r="F6454" s="45" t="s">
        <v>17759</v>
      </c>
      <c r="G6454" s="45" t="s">
        <v>50584</v>
      </c>
      <c r="H6454" s="56"/>
      <c r="I6454" s="56" t="s">
        <v>50564</v>
      </c>
      <c r="J6454" s="56"/>
      <c r="K6454" s="57"/>
      <c r="L6454" s="56" t="s">
        <v>56716</v>
      </c>
    </row>
    <row r="6455" spans="1:12" ht="11.25" x14ac:dyDescent="0.2">
      <c r="A6455" s="45" t="s">
        <v>43281</v>
      </c>
      <c r="B6455" s="45" t="s">
        <v>43283</v>
      </c>
      <c r="C6455" s="51" t="s">
        <v>43286</v>
      </c>
      <c r="D6455" s="51" t="s">
        <v>43285</v>
      </c>
      <c r="E6455" s="45" t="s">
        <v>17758</v>
      </c>
      <c r="F6455" s="45" t="s">
        <v>17759</v>
      </c>
      <c r="G6455" s="45" t="s">
        <v>50584</v>
      </c>
      <c r="H6455" s="56"/>
      <c r="I6455" s="56" t="s">
        <v>50564</v>
      </c>
      <c r="J6455" s="56"/>
      <c r="K6455" s="57"/>
      <c r="L6455" s="56" t="s">
        <v>56716</v>
      </c>
    </row>
    <row r="6456" spans="1:12" ht="11.25" x14ac:dyDescent="0.2">
      <c r="A6456" s="45" t="s">
        <v>43288</v>
      </c>
      <c r="B6456" s="45" t="s">
        <v>43290</v>
      </c>
      <c r="C6456" s="51" t="s">
        <v>43291</v>
      </c>
      <c r="D6456" s="51"/>
      <c r="E6456" s="45" t="s">
        <v>43293</v>
      </c>
      <c r="F6456" s="45" t="s">
        <v>17759</v>
      </c>
      <c r="G6456" s="45" t="s">
        <v>50584</v>
      </c>
      <c r="H6456" s="56"/>
      <c r="I6456" s="56" t="s">
        <v>50564</v>
      </c>
      <c r="J6456" s="56"/>
      <c r="K6456" s="57"/>
      <c r="L6456" s="56" t="s">
        <v>56716</v>
      </c>
    </row>
    <row r="6457" spans="1:12" ht="11.25" x14ac:dyDescent="0.2">
      <c r="A6457" s="45" t="s">
        <v>43295</v>
      </c>
      <c r="B6457" s="45" t="s">
        <v>43297</v>
      </c>
      <c r="C6457" s="51" t="s">
        <v>43300</v>
      </c>
      <c r="D6457" s="51" t="s">
        <v>43299</v>
      </c>
      <c r="E6457" s="45" t="s">
        <v>17089</v>
      </c>
      <c r="F6457" s="45" t="s">
        <v>18158</v>
      </c>
      <c r="G6457" s="45" t="s">
        <v>50584</v>
      </c>
      <c r="H6457" s="56"/>
      <c r="I6457" s="56" t="s">
        <v>50564</v>
      </c>
      <c r="J6457" s="56"/>
      <c r="K6457" s="57"/>
      <c r="L6457" s="56" t="s">
        <v>56716</v>
      </c>
    </row>
    <row r="6458" spans="1:12" ht="11.25" x14ac:dyDescent="0.2">
      <c r="A6458" s="46" t="s">
        <v>56350</v>
      </c>
      <c r="B6458" s="46" t="s">
        <v>56351</v>
      </c>
      <c r="C6458" s="58" t="str">
        <f>""</f>
        <v/>
      </c>
      <c r="D6458" s="58" t="str">
        <f>"22145419"</f>
        <v>22145419</v>
      </c>
      <c r="E6458" s="46" t="s">
        <v>272</v>
      </c>
      <c r="F6458" s="46" t="s">
        <v>17759</v>
      </c>
      <c r="G6458" s="46" t="s">
        <v>50584</v>
      </c>
      <c r="H6458" s="48" t="s">
        <v>56716</v>
      </c>
      <c r="I6458" s="48" t="s">
        <v>50564</v>
      </c>
      <c r="J6458" s="48" t="s">
        <v>56716</v>
      </c>
      <c r="K6458" s="57"/>
      <c r="L6458" s="48"/>
    </row>
    <row r="6459" spans="1:12" ht="11.25" x14ac:dyDescent="0.2">
      <c r="A6459" s="45" t="s">
        <v>43302</v>
      </c>
      <c r="B6459" s="45" t="s">
        <v>43304</v>
      </c>
      <c r="C6459" s="51" t="s">
        <v>43306</v>
      </c>
      <c r="D6459" s="51" t="s">
        <v>43305</v>
      </c>
      <c r="E6459" s="45" t="s">
        <v>18921</v>
      </c>
      <c r="F6459" s="45" t="s">
        <v>17759</v>
      </c>
      <c r="G6459" s="45" t="s">
        <v>50584</v>
      </c>
      <c r="H6459" s="56"/>
      <c r="I6459" s="56" t="s">
        <v>50564</v>
      </c>
      <c r="J6459" s="56"/>
      <c r="K6459" s="57"/>
      <c r="L6459" s="56" t="s">
        <v>56716</v>
      </c>
    </row>
    <row r="6460" spans="1:12" ht="11.25" x14ac:dyDescent="0.2">
      <c r="A6460" s="46" t="s">
        <v>7068</v>
      </c>
      <c r="B6460" s="46" t="s">
        <v>54846</v>
      </c>
      <c r="C6460" s="58" t="str">
        <f>"1354523X"</f>
        <v>1354523X</v>
      </c>
      <c r="D6460" s="58" t="str">
        <f>"16010825"</f>
        <v>16010825</v>
      </c>
      <c r="E6460" s="46" t="s">
        <v>35</v>
      </c>
      <c r="F6460" s="46" t="s">
        <v>50646</v>
      </c>
      <c r="G6460" s="46" t="s">
        <v>50584</v>
      </c>
      <c r="H6460" s="48" t="s">
        <v>56716</v>
      </c>
      <c r="I6460" s="48" t="s">
        <v>50564</v>
      </c>
      <c r="J6460" s="48" t="s">
        <v>56716</v>
      </c>
      <c r="K6460" s="50" t="s">
        <v>56716</v>
      </c>
      <c r="L6460" s="48" t="s">
        <v>56716</v>
      </c>
    </row>
    <row r="6461" spans="1:12" ht="11.25" x14ac:dyDescent="0.2">
      <c r="A6461" s="45" t="s">
        <v>43313</v>
      </c>
      <c r="B6461" s="45" t="s">
        <v>43315</v>
      </c>
      <c r="C6461" s="51" t="s">
        <v>43317</v>
      </c>
      <c r="D6461" s="51" t="s">
        <v>43316</v>
      </c>
      <c r="E6461" s="45" t="s">
        <v>28691</v>
      </c>
      <c r="F6461" s="45" t="s">
        <v>50646</v>
      </c>
      <c r="G6461" s="45" t="s">
        <v>50584</v>
      </c>
      <c r="H6461" s="56"/>
      <c r="I6461" s="56" t="s">
        <v>50564</v>
      </c>
      <c r="J6461" s="56"/>
      <c r="K6461" s="57"/>
      <c r="L6461" s="56" t="s">
        <v>56716</v>
      </c>
    </row>
    <row r="6462" spans="1:12" ht="11.25" x14ac:dyDescent="0.2">
      <c r="A6462" s="46" t="s">
        <v>7717</v>
      </c>
      <c r="B6462" s="46" t="s">
        <v>54847</v>
      </c>
      <c r="C6462" s="58" t="str">
        <f>"13688375"</f>
        <v>13688375</v>
      </c>
      <c r="D6462" s="58" t="str">
        <f>"18790593"</f>
        <v>18790593</v>
      </c>
      <c r="E6462" s="46" t="s">
        <v>155</v>
      </c>
      <c r="F6462" s="46" t="s">
        <v>50646</v>
      </c>
      <c r="G6462" s="46" t="s">
        <v>50584</v>
      </c>
      <c r="H6462" s="48" t="s">
        <v>56716</v>
      </c>
      <c r="I6462" s="48" t="s">
        <v>50564</v>
      </c>
      <c r="J6462" s="48" t="s">
        <v>56716</v>
      </c>
      <c r="K6462" s="50" t="s">
        <v>56716</v>
      </c>
      <c r="L6462" s="48" t="s">
        <v>56716</v>
      </c>
    </row>
    <row r="6463" spans="1:12" ht="11.25" x14ac:dyDescent="0.2">
      <c r="A6463" s="46" t="s">
        <v>3273</v>
      </c>
      <c r="B6463" s="46" t="s">
        <v>54848</v>
      </c>
      <c r="C6463" s="58" t="str">
        <f>"09116028"</f>
        <v>09116028</v>
      </c>
      <c r="D6463" s="58" t="str">
        <f>"16139674"</f>
        <v>16139674</v>
      </c>
      <c r="E6463" s="46" t="s">
        <v>23335</v>
      </c>
      <c r="F6463" s="46" t="s">
        <v>18242</v>
      </c>
      <c r="G6463" s="46" t="s">
        <v>50584</v>
      </c>
      <c r="H6463" s="48" t="s">
        <v>56716</v>
      </c>
      <c r="I6463" s="48" t="s">
        <v>50564</v>
      </c>
      <c r="J6463" s="48"/>
      <c r="K6463" s="50" t="s">
        <v>56716</v>
      </c>
      <c r="L6463" s="48"/>
    </row>
    <row r="6464" spans="1:12" ht="11.25" x14ac:dyDescent="0.2">
      <c r="A6464" s="45" t="s">
        <v>43331</v>
      </c>
      <c r="B6464" s="45" t="s">
        <v>43333</v>
      </c>
      <c r="C6464" s="51" t="s">
        <v>43336</v>
      </c>
      <c r="D6464" s="51" t="s">
        <v>43335</v>
      </c>
      <c r="E6464" s="45" t="s">
        <v>91</v>
      </c>
      <c r="F6464" s="45" t="s">
        <v>17759</v>
      </c>
      <c r="G6464" s="45" t="s">
        <v>50584</v>
      </c>
      <c r="H6464" s="56"/>
      <c r="I6464" s="56" t="s">
        <v>50564</v>
      </c>
      <c r="J6464" s="56"/>
      <c r="K6464" s="57"/>
      <c r="L6464" s="56" t="s">
        <v>56716</v>
      </c>
    </row>
    <row r="6465" spans="1:12" ht="11.25" x14ac:dyDescent="0.2">
      <c r="A6465" s="46" t="s">
        <v>3884</v>
      </c>
      <c r="B6465" s="46" t="s">
        <v>54849</v>
      </c>
      <c r="C6465" s="58" t="str">
        <f>"02881012"</f>
        <v>02881012</v>
      </c>
      <c r="D6465" s="58" t="str">
        <f>""</f>
        <v/>
      </c>
      <c r="E6465" s="46" t="s">
        <v>3886</v>
      </c>
      <c r="F6465" s="46" t="s">
        <v>18242</v>
      </c>
      <c r="G6465" s="46" t="s">
        <v>50604</v>
      </c>
      <c r="H6465" s="48" t="s">
        <v>56716</v>
      </c>
      <c r="I6465" s="48" t="s">
        <v>50564</v>
      </c>
      <c r="J6465" s="48"/>
      <c r="K6465" s="57"/>
      <c r="L6465" s="48"/>
    </row>
    <row r="6466" spans="1:12" ht="11.25" x14ac:dyDescent="0.2">
      <c r="A6466" s="46" t="s">
        <v>3264</v>
      </c>
      <c r="B6466" s="46" t="s">
        <v>3264</v>
      </c>
      <c r="C6466" s="58" t="str">
        <f>"01676830"</f>
        <v>01676830</v>
      </c>
      <c r="D6466" s="58" t="str">
        <f>"17445108"</f>
        <v>17445108</v>
      </c>
      <c r="E6466" s="46" t="s">
        <v>291</v>
      </c>
      <c r="F6466" s="46" t="s">
        <v>50646</v>
      </c>
      <c r="G6466" s="46" t="s">
        <v>50584</v>
      </c>
      <c r="H6466" s="48" t="s">
        <v>56716</v>
      </c>
      <c r="I6466" s="48" t="s">
        <v>50564</v>
      </c>
      <c r="J6466" s="48"/>
      <c r="K6466" s="57"/>
      <c r="L6466" s="48" t="s">
        <v>56716</v>
      </c>
    </row>
    <row r="6467" spans="1:12" ht="11.25" x14ac:dyDescent="0.2">
      <c r="A6467" s="45" t="s">
        <v>43347</v>
      </c>
      <c r="B6467" s="45" t="s">
        <v>43349</v>
      </c>
      <c r="C6467" s="51" t="s">
        <v>43352</v>
      </c>
      <c r="D6467" s="51" t="s">
        <v>43351</v>
      </c>
      <c r="E6467" s="45" t="s">
        <v>6914</v>
      </c>
      <c r="F6467" s="45" t="s">
        <v>50646</v>
      </c>
      <c r="G6467" s="45" t="s">
        <v>50584</v>
      </c>
      <c r="H6467" s="56"/>
      <c r="I6467" s="56" t="s">
        <v>50564</v>
      </c>
      <c r="J6467" s="56"/>
      <c r="K6467" s="57"/>
      <c r="L6467" s="56" t="s">
        <v>56716</v>
      </c>
    </row>
    <row r="6468" spans="1:12" ht="11.25" x14ac:dyDescent="0.2">
      <c r="A6468" s="46" t="s">
        <v>16125</v>
      </c>
      <c r="B6468" s="46" t="s">
        <v>54850</v>
      </c>
      <c r="C6468" s="58" t="str">
        <f>""</f>
        <v/>
      </c>
      <c r="D6468" s="58" t="str">
        <f>"21912858"</f>
        <v>21912858</v>
      </c>
      <c r="E6468" s="46" t="s">
        <v>2299</v>
      </c>
      <c r="F6468" s="46" t="s">
        <v>18158</v>
      </c>
      <c r="G6468" s="46" t="s">
        <v>50584</v>
      </c>
      <c r="H6468" s="48" t="s">
        <v>56716</v>
      </c>
      <c r="I6468" s="48" t="s">
        <v>50564</v>
      </c>
      <c r="J6468" s="48" t="s">
        <v>56716</v>
      </c>
      <c r="K6468" s="57"/>
      <c r="L6468" s="48"/>
    </row>
    <row r="6469" spans="1:12" ht="11.25" x14ac:dyDescent="0.2">
      <c r="A6469" s="45" t="s">
        <v>43355</v>
      </c>
      <c r="B6469" s="45" t="s">
        <v>43357</v>
      </c>
      <c r="C6469" s="51" t="s">
        <v>43359</v>
      </c>
      <c r="D6469" s="51" t="s">
        <v>43358</v>
      </c>
      <c r="E6469" s="45" t="s">
        <v>776</v>
      </c>
      <c r="F6469" s="45" t="s">
        <v>17759</v>
      </c>
      <c r="G6469" s="45" t="s">
        <v>50584</v>
      </c>
      <c r="H6469" s="56"/>
      <c r="I6469" s="56" t="s">
        <v>50564</v>
      </c>
      <c r="J6469" s="56"/>
      <c r="K6469" s="57"/>
      <c r="L6469" s="56" t="s">
        <v>56716</v>
      </c>
    </row>
    <row r="6470" spans="1:12" ht="11.25" x14ac:dyDescent="0.2">
      <c r="A6470" s="46" t="s">
        <v>10373</v>
      </c>
      <c r="B6470" s="46" t="s">
        <v>10373</v>
      </c>
      <c r="C6470" s="58" t="str">
        <f>"15476278"</f>
        <v>15476278</v>
      </c>
      <c r="D6470" s="58" t="str">
        <f>"15558592"</f>
        <v>15558592</v>
      </c>
      <c r="E6470" s="46" t="s">
        <v>669</v>
      </c>
      <c r="F6470" s="46" t="s">
        <v>17759</v>
      </c>
      <c r="G6470" s="46" t="s">
        <v>50584</v>
      </c>
      <c r="H6470" s="48" t="s">
        <v>56716</v>
      </c>
      <c r="I6470" s="48" t="s">
        <v>50564</v>
      </c>
      <c r="J6470" s="48"/>
      <c r="K6470" s="57"/>
      <c r="L6470" s="48" t="s">
        <v>56716</v>
      </c>
    </row>
    <row r="6471" spans="1:12" ht="11.25" x14ac:dyDescent="0.2">
      <c r="A6471" s="45" t="s">
        <v>43370</v>
      </c>
      <c r="B6471" s="45" t="s">
        <v>43370</v>
      </c>
      <c r="C6471" s="51" t="s">
        <v>43373</v>
      </c>
      <c r="D6471" s="51"/>
      <c r="E6471" s="45" t="s">
        <v>39529</v>
      </c>
      <c r="F6471" s="45" t="s">
        <v>17967</v>
      </c>
      <c r="G6471" s="45" t="s">
        <v>50591</v>
      </c>
      <c r="H6471" s="56"/>
      <c r="I6471" s="56" t="s">
        <v>50564</v>
      </c>
      <c r="J6471" s="56"/>
      <c r="K6471" s="57"/>
      <c r="L6471" s="56" t="s">
        <v>56716</v>
      </c>
    </row>
    <row r="6472" spans="1:12" ht="11.25" x14ac:dyDescent="0.2">
      <c r="A6472" s="46" t="s">
        <v>15791</v>
      </c>
      <c r="B6472" s="46" t="s">
        <v>54851</v>
      </c>
      <c r="C6472" s="58" t="str">
        <f>"15982386"</f>
        <v>15982386</v>
      </c>
      <c r="D6472" s="58" t="str">
        <f>"22111069"</f>
        <v>22111069</v>
      </c>
      <c r="E6472" s="46" t="s">
        <v>18876</v>
      </c>
      <c r="F6472" s="46" t="s">
        <v>18001</v>
      </c>
      <c r="G6472" s="46" t="s">
        <v>50584</v>
      </c>
      <c r="H6472" s="48" t="s">
        <v>56716</v>
      </c>
      <c r="I6472" s="48" t="s">
        <v>50564</v>
      </c>
      <c r="J6472" s="48" t="s">
        <v>56716</v>
      </c>
      <c r="K6472" s="57"/>
      <c r="L6472" s="48"/>
    </row>
    <row r="6473" spans="1:12" ht="11.25" x14ac:dyDescent="0.2">
      <c r="A6473" s="45" t="s">
        <v>43375</v>
      </c>
      <c r="B6473" s="45" t="s">
        <v>43377</v>
      </c>
      <c r="C6473" s="51" t="s">
        <v>43380</v>
      </c>
      <c r="D6473" s="51" t="s">
        <v>43379</v>
      </c>
      <c r="E6473" s="45" t="s">
        <v>27520</v>
      </c>
      <c r="F6473" s="45" t="s">
        <v>18001</v>
      </c>
      <c r="G6473" s="45" t="s">
        <v>50584</v>
      </c>
      <c r="H6473" s="56"/>
      <c r="I6473" s="56" t="s">
        <v>50564</v>
      </c>
      <c r="J6473" s="56"/>
      <c r="K6473" s="57"/>
      <c r="L6473" s="56" t="s">
        <v>56716</v>
      </c>
    </row>
    <row r="6474" spans="1:12" ht="11.25" x14ac:dyDescent="0.2">
      <c r="A6474" s="46" t="s">
        <v>3270</v>
      </c>
      <c r="B6474" s="46" t="s">
        <v>3270</v>
      </c>
      <c r="C6474" s="58" t="str">
        <f>"03011569"</f>
        <v>03011569</v>
      </c>
      <c r="D6474" s="58" t="str">
        <f>"14230275"</f>
        <v>14230275</v>
      </c>
      <c r="E6474" s="46" t="s">
        <v>109</v>
      </c>
      <c r="F6474" s="46" t="s">
        <v>18123</v>
      </c>
      <c r="G6474" s="46" t="s">
        <v>50584</v>
      </c>
      <c r="H6474" s="48" t="s">
        <v>56716</v>
      </c>
      <c r="I6474" s="48" t="s">
        <v>50564</v>
      </c>
      <c r="J6474" s="48" t="s">
        <v>56716</v>
      </c>
      <c r="K6474" s="50" t="s">
        <v>56716</v>
      </c>
      <c r="L6474" s="48" t="s">
        <v>56716</v>
      </c>
    </row>
    <row r="6475" spans="1:12" ht="11.25" x14ac:dyDescent="0.2">
      <c r="A6475" s="45" t="s">
        <v>43387</v>
      </c>
      <c r="B6475" s="45" t="s">
        <v>43389</v>
      </c>
      <c r="C6475" s="51" t="s">
        <v>43391</v>
      </c>
      <c r="D6475" s="51"/>
      <c r="E6475" s="45" t="s">
        <v>43392</v>
      </c>
      <c r="F6475" s="45" t="s">
        <v>17759</v>
      </c>
      <c r="G6475" s="45" t="s">
        <v>50584</v>
      </c>
      <c r="H6475" s="56"/>
      <c r="I6475" s="56" t="s">
        <v>50564</v>
      </c>
      <c r="J6475" s="56"/>
      <c r="K6475" s="57"/>
      <c r="L6475" s="56" t="s">
        <v>56716</v>
      </c>
    </row>
    <row r="6476" spans="1:12" ht="11.25" x14ac:dyDescent="0.2">
      <c r="A6476" s="45" t="s">
        <v>43395</v>
      </c>
      <c r="B6476" s="45" t="s">
        <v>43397</v>
      </c>
      <c r="C6476" s="51" t="s">
        <v>43399</v>
      </c>
      <c r="D6476" s="51"/>
      <c r="E6476" s="45" t="s">
        <v>43400</v>
      </c>
      <c r="F6476" s="45" t="s">
        <v>18959</v>
      </c>
      <c r="G6476" s="45" t="s">
        <v>50590</v>
      </c>
      <c r="H6476" s="56"/>
      <c r="I6476" s="56" t="s">
        <v>50564</v>
      </c>
      <c r="J6476" s="56"/>
      <c r="K6476" s="57"/>
      <c r="L6476" s="56" t="s">
        <v>56716</v>
      </c>
    </row>
    <row r="6477" spans="1:12" ht="11.25" x14ac:dyDescent="0.2">
      <c r="A6477" s="46" t="s">
        <v>56245</v>
      </c>
      <c r="B6477" s="46" t="s">
        <v>56246</v>
      </c>
      <c r="C6477" s="58" t="str">
        <f>""</f>
        <v/>
      </c>
      <c r="D6477" s="58" t="str">
        <f>"22306161"</f>
        <v>22306161</v>
      </c>
      <c r="E6477" s="46" t="s">
        <v>11079</v>
      </c>
      <c r="F6477" s="46" t="s">
        <v>19483</v>
      </c>
      <c r="G6477" s="46" t="s">
        <v>50584</v>
      </c>
      <c r="H6477" s="48" t="s">
        <v>56716</v>
      </c>
      <c r="I6477" s="48" t="s">
        <v>50564</v>
      </c>
      <c r="J6477" s="48"/>
      <c r="K6477" s="57"/>
      <c r="L6477" s="48"/>
    </row>
    <row r="6478" spans="1:12" ht="11.25" x14ac:dyDescent="0.2">
      <c r="A6478" s="46" t="s">
        <v>11677</v>
      </c>
      <c r="B6478" s="46" t="s">
        <v>54852</v>
      </c>
      <c r="C6478" s="58" t="str">
        <f>""</f>
        <v/>
      </c>
      <c r="D6478" s="58" t="str">
        <f>"17501172"</f>
        <v>17501172</v>
      </c>
      <c r="E6478" s="46" t="s">
        <v>2299</v>
      </c>
      <c r="F6478" s="46" t="s">
        <v>50646</v>
      </c>
      <c r="G6478" s="46" t="s">
        <v>50584</v>
      </c>
      <c r="H6478" s="48" t="s">
        <v>56716</v>
      </c>
      <c r="I6478" s="48" t="s">
        <v>50564</v>
      </c>
      <c r="J6478" s="48"/>
      <c r="K6478" s="50" t="s">
        <v>56716</v>
      </c>
      <c r="L6478" s="48" t="s">
        <v>56716</v>
      </c>
    </row>
    <row r="6479" spans="1:12" ht="11.25" x14ac:dyDescent="0.2">
      <c r="A6479" s="45" t="s">
        <v>43406</v>
      </c>
      <c r="B6479" s="45" t="s">
        <v>43408</v>
      </c>
      <c r="C6479" s="51" t="s">
        <v>43411</v>
      </c>
      <c r="D6479" s="51" t="s">
        <v>43410</v>
      </c>
      <c r="E6479" s="45" t="s">
        <v>50</v>
      </c>
      <c r="F6479" s="45" t="s">
        <v>50646</v>
      </c>
      <c r="G6479" s="45" t="s">
        <v>50584</v>
      </c>
      <c r="H6479" s="56"/>
      <c r="I6479" s="56" t="s">
        <v>50564</v>
      </c>
      <c r="J6479" s="56"/>
      <c r="K6479" s="57"/>
      <c r="L6479" s="56" t="s">
        <v>56716</v>
      </c>
    </row>
    <row r="6480" spans="1:12" ht="11.25" x14ac:dyDescent="0.2">
      <c r="A6480" s="45" t="s">
        <v>43413</v>
      </c>
      <c r="B6480" s="45" t="s">
        <v>43415</v>
      </c>
      <c r="C6480" s="51" t="s">
        <v>43418</v>
      </c>
      <c r="D6480" s="51" t="s">
        <v>43417</v>
      </c>
      <c r="E6480" s="45" t="s">
        <v>28691</v>
      </c>
      <c r="F6480" s="45" t="s">
        <v>17759</v>
      </c>
      <c r="G6480" s="45" t="s">
        <v>50584</v>
      </c>
      <c r="H6480" s="56"/>
      <c r="I6480" s="56" t="s">
        <v>50564</v>
      </c>
      <c r="J6480" s="56"/>
      <c r="K6480" s="57"/>
      <c r="L6480" s="56" t="s">
        <v>56716</v>
      </c>
    </row>
    <row r="6481" spans="1:12" ht="11.25" x14ac:dyDescent="0.2">
      <c r="A6481" s="46" t="s">
        <v>17544</v>
      </c>
      <c r="B6481" s="46" t="s">
        <v>54853</v>
      </c>
      <c r="C6481" s="58" t="str">
        <f>"23259671"</f>
        <v>23259671</v>
      </c>
      <c r="D6481" s="58" t="str">
        <f>"23259671"</f>
        <v>23259671</v>
      </c>
      <c r="E6481" s="46" t="s">
        <v>97</v>
      </c>
      <c r="F6481" s="46" t="s">
        <v>50646</v>
      </c>
      <c r="G6481" s="46" t="s">
        <v>50584</v>
      </c>
      <c r="H6481" s="48" t="s">
        <v>56716</v>
      </c>
      <c r="I6481" s="48" t="s">
        <v>50564</v>
      </c>
      <c r="J6481" s="48" t="s">
        <v>56716</v>
      </c>
      <c r="K6481" s="57"/>
      <c r="L6481" s="48"/>
    </row>
    <row r="6482" spans="1:12" ht="11.25" x14ac:dyDescent="0.2">
      <c r="A6482" s="45" t="s">
        <v>43441</v>
      </c>
      <c r="B6482" s="45" t="s">
        <v>43443</v>
      </c>
      <c r="C6482" s="51" t="s">
        <v>43445</v>
      </c>
      <c r="D6482" s="51" t="s">
        <v>43444</v>
      </c>
      <c r="E6482" s="45" t="s">
        <v>56637</v>
      </c>
      <c r="F6482" s="45" t="s">
        <v>20082</v>
      </c>
      <c r="G6482" s="45" t="s">
        <v>50584</v>
      </c>
      <c r="H6482" s="56"/>
      <c r="I6482" s="56" t="s">
        <v>50564</v>
      </c>
      <c r="J6482" s="56"/>
      <c r="K6482" s="57"/>
      <c r="L6482" s="56" t="s">
        <v>56716</v>
      </c>
    </row>
    <row r="6483" spans="1:12" ht="11.25" x14ac:dyDescent="0.2">
      <c r="A6483" s="46" t="s">
        <v>12898</v>
      </c>
      <c r="B6483" s="46" t="s">
        <v>54854</v>
      </c>
      <c r="C6483" s="58" t="str">
        <f>"18771327"</f>
        <v>18771327</v>
      </c>
      <c r="D6483" s="58" t="str">
        <f>"18771335"</f>
        <v>18771335</v>
      </c>
      <c r="E6483" s="46" t="s">
        <v>831</v>
      </c>
      <c r="F6483" s="46" t="s">
        <v>50646</v>
      </c>
      <c r="G6483" s="46" t="s">
        <v>50584</v>
      </c>
      <c r="H6483" s="48" t="s">
        <v>56716</v>
      </c>
      <c r="I6483" s="48" t="s">
        <v>50564</v>
      </c>
      <c r="J6483" s="48" t="s">
        <v>56716</v>
      </c>
      <c r="K6483" s="50" t="s">
        <v>56716</v>
      </c>
      <c r="L6483" s="48"/>
    </row>
    <row r="6484" spans="1:12" ht="11.25" x14ac:dyDescent="0.2">
      <c r="A6484" s="46" t="s">
        <v>13397</v>
      </c>
      <c r="B6484" s="46" t="s">
        <v>54855</v>
      </c>
      <c r="C6484" s="58" t="str">
        <f>"18770568"</f>
        <v>18770568</v>
      </c>
      <c r="D6484" s="58" t="str">
        <f>"18770568"</f>
        <v>18770568</v>
      </c>
      <c r="E6484" s="46" t="s">
        <v>85</v>
      </c>
      <c r="F6484" s="46" t="s">
        <v>20359</v>
      </c>
      <c r="G6484" s="46" t="s">
        <v>50584</v>
      </c>
      <c r="H6484" s="48" t="s">
        <v>56716</v>
      </c>
      <c r="I6484" s="48" t="s">
        <v>50564</v>
      </c>
      <c r="J6484" s="48" t="s">
        <v>56716</v>
      </c>
      <c r="K6484" s="50" t="s">
        <v>56716</v>
      </c>
      <c r="L6484" s="48" t="s">
        <v>56716</v>
      </c>
    </row>
    <row r="6485" spans="1:12" ht="11.25" x14ac:dyDescent="0.2">
      <c r="A6485" s="46" t="s">
        <v>3237</v>
      </c>
      <c r="B6485" s="46" t="s">
        <v>54856</v>
      </c>
      <c r="C6485" s="58" t="str">
        <f>"00305898"</f>
        <v>00305898</v>
      </c>
      <c r="D6485" s="58" t="str">
        <f>"15581373"</f>
        <v>15581373</v>
      </c>
      <c r="E6485" s="46" t="s">
        <v>303</v>
      </c>
      <c r="F6485" s="46" t="s">
        <v>17759</v>
      </c>
      <c r="G6485" s="46" t="s">
        <v>50584</v>
      </c>
      <c r="H6485" s="48" t="s">
        <v>56716</v>
      </c>
      <c r="I6485" s="48" t="s">
        <v>50564</v>
      </c>
      <c r="J6485" s="48" t="s">
        <v>56716</v>
      </c>
      <c r="K6485" s="50" t="s">
        <v>56716</v>
      </c>
      <c r="L6485" s="48" t="s">
        <v>56716</v>
      </c>
    </row>
    <row r="6486" spans="1:12" ht="11.25" x14ac:dyDescent="0.2">
      <c r="A6486" s="45" t="s">
        <v>56638</v>
      </c>
      <c r="B6486" s="45" t="s">
        <v>43434</v>
      </c>
      <c r="C6486" s="51" t="s">
        <v>43437</v>
      </c>
      <c r="D6486" s="51" t="s">
        <v>43436</v>
      </c>
      <c r="E6486" s="45" t="s">
        <v>43438</v>
      </c>
      <c r="F6486" s="45" t="s">
        <v>17759</v>
      </c>
      <c r="G6486" s="45" t="s">
        <v>50584</v>
      </c>
      <c r="H6486" s="56"/>
      <c r="I6486" s="56" t="s">
        <v>50564</v>
      </c>
      <c r="J6486" s="56"/>
      <c r="K6486" s="57"/>
      <c r="L6486" s="56" t="s">
        <v>56716</v>
      </c>
    </row>
    <row r="6487" spans="1:12" ht="11.25" x14ac:dyDescent="0.2">
      <c r="A6487" s="46" t="s">
        <v>16885</v>
      </c>
      <c r="B6487" s="46" t="s">
        <v>54857</v>
      </c>
      <c r="C6487" s="58" t="str">
        <f>"20358237"</f>
        <v>20358237</v>
      </c>
      <c r="D6487" s="58" t="str">
        <f>"20358164"</f>
        <v>20358164</v>
      </c>
      <c r="E6487" s="46" t="s">
        <v>1949</v>
      </c>
      <c r="F6487" s="46" t="s">
        <v>17991</v>
      </c>
      <c r="G6487" s="46" t="s">
        <v>50584</v>
      </c>
      <c r="H6487" s="48" t="s">
        <v>56716</v>
      </c>
      <c r="I6487" s="48" t="s">
        <v>50564</v>
      </c>
      <c r="J6487" s="48"/>
      <c r="K6487" s="57"/>
      <c r="L6487" s="48"/>
    </row>
    <row r="6488" spans="1:12" ht="11.25" x14ac:dyDescent="0.2">
      <c r="A6488" s="46" t="s">
        <v>3276</v>
      </c>
      <c r="B6488" s="46" t="s">
        <v>3276</v>
      </c>
      <c r="C6488" s="58" t="str">
        <f>"01477447"</f>
        <v>01477447</v>
      </c>
      <c r="D6488" s="58" t="str">
        <f>"19382367"</f>
        <v>19382367</v>
      </c>
      <c r="E6488" s="46" t="s">
        <v>2688</v>
      </c>
      <c r="F6488" s="46" t="s">
        <v>17759</v>
      </c>
      <c r="G6488" s="46" t="s">
        <v>50584</v>
      </c>
      <c r="H6488" s="48" t="s">
        <v>56716</v>
      </c>
      <c r="I6488" s="48" t="s">
        <v>50564</v>
      </c>
      <c r="J6488" s="48"/>
      <c r="K6488" s="57"/>
      <c r="L6488" s="48" t="s">
        <v>56716</v>
      </c>
    </row>
    <row r="6489" spans="1:12" ht="11.25" x14ac:dyDescent="0.2">
      <c r="A6489" s="45" t="s">
        <v>43460</v>
      </c>
      <c r="B6489" s="45" t="s">
        <v>43462</v>
      </c>
      <c r="C6489" s="51" t="s">
        <v>43464</v>
      </c>
      <c r="D6489" s="51" t="s">
        <v>43463</v>
      </c>
      <c r="E6489" s="45" t="s">
        <v>43465</v>
      </c>
      <c r="F6489" s="45" t="s">
        <v>17967</v>
      </c>
      <c r="G6489" s="45" t="s">
        <v>50611</v>
      </c>
      <c r="H6489" s="56"/>
      <c r="I6489" s="56" t="s">
        <v>50564</v>
      </c>
      <c r="J6489" s="56"/>
      <c r="K6489" s="57"/>
      <c r="L6489" s="56" t="s">
        <v>56716</v>
      </c>
    </row>
    <row r="6490" spans="1:12" ht="11.25" x14ac:dyDescent="0.2">
      <c r="A6490" s="46" t="s">
        <v>3267</v>
      </c>
      <c r="B6490" s="46" t="s">
        <v>54858</v>
      </c>
      <c r="C6490" s="58" t="str">
        <f>"00306002"</f>
        <v>00306002</v>
      </c>
      <c r="D6490" s="58" t="str">
        <f>"17886120"</f>
        <v>17886120</v>
      </c>
      <c r="E6490" s="46" t="s">
        <v>79</v>
      </c>
      <c r="F6490" s="45" t="s">
        <v>17976</v>
      </c>
      <c r="G6490" s="46" t="s">
        <v>50600</v>
      </c>
      <c r="H6490" s="48" t="s">
        <v>56716</v>
      </c>
      <c r="I6490" s="48" t="s">
        <v>50564</v>
      </c>
      <c r="J6490" s="48"/>
      <c r="K6490" s="57"/>
      <c r="L6490" s="48" t="s">
        <v>56716</v>
      </c>
    </row>
    <row r="6491" spans="1:12" ht="11.25" x14ac:dyDescent="0.2">
      <c r="A6491" s="45" t="s">
        <v>43474</v>
      </c>
      <c r="B6491" s="45" t="s">
        <v>43476</v>
      </c>
      <c r="C6491" s="51" t="s">
        <v>43478</v>
      </c>
      <c r="D6491" s="51"/>
      <c r="E6491" s="45" t="s">
        <v>43479</v>
      </c>
      <c r="F6491" s="45" t="s">
        <v>17976</v>
      </c>
      <c r="G6491" s="45" t="s">
        <v>50600</v>
      </c>
      <c r="H6491" s="56"/>
      <c r="I6491" s="56" t="s">
        <v>50564</v>
      </c>
      <c r="J6491" s="56"/>
      <c r="K6491" s="57"/>
      <c r="L6491" s="56" t="s">
        <v>56716</v>
      </c>
    </row>
    <row r="6492" spans="1:12" ht="11.25" x14ac:dyDescent="0.2">
      <c r="A6492" s="45" t="s">
        <v>43481</v>
      </c>
      <c r="B6492" s="45" t="s">
        <v>43483</v>
      </c>
      <c r="C6492" s="51" t="s">
        <v>43484</v>
      </c>
      <c r="D6492" s="51"/>
      <c r="E6492" s="45" t="s">
        <v>43485</v>
      </c>
      <c r="F6492" s="45" t="s">
        <v>18242</v>
      </c>
      <c r="G6492" s="45" t="s">
        <v>50584</v>
      </c>
      <c r="H6492" s="56"/>
      <c r="I6492" s="56" t="s">
        <v>50564</v>
      </c>
      <c r="J6492" s="56"/>
      <c r="K6492" s="57"/>
      <c r="L6492" s="56" t="s">
        <v>56716</v>
      </c>
    </row>
    <row r="6493" spans="1:12" ht="11.25" x14ac:dyDescent="0.2">
      <c r="A6493" s="45" t="s">
        <v>43487</v>
      </c>
      <c r="B6493" s="45" t="s">
        <v>43487</v>
      </c>
      <c r="C6493" s="51" t="s">
        <v>43489</v>
      </c>
      <c r="D6493" s="51"/>
      <c r="E6493" s="45" t="s">
        <v>43490</v>
      </c>
      <c r="F6493" s="45" t="s">
        <v>17759</v>
      </c>
      <c r="G6493" s="45" t="s">
        <v>50584</v>
      </c>
      <c r="H6493" s="56"/>
      <c r="I6493" s="56" t="s">
        <v>50564</v>
      </c>
      <c r="J6493" s="56"/>
      <c r="K6493" s="57"/>
      <c r="L6493" s="56" t="s">
        <v>56716</v>
      </c>
    </row>
    <row r="6494" spans="1:12" ht="11.25" x14ac:dyDescent="0.2">
      <c r="A6494" s="46" t="s">
        <v>15377</v>
      </c>
      <c r="B6494" s="46" t="s">
        <v>54859</v>
      </c>
      <c r="C6494" s="58" t="str">
        <f>"22109099"</f>
        <v>22109099</v>
      </c>
      <c r="D6494" s="58" t="str">
        <f>"22109110"</f>
        <v>22109110</v>
      </c>
      <c r="E6494" s="46" t="s">
        <v>91</v>
      </c>
      <c r="F6494" s="46" t="s">
        <v>18001</v>
      </c>
      <c r="G6494" s="46" t="s">
        <v>50584</v>
      </c>
      <c r="H6494" s="48" t="s">
        <v>56716</v>
      </c>
      <c r="I6494" s="48" t="s">
        <v>50564</v>
      </c>
      <c r="J6494" s="48" t="s">
        <v>56716</v>
      </c>
      <c r="K6494" s="50" t="s">
        <v>56716</v>
      </c>
      <c r="L6494" s="48"/>
    </row>
    <row r="6495" spans="1:12" ht="11.25" x14ac:dyDescent="0.2">
      <c r="A6495" s="46" t="s">
        <v>6093</v>
      </c>
      <c r="B6495" s="46" t="s">
        <v>43494</v>
      </c>
      <c r="C6495" s="58" t="str">
        <f>"10634584"</f>
        <v>10634584</v>
      </c>
      <c r="D6495" s="58" t="str">
        <f>"15229653"</f>
        <v>15229653</v>
      </c>
      <c r="E6495" s="46" t="s">
        <v>1177</v>
      </c>
      <c r="F6495" s="46" t="s">
        <v>50646</v>
      </c>
      <c r="G6495" s="46" t="s">
        <v>50584</v>
      </c>
      <c r="H6495" s="48" t="s">
        <v>56716</v>
      </c>
      <c r="I6495" s="48" t="s">
        <v>50564</v>
      </c>
      <c r="J6495" s="48" t="s">
        <v>56716</v>
      </c>
      <c r="K6495" s="50" t="s">
        <v>56716</v>
      </c>
      <c r="L6495" s="48" t="s">
        <v>56716</v>
      </c>
    </row>
    <row r="6496" spans="1:12" ht="11.25" x14ac:dyDescent="0.2">
      <c r="A6496" s="46" t="s">
        <v>9183</v>
      </c>
      <c r="B6496" s="46" t="s">
        <v>54860</v>
      </c>
      <c r="C6496" s="58" t="str">
        <f>"12113778"</f>
        <v>12113778</v>
      </c>
      <c r="D6496" s="58" t="str">
        <f>""</f>
        <v/>
      </c>
      <c r="E6496" s="46" t="s">
        <v>8720</v>
      </c>
      <c r="F6496" s="46" t="s">
        <v>18025</v>
      </c>
      <c r="G6496" s="46" t="s">
        <v>50587</v>
      </c>
      <c r="H6496" s="48" t="s">
        <v>56716</v>
      </c>
      <c r="I6496" s="48" t="s">
        <v>50564</v>
      </c>
      <c r="J6496" s="48"/>
      <c r="K6496" s="57"/>
      <c r="L6496" s="48"/>
    </row>
    <row r="6497" spans="1:12" ht="11.25" x14ac:dyDescent="0.2">
      <c r="A6497" s="46" t="s">
        <v>6261</v>
      </c>
      <c r="B6497" s="46" t="s">
        <v>6261</v>
      </c>
      <c r="C6497" s="58" t="str">
        <f>"10191291"</f>
        <v>10191291</v>
      </c>
      <c r="D6497" s="58" t="str">
        <f>""</f>
        <v/>
      </c>
      <c r="E6497" s="46" t="s">
        <v>1758</v>
      </c>
      <c r="F6497" s="46" t="s">
        <v>18158</v>
      </c>
      <c r="G6497" s="46" t="s">
        <v>50593</v>
      </c>
      <c r="H6497" s="48" t="s">
        <v>56716</v>
      </c>
      <c r="I6497" s="48" t="s">
        <v>50564</v>
      </c>
      <c r="J6497" s="48"/>
      <c r="K6497" s="57"/>
      <c r="L6497" s="48"/>
    </row>
    <row r="6498" spans="1:12" ht="11.25" x14ac:dyDescent="0.2">
      <c r="A6498" s="46" t="s">
        <v>13827</v>
      </c>
      <c r="B6498" s="46" t="s">
        <v>54861</v>
      </c>
      <c r="C6498" s="58" t="str">
        <f>"1877573X"</f>
        <v>1877573X</v>
      </c>
      <c r="D6498" s="58" t="str">
        <f>""</f>
        <v/>
      </c>
      <c r="E6498" s="46" t="s">
        <v>272</v>
      </c>
      <c r="F6498" s="46" t="s">
        <v>17759</v>
      </c>
      <c r="G6498" s="46" t="s">
        <v>50584</v>
      </c>
      <c r="H6498" s="48" t="s">
        <v>56716</v>
      </c>
      <c r="I6498" s="48" t="s">
        <v>50564</v>
      </c>
      <c r="J6498" s="48" t="s">
        <v>56716</v>
      </c>
      <c r="K6498" s="57"/>
      <c r="L6498" s="48"/>
    </row>
    <row r="6499" spans="1:12" ht="11.25" x14ac:dyDescent="0.2">
      <c r="A6499" s="46" t="s">
        <v>8677</v>
      </c>
      <c r="B6499" s="46" t="s">
        <v>54862</v>
      </c>
      <c r="C6499" s="58" t="str">
        <f>"16159071"</f>
        <v>16159071</v>
      </c>
      <c r="D6499" s="58" t="str">
        <f>"16118928"</f>
        <v>16118928</v>
      </c>
      <c r="E6499" s="46" t="s">
        <v>241</v>
      </c>
      <c r="F6499" s="46" t="s">
        <v>18158</v>
      </c>
      <c r="G6499" s="46" t="s">
        <v>50592</v>
      </c>
      <c r="H6499" s="48" t="s">
        <v>56716</v>
      </c>
      <c r="I6499" s="48" t="s">
        <v>50564</v>
      </c>
      <c r="J6499" s="48"/>
      <c r="K6499" s="57"/>
      <c r="L6499" s="48"/>
    </row>
    <row r="6500" spans="1:12" ht="11.25" x14ac:dyDescent="0.2">
      <c r="A6500" s="46" t="s">
        <v>5572</v>
      </c>
      <c r="B6500" s="46" t="s">
        <v>54863</v>
      </c>
      <c r="C6500" s="58" t="str">
        <f>"0937941X"</f>
        <v>0937941X</v>
      </c>
      <c r="D6500" s="58" t="str">
        <f>"14332965"</f>
        <v>14332965</v>
      </c>
      <c r="E6500" s="46" t="s">
        <v>56002</v>
      </c>
      <c r="F6500" s="46" t="s">
        <v>50646</v>
      </c>
      <c r="G6500" s="46" t="s">
        <v>50584</v>
      </c>
      <c r="H6500" s="48" t="s">
        <v>56716</v>
      </c>
      <c r="I6500" s="48" t="s">
        <v>50564</v>
      </c>
      <c r="J6500" s="48" t="s">
        <v>56716</v>
      </c>
      <c r="K6500" s="50" t="s">
        <v>56716</v>
      </c>
      <c r="L6500" s="48" t="s">
        <v>56716</v>
      </c>
    </row>
    <row r="6501" spans="1:12" ht="11.25" x14ac:dyDescent="0.2">
      <c r="A6501" s="45" t="s">
        <v>43501</v>
      </c>
      <c r="B6501" s="45" t="s">
        <v>43503</v>
      </c>
      <c r="C6501" s="51" t="s">
        <v>43506</v>
      </c>
      <c r="D6501" s="51" t="s">
        <v>43505</v>
      </c>
      <c r="E6501" s="45" t="s">
        <v>43507</v>
      </c>
      <c r="F6501" s="45" t="s">
        <v>17759</v>
      </c>
      <c r="G6501" s="45" t="s">
        <v>50584</v>
      </c>
      <c r="H6501" s="56"/>
      <c r="I6501" s="56" t="s">
        <v>50564</v>
      </c>
      <c r="J6501" s="56"/>
      <c r="K6501" s="57"/>
      <c r="L6501" s="56" t="s">
        <v>56716</v>
      </c>
    </row>
    <row r="6502" spans="1:12" ht="11.25" x14ac:dyDescent="0.2">
      <c r="A6502" s="46" t="s">
        <v>9450</v>
      </c>
      <c r="B6502" s="46" t="s">
        <v>54864</v>
      </c>
      <c r="C6502" s="58" t="str">
        <f>"15394492"</f>
        <v>15394492</v>
      </c>
      <c r="D6502" s="58" t="str">
        <f>""</f>
        <v/>
      </c>
      <c r="E6502" s="46" t="s">
        <v>2688</v>
      </c>
      <c r="F6502" s="46" t="s">
        <v>17759</v>
      </c>
      <c r="G6502" s="46" t="s">
        <v>50584</v>
      </c>
      <c r="H6502" s="48" t="s">
        <v>56716</v>
      </c>
      <c r="I6502" s="48" t="s">
        <v>50564</v>
      </c>
      <c r="J6502" s="48"/>
      <c r="K6502" s="57"/>
      <c r="L6502" s="48" t="s">
        <v>56716</v>
      </c>
    </row>
    <row r="6503" spans="1:12" ht="11.25" x14ac:dyDescent="0.2">
      <c r="A6503" s="46" t="s">
        <v>3288</v>
      </c>
      <c r="B6503" s="46" t="s">
        <v>54865</v>
      </c>
      <c r="C6503" s="58" t="str">
        <f>"00306657"</f>
        <v>00306657</v>
      </c>
      <c r="D6503" s="58" t="str">
        <f>""</f>
        <v/>
      </c>
      <c r="E6503" s="46" t="s">
        <v>56270</v>
      </c>
      <c r="F6503" s="46" t="s">
        <v>17967</v>
      </c>
      <c r="G6503" s="46" t="s">
        <v>50612</v>
      </c>
      <c r="H6503" s="48" t="s">
        <v>56716</v>
      </c>
      <c r="I6503" s="48" t="s">
        <v>50564</v>
      </c>
      <c r="J6503" s="48"/>
      <c r="K6503" s="57"/>
      <c r="L6503" s="48" t="s">
        <v>56716</v>
      </c>
    </row>
    <row r="6504" spans="1:12" ht="11.25" x14ac:dyDescent="0.2">
      <c r="A6504" s="46" t="s">
        <v>3240</v>
      </c>
      <c r="B6504" s="46" t="s">
        <v>54866</v>
      </c>
      <c r="C6504" s="58" t="str">
        <f>"00306665"</f>
        <v>00306665</v>
      </c>
      <c r="D6504" s="58" t="str">
        <f>"15578259"</f>
        <v>15578259</v>
      </c>
      <c r="E6504" s="46" t="s">
        <v>303</v>
      </c>
      <c r="F6504" s="46" t="s">
        <v>17759</v>
      </c>
      <c r="G6504" s="46" t="s">
        <v>50584</v>
      </c>
      <c r="H6504" s="48" t="s">
        <v>56716</v>
      </c>
      <c r="I6504" s="48" t="s">
        <v>50564</v>
      </c>
      <c r="J6504" s="48"/>
      <c r="K6504" s="50" t="s">
        <v>56716</v>
      </c>
      <c r="L6504" s="48" t="s">
        <v>56716</v>
      </c>
    </row>
    <row r="6505" spans="1:12" ht="11.25" x14ac:dyDescent="0.2">
      <c r="A6505" s="46" t="s">
        <v>3285</v>
      </c>
      <c r="B6505" s="46" t="s">
        <v>54867</v>
      </c>
      <c r="C6505" s="58" t="str">
        <f>"01945998"</f>
        <v>01945998</v>
      </c>
      <c r="D6505" s="58" t="str">
        <f>"10976817"</f>
        <v>10976817</v>
      </c>
      <c r="E6505" s="46" t="s">
        <v>493</v>
      </c>
      <c r="F6505" s="46" t="s">
        <v>17759</v>
      </c>
      <c r="G6505" s="46" t="s">
        <v>50584</v>
      </c>
      <c r="H6505" s="48" t="s">
        <v>56716</v>
      </c>
      <c r="I6505" s="48" t="s">
        <v>50564</v>
      </c>
      <c r="J6505" s="48"/>
      <c r="K6505" s="57"/>
      <c r="L6505" s="48" t="s">
        <v>56716</v>
      </c>
    </row>
    <row r="6506" spans="1:12" ht="11.25" x14ac:dyDescent="0.2">
      <c r="A6506" s="45" t="s">
        <v>43525</v>
      </c>
      <c r="B6506" s="45" t="s">
        <v>43527</v>
      </c>
      <c r="C6506" s="51" t="s">
        <v>43530</v>
      </c>
      <c r="D6506" s="51" t="s">
        <v>43529</v>
      </c>
      <c r="E6506" s="45" t="s">
        <v>17758</v>
      </c>
      <c r="F6506" s="45" t="s">
        <v>17759</v>
      </c>
      <c r="G6506" s="45" t="s">
        <v>50584</v>
      </c>
      <c r="H6506" s="56"/>
      <c r="I6506" s="56" t="s">
        <v>50564</v>
      </c>
      <c r="J6506" s="56"/>
      <c r="K6506" s="57"/>
      <c r="L6506" s="56" t="s">
        <v>56716</v>
      </c>
    </row>
    <row r="6507" spans="1:12" ht="11.25" x14ac:dyDescent="0.2">
      <c r="A6507" s="46" t="s">
        <v>12092</v>
      </c>
      <c r="B6507" s="46" t="s">
        <v>12092</v>
      </c>
      <c r="C6507" s="58" t="str">
        <f>"17529360"</f>
        <v>17529360</v>
      </c>
      <c r="D6507" s="58" t="str">
        <f>""</f>
        <v/>
      </c>
      <c r="E6507" s="46" t="s">
        <v>8341</v>
      </c>
      <c r="F6507" s="46" t="s">
        <v>50646</v>
      </c>
      <c r="G6507" s="46" t="s">
        <v>50584</v>
      </c>
      <c r="H6507" s="48" t="s">
        <v>56716</v>
      </c>
      <c r="I6507" s="48" t="s">
        <v>50564</v>
      </c>
      <c r="J6507" s="48"/>
      <c r="K6507" s="57"/>
      <c r="L6507" s="48"/>
    </row>
    <row r="6508" spans="1:12" ht="11.25" x14ac:dyDescent="0.2">
      <c r="A6508" s="46" t="s">
        <v>14973</v>
      </c>
      <c r="B6508" s="46" t="s">
        <v>54868</v>
      </c>
      <c r="C6508" s="58" t="str">
        <f>"0975444X"</f>
        <v>0975444X</v>
      </c>
      <c r="D6508" s="58" t="str">
        <f>"09756957"</f>
        <v>09756957</v>
      </c>
      <c r="E6508" s="46" t="s">
        <v>14870</v>
      </c>
      <c r="F6508" s="46" t="s">
        <v>20446</v>
      </c>
      <c r="G6508" s="46" t="s">
        <v>50584</v>
      </c>
      <c r="H6508" s="48" t="s">
        <v>56716</v>
      </c>
      <c r="I6508" s="48" t="s">
        <v>50564</v>
      </c>
      <c r="J6508" s="48"/>
      <c r="K6508" s="57"/>
      <c r="L6508" s="48"/>
    </row>
    <row r="6509" spans="1:12" ht="11.25" x14ac:dyDescent="0.2">
      <c r="A6509" s="46" t="s">
        <v>2390</v>
      </c>
      <c r="B6509" s="46" t="s">
        <v>54869</v>
      </c>
      <c r="C6509" s="58" t="str">
        <f>"03869687"</f>
        <v>03869687</v>
      </c>
      <c r="D6509" s="58" t="str">
        <f>""</f>
        <v/>
      </c>
      <c r="E6509" s="46" t="s">
        <v>2392</v>
      </c>
      <c r="F6509" s="46" t="s">
        <v>18242</v>
      </c>
      <c r="G6509" s="46" t="s">
        <v>50604</v>
      </c>
      <c r="H6509" s="48" t="s">
        <v>56716</v>
      </c>
      <c r="I6509" s="48" t="s">
        <v>50564</v>
      </c>
      <c r="J6509" s="48"/>
      <c r="K6509" s="57"/>
      <c r="L6509" s="48"/>
    </row>
    <row r="6510" spans="1:12" ht="11.25" x14ac:dyDescent="0.2">
      <c r="A6510" s="46" t="s">
        <v>16127</v>
      </c>
      <c r="B6510" s="46" t="s">
        <v>54870</v>
      </c>
      <c r="C6510" s="58" t="str">
        <f>"21913188"</f>
        <v>21913188</v>
      </c>
      <c r="D6510" s="58" t="str">
        <f>"21913196"</f>
        <v>21913196</v>
      </c>
      <c r="E6510" s="46" t="s">
        <v>167</v>
      </c>
      <c r="F6510" s="46" t="s">
        <v>18158</v>
      </c>
      <c r="G6510" s="46" t="s">
        <v>50584</v>
      </c>
      <c r="H6510" s="48" t="s">
        <v>56716</v>
      </c>
      <c r="I6510" s="48" t="s">
        <v>50565</v>
      </c>
      <c r="J6510" s="48" t="s">
        <v>56716</v>
      </c>
      <c r="K6510" s="57"/>
      <c r="L6510" s="48"/>
    </row>
    <row r="6511" spans="1:12" ht="11.25" x14ac:dyDescent="0.2">
      <c r="A6511" s="46" t="s">
        <v>56039</v>
      </c>
      <c r="B6511" s="46" t="s">
        <v>56040</v>
      </c>
      <c r="C6511" s="58" t="str">
        <f>""</f>
        <v/>
      </c>
      <c r="D6511" s="58" t="str">
        <f>"20538855"</f>
        <v>20538855</v>
      </c>
      <c r="E6511" s="46" t="s">
        <v>55</v>
      </c>
      <c r="F6511" s="46" t="s">
        <v>50646</v>
      </c>
      <c r="G6511" s="46" t="s">
        <v>50584</v>
      </c>
      <c r="H6511" s="48" t="s">
        <v>56716</v>
      </c>
      <c r="I6511" s="48" t="s">
        <v>50564</v>
      </c>
      <c r="J6511" s="48" t="s">
        <v>56716</v>
      </c>
      <c r="K6511" s="57"/>
      <c r="L6511" s="48"/>
    </row>
    <row r="6512" spans="1:12" ht="11.25" x14ac:dyDescent="0.2">
      <c r="A6512" s="46" t="s">
        <v>13474</v>
      </c>
      <c r="B6512" s="46" t="s">
        <v>54871</v>
      </c>
      <c r="C6512" s="58" t="str">
        <f>"19420900"</f>
        <v>19420900</v>
      </c>
      <c r="D6512" s="58" t="str">
        <f>"19420994"</f>
        <v>19420994</v>
      </c>
      <c r="E6512" s="46" t="s">
        <v>1412</v>
      </c>
      <c r="F6512" s="46" t="s">
        <v>17759</v>
      </c>
      <c r="G6512" s="46" t="s">
        <v>50584</v>
      </c>
      <c r="H6512" s="48" t="s">
        <v>56716</v>
      </c>
      <c r="I6512" s="48" t="s">
        <v>50564</v>
      </c>
      <c r="J6512" s="48"/>
      <c r="K6512" s="57"/>
      <c r="L6512" s="48" t="s">
        <v>56716</v>
      </c>
    </row>
    <row r="6513" spans="1:12" ht="11.25" x14ac:dyDescent="0.2">
      <c r="A6513" s="46" t="s">
        <v>5384</v>
      </c>
      <c r="B6513" s="46" t="s">
        <v>54872</v>
      </c>
      <c r="C6513" s="58" t="str">
        <f>"10521372"</f>
        <v>10521372</v>
      </c>
      <c r="D6513" s="58" t="str">
        <f>""</f>
        <v/>
      </c>
      <c r="E6513" s="46" t="s">
        <v>5386</v>
      </c>
      <c r="F6513" s="46" t="s">
        <v>17759</v>
      </c>
      <c r="G6513" s="46" t="s">
        <v>50584</v>
      </c>
      <c r="H6513" s="48" t="s">
        <v>56716</v>
      </c>
      <c r="I6513" s="48" t="s">
        <v>50564</v>
      </c>
      <c r="J6513" s="48"/>
      <c r="K6513" s="57"/>
      <c r="L6513" s="48"/>
    </row>
    <row r="6514" spans="1:12" ht="11.25" x14ac:dyDescent="0.2">
      <c r="A6514" s="46" t="s">
        <v>3459</v>
      </c>
      <c r="B6514" s="46" t="s">
        <v>54873</v>
      </c>
      <c r="C6514" s="58" t="str">
        <f>"01478389"</f>
        <v>01478389</v>
      </c>
      <c r="D6514" s="58" t="str">
        <f>"15408159"</f>
        <v>15408159</v>
      </c>
      <c r="E6514" s="46" t="s">
        <v>548</v>
      </c>
      <c r="F6514" s="46" t="s">
        <v>17759</v>
      </c>
      <c r="G6514" s="46" t="s">
        <v>50584</v>
      </c>
      <c r="H6514" s="48" t="s">
        <v>56716</v>
      </c>
      <c r="I6514" s="48" t="s">
        <v>50564</v>
      </c>
      <c r="J6514" s="48"/>
      <c r="K6514" s="50" t="s">
        <v>56716</v>
      </c>
      <c r="L6514" s="48" t="s">
        <v>56716</v>
      </c>
    </row>
    <row r="6515" spans="1:12" ht="11.25" x14ac:dyDescent="0.2">
      <c r="A6515" s="45" t="s">
        <v>43537</v>
      </c>
      <c r="B6515" s="45" t="s">
        <v>43539</v>
      </c>
      <c r="C6515" s="51" t="s">
        <v>43540</v>
      </c>
      <c r="D6515" s="51"/>
      <c r="E6515" s="45" t="s">
        <v>43541</v>
      </c>
      <c r="F6515" s="45" t="s">
        <v>19483</v>
      </c>
      <c r="G6515" s="45" t="s">
        <v>50584</v>
      </c>
      <c r="H6515" s="56"/>
      <c r="I6515" s="56" t="s">
        <v>50564</v>
      </c>
      <c r="J6515" s="56"/>
      <c r="K6515" s="57"/>
      <c r="L6515" s="56" t="s">
        <v>56716</v>
      </c>
    </row>
    <row r="6516" spans="1:12" ht="11.25" x14ac:dyDescent="0.2">
      <c r="A6516" s="45" t="s">
        <v>43543</v>
      </c>
      <c r="B6516" s="45" t="s">
        <v>43545</v>
      </c>
      <c r="C6516" s="51" t="s">
        <v>43546</v>
      </c>
      <c r="D6516" s="51"/>
      <c r="E6516" s="45" t="s">
        <v>30375</v>
      </c>
      <c r="F6516" s="45" t="s">
        <v>17759</v>
      </c>
      <c r="G6516" s="45" t="s">
        <v>50584</v>
      </c>
      <c r="H6516" s="56"/>
      <c r="I6516" s="56" t="s">
        <v>50564</v>
      </c>
      <c r="J6516" s="56"/>
      <c r="K6516" s="57"/>
      <c r="L6516" s="56" t="s">
        <v>56716</v>
      </c>
    </row>
    <row r="6517" spans="1:12" ht="11.25" x14ac:dyDescent="0.2">
      <c r="A6517" s="46" t="s">
        <v>3297</v>
      </c>
      <c r="B6517" s="46" t="s">
        <v>54874</v>
      </c>
      <c r="C6517" s="58" t="str">
        <f>"00309346"</f>
        <v>00309346</v>
      </c>
      <c r="D6517" s="58" t="str">
        <f>""</f>
        <v/>
      </c>
      <c r="E6517" s="46" t="s">
        <v>1747</v>
      </c>
      <c r="F6517" s="46" t="s">
        <v>18158</v>
      </c>
      <c r="G6517" s="46" t="s">
        <v>50593</v>
      </c>
      <c r="H6517" s="48" t="s">
        <v>56716</v>
      </c>
      <c r="I6517" s="48" t="s">
        <v>50564</v>
      </c>
      <c r="J6517" s="48"/>
      <c r="K6517" s="57"/>
      <c r="L6517" s="48"/>
    </row>
    <row r="6518" spans="1:12" ht="11.25" x14ac:dyDescent="0.2">
      <c r="A6518" s="46" t="s">
        <v>6016</v>
      </c>
      <c r="B6518" s="46" t="s">
        <v>54875</v>
      </c>
      <c r="C6518" s="58" t="str">
        <f>"13301403"</f>
        <v>13301403</v>
      </c>
      <c r="D6518" s="58" t="str">
        <f>"1846405X"</f>
        <v>1846405X</v>
      </c>
      <c r="E6518" s="46" t="s">
        <v>6019</v>
      </c>
      <c r="F6518" s="46" t="s">
        <v>18079</v>
      </c>
      <c r="G6518" s="46" t="s">
        <v>50626</v>
      </c>
      <c r="H6518" s="48" t="s">
        <v>56716</v>
      </c>
      <c r="I6518" s="48" t="s">
        <v>50564</v>
      </c>
      <c r="J6518" s="48"/>
      <c r="K6518" s="57"/>
      <c r="L6518" s="48"/>
    </row>
    <row r="6519" spans="1:12" ht="11.25" x14ac:dyDescent="0.2">
      <c r="A6519" s="46" t="s">
        <v>12082</v>
      </c>
      <c r="B6519" s="46" t="s">
        <v>54875</v>
      </c>
      <c r="C6519" s="58" t="str">
        <f>"1330724X"</f>
        <v>1330724X</v>
      </c>
      <c r="D6519" s="58" t="str">
        <f>""</f>
        <v/>
      </c>
      <c r="E6519" s="46" t="s">
        <v>6019</v>
      </c>
      <c r="F6519" s="46" t="s">
        <v>18079</v>
      </c>
      <c r="G6519" s="46" t="s">
        <v>50626</v>
      </c>
      <c r="H6519" s="48" t="s">
        <v>56716</v>
      </c>
      <c r="I6519" s="48" t="s">
        <v>50564</v>
      </c>
      <c r="J6519" s="48"/>
      <c r="K6519" s="57"/>
      <c r="L6519" s="48"/>
    </row>
    <row r="6520" spans="1:12" ht="11.25" x14ac:dyDescent="0.2">
      <c r="A6520" s="46" t="s">
        <v>6986</v>
      </c>
      <c r="B6520" s="46" t="s">
        <v>54876</v>
      </c>
      <c r="C6520" s="58" t="str">
        <f>"11555645"</f>
        <v>11555645</v>
      </c>
      <c r="D6520" s="58" t="str">
        <f>"14609592"</f>
        <v>14609592</v>
      </c>
      <c r="E6520" s="46" t="s">
        <v>35</v>
      </c>
      <c r="F6520" s="46" t="s">
        <v>50646</v>
      </c>
      <c r="G6520" s="46" t="s">
        <v>50584</v>
      </c>
      <c r="H6520" s="48" t="s">
        <v>56716</v>
      </c>
      <c r="I6520" s="48" t="s">
        <v>50564</v>
      </c>
      <c r="J6520" s="48" t="s">
        <v>56716</v>
      </c>
      <c r="K6520" s="50" t="s">
        <v>56716</v>
      </c>
      <c r="L6520" s="48" t="s">
        <v>56716</v>
      </c>
    </row>
    <row r="6521" spans="1:12" ht="11.25" x14ac:dyDescent="0.2">
      <c r="A6521" s="46" t="s">
        <v>7901</v>
      </c>
      <c r="B6521" s="46" t="s">
        <v>54877</v>
      </c>
      <c r="C6521" s="58" t="str">
        <f>"14630095"</f>
        <v>14630095</v>
      </c>
      <c r="D6521" s="58" t="str">
        <f>"17444349"</f>
        <v>17444349</v>
      </c>
      <c r="E6521" s="46" t="s">
        <v>7904</v>
      </c>
      <c r="F6521" s="46" t="s">
        <v>50646</v>
      </c>
      <c r="G6521" s="46" t="s">
        <v>50584</v>
      </c>
      <c r="H6521" s="48" t="s">
        <v>56716</v>
      </c>
      <c r="I6521" s="48" t="s">
        <v>50564</v>
      </c>
      <c r="J6521" s="48"/>
      <c r="K6521" s="57"/>
      <c r="L6521" s="48"/>
    </row>
    <row r="6522" spans="1:12" ht="11.25" x14ac:dyDescent="0.2">
      <c r="A6522" s="46" t="s">
        <v>4460</v>
      </c>
      <c r="B6522" s="46" t="s">
        <v>54878</v>
      </c>
      <c r="C6522" s="58" t="str">
        <f>"02695022"</f>
        <v>02695022</v>
      </c>
      <c r="D6522" s="58" t="str">
        <f>"13653016"</f>
        <v>13653016</v>
      </c>
      <c r="E6522" s="46" t="s">
        <v>35</v>
      </c>
      <c r="F6522" s="46" t="s">
        <v>50646</v>
      </c>
      <c r="G6522" s="46" t="s">
        <v>50584</v>
      </c>
      <c r="H6522" s="48" t="s">
        <v>56716</v>
      </c>
      <c r="I6522" s="48" t="s">
        <v>50564</v>
      </c>
      <c r="J6522" s="48"/>
      <c r="K6522" s="50" t="s">
        <v>56716</v>
      </c>
      <c r="L6522" s="48" t="s">
        <v>56716</v>
      </c>
    </row>
    <row r="6523" spans="1:12" ht="11.25" x14ac:dyDescent="0.2">
      <c r="A6523" s="46" t="s">
        <v>8654</v>
      </c>
      <c r="B6523" s="46" t="s">
        <v>54879</v>
      </c>
      <c r="C6523" s="58" t="str">
        <f>"15260542"</f>
        <v>15260542</v>
      </c>
      <c r="D6523" s="58" t="str">
        <f>"15260550"</f>
        <v>15260550</v>
      </c>
      <c r="E6523" s="46" t="s">
        <v>1177</v>
      </c>
      <c r="F6523" s="46" t="s">
        <v>50646</v>
      </c>
      <c r="G6523" s="46" t="s">
        <v>50584</v>
      </c>
      <c r="H6523" s="48" t="s">
        <v>56716</v>
      </c>
      <c r="I6523" s="48" t="s">
        <v>50564</v>
      </c>
      <c r="J6523" s="48" t="s">
        <v>56716</v>
      </c>
      <c r="K6523" s="50" t="s">
        <v>56716</v>
      </c>
      <c r="L6523" s="48" t="s">
        <v>56716</v>
      </c>
    </row>
    <row r="6524" spans="1:12" ht="11.25" x14ac:dyDescent="0.2">
      <c r="A6524" s="46" t="s">
        <v>8297</v>
      </c>
      <c r="B6524" s="46" t="s">
        <v>54880</v>
      </c>
      <c r="C6524" s="58" t="str">
        <f>"12057088"</f>
        <v>12057088</v>
      </c>
      <c r="D6524" s="58" t="str">
        <f>""</f>
        <v/>
      </c>
      <c r="E6524" s="46" t="s">
        <v>1100</v>
      </c>
      <c r="F6524" s="46" t="s">
        <v>18959</v>
      </c>
      <c r="G6524" s="46" t="s">
        <v>50590</v>
      </c>
      <c r="H6524" s="48" t="s">
        <v>56716</v>
      </c>
      <c r="I6524" s="48" t="s">
        <v>50564</v>
      </c>
      <c r="J6524" s="48"/>
      <c r="K6524" s="57"/>
      <c r="L6524" s="48"/>
    </row>
    <row r="6525" spans="1:12" ht="11.25" x14ac:dyDescent="0.2">
      <c r="A6525" s="46" t="s">
        <v>11619</v>
      </c>
      <c r="B6525" s="46" t="s">
        <v>54880</v>
      </c>
      <c r="C6525" s="58" t="str">
        <f>"17517222"</f>
        <v>17517222</v>
      </c>
      <c r="D6525" s="58" t="str">
        <f>"1878206X"</f>
        <v>1878206X</v>
      </c>
      <c r="E6525" s="46" t="s">
        <v>831</v>
      </c>
      <c r="F6525" s="46" t="s">
        <v>50646</v>
      </c>
      <c r="G6525" s="46" t="s">
        <v>50584</v>
      </c>
      <c r="H6525" s="48" t="s">
        <v>56716</v>
      </c>
      <c r="I6525" s="48" t="s">
        <v>50564</v>
      </c>
      <c r="J6525" s="48"/>
      <c r="K6525" s="50" t="s">
        <v>56716</v>
      </c>
      <c r="L6525" s="48"/>
    </row>
    <row r="6526" spans="1:12" ht="11.25" x14ac:dyDescent="0.2">
      <c r="A6526" s="46" t="s">
        <v>853</v>
      </c>
      <c r="B6526" s="46" t="s">
        <v>56060</v>
      </c>
      <c r="C6526" s="58" t="str">
        <f>"20469047"</f>
        <v>20469047</v>
      </c>
      <c r="D6526" s="58" t="str">
        <f>"20469055"</f>
        <v>20469055</v>
      </c>
      <c r="E6526" s="46" t="s">
        <v>856</v>
      </c>
      <c r="F6526" s="46" t="s">
        <v>50646</v>
      </c>
      <c r="G6526" s="46" t="s">
        <v>50584</v>
      </c>
      <c r="H6526" s="48" t="s">
        <v>56716</v>
      </c>
      <c r="I6526" s="48" t="s">
        <v>50564</v>
      </c>
      <c r="J6526" s="48"/>
      <c r="K6526" s="57"/>
      <c r="L6526" s="48" t="s">
        <v>56716</v>
      </c>
    </row>
    <row r="6527" spans="1:12" ht="11.25" x14ac:dyDescent="0.2">
      <c r="A6527" s="46" t="s">
        <v>3302</v>
      </c>
      <c r="B6527" s="46" t="s">
        <v>3302</v>
      </c>
      <c r="C6527" s="58" t="str">
        <f>"03043959"</f>
        <v>03043959</v>
      </c>
      <c r="D6527" s="58" t="str">
        <f>"18726623"</f>
        <v>18726623</v>
      </c>
      <c r="E6527" s="46" t="s">
        <v>91</v>
      </c>
      <c r="F6527" s="46" t="s">
        <v>18001</v>
      </c>
      <c r="G6527" s="46" t="s">
        <v>50584</v>
      </c>
      <c r="H6527" s="48" t="s">
        <v>56716</v>
      </c>
      <c r="I6527" s="48" t="s">
        <v>50564</v>
      </c>
      <c r="J6527" s="48" t="s">
        <v>56716</v>
      </c>
      <c r="K6527" s="57"/>
      <c r="L6527" s="48" t="s">
        <v>56716</v>
      </c>
    </row>
    <row r="6528" spans="1:12" ht="11.25" x14ac:dyDescent="0.2">
      <c r="A6528" s="46" t="s">
        <v>17563</v>
      </c>
      <c r="B6528" s="46" t="s">
        <v>54881</v>
      </c>
      <c r="C6528" s="58" t="str">
        <f>"21938237"</f>
        <v>21938237</v>
      </c>
      <c r="D6528" s="58" t="str">
        <f>"2193651X"</f>
        <v>2193651X</v>
      </c>
      <c r="E6528" s="46" t="s">
        <v>17556</v>
      </c>
      <c r="F6528" s="46" t="s">
        <v>17759</v>
      </c>
      <c r="G6528" s="46" t="s">
        <v>50584</v>
      </c>
      <c r="H6528" s="48" t="s">
        <v>56716</v>
      </c>
      <c r="I6528" s="48" t="s">
        <v>50564</v>
      </c>
      <c r="J6528" s="48" t="s">
        <v>56716</v>
      </c>
      <c r="K6528" s="57"/>
      <c r="L6528" s="48"/>
    </row>
    <row r="6529" spans="1:12" ht="11.25" x14ac:dyDescent="0.2">
      <c r="A6529" s="46" t="s">
        <v>15660</v>
      </c>
      <c r="B6529" s="46" t="s">
        <v>54882</v>
      </c>
      <c r="C6529" s="58" t="str">
        <f>"17581869"</f>
        <v>17581869</v>
      </c>
      <c r="D6529" s="58" t="str">
        <f>"17581877"</f>
        <v>17581877</v>
      </c>
      <c r="E6529" s="46" t="s">
        <v>8442</v>
      </c>
      <c r="F6529" s="46" t="s">
        <v>50646</v>
      </c>
      <c r="G6529" s="46" t="s">
        <v>50584</v>
      </c>
      <c r="H6529" s="48" t="s">
        <v>56716</v>
      </c>
      <c r="I6529" s="48" t="s">
        <v>50564</v>
      </c>
      <c r="J6529" s="48" t="s">
        <v>56716</v>
      </c>
      <c r="K6529" s="57"/>
      <c r="L6529" s="48" t="s">
        <v>56716</v>
      </c>
    </row>
    <row r="6530" spans="1:12" ht="11.25" x14ac:dyDescent="0.2">
      <c r="A6530" s="45" t="s">
        <v>43583</v>
      </c>
      <c r="B6530" s="45" t="s">
        <v>43585</v>
      </c>
      <c r="C6530" s="51" t="s">
        <v>43587</v>
      </c>
      <c r="D6530" s="51" t="s">
        <v>43586</v>
      </c>
      <c r="E6530" s="45" t="s">
        <v>43588</v>
      </c>
      <c r="F6530" s="45" t="s">
        <v>17759</v>
      </c>
      <c r="G6530" s="45" t="s">
        <v>50584</v>
      </c>
      <c r="H6530" s="56"/>
      <c r="I6530" s="56" t="s">
        <v>50564</v>
      </c>
      <c r="J6530" s="56"/>
      <c r="K6530" s="57"/>
      <c r="L6530" s="56" t="s">
        <v>56716</v>
      </c>
    </row>
    <row r="6531" spans="1:12" ht="11.25" x14ac:dyDescent="0.2">
      <c r="A6531" s="46" t="s">
        <v>8531</v>
      </c>
      <c r="B6531" s="46" t="s">
        <v>54883</v>
      </c>
      <c r="C6531" s="58" t="str">
        <f>"15262375"</f>
        <v>15262375</v>
      </c>
      <c r="D6531" s="58" t="str">
        <f>"15264637"</f>
        <v>15264637</v>
      </c>
      <c r="E6531" s="46" t="s">
        <v>548</v>
      </c>
      <c r="F6531" s="46" t="s">
        <v>17759</v>
      </c>
      <c r="G6531" s="46" t="s">
        <v>50584</v>
      </c>
      <c r="H6531" s="48" t="s">
        <v>56716</v>
      </c>
      <c r="I6531" s="48" t="s">
        <v>50564</v>
      </c>
      <c r="J6531" s="48"/>
      <c r="K6531" s="50" t="s">
        <v>56716</v>
      </c>
      <c r="L6531" s="48" t="s">
        <v>56716</v>
      </c>
    </row>
    <row r="6532" spans="1:12" ht="11.25" x14ac:dyDescent="0.2">
      <c r="A6532" s="46" t="s">
        <v>8496</v>
      </c>
      <c r="B6532" s="46" t="s">
        <v>54884</v>
      </c>
      <c r="C6532" s="58" t="str">
        <f>"15333159"</f>
        <v>15333159</v>
      </c>
      <c r="D6532" s="58" t="str">
        <f>""</f>
        <v/>
      </c>
      <c r="E6532" s="46" t="s">
        <v>8498</v>
      </c>
      <c r="F6532" s="46" t="s">
        <v>17759</v>
      </c>
      <c r="G6532" s="46" t="s">
        <v>50584</v>
      </c>
      <c r="H6532" s="48" t="s">
        <v>56716</v>
      </c>
      <c r="I6532" s="48" t="s">
        <v>50564</v>
      </c>
      <c r="J6532" s="48"/>
      <c r="K6532" s="57"/>
      <c r="L6532" s="48" t="s">
        <v>56716</v>
      </c>
    </row>
    <row r="6533" spans="1:12" ht="11.25" x14ac:dyDescent="0.2">
      <c r="A6533" s="46" t="s">
        <v>10048</v>
      </c>
      <c r="B6533" s="46" t="s">
        <v>54885</v>
      </c>
      <c r="C6533" s="58" t="str">
        <f>"15307085"</f>
        <v>15307085</v>
      </c>
      <c r="D6533" s="58" t="str">
        <f>"15332500"</f>
        <v>15332500</v>
      </c>
      <c r="E6533" s="46" t="s">
        <v>548</v>
      </c>
      <c r="F6533" s="46" t="s">
        <v>17759</v>
      </c>
      <c r="G6533" s="46" t="s">
        <v>50584</v>
      </c>
      <c r="H6533" s="48" t="s">
        <v>56716</v>
      </c>
      <c r="I6533" s="48" t="s">
        <v>50564</v>
      </c>
      <c r="J6533" s="48"/>
      <c r="K6533" s="50" t="s">
        <v>56716</v>
      </c>
      <c r="L6533" s="48" t="s">
        <v>56716</v>
      </c>
    </row>
    <row r="6534" spans="1:12" ht="11.25" x14ac:dyDescent="0.2">
      <c r="A6534" s="46" t="s">
        <v>8292</v>
      </c>
      <c r="B6534" s="46" t="s">
        <v>54886</v>
      </c>
      <c r="C6534" s="58" t="str">
        <f>"12036765"</f>
        <v>12036765</v>
      </c>
      <c r="D6534" s="58" t="str">
        <f>""</f>
        <v/>
      </c>
      <c r="E6534" s="46" t="s">
        <v>1100</v>
      </c>
      <c r="F6534" s="46" t="s">
        <v>18959</v>
      </c>
      <c r="G6534" s="46" t="s">
        <v>50584</v>
      </c>
      <c r="H6534" s="48" t="s">
        <v>56716</v>
      </c>
      <c r="I6534" s="48" t="s">
        <v>50564</v>
      </c>
      <c r="J6534" s="48"/>
      <c r="K6534" s="57"/>
      <c r="L6534" s="48" t="s">
        <v>56716</v>
      </c>
    </row>
    <row r="6535" spans="1:12" ht="11.25" x14ac:dyDescent="0.2">
      <c r="A6535" s="45" t="s">
        <v>43611</v>
      </c>
      <c r="B6535" s="45" t="s">
        <v>43613</v>
      </c>
      <c r="C6535" s="51" t="s">
        <v>43615</v>
      </c>
      <c r="D6535" s="51" t="s">
        <v>43614</v>
      </c>
      <c r="E6535" s="45" t="s">
        <v>10959</v>
      </c>
      <c r="F6535" s="45" t="s">
        <v>34138</v>
      </c>
      <c r="G6535" s="45" t="s">
        <v>50584</v>
      </c>
      <c r="H6535" s="56"/>
      <c r="I6535" s="56" t="s">
        <v>50564</v>
      </c>
      <c r="J6535" s="56"/>
      <c r="K6535" s="57"/>
      <c r="L6535" s="56" t="s">
        <v>56716</v>
      </c>
    </row>
    <row r="6536" spans="1:12" ht="11.25" x14ac:dyDescent="0.2">
      <c r="A6536" s="46" t="s">
        <v>12641</v>
      </c>
      <c r="B6536" s="46" t="s">
        <v>54887</v>
      </c>
      <c r="C6536" s="58" t="str">
        <f>"18121837"</f>
        <v>18121837</v>
      </c>
      <c r="D6536" s="58" t="str">
        <f>""</f>
        <v/>
      </c>
      <c r="E6536" s="46" t="s">
        <v>12643</v>
      </c>
      <c r="F6536" s="46" t="s">
        <v>34138</v>
      </c>
      <c r="G6536" s="46" t="s">
        <v>50584</v>
      </c>
      <c r="H6536" s="48" t="s">
        <v>56716</v>
      </c>
      <c r="I6536" s="48" t="s">
        <v>50564</v>
      </c>
      <c r="J6536" s="48"/>
      <c r="K6536" s="57"/>
      <c r="L6536" s="48"/>
    </row>
    <row r="6537" spans="1:12" ht="11.25" x14ac:dyDescent="0.2">
      <c r="A6537" s="46" t="s">
        <v>13597</v>
      </c>
      <c r="B6537" s="46" t="s">
        <v>54888</v>
      </c>
      <c r="C6537" s="58" t="str">
        <f>"19967195"</f>
        <v>19967195</v>
      </c>
      <c r="D6537" s="58" t="str">
        <f>""</f>
        <v/>
      </c>
      <c r="E6537" s="46" t="s">
        <v>13599</v>
      </c>
      <c r="F6537" s="46" t="s">
        <v>34138</v>
      </c>
      <c r="G6537" s="46" t="s">
        <v>50584</v>
      </c>
      <c r="H6537" s="48" t="s">
        <v>56716</v>
      </c>
      <c r="I6537" s="48" t="s">
        <v>50564</v>
      </c>
      <c r="J6537" s="48"/>
      <c r="K6537" s="57"/>
      <c r="L6537" s="48"/>
    </row>
    <row r="6538" spans="1:12" ht="11.25" x14ac:dyDescent="0.2">
      <c r="A6538" s="46" t="s">
        <v>8598</v>
      </c>
      <c r="B6538" s="46" t="s">
        <v>54889</v>
      </c>
      <c r="C6538" s="58" t="str">
        <f>"1682024X"</f>
        <v>1682024X</v>
      </c>
      <c r="D6538" s="58" t="str">
        <f>""</f>
        <v/>
      </c>
      <c r="E6538" s="46" t="s">
        <v>8600</v>
      </c>
      <c r="F6538" s="46" t="s">
        <v>34138</v>
      </c>
      <c r="G6538" s="46" t="s">
        <v>50584</v>
      </c>
      <c r="H6538" s="48" t="s">
        <v>56716</v>
      </c>
      <c r="I6538" s="48" t="s">
        <v>50564</v>
      </c>
      <c r="J6538" s="48"/>
      <c r="K6538" s="57"/>
      <c r="L6538" s="48"/>
    </row>
    <row r="6539" spans="1:12" ht="11.25" x14ac:dyDescent="0.2">
      <c r="A6539" s="46" t="s">
        <v>10957</v>
      </c>
      <c r="B6539" s="46" t="s">
        <v>54890</v>
      </c>
      <c r="C6539" s="58" t="str">
        <f>"16805194"</f>
        <v>16805194</v>
      </c>
      <c r="D6539" s="58" t="str">
        <f>""</f>
        <v/>
      </c>
      <c r="E6539" s="46" t="s">
        <v>10959</v>
      </c>
      <c r="F6539" s="46" t="s">
        <v>34138</v>
      </c>
      <c r="G6539" s="46" t="s">
        <v>50584</v>
      </c>
      <c r="H6539" s="48" t="s">
        <v>56716</v>
      </c>
      <c r="I6539" s="48" t="s">
        <v>50564</v>
      </c>
      <c r="J6539" s="48"/>
      <c r="K6539" s="57"/>
      <c r="L6539" s="48"/>
    </row>
    <row r="6540" spans="1:12" ht="11.25" x14ac:dyDescent="0.2">
      <c r="A6540" s="46" t="s">
        <v>12880</v>
      </c>
      <c r="B6540" s="46" t="s">
        <v>54891</v>
      </c>
      <c r="C6540" s="58" t="str">
        <f>"1011601X"</f>
        <v>1011601X</v>
      </c>
      <c r="D6540" s="58" t="str">
        <f>""</f>
        <v/>
      </c>
      <c r="E6540" s="46" t="s">
        <v>12880</v>
      </c>
      <c r="F6540" s="46" t="s">
        <v>34138</v>
      </c>
      <c r="G6540" s="46" t="s">
        <v>50584</v>
      </c>
      <c r="H6540" s="48" t="s">
        <v>56716</v>
      </c>
      <c r="I6540" s="48" t="s">
        <v>50564</v>
      </c>
      <c r="J6540" s="48"/>
      <c r="K6540" s="57"/>
      <c r="L6540" s="48" t="s">
        <v>56716</v>
      </c>
    </row>
    <row r="6541" spans="1:12" ht="11.25" x14ac:dyDescent="0.2">
      <c r="A6541" s="46" t="s">
        <v>11949</v>
      </c>
      <c r="B6541" s="46" t="s">
        <v>54892</v>
      </c>
      <c r="C6541" s="58" t="str">
        <f>"03044904"</f>
        <v>03044904</v>
      </c>
      <c r="D6541" s="58" t="str">
        <f>""</f>
        <v/>
      </c>
      <c r="E6541" s="46" t="s">
        <v>11951</v>
      </c>
      <c r="F6541" s="46" t="s">
        <v>34138</v>
      </c>
      <c r="G6541" s="46" t="s">
        <v>50584</v>
      </c>
      <c r="H6541" s="48" t="s">
        <v>56716</v>
      </c>
      <c r="I6541" s="48" t="s">
        <v>50564</v>
      </c>
      <c r="J6541" s="48"/>
      <c r="K6541" s="57"/>
      <c r="L6541" s="48"/>
    </row>
    <row r="6542" spans="1:12" ht="11.25" x14ac:dyDescent="0.2">
      <c r="A6542" s="45" t="s">
        <v>43624</v>
      </c>
      <c r="B6542" s="45" t="s">
        <v>43626</v>
      </c>
      <c r="C6542" s="51" t="s">
        <v>43627</v>
      </c>
      <c r="D6542" s="51"/>
      <c r="E6542" s="45" t="s">
        <v>43628</v>
      </c>
      <c r="F6542" s="45" t="s">
        <v>17759</v>
      </c>
      <c r="G6542" s="45" t="s">
        <v>50584</v>
      </c>
      <c r="H6542" s="56"/>
      <c r="I6542" s="56" t="s">
        <v>50564</v>
      </c>
      <c r="J6542" s="56"/>
      <c r="K6542" s="57"/>
      <c r="L6542" s="56" t="s">
        <v>56716</v>
      </c>
    </row>
    <row r="6543" spans="1:12" ht="11.25" x14ac:dyDescent="0.2">
      <c r="A6543" s="45" t="s">
        <v>43630</v>
      </c>
      <c r="B6543" s="45" t="s">
        <v>43632</v>
      </c>
      <c r="C6543" s="51" t="s">
        <v>43634</v>
      </c>
      <c r="D6543" s="51" t="s">
        <v>43633</v>
      </c>
      <c r="E6543" s="45" t="s">
        <v>724</v>
      </c>
      <c r="F6543" s="45" t="s">
        <v>50646</v>
      </c>
      <c r="G6543" s="45" t="s">
        <v>50584</v>
      </c>
      <c r="H6543" s="56"/>
      <c r="I6543" s="56" t="s">
        <v>50564</v>
      </c>
      <c r="J6543" s="56"/>
      <c r="K6543" s="57"/>
      <c r="L6543" s="56" t="s">
        <v>56716</v>
      </c>
    </row>
    <row r="6544" spans="1:12" ht="11.25" x14ac:dyDescent="0.2">
      <c r="A6544" s="46" t="s">
        <v>5676</v>
      </c>
      <c r="B6544" s="46" t="s">
        <v>54893</v>
      </c>
      <c r="C6544" s="58" t="str">
        <f>"02692163"</f>
        <v>02692163</v>
      </c>
      <c r="D6544" s="58" t="str">
        <f>"1477030X"</f>
        <v>1477030X</v>
      </c>
      <c r="E6544" s="46" t="s">
        <v>97</v>
      </c>
      <c r="F6544" s="46" t="s">
        <v>50646</v>
      </c>
      <c r="G6544" s="46" t="s">
        <v>50584</v>
      </c>
      <c r="H6544" s="48" t="s">
        <v>56716</v>
      </c>
      <c r="I6544" s="48" t="s">
        <v>50564</v>
      </c>
      <c r="J6544" s="48"/>
      <c r="K6544" s="57"/>
      <c r="L6544" s="48" t="s">
        <v>56716</v>
      </c>
    </row>
    <row r="6545" spans="1:12" ht="11.25" x14ac:dyDescent="0.2">
      <c r="A6545" s="46" t="s">
        <v>14292</v>
      </c>
      <c r="B6545" s="46" t="s">
        <v>54894</v>
      </c>
      <c r="C6545" s="58" t="str">
        <f>"19378688"</f>
        <v>19378688</v>
      </c>
      <c r="D6545" s="58" t="str">
        <f>"19378688"</f>
        <v>19378688</v>
      </c>
      <c r="E6545" s="46" t="s">
        <v>14294</v>
      </c>
      <c r="F6545" s="46" t="s">
        <v>19049</v>
      </c>
      <c r="G6545" s="46" t="s">
        <v>50584</v>
      </c>
      <c r="H6545" s="48" t="s">
        <v>56716</v>
      </c>
      <c r="I6545" s="48" t="s">
        <v>50564</v>
      </c>
      <c r="J6545" s="48"/>
      <c r="K6545" s="57"/>
      <c r="L6545" s="48" t="s">
        <v>56716</v>
      </c>
    </row>
    <row r="6546" spans="1:12" ht="11.25" x14ac:dyDescent="0.2">
      <c r="A6546" s="46" t="s">
        <v>11320</v>
      </c>
      <c r="B6546" s="46" t="s">
        <v>54895</v>
      </c>
      <c r="C6546" s="58" t="str">
        <f>"13196995"</f>
        <v>13196995</v>
      </c>
      <c r="D6546" s="58" t="str">
        <f>""</f>
        <v/>
      </c>
      <c r="E6546" s="46" t="s">
        <v>11322</v>
      </c>
      <c r="F6546" s="46" t="s">
        <v>42225</v>
      </c>
      <c r="G6546" s="46" t="s">
        <v>50584</v>
      </c>
      <c r="H6546" s="48" t="s">
        <v>56716</v>
      </c>
      <c r="I6546" s="48" t="s">
        <v>50564</v>
      </c>
      <c r="J6546" s="48"/>
      <c r="K6546" s="57"/>
      <c r="L6546" s="48"/>
    </row>
    <row r="6547" spans="1:12" ht="11.25" x14ac:dyDescent="0.2">
      <c r="A6547" s="46" t="s">
        <v>4194</v>
      </c>
      <c r="B6547" s="46" t="s">
        <v>4194</v>
      </c>
      <c r="C6547" s="58" t="str">
        <f>"08853177"</f>
        <v>08853177</v>
      </c>
      <c r="D6547" s="58" t="str">
        <f>"15364828"</f>
        <v>15364828</v>
      </c>
      <c r="E6547" s="46" t="s">
        <v>28</v>
      </c>
      <c r="F6547" s="46" t="s">
        <v>17759</v>
      </c>
      <c r="G6547" s="46" t="s">
        <v>50584</v>
      </c>
      <c r="H6547" s="48" t="s">
        <v>56716</v>
      </c>
      <c r="I6547" s="48" t="s">
        <v>50564</v>
      </c>
      <c r="J6547" s="48" t="s">
        <v>56716</v>
      </c>
      <c r="K6547" s="50" t="s">
        <v>56716</v>
      </c>
      <c r="L6547" s="48" t="s">
        <v>56716</v>
      </c>
    </row>
    <row r="6548" spans="1:12" ht="11.25" x14ac:dyDescent="0.2">
      <c r="A6548" s="46" t="s">
        <v>9083</v>
      </c>
      <c r="B6548" s="46" t="s">
        <v>9083</v>
      </c>
      <c r="C6548" s="58" t="str">
        <f>"14243903"</f>
        <v>14243903</v>
      </c>
      <c r="D6548" s="58" t="str">
        <f>"14243911"</f>
        <v>14243911</v>
      </c>
      <c r="E6548" s="46" t="s">
        <v>91</v>
      </c>
      <c r="F6548" s="46" t="s">
        <v>18001</v>
      </c>
      <c r="G6548" s="46" t="s">
        <v>50584</v>
      </c>
      <c r="H6548" s="48" t="s">
        <v>56716</v>
      </c>
      <c r="I6548" s="48" t="s">
        <v>50564</v>
      </c>
      <c r="J6548" s="48" t="s">
        <v>56716</v>
      </c>
      <c r="K6548" s="50" t="s">
        <v>56716</v>
      </c>
      <c r="L6548" s="48" t="s">
        <v>56716</v>
      </c>
    </row>
    <row r="6549" spans="1:12" ht="11.25" x14ac:dyDescent="0.2">
      <c r="A6549" s="45" t="s">
        <v>43649</v>
      </c>
      <c r="B6549" s="45" t="s">
        <v>43651</v>
      </c>
      <c r="C6549" s="51" t="s">
        <v>43653</v>
      </c>
      <c r="D6549" s="51" t="s">
        <v>43652</v>
      </c>
      <c r="E6549" s="45" t="s">
        <v>43654</v>
      </c>
      <c r="F6549" s="45" t="s">
        <v>17991</v>
      </c>
      <c r="G6549" s="45" t="s">
        <v>50584</v>
      </c>
      <c r="H6549" s="56"/>
      <c r="I6549" s="56" t="s">
        <v>50564</v>
      </c>
      <c r="J6549" s="56"/>
      <c r="K6549" s="57"/>
      <c r="L6549" s="56" t="s">
        <v>56716</v>
      </c>
    </row>
    <row r="6550" spans="1:12" ht="11.25" x14ac:dyDescent="0.2">
      <c r="A6550" s="45" t="s">
        <v>43656</v>
      </c>
      <c r="B6550" s="45" t="s">
        <v>43658</v>
      </c>
      <c r="C6550" s="51" t="s">
        <v>43659</v>
      </c>
      <c r="D6550" s="51"/>
      <c r="E6550" s="45" t="s">
        <v>43660</v>
      </c>
      <c r="F6550" s="45" t="s">
        <v>43661</v>
      </c>
      <c r="G6550" s="45" t="s">
        <v>50584</v>
      </c>
      <c r="H6550" s="56"/>
      <c r="I6550" s="56" t="s">
        <v>50564</v>
      </c>
      <c r="J6550" s="56"/>
      <c r="K6550" s="57"/>
      <c r="L6550" s="56" t="s">
        <v>56716</v>
      </c>
    </row>
    <row r="6551" spans="1:12" ht="11.25" x14ac:dyDescent="0.2">
      <c r="A6551" s="45" t="s">
        <v>43663</v>
      </c>
      <c r="B6551" s="45" t="s">
        <v>43665</v>
      </c>
      <c r="C6551" s="51" t="s">
        <v>43668</v>
      </c>
      <c r="D6551" s="51" t="s">
        <v>43667</v>
      </c>
      <c r="E6551" s="45" t="s">
        <v>43669</v>
      </c>
      <c r="F6551" s="45" t="s">
        <v>20359</v>
      </c>
      <c r="G6551" s="45" t="s">
        <v>50590</v>
      </c>
      <c r="H6551" s="56"/>
      <c r="I6551" s="56" t="s">
        <v>50564</v>
      </c>
      <c r="J6551" s="56"/>
      <c r="K6551" s="57"/>
      <c r="L6551" s="56" t="s">
        <v>56716</v>
      </c>
    </row>
    <row r="6552" spans="1:12" ht="11.25" x14ac:dyDescent="0.2">
      <c r="A6552" s="46" t="s">
        <v>3299</v>
      </c>
      <c r="B6552" s="46" t="s">
        <v>54896</v>
      </c>
      <c r="C6552" s="58" t="str">
        <f>"01419838"</f>
        <v>01419838</v>
      </c>
      <c r="D6552" s="58" t="str">
        <f>"13653024"</f>
        <v>13653024</v>
      </c>
      <c r="E6552" s="46" t="s">
        <v>35</v>
      </c>
      <c r="F6552" s="46" t="s">
        <v>50646</v>
      </c>
      <c r="G6552" s="46" t="s">
        <v>50584</v>
      </c>
      <c r="H6552" s="48" t="s">
        <v>56716</v>
      </c>
      <c r="I6552" s="48" t="s">
        <v>50564</v>
      </c>
      <c r="J6552" s="48" t="s">
        <v>56716</v>
      </c>
      <c r="K6552" s="57"/>
      <c r="L6552" s="48" t="s">
        <v>56716</v>
      </c>
    </row>
    <row r="6553" spans="1:12" ht="11.25" x14ac:dyDescent="0.2">
      <c r="A6553" s="46" t="s">
        <v>13186</v>
      </c>
      <c r="B6553" s="46" t="s">
        <v>54897</v>
      </c>
      <c r="C6553" s="58" t="str">
        <f>""</f>
        <v/>
      </c>
      <c r="D6553" s="58" t="str">
        <f>"17563305"</f>
        <v>17563305</v>
      </c>
      <c r="E6553" s="46" t="s">
        <v>2299</v>
      </c>
      <c r="F6553" s="46" t="s">
        <v>50646</v>
      </c>
      <c r="G6553" s="46" t="s">
        <v>50584</v>
      </c>
      <c r="H6553" s="48" t="s">
        <v>56716</v>
      </c>
      <c r="I6553" s="48" t="s">
        <v>50564</v>
      </c>
      <c r="J6553" s="48"/>
      <c r="K6553" s="50" t="s">
        <v>56716</v>
      </c>
      <c r="L6553" s="48" t="s">
        <v>56716</v>
      </c>
    </row>
    <row r="6554" spans="1:12" ht="11.25" x14ac:dyDescent="0.2">
      <c r="A6554" s="46" t="s">
        <v>3309</v>
      </c>
      <c r="B6554" s="46" t="s">
        <v>3309</v>
      </c>
      <c r="C6554" s="58" t="str">
        <f>"00311820"</f>
        <v>00311820</v>
      </c>
      <c r="D6554" s="58" t="str">
        <f>"14698161"</f>
        <v>14698161</v>
      </c>
      <c r="E6554" s="46" t="s">
        <v>724</v>
      </c>
      <c r="F6554" s="46" t="s">
        <v>50646</v>
      </c>
      <c r="G6554" s="46" t="s">
        <v>50584</v>
      </c>
      <c r="H6554" s="48" t="s">
        <v>56716</v>
      </c>
      <c r="I6554" s="48" t="s">
        <v>50564</v>
      </c>
      <c r="J6554" s="48" t="s">
        <v>56716</v>
      </c>
      <c r="K6554" s="50" t="s">
        <v>56716</v>
      </c>
      <c r="L6554" s="48" t="s">
        <v>56716</v>
      </c>
    </row>
    <row r="6555" spans="1:12" ht="11.25" x14ac:dyDescent="0.2">
      <c r="A6555" s="46" t="s">
        <v>7320</v>
      </c>
      <c r="B6555" s="46" t="s">
        <v>54898</v>
      </c>
      <c r="C6555" s="58" t="str">
        <f>"13835769"</f>
        <v>13835769</v>
      </c>
      <c r="D6555" s="58" t="str">
        <f>"18730329"</f>
        <v>18730329</v>
      </c>
      <c r="E6555" s="46" t="s">
        <v>221</v>
      </c>
      <c r="F6555" s="46" t="s">
        <v>21771</v>
      </c>
      <c r="G6555" s="46" t="s">
        <v>50584</v>
      </c>
      <c r="H6555" s="48" t="s">
        <v>56716</v>
      </c>
      <c r="I6555" s="48" t="s">
        <v>50564</v>
      </c>
      <c r="J6555" s="48" t="s">
        <v>56716</v>
      </c>
      <c r="K6555" s="50" t="s">
        <v>56716</v>
      </c>
      <c r="L6555" s="48" t="s">
        <v>56716</v>
      </c>
    </row>
    <row r="6556" spans="1:12" ht="11.25" x14ac:dyDescent="0.2">
      <c r="A6556" s="46" t="s">
        <v>4310</v>
      </c>
      <c r="B6556" s="46" t="s">
        <v>54899</v>
      </c>
      <c r="C6556" s="58" t="str">
        <f>"09320113"</f>
        <v>09320113</v>
      </c>
      <c r="D6556" s="58" t="str">
        <f>"14321955"</f>
        <v>14321955</v>
      </c>
      <c r="E6556" s="46" t="s">
        <v>167</v>
      </c>
      <c r="F6556" s="46" t="s">
        <v>18158</v>
      </c>
      <c r="G6556" s="46" t="s">
        <v>50584</v>
      </c>
      <c r="H6556" s="48" t="s">
        <v>56716</v>
      </c>
      <c r="I6556" s="48" t="s">
        <v>50564</v>
      </c>
      <c r="J6556" s="48" t="s">
        <v>56716</v>
      </c>
      <c r="K6556" s="50" t="s">
        <v>56716</v>
      </c>
      <c r="L6556" s="48" t="s">
        <v>56716</v>
      </c>
    </row>
    <row r="6557" spans="1:12" ht="11.25" x14ac:dyDescent="0.2">
      <c r="A6557" s="45" t="s">
        <v>43696</v>
      </c>
      <c r="B6557" s="45" t="s">
        <v>43696</v>
      </c>
      <c r="C6557" s="51" t="s">
        <v>43698</v>
      </c>
      <c r="D6557" s="51"/>
      <c r="E6557" s="45" t="s">
        <v>22405</v>
      </c>
      <c r="F6557" s="45" t="s">
        <v>50653</v>
      </c>
      <c r="G6557" s="45" t="s">
        <v>56509</v>
      </c>
      <c r="H6557" s="56"/>
      <c r="I6557" s="56" t="s">
        <v>50564</v>
      </c>
      <c r="J6557" s="56"/>
      <c r="K6557" s="57"/>
      <c r="L6557" s="56" t="s">
        <v>56716</v>
      </c>
    </row>
    <row r="6558" spans="1:12" ht="11.25" x14ac:dyDescent="0.2">
      <c r="A6558" s="46" t="s">
        <v>6531</v>
      </c>
      <c r="B6558" s="46" t="s">
        <v>54900</v>
      </c>
      <c r="C6558" s="58" t="str">
        <f>"13538020"</f>
        <v>13538020</v>
      </c>
      <c r="D6558" s="58" t="str">
        <f>"18735126"</f>
        <v>18735126</v>
      </c>
      <c r="E6558" s="46" t="s">
        <v>155</v>
      </c>
      <c r="F6558" s="46" t="s">
        <v>50646</v>
      </c>
      <c r="G6558" s="46" t="s">
        <v>50584</v>
      </c>
      <c r="H6558" s="48" t="s">
        <v>56716</v>
      </c>
      <c r="I6558" s="48" t="s">
        <v>50564</v>
      </c>
      <c r="J6558" s="48" t="s">
        <v>56716</v>
      </c>
      <c r="K6558" s="50" t="s">
        <v>56716</v>
      </c>
      <c r="L6558" s="48" t="s">
        <v>56716</v>
      </c>
    </row>
    <row r="6559" spans="1:12" ht="11.25" x14ac:dyDescent="0.2">
      <c r="A6559" s="46" t="s">
        <v>14598</v>
      </c>
      <c r="B6559" s="46" t="s">
        <v>54901</v>
      </c>
      <c r="C6559" s="58" t="str">
        <f>""</f>
        <v/>
      </c>
      <c r="D6559" s="58" t="str">
        <f>"20420080"</f>
        <v>20420080</v>
      </c>
      <c r="E6559" s="46" t="s">
        <v>1412</v>
      </c>
      <c r="F6559" s="46" t="s">
        <v>17759</v>
      </c>
      <c r="G6559" s="46" t="s">
        <v>50584</v>
      </c>
      <c r="H6559" s="48" t="s">
        <v>56716</v>
      </c>
      <c r="I6559" s="48" t="s">
        <v>50564</v>
      </c>
      <c r="J6559" s="48" t="s">
        <v>56716</v>
      </c>
      <c r="K6559" s="57"/>
      <c r="L6559" s="48"/>
    </row>
    <row r="6560" spans="1:12" ht="11.25" x14ac:dyDescent="0.2">
      <c r="A6560" s="46" t="s">
        <v>11042</v>
      </c>
      <c r="B6560" s="46" t="s">
        <v>54902</v>
      </c>
      <c r="C6560" s="58" t="str">
        <f>"17438977"</f>
        <v>17438977</v>
      </c>
      <c r="D6560" s="58" t="str">
        <f>"17438977"</f>
        <v>17438977</v>
      </c>
      <c r="E6560" s="46" t="s">
        <v>2299</v>
      </c>
      <c r="F6560" s="46" t="s">
        <v>50646</v>
      </c>
      <c r="G6560" s="46" t="s">
        <v>50584</v>
      </c>
      <c r="H6560" s="48" t="s">
        <v>56716</v>
      </c>
      <c r="I6560" s="48" t="s">
        <v>50564</v>
      </c>
      <c r="J6560" s="48" t="s">
        <v>56716</v>
      </c>
      <c r="K6560" s="50" t="s">
        <v>56716</v>
      </c>
      <c r="L6560" s="48" t="s">
        <v>56716</v>
      </c>
    </row>
    <row r="6561" spans="1:12" ht="11.25" x14ac:dyDescent="0.2">
      <c r="A6561" s="46" t="s">
        <v>4982</v>
      </c>
      <c r="B6561" s="46" t="s">
        <v>54903</v>
      </c>
      <c r="C6561" s="58" t="str">
        <f>"02726351"</f>
        <v>02726351</v>
      </c>
      <c r="D6561" s="58" t="str">
        <f>"15480046"</f>
        <v>15480046</v>
      </c>
      <c r="E6561" s="46" t="s">
        <v>669</v>
      </c>
      <c r="F6561" s="46" t="s">
        <v>17759</v>
      </c>
      <c r="G6561" s="46" t="s">
        <v>50584</v>
      </c>
      <c r="H6561" s="48" t="s">
        <v>56716</v>
      </c>
      <c r="I6561" s="48" t="s">
        <v>50564</v>
      </c>
      <c r="J6561" s="48" t="s">
        <v>56716</v>
      </c>
      <c r="K6561" s="57"/>
      <c r="L6561" s="48"/>
    </row>
    <row r="6562" spans="1:12" ht="11.25" x14ac:dyDescent="0.2">
      <c r="A6562" s="46" t="s">
        <v>5076</v>
      </c>
      <c r="B6562" s="46" t="s">
        <v>5076</v>
      </c>
      <c r="C6562" s="58" t="str">
        <f>"10152008"</f>
        <v>10152008</v>
      </c>
      <c r="D6562" s="58" t="str">
        <f>"14230291"</f>
        <v>14230291</v>
      </c>
      <c r="E6562" s="46" t="s">
        <v>109</v>
      </c>
      <c r="F6562" s="46" t="s">
        <v>18123</v>
      </c>
      <c r="G6562" s="46" t="s">
        <v>50584</v>
      </c>
      <c r="H6562" s="48" t="s">
        <v>56716</v>
      </c>
      <c r="I6562" s="48" t="s">
        <v>50564</v>
      </c>
      <c r="J6562" s="48" t="s">
        <v>56716</v>
      </c>
      <c r="K6562" s="50" t="s">
        <v>56716</v>
      </c>
      <c r="L6562" s="48" t="s">
        <v>56716</v>
      </c>
    </row>
    <row r="6563" spans="1:12" ht="11.25" x14ac:dyDescent="0.2">
      <c r="A6563" s="46" t="s">
        <v>16288</v>
      </c>
      <c r="B6563" s="46" t="s">
        <v>54904</v>
      </c>
      <c r="C6563" s="58" t="str">
        <f>""</f>
        <v/>
      </c>
      <c r="D6563" s="58" t="str">
        <f>"20010001"</f>
        <v>20010001</v>
      </c>
      <c r="E6563" s="46" t="s">
        <v>12818</v>
      </c>
      <c r="F6563" s="46" t="s">
        <v>18130</v>
      </c>
      <c r="G6563" s="46" t="s">
        <v>50584</v>
      </c>
      <c r="H6563" s="48" t="s">
        <v>56716</v>
      </c>
      <c r="I6563" s="48" t="s">
        <v>50564</v>
      </c>
      <c r="J6563" s="48"/>
      <c r="K6563" s="57"/>
      <c r="L6563" s="48"/>
    </row>
    <row r="6564" spans="1:12" ht="11.25" x14ac:dyDescent="0.2">
      <c r="A6564" s="46" t="s">
        <v>56041</v>
      </c>
      <c r="B6564" s="46" t="s">
        <v>56041</v>
      </c>
      <c r="C6564" s="58" t="str">
        <f>""</f>
        <v/>
      </c>
      <c r="D6564" s="58" t="str">
        <f>"22146636"</f>
        <v>22146636</v>
      </c>
      <c r="E6564" s="46" t="s">
        <v>155</v>
      </c>
      <c r="F6564" s="46" t="s">
        <v>50646</v>
      </c>
      <c r="G6564" s="46" t="s">
        <v>50584</v>
      </c>
      <c r="H6564" s="48" t="s">
        <v>56716</v>
      </c>
      <c r="I6564" s="48" t="s">
        <v>50564</v>
      </c>
      <c r="J6564" s="48" t="s">
        <v>56716</v>
      </c>
      <c r="K6564" s="57"/>
      <c r="L6564" s="48"/>
    </row>
    <row r="6565" spans="1:12" ht="11.25" x14ac:dyDescent="0.2">
      <c r="A6565" s="46" t="s">
        <v>17499</v>
      </c>
      <c r="B6565" s="46" t="s">
        <v>17499</v>
      </c>
      <c r="C6565" s="58" t="str">
        <f>""</f>
        <v/>
      </c>
      <c r="D6565" s="58" t="str">
        <f>"20760817"</f>
        <v>20760817</v>
      </c>
      <c r="E6565" s="46" t="s">
        <v>4152</v>
      </c>
      <c r="F6565" s="46" t="s">
        <v>18123</v>
      </c>
      <c r="G6565" s="46" t="s">
        <v>50584</v>
      </c>
      <c r="H6565" s="48" t="s">
        <v>56716</v>
      </c>
      <c r="I6565" s="48" t="s">
        <v>50564</v>
      </c>
      <c r="J6565" s="48"/>
      <c r="K6565" s="57"/>
      <c r="L6565" s="48"/>
    </row>
    <row r="6566" spans="1:12" ht="11.25" x14ac:dyDescent="0.2">
      <c r="A6566" s="46" t="s">
        <v>16780</v>
      </c>
      <c r="B6566" s="46" t="s">
        <v>54905</v>
      </c>
      <c r="C6566" s="58" t="str">
        <f>""</f>
        <v/>
      </c>
      <c r="D6566" s="58" t="str">
        <f>"2049632X"</f>
        <v>2049632X</v>
      </c>
      <c r="E6566" s="46" t="s">
        <v>35</v>
      </c>
      <c r="F6566" s="46" t="s">
        <v>50646</v>
      </c>
      <c r="G6566" s="46" t="s">
        <v>50584</v>
      </c>
      <c r="H6566" s="48" t="s">
        <v>56716</v>
      </c>
      <c r="I6566" s="48" t="s">
        <v>50564</v>
      </c>
      <c r="J6566" s="48" t="s">
        <v>56716</v>
      </c>
      <c r="K6566" s="57"/>
      <c r="L6566" s="48" t="s">
        <v>56716</v>
      </c>
    </row>
    <row r="6567" spans="1:12" ht="11.25" x14ac:dyDescent="0.2">
      <c r="A6567" s="46" t="s">
        <v>16018</v>
      </c>
      <c r="B6567" s="46" t="s">
        <v>54906</v>
      </c>
      <c r="C6567" s="58" t="str">
        <f>"20477724"</f>
        <v>20477724</v>
      </c>
      <c r="D6567" s="58" t="str">
        <f>"20477732"</f>
        <v>20477732</v>
      </c>
      <c r="E6567" s="46" t="s">
        <v>856</v>
      </c>
      <c r="F6567" s="46" t="s">
        <v>50646</v>
      </c>
      <c r="G6567" s="46" t="s">
        <v>50584</v>
      </c>
      <c r="H6567" s="48" t="s">
        <v>56716</v>
      </c>
      <c r="I6567" s="48" t="s">
        <v>50564</v>
      </c>
      <c r="J6567" s="48"/>
      <c r="K6567" s="57"/>
      <c r="L6567" s="48" t="s">
        <v>56716</v>
      </c>
    </row>
    <row r="6568" spans="1:12" ht="11.25" x14ac:dyDescent="0.2">
      <c r="A6568" s="45" t="s">
        <v>43730</v>
      </c>
      <c r="B6568" s="45" t="s">
        <v>43730</v>
      </c>
      <c r="C6568" s="51" t="s">
        <v>43733</v>
      </c>
      <c r="D6568" s="51" t="s">
        <v>43732</v>
      </c>
      <c r="E6568" s="45" t="s">
        <v>43734</v>
      </c>
      <c r="F6568" s="45" t="s">
        <v>17991</v>
      </c>
      <c r="G6568" s="45" t="s">
        <v>50602</v>
      </c>
      <c r="H6568" s="56"/>
      <c r="I6568" s="56" t="s">
        <v>50564</v>
      </c>
      <c r="J6568" s="56"/>
      <c r="K6568" s="57"/>
      <c r="L6568" s="56" t="s">
        <v>56716</v>
      </c>
    </row>
    <row r="6569" spans="1:12" ht="11.25" x14ac:dyDescent="0.2">
      <c r="A6569" s="46" t="s">
        <v>3521</v>
      </c>
      <c r="B6569" s="46" t="s">
        <v>54907</v>
      </c>
      <c r="C6569" s="58" t="str">
        <f>"03698114"</f>
        <v>03698114</v>
      </c>
      <c r="D6569" s="58" t="str">
        <f>"17683114"</f>
        <v>17683114</v>
      </c>
      <c r="E6569" s="46" t="s">
        <v>85</v>
      </c>
      <c r="F6569" s="46" t="s">
        <v>20359</v>
      </c>
      <c r="G6569" s="46" t="s">
        <v>50590</v>
      </c>
      <c r="H6569" s="48" t="s">
        <v>56716</v>
      </c>
      <c r="I6569" s="48" t="s">
        <v>50564</v>
      </c>
      <c r="J6569" s="48"/>
      <c r="K6569" s="50" t="s">
        <v>56716</v>
      </c>
      <c r="L6569" s="48" t="s">
        <v>56716</v>
      </c>
    </row>
    <row r="6570" spans="1:12" ht="11.25" x14ac:dyDescent="0.2">
      <c r="A6570" s="45" t="s">
        <v>19521</v>
      </c>
      <c r="B6570" s="45" t="s">
        <v>19521</v>
      </c>
      <c r="C6570" s="51" t="s">
        <v>43744</v>
      </c>
      <c r="D6570" s="51" t="s">
        <v>43743</v>
      </c>
      <c r="E6570" s="45" t="s">
        <v>17758</v>
      </c>
      <c r="F6570" s="45" t="s">
        <v>50646</v>
      </c>
      <c r="G6570" s="45" t="s">
        <v>50584</v>
      </c>
      <c r="H6570" s="56"/>
      <c r="I6570" s="56" t="s">
        <v>50564</v>
      </c>
      <c r="J6570" s="56"/>
      <c r="K6570" s="57"/>
      <c r="L6570" s="56" t="s">
        <v>56716</v>
      </c>
    </row>
    <row r="6571" spans="1:12" ht="11.25" x14ac:dyDescent="0.2">
      <c r="A6571" s="46" t="s">
        <v>7633</v>
      </c>
      <c r="B6571" s="46" t="s">
        <v>54908</v>
      </c>
      <c r="C6571" s="58" t="str">
        <f>"12194956"</f>
        <v>12194956</v>
      </c>
      <c r="D6571" s="58" t="str">
        <f>"15322807"</f>
        <v>15322807</v>
      </c>
      <c r="E6571" s="46" t="s">
        <v>18876</v>
      </c>
      <c r="F6571" s="46" t="s">
        <v>18001</v>
      </c>
      <c r="G6571" s="46" t="s">
        <v>50584</v>
      </c>
      <c r="H6571" s="48" t="s">
        <v>56716</v>
      </c>
      <c r="I6571" s="48" t="s">
        <v>50564</v>
      </c>
      <c r="J6571" s="48"/>
      <c r="K6571" s="50" t="s">
        <v>56716</v>
      </c>
      <c r="L6571" s="48" t="s">
        <v>56716</v>
      </c>
    </row>
    <row r="6572" spans="1:12" ht="11.25" x14ac:dyDescent="0.2">
      <c r="A6572" s="46" t="s">
        <v>11252</v>
      </c>
      <c r="B6572" s="46" t="s">
        <v>54909</v>
      </c>
      <c r="C6572" s="58" t="str">
        <f>"10829784"</f>
        <v>10829784</v>
      </c>
      <c r="D6572" s="58" t="str">
        <f>"15334015"</f>
        <v>15334015</v>
      </c>
      <c r="E6572" s="46" t="s">
        <v>28</v>
      </c>
      <c r="F6572" s="46" t="s">
        <v>17759</v>
      </c>
      <c r="G6572" s="46" t="s">
        <v>50584</v>
      </c>
      <c r="H6572" s="48" t="s">
        <v>56716</v>
      </c>
      <c r="I6572" s="48" t="s">
        <v>50564</v>
      </c>
      <c r="J6572" s="48" t="s">
        <v>56716</v>
      </c>
      <c r="K6572" s="57"/>
      <c r="L6572" s="48"/>
    </row>
    <row r="6573" spans="1:12" ht="11.25" x14ac:dyDescent="0.2">
      <c r="A6573" s="46" t="s">
        <v>6237</v>
      </c>
      <c r="B6573" s="46" t="s">
        <v>54910</v>
      </c>
      <c r="C6573" s="58" t="str">
        <f>"13205463"</f>
        <v>13205463</v>
      </c>
      <c r="D6573" s="58" t="str">
        <f>"14401827"</f>
        <v>14401827</v>
      </c>
      <c r="E6573" s="46" t="s">
        <v>296</v>
      </c>
      <c r="F6573" s="46" t="s">
        <v>20082</v>
      </c>
      <c r="G6573" s="46" t="s">
        <v>50584</v>
      </c>
      <c r="H6573" s="48" t="s">
        <v>56716</v>
      </c>
      <c r="I6573" s="48" t="s">
        <v>50564</v>
      </c>
      <c r="J6573" s="48" t="s">
        <v>56716</v>
      </c>
      <c r="K6573" s="50" t="s">
        <v>56716</v>
      </c>
      <c r="L6573" s="48" t="s">
        <v>56716</v>
      </c>
    </row>
    <row r="6574" spans="1:12" ht="11.25" x14ac:dyDescent="0.2">
      <c r="A6574" s="46" t="s">
        <v>3315</v>
      </c>
      <c r="B6574" s="46" t="s">
        <v>54911</v>
      </c>
      <c r="C6574" s="58" t="str">
        <f>"03440338"</f>
        <v>03440338</v>
      </c>
      <c r="D6574" s="58" t="str">
        <f>"16180631"</f>
        <v>16180631</v>
      </c>
      <c r="E6574" s="46" t="s">
        <v>1479</v>
      </c>
      <c r="F6574" s="46" t="s">
        <v>18158</v>
      </c>
      <c r="G6574" s="46" t="s">
        <v>50584</v>
      </c>
      <c r="H6574" s="48" t="s">
        <v>56716</v>
      </c>
      <c r="I6574" s="48" t="s">
        <v>50564</v>
      </c>
      <c r="J6574" s="48"/>
      <c r="K6574" s="50" t="s">
        <v>56716</v>
      </c>
      <c r="L6574" s="48" t="s">
        <v>56716</v>
      </c>
    </row>
    <row r="6575" spans="1:12" ht="11.25" x14ac:dyDescent="0.2">
      <c r="A6575" s="46" t="s">
        <v>6339</v>
      </c>
      <c r="B6575" s="46" t="s">
        <v>6339</v>
      </c>
      <c r="C6575" s="58" t="str">
        <f>"09284680"</f>
        <v>09284680</v>
      </c>
      <c r="D6575" s="58" t="str">
        <f>"1873149X"</f>
        <v>1873149X</v>
      </c>
      <c r="E6575" s="46" t="s">
        <v>91</v>
      </c>
      <c r="F6575" s="46" t="s">
        <v>18001</v>
      </c>
      <c r="G6575" s="46" t="s">
        <v>50584</v>
      </c>
      <c r="H6575" s="48" t="s">
        <v>56716</v>
      </c>
      <c r="I6575" s="48" t="s">
        <v>50564</v>
      </c>
      <c r="J6575" s="48" t="s">
        <v>56716</v>
      </c>
      <c r="K6575" s="50" t="s">
        <v>56716</v>
      </c>
      <c r="L6575" s="48"/>
    </row>
    <row r="6576" spans="1:12" ht="11.25" x14ac:dyDescent="0.2">
      <c r="A6576" s="46" t="s">
        <v>13167</v>
      </c>
      <c r="B6576" s="46" t="s">
        <v>13167</v>
      </c>
      <c r="C6576" s="58" t="str">
        <f>"11781653"</f>
        <v>11781653</v>
      </c>
      <c r="D6576" s="58" t="str">
        <f>"11781661"</f>
        <v>11781661</v>
      </c>
      <c r="E6576" s="46" t="s">
        <v>55920</v>
      </c>
      <c r="F6576" s="46" t="s">
        <v>18123</v>
      </c>
      <c r="G6576" s="46" t="s">
        <v>50584</v>
      </c>
      <c r="H6576" s="48" t="s">
        <v>56716</v>
      </c>
      <c r="I6576" s="48" t="s">
        <v>50564</v>
      </c>
      <c r="J6576" s="48" t="s">
        <v>56716</v>
      </c>
      <c r="K6576" s="50" t="s">
        <v>56716</v>
      </c>
      <c r="L6576" s="48" t="s">
        <v>56716</v>
      </c>
    </row>
    <row r="6577" spans="1:12" ht="11.25" x14ac:dyDescent="0.2">
      <c r="A6577" s="46" t="s">
        <v>3352</v>
      </c>
      <c r="B6577" s="46" t="s">
        <v>54912</v>
      </c>
      <c r="C6577" s="58" t="str">
        <f>"07383991"</f>
        <v>07383991</v>
      </c>
      <c r="D6577" s="58" t="str">
        <f>"18735134"</f>
        <v>18735134</v>
      </c>
      <c r="E6577" s="46" t="s">
        <v>221</v>
      </c>
      <c r="F6577" s="46" t="s">
        <v>21771</v>
      </c>
      <c r="G6577" s="46" t="s">
        <v>50584</v>
      </c>
      <c r="H6577" s="48" t="s">
        <v>56716</v>
      </c>
      <c r="I6577" s="48" t="s">
        <v>50564</v>
      </c>
      <c r="J6577" s="48" t="s">
        <v>56716</v>
      </c>
      <c r="K6577" s="50" t="s">
        <v>56716</v>
      </c>
      <c r="L6577" s="48" t="s">
        <v>56716</v>
      </c>
    </row>
    <row r="6578" spans="1:12" ht="11.25" x14ac:dyDescent="0.2">
      <c r="A6578" s="46" t="s">
        <v>14671</v>
      </c>
      <c r="B6578" s="46" t="s">
        <v>54913</v>
      </c>
      <c r="C6578" s="58" t="str">
        <f>""</f>
        <v/>
      </c>
      <c r="D6578" s="58" t="str">
        <f>"1177889X"</f>
        <v>1177889X</v>
      </c>
      <c r="E6578" s="46" t="s">
        <v>11079</v>
      </c>
      <c r="F6578" s="46" t="s">
        <v>50646</v>
      </c>
      <c r="G6578" s="46" t="s">
        <v>50584</v>
      </c>
      <c r="H6578" s="48" t="s">
        <v>56716</v>
      </c>
      <c r="I6578" s="48" t="s">
        <v>50564</v>
      </c>
      <c r="J6578" s="48"/>
      <c r="K6578" s="57"/>
      <c r="L6578" s="48"/>
    </row>
    <row r="6579" spans="1:12" ht="11.25" x14ac:dyDescent="0.2">
      <c r="A6579" s="46" t="s">
        <v>14731</v>
      </c>
      <c r="B6579" s="46" t="s">
        <v>54914</v>
      </c>
      <c r="C6579" s="58" t="str">
        <f>""</f>
        <v/>
      </c>
      <c r="D6579" s="58" t="str">
        <f>"17549493"</f>
        <v>17549493</v>
      </c>
      <c r="E6579" s="46" t="s">
        <v>2299</v>
      </c>
      <c r="F6579" s="46" t="s">
        <v>50646</v>
      </c>
      <c r="G6579" s="46" t="s">
        <v>50584</v>
      </c>
      <c r="H6579" s="48" t="s">
        <v>56716</v>
      </c>
      <c r="I6579" s="48" t="s">
        <v>50564</v>
      </c>
      <c r="J6579" s="48"/>
      <c r="K6579" s="50" t="s">
        <v>56716</v>
      </c>
      <c r="L6579" s="48"/>
    </row>
    <row r="6580" spans="1:12" ht="11.25" x14ac:dyDescent="0.2">
      <c r="A6580" s="45" t="s">
        <v>43769</v>
      </c>
      <c r="B6580" s="45" t="s">
        <v>43771</v>
      </c>
      <c r="C6580" s="51" t="s">
        <v>43772</v>
      </c>
      <c r="D6580" s="51"/>
      <c r="E6580" s="45" t="s">
        <v>20950</v>
      </c>
      <c r="F6580" s="45" t="s">
        <v>50653</v>
      </c>
      <c r="G6580" s="45" t="s">
        <v>56509</v>
      </c>
      <c r="H6580" s="56"/>
      <c r="I6580" s="56" t="s">
        <v>50564</v>
      </c>
      <c r="J6580" s="56"/>
      <c r="K6580" s="57"/>
      <c r="L6580" s="56" t="s">
        <v>56716</v>
      </c>
    </row>
    <row r="6581" spans="1:12" ht="11.25" x14ac:dyDescent="0.2">
      <c r="A6581" s="46" t="s">
        <v>6334</v>
      </c>
      <c r="B6581" s="46" t="s">
        <v>54915</v>
      </c>
      <c r="C6581" s="58" t="str">
        <f>"10797440"</f>
        <v>10797440</v>
      </c>
      <c r="D6581" s="58" t="str">
        <f>"19482124"</f>
        <v>19482124</v>
      </c>
      <c r="E6581" s="46" t="s">
        <v>6337</v>
      </c>
      <c r="F6581" s="46" t="s">
        <v>17759</v>
      </c>
      <c r="G6581" s="46" t="s">
        <v>50584</v>
      </c>
      <c r="H6581" s="48" t="s">
        <v>56716</v>
      </c>
      <c r="I6581" s="48" t="s">
        <v>50564</v>
      </c>
      <c r="J6581" s="48"/>
      <c r="K6581" s="57"/>
      <c r="L6581" s="48" t="s">
        <v>56716</v>
      </c>
    </row>
    <row r="6582" spans="1:12" ht="11.25" x14ac:dyDescent="0.2">
      <c r="A6582" s="46" t="s">
        <v>6965</v>
      </c>
      <c r="B6582" s="46" t="s">
        <v>54916</v>
      </c>
      <c r="C6582" s="58" t="str">
        <f>"11358831"</f>
        <v>11358831</v>
      </c>
      <c r="D6582" s="58" t="str">
        <f>""</f>
        <v/>
      </c>
      <c r="E6582" s="46" t="s">
        <v>6967</v>
      </c>
      <c r="F6582" s="46" t="s">
        <v>18439</v>
      </c>
      <c r="G6582" s="46" t="s">
        <v>50579</v>
      </c>
      <c r="H6582" s="48" t="s">
        <v>56716</v>
      </c>
      <c r="I6582" s="48" t="s">
        <v>50564</v>
      </c>
      <c r="J6582" s="48"/>
      <c r="K6582" s="57"/>
      <c r="L6582" s="48"/>
    </row>
    <row r="6583" spans="1:12" ht="11.25" x14ac:dyDescent="0.2">
      <c r="A6583" s="46" t="s">
        <v>11295</v>
      </c>
      <c r="B6583" s="46" t="s">
        <v>54917</v>
      </c>
      <c r="C6583" s="58" t="str">
        <f>"17341531"</f>
        <v>17341531</v>
      </c>
      <c r="D6583" s="58" t="str">
        <f>""</f>
        <v/>
      </c>
      <c r="E6583" s="46" t="s">
        <v>11293</v>
      </c>
      <c r="F6583" s="46" t="s">
        <v>17967</v>
      </c>
      <c r="G6583" s="46" t="s">
        <v>50613</v>
      </c>
      <c r="H6583" s="48" t="s">
        <v>56716</v>
      </c>
      <c r="I6583" s="48" t="s">
        <v>50564</v>
      </c>
      <c r="J6583" s="48"/>
      <c r="K6583" s="57"/>
      <c r="L6583" s="48"/>
    </row>
    <row r="6584" spans="1:12" ht="11.25" x14ac:dyDescent="0.2">
      <c r="A6584" s="46" t="s">
        <v>7199</v>
      </c>
      <c r="B6584" s="46" t="s">
        <v>54918</v>
      </c>
      <c r="C6584" s="58" t="str">
        <f>"11354542"</f>
        <v>11354542</v>
      </c>
      <c r="D6584" s="58" t="str">
        <f>""</f>
        <v/>
      </c>
      <c r="E6584" s="46" t="s">
        <v>3610</v>
      </c>
      <c r="F6584" s="46" t="s">
        <v>18439</v>
      </c>
      <c r="G6584" s="46" t="s">
        <v>50632</v>
      </c>
      <c r="H6584" s="48" t="s">
        <v>56716</v>
      </c>
      <c r="I6584" s="48" t="s">
        <v>50564</v>
      </c>
      <c r="J6584" s="48"/>
      <c r="K6584" s="57"/>
      <c r="L6584" s="48"/>
    </row>
    <row r="6585" spans="1:12" ht="11.25" x14ac:dyDescent="0.2">
      <c r="A6585" s="46" t="s">
        <v>3362</v>
      </c>
      <c r="B6585" s="46" t="s">
        <v>54919</v>
      </c>
      <c r="C6585" s="58" t="str">
        <f>"00313939"</f>
        <v>00313939</v>
      </c>
      <c r="D6585" s="58" t="str">
        <f>""</f>
        <v/>
      </c>
      <c r="E6585" s="46" t="s">
        <v>56270</v>
      </c>
      <c r="F6585" s="46" t="s">
        <v>17967</v>
      </c>
      <c r="G6585" s="46" t="s">
        <v>50612</v>
      </c>
      <c r="H6585" s="48" t="s">
        <v>56716</v>
      </c>
      <c r="I6585" s="48" t="s">
        <v>50564</v>
      </c>
      <c r="J6585" s="48"/>
      <c r="K6585" s="50" t="s">
        <v>56716</v>
      </c>
      <c r="L6585" s="48"/>
    </row>
    <row r="6586" spans="1:12" ht="11.25" x14ac:dyDescent="0.2">
      <c r="A6586" s="46" t="s">
        <v>8679</v>
      </c>
      <c r="B6586" s="46" t="s">
        <v>54920</v>
      </c>
      <c r="C6586" s="58" t="str">
        <f>"15075532"</f>
        <v>15075532</v>
      </c>
      <c r="D6586" s="58" t="str">
        <f>""</f>
        <v/>
      </c>
      <c r="E6586" s="46" t="s">
        <v>6797</v>
      </c>
      <c r="F6586" s="46" t="s">
        <v>17967</v>
      </c>
      <c r="G6586" s="46" t="s">
        <v>50584</v>
      </c>
      <c r="H6586" s="48" t="s">
        <v>56716</v>
      </c>
      <c r="I6586" s="48" t="s">
        <v>50564</v>
      </c>
      <c r="J6586" s="48"/>
      <c r="K6586" s="57"/>
      <c r="L6586" s="48"/>
    </row>
    <row r="6587" spans="1:12" ht="11.25" x14ac:dyDescent="0.2">
      <c r="A6587" s="46" t="s">
        <v>5286</v>
      </c>
      <c r="B6587" s="46" t="s">
        <v>54921</v>
      </c>
      <c r="C6587" s="58" t="str">
        <f>"09056157"</f>
        <v>09056157</v>
      </c>
      <c r="D6587" s="58" t="str">
        <f>"13993038"</f>
        <v>13993038</v>
      </c>
      <c r="E6587" s="46" t="s">
        <v>35</v>
      </c>
      <c r="F6587" s="46" t="s">
        <v>50646</v>
      </c>
      <c r="G6587" s="46" t="s">
        <v>50584</v>
      </c>
      <c r="H6587" s="48" t="s">
        <v>56716</v>
      </c>
      <c r="I6587" s="48" t="s">
        <v>50564</v>
      </c>
      <c r="J6587" s="48" t="s">
        <v>56716</v>
      </c>
      <c r="K6587" s="50" t="s">
        <v>56716</v>
      </c>
      <c r="L6587" s="48" t="s">
        <v>56716</v>
      </c>
    </row>
    <row r="6588" spans="1:12" ht="11.25" x14ac:dyDescent="0.2">
      <c r="A6588" s="46" t="s">
        <v>7839</v>
      </c>
      <c r="B6588" s="46" t="s">
        <v>54922</v>
      </c>
      <c r="C6588" s="58" t="str">
        <f>"10935266"</f>
        <v>10935266</v>
      </c>
      <c r="D6588" s="58" t="str">
        <f>"16155742"</f>
        <v>16155742</v>
      </c>
      <c r="E6588" s="46" t="s">
        <v>7842</v>
      </c>
      <c r="F6588" s="46" t="s">
        <v>17759</v>
      </c>
      <c r="G6588" s="46" t="s">
        <v>50584</v>
      </c>
      <c r="H6588" s="48" t="s">
        <v>56716</v>
      </c>
      <c r="I6588" s="48" t="s">
        <v>50564</v>
      </c>
      <c r="J6588" s="48" t="s">
        <v>56716</v>
      </c>
      <c r="K6588" s="57"/>
      <c r="L6588" s="48" t="s">
        <v>56716</v>
      </c>
    </row>
    <row r="6589" spans="1:12" ht="11.25" x14ac:dyDescent="0.2">
      <c r="A6589" s="46" t="s">
        <v>3337</v>
      </c>
      <c r="B6589" s="46" t="s">
        <v>54923</v>
      </c>
      <c r="C6589" s="58" t="str">
        <f>"00904481"</f>
        <v>00904481</v>
      </c>
      <c r="D6589" s="58" t="str">
        <f>"19382359"</f>
        <v>19382359</v>
      </c>
      <c r="E6589" s="46" t="s">
        <v>2688</v>
      </c>
      <c r="F6589" s="46" t="s">
        <v>17759</v>
      </c>
      <c r="G6589" s="46" t="s">
        <v>50584</v>
      </c>
      <c r="H6589" s="48" t="s">
        <v>56716</v>
      </c>
      <c r="I6589" s="48" t="s">
        <v>50564</v>
      </c>
      <c r="J6589" s="48"/>
      <c r="K6589" s="57"/>
      <c r="L6589" s="48" t="s">
        <v>56716</v>
      </c>
    </row>
    <row r="6590" spans="1:12" ht="11.25" x14ac:dyDescent="0.2">
      <c r="A6590" s="46" t="s">
        <v>10067</v>
      </c>
      <c r="B6590" s="46" t="s">
        <v>54924</v>
      </c>
      <c r="C6590" s="58" t="str">
        <f>"15455009"</f>
        <v>15455009</v>
      </c>
      <c r="D6590" s="58" t="str">
        <f>"15455017"</f>
        <v>15455017</v>
      </c>
      <c r="E6590" s="46" t="s">
        <v>517</v>
      </c>
      <c r="F6590" s="46" t="s">
        <v>17759</v>
      </c>
      <c r="G6590" s="46" t="s">
        <v>50584</v>
      </c>
      <c r="H6590" s="48" t="s">
        <v>56716</v>
      </c>
      <c r="I6590" s="48" t="s">
        <v>50564</v>
      </c>
      <c r="J6590" s="48" t="s">
        <v>56716</v>
      </c>
      <c r="K6590" s="50" t="s">
        <v>56716</v>
      </c>
      <c r="L6590" s="48" t="s">
        <v>56716</v>
      </c>
    </row>
    <row r="6591" spans="1:12" ht="11.25" x14ac:dyDescent="0.2">
      <c r="A6591" s="46" t="s">
        <v>3346</v>
      </c>
      <c r="B6591" s="46" t="s">
        <v>54925</v>
      </c>
      <c r="C6591" s="58" t="str">
        <f>"01720643"</f>
        <v>01720643</v>
      </c>
      <c r="D6591" s="58" t="str">
        <f>"14321971"</f>
        <v>14321971</v>
      </c>
      <c r="E6591" s="46" t="s">
        <v>56305</v>
      </c>
      <c r="F6591" s="46" t="s">
        <v>17759</v>
      </c>
      <c r="G6591" s="46" t="s">
        <v>50584</v>
      </c>
      <c r="H6591" s="48" t="s">
        <v>56716</v>
      </c>
      <c r="I6591" s="48" t="s">
        <v>50564</v>
      </c>
      <c r="J6591" s="48"/>
      <c r="K6591" s="50" t="s">
        <v>56716</v>
      </c>
      <c r="L6591" s="48" t="s">
        <v>56716</v>
      </c>
    </row>
    <row r="6592" spans="1:12" ht="11.25" x14ac:dyDescent="0.2">
      <c r="A6592" s="46" t="s">
        <v>3331</v>
      </c>
      <c r="B6592" s="46" t="s">
        <v>54926</v>
      </c>
      <c r="C6592" s="58" t="str">
        <f>"00313955"</f>
        <v>00313955</v>
      </c>
      <c r="D6592" s="58" t="str">
        <f>"15578240"</f>
        <v>15578240</v>
      </c>
      <c r="E6592" s="46" t="s">
        <v>303</v>
      </c>
      <c r="F6592" s="46" t="s">
        <v>17759</v>
      </c>
      <c r="G6592" s="46" t="s">
        <v>50584</v>
      </c>
      <c r="H6592" s="48" t="s">
        <v>56716</v>
      </c>
      <c r="I6592" s="48" t="s">
        <v>50564</v>
      </c>
      <c r="J6592" s="48"/>
      <c r="K6592" s="50" t="s">
        <v>56716</v>
      </c>
      <c r="L6592" s="48" t="s">
        <v>56716</v>
      </c>
    </row>
    <row r="6593" spans="1:12" ht="11.25" x14ac:dyDescent="0.2">
      <c r="A6593" s="46" t="s">
        <v>10458</v>
      </c>
      <c r="B6593" s="46" t="s">
        <v>54927</v>
      </c>
      <c r="C6593" s="58" t="str">
        <f>"15297535"</f>
        <v>15297535</v>
      </c>
      <c r="D6593" s="58" t="str">
        <f>"19473893"</f>
        <v>19473893</v>
      </c>
      <c r="E6593" s="46" t="s">
        <v>28</v>
      </c>
      <c r="F6593" s="46" t="s">
        <v>17759</v>
      </c>
      <c r="G6593" s="46" t="s">
        <v>50584</v>
      </c>
      <c r="H6593" s="48" t="s">
        <v>56716</v>
      </c>
      <c r="I6593" s="48" t="s">
        <v>50564</v>
      </c>
      <c r="J6593" s="48" t="s">
        <v>56716</v>
      </c>
      <c r="K6593" s="50" t="s">
        <v>56716</v>
      </c>
      <c r="L6593" s="48" t="s">
        <v>56716</v>
      </c>
    </row>
    <row r="6594" spans="1:12" ht="11.25" x14ac:dyDescent="0.2">
      <c r="A6594" s="45" t="s">
        <v>43820</v>
      </c>
      <c r="B6594" s="45" t="s">
        <v>43822</v>
      </c>
      <c r="C6594" s="51" t="s">
        <v>43824</v>
      </c>
      <c r="D6594" s="51" t="s">
        <v>43823</v>
      </c>
      <c r="E6594" s="45" t="s">
        <v>35145</v>
      </c>
      <c r="F6594" s="45" t="s">
        <v>17759</v>
      </c>
      <c r="G6594" s="45" t="s">
        <v>50584</v>
      </c>
      <c r="H6594" s="56"/>
      <c r="I6594" s="56" t="s">
        <v>50564</v>
      </c>
      <c r="J6594" s="56"/>
      <c r="K6594" s="57"/>
      <c r="L6594" s="56" t="s">
        <v>56716</v>
      </c>
    </row>
    <row r="6595" spans="1:12" ht="11.25" x14ac:dyDescent="0.2">
      <c r="A6595" s="46" t="s">
        <v>3359</v>
      </c>
      <c r="B6595" s="46" t="s">
        <v>54928</v>
      </c>
      <c r="C6595" s="58" t="str">
        <f>"07368046"</f>
        <v>07368046</v>
      </c>
      <c r="D6595" s="58" t="str">
        <f>"15251470"</f>
        <v>15251470</v>
      </c>
      <c r="E6595" s="46" t="s">
        <v>548</v>
      </c>
      <c r="F6595" s="46" t="s">
        <v>17759</v>
      </c>
      <c r="G6595" s="46" t="s">
        <v>50584</v>
      </c>
      <c r="H6595" s="48" t="s">
        <v>56716</v>
      </c>
      <c r="I6595" s="48" t="s">
        <v>50564</v>
      </c>
      <c r="J6595" s="48" t="s">
        <v>56716</v>
      </c>
      <c r="K6595" s="50" t="s">
        <v>56716</v>
      </c>
      <c r="L6595" s="48" t="s">
        <v>56716</v>
      </c>
    </row>
    <row r="6596" spans="1:12" ht="11.25" x14ac:dyDescent="0.2">
      <c r="A6596" s="46" t="s">
        <v>8713</v>
      </c>
      <c r="B6596" s="46" t="s">
        <v>54929</v>
      </c>
      <c r="C6596" s="58" t="str">
        <f>"1399543X"</f>
        <v>1399543X</v>
      </c>
      <c r="D6596" s="58" t="str">
        <f>"13995448"</f>
        <v>13995448</v>
      </c>
      <c r="E6596" s="46" t="s">
        <v>35</v>
      </c>
      <c r="F6596" s="46" t="s">
        <v>50646</v>
      </c>
      <c r="G6596" s="46" t="s">
        <v>50584</v>
      </c>
      <c r="H6596" s="48" t="s">
        <v>56716</v>
      </c>
      <c r="I6596" s="48" t="s">
        <v>50564</v>
      </c>
      <c r="J6596" s="48" t="s">
        <v>56716</v>
      </c>
      <c r="K6596" s="50" t="s">
        <v>56716</v>
      </c>
      <c r="L6596" s="48" t="s">
        <v>56716</v>
      </c>
    </row>
    <row r="6597" spans="1:12" ht="11.25" x14ac:dyDescent="0.2">
      <c r="A6597" s="46" t="s">
        <v>10215</v>
      </c>
      <c r="B6597" s="46" t="s">
        <v>54930</v>
      </c>
      <c r="C6597" s="58" t="str">
        <f>"11745878"</f>
        <v>11745878</v>
      </c>
      <c r="D6597" s="58" t="str">
        <f>"11792019"</f>
        <v>11792019</v>
      </c>
      <c r="E6597" s="46" t="s">
        <v>55920</v>
      </c>
      <c r="F6597" s="46" t="s">
        <v>18123</v>
      </c>
      <c r="G6597" s="46" t="s">
        <v>50584</v>
      </c>
      <c r="H6597" s="48" t="s">
        <v>56716</v>
      </c>
      <c r="I6597" s="48" t="s">
        <v>50564</v>
      </c>
      <c r="J6597" s="48" t="s">
        <v>56716</v>
      </c>
      <c r="K6597" s="50" t="s">
        <v>56716</v>
      </c>
      <c r="L6597" s="48" t="s">
        <v>56716</v>
      </c>
    </row>
    <row r="6598" spans="1:12" ht="11.25" x14ac:dyDescent="0.2">
      <c r="A6598" s="46" t="s">
        <v>3349</v>
      </c>
      <c r="B6598" s="46" t="s">
        <v>54931</v>
      </c>
      <c r="C6598" s="58" t="str">
        <f>"07495161"</f>
        <v>07495161</v>
      </c>
      <c r="D6598" s="58" t="str">
        <f>"15351815"</f>
        <v>15351815</v>
      </c>
      <c r="E6598" s="46" t="s">
        <v>28</v>
      </c>
      <c r="F6598" s="46" t="s">
        <v>17759</v>
      </c>
      <c r="G6598" s="46" t="s">
        <v>50584</v>
      </c>
      <c r="H6598" s="48" t="s">
        <v>56716</v>
      </c>
      <c r="I6598" s="48" t="s">
        <v>50564</v>
      </c>
      <c r="J6598" s="48"/>
      <c r="K6598" s="50" t="s">
        <v>56716</v>
      </c>
      <c r="L6598" s="48" t="s">
        <v>56716</v>
      </c>
    </row>
    <row r="6599" spans="1:12" ht="11.25" x14ac:dyDescent="0.2">
      <c r="A6599" s="45" t="s">
        <v>43841</v>
      </c>
      <c r="B6599" s="45" t="s">
        <v>43843</v>
      </c>
      <c r="C6599" s="51" t="s">
        <v>43845</v>
      </c>
      <c r="D6599" s="51" t="s">
        <v>43844</v>
      </c>
      <c r="E6599" s="45" t="s">
        <v>27967</v>
      </c>
      <c r="F6599" s="45" t="s">
        <v>17759</v>
      </c>
      <c r="G6599" s="45" t="s">
        <v>50584</v>
      </c>
      <c r="H6599" s="56"/>
      <c r="I6599" s="56" t="s">
        <v>50564</v>
      </c>
      <c r="J6599" s="56"/>
      <c r="K6599" s="57"/>
      <c r="L6599" s="56" t="s">
        <v>56716</v>
      </c>
    </row>
    <row r="6600" spans="1:12" ht="11.25" x14ac:dyDescent="0.2">
      <c r="A6600" s="46" t="s">
        <v>10364</v>
      </c>
      <c r="B6600" s="46" t="s">
        <v>54932</v>
      </c>
      <c r="C6600" s="58" t="str">
        <f>"15654753"</f>
        <v>15654753</v>
      </c>
      <c r="D6600" s="58" t="str">
        <f>""</f>
        <v/>
      </c>
      <c r="E6600" s="46" t="s">
        <v>10366</v>
      </c>
      <c r="F6600" s="46" t="s">
        <v>19134</v>
      </c>
      <c r="G6600" s="46" t="s">
        <v>50584</v>
      </c>
      <c r="H6600" s="48" t="s">
        <v>56716</v>
      </c>
      <c r="I6600" s="48" t="s">
        <v>50564</v>
      </c>
      <c r="J6600" s="48"/>
      <c r="K6600" s="57"/>
      <c r="L6600" s="48" t="s">
        <v>56716</v>
      </c>
    </row>
    <row r="6601" spans="1:12" ht="11.25" x14ac:dyDescent="0.2">
      <c r="A6601" s="46" t="s">
        <v>50681</v>
      </c>
      <c r="B6601" s="46" t="s">
        <v>54933</v>
      </c>
      <c r="C6601" s="58" t="str">
        <f>""</f>
        <v/>
      </c>
      <c r="D6601" s="58" t="str">
        <f>"20838441"</f>
        <v>20838441</v>
      </c>
      <c r="E6601" s="46" t="s">
        <v>6797</v>
      </c>
      <c r="F6601" s="46" t="s">
        <v>17967</v>
      </c>
      <c r="G6601" s="46" t="s">
        <v>50613</v>
      </c>
      <c r="H6601" s="48" t="s">
        <v>56716</v>
      </c>
      <c r="I6601" s="48" t="s">
        <v>50564</v>
      </c>
      <c r="J6601" s="48"/>
      <c r="K6601" s="57"/>
      <c r="L6601" s="48" t="s">
        <v>56716</v>
      </c>
    </row>
    <row r="6602" spans="1:12" ht="11.25" x14ac:dyDescent="0.2">
      <c r="A6602" s="45" t="s">
        <v>43860</v>
      </c>
      <c r="B6602" s="45" t="s">
        <v>43862</v>
      </c>
      <c r="C6602" s="51" t="s">
        <v>43864</v>
      </c>
      <c r="D6602" s="51" t="s">
        <v>43863</v>
      </c>
      <c r="E6602" s="45" t="s">
        <v>18635</v>
      </c>
      <c r="F6602" s="45" t="s">
        <v>17759</v>
      </c>
      <c r="G6602" s="45" t="s">
        <v>50584</v>
      </c>
      <c r="H6602" s="56"/>
      <c r="I6602" s="56" t="s">
        <v>50564</v>
      </c>
      <c r="J6602" s="56"/>
      <c r="K6602" s="57"/>
      <c r="L6602" s="56" t="s">
        <v>56716</v>
      </c>
    </row>
    <row r="6603" spans="1:12" ht="11.25" x14ac:dyDescent="0.2">
      <c r="A6603" s="46" t="s">
        <v>4203</v>
      </c>
      <c r="B6603" s="46" t="s">
        <v>54934</v>
      </c>
      <c r="C6603" s="58" t="str">
        <f>"08880018"</f>
        <v>08880018</v>
      </c>
      <c r="D6603" s="58" t="str">
        <f>"15210669"</f>
        <v>15210669</v>
      </c>
      <c r="E6603" s="46" t="s">
        <v>291</v>
      </c>
      <c r="F6603" s="46" t="s">
        <v>50646</v>
      </c>
      <c r="G6603" s="46" t="s">
        <v>50584</v>
      </c>
      <c r="H6603" s="48" t="s">
        <v>56716</v>
      </c>
      <c r="I6603" s="48" t="s">
        <v>50564</v>
      </c>
      <c r="J6603" s="48"/>
      <c r="K6603" s="57"/>
      <c r="L6603" s="48" t="s">
        <v>56716</v>
      </c>
    </row>
    <row r="6604" spans="1:12" ht="11.25" x14ac:dyDescent="0.2">
      <c r="A6604" s="46" t="s">
        <v>4358</v>
      </c>
      <c r="B6604" s="46" t="s">
        <v>54935</v>
      </c>
      <c r="C6604" s="58" t="str">
        <f>"08913668"</f>
        <v>08913668</v>
      </c>
      <c r="D6604" s="58" t="str">
        <f>"15320987"</f>
        <v>15320987</v>
      </c>
      <c r="E6604" s="46" t="s">
        <v>28</v>
      </c>
      <c r="F6604" s="46" t="s">
        <v>17759</v>
      </c>
      <c r="G6604" s="46" t="s">
        <v>50584</v>
      </c>
      <c r="H6604" s="48" t="s">
        <v>56716</v>
      </c>
      <c r="I6604" s="48" t="s">
        <v>50564</v>
      </c>
      <c r="J6604" s="48" t="s">
        <v>56716</v>
      </c>
      <c r="K6604" s="50" t="s">
        <v>56716</v>
      </c>
      <c r="L6604" s="48" t="s">
        <v>56716</v>
      </c>
    </row>
    <row r="6605" spans="1:12" ht="11.25" x14ac:dyDescent="0.2">
      <c r="A6605" s="46" t="s">
        <v>4221</v>
      </c>
      <c r="B6605" s="46" t="s">
        <v>54936</v>
      </c>
      <c r="C6605" s="58" t="str">
        <f>"0931041X"</f>
        <v>0931041X</v>
      </c>
      <c r="D6605" s="58" t="str">
        <f>"1432198X"</f>
        <v>1432198X</v>
      </c>
      <c r="E6605" s="46" t="s">
        <v>167</v>
      </c>
      <c r="F6605" s="46" t="s">
        <v>18158</v>
      </c>
      <c r="G6605" s="46" t="s">
        <v>50584</v>
      </c>
      <c r="H6605" s="48" t="s">
        <v>56716</v>
      </c>
      <c r="I6605" s="48" t="s">
        <v>50564</v>
      </c>
      <c r="J6605" s="48" t="s">
        <v>56716</v>
      </c>
      <c r="K6605" s="50" t="s">
        <v>56716</v>
      </c>
      <c r="L6605" s="48" t="s">
        <v>56716</v>
      </c>
    </row>
    <row r="6606" spans="1:12" ht="11.25" x14ac:dyDescent="0.2">
      <c r="A6606" s="46" t="s">
        <v>4200</v>
      </c>
      <c r="B6606" s="46" t="s">
        <v>54937</v>
      </c>
      <c r="C6606" s="58" t="str">
        <f>"08878994"</f>
        <v>08878994</v>
      </c>
      <c r="D6606" s="58" t="str">
        <f>"18735150"</f>
        <v>18735150</v>
      </c>
      <c r="E6606" s="46" t="s">
        <v>272</v>
      </c>
      <c r="F6606" s="46" t="s">
        <v>17759</v>
      </c>
      <c r="G6606" s="46" t="s">
        <v>50584</v>
      </c>
      <c r="H6606" s="48" t="s">
        <v>56716</v>
      </c>
      <c r="I6606" s="48" t="s">
        <v>50564</v>
      </c>
      <c r="J6606" s="48" t="s">
        <v>56716</v>
      </c>
      <c r="K6606" s="50" t="s">
        <v>56716</v>
      </c>
      <c r="L6606" s="48" t="s">
        <v>56716</v>
      </c>
    </row>
    <row r="6607" spans="1:12" ht="11.25" x14ac:dyDescent="0.2">
      <c r="A6607" s="46" t="s">
        <v>5415</v>
      </c>
      <c r="B6607" s="46" t="s">
        <v>54938</v>
      </c>
      <c r="C6607" s="58" t="str">
        <f>"10162291"</f>
        <v>10162291</v>
      </c>
      <c r="D6607" s="58" t="str">
        <f>"14230305"</f>
        <v>14230305</v>
      </c>
      <c r="E6607" s="46" t="s">
        <v>109</v>
      </c>
      <c r="F6607" s="46" t="s">
        <v>18123</v>
      </c>
      <c r="G6607" s="46" t="s">
        <v>50584</v>
      </c>
      <c r="H6607" s="48" t="s">
        <v>56716</v>
      </c>
      <c r="I6607" s="48" t="s">
        <v>50564</v>
      </c>
      <c r="J6607" s="48" t="s">
        <v>56716</v>
      </c>
      <c r="K6607" s="50" t="s">
        <v>56716</v>
      </c>
      <c r="L6607" s="48" t="s">
        <v>56716</v>
      </c>
    </row>
    <row r="6608" spans="1:12" ht="11.25" x14ac:dyDescent="0.2">
      <c r="A6608" s="45" t="s">
        <v>43894</v>
      </c>
      <c r="B6608" s="45" t="s">
        <v>43896</v>
      </c>
      <c r="C6608" s="51" t="s">
        <v>43897</v>
      </c>
      <c r="D6608" s="51"/>
      <c r="E6608" s="45" t="s">
        <v>43898</v>
      </c>
      <c r="F6608" s="45" t="s">
        <v>17759</v>
      </c>
      <c r="G6608" s="45" t="s">
        <v>50584</v>
      </c>
      <c r="H6608" s="56"/>
      <c r="I6608" s="56" t="s">
        <v>50564</v>
      </c>
      <c r="J6608" s="56"/>
      <c r="K6608" s="57"/>
      <c r="L6608" s="56" t="s">
        <v>56716</v>
      </c>
    </row>
    <row r="6609" spans="1:12" ht="11.25" x14ac:dyDescent="0.2">
      <c r="A6609" s="46" t="s">
        <v>16240</v>
      </c>
      <c r="B6609" s="46" t="s">
        <v>54939</v>
      </c>
      <c r="C6609" s="58" t="str">
        <f>"20476302"</f>
        <v>20476302</v>
      </c>
      <c r="D6609" s="58" t="str">
        <f>"20476310"</f>
        <v>20476310</v>
      </c>
      <c r="E6609" s="46" t="s">
        <v>751</v>
      </c>
      <c r="F6609" s="46" t="s">
        <v>50646</v>
      </c>
      <c r="G6609" s="46" t="s">
        <v>50584</v>
      </c>
      <c r="H6609" s="48" t="s">
        <v>56716</v>
      </c>
      <c r="I6609" s="48" t="s">
        <v>50564</v>
      </c>
      <c r="J6609" s="48" t="s">
        <v>56716</v>
      </c>
      <c r="K6609" s="50" t="s">
        <v>56716</v>
      </c>
      <c r="L6609" s="48" t="s">
        <v>56716</v>
      </c>
    </row>
    <row r="6610" spans="1:12" ht="11.25" x14ac:dyDescent="0.2">
      <c r="A6610" s="46" t="s">
        <v>55998</v>
      </c>
      <c r="B6610" s="46" t="s">
        <v>55999</v>
      </c>
      <c r="C6610" s="58" t="str">
        <f>"16135318"</f>
        <v>16135318</v>
      </c>
      <c r="D6610" s="58" t="str">
        <f>"21910812"</f>
        <v>21910812</v>
      </c>
      <c r="E6610" s="46" t="s">
        <v>167</v>
      </c>
      <c r="F6610" s="46" t="s">
        <v>18158</v>
      </c>
      <c r="G6610" s="46" t="s">
        <v>50584</v>
      </c>
      <c r="H6610" s="48" t="s">
        <v>56716</v>
      </c>
      <c r="I6610" s="48" t="s">
        <v>50565</v>
      </c>
      <c r="J6610" s="48" t="s">
        <v>56716</v>
      </c>
      <c r="K6610" s="57"/>
      <c r="L6610" s="48"/>
    </row>
    <row r="6611" spans="1:12" ht="11.25" x14ac:dyDescent="0.2">
      <c r="A6611" s="45" t="s">
        <v>43906</v>
      </c>
      <c r="B6611" s="45" t="s">
        <v>43908</v>
      </c>
      <c r="C6611" s="51" t="s">
        <v>43910</v>
      </c>
      <c r="D6611" s="51" t="s">
        <v>43909</v>
      </c>
      <c r="E6611" s="45" t="s">
        <v>17758</v>
      </c>
      <c r="F6611" s="45" t="s">
        <v>17759</v>
      </c>
      <c r="G6611" s="45" t="s">
        <v>50584</v>
      </c>
      <c r="H6611" s="56"/>
      <c r="I6611" s="56" t="s">
        <v>50564</v>
      </c>
      <c r="J6611" s="56"/>
      <c r="K6611" s="57"/>
      <c r="L6611" s="56" t="s">
        <v>56716</v>
      </c>
    </row>
    <row r="6612" spans="1:12" ht="11.25" x14ac:dyDescent="0.2">
      <c r="A6612" s="46" t="s">
        <v>4762</v>
      </c>
      <c r="B6612" s="46" t="s">
        <v>54940</v>
      </c>
      <c r="C6612" s="58" t="str">
        <f>"87556863"</f>
        <v>87556863</v>
      </c>
      <c r="D6612" s="58" t="str">
        <f>"10990496"</f>
        <v>10990496</v>
      </c>
      <c r="E6612" s="46" t="s">
        <v>517</v>
      </c>
      <c r="F6612" s="46" t="s">
        <v>17759</v>
      </c>
      <c r="G6612" s="46" t="s">
        <v>50584</v>
      </c>
      <c r="H6612" s="48" t="s">
        <v>56716</v>
      </c>
      <c r="I6612" s="48" t="s">
        <v>50564</v>
      </c>
      <c r="J6612" s="48" t="s">
        <v>56716</v>
      </c>
      <c r="K6612" s="50" t="s">
        <v>56716</v>
      </c>
      <c r="L6612" s="48" t="s">
        <v>56716</v>
      </c>
    </row>
    <row r="6613" spans="1:12" ht="11.25" x14ac:dyDescent="0.2">
      <c r="A6613" s="46" t="s">
        <v>3343</v>
      </c>
      <c r="B6613" s="46" t="s">
        <v>54941</v>
      </c>
      <c r="C6613" s="58" t="str">
        <f>"03010449"</f>
        <v>03010449</v>
      </c>
      <c r="D6613" s="58" t="str">
        <f>"14321998"</f>
        <v>14321998</v>
      </c>
      <c r="E6613" s="46" t="s">
        <v>167</v>
      </c>
      <c r="F6613" s="46" t="s">
        <v>18158</v>
      </c>
      <c r="G6613" s="46" t="s">
        <v>50584</v>
      </c>
      <c r="H6613" s="48" t="s">
        <v>56716</v>
      </c>
      <c r="I6613" s="48" t="s">
        <v>50564</v>
      </c>
      <c r="J6613" s="48" t="s">
        <v>56716</v>
      </c>
      <c r="K6613" s="50" t="s">
        <v>56716</v>
      </c>
      <c r="L6613" s="48" t="s">
        <v>56716</v>
      </c>
    </row>
    <row r="6614" spans="1:12" ht="11.25" x14ac:dyDescent="0.2">
      <c r="A6614" s="46" t="s">
        <v>15177</v>
      </c>
      <c r="B6614" s="46" t="s">
        <v>54942</v>
      </c>
      <c r="C6614" s="58" t="str">
        <f>""</f>
        <v/>
      </c>
      <c r="D6614" s="58" t="str">
        <f>"20367503"</f>
        <v>20367503</v>
      </c>
      <c r="E6614" s="46" t="s">
        <v>1949</v>
      </c>
      <c r="F6614" s="46" t="s">
        <v>17991</v>
      </c>
      <c r="G6614" s="46" t="s">
        <v>50584</v>
      </c>
      <c r="H6614" s="48" t="s">
        <v>56716</v>
      </c>
      <c r="I6614" s="48" t="s">
        <v>50564</v>
      </c>
      <c r="J6614" s="48"/>
      <c r="K6614" s="57"/>
      <c r="L6614" s="48"/>
    </row>
    <row r="6615" spans="1:12" ht="11.25" x14ac:dyDescent="0.2">
      <c r="A6615" s="46" t="s">
        <v>3367</v>
      </c>
      <c r="B6615" s="46" t="s">
        <v>54943</v>
      </c>
      <c r="C6615" s="58" t="str">
        <f>"00313998"</f>
        <v>00313998</v>
      </c>
      <c r="D6615" s="58" t="str">
        <f>"15300447"</f>
        <v>15300447</v>
      </c>
      <c r="E6615" s="46" t="s">
        <v>315</v>
      </c>
      <c r="F6615" s="46" t="s">
        <v>50646</v>
      </c>
      <c r="G6615" s="46" t="s">
        <v>50584</v>
      </c>
      <c r="H6615" s="48" t="s">
        <v>56716</v>
      </c>
      <c r="I6615" s="48" t="s">
        <v>50564</v>
      </c>
      <c r="J6615" s="48" t="s">
        <v>56716</v>
      </c>
      <c r="K6615" s="57"/>
      <c r="L6615" s="48" t="s">
        <v>56716</v>
      </c>
    </row>
    <row r="6616" spans="1:12" ht="11.25" x14ac:dyDescent="0.2">
      <c r="A6616" s="46" t="s">
        <v>12429</v>
      </c>
      <c r="B6616" s="46" t="s">
        <v>54944</v>
      </c>
      <c r="C6616" s="58" t="str">
        <f>""</f>
        <v/>
      </c>
      <c r="D6616" s="58" t="str">
        <f>"15460096"</f>
        <v>15460096</v>
      </c>
      <c r="E6616" s="46" t="s">
        <v>2299</v>
      </c>
      <c r="F6616" s="46" t="s">
        <v>50646</v>
      </c>
      <c r="G6616" s="46" t="s">
        <v>50584</v>
      </c>
      <c r="H6616" s="48" t="s">
        <v>56716</v>
      </c>
      <c r="I6616" s="48" t="s">
        <v>50564</v>
      </c>
      <c r="J6616" s="48" t="s">
        <v>56716</v>
      </c>
      <c r="K6616" s="50" t="s">
        <v>56716</v>
      </c>
      <c r="L6616" s="48" t="s">
        <v>56716</v>
      </c>
    </row>
    <row r="6617" spans="1:12" ht="11.25" x14ac:dyDescent="0.2">
      <c r="A6617" s="46" t="s">
        <v>3503</v>
      </c>
      <c r="B6617" s="46" t="s">
        <v>54945</v>
      </c>
      <c r="C6617" s="58" t="str">
        <f>"01790358"</f>
        <v>01790358</v>
      </c>
      <c r="D6617" s="58" t="str">
        <f>"14379813"</f>
        <v>14379813</v>
      </c>
      <c r="E6617" s="46" t="s">
        <v>167</v>
      </c>
      <c r="F6617" s="46" t="s">
        <v>18158</v>
      </c>
      <c r="G6617" s="46" t="s">
        <v>50584</v>
      </c>
      <c r="H6617" s="48" t="s">
        <v>56716</v>
      </c>
      <c r="I6617" s="48" t="s">
        <v>50564</v>
      </c>
      <c r="J6617" s="48" t="s">
        <v>56716</v>
      </c>
      <c r="K6617" s="50" t="s">
        <v>56716</v>
      </c>
      <c r="L6617" s="48" t="s">
        <v>56716</v>
      </c>
    </row>
    <row r="6618" spans="1:12" ht="11.25" x14ac:dyDescent="0.2">
      <c r="A6618" s="46" t="s">
        <v>7852</v>
      </c>
      <c r="B6618" s="46" t="s">
        <v>54946</v>
      </c>
      <c r="C6618" s="58" t="str">
        <f>"13973142"</f>
        <v>13973142</v>
      </c>
      <c r="D6618" s="58" t="str">
        <f>"13993046"</f>
        <v>13993046</v>
      </c>
      <c r="E6618" s="46" t="s">
        <v>548</v>
      </c>
      <c r="F6618" s="46" t="s">
        <v>17759</v>
      </c>
      <c r="G6618" s="46" t="s">
        <v>50584</v>
      </c>
      <c r="H6618" s="48" t="s">
        <v>56716</v>
      </c>
      <c r="I6618" s="48" t="s">
        <v>50564</v>
      </c>
      <c r="J6618" s="48"/>
      <c r="K6618" s="50" t="s">
        <v>56716</v>
      </c>
      <c r="L6618" s="48" t="s">
        <v>56716</v>
      </c>
    </row>
    <row r="6619" spans="1:12" ht="11.25" x14ac:dyDescent="0.2">
      <c r="A6619" s="46" t="s">
        <v>14691</v>
      </c>
      <c r="B6619" s="46" t="s">
        <v>54947</v>
      </c>
      <c r="C6619" s="58" t="str">
        <f>"2151321X"</f>
        <v>2151321X</v>
      </c>
      <c r="D6619" s="58" t="str">
        <f>"21513228"</f>
        <v>21513228</v>
      </c>
      <c r="E6619" s="46" t="s">
        <v>4337</v>
      </c>
      <c r="F6619" s="46" t="s">
        <v>17759</v>
      </c>
      <c r="G6619" s="46" t="s">
        <v>50584</v>
      </c>
      <c r="H6619" s="48" t="s">
        <v>56716</v>
      </c>
      <c r="I6619" s="48" t="s">
        <v>50564</v>
      </c>
      <c r="J6619" s="48" t="s">
        <v>56716</v>
      </c>
      <c r="K6619" s="57"/>
      <c r="L6619" s="48"/>
    </row>
    <row r="6620" spans="1:12" ht="11.25" x14ac:dyDescent="0.2">
      <c r="A6620" s="46" t="s">
        <v>3355</v>
      </c>
      <c r="B6620" s="46" t="s">
        <v>3355</v>
      </c>
      <c r="C6620" s="58" t="str">
        <f>"00314005"</f>
        <v>00314005</v>
      </c>
      <c r="D6620" s="58" t="str">
        <f>"10984275"</f>
        <v>10984275</v>
      </c>
      <c r="E6620" s="46" t="s">
        <v>3358</v>
      </c>
      <c r="F6620" s="46" t="s">
        <v>17759</v>
      </c>
      <c r="G6620" s="46" t="s">
        <v>50584</v>
      </c>
      <c r="H6620" s="48" t="s">
        <v>56716</v>
      </c>
      <c r="I6620" s="48" t="s">
        <v>50564</v>
      </c>
      <c r="J6620" s="48" t="s">
        <v>56716</v>
      </c>
      <c r="K6620" s="57"/>
      <c r="L6620" s="48" t="s">
        <v>56716</v>
      </c>
    </row>
    <row r="6621" spans="1:12" ht="11.25" x14ac:dyDescent="0.2">
      <c r="A6621" s="46" t="s">
        <v>12860</v>
      </c>
      <c r="B6621" s="46" t="s">
        <v>54948</v>
      </c>
      <c r="C6621" s="58" t="str">
        <f>"18759572"</f>
        <v>18759572</v>
      </c>
      <c r="D6621" s="58" t="str">
        <f>""</f>
        <v/>
      </c>
      <c r="E6621" s="46" t="s">
        <v>2776</v>
      </c>
      <c r="F6621" s="46" t="s">
        <v>19491</v>
      </c>
      <c r="G6621" s="46" t="s">
        <v>50584</v>
      </c>
      <c r="H6621" s="48" t="s">
        <v>56716</v>
      </c>
      <c r="I6621" s="48" t="s">
        <v>50564</v>
      </c>
      <c r="J6621" s="48"/>
      <c r="K6621" s="50" t="s">
        <v>56716</v>
      </c>
      <c r="L6621" s="48" t="s">
        <v>56716</v>
      </c>
    </row>
    <row r="6622" spans="1:12" ht="11.25" x14ac:dyDescent="0.2">
      <c r="A6622" s="46" t="s">
        <v>7984</v>
      </c>
      <c r="B6622" s="46" t="s">
        <v>54949</v>
      </c>
      <c r="C6622" s="58" t="str">
        <f>"01919601"</f>
        <v>01919601</v>
      </c>
      <c r="D6622" s="58" t="str">
        <f>"15263347"</f>
        <v>15263347</v>
      </c>
      <c r="E6622" s="46" t="s">
        <v>3358</v>
      </c>
      <c r="F6622" s="46" t="s">
        <v>17759</v>
      </c>
      <c r="G6622" s="46" t="s">
        <v>50584</v>
      </c>
      <c r="H6622" s="48" t="s">
        <v>56716</v>
      </c>
      <c r="I6622" s="48" t="s">
        <v>50564</v>
      </c>
      <c r="J6622" s="48"/>
      <c r="K6622" s="57"/>
      <c r="L6622" s="48" t="s">
        <v>56716</v>
      </c>
    </row>
    <row r="6623" spans="1:12" ht="11.25" x14ac:dyDescent="0.2">
      <c r="A6623" s="46" t="s">
        <v>8140</v>
      </c>
      <c r="B6623" s="46" t="s">
        <v>54950</v>
      </c>
      <c r="C6623" s="58" t="str">
        <f>"13288067"</f>
        <v>13288067</v>
      </c>
      <c r="D6623" s="58" t="str">
        <f>"1442200X"</f>
        <v>1442200X</v>
      </c>
      <c r="E6623" s="46" t="s">
        <v>296</v>
      </c>
      <c r="F6623" s="46" t="s">
        <v>20082</v>
      </c>
      <c r="G6623" s="46" t="s">
        <v>50584</v>
      </c>
      <c r="H6623" s="48" t="s">
        <v>56716</v>
      </c>
      <c r="I6623" s="48" t="s">
        <v>50564</v>
      </c>
      <c r="J6623" s="48" t="s">
        <v>56716</v>
      </c>
      <c r="K6623" s="50" t="s">
        <v>56716</v>
      </c>
      <c r="L6623" s="48" t="s">
        <v>56716</v>
      </c>
    </row>
    <row r="6624" spans="1:12" ht="11.25" x14ac:dyDescent="0.2">
      <c r="A6624" s="46" t="s">
        <v>15120</v>
      </c>
      <c r="B6624" s="46" t="s">
        <v>54951</v>
      </c>
      <c r="C6624" s="58" t="str">
        <f>"12130494"</f>
        <v>12130494</v>
      </c>
      <c r="D6624" s="58" t="str">
        <f>"18035264"</f>
        <v>18035264</v>
      </c>
      <c r="E6624" s="46" t="s">
        <v>55891</v>
      </c>
      <c r="F6624" s="46" t="s">
        <v>18025</v>
      </c>
      <c r="G6624" s="46" t="s">
        <v>50581</v>
      </c>
      <c r="H6624" s="48" t="s">
        <v>56716</v>
      </c>
      <c r="I6624" s="48" t="s">
        <v>50564</v>
      </c>
      <c r="J6624" s="48"/>
      <c r="K6624" s="57"/>
      <c r="L6624" s="48"/>
    </row>
    <row r="6625" spans="1:12" ht="11.25" x14ac:dyDescent="0.2">
      <c r="A6625" s="46" t="s">
        <v>17043</v>
      </c>
      <c r="B6625" s="46" t="s">
        <v>17043</v>
      </c>
      <c r="C6625" s="58" t="str">
        <f>""</f>
        <v/>
      </c>
      <c r="D6625" s="58" t="str">
        <f>"21678359"</f>
        <v>21678359</v>
      </c>
      <c r="E6625" s="46" t="s">
        <v>17045</v>
      </c>
      <c r="F6625" s="46" t="s">
        <v>17759</v>
      </c>
      <c r="G6625" s="46" t="s">
        <v>50584</v>
      </c>
      <c r="H6625" s="48" t="s">
        <v>56716</v>
      </c>
      <c r="I6625" s="48" t="s">
        <v>50564</v>
      </c>
      <c r="J6625" s="48"/>
      <c r="K6625" s="57"/>
      <c r="L6625" s="48"/>
    </row>
    <row r="6626" spans="1:12" ht="11.25" x14ac:dyDescent="0.2">
      <c r="A6626" s="45" t="s">
        <v>43965</v>
      </c>
      <c r="B6626" s="45" t="s">
        <v>43967</v>
      </c>
      <c r="C6626" s="51" t="s">
        <v>43969</v>
      </c>
      <c r="D6626" s="51"/>
      <c r="E6626" s="45" t="s">
        <v>43970</v>
      </c>
      <c r="F6626" s="45" t="s">
        <v>17759</v>
      </c>
      <c r="G6626" s="45" t="s">
        <v>50584</v>
      </c>
      <c r="H6626" s="56"/>
      <c r="I6626" s="56" t="s">
        <v>50564</v>
      </c>
      <c r="J6626" s="56"/>
      <c r="K6626" s="57"/>
      <c r="L6626" s="56" t="s">
        <v>56716</v>
      </c>
    </row>
    <row r="6627" spans="1:12" ht="11.25" x14ac:dyDescent="0.2">
      <c r="A6627" s="46" t="s">
        <v>3364</v>
      </c>
      <c r="B6627" s="46" t="s">
        <v>3364</v>
      </c>
      <c r="C6627" s="58" t="str">
        <f>"01969781"</f>
        <v>01969781</v>
      </c>
      <c r="D6627" s="58" t="str">
        <f>"18735169"</f>
        <v>18735169</v>
      </c>
      <c r="E6627" s="46" t="s">
        <v>272</v>
      </c>
      <c r="F6627" s="46" t="s">
        <v>17759</v>
      </c>
      <c r="G6627" s="46" t="s">
        <v>50584</v>
      </c>
      <c r="H6627" s="48" t="s">
        <v>56716</v>
      </c>
      <c r="I6627" s="48" t="s">
        <v>50564</v>
      </c>
      <c r="J6627" s="48" t="s">
        <v>56716</v>
      </c>
      <c r="K6627" s="50" t="s">
        <v>56716</v>
      </c>
      <c r="L6627" s="48" t="s">
        <v>56716</v>
      </c>
    </row>
    <row r="6628" spans="1:12" ht="11.25" x14ac:dyDescent="0.2">
      <c r="A6628" s="45" t="s">
        <v>43982</v>
      </c>
      <c r="B6628" s="45" t="s">
        <v>43982</v>
      </c>
      <c r="C6628" s="51" t="s">
        <v>43985</v>
      </c>
      <c r="D6628" s="51" t="s">
        <v>43984</v>
      </c>
      <c r="E6628" s="45" t="s">
        <v>43986</v>
      </c>
      <c r="F6628" s="45" t="s">
        <v>50646</v>
      </c>
      <c r="G6628" s="45" t="s">
        <v>50584</v>
      </c>
      <c r="H6628" s="56"/>
      <c r="I6628" s="56" t="s">
        <v>50564</v>
      </c>
      <c r="J6628" s="56"/>
      <c r="K6628" s="57"/>
      <c r="L6628" s="56" t="s">
        <v>56716</v>
      </c>
    </row>
    <row r="6629" spans="1:12" ht="11.25" x14ac:dyDescent="0.2">
      <c r="A6629" s="45" t="s">
        <v>43988</v>
      </c>
      <c r="B6629" s="45" t="s">
        <v>43990</v>
      </c>
      <c r="C6629" s="51" t="s">
        <v>43992</v>
      </c>
      <c r="D6629" s="51"/>
      <c r="E6629" s="45" t="s">
        <v>43993</v>
      </c>
      <c r="F6629" s="45" t="s">
        <v>17759</v>
      </c>
      <c r="G6629" s="45" t="s">
        <v>50584</v>
      </c>
      <c r="H6629" s="56"/>
      <c r="I6629" s="56" t="s">
        <v>50564</v>
      </c>
      <c r="J6629" s="56"/>
      <c r="K6629" s="57"/>
      <c r="L6629" s="56" t="s">
        <v>56716</v>
      </c>
    </row>
    <row r="6630" spans="1:12" ht="11.25" x14ac:dyDescent="0.2">
      <c r="A6630" s="46" t="s">
        <v>10089</v>
      </c>
      <c r="B6630" s="46" t="s">
        <v>43995</v>
      </c>
      <c r="C6630" s="58" t="str">
        <f>"09350020"</f>
        <v>09350020</v>
      </c>
      <c r="D6630" s="58" t="str">
        <f>"14324334"</f>
        <v>14324334</v>
      </c>
      <c r="E6630" s="46" t="s">
        <v>10092</v>
      </c>
      <c r="F6630" s="46" t="s">
        <v>18158</v>
      </c>
      <c r="G6630" s="46" t="s">
        <v>50592</v>
      </c>
      <c r="H6630" s="48" t="s">
        <v>56716</v>
      </c>
      <c r="I6630" s="48" t="s">
        <v>50564</v>
      </c>
      <c r="J6630" s="48"/>
      <c r="K6630" s="57"/>
      <c r="L6630" s="48"/>
    </row>
    <row r="6631" spans="1:12" ht="11.25" x14ac:dyDescent="0.2">
      <c r="A6631" s="46" t="s">
        <v>4227</v>
      </c>
      <c r="B6631" s="46" t="s">
        <v>43995</v>
      </c>
      <c r="C6631" s="58" t="str">
        <f>"02676591"</f>
        <v>02676591</v>
      </c>
      <c r="D6631" s="58" t="str">
        <f>"1477111X"</f>
        <v>1477111X</v>
      </c>
      <c r="E6631" s="46" t="s">
        <v>97</v>
      </c>
      <c r="F6631" s="46" t="s">
        <v>50646</v>
      </c>
      <c r="G6631" s="46" t="s">
        <v>50584</v>
      </c>
      <c r="H6631" s="48" t="s">
        <v>56716</v>
      </c>
      <c r="I6631" s="48" t="s">
        <v>50564</v>
      </c>
      <c r="J6631" s="48" t="s">
        <v>56716</v>
      </c>
      <c r="K6631" s="57"/>
      <c r="L6631" s="48" t="s">
        <v>56716</v>
      </c>
    </row>
    <row r="6632" spans="1:12" ht="11.25" x14ac:dyDescent="0.2">
      <c r="A6632" s="46" t="s">
        <v>8489</v>
      </c>
      <c r="B6632" s="46" t="s">
        <v>8489</v>
      </c>
      <c r="C6632" s="58" t="str">
        <f>"09722408"</f>
        <v>09722408</v>
      </c>
      <c r="D6632" s="58" t="str">
        <f>""</f>
        <v/>
      </c>
      <c r="E6632" s="46" t="s">
        <v>8491</v>
      </c>
      <c r="F6632" s="46" t="s">
        <v>20446</v>
      </c>
      <c r="G6632" s="46" t="s">
        <v>50584</v>
      </c>
      <c r="H6632" s="48" t="s">
        <v>56716</v>
      </c>
      <c r="I6632" s="48" t="s">
        <v>50564</v>
      </c>
      <c r="J6632" s="48"/>
      <c r="K6632" s="57"/>
      <c r="L6632" s="48"/>
    </row>
    <row r="6633" spans="1:12" ht="11.25" x14ac:dyDescent="0.2">
      <c r="A6633" s="46" t="s">
        <v>3339</v>
      </c>
      <c r="B6633" s="46" t="s">
        <v>54952</v>
      </c>
      <c r="C6633" s="58" t="str">
        <f>"00315362"</f>
        <v>00315362</v>
      </c>
      <c r="D6633" s="58" t="str">
        <f>""</f>
        <v/>
      </c>
      <c r="E6633" s="46" t="s">
        <v>3341</v>
      </c>
      <c r="F6633" s="46" t="s">
        <v>18079</v>
      </c>
      <c r="G6633" s="46" t="s">
        <v>50584</v>
      </c>
      <c r="H6633" s="48" t="s">
        <v>56716</v>
      </c>
      <c r="I6633" s="48" t="s">
        <v>50564</v>
      </c>
      <c r="J6633" s="48"/>
      <c r="K6633" s="57"/>
      <c r="L6633" s="48"/>
    </row>
    <row r="6634" spans="1:12" ht="11.25" x14ac:dyDescent="0.2">
      <c r="A6634" s="45" t="s">
        <v>43998</v>
      </c>
      <c r="B6634" s="45" t="s">
        <v>44000</v>
      </c>
      <c r="C6634" s="51" t="s">
        <v>44002</v>
      </c>
      <c r="D6634" s="51" t="s">
        <v>44001</v>
      </c>
      <c r="E6634" s="45" t="s">
        <v>50</v>
      </c>
      <c r="F6634" s="45" t="s">
        <v>18305</v>
      </c>
      <c r="G6634" s="45" t="s">
        <v>50584</v>
      </c>
      <c r="H6634" s="56"/>
      <c r="I6634" s="56" t="s">
        <v>50564</v>
      </c>
      <c r="J6634" s="56"/>
      <c r="K6634" s="57"/>
      <c r="L6634" s="56" t="s">
        <v>56716</v>
      </c>
    </row>
    <row r="6635" spans="1:12" ht="11.25" x14ac:dyDescent="0.2">
      <c r="A6635" s="46" t="s">
        <v>17331</v>
      </c>
      <c r="B6635" s="46" t="s">
        <v>54953</v>
      </c>
      <c r="C6635" s="58" t="str">
        <f>""</f>
        <v/>
      </c>
      <c r="D6635" s="58" t="str">
        <f>"20470525"</f>
        <v>20470525</v>
      </c>
      <c r="E6635" s="46" t="s">
        <v>2299</v>
      </c>
      <c r="F6635" s="46" t="s">
        <v>50646</v>
      </c>
      <c r="G6635" s="46" t="s">
        <v>50584</v>
      </c>
      <c r="H6635" s="48" t="s">
        <v>56716</v>
      </c>
      <c r="I6635" s="48" t="s">
        <v>50564</v>
      </c>
      <c r="J6635" s="48" t="s">
        <v>56716</v>
      </c>
      <c r="K6635" s="57"/>
      <c r="L6635" s="48"/>
    </row>
    <row r="6636" spans="1:12" ht="11.25" x14ac:dyDescent="0.2">
      <c r="A6636" s="46" t="s">
        <v>4690</v>
      </c>
      <c r="B6636" s="46" t="s">
        <v>54954</v>
      </c>
      <c r="C6636" s="58" t="str">
        <f>"08968608"</f>
        <v>08968608</v>
      </c>
      <c r="D6636" s="58" t="str">
        <f>"17184304"</f>
        <v>17184304</v>
      </c>
      <c r="E6636" s="46" t="s">
        <v>4693</v>
      </c>
      <c r="F6636" s="46" t="s">
        <v>18959</v>
      </c>
      <c r="G6636" s="46" t="s">
        <v>50584</v>
      </c>
      <c r="H6636" s="48" t="s">
        <v>56716</v>
      </c>
      <c r="I6636" s="48" t="s">
        <v>50564</v>
      </c>
      <c r="J6636" s="48" t="s">
        <v>56716</v>
      </c>
      <c r="K6636" s="57"/>
      <c r="L6636" s="48" t="s">
        <v>56716</v>
      </c>
    </row>
    <row r="6637" spans="1:12" ht="11.25" x14ac:dyDescent="0.2">
      <c r="A6637" s="45" t="s">
        <v>44017</v>
      </c>
      <c r="B6637" s="45" t="s">
        <v>44019</v>
      </c>
      <c r="C6637" s="51" t="s">
        <v>44022</v>
      </c>
      <c r="D6637" s="51" t="s">
        <v>44021</v>
      </c>
      <c r="E6637" s="45" t="s">
        <v>44023</v>
      </c>
      <c r="F6637" s="45" t="s">
        <v>17759</v>
      </c>
      <c r="G6637" s="45" t="s">
        <v>50584</v>
      </c>
      <c r="H6637" s="56"/>
      <c r="I6637" s="56" t="s">
        <v>50564</v>
      </c>
      <c r="J6637" s="56"/>
      <c r="K6637" s="57"/>
      <c r="L6637" s="56" t="s">
        <v>56716</v>
      </c>
    </row>
    <row r="6638" spans="1:12" ht="11.25" x14ac:dyDescent="0.2">
      <c r="A6638" s="45" t="s">
        <v>44025</v>
      </c>
      <c r="B6638" s="45" t="s">
        <v>44027</v>
      </c>
      <c r="C6638" s="51" t="s">
        <v>44029</v>
      </c>
      <c r="D6638" s="51" t="s">
        <v>44028</v>
      </c>
      <c r="E6638" s="45" t="s">
        <v>20207</v>
      </c>
      <c r="F6638" s="45" t="s">
        <v>50646</v>
      </c>
      <c r="G6638" s="45" t="s">
        <v>50584</v>
      </c>
      <c r="H6638" s="56"/>
      <c r="I6638" s="56" t="s">
        <v>50564</v>
      </c>
      <c r="J6638" s="56"/>
      <c r="K6638" s="57"/>
      <c r="L6638" s="56" t="s">
        <v>56716</v>
      </c>
    </row>
    <row r="6639" spans="1:12" ht="11.25" x14ac:dyDescent="0.2">
      <c r="A6639" s="45" t="s">
        <v>44031</v>
      </c>
      <c r="B6639" s="45" t="s">
        <v>44033</v>
      </c>
      <c r="C6639" s="51" t="s">
        <v>44035</v>
      </c>
      <c r="D6639" s="51" t="s">
        <v>44034</v>
      </c>
      <c r="E6639" s="45" t="s">
        <v>19447</v>
      </c>
      <c r="F6639" s="45" t="s">
        <v>17759</v>
      </c>
      <c r="G6639" s="45" t="s">
        <v>50584</v>
      </c>
      <c r="H6639" s="56"/>
      <c r="I6639" s="56" t="s">
        <v>50564</v>
      </c>
      <c r="J6639" s="56"/>
      <c r="K6639" s="57"/>
      <c r="L6639" s="56" t="s">
        <v>56716</v>
      </c>
    </row>
    <row r="6640" spans="1:12" ht="11.25" x14ac:dyDescent="0.2">
      <c r="A6640" s="45" t="s">
        <v>44037</v>
      </c>
      <c r="B6640" s="45" t="s">
        <v>44039</v>
      </c>
      <c r="C6640" s="51" t="s">
        <v>44041</v>
      </c>
      <c r="D6640" s="51" t="s">
        <v>44040</v>
      </c>
      <c r="E6640" s="45" t="s">
        <v>44042</v>
      </c>
      <c r="F6640" s="45" t="s">
        <v>17759</v>
      </c>
      <c r="G6640" s="45" t="s">
        <v>50584</v>
      </c>
      <c r="H6640" s="56"/>
      <c r="I6640" s="56" t="s">
        <v>50564</v>
      </c>
      <c r="J6640" s="56"/>
      <c r="K6640" s="57"/>
      <c r="L6640" s="56" t="s">
        <v>56716</v>
      </c>
    </row>
    <row r="6641" spans="1:12" ht="11.25" x14ac:dyDescent="0.2">
      <c r="A6641" s="46" t="s">
        <v>11188</v>
      </c>
      <c r="B6641" s="46" t="s">
        <v>54955</v>
      </c>
      <c r="C6641" s="58" t="str">
        <f>"17410541"</f>
        <v>17410541</v>
      </c>
      <c r="D6641" s="58" t="str">
        <f>"1744828X"</f>
        <v>1744828X</v>
      </c>
      <c r="E6641" s="46" t="s">
        <v>8442</v>
      </c>
      <c r="F6641" s="46" t="s">
        <v>50646</v>
      </c>
      <c r="G6641" s="46" t="s">
        <v>50584</v>
      </c>
      <c r="H6641" s="48" t="s">
        <v>56716</v>
      </c>
      <c r="I6641" s="48" t="s">
        <v>50564</v>
      </c>
      <c r="J6641" s="48" t="s">
        <v>56716</v>
      </c>
      <c r="K6641" s="57"/>
      <c r="L6641" s="48"/>
    </row>
    <row r="6642" spans="1:12" ht="11.25" x14ac:dyDescent="0.2">
      <c r="A6642" s="46" t="s">
        <v>16388</v>
      </c>
      <c r="B6642" s="46" t="s">
        <v>54956</v>
      </c>
      <c r="C6642" s="58" t="str">
        <f>"21864950"</f>
        <v>21864950</v>
      </c>
      <c r="D6642" s="58" t="str">
        <f>"21864950"</f>
        <v>21864950</v>
      </c>
      <c r="E6642" s="46" t="s">
        <v>91</v>
      </c>
      <c r="F6642" s="46" t="s">
        <v>18001</v>
      </c>
      <c r="G6642" s="46" t="s">
        <v>50584</v>
      </c>
      <c r="H6642" s="48" t="s">
        <v>56716</v>
      </c>
      <c r="I6642" s="48" t="s">
        <v>50564</v>
      </c>
      <c r="J6642" s="48" t="s">
        <v>56716</v>
      </c>
      <c r="K6642" s="50" t="s">
        <v>56716</v>
      </c>
      <c r="L6642" s="48"/>
    </row>
    <row r="6643" spans="1:12" ht="11.25" x14ac:dyDescent="0.2">
      <c r="A6643" s="45" t="s">
        <v>44044</v>
      </c>
      <c r="B6643" s="45" t="s">
        <v>44046</v>
      </c>
      <c r="C6643" s="51" t="s">
        <v>44048</v>
      </c>
      <c r="D6643" s="51"/>
      <c r="E6643" s="45" t="s">
        <v>44049</v>
      </c>
      <c r="F6643" s="45" t="s">
        <v>18959</v>
      </c>
      <c r="G6643" s="45" t="s">
        <v>50590</v>
      </c>
      <c r="H6643" s="56"/>
      <c r="I6643" s="56" t="s">
        <v>50564</v>
      </c>
      <c r="J6643" s="56"/>
      <c r="K6643" s="57"/>
      <c r="L6643" s="56" t="s">
        <v>56716</v>
      </c>
    </row>
    <row r="6644" spans="1:12" ht="11.25" x14ac:dyDescent="0.2">
      <c r="A6644" s="45" t="s">
        <v>44051</v>
      </c>
      <c r="B6644" s="45" t="s">
        <v>44053</v>
      </c>
      <c r="C6644" s="51" t="s">
        <v>44054</v>
      </c>
      <c r="D6644" s="51"/>
      <c r="E6644" s="45" t="s">
        <v>44055</v>
      </c>
      <c r="F6644" s="45" t="s">
        <v>18959</v>
      </c>
      <c r="G6644" s="45" t="s">
        <v>50584</v>
      </c>
      <c r="H6644" s="56"/>
      <c r="I6644" s="56" t="s">
        <v>50564</v>
      </c>
      <c r="J6644" s="56"/>
      <c r="K6644" s="57"/>
      <c r="L6644" s="56" t="s">
        <v>56716</v>
      </c>
    </row>
    <row r="6645" spans="1:12" ht="11.25" x14ac:dyDescent="0.2">
      <c r="A6645" s="45" t="s">
        <v>44057</v>
      </c>
      <c r="B6645" s="45" t="s">
        <v>44059</v>
      </c>
      <c r="C6645" s="51" t="s">
        <v>44061</v>
      </c>
      <c r="D6645" s="51" t="s">
        <v>44060</v>
      </c>
      <c r="E6645" s="45" t="s">
        <v>23783</v>
      </c>
      <c r="F6645" s="45" t="s">
        <v>17759</v>
      </c>
      <c r="G6645" s="45" t="s">
        <v>50584</v>
      </c>
      <c r="H6645" s="56"/>
      <c r="I6645" s="56" t="s">
        <v>50564</v>
      </c>
      <c r="J6645" s="56"/>
      <c r="K6645" s="57"/>
      <c r="L6645" s="56" t="s">
        <v>56716</v>
      </c>
    </row>
    <row r="6646" spans="1:12" ht="11.25" x14ac:dyDescent="0.2">
      <c r="A6646" s="45" t="s">
        <v>44064</v>
      </c>
      <c r="B6646" s="45" t="s">
        <v>44066</v>
      </c>
      <c r="C6646" s="51"/>
      <c r="D6646" s="51" t="s">
        <v>44067</v>
      </c>
      <c r="E6646" s="45" t="s">
        <v>33854</v>
      </c>
      <c r="F6646" s="45" t="s">
        <v>17759</v>
      </c>
      <c r="G6646" s="45" t="s">
        <v>50584</v>
      </c>
      <c r="H6646" s="56"/>
      <c r="I6646" s="56" t="s">
        <v>50564</v>
      </c>
      <c r="J6646" s="56"/>
      <c r="K6646" s="57"/>
      <c r="L6646" s="56" t="s">
        <v>56716</v>
      </c>
    </row>
    <row r="6647" spans="1:12" ht="11.25" x14ac:dyDescent="0.2">
      <c r="A6647" s="46" t="s">
        <v>12415</v>
      </c>
      <c r="B6647" s="46" t="s">
        <v>54957</v>
      </c>
      <c r="C6647" s="58" t="str">
        <f>""</f>
        <v/>
      </c>
      <c r="D6647" s="58" t="str">
        <f>"1177391X"</f>
        <v>1177391X</v>
      </c>
      <c r="E6647" s="46" t="s">
        <v>11251</v>
      </c>
      <c r="F6647" s="46" t="s">
        <v>19483</v>
      </c>
      <c r="G6647" s="46" t="s">
        <v>50584</v>
      </c>
      <c r="H6647" s="48" t="s">
        <v>56716</v>
      </c>
      <c r="I6647" s="48" t="s">
        <v>50564</v>
      </c>
      <c r="J6647" s="48"/>
      <c r="K6647" s="57"/>
      <c r="L6647" s="48"/>
    </row>
    <row r="6648" spans="1:12" ht="11.25" x14ac:dyDescent="0.2">
      <c r="A6648" s="46" t="s">
        <v>16282</v>
      </c>
      <c r="B6648" s="46" t="s">
        <v>54958</v>
      </c>
      <c r="C6648" s="58" t="str">
        <f>"2211968X"</f>
        <v>2211968X</v>
      </c>
      <c r="D6648" s="58" t="str">
        <f>""</f>
        <v/>
      </c>
      <c r="E6648" s="46" t="s">
        <v>6159</v>
      </c>
      <c r="F6648" s="46" t="s">
        <v>18158</v>
      </c>
      <c r="G6648" s="46" t="s">
        <v>50584</v>
      </c>
      <c r="H6648" s="48" t="s">
        <v>56716</v>
      </c>
      <c r="I6648" s="48" t="s">
        <v>50564</v>
      </c>
      <c r="J6648" s="48" t="s">
        <v>56716</v>
      </c>
      <c r="K6648" s="57"/>
      <c r="L6648" s="48"/>
    </row>
    <row r="6649" spans="1:12" ht="11.25" x14ac:dyDescent="0.2">
      <c r="A6649" s="45" t="s">
        <v>44069</v>
      </c>
      <c r="B6649" s="45" t="s">
        <v>44071</v>
      </c>
      <c r="C6649" s="51" t="s">
        <v>44073</v>
      </c>
      <c r="D6649" s="51" t="s">
        <v>44072</v>
      </c>
      <c r="E6649" s="45" t="s">
        <v>44074</v>
      </c>
      <c r="F6649" s="45" t="s">
        <v>17759</v>
      </c>
      <c r="G6649" s="45" t="s">
        <v>50584</v>
      </c>
      <c r="H6649" s="56"/>
      <c r="I6649" s="56" t="s">
        <v>50564</v>
      </c>
      <c r="J6649" s="56"/>
      <c r="K6649" s="57"/>
      <c r="L6649" s="56" t="s">
        <v>56716</v>
      </c>
    </row>
    <row r="6650" spans="1:12" ht="11.25" x14ac:dyDescent="0.2">
      <c r="A6650" s="46" t="s">
        <v>13631</v>
      </c>
      <c r="B6650" s="46" t="s">
        <v>54959</v>
      </c>
      <c r="C6650" s="58" t="str">
        <f>"17579139"</f>
        <v>17579139</v>
      </c>
      <c r="D6650" s="58" t="str">
        <f>"17579147"</f>
        <v>17579147</v>
      </c>
      <c r="E6650" s="46" t="s">
        <v>97</v>
      </c>
      <c r="F6650" s="46" t="s">
        <v>50646</v>
      </c>
      <c r="G6650" s="46" t="s">
        <v>50584</v>
      </c>
      <c r="H6650" s="48" t="s">
        <v>56716</v>
      </c>
      <c r="I6650" s="48" t="s">
        <v>50564</v>
      </c>
      <c r="J6650" s="48"/>
      <c r="K6650" s="57"/>
      <c r="L6650" s="48" t="s">
        <v>56716</v>
      </c>
    </row>
    <row r="6651" spans="1:12" ht="11.25" x14ac:dyDescent="0.2">
      <c r="A6651" s="46" t="s">
        <v>15553</v>
      </c>
      <c r="B6651" s="46" t="s">
        <v>54960</v>
      </c>
      <c r="C6651" s="58" t="str">
        <f>"22107622"</f>
        <v>22107622</v>
      </c>
      <c r="D6651" s="58" t="str">
        <f>"22107630"</f>
        <v>22107630</v>
      </c>
      <c r="E6651" s="46" t="s">
        <v>91</v>
      </c>
      <c r="F6651" s="46" t="s">
        <v>18001</v>
      </c>
      <c r="G6651" s="46" t="s">
        <v>50584</v>
      </c>
      <c r="H6651" s="48" t="s">
        <v>56716</v>
      </c>
      <c r="I6651" s="48" t="s">
        <v>50564</v>
      </c>
      <c r="J6651" s="48" t="s">
        <v>56716</v>
      </c>
      <c r="K6651" s="57"/>
      <c r="L6651" s="48"/>
    </row>
    <row r="6652" spans="1:12" ht="11.25" x14ac:dyDescent="0.2">
      <c r="A6652" s="46" t="s">
        <v>11953</v>
      </c>
      <c r="B6652" s="46" t="s">
        <v>54961</v>
      </c>
      <c r="C6652" s="58" t="str">
        <f>"15310035"</f>
        <v>15310035</v>
      </c>
      <c r="D6652" s="58" t="str">
        <f>"15310027"</f>
        <v>15310027</v>
      </c>
      <c r="E6652" s="46" t="s">
        <v>493</v>
      </c>
      <c r="F6652" s="46" t="s">
        <v>17759</v>
      </c>
      <c r="G6652" s="46" t="s">
        <v>50584</v>
      </c>
      <c r="H6652" s="48" t="s">
        <v>56716</v>
      </c>
      <c r="I6652" s="48" t="s">
        <v>50564</v>
      </c>
      <c r="J6652" s="48" t="s">
        <v>56716</v>
      </c>
      <c r="K6652" s="57"/>
      <c r="L6652" s="48"/>
    </row>
    <row r="6653" spans="1:12" ht="11.25" x14ac:dyDescent="0.2">
      <c r="A6653" s="45" t="s">
        <v>44087</v>
      </c>
      <c r="B6653" s="45" t="s">
        <v>44089</v>
      </c>
      <c r="C6653" s="51" t="s">
        <v>44092</v>
      </c>
      <c r="D6653" s="51" t="s">
        <v>44091</v>
      </c>
      <c r="E6653" s="45" t="s">
        <v>33116</v>
      </c>
      <c r="F6653" s="45" t="s">
        <v>17759</v>
      </c>
      <c r="G6653" s="45" t="s">
        <v>50584</v>
      </c>
      <c r="H6653" s="56"/>
      <c r="I6653" s="56" t="s">
        <v>50564</v>
      </c>
      <c r="J6653" s="56"/>
      <c r="K6653" s="57"/>
      <c r="L6653" s="56" t="s">
        <v>56716</v>
      </c>
    </row>
    <row r="6654" spans="1:12" ht="11.25" x14ac:dyDescent="0.2">
      <c r="A6654" s="45" t="s">
        <v>44095</v>
      </c>
      <c r="B6654" s="45" t="s">
        <v>44097</v>
      </c>
      <c r="C6654" s="51" t="s">
        <v>44100</v>
      </c>
      <c r="D6654" s="51" t="s">
        <v>44099</v>
      </c>
      <c r="E6654" s="45" t="s">
        <v>44101</v>
      </c>
      <c r="F6654" s="45" t="s">
        <v>50646</v>
      </c>
      <c r="G6654" s="45" t="s">
        <v>50584</v>
      </c>
      <c r="H6654" s="56"/>
      <c r="I6654" s="56" t="s">
        <v>50564</v>
      </c>
      <c r="J6654" s="56"/>
      <c r="K6654" s="57"/>
      <c r="L6654" s="56" t="s">
        <v>56716</v>
      </c>
    </row>
    <row r="6655" spans="1:12" ht="11.25" x14ac:dyDescent="0.2">
      <c r="A6655" s="45" t="s">
        <v>44103</v>
      </c>
      <c r="B6655" s="45" t="s">
        <v>44105</v>
      </c>
      <c r="C6655" s="51" t="s">
        <v>44107</v>
      </c>
      <c r="D6655" s="51" t="s">
        <v>44106</v>
      </c>
      <c r="E6655" s="45" t="s">
        <v>601</v>
      </c>
      <c r="F6655" s="45" t="s">
        <v>17759</v>
      </c>
      <c r="G6655" s="45" t="s">
        <v>50584</v>
      </c>
      <c r="H6655" s="56"/>
      <c r="I6655" s="56" t="s">
        <v>50564</v>
      </c>
      <c r="J6655" s="56"/>
      <c r="K6655" s="57"/>
      <c r="L6655" s="56" t="s">
        <v>56716</v>
      </c>
    </row>
    <row r="6656" spans="1:12" ht="11.25" x14ac:dyDescent="0.2">
      <c r="A6656" s="46" t="s">
        <v>11956</v>
      </c>
      <c r="B6656" s="46" t="s">
        <v>54962</v>
      </c>
      <c r="C6656" s="58" t="str">
        <f>"15568598"</f>
        <v>15568598</v>
      </c>
      <c r="D6656" s="58" t="str">
        <f>"18799809"</f>
        <v>18799809</v>
      </c>
      <c r="E6656" s="46" t="s">
        <v>303</v>
      </c>
      <c r="F6656" s="46" t="s">
        <v>17759</v>
      </c>
      <c r="G6656" s="46" t="s">
        <v>50584</v>
      </c>
      <c r="H6656" s="48" t="s">
        <v>56716</v>
      </c>
      <c r="I6656" s="48" t="s">
        <v>50564</v>
      </c>
      <c r="J6656" s="48" t="s">
        <v>56716</v>
      </c>
      <c r="K6656" s="50" t="s">
        <v>56716</v>
      </c>
      <c r="L6656" s="48" t="s">
        <v>56716</v>
      </c>
    </row>
    <row r="6657" spans="1:12" ht="11.25" x14ac:dyDescent="0.2">
      <c r="A6657" s="45" t="s">
        <v>44110</v>
      </c>
      <c r="B6657" s="45" t="s">
        <v>44110</v>
      </c>
      <c r="C6657" s="51" t="s">
        <v>44112</v>
      </c>
      <c r="D6657" s="51"/>
      <c r="E6657" s="45" t="s">
        <v>32260</v>
      </c>
      <c r="F6657" s="45" t="s">
        <v>18123</v>
      </c>
      <c r="G6657" s="45" t="s">
        <v>50593</v>
      </c>
      <c r="H6657" s="56"/>
      <c r="I6657" s="56" t="s">
        <v>50564</v>
      </c>
      <c r="J6657" s="56"/>
      <c r="K6657" s="57"/>
      <c r="L6657" s="56" t="s">
        <v>56716</v>
      </c>
    </row>
    <row r="6658" spans="1:12" ht="11.25" x14ac:dyDescent="0.2">
      <c r="A6658" s="45" t="s">
        <v>44121</v>
      </c>
      <c r="B6658" s="45" t="s">
        <v>44123</v>
      </c>
      <c r="C6658" s="51" t="s">
        <v>44125</v>
      </c>
      <c r="D6658" s="51"/>
      <c r="E6658" s="45" t="s">
        <v>44126</v>
      </c>
      <c r="F6658" s="45" t="s">
        <v>18158</v>
      </c>
      <c r="G6658" s="45" t="s">
        <v>50593</v>
      </c>
      <c r="H6658" s="56"/>
      <c r="I6658" s="56" t="s">
        <v>50564</v>
      </c>
      <c r="J6658" s="56"/>
      <c r="K6658" s="57"/>
      <c r="L6658" s="56" t="s">
        <v>56716</v>
      </c>
    </row>
    <row r="6659" spans="1:12" ht="11.25" x14ac:dyDescent="0.2">
      <c r="A6659" s="46" t="s">
        <v>3370</v>
      </c>
      <c r="B6659" s="46" t="s">
        <v>54963</v>
      </c>
      <c r="C6659" s="58" t="str">
        <f>"00316768"</f>
        <v>00316768</v>
      </c>
      <c r="D6659" s="58" t="str">
        <f>"14322013"</f>
        <v>14322013</v>
      </c>
      <c r="E6659" s="46" t="s">
        <v>167</v>
      </c>
      <c r="F6659" s="46" t="s">
        <v>18158</v>
      </c>
      <c r="G6659" s="46" t="s">
        <v>50584</v>
      </c>
      <c r="H6659" s="48" t="s">
        <v>56716</v>
      </c>
      <c r="I6659" s="48" t="s">
        <v>50564</v>
      </c>
      <c r="J6659" s="48" t="s">
        <v>56716</v>
      </c>
      <c r="K6659" s="50" t="s">
        <v>56716</v>
      </c>
      <c r="L6659" s="48" t="s">
        <v>56716</v>
      </c>
    </row>
    <row r="6660" spans="1:12" ht="11.25" x14ac:dyDescent="0.2">
      <c r="A6660" s="46" t="s">
        <v>14926</v>
      </c>
      <c r="B6660" s="46" t="s">
        <v>54964</v>
      </c>
      <c r="C6660" s="58" t="str">
        <f>""</f>
        <v/>
      </c>
      <c r="D6660" s="58" t="str">
        <f>"09758216"</f>
        <v>09758216</v>
      </c>
      <c r="E6660" s="46" t="s">
        <v>14928</v>
      </c>
      <c r="F6660" s="46" t="s">
        <v>20446</v>
      </c>
      <c r="G6660" s="46" t="s">
        <v>50584</v>
      </c>
      <c r="H6660" s="48" t="s">
        <v>56716</v>
      </c>
      <c r="I6660" s="48" t="s">
        <v>50564</v>
      </c>
      <c r="J6660" s="48"/>
      <c r="K6660" s="57"/>
      <c r="L6660" s="48"/>
    </row>
    <row r="6661" spans="1:12" ht="11.25" x14ac:dyDescent="0.2">
      <c r="A6661" s="46" t="s">
        <v>11563</v>
      </c>
      <c r="B6661" s="46" t="s">
        <v>11563</v>
      </c>
      <c r="C6661" s="58" t="str">
        <f>"00316849"</f>
        <v>00316849</v>
      </c>
      <c r="D6661" s="58" t="str">
        <f>""</f>
        <v/>
      </c>
      <c r="E6661" s="46" t="s">
        <v>11565</v>
      </c>
      <c r="F6661" s="46" t="s">
        <v>20446</v>
      </c>
      <c r="G6661" s="46" t="s">
        <v>50584</v>
      </c>
      <c r="H6661" s="48" t="s">
        <v>56716</v>
      </c>
      <c r="I6661" s="48" t="s">
        <v>50564</v>
      </c>
      <c r="J6661" s="48"/>
      <c r="K6661" s="57"/>
      <c r="L6661" s="48"/>
    </row>
    <row r="6662" spans="1:12" ht="11.25" x14ac:dyDescent="0.2">
      <c r="A6662" s="46" t="s">
        <v>4977</v>
      </c>
      <c r="B6662" s="46" t="s">
        <v>4977</v>
      </c>
      <c r="C6662" s="58" t="str">
        <f>"00316857"</f>
        <v>00316857</v>
      </c>
      <c r="D6662" s="58" t="str">
        <f>""</f>
        <v/>
      </c>
      <c r="E6662" s="46" t="s">
        <v>4979</v>
      </c>
      <c r="F6662" s="46" t="s">
        <v>18079</v>
      </c>
      <c r="G6662" s="46" t="s">
        <v>50598</v>
      </c>
      <c r="H6662" s="48" t="s">
        <v>56716</v>
      </c>
      <c r="I6662" s="48" t="s">
        <v>50564</v>
      </c>
      <c r="J6662" s="48"/>
      <c r="K6662" s="57"/>
      <c r="L6662" s="48"/>
    </row>
    <row r="6663" spans="1:12" ht="11.25" x14ac:dyDescent="0.2">
      <c r="A6663" s="46" t="s">
        <v>7768</v>
      </c>
      <c r="B6663" s="46" t="s">
        <v>54965</v>
      </c>
      <c r="C6663" s="58" t="str">
        <f>"13880209"</f>
        <v>13880209</v>
      </c>
      <c r="D6663" s="58" t="str">
        <f>"17445116"</f>
        <v>17445116</v>
      </c>
      <c r="E6663" s="46" t="s">
        <v>291</v>
      </c>
      <c r="F6663" s="46" t="s">
        <v>50646</v>
      </c>
      <c r="G6663" s="46" t="s">
        <v>50584</v>
      </c>
      <c r="H6663" s="48" t="s">
        <v>56716</v>
      </c>
      <c r="I6663" s="48" t="s">
        <v>50564</v>
      </c>
      <c r="J6663" s="48"/>
      <c r="K6663" s="57"/>
      <c r="L6663" s="48" t="s">
        <v>56716</v>
      </c>
    </row>
    <row r="6664" spans="1:12" ht="11.25" x14ac:dyDescent="0.2">
      <c r="A6664" s="46" t="s">
        <v>10051</v>
      </c>
      <c r="B6664" s="46" t="s">
        <v>54966</v>
      </c>
      <c r="C6664" s="58" t="str">
        <f>"16712838"</f>
        <v>16712838</v>
      </c>
      <c r="D6664" s="58" t="str">
        <f>""</f>
        <v/>
      </c>
      <c r="E6664" s="46" t="s">
        <v>10053</v>
      </c>
      <c r="F6664" s="46" t="s">
        <v>17958</v>
      </c>
      <c r="G6664" s="46" t="s">
        <v>50585</v>
      </c>
      <c r="H6664" s="48" t="s">
        <v>56716</v>
      </c>
      <c r="I6664" s="48" t="s">
        <v>50564</v>
      </c>
      <c r="J6664" s="48"/>
      <c r="K6664" s="57"/>
      <c r="L6664" s="48"/>
    </row>
    <row r="6665" spans="1:12" ht="11.25" x14ac:dyDescent="0.2">
      <c r="A6665" s="46" t="s">
        <v>8637</v>
      </c>
      <c r="B6665" s="46" t="s">
        <v>54967</v>
      </c>
      <c r="C6665" s="58" t="str">
        <f>""</f>
        <v/>
      </c>
      <c r="D6665" s="58" t="str">
        <f>"11396202"</f>
        <v>11396202</v>
      </c>
      <c r="E6665" s="46" t="s">
        <v>8639</v>
      </c>
      <c r="F6665" s="46" t="s">
        <v>18439</v>
      </c>
      <c r="G6665" s="46" t="s">
        <v>50632</v>
      </c>
      <c r="H6665" s="48" t="s">
        <v>56716</v>
      </c>
      <c r="I6665" s="48" t="s">
        <v>50564</v>
      </c>
      <c r="J6665" s="48"/>
      <c r="K6665" s="57"/>
      <c r="L6665" s="48"/>
    </row>
    <row r="6666" spans="1:12" ht="11.25" x14ac:dyDescent="0.2">
      <c r="A6666" s="46" t="s">
        <v>8025</v>
      </c>
      <c r="B6666" s="46" t="s">
        <v>54968</v>
      </c>
      <c r="C6666" s="58" t="str">
        <f>"0091150X"</f>
        <v>0091150X</v>
      </c>
      <c r="D6666" s="58" t="str">
        <f>"15739031"</f>
        <v>15739031</v>
      </c>
      <c r="E6666" s="46" t="s">
        <v>56305</v>
      </c>
      <c r="F6666" s="46" t="s">
        <v>17759</v>
      </c>
      <c r="G6666" s="46" t="s">
        <v>50584</v>
      </c>
      <c r="H6666" s="48" t="s">
        <v>56716</v>
      </c>
      <c r="I6666" s="48" t="s">
        <v>50564</v>
      </c>
      <c r="J6666" s="48"/>
      <c r="K6666" s="50" t="s">
        <v>56716</v>
      </c>
      <c r="L6666" s="48"/>
    </row>
    <row r="6667" spans="1:12" ht="11.25" x14ac:dyDescent="0.2">
      <c r="A6667" s="46" t="s">
        <v>15649</v>
      </c>
      <c r="B6667" s="46" t="s">
        <v>54969</v>
      </c>
      <c r="C6667" s="58" t="str">
        <f>""</f>
        <v/>
      </c>
      <c r="D6667" s="58" t="str">
        <f>"22102906"</f>
        <v>22102906</v>
      </c>
      <c r="E6667" s="46" t="s">
        <v>6405</v>
      </c>
      <c r="F6667" s="46" t="s">
        <v>18001</v>
      </c>
      <c r="G6667" s="46" t="s">
        <v>50584</v>
      </c>
      <c r="H6667" s="48" t="s">
        <v>56716</v>
      </c>
      <c r="I6667" s="48" t="s">
        <v>50564</v>
      </c>
      <c r="J6667" s="48" t="s">
        <v>56716</v>
      </c>
      <c r="K6667" s="57"/>
      <c r="L6667" s="48"/>
    </row>
    <row r="6668" spans="1:12" ht="11.25" x14ac:dyDescent="0.2">
      <c r="A6668" s="46" t="s">
        <v>7466</v>
      </c>
      <c r="B6668" s="46" t="s">
        <v>54970</v>
      </c>
      <c r="C6668" s="58" t="str">
        <f>"10837450"</f>
        <v>10837450</v>
      </c>
      <c r="D6668" s="58" t="str">
        <f>"10979867"</f>
        <v>10979867</v>
      </c>
      <c r="E6668" s="46" t="s">
        <v>291</v>
      </c>
      <c r="F6668" s="46" t="s">
        <v>17759</v>
      </c>
      <c r="G6668" s="46" t="s">
        <v>50584</v>
      </c>
      <c r="H6668" s="48" t="s">
        <v>56716</v>
      </c>
      <c r="I6668" s="48" t="s">
        <v>50564</v>
      </c>
      <c r="J6668" s="48" t="s">
        <v>56716</v>
      </c>
      <c r="K6668" s="57"/>
      <c r="L6668" s="48" t="s">
        <v>56716</v>
      </c>
    </row>
    <row r="6669" spans="1:12" ht="11.25" x14ac:dyDescent="0.2">
      <c r="A6669" s="46" t="s">
        <v>6776</v>
      </c>
      <c r="B6669" s="46" t="s">
        <v>54971</v>
      </c>
      <c r="C6669" s="58" t="str">
        <f>"02738139"</f>
        <v>02738139</v>
      </c>
      <c r="D6669" s="58" t="str">
        <f>""</f>
        <v/>
      </c>
      <c r="E6669" s="46" t="s">
        <v>6778</v>
      </c>
      <c r="F6669" s="46" t="s">
        <v>17759</v>
      </c>
      <c r="G6669" s="46" t="s">
        <v>50584</v>
      </c>
      <c r="H6669" s="48" t="s">
        <v>56716</v>
      </c>
      <c r="I6669" s="48" t="s">
        <v>50564</v>
      </c>
      <c r="J6669" s="48"/>
      <c r="K6669" s="57"/>
      <c r="L6669" s="48"/>
    </row>
    <row r="6670" spans="1:12" ht="11.25" x14ac:dyDescent="0.2">
      <c r="A6670" s="45" t="s">
        <v>44144</v>
      </c>
      <c r="B6670" s="45" t="s">
        <v>44146</v>
      </c>
      <c r="C6670" s="51" t="s">
        <v>44147</v>
      </c>
      <c r="D6670" s="51"/>
      <c r="E6670" s="45" t="s">
        <v>44148</v>
      </c>
      <c r="F6670" s="45" t="s">
        <v>50646</v>
      </c>
      <c r="G6670" s="45" t="s">
        <v>50584</v>
      </c>
      <c r="H6670" s="56"/>
      <c r="I6670" s="56" t="s">
        <v>50564</v>
      </c>
      <c r="J6670" s="56"/>
      <c r="K6670" s="57"/>
      <c r="L6670" s="56" t="s">
        <v>56716</v>
      </c>
    </row>
    <row r="6671" spans="1:12" ht="11.25" x14ac:dyDescent="0.2">
      <c r="A6671" s="46" t="s">
        <v>4829</v>
      </c>
      <c r="B6671" s="46" t="s">
        <v>54972</v>
      </c>
      <c r="C6671" s="58" t="str">
        <f>"00316873"</f>
        <v>00316873</v>
      </c>
      <c r="D6671" s="58" t="str">
        <f>""</f>
        <v/>
      </c>
      <c r="E6671" s="46" t="s">
        <v>4831</v>
      </c>
      <c r="F6671" s="46" t="s">
        <v>50646</v>
      </c>
      <c r="G6671" s="46" t="s">
        <v>50584</v>
      </c>
      <c r="H6671" s="48" t="s">
        <v>56716</v>
      </c>
      <c r="I6671" s="48" t="s">
        <v>50564</v>
      </c>
      <c r="J6671" s="48"/>
      <c r="K6671" s="57"/>
      <c r="L6671" s="48"/>
    </row>
    <row r="6672" spans="1:12" ht="11.25" x14ac:dyDescent="0.2">
      <c r="A6672" s="46" t="s">
        <v>13188</v>
      </c>
      <c r="B6672" s="46" t="s">
        <v>54973</v>
      </c>
      <c r="C6672" s="58" t="str">
        <f>"14631245"</f>
        <v>14631245</v>
      </c>
      <c r="D6672" s="58" t="str">
        <f>""</f>
        <v/>
      </c>
      <c r="E6672" s="46" t="s">
        <v>9176</v>
      </c>
      <c r="F6672" s="46" t="s">
        <v>50646</v>
      </c>
      <c r="G6672" s="46" t="s">
        <v>50584</v>
      </c>
      <c r="H6672" s="48" t="s">
        <v>56716</v>
      </c>
      <c r="I6672" s="48" t="s">
        <v>50566</v>
      </c>
      <c r="J6672" s="48"/>
      <c r="K6672" s="57"/>
      <c r="L6672" s="48"/>
    </row>
    <row r="6673" spans="1:12" ht="11.25" x14ac:dyDescent="0.2">
      <c r="A6673" s="46" t="s">
        <v>12696</v>
      </c>
      <c r="B6673" s="46" t="s">
        <v>54974</v>
      </c>
      <c r="C6673" s="58" t="str">
        <f>"11782595"</f>
        <v>11782595</v>
      </c>
      <c r="D6673" s="58" t="str">
        <f>"11791993"</f>
        <v>11791993</v>
      </c>
      <c r="E6673" s="46" t="s">
        <v>55920</v>
      </c>
      <c r="F6673" s="46" t="s">
        <v>18123</v>
      </c>
      <c r="G6673" s="46" t="s">
        <v>50584</v>
      </c>
      <c r="H6673" s="48" t="s">
        <v>56716</v>
      </c>
      <c r="I6673" s="48" t="s">
        <v>50564</v>
      </c>
      <c r="J6673" s="48" t="s">
        <v>56716</v>
      </c>
      <c r="K6673" s="57"/>
      <c r="L6673" s="48"/>
    </row>
    <row r="6674" spans="1:12" ht="11.25" x14ac:dyDescent="0.2">
      <c r="A6674" s="46" t="s">
        <v>16658</v>
      </c>
      <c r="B6674" s="46" t="s">
        <v>54975</v>
      </c>
      <c r="C6674" s="58" t="str">
        <f>"22294708"</f>
        <v>22294708</v>
      </c>
      <c r="D6674" s="58" t="str">
        <f>"22294716"</f>
        <v>22294716</v>
      </c>
      <c r="E6674" s="46" t="s">
        <v>19057</v>
      </c>
      <c r="F6674" s="46" t="s">
        <v>20446</v>
      </c>
      <c r="G6674" s="46" t="s">
        <v>50584</v>
      </c>
      <c r="H6674" s="48" t="s">
        <v>56716</v>
      </c>
      <c r="I6674" s="48" t="s">
        <v>50564</v>
      </c>
      <c r="J6674" s="48" t="s">
        <v>56716</v>
      </c>
      <c r="K6674" s="57"/>
      <c r="L6674" s="48"/>
    </row>
    <row r="6675" spans="1:12" ht="11.25" x14ac:dyDescent="0.2">
      <c r="A6675" s="46" t="s">
        <v>17209</v>
      </c>
      <c r="B6675" s="46" t="s">
        <v>54976</v>
      </c>
      <c r="C6675" s="58" t="str">
        <f>"22117385"</f>
        <v>22117385</v>
      </c>
      <c r="D6675" s="58" t="str">
        <f>"22117393"</f>
        <v>22117393</v>
      </c>
      <c r="E6675" s="46" t="s">
        <v>6405</v>
      </c>
      <c r="F6675" s="46" t="s">
        <v>18001</v>
      </c>
      <c r="G6675" s="46" t="s">
        <v>50584</v>
      </c>
      <c r="H6675" s="48" t="s">
        <v>56716</v>
      </c>
      <c r="I6675" s="48" t="s">
        <v>50564</v>
      </c>
      <c r="J6675" s="48" t="s">
        <v>56716</v>
      </c>
      <c r="K6675" s="57"/>
      <c r="L6675" s="48"/>
    </row>
    <row r="6676" spans="1:12" ht="11.25" x14ac:dyDescent="0.2">
      <c r="A6676" s="46" t="s">
        <v>14701</v>
      </c>
      <c r="B6676" s="46" t="s">
        <v>54977</v>
      </c>
      <c r="C6676" s="58" t="str">
        <f>"19453337"</f>
        <v>19453337</v>
      </c>
      <c r="D6676" s="58" t="str">
        <f>""</f>
        <v/>
      </c>
      <c r="E6676" s="46" t="s">
        <v>9179</v>
      </c>
      <c r="F6676" s="46" t="s">
        <v>17759</v>
      </c>
      <c r="G6676" s="46" t="s">
        <v>50584</v>
      </c>
      <c r="H6676" s="48" t="s">
        <v>56716</v>
      </c>
      <c r="I6676" s="48" t="s">
        <v>50564</v>
      </c>
      <c r="J6676" s="48"/>
      <c r="K6676" s="57"/>
      <c r="L6676" s="48"/>
    </row>
    <row r="6677" spans="1:12" ht="11.25" x14ac:dyDescent="0.2">
      <c r="A6677" s="46" t="s">
        <v>16418</v>
      </c>
      <c r="B6677" s="46" t="s">
        <v>55867</v>
      </c>
      <c r="C6677" s="58" t="str">
        <f>"20468954"</f>
        <v>20468954</v>
      </c>
      <c r="D6677" s="58" t="str">
        <f>"20468962"</f>
        <v>20468962</v>
      </c>
      <c r="E6677" s="46" t="s">
        <v>8442</v>
      </c>
      <c r="F6677" s="46" t="s">
        <v>50646</v>
      </c>
      <c r="G6677" s="46" t="s">
        <v>50584</v>
      </c>
      <c r="H6677" s="48" t="s">
        <v>56716</v>
      </c>
      <c r="I6677" s="48" t="s">
        <v>50564</v>
      </c>
      <c r="J6677" s="48" t="s">
        <v>56716</v>
      </c>
      <c r="K6677" s="57"/>
      <c r="L6677" s="48" t="s">
        <v>56716</v>
      </c>
    </row>
    <row r="6678" spans="1:12" ht="11.25" x14ac:dyDescent="0.2">
      <c r="A6678" s="46" t="s">
        <v>13342</v>
      </c>
      <c r="B6678" s="46" t="s">
        <v>54978</v>
      </c>
      <c r="C6678" s="58" t="str">
        <f>"10499156"</f>
        <v>10499156</v>
      </c>
      <c r="D6678" s="58" t="str">
        <f>""</f>
        <v/>
      </c>
      <c r="E6678" s="46" t="s">
        <v>13344</v>
      </c>
      <c r="F6678" s="46" t="s">
        <v>17759</v>
      </c>
      <c r="G6678" s="46" t="s">
        <v>50584</v>
      </c>
      <c r="H6678" s="48" t="s">
        <v>56716</v>
      </c>
      <c r="I6678" s="48" t="s">
        <v>50566</v>
      </c>
      <c r="J6678" s="48"/>
      <c r="K6678" s="57"/>
      <c r="L6678" s="48"/>
    </row>
    <row r="6679" spans="1:12" ht="11.25" x14ac:dyDescent="0.2">
      <c r="A6679" s="46" t="s">
        <v>3400</v>
      </c>
      <c r="B6679" s="46" t="s">
        <v>54979</v>
      </c>
      <c r="C6679" s="58" t="str">
        <f>"07248741"</f>
        <v>07248741</v>
      </c>
      <c r="D6679" s="58" t="str">
        <f>"1573904X"</f>
        <v>1573904X</v>
      </c>
      <c r="E6679" s="46" t="s">
        <v>56305</v>
      </c>
      <c r="F6679" s="46" t="s">
        <v>17759</v>
      </c>
      <c r="G6679" s="46" t="s">
        <v>50584</v>
      </c>
      <c r="H6679" s="48" t="s">
        <v>56716</v>
      </c>
      <c r="I6679" s="48" t="s">
        <v>50564</v>
      </c>
      <c r="J6679" s="48" t="s">
        <v>56716</v>
      </c>
      <c r="K6679" s="50" t="s">
        <v>56716</v>
      </c>
      <c r="L6679" s="48" t="s">
        <v>56716</v>
      </c>
    </row>
    <row r="6680" spans="1:12" ht="11.25" x14ac:dyDescent="0.2">
      <c r="A6680" s="46" t="s">
        <v>13730</v>
      </c>
      <c r="B6680" s="46" t="s">
        <v>54980</v>
      </c>
      <c r="C6680" s="58" t="str">
        <f>""</f>
        <v/>
      </c>
      <c r="D6680" s="58" t="str">
        <f>"19185561"</f>
        <v>19185561</v>
      </c>
      <c r="E6680" s="46" t="s">
        <v>13732</v>
      </c>
      <c r="F6680" s="46" t="s">
        <v>18959</v>
      </c>
      <c r="G6680" s="46" t="s">
        <v>50584</v>
      </c>
      <c r="H6680" s="48" t="s">
        <v>56716</v>
      </c>
      <c r="I6680" s="48" t="s">
        <v>50564</v>
      </c>
      <c r="J6680" s="48"/>
      <c r="K6680" s="57"/>
      <c r="L6680" s="48"/>
    </row>
    <row r="6681" spans="1:12" ht="11.25" x14ac:dyDescent="0.2">
      <c r="A6681" s="46" t="s">
        <v>13619</v>
      </c>
      <c r="B6681" s="46" t="s">
        <v>54981</v>
      </c>
      <c r="C6681" s="58" t="str">
        <f>"1735403X"</f>
        <v>1735403X</v>
      </c>
      <c r="D6681" s="58" t="str">
        <f>""</f>
        <v/>
      </c>
      <c r="E6681" s="46" t="s">
        <v>13621</v>
      </c>
      <c r="F6681" s="46" t="s">
        <v>18232</v>
      </c>
      <c r="G6681" s="46" t="s">
        <v>50609</v>
      </c>
      <c r="H6681" s="48" t="s">
        <v>56716</v>
      </c>
      <c r="I6681" s="48" t="s">
        <v>50564</v>
      </c>
      <c r="J6681" s="48"/>
      <c r="K6681" s="57"/>
      <c r="L6681" s="48"/>
    </row>
    <row r="6682" spans="1:12" ht="11.25" x14ac:dyDescent="0.2">
      <c r="A6682" s="46" t="s">
        <v>10007</v>
      </c>
      <c r="B6682" s="46" t="s">
        <v>54982</v>
      </c>
      <c r="C6682" s="58" t="str">
        <f>"15391604"</f>
        <v>15391604</v>
      </c>
      <c r="D6682" s="58" t="str">
        <f>"15391612"</f>
        <v>15391612</v>
      </c>
      <c r="E6682" s="46" t="s">
        <v>751</v>
      </c>
      <c r="F6682" s="46" t="s">
        <v>50646</v>
      </c>
      <c r="G6682" s="46" t="s">
        <v>50584</v>
      </c>
      <c r="H6682" s="48" t="s">
        <v>56716</v>
      </c>
      <c r="I6682" s="48" t="s">
        <v>50564</v>
      </c>
      <c r="J6682" s="48"/>
      <c r="K6682" s="50" t="s">
        <v>56716</v>
      </c>
      <c r="L6682" s="48" t="s">
        <v>56716</v>
      </c>
    </row>
    <row r="6683" spans="1:12" ht="11.25" x14ac:dyDescent="0.2">
      <c r="A6683" s="46" t="s">
        <v>6792</v>
      </c>
      <c r="B6683" s="46" t="s">
        <v>54983</v>
      </c>
      <c r="C6683" s="58" t="str">
        <f>"15432521"</f>
        <v>15432521</v>
      </c>
      <c r="D6683" s="58" t="str">
        <f>"21507376"</f>
        <v>21507376</v>
      </c>
      <c r="E6683" s="46" t="s">
        <v>4828</v>
      </c>
      <c r="F6683" s="46" t="s">
        <v>17759</v>
      </c>
      <c r="G6683" s="46" t="s">
        <v>50584</v>
      </c>
      <c r="H6683" s="48" t="s">
        <v>56716</v>
      </c>
      <c r="I6683" s="48" t="s">
        <v>50564</v>
      </c>
      <c r="J6683" s="48"/>
      <c r="K6683" s="57"/>
      <c r="L6683" s="48"/>
    </row>
    <row r="6684" spans="1:12" ht="11.25" x14ac:dyDescent="0.2">
      <c r="A6684" s="46" t="s">
        <v>7644</v>
      </c>
      <c r="B6684" s="46" t="s">
        <v>54984</v>
      </c>
      <c r="C6684" s="58" t="str">
        <f>"01646826"</f>
        <v>01646826</v>
      </c>
      <c r="D6684" s="58" t="str">
        <f>""</f>
        <v/>
      </c>
      <c r="E6684" s="46" t="s">
        <v>4828</v>
      </c>
      <c r="F6684" s="46" t="s">
        <v>17759</v>
      </c>
      <c r="G6684" s="46" t="s">
        <v>50584</v>
      </c>
      <c r="H6684" s="48" t="s">
        <v>56716</v>
      </c>
      <c r="I6684" s="48" t="s">
        <v>50564</v>
      </c>
      <c r="J6684" s="48"/>
      <c r="K6684" s="57"/>
      <c r="L6684" s="48"/>
    </row>
    <row r="6685" spans="1:12" ht="11.25" x14ac:dyDescent="0.2">
      <c r="A6685" s="46" t="s">
        <v>10620</v>
      </c>
      <c r="B6685" s="46" t="s">
        <v>10620</v>
      </c>
      <c r="C6685" s="58" t="str">
        <f>""</f>
        <v/>
      </c>
      <c r="D6685" s="58" t="str">
        <f>"14248247"</f>
        <v>14248247</v>
      </c>
      <c r="E6685" s="46" t="s">
        <v>4152</v>
      </c>
      <c r="F6685" s="46" t="s">
        <v>18123</v>
      </c>
      <c r="G6685" s="46" t="s">
        <v>50584</v>
      </c>
      <c r="H6685" s="48" t="s">
        <v>56716</v>
      </c>
      <c r="I6685" s="48" t="s">
        <v>50564</v>
      </c>
      <c r="J6685" s="48"/>
      <c r="K6685" s="57"/>
      <c r="L6685" s="48"/>
    </row>
    <row r="6686" spans="1:12" ht="11.25" x14ac:dyDescent="0.2">
      <c r="A6686" s="46" t="s">
        <v>14023</v>
      </c>
      <c r="B6686" s="46" t="s">
        <v>54985</v>
      </c>
      <c r="C6686" s="58" t="str">
        <f>"13892827"</f>
        <v>13892827</v>
      </c>
      <c r="D6686" s="58" t="str">
        <f>"2210495X"</f>
        <v>2210495X</v>
      </c>
      <c r="E6686" s="46" t="s">
        <v>920</v>
      </c>
      <c r="F6686" s="46" t="s">
        <v>18001</v>
      </c>
      <c r="G6686" s="46" t="s">
        <v>50584</v>
      </c>
      <c r="H6686" s="48" t="s">
        <v>56716</v>
      </c>
      <c r="I6686" s="48" t="s">
        <v>50564</v>
      </c>
      <c r="J6686" s="48" t="s">
        <v>56716</v>
      </c>
      <c r="K6686" s="57"/>
      <c r="L6686" s="48"/>
    </row>
    <row r="6687" spans="1:12" ht="11.25" x14ac:dyDescent="0.2">
      <c r="A6687" s="46" t="s">
        <v>15278</v>
      </c>
      <c r="B6687" s="46" t="s">
        <v>15278</v>
      </c>
      <c r="C6687" s="58" t="str">
        <f>""</f>
        <v/>
      </c>
      <c r="D6687" s="58" t="str">
        <f>"19994923"</f>
        <v>19994923</v>
      </c>
      <c r="E6687" s="46" t="s">
        <v>4152</v>
      </c>
      <c r="F6687" s="46" t="s">
        <v>18123</v>
      </c>
      <c r="G6687" s="46" t="s">
        <v>50584</v>
      </c>
      <c r="H6687" s="48" t="s">
        <v>56716</v>
      </c>
      <c r="I6687" s="48" t="s">
        <v>50564</v>
      </c>
      <c r="J6687" s="48"/>
      <c r="K6687" s="57"/>
      <c r="L6687" s="48"/>
    </row>
    <row r="6688" spans="1:12" ht="11.25" x14ac:dyDescent="0.2">
      <c r="A6688" s="46" t="s">
        <v>3419</v>
      </c>
      <c r="B6688" s="46" t="s">
        <v>54986</v>
      </c>
      <c r="C6688" s="58" t="str">
        <f>"00316911"</f>
        <v>00316911</v>
      </c>
      <c r="D6688" s="58" t="str">
        <f>""</f>
        <v/>
      </c>
      <c r="E6688" s="46" t="s">
        <v>3421</v>
      </c>
      <c r="F6688" s="46" t="s">
        <v>18001</v>
      </c>
      <c r="G6688" s="46" t="s">
        <v>50583</v>
      </c>
      <c r="H6688" s="48" t="s">
        <v>56716</v>
      </c>
      <c r="I6688" s="48" t="s">
        <v>50564</v>
      </c>
      <c r="J6688" s="48"/>
      <c r="K6688" s="57"/>
      <c r="L6688" s="48"/>
    </row>
    <row r="6689" spans="1:12" ht="11.25" x14ac:dyDescent="0.2">
      <c r="A6689" s="46" t="s">
        <v>12868</v>
      </c>
      <c r="B6689" s="46" t="s">
        <v>54987</v>
      </c>
      <c r="C6689" s="58" t="str">
        <f>"18738982"</f>
        <v>18738982</v>
      </c>
      <c r="D6689" s="58" t="str">
        <f>""</f>
        <v/>
      </c>
      <c r="E6689" s="46" t="s">
        <v>3421</v>
      </c>
      <c r="F6689" s="46" t="s">
        <v>18001</v>
      </c>
      <c r="G6689" s="46" t="s">
        <v>50583</v>
      </c>
      <c r="H6689" s="48" t="s">
        <v>56716</v>
      </c>
      <c r="I6689" s="48" t="s">
        <v>50564</v>
      </c>
      <c r="J6689" s="48"/>
      <c r="K6689" s="57"/>
      <c r="L6689" s="48"/>
    </row>
    <row r="6690" spans="1:12" ht="11.25" x14ac:dyDescent="0.2">
      <c r="A6690" s="46" t="s">
        <v>8798</v>
      </c>
      <c r="B6690" s="46" t="s">
        <v>8798</v>
      </c>
      <c r="C6690" s="58" t="str">
        <f>"04280296"</f>
        <v>04280296</v>
      </c>
      <c r="D6690" s="58" t="str">
        <f>""</f>
        <v/>
      </c>
      <c r="E6690" s="46" t="s">
        <v>8800</v>
      </c>
      <c r="F6690" s="46" t="s">
        <v>19251</v>
      </c>
      <c r="G6690" s="46" t="s">
        <v>50578</v>
      </c>
      <c r="H6690" s="48" t="s">
        <v>56716</v>
      </c>
      <c r="I6690" s="48" t="s">
        <v>50564</v>
      </c>
      <c r="J6690" s="48"/>
      <c r="K6690" s="57"/>
      <c r="L6690" s="48"/>
    </row>
    <row r="6691" spans="1:12" ht="11.25" x14ac:dyDescent="0.2">
      <c r="A6691" s="46" t="s">
        <v>16958</v>
      </c>
      <c r="B6691" s="46" t="s">
        <v>54988</v>
      </c>
      <c r="C6691" s="58" t="str">
        <f>"09768157"</f>
        <v>09768157</v>
      </c>
      <c r="D6691" s="58" t="str">
        <f>""</f>
        <v/>
      </c>
      <c r="E6691" s="46" t="s">
        <v>16958</v>
      </c>
      <c r="F6691" s="46" t="s">
        <v>20446</v>
      </c>
      <c r="G6691" s="46" t="s">
        <v>50584</v>
      </c>
      <c r="H6691" s="48" t="s">
        <v>56716</v>
      </c>
      <c r="I6691" s="48" t="s">
        <v>50564</v>
      </c>
      <c r="J6691" s="48"/>
      <c r="K6691" s="57"/>
      <c r="L6691" s="48"/>
    </row>
    <row r="6692" spans="1:12" ht="11.25" x14ac:dyDescent="0.2">
      <c r="A6692" s="46" t="s">
        <v>15562</v>
      </c>
      <c r="B6692" s="46" t="s">
        <v>54989</v>
      </c>
      <c r="C6692" s="58" t="str">
        <f>"22111042"</f>
        <v>22111042</v>
      </c>
      <c r="D6692" s="58" t="str">
        <f>""</f>
        <v/>
      </c>
      <c r="E6692" s="46" t="s">
        <v>85</v>
      </c>
      <c r="F6692" s="46" t="s">
        <v>17759</v>
      </c>
      <c r="G6692" s="46" t="s">
        <v>50591</v>
      </c>
      <c r="H6692" s="48" t="s">
        <v>56716</v>
      </c>
      <c r="I6692" s="48" t="s">
        <v>50564</v>
      </c>
      <c r="J6692" s="48"/>
      <c r="K6692" s="50" t="s">
        <v>56716</v>
      </c>
      <c r="L6692" s="48"/>
    </row>
    <row r="6693" spans="1:12" ht="11.25" x14ac:dyDescent="0.2">
      <c r="A6693" s="46" t="s">
        <v>5723</v>
      </c>
      <c r="B6693" s="46" t="s">
        <v>44164</v>
      </c>
      <c r="C6693" s="58" t="str">
        <f>"11707690"</f>
        <v>11707690</v>
      </c>
      <c r="D6693" s="58" t="str">
        <f>"11792027"</f>
        <v>11792027</v>
      </c>
      <c r="E6693" s="46" t="s">
        <v>55920</v>
      </c>
      <c r="F6693" s="46" t="s">
        <v>18123</v>
      </c>
      <c r="G6693" s="46" t="s">
        <v>50584</v>
      </c>
      <c r="H6693" s="48" t="s">
        <v>56716</v>
      </c>
      <c r="I6693" s="48" t="s">
        <v>50564</v>
      </c>
      <c r="J6693" s="48" t="s">
        <v>56716</v>
      </c>
      <c r="K6693" s="50" t="s">
        <v>56716</v>
      </c>
      <c r="L6693" s="48" t="s">
        <v>56716</v>
      </c>
    </row>
    <row r="6694" spans="1:12" ht="11.25" x14ac:dyDescent="0.2">
      <c r="A6694" s="46" t="s">
        <v>9046</v>
      </c>
      <c r="B6694" s="46" t="s">
        <v>54990</v>
      </c>
      <c r="C6694" s="58" t="str">
        <f>"15909158"</f>
        <v>15909158</v>
      </c>
      <c r="D6694" s="58" t="str">
        <f>"20356137"</f>
        <v>20356137</v>
      </c>
      <c r="E6694" s="46" t="s">
        <v>55920</v>
      </c>
      <c r="F6694" s="46" t="s">
        <v>18123</v>
      </c>
      <c r="G6694" s="46" t="s">
        <v>50584</v>
      </c>
      <c r="H6694" s="48" t="s">
        <v>56716</v>
      </c>
      <c r="I6694" s="48" t="s">
        <v>50564</v>
      </c>
      <c r="J6694" s="48"/>
      <c r="K6694" s="57"/>
      <c r="L6694" s="48"/>
    </row>
    <row r="6695" spans="1:12" ht="11.25" x14ac:dyDescent="0.2">
      <c r="A6695" s="46" t="s">
        <v>11961</v>
      </c>
      <c r="B6695" s="46" t="s">
        <v>55868</v>
      </c>
      <c r="C6695" s="58" t="str">
        <f>"1695405X"</f>
        <v>1695405X</v>
      </c>
      <c r="D6695" s="58" t="str">
        <f>"19895453"</f>
        <v>19895453</v>
      </c>
      <c r="E6695" s="46" t="s">
        <v>55920</v>
      </c>
      <c r="F6695" s="46" t="s">
        <v>18123</v>
      </c>
      <c r="G6695" s="46" t="s">
        <v>50632</v>
      </c>
      <c r="H6695" s="48" t="s">
        <v>56716</v>
      </c>
      <c r="I6695" s="48" t="s">
        <v>50564</v>
      </c>
      <c r="J6695" s="48" t="s">
        <v>56716</v>
      </c>
      <c r="K6695" s="57"/>
      <c r="L6695" s="48"/>
    </row>
    <row r="6696" spans="1:12" ht="11.25" x14ac:dyDescent="0.2">
      <c r="A6696" s="46" t="s">
        <v>5793</v>
      </c>
      <c r="B6696" s="46" t="s">
        <v>54991</v>
      </c>
      <c r="C6696" s="58" t="str">
        <f>"10538569"</f>
        <v>10538569</v>
      </c>
      <c r="D6696" s="58" t="str">
        <f>"10991557"</f>
        <v>10991557</v>
      </c>
      <c r="E6696" s="46" t="s">
        <v>751</v>
      </c>
      <c r="F6696" s="46" t="s">
        <v>50646</v>
      </c>
      <c r="G6696" s="46" t="s">
        <v>50584</v>
      </c>
      <c r="H6696" s="48" t="s">
        <v>56716</v>
      </c>
      <c r="I6696" s="48" t="s">
        <v>50564</v>
      </c>
      <c r="J6696" s="48" t="s">
        <v>56716</v>
      </c>
      <c r="K6696" s="50" t="s">
        <v>56716</v>
      </c>
      <c r="L6696" s="48" t="s">
        <v>56716</v>
      </c>
    </row>
    <row r="6697" spans="1:12" ht="11.25" x14ac:dyDescent="0.2">
      <c r="A6697" s="46" t="s">
        <v>10746</v>
      </c>
      <c r="B6697" s="46" t="s">
        <v>54992</v>
      </c>
      <c r="C6697" s="58" t="str">
        <f>"17446872"</f>
        <v>17446872</v>
      </c>
      <c r="D6697" s="58" t="str">
        <f>"17446880"</f>
        <v>17446880</v>
      </c>
      <c r="E6697" s="46" t="s">
        <v>28</v>
      </c>
      <c r="F6697" s="46" t="s">
        <v>50646</v>
      </c>
      <c r="G6697" s="46" t="s">
        <v>50584</v>
      </c>
      <c r="H6697" s="48" t="s">
        <v>56716</v>
      </c>
      <c r="I6697" s="48" t="s">
        <v>50564</v>
      </c>
      <c r="J6697" s="48" t="s">
        <v>56716</v>
      </c>
      <c r="K6697" s="50" t="s">
        <v>56716</v>
      </c>
      <c r="L6697" s="48" t="s">
        <v>56716</v>
      </c>
    </row>
    <row r="6698" spans="1:12" ht="11.25" x14ac:dyDescent="0.2">
      <c r="A6698" s="46" t="s">
        <v>8439</v>
      </c>
      <c r="B6698" s="46" t="s">
        <v>8439</v>
      </c>
      <c r="C6698" s="58" t="str">
        <f>"14622416"</f>
        <v>14622416</v>
      </c>
      <c r="D6698" s="58" t="str">
        <f>"17448042"</f>
        <v>17448042</v>
      </c>
      <c r="E6698" s="46" t="s">
        <v>8442</v>
      </c>
      <c r="F6698" s="46" t="s">
        <v>50646</v>
      </c>
      <c r="G6698" s="46" t="s">
        <v>50584</v>
      </c>
      <c r="H6698" s="48" t="s">
        <v>56716</v>
      </c>
      <c r="I6698" s="48" t="s">
        <v>50564</v>
      </c>
      <c r="J6698" s="48"/>
      <c r="K6698" s="57"/>
      <c r="L6698" s="48" t="s">
        <v>56716</v>
      </c>
    </row>
    <row r="6699" spans="1:12" ht="11.25" x14ac:dyDescent="0.2">
      <c r="A6699" s="46" t="s">
        <v>14109</v>
      </c>
      <c r="B6699" s="46" t="s">
        <v>56247</v>
      </c>
      <c r="C6699" s="58" t="str">
        <f>""</f>
        <v/>
      </c>
      <c r="D6699" s="58" t="str">
        <f>"11787066"</f>
        <v>11787066</v>
      </c>
      <c r="E6699" s="46" t="s">
        <v>11078</v>
      </c>
      <c r="F6699" s="46" t="s">
        <v>19483</v>
      </c>
      <c r="G6699" s="46" t="s">
        <v>50584</v>
      </c>
      <c r="H6699" s="48" t="s">
        <v>56716</v>
      </c>
      <c r="I6699" s="48" t="s">
        <v>50564</v>
      </c>
      <c r="J6699" s="48"/>
      <c r="K6699" s="57"/>
      <c r="L6699" s="48"/>
    </row>
    <row r="6700" spans="1:12" ht="11.25" x14ac:dyDescent="0.2">
      <c r="A6700" s="46" t="s">
        <v>8974</v>
      </c>
      <c r="B6700" s="46" t="s">
        <v>54993</v>
      </c>
      <c r="C6700" s="58" t="str">
        <f>"1470269X"</f>
        <v>1470269X</v>
      </c>
      <c r="D6700" s="58" t="str">
        <f>"14731150"</f>
        <v>14731150</v>
      </c>
      <c r="E6700" s="46" t="s">
        <v>315</v>
      </c>
      <c r="F6700" s="46" t="s">
        <v>50646</v>
      </c>
      <c r="G6700" s="46" t="s">
        <v>50584</v>
      </c>
      <c r="H6700" s="48" t="s">
        <v>56716</v>
      </c>
      <c r="I6700" s="48" t="s">
        <v>50564</v>
      </c>
      <c r="J6700" s="48" t="s">
        <v>56716</v>
      </c>
      <c r="K6700" s="50" t="s">
        <v>56716</v>
      </c>
      <c r="L6700" s="48" t="s">
        <v>56716</v>
      </c>
    </row>
    <row r="6701" spans="1:12" ht="11.25" x14ac:dyDescent="0.2">
      <c r="A6701" s="46" t="s">
        <v>14185</v>
      </c>
      <c r="B6701" s="46" t="s">
        <v>54994</v>
      </c>
      <c r="C6701" s="58" t="str">
        <f>"09753575"</f>
        <v>09753575</v>
      </c>
      <c r="D6701" s="58" t="str">
        <f>"09753575"</f>
        <v>09753575</v>
      </c>
      <c r="E6701" s="46" t="s">
        <v>56107</v>
      </c>
      <c r="F6701" s="46" t="s">
        <v>20446</v>
      </c>
      <c r="G6701" s="46" t="s">
        <v>50584</v>
      </c>
      <c r="H6701" s="48" t="s">
        <v>56716</v>
      </c>
      <c r="I6701" s="48" t="s">
        <v>50564</v>
      </c>
      <c r="J6701" s="48"/>
      <c r="K6701" s="57"/>
      <c r="L6701" s="48"/>
    </row>
    <row r="6702" spans="1:12" ht="11.25" x14ac:dyDescent="0.2">
      <c r="A6702" s="46" t="s">
        <v>11964</v>
      </c>
      <c r="B6702" s="46" t="s">
        <v>54995</v>
      </c>
      <c r="C6702" s="58" t="str">
        <f>"09731296"</f>
        <v>09731296</v>
      </c>
      <c r="D6702" s="58" t="str">
        <f>"09764062"</f>
        <v>09764062</v>
      </c>
      <c r="E6702" s="46" t="s">
        <v>19057</v>
      </c>
      <c r="F6702" s="46" t="s">
        <v>20446</v>
      </c>
      <c r="G6702" s="46" t="s">
        <v>50584</v>
      </c>
      <c r="H6702" s="48" t="s">
        <v>56716</v>
      </c>
      <c r="I6702" s="48" t="s">
        <v>50564</v>
      </c>
      <c r="J6702" s="48"/>
      <c r="K6702" s="57"/>
      <c r="L6702" s="48"/>
    </row>
    <row r="6703" spans="1:12" ht="11.25" x14ac:dyDescent="0.2">
      <c r="A6703" s="46" t="s">
        <v>14183</v>
      </c>
      <c r="B6703" s="46" t="s">
        <v>54996</v>
      </c>
      <c r="C6703" s="58" t="str">
        <f>""</f>
        <v/>
      </c>
      <c r="D6703" s="58" t="str">
        <f>"09748490"</f>
        <v>09748490</v>
      </c>
      <c r="E6703" s="46" t="s">
        <v>19057</v>
      </c>
      <c r="F6703" s="46" t="s">
        <v>20446</v>
      </c>
      <c r="G6703" s="46" t="s">
        <v>50584</v>
      </c>
      <c r="H6703" s="48" t="s">
        <v>56716</v>
      </c>
      <c r="I6703" s="48" t="s">
        <v>50564</v>
      </c>
      <c r="J6703" s="48"/>
      <c r="K6703" s="57"/>
      <c r="L6703" s="48"/>
    </row>
    <row r="6704" spans="1:12" ht="11.25" x14ac:dyDescent="0.2">
      <c r="A6704" s="46" t="s">
        <v>13590</v>
      </c>
      <c r="B6704" s="46" t="s">
        <v>54997</v>
      </c>
      <c r="C6704" s="58" t="str">
        <f>"09737847"</f>
        <v>09737847</v>
      </c>
      <c r="D6704" s="58" t="str">
        <f>"09762787"</f>
        <v>09762787</v>
      </c>
      <c r="E6704" s="46" t="s">
        <v>19057</v>
      </c>
      <c r="F6704" s="46" t="s">
        <v>20446</v>
      </c>
      <c r="G6704" s="46" t="s">
        <v>50584</v>
      </c>
      <c r="H6704" s="48" t="s">
        <v>56716</v>
      </c>
      <c r="I6704" s="48" t="s">
        <v>50564</v>
      </c>
      <c r="J6704" s="48"/>
      <c r="K6704" s="57"/>
      <c r="L6704" s="48"/>
    </row>
    <row r="6705" spans="1:12" ht="11.25" x14ac:dyDescent="0.2">
      <c r="A6705" s="46" t="s">
        <v>10749</v>
      </c>
      <c r="B6705" s="46" t="s">
        <v>54998</v>
      </c>
      <c r="C6705" s="58" t="str">
        <f>"17341140"</f>
        <v>17341140</v>
      </c>
      <c r="D6705" s="58" t="str">
        <f>""</f>
        <v/>
      </c>
      <c r="E6705" s="46" t="s">
        <v>91</v>
      </c>
      <c r="F6705" s="46" t="s">
        <v>18001</v>
      </c>
      <c r="G6705" s="46" t="s">
        <v>50584</v>
      </c>
      <c r="H6705" s="48" t="s">
        <v>56716</v>
      </c>
      <c r="I6705" s="48" t="s">
        <v>50564</v>
      </c>
      <c r="J6705" s="48"/>
      <c r="K6705" s="50" t="s">
        <v>56716</v>
      </c>
      <c r="L6705" s="48" t="s">
        <v>56716</v>
      </c>
    </row>
    <row r="6706" spans="1:12" ht="11.25" x14ac:dyDescent="0.2">
      <c r="A6706" s="46" t="s">
        <v>4951</v>
      </c>
      <c r="B6706" s="46" t="s">
        <v>54999</v>
      </c>
      <c r="C6706" s="58" t="str">
        <f>"10436618"</f>
        <v>10436618</v>
      </c>
      <c r="D6706" s="58" t="str">
        <f>"10961186"</f>
        <v>10961186</v>
      </c>
      <c r="E6706" s="46" t="s">
        <v>601</v>
      </c>
      <c r="F6706" s="46" t="s">
        <v>50646</v>
      </c>
      <c r="G6706" s="46" t="s">
        <v>50584</v>
      </c>
      <c r="H6706" s="48" t="s">
        <v>56716</v>
      </c>
      <c r="I6706" s="48" t="s">
        <v>50564</v>
      </c>
      <c r="J6706" s="48" t="s">
        <v>56716</v>
      </c>
      <c r="K6706" s="50" t="s">
        <v>56716</v>
      </c>
      <c r="L6706" s="48" t="s">
        <v>56716</v>
      </c>
    </row>
    <row r="6707" spans="1:12" ht="11.25" x14ac:dyDescent="0.2">
      <c r="A6707" s="46" t="s">
        <v>3312</v>
      </c>
      <c r="B6707" s="46" t="s">
        <v>55000</v>
      </c>
      <c r="C6707" s="58" t="str">
        <f>"00316997"</f>
        <v>00316997</v>
      </c>
      <c r="D6707" s="58" t="str">
        <f>"15210081"</f>
        <v>15210081</v>
      </c>
      <c r="E6707" s="46" t="s">
        <v>1420</v>
      </c>
      <c r="F6707" s="46" t="s">
        <v>17759</v>
      </c>
      <c r="G6707" s="46" t="s">
        <v>50584</v>
      </c>
      <c r="H6707" s="48" t="s">
        <v>56716</v>
      </c>
      <c r="I6707" s="48" t="s">
        <v>50564</v>
      </c>
      <c r="J6707" s="48" t="s">
        <v>56716</v>
      </c>
      <c r="K6707" s="57"/>
      <c r="L6707" s="48" t="s">
        <v>56716</v>
      </c>
    </row>
    <row r="6708" spans="1:12" ht="11.25" x14ac:dyDescent="0.2">
      <c r="A6708" s="46" t="s">
        <v>3391</v>
      </c>
      <c r="B6708" s="46" t="s">
        <v>3391</v>
      </c>
      <c r="C6708" s="58" t="str">
        <f>"00317012"</f>
        <v>00317012</v>
      </c>
      <c r="D6708" s="58" t="str">
        <f>"14230313"</f>
        <v>14230313</v>
      </c>
      <c r="E6708" s="46" t="s">
        <v>109</v>
      </c>
      <c r="F6708" s="46" t="s">
        <v>18123</v>
      </c>
      <c r="G6708" s="46" t="s">
        <v>50584</v>
      </c>
      <c r="H6708" s="48" t="s">
        <v>56716</v>
      </c>
      <c r="I6708" s="48" t="s">
        <v>50564</v>
      </c>
      <c r="J6708" s="48" t="s">
        <v>56716</v>
      </c>
      <c r="K6708" s="50" t="s">
        <v>56716</v>
      </c>
      <c r="L6708" s="48" t="s">
        <v>56716</v>
      </c>
    </row>
    <row r="6709" spans="1:12" ht="11.25" x14ac:dyDescent="0.2">
      <c r="A6709" s="46" t="s">
        <v>3416</v>
      </c>
      <c r="B6709" s="46" t="s">
        <v>55001</v>
      </c>
      <c r="C6709" s="58" t="str">
        <f>"01637258"</f>
        <v>01637258</v>
      </c>
      <c r="D6709" s="58" t="str">
        <f>"1879016X"</f>
        <v>1879016X</v>
      </c>
      <c r="E6709" s="46" t="s">
        <v>272</v>
      </c>
      <c r="F6709" s="46" t="s">
        <v>17759</v>
      </c>
      <c r="G6709" s="46" t="s">
        <v>50584</v>
      </c>
      <c r="H6709" s="48" t="s">
        <v>56716</v>
      </c>
      <c r="I6709" s="48" t="s">
        <v>50564</v>
      </c>
      <c r="J6709" s="48" t="s">
        <v>56716</v>
      </c>
      <c r="K6709" s="50" t="s">
        <v>56716</v>
      </c>
      <c r="L6709" s="48" t="s">
        <v>56716</v>
      </c>
    </row>
    <row r="6710" spans="1:12" ht="11.25" x14ac:dyDescent="0.2">
      <c r="A6710" s="46" t="s">
        <v>3318</v>
      </c>
      <c r="B6710" s="46" t="s">
        <v>55002</v>
      </c>
      <c r="C6710" s="58" t="str">
        <f>"00913057"</f>
        <v>00913057</v>
      </c>
      <c r="D6710" s="58" t="str">
        <f>"18735177"</f>
        <v>18735177</v>
      </c>
      <c r="E6710" s="46" t="s">
        <v>272</v>
      </c>
      <c r="F6710" s="46" t="s">
        <v>17759</v>
      </c>
      <c r="G6710" s="46" t="s">
        <v>50584</v>
      </c>
      <c r="H6710" s="48" t="s">
        <v>56716</v>
      </c>
      <c r="I6710" s="48" t="s">
        <v>50564</v>
      </c>
      <c r="J6710" s="48" t="s">
        <v>56716</v>
      </c>
      <c r="K6710" s="50" t="s">
        <v>56716</v>
      </c>
      <c r="L6710" s="48" t="s">
        <v>56716</v>
      </c>
    </row>
    <row r="6711" spans="1:12" ht="11.25" x14ac:dyDescent="0.2">
      <c r="A6711" s="46" t="s">
        <v>56042</v>
      </c>
      <c r="B6711" s="46" t="s">
        <v>56043</v>
      </c>
      <c r="C6711" s="58" t="str">
        <f>""</f>
        <v/>
      </c>
      <c r="D6711" s="58" t="str">
        <f>"20521707"</f>
        <v>20521707</v>
      </c>
      <c r="E6711" s="46" t="s">
        <v>555</v>
      </c>
      <c r="F6711" s="46" t="s">
        <v>50646</v>
      </c>
      <c r="G6711" s="46" t="s">
        <v>50584</v>
      </c>
      <c r="H6711" s="48" t="s">
        <v>56716</v>
      </c>
      <c r="I6711" s="48" t="s">
        <v>50564</v>
      </c>
      <c r="J6711" s="48" t="s">
        <v>56716</v>
      </c>
      <c r="K6711" s="57"/>
      <c r="L6711" s="48"/>
    </row>
    <row r="6712" spans="1:12" ht="11.25" x14ac:dyDescent="0.2">
      <c r="A6712" s="46" t="s">
        <v>11967</v>
      </c>
      <c r="B6712" s="46" t="s">
        <v>11967</v>
      </c>
      <c r="C6712" s="58" t="str">
        <f>""</f>
        <v/>
      </c>
      <c r="D6712" s="58" t="str">
        <f>"18278620"</f>
        <v>18278620</v>
      </c>
      <c r="E6712" s="46" t="s">
        <v>11969</v>
      </c>
      <c r="F6712" s="46" t="s">
        <v>17991</v>
      </c>
      <c r="G6712" s="46" t="s">
        <v>50584</v>
      </c>
      <c r="H6712" s="48" t="s">
        <v>56716</v>
      </c>
      <c r="I6712" s="48" t="s">
        <v>50564</v>
      </c>
      <c r="J6712" s="48"/>
      <c r="K6712" s="57"/>
      <c r="L6712" s="48"/>
    </row>
    <row r="6713" spans="1:12" ht="11.25" x14ac:dyDescent="0.2">
      <c r="A6713" s="46" t="s">
        <v>3294</v>
      </c>
      <c r="B6713" s="46" t="s">
        <v>3294</v>
      </c>
      <c r="C6713" s="58" t="str">
        <f>"03008533"</f>
        <v>03008533</v>
      </c>
      <c r="D6713" s="58" t="str">
        <f>""</f>
        <v/>
      </c>
      <c r="E6713" s="46" t="s">
        <v>3296</v>
      </c>
      <c r="F6713" s="46" t="s">
        <v>18242</v>
      </c>
      <c r="G6713" s="46" t="s">
        <v>50605</v>
      </c>
      <c r="H6713" s="48" t="s">
        <v>56716</v>
      </c>
      <c r="I6713" s="48" t="s">
        <v>50564</v>
      </c>
      <c r="J6713" s="48"/>
      <c r="K6713" s="57"/>
      <c r="L6713" s="48"/>
    </row>
    <row r="6714" spans="1:12" ht="11.25" x14ac:dyDescent="0.2">
      <c r="A6714" s="46" t="s">
        <v>6788</v>
      </c>
      <c r="B6714" s="46" t="s">
        <v>6788</v>
      </c>
      <c r="C6714" s="58" t="str">
        <f>"03634655"</f>
        <v>03634655</v>
      </c>
      <c r="D6714" s="58" t="str">
        <f>"15421945"</f>
        <v>15421945</v>
      </c>
      <c r="E6714" s="46" t="s">
        <v>6791</v>
      </c>
      <c r="F6714" s="46" t="s">
        <v>17759</v>
      </c>
      <c r="G6714" s="46" t="s">
        <v>50584</v>
      </c>
      <c r="H6714" s="48" t="s">
        <v>56716</v>
      </c>
      <c r="I6714" s="48" t="s">
        <v>50564</v>
      </c>
      <c r="J6714" s="48"/>
      <c r="K6714" s="57"/>
      <c r="L6714" s="48"/>
    </row>
    <row r="6715" spans="1:12" ht="11.25" x14ac:dyDescent="0.2">
      <c r="A6715" s="46" t="s">
        <v>15875</v>
      </c>
      <c r="B6715" s="46" t="s">
        <v>15875</v>
      </c>
      <c r="C6715" s="58" t="str">
        <f>""</f>
        <v/>
      </c>
      <c r="D6715" s="58" t="str">
        <f>"22295402"</f>
        <v>22295402</v>
      </c>
      <c r="E6715" s="46" t="s">
        <v>15877</v>
      </c>
      <c r="F6715" s="46" t="s">
        <v>20446</v>
      </c>
      <c r="G6715" s="46" t="s">
        <v>50584</v>
      </c>
      <c r="H6715" s="48" t="s">
        <v>56716</v>
      </c>
      <c r="I6715" s="48" t="s">
        <v>50564</v>
      </c>
      <c r="J6715" s="48"/>
      <c r="K6715" s="57"/>
      <c r="L6715" s="48"/>
    </row>
    <row r="6716" spans="1:12" ht="11.25" x14ac:dyDescent="0.2">
      <c r="A6716" s="46" t="s">
        <v>3403</v>
      </c>
      <c r="B6716" s="46" t="s">
        <v>3403</v>
      </c>
      <c r="C6716" s="58" t="str">
        <f>"01763679"</f>
        <v>01763679</v>
      </c>
      <c r="D6716" s="58" t="str">
        <f>"14390795"</f>
        <v>14390795</v>
      </c>
      <c r="E6716" s="46" t="s">
        <v>412</v>
      </c>
      <c r="F6716" s="46" t="s">
        <v>18158</v>
      </c>
      <c r="G6716" s="46" t="s">
        <v>50584</v>
      </c>
      <c r="H6716" s="48" t="s">
        <v>56716</v>
      </c>
      <c r="I6716" s="48" t="s">
        <v>50564</v>
      </c>
      <c r="J6716" s="48" t="s">
        <v>56716</v>
      </c>
      <c r="K6716" s="50" t="s">
        <v>56716</v>
      </c>
      <c r="L6716" s="48" t="s">
        <v>56716</v>
      </c>
    </row>
    <row r="6717" spans="1:12" ht="11.25" x14ac:dyDescent="0.2">
      <c r="A6717" s="46" t="s">
        <v>3394</v>
      </c>
      <c r="B6717" s="46" t="s">
        <v>3394</v>
      </c>
      <c r="C6717" s="58" t="str">
        <f>"02770008"</f>
        <v>02770008</v>
      </c>
      <c r="D6717" s="58" t="str">
        <f>"18759114"</f>
        <v>18759114</v>
      </c>
      <c r="E6717" s="46" t="s">
        <v>3396</v>
      </c>
      <c r="F6717" s="46" t="s">
        <v>17759</v>
      </c>
      <c r="G6717" s="46" t="s">
        <v>50584</v>
      </c>
      <c r="H6717" s="48" t="s">
        <v>56716</v>
      </c>
      <c r="I6717" s="48" t="s">
        <v>50564</v>
      </c>
      <c r="J6717" s="48"/>
      <c r="K6717" s="50" t="s">
        <v>56716</v>
      </c>
      <c r="L6717" s="48" t="s">
        <v>56716</v>
      </c>
    </row>
    <row r="6718" spans="1:12" ht="11.25" x14ac:dyDescent="0.2">
      <c r="A6718" s="46" t="s">
        <v>14506</v>
      </c>
      <c r="B6718" s="46" t="s">
        <v>55003</v>
      </c>
      <c r="C6718" s="58" t="str">
        <f>"17526752"</f>
        <v>17526752</v>
      </c>
      <c r="D6718" s="58" t="str">
        <f>""</f>
        <v/>
      </c>
      <c r="E6718" s="46" t="s">
        <v>14212</v>
      </c>
      <c r="F6718" s="46" t="s">
        <v>50646</v>
      </c>
      <c r="G6718" s="46" t="s">
        <v>50584</v>
      </c>
      <c r="H6718" s="48" t="s">
        <v>56716</v>
      </c>
      <c r="I6718" s="48" t="s">
        <v>50564</v>
      </c>
      <c r="J6718" s="48"/>
      <c r="K6718" s="57"/>
      <c r="L6718" s="48"/>
    </row>
    <row r="6719" spans="1:12" ht="11.25" x14ac:dyDescent="0.2">
      <c r="A6719" s="46" t="s">
        <v>8869</v>
      </c>
      <c r="B6719" s="46" t="s">
        <v>55004</v>
      </c>
      <c r="C6719" s="58" t="str">
        <f>"15602214"</f>
        <v>15602214</v>
      </c>
      <c r="D6719" s="58" t="str">
        <f>"14772701"</f>
        <v>14772701</v>
      </c>
      <c r="E6719" s="46" t="s">
        <v>8872</v>
      </c>
      <c r="F6719" s="46" t="s">
        <v>18001</v>
      </c>
      <c r="G6719" s="46" t="s">
        <v>50584</v>
      </c>
      <c r="H6719" s="48" t="s">
        <v>56716</v>
      </c>
      <c r="I6719" s="48" t="s">
        <v>50564</v>
      </c>
      <c r="J6719" s="48" t="s">
        <v>56716</v>
      </c>
      <c r="K6719" s="57"/>
      <c r="L6719" s="48"/>
    </row>
    <row r="6720" spans="1:12" ht="11.25" x14ac:dyDescent="0.2">
      <c r="A6720" s="45" t="s">
        <v>44219</v>
      </c>
      <c r="B6720" s="45" t="s">
        <v>44221</v>
      </c>
      <c r="C6720" s="51"/>
      <c r="D6720" s="51"/>
      <c r="E6720" s="45" t="s">
        <v>44222</v>
      </c>
      <c r="F6720" s="45" t="s">
        <v>20082</v>
      </c>
      <c r="G6720" s="45" t="s">
        <v>50584</v>
      </c>
      <c r="H6720" s="56"/>
      <c r="I6720" s="56" t="s">
        <v>50564</v>
      </c>
      <c r="J6720" s="56"/>
      <c r="K6720" s="57"/>
      <c r="L6720" s="56" t="s">
        <v>56716</v>
      </c>
    </row>
    <row r="6721" spans="1:12" ht="11.25" x14ac:dyDescent="0.2">
      <c r="A6721" s="45" t="s">
        <v>44224</v>
      </c>
      <c r="B6721" s="45" t="s">
        <v>44226</v>
      </c>
      <c r="C6721" s="51" t="s">
        <v>44228</v>
      </c>
      <c r="D6721" s="51"/>
      <c r="E6721" s="45" t="s">
        <v>44229</v>
      </c>
      <c r="F6721" s="45" t="s">
        <v>17759</v>
      </c>
      <c r="G6721" s="45" t="s">
        <v>50584</v>
      </c>
      <c r="H6721" s="56"/>
      <c r="I6721" s="56" t="s">
        <v>50564</v>
      </c>
      <c r="J6721" s="56"/>
      <c r="K6721" s="57"/>
      <c r="L6721" s="56" t="s">
        <v>56716</v>
      </c>
    </row>
    <row r="6722" spans="1:12" ht="11.25" x14ac:dyDescent="0.2">
      <c r="A6722" s="46" t="s">
        <v>11211</v>
      </c>
      <c r="B6722" s="46" t="s">
        <v>55005</v>
      </c>
      <c r="C6722" s="58" t="str">
        <f>""</f>
        <v/>
      </c>
      <c r="D6722" s="58" t="str">
        <f>"18863655"</f>
        <v>18863655</v>
      </c>
      <c r="E6722" s="46" t="s">
        <v>11213</v>
      </c>
      <c r="F6722" s="46" t="s">
        <v>18439</v>
      </c>
      <c r="G6722" s="46" t="s">
        <v>50632</v>
      </c>
      <c r="H6722" s="48" t="s">
        <v>56716</v>
      </c>
      <c r="I6722" s="48" t="s">
        <v>50564</v>
      </c>
      <c r="J6722" s="48"/>
      <c r="K6722" s="57"/>
      <c r="L6722" s="48"/>
    </row>
    <row r="6723" spans="1:12" ht="11.25" x14ac:dyDescent="0.2">
      <c r="A6723" s="46" t="s">
        <v>6716</v>
      </c>
      <c r="B6723" s="46" t="s">
        <v>55006</v>
      </c>
      <c r="C6723" s="58" t="str">
        <f>"00030627"</f>
        <v>00030627</v>
      </c>
      <c r="D6723" s="58" t="str">
        <f>""</f>
        <v/>
      </c>
      <c r="E6723" s="46" t="s">
        <v>6718</v>
      </c>
      <c r="F6723" s="46" t="s">
        <v>17759</v>
      </c>
      <c r="G6723" s="46" t="s">
        <v>50584</v>
      </c>
      <c r="H6723" s="48" t="s">
        <v>56716</v>
      </c>
      <c r="I6723" s="48" t="s">
        <v>50566</v>
      </c>
      <c r="J6723" s="48"/>
      <c r="K6723" s="57"/>
      <c r="L6723" s="48"/>
    </row>
    <row r="6724" spans="1:12" ht="11.25" x14ac:dyDescent="0.2">
      <c r="A6724" s="46" t="s">
        <v>12503</v>
      </c>
      <c r="B6724" s="46" t="s">
        <v>12503</v>
      </c>
      <c r="C6724" s="58" t="str">
        <f>"11054999"</f>
        <v>11054999</v>
      </c>
      <c r="D6724" s="58" t="str">
        <f>"22413081"</f>
        <v>22413081</v>
      </c>
      <c r="E6724" s="46" t="s">
        <v>12506</v>
      </c>
      <c r="F6724" s="46" t="s">
        <v>20969</v>
      </c>
      <c r="G6724" s="46" t="s">
        <v>50597</v>
      </c>
      <c r="H6724" s="48" t="s">
        <v>56716</v>
      </c>
      <c r="I6724" s="48" t="s">
        <v>50564</v>
      </c>
      <c r="J6724" s="48"/>
      <c r="K6724" s="57"/>
      <c r="L6724" s="48"/>
    </row>
    <row r="6725" spans="1:12" ht="11.25" x14ac:dyDescent="0.2">
      <c r="A6725" s="46" t="s">
        <v>7247</v>
      </c>
      <c r="B6725" s="46" t="s">
        <v>55007</v>
      </c>
      <c r="C6725" s="58" t="str">
        <f>"10105409"</f>
        <v>10105409</v>
      </c>
      <c r="D6725" s="58" t="str">
        <f>""</f>
        <v/>
      </c>
      <c r="E6725" s="46" t="s">
        <v>7249</v>
      </c>
      <c r="F6725" s="46" t="s">
        <v>18123</v>
      </c>
      <c r="G6725" s="46" t="s">
        <v>50593</v>
      </c>
      <c r="H6725" s="48" t="s">
        <v>56716</v>
      </c>
      <c r="I6725" s="48" t="s">
        <v>50564</v>
      </c>
      <c r="J6725" s="48"/>
      <c r="K6725" s="57"/>
      <c r="L6725" s="48"/>
    </row>
    <row r="6726" spans="1:12" ht="11.25" x14ac:dyDescent="0.2">
      <c r="A6726" s="46" t="s">
        <v>16954</v>
      </c>
      <c r="B6726" s="46" t="s">
        <v>16954</v>
      </c>
      <c r="C6726" s="58" t="str">
        <f>"09763090"</f>
        <v>09763090</v>
      </c>
      <c r="D6726" s="58" t="str">
        <f>"22310541"</f>
        <v>22310541</v>
      </c>
      <c r="E6726" s="46" t="s">
        <v>16957</v>
      </c>
      <c r="F6726" s="46" t="s">
        <v>20446</v>
      </c>
      <c r="G6726" s="46" t="s">
        <v>50584</v>
      </c>
      <c r="H6726" s="48" t="s">
        <v>56716</v>
      </c>
      <c r="I6726" s="48" t="s">
        <v>50564</v>
      </c>
      <c r="J6726" s="48"/>
      <c r="K6726" s="57"/>
      <c r="L6726" s="48"/>
    </row>
    <row r="6727" spans="1:12" ht="11.25" x14ac:dyDescent="0.2">
      <c r="A6727" s="46" t="s">
        <v>17010</v>
      </c>
      <c r="B6727" s="46" t="s">
        <v>17010</v>
      </c>
      <c r="C6727" s="58" t="str">
        <f>"22134344"</f>
        <v>22134344</v>
      </c>
      <c r="D6727" s="58" t="str">
        <f>"22134344"</f>
        <v>22134344</v>
      </c>
      <c r="E6727" s="46" t="s">
        <v>91</v>
      </c>
      <c r="F6727" s="46" t="s">
        <v>18001</v>
      </c>
      <c r="G6727" s="46" t="s">
        <v>50584</v>
      </c>
      <c r="H6727" s="48" t="s">
        <v>56716</v>
      </c>
      <c r="I6727" s="48" t="s">
        <v>50564</v>
      </c>
      <c r="J6727" s="48" t="s">
        <v>56716</v>
      </c>
      <c r="K6727" s="50" t="s">
        <v>56716</v>
      </c>
      <c r="L6727" s="48"/>
    </row>
    <row r="6728" spans="1:12" ht="11.25" x14ac:dyDescent="0.2">
      <c r="A6728" s="46" t="s">
        <v>3388</v>
      </c>
      <c r="B6728" s="46" t="s">
        <v>55008</v>
      </c>
      <c r="C6728" s="58" t="str">
        <f>"0031711X"</f>
        <v>0031711X</v>
      </c>
      <c r="D6728" s="58" t="str">
        <f>""</f>
        <v/>
      </c>
      <c r="E6728" s="46" t="s">
        <v>3390</v>
      </c>
      <c r="F6728" s="46" t="s">
        <v>18158</v>
      </c>
      <c r="G6728" s="46" t="s">
        <v>50593</v>
      </c>
      <c r="H6728" s="48" t="s">
        <v>56716</v>
      </c>
      <c r="I6728" s="48" t="s">
        <v>50564</v>
      </c>
      <c r="J6728" s="48"/>
      <c r="K6728" s="57"/>
      <c r="L6728" s="48"/>
    </row>
    <row r="6729" spans="1:12" ht="11.25" x14ac:dyDescent="0.2">
      <c r="A6729" s="46" t="s">
        <v>3533</v>
      </c>
      <c r="B6729" s="46" t="s">
        <v>55009</v>
      </c>
      <c r="C6729" s="58" t="str">
        <f>"00317136"</f>
        <v>00317136</v>
      </c>
      <c r="D6729" s="58" t="str">
        <f>""</f>
        <v/>
      </c>
      <c r="E6729" s="46" t="s">
        <v>3381</v>
      </c>
      <c r="F6729" s="46" t="s">
        <v>18158</v>
      </c>
      <c r="G6729" s="46" t="s">
        <v>50593</v>
      </c>
      <c r="H6729" s="48" t="s">
        <v>56716</v>
      </c>
      <c r="I6729" s="48" t="s">
        <v>50564</v>
      </c>
      <c r="J6729" s="48"/>
      <c r="K6729" s="57"/>
      <c r="L6729" s="48"/>
    </row>
    <row r="6730" spans="1:12" ht="11.25" x14ac:dyDescent="0.2">
      <c r="A6730" s="46" t="s">
        <v>3379</v>
      </c>
      <c r="B6730" s="46" t="s">
        <v>3379</v>
      </c>
      <c r="C6730" s="58" t="str">
        <f>"00317144"</f>
        <v>00317144</v>
      </c>
      <c r="D6730" s="58" t="str">
        <f>""</f>
        <v/>
      </c>
      <c r="E6730" s="46" t="s">
        <v>3381</v>
      </c>
      <c r="F6730" s="46" t="s">
        <v>18158</v>
      </c>
      <c r="G6730" s="46" t="s">
        <v>50593</v>
      </c>
      <c r="H6730" s="48" t="s">
        <v>56716</v>
      </c>
      <c r="I6730" s="48" t="s">
        <v>50564</v>
      </c>
      <c r="J6730" s="48"/>
      <c r="K6730" s="57"/>
      <c r="L6730" s="48" t="s">
        <v>56716</v>
      </c>
    </row>
    <row r="6731" spans="1:12" ht="11.25" x14ac:dyDescent="0.2">
      <c r="A6731" s="45" t="s">
        <v>44235</v>
      </c>
      <c r="B6731" s="45" t="s">
        <v>44237</v>
      </c>
      <c r="C6731" s="51" t="s">
        <v>44240</v>
      </c>
      <c r="D6731" s="51" t="s">
        <v>44239</v>
      </c>
      <c r="E6731" s="45" t="s">
        <v>44241</v>
      </c>
      <c r="F6731" s="45" t="s">
        <v>20359</v>
      </c>
      <c r="G6731" s="45" t="s">
        <v>50584</v>
      </c>
      <c r="H6731" s="56"/>
      <c r="I6731" s="56" t="s">
        <v>50564</v>
      </c>
      <c r="J6731" s="56"/>
      <c r="K6731" s="57"/>
      <c r="L6731" s="56" t="s">
        <v>56716</v>
      </c>
    </row>
    <row r="6732" spans="1:12" ht="11.25" x14ac:dyDescent="0.2">
      <c r="A6732" s="46" t="s">
        <v>14473</v>
      </c>
      <c r="B6732" s="46" t="s">
        <v>55010</v>
      </c>
      <c r="C6732" s="58" t="str">
        <f>"01199641"</f>
        <v>01199641</v>
      </c>
      <c r="D6732" s="58" t="str">
        <f>""</f>
        <v/>
      </c>
      <c r="E6732" s="46" t="s">
        <v>14475</v>
      </c>
      <c r="F6732" s="46" t="s">
        <v>49737</v>
      </c>
      <c r="G6732" s="46" t="s">
        <v>50584</v>
      </c>
      <c r="H6732" s="48" t="s">
        <v>56716</v>
      </c>
      <c r="I6732" s="48" t="s">
        <v>50564</v>
      </c>
      <c r="J6732" s="48"/>
      <c r="K6732" s="57"/>
      <c r="L6732" s="48"/>
    </row>
    <row r="6733" spans="1:12" ht="11.25" x14ac:dyDescent="0.2">
      <c r="A6733" s="45" t="s">
        <v>44249</v>
      </c>
      <c r="B6733" s="45" t="s">
        <v>44251</v>
      </c>
      <c r="C6733" s="51" t="s">
        <v>44254</v>
      </c>
      <c r="D6733" s="51" t="s">
        <v>44253</v>
      </c>
      <c r="E6733" s="45" t="s">
        <v>38839</v>
      </c>
      <c r="F6733" s="45" t="s">
        <v>50646</v>
      </c>
      <c r="G6733" s="45" t="s">
        <v>50584</v>
      </c>
      <c r="H6733" s="56"/>
      <c r="I6733" s="56" t="s">
        <v>50564</v>
      </c>
      <c r="J6733" s="56"/>
      <c r="K6733" s="57"/>
      <c r="L6733" s="56" t="s">
        <v>56716</v>
      </c>
    </row>
    <row r="6734" spans="1:12" ht="11.25" x14ac:dyDescent="0.2">
      <c r="A6734" s="45" t="s">
        <v>44256</v>
      </c>
      <c r="B6734" s="45" t="s">
        <v>44258</v>
      </c>
      <c r="C6734" s="51" t="s">
        <v>44261</v>
      </c>
      <c r="D6734" s="51" t="s">
        <v>44260</v>
      </c>
      <c r="E6734" s="45" t="s">
        <v>22540</v>
      </c>
      <c r="F6734" s="45" t="s">
        <v>50646</v>
      </c>
      <c r="G6734" s="45" t="s">
        <v>50584</v>
      </c>
      <c r="H6734" s="56"/>
      <c r="I6734" s="56" t="s">
        <v>50564</v>
      </c>
      <c r="J6734" s="56"/>
      <c r="K6734" s="57"/>
      <c r="L6734" s="56" t="s">
        <v>56716</v>
      </c>
    </row>
    <row r="6735" spans="1:12" ht="11.25" x14ac:dyDescent="0.2">
      <c r="A6735" s="45" t="s">
        <v>44264</v>
      </c>
      <c r="B6735" s="45" t="s">
        <v>44266</v>
      </c>
      <c r="C6735" s="51"/>
      <c r="D6735" s="51" t="s">
        <v>44267</v>
      </c>
      <c r="E6735" s="45" t="s">
        <v>18570</v>
      </c>
      <c r="F6735" s="45" t="s">
        <v>50646</v>
      </c>
      <c r="G6735" s="45" t="s">
        <v>50584</v>
      </c>
      <c r="H6735" s="56"/>
      <c r="I6735" s="56" t="s">
        <v>50564</v>
      </c>
      <c r="J6735" s="56"/>
      <c r="K6735" s="57"/>
      <c r="L6735" s="56" t="s">
        <v>56716</v>
      </c>
    </row>
    <row r="6736" spans="1:12" ht="11.25" x14ac:dyDescent="0.2">
      <c r="A6736" s="46" t="s">
        <v>5545</v>
      </c>
      <c r="B6736" s="46" t="s">
        <v>5545</v>
      </c>
      <c r="C6736" s="58" t="str">
        <f>"0939978X"</f>
        <v>0939978X</v>
      </c>
      <c r="D6736" s="58" t="str">
        <f>""</f>
        <v/>
      </c>
      <c r="E6736" s="46" t="s">
        <v>1758</v>
      </c>
      <c r="F6736" s="46" t="s">
        <v>18158</v>
      </c>
      <c r="G6736" s="46" t="s">
        <v>50593</v>
      </c>
      <c r="H6736" s="48" t="s">
        <v>56716</v>
      </c>
      <c r="I6736" s="48" t="s">
        <v>50564</v>
      </c>
      <c r="J6736" s="48"/>
      <c r="K6736" s="57"/>
      <c r="L6736" s="48"/>
    </row>
    <row r="6737" spans="1:12" ht="11.25" x14ac:dyDescent="0.2">
      <c r="A6737" s="46" t="s">
        <v>4706</v>
      </c>
      <c r="B6737" s="46" t="s">
        <v>4706</v>
      </c>
      <c r="C6737" s="58" t="str">
        <f>"02683555"</f>
        <v>02683555</v>
      </c>
      <c r="D6737" s="58" t="str">
        <f>"14333031"</f>
        <v>14333031</v>
      </c>
      <c r="E6737" s="46" t="s">
        <v>97</v>
      </c>
      <c r="F6737" s="46" t="s">
        <v>50646</v>
      </c>
      <c r="G6737" s="46" t="s">
        <v>50584</v>
      </c>
      <c r="H6737" s="48" t="s">
        <v>56716</v>
      </c>
      <c r="I6737" s="48" t="s">
        <v>50564</v>
      </c>
      <c r="J6737" s="48" t="s">
        <v>56716</v>
      </c>
      <c r="K6737" s="57"/>
      <c r="L6737" s="48" t="s">
        <v>56716</v>
      </c>
    </row>
    <row r="6738" spans="1:12" ht="11.25" x14ac:dyDescent="0.2">
      <c r="A6738" s="46" t="s">
        <v>7402</v>
      </c>
      <c r="B6738" s="46" t="s">
        <v>7402</v>
      </c>
      <c r="C6738" s="58" t="str">
        <f>"12860107"</f>
        <v>12860107</v>
      </c>
      <c r="D6738" s="58" t="str">
        <f>""</f>
        <v/>
      </c>
      <c r="E6738" s="46" t="s">
        <v>7404</v>
      </c>
      <c r="F6738" s="46" t="s">
        <v>20359</v>
      </c>
      <c r="G6738" s="46" t="s">
        <v>50584</v>
      </c>
      <c r="H6738" s="48" t="s">
        <v>56716</v>
      </c>
      <c r="I6738" s="48" t="s">
        <v>50564</v>
      </c>
      <c r="J6738" s="48"/>
      <c r="K6738" s="57"/>
      <c r="L6738" s="48"/>
    </row>
    <row r="6739" spans="1:12" ht="11.25" x14ac:dyDescent="0.2">
      <c r="A6739" s="45" t="s">
        <v>44274</v>
      </c>
      <c r="B6739" s="45" t="s">
        <v>44274</v>
      </c>
      <c r="C6739" s="51" t="s">
        <v>44277</v>
      </c>
      <c r="D6739" s="51" t="s">
        <v>44276</v>
      </c>
      <c r="E6739" s="45" t="s">
        <v>18122</v>
      </c>
      <c r="F6739" s="45" t="s">
        <v>18123</v>
      </c>
      <c r="G6739" s="45" t="s">
        <v>50584</v>
      </c>
      <c r="H6739" s="56"/>
      <c r="I6739" s="56" t="s">
        <v>50564</v>
      </c>
      <c r="J6739" s="56"/>
      <c r="K6739" s="57"/>
      <c r="L6739" s="56" t="s">
        <v>56716</v>
      </c>
    </row>
    <row r="6740" spans="1:12" ht="11.25" x14ac:dyDescent="0.2">
      <c r="A6740" s="45" t="s">
        <v>44279</v>
      </c>
      <c r="B6740" s="45" t="s">
        <v>44281</v>
      </c>
      <c r="C6740" s="51" t="s">
        <v>44283</v>
      </c>
      <c r="D6740" s="51" t="s">
        <v>44282</v>
      </c>
      <c r="E6740" s="45" t="s">
        <v>6914</v>
      </c>
      <c r="F6740" s="45" t="s">
        <v>50646</v>
      </c>
      <c r="G6740" s="45" t="s">
        <v>50584</v>
      </c>
      <c r="H6740" s="56"/>
      <c r="I6740" s="56" t="s">
        <v>50564</v>
      </c>
      <c r="J6740" s="56"/>
      <c r="K6740" s="57"/>
      <c r="L6740" s="56" t="s">
        <v>56716</v>
      </c>
    </row>
    <row r="6741" spans="1:12" ht="11.25" x14ac:dyDescent="0.2">
      <c r="A6741" s="45" t="s">
        <v>44285</v>
      </c>
      <c r="B6741" s="45" t="s">
        <v>44287</v>
      </c>
      <c r="C6741" s="51" t="s">
        <v>44289</v>
      </c>
      <c r="D6741" s="51" t="s">
        <v>44288</v>
      </c>
      <c r="E6741" s="45" t="s">
        <v>44290</v>
      </c>
      <c r="F6741" s="45" t="s">
        <v>17759</v>
      </c>
      <c r="G6741" s="45" t="s">
        <v>50584</v>
      </c>
      <c r="H6741" s="56"/>
      <c r="I6741" s="56" t="s">
        <v>50564</v>
      </c>
      <c r="J6741" s="56"/>
      <c r="K6741" s="57"/>
      <c r="L6741" s="56" t="s">
        <v>56716</v>
      </c>
    </row>
    <row r="6742" spans="1:12" ht="11.25" x14ac:dyDescent="0.2">
      <c r="A6742" s="46" t="s">
        <v>5324</v>
      </c>
      <c r="B6742" s="46" t="s">
        <v>55011</v>
      </c>
      <c r="C6742" s="58" t="str">
        <f>"09054383"</f>
        <v>09054383</v>
      </c>
      <c r="D6742" s="58" t="str">
        <f>"16000781"</f>
        <v>16000781</v>
      </c>
      <c r="E6742" s="46" t="s">
        <v>35</v>
      </c>
      <c r="F6742" s="46" t="s">
        <v>50646</v>
      </c>
      <c r="G6742" s="46" t="s">
        <v>50584</v>
      </c>
      <c r="H6742" s="48" t="s">
        <v>56716</v>
      </c>
      <c r="I6742" s="48" t="s">
        <v>50564</v>
      </c>
      <c r="J6742" s="48" t="s">
        <v>56716</v>
      </c>
      <c r="K6742" s="50" t="s">
        <v>56716</v>
      </c>
      <c r="L6742" s="48" t="s">
        <v>56716</v>
      </c>
    </row>
    <row r="6743" spans="1:12" ht="11.25" x14ac:dyDescent="0.2">
      <c r="A6743" s="46" t="s">
        <v>10432</v>
      </c>
      <c r="B6743" s="46" t="s">
        <v>55012</v>
      </c>
      <c r="C6743" s="58" t="str">
        <f>"15721000"</f>
        <v>15721000</v>
      </c>
      <c r="D6743" s="58" t="str">
        <f>"18731597"</f>
        <v>18731597</v>
      </c>
      <c r="E6743" s="46" t="s">
        <v>91</v>
      </c>
      <c r="F6743" s="46" t="s">
        <v>18001</v>
      </c>
      <c r="G6743" s="46" t="s">
        <v>50584</v>
      </c>
      <c r="H6743" s="48" t="s">
        <v>56716</v>
      </c>
      <c r="I6743" s="48" t="s">
        <v>50564</v>
      </c>
      <c r="J6743" s="48" t="s">
        <v>56716</v>
      </c>
      <c r="K6743" s="50" t="s">
        <v>56716</v>
      </c>
      <c r="L6743" s="48" t="s">
        <v>56716</v>
      </c>
    </row>
    <row r="6744" spans="1:12" ht="11.25" x14ac:dyDescent="0.2">
      <c r="A6744" s="45" t="s">
        <v>44303</v>
      </c>
      <c r="B6744" s="45" t="s">
        <v>44305</v>
      </c>
      <c r="C6744" s="51" t="s">
        <v>44308</v>
      </c>
      <c r="D6744" s="51" t="s">
        <v>44307</v>
      </c>
      <c r="E6744" s="45" t="s">
        <v>19180</v>
      </c>
      <c r="F6744" s="45" t="s">
        <v>17759</v>
      </c>
      <c r="G6744" s="45" t="s">
        <v>50584</v>
      </c>
      <c r="H6744" s="56"/>
      <c r="I6744" s="56" t="s">
        <v>50564</v>
      </c>
      <c r="J6744" s="56"/>
      <c r="K6744" s="57"/>
      <c r="L6744" s="56" t="s">
        <v>56716</v>
      </c>
    </row>
    <row r="6745" spans="1:12" ht="11.25" x14ac:dyDescent="0.2">
      <c r="A6745" s="46" t="s">
        <v>17041</v>
      </c>
      <c r="B6745" s="46" t="s">
        <v>55013</v>
      </c>
      <c r="C6745" s="58" t="str">
        <f>"21930643"</f>
        <v>21930643</v>
      </c>
      <c r="D6745" s="58" t="str">
        <f>"21930643"</f>
        <v>21930643</v>
      </c>
      <c r="E6745" s="46" t="s">
        <v>1887</v>
      </c>
      <c r="F6745" s="46" t="s">
        <v>18158</v>
      </c>
      <c r="G6745" s="46" t="s">
        <v>50584</v>
      </c>
      <c r="H6745" s="48" t="s">
        <v>56716</v>
      </c>
      <c r="I6745" s="48" t="s">
        <v>50564</v>
      </c>
      <c r="J6745" s="48"/>
      <c r="K6745" s="57"/>
      <c r="L6745" s="48"/>
    </row>
    <row r="6746" spans="1:12" ht="11.25" x14ac:dyDescent="0.2">
      <c r="A6746" s="45" t="s">
        <v>44310</v>
      </c>
      <c r="B6746" s="45" t="s">
        <v>44312</v>
      </c>
      <c r="C6746" s="51" t="s">
        <v>44314</v>
      </c>
      <c r="D6746" s="51" t="s">
        <v>44313</v>
      </c>
      <c r="E6746" s="45" t="s">
        <v>17783</v>
      </c>
      <c r="F6746" s="45" t="s">
        <v>18001</v>
      </c>
      <c r="G6746" s="45" t="s">
        <v>50584</v>
      </c>
      <c r="H6746" s="56"/>
      <c r="I6746" s="56" t="s">
        <v>50564</v>
      </c>
      <c r="J6746" s="56"/>
      <c r="K6746" s="57"/>
      <c r="L6746" s="56" t="s">
        <v>56716</v>
      </c>
    </row>
    <row r="6747" spans="1:12" ht="11.25" x14ac:dyDescent="0.2">
      <c r="A6747" s="46" t="s">
        <v>4585</v>
      </c>
      <c r="B6747" s="46" t="s">
        <v>55014</v>
      </c>
      <c r="C6747" s="58" t="str">
        <f>"11201797"</f>
        <v>11201797</v>
      </c>
      <c r="D6747" s="58" t="str">
        <f>"1724191X"</f>
        <v>1724191X</v>
      </c>
      <c r="E6747" s="46" t="s">
        <v>4588</v>
      </c>
      <c r="F6747" s="46" t="s">
        <v>17991</v>
      </c>
      <c r="G6747" s="46" t="s">
        <v>50584</v>
      </c>
      <c r="H6747" s="48" t="s">
        <v>56716</v>
      </c>
      <c r="I6747" s="48" t="s">
        <v>50564</v>
      </c>
      <c r="J6747" s="48"/>
      <c r="K6747" s="50" t="s">
        <v>56716</v>
      </c>
      <c r="L6747" s="48" t="s">
        <v>56716</v>
      </c>
    </row>
    <row r="6748" spans="1:12" ht="11.25" x14ac:dyDescent="0.2">
      <c r="A6748" s="45" t="s">
        <v>44324</v>
      </c>
      <c r="B6748" s="45" t="s">
        <v>44326</v>
      </c>
      <c r="C6748" s="51" t="s">
        <v>44328</v>
      </c>
      <c r="D6748" s="51" t="s">
        <v>44327</v>
      </c>
      <c r="E6748" s="45" t="s">
        <v>291</v>
      </c>
      <c r="F6748" s="45" t="s">
        <v>50646</v>
      </c>
      <c r="G6748" s="45" t="s">
        <v>50584</v>
      </c>
      <c r="H6748" s="56"/>
      <c r="I6748" s="56" t="s">
        <v>50564</v>
      </c>
      <c r="J6748" s="56"/>
      <c r="K6748" s="57"/>
      <c r="L6748" s="56" t="s">
        <v>56716</v>
      </c>
    </row>
    <row r="6749" spans="1:12" ht="11.25" x14ac:dyDescent="0.2">
      <c r="A6749" s="45" t="s">
        <v>44330</v>
      </c>
      <c r="B6749" s="45" t="s">
        <v>44332</v>
      </c>
      <c r="C6749" s="51" t="s">
        <v>44334</v>
      </c>
      <c r="D6749" s="51" t="s">
        <v>44333</v>
      </c>
      <c r="E6749" s="45" t="s">
        <v>22622</v>
      </c>
      <c r="F6749" s="45" t="s">
        <v>50646</v>
      </c>
      <c r="G6749" s="45" t="s">
        <v>50584</v>
      </c>
      <c r="H6749" s="56"/>
      <c r="I6749" s="56" t="s">
        <v>50564</v>
      </c>
      <c r="J6749" s="56"/>
      <c r="K6749" s="57"/>
      <c r="L6749" s="56" t="s">
        <v>56716</v>
      </c>
    </row>
    <row r="6750" spans="1:12" ht="11.25" x14ac:dyDescent="0.2">
      <c r="A6750" s="45" t="s">
        <v>44337</v>
      </c>
      <c r="B6750" s="45" t="s">
        <v>44339</v>
      </c>
      <c r="C6750" s="51" t="s">
        <v>44342</v>
      </c>
      <c r="D6750" s="51" t="s">
        <v>44341</v>
      </c>
      <c r="E6750" s="45" t="s">
        <v>6914</v>
      </c>
      <c r="F6750" s="45" t="s">
        <v>50646</v>
      </c>
      <c r="G6750" s="45" t="s">
        <v>50584</v>
      </c>
      <c r="H6750" s="56"/>
      <c r="I6750" s="56" t="s">
        <v>50564</v>
      </c>
      <c r="J6750" s="56"/>
      <c r="K6750" s="57"/>
      <c r="L6750" s="56" t="s">
        <v>56716</v>
      </c>
    </row>
    <row r="6751" spans="1:12" ht="11.25" x14ac:dyDescent="0.2">
      <c r="A6751" s="46" t="s">
        <v>6324</v>
      </c>
      <c r="B6751" s="46" t="s">
        <v>55015</v>
      </c>
      <c r="C6751" s="58" t="str">
        <f>"10479651"</f>
        <v>10479651</v>
      </c>
      <c r="D6751" s="58" t="str">
        <f>"15581381"</f>
        <v>15581381</v>
      </c>
      <c r="E6751" s="46" t="s">
        <v>303</v>
      </c>
      <c r="F6751" s="46" t="s">
        <v>17759</v>
      </c>
      <c r="G6751" s="46" t="s">
        <v>50584</v>
      </c>
      <c r="H6751" s="48" t="s">
        <v>56716</v>
      </c>
      <c r="I6751" s="48" t="s">
        <v>50564</v>
      </c>
      <c r="J6751" s="48" t="s">
        <v>56716</v>
      </c>
      <c r="K6751" s="50" t="s">
        <v>56716</v>
      </c>
      <c r="L6751" s="48" t="s">
        <v>56716</v>
      </c>
    </row>
    <row r="6752" spans="1:12" ht="11.25" x14ac:dyDescent="0.2">
      <c r="A6752" s="45" t="s">
        <v>44350</v>
      </c>
      <c r="B6752" s="45" t="s">
        <v>44352</v>
      </c>
      <c r="C6752" s="51" t="s">
        <v>44354</v>
      </c>
      <c r="D6752" s="51" t="s">
        <v>44353</v>
      </c>
      <c r="E6752" s="45" t="s">
        <v>44355</v>
      </c>
      <c r="F6752" s="45" t="s">
        <v>17759</v>
      </c>
      <c r="G6752" s="45" t="s">
        <v>50584</v>
      </c>
      <c r="H6752" s="56"/>
      <c r="I6752" s="56" t="s">
        <v>50564</v>
      </c>
      <c r="J6752" s="56"/>
      <c r="K6752" s="57"/>
      <c r="L6752" s="56" t="s">
        <v>56716</v>
      </c>
    </row>
    <row r="6753" spans="1:12" ht="11.25" x14ac:dyDescent="0.2">
      <c r="A6753" s="45" t="s">
        <v>44358</v>
      </c>
      <c r="B6753" s="45" t="s">
        <v>44360</v>
      </c>
      <c r="C6753" s="51" t="s">
        <v>44363</v>
      </c>
      <c r="D6753" s="51" t="s">
        <v>44362</v>
      </c>
      <c r="E6753" s="45" t="s">
        <v>44364</v>
      </c>
      <c r="F6753" s="45" t="s">
        <v>17759</v>
      </c>
      <c r="G6753" s="45" t="s">
        <v>50584</v>
      </c>
      <c r="H6753" s="56"/>
      <c r="I6753" s="56" t="s">
        <v>50564</v>
      </c>
      <c r="J6753" s="56"/>
      <c r="K6753" s="57"/>
      <c r="L6753" s="56" t="s">
        <v>56716</v>
      </c>
    </row>
    <row r="6754" spans="1:12" ht="11.25" x14ac:dyDescent="0.2">
      <c r="A6754" s="45" t="s">
        <v>44367</v>
      </c>
      <c r="B6754" s="45" t="s">
        <v>44369</v>
      </c>
      <c r="C6754" s="51" t="s">
        <v>44372</v>
      </c>
      <c r="D6754" s="51" t="s">
        <v>44371</v>
      </c>
      <c r="E6754" s="45" t="s">
        <v>12630</v>
      </c>
      <c r="F6754" s="45" t="s">
        <v>17759</v>
      </c>
      <c r="G6754" s="45" t="s">
        <v>50584</v>
      </c>
      <c r="H6754" s="56"/>
      <c r="I6754" s="56" t="s">
        <v>50564</v>
      </c>
      <c r="J6754" s="56"/>
      <c r="K6754" s="57"/>
      <c r="L6754" s="56" t="s">
        <v>56716</v>
      </c>
    </row>
    <row r="6755" spans="1:12" ht="11.25" x14ac:dyDescent="0.2">
      <c r="A6755" s="46" t="s">
        <v>8668</v>
      </c>
      <c r="B6755" s="46" t="s">
        <v>55016</v>
      </c>
      <c r="C6755" s="58" t="str">
        <f>"1466853X"</f>
        <v>1466853X</v>
      </c>
      <c r="D6755" s="58" t="str">
        <f>"18731600"</f>
        <v>18731600</v>
      </c>
      <c r="E6755" s="46" t="s">
        <v>831</v>
      </c>
      <c r="F6755" s="46" t="s">
        <v>50646</v>
      </c>
      <c r="G6755" s="46" t="s">
        <v>50584</v>
      </c>
      <c r="H6755" s="48" t="s">
        <v>56716</v>
      </c>
      <c r="I6755" s="48" t="s">
        <v>50564</v>
      </c>
      <c r="J6755" s="48" t="s">
        <v>56716</v>
      </c>
      <c r="K6755" s="50" t="s">
        <v>56716</v>
      </c>
      <c r="L6755" s="48" t="s">
        <v>56716</v>
      </c>
    </row>
    <row r="6756" spans="1:12" ht="11.25" x14ac:dyDescent="0.2">
      <c r="A6756" s="46" t="s">
        <v>3413</v>
      </c>
      <c r="B6756" s="46" t="s">
        <v>55017</v>
      </c>
      <c r="C6756" s="58" t="str">
        <f>"00913847"</f>
        <v>00913847</v>
      </c>
      <c r="D6756" s="58" t="str">
        <f>"23263660 "</f>
        <v xml:space="preserve">23263660 </v>
      </c>
      <c r="E6756" s="46" t="s">
        <v>291</v>
      </c>
      <c r="F6756" s="46" t="s">
        <v>17759</v>
      </c>
      <c r="G6756" s="46" t="s">
        <v>50584</v>
      </c>
      <c r="H6756" s="48" t="s">
        <v>56716</v>
      </c>
      <c r="I6756" s="48" t="s">
        <v>50564</v>
      </c>
      <c r="J6756" s="48"/>
      <c r="K6756" s="57"/>
      <c r="L6756" s="48" t="s">
        <v>56716</v>
      </c>
    </row>
    <row r="6757" spans="1:12" ht="11.25" x14ac:dyDescent="0.2">
      <c r="A6757" s="45" t="s">
        <v>44382</v>
      </c>
      <c r="B6757" s="45" t="s">
        <v>44384</v>
      </c>
      <c r="C6757" s="51" t="s">
        <v>44386</v>
      </c>
      <c r="D6757" s="51"/>
      <c r="E6757" s="45" t="s">
        <v>44387</v>
      </c>
      <c r="F6757" s="45" t="s">
        <v>17759</v>
      </c>
      <c r="G6757" s="45" t="s">
        <v>50584</v>
      </c>
      <c r="H6757" s="56"/>
      <c r="I6757" s="56" t="s">
        <v>50564</v>
      </c>
      <c r="J6757" s="56"/>
      <c r="K6757" s="57"/>
      <c r="L6757" s="56" t="s">
        <v>56716</v>
      </c>
    </row>
    <row r="6758" spans="1:12" ht="11.25" x14ac:dyDescent="0.2">
      <c r="A6758" s="45" t="s">
        <v>44389</v>
      </c>
      <c r="B6758" s="45" t="s">
        <v>44391</v>
      </c>
      <c r="C6758" s="51" t="s">
        <v>44393</v>
      </c>
      <c r="D6758" s="51" t="s">
        <v>44392</v>
      </c>
      <c r="E6758" s="45" t="s">
        <v>44394</v>
      </c>
      <c r="F6758" s="45" t="s">
        <v>50646</v>
      </c>
      <c r="G6758" s="45" t="s">
        <v>50584</v>
      </c>
      <c r="H6758" s="56"/>
      <c r="I6758" s="56" t="s">
        <v>50564</v>
      </c>
      <c r="J6758" s="56"/>
      <c r="K6758" s="57"/>
      <c r="L6758" s="56" t="s">
        <v>56716</v>
      </c>
    </row>
    <row r="6759" spans="1:12" ht="11.25" x14ac:dyDescent="0.2">
      <c r="A6759" s="45" t="s">
        <v>44396</v>
      </c>
      <c r="B6759" s="45" t="s">
        <v>44398</v>
      </c>
      <c r="C6759" s="51" t="s">
        <v>44400</v>
      </c>
      <c r="D6759" s="51" t="s">
        <v>44399</v>
      </c>
      <c r="E6759" s="45" t="s">
        <v>91</v>
      </c>
      <c r="F6759" s="45" t="s">
        <v>18001</v>
      </c>
      <c r="G6759" s="45" t="s">
        <v>50584</v>
      </c>
      <c r="H6759" s="56"/>
      <c r="I6759" s="56" t="s">
        <v>50564</v>
      </c>
      <c r="J6759" s="56"/>
      <c r="K6759" s="57"/>
      <c r="L6759" s="56" t="s">
        <v>56716</v>
      </c>
    </row>
    <row r="6760" spans="1:12" ht="11.25" x14ac:dyDescent="0.2">
      <c r="A6760" s="45" t="s">
        <v>44402</v>
      </c>
      <c r="B6760" s="45" t="s">
        <v>44404</v>
      </c>
      <c r="C6760" s="51" t="s">
        <v>44406</v>
      </c>
      <c r="D6760" s="51" t="s">
        <v>44405</v>
      </c>
      <c r="E6760" s="45" t="s">
        <v>44407</v>
      </c>
      <c r="F6760" s="45" t="s">
        <v>18305</v>
      </c>
      <c r="G6760" s="45" t="s">
        <v>50584</v>
      </c>
      <c r="H6760" s="56"/>
      <c r="I6760" s="56" t="s">
        <v>50564</v>
      </c>
      <c r="J6760" s="56"/>
      <c r="K6760" s="57"/>
      <c r="L6760" s="56" t="s">
        <v>56716</v>
      </c>
    </row>
    <row r="6761" spans="1:12" ht="11.25" x14ac:dyDescent="0.2">
      <c r="A6761" s="45" t="s">
        <v>44409</v>
      </c>
      <c r="B6761" s="45" t="s">
        <v>44411</v>
      </c>
      <c r="C6761" s="51" t="s">
        <v>44414</v>
      </c>
      <c r="D6761" s="51" t="s">
        <v>44413</v>
      </c>
      <c r="E6761" s="45" t="s">
        <v>7339</v>
      </c>
      <c r="F6761" s="45" t="s">
        <v>17759</v>
      </c>
      <c r="G6761" s="45" t="s">
        <v>50584</v>
      </c>
      <c r="H6761" s="56"/>
      <c r="I6761" s="56" t="s">
        <v>50564</v>
      </c>
      <c r="J6761" s="56"/>
      <c r="K6761" s="57"/>
      <c r="L6761" s="56" t="s">
        <v>56716</v>
      </c>
    </row>
    <row r="6762" spans="1:12" ht="11.25" x14ac:dyDescent="0.2">
      <c r="A6762" s="45" t="s">
        <v>44416</v>
      </c>
      <c r="B6762" s="45" t="s">
        <v>44418</v>
      </c>
      <c r="C6762" s="51" t="s">
        <v>44420</v>
      </c>
      <c r="D6762" s="51"/>
      <c r="E6762" s="45" t="s">
        <v>44421</v>
      </c>
      <c r="F6762" s="45" t="s">
        <v>17759</v>
      </c>
      <c r="G6762" s="45" t="s">
        <v>50584</v>
      </c>
      <c r="H6762" s="56"/>
      <c r="I6762" s="56" t="s">
        <v>50564</v>
      </c>
      <c r="J6762" s="56"/>
      <c r="K6762" s="57"/>
      <c r="L6762" s="56" t="s">
        <v>56716</v>
      </c>
    </row>
    <row r="6763" spans="1:12" ht="11.25" x14ac:dyDescent="0.2">
      <c r="A6763" s="46" t="s">
        <v>9393</v>
      </c>
      <c r="B6763" s="46" t="s">
        <v>55018</v>
      </c>
      <c r="C6763" s="58" t="str">
        <f>"10948341"</f>
        <v>10948341</v>
      </c>
      <c r="D6763" s="58" t="str">
        <f>"15312267"</f>
        <v>15312267</v>
      </c>
      <c r="E6763" s="46" t="s">
        <v>367</v>
      </c>
      <c r="F6763" s="46" t="s">
        <v>17759</v>
      </c>
      <c r="G6763" s="46" t="s">
        <v>50584</v>
      </c>
      <c r="H6763" s="48" t="s">
        <v>56716</v>
      </c>
      <c r="I6763" s="48" t="s">
        <v>50564</v>
      </c>
      <c r="J6763" s="48" t="s">
        <v>56716</v>
      </c>
      <c r="K6763" s="57"/>
      <c r="L6763" s="48" t="s">
        <v>56716</v>
      </c>
    </row>
    <row r="6764" spans="1:12" ht="11.25" x14ac:dyDescent="0.2">
      <c r="A6764" s="45" t="s">
        <v>44429</v>
      </c>
      <c r="B6764" s="45" t="s">
        <v>44431</v>
      </c>
      <c r="C6764" s="51" t="s">
        <v>44434</v>
      </c>
      <c r="D6764" s="51" t="s">
        <v>44433</v>
      </c>
      <c r="E6764" s="45" t="s">
        <v>37965</v>
      </c>
      <c r="F6764" s="45" t="s">
        <v>50646</v>
      </c>
      <c r="G6764" s="45" t="s">
        <v>50584</v>
      </c>
      <c r="H6764" s="56"/>
      <c r="I6764" s="56" t="s">
        <v>50564</v>
      </c>
      <c r="J6764" s="56"/>
      <c r="K6764" s="57"/>
      <c r="L6764" s="56" t="s">
        <v>56716</v>
      </c>
    </row>
    <row r="6765" spans="1:12" ht="11.25" x14ac:dyDescent="0.2">
      <c r="A6765" s="45" t="s">
        <v>44437</v>
      </c>
      <c r="B6765" s="45" t="s">
        <v>44439</v>
      </c>
      <c r="C6765" s="51" t="s">
        <v>44442</v>
      </c>
      <c r="D6765" s="51" t="s">
        <v>44441</v>
      </c>
      <c r="E6765" s="45" t="s">
        <v>44443</v>
      </c>
      <c r="F6765" s="45" t="s">
        <v>18025</v>
      </c>
      <c r="G6765" s="45" t="s">
        <v>50584</v>
      </c>
      <c r="H6765" s="56"/>
      <c r="I6765" s="56" t="s">
        <v>50564</v>
      </c>
      <c r="J6765" s="56"/>
      <c r="K6765" s="57"/>
      <c r="L6765" s="56" t="s">
        <v>56716</v>
      </c>
    </row>
    <row r="6766" spans="1:12" ht="11.25" x14ac:dyDescent="0.2">
      <c r="A6766" s="46" t="s">
        <v>3397</v>
      </c>
      <c r="B6766" s="46" t="s">
        <v>55019</v>
      </c>
      <c r="C6766" s="58" t="str">
        <f>"00319333"</f>
        <v>00319333</v>
      </c>
      <c r="D6766" s="58" t="str">
        <f>"15221210"</f>
        <v>15221210</v>
      </c>
      <c r="E6766" s="46" t="s">
        <v>367</v>
      </c>
      <c r="F6766" s="46" t="s">
        <v>17759</v>
      </c>
      <c r="G6766" s="46" t="s">
        <v>50584</v>
      </c>
      <c r="H6766" s="48" t="s">
        <v>56716</v>
      </c>
      <c r="I6766" s="48" t="s">
        <v>50564</v>
      </c>
      <c r="J6766" s="48" t="s">
        <v>56716</v>
      </c>
      <c r="K6766" s="57"/>
      <c r="L6766" s="48" t="s">
        <v>56716</v>
      </c>
    </row>
    <row r="6767" spans="1:12" ht="11.25" x14ac:dyDescent="0.2">
      <c r="A6767" s="45" t="s">
        <v>44460</v>
      </c>
      <c r="B6767" s="45" t="s">
        <v>44462</v>
      </c>
      <c r="C6767" s="51" t="s">
        <v>44465</v>
      </c>
      <c r="D6767" s="51" t="s">
        <v>44464</v>
      </c>
      <c r="E6767" s="45" t="s">
        <v>44466</v>
      </c>
      <c r="F6767" s="45" t="s">
        <v>17759</v>
      </c>
      <c r="G6767" s="45" t="s">
        <v>50584</v>
      </c>
      <c r="H6767" s="56"/>
      <c r="I6767" s="56" t="s">
        <v>50564</v>
      </c>
      <c r="J6767" s="56"/>
      <c r="K6767" s="57"/>
      <c r="L6767" s="56" t="s">
        <v>56716</v>
      </c>
    </row>
    <row r="6768" spans="1:12" ht="11.25" x14ac:dyDescent="0.2">
      <c r="A6768" s="46" t="s">
        <v>3382</v>
      </c>
      <c r="B6768" s="46" t="s">
        <v>55020</v>
      </c>
      <c r="C6768" s="58" t="str">
        <f>"00319384"</f>
        <v>00319384</v>
      </c>
      <c r="D6768" s="58" t="str">
        <f>"1873507X"</f>
        <v>1873507X</v>
      </c>
      <c r="E6768" s="46" t="s">
        <v>272</v>
      </c>
      <c r="F6768" s="46" t="s">
        <v>17759</v>
      </c>
      <c r="G6768" s="46" t="s">
        <v>50584</v>
      </c>
      <c r="H6768" s="48" t="s">
        <v>56716</v>
      </c>
      <c r="I6768" s="48" t="s">
        <v>50564</v>
      </c>
      <c r="J6768" s="48" t="s">
        <v>56716</v>
      </c>
      <c r="K6768" s="50" t="s">
        <v>56716</v>
      </c>
      <c r="L6768" s="48" t="s">
        <v>56716</v>
      </c>
    </row>
    <row r="6769" spans="1:12" ht="11.25" x14ac:dyDescent="0.2">
      <c r="A6769" s="46" t="s">
        <v>13568</v>
      </c>
      <c r="B6769" s="46" t="s">
        <v>55021</v>
      </c>
      <c r="C6769" s="58" t="str">
        <f>"17350581"</f>
        <v>17350581</v>
      </c>
      <c r="D6769" s="58" t="str">
        <f>""</f>
        <v/>
      </c>
      <c r="E6769" s="46" t="s">
        <v>13570</v>
      </c>
      <c r="F6769" s="46" t="s">
        <v>18232</v>
      </c>
      <c r="G6769" s="46" t="s">
        <v>50609</v>
      </c>
      <c r="H6769" s="48" t="s">
        <v>56716</v>
      </c>
      <c r="I6769" s="48" t="s">
        <v>50564</v>
      </c>
      <c r="J6769" s="48"/>
      <c r="K6769" s="57"/>
      <c r="L6769" s="48"/>
    </row>
    <row r="6770" spans="1:12" ht="11.25" x14ac:dyDescent="0.2">
      <c r="A6770" s="46" t="s">
        <v>3410</v>
      </c>
      <c r="B6770" s="46" t="s">
        <v>44468</v>
      </c>
      <c r="C6770" s="58" t="str">
        <f>"00319406"</f>
        <v>00319406</v>
      </c>
      <c r="D6770" s="58" t="str">
        <f>"18731465"</f>
        <v>18731465</v>
      </c>
      <c r="E6770" s="46" t="s">
        <v>155</v>
      </c>
      <c r="F6770" s="46" t="s">
        <v>50646</v>
      </c>
      <c r="G6770" s="46" t="s">
        <v>50584</v>
      </c>
      <c r="H6770" s="48" t="s">
        <v>56716</v>
      </c>
      <c r="I6770" s="48" t="s">
        <v>50564</v>
      </c>
      <c r="J6770" s="48" t="s">
        <v>56716</v>
      </c>
      <c r="K6770" s="50" t="s">
        <v>56716</v>
      </c>
      <c r="L6770" s="48" t="s">
        <v>56716</v>
      </c>
    </row>
    <row r="6771" spans="1:12" ht="11.25" x14ac:dyDescent="0.2">
      <c r="A6771" s="45" t="s">
        <v>44473</v>
      </c>
      <c r="B6771" s="45" t="s">
        <v>44475</v>
      </c>
      <c r="C6771" s="51" t="s">
        <v>44477</v>
      </c>
      <c r="D6771" s="51" t="s">
        <v>44476</v>
      </c>
      <c r="E6771" s="45" t="s">
        <v>20207</v>
      </c>
      <c r="F6771" s="45" t="s">
        <v>17759</v>
      </c>
      <c r="G6771" s="45" t="s">
        <v>50584</v>
      </c>
      <c r="H6771" s="56"/>
      <c r="I6771" s="56" t="s">
        <v>50564</v>
      </c>
      <c r="J6771" s="56"/>
      <c r="K6771" s="57"/>
      <c r="L6771" s="56" t="s">
        <v>56716</v>
      </c>
    </row>
    <row r="6772" spans="1:12" ht="11.25" x14ac:dyDescent="0.2">
      <c r="A6772" s="45" t="s">
        <v>44479</v>
      </c>
      <c r="B6772" s="45" t="s">
        <v>44481</v>
      </c>
      <c r="C6772" s="51" t="s">
        <v>44484</v>
      </c>
      <c r="D6772" s="51" t="s">
        <v>44483</v>
      </c>
      <c r="E6772" s="45" t="s">
        <v>291</v>
      </c>
      <c r="F6772" s="45" t="s">
        <v>50646</v>
      </c>
      <c r="G6772" s="45" t="s">
        <v>50584</v>
      </c>
      <c r="H6772" s="56"/>
      <c r="I6772" s="56" t="s">
        <v>50564</v>
      </c>
      <c r="J6772" s="56"/>
      <c r="K6772" s="57"/>
      <c r="L6772" s="56" t="s">
        <v>56716</v>
      </c>
    </row>
    <row r="6773" spans="1:12" ht="11.25" x14ac:dyDescent="0.2">
      <c r="A6773" s="45" t="s">
        <v>44486</v>
      </c>
      <c r="B6773" s="45" t="s">
        <v>44488</v>
      </c>
      <c r="C6773" s="51" t="s">
        <v>44489</v>
      </c>
      <c r="D6773" s="51"/>
      <c r="E6773" s="45" t="s">
        <v>44490</v>
      </c>
      <c r="F6773" s="45" t="s">
        <v>17991</v>
      </c>
      <c r="G6773" s="45" t="s">
        <v>50603</v>
      </c>
      <c r="H6773" s="56"/>
      <c r="I6773" s="56" t="s">
        <v>50564</v>
      </c>
      <c r="J6773" s="56"/>
      <c r="K6773" s="57"/>
      <c r="L6773" s="56" t="s">
        <v>56716</v>
      </c>
    </row>
    <row r="6774" spans="1:12" ht="11.25" x14ac:dyDescent="0.2">
      <c r="A6774" s="46" t="s">
        <v>5397</v>
      </c>
      <c r="B6774" s="46" t="s">
        <v>55022</v>
      </c>
      <c r="C6774" s="58" t="str">
        <f>"09580344"</f>
        <v>09580344</v>
      </c>
      <c r="D6774" s="58" t="str">
        <f>"10991565"</f>
        <v>10991565</v>
      </c>
      <c r="E6774" s="46" t="s">
        <v>751</v>
      </c>
      <c r="F6774" s="46" t="s">
        <v>50646</v>
      </c>
      <c r="G6774" s="46" t="s">
        <v>50584</v>
      </c>
      <c r="H6774" s="48" t="s">
        <v>56716</v>
      </c>
      <c r="I6774" s="48" t="s">
        <v>50564</v>
      </c>
      <c r="J6774" s="48"/>
      <c r="K6774" s="50" t="s">
        <v>56716</v>
      </c>
      <c r="L6774" s="48" t="s">
        <v>56716</v>
      </c>
    </row>
    <row r="6775" spans="1:12" ht="11.25" x14ac:dyDescent="0.2">
      <c r="A6775" s="45" t="s">
        <v>44497</v>
      </c>
      <c r="B6775" s="45" t="s">
        <v>44497</v>
      </c>
      <c r="C6775" s="51" t="s">
        <v>44500</v>
      </c>
      <c r="D6775" s="51" t="s">
        <v>44499</v>
      </c>
      <c r="E6775" s="45" t="s">
        <v>91</v>
      </c>
      <c r="F6775" s="45" t="s">
        <v>50646</v>
      </c>
      <c r="G6775" s="45" t="s">
        <v>50584</v>
      </c>
      <c r="H6775" s="56"/>
      <c r="I6775" s="56" t="s">
        <v>50564</v>
      </c>
      <c r="J6775" s="56"/>
      <c r="K6775" s="57"/>
      <c r="L6775" s="56" t="s">
        <v>56716</v>
      </c>
    </row>
    <row r="6776" spans="1:12" ht="11.25" x14ac:dyDescent="0.2">
      <c r="A6776" s="46" t="s">
        <v>12710</v>
      </c>
      <c r="B6776" s="46" t="s">
        <v>55023</v>
      </c>
      <c r="C6776" s="58" t="str">
        <f>"18743900"</f>
        <v>18743900</v>
      </c>
      <c r="D6776" s="58" t="str">
        <f>"18767486"</f>
        <v>18767486</v>
      </c>
      <c r="E6776" s="46" t="s">
        <v>155</v>
      </c>
      <c r="F6776" s="46" t="s">
        <v>50646</v>
      </c>
      <c r="G6776" s="46" t="s">
        <v>50584</v>
      </c>
      <c r="H6776" s="48" t="s">
        <v>56716</v>
      </c>
      <c r="I6776" s="48" t="s">
        <v>50564</v>
      </c>
      <c r="J6776" s="48" t="s">
        <v>56716</v>
      </c>
      <c r="K6776" s="50" t="s">
        <v>56716</v>
      </c>
      <c r="L6776" s="48"/>
    </row>
    <row r="6777" spans="1:12" ht="11.25" x14ac:dyDescent="0.2">
      <c r="A6777" s="46" t="s">
        <v>9381</v>
      </c>
      <c r="B6777" s="46" t="s">
        <v>55024</v>
      </c>
      <c r="C6777" s="58" t="str">
        <f>"15687767"</f>
        <v>15687767</v>
      </c>
      <c r="D6777" s="58" t="str">
        <f>"1572980X"</f>
        <v>1572980X</v>
      </c>
      <c r="E6777" s="46" t="s">
        <v>18876</v>
      </c>
      <c r="F6777" s="46" t="s">
        <v>18001</v>
      </c>
      <c r="G6777" s="46" t="s">
        <v>50584</v>
      </c>
      <c r="H6777" s="48" t="s">
        <v>56716</v>
      </c>
      <c r="I6777" s="48" t="s">
        <v>50564</v>
      </c>
      <c r="J6777" s="48" t="s">
        <v>56716</v>
      </c>
      <c r="K6777" s="50" t="s">
        <v>56716</v>
      </c>
      <c r="L6777" s="48"/>
    </row>
    <row r="6778" spans="1:12" ht="11.25" x14ac:dyDescent="0.2">
      <c r="A6778" s="46" t="s">
        <v>9862</v>
      </c>
      <c r="B6778" s="46" t="s">
        <v>9862</v>
      </c>
      <c r="C6778" s="58" t="str">
        <f>"09723293"</f>
        <v>09723293</v>
      </c>
      <c r="D6778" s="58" t="str">
        <f>""</f>
        <v/>
      </c>
      <c r="E6778" s="46" t="s">
        <v>9864</v>
      </c>
      <c r="F6778" s="46" t="s">
        <v>20446</v>
      </c>
      <c r="G6778" s="46" t="s">
        <v>50584</v>
      </c>
      <c r="H6778" s="48" t="s">
        <v>56716</v>
      </c>
      <c r="I6778" s="48" t="s">
        <v>50564</v>
      </c>
      <c r="J6778" s="48"/>
      <c r="K6778" s="57"/>
      <c r="L6778" s="48"/>
    </row>
    <row r="6779" spans="1:12" ht="11.25" x14ac:dyDescent="0.2">
      <c r="A6779" s="46" t="s">
        <v>8154</v>
      </c>
      <c r="B6779" s="46" t="s">
        <v>8154</v>
      </c>
      <c r="C6779" s="58" t="str">
        <f>"09447113"</f>
        <v>09447113</v>
      </c>
      <c r="D6779" s="58" t="str">
        <f>"1618095X"</f>
        <v>1618095X</v>
      </c>
      <c r="E6779" s="46" t="s">
        <v>241</v>
      </c>
      <c r="F6779" s="46" t="s">
        <v>18158</v>
      </c>
      <c r="G6779" s="46" t="s">
        <v>50584</v>
      </c>
      <c r="H6779" s="48" t="s">
        <v>56716</v>
      </c>
      <c r="I6779" s="48" t="s">
        <v>50564</v>
      </c>
      <c r="J6779" s="48" t="s">
        <v>56716</v>
      </c>
      <c r="K6779" s="50" t="s">
        <v>56716</v>
      </c>
      <c r="L6779" s="48" t="s">
        <v>56716</v>
      </c>
    </row>
    <row r="6780" spans="1:12" ht="11.25" x14ac:dyDescent="0.2">
      <c r="A6780" s="45" t="s">
        <v>44507</v>
      </c>
      <c r="B6780" s="45" t="s">
        <v>44507</v>
      </c>
      <c r="C6780" s="51" t="s">
        <v>44510</v>
      </c>
      <c r="D6780" s="51" t="s">
        <v>44509</v>
      </c>
      <c r="E6780" s="45" t="s">
        <v>44511</v>
      </c>
      <c r="F6780" s="45" t="s">
        <v>17759</v>
      </c>
      <c r="G6780" s="45" t="s">
        <v>50584</v>
      </c>
      <c r="H6780" s="56"/>
      <c r="I6780" s="56" t="s">
        <v>50564</v>
      </c>
      <c r="J6780" s="56"/>
      <c r="K6780" s="57"/>
      <c r="L6780" s="56" t="s">
        <v>56716</v>
      </c>
    </row>
    <row r="6781" spans="1:12" ht="11.25" x14ac:dyDescent="0.2">
      <c r="A6781" s="46" t="s">
        <v>10589</v>
      </c>
      <c r="B6781" s="46" t="s">
        <v>10589</v>
      </c>
      <c r="C6781" s="58" t="str">
        <f>"16248597"</f>
        <v>16248597</v>
      </c>
      <c r="D6781" s="58" t="str">
        <f>"17652847"</f>
        <v>17652847</v>
      </c>
      <c r="E6781" s="46" t="s">
        <v>11245</v>
      </c>
      <c r="F6781" s="46" t="s">
        <v>20359</v>
      </c>
      <c r="G6781" s="46" t="s">
        <v>50591</v>
      </c>
      <c r="H6781" s="48" t="s">
        <v>56716</v>
      </c>
      <c r="I6781" s="48" t="s">
        <v>50564</v>
      </c>
      <c r="J6781" s="48"/>
      <c r="K6781" s="50" t="s">
        <v>56716</v>
      </c>
      <c r="L6781" s="48"/>
    </row>
    <row r="6782" spans="1:12" ht="11.25" x14ac:dyDescent="0.2">
      <c r="A6782" s="46" t="s">
        <v>9998</v>
      </c>
      <c r="B6782" s="46" t="s">
        <v>55025</v>
      </c>
      <c r="C6782" s="58" t="str">
        <f>"16286847"</f>
        <v>16286847</v>
      </c>
      <c r="D6782" s="58" t="str">
        <f>""</f>
        <v/>
      </c>
      <c r="E6782" s="46" t="s">
        <v>10000</v>
      </c>
      <c r="F6782" s="46" t="s">
        <v>20359</v>
      </c>
      <c r="G6782" s="46" t="s">
        <v>50591</v>
      </c>
      <c r="H6782" s="48" t="s">
        <v>56716</v>
      </c>
      <c r="I6782" s="48" t="s">
        <v>50564</v>
      </c>
      <c r="J6782" s="48"/>
      <c r="K6782" s="57"/>
      <c r="L6782" s="48"/>
    </row>
    <row r="6783" spans="1:12" ht="11.25" x14ac:dyDescent="0.2">
      <c r="A6783" s="46" t="s">
        <v>4562</v>
      </c>
      <c r="B6783" s="46" t="s">
        <v>55026</v>
      </c>
      <c r="C6783" s="58" t="str">
        <f>"0951418X"</f>
        <v>0951418X</v>
      </c>
      <c r="D6783" s="58" t="str">
        <f>"10991573"</f>
        <v>10991573</v>
      </c>
      <c r="E6783" s="46" t="s">
        <v>751</v>
      </c>
      <c r="F6783" s="46" t="s">
        <v>50646</v>
      </c>
      <c r="G6783" s="46" t="s">
        <v>50584</v>
      </c>
      <c r="H6783" s="48" t="s">
        <v>56716</v>
      </c>
      <c r="I6783" s="48" t="s">
        <v>50564</v>
      </c>
      <c r="J6783" s="48"/>
      <c r="K6783" s="50" t="s">
        <v>56716</v>
      </c>
      <c r="L6783" s="48" t="s">
        <v>56716</v>
      </c>
    </row>
    <row r="6784" spans="1:12" ht="11.25" x14ac:dyDescent="0.2">
      <c r="A6784" s="46" t="s">
        <v>12132</v>
      </c>
      <c r="B6784" s="46" t="s">
        <v>12132</v>
      </c>
      <c r="C6784" s="58" t="str">
        <f>"02139251"</f>
        <v>02139251</v>
      </c>
      <c r="D6784" s="58" t="str">
        <f>"15788830"</f>
        <v>15788830</v>
      </c>
      <c r="E6784" s="46" t="s">
        <v>1683</v>
      </c>
      <c r="F6784" s="46" t="s">
        <v>18439</v>
      </c>
      <c r="G6784" s="46" t="s">
        <v>50632</v>
      </c>
      <c r="H6784" s="48" t="s">
        <v>56716</v>
      </c>
      <c r="I6784" s="48" t="s">
        <v>50564</v>
      </c>
      <c r="J6784" s="48"/>
      <c r="K6784" s="50" t="s">
        <v>56716</v>
      </c>
      <c r="L6784" s="48"/>
    </row>
    <row r="6785" spans="1:12" ht="11.25" x14ac:dyDescent="0.2">
      <c r="A6785" s="46" t="s">
        <v>12693</v>
      </c>
      <c r="B6785" s="46" t="s">
        <v>55027</v>
      </c>
      <c r="C6785" s="58" t="str">
        <f>"17551471"</f>
        <v>17551471</v>
      </c>
      <c r="D6785" s="58" t="str">
        <f>"1755148X"</f>
        <v>1755148X</v>
      </c>
      <c r="E6785" s="46" t="s">
        <v>35</v>
      </c>
      <c r="F6785" s="46" t="s">
        <v>50646</v>
      </c>
      <c r="G6785" s="46" t="s">
        <v>50584</v>
      </c>
      <c r="H6785" s="48" t="s">
        <v>56716</v>
      </c>
      <c r="I6785" s="48" t="s">
        <v>50564</v>
      </c>
      <c r="J6785" s="48"/>
      <c r="K6785" s="50" t="s">
        <v>56716</v>
      </c>
      <c r="L6785" s="48" t="s">
        <v>56716</v>
      </c>
    </row>
    <row r="6786" spans="1:12" ht="11.25" x14ac:dyDescent="0.2">
      <c r="A6786" s="46" t="s">
        <v>8444</v>
      </c>
      <c r="B6786" s="46" t="s">
        <v>8444</v>
      </c>
      <c r="C6786" s="58" t="str">
        <f>"1386341X"</f>
        <v>1386341X</v>
      </c>
      <c r="D6786" s="58" t="str">
        <f>"15737403"</f>
        <v>15737403</v>
      </c>
      <c r="E6786" s="46" t="s">
        <v>56305</v>
      </c>
      <c r="F6786" s="46" t="s">
        <v>17759</v>
      </c>
      <c r="G6786" s="46" t="s">
        <v>50584</v>
      </c>
      <c r="H6786" s="48" t="s">
        <v>56716</v>
      </c>
      <c r="I6786" s="48" t="s">
        <v>50564</v>
      </c>
      <c r="J6786" s="48" t="s">
        <v>56716</v>
      </c>
      <c r="K6786" s="50" t="s">
        <v>56716</v>
      </c>
      <c r="L6786" s="48" t="s">
        <v>56716</v>
      </c>
    </row>
    <row r="6787" spans="1:12" ht="11.25" x14ac:dyDescent="0.2">
      <c r="A6787" s="46" t="s">
        <v>3428</v>
      </c>
      <c r="B6787" s="46" t="s">
        <v>3428</v>
      </c>
      <c r="C6787" s="58" t="str">
        <f>"01434004"</f>
        <v>01434004</v>
      </c>
      <c r="D6787" s="58" t="str">
        <f>"15323102"</f>
        <v>15323102</v>
      </c>
      <c r="E6787" s="46" t="s">
        <v>1177</v>
      </c>
      <c r="F6787" s="46" t="s">
        <v>50646</v>
      </c>
      <c r="G6787" s="46" t="s">
        <v>50584</v>
      </c>
      <c r="H6787" s="48" t="s">
        <v>56716</v>
      </c>
      <c r="I6787" s="48" t="s">
        <v>50564</v>
      </c>
      <c r="J6787" s="48" t="s">
        <v>56716</v>
      </c>
      <c r="K6787" s="50" t="s">
        <v>56716</v>
      </c>
      <c r="L6787" s="48" t="s">
        <v>56716</v>
      </c>
    </row>
    <row r="6788" spans="1:12" ht="11.25" x14ac:dyDescent="0.2">
      <c r="A6788" s="45" t="s">
        <v>44530</v>
      </c>
      <c r="B6788" s="45" t="s">
        <v>44532</v>
      </c>
      <c r="C6788" s="51" t="s">
        <v>44534</v>
      </c>
      <c r="D6788" s="51" t="s">
        <v>44533</v>
      </c>
      <c r="E6788" s="45" t="s">
        <v>55</v>
      </c>
      <c r="F6788" s="45" t="s">
        <v>18242</v>
      </c>
      <c r="G6788" s="45" t="s">
        <v>50592</v>
      </c>
      <c r="H6788" s="56"/>
      <c r="I6788" s="56" t="s">
        <v>50564</v>
      </c>
      <c r="J6788" s="56"/>
      <c r="K6788" s="57"/>
      <c r="L6788" s="56" t="s">
        <v>56716</v>
      </c>
    </row>
    <row r="6789" spans="1:12" ht="11.25" x14ac:dyDescent="0.2">
      <c r="A6789" s="45" t="s">
        <v>44537</v>
      </c>
      <c r="B6789" s="45" t="s">
        <v>44539</v>
      </c>
      <c r="C6789" s="51" t="s">
        <v>44542</v>
      </c>
      <c r="D6789" s="51" t="s">
        <v>44541</v>
      </c>
      <c r="E6789" s="45" t="s">
        <v>17805</v>
      </c>
      <c r="F6789" s="45" t="s">
        <v>50646</v>
      </c>
      <c r="G6789" s="45" t="s">
        <v>50584</v>
      </c>
      <c r="H6789" s="56"/>
      <c r="I6789" s="56" t="s">
        <v>50564</v>
      </c>
      <c r="J6789" s="56"/>
      <c r="K6789" s="57"/>
      <c r="L6789" s="56" t="s">
        <v>56716</v>
      </c>
    </row>
    <row r="6790" spans="1:12" ht="11.25" x14ac:dyDescent="0.2">
      <c r="A6790" s="45" t="s">
        <v>44544</v>
      </c>
      <c r="B6790" s="45" t="s">
        <v>44546</v>
      </c>
      <c r="C6790" s="51" t="s">
        <v>44548</v>
      </c>
      <c r="D6790" s="51" t="s">
        <v>44547</v>
      </c>
      <c r="E6790" s="45" t="s">
        <v>20225</v>
      </c>
      <c r="F6790" s="45" t="s">
        <v>50646</v>
      </c>
      <c r="G6790" s="45" t="s">
        <v>50584</v>
      </c>
      <c r="H6790" s="56"/>
      <c r="I6790" s="56" t="s">
        <v>50564</v>
      </c>
      <c r="J6790" s="56"/>
      <c r="K6790" s="57"/>
      <c r="L6790" s="56" t="s">
        <v>56716</v>
      </c>
    </row>
    <row r="6791" spans="1:12" ht="11.25" x14ac:dyDescent="0.2">
      <c r="A6791" s="45" t="s">
        <v>44558</v>
      </c>
      <c r="B6791" s="45" t="s">
        <v>44560</v>
      </c>
      <c r="C6791" s="51" t="s">
        <v>44562</v>
      </c>
      <c r="D6791" s="51" t="s">
        <v>44561</v>
      </c>
      <c r="E6791" s="45" t="s">
        <v>17783</v>
      </c>
      <c r="F6791" s="45" t="s">
        <v>18158</v>
      </c>
      <c r="G6791" s="45" t="s">
        <v>50584</v>
      </c>
      <c r="H6791" s="56"/>
      <c r="I6791" s="56" t="s">
        <v>50564</v>
      </c>
      <c r="J6791" s="56"/>
      <c r="K6791" s="57"/>
      <c r="L6791" s="56" t="s">
        <v>56716</v>
      </c>
    </row>
    <row r="6792" spans="1:12" ht="11.25" x14ac:dyDescent="0.2">
      <c r="A6792" s="45" t="s">
        <v>44565</v>
      </c>
      <c r="B6792" s="45" t="s">
        <v>44567</v>
      </c>
      <c r="C6792" s="51" t="s">
        <v>44570</v>
      </c>
      <c r="D6792" s="51" t="s">
        <v>44569</v>
      </c>
      <c r="E6792" s="45" t="s">
        <v>21011</v>
      </c>
      <c r="F6792" s="45" t="s">
        <v>18001</v>
      </c>
      <c r="G6792" s="45" t="s">
        <v>50584</v>
      </c>
      <c r="H6792" s="56"/>
      <c r="I6792" s="56" t="s">
        <v>50564</v>
      </c>
      <c r="J6792" s="56"/>
      <c r="K6792" s="57"/>
      <c r="L6792" s="56" t="s">
        <v>56716</v>
      </c>
    </row>
    <row r="6793" spans="1:12" ht="11.25" x14ac:dyDescent="0.2">
      <c r="A6793" s="45" t="s">
        <v>44581</v>
      </c>
      <c r="B6793" s="45" t="s">
        <v>44583</v>
      </c>
      <c r="C6793" s="51" t="s">
        <v>44585</v>
      </c>
      <c r="D6793" s="51" t="s">
        <v>44584</v>
      </c>
      <c r="E6793" s="45" t="s">
        <v>21011</v>
      </c>
      <c r="F6793" s="45" t="s">
        <v>18001</v>
      </c>
      <c r="G6793" s="45" t="s">
        <v>50584</v>
      </c>
      <c r="H6793" s="56"/>
      <c r="I6793" s="56" t="s">
        <v>50564</v>
      </c>
      <c r="J6793" s="56"/>
      <c r="K6793" s="57"/>
      <c r="L6793" s="56" t="s">
        <v>56716</v>
      </c>
    </row>
    <row r="6794" spans="1:12" ht="11.25" x14ac:dyDescent="0.2">
      <c r="A6794" s="45" t="s">
        <v>44588</v>
      </c>
      <c r="B6794" s="45" t="s">
        <v>44590</v>
      </c>
      <c r="C6794" s="51" t="s">
        <v>44592</v>
      </c>
      <c r="D6794" s="51" t="s">
        <v>44591</v>
      </c>
      <c r="E6794" s="45" t="s">
        <v>44593</v>
      </c>
      <c r="F6794" s="45" t="s">
        <v>17759</v>
      </c>
      <c r="G6794" s="45" t="s">
        <v>50584</v>
      </c>
      <c r="H6794" s="56"/>
      <c r="I6794" s="56" t="s">
        <v>50564</v>
      </c>
      <c r="J6794" s="56"/>
      <c r="K6794" s="57"/>
      <c r="L6794" s="56" t="s">
        <v>56716</v>
      </c>
    </row>
    <row r="6795" spans="1:12" ht="11.25" x14ac:dyDescent="0.2">
      <c r="A6795" s="45" t="s">
        <v>44595</v>
      </c>
      <c r="B6795" s="45" t="s">
        <v>44597</v>
      </c>
      <c r="C6795" s="51" t="s">
        <v>44600</v>
      </c>
      <c r="D6795" s="51" t="s">
        <v>44599</v>
      </c>
      <c r="E6795" s="45" t="s">
        <v>18661</v>
      </c>
      <c r="F6795" s="45" t="s">
        <v>20359</v>
      </c>
      <c r="G6795" s="45" t="s">
        <v>50590</v>
      </c>
      <c r="H6795" s="56"/>
      <c r="I6795" s="56" t="s">
        <v>50564</v>
      </c>
      <c r="J6795" s="56"/>
      <c r="K6795" s="57"/>
      <c r="L6795" s="56" t="s">
        <v>56716</v>
      </c>
    </row>
    <row r="6796" spans="1:12" ht="11.25" x14ac:dyDescent="0.2">
      <c r="A6796" s="45" t="s">
        <v>44603</v>
      </c>
      <c r="B6796" s="45" t="s">
        <v>44605</v>
      </c>
      <c r="C6796" s="51" t="s">
        <v>44608</v>
      </c>
      <c r="D6796" s="51" t="s">
        <v>44607</v>
      </c>
      <c r="E6796" s="45" t="s">
        <v>17783</v>
      </c>
      <c r="F6796" s="45" t="s">
        <v>18158</v>
      </c>
      <c r="G6796" s="45" t="s">
        <v>50584</v>
      </c>
      <c r="H6796" s="56"/>
      <c r="I6796" s="56" t="s">
        <v>50564</v>
      </c>
      <c r="J6796" s="56"/>
      <c r="K6796" s="57"/>
      <c r="L6796" s="56" t="s">
        <v>56716</v>
      </c>
    </row>
    <row r="6797" spans="1:12" ht="11.25" x14ac:dyDescent="0.2">
      <c r="A6797" s="45" t="s">
        <v>44610</v>
      </c>
      <c r="B6797" s="45" t="s">
        <v>44612</v>
      </c>
      <c r="C6797" s="51" t="s">
        <v>44615</v>
      </c>
      <c r="D6797" s="51" t="s">
        <v>44614</v>
      </c>
      <c r="E6797" s="45" t="s">
        <v>44616</v>
      </c>
      <c r="F6797" s="45" t="s">
        <v>21771</v>
      </c>
      <c r="G6797" s="45" t="s">
        <v>50584</v>
      </c>
      <c r="H6797" s="56"/>
      <c r="I6797" s="56" t="s">
        <v>50564</v>
      </c>
      <c r="J6797" s="56"/>
      <c r="K6797" s="57"/>
      <c r="L6797" s="56" t="s">
        <v>56716</v>
      </c>
    </row>
    <row r="6798" spans="1:12" ht="11.25" x14ac:dyDescent="0.2">
      <c r="A6798" s="45" t="s">
        <v>44619</v>
      </c>
      <c r="B6798" s="45" t="s">
        <v>44621</v>
      </c>
      <c r="C6798" s="51" t="s">
        <v>44623</v>
      </c>
      <c r="D6798" s="51" t="s">
        <v>44622</v>
      </c>
      <c r="E6798" s="45" t="s">
        <v>18404</v>
      </c>
      <c r="F6798" s="45" t="s">
        <v>17759</v>
      </c>
      <c r="G6798" s="45" t="s">
        <v>50584</v>
      </c>
      <c r="H6798" s="56"/>
      <c r="I6798" s="56" t="s">
        <v>50564</v>
      </c>
      <c r="J6798" s="56"/>
      <c r="K6798" s="57"/>
      <c r="L6798" s="56" t="s">
        <v>56716</v>
      </c>
    </row>
    <row r="6799" spans="1:12" ht="11.25" x14ac:dyDescent="0.2">
      <c r="A6799" s="45" t="s">
        <v>44625</v>
      </c>
      <c r="B6799" s="45" t="s">
        <v>44627</v>
      </c>
      <c r="C6799" s="51" t="s">
        <v>44629</v>
      </c>
      <c r="D6799" s="51" t="s">
        <v>44628</v>
      </c>
      <c r="E6799" s="45" t="s">
        <v>23527</v>
      </c>
      <c r="F6799" s="45" t="s">
        <v>17759</v>
      </c>
      <c r="G6799" s="45" t="s">
        <v>50584</v>
      </c>
      <c r="H6799" s="56"/>
      <c r="I6799" s="56" t="s">
        <v>50564</v>
      </c>
      <c r="J6799" s="56"/>
      <c r="K6799" s="57"/>
      <c r="L6799" s="56" t="s">
        <v>56716</v>
      </c>
    </row>
    <row r="6800" spans="1:12" ht="11.25" x14ac:dyDescent="0.2">
      <c r="A6800" s="45" t="s">
        <v>44631</v>
      </c>
      <c r="B6800" s="45" t="s">
        <v>44631</v>
      </c>
      <c r="C6800" s="51" t="s">
        <v>44634</v>
      </c>
      <c r="D6800" s="51" t="s">
        <v>44633</v>
      </c>
      <c r="E6800" s="45" t="s">
        <v>44635</v>
      </c>
      <c r="F6800" s="45" t="s">
        <v>18158</v>
      </c>
      <c r="G6800" s="45" t="s">
        <v>50593</v>
      </c>
      <c r="H6800" s="56"/>
      <c r="I6800" s="56" t="s">
        <v>50564</v>
      </c>
      <c r="J6800" s="56"/>
      <c r="K6800" s="57"/>
      <c r="L6800" s="56" t="s">
        <v>56716</v>
      </c>
    </row>
    <row r="6801" spans="1:12" ht="11.25" x14ac:dyDescent="0.2">
      <c r="A6801" s="46" t="s">
        <v>3434</v>
      </c>
      <c r="B6801" s="46" t="s">
        <v>55028</v>
      </c>
      <c r="C6801" s="58" t="str">
        <f>"00320943"</f>
        <v>00320943</v>
      </c>
      <c r="D6801" s="58" t="str">
        <f>"14390221"</f>
        <v>14390221</v>
      </c>
      <c r="E6801" s="46" t="s">
        <v>412</v>
      </c>
      <c r="F6801" s="46" t="s">
        <v>18158</v>
      </c>
      <c r="G6801" s="46" t="s">
        <v>50592</v>
      </c>
      <c r="H6801" s="48" t="s">
        <v>56716</v>
      </c>
      <c r="I6801" s="48" t="s">
        <v>50564</v>
      </c>
      <c r="J6801" s="48"/>
      <c r="K6801" s="50" t="s">
        <v>56716</v>
      </c>
      <c r="L6801" s="48" t="s">
        <v>56716</v>
      </c>
    </row>
    <row r="6802" spans="1:12" ht="11.25" x14ac:dyDescent="0.2">
      <c r="A6802" s="46" t="s">
        <v>14011</v>
      </c>
      <c r="B6802" s="46" t="s">
        <v>55029</v>
      </c>
      <c r="C6802" s="58" t="str">
        <f>"19475764"</f>
        <v>19475764</v>
      </c>
      <c r="D6802" s="58" t="str">
        <f>"19475772"</f>
        <v>19475772</v>
      </c>
      <c r="E6802" s="46" t="s">
        <v>1278</v>
      </c>
      <c r="F6802" s="46" t="s">
        <v>17759</v>
      </c>
      <c r="G6802" s="46" t="s">
        <v>50584</v>
      </c>
      <c r="H6802" s="48" t="s">
        <v>56716</v>
      </c>
      <c r="I6802" s="48" t="s">
        <v>50564</v>
      </c>
      <c r="J6802" s="48" t="s">
        <v>56716</v>
      </c>
      <c r="K6802" s="57"/>
      <c r="L6802" s="48"/>
    </row>
    <row r="6803" spans="1:12" ht="11.25" x14ac:dyDescent="0.2">
      <c r="A6803" s="46" t="s">
        <v>3437</v>
      </c>
      <c r="B6803" s="46" t="s">
        <v>3437</v>
      </c>
      <c r="C6803" s="58" t="str">
        <f>"0147619X"</f>
        <v>0147619X</v>
      </c>
      <c r="D6803" s="58" t="str">
        <f>"10959890"</f>
        <v>10959890</v>
      </c>
      <c r="E6803" s="46" t="s">
        <v>60</v>
      </c>
      <c r="F6803" s="46" t="s">
        <v>17759</v>
      </c>
      <c r="G6803" s="46" t="s">
        <v>50584</v>
      </c>
      <c r="H6803" s="48" t="s">
        <v>56716</v>
      </c>
      <c r="I6803" s="48" t="s">
        <v>50564</v>
      </c>
      <c r="J6803" s="48"/>
      <c r="K6803" s="50" t="s">
        <v>56716</v>
      </c>
      <c r="L6803" s="48" t="s">
        <v>56716</v>
      </c>
    </row>
    <row r="6804" spans="1:12" ht="11.25" x14ac:dyDescent="0.2">
      <c r="A6804" s="45" t="s">
        <v>44645</v>
      </c>
      <c r="B6804" s="45" t="s">
        <v>44647</v>
      </c>
      <c r="C6804" s="51" t="s">
        <v>44650</v>
      </c>
      <c r="D6804" s="51" t="s">
        <v>44649</v>
      </c>
      <c r="E6804" s="45" t="s">
        <v>17758</v>
      </c>
      <c r="F6804" s="45" t="s">
        <v>17759</v>
      </c>
      <c r="G6804" s="45" t="s">
        <v>50584</v>
      </c>
      <c r="H6804" s="56"/>
      <c r="I6804" s="56" t="s">
        <v>50564</v>
      </c>
      <c r="J6804" s="56"/>
      <c r="K6804" s="57"/>
      <c r="L6804" s="56" t="s">
        <v>56716</v>
      </c>
    </row>
    <row r="6805" spans="1:12" ht="11.25" x14ac:dyDescent="0.2">
      <c r="A6805" s="45" t="s">
        <v>44652</v>
      </c>
      <c r="B6805" s="45" t="s">
        <v>44654</v>
      </c>
      <c r="C6805" s="51" t="s">
        <v>44657</v>
      </c>
      <c r="D6805" s="51" t="s">
        <v>44656</v>
      </c>
      <c r="E6805" s="45" t="s">
        <v>44658</v>
      </c>
      <c r="F6805" s="45" t="s">
        <v>17759</v>
      </c>
      <c r="G6805" s="45" t="s">
        <v>50584</v>
      </c>
      <c r="H6805" s="56"/>
      <c r="I6805" s="56" t="s">
        <v>50564</v>
      </c>
      <c r="J6805" s="56"/>
      <c r="K6805" s="57"/>
      <c r="L6805" s="56" t="s">
        <v>56716</v>
      </c>
    </row>
    <row r="6806" spans="1:12" ht="11.25" x14ac:dyDescent="0.2">
      <c r="A6806" s="46" t="s">
        <v>12513</v>
      </c>
      <c r="B6806" s="46" t="s">
        <v>55030</v>
      </c>
      <c r="C6806" s="58" t="str">
        <f>"16653254"</f>
        <v>16653254</v>
      </c>
      <c r="D6806" s="58" t="str">
        <f>""</f>
        <v/>
      </c>
      <c r="E6806" s="46" t="s">
        <v>12515</v>
      </c>
      <c r="F6806" s="46" t="s">
        <v>18411</v>
      </c>
      <c r="G6806" s="46" t="s">
        <v>50631</v>
      </c>
      <c r="H6806" s="48" t="s">
        <v>56716</v>
      </c>
      <c r="I6806" s="48" t="s">
        <v>50564</v>
      </c>
      <c r="J6806" s="48"/>
      <c r="K6806" s="57"/>
      <c r="L6806" s="48"/>
    </row>
    <row r="6807" spans="1:12" ht="11.25" x14ac:dyDescent="0.2">
      <c r="A6807" s="46" t="s">
        <v>5130</v>
      </c>
      <c r="B6807" s="46" t="s">
        <v>5130</v>
      </c>
      <c r="C6807" s="58" t="str">
        <f>"09537104"</f>
        <v>09537104</v>
      </c>
      <c r="D6807" s="58" t="str">
        <f>"13691635"</f>
        <v>13691635</v>
      </c>
      <c r="E6807" s="46" t="s">
        <v>291</v>
      </c>
      <c r="F6807" s="46" t="s">
        <v>50646</v>
      </c>
      <c r="G6807" s="46" t="s">
        <v>50584</v>
      </c>
      <c r="H6807" s="48" t="s">
        <v>56716</v>
      </c>
      <c r="I6807" s="48" t="s">
        <v>50564</v>
      </c>
      <c r="J6807" s="48" t="s">
        <v>56716</v>
      </c>
      <c r="K6807" s="57"/>
      <c r="L6807" s="48" t="s">
        <v>56716</v>
      </c>
    </row>
    <row r="6808" spans="1:12" ht="11.25" x14ac:dyDescent="0.2">
      <c r="A6808" s="46" t="s">
        <v>10188</v>
      </c>
      <c r="B6808" s="46" t="s">
        <v>55031</v>
      </c>
      <c r="C6808" s="58" t="str">
        <f>"15449173"</f>
        <v>15449173</v>
      </c>
      <c r="D6808" s="58" t="str">
        <f>"15457885"</f>
        <v>15457885</v>
      </c>
      <c r="E6808" s="46" t="s">
        <v>10191</v>
      </c>
      <c r="F6808" s="46" t="s">
        <v>17759</v>
      </c>
      <c r="G6808" s="46" t="s">
        <v>50584</v>
      </c>
      <c r="H6808" s="48" t="s">
        <v>56716</v>
      </c>
      <c r="I6808" s="48" t="s">
        <v>50564</v>
      </c>
      <c r="J6808" s="48"/>
      <c r="K6808" s="57"/>
      <c r="L6808" s="48" t="s">
        <v>56716</v>
      </c>
    </row>
    <row r="6809" spans="1:12" ht="11.25" x14ac:dyDescent="0.2">
      <c r="A6809" s="46" t="s">
        <v>11324</v>
      </c>
      <c r="B6809" s="46" t="s">
        <v>55032</v>
      </c>
      <c r="C6809" s="58" t="str">
        <f>"1553734X"</f>
        <v>1553734X</v>
      </c>
      <c r="D6809" s="58" t="str">
        <f>"15537358"</f>
        <v>15537358</v>
      </c>
      <c r="E6809" s="46" t="s">
        <v>10191</v>
      </c>
      <c r="F6809" s="46" t="s">
        <v>17759</v>
      </c>
      <c r="G6809" s="46" t="s">
        <v>50584</v>
      </c>
      <c r="H6809" s="48" t="s">
        <v>56716</v>
      </c>
      <c r="I6809" s="48" t="s">
        <v>50564</v>
      </c>
      <c r="J6809" s="48"/>
      <c r="K6809" s="57"/>
      <c r="L6809" s="48" t="s">
        <v>56716</v>
      </c>
    </row>
    <row r="6810" spans="1:12" ht="11.25" x14ac:dyDescent="0.2">
      <c r="A6810" s="46" t="s">
        <v>15590</v>
      </c>
      <c r="B6810" s="46" t="s">
        <v>15590</v>
      </c>
      <c r="C6810" s="58" t="str">
        <f>""</f>
        <v/>
      </c>
      <c r="D6810" s="58" t="str">
        <f>"21573999"</f>
        <v>21573999</v>
      </c>
      <c r="E6810" s="46" t="s">
        <v>10191</v>
      </c>
      <c r="F6810" s="46" t="s">
        <v>17759</v>
      </c>
      <c r="G6810" s="46" t="s">
        <v>50584</v>
      </c>
      <c r="H6810" s="48" t="s">
        <v>56716</v>
      </c>
      <c r="I6810" s="48" t="s">
        <v>50564</v>
      </c>
      <c r="J6810" s="48"/>
      <c r="K6810" s="57"/>
      <c r="L6810" s="48"/>
    </row>
    <row r="6811" spans="1:12" ht="11.25" x14ac:dyDescent="0.2">
      <c r="A6811" s="46" t="s">
        <v>11327</v>
      </c>
      <c r="B6811" s="46" t="s">
        <v>55033</v>
      </c>
      <c r="C6811" s="58" t="str">
        <f>"15537390"</f>
        <v>15537390</v>
      </c>
      <c r="D6811" s="58" t="str">
        <f>"15537404"</f>
        <v>15537404</v>
      </c>
      <c r="E6811" s="46" t="s">
        <v>10191</v>
      </c>
      <c r="F6811" s="46" t="s">
        <v>17759</v>
      </c>
      <c r="G6811" s="46" t="s">
        <v>50584</v>
      </c>
      <c r="H6811" s="48" t="s">
        <v>56716</v>
      </c>
      <c r="I6811" s="48" t="s">
        <v>50564</v>
      </c>
      <c r="J6811" s="48"/>
      <c r="K6811" s="57"/>
      <c r="L6811" s="48" t="s">
        <v>56716</v>
      </c>
    </row>
    <row r="6812" spans="1:12" ht="11.25" x14ac:dyDescent="0.2">
      <c r="A6812" s="46" t="s">
        <v>10552</v>
      </c>
      <c r="B6812" s="46" t="s">
        <v>55034</v>
      </c>
      <c r="C6812" s="58" t="str">
        <f>"15491277"</f>
        <v>15491277</v>
      </c>
      <c r="D6812" s="58" t="str">
        <f>"15491676"</f>
        <v>15491676</v>
      </c>
      <c r="E6812" s="46" t="s">
        <v>10191</v>
      </c>
      <c r="F6812" s="46" t="s">
        <v>17759</v>
      </c>
      <c r="G6812" s="46" t="s">
        <v>50584</v>
      </c>
      <c r="H6812" s="48" t="s">
        <v>56716</v>
      </c>
      <c r="I6812" s="48" t="s">
        <v>50564</v>
      </c>
      <c r="J6812" s="48"/>
      <c r="K6812" s="57"/>
      <c r="L6812" s="48" t="s">
        <v>56716</v>
      </c>
    </row>
    <row r="6813" spans="1:12" ht="11.25" x14ac:dyDescent="0.2">
      <c r="A6813" s="46" t="s">
        <v>11970</v>
      </c>
      <c r="B6813" s="46" t="s">
        <v>55035</v>
      </c>
      <c r="C6813" s="58" t="str">
        <f>"19352727"</f>
        <v>19352727</v>
      </c>
      <c r="D6813" s="58" t="str">
        <f>"19352735"</f>
        <v>19352735</v>
      </c>
      <c r="E6813" s="46" t="s">
        <v>10191</v>
      </c>
      <c r="F6813" s="46" t="s">
        <v>17759</v>
      </c>
      <c r="G6813" s="46" t="s">
        <v>50584</v>
      </c>
      <c r="H6813" s="48" t="s">
        <v>56716</v>
      </c>
      <c r="I6813" s="48" t="s">
        <v>50564</v>
      </c>
      <c r="J6813" s="48"/>
      <c r="K6813" s="57"/>
      <c r="L6813" s="48" t="s">
        <v>56716</v>
      </c>
    </row>
    <row r="6814" spans="1:12" ht="11.25" x14ac:dyDescent="0.2">
      <c r="A6814" s="46" t="s">
        <v>12332</v>
      </c>
      <c r="B6814" s="46" t="s">
        <v>12332</v>
      </c>
      <c r="C6814" s="58" t="str">
        <f>""</f>
        <v/>
      </c>
      <c r="D6814" s="58" t="str">
        <f>"19326203"</f>
        <v>19326203</v>
      </c>
      <c r="E6814" s="46" t="s">
        <v>10191</v>
      </c>
      <c r="F6814" s="46" t="s">
        <v>17759</v>
      </c>
      <c r="G6814" s="46" t="s">
        <v>50584</v>
      </c>
      <c r="H6814" s="48" t="s">
        <v>56716</v>
      </c>
      <c r="I6814" s="48" t="s">
        <v>50564</v>
      </c>
      <c r="J6814" s="48"/>
      <c r="K6814" s="57"/>
      <c r="L6814" s="48" t="s">
        <v>56716</v>
      </c>
    </row>
    <row r="6815" spans="1:12" ht="11.25" x14ac:dyDescent="0.2">
      <c r="A6815" s="46" t="s">
        <v>11330</v>
      </c>
      <c r="B6815" s="46" t="s">
        <v>55036</v>
      </c>
      <c r="C6815" s="58" t="str">
        <f>"15537366"</f>
        <v>15537366</v>
      </c>
      <c r="D6815" s="58" t="str">
        <f>"15537374"</f>
        <v>15537374</v>
      </c>
      <c r="E6815" s="46" t="s">
        <v>10191</v>
      </c>
      <c r="F6815" s="46" t="s">
        <v>17759</v>
      </c>
      <c r="G6815" s="46" t="s">
        <v>50584</v>
      </c>
      <c r="H6815" s="48" t="s">
        <v>56716</v>
      </c>
      <c r="I6815" s="48" t="s">
        <v>50564</v>
      </c>
      <c r="J6815" s="48"/>
      <c r="K6815" s="57"/>
      <c r="L6815" s="48" t="s">
        <v>56716</v>
      </c>
    </row>
    <row r="6816" spans="1:12" ht="11.25" x14ac:dyDescent="0.2">
      <c r="A6816" s="46" t="s">
        <v>13301</v>
      </c>
      <c r="B6816" s="46" t="s">
        <v>44692</v>
      </c>
      <c r="C6816" s="58" t="str">
        <f>"19341482"</f>
        <v>19341482</v>
      </c>
      <c r="D6816" s="58" t="str">
        <f>""</f>
        <v/>
      </c>
      <c r="E6816" s="46" t="s">
        <v>272</v>
      </c>
      <c r="F6816" s="46" t="s">
        <v>17759</v>
      </c>
      <c r="G6816" s="46" t="s">
        <v>50584</v>
      </c>
      <c r="H6816" s="48" t="s">
        <v>56716</v>
      </c>
      <c r="I6816" s="48" t="s">
        <v>50564</v>
      </c>
      <c r="J6816" s="48" t="s">
        <v>56716</v>
      </c>
      <c r="K6816" s="50" t="s">
        <v>56716</v>
      </c>
      <c r="L6816" s="48" t="s">
        <v>56716</v>
      </c>
    </row>
    <row r="6817" spans="1:12" ht="11.25" x14ac:dyDescent="0.2">
      <c r="A6817" s="46" t="s">
        <v>10705</v>
      </c>
      <c r="B6817" s="46" t="s">
        <v>10705</v>
      </c>
      <c r="C6817" s="58" t="str">
        <f>"16135636"</f>
        <v>16135636</v>
      </c>
      <c r="D6817" s="58" t="str">
        <f>"16136055"</f>
        <v>16136055</v>
      </c>
      <c r="E6817" s="46" t="s">
        <v>167</v>
      </c>
      <c r="F6817" s="46" t="s">
        <v>18158</v>
      </c>
      <c r="G6817" s="46" t="s">
        <v>50593</v>
      </c>
      <c r="H6817" s="48" t="s">
        <v>56716</v>
      </c>
      <c r="I6817" s="48" t="s">
        <v>50564</v>
      </c>
      <c r="J6817" s="48"/>
      <c r="K6817" s="50" t="s">
        <v>56716</v>
      </c>
      <c r="L6817" s="48"/>
    </row>
    <row r="6818" spans="1:12" ht="11.25" x14ac:dyDescent="0.2">
      <c r="A6818" s="45" t="s">
        <v>44695</v>
      </c>
      <c r="B6818" s="45" t="s">
        <v>44697</v>
      </c>
      <c r="C6818" s="51" t="s">
        <v>44699</v>
      </c>
      <c r="D6818" s="51"/>
      <c r="E6818" s="45" t="s">
        <v>44700</v>
      </c>
      <c r="F6818" s="45" t="s">
        <v>22017</v>
      </c>
      <c r="G6818" s="45" t="s">
        <v>50618</v>
      </c>
      <c r="H6818" s="56"/>
      <c r="I6818" s="56" t="s">
        <v>50564</v>
      </c>
      <c r="J6818" s="56"/>
      <c r="K6818" s="57"/>
      <c r="L6818" s="56" t="s">
        <v>56716</v>
      </c>
    </row>
    <row r="6819" spans="1:12" ht="11.25" x14ac:dyDescent="0.2">
      <c r="A6819" s="46" t="s">
        <v>4715</v>
      </c>
      <c r="B6819" s="46" t="s">
        <v>4715</v>
      </c>
      <c r="C6819" s="58" t="str">
        <f>"09348387"</f>
        <v>09348387</v>
      </c>
      <c r="D6819" s="58" t="str">
        <f>"14388790"</f>
        <v>14388790</v>
      </c>
      <c r="E6819" s="46" t="s">
        <v>412</v>
      </c>
      <c r="F6819" s="46" t="s">
        <v>18158</v>
      </c>
      <c r="G6819" s="46" t="s">
        <v>50592</v>
      </c>
      <c r="H6819" s="48" t="s">
        <v>56716</v>
      </c>
      <c r="I6819" s="48" t="s">
        <v>50564</v>
      </c>
      <c r="J6819" s="48" t="s">
        <v>56716</v>
      </c>
      <c r="K6819" s="50" t="s">
        <v>56716</v>
      </c>
      <c r="L6819" s="48" t="s">
        <v>56716</v>
      </c>
    </row>
    <row r="6820" spans="1:12" ht="11.25" x14ac:dyDescent="0.2">
      <c r="A6820" s="46" t="s">
        <v>13578</v>
      </c>
      <c r="B6820" s="46" t="s">
        <v>13578</v>
      </c>
      <c r="C6820" s="58" t="str">
        <f>"1105848X"</f>
        <v>1105848X</v>
      </c>
      <c r="D6820" s="58" t="str">
        <f>""</f>
        <v/>
      </c>
      <c r="E6820" s="46" t="s">
        <v>13580</v>
      </c>
      <c r="F6820" s="46" t="s">
        <v>20969</v>
      </c>
      <c r="G6820" s="46" t="s">
        <v>50597</v>
      </c>
      <c r="H6820" s="48" t="s">
        <v>56716</v>
      </c>
      <c r="I6820" s="48" t="s">
        <v>50564</v>
      </c>
      <c r="J6820" s="48"/>
      <c r="K6820" s="57"/>
      <c r="L6820" s="48"/>
    </row>
    <row r="6821" spans="1:12" ht="11.25" x14ac:dyDescent="0.2">
      <c r="A6821" s="45" t="s">
        <v>44706</v>
      </c>
      <c r="B6821" s="45" t="s">
        <v>44708</v>
      </c>
      <c r="C6821" s="51" t="s">
        <v>44710</v>
      </c>
      <c r="D6821" s="51"/>
      <c r="E6821" s="45" t="s">
        <v>1462</v>
      </c>
      <c r="F6821" s="45" t="s">
        <v>17967</v>
      </c>
      <c r="G6821" s="45" t="s">
        <v>50611</v>
      </c>
      <c r="H6821" s="56"/>
      <c r="I6821" s="56" t="s">
        <v>50564</v>
      </c>
      <c r="J6821" s="56"/>
      <c r="K6821" s="57"/>
      <c r="L6821" s="56" t="s">
        <v>56716</v>
      </c>
    </row>
    <row r="6822" spans="1:12" ht="11.25" x14ac:dyDescent="0.2">
      <c r="A6822" s="45" t="s">
        <v>44736</v>
      </c>
      <c r="B6822" s="45" t="s">
        <v>44738</v>
      </c>
      <c r="C6822" s="51"/>
      <c r="D6822" s="51"/>
      <c r="E6822" s="45" t="s">
        <v>26967</v>
      </c>
      <c r="F6822" s="45" t="s">
        <v>17759</v>
      </c>
      <c r="G6822" s="45" t="s">
        <v>50584</v>
      </c>
      <c r="H6822" s="56"/>
      <c r="I6822" s="56" t="s">
        <v>50564</v>
      </c>
      <c r="J6822" s="56"/>
      <c r="K6822" s="57"/>
      <c r="L6822" s="56" t="s">
        <v>56716</v>
      </c>
    </row>
    <row r="6823" spans="1:12" ht="11.25" x14ac:dyDescent="0.2">
      <c r="A6823" s="45" t="s">
        <v>44740</v>
      </c>
      <c r="B6823" s="45" t="s">
        <v>44742</v>
      </c>
      <c r="C6823" s="51" t="s">
        <v>44744</v>
      </c>
      <c r="D6823" s="51" t="s">
        <v>44743</v>
      </c>
      <c r="E6823" s="45" t="s">
        <v>19713</v>
      </c>
      <c r="F6823" s="45" t="s">
        <v>17759</v>
      </c>
      <c r="G6823" s="45" t="s">
        <v>50584</v>
      </c>
      <c r="H6823" s="56"/>
      <c r="I6823" s="56" t="s">
        <v>50564</v>
      </c>
      <c r="J6823" s="56"/>
      <c r="K6823" s="57"/>
      <c r="L6823" s="56" t="s">
        <v>56716</v>
      </c>
    </row>
    <row r="6824" spans="1:12" ht="11.25" x14ac:dyDescent="0.2">
      <c r="A6824" s="45" t="s">
        <v>44746</v>
      </c>
      <c r="B6824" s="45" t="s">
        <v>44748</v>
      </c>
      <c r="C6824" s="51" t="s">
        <v>44749</v>
      </c>
      <c r="D6824" s="51"/>
      <c r="E6824" s="45" t="s">
        <v>44750</v>
      </c>
      <c r="F6824" s="45" t="s">
        <v>17967</v>
      </c>
      <c r="G6824" s="45" t="s">
        <v>50611</v>
      </c>
      <c r="H6824" s="56"/>
      <c r="I6824" s="56" t="s">
        <v>50564</v>
      </c>
      <c r="J6824" s="56"/>
      <c r="K6824" s="57"/>
      <c r="L6824" s="56" t="s">
        <v>56716</v>
      </c>
    </row>
    <row r="6825" spans="1:12" ht="11.25" x14ac:dyDescent="0.2">
      <c r="A6825" s="46" t="s">
        <v>16284</v>
      </c>
      <c r="B6825" s="46" t="s">
        <v>55037</v>
      </c>
      <c r="C6825" s="58" t="str">
        <f>"12308013"</f>
        <v>12308013</v>
      </c>
      <c r="D6825" s="58" t="str">
        <f>""</f>
        <v/>
      </c>
      <c r="E6825" s="46" t="s">
        <v>56270</v>
      </c>
      <c r="F6825" s="46" t="s">
        <v>17967</v>
      </c>
      <c r="G6825" s="46" t="s">
        <v>50584</v>
      </c>
      <c r="H6825" s="48" t="s">
        <v>56716</v>
      </c>
      <c r="I6825" s="48" t="s">
        <v>50564</v>
      </c>
      <c r="J6825" s="48" t="s">
        <v>56716</v>
      </c>
      <c r="K6825" s="50" t="s">
        <v>56716</v>
      </c>
      <c r="L6825" s="48"/>
    </row>
    <row r="6826" spans="1:12" ht="11.25" x14ac:dyDescent="0.2">
      <c r="A6826" s="46" t="s">
        <v>13252</v>
      </c>
      <c r="B6826" s="46" t="s">
        <v>55038</v>
      </c>
      <c r="C6826" s="58" t="str">
        <f>"14254689"</f>
        <v>14254689</v>
      </c>
      <c r="D6826" s="58" t="str">
        <f>"18980309"</f>
        <v>18980309</v>
      </c>
      <c r="E6826" s="46" t="s">
        <v>13255</v>
      </c>
      <c r="F6826" s="46" t="s">
        <v>17967</v>
      </c>
      <c r="G6826" s="46" t="s">
        <v>50612</v>
      </c>
      <c r="H6826" s="48" t="s">
        <v>56716</v>
      </c>
      <c r="I6826" s="48" t="s">
        <v>50564</v>
      </c>
      <c r="J6826" s="48"/>
      <c r="K6826" s="57"/>
      <c r="L6826" s="48"/>
    </row>
    <row r="6827" spans="1:12" ht="11.25" x14ac:dyDescent="0.2">
      <c r="A6827" s="46" t="s">
        <v>10234</v>
      </c>
      <c r="B6827" s="46" t="s">
        <v>55039</v>
      </c>
      <c r="C6827" s="58" t="str">
        <f>"17331331"</f>
        <v>17331331</v>
      </c>
      <c r="D6827" s="58" t="str">
        <f>""</f>
        <v/>
      </c>
      <c r="E6827" s="46" t="s">
        <v>3442</v>
      </c>
      <c r="F6827" s="46" t="s">
        <v>17967</v>
      </c>
      <c r="G6827" s="46" t="s">
        <v>50584</v>
      </c>
      <c r="H6827" s="48" t="s">
        <v>56716</v>
      </c>
      <c r="I6827" s="48" t="s">
        <v>50564</v>
      </c>
      <c r="J6827" s="48"/>
      <c r="K6827" s="57"/>
      <c r="L6827" s="48" t="s">
        <v>56716</v>
      </c>
    </row>
    <row r="6828" spans="1:12" ht="11.25" x14ac:dyDescent="0.2">
      <c r="A6828" s="45" t="s">
        <v>44758</v>
      </c>
      <c r="B6828" s="45" t="s">
        <v>44760</v>
      </c>
      <c r="C6828" s="51" t="s">
        <v>44762</v>
      </c>
      <c r="D6828" s="51"/>
      <c r="E6828" s="45" t="s">
        <v>44763</v>
      </c>
      <c r="F6828" s="45" t="s">
        <v>17967</v>
      </c>
      <c r="G6828" s="45" t="s">
        <v>50584</v>
      </c>
      <c r="H6828" s="56"/>
      <c r="I6828" s="56" t="s">
        <v>50564</v>
      </c>
      <c r="J6828" s="56"/>
      <c r="K6828" s="57"/>
      <c r="L6828" s="56" t="s">
        <v>56716</v>
      </c>
    </row>
    <row r="6829" spans="1:12" ht="11.25" x14ac:dyDescent="0.2">
      <c r="A6829" s="46" t="s">
        <v>9856</v>
      </c>
      <c r="B6829" s="46" t="s">
        <v>55040</v>
      </c>
      <c r="C6829" s="58" t="str">
        <f>"01377183"</f>
        <v>01377183</v>
      </c>
      <c r="D6829" s="58" t="str">
        <f>""</f>
        <v/>
      </c>
      <c r="E6829" s="46" t="s">
        <v>9858</v>
      </c>
      <c r="F6829" s="46" t="s">
        <v>17967</v>
      </c>
      <c r="G6829" s="46" t="s">
        <v>50613</v>
      </c>
      <c r="H6829" s="48" t="s">
        <v>56716</v>
      </c>
      <c r="I6829" s="48" t="s">
        <v>50564</v>
      </c>
      <c r="J6829" s="48"/>
      <c r="K6829" s="57"/>
      <c r="L6829" s="48"/>
    </row>
    <row r="6830" spans="1:12" ht="11.25" x14ac:dyDescent="0.2">
      <c r="A6830" s="45" t="s">
        <v>44765</v>
      </c>
      <c r="B6830" s="45" t="s">
        <v>44767</v>
      </c>
      <c r="C6830" s="51" t="s">
        <v>44769</v>
      </c>
      <c r="D6830" s="51"/>
      <c r="E6830" s="45" t="s">
        <v>44770</v>
      </c>
      <c r="F6830" s="45" t="s">
        <v>17967</v>
      </c>
      <c r="G6830" s="45" t="s">
        <v>50584</v>
      </c>
      <c r="H6830" s="56"/>
      <c r="I6830" s="56" t="s">
        <v>50564</v>
      </c>
      <c r="J6830" s="56"/>
      <c r="K6830" s="57"/>
      <c r="L6830" s="56" t="s">
        <v>56716</v>
      </c>
    </row>
    <row r="6831" spans="1:12" ht="11.25" x14ac:dyDescent="0.2">
      <c r="A6831" s="45" t="s">
        <v>56639</v>
      </c>
      <c r="B6831" s="45" t="s">
        <v>44775</v>
      </c>
      <c r="C6831" s="51"/>
      <c r="D6831" s="51" t="s">
        <v>44777</v>
      </c>
      <c r="E6831" s="45" t="s">
        <v>44778</v>
      </c>
      <c r="F6831" s="45" t="s">
        <v>17759</v>
      </c>
      <c r="G6831" s="45" t="s">
        <v>50611</v>
      </c>
      <c r="H6831" s="56"/>
      <c r="I6831" s="56" t="s">
        <v>50564</v>
      </c>
      <c r="J6831" s="56"/>
      <c r="K6831" s="57"/>
      <c r="L6831" s="56" t="s">
        <v>56716</v>
      </c>
    </row>
    <row r="6832" spans="1:12" ht="11.25" x14ac:dyDescent="0.2">
      <c r="A6832" s="45" t="s">
        <v>44781</v>
      </c>
      <c r="B6832" s="45" t="s">
        <v>44783</v>
      </c>
      <c r="C6832" s="51" t="s">
        <v>44785</v>
      </c>
      <c r="D6832" s="51" t="s">
        <v>44784</v>
      </c>
      <c r="E6832" s="45" t="s">
        <v>44786</v>
      </c>
      <c r="F6832" s="45" t="s">
        <v>17759</v>
      </c>
      <c r="G6832" s="45" t="s">
        <v>50584</v>
      </c>
      <c r="H6832" s="56"/>
      <c r="I6832" s="56" t="s">
        <v>50564</v>
      </c>
      <c r="J6832" s="56"/>
      <c r="K6832" s="57"/>
      <c r="L6832" s="56" t="s">
        <v>56716</v>
      </c>
    </row>
    <row r="6833" spans="1:12" ht="11.25" x14ac:dyDescent="0.2">
      <c r="A6833" s="45" t="s">
        <v>44789</v>
      </c>
      <c r="B6833" s="45" t="s">
        <v>44791</v>
      </c>
      <c r="C6833" s="51" t="s">
        <v>44793</v>
      </c>
      <c r="D6833" s="51"/>
      <c r="E6833" s="45" t="s">
        <v>44794</v>
      </c>
      <c r="F6833" s="45" t="s">
        <v>17967</v>
      </c>
      <c r="G6833" s="45" t="s">
        <v>50611</v>
      </c>
      <c r="H6833" s="56"/>
      <c r="I6833" s="56" t="s">
        <v>50564</v>
      </c>
      <c r="J6833" s="56"/>
      <c r="K6833" s="57"/>
      <c r="L6833" s="56" t="s">
        <v>56716</v>
      </c>
    </row>
    <row r="6834" spans="1:12" ht="11.25" x14ac:dyDescent="0.2">
      <c r="A6834" s="45" t="s">
        <v>44796</v>
      </c>
      <c r="B6834" s="45" t="s">
        <v>44798</v>
      </c>
      <c r="C6834" s="51" t="s">
        <v>44799</v>
      </c>
      <c r="D6834" s="51"/>
      <c r="E6834" s="45" t="s">
        <v>44800</v>
      </c>
      <c r="F6834" s="45" t="s">
        <v>17967</v>
      </c>
      <c r="G6834" s="45" t="s">
        <v>50611</v>
      </c>
      <c r="H6834" s="56"/>
      <c r="I6834" s="56" t="s">
        <v>50564</v>
      </c>
      <c r="J6834" s="56"/>
      <c r="K6834" s="57"/>
      <c r="L6834" s="56" t="s">
        <v>56716</v>
      </c>
    </row>
    <row r="6835" spans="1:12" ht="11.25" x14ac:dyDescent="0.2">
      <c r="A6835" s="46" t="s">
        <v>8681</v>
      </c>
      <c r="B6835" s="46" t="s">
        <v>55041</v>
      </c>
      <c r="C6835" s="58" t="str">
        <f>"15075540"</f>
        <v>15075540</v>
      </c>
      <c r="D6835" s="58" t="str">
        <f>""</f>
        <v/>
      </c>
      <c r="E6835" s="46" t="s">
        <v>6797</v>
      </c>
      <c r="F6835" s="46" t="s">
        <v>17967</v>
      </c>
      <c r="G6835" s="46" t="s">
        <v>50584</v>
      </c>
      <c r="H6835" s="48" t="s">
        <v>56716</v>
      </c>
      <c r="I6835" s="48" t="s">
        <v>50564</v>
      </c>
      <c r="J6835" s="48"/>
      <c r="K6835" s="57"/>
      <c r="L6835" s="48"/>
    </row>
    <row r="6836" spans="1:12" ht="11.25" x14ac:dyDescent="0.2">
      <c r="A6836" s="46" t="s">
        <v>3305</v>
      </c>
      <c r="B6836" s="46" t="s">
        <v>55042</v>
      </c>
      <c r="C6836" s="58" t="str">
        <f>"00323772"</f>
        <v>00323772</v>
      </c>
      <c r="D6836" s="58" t="str">
        <f>"18979483"</f>
        <v>18979483</v>
      </c>
      <c r="E6836" s="46" t="s">
        <v>3308</v>
      </c>
      <c r="F6836" s="46" t="s">
        <v>17967</v>
      </c>
      <c r="G6836" s="46" t="s">
        <v>50612</v>
      </c>
      <c r="H6836" s="48" t="s">
        <v>56716</v>
      </c>
      <c r="I6836" s="48" t="s">
        <v>50564</v>
      </c>
      <c r="J6836" s="48"/>
      <c r="K6836" s="57"/>
      <c r="L6836" s="48" t="s">
        <v>56716</v>
      </c>
    </row>
    <row r="6837" spans="1:12" ht="11.25" x14ac:dyDescent="0.2">
      <c r="A6837" s="46" t="s">
        <v>12849</v>
      </c>
      <c r="B6837" s="46" t="s">
        <v>55043</v>
      </c>
      <c r="C6837" s="58" t="str">
        <f>"19427891"</f>
        <v>19427891</v>
      </c>
      <c r="D6837" s="58" t="str">
        <f>"19427905"</f>
        <v>19427905</v>
      </c>
      <c r="E6837" s="46" t="s">
        <v>4337</v>
      </c>
      <c r="F6837" s="46" t="s">
        <v>17759</v>
      </c>
      <c r="G6837" s="46" t="s">
        <v>50584</v>
      </c>
      <c r="H6837" s="48" t="s">
        <v>56716</v>
      </c>
      <c r="I6837" s="48" t="s">
        <v>50564</v>
      </c>
      <c r="J6837" s="48"/>
      <c r="K6837" s="57"/>
      <c r="L6837" s="48" t="s">
        <v>56716</v>
      </c>
    </row>
    <row r="6838" spans="1:12" ht="11.25" x14ac:dyDescent="0.2">
      <c r="A6838" s="46" t="s">
        <v>10272</v>
      </c>
      <c r="B6838" s="46" t="s">
        <v>55044</v>
      </c>
      <c r="C6838" s="58" t="str">
        <f>""</f>
        <v/>
      </c>
      <c r="D6838" s="58" t="str">
        <f>"14787954"</f>
        <v>14787954</v>
      </c>
      <c r="E6838" s="46" t="s">
        <v>2299</v>
      </c>
      <c r="F6838" s="46" t="s">
        <v>50646</v>
      </c>
      <c r="G6838" s="46" t="s">
        <v>50584</v>
      </c>
      <c r="H6838" s="48" t="s">
        <v>56716</v>
      </c>
      <c r="I6838" s="48" t="s">
        <v>50564</v>
      </c>
      <c r="J6838" s="48" t="s">
        <v>56716</v>
      </c>
      <c r="K6838" s="50" t="s">
        <v>56716</v>
      </c>
      <c r="L6838" s="48"/>
    </row>
    <row r="6839" spans="1:12" ht="11.25" x14ac:dyDescent="0.2">
      <c r="A6839" s="45" t="s">
        <v>44811</v>
      </c>
      <c r="B6839" s="45" t="s">
        <v>44813</v>
      </c>
      <c r="C6839" s="51" t="s">
        <v>44814</v>
      </c>
      <c r="D6839" s="51"/>
      <c r="E6839" s="45" t="s">
        <v>44815</v>
      </c>
      <c r="F6839" s="45" t="s">
        <v>17759</v>
      </c>
      <c r="G6839" s="45" t="s">
        <v>50584</v>
      </c>
      <c r="H6839" s="56"/>
      <c r="I6839" s="56" t="s">
        <v>50564</v>
      </c>
      <c r="J6839" s="56"/>
      <c r="K6839" s="57"/>
      <c r="L6839" s="56" t="s">
        <v>56716</v>
      </c>
    </row>
    <row r="6840" spans="1:12" ht="11.25" x14ac:dyDescent="0.2">
      <c r="A6840" s="45" t="s">
        <v>44817</v>
      </c>
      <c r="B6840" s="45" t="s">
        <v>44819</v>
      </c>
      <c r="C6840" s="51" t="s">
        <v>44820</v>
      </c>
      <c r="D6840" s="51"/>
      <c r="E6840" s="45" t="s">
        <v>44815</v>
      </c>
      <c r="F6840" s="45" t="s">
        <v>17759</v>
      </c>
      <c r="G6840" s="45" t="s">
        <v>50584</v>
      </c>
      <c r="H6840" s="56"/>
      <c r="I6840" s="56" t="s">
        <v>50564</v>
      </c>
      <c r="J6840" s="56"/>
      <c r="K6840" s="57"/>
      <c r="L6840" s="56" t="s">
        <v>56716</v>
      </c>
    </row>
    <row r="6841" spans="1:12" ht="11.25" x14ac:dyDescent="0.2">
      <c r="A6841" s="45" t="s">
        <v>44822</v>
      </c>
      <c r="B6841" s="45" t="s">
        <v>44824</v>
      </c>
      <c r="C6841" s="51" t="s">
        <v>44825</v>
      </c>
      <c r="D6841" s="51"/>
      <c r="E6841" s="45" t="s">
        <v>44815</v>
      </c>
      <c r="F6841" s="45" t="s">
        <v>17759</v>
      </c>
      <c r="G6841" s="45" t="s">
        <v>50584</v>
      </c>
      <c r="H6841" s="56"/>
      <c r="I6841" s="56" t="s">
        <v>50564</v>
      </c>
      <c r="J6841" s="56"/>
      <c r="K6841" s="57"/>
      <c r="L6841" s="56" t="s">
        <v>56716</v>
      </c>
    </row>
    <row r="6842" spans="1:12" ht="11.25" x14ac:dyDescent="0.2">
      <c r="A6842" s="45" t="s">
        <v>44827</v>
      </c>
      <c r="B6842" s="45" t="s">
        <v>44829</v>
      </c>
      <c r="C6842" s="51" t="s">
        <v>44830</v>
      </c>
      <c r="D6842" s="51"/>
      <c r="E6842" s="45" t="s">
        <v>44831</v>
      </c>
      <c r="F6842" s="45" t="s">
        <v>17759</v>
      </c>
      <c r="G6842" s="45" t="s">
        <v>50584</v>
      </c>
      <c r="H6842" s="56"/>
      <c r="I6842" s="56" t="s">
        <v>50564</v>
      </c>
      <c r="J6842" s="56"/>
      <c r="K6842" s="57"/>
      <c r="L6842" s="56" t="s">
        <v>56716</v>
      </c>
    </row>
    <row r="6843" spans="1:12" ht="11.25" x14ac:dyDescent="0.2">
      <c r="A6843" s="45" t="s">
        <v>44834</v>
      </c>
      <c r="B6843" s="45" t="s">
        <v>44836</v>
      </c>
      <c r="C6843" s="51" t="s">
        <v>44838</v>
      </c>
      <c r="D6843" s="51"/>
      <c r="E6843" s="45" t="s">
        <v>44815</v>
      </c>
      <c r="F6843" s="45" t="s">
        <v>17759</v>
      </c>
      <c r="G6843" s="45" t="s">
        <v>50584</v>
      </c>
      <c r="H6843" s="56"/>
      <c r="I6843" s="56" t="s">
        <v>50564</v>
      </c>
      <c r="J6843" s="56"/>
      <c r="K6843" s="57"/>
      <c r="L6843" s="56" t="s">
        <v>56716</v>
      </c>
    </row>
    <row r="6844" spans="1:12" ht="11.25" x14ac:dyDescent="0.2">
      <c r="A6844" s="45" t="s">
        <v>44841</v>
      </c>
      <c r="B6844" s="45" t="s">
        <v>44843</v>
      </c>
      <c r="C6844" s="51" t="s">
        <v>44845</v>
      </c>
      <c r="D6844" s="51" t="s">
        <v>44844</v>
      </c>
      <c r="E6844" s="45" t="s">
        <v>689</v>
      </c>
      <c r="F6844" s="45" t="s">
        <v>50646</v>
      </c>
      <c r="G6844" s="45" t="s">
        <v>50584</v>
      </c>
      <c r="H6844" s="56"/>
      <c r="I6844" s="56" t="s">
        <v>50564</v>
      </c>
      <c r="J6844" s="56"/>
      <c r="K6844" s="57"/>
      <c r="L6844" s="56" t="s">
        <v>56716</v>
      </c>
    </row>
    <row r="6845" spans="1:12" ht="11.25" x14ac:dyDescent="0.2">
      <c r="A6845" s="45" t="s">
        <v>44848</v>
      </c>
      <c r="B6845" s="45" t="s">
        <v>44850</v>
      </c>
      <c r="C6845" s="51" t="s">
        <v>44852</v>
      </c>
      <c r="D6845" s="51"/>
      <c r="E6845" s="45" t="s">
        <v>44853</v>
      </c>
      <c r="F6845" s="45" t="s">
        <v>17759</v>
      </c>
      <c r="G6845" s="45" t="s">
        <v>50584</v>
      </c>
      <c r="H6845" s="56"/>
      <c r="I6845" s="56" t="s">
        <v>50564</v>
      </c>
      <c r="J6845" s="56"/>
      <c r="K6845" s="57"/>
      <c r="L6845" s="56" t="s">
        <v>56716</v>
      </c>
    </row>
    <row r="6846" spans="1:12" ht="11.25" x14ac:dyDescent="0.2">
      <c r="A6846" s="49" t="s">
        <v>56066</v>
      </c>
      <c r="B6846" s="46" t="s">
        <v>56066</v>
      </c>
      <c r="C6846" s="58" t="s">
        <v>44861</v>
      </c>
      <c r="D6846" s="58" t="s">
        <v>44860</v>
      </c>
      <c r="E6846" s="46" t="s">
        <v>97</v>
      </c>
      <c r="F6846" s="46" t="s">
        <v>50646</v>
      </c>
      <c r="G6846" s="46" t="s">
        <v>50584</v>
      </c>
      <c r="H6846" s="48" t="s">
        <v>56716</v>
      </c>
      <c r="I6846" s="48" t="s">
        <v>50564</v>
      </c>
      <c r="J6846" s="48"/>
      <c r="K6846" s="57"/>
      <c r="L6846" s="48" t="s">
        <v>56716</v>
      </c>
    </row>
    <row r="6847" spans="1:12" ht="11.25" x14ac:dyDescent="0.2">
      <c r="A6847" s="45" t="s">
        <v>44863</v>
      </c>
      <c r="B6847" s="45" t="s">
        <v>44865</v>
      </c>
      <c r="C6847" s="51" t="s">
        <v>44866</v>
      </c>
      <c r="D6847" s="51"/>
      <c r="E6847" s="45" t="s">
        <v>17966</v>
      </c>
      <c r="F6847" s="45" t="s">
        <v>17967</v>
      </c>
      <c r="G6847" s="45" t="s">
        <v>50612</v>
      </c>
      <c r="H6847" s="56"/>
      <c r="I6847" s="56" t="s">
        <v>50564</v>
      </c>
      <c r="J6847" s="56"/>
      <c r="K6847" s="57"/>
      <c r="L6847" s="56" t="s">
        <v>56716</v>
      </c>
    </row>
    <row r="6848" spans="1:12" ht="11.25" x14ac:dyDescent="0.2">
      <c r="A6848" s="46" t="s">
        <v>10435</v>
      </c>
      <c r="B6848" s="46" t="s">
        <v>55045</v>
      </c>
      <c r="C6848" s="58" t="str">
        <f>"1642395X"</f>
        <v>1642395X</v>
      </c>
      <c r="D6848" s="58" t="str">
        <f>""</f>
        <v/>
      </c>
      <c r="E6848" s="46" t="s">
        <v>3134</v>
      </c>
      <c r="F6848" s="46" t="s">
        <v>17967</v>
      </c>
      <c r="G6848" s="46" t="s">
        <v>50612</v>
      </c>
      <c r="H6848" s="48" t="s">
        <v>56716</v>
      </c>
      <c r="I6848" s="48" t="s">
        <v>50564</v>
      </c>
      <c r="J6848" s="48"/>
      <c r="K6848" s="57"/>
      <c r="L6848" s="48"/>
    </row>
    <row r="6849" spans="1:12" ht="11.25" x14ac:dyDescent="0.2">
      <c r="A6849" s="45" t="s">
        <v>44868</v>
      </c>
      <c r="B6849" s="45" t="s">
        <v>44870</v>
      </c>
      <c r="C6849" s="51"/>
      <c r="D6849" s="51" t="s">
        <v>44872</v>
      </c>
      <c r="E6849" s="45" t="s">
        <v>9858</v>
      </c>
      <c r="F6849" s="45" t="s">
        <v>17967</v>
      </c>
      <c r="G6849" s="45" t="s">
        <v>50611</v>
      </c>
      <c r="H6849" s="56"/>
      <c r="I6849" s="56" t="s">
        <v>50564</v>
      </c>
      <c r="J6849" s="56"/>
      <c r="K6849" s="57"/>
      <c r="L6849" s="56" t="s">
        <v>56716</v>
      </c>
    </row>
    <row r="6850" spans="1:12" ht="11.25" x14ac:dyDescent="0.2">
      <c r="A6850" s="46" t="s">
        <v>3440</v>
      </c>
      <c r="B6850" s="46" t="s">
        <v>55046</v>
      </c>
      <c r="C6850" s="58" t="str">
        <f>"00794252"</f>
        <v>00794252</v>
      </c>
      <c r="D6850" s="58" t="str">
        <f>""</f>
        <v/>
      </c>
      <c r="E6850" s="46" t="s">
        <v>3442</v>
      </c>
      <c r="F6850" s="46" t="s">
        <v>17967</v>
      </c>
      <c r="G6850" s="46" t="s">
        <v>50612</v>
      </c>
      <c r="H6850" s="48" t="s">
        <v>56716</v>
      </c>
      <c r="I6850" s="48" t="s">
        <v>50564</v>
      </c>
      <c r="J6850" s="48"/>
      <c r="K6850" s="57"/>
      <c r="L6850" s="48"/>
    </row>
    <row r="6851" spans="1:12" ht="11.25" x14ac:dyDescent="0.2">
      <c r="A6851" s="46" t="s">
        <v>11973</v>
      </c>
      <c r="B6851" s="46" t="s">
        <v>55047</v>
      </c>
      <c r="C6851" s="58" t="str">
        <f>"12302813"</f>
        <v>12302813</v>
      </c>
      <c r="D6851" s="58" t="str">
        <f>""</f>
        <v/>
      </c>
      <c r="E6851" s="46" t="s">
        <v>11975</v>
      </c>
      <c r="F6851" s="46" t="s">
        <v>17967</v>
      </c>
      <c r="G6851" s="46" t="s">
        <v>50612</v>
      </c>
      <c r="H6851" s="48" t="s">
        <v>56716</v>
      </c>
      <c r="I6851" s="48" t="s">
        <v>50564</v>
      </c>
      <c r="J6851" s="48"/>
      <c r="K6851" s="57"/>
      <c r="L6851" s="48"/>
    </row>
    <row r="6852" spans="1:12" ht="11.25" x14ac:dyDescent="0.2">
      <c r="A6852" s="46" t="s">
        <v>10609</v>
      </c>
      <c r="B6852" s="46" t="s">
        <v>10609</v>
      </c>
      <c r="C6852" s="58" t="str">
        <f>"08606161"</f>
        <v>08606161</v>
      </c>
      <c r="D6852" s="58" t="str">
        <f>""</f>
        <v/>
      </c>
      <c r="E6852" s="46" t="s">
        <v>10611</v>
      </c>
      <c r="F6852" s="46" t="s">
        <v>17967</v>
      </c>
      <c r="G6852" s="46" t="s">
        <v>50613</v>
      </c>
      <c r="H6852" s="48" t="s">
        <v>56716</v>
      </c>
      <c r="I6852" s="48" t="s">
        <v>50564</v>
      </c>
      <c r="J6852" s="48"/>
      <c r="K6852" s="57"/>
      <c r="L6852" s="48"/>
    </row>
    <row r="6853" spans="1:12" ht="11.25" x14ac:dyDescent="0.2">
      <c r="A6853" s="46" t="s">
        <v>11976</v>
      </c>
      <c r="B6853" s="46" t="s">
        <v>55048</v>
      </c>
      <c r="C6853" s="58" t="str">
        <f>"17349338"</f>
        <v>17349338</v>
      </c>
      <c r="D6853" s="58" t="str">
        <f>"18974295"</f>
        <v>18974295</v>
      </c>
      <c r="E6853" s="46" t="s">
        <v>3134</v>
      </c>
      <c r="F6853" s="46" t="s">
        <v>17967</v>
      </c>
      <c r="G6853" s="46" t="s">
        <v>50612</v>
      </c>
      <c r="H6853" s="48" t="s">
        <v>56716</v>
      </c>
      <c r="I6853" s="48" t="s">
        <v>50564</v>
      </c>
      <c r="J6853" s="48"/>
      <c r="K6853" s="57"/>
      <c r="L6853" s="48"/>
    </row>
    <row r="6854" spans="1:12" ht="11.25" x14ac:dyDescent="0.2">
      <c r="A6854" s="46" t="s">
        <v>3373</v>
      </c>
      <c r="B6854" s="46" t="s">
        <v>55049</v>
      </c>
      <c r="C6854" s="58" t="str">
        <f>"00325473"</f>
        <v>00325473</v>
      </c>
      <c r="D6854" s="58" t="str">
        <f>"14690756"</f>
        <v>14690756</v>
      </c>
      <c r="E6854" s="46" t="s">
        <v>159</v>
      </c>
      <c r="F6854" s="46" t="s">
        <v>50646</v>
      </c>
      <c r="G6854" s="46" t="s">
        <v>50584</v>
      </c>
      <c r="H6854" s="48" t="s">
        <v>56716</v>
      </c>
      <c r="I6854" s="48" t="s">
        <v>50564</v>
      </c>
      <c r="J6854" s="48"/>
      <c r="K6854" s="57"/>
      <c r="L6854" s="48" t="s">
        <v>56716</v>
      </c>
    </row>
    <row r="6855" spans="1:12" ht="11.25" x14ac:dyDescent="0.2">
      <c r="A6855" s="45" t="s">
        <v>44881</v>
      </c>
      <c r="B6855" s="45" t="s">
        <v>44883</v>
      </c>
      <c r="C6855" s="51" t="s">
        <v>3457</v>
      </c>
      <c r="D6855" s="51" t="s">
        <v>3458</v>
      </c>
      <c r="E6855" s="45" t="s">
        <v>291</v>
      </c>
      <c r="F6855" s="45" t="s">
        <v>50646</v>
      </c>
      <c r="G6855" s="45" t="s">
        <v>50584</v>
      </c>
      <c r="H6855" s="56"/>
      <c r="I6855" s="56" t="s">
        <v>50564</v>
      </c>
      <c r="J6855" s="56"/>
      <c r="K6855" s="57"/>
      <c r="L6855" s="56" t="s">
        <v>56716</v>
      </c>
    </row>
    <row r="6856" spans="1:12" ht="11.25" x14ac:dyDescent="0.2">
      <c r="A6856" s="45" t="s">
        <v>44887</v>
      </c>
      <c r="B6856" s="45" t="s">
        <v>44889</v>
      </c>
      <c r="C6856" s="51" t="s">
        <v>44892</v>
      </c>
      <c r="D6856" s="51" t="s">
        <v>44891</v>
      </c>
      <c r="E6856" s="45" t="s">
        <v>55</v>
      </c>
      <c r="F6856" s="45" t="s">
        <v>50646</v>
      </c>
      <c r="G6856" s="45" t="s">
        <v>50584</v>
      </c>
      <c r="H6856" s="56"/>
      <c r="I6856" s="56" t="s">
        <v>50564</v>
      </c>
      <c r="J6856" s="56"/>
      <c r="K6856" s="57"/>
      <c r="L6856" s="56" t="s">
        <v>56716</v>
      </c>
    </row>
    <row r="6857" spans="1:12" ht="11.25" x14ac:dyDescent="0.2">
      <c r="A6857" s="46" t="s">
        <v>6780</v>
      </c>
      <c r="B6857" s="46" t="s">
        <v>55050</v>
      </c>
      <c r="C6857" s="58" t="str">
        <f>"00325910"</f>
        <v>00325910</v>
      </c>
      <c r="D6857" s="58" t="str">
        <f>"1873328X"</f>
        <v>1873328X</v>
      </c>
      <c r="E6857" s="46" t="s">
        <v>91</v>
      </c>
      <c r="F6857" s="46" t="s">
        <v>18001</v>
      </c>
      <c r="G6857" s="46" t="s">
        <v>50584</v>
      </c>
      <c r="H6857" s="48" t="s">
        <v>56716</v>
      </c>
      <c r="I6857" s="48" t="s">
        <v>50564</v>
      </c>
      <c r="J6857" s="48"/>
      <c r="K6857" s="50" t="s">
        <v>56716</v>
      </c>
      <c r="L6857" s="48"/>
    </row>
    <row r="6858" spans="1:12" ht="11.25" x14ac:dyDescent="0.2">
      <c r="A6858" s="46" t="s">
        <v>11455</v>
      </c>
      <c r="B6858" s="46" t="s">
        <v>55051</v>
      </c>
      <c r="C6858" s="58" t="str">
        <f>"16874757"</f>
        <v>16874757</v>
      </c>
      <c r="D6858" s="58" t="str">
        <f>"16874765"</f>
        <v>16874765</v>
      </c>
      <c r="E6858" s="46" t="s">
        <v>1412</v>
      </c>
      <c r="F6858" s="46" t="s">
        <v>17759</v>
      </c>
      <c r="G6858" s="46" t="s">
        <v>50584</v>
      </c>
      <c r="H6858" s="48" t="s">
        <v>56716</v>
      </c>
      <c r="I6858" s="48" t="s">
        <v>50564</v>
      </c>
      <c r="J6858" s="48"/>
      <c r="K6858" s="57"/>
      <c r="L6858" s="48"/>
    </row>
    <row r="6859" spans="1:12" ht="11.25" x14ac:dyDescent="0.2">
      <c r="A6859" s="46" t="s">
        <v>3481</v>
      </c>
      <c r="B6859" s="46" t="s">
        <v>55052</v>
      </c>
      <c r="C6859" s="58" t="str">
        <f>"09372032"</f>
        <v>09372032</v>
      </c>
      <c r="D6859" s="58" t="str">
        <f>"14391058"</f>
        <v>14391058</v>
      </c>
      <c r="E6859" s="46" t="s">
        <v>412</v>
      </c>
      <c r="F6859" s="46" t="s">
        <v>18158</v>
      </c>
      <c r="G6859" s="46" t="s">
        <v>50593</v>
      </c>
      <c r="H6859" s="48" t="s">
        <v>56716</v>
      </c>
      <c r="I6859" s="48" t="s">
        <v>50564</v>
      </c>
      <c r="J6859" s="48" t="s">
        <v>56716</v>
      </c>
      <c r="K6859" s="50" t="s">
        <v>56716</v>
      </c>
      <c r="L6859" s="48" t="s">
        <v>56716</v>
      </c>
    </row>
    <row r="6860" spans="1:12" ht="11.25" x14ac:dyDescent="0.2">
      <c r="A6860" s="46" t="s">
        <v>16012</v>
      </c>
      <c r="B6860" s="46" t="s">
        <v>55053</v>
      </c>
      <c r="C6860" s="58" t="str">
        <f>"20472897"</f>
        <v>20472897</v>
      </c>
      <c r="D6860" s="58" t="str">
        <f>"20472900"</f>
        <v>20472900</v>
      </c>
      <c r="E6860" s="46" t="s">
        <v>751</v>
      </c>
      <c r="F6860" s="46" t="s">
        <v>50646</v>
      </c>
      <c r="G6860" s="46" t="s">
        <v>50584</v>
      </c>
      <c r="H6860" s="48" t="s">
        <v>56716</v>
      </c>
      <c r="I6860" s="48" t="s">
        <v>50564</v>
      </c>
      <c r="J6860" s="48"/>
      <c r="K6860" s="57"/>
      <c r="L6860" s="48"/>
    </row>
    <row r="6861" spans="1:12" ht="11.25" x14ac:dyDescent="0.2">
      <c r="A6861" s="46" t="s">
        <v>5142</v>
      </c>
      <c r="B6861" s="46" t="s">
        <v>55054</v>
      </c>
      <c r="C6861" s="58" t="str">
        <f>"02774208"</f>
        <v>02774208</v>
      </c>
      <c r="D6861" s="58" t="str">
        <f>""</f>
        <v/>
      </c>
      <c r="E6861" s="46" t="s">
        <v>5144</v>
      </c>
      <c r="F6861" s="46" t="s">
        <v>17759</v>
      </c>
      <c r="G6861" s="46" t="s">
        <v>50584</v>
      </c>
      <c r="H6861" s="48" t="s">
        <v>56716</v>
      </c>
      <c r="I6861" s="48" t="s">
        <v>50564</v>
      </c>
      <c r="J6861" s="48"/>
      <c r="K6861" s="57"/>
      <c r="L6861" s="48"/>
    </row>
    <row r="6862" spans="1:12" ht="11.25" x14ac:dyDescent="0.2">
      <c r="A6862" s="45" t="s">
        <v>44894</v>
      </c>
      <c r="B6862" s="45" t="s">
        <v>44896</v>
      </c>
      <c r="C6862" s="51" t="s">
        <v>44898</v>
      </c>
      <c r="D6862" s="51" t="s">
        <v>44897</v>
      </c>
      <c r="E6862" s="45" t="s">
        <v>18616</v>
      </c>
      <c r="F6862" s="45" t="s">
        <v>50646</v>
      </c>
      <c r="G6862" s="45" t="s">
        <v>50584</v>
      </c>
      <c r="H6862" s="56"/>
      <c r="I6862" s="56" t="s">
        <v>50564</v>
      </c>
      <c r="J6862" s="56"/>
      <c r="K6862" s="57"/>
      <c r="L6862" s="56" t="s">
        <v>56716</v>
      </c>
    </row>
    <row r="6863" spans="1:12" ht="11.25" x14ac:dyDescent="0.2">
      <c r="A6863" s="46" t="s">
        <v>15368</v>
      </c>
      <c r="B6863" s="46" t="s">
        <v>55055</v>
      </c>
      <c r="C6863" s="58" t="str">
        <f>"18798500"</f>
        <v>18798500</v>
      </c>
      <c r="D6863" s="58" t="str">
        <f>""</f>
        <v/>
      </c>
      <c r="E6863" s="46" t="s">
        <v>272</v>
      </c>
      <c r="F6863" s="46" t="s">
        <v>17759</v>
      </c>
      <c r="G6863" s="46" t="s">
        <v>50584</v>
      </c>
      <c r="H6863" s="48" t="s">
        <v>56716</v>
      </c>
      <c r="I6863" s="48" t="s">
        <v>50564</v>
      </c>
      <c r="J6863" s="48" t="s">
        <v>56716</v>
      </c>
      <c r="K6863" s="50" t="s">
        <v>56716</v>
      </c>
      <c r="L6863" s="48" t="s">
        <v>56716</v>
      </c>
    </row>
    <row r="6864" spans="1:12" ht="11.25" x14ac:dyDescent="0.2">
      <c r="A6864" s="45" t="s">
        <v>44914</v>
      </c>
      <c r="B6864" s="45" t="s">
        <v>44916</v>
      </c>
      <c r="C6864" s="51" t="s">
        <v>44918</v>
      </c>
      <c r="D6864" s="51"/>
      <c r="E6864" s="45" t="s">
        <v>44919</v>
      </c>
      <c r="F6864" s="45" t="s">
        <v>18025</v>
      </c>
      <c r="G6864" s="45" t="s">
        <v>50584</v>
      </c>
      <c r="H6864" s="56"/>
      <c r="I6864" s="56" t="s">
        <v>50564</v>
      </c>
      <c r="J6864" s="56"/>
      <c r="K6864" s="57"/>
      <c r="L6864" s="56" t="s">
        <v>56716</v>
      </c>
    </row>
    <row r="6865" spans="1:12" ht="11.25" x14ac:dyDescent="0.2">
      <c r="A6865" s="46" t="s">
        <v>56464</v>
      </c>
      <c r="B6865" s="46" t="s">
        <v>56465</v>
      </c>
      <c r="C6865" s="58" t="str">
        <f>"12797960"</f>
        <v>12797960</v>
      </c>
      <c r="D6865" s="58" t="str">
        <f>""</f>
        <v/>
      </c>
      <c r="E6865" s="46" t="s">
        <v>85</v>
      </c>
      <c r="F6865" s="46" t="s">
        <v>20359</v>
      </c>
      <c r="G6865" s="46" t="s">
        <v>50591</v>
      </c>
      <c r="H6865" s="48" t="s">
        <v>56716</v>
      </c>
      <c r="I6865" s="48" t="s">
        <v>50564</v>
      </c>
      <c r="J6865" s="48"/>
      <c r="K6865" s="50" t="s">
        <v>56716</v>
      </c>
      <c r="L6865" s="48"/>
    </row>
    <row r="6866" spans="1:12" ht="11.25" x14ac:dyDescent="0.2">
      <c r="A6866" s="46" t="s">
        <v>14545</v>
      </c>
      <c r="B6866" s="46" t="s">
        <v>55056</v>
      </c>
      <c r="C6866" s="58" t="str">
        <f>"18787762"</f>
        <v>18787762</v>
      </c>
      <c r="D6866" s="58" t="str">
        <f>""</f>
        <v/>
      </c>
      <c r="E6866" s="46" t="s">
        <v>85</v>
      </c>
      <c r="F6866" s="46" t="s">
        <v>20359</v>
      </c>
      <c r="G6866" s="46" t="s">
        <v>50591</v>
      </c>
      <c r="H6866" s="48" t="s">
        <v>56716</v>
      </c>
      <c r="I6866" s="48" t="s">
        <v>50564</v>
      </c>
      <c r="J6866" s="48"/>
      <c r="K6866" s="50" t="s">
        <v>56716</v>
      </c>
      <c r="L6866" s="48"/>
    </row>
    <row r="6867" spans="1:12" ht="11.25" x14ac:dyDescent="0.2">
      <c r="A6867" s="46" t="s">
        <v>15074</v>
      </c>
      <c r="B6867" s="46" t="s">
        <v>55057</v>
      </c>
      <c r="C6867" s="58" t="str">
        <f>"09750533"</f>
        <v>09750533</v>
      </c>
      <c r="D6867" s="58" t="str">
        <f>"09760164"</f>
        <v>09760164</v>
      </c>
      <c r="E6867" s="46" t="s">
        <v>15077</v>
      </c>
      <c r="F6867" s="46" t="s">
        <v>20446</v>
      </c>
      <c r="G6867" s="46" t="s">
        <v>50584</v>
      </c>
      <c r="H6867" s="48" t="s">
        <v>56716</v>
      </c>
      <c r="I6867" s="48" t="s">
        <v>50564</v>
      </c>
      <c r="J6867" s="48"/>
      <c r="K6867" s="57"/>
      <c r="L6867" s="48"/>
    </row>
    <row r="6868" spans="1:12" ht="11.25" x14ac:dyDescent="0.2">
      <c r="A6868" s="46" t="s">
        <v>5625</v>
      </c>
      <c r="B6868" s="46" t="s">
        <v>55058</v>
      </c>
      <c r="C6868" s="58" t="str">
        <f>"0937552X"</f>
        <v>0937552X</v>
      </c>
      <c r="D6868" s="58" t="str">
        <f>""</f>
        <v/>
      </c>
      <c r="E6868" s="46" t="s">
        <v>437</v>
      </c>
      <c r="F6868" s="46" t="s">
        <v>18158</v>
      </c>
      <c r="G6868" s="46" t="s">
        <v>50593</v>
      </c>
      <c r="H6868" s="48" t="s">
        <v>56716</v>
      </c>
      <c r="I6868" s="48" t="s">
        <v>50564</v>
      </c>
      <c r="J6868" s="48"/>
      <c r="K6868" s="57"/>
      <c r="L6868" s="48"/>
    </row>
    <row r="6869" spans="1:12" ht="11.25" x14ac:dyDescent="0.2">
      <c r="A6869" s="46" t="s">
        <v>15484</v>
      </c>
      <c r="B6869" s="46" t="s">
        <v>15484</v>
      </c>
      <c r="C6869" s="58" t="str">
        <f>"16618157"</f>
        <v>16618157</v>
      </c>
      <c r="D6869" s="58" t="str">
        <f>"16618165"</f>
        <v>16618165</v>
      </c>
      <c r="E6869" s="46" t="s">
        <v>2009</v>
      </c>
      <c r="F6869" s="46" t="s">
        <v>18123</v>
      </c>
      <c r="G6869" s="46" t="s">
        <v>50595</v>
      </c>
      <c r="H6869" s="48" t="s">
        <v>56716</v>
      </c>
      <c r="I6869" s="48" t="s">
        <v>50564</v>
      </c>
      <c r="J6869" s="48"/>
      <c r="K6869" s="57"/>
      <c r="L6869" s="48" t="s">
        <v>56716</v>
      </c>
    </row>
    <row r="6870" spans="1:12" ht="11.25" x14ac:dyDescent="0.2">
      <c r="A6870" s="45" t="s">
        <v>44931</v>
      </c>
      <c r="B6870" s="45" t="s">
        <v>44933</v>
      </c>
      <c r="C6870" s="51" t="s">
        <v>44934</v>
      </c>
      <c r="D6870" s="51"/>
      <c r="E6870" s="45" t="s">
        <v>44935</v>
      </c>
      <c r="F6870" s="45" t="s">
        <v>18158</v>
      </c>
      <c r="G6870" s="45" t="s">
        <v>50592</v>
      </c>
      <c r="H6870" s="56"/>
      <c r="I6870" s="56" t="s">
        <v>50564</v>
      </c>
      <c r="J6870" s="56"/>
      <c r="K6870" s="57"/>
      <c r="L6870" s="56" t="s">
        <v>56716</v>
      </c>
    </row>
    <row r="6871" spans="1:12" ht="11.25" x14ac:dyDescent="0.2">
      <c r="A6871" s="46" t="s">
        <v>14737</v>
      </c>
      <c r="B6871" s="46" t="s">
        <v>55059</v>
      </c>
      <c r="C6871" s="58" t="str">
        <f>"22107789"</f>
        <v>22107789</v>
      </c>
      <c r="D6871" s="58" t="str">
        <f>"22107797"</f>
        <v>22107797</v>
      </c>
      <c r="E6871" s="46" t="s">
        <v>91</v>
      </c>
      <c r="F6871" s="46" t="s">
        <v>18001</v>
      </c>
      <c r="G6871" s="46" t="s">
        <v>50584</v>
      </c>
      <c r="H6871" s="48" t="s">
        <v>56716</v>
      </c>
      <c r="I6871" s="48" t="s">
        <v>50564</v>
      </c>
      <c r="J6871" s="48" t="s">
        <v>56716</v>
      </c>
      <c r="K6871" s="50" t="s">
        <v>56716</v>
      </c>
      <c r="L6871" s="48"/>
    </row>
    <row r="6872" spans="1:12" ht="11.25" x14ac:dyDescent="0.2">
      <c r="A6872" s="45" t="s">
        <v>44937</v>
      </c>
      <c r="B6872" s="45" t="s">
        <v>44939</v>
      </c>
      <c r="C6872" s="51" t="s">
        <v>44942</v>
      </c>
      <c r="D6872" s="51" t="s">
        <v>44941</v>
      </c>
      <c r="E6872" s="45" t="s">
        <v>724</v>
      </c>
      <c r="F6872" s="45" t="s">
        <v>17759</v>
      </c>
      <c r="G6872" s="45" t="s">
        <v>50584</v>
      </c>
      <c r="H6872" s="56"/>
      <c r="I6872" s="56" t="s">
        <v>50564</v>
      </c>
      <c r="J6872" s="56"/>
      <c r="K6872" s="57"/>
      <c r="L6872" s="56" t="s">
        <v>56716</v>
      </c>
    </row>
    <row r="6873" spans="1:12" ht="11.25" x14ac:dyDescent="0.2">
      <c r="A6873" s="45" t="s">
        <v>44945</v>
      </c>
      <c r="B6873" s="45" t="s">
        <v>44947</v>
      </c>
      <c r="C6873" s="51" t="s">
        <v>44949</v>
      </c>
      <c r="D6873" s="51" t="s">
        <v>44948</v>
      </c>
      <c r="E6873" s="45" t="s">
        <v>291</v>
      </c>
      <c r="F6873" s="45" t="s">
        <v>50646</v>
      </c>
      <c r="G6873" s="45" t="s">
        <v>50584</v>
      </c>
      <c r="H6873" s="56"/>
      <c r="I6873" s="56" t="s">
        <v>50564</v>
      </c>
      <c r="J6873" s="56"/>
      <c r="K6873" s="57"/>
      <c r="L6873" s="56" t="s">
        <v>56716</v>
      </c>
    </row>
    <row r="6874" spans="1:12" ht="11.25" x14ac:dyDescent="0.2">
      <c r="A6874" s="46" t="s">
        <v>3467</v>
      </c>
      <c r="B6874" s="46" t="s">
        <v>55060</v>
      </c>
      <c r="C6874" s="58" t="str">
        <f>"01973851"</f>
        <v>01973851</v>
      </c>
      <c r="D6874" s="58" t="str">
        <f>"10970223"</f>
        <v>10970223</v>
      </c>
      <c r="E6874" s="46" t="s">
        <v>751</v>
      </c>
      <c r="F6874" s="46" t="s">
        <v>50646</v>
      </c>
      <c r="G6874" s="46" t="s">
        <v>50584</v>
      </c>
      <c r="H6874" s="48" t="s">
        <v>56716</v>
      </c>
      <c r="I6874" s="48" t="s">
        <v>50564</v>
      </c>
      <c r="J6874" s="48" t="s">
        <v>56716</v>
      </c>
      <c r="K6874" s="50" t="s">
        <v>56716</v>
      </c>
      <c r="L6874" s="48" t="s">
        <v>56716</v>
      </c>
    </row>
    <row r="6875" spans="1:12" ht="11.25" x14ac:dyDescent="0.2">
      <c r="A6875" s="45" t="s">
        <v>44955</v>
      </c>
      <c r="B6875" s="45" t="s">
        <v>44957</v>
      </c>
      <c r="C6875" s="51" t="s">
        <v>44960</v>
      </c>
      <c r="D6875" s="51" t="s">
        <v>44959</v>
      </c>
      <c r="E6875" s="45" t="s">
        <v>291</v>
      </c>
      <c r="F6875" s="45" t="s">
        <v>50646</v>
      </c>
      <c r="G6875" s="45" t="s">
        <v>50584</v>
      </c>
      <c r="H6875" s="56"/>
      <c r="I6875" s="56" t="s">
        <v>50564</v>
      </c>
      <c r="J6875" s="56"/>
      <c r="K6875" s="57"/>
      <c r="L6875" s="56" t="s">
        <v>56716</v>
      </c>
    </row>
    <row r="6876" spans="1:12" ht="11.25" x14ac:dyDescent="0.2">
      <c r="A6876" s="46" t="s">
        <v>12763</v>
      </c>
      <c r="B6876" s="46" t="s">
        <v>12763</v>
      </c>
      <c r="C6876" s="58" t="str">
        <f>"09596682"</f>
        <v>09596682</v>
      </c>
      <c r="D6876" s="58" t="str">
        <f>"19312253"</f>
        <v>19312253</v>
      </c>
      <c r="E6876" s="46" t="s">
        <v>35</v>
      </c>
      <c r="F6876" s="46" t="s">
        <v>50646</v>
      </c>
      <c r="G6876" s="46" t="s">
        <v>50584</v>
      </c>
      <c r="H6876" s="48" t="s">
        <v>56716</v>
      </c>
      <c r="I6876" s="48" t="s">
        <v>50564</v>
      </c>
      <c r="J6876" s="48"/>
      <c r="K6876" s="57"/>
      <c r="L6876" s="48"/>
    </row>
    <row r="6877" spans="1:12" ht="11.25" x14ac:dyDescent="0.2">
      <c r="A6877" s="46" t="s">
        <v>6723</v>
      </c>
      <c r="B6877" s="46" t="s">
        <v>55061</v>
      </c>
      <c r="C6877" s="58" t="str">
        <f>"11677422"</f>
        <v>11677422</v>
      </c>
      <c r="D6877" s="58" t="str">
        <f>""</f>
        <v/>
      </c>
      <c r="E6877" s="46" t="s">
        <v>6725</v>
      </c>
      <c r="F6877" s="46" t="s">
        <v>20359</v>
      </c>
      <c r="G6877" s="46" t="s">
        <v>50584</v>
      </c>
      <c r="H6877" s="48" t="s">
        <v>56716</v>
      </c>
      <c r="I6877" s="48" t="s">
        <v>50564</v>
      </c>
      <c r="J6877" s="48"/>
      <c r="K6877" s="57"/>
      <c r="L6877" s="48" t="s">
        <v>56716</v>
      </c>
    </row>
    <row r="6878" spans="1:12" ht="11.25" x14ac:dyDescent="0.2">
      <c r="A6878" s="46" t="s">
        <v>3470</v>
      </c>
      <c r="B6878" s="46" t="s">
        <v>55062</v>
      </c>
      <c r="C6878" s="58" t="str">
        <f>"07554982"</f>
        <v>07554982</v>
      </c>
      <c r="D6878" s="58" t="str">
        <f>""</f>
        <v/>
      </c>
      <c r="E6878" s="46" t="s">
        <v>85</v>
      </c>
      <c r="F6878" s="46" t="s">
        <v>20359</v>
      </c>
      <c r="G6878" s="46" t="s">
        <v>50591</v>
      </c>
      <c r="H6878" s="48" t="s">
        <v>56716</v>
      </c>
      <c r="I6878" s="48" t="s">
        <v>50564</v>
      </c>
      <c r="J6878" s="48"/>
      <c r="K6878" s="50" t="s">
        <v>56716</v>
      </c>
      <c r="L6878" s="48" t="s">
        <v>56716</v>
      </c>
    </row>
    <row r="6879" spans="1:12" ht="11.25" x14ac:dyDescent="0.2">
      <c r="A6879" s="45" t="s">
        <v>44973</v>
      </c>
      <c r="B6879" s="45" t="s">
        <v>44975</v>
      </c>
      <c r="C6879" s="51"/>
      <c r="D6879" s="51" t="s">
        <v>44976</v>
      </c>
      <c r="E6879" s="45" t="s">
        <v>44977</v>
      </c>
      <c r="F6879" s="45" t="s">
        <v>17759</v>
      </c>
      <c r="G6879" s="45" t="s">
        <v>50584</v>
      </c>
      <c r="H6879" s="56"/>
      <c r="I6879" s="56" t="s">
        <v>50564</v>
      </c>
      <c r="J6879" s="56"/>
      <c r="K6879" s="57"/>
      <c r="L6879" s="56" t="s">
        <v>56716</v>
      </c>
    </row>
    <row r="6880" spans="1:12" ht="11.25" x14ac:dyDescent="0.2">
      <c r="A6880" s="45" t="s">
        <v>44979</v>
      </c>
      <c r="B6880" s="45" t="s">
        <v>44981</v>
      </c>
      <c r="C6880" s="51" t="s">
        <v>44983</v>
      </c>
      <c r="D6880" s="51" t="s">
        <v>44982</v>
      </c>
      <c r="E6880" s="45" t="s">
        <v>18832</v>
      </c>
      <c r="F6880" s="45" t="s">
        <v>17759</v>
      </c>
      <c r="G6880" s="45" t="s">
        <v>50584</v>
      </c>
      <c r="H6880" s="56"/>
      <c r="I6880" s="56" t="s">
        <v>50564</v>
      </c>
      <c r="J6880" s="56"/>
      <c r="K6880" s="57"/>
      <c r="L6880" s="56" t="s">
        <v>56716</v>
      </c>
    </row>
    <row r="6881" spans="1:12" ht="11.25" x14ac:dyDescent="0.2">
      <c r="A6881" s="46" t="s">
        <v>7814</v>
      </c>
      <c r="B6881" s="46" t="s">
        <v>55063</v>
      </c>
      <c r="C6881" s="58" t="str">
        <f>"1520037X"</f>
        <v>1520037X</v>
      </c>
      <c r="D6881" s="58" t="str">
        <f>"17517141"</f>
        <v>17517141</v>
      </c>
      <c r="E6881" s="46" t="s">
        <v>548</v>
      </c>
      <c r="F6881" s="46" t="s">
        <v>17759</v>
      </c>
      <c r="G6881" s="46" t="s">
        <v>50584</v>
      </c>
      <c r="H6881" s="48" t="s">
        <v>56716</v>
      </c>
      <c r="I6881" s="48" t="s">
        <v>50564</v>
      </c>
      <c r="J6881" s="48" t="s">
        <v>56716</v>
      </c>
      <c r="K6881" s="57"/>
      <c r="L6881" s="48"/>
    </row>
    <row r="6882" spans="1:12" ht="11.25" x14ac:dyDescent="0.2">
      <c r="A6882" s="46" t="s">
        <v>3527</v>
      </c>
      <c r="B6882" s="46" t="s">
        <v>55064</v>
      </c>
      <c r="C6882" s="58" t="str">
        <f>"00917435"</f>
        <v>00917435</v>
      </c>
      <c r="D6882" s="58" t="str">
        <f>"10960260"</f>
        <v>10960260</v>
      </c>
      <c r="E6882" s="46" t="s">
        <v>60</v>
      </c>
      <c r="F6882" s="46" t="s">
        <v>17759</v>
      </c>
      <c r="G6882" s="46" t="s">
        <v>50584</v>
      </c>
      <c r="H6882" s="48" t="s">
        <v>56716</v>
      </c>
      <c r="I6882" s="48" t="s">
        <v>50564</v>
      </c>
      <c r="J6882" s="48" t="s">
        <v>56716</v>
      </c>
      <c r="K6882" s="50" t="s">
        <v>56716</v>
      </c>
      <c r="L6882" s="48" t="s">
        <v>56716</v>
      </c>
    </row>
    <row r="6883" spans="1:12" ht="11.25" x14ac:dyDescent="0.2">
      <c r="A6883" s="46" t="s">
        <v>56352</v>
      </c>
      <c r="B6883" s="46" t="s">
        <v>56353</v>
      </c>
      <c r="C6883" s="58" t="str">
        <f>""</f>
        <v/>
      </c>
      <c r="D6883" s="58" t="str">
        <f>"22113355"</f>
        <v>22113355</v>
      </c>
      <c r="E6883" s="46" t="s">
        <v>272</v>
      </c>
      <c r="F6883" s="46" t="s">
        <v>17759</v>
      </c>
      <c r="G6883" s="46" t="s">
        <v>50584</v>
      </c>
      <c r="H6883" s="48" t="s">
        <v>56716</v>
      </c>
      <c r="I6883" s="48" t="s">
        <v>50564</v>
      </c>
      <c r="J6883" s="48" t="s">
        <v>56716</v>
      </c>
      <c r="K6883" s="57"/>
      <c r="L6883" s="48"/>
    </row>
    <row r="6884" spans="1:12" ht="11.25" x14ac:dyDescent="0.2">
      <c r="A6884" s="45" t="s">
        <v>44989</v>
      </c>
      <c r="B6884" s="45" t="s">
        <v>44991</v>
      </c>
      <c r="C6884" s="51" t="s">
        <v>44993</v>
      </c>
      <c r="D6884" s="51" t="s">
        <v>44992</v>
      </c>
      <c r="E6884" s="45" t="s">
        <v>34878</v>
      </c>
      <c r="F6884" s="45" t="s">
        <v>18001</v>
      </c>
      <c r="G6884" s="45" t="s">
        <v>50584</v>
      </c>
      <c r="H6884" s="56"/>
      <c r="I6884" s="56" t="s">
        <v>50564</v>
      </c>
      <c r="J6884" s="56"/>
      <c r="K6884" s="57"/>
      <c r="L6884" s="56" t="s">
        <v>56716</v>
      </c>
    </row>
    <row r="6885" spans="1:12" ht="11.25" x14ac:dyDescent="0.2">
      <c r="A6885" s="45" t="s">
        <v>44996</v>
      </c>
      <c r="B6885" s="45" t="s">
        <v>44998</v>
      </c>
      <c r="C6885" s="51" t="s">
        <v>44999</v>
      </c>
      <c r="D6885" s="51"/>
      <c r="E6885" s="45" t="s">
        <v>22405</v>
      </c>
      <c r="F6885" s="45" t="s">
        <v>50653</v>
      </c>
      <c r="G6885" s="45" t="s">
        <v>56509</v>
      </c>
      <c r="H6885" s="56"/>
      <c r="I6885" s="56" t="s">
        <v>50564</v>
      </c>
      <c r="J6885" s="56"/>
      <c r="K6885" s="57"/>
      <c r="L6885" s="56" t="s">
        <v>56716</v>
      </c>
    </row>
    <row r="6886" spans="1:12" ht="11.25" x14ac:dyDescent="0.2">
      <c r="A6886" s="45" t="s">
        <v>45002</v>
      </c>
      <c r="B6886" s="45" t="s">
        <v>45004</v>
      </c>
      <c r="C6886" s="51" t="s">
        <v>45005</v>
      </c>
      <c r="D6886" s="51"/>
      <c r="E6886" s="45" t="s">
        <v>45006</v>
      </c>
      <c r="F6886" s="45" t="s">
        <v>45007</v>
      </c>
      <c r="G6886" s="45" t="s">
        <v>56640</v>
      </c>
      <c r="H6886" s="56"/>
      <c r="I6886" s="56" t="s">
        <v>50564</v>
      </c>
      <c r="J6886" s="56"/>
      <c r="K6886" s="57"/>
      <c r="L6886" s="56" t="s">
        <v>56716</v>
      </c>
    </row>
    <row r="6887" spans="1:12" ht="11.25" x14ac:dyDescent="0.2">
      <c r="A6887" s="46" t="s">
        <v>3462</v>
      </c>
      <c r="B6887" s="46" t="s">
        <v>55065</v>
      </c>
      <c r="C6887" s="58" t="str">
        <f>"00954543"</f>
        <v>00954543</v>
      </c>
      <c r="D6887" s="58" t="str">
        <f>"1558299X"</f>
        <v>1558299X</v>
      </c>
      <c r="E6887" s="46" t="s">
        <v>303</v>
      </c>
      <c r="F6887" s="46" t="s">
        <v>17759</v>
      </c>
      <c r="G6887" s="46" t="s">
        <v>50584</v>
      </c>
      <c r="H6887" s="48" t="s">
        <v>56716</v>
      </c>
      <c r="I6887" s="48" t="s">
        <v>50564</v>
      </c>
      <c r="J6887" s="48" t="s">
        <v>56716</v>
      </c>
      <c r="K6887" s="50" t="s">
        <v>56716</v>
      </c>
      <c r="L6887" s="48" t="s">
        <v>56716</v>
      </c>
    </row>
    <row r="6888" spans="1:12" ht="11.25" x14ac:dyDescent="0.2">
      <c r="A6888" s="46" t="s">
        <v>13228</v>
      </c>
      <c r="B6888" s="46" t="s">
        <v>55066</v>
      </c>
      <c r="C6888" s="58" t="str">
        <f>"17565138"</f>
        <v>17565138</v>
      </c>
      <c r="D6888" s="58" t="str">
        <f>"17565146"</f>
        <v>17565146</v>
      </c>
      <c r="E6888" s="46" t="s">
        <v>13231</v>
      </c>
      <c r="F6888" s="46" t="s">
        <v>50646</v>
      </c>
      <c r="G6888" s="46" t="s">
        <v>50584</v>
      </c>
      <c r="H6888" s="48" t="s">
        <v>56716</v>
      </c>
      <c r="I6888" s="48" t="s">
        <v>50564</v>
      </c>
      <c r="J6888" s="48"/>
      <c r="K6888" s="57"/>
      <c r="L6888" s="48"/>
    </row>
    <row r="6889" spans="1:12" ht="11.25" x14ac:dyDescent="0.2">
      <c r="A6889" s="46" t="s">
        <v>10010</v>
      </c>
      <c r="B6889" s="46" t="s">
        <v>55067</v>
      </c>
      <c r="C6889" s="58" t="str">
        <f>"15235998"</f>
        <v>15235998</v>
      </c>
      <c r="D6889" s="58" t="str">
        <f>"1555211X"</f>
        <v>1555211X</v>
      </c>
      <c r="E6889" s="46" t="s">
        <v>2234</v>
      </c>
      <c r="F6889" s="46" t="s">
        <v>17759</v>
      </c>
      <c r="G6889" s="46" t="s">
        <v>50584</v>
      </c>
      <c r="H6889" s="48" t="s">
        <v>56716</v>
      </c>
      <c r="I6889" s="48" t="s">
        <v>50564</v>
      </c>
      <c r="J6889" s="48"/>
      <c r="K6889" s="57"/>
      <c r="L6889" s="48"/>
    </row>
    <row r="6890" spans="1:12" ht="11.25" x14ac:dyDescent="0.2">
      <c r="A6890" s="46" t="s">
        <v>11683</v>
      </c>
      <c r="B6890" s="46" t="s">
        <v>55068</v>
      </c>
      <c r="C6890" s="58" t="str">
        <f>"17519918"</f>
        <v>17519918</v>
      </c>
      <c r="D6890" s="58" t="str">
        <f>"18780210"</f>
        <v>18780210</v>
      </c>
      <c r="E6890" s="46" t="s">
        <v>155</v>
      </c>
      <c r="F6890" s="46" t="s">
        <v>50646</v>
      </c>
      <c r="G6890" s="46" t="s">
        <v>50584</v>
      </c>
      <c r="H6890" s="48" t="s">
        <v>56716</v>
      </c>
      <c r="I6890" s="48" t="s">
        <v>50564</v>
      </c>
      <c r="J6890" s="48" t="s">
        <v>56716</v>
      </c>
      <c r="K6890" s="50" t="s">
        <v>56716</v>
      </c>
      <c r="L6890" s="48" t="s">
        <v>56716</v>
      </c>
    </row>
    <row r="6891" spans="1:12" ht="11.25" x14ac:dyDescent="0.2">
      <c r="A6891" s="46" t="s">
        <v>8829</v>
      </c>
      <c r="B6891" s="46" t="s">
        <v>55069</v>
      </c>
      <c r="C6891" s="58" t="str">
        <f>"14714418"</f>
        <v>14714418</v>
      </c>
      <c r="D6891" s="58" t="str">
        <f>"14751534"</f>
        <v>14751534</v>
      </c>
      <c r="E6891" s="46" t="s">
        <v>56081</v>
      </c>
      <c r="F6891" s="46" t="s">
        <v>50646</v>
      </c>
      <c r="G6891" s="46" t="s">
        <v>50584</v>
      </c>
      <c r="H6891" s="48" t="s">
        <v>56716</v>
      </c>
      <c r="I6891" s="48" t="s">
        <v>50564</v>
      </c>
      <c r="J6891" s="48"/>
      <c r="K6891" s="57"/>
      <c r="L6891" s="48"/>
    </row>
    <row r="6892" spans="1:12" ht="11.25" x14ac:dyDescent="0.2">
      <c r="A6892" s="45" t="s">
        <v>45027</v>
      </c>
      <c r="B6892" s="45" t="s">
        <v>45029</v>
      </c>
      <c r="C6892" s="51" t="s">
        <v>45031</v>
      </c>
      <c r="D6892" s="51"/>
      <c r="E6892" s="45" t="s">
        <v>45032</v>
      </c>
      <c r="F6892" s="45" t="s">
        <v>50646</v>
      </c>
      <c r="G6892" s="45" t="s">
        <v>50584</v>
      </c>
      <c r="H6892" s="56"/>
      <c r="I6892" s="56" t="s">
        <v>50564</v>
      </c>
      <c r="J6892" s="56"/>
      <c r="K6892" s="57"/>
      <c r="L6892" s="56" t="s">
        <v>56716</v>
      </c>
    </row>
    <row r="6893" spans="1:12" ht="11.25" x14ac:dyDescent="0.2">
      <c r="A6893" s="45" t="s">
        <v>45034</v>
      </c>
      <c r="B6893" s="45" t="s">
        <v>45036</v>
      </c>
      <c r="C6893" s="51" t="s">
        <v>45038</v>
      </c>
      <c r="D6893" s="51" t="s">
        <v>45037</v>
      </c>
      <c r="E6893" s="45" t="s">
        <v>724</v>
      </c>
      <c r="F6893" s="45" t="s">
        <v>50646</v>
      </c>
      <c r="G6893" s="45" t="s">
        <v>50584</v>
      </c>
      <c r="H6893" s="56"/>
      <c r="I6893" s="56" t="s">
        <v>50564</v>
      </c>
      <c r="J6893" s="56"/>
      <c r="K6893" s="57"/>
      <c r="L6893" s="56" t="s">
        <v>56716</v>
      </c>
    </row>
    <row r="6894" spans="1:12" ht="11.25" x14ac:dyDescent="0.2">
      <c r="A6894" s="46" t="s">
        <v>8183</v>
      </c>
      <c r="B6894" s="46" t="s">
        <v>55070</v>
      </c>
      <c r="C6894" s="58" t="str">
        <f>"10826319"</f>
        <v>10826319</v>
      </c>
      <c r="D6894" s="58" t="str">
        <f>""</f>
        <v/>
      </c>
      <c r="E6894" s="46" t="s">
        <v>8185</v>
      </c>
      <c r="F6894" s="46" t="s">
        <v>17759</v>
      </c>
      <c r="G6894" s="46" t="s">
        <v>50584</v>
      </c>
      <c r="H6894" s="48" t="s">
        <v>56716</v>
      </c>
      <c r="I6894" s="48" t="s">
        <v>50564</v>
      </c>
      <c r="J6894" s="48"/>
      <c r="K6894" s="57"/>
      <c r="L6894" s="48"/>
    </row>
    <row r="6895" spans="1:12" ht="11.25" x14ac:dyDescent="0.2">
      <c r="A6895" s="45" t="s">
        <v>45041</v>
      </c>
      <c r="B6895" s="45" t="s">
        <v>45043</v>
      </c>
      <c r="C6895" s="51" t="s">
        <v>45045</v>
      </c>
      <c r="D6895" s="51" t="s">
        <v>45044</v>
      </c>
      <c r="E6895" s="45" t="s">
        <v>33522</v>
      </c>
      <c r="F6895" s="45" t="s">
        <v>18242</v>
      </c>
      <c r="G6895" s="45" t="s">
        <v>50584</v>
      </c>
      <c r="H6895" s="56"/>
      <c r="I6895" s="56" t="s">
        <v>50564</v>
      </c>
      <c r="J6895" s="56"/>
      <c r="K6895" s="57"/>
      <c r="L6895" s="56" t="s">
        <v>56716</v>
      </c>
    </row>
    <row r="6896" spans="1:12" ht="11.25" x14ac:dyDescent="0.2">
      <c r="A6896" s="46" t="s">
        <v>13238</v>
      </c>
      <c r="B6896" s="46" t="s">
        <v>13238</v>
      </c>
      <c r="C6896" s="58" t="str">
        <f>"19336896"</f>
        <v>19336896</v>
      </c>
      <c r="D6896" s="58" t="str">
        <f>"1933690X"</f>
        <v>1933690X</v>
      </c>
      <c r="E6896" s="46" t="s">
        <v>669</v>
      </c>
      <c r="F6896" s="46" t="s">
        <v>17759</v>
      </c>
      <c r="G6896" s="46" t="s">
        <v>50584</v>
      </c>
      <c r="H6896" s="48" t="s">
        <v>56716</v>
      </c>
      <c r="I6896" s="48" t="s">
        <v>50564</v>
      </c>
      <c r="J6896" s="48"/>
      <c r="K6896" s="57"/>
      <c r="L6896" s="48" t="s">
        <v>56716</v>
      </c>
    </row>
    <row r="6897" spans="1:12" ht="11.25" x14ac:dyDescent="0.2">
      <c r="A6897" s="46" t="s">
        <v>14414</v>
      </c>
      <c r="B6897" s="46" t="s">
        <v>55071</v>
      </c>
      <c r="C6897" s="58" t="str">
        <f>"18671306"</f>
        <v>18671306</v>
      </c>
      <c r="D6897" s="58" t="str">
        <f>""</f>
        <v/>
      </c>
      <c r="E6897" s="46" t="s">
        <v>56305</v>
      </c>
      <c r="F6897" s="46" t="s">
        <v>17759</v>
      </c>
      <c r="G6897" s="46" t="s">
        <v>50584</v>
      </c>
      <c r="H6897" s="48" t="s">
        <v>56716</v>
      </c>
      <c r="I6897" s="48" t="s">
        <v>50564</v>
      </c>
      <c r="J6897" s="48" t="s">
        <v>56716</v>
      </c>
      <c r="K6897" s="50" t="s">
        <v>56716</v>
      </c>
      <c r="L6897" s="48" t="s">
        <v>56716</v>
      </c>
    </row>
    <row r="6898" spans="1:12" ht="11.25" x14ac:dyDescent="0.2">
      <c r="A6898" s="45" t="s">
        <v>45049</v>
      </c>
      <c r="B6898" s="45" t="s">
        <v>45051</v>
      </c>
      <c r="C6898" s="51" t="s">
        <v>45052</v>
      </c>
      <c r="D6898" s="51"/>
      <c r="E6898" s="45" t="s">
        <v>45053</v>
      </c>
      <c r="F6898" s="45" t="s">
        <v>19251</v>
      </c>
      <c r="G6898" s="45" t="s">
        <v>56513</v>
      </c>
      <c r="H6898" s="56"/>
      <c r="I6898" s="56" t="s">
        <v>50564</v>
      </c>
      <c r="J6898" s="56"/>
      <c r="K6898" s="57"/>
      <c r="L6898" s="56" t="s">
        <v>56716</v>
      </c>
    </row>
    <row r="6899" spans="1:12" ht="11.25" x14ac:dyDescent="0.2">
      <c r="A6899" s="46" t="s">
        <v>3423</v>
      </c>
      <c r="B6899" s="46" t="s">
        <v>55072</v>
      </c>
      <c r="C6899" s="58" t="str">
        <f>"02049155"</f>
        <v>02049155</v>
      </c>
      <c r="D6899" s="58" t="str">
        <f>""</f>
        <v/>
      </c>
      <c r="E6899" s="46" t="s">
        <v>55906</v>
      </c>
      <c r="F6899" s="46" t="s">
        <v>19251</v>
      </c>
      <c r="G6899" s="46" t="s">
        <v>50584</v>
      </c>
      <c r="H6899" s="48" t="s">
        <v>56716</v>
      </c>
      <c r="I6899" s="48" t="s">
        <v>50564</v>
      </c>
      <c r="J6899" s="48"/>
      <c r="K6899" s="57"/>
      <c r="L6899" s="48"/>
    </row>
    <row r="6900" spans="1:12" ht="11.25" x14ac:dyDescent="0.2">
      <c r="A6900" s="45" t="s">
        <v>56641</v>
      </c>
      <c r="B6900" s="45" t="s">
        <v>50513</v>
      </c>
      <c r="C6900" s="51" t="s">
        <v>50514</v>
      </c>
      <c r="D6900" s="51" t="s">
        <v>56642</v>
      </c>
      <c r="E6900" s="45" t="s">
        <v>56643</v>
      </c>
      <c r="F6900" s="45" t="s">
        <v>29064</v>
      </c>
      <c r="G6900" s="45" t="s">
        <v>56644</v>
      </c>
      <c r="H6900" s="56"/>
      <c r="I6900" s="56" t="s">
        <v>50564</v>
      </c>
      <c r="J6900" s="56"/>
      <c r="K6900" s="57"/>
      <c r="L6900" s="56" t="s">
        <v>56716</v>
      </c>
    </row>
    <row r="6901" spans="1:12" ht="11.25" x14ac:dyDescent="0.2">
      <c r="A6901" s="45" t="s">
        <v>45056</v>
      </c>
      <c r="B6901" s="45" t="s">
        <v>45058</v>
      </c>
      <c r="C6901" s="51" t="s">
        <v>45060</v>
      </c>
      <c r="D6901" s="51"/>
      <c r="E6901" s="45" t="s">
        <v>45061</v>
      </c>
      <c r="F6901" s="45" t="s">
        <v>50653</v>
      </c>
      <c r="G6901" s="45" t="s">
        <v>56509</v>
      </c>
      <c r="H6901" s="56"/>
      <c r="I6901" s="56" t="s">
        <v>50564</v>
      </c>
      <c r="J6901" s="56"/>
      <c r="K6901" s="57"/>
      <c r="L6901" s="56" t="s">
        <v>56716</v>
      </c>
    </row>
    <row r="6902" spans="1:12" ht="11.25" x14ac:dyDescent="0.2">
      <c r="A6902" s="46" t="s">
        <v>13855</v>
      </c>
      <c r="B6902" s="46" t="s">
        <v>55073</v>
      </c>
      <c r="C6902" s="58" t="str">
        <f>"1877282X"</f>
        <v>1877282X</v>
      </c>
      <c r="D6902" s="58" t="str">
        <f>"1877282X"</f>
        <v>1877282X</v>
      </c>
      <c r="E6902" s="46" t="s">
        <v>91</v>
      </c>
      <c r="F6902" s="46" t="s">
        <v>18001</v>
      </c>
      <c r="G6902" s="46" t="s">
        <v>50584</v>
      </c>
      <c r="H6902" s="48" t="s">
        <v>56716</v>
      </c>
      <c r="I6902" s="48" t="s">
        <v>50564</v>
      </c>
      <c r="J6902" s="48" t="s">
        <v>56716</v>
      </c>
      <c r="K6902" s="57"/>
      <c r="L6902" s="48"/>
    </row>
    <row r="6903" spans="1:12" ht="11.25" x14ac:dyDescent="0.2">
      <c r="A6903" s="46" t="s">
        <v>17306</v>
      </c>
      <c r="B6903" s="46" t="s">
        <v>55074</v>
      </c>
      <c r="C6903" s="58" t="str">
        <f>"20101058"</f>
        <v>20101058</v>
      </c>
      <c r="D6903" s="58" t="str">
        <f>""</f>
        <v/>
      </c>
      <c r="E6903" s="46" t="s">
        <v>17307</v>
      </c>
      <c r="F6903" s="46" t="s">
        <v>19491</v>
      </c>
      <c r="G6903" s="46" t="s">
        <v>50584</v>
      </c>
      <c r="H6903" s="48" t="s">
        <v>56716</v>
      </c>
      <c r="I6903" s="48" t="s">
        <v>50564</v>
      </c>
      <c r="J6903" s="48"/>
      <c r="K6903" s="57"/>
      <c r="L6903" s="48"/>
    </row>
    <row r="6904" spans="1:12" ht="11.25" x14ac:dyDescent="0.2">
      <c r="A6904" s="45" t="s">
        <v>45063</v>
      </c>
      <c r="B6904" s="45" t="s">
        <v>45065</v>
      </c>
      <c r="C6904" s="51" t="s">
        <v>45066</v>
      </c>
      <c r="D6904" s="51"/>
      <c r="E6904" s="45" t="s">
        <v>45067</v>
      </c>
      <c r="F6904" s="45" t="s">
        <v>17759</v>
      </c>
      <c r="G6904" s="45" t="s">
        <v>50584</v>
      </c>
      <c r="H6904" s="56"/>
      <c r="I6904" s="56" t="s">
        <v>50564</v>
      </c>
      <c r="J6904" s="56"/>
      <c r="K6904" s="57"/>
      <c r="L6904" s="56" t="s">
        <v>56716</v>
      </c>
    </row>
    <row r="6905" spans="1:12" ht="11.25" x14ac:dyDescent="0.2">
      <c r="A6905" s="46" t="s">
        <v>5917</v>
      </c>
      <c r="B6905" s="46" t="s">
        <v>55075</v>
      </c>
      <c r="C6905" s="58" t="str">
        <f>"10220178"</f>
        <v>10220178</v>
      </c>
      <c r="D6905" s="58" t="str">
        <f>""</f>
        <v/>
      </c>
      <c r="E6905" s="46" t="s">
        <v>5919</v>
      </c>
      <c r="F6905" s="46" t="s">
        <v>17759</v>
      </c>
      <c r="G6905" s="46" t="s">
        <v>50584</v>
      </c>
      <c r="H6905" s="48" t="s">
        <v>56716</v>
      </c>
      <c r="I6905" s="48" t="s">
        <v>50564</v>
      </c>
      <c r="J6905" s="48"/>
      <c r="K6905" s="57"/>
      <c r="L6905" s="48"/>
    </row>
    <row r="6906" spans="1:12" ht="11.25" x14ac:dyDescent="0.2">
      <c r="A6906" s="45" t="s">
        <v>45071</v>
      </c>
      <c r="B6906" s="45" t="s">
        <v>45073</v>
      </c>
      <c r="C6906" s="51" t="s">
        <v>45076</v>
      </c>
      <c r="D6906" s="51" t="s">
        <v>45075</v>
      </c>
      <c r="E6906" s="45" t="s">
        <v>18520</v>
      </c>
      <c r="F6906" s="45" t="s">
        <v>50646</v>
      </c>
      <c r="G6906" s="45" t="s">
        <v>50584</v>
      </c>
      <c r="H6906" s="56"/>
      <c r="I6906" s="56" t="s">
        <v>50564</v>
      </c>
      <c r="J6906" s="56"/>
      <c r="K6906" s="57"/>
      <c r="L6906" s="56" t="s">
        <v>56716</v>
      </c>
    </row>
    <row r="6907" spans="1:12" ht="11.25" x14ac:dyDescent="0.2">
      <c r="A6907" s="45" t="s">
        <v>45078</v>
      </c>
      <c r="B6907" s="45" t="s">
        <v>45080</v>
      </c>
      <c r="C6907" s="51" t="s">
        <v>45083</v>
      </c>
      <c r="D6907" s="51" t="s">
        <v>45082</v>
      </c>
      <c r="E6907" s="45" t="s">
        <v>45084</v>
      </c>
      <c r="F6907" s="45" t="s">
        <v>18242</v>
      </c>
      <c r="G6907" s="45" t="s">
        <v>50584</v>
      </c>
      <c r="H6907" s="56"/>
      <c r="I6907" s="56" t="s">
        <v>50564</v>
      </c>
      <c r="J6907" s="56"/>
      <c r="K6907" s="57"/>
      <c r="L6907" s="56" t="s">
        <v>56716</v>
      </c>
    </row>
    <row r="6908" spans="1:12" ht="11.25" x14ac:dyDescent="0.2">
      <c r="A6908" s="46" t="s">
        <v>3443</v>
      </c>
      <c r="B6908" s="46" t="s">
        <v>55076</v>
      </c>
      <c r="C6908" s="58" t="str">
        <f>"00278424"</f>
        <v>00278424</v>
      </c>
      <c r="D6908" s="58" t="str">
        <f>"10916490"</f>
        <v>10916490</v>
      </c>
      <c r="E6908" s="46" t="s">
        <v>3446</v>
      </c>
      <c r="F6908" s="46" t="s">
        <v>17759</v>
      </c>
      <c r="G6908" s="46" t="s">
        <v>50584</v>
      </c>
      <c r="H6908" s="48" t="s">
        <v>56716</v>
      </c>
      <c r="I6908" s="48" t="s">
        <v>50564</v>
      </c>
      <c r="J6908" s="48" t="s">
        <v>56716</v>
      </c>
      <c r="K6908" s="57"/>
      <c r="L6908" s="48" t="s">
        <v>56716</v>
      </c>
    </row>
    <row r="6909" spans="1:12" ht="11.25" x14ac:dyDescent="0.2">
      <c r="A6909" s="46" t="s">
        <v>7908</v>
      </c>
      <c r="B6909" s="46" t="s">
        <v>55077</v>
      </c>
      <c r="C6909" s="58" t="str">
        <f>"00296651"</f>
        <v>00296651</v>
      </c>
      <c r="D6909" s="58" t="str">
        <f>"14752719"</f>
        <v>14752719</v>
      </c>
      <c r="E6909" s="46" t="s">
        <v>724</v>
      </c>
      <c r="F6909" s="46" t="s">
        <v>50646</v>
      </c>
      <c r="G6909" s="46" t="s">
        <v>50584</v>
      </c>
      <c r="H6909" s="48" t="s">
        <v>56716</v>
      </c>
      <c r="I6909" s="48" t="s">
        <v>50564</v>
      </c>
      <c r="J6909" s="48"/>
      <c r="K6909" s="50" t="s">
        <v>56716</v>
      </c>
      <c r="L6909" s="48" t="s">
        <v>56716</v>
      </c>
    </row>
    <row r="6910" spans="1:12" ht="11.25" x14ac:dyDescent="0.2">
      <c r="A6910" s="46" t="s">
        <v>3530</v>
      </c>
      <c r="B6910" s="46" t="s">
        <v>55078</v>
      </c>
      <c r="C6910" s="58" t="str">
        <f>"00838969"</f>
        <v>00838969</v>
      </c>
      <c r="D6910" s="58" t="str">
        <f>""</f>
        <v/>
      </c>
      <c r="E6910" s="46" t="s">
        <v>3532</v>
      </c>
      <c r="F6910" s="46" t="s">
        <v>17759</v>
      </c>
      <c r="G6910" s="46" t="s">
        <v>50584</v>
      </c>
      <c r="H6910" s="48" t="s">
        <v>56716</v>
      </c>
      <c r="I6910" s="48" t="s">
        <v>50564</v>
      </c>
      <c r="J6910" s="48"/>
      <c r="K6910" s="57"/>
      <c r="L6910" s="48" t="s">
        <v>56716</v>
      </c>
    </row>
    <row r="6911" spans="1:12" ht="11.25" x14ac:dyDescent="0.2">
      <c r="A6911" s="45" t="s">
        <v>45099</v>
      </c>
      <c r="B6911" s="45" t="s">
        <v>45101</v>
      </c>
      <c r="C6911" s="51" t="s">
        <v>45104</v>
      </c>
      <c r="D6911" s="51" t="s">
        <v>45103</v>
      </c>
      <c r="E6911" s="45" t="s">
        <v>11354</v>
      </c>
      <c r="F6911" s="45" t="s">
        <v>50646</v>
      </c>
      <c r="G6911" s="45" t="s">
        <v>50584</v>
      </c>
      <c r="H6911" s="56"/>
      <c r="I6911" s="56" t="s">
        <v>50564</v>
      </c>
      <c r="J6911" s="56"/>
      <c r="K6911" s="57"/>
      <c r="L6911" s="56" t="s">
        <v>56716</v>
      </c>
    </row>
    <row r="6912" spans="1:12" ht="11.25" x14ac:dyDescent="0.2">
      <c r="A6912" s="45" t="s">
        <v>45107</v>
      </c>
      <c r="B6912" s="45" t="s">
        <v>45109</v>
      </c>
      <c r="C6912" s="51" t="s">
        <v>45112</v>
      </c>
      <c r="D6912" s="51" t="s">
        <v>45111</v>
      </c>
      <c r="E6912" s="45" t="s">
        <v>26253</v>
      </c>
      <c r="F6912" s="45" t="s">
        <v>17759</v>
      </c>
      <c r="G6912" s="45" t="s">
        <v>50584</v>
      </c>
      <c r="H6912" s="56"/>
      <c r="I6912" s="56" t="s">
        <v>50564</v>
      </c>
      <c r="J6912" s="56"/>
      <c r="K6912" s="57"/>
      <c r="L6912" s="56" t="s">
        <v>56716</v>
      </c>
    </row>
    <row r="6913" spans="1:12" ht="11.25" x14ac:dyDescent="0.2">
      <c r="A6913" s="45" t="s">
        <v>45114</v>
      </c>
      <c r="B6913" s="45" t="s">
        <v>45116</v>
      </c>
      <c r="C6913" s="51" t="s">
        <v>45118</v>
      </c>
      <c r="D6913" s="51"/>
      <c r="E6913" s="45" t="s">
        <v>45119</v>
      </c>
      <c r="F6913" s="45" t="s">
        <v>17991</v>
      </c>
      <c r="G6913" s="45" t="s">
        <v>50603</v>
      </c>
      <c r="H6913" s="56"/>
      <c r="I6913" s="56" t="s">
        <v>50564</v>
      </c>
      <c r="J6913" s="56"/>
      <c r="K6913" s="57"/>
      <c r="L6913" s="56" t="s">
        <v>56716</v>
      </c>
    </row>
    <row r="6914" spans="1:12" ht="11.25" x14ac:dyDescent="0.2">
      <c r="A6914" s="45" t="s">
        <v>45121</v>
      </c>
      <c r="B6914" s="45" t="s">
        <v>45123</v>
      </c>
      <c r="C6914" s="51" t="s">
        <v>45125</v>
      </c>
      <c r="D6914" s="51"/>
      <c r="E6914" s="45" t="s">
        <v>45126</v>
      </c>
      <c r="F6914" s="45" t="s">
        <v>17759</v>
      </c>
      <c r="G6914" s="45" t="s">
        <v>50584</v>
      </c>
      <c r="H6914" s="56"/>
      <c r="I6914" s="56" t="s">
        <v>50564</v>
      </c>
      <c r="J6914" s="56"/>
      <c r="K6914" s="57"/>
      <c r="L6914" s="56" t="s">
        <v>56716</v>
      </c>
    </row>
    <row r="6915" spans="1:12" ht="11.25" x14ac:dyDescent="0.2">
      <c r="A6915" s="46" t="s">
        <v>10839</v>
      </c>
      <c r="B6915" s="46" t="s">
        <v>55079</v>
      </c>
      <c r="C6915" s="58" t="str">
        <f>"18715125"</f>
        <v>18715125</v>
      </c>
      <c r="D6915" s="58" t="str">
        <f>""</f>
        <v/>
      </c>
      <c r="E6915" s="46" t="s">
        <v>60</v>
      </c>
      <c r="F6915" s="46" t="s">
        <v>17759</v>
      </c>
      <c r="G6915" s="46" t="s">
        <v>50584</v>
      </c>
      <c r="H6915" s="48" t="s">
        <v>56716</v>
      </c>
      <c r="I6915" s="48" t="s">
        <v>50565</v>
      </c>
      <c r="J6915" s="48" t="s">
        <v>56716</v>
      </c>
      <c r="K6915" s="50" t="s">
        <v>56716</v>
      </c>
      <c r="L6915" s="48" t="s">
        <v>56716</v>
      </c>
    </row>
    <row r="6916" spans="1:12" ht="11.25" x14ac:dyDescent="0.2">
      <c r="A6916" s="45" t="s">
        <v>45135</v>
      </c>
      <c r="B6916" s="45" t="s">
        <v>45137</v>
      </c>
      <c r="C6916" s="51" t="s">
        <v>45138</v>
      </c>
      <c r="D6916" s="51"/>
      <c r="E6916" s="45" t="s">
        <v>45139</v>
      </c>
      <c r="F6916" s="45" t="s">
        <v>20359</v>
      </c>
      <c r="G6916" s="45" t="s">
        <v>50590</v>
      </c>
      <c r="H6916" s="56"/>
      <c r="I6916" s="56" t="s">
        <v>50564</v>
      </c>
      <c r="J6916" s="56"/>
      <c r="K6916" s="57"/>
      <c r="L6916" s="56" t="s">
        <v>56716</v>
      </c>
    </row>
    <row r="6917" spans="1:12" ht="11.25" x14ac:dyDescent="0.2">
      <c r="A6917" s="46" t="s">
        <v>3450</v>
      </c>
      <c r="B6917" s="46" t="s">
        <v>55080</v>
      </c>
      <c r="C6917" s="58" t="str">
        <f>"03045013"</f>
        <v>03045013</v>
      </c>
      <c r="D6917" s="58" t="str">
        <f>"15781453"</f>
        <v>15781453</v>
      </c>
      <c r="E6917" s="46" t="s">
        <v>1683</v>
      </c>
      <c r="F6917" s="46" t="s">
        <v>18439</v>
      </c>
      <c r="G6917" s="46" t="s">
        <v>50632</v>
      </c>
      <c r="H6917" s="48" t="s">
        <v>56716</v>
      </c>
      <c r="I6917" s="48" t="s">
        <v>50564</v>
      </c>
      <c r="J6917" s="48"/>
      <c r="K6917" s="50" t="s">
        <v>56716</v>
      </c>
      <c r="L6917" s="48"/>
    </row>
    <row r="6918" spans="1:12" ht="11.25" x14ac:dyDescent="0.2">
      <c r="A6918" s="46" t="s">
        <v>17551</v>
      </c>
      <c r="B6918" s="46" t="s">
        <v>55081</v>
      </c>
      <c r="C6918" s="58" t="str">
        <f>""</f>
        <v/>
      </c>
      <c r="D6918" s="58" t="str">
        <f>"21940517"</f>
        <v>21940517</v>
      </c>
      <c r="E6918" s="46" t="s">
        <v>13773</v>
      </c>
      <c r="F6918" s="46" t="s">
        <v>18158</v>
      </c>
      <c r="G6918" s="46" t="s">
        <v>50584</v>
      </c>
      <c r="H6918" s="48" t="s">
        <v>56716</v>
      </c>
      <c r="I6918" s="48" t="s">
        <v>50564</v>
      </c>
      <c r="J6918" s="48" t="s">
        <v>56716</v>
      </c>
      <c r="K6918" s="57"/>
      <c r="L6918" s="48"/>
    </row>
    <row r="6919" spans="1:12" ht="11.25" x14ac:dyDescent="0.2">
      <c r="A6919" s="45" t="s">
        <v>45141</v>
      </c>
      <c r="B6919" s="45" t="s">
        <v>45143</v>
      </c>
      <c r="C6919" s="51" t="s">
        <v>45146</v>
      </c>
      <c r="D6919" s="51" t="s">
        <v>45145</v>
      </c>
      <c r="E6919" s="45" t="s">
        <v>17865</v>
      </c>
      <c r="F6919" s="45" t="s">
        <v>50646</v>
      </c>
      <c r="G6919" s="45" t="s">
        <v>50584</v>
      </c>
      <c r="H6919" s="56"/>
      <c r="I6919" s="56" t="s">
        <v>50564</v>
      </c>
      <c r="J6919" s="56"/>
      <c r="K6919" s="57"/>
      <c r="L6919" s="56" t="s">
        <v>56716</v>
      </c>
    </row>
    <row r="6920" spans="1:12" ht="11.25" x14ac:dyDescent="0.2">
      <c r="A6920" s="46" t="s">
        <v>3325</v>
      </c>
      <c r="B6920" s="46" t="s">
        <v>55082</v>
      </c>
      <c r="C6920" s="58" t="str">
        <f>"00796123"</f>
        <v>00796123</v>
      </c>
      <c r="D6920" s="58" t="str">
        <f>"18757855"</f>
        <v>18757855</v>
      </c>
      <c r="E6920" s="46" t="s">
        <v>91</v>
      </c>
      <c r="F6920" s="46" t="s">
        <v>18001</v>
      </c>
      <c r="G6920" s="46" t="s">
        <v>50584</v>
      </c>
      <c r="H6920" s="48" t="s">
        <v>56716</v>
      </c>
      <c r="I6920" s="48" t="s">
        <v>50565</v>
      </c>
      <c r="J6920" s="48" t="s">
        <v>56716</v>
      </c>
      <c r="K6920" s="50" t="s">
        <v>56716</v>
      </c>
      <c r="L6920" s="48" t="s">
        <v>56716</v>
      </c>
    </row>
    <row r="6921" spans="1:12" ht="11.25" x14ac:dyDescent="0.2">
      <c r="A6921" s="46" t="s">
        <v>3334</v>
      </c>
      <c r="B6921" s="46" t="s">
        <v>55083</v>
      </c>
      <c r="C6921" s="58" t="str">
        <f>"00330620"</f>
        <v>00330620</v>
      </c>
      <c r="D6921" s="58" t="str">
        <f>"18731740"</f>
        <v>18731740</v>
      </c>
      <c r="E6921" s="46" t="s">
        <v>303</v>
      </c>
      <c r="F6921" s="46" t="s">
        <v>17759</v>
      </c>
      <c r="G6921" s="46" t="s">
        <v>50584</v>
      </c>
      <c r="H6921" s="48" t="s">
        <v>56716</v>
      </c>
      <c r="I6921" s="48" t="s">
        <v>50564</v>
      </c>
      <c r="J6921" s="48"/>
      <c r="K6921" s="50" t="s">
        <v>56716</v>
      </c>
      <c r="L6921" s="48" t="s">
        <v>56716</v>
      </c>
    </row>
    <row r="6922" spans="1:12" ht="11.25" x14ac:dyDescent="0.2">
      <c r="A6922" s="45" t="s">
        <v>45159</v>
      </c>
      <c r="B6922" s="45" t="s">
        <v>45161</v>
      </c>
      <c r="C6922" s="51" t="s">
        <v>45163</v>
      </c>
      <c r="D6922" s="51" t="s">
        <v>45162</v>
      </c>
      <c r="E6922" s="45" t="s">
        <v>23783</v>
      </c>
      <c r="F6922" s="45" t="s">
        <v>17759</v>
      </c>
      <c r="G6922" s="45" t="s">
        <v>50584</v>
      </c>
      <c r="H6922" s="56"/>
      <c r="I6922" s="56" t="s">
        <v>50564</v>
      </c>
      <c r="J6922" s="56"/>
      <c r="K6922" s="57"/>
      <c r="L6922" s="56" t="s">
        <v>56716</v>
      </c>
    </row>
    <row r="6923" spans="1:12" ht="11.25" x14ac:dyDescent="0.2">
      <c r="A6923" s="46" t="s">
        <v>1616</v>
      </c>
      <c r="B6923" s="46" t="s">
        <v>55084</v>
      </c>
      <c r="C6923" s="58" t="str">
        <f>"0071786X"</f>
        <v>0071786X</v>
      </c>
      <c r="D6923" s="58" t="str">
        <f>""</f>
        <v/>
      </c>
      <c r="E6923" s="46" t="s">
        <v>55921</v>
      </c>
      <c r="F6923" s="46" t="s">
        <v>18123</v>
      </c>
      <c r="G6923" s="46" t="s">
        <v>50584</v>
      </c>
      <c r="H6923" s="48" t="s">
        <v>56716</v>
      </c>
      <c r="I6923" s="48" t="s">
        <v>50565</v>
      </c>
      <c r="J6923" s="48" t="s">
        <v>56716</v>
      </c>
      <c r="K6923" s="57"/>
      <c r="L6923" s="48" t="s">
        <v>56716</v>
      </c>
    </row>
    <row r="6924" spans="1:12" ht="11.25" x14ac:dyDescent="0.2">
      <c r="A6924" s="46" t="s">
        <v>3385</v>
      </c>
      <c r="B6924" s="46" t="s">
        <v>55085</v>
      </c>
      <c r="C6924" s="58" t="str">
        <f>"00796336"</f>
        <v>00796336</v>
      </c>
      <c r="D6924" s="58" t="str">
        <f>"18732186"</f>
        <v>18732186</v>
      </c>
      <c r="E6924" s="46" t="s">
        <v>241</v>
      </c>
      <c r="F6924" s="46" t="s">
        <v>18158</v>
      </c>
      <c r="G6924" s="46" t="s">
        <v>50584</v>
      </c>
      <c r="H6924" s="48" t="s">
        <v>56716</v>
      </c>
      <c r="I6924" s="48" t="s">
        <v>50564</v>
      </c>
      <c r="J6924" s="48"/>
      <c r="K6924" s="50" t="s">
        <v>56716</v>
      </c>
      <c r="L6924" s="48" t="s">
        <v>56716</v>
      </c>
    </row>
    <row r="6925" spans="1:12" ht="11.25" x14ac:dyDescent="0.2">
      <c r="A6925" s="46" t="s">
        <v>3431</v>
      </c>
      <c r="B6925" s="46" t="s">
        <v>55086</v>
      </c>
      <c r="C6925" s="58" t="str">
        <f>"01637827"</f>
        <v>01637827</v>
      </c>
      <c r="D6925" s="58" t="str">
        <f>"18732194"</f>
        <v>18732194</v>
      </c>
      <c r="E6925" s="46" t="s">
        <v>155</v>
      </c>
      <c r="F6925" s="46" t="s">
        <v>50646</v>
      </c>
      <c r="G6925" s="46" t="s">
        <v>50584</v>
      </c>
      <c r="H6925" s="48" t="s">
        <v>56716</v>
      </c>
      <c r="I6925" s="48" t="s">
        <v>50564</v>
      </c>
      <c r="J6925" s="48" t="s">
        <v>56716</v>
      </c>
      <c r="K6925" s="57"/>
      <c r="L6925" s="48" t="s">
        <v>56716</v>
      </c>
    </row>
    <row r="6926" spans="1:12" ht="11.25" x14ac:dyDescent="0.2">
      <c r="A6926" s="46" t="s">
        <v>10841</v>
      </c>
      <c r="B6926" s="46" t="s">
        <v>55087</v>
      </c>
      <c r="C6926" s="58" t="str">
        <f>"00796468"</f>
        <v>00796468</v>
      </c>
      <c r="D6926" s="58" t="str">
        <f>"18757863"</f>
        <v>18757863</v>
      </c>
      <c r="E6926" s="46" t="s">
        <v>91</v>
      </c>
      <c r="F6926" s="46" t="s">
        <v>18001</v>
      </c>
      <c r="G6926" s="46" t="s">
        <v>50584</v>
      </c>
      <c r="H6926" s="48" t="s">
        <v>56716</v>
      </c>
      <c r="I6926" s="48" t="s">
        <v>50565</v>
      </c>
      <c r="J6926" s="48" t="s">
        <v>56716</v>
      </c>
      <c r="K6926" s="50" t="s">
        <v>56716</v>
      </c>
      <c r="L6926" s="48" t="s">
        <v>56716</v>
      </c>
    </row>
    <row r="6927" spans="1:12" ht="11.25" x14ac:dyDescent="0.2">
      <c r="A6927" s="45" t="s">
        <v>45193</v>
      </c>
      <c r="B6927" s="45" t="s">
        <v>45195</v>
      </c>
      <c r="C6927" s="51" t="s">
        <v>45196</v>
      </c>
      <c r="D6927" s="51"/>
      <c r="E6927" s="45" t="s">
        <v>18727</v>
      </c>
      <c r="F6927" s="45" t="s">
        <v>17759</v>
      </c>
      <c r="G6927" s="45" t="s">
        <v>50584</v>
      </c>
      <c r="H6927" s="56"/>
      <c r="I6927" s="56" t="s">
        <v>50564</v>
      </c>
      <c r="J6927" s="56"/>
      <c r="K6927" s="57"/>
      <c r="L6927" s="56" t="s">
        <v>56716</v>
      </c>
    </row>
    <row r="6928" spans="1:12" ht="11.25" x14ac:dyDescent="0.2">
      <c r="A6928" s="46" t="s">
        <v>14699</v>
      </c>
      <c r="B6928" s="46" t="s">
        <v>55088</v>
      </c>
      <c r="C6928" s="58" t="str">
        <f>"18771173"</f>
        <v>18771173</v>
      </c>
      <c r="D6928" s="58" t="str">
        <f>"18780814"</f>
        <v>18780814</v>
      </c>
      <c r="E6928" s="46" t="s">
        <v>91</v>
      </c>
      <c r="F6928" s="46" t="s">
        <v>18001</v>
      </c>
      <c r="G6928" s="46" t="s">
        <v>50584</v>
      </c>
      <c r="H6928" s="48" t="s">
        <v>56716</v>
      </c>
      <c r="I6928" s="48" t="s">
        <v>50565</v>
      </c>
      <c r="J6928" s="48" t="s">
        <v>56716</v>
      </c>
      <c r="K6928" s="50" t="s">
        <v>56716</v>
      </c>
      <c r="L6928" s="48" t="s">
        <v>56716</v>
      </c>
    </row>
    <row r="6929" spans="1:12" ht="11.25" x14ac:dyDescent="0.2">
      <c r="A6929" s="46" t="s">
        <v>3376</v>
      </c>
      <c r="B6929" s="46" t="s">
        <v>55089</v>
      </c>
      <c r="C6929" s="58" t="str">
        <f>"03010082"</f>
        <v>03010082</v>
      </c>
      <c r="D6929" s="58" t="str">
        <f>"18735118"</f>
        <v>18735118</v>
      </c>
      <c r="E6929" s="46" t="s">
        <v>155</v>
      </c>
      <c r="F6929" s="46" t="s">
        <v>50646</v>
      </c>
      <c r="G6929" s="46" t="s">
        <v>50584</v>
      </c>
      <c r="H6929" s="48" t="s">
        <v>56716</v>
      </c>
      <c r="I6929" s="48" t="s">
        <v>50564</v>
      </c>
      <c r="J6929" s="48" t="s">
        <v>56716</v>
      </c>
      <c r="K6929" s="50" t="s">
        <v>56716</v>
      </c>
      <c r="L6929" s="48" t="s">
        <v>56716</v>
      </c>
    </row>
    <row r="6930" spans="1:12" ht="11.25" x14ac:dyDescent="0.2">
      <c r="A6930" s="45" t="s">
        <v>45209</v>
      </c>
      <c r="B6930" s="45" t="s">
        <v>45211</v>
      </c>
      <c r="C6930" s="51" t="s">
        <v>45213</v>
      </c>
      <c r="D6930" s="51" t="s">
        <v>45212</v>
      </c>
      <c r="E6930" s="45" t="s">
        <v>18122</v>
      </c>
      <c r="F6930" s="45" t="s">
        <v>18123</v>
      </c>
      <c r="G6930" s="45" t="s">
        <v>50584</v>
      </c>
      <c r="H6930" s="56"/>
      <c r="I6930" s="56" t="s">
        <v>50564</v>
      </c>
      <c r="J6930" s="56"/>
      <c r="K6930" s="57"/>
      <c r="L6930" s="56" t="s">
        <v>56716</v>
      </c>
    </row>
    <row r="6931" spans="1:12" ht="11.25" x14ac:dyDescent="0.2">
      <c r="A6931" s="46" t="s">
        <v>12523</v>
      </c>
      <c r="B6931" s="46" t="s">
        <v>55090</v>
      </c>
      <c r="C6931" s="58" t="str">
        <f>"13677543"</f>
        <v>13677543</v>
      </c>
      <c r="D6931" s="58" t="str">
        <f>"1931227X"</f>
        <v>1931227X</v>
      </c>
      <c r="E6931" s="46" t="s">
        <v>751</v>
      </c>
      <c r="F6931" s="46" t="s">
        <v>50646</v>
      </c>
      <c r="G6931" s="46" t="s">
        <v>50584</v>
      </c>
      <c r="H6931" s="48" t="s">
        <v>56716</v>
      </c>
      <c r="I6931" s="48" t="s">
        <v>50564</v>
      </c>
      <c r="J6931" s="48" t="s">
        <v>56716</v>
      </c>
      <c r="K6931" s="57"/>
      <c r="L6931" s="48"/>
    </row>
    <row r="6932" spans="1:12" ht="11.25" x14ac:dyDescent="0.2">
      <c r="A6932" s="46" t="s">
        <v>3447</v>
      </c>
      <c r="B6932" s="46" t="s">
        <v>55091</v>
      </c>
      <c r="C6932" s="58" t="str">
        <f>"02785846"</f>
        <v>02785846</v>
      </c>
      <c r="D6932" s="58" t="str">
        <f>"18784216"</f>
        <v>18784216</v>
      </c>
      <c r="E6932" s="46" t="s">
        <v>272</v>
      </c>
      <c r="F6932" s="46" t="s">
        <v>17759</v>
      </c>
      <c r="G6932" s="46" t="s">
        <v>50584</v>
      </c>
      <c r="H6932" s="48" t="s">
        <v>56716</v>
      </c>
      <c r="I6932" s="48" t="s">
        <v>50564</v>
      </c>
      <c r="J6932" s="48"/>
      <c r="K6932" s="50" t="s">
        <v>56716</v>
      </c>
      <c r="L6932" s="48" t="s">
        <v>56716</v>
      </c>
    </row>
    <row r="6933" spans="1:12" ht="11.25" x14ac:dyDescent="0.2">
      <c r="A6933" s="46" t="s">
        <v>11979</v>
      </c>
      <c r="B6933" s="46" t="s">
        <v>55092</v>
      </c>
      <c r="C6933" s="58" t="str">
        <f>"17482321"</f>
        <v>17482321</v>
      </c>
      <c r="D6933" s="58" t="str">
        <f>"1748233X"</f>
        <v>1748233X</v>
      </c>
      <c r="E6933" s="46" t="s">
        <v>724</v>
      </c>
      <c r="F6933" s="46" t="s">
        <v>50646</v>
      </c>
      <c r="G6933" s="46" t="s">
        <v>50584</v>
      </c>
      <c r="H6933" s="48" t="s">
        <v>56716</v>
      </c>
      <c r="I6933" s="48" t="s">
        <v>50564</v>
      </c>
      <c r="J6933" s="48" t="s">
        <v>56716</v>
      </c>
      <c r="K6933" s="57"/>
      <c r="L6933" s="48"/>
    </row>
    <row r="6934" spans="1:12" ht="11.25" x14ac:dyDescent="0.2">
      <c r="A6934" s="45" t="s">
        <v>45221</v>
      </c>
      <c r="B6934" s="45" t="s">
        <v>45223</v>
      </c>
      <c r="C6934" s="51" t="s">
        <v>45225</v>
      </c>
      <c r="D6934" s="51" t="s">
        <v>45224</v>
      </c>
      <c r="E6934" s="45" t="s">
        <v>91</v>
      </c>
      <c r="F6934" s="45" t="s">
        <v>50646</v>
      </c>
      <c r="G6934" s="45" t="s">
        <v>50584</v>
      </c>
      <c r="H6934" s="56"/>
      <c r="I6934" s="56" t="s">
        <v>50564</v>
      </c>
      <c r="J6934" s="56"/>
      <c r="K6934" s="57"/>
      <c r="L6934" s="56" t="s">
        <v>56716</v>
      </c>
    </row>
    <row r="6935" spans="1:12" ht="11.25" x14ac:dyDescent="0.2">
      <c r="A6935" s="46" t="s">
        <v>9051</v>
      </c>
      <c r="B6935" s="46" t="s">
        <v>55093</v>
      </c>
      <c r="C6935" s="58" t="str">
        <f>"11298723"</f>
        <v>11298723</v>
      </c>
      <c r="D6935" s="58" t="str">
        <f>""</f>
        <v/>
      </c>
      <c r="E6935" s="46" t="s">
        <v>6910</v>
      </c>
      <c r="F6935" s="46" t="s">
        <v>17991</v>
      </c>
      <c r="G6935" s="46" t="s">
        <v>50603</v>
      </c>
      <c r="H6935" s="48" t="s">
        <v>56716</v>
      </c>
      <c r="I6935" s="48" t="s">
        <v>50564</v>
      </c>
      <c r="J6935" s="48"/>
      <c r="K6935" s="57"/>
      <c r="L6935" s="48"/>
    </row>
    <row r="6936" spans="1:12" ht="11.25" x14ac:dyDescent="0.2">
      <c r="A6936" s="46" t="s">
        <v>14548</v>
      </c>
      <c r="B6936" s="46" t="s">
        <v>55094</v>
      </c>
      <c r="C6936" s="58" t="str">
        <f>"17237785"</f>
        <v>17237785</v>
      </c>
      <c r="D6936" s="58" t="str">
        <f>""</f>
        <v/>
      </c>
      <c r="E6936" s="46" t="s">
        <v>4659</v>
      </c>
      <c r="F6936" s="46" t="s">
        <v>17991</v>
      </c>
      <c r="G6936" s="46" t="s">
        <v>50584</v>
      </c>
      <c r="H6936" s="48" t="s">
        <v>56716</v>
      </c>
      <c r="I6936" s="48" t="s">
        <v>50564</v>
      </c>
      <c r="J6936" s="48" t="s">
        <v>56716</v>
      </c>
      <c r="K6936" s="57"/>
      <c r="L6936" s="48" t="s">
        <v>56716</v>
      </c>
    </row>
    <row r="6937" spans="1:12" ht="11.25" x14ac:dyDescent="0.2">
      <c r="A6937" s="46" t="s">
        <v>8651</v>
      </c>
      <c r="B6937" s="46" t="s">
        <v>55095</v>
      </c>
      <c r="C6937" s="58" t="str">
        <f>"09699260"</f>
        <v>09699260</v>
      </c>
      <c r="D6937" s="58" t="str">
        <f>"1743291X"</f>
        <v>1743291X</v>
      </c>
      <c r="E6937" s="46" t="s">
        <v>856</v>
      </c>
      <c r="F6937" s="46" t="s">
        <v>50646</v>
      </c>
      <c r="G6937" s="46" t="s">
        <v>50584</v>
      </c>
      <c r="H6937" s="48" t="s">
        <v>56716</v>
      </c>
      <c r="I6937" s="48" t="s">
        <v>50564</v>
      </c>
      <c r="J6937" s="48"/>
      <c r="K6937" s="57"/>
      <c r="L6937" s="48"/>
    </row>
    <row r="6938" spans="1:12" ht="11.25" x14ac:dyDescent="0.2">
      <c r="A6938" s="46" t="s">
        <v>6376</v>
      </c>
      <c r="B6938" s="46" t="s">
        <v>55096</v>
      </c>
      <c r="C6938" s="58" t="str">
        <f>"10589813"</f>
        <v>10589813</v>
      </c>
      <c r="D6938" s="58" t="str">
        <f>"15581519"</f>
        <v>15581519</v>
      </c>
      <c r="E6938" s="46" t="s">
        <v>221</v>
      </c>
      <c r="F6938" s="46" t="s">
        <v>21771</v>
      </c>
      <c r="G6938" s="46" t="s">
        <v>50584</v>
      </c>
      <c r="H6938" s="48" t="s">
        <v>56716</v>
      </c>
      <c r="I6938" s="48" t="s">
        <v>50564</v>
      </c>
      <c r="J6938" s="48" t="s">
        <v>56716</v>
      </c>
      <c r="K6938" s="50" t="s">
        <v>56716</v>
      </c>
      <c r="L6938" s="48"/>
    </row>
    <row r="6939" spans="1:12" ht="11.25" x14ac:dyDescent="0.2">
      <c r="A6939" s="46" t="s">
        <v>6186</v>
      </c>
      <c r="B6939" s="46" t="s">
        <v>55097</v>
      </c>
      <c r="C6939" s="58" t="str">
        <f>"13509462"</f>
        <v>13509462</v>
      </c>
      <c r="D6939" s="58" t="str">
        <f>"18731635"</f>
        <v>18731635</v>
      </c>
      <c r="E6939" s="46" t="s">
        <v>155</v>
      </c>
      <c r="F6939" s="46" t="s">
        <v>50646</v>
      </c>
      <c r="G6939" s="46" t="s">
        <v>50584</v>
      </c>
      <c r="H6939" s="48" t="s">
        <v>56716</v>
      </c>
      <c r="I6939" s="48" t="s">
        <v>50564</v>
      </c>
      <c r="J6939" s="48" t="s">
        <v>56716</v>
      </c>
      <c r="K6939" s="50" t="s">
        <v>56716</v>
      </c>
      <c r="L6939" s="48" t="s">
        <v>56716</v>
      </c>
    </row>
    <row r="6940" spans="1:12" ht="11.25" x14ac:dyDescent="0.2">
      <c r="A6940" s="45" t="s">
        <v>45238</v>
      </c>
      <c r="B6940" s="45" t="s">
        <v>45240</v>
      </c>
      <c r="C6940" s="51" t="s">
        <v>45242</v>
      </c>
      <c r="D6940" s="51"/>
      <c r="E6940" s="45" t="s">
        <v>17783</v>
      </c>
      <c r="F6940" s="45" t="s">
        <v>18288</v>
      </c>
      <c r="G6940" s="45" t="s">
        <v>50584</v>
      </c>
      <c r="H6940" s="56"/>
      <c r="I6940" s="56" t="s">
        <v>50564</v>
      </c>
      <c r="J6940" s="56"/>
      <c r="K6940" s="57"/>
      <c r="L6940" s="56" t="s">
        <v>56716</v>
      </c>
    </row>
    <row r="6941" spans="1:12" ht="11.25" x14ac:dyDescent="0.2">
      <c r="A6941" s="45" t="s">
        <v>45245</v>
      </c>
      <c r="B6941" s="45" t="s">
        <v>45247</v>
      </c>
      <c r="C6941" s="51" t="s">
        <v>45249</v>
      </c>
      <c r="D6941" s="51"/>
      <c r="E6941" s="45" t="s">
        <v>45250</v>
      </c>
      <c r="F6941" s="45" t="s">
        <v>17759</v>
      </c>
      <c r="G6941" s="45" t="s">
        <v>50584</v>
      </c>
      <c r="H6941" s="56"/>
      <c r="I6941" s="56" t="s">
        <v>50564</v>
      </c>
      <c r="J6941" s="56"/>
      <c r="K6941" s="57"/>
      <c r="L6941" s="56" t="s">
        <v>56716</v>
      </c>
    </row>
    <row r="6942" spans="1:12" ht="11.25" x14ac:dyDescent="0.2">
      <c r="A6942" s="45" t="s">
        <v>56645</v>
      </c>
      <c r="B6942" s="45" t="s">
        <v>56646</v>
      </c>
      <c r="C6942" s="51" t="s">
        <v>56647</v>
      </c>
      <c r="D6942" s="51" t="s">
        <v>56648</v>
      </c>
      <c r="E6942" s="45" t="s">
        <v>18122</v>
      </c>
      <c r="F6942" s="45" t="s">
        <v>18123</v>
      </c>
      <c r="G6942" s="45" t="s">
        <v>50584</v>
      </c>
      <c r="H6942" s="56"/>
      <c r="I6942" s="56" t="s">
        <v>50564</v>
      </c>
      <c r="J6942" s="56"/>
      <c r="K6942" s="57"/>
      <c r="L6942" s="56" t="s">
        <v>56716</v>
      </c>
    </row>
    <row r="6943" spans="1:12" ht="11.25" x14ac:dyDescent="0.2">
      <c r="A6943" s="46" t="s">
        <v>7855</v>
      </c>
      <c r="B6943" s="46" t="s">
        <v>55098</v>
      </c>
      <c r="C6943" s="58" t="str">
        <f>"10988823"</f>
        <v>10988823</v>
      </c>
      <c r="D6943" s="58" t="str">
        <f>""</f>
        <v/>
      </c>
      <c r="E6943" s="46" t="s">
        <v>272</v>
      </c>
      <c r="F6943" s="46" t="s">
        <v>17759</v>
      </c>
      <c r="G6943" s="46" t="s">
        <v>50584</v>
      </c>
      <c r="H6943" s="48" t="s">
        <v>56716</v>
      </c>
      <c r="I6943" s="48" t="s">
        <v>50564</v>
      </c>
      <c r="J6943" s="48"/>
      <c r="K6943" s="50" t="s">
        <v>56716</v>
      </c>
      <c r="L6943" s="48" t="s">
        <v>56716</v>
      </c>
    </row>
    <row r="6944" spans="1:12" ht="11.25" x14ac:dyDescent="0.2">
      <c r="A6944" s="46" t="s">
        <v>4671</v>
      </c>
      <c r="B6944" s="46" t="s">
        <v>55099</v>
      </c>
      <c r="C6944" s="58" t="str">
        <f>"09523278"</f>
        <v>09523278</v>
      </c>
      <c r="D6944" s="58" t="str">
        <f>"15322823"</f>
        <v>15322823</v>
      </c>
      <c r="E6944" s="46" t="s">
        <v>831</v>
      </c>
      <c r="F6944" s="46" t="s">
        <v>50646</v>
      </c>
      <c r="G6944" s="46" t="s">
        <v>50584</v>
      </c>
      <c r="H6944" s="48" t="s">
        <v>56716</v>
      </c>
      <c r="I6944" s="48" t="s">
        <v>50564</v>
      </c>
      <c r="J6944" s="48" t="s">
        <v>56716</v>
      </c>
      <c r="K6944" s="50" t="s">
        <v>56716</v>
      </c>
      <c r="L6944" s="48" t="s">
        <v>56716</v>
      </c>
    </row>
    <row r="6945" spans="1:12" ht="11.25" x14ac:dyDescent="0.2">
      <c r="A6945" s="46" t="s">
        <v>3472</v>
      </c>
      <c r="B6945" s="46" t="s">
        <v>3472</v>
      </c>
      <c r="C6945" s="58" t="str">
        <f>"02704137"</f>
        <v>02704137</v>
      </c>
      <c r="D6945" s="58" t="str">
        <f>"10970045"</f>
        <v>10970045</v>
      </c>
      <c r="E6945" s="46" t="s">
        <v>517</v>
      </c>
      <c r="F6945" s="46" t="s">
        <v>17759</v>
      </c>
      <c r="G6945" s="46" t="s">
        <v>50584</v>
      </c>
      <c r="H6945" s="48" t="s">
        <v>56716</v>
      </c>
      <c r="I6945" s="48" t="s">
        <v>50564</v>
      </c>
      <c r="J6945" s="48" t="s">
        <v>56716</v>
      </c>
      <c r="K6945" s="50" t="s">
        <v>56716</v>
      </c>
      <c r="L6945" s="48" t="s">
        <v>56716</v>
      </c>
    </row>
    <row r="6946" spans="1:12" ht="11.25" x14ac:dyDescent="0.2">
      <c r="A6946" s="46" t="s">
        <v>15742</v>
      </c>
      <c r="B6946" s="46" t="s">
        <v>15742</v>
      </c>
      <c r="C6946" s="58" t="str">
        <f>"20903111"</f>
        <v>20903111</v>
      </c>
      <c r="D6946" s="58" t="str">
        <f>"2090312X"</f>
        <v>2090312X</v>
      </c>
      <c r="E6946" s="46" t="s">
        <v>1412</v>
      </c>
      <c r="F6946" s="46" t="s">
        <v>17759</v>
      </c>
      <c r="G6946" s="46" t="s">
        <v>50584</v>
      </c>
      <c r="H6946" s="48" t="s">
        <v>56716</v>
      </c>
      <c r="I6946" s="48" t="s">
        <v>50564</v>
      </c>
      <c r="J6946" s="48" t="s">
        <v>56716</v>
      </c>
      <c r="K6946" s="57"/>
      <c r="L6946" s="48"/>
    </row>
    <row r="6947" spans="1:12" ht="11.25" x14ac:dyDescent="0.2">
      <c r="A6947" s="46" t="s">
        <v>7583</v>
      </c>
      <c r="B6947" s="46" t="s">
        <v>55100</v>
      </c>
      <c r="C6947" s="58" t="str">
        <f>"13657852"</f>
        <v>13657852</v>
      </c>
      <c r="D6947" s="58" t="str">
        <f>"14765608"</f>
        <v>14765608</v>
      </c>
      <c r="E6947" s="46" t="s">
        <v>315</v>
      </c>
      <c r="F6947" s="46" t="s">
        <v>50646</v>
      </c>
      <c r="G6947" s="46" t="s">
        <v>50584</v>
      </c>
      <c r="H6947" s="48" t="s">
        <v>56716</v>
      </c>
      <c r="I6947" s="48" t="s">
        <v>50564</v>
      </c>
      <c r="J6947" s="48" t="s">
        <v>56716</v>
      </c>
      <c r="K6947" s="50" t="s">
        <v>56716</v>
      </c>
      <c r="L6947" s="48" t="s">
        <v>56716</v>
      </c>
    </row>
    <row r="6948" spans="1:12" ht="11.25" x14ac:dyDescent="0.2">
      <c r="A6948" s="46" t="s">
        <v>56218</v>
      </c>
      <c r="B6948" s="46" t="s">
        <v>56219</v>
      </c>
      <c r="C6948" s="58" t="str">
        <f>"22878882"</f>
        <v>22878882</v>
      </c>
      <c r="D6948" s="58" t="str">
        <f>"2287903X"</f>
        <v>2287903X</v>
      </c>
      <c r="E6948" s="46" t="s">
        <v>91</v>
      </c>
      <c r="F6948" s="46" t="s">
        <v>18001</v>
      </c>
      <c r="G6948" s="46" t="s">
        <v>50584</v>
      </c>
      <c r="H6948" s="48" t="s">
        <v>56716</v>
      </c>
      <c r="I6948" s="48" t="s">
        <v>50564</v>
      </c>
      <c r="J6948" s="48" t="s">
        <v>56716</v>
      </c>
      <c r="K6948" s="50" t="s">
        <v>56716</v>
      </c>
      <c r="L6948" s="48"/>
    </row>
    <row r="6949" spans="1:12" ht="11.25" x14ac:dyDescent="0.2">
      <c r="A6949" s="46" t="s">
        <v>3453</v>
      </c>
      <c r="B6949" s="46" t="s">
        <v>55101</v>
      </c>
      <c r="C6949" s="58" t="str">
        <f>"03093646"</f>
        <v>03093646</v>
      </c>
      <c r="D6949" s="58" t="str">
        <f>"17461553"</f>
        <v>17461553</v>
      </c>
      <c r="E6949" s="46" t="s">
        <v>97</v>
      </c>
      <c r="F6949" s="46" t="s">
        <v>50646</v>
      </c>
      <c r="G6949" s="46" t="s">
        <v>50584</v>
      </c>
      <c r="H6949" s="48" t="s">
        <v>56716</v>
      </c>
      <c r="I6949" s="48" t="s">
        <v>50564</v>
      </c>
      <c r="J6949" s="48"/>
      <c r="K6949" s="57"/>
      <c r="L6949" s="48" t="s">
        <v>56716</v>
      </c>
    </row>
    <row r="6950" spans="1:12" ht="11.25" x14ac:dyDescent="0.2">
      <c r="A6950" s="46" t="s">
        <v>15199</v>
      </c>
      <c r="B6950" s="46" t="s">
        <v>45287</v>
      </c>
      <c r="C6950" s="58" t="str">
        <f>"1674800X"</f>
        <v>1674800X</v>
      </c>
      <c r="D6950" s="58" t="str">
        <f>"16748018"</f>
        <v>16748018</v>
      </c>
      <c r="E6950" s="46" t="s">
        <v>15202</v>
      </c>
      <c r="F6950" s="46" t="s">
        <v>17958</v>
      </c>
      <c r="G6950" s="46" t="s">
        <v>50584</v>
      </c>
      <c r="H6950" s="48" t="s">
        <v>56716</v>
      </c>
      <c r="I6950" s="48" t="s">
        <v>50564</v>
      </c>
      <c r="J6950" s="48" t="s">
        <v>56716</v>
      </c>
      <c r="K6950" s="50" t="s">
        <v>56716</v>
      </c>
      <c r="L6950" s="48" t="s">
        <v>56716</v>
      </c>
    </row>
    <row r="6951" spans="1:12" ht="11.25" x14ac:dyDescent="0.2">
      <c r="A6951" s="46" t="s">
        <v>6407</v>
      </c>
      <c r="B6951" s="46" t="s">
        <v>55102</v>
      </c>
      <c r="C6951" s="58" t="str">
        <f>"09298665"</f>
        <v>09298665</v>
      </c>
      <c r="D6951" s="58" t="str">
        <f>"18755305"</f>
        <v>18755305</v>
      </c>
      <c r="E6951" s="46" t="s">
        <v>6405</v>
      </c>
      <c r="F6951" s="46" t="s">
        <v>18001</v>
      </c>
      <c r="G6951" s="46" t="s">
        <v>50584</v>
      </c>
      <c r="H6951" s="48" t="s">
        <v>56716</v>
      </c>
      <c r="I6951" s="48" t="s">
        <v>50564</v>
      </c>
      <c r="J6951" s="48"/>
      <c r="K6951" s="57"/>
      <c r="L6951" s="48" t="s">
        <v>56716</v>
      </c>
    </row>
    <row r="6952" spans="1:12" ht="11.25" x14ac:dyDescent="0.2">
      <c r="A6952" s="46" t="s">
        <v>10145</v>
      </c>
      <c r="B6952" s="46" t="s">
        <v>55103</v>
      </c>
      <c r="C6952" s="58" t="str">
        <f>"17410126"</f>
        <v>17410126</v>
      </c>
      <c r="D6952" s="58" t="str">
        <f>"17410134"</f>
        <v>17410134</v>
      </c>
      <c r="E6952" s="46" t="s">
        <v>55</v>
      </c>
      <c r="F6952" s="46" t="s">
        <v>50646</v>
      </c>
      <c r="G6952" s="46" t="s">
        <v>50584</v>
      </c>
      <c r="H6952" s="48" t="s">
        <v>56716</v>
      </c>
      <c r="I6952" s="48" t="s">
        <v>50564</v>
      </c>
      <c r="J6952" s="48" t="s">
        <v>56716</v>
      </c>
      <c r="K6952" s="57"/>
      <c r="L6952" s="48" t="s">
        <v>56716</v>
      </c>
    </row>
    <row r="6953" spans="1:12" ht="11.25" x14ac:dyDescent="0.2">
      <c r="A6953" s="45" t="s">
        <v>45299</v>
      </c>
      <c r="B6953" s="45" t="s">
        <v>45301</v>
      </c>
      <c r="C6953" s="51" t="s">
        <v>45303</v>
      </c>
      <c r="D6953" s="51" t="s">
        <v>45302</v>
      </c>
      <c r="E6953" s="45" t="s">
        <v>601</v>
      </c>
      <c r="F6953" s="45" t="s">
        <v>17759</v>
      </c>
      <c r="G6953" s="45" t="s">
        <v>50584</v>
      </c>
      <c r="H6953" s="56"/>
      <c r="I6953" s="56" t="s">
        <v>50564</v>
      </c>
      <c r="J6953" s="56"/>
      <c r="K6953" s="57"/>
      <c r="L6953" s="56" t="s">
        <v>56716</v>
      </c>
    </row>
    <row r="6954" spans="1:12" ht="11.25" x14ac:dyDescent="0.2">
      <c r="A6954" s="46" t="s">
        <v>10206</v>
      </c>
      <c r="B6954" s="46" t="s">
        <v>55104</v>
      </c>
      <c r="C6954" s="58" t="str">
        <f>"15723887"</f>
        <v>15723887</v>
      </c>
      <c r="D6954" s="58" t="str">
        <f>"15734943"</f>
        <v>15734943</v>
      </c>
      <c r="E6954" s="46" t="s">
        <v>56305</v>
      </c>
      <c r="F6954" s="46" t="s">
        <v>17759</v>
      </c>
      <c r="G6954" s="46" t="s">
        <v>50584</v>
      </c>
      <c r="H6954" s="48" t="s">
        <v>56716</v>
      </c>
      <c r="I6954" s="48" t="s">
        <v>50564</v>
      </c>
      <c r="J6954" s="48"/>
      <c r="K6954" s="50" t="s">
        <v>56716</v>
      </c>
      <c r="L6954" s="48" t="s">
        <v>56716</v>
      </c>
    </row>
    <row r="6955" spans="1:12" ht="11.25" x14ac:dyDescent="0.2">
      <c r="A6955" s="46" t="s">
        <v>13176</v>
      </c>
      <c r="B6955" s="46" t="s">
        <v>55105</v>
      </c>
      <c r="C6955" s="58" t="str">
        <f>"18713025"</f>
        <v>18713025</v>
      </c>
      <c r="D6955" s="58" t="str">
        <f>""</f>
        <v/>
      </c>
      <c r="E6955" s="46" t="s">
        <v>18876</v>
      </c>
      <c r="F6955" s="46" t="s">
        <v>18001</v>
      </c>
      <c r="G6955" s="46" t="s">
        <v>50584</v>
      </c>
      <c r="H6955" s="48" t="s">
        <v>56716</v>
      </c>
      <c r="I6955" s="48" t="s">
        <v>50565</v>
      </c>
      <c r="J6955" s="48" t="s">
        <v>56716</v>
      </c>
      <c r="K6955" s="57"/>
      <c r="L6955" s="48"/>
    </row>
    <row r="6956" spans="1:12" ht="11.25" x14ac:dyDescent="0.2">
      <c r="A6956" s="46" t="s">
        <v>5767</v>
      </c>
      <c r="B6956" s="46" t="s">
        <v>55106</v>
      </c>
      <c r="C6956" s="58" t="str">
        <f>"09618368"</f>
        <v>09618368</v>
      </c>
      <c r="D6956" s="58" t="str">
        <f>"1469896X"</f>
        <v>1469896X</v>
      </c>
      <c r="E6956" s="46" t="s">
        <v>35</v>
      </c>
      <c r="F6956" s="46" t="s">
        <v>50646</v>
      </c>
      <c r="G6956" s="46" t="s">
        <v>50584</v>
      </c>
      <c r="H6956" s="48" t="s">
        <v>56716</v>
      </c>
      <c r="I6956" s="48" t="s">
        <v>50564</v>
      </c>
      <c r="J6956" s="48" t="s">
        <v>56716</v>
      </c>
      <c r="K6956" s="57"/>
      <c r="L6956" s="48" t="s">
        <v>56716</v>
      </c>
    </row>
    <row r="6957" spans="1:12" ht="11.25" x14ac:dyDescent="0.2">
      <c r="A6957" s="46" t="s">
        <v>13053</v>
      </c>
      <c r="B6957" s="46" t="s">
        <v>55107</v>
      </c>
      <c r="C6957" s="58" t="str">
        <f>"08873585"</f>
        <v>08873585</v>
      </c>
      <c r="D6957" s="58" t="str">
        <f>"10970134"</f>
        <v>10970134</v>
      </c>
      <c r="E6957" s="46" t="s">
        <v>517</v>
      </c>
      <c r="F6957" s="46" t="s">
        <v>17759</v>
      </c>
      <c r="G6957" s="46" t="s">
        <v>50584</v>
      </c>
      <c r="H6957" s="48" t="s">
        <v>56716</v>
      </c>
      <c r="I6957" s="48" t="s">
        <v>50564</v>
      </c>
      <c r="J6957" s="48" t="s">
        <v>56716</v>
      </c>
      <c r="K6957" s="50" t="s">
        <v>56716</v>
      </c>
      <c r="L6957" s="48" t="s">
        <v>56716</v>
      </c>
    </row>
    <row r="6958" spans="1:12" ht="11.25" x14ac:dyDescent="0.2">
      <c r="A6958" s="46" t="s">
        <v>9758</v>
      </c>
      <c r="B6958" s="46" t="s">
        <v>55108</v>
      </c>
      <c r="C6958" s="58" t="str">
        <f>""</f>
        <v/>
      </c>
      <c r="D6958" s="58" t="str">
        <f>"14775956"</f>
        <v>14775956</v>
      </c>
      <c r="E6958" s="46" t="s">
        <v>2299</v>
      </c>
      <c r="F6958" s="46" t="s">
        <v>50646</v>
      </c>
      <c r="G6958" s="46" t="s">
        <v>50584</v>
      </c>
      <c r="H6958" s="48" t="s">
        <v>56716</v>
      </c>
      <c r="I6958" s="48" t="s">
        <v>50564</v>
      </c>
      <c r="J6958" s="48"/>
      <c r="K6958" s="50" t="s">
        <v>56716</v>
      </c>
      <c r="L6958" s="48"/>
    </row>
    <row r="6959" spans="1:12" ht="11.25" x14ac:dyDescent="0.2">
      <c r="A6959" s="46" t="s">
        <v>9106</v>
      </c>
      <c r="B6959" s="46" t="s">
        <v>9106</v>
      </c>
      <c r="C6959" s="58" t="str">
        <f>"16159853"</f>
        <v>16159853</v>
      </c>
      <c r="D6959" s="58" t="str">
        <f>"16159861"</f>
        <v>16159861</v>
      </c>
      <c r="E6959" s="46" t="s">
        <v>651</v>
      </c>
      <c r="F6959" s="46" t="s">
        <v>18158</v>
      </c>
      <c r="G6959" s="46" t="s">
        <v>50584</v>
      </c>
      <c r="H6959" s="48" t="s">
        <v>56716</v>
      </c>
      <c r="I6959" s="48" t="s">
        <v>50564</v>
      </c>
      <c r="J6959" s="48" t="s">
        <v>56716</v>
      </c>
      <c r="K6959" s="50" t="s">
        <v>56716</v>
      </c>
      <c r="L6959" s="48" t="s">
        <v>56716</v>
      </c>
    </row>
    <row r="6960" spans="1:12" ht="11.25" x14ac:dyDescent="0.2">
      <c r="A6960" s="46" t="s">
        <v>12297</v>
      </c>
      <c r="B6960" s="46" t="s">
        <v>55109</v>
      </c>
      <c r="C6960" s="58" t="str">
        <f>"18628346"</f>
        <v>18628346</v>
      </c>
      <c r="D6960" s="58" t="str">
        <f>"18628354"</f>
        <v>18628354</v>
      </c>
      <c r="E6960" s="46" t="s">
        <v>651</v>
      </c>
      <c r="F6960" s="46" t="s">
        <v>18158</v>
      </c>
      <c r="G6960" s="46" t="s">
        <v>50584</v>
      </c>
      <c r="H6960" s="48" t="s">
        <v>56716</v>
      </c>
      <c r="I6960" s="48" t="s">
        <v>50564</v>
      </c>
      <c r="J6960" s="48" t="s">
        <v>56716</v>
      </c>
      <c r="K6960" s="50" t="s">
        <v>56716</v>
      </c>
      <c r="L6960" s="48" t="s">
        <v>56716</v>
      </c>
    </row>
    <row r="6961" spans="1:12" ht="11.25" x14ac:dyDescent="0.2">
      <c r="A6961" s="46" t="s">
        <v>12746</v>
      </c>
      <c r="B6961" s="46" t="s">
        <v>55110</v>
      </c>
      <c r="C6961" s="58" t="str">
        <f>"18627595"</f>
        <v>18627595</v>
      </c>
      <c r="D6961" s="58" t="str">
        <f>"18627609"</f>
        <v>18627609</v>
      </c>
      <c r="E6961" s="46" t="s">
        <v>651</v>
      </c>
      <c r="F6961" s="46" t="s">
        <v>18158</v>
      </c>
      <c r="G6961" s="46" t="s">
        <v>50584</v>
      </c>
      <c r="H6961" s="48" t="s">
        <v>56716</v>
      </c>
      <c r="I6961" s="48" t="s">
        <v>50564</v>
      </c>
      <c r="J6961" s="48" t="s">
        <v>56716</v>
      </c>
      <c r="K6961" s="57"/>
      <c r="L6961" s="48"/>
    </row>
    <row r="6962" spans="1:12" ht="11.25" x14ac:dyDescent="0.2">
      <c r="A6962" s="46" t="s">
        <v>15584</v>
      </c>
      <c r="B6962" s="46" t="s">
        <v>15584</v>
      </c>
      <c r="C6962" s="58" t="str">
        <f>""</f>
        <v/>
      </c>
      <c r="D6962" s="58" t="str">
        <f>"11786418"</f>
        <v>11786418</v>
      </c>
      <c r="E6962" s="46" t="s">
        <v>11251</v>
      </c>
      <c r="F6962" s="46" t="s">
        <v>19483</v>
      </c>
      <c r="G6962" s="46" t="s">
        <v>50584</v>
      </c>
      <c r="H6962" s="48" t="s">
        <v>56716</v>
      </c>
      <c r="I6962" s="48" t="s">
        <v>50564</v>
      </c>
      <c r="J6962" s="48"/>
      <c r="K6962" s="57"/>
      <c r="L6962" s="48"/>
    </row>
    <row r="6963" spans="1:12" ht="11.25" x14ac:dyDescent="0.2">
      <c r="A6963" s="46" t="s">
        <v>14915</v>
      </c>
      <c r="B6963" s="46" t="s">
        <v>55111</v>
      </c>
      <c r="C6963" s="58" t="str">
        <f>"19352824"</f>
        <v>19352824</v>
      </c>
      <c r="D6963" s="58" t="str">
        <f>""</f>
        <v/>
      </c>
      <c r="E6963" s="46" t="s">
        <v>11878</v>
      </c>
      <c r="F6963" s="46" t="s">
        <v>17759</v>
      </c>
      <c r="G6963" s="46" t="s">
        <v>50584</v>
      </c>
      <c r="H6963" s="48" t="s">
        <v>56716</v>
      </c>
      <c r="I6963" s="48" t="s">
        <v>50564</v>
      </c>
      <c r="J6963" s="48"/>
      <c r="K6963" s="57"/>
      <c r="L6963" s="48"/>
    </row>
    <row r="6964" spans="1:12" ht="11.25" x14ac:dyDescent="0.2">
      <c r="A6964" s="45" t="s">
        <v>45326</v>
      </c>
      <c r="B6964" s="45" t="s">
        <v>45326</v>
      </c>
      <c r="C6964" s="51" t="s">
        <v>45330</v>
      </c>
      <c r="D6964" s="51" t="s">
        <v>45329</v>
      </c>
      <c r="E6964" s="45" t="s">
        <v>20465</v>
      </c>
      <c r="F6964" s="45" t="s">
        <v>18158</v>
      </c>
      <c r="G6964" s="45" t="s">
        <v>50584</v>
      </c>
      <c r="H6964" s="56"/>
      <c r="I6964" s="56" t="s">
        <v>50564</v>
      </c>
      <c r="J6964" s="56"/>
      <c r="K6964" s="57"/>
      <c r="L6964" s="56" t="s">
        <v>56716</v>
      </c>
    </row>
    <row r="6965" spans="1:12" ht="11.25" x14ac:dyDescent="0.2">
      <c r="A6965" s="45" t="s">
        <v>45332</v>
      </c>
      <c r="B6965" s="45" t="s">
        <v>45332</v>
      </c>
      <c r="C6965" s="51" t="s">
        <v>45335</v>
      </c>
      <c r="D6965" s="51" t="s">
        <v>45334</v>
      </c>
      <c r="E6965" s="45" t="s">
        <v>17783</v>
      </c>
      <c r="F6965" s="45" t="s">
        <v>18288</v>
      </c>
      <c r="G6965" s="45" t="s">
        <v>50594</v>
      </c>
      <c r="H6965" s="56"/>
      <c r="I6965" s="56" t="s">
        <v>50564</v>
      </c>
      <c r="J6965" s="56"/>
      <c r="K6965" s="57"/>
      <c r="L6965" s="56" t="s">
        <v>56716</v>
      </c>
    </row>
    <row r="6966" spans="1:12" ht="11.25" x14ac:dyDescent="0.2">
      <c r="A6966" s="45" t="s">
        <v>45338</v>
      </c>
      <c r="B6966" s="45" t="s">
        <v>45340</v>
      </c>
      <c r="C6966" s="51" t="s">
        <v>45342</v>
      </c>
      <c r="D6966" s="51"/>
      <c r="E6966" s="45" t="s">
        <v>19282</v>
      </c>
      <c r="F6966" s="45" t="s">
        <v>17759</v>
      </c>
      <c r="G6966" s="45" t="s">
        <v>50584</v>
      </c>
      <c r="H6966" s="56"/>
      <c r="I6966" s="56" t="s">
        <v>50564</v>
      </c>
      <c r="J6966" s="56"/>
      <c r="K6966" s="57"/>
      <c r="L6966" s="56" t="s">
        <v>56716</v>
      </c>
    </row>
    <row r="6967" spans="1:12" ht="11.25" x14ac:dyDescent="0.2">
      <c r="A6967" s="46" t="s">
        <v>3465</v>
      </c>
      <c r="B6967" s="46" t="s">
        <v>55112</v>
      </c>
      <c r="C6967" s="58" t="str">
        <f>"00332526"</f>
        <v>00332526</v>
      </c>
      <c r="D6967" s="58" t="str">
        <f>""</f>
        <v/>
      </c>
      <c r="E6967" s="46" t="s">
        <v>3134</v>
      </c>
      <c r="F6967" s="46" t="s">
        <v>17967</v>
      </c>
      <c r="G6967" s="46" t="s">
        <v>50612</v>
      </c>
      <c r="H6967" s="48" t="s">
        <v>56716</v>
      </c>
      <c r="I6967" s="48" t="s">
        <v>50564</v>
      </c>
      <c r="J6967" s="48"/>
      <c r="K6967" s="57"/>
      <c r="L6967" s="48"/>
    </row>
    <row r="6968" spans="1:12" ht="11.25" x14ac:dyDescent="0.2">
      <c r="A6968" s="45" t="s">
        <v>45344</v>
      </c>
      <c r="B6968" s="45" t="s">
        <v>45346</v>
      </c>
      <c r="C6968" s="51" t="s">
        <v>45347</v>
      </c>
      <c r="D6968" s="51"/>
      <c r="E6968" s="45" t="s">
        <v>56649</v>
      </c>
      <c r="F6968" s="45" t="s">
        <v>17967</v>
      </c>
      <c r="G6968" s="45" t="s">
        <v>50611</v>
      </c>
      <c r="H6968" s="56"/>
      <c r="I6968" s="56" t="s">
        <v>50564</v>
      </c>
      <c r="J6968" s="56"/>
      <c r="K6968" s="57"/>
      <c r="L6968" s="56" t="s">
        <v>56716</v>
      </c>
    </row>
    <row r="6969" spans="1:12" ht="11.25" x14ac:dyDescent="0.2">
      <c r="A6969" s="46" t="s">
        <v>11982</v>
      </c>
      <c r="B6969" s="46" t="s">
        <v>55113</v>
      </c>
      <c r="C6969" s="58" t="str">
        <f>"18955770"</f>
        <v>18955770</v>
      </c>
      <c r="D6969" s="58" t="str">
        <f>"18974317"</f>
        <v>18974317</v>
      </c>
      <c r="E6969" s="46" t="s">
        <v>3134</v>
      </c>
      <c r="F6969" s="46" t="s">
        <v>17967</v>
      </c>
      <c r="G6969" s="46" t="s">
        <v>50612</v>
      </c>
      <c r="H6969" s="48" t="s">
        <v>56716</v>
      </c>
      <c r="I6969" s="48" t="s">
        <v>50564</v>
      </c>
      <c r="J6969" s="48"/>
      <c r="K6969" s="57"/>
      <c r="L6969" s="48"/>
    </row>
    <row r="6970" spans="1:12" ht="11.25" x14ac:dyDescent="0.2">
      <c r="A6970" s="46" t="s">
        <v>12577</v>
      </c>
      <c r="B6970" s="46" t="s">
        <v>55114</v>
      </c>
      <c r="C6970" s="58" t="str">
        <f>"18969666"</f>
        <v>18969666</v>
      </c>
      <c r="D6970" s="58" t="str">
        <f>""</f>
        <v/>
      </c>
      <c r="E6970" s="46" t="s">
        <v>3134</v>
      </c>
      <c r="F6970" s="46" t="s">
        <v>17967</v>
      </c>
      <c r="G6970" s="46" t="s">
        <v>50612</v>
      </c>
      <c r="H6970" s="48" t="s">
        <v>56716</v>
      </c>
      <c r="I6970" s="48" t="s">
        <v>50564</v>
      </c>
      <c r="J6970" s="48"/>
      <c r="K6970" s="57"/>
      <c r="L6970" s="48"/>
    </row>
    <row r="6971" spans="1:12" ht="11.25" x14ac:dyDescent="0.2">
      <c r="A6971" s="45" t="s">
        <v>45349</v>
      </c>
      <c r="B6971" s="45" t="s">
        <v>45351</v>
      </c>
      <c r="C6971" s="51" t="s">
        <v>45352</v>
      </c>
      <c r="D6971" s="51"/>
      <c r="E6971" s="45" t="s">
        <v>45353</v>
      </c>
      <c r="F6971" s="45" t="s">
        <v>17967</v>
      </c>
      <c r="G6971" s="45" t="s">
        <v>50611</v>
      </c>
      <c r="H6971" s="56"/>
      <c r="I6971" s="56" t="s">
        <v>50564</v>
      </c>
      <c r="J6971" s="56"/>
      <c r="K6971" s="57"/>
      <c r="L6971" s="56" t="s">
        <v>56716</v>
      </c>
    </row>
    <row r="6972" spans="1:12" ht="11.25" x14ac:dyDescent="0.2">
      <c r="A6972" s="46" t="s">
        <v>10440</v>
      </c>
      <c r="B6972" s="46" t="s">
        <v>55115</v>
      </c>
      <c r="C6972" s="58" t="str">
        <f>"16438876"</f>
        <v>16438876</v>
      </c>
      <c r="D6972" s="58" t="str">
        <f>"22990038"</f>
        <v>22990038</v>
      </c>
      <c r="E6972" s="46" t="s">
        <v>3134</v>
      </c>
      <c r="F6972" s="46" t="s">
        <v>17967</v>
      </c>
      <c r="G6972" s="46" t="s">
        <v>50612</v>
      </c>
      <c r="H6972" s="48" t="s">
        <v>56716</v>
      </c>
      <c r="I6972" s="48" t="s">
        <v>50564</v>
      </c>
      <c r="J6972" s="48"/>
      <c r="K6972" s="57"/>
      <c r="L6972" s="48"/>
    </row>
    <row r="6973" spans="1:12" ht="11.25" x14ac:dyDescent="0.2">
      <c r="A6973" s="46" t="s">
        <v>7314</v>
      </c>
      <c r="B6973" s="46" t="s">
        <v>55116</v>
      </c>
      <c r="C6973" s="58" t="str">
        <f>"0137723X"</f>
        <v>0137723X</v>
      </c>
      <c r="D6973" s="58" t="str">
        <f>"20835752"</f>
        <v>20835752</v>
      </c>
      <c r="E6973" s="46" t="s">
        <v>6797</v>
      </c>
      <c r="F6973" s="46" t="s">
        <v>17967</v>
      </c>
      <c r="G6973" s="46" t="s">
        <v>50612</v>
      </c>
      <c r="H6973" s="48" t="s">
        <v>56716</v>
      </c>
      <c r="I6973" s="48" t="s">
        <v>50564</v>
      </c>
      <c r="J6973" s="48"/>
      <c r="K6973" s="57"/>
      <c r="L6973" s="48"/>
    </row>
    <row r="6974" spans="1:12" ht="11.25" x14ac:dyDescent="0.2">
      <c r="A6974" s="46" t="s">
        <v>12195</v>
      </c>
      <c r="B6974" s="46" t="s">
        <v>12195</v>
      </c>
      <c r="C6974" s="58" t="str">
        <f>"16967240"</f>
        <v>16967240</v>
      </c>
      <c r="D6974" s="58" t="str">
        <f>"19888287"</f>
        <v>19888287</v>
      </c>
      <c r="E6974" s="46" t="s">
        <v>56489</v>
      </c>
      <c r="F6974" s="46" t="s">
        <v>18439</v>
      </c>
      <c r="G6974" s="46" t="s">
        <v>50632</v>
      </c>
      <c r="H6974" s="48" t="s">
        <v>56716</v>
      </c>
      <c r="I6974" s="48" t="s">
        <v>50564</v>
      </c>
      <c r="J6974" s="48"/>
      <c r="K6974" s="57"/>
      <c r="L6974" s="48"/>
    </row>
    <row r="6975" spans="1:12" ht="11.25" x14ac:dyDescent="0.2">
      <c r="A6975" s="45" t="s">
        <v>45355</v>
      </c>
      <c r="B6975" s="45" t="s">
        <v>45355</v>
      </c>
      <c r="C6975" s="51" t="s">
        <v>45358</v>
      </c>
      <c r="D6975" s="51" t="s">
        <v>45357</v>
      </c>
      <c r="E6975" s="45" t="s">
        <v>45359</v>
      </c>
      <c r="F6975" s="45" t="s">
        <v>18439</v>
      </c>
      <c r="G6975" s="45" t="s">
        <v>50633</v>
      </c>
      <c r="H6975" s="56"/>
      <c r="I6975" s="56" t="s">
        <v>50564</v>
      </c>
      <c r="J6975" s="56"/>
      <c r="K6975" s="57"/>
      <c r="L6975" s="56" t="s">
        <v>56716</v>
      </c>
    </row>
    <row r="6976" spans="1:12" ht="11.25" x14ac:dyDescent="0.2">
      <c r="A6976" s="46" t="s">
        <v>4576</v>
      </c>
      <c r="B6976" s="46" t="s">
        <v>4576</v>
      </c>
      <c r="C6976" s="58" t="str">
        <f>"03503186"</f>
        <v>03503186</v>
      </c>
      <c r="D6976" s="58" t="str">
        <f>""</f>
        <v/>
      </c>
      <c r="E6976" s="46" t="s">
        <v>4578</v>
      </c>
      <c r="F6976" s="46" t="s">
        <v>18079</v>
      </c>
      <c r="G6976" s="46" t="s">
        <v>50626</v>
      </c>
      <c r="H6976" s="48" t="s">
        <v>56716</v>
      </c>
      <c r="I6976" s="48" t="s">
        <v>50564</v>
      </c>
      <c r="J6976" s="48"/>
      <c r="K6976" s="57"/>
      <c r="L6976" s="48"/>
    </row>
    <row r="6977" spans="1:12" ht="11.25" x14ac:dyDescent="0.2">
      <c r="A6977" s="46" t="s">
        <v>7083</v>
      </c>
      <c r="B6977" s="46" t="s">
        <v>55117</v>
      </c>
      <c r="C6977" s="58" t="str">
        <f>"11345934"</f>
        <v>11345934</v>
      </c>
      <c r="D6977" s="58" t="str">
        <f>"15788962"</f>
        <v>15788962</v>
      </c>
      <c r="E6977" s="46" t="s">
        <v>175</v>
      </c>
      <c r="F6977" s="46" t="s">
        <v>18439</v>
      </c>
      <c r="G6977" s="46" t="s">
        <v>56480</v>
      </c>
      <c r="H6977" s="48" t="s">
        <v>56716</v>
      </c>
      <c r="I6977" s="48" t="s">
        <v>50564</v>
      </c>
      <c r="J6977" s="48"/>
      <c r="K6977" s="50" t="s">
        <v>56716</v>
      </c>
      <c r="L6977" s="48"/>
    </row>
    <row r="6978" spans="1:12" ht="11.25" x14ac:dyDescent="0.2">
      <c r="A6978" s="46" t="s">
        <v>17444</v>
      </c>
      <c r="B6978" s="46" t="s">
        <v>55118</v>
      </c>
      <c r="C6978" s="58" t="str">
        <f>""</f>
        <v/>
      </c>
      <c r="D6978" s="58" t="str">
        <f>"2230326X"</f>
        <v>2230326X</v>
      </c>
      <c r="E6978" s="46" t="s">
        <v>11078</v>
      </c>
      <c r="F6978" s="46" t="s">
        <v>50646</v>
      </c>
      <c r="G6978" s="46" t="s">
        <v>50584</v>
      </c>
      <c r="H6978" s="48" t="s">
        <v>56716</v>
      </c>
      <c r="I6978" s="48" t="s">
        <v>50564</v>
      </c>
      <c r="J6978" s="48"/>
      <c r="K6978" s="57"/>
      <c r="L6978" s="48"/>
    </row>
    <row r="6979" spans="1:12" ht="11.25" x14ac:dyDescent="0.2">
      <c r="A6979" s="46" t="s">
        <v>12246</v>
      </c>
      <c r="B6979" s="46" t="s">
        <v>12246</v>
      </c>
      <c r="C6979" s="58" t="str">
        <f>"17329841"</f>
        <v>17329841</v>
      </c>
      <c r="D6979" s="58" t="str">
        <f>""</f>
        <v/>
      </c>
      <c r="E6979" s="46" t="s">
        <v>1462</v>
      </c>
      <c r="F6979" s="46" t="s">
        <v>17967</v>
      </c>
      <c r="G6979" s="46" t="s">
        <v>50612</v>
      </c>
      <c r="H6979" s="48" t="s">
        <v>56716</v>
      </c>
      <c r="I6979" s="48" t="s">
        <v>50564</v>
      </c>
      <c r="J6979" s="48"/>
      <c r="K6979" s="57"/>
      <c r="L6979" s="48"/>
    </row>
    <row r="6980" spans="1:12" ht="11.25" x14ac:dyDescent="0.2">
      <c r="A6980" s="46" t="s">
        <v>5145</v>
      </c>
      <c r="B6980" s="46" t="s">
        <v>55119</v>
      </c>
      <c r="C6980" s="58" t="str">
        <f>"03535053"</f>
        <v>03535053</v>
      </c>
      <c r="D6980" s="58" t="str">
        <f>""</f>
        <v/>
      </c>
      <c r="E6980" s="46" t="s">
        <v>5147</v>
      </c>
      <c r="F6980" s="46" t="s">
        <v>18079</v>
      </c>
      <c r="G6980" s="46" t="s">
        <v>50626</v>
      </c>
      <c r="H6980" s="48" t="s">
        <v>56716</v>
      </c>
      <c r="I6980" s="48" t="s">
        <v>50564</v>
      </c>
      <c r="J6980" s="48"/>
      <c r="K6980" s="57"/>
      <c r="L6980" s="48" t="s">
        <v>56716</v>
      </c>
    </row>
    <row r="6981" spans="1:12" ht="11.25" x14ac:dyDescent="0.2">
      <c r="A6981" s="45" t="s">
        <v>45365</v>
      </c>
      <c r="B6981" s="45" t="s">
        <v>45367</v>
      </c>
      <c r="C6981" s="51" t="s">
        <v>45368</v>
      </c>
      <c r="D6981" s="51"/>
      <c r="E6981" s="45" t="s">
        <v>45369</v>
      </c>
      <c r="F6981" s="45" t="s">
        <v>17976</v>
      </c>
      <c r="G6981" s="45" t="s">
        <v>50599</v>
      </c>
      <c r="H6981" s="56"/>
      <c r="I6981" s="56" t="s">
        <v>50564</v>
      </c>
      <c r="J6981" s="56"/>
      <c r="K6981" s="57"/>
      <c r="L6981" s="56" t="s">
        <v>56716</v>
      </c>
    </row>
    <row r="6982" spans="1:12" ht="11.25" x14ac:dyDescent="0.2">
      <c r="A6982" s="46" t="s">
        <v>11297</v>
      </c>
      <c r="B6982" s="46" t="s">
        <v>55120</v>
      </c>
      <c r="C6982" s="58" t="str">
        <f>"16446313"</f>
        <v>16446313</v>
      </c>
      <c r="D6982" s="58" t="str">
        <f>""</f>
        <v/>
      </c>
      <c r="E6982" s="46" t="s">
        <v>11293</v>
      </c>
      <c r="F6982" s="46" t="s">
        <v>17967</v>
      </c>
      <c r="G6982" s="46" t="s">
        <v>50613</v>
      </c>
      <c r="H6982" s="48" t="s">
        <v>56716</v>
      </c>
      <c r="I6982" s="48" t="s">
        <v>50564</v>
      </c>
      <c r="J6982" s="48"/>
      <c r="K6982" s="57"/>
      <c r="L6982" s="48"/>
    </row>
    <row r="6983" spans="1:12" ht="11.25" x14ac:dyDescent="0.2">
      <c r="A6983" s="46" t="s">
        <v>3484</v>
      </c>
      <c r="B6983" s="46" t="s">
        <v>55121</v>
      </c>
      <c r="C6983" s="58" t="str">
        <f>"00332674"</f>
        <v>00332674</v>
      </c>
      <c r="D6983" s="58" t="str">
        <f>""</f>
        <v/>
      </c>
      <c r="E6983" s="46" t="s">
        <v>3486</v>
      </c>
      <c r="F6983" s="46" t="s">
        <v>17967</v>
      </c>
      <c r="G6983" s="46" t="s">
        <v>50612</v>
      </c>
      <c r="H6983" s="48" t="s">
        <v>56716</v>
      </c>
      <c r="I6983" s="48" t="s">
        <v>50564</v>
      </c>
      <c r="J6983" s="48"/>
      <c r="K6983" s="57"/>
      <c r="L6983" s="48" t="s">
        <v>56716</v>
      </c>
    </row>
    <row r="6984" spans="1:12" ht="11.25" x14ac:dyDescent="0.2">
      <c r="A6984" s="46" t="s">
        <v>3328</v>
      </c>
      <c r="B6984" s="46" t="s">
        <v>55122</v>
      </c>
      <c r="C6984" s="58" t="str">
        <f>"0193953X"</f>
        <v>0193953X</v>
      </c>
      <c r="D6984" s="58" t="str">
        <f>"15583147"</f>
        <v>15583147</v>
      </c>
      <c r="E6984" s="46" t="s">
        <v>303</v>
      </c>
      <c r="F6984" s="46" t="s">
        <v>17759</v>
      </c>
      <c r="G6984" s="46" t="s">
        <v>50584</v>
      </c>
      <c r="H6984" s="48" t="s">
        <v>56716</v>
      </c>
      <c r="I6984" s="48" t="s">
        <v>50564</v>
      </c>
      <c r="J6984" s="48" t="s">
        <v>56716</v>
      </c>
      <c r="K6984" s="50" t="s">
        <v>56716</v>
      </c>
      <c r="L6984" s="48" t="s">
        <v>56716</v>
      </c>
    </row>
    <row r="6985" spans="1:12" ht="11.25" x14ac:dyDescent="0.2">
      <c r="A6985" s="46" t="s">
        <v>5735</v>
      </c>
      <c r="B6985" s="46" t="s">
        <v>55123</v>
      </c>
      <c r="C6985" s="58" t="str">
        <f>"09558829"</f>
        <v>09558829</v>
      </c>
      <c r="D6985" s="58" t="str">
        <f>"14735873"</f>
        <v>14735873</v>
      </c>
      <c r="E6985" s="46" t="s">
        <v>28</v>
      </c>
      <c r="F6985" s="46" t="s">
        <v>50646</v>
      </c>
      <c r="G6985" s="46" t="s">
        <v>50584</v>
      </c>
      <c r="H6985" s="48" t="s">
        <v>56716</v>
      </c>
      <c r="I6985" s="48" t="s">
        <v>50564</v>
      </c>
      <c r="J6985" s="48" t="s">
        <v>56716</v>
      </c>
      <c r="K6985" s="57"/>
      <c r="L6985" s="48" t="s">
        <v>56716</v>
      </c>
    </row>
    <row r="6986" spans="1:12" ht="11.25" x14ac:dyDescent="0.2">
      <c r="A6986" s="46" t="s">
        <v>3497</v>
      </c>
      <c r="B6986" s="46" t="s">
        <v>55124</v>
      </c>
      <c r="C6986" s="58" t="str">
        <f>"00332720"</f>
        <v>00332720</v>
      </c>
      <c r="D6986" s="58" t="str">
        <f>"15736709"</f>
        <v>15736709</v>
      </c>
      <c r="E6986" s="46" t="s">
        <v>56305</v>
      </c>
      <c r="F6986" s="46" t="s">
        <v>17759</v>
      </c>
      <c r="G6986" s="46" t="s">
        <v>50584</v>
      </c>
      <c r="H6986" s="48" t="s">
        <v>56716</v>
      </c>
      <c r="I6986" s="48" t="s">
        <v>50564</v>
      </c>
      <c r="J6986" s="48"/>
      <c r="K6986" s="50" t="s">
        <v>56716</v>
      </c>
      <c r="L6986" s="48" t="s">
        <v>56716</v>
      </c>
    </row>
    <row r="6987" spans="1:12" ht="11.25" x14ac:dyDescent="0.2">
      <c r="A6987" s="45" t="s">
        <v>45390</v>
      </c>
      <c r="B6987" s="45" t="s">
        <v>45392</v>
      </c>
      <c r="C6987" s="51" t="s">
        <v>45395</v>
      </c>
      <c r="D6987" s="51" t="s">
        <v>45394</v>
      </c>
      <c r="E6987" s="45" t="s">
        <v>19767</v>
      </c>
      <c r="F6987" s="45" t="s">
        <v>17759</v>
      </c>
      <c r="G6987" s="45" t="s">
        <v>50584</v>
      </c>
      <c r="H6987" s="56"/>
      <c r="I6987" s="56" t="s">
        <v>50564</v>
      </c>
      <c r="J6987" s="56"/>
      <c r="K6987" s="57"/>
      <c r="L6987" s="56" t="s">
        <v>56716</v>
      </c>
    </row>
    <row r="6988" spans="1:12" ht="11.25" x14ac:dyDescent="0.2">
      <c r="A6988" s="46" t="s">
        <v>6549</v>
      </c>
      <c r="B6988" s="46" t="s">
        <v>55125</v>
      </c>
      <c r="C6988" s="58" t="str">
        <f>"10752730"</f>
        <v>10752730</v>
      </c>
      <c r="D6988" s="58" t="str">
        <f>"15579700"</f>
        <v>15579700</v>
      </c>
      <c r="E6988" s="46" t="s">
        <v>394</v>
      </c>
      <c r="F6988" s="46" t="s">
        <v>17759</v>
      </c>
      <c r="G6988" s="46" t="s">
        <v>50584</v>
      </c>
      <c r="H6988" s="48" t="s">
        <v>56716</v>
      </c>
      <c r="I6988" s="48" t="s">
        <v>50564</v>
      </c>
      <c r="J6988" s="48"/>
      <c r="K6988" s="57"/>
      <c r="L6988" s="48" t="s">
        <v>56716</v>
      </c>
    </row>
    <row r="6989" spans="1:12" ht="11.25" x14ac:dyDescent="0.2">
      <c r="A6989" s="46" t="s">
        <v>7987</v>
      </c>
      <c r="B6989" s="46" t="s">
        <v>7987</v>
      </c>
      <c r="C6989" s="58" t="str">
        <f>"12117579"</f>
        <v>12117579</v>
      </c>
      <c r="D6989" s="58" t="str">
        <f>"12126845"</f>
        <v>12126845</v>
      </c>
      <c r="E6989" s="46" t="s">
        <v>7990</v>
      </c>
      <c r="F6989" s="46" t="s">
        <v>18025</v>
      </c>
      <c r="G6989" s="46" t="s">
        <v>50581</v>
      </c>
      <c r="H6989" s="48" t="s">
        <v>56716</v>
      </c>
      <c r="I6989" s="48" t="s">
        <v>50564</v>
      </c>
      <c r="J6989" s="48"/>
      <c r="K6989" s="57"/>
      <c r="L6989" s="48"/>
    </row>
    <row r="6990" spans="1:12" ht="11.25" x14ac:dyDescent="0.2">
      <c r="A6990" s="45" t="s">
        <v>45402</v>
      </c>
      <c r="B6990" s="45" t="s">
        <v>56650</v>
      </c>
      <c r="C6990" s="51" t="s">
        <v>45405</v>
      </c>
      <c r="D6990" s="51"/>
      <c r="E6990" s="45" t="s">
        <v>45406</v>
      </c>
      <c r="F6990" s="45" t="s">
        <v>20969</v>
      </c>
      <c r="G6990" s="45" t="s">
        <v>50596</v>
      </c>
      <c r="H6990" s="56"/>
      <c r="I6990" s="56" t="s">
        <v>50564</v>
      </c>
      <c r="J6990" s="56"/>
      <c r="K6990" s="57"/>
      <c r="L6990" s="56" t="s">
        <v>56716</v>
      </c>
    </row>
    <row r="6991" spans="1:12" ht="11.25" x14ac:dyDescent="0.2">
      <c r="A6991" s="46" t="s">
        <v>3494</v>
      </c>
      <c r="B6991" s="46" t="s">
        <v>55127</v>
      </c>
      <c r="C6991" s="58" t="str">
        <f>"03034259"</f>
        <v>03034259</v>
      </c>
      <c r="D6991" s="58" t="str">
        <f>"14390876"</f>
        <v>14390876</v>
      </c>
      <c r="E6991" s="46" t="s">
        <v>412</v>
      </c>
      <c r="F6991" s="46" t="s">
        <v>18158</v>
      </c>
      <c r="G6991" s="46" t="s">
        <v>50593</v>
      </c>
      <c r="H6991" s="48" t="s">
        <v>56716</v>
      </c>
      <c r="I6991" s="48" t="s">
        <v>50564</v>
      </c>
      <c r="J6991" s="48"/>
      <c r="K6991" s="50" t="s">
        <v>56716</v>
      </c>
      <c r="L6991" s="48" t="s">
        <v>56716</v>
      </c>
    </row>
    <row r="6992" spans="1:12" ht="11.25" x14ac:dyDescent="0.2">
      <c r="A6992" s="46" t="s">
        <v>6133</v>
      </c>
      <c r="B6992" s="46" t="s">
        <v>55128</v>
      </c>
      <c r="C6992" s="58" t="str">
        <f>"09343008"</f>
        <v>09343008</v>
      </c>
      <c r="D6992" s="58" t="str">
        <f>"16118340"</f>
        <v>16118340</v>
      </c>
      <c r="E6992" s="46" t="s">
        <v>412</v>
      </c>
      <c r="F6992" s="46" t="s">
        <v>18158</v>
      </c>
      <c r="G6992" s="46" t="s">
        <v>50593</v>
      </c>
      <c r="H6992" s="48" t="s">
        <v>56716</v>
      </c>
      <c r="I6992" s="48" t="s">
        <v>50564</v>
      </c>
      <c r="J6992" s="48"/>
      <c r="K6992" s="57"/>
      <c r="L6992" s="48"/>
    </row>
    <row r="6993" spans="1:12" ht="11.25" x14ac:dyDescent="0.2">
      <c r="A6993" s="46" t="s">
        <v>3509</v>
      </c>
      <c r="B6993" s="46" t="s">
        <v>17834</v>
      </c>
      <c r="C6993" s="58" t="str">
        <f>"00332747"</f>
        <v>00332747</v>
      </c>
      <c r="D6993" s="58" t="str">
        <f>"1943281X"</f>
        <v>1943281X</v>
      </c>
      <c r="E6993" s="46" t="s">
        <v>874</v>
      </c>
      <c r="F6993" s="46" t="s">
        <v>17759</v>
      </c>
      <c r="G6993" s="46" t="s">
        <v>50584</v>
      </c>
      <c r="H6993" s="48" t="s">
        <v>56716</v>
      </c>
      <c r="I6993" s="48" t="s">
        <v>50564</v>
      </c>
      <c r="J6993" s="48"/>
      <c r="K6993" s="57"/>
      <c r="L6993" s="48" t="s">
        <v>56716</v>
      </c>
    </row>
    <row r="6994" spans="1:12" ht="11.25" x14ac:dyDescent="0.2">
      <c r="A6994" s="46" t="s">
        <v>6601</v>
      </c>
      <c r="B6994" s="46" t="s">
        <v>55129</v>
      </c>
      <c r="C6994" s="58" t="str">
        <f>"13231316"</f>
        <v>13231316</v>
      </c>
      <c r="D6994" s="58" t="str">
        <f>"14401819"</f>
        <v>14401819</v>
      </c>
      <c r="E6994" s="46" t="s">
        <v>296</v>
      </c>
      <c r="F6994" s="46" t="s">
        <v>20082</v>
      </c>
      <c r="G6994" s="46" t="s">
        <v>50584</v>
      </c>
      <c r="H6994" s="48" t="s">
        <v>56716</v>
      </c>
      <c r="I6994" s="48" t="s">
        <v>50564</v>
      </c>
      <c r="J6994" s="48"/>
      <c r="K6994" s="50" t="s">
        <v>56716</v>
      </c>
      <c r="L6994" s="48" t="s">
        <v>56716</v>
      </c>
    </row>
    <row r="6995" spans="1:12" ht="11.25" x14ac:dyDescent="0.2">
      <c r="A6995" s="46" t="s">
        <v>11424</v>
      </c>
      <c r="B6995" s="46" t="s">
        <v>56183</v>
      </c>
      <c r="C6995" s="58" t="str">
        <f>"17383684"</f>
        <v>17383684</v>
      </c>
      <c r="D6995" s="58" t="str">
        <f>"19763026"</f>
        <v>19763026</v>
      </c>
      <c r="E6995" s="46" t="s">
        <v>11427</v>
      </c>
      <c r="F6995" s="46" t="s">
        <v>50649</v>
      </c>
      <c r="G6995" s="46" t="s">
        <v>50584</v>
      </c>
      <c r="H6995" s="48" t="s">
        <v>56716</v>
      </c>
      <c r="I6995" s="48" t="s">
        <v>50564</v>
      </c>
      <c r="J6995" s="48"/>
      <c r="K6995" s="57"/>
      <c r="L6995" s="48"/>
    </row>
    <row r="6996" spans="1:12" ht="11.25" x14ac:dyDescent="0.2">
      <c r="A6996" s="46" t="s">
        <v>3500</v>
      </c>
      <c r="B6996" s="46" t="s">
        <v>55130</v>
      </c>
      <c r="C6996" s="58" t="str">
        <f>"01651781"</f>
        <v>01651781</v>
      </c>
      <c r="D6996" s="58" t="str">
        <f>"18727123"</f>
        <v>18727123</v>
      </c>
      <c r="E6996" s="46" t="s">
        <v>221</v>
      </c>
      <c r="F6996" s="46" t="s">
        <v>21771</v>
      </c>
      <c r="G6996" s="46" t="s">
        <v>50584</v>
      </c>
      <c r="H6996" s="48" t="s">
        <v>56716</v>
      </c>
      <c r="I6996" s="48" t="s">
        <v>50564</v>
      </c>
      <c r="J6996" s="48" t="s">
        <v>56716</v>
      </c>
      <c r="K6996" s="50" t="s">
        <v>56716</v>
      </c>
      <c r="L6996" s="48" t="s">
        <v>56716</v>
      </c>
    </row>
    <row r="6997" spans="1:12" ht="11.25" x14ac:dyDescent="0.2">
      <c r="A6997" s="46" t="s">
        <v>5354</v>
      </c>
      <c r="B6997" s="46" t="s">
        <v>55131</v>
      </c>
      <c r="C6997" s="58" t="str">
        <f>"09254927"</f>
        <v>09254927</v>
      </c>
      <c r="D6997" s="58" t="str">
        <f>"18727506"</f>
        <v>18727506</v>
      </c>
      <c r="E6997" s="46" t="s">
        <v>221</v>
      </c>
      <c r="F6997" s="46" t="s">
        <v>21771</v>
      </c>
      <c r="G6997" s="46" t="s">
        <v>50584</v>
      </c>
      <c r="H6997" s="48" t="s">
        <v>56716</v>
      </c>
      <c r="I6997" s="48" t="s">
        <v>50564</v>
      </c>
      <c r="J6997" s="48" t="s">
        <v>56716</v>
      </c>
      <c r="K6997" s="50" t="s">
        <v>56716</v>
      </c>
      <c r="L6997" s="48"/>
    </row>
    <row r="6998" spans="1:12" ht="11.25" x14ac:dyDescent="0.2">
      <c r="A6998" s="46" t="s">
        <v>15065</v>
      </c>
      <c r="B6998" s="46" t="s">
        <v>55132</v>
      </c>
      <c r="C6998" s="58" t="str">
        <f>"19395949"</f>
        <v>19395949</v>
      </c>
      <c r="D6998" s="58" t="str">
        <f>""</f>
        <v/>
      </c>
      <c r="E6998" s="46" t="s">
        <v>11878</v>
      </c>
      <c r="F6998" s="46" t="s">
        <v>17759</v>
      </c>
      <c r="G6998" s="46" t="s">
        <v>50584</v>
      </c>
      <c r="H6998" s="48" t="s">
        <v>56716</v>
      </c>
      <c r="I6998" s="48" t="s">
        <v>50564</v>
      </c>
      <c r="J6998" s="48"/>
      <c r="K6998" s="57"/>
      <c r="L6998" s="48"/>
    </row>
    <row r="6999" spans="1:12" ht="11.25" x14ac:dyDescent="0.2">
      <c r="A6999" s="46" t="s">
        <v>56082</v>
      </c>
      <c r="B6999" s="46" t="s">
        <v>56083</v>
      </c>
      <c r="C6999" s="58" t="str">
        <f>"13218719"</f>
        <v>13218719</v>
      </c>
      <c r="D6999" s="58" t="str">
        <f>"19341687"</f>
        <v>19341687</v>
      </c>
      <c r="E6999" s="46" t="s">
        <v>689</v>
      </c>
      <c r="F6999" s="46" t="s">
        <v>50646</v>
      </c>
      <c r="G6999" s="46" t="s">
        <v>50584</v>
      </c>
      <c r="H6999" s="48" t="s">
        <v>56716</v>
      </c>
      <c r="I6999" s="48" t="s">
        <v>50564</v>
      </c>
      <c r="J6999" s="48"/>
      <c r="K6999" s="50" t="s">
        <v>56716</v>
      </c>
      <c r="L6999" s="48"/>
    </row>
    <row r="7000" spans="1:12" ht="11.25" x14ac:dyDescent="0.2">
      <c r="A7000" s="46" t="s">
        <v>3491</v>
      </c>
      <c r="B7000" s="46" t="s">
        <v>55133</v>
      </c>
      <c r="C7000" s="58" t="str">
        <f>"07369735"</f>
        <v>07369735</v>
      </c>
      <c r="D7000" s="58" t="str">
        <f>"19391331"</f>
        <v>19391331</v>
      </c>
      <c r="E7000" s="46" t="s">
        <v>356</v>
      </c>
      <c r="F7000" s="46" t="s">
        <v>17759</v>
      </c>
      <c r="G7000" s="46" t="s">
        <v>50584</v>
      </c>
      <c r="H7000" s="48" t="s">
        <v>56716</v>
      </c>
      <c r="I7000" s="48" t="s">
        <v>50564</v>
      </c>
      <c r="J7000" s="48"/>
      <c r="K7000" s="50" t="s">
        <v>56716</v>
      </c>
      <c r="L7000" s="48"/>
    </row>
    <row r="7001" spans="1:12" ht="11.25" x14ac:dyDescent="0.2">
      <c r="A7001" s="46" t="s">
        <v>9400</v>
      </c>
      <c r="B7001" s="46" t="s">
        <v>55134</v>
      </c>
      <c r="C7001" s="58" t="str">
        <f>"02668734"</f>
        <v>02668734</v>
      </c>
      <c r="D7001" s="58" t="str">
        <f>"14749734"</f>
        <v>14749734</v>
      </c>
      <c r="E7001" s="46" t="s">
        <v>689</v>
      </c>
      <c r="F7001" s="46" t="s">
        <v>50646</v>
      </c>
      <c r="G7001" s="46" t="s">
        <v>50584</v>
      </c>
      <c r="H7001" s="48" t="s">
        <v>56716</v>
      </c>
      <c r="I7001" s="48" t="s">
        <v>50564</v>
      </c>
      <c r="J7001" s="48" t="s">
        <v>56716</v>
      </c>
      <c r="K7001" s="50" t="s">
        <v>56716</v>
      </c>
      <c r="L7001" s="48"/>
    </row>
    <row r="7002" spans="1:12" ht="11.25" x14ac:dyDescent="0.2">
      <c r="A7002" s="45" t="s">
        <v>45429</v>
      </c>
      <c r="B7002" s="45" t="s">
        <v>45431</v>
      </c>
      <c r="C7002" s="51" t="s">
        <v>45434</v>
      </c>
      <c r="D7002" s="51" t="s">
        <v>45433</v>
      </c>
      <c r="E7002" s="45" t="s">
        <v>32539</v>
      </c>
      <c r="F7002" s="45" t="s">
        <v>17759</v>
      </c>
      <c r="G7002" s="45" t="s">
        <v>50584</v>
      </c>
      <c r="H7002" s="56"/>
      <c r="I7002" s="56" t="s">
        <v>50564</v>
      </c>
      <c r="J7002" s="56"/>
      <c r="K7002" s="57"/>
      <c r="L7002" s="56" t="s">
        <v>56716</v>
      </c>
    </row>
    <row r="7003" spans="1:12" ht="11.25" x14ac:dyDescent="0.2">
      <c r="A7003" s="45" t="s">
        <v>45442</v>
      </c>
      <c r="B7003" s="45" t="s">
        <v>45444</v>
      </c>
      <c r="C7003" s="51" t="s">
        <v>45447</v>
      </c>
      <c r="D7003" s="51" t="s">
        <v>45446</v>
      </c>
      <c r="E7003" s="45" t="s">
        <v>32539</v>
      </c>
      <c r="F7003" s="45" t="s">
        <v>17759</v>
      </c>
      <c r="G7003" s="45" t="s">
        <v>50584</v>
      </c>
      <c r="H7003" s="56"/>
      <c r="I7003" s="56" t="s">
        <v>50564</v>
      </c>
      <c r="J7003" s="56"/>
      <c r="K7003" s="57"/>
      <c r="L7003" s="56" t="s">
        <v>56716</v>
      </c>
    </row>
    <row r="7004" spans="1:12" ht="11.25" x14ac:dyDescent="0.2">
      <c r="A7004" s="46" t="s">
        <v>11179</v>
      </c>
      <c r="B7004" s="46" t="s">
        <v>55135</v>
      </c>
      <c r="C7004" s="58" t="str">
        <f>"17322642"</f>
        <v>17322642</v>
      </c>
      <c r="D7004" s="58" t="str">
        <f>""</f>
        <v/>
      </c>
      <c r="E7004" s="46" t="s">
        <v>11179</v>
      </c>
      <c r="F7004" s="46" t="s">
        <v>17967</v>
      </c>
      <c r="G7004" s="46" t="s">
        <v>50612</v>
      </c>
      <c r="H7004" s="48" t="s">
        <v>56716</v>
      </c>
      <c r="I7004" s="48" t="s">
        <v>50564</v>
      </c>
      <c r="J7004" s="48"/>
      <c r="K7004" s="57"/>
      <c r="L7004" s="48"/>
    </row>
    <row r="7005" spans="1:12" ht="11.25" x14ac:dyDescent="0.2">
      <c r="A7005" s="46" t="s">
        <v>9938</v>
      </c>
      <c r="B7005" s="46" t="s">
        <v>9938</v>
      </c>
      <c r="C7005" s="58" t="str">
        <f>"13463500"</f>
        <v>13463500</v>
      </c>
      <c r="D7005" s="58" t="str">
        <f>"14798301"</f>
        <v>14798301</v>
      </c>
      <c r="E7005" s="46" t="s">
        <v>35</v>
      </c>
      <c r="F7005" s="46" t="s">
        <v>50646</v>
      </c>
      <c r="G7005" s="46" t="s">
        <v>50584</v>
      </c>
      <c r="H7005" s="48" t="s">
        <v>56716</v>
      </c>
      <c r="I7005" s="48" t="s">
        <v>50564</v>
      </c>
      <c r="J7005" s="48" t="s">
        <v>56716</v>
      </c>
      <c r="K7005" s="50" t="s">
        <v>56716</v>
      </c>
      <c r="L7005" s="48" t="s">
        <v>56716</v>
      </c>
    </row>
    <row r="7006" spans="1:12" ht="11.25" x14ac:dyDescent="0.2">
      <c r="A7006" s="46" t="s">
        <v>6349</v>
      </c>
      <c r="B7006" s="46" t="s">
        <v>55136</v>
      </c>
      <c r="C7006" s="58" t="str">
        <f>"10403590"</f>
        <v>10403590</v>
      </c>
      <c r="D7006" s="58" t="str">
        <f>"1939134X"</f>
        <v>1939134X</v>
      </c>
      <c r="E7006" s="46" t="s">
        <v>356</v>
      </c>
      <c r="F7006" s="46" t="s">
        <v>17759</v>
      </c>
      <c r="G7006" s="46" t="s">
        <v>50584</v>
      </c>
      <c r="H7006" s="48" t="s">
        <v>56716</v>
      </c>
      <c r="I7006" s="48" t="s">
        <v>50564</v>
      </c>
      <c r="J7006" s="48"/>
      <c r="K7006" s="50" t="s">
        <v>56716</v>
      </c>
      <c r="L7006" s="48" t="s">
        <v>56716</v>
      </c>
    </row>
    <row r="7007" spans="1:12" ht="11.25" x14ac:dyDescent="0.2">
      <c r="A7007" s="45" t="s">
        <v>45457</v>
      </c>
      <c r="B7007" s="45" t="s">
        <v>45459</v>
      </c>
      <c r="C7007" s="51" t="s">
        <v>45461</v>
      </c>
      <c r="D7007" s="51" t="s">
        <v>45460</v>
      </c>
      <c r="E7007" s="45" t="s">
        <v>19767</v>
      </c>
      <c r="F7007" s="45" t="s">
        <v>17759</v>
      </c>
      <c r="G7007" s="45" t="s">
        <v>50584</v>
      </c>
      <c r="H7007" s="56"/>
      <c r="I7007" s="56" t="s">
        <v>50564</v>
      </c>
      <c r="J7007" s="56"/>
      <c r="K7007" s="57"/>
      <c r="L7007" s="56" t="s">
        <v>56716</v>
      </c>
    </row>
    <row r="7008" spans="1:12" ht="11.25" x14ac:dyDescent="0.2">
      <c r="A7008" s="45" t="s">
        <v>45463</v>
      </c>
      <c r="B7008" s="45" t="s">
        <v>45465</v>
      </c>
      <c r="C7008" s="51" t="s">
        <v>45467</v>
      </c>
      <c r="D7008" s="51" t="s">
        <v>45466</v>
      </c>
      <c r="E7008" s="45" t="s">
        <v>724</v>
      </c>
      <c r="F7008" s="45" t="s">
        <v>50646</v>
      </c>
      <c r="G7008" s="45" t="s">
        <v>50584</v>
      </c>
      <c r="H7008" s="56"/>
      <c r="I7008" s="56" t="s">
        <v>50564</v>
      </c>
      <c r="J7008" s="56"/>
      <c r="K7008" s="57"/>
      <c r="L7008" s="56" t="s">
        <v>56716</v>
      </c>
    </row>
    <row r="7009" spans="1:12" ht="11.25" x14ac:dyDescent="0.2">
      <c r="A7009" s="45" t="s">
        <v>45469</v>
      </c>
      <c r="B7009" s="45" t="s">
        <v>45471</v>
      </c>
      <c r="C7009" s="51" t="s">
        <v>45473</v>
      </c>
      <c r="D7009" s="51" t="s">
        <v>45472</v>
      </c>
      <c r="E7009" s="45" t="s">
        <v>19767</v>
      </c>
      <c r="F7009" s="45" t="s">
        <v>17759</v>
      </c>
      <c r="G7009" s="45" t="s">
        <v>50584</v>
      </c>
      <c r="H7009" s="56"/>
      <c r="I7009" s="56" t="s">
        <v>50564</v>
      </c>
      <c r="J7009" s="56"/>
      <c r="K7009" s="57"/>
      <c r="L7009" s="56" t="s">
        <v>56716</v>
      </c>
    </row>
    <row r="7010" spans="1:12" ht="11.25" x14ac:dyDescent="0.2">
      <c r="A7010" s="45" t="s">
        <v>45475</v>
      </c>
      <c r="B7010" s="45" t="s">
        <v>45477</v>
      </c>
      <c r="C7010" s="51" t="s">
        <v>45478</v>
      </c>
      <c r="D7010" s="51"/>
      <c r="E7010" s="45" t="s">
        <v>43993</v>
      </c>
      <c r="F7010" s="45" t="s">
        <v>17759</v>
      </c>
      <c r="G7010" s="45" t="s">
        <v>50584</v>
      </c>
      <c r="H7010" s="56"/>
      <c r="I7010" s="56" t="s">
        <v>50564</v>
      </c>
      <c r="J7010" s="56"/>
      <c r="K7010" s="57"/>
      <c r="L7010" s="56" t="s">
        <v>56716</v>
      </c>
    </row>
    <row r="7011" spans="1:12" ht="11.25" x14ac:dyDescent="0.2">
      <c r="A7011" s="45" t="s">
        <v>45480</v>
      </c>
      <c r="B7011" s="45" t="s">
        <v>45482</v>
      </c>
      <c r="C7011" s="51" t="s">
        <v>45485</v>
      </c>
      <c r="D7011" s="51" t="s">
        <v>45484</v>
      </c>
      <c r="E7011" s="45" t="s">
        <v>18727</v>
      </c>
      <c r="F7011" s="45" t="s">
        <v>18158</v>
      </c>
      <c r="G7011" s="45" t="s">
        <v>50584</v>
      </c>
      <c r="H7011" s="56"/>
      <c r="I7011" s="56" t="s">
        <v>50564</v>
      </c>
      <c r="J7011" s="56"/>
      <c r="K7011" s="57"/>
      <c r="L7011" s="56" t="s">
        <v>56716</v>
      </c>
    </row>
    <row r="7012" spans="1:12" ht="11.25" x14ac:dyDescent="0.2">
      <c r="A7012" s="45" t="s">
        <v>45487</v>
      </c>
      <c r="B7012" s="45" t="s">
        <v>45489</v>
      </c>
      <c r="C7012" s="51" t="s">
        <v>45491</v>
      </c>
      <c r="D7012" s="51" t="s">
        <v>45490</v>
      </c>
      <c r="E7012" s="45" t="s">
        <v>19767</v>
      </c>
      <c r="F7012" s="45" t="s">
        <v>17759</v>
      </c>
      <c r="G7012" s="45" t="s">
        <v>50584</v>
      </c>
      <c r="H7012" s="56"/>
      <c r="I7012" s="56" t="s">
        <v>50564</v>
      </c>
      <c r="J7012" s="56"/>
      <c r="K7012" s="57"/>
      <c r="L7012" s="56" t="s">
        <v>56716</v>
      </c>
    </row>
    <row r="7013" spans="1:12" ht="11.25" x14ac:dyDescent="0.2">
      <c r="A7013" s="45" t="s">
        <v>45494</v>
      </c>
      <c r="B7013" s="45" t="s">
        <v>45496</v>
      </c>
      <c r="C7013" s="51" t="s">
        <v>45498</v>
      </c>
      <c r="D7013" s="51" t="s">
        <v>45497</v>
      </c>
      <c r="E7013" s="45" t="s">
        <v>18520</v>
      </c>
      <c r="F7013" s="45" t="s">
        <v>17759</v>
      </c>
      <c r="G7013" s="45" t="s">
        <v>50584</v>
      </c>
      <c r="H7013" s="56"/>
      <c r="I7013" s="56" t="s">
        <v>50564</v>
      </c>
      <c r="J7013" s="56"/>
      <c r="K7013" s="57"/>
      <c r="L7013" s="56" t="s">
        <v>56716</v>
      </c>
    </row>
    <row r="7014" spans="1:12" ht="11.25" x14ac:dyDescent="0.2">
      <c r="A7014" s="45" t="s">
        <v>45500</v>
      </c>
      <c r="B7014" s="45" t="s">
        <v>45502</v>
      </c>
      <c r="C7014" s="51" t="s">
        <v>45504</v>
      </c>
      <c r="D7014" s="51" t="s">
        <v>45503</v>
      </c>
      <c r="E7014" s="45" t="s">
        <v>6348</v>
      </c>
      <c r="F7014" s="45" t="s">
        <v>17759</v>
      </c>
      <c r="G7014" s="45" t="s">
        <v>50584</v>
      </c>
      <c r="H7014" s="56"/>
      <c r="I7014" s="56" t="s">
        <v>50564</v>
      </c>
      <c r="J7014" s="56"/>
      <c r="K7014" s="57"/>
      <c r="L7014" s="56" t="s">
        <v>56716</v>
      </c>
    </row>
    <row r="7015" spans="1:12" ht="11.25" x14ac:dyDescent="0.2">
      <c r="A7015" s="45" t="s">
        <v>45506</v>
      </c>
      <c r="B7015" s="45" t="s">
        <v>45508</v>
      </c>
      <c r="C7015" s="51" t="s">
        <v>45510</v>
      </c>
      <c r="D7015" s="51" t="s">
        <v>45509</v>
      </c>
      <c r="E7015" s="45" t="s">
        <v>689</v>
      </c>
      <c r="F7015" s="45" t="s">
        <v>50646</v>
      </c>
      <c r="G7015" s="45" t="s">
        <v>50584</v>
      </c>
      <c r="H7015" s="56"/>
      <c r="I7015" s="56" t="s">
        <v>50564</v>
      </c>
      <c r="J7015" s="56"/>
      <c r="K7015" s="57"/>
      <c r="L7015" s="56" t="s">
        <v>56716</v>
      </c>
    </row>
    <row r="7016" spans="1:12" ht="11.25" x14ac:dyDescent="0.2">
      <c r="A7016" s="46" t="s">
        <v>6352</v>
      </c>
      <c r="B7016" s="46" t="s">
        <v>55137</v>
      </c>
      <c r="C7016" s="58" t="str">
        <f>"08827974"</f>
        <v>08827974</v>
      </c>
      <c r="D7016" s="58" t="str">
        <f>"19391498"</f>
        <v>19391498</v>
      </c>
      <c r="E7016" s="46" t="s">
        <v>356</v>
      </c>
      <c r="F7016" s="46" t="s">
        <v>17759</v>
      </c>
      <c r="G7016" s="46" t="s">
        <v>50584</v>
      </c>
      <c r="H7016" s="48" t="s">
        <v>56716</v>
      </c>
      <c r="I7016" s="48" t="s">
        <v>50564</v>
      </c>
      <c r="J7016" s="48"/>
      <c r="K7016" s="50" t="s">
        <v>56716</v>
      </c>
      <c r="L7016" s="48" t="s">
        <v>56716</v>
      </c>
    </row>
    <row r="7017" spans="1:12" ht="11.25" x14ac:dyDescent="0.2">
      <c r="A7017" s="46" t="s">
        <v>14644</v>
      </c>
      <c r="B7017" s="46" t="s">
        <v>55138</v>
      </c>
      <c r="C7017" s="58" t="str">
        <f>"19843054"</f>
        <v>19843054</v>
      </c>
      <c r="D7017" s="58" t="str">
        <f>"19833288"</f>
        <v>19833288</v>
      </c>
      <c r="E7017" s="46" t="s">
        <v>55909</v>
      </c>
      <c r="F7017" s="46" t="s">
        <v>18058</v>
      </c>
      <c r="G7017" s="46" t="s">
        <v>50584</v>
      </c>
      <c r="H7017" s="48" t="s">
        <v>56716</v>
      </c>
      <c r="I7017" s="48" t="s">
        <v>50564</v>
      </c>
      <c r="J7017" s="48"/>
      <c r="K7017" s="57"/>
      <c r="L7017" s="48"/>
    </row>
    <row r="7018" spans="1:12" ht="11.25" x14ac:dyDescent="0.2">
      <c r="A7018" s="45" t="s">
        <v>45516</v>
      </c>
      <c r="B7018" s="45" t="s">
        <v>45518</v>
      </c>
      <c r="C7018" s="51" t="s">
        <v>45521</v>
      </c>
      <c r="D7018" s="51" t="s">
        <v>45520</v>
      </c>
      <c r="E7018" s="45" t="s">
        <v>970</v>
      </c>
      <c r="F7018" s="45" t="s">
        <v>50646</v>
      </c>
      <c r="G7018" s="45" t="s">
        <v>50584</v>
      </c>
      <c r="H7018" s="56"/>
      <c r="I7018" s="56" t="s">
        <v>50564</v>
      </c>
      <c r="J7018" s="56"/>
      <c r="K7018" s="57"/>
      <c r="L7018" s="56" t="s">
        <v>56716</v>
      </c>
    </row>
    <row r="7019" spans="1:12" ht="11.25" x14ac:dyDescent="0.2">
      <c r="A7019" s="46" t="s">
        <v>6345</v>
      </c>
      <c r="B7019" s="46" t="s">
        <v>55139</v>
      </c>
      <c r="C7019" s="58" t="str">
        <f>"0893164X"</f>
        <v>0893164X</v>
      </c>
      <c r="D7019" s="58" t="str">
        <f>"19391501"</f>
        <v>19391501</v>
      </c>
      <c r="E7019" s="46" t="s">
        <v>6348</v>
      </c>
      <c r="F7019" s="46" t="s">
        <v>17759</v>
      </c>
      <c r="G7019" s="46" t="s">
        <v>50584</v>
      </c>
      <c r="H7019" s="48" t="s">
        <v>56716</v>
      </c>
      <c r="I7019" s="48" t="s">
        <v>50564</v>
      </c>
      <c r="J7019" s="48"/>
      <c r="K7019" s="50" t="s">
        <v>56716</v>
      </c>
      <c r="L7019" s="48" t="s">
        <v>56716</v>
      </c>
    </row>
    <row r="7020" spans="1:12" ht="11.25" x14ac:dyDescent="0.2">
      <c r="A7020" s="45" t="s">
        <v>45530</v>
      </c>
      <c r="B7020" s="45" t="s">
        <v>45532</v>
      </c>
      <c r="C7020" s="51" t="s">
        <v>45534</v>
      </c>
      <c r="D7020" s="51" t="s">
        <v>45533</v>
      </c>
      <c r="E7020" s="45" t="s">
        <v>689</v>
      </c>
      <c r="F7020" s="45" t="s">
        <v>50646</v>
      </c>
      <c r="G7020" s="45" t="s">
        <v>50584</v>
      </c>
      <c r="H7020" s="56"/>
      <c r="I7020" s="56" t="s">
        <v>50564</v>
      </c>
      <c r="J7020" s="56"/>
      <c r="K7020" s="57"/>
      <c r="L7020" s="56" t="s">
        <v>56716</v>
      </c>
    </row>
    <row r="7021" spans="1:12" ht="11.25" x14ac:dyDescent="0.2">
      <c r="A7021" s="45" t="s">
        <v>45537</v>
      </c>
      <c r="B7021" s="45" t="s">
        <v>45537</v>
      </c>
      <c r="C7021" s="51" t="s">
        <v>45540</v>
      </c>
      <c r="D7021" s="51" t="s">
        <v>45539</v>
      </c>
      <c r="E7021" s="45" t="s">
        <v>45541</v>
      </c>
      <c r="F7021" s="45" t="s">
        <v>17759</v>
      </c>
      <c r="G7021" s="45" t="s">
        <v>50584</v>
      </c>
      <c r="H7021" s="56"/>
      <c r="I7021" s="56" t="s">
        <v>50564</v>
      </c>
      <c r="J7021" s="56"/>
      <c r="K7021" s="57"/>
      <c r="L7021" s="56" t="s">
        <v>56716</v>
      </c>
    </row>
    <row r="7022" spans="1:12" ht="11.25" x14ac:dyDescent="0.2">
      <c r="A7022" s="46" t="s">
        <v>3515</v>
      </c>
      <c r="B7022" s="46" t="s">
        <v>3515</v>
      </c>
      <c r="C7022" s="58" t="str">
        <f>"03064530"</f>
        <v>03064530</v>
      </c>
      <c r="D7022" s="58" t="str">
        <f>"18733360"</f>
        <v>18733360</v>
      </c>
      <c r="E7022" s="46" t="s">
        <v>155</v>
      </c>
      <c r="F7022" s="46" t="s">
        <v>50646</v>
      </c>
      <c r="G7022" s="46" t="s">
        <v>50584</v>
      </c>
      <c r="H7022" s="48" t="s">
        <v>56716</v>
      </c>
      <c r="I7022" s="48" t="s">
        <v>50564</v>
      </c>
      <c r="J7022" s="48" t="s">
        <v>56716</v>
      </c>
      <c r="K7022" s="50" t="s">
        <v>56716</v>
      </c>
      <c r="L7022" s="48" t="s">
        <v>56716</v>
      </c>
    </row>
    <row r="7023" spans="1:12" ht="11.25" x14ac:dyDescent="0.2">
      <c r="A7023" s="45" t="s">
        <v>45546</v>
      </c>
      <c r="B7023" s="45" t="s">
        <v>45548</v>
      </c>
      <c r="C7023" s="51" t="s">
        <v>45551</v>
      </c>
      <c r="D7023" s="51" t="s">
        <v>45550</v>
      </c>
      <c r="E7023" s="45" t="s">
        <v>45552</v>
      </c>
      <c r="F7023" s="45" t="s">
        <v>17759</v>
      </c>
      <c r="G7023" s="45" t="s">
        <v>50584</v>
      </c>
      <c r="H7023" s="56"/>
      <c r="I7023" s="56" t="s">
        <v>50564</v>
      </c>
      <c r="J7023" s="56"/>
      <c r="K7023" s="57"/>
      <c r="L7023" s="56" t="s">
        <v>56716</v>
      </c>
    </row>
    <row r="7024" spans="1:12" ht="11.25" x14ac:dyDescent="0.2">
      <c r="A7024" s="46" t="s">
        <v>12252</v>
      </c>
      <c r="B7024" s="46" t="s">
        <v>55140</v>
      </c>
      <c r="C7024" s="58" t="str">
        <f>"17783798"</f>
        <v>17783798</v>
      </c>
      <c r="D7024" s="58" t="str">
        <f>"1778381X"</f>
        <v>1778381X</v>
      </c>
      <c r="E7024" s="46" t="s">
        <v>11245</v>
      </c>
      <c r="F7024" s="46" t="s">
        <v>20359</v>
      </c>
      <c r="G7024" s="46" t="s">
        <v>50591</v>
      </c>
      <c r="H7024" s="48" t="s">
        <v>56716</v>
      </c>
      <c r="I7024" s="48" t="s">
        <v>50564</v>
      </c>
      <c r="J7024" s="48"/>
      <c r="K7024" s="50" t="s">
        <v>56716</v>
      </c>
      <c r="L7024" s="48"/>
    </row>
    <row r="7025" spans="1:12" ht="11.25" x14ac:dyDescent="0.2">
      <c r="A7025" s="46" t="s">
        <v>5799</v>
      </c>
      <c r="B7025" s="46" t="s">
        <v>5799</v>
      </c>
      <c r="C7025" s="58" t="str">
        <f>"10579249"</f>
        <v>10579249</v>
      </c>
      <c r="D7025" s="58" t="str">
        <f>"10991611"</f>
        <v>10991611</v>
      </c>
      <c r="E7025" s="46" t="s">
        <v>751</v>
      </c>
      <c r="F7025" s="46" t="s">
        <v>50646</v>
      </c>
      <c r="G7025" s="46" t="s">
        <v>50584</v>
      </c>
      <c r="H7025" s="48" t="s">
        <v>56716</v>
      </c>
      <c r="I7025" s="48" t="s">
        <v>50564</v>
      </c>
      <c r="J7025" s="48"/>
      <c r="K7025" s="50" t="s">
        <v>56716</v>
      </c>
      <c r="L7025" s="48" t="s">
        <v>56716</v>
      </c>
    </row>
    <row r="7026" spans="1:12" ht="11.25" x14ac:dyDescent="0.2">
      <c r="A7026" s="45" t="s">
        <v>45559</v>
      </c>
      <c r="B7026" s="45" t="s">
        <v>45559</v>
      </c>
      <c r="C7026" s="51" t="s">
        <v>45563</v>
      </c>
      <c r="D7026" s="51" t="s">
        <v>45562</v>
      </c>
      <c r="E7026" s="45" t="s">
        <v>22922</v>
      </c>
      <c r="F7026" s="45" t="s">
        <v>18123</v>
      </c>
      <c r="G7026" s="45" t="s">
        <v>50584</v>
      </c>
      <c r="H7026" s="56"/>
      <c r="I7026" s="56" t="s">
        <v>50564</v>
      </c>
      <c r="J7026" s="56"/>
      <c r="K7026" s="57"/>
      <c r="L7026" s="56" t="s">
        <v>56716</v>
      </c>
    </row>
    <row r="7027" spans="1:12" ht="11.25" x14ac:dyDescent="0.2">
      <c r="A7027" s="46" t="s">
        <v>13920</v>
      </c>
      <c r="B7027" s="46" t="s">
        <v>55141</v>
      </c>
      <c r="C7027" s="58" t="str">
        <f>"19369255"</f>
        <v>19369255</v>
      </c>
      <c r="D7027" s="58" t="str">
        <f>""</f>
        <v/>
      </c>
      <c r="E7027" s="46" t="s">
        <v>28</v>
      </c>
      <c r="F7027" s="46" t="s">
        <v>17759</v>
      </c>
      <c r="G7027" s="46" t="s">
        <v>50584</v>
      </c>
      <c r="H7027" s="48" t="s">
        <v>56716</v>
      </c>
      <c r="I7027" s="48" t="s">
        <v>50566</v>
      </c>
      <c r="J7027" s="48"/>
      <c r="K7027" s="57"/>
      <c r="L7027" s="48"/>
    </row>
    <row r="7028" spans="1:12" ht="11.25" x14ac:dyDescent="0.2">
      <c r="A7028" s="46" t="s">
        <v>3475</v>
      </c>
      <c r="B7028" s="46" t="s">
        <v>3475</v>
      </c>
      <c r="C7028" s="58" t="str">
        <f>"00333158"</f>
        <v>00333158</v>
      </c>
      <c r="D7028" s="58" t="str">
        <f>"14322072"</f>
        <v>14322072</v>
      </c>
      <c r="E7028" s="46" t="s">
        <v>167</v>
      </c>
      <c r="F7028" s="46" t="s">
        <v>18158</v>
      </c>
      <c r="G7028" s="46" t="s">
        <v>50584</v>
      </c>
      <c r="H7028" s="48" t="s">
        <v>56716</v>
      </c>
      <c r="I7028" s="48" t="s">
        <v>50564</v>
      </c>
      <c r="J7028" s="48" t="s">
        <v>56716</v>
      </c>
      <c r="K7028" s="50" t="s">
        <v>56716</v>
      </c>
      <c r="L7028" s="48" t="s">
        <v>56716</v>
      </c>
    </row>
    <row r="7029" spans="1:12" ht="11.25" x14ac:dyDescent="0.2">
      <c r="A7029" s="46" t="s">
        <v>13976</v>
      </c>
      <c r="B7029" s="46" t="s">
        <v>55142</v>
      </c>
      <c r="C7029" s="58" t="str">
        <f>"16068181"</f>
        <v>16068181</v>
      </c>
      <c r="D7029" s="58" t="str">
        <f>"20705670"</f>
        <v>20705670</v>
      </c>
      <c r="E7029" s="46" t="s">
        <v>13979</v>
      </c>
      <c r="F7029" s="46" t="s">
        <v>50653</v>
      </c>
      <c r="G7029" s="46" t="s">
        <v>50617</v>
      </c>
      <c r="H7029" s="48" t="s">
        <v>56716</v>
      </c>
      <c r="I7029" s="48" t="s">
        <v>50564</v>
      </c>
      <c r="J7029" s="48"/>
      <c r="K7029" s="57"/>
      <c r="L7029" s="48"/>
    </row>
    <row r="7030" spans="1:12" ht="11.25" x14ac:dyDescent="0.2">
      <c r="A7030" s="46" t="s">
        <v>3506</v>
      </c>
      <c r="B7030" s="46" t="s">
        <v>55143</v>
      </c>
      <c r="C7030" s="58" t="str">
        <f>"00485764"</f>
        <v>00485764</v>
      </c>
      <c r="D7030" s="58" t="str">
        <f>""</f>
        <v/>
      </c>
      <c r="E7030" s="46" t="s">
        <v>3508</v>
      </c>
      <c r="F7030" s="46" t="s">
        <v>17759</v>
      </c>
      <c r="G7030" s="46" t="s">
        <v>50584</v>
      </c>
      <c r="H7030" s="48" t="s">
        <v>56716</v>
      </c>
      <c r="I7030" s="48" t="s">
        <v>50564</v>
      </c>
      <c r="J7030" s="48"/>
      <c r="K7030" s="57"/>
      <c r="L7030" s="48" t="s">
        <v>56716</v>
      </c>
    </row>
    <row r="7031" spans="1:12" ht="11.25" x14ac:dyDescent="0.2">
      <c r="A7031" s="46" t="s">
        <v>6783</v>
      </c>
      <c r="B7031" s="46" t="s">
        <v>6783</v>
      </c>
      <c r="C7031" s="58" t="str">
        <f>"09446877"</f>
        <v>09446877</v>
      </c>
      <c r="D7031" s="58" t="str">
        <f>""</f>
        <v/>
      </c>
      <c r="E7031" s="46" t="s">
        <v>2997</v>
      </c>
      <c r="F7031" s="46" t="s">
        <v>18158</v>
      </c>
      <c r="G7031" s="46" t="s">
        <v>50593</v>
      </c>
      <c r="H7031" s="48" t="s">
        <v>56716</v>
      </c>
      <c r="I7031" s="48" t="s">
        <v>50564</v>
      </c>
      <c r="J7031" s="48"/>
      <c r="K7031" s="57"/>
      <c r="L7031" s="48"/>
    </row>
    <row r="7032" spans="1:12" ht="11.25" x14ac:dyDescent="0.2">
      <c r="A7032" s="46" t="s">
        <v>7755</v>
      </c>
      <c r="B7032" s="46" t="s">
        <v>55144</v>
      </c>
      <c r="C7032" s="58" t="str">
        <f>"09465146"</f>
        <v>09465146</v>
      </c>
      <c r="D7032" s="58" t="str">
        <f>""</f>
        <v/>
      </c>
      <c r="E7032" s="46" t="s">
        <v>2997</v>
      </c>
      <c r="F7032" s="46" t="s">
        <v>18158</v>
      </c>
      <c r="G7032" s="46" t="s">
        <v>50593</v>
      </c>
      <c r="H7032" s="48" t="s">
        <v>56716</v>
      </c>
      <c r="I7032" s="48" t="s">
        <v>50564</v>
      </c>
      <c r="J7032" s="48"/>
      <c r="K7032" s="57"/>
      <c r="L7032" s="48"/>
    </row>
    <row r="7033" spans="1:12" ht="11.25" x14ac:dyDescent="0.2">
      <c r="A7033" s="45" t="s">
        <v>22476</v>
      </c>
      <c r="B7033" s="45" t="s">
        <v>22476</v>
      </c>
      <c r="C7033" s="51" t="s">
        <v>45578</v>
      </c>
      <c r="D7033" s="51" t="s">
        <v>45577</v>
      </c>
      <c r="E7033" s="45" t="s">
        <v>21146</v>
      </c>
      <c r="F7033" s="45" t="s">
        <v>17759</v>
      </c>
      <c r="G7033" s="45" t="s">
        <v>50584</v>
      </c>
      <c r="H7033" s="56"/>
      <c r="I7033" s="56" t="s">
        <v>50564</v>
      </c>
      <c r="J7033" s="56"/>
      <c r="K7033" s="57"/>
      <c r="L7033" s="56" t="s">
        <v>56716</v>
      </c>
    </row>
    <row r="7034" spans="1:12" ht="11.25" x14ac:dyDescent="0.2">
      <c r="A7034" s="46" t="s">
        <v>3478</v>
      </c>
      <c r="B7034" s="46" t="s">
        <v>55145</v>
      </c>
      <c r="C7034" s="58" t="str">
        <f>"00333174"</f>
        <v>00333174</v>
      </c>
      <c r="D7034" s="58" t="str">
        <f>"15347796"</f>
        <v>15347796</v>
      </c>
      <c r="E7034" s="46" t="s">
        <v>28</v>
      </c>
      <c r="F7034" s="46" t="s">
        <v>17759</v>
      </c>
      <c r="G7034" s="46" t="s">
        <v>50584</v>
      </c>
      <c r="H7034" s="48" t="s">
        <v>56716</v>
      </c>
      <c r="I7034" s="48" t="s">
        <v>50564</v>
      </c>
      <c r="J7034" s="48" t="s">
        <v>56716</v>
      </c>
      <c r="K7034" s="50" t="s">
        <v>56716</v>
      </c>
      <c r="L7034" s="48" t="s">
        <v>56716</v>
      </c>
    </row>
    <row r="7035" spans="1:12" ht="11.25" x14ac:dyDescent="0.2">
      <c r="A7035" s="46" t="s">
        <v>3512</v>
      </c>
      <c r="B7035" s="46" t="s">
        <v>3512</v>
      </c>
      <c r="C7035" s="58" t="str">
        <f>"00333182"</f>
        <v>00333182</v>
      </c>
      <c r="D7035" s="58" t="str">
        <f>"15457206"</f>
        <v>15457206</v>
      </c>
      <c r="E7035" s="46" t="s">
        <v>272</v>
      </c>
      <c r="F7035" s="46" t="s">
        <v>17759</v>
      </c>
      <c r="G7035" s="46" t="s">
        <v>50584</v>
      </c>
      <c r="H7035" s="48" t="s">
        <v>56716</v>
      </c>
      <c r="I7035" s="48" t="s">
        <v>50564</v>
      </c>
      <c r="J7035" s="48"/>
      <c r="K7035" s="50" t="s">
        <v>56716</v>
      </c>
      <c r="L7035" s="48" t="s">
        <v>56716</v>
      </c>
    </row>
    <row r="7036" spans="1:12" ht="11.25" x14ac:dyDescent="0.2">
      <c r="A7036" s="46" t="s">
        <v>9099</v>
      </c>
      <c r="B7036" s="46" t="s">
        <v>9099</v>
      </c>
      <c r="C7036" s="58" t="str">
        <f>"02394170"</f>
        <v>02394170</v>
      </c>
      <c r="D7036" s="58" t="str">
        <f>""</f>
        <v/>
      </c>
      <c r="E7036" s="46" t="s">
        <v>3486</v>
      </c>
      <c r="F7036" s="46" t="s">
        <v>17967</v>
      </c>
      <c r="G7036" s="46" t="s">
        <v>50612</v>
      </c>
      <c r="H7036" s="48" t="s">
        <v>56716</v>
      </c>
      <c r="I7036" s="48" t="s">
        <v>50564</v>
      </c>
      <c r="J7036" s="48"/>
      <c r="K7036" s="57"/>
      <c r="L7036" s="48"/>
    </row>
    <row r="7037" spans="1:12" ht="11.25" x14ac:dyDescent="0.2">
      <c r="A7037" s="46" t="s">
        <v>5161</v>
      </c>
      <c r="B7037" s="46" t="s">
        <v>5161</v>
      </c>
      <c r="C7037" s="58" t="str">
        <f>"0251737X"</f>
        <v>0251737X</v>
      </c>
      <c r="D7037" s="58" t="str">
        <f>""</f>
        <v/>
      </c>
      <c r="E7037" s="46" t="s">
        <v>5160</v>
      </c>
      <c r="F7037" s="46" t="s">
        <v>18123</v>
      </c>
      <c r="G7037" s="46" t="s">
        <v>50591</v>
      </c>
      <c r="H7037" s="48" t="s">
        <v>56716</v>
      </c>
      <c r="I7037" s="48" t="s">
        <v>50564</v>
      </c>
      <c r="J7037" s="48"/>
      <c r="K7037" s="57"/>
      <c r="L7037" s="48"/>
    </row>
    <row r="7038" spans="1:12" ht="11.25" x14ac:dyDescent="0.2">
      <c r="A7038" s="46" t="s">
        <v>3518</v>
      </c>
      <c r="B7038" s="46" t="s">
        <v>3518</v>
      </c>
      <c r="C7038" s="58" t="str">
        <f>"00333204"</f>
        <v>00333204</v>
      </c>
      <c r="D7038" s="58" t="str">
        <f>"19391536"</f>
        <v>19391536</v>
      </c>
      <c r="E7038" s="46" t="s">
        <v>356</v>
      </c>
      <c r="F7038" s="46" t="s">
        <v>17759</v>
      </c>
      <c r="G7038" s="46" t="s">
        <v>50584</v>
      </c>
      <c r="H7038" s="48" t="s">
        <v>56716</v>
      </c>
      <c r="I7038" s="48" t="s">
        <v>50564</v>
      </c>
      <c r="J7038" s="48"/>
      <c r="K7038" s="50" t="s">
        <v>56716</v>
      </c>
      <c r="L7038" s="48" t="s">
        <v>56716</v>
      </c>
    </row>
    <row r="7039" spans="1:12" ht="11.25" x14ac:dyDescent="0.2">
      <c r="A7039" s="46" t="s">
        <v>3488</v>
      </c>
      <c r="B7039" s="46" t="s">
        <v>55146</v>
      </c>
      <c r="C7039" s="58" t="str">
        <f>"00333190"</f>
        <v>00333190</v>
      </c>
      <c r="D7039" s="58" t="str">
        <f>"14230348"</f>
        <v>14230348</v>
      </c>
      <c r="E7039" s="46" t="s">
        <v>109</v>
      </c>
      <c r="F7039" s="46" t="s">
        <v>18123</v>
      </c>
      <c r="G7039" s="46" t="s">
        <v>50584</v>
      </c>
      <c r="H7039" s="48" t="s">
        <v>56716</v>
      </c>
      <c r="I7039" s="48" t="s">
        <v>50564</v>
      </c>
      <c r="J7039" s="48" t="s">
        <v>56716</v>
      </c>
      <c r="K7039" s="50" t="s">
        <v>56716</v>
      </c>
      <c r="L7039" s="48" t="s">
        <v>56716</v>
      </c>
    </row>
    <row r="7040" spans="1:12" ht="11.25" x14ac:dyDescent="0.2">
      <c r="A7040" s="45" t="s">
        <v>45602</v>
      </c>
      <c r="B7040" s="45" t="s">
        <v>45604</v>
      </c>
      <c r="C7040" s="51" t="s">
        <v>45606</v>
      </c>
      <c r="D7040" s="51" t="s">
        <v>45605</v>
      </c>
      <c r="E7040" s="45" t="s">
        <v>45607</v>
      </c>
      <c r="F7040" s="45" t="s">
        <v>50646</v>
      </c>
      <c r="G7040" s="45" t="s">
        <v>50584</v>
      </c>
      <c r="H7040" s="56"/>
      <c r="I7040" s="56" t="s">
        <v>50564</v>
      </c>
      <c r="J7040" s="56"/>
      <c r="K7040" s="57"/>
      <c r="L7040" s="56" t="s">
        <v>56716</v>
      </c>
    </row>
    <row r="7041" spans="1:12" ht="11.25" x14ac:dyDescent="0.2">
      <c r="A7041" s="46" t="s">
        <v>13276</v>
      </c>
      <c r="B7041" s="46" t="s">
        <v>55147</v>
      </c>
      <c r="C7041" s="58" t="str">
        <f>"12452092"</f>
        <v>12452092</v>
      </c>
      <c r="D7041" s="58" t="str">
        <f>"17821487"</f>
        <v>17821487</v>
      </c>
      <c r="E7041" s="46" t="s">
        <v>13279</v>
      </c>
      <c r="F7041" s="46" t="s">
        <v>17929</v>
      </c>
      <c r="G7041" s="46" t="s">
        <v>50591</v>
      </c>
      <c r="H7041" s="48" t="s">
        <v>56716</v>
      </c>
      <c r="I7041" s="48" t="s">
        <v>50564</v>
      </c>
      <c r="J7041" s="48"/>
      <c r="K7041" s="57"/>
      <c r="L7041" s="48"/>
    </row>
    <row r="7042" spans="1:12" ht="11.25" x14ac:dyDescent="0.2">
      <c r="A7042" s="46" t="s">
        <v>5064</v>
      </c>
      <c r="B7042" s="46" t="s">
        <v>5064</v>
      </c>
      <c r="C7042" s="58" t="str">
        <f>"21954720"</f>
        <v>21954720</v>
      </c>
      <c r="D7042" s="58" t="str">
        <f>"09334807"</f>
        <v>09334807</v>
      </c>
      <c r="E7042" s="46" t="s">
        <v>1887</v>
      </c>
      <c r="F7042" s="46" t="s">
        <v>18158</v>
      </c>
      <c r="G7042" s="46" t="s">
        <v>50584</v>
      </c>
      <c r="H7042" s="48" t="s">
        <v>56716</v>
      </c>
      <c r="I7042" s="48" t="s">
        <v>50564</v>
      </c>
      <c r="J7042" s="48" t="s">
        <v>56716</v>
      </c>
      <c r="K7042" s="57"/>
      <c r="L7042" s="48"/>
    </row>
    <row r="7043" spans="1:12" ht="11.25" x14ac:dyDescent="0.2">
      <c r="A7043" s="46" t="s">
        <v>3524</v>
      </c>
      <c r="B7043" s="46" t="s">
        <v>3524</v>
      </c>
      <c r="C7043" s="58" t="str">
        <f>"00333506"</f>
        <v>00333506</v>
      </c>
      <c r="D7043" s="58" t="str">
        <f>"14765616"</f>
        <v>14765616</v>
      </c>
      <c r="E7043" s="46" t="s">
        <v>91</v>
      </c>
      <c r="F7043" s="46" t="s">
        <v>18001</v>
      </c>
      <c r="G7043" s="46" t="s">
        <v>50584</v>
      </c>
      <c r="H7043" s="48" t="s">
        <v>56716</v>
      </c>
      <c r="I7043" s="48" t="s">
        <v>50564</v>
      </c>
      <c r="J7043" s="48"/>
      <c r="K7043" s="50" t="s">
        <v>56716</v>
      </c>
      <c r="L7043" s="48" t="s">
        <v>56716</v>
      </c>
    </row>
    <row r="7044" spans="1:12" ht="11.25" x14ac:dyDescent="0.2">
      <c r="A7044" s="46" t="s">
        <v>16828</v>
      </c>
      <c r="B7044" s="46" t="s">
        <v>16828</v>
      </c>
      <c r="C7044" s="58" t="str">
        <f>""</f>
        <v/>
      </c>
      <c r="D7044" s="58" t="str">
        <f>"22208372"</f>
        <v>22208372</v>
      </c>
      <c r="E7044" s="46" t="s">
        <v>16830</v>
      </c>
      <c r="F7044" s="46" t="s">
        <v>20359</v>
      </c>
      <c r="G7044" s="46" t="s">
        <v>50584</v>
      </c>
      <c r="H7044" s="48" t="s">
        <v>56716</v>
      </c>
      <c r="I7044" s="48" t="s">
        <v>50564</v>
      </c>
      <c r="J7044" s="48"/>
      <c r="K7044" s="57"/>
      <c r="L7044" s="48"/>
    </row>
    <row r="7045" spans="1:12" ht="11.25" x14ac:dyDescent="0.2">
      <c r="A7045" s="46" t="s">
        <v>13418</v>
      </c>
      <c r="B7045" s="46" t="s">
        <v>13418</v>
      </c>
      <c r="C7045" s="58" t="str">
        <f>"17549973"</f>
        <v>17549973</v>
      </c>
      <c r="D7045" s="58" t="str">
        <f>"17549981"</f>
        <v>17549981</v>
      </c>
      <c r="E7045" s="46" t="s">
        <v>55</v>
      </c>
      <c r="F7045" s="46" t="s">
        <v>50646</v>
      </c>
      <c r="G7045" s="46" t="s">
        <v>50584</v>
      </c>
      <c r="H7045" s="48" t="s">
        <v>56716</v>
      </c>
      <c r="I7045" s="48" t="s">
        <v>50564</v>
      </c>
      <c r="J7045" s="48" t="s">
        <v>56716</v>
      </c>
      <c r="K7045" s="57"/>
      <c r="L7045" s="48"/>
    </row>
    <row r="7046" spans="1:12" ht="11.25" x14ac:dyDescent="0.2">
      <c r="A7046" s="46" t="s">
        <v>10100</v>
      </c>
      <c r="B7046" s="46" t="s">
        <v>10100</v>
      </c>
      <c r="C7046" s="58" t="str">
        <f>"09445587"</f>
        <v>09445587</v>
      </c>
      <c r="D7046" s="58" t="str">
        <f>"18764851"</f>
        <v>18764851</v>
      </c>
      <c r="E7046" s="46" t="s">
        <v>1887</v>
      </c>
      <c r="F7046" s="46" t="s">
        <v>18158</v>
      </c>
      <c r="G7046" s="46" t="s">
        <v>50593</v>
      </c>
      <c r="H7046" s="48" t="s">
        <v>56716</v>
      </c>
      <c r="I7046" s="48" t="s">
        <v>50564</v>
      </c>
      <c r="J7046" s="48"/>
      <c r="K7046" s="50" t="s">
        <v>56716</v>
      </c>
      <c r="L7046" s="48"/>
    </row>
    <row r="7047" spans="1:12" ht="11.25" x14ac:dyDescent="0.2">
      <c r="A7047" s="46" t="s">
        <v>13648</v>
      </c>
      <c r="B7047" s="46" t="s">
        <v>13648</v>
      </c>
      <c r="C7047" s="58" t="str">
        <f>"16624246"</f>
        <v>16624246</v>
      </c>
      <c r="D7047" s="58" t="str">
        <f>"16628063"</f>
        <v>16628063</v>
      </c>
      <c r="E7047" s="46" t="s">
        <v>109</v>
      </c>
      <c r="F7047" s="46" t="s">
        <v>18123</v>
      </c>
      <c r="G7047" s="46" t="s">
        <v>50584</v>
      </c>
      <c r="H7047" s="48" t="s">
        <v>56716</v>
      </c>
      <c r="I7047" s="48" t="s">
        <v>50564</v>
      </c>
      <c r="J7047" s="48" t="s">
        <v>56716</v>
      </c>
      <c r="K7047" s="50" t="s">
        <v>56716</v>
      </c>
      <c r="L7047" s="48" t="s">
        <v>56716</v>
      </c>
    </row>
    <row r="7048" spans="1:12" ht="11.25" x14ac:dyDescent="0.2">
      <c r="A7048" s="45" t="s">
        <v>45620</v>
      </c>
      <c r="B7048" s="45" t="s">
        <v>45622</v>
      </c>
      <c r="C7048" s="51" t="s">
        <v>45624</v>
      </c>
      <c r="D7048" s="51" t="s">
        <v>45623</v>
      </c>
      <c r="E7048" s="45" t="s">
        <v>23527</v>
      </c>
      <c r="F7048" s="45" t="s">
        <v>17759</v>
      </c>
      <c r="G7048" s="45" t="s">
        <v>50584</v>
      </c>
      <c r="H7048" s="56"/>
      <c r="I7048" s="56" t="s">
        <v>50564</v>
      </c>
      <c r="J7048" s="56"/>
      <c r="K7048" s="57"/>
      <c r="L7048" s="56" t="s">
        <v>56716</v>
      </c>
    </row>
    <row r="7049" spans="1:12" ht="11.25" x14ac:dyDescent="0.2">
      <c r="A7049" s="45" t="s">
        <v>45626</v>
      </c>
      <c r="B7049" s="45" t="s">
        <v>45628</v>
      </c>
      <c r="C7049" s="51" t="s">
        <v>45630</v>
      </c>
      <c r="D7049" s="51" t="s">
        <v>45629</v>
      </c>
      <c r="E7049" s="45" t="s">
        <v>724</v>
      </c>
      <c r="F7049" s="45" t="s">
        <v>50646</v>
      </c>
      <c r="G7049" s="45" t="s">
        <v>50584</v>
      </c>
      <c r="H7049" s="56"/>
      <c r="I7049" s="56" t="s">
        <v>50564</v>
      </c>
      <c r="J7049" s="56"/>
      <c r="K7049" s="57"/>
      <c r="L7049" s="56" t="s">
        <v>56716</v>
      </c>
    </row>
    <row r="7050" spans="1:12" ht="11.25" x14ac:dyDescent="0.2">
      <c r="A7050" s="46" t="s">
        <v>3406</v>
      </c>
      <c r="B7050" s="46" t="s">
        <v>55148</v>
      </c>
      <c r="C7050" s="58" t="str">
        <f>"00333549"</f>
        <v>00333549</v>
      </c>
      <c r="D7050" s="58" t="str">
        <f>"14682877"</f>
        <v>14682877</v>
      </c>
      <c r="E7050" s="46" t="s">
        <v>3409</v>
      </c>
      <c r="F7050" s="46" t="s">
        <v>17759</v>
      </c>
      <c r="G7050" s="46" t="s">
        <v>50584</v>
      </c>
      <c r="H7050" s="48" t="s">
        <v>56716</v>
      </c>
      <c r="I7050" s="48" t="s">
        <v>50564</v>
      </c>
      <c r="J7050" s="48" t="s">
        <v>56716</v>
      </c>
      <c r="K7050" s="57"/>
      <c r="L7050" s="48" t="s">
        <v>56716</v>
      </c>
    </row>
    <row r="7051" spans="1:12" ht="11.25" x14ac:dyDescent="0.2">
      <c r="A7051" s="45" t="s">
        <v>56651</v>
      </c>
      <c r="B7051" s="45" t="s">
        <v>56652</v>
      </c>
      <c r="C7051" s="51"/>
      <c r="D7051" s="51" t="s">
        <v>56653</v>
      </c>
      <c r="E7051" s="45" t="s">
        <v>56654</v>
      </c>
      <c r="F7051" s="45" t="s">
        <v>20082</v>
      </c>
      <c r="G7051" s="45" t="s">
        <v>50584</v>
      </c>
      <c r="H7051" s="56"/>
      <c r="I7051" s="56" t="s">
        <v>50564</v>
      </c>
      <c r="J7051" s="56"/>
      <c r="K7051" s="57"/>
      <c r="L7051" s="56" t="s">
        <v>56716</v>
      </c>
    </row>
    <row r="7052" spans="1:12" ht="11.25" x14ac:dyDescent="0.2">
      <c r="A7052" s="46" t="s">
        <v>3321</v>
      </c>
      <c r="B7052" s="46" t="s">
        <v>55149</v>
      </c>
      <c r="C7052" s="58" t="str">
        <f>"03010422"</f>
        <v>03010422</v>
      </c>
      <c r="D7052" s="58" t="str">
        <f>"21076952"</f>
        <v>21076952</v>
      </c>
      <c r="E7052" s="46" t="s">
        <v>3324</v>
      </c>
      <c r="F7052" s="46" t="s">
        <v>20359</v>
      </c>
      <c r="G7052" s="46" t="s">
        <v>50584</v>
      </c>
      <c r="H7052" s="48" t="s">
        <v>56716</v>
      </c>
      <c r="I7052" s="48" t="s">
        <v>50564</v>
      </c>
      <c r="J7052" s="48"/>
      <c r="K7052" s="57"/>
      <c r="L7052" s="48"/>
    </row>
    <row r="7053" spans="1:12" ht="11.25" x14ac:dyDescent="0.2">
      <c r="A7053" s="45" t="s">
        <v>45642</v>
      </c>
      <c r="B7053" s="45" t="s">
        <v>45644</v>
      </c>
      <c r="C7053" s="51" t="s">
        <v>45646</v>
      </c>
      <c r="D7053" s="51" t="s">
        <v>45645</v>
      </c>
      <c r="E7053" s="45" t="s">
        <v>18520</v>
      </c>
      <c r="F7053" s="45" t="s">
        <v>50646</v>
      </c>
      <c r="G7053" s="45" t="s">
        <v>50584</v>
      </c>
      <c r="H7053" s="56"/>
      <c r="I7053" s="56" t="s">
        <v>50564</v>
      </c>
      <c r="J7053" s="56"/>
      <c r="K7053" s="57"/>
      <c r="L7053" s="56" t="s">
        <v>56716</v>
      </c>
    </row>
    <row r="7054" spans="1:12" ht="11.25" x14ac:dyDescent="0.2">
      <c r="A7054" s="46" t="s">
        <v>9818</v>
      </c>
      <c r="B7054" s="46" t="s">
        <v>55150</v>
      </c>
      <c r="C7054" s="58" t="str">
        <f>"13467271"</f>
        <v>13467271</v>
      </c>
      <c r="D7054" s="58" t="str">
        <f>""</f>
        <v/>
      </c>
      <c r="E7054" s="46" t="s">
        <v>9820</v>
      </c>
      <c r="F7054" s="46" t="s">
        <v>18242</v>
      </c>
      <c r="G7054" s="46" t="s">
        <v>50584</v>
      </c>
      <c r="H7054" s="48" t="s">
        <v>56716</v>
      </c>
      <c r="I7054" s="48" t="s">
        <v>50564</v>
      </c>
      <c r="J7054" s="48"/>
      <c r="K7054" s="57"/>
      <c r="L7054" s="48"/>
    </row>
    <row r="7055" spans="1:12" ht="11.25" x14ac:dyDescent="0.2">
      <c r="A7055" s="45" t="s">
        <v>45648</v>
      </c>
      <c r="B7055" s="45" t="s">
        <v>45650</v>
      </c>
      <c r="C7055" s="51" t="s">
        <v>45651</v>
      </c>
      <c r="D7055" s="51" t="s">
        <v>56655</v>
      </c>
      <c r="E7055" s="45" t="s">
        <v>45652</v>
      </c>
      <c r="F7055" s="45" t="s">
        <v>23216</v>
      </c>
      <c r="G7055" s="45" t="s">
        <v>50633</v>
      </c>
      <c r="H7055" s="56"/>
      <c r="I7055" s="56" t="s">
        <v>50564</v>
      </c>
      <c r="J7055" s="56"/>
      <c r="K7055" s="57"/>
      <c r="L7055" s="56" t="s">
        <v>56716</v>
      </c>
    </row>
    <row r="7056" spans="1:12" ht="11.25" x14ac:dyDescent="0.2">
      <c r="A7056" s="46" t="s">
        <v>15733</v>
      </c>
      <c r="B7056" s="46" t="s">
        <v>55151</v>
      </c>
      <c r="C7056" s="58" t="str">
        <f>"20901836"</f>
        <v>20901836</v>
      </c>
      <c r="D7056" s="58" t="str">
        <f>"20901844"</f>
        <v>20901844</v>
      </c>
      <c r="E7056" s="46" t="s">
        <v>1412</v>
      </c>
      <c r="F7056" s="46" t="s">
        <v>17759</v>
      </c>
      <c r="G7056" s="46" t="s">
        <v>50584</v>
      </c>
      <c r="H7056" s="48" t="s">
        <v>56716</v>
      </c>
      <c r="I7056" s="48" t="s">
        <v>50564</v>
      </c>
      <c r="J7056" s="48" t="s">
        <v>56716</v>
      </c>
      <c r="K7056" s="57"/>
      <c r="L7056" s="48" t="s">
        <v>56716</v>
      </c>
    </row>
    <row r="7057" spans="1:12" ht="11.25" x14ac:dyDescent="0.2">
      <c r="A7057" s="46" t="s">
        <v>7685</v>
      </c>
      <c r="B7057" s="46" t="s">
        <v>55152</v>
      </c>
      <c r="C7057" s="58" t="str">
        <f>"10945539"</f>
        <v>10945539</v>
      </c>
      <c r="D7057" s="58" t="str">
        <f>"15229629"</f>
        <v>15229629</v>
      </c>
      <c r="E7057" s="46" t="s">
        <v>601</v>
      </c>
      <c r="F7057" s="46" t="s">
        <v>50646</v>
      </c>
      <c r="G7057" s="46" t="s">
        <v>50584</v>
      </c>
      <c r="H7057" s="48" t="s">
        <v>56716</v>
      </c>
      <c r="I7057" s="48" t="s">
        <v>50564</v>
      </c>
      <c r="J7057" s="48" t="s">
        <v>56716</v>
      </c>
      <c r="K7057" s="50" t="s">
        <v>56716</v>
      </c>
      <c r="L7057" s="48" t="s">
        <v>56716</v>
      </c>
    </row>
    <row r="7058" spans="1:12" ht="11.25" x14ac:dyDescent="0.2">
      <c r="A7058" s="46" t="s">
        <v>17535</v>
      </c>
      <c r="B7058" s="46" t="s">
        <v>17535</v>
      </c>
      <c r="C7058" s="58" t="str">
        <f>"22358676"</f>
        <v>22358676</v>
      </c>
      <c r="D7058" s="58" t="str">
        <f>"22358668"</f>
        <v>22358668</v>
      </c>
      <c r="E7058" s="46" t="s">
        <v>109</v>
      </c>
      <c r="F7058" s="46" t="s">
        <v>18123</v>
      </c>
      <c r="G7058" s="46" t="s">
        <v>50584</v>
      </c>
      <c r="H7058" s="48" t="s">
        <v>56716</v>
      </c>
      <c r="I7058" s="48" t="s">
        <v>50564</v>
      </c>
      <c r="J7058" s="48" t="s">
        <v>56716</v>
      </c>
      <c r="K7058" s="57"/>
      <c r="L7058" s="48"/>
    </row>
    <row r="7059" spans="1:12" ht="11.25" x14ac:dyDescent="0.2">
      <c r="A7059" s="46" t="s">
        <v>10693</v>
      </c>
      <c r="B7059" s="46" t="s">
        <v>55153</v>
      </c>
      <c r="C7059" s="58" t="str">
        <f>"15739538"</f>
        <v>15739538</v>
      </c>
      <c r="D7059" s="58" t="str">
        <f>"15739546"</f>
        <v>15739546</v>
      </c>
      <c r="E7059" s="46" t="s">
        <v>18876</v>
      </c>
      <c r="F7059" s="46" t="s">
        <v>18001</v>
      </c>
      <c r="G7059" s="46" t="s">
        <v>50584</v>
      </c>
      <c r="H7059" s="48" t="s">
        <v>56716</v>
      </c>
      <c r="I7059" s="48" t="s">
        <v>50564</v>
      </c>
      <c r="J7059" s="48"/>
      <c r="K7059" s="50" t="s">
        <v>56716</v>
      </c>
      <c r="L7059" s="48" t="s">
        <v>56716</v>
      </c>
    </row>
    <row r="7060" spans="1:12" ht="11.25" x14ac:dyDescent="0.2">
      <c r="A7060" s="46" t="s">
        <v>15009</v>
      </c>
      <c r="B7060" s="46" t="s">
        <v>55154</v>
      </c>
      <c r="C7060" s="58" t="str">
        <f>"09746013"</f>
        <v>09746013</v>
      </c>
      <c r="D7060" s="58" t="str">
        <f>"09751602"</f>
        <v>09751602</v>
      </c>
      <c r="E7060" s="46" t="s">
        <v>19057</v>
      </c>
      <c r="F7060" s="46" t="s">
        <v>20446</v>
      </c>
      <c r="G7060" s="46" t="s">
        <v>50584</v>
      </c>
      <c r="H7060" s="48" t="s">
        <v>56716</v>
      </c>
      <c r="I7060" s="48" t="s">
        <v>50564</v>
      </c>
      <c r="J7060" s="48" t="s">
        <v>56716</v>
      </c>
      <c r="K7060" s="57"/>
      <c r="L7060" s="48"/>
    </row>
    <row r="7061" spans="1:12" ht="11.25" x14ac:dyDescent="0.2">
      <c r="A7061" s="46" t="s">
        <v>8762</v>
      </c>
      <c r="B7061" s="46" t="s">
        <v>55155</v>
      </c>
      <c r="C7061" s="58" t="str">
        <f>"02538253"</f>
        <v>02538253</v>
      </c>
      <c r="D7061" s="58" t="str">
        <f>"22270426"</f>
        <v>22270426</v>
      </c>
      <c r="E7061" s="46" t="s">
        <v>8765</v>
      </c>
      <c r="F7061" s="46" t="s">
        <v>50652</v>
      </c>
      <c r="G7061" s="46" t="s">
        <v>50584</v>
      </c>
      <c r="H7061" s="48" t="s">
        <v>56716</v>
      </c>
      <c r="I7061" s="48" t="s">
        <v>50564</v>
      </c>
      <c r="J7061" s="48"/>
      <c r="K7061" s="57"/>
      <c r="L7061" s="48"/>
    </row>
    <row r="7062" spans="1:12" ht="11.25" x14ac:dyDescent="0.2">
      <c r="A7062" s="46" t="s">
        <v>6726</v>
      </c>
      <c r="B7062" s="46" t="s">
        <v>6726</v>
      </c>
      <c r="C7062" s="58" t="str">
        <f>"14602725"</f>
        <v>14602725</v>
      </c>
      <c r="D7062" s="58" t="str">
        <f>"14602393"</f>
        <v>14602393</v>
      </c>
      <c r="E7062" s="46" t="s">
        <v>55</v>
      </c>
      <c r="F7062" s="46" t="s">
        <v>50646</v>
      </c>
      <c r="G7062" s="46" t="s">
        <v>50584</v>
      </c>
      <c r="H7062" s="48" t="s">
        <v>56716</v>
      </c>
      <c r="I7062" s="48" t="s">
        <v>50564</v>
      </c>
      <c r="J7062" s="48" t="s">
        <v>56716</v>
      </c>
      <c r="K7062" s="57"/>
      <c r="L7062" s="48" t="s">
        <v>56716</v>
      </c>
    </row>
    <row r="7063" spans="1:12" ht="11.25" x14ac:dyDescent="0.2">
      <c r="A7063" s="45" t="s">
        <v>45669</v>
      </c>
      <c r="B7063" s="45" t="s">
        <v>45671</v>
      </c>
      <c r="C7063" s="51" t="s">
        <v>45672</v>
      </c>
      <c r="D7063" s="51"/>
      <c r="E7063" s="45" t="s">
        <v>19447</v>
      </c>
      <c r="F7063" s="45" t="s">
        <v>17759</v>
      </c>
      <c r="G7063" s="45" t="s">
        <v>50584</v>
      </c>
      <c r="H7063" s="56"/>
      <c r="I7063" s="56" t="s">
        <v>50564</v>
      </c>
      <c r="J7063" s="56"/>
      <c r="K7063" s="57"/>
      <c r="L7063" s="56" t="s">
        <v>56716</v>
      </c>
    </row>
    <row r="7064" spans="1:12" ht="11.25" x14ac:dyDescent="0.2">
      <c r="A7064" s="45" t="s">
        <v>45674</v>
      </c>
      <c r="B7064" s="45" t="s">
        <v>45676</v>
      </c>
      <c r="C7064" s="51"/>
      <c r="D7064" s="51"/>
      <c r="E7064" s="45" t="s">
        <v>45677</v>
      </c>
      <c r="F7064" s="45" t="s">
        <v>17759</v>
      </c>
      <c r="G7064" s="45" t="s">
        <v>50584</v>
      </c>
      <c r="H7064" s="56"/>
      <c r="I7064" s="56" t="s">
        <v>50564</v>
      </c>
      <c r="J7064" s="56"/>
      <c r="K7064" s="57"/>
      <c r="L7064" s="56" t="s">
        <v>56716</v>
      </c>
    </row>
    <row r="7065" spans="1:12" ht="11.25" x14ac:dyDescent="0.2">
      <c r="A7065" s="45" t="s">
        <v>45679</v>
      </c>
      <c r="B7065" s="45" t="s">
        <v>45681</v>
      </c>
      <c r="C7065" s="51" t="s">
        <v>45684</v>
      </c>
      <c r="D7065" s="51" t="s">
        <v>45683</v>
      </c>
      <c r="E7065" s="45" t="s">
        <v>27881</v>
      </c>
      <c r="F7065" s="45" t="s">
        <v>50646</v>
      </c>
      <c r="G7065" s="45" t="s">
        <v>50584</v>
      </c>
      <c r="H7065" s="56"/>
      <c r="I7065" s="56" t="s">
        <v>50564</v>
      </c>
      <c r="J7065" s="56"/>
      <c r="K7065" s="57"/>
      <c r="L7065" s="56" t="s">
        <v>56716</v>
      </c>
    </row>
    <row r="7066" spans="1:12" ht="11.25" x14ac:dyDescent="0.2">
      <c r="A7066" s="45" t="s">
        <v>45686</v>
      </c>
      <c r="B7066" s="45" t="s">
        <v>45688</v>
      </c>
      <c r="C7066" s="51" t="s">
        <v>45690</v>
      </c>
      <c r="D7066" s="51" t="s">
        <v>45689</v>
      </c>
      <c r="E7066" s="45" t="s">
        <v>17758</v>
      </c>
      <c r="F7066" s="45" t="s">
        <v>17759</v>
      </c>
      <c r="G7066" s="45" t="s">
        <v>50584</v>
      </c>
      <c r="H7066" s="56"/>
      <c r="I7066" s="56" t="s">
        <v>50564</v>
      </c>
      <c r="J7066" s="56"/>
      <c r="K7066" s="57"/>
      <c r="L7066" s="56" t="s">
        <v>56716</v>
      </c>
    </row>
    <row r="7067" spans="1:12" ht="11.25" x14ac:dyDescent="0.2">
      <c r="A7067" s="46" t="s">
        <v>56192</v>
      </c>
      <c r="B7067" s="46" t="s">
        <v>56193</v>
      </c>
      <c r="C7067" s="58" t="str">
        <f>"09629343"</f>
        <v>09629343</v>
      </c>
      <c r="D7067" s="58" t="str">
        <f>""</f>
        <v/>
      </c>
      <c r="E7067" s="46" t="s">
        <v>18876</v>
      </c>
      <c r="F7067" s="46" t="s">
        <v>18001</v>
      </c>
      <c r="G7067" s="46" t="s">
        <v>50584</v>
      </c>
      <c r="H7067" s="48" t="s">
        <v>56716</v>
      </c>
      <c r="I7067" s="48" t="s">
        <v>50564</v>
      </c>
      <c r="J7067" s="48" t="s">
        <v>56716</v>
      </c>
      <c r="K7067" s="50" t="s">
        <v>56716</v>
      </c>
      <c r="L7067" s="48" t="s">
        <v>56716</v>
      </c>
    </row>
    <row r="7068" spans="1:12" ht="11.25" x14ac:dyDescent="0.2">
      <c r="A7068" s="45" t="s">
        <v>45698</v>
      </c>
      <c r="B7068" s="45" t="s">
        <v>45700</v>
      </c>
      <c r="C7068" s="51" t="s">
        <v>45703</v>
      </c>
      <c r="D7068" s="51" t="s">
        <v>45702</v>
      </c>
      <c r="E7068" s="45" t="s">
        <v>25444</v>
      </c>
      <c r="F7068" s="45" t="s">
        <v>50646</v>
      </c>
      <c r="G7068" s="45" t="s">
        <v>50584</v>
      </c>
      <c r="H7068" s="56"/>
      <c r="I7068" s="56" t="s">
        <v>50564</v>
      </c>
      <c r="J7068" s="56"/>
      <c r="K7068" s="57"/>
      <c r="L7068" s="56" t="s">
        <v>56716</v>
      </c>
    </row>
    <row r="7069" spans="1:12" ht="11.25" x14ac:dyDescent="0.2">
      <c r="A7069" s="46" t="s">
        <v>10291</v>
      </c>
      <c r="B7069" s="46" t="s">
        <v>55156</v>
      </c>
      <c r="C7069" s="58" t="str">
        <f>"18244785"</f>
        <v>18244785</v>
      </c>
      <c r="D7069" s="58" t="str">
        <f>""</f>
        <v/>
      </c>
      <c r="E7069" s="46" t="s">
        <v>1708</v>
      </c>
      <c r="F7069" s="46" t="s">
        <v>17991</v>
      </c>
      <c r="G7069" s="46" t="s">
        <v>50584</v>
      </c>
      <c r="H7069" s="48" t="s">
        <v>56716</v>
      </c>
      <c r="I7069" s="48" t="s">
        <v>50564</v>
      </c>
      <c r="J7069" s="48"/>
      <c r="K7069" s="57"/>
      <c r="L7069" s="48" t="s">
        <v>56716</v>
      </c>
    </row>
    <row r="7070" spans="1:12" ht="11.25" x14ac:dyDescent="0.2">
      <c r="A7070" s="45" t="s">
        <v>45725</v>
      </c>
      <c r="B7070" s="45" t="s">
        <v>45727</v>
      </c>
      <c r="C7070" s="51" t="s">
        <v>45729</v>
      </c>
      <c r="D7070" s="51" t="s">
        <v>45728</v>
      </c>
      <c r="E7070" s="45" t="s">
        <v>22076</v>
      </c>
      <c r="F7070" s="45" t="s">
        <v>50646</v>
      </c>
      <c r="G7070" s="45" t="s">
        <v>50584</v>
      </c>
      <c r="H7070" s="56"/>
      <c r="I7070" s="56" t="s">
        <v>50564</v>
      </c>
      <c r="J7070" s="56"/>
      <c r="K7070" s="57"/>
      <c r="L7070" s="56" t="s">
        <v>56716</v>
      </c>
    </row>
    <row r="7071" spans="1:12" ht="11.25" x14ac:dyDescent="0.2">
      <c r="A7071" s="45" t="s">
        <v>45737</v>
      </c>
      <c r="B7071" s="45" t="s">
        <v>45739</v>
      </c>
      <c r="C7071" s="51" t="s">
        <v>45742</v>
      </c>
      <c r="D7071" s="51" t="s">
        <v>45741</v>
      </c>
      <c r="E7071" s="45" t="s">
        <v>45743</v>
      </c>
      <c r="F7071" s="45" t="s">
        <v>18158</v>
      </c>
      <c r="G7071" s="45" t="s">
        <v>50584</v>
      </c>
      <c r="H7071" s="56"/>
      <c r="I7071" s="56" t="s">
        <v>50564</v>
      </c>
      <c r="J7071" s="56"/>
      <c r="K7071" s="57"/>
      <c r="L7071" s="56" t="s">
        <v>56716</v>
      </c>
    </row>
    <row r="7072" spans="1:12" ht="11.25" x14ac:dyDescent="0.2">
      <c r="A7072" s="45" t="s">
        <v>45746</v>
      </c>
      <c r="B7072" s="45" t="s">
        <v>45748</v>
      </c>
      <c r="C7072" s="51" t="s">
        <v>45751</v>
      </c>
      <c r="D7072" s="51" t="s">
        <v>45750</v>
      </c>
      <c r="E7072" s="45" t="s">
        <v>18727</v>
      </c>
      <c r="F7072" s="45" t="s">
        <v>18158</v>
      </c>
      <c r="G7072" s="45" t="s">
        <v>50584</v>
      </c>
      <c r="H7072" s="56"/>
      <c r="I7072" s="56" t="s">
        <v>50564</v>
      </c>
      <c r="J7072" s="56"/>
      <c r="K7072" s="57"/>
      <c r="L7072" s="56" t="s">
        <v>56716</v>
      </c>
    </row>
    <row r="7073" spans="1:12" ht="11.25" x14ac:dyDescent="0.2">
      <c r="A7073" s="46" t="s">
        <v>11679</v>
      </c>
      <c r="B7073" s="46" t="s">
        <v>55157</v>
      </c>
      <c r="C7073" s="58" t="str">
        <f>""</f>
        <v/>
      </c>
      <c r="D7073" s="58" t="str">
        <f>"1748717X"</f>
        <v>1748717X</v>
      </c>
      <c r="E7073" s="46" t="s">
        <v>2299</v>
      </c>
      <c r="F7073" s="46" t="s">
        <v>50646</v>
      </c>
      <c r="G7073" s="46" t="s">
        <v>50584</v>
      </c>
      <c r="H7073" s="48" t="s">
        <v>56716</v>
      </c>
      <c r="I7073" s="48" t="s">
        <v>50564</v>
      </c>
      <c r="J7073" s="48"/>
      <c r="K7073" s="50" t="s">
        <v>56716</v>
      </c>
      <c r="L7073" s="48" t="s">
        <v>56716</v>
      </c>
    </row>
    <row r="7074" spans="1:12" ht="11.25" x14ac:dyDescent="0.2">
      <c r="A7074" s="46" t="s">
        <v>16350</v>
      </c>
      <c r="B7074" s="46" t="s">
        <v>55158</v>
      </c>
      <c r="C7074" s="58" t="str">
        <f>"22341900"</f>
        <v>22341900</v>
      </c>
      <c r="D7074" s="58" t="str">
        <f>"22343164"</f>
        <v>22343164</v>
      </c>
      <c r="E7074" s="46" t="s">
        <v>56184</v>
      </c>
      <c r="F7074" s="46" t="s">
        <v>50649</v>
      </c>
      <c r="G7074" s="46" t="s">
        <v>50584</v>
      </c>
      <c r="H7074" s="48" t="s">
        <v>56716</v>
      </c>
      <c r="I7074" s="48" t="s">
        <v>50564</v>
      </c>
      <c r="J7074" s="48"/>
      <c r="K7074" s="57"/>
      <c r="L7074" s="48"/>
    </row>
    <row r="7075" spans="1:12" ht="11.25" x14ac:dyDescent="0.2">
      <c r="A7075" s="46" t="s">
        <v>3686</v>
      </c>
      <c r="B7075" s="46" t="s">
        <v>55159</v>
      </c>
      <c r="C7075" s="58" t="str">
        <f>"0969806X"</f>
        <v>0969806X</v>
      </c>
      <c r="D7075" s="58" t="str">
        <f>"18790895"</f>
        <v>18790895</v>
      </c>
      <c r="E7075" s="46" t="s">
        <v>155</v>
      </c>
      <c r="F7075" s="46" t="s">
        <v>50646</v>
      </c>
      <c r="G7075" s="46" t="s">
        <v>50584</v>
      </c>
      <c r="H7075" s="48" t="s">
        <v>56716</v>
      </c>
      <c r="I7075" s="48" t="s">
        <v>50564</v>
      </c>
      <c r="J7075" s="48"/>
      <c r="K7075" s="50" t="s">
        <v>56716</v>
      </c>
      <c r="L7075" s="48"/>
    </row>
    <row r="7076" spans="1:12" ht="11.25" x14ac:dyDescent="0.2">
      <c r="A7076" s="45" t="s">
        <v>45758</v>
      </c>
      <c r="B7076" s="45" t="s">
        <v>45760</v>
      </c>
      <c r="C7076" s="51" t="s">
        <v>45762</v>
      </c>
      <c r="D7076" s="51" t="s">
        <v>45761</v>
      </c>
      <c r="E7076" s="45" t="s">
        <v>55</v>
      </c>
      <c r="F7076" s="45" t="s">
        <v>50646</v>
      </c>
      <c r="G7076" s="45" t="s">
        <v>50584</v>
      </c>
      <c r="H7076" s="56"/>
      <c r="I7076" s="56" t="s">
        <v>50564</v>
      </c>
      <c r="J7076" s="56"/>
      <c r="K7076" s="57"/>
      <c r="L7076" s="56" t="s">
        <v>56716</v>
      </c>
    </row>
    <row r="7077" spans="1:12" ht="11.25" x14ac:dyDescent="0.2">
      <c r="A7077" s="46" t="s">
        <v>3553</v>
      </c>
      <c r="B7077" s="46" t="s">
        <v>55160</v>
      </c>
      <c r="C7077" s="58" t="str">
        <f>"00337587"</f>
        <v>00337587</v>
      </c>
      <c r="D7077" s="58" t="str">
        <f>"19385404"</f>
        <v>19385404</v>
      </c>
      <c r="E7077" s="46" t="s">
        <v>3556</v>
      </c>
      <c r="F7077" s="46" t="s">
        <v>17759</v>
      </c>
      <c r="G7077" s="46" t="s">
        <v>50584</v>
      </c>
      <c r="H7077" s="48" t="s">
        <v>56716</v>
      </c>
      <c r="I7077" s="48" t="s">
        <v>50564</v>
      </c>
      <c r="J7077" s="48" t="s">
        <v>56716</v>
      </c>
      <c r="K7077" s="57"/>
      <c r="L7077" s="48" t="s">
        <v>56716</v>
      </c>
    </row>
    <row r="7078" spans="1:12" ht="11.25" x14ac:dyDescent="0.2">
      <c r="A7078" s="45" t="s">
        <v>45771</v>
      </c>
      <c r="B7078" s="45" t="s">
        <v>45773</v>
      </c>
      <c r="C7078" s="51" t="s">
        <v>45775</v>
      </c>
      <c r="D7078" s="51"/>
      <c r="E7078" s="45" t="s">
        <v>22718</v>
      </c>
      <c r="F7078" s="45" t="s">
        <v>50653</v>
      </c>
      <c r="G7078" s="45" t="s">
        <v>56509</v>
      </c>
      <c r="H7078" s="56"/>
      <c r="I7078" s="56" t="s">
        <v>50564</v>
      </c>
      <c r="J7078" s="56"/>
      <c r="K7078" s="57"/>
      <c r="L7078" s="56" t="s">
        <v>56716</v>
      </c>
    </row>
    <row r="7079" spans="1:12" ht="11.25" x14ac:dyDescent="0.2">
      <c r="A7079" s="45" t="s">
        <v>45778</v>
      </c>
      <c r="B7079" s="45" t="s">
        <v>45780</v>
      </c>
      <c r="C7079" s="51" t="s">
        <v>45782</v>
      </c>
      <c r="D7079" s="51" t="s">
        <v>45781</v>
      </c>
      <c r="E7079" s="45" t="s">
        <v>45783</v>
      </c>
      <c r="F7079" s="45" t="s">
        <v>17759</v>
      </c>
      <c r="G7079" s="45" t="s">
        <v>50584</v>
      </c>
      <c r="H7079" s="56"/>
      <c r="I7079" s="56" t="s">
        <v>50564</v>
      </c>
      <c r="J7079" s="56"/>
      <c r="K7079" s="57"/>
      <c r="L7079" s="56" t="s">
        <v>56716</v>
      </c>
    </row>
    <row r="7080" spans="1:12" ht="11.25" x14ac:dyDescent="0.2">
      <c r="A7080" s="46" t="s">
        <v>6698</v>
      </c>
      <c r="B7080" s="46" t="s">
        <v>6698</v>
      </c>
      <c r="C7080" s="58" t="str">
        <f>"10788174"</f>
        <v>10788174</v>
      </c>
      <c r="D7080" s="58" t="str">
        <f>"15322831"</f>
        <v>15322831</v>
      </c>
      <c r="E7080" s="46" t="s">
        <v>1177</v>
      </c>
      <c r="F7080" s="46" t="s">
        <v>50646</v>
      </c>
      <c r="G7080" s="46" t="s">
        <v>50584</v>
      </c>
      <c r="H7080" s="48" t="s">
        <v>56716</v>
      </c>
      <c r="I7080" s="48" t="s">
        <v>50564</v>
      </c>
      <c r="J7080" s="48" t="s">
        <v>56716</v>
      </c>
      <c r="K7080" s="50" t="s">
        <v>56716</v>
      </c>
      <c r="L7080" s="48"/>
    </row>
    <row r="7081" spans="1:12" ht="11.25" x14ac:dyDescent="0.2">
      <c r="A7081" s="46" t="s">
        <v>3569</v>
      </c>
      <c r="B7081" s="46" t="s">
        <v>3569</v>
      </c>
      <c r="C7081" s="58" t="str">
        <f>"00338338"</f>
        <v>00338338</v>
      </c>
      <c r="D7081" s="58" t="str">
        <f>"15781771"</f>
        <v>15781771</v>
      </c>
      <c r="E7081" s="46" t="s">
        <v>1683</v>
      </c>
      <c r="F7081" s="46" t="s">
        <v>18439</v>
      </c>
      <c r="G7081" s="46" t="s">
        <v>50632</v>
      </c>
      <c r="H7081" s="48" t="s">
        <v>56716</v>
      </c>
      <c r="I7081" s="48" t="s">
        <v>50564</v>
      </c>
      <c r="J7081" s="48"/>
      <c r="K7081" s="50" t="s">
        <v>56716</v>
      </c>
      <c r="L7081" s="48" t="s">
        <v>56716</v>
      </c>
    </row>
    <row r="7082" spans="1:12" ht="11.25" x14ac:dyDescent="0.2">
      <c r="A7082" s="46" t="s">
        <v>3578</v>
      </c>
      <c r="B7082" s="46" t="s">
        <v>55161</v>
      </c>
      <c r="C7082" s="58" t="str">
        <f>"00338389"</f>
        <v>00338389</v>
      </c>
      <c r="D7082" s="58" t="str">
        <f>"15578275"</f>
        <v>15578275</v>
      </c>
      <c r="E7082" s="46" t="s">
        <v>303</v>
      </c>
      <c r="F7082" s="46" t="s">
        <v>17759</v>
      </c>
      <c r="G7082" s="46" t="s">
        <v>50584</v>
      </c>
      <c r="H7082" s="48" t="s">
        <v>56716</v>
      </c>
      <c r="I7082" s="48" t="s">
        <v>50564</v>
      </c>
      <c r="J7082" s="48" t="s">
        <v>56716</v>
      </c>
      <c r="K7082" s="50" t="s">
        <v>56716</v>
      </c>
      <c r="L7082" s="48" t="s">
        <v>56716</v>
      </c>
    </row>
    <row r="7083" spans="1:12" ht="11.25" x14ac:dyDescent="0.2">
      <c r="A7083" s="45" t="s">
        <v>45806</v>
      </c>
      <c r="B7083" s="45" t="s">
        <v>45808</v>
      </c>
      <c r="C7083" s="51" t="s">
        <v>45811</v>
      </c>
      <c r="D7083" s="51" t="s">
        <v>45810</v>
      </c>
      <c r="E7083" s="45" t="s">
        <v>45812</v>
      </c>
      <c r="F7083" s="45" t="s">
        <v>17759</v>
      </c>
      <c r="G7083" s="45" t="s">
        <v>50584</v>
      </c>
      <c r="H7083" s="56"/>
      <c r="I7083" s="56" t="s">
        <v>50564</v>
      </c>
      <c r="J7083" s="56"/>
      <c r="K7083" s="57"/>
      <c r="L7083" s="56" t="s">
        <v>56716</v>
      </c>
    </row>
    <row r="7084" spans="1:12" ht="11.25" x14ac:dyDescent="0.2">
      <c r="A7084" s="46" t="s">
        <v>12913</v>
      </c>
      <c r="B7084" s="46" t="s">
        <v>55162</v>
      </c>
      <c r="C7084" s="58" t="str">
        <f>"18650333"</f>
        <v>18650333</v>
      </c>
      <c r="D7084" s="58" t="str">
        <f>"18650341"</f>
        <v>18650341</v>
      </c>
      <c r="E7084" s="46" t="s">
        <v>23335</v>
      </c>
      <c r="F7084" s="46" t="s">
        <v>18242</v>
      </c>
      <c r="G7084" s="46" t="s">
        <v>50584</v>
      </c>
      <c r="H7084" s="48" t="s">
        <v>56716</v>
      </c>
      <c r="I7084" s="48" t="s">
        <v>50564</v>
      </c>
      <c r="J7084" s="48" t="s">
        <v>56716</v>
      </c>
      <c r="K7084" s="50" t="s">
        <v>56716</v>
      </c>
      <c r="L7084" s="48" t="s">
        <v>56716</v>
      </c>
    </row>
    <row r="7085" spans="1:12" ht="11.25" x14ac:dyDescent="0.2">
      <c r="A7085" s="46" t="s">
        <v>3543</v>
      </c>
      <c r="B7085" s="46" t="s">
        <v>3543</v>
      </c>
      <c r="C7085" s="58" t="str">
        <f>"00338419"</f>
        <v>00338419</v>
      </c>
      <c r="D7085" s="58" t="str">
        <f>"15271315"</f>
        <v>15271315</v>
      </c>
      <c r="E7085" s="46" t="s">
        <v>3546</v>
      </c>
      <c r="F7085" s="46" t="s">
        <v>17759</v>
      </c>
      <c r="G7085" s="46" t="s">
        <v>50584</v>
      </c>
      <c r="H7085" s="48" t="s">
        <v>56716</v>
      </c>
      <c r="I7085" s="48" t="s">
        <v>50564</v>
      </c>
      <c r="J7085" s="48" t="s">
        <v>56716</v>
      </c>
      <c r="K7085" s="57"/>
      <c r="L7085" s="48" t="s">
        <v>56716</v>
      </c>
    </row>
    <row r="7086" spans="1:12" ht="11.25" x14ac:dyDescent="0.2">
      <c r="A7086" s="46" t="s">
        <v>5980</v>
      </c>
      <c r="B7086" s="46" t="s">
        <v>55163</v>
      </c>
      <c r="C7086" s="58" t="str">
        <f>"13182099"</f>
        <v>13182099</v>
      </c>
      <c r="D7086" s="58" t="str">
        <f>"15813207"</f>
        <v>15813207</v>
      </c>
      <c r="E7086" s="46" t="s">
        <v>55993</v>
      </c>
      <c r="F7086" s="46" t="s">
        <v>18158</v>
      </c>
      <c r="G7086" s="46" t="s">
        <v>50584</v>
      </c>
      <c r="H7086" s="48" t="s">
        <v>56716</v>
      </c>
      <c r="I7086" s="48" t="s">
        <v>50564</v>
      </c>
      <c r="J7086" s="48"/>
      <c r="K7086" s="57"/>
      <c r="L7086" s="48"/>
    </row>
    <row r="7087" spans="1:12" ht="11.25" x14ac:dyDescent="0.2">
      <c r="A7087" s="45" t="s">
        <v>45821</v>
      </c>
      <c r="B7087" s="45" t="s">
        <v>45823</v>
      </c>
      <c r="C7087" s="51" t="s">
        <v>45824</v>
      </c>
      <c r="D7087" s="51"/>
      <c r="E7087" s="45" t="s">
        <v>45825</v>
      </c>
      <c r="F7087" s="45" t="s">
        <v>17759</v>
      </c>
      <c r="G7087" s="45" t="s">
        <v>50584</v>
      </c>
      <c r="H7087" s="56"/>
      <c r="I7087" s="56" t="s">
        <v>50564</v>
      </c>
      <c r="J7087" s="56"/>
      <c r="K7087" s="57"/>
      <c r="L7087" s="56" t="s">
        <v>56716</v>
      </c>
    </row>
    <row r="7088" spans="1:12" ht="11.25" x14ac:dyDescent="0.2">
      <c r="A7088" s="46" t="s">
        <v>55958</v>
      </c>
      <c r="B7088" s="46" t="s">
        <v>55959</v>
      </c>
      <c r="C7088" s="58" t="str">
        <f>"23526211"</f>
        <v>23526211</v>
      </c>
      <c r="D7088" s="58" t="str">
        <f>""</f>
        <v/>
      </c>
      <c r="E7088" s="46" t="s">
        <v>55960</v>
      </c>
      <c r="F7088" s="46" t="s">
        <v>17958</v>
      </c>
      <c r="G7088" s="46" t="s">
        <v>50584</v>
      </c>
      <c r="H7088" s="48" t="s">
        <v>56716</v>
      </c>
      <c r="I7088" s="48" t="s">
        <v>50564</v>
      </c>
      <c r="J7088" s="48"/>
      <c r="K7088" s="50" t="s">
        <v>56716</v>
      </c>
      <c r="L7088" s="48"/>
    </row>
    <row r="7089" spans="1:12" ht="11.25" x14ac:dyDescent="0.2">
      <c r="A7089" s="46" t="s">
        <v>15722</v>
      </c>
      <c r="B7089" s="46" t="s">
        <v>55164</v>
      </c>
      <c r="C7089" s="58" t="str">
        <f>"20901941"</f>
        <v>20901941</v>
      </c>
      <c r="D7089" s="58" t="str">
        <f>"2090195X"</f>
        <v>2090195X</v>
      </c>
      <c r="E7089" s="46" t="s">
        <v>1412</v>
      </c>
      <c r="F7089" s="46" t="s">
        <v>17759</v>
      </c>
      <c r="G7089" s="46" t="s">
        <v>50584</v>
      </c>
      <c r="H7089" s="48" t="s">
        <v>56716</v>
      </c>
      <c r="I7089" s="48" t="s">
        <v>50564</v>
      </c>
      <c r="J7089" s="48" t="s">
        <v>56716</v>
      </c>
      <c r="K7089" s="57"/>
      <c r="L7089" s="48"/>
    </row>
    <row r="7090" spans="1:12" ht="11.25" x14ac:dyDescent="0.2">
      <c r="A7090" s="46" t="s">
        <v>3550</v>
      </c>
      <c r="B7090" s="46" t="s">
        <v>55165</v>
      </c>
      <c r="C7090" s="58" t="str">
        <f>"01678140"</f>
        <v>01678140</v>
      </c>
      <c r="D7090" s="58" t="str">
        <f>"18790887"</f>
        <v>18790887</v>
      </c>
      <c r="E7090" s="46" t="s">
        <v>221</v>
      </c>
      <c r="F7090" s="46" t="s">
        <v>21771</v>
      </c>
      <c r="G7090" s="46" t="s">
        <v>50584</v>
      </c>
      <c r="H7090" s="48" t="s">
        <v>56716</v>
      </c>
      <c r="I7090" s="48" t="s">
        <v>50564</v>
      </c>
      <c r="J7090" s="48" t="s">
        <v>56716</v>
      </c>
      <c r="K7090" s="50" t="s">
        <v>56716</v>
      </c>
      <c r="L7090" s="48" t="s">
        <v>56716</v>
      </c>
    </row>
    <row r="7091" spans="1:12" ht="11.25" x14ac:dyDescent="0.2">
      <c r="A7091" s="45" t="s">
        <v>45839</v>
      </c>
      <c r="B7091" s="45" t="s">
        <v>45841</v>
      </c>
      <c r="C7091" s="51" t="s">
        <v>45843</v>
      </c>
      <c r="D7091" s="51" t="s">
        <v>45842</v>
      </c>
      <c r="E7091" s="45" t="s">
        <v>45844</v>
      </c>
      <c r="F7091" s="45" t="s">
        <v>50646</v>
      </c>
      <c r="G7091" s="45" t="s">
        <v>50584</v>
      </c>
      <c r="H7091" s="56"/>
      <c r="I7091" s="56" t="s">
        <v>50564</v>
      </c>
      <c r="J7091" s="56"/>
      <c r="K7091" s="57"/>
      <c r="L7091" s="56" t="s">
        <v>56716</v>
      </c>
    </row>
    <row r="7092" spans="1:12" ht="11.25" x14ac:dyDescent="0.2">
      <c r="A7092" s="46" t="s">
        <v>17349</v>
      </c>
      <c r="B7092" s="46" t="s">
        <v>55166</v>
      </c>
      <c r="C7092" s="58" t="str">
        <f>"2167549X"</f>
        <v>2167549X</v>
      </c>
      <c r="D7092" s="58" t="str">
        <f>"21675511"</f>
        <v>21675511</v>
      </c>
      <c r="E7092" s="46" t="s">
        <v>669</v>
      </c>
      <c r="F7092" s="46" t="s">
        <v>17759</v>
      </c>
      <c r="G7092" s="46" t="s">
        <v>50584</v>
      </c>
      <c r="H7092" s="48" t="s">
        <v>56716</v>
      </c>
      <c r="I7092" s="48" t="s">
        <v>50564</v>
      </c>
      <c r="J7092" s="48"/>
      <c r="K7092" s="57"/>
      <c r="L7092" s="48"/>
    </row>
    <row r="7093" spans="1:12" ht="11.25" x14ac:dyDescent="0.2">
      <c r="A7093" s="46" t="s">
        <v>14286</v>
      </c>
      <c r="B7093" s="46" t="s">
        <v>14286</v>
      </c>
      <c r="C7093" s="58" t="str">
        <f>"20363605"</f>
        <v>20363605</v>
      </c>
      <c r="D7093" s="58" t="str">
        <f>"20363613"</f>
        <v>20363613</v>
      </c>
      <c r="E7093" s="46" t="s">
        <v>1949</v>
      </c>
      <c r="F7093" s="46" t="s">
        <v>17991</v>
      </c>
      <c r="G7093" s="46" t="s">
        <v>50584</v>
      </c>
      <c r="H7093" s="48" t="s">
        <v>56716</v>
      </c>
      <c r="I7093" s="48" t="s">
        <v>50564</v>
      </c>
      <c r="J7093" s="48"/>
      <c r="K7093" s="57"/>
      <c r="L7093" s="48"/>
    </row>
    <row r="7094" spans="1:12" ht="11.25" x14ac:dyDescent="0.2">
      <c r="A7094" s="46" t="s">
        <v>10656</v>
      </c>
      <c r="B7094" s="46" t="s">
        <v>56483</v>
      </c>
      <c r="C7094" s="58" t="str">
        <f>"03541452"</f>
        <v>03541452</v>
      </c>
      <c r="D7094" s="58" t="str">
        <f>""</f>
        <v/>
      </c>
      <c r="E7094" s="46" t="s">
        <v>56484</v>
      </c>
      <c r="F7094" s="46" t="s">
        <v>18050</v>
      </c>
      <c r="G7094" s="46" t="s">
        <v>50623</v>
      </c>
      <c r="H7094" s="48" t="s">
        <v>56716</v>
      </c>
      <c r="I7094" s="48" t="s">
        <v>50564</v>
      </c>
      <c r="J7094" s="48"/>
      <c r="K7094" s="57"/>
      <c r="L7094" s="48"/>
    </row>
    <row r="7095" spans="1:12" ht="11.25" x14ac:dyDescent="0.2">
      <c r="A7095" s="46" t="s">
        <v>3679</v>
      </c>
      <c r="B7095" s="46" t="s">
        <v>55167</v>
      </c>
      <c r="C7095" s="58" t="str">
        <f>"00339563"</f>
        <v>00339563</v>
      </c>
      <c r="D7095" s="58" t="str">
        <f>""</f>
        <v/>
      </c>
      <c r="E7095" s="46" t="s">
        <v>3681</v>
      </c>
      <c r="F7095" s="46" t="s">
        <v>17991</v>
      </c>
      <c r="G7095" s="46" t="s">
        <v>50603</v>
      </c>
      <c r="H7095" s="48" t="s">
        <v>56716</v>
      </c>
      <c r="I7095" s="48" t="s">
        <v>50564</v>
      </c>
      <c r="J7095" s="48"/>
      <c r="K7095" s="57"/>
      <c r="L7095" s="48"/>
    </row>
    <row r="7096" spans="1:12" ht="11.25" x14ac:dyDescent="0.2">
      <c r="A7096" s="46" t="s">
        <v>16220</v>
      </c>
      <c r="B7096" s="46" t="s">
        <v>55168</v>
      </c>
      <c r="C7096" s="58" t="str">
        <f>"18196446"</f>
        <v>18196446</v>
      </c>
      <c r="D7096" s="58" t="str">
        <f>"22253653"</f>
        <v>22253653</v>
      </c>
      <c r="E7096" s="46" t="s">
        <v>16223</v>
      </c>
      <c r="F7096" s="46" t="s">
        <v>50653</v>
      </c>
      <c r="G7096" s="46" t="s">
        <v>50617</v>
      </c>
      <c r="H7096" s="48" t="s">
        <v>56716</v>
      </c>
      <c r="I7096" s="48" t="s">
        <v>50564</v>
      </c>
      <c r="J7096" s="48"/>
      <c r="K7096" s="57"/>
      <c r="L7096" s="48"/>
    </row>
    <row r="7097" spans="1:12" ht="11.25" x14ac:dyDescent="0.2">
      <c r="A7097" s="46" t="s">
        <v>12308</v>
      </c>
      <c r="B7097" s="46" t="s">
        <v>55169</v>
      </c>
      <c r="C7097" s="58" t="str">
        <f>"03035212"</f>
        <v>03035212</v>
      </c>
      <c r="D7097" s="58" t="str">
        <f>""</f>
        <v/>
      </c>
      <c r="E7097" s="46" t="s">
        <v>2671</v>
      </c>
      <c r="F7097" s="46" t="s">
        <v>34138</v>
      </c>
      <c r="G7097" s="46" t="s">
        <v>50584</v>
      </c>
      <c r="H7097" s="48" t="s">
        <v>56716</v>
      </c>
      <c r="I7097" s="48" t="s">
        <v>50564</v>
      </c>
      <c r="J7097" s="48"/>
      <c r="K7097" s="57"/>
      <c r="L7097" s="48"/>
    </row>
    <row r="7098" spans="1:12" ht="11.25" x14ac:dyDescent="0.2">
      <c r="A7098" s="46" t="s">
        <v>56235</v>
      </c>
      <c r="B7098" s="46" t="s">
        <v>56236</v>
      </c>
      <c r="C7098" s="58" t="str">
        <f>"23456426"</f>
        <v>23456426</v>
      </c>
      <c r="D7098" s="58" t="str">
        <f>"23456434"</f>
        <v>23456434</v>
      </c>
      <c r="E7098" s="46" t="s">
        <v>56226</v>
      </c>
      <c r="F7098" s="46" t="s">
        <v>18001</v>
      </c>
      <c r="G7098" s="46" t="s">
        <v>50584</v>
      </c>
      <c r="H7098" s="48" t="s">
        <v>56716</v>
      </c>
      <c r="I7098" s="48" t="s">
        <v>50564</v>
      </c>
      <c r="J7098" s="48"/>
      <c r="K7098" s="57"/>
      <c r="L7098" s="48"/>
    </row>
    <row r="7099" spans="1:12" ht="11.25" x14ac:dyDescent="0.2">
      <c r="A7099" s="46" t="s">
        <v>9259</v>
      </c>
      <c r="B7099" s="46" t="s">
        <v>9259</v>
      </c>
      <c r="C7099" s="58" t="str">
        <f>"16240693"</f>
        <v>16240693</v>
      </c>
      <c r="D7099" s="58" t="str">
        <f>"19516959"</f>
        <v>19516959</v>
      </c>
      <c r="E7099" s="46" t="s">
        <v>11245</v>
      </c>
      <c r="F7099" s="46" t="s">
        <v>20359</v>
      </c>
      <c r="G7099" s="46" t="s">
        <v>50591</v>
      </c>
      <c r="H7099" s="48" t="s">
        <v>56716</v>
      </c>
      <c r="I7099" s="48" t="s">
        <v>50564</v>
      </c>
      <c r="J7099" s="48"/>
      <c r="K7099" s="57"/>
      <c r="L7099" s="48"/>
    </row>
    <row r="7100" spans="1:12" ht="11.25" x14ac:dyDescent="0.2">
      <c r="A7100" s="46" t="s">
        <v>56222</v>
      </c>
      <c r="B7100" s="46" t="s">
        <v>56223</v>
      </c>
      <c r="C7100" s="58">
        <v>23520922</v>
      </c>
      <c r="D7100" s="58">
        <v>23520930</v>
      </c>
      <c r="E7100" s="46" t="s">
        <v>6405</v>
      </c>
      <c r="F7100" s="46" t="s">
        <v>18001</v>
      </c>
      <c r="G7100" s="46" t="s">
        <v>50584</v>
      </c>
      <c r="H7100" s="48" t="s">
        <v>56716</v>
      </c>
      <c r="I7100" s="48" t="s">
        <v>50564</v>
      </c>
      <c r="J7100" s="48"/>
      <c r="K7100" s="57"/>
      <c r="L7100" s="48" t="s">
        <v>56716</v>
      </c>
    </row>
    <row r="7101" spans="1:12" ht="11.25" x14ac:dyDescent="0.2">
      <c r="A7101" s="45" t="s">
        <v>45846</v>
      </c>
      <c r="B7101" s="45" t="s">
        <v>45848</v>
      </c>
      <c r="C7101" s="51" t="s">
        <v>45849</v>
      </c>
      <c r="D7101" s="51"/>
      <c r="E7101" s="45" t="s">
        <v>45850</v>
      </c>
      <c r="F7101" s="45" t="s">
        <v>17759</v>
      </c>
      <c r="G7101" s="45" t="s">
        <v>50584</v>
      </c>
      <c r="H7101" s="56"/>
      <c r="I7101" s="56" t="s">
        <v>50564</v>
      </c>
      <c r="J7101" s="56"/>
      <c r="K7101" s="57"/>
      <c r="L7101" s="56" t="s">
        <v>56716</v>
      </c>
    </row>
    <row r="7102" spans="1:12" ht="11.25" x14ac:dyDescent="0.2">
      <c r="A7102" s="46" t="s">
        <v>11985</v>
      </c>
      <c r="B7102" s="46" t="s">
        <v>55170</v>
      </c>
      <c r="C7102" s="58" t="str">
        <f>"15748928"</f>
        <v>15748928</v>
      </c>
      <c r="D7102" s="58" t="str">
        <f>"22123970"</f>
        <v>22123970</v>
      </c>
      <c r="E7102" s="46" t="s">
        <v>6405</v>
      </c>
      <c r="F7102" s="46" t="s">
        <v>18001</v>
      </c>
      <c r="G7102" s="46" t="s">
        <v>50584</v>
      </c>
      <c r="H7102" s="48" t="s">
        <v>56716</v>
      </c>
      <c r="I7102" s="48" t="s">
        <v>50564</v>
      </c>
      <c r="J7102" s="48" t="s">
        <v>56716</v>
      </c>
      <c r="K7102" s="57"/>
      <c r="L7102" s="48" t="s">
        <v>56716</v>
      </c>
    </row>
    <row r="7103" spans="1:12" ht="11.25" x14ac:dyDescent="0.2">
      <c r="A7103" s="46" t="s">
        <v>11987</v>
      </c>
      <c r="B7103" s="46" t="s">
        <v>55171</v>
      </c>
      <c r="C7103" s="58" t="str">
        <f>"1574891X"</f>
        <v>1574891X</v>
      </c>
      <c r="D7103" s="58" t="str">
        <f>"22124071"</f>
        <v>22124071</v>
      </c>
      <c r="E7103" s="46" t="s">
        <v>6405</v>
      </c>
      <c r="F7103" s="46" t="s">
        <v>18001</v>
      </c>
      <c r="G7103" s="46" t="s">
        <v>50584</v>
      </c>
      <c r="H7103" s="48" t="s">
        <v>56716</v>
      </c>
      <c r="I7103" s="48" t="s">
        <v>50564</v>
      </c>
      <c r="J7103" s="48" t="s">
        <v>56716</v>
      </c>
      <c r="K7103" s="57"/>
      <c r="L7103" s="48" t="s">
        <v>56716</v>
      </c>
    </row>
    <row r="7104" spans="1:12" ht="11.25" x14ac:dyDescent="0.2">
      <c r="A7104" s="46" t="s">
        <v>15627</v>
      </c>
      <c r="B7104" s="46" t="s">
        <v>55172</v>
      </c>
      <c r="C7104" s="58" t="str">
        <f>"22103090"</f>
        <v>22103090</v>
      </c>
      <c r="D7104" s="58" t="str">
        <f>"22103104"</f>
        <v>22103104</v>
      </c>
      <c r="E7104" s="46" t="s">
        <v>6405</v>
      </c>
      <c r="F7104" s="46" t="s">
        <v>18001</v>
      </c>
      <c r="G7104" s="46" t="s">
        <v>50584</v>
      </c>
      <c r="H7104" s="48" t="s">
        <v>56716</v>
      </c>
      <c r="I7104" s="48" t="s">
        <v>50564</v>
      </c>
      <c r="J7104" s="48" t="s">
        <v>56716</v>
      </c>
      <c r="K7104" s="57"/>
      <c r="L7104" s="48"/>
    </row>
    <row r="7105" spans="1:12" ht="11.25" x14ac:dyDescent="0.2">
      <c r="A7105" s="46" t="s">
        <v>12319</v>
      </c>
      <c r="B7105" s="46" t="s">
        <v>55173</v>
      </c>
      <c r="C7105" s="58" t="str">
        <f>"18722083"</f>
        <v>18722083</v>
      </c>
      <c r="D7105" s="58" t="str">
        <f>""</f>
        <v/>
      </c>
      <c r="E7105" s="46" t="s">
        <v>6405</v>
      </c>
      <c r="F7105" s="46" t="s">
        <v>18001</v>
      </c>
      <c r="G7105" s="46" t="s">
        <v>50584</v>
      </c>
      <c r="H7105" s="48" t="s">
        <v>56716</v>
      </c>
      <c r="I7105" s="48" t="s">
        <v>50564</v>
      </c>
      <c r="J7105" s="48" t="s">
        <v>56716</v>
      </c>
      <c r="K7105" s="57"/>
      <c r="L7105" s="48" t="s">
        <v>56716</v>
      </c>
    </row>
    <row r="7106" spans="1:12" ht="11.25" x14ac:dyDescent="0.2">
      <c r="A7106" s="46" t="s">
        <v>11989</v>
      </c>
      <c r="B7106" s="46" t="s">
        <v>55174</v>
      </c>
      <c r="C7106" s="58" t="str">
        <f>"15748901"</f>
        <v>15748901</v>
      </c>
      <c r="D7106" s="58" t="str">
        <f>"22123962"</f>
        <v>22123962</v>
      </c>
      <c r="E7106" s="46" t="s">
        <v>6405</v>
      </c>
      <c r="F7106" s="46" t="s">
        <v>18001</v>
      </c>
      <c r="G7106" s="46" t="s">
        <v>50584</v>
      </c>
      <c r="H7106" s="48" t="s">
        <v>56716</v>
      </c>
      <c r="I7106" s="48" t="s">
        <v>50564</v>
      </c>
      <c r="J7106" s="48" t="s">
        <v>56716</v>
      </c>
      <c r="K7106" s="57"/>
      <c r="L7106" s="48" t="s">
        <v>56716</v>
      </c>
    </row>
    <row r="7107" spans="1:12" ht="11.25" x14ac:dyDescent="0.2">
      <c r="A7107" s="46" t="s">
        <v>11991</v>
      </c>
      <c r="B7107" s="46" t="s">
        <v>55175</v>
      </c>
      <c r="C7107" s="58" t="str">
        <f>"15748898"</f>
        <v>15748898</v>
      </c>
      <c r="D7107" s="58" t="str">
        <f>"22123954"</f>
        <v>22123954</v>
      </c>
      <c r="E7107" s="46" t="s">
        <v>6405</v>
      </c>
      <c r="F7107" s="46" t="s">
        <v>18001</v>
      </c>
      <c r="G7107" s="46" t="s">
        <v>50584</v>
      </c>
      <c r="H7107" s="48" t="s">
        <v>56716</v>
      </c>
      <c r="I7107" s="48" t="s">
        <v>50564</v>
      </c>
      <c r="J7107" s="48" t="s">
        <v>56716</v>
      </c>
      <c r="K7107" s="57"/>
      <c r="L7107" s="48" t="s">
        <v>56716</v>
      </c>
    </row>
    <row r="7108" spans="1:12" ht="11.25" x14ac:dyDescent="0.2">
      <c r="A7108" s="46" t="s">
        <v>12323</v>
      </c>
      <c r="B7108" s="46" t="s">
        <v>55176</v>
      </c>
      <c r="C7108" s="58" t="str">
        <f>"18722113"</f>
        <v>18722113</v>
      </c>
      <c r="D7108" s="58" t="str">
        <f>""</f>
        <v/>
      </c>
      <c r="E7108" s="46" t="s">
        <v>6405</v>
      </c>
      <c r="F7108" s="46" t="s">
        <v>18001</v>
      </c>
      <c r="G7108" s="46" t="s">
        <v>50584</v>
      </c>
      <c r="H7108" s="48" t="s">
        <v>56716</v>
      </c>
      <c r="I7108" s="48" t="s">
        <v>50564</v>
      </c>
      <c r="J7108" s="48" t="s">
        <v>56716</v>
      </c>
      <c r="K7108" s="57"/>
      <c r="L7108" s="48" t="s">
        <v>56716</v>
      </c>
    </row>
    <row r="7109" spans="1:12" ht="11.25" x14ac:dyDescent="0.2">
      <c r="A7109" s="46" t="s">
        <v>12325</v>
      </c>
      <c r="B7109" s="46" t="s">
        <v>55177</v>
      </c>
      <c r="C7109" s="58" t="str">
        <f>"18722148"</f>
        <v>18722148</v>
      </c>
      <c r="D7109" s="58" t="str">
        <f>"22123334"</f>
        <v>22123334</v>
      </c>
      <c r="E7109" s="46" t="s">
        <v>6405</v>
      </c>
      <c r="F7109" s="46" t="s">
        <v>18001</v>
      </c>
      <c r="G7109" s="46" t="s">
        <v>50584</v>
      </c>
      <c r="H7109" s="48" t="s">
        <v>56716</v>
      </c>
      <c r="I7109" s="48" t="s">
        <v>50564</v>
      </c>
      <c r="J7109" s="48" t="s">
        <v>56716</v>
      </c>
      <c r="K7109" s="57"/>
      <c r="L7109" s="48" t="s">
        <v>56716</v>
      </c>
    </row>
    <row r="7110" spans="1:12" ht="11.25" x14ac:dyDescent="0.2">
      <c r="A7110" s="45" t="s">
        <v>45895</v>
      </c>
      <c r="B7110" s="45" t="s">
        <v>45897</v>
      </c>
      <c r="C7110" s="51" t="s">
        <v>45899</v>
      </c>
      <c r="D7110" s="51" t="s">
        <v>45898</v>
      </c>
      <c r="E7110" s="45" t="s">
        <v>20956</v>
      </c>
      <c r="F7110" s="45" t="s">
        <v>20976</v>
      </c>
      <c r="G7110" s="45" t="s">
        <v>50584</v>
      </c>
      <c r="H7110" s="56"/>
      <c r="I7110" s="56" t="s">
        <v>50564</v>
      </c>
      <c r="J7110" s="56"/>
      <c r="K7110" s="57"/>
      <c r="L7110" s="56" t="s">
        <v>56716</v>
      </c>
    </row>
    <row r="7111" spans="1:12" ht="11.25" x14ac:dyDescent="0.2">
      <c r="A7111" s="46" t="s">
        <v>12327</v>
      </c>
      <c r="B7111" s="46" t="s">
        <v>55178</v>
      </c>
      <c r="C7111" s="58" t="str">
        <f>"1872213X"</f>
        <v>1872213X</v>
      </c>
      <c r="D7111" s="58" t="str">
        <f>"22122710"</f>
        <v>22122710</v>
      </c>
      <c r="E7111" s="46" t="s">
        <v>6405</v>
      </c>
      <c r="F7111" s="46" t="s">
        <v>18001</v>
      </c>
      <c r="G7111" s="46" t="s">
        <v>50584</v>
      </c>
      <c r="H7111" s="48" t="s">
        <v>56716</v>
      </c>
      <c r="I7111" s="48" t="s">
        <v>50564</v>
      </c>
      <c r="J7111" s="48" t="s">
        <v>56716</v>
      </c>
      <c r="K7111" s="57"/>
      <c r="L7111" s="48" t="s">
        <v>56716</v>
      </c>
    </row>
    <row r="7112" spans="1:12" ht="11.25" x14ac:dyDescent="0.2">
      <c r="A7112" s="46" t="s">
        <v>14851</v>
      </c>
      <c r="B7112" s="46" t="s">
        <v>55179</v>
      </c>
      <c r="C7112" s="58" t="str">
        <f>"22106847"</f>
        <v>22106847</v>
      </c>
      <c r="D7112" s="58" t="str">
        <f>"18776132"</f>
        <v>18776132</v>
      </c>
      <c r="E7112" s="46" t="s">
        <v>6405</v>
      </c>
      <c r="F7112" s="46" t="s">
        <v>18001</v>
      </c>
      <c r="G7112" s="46" t="s">
        <v>50584</v>
      </c>
      <c r="H7112" s="48" t="s">
        <v>56716</v>
      </c>
      <c r="I7112" s="48" t="s">
        <v>50564</v>
      </c>
      <c r="J7112" s="48" t="s">
        <v>56716</v>
      </c>
      <c r="K7112" s="57"/>
      <c r="L7112" s="48"/>
    </row>
    <row r="7113" spans="1:12" ht="11.25" x14ac:dyDescent="0.2">
      <c r="A7113" s="46" t="s">
        <v>16032</v>
      </c>
      <c r="B7113" s="46" t="s">
        <v>55180</v>
      </c>
      <c r="C7113" s="58" t="str">
        <f>"18779123"</f>
        <v>18779123</v>
      </c>
      <c r="D7113" s="58" t="str">
        <f>"18779131"</f>
        <v>18779131</v>
      </c>
      <c r="E7113" s="46" t="s">
        <v>6405</v>
      </c>
      <c r="F7113" s="46" t="s">
        <v>18001</v>
      </c>
      <c r="G7113" s="46" t="s">
        <v>50584</v>
      </c>
      <c r="H7113" s="48" t="s">
        <v>56716</v>
      </c>
      <c r="I7113" s="48" t="s">
        <v>50564</v>
      </c>
      <c r="J7113" s="48" t="s">
        <v>56716</v>
      </c>
      <c r="K7113" s="57"/>
      <c r="L7113" s="48"/>
    </row>
    <row r="7114" spans="1:12" ht="11.25" x14ac:dyDescent="0.2">
      <c r="A7114" s="45" t="s">
        <v>45905</v>
      </c>
      <c r="B7114" s="45" t="s">
        <v>45907</v>
      </c>
      <c r="C7114" s="51" t="s">
        <v>45909</v>
      </c>
      <c r="D7114" s="51" t="s">
        <v>45908</v>
      </c>
      <c r="E7114" s="45" t="s">
        <v>20956</v>
      </c>
      <c r="F7114" s="45" t="s">
        <v>20976</v>
      </c>
      <c r="G7114" s="45" t="s">
        <v>50584</v>
      </c>
      <c r="H7114" s="56"/>
      <c r="I7114" s="56" t="s">
        <v>50564</v>
      </c>
      <c r="J7114" s="56"/>
      <c r="K7114" s="57"/>
      <c r="L7114" s="56" t="s">
        <v>56716</v>
      </c>
    </row>
    <row r="7115" spans="1:12" ht="11.25" x14ac:dyDescent="0.2">
      <c r="A7115" s="46" t="s">
        <v>15630</v>
      </c>
      <c r="B7115" s="46" t="s">
        <v>55181</v>
      </c>
      <c r="C7115" s="58" t="str">
        <f>"22102965"</f>
        <v>22102965</v>
      </c>
      <c r="D7115" s="58" t="str">
        <f>"22102973"</f>
        <v>22102973</v>
      </c>
      <c r="E7115" s="46" t="s">
        <v>6405</v>
      </c>
      <c r="F7115" s="46" t="s">
        <v>18001</v>
      </c>
      <c r="G7115" s="46" t="s">
        <v>50584</v>
      </c>
      <c r="H7115" s="48" t="s">
        <v>56716</v>
      </c>
      <c r="I7115" s="48" t="s">
        <v>50564</v>
      </c>
      <c r="J7115" s="48" t="s">
        <v>56716</v>
      </c>
      <c r="K7115" s="57"/>
      <c r="L7115" s="48"/>
    </row>
    <row r="7116" spans="1:12" ht="11.25" x14ac:dyDescent="0.2">
      <c r="A7116" s="46" t="s">
        <v>3699</v>
      </c>
      <c r="B7116" s="46" t="s">
        <v>55182</v>
      </c>
      <c r="C7116" s="58" t="str">
        <f>"00800015"</f>
        <v>00800015</v>
      </c>
      <c r="D7116" s="58" t="str">
        <f>"21976767"</f>
        <v>21976767</v>
      </c>
      <c r="E7116" s="46" t="s">
        <v>56305</v>
      </c>
      <c r="F7116" s="46" t="s">
        <v>17759</v>
      </c>
      <c r="G7116" s="46" t="s">
        <v>50584</v>
      </c>
      <c r="H7116" s="48" t="s">
        <v>56716</v>
      </c>
      <c r="I7116" s="48" t="s">
        <v>50565</v>
      </c>
      <c r="J7116" s="48" t="s">
        <v>56716</v>
      </c>
      <c r="K7116" s="57"/>
      <c r="L7116" s="48" t="s">
        <v>56716</v>
      </c>
    </row>
    <row r="7117" spans="1:12" ht="11.25" x14ac:dyDescent="0.2">
      <c r="A7117" s="46" t="s">
        <v>3692</v>
      </c>
      <c r="B7117" s="46" t="s">
        <v>55183</v>
      </c>
      <c r="C7117" s="58" t="str">
        <f>"00341193"</f>
        <v>00341193</v>
      </c>
      <c r="D7117" s="58" t="str">
        <f>"20381840"</f>
        <v>20381840</v>
      </c>
      <c r="E7117" s="46" t="s">
        <v>3695</v>
      </c>
      <c r="F7117" s="46" t="s">
        <v>17991</v>
      </c>
      <c r="G7117" s="46" t="s">
        <v>50603</v>
      </c>
      <c r="H7117" s="48" t="s">
        <v>56716</v>
      </c>
      <c r="I7117" s="48" t="s">
        <v>50564</v>
      </c>
      <c r="J7117" s="48"/>
      <c r="K7117" s="57"/>
      <c r="L7117" s="48" t="s">
        <v>56716</v>
      </c>
    </row>
    <row r="7118" spans="1:12" ht="11.25" x14ac:dyDescent="0.2">
      <c r="A7118" s="46" t="s">
        <v>56410</v>
      </c>
      <c r="B7118" s="46" t="s">
        <v>56410</v>
      </c>
      <c r="C7118" s="58" t="str">
        <f>"10486909"</f>
        <v>10486909</v>
      </c>
      <c r="D7118" s="58" t="str">
        <f>""</f>
        <v/>
      </c>
      <c r="E7118" s="46" t="s">
        <v>40314</v>
      </c>
      <c r="F7118" s="46" t="s">
        <v>17759</v>
      </c>
      <c r="G7118" s="46" t="s">
        <v>50584</v>
      </c>
      <c r="H7118" s="48" t="s">
        <v>56716</v>
      </c>
      <c r="I7118" s="48" t="s">
        <v>50565</v>
      </c>
      <c r="J7118" s="48" t="s">
        <v>56716</v>
      </c>
      <c r="K7118" s="57"/>
      <c r="L7118" s="48"/>
    </row>
    <row r="7119" spans="1:12" ht="11.25" x14ac:dyDescent="0.2">
      <c r="A7119" s="45" t="s">
        <v>45920</v>
      </c>
      <c r="B7119" s="45" t="s">
        <v>45922</v>
      </c>
      <c r="C7119" s="51" t="s">
        <v>45923</v>
      </c>
      <c r="D7119" s="51"/>
      <c r="E7119" s="45" t="s">
        <v>45924</v>
      </c>
      <c r="F7119" s="45" t="s">
        <v>20359</v>
      </c>
      <c r="G7119" s="45" t="s">
        <v>50591</v>
      </c>
      <c r="H7119" s="56"/>
      <c r="I7119" s="56" t="s">
        <v>50564</v>
      </c>
      <c r="J7119" s="56"/>
      <c r="K7119" s="57"/>
      <c r="L7119" s="56" t="s">
        <v>56716</v>
      </c>
    </row>
    <row r="7120" spans="1:12" ht="11.25" x14ac:dyDescent="0.2">
      <c r="A7120" s="46" t="s">
        <v>6660</v>
      </c>
      <c r="B7120" s="46" t="s">
        <v>6660</v>
      </c>
      <c r="C7120" s="58" t="str">
        <f>"09379819"</f>
        <v>09379819</v>
      </c>
      <c r="D7120" s="58" t="str">
        <f>"14345196"</f>
        <v>14345196</v>
      </c>
      <c r="E7120" s="46" t="s">
        <v>167</v>
      </c>
      <c r="F7120" s="46" t="s">
        <v>18158</v>
      </c>
      <c r="G7120" s="46" t="s">
        <v>50593</v>
      </c>
      <c r="H7120" s="48" t="s">
        <v>56716</v>
      </c>
      <c r="I7120" s="48" t="s">
        <v>50564</v>
      </c>
      <c r="J7120" s="48"/>
      <c r="K7120" s="50" t="s">
        <v>56716</v>
      </c>
      <c r="L7120" s="48"/>
    </row>
    <row r="7121" spans="1:12" ht="11.25" x14ac:dyDescent="0.2">
      <c r="A7121" s="46" t="s">
        <v>12476</v>
      </c>
      <c r="B7121" s="46" t="s">
        <v>55184</v>
      </c>
      <c r="C7121" s="58" t="str">
        <f>""</f>
        <v/>
      </c>
      <c r="D7121" s="58" t="str">
        <f>"13076167"</f>
        <v>13076167</v>
      </c>
      <c r="E7121" s="46" t="s">
        <v>12478</v>
      </c>
      <c r="F7121" s="46" t="s">
        <v>18396</v>
      </c>
      <c r="G7121" s="46" t="s">
        <v>50584</v>
      </c>
      <c r="H7121" s="48" t="s">
        <v>56716</v>
      </c>
      <c r="I7121" s="48" t="s">
        <v>50564</v>
      </c>
      <c r="J7121" s="48"/>
      <c r="K7121" s="57"/>
      <c r="L7121" s="48"/>
    </row>
    <row r="7122" spans="1:12" ht="11.25" x14ac:dyDescent="0.2">
      <c r="A7122" s="46" t="s">
        <v>17012</v>
      </c>
      <c r="B7122" s="46" t="s">
        <v>55185</v>
      </c>
      <c r="C7122" s="58" t="str">
        <f>"22132317"</f>
        <v>22132317</v>
      </c>
      <c r="D7122" s="58" t="str">
        <f>""</f>
        <v/>
      </c>
      <c r="E7122" s="46" t="s">
        <v>91</v>
      </c>
      <c r="F7122" s="46" t="s">
        <v>18001</v>
      </c>
      <c r="G7122" s="46" t="s">
        <v>50584</v>
      </c>
      <c r="H7122" s="48" t="s">
        <v>56716</v>
      </c>
      <c r="I7122" s="48" t="s">
        <v>50564</v>
      </c>
      <c r="J7122" s="48" t="s">
        <v>56716</v>
      </c>
      <c r="K7122" s="50" t="s">
        <v>56716</v>
      </c>
      <c r="L7122" s="48" t="s">
        <v>56716</v>
      </c>
    </row>
    <row r="7123" spans="1:12" ht="11.25" x14ac:dyDescent="0.2">
      <c r="A7123" s="46" t="s">
        <v>7140</v>
      </c>
      <c r="B7123" s="46" t="s">
        <v>55186</v>
      </c>
      <c r="C7123" s="58" t="str">
        <f>"13510002"</f>
        <v>13510002</v>
      </c>
      <c r="D7123" s="58" t="str">
        <f>"17432928"</f>
        <v>17432928</v>
      </c>
      <c r="E7123" s="46" t="s">
        <v>856</v>
      </c>
      <c r="F7123" s="46" t="s">
        <v>50646</v>
      </c>
      <c r="G7123" s="46" t="s">
        <v>50584</v>
      </c>
      <c r="H7123" s="48" t="s">
        <v>56716</v>
      </c>
      <c r="I7123" s="48" t="s">
        <v>50564</v>
      </c>
      <c r="J7123" s="48" t="s">
        <v>56716</v>
      </c>
      <c r="K7123" s="57"/>
      <c r="L7123" s="48" t="s">
        <v>56716</v>
      </c>
    </row>
    <row r="7124" spans="1:12" ht="11.25" x14ac:dyDescent="0.2">
      <c r="A7124" s="45" t="s">
        <v>56720</v>
      </c>
      <c r="B7124" s="45" t="s">
        <v>45933</v>
      </c>
      <c r="C7124" s="51" t="s">
        <v>45935</v>
      </c>
      <c r="D7124" s="51"/>
      <c r="E7124" s="45" t="s">
        <v>45936</v>
      </c>
      <c r="F7124" s="45" t="s">
        <v>19134</v>
      </c>
      <c r="G7124" s="45" t="s">
        <v>56569</v>
      </c>
      <c r="H7124" s="56"/>
      <c r="I7124" s="56" t="s">
        <v>50564</v>
      </c>
      <c r="J7124" s="56"/>
      <c r="K7124" s="57"/>
      <c r="L7124" s="56" t="s">
        <v>56716</v>
      </c>
    </row>
    <row r="7125" spans="1:12" ht="11.25" x14ac:dyDescent="0.2">
      <c r="A7125" s="46" t="s">
        <v>11993</v>
      </c>
      <c r="B7125" s="46" t="s">
        <v>55869</v>
      </c>
      <c r="C7125" s="58" t="str">
        <f>"17460751"</f>
        <v>17460751</v>
      </c>
      <c r="D7125" s="58" t="str">
        <f>"1746076X"</f>
        <v>1746076X</v>
      </c>
      <c r="E7125" s="46" t="s">
        <v>8442</v>
      </c>
      <c r="F7125" s="46" t="s">
        <v>50646</v>
      </c>
      <c r="G7125" s="46" t="s">
        <v>50584</v>
      </c>
      <c r="H7125" s="48" t="s">
        <v>56716</v>
      </c>
      <c r="I7125" s="48" t="s">
        <v>50564</v>
      </c>
      <c r="J7125" s="48" t="s">
        <v>56716</v>
      </c>
      <c r="K7125" s="57"/>
      <c r="L7125" s="48" t="s">
        <v>56716</v>
      </c>
    </row>
    <row r="7126" spans="1:12" ht="11.25" x14ac:dyDescent="0.2">
      <c r="A7126" s="46" t="s">
        <v>17432</v>
      </c>
      <c r="B7126" s="46" t="s">
        <v>55187</v>
      </c>
      <c r="C7126" s="58" t="str">
        <f>""</f>
        <v/>
      </c>
      <c r="D7126" s="58" t="str">
        <f>"2050490X"</f>
        <v>2050490X</v>
      </c>
      <c r="E7126" s="46" t="s">
        <v>2299</v>
      </c>
      <c r="F7126" s="46" t="s">
        <v>50646</v>
      </c>
      <c r="G7126" s="46" t="s">
        <v>50584</v>
      </c>
      <c r="H7126" s="48" t="s">
        <v>56716</v>
      </c>
      <c r="I7126" s="48" t="s">
        <v>50564</v>
      </c>
      <c r="J7126" s="48" t="s">
        <v>56716</v>
      </c>
      <c r="K7126" s="57"/>
      <c r="L7126" s="48"/>
    </row>
    <row r="7127" spans="1:12" ht="11.25" x14ac:dyDescent="0.2">
      <c r="A7127" s="46" t="s">
        <v>56171</v>
      </c>
      <c r="B7127" s="46" t="s">
        <v>56172</v>
      </c>
      <c r="C7127" s="58" t="str">
        <f>""</f>
        <v/>
      </c>
      <c r="D7127" s="58" t="str">
        <f>"23523204"</f>
        <v>23523204</v>
      </c>
      <c r="E7127" s="46" t="s">
        <v>56173</v>
      </c>
      <c r="F7127" s="46" t="s">
        <v>18242</v>
      </c>
      <c r="G7127" s="46" t="s">
        <v>50584</v>
      </c>
      <c r="H7127" s="48" t="s">
        <v>56716</v>
      </c>
      <c r="I7127" s="48" t="s">
        <v>50564</v>
      </c>
      <c r="J7127" s="48"/>
      <c r="K7127" s="57"/>
      <c r="L7127" s="48"/>
    </row>
    <row r="7128" spans="1:12" ht="11.25" x14ac:dyDescent="0.2">
      <c r="A7128" s="46" t="s">
        <v>7765</v>
      </c>
      <c r="B7128" s="46" t="s">
        <v>55188</v>
      </c>
      <c r="C7128" s="58" t="str">
        <f>"10987339"</f>
        <v>10987339</v>
      </c>
      <c r="D7128" s="58" t="str">
        <f>"15328651"</f>
        <v>15328651</v>
      </c>
      <c r="E7128" s="46" t="s">
        <v>28</v>
      </c>
      <c r="F7128" s="46" t="s">
        <v>17759</v>
      </c>
      <c r="G7128" s="46" t="s">
        <v>50584</v>
      </c>
      <c r="H7128" s="48" t="s">
        <v>56716</v>
      </c>
      <c r="I7128" s="48" t="s">
        <v>50564</v>
      </c>
      <c r="J7128" s="48" t="s">
        <v>56716</v>
      </c>
      <c r="K7128" s="57"/>
      <c r="L7128" s="48" t="s">
        <v>56716</v>
      </c>
    </row>
    <row r="7129" spans="1:12" ht="11.25" x14ac:dyDescent="0.2">
      <c r="A7129" s="46" t="s">
        <v>3611</v>
      </c>
      <c r="B7129" s="46" t="s">
        <v>55189</v>
      </c>
      <c r="C7129" s="58" t="str">
        <f>"01670115"</f>
        <v>01670115</v>
      </c>
      <c r="D7129" s="58" t="str">
        <f>"18731686"</f>
        <v>18731686</v>
      </c>
      <c r="E7129" s="46" t="s">
        <v>91</v>
      </c>
      <c r="F7129" s="46" t="s">
        <v>18001</v>
      </c>
      <c r="G7129" s="46" t="s">
        <v>50584</v>
      </c>
      <c r="H7129" s="48" t="s">
        <v>56716</v>
      </c>
      <c r="I7129" s="48" t="s">
        <v>50564</v>
      </c>
      <c r="J7129" s="48" t="s">
        <v>56716</v>
      </c>
      <c r="K7129" s="57"/>
      <c r="L7129" s="48" t="s">
        <v>56716</v>
      </c>
    </row>
    <row r="7130" spans="1:12" ht="11.25" x14ac:dyDescent="0.2">
      <c r="A7130" s="46" t="s">
        <v>14477</v>
      </c>
      <c r="B7130" s="46" t="s">
        <v>55190</v>
      </c>
      <c r="C7130" s="58" t="str">
        <f>"17428955"</f>
        <v>17428955</v>
      </c>
      <c r="D7130" s="58" t="str">
        <f>""</f>
        <v/>
      </c>
      <c r="E7130" s="46" t="s">
        <v>14479</v>
      </c>
      <c r="F7130" s="46" t="s">
        <v>50646</v>
      </c>
      <c r="G7130" s="46" t="s">
        <v>50584</v>
      </c>
      <c r="H7130" s="48" t="s">
        <v>56716</v>
      </c>
      <c r="I7130" s="48" t="s">
        <v>50566</v>
      </c>
      <c r="J7130" s="48"/>
      <c r="K7130" s="57"/>
      <c r="L7130" s="48"/>
    </row>
    <row r="7131" spans="1:12" ht="11.25" x14ac:dyDescent="0.2">
      <c r="A7131" s="46" t="s">
        <v>3708</v>
      </c>
      <c r="B7131" s="46" t="s">
        <v>55191</v>
      </c>
      <c r="C7131" s="58" t="str">
        <f>"02732300"</f>
        <v>02732300</v>
      </c>
      <c r="D7131" s="58" t="str">
        <f>"10960295"</f>
        <v>10960295</v>
      </c>
      <c r="E7131" s="46" t="s">
        <v>60</v>
      </c>
      <c r="F7131" s="46" t="s">
        <v>17759</v>
      </c>
      <c r="G7131" s="46" t="s">
        <v>50584</v>
      </c>
      <c r="H7131" s="48" t="s">
        <v>56716</v>
      </c>
      <c r="I7131" s="48" t="s">
        <v>50564</v>
      </c>
      <c r="J7131" s="48" t="s">
        <v>56716</v>
      </c>
      <c r="K7131" s="50" t="s">
        <v>56716</v>
      </c>
      <c r="L7131" s="48" t="s">
        <v>56716</v>
      </c>
    </row>
    <row r="7132" spans="1:12" ht="11.25" x14ac:dyDescent="0.2">
      <c r="A7132" s="46" t="s">
        <v>12135</v>
      </c>
      <c r="B7132" s="46" t="s">
        <v>55192</v>
      </c>
      <c r="C7132" s="58" t="str">
        <f>"16969936"</f>
        <v>16969936</v>
      </c>
      <c r="D7132" s="58" t="str">
        <f>""</f>
        <v/>
      </c>
      <c r="E7132" s="46" t="s">
        <v>12137</v>
      </c>
      <c r="F7132" s="46" t="s">
        <v>18439</v>
      </c>
      <c r="G7132" s="46" t="s">
        <v>50632</v>
      </c>
      <c r="H7132" s="48" t="s">
        <v>56716</v>
      </c>
      <c r="I7132" s="48" t="s">
        <v>50564</v>
      </c>
      <c r="J7132" s="48"/>
      <c r="K7132" s="57"/>
      <c r="L7132" s="48"/>
    </row>
    <row r="7133" spans="1:12" ht="11.25" x14ac:dyDescent="0.2">
      <c r="A7133" s="45" t="s">
        <v>45975</v>
      </c>
      <c r="B7133" s="45" t="s">
        <v>45977</v>
      </c>
      <c r="C7133" s="51" t="s">
        <v>45979</v>
      </c>
      <c r="D7133" s="51"/>
      <c r="E7133" s="45" t="s">
        <v>970</v>
      </c>
      <c r="F7133" s="45" t="s">
        <v>17759</v>
      </c>
      <c r="G7133" s="45" t="s">
        <v>50584</v>
      </c>
      <c r="H7133" s="56"/>
      <c r="I7133" s="56" t="s">
        <v>50564</v>
      </c>
      <c r="J7133" s="56"/>
      <c r="K7133" s="57"/>
      <c r="L7133" s="56" t="s">
        <v>56716</v>
      </c>
    </row>
    <row r="7134" spans="1:12" ht="11.25" x14ac:dyDescent="0.2">
      <c r="A7134" s="46" t="s">
        <v>12629</v>
      </c>
      <c r="B7134" s="46" t="s">
        <v>55193</v>
      </c>
      <c r="C7134" s="58" t="str">
        <f>""</f>
        <v/>
      </c>
      <c r="D7134" s="58" t="str">
        <f>""</f>
        <v/>
      </c>
      <c r="E7134" s="46" t="s">
        <v>12630</v>
      </c>
      <c r="F7134" s="46" t="s">
        <v>17759</v>
      </c>
      <c r="G7134" s="46" t="s">
        <v>50584</v>
      </c>
      <c r="H7134" s="48" t="s">
        <v>56716</v>
      </c>
      <c r="I7134" s="48" t="s">
        <v>50564</v>
      </c>
      <c r="J7134" s="48"/>
      <c r="K7134" s="57"/>
      <c r="L7134" s="48"/>
    </row>
    <row r="7135" spans="1:12" ht="11.25" x14ac:dyDescent="0.2">
      <c r="A7135" s="46" t="s">
        <v>3632</v>
      </c>
      <c r="B7135" s="46" t="s">
        <v>55194</v>
      </c>
      <c r="C7135" s="58" t="str">
        <f>"00905550"</f>
        <v>00905550</v>
      </c>
      <c r="D7135" s="58" t="str">
        <f>"19391544"</f>
        <v>19391544</v>
      </c>
      <c r="E7135" s="46" t="s">
        <v>356</v>
      </c>
      <c r="F7135" s="46" t="s">
        <v>17759</v>
      </c>
      <c r="G7135" s="46" t="s">
        <v>50584</v>
      </c>
      <c r="H7135" s="48" t="s">
        <v>56716</v>
      </c>
      <c r="I7135" s="48" t="s">
        <v>50564</v>
      </c>
      <c r="J7135" s="48"/>
      <c r="K7135" s="50" t="s">
        <v>56716</v>
      </c>
      <c r="L7135" s="48" t="s">
        <v>56716</v>
      </c>
    </row>
    <row r="7136" spans="1:12" ht="11.25" x14ac:dyDescent="0.2">
      <c r="A7136" s="46" t="s">
        <v>16817</v>
      </c>
      <c r="B7136" s="46" t="s">
        <v>55870</v>
      </c>
      <c r="C7136" s="58" t="str">
        <f>"20902867"</f>
        <v>20902867</v>
      </c>
      <c r="D7136" s="58" t="str">
        <f>"20902875"</f>
        <v>20902875</v>
      </c>
      <c r="E7136" s="46" t="s">
        <v>1412</v>
      </c>
      <c r="F7136" s="46" t="s">
        <v>17759</v>
      </c>
      <c r="G7136" s="46" t="s">
        <v>50584</v>
      </c>
      <c r="H7136" s="48" t="s">
        <v>56716</v>
      </c>
      <c r="I7136" s="48" t="s">
        <v>50564</v>
      </c>
      <c r="J7136" s="48" t="s">
        <v>56716</v>
      </c>
      <c r="K7136" s="57"/>
      <c r="L7136" s="48"/>
    </row>
    <row r="7137" spans="1:12" ht="11.25" x14ac:dyDescent="0.2">
      <c r="A7137" s="46" t="s">
        <v>10299</v>
      </c>
      <c r="B7137" s="46" t="s">
        <v>55195</v>
      </c>
      <c r="C7137" s="58" t="str">
        <f>"15491684"</f>
        <v>15491684</v>
      </c>
      <c r="D7137" s="58" t="str">
        <f>"15578577"</f>
        <v>15578577</v>
      </c>
      <c r="E7137" s="46" t="s">
        <v>4337</v>
      </c>
      <c r="F7137" s="46" t="s">
        <v>17759</v>
      </c>
      <c r="G7137" s="46" t="s">
        <v>50584</v>
      </c>
      <c r="H7137" s="48" t="s">
        <v>56716</v>
      </c>
      <c r="I7137" s="48" t="s">
        <v>50564</v>
      </c>
      <c r="J7137" s="48" t="s">
        <v>56716</v>
      </c>
      <c r="K7137" s="57"/>
      <c r="L7137" s="48" t="s">
        <v>56716</v>
      </c>
    </row>
    <row r="7138" spans="1:12" ht="11.25" x14ac:dyDescent="0.2">
      <c r="A7138" s="45" t="s">
        <v>45994</v>
      </c>
      <c r="B7138" s="45" t="s">
        <v>45996</v>
      </c>
      <c r="C7138" s="51" t="s">
        <v>45998</v>
      </c>
      <c r="D7138" s="51"/>
      <c r="E7138" s="45" t="s">
        <v>45999</v>
      </c>
      <c r="F7138" s="45" t="s">
        <v>18123</v>
      </c>
      <c r="G7138" s="45" t="s">
        <v>50590</v>
      </c>
      <c r="H7138" s="56"/>
      <c r="I7138" s="56" t="s">
        <v>50564</v>
      </c>
      <c r="J7138" s="56"/>
      <c r="K7138" s="57"/>
      <c r="L7138" s="56" t="s">
        <v>56716</v>
      </c>
    </row>
    <row r="7139" spans="1:12" ht="11.25" x14ac:dyDescent="0.2">
      <c r="A7139" s="46" t="s">
        <v>4313</v>
      </c>
      <c r="B7139" s="46" t="s">
        <v>55196</v>
      </c>
      <c r="C7139" s="58" t="str">
        <f>"0886022X"</f>
        <v>0886022X</v>
      </c>
      <c r="D7139" s="58" t="str">
        <f>"15256049"</f>
        <v>15256049</v>
      </c>
      <c r="E7139" s="46" t="s">
        <v>291</v>
      </c>
      <c r="F7139" s="46" t="s">
        <v>50646</v>
      </c>
      <c r="G7139" s="46" t="s">
        <v>50584</v>
      </c>
      <c r="H7139" s="48" t="s">
        <v>56716</v>
      </c>
      <c r="I7139" s="48" t="s">
        <v>50564</v>
      </c>
      <c r="J7139" s="48" t="s">
        <v>56716</v>
      </c>
      <c r="K7139" s="57"/>
      <c r="L7139" s="48" t="s">
        <v>56716</v>
      </c>
    </row>
    <row r="7140" spans="1:12" ht="11.25" x14ac:dyDescent="0.2">
      <c r="A7140" s="46" t="s">
        <v>3603</v>
      </c>
      <c r="B7140" s="46" t="s">
        <v>55197</v>
      </c>
      <c r="C7140" s="58" t="str">
        <f>"0486400X"</f>
        <v>0486400X</v>
      </c>
      <c r="D7140" s="58" t="str">
        <f>""</f>
        <v/>
      </c>
      <c r="E7140" s="46" t="s">
        <v>3425</v>
      </c>
      <c r="F7140" s="46" t="s">
        <v>19251</v>
      </c>
      <c r="G7140" s="46" t="s">
        <v>50578</v>
      </c>
      <c r="H7140" s="48" t="s">
        <v>56716</v>
      </c>
      <c r="I7140" s="48" t="s">
        <v>50564</v>
      </c>
      <c r="J7140" s="48"/>
      <c r="K7140" s="57"/>
      <c r="L7140" s="48"/>
    </row>
    <row r="7141" spans="1:12" ht="11.25" x14ac:dyDescent="0.2">
      <c r="A7141" s="45" t="s">
        <v>46008</v>
      </c>
      <c r="B7141" s="45" t="s">
        <v>46010</v>
      </c>
      <c r="C7141" s="51" t="s">
        <v>46013</v>
      </c>
      <c r="D7141" s="51" t="s">
        <v>46012</v>
      </c>
      <c r="E7141" s="45" t="s">
        <v>46014</v>
      </c>
      <c r="F7141" s="45" t="s">
        <v>17759</v>
      </c>
      <c r="G7141" s="45" t="s">
        <v>50584</v>
      </c>
      <c r="H7141" s="56"/>
      <c r="I7141" s="56" t="s">
        <v>50564</v>
      </c>
      <c r="J7141" s="56"/>
      <c r="K7141" s="57"/>
      <c r="L7141" s="56" t="s">
        <v>56716</v>
      </c>
    </row>
    <row r="7142" spans="1:12" ht="11.25" x14ac:dyDescent="0.2">
      <c r="A7142" s="45" t="s">
        <v>56656</v>
      </c>
      <c r="B7142" s="45" t="s">
        <v>56657</v>
      </c>
      <c r="C7142" s="51"/>
      <c r="D7142" s="51" t="s">
        <v>56658</v>
      </c>
      <c r="E7142" s="45" t="s">
        <v>56659</v>
      </c>
      <c r="F7142" s="45" t="s">
        <v>17759</v>
      </c>
      <c r="G7142" s="45" t="s">
        <v>50584</v>
      </c>
      <c r="H7142" s="56"/>
      <c r="I7142" s="56" t="s">
        <v>50564</v>
      </c>
      <c r="J7142" s="56"/>
      <c r="K7142" s="57"/>
      <c r="L7142" s="56" t="s">
        <v>56716</v>
      </c>
    </row>
    <row r="7143" spans="1:12" ht="11.25" x14ac:dyDescent="0.2">
      <c r="A7143" s="46" t="s">
        <v>14480</v>
      </c>
      <c r="B7143" s="46" t="s">
        <v>55198</v>
      </c>
      <c r="C7143" s="58" t="str">
        <f>""</f>
        <v/>
      </c>
      <c r="D7143" s="58" t="str">
        <f>"11791586"</f>
        <v>11791586</v>
      </c>
      <c r="E7143" s="46" t="s">
        <v>11078</v>
      </c>
      <c r="F7143" s="46" t="s">
        <v>50646</v>
      </c>
      <c r="G7143" s="46" t="s">
        <v>50584</v>
      </c>
      <c r="H7143" s="48" t="s">
        <v>56716</v>
      </c>
      <c r="I7143" s="48" t="s">
        <v>50564</v>
      </c>
      <c r="J7143" s="48"/>
      <c r="K7143" s="57"/>
      <c r="L7143" s="48"/>
    </row>
    <row r="7144" spans="1:12" ht="11.25" x14ac:dyDescent="0.2">
      <c r="A7144" s="46" t="s">
        <v>9506</v>
      </c>
      <c r="B7144" s="46" t="s">
        <v>55199</v>
      </c>
      <c r="C7144" s="58" t="str">
        <f>"15071367"</f>
        <v>15071367</v>
      </c>
      <c r="D7144" s="58" t="str">
        <f>""</f>
        <v/>
      </c>
      <c r="E7144" s="46" t="s">
        <v>56270</v>
      </c>
      <c r="F7144" s="46" t="s">
        <v>17967</v>
      </c>
      <c r="G7144" s="46" t="s">
        <v>50613</v>
      </c>
      <c r="H7144" s="48" t="s">
        <v>56716</v>
      </c>
      <c r="I7144" s="48" t="s">
        <v>50564</v>
      </c>
      <c r="J7144" s="48"/>
      <c r="K7144" s="50" t="s">
        <v>56716</v>
      </c>
      <c r="L7144" s="48"/>
    </row>
    <row r="7145" spans="1:12" ht="11.25" x14ac:dyDescent="0.2">
      <c r="A7145" s="45" t="s">
        <v>46022</v>
      </c>
      <c r="B7145" s="45" t="s">
        <v>46024</v>
      </c>
      <c r="C7145" s="51" t="s">
        <v>46026</v>
      </c>
      <c r="D7145" s="51" t="s">
        <v>46025</v>
      </c>
      <c r="E7145" s="45" t="s">
        <v>46027</v>
      </c>
      <c r="F7145" s="45" t="s">
        <v>50646</v>
      </c>
      <c r="G7145" s="45" t="s">
        <v>50584</v>
      </c>
      <c r="H7145" s="56"/>
      <c r="I7145" s="56" t="s">
        <v>50564</v>
      </c>
      <c r="J7145" s="56"/>
      <c r="K7145" s="57"/>
      <c r="L7145" s="56" t="s">
        <v>56716</v>
      </c>
    </row>
    <row r="7146" spans="1:12" ht="11.25" x14ac:dyDescent="0.2">
      <c r="A7146" s="46" t="s">
        <v>8826</v>
      </c>
      <c r="B7146" s="46" t="s">
        <v>8826</v>
      </c>
      <c r="C7146" s="58" t="str">
        <f>"14701626"</f>
        <v>14701626</v>
      </c>
      <c r="D7146" s="58" t="str">
        <f>"17417899"</f>
        <v>17417899</v>
      </c>
      <c r="E7146" s="46" t="s">
        <v>2559</v>
      </c>
      <c r="F7146" s="46" t="s">
        <v>50646</v>
      </c>
      <c r="G7146" s="46" t="s">
        <v>50584</v>
      </c>
      <c r="H7146" s="48" t="s">
        <v>56716</v>
      </c>
      <c r="I7146" s="48" t="s">
        <v>50564</v>
      </c>
      <c r="J7146" s="48" t="s">
        <v>56716</v>
      </c>
      <c r="K7146" s="57"/>
      <c r="L7146" s="48" t="s">
        <v>56716</v>
      </c>
    </row>
    <row r="7147" spans="1:12" ht="11.25" x14ac:dyDescent="0.2">
      <c r="A7147" s="46" t="s">
        <v>6160</v>
      </c>
      <c r="B7147" s="46" t="s">
        <v>55200</v>
      </c>
      <c r="C7147" s="58" t="str">
        <f>"09943919"</f>
        <v>09943919</v>
      </c>
      <c r="D7147" s="58" t="str">
        <f>""</f>
        <v/>
      </c>
      <c r="E7147" s="46" t="s">
        <v>229</v>
      </c>
      <c r="F7147" s="46" t="s">
        <v>20359</v>
      </c>
      <c r="G7147" s="46" t="s">
        <v>50591</v>
      </c>
      <c r="H7147" s="48" t="s">
        <v>56716</v>
      </c>
      <c r="I7147" s="48" t="s">
        <v>50564</v>
      </c>
      <c r="J7147" s="48"/>
      <c r="K7147" s="57"/>
      <c r="L7147" s="48"/>
    </row>
    <row r="7148" spans="1:12" ht="11.25" x14ac:dyDescent="0.2">
      <c r="A7148" s="45" t="s">
        <v>46042</v>
      </c>
      <c r="B7148" s="45" t="s">
        <v>46044</v>
      </c>
      <c r="C7148" s="51" t="s">
        <v>46047</v>
      </c>
      <c r="D7148" s="51" t="s">
        <v>46046</v>
      </c>
      <c r="E7148" s="45" t="s">
        <v>46048</v>
      </c>
      <c r="F7148" s="45" t="s">
        <v>18158</v>
      </c>
      <c r="G7148" s="45" t="s">
        <v>50584</v>
      </c>
      <c r="H7148" s="56"/>
      <c r="I7148" s="56" t="s">
        <v>50564</v>
      </c>
      <c r="J7148" s="56"/>
      <c r="K7148" s="57"/>
      <c r="L7148" s="56" t="s">
        <v>56716</v>
      </c>
    </row>
    <row r="7149" spans="1:12" ht="11.25" x14ac:dyDescent="0.2">
      <c r="A7149" s="46" t="s">
        <v>5121</v>
      </c>
      <c r="B7149" s="46" t="s">
        <v>55201</v>
      </c>
      <c r="C7149" s="58" t="str">
        <f>"10313613"</f>
        <v>10313613</v>
      </c>
      <c r="D7149" s="58" t="str">
        <f>"14485990"</f>
        <v>14485990</v>
      </c>
      <c r="E7149" s="46" t="s">
        <v>5124</v>
      </c>
      <c r="F7149" s="46" t="s">
        <v>20082</v>
      </c>
      <c r="G7149" s="46" t="s">
        <v>50584</v>
      </c>
      <c r="H7149" s="48" t="s">
        <v>56716</v>
      </c>
      <c r="I7149" s="48" t="s">
        <v>50564</v>
      </c>
      <c r="J7149" s="48"/>
      <c r="K7149" s="57"/>
      <c r="L7149" s="48" t="s">
        <v>56716</v>
      </c>
    </row>
    <row r="7150" spans="1:12" ht="11.25" x14ac:dyDescent="0.2">
      <c r="A7150" s="45" t="s">
        <v>46056</v>
      </c>
      <c r="B7150" s="45" t="s">
        <v>46058</v>
      </c>
      <c r="C7150" s="51" t="s">
        <v>46059</v>
      </c>
      <c r="D7150" s="51"/>
      <c r="E7150" s="45" t="s">
        <v>43513</v>
      </c>
      <c r="F7150" s="45" t="s">
        <v>17967</v>
      </c>
      <c r="G7150" s="45" t="s">
        <v>50584</v>
      </c>
      <c r="H7150" s="56"/>
      <c r="I7150" s="56" t="s">
        <v>50564</v>
      </c>
      <c r="J7150" s="56"/>
      <c r="K7150" s="57"/>
      <c r="L7150" s="56" t="s">
        <v>56716</v>
      </c>
    </row>
    <row r="7151" spans="1:12" ht="11.25" x14ac:dyDescent="0.2">
      <c r="A7151" s="46" t="s">
        <v>10274</v>
      </c>
      <c r="B7151" s="46" t="s">
        <v>55202</v>
      </c>
      <c r="C7151" s="58" t="str">
        <f>""</f>
        <v/>
      </c>
      <c r="D7151" s="58" t="str">
        <f>"14777827"</f>
        <v>14777827</v>
      </c>
      <c r="E7151" s="46" t="s">
        <v>2299</v>
      </c>
      <c r="F7151" s="46" t="s">
        <v>50646</v>
      </c>
      <c r="G7151" s="46" t="s">
        <v>50584</v>
      </c>
      <c r="H7151" s="48" t="s">
        <v>56716</v>
      </c>
      <c r="I7151" s="48" t="s">
        <v>50564</v>
      </c>
      <c r="J7151" s="48"/>
      <c r="K7151" s="50" t="s">
        <v>56716</v>
      </c>
      <c r="L7151" s="48" t="s">
        <v>56716</v>
      </c>
    </row>
    <row r="7152" spans="1:12" ht="11.25" x14ac:dyDescent="0.2">
      <c r="A7152" s="46" t="s">
        <v>15582</v>
      </c>
      <c r="B7152" s="46" t="s">
        <v>55203</v>
      </c>
      <c r="C7152" s="58" t="str">
        <f>""</f>
        <v/>
      </c>
      <c r="D7152" s="58" t="str">
        <f>"11786426"</f>
        <v>11786426</v>
      </c>
      <c r="E7152" s="46" t="s">
        <v>11251</v>
      </c>
      <c r="F7152" s="46" t="s">
        <v>19483</v>
      </c>
      <c r="G7152" s="46" t="s">
        <v>50584</v>
      </c>
      <c r="H7152" s="48" t="s">
        <v>56716</v>
      </c>
      <c r="I7152" s="48" t="s">
        <v>50564</v>
      </c>
      <c r="J7152" s="48"/>
      <c r="K7152" s="57"/>
      <c r="L7152" s="48"/>
    </row>
    <row r="7153" spans="1:12" ht="11.25" x14ac:dyDescent="0.2">
      <c r="A7153" s="46" t="s">
        <v>9318</v>
      </c>
      <c r="B7153" s="46" t="s">
        <v>55204</v>
      </c>
      <c r="C7153" s="58" t="str">
        <f>"14726483"</f>
        <v>14726483</v>
      </c>
      <c r="D7153" s="58" t="str">
        <f>"14726491"</f>
        <v>14726491</v>
      </c>
      <c r="E7153" s="46" t="s">
        <v>155</v>
      </c>
      <c r="F7153" s="46" t="s">
        <v>50646</v>
      </c>
      <c r="G7153" s="46" t="s">
        <v>50584</v>
      </c>
      <c r="H7153" s="48" t="s">
        <v>56716</v>
      </c>
      <c r="I7153" s="48" t="s">
        <v>50564</v>
      </c>
      <c r="J7153" s="48"/>
      <c r="K7153" s="50" t="s">
        <v>56716</v>
      </c>
      <c r="L7153" s="48" t="s">
        <v>56716</v>
      </c>
    </row>
    <row r="7154" spans="1:12" ht="11.25" x14ac:dyDescent="0.2">
      <c r="A7154" s="46" t="s">
        <v>10679</v>
      </c>
      <c r="B7154" s="46" t="s">
        <v>55205</v>
      </c>
      <c r="C7154" s="58" t="str">
        <f>""</f>
        <v/>
      </c>
      <c r="D7154" s="58" t="str">
        <f>"17424755"</f>
        <v>17424755</v>
      </c>
      <c r="E7154" s="46" t="s">
        <v>2299</v>
      </c>
      <c r="F7154" s="46" t="s">
        <v>50646</v>
      </c>
      <c r="G7154" s="46" t="s">
        <v>50584</v>
      </c>
      <c r="H7154" s="48" t="s">
        <v>56716</v>
      </c>
      <c r="I7154" s="48" t="s">
        <v>50564</v>
      </c>
      <c r="J7154" s="48"/>
      <c r="K7154" s="50" t="s">
        <v>56716</v>
      </c>
      <c r="L7154" s="48" t="s">
        <v>56716</v>
      </c>
    </row>
    <row r="7155" spans="1:12" ht="11.25" x14ac:dyDescent="0.2">
      <c r="A7155" s="46" t="s">
        <v>6228</v>
      </c>
      <c r="B7155" s="46" t="s">
        <v>55206</v>
      </c>
      <c r="C7155" s="58" t="str">
        <f>"09688080"</f>
        <v>09688080</v>
      </c>
      <c r="D7155" s="58" t="str">
        <f>"14609576"</f>
        <v>14609576</v>
      </c>
      <c r="E7155" s="46" t="s">
        <v>155</v>
      </c>
      <c r="F7155" s="46" t="s">
        <v>50646</v>
      </c>
      <c r="G7155" s="46" t="s">
        <v>50584</v>
      </c>
      <c r="H7155" s="48" t="s">
        <v>56716</v>
      </c>
      <c r="I7155" s="48" t="s">
        <v>50564</v>
      </c>
      <c r="J7155" s="48" t="s">
        <v>56716</v>
      </c>
      <c r="K7155" s="57"/>
      <c r="L7155" s="48" t="s">
        <v>56716</v>
      </c>
    </row>
    <row r="7156" spans="1:12" ht="11.25" x14ac:dyDescent="0.2">
      <c r="A7156" s="46" t="s">
        <v>9844</v>
      </c>
      <c r="B7156" s="46" t="s">
        <v>55207</v>
      </c>
      <c r="C7156" s="58" t="str">
        <f>"14455781"</f>
        <v>14455781</v>
      </c>
      <c r="D7156" s="58" t="str">
        <f>"14470578"</f>
        <v>14470578</v>
      </c>
      <c r="E7156" s="46" t="s">
        <v>23335</v>
      </c>
      <c r="F7156" s="46" t="s">
        <v>18242</v>
      </c>
      <c r="G7156" s="46" t="s">
        <v>50584</v>
      </c>
      <c r="H7156" s="48" t="s">
        <v>56716</v>
      </c>
      <c r="I7156" s="48" t="s">
        <v>50564</v>
      </c>
      <c r="J7156" s="48" t="s">
        <v>56716</v>
      </c>
      <c r="K7156" s="50" t="s">
        <v>56716</v>
      </c>
      <c r="L7156" s="48"/>
    </row>
    <row r="7157" spans="1:12" ht="11.25" x14ac:dyDescent="0.2">
      <c r="A7157" s="46" t="s">
        <v>11649</v>
      </c>
      <c r="B7157" s="46" t="s">
        <v>55208</v>
      </c>
      <c r="C7157" s="58" t="str">
        <f>"19337191"</f>
        <v>19337191</v>
      </c>
      <c r="D7157" s="58" t="str">
        <f>"19337205"</f>
        <v>19337205</v>
      </c>
      <c r="E7157" s="46" t="s">
        <v>493</v>
      </c>
      <c r="F7157" s="46" t="s">
        <v>17759</v>
      </c>
      <c r="G7157" s="46" t="s">
        <v>50584</v>
      </c>
      <c r="H7157" s="48" t="s">
        <v>56716</v>
      </c>
      <c r="I7157" s="48" t="s">
        <v>50564</v>
      </c>
      <c r="J7157" s="48" t="s">
        <v>56716</v>
      </c>
      <c r="K7157" s="57"/>
      <c r="L7157" s="48" t="s">
        <v>56716</v>
      </c>
    </row>
    <row r="7158" spans="1:12" ht="11.25" x14ac:dyDescent="0.2">
      <c r="A7158" s="46" t="s">
        <v>6947</v>
      </c>
      <c r="B7158" s="46" t="s">
        <v>55209</v>
      </c>
      <c r="C7158" s="58" t="str">
        <f>"08906238"</f>
        <v>08906238</v>
      </c>
      <c r="D7158" s="58" t="str">
        <f>"18731708"</f>
        <v>18731708</v>
      </c>
      <c r="E7158" s="46" t="s">
        <v>272</v>
      </c>
      <c r="F7158" s="46" t="s">
        <v>17759</v>
      </c>
      <c r="G7158" s="46" t="s">
        <v>50584</v>
      </c>
      <c r="H7158" s="48" t="s">
        <v>56716</v>
      </c>
      <c r="I7158" s="48" t="s">
        <v>50564</v>
      </c>
      <c r="J7158" s="48"/>
      <c r="K7158" s="50" t="s">
        <v>56716</v>
      </c>
      <c r="L7158" s="48" t="s">
        <v>56716</v>
      </c>
    </row>
    <row r="7159" spans="1:12" ht="11.25" x14ac:dyDescent="0.2">
      <c r="A7159" s="46" t="s">
        <v>6619</v>
      </c>
      <c r="B7159" s="46" t="s">
        <v>55210</v>
      </c>
      <c r="C7159" s="58" t="str">
        <f>"01433083"</f>
        <v>01433083</v>
      </c>
      <c r="D7159" s="58" t="str">
        <f>""</f>
        <v/>
      </c>
      <c r="E7159" s="46" t="s">
        <v>6621</v>
      </c>
      <c r="F7159" s="46" t="s">
        <v>50646</v>
      </c>
      <c r="G7159" s="46" t="s">
        <v>50584</v>
      </c>
      <c r="H7159" s="48" t="s">
        <v>56716</v>
      </c>
      <c r="I7159" s="48" t="s">
        <v>50564</v>
      </c>
      <c r="J7159" s="48"/>
      <c r="K7159" s="57"/>
      <c r="L7159" s="48"/>
    </row>
    <row r="7160" spans="1:12" ht="11.25" x14ac:dyDescent="0.2">
      <c r="A7160" s="46" t="s">
        <v>15811</v>
      </c>
      <c r="B7160" s="46" t="s">
        <v>55211</v>
      </c>
      <c r="C7160" s="58" t="str">
        <f>"18612253"</f>
        <v>18612253</v>
      </c>
      <c r="D7160" s="58" t="str">
        <f>"18630685"</f>
        <v>18630685</v>
      </c>
      <c r="E7160" s="46" t="s">
        <v>167</v>
      </c>
      <c r="F7160" s="46" t="s">
        <v>18158</v>
      </c>
      <c r="G7160" s="46" t="s">
        <v>50584</v>
      </c>
      <c r="H7160" s="48" t="s">
        <v>56716</v>
      </c>
      <c r="I7160" s="48" t="s">
        <v>50565</v>
      </c>
      <c r="J7160" s="48" t="s">
        <v>56716</v>
      </c>
      <c r="K7160" s="57"/>
      <c r="L7160" s="48"/>
    </row>
    <row r="7161" spans="1:12" ht="11.25" x14ac:dyDescent="0.2">
      <c r="A7161" s="46" t="s">
        <v>15813</v>
      </c>
      <c r="B7161" s="46" t="s">
        <v>55212</v>
      </c>
      <c r="C7161" s="58" t="str">
        <f>"09456082"</f>
        <v>09456082</v>
      </c>
      <c r="D7161" s="58" t="str">
        <f>"21963096"</f>
        <v>21963096</v>
      </c>
      <c r="E7161" s="46" t="s">
        <v>167</v>
      </c>
      <c r="F7161" s="46" t="s">
        <v>18158</v>
      </c>
      <c r="G7161" s="46" t="s">
        <v>50584</v>
      </c>
      <c r="H7161" s="48" t="s">
        <v>56716</v>
      </c>
      <c r="I7161" s="48" t="s">
        <v>50565</v>
      </c>
      <c r="J7161" s="48" t="s">
        <v>56716</v>
      </c>
      <c r="K7161" s="57"/>
      <c r="L7161" s="48"/>
    </row>
    <row r="7162" spans="1:12" ht="11.25" x14ac:dyDescent="0.2">
      <c r="A7162" s="46" t="s">
        <v>9488</v>
      </c>
      <c r="B7162" s="46" t="s">
        <v>55213</v>
      </c>
      <c r="C7162" s="58" t="str">
        <f>"12848360"</f>
        <v>12848360</v>
      </c>
      <c r="D7162" s="58" t="str">
        <f>""</f>
        <v/>
      </c>
      <c r="E7162" s="46" t="s">
        <v>9490</v>
      </c>
      <c r="F7162" s="46" t="s">
        <v>20359</v>
      </c>
      <c r="G7162" s="46" t="s">
        <v>50584</v>
      </c>
      <c r="H7162" s="48" t="s">
        <v>56716</v>
      </c>
      <c r="I7162" s="48" t="s">
        <v>50565</v>
      </c>
      <c r="J7162" s="48"/>
      <c r="K7162" s="57"/>
      <c r="L7162" s="48"/>
    </row>
    <row r="7163" spans="1:12" ht="11.25" x14ac:dyDescent="0.2">
      <c r="A7163" s="46" t="s">
        <v>50542</v>
      </c>
      <c r="B7163" s="46" t="s">
        <v>55214</v>
      </c>
      <c r="C7163" s="58" t="str">
        <f>""</f>
        <v/>
      </c>
      <c r="D7163" s="58" t="str">
        <f>"22532447"</f>
        <v>22532447</v>
      </c>
      <c r="E7163" s="46" t="s">
        <v>11079</v>
      </c>
      <c r="F7163" s="46" t="s">
        <v>19483</v>
      </c>
      <c r="G7163" s="46" t="s">
        <v>50584</v>
      </c>
      <c r="H7163" s="48" t="s">
        <v>56716</v>
      </c>
      <c r="I7163" s="48" t="s">
        <v>50564</v>
      </c>
      <c r="J7163" s="48"/>
      <c r="K7163" s="57"/>
      <c r="L7163" s="48"/>
    </row>
    <row r="7164" spans="1:12" ht="11.25" x14ac:dyDescent="0.2">
      <c r="A7164" s="45" t="s">
        <v>46090</v>
      </c>
      <c r="B7164" s="45" t="s">
        <v>46092</v>
      </c>
      <c r="C7164" s="51" t="s">
        <v>46094</v>
      </c>
      <c r="D7164" s="51"/>
      <c r="E7164" s="45" t="s">
        <v>20867</v>
      </c>
      <c r="F7164" s="45" t="s">
        <v>17759</v>
      </c>
      <c r="G7164" s="45" t="s">
        <v>50584</v>
      </c>
      <c r="H7164" s="56"/>
      <c r="I7164" s="56" t="s">
        <v>50564</v>
      </c>
      <c r="J7164" s="56"/>
      <c r="K7164" s="57"/>
      <c r="L7164" s="56" t="s">
        <v>56716</v>
      </c>
    </row>
    <row r="7165" spans="1:12" ht="11.25" x14ac:dyDescent="0.2">
      <c r="A7165" s="46" t="s">
        <v>7812</v>
      </c>
      <c r="B7165" s="46" t="s">
        <v>55215</v>
      </c>
      <c r="C7165" s="58" t="str">
        <f>"1087111X"</f>
        <v>1087111X</v>
      </c>
      <c r="D7165" s="58" t="str">
        <f>""</f>
        <v/>
      </c>
      <c r="E7165" s="46" t="s">
        <v>6442</v>
      </c>
      <c r="F7165" s="46" t="s">
        <v>17759</v>
      </c>
      <c r="G7165" s="46" t="s">
        <v>50584</v>
      </c>
      <c r="H7165" s="48" t="s">
        <v>56716</v>
      </c>
      <c r="I7165" s="48" t="s">
        <v>50564</v>
      </c>
      <c r="J7165" s="48"/>
      <c r="K7165" s="57"/>
      <c r="L7165" s="48"/>
    </row>
    <row r="7166" spans="1:12" ht="11.25" x14ac:dyDescent="0.2">
      <c r="A7166" s="46" t="s">
        <v>12749</v>
      </c>
      <c r="B7166" s="46" t="s">
        <v>55216</v>
      </c>
      <c r="C7166" s="58" t="str">
        <f>"10870695"</f>
        <v>10870695</v>
      </c>
      <c r="D7166" s="58" t="str">
        <f>""</f>
        <v/>
      </c>
      <c r="E7166" s="46" t="s">
        <v>6442</v>
      </c>
      <c r="F7166" s="46" t="s">
        <v>17759</v>
      </c>
      <c r="G7166" s="46" t="s">
        <v>50584</v>
      </c>
      <c r="H7166" s="48" t="s">
        <v>56716</v>
      </c>
      <c r="I7166" s="48" t="s">
        <v>50564</v>
      </c>
      <c r="J7166" s="48" t="s">
        <v>56716</v>
      </c>
      <c r="K7166" s="57"/>
      <c r="L7166" s="48"/>
    </row>
    <row r="7167" spans="1:12" ht="11.25" x14ac:dyDescent="0.2">
      <c r="A7167" s="46" t="s">
        <v>6440</v>
      </c>
      <c r="B7167" s="46" t="s">
        <v>55217</v>
      </c>
      <c r="C7167" s="58" t="str">
        <f>"10780297"</f>
        <v>10780297</v>
      </c>
      <c r="D7167" s="58" t="str">
        <f>""</f>
        <v/>
      </c>
      <c r="E7167" s="46" t="s">
        <v>6442</v>
      </c>
      <c r="F7167" s="46" t="s">
        <v>17759</v>
      </c>
      <c r="G7167" s="46" t="s">
        <v>50584</v>
      </c>
      <c r="H7167" s="48" t="s">
        <v>56716</v>
      </c>
      <c r="I7167" s="48" t="s">
        <v>50564</v>
      </c>
      <c r="J7167" s="48" t="s">
        <v>56716</v>
      </c>
      <c r="K7167" s="57"/>
      <c r="L7167" s="48" t="s">
        <v>56716</v>
      </c>
    </row>
    <row r="7168" spans="1:12" ht="11.25" x14ac:dyDescent="0.2">
      <c r="A7168" s="46" t="s">
        <v>11622</v>
      </c>
      <c r="B7168" s="46" t="s">
        <v>55218</v>
      </c>
      <c r="C7168" s="58" t="str">
        <f>"17509467"</f>
        <v>17509467</v>
      </c>
      <c r="D7168" s="58" t="str">
        <f>"18780237"</f>
        <v>18780237</v>
      </c>
      <c r="E7168" s="46" t="s">
        <v>155</v>
      </c>
      <c r="F7168" s="46" t="s">
        <v>50646</v>
      </c>
      <c r="G7168" s="46" t="s">
        <v>50584</v>
      </c>
      <c r="H7168" s="48" t="s">
        <v>56716</v>
      </c>
      <c r="I7168" s="48" t="s">
        <v>50564</v>
      </c>
      <c r="J7168" s="48" t="s">
        <v>56716</v>
      </c>
      <c r="K7168" s="57"/>
      <c r="L7168" s="48"/>
    </row>
    <row r="7169" spans="1:12" ht="11.25" x14ac:dyDescent="0.2">
      <c r="A7169" s="46" t="s">
        <v>56237</v>
      </c>
      <c r="B7169" s="46" t="s">
        <v>56238</v>
      </c>
      <c r="C7169" s="58" t="str">
        <f>"22519572"</f>
        <v>22519572</v>
      </c>
      <c r="D7169" s="58" t="str">
        <f>"22519580"</f>
        <v>22519580</v>
      </c>
      <c r="E7169" s="46" t="s">
        <v>56226</v>
      </c>
      <c r="F7169" s="46" t="s">
        <v>18001</v>
      </c>
      <c r="G7169" s="46" t="s">
        <v>50584</v>
      </c>
      <c r="H7169" s="48" t="s">
        <v>56716</v>
      </c>
      <c r="I7169" s="48" t="s">
        <v>50564</v>
      </c>
      <c r="J7169" s="48"/>
      <c r="K7169" s="57"/>
      <c r="L7169" s="48"/>
    </row>
    <row r="7170" spans="1:12" ht="11.25" x14ac:dyDescent="0.2">
      <c r="A7170" s="46" t="s">
        <v>4450</v>
      </c>
      <c r="B7170" s="46" t="s">
        <v>55219</v>
      </c>
      <c r="C7170" s="58" t="str">
        <f>"08914222"</f>
        <v>08914222</v>
      </c>
      <c r="D7170" s="58" t="str">
        <f>"18733379"</f>
        <v>18733379</v>
      </c>
      <c r="E7170" s="46" t="s">
        <v>272</v>
      </c>
      <c r="F7170" s="46" t="s">
        <v>17759</v>
      </c>
      <c r="G7170" s="46" t="s">
        <v>50584</v>
      </c>
      <c r="H7170" s="48" t="s">
        <v>56716</v>
      </c>
      <c r="I7170" s="48" t="s">
        <v>50564</v>
      </c>
      <c r="J7170" s="48"/>
      <c r="K7170" s="50" t="s">
        <v>56716</v>
      </c>
      <c r="L7170" s="48" t="s">
        <v>56716</v>
      </c>
    </row>
    <row r="7171" spans="1:12" ht="11.25" x14ac:dyDescent="0.2">
      <c r="A7171" s="45" t="s">
        <v>46113</v>
      </c>
      <c r="B7171" s="45" t="s">
        <v>46115</v>
      </c>
      <c r="C7171" s="51" t="s">
        <v>46117</v>
      </c>
      <c r="D7171" s="51" t="s">
        <v>46116</v>
      </c>
      <c r="E7171" s="45" t="s">
        <v>46118</v>
      </c>
      <c r="F7171" s="45" t="s">
        <v>17759</v>
      </c>
      <c r="G7171" s="45" t="s">
        <v>50584</v>
      </c>
      <c r="H7171" s="56"/>
      <c r="I7171" s="56" t="s">
        <v>50564</v>
      </c>
      <c r="J7171" s="56"/>
      <c r="K7171" s="57"/>
      <c r="L7171" s="56" t="s">
        <v>56716</v>
      </c>
    </row>
    <row r="7172" spans="1:12" ht="11.25" x14ac:dyDescent="0.2">
      <c r="A7172" s="46" t="s">
        <v>4954</v>
      </c>
      <c r="B7172" s="46" t="s">
        <v>55220</v>
      </c>
      <c r="C7172" s="58" t="str">
        <f>"09232508"</f>
        <v>09232508</v>
      </c>
      <c r="D7172" s="58" t="str">
        <f>"17697123"</f>
        <v>17697123</v>
      </c>
      <c r="E7172" s="46" t="s">
        <v>85</v>
      </c>
      <c r="F7172" s="46" t="s">
        <v>20359</v>
      </c>
      <c r="G7172" s="46" t="s">
        <v>50584</v>
      </c>
      <c r="H7172" s="48" t="s">
        <v>56716</v>
      </c>
      <c r="I7172" s="48" t="s">
        <v>50564</v>
      </c>
      <c r="J7172" s="48" t="s">
        <v>56716</v>
      </c>
      <c r="K7172" s="50" t="s">
        <v>56716</v>
      </c>
      <c r="L7172" s="48" t="s">
        <v>56716</v>
      </c>
    </row>
    <row r="7173" spans="1:12" ht="11.25" x14ac:dyDescent="0.2">
      <c r="A7173" s="45" t="s">
        <v>46125</v>
      </c>
      <c r="B7173" s="45" t="s">
        <v>46127</v>
      </c>
      <c r="C7173" s="51" t="s">
        <v>46129</v>
      </c>
      <c r="D7173" s="51" t="s">
        <v>46128</v>
      </c>
      <c r="E7173" s="45" t="s">
        <v>36361</v>
      </c>
      <c r="F7173" s="45" t="s">
        <v>17759</v>
      </c>
      <c r="G7173" s="45" t="s">
        <v>50584</v>
      </c>
      <c r="H7173" s="56"/>
      <c r="I7173" s="56" t="s">
        <v>50564</v>
      </c>
      <c r="J7173" s="56"/>
      <c r="K7173" s="57"/>
      <c r="L7173" s="56" t="s">
        <v>56716</v>
      </c>
    </row>
    <row r="7174" spans="1:12" ht="11.25" x14ac:dyDescent="0.2">
      <c r="A7174" s="46" t="s">
        <v>13012</v>
      </c>
      <c r="B7174" s="46" t="s">
        <v>55221</v>
      </c>
      <c r="C7174" s="58" t="str">
        <f>"17355362"</f>
        <v>17355362</v>
      </c>
      <c r="D7174" s="58" t="str">
        <f>"17359414"</f>
        <v>17359414</v>
      </c>
      <c r="E7174" s="46" t="s">
        <v>10464</v>
      </c>
      <c r="F7174" s="46" t="s">
        <v>18232</v>
      </c>
      <c r="G7174" s="46" t="s">
        <v>50584</v>
      </c>
      <c r="H7174" s="48" t="s">
        <v>56716</v>
      </c>
      <c r="I7174" s="48" t="s">
        <v>50564</v>
      </c>
      <c r="J7174" s="48"/>
      <c r="K7174" s="57"/>
      <c r="L7174" s="48"/>
    </row>
    <row r="7175" spans="1:12" ht="11.25" x14ac:dyDescent="0.2">
      <c r="A7175" s="46" t="s">
        <v>15532</v>
      </c>
      <c r="B7175" s="46" t="s">
        <v>55222</v>
      </c>
      <c r="C7175" s="58" t="str">
        <f>"22398031"</f>
        <v>22398031</v>
      </c>
      <c r="D7175" s="58" t="str">
        <f>""</f>
        <v/>
      </c>
      <c r="E7175" s="46" t="s">
        <v>15534</v>
      </c>
      <c r="F7175" s="46" t="s">
        <v>17991</v>
      </c>
      <c r="G7175" s="46" t="s">
        <v>50603</v>
      </c>
      <c r="H7175" s="48" t="s">
        <v>56716</v>
      </c>
      <c r="I7175" s="48" t="s">
        <v>50564</v>
      </c>
      <c r="J7175" s="48"/>
      <c r="K7175" s="57"/>
      <c r="L7175" s="48"/>
    </row>
    <row r="7176" spans="1:12" ht="11.25" x14ac:dyDescent="0.2">
      <c r="A7176" s="45" t="s">
        <v>46131</v>
      </c>
      <c r="B7176" s="45" t="s">
        <v>46133</v>
      </c>
      <c r="C7176" s="51" t="s">
        <v>46135</v>
      </c>
      <c r="D7176" s="51" t="s">
        <v>46134</v>
      </c>
      <c r="E7176" s="45" t="s">
        <v>91</v>
      </c>
      <c r="F7176" s="45" t="s">
        <v>17759</v>
      </c>
      <c r="G7176" s="45" t="s">
        <v>50584</v>
      </c>
      <c r="H7176" s="56"/>
      <c r="I7176" s="56" t="s">
        <v>50564</v>
      </c>
      <c r="J7176" s="56"/>
      <c r="K7176" s="57"/>
      <c r="L7176" s="56" t="s">
        <v>56716</v>
      </c>
    </row>
    <row r="7177" spans="1:12" ht="11.25" x14ac:dyDescent="0.2">
      <c r="A7177" s="45" t="s">
        <v>46138</v>
      </c>
      <c r="B7177" s="45" t="s">
        <v>46140</v>
      </c>
      <c r="C7177" s="51" t="s">
        <v>46143</v>
      </c>
      <c r="D7177" s="51" t="s">
        <v>46142</v>
      </c>
      <c r="E7177" s="45" t="s">
        <v>291</v>
      </c>
      <c r="F7177" s="45" t="s">
        <v>17759</v>
      </c>
      <c r="G7177" s="45" t="s">
        <v>50584</v>
      </c>
      <c r="H7177" s="56"/>
      <c r="I7177" s="56" t="s">
        <v>50564</v>
      </c>
      <c r="J7177" s="56"/>
      <c r="K7177" s="57"/>
      <c r="L7177" s="56" t="s">
        <v>56716</v>
      </c>
    </row>
    <row r="7178" spans="1:12" ht="11.25" x14ac:dyDescent="0.2">
      <c r="A7178" s="46" t="s">
        <v>3713</v>
      </c>
      <c r="B7178" s="46" t="s">
        <v>55223</v>
      </c>
      <c r="C7178" s="58" t="str">
        <f>"00345288"</f>
        <v>00345288</v>
      </c>
      <c r="D7178" s="58" t="str">
        <f>"15322661"</f>
        <v>15322661</v>
      </c>
      <c r="E7178" s="46" t="s">
        <v>91</v>
      </c>
      <c r="F7178" s="46" t="s">
        <v>18001</v>
      </c>
      <c r="G7178" s="46" t="s">
        <v>50584</v>
      </c>
      <c r="H7178" s="48" t="s">
        <v>56716</v>
      </c>
      <c r="I7178" s="48" t="s">
        <v>50564</v>
      </c>
      <c r="J7178" s="48"/>
      <c r="K7178" s="50" t="s">
        <v>56716</v>
      </c>
      <c r="L7178" s="48" t="s">
        <v>56716</v>
      </c>
    </row>
    <row r="7179" spans="1:12" ht="11.25" x14ac:dyDescent="0.2">
      <c r="A7179" s="45" t="s">
        <v>46150</v>
      </c>
      <c r="B7179" s="45" t="s">
        <v>46152</v>
      </c>
      <c r="C7179" s="51" t="s">
        <v>46153</v>
      </c>
      <c r="D7179" s="51"/>
      <c r="E7179" s="45" t="s">
        <v>46154</v>
      </c>
      <c r="F7179" s="45" t="s">
        <v>17759</v>
      </c>
      <c r="G7179" s="45" t="s">
        <v>50584</v>
      </c>
      <c r="H7179" s="56"/>
      <c r="I7179" s="56" t="s">
        <v>50564</v>
      </c>
      <c r="J7179" s="56"/>
      <c r="K7179" s="57"/>
      <c r="L7179" s="56" t="s">
        <v>56716</v>
      </c>
    </row>
    <row r="7180" spans="1:12" ht="11.25" x14ac:dyDescent="0.2">
      <c r="A7180" s="46" t="s">
        <v>13246</v>
      </c>
      <c r="B7180" s="46" t="s">
        <v>55224</v>
      </c>
      <c r="C7180" s="58" t="str">
        <f>"18193390"</f>
        <v>18193390</v>
      </c>
      <c r="D7180" s="58" t="str">
        <f>"2152095X"</f>
        <v>2152095X</v>
      </c>
      <c r="E7180" s="46" t="s">
        <v>12434</v>
      </c>
      <c r="F7180" s="46" t="s">
        <v>17759</v>
      </c>
      <c r="G7180" s="46" t="s">
        <v>50584</v>
      </c>
      <c r="H7180" s="48" t="s">
        <v>56716</v>
      </c>
      <c r="I7180" s="48" t="s">
        <v>50564</v>
      </c>
      <c r="J7180" s="48"/>
      <c r="K7180" s="57"/>
      <c r="L7180" s="48"/>
    </row>
    <row r="7181" spans="1:12" ht="11.25" x14ac:dyDescent="0.2">
      <c r="A7181" s="46" t="s">
        <v>13249</v>
      </c>
      <c r="B7181" s="46" t="s">
        <v>55225</v>
      </c>
      <c r="C7181" s="58" t="str">
        <f>"18193404"</f>
        <v>18193404</v>
      </c>
      <c r="D7181" s="58" t="str">
        <f>"21518297"</f>
        <v>21518297</v>
      </c>
      <c r="E7181" s="46" t="s">
        <v>12434</v>
      </c>
      <c r="F7181" s="46" t="s">
        <v>17759</v>
      </c>
      <c r="G7181" s="46" t="s">
        <v>50584</v>
      </c>
      <c r="H7181" s="48" t="s">
        <v>56716</v>
      </c>
      <c r="I7181" s="48" t="s">
        <v>50564</v>
      </c>
      <c r="J7181" s="48"/>
      <c r="K7181" s="57"/>
      <c r="L7181" s="48"/>
    </row>
    <row r="7182" spans="1:12" ht="11.25" x14ac:dyDescent="0.2">
      <c r="A7182" s="46" t="s">
        <v>12957</v>
      </c>
      <c r="B7182" s="46" t="s">
        <v>55226</v>
      </c>
      <c r="C7182" s="58" t="str">
        <f>"18193420"</f>
        <v>18193420</v>
      </c>
      <c r="D7182" s="58" t="str">
        <f>""</f>
        <v/>
      </c>
      <c r="E7182" s="46" t="s">
        <v>12434</v>
      </c>
      <c r="F7182" s="46" t="s">
        <v>17759</v>
      </c>
      <c r="G7182" s="46" t="s">
        <v>50584</v>
      </c>
      <c r="H7182" s="48" t="s">
        <v>56716</v>
      </c>
      <c r="I7182" s="48" t="s">
        <v>50564</v>
      </c>
      <c r="J7182" s="48"/>
      <c r="K7182" s="57"/>
      <c r="L7182" s="48"/>
    </row>
    <row r="7183" spans="1:12" ht="11.25" x14ac:dyDescent="0.2">
      <c r="A7183" s="46" t="s">
        <v>14087</v>
      </c>
      <c r="B7183" s="46" t="s">
        <v>55227</v>
      </c>
      <c r="C7183" s="58" t="str">
        <f>"19947909"</f>
        <v>19947909</v>
      </c>
      <c r="D7183" s="58" t="str">
        <f>"20772211"</f>
        <v>20772211</v>
      </c>
      <c r="E7183" s="46" t="s">
        <v>10959</v>
      </c>
      <c r="F7183" s="46" t="s">
        <v>34138</v>
      </c>
      <c r="G7183" s="46" t="s">
        <v>50584</v>
      </c>
      <c r="H7183" s="48" t="s">
        <v>56716</v>
      </c>
      <c r="I7183" s="48" t="s">
        <v>50564</v>
      </c>
      <c r="J7183" s="48"/>
      <c r="K7183" s="57"/>
      <c r="L7183" s="48"/>
    </row>
    <row r="7184" spans="1:12" ht="11.25" x14ac:dyDescent="0.2">
      <c r="A7184" s="46" t="s">
        <v>12452</v>
      </c>
      <c r="B7184" s="46" t="s">
        <v>55228</v>
      </c>
      <c r="C7184" s="58" t="str">
        <f>"18159346"</f>
        <v>18159346</v>
      </c>
      <c r="D7184" s="58" t="str">
        <f>"19936095"</f>
        <v>19936095</v>
      </c>
      <c r="E7184" s="46" t="s">
        <v>12455</v>
      </c>
      <c r="F7184" s="46" t="s">
        <v>34138</v>
      </c>
      <c r="G7184" s="46" t="s">
        <v>50584</v>
      </c>
      <c r="H7184" s="48" t="s">
        <v>56716</v>
      </c>
      <c r="I7184" s="48" t="s">
        <v>50564</v>
      </c>
      <c r="J7184" s="48"/>
      <c r="K7184" s="57"/>
      <c r="L7184" s="48"/>
    </row>
    <row r="7185" spans="1:12" ht="11.25" x14ac:dyDescent="0.2">
      <c r="A7185" s="46" t="s">
        <v>12959</v>
      </c>
      <c r="B7185" s="46" t="s">
        <v>55229</v>
      </c>
      <c r="C7185" s="58" t="str">
        <f>"18193455"</f>
        <v>18193455</v>
      </c>
      <c r="D7185" s="58" t="str">
        <f>"21517924"</f>
        <v>21517924</v>
      </c>
      <c r="E7185" s="46" t="s">
        <v>12434</v>
      </c>
      <c r="F7185" s="46" t="s">
        <v>17759</v>
      </c>
      <c r="G7185" s="46" t="s">
        <v>50584</v>
      </c>
      <c r="H7185" s="48" t="s">
        <v>56716</v>
      </c>
      <c r="I7185" s="48" t="s">
        <v>50564</v>
      </c>
      <c r="J7185" s="48"/>
      <c r="K7185" s="57"/>
      <c r="L7185" s="48"/>
    </row>
    <row r="7186" spans="1:12" ht="11.25" x14ac:dyDescent="0.2">
      <c r="A7186" s="46" t="s">
        <v>13232</v>
      </c>
      <c r="B7186" s="46" t="s">
        <v>55230</v>
      </c>
      <c r="C7186" s="58" t="str">
        <f>"19947925"</f>
        <v>19947925</v>
      </c>
      <c r="D7186" s="58" t="str">
        <f>"2077222X"</f>
        <v>2077222X</v>
      </c>
      <c r="E7186" s="46" t="s">
        <v>10959</v>
      </c>
      <c r="F7186" s="46" t="s">
        <v>34138</v>
      </c>
      <c r="G7186" s="46" t="s">
        <v>50584</v>
      </c>
      <c r="H7186" s="48" t="s">
        <v>56716</v>
      </c>
      <c r="I7186" s="48" t="s">
        <v>50564</v>
      </c>
      <c r="J7186" s="48"/>
      <c r="K7186" s="57"/>
      <c r="L7186" s="48"/>
    </row>
    <row r="7187" spans="1:12" ht="11.25" x14ac:dyDescent="0.2">
      <c r="A7187" s="46" t="s">
        <v>13041</v>
      </c>
      <c r="B7187" s="46" t="s">
        <v>55231</v>
      </c>
      <c r="C7187" s="58" t="str">
        <f>"18164943"</f>
        <v>18164943</v>
      </c>
      <c r="D7187" s="58" t="str">
        <f>""</f>
        <v/>
      </c>
      <c r="E7187" s="46" t="s">
        <v>12434</v>
      </c>
      <c r="F7187" s="46" t="s">
        <v>17759</v>
      </c>
      <c r="G7187" s="46" t="s">
        <v>50584</v>
      </c>
      <c r="H7187" s="48" t="s">
        <v>56716</v>
      </c>
      <c r="I7187" s="48" t="s">
        <v>50564</v>
      </c>
      <c r="J7187" s="48"/>
      <c r="K7187" s="57"/>
      <c r="L7187" s="48"/>
    </row>
    <row r="7188" spans="1:12" ht="11.25" x14ac:dyDescent="0.2">
      <c r="A7188" s="46" t="s">
        <v>15078</v>
      </c>
      <c r="B7188" s="46" t="s">
        <v>55232</v>
      </c>
      <c r="C7188" s="58" t="str">
        <f>""</f>
        <v/>
      </c>
      <c r="D7188" s="58" t="str">
        <f>"09758585"</f>
        <v>09758585</v>
      </c>
      <c r="E7188" s="46" t="s">
        <v>15078</v>
      </c>
      <c r="F7188" s="46" t="s">
        <v>20446</v>
      </c>
      <c r="G7188" s="46" t="s">
        <v>50584</v>
      </c>
      <c r="H7188" s="48" t="s">
        <v>56716</v>
      </c>
      <c r="I7188" s="48" t="s">
        <v>50564</v>
      </c>
      <c r="J7188" s="48"/>
      <c r="K7188" s="57"/>
      <c r="L7188" s="48"/>
    </row>
    <row r="7189" spans="1:12" ht="11.25" x14ac:dyDescent="0.2">
      <c r="A7189" s="46" t="s">
        <v>56163</v>
      </c>
      <c r="B7189" s="46" t="s">
        <v>56164</v>
      </c>
      <c r="C7189" s="58" t="str">
        <f>"23454458"</f>
        <v>23454458</v>
      </c>
      <c r="D7189" s="58" t="str">
        <f>"23455977"</f>
        <v>23455977</v>
      </c>
      <c r="E7189" s="46" t="s">
        <v>56165</v>
      </c>
      <c r="F7189" s="46" t="s">
        <v>18232</v>
      </c>
      <c r="G7189" s="46" t="s">
        <v>50584</v>
      </c>
      <c r="H7189" s="48" t="s">
        <v>56716</v>
      </c>
      <c r="I7189" s="48" t="s">
        <v>50564</v>
      </c>
      <c r="J7189" s="48"/>
      <c r="K7189" s="57"/>
      <c r="L7189" s="48"/>
    </row>
    <row r="7190" spans="1:12" ht="11.25" x14ac:dyDescent="0.2">
      <c r="A7190" s="46" t="s">
        <v>12456</v>
      </c>
      <c r="B7190" s="46" t="s">
        <v>55233</v>
      </c>
      <c r="C7190" s="58" t="str">
        <f>"18159362"</f>
        <v>18159362</v>
      </c>
      <c r="D7190" s="58" t="str">
        <f>""</f>
        <v/>
      </c>
      <c r="E7190" s="46" t="s">
        <v>12455</v>
      </c>
      <c r="F7190" s="46" t="s">
        <v>34138</v>
      </c>
      <c r="G7190" s="46" t="s">
        <v>50584</v>
      </c>
      <c r="H7190" s="48" t="s">
        <v>56716</v>
      </c>
      <c r="I7190" s="48" t="s">
        <v>50564</v>
      </c>
      <c r="J7190" s="48"/>
      <c r="K7190" s="57"/>
      <c r="L7190" s="48"/>
    </row>
    <row r="7191" spans="1:12" ht="11.25" x14ac:dyDescent="0.2">
      <c r="A7191" s="46" t="s">
        <v>15183</v>
      </c>
      <c r="B7191" s="46" t="s">
        <v>55234</v>
      </c>
      <c r="C7191" s="58" t="str">
        <f>"0974360X"</f>
        <v>0974360X</v>
      </c>
      <c r="D7191" s="58" t="str">
        <f>"09743618"</f>
        <v>09743618</v>
      </c>
      <c r="E7191" s="46" t="s">
        <v>15183</v>
      </c>
      <c r="F7191" s="46" t="s">
        <v>20446</v>
      </c>
      <c r="G7191" s="46" t="s">
        <v>50584</v>
      </c>
      <c r="H7191" s="48" t="s">
        <v>56716</v>
      </c>
      <c r="I7191" s="48" t="s">
        <v>50564</v>
      </c>
      <c r="J7191" s="48"/>
      <c r="K7191" s="57"/>
      <c r="L7191" s="48"/>
    </row>
    <row r="7192" spans="1:12" ht="11.25" x14ac:dyDescent="0.2">
      <c r="A7192" s="46" t="s">
        <v>13131</v>
      </c>
      <c r="B7192" s="46" t="s">
        <v>55235</v>
      </c>
      <c r="C7192" s="58" t="str">
        <f>"18193560"</f>
        <v>18193560</v>
      </c>
      <c r="D7192" s="58" t="str">
        <f>"21517258"</f>
        <v>21517258</v>
      </c>
      <c r="E7192" s="46" t="s">
        <v>12434</v>
      </c>
      <c r="F7192" s="46" t="s">
        <v>17759</v>
      </c>
      <c r="G7192" s="46" t="s">
        <v>50584</v>
      </c>
      <c r="H7192" s="48" t="s">
        <v>56716</v>
      </c>
      <c r="I7192" s="48" t="s">
        <v>50564</v>
      </c>
      <c r="J7192" s="48"/>
      <c r="K7192" s="57"/>
      <c r="L7192" s="48"/>
    </row>
    <row r="7193" spans="1:12" ht="11.25" x14ac:dyDescent="0.2">
      <c r="A7193" s="45" t="s">
        <v>56660</v>
      </c>
      <c r="B7193" s="45" t="s">
        <v>56661</v>
      </c>
      <c r="C7193" s="51" t="s">
        <v>56662</v>
      </c>
      <c r="D7193" s="51" t="s">
        <v>56663</v>
      </c>
      <c r="E7193" s="45" t="s">
        <v>56664</v>
      </c>
      <c r="F7193" s="45" t="s">
        <v>17759</v>
      </c>
      <c r="G7193" s="45" t="s">
        <v>50584</v>
      </c>
      <c r="H7193" s="56"/>
      <c r="I7193" s="56" t="s">
        <v>50564</v>
      </c>
      <c r="J7193" s="56"/>
      <c r="K7193" s="57"/>
      <c r="L7193" s="56" t="s">
        <v>56716</v>
      </c>
    </row>
    <row r="7194" spans="1:12" ht="11.25" x14ac:dyDescent="0.2">
      <c r="A7194" s="45" t="s">
        <v>46157</v>
      </c>
      <c r="B7194" s="45" t="s">
        <v>46159</v>
      </c>
      <c r="C7194" s="51" t="s">
        <v>46161</v>
      </c>
      <c r="D7194" s="51"/>
      <c r="E7194" s="45" t="s">
        <v>46162</v>
      </c>
      <c r="F7194" s="45" t="s">
        <v>17759</v>
      </c>
      <c r="G7194" s="45" t="s">
        <v>50584</v>
      </c>
      <c r="H7194" s="56"/>
      <c r="I7194" s="56" t="s">
        <v>50564</v>
      </c>
      <c r="J7194" s="56"/>
      <c r="K7194" s="57"/>
      <c r="L7194" s="56" t="s">
        <v>56716</v>
      </c>
    </row>
    <row r="7195" spans="1:12" ht="11.25" x14ac:dyDescent="0.2">
      <c r="A7195" s="45" t="s">
        <v>46164</v>
      </c>
      <c r="B7195" s="45" t="s">
        <v>46166</v>
      </c>
      <c r="C7195" s="51" t="s">
        <v>46167</v>
      </c>
      <c r="D7195" s="51"/>
      <c r="E7195" s="45" t="s">
        <v>46168</v>
      </c>
      <c r="F7195" s="45" t="s">
        <v>17759</v>
      </c>
      <c r="G7195" s="45" t="s">
        <v>50584</v>
      </c>
      <c r="H7195" s="56"/>
      <c r="I7195" s="56" t="s">
        <v>50564</v>
      </c>
      <c r="J7195" s="56"/>
      <c r="K7195" s="57"/>
      <c r="L7195" s="56" t="s">
        <v>56716</v>
      </c>
    </row>
    <row r="7196" spans="1:12" ht="11.25" x14ac:dyDescent="0.2">
      <c r="A7196" s="46" t="s">
        <v>4595</v>
      </c>
      <c r="B7196" s="46" t="s">
        <v>55236</v>
      </c>
      <c r="C7196" s="58" t="str">
        <f>"09213449"</f>
        <v>09213449</v>
      </c>
      <c r="D7196" s="58" t="str">
        <f>"18790658"</f>
        <v>18790658</v>
      </c>
      <c r="E7196" s="46" t="s">
        <v>91</v>
      </c>
      <c r="F7196" s="46" t="s">
        <v>18001</v>
      </c>
      <c r="G7196" s="46" t="s">
        <v>50584</v>
      </c>
      <c r="H7196" s="48" t="s">
        <v>56716</v>
      </c>
      <c r="I7196" s="48" t="s">
        <v>50564</v>
      </c>
      <c r="J7196" s="48"/>
      <c r="K7196" s="50" t="s">
        <v>56716</v>
      </c>
      <c r="L7196" s="48"/>
    </row>
    <row r="7197" spans="1:12" ht="11.25" x14ac:dyDescent="0.2">
      <c r="A7197" s="46" t="s">
        <v>3621</v>
      </c>
      <c r="B7197" s="46" t="s">
        <v>3621</v>
      </c>
      <c r="C7197" s="58" t="str">
        <f>"00257931"</f>
        <v>00257931</v>
      </c>
      <c r="D7197" s="58" t="str">
        <f>"14230356"</f>
        <v>14230356</v>
      </c>
      <c r="E7197" s="46" t="s">
        <v>109</v>
      </c>
      <c r="F7197" s="46" t="s">
        <v>18123</v>
      </c>
      <c r="G7197" s="46" t="s">
        <v>50584</v>
      </c>
      <c r="H7197" s="48" t="s">
        <v>56716</v>
      </c>
      <c r="I7197" s="48" t="s">
        <v>50564</v>
      </c>
      <c r="J7197" s="48" t="s">
        <v>56716</v>
      </c>
      <c r="K7197" s="50" t="s">
        <v>56716</v>
      </c>
      <c r="L7197" s="48" t="s">
        <v>56716</v>
      </c>
    </row>
    <row r="7198" spans="1:12" ht="11.25" x14ac:dyDescent="0.2">
      <c r="A7198" s="46" t="s">
        <v>2800</v>
      </c>
      <c r="B7198" s="46" t="s">
        <v>55237</v>
      </c>
      <c r="C7198" s="58" t="str">
        <f>"04523458"</f>
        <v>04523458</v>
      </c>
      <c r="D7198" s="58" t="str">
        <f>""</f>
        <v/>
      </c>
      <c r="E7198" s="46" t="s">
        <v>2802</v>
      </c>
      <c r="F7198" s="46" t="s">
        <v>18242</v>
      </c>
      <c r="G7198" s="46" t="s">
        <v>50604</v>
      </c>
      <c r="H7198" s="48" t="s">
        <v>56716</v>
      </c>
      <c r="I7198" s="48" t="s">
        <v>50564</v>
      </c>
      <c r="J7198" s="48"/>
      <c r="K7198" s="57"/>
      <c r="L7198" s="48"/>
    </row>
    <row r="7199" spans="1:12" ht="11.25" x14ac:dyDescent="0.2">
      <c r="A7199" s="46" t="s">
        <v>3594</v>
      </c>
      <c r="B7199" s="46" t="s">
        <v>55238</v>
      </c>
      <c r="C7199" s="58" t="str">
        <f>"00201324"</f>
        <v>00201324</v>
      </c>
      <c r="D7199" s="58" t="str">
        <f>"19433654"</f>
        <v>19433654</v>
      </c>
      <c r="E7199" s="46" t="s">
        <v>3597</v>
      </c>
      <c r="F7199" s="46" t="s">
        <v>17759</v>
      </c>
      <c r="G7199" s="46" t="s">
        <v>50584</v>
      </c>
      <c r="H7199" s="48" t="s">
        <v>56716</v>
      </c>
      <c r="I7199" s="48" t="s">
        <v>50564</v>
      </c>
      <c r="J7199" s="48"/>
      <c r="K7199" s="57"/>
      <c r="L7199" s="48" t="s">
        <v>56716</v>
      </c>
    </row>
    <row r="7200" spans="1:12" ht="11.25" x14ac:dyDescent="0.2">
      <c r="A7200" s="46" t="s">
        <v>16930</v>
      </c>
      <c r="B7200" s="46" t="s">
        <v>55239</v>
      </c>
      <c r="C7200" s="58" t="str">
        <f>"21472475"</f>
        <v>21472475</v>
      </c>
      <c r="D7200" s="58" t="str">
        <f>""</f>
        <v/>
      </c>
      <c r="E7200" s="46" t="s">
        <v>16932</v>
      </c>
      <c r="F7200" s="46" t="s">
        <v>18396</v>
      </c>
      <c r="G7200" s="46" t="s">
        <v>50638</v>
      </c>
      <c r="H7200" s="48" t="s">
        <v>56716</v>
      </c>
      <c r="I7200" s="48" t="s">
        <v>50564</v>
      </c>
      <c r="J7200" s="48"/>
      <c r="K7200" s="57"/>
      <c r="L7200" s="48"/>
    </row>
    <row r="7201" spans="1:12" ht="11.25" x14ac:dyDescent="0.2">
      <c r="A7201" s="46" t="s">
        <v>16245</v>
      </c>
      <c r="B7201" s="46" t="s">
        <v>55240</v>
      </c>
      <c r="C7201" s="58" t="str">
        <f>"22125345"</f>
        <v>22125345</v>
      </c>
      <c r="D7201" s="58" t="str">
        <f>"22125353"</f>
        <v>22125353</v>
      </c>
      <c r="E7201" s="46" t="s">
        <v>91</v>
      </c>
      <c r="F7201" s="46" t="s">
        <v>18001</v>
      </c>
      <c r="G7201" s="46" t="s">
        <v>50584</v>
      </c>
      <c r="H7201" s="48" t="s">
        <v>56716</v>
      </c>
      <c r="I7201" s="48" t="s">
        <v>50564</v>
      </c>
      <c r="J7201" s="48"/>
      <c r="K7201" s="50" t="s">
        <v>56716</v>
      </c>
      <c r="L7201" s="48" t="s">
        <v>56716</v>
      </c>
    </row>
    <row r="7202" spans="1:12" ht="11.25" x14ac:dyDescent="0.2">
      <c r="A7202" s="46" t="s">
        <v>4939</v>
      </c>
      <c r="B7202" s="46" t="s">
        <v>55241</v>
      </c>
      <c r="C7202" s="58" t="str">
        <f>"09546111"</f>
        <v>09546111</v>
      </c>
      <c r="D7202" s="58" t="str">
        <f>"15323064"</f>
        <v>15323064</v>
      </c>
      <c r="E7202" s="46" t="s">
        <v>1177</v>
      </c>
      <c r="F7202" s="46" t="s">
        <v>50646</v>
      </c>
      <c r="G7202" s="46" t="s">
        <v>50584</v>
      </c>
      <c r="H7202" s="48" t="s">
        <v>56716</v>
      </c>
      <c r="I7202" s="48" t="s">
        <v>50564</v>
      </c>
      <c r="J7202" s="48" t="s">
        <v>56716</v>
      </c>
      <c r="K7202" s="50" t="s">
        <v>56716</v>
      </c>
      <c r="L7202" s="48" t="s">
        <v>56716</v>
      </c>
    </row>
    <row r="7203" spans="1:12" ht="11.25" x14ac:dyDescent="0.2">
      <c r="A7203" s="46" t="s">
        <v>16243</v>
      </c>
      <c r="B7203" s="46" t="s">
        <v>55242</v>
      </c>
      <c r="C7203" s="58" t="str">
        <f>""</f>
        <v/>
      </c>
      <c r="D7203" s="58" t="str">
        <f>"22130071"</f>
        <v>22130071</v>
      </c>
      <c r="E7203" s="46" t="s">
        <v>1177</v>
      </c>
      <c r="F7203" s="46" t="s">
        <v>50646</v>
      </c>
      <c r="G7203" s="46" t="s">
        <v>50584</v>
      </c>
      <c r="H7203" s="48" t="s">
        <v>56716</v>
      </c>
      <c r="I7203" s="48" t="s">
        <v>50564</v>
      </c>
      <c r="J7203" s="48" t="s">
        <v>56716</v>
      </c>
      <c r="K7203" s="57"/>
      <c r="L7203" s="48"/>
    </row>
    <row r="7204" spans="1:12" ht="11.25" x14ac:dyDescent="0.2">
      <c r="A7204" s="46" t="s">
        <v>9265</v>
      </c>
      <c r="B7204" s="46" t="s">
        <v>55243</v>
      </c>
      <c r="C7204" s="58" t="str">
        <f>"15699048"</f>
        <v>15699048</v>
      </c>
      <c r="D7204" s="58" t="str">
        <f>"18781519"</f>
        <v>18781519</v>
      </c>
      <c r="E7204" s="46" t="s">
        <v>91</v>
      </c>
      <c r="F7204" s="46" t="s">
        <v>18001</v>
      </c>
      <c r="G7204" s="46" t="s">
        <v>50584</v>
      </c>
      <c r="H7204" s="48" t="s">
        <v>56716</v>
      </c>
      <c r="I7204" s="48" t="s">
        <v>50564</v>
      </c>
      <c r="J7204" s="48" t="s">
        <v>56716</v>
      </c>
      <c r="K7204" s="50" t="s">
        <v>56716</v>
      </c>
      <c r="L7204" s="48" t="s">
        <v>56716</v>
      </c>
    </row>
    <row r="7205" spans="1:12" ht="11.25" x14ac:dyDescent="0.2">
      <c r="A7205" s="46" t="s">
        <v>8368</v>
      </c>
      <c r="B7205" s="46" t="s">
        <v>55244</v>
      </c>
      <c r="C7205" s="58" t="str">
        <f>"14659921"</f>
        <v>14659921</v>
      </c>
      <c r="D7205" s="58" t="str">
        <f>"1465993X"</f>
        <v>1465993X</v>
      </c>
      <c r="E7205" s="46" t="s">
        <v>2299</v>
      </c>
      <c r="F7205" s="46" t="s">
        <v>50646</v>
      </c>
      <c r="G7205" s="46" t="s">
        <v>50584</v>
      </c>
      <c r="H7205" s="48" t="s">
        <v>56716</v>
      </c>
      <c r="I7205" s="48" t="s">
        <v>50564</v>
      </c>
      <c r="J7205" s="48"/>
      <c r="K7205" s="50" t="s">
        <v>56716</v>
      </c>
      <c r="L7205" s="48" t="s">
        <v>56716</v>
      </c>
    </row>
    <row r="7206" spans="1:12" ht="11.25" x14ac:dyDescent="0.2">
      <c r="A7206" s="46" t="s">
        <v>7180</v>
      </c>
      <c r="B7206" s="46" t="s">
        <v>7180</v>
      </c>
      <c r="C7206" s="58" t="str">
        <f>"13237799"</f>
        <v>13237799</v>
      </c>
      <c r="D7206" s="58" t="str">
        <f>"14401843"</f>
        <v>14401843</v>
      </c>
      <c r="E7206" s="46" t="s">
        <v>296</v>
      </c>
      <c r="F7206" s="46" t="s">
        <v>20082</v>
      </c>
      <c r="G7206" s="46" t="s">
        <v>50584</v>
      </c>
      <c r="H7206" s="48" t="s">
        <v>56716</v>
      </c>
      <c r="I7206" s="48" t="s">
        <v>50564</v>
      </c>
      <c r="J7206" s="48" t="s">
        <v>56716</v>
      </c>
      <c r="K7206" s="50" t="s">
        <v>56716</v>
      </c>
      <c r="L7206" s="48" t="s">
        <v>56716</v>
      </c>
    </row>
    <row r="7207" spans="1:12" ht="11.25" x14ac:dyDescent="0.2">
      <c r="A7207" s="46" t="s">
        <v>5055</v>
      </c>
      <c r="B7207" s="46" t="s">
        <v>55245</v>
      </c>
      <c r="C7207" s="58" t="str">
        <f>"09226028"</f>
        <v>09226028</v>
      </c>
      <c r="D7207" s="58" t="str">
        <f>"18783627"</f>
        <v>18783627</v>
      </c>
      <c r="E7207" s="46" t="s">
        <v>920</v>
      </c>
      <c r="F7207" s="46" t="s">
        <v>18001</v>
      </c>
      <c r="G7207" s="46" t="s">
        <v>50584</v>
      </c>
      <c r="H7207" s="48" t="s">
        <v>56716</v>
      </c>
      <c r="I7207" s="48" t="s">
        <v>50564</v>
      </c>
      <c r="J7207" s="48" t="s">
        <v>56716</v>
      </c>
      <c r="K7207" s="57"/>
      <c r="L7207" s="48" t="s">
        <v>56716</v>
      </c>
    </row>
    <row r="7208" spans="1:12" ht="11.25" x14ac:dyDescent="0.2">
      <c r="A7208" s="45" t="s">
        <v>46208</v>
      </c>
      <c r="B7208" s="45" t="s">
        <v>46210</v>
      </c>
      <c r="C7208" s="51" t="s">
        <v>46212</v>
      </c>
      <c r="D7208" s="51" t="s">
        <v>46211</v>
      </c>
      <c r="E7208" s="45" t="s">
        <v>18727</v>
      </c>
      <c r="F7208" s="45" t="s">
        <v>18158</v>
      </c>
      <c r="G7208" s="45" t="s">
        <v>50584</v>
      </c>
      <c r="H7208" s="56"/>
      <c r="I7208" s="56" t="s">
        <v>50564</v>
      </c>
      <c r="J7208" s="56"/>
      <c r="K7208" s="57"/>
      <c r="L7208" s="56" t="s">
        <v>56716</v>
      </c>
    </row>
    <row r="7209" spans="1:12" ht="11.25" x14ac:dyDescent="0.2">
      <c r="A7209" s="46" t="s">
        <v>15452</v>
      </c>
      <c r="B7209" s="46" t="s">
        <v>55246</v>
      </c>
      <c r="C7209" s="58" t="str">
        <f>""</f>
        <v/>
      </c>
      <c r="D7209" s="58" t="str">
        <f>"22112839"</f>
        <v>22112839</v>
      </c>
      <c r="E7209" s="46" t="s">
        <v>91</v>
      </c>
      <c r="F7209" s="46" t="s">
        <v>18001</v>
      </c>
      <c r="G7209" s="46" t="s">
        <v>50584</v>
      </c>
      <c r="H7209" s="48" t="s">
        <v>56716</v>
      </c>
      <c r="I7209" s="48" t="s">
        <v>50564</v>
      </c>
      <c r="J7209" s="48" t="s">
        <v>56716</v>
      </c>
      <c r="K7209" s="57"/>
      <c r="L7209" s="48"/>
    </row>
    <row r="7210" spans="1:12" ht="11.25" x14ac:dyDescent="0.2">
      <c r="A7210" s="46" t="s">
        <v>15454</v>
      </c>
      <c r="B7210" s="46" t="s">
        <v>55247</v>
      </c>
      <c r="C7210" s="58" t="str">
        <f>""</f>
        <v/>
      </c>
      <c r="D7210" s="58" t="str">
        <f>"22112863"</f>
        <v>22112863</v>
      </c>
      <c r="E7210" s="46" t="s">
        <v>91</v>
      </c>
      <c r="F7210" s="46" t="s">
        <v>18001</v>
      </c>
      <c r="G7210" s="46" t="s">
        <v>50584</v>
      </c>
      <c r="H7210" s="48" t="s">
        <v>56716</v>
      </c>
      <c r="I7210" s="48" t="s">
        <v>50564</v>
      </c>
      <c r="J7210" s="48" t="s">
        <v>56716</v>
      </c>
      <c r="K7210" s="57"/>
      <c r="L7210" s="48"/>
    </row>
    <row r="7211" spans="1:12" ht="11.25" x14ac:dyDescent="0.2">
      <c r="A7211" s="46" t="s">
        <v>3705</v>
      </c>
      <c r="B7211" s="46" t="s">
        <v>3705</v>
      </c>
      <c r="C7211" s="58" t="str">
        <f>"03009572"</f>
        <v>03009572</v>
      </c>
      <c r="D7211" s="58" t="str">
        <f>"18731570"</f>
        <v>18731570</v>
      </c>
      <c r="E7211" s="46" t="s">
        <v>221</v>
      </c>
      <c r="F7211" s="46" t="s">
        <v>21771</v>
      </c>
      <c r="G7211" s="46" t="s">
        <v>50584</v>
      </c>
      <c r="H7211" s="48" t="s">
        <v>56716</v>
      </c>
      <c r="I7211" s="48" t="s">
        <v>50564</v>
      </c>
      <c r="J7211" s="48" t="s">
        <v>56716</v>
      </c>
      <c r="K7211" s="50" t="s">
        <v>56716</v>
      </c>
      <c r="L7211" s="48" t="s">
        <v>56716</v>
      </c>
    </row>
    <row r="7212" spans="1:12" ht="11.25" x14ac:dyDescent="0.2">
      <c r="A7212" s="46" t="s">
        <v>3627</v>
      </c>
      <c r="B7212" s="46" t="s">
        <v>3627</v>
      </c>
      <c r="C7212" s="58" t="str">
        <f>"0275004X"</f>
        <v>0275004X</v>
      </c>
      <c r="D7212" s="58" t="str">
        <f>"15392864"</f>
        <v>15392864</v>
      </c>
      <c r="E7212" s="46" t="s">
        <v>28</v>
      </c>
      <c r="F7212" s="46" t="s">
        <v>17759</v>
      </c>
      <c r="G7212" s="46" t="s">
        <v>50584</v>
      </c>
      <c r="H7212" s="48" t="s">
        <v>56716</v>
      </c>
      <c r="I7212" s="48" t="s">
        <v>50564</v>
      </c>
      <c r="J7212" s="48"/>
      <c r="K7212" s="50" t="s">
        <v>56716</v>
      </c>
      <c r="L7212" s="48" t="s">
        <v>56716</v>
      </c>
    </row>
    <row r="7213" spans="1:12" ht="11.25" x14ac:dyDescent="0.2">
      <c r="A7213" s="46" t="s">
        <v>14766</v>
      </c>
      <c r="B7213" s="46" t="s">
        <v>55248</v>
      </c>
      <c r="C7213" s="58" t="str">
        <f>"19351089"</f>
        <v>19351089</v>
      </c>
      <c r="D7213" s="58" t="str">
        <f>"19371578"</f>
        <v>19371578</v>
      </c>
      <c r="E7213" s="46" t="s">
        <v>28</v>
      </c>
      <c r="F7213" s="46" t="s">
        <v>17759</v>
      </c>
      <c r="G7213" s="46" t="s">
        <v>50584</v>
      </c>
      <c r="H7213" s="48" t="s">
        <v>56716</v>
      </c>
      <c r="I7213" s="48" t="s">
        <v>50564</v>
      </c>
      <c r="J7213" s="48"/>
      <c r="K7213" s="57"/>
      <c r="L7213" s="48" t="s">
        <v>56716</v>
      </c>
    </row>
    <row r="7214" spans="1:12" ht="11.25" x14ac:dyDescent="0.2">
      <c r="A7214" s="46" t="s">
        <v>13904</v>
      </c>
      <c r="B7214" s="46" t="s">
        <v>13904</v>
      </c>
      <c r="C7214" s="58" t="str">
        <f>"13001256"</f>
        <v>13001256</v>
      </c>
      <c r="D7214" s="58" t="str">
        <f>""</f>
        <v/>
      </c>
      <c r="E7214" s="46" t="s">
        <v>13906</v>
      </c>
      <c r="F7214" s="46" t="s">
        <v>18396</v>
      </c>
      <c r="G7214" s="46" t="s">
        <v>50638</v>
      </c>
      <c r="H7214" s="48" t="s">
        <v>56716</v>
      </c>
      <c r="I7214" s="48" t="s">
        <v>50564</v>
      </c>
      <c r="J7214" s="48"/>
      <c r="K7214" s="57"/>
      <c r="L7214" s="48"/>
    </row>
    <row r="7215" spans="1:12" ht="11.25" x14ac:dyDescent="0.2">
      <c r="A7215" s="46" t="s">
        <v>10276</v>
      </c>
      <c r="B7215" s="46" t="s">
        <v>10276</v>
      </c>
      <c r="C7215" s="58" t="str">
        <f>""</f>
        <v/>
      </c>
      <c r="D7215" s="58" t="str">
        <f>"17424690"</f>
        <v>17424690</v>
      </c>
      <c r="E7215" s="46" t="s">
        <v>2299</v>
      </c>
      <c r="F7215" s="46" t="s">
        <v>50646</v>
      </c>
      <c r="G7215" s="46" t="s">
        <v>50584</v>
      </c>
      <c r="H7215" s="48" t="s">
        <v>56716</v>
      </c>
      <c r="I7215" s="48" t="s">
        <v>50564</v>
      </c>
      <c r="J7215" s="48"/>
      <c r="K7215" s="50" t="s">
        <v>56716</v>
      </c>
      <c r="L7215" s="48" t="s">
        <v>56716</v>
      </c>
    </row>
    <row r="7216" spans="1:12" ht="11.25" x14ac:dyDescent="0.2">
      <c r="A7216" s="46" t="s">
        <v>3630</v>
      </c>
      <c r="B7216" s="46" t="s">
        <v>3630</v>
      </c>
      <c r="C7216" s="58" t="str">
        <f>"00487449"</f>
        <v>00487449</v>
      </c>
      <c r="D7216" s="58" t="str">
        <f>"22402683"</f>
        <v>22402683</v>
      </c>
      <c r="E7216" s="46" t="s">
        <v>1949</v>
      </c>
      <c r="F7216" s="46" t="s">
        <v>17991</v>
      </c>
      <c r="G7216" s="46" t="s">
        <v>50602</v>
      </c>
      <c r="H7216" s="48" t="s">
        <v>56716</v>
      </c>
      <c r="I7216" s="48" t="s">
        <v>50564</v>
      </c>
      <c r="J7216" s="48"/>
      <c r="K7216" s="57"/>
      <c r="L7216" s="48" t="s">
        <v>56716</v>
      </c>
    </row>
    <row r="7217" spans="1:12" ht="11.25" x14ac:dyDescent="0.2">
      <c r="A7217" s="45" t="s">
        <v>46224</v>
      </c>
      <c r="B7217" s="45" t="s">
        <v>46224</v>
      </c>
      <c r="C7217" s="51" t="s">
        <v>46226</v>
      </c>
      <c r="D7217" s="51"/>
      <c r="E7217" s="45" t="s">
        <v>46224</v>
      </c>
      <c r="F7217" s="45" t="s">
        <v>18079</v>
      </c>
      <c r="G7217" s="45" t="s">
        <v>50625</v>
      </c>
      <c r="H7217" s="56"/>
      <c r="I7217" s="56" t="s">
        <v>50564</v>
      </c>
      <c r="J7217" s="56"/>
      <c r="K7217" s="57"/>
      <c r="L7217" s="56" t="s">
        <v>56716</v>
      </c>
    </row>
    <row r="7218" spans="1:12" ht="11.25" x14ac:dyDescent="0.2">
      <c r="A7218" s="46" t="s">
        <v>3669</v>
      </c>
      <c r="B7218" s="46" t="s">
        <v>3669</v>
      </c>
      <c r="C7218" s="58" t="str">
        <f>"00346233"</f>
        <v>00346233</v>
      </c>
      <c r="D7218" s="58" t="str">
        <f>""</f>
        <v/>
      </c>
      <c r="E7218" s="46" t="s">
        <v>3134</v>
      </c>
      <c r="F7218" s="46" t="s">
        <v>17967</v>
      </c>
      <c r="G7218" s="46" t="s">
        <v>50612</v>
      </c>
      <c r="H7218" s="48" t="s">
        <v>56716</v>
      </c>
      <c r="I7218" s="48" t="s">
        <v>50564</v>
      </c>
      <c r="J7218" s="48"/>
      <c r="K7218" s="57"/>
      <c r="L7218" s="48"/>
    </row>
    <row r="7219" spans="1:12" ht="11.25" x14ac:dyDescent="0.2">
      <c r="A7219" s="46" t="s">
        <v>11127</v>
      </c>
      <c r="B7219" s="46" t="s">
        <v>55249</v>
      </c>
      <c r="C7219" s="58" t="str">
        <f>"1699258X"</f>
        <v>1699258X</v>
      </c>
      <c r="D7219" s="58" t="str">
        <f>"18851398"</f>
        <v>18851398</v>
      </c>
      <c r="E7219" s="46" t="s">
        <v>1683</v>
      </c>
      <c r="F7219" s="46" t="s">
        <v>18439</v>
      </c>
      <c r="G7219" s="46" t="s">
        <v>50632</v>
      </c>
      <c r="H7219" s="48" t="s">
        <v>56716</v>
      </c>
      <c r="I7219" s="48" t="s">
        <v>50564</v>
      </c>
      <c r="J7219" s="48"/>
      <c r="K7219" s="50" t="s">
        <v>56716</v>
      </c>
      <c r="L7219" s="48" t="s">
        <v>56716</v>
      </c>
    </row>
    <row r="7220" spans="1:12" ht="11.25" x14ac:dyDescent="0.2">
      <c r="A7220" s="46" t="s">
        <v>12143</v>
      </c>
      <c r="B7220" s="46" t="s">
        <v>55250</v>
      </c>
      <c r="C7220" s="58" t="str">
        <f>"18863604"</f>
        <v>18863604</v>
      </c>
      <c r="D7220" s="58" t="str">
        <f>""</f>
        <v/>
      </c>
      <c r="E7220" s="46" t="s">
        <v>1683</v>
      </c>
      <c r="F7220" s="46" t="s">
        <v>18439</v>
      </c>
      <c r="G7220" s="46" t="s">
        <v>50632</v>
      </c>
      <c r="H7220" s="48" t="s">
        <v>56716</v>
      </c>
      <c r="I7220" s="48" t="s">
        <v>50564</v>
      </c>
      <c r="J7220" s="48"/>
      <c r="K7220" s="57"/>
      <c r="L7220" s="48"/>
    </row>
    <row r="7221" spans="1:12" ht="11.25" x14ac:dyDescent="0.2">
      <c r="A7221" s="45" t="s">
        <v>46233</v>
      </c>
      <c r="B7221" s="45" t="s">
        <v>46235</v>
      </c>
      <c r="C7221" s="51" t="s">
        <v>46237</v>
      </c>
      <c r="D7221" s="51"/>
      <c r="E7221" s="45" t="s">
        <v>30840</v>
      </c>
      <c r="F7221" s="45" t="s">
        <v>17759</v>
      </c>
      <c r="G7221" s="45" t="s">
        <v>50584</v>
      </c>
      <c r="H7221" s="56"/>
      <c r="I7221" s="56" t="s">
        <v>50564</v>
      </c>
      <c r="J7221" s="56"/>
      <c r="K7221" s="57"/>
      <c r="L7221" s="56" t="s">
        <v>56716</v>
      </c>
    </row>
    <row r="7222" spans="1:12" ht="11.25" x14ac:dyDescent="0.2">
      <c r="A7222" s="46" t="s">
        <v>17142</v>
      </c>
      <c r="B7222" s="46" t="s">
        <v>55251</v>
      </c>
      <c r="C7222" s="58" t="str">
        <f>"22825126"</f>
        <v>22825126</v>
      </c>
      <c r="D7222" s="58" t="str">
        <f>""</f>
        <v/>
      </c>
      <c r="E7222" s="46" t="s">
        <v>17144</v>
      </c>
      <c r="F7222" s="46" t="s">
        <v>17991</v>
      </c>
      <c r="G7222" s="46" t="s">
        <v>50603</v>
      </c>
      <c r="H7222" s="48" t="s">
        <v>56716</v>
      </c>
      <c r="I7222" s="48" t="s">
        <v>50564</v>
      </c>
      <c r="J7222" s="48"/>
      <c r="K7222" s="57"/>
      <c r="L7222" s="48"/>
    </row>
    <row r="7223" spans="1:12" ht="11.25" x14ac:dyDescent="0.2">
      <c r="A7223" s="46" t="s">
        <v>4820</v>
      </c>
      <c r="B7223" s="46" t="s">
        <v>55252</v>
      </c>
      <c r="C7223" s="58" t="str">
        <f>"10116583"</f>
        <v>10116583</v>
      </c>
      <c r="D7223" s="58" t="str">
        <f>""</f>
        <v/>
      </c>
      <c r="E7223" s="46" t="s">
        <v>4679</v>
      </c>
      <c r="F7223" s="46" t="s">
        <v>20969</v>
      </c>
      <c r="G7223" s="46" t="s">
        <v>50584</v>
      </c>
      <c r="H7223" s="48" t="s">
        <v>56716</v>
      </c>
      <c r="I7223" s="48" t="s">
        <v>50564</v>
      </c>
      <c r="J7223" s="48"/>
      <c r="K7223" s="57"/>
      <c r="L7223" s="48"/>
    </row>
    <row r="7224" spans="1:12" ht="11.25" x14ac:dyDescent="0.2">
      <c r="A7224" s="46" t="s">
        <v>11996</v>
      </c>
      <c r="B7224" s="46" t="s">
        <v>55253</v>
      </c>
      <c r="C7224" s="58" t="str">
        <f>"16136071"</f>
        <v>16136071</v>
      </c>
      <c r="D7224" s="58" t="str">
        <f>"16130575"</f>
        <v>16130575</v>
      </c>
      <c r="E7224" s="46" t="s">
        <v>11999</v>
      </c>
      <c r="F7224" s="46" t="s">
        <v>18158</v>
      </c>
      <c r="G7224" s="46" t="s">
        <v>50584</v>
      </c>
      <c r="H7224" s="48" t="s">
        <v>56716</v>
      </c>
      <c r="I7224" s="48" t="s">
        <v>50564</v>
      </c>
      <c r="J7224" s="48"/>
      <c r="K7224" s="57"/>
      <c r="L7224" s="48" t="s">
        <v>56716</v>
      </c>
    </row>
    <row r="7225" spans="1:12" ht="11.25" x14ac:dyDescent="0.2">
      <c r="A7225" s="45" t="s">
        <v>46244</v>
      </c>
      <c r="B7225" s="45" t="s">
        <v>46246</v>
      </c>
      <c r="C7225" s="51" t="s">
        <v>46247</v>
      </c>
      <c r="D7225" s="51"/>
      <c r="E7225" s="45" t="s">
        <v>46248</v>
      </c>
      <c r="F7225" s="45" t="s">
        <v>17759</v>
      </c>
      <c r="G7225" s="45" t="s">
        <v>50584</v>
      </c>
      <c r="H7225" s="56"/>
      <c r="I7225" s="56" t="s">
        <v>50564</v>
      </c>
      <c r="J7225" s="56"/>
      <c r="K7225" s="57"/>
      <c r="L7225" s="56" t="s">
        <v>56716</v>
      </c>
    </row>
    <row r="7226" spans="1:12" ht="11.25" x14ac:dyDescent="0.2">
      <c r="A7226" s="45" t="s">
        <v>46258</v>
      </c>
      <c r="B7226" s="45" t="s">
        <v>46260</v>
      </c>
      <c r="C7226" s="51" t="s">
        <v>46262</v>
      </c>
      <c r="D7226" s="51" t="s">
        <v>46261</v>
      </c>
      <c r="E7226" s="45" t="s">
        <v>23783</v>
      </c>
      <c r="F7226" s="45" t="s">
        <v>17759</v>
      </c>
      <c r="G7226" s="45" t="s">
        <v>50584</v>
      </c>
      <c r="H7226" s="56"/>
      <c r="I7226" s="56" t="s">
        <v>50564</v>
      </c>
      <c r="J7226" s="56"/>
      <c r="K7226" s="57"/>
      <c r="L7226" s="56" t="s">
        <v>56716</v>
      </c>
    </row>
    <row r="7227" spans="1:12" ht="11.25" x14ac:dyDescent="0.2">
      <c r="A7227" s="46" t="s">
        <v>9168</v>
      </c>
      <c r="B7227" s="46" t="s">
        <v>55254</v>
      </c>
      <c r="C7227" s="58" t="str">
        <f>"15306550"</f>
        <v>15306550</v>
      </c>
      <c r="D7227" s="58" t="str">
        <f>""</f>
        <v/>
      </c>
      <c r="E7227" s="46" t="s">
        <v>9170</v>
      </c>
      <c r="F7227" s="46" t="s">
        <v>17759</v>
      </c>
      <c r="G7227" s="46" t="s">
        <v>50584</v>
      </c>
      <c r="H7227" s="48" t="s">
        <v>56716</v>
      </c>
      <c r="I7227" s="48" t="s">
        <v>50564</v>
      </c>
      <c r="J7227" s="48"/>
      <c r="K7227" s="57"/>
      <c r="L7227" s="48" t="s">
        <v>56716</v>
      </c>
    </row>
    <row r="7228" spans="1:12" ht="11.25" x14ac:dyDescent="0.2">
      <c r="A7228" s="46" t="s">
        <v>7539</v>
      </c>
      <c r="B7228" s="46" t="s">
        <v>55255</v>
      </c>
      <c r="C7228" s="58" t="str">
        <f>"11270020"</f>
        <v>11270020</v>
      </c>
      <c r="D7228" s="58" t="str">
        <f>"1825151X"</f>
        <v>1825151X</v>
      </c>
      <c r="E7228" s="46" t="s">
        <v>7542</v>
      </c>
      <c r="F7228" s="46" t="s">
        <v>17991</v>
      </c>
      <c r="G7228" s="46" t="s">
        <v>50584</v>
      </c>
      <c r="H7228" s="48" t="s">
        <v>56716</v>
      </c>
      <c r="I7228" s="48" t="s">
        <v>50564</v>
      </c>
      <c r="J7228" s="48"/>
      <c r="K7228" s="57"/>
      <c r="L7228" s="48"/>
    </row>
    <row r="7229" spans="1:12" ht="11.25" x14ac:dyDescent="0.2">
      <c r="A7229" s="46" t="s">
        <v>5682</v>
      </c>
      <c r="B7229" s="46" t="s">
        <v>55256</v>
      </c>
      <c r="C7229" s="58" t="str">
        <f>"09592598"</f>
        <v>09592598</v>
      </c>
      <c r="D7229" s="58" t="str">
        <f>"14699036"</f>
        <v>14699036</v>
      </c>
      <c r="E7229" s="46" t="s">
        <v>724</v>
      </c>
      <c r="F7229" s="46" t="s">
        <v>50646</v>
      </c>
      <c r="G7229" s="46" t="s">
        <v>50584</v>
      </c>
      <c r="H7229" s="48" t="s">
        <v>56716</v>
      </c>
      <c r="I7229" s="48" t="s">
        <v>50564</v>
      </c>
      <c r="J7229" s="48"/>
      <c r="K7229" s="50" t="s">
        <v>56716</v>
      </c>
      <c r="L7229" s="48"/>
    </row>
    <row r="7230" spans="1:12" ht="11.25" x14ac:dyDescent="0.2">
      <c r="A7230" s="46" t="s">
        <v>9159</v>
      </c>
      <c r="B7230" s="46" t="s">
        <v>55257</v>
      </c>
      <c r="C7230" s="58" t="str">
        <f>"13899155"</f>
        <v>13899155</v>
      </c>
      <c r="D7230" s="58" t="str">
        <f>"15732606"</f>
        <v>15732606</v>
      </c>
      <c r="E7230" s="46" t="s">
        <v>18876</v>
      </c>
      <c r="F7230" s="46" t="s">
        <v>18001</v>
      </c>
      <c r="G7230" s="46" t="s">
        <v>50584</v>
      </c>
      <c r="H7230" s="48" t="s">
        <v>56716</v>
      </c>
      <c r="I7230" s="48" t="s">
        <v>50564</v>
      </c>
      <c r="J7230" s="48"/>
      <c r="K7230" s="50" t="s">
        <v>56716</v>
      </c>
      <c r="L7230" s="48" t="s">
        <v>56716</v>
      </c>
    </row>
    <row r="7231" spans="1:12" ht="11.25" x14ac:dyDescent="0.2">
      <c r="A7231" s="46" t="s">
        <v>5133</v>
      </c>
      <c r="B7231" s="46" t="s">
        <v>55258</v>
      </c>
      <c r="C7231" s="58" t="str">
        <f>"0954139X"</f>
        <v>0954139X</v>
      </c>
      <c r="D7231" s="58" t="str">
        <f>"14735601"</f>
        <v>14735601</v>
      </c>
      <c r="E7231" s="46" t="s">
        <v>28</v>
      </c>
      <c r="F7231" s="46" t="s">
        <v>50646</v>
      </c>
      <c r="G7231" s="46" t="s">
        <v>50584</v>
      </c>
      <c r="H7231" s="48" t="s">
        <v>56716</v>
      </c>
      <c r="I7231" s="48" t="s">
        <v>50564</v>
      </c>
      <c r="J7231" s="48" t="s">
        <v>56716</v>
      </c>
      <c r="K7231" s="50" t="s">
        <v>56716</v>
      </c>
      <c r="L7231" s="48"/>
    </row>
    <row r="7232" spans="1:12" ht="11.25" x14ac:dyDescent="0.2">
      <c r="A7232" s="46" t="s">
        <v>5796</v>
      </c>
      <c r="B7232" s="46" t="s">
        <v>55259</v>
      </c>
      <c r="C7232" s="58" t="str">
        <f>"10529276"</f>
        <v>10529276</v>
      </c>
      <c r="D7232" s="58" t="str">
        <f>"10991654"</f>
        <v>10991654</v>
      </c>
      <c r="E7232" s="46" t="s">
        <v>751</v>
      </c>
      <c r="F7232" s="46" t="s">
        <v>50646</v>
      </c>
      <c r="G7232" s="46" t="s">
        <v>50584</v>
      </c>
      <c r="H7232" s="48" t="s">
        <v>56716</v>
      </c>
      <c r="I7232" s="48" t="s">
        <v>50564</v>
      </c>
      <c r="J7232" s="48"/>
      <c r="K7232" s="50" t="s">
        <v>56716</v>
      </c>
      <c r="L7232" s="48" t="s">
        <v>56716</v>
      </c>
    </row>
    <row r="7233" spans="1:12" ht="11.25" x14ac:dyDescent="0.2">
      <c r="A7233" s="45" t="s">
        <v>46277</v>
      </c>
      <c r="B7233" s="45" t="s">
        <v>46279</v>
      </c>
      <c r="C7233" s="51" t="s">
        <v>46281</v>
      </c>
      <c r="D7233" s="51" t="s">
        <v>46280</v>
      </c>
      <c r="E7233" s="45" t="s">
        <v>46282</v>
      </c>
      <c r="F7233" s="45" t="s">
        <v>17759</v>
      </c>
      <c r="G7233" s="45" t="s">
        <v>50584</v>
      </c>
      <c r="H7233" s="56"/>
      <c r="I7233" s="56" t="s">
        <v>50564</v>
      </c>
      <c r="J7233" s="56"/>
      <c r="K7233" s="57"/>
      <c r="L7233" s="56" t="s">
        <v>56716</v>
      </c>
    </row>
    <row r="7234" spans="1:12" ht="11.25" x14ac:dyDescent="0.2">
      <c r="A7234" s="46" t="s">
        <v>4308</v>
      </c>
      <c r="B7234" s="46" t="s">
        <v>55260</v>
      </c>
      <c r="C7234" s="58" t="str">
        <f>"03341763"</f>
        <v>03341763</v>
      </c>
      <c r="D7234" s="58" t="str">
        <f>""</f>
        <v/>
      </c>
      <c r="E7234" s="46" t="s">
        <v>1887</v>
      </c>
      <c r="F7234" s="46" t="s">
        <v>18158</v>
      </c>
      <c r="G7234" s="46" t="s">
        <v>50584</v>
      </c>
      <c r="H7234" s="48" t="s">
        <v>56716</v>
      </c>
      <c r="I7234" s="48" t="s">
        <v>50564</v>
      </c>
      <c r="J7234" s="48" t="s">
        <v>56716</v>
      </c>
      <c r="K7234" s="57"/>
      <c r="L7234" s="48" t="s">
        <v>56716</v>
      </c>
    </row>
    <row r="7235" spans="1:12" ht="11.25" x14ac:dyDescent="0.2">
      <c r="A7235" s="46" t="s">
        <v>16376</v>
      </c>
      <c r="B7235" s="46" t="s">
        <v>55261</v>
      </c>
      <c r="C7235" s="58" t="str">
        <f>"22120211"</f>
        <v>22120211</v>
      </c>
      <c r="D7235" s="58" t="str">
        <f>""</f>
        <v/>
      </c>
      <c r="E7235" s="46" t="s">
        <v>6159</v>
      </c>
      <c r="F7235" s="46" t="s">
        <v>18158</v>
      </c>
      <c r="G7235" s="46" t="s">
        <v>50584</v>
      </c>
      <c r="H7235" s="48" t="s">
        <v>56716</v>
      </c>
      <c r="I7235" s="48" t="s">
        <v>50564</v>
      </c>
      <c r="J7235" s="48" t="s">
        <v>56716</v>
      </c>
      <c r="K7235" s="50" t="s">
        <v>56716</v>
      </c>
      <c r="L7235" s="48"/>
    </row>
    <row r="7236" spans="1:12" ht="11.25" x14ac:dyDescent="0.2">
      <c r="A7236" s="45" t="s">
        <v>46288</v>
      </c>
      <c r="B7236" s="45" t="s">
        <v>46290</v>
      </c>
      <c r="C7236" s="51" t="s">
        <v>46292</v>
      </c>
      <c r="D7236" s="51"/>
      <c r="E7236" s="45" t="s">
        <v>17089</v>
      </c>
      <c r="F7236" s="45" t="s">
        <v>17759</v>
      </c>
      <c r="G7236" s="45" t="s">
        <v>50584</v>
      </c>
      <c r="H7236" s="56"/>
      <c r="I7236" s="56" t="s">
        <v>50564</v>
      </c>
      <c r="J7236" s="56"/>
      <c r="K7236" s="57"/>
      <c r="L7236" s="56" t="s">
        <v>56716</v>
      </c>
    </row>
    <row r="7237" spans="1:12" ht="11.25" x14ac:dyDescent="0.2">
      <c r="A7237" s="46" t="s">
        <v>4833</v>
      </c>
      <c r="B7237" s="46" t="s">
        <v>55262</v>
      </c>
      <c r="C7237" s="58" t="str">
        <f>"03034240"</f>
        <v>03034240</v>
      </c>
      <c r="D7237" s="58" t="str">
        <f>"16175786"</f>
        <v>16175786</v>
      </c>
      <c r="E7237" s="46" t="s">
        <v>167</v>
      </c>
      <c r="F7237" s="46" t="s">
        <v>18158</v>
      </c>
      <c r="G7237" s="46" t="s">
        <v>50584</v>
      </c>
      <c r="H7237" s="48" t="s">
        <v>56716</v>
      </c>
      <c r="I7237" s="48" t="s">
        <v>50565</v>
      </c>
      <c r="J7237" s="48" t="s">
        <v>56716</v>
      </c>
      <c r="K7237" s="57"/>
      <c r="L7237" s="48" t="s">
        <v>56716</v>
      </c>
    </row>
    <row r="7238" spans="1:12" ht="11.25" x14ac:dyDescent="0.2">
      <c r="A7238" s="45" t="s">
        <v>46300</v>
      </c>
      <c r="B7238" s="45" t="s">
        <v>46302</v>
      </c>
      <c r="C7238" s="51" t="s">
        <v>46304</v>
      </c>
      <c r="D7238" s="51" t="s">
        <v>46303</v>
      </c>
      <c r="E7238" s="45" t="s">
        <v>32265</v>
      </c>
      <c r="F7238" s="45" t="s">
        <v>18158</v>
      </c>
      <c r="G7238" s="45" t="s">
        <v>50584</v>
      </c>
      <c r="H7238" s="56"/>
      <c r="I7238" s="56" t="s">
        <v>50564</v>
      </c>
      <c r="J7238" s="56"/>
      <c r="K7238" s="57"/>
      <c r="L7238" s="56" t="s">
        <v>56716</v>
      </c>
    </row>
    <row r="7239" spans="1:12" ht="11.25" x14ac:dyDescent="0.2">
      <c r="A7239" s="46" t="s">
        <v>12000</v>
      </c>
      <c r="B7239" s="46" t="s">
        <v>55263</v>
      </c>
      <c r="C7239" s="58" t="str">
        <f>"15748871"</f>
        <v>15748871</v>
      </c>
      <c r="D7239" s="58" t="str">
        <f>"18761038"</f>
        <v>18761038</v>
      </c>
      <c r="E7239" s="46" t="s">
        <v>6405</v>
      </c>
      <c r="F7239" s="46" t="s">
        <v>18001</v>
      </c>
      <c r="G7239" s="46" t="s">
        <v>50584</v>
      </c>
      <c r="H7239" s="48" t="s">
        <v>56716</v>
      </c>
      <c r="I7239" s="48" t="s">
        <v>50564</v>
      </c>
      <c r="J7239" s="48" t="s">
        <v>56716</v>
      </c>
      <c r="K7239" s="57"/>
      <c r="L7239" s="48" t="s">
        <v>56716</v>
      </c>
    </row>
    <row r="7240" spans="1:12" ht="11.25" x14ac:dyDescent="0.2">
      <c r="A7240" s="46" t="s">
        <v>5623</v>
      </c>
      <c r="B7240" s="46" t="s">
        <v>55264</v>
      </c>
      <c r="C7240" s="58" t="str">
        <f>"02138573"</f>
        <v>02138573</v>
      </c>
      <c r="D7240" s="58" t="str">
        <f>""</f>
        <v/>
      </c>
      <c r="E7240" s="46" t="s">
        <v>5154</v>
      </c>
      <c r="F7240" s="46" t="s">
        <v>18439</v>
      </c>
      <c r="G7240" s="46" t="s">
        <v>50632</v>
      </c>
      <c r="H7240" s="48" t="s">
        <v>56716</v>
      </c>
      <c r="I7240" s="48" t="s">
        <v>50564</v>
      </c>
      <c r="J7240" s="48"/>
      <c r="K7240" s="57"/>
      <c r="L7240" s="48"/>
    </row>
    <row r="7241" spans="1:12" ht="11.25" x14ac:dyDescent="0.2">
      <c r="A7241" s="46" t="s">
        <v>4794</v>
      </c>
      <c r="B7241" s="46" t="s">
        <v>55265</v>
      </c>
      <c r="C7241" s="58" t="str">
        <f>"00025151"</f>
        <v>00025151</v>
      </c>
      <c r="D7241" s="58" t="str">
        <f>""</f>
        <v/>
      </c>
      <c r="E7241" s="46" t="s">
        <v>1373</v>
      </c>
      <c r="F7241" s="46" t="s">
        <v>18411</v>
      </c>
      <c r="G7241" s="46" t="s">
        <v>50632</v>
      </c>
      <c r="H7241" s="48" t="s">
        <v>56716</v>
      </c>
      <c r="I7241" s="48" t="s">
        <v>50564</v>
      </c>
      <c r="J7241" s="48"/>
      <c r="K7241" s="57"/>
      <c r="L7241" s="48" t="s">
        <v>56716</v>
      </c>
    </row>
    <row r="7242" spans="1:12" ht="11.25" x14ac:dyDescent="0.2">
      <c r="A7242" s="46" t="s">
        <v>3535</v>
      </c>
      <c r="B7242" s="46" t="s">
        <v>55266</v>
      </c>
      <c r="C7242" s="58" t="str">
        <f>"00347000"</f>
        <v>00347000</v>
      </c>
      <c r="D7242" s="58" t="str">
        <f>"18503748"</f>
        <v>18503748</v>
      </c>
      <c r="E7242" s="46" t="s">
        <v>3538</v>
      </c>
      <c r="F7242" s="46" t="s">
        <v>18169</v>
      </c>
      <c r="G7242" s="46" t="s">
        <v>50631</v>
      </c>
      <c r="H7242" s="48" t="s">
        <v>56716</v>
      </c>
      <c r="I7242" s="48" t="s">
        <v>50564</v>
      </c>
      <c r="J7242" s="48"/>
      <c r="K7242" s="57"/>
      <c r="L7242" s="48"/>
    </row>
    <row r="7243" spans="1:12" ht="11.25" x14ac:dyDescent="0.2">
      <c r="A7243" s="46" t="s">
        <v>3539</v>
      </c>
      <c r="B7243" s="46" t="s">
        <v>55267</v>
      </c>
      <c r="C7243" s="58" t="str">
        <f>"03252787"</f>
        <v>03252787</v>
      </c>
      <c r="D7243" s="58" t="str">
        <f>""</f>
        <v/>
      </c>
      <c r="E7243" s="46" t="s">
        <v>3541</v>
      </c>
      <c r="F7243" s="46" t="s">
        <v>18169</v>
      </c>
      <c r="G7243" s="46" t="s">
        <v>50632</v>
      </c>
      <c r="H7243" s="48" t="s">
        <v>56716</v>
      </c>
      <c r="I7243" s="48" t="s">
        <v>50564</v>
      </c>
      <c r="J7243" s="48"/>
      <c r="K7243" s="57"/>
      <c r="L7243" s="48"/>
    </row>
    <row r="7244" spans="1:12" ht="11.25" x14ac:dyDescent="0.2">
      <c r="A7244" s="46" t="s">
        <v>7890</v>
      </c>
      <c r="B7244" s="46" t="s">
        <v>55268</v>
      </c>
      <c r="C7244" s="58" t="str">
        <f>"03264610"</f>
        <v>03264610</v>
      </c>
      <c r="D7244" s="58" t="str">
        <f>""</f>
        <v/>
      </c>
      <c r="E7244" s="46" t="s">
        <v>7892</v>
      </c>
      <c r="F7244" s="46" t="s">
        <v>18169</v>
      </c>
      <c r="G7244" s="46" t="s">
        <v>50631</v>
      </c>
      <c r="H7244" s="48" t="s">
        <v>56716</v>
      </c>
      <c r="I7244" s="48" t="s">
        <v>50564</v>
      </c>
      <c r="J7244" s="48"/>
      <c r="K7244" s="57"/>
      <c r="L7244" s="48"/>
    </row>
    <row r="7245" spans="1:12" ht="11.25" x14ac:dyDescent="0.2">
      <c r="A7245" s="46" t="s">
        <v>3547</v>
      </c>
      <c r="B7245" s="46" t="s">
        <v>55269</v>
      </c>
      <c r="C7245" s="58" t="str">
        <f>"03257541"</f>
        <v>03257541</v>
      </c>
      <c r="D7245" s="58" t="str">
        <f>""</f>
        <v/>
      </c>
      <c r="E7245" s="46" t="s">
        <v>3549</v>
      </c>
      <c r="F7245" s="46" t="s">
        <v>18169</v>
      </c>
      <c r="G7245" s="46" t="s">
        <v>50631</v>
      </c>
      <c r="H7245" s="48" t="s">
        <v>56716</v>
      </c>
      <c r="I7245" s="48" t="s">
        <v>50564</v>
      </c>
      <c r="J7245" s="48"/>
      <c r="K7245" s="57"/>
      <c r="L7245" s="48" t="s">
        <v>56716</v>
      </c>
    </row>
    <row r="7246" spans="1:12" ht="11.25" x14ac:dyDescent="0.2">
      <c r="A7246" s="46" t="s">
        <v>3557</v>
      </c>
      <c r="B7246" s="46" t="s">
        <v>55270</v>
      </c>
      <c r="C7246" s="58" t="str">
        <f>"00347094"</f>
        <v>00347094</v>
      </c>
      <c r="D7246" s="58" t="str">
        <f>"1806907X"</f>
        <v>1806907X</v>
      </c>
      <c r="E7246" s="46" t="s">
        <v>2622</v>
      </c>
      <c r="F7246" s="46" t="s">
        <v>18058</v>
      </c>
      <c r="G7246" s="46" t="s">
        <v>50614</v>
      </c>
      <c r="H7246" s="48" t="s">
        <v>56716</v>
      </c>
      <c r="I7246" s="48" t="s">
        <v>50564</v>
      </c>
      <c r="J7246" s="48"/>
      <c r="K7246" s="50" t="s">
        <v>56716</v>
      </c>
      <c r="L7246" s="48" t="s">
        <v>56716</v>
      </c>
    </row>
    <row r="7247" spans="1:12" ht="11.25" x14ac:dyDescent="0.2">
      <c r="A7247" s="46" t="s">
        <v>12248</v>
      </c>
      <c r="B7247" s="46" t="s">
        <v>55271</v>
      </c>
      <c r="C7247" s="58" t="str">
        <f>"01041843"</f>
        <v>01041843</v>
      </c>
      <c r="D7247" s="58" t="str">
        <f>""</f>
        <v/>
      </c>
      <c r="E7247" s="46" t="s">
        <v>12250</v>
      </c>
      <c r="F7247" s="46" t="s">
        <v>18058</v>
      </c>
      <c r="G7247" s="46" t="s">
        <v>50614</v>
      </c>
      <c r="H7247" s="48" t="s">
        <v>56716</v>
      </c>
      <c r="I7247" s="48" t="s">
        <v>50564</v>
      </c>
      <c r="J7247" s="48"/>
      <c r="K7247" s="57"/>
      <c r="L7247" s="48"/>
    </row>
    <row r="7248" spans="1:12" ht="11.25" x14ac:dyDescent="0.2">
      <c r="A7248" s="45" t="s">
        <v>46323</v>
      </c>
      <c r="B7248" s="45" t="s">
        <v>46325</v>
      </c>
      <c r="C7248" s="51" t="s">
        <v>46327</v>
      </c>
      <c r="D7248" s="51" t="s">
        <v>46326</v>
      </c>
      <c r="E7248" s="45" t="s">
        <v>46328</v>
      </c>
      <c r="F7248" s="45" t="s">
        <v>18058</v>
      </c>
      <c r="G7248" s="45" t="s">
        <v>50615</v>
      </c>
      <c r="H7248" s="56"/>
      <c r="I7248" s="56" t="s">
        <v>50564</v>
      </c>
      <c r="J7248" s="56"/>
      <c r="K7248" s="57"/>
      <c r="L7248" s="56" t="s">
        <v>56716</v>
      </c>
    </row>
    <row r="7249" spans="1:12" ht="11.25" x14ac:dyDescent="0.2">
      <c r="A7249" s="45" t="s">
        <v>46330</v>
      </c>
      <c r="B7249" s="45" t="s">
        <v>46332</v>
      </c>
      <c r="C7249" s="51" t="s">
        <v>46334</v>
      </c>
      <c r="D7249" s="51"/>
      <c r="E7249" s="45" t="s">
        <v>46335</v>
      </c>
      <c r="F7249" s="45" t="s">
        <v>18058</v>
      </c>
      <c r="G7249" s="45" t="s">
        <v>50614</v>
      </c>
      <c r="H7249" s="56"/>
      <c r="I7249" s="56" t="s">
        <v>50564</v>
      </c>
      <c r="J7249" s="56"/>
      <c r="K7249" s="57"/>
      <c r="L7249" s="56" t="s">
        <v>56716</v>
      </c>
    </row>
    <row r="7250" spans="1:12" ht="11.25" x14ac:dyDescent="0.2">
      <c r="A7250" s="45" t="s">
        <v>46337</v>
      </c>
      <c r="B7250" s="45" t="s">
        <v>46339</v>
      </c>
      <c r="C7250" s="51" t="s">
        <v>46341</v>
      </c>
      <c r="D7250" s="51" t="s">
        <v>46340</v>
      </c>
      <c r="E7250" s="45" t="s">
        <v>24971</v>
      </c>
      <c r="F7250" s="45" t="s">
        <v>18058</v>
      </c>
      <c r="G7250" s="45" t="s">
        <v>50634</v>
      </c>
      <c r="H7250" s="56"/>
      <c r="I7250" s="56" t="s">
        <v>50564</v>
      </c>
      <c r="J7250" s="56"/>
      <c r="K7250" s="57"/>
      <c r="L7250" s="56" t="s">
        <v>56716</v>
      </c>
    </row>
    <row r="7251" spans="1:12" ht="11.25" x14ac:dyDescent="0.2">
      <c r="A7251" s="45" t="s">
        <v>46343</v>
      </c>
      <c r="B7251" s="45" t="s">
        <v>46345</v>
      </c>
      <c r="C7251" s="51" t="s">
        <v>46347</v>
      </c>
      <c r="D7251" s="51" t="s">
        <v>46346</v>
      </c>
      <c r="E7251" s="45" t="s">
        <v>46348</v>
      </c>
      <c r="F7251" s="45" t="s">
        <v>18058</v>
      </c>
      <c r="G7251" s="45" t="s">
        <v>50615</v>
      </c>
      <c r="H7251" s="56"/>
      <c r="I7251" s="56" t="s">
        <v>50564</v>
      </c>
      <c r="J7251" s="56"/>
      <c r="K7251" s="57"/>
      <c r="L7251" s="56" t="s">
        <v>56716</v>
      </c>
    </row>
    <row r="7252" spans="1:12" ht="11.25" x14ac:dyDescent="0.2">
      <c r="A7252" s="46" t="s">
        <v>56458</v>
      </c>
      <c r="B7252" s="46" t="s">
        <v>56459</v>
      </c>
      <c r="C7252" s="58" t="str">
        <f>"15168484"</f>
        <v>15168484</v>
      </c>
      <c r="D7252" s="58" t="str">
        <f>"18060870"</f>
        <v>18060870</v>
      </c>
      <c r="E7252" s="46" t="s">
        <v>2622</v>
      </c>
      <c r="F7252" s="46" t="s">
        <v>18058</v>
      </c>
      <c r="G7252" s="46" t="s">
        <v>50616</v>
      </c>
      <c r="H7252" s="48" t="s">
        <v>56716</v>
      </c>
      <c r="I7252" s="48" t="s">
        <v>50564</v>
      </c>
      <c r="J7252" s="48"/>
      <c r="K7252" s="50" t="s">
        <v>56716</v>
      </c>
      <c r="L7252" s="48"/>
    </row>
    <row r="7253" spans="1:12" ht="11.25" x14ac:dyDescent="0.2">
      <c r="A7253" s="46" t="s">
        <v>3560</v>
      </c>
      <c r="B7253" s="46" t="s">
        <v>55272</v>
      </c>
      <c r="C7253" s="58" t="str">
        <f>"00347264"</f>
        <v>00347264</v>
      </c>
      <c r="D7253" s="58" t="str">
        <f>""</f>
        <v/>
      </c>
      <c r="E7253" s="46" t="s">
        <v>3562</v>
      </c>
      <c r="F7253" s="46" t="s">
        <v>18058</v>
      </c>
      <c r="G7253" s="46" t="s">
        <v>50614</v>
      </c>
      <c r="H7253" s="48" t="s">
        <v>56716</v>
      </c>
      <c r="I7253" s="48" t="s">
        <v>50564</v>
      </c>
      <c r="J7253" s="48"/>
      <c r="K7253" s="57"/>
      <c r="L7253" s="48"/>
    </row>
    <row r="7254" spans="1:12" ht="11.25" x14ac:dyDescent="0.2">
      <c r="A7254" s="46" t="s">
        <v>7690</v>
      </c>
      <c r="B7254" s="46" t="s">
        <v>55273</v>
      </c>
      <c r="C7254" s="58" t="str">
        <f>"14140365"</f>
        <v>14140365</v>
      </c>
      <c r="D7254" s="58" t="str">
        <f>""</f>
        <v/>
      </c>
      <c r="E7254" s="46" t="s">
        <v>2178</v>
      </c>
      <c r="F7254" s="46" t="s">
        <v>18058</v>
      </c>
      <c r="G7254" s="46" t="s">
        <v>50614</v>
      </c>
      <c r="H7254" s="48" t="s">
        <v>56716</v>
      </c>
      <c r="I7254" s="48" t="s">
        <v>50564</v>
      </c>
      <c r="J7254" s="48"/>
      <c r="K7254" s="57"/>
      <c r="L7254" s="48"/>
    </row>
    <row r="7255" spans="1:12" ht="11.25" x14ac:dyDescent="0.2">
      <c r="A7255" s="45" t="s">
        <v>46350</v>
      </c>
      <c r="B7255" s="45" t="s">
        <v>46352</v>
      </c>
      <c r="C7255" s="51" t="s">
        <v>46354</v>
      </c>
      <c r="D7255" s="51" t="s">
        <v>46353</v>
      </c>
      <c r="E7255" s="45" t="s">
        <v>46355</v>
      </c>
      <c r="F7255" s="45" t="s">
        <v>18058</v>
      </c>
      <c r="G7255" s="45" t="s">
        <v>50634</v>
      </c>
      <c r="H7255" s="56"/>
      <c r="I7255" s="56" t="s">
        <v>50564</v>
      </c>
      <c r="J7255" s="56"/>
      <c r="K7255" s="57"/>
      <c r="L7255" s="56" t="s">
        <v>56716</v>
      </c>
    </row>
    <row r="7256" spans="1:12" ht="11.25" x14ac:dyDescent="0.2">
      <c r="A7256" s="46" t="s">
        <v>8123</v>
      </c>
      <c r="B7256" s="46" t="s">
        <v>55274</v>
      </c>
      <c r="C7256" s="58" t="str">
        <f>"15160572"</f>
        <v>15160572</v>
      </c>
      <c r="D7256" s="58" t="str">
        <f>"1983084X"</f>
        <v>1983084X</v>
      </c>
      <c r="E7256" s="46" t="s">
        <v>8126</v>
      </c>
      <c r="F7256" s="46" t="s">
        <v>18058</v>
      </c>
      <c r="G7256" s="46" t="s">
        <v>50614</v>
      </c>
      <c r="H7256" s="48" t="s">
        <v>56716</v>
      </c>
      <c r="I7256" s="48" t="s">
        <v>50564</v>
      </c>
      <c r="J7256" s="48"/>
      <c r="K7256" s="57"/>
      <c r="L7256" s="48"/>
    </row>
    <row r="7257" spans="1:12" ht="11.25" x14ac:dyDescent="0.2">
      <c r="A7257" s="46" t="s">
        <v>8267</v>
      </c>
      <c r="B7257" s="46" t="s">
        <v>55275</v>
      </c>
      <c r="C7257" s="58" t="str">
        <f>"15164446"</f>
        <v>15164446</v>
      </c>
      <c r="D7257" s="58" t="str">
        <f>""</f>
        <v/>
      </c>
      <c r="E7257" s="46" t="s">
        <v>8269</v>
      </c>
      <c r="F7257" s="46" t="s">
        <v>18058</v>
      </c>
      <c r="G7257" s="46" t="s">
        <v>50614</v>
      </c>
      <c r="H7257" s="48" t="s">
        <v>56716</v>
      </c>
      <c r="I7257" s="48" t="s">
        <v>50564</v>
      </c>
      <c r="J7257" s="48"/>
      <c r="K7257" s="57"/>
      <c r="L7257" s="48" t="s">
        <v>56716</v>
      </c>
    </row>
    <row r="7258" spans="1:12" ht="11.25" x14ac:dyDescent="0.2">
      <c r="A7258" s="46" t="s">
        <v>7102</v>
      </c>
      <c r="B7258" s="46" t="s">
        <v>55276</v>
      </c>
      <c r="C7258" s="58" t="str">
        <f>"04825004"</f>
        <v>04825004</v>
      </c>
      <c r="D7258" s="58" t="str">
        <f>""</f>
        <v/>
      </c>
      <c r="E7258" s="46" t="s">
        <v>2622</v>
      </c>
      <c r="F7258" s="46" t="s">
        <v>18058</v>
      </c>
      <c r="G7258" s="46" t="s">
        <v>50616</v>
      </c>
      <c r="H7258" s="48" t="s">
        <v>56716</v>
      </c>
      <c r="I7258" s="48" t="s">
        <v>50564</v>
      </c>
      <c r="J7258" s="48"/>
      <c r="K7258" s="57"/>
      <c r="L7258" s="48" t="s">
        <v>56716</v>
      </c>
    </row>
    <row r="7259" spans="1:12" ht="11.25" x14ac:dyDescent="0.2">
      <c r="A7259" s="45" t="s">
        <v>56665</v>
      </c>
      <c r="B7259" s="45" t="s">
        <v>46372</v>
      </c>
      <c r="C7259" s="51" t="s">
        <v>46374</v>
      </c>
      <c r="D7259" s="51" t="s">
        <v>46373</v>
      </c>
      <c r="E7259" s="45" t="s">
        <v>46375</v>
      </c>
      <c r="F7259" s="45" t="s">
        <v>18058</v>
      </c>
      <c r="G7259" s="45" t="s">
        <v>50615</v>
      </c>
      <c r="H7259" s="56"/>
      <c r="I7259" s="56" t="s">
        <v>50564</v>
      </c>
      <c r="J7259" s="56"/>
      <c r="K7259" s="57"/>
      <c r="L7259" s="56" t="s">
        <v>56716</v>
      </c>
    </row>
    <row r="7260" spans="1:12" ht="11.25" x14ac:dyDescent="0.2">
      <c r="A7260" s="46" t="s">
        <v>8219</v>
      </c>
      <c r="B7260" s="46" t="s">
        <v>55277</v>
      </c>
      <c r="C7260" s="58" t="str">
        <f>"14152983"</f>
        <v>14152983</v>
      </c>
      <c r="D7260" s="58" t="str">
        <f>""</f>
        <v/>
      </c>
      <c r="E7260" s="46" t="s">
        <v>8221</v>
      </c>
      <c r="F7260" s="46" t="s">
        <v>18058</v>
      </c>
      <c r="G7260" s="46" t="s">
        <v>50614</v>
      </c>
      <c r="H7260" s="48" t="s">
        <v>56716</v>
      </c>
      <c r="I7260" s="48" t="s">
        <v>50564</v>
      </c>
      <c r="J7260" s="48"/>
      <c r="K7260" s="57"/>
      <c r="L7260" s="48"/>
    </row>
    <row r="7261" spans="1:12" ht="11.25" x14ac:dyDescent="0.2">
      <c r="A7261" s="45" t="s">
        <v>46377</v>
      </c>
      <c r="B7261" s="45" t="s">
        <v>46379</v>
      </c>
      <c r="C7261" s="51" t="s">
        <v>46381</v>
      </c>
      <c r="D7261" s="51" t="s">
        <v>46380</v>
      </c>
      <c r="E7261" s="45" t="s">
        <v>46382</v>
      </c>
      <c r="F7261" s="45" t="s">
        <v>46383</v>
      </c>
      <c r="G7261" s="45" t="s">
        <v>50633</v>
      </c>
      <c r="H7261" s="56"/>
      <c r="I7261" s="56" t="s">
        <v>50564</v>
      </c>
      <c r="J7261" s="56"/>
      <c r="K7261" s="57"/>
      <c r="L7261" s="56" t="s">
        <v>56716</v>
      </c>
    </row>
    <row r="7262" spans="1:12" ht="11.25" x14ac:dyDescent="0.2">
      <c r="A7262" s="46" t="s">
        <v>3581</v>
      </c>
      <c r="B7262" s="46" t="s">
        <v>55278</v>
      </c>
      <c r="C7262" s="58" t="str">
        <f>"03704106"</f>
        <v>03704106</v>
      </c>
      <c r="D7262" s="58" t="str">
        <f>"07176228"</f>
        <v>07176228</v>
      </c>
      <c r="E7262" s="46" t="s">
        <v>3584</v>
      </c>
      <c r="F7262" s="46" t="s">
        <v>46383</v>
      </c>
      <c r="G7262" s="46" t="s">
        <v>50632</v>
      </c>
      <c r="H7262" s="48" t="s">
        <v>56716</v>
      </c>
      <c r="I7262" s="48" t="s">
        <v>50564</v>
      </c>
      <c r="J7262" s="48"/>
      <c r="K7262" s="57"/>
      <c r="L7262" s="48" t="s">
        <v>56716</v>
      </c>
    </row>
    <row r="7263" spans="1:12" ht="11.25" x14ac:dyDescent="0.2">
      <c r="A7263" s="46" t="s">
        <v>15478</v>
      </c>
      <c r="B7263" s="46" t="s">
        <v>55279</v>
      </c>
      <c r="C7263" s="58" t="str">
        <f>"20135246"</f>
        <v>20135246</v>
      </c>
      <c r="D7263" s="58" t="str">
        <f>""</f>
        <v/>
      </c>
      <c r="E7263" s="46" t="s">
        <v>1683</v>
      </c>
      <c r="F7263" s="46" t="s">
        <v>18439</v>
      </c>
      <c r="G7263" s="46" t="s">
        <v>50632</v>
      </c>
      <c r="H7263" s="48" t="s">
        <v>56716</v>
      </c>
      <c r="I7263" s="48" t="s">
        <v>50564</v>
      </c>
      <c r="J7263" s="48"/>
      <c r="K7263" s="50" t="s">
        <v>56716</v>
      </c>
      <c r="L7263" s="48"/>
    </row>
    <row r="7264" spans="1:12" ht="11.25" x14ac:dyDescent="0.2">
      <c r="A7264" s="46" t="s">
        <v>3575</v>
      </c>
      <c r="B7264" s="46" t="s">
        <v>55280</v>
      </c>
      <c r="C7264" s="58" t="str">
        <f>"00142565"</f>
        <v>00142565</v>
      </c>
      <c r="D7264" s="58" t="str">
        <f>"15781860"</f>
        <v>15781860</v>
      </c>
      <c r="E7264" s="46" t="s">
        <v>175</v>
      </c>
      <c r="F7264" s="46" t="s">
        <v>18439</v>
      </c>
      <c r="G7264" s="46" t="s">
        <v>50632</v>
      </c>
      <c r="H7264" s="48" t="s">
        <v>56716</v>
      </c>
      <c r="I7264" s="48" t="s">
        <v>50564</v>
      </c>
      <c r="J7264" s="48"/>
      <c r="K7264" s="50" t="s">
        <v>56716</v>
      </c>
      <c r="L7264" s="48" t="s">
        <v>56716</v>
      </c>
    </row>
    <row r="7265" spans="1:12" ht="11.25" x14ac:dyDescent="0.2">
      <c r="A7265" s="46" t="s">
        <v>56485</v>
      </c>
      <c r="B7265" s="46" t="s">
        <v>56486</v>
      </c>
      <c r="C7265" s="58" t="str">
        <f>"01203347"</f>
        <v>01203347</v>
      </c>
      <c r="D7265" s="58" t="str">
        <f>""</f>
        <v/>
      </c>
      <c r="E7265" s="46" t="s">
        <v>175</v>
      </c>
      <c r="F7265" s="46" t="s">
        <v>22591</v>
      </c>
      <c r="G7265" s="46" t="s">
        <v>50632</v>
      </c>
      <c r="H7265" s="48" t="s">
        <v>56716</v>
      </c>
      <c r="I7265" s="48" t="s">
        <v>50564</v>
      </c>
      <c r="J7265" s="48"/>
      <c r="K7265" s="57"/>
      <c r="L7265" s="48"/>
    </row>
    <row r="7266" spans="1:12" ht="11.25" x14ac:dyDescent="0.2">
      <c r="A7266" s="46" t="s">
        <v>17386</v>
      </c>
      <c r="B7266" s="46" t="s">
        <v>55281</v>
      </c>
      <c r="C7266" s="58" t="str">
        <f>"01239015"</f>
        <v>01239015</v>
      </c>
      <c r="D7266" s="58" t="str">
        <f>""</f>
        <v/>
      </c>
      <c r="E7266" s="46" t="s">
        <v>175</v>
      </c>
      <c r="F7266" s="46" t="s">
        <v>18439</v>
      </c>
      <c r="G7266" s="46" t="s">
        <v>50631</v>
      </c>
      <c r="H7266" s="48" t="s">
        <v>56716</v>
      </c>
      <c r="I7266" s="48" t="s">
        <v>50564</v>
      </c>
      <c r="J7266" s="48"/>
      <c r="K7266" s="50" t="s">
        <v>56716</v>
      </c>
      <c r="L7266" s="48"/>
    </row>
    <row r="7267" spans="1:12" ht="11.25" x14ac:dyDescent="0.2">
      <c r="A7267" s="46" t="s">
        <v>12391</v>
      </c>
      <c r="B7267" s="46" t="s">
        <v>55282</v>
      </c>
      <c r="C7267" s="58" t="str">
        <f>"01205633"</f>
        <v>01205633</v>
      </c>
      <c r="D7267" s="58" t="str">
        <f>""</f>
        <v/>
      </c>
      <c r="E7267" s="46" t="s">
        <v>91</v>
      </c>
      <c r="F7267" s="46" t="s">
        <v>22591</v>
      </c>
      <c r="G7267" s="46" t="s">
        <v>50632</v>
      </c>
      <c r="H7267" s="48" t="s">
        <v>56716</v>
      </c>
      <c r="I7267" s="48" t="s">
        <v>50564</v>
      </c>
      <c r="J7267" s="48"/>
      <c r="K7267" s="50" t="s">
        <v>56716</v>
      </c>
      <c r="L7267" s="48"/>
    </row>
    <row r="7268" spans="1:12" ht="11.25" x14ac:dyDescent="0.2">
      <c r="A7268" s="46" t="s">
        <v>17388</v>
      </c>
      <c r="B7268" s="46" t="s">
        <v>55883</v>
      </c>
      <c r="C7268" s="58" t="str">
        <f>"01208845"</f>
        <v>01208845</v>
      </c>
      <c r="D7268" s="58" t="str">
        <f>""</f>
        <v/>
      </c>
      <c r="E7268" s="46" t="s">
        <v>175</v>
      </c>
      <c r="F7268" s="46" t="s">
        <v>18439</v>
      </c>
      <c r="G7268" s="46" t="s">
        <v>50632</v>
      </c>
      <c r="H7268" s="48" t="s">
        <v>56716</v>
      </c>
      <c r="I7268" s="48" t="s">
        <v>50564</v>
      </c>
      <c r="J7268" s="48"/>
      <c r="K7268" s="57"/>
      <c r="L7268" s="48"/>
    </row>
    <row r="7269" spans="1:12" ht="11.25" x14ac:dyDescent="0.2">
      <c r="A7269" s="46" t="s">
        <v>3586</v>
      </c>
      <c r="B7269" s="46" t="s">
        <v>55283</v>
      </c>
      <c r="C7269" s="58" t="str">
        <f>"00347450"</f>
        <v>00347450</v>
      </c>
      <c r="D7269" s="58" t="str">
        <f>""</f>
        <v/>
      </c>
      <c r="E7269" s="46" t="s">
        <v>175</v>
      </c>
      <c r="F7269" s="46" t="s">
        <v>18439</v>
      </c>
      <c r="G7269" s="46" t="s">
        <v>50632</v>
      </c>
      <c r="H7269" s="48" t="s">
        <v>56716</v>
      </c>
      <c r="I7269" s="48" t="s">
        <v>50564</v>
      </c>
      <c r="J7269" s="48"/>
      <c r="K7269" s="50" t="s">
        <v>56716</v>
      </c>
      <c r="L7269" s="48"/>
    </row>
    <row r="7270" spans="1:12" ht="11.25" x14ac:dyDescent="0.2">
      <c r="A7270" s="46" t="s">
        <v>16909</v>
      </c>
      <c r="B7270" s="46" t="s">
        <v>55284</v>
      </c>
      <c r="C7270" s="58" t="str">
        <f>"01218123"</f>
        <v>01218123</v>
      </c>
      <c r="D7270" s="58" t="str">
        <f>"20279000"</f>
        <v>20279000</v>
      </c>
      <c r="E7270" s="46" t="s">
        <v>16912</v>
      </c>
      <c r="F7270" s="46" t="s">
        <v>22591</v>
      </c>
      <c r="G7270" s="46" t="s">
        <v>50632</v>
      </c>
      <c r="H7270" s="48" t="s">
        <v>56716</v>
      </c>
      <c r="I7270" s="48" t="s">
        <v>50564</v>
      </c>
      <c r="J7270" s="48"/>
      <c r="K7270" s="57"/>
      <c r="L7270" s="48"/>
    </row>
    <row r="7271" spans="1:12" ht="11.25" x14ac:dyDescent="0.2">
      <c r="A7271" s="46" t="s">
        <v>3588</v>
      </c>
      <c r="B7271" s="46" t="s">
        <v>55285</v>
      </c>
      <c r="C7271" s="58" t="str">
        <f>"00347515"</f>
        <v>00347515</v>
      </c>
      <c r="D7271" s="58" t="str">
        <f>"15612988"</f>
        <v>15612988</v>
      </c>
      <c r="E7271" s="46" t="s">
        <v>3591</v>
      </c>
      <c r="F7271" s="46" t="s">
        <v>46397</v>
      </c>
      <c r="G7271" s="46" t="s">
        <v>50632</v>
      </c>
      <c r="H7271" s="48" t="s">
        <v>56716</v>
      </c>
      <c r="I7271" s="48" t="s">
        <v>50564</v>
      </c>
      <c r="J7271" s="48"/>
      <c r="K7271" s="57"/>
      <c r="L7271" s="48"/>
    </row>
    <row r="7272" spans="1:12" ht="11.25" x14ac:dyDescent="0.2">
      <c r="A7272" s="46" t="s">
        <v>10922</v>
      </c>
      <c r="B7272" s="46" t="s">
        <v>55286</v>
      </c>
      <c r="C7272" s="58" t="str">
        <f>"08640289"</f>
        <v>08640289</v>
      </c>
      <c r="D7272" s="58" t="str">
        <f>"15612996"</f>
        <v>15612996</v>
      </c>
      <c r="E7272" s="46" t="s">
        <v>3591</v>
      </c>
      <c r="F7272" s="46" t="s">
        <v>46397</v>
      </c>
      <c r="G7272" s="46" t="s">
        <v>50632</v>
      </c>
      <c r="H7272" s="48" t="s">
        <v>56716</v>
      </c>
      <c r="I7272" s="48" t="s">
        <v>50564</v>
      </c>
      <c r="J7272" s="48"/>
      <c r="K7272" s="57"/>
      <c r="L7272" s="48"/>
    </row>
    <row r="7273" spans="1:12" ht="11.25" x14ac:dyDescent="0.2">
      <c r="A7273" s="45" t="s">
        <v>46390</v>
      </c>
      <c r="B7273" s="45" t="s">
        <v>46392</v>
      </c>
      <c r="C7273" s="51" t="s">
        <v>46395</v>
      </c>
      <c r="D7273" s="51" t="s">
        <v>46394</v>
      </c>
      <c r="E7273" s="45" t="s">
        <v>46396</v>
      </c>
      <c r="F7273" s="45" t="s">
        <v>46397</v>
      </c>
      <c r="G7273" s="45" t="s">
        <v>50633</v>
      </c>
      <c r="H7273" s="56"/>
      <c r="I7273" s="56" t="s">
        <v>50564</v>
      </c>
      <c r="J7273" s="56"/>
      <c r="K7273" s="57"/>
      <c r="L7273" s="56" t="s">
        <v>56716</v>
      </c>
    </row>
    <row r="7274" spans="1:12" ht="11.25" x14ac:dyDescent="0.2">
      <c r="A7274" s="46" t="s">
        <v>56487</v>
      </c>
      <c r="B7274" s="46" t="s">
        <v>56488</v>
      </c>
      <c r="C7274" s="58" t="str">
        <f>""</f>
        <v/>
      </c>
      <c r="D7274" s="58" t="str">
        <f>"10284796"</f>
        <v>10284796</v>
      </c>
      <c r="E7274" s="46" t="s">
        <v>3591</v>
      </c>
      <c r="F7274" s="46" t="s">
        <v>46397</v>
      </c>
      <c r="G7274" s="46" t="s">
        <v>50632</v>
      </c>
      <c r="H7274" s="48" t="s">
        <v>56716</v>
      </c>
      <c r="I7274" s="48" t="s">
        <v>50564</v>
      </c>
      <c r="J7274" s="48"/>
      <c r="K7274" s="57"/>
      <c r="L7274" s="48"/>
    </row>
    <row r="7275" spans="1:12" ht="11.25" x14ac:dyDescent="0.2">
      <c r="A7275" s="46" t="s">
        <v>3657</v>
      </c>
      <c r="B7275" s="46" t="s">
        <v>55287</v>
      </c>
      <c r="C7275" s="58" t="str">
        <f>"01044230"</f>
        <v>01044230</v>
      </c>
      <c r="D7275" s="58" t="str">
        <f>""</f>
        <v/>
      </c>
      <c r="E7275" s="46" t="s">
        <v>2622</v>
      </c>
      <c r="F7275" s="46" t="s">
        <v>18058</v>
      </c>
      <c r="G7275" s="46" t="s">
        <v>50584</v>
      </c>
      <c r="H7275" s="48" t="s">
        <v>56716</v>
      </c>
      <c r="I7275" s="48" t="s">
        <v>50564</v>
      </c>
      <c r="J7275" s="48"/>
      <c r="K7275" s="57"/>
      <c r="L7275" s="48" t="s">
        <v>56716</v>
      </c>
    </row>
    <row r="7276" spans="1:12" ht="11.25" x14ac:dyDescent="0.2">
      <c r="A7276" s="45" t="s">
        <v>46405</v>
      </c>
      <c r="B7276" s="45" t="s">
        <v>46407</v>
      </c>
      <c r="C7276" s="51" t="s">
        <v>46408</v>
      </c>
      <c r="D7276" s="51"/>
      <c r="E7276" s="45" t="s">
        <v>46409</v>
      </c>
      <c r="F7276" s="45" t="s">
        <v>18058</v>
      </c>
      <c r="G7276" s="45" t="s">
        <v>50614</v>
      </c>
      <c r="H7276" s="56"/>
      <c r="I7276" s="56" t="s">
        <v>50564</v>
      </c>
      <c r="J7276" s="56"/>
      <c r="K7276" s="57"/>
      <c r="L7276" s="56" t="s">
        <v>56716</v>
      </c>
    </row>
    <row r="7277" spans="1:12" ht="11.25" x14ac:dyDescent="0.2">
      <c r="A7277" s="46" t="s">
        <v>3701</v>
      </c>
      <c r="B7277" s="46" t="s">
        <v>55288</v>
      </c>
      <c r="C7277" s="58" t="str">
        <f>"00378682"</f>
        <v>00378682</v>
      </c>
      <c r="D7277" s="58" t="str">
        <f>""</f>
        <v/>
      </c>
      <c r="E7277" s="46" t="s">
        <v>3703</v>
      </c>
      <c r="F7277" s="46" t="s">
        <v>18058</v>
      </c>
      <c r="G7277" s="46" t="s">
        <v>50616</v>
      </c>
      <c r="H7277" s="48" t="s">
        <v>56716</v>
      </c>
      <c r="I7277" s="48" t="s">
        <v>50564</v>
      </c>
      <c r="J7277" s="48"/>
      <c r="K7277" s="57"/>
      <c r="L7277" s="48" t="s">
        <v>56716</v>
      </c>
    </row>
    <row r="7278" spans="1:12" ht="11.25" x14ac:dyDescent="0.2">
      <c r="A7278" s="45" t="s">
        <v>46415</v>
      </c>
      <c r="B7278" s="45" t="s">
        <v>46417</v>
      </c>
      <c r="C7278" s="51" t="s">
        <v>46419</v>
      </c>
      <c r="D7278" s="51" t="s">
        <v>46418</v>
      </c>
      <c r="E7278" s="45" t="s">
        <v>46420</v>
      </c>
      <c r="F7278" s="45" t="s">
        <v>46421</v>
      </c>
      <c r="G7278" s="45" t="s">
        <v>50632</v>
      </c>
      <c r="H7278" s="56"/>
      <c r="I7278" s="56" t="s">
        <v>50564</v>
      </c>
      <c r="J7278" s="56"/>
      <c r="K7278" s="57"/>
      <c r="L7278" s="56" t="s">
        <v>56716</v>
      </c>
    </row>
    <row r="7279" spans="1:12" ht="11.25" x14ac:dyDescent="0.2">
      <c r="A7279" s="45" t="s">
        <v>46424</v>
      </c>
      <c r="B7279" s="45" t="s">
        <v>46426</v>
      </c>
      <c r="C7279" s="51" t="s">
        <v>46429</v>
      </c>
      <c r="D7279" s="51" t="s">
        <v>46428</v>
      </c>
      <c r="E7279" s="45" t="s">
        <v>18438</v>
      </c>
      <c r="F7279" s="45" t="s">
        <v>18439</v>
      </c>
      <c r="G7279" s="45" t="s">
        <v>50633</v>
      </c>
      <c r="H7279" s="56"/>
      <c r="I7279" s="56" t="s">
        <v>50564</v>
      </c>
      <c r="J7279" s="56"/>
      <c r="K7279" s="57"/>
      <c r="L7279" s="56" t="s">
        <v>56716</v>
      </c>
    </row>
    <row r="7280" spans="1:12" ht="11.25" x14ac:dyDescent="0.2">
      <c r="A7280" s="46" t="s">
        <v>11541</v>
      </c>
      <c r="B7280" s="46" t="s">
        <v>55289</v>
      </c>
      <c r="C7280" s="58" t="str">
        <f>"18084532"</f>
        <v>18084532</v>
      </c>
      <c r="D7280" s="58" t="str">
        <f>""</f>
        <v/>
      </c>
      <c r="E7280" s="46" t="s">
        <v>11543</v>
      </c>
      <c r="F7280" s="46" t="s">
        <v>18058</v>
      </c>
      <c r="G7280" s="46" t="s">
        <v>50614</v>
      </c>
      <c r="H7280" s="48" t="s">
        <v>56716</v>
      </c>
      <c r="I7280" s="48" t="s">
        <v>50564</v>
      </c>
      <c r="J7280" s="48"/>
      <c r="K7280" s="57"/>
      <c r="L7280" s="48"/>
    </row>
    <row r="7281" spans="1:12" ht="11.25" x14ac:dyDescent="0.2">
      <c r="A7281" s="45" t="s">
        <v>46431</v>
      </c>
      <c r="B7281" s="45" t="s">
        <v>46433</v>
      </c>
      <c r="C7281" s="51" t="s">
        <v>46435</v>
      </c>
      <c r="D7281" s="51"/>
      <c r="E7281" s="45" t="s">
        <v>46436</v>
      </c>
      <c r="F7281" s="45" t="s">
        <v>18439</v>
      </c>
      <c r="G7281" s="45" t="s">
        <v>50633</v>
      </c>
      <c r="H7281" s="56"/>
      <c r="I7281" s="56" t="s">
        <v>50564</v>
      </c>
      <c r="J7281" s="56"/>
      <c r="K7281" s="57"/>
      <c r="L7281" s="56" t="s">
        <v>56716</v>
      </c>
    </row>
    <row r="7282" spans="1:12" ht="11.25" x14ac:dyDescent="0.2">
      <c r="A7282" s="45" t="s">
        <v>46438</v>
      </c>
      <c r="B7282" s="45" t="s">
        <v>46440</v>
      </c>
      <c r="C7282" s="51" t="s">
        <v>46441</v>
      </c>
      <c r="D7282" s="51"/>
      <c r="E7282" s="45" t="s">
        <v>13004</v>
      </c>
      <c r="F7282" s="45" t="s">
        <v>18439</v>
      </c>
      <c r="G7282" s="45" t="s">
        <v>50632</v>
      </c>
      <c r="H7282" s="56"/>
      <c r="I7282" s="56" t="s">
        <v>50564</v>
      </c>
      <c r="J7282" s="56"/>
      <c r="K7282" s="57"/>
      <c r="L7282" s="56" t="s">
        <v>56716</v>
      </c>
    </row>
    <row r="7283" spans="1:12" ht="11.25" x14ac:dyDescent="0.2">
      <c r="A7283" s="46" t="s">
        <v>13000</v>
      </c>
      <c r="B7283" s="46" t="s">
        <v>55290</v>
      </c>
      <c r="C7283" s="58" t="str">
        <f>"15760952"</f>
        <v>15760952</v>
      </c>
      <c r="D7283" s="58" t="str">
        <f>"19885806"</f>
        <v>19885806</v>
      </c>
      <c r="E7283" s="46" t="s">
        <v>13003</v>
      </c>
      <c r="F7283" s="46" t="s">
        <v>18439</v>
      </c>
      <c r="G7283" s="46" t="s">
        <v>50632</v>
      </c>
      <c r="H7283" s="48" t="s">
        <v>56716</v>
      </c>
      <c r="I7283" s="48" t="s">
        <v>50564</v>
      </c>
      <c r="J7283" s="48"/>
      <c r="K7283" s="57"/>
      <c r="L7283" s="48"/>
    </row>
    <row r="7284" spans="1:12" ht="11.25" x14ac:dyDescent="0.2">
      <c r="A7284" s="45" t="s">
        <v>46443</v>
      </c>
      <c r="B7284" s="45" t="s">
        <v>46445</v>
      </c>
      <c r="C7284" s="51" t="s">
        <v>46446</v>
      </c>
      <c r="D7284" s="51"/>
      <c r="E7284" s="45" t="s">
        <v>46447</v>
      </c>
      <c r="F7284" s="45" t="s">
        <v>18411</v>
      </c>
      <c r="G7284" s="45" t="s">
        <v>50633</v>
      </c>
      <c r="H7284" s="56"/>
      <c r="I7284" s="56" t="s">
        <v>50564</v>
      </c>
      <c r="J7284" s="56"/>
      <c r="K7284" s="57"/>
      <c r="L7284" s="56" t="s">
        <v>56716</v>
      </c>
    </row>
    <row r="7285" spans="1:12" ht="11.25" x14ac:dyDescent="0.2">
      <c r="A7285" s="45" t="s">
        <v>46449</v>
      </c>
      <c r="B7285" s="45" t="s">
        <v>46451</v>
      </c>
      <c r="C7285" s="51" t="s">
        <v>46453</v>
      </c>
      <c r="D7285" s="51" t="s">
        <v>46452</v>
      </c>
      <c r="E7285" s="45" t="s">
        <v>46454</v>
      </c>
      <c r="F7285" s="45" t="s">
        <v>46455</v>
      </c>
      <c r="G7285" s="45" t="s">
        <v>50633</v>
      </c>
      <c r="H7285" s="56"/>
      <c r="I7285" s="56" t="s">
        <v>50564</v>
      </c>
      <c r="J7285" s="56"/>
      <c r="K7285" s="57"/>
      <c r="L7285" s="56" t="s">
        <v>56716</v>
      </c>
    </row>
    <row r="7286" spans="1:12" ht="11.25" x14ac:dyDescent="0.2">
      <c r="A7286" s="46" t="s">
        <v>4496</v>
      </c>
      <c r="B7286" s="46" t="s">
        <v>55291</v>
      </c>
      <c r="C7286" s="58" t="str">
        <f>"00348376"</f>
        <v>00348376</v>
      </c>
      <c r="D7286" s="58" t="str">
        <f>"00348376"</f>
        <v>00348376</v>
      </c>
      <c r="E7286" s="46" t="s">
        <v>4498</v>
      </c>
      <c r="F7286" s="46" t="s">
        <v>18411</v>
      </c>
      <c r="G7286" s="46" t="s">
        <v>50632</v>
      </c>
      <c r="H7286" s="48" t="s">
        <v>56716</v>
      </c>
      <c r="I7286" s="48" t="s">
        <v>50564</v>
      </c>
      <c r="J7286" s="48"/>
      <c r="K7286" s="57"/>
      <c r="L7286" s="48" t="s">
        <v>56716</v>
      </c>
    </row>
    <row r="7287" spans="1:12" ht="11.25" x14ac:dyDescent="0.2">
      <c r="A7287" s="45" t="s">
        <v>46462</v>
      </c>
      <c r="B7287" s="45" t="s">
        <v>46464</v>
      </c>
      <c r="C7287" s="51" t="s">
        <v>46467</v>
      </c>
      <c r="D7287" s="51" t="s">
        <v>46466</v>
      </c>
      <c r="E7287" s="45" t="s">
        <v>46468</v>
      </c>
      <c r="F7287" s="45" t="s">
        <v>18169</v>
      </c>
      <c r="G7287" s="45" t="s">
        <v>50633</v>
      </c>
      <c r="H7287" s="56"/>
      <c r="I7287" s="56" t="s">
        <v>50564</v>
      </c>
      <c r="J7287" s="56"/>
      <c r="K7287" s="57"/>
      <c r="L7287" s="56" t="s">
        <v>56716</v>
      </c>
    </row>
    <row r="7288" spans="1:12" ht="11.25" x14ac:dyDescent="0.2">
      <c r="A7288" s="46" t="s">
        <v>16369</v>
      </c>
      <c r="B7288" s="46" t="s">
        <v>55292</v>
      </c>
      <c r="C7288" s="58" t="str">
        <f>"0326646X"</f>
        <v>0326646X</v>
      </c>
      <c r="D7288" s="58" t="str">
        <f>""</f>
        <v/>
      </c>
      <c r="E7288" s="46" t="s">
        <v>16371</v>
      </c>
      <c r="F7288" s="46" t="s">
        <v>18169</v>
      </c>
      <c r="G7288" s="46" t="s">
        <v>50631</v>
      </c>
      <c r="H7288" s="48" t="s">
        <v>56716</v>
      </c>
      <c r="I7288" s="48" t="s">
        <v>50564</v>
      </c>
      <c r="J7288" s="48"/>
      <c r="K7288" s="57"/>
      <c r="L7288" s="48"/>
    </row>
    <row r="7289" spans="1:12" ht="11.25" x14ac:dyDescent="0.2">
      <c r="A7289" s="46" t="s">
        <v>7490</v>
      </c>
      <c r="B7289" s="46" t="s">
        <v>55293</v>
      </c>
      <c r="C7289" s="58" t="str">
        <f>"11348046"</f>
        <v>11348046</v>
      </c>
      <c r="D7289" s="58" t="str">
        <f>"22546189"</f>
        <v>22546189</v>
      </c>
      <c r="E7289" s="46" t="s">
        <v>1683</v>
      </c>
      <c r="F7289" s="46" t="s">
        <v>18439</v>
      </c>
      <c r="G7289" s="46" t="s">
        <v>50632</v>
      </c>
      <c r="H7289" s="48" t="s">
        <v>56716</v>
      </c>
      <c r="I7289" s="48" t="s">
        <v>50564</v>
      </c>
      <c r="J7289" s="48"/>
      <c r="K7289" s="57"/>
      <c r="L7289" s="48"/>
    </row>
    <row r="7290" spans="1:12" ht="11.25" x14ac:dyDescent="0.2">
      <c r="A7290" s="46" t="s">
        <v>10512</v>
      </c>
      <c r="B7290" s="46" t="s">
        <v>55294</v>
      </c>
      <c r="C7290" s="58" t="str">
        <f>"03263428"</f>
        <v>03263428</v>
      </c>
      <c r="D7290" s="58" t="str">
        <f>""</f>
        <v/>
      </c>
      <c r="E7290" s="46" t="s">
        <v>10514</v>
      </c>
      <c r="F7290" s="46" t="s">
        <v>18169</v>
      </c>
      <c r="G7290" s="46" t="s">
        <v>50632</v>
      </c>
      <c r="H7290" s="48" t="s">
        <v>56716</v>
      </c>
      <c r="I7290" s="48" t="s">
        <v>50564</v>
      </c>
      <c r="J7290" s="48"/>
      <c r="K7290" s="57"/>
      <c r="L7290" s="48"/>
    </row>
    <row r="7291" spans="1:12" ht="11.25" x14ac:dyDescent="0.2">
      <c r="A7291" s="46" t="s">
        <v>3711</v>
      </c>
      <c r="B7291" s="46" t="s">
        <v>55295</v>
      </c>
      <c r="C7291" s="58" t="str">
        <f>"02100010"</f>
        <v>02100010</v>
      </c>
      <c r="D7291" s="58" t="str">
        <f>""</f>
        <v/>
      </c>
      <c r="E7291" s="46" t="s">
        <v>3711</v>
      </c>
      <c r="F7291" s="46" t="s">
        <v>18439</v>
      </c>
      <c r="G7291" s="46" t="s">
        <v>50632</v>
      </c>
      <c r="H7291" s="48" t="s">
        <v>56716</v>
      </c>
      <c r="I7291" s="48" t="s">
        <v>50564</v>
      </c>
      <c r="J7291" s="48"/>
      <c r="K7291" s="57"/>
      <c r="L7291" s="48" t="s">
        <v>56716</v>
      </c>
    </row>
    <row r="7292" spans="1:12" ht="11.25" x14ac:dyDescent="0.2">
      <c r="A7292" s="46" t="s">
        <v>16290</v>
      </c>
      <c r="B7292" s="46" t="s">
        <v>55296</v>
      </c>
      <c r="C7292" s="58" t="str">
        <f>"1889836X"</f>
        <v>1889836X</v>
      </c>
      <c r="D7292" s="58" t="str">
        <f>"21732345"</f>
        <v>21732345</v>
      </c>
      <c r="E7292" s="46" t="s">
        <v>16293</v>
      </c>
      <c r="F7292" s="46" t="s">
        <v>18439</v>
      </c>
      <c r="G7292" s="46" t="s">
        <v>50631</v>
      </c>
      <c r="H7292" s="48" t="s">
        <v>56716</v>
      </c>
      <c r="I7292" s="48" t="s">
        <v>50564</v>
      </c>
      <c r="J7292" s="48"/>
      <c r="K7292" s="57"/>
      <c r="L7292" s="48"/>
    </row>
    <row r="7293" spans="1:12" ht="11.25" x14ac:dyDescent="0.2">
      <c r="A7293" s="46" t="s">
        <v>10060</v>
      </c>
      <c r="B7293" s="46" t="s">
        <v>55297</v>
      </c>
      <c r="C7293" s="58" t="str">
        <f>"15769895"</f>
        <v>15769895</v>
      </c>
      <c r="D7293" s="58" t="str">
        <f>"2173920X"</f>
        <v>2173920X</v>
      </c>
      <c r="E7293" s="46" t="s">
        <v>10063</v>
      </c>
      <c r="F7293" s="46" t="s">
        <v>18439</v>
      </c>
      <c r="G7293" s="46" t="s">
        <v>50632</v>
      </c>
      <c r="H7293" s="48" t="s">
        <v>56716</v>
      </c>
      <c r="I7293" s="48" t="s">
        <v>50564</v>
      </c>
      <c r="J7293" s="48"/>
      <c r="K7293" s="57"/>
      <c r="L7293" s="48"/>
    </row>
    <row r="7294" spans="1:12" ht="11.25" x14ac:dyDescent="0.2">
      <c r="A7294" s="46" t="s">
        <v>8239</v>
      </c>
      <c r="B7294" s="46" t="s">
        <v>55298</v>
      </c>
      <c r="C7294" s="58" t="str">
        <f>"01016083"</f>
        <v>01016083</v>
      </c>
      <c r="D7294" s="58" t="str">
        <f>"1806938X"</f>
        <v>1806938X</v>
      </c>
      <c r="E7294" s="46" t="s">
        <v>8242</v>
      </c>
      <c r="F7294" s="46" t="s">
        <v>18058</v>
      </c>
      <c r="G7294" s="46" t="s">
        <v>50614</v>
      </c>
      <c r="H7294" s="48" t="s">
        <v>56716</v>
      </c>
      <c r="I7294" s="48" t="s">
        <v>50564</v>
      </c>
      <c r="J7294" s="48"/>
      <c r="K7294" s="57"/>
      <c r="L7294" s="48"/>
    </row>
    <row r="7295" spans="1:12" ht="11.25" x14ac:dyDescent="0.2">
      <c r="A7295" s="46" t="s">
        <v>13312</v>
      </c>
      <c r="B7295" s="46" t="s">
        <v>55299</v>
      </c>
      <c r="C7295" s="58" t="str">
        <f>"18889891"</f>
        <v>18889891</v>
      </c>
      <c r="D7295" s="58" t="str">
        <f>"19894600"</f>
        <v>19894600</v>
      </c>
      <c r="E7295" s="46" t="s">
        <v>1683</v>
      </c>
      <c r="F7295" s="46" t="s">
        <v>18439</v>
      </c>
      <c r="G7295" s="46" t="s">
        <v>50632</v>
      </c>
      <c r="H7295" s="48" t="s">
        <v>56716</v>
      </c>
      <c r="I7295" s="48" t="s">
        <v>50564</v>
      </c>
      <c r="J7295" s="48"/>
      <c r="K7295" s="50" t="s">
        <v>56716</v>
      </c>
      <c r="L7295" s="48" t="s">
        <v>56716</v>
      </c>
    </row>
    <row r="7296" spans="1:12" ht="11.25" x14ac:dyDescent="0.2">
      <c r="A7296" s="46" t="s">
        <v>16762</v>
      </c>
      <c r="B7296" s="46" t="s">
        <v>55300</v>
      </c>
      <c r="C7296" s="58" t="str">
        <f>"15779572"</f>
        <v>15779572</v>
      </c>
      <c r="D7296" s="58" t="str">
        <f>"16972791"</f>
        <v>16972791</v>
      </c>
      <c r="E7296" s="46" t="s">
        <v>16765</v>
      </c>
      <c r="F7296" s="46" t="s">
        <v>18439</v>
      </c>
      <c r="G7296" s="46" t="s">
        <v>50632</v>
      </c>
      <c r="H7296" s="48" t="s">
        <v>56716</v>
      </c>
      <c r="I7296" s="48" t="s">
        <v>50564</v>
      </c>
      <c r="J7296" s="48"/>
      <c r="K7296" s="57"/>
      <c r="L7296" s="48"/>
    </row>
    <row r="7297" spans="1:12" ht="11.25" x14ac:dyDescent="0.2">
      <c r="A7297" s="45" t="s">
        <v>46487</v>
      </c>
      <c r="B7297" s="45" t="s">
        <v>46489</v>
      </c>
      <c r="C7297" s="51" t="s">
        <v>46490</v>
      </c>
      <c r="D7297" s="51"/>
      <c r="E7297" s="45" t="s">
        <v>46491</v>
      </c>
      <c r="F7297" s="45" t="s">
        <v>22591</v>
      </c>
      <c r="G7297" s="45" t="s">
        <v>50633</v>
      </c>
      <c r="H7297" s="56"/>
      <c r="I7297" s="56" t="s">
        <v>50564</v>
      </c>
      <c r="J7297" s="56"/>
      <c r="K7297" s="57"/>
      <c r="L7297" s="56" t="s">
        <v>56716</v>
      </c>
    </row>
    <row r="7298" spans="1:12" ht="11.25" x14ac:dyDescent="0.2">
      <c r="A7298" s="45" t="s">
        <v>46493</v>
      </c>
      <c r="B7298" s="45" t="s">
        <v>46495</v>
      </c>
      <c r="C7298" s="51" t="s">
        <v>46498</v>
      </c>
      <c r="D7298" s="51" t="s">
        <v>46497</v>
      </c>
      <c r="E7298" s="45" t="s">
        <v>46499</v>
      </c>
      <c r="F7298" s="45" t="s">
        <v>18058</v>
      </c>
      <c r="G7298" s="45" t="s">
        <v>50615</v>
      </c>
      <c r="H7298" s="56"/>
      <c r="I7298" s="56" t="s">
        <v>50564</v>
      </c>
      <c r="J7298" s="56"/>
      <c r="K7298" s="57"/>
      <c r="L7298" s="56" t="s">
        <v>56716</v>
      </c>
    </row>
    <row r="7299" spans="1:12" ht="11.25" x14ac:dyDescent="0.2">
      <c r="A7299" s="46" t="s">
        <v>5259</v>
      </c>
      <c r="B7299" s="46" t="s">
        <v>55301</v>
      </c>
      <c r="C7299" s="58" t="str">
        <f>"02127113"</f>
        <v>02127113</v>
      </c>
      <c r="D7299" s="58" t="str">
        <f>"16970748"</f>
        <v>16970748</v>
      </c>
      <c r="E7299" s="46" t="s">
        <v>5262</v>
      </c>
      <c r="F7299" s="46" t="s">
        <v>18439</v>
      </c>
      <c r="G7299" s="46" t="s">
        <v>50632</v>
      </c>
      <c r="H7299" s="48" t="s">
        <v>56716</v>
      </c>
      <c r="I7299" s="48" t="s">
        <v>50564</v>
      </c>
      <c r="J7299" s="48"/>
      <c r="K7299" s="57"/>
      <c r="L7299" s="48"/>
    </row>
    <row r="7300" spans="1:12" ht="11.25" x14ac:dyDescent="0.2">
      <c r="A7300" s="46" t="s">
        <v>6540</v>
      </c>
      <c r="B7300" s="46" t="s">
        <v>55302</v>
      </c>
      <c r="C7300" s="58" t="str">
        <f>"01877585"</f>
        <v>01877585</v>
      </c>
      <c r="D7300" s="58" t="str">
        <f>""</f>
        <v/>
      </c>
      <c r="E7300" s="46" t="s">
        <v>6542</v>
      </c>
      <c r="F7300" s="46" t="s">
        <v>18411</v>
      </c>
      <c r="G7300" s="46" t="s">
        <v>50632</v>
      </c>
      <c r="H7300" s="48" t="s">
        <v>56716</v>
      </c>
      <c r="I7300" s="48" t="s">
        <v>50564</v>
      </c>
      <c r="J7300" s="48"/>
      <c r="K7300" s="57"/>
      <c r="L7300" s="48"/>
    </row>
    <row r="7301" spans="1:12" ht="11.25" x14ac:dyDescent="0.2">
      <c r="A7301" s="46" t="s">
        <v>13306</v>
      </c>
      <c r="B7301" s="46" t="s">
        <v>55303</v>
      </c>
      <c r="C7301" s="58" t="str">
        <f>"18884008"</f>
        <v>18884008</v>
      </c>
      <c r="D7301" s="58" t="str">
        <f>"19890389"</f>
        <v>19890389</v>
      </c>
      <c r="E7301" s="46" t="s">
        <v>1683</v>
      </c>
      <c r="F7301" s="46" t="s">
        <v>18439</v>
      </c>
      <c r="G7301" s="46" t="s">
        <v>50632</v>
      </c>
      <c r="H7301" s="48" t="s">
        <v>56716</v>
      </c>
      <c r="I7301" s="48" t="s">
        <v>50564</v>
      </c>
      <c r="J7301" s="48"/>
      <c r="K7301" s="50" t="s">
        <v>56716</v>
      </c>
      <c r="L7301" s="48"/>
    </row>
    <row r="7302" spans="1:12" ht="11.25" x14ac:dyDescent="0.2">
      <c r="A7302" s="45" t="s">
        <v>46501</v>
      </c>
      <c r="B7302" s="45" t="s">
        <v>46503</v>
      </c>
      <c r="C7302" s="51" t="s">
        <v>46505</v>
      </c>
      <c r="D7302" s="51" t="s">
        <v>46504</v>
      </c>
      <c r="E7302" s="45" t="s">
        <v>46506</v>
      </c>
      <c r="F7302" s="45" t="s">
        <v>18058</v>
      </c>
      <c r="G7302" s="45" t="s">
        <v>50615</v>
      </c>
      <c r="H7302" s="56"/>
      <c r="I7302" s="56" t="s">
        <v>50564</v>
      </c>
      <c r="J7302" s="56"/>
      <c r="K7302" s="57"/>
      <c r="L7302" s="56" t="s">
        <v>56716</v>
      </c>
    </row>
    <row r="7303" spans="1:12" ht="11.25" x14ac:dyDescent="0.2">
      <c r="A7303" s="46" t="s">
        <v>3671</v>
      </c>
      <c r="B7303" s="46" t="s">
        <v>55304</v>
      </c>
      <c r="C7303" s="58" t="str">
        <f>"00364665"</f>
        <v>00364665</v>
      </c>
      <c r="D7303" s="58" t="str">
        <f>"16789946"</f>
        <v>16789946</v>
      </c>
      <c r="E7303" s="46" t="s">
        <v>3674</v>
      </c>
      <c r="F7303" s="46" t="s">
        <v>18058</v>
      </c>
      <c r="G7303" s="46" t="s">
        <v>50616</v>
      </c>
      <c r="H7303" s="48" t="s">
        <v>56716</v>
      </c>
      <c r="I7303" s="48" t="s">
        <v>50564</v>
      </c>
      <c r="J7303" s="48"/>
      <c r="K7303" s="57"/>
      <c r="L7303" s="48" t="s">
        <v>56716</v>
      </c>
    </row>
    <row r="7304" spans="1:12" ht="11.25" x14ac:dyDescent="0.2">
      <c r="A7304" s="46" t="s">
        <v>5343</v>
      </c>
      <c r="B7304" s="46" t="s">
        <v>55305</v>
      </c>
      <c r="C7304" s="58" t="str">
        <f>"10198113"</f>
        <v>10198113</v>
      </c>
      <c r="D7304" s="58" t="str">
        <f>""</f>
        <v/>
      </c>
      <c r="E7304" s="46" t="s">
        <v>5345</v>
      </c>
      <c r="F7304" s="46" t="s">
        <v>50645</v>
      </c>
      <c r="G7304" s="46" t="s">
        <v>50632</v>
      </c>
      <c r="H7304" s="48" t="s">
        <v>56716</v>
      </c>
      <c r="I7304" s="48" t="s">
        <v>50564</v>
      </c>
      <c r="J7304" s="48"/>
      <c r="K7304" s="57"/>
      <c r="L7304" s="48"/>
    </row>
    <row r="7305" spans="1:12" ht="11.25" x14ac:dyDescent="0.2">
      <c r="A7305" s="45" t="s">
        <v>46513</v>
      </c>
      <c r="B7305" s="45" t="s">
        <v>46515</v>
      </c>
      <c r="C7305" s="51" t="s">
        <v>46518</v>
      </c>
      <c r="D7305" s="51" t="s">
        <v>46517</v>
      </c>
      <c r="E7305" s="45" t="s">
        <v>175</v>
      </c>
      <c r="F7305" s="45" t="s">
        <v>18439</v>
      </c>
      <c r="G7305" s="45" t="s">
        <v>50633</v>
      </c>
      <c r="H7305" s="56"/>
      <c r="I7305" s="56" t="s">
        <v>50564</v>
      </c>
      <c r="J7305" s="56"/>
      <c r="K7305" s="57"/>
      <c r="L7305" s="56" t="s">
        <v>56716</v>
      </c>
    </row>
    <row r="7306" spans="1:12" ht="11.25" x14ac:dyDescent="0.2">
      <c r="A7306" s="46" t="s">
        <v>56490</v>
      </c>
      <c r="B7306" s="46" t="s">
        <v>56491</v>
      </c>
      <c r="C7306" s="58" t="str">
        <f>"23863129"</f>
        <v>23863129</v>
      </c>
      <c r="D7306" s="58" t="str">
        <f>""</f>
        <v/>
      </c>
      <c r="E7306" s="46" t="s">
        <v>175</v>
      </c>
      <c r="F7306" s="46" t="s">
        <v>18439</v>
      </c>
      <c r="G7306" s="46" t="s">
        <v>50632</v>
      </c>
      <c r="H7306" s="48" t="s">
        <v>56716</v>
      </c>
      <c r="I7306" s="48" t="s">
        <v>50564</v>
      </c>
      <c r="J7306" s="48"/>
      <c r="K7306" s="57"/>
      <c r="L7306" s="48"/>
    </row>
    <row r="7307" spans="1:12" ht="11.25" x14ac:dyDescent="0.2">
      <c r="A7307" s="46" t="s">
        <v>3572</v>
      </c>
      <c r="B7307" s="46" t="s">
        <v>55306</v>
      </c>
      <c r="C7307" s="58" t="str">
        <f>"03008932"</f>
        <v>03008932</v>
      </c>
      <c r="D7307" s="58" t="str">
        <f>"15792242"</f>
        <v>15792242</v>
      </c>
      <c r="E7307" s="46" t="s">
        <v>1683</v>
      </c>
      <c r="F7307" s="46" t="s">
        <v>18439</v>
      </c>
      <c r="G7307" s="46" t="s">
        <v>50632</v>
      </c>
      <c r="H7307" s="48" t="s">
        <v>56716</v>
      </c>
      <c r="I7307" s="48" t="s">
        <v>50564</v>
      </c>
      <c r="J7307" s="48"/>
      <c r="K7307" s="50" t="s">
        <v>56716</v>
      </c>
      <c r="L7307" s="48" t="s">
        <v>56716</v>
      </c>
    </row>
    <row r="7308" spans="1:12" ht="11.25" x14ac:dyDescent="0.2">
      <c r="A7308" s="46" t="s">
        <v>12285</v>
      </c>
      <c r="B7308" s="46" t="s">
        <v>55307</v>
      </c>
      <c r="C7308" s="58" t="str">
        <f>"11313587"</f>
        <v>11313587</v>
      </c>
      <c r="D7308" s="58" t="str">
        <f>"15792250"</f>
        <v>15792250</v>
      </c>
      <c r="E7308" s="46" t="s">
        <v>1683</v>
      </c>
      <c r="F7308" s="46" t="s">
        <v>18439</v>
      </c>
      <c r="G7308" s="46" t="s">
        <v>50632</v>
      </c>
      <c r="H7308" s="48" t="s">
        <v>56716</v>
      </c>
      <c r="I7308" s="48" t="s">
        <v>50564</v>
      </c>
      <c r="J7308" s="48"/>
      <c r="K7308" s="57"/>
      <c r="L7308" s="48"/>
    </row>
    <row r="7309" spans="1:12" ht="11.25" x14ac:dyDescent="0.2">
      <c r="A7309" s="45" t="s">
        <v>46526</v>
      </c>
      <c r="B7309" s="45" t="s">
        <v>46528</v>
      </c>
      <c r="C7309" s="51" t="s">
        <v>46531</v>
      </c>
      <c r="D7309" s="51" t="s">
        <v>46530</v>
      </c>
      <c r="E7309" s="45" t="s">
        <v>175</v>
      </c>
      <c r="F7309" s="45" t="s">
        <v>18439</v>
      </c>
      <c r="G7309" s="45" t="s">
        <v>50632</v>
      </c>
      <c r="H7309" s="56"/>
      <c r="I7309" s="56" t="s">
        <v>50564</v>
      </c>
      <c r="J7309" s="56"/>
      <c r="K7309" s="57"/>
      <c r="L7309" s="56" t="s">
        <v>56716</v>
      </c>
    </row>
    <row r="7310" spans="1:12" ht="11.25" x14ac:dyDescent="0.2">
      <c r="A7310" s="46" t="s">
        <v>5152</v>
      </c>
      <c r="B7310" s="46" t="s">
        <v>55308</v>
      </c>
      <c r="C7310" s="58" t="str">
        <f>"11300108"</f>
        <v>11300108</v>
      </c>
      <c r="D7310" s="58" t="str">
        <f>""</f>
        <v/>
      </c>
      <c r="E7310" s="46" t="s">
        <v>5154</v>
      </c>
      <c r="F7310" s="46" t="s">
        <v>18439</v>
      </c>
      <c r="G7310" s="46" t="s">
        <v>50631</v>
      </c>
      <c r="H7310" s="48" t="s">
        <v>56716</v>
      </c>
      <c r="I7310" s="48" t="s">
        <v>50564</v>
      </c>
      <c r="J7310" s="48"/>
      <c r="K7310" s="57"/>
      <c r="L7310" s="48" t="s">
        <v>56716</v>
      </c>
    </row>
    <row r="7311" spans="1:12" ht="11.25" x14ac:dyDescent="0.2">
      <c r="A7311" s="46" t="s">
        <v>3598</v>
      </c>
      <c r="B7311" s="46" t="s">
        <v>55309</v>
      </c>
      <c r="C7311" s="58" t="str">
        <f>"0211139X"</f>
        <v>0211139X</v>
      </c>
      <c r="D7311" s="58" t="str">
        <f>"15781747"</f>
        <v>15781747</v>
      </c>
      <c r="E7311" s="46" t="s">
        <v>1683</v>
      </c>
      <c r="F7311" s="46" t="s">
        <v>18439</v>
      </c>
      <c r="G7311" s="46" t="s">
        <v>50632</v>
      </c>
      <c r="H7311" s="48" t="s">
        <v>56716</v>
      </c>
      <c r="I7311" s="48" t="s">
        <v>50564</v>
      </c>
      <c r="J7311" s="48"/>
      <c r="K7311" s="50" t="s">
        <v>56716</v>
      </c>
      <c r="L7311" s="48" t="s">
        <v>56716</v>
      </c>
    </row>
    <row r="7312" spans="1:12" ht="11.25" x14ac:dyDescent="0.2">
      <c r="A7312" s="46" t="s">
        <v>16249</v>
      </c>
      <c r="B7312" s="46" t="s">
        <v>55310</v>
      </c>
      <c r="C7312" s="58" t="str">
        <f>"2253654X"</f>
        <v>2253654X</v>
      </c>
      <c r="D7312" s="58" t="str">
        <f>"22538070"</f>
        <v>22538070</v>
      </c>
      <c r="E7312" s="46" t="s">
        <v>1683</v>
      </c>
      <c r="F7312" s="46" t="s">
        <v>18439</v>
      </c>
      <c r="G7312" s="46" t="s">
        <v>50631</v>
      </c>
      <c r="H7312" s="48" t="s">
        <v>56716</v>
      </c>
      <c r="I7312" s="48" t="s">
        <v>50564</v>
      </c>
      <c r="J7312" s="48"/>
      <c r="K7312" s="50" t="s">
        <v>56716</v>
      </c>
      <c r="L7312" s="48" t="s">
        <v>56716</v>
      </c>
    </row>
    <row r="7313" spans="1:12" ht="11.25" x14ac:dyDescent="0.2">
      <c r="A7313" s="46" t="s">
        <v>8750</v>
      </c>
      <c r="B7313" s="46" t="s">
        <v>55311</v>
      </c>
      <c r="C7313" s="58" t="str">
        <f>"11353074"</f>
        <v>11353074</v>
      </c>
      <c r="D7313" s="58" t="str">
        <f>""</f>
        <v/>
      </c>
      <c r="E7313" s="46" t="s">
        <v>8752</v>
      </c>
      <c r="F7313" s="46" t="s">
        <v>18439</v>
      </c>
      <c r="G7313" s="46" t="s">
        <v>50631</v>
      </c>
      <c r="H7313" s="48" t="s">
        <v>56716</v>
      </c>
      <c r="I7313" s="48" t="s">
        <v>50564</v>
      </c>
      <c r="J7313" s="48"/>
      <c r="K7313" s="57"/>
      <c r="L7313" s="48"/>
    </row>
    <row r="7314" spans="1:12" ht="11.25" x14ac:dyDescent="0.2">
      <c r="A7314" s="46" t="s">
        <v>15387</v>
      </c>
      <c r="B7314" s="46" t="s">
        <v>55871</v>
      </c>
      <c r="C7314" s="58" t="str">
        <f>"21731292"</f>
        <v>21731292</v>
      </c>
      <c r="D7314" s="58" t="str">
        <f>""</f>
        <v/>
      </c>
      <c r="E7314" s="46" t="s">
        <v>56492</v>
      </c>
      <c r="F7314" s="46" t="s">
        <v>18439</v>
      </c>
      <c r="G7314" s="46" t="s">
        <v>50632</v>
      </c>
      <c r="H7314" s="48" t="s">
        <v>56716</v>
      </c>
      <c r="I7314" s="48" t="s">
        <v>50564</v>
      </c>
      <c r="J7314" s="48"/>
      <c r="K7314" s="57"/>
      <c r="L7314" s="48"/>
    </row>
    <row r="7315" spans="1:12" ht="11.25" x14ac:dyDescent="0.2">
      <c r="A7315" s="46" t="s">
        <v>10496</v>
      </c>
      <c r="B7315" s="46" t="s">
        <v>55312</v>
      </c>
      <c r="C7315" s="58" t="str">
        <f>"16966112"</f>
        <v>16966112</v>
      </c>
      <c r="D7315" s="58" t="str">
        <f>""</f>
        <v/>
      </c>
      <c r="E7315" s="46" t="s">
        <v>10498</v>
      </c>
      <c r="F7315" s="46" t="s">
        <v>18439</v>
      </c>
      <c r="G7315" s="46" t="s">
        <v>50632</v>
      </c>
      <c r="H7315" s="48" t="s">
        <v>56716</v>
      </c>
      <c r="I7315" s="48" t="s">
        <v>50564</v>
      </c>
      <c r="J7315" s="48"/>
      <c r="K7315" s="57"/>
      <c r="L7315" s="48"/>
    </row>
    <row r="7316" spans="1:12" ht="11.25" x14ac:dyDescent="0.2">
      <c r="A7316" s="46" t="s">
        <v>14345</v>
      </c>
      <c r="B7316" s="46" t="s">
        <v>55313</v>
      </c>
      <c r="C7316" s="58" t="str">
        <f>"16998855"</f>
        <v>16998855</v>
      </c>
      <c r="D7316" s="58" t="str">
        <f>"1988561X"</f>
        <v>1988561X</v>
      </c>
      <c r="E7316" s="46" t="s">
        <v>1683</v>
      </c>
      <c r="F7316" s="46" t="s">
        <v>18439</v>
      </c>
      <c r="G7316" s="46" t="s">
        <v>50632</v>
      </c>
      <c r="H7316" s="48" t="s">
        <v>56716</v>
      </c>
      <c r="I7316" s="48" t="s">
        <v>50564</v>
      </c>
      <c r="J7316" s="48"/>
      <c r="K7316" s="50" t="s">
        <v>56716</v>
      </c>
      <c r="L7316" s="48"/>
    </row>
    <row r="7317" spans="1:12" ht="11.25" x14ac:dyDescent="0.2">
      <c r="A7317" s="46" t="s">
        <v>3608</v>
      </c>
      <c r="B7317" s="46" t="s">
        <v>55314</v>
      </c>
      <c r="C7317" s="58" t="str">
        <f>"0034947X"</f>
        <v>0034947X</v>
      </c>
      <c r="D7317" s="58" t="str">
        <f>"15781542"</f>
        <v>15781542</v>
      </c>
      <c r="E7317" s="46" t="s">
        <v>3610</v>
      </c>
      <c r="F7317" s="46" t="s">
        <v>18439</v>
      </c>
      <c r="G7317" s="46" t="s">
        <v>50632</v>
      </c>
      <c r="H7317" s="48" t="s">
        <v>56716</v>
      </c>
      <c r="I7317" s="48" t="s">
        <v>50564</v>
      </c>
      <c r="J7317" s="48"/>
      <c r="K7317" s="57"/>
      <c r="L7317" s="48"/>
    </row>
    <row r="7318" spans="1:12" ht="11.25" x14ac:dyDescent="0.2">
      <c r="A7318" s="46" t="s">
        <v>4545</v>
      </c>
      <c r="B7318" s="46" t="s">
        <v>55315</v>
      </c>
      <c r="C7318" s="58" t="str">
        <f>"02143429"</f>
        <v>02143429</v>
      </c>
      <c r="D7318" s="58" t="str">
        <f>""</f>
        <v/>
      </c>
      <c r="E7318" s="46" t="s">
        <v>4547</v>
      </c>
      <c r="F7318" s="46" t="s">
        <v>18439</v>
      </c>
      <c r="G7318" s="46" t="s">
        <v>50631</v>
      </c>
      <c r="H7318" s="48" t="s">
        <v>56716</v>
      </c>
      <c r="I7318" s="48" t="s">
        <v>50564</v>
      </c>
      <c r="J7318" s="48"/>
      <c r="K7318" s="57"/>
      <c r="L7318" s="48" t="s">
        <v>56716</v>
      </c>
    </row>
    <row r="7319" spans="1:12" ht="11.25" x14ac:dyDescent="0.2">
      <c r="A7319" s="45" t="s">
        <v>46555</v>
      </c>
      <c r="B7319" s="45" t="s">
        <v>46557</v>
      </c>
      <c r="C7319" s="51" t="s">
        <v>46559</v>
      </c>
      <c r="D7319" s="51"/>
      <c r="E7319" s="45" t="s">
        <v>46560</v>
      </c>
      <c r="F7319" s="45" t="s">
        <v>18439</v>
      </c>
      <c r="G7319" s="45" t="s">
        <v>50633</v>
      </c>
      <c r="H7319" s="56"/>
      <c r="I7319" s="56" t="s">
        <v>50564</v>
      </c>
      <c r="J7319" s="56"/>
      <c r="K7319" s="57"/>
      <c r="L7319" s="56" t="s">
        <v>56716</v>
      </c>
    </row>
    <row r="7320" spans="1:12" ht="11.25" x14ac:dyDescent="0.2">
      <c r="A7320" s="45" t="s">
        <v>46562</v>
      </c>
      <c r="B7320" s="45" t="s">
        <v>46564</v>
      </c>
      <c r="C7320" s="51" t="s">
        <v>46565</v>
      </c>
      <c r="D7320" s="51"/>
      <c r="E7320" s="45" t="s">
        <v>46566</v>
      </c>
      <c r="F7320" s="45" t="s">
        <v>18439</v>
      </c>
      <c r="G7320" s="45" t="s">
        <v>56666</v>
      </c>
      <c r="H7320" s="56"/>
      <c r="I7320" s="56" t="s">
        <v>50564</v>
      </c>
      <c r="J7320" s="56"/>
      <c r="K7320" s="57"/>
      <c r="L7320" s="56" t="s">
        <v>56716</v>
      </c>
    </row>
    <row r="7321" spans="1:12" ht="11.25" x14ac:dyDescent="0.2">
      <c r="A7321" s="45" t="s">
        <v>46568</v>
      </c>
      <c r="B7321" s="45" t="s">
        <v>46570</v>
      </c>
      <c r="C7321" s="51" t="s">
        <v>46572</v>
      </c>
      <c r="D7321" s="51" t="s">
        <v>46571</v>
      </c>
      <c r="E7321" s="45" t="s">
        <v>46573</v>
      </c>
      <c r="F7321" s="45" t="s">
        <v>18058</v>
      </c>
      <c r="G7321" s="45" t="s">
        <v>50615</v>
      </c>
      <c r="H7321" s="56"/>
      <c r="I7321" s="56" t="s">
        <v>50564</v>
      </c>
      <c r="J7321" s="56"/>
      <c r="K7321" s="57"/>
      <c r="L7321" s="56" t="s">
        <v>56716</v>
      </c>
    </row>
    <row r="7322" spans="1:12" ht="11.25" x14ac:dyDescent="0.2">
      <c r="A7322" s="46" t="s">
        <v>17123</v>
      </c>
      <c r="B7322" s="46" t="s">
        <v>56493</v>
      </c>
      <c r="C7322" s="58" t="str">
        <f>""</f>
        <v/>
      </c>
      <c r="D7322" s="58" t="str">
        <f>"22552677"</f>
        <v>22552677</v>
      </c>
      <c r="E7322" s="46" t="s">
        <v>175</v>
      </c>
      <c r="F7322" s="46" t="s">
        <v>18439</v>
      </c>
      <c r="G7322" s="46" t="s">
        <v>50632</v>
      </c>
      <c r="H7322" s="48" t="s">
        <v>56716</v>
      </c>
      <c r="I7322" s="48" t="s">
        <v>50564</v>
      </c>
      <c r="J7322" s="48"/>
      <c r="K7322" s="50" t="s">
        <v>56716</v>
      </c>
      <c r="L7322" s="48"/>
    </row>
    <row r="7323" spans="1:12" ht="11.25" x14ac:dyDescent="0.2">
      <c r="A7323" s="46" t="s">
        <v>9103</v>
      </c>
      <c r="B7323" s="46" t="s">
        <v>55316</v>
      </c>
      <c r="C7323" s="58" t="str">
        <f>"11320249"</f>
        <v>11320249</v>
      </c>
      <c r="D7323" s="58" t="str">
        <f>""</f>
        <v/>
      </c>
      <c r="E7323" s="46" t="s">
        <v>9105</v>
      </c>
      <c r="F7323" s="46" t="s">
        <v>18439</v>
      </c>
      <c r="G7323" s="46" t="s">
        <v>50632</v>
      </c>
      <c r="H7323" s="48" t="s">
        <v>56716</v>
      </c>
      <c r="I7323" s="48" t="s">
        <v>50564</v>
      </c>
      <c r="J7323" s="48"/>
      <c r="K7323" s="57"/>
      <c r="L7323" s="48"/>
    </row>
    <row r="7324" spans="1:12" ht="11.25" x14ac:dyDescent="0.2">
      <c r="A7324" s="46" t="s">
        <v>7423</v>
      </c>
      <c r="B7324" s="46" t="s">
        <v>55317</v>
      </c>
      <c r="C7324" s="58" t="str">
        <f>"11301406"</f>
        <v>11301406</v>
      </c>
      <c r="D7324" s="58" t="str">
        <f>"21739188"</f>
        <v>21739188</v>
      </c>
      <c r="E7324" s="46" t="s">
        <v>7426</v>
      </c>
      <c r="F7324" s="46" t="s">
        <v>18439</v>
      </c>
      <c r="G7324" s="46" t="s">
        <v>50631</v>
      </c>
      <c r="H7324" s="48" t="s">
        <v>56716</v>
      </c>
      <c r="I7324" s="48" t="s">
        <v>50564</v>
      </c>
      <c r="J7324" s="48"/>
      <c r="K7324" s="50" t="s">
        <v>56716</v>
      </c>
      <c r="L7324" s="48" t="s">
        <v>56716</v>
      </c>
    </row>
    <row r="7325" spans="1:12" ht="11.25" x14ac:dyDescent="0.2">
      <c r="A7325" s="46" t="s">
        <v>13315</v>
      </c>
      <c r="B7325" s="46" t="s">
        <v>55318</v>
      </c>
      <c r="C7325" s="58" t="str">
        <f>"18878369"</f>
        <v>18878369</v>
      </c>
      <c r="D7325" s="58" t="str">
        <f>"19886705"</f>
        <v>19886705</v>
      </c>
      <c r="E7325" s="46" t="s">
        <v>1683</v>
      </c>
      <c r="F7325" s="46" t="s">
        <v>18439</v>
      </c>
      <c r="G7325" s="46" t="s">
        <v>50632</v>
      </c>
      <c r="H7325" s="48" t="s">
        <v>56716</v>
      </c>
      <c r="I7325" s="48" t="s">
        <v>50564</v>
      </c>
      <c r="J7325" s="48"/>
      <c r="K7325" s="57"/>
      <c r="L7325" s="48"/>
    </row>
    <row r="7326" spans="1:12" ht="11.25" x14ac:dyDescent="0.2">
      <c r="A7326" s="45" t="s">
        <v>46581</v>
      </c>
      <c r="B7326" s="45" t="s">
        <v>46583</v>
      </c>
      <c r="C7326" s="51" t="s">
        <v>46584</v>
      </c>
      <c r="D7326" s="51" t="s">
        <v>56667</v>
      </c>
      <c r="E7326" s="45" t="s">
        <v>46585</v>
      </c>
      <c r="F7326" s="45" t="s">
        <v>18058</v>
      </c>
      <c r="G7326" s="45" t="s">
        <v>50634</v>
      </c>
      <c r="H7326" s="56"/>
      <c r="I7326" s="56" t="s">
        <v>50564</v>
      </c>
      <c r="J7326" s="56"/>
      <c r="K7326" s="57"/>
      <c r="L7326" s="56" t="s">
        <v>56716</v>
      </c>
    </row>
    <row r="7327" spans="1:12" ht="11.25" x14ac:dyDescent="0.2">
      <c r="A7327" s="46" t="s">
        <v>12003</v>
      </c>
      <c r="B7327" s="46" t="s">
        <v>55319</v>
      </c>
      <c r="C7327" s="58" t="str">
        <f>"18564550"</f>
        <v>18564550</v>
      </c>
      <c r="D7327" s="58" t="str">
        <f>""</f>
        <v/>
      </c>
      <c r="E7327" s="46" t="s">
        <v>11773</v>
      </c>
      <c r="F7327" s="46" t="s">
        <v>21505</v>
      </c>
      <c r="G7327" s="46" t="s">
        <v>50631</v>
      </c>
      <c r="H7327" s="48" t="s">
        <v>56716</v>
      </c>
      <c r="I7327" s="48" t="s">
        <v>50564</v>
      </c>
      <c r="J7327" s="48"/>
      <c r="K7327" s="57"/>
      <c r="L7327" s="48"/>
    </row>
    <row r="7328" spans="1:12" ht="11.25" x14ac:dyDescent="0.2">
      <c r="A7328" s="45" t="s">
        <v>46587</v>
      </c>
      <c r="B7328" s="45" t="s">
        <v>46589</v>
      </c>
      <c r="C7328" s="51" t="s">
        <v>46591</v>
      </c>
      <c r="D7328" s="51" t="s">
        <v>46590</v>
      </c>
      <c r="E7328" s="45" t="s">
        <v>46592</v>
      </c>
      <c r="F7328" s="45" t="s">
        <v>46383</v>
      </c>
      <c r="G7328" s="45" t="s">
        <v>50633</v>
      </c>
      <c r="H7328" s="56"/>
      <c r="I7328" s="56" t="s">
        <v>50564</v>
      </c>
      <c r="J7328" s="56"/>
      <c r="K7328" s="57"/>
      <c r="L7328" s="56" t="s">
        <v>56716</v>
      </c>
    </row>
    <row r="7329" spans="1:12" ht="11.25" x14ac:dyDescent="0.2">
      <c r="A7329" s="45" t="s">
        <v>46595</v>
      </c>
      <c r="B7329" s="45" t="s">
        <v>46597</v>
      </c>
      <c r="C7329" s="51" t="s">
        <v>46599</v>
      </c>
      <c r="D7329" s="51"/>
      <c r="E7329" s="45" t="s">
        <v>46600</v>
      </c>
      <c r="F7329" s="45" t="s">
        <v>46601</v>
      </c>
      <c r="G7329" s="45" t="s">
        <v>50633</v>
      </c>
      <c r="H7329" s="56"/>
      <c r="I7329" s="56" t="s">
        <v>50564</v>
      </c>
      <c r="J7329" s="56"/>
      <c r="K7329" s="57"/>
      <c r="L7329" s="56" t="s">
        <v>56716</v>
      </c>
    </row>
    <row r="7330" spans="1:12" ht="11.25" x14ac:dyDescent="0.2">
      <c r="A7330" s="46" t="s">
        <v>11072</v>
      </c>
      <c r="B7330" s="46" t="s">
        <v>55320</v>
      </c>
      <c r="C7330" s="58" t="str">
        <f>"03275019"</f>
        <v>03275019</v>
      </c>
      <c r="D7330" s="58" t="str">
        <f>"18512135"</f>
        <v>18512135</v>
      </c>
      <c r="E7330" s="46" t="s">
        <v>11075</v>
      </c>
      <c r="F7330" s="46" t="s">
        <v>18169</v>
      </c>
      <c r="G7330" s="46" t="s">
        <v>50632</v>
      </c>
      <c r="H7330" s="48" t="s">
        <v>56716</v>
      </c>
      <c r="I7330" s="48" t="s">
        <v>50564</v>
      </c>
      <c r="J7330" s="48"/>
      <c r="K7330" s="57"/>
      <c r="L7330" s="48"/>
    </row>
    <row r="7331" spans="1:12" ht="11.25" x14ac:dyDescent="0.2">
      <c r="A7331" s="45" t="s">
        <v>46603</v>
      </c>
      <c r="B7331" s="45" t="s">
        <v>46605</v>
      </c>
      <c r="C7331" s="51" t="s">
        <v>46607</v>
      </c>
      <c r="D7331" s="51"/>
      <c r="E7331" s="45" t="s">
        <v>46608</v>
      </c>
      <c r="F7331" s="45" t="s">
        <v>18411</v>
      </c>
      <c r="G7331" s="45" t="s">
        <v>50633</v>
      </c>
      <c r="H7331" s="56"/>
      <c r="I7331" s="56" t="s">
        <v>50564</v>
      </c>
      <c r="J7331" s="56"/>
      <c r="K7331" s="57"/>
      <c r="L7331" s="56" t="s">
        <v>56716</v>
      </c>
    </row>
    <row r="7332" spans="1:12" ht="11.25" x14ac:dyDescent="0.2">
      <c r="A7332" s="45" t="s">
        <v>46611</v>
      </c>
      <c r="B7332" s="45" t="s">
        <v>46613</v>
      </c>
      <c r="C7332" s="51" t="s">
        <v>46615</v>
      </c>
      <c r="D7332" s="51"/>
      <c r="E7332" s="45" t="s">
        <v>46616</v>
      </c>
      <c r="F7332" s="45" t="s">
        <v>22017</v>
      </c>
      <c r="G7332" s="45" t="s">
        <v>50618</v>
      </c>
      <c r="H7332" s="56"/>
      <c r="I7332" s="56" t="s">
        <v>50564</v>
      </c>
      <c r="J7332" s="56"/>
      <c r="K7332" s="57"/>
      <c r="L7332" s="56" t="s">
        <v>56716</v>
      </c>
    </row>
    <row r="7333" spans="1:12" ht="11.25" x14ac:dyDescent="0.2">
      <c r="A7333" s="46" t="s">
        <v>3650</v>
      </c>
      <c r="B7333" s="46" t="s">
        <v>55321</v>
      </c>
      <c r="C7333" s="58" t="str">
        <f>"01851012"</f>
        <v>01851012</v>
      </c>
      <c r="D7333" s="58" t="str">
        <f>""</f>
        <v/>
      </c>
      <c r="E7333" s="46" t="s">
        <v>3652</v>
      </c>
      <c r="F7333" s="46" t="s">
        <v>18411</v>
      </c>
      <c r="G7333" s="46" t="s">
        <v>50632</v>
      </c>
      <c r="H7333" s="48" t="s">
        <v>56716</v>
      </c>
      <c r="I7333" s="48" t="s">
        <v>50564</v>
      </c>
      <c r="J7333" s="48"/>
      <c r="K7333" s="57"/>
      <c r="L7333" s="48"/>
    </row>
    <row r="7334" spans="1:12" ht="11.25" x14ac:dyDescent="0.2">
      <c r="A7334" s="46" t="s">
        <v>3646</v>
      </c>
      <c r="B7334" s="46" t="s">
        <v>55322</v>
      </c>
      <c r="C7334" s="58" t="str">
        <f>"00377740"</f>
        <v>00377740</v>
      </c>
      <c r="D7334" s="58" t="str">
        <f>""</f>
        <v/>
      </c>
      <c r="E7334" s="46" t="s">
        <v>3648</v>
      </c>
      <c r="F7334" s="46" t="s">
        <v>18411</v>
      </c>
      <c r="G7334" s="46" t="s">
        <v>50632</v>
      </c>
      <c r="H7334" s="48" t="s">
        <v>56716</v>
      </c>
      <c r="I7334" s="48" t="s">
        <v>50564</v>
      </c>
      <c r="J7334" s="48"/>
      <c r="K7334" s="57"/>
      <c r="L7334" s="48"/>
    </row>
    <row r="7335" spans="1:12" ht="11.25" x14ac:dyDescent="0.2">
      <c r="A7335" s="46" t="s">
        <v>12510</v>
      </c>
      <c r="B7335" s="46" t="s">
        <v>55323</v>
      </c>
      <c r="C7335" s="58" t="str">
        <f>"01882198"</f>
        <v>01882198</v>
      </c>
      <c r="D7335" s="58" t="str">
        <f>""</f>
        <v/>
      </c>
      <c r="E7335" s="46" t="s">
        <v>12512</v>
      </c>
      <c r="F7335" s="46" t="s">
        <v>18411</v>
      </c>
      <c r="G7335" s="46" t="s">
        <v>50632</v>
      </c>
      <c r="H7335" s="48" t="s">
        <v>56716</v>
      </c>
      <c r="I7335" s="48" t="s">
        <v>50564</v>
      </c>
      <c r="J7335" s="48"/>
      <c r="K7335" s="57"/>
      <c r="L7335" s="48"/>
    </row>
    <row r="7336" spans="1:12" ht="11.25" x14ac:dyDescent="0.2">
      <c r="A7336" s="46" t="s">
        <v>7204</v>
      </c>
      <c r="B7336" s="46" t="s">
        <v>55324</v>
      </c>
      <c r="C7336" s="58" t="str">
        <f>"10273956"</f>
        <v>10273956</v>
      </c>
      <c r="D7336" s="58" t="str">
        <f>""</f>
        <v/>
      </c>
      <c r="E7336" s="46" t="s">
        <v>7206</v>
      </c>
      <c r="F7336" s="46" t="s">
        <v>18411</v>
      </c>
      <c r="G7336" s="46" t="s">
        <v>50632</v>
      </c>
      <c r="H7336" s="48" t="s">
        <v>56716</v>
      </c>
      <c r="I7336" s="48" t="s">
        <v>50564</v>
      </c>
      <c r="J7336" s="48"/>
      <c r="K7336" s="57"/>
      <c r="L7336" s="48"/>
    </row>
    <row r="7337" spans="1:12" ht="11.25" x14ac:dyDescent="0.2">
      <c r="A7337" s="46" t="s">
        <v>12489</v>
      </c>
      <c r="B7337" s="46" t="s">
        <v>55325</v>
      </c>
      <c r="C7337" s="58" t="str">
        <f>"14050315"</f>
        <v>14050315</v>
      </c>
      <c r="D7337" s="58" t="str">
        <f>""</f>
        <v/>
      </c>
      <c r="E7337" s="46" t="s">
        <v>12491</v>
      </c>
      <c r="F7337" s="46" t="s">
        <v>18411</v>
      </c>
      <c r="G7337" s="46" t="s">
        <v>50632</v>
      </c>
      <c r="H7337" s="48" t="s">
        <v>56716</v>
      </c>
      <c r="I7337" s="48" t="s">
        <v>50564</v>
      </c>
      <c r="J7337" s="48"/>
      <c r="K7337" s="57"/>
      <c r="L7337" s="48"/>
    </row>
    <row r="7338" spans="1:12" ht="11.25" x14ac:dyDescent="0.2">
      <c r="A7338" s="46" t="s">
        <v>12492</v>
      </c>
      <c r="B7338" s="46" t="s">
        <v>55326</v>
      </c>
      <c r="C7338" s="58" t="str">
        <f>"16655044"</f>
        <v>16655044</v>
      </c>
      <c r="D7338" s="58" t="str">
        <f>""</f>
        <v/>
      </c>
      <c r="E7338" s="46" t="s">
        <v>12494</v>
      </c>
      <c r="F7338" s="46" t="s">
        <v>18411</v>
      </c>
      <c r="G7338" s="46" t="s">
        <v>50632</v>
      </c>
      <c r="H7338" s="48" t="s">
        <v>56716</v>
      </c>
      <c r="I7338" s="48" t="s">
        <v>50564</v>
      </c>
      <c r="J7338" s="48"/>
      <c r="K7338" s="57"/>
      <c r="L7338" s="48"/>
    </row>
    <row r="7339" spans="1:12" ht="11.25" x14ac:dyDescent="0.2">
      <c r="A7339" s="46" t="s">
        <v>3676</v>
      </c>
      <c r="B7339" s="46" t="s">
        <v>55327</v>
      </c>
      <c r="C7339" s="58" t="str">
        <f>"00350052"</f>
        <v>00350052</v>
      </c>
      <c r="D7339" s="58" t="str">
        <f>""</f>
        <v/>
      </c>
      <c r="E7339" s="46" t="s">
        <v>3678</v>
      </c>
      <c r="F7339" s="46" t="s">
        <v>18411</v>
      </c>
      <c r="G7339" s="46" t="s">
        <v>50632</v>
      </c>
      <c r="H7339" s="48" t="s">
        <v>56716</v>
      </c>
      <c r="I7339" s="48" t="s">
        <v>50564</v>
      </c>
      <c r="J7339" s="48"/>
      <c r="K7339" s="57"/>
      <c r="L7339" s="48"/>
    </row>
    <row r="7340" spans="1:12" ht="11.25" x14ac:dyDescent="0.2">
      <c r="A7340" s="46" t="s">
        <v>12458</v>
      </c>
      <c r="B7340" s="46" t="s">
        <v>55328</v>
      </c>
      <c r="C7340" s="58" t="str">
        <f>"01043579"</f>
        <v>01043579</v>
      </c>
      <c r="D7340" s="58" t="str">
        <f>"19844905"</f>
        <v>19844905</v>
      </c>
      <c r="E7340" s="46" t="s">
        <v>12461</v>
      </c>
      <c r="F7340" s="46" t="s">
        <v>18058</v>
      </c>
      <c r="G7340" s="46" t="s">
        <v>50614</v>
      </c>
      <c r="H7340" s="48" t="s">
        <v>56716</v>
      </c>
      <c r="I7340" s="48" t="s">
        <v>50564</v>
      </c>
      <c r="J7340" s="48"/>
      <c r="K7340" s="57"/>
      <c r="L7340" s="48"/>
    </row>
    <row r="7341" spans="1:12" ht="11.25" x14ac:dyDescent="0.2">
      <c r="A7341" s="45" t="s">
        <v>46618</v>
      </c>
      <c r="B7341" s="45" t="s">
        <v>46620</v>
      </c>
      <c r="C7341" s="51" t="s">
        <v>46623</v>
      </c>
      <c r="D7341" s="51" t="s">
        <v>46622</v>
      </c>
      <c r="E7341" s="45" t="s">
        <v>46624</v>
      </c>
      <c r="F7341" s="45" t="s">
        <v>17759</v>
      </c>
      <c r="G7341" s="45" t="s">
        <v>50584</v>
      </c>
      <c r="H7341" s="56"/>
      <c r="I7341" s="56" t="s">
        <v>50564</v>
      </c>
      <c r="J7341" s="56"/>
      <c r="K7341" s="57"/>
      <c r="L7341" s="56" t="s">
        <v>56716</v>
      </c>
    </row>
    <row r="7342" spans="1:12" ht="11.25" x14ac:dyDescent="0.2">
      <c r="A7342" s="46" t="s">
        <v>14482</v>
      </c>
      <c r="B7342" s="46" t="s">
        <v>55329</v>
      </c>
      <c r="C7342" s="58" t="str">
        <f>"01030582"</f>
        <v>01030582</v>
      </c>
      <c r="D7342" s="58" t="str">
        <f>""</f>
        <v/>
      </c>
      <c r="E7342" s="46" t="s">
        <v>14484</v>
      </c>
      <c r="F7342" s="46" t="s">
        <v>18058</v>
      </c>
      <c r="G7342" s="46" t="s">
        <v>50614</v>
      </c>
      <c r="H7342" s="48" t="s">
        <v>56716</v>
      </c>
      <c r="I7342" s="48" t="s">
        <v>50564</v>
      </c>
      <c r="J7342" s="48"/>
      <c r="K7342" s="50" t="s">
        <v>56716</v>
      </c>
      <c r="L7342" s="48" t="s">
        <v>56716</v>
      </c>
    </row>
    <row r="7343" spans="1:12" ht="11.25" x14ac:dyDescent="0.2">
      <c r="A7343" s="46" t="s">
        <v>56496</v>
      </c>
      <c r="B7343" s="46" t="s">
        <v>55330</v>
      </c>
      <c r="C7343" s="58" t="str">
        <f>"17264634"</f>
        <v>17264634</v>
      </c>
      <c r="D7343" s="58" t="str">
        <f>"17264642"</f>
        <v>17264642</v>
      </c>
      <c r="E7343" s="46" t="s">
        <v>13637</v>
      </c>
      <c r="F7343" s="46" t="s">
        <v>46455</v>
      </c>
      <c r="G7343" s="46" t="s">
        <v>50632</v>
      </c>
      <c r="H7343" s="48" t="s">
        <v>56716</v>
      </c>
      <c r="I7343" s="48" t="s">
        <v>50564</v>
      </c>
      <c r="J7343" s="48"/>
      <c r="K7343" s="57"/>
      <c r="L7343" s="48" t="s">
        <v>56716</v>
      </c>
    </row>
    <row r="7344" spans="1:12" ht="11.25" x14ac:dyDescent="0.2">
      <c r="A7344" s="46" t="s">
        <v>3683</v>
      </c>
      <c r="B7344" s="46" t="s">
        <v>55331</v>
      </c>
      <c r="C7344" s="58" t="str">
        <f>"08702551"</f>
        <v>08702551</v>
      </c>
      <c r="D7344" s="58" t="str">
        <f>""</f>
        <v/>
      </c>
      <c r="E7344" s="46" t="s">
        <v>3685</v>
      </c>
      <c r="F7344" s="46" t="s">
        <v>18249</v>
      </c>
      <c r="G7344" s="46" t="s">
        <v>50616</v>
      </c>
      <c r="H7344" s="48" t="s">
        <v>56716</v>
      </c>
      <c r="I7344" s="48" t="s">
        <v>50564</v>
      </c>
      <c r="J7344" s="48"/>
      <c r="K7344" s="50" t="s">
        <v>56716</v>
      </c>
      <c r="L7344" s="48" t="s">
        <v>56716</v>
      </c>
    </row>
    <row r="7345" spans="1:12" ht="11.25" x14ac:dyDescent="0.2">
      <c r="A7345" s="45" t="s">
        <v>46644</v>
      </c>
      <c r="B7345" s="45" t="s">
        <v>46646</v>
      </c>
      <c r="C7345" s="51" t="s">
        <v>46647</v>
      </c>
      <c r="D7345" s="51"/>
      <c r="E7345" s="45" t="s">
        <v>46648</v>
      </c>
      <c r="F7345" s="45" t="s">
        <v>18249</v>
      </c>
      <c r="G7345" s="45" t="s">
        <v>50615</v>
      </c>
      <c r="H7345" s="56"/>
      <c r="I7345" s="56" t="s">
        <v>50564</v>
      </c>
      <c r="J7345" s="56"/>
      <c r="K7345" s="57"/>
      <c r="L7345" s="56" t="s">
        <v>56716</v>
      </c>
    </row>
    <row r="7346" spans="1:12" ht="11.25" x14ac:dyDescent="0.2">
      <c r="A7346" s="46" t="s">
        <v>17125</v>
      </c>
      <c r="B7346" s="46" t="s">
        <v>56479</v>
      </c>
      <c r="C7346" s="58" t="str">
        <f>"16463439"</f>
        <v>16463439</v>
      </c>
      <c r="D7346" s="58" t="str">
        <f>""</f>
        <v/>
      </c>
      <c r="E7346" s="46" t="s">
        <v>175</v>
      </c>
      <c r="F7346" s="46" t="s">
        <v>18439</v>
      </c>
      <c r="G7346" s="46" t="s">
        <v>50614</v>
      </c>
      <c r="H7346" s="48" t="s">
        <v>56716</v>
      </c>
      <c r="I7346" s="48" t="s">
        <v>50564</v>
      </c>
      <c r="J7346" s="48"/>
      <c r="K7346" s="50" t="s">
        <v>56716</v>
      </c>
      <c r="L7346" s="48"/>
    </row>
    <row r="7347" spans="1:12" ht="11.25" x14ac:dyDescent="0.2">
      <c r="A7347" s="46" t="s">
        <v>15961</v>
      </c>
      <c r="B7347" s="46" t="s">
        <v>55332</v>
      </c>
      <c r="C7347" s="58" t="str">
        <f>"16462890"</f>
        <v>16462890</v>
      </c>
      <c r="D7347" s="58" t="str">
        <f>"16476700"</f>
        <v>16476700</v>
      </c>
      <c r="E7347" s="46" t="s">
        <v>175</v>
      </c>
      <c r="F7347" s="46" t="s">
        <v>18439</v>
      </c>
      <c r="G7347" s="46" t="s">
        <v>50616</v>
      </c>
      <c r="H7347" s="48" t="s">
        <v>56716</v>
      </c>
      <c r="I7347" s="48" t="s">
        <v>50564</v>
      </c>
      <c r="J7347" s="48" t="s">
        <v>56716</v>
      </c>
      <c r="K7347" s="50" t="s">
        <v>56716</v>
      </c>
      <c r="L7347" s="48"/>
    </row>
    <row r="7348" spans="1:12" ht="11.25" x14ac:dyDescent="0.2">
      <c r="A7348" s="46" t="s">
        <v>13938</v>
      </c>
      <c r="B7348" s="46" t="s">
        <v>55333</v>
      </c>
      <c r="C7348" s="58" t="str">
        <f>"08719721"</f>
        <v>08719721</v>
      </c>
      <c r="D7348" s="58" t="str">
        <f>""</f>
        <v/>
      </c>
      <c r="E7348" s="46" t="s">
        <v>13940</v>
      </c>
      <c r="F7348" s="46" t="s">
        <v>18249</v>
      </c>
      <c r="G7348" s="46" t="s">
        <v>50616</v>
      </c>
      <c r="H7348" s="48" t="s">
        <v>56716</v>
      </c>
      <c r="I7348" s="48" t="s">
        <v>50564</v>
      </c>
      <c r="J7348" s="48"/>
      <c r="K7348" s="57"/>
      <c r="L7348" s="48"/>
    </row>
    <row r="7349" spans="1:12" ht="11.25" x14ac:dyDescent="0.2">
      <c r="A7349" s="46" t="s">
        <v>8724</v>
      </c>
      <c r="B7349" s="46" t="s">
        <v>55334</v>
      </c>
      <c r="C7349" s="58" t="str">
        <f>"08732159"</f>
        <v>08732159</v>
      </c>
      <c r="D7349" s="58" t="str">
        <f>""</f>
        <v/>
      </c>
      <c r="E7349" s="46" t="s">
        <v>175</v>
      </c>
      <c r="F7349" s="46" t="s">
        <v>18249</v>
      </c>
      <c r="G7349" s="46" t="s">
        <v>50614</v>
      </c>
      <c r="H7349" s="48" t="s">
        <v>56716</v>
      </c>
      <c r="I7349" s="48" t="s">
        <v>50564</v>
      </c>
      <c r="J7349" s="48"/>
      <c r="K7349" s="50" t="s">
        <v>56716</v>
      </c>
      <c r="L7349" s="48" t="s">
        <v>56716</v>
      </c>
    </row>
    <row r="7350" spans="1:12" ht="11.25" x14ac:dyDescent="0.2">
      <c r="A7350" s="46" t="s">
        <v>15555</v>
      </c>
      <c r="B7350" s="46" t="s">
        <v>55872</v>
      </c>
      <c r="C7350" s="58" t="str">
        <f>"08709025"</f>
        <v>08709025</v>
      </c>
      <c r="D7350" s="58" t="str">
        <f>""</f>
        <v/>
      </c>
      <c r="E7350" s="46" t="s">
        <v>1683</v>
      </c>
      <c r="F7350" s="46" t="s">
        <v>18439</v>
      </c>
      <c r="G7350" s="46" t="s">
        <v>50614</v>
      </c>
      <c r="H7350" s="48" t="s">
        <v>56716</v>
      </c>
      <c r="I7350" s="48" t="s">
        <v>50564</v>
      </c>
      <c r="J7350" s="48"/>
      <c r="K7350" s="50" t="s">
        <v>56716</v>
      </c>
      <c r="L7350" s="48"/>
    </row>
    <row r="7351" spans="1:12" ht="11.25" x14ac:dyDescent="0.2">
      <c r="A7351" s="46" t="s">
        <v>12394</v>
      </c>
      <c r="B7351" s="46" t="s">
        <v>55335</v>
      </c>
      <c r="C7351" s="58" t="str">
        <f>"07980582"</f>
        <v>07980582</v>
      </c>
      <c r="D7351" s="58" t="str">
        <f>""</f>
        <v/>
      </c>
      <c r="E7351" s="46" t="s">
        <v>12396</v>
      </c>
      <c r="F7351" s="46" t="s">
        <v>21505</v>
      </c>
      <c r="G7351" s="46" t="s">
        <v>50632</v>
      </c>
      <c r="H7351" s="48" t="s">
        <v>56716</v>
      </c>
      <c r="I7351" s="48" t="s">
        <v>50564</v>
      </c>
      <c r="J7351" s="48"/>
      <c r="K7351" s="57"/>
      <c r="L7351" s="48"/>
    </row>
    <row r="7352" spans="1:12" ht="11.25" x14ac:dyDescent="0.2">
      <c r="A7352" s="46" t="s">
        <v>7706</v>
      </c>
      <c r="B7352" s="46" t="s">
        <v>18534</v>
      </c>
      <c r="C7352" s="58" t="str">
        <f>"13100505"</f>
        <v>13100505</v>
      </c>
      <c r="D7352" s="58" t="str">
        <f>""</f>
        <v/>
      </c>
      <c r="E7352" s="46" t="s">
        <v>452</v>
      </c>
      <c r="F7352" s="46" t="s">
        <v>19251</v>
      </c>
      <c r="G7352" s="46" t="s">
        <v>50578</v>
      </c>
      <c r="H7352" s="48" t="s">
        <v>56716</v>
      </c>
      <c r="I7352" s="48" t="s">
        <v>50564</v>
      </c>
      <c r="J7352" s="48"/>
      <c r="K7352" s="57"/>
      <c r="L7352" s="48"/>
    </row>
    <row r="7353" spans="1:12" ht="11.25" x14ac:dyDescent="0.2">
      <c r="A7353" s="45" t="s">
        <v>46655</v>
      </c>
      <c r="B7353" s="45" t="s">
        <v>46657</v>
      </c>
      <c r="C7353" s="51" t="s">
        <v>46659</v>
      </c>
      <c r="D7353" s="51"/>
      <c r="E7353" s="45" t="s">
        <v>46660</v>
      </c>
      <c r="F7353" s="45" t="s">
        <v>17929</v>
      </c>
      <c r="G7353" s="45" t="s">
        <v>50591</v>
      </c>
      <c r="H7353" s="56"/>
      <c r="I7353" s="56" t="s">
        <v>50564</v>
      </c>
      <c r="J7353" s="56"/>
      <c r="K7353" s="57"/>
      <c r="L7353" s="56" t="s">
        <v>56716</v>
      </c>
    </row>
    <row r="7354" spans="1:12" ht="11.25" x14ac:dyDescent="0.2">
      <c r="A7354" s="45" t="s">
        <v>46663</v>
      </c>
      <c r="B7354" s="45" t="s">
        <v>46665</v>
      </c>
      <c r="C7354" s="51" t="s">
        <v>46667</v>
      </c>
      <c r="D7354" s="51"/>
      <c r="E7354" s="45" t="s">
        <v>46668</v>
      </c>
      <c r="F7354" s="45" t="s">
        <v>20359</v>
      </c>
      <c r="G7354" s="45" t="s">
        <v>50591</v>
      </c>
      <c r="H7354" s="56"/>
      <c r="I7354" s="56" t="s">
        <v>50564</v>
      </c>
      <c r="J7354" s="56"/>
      <c r="K7354" s="57"/>
      <c r="L7354" s="56" t="s">
        <v>56716</v>
      </c>
    </row>
    <row r="7355" spans="1:12" ht="11.25" x14ac:dyDescent="0.2">
      <c r="A7355" s="46" t="s">
        <v>3644</v>
      </c>
      <c r="B7355" s="46" t="s">
        <v>55336</v>
      </c>
      <c r="C7355" s="58" t="str">
        <f>"00351334"</f>
        <v>00351334</v>
      </c>
      <c r="D7355" s="58" t="str">
        <f>""</f>
        <v/>
      </c>
      <c r="E7355" s="46" t="s">
        <v>3644</v>
      </c>
      <c r="F7355" s="46" t="s">
        <v>20359</v>
      </c>
      <c r="G7355" s="46" t="s">
        <v>50591</v>
      </c>
      <c r="H7355" s="48" t="s">
        <v>56716</v>
      </c>
      <c r="I7355" s="48" t="s">
        <v>50564</v>
      </c>
      <c r="J7355" s="48"/>
      <c r="K7355" s="57"/>
      <c r="L7355" s="48" t="s">
        <v>56716</v>
      </c>
    </row>
    <row r="7356" spans="1:12" ht="11.25" x14ac:dyDescent="0.2">
      <c r="A7356" s="45" t="s">
        <v>46677</v>
      </c>
      <c r="B7356" s="45" t="s">
        <v>46679</v>
      </c>
      <c r="C7356" s="51" t="s">
        <v>46681</v>
      </c>
      <c r="D7356" s="51"/>
      <c r="E7356" s="45" t="s">
        <v>20669</v>
      </c>
      <c r="F7356" s="45" t="s">
        <v>20359</v>
      </c>
      <c r="G7356" s="45" t="s">
        <v>50591</v>
      </c>
      <c r="H7356" s="56"/>
      <c r="I7356" s="56" t="s">
        <v>50564</v>
      </c>
      <c r="J7356" s="56"/>
      <c r="K7356" s="57"/>
      <c r="L7356" s="56" t="s">
        <v>56716</v>
      </c>
    </row>
    <row r="7357" spans="1:12" ht="11.25" x14ac:dyDescent="0.2">
      <c r="A7357" s="46" t="s">
        <v>3660</v>
      </c>
      <c r="B7357" s="46" t="s">
        <v>55337</v>
      </c>
      <c r="C7357" s="58" t="str">
        <f>"02488663"</f>
        <v>02488663</v>
      </c>
      <c r="D7357" s="58" t="str">
        <f>"17683122"</f>
        <v>17683122</v>
      </c>
      <c r="E7357" s="46" t="s">
        <v>85</v>
      </c>
      <c r="F7357" s="46" t="s">
        <v>20359</v>
      </c>
      <c r="G7357" s="46" t="s">
        <v>50591</v>
      </c>
      <c r="H7357" s="48" t="s">
        <v>56716</v>
      </c>
      <c r="I7357" s="48" t="s">
        <v>50564</v>
      </c>
      <c r="J7357" s="48"/>
      <c r="K7357" s="50" t="s">
        <v>56716</v>
      </c>
      <c r="L7357" s="48" t="s">
        <v>56716</v>
      </c>
    </row>
    <row r="7358" spans="1:12" ht="11.25" x14ac:dyDescent="0.2">
      <c r="A7358" s="46" t="s">
        <v>14542</v>
      </c>
      <c r="B7358" s="46" t="s">
        <v>55338</v>
      </c>
      <c r="C7358" s="58" t="str">
        <f>"18786529"</f>
        <v>18786529</v>
      </c>
      <c r="D7358" s="58" t="str">
        <f>""</f>
        <v/>
      </c>
      <c r="E7358" s="46" t="s">
        <v>85</v>
      </c>
      <c r="F7358" s="46" t="s">
        <v>20359</v>
      </c>
      <c r="G7358" s="46" t="s">
        <v>50591</v>
      </c>
      <c r="H7358" s="48" t="s">
        <v>56716</v>
      </c>
      <c r="I7358" s="48" t="s">
        <v>50564</v>
      </c>
      <c r="J7358" s="48"/>
      <c r="K7358" s="50" t="s">
        <v>56716</v>
      </c>
      <c r="L7358" s="48"/>
    </row>
    <row r="7359" spans="1:12" ht="11.25" x14ac:dyDescent="0.2">
      <c r="A7359" s="46" t="s">
        <v>3689</v>
      </c>
      <c r="B7359" s="46" t="s">
        <v>55339</v>
      </c>
      <c r="C7359" s="58" t="str">
        <f>"07618417"</f>
        <v>07618417</v>
      </c>
      <c r="D7359" s="58" t="str">
        <f>"17762561"</f>
        <v>17762561</v>
      </c>
      <c r="E7359" s="46" t="s">
        <v>85</v>
      </c>
      <c r="F7359" s="46" t="s">
        <v>20359</v>
      </c>
      <c r="G7359" s="46" t="s">
        <v>50591</v>
      </c>
      <c r="H7359" s="48" t="s">
        <v>56716</v>
      </c>
      <c r="I7359" s="48" t="s">
        <v>50564</v>
      </c>
      <c r="J7359" s="48"/>
      <c r="K7359" s="50" t="s">
        <v>56716</v>
      </c>
      <c r="L7359" s="48" t="s">
        <v>56716</v>
      </c>
    </row>
    <row r="7360" spans="1:12" ht="11.25" x14ac:dyDescent="0.2">
      <c r="A7360" s="45" t="s">
        <v>46695</v>
      </c>
      <c r="B7360" s="45" t="s">
        <v>46697</v>
      </c>
      <c r="C7360" s="51" t="s">
        <v>46700</v>
      </c>
      <c r="D7360" s="51" t="s">
        <v>46699</v>
      </c>
      <c r="E7360" s="45" t="s">
        <v>20669</v>
      </c>
      <c r="F7360" s="45" t="s">
        <v>20359</v>
      </c>
      <c r="G7360" s="45" t="s">
        <v>50590</v>
      </c>
      <c r="H7360" s="56"/>
      <c r="I7360" s="56" t="s">
        <v>50564</v>
      </c>
      <c r="J7360" s="56"/>
      <c r="K7360" s="57"/>
      <c r="L7360" s="56" t="s">
        <v>56716</v>
      </c>
    </row>
    <row r="7361" spans="1:12" ht="11.25" x14ac:dyDescent="0.2">
      <c r="A7361" s="45" t="s">
        <v>46702</v>
      </c>
      <c r="B7361" s="45" t="s">
        <v>46704</v>
      </c>
      <c r="C7361" s="51" t="s">
        <v>46706</v>
      </c>
      <c r="D7361" s="51" t="s">
        <v>56668</v>
      </c>
      <c r="E7361" s="45" t="s">
        <v>17783</v>
      </c>
      <c r="F7361" s="45" t="s">
        <v>20359</v>
      </c>
      <c r="G7361" s="45" t="s">
        <v>50591</v>
      </c>
      <c r="H7361" s="56"/>
      <c r="I7361" s="56" t="s">
        <v>50564</v>
      </c>
      <c r="J7361" s="56"/>
      <c r="K7361" s="57"/>
      <c r="L7361" s="56" t="s">
        <v>56716</v>
      </c>
    </row>
    <row r="7362" spans="1:12" ht="11.25" x14ac:dyDescent="0.2">
      <c r="A7362" s="46" t="s">
        <v>3624</v>
      </c>
      <c r="B7362" s="46" t="s">
        <v>55340</v>
      </c>
      <c r="C7362" s="58" t="str">
        <f>"03987620"</f>
        <v>03987620</v>
      </c>
      <c r="D7362" s="58" t="str">
        <f>"17730627"</f>
        <v>17730627</v>
      </c>
      <c r="E7362" s="46" t="s">
        <v>85</v>
      </c>
      <c r="F7362" s="46" t="s">
        <v>20359</v>
      </c>
      <c r="G7362" s="46" t="s">
        <v>50590</v>
      </c>
      <c r="H7362" s="48" t="s">
        <v>56716</v>
      </c>
      <c r="I7362" s="48" t="s">
        <v>50564</v>
      </c>
      <c r="J7362" s="48"/>
      <c r="K7362" s="50" t="s">
        <v>56716</v>
      </c>
      <c r="L7362" s="48" t="s">
        <v>56716</v>
      </c>
    </row>
    <row r="7363" spans="1:12" ht="11.25" x14ac:dyDescent="0.2">
      <c r="A7363" s="46" t="s">
        <v>3665</v>
      </c>
      <c r="B7363" s="46" t="s">
        <v>55341</v>
      </c>
      <c r="C7363" s="58" t="str">
        <f>"07618425"</f>
        <v>07618425</v>
      </c>
      <c r="D7363" s="58" t="str">
        <f>"17762588"</f>
        <v>17762588</v>
      </c>
      <c r="E7363" s="46" t="s">
        <v>85</v>
      </c>
      <c r="F7363" s="46" t="s">
        <v>20359</v>
      </c>
      <c r="G7363" s="46" t="s">
        <v>50591</v>
      </c>
      <c r="H7363" s="48" t="s">
        <v>56716</v>
      </c>
      <c r="I7363" s="48" t="s">
        <v>50564</v>
      </c>
      <c r="J7363" s="48"/>
      <c r="K7363" s="57"/>
      <c r="L7363" s="48" t="s">
        <v>56716</v>
      </c>
    </row>
    <row r="7364" spans="1:12" ht="11.25" x14ac:dyDescent="0.2">
      <c r="A7364" s="46" t="s">
        <v>13866</v>
      </c>
      <c r="B7364" s="46" t="s">
        <v>55342</v>
      </c>
      <c r="C7364" s="58" t="str">
        <f>"18771203"</f>
        <v>18771203</v>
      </c>
      <c r="D7364" s="58" t="str">
        <f>"1877122X"</f>
        <v>1877122X</v>
      </c>
      <c r="E7364" s="46" t="s">
        <v>85</v>
      </c>
      <c r="F7364" s="46" t="s">
        <v>20359</v>
      </c>
      <c r="G7364" s="46" t="s">
        <v>50591</v>
      </c>
      <c r="H7364" s="48" t="s">
        <v>56716</v>
      </c>
      <c r="I7364" s="48" t="s">
        <v>50564</v>
      </c>
      <c r="J7364" s="48"/>
      <c r="K7364" s="57"/>
      <c r="L7364" s="48"/>
    </row>
    <row r="7365" spans="1:12" ht="11.25" x14ac:dyDescent="0.2">
      <c r="A7365" s="45" t="s">
        <v>46720</v>
      </c>
      <c r="B7365" s="45" t="s">
        <v>46722</v>
      </c>
      <c r="C7365" s="51" t="s">
        <v>46724</v>
      </c>
      <c r="D7365" s="51"/>
      <c r="E7365" s="45" t="s">
        <v>56669</v>
      </c>
      <c r="F7365" s="45" t="s">
        <v>20359</v>
      </c>
      <c r="G7365" s="45" t="s">
        <v>50591</v>
      </c>
      <c r="H7365" s="56"/>
      <c r="I7365" s="56" t="s">
        <v>50564</v>
      </c>
      <c r="J7365" s="56"/>
      <c r="K7365" s="57"/>
      <c r="L7365" s="56" t="s">
        <v>56716</v>
      </c>
    </row>
    <row r="7366" spans="1:12" ht="11.25" x14ac:dyDescent="0.2">
      <c r="A7366" s="46" t="s">
        <v>14539</v>
      </c>
      <c r="B7366" s="46" t="s">
        <v>55343</v>
      </c>
      <c r="C7366" s="58" t="str">
        <f>"18789730"</f>
        <v>18789730</v>
      </c>
      <c r="D7366" s="58" t="str">
        <f>""</f>
        <v/>
      </c>
      <c r="E7366" s="46" t="s">
        <v>85</v>
      </c>
      <c r="F7366" s="46" t="s">
        <v>20359</v>
      </c>
      <c r="G7366" s="46" t="s">
        <v>50591</v>
      </c>
      <c r="H7366" s="48" t="s">
        <v>56716</v>
      </c>
      <c r="I7366" s="48" t="s">
        <v>50564</v>
      </c>
      <c r="J7366" s="48"/>
      <c r="K7366" s="50" t="s">
        <v>56716</v>
      </c>
      <c r="L7366" s="48"/>
    </row>
    <row r="7367" spans="1:12" ht="11.25" x14ac:dyDescent="0.2">
      <c r="A7367" s="46" t="s">
        <v>17204</v>
      </c>
      <c r="B7367" s="46" t="s">
        <v>55344</v>
      </c>
      <c r="C7367" s="58" t="str">
        <f>"22134670"</f>
        <v>22134670</v>
      </c>
      <c r="D7367" s="58" t="str">
        <f>"22134689"</f>
        <v>22134689</v>
      </c>
      <c r="E7367" s="46" t="s">
        <v>85</v>
      </c>
      <c r="F7367" s="46" t="s">
        <v>20359</v>
      </c>
      <c r="G7367" s="46" t="s">
        <v>50591</v>
      </c>
      <c r="H7367" s="48" t="s">
        <v>56716</v>
      </c>
      <c r="I7367" s="48" t="s">
        <v>50564</v>
      </c>
      <c r="J7367" s="48"/>
      <c r="K7367" s="50" t="s">
        <v>56716</v>
      </c>
      <c r="L7367" s="48"/>
    </row>
    <row r="7368" spans="1:12" ht="11.25" x14ac:dyDescent="0.2">
      <c r="A7368" s="46" t="s">
        <v>3614</v>
      </c>
      <c r="B7368" s="46" t="s">
        <v>55345</v>
      </c>
      <c r="C7368" s="58" t="str">
        <f>"00352640"</f>
        <v>00352640</v>
      </c>
      <c r="D7368" s="58" t="str">
        <f>""</f>
        <v/>
      </c>
      <c r="E7368" s="46" t="s">
        <v>3616</v>
      </c>
      <c r="F7368" s="46" t="s">
        <v>20359</v>
      </c>
      <c r="G7368" s="46" t="s">
        <v>50591</v>
      </c>
      <c r="H7368" s="48" t="s">
        <v>56716</v>
      </c>
      <c r="I7368" s="48" t="s">
        <v>50564</v>
      </c>
      <c r="J7368" s="48"/>
      <c r="K7368" s="57"/>
      <c r="L7368" s="48" t="s">
        <v>56716</v>
      </c>
    </row>
    <row r="7369" spans="1:12" ht="11.25" x14ac:dyDescent="0.2">
      <c r="A7369" s="46" t="s">
        <v>14348</v>
      </c>
      <c r="B7369" s="46" t="s">
        <v>56466</v>
      </c>
      <c r="C7369" s="58" t="str">
        <f>"18786227"</f>
        <v>18786227</v>
      </c>
      <c r="D7369" s="58" t="str">
        <f>"22120920"</f>
        <v>22120920</v>
      </c>
      <c r="E7369" s="46" t="s">
        <v>85</v>
      </c>
      <c r="F7369" s="46" t="s">
        <v>20359</v>
      </c>
      <c r="G7369" s="46" t="s">
        <v>50591</v>
      </c>
      <c r="H7369" s="48" t="s">
        <v>56716</v>
      </c>
      <c r="I7369" s="48" t="s">
        <v>50564</v>
      </c>
      <c r="J7369" s="48"/>
      <c r="K7369" s="50" t="s">
        <v>56716</v>
      </c>
      <c r="L7369" s="48"/>
    </row>
    <row r="7370" spans="1:12" ht="11.25" x14ac:dyDescent="0.2">
      <c r="A7370" s="46" t="s">
        <v>13391</v>
      </c>
      <c r="B7370" s="46" t="s">
        <v>55346</v>
      </c>
      <c r="C7370" s="58" t="str">
        <f>"18770320"</f>
        <v>18770320</v>
      </c>
      <c r="D7370" s="58" t="str">
        <f>"18770312"</f>
        <v>18770312</v>
      </c>
      <c r="E7370" s="46" t="s">
        <v>85</v>
      </c>
      <c r="F7370" s="46" t="s">
        <v>20359</v>
      </c>
      <c r="G7370" s="46" t="s">
        <v>50591</v>
      </c>
      <c r="H7370" s="48" t="s">
        <v>56716</v>
      </c>
      <c r="I7370" s="48" t="s">
        <v>50564</v>
      </c>
      <c r="J7370" s="48"/>
      <c r="K7370" s="50" t="s">
        <v>56716</v>
      </c>
      <c r="L7370" s="48"/>
    </row>
    <row r="7371" spans="1:12" ht="11.25" x14ac:dyDescent="0.2">
      <c r="A7371" s="46" t="s">
        <v>12781</v>
      </c>
      <c r="B7371" s="46" t="s">
        <v>55347</v>
      </c>
      <c r="C7371" s="58" t="str">
        <f>"18762204"</f>
        <v>18762204</v>
      </c>
      <c r="D7371" s="58" t="str">
        <f>"18762212"</f>
        <v>18762212</v>
      </c>
      <c r="E7371" s="46" t="s">
        <v>85</v>
      </c>
      <c r="F7371" s="46" t="s">
        <v>20359</v>
      </c>
      <c r="G7371" s="46" t="s">
        <v>50591</v>
      </c>
      <c r="H7371" s="48" t="s">
        <v>56716</v>
      </c>
      <c r="I7371" s="48" t="s">
        <v>50564</v>
      </c>
      <c r="J7371" s="48"/>
      <c r="K7371" s="50" t="s">
        <v>56716</v>
      </c>
      <c r="L7371" s="48"/>
    </row>
    <row r="7372" spans="1:12" ht="11.25" x14ac:dyDescent="0.2">
      <c r="A7372" s="46" t="s">
        <v>3654</v>
      </c>
      <c r="B7372" s="46" t="s">
        <v>55348</v>
      </c>
      <c r="C7372" s="58" t="str">
        <f>"00353639"</f>
        <v>00353639</v>
      </c>
      <c r="D7372" s="58" t="str">
        <f>""</f>
        <v/>
      </c>
      <c r="E7372" s="46" t="s">
        <v>3656</v>
      </c>
      <c r="F7372" s="46" t="s">
        <v>17929</v>
      </c>
      <c r="G7372" s="46" t="s">
        <v>50591</v>
      </c>
      <c r="H7372" s="48" t="s">
        <v>56716</v>
      </c>
      <c r="I7372" s="48" t="s">
        <v>50564</v>
      </c>
      <c r="J7372" s="48"/>
      <c r="K7372" s="57"/>
      <c r="L7372" s="48" t="s">
        <v>56716</v>
      </c>
    </row>
    <row r="7373" spans="1:12" ht="11.25" x14ac:dyDescent="0.2">
      <c r="A7373" s="46" t="s">
        <v>3663</v>
      </c>
      <c r="B7373" s="46" t="s">
        <v>55349</v>
      </c>
      <c r="C7373" s="58" t="str">
        <f>"0370629X"</f>
        <v>0370629X</v>
      </c>
      <c r="D7373" s="58" t="str">
        <f>""</f>
        <v/>
      </c>
      <c r="E7373" s="46" t="s">
        <v>3663</v>
      </c>
      <c r="F7373" s="46" t="s">
        <v>17929</v>
      </c>
      <c r="G7373" s="46" t="s">
        <v>50591</v>
      </c>
      <c r="H7373" s="48" t="s">
        <v>56716</v>
      </c>
      <c r="I7373" s="48" t="s">
        <v>50564</v>
      </c>
      <c r="J7373" s="48"/>
      <c r="K7373" s="57"/>
      <c r="L7373" s="48" t="s">
        <v>56716</v>
      </c>
    </row>
    <row r="7374" spans="1:12" ht="11.25" x14ac:dyDescent="0.2">
      <c r="A7374" s="46" t="s">
        <v>11602</v>
      </c>
      <c r="B7374" s="46" t="s">
        <v>55350</v>
      </c>
      <c r="C7374" s="58" t="str">
        <f>"16609379"</f>
        <v>16609379</v>
      </c>
      <c r="D7374" s="58" t="str">
        <f>""</f>
        <v/>
      </c>
      <c r="E7374" s="46" t="s">
        <v>5160</v>
      </c>
      <c r="F7374" s="46" t="s">
        <v>18123</v>
      </c>
      <c r="G7374" s="46" t="s">
        <v>50591</v>
      </c>
      <c r="H7374" s="48" t="s">
        <v>56716</v>
      </c>
      <c r="I7374" s="48" t="s">
        <v>50564</v>
      </c>
      <c r="J7374" s="48"/>
      <c r="K7374" s="57"/>
      <c r="L7374" s="48" t="s">
        <v>56716</v>
      </c>
    </row>
    <row r="7375" spans="1:12" ht="11.25" x14ac:dyDescent="0.2">
      <c r="A7375" s="46" t="s">
        <v>3601</v>
      </c>
      <c r="B7375" s="46" t="s">
        <v>55295</v>
      </c>
      <c r="C7375" s="58" t="str">
        <f>"00353787"</f>
        <v>00353787</v>
      </c>
      <c r="D7375" s="58" t="str">
        <f>""</f>
        <v/>
      </c>
      <c r="E7375" s="46" t="s">
        <v>85</v>
      </c>
      <c r="F7375" s="46" t="s">
        <v>20359</v>
      </c>
      <c r="G7375" s="46" t="s">
        <v>50590</v>
      </c>
      <c r="H7375" s="48" t="s">
        <v>56716</v>
      </c>
      <c r="I7375" s="48" t="s">
        <v>50564</v>
      </c>
      <c r="J7375" s="48"/>
      <c r="K7375" s="50" t="s">
        <v>56716</v>
      </c>
      <c r="L7375" s="48" t="s">
        <v>56716</v>
      </c>
    </row>
    <row r="7376" spans="1:12" ht="11.25" x14ac:dyDescent="0.2">
      <c r="A7376" s="45" t="s">
        <v>46757</v>
      </c>
      <c r="B7376" s="45" t="s">
        <v>46759</v>
      </c>
      <c r="C7376" s="51" t="s">
        <v>46761</v>
      </c>
      <c r="D7376" s="51" t="s">
        <v>46760</v>
      </c>
      <c r="E7376" s="45" t="s">
        <v>46762</v>
      </c>
      <c r="F7376" s="45" t="s">
        <v>20359</v>
      </c>
      <c r="G7376" s="45" t="s">
        <v>56666</v>
      </c>
      <c r="H7376" s="56"/>
      <c r="I7376" s="56" t="s">
        <v>50564</v>
      </c>
      <c r="J7376" s="56"/>
      <c r="K7376" s="57"/>
      <c r="L7376" s="56" t="s">
        <v>56716</v>
      </c>
    </row>
    <row r="7377" spans="1:12" ht="11.25" x14ac:dyDescent="0.2">
      <c r="A7377" s="46" t="s">
        <v>4542</v>
      </c>
      <c r="B7377" s="46" t="s">
        <v>55351</v>
      </c>
      <c r="C7377" s="58" t="str">
        <f>"0889857X"</f>
        <v>0889857X</v>
      </c>
      <c r="D7377" s="58" t="str">
        <f>"15583163"</f>
        <v>15583163</v>
      </c>
      <c r="E7377" s="46" t="s">
        <v>303</v>
      </c>
      <c r="F7377" s="46" t="s">
        <v>17759</v>
      </c>
      <c r="G7377" s="46" t="s">
        <v>50584</v>
      </c>
      <c r="H7377" s="48" t="s">
        <v>56716</v>
      </c>
      <c r="I7377" s="48" t="s">
        <v>50564</v>
      </c>
      <c r="J7377" s="48" t="s">
        <v>56716</v>
      </c>
      <c r="K7377" s="50" t="s">
        <v>56716</v>
      </c>
      <c r="L7377" s="48" t="s">
        <v>56716</v>
      </c>
    </row>
    <row r="7378" spans="1:12" ht="11.25" x14ac:dyDescent="0.2">
      <c r="A7378" s="46" t="s">
        <v>6087</v>
      </c>
      <c r="B7378" s="46" t="s">
        <v>6087</v>
      </c>
      <c r="C7378" s="58" t="str">
        <f>"12101931"</f>
        <v>12101931</v>
      </c>
      <c r="D7378" s="58" t="str">
        <f>""</f>
        <v/>
      </c>
      <c r="E7378" s="46" t="s">
        <v>3076</v>
      </c>
      <c r="F7378" s="46" t="s">
        <v>18577</v>
      </c>
      <c r="G7378" s="46" t="s">
        <v>50628</v>
      </c>
      <c r="H7378" s="48" t="s">
        <v>56716</v>
      </c>
      <c r="I7378" s="48" t="s">
        <v>50564</v>
      </c>
      <c r="J7378" s="48"/>
      <c r="K7378" s="57"/>
      <c r="L7378" s="48"/>
    </row>
    <row r="7379" spans="1:12" ht="11.25" x14ac:dyDescent="0.2">
      <c r="A7379" s="46" t="s">
        <v>8333</v>
      </c>
      <c r="B7379" s="46" t="s">
        <v>18534</v>
      </c>
      <c r="C7379" s="58" t="str">
        <f>"14620324"</f>
        <v>14620324</v>
      </c>
      <c r="D7379" s="58" t="str">
        <f>"14620332"</f>
        <v>14620332</v>
      </c>
      <c r="E7379" s="46" t="s">
        <v>55</v>
      </c>
      <c r="F7379" s="46" t="s">
        <v>50646</v>
      </c>
      <c r="G7379" s="46" t="s">
        <v>50584</v>
      </c>
      <c r="H7379" s="48" t="s">
        <v>56716</v>
      </c>
      <c r="I7379" s="48" t="s">
        <v>50564</v>
      </c>
      <c r="J7379" s="48" t="s">
        <v>56716</v>
      </c>
      <c r="K7379" s="57"/>
      <c r="L7379" s="48" t="s">
        <v>56716</v>
      </c>
    </row>
    <row r="7380" spans="1:12" ht="11.25" x14ac:dyDescent="0.2">
      <c r="A7380" s="46" t="s">
        <v>3635</v>
      </c>
      <c r="B7380" s="46" t="s">
        <v>55352</v>
      </c>
      <c r="C7380" s="58" t="str">
        <f>"01728172"</f>
        <v>01728172</v>
      </c>
      <c r="D7380" s="58" t="str">
        <f>"1437160X"</f>
        <v>1437160X</v>
      </c>
      <c r="E7380" s="46" t="s">
        <v>167</v>
      </c>
      <c r="F7380" s="46" t="s">
        <v>18158</v>
      </c>
      <c r="G7380" s="46" t="s">
        <v>50584</v>
      </c>
      <c r="H7380" s="48" t="s">
        <v>56716</v>
      </c>
      <c r="I7380" s="48" t="s">
        <v>50564</v>
      </c>
      <c r="J7380" s="48" t="s">
        <v>56716</v>
      </c>
      <c r="K7380" s="50" t="s">
        <v>56716</v>
      </c>
      <c r="L7380" s="48" t="s">
        <v>56716</v>
      </c>
    </row>
    <row r="7381" spans="1:12" ht="11.25" x14ac:dyDescent="0.2">
      <c r="A7381" s="46" t="s">
        <v>14289</v>
      </c>
      <c r="B7381" s="46" t="s">
        <v>55353</v>
      </c>
      <c r="C7381" s="58" t="str">
        <f>"20367511"</f>
        <v>20367511</v>
      </c>
      <c r="D7381" s="58" t="str">
        <f>"2036752X"</f>
        <v>2036752X</v>
      </c>
      <c r="E7381" s="46" t="s">
        <v>1949</v>
      </c>
      <c r="F7381" s="46" t="s">
        <v>17991</v>
      </c>
      <c r="G7381" s="46" t="s">
        <v>50584</v>
      </c>
      <c r="H7381" s="48" t="s">
        <v>56716</v>
      </c>
      <c r="I7381" s="48" t="s">
        <v>50564</v>
      </c>
      <c r="J7381" s="48"/>
      <c r="K7381" s="57"/>
      <c r="L7381" s="48"/>
    </row>
    <row r="7382" spans="1:12" ht="11.25" x14ac:dyDescent="0.2">
      <c r="A7382" s="45" t="s">
        <v>46780</v>
      </c>
      <c r="B7382" s="45" t="s">
        <v>46780</v>
      </c>
      <c r="C7382" s="51" t="s">
        <v>46783</v>
      </c>
      <c r="D7382" s="51"/>
      <c r="E7382" s="45" t="s">
        <v>46784</v>
      </c>
      <c r="F7382" s="45" t="s">
        <v>18001</v>
      </c>
      <c r="G7382" s="45" t="s">
        <v>50584</v>
      </c>
      <c r="H7382" s="56"/>
      <c r="I7382" s="56" t="s">
        <v>50564</v>
      </c>
      <c r="J7382" s="56"/>
      <c r="K7382" s="57"/>
      <c r="L7382" s="56" t="s">
        <v>56716</v>
      </c>
    </row>
    <row r="7383" spans="1:12" ht="11.25" x14ac:dyDescent="0.2">
      <c r="A7383" s="45" t="s">
        <v>46786</v>
      </c>
      <c r="B7383" s="45" t="s">
        <v>46788</v>
      </c>
      <c r="C7383" s="51" t="s">
        <v>46789</v>
      </c>
      <c r="D7383" s="51"/>
      <c r="E7383" s="45" t="s">
        <v>46784</v>
      </c>
      <c r="F7383" s="45" t="s">
        <v>18001</v>
      </c>
      <c r="G7383" s="45" t="s">
        <v>50584</v>
      </c>
      <c r="H7383" s="56"/>
      <c r="I7383" s="56" t="s">
        <v>50564</v>
      </c>
      <c r="J7383" s="56"/>
      <c r="K7383" s="57"/>
      <c r="L7383" s="56" t="s">
        <v>56716</v>
      </c>
    </row>
    <row r="7384" spans="1:12" ht="11.25" x14ac:dyDescent="0.2">
      <c r="A7384" s="45" t="s">
        <v>46791</v>
      </c>
      <c r="B7384" s="45" t="s">
        <v>46793</v>
      </c>
      <c r="C7384" s="51" t="s">
        <v>46796</v>
      </c>
      <c r="D7384" s="51" t="s">
        <v>46795</v>
      </c>
      <c r="E7384" s="45" t="s">
        <v>50667</v>
      </c>
      <c r="F7384" s="45" t="s">
        <v>17759</v>
      </c>
      <c r="G7384" s="45" t="s">
        <v>50584</v>
      </c>
      <c r="H7384" s="56"/>
      <c r="I7384" s="56" t="s">
        <v>50564</v>
      </c>
      <c r="J7384" s="56"/>
      <c r="K7384" s="57"/>
      <c r="L7384" s="56" t="s">
        <v>56716</v>
      </c>
    </row>
    <row r="7385" spans="1:12" ht="11.25" x14ac:dyDescent="0.2">
      <c r="A7385" s="46" t="s">
        <v>5267</v>
      </c>
      <c r="B7385" s="46" t="s">
        <v>55354</v>
      </c>
      <c r="C7385" s="58" t="str">
        <f>"1120379X"</f>
        <v>1120379X</v>
      </c>
      <c r="D7385" s="58" t="str">
        <f>"20382480"</f>
        <v>20382480</v>
      </c>
      <c r="E7385" s="46" t="s">
        <v>3695</v>
      </c>
      <c r="F7385" s="46" t="s">
        <v>17991</v>
      </c>
      <c r="G7385" s="46" t="s">
        <v>50603</v>
      </c>
      <c r="H7385" s="48" t="s">
        <v>56716</v>
      </c>
      <c r="I7385" s="48" t="s">
        <v>50564</v>
      </c>
      <c r="J7385" s="48"/>
      <c r="K7385" s="57"/>
      <c r="L7385" s="48"/>
    </row>
    <row r="7386" spans="1:12" ht="11.25" x14ac:dyDescent="0.2">
      <c r="A7386" s="45" t="s">
        <v>46798</v>
      </c>
      <c r="B7386" s="45" t="s">
        <v>46800</v>
      </c>
      <c r="C7386" s="51" t="s">
        <v>46801</v>
      </c>
      <c r="D7386" s="51"/>
      <c r="E7386" s="45" t="s">
        <v>46802</v>
      </c>
      <c r="F7386" s="45" t="s">
        <v>18242</v>
      </c>
      <c r="G7386" s="45" t="s">
        <v>50605</v>
      </c>
      <c r="H7386" s="56"/>
      <c r="I7386" s="56" t="s">
        <v>50564</v>
      </c>
      <c r="J7386" s="56"/>
      <c r="K7386" s="57"/>
      <c r="L7386" s="56" t="s">
        <v>56716</v>
      </c>
    </row>
    <row r="7387" spans="1:12" ht="11.25" x14ac:dyDescent="0.2">
      <c r="A7387" s="45" t="s">
        <v>46804</v>
      </c>
      <c r="B7387" s="45" t="s">
        <v>46806</v>
      </c>
      <c r="C7387" s="51" t="s">
        <v>46807</v>
      </c>
      <c r="D7387" s="51"/>
      <c r="E7387" s="45" t="s">
        <v>46808</v>
      </c>
      <c r="F7387" s="45" t="s">
        <v>18242</v>
      </c>
      <c r="G7387" s="45" t="s">
        <v>50605</v>
      </c>
      <c r="H7387" s="56"/>
      <c r="I7387" s="56" t="s">
        <v>50564</v>
      </c>
      <c r="J7387" s="56"/>
      <c r="K7387" s="57"/>
      <c r="L7387" s="56" t="s">
        <v>56716</v>
      </c>
    </row>
    <row r="7388" spans="1:12" ht="11.25" x14ac:dyDescent="0.2">
      <c r="A7388" s="45" t="s">
        <v>46823</v>
      </c>
      <c r="B7388" s="45" t="s">
        <v>46825</v>
      </c>
      <c r="C7388" s="51" t="s">
        <v>46827</v>
      </c>
      <c r="D7388" s="51" t="s">
        <v>46826</v>
      </c>
      <c r="E7388" s="45" t="s">
        <v>24794</v>
      </c>
      <c r="F7388" s="45" t="s">
        <v>17759</v>
      </c>
      <c r="G7388" s="45" t="s">
        <v>50584</v>
      </c>
      <c r="H7388" s="56"/>
      <c r="I7388" s="56" t="s">
        <v>50564</v>
      </c>
      <c r="J7388" s="56"/>
      <c r="K7388" s="57"/>
      <c r="L7388" s="56" t="s">
        <v>56716</v>
      </c>
    </row>
    <row r="7389" spans="1:12" ht="11.25" x14ac:dyDescent="0.2">
      <c r="A7389" s="46" t="s">
        <v>14485</v>
      </c>
      <c r="B7389" s="46" t="s">
        <v>55355</v>
      </c>
      <c r="C7389" s="58" t="str">
        <f>""</f>
        <v/>
      </c>
      <c r="D7389" s="58" t="str">
        <f>"11791594"</f>
        <v>11791594</v>
      </c>
      <c r="E7389" s="46" t="s">
        <v>11078</v>
      </c>
      <c r="F7389" s="46" t="s">
        <v>50646</v>
      </c>
      <c r="G7389" s="46" t="s">
        <v>50584</v>
      </c>
      <c r="H7389" s="48" t="s">
        <v>56716</v>
      </c>
      <c r="I7389" s="48" t="s">
        <v>50564</v>
      </c>
      <c r="J7389" s="48"/>
      <c r="K7389" s="57"/>
      <c r="L7389" s="48"/>
    </row>
    <row r="7390" spans="1:12" ht="11.25" x14ac:dyDescent="0.2">
      <c r="A7390" s="46" t="s">
        <v>3696</v>
      </c>
      <c r="B7390" s="46" t="s">
        <v>55356</v>
      </c>
      <c r="C7390" s="58" t="str">
        <f>"00356484"</f>
        <v>00356484</v>
      </c>
      <c r="D7390" s="58" t="str">
        <f>"20382502"</f>
        <v>20382502</v>
      </c>
      <c r="E7390" s="46" t="s">
        <v>3695</v>
      </c>
      <c r="F7390" s="46" t="s">
        <v>17991</v>
      </c>
      <c r="G7390" s="46" t="s">
        <v>50603</v>
      </c>
      <c r="H7390" s="48" t="s">
        <v>56716</v>
      </c>
      <c r="I7390" s="48" t="s">
        <v>50564</v>
      </c>
      <c r="J7390" s="48"/>
      <c r="K7390" s="57"/>
      <c r="L7390" s="48" t="s">
        <v>56716</v>
      </c>
    </row>
    <row r="7391" spans="1:12" ht="11.25" x14ac:dyDescent="0.2">
      <c r="A7391" s="46" t="s">
        <v>11589</v>
      </c>
      <c r="B7391" s="46" t="s">
        <v>55357</v>
      </c>
      <c r="C7391" s="58" t="str">
        <f>"1825859X"</f>
        <v>1825859X</v>
      </c>
      <c r="D7391" s="58" t="str">
        <f>"20396821"</f>
        <v>20396821</v>
      </c>
      <c r="E7391" s="46" t="s">
        <v>55895</v>
      </c>
      <c r="F7391" s="46" t="s">
        <v>17991</v>
      </c>
      <c r="G7391" s="46" t="s">
        <v>50603</v>
      </c>
      <c r="H7391" s="48" t="s">
        <v>56716</v>
      </c>
      <c r="I7391" s="48" t="s">
        <v>50564</v>
      </c>
      <c r="J7391" s="48"/>
      <c r="K7391" s="57"/>
      <c r="L7391" s="48"/>
    </row>
    <row r="7392" spans="1:12" ht="11.25" x14ac:dyDescent="0.2">
      <c r="A7392" s="46" t="s">
        <v>10638</v>
      </c>
      <c r="B7392" s="46" t="s">
        <v>55358</v>
      </c>
      <c r="C7392" s="58" t="str">
        <f>"20350678"</f>
        <v>20350678</v>
      </c>
      <c r="D7392" s="58" t="str">
        <f>""</f>
        <v/>
      </c>
      <c r="E7392" s="46" t="s">
        <v>6693</v>
      </c>
      <c r="F7392" s="46" t="s">
        <v>17991</v>
      </c>
      <c r="G7392" s="46" t="s">
        <v>50603</v>
      </c>
      <c r="H7392" s="48" t="s">
        <v>56716</v>
      </c>
      <c r="I7392" s="48" t="s">
        <v>50564</v>
      </c>
      <c r="J7392" s="48"/>
      <c r="K7392" s="57"/>
      <c r="L7392" s="48"/>
    </row>
    <row r="7393" spans="1:12" ht="11.25" x14ac:dyDescent="0.2">
      <c r="A7393" s="46" t="s">
        <v>11524</v>
      </c>
      <c r="B7393" s="46" t="s">
        <v>55359</v>
      </c>
      <c r="C7393" s="58" t="str">
        <f>"00356336"</f>
        <v>00356336</v>
      </c>
      <c r="D7393" s="58" t="str">
        <f>""</f>
        <v/>
      </c>
      <c r="E7393" s="46" t="s">
        <v>11526</v>
      </c>
      <c r="F7393" s="46" t="s">
        <v>17991</v>
      </c>
      <c r="G7393" s="46" t="s">
        <v>50603</v>
      </c>
      <c r="H7393" s="48" t="s">
        <v>56716</v>
      </c>
      <c r="I7393" s="48" t="s">
        <v>50564</v>
      </c>
      <c r="J7393" s="48"/>
      <c r="K7393" s="57"/>
      <c r="L7393" s="48"/>
    </row>
    <row r="7394" spans="1:12" ht="11.25" x14ac:dyDescent="0.2">
      <c r="A7394" s="46" t="s">
        <v>6710</v>
      </c>
      <c r="B7394" s="46" t="s">
        <v>6710</v>
      </c>
      <c r="C7394" s="58" t="str">
        <f>"13558382"</f>
        <v>13558382</v>
      </c>
      <c r="D7394" s="58" t="str">
        <f>"14699001"</f>
        <v>14699001</v>
      </c>
      <c r="E7394" s="46" t="s">
        <v>1307</v>
      </c>
      <c r="F7394" s="46" t="s">
        <v>17759</v>
      </c>
      <c r="G7394" s="46" t="s">
        <v>50584</v>
      </c>
      <c r="H7394" s="48" t="s">
        <v>56716</v>
      </c>
      <c r="I7394" s="48" t="s">
        <v>50564</v>
      </c>
      <c r="J7394" s="48" t="s">
        <v>56716</v>
      </c>
      <c r="K7394" s="57"/>
      <c r="L7394" s="48" t="s">
        <v>56716</v>
      </c>
    </row>
    <row r="7395" spans="1:12" ht="11.25" x14ac:dyDescent="0.2">
      <c r="A7395" s="46" t="s">
        <v>10376</v>
      </c>
      <c r="B7395" s="46" t="s">
        <v>55873</v>
      </c>
      <c r="C7395" s="58" t="str">
        <f>"15476286"</f>
        <v>15476286</v>
      </c>
      <c r="D7395" s="58" t="str">
        <f>"15558584"</f>
        <v>15558584</v>
      </c>
      <c r="E7395" s="46" t="s">
        <v>669</v>
      </c>
      <c r="F7395" s="46" t="s">
        <v>17759</v>
      </c>
      <c r="G7395" s="46" t="s">
        <v>50584</v>
      </c>
      <c r="H7395" s="48" t="s">
        <v>56716</v>
      </c>
      <c r="I7395" s="48" t="s">
        <v>50564</v>
      </c>
      <c r="J7395" s="48"/>
      <c r="K7395" s="57"/>
      <c r="L7395" s="48" t="s">
        <v>56716</v>
      </c>
    </row>
    <row r="7396" spans="1:12" ht="11.25" x14ac:dyDescent="0.2">
      <c r="A7396" s="45" t="s">
        <v>46841</v>
      </c>
      <c r="B7396" s="45" t="s">
        <v>46843</v>
      </c>
      <c r="C7396" s="51" t="s">
        <v>46844</v>
      </c>
      <c r="D7396" s="51"/>
      <c r="E7396" s="45" t="s">
        <v>46845</v>
      </c>
      <c r="F7396" s="45" t="s">
        <v>17967</v>
      </c>
      <c r="G7396" s="45" t="s">
        <v>50611</v>
      </c>
      <c r="H7396" s="56"/>
      <c r="I7396" s="56" t="s">
        <v>50564</v>
      </c>
      <c r="J7396" s="56"/>
      <c r="K7396" s="57"/>
      <c r="L7396" s="56" t="s">
        <v>56716</v>
      </c>
    </row>
    <row r="7397" spans="1:12" ht="11.25" x14ac:dyDescent="0.2">
      <c r="A7397" s="46" t="s">
        <v>8302</v>
      </c>
      <c r="B7397" s="46" t="s">
        <v>56451</v>
      </c>
      <c r="C7397" s="58" t="str">
        <f>"14389029"</f>
        <v>14389029</v>
      </c>
      <c r="D7397" s="58" t="str">
        <f>"14389010"</f>
        <v>14389010</v>
      </c>
      <c r="E7397" s="46" t="s">
        <v>412</v>
      </c>
      <c r="F7397" s="46" t="s">
        <v>18158</v>
      </c>
      <c r="G7397" s="46" t="s">
        <v>50592</v>
      </c>
      <c r="H7397" s="48" t="s">
        <v>56716</v>
      </c>
      <c r="I7397" s="48" t="s">
        <v>50564</v>
      </c>
      <c r="J7397" s="48" t="s">
        <v>56716</v>
      </c>
      <c r="K7397" s="50" t="s">
        <v>56716</v>
      </c>
      <c r="L7397" s="48" t="s">
        <v>56716</v>
      </c>
    </row>
    <row r="7398" spans="1:12" ht="11.25" x14ac:dyDescent="0.2">
      <c r="A7398" s="46" t="s">
        <v>11522</v>
      </c>
      <c r="B7398" s="46" t="s">
        <v>56455</v>
      </c>
      <c r="C7398" s="58" t="str">
        <f>"14335972"</f>
        <v>14335972</v>
      </c>
      <c r="D7398" s="58" t="str">
        <f>""</f>
        <v/>
      </c>
      <c r="E7398" s="46" t="s">
        <v>412</v>
      </c>
      <c r="F7398" s="46" t="s">
        <v>18158</v>
      </c>
      <c r="G7398" s="46" t="s">
        <v>50592</v>
      </c>
      <c r="H7398" s="48" t="s">
        <v>56716</v>
      </c>
      <c r="I7398" s="48" t="s">
        <v>50564</v>
      </c>
      <c r="J7398" s="48" t="s">
        <v>56716</v>
      </c>
      <c r="K7398" s="57"/>
      <c r="L7398" s="48"/>
    </row>
    <row r="7399" spans="1:12" ht="11.25" x14ac:dyDescent="0.2">
      <c r="A7399" s="46" t="s">
        <v>15945</v>
      </c>
      <c r="B7399" s="46" t="s">
        <v>55360</v>
      </c>
      <c r="C7399" s="58" t="str">
        <f>"15838609"</f>
        <v>15838609</v>
      </c>
      <c r="D7399" s="58" t="str">
        <f>""</f>
        <v/>
      </c>
      <c r="E7399" s="46" t="s">
        <v>56253</v>
      </c>
      <c r="F7399" s="46" t="s">
        <v>17967</v>
      </c>
      <c r="G7399" s="46" t="s">
        <v>50584</v>
      </c>
      <c r="H7399" s="48" t="s">
        <v>56716</v>
      </c>
      <c r="I7399" s="48" t="s">
        <v>50564</v>
      </c>
      <c r="J7399" s="48"/>
      <c r="K7399" s="57"/>
      <c r="L7399" s="48"/>
    </row>
    <row r="7400" spans="1:12" ht="11.25" x14ac:dyDescent="0.2">
      <c r="A7400" s="45" t="s">
        <v>46853</v>
      </c>
      <c r="B7400" s="45" t="s">
        <v>46855</v>
      </c>
      <c r="C7400" s="51" t="s">
        <v>46857</v>
      </c>
      <c r="D7400" s="51"/>
      <c r="E7400" s="45" t="s">
        <v>46858</v>
      </c>
      <c r="F7400" s="45" t="s">
        <v>22017</v>
      </c>
      <c r="G7400" s="45" t="s">
        <v>50584</v>
      </c>
      <c r="H7400" s="56"/>
      <c r="I7400" s="56" t="s">
        <v>50564</v>
      </c>
      <c r="J7400" s="56"/>
      <c r="K7400" s="57"/>
      <c r="L7400" s="56" t="s">
        <v>56716</v>
      </c>
    </row>
    <row r="7401" spans="1:12" ht="11.25" x14ac:dyDescent="0.2">
      <c r="A7401" s="46" t="s">
        <v>6422</v>
      </c>
      <c r="B7401" s="46" t="s">
        <v>55361</v>
      </c>
      <c r="C7401" s="58" t="str">
        <f>"12218618"</f>
        <v>12218618</v>
      </c>
      <c r="D7401" s="58" t="str">
        <f>"18448585"</f>
        <v>18448585</v>
      </c>
      <c r="E7401" s="46" t="s">
        <v>6425</v>
      </c>
      <c r="F7401" s="46" t="s">
        <v>22017</v>
      </c>
      <c r="G7401" s="46" t="s">
        <v>56448</v>
      </c>
      <c r="H7401" s="48" t="s">
        <v>56716</v>
      </c>
      <c r="I7401" s="48" t="s">
        <v>50564</v>
      </c>
      <c r="J7401" s="48"/>
      <c r="K7401" s="57"/>
      <c r="L7401" s="48"/>
    </row>
    <row r="7402" spans="1:12" ht="11.25" x14ac:dyDescent="0.2">
      <c r="A7402" s="45" t="s">
        <v>46860</v>
      </c>
      <c r="B7402" s="45" t="s">
        <v>46862</v>
      </c>
      <c r="C7402" s="51" t="s">
        <v>46864</v>
      </c>
      <c r="D7402" s="51"/>
      <c r="E7402" s="45" t="s">
        <v>46858</v>
      </c>
      <c r="F7402" s="45" t="s">
        <v>22017</v>
      </c>
      <c r="G7402" s="45" t="s">
        <v>50584</v>
      </c>
      <c r="H7402" s="56"/>
      <c r="I7402" s="56" t="s">
        <v>50564</v>
      </c>
      <c r="J7402" s="56"/>
      <c r="K7402" s="57"/>
      <c r="L7402" s="56" t="s">
        <v>56716</v>
      </c>
    </row>
    <row r="7403" spans="1:12" ht="11.25" x14ac:dyDescent="0.2">
      <c r="A7403" s="46" t="s">
        <v>12772</v>
      </c>
      <c r="B7403" s="46" t="s">
        <v>55362</v>
      </c>
      <c r="C7403" s="58" t="str">
        <f>"18430783"</f>
        <v>18430783</v>
      </c>
      <c r="D7403" s="58" t="str">
        <f>""</f>
        <v/>
      </c>
      <c r="E7403" s="46" t="s">
        <v>12774</v>
      </c>
      <c r="F7403" s="46" t="s">
        <v>22017</v>
      </c>
      <c r="G7403" s="46" t="s">
        <v>50584</v>
      </c>
      <c r="H7403" s="48" t="s">
        <v>56716</v>
      </c>
      <c r="I7403" s="48" t="s">
        <v>50564</v>
      </c>
      <c r="J7403" s="48"/>
      <c r="K7403" s="57"/>
      <c r="L7403" s="48"/>
    </row>
    <row r="7404" spans="1:12" ht="11.25" x14ac:dyDescent="0.2">
      <c r="A7404" s="45" t="s">
        <v>46866</v>
      </c>
      <c r="B7404" s="45" t="s">
        <v>46868</v>
      </c>
      <c r="C7404" s="51" t="s">
        <v>46870</v>
      </c>
      <c r="D7404" s="51"/>
      <c r="E7404" s="45" t="s">
        <v>46858</v>
      </c>
      <c r="F7404" s="45" t="s">
        <v>22017</v>
      </c>
      <c r="G7404" s="45" t="s">
        <v>56670</v>
      </c>
      <c r="H7404" s="56"/>
      <c r="I7404" s="56" t="s">
        <v>50564</v>
      </c>
      <c r="J7404" s="56"/>
      <c r="K7404" s="57"/>
      <c r="L7404" s="56" t="s">
        <v>56716</v>
      </c>
    </row>
    <row r="7405" spans="1:12" ht="11.25" x14ac:dyDescent="0.2">
      <c r="A7405" s="45" t="s">
        <v>46879</v>
      </c>
      <c r="B7405" s="45" t="s">
        <v>46881</v>
      </c>
      <c r="C7405" s="51" t="s">
        <v>46883</v>
      </c>
      <c r="D7405" s="51"/>
      <c r="E7405" s="45" t="s">
        <v>22718</v>
      </c>
      <c r="F7405" s="45" t="s">
        <v>50653</v>
      </c>
      <c r="G7405" s="45" t="s">
        <v>56509</v>
      </c>
      <c r="H7405" s="56"/>
      <c r="I7405" s="56" t="s">
        <v>50564</v>
      </c>
      <c r="J7405" s="56"/>
      <c r="K7405" s="57"/>
      <c r="L7405" s="56" t="s">
        <v>56716</v>
      </c>
    </row>
    <row r="7406" spans="1:12" ht="11.25" x14ac:dyDescent="0.2">
      <c r="A7406" s="45" t="s">
        <v>46885</v>
      </c>
      <c r="B7406" s="45" t="s">
        <v>46887</v>
      </c>
      <c r="C7406" s="51"/>
      <c r="D7406" s="51"/>
      <c r="E7406" s="45" t="s">
        <v>22718</v>
      </c>
      <c r="F7406" s="45" t="s">
        <v>50653</v>
      </c>
      <c r="G7406" s="45" t="s">
        <v>50619</v>
      </c>
      <c r="H7406" s="56"/>
      <c r="I7406" s="56" t="s">
        <v>50564</v>
      </c>
      <c r="J7406" s="56"/>
      <c r="K7406" s="57"/>
      <c r="L7406" s="56" t="s">
        <v>56716</v>
      </c>
    </row>
    <row r="7407" spans="1:12" ht="11.25" x14ac:dyDescent="0.2">
      <c r="A7407" s="45" t="s">
        <v>46890</v>
      </c>
      <c r="B7407" s="45" t="s">
        <v>46892</v>
      </c>
      <c r="C7407" s="51" t="s">
        <v>46894</v>
      </c>
      <c r="D7407" s="51"/>
      <c r="E7407" s="45" t="s">
        <v>46895</v>
      </c>
      <c r="F7407" s="45" t="s">
        <v>22017</v>
      </c>
      <c r="G7407" s="45" t="s">
        <v>50584</v>
      </c>
      <c r="H7407" s="56"/>
      <c r="I7407" s="56" t="s">
        <v>50564</v>
      </c>
      <c r="J7407" s="56"/>
      <c r="K7407" s="57"/>
      <c r="L7407" s="56" t="s">
        <v>56716</v>
      </c>
    </row>
    <row r="7408" spans="1:12" ht="11.25" x14ac:dyDescent="0.2">
      <c r="A7408" s="45" t="s">
        <v>46897</v>
      </c>
      <c r="B7408" s="45" t="s">
        <v>46899</v>
      </c>
      <c r="C7408" s="51" t="s">
        <v>46901</v>
      </c>
      <c r="D7408" s="51"/>
      <c r="E7408" s="45" t="s">
        <v>46902</v>
      </c>
      <c r="F7408" s="45" t="s">
        <v>18025</v>
      </c>
      <c r="G7408" s="45" t="s">
        <v>56508</v>
      </c>
      <c r="H7408" s="56"/>
      <c r="I7408" s="56" t="s">
        <v>50564</v>
      </c>
      <c r="J7408" s="56"/>
      <c r="K7408" s="57"/>
      <c r="L7408" s="56" t="s">
        <v>56716</v>
      </c>
    </row>
    <row r="7409" spans="1:12" ht="11.25" x14ac:dyDescent="0.2">
      <c r="A7409" s="46" t="s">
        <v>16234</v>
      </c>
      <c r="B7409" s="46" t="s">
        <v>55363</v>
      </c>
      <c r="C7409" s="58" t="str">
        <f>"17577152"</f>
        <v>17577152</v>
      </c>
      <c r="D7409" s="58" t="str">
        <f>"17577160"</f>
        <v>17577160</v>
      </c>
      <c r="E7409" s="46" t="s">
        <v>6914</v>
      </c>
      <c r="F7409" s="46" t="s">
        <v>50646</v>
      </c>
      <c r="G7409" s="46" t="s">
        <v>50584</v>
      </c>
      <c r="H7409" s="48" t="s">
        <v>56716</v>
      </c>
      <c r="I7409" s="48" t="s">
        <v>50565</v>
      </c>
      <c r="J7409" s="48" t="s">
        <v>56716</v>
      </c>
      <c r="K7409" s="57"/>
      <c r="L7409" s="48"/>
    </row>
    <row r="7410" spans="1:12" ht="11.25" x14ac:dyDescent="0.2">
      <c r="A7410" s="46" t="s">
        <v>15579</v>
      </c>
      <c r="B7410" s="46" t="s">
        <v>55364</v>
      </c>
      <c r="C7410" s="58" t="str">
        <f>"20413203"</f>
        <v>20413203</v>
      </c>
      <c r="D7410" s="58" t="str">
        <f>"20413211"</f>
        <v>20413211</v>
      </c>
      <c r="E7410" s="46" t="s">
        <v>6914</v>
      </c>
      <c r="F7410" s="46" t="s">
        <v>50646</v>
      </c>
      <c r="G7410" s="46" t="s">
        <v>50584</v>
      </c>
      <c r="H7410" s="48" t="s">
        <v>56716</v>
      </c>
      <c r="I7410" s="48" t="s">
        <v>50565</v>
      </c>
      <c r="J7410" s="48"/>
      <c r="K7410" s="57"/>
      <c r="L7410" s="48"/>
    </row>
    <row r="7411" spans="1:12" ht="11.25" x14ac:dyDescent="0.2">
      <c r="A7411" s="46" t="s">
        <v>56090</v>
      </c>
      <c r="B7411" s="46" t="s">
        <v>56091</v>
      </c>
      <c r="C7411" s="58" t="str">
        <f>""</f>
        <v/>
      </c>
      <c r="D7411" s="58" t="str">
        <f>""</f>
        <v/>
      </c>
      <c r="E7411" s="46" t="s">
        <v>6914</v>
      </c>
      <c r="F7411" s="46" t="s">
        <v>50646</v>
      </c>
      <c r="G7411" s="46" t="s">
        <v>50584</v>
      </c>
      <c r="H7411" s="48" t="s">
        <v>56716</v>
      </c>
      <c r="I7411" s="48" t="s">
        <v>50565</v>
      </c>
      <c r="J7411" s="48" t="s">
        <v>56716</v>
      </c>
      <c r="K7411" s="57"/>
      <c r="L7411" s="48"/>
    </row>
    <row r="7412" spans="1:12" ht="11.25" x14ac:dyDescent="0.2">
      <c r="A7412" s="45" t="s">
        <v>46904</v>
      </c>
      <c r="B7412" s="45" t="s">
        <v>46906</v>
      </c>
      <c r="C7412" s="51"/>
      <c r="D7412" s="51" t="s">
        <v>46907</v>
      </c>
      <c r="E7412" s="45" t="s">
        <v>46908</v>
      </c>
      <c r="F7412" s="45" t="s">
        <v>20082</v>
      </c>
      <c r="G7412" s="45" t="s">
        <v>50584</v>
      </c>
      <c r="H7412" s="56"/>
      <c r="I7412" s="56" t="s">
        <v>50564</v>
      </c>
      <c r="J7412" s="56"/>
      <c r="K7412" s="57"/>
      <c r="L7412" s="56" t="s">
        <v>56716</v>
      </c>
    </row>
    <row r="7413" spans="1:12" ht="11.25" x14ac:dyDescent="0.2">
      <c r="A7413" s="45" t="s">
        <v>46910</v>
      </c>
      <c r="B7413" s="45" t="s">
        <v>46912</v>
      </c>
      <c r="C7413" s="51"/>
      <c r="D7413" s="51" t="s">
        <v>46913</v>
      </c>
      <c r="E7413" s="45" t="s">
        <v>46914</v>
      </c>
      <c r="F7413" s="45" t="s">
        <v>17759</v>
      </c>
      <c r="G7413" s="45" t="s">
        <v>50584</v>
      </c>
      <c r="H7413" s="56"/>
      <c r="I7413" s="56" t="s">
        <v>50564</v>
      </c>
      <c r="J7413" s="56"/>
      <c r="K7413" s="57"/>
      <c r="L7413" s="56" t="s">
        <v>56716</v>
      </c>
    </row>
    <row r="7414" spans="1:12" ht="11.25" x14ac:dyDescent="0.2">
      <c r="A7414" s="46" t="s">
        <v>15319</v>
      </c>
      <c r="B7414" s="46" t="s">
        <v>55365</v>
      </c>
      <c r="C7414" s="58" t="str">
        <f>"20738099"</f>
        <v>20738099</v>
      </c>
      <c r="D7414" s="58" t="str">
        <f>""</f>
        <v/>
      </c>
      <c r="E7414" s="46" t="s">
        <v>15321</v>
      </c>
      <c r="F7414" s="46" t="s">
        <v>50653</v>
      </c>
      <c r="G7414" s="46" t="s">
        <v>50620</v>
      </c>
      <c r="H7414" s="48" t="s">
        <v>56716</v>
      </c>
      <c r="I7414" s="48" t="s">
        <v>50564</v>
      </c>
      <c r="J7414" s="48"/>
      <c r="K7414" s="57"/>
      <c r="L7414" s="48"/>
    </row>
    <row r="7415" spans="1:12" ht="11.25" x14ac:dyDescent="0.2">
      <c r="A7415" s="46" t="s">
        <v>56286</v>
      </c>
      <c r="B7415" s="46" t="s">
        <v>56287</v>
      </c>
      <c r="C7415" s="58" t="str">
        <f>"15604071"</f>
        <v>15604071</v>
      </c>
      <c r="D7415" s="58" t="str">
        <f>""</f>
        <v/>
      </c>
      <c r="E7415" s="46" t="s">
        <v>56288</v>
      </c>
      <c r="F7415" s="46" t="s">
        <v>50653</v>
      </c>
      <c r="G7415" s="46" t="s">
        <v>50584</v>
      </c>
      <c r="H7415" s="48" t="s">
        <v>56716</v>
      </c>
      <c r="I7415" s="48" t="s">
        <v>50564</v>
      </c>
      <c r="J7415" s="48"/>
      <c r="K7415" s="57"/>
      <c r="L7415" s="48"/>
    </row>
    <row r="7416" spans="1:12" ht="11.25" x14ac:dyDescent="0.2">
      <c r="A7416" s="46" t="s">
        <v>9593</v>
      </c>
      <c r="B7416" s="46" t="s">
        <v>55366</v>
      </c>
      <c r="C7416" s="58" t="str">
        <f>"10227954"</f>
        <v>10227954</v>
      </c>
      <c r="D7416" s="58" t="str">
        <f>"16083369"</f>
        <v>16083369</v>
      </c>
      <c r="E7416" s="46" t="s">
        <v>56285</v>
      </c>
      <c r="F7416" s="46" t="s">
        <v>50653</v>
      </c>
      <c r="G7416" s="46" t="s">
        <v>50584</v>
      </c>
      <c r="H7416" s="48" t="s">
        <v>56716</v>
      </c>
      <c r="I7416" s="48" t="s">
        <v>50564</v>
      </c>
      <c r="J7416" s="48" t="s">
        <v>56716</v>
      </c>
      <c r="K7416" s="57"/>
      <c r="L7416" s="48"/>
    </row>
    <row r="7417" spans="1:12" ht="11.25" x14ac:dyDescent="0.2">
      <c r="A7417" s="46" t="s">
        <v>15776</v>
      </c>
      <c r="B7417" s="46" t="s">
        <v>55367</v>
      </c>
      <c r="C7417" s="58" t="str">
        <f>"20790597"</f>
        <v>20790597</v>
      </c>
      <c r="D7417" s="58" t="str">
        <f>"20790600"</f>
        <v>20790600</v>
      </c>
      <c r="E7417" s="46" t="s">
        <v>56285</v>
      </c>
      <c r="F7417" s="46" t="s">
        <v>50653</v>
      </c>
      <c r="G7417" s="46" t="s">
        <v>50584</v>
      </c>
      <c r="H7417" s="48" t="s">
        <v>56716</v>
      </c>
      <c r="I7417" s="48" t="s">
        <v>50564</v>
      </c>
      <c r="J7417" s="48" t="s">
        <v>56716</v>
      </c>
      <c r="K7417" s="57"/>
      <c r="L7417" s="48"/>
    </row>
    <row r="7418" spans="1:12" ht="11.25" x14ac:dyDescent="0.2">
      <c r="A7418" s="46" t="s">
        <v>56289</v>
      </c>
      <c r="B7418" s="46" t="s">
        <v>56290</v>
      </c>
      <c r="C7418" s="58" t="str">
        <f>""</f>
        <v/>
      </c>
      <c r="D7418" s="58" t="str">
        <f>"23043415"</f>
        <v>23043415</v>
      </c>
      <c r="E7418" s="46" t="s">
        <v>56289</v>
      </c>
      <c r="F7418" s="46" t="s">
        <v>50653</v>
      </c>
      <c r="G7418" s="46" t="s">
        <v>50584</v>
      </c>
      <c r="H7418" s="48" t="s">
        <v>56716</v>
      </c>
      <c r="I7418" s="48" t="s">
        <v>50564</v>
      </c>
      <c r="J7418" s="48"/>
      <c r="K7418" s="57"/>
      <c r="L7418" s="48"/>
    </row>
    <row r="7419" spans="1:12" ht="11.25" x14ac:dyDescent="0.2">
      <c r="A7419" s="46" t="s">
        <v>5569</v>
      </c>
      <c r="B7419" s="46" t="s">
        <v>55368</v>
      </c>
      <c r="C7419" s="58" t="str">
        <f>"11571497"</f>
        <v>11571497</v>
      </c>
      <c r="D7419" s="58" t="str">
        <f>""</f>
        <v/>
      </c>
      <c r="E7419" s="46" t="s">
        <v>5571</v>
      </c>
      <c r="F7419" s="46" t="s">
        <v>20359</v>
      </c>
      <c r="G7419" s="46" t="s">
        <v>50590</v>
      </c>
      <c r="H7419" s="48" t="s">
        <v>56716</v>
      </c>
      <c r="I7419" s="48" t="s">
        <v>50564</v>
      </c>
      <c r="J7419" s="48"/>
      <c r="K7419" s="57"/>
      <c r="L7419" s="48"/>
    </row>
    <row r="7420" spans="1:12" ht="11.25" x14ac:dyDescent="0.2">
      <c r="A7420" s="46" t="s">
        <v>12808</v>
      </c>
      <c r="B7420" s="46" t="s">
        <v>55369</v>
      </c>
      <c r="C7420" s="58" t="str">
        <f>"10151362"</f>
        <v>10151362</v>
      </c>
      <c r="D7420" s="58" t="str">
        <f>""</f>
        <v/>
      </c>
      <c r="E7420" s="46" t="s">
        <v>8784</v>
      </c>
      <c r="F7420" s="46" t="s">
        <v>24311</v>
      </c>
      <c r="G7420" s="46" t="s">
        <v>50584</v>
      </c>
      <c r="H7420" s="48" t="s">
        <v>56716</v>
      </c>
      <c r="I7420" s="48" t="s">
        <v>50564</v>
      </c>
      <c r="J7420" s="48"/>
      <c r="K7420" s="57"/>
      <c r="L7420" s="48"/>
    </row>
    <row r="7421" spans="1:12" ht="11.25" x14ac:dyDescent="0.2">
      <c r="A7421" s="45" t="s">
        <v>46916</v>
      </c>
      <c r="B7421" s="45" t="s">
        <v>46918</v>
      </c>
      <c r="C7421" s="51" t="s">
        <v>46919</v>
      </c>
      <c r="D7421" s="51"/>
      <c r="E7421" s="45" t="s">
        <v>46920</v>
      </c>
      <c r="F7421" s="45" t="s">
        <v>50646</v>
      </c>
      <c r="G7421" s="45" t="s">
        <v>50584</v>
      </c>
      <c r="H7421" s="56"/>
      <c r="I7421" s="56" t="s">
        <v>50564</v>
      </c>
      <c r="J7421" s="56"/>
      <c r="K7421" s="57"/>
      <c r="L7421" s="56" t="s">
        <v>56716</v>
      </c>
    </row>
    <row r="7422" spans="1:12" ht="11.25" x14ac:dyDescent="0.2">
      <c r="A7422" s="45" t="s">
        <v>46922</v>
      </c>
      <c r="B7422" s="45" t="s">
        <v>46924</v>
      </c>
      <c r="C7422" s="51" t="s">
        <v>46926</v>
      </c>
      <c r="D7422" s="51"/>
      <c r="E7422" s="45" t="s">
        <v>46927</v>
      </c>
      <c r="F7422" s="45" t="s">
        <v>24311</v>
      </c>
      <c r="G7422" s="45" t="s">
        <v>50589</v>
      </c>
      <c r="H7422" s="56"/>
      <c r="I7422" s="56" t="s">
        <v>50564</v>
      </c>
      <c r="J7422" s="56"/>
      <c r="K7422" s="57"/>
      <c r="L7422" s="56" t="s">
        <v>56716</v>
      </c>
    </row>
    <row r="7423" spans="1:12" ht="11.25" x14ac:dyDescent="0.2">
      <c r="A7423" s="46" t="s">
        <v>17090</v>
      </c>
      <c r="B7423" s="46" t="s">
        <v>55370</v>
      </c>
      <c r="C7423" s="58" t="str">
        <f>"20937911"</f>
        <v>20937911</v>
      </c>
      <c r="D7423" s="58" t="str">
        <f>"20937997"</f>
        <v>20937997</v>
      </c>
      <c r="E7423" s="46" t="s">
        <v>1249</v>
      </c>
      <c r="F7423" s="46" t="s">
        <v>50649</v>
      </c>
      <c r="G7423" s="46" t="s">
        <v>50584</v>
      </c>
      <c r="H7423" s="48" t="s">
        <v>56716</v>
      </c>
      <c r="I7423" s="48" t="s">
        <v>50564</v>
      </c>
      <c r="J7423" s="48"/>
      <c r="K7423" s="50" t="s">
        <v>56716</v>
      </c>
      <c r="L7423" s="48"/>
    </row>
    <row r="7424" spans="1:12" ht="11.25" x14ac:dyDescent="0.2">
      <c r="A7424" s="46" t="s">
        <v>5518</v>
      </c>
      <c r="B7424" s="46" t="s">
        <v>55371</v>
      </c>
      <c r="C7424" s="58" t="str">
        <f>"09257535"</f>
        <v>09257535</v>
      </c>
      <c r="D7424" s="58" t="str">
        <f>"18791042"</f>
        <v>18791042</v>
      </c>
      <c r="E7424" s="46" t="s">
        <v>91</v>
      </c>
      <c r="F7424" s="46" t="s">
        <v>18001</v>
      </c>
      <c r="G7424" s="46" t="s">
        <v>50584</v>
      </c>
      <c r="H7424" s="48" t="s">
        <v>56716</v>
      </c>
      <c r="I7424" s="48" t="s">
        <v>50564</v>
      </c>
      <c r="J7424" s="48" t="s">
        <v>56716</v>
      </c>
      <c r="K7424" s="50" t="s">
        <v>56716</v>
      </c>
      <c r="L7424" s="48"/>
    </row>
    <row r="7425" spans="1:12" ht="11.25" x14ac:dyDescent="0.2">
      <c r="A7425" s="46" t="s">
        <v>56044</v>
      </c>
      <c r="B7425" s="46" t="s">
        <v>56045</v>
      </c>
      <c r="C7425" s="58" t="str">
        <f>""</f>
        <v/>
      </c>
      <c r="D7425" s="58" t="str">
        <f>"2050313X"</f>
        <v>2050313X</v>
      </c>
      <c r="E7425" s="46" t="s">
        <v>97</v>
      </c>
      <c r="F7425" s="46" t="s">
        <v>50646</v>
      </c>
      <c r="G7425" s="46" t="s">
        <v>50584</v>
      </c>
      <c r="H7425" s="48" t="s">
        <v>56716</v>
      </c>
      <c r="I7425" s="48" t="s">
        <v>50564</v>
      </c>
      <c r="J7425" s="48" t="s">
        <v>56716</v>
      </c>
      <c r="K7425" s="57"/>
      <c r="L7425" s="48"/>
    </row>
    <row r="7426" spans="1:12" ht="11.25" x14ac:dyDescent="0.2">
      <c r="A7426" s="46" t="s">
        <v>56046</v>
      </c>
      <c r="B7426" s="46" t="s">
        <v>56047</v>
      </c>
      <c r="C7426" s="58" t="str">
        <f>""</f>
        <v/>
      </c>
      <c r="D7426" s="58" t="str">
        <f>"20503121"</f>
        <v>20503121</v>
      </c>
      <c r="E7426" s="46" t="s">
        <v>97</v>
      </c>
      <c r="F7426" s="46" t="s">
        <v>50646</v>
      </c>
      <c r="G7426" s="46" t="s">
        <v>50584</v>
      </c>
      <c r="H7426" s="48" t="s">
        <v>56716</v>
      </c>
      <c r="I7426" s="48" t="s">
        <v>50564</v>
      </c>
      <c r="J7426" s="48" t="s">
        <v>56716</v>
      </c>
      <c r="K7426" s="57"/>
      <c r="L7426" s="48"/>
    </row>
    <row r="7427" spans="1:12" ht="11.25" x14ac:dyDescent="0.2">
      <c r="A7427" s="45" t="s">
        <v>46929</v>
      </c>
      <c r="B7427" s="45" t="s">
        <v>46931</v>
      </c>
      <c r="C7427" s="51" t="s">
        <v>46933</v>
      </c>
      <c r="D7427" s="51" t="s">
        <v>46932</v>
      </c>
      <c r="E7427" s="45" t="s">
        <v>46934</v>
      </c>
      <c r="F7427" s="45" t="s">
        <v>24311</v>
      </c>
      <c r="G7427" s="45" t="s">
        <v>50590</v>
      </c>
      <c r="H7427" s="56"/>
      <c r="I7427" s="56" t="s">
        <v>50564</v>
      </c>
      <c r="J7427" s="56"/>
      <c r="K7427" s="57"/>
      <c r="L7427" s="56" t="s">
        <v>56716</v>
      </c>
    </row>
    <row r="7428" spans="1:12" ht="11.25" x14ac:dyDescent="0.2">
      <c r="A7428" s="46" t="s">
        <v>12601</v>
      </c>
      <c r="B7428" s="46" t="s">
        <v>55372</v>
      </c>
      <c r="C7428" s="58" t="str">
        <f>"19943032"</f>
        <v>19943032</v>
      </c>
      <c r="D7428" s="58" t="str">
        <f>""</f>
        <v/>
      </c>
      <c r="E7428" s="46" t="s">
        <v>12603</v>
      </c>
      <c r="F7428" s="46" t="s">
        <v>24311</v>
      </c>
      <c r="G7428" s="46" t="s">
        <v>50584</v>
      </c>
      <c r="H7428" s="48" t="s">
        <v>56716</v>
      </c>
      <c r="I7428" s="48" t="s">
        <v>50564</v>
      </c>
      <c r="J7428" s="48"/>
      <c r="K7428" s="57"/>
      <c r="L7428" s="48"/>
    </row>
    <row r="7429" spans="1:12" ht="11.25" x14ac:dyDescent="0.2">
      <c r="A7429" s="45" t="s">
        <v>46937</v>
      </c>
      <c r="B7429" s="45" t="s">
        <v>46939</v>
      </c>
      <c r="C7429" s="51" t="s">
        <v>46941</v>
      </c>
      <c r="D7429" s="51" t="s">
        <v>46940</v>
      </c>
      <c r="E7429" s="45" t="s">
        <v>46942</v>
      </c>
      <c r="F7429" s="45" t="s">
        <v>18169</v>
      </c>
      <c r="G7429" s="45" t="s">
        <v>50632</v>
      </c>
      <c r="H7429" s="56"/>
      <c r="I7429" s="56" t="s">
        <v>50564</v>
      </c>
      <c r="J7429" s="56"/>
      <c r="K7429" s="57"/>
      <c r="L7429" s="56" t="s">
        <v>56716</v>
      </c>
    </row>
    <row r="7430" spans="1:12" ht="11.25" x14ac:dyDescent="0.2">
      <c r="A7430" s="45" t="s">
        <v>46944</v>
      </c>
      <c r="B7430" s="45" t="s">
        <v>46946</v>
      </c>
      <c r="C7430" s="51" t="s">
        <v>46948</v>
      </c>
      <c r="D7430" s="51" t="s">
        <v>46947</v>
      </c>
      <c r="E7430" s="45" t="s">
        <v>46949</v>
      </c>
      <c r="F7430" s="45" t="s">
        <v>18411</v>
      </c>
      <c r="G7430" s="45" t="s">
        <v>50633</v>
      </c>
      <c r="H7430" s="56"/>
      <c r="I7430" s="56" t="s">
        <v>50564</v>
      </c>
      <c r="J7430" s="56"/>
      <c r="K7430" s="57"/>
      <c r="L7430" s="56" t="s">
        <v>56716</v>
      </c>
    </row>
    <row r="7431" spans="1:12" ht="11.25" x14ac:dyDescent="0.2">
      <c r="A7431" s="46" t="s">
        <v>11367</v>
      </c>
      <c r="B7431" s="46" t="s">
        <v>55373</v>
      </c>
      <c r="C7431" s="58" t="str">
        <f>"16678982"</f>
        <v>16678982</v>
      </c>
      <c r="D7431" s="58" t="str">
        <f>""</f>
        <v/>
      </c>
      <c r="E7431" s="46" t="s">
        <v>11369</v>
      </c>
      <c r="F7431" s="46" t="s">
        <v>18169</v>
      </c>
      <c r="G7431" s="46" t="s">
        <v>50632</v>
      </c>
      <c r="H7431" s="48" t="s">
        <v>56716</v>
      </c>
      <c r="I7431" s="48" t="s">
        <v>50564</v>
      </c>
      <c r="J7431" s="48"/>
      <c r="K7431" s="57"/>
      <c r="L7431" s="48"/>
    </row>
    <row r="7432" spans="1:12" ht="11.25" x14ac:dyDescent="0.2">
      <c r="A7432" s="46" t="s">
        <v>9491</v>
      </c>
      <c r="B7432" s="46" t="s">
        <v>9491</v>
      </c>
      <c r="C7432" s="58" t="str">
        <f>"16574400"</f>
        <v>16574400</v>
      </c>
      <c r="D7432" s="58" t="str">
        <f>""</f>
        <v/>
      </c>
      <c r="E7432" s="46" t="s">
        <v>9493</v>
      </c>
      <c r="F7432" s="46" t="s">
        <v>22591</v>
      </c>
      <c r="G7432" s="46" t="s">
        <v>50631</v>
      </c>
      <c r="H7432" s="48" t="s">
        <v>56716</v>
      </c>
      <c r="I7432" s="48" t="s">
        <v>50564</v>
      </c>
      <c r="J7432" s="48"/>
      <c r="K7432" s="57"/>
      <c r="L7432" s="48"/>
    </row>
    <row r="7433" spans="1:12" ht="11.25" x14ac:dyDescent="0.2">
      <c r="A7433" s="46" t="s">
        <v>9426</v>
      </c>
      <c r="B7433" s="46" t="s">
        <v>9426</v>
      </c>
      <c r="C7433" s="58" t="str">
        <f>"13167138"</f>
        <v>13167138</v>
      </c>
      <c r="D7433" s="58" t="str">
        <f>""</f>
        <v/>
      </c>
      <c r="E7433" s="46" t="s">
        <v>9428</v>
      </c>
      <c r="F7433" s="46" t="s">
        <v>21505</v>
      </c>
      <c r="G7433" s="46" t="s">
        <v>50632</v>
      </c>
      <c r="H7433" s="48" t="s">
        <v>56716</v>
      </c>
      <c r="I7433" s="48" t="s">
        <v>50564</v>
      </c>
      <c r="J7433" s="48"/>
      <c r="K7433" s="57"/>
      <c r="L7433" s="48"/>
    </row>
    <row r="7434" spans="1:12" ht="11.25" x14ac:dyDescent="0.2">
      <c r="A7434" s="46" t="s">
        <v>4926</v>
      </c>
      <c r="B7434" s="46" t="s">
        <v>55374</v>
      </c>
      <c r="C7434" s="58" t="str">
        <f>"09997385"</f>
        <v>09997385</v>
      </c>
      <c r="D7434" s="58" t="str">
        <f>"19506104"</f>
        <v>19506104</v>
      </c>
      <c r="E7434" s="46" t="s">
        <v>948</v>
      </c>
      <c r="F7434" s="46" t="s">
        <v>20359</v>
      </c>
      <c r="G7434" s="46" t="s">
        <v>50591</v>
      </c>
      <c r="H7434" s="48" t="s">
        <v>56716</v>
      </c>
      <c r="I7434" s="48" t="s">
        <v>50564</v>
      </c>
      <c r="J7434" s="48"/>
      <c r="K7434" s="57"/>
      <c r="L7434" s="48"/>
    </row>
    <row r="7435" spans="1:12" ht="11.25" x14ac:dyDescent="0.2">
      <c r="A7435" s="45" t="s">
        <v>46951</v>
      </c>
      <c r="B7435" s="45" t="s">
        <v>46953</v>
      </c>
      <c r="C7435" s="51" t="s">
        <v>46956</v>
      </c>
      <c r="D7435" s="51" t="s">
        <v>46955</v>
      </c>
      <c r="E7435" s="45" t="s">
        <v>46957</v>
      </c>
      <c r="F7435" s="45" t="s">
        <v>18242</v>
      </c>
      <c r="G7435" s="45" t="s">
        <v>50605</v>
      </c>
      <c r="H7435" s="56"/>
      <c r="I7435" s="56" t="s">
        <v>50564</v>
      </c>
      <c r="J7435" s="56"/>
      <c r="K7435" s="57"/>
      <c r="L7435" s="56" t="s">
        <v>56716</v>
      </c>
    </row>
    <row r="7436" spans="1:12" ht="11.25" x14ac:dyDescent="0.2">
      <c r="A7436" s="45" t="s">
        <v>46959</v>
      </c>
      <c r="B7436" s="45" t="s">
        <v>46961</v>
      </c>
      <c r="C7436" s="51" t="s">
        <v>46962</v>
      </c>
      <c r="D7436" s="51" t="s">
        <v>56671</v>
      </c>
      <c r="E7436" s="45" t="s">
        <v>46963</v>
      </c>
      <c r="F7436" s="45" t="s">
        <v>18959</v>
      </c>
      <c r="G7436" s="45" t="s">
        <v>50590</v>
      </c>
      <c r="H7436" s="56"/>
      <c r="I7436" s="56" t="s">
        <v>50564</v>
      </c>
      <c r="J7436" s="56"/>
      <c r="K7436" s="57"/>
      <c r="L7436" s="56" t="s">
        <v>56716</v>
      </c>
    </row>
    <row r="7437" spans="1:12" ht="11.25" x14ac:dyDescent="0.2">
      <c r="A7437" s="45" t="s">
        <v>46966</v>
      </c>
      <c r="B7437" s="45" t="s">
        <v>46968</v>
      </c>
      <c r="C7437" s="51" t="s">
        <v>46971</v>
      </c>
      <c r="D7437" s="51" t="s">
        <v>46970</v>
      </c>
      <c r="E7437" s="45" t="s">
        <v>46972</v>
      </c>
      <c r="F7437" s="45" t="s">
        <v>20359</v>
      </c>
      <c r="G7437" s="45" t="s">
        <v>50590</v>
      </c>
      <c r="H7437" s="56"/>
      <c r="I7437" s="56" t="s">
        <v>50564</v>
      </c>
      <c r="J7437" s="56"/>
      <c r="K7437" s="57"/>
      <c r="L7437" s="56" t="s">
        <v>56716</v>
      </c>
    </row>
    <row r="7438" spans="1:12" ht="11.25" x14ac:dyDescent="0.2">
      <c r="A7438" s="46" t="s">
        <v>8201</v>
      </c>
      <c r="B7438" s="46" t="s">
        <v>55375</v>
      </c>
      <c r="C7438" s="58" t="str">
        <f>"15163180"</f>
        <v>15163180</v>
      </c>
      <c r="D7438" s="58" t="str">
        <f>""</f>
        <v/>
      </c>
      <c r="E7438" s="46" t="s">
        <v>8203</v>
      </c>
      <c r="F7438" s="46" t="s">
        <v>18058</v>
      </c>
      <c r="G7438" s="46" t="s">
        <v>50616</v>
      </c>
      <c r="H7438" s="48" t="s">
        <v>56716</v>
      </c>
      <c r="I7438" s="48" t="s">
        <v>50564</v>
      </c>
      <c r="J7438" s="48"/>
      <c r="K7438" s="57"/>
      <c r="L7438" s="48" t="s">
        <v>56716</v>
      </c>
    </row>
    <row r="7439" spans="1:12" ht="11.25" x14ac:dyDescent="0.2">
      <c r="A7439" s="46" t="s">
        <v>3792</v>
      </c>
      <c r="B7439" s="46" t="s">
        <v>55376</v>
      </c>
      <c r="C7439" s="58" t="str">
        <f>"0036472X"</f>
        <v>0036472X</v>
      </c>
      <c r="D7439" s="58" t="str">
        <f>""</f>
        <v/>
      </c>
      <c r="E7439" s="46" t="s">
        <v>3794</v>
      </c>
      <c r="F7439" s="46" t="s">
        <v>18242</v>
      </c>
      <c r="G7439" s="46" t="s">
        <v>50604</v>
      </c>
      <c r="H7439" s="48" t="s">
        <v>56716</v>
      </c>
      <c r="I7439" s="48" t="s">
        <v>50564</v>
      </c>
      <c r="J7439" s="48"/>
      <c r="K7439" s="57"/>
      <c r="L7439" s="48"/>
    </row>
    <row r="7440" spans="1:12" ht="11.25" x14ac:dyDescent="0.2">
      <c r="A7440" s="45" t="s">
        <v>46981</v>
      </c>
      <c r="B7440" s="45" t="s">
        <v>46983</v>
      </c>
      <c r="C7440" s="51" t="s">
        <v>46985</v>
      </c>
      <c r="D7440" s="51" t="s">
        <v>46984</v>
      </c>
      <c r="E7440" s="45" t="s">
        <v>18404</v>
      </c>
      <c r="F7440" s="45" t="s">
        <v>50646</v>
      </c>
      <c r="G7440" s="45" t="s">
        <v>50584</v>
      </c>
      <c r="H7440" s="56"/>
      <c r="I7440" s="56" t="s">
        <v>50564</v>
      </c>
      <c r="J7440" s="56"/>
      <c r="K7440" s="57"/>
      <c r="L7440" s="56" t="s">
        <v>56716</v>
      </c>
    </row>
    <row r="7441" spans="1:12" ht="11.25" x14ac:dyDescent="0.2">
      <c r="A7441" s="46" t="s">
        <v>6908</v>
      </c>
      <c r="B7441" s="46" t="s">
        <v>55377</v>
      </c>
      <c r="C7441" s="58" t="str">
        <f>"11240490"</f>
        <v>11240490</v>
      </c>
      <c r="D7441" s="58" t="str">
        <f>""</f>
        <v/>
      </c>
      <c r="E7441" s="46" t="s">
        <v>6910</v>
      </c>
      <c r="F7441" s="46" t="s">
        <v>17991</v>
      </c>
      <c r="G7441" s="46" t="s">
        <v>50584</v>
      </c>
      <c r="H7441" s="48" t="s">
        <v>56716</v>
      </c>
      <c r="I7441" s="48" t="s">
        <v>50564</v>
      </c>
      <c r="J7441" s="48" t="s">
        <v>56716</v>
      </c>
      <c r="K7441" s="57"/>
      <c r="L7441" s="48" t="s">
        <v>56716</v>
      </c>
    </row>
    <row r="7442" spans="1:12" ht="11.25" x14ac:dyDescent="0.2">
      <c r="A7442" s="46" t="s">
        <v>7334</v>
      </c>
      <c r="B7442" s="46" t="s">
        <v>7334</v>
      </c>
      <c r="C7442" s="58" t="str">
        <f>"1357714X"</f>
        <v>1357714X</v>
      </c>
      <c r="D7442" s="58" t="str">
        <f>"13691643"</f>
        <v>13691643</v>
      </c>
      <c r="E7442" s="46" t="s">
        <v>1412</v>
      </c>
      <c r="F7442" s="46" t="s">
        <v>17759</v>
      </c>
      <c r="G7442" s="46" t="s">
        <v>50584</v>
      </c>
      <c r="H7442" s="48" t="s">
        <v>56716</v>
      </c>
      <c r="I7442" s="48" t="s">
        <v>50564</v>
      </c>
      <c r="J7442" s="48" t="s">
        <v>56716</v>
      </c>
      <c r="K7442" s="57"/>
      <c r="L7442" s="48"/>
    </row>
    <row r="7443" spans="1:12" ht="11.25" x14ac:dyDescent="0.2">
      <c r="A7443" s="46" t="s">
        <v>13835</v>
      </c>
      <c r="B7443" s="46" t="s">
        <v>55378</v>
      </c>
      <c r="C7443" s="58" t="str">
        <f>"10139052"</f>
        <v>10139052</v>
      </c>
      <c r="D7443" s="58" t="str">
        <f>""</f>
        <v/>
      </c>
      <c r="E7443" s="46" t="s">
        <v>91</v>
      </c>
      <c r="F7443" s="46" t="s">
        <v>18001</v>
      </c>
      <c r="G7443" s="46" t="s">
        <v>50584</v>
      </c>
      <c r="H7443" s="48" t="s">
        <v>56716</v>
      </c>
      <c r="I7443" s="48" t="s">
        <v>50564</v>
      </c>
      <c r="J7443" s="48"/>
      <c r="K7443" s="50" t="s">
        <v>56716</v>
      </c>
      <c r="L7443" s="48"/>
    </row>
    <row r="7444" spans="1:12" ht="11.25" x14ac:dyDescent="0.2">
      <c r="A7444" s="46" t="s">
        <v>14953</v>
      </c>
      <c r="B7444" s="46" t="s">
        <v>55379</v>
      </c>
      <c r="C7444" s="58" t="str">
        <f>"1658354X"</f>
        <v>1658354X</v>
      </c>
      <c r="D7444" s="58" t="str">
        <f>"09753125"</f>
        <v>09753125</v>
      </c>
      <c r="E7444" s="46" t="s">
        <v>19057</v>
      </c>
      <c r="F7444" s="46" t="s">
        <v>20446</v>
      </c>
      <c r="G7444" s="46" t="s">
        <v>50584</v>
      </c>
      <c r="H7444" s="48" t="s">
        <v>56716</v>
      </c>
      <c r="I7444" s="48" t="s">
        <v>50564</v>
      </c>
      <c r="J7444" s="48" t="s">
        <v>56716</v>
      </c>
      <c r="K7444" s="57"/>
      <c r="L7444" s="48"/>
    </row>
    <row r="7445" spans="1:12" ht="11.25" x14ac:dyDescent="0.2">
      <c r="A7445" s="46" t="s">
        <v>11741</v>
      </c>
      <c r="B7445" s="46" t="s">
        <v>55380</v>
      </c>
      <c r="C7445" s="58" t="str">
        <f>"13193767"</f>
        <v>13193767</v>
      </c>
      <c r="D7445" s="58" t="str">
        <f>"19984049"</f>
        <v>19984049</v>
      </c>
      <c r="E7445" s="46" t="s">
        <v>19057</v>
      </c>
      <c r="F7445" s="46" t="s">
        <v>20446</v>
      </c>
      <c r="G7445" s="46" t="s">
        <v>50584</v>
      </c>
      <c r="H7445" s="48" t="s">
        <v>56716</v>
      </c>
      <c r="I7445" s="48" t="s">
        <v>50564</v>
      </c>
      <c r="J7445" s="48"/>
      <c r="K7445" s="57"/>
      <c r="L7445" s="48" t="s">
        <v>56716</v>
      </c>
    </row>
    <row r="7446" spans="1:12" ht="11.25" x14ac:dyDescent="0.2">
      <c r="A7446" s="45" t="s">
        <v>46999</v>
      </c>
      <c r="B7446" s="45" t="s">
        <v>47001</v>
      </c>
      <c r="C7446" s="51" t="s">
        <v>47003</v>
      </c>
      <c r="D7446" s="51"/>
      <c r="E7446" s="45" t="s">
        <v>20489</v>
      </c>
      <c r="F7446" s="45" t="s">
        <v>42225</v>
      </c>
      <c r="G7446" s="45" t="s">
        <v>50584</v>
      </c>
      <c r="H7446" s="56"/>
      <c r="I7446" s="56" t="s">
        <v>50564</v>
      </c>
      <c r="J7446" s="56"/>
      <c r="K7446" s="57"/>
      <c r="L7446" s="56" t="s">
        <v>56716</v>
      </c>
    </row>
    <row r="7447" spans="1:12" ht="11.25" x14ac:dyDescent="0.2">
      <c r="A7447" s="46" t="s">
        <v>56110</v>
      </c>
      <c r="B7447" s="46" t="s">
        <v>56111</v>
      </c>
      <c r="C7447" s="58" t="str">
        <f>""</f>
        <v/>
      </c>
      <c r="D7447" s="58" t="str">
        <f>"23214856"</f>
        <v>23214856</v>
      </c>
      <c r="E7447" s="46" t="s">
        <v>19057</v>
      </c>
      <c r="F7447" s="46" t="s">
        <v>20446</v>
      </c>
      <c r="G7447" s="46" t="s">
        <v>50584</v>
      </c>
      <c r="H7447" s="48" t="s">
        <v>56716</v>
      </c>
      <c r="I7447" s="48" t="s">
        <v>50564</v>
      </c>
      <c r="J7447" s="48" t="s">
        <v>56716</v>
      </c>
      <c r="K7447" s="57"/>
      <c r="L7447" s="48"/>
    </row>
    <row r="7448" spans="1:12" ht="11.25" x14ac:dyDescent="0.2">
      <c r="A7448" s="46" t="s">
        <v>13842</v>
      </c>
      <c r="B7448" s="46" t="s">
        <v>55381</v>
      </c>
      <c r="C7448" s="58" t="str">
        <f>"13194534"</f>
        <v>13194534</v>
      </c>
      <c r="D7448" s="58" t="str">
        <f>""</f>
        <v/>
      </c>
      <c r="E7448" s="46" t="s">
        <v>91</v>
      </c>
      <c r="F7448" s="46" t="s">
        <v>18001</v>
      </c>
      <c r="G7448" s="46" t="s">
        <v>50584</v>
      </c>
      <c r="H7448" s="48" t="s">
        <v>56716</v>
      </c>
      <c r="I7448" s="48" t="s">
        <v>50564</v>
      </c>
      <c r="J7448" s="48" t="s">
        <v>56716</v>
      </c>
      <c r="K7448" s="50" t="s">
        <v>56716</v>
      </c>
      <c r="L7448" s="48"/>
    </row>
    <row r="7449" spans="1:12" ht="11.25" x14ac:dyDescent="0.2">
      <c r="A7449" s="46" t="s">
        <v>3726</v>
      </c>
      <c r="B7449" s="46" t="s">
        <v>55382</v>
      </c>
      <c r="C7449" s="58" t="str">
        <f>"03795284"</f>
        <v>03795284</v>
      </c>
      <c r="D7449" s="58" t="str">
        <f>"16583175"</f>
        <v>16583175</v>
      </c>
      <c r="E7449" s="46" t="s">
        <v>3729</v>
      </c>
      <c r="F7449" s="46" t="s">
        <v>42225</v>
      </c>
      <c r="G7449" s="46" t="s">
        <v>50584</v>
      </c>
      <c r="H7449" s="48" t="s">
        <v>56716</v>
      </c>
      <c r="I7449" s="48" t="s">
        <v>50564</v>
      </c>
      <c r="J7449" s="48"/>
      <c r="K7449" s="57"/>
      <c r="L7449" s="48" t="s">
        <v>56716</v>
      </c>
    </row>
    <row r="7450" spans="1:12" ht="11.25" x14ac:dyDescent="0.2">
      <c r="A7450" s="46" t="s">
        <v>6900</v>
      </c>
      <c r="B7450" s="46" t="s">
        <v>55383</v>
      </c>
      <c r="C7450" s="58" t="str">
        <f>"13190164"</f>
        <v>13190164</v>
      </c>
      <c r="D7450" s="58" t="str">
        <f>""</f>
        <v/>
      </c>
      <c r="E7450" s="46" t="s">
        <v>91</v>
      </c>
      <c r="F7450" s="46" t="s">
        <v>18001</v>
      </c>
      <c r="G7450" s="46" t="s">
        <v>50584</v>
      </c>
      <c r="H7450" s="48" t="s">
        <v>56716</v>
      </c>
      <c r="I7450" s="48" t="s">
        <v>50564</v>
      </c>
      <c r="J7450" s="48"/>
      <c r="K7450" s="50" t="s">
        <v>56716</v>
      </c>
      <c r="L7450" s="48"/>
    </row>
    <row r="7451" spans="1:12" ht="11.25" x14ac:dyDescent="0.2">
      <c r="A7451" s="46" t="s">
        <v>7427</v>
      </c>
      <c r="B7451" s="46" t="s">
        <v>55384</v>
      </c>
      <c r="C7451" s="58" t="str">
        <f>"14017431"</f>
        <v>14017431</v>
      </c>
      <c r="D7451" s="58" t="str">
        <f>"16512006"</f>
        <v>16512006</v>
      </c>
      <c r="E7451" s="46" t="s">
        <v>291</v>
      </c>
      <c r="F7451" s="46" t="s">
        <v>50646</v>
      </c>
      <c r="G7451" s="46" t="s">
        <v>50584</v>
      </c>
      <c r="H7451" s="48" t="s">
        <v>56716</v>
      </c>
      <c r="I7451" s="48" t="s">
        <v>50564</v>
      </c>
      <c r="J7451" s="48" t="s">
        <v>56716</v>
      </c>
      <c r="K7451" s="57"/>
      <c r="L7451" s="48" t="s">
        <v>56716</v>
      </c>
    </row>
    <row r="7452" spans="1:12" ht="11.25" x14ac:dyDescent="0.2">
      <c r="A7452" s="45" t="s">
        <v>47023</v>
      </c>
      <c r="B7452" s="45" t="s">
        <v>47025</v>
      </c>
      <c r="C7452" s="51" t="s">
        <v>47027</v>
      </c>
      <c r="D7452" s="51" t="s">
        <v>47026</v>
      </c>
      <c r="E7452" s="45" t="s">
        <v>18404</v>
      </c>
      <c r="F7452" s="45" t="s">
        <v>18130</v>
      </c>
      <c r="G7452" s="45" t="s">
        <v>50584</v>
      </c>
      <c r="H7452" s="56"/>
      <c r="I7452" s="56" t="s">
        <v>50564</v>
      </c>
      <c r="J7452" s="56"/>
      <c r="K7452" s="57"/>
      <c r="L7452" s="56" t="s">
        <v>56716</v>
      </c>
    </row>
    <row r="7453" spans="1:12" ht="11.25" x14ac:dyDescent="0.2">
      <c r="A7453" s="46" t="s">
        <v>3798</v>
      </c>
      <c r="B7453" s="46" t="s">
        <v>55385</v>
      </c>
      <c r="C7453" s="58" t="str">
        <f>"00365513"</f>
        <v>00365513</v>
      </c>
      <c r="D7453" s="58" t="str">
        <f>"15027686"</f>
        <v>15027686</v>
      </c>
      <c r="E7453" s="46" t="s">
        <v>291</v>
      </c>
      <c r="F7453" s="46" t="s">
        <v>50646</v>
      </c>
      <c r="G7453" s="46" t="s">
        <v>50584</v>
      </c>
      <c r="H7453" s="48" t="s">
        <v>56716</v>
      </c>
      <c r="I7453" s="48" t="s">
        <v>50564</v>
      </c>
      <c r="J7453" s="48" t="s">
        <v>56716</v>
      </c>
      <c r="K7453" s="57"/>
      <c r="L7453" s="48" t="s">
        <v>56716</v>
      </c>
    </row>
    <row r="7454" spans="1:12" ht="11.25" x14ac:dyDescent="0.2">
      <c r="A7454" s="46" t="s">
        <v>56084</v>
      </c>
      <c r="B7454" s="46" t="s">
        <v>56085</v>
      </c>
      <c r="C7454" s="58" t="str">
        <f>"15017419"</f>
        <v>15017419</v>
      </c>
      <c r="D7454" s="58" t="str">
        <f>"17453011"</f>
        <v>17453011</v>
      </c>
      <c r="E7454" s="46" t="s">
        <v>689</v>
      </c>
      <c r="F7454" s="46" t="s">
        <v>50646</v>
      </c>
      <c r="G7454" s="46" t="s">
        <v>50584</v>
      </c>
      <c r="H7454" s="48" t="s">
        <v>56716</v>
      </c>
      <c r="I7454" s="48" t="s">
        <v>50564</v>
      </c>
      <c r="J7454" s="48"/>
      <c r="K7454" s="50" t="s">
        <v>56716</v>
      </c>
      <c r="L7454" s="48"/>
    </row>
    <row r="7455" spans="1:12" ht="11.25" x14ac:dyDescent="0.2">
      <c r="A7455" s="46" t="s">
        <v>3801</v>
      </c>
      <c r="B7455" s="46" t="s">
        <v>55386</v>
      </c>
      <c r="C7455" s="58" t="str">
        <f>"00365521"</f>
        <v>00365521</v>
      </c>
      <c r="D7455" s="58" t="str">
        <f>"15027708"</f>
        <v>15027708</v>
      </c>
      <c r="E7455" s="46" t="s">
        <v>291</v>
      </c>
      <c r="F7455" s="46" t="s">
        <v>50646</v>
      </c>
      <c r="G7455" s="46" t="s">
        <v>50584</v>
      </c>
      <c r="H7455" s="48" t="s">
        <v>56716</v>
      </c>
      <c r="I7455" s="48" t="s">
        <v>50564</v>
      </c>
      <c r="J7455" s="48" t="s">
        <v>56716</v>
      </c>
      <c r="K7455" s="57"/>
      <c r="L7455" s="48" t="s">
        <v>56716</v>
      </c>
    </row>
    <row r="7456" spans="1:12" ht="11.25" x14ac:dyDescent="0.2">
      <c r="A7456" s="46" t="s">
        <v>3807</v>
      </c>
      <c r="B7456" s="46" t="s">
        <v>55387</v>
      </c>
      <c r="C7456" s="58" t="str">
        <f>"03009475"</f>
        <v>03009475</v>
      </c>
      <c r="D7456" s="58" t="str">
        <f>"13653083"</f>
        <v>13653083</v>
      </c>
      <c r="E7456" s="46" t="s">
        <v>35</v>
      </c>
      <c r="F7456" s="46" t="s">
        <v>50646</v>
      </c>
      <c r="G7456" s="46" t="s">
        <v>50584</v>
      </c>
      <c r="H7456" s="48" t="s">
        <v>56716</v>
      </c>
      <c r="I7456" s="48" t="s">
        <v>50564</v>
      </c>
      <c r="J7456" s="48" t="s">
        <v>56716</v>
      </c>
      <c r="K7456" s="57"/>
      <c r="L7456" s="48" t="s">
        <v>56716</v>
      </c>
    </row>
    <row r="7457" spans="1:12" ht="11.25" x14ac:dyDescent="0.2">
      <c r="A7457" s="46" t="s">
        <v>5962</v>
      </c>
      <c r="B7457" s="46" t="s">
        <v>55388</v>
      </c>
      <c r="C7457" s="58" t="str">
        <f>"03016323"</f>
        <v>03016323</v>
      </c>
      <c r="D7457" s="58" t="str">
        <f>"13653083"</f>
        <v>13653083</v>
      </c>
      <c r="E7457" s="46" t="s">
        <v>35</v>
      </c>
      <c r="F7457" s="46" t="s">
        <v>50646</v>
      </c>
      <c r="G7457" s="46" t="s">
        <v>50584</v>
      </c>
      <c r="H7457" s="48" t="s">
        <v>56716</v>
      </c>
      <c r="I7457" s="48" t="s">
        <v>50564</v>
      </c>
      <c r="J7457" s="48" t="s">
        <v>56716</v>
      </c>
      <c r="K7457" s="57"/>
      <c r="L7457" s="48"/>
    </row>
    <row r="7458" spans="1:12" ht="11.25" x14ac:dyDescent="0.2">
      <c r="A7458" s="46" t="s">
        <v>3804</v>
      </c>
      <c r="B7458" s="46" t="s">
        <v>55389</v>
      </c>
      <c r="C7458" s="58" t="str">
        <f>"00365548"</f>
        <v>00365548</v>
      </c>
      <c r="D7458" s="58" t="str">
        <f>"16511980"</f>
        <v>16511980</v>
      </c>
      <c r="E7458" s="46" t="s">
        <v>291</v>
      </c>
      <c r="F7458" s="46" t="s">
        <v>50646</v>
      </c>
      <c r="G7458" s="46" t="s">
        <v>50584</v>
      </c>
      <c r="H7458" s="48" t="s">
        <v>56716</v>
      </c>
      <c r="I7458" s="48" t="s">
        <v>50564</v>
      </c>
      <c r="J7458" s="48"/>
      <c r="K7458" s="57"/>
      <c r="L7458" s="48" t="s">
        <v>56716</v>
      </c>
    </row>
    <row r="7459" spans="1:12" ht="11.25" x14ac:dyDescent="0.2">
      <c r="A7459" s="46" t="s">
        <v>9001</v>
      </c>
      <c r="B7459" s="46" t="s">
        <v>55390</v>
      </c>
      <c r="C7459" s="58" t="str">
        <f>"09013393"</f>
        <v>09013393</v>
      </c>
      <c r="D7459" s="58" t="str">
        <f>""</f>
        <v/>
      </c>
      <c r="E7459" s="46" t="s">
        <v>9003</v>
      </c>
      <c r="F7459" s="46" t="s">
        <v>18130</v>
      </c>
      <c r="G7459" s="46" t="s">
        <v>50584</v>
      </c>
      <c r="H7459" s="48" t="s">
        <v>56716</v>
      </c>
      <c r="I7459" s="48" t="s">
        <v>50564</v>
      </c>
      <c r="J7459" s="48"/>
      <c r="K7459" s="57"/>
      <c r="L7459" s="48"/>
    </row>
    <row r="7460" spans="1:12" ht="11.25" x14ac:dyDescent="0.2">
      <c r="A7460" s="45" t="s">
        <v>47061</v>
      </c>
      <c r="B7460" s="45" t="s">
        <v>47063</v>
      </c>
      <c r="C7460" s="51" t="s">
        <v>47065</v>
      </c>
      <c r="D7460" s="51" t="s">
        <v>47064</v>
      </c>
      <c r="E7460" s="45" t="s">
        <v>25895</v>
      </c>
      <c r="F7460" s="45" t="s">
        <v>18305</v>
      </c>
      <c r="G7460" s="45" t="s">
        <v>50584</v>
      </c>
      <c r="H7460" s="56"/>
      <c r="I7460" s="56" t="s">
        <v>50564</v>
      </c>
      <c r="J7460" s="56"/>
      <c r="K7460" s="57"/>
      <c r="L7460" s="56" t="s">
        <v>56716</v>
      </c>
    </row>
    <row r="7461" spans="1:12" ht="11.25" x14ac:dyDescent="0.2">
      <c r="A7461" s="45" t="s">
        <v>47067</v>
      </c>
      <c r="B7461" s="45" t="s">
        <v>47069</v>
      </c>
      <c r="C7461" s="51" t="s">
        <v>47071</v>
      </c>
      <c r="D7461" s="51" t="s">
        <v>47070</v>
      </c>
      <c r="E7461" s="45" t="s">
        <v>291</v>
      </c>
      <c r="F7461" s="45" t="s">
        <v>50646</v>
      </c>
      <c r="G7461" s="45" t="s">
        <v>50584</v>
      </c>
      <c r="H7461" s="56"/>
      <c r="I7461" s="56" t="s">
        <v>50564</v>
      </c>
      <c r="J7461" s="56"/>
      <c r="K7461" s="57"/>
      <c r="L7461" s="56" t="s">
        <v>56716</v>
      </c>
    </row>
    <row r="7462" spans="1:12" ht="11.25" x14ac:dyDescent="0.2">
      <c r="A7462" s="46" t="s">
        <v>13829</v>
      </c>
      <c r="B7462" s="46" t="s">
        <v>55391</v>
      </c>
      <c r="C7462" s="58" t="str">
        <f>"18778860"</f>
        <v>18778860</v>
      </c>
      <c r="D7462" s="58" t="str">
        <f>"18778879"</f>
        <v>18778879</v>
      </c>
      <c r="E7462" s="46" t="s">
        <v>91</v>
      </c>
      <c r="F7462" s="46" t="s">
        <v>18001</v>
      </c>
      <c r="G7462" s="46" t="s">
        <v>50584</v>
      </c>
      <c r="H7462" s="48" t="s">
        <v>56716</v>
      </c>
      <c r="I7462" s="48" t="s">
        <v>50564</v>
      </c>
      <c r="J7462" s="48" t="s">
        <v>56716</v>
      </c>
      <c r="K7462" s="50" t="s">
        <v>56716</v>
      </c>
      <c r="L7462" s="48"/>
    </row>
    <row r="7463" spans="1:12" ht="11.25" x14ac:dyDescent="0.2">
      <c r="A7463" s="45" t="s">
        <v>47073</v>
      </c>
      <c r="B7463" s="45" t="s">
        <v>47075</v>
      </c>
      <c r="C7463" s="51" t="s">
        <v>47077</v>
      </c>
      <c r="D7463" s="51"/>
      <c r="E7463" s="45" t="s">
        <v>18137</v>
      </c>
      <c r="F7463" s="45" t="s">
        <v>18130</v>
      </c>
      <c r="G7463" s="45" t="s">
        <v>50584</v>
      </c>
      <c r="H7463" s="56"/>
      <c r="I7463" s="56" t="s">
        <v>50564</v>
      </c>
      <c r="J7463" s="56"/>
      <c r="K7463" s="57"/>
      <c r="L7463" s="56" t="s">
        <v>56716</v>
      </c>
    </row>
    <row r="7464" spans="1:12" ht="11.25" x14ac:dyDescent="0.2">
      <c r="A7464" s="45" t="s">
        <v>47079</v>
      </c>
      <c r="B7464" s="45" t="s">
        <v>47081</v>
      </c>
      <c r="C7464" s="51" t="s">
        <v>47083</v>
      </c>
      <c r="D7464" s="51" t="s">
        <v>47082</v>
      </c>
      <c r="E7464" s="45" t="s">
        <v>291</v>
      </c>
      <c r="F7464" s="45" t="s">
        <v>50646</v>
      </c>
      <c r="G7464" s="45" t="s">
        <v>50584</v>
      </c>
      <c r="H7464" s="56"/>
      <c r="I7464" s="56" t="s">
        <v>50564</v>
      </c>
      <c r="J7464" s="56"/>
      <c r="K7464" s="57"/>
      <c r="L7464" s="56" t="s">
        <v>56716</v>
      </c>
    </row>
    <row r="7465" spans="1:12" ht="11.25" x14ac:dyDescent="0.2">
      <c r="A7465" s="45" t="s">
        <v>47091</v>
      </c>
      <c r="B7465" s="45" t="s">
        <v>47093</v>
      </c>
      <c r="C7465" s="51" t="s">
        <v>47095</v>
      </c>
      <c r="D7465" s="51" t="s">
        <v>47094</v>
      </c>
      <c r="E7465" s="45" t="s">
        <v>21146</v>
      </c>
      <c r="F7465" s="45" t="s">
        <v>50646</v>
      </c>
      <c r="G7465" s="45" t="s">
        <v>50584</v>
      </c>
      <c r="H7465" s="56"/>
      <c r="I7465" s="56" t="s">
        <v>50564</v>
      </c>
      <c r="J7465" s="56"/>
      <c r="K7465" s="57"/>
      <c r="L7465" s="56" t="s">
        <v>56716</v>
      </c>
    </row>
    <row r="7466" spans="1:12" ht="11.25" x14ac:dyDescent="0.2">
      <c r="A7466" s="45" t="s">
        <v>47097</v>
      </c>
      <c r="B7466" s="45" t="s">
        <v>47099</v>
      </c>
      <c r="C7466" s="51" t="s">
        <v>47102</v>
      </c>
      <c r="D7466" s="51" t="s">
        <v>47101</v>
      </c>
      <c r="E7466" s="45" t="s">
        <v>19447</v>
      </c>
      <c r="F7466" s="45" t="s">
        <v>18130</v>
      </c>
      <c r="G7466" s="45" t="s">
        <v>50584</v>
      </c>
      <c r="H7466" s="56"/>
      <c r="I7466" s="56" t="s">
        <v>50564</v>
      </c>
      <c r="J7466" s="56"/>
      <c r="K7466" s="57"/>
      <c r="L7466" s="56" t="s">
        <v>56716</v>
      </c>
    </row>
    <row r="7467" spans="1:12" ht="11.25" x14ac:dyDescent="0.2">
      <c r="A7467" s="46" t="s">
        <v>3810</v>
      </c>
      <c r="B7467" s="46" t="s">
        <v>55392</v>
      </c>
      <c r="C7467" s="58" t="str">
        <f>"03009742"</f>
        <v>03009742</v>
      </c>
      <c r="D7467" s="58" t="str">
        <f>"15027732"</f>
        <v>15027732</v>
      </c>
      <c r="E7467" s="46" t="s">
        <v>291</v>
      </c>
      <c r="F7467" s="46" t="s">
        <v>50646</v>
      </c>
      <c r="G7467" s="46" t="s">
        <v>50584</v>
      </c>
      <c r="H7467" s="48" t="s">
        <v>56716</v>
      </c>
      <c r="I7467" s="48" t="s">
        <v>50564</v>
      </c>
      <c r="J7467" s="48" t="s">
        <v>56716</v>
      </c>
      <c r="K7467" s="57"/>
      <c r="L7467" s="48" t="s">
        <v>56716</v>
      </c>
    </row>
    <row r="7468" spans="1:12" ht="11.25" x14ac:dyDescent="0.2">
      <c r="A7468" s="45" t="s">
        <v>47117</v>
      </c>
      <c r="B7468" s="45" t="s">
        <v>47119</v>
      </c>
      <c r="C7468" s="51" t="s">
        <v>47121</v>
      </c>
      <c r="D7468" s="51" t="s">
        <v>56672</v>
      </c>
      <c r="E7468" s="45" t="s">
        <v>18520</v>
      </c>
      <c r="F7468" s="45" t="s">
        <v>50646</v>
      </c>
      <c r="G7468" s="45" t="s">
        <v>50584</v>
      </c>
      <c r="H7468" s="56"/>
      <c r="I7468" s="56" t="s">
        <v>50564</v>
      </c>
      <c r="J7468" s="56"/>
      <c r="K7468" s="57"/>
      <c r="L7468" s="56" t="s">
        <v>56716</v>
      </c>
    </row>
    <row r="7469" spans="1:12" ht="11.25" x14ac:dyDescent="0.2">
      <c r="A7469" s="45" t="s">
        <v>47124</v>
      </c>
      <c r="B7469" s="45" t="s">
        <v>47126</v>
      </c>
      <c r="C7469" s="51"/>
      <c r="D7469" s="51" t="s">
        <v>47128</v>
      </c>
      <c r="E7469" s="45" t="s">
        <v>18570</v>
      </c>
      <c r="F7469" s="45" t="s">
        <v>50646</v>
      </c>
      <c r="G7469" s="45" t="s">
        <v>50584</v>
      </c>
      <c r="H7469" s="56"/>
      <c r="I7469" s="56" t="s">
        <v>50564</v>
      </c>
      <c r="J7469" s="56"/>
      <c r="K7469" s="57"/>
      <c r="L7469" s="56" t="s">
        <v>56716</v>
      </c>
    </row>
    <row r="7470" spans="1:12" ht="11.25" x14ac:dyDescent="0.2">
      <c r="A7470" s="46" t="s">
        <v>5007</v>
      </c>
      <c r="B7470" s="46" t="s">
        <v>55393</v>
      </c>
      <c r="C7470" s="58" t="str">
        <f>"21681805"</f>
        <v>21681805</v>
      </c>
      <c r="D7470" s="58" t="str">
        <f>"21681813"</f>
        <v>21681813</v>
      </c>
      <c r="E7470" s="46" t="s">
        <v>291</v>
      </c>
      <c r="F7470" s="46" t="s">
        <v>50646</v>
      </c>
      <c r="G7470" s="46" t="s">
        <v>50584</v>
      </c>
      <c r="H7470" s="48" t="s">
        <v>56716</v>
      </c>
      <c r="I7470" s="48" t="s">
        <v>50564</v>
      </c>
      <c r="J7470" s="48" t="s">
        <v>56716</v>
      </c>
      <c r="K7470" s="57"/>
      <c r="L7470" s="48" t="s">
        <v>56716</v>
      </c>
    </row>
    <row r="7471" spans="1:12" ht="11.25" x14ac:dyDescent="0.2">
      <c r="A7471" s="46" t="s">
        <v>3876</v>
      </c>
      <c r="B7471" s="46" t="s">
        <v>55394</v>
      </c>
      <c r="C7471" s="58" t="str">
        <f>"03553140"</f>
        <v>03553140</v>
      </c>
      <c r="D7471" s="58" t="str">
        <f>"1795990X"</f>
        <v>1795990X</v>
      </c>
      <c r="E7471" s="46" t="s">
        <v>3879</v>
      </c>
      <c r="F7471" s="46" t="s">
        <v>27710</v>
      </c>
      <c r="G7471" s="46" t="s">
        <v>50584</v>
      </c>
      <c r="H7471" s="48" t="s">
        <v>56716</v>
      </c>
      <c r="I7471" s="48" t="s">
        <v>50564</v>
      </c>
      <c r="J7471" s="48" t="s">
        <v>56716</v>
      </c>
      <c r="K7471" s="57"/>
      <c r="L7471" s="48" t="s">
        <v>56716</v>
      </c>
    </row>
    <row r="7472" spans="1:12" ht="11.25" x14ac:dyDescent="0.2">
      <c r="A7472" s="46" t="s">
        <v>11507</v>
      </c>
      <c r="B7472" s="46" t="s">
        <v>55395</v>
      </c>
      <c r="C7472" s="58" t="str">
        <f>"03566528"</f>
        <v>03566528</v>
      </c>
      <c r="D7472" s="58" t="str">
        <f>""</f>
        <v/>
      </c>
      <c r="E7472" s="46" t="s">
        <v>11509</v>
      </c>
      <c r="F7472" s="46" t="s">
        <v>27710</v>
      </c>
      <c r="G7472" s="46" t="s">
        <v>50584</v>
      </c>
      <c r="H7472" s="48" t="s">
        <v>56716</v>
      </c>
      <c r="I7472" s="48" t="s">
        <v>50564</v>
      </c>
      <c r="J7472" s="48" t="s">
        <v>56716</v>
      </c>
      <c r="K7472" s="57"/>
      <c r="L7472" s="48"/>
    </row>
    <row r="7473" spans="1:12" ht="11.25" x14ac:dyDescent="0.2">
      <c r="A7473" s="46" t="s">
        <v>10484</v>
      </c>
      <c r="B7473" s="46" t="s">
        <v>55874</v>
      </c>
      <c r="C7473" s="58" t="str">
        <f>"01062301"</f>
        <v>01062301</v>
      </c>
      <c r="D7473" s="58" t="str">
        <f>"16000803"</f>
        <v>16000803</v>
      </c>
      <c r="E7473" s="46" t="s">
        <v>689</v>
      </c>
      <c r="F7473" s="46" t="s">
        <v>50646</v>
      </c>
      <c r="G7473" s="46" t="s">
        <v>50584</v>
      </c>
      <c r="H7473" s="48" t="s">
        <v>56716</v>
      </c>
      <c r="I7473" s="48" t="s">
        <v>50564</v>
      </c>
      <c r="J7473" s="48"/>
      <c r="K7473" s="57"/>
      <c r="L7473" s="48"/>
    </row>
    <row r="7474" spans="1:12" ht="11.25" x14ac:dyDescent="0.2">
      <c r="A7474" s="46" t="s">
        <v>3742</v>
      </c>
      <c r="B7474" s="46" t="s">
        <v>3742</v>
      </c>
      <c r="C7474" s="58" t="str">
        <f>"01610457"</f>
        <v>01610457</v>
      </c>
      <c r="D7474" s="58" t="str">
        <f>"19328745"</f>
        <v>19328745</v>
      </c>
      <c r="E7474" s="46" t="s">
        <v>517</v>
      </c>
      <c r="F7474" s="46" t="s">
        <v>17759</v>
      </c>
      <c r="G7474" s="46" t="s">
        <v>50584</v>
      </c>
      <c r="H7474" s="48" t="s">
        <v>56716</v>
      </c>
      <c r="I7474" s="48" t="s">
        <v>50564</v>
      </c>
      <c r="J7474" s="48" t="s">
        <v>56716</v>
      </c>
      <c r="K7474" s="50" t="s">
        <v>56716</v>
      </c>
      <c r="L7474" s="48" t="s">
        <v>56716</v>
      </c>
    </row>
    <row r="7475" spans="1:12" ht="11.25" x14ac:dyDescent="0.2">
      <c r="A7475" s="46" t="s">
        <v>3752</v>
      </c>
      <c r="B7475" s="46" t="s">
        <v>55396</v>
      </c>
      <c r="C7475" s="58" t="str">
        <f>"05867614"</f>
        <v>05867614</v>
      </c>
      <c r="D7475" s="58" t="str">
        <f>"17451701"</f>
        <v>17451701</v>
      </c>
      <c r="E7475" s="46" t="s">
        <v>55</v>
      </c>
      <c r="F7475" s="46" t="s">
        <v>50646</v>
      </c>
      <c r="G7475" s="46" t="s">
        <v>50584</v>
      </c>
      <c r="H7475" s="48" t="s">
        <v>56716</v>
      </c>
      <c r="I7475" s="48" t="s">
        <v>50564</v>
      </c>
      <c r="J7475" s="48" t="s">
        <v>56716</v>
      </c>
      <c r="K7475" s="57"/>
      <c r="L7475" s="48" t="s">
        <v>56716</v>
      </c>
    </row>
    <row r="7476" spans="1:12" ht="11.25" x14ac:dyDescent="0.2">
      <c r="A7476" s="46" t="s">
        <v>4607</v>
      </c>
      <c r="B7476" s="46" t="s">
        <v>55397</v>
      </c>
      <c r="C7476" s="58" t="str">
        <f>"09209964"</f>
        <v>09209964</v>
      </c>
      <c r="D7476" s="58" t="str">
        <f>"15732509"</f>
        <v>15732509</v>
      </c>
      <c r="E7476" s="46" t="s">
        <v>91</v>
      </c>
      <c r="F7476" s="46" t="s">
        <v>18001</v>
      </c>
      <c r="G7476" s="46" t="s">
        <v>50584</v>
      </c>
      <c r="H7476" s="48" t="s">
        <v>56716</v>
      </c>
      <c r="I7476" s="48" t="s">
        <v>50564</v>
      </c>
      <c r="J7476" s="48" t="s">
        <v>56716</v>
      </c>
      <c r="K7476" s="50" t="s">
        <v>56716</v>
      </c>
      <c r="L7476" s="48" t="s">
        <v>56716</v>
      </c>
    </row>
    <row r="7477" spans="1:12" ht="11.25" x14ac:dyDescent="0.2">
      <c r="A7477" s="46" t="s">
        <v>15680</v>
      </c>
      <c r="B7477" s="46" t="s">
        <v>55398</v>
      </c>
      <c r="C7477" s="58" t="str">
        <f>"20902085"</f>
        <v>20902085</v>
      </c>
      <c r="D7477" s="58" t="str">
        <f>"20902093"</f>
        <v>20902093</v>
      </c>
      <c r="E7477" s="46" t="s">
        <v>1412</v>
      </c>
      <c r="F7477" s="46" t="s">
        <v>17759</v>
      </c>
      <c r="G7477" s="46" t="s">
        <v>50584</v>
      </c>
      <c r="H7477" s="48" t="s">
        <v>56716</v>
      </c>
      <c r="I7477" s="48" t="s">
        <v>50564</v>
      </c>
      <c r="J7477" s="48" t="s">
        <v>56716</v>
      </c>
      <c r="K7477" s="57"/>
      <c r="L7477" s="48"/>
    </row>
    <row r="7478" spans="1:12" ht="11.25" x14ac:dyDescent="0.2">
      <c r="A7478" s="46" t="s">
        <v>56354</v>
      </c>
      <c r="B7478" s="46" t="s">
        <v>56355</v>
      </c>
      <c r="C7478" s="58" t="str">
        <f>"22150013"</f>
        <v>22150013</v>
      </c>
      <c r="D7478" s="58" t="str">
        <f>""</f>
        <v/>
      </c>
      <c r="E7478" s="46" t="s">
        <v>272</v>
      </c>
      <c r="F7478" s="46" t="s">
        <v>17759</v>
      </c>
      <c r="G7478" s="46" t="s">
        <v>50584</v>
      </c>
      <c r="H7478" s="48" t="s">
        <v>56716</v>
      </c>
      <c r="I7478" s="48" t="s">
        <v>50564</v>
      </c>
      <c r="J7478" s="48" t="s">
        <v>56716</v>
      </c>
      <c r="K7478" s="50" t="s">
        <v>56716</v>
      </c>
      <c r="L7478" s="48"/>
    </row>
    <row r="7479" spans="1:12" ht="11.25" x14ac:dyDescent="0.2">
      <c r="A7479" s="46" t="s">
        <v>6390</v>
      </c>
      <c r="B7479" s="46" t="s">
        <v>6390</v>
      </c>
      <c r="C7479" s="58" t="str">
        <f>"0932433X"</f>
        <v>0932433X</v>
      </c>
      <c r="D7479" s="58" t="str">
        <f>"14322129"</f>
        <v>14322129</v>
      </c>
      <c r="E7479" s="46" t="s">
        <v>167</v>
      </c>
      <c r="F7479" s="46" t="s">
        <v>18158</v>
      </c>
      <c r="G7479" s="46" t="s">
        <v>50593</v>
      </c>
      <c r="H7479" s="48" t="s">
        <v>56716</v>
      </c>
      <c r="I7479" s="48" t="s">
        <v>50564</v>
      </c>
      <c r="J7479" s="48"/>
      <c r="K7479" s="50" t="s">
        <v>56716</v>
      </c>
      <c r="L7479" s="48" t="s">
        <v>56716</v>
      </c>
    </row>
    <row r="7480" spans="1:12" ht="11.25" x14ac:dyDescent="0.2">
      <c r="A7480" s="45" t="s">
        <v>47163</v>
      </c>
      <c r="B7480" s="45" t="s">
        <v>47165</v>
      </c>
      <c r="C7480" s="51" t="s">
        <v>47167</v>
      </c>
      <c r="D7480" s="51" t="s">
        <v>47166</v>
      </c>
      <c r="E7480" s="45" t="s">
        <v>32539</v>
      </c>
      <c r="F7480" s="45" t="s">
        <v>17759</v>
      </c>
      <c r="G7480" s="45" t="s">
        <v>50584</v>
      </c>
      <c r="H7480" s="56"/>
      <c r="I7480" s="56" t="s">
        <v>50564</v>
      </c>
      <c r="J7480" s="56"/>
      <c r="K7480" s="57"/>
      <c r="L7480" s="56" t="s">
        <v>56716</v>
      </c>
    </row>
    <row r="7481" spans="1:12" ht="11.25" x14ac:dyDescent="0.2">
      <c r="A7481" s="46" t="s">
        <v>3731</v>
      </c>
      <c r="B7481" s="46" t="s">
        <v>55399</v>
      </c>
      <c r="C7481" s="58" t="str">
        <f>"02587661"</f>
        <v>02587661</v>
      </c>
      <c r="D7481" s="58" t="str">
        <f>""</f>
        <v/>
      </c>
      <c r="E7481" s="46" t="s">
        <v>3733</v>
      </c>
      <c r="F7481" s="46" t="s">
        <v>18123</v>
      </c>
      <c r="G7481" s="46" t="s">
        <v>50593</v>
      </c>
      <c r="H7481" s="48" t="s">
        <v>56716</v>
      </c>
      <c r="I7481" s="48" t="s">
        <v>50564</v>
      </c>
      <c r="J7481" s="48"/>
      <c r="K7481" s="57"/>
      <c r="L7481" s="48"/>
    </row>
    <row r="7482" spans="1:12" ht="11.25" x14ac:dyDescent="0.2">
      <c r="A7482" s="45" t="s">
        <v>47174</v>
      </c>
      <c r="B7482" s="45" t="s">
        <v>47176</v>
      </c>
      <c r="C7482" s="51" t="s">
        <v>47178</v>
      </c>
      <c r="D7482" s="51" t="s">
        <v>56673</v>
      </c>
      <c r="E7482" s="45" t="s">
        <v>56674</v>
      </c>
      <c r="F7482" s="45" t="s">
        <v>18123</v>
      </c>
      <c r="G7482" s="45" t="s">
        <v>50593</v>
      </c>
      <c r="H7482" s="56"/>
      <c r="I7482" s="56" t="s">
        <v>50564</v>
      </c>
      <c r="J7482" s="56"/>
      <c r="K7482" s="57"/>
      <c r="L7482" s="56" t="s">
        <v>56716</v>
      </c>
    </row>
    <row r="7483" spans="1:12" ht="11.25" x14ac:dyDescent="0.2">
      <c r="A7483" s="46" t="s">
        <v>9053</v>
      </c>
      <c r="B7483" s="46" t="s">
        <v>55400</v>
      </c>
      <c r="C7483" s="58" t="str">
        <f>"10150684"</f>
        <v>10150684</v>
      </c>
      <c r="D7483" s="58" t="str">
        <f>"16637607"</f>
        <v>16637607</v>
      </c>
      <c r="E7483" s="46" t="s">
        <v>109</v>
      </c>
      <c r="F7483" s="46" t="s">
        <v>18123</v>
      </c>
      <c r="G7483" s="46" t="s">
        <v>50593</v>
      </c>
      <c r="H7483" s="48" t="s">
        <v>56716</v>
      </c>
      <c r="I7483" s="48" t="s">
        <v>50564</v>
      </c>
      <c r="J7483" s="48"/>
      <c r="K7483" s="57"/>
      <c r="L7483" s="48"/>
    </row>
    <row r="7484" spans="1:12" ht="11.25" x14ac:dyDescent="0.2">
      <c r="A7484" s="46" t="s">
        <v>3734</v>
      </c>
      <c r="B7484" s="46" t="s">
        <v>3734</v>
      </c>
      <c r="C7484" s="58" t="str">
        <f>"00368075"</f>
        <v>00368075</v>
      </c>
      <c r="D7484" s="58" t="str">
        <f>"10959203"</f>
        <v>10959203</v>
      </c>
      <c r="E7484" s="46" t="s">
        <v>3737</v>
      </c>
      <c r="F7484" s="46" t="s">
        <v>17759</v>
      </c>
      <c r="G7484" s="46" t="s">
        <v>50584</v>
      </c>
      <c r="H7484" s="48" t="s">
        <v>56716</v>
      </c>
      <c r="I7484" s="48" t="s">
        <v>50564</v>
      </c>
      <c r="J7484" s="48" t="s">
        <v>56716</v>
      </c>
      <c r="K7484" s="57"/>
      <c r="L7484" s="48" t="s">
        <v>56716</v>
      </c>
    </row>
    <row r="7485" spans="1:12" ht="11.25" x14ac:dyDescent="0.2">
      <c r="A7485" s="45" t="s">
        <v>47193</v>
      </c>
      <c r="B7485" s="45" t="s">
        <v>47195</v>
      </c>
      <c r="C7485" s="51" t="s">
        <v>47197</v>
      </c>
      <c r="D7485" s="51" t="s">
        <v>47196</v>
      </c>
      <c r="E7485" s="45" t="s">
        <v>47198</v>
      </c>
      <c r="F7485" s="45" t="s">
        <v>50646</v>
      </c>
      <c r="G7485" s="45" t="s">
        <v>50584</v>
      </c>
      <c r="H7485" s="56"/>
      <c r="I7485" s="56" t="s">
        <v>50564</v>
      </c>
      <c r="J7485" s="56"/>
      <c r="K7485" s="57"/>
      <c r="L7485" s="56" t="s">
        <v>56716</v>
      </c>
    </row>
    <row r="7486" spans="1:12" ht="11.25" x14ac:dyDescent="0.2">
      <c r="A7486" s="46" t="s">
        <v>12120</v>
      </c>
      <c r="B7486" s="46" t="s">
        <v>55401</v>
      </c>
      <c r="C7486" s="58" t="str">
        <f>"13550306"</f>
        <v>13550306</v>
      </c>
      <c r="D7486" s="58" t="str">
        <f>"18764452"</f>
        <v>18764452</v>
      </c>
      <c r="E7486" s="46" t="s">
        <v>12123</v>
      </c>
      <c r="F7486" s="46" t="s">
        <v>50646</v>
      </c>
      <c r="G7486" s="46" t="s">
        <v>50584</v>
      </c>
      <c r="H7486" s="48" t="s">
        <v>56716</v>
      </c>
      <c r="I7486" s="48" t="s">
        <v>50564</v>
      </c>
      <c r="J7486" s="48"/>
      <c r="K7486" s="50" t="s">
        <v>56716</v>
      </c>
      <c r="L7486" s="48" t="s">
        <v>56716</v>
      </c>
    </row>
    <row r="7487" spans="1:12" ht="11.25" x14ac:dyDescent="0.2">
      <c r="A7487" s="46" t="s">
        <v>3749</v>
      </c>
      <c r="B7487" s="46" t="s">
        <v>55402</v>
      </c>
      <c r="C7487" s="58" t="str">
        <f>"07651597"</f>
        <v>07651597</v>
      </c>
      <c r="D7487" s="58" t="str">
        <f>"17784131"</f>
        <v>17784131</v>
      </c>
      <c r="E7487" s="46" t="s">
        <v>85</v>
      </c>
      <c r="F7487" s="46" t="s">
        <v>20359</v>
      </c>
      <c r="G7487" s="46" t="s">
        <v>50591</v>
      </c>
      <c r="H7487" s="48" t="s">
        <v>56716</v>
      </c>
      <c r="I7487" s="48" t="s">
        <v>50564</v>
      </c>
      <c r="J7487" s="48" t="s">
        <v>56716</v>
      </c>
      <c r="K7487" s="50" t="s">
        <v>56716</v>
      </c>
      <c r="L7487" s="48"/>
    </row>
    <row r="7488" spans="1:12" ht="11.25" x14ac:dyDescent="0.2">
      <c r="A7488" s="45" t="s">
        <v>47200</v>
      </c>
      <c r="B7488" s="45" t="s">
        <v>47202</v>
      </c>
      <c r="C7488" s="51" t="s">
        <v>47205</v>
      </c>
      <c r="D7488" s="51" t="s">
        <v>47204</v>
      </c>
      <c r="E7488" s="45" t="s">
        <v>47206</v>
      </c>
      <c r="F7488" s="45" t="s">
        <v>17958</v>
      </c>
      <c r="G7488" s="45" t="s">
        <v>50584</v>
      </c>
      <c r="H7488" s="56"/>
      <c r="I7488" s="56" t="s">
        <v>50564</v>
      </c>
      <c r="J7488" s="56"/>
      <c r="K7488" s="57"/>
      <c r="L7488" s="56" t="s">
        <v>56716</v>
      </c>
    </row>
    <row r="7489" spans="1:12" ht="11.25" x14ac:dyDescent="0.2">
      <c r="A7489" s="45" t="s">
        <v>47208</v>
      </c>
      <c r="B7489" s="45" t="s">
        <v>47210</v>
      </c>
      <c r="C7489" s="51" t="s">
        <v>47211</v>
      </c>
      <c r="D7489" s="51"/>
      <c r="E7489" s="45" t="s">
        <v>724</v>
      </c>
      <c r="F7489" s="45" t="s">
        <v>50646</v>
      </c>
      <c r="G7489" s="45" t="s">
        <v>50584</v>
      </c>
      <c r="H7489" s="56"/>
      <c r="I7489" s="56" t="s">
        <v>50564</v>
      </c>
      <c r="J7489" s="56"/>
      <c r="K7489" s="57"/>
      <c r="L7489" s="56" t="s">
        <v>56716</v>
      </c>
    </row>
    <row r="7490" spans="1:12" ht="11.25" x14ac:dyDescent="0.2">
      <c r="A7490" s="46" t="s">
        <v>3855</v>
      </c>
      <c r="B7490" s="46" t="s">
        <v>55403</v>
      </c>
      <c r="C7490" s="58" t="str">
        <f>"00489697"</f>
        <v>00489697</v>
      </c>
      <c r="D7490" s="58" t="str">
        <f>"18791026"</f>
        <v>18791026</v>
      </c>
      <c r="E7490" s="46" t="s">
        <v>91</v>
      </c>
      <c r="F7490" s="46" t="s">
        <v>18001</v>
      </c>
      <c r="G7490" s="46" t="s">
        <v>50584</v>
      </c>
      <c r="H7490" s="48" t="s">
        <v>56716</v>
      </c>
      <c r="I7490" s="48" t="s">
        <v>50564</v>
      </c>
      <c r="J7490" s="48" t="s">
        <v>56716</v>
      </c>
      <c r="K7490" s="50" t="s">
        <v>56716</v>
      </c>
      <c r="L7490" s="48" t="s">
        <v>56716</v>
      </c>
    </row>
    <row r="7491" spans="1:12" ht="11.25" x14ac:dyDescent="0.2">
      <c r="A7491" s="45" t="s">
        <v>47218</v>
      </c>
      <c r="B7491" s="45" t="s">
        <v>47220</v>
      </c>
      <c r="C7491" s="51" t="s">
        <v>47222</v>
      </c>
      <c r="D7491" s="51"/>
      <c r="E7491" s="45" t="s">
        <v>47223</v>
      </c>
      <c r="F7491" s="45" t="s">
        <v>50646</v>
      </c>
      <c r="G7491" s="45" t="s">
        <v>50584</v>
      </c>
      <c r="H7491" s="56"/>
      <c r="I7491" s="56" t="s">
        <v>50564</v>
      </c>
      <c r="J7491" s="56"/>
      <c r="K7491" s="57"/>
      <c r="L7491" s="56" t="s">
        <v>56716</v>
      </c>
    </row>
    <row r="7492" spans="1:12" ht="11.25" x14ac:dyDescent="0.2">
      <c r="A7492" s="46" t="s">
        <v>13901</v>
      </c>
      <c r="B7492" s="46" t="s">
        <v>55404</v>
      </c>
      <c r="C7492" s="58" t="str">
        <f>"19450877"</f>
        <v>19450877</v>
      </c>
      <c r="D7492" s="58" t="str">
        <f>"19379145"</f>
        <v>19379145</v>
      </c>
      <c r="E7492" s="46" t="s">
        <v>3737</v>
      </c>
      <c r="F7492" s="46" t="s">
        <v>17759</v>
      </c>
      <c r="G7492" s="46" t="s">
        <v>50584</v>
      </c>
      <c r="H7492" s="48" t="s">
        <v>56716</v>
      </c>
      <c r="I7492" s="48" t="s">
        <v>50564</v>
      </c>
      <c r="J7492" s="48" t="s">
        <v>56716</v>
      </c>
      <c r="K7492" s="57"/>
      <c r="L7492" s="48" t="s">
        <v>56716</v>
      </c>
    </row>
    <row r="7493" spans="1:12" ht="11.25" x14ac:dyDescent="0.2">
      <c r="A7493" s="46" t="s">
        <v>14417</v>
      </c>
      <c r="B7493" s="46" t="s">
        <v>55405</v>
      </c>
      <c r="C7493" s="58" t="str">
        <f>"19466234"</f>
        <v>19466234</v>
      </c>
      <c r="D7493" s="58" t="str">
        <f>"19466242"</f>
        <v>19466242</v>
      </c>
      <c r="E7493" s="46" t="s">
        <v>3737</v>
      </c>
      <c r="F7493" s="46" t="s">
        <v>17759</v>
      </c>
      <c r="G7493" s="46" t="s">
        <v>50584</v>
      </c>
      <c r="H7493" s="48" t="s">
        <v>56716</v>
      </c>
      <c r="I7493" s="48" t="s">
        <v>50564</v>
      </c>
      <c r="J7493" s="48" t="s">
        <v>56716</v>
      </c>
      <c r="K7493" s="57"/>
      <c r="L7493" s="48" t="s">
        <v>56716</v>
      </c>
    </row>
    <row r="7494" spans="1:12" ht="11.25" x14ac:dyDescent="0.2">
      <c r="A7494" s="45" t="s">
        <v>47235</v>
      </c>
      <c r="B7494" s="45" t="s">
        <v>47237</v>
      </c>
      <c r="C7494" s="51" t="s">
        <v>47239</v>
      </c>
      <c r="D7494" s="51" t="s">
        <v>56675</v>
      </c>
      <c r="E7494" s="45" t="s">
        <v>47240</v>
      </c>
      <c r="F7494" s="45" t="s">
        <v>18959</v>
      </c>
      <c r="G7494" s="45" t="s">
        <v>50590</v>
      </c>
      <c r="H7494" s="56"/>
      <c r="I7494" s="56" t="s">
        <v>50564</v>
      </c>
      <c r="J7494" s="56"/>
      <c r="K7494" s="57"/>
      <c r="L7494" s="56" t="s">
        <v>56716</v>
      </c>
    </row>
    <row r="7495" spans="1:12" ht="11.25" x14ac:dyDescent="0.2">
      <c r="A7495" s="46" t="s">
        <v>15069</v>
      </c>
      <c r="B7495" s="46" t="s">
        <v>55406</v>
      </c>
      <c r="C7495" s="58" t="str">
        <f>"18065562"</f>
        <v>18065562</v>
      </c>
      <c r="D7495" s="58" t="str">
        <f>"19806108"</f>
        <v>19806108</v>
      </c>
      <c r="E7495" s="46" t="s">
        <v>15072</v>
      </c>
      <c r="F7495" s="46" t="s">
        <v>18058</v>
      </c>
      <c r="G7495" s="46" t="s">
        <v>50635</v>
      </c>
      <c r="H7495" s="48" t="s">
        <v>56716</v>
      </c>
      <c r="I7495" s="48" t="s">
        <v>50564</v>
      </c>
      <c r="J7495" s="48"/>
      <c r="K7495" s="57"/>
      <c r="L7495" s="48"/>
    </row>
    <row r="7496" spans="1:12" ht="11.25" x14ac:dyDescent="0.2">
      <c r="A7496" s="46" t="s">
        <v>3745</v>
      </c>
      <c r="B7496" s="46" t="s">
        <v>55407</v>
      </c>
      <c r="C7496" s="58" t="str">
        <f>"00368709"</f>
        <v>00368709</v>
      </c>
      <c r="D7496" s="58" t="str">
        <f>"22180532"</f>
        <v>22180532</v>
      </c>
      <c r="E7496" s="46" t="s">
        <v>3748</v>
      </c>
      <c r="F7496" s="46" t="s">
        <v>18288</v>
      </c>
      <c r="G7496" s="46" t="s">
        <v>50592</v>
      </c>
      <c r="H7496" s="48" t="s">
        <v>56716</v>
      </c>
      <c r="I7496" s="48" t="s">
        <v>50564</v>
      </c>
      <c r="J7496" s="48"/>
      <c r="K7496" s="57"/>
      <c r="L7496" s="48"/>
    </row>
    <row r="7497" spans="1:12" ht="11.25" x14ac:dyDescent="0.2">
      <c r="A7497" s="45" t="s">
        <v>47242</v>
      </c>
      <c r="B7497" s="45" t="s">
        <v>47244</v>
      </c>
      <c r="C7497" s="51" t="s">
        <v>47245</v>
      </c>
      <c r="D7497" s="51"/>
      <c r="E7497" s="45" t="s">
        <v>47242</v>
      </c>
      <c r="F7497" s="45" t="s">
        <v>17759</v>
      </c>
      <c r="G7497" s="45" t="s">
        <v>50584</v>
      </c>
      <c r="H7497" s="56"/>
      <c r="I7497" s="56" t="s">
        <v>50564</v>
      </c>
      <c r="J7497" s="56"/>
      <c r="K7497" s="57"/>
      <c r="L7497" s="56" t="s">
        <v>56716</v>
      </c>
    </row>
    <row r="7498" spans="1:12" ht="11.25" x14ac:dyDescent="0.2">
      <c r="A7498" s="46" t="s">
        <v>14259</v>
      </c>
      <c r="B7498" s="46" t="s">
        <v>55408</v>
      </c>
      <c r="C7498" s="58" t="str">
        <f>"1560652X"</f>
        <v>1560652X</v>
      </c>
      <c r="D7498" s="58" t="str">
        <f>""</f>
        <v/>
      </c>
      <c r="E7498" s="46" t="s">
        <v>14261</v>
      </c>
      <c r="F7498" s="46" t="s">
        <v>18232</v>
      </c>
      <c r="G7498" s="46" t="s">
        <v>50609</v>
      </c>
      <c r="H7498" s="48" t="s">
        <v>56716</v>
      </c>
      <c r="I7498" s="48" t="s">
        <v>50564</v>
      </c>
      <c r="J7498" s="48"/>
      <c r="K7498" s="57"/>
      <c r="L7498" s="48"/>
    </row>
    <row r="7499" spans="1:12" ht="11.25" x14ac:dyDescent="0.2">
      <c r="A7499" s="45" t="s">
        <v>47248</v>
      </c>
      <c r="B7499" s="45" t="s">
        <v>47250</v>
      </c>
      <c r="C7499" s="51"/>
      <c r="D7499" s="51" t="s">
        <v>47251</v>
      </c>
      <c r="E7499" s="45" t="s">
        <v>315</v>
      </c>
      <c r="F7499" s="45" t="s">
        <v>50646</v>
      </c>
      <c r="G7499" s="45" t="s">
        <v>50584</v>
      </c>
      <c r="H7499" s="56"/>
      <c r="I7499" s="56" t="s">
        <v>50564</v>
      </c>
      <c r="J7499" s="56"/>
      <c r="K7499" s="57"/>
      <c r="L7499" s="56" t="s">
        <v>56716</v>
      </c>
    </row>
    <row r="7500" spans="1:12" ht="11.25" x14ac:dyDescent="0.2">
      <c r="A7500" s="46" t="s">
        <v>56367</v>
      </c>
      <c r="B7500" s="46" t="s">
        <v>55409</v>
      </c>
      <c r="C7500" s="58" t="str">
        <f>"23566140"</f>
        <v>23566140</v>
      </c>
      <c r="D7500" s="58" t="str">
        <f>"1537744X"</f>
        <v>1537744X</v>
      </c>
      <c r="E7500" s="46" t="s">
        <v>1412</v>
      </c>
      <c r="F7500" s="46" t="s">
        <v>17759</v>
      </c>
      <c r="G7500" s="46" t="s">
        <v>50584</v>
      </c>
      <c r="H7500" s="48" t="s">
        <v>56716</v>
      </c>
      <c r="I7500" s="48" t="s">
        <v>50564</v>
      </c>
      <c r="J7500" s="48"/>
      <c r="K7500" s="57"/>
      <c r="L7500" s="48" t="s">
        <v>56716</v>
      </c>
    </row>
    <row r="7501" spans="1:12" ht="11.25" x14ac:dyDescent="0.2">
      <c r="A7501" s="46" t="s">
        <v>11681</v>
      </c>
      <c r="B7501" s="46" t="s">
        <v>11681</v>
      </c>
      <c r="C7501" s="58" t="str">
        <f>""</f>
        <v/>
      </c>
      <c r="D7501" s="58" t="str">
        <f>"17487161"</f>
        <v>17487161</v>
      </c>
      <c r="E7501" s="46" t="s">
        <v>2299</v>
      </c>
      <c r="F7501" s="46" t="s">
        <v>50646</v>
      </c>
      <c r="G7501" s="46" t="s">
        <v>50584</v>
      </c>
      <c r="H7501" s="48" t="s">
        <v>56716</v>
      </c>
      <c r="I7501" s="48" t="s">
        <v>50564</v>
      </c>
      <c r="J7501" s="48" t="s">
        <v>56716</v>
      </c>
      <c r="K7501" s="50" t="s">
        <v>56716</v>
      </c>
      <c r="L7501" s="48"/>
    </row>
    <row r="7502" spans="1:12" ht="11.25" x14ac:dyDescent="0.2">
      <c r="A7502" s="46" t="s">
        <v>3830</v>
      </c>
      <c r="B7502" s="46" t="s">
        <v>55410</v>
      </c>
      <c r="C7502" s="58" t="str">
        <f>"00369330"</f>
        <v>00369330</v>
      </c>
      <c r="D7502" s="58" t="str">
        <f>"20456441"</f>
        <v>20456441</v>
      </c>
      <c r="E7502" s="46" t="s">
        <v>97</v>
      </c>
      <c r="F7502" s="46" t="s">
        <v>50646</v>
      </c>
      <c r="G7502" s="46" t="s">
        <v>50584</v>
      </c>
      <c r="H7502" s="48" t="s">
        <v>56716</v>
      </c>
      <c r="I7502" s="48" t="s">
        <v>50564</v>
      </c>
      <c r="J7502" s="48"/>
      <c r="K7502" s="57"/>
      <c r="L7502" s="48" t="s">
        <v>56716</v>
      </c>
    </row>
    <row r="7503" spans="1:12" ht="11.25" x14ac:dyDescent="0.2">
      <c r="A7503" s="46" t="s">
        <v>7876</v>
      </c>
      <c r="B7503" s="46" t="s">
        <v>55411</v>
      </c>
      <c r="C7503" s="58" t="str">
        <f>"11382074"</f>
        <v>11382074</v>
      </c>
      <c r="D7503" s="58" t="str">
        <f>"21719721"</f>
        <v>21719721</v>
      </c>
      <c r="E7503" s="46" t="s">
        <v>175</v>
      </c>
      <c r="F7503" s="46" t="s">
        <v>18439</v>
      </c>
      <c r="G7503" s="46" t="s">
        <v>50632</v>
      </c>
      <c r="H7503" s="48" t="s">
        <v>56716</v>
      </c>
      <c r="I7503" s="48" t="s">
        <v>50564</v>
      </c>
      <c r="J7503" s="48"/>
      <c r="K7503" s="57"/>
      <c r="L7503" s="48"/>
    </row>
    <row r="7504" spans="1:12" ht="11.25" x14ac:dyDescent="0.2">
      <c r="A7504" s="45" t="s">
        <v>47259</v>
      </c>
      <c r="B7504" s="45" t="s">
        <v>47261</v>
      </c>
      <c r="C7504" s="51" t="s">
        <v>47262</v>
      </c>
      <c r="D7504" s="51"/>
      <c r="E7504" s="45" t="s">
        <v>47263</v>
      </c>
      <c r="F7504" s="45" t="s">
        <v>17958</v>
      </c>
      <c r="G7504" s="45" t="s">
        <v>50586</v>
      </c>
      <c r="H7504" s="56"/>
      <c r="I7504" s="56" t="s">
        <v>50564</v>
      </c>
      <c r="J7504" s="56"/>
      <c r="K7504" s="57"/>
      <c r="L7504" s="56" t="s">
        <v>56716</v>
      </c>
    </row>
    <row r="7505" spans="1:12" ht="11.25" x14ac:dyDescent="0.2">
      <c r="A7505" s="45" t="s">
        <v>47265</v>
      </c>
      <c r="B7505" s="45" t="s">
        <v>47267</v>
      </c>
      <c r="C7505" s="51"/>
      <c r="D7505" s="51"/>
      <c r="E7505" s="45" t="s">
        <v>21108</v>
      </c>
      <c r="F7505" s="45" t="s">
        <v>17759</v>
      </c>
      <c r="G7505" s="45" t="s">
        <v>50584</v>
      </c>
      <c r="H7505" s="56"/>
      <c r="I7505" s="56" t="s">
        <v>50564</v>
      </c>
      <c r="J7505" s="56"/>
      <c r="K7505" s="57"/>
      <c r="L7505" s="56" t="s">
        <v>56716</v>
      </c>
    </row>
    <row r="7506" spans="1:12" ht="11.25" x14ac:dyDescent="0.2">
      <c r="A7506" s="45" t="s">
        <v>47270</v>
      </c>
      <c r="B7506" s="45" t="s">
        <v>47272</v>
      </c>
      <c r="C7506" s="51" t="s">
        <v>47274</v>
      </c>
      <c r="D7506" s="51"/>
      <c r="E7506" s="45" t="s">
        <v>47275</v>
      </c>
      <c r="F7506" s="45" t="s">
        <v>18242</v>
      </c>
      <c r="G7506" s="45" t="s">
        <v>50605</v>
      </c>
      <c r="H7506" s="56"/>
      <c r="I7506" s="56" t="s">
        <v>50564</v>
      </c>
      <c r="J7506" s="56"/>
      <c r="K7506" s="57"/>
      <c r="L7506" s="56" t="s">
        <v>56716</v>
      </c>
    </row>
    <row r="7507" spans="1:12" ht="11.25" x14ac:dyDescent="0.2">
      <c r="A7507" s="45" t="s">
        <v>47277</v>
      </c>
      <c r="B7507" s="45" t="s">
        <v>47279</v>
      </c>
      <c r="C7507" s="51" t="s">
        <v>47281</v>
      </c>
      <c r="D7507" s="51"/>
      <c r="E7507" s="45" t="s">
        <v>47282</v>
      </c>
      <c r="F7507" s="45" t="s">
        <v>18242</v>
      </c>
      <c r="G7507" s="45" t="s">
        <v>50605</v>
      </c>
      <c r="H7507" s="56"/>
      <c r="I7507" s="56" t="s">
        <v>50564</v>
      </c>
      <c r="J7507" s="56"/>
      <c r="K7507" s="57"/>
      <c r="L7507" s="56" t="s">
        <v>56716</v>
      </c>
    </row>
    <row r="7508" spans="1:12" ht="11.25" x14ac:dyDescent="0.2">
      <c r="A7508" s="46" t="s">
        <v>5965</v>
      </c>
      <c r="B7508" s="46" t="s">
        <v>5965</v>
      </c>
      <c r="C7508" s="58" t="str">
        <f>"10591311"</f>
        <v>10591311</v>
      </c>
      <c r="D7508" s="58" t="str">
        <f>"15322688"</f>
        <v>15322688</v>
      </c>
      <c r="E7508" s="46" t="s">
        <v>1177</v>
      </c>
      <c r="F7508" s="46" t="s">
        <v>50646</v>
      </c>
      <c r="G7508" s="46" t="s">
        <v>50584</v>
      </c>
      <c r="H7508" s="48" t="s">
        <v>56716</v>
      </c>
      <c r="I7508" s="48" t="s">
        <v>50564</v>
      </c>
      <c r="J7508" s="48" t="s">
        <v>56716</v>
      </c>
      <c r="K7508" s="50" t="s">
        <v>56716</v>
      </c>
      <c r="L7508" s="48" t="s">
        <v>56716</v>
      </c>
    </row>
    <row r="7509" spans="1:12" ht="11.25" x14ac:dyDescent="0.2">
      <c r="A7509" s="46" t="s">
        <v>10474</v>
      </c>
      <c r="B7509" s="46" t="s">
        <v>55412</v>
      </c>
      <c r="C7509" s="58" t="str">
        <f>"17316677"</f>
        <v>17316677</v>
      </c>
      <c r="D7509" s="58" t="str">
        <f>"17319544"</f>
        <v>17319544</v>
      </c>
      <c r="E7509" s="46" t="s">
        <v>1462</v>
      </c>
      <c r="F7509" s="46" t="s">
        <v>17967</v>
      </c>
      <c r="G7509" s="46" t="s">
        <v>50612</v>
      </c>
      <c r="H7509" s="48" t="s">
        <v>56716</v>
      </c>
      <c r="I7509" s="48" t="s">
        <v>50564</v>
      </c>
      <c r="J7509" s="48"/>
      <c r="K7509" s="57"/>
      <c r="L7509" s="48"/>
    </row>
    <row r="7510" spans="1:12" ht="11.25" x14ac:dyDescent="0.2">
      <c r="A7510" s="45" t="s">
        <v>47287</v>
      </c>
      <c r="B7510" s="45" t="s">
        <v>47289</v>
      </c>
      <c r="C7510" s="51" t="s">
        <v>47292</v>
      </c>
      <c r="D7510" s="51" t="s">
        <v>47291</v>
      </c>
      <c r="E7510" s="45" t="s">
        <v>47293</v>
      </c>
      <c r="F7510" s="45" t="s">
        <v>18439</v>
      </c>
      <c r="G7510" s="45" t="s">
        <v>50632</v>
      </c>
      <c r="H7510" s="56"/>
      <c r="I7510" s="56" t="s">
        <v>50564</v>
      </c>
      <c r="J7510" s="56"/>
      <c r="K7510" s="57"/>
      <c r="L7510" s="56" t="s">
        <v>56716</v>
      </c>
    </row>
    <row r="7511" spans="1:12" ht="11.25" x14ac:dyDescent="0.2">
      <c r="A7511" s="46" t="s">
        <v>9191</v>
      </c>
      <c r="B7511" s="46" t="s">
        <v>55413</v>
      </c>
      <c r="C7511" s="58" t="str">
        <f>"15773566"</f>
        <v>15773566</v>
      </c>
      <c r="D7511" s="58" t="str">
        <f>"19883099"</f>
        <v>19883099</v>
      </c>
      <c r="E7511" s="46" t="s">
        <v>1683</v>
      </c>
      <c r="F7511" s="46" t="s">
        <v>18439</v>
      </c>
      <c r="G7511" s="46" t="s">
        <v>50632</v>
      </c>
      <c r="H7511" s="48" t="s">
        <v>56716</v>
      </c>
      <c r="I7511" s="48" t="s">
        <v>50564</v>
      </c>
      <c r="J7511" s="48"/>
      <c r="K7511" s="57"/>
      <c r="L7511" s="48"/>
    </row>
    <row r="7512" spans="1:12" ht="11.25" x14ac:dyDescent="0.2">
      <c r="A7512" s="46" t="s">
        <v>3716</v>
      </c>
      <c r="B7512" s="46" t="s">
        <v>55414</v>
      </c>
      <c r="C7512" s="58" t="str">
        <f>"00490172"</f>
        <v>00490172</v>
      </c>
      <c r="D7512" s="58" t="str">
        <f>"1532866X"</f>
        <v>1532866X</v>
      </c>
      <c r="E7512" s="46" t="s">
        <v>303</v>
      </c>
      <c r="F7512" s="46" t="s">
        <v>17759</v>
      </c>
      <c r="G7512" s="46" t="s">
        <v>50584</v>
      </c>
      <c r="H7512" s="48" t="s">
        <v>56716</v>
      </c>
      <c r="I7512" s="48" t="s">
        <v>50564</v>
      </c>
      <c r="J7512" s="48" t="s">
        <v>56716</v>
      </c>
      <c r="K7512" s="50" t="s">
        <v>56716</v>
      </c>
      <c r="L7512" s="48" t="s">
        <v>56716</v>
      </c>
    </row>
    <row r="7513" spans="1:12" ht="11.25" x14ac:dyDescent="0.2">
      <c r="A7513" s="46" t="s">
        <v>5495</v>
      </c>
      <c r="B7513" s="46" t="s">
        <v>55415</v>
      </c>
      <c r="C7513" s="58" t="str">
        <f>"10454527"</f>
        <v>10454527</v>
      </c>
      <c r="D7513" s="58" t="str">
        <f>"15584437"</f>
        <v>15584437</v>
      </c>
      <c r="E7513" s="46" t="s">
        <v>303</v>
      </c>
      <c r="F7513" s="46" t="s">
        <v>17759</v>
      </c>
      <c r="G7513" s="46" t="s">
        <v>50584</v>
      </c>
      <c r="H7513" s="48" t="s">
        <v>56716</v>
      </c>
      <c r="I7513" s="48" t="s">
        <v>50564</v>
      </c>
      <c r="J7513" s="48"/>
      <c r="K7513" s="50" t="s">
        <v>56716</v>
      </c>
      <c r="L7513" s="48"/>
    </row>
    <row r="7514" spans="1:12" ht="11.25" x14ac:dyDescent="0.2">
      <c r="A7514" s="46" t="s">
        <v>5492</v>
      </c>
      <c r="B7514" s="46" t="s">
        <v>55416</v>
      </c>
      <c r="C7514" s="58" t="str">
        <f>"1044579X"</f>
        <v>1044579X</v>
      </c>
      <c r="D7514" s="58" t="str">
        <f>"10963650"</f>
        <v>10963650</v>
      </c>
      <c r="E7514" s="46" t="s">
        <v>601</v>
      </c>
      <c r="F7514" s="46" t="s">
        <v>50646</v>
      </c>
      <c r="G7514" s="46" t="s">
        <v>50584</v>
      </c>
      <c r="H7514" s="48" t="s">
        <v>56716</v>
      </c>
      <c r="I7514" s="48" t="s">
        <v>50564</v>
      </c>
      <c r="J7514" s="48"/>
      <c r="K7514" s="50" t="s">
        <v>56716</v>
      </c>
      <c r="L7514" s="48" t="s">
        <v>56716</v>
      </c>
    </row>
    <row r="7515" spans="1:12" ht="11.25" x14ac:dyDescent="0.2">
      <c r="A7515" s="46" t="s">
        <v>7551</v>
      </c>
      <c r="B7515" s="46" t="s">
        <v>55417</v>
      </c>
      <c r="C7515" s="58" t="str">
        <f>"10892532"</f>
        <v>10892532</v>
      </c>
      <c r="D7515" s="58" t="str">
        <f>"19405596"</f>
        <v>19405596</v>
      </c>
      <c r="E7515" s="46" t="s">
        <v>493</v>
      </c>
      <c r="F7515" s="46" t="s">
        <v>17759</v>
      </c>
      <c r="G7515" s="46" t="s">
        <v>50584</v>
      </c>
      <c r="H7515" s="48" t="s">
        <v>56716</v>
      </c>
      <c r="I7515" s="48" t="s">
        <v>50564</v>
      </c>
      <c r="J7515" s="48"/>
      <c r="K7515" s="57"/>
      <c r="L7515" s="48" t="s">
        <v>56716</v>
      </c>
    </row>
    <row r="7516" spans="1:12" ht="11.25" x14ac:dyDescent="0.2">
      <c r="A7516" s="46" t="s">
        <v>56271</v>
      </c>
      <c r="B7516" s="46" t="s">
        <v>56272</v>
      </c>
      <c r="C7516" s="58" t="str">
        <f>""</f>
        <v/>
      </c>
      <c r="D7516" s="58" t="str">
        <f>"18227767"</f>
        <v>18227767</v>
      </c>
      <c r="E7516" s="46" t="s">
        <v>56253</v>
      </c>
      <c r="F7516" s="46" t="s">
        <v>17967</v>
      </c>
      <c r="G7516" s="46" t="s">
        <v>50584</v>
      </c>
      <c r="H7516" s="48" t="s">
        <v>56716</v>
      </c>
      <c r="I7516" s="48" t="s">
        <v>50564</v>
      </c>
      <c r="J7516" s="48" t="s">
        <v>56716</v>
      </c>
      <c r="K7516" s="57"/>
      <c r="L7516" s="48"/>
    </row>
    <row r="7517" spans="1:12" ht="11.25" x14ac:dyDescent="0.2">
      <c r="A7517" s="46" t="s">
        <v>7589</v>
      </c>
      <c r="B7517" s="46" t="s">
        <v>55418</v>
      </c>
      <c r="C7517" s="58" t="str">
        <f>"10849521"</f>
        <v>10849521</v>
      </c>
      <c r="D7517" s="58" t="str">
        <f>"10963634"</f>
        <v>10963634</v>
      </c>
      <c r="E7517" s="46" t="s">
        <v>601</v>
      </c>
      <c r="F7517" s="46" t="s">
        <v>50646</v>
      </c>
      <c r="G7517" s="46" t="s">
        <v>50584</v>
      </c>
      <c r="H7517" s="48" t="s">
        <v>56716</v>
      </c>
      <c r="I7517" s="48" t="s">
        <v>50564</v>
      </c>
      <c r="J7517" s="48"/>
      <c r="K7517" s="50" t="s">
        <v>56716</v>
      </c>
      <c r="L7517" s="48" t="s">
        <v>56716</v>
      </c>
    </row>
    <row r="7518" spans="1:12" ht="11.25" x14ac:dyDescent="0.2">
      <c r="A7518" s="46" t="s">
        <v>5489</v>
      </c>
      <c r="B7518" s="46" t="s">
        <v>55419</v>
      </c>
      <c r="C7518" s="58" t="str">
        <f>"10431489"</f>
        <v>10431489</v>
      </c>
      <c r="D7518" s="58" t="str">
        <f>"15584585"</f>
        <v>15584585</v>
      </c>
      <c r="E7518" s="46" t="s">
        <v>303</v>
      </c>
      <c r="F7518" s="46" t="s">
        <v>17759</v>
      </c>
      <c r="G7518" s="46" t="s">
        <v>50584</v>
      </c>
      <c r="H7518" s="48" t="s">
        <v>56716</v>
      </c>
      <c r="I7518" s="48" t="s">
        <v>50564</v>
      </c>
      <c r="J7518" s="48"/>
      <c r="K7518" s="57"/>
      <c r="L7518" s="48"/>
    </row>
    <row r="7519" spans="1:12" ht="11.25" x14ac:dyDescent="0.2">
      <c r="A7519" s="46" t="s">
        <v>7125</v>
      </c>
      <c r="B7519" s="46" t="s">
        <v>55420</v>
      </c>
      <c r="C7519" s="58" t="str">
        <f>"10855629"</f>
        <v>10855629</v>
      </c>
      <c r="D7519" s="58" t="str">
        <f>"15580768"</f>
        <v>15580768</v>
      </c>
      <c r="E7519" s="46" t="s">
        <v>7128</v>
      </c>
      <c r="F7519" s="46" t="s">
        <v>17759</v>
      </c>
      <c r="G7519" s="46" t="s">
        <v>50584</v>
      </c>
      <c r="H7519" s="48" t="s">
        <v>56716</v>
      </c>
      <c r="I7519" s="48" t="s">
        <v>50564</v>
      </c>
      <c r="J7519" s="48"/>
      <c r="K7519" s="57"/>
      <c r="L7519" s="48" t="s">
        <v>56716</v>
      </c>
    </row>
    <row r="7520" spans="1:12" ht="11.25" x14ac:dyDescent="0.2">
      <c r="A7520" s="46" t="s">
        <v>3758</v>
      </c>
      <c r="B7520" s="46" t="s">
        <v>55421</v>
      </c>
      <c r="C7520" s="58" t="str">
        <f>"07402570"</f>
        <v>07402570</v>
      </c>
      <c r="D7520" s="58" t="str">
        <f>"19301111"</f>
        <v>19301111</v>
      </c>
      <c r="E7520" s="46" t="s">
        <v>303</v>
      </c>
      <c r="F7520" s="46" t="s">
        <v>17759</v>
      </c>
      <c r="G7520" s="46" t="s">
        <v>50584</v>
      </c>
      <c r="H7520" s="48" t="s">
        <v>56716</v>
      </c>
      <c r="I7520" s="48" t="s">
        <v>50564</v>
      </c>
      <c r="J7520" s="48" t="s">
        <v>56716</v>
      </c>
      <c r="K7520" s="50" t="s">
        <v>56716</v>
      </c>
      <c r="L7520" s="48" t="s">
        <v>56716</v>
      </c>
    </row>
    <row r="7521" spans="1:12" ht="11.25" x14ac:dyDescent="0.2">
      <c r="A7521" s="45" t="s">
        <v>47322</v>
      </c>
      <c r="B7521" s="45" t="s">
        <v>47324</v>
      </c>
      <c r="C7521" s="51" t="s">
        <v>47326</v>
      </c>
      <c r="D7521" s="51" t="s">
        <v>47325</v>
      </c>
      <c r="E7521" s="45" t="s">
        <v>22893</v>
      </c>
      <c r="F7521" s="45" t="s">
        <v>17759</v>
      </c>
      <c r="G7521" s="45" t="s">
        <v>50584</v>
      </c>
      <c r="H7521" s="56"/>
      <c r="I7521" s="56" t="s">
        <v>50564</v>
      </c>
      <c r="J7521" s="56"/>
      <c r="K7521" s="57"/>
      <c r="L7521" s="56" t="s">
        <v>56716</v>
      </c>
    </row>
    <row r="7522" spans="1:12" ht="11.25" x14ac:dyDescent="0.2">
      <c r="A7522" s="46" t="s">
        <v>10708</v>
      </c>
      <c r="B7522" s="46" t="s">
        <v>55422</v>
      </c>
      <c r="C7522" s="58" t="str">
        <f>"1744165X"</f>
        <v>1744165X</v>
      </c>
      <c r="D7522" s="58" t="str">
        <f>"18780946"</f>
        <v>18780946</v>
      </c>
      <c r="E7522" s="46" t="s">
        <v>1177</v>
      </c>
      <c r="F7522" s="46" t="s">
        <v>50646</v>
      </c>
      <c r="G7522" s="46" t="s">
        <v>50584</v>
      </c>
      <c r="H7522" s="48" t="s">
        <v>56716</v>
      </c>
      <c r="I7522" s="48" t="s">
        <v>50564</v>
      </c>
      <c r="J7522" s="48"/>
      <c r="K7522" s="50" t="s">
        <v>56716</v>
      </c>
      <c r="L7522" s="48" t="s">
        <v>56716</v>
      </c>
    </row>
    <row r="7523" spans="1:12" ht="11.25" x14ac:dyDescent="0.2">
      <c r="A7523" s="46" t="s">
        <v>3767</v>
      </c>
      <c r="B7523" s="46" t="s">
        <v>55423</v>
      </c>
      <c r="C7523" s="58" t="str">
        <f>"07340451"</f>
        <v>07340451</v>
      </c>
      <c r="D7523" s="58" t="str">
        <f>"10988955"</f>
        <v>10988955</v>
      </c>
      <c r="E7523" s="46" t="s">
        <v>371</v>
      </c>
      <c r="F7523" s="46" t="s">
        <v>17759</v>
      </c>
      <c r="G7523" s="46" t="s">
        <v>50584</v>
      </c>
      <c r="H7523" s="48" t="s">
        <v>56716</v>
      </c>
      <c r="I7523" s="48" t="s">
        <v>50564</v>
      </c>
      <c r="J7523" s="48"/>
      <c r="K7523" s="57"/>
      <c r="L7523" s="48"/>
    </row>
    <row r="7524" spans="1:12" ht="11.25" x14ac:dyDescent="0.2">
      <c r="A7524" s="46" t="s">
        <v>3761</v>
      </c>
      <c r="B7524" s="46" t="s">
        <v>55424</v>
      </c>
      <c r="C7524" s="58" t="str">
        <f>"00371963"</f>
        <v>00371963</v>
      </c>
      <c r="D7524" s="58" t="str">
        <f>"15328686"</f>
        <v>15328686</v>
      </c>
      <c r="E7524" s="46" t="s">
        <v>303</v>
      </c>
      <c r="F7524" s="46" t="s">
        <v>17759</v>
      </c>
      <c r="G7524" s="46" t="s">
        <v>50584</v>
      </c>
      <c r="H7524" s="48" t="s">
        <v>56716</v>
      </c>
      <c r="I7524" s="48" t="s">
        <v>50564</v>
      </c>
      <c r="J7524" s="48" t="s">
        <v>56716</v>
      </c>
      <c r="K7524" s="57"/>
      <c r="L7524" s="48" t="s">
        <v>56716</v>
      </c>
    </row>
    <row r="7525" spans="1:12" ht="11.25" x14ac:dyDescent="0.2">
      <c r="A7525" s="46" t="s">
        <v>5277</v>
      </c>
      <c r="B7525" s="46" t="s">
        <v>55425</v>
      </c>
      <c r="C7525" s="58" t="str">
        <f>"10445323"</f>
        <v>10445323</v>
      </c>
      <c r="D7525" s="58" t="str">
        <f>"10963618"</f>
        <v>10963618</v>
      </c>
      <c r="E7525" s="46" t="s">
        <v>601</v>
      </c>
      <c r="F7525" s="46" t="s">
        <v>50646</v>
      </c>
      <c r="G7525" s="46" t="s">
        <v>50584</v>
      </c>
      <c r="H7525" s="48" t="s">
        <v>56716</v>
      </c>
      <c r="I7525" s="48" t="s">
        <v>50564</v>
      </c>
      <c r="J7525" s="48"/>
      <c r="K7525" s="50" t="s">
        <v>56716</v>
      </c>
      <c r="L7525" s="48" t="s">
        <v>56716</v>
      </c>
    </row>
    <row r="7526" spans="1:12" ht="11.25" x14ac:dyDescent="0.2">
      <c r="A7526" s="46" t="s">
        <v>12124</v>
      </c>
      <c r="B7526" s="46" t="s">
        <v>55426</v>
      </c>
      <c r="C7526" s="58" t="str">
        <f>"18632297"</f>
        <v>18632297</v>
      </c>
      <c r="D7526" s="58" t="str">
        <f>"18632300"</f>
        <v>18632300</v>
      </c>
      <c r="E7526" s="46" t="s">
        <v>167</v>
      </c>
      <c r="F7526" s="46" t="s">
        <v>18158</v>
      </c>
      <c r="G7526" s="46" t="s">
        <v>50584</v>
      </c>
      <c r="H7526" s="48" t="s">
        <v>56716</v>
      </c>
      <c r="I7526" s="48" t="s">
        <v>50564</v>
      </c>
      <c r="J7526" s="48" t="s">
        <v>56716</v>
      </c>
      <c r="K7526" s="50" t="s">
        <v>56716</v>
      </c>
      <c r="L7526" s="48" t="s">
        <v>56716</v>
      </c>
    </row>
    <row r="7527" spans="1:12" ht="11.25" x14ac:dyDescent="0.2">
      <c r="A7527" s="46" t="s">
        <v>3789</v>
      </c>
      <c r="B7527" s="46" t="s">
        <v>55427</v>
      </c>
      <c r="C7527" s="58" t="str">
        <f>"07399529"</f>
        <v>07399529</v>
      </c>
      <c r="D7527" s="58" t="str">
        <f>"10988963"</f>
        <v>10988963</v>
      </c>
      <c r="E7527" s="46" t="s">
        <v>371</v>
      </c>
      <c r="F7527" s="46" t="s">
        <v>17759</v>
      </c>
      <c r="G7527" s="46" t="s">
        <v>50584</v>
      </c>
      <c r="H7527" s="48" t="s">
        <v>56716</v>
      </c>
      <c r="I7527" s="48" t="s">
        <v>50564</v>
      </c>
      <c r="J7527" s="48" t="s">
        <v>56716</v>
      </c>
      <c r="K7527" s="57"/>
      <c r="L7527" s="48"/>
    </row>
    <row r="7528" spans="1:12" ht="11.25" x14ac:dyDescent="0.2">
      <c r="A7528" s="46" t="s">
        <v>3823</v>
      </c>
      <c r="B7528" s="46" t="s">
        <v>55428</v>
      </c>
      <c r="C7528" s="58" t="str">
        <f>"02728087"</f>
        <v>02728087</v>
      </c>
      <c r="D7528" s="58" t="str">
        <f>"10988971"</f>
        <v>10988971</v>
      </c>
      <c r="E7528" s="46" t="s">
        <v>371</v>
      </c>
      <c r="F7528" s="46" t="s">
        <v>17759</v>
      </c>
      <c r="G7528" s="46" t="s">
        <v>50584</v>
      </c>
      <c r="H7528" s="48" t="s">
        <v>56716</v>
      </c>
      <c r="I7528" s="48" t="s">
        <v>50564</v>
      </c>
      <c r="J7528" s="48" t="s">
        <v>56716</v>
      </c>
      <c r="K7528" s="57"/>
      <c r="L7528" s="48" t="s">
        <v>56716</v>
      </c>
    </row>
    <row r="7529" spans="1:12" ht="11.25" x14ac:dyDescent="0.2">
      <c r="A7529" s="46" t="s">
        <v>7998</v>
      </c>
      <c r="B7529" s="46" t="s">
        <v>55429</v>
      </c>
      <c r="C7529" s="58" t="str">
        <f>"10897860"</f>
        <v>10897860</v>
      </c>
      <c r="D7529" s="58" t="str">
        <f>"1098898X"</f>
        <v>1098898X</v>
      </c>
      <c r="E7529" s="46" t="s">
        <v>371</v>
      </c>
      <c r="F7529" s="46" t="s">
        <v>17759</v>
      </c>
      <c r="G7529" s="46" t="s">
        <v>50584</v>
      </c>
      <c r="H7529" s="48" t="s">
        <v>56716</v>
      </c>
      <c r="I7529" s="48" t="s">
        <v>50564</v>
      </c>
      <c r="J7529" s="48" t="s">
        <v>56716</v>
      </c>
      <c r="K7529" s="57"/>
      <c r="L7529" s="48" t="s">
        <v>56716</v>
      </c>
    </row>
    <row r="7530" spans="1:12" ht="11.25" x14ac:dyDescent="0.2">
      <c r="A7530" s="46" t="s">
        <v>4765</v>
      </c>
      <c r="B7530" s="46" t="s">
        <v>55430</v>
      </c>
      <c r="C7530" s="58" t="str">
        <f>"02709295"</f>
        <v>02709295</v>
      </c>
      <c r="D7530" s="58" t="str">
        <f>"15584488"</f>
        <v>15584488</v>
      </c>
      <c r="E7530" s="46" t="s">
        <v>303</v>
      </c>
      <c r="F7530" s="46" t="s">
        <v>17759</v>
      </c>
      <c r="G7530" s="46" t="s">
        <v>50584</v>
      </c>
      <c r="H7530" s="48" t="s">
        <v>56716</v>
      </c>
      <c r="I7530" s="48" t="s">
        <v>50564</v>
      </c>
      <c r="J7530" s="48" t="s">
        <v>56716</v>
      </c>
      <c r="K7530" s="50" t="s">
        <v>56716</v>
      </c>
      <c r="L7530" s="48" t="s">
        <v>56716</v>
      </c>
    </row>
    <row r="7531" spans="1:12" ht="11.25" x14ac:dyDescent="0.2">
      <c r="A7531" s="46" t="s">
        <v>3770</v>
      </c>
      <c r="B7531" s="46" t="s">
        <v>55431</v>
      </c>
      <c r="C7531" s="58" t="str">
        <f>"02718235"</f>
        <v>02718235</v>
      </c>
      <c r="D7531" s="58" t="str">
        <f>"10989021"</f>
        <v>10989021</v>
      </c>
      <c r="E7531" s="46" t="s">
        <v>371</v>
      </c>
      <c r="F7531" s="46" t="s">
        <v>17759</v>
      </c>
      <c r="G7531" s="46" t="s">
        <v>50584</v>
      </c>
      <c r="H7531" s="48" t="s">
        <v>56716</v>
      </c>
      <c r="I7531" s="48" t="s">
        <v>50564</v>
      </c>
      <c r="J7531" s="48" t="s">
        <v>56716</v>
      </c>
      <c r="K7531" s="57"/>
      <c r="L7531" s="48" t="s">
        <v>56716</v>
      </c>
    </row>
    <row r="7532" spans="1:12" ht="11.25" x14ac:dyDescent="0.2">
      <c r="A7532" s="46" t="s">
        <v>3838</v>
      </c>
      <c r="B7532" s="46" t="s">
        <v>55432</v>
      </c>
      <c r="C7532" s="58" t="str">
        <f>"00012998"</f>
        <v>00012998</v>
      </c>
      <c r="D7532" s="58" t="str">
        <f>"15584623"</f>
        <v>15584623</v>
      </c>
      <c r="E7532" s="46" t="s">
        <v>303</v>
      </c>
      <c r="F7532" s="46" t="s">
        <v>17759</v>
      </c>
      <c r="G7532" s="46" t="s">
        <v>50584</v>
      </c>
      <c r="H7532" s="48" t="s">
        <v>56716</v>
      </c>
      <c r="I7532" s="48" t="s">
        <v>50564</v>
      </c>
      <c r="J7532" s="48"/>
      <c r="K7532" s="57"/>
      <c r="L7532" s="48" t="s">
        <v>56716</v>
      </c>
    </row>
    <row r="7533" spans="1:12" ht="11.25" x14ac:dyDescent="0.2">
      <c r="A7533" s="46" t="s">
        <v>3841</v>
      </c>
      <c r="B7533" s="46" t="s">
        <v>55433</v>
      </c>
      <c r="C7533" s="58" t="str">
        <f>"00937754"</f>
        <v>00937754</v>
      </c>
      <c r="D7533" s="58" t="str">
        <f>"15328708"</f>
        <v>15328708</v>
      </c>
      <c r="E7533" s="46" t="s">
        <v>303</v>
      </c>
      <c r="F7533" s="46" t="s">
        <v>17759</v>
      </c>
      <c r="G7533" s="46" t="s">
        <v>50584</v>
      </c>
      <c r="H7533" s="48" t="s">
        <v>56716</v>
      </c>
      <c r="I7533" s="48" t="s">
        <v>50564</v>
      </c>
      <c r="J7533" s="48" t="s">
        <v>56716</v>
      </c>
      <c r="K7533" s="57"/>
      <c r="L7533" s="48" t="s">
        <v>56716</v>
      </c>
    </row>
    <row r="7534" spans="1:12" ht="11.25" x14ac:dyDescent="0.2">
      <c r="A7534" s="45" t="s">
        <v>47373</v>
      </c>
      <c r="B7534" s="45" t="s">
        <v>47375</v>
      </c>
      <c r="C7534" s="51" t="s">
        <v>47377</v>
      </c>
      <c r="D7534" s="51" t="s">
        <v>47376</v>
      </c>
      <c r="E7534" s="45" t="s">
        <v>303</v>
      </c>
      <c r="F7534" s="45" t="s">
        <v>17759</v>
      </c>
      <c r="G7534" s="45" t="s">
        <v>50584</v>
      </c>
      <c r="H7534" s="56"/>
      <c r="I7534" s="56" t="s">
        <v>50564</v>
      </c>
      <c r="J7534" s="56"/>
      <c r="K7534" s="57"/>
      <c r="L7534" s="56" t="s">
        <v>56716</v>
      </c>
    </row>
    <row r="7535" spans="1:12" ht="11.25" x14ac:dyDescent="0.2">
      <c r="A7535" s="46" t="s">
        <v>4771</v>
      </c>
      <c r="B7535" s="46" t="s">
        <v>55434</v>
      </c>
      <c r="C7535" s="58" t="str">
        <f>"08820538"</f>
        <v>08820538</v>
      </c>
      <c r="D7535" s="58" t="str">
        <f>"17445205"</f>
        <v>17445205</v>
      </c>
      <c r="E7535" s="46" t="s">
        <v>291</v>
      </c>
      <c r="F7535" s="46" t="s">
        <v>50646</v>
      </c>
      <c r="G7535" s="46" t="s">
        <v>50584</v>
      </c>
      <c r="H7535" s="48" t="s">
        <v>56716</v>
      </c>
      <c r="I7535" s="48" t="s">
        <v>50564</v>
      </c>
      <c r="J7535" s="48" t="s">
        <v>56716</v>
      </c>
      <c r="K7535" s="57"/>
      <c r="L7535" s="48" t="s">
        <v>56716</v>
      </c>
    </row>
    <row r="7536" spans="1:12" ht="11.25" x14ac:dyDescent="0.2">
      <c r="A7536" s="46" t="s">
        <v>6695</v>
      </c>
      <c r="B7536" s="46" t="s">
        <v>55435</v>
      </c>
      <c r="C7536" s="58" t="str">
        <f>"10719091"</f>
        <v>10719091</v>
      </c>
      <c r="D7536" s="58" t="str">
        <f>"15580776"</f>
        <v>15580776</v>
      </c>
      <c r="E7536" s="46" t="s">
        <v>303</v>
      </c>
      <c r="F7536" s="46" t="s">
        <v>17759</v>
      </c>
      <c r="G7536" s="46" t="s">
        <v>50584</v>
      </c>
      <c r="H7536" s="48" t="s">
        <v>56716</v>
      </c>
      <c r="I7536" s="48" t="s">
        <v>50564</v>
      </c>
      <c r="J7536" s="48"/>
      <c r="K7536" s="50" t="s">
        <v>56716</v>
      </c>
      <c r="L7536" s="48" t="s">
        <v>56716</v>
      </c>
    </row>
    <row r="7537" spans="1:12" ht="11.25" x14ac:dyDescent="0.2">
      <c r="A7537" s="46" t="s">
        <v>6041</v>
      </c>
      <c r="B7537" s="46" t="s">
        <v>55436</v>
      </c>
      <c r="C7537" s="58" t="str">
        <f>"10558586"</f>
        <v>10558586</v>
      </c>
      <c r="D7537" s="58" t="str">
        <f>"15329453"</f>
        <v>15329453</v>
      </c>
      <c r="E7537" s="46" t="s">
        <v>303</v>
      </c>
      <c r="F7537" s="46" t="s">
        <v>17759</v>
      </c>
      <c r="G7537" s="46" t="s">
        <v>50584</v>
      </c>
      <c r="H7537" s="48" t="s">
        <v>56716</v>
      </c>
      <c r="I7537" s="48" t="s">
        <v>50564</v>
      </c>
      <c r="J7537" s="48" t="s">
        <v>56716</v>
      </c>
      <c r="K7537" s="57"/>
      <c r="L7537" s="48" t="s">
        <v>56716</v>
      </c>
    </row>
    <row r="7538" spans="1:12" ht="11.25" x14ac:dyDescent="0.2">
      <c r="A7538" s="46" t="s">
        <v>3773</v>
      </c>
      <c r="B7538" s="46" t="s">
        <v>55437</v>
      </c>
      <c r="C7538" s="58" t="str">
        <f>"01460005"</f>
        <v>01460005</v>
      </c>
      <c r="D7538" s="58" t="str">
        <f>"1558075X"</f>
        <v>1558075X</v>
      </c>
      <c r="E7538" s="46" t="s">
        <v>303</v>
      </c>
      <c r="F7538" s="46" t="s">
        <v>17759</v>
      </c>
      <c r="G7538" s="46" t="s">
        <v>50584</v>
      </c>
      <c r="H7538" s="48" t="s">
        <v>56716</v>
      </c>
      <c r="I7538" s="48" t="s">
        <v>50564</v>
      </c>
      <c r="J7538" s="48" t="s">
        <v>56716</v>
      </c>
      <c r="K7538" s="50" t="s">
        <v>56716</v>
      </c>
      <c r="L7538" s="48" t="s">
        <v>56716</v>
      </c>
    </row>
    <row r="7539" spans="1:12" ht="11.25" x14ac:dyDescent="0.2">
      <c r="A7539" s="46" t="s">
        <v>5811</v>
      </c>
      <c r="B7539" s="46" t="s">
        <v>55438</v>
      </c>
      <c r="C7539" s="58" t="str">
        <f>"10534296"</f>
        <v>10534296</v>
      </c>
      <c r="D7539" s="58" t="str">
        <f>"15329461"</f>
        <v>15329461</v>
      </c>
      <c r="E7539" s="46" t="s">
        <v>303</v>
      </c>
      <c r="F7539" s="46" t="s">
        <v>17759</v>
      </c>
      <c r="G7539" s="46" t="s">
        <v>50584</v>
      </c>
      <c r="H7539" s="48" t="s">
        <v>56716</v>
      </c>
      <c r="I7539" s="48" t="s">
        <v>50564</v>
      </c>
      <c r="J7539" s="48" t="s">
        <v>56716</v>
      </c>
      <c r="K7539" s="57"/>
      <c r="L7539" s="48" t="s">
        <v>56716</v>
      </c>
    </row>
    <row r="7540" spans="1:12" ht="11.25" x14ac:dyDescent="0.2">
      <c r="A7540" s="46" t="s">
        <v>8861</v>
      </c>
      <c r="B7540" s="46" t="s">
        <v>55439</v>
      </c>
      <c r="C7540" s="58" t="str">
        <f>"15268004"</f>
        <v>15268004</v>
      </c>
      <c r="D7540" s="58" t="str">
        <f>"15264564"</f>
        <v>15264564</v>
      </c>
      <c r="E7540" s="46" t="s">
        <v>371</v>
      </c>
      <c r="F7540" s="46" t="s">
        <v>17759</v>
      </c>
      <c r="G7540" s="46" t="s">
        <v>50584</v>
      </c>
      <c r="H7540" s="48" t="s">
        <v>56716</v>
      </c>
      <c r="I7540" s="48" t="s">
        <v>50564</v>
      </c>
      <c r="J7540" s="48"/>
      <c r="K7540" s="57"/>
      <c r="L7540" s="48" t="s">
        <v>56716</v>
      </c>
    </row>
    <row r="7541" spans="1:12" ht="11.25" x14ac:dyDescent="0.2">
      <c r="A7541" s="46" t="s">
        <v>6231</v>
      </c>
      <c r="B7541" s="46" t="s">
        <v>55440</v>
      </c>
      <c r="C7541" s="58" t="str">
        <f>"10693424"</f>
        <v>10693424</v>
      </c>
      <c r="D7541" s="58" t="str">
        <f>"10989048"</f>
        <v>10989048</v>
      </c>
      <c r="E7541" s="46" t="s">
        <v>371</v>
      </c>
      <c r="F7541" s="46" t="s">
        <v>17759</v>
      </c>
      <c r="G7541" s="46" t="s">
        <v>50584</v>
      </c>
      <c r="H7541" s="48" t="s">
        <v>56716</v>
      </c>
      <c r="I7541" s="48" t="s">
        <v>50564</v>
      </c>
      <c r="J7541" s="48" t="s">
        <v>56716</v>
      </c>
      <c r="K7541" s="57"/>
      <c r="L7541" s="48" t="s">
        <v>56716</v>
      </c>
    </row>
    <row r="7542" spans="1:12" ht="11.25" x14ac:dyDescent="0.2">
      <c r="A7542" s="46" t="s">
        <v>3776</v>
      </c>
      <c r="B7542" s="46" t="s">
        <v>55441</v>
      </c>
      <c r="C7542" s="58" t="str">
        <f>"0037198X"</f>
        <v>0037198X</v>
      </c>
      <c r="D7542" s="58" t="str">
        <f>"15584658"</f>
        <v>15584658</v>
      </c>
      <c r="E7542" s="46" t="s">
        <v>303</v>
      </c>
      <c r="F7542" s="46" t="s">
        <v>17759</v>
      </c>
      <c r="G7542" s="46" t="s">
        <v>50584</v>
      </c>
      <c r="H7542" s="48" t="s">
        <v>56716</v>
      </c>
      <c r="I7542" s="48" t="s">
        <v>50564</v>
      </c>
      <c r="J7542" s="48" t="s">
        <v>56716</v>
      </c>
      <c r="K7542" s="50" t="s">
        <v>56716</v>
      </c>
      <c r="L7542" s="48" t="s">
        <v>56716</v>
      </c>
    </row>
    <row r="7543" spans="1:12" ht="11.25" x14ac:dyDescent="0.2">
      <c r="A7543" s="45" t="s">
        <v>47414</v>
      </c>
      <c r="B7543" s="45" t="s">
        <v>47416</v>
      </c>
      <c r="C7543" s="51" t="s">
        <v>47419</v>
      </c>
      <c r="D7543" s="51" t="s">
        <v>47418</v>
      </c>
      <c r="E7543" s="45" t="s">
        <v>47362</v>
      </c>
      <c r="F7543" s="45" t="s">
        <v>17759</v>
      </c>
      <c r="G7543" s="45" t="s">
        <v>50584</v>
      </c>
      <c r="H7543" s="56"/>
      <c r="I7543" s="56" t="s">
        <v>50564</v>
      </c>
      <c r="J7543" s="56"/>
      <c r="K7543" s="57"/>
      <c r="L7543" s="56" t="s">
        <v>56716</v>
      </c>
    </row>
    <row r="7544" spans="1:12" ht="11.25" x14ac:dyDescent="0.2">
      <c r="A7544" s="46" t="s">
        <v>5039</v>
      </c>
      <c r="B7544" s="46" t="s">
        <v>55442</v>
      </c>
      <c r="C7544" s="58" t="str">
        <f>"10407383"</f>
        <v>10407383</v>
      </c>
      <c r="D7544" s="58" t="str">
        <f>"15584496"</f>
        <v>15584496</v>
      </c>
      <c r="E7544" s="46" t="s">
        <v>303</v>
      </c>
      <c r="F7544" s="46" t="s">
        <v>17759</v>
      </c>
      <c r="G7544" s="46" t="s">
        <v>50584</v>
      </c>
      <c r="H7544" s="48" t="s">
        <v>56716</v>
      </c>
      <c r="I7544" s="48" t="s">
        <v>50564</v>
      </c>
      <c r="J7544" s="48" t="s">
        <v>56716</v>
      </c>
      <c r="K7544" s="50" t="s">
        <v>56716</v>
      </c>
      <c r="L7544" s="48"/>
    </row>
    <row r="7545" spans="1:12" ht="11.25" x14ac:dyDescent="0.2">
      <c r="A7545" s="46" t="s">
        <v>5486</v>
      </c>
      <c r="B7545" s="46" t="s">
        <v>55443</v>
      </c>
      <c r="C7545" s="58" t="str">
        <f>"10430679"</f>
        <v>10430679</v>
      </c>
      <c r="D7545" s="58" t="str">
        <f>"15329488"</f>
        <v>15329488</v>
      </c>
      <c r="E7545" s="46" t="s">
        <v>303</v>
      </c>
      <c r="F7545" s="46" t="s">
        <v>17759</v>
      </c>
      <c r="G7545" s="46" t="s">
        <v>50584</v>
      </c>
      <c r="H7545" s="48" t="s">
        <v>56716</v>
      </c>
      <c r="I7545" s="48" t="s">
        <v>50564</v>
      </c>
      <c r="J7545" s="48"/>
      <c r="K7545" s="50" t="s">
        <v>56716</v>
      </c>
      <c r="L7545" s="48" t="s">
        <v>56716</v>
      </c>
    </row>
    <row r="7546" spans="1:12" ht="11.25" x14ac:dyDescent="0.2">
      <c r="A7546" s="46" t="s">
        <v>9025</v>
      </c>
      <c r="B7546" s="46" t="s">
        <v>55444</v>
      </c>
      <c r="C7546" s="58" t="str">
        <f>"10929126"</f>
        <v>10929126</v>
      </c>
      <c r="D7546" s="58" t="str">
        <f>"18764665"</f>
        <v>18764665</v>
      </c>
      <c r="E7546" s="46" t="s">
        <v>303</v>
      </c>
      <c r="F7546" s="46" t="s">
        <v>17759</v>
      </c>
      <c r="G7546" s="46" t="s">
        <v>50584</v>
      </c>
      <c r="H7546" s="48" t="s">
        <v>56716</v>
      </c>
      <c r="I7546" s="48" t="s">
        <v>50564</v>
      </c>
      <c r="J7546" s="48"/>
      <c r="K7546" s="57"/>
      <c r="L7546" s="48" t="s">
        <v>56716</v>
      </c>
    </row>
    <row r="7547" spans="1:12" ht="11.25" x14ac:dyDescent="0.2">
      <c r="A7547" s="46" t="s">
        <v>3858</v>
      </c>
      <c r="B7547" s="46" t="s">
        <v>55445</v>
      </c>
      <c r="C7547" s="58" t="str">
        <f>"00946176"</f>
        <v>00946176</v>
      </c>
      <c r="D7547" s="58" t="str">
        <f>"10989064"</f>
        <v>10989064</v>
      </c>
      <c r="E7547" s="46" t="s">
        <v>371</v>
      </c>
      <c r="F7547" s="46" t="s">
        <v>17759</v>
      </c>
      <c r="G7547" s="46" t="s">
        <v>50584</v>
      </c>
      <c r="H7547" s="48" t="s">
        <v>56716</v>
      </c>
      <c r="I7547" s="48" t="s">
        <v>50564</v>
      </c>
      <c r="J7547" s="48" t="s">
        <v>56716</v>
      </c>
      <c r="K7547" s="50" t="s">
        <v>56716</v>
      </c>
      <c r="L7547" s="48" t="s">
        <v>56716</v>
      </c>
    </row>
    <row r="7548" spans="1:12" ht="11.25" x14ac:dyDescent="0.2">
      <c r="A7548" s="46" t="s">
        <v>3867</v>
      </c>
      <c r="B7548" s="46" t="s">
        <v>55446</v>
      </c>
      <c r="C7548" s="58" t="str">
        <f>"08872171"</f>
        <v>08872171</v>
      </c>
      <c r="D7548" s="58" t="str">
        <f>"15585034"</f>
        <v>15585034</v>
      </c>
      <c r="E7548" s="46" t="s">
        <v>303</v>
      </c>
      <c r="F7548" s="46" t="s">
        <v>17759</v>
      </c>
      <c r="G7548" s="46" t="s">
        <v>50584</v>
      </c>
      <c r="H7548" s="48" t="s">
        <v>56716</v>
      </c>
      <c r="I7548" s="48" t="s">
        <v>50564</v>
      </c>
      <c r="J7548" s="48" t="s">
        <v>56716</v>
      </c>
      <c r="K7548" s="50" t="s">
        <v>56716</v>
      </c>
      <c r="L7548" s="48" t="s">
        <v>56716</v>
      </c>
    </row>
    <row r="7549" spans="1:12" ht="11.25" x14ac:dyDescent="0.2">
      <c r="A7549" s="46" t="s">
        <v>5042</v>
      </c>
      <c r="B7549" s="46" t="s">
        <v>55447</v>
      </c>
      <c r="C7549" s="58" t="str">
        <f>"08957967"</f>
        <v>08957967</v>
      </c>
      <c r="D7549" s="58" t="str">
        <f>"15584518"</f>
        <v>15584518</v>
      </c>
      <c r="E7549" s="46" t="s">
        <v>303</v>
      </c>
      <c r="F7549" s="46" t="s">
        <v>17759</v>
      </c>
      <c r="G7549" s="46" t="s">
        <v>50584</v>
      </c>
      <c r="H7549" s="48" t="s">
        <v>56716</v>
      </c>
      <c r="I7549" s="48" t="s">
        <v>50564</v>
      </c>
      <c r="J7549" s="48" t="s">
        <v>56716</v>
      </c>
      <c r="K7549" s="57"/>
      <c r="L7549" s="48" t="s">
        <v>56716</v>
      </c>
    </row>
    <row r="7550" spans="1:12" ht="11.25" x14ac:dyDescent="0.2">
      <c r="A7550" s="45" t="s">
        <v>47443</v>
      </c>
      <c r="B7550" s="45" t="s">
        <v>47445</v>
      </c>
      <c r="C7550" s="51"/>
      <c r="D7550" s="51" t="s">
        <v>47446</v>
      </c>
      <c r="E7550" s="45" t="s">
        <v>32492</v>
      </c>
      <c r="F7550" s="45" t="s">
        <v>18123</v>
      </c>
      <c r="G7550" s="45" t="s">
        <v>50584</v>
      </c>
      <c r="H7550" s="56"/>
      <c r="I7550" s="56" t="s">
        <v>50564</v>
      </c>
      <c r="J7550" s="56"/>
      <c r="K7550" s="57"/>
      <c r="L7550" s="56" t="s">
        <v>56716</v>
      </c>
    </row>
    <row r="7551" spans="1:12" ht="11.25" x14ac:dyDescent="0.2">
      <c r="A7551" s="45" t="s">
        <v>47449</v>
      </c>
      <c r="B7551" s="45" t="s">
        <v>47451</v>
      </c>
      <c r="C7551" s="51"/>
      <c r="D7551" s="51"/>
      <c r="E7551" s="45" t="s">
        <v>47452</v>
      </c>
      <c r="F7551" s="45" t="s">
        <v>17759</v>
      </c>
      <c r="G7551" s="45" t="s">
        <v>50584</v>
      </c>
      <c r="H7551" s="56"/>
      <c r="I7551" s="56" t="s">
        <v>50564</v>
      </c>
      <c r="J7551" s="56"/>
      <c r="K7551" s="57"/>
      <c r="L7551" s="56" t="s">
        <v>56716</v>
      </c>
    </row>
    <row r="7552" spans="1:12" ht="11.25" x14ac:dyDescent="0.2">
      <c r="A7552" s="46" t="s">
        <v>56273</v>
      </c>
      <c r="B7552" s="46" t="s">
        <v>56274</v>
      </c>
      <c r="C7552" s="58" t="str">
        <f>"18210902"</f>
        <v>18210902</v>
      </c>
      <c r="D7552" s="58" t="str">
        <f>"24060631"</f>
        <v>24060631</v>
      </c>
      <c r="E7552" s="46" t="s">
        <v>56253</v>
      </c>
      <c r="F7552" s="46" t="s">
        <v>17967</v>
      </c>
      <c r="G7552" s="46" t="s">
        <v>50584</v>
      </c>
      <c r="H7552" s="48" t="s">
        <v>56716</v>
      </c>
      <c r="I7552" s="48" t="s">
        <v>50564</v>
      </c>
      <c r="J7552" s="48" t="s">
        <v>56716</v>
      </c>
      <c r="K7552" s="57"/>
      <c r="L7552" s="48"/>
    </row>
    <row r="7553" spans="1:12" ht="11.25" x14ac:dyDescent="0.2">
      <c r="A7553" s="46" t="s">
        <v>12894</v>
      </c>
      <c r="B7553" s="46" t="s">
        <v>55448</v>
      </c>
      <c r="C7553" s="58" t="str">
        <f>"18208665"</f>
        <v>18208665</v>
      </c>
      <c r="D7553" s="58" t="str">
        <f>""</f>
        <v/>
      </c>
      <c r="E7553" s="46" t="s">
        <v>12896</v>
      </c>
      <c r="F7553" s="46" t="s">
        <v>18050</v>
      </c>
      <c r="G7553" s="46" t="s">
        <v>50622</v>
      </c>
      <c r="H7553" s="48" t="s">
        <v>56716</v>
      </c>
      <c r="I7553" s="48" t="s">
        <v>50564</v>
      </c>
      <c r="J7553" s="48"/>
      <c r="K7553" s="57"/>
      <c r="L7553" s="48"/>
    </row>
    <row r="7554" spans="1:12" ht="11.25" x14ac:dyDescent="0.2">
      <c r="A7554" s="45" t="s">
        <v>47454</v>
      </c>
      <c r="B7554" s="45" t="s">
        <v>47456</v>
      </c>
      <c r="C7554" s="51" t="s">
        <v>47457</v>
      </c>
      <c r="D7554" s="51"/>
      <c r="E7554" s="45" t="s">
        <v>47458</v>
      </c>
      <c r="F7554" s="45" t="s">
        <v>18249</v>
      </c>
      <c r="G7554" s="45" t="s">
        <v>50614</v>
      </c>
      <c r="H7554" s="56"/>
      <c r="I7554" s="56" t="s">
        <v>50564</v>
      </c>
      <c r="J7554" s="56"/>
      <c r="K7554" s="57"/>
      <c r="L7554" s="56" t="s">
        <v>56716</v>
      </c>
    </row>
    <row r="7555" spans="1:12" ht="11.25" x14ac:dyDescent="0.2">
      <c r="A7555" s="45" t="s">
        <v>47460</v>
      </c>
      <c r="B7555" s="45" t="s">
        <v>47462</v>
      </c>
      <c r="C7555" s="51" t="s">
        <v>47464</v>
      </c>
      <c r="D7555" s="51"/>
      <c r="E7555" s="45" t="s">
        <v>47465</v>
      </c>
      <c r="F7555" s="45" t="s">
        <v>17759</v>
      </c>
      <c r="G7555" s="45" t="s">
        <v>50584</v>
      </c>
      <c r="H7555" s="56"/>
      <c r="I7555" s="56" t="s">
        <v>50564</v>
      </c>
      <c r="J7555" s="56"/>
      <c r="K7555" s="57"/>
      <c r="L7555" s="56" t="s">
        <v>56716</v>
      </c>
    </row>
    <row r="7556" spans="1:12" ht="11.25" x14ac:dyDescent="0.2">
      <c r="A7556" s="46" t="s">
        <v>11566</v>
      </c>
      <c r="B7556" s="46" t="s">
        <v>11566</v>
      </c>
      <c r="C7556" s="58" t="str">
        <f>"11581360"</f>
        <v>11581360</v>
      </c>
      <c r="D7556" s="58" t="str">
        <f>"18781829"</f>
        <v>18781829</v>
      </c>
      <c r="E7556" s="46" t="s">
        <v>85</v>
      </c>
      <c r="F7556" s="46" t="s">
        <v>20359</v>
      </c>
      <c r="G7556" s="46" t="s">
        <v>50584</v>
      </c>
      <c r="H7556" s="48" t="s">
        <v>56716</v>
      </c>
      <c r="I7556" s="48" t="s">
        <v>50564</v>
      </c>
      <c r="J7556" s="48"/>
      <c r="K7556" s="50" t="s">
        <v>56716</v>
      </c>
      <c r="L7556" s="48"/>
    </row>
    <row r="7557" spans="1:12" ht="11.25" x14ac:dyDescent="0.2">
      <c r="A7557" s="45" t="s">
        <v>47473</v>
      </c>
      <c r="B7557" s="45" t="s">
        <v>47475</v>
      </c>
      <c r="C7557" s="51" t="s">
        <v>47478</v>
      </c>
      <c r="D7557" s="51" t="s">
        <v>47477</v>
      </c>
      <c r="E7557" s="45" t="s">
        <v>19447</v>
      </c>
      <c r="F7557" s="45" t="s">
        <v>17759</v>
      </c>
      <c r="G7557" s="45" t="s">
        <v>50584</v>
      </c>
      <c r="H7557" s="56"/>
      <c r="I7557" s="56" t="s">
        <v>50564</v>
      </c>
      <c r="J7557" s="56"/>
      <c r="K7557" s="57"/>
      <c r="L7557" s="56" t="s">
        <v>56716</v>
      </c>
    </row>
    <row r="7558" spans="1:12" ht="11.25" x14ac:dyDescent="0.2">
      <c r="A7558" s="46" t="s">
        <v>14353</v>
      </c>
      <c r="B7558" s="46" t="s">
        <v>55449</v>
      </c>
      <c r="C7558" s="58" t="str">
        <f>"18775756"</f>
        <v>18775756</v>
      </c>
      <c r="D7558" s="58" t="str">
        <f>"18775764"</f>
        <v>18775764</v>
      </c>
      <c r="E7558" s="46" t="s">
        <v>91</v>
      </c>
      <c r="F7558" s="46" t="s">
        <v>18001</v>
      </c>
      <c r="G7558" s="46" t="s">
        <v>50584</v>
      </c>
      <c r="H7558" s="48" t="s">
        <v>56716</v>
      </c>
      <c r="I7558" s="48" t="s">
        <v>50564</v>
      </c>
      <c r="J7558" s="48" t="s">
        <v>56716</v>
      </c>
      <c r="K7558" s="50" t="s">
        <v>56716</v>
      </c>
      <c r="L7558" s="48" t="s">
        <v>56716</v>
      </c>
    </row>
    <row r="7559" spans="1:12" ht="11.25" x14ac:dyDescent="0.2">
      <c r="A7559" s="45" t="s">
        <v>47480</v>
      </c>
      <c r="B7559" s="45" t="s">
        <v>47482</v>
      </c>
      <c r="C7559" s="51" t="s">
        <v>47484</v>
      </c>
      <c r="D7559" s="51" t="s">
        <v>47483</v>
      </c>
      <c r="E7559" s="45" t="s">
        <v>22922</v>
      </c>
      <c r="F7559" s="45" t="s">
        <v>18123</v>
      </c>
      <c r="G7559" s="45" t="s">
        <v>50584</v>
      </c>
      <c r="H7559" s="56"/>
      <c r="I7559" s="56" t="s">
        <v>50564</v>
      </c>
      <c r="J7559" s="56"/>
      <c r="K7559" s="57"/>
      <c r="L7559" s="56" t="s">
        <v>56716</v>
      </c>
    </row>
    <row r="7560" spans="1:12" ht="11.25" x14ac:dyDescent="0.2">
      <c r="A7560" s="46" t="s">
        <v>11088</v>
      </c>
      <c r="B7560" s="46" t="s">
        <v>55450</v>
      </c>
      <c r="C7560" s="58" t="str">
        <f>"14485028"</f>
        <v>14485028</v>
      </c>
      <c r="D7560" s="58" t="str">
        <f>"14498987"</f>
        <v>14498987</v>
      </c>
      <c r="E7560" s="46" t="s">
        <v>5124</v>
      </c>
      <c r="F7560" s="46" t="s">
        <v>20082</v>
      </c>
      <c r="G7560" s="46" t="s">
        <v>50584</v>
      </c>
      <c r="H7560" s="48" t="s">
        <v>56716</v>
      </c>
      <c r="I7560" s="48" t="s">
        <v>50564</v>
      </c>
      <c r="J7560" s="48"/>
      <c r="K7560" s="57"/>
      <c r="L7560" s="48" t="s">
        <v>56716</v>
      </c>
    </row>
    <row r="7561" spans="1:12" ht="11.25" x14ac:dyDescent="0.2">
      <c r="A7561" s="46" t="s">
        <v>17597</v>
      </c>
      <c r="B7561" s="46" t="s">
        <v>55451</v>
      </c>
      <c r="C7561" s="58" t="str">
        <f>""</f>
        <v/>
      </c>
      <c r="D7561" s="58" t="str">
        <f>"20501161"</f>
        <v>20501161</v>
      </c>
      <c r="E7561" s="46" t="s">
        <v>35</v>
      </c>
      <c r="F7561" s="46" t="s">
        <v>50646</v>
      </c>
      <c r="G7561" s="46" t="s">
        <v>50584</v>
      </c>
      <c r="H7561" s="48" t="s">
        <v>56716</v>
      </c>
      <c r="I7561" s="48" t="s">
        <v>50564</v>
      </c>
      <c r="J7561" s="48" t="s">
        <v>56716</v>
      </c>
      <c r="K7561" s="50" t="s">
        <v>56716</v>
      </c>
      <c r="L7561" s="48"/>
    </row>
    <row r="7562" spans="1:12" ht="11.25" x14ac:dyDescent="0.2">
      <c r="A7562" s="46" t="s">
        <v>17599</v>
      </c>
      <c r="B7562" s="46" t="s">
        <v>55452</v>
      </c>
      <c r="C7562" s="58" t="str">
        <f>"20500513"</f>
        <v>20500513</v>
      </c>
      <c r="D7562" s="58" t="str">
        <f>"20500521"</f>
        <v>20500521</v>
      </c>
      <c r="E7562" s="46" t="s">
        <v>35</v>
      </c>
      <c r="F7562" s="46" t="s">
        <v>50646</v>
      </c>
      <c r="G7562" s="46" t="s">
        <v>50584</v>
      </c>
      <c r="H7562" s="48" t="s">
        <v>56716</v>
      </c>
      <c r="I7562" s="48" t="s">
        <v>50564</v>
      </c>
      <c r="J7562" s="48" t="s">
        <v>56716</v>
      </c>
      <c r="K7562" s="50" t="s">
        <v>56716</v>
      </c>
      <c r="L7562" s="48"/>
    </row>
    <row r="7563" spans="1:12" ht="11.25" x14ac:dyDescent="0.2">
      <c r="A7563" s="46" t="s">
        <v>3755</v>
      </c>
      <c r="B7563" s="46" t="s">
        <v>55453</v>
      </c>
      <c r="C7563" s="58" t="str">
        <f>"01461044"</f>
        <v>01461044</v>
      </c>
      <c r="D7563" s="58" t="str">
        <f>"15736717"</f>
        <v>15736717</v>
      </c>
      <c r="E7563" s="46" t="s">
        <v>56305</v>
      </c>
      <c r="F7563" s="46" t="s">
        <v>17759</v>
      </c>
      <c r="G7563" s="46" t="s">
        <v>50584</v>
      </c>
      <c r="H7563" s="48" t="s">
        <v>56716</v>
      </c>
      <c r="I7563" s="48" t="s">
        <v>50564</v>
      </c>
      <c r="J7563" s="48"/>
      <c r="K7563" s="50" t="s">
        <v>56716</v>
      </c>
      <c r="L7563" s="48"/>
    </row>
    <row r="7564" spans="1:12" ht="11.25" x14ac:dyDescent="0.2">
      <c r="A7564" s="46" t="s">
        <v>3864</v>
      </c>
      <c r="B7564" s="46" t="s">
        <v>55454</v>
      </c>
      <c r="C7564" s="58" t="str">
        <f>"01485717"</f>
        <v>01485717</v>
      </c>
      <c r="D7564" s="58" t="str">
        <f>"15374521"</f>
        <v>15374521</v>
      </c>
      <c r="E7564" s="46" t="s">
        <v>28</v>
      </c>
      <c r="F7564" s="46" t="s">
        <v>17759</v>
      </c>
      <c r="G7564" s="46" t="s">
        <v>50584</v>
      </c>
      <c r="H7564" s="48" t="s">
        <v>56716</v>
      </c>
      <c r="I7564" s="48" t="s">
        <v>50564</v>
      </c>
      <c r="J7564" s="48"/>
      <c r="K7564" s="57"/>
      <c r="L7564" s="48" t="s">
        <v>56716</v>
      </c>
    </row>
    <row r="7565" spans="1:12" ht="11.25" x14ac:dyDescent="0.2">
      <c r="A7565" s="46" t="s">
        <v>7747</v>
      </c>
      <c r="B7565" s="46" t="s">
        <v>55455</v>
      </c>
      <c r="C7565" s="58" t="str">
        <f>"13684973"</f>
        <v>13684973</v>
      </c>
      <c r="D7565" s="58" t="str">
        <f>"14723263"</f>
        <v>14723263</v>
      </c>
      <c r="E7565" s="46" t="s">
        <v>159</v>
      </c>
      <c r="F7565" s="46" t="s">
        <v>50646</v>
      </c>
      <c r="G7565" s="46" t="s">
        <v>50584</v>
      </c>
      <c r="H7565" s="48" t="s">
        <v>56716</v>
      </c>
      <c r="I7565" s="48" t="s">
        <v>50564</v>
      </c>
      <c r="J7565" s="48" t="s">
        <v>56716</v>
      </c>
      <c r="K7565" s="50" t="s">
        <v>56716</v>
      </c>
      <c r="L7565" s="48" t="s">
        <v>56716</v>
      </c>
    </row>
    <row r="7566" spans="1:12" ht="11.25" x14ac:dyDescent="0.2">
      <c r="A7566" s="46" t="s">
        <v>8152</v>
      </c>
      <c r="B7566" s="46" t="s">
        <v>8152</v>
      </c>
      <c r="C7566" s="58" t="str">
        <f>"09447105"</f>
        <v>09447105</v>
      </c>
      <c r="D7566" s="58" t="str">
        <f>""</f>
        <v/>
      </c>
      <c r="E7566" s="46" t="s">
        <v>241</v>
      </c>
      <c r="F7566" s="46" t="s">
        <v>18158</v>
      </c>
      <c r="G7566" s="46" t="s">
        <v>50593</v>
      </c>
      <c r="H7566" s="48" t="s">
        <v>56716</v>
      </c>
      <c r="I7566" s="48" t="s">
        <v>50564</v>
      </c>
      <c r="J7566" s="48"/>
      <c r="K7566" s="57"/>
      <c r="L7566" s="48"/>
    </row>
    <row r="7567" spans="1:12" ht="11.25" x14ac:dyDescent="0.2">
      <c r="A7567" s="45" t="s">
        <v>47502</v>
      </c>
      <c r="B7567" s="45" t="s">
        <v>47504</v>
      </c>
      <c r="C7567" s="51" t="s">
        <v>47505</v>
      </c>
      <c r="D7567" s="51"/>
      <c r="E7567" s="45" t="s">
        <v>47506</v>
      </c>
      <c r="F7567" s="45" t="s">
        <v>17958</v>
      </c>
      <c r="G7567" s="45" t="s">
        <v>50586</v>
      </c>
      <c r="H7567" s="56"/>
      <c r="I7567" s="56" t="s">
        <v>50564</v>
      </c>
      <c r="J7567" s="56"/>
      <c r="K7567" s="57"/>
      <c r="L7567" s="56" t="s">
        <v>56716</v>
      </c>
    </row>
    <row r="7568" spans="1:12" ht="11.25" x14ac:dyDescent="0.2">
      <c r="A7568" s="45" t="s">
        <v>47508</v>
      </c>
      <c r="B7568" s="45" t="s">
        <v>47510</v>
      </c>
      <c r="C7568" s="51" t="s">
        <v>47511</v>
      </c>
      <c r="D7568" s="51"/>
      <c r="E7568" s="45" t="s">
        <v>56676</v>
      </c>
      <c r="F7568" s="45" t="s">
        <v>17958</v>
      </c>
      <c r="G7568" s="45" t="s">
        <v>50580</v>
      </c>
      <c r="H7568" s="56"/>
      <c r="I7568" s="56" t="s">
        <v>50564</v>
      </c>
      <c r="J7568" s="56"/>
      <c r="K7568" s="57"/>
      <c r="L7568" s="56" t="s">
        <v>56716</v>
      </c>
    </row>
    <row r="7569" spans="1:12" ht="11.25" x14ac:dyDescent="0.2">
      <c r="A7569" s="45" t="s">
        <v>47513</v>
      </c>
      <c r="B7569" s="45" t="s">
        <v>47515</v>
      </c>
      <c r="C7569" s="51" t="s">
        <v>47517</v>
      </c>
      <c r="D7569" s="51"/>
      <c r="E7569" s="45" t="s">
        <v>6433</v>
      </c>
      <c r="F7569" s="45" t="s">
        <v>17958</v>
      </c>
      <c r="G7569" s="45" t="s">
        <v>50586</v>
      </c>
      <c r="H7569" s="56"/>
      <c r="I7569" s="56" t="s">
        <v>50564</v>
      </c>
      <c r="J7569" s="56"/>
      <c r="K7569" s="57"/>
      <c r="L7569" s="56" t="s">
        <v>56716</v>
      </c>
    </row>
    <row r="7570" spans="1:12" ht="11.25" x14ac:dyDescent="0.2">
      <c r="A7570" s="45" t="s">
        <v>47519</v>
      </c>
      <c r="B7570" s="45" t="s">
        <v>47521</v>
      </c>
      <c r="C7570" s="51" t="s">
        <v>47522</v>
      </c>
      <c r="D7570" s="51"/>
      <c r="E7570" s="45" t="s">
        <v>27549</v>
      </c>
      <c r="F7570" s="45" t="s">
        <v>17958</v>
      </c>
      <c r="G7570" s="45" t="s">
        <v>50586</v>
      </c>
      <c r="H7570" s="56"/>
      <c r="I7570" s="56" t="s">
        <v>50564</v>
      </c>
      <c r="J7570" s="56"/>
      <c r="K7570" s="57"/>
      <c r="L7570" s="56" t="s">
        <v>56716</v>
      </c>
    </row>
    <row r="7571" spans="1:12" ht="11.25" x14ac:dyDescent="0.2">
      <c r="A7571" s="45" t="s">
        <v>47524</v>
      </c>
      <c r="B7571" s="45" t="s">
        <v>47526</v>
      </c>
      <c r="C7571" s="51" t="s">
        <v>47527</v>
      </c>
      <c r="D7571" s="51"/>
      <c r="E7571" s="45" t="s">
        <v>47528</v>
      </c>
      <c r="F7571" s="45" t="s">
        <v>17958</v>
      </c>
      <c r="G7571" s="45" t="s">
        <v>50586</v>
      </c>
      <c r="H7571" s="56"/>
      <c r="I7571" s="56" t="s">
        <v>50564</v>
      </c>
      <c r="J7571" s="56"/>
      <c r="K7571" s="57"/>
      <c r="L7571" s="56" t="s">
        <v>56716</v>
      </c>
    </row>
    <row r="7572" spans="1:12" ht="11.25" x14ac:dyDescent="0.2">
      <c r="A7572" s="45" t="s">
        <v>47530</v>
      </c>
      <c r="B7572" s="45" t="s">
        <v>47532</v>
      </c>
      <c r="C7572" s="51" t="s">
        <v>47534</v>
      </c>
      <c r="D7572" s="51" t="s">
        <v>47533</v>
      </c>
      <c r="E7572" s="45" t="s">
        <v>47535</v>
      </c>
      <c r="F7572" s="45" t="s">
        <v>18242</v>
      </c>
      <c r="G7572" s="45" t="s">
        <v>50605</v>
      </c>
      <c r="H7572" s="56"/>
      <c r="I7572" s="56" t="s">
        <v>50564</v>
      </c>
      <c r="J7572" s="56"/>
      <c r="K7572" s="57"/>
      <c r="L7572" s="56" t="s">
        <v>56716</v>
      </c>
    </row>
    <row r="7573" spans="1:12" ht="11.25" x14ac:dyDescent="0.2">
      <c r="A7573" s="46" t="s">
        <v>14508</v>
      </c>
      <c r="B7573" s="46" t="s">
        <v>55456</v>
      </c>
      <c r="C7573" s="58" t="str">
        <f>"17351391"</f>
        <v>17351391</v>
      </c>
      <c r="D7573" s="58" t="str">
        <f>""</f>
        <v/>
      </c>
      <c r="E7573" s="46" t="s">
        <v>1956</v>
      </c>
      <c r="F7573" s="46" t="s">
        <v>18232</v>
      </c>
      <c r="G7573" s="46" t="s">
        <v>50584</v>
      </c>
      <c r="H7573" s="48" t="s">
        <v>56716</v>
      </c>
      <c r="I7573" s="48" t="s">
        <v>50564</v>
      </c>
      <c r="J7573" s="48"/>
      <c r="K7573" s="57"/>
      <c r="L7573" s="48"/>
    </row>
    <row r="7574" spans="1:12" ht="11.25" x14ac:dyDescent="0.2">
      <c r="A7574" s="46" t="s">
        <v>9371</v>
      </c>
      <c r="B7574" s="46" t="s">
        <v>9371</v>
      </c>
      <c r="C7574" s="58" t="str">
        <f>"10732322"</f>
        <v>10732322</v>
      </c>
      <c r="D7574" s="58" t="str">
        <f>"15400514"</f>
        <v>15400514</v>
      </c>
      <c r="E7574" s="46" t="s">
        <v>28</v>
      </c>
      <c r="F7574" s="46" t="s">
        <v>17759</v>
      </c>
      <c r="G7574" s="46" t="s">
        <v>50584</v>
      </c>
      <c r="H7574" s="48" t="s">
        <v>56716</v>
      </c>
      <c r="I7574" s="48" t="s">
        <v>50564</v>
      </c>
      <c r="J7574" s="48"/>
      <c r="K7574" s="50" t="s">
        <v>56716</v>
      </c>
      <c r="L7574" s="48" t="s">
        <v>56716</v>
      </c>
    </row>
    <row r="7575" spans="1:12" ht="11.25" x14ac:dyDescent="0.2">
      <c r="A7575" s="45" t="s">
        <v>47542</v>
      </c>
      <c r="B7575" s="45" t="s">
        <v>47544</v>
      </c>
      <c r="C7575" s="51" t="s">
        <v>47546</v>
      </c>
      <c r="D7575" s="51" t="s">
        <v>47545</v>
      </c>
      <c r="E7575" s="45" t="s">
        <v>47547</v>
      </c>
      <c r="F7575" s="45" t="s">
        <v>18242</v>
      </c>
      <c r="G7575" s="45" t="s">
        <v>50604</v>
      </c>
      <c r="H7575" s="56"/>
      <c r="I7575" s="56" t="s">
        <v>50564</v>
      </c>
      <c r="J7575" s="56"/>
      <c r="K7575" s="57"/>
      <c r="L7575" s="56" t="s">
        <v>56716</v>
      </c>
    </row>
    <row r="7576" spans="1:12" ht="11.25" x14ac:dyDescent="0.2">
      <c r="A7576" s="45" t="s">
        <v>47549</v>
      </c>
      <c r="B7576" s="45" t="s">
        <v>47551</v>
      </c>
      <c r="C7576" s="51" t="s">
        <v>47553</v>
      </c>
      <c r="D7576" s="51"/>
      <c r="E7576" s="45" t="s">
        <v>47554</v>
      </c>
      <c r="F7576" s="45" t="s">
        <v>17958</v>
      </c>
      <c r="G7576" s="45" t="s">
        <v>50586</v>
      </c>
      <c r="H7576" s="56"/>
      <c r="I7576" s="56" t="s">
        <v>50564</v>
      </c>
      <c r="J7576" s="56"/>
      <c r="K7576" s="57"/>
      <c r="L7576" s="56" t="s">
        <v>56716</v>
      </c>
    </row>
    <row r="7577" spans="1:12" ht="11.25" x14ac:dyDescent="0.2">
      <c r="A7577" s="46" t="s">
        <v>12800</v>
      </c>
      <c r="B7577" s="46" t="s">
        <v>12800</v>
      </c>
      <c r="C7577" s="58" t="str">
        <f>"13345605"</f>
        <v>13345605</v>
      </c>
      <c r="D7577" s="58" t="str">
        <f>"1845206X"</f>
        <v>1845206X</v>
      </c>
      <c r="E7577" s="46" t="s">
        <v>12803</v>
      </c>
      <c r="F7577" s="46" t="s">
        <v>18079</v>
      </c>
      <c r="G7577" s="46" t="s">
        <v>50584</v>
      </c>
      <c r="H7577" s="48" t="s">
        <v>56716</v>
      </c>
      <c r="I7577" s="48" t="s">
        <v>50564</v>
      </c>
      <c r="J7577" s="48"/>
      <c r="K7577" s="57"/>
      <c r="L7577" s="48"/>
    </row>
    <row r="7578" spans="1:12" ht="11.25" x14ac:dyDescent="0.2">
      <c r="A7578" s="46" t="s">
        <v>15159</v>
      </c>
      <c r="B7578" s="46" t="s">
        <v>15159</v>
      </c>
      <c r="C7578" s="58" t="str">
        <f>""</f>
        <v/>
      </c>
      <c r="D7578" s="58" t="str">
        <f>"1758907X"</f>
        <v>1758907X</v>
      </c>
      <c r="E7578" s="46" t="s">
        <v>2299</v>
      </c>
      <c r="F7578" s="46" t="s">
        <v>50646</v>
      </c>
      <c r="G7578" s="46" t="s">
        <v>50584</v>
      </c>
      <c r="H7578" s="48" t="s">
        <v>56716</v>
      </c>
      <c r="I7578" s="48" t="s">
        <v>50564</v>
      </c>
      <c r="J7578" s="48" t="s">
        <v>56716</v>
      </c>
      <c r="K7578" s="57"/>
      <c r="L7578" s="48"/>
    </row>
    <row r="7579" spans="1:12" ht="11.25" x14ac:dyDescent="0.2">
      <c r="A7579" s="45" t="s">
        <v>47556</v>
      </c>
      <c r="B7579" s="45" t="s">
        <v>47558</v>
      </c>
      <c r="C7579" s="51" t="s">
        <v>47560</v>
      </c>
      <c r="D7579" s="51" t="s">
        <v>47559</v>
      </c>
      <c r="E7579" s="45" t="s">
        <v>17758</v>
      </c>
      <c r="F7579" s="45" t="s">
        <v>17759</v>
      </c>
      <c r="G7579" s="45" t="s">
        <v>50584</v>
      </c>
      <c r="H7579" s="56"/>
      <c r="I7579" s="56" t="s">
        <v>50564</v>
      </c>
      <c r="J7579" s="56"/>
      <c r="K7579" s="57"/>
      <c r="L7579" s="56" t="s">
        <v>56716</v>
      </c>
    </row>
    <row r="7580" spans="1:12" ht="11.25" x14ac:dyDescent="0.2">
      <c r="A7580" s="46" t="s">
        <v>10574</v>
      </c>
      <c r="B7580" s="46" t="s">
        <v>10574</v>
      </c>
      <c r="C7580" s="58" t="str">
        <f>"1645281X"</f>
        <v>1645281X</v>
      </c>
      <c r="D7580" s="58" t="str">
        <f>""</f>
        <v/>
      </c>
      <c r="E7580" s="46" t="s">
        <v>10576</v>
      </c>
      <c r="F7580" s="46" t="s">
        <v>18249</v>
      </c>
      <c r="G7580" s="46" t="s">
        <v>50614</v>
      </c>
      <c r="H7580" s="48" t="s">
        <v>56716</v>
      </c>
      <c r="I7580" s="48" t="s">
        <v>50564</v>
      </c>
      <c r="J7580" s="48"/>
      <c r="K7580" s="57"/>
      <c r="L7580" s="48"/>
    </row>
    <row r="7581" spans="1:12" ht="11.25" x14ac:dyDescent="0.2">
      <c r="A7581" s="46" t="s">
        <v>16738</v>
      </c>
      <c r="B7581" s="46" t="s">
        <v>16738</v>
      </c>
      <c r="C7581" s="58" t="str">
        <f>"22447261"</f>
        <v>22447261</v>
      </c>
      <c r="D7581" s="58" t="str">
        <f>""</f>
        <v/>
      </c>
      <c r="E7581" s="46" t="s">
        <v>16736</v>
      </c>
      <c r="F7581" s="46" t="s">
        <v>21505</v>
      </c>
      <c r="G7581" s="46" t="s">
        <v>50632</v>
      </c>
      <c r="H7581" s="48" t="s">
        <v>56716</v>
      </c>
      <c r="I7581" s="48" t="s">
        <v>50564</v>
      </c>
      <c r="J7581" s="48"/>
      <c r="K7581" s="57"/>
      <c r="L7581" s="48"/>
    </row>
    <row r="7582" spans="1:12" ht="11.25" x14ac:dyDescent="0.2">
      <c r="A7582" s="45" t="s">
        <v>47562</v>
      </c>
      <c r="B7582" s="45" t="s">
        <v>47564</v>
      </c>
      <c r="C7582" s="51" t="s">
        <v>47567</v>
      </c>
      <c r="D7582" s="51" t="s">
        <v>47566</v>
      </c>
      <c r="E7582" s="45" t="s">
        <v>91</v>
      </c>
      <c r="F7582" s="45" t="s">
        <v>19491</v>
      </c>
      <c r="G7582" s="45" t="s">
        <v>50584</v>
      </c>
      <c r="H7582" s="56"/>
      <c r="I7582" s="56" t="s">
        <v>50564</v>
      </c>
      <c r="J7582" s="56"/>
      <c r="K7582" s="57"/>
      <c r="L7582" s="56" t="s">
        <v>56716</v>
      </c>
    </row>
    <row r="7583" spans="1:12" ht="11.25" x14ac:dyDescent="0.2">
      <c r="A7583" s="46" t="s">
        <v>3786</v>
      </c>
      <c r="B7583" s="46" t="s">
        <v>55457</v>
      </c>
      <c r="C7583" s="58" t="str">
        <f>"00375675"</f>
        <v>00375675</v>
      </c>
      <c r="D7583" s="58" t="str">
        <f>""</f>
        <v/>
      </c>
      <c r="E7583" s="46" t="s">
        <v>3788</v>
      </c>
      <c r="F7583" s="46" t="s">
        <v>19491</v>
      </c>
      <c r="G7583" s="46" t="s">
        <v>50584</v>
      </c>
      <c r="H7583" s="48" t="s">
        <v>56716</v>
      </c>
      <c r="I7583" s="48" t="s">
        <v>50564</v>
      </c>
      <c r="J7583" s="48"/>
      <c r="K7583" s="57"/>
      <c r="L7583" s="48" t="s">
        <v>56716</v>
      </c>
    </row>
    <row r="7584" spans="1:12" ht="11.25" x14ac:dyDescent="0.2">
      <c r="A7584" s="46" t="s">
        <v>3820</v>
      </c>
      <c r="B7584" s="46" t="s">
        <v>55458</v>
      </c>
      <c r="C7584" s="58" t="str">
        <f>"03642348"</f>
        <v>03642348</v>
      </c>
      <c r="D7584" s="58" t="str">
        <f>"14322161"</f>
        <v>14322161</v>
      </c>
      <c r="E7584" s="46" t="s">
        <v>167</v>
      </c>
      <c r="F7584" s="46" t="s">
        <v>18158</v>
      </c>
      <c r="G7584" s="46" t="s">
        <v>50584</v>
      </c>
      <c r="H7584" s="48" t="s">
        <v>56716</v>
      </c>
      <c r="I7584" s="48" t="s">
        <v>50564</v>
      </c>
      <c r="J7584" s="48" t="s">
        <v>56716</v>
      </c>
      <c r="K7584" s="50" t="s">
        <v>56716</v>
      </c>
      <c r="L7584" s="48" t="s">
        <v>56716</v>
      </c>
    </row>
    <row r="7585" spans="1:12" ht="11.25" x14ac:dyDescent="0.2">
      <c r="A7585" s="46" t="s">
        <v>3813</v>
      </c>
      <c r="B7585" s="46" t="s">
        <v>3813</v>
      </c>
      <c r="C7585" s="58" t="str">
        <f>"08712549"</f>
        <v>08712549</v>
      </c>
      <c r="D7585" s="58" t="str">
        <f>""</f>
        <v/>
      </c>
      <c r="E7585" s="46" t="s">
        <v>3815</v>
      </c>
      <c r="F7585" s="46" t="s">
        <v>18249</v>
      </c>
      <c r="G7585" s="46" t="s">
        <v>50584</v>
      </c>
      <c r="H7585" s="48" t="s">
        <v>56716</v>
      </c>
      <c r="I7585" s="48" t="s">
        <v>50564</v>
      </c>
      <c r="J7585" s="48"/>
      <c r="K7585" s="57"/>
      <c r="L7585" s="48"/>
    </row>
    <row r="7586" spans="1:12" ht="11.25" x14ac:dyDescent="0.2">
      <c r="A7586" s="46" t="s">
        <v>10094</v>
      </c>
      <c r="B7586" s="46" t="s">
        <v>55459</v>
      </c>
      <c r="C7586" s="58" t="str">
        <f>"16605527"</f>
        <v>16605527</v>
      </c>
      <c r="D7586" s="58" t="str">
        <f>"16605535"</f>
        <v>16605535</v>
      </c>
      <c r="E7586" s="46" t="s">
        <v>109</v>
      </c>
      <c r="F7586" s="46" t="s">
        <v>18123</v>
      </c>
      <c r="G7586" s="46" t="s">
        <v>50584</v>
      </c>
      <c r="H7586" s="48" t="s">
        <v>56716</v>
      </c>
      <c r="I7586" s="48" t="s">
        <v>50564</v>
      </c>
      <c r="J7586" s="48" t="s">
        <v>56716</v>
      </c>
      <c r="K7586" s="50" t="s">
        <v>56716</v>
      </c>
      <c r="L7586" s="48" t="s">
        <v>56716</v>
      </c>
    </row>
    <row r="7587" spans="1:12" ht="11.25" x14ac:dyDescent="0.2">
      <c r="A7587" s="46" t="s">
        <v>9471</v>
      </c>
      <c r="B7587" s="46" t="s">
        <v>55460</v>
      </c>
      <c r="C7587" s="58" t="str">
        <f>"13471813"</f>
        <v>13471813</v>
      </c>
      <c r="D7587" s="58" t="str">
        <f>""</f>
        <v/>
      </c>
      <c r="E7587" s="46" t="s">
        <v>9473</v>
      </c>
      <c r="F7587" s="46" t="s">
        <v>18242</v>
      </c>
      <c r="G7587" s="46" t="s">
        <v>50604</v>
      </c>
      <c r="H7587" s="48" t="s">
        <v>56716</v>
      </c>
      <c r="I7587" s="48" t="s">
        <v>50564</v>
      </c>
      <c r="J7587" s="48"/>
      <c r="K7587" s="57"/>
      <c r="L7587" s="48"/>
    </row>
    <row r="7588" spans="1:12" ht="11.25" x14ac:dyDescent="0.2">
      <c r="A7588" s="46" t="s">
        <v>6651</v>
      </c>
      <c r="B7588" s="46" t="s">
        <v>55461</v>
      </c>
      <c r="C7588" s="58" t="str">
        <f>"0909752X"</f>
        <v>0909752X</v>
      </c>
      <c r="D7588" s="58" t="str">
        <f>"16000846"</f>
        <v>16000846</v>
      </c>
      <c r="E7588" s="46" t="s">
        <v>35</v>
      </c>
      <c r="F7588" s="46" t="s">
        <v>50646</v>
      </c>
      <c r="G7588" s="46" t="s">
        <v>50584</v>
      </c>
      <c r="H7588" s="48" t="s">
        <v>56716</v>
      </c>
      <c r="I7588" s="48" t="s">
        <v>50564</v>
      </c>
      <c r="J7588" s="48"/>
      <c r="K7588" s="50" t="s">
        <v>56716</v>
      </c>
      <c r="L7588" s="48" t="s">
        <v>56716</v>
      </c>
    </row>
    <row r="7589" spans="1:12" ht="11.25" x14ac:dyDescent="0.2">
      <c r="A7589" s="45" t="s">
        <v>47591</v>
      </c>
      <c r="B7589" s="45" t="s">
        <v>47593</v>
      </c>
      <c r="C7589" s="51" t="s">
        <v>47594</v>
      </c>
      <c r="D7589" s="51"/>
      <c r="E7589" s="45" t="s">
        <v>47595</v>
      </c>
      <c r="F7589" s="45" t="s">
        <v>18959</v>
      </c>
      <c r="G7589" s="45" t="s">
        <v>50584</v>
      </c>
      <c r="H7589" s="56"/>
      <c r="I7589" s="56" t="s">
        <v>50564</v>
      </c>
      <c r="J7589" s="56"/>
      <c r="K7589" s="57"/>
      <c r="L7589" s="56" t="s">
        <v>56716</v>
      </c>
    </row>
    <row r="7590" spans="1:12" ht="11.25" x14ac:dyDescent="0.2">
      <c r="A7590" s="45" t="s">
        <v>47597</v>
      </c>
      <c r="B7590" s="45" t="s">
        <v>47597</v>
      </c>
      <c r="C7590" s="51" t="s">
        <v>47600</v>
      </c>
      <c r="D7590" s="51" t="s">
        <v>47599</v>
      </c>
      <c r="E7590" s="45" t="s">
        <v>47601</v>
      </c>
      <c r="F7590" s="45" t="s">
        <v>17759</v>
      </c>
      <c r="G7590" s="45" t="s">
        <v>50584</v>
      </c>
      <c r="H7590" s="56"/>
      <c r="I7590" s="56" t="s">
        <v>50564</v>
      </c>
      <c r="J7590" s="56"/>
      <c r="K7590" s="57"/>
      <c r="L7590" s="56" t="s">
        <v>56716</v>
      </c>
    </row>
    <row r="7591" spans="1:12" ht="11.25" x14ac:dyDescent="0.2">
      <c r="A7591" s="46" t="s">
        <v>3826</v>
      </c>
      <c r="B7591" s="46" t="s">
        <v>3826</v>
      </c>
      <c r="C7591" s="58" t="str">
        <f>"01618105"</f>
        <v>01618105</v>
      </c>
      <c r="D7591" s="58" t="str">
        <f>"15509109"</f>
        <v>15509109</v>
      </c>
      <c r="E7591" s="46" t="s">
        <v>3829</v>
      </c>
      <c r="F7591" s="46" t="s">
        <v>17759</v>
      </c>
      <c r="G7591" s="46" t="s">
        <v>50584</v>
      </c>
      <c r="H7591" s="48" t="s">
        <v>56716</v>
      </c>
      <c r="I7591" s="48" t="s">
        <v>50564</v>
      </c>
      <c r="J7591" s="48" t="s">
        <v>56716</v>
      </c>
      <c r="K7591" s="57"/>
      <c r="L7591" s="48" t="s">
        <v>56716</v>
      </c>
    </row>
    <row r="7592" spans="1:12" ht="11.25" x14ac:dyDescent="0.2">
      <c r="A7592" s="46" t="s">
        <v>9935</v>
      </c>
      <c r="B7592" s="46" t="s">
        <v>55462</v>
      </c>
      <c r="C7592" s="58" t="str">
        <f>"14469235"</f>
        <v>14469235</v>
      </c>
      <c r="D7592" s="58" t="str">
        <f>"14798425"</f>
        <v>14798425</v>
      </c>
      <c r="E7592" s="46" t="s">
        <v>296</v>
      </c>
      <c r="F7592" s="46" t="s">
        <v>20082</v>
      </c>
      <c r="G7592" s="46" t="s">
        <v>50584</v>
      </c>
      <c r="H7592" s="48" t="s">
        <v>56716</v>
      </c>
      <c r="I7592" s="48" t="s">
        <v>50564</v>
      </c>
      <c r="J7592" s="48" t="s">
        <v>56716</v>
      </c>
      <c r="K7592" s="50" t="s">
        <v>56716</v>
      </c>
      <c r="L7592" s="48"/>
    </row>
    <row r="7593" spans="1:12" ht="11.25" x14ac:dyDescent="0.2">
      <c r="A7593" s="46" t="s">
        <v>8952</v>
      </c>
      <c r="B7593" s="46" t="s">
        <v>55463</v>
      </c>
      <c r="C7593" s="58" t="str">
        <f>"15209512"</f>
        <v>15209512</v>
      </c>
      <c r="D7593" s="58" t="str">
        <f>"15221709"</f>
        <v>15221709</v>
      </c>
      <c r="E7593" s="46" t="s">
        <v>167</v>
      </c>
      <c r="F7593" s="46" t="s">
        <v>18158</v>
      </c>
      <c r="G7593" s="46" t="s">
        <v>50584</v>
      </c>
      <c r="H7593" s="48" t="s">
        <v>56716</v>
      </c>
      <c r="I7593" s="48" t="s">
        <v>50564</v>
      </c>
      <c r="J7593" s="48" t="s">
        <v>56716</v>
      </c>
      <c r="K7593" s="50" t="s">
        <v>56716</v>
      </c>
      <c r="L7593" s="48" t="s">
        <v>56716</v>
      </c>
    </row>
    <row r="7594" spans="1:12" ht="11.25" x14ac:dyDescent="0.2">
      <c r="A7594" s="46" t="s">
        <v>17473</v>
      </c>
      <c r="B7594" s="46" t="s">
        <v>55464</v>
      </c>
      <c r="C7594" s="58" t="str">
        <f>"20903545"</f>
        <v>20903545</v>
      </c>
      <c r="D7594" s="58" t="str">
        <f>"20903553"</f>
        <v>20903553</v>
      </c>
      <c r="E7594" s="46" t="s">
        <v>1412</v>
      </c>
      <c r="F7594" s="46" t="s">
        <v>17759</v>
      </c>
      <c r="G7594" s="46" t="s">
        <v>50584</v>
      </c>
      <c r="H7594" s="48" t="s">
        <v>56716</v>
      </c>
      <c r="I7594" s="48" t="s">
        <v>50564</v>
      </c>
      <c r="J7594" s="48"/>
      <c r="K7594" s="57"/>
      <c r="L7594" s="48"/>
    </row>
    <row r="7595" spans="1:12" ht="11.25" x14ac:dyDescent="0.2">
      <c r="A7595" s="46" t="s">
        <v>8571</v>
      </c>
      <c r="B7595" s="46" t="s">
        <v>55465</v>
      </c>
      <c r="C7595" s="58" t="str">
        <f>"13899457"</f>
        <v>13899457</v>
      </c>
      <c r="D7595" s="58" t="str">
        <f>"18785506"</f>
        <v>18785506</v>
      </c>
      <c r="E7595" s="46" t="s">
        <v>91</v>
      </c>
      <c r="F7595" s="46" t="s">
        <v>18001</v>
      </c>
      <c r="G7595" s="46" t="s">
        <v>50584</v>
      </c>
      <c r="H7595" s="48" t="s">
        <v>56716</v>
      </c>
      <c r="I7595" s="48" t="s">
        <v>50564</v>
      </c>
      <c r="J7595" s="48" t="s">
        <v>56716</v>
      </c>
      <c r="K7595" s="50" t="s">
        <v>56716</v>
      </c>
      <c r="L7595" s="48" t="s">
        <v>56716</v>
      </c>
    </row>
    <row r="7596" spans="1:12" ht="11.25" x14ac:dyDescent="0.2">
      <c r="A7596" s="46" t="s">
        <v>12005</v>
      </c>
      <c r="B7596" s="46" t="s">
        <v>55466</v>
      </c>
      <c r="C7596" s="58" t="str">
        <f>"1556407X"</f>
        <v>1556407X</v>
      </c>
      <c r="D7596" s="58" t="str">
        <f>"15564088"</f>
        <v>15564088</v>
      </c>
      <c r="E7596" s="46" t="s">
        <v>303</v>
      </c>
      <c r="F7596" s="46" t="s">
        <v>17759</v>
      </c>
      <c r="G7596" s="46" t="s">
        <v>50584</v>
      </c>
      <c r="H7596" s="48" t="s">
        <v>56716</v>
      </c>
      <c r="I7596" s="48" t="s">
        <v>50564</v>
      </c>
      <c r="J7596" s="48" t="s">
        <v>56716</v>
      </c>
      <c r="K7596" s="50" t="s">
        <v>56716</v>
      </c>
      <c r="L7596" s="48"/>
    </row>
    <row r="7597" spans="1:12" ht="11.25" x14ac:dyDescent="0.2">
      <c r="A7597" s="46" t="s">
        <v>7392</v>
      </c>
      <c r="B7597" s="46" t="s">
        <v>55467</v>
      </c>
      <c r="C7597" s="58" t="str">
        <f>"10870792"</f>
        <v>10870792</v>
      </c>
      <c r="D7597" s="58" t="str">
        <f>"15322955"</f>
        <v>15322955</v>
      </c>
      <c r="E7597" s="46" t="s">
        <v>1177</v>
      </c>
      <c r="F7597" s="46" t="s">
        <v>50646</v>
      </c>
      <c r="G7597" s="46" t="s">
        <v>50584</v>
      </c>
      <c r="H7597" s="48" t="s">
        <v>56716</v>
      </c>
      <c r="I7597" s="48" t="s">
        <v>50564</v>
      </c>
      <c r="J7597" s="48"/>
      <c r="K7597" s="50" t="s">
        <v>56716</v>
      </c>
      <c r="L7597" s="48" t="s">
        <v>56716</v>
      </c>
    </row>
    <row r="7598" spans="1:12" ht="11.25" x14ac:dyDescent="0.2">
      <c r="A7598" s="46" t="s">
        <v>17094</v>
      </c>
      <c r="B7598" s="46" t="s">
        <v>55468</v>
      </c>
      <c r="C7598" s="58" t="str">
        <f>"19840659"</f>
        <v>19840659</v>
      </c>
      <c r="D7598" s="58" t="str">
        <f>"19840063"</f>
        <v>19840063</v>
      </c>
      <c r="E7598" s="46" t="s">
        <v>17097</v>
      </c>
      <c r="F7598" s="46" t="s">
        <v>18058</v>
      </c>
      <c r="G7598" s="46" t="s">
        <v>50584</v>
      </c>
      <c r="H7598" s="48" t="s">
        <v>56716</v>
      </c>
      <c r="I7598" s="48" t="s">
        <v>50564</v>
      </c>
      <c r="J7598" s="48"/>
      <c r="K7598" s="57"/>
      <c r="L7598" s="48"/>
    </row>
    <row r="7599" spans="1:12" ht="11.25" x14ac:dyDescent="0.2">
      <c r="A7599" s="45" t="s">
        <v>47621</v>
      </c>
      <c r="B7599" s="45" t="s">
        <v>47623</v>
      </c>
      <c r="C7599" s="51" t="s">
        <v>47625</v>
      </c>
      <c r="D7599" s="51" t="s">
        <v>47624</v>
      </c>
      <c r="E7599" s="45" t="s">
        <v>18712</v>
      </c>
      <c r="F7599" s="45" t="s">
        <v>18158</v>
      </c>
      <c r="G7599" s="45" t="s">
        <v>50584</v>
      </c>
      <c r="H7599" s="56"/>
      <c r="I7599" s="56" t="s">
        <v>50564</v>
      </c>
      <c r="J7599" s="56"/>
      <c r="K7599" s="57"/>
      <c r="L7599" s="56" t="s">
        <v>56716</v>
      </c>
    </row>
    <row r="7600" spans="1:12" ht="11.25" x14ac:dyDescent="0.2">
      <c r="A7600" s="46" t="s">
        <v>15234</v>
      </c>
      <c r="B7600" s="46" t="s">
        <v>15234</v>
      </c>
      <c r="C7600" s="58" t="str">
        <f>"21541248"</f>
        <v>21541248</v>
      </c>
      <c r="D7600" s="58" t="str">
        <f>"21541256"</f>
        <v>21541256</v>
      </c>
      <c r="E7600" s="46" t="s">
        <v>669</v>
      </c>
      <c r="F7600" s="46" t="s">
        <v>17759</v>
      </c>
      <c r="G7600" s="46" t="s">
        <v>50584</v>
      </c>
      <c r="H7600" s="48" t="s">
        <v>56716</v>
      </c>
      <c r="I7600" s="48" t="s">
        <v>50564</v>
      </c>
      <c r="J7600" s="48"/>
      <c r="K7600" s="57"/>
      <c r="L7600" s="48" t="s">
        <v>56716</v>
      </c>
    </row>
    <row r="7601" spans="1:12" ht="11.25" x14ac:dyDescent="0.2">
      <c r="A7601" s="45" t="s">
        <v>47638</v>
      </c>
      <c r="B7601" s="45" t="s">
        <v>47640</v>
      </c>
      <c r="C7601" s="51" t="s">
        <v>47642</v>
      </c>
      <c r="D7601" s="51" t="s">
        <v>47641</v>
      </c>
      <c r="E7601" s="45" t="s">
        <v>47643</v>
      </c>
      <c r="F7601" s="45" t="s">
        <v>50646</v>
      </c>
      <c r="G7601" s="45" t="s">
        <v>50584</v>
      </c>
      <c r="H7601" s="56"/>
      <c r="I7601" s="56" t="s">
        <v>50564</v>
      </c>
      <c r="J7601" s="56"/>
      <c r="K7601" s="57"/>
      <c r="L7601" s="56" t="s">
        <v>56716</v>
      </c>
    </row>
    <row r="7602" spans="1:12" ht="11.25" x14ac:dyDescent="0.2">
      <c r="A7602" s="45" t="s">
        <v>47646</v>
      </c>
      <c r="B7602" s="45" t="s">
        <v>47648</v>
      </c>
      <c r="C7602" s="51" t="s">
        <v>47650</v>
      </c>
      <c r="D7602" s="51" t="s">
        <v>47649</v>
      </c>
      <c r="E7602" s="45" t="s">
        <v>689</v>
      </c>
      <c r="F7602" s="45" t="s">
        <v>50646</v>
      </c>
      <c r="G7602" s="45" t="s">
        <v>50584</v>
      </c>
      <c r="H7602" s="56"/>
      <c r="I7602" s="56" t="s">
        <v>50564</v>
      </c>
      <c r="J7602" s="56"/>
      <c r="K7602" s="57"/>
      <c r="L7602" s="56" t="s">
        <v>56716</v>
      </c>
    </row>
    <row r="7603" spans="1:12" ht="11.25" x14ac:dyDescent="0.2">
      <c r="A7603" s="45" t="s">
        <v>47652</v>
      </c>
      <c r="B7603" s="45" t="s">
        <v>47654</v>
      </c>
      <c r="C7603" s="51" t="s">
        <v>47657</v>
      </c>
      <c r="D7603" s="51" t="s">
        <v>47656</v>
      </c>
      <c r="E7603" s="45" t="s">
        <v>17790</v>
      </c>
      <c r="F7603" s="45" t="s">
        <v>18158</v>
      </c>
      <c r="G7603" s="45" t="s">
        <v>50584</v>
      </c>
      <c r="H7603" s="56"/>
      <c r="I7603" s="56" t="s">
        <v>50564</v>
      </c>
      <c r="J7603" s="56"/>
      <c r="K7603" s="57"/>
      <c r="L7603" s="56" t="s">
        <v>56716</v>
      </c>
    </row>
    <row r="7604" spans="1:12" ht="11.25" x14ac:dyDescent="0.2">
      <c r="A7604" s="46" t="s">
        <v>3849</v>
      </c>
      <c r="B7604" s="46" t="s">
        <v>55469</v>
      </c>
      <c r="C7604" s="58" t="str">
        <f>"02779536"</f>
        <v>02779536</v>
      </c>
      <c r="D7604" s="58" t="str">
        <f>"18735347"</f>
        <v>18735347</v>
      </c>
      <c r="E7604" s="46" t="s">
        <v>155</v>
      </c>
      <c r="F7604" s="46" t="s">
        <v>50646</v>
      </c>
      <c r="G7604" s="46" t="s">
        <v>50584</v>
      </c>
      <c r="H7604" s="48" t="s">
        <v>56716</v>
      </c>
      <c r="I7604" s="48" t="s">
        <v>50564</v>
      </c>
      <c r="J7604" s="48"/>
      <c r="K7604" s="50" t="s">
        <v>56716</v>
      </c>
      <c r="L7604" s="48" t="s">
        <v>56716</v>
      </c>
    </row>
    <row r="7605" spans="1:12" ht="11.25" x14ac:dyDescent="0.2">
      <c r="A7605" s="45" t="s">
        <v>47666</v>
      </c>
      <c r="B7605" s="45" t="s">
        <v>47668</v>
      </c>
      <c r="C7605" s="51" t="s">
        <v>47669</v>
      </c>
      <c r="D7605" s="51" t="s">
        <v>56677</v>
      </c>
      <c r="E7605" s="45" t="s">
        <v>601</v>
      </c>
      <c r="F7605" s="45" t="s">
        <v>17759</v>
      </c>
      <c r="G7605" s="45" t="s">
        <v>50584</v>
      </c>
      <c r="H7605" s="56"/>
      <c r="I7605" s="56" t="s">
        <v>50564</v>
      </c>
      <c r="J7605" s="56"/>
      <c r="K7605" s="57"/>
      <c r="L7605" s="56" t="s">
        <v>56716</v>
      </c>
    </row>
    <row r="7606" spans="1:12" ht="11.25" x14ac:dyDescent="0.2">
      <c r="A7606" s="45" t="s">
        <v>47671</v>
      </c>
      <c r="B7606" s="45" t="s">
        <v>47673</v>
      </c>
      <c r="C7606" s="51" t="s">
        <v>47675</v>
      </c>
      <c r="D7606" s="51"/>
      <c r="E7606" s="45" t="s">
        <v>47676</v>
      </c>
      <c r="F7606" s="45" t="s">
        <v>17759</v>
      </c>
      <c r="G7606" s="45" t="s">
        <v>50584</v>
      </c>
      <c r="H7606" s="56"/>
      <c r="I7606" s="56" t="s">
        <v>50564</v>
      </c>
      <c r="J7606" s="56"/>
      <c r="K7606" s="57"/>
      <c r="L7606" s="56" t="s">
        <v>56716</v>
      </c>
    </row>
    <row r="7607" spans="1:12" ht="11.25" x14ac:dyDescent="0.2">
      <c r="A7607" s="45" t="s">
        <v>47678</v>
      </c>
      <c r="B7607" s="45" t="s">
        <v>47680</v>
      </c>
      <c r="C7607" s="51" t="s">
        <v>47683</v>
      </c>
      <c r="D7607" s="51" t="s">
        <v>47682</v>
      </c>
      <c r="E7607" s="45" t="s">
        <v>19447</v>
      </c>
      <c r="F7607" s="45" t="s">
        <v>17759</v>
      </c>
      <c r="G7607" s="45" t="s">
        <v>50584</v>
      </c>
      <c r="H7607" s="56"/>
      <c r="I7607" s="56" t="s">
        <v>50564</v>
      </c>
      <c r="J7607" s="56"/>
      <c r="K7607" s="57"/>
      <c r="L7607" s="56" t="s">
        <v>56716</v>
      </c>
    </row>
    <row r="7608" spans="1:12" ht="11.25" x14ac:dyDescent="0.2">
      <c r="A7608" s="45" t="s">
        <v>47685</v>
      </c>
      <c r="B7608" s="45" t="s">
        <v>47687</v>
      </c>
      <c r="C7608" s="51" t="s">
        <v>47690</v>
      </c>
      <c r="D7608" s="51" t="s">
        <v>47689</v>
      </c>
      <c r="E7608" s="45" t="s">
        <v>55</v>
      </c>
      <c r="F7608" s="45" t="s">
        <v>17759</v>
      </c>
      <c r="G7608" s="45" t="s">
        <v>50584</v>
      </c>
      <c r="H7608" s="56"/>
      <c r="I7608" s="56" t="s">
        <v>50564</v>
      </c>
      <c r="J7608" s="56"/>
      <c r="K7608" s="57"/>
      <c r="L7608" s="56" t="s">
        <v>56716</v>
      </c>
    </row>
    <row r="7609" spans="1:12" ht="11.25" x14ac:dyDescent="0.2">
      <c r="A7609" s="45" t="s">
        <v>47693</v>
      </c>
      <c r="B7609" s="45" t="s">
        <v>47695</v>
      </c>
      <c r="C7609" s="51" t="s">
        <v>47697</v>
      </c>
      <c r="D7609" s="51" t="s">
        <v>47696</v>
      </c>
      <c r="E7609" s="45" t="s">
        <v>689</v>
      </c>
      <c r="F7609" s="45" t="s">
        <v>17759</v>
      </c>
      <c r="G7609" s="45" t="s">
        <v>50584</v>
      </c>
      <c r="H7609" s="56"/>
      <c r="I7609" s="56" t="s">
        <v>50564</v>
      </c>
      <c r="J7609" s="56"/>
      <c r="K7609" s="57"/>
      <c r="L7609" s="56" t="s">
        <v>56716</v>
      </c>
    </row>
    <row r="7610" spans="1:12" ht="11.25" x14ac:dyDescent="0.2">
      <c r="A7610" s="45" t="s">
        <v>47699</v>
      </c>
      <c r="B7610" s="45" t="s">
        <v>47701</v>
      </c>
      <c r="C7610" s="51" t="s">
        <v>47704</v>
      </c>
      <c r="D7610" s="51" t="s">
        <v>47703</v>
      </c>
      <c r="E7610" s="45" t="s">
        <v>689</v>
      </c>
      <c r="F7610" s="45" t="s">
        <v>17759</v>
      </c>
      <c r="G7610" s="45" t="s">
        <v>50584</v>
      </c>
      <c r="H7610" s="56"/>
      <c r="I7610" s="56" t="s">
        <v>50564</v>
      </c>
      <c r="J7610" s="56"/>
      <c r="K7610" s="57"/>
      <c r="L7610" s="56" t="s">
        <v>56716</v>
      </c>
    </row>
    <row r="7611" spans="1:12" ht="11.25" x14ac:dyDescent="0.2">
      <c r="A7611" s="45" t="s">
        <v>47706</v>
      </c>
      <c r="B7611" s="45" t="s">
        <v>47708</v>
      </c>
      <c r="C7611" s="51" t="s">
        <v>56678</v>
      </c>
      <c r="D7611" s="51"/>
      <c r="E7611" s="45" t="s">
        <v>56679</v>
      </c>
      <c r="F7611" s="45" t="s">
        <v>50646</v>
      </c>
      <c r="G7611" s="45" t="s">
        <v>50584</v>
      </c>
      <c r="H7611" s="56"/>
      <c r="I7611" s="56" t="s">
        <v>50564</v>
      </c>
      <c r="J7611" s="56"/>
      <c r="K7611" s="57"/>
      <c r="L7611" s="56" t="s">
        <v>56716</v>
      </c>
    </row>
    <row r="7612" spans="1:12" ht="11.25" x14ac:dyDescent="0.2">
      <c r="A7612" s="46" t="s">
        <v>8006</v>
      </c>
      <c r="B7612" s="46" t="s">
        <v>55470</v>
      </c>
      <c r="C7612" s="58" t="str">
        <f>"03037908"</f>
        <v>03037908</v>
      </c>
      <c r="D7612" s="58" t="str">
        <f>""</f>
        <v/>
      </c>
      <c r="E7612" s="46" t="s">
        <v>8008</v>
      </c>
      <c r="F7612" s="46" t="s">
        <v>18079</v>
      </c>
      <c r="G7612" s="46" t="s">
        <v>50626</v>
      </c>
      <c r="H7612" s="48" t="s">
        <v>56716</v>
      </c>
      <c r="I7612" s="48" t="s">
        <v>50564</v>
      </c>
      <c r="J7612" s="48"/>
      <c r="K7612" s="57"/>
      <c r="L7612" s="48"/>
    </row>
    <row r="7613" spans="1:12" ht="11.25" x14ac:dyDescent="0.2">
      <c r="A7613" s="45" t="s">
        <v>47712</v>
      </c>
      <c r="B7613" s="45" t="s">
        <v>47714</v>
      </c>
      <c r="C7613" s="51" t="s">
        <v>47716</v>
      </c>
      <c r="D7613" s="51" t="s">
        <v>47715</v>
      </c>
      <c r="E7613" s="45" t="s">
        <v>296</v>
      </c>
      <c r="F7613" s="45" t="s">
        <v>50646</v>
      </c>
      <c r="G7613" s="45" t="s">
        <v>50584</v>
      </c>
      <c r="H7613" s="56"/>
      <c r="I7613" s="56" t="s">
        <v>50564</v>
      </c>
      <c r="J7613" s="56"/>
      <c r="K7613" s="57"/>
      <c r="L7613" s="56" t="s">
        <v>56716</v>
      </c>
    </row>
    <row r="7614" spans="1:12" ht="11.25" x14ac:dyDescent="0.2">
      <c r="A7614" s="45" t="s">
        <v>56680</v>
      </c>
      <c r="B7614" s="45" t="s">
        <v>50518</v>
      </c>
      <c r="C7614" s="51" t="s">
        <v>50521</v>
      </c>
      <c r="D7614" s="51" t="s">
        <v>50520</v>
      </c>
      <c r="E7614" s="45" t="s">
        <v>6914</v>
      </c>
      <c r="F7614" s="45" t="s">
        <v>50646</v>
      </c>
      <c r="G7614" s="45" t="s">
        <v>50584</v>
      </c>
      <c r="H7614" s="56"/>
      <c r="I7614" s="56" t="s">
        <v>50564</v>
      </c>
      <c r="J7614" s="56"/>
      <c r="K7614" s="57"/>
      <c r="L7614" s="56" t="s">
        <v>56716</v>
      </c>
    </row>
    <row r="7615" spans="1:12" ht="11.25" x14ac:dyDescent="0.2">
      <c r="A7615" s="45" t="s">
        <v>47718</v>
      </c>
      <c r="B7615" s="45" t="s">
        <v>47720</v>
      </c>
      <c r="C7615" s="51" t="s">
        <v>47721</v>
      </c>
      <c r="D7615" s="51"/>
      <c r="E7615" s="45" t="s">
        <v>20386</v>
      </c>
      <c r="F7615" s="45" t="s">
        <v>20359</v>
      </c>
      <c r="G7615" s="45" t="s">
        <v>50591</v>
      </c>
      <c r="H7615" s="56"/>
      <c r="I7615" s="56" t="s">
        <v>50564</v>
      </c>
      <c r="J7615" s="56"/>
      <c r="K7615" s="57"/>
      <c r="L7615" s="56" t="s">
        <v>56716</v>
      </c>
    </row>
    <row r="7616" spans="1:12" ht="11.25" x14ac:dyDescent="0.2">
      <c r="A7616" s="45" t="s">
        <v>47723</v>
      </c>
      <c r="B7616" s="45" t="s">
        <v>47725</v>
      </c>
      <c r="C7616" s="51" t="s">
        <v>47727</v>
      </c>
      <c r="D7616" s="51"/>
      <c r="E7616" s="45" t="s">
        <v>20386</v>
      </c>
      <c r="F7616" s="45" t="s">
        <v>20359</v>
      </c>
      <c r="G7616" s="45" t="s">
        <v>50591</v>
      </c>
      <c r="H7616" s="56"/>
      <c r="I7616" s="56" t="s">
        <v>50564</v>
      </c>
      <c r="J7616" s="56"/>
      <c r="K7616" s="57"/>
      <c r="L7616" s="56" t="s">
        <v>56716</v>
      </c>
    </row>
    <row r="7617" spans="1:12" ht="11.25" x14ac:dyDescent="0.2">
      <c r="A7617" s="45" t="s">
        <v>47729</v>
      </c>
      <c r="B7617" s="45" t="s">
        <v>47731</v>
      </c>
      <c r="C7617" s="51" t="s">
        <v>47732</v>
      </c>
      <c r="D7617" s="51"/>
      <c r="E7617" s="45" t="s">
        <v>20386</v>
      </c>
      <c r="F7617" s="45" t="s">
        <v>20359</v>
      </c>
      <c r="G7617" s="45" t="s">
        <v>50591</v>
      </c>
      <c r="H7617" s="56"/>
      <c r="I7617" s="56" t="s">
        <v>50564</v>
      </c>
      <c r="J7617" s="56"/>
      <c r="K7617" s="57"/>
      <c r="L7617" s="56" t="s">
        <v>56716</v>
      </c>
    </row>
    <row r="7618" spans="1:12" ht="11.25" x14ac:dyDescent="0.2">
      <c r="A7618" s="45" t="s">
        <v>47734</v>
      </c>
      <c r="B7618" s="45" t="s">
        <v>47736</v>
      </c>
      <c r="C7618" s="51" t="s">
        <v>47737</v>
      </c>
      <c r="D7618" s="51"/>
      <c r="E7618" s="45" t="s">
        <v>20380</v>
      </c>
      <c r="F7618" s="45" t="s">
        <v>20359</v>
      </c>
      <c r="G7618" s="45" t="s">
        <v>50591</v>
      </c>
      <c r="H7618" s="56"/>
      <c r="I7618" s="56" t="s">
        <v>50564</v>
      </c>
      <c r="J7618" s="56"/>
      <c r="K7618" s="57"/>
      <c r="L7618" s="56" t="s">
        <v>56716</v>
      </c>
    </row>
    <row r="7619" spans="1:12" ht="11.25" x14ac:dyDescent="0.2">
      <c r="A7619" s="45" t="s">
        <v>47739</v>
      </c>
      <c r="B7619" s="45" t="s">
        <v>47741</v>
      </c>
      <c r="C7619" s="51" t="s">
        <v>47743</v>
      </c>
      <c r="D7619" s="51" t="s">
        <v>47742</v>
      </c>
      <c r="E7619" s="45" t="s">
        <v>91</v>
      </c>
      <c r="F7619" s="45" t="s">
        <v>18001</v>
      </c>
      <c r="G7619" s="45" t="s">
        <v>50584</v>
      </c>
      <c r="H7619" s="56"/>
      <c r="I7619" s="56" t="s">
        <v>50564</v>
      </c>
      <c r="J7619" s="56"/>
      <c r="K7619" s="57"/>
      <c r="L7619" s="56" t="s">
        <v>56716</v>
      </c>
    </row>
    <row r="7620" spans="1:12" ht="11.25" x14ac:dyDescent="0.2">
      <c r="A7620" s="45" t="s">
        <v>47745</v>
      </c>
      <c r="B7620" s="45" t="s">
        <v>47747</v>
      </c>
      <c r="C7620" s="51" t="s">
        <v>47750</v>
      </c>
      <c r="D7620" s="51" t="s">
        <v>47749</v>
      </c>
      <c r="E7620" s="45" t="s">
        <v>291</v>
      </c>
      <c r="F7620" s="45" t="s">
        <v>50646</v>
      </c>
      <c r="G7620" s="45" t="s">
        <v>50584</v>
      </c>
      <c r="H7620" s="56"/>
      <c r="I7620" s="56" t="s">
        <v>50564</v>
      </c>
      <c r="J7620" s="56"/>
      <c r="K7620" s="57"/>
      <c r="L7620" s="56" t="s">
        <v>56716</v>
      </c>
    </row>
    <row r="7621" spans="1:12" ht="11.25" x14ac:dyDescent="0.2">
      <c r="A7621" s="46" t="s">
        <v>7586</v>
      </c>
      <c r="B7621" s="46" t="s">
        <v>7586</v>
      </c>
      <c r="C7621" s="58" t="str">
        <f>"14329123"</f>
        <v>14329123</v>
      </c>
      <c r="D7621" s="58" t="str">
        <f>"1439054X"</f>
        <v>1439054X</v>
      </c>
      <c r="E7621" s="46" t="s">
        <v>55961</v>
      </c>
      <c r="F7621" s="46" t="s">
        <v>18158</v>
      </c>
      <c r="G7621" s="46" t="s">
        <v>50592</v>
      </c>
      <c r="H7621" s="48" t="s">
        <v>56716</v>
      </c>
      <c r="I7621" s="48" t="s">
        <v>50564</v>
      </c>
      <c r="J7621" s="48"/>
      <c r="K7621" s="50" t="s">
        <v>56716</v>
      </c>
      <c r="L7621" s="48"/>
    </row>
    <row r="7622" spans="1:12" ht="11.25" x14ac:dyDescent="0.2">
      <c r="A7622" s="45" t="s">
        <v>47752</v>
      </c>
      <c r="B7622" s="45" t="s">
        <v>47754</v>
      </c>
      <c r="C7622" s="51" t="s">
        <v>47755</v>
      </c>
      <c r="D7622" s="51"/>
      <c r="E7622" s="45" t="s">
        <v>47756</v>
      </c>
      <c r="F7622" s="45" t="s">
        <v>18025</v>
      </c>
      <c r="G7622" s="45" t="s">
        <v>56508</v>
      </c>
      <c r="H7622" s="56"/>
      <c r="I7622" s="56" t="s">
        <v>50564</v>
      </c>
      <c r="J7622" s="56"/>
      <c r="K7622" s="57"/>
      <c r="L7622" s="56" t="s">
        <v>56716</v>
      </c>
    </row>
    <row r="7623" spans="1:12" ht="11.25" x14ac:dyDescent="0.2">
      <c r="A7623" s="46" t="s">
        <v>10555</v>
      </c>
      <c r="B7623" s="46" t="s">
        <v>55471</v>
      </c>
      <c r="C7623" s="58" t="str">
        <f>"1726426X"</f>
        <v>1726426X</v>
      </c>
      <c r="D7623" s="58" t="str">
        <f>""</f>
        <v/>
      </c>
      <c r="E7623" s="46" t="s">
        <v>8784</v>
      </c>
      <c r="F7623" s="46" t="s">
        <v>24311</v>
      </c>
      <c r="G7623" s="46" t="s">
        <v>50584</v>
      </c>
      <c r="H7623" s="48" t="s">
        <v>56716</v>
      </c>
      <c r="I7623" s="48" t="s">
        <v>50564</v>
      </c>
      <c r="J7623" s="48"/>
      <c r="K7623" s="57"/>
      <c r="L7623" s="48"/>
    </row>
    <row r="7624" spans="1:12" ht="11.25" x14ac:dyDescent="0.2">
      <c r="A7624" s="46" t="s">
        <v>12008</v>
      </c>
      <c r="B7624" s="46" t="s">
        <v>55472</v>
      </c>
      <c r="C7624" s="58" t="str">
        <f>"18121659"</f>
        <v>18121659</v>
      </c>
      <c r="D7624" s="58" t="str">
        <f>""</f>
        <v/>
      </c>
      <c r="E7624" s="46" t="s">
        <v>12010</v>
      </c>
      <c r="F7624" s="46" t="s">
        <v>24311</v>
      </c>
      <c r="G7624" s="46" t="s">
        <v>50584</v>
      </c>
      <c r="H7624" s="48" t="s">
        <v>56716</v>
      </c>
      <c r="I7624" s="48" t="s">
        <v>50564</v>
      </c>
      <c r="J7624" s="48"/>
      <c r="K7624" s="57"/>
      <c r="L7624" s="48"/>
    </row>
    <row r="7625" spans="1:12" ht="11.25" x14ac:dyDescent="0.2">
      <c r="A7625" s="46" t="s">
        <v>8782</v>
      </c>
      <c r="B7625" s="46" t="s">
        <v>55473</v>
      </c>
      <c r="C7625" s="58" t="str">
        <f>"16070658"</f>
        <v>16070658</v>
      </c>
      <c r="D7625" s="58" t="str">
        <f>""</f>
        <v/>
      </c>
      <c r="E7625" s="46" t="s">
        <v>8784</v>
      </c>
      <c r="F7625" s="46" t="s">
        <v>24311</v>
      </c>
      <c r="G7625" s="46" t="s">
        <v>50584</v>
      </c>
      <c r="H7625" s="48" t="s">
        <v>56716</v>
      </c>
      <c r="I7625" s="48" t="s">
        <v>50564</v>
      </c>
      <c r="J7625" s="48"/>
      <c r="K7625" s="57"/>
      <c r="L7625" s="48"/>
    </row>
    <row r="7626" spans="1:12" ht="11.25" x14ac:dyDescent="0.2">
      <c r="A7626" s="46" t="s">
        <v>8776</v>
      </c>
      <c r="B7626" s="46" t="s">
        <v>55474</v>
      </c>
      <c r="C7626" s="58" t="str">
        <f>"00382329"</f>
        <v>00382329</v>
      </c>
      <c r="D7626" s="58" t="str">
        <f>""</f>
        <v/>
      </c>
      <c r="E7626" s="46" t="s">
        <v>3724</v>
      </c>
      <c r="F7626" s="46" t="s">
        <v>24311</v>
      </c>
      <c r="G7626" s="46" t="s">
        <v>50584</v>
      </c>
      <c r="H7626" s="48" t="s">
        <v>56716</v>
      </c>
      <c r="I7626" s="48" t="s">
        <v>50564</v>
      </c>
      <c r="J7626" s="48"/>
      <c r="K7626" s="57"/>
      <c r="L7626" s="48"/>
    </row>
    <row r="7627" spans="1:12" ht="11.25" x14ac:dyDescent="0.2">
      <c r="A7627" s="46" t="s">
        <v>8806</v>
      </c>
      <c r="B7627" s="46" t="s">
        <v>55475</v>
      </c>
      <c r="C7627" s="58" t="str">
        <f>"16089685"</f>
        <v>16089685</v>
      </c>
      <c r="D7627" s="58" t="str">
        <f>""</f>
        <v/>
      </c>
      <c r="E7627" s="46" t="s">
        <v>3724</v>
      </c>
      <c r="F7627" s="46" t="s">
        <v>24311</v>
      </c>
      <c r="G7627" s="46" t="s">
        <v>50584</v>
      </c>
      <c r="H7627" s="48" t="s">
        <v>56716</v>
      </c>
      <c r="I7627" s="48" t="s">
        <v>50564</v>
      </c>
      <c r="J7627" s="48"/>
      <c r="K7627" s="57"/>
      <c r="L7627" s="48"/>
    </row>
    <row r="7628" spans="1:12" ht="11.25" x14ac:dyDescent="0.2">
      <c r="A7628" s="45" t="s">
        <v>47765</v>
      </c>
      <c r="B7628" s="45" t="s">
        <v>47767</v>
      </c>
      <c r="C7628" s="51" t="s">
        <v>47768</v>
      </c>
      <c r="D7628" s="51"/>
      <c r="E7628" s="45" t="s">
        <v>47769</v>
      </c>
      <c r="F7628" s="45" t="s">
        <v>24311</v>
      </c>
      <c r="G7628" s="45" t="s">
        <v>50584</v>
      </c>
      <c r="H7628" s="56"/>
      <c r="I7628" s="56" t="s">
        <v>50564</v>
      </c>
      <c r="J7628" s="56"/>
      <c r="K7628" s="57"/>
      <c r="L7628" s="56" t="s">
        <v>56716</v>
      </c>
    </row>
    <row r="7629" spans="1:12" ht="11.25" x14ac:dyDescent="0.2">
      <c r="A7629" s="46" t="s">
        <v>3722</v>
      </c>
      <c r="B7629" s="46" t="s">
        <v>55476</v>
      </c>
      <c r="C7629" s="58" t="str">
        <f>"02569574"</f>
        <v>02569574</v>
      </c>
      <c r="D7629" s="58" t="str">
        <f>""</f>
        <v/>
      </c>
      <c r="E7629" s="46" t="s">
        <v>3724</v>
      </c>
      <c r="F7629" s="46" t="s">
        <v>24311</v>
      </c>
      <c r="G7629" s="46" t="s">
        <v>50589</v>
      </c>
      <c r="H7629" s="48" t="s">
        <v>56716</v>
      </c>
      <c r="I7629" s="48" t="s">
        <v>50564</v>
      </c>
      <c r="J7629" s="48"/>
      <c r="K7629" s="57"/>
      <c r="L7629" s="48" t="s">
        <v>56716</v>
      </c>
    </row>
    <row r="7630" spans="1:12" ht="11.25" x14ac:dyDescent="0.2">
      <c r="A7630" s="46" t="s">
        <v>17246</v>
      </c>
      <c r="B7630" s="46" t="s">
        <v>55477</v>
      </c>
      <c r="C7630" s="58" t="str">
        <f>"2278330X"</f>
        <v>2278330X</v>
      </c>
      <c r="D7630" s="58" t="str">
        <f>"22784306"</f>
        <v>22784306</v>
      </c>
      <c r="E7630" s="46" t="s">
        <v>19057</v>
      </c>
      <c r="F7630" s="46" t="s">
        <v>20446</v>
      </c>
      <c r="G7630" s="46" t="s">
        <v>50584</v>
      </c>
      <c r="H7630" s="48" t="s">
        <v>56716</v>
      </c>
      <c r="I7630" s="48" t="s">
        <v>50564</v>
      </c>
      <c r="J7630" s="48" t="s">
        <v>56716</v>
      </c>
      <c r="K7630" s="57"/>
      <c r="L7630" s="48"/>
    </row>
    <row r="7631" spans="1:12" ht="11.25" x14ac:dyDescent="0.2">
      <c r="A7631" s="45" t="s">
        <v>47778</v>
      </c>
      <c r="B7631" s="45" t="s">
        <v>47780</v>
      </c>
      <c r="C7631" s="51" t="s">
        <v>47782</v>
      </c>
      <c r="D7631" s="51"/>
      <c r="E7631" s="45" t="s">
        <v>47783</v>
      </c>
      <c r="F7631" s="45" t="s">
        <v>17759</v>
      </c>
      <c r="G7631" s="45" t="s">
        <v>50584</v>
      </c>
      <c r="H7631" s="56"/>
      <c r="I7631" s="56" t="s">
        <v>50564</v>
      </c>
      <c r="J7631" s="56"/>
      <c r="K7631" s="57"/>
      <c r="L7631" s="56" t="s">
        <v>56716</v>
      </c>
    </row>
    <row r="7632" spans="1:12" ht="11.25" x14ac:dyDescent="0.2">
      <c r="A7632" s="45" t="s">
        <v>47785</v>
      </c>
      <c r="B7632" s="45" t="s">
        <v>47787</v>
      </c>
      <c r="C7632" s="51" t="s">
        <v>47789</v>
      </c>
      <c r="D7632" s="51"/>
      <c r="E7632" s="45" t="s">
        <v>47790</v>
      </c>
      <c r="F7632" s="45" t="s">
        <v>17759</v>
      </c>
      <c r="G7632" s="45" t="s">
        <v>50584</v>
      </c>
      <c r="H7632" s="56"/>
      <c r="I7632" s="56" t="s">
        <v>50564</v>
      </c>
      <c r="J7632" s="56"/>
      <c r="K7632" s="57"/>
      <c r="L7632" s="56" t="s">
        <v>56716</v>
      </c>
    </row>
    <row r="7633" spans="1:12" ht="11.25" x14ac:dyDescent="0.2">
      <c r="A7633" s="46" t="s">
        <v>12611</v>
      </c>
      <c r="B7633" s="46" t="s">
        <v>55478</v>
      </c>
      <c r="C7633" s="58" t="str">
        <f>"22201181"</f>
        <v>22201181</v>
      </c>
      <c r="D7633" s="58" t="str">
        <f>""</f>
        <v/>
      </c>
      <c r="E7633" s="46" t="s">
        <v>8784</v>
      </c>
      <c r="F7633" s="46" t="s">
        <v>24311</v>
      </c>
      <c r="G7633" s="46" t="s">
        <v>50584</v>
      </c>
      <c r="H7633" s="48" t="s">
        <v>56716</v>
      </c>
      <c r="I7633" s="48" t="s">
        <v>50564</v>
      </c>
      <c r="J7633" s="48"/>
      <c r="K7633" s="57"/>
      <c r="L7633" s="48"/>
    </row>
    <row r="7634" spans="1:12" ht="11.25" x14ac:dyDescent="0.2">
      <c r="A7634" s="46" t="s">
        <v>8780</v>
      </c>
      <c r="B7634" s="46" t="s">
        <v>55479</v>
      </c>
      <c r="C7634" s="58" t="str">
        <f>"15628264"</f>
        <v>15628264</v>
      </c>
      <c r="D7634" s="58" t="str">
        <f>""</f>
        <v/>
      </c>
      <c r="E7634" s="46" t="s">
        <v>3724</v>
      </c>
      <c r="F7634" s="46" t="s">
        <v>24311</v>
      </c>
      <c r="G7634" s="46" t="s">
        <v>50584</v>
      </c>
      <c r="H7634" s="48" t="s">
        <v>56716</v>
      </c>
      <c r="I7634" s="48" t="s">
        <v>50564</v>
      </c>
      <c r="J7634" s="48"/>
      <c r="K7634" s="57"/>
      <c r="L7634" s="48"/>
    </row>
    <row r="7635" spans="1:12" ht="11.25" x14ac:dyDescent="0.2">
      <c r="A7635" s="46" t="s">
        <v>16945</v>
      </c>
      <c r="B7635" s="46" t="s">
        <v>55480</v>
      </c>
      <c r="C7635" s="58" t="str">
        <f>"10158782"</f>
        <v>10158782</v>
      </c>
      <c r="D7635" s="58" t="str">
        <f>"22201084"</f>
        <v>22201084</v>
      </c>
      <c r="E7635" s="46" t="s">
        <v>8784</v>
      </c>
      <c r="F7635" s="46" t="s">
        <v>24311</v>
      </c>
      <c r="G7635" s="46" t="s">
        <v>50584</v>
      </c>
      <c r="H7635" s="48" t="s">
        <v>56716</v>
      </c>
      <c r="I7635" s="48" t="s">
        <v>50564</v>
      </c>
      <c r="J7635" s="48"/>
      <c r="K7635" s="57"/>
      <c r="L7635" s="48"/>
    </row>
    <row r="7636" spans="1:12" ht="11.25" x14ac:dyDescent="0.2">
      <c r="A7636" s="46" t="s">
        <v>8710</v>
      </c>
      <c r="B7636" s="46" t="s">
        <v>55481</v>
      </c>
      <c r="C7636" s="58" t="str">
        <f>"16089693"</f>
        <v>16089693</v>
      </c>
      <c r="D7636" s="58" t="str">
        <f>"20786751"</f>
        <v>20786751</v>
      </c>
      <c r="E7636" s="46" t="s">
        <v>3724</v>
      </c>
      <c r="F7636" s="46" t="s">
        <v>24311</v>
      </c>
      <c r="G7636" s="46" t="s">
        <v>50584</v>
      </c>
      <c r="H7636" s="48" t="s">
        <v>56716</v>
      </c>
      <c r="I7636" s="48" t="s">
        <v>50564</v>
      </c>
      <c r="J7636" s="48"/>
      <c r="K7636" s="57"/>
      <c r="L7636" s="48"/>
    </row>
    <row r="7637" spans="1:12" ht="11.25" x14ac:dyDescent="0.2">
      <c r="A7637" s="46" t="s">
        <v>3835</v>
      </c>
      <c r="B7637" s="46" t="s">
        <v>55482</v>
      </c>
      <c r="C7637" s="58" t="str">
        <f>"00384348"</f>
        <v>00384348</v>
      </c>
      <c r="D7637" s="58" t="str">
        <f>"15418243"</f>
        <v>15418243</v>
      </c>
      <c r="E7637" s="46" t="s">
        <v>28</v>
      </c>
      <c r="F7637" s="46" t="s">
        <v>17759</v>
      </c>
      <c r="G7637" s="46" t="s">
        <v>50584</v>
      </c>
      <c r="H7637" s="48" t="s">
        <v>56716</v>
      </c>
      <c r="I7637" s="48" t="s">
        <v>50564</v>
      </c>
      <c r="J7637" s="48"/>
      <c r="K7637" s="57"/>
      <c r="L7637" s="48" t="s">
        <v>56716</v>
      </c>
    </row>
    <row r="7638" spans="1:12" ht="11.25" x14ac:dyDescent="0.2">
      <c r="A7638" s="46" t="s">
        <v>16560</v>
      </c>
      <c r="B7638" s="46" t="s">
        <v>55483</v>
      </c>
      <c r="C7638" s="58" t="str">
        <f>"20764243"</f>
        <v>20764243</v>
      </c>
      <c r="D7638" s="58" t="str">
        <f>""</f>
        <v/>
      </c>
      <c r="E7638" s="46" t="s">
        <v>16562</v>
      </c>
      <c r="F7638" s="46" t="s">
        <v>50653</v>
      </c>
      <c r="G7638" s="46" t="s">
        <v>50620</v>
      </c>
      <c r="H7638" s="48" t="s">
        <v>56716</v>
      </c>
      <c r="I7638" s="48" t="s">
        <v>50564</v>
      </c>
      <c r="J7638" s="48"/>
      <c r="K7638" s="57"/>
      <c r="L7638" s="48"/>
    </row>
    <row r="7639" spans="1:12" ht="11.25" x14ac:dyDescent="0.2">
      <c r="A7639" s="46" t="s">
        <v>13832</v>
      </c>
      <c r="B7639" s="46" t="s">
        <v>55484</v>
      </c>
      <c r="C7639" s="58" t="str">
        <f>"18775845"</f>
        <v>18775845</v>
      </c>
      <c r="D7639" s="58" t="str">
        <f>"18775853"</f>
        <v>18775853</v>
      </c>
      <c r="E7639" s="46" t="s">
        <v>155</v>
      </c>
      <c r="F7639" s="46" t="s">
        <v>50646</v>
      </c>
      <c r="G7639" s="46" t="s">
        <v>50584</v>
      </c>
      <c r="H7639" s="48" t="s">
        <v>56716</v>
      </c>
      <c r="I7639" s="48" t="s">
        <v>50564</v>
      </c>
      <c r="J7639" s="48" t="s">
        <v>56716</v>
      </c>
      <c r="K7639" s="57"/>
      <c r="L7639" s="48" t="s">
        <v>56716</v>
      </c>
    </row>
    <row r="7640" spans="1:12" ht="11.25" x14ac:dyDescent="0.2">
      <c r="A7640" s="45" t="s">
        <v>47814</v>
      </c>
      <c r="B7640" s="45" t="s">
        <v>47816</v>
      </c>
      <c r="C7640" s="51" t="s">
        <v>47819</v>
      </c>
      <c r="D7640" s="51" t="s">
        <v>47818</v>
      </c>
      <c r="E7640" s="45" t="s">
        <v>38441</v>
      </c>
      <c r="F7640" s="45" t="s">
        <v>17759</v>
      </c>
      <c r="G7640" s="45" t="s">
        <v>50584</v>
      </c>
      <c r="H7640" s="56"/>
      <c r="I7640" s="56" t="s">
        <v>50564</v>
      </c>
      <c r="J7640" s="56"/>
      <c r="K7640" s="57"/>
      <c r="L7640" s="56" t="s">
        <v>56716</v>
      </c>
    </row>
    <row r="7641" spans="1:12" ht="11.25" x14ac:dyDescent="0.2">
      <c r="A7641" s="45" t="s">
        <v>47821</v>
      </c>
      <c r="B7641" s="45" t="s">
        <v>47823</v>
      </c>
      <c r="C7641" s="51" t="s">
        <v>47826</v>
      </c>
      <c r="D7641" s="51" t="s">
        <v>47825</v>
      </c>
      <c r="E7641" s="45" t="s">
        <v>91</v>
      </c>
      <c r="F7641" s="45" t="s">
        <v>50646</v>
      </c>
      <c r="G7641" s="45" t="s">
        <v>50584</v>
      </c>
      <c r="H7641" s="56"/>
      <c r="I7641" s="56" t="s">
        <v>50564</v>
      </c>
      <c r="J7641" s="56"/>
      <c r="K7641" s="57"/>
      <c r="L7641" s="56" t="s">
        <v>56716</v>
      </c>
    </row>
    <row r="7642" spans="1:12" ht="11.25" x14ac:dyDescent="0.2">
      <c r="A7642" s="46" t="s">
        <v>15904</v>
      </c>
      <c r="B7642" s="46" t="s">
        <v>15904</v>
      </c>
      <c r="C7642" s="58" t="str">
        <f>"21565554"</f>
        <v>21565554</v>
      </c>
      <c r="D7642" s="58" t="str">
        <f>"21565562"</f>
        <v>21565562</v>
      </c>
      <c r="E7642" s="46" t="s">
        <v>669</v>
      </c>
      <c r="F7642" s="46" t="s">
        <v>17759</v>
      </c>
      <c r="G7642" s="46" t="s">
        <v>50584</v>
      </c>
      <c r="H7642" s="48" t="s">
        <v>56716</v>
      </c>
      <c r="I7642" s="48" t="s">
        <v>50564</v>
      </c>
      <c r="J7642" s="48"/>
      <c r="K7642" s="57"/>
      <c r="L7642" s="48"/>
    </row>
    <row r="7643" spans="1:12" ht="11.25" x14ac:dyDescent="0.2">
      <c r="A7643" s="46" t="s">
        <v>6962</v>
      </c>
      <c r="B7643" s="46" t="s">
        <v>6962</v>
      </c>
      <c r="C7643" s="58" t="str">
        <f>"13624393"</f>
        <v>13624393</v>
      </c>
      <c r="D7643" s="58" t="str">
        <f>"14765624"</f>
        <v>14765624</v>
      </c>
      <c r="E7643" s="46" t="s">
        <v>315</v>
      </c>
      <c r="F7643" s="46" t="s">
        <v>50646</v>
      </c>
      <c r="G7643" s="46" t="s">
        <v>50584</v>
      </c>
      <c r="H7643" s="48" t="s">
        <v>56716</v>
      </c>
      <c r="I7643" s="48" t="s">
        <v>50564</v>
      </c>
      <c r="J7643" s="48" t="s">
        <v>56716</v>
      </c>
      <c r="K7643" s="50" t="s">
        <v>56716</v>
      </c>
      <c r="L7643" s="48" t="s">
        <v>56716</v>
      </c>
    </row>
    <row r="7644" spans="1:12" ht="11.25" x14ac:dyDescent="0.2">
      <c r="A7644" s="46" t="s">
        <v>3843</v>
      </c>
      <c r="B7644" s="46" t="s">
        <v>3843</v>
      </c>
      <c r="C7644" s="58" t="str">
        <f>"03622436"</f>
        <v>03622436</v>
      </c>
      <c r="D7644" s="58" t="str">
        <f>"15281159"</f>
        <v>15281159</v>
      </c>
      <c r="E7644" s="46" t="s">
        <v>28</v>
      </c>
      <c r="F7644" s="46" t="s">
        <v>17759</v>
      </c>
      <c r="G7644" s="46" t="s">
        <v>50584</v>
      </c>
      <c r="H7644" s="48" t="s">
        <v>56716</v>
      </c>
      <c r="I7644" s="48" t="s">
        <v>50564</v>
      </c>
      <c r="J7644" s="48" t="s">
        <v>56716</v>
      </c>
      <c r="K7644" s="50" t="s">
        <v>56716</v>
      </c>
      <c r="L7644" s="48" t="s">
        <v>56716</v>
      </c>
    </row>
    <row r="7645" spans="1:12" ht="11.25" x14ac:dyDescent="0.2">
      <c r="A7645" s="46" t="s">
        <v>17127</v>
      </c>
      <c r="B7645" s="46" t="s">
        <v>55485</v>
      </c>
      <c r="C7645" s="58" t="str">
        <f>"2212134X"</f>
        <v>2212134X</v>
      </c>
      <c r="D7645" s="58" t="str">
        <f>"22121358"</f>
        <v>22121358</v>
      </c>
      <c r="E7645" s="46" t="s">
        <v>272</v>
      </c>
      <c r="F7645" s="46" t="s">
        <v>17759</v>
      </c>
      <c r="G7645" s="46" t="s">
        <v>50584</v>
      </c>
      <c r="H7645" s="48" t="s">
        <v>56716</v>
      </c>
      <c r="I7645" s="48" t="s">
        <v>50564</v>
      </c>
      <c r="J7645" s="48" t="s">
        <v>56716</v>
      </c>
      <c r="K7645" s="57"/>
      <c r="L7645" s="48"/>
    </row>
    <row r="7646" spans="1:12" ht="11.25" x14ac:dyDescent="0.2">
      <c r="A7646" s="46" t="s">
        <v>9144</v>
      </c>
      <c r="B7646" s="46" t="s">
        <v>55486</v>
      </c>
      <c r="C7646" s="58" t="str">
        <f>"15299430"</f>
        <v>15299430</v>
      </c>
      <c r="D7646" s="58" t="str">
        <f>"18781632"</f>
        <v>18781632</v>
      </c>
      <c r="E7646" s="46" t="s">
        <v>272</v>
      </c>
      <c r="F7646" s="46" t="s">
        <v>17759</v>
      </c>
      <c r="G7646" s="46" t="s">
        <v>50584</v>
      </c>
      <c r="H7646" s="48" t="s">
        <v>56716</v>
      </c>
      <c r="I7646" s="48" t="s">
        <v>50564</v>
      </c>
      <c r="J7646" s="48" t="s">
        <v>56716</v>
      </c>
      <c r="K7646" s="50" t="s">
        <v>56716</v>
      </c>
      <c r="L7646" s="48" t="s">
        <v>56716</v>
      </c>
    </row>
    <row r="7647" spans="1:12" ht="11.25" x14ac:dyDescent="0.2">
      <c r="A7647" s="46" t="s">
        <v>10103</v>
      </c>
      <c r="B7647" s="46" t="s">
        <v>55487</v>
      </c>
      <c r="C7647" s="58" t="str">
        <f>"0949328X"</f>
        <v>0949328X</v>
      </c>
      <c r="D7647" s="58" t="str">
        <f>"18764339"</f>
        <v>18764339</v>
      </c>
      <c r="E7647" s="46" t="s">
        <v>241</v>
      </c>
      <c r="F7647" s="46" t="s">
        <v>18158</v>
      </c>
      <c r="G7647" s="46" t="s">
        <v>50593</v>
      </c>
      <c r="H7647" s="48" t="s">
        <v>56716</v>
      </c>
      <c r="I7647" s="48" t="s">
        <v>50564</v>
      </c>
      <c r="J7647" s="48"/>
      <c r="K7647" s="50" t="s">
        <v>56716</v>
      </c>
      <c r="L7647" s="48"/>
    </row>
    <row r="7648" spans="1:12" ht="11.25" x14ac:dyDescent="0.2">
      <c r="A7648" s="45" t="s">
        <v>47841</v>
      </c>
      <c r="B7648" s="45" t="s">
        <v>47843</v>
      </c>
      <c r="C7648" s="51" t="s">
        <v>47844</v>
      </c>
      <c r="D7648" s="51"/>
      <c r="E7648" s="45" t="s">
        <v>47845</v>
      </c>
      <c r="F7648" s="45" t="s">
        <v>50646</v>
      </c>
      <c r="G7648" s="45" t="s">
        <v>50584</v>
      </c>
      <c r="H7648" s="56"/>
      <c r="I7648" s="56" t="s">
        <v>50564</v>
      </c>
      <c r="J7648" s="56"/>
      <c r="K7648" s="57"/>
      <c r="L7648" s="56" t="s">
        <v>56716</v>
      </c>
    </row>
    <row r="7649" spans="1:12" ht="11.25" x14ac:dyDescent="0.2">
      <c r="A7649" s="45" t="s">
        <v>47847</v>
      </c>
      <c r="B7649" s="45" t="s">
        <v>47849</v>
      </c>
      <c r="C7649" s="51" t="s">
        <v>47851</v>
      </c>
      <c r="D7649" s="51" t="s">
        <v>47850</v>
      </c>
      <c r="E7649" s="45" t="s">
        <v>19482</v>
      </c>
      <c r="F7649" s="45" t="s">
        <v>19483</v>
      </c>
      <c r="G7649" s="45" t="s">
        <v>50584</v>
      </c>
      <c r="H7649" s="56"/>
      <c r="I7649" s="56" t="s">
        <v>50564</v>
      </c>
      <c r="J7649" s="56"/>
      <c r="K7649" s="57"/>
      <c r="L7649" s="56" t="s">
        <v>56716</v>
      </c>
    </row>
    <row r="7650" spans="1:12" ht="11.25" x14ac:dyDescent="0.2">
      <c r="A7650" s="46" t="s">
        <v>8607</v>
      </c>
      <c r="B7650" s="46" t="s">
        <v>55488</v>
      </c>
      <c r="C7650" s="58" t="str">
        <f>"10628592"</f>
        <v>10628592</v>
      </c>
      <c r="D7650" s="58" t="str">
        <f>"15381951"</f>
        <v>15381951</v>
      </c>
      <c r="E7650" s="46" t="s">
        <v>28</v>
      </c>
      <c r="F7650" s="46" t="s">
        <v>17759</v>
      </c>
      <c r="G7650" s="46" t="s">
        <v>50584</v>
      </c>
      <c r="H7650" s="48" t="s">
        <v>56716</v>
      </c>
      <c r="I7650" s="48" t="s">
        <v>50564</v>
      </c>
      <c r="J7650" s="48" t="s">
        <v>56716</v>
      </c>
      <c r="K7650" s="57"/>
      <c r="L7650" s="48" t="s">
        <v>56716</v>
      </c>
    </row>
    <row r="7651" spans="1:12" ht="11.25" x14ac:dyDescent="0.2">
      <c r="A7651" s="46" t="s">
        <v>14727</v>
      </c>
      <c r="B7651" s="46" t="s">
        <v>55489</v>
      </c>
      <c r="C7651" s="58" t="str">
        <f>""</f>
        <v/>
      </c>
      <c r="D7651" s="58" t="str">
        <f>"17582555"</f>
        <v>17582555</v>
      </c>
      <c r="E7651" s="46" t="s">
        <v>2299</v>
      </c>
      <c r="F7651" s="46" t="s">
        <v>50646</v>
      </c>
      <c r="G7651" s="46" t="s">
        <v>50584</v>
      </c>
      <c r="H7651" s="48" t="s">
        <v>56716</v>
      </c>
      <c r="I7651" s="48" t="s">
        <v>50564</v>
      </c>
      <c r="J7651" s="48"/>
      <c r="K7651" s="57"/>
      <c r="L7651" s="48"/>
    </row>
    <row r="7652" spans="1:12" ht="11.25" x14ac:dyDescent="0.2">
      <c r="A7652" s="45" t="s">
        <v>47858</v>
      </c>
      <c r="B7652" s="45" t="s">
        <v>47860</v>
      </c>
      <c r="C7652" s="51" t="s">
        <v>47862</v>
      </c>
      <c r="D7652" s="51" t="s">
        <v>47861</v>
      </c>
      <c r="E7652" s="45" t="s">
        <v>412</v>
      </c>
      <c r="F7652" s="45" t="s">
        <v>18158</v>
      </c>
      <c r="G7652" s="45" t="s">
        <v>50592</v>
      </c>
      <c r="H7652" s="56"/>
      <c r="I7652" s="56" t="s">
        <v>50564</v>
      </c>
      <c r="J7652" s="56"/>
      <c r="K7652" s="57"/>
      <c r="L7652" s="56" t="s">
        <v>56716</v>
      </c>
    </row>
    <row r="7653" spans="1:12" ht="11.25" x14ac:dyDescent="0.2">
      <c r="A7653" s="46" t="s">
        <v>16083</v>
      </c>
      <c r="B7653" s="46" t="s">
        <v>55490</v>
      </c>
      <c r="C7653" s="58" t="str">
        <f>"19492448"</f>
        <v>19492448</v>
      </c>
      <c r="D7653" s="58" t="str">
        <f>"19492456"</f>
        <v>19492456</v>
      </c>
      <c r="E7653" s="46" t="s">
        <v>40314</v>
      </c>
      <c r="F7653" s="46" t="s">
        <v>17759</v>
      </c>
      <c r="G7653" s="46" t="s">
        <v>50584</v>
      </c>
      <c r="H7653" s="48" t="s">
        <v>56716</v>
      </c>
      <c r="I7653" s="48" t="s">
        <v>50565</v>
      </c>
      <c r="J7653" s="48" t="s">
        <v>56716</v>
      </c>
      <c r="K7653" s="57"/>
      <c r="L7653" s="48"/>
    </row>
    <row r="7654" spans="1:12" ht="11.25" x14ac:dyDescent="0.2">
      <c r="A7654" s="46" t="s">
        <v>17272</v>
      </c>
      <c r="B7654" s="46" t="s">
        <v>55491</v>
      </c>
      <c r="C7654" s="58" t="str">
        <f>"21950644"</f>
        <v>21950644</v>
      </c>
      <c r="D7654" s="58" t="str">
        <f>"21950652"</f>
        <v>21950652</v>
      </c>
      <c r="E7654" s="46" t="s">
        <v>56305</v>
      </c>
      <c r="F7654" s="46" t="s">
        <v>17759</v>
      </c>
      <c r="G7654" s="46" t="s">
        <v>50584</v>
      </c>
      <c r="H7654" s="48" t="s">
        <v>56716</v>
      </c>
      <c r="I7654" s="48" t="s">
        <v>50565</v>
      </c>
      <c r="J7654" s="48" t="s">
        <v>56716</v>
      </c>
      <c r="K7654" s="57"/>
      <c r="L7654" s="48"/>
    </row>
    <row r="7655" spans="1:12" ht="11.25" x14ac:dyDescent="0.2">
      <c r="A7655" s="46" t="s">
        <v>14490</v>
      </c>
      <c r="B7655" s="46" t="s">
        <v>55492</v>
      </c>
      <c r="C7655" s="58" t="str">
        <f>"13918834"</f>
        <v>13918834</v>
      </c>
      <c r="D7655" s="58" t="str">
        <f>""</f>
        <v/>
      </c>
      <c r="E7655" s="46" t="s">
        <v>14493</v>
      </c>
      <c r="F7655" s="46" t="s">
        <v>24642</v>
      </c>
      <c r="G7655" s="46" t="s">
        <v>50584</v>
      </c>
      <c r="H7655" s="48" t="s">
        <v>56716</v>
      </c>
      <c r="I7655" s="48" t="s">
        <v>50564</v>
      </c>
      <c r="J7655" s="48"/>
      <c r="K7655" s="57"/>
      <c r="L7655" s="48"/>
    </row>
    <row r="7656" spans="1:12" ht="11.25" x14ac:dyDescent="0.2">
      <c r="A7656" s="45" t="s">
        <v>47864</v>
      </c>
      <c r="B7656" s="45" t="s">
        <v>47866</v>
      </c>
      <c r="C7656" s="51" t="s">
        <v>47867</v>
      </c>
      <c r="D7656" s="51"/>
      <c r="E7656" s="45" t="s">
        <v>47868</v>
      </c>
      <c r="F7656" s="45" t="s">
        <v>18050</v>
      </c>
      <c r="G7656" s="45" t="s">
        <v>50624</v>
      </c>
      <c r="H7656" s="56"/>
      <c r="I7656" s="56" t="s">
        <v>50564</v>
      </c>
      <c r="J7656" s="56"/>
      <c r="K7656" s="57"/>
      <c r="L7656" s="56" t="s">
        <v>56716</v>
      </c>
    </row>
    <row r="7657" spans="1:12" ht="11.25" x14ac:dyDescent="0.2">
      <c r="A7657" s="46" t="s">
        <v>15916</v>
      </c>
      <c r="B7657" s="46" t="s">
        <v>55493</v>
      </c>
      <c r="C7657" s="58" t="str">
        <f>"19997108"</f>
        <v>19997108</v>
      </c>
      <c r="D7657" s="58" t="str">
        <f>"19997108"</f>
        <v>19997108</v>
      </c>
      <c r="E7657" s="46" t="s">
        <v>15918</v>
      </c>
      <c r="F7657" s="46" t="s">
        <v>22024</v>
      </c>
      <c r="G7657" s="46" t="s">
        <v>50584</v>
      </c>
      <c r="H7657" s="48" t="s">
        <v>56716</v>
      </c>
      <c r="I7657" s="48" t="s">
        <v>50564</v>
      </c>
      <c r="J7657" s="48"/>
      <c r="K7657" s="57"/>
      <c r="L7657" s="48"/>
    </row>
    <row r="7658" spans="1:12" ht="11.25" x14ac:dyDescent="0.2">
      <c r="A7658" s="46" t="s">
        <v>15511</v>
      </c>
      <c r="B7658" s="46" t="s">
        <v>55494</v>
      </c>
      <c r="C7658" s="58" t="str">
        <f>"19443277"</f>
        <v>19443277</v>
      </c>
      <c r="D7658" s="58" t="str">
        <f>"19443277"</f>
        <v>19443277</v>
      </c>
      <c r="E7658" s="46" t="s">
        <v>56405</v>
      </c>
      <c r="F7658" s="46" t="s">
        <v>17759</v>
      </c>
      <c r="G7658" s="46" t="s">
        <v>50584</v>
      </c>
      <c r="H7658" s="48" t="s">
        <v>56716</v>
      </c>
      <c r="I7658" s="48" t="s">
        <v>50564</v>
      </c>
      <c r="J7658" s="48"/>
      <c r="K7658" s="57"/>
      <c r="L7658" s="48"/>
    </row>
    <row r="7659" spans="1:12" ht="11.25" x14ac:dyDescent="0.2">
      <c r="A7659" s="45" t="s">
        <v>47877</v>
      </c>
      <c r="B7659" s="45" t="s">
        <v>47879</v>
      </c>
      <c r="C7659" s="51" t="s">
        <v>47882</v>
      </c>
      <c r="D7659" s="51" t="s">
        <v>47881</v>
      </c>
      <c r="E7659" s="45" t="s">
        <v>47883</v>
      </c>
      <c r="F7659" s="45" t="s">
        <v>17759</v>
      </c>
      <c r="G7659" s="45" t="s">
        <v>50584</v>
      </c>
      <c r="H7659" s="56"/>
      <c r="I7659" s="56" t="s">
        <v>50564</v>
      </c>
      <c r="J7659" s="56"/>
      <c r="K7659" s="57"/>
      <c r="L7659" s="56" t="s">
        <v>56716</v>
      </c>
    </row>
    <row r="7660" spans="1:12" ht="11.25" x14ac:dyDescent="0.2">
      <c r="A7660" s="45" t="s">
        <v>47886</v>
      </c>
      <c r="B7660" s="45" t="s">
        <v>47888</v>
      </c>
      <c r="C7660" s="51" t="s">
        <v>47890</v>
      </c>
      <c r="D7660" s="51"/>
      <c r="E7660" s="45" t="s">
        <v>47891</v>
      </c>
      <c r="F7660" s="45" t="s">
        <v>17759</v>
      </c>
      <c r="G7660" s="45" t="s">
        <v>50584</v>
      </c>
      <c r="H7660" s="56"/>
      <c r="I7660" s="56" t="s">
        <v>50564</v>
      </c>
      <c r="J7660" s="56"/>
      <c r="K7660" s="57"/>
      <c r="L7660" s="56" t="s">
        <v>56716</v>
      </c>
    </row>
    <row r="7661" spans="1:12" ht="11.25" x14ac:dyDescent="0.2">
      <c r="A7661" s="45" t="s">
        <v>47898</v>
      </c>
      <c r="B7661" s="45" t="s">
        <v>47900</v>
      </c>
      <c r="C7661" s="51" t="s">
        <v>47902</v>
      </c>
      <c r="D7661" s="51"/>
      <c r="E7661" s="45" t="s">
        <v>47903</v>
      </c>
      <c r="F7661" s="45" t="s">
        <v>17759</v>
      </c>
      <c r="G7661" s="45" t="s">
        <v>50584</v>
      </c>
      <c r="H7661" s="56"/>
      <c r="I7661" s="56" t="s">
        <v>50564</v>
      </c>
      <c r="J7661" s="56"/>
      <c r="K7661" s="57"/>
      <c r="L7661" s="56" t="s">
        <v>56716</v>
      </c>
    </row>
    <row r="7662" spans="1:12" ht="11.25" x14ac:dyDescent="0.2">
      <c r="A7662" s="46" t="s">
        <v>10282</v>
      </c>
      <c r="B7662" s="46" t="s">
        <v>55495</v>
      </c>
      <c r="C7662" s="58" t="str">
        <f>""</f>
        <v/>
      </c>
      <c r="D7662" s="58" t="str">
        <f>"15446115"</f>
        <v>15446115</v>
      </c>
      <c r="E7662" s="46" t="s">
        <v>1887</v>
      </c>
      <c r="F7662" s="46" t="s">
        <v>18158</v>
      </c>
      <c r="G7662" s="46" t="s">
        <v>50584</v>
      </c>
      <c r="H7662" s="48" t="s">
        <v>56716</v>
      </c>
      <c r="I7662" s="48" t="s">
        <v>50564</v>
      </c>
      <c r="J7662" s="48"/>
      <c r="K7662" s="57"/>
      <c r="L7662" s="48" t="s">
        <v>56716</v>
      </c>
    </row>
    <row r="7663" spans="1:12" ht="11.25" x14ac:dyDescent="0.2">
      <c r="A7663" s="46" t="s">
        <v>6263</v>
      </c>
      <c r="B7663" s="46" t="s">
        <v>55496</v>
      </c>
      <c r="C7663" s="58" t="str">
        <f>"09622802"</f>
        <v>09622802</v>
      </c>
      <c r="D7663" s="58" t="str">
        <f>"14770334"</f>
        <v>14770334</v>
      </c>
      <c r="E7663" s="46" t="s">
        <v>97</v>
      </c>
      <c r="F7663" s="46" t="s">
        <v>50646</v>
      </c>
      <c r="G7663" s="46" t="s">
        <v>50584</v>
      </c>
      <c r="H7663" s="48" t="s">
        <v>56716</v>
      </c>
      <c r="I7663" s="48" t="s">
        <v>50564</v>
      </c>
      <c r="J7663" s="48"/>
      <c r="K7663" s="57"/>
      <c r="L7663" s="48" t="s">
        <v>56716</v>
      </c>
    </row>
    <row r="7664" spans="1:12" ht="11.25" x14ac:dyDescent="0.2">
      <c r="A7664" s="46" t="s">
        <v>16262</v>
      </c>
      <c r="B7664" s="46" t="s">
        <v>55497</v>
      </c>
      <c r="C7664" s="58" t="str">
        <f>""</f>
        <v/>
      </c>
      <c r="D7664" s="58" t="str">
        <f>"19466315"</f>
        <v>19466315</v>
      </c>
      <c r="E7664" s="46" t="s">
        <v>669</v>
      </c>
      <c r="F7664" s="46" t="s">
        <v>17759</v>
      </c>
      <c r="G7664" s="46" t="s">
        <v>50584</v>
      </c>
      <c r="H7664" s="48" t="s">
        <v>56716</v>
      </c>
      <c r="I7664" s="48" t="s">
        <v>50564</v>
      </c>
      <c r="J7664" s="48"/>
      <c r="K7664" s="57"/>
      <c r="L7664" s="48"/>
    </row>
    <row r="7665" spans="1:12" ht="11.25" x14ac:dyDescent="0.2">
      <c r="A7665" s="46" t="s">
        <v>14420</v>
      </c>
      <c r="B7665" s="46" t="s">
        <v>55498</v>
      </c>
      <c r="C7665" s="58" t="str">
        <f>"18671764"</f>
        <v>18671764</v>
      </c>
      <c r="D7665" s="58" t="str">
        <f>"18671772"</f>
        <v>18671772</v>
      </c>
      <c r="E7665" s="46" t="s">
        <v>56305</v>
      </c>
      <c r="F7665" s="46" t="s">
        <v>17759</v>
      </c>
      <c r="G7665" s="46" t="s">
        <v>50584</v>
      </c>
      <c r="H7665" s="48" t="s">
        <v>56716</v>
      </c>
      <c r="I7665" s="48" t="s">
        <v>50564</v>
      </c>
      <c r="J7665" s="48" t="s">
        <v>56716</v>
      </c>
      <c r="K7665" s="50" t="s">
        <v>56716</v>
      </c>
      <c r="L7665" s="48"/>
    </row>
    <row r="7666" spans="1:12" ht="11.25" x14ac:dyDescent="0.2">
      <c r="A7666" s="46" t="s">
        <v>3832</v>
      </c>
      <c r="B7666" s="46" t="s">
        <v>55499</v>
      </c>
      <c r="C7666" s="58" t="str">
        <f>"02776715"</f>
        <v>02776715</v>
      </c>
      <c r="D7666" s="58" t="str">
        <f>"10970258"</f>
        <v>10970258</v>
      </c>
      <c r="E7666" s="46" t="s">
        <v>751</v>
      </c>
      <c r="F7666" s="46" t="s">
        <v>50646</v>
      </c>
      <c r="G7666" s="46" t="s">
        <v>50584</v>
      </c>
      <c r="H7666" s="48" t="s">
        <v>56716</v>
      </c>
      <c r="I7666" s="48" t="s">
        <v>50564</v>
      </c>
      <c r="J7666" s="48"/>
      <c r="K7666" s="50" t="s">
        <v>56716</v>
      </c>
      <c r="L7666" s="48" t="s">
        <v>56716</v>
      </c>
    </row>
    <row r="7667" spans="1:12" ht="11.25" x14ac:dyDescent="0.2">
      <c r="A7667" s="46" t="s">
        <v>17137</v>
      </c>
      <c r="B7667" s="46" t="s">
        <v>55500</v>
      </c>
      <c r="C7667" s="58" t="str">
        <f>"22136711"</f>
        <v>22136711</v>
      </c>
      <c r="D7667" s="58" t="str">
        <f>""</f>
        <v/>
      </c>
      <c r="E7667" s="46" t="s">
        <v>324</v>
      </c>
      <c r="F7667" s="46" t="s">
        <v>17759</v>
      </c>
      <c r="G7667" s="46" t="s">
        <v>50584</v>
      </c>
      <c r="H7667" s="48" t="s">
        <v>56716</v>
      </c>
      <c r="I7667" s="48" t="s">
        <v>50564</v>
      </c>
      <c r="J7667" s="48" t="s">
        <v>56716</v>
      </c>
      <c r="K7667" s="50" t="s">
        <v>56716</v>
      </c>
      <c r="L7667" s="48" t="s">
        <v>56716</v>
      </c>
    </row>
    <row r="7668" spans="1:12" ht="11.25" x14ac:dyDescent="0.2">
      <c r="A7668" s="46" t="s">
        <v>12279</v>
      </c>
      <c r="B7668" s="46" t="s">
        <v>55501</v>
      </c>
      <c r="C7668" s="58" t="str">
        <f>"18735061"</f>
        <v>18735061</v>
      </c>
      <c r="D7668" s="58" t="str">
        <f>"18767753"</f>
        <v>18767753</v>
      </c>
      <c r="E7668" s="46" t="s">
        <v>91</v>
      </c>
      <c r="F7668" s="46" t="s">
        <v>18001</v>
      </c>
      <c r="G7668" s="46" t="s">
        <v>50584</v>
      </c>
      <c r="H7668" s="48" t="s">
        <v>56716</v>
      </c>
      <c r="I7668" s="48" t="s">
        <v>50564</v>
      </c>
      <c r="J7668" s="48" t="s">
        <v>56716</v>
      </c>
      <c r="K7668" s="50" t="s">
        <v>56716</v>
      </c>
      <c r="L7668" s="48" t="s">
        <v>56716</v>
      </c>
    </row>
    <row r="7669" spans="1:12" ht="11.25" x14ac:dyDescent="0.2">
      <c r="A7669" s="46" t="s">
        <v>15134</v>
      </c>
      <c r="B7669" s="46" t="s">
        <v>55502</v>
      </c>
      <c r="C7669" s="58" t="str">
        <f>""</f>
        <v/>
      </c>
      <c r="D7669" s="58" t="str">
        <f>"17576512"</f>
        <v>17576512</v>
      </c>
      <c r="E7669" s="46" t="s">
        <v>2299</v>
      </c>
      <c r="F7669" s="46" t="s">
        <v>50646</v>
      </c>
      <c r="G7669" s="46" t="s">
        <v>50584</v>
      </c>
      <c r="H7669" s="48" t="s">
        <v>56716</v>
      </c>
      <c r="I7669" s="48" t="s">
        <v>50564</v>
      </c>
      <c r="J7669" s="48" t="s">
        <v>56716</v>
      </c>
      <c r="K7669" s="50" t="s">
        <v>56716</v>
      </c>
      <c r="L7669" s="48" t="s">
        <v>56716</v>
      </c>
    </row>
    <row r="7670" spans="1:12" ht="11.25" x14ac:dyDescent="0.2">
      <c r="A7670" s="46" t="s">
        <v>15067</v>
      </c>
      <c r="B7670" s="46" t="s">
        <v>55503</v>
      </c>
      <c r="C7670" s="58" t="str">
        <f>"19352840"</f>
        <v>19352840</v>
      </c>
      <c r="D7670" s="58" t="str">
        <f>""</f>
        <v/>
      </c>
      <c r="E7670" s="46" t="s">
        <v>11878</v>
      </c>
      <c r="F7670" s="46" t="s">
        <v>17759</v>
      </c>
      <c r="G7670" s="46" t="s">
        <v>50584</v>
      </c>
      <c r="H7670" s="48" t="s">
        <v>56716</v>
      </c>
      <c r="I7670" s="48" t="s">
        <v>50564</v>
      </c>
      <c r="J7670" s="48"/>
      <c r="K7670" s="57"/>
      <c r="L7670" s="48"/>
    </row>
    <row r="7671" spans="1:12" ht="11.25" x14ac:dyDescent="0.2">
      <c r="A7671" s="45" t="s">
        <v>47928</v>
      </c>
      <c r="B7671" s="45" t="s">
        <v>47930</v>
      </c>
      <c r="C7671" s="51" t="s">
        <v>47932</v>
      </c>
      <c r="D7671" s="51" t="s">
        <v>47931</v>
      </c>
      <c r="E7671" s="45" t="s">
        <v>940</v>
      </c>
      <c r="F7671" s="45" t="s">
        <v>17759</v>
      </c>
      <c r="G7671" s="45" t="s">
        <v>50584</v>
      </c>
      <c r="H7671" s="56"/>
      <c r="I7671" s="56" t="s">
        <v>50564</v>
      </c>
      <c r="J7671" s="56"/>
      <c r="K7671" s="57"/>
      <c r="L7671" s="56" t="s">
        <v>56716</v>
      </c>
    </row>
    <row r="7672" spans="1:12" ht="11.25" x14ac:dyDescent="0.2">
      <c r="A7672" s="46" t="s">
        <v>56356</v>
      </c>
      <c r="B7672" s="46" t="s">
        <v>56357</v>
      </c>
      <c r="C7672" s="58" t="str">
        <f>"15508943"</f>
        <v>15508943</v>
      </c>
      <c r="D7672" s="58" t="str">
        <f>"15586804"</f>
        <v>15586804</v>
      </c>
      <c r="E7672" s="46" t="s">
        <v>40314</v>
      </c>
      <c r="F7672" s="46" t="s">
        <v>17759</v>
      </c>
      <c r="G7672" s="46" t="s">
        <v>50584</v>
      </c>
      <c r="H7672" s="48" t="s">
        <v>56716</v>
      </c>
      <c r="I7672" s="48" t="s">
        <v>50564</v>
      </c>
      <c r="J7672" s="48" t="s">
        <v>56716</v>
      </c>
      <c r="K7672" s="50" t="s">
        <v>56716</v>
      </c>
      <c r="L7672" s="48"/>
    </row>
    <row r="7673" spans="1:12" ht="11.25" x14ac:dyDescent="0.2">
      <c r="A7673" s="46" t="s">
        <v>16888</v>
      </c>
      <c r="B7673" s="46" t="s">
        <v>55504</v>
      </c>
      <c r="C7673" s="58" t="str">
        <f>"20389558"</f>
        <v>20389558</v>
      </c>
      <c r="D7673" s="58" t="str">
        <f>"20389566"</f>
        <v>20389566</v>
      </c>
      <c r="E7673" s="46" t="s">
        <v>1949</v>
      </c>
      <c r="F7673" s="46" t="s">
        <v>17991</v>
      </c>
      <c r="G7673" s="46" t="s">
        <v>50584</v>
      </c>
      <c r="H7673" s="48" t="s">
        <v>56716</v>
      </c>
      <c r="I7673" s="48" t="s">
        <v>50564</v>
      </c>
      <c r="J7673" s="48"/>
      <c r="K7673" s="57"/>
      <c r="L7673" s="48"/>
    </row>
    <row r="7674" spans="1:12" ht="11.25" x14ac:dyDescent="0.2">
      <c r="A7674" s="46" t="s">
        <v>6029</v>
      </c>
      <c r="B7674" s="46" t="s">
        <v>6029</v>
      </c>
      <c r="C7674" s="58" t="str">
        <f>"10665099"</f>
        <v>10665099</v>
      </c>
      <c r="D7674" s="58" t="str">
        <f>"15494918"</f>
        <v>15494918</v>
      </c>
      <c r="E7674" s="46" t="s">
        <v>970</v>
      </c>
      <c r="F7674" s="46" t="s">
        <v>17759</v>
      </c>
      <c r="G7674" s="46" t="s">
        <v>50584</v>
      </c>
      <c r="H7674" s="48" t="s">
        <v>56716</v>
      </c>
      <c r="I7674" s="48" t="s">
        <v>50564</v>
      </c>
      <c r="J7674" s="48"/>
      <c r="K7674" s="50" t="s">
        <v>56716</v>
      </c>
      <c r="L7674" s="48" t="s">
        <v>56716</v>
      </c>
    </row>
    <row r="7675" spans="1:12" ht="11.25" x14ac:dyDescent="0.2">
      <c r="A7675" s="46" t="s">
        <v>14495</v>
      </c>
      <c r="B7675" s="46" t="s">
        <v>55505</v>
      </c>
      <c r="C7675" s="58" t="str">
        <f>""</f>
        <v/>
      </c>
      <c r="D7675" s="58" t="str">
        <f>"11786957"</f>
        <v>11786957</v>
      </c>
      <c r="E7675" s="46" t="s">
        <v>11078</v>
      </c>
      <c r="F7675" s="46" t="s">
        <v>50646</v>
      </c>
      <c r="G7675" s="46" t="s">
        <v>50584</v>
      </c>
      <c r="H7675" s="48" t="s">
        <v>56716</v>
      </c>
      <c r="I7675" s="48" t="s">
        <v>50564</v>
      </c>
      <c r="J7675" s="48"/>
      <c r="K7675" s="57"/>
      <c r="L7675" s="48"/>
    </row>
    <row r="7676" spans="1:12" ht="11.25" x14ac:dyDescent="0.2">
      <c r="A7676" s="46" t="s">
        <v>10200</v>
      </c>
      <c r="B7676" s="46" t="s">
        <v>55506</v>
      </c>
      <c r="C7676" s="58" t="str">
        <f>"15473287"</f>
        <v>15473287</v>
      </c>
      <c r="D7676" s="58" t="str">
        <f>"15578534"</f>
        <v>15578534</v>
      </c>
      <c r="E7676" s="46" t="s">
        <v>4337</v>
      </c>
      <c r="F7676" s="46" t="s">
        <v>17759</v>
      </c>
      <c r="G7676" s="46" t="s">
        <v>50584</v>
      </c>
      <c r="H7676" s="48" t="s">
        <v>56716</v>
      </c>
      <c r="I7676" s="48" t="s">
        <v>50564</v>
      </c>
      <c r="J7676" s="48" t="s">
        <v>56716</v>
      </c>
      <c r="K7676" s="57"/>
      <c r="L7676" s="48" t="s">
        <v>56716</v>
      </c>
    </row>
    <row r="7677" spans="1:12" ht="11.25" x14ac:dyDescent="0.2">
      <c r="A7677" s="46" t="s">
        <v>15163</v>
      </c>
      <c r="B7677" s="46" t="s">
        <v>55507</v>
      </c>
      <c r="C7677" s="58" t="str">
        <f>""</f>
        <v/>
      </c>
      <c r="D7677" s="58" t="str">
        <f>"16879678"</f>
        <v>16879678</v>
      </c>
      <c r="E7677" s="46" t="s">
        <v>1412</v>
      </c>
      <c r="F7677" s="46" t="s">
        <v>17759</v>
      </c>
      <c r="G7677" s="46" t="s">
        <v>50584</v>
      </c>
      <c r="H7677" s="48" t="s">
        <v>56716</v>
      </c>
      <c r="I7677" s="48" t="s">
        <v>50564</v>
      </c>
      <c r="J7677" s="48" t="s">
        <v>56716</v>
      </c>
      <c r="K7677" s="57"/>
      <c r="L7677" s="48"/>
    </row>
    <row r="7678" spans="1:12" ht="11.25" x14ac:dyDescent="0.2">
      <c r="A7678" s="46" t="s">
        <v>16701</v>
      </c>
      <c r="B7678" s="46" t="s">
        <v>55508</v>
      </c>
      <c r="C7678" s="58" t="str">
        <f>"21576564"</f>
        <v>21576564</v>
      </c>
      <c r="D7678" s="58" t="str">
        <f>"21576580"</f>
        <v>21576580</v>
      </c>
      <c r="E7678" s="46" t="s">
        <v>7210</v>
      </c>
      <c r="F7678" s="46" t="s">
        <v>17759</v>
      </c>
      <c r="G7678" s="46" t="s">
        <v>50584</v>
      </c>
      <c r="H7678" s="48" t="s">
        <v>56716</v>
      </c>
      <c r="I7678" s="48" t="s">
        <v>50564</v>
      </c>
      <c r="J7678" s="48"/>
      <c r="K7678" s="57"/>
      <c r="L7678" s="48" t="s">
        <v>56716</v>
      </c>
    </row>
    <row r="7679" spans="1:12" ht="11.25" x14ac:dyDescent="0.2">
      <c r="A7679" s="46" t="s">
        <v>4718</v>
      </c>
      <c r="B7679" s="46" t="s">
        <v>55509</v>
      </c>
      <c r="C7679" s="58" t="str">
        <f>"10116125"</f>
        <v>10116125</v>
      </c>
      <c r="D7679" s="58" t="str">
        <f>"14230372"</f>
        <v>14230372</v>
      </c>
      <c r="E7679" s="46" t="s">
        <v>109</v>
      </c>
      <c r="F7679" s="46" t="s">
        <v>18123</v>
      </c>
      <c r="G7679" s="46" t="s">
        <v>50584</v>
      </c>
      <c r="H7679" s="48" t="s">
        <v>56716</v>
      </c>
      <c r="I7679" s="48" t="s">
        <v>50564</v>
      </c>
      <c r="J7679" s="48"/>
      <c r="K7679" s="50" t="s">
        <v>56716</v>
      </c>
      <c r="L7679" s="48" t="s">
        <v>56716</v>
      </c>
    </row>
    <row r="7680" spans="1:12" ht="11.25" x14ac:dyDescent="0.2">
      <c r="A7680" s="46" t="s">
        <v>3852</v>
      </c>
      <c r="B7680" s="46" t="s">
        <v>3852</v>
      </c>
      <c r="C7680" s="58" t="str">
        <f>"0039128X"</f>
        <v>0039128X</v>
      </c>
      <c r="D7680" s="58" t="str">
        <f>"18785867"</f>
        <v>18785867</v>
      </c>
      <c r="E7680" s="46" t="s">
        <v>272</v>
      </c>
      <c r="F7680" s="46" t="s">
        <v>17759</v>
      </c>
      <c r="G7680" s="46" t="s">
        <v>50584</v>
      </c>
      <c r="H7680" s="48" t="s">
        <v>56716</v>
      </c>
      <c r="I7680" s="48" t="s">
        <v>50564</v>
      </c>
      <c r="J7680" s="48"/>
      <c r="K7680" s="50" t="s">
        <v>56716</v>
      </c>
      <c r="L7680" s="48" t="s">
        <v>56716</v>
      </c>
    </row>
    <row r="7681" spans="1:12" ht="11.25" x14ac:dyDescent="0.2">
      <c r="A7681" s="45" t="s">
        <v>47956</v>
      </c>
      <c r="B7681" s="45" t="s">
        <v>47958</v>
      </c>
      <c r="C7681" s="51" t="s">
        <v>47961</v>
      </c>
      <c r="D7681" s="51" t="s">
        <v>47960</v>
      </c>
      <c r="E7681" s="45" t="s">
        <v>21545</v>
      </c>
      <c r="F7681" s="45" t="s">
        <v>50653</v>
      </c>
      <c r="G7681" s="45" t="s">
        <v>50619</v>
      </c>
      <c r="H7681" s="56"/>
      <c r="I7681" s="56" t="s">
        <v>50564</v>
      </c>
      <c r="J7681" s="56"/>
      <c r="K7681" s="57"/>
      <c r="L7681" s="56" t="s">
        <v>56716</v>
      </c>
    </row>
    <row r="7682" spans="1:12" ht="11.25" x14ac:dyDescent="0.2">
      <c r="A7682" s="45" t="s">
        <v>47963</v>
      </c>
      <c r="B7682" s="45" t="s">
        <v>47965</v>
      </c>
      <c r="C7682" s="51" t="s">
        <v>47968</v>
      </c>
      <c r="D7682" s="51" t="s">
        <v>47967</v>
      </c>
      <c r="E7682" s="45" t="s">
        <v>47969</v>
      </c>
      <c r="F7682" s="45" t="s">
        <v>40395</v>
      </c>
      <c r="G7682" s="45" t="s">
        <v>50584</v>
      </c>
      <c r="H7682" s="56"/>
      <c r="I7682" s="56" t="s">
        <v>50564</v>
      </c>
      <c r="J7682" s="56"/>
      <c r="K7682" s="57"/>
      <c r="L7682" s="56" t="s">
        <v>56716</v>
      </c>
    </row>
    <row r="7683" spans="1:12" ht="11.25" x14ac:dyDescent="0.2">
      <c r="A7683" s="46" t="s">
        <v>6804</v>
      </c>
      <c r="B7683" s="46" t="s">
        <v>6804</v>
      </c>
      <c r="C7683" s="58" t="str">
        <f>"09273972"</f>
        <v>09273972</v>
      </c>
      <c r="D7683" s="58" t="str">
        <f>"17445132"</f>
        <v>17445132</v>
      </c>
      <c r="E7683" s="46" t="s">
        <v>291</v>
      </c>
      <c r="F7683" s="46" t="s">
        <v>50646</v>
      </c>
      <c r="G7683" s="46" t="s">
        <v>50584</v>
      </c>
      <c r="H7683" s="48" t="s">
        <v>56716</v>
      </c>
      <c r="I7683" s="48" t="s">
        <v>50564</v>
      </c>
      <c r="J7683" s="48" t="s">
        <v>56716</v>
      </c>
      <c r="K7683" s="57"/>
      <c r="L7683" s="48" t="s">
        <v>56716</v>
      </c>
    </row>
    <row r="7684" spans="1:12" ht="11.25" x14ac:dyDescent="0.2">
      <c r="A7684" s="46" t="s">
        <v>4206</v>
      </c>
      <c r="B7684" s="46" t="s">
        <v>55510</v>
      </c>
      <c r="C7684" s="58" t="str">
        <f>"01797158"</f>
        <v>01797158</v>
      </c>
      <c r="D7684" s="58" t="str">
        <f>"1439099X"</f>
        <v>1439099X</v>
      </c>
      <c r="E7684" s="46" t="s">
        <v>6022</v>
      </c>
      <c r="F7684" s="46" t="s">
        <v>18158</v>
      </c>
      <c r="G7684" s="46" t="s">
        <v>50592</v>
      </c>
      <c r="H7684" s="48" t="s">
        <v>56716</v>
      </c>
      <c r="I7684" s="48" t="s">
        <v>50564</v>
      </c>
      <c r="J7684" s="48"/>
      <c r="K7684" s="50" t="s">
        <v>56716</v>
      </c>
      <c r="L7684" s="48" t="s">
        <v>56716</v>
      </c>
    </row>
    <row r="7685" spans="1:12" ht="11.25" x14ac:dyDescent="0.2">
      <c r="A7685" s="46" t="s">
        <v>7495</v>
      </c>
      <c r="B7685" s="46" t="s">
        <v>7495</v>
      </c>
      <c r="C7685" s="58" t="str">
        <f>"10253890"</f>
        <v>10253890</v>
      </c>
      <c r="D7685" s="58" t="str">
        <f>"16078888"</f>
        <v>16078888</v>
      </c>
      <c r="E7685" s="46" t="s">
        <v>291</v>
      </c>
      <c r="F7685" s="46" t="s">
        <v>50646</v>
      </c>
      <c r="G7685" s="46" t="s">
        <v>50584</v>
      </c>
      <c r="H7685" s="48" t="s">
        <v>56716</v>
      </c>
      <c r="I7685" s="48" t="s">
        <v>50564</v>
      </c>
      <c r="J7685" s="48" t="s">
        <v>56716</v>
      </c>
      <c r="K7685" s="57"/>
      <c r="L7685" s="48" t="s">
        <v>56716</v>
      </c>
    </row>
    <row r="7686" spans="1:12" ht="11.25" x14ac:dyDescent="0.2">
      <c r="A7686" s="46" t="s">
        <v>8882</v>
      </c>
      <c r="B7686" s="46" t="s">
        <v>47983</v>
      </c>
      <c r="C7686" s="58" t="str">
        <f>"15323005"</f>
        <v>15323005</v>
      </c>
      <c r="D7686" s="58" t="str">
        <f>"15322998"</f>
        <v>15322998</v>
      </c>
      <c r="E7686" s="46" t="s">
        <v>751</v>
      </c>
      <c r="F7686" s="46" t="s">
        <v>50646</v>
      </c>
      <c r="G7686" s="46" t="s">
        <v>50584</v>
      </c>
      <c r="H7686" s="48" t="s">
        <v>56716</v>
      </c>
      <c r="I7686" s="48" t="s">
        <v>50564</v>
      </c>
      <c r="J7686" s="48"/>
      <c r="K7686" s="50" t="s">
        <v>56716</v>
      </c>
      <c r="L7686" s="48" t="s">
        <v>56716</v>
      </c>
    </row>
    <row r="7687" spans="1:12" ht="11.25" x14ac:dyDescent="0.2">
      <c r="A7687" s="46" t="s">
        <v>3795</v>
      </c>
      <c r="B7687" s="46" t="s">
        <v>3795</v>
      </c>
      <c r="C7687" s="58" t="str">
        <f>"00392499"</f>
        <v>00392499</v>
      </c>
      <c r="D7687" s="58" t="str">
        <f>"15244628"</f>
        <v>15244628</v>
      </c>
      <c r="E7687" s="46" t="s">
        <v>28</v>
      </c>
      <c r="F7687" s="46" t="s">
        <v>17759</v>
      </c>
      <c r="G7687" s="46" t="s">
        <v>50584</v>
      </c>
      <c r="H7687" s="48" t="s">
        <v>56716</v>
      </c>
      <c r="I7687" s="48" t="s">
        <v>50564</v>
      </c>
      <c r="J7687" s="48" t="s">
        <v>56716</v>
      </c>
      <c r="K7687" s="50" t="s">
        <v>56716</v>
      </c>
      <c r="L7687" s="48" t="s">
        <v>56716</v>
      </c>
    </row>
    <row r="7688" spans="1:12" ht="11.25" x14ac:dyDescent="0.2">
      <c r="A7688" s="46" t="s">
        <v>14600</v>
      </c>
      <c r="B7688" s="46" t="s">
        <v>55511</v>
      </c>
      <c r="C7688" s="58" t="str">
        <f>""</f>
        <v/>
      </c>
      <c r="D7688" s="58" t="str">
        <f>""</f>
        <v/>
      </c>
      <c r="E7688" s="46" t="s">
        <v>1412</v>
      </c>
      <c r="F7688" s="46" t="s">
        <v>17759</v>
      </c>
      <c r="G7688" s="46" t="s">
        <v>50584</v>
      </c>
      <c r="H7688" s="48" t="s">
        <v>56716</v>
      </c>
      <c r="I7688" s="48" t="s">
        <v>50564</v>
      </c>
      <c r="J7688" s="48" t="s">
        <v>56716</v>
      </c>
      <c r="K7688" s="57"/>
      <c r="L7688" s="48"/>
    </row>
    <row r="7689" spans="1:12" ht="11.25" x14ac:dyDescent="0.2">
      <c r="A7689" s="46" t="s">
        <v>6472</v>
      </c>
      <c r="B7689" s="46" t="s">
        <v>6472</v>
      </c>
      <c r="C7689" s="58" t="str">
        <f>"09692126"</f>
        <v>09692126</v>
      </c>
      <c r="D7689" s="58" t="str">
        <f>"18784186"</f>
        <v>18784186</v>
      </c>
      <c r="E7689" s="46" t="s">
        <v>324</v>
      </c>
      <c r="F7689" s="46" t="s">
        <v>17759</v>
      </c>
      <c r="G7689" s="46" t="s">
        <v>50584</v>
      </c>
      <c r="H7689" s="48" t="s">
        <v>56716</v>
      </c>
      <c r="I7689" s="48" t="s">
        <v>50564</v>
      </c>
      <c r="J7689" s="48" t="s">
        <v>56716</v>
      </c>
      <c r="K7689" s="50" t="s">
        <v>56716</v>
      </c>
      <c r="L7689" s="48" t="s">
        <v>56716</v>
      </c>
    </row>
    <row r="7690" spans="1:12" ht="11.25" x14ac:dyDescent="0.2">
      <c r="A7690" s="45" t="s">
        <v>47994</v>
      </c>
      <c r="B7690" s="45" t="s">
        <v>47996</v>
      </c>
      <c r="C7690" s="51" t="s">
        <v>47997</v>
      </c>
      <c r="D7690" s="51"/>
      <c r="E7690" s="45" t="s">
        <v>47998</v>
      </c>
      <c r="F7690" s="45" t="s">
        <v>18001</v>
      </c>
      <c r="G7690" s="45" t="s">
        <v>50584</v>
      </c>
      <c r="H7690" s="56"/>
      <c r="I7690" s="56" t="s">
        <v>50564</v>
      </c>
      <c r="J7690" s="56"/>
      <c r="K7690" s="57"/>
      <c r="L7690" s="56" t="s">
        <v>56716</v>
      </c>
    </row>
    <row r="7691" spans="1:12" ht="11.25" x14ac:dyDescent="0.2">
      <c r="A7691" s="45" t="s">
        <v>48000</v>
      </c>
      <c r="B7691" s="45" t="s">
        <v>48002</v>
      </c>
      <c r="C7691" s="51" t="s">
        <v>48003</v>
      </c>
      <c r="D7691" s="51"/>
      <c r="E7691" s="45" t="s">
        <v>48004</v>
      </c>
      <c r="F7691" s="45" t="s">
        <v>17759</v>
      </c>
      <c r="G7691" s="45" t="s">
        <v>50584</v>
      </c>
      <c r="H7691" s="56"/>
      <c r="I7691" s="56" t="s">
        <v>50564</v>
      </c>
      <c r="J7691" s="56"/>
      <c r="K7691" s="57"/>
      <c r="L7691" s="56" t="s">
        <v>56716</v>
      </c>
    </row>
    <row r="7692" spans="1:12" ht="11.25" x14ac:dyDescent="0.2">
      <c r="A7692" s="45" t="s">
        <v>48006</v>
      </c>
      <c r="B7692" s="45" t="s">
        <v>48008</v>
      </c>
      <c r="C7692" s="51" t="s">
        <v>48009</v>
      </c>
      <c r="D7692" s="51"/>
      <c r="E7692" s="45" t="s">
        <v>920</v>
      </c>
      <c r="F7692" s="45" t="s">
        <v>18001</v>
      </c>
      <c r="G7692" s="45" t="s">
        <v>50584</v>
      </c>
      <c r="H7692" s="56"/>
      <c r="I7692" s="56" t="s">
        <v>50564</v>
      </c>
      <c r="J7692" s="56"/>
      <c r="K7692" s="57"/>
      <c r="L7692" s="56" t="s">
        <v>56716</v>
      </c>
    </row>
    <row r="7693" spans="1:12" ht="11.25" x14ac:dyDescent="0.2">
      <c r="A7693" s="45" t="s">
        <v>48012</v>
      </c>
      <c r="B7693" s="45" t="s">
        <v>48014</v>
      </c>
      <c r="C7693" s="51" t="s">
        <v>48016</v>
      </c>
      <c r="D7693" s="51" t="s">
        <v>48015</v>
      </c>
      <c r="E7693" s="45" t="s">
        <v>91</v>
      </c>
      <c r="F7693" s="45" t="s">
        <v>50646</v>
      </c>
      <c r="G7693" s="45" t="s">
        <v>50584</v>
      </c>
      <c r="H7693" s="56"/>
      <c r="I7693" s="56" t="s">
        <v>50564</v>
      </c>
      <c r="J7693" s="56"/>
      <c r="K7693" s="57"/>
      <c r="L7693" s="56" t="s">
        <v>56716</v>
      </c>
    </row>
    <row r="7694" spans="1:12" ht="11.25" x14ac:dyDescent="0.2">
      <c r="A7694" s="45" t="s">
        <v>48019</v>
      </c>
      <c r="B7694" s="45" t="s">
        <v>48021</v>
      </c>
      <c r="C7694" s="51" t="s">
        <v>48023</v>
      </c>
      <c r="D7694" s="51"/>
      <c r="E7694" s="45" t="s">
        <v>17865</v>
      </c>
      <c r="F7694" s="45" t="s">
        <v>50646</v>
      </c>
      <c r="G7694" s="45" t="s">
        <v>50584</v>
      </c>
      <c r="H7694" s="56"/>
      <c r="I7694" s="56" t="s">
        <v>50564</v>
      </c>
      <c r="J7694" s="56"/>
      <c r="K7694" s="57"/>
      <c r="L7694" s="56" t="s">
        <v>56716</v>
      </c>
    </row>
    <row r="7695" spans="1:12" ht="11.25" x14ac:dyDescent="0.2">
      <c r="A7695" s="45" t="s">
        <v>48025</v>
      </c>
      <c r="B7695" s="45" t="s">
        <v>48027</v>
      </c>
      <c r="C7695" s="51" t="s">
        <v>48029</v>
      </c>
      <c r="D7695" s="51"/>
      <c r="E7695" s="45" t="s">
        <v>18934</v>
      </c>
      <c r="F7695" s="45" t="s">
        <v>50646</v>
      </c>
      <c r="G7695" s="45" t="s">
        <v>50584</v>
      </c>
      <c r="H7695" s="56"/>
      <c r="I7695" s="56" t="s">
        <v>50564</v>
      </c>
      <c r="J7695" s="56"/>
      <c r="K7695" s="57"/>
      <c r="L7695" s="56" t="s">
        <v>56716</v>
      </c>
    </row>
    <row r="7696" spans="1:12" ht="11.25" x14ac:dyDescent="0.2">
      <c r="A7696" s="45" t="s">
        <v>48031</v>
      </c>
      <c r="B7696" s="45" t="s">
        <v>48033</v>
      </c>
      <c r="C7696" s="51" t="s">
        <v>48036</v>
      </c>
      <c r="D7696" s="51" t="s">
        <v>48035</v>
      </c>
      <c r="E7696" s="45" t="s">
        <v>689</v>
      </c>
      <c r="F7696" s="45" t="s">
        <v>17759</v>
      </c>
      <c r="G7696" s="45" t="s">
        <v>50584</v>
      </c>
      <c r="H7696" s="56"/>
      <c r="I7696" s="56" t="s">
        <v>50564</v>
      </c>
      <c r="J7696" s="56"/>
      <c r="K7696" s="57"/>
      <c r="L7696" s="56" t="s">
        <v>56716</v>
      </c>
    </row>
    <row r="7697" spans="1:12" ht="11.25" x14ac:dyDescent="0.2">
      <c r="A7697" s="45" t="s">
        <v>48038</v>
      </c>
      <c r="B7697" s="45" t="s">
        <v>48040</v>
      </c>
      <c r="C7697" s="51"/>
      <c r="D7697" s="51" t="s">
        <v>48041</v>
      </c>
      <c r="E7697" s="45" t="s">
        <v>18570</v>
      </c>
      <c r="F7697" s="45" t="s">
        <v>50646</v>
      </c>
      <c r="G7697" s="45" t="s">
        <v>50584</v>
      </c>
      <c r="H7697" s="56"/>
      <c r="I7697" s="56" t="s">
        <v>50564</v>
      </c>
      <c r="J7697" s="56"/>
      <c r="K7697" s="57"/>
      <c r="L7697" s="56" t="s">
        <v>56716</v>
      </c>
    </row>
    <row r="7698" spans="1:12" ht="11.25" x14ac:dyDescent="0.2">
      <c r="A7698" s="46" t="s">
        <v>13148</v>
      </c>
      <c r="B7698" s="46" t="s">
        <v>55512</v>
      </c>
      <c r="C7698" s="58" t="str">
        <f>""</f>
        <v/>
      </c>
      <c r="D7698" s="58" t="str">
        <f>"11782218"</f>
        <v>11782218</v>
      </c>
      <c r="E7698" s="46" t="s">
        <v>11251</v>
      </c>
      <c r="F7698" s="46" t="s">
        <v>19483</v>
      </c>
      <c r="G7698" s="46" t="s">
        <v>50584</v>
      </c>
      <c r="H7698" s="48" t="s">
        <v>56716</v>
      </c>
      <c r="I7698" s="48" t="s">
        <v>50564</v>
      </c>
      <c r="J7698" s="48"/>
      <c r="K7698" s="57"/>
      <c r="L7698" s="48"/>
    </row>
    <row r="7699" spans="1:12" ht="11.25" x14ac:dyDescent="0.2">
      <c r="A7699" s="45" t="s">
        <v>48043</v>
      </c>
      <c r="B7699" s="45" t="s">
        <v>48045</v>
      </c>
      <c r="C7699" s="51" t="s">
        <v>48048</v>
      </c>
      <c r="D7699" s="51" t="s">
        <v>48047</v>
      </c>
      <c r="E7699" s="45" t="s">
        <v>291</v>
      </c>
      <c r="F7699" s="45" t="s">
        <v>50646</v>
      </c>
      <c r="G7699" s="45" t="s">
        <v>50584</v>
      </c>
      <c r="H7699" s="56"/>
      <c r="I7699" s="56" t="s">
        <v>50564</v>
      </c>
      <c r="J7699" s="56"/>
      <c r="K7699" s="57"/>
      <c r="L7699" s="56" t="s">
        <v>56716</v>
      </c>
    </row>
    <row r="7700" spans="1:12" ht="11.25" x14ac:dyDescent="0.2">
      <c r="A7700" s="46" t="s">
        <v>5562</v>
      </c>
      <c r="B7700" s="46" t="s">
        <v>5562</v>
      </c>
      <c r="C7700" s="58" t="str">
        <f>"09395911"</f>
        <v>09395911</v>
      </c>
      <c r="D7700" s="58" t="str">
        <f>""</f>
        <v/>
      </c>
      <c r="E7700" s="46" t="s">
        <v>4616</v>
      </c>
      <c r="F7700" s="46" t="s">
        <v>18158</v>
      </c>
      <c r="G7700" s="46" t="s">
        <v>50593</v>
      </c>
      <c r="H7700" s="48" t="s">
        <v>56716</v>
      </c>
      <c r="I7700" s="48" t="s">
        <v>50564</v>
      </c>
      <c r="J7700" s="48"/>
      <c r="K7700" s="57"/>
      <c r="L7700" s="48"/>
    </row>
    <row r="7701" spans="1:12" ht="11.25" x14ac:dyDescent="0.2">
      <c r="A7701" s="46" t="s">
        <v>8721</v>
      </c>
      <c r="B7701" s="46" t="s">
        <v>55513</v>
      </c>
      <c r="C7701" s="58" t="str">
        <f>"14375567"</f>
        <v>14375567</v>
      </c>
      <c r="D7701" s="58" t="str">
        <f>""</f>
        <v/>
      </c>
      <c r="E7701" s="46" t="s">
        <v>8723</v>
      </c>
      <c r="F7701" s="46" t="s">
        <v>18158</v>
      </c>
      <c r="G7701" s="46" t="s">
        <v>50593</v>
      </c>
      <c r="H7701" s="48" t="s">
        <v>56716</v>
      </c>
      <c r="I7701" s="48" t="s">
        <v>50564</v>
      </c>
      <c r="J7701" s="48"/>
      <c r="K7701" s="57"/>
      <c r="L7701" s="48"/>
    </row>
    <row r="7702" spans="1:12" ht="11.25" x14ac:dyDescent="0.2">
      <c r="A7702" s="45" t="s">
        <v>48050</v>
      </c>
      <c r="B7702" s="45" t="s">
        <v>48052</v>
      </c>
      <c r="C7702" s="51" t="s">
        <v>48054</v>
      </c>
      <c r="D7702" s="51" t="s">
        <v>48053</v>
      </c>
      <c r="E7702" s="45" t="s">
        <v>21545</v>
      </c>
      <c r="F7702" s="45" t="s">
        <v>50653</v>
      </c>
      <c r="G7702" s="45" t="s">
        <v>56509</v>
      </c>
      <c r="H7702" s="56"/>
      <c r="I7702" s="56" t="s">
        <v>50564</v>
      </c>
      <c r="J7702" s="56"/>
      <c r="K7702" s="57"/>
      <c r="L7702" s="56" t="s">
        <v>56716</v>
      </c>
    </row>
    <row r="7703" spans="1:12" ht="11.25" x14ac:dyDescent="0.2">
      <c r="A7703" s="45" t="s">
        <v>48056</v>
      </c>
      <c r="B7703" s="45" t="s">
        <v>48058</v>
      </c>
      <c r="C7703" s="51" t="s">
        <v>48060</v>
      </c>
      <c r="D7703" s="51"/>
      <c r="E7703" s="45" t="s">
        <v>40542</v>
      </c>
      <c r="F7703" s="45" t="s">
        <v>18158</v>
      </c>
      <c r="G7703" s="45" t="s">
        <v>50592</v>
      </c>
      <c r="H7703" s="56"/>
      <c r="I7703" s="56" t="s">
        <v>50564</v>
      </c>
      <c r="J7703" s="56"/>
      <c r="K7703" s="57"/>
      <c r="L7703" s="56" t="s">
        <v>56716</v>
      </c>
    </row>
    <row r="7704" spans="1:12" ht="11.25" x14ac:dyDescent="0.2">
      <c r="A7704" s="45" t="s">
        <v>48063</v>
      </c>
      <c r="B7704" s="45" t="s">
        <v>48065</v>
      </c>
      <c r="C7704" s="51" t="s">
        <v>48067</v>
      </c>
      <c r="D7704" s="51"/>
      <c r="E7704" s="45" t="s">
        <v>48068</v>
      </c>
      <c r="F7704" s="45" t="s">
        <v>18158</v>
      </c>
      <c r="G7704" s="45" t="s">
        <v>50593</v>
      </c>
      <c r="H7704" s="56"/>
      <c r="I7704" s="56" t="s">
        <v>50564</v>
      </c>
      <c r="J7704" s="56"/>
      <c r="K7704" s="57"/>
      <c r="L7704" s="56" t="s">
        <v>56716</v>
      </c>
    </row>
    <row r="7705" spans="1:12" ht="11.25" x14ac:dyDescent="0.2">
      <c r="A7705" s="45" t="s">
        <v>48070</v>
      </c>
      <c r="B7705" s="45" t="s">
        <v>48072</v>
      </c>
      <c r="C7705" s="51" t="s">
        <v>48075</v>
      </c>
      <c r="D7705" s="51" t="s">
        <v>48074</v>
      </c>
      <c r="E7705" s="45" t="s">
        <v>970</v>
      </c>
      <c r="F7705" s="45" t="s">
        <v>50646</v>
      </c>
      <c r="G7705" s="45" t="s">
        <v>50584</v>
      </c>
      <c r="H7705" s="56"/>
      <c r="I7705" s="56" t="s">
        <v>50564</v>
      </c>
      <c r="J7705" s="56"/>
      <c r="K7705" s="57"/>
      <c r="L7705" s="56" t="s">
        <v>56716</v>
      </c>
    </row>
    <row r="7706" spans="1:12" ht="11.25" x14ac:dyDescent="0.2">
      <c r="A7706" s="46" t="s">
        <v>6729</v>
      </c>
      <c r="B7706" s="46" t="s">
        <v>55514</v>
      </c>
      <c r="C7706" s="58" t="str">
        <f>"09414355"</f>
        <v>09414355</v>
      </c>
      <c r="D7706" s="58" t="str">
        <f>"14337339"</f>
        <v>14337339</v>
      </c>
      <c r="E7706" s="46" t="s">
        <v>167</v>
      </c>
      <c r="F7706" s="46" t="s">
        <v>18158</v>
      </c>
      <c r="G7706" s="46" t="s">
        <v>50584</v>
      </c>
      <c r="H7706" s="48" t="s">
        <v>56716</v>
      </c>
      <c r="I7706" s="48" t="s">
        <v>50564</v>
      </c>
      <c r="J7706" s="48" t="s">
        <v>56716</v>
      </c>
      <c r="K7706" s="50" t="s">
        <v>56716</v>
      </c>
      <c r="L7706" s="48" t="s">
        <v>56716</v>
      </c>
    </row>
    <row r="7707" spans="1:12" ht="11.25" x14ac:dyDescent="0.2">
      <c r="A7707" s="46" t="s">
        <v>11628</v>
      </c>
      <c r="B7707" s="46" t="s">
        <v>48099</v>
      </c>
      <c r="C7707" s="58" t="str">
        <f>"02639319"</f>
        <v>02639319</v>
      </c>
      <c r="D7707" s="58" t="str">
        <f>"18781764"</f>
        <v>18781764</v>
      </c>
      <c r="E7707" s="46" t="s">
        <v>155</v>
      </c>
      <c r="F7707" s="46" t="s">
        <v>50646</v>
      </c>
      <c r="G7707" s="46" t="s">
        <v>50584</v>
      </c>
      <c r="H7707" s="48" t="s">
        <v>56716</v>
      </c>
      <c r="I7707" s="48" t="s">
        <v>50564</v>
      </c>
      <c r="J7707" s="48" t="s">
        <v>56716</v>
      </c>
      <c r="K7707" s="50" t="s">
        <v>56716</v>
      </c>
      <c r="L7707" s="48"/>
    </row>
    <row r="7708" spans="1:12" ht="11.25" x14ac:dyDescent="0.2">
      <c r="A7708" s="46" t="s">
        <v>3873</v>
      </c>
      <c r="B7708" s="46" t="s">
        <v>48099</v>
      </c>
      <c r="C7708" s="58" t="str">
        <f>"00396060"</f>
        <v>00396060</v>
      </c>
      <c r="D7708" s="58" t="str">
        <f>"15327361"</f>
        <v>15327361</v>
      </c>
      <c r="E7708" s="46" t="s">
        <v>194</v>
      </c>
      <c r="F7708" s="46" t="s">
        <v>17759</v>
      </c>
      <c r="G7708" s="46" t="s">
        <v>50584</v>
      </c>
      <c r="H7708" s="48" t="s">
        <v>56716</v>
      </c>
      <c r="I7708" s="48" t="s">
        <v>50564</v>
      </c>
      <c r="J7708" s="48" t="s">
        <v>56716</v>
      </c>
      <c r="K7708" s="50" t="s">
        <v>56716</v>
      </c>
      <c r="L7708" s="48" t="s">
        <v>56716</v>
      </c>
    </row>
    <row r="7709" spans="1:12" ht="11.25" x14ac:dyDescent="0.2">
      <c r="A7709" s="46" t="s">
        <v>11158</v>
      </c>
      <c r="B7709" s="46" t="s">
        <v>55515</v>
      </c>
      <c r="C7709" s="58" t="str">
        <f>"15507289"</f>
        <v>15507289</v>
      </c>
      <c r="D7709" s="58" t="str">
        <f>"18787533"</f>
        <v>18787533</v>
      </c>
      <c r="E7709" s="46" t="s">
        <v>272</v>
      </c>
      <c r="F7709" s="46" t="s">
        <v>17759</v>
      </c>
      <c r="G7709" s="46" t="s">
        <v>50584</v>
      </c>
      <c r="H7709" s="48" t="s">
        <v>56716</v>
      </c>
      <c r="I7709" s="48" t="s">
        <v>50564</v>
      </c>
      <c r="J7709" s="48" t="s">
        <v>56716</v>
      </c>
      <c r="K7709" s="50" t="s">
        <v>56716</v>
      </c>
      <c r="L7709" s="48" t="s">
        <v>56716</v>
      </c>
    </row>
    <row r="7710" spans="1:12" ht="11.25" x14ac:dyDescent="0.2">
      <c r="A7710" s="46" t="s">
        <v>5872</v>
      </c>
      <c r="B7710" s="46" t="s">
        <v>55516</v>
      </c>
      <c r="C7710" s="58" t="str">
        <f>"09411291"</f>
        <v>09411291</v>
      </c>
      <c r="D7710" s="58" t="str">
        <f>"14362813"</f>
        <v>14362813</v>
      </c>
      <c r="E7710" s="46" t="s">
        <v>23335</v>
      </c>
      <c r="F7710" s="46" t="s">
        <v>18242</v>
      </c>
      <c r="G7710" s="46" t="s">
        <v>50584</v>
      </c>
      <c r="H7710" s="48" t="s">
        <v>56716</v>
      </c>
      <c r="I7710" s="48" t="s">
        <v>50564</v>
      </c>
      <c r="J7710" s="48"/>
      <c r="K7710" s="50" t="s">
        <v>56716</v>
      </c>
      <c r="L7710" s="48" t="s">
        <v>56716</v>
      </c>
    </row>
    <row r="7711" spans="1:12" ht="11.25" x14ac:dyDescent="0.2">
      <c r="A7711" s="46" t="s">
        <v>3846</v>
      </c>
      <c r="B7711" s="46" t="s">
        <v>55517</v>
      </c>
      <c r="C7711" s="58" t="str">
        <f>"09301038"</f>
        <v>09301038</v>
      </c>
      <c r="D7711" s="58" t="str">
        <f>"12798517"</f>
        <v>12798517</v>
      </c>
      <c r="E7711" s="46" t="s">
        <v>11245</v>
      </c>
      <c r="F7711" s="46" t="s">
        <v>20359</v>
      </c>
      <c r="G7711" s="46" t="s">
        <v>50584</v>
      </c>
      <c r="H7711" s="48" t="s">
        <v>56716</v>
      </c>
      <c r="I7711" s="48" t="s">
        <v>50564</v>
      </c>
      <c r="J7711" s="48" t="s">
        <v>56716</v>
      </c>
      <c r="K7711" s="50" t="s">
        <v>56716</v>
      </c>
      <c r="L7711" s="48" t="s">
        <v>56716</v>
      </c>
    </row>
    <row r="7712" spans="1:12" ht="11.25" x14ac:dyDescent="0.2">
      <c r="A7712" s="46" t="s">
        <v>3739</v>
      </c>
      <c r="B7712" s="46" t="s">
        <v>55518</v>
      </c>
      <c r="C7712" s="58" t="str">
        <f>"00396109"</f>
        <v>00396109</v>
      </c>
      <c r="D7712" s="58" t="str">
        <f>"15583171"</f>
        <v>15583171</v>
      </c>
      <c r="E7712" s="46" t="s">
        <v>303</v>
      </c>
      <c r="F7712" s="46" t="s">
        <v>17759</v>
      </c>
      <c r="G7712" s="46" t="s">
        <v>50584</v>
      </c>
      <c r="H7712" s="48" t="s">
        <v>56716</v>
      </c>
      <c r="I7712" s="48" t="s">
        <v>50564</v>
      </c>
      <c r="J7712" s="48" t="s">
        <v>56716</v>
      </c>
      <c r="K7712" s="50" t="s">
        <v>56716</v>
      </c>
      <c r="L7712" s="48" t="s">
        <v>56716</v>
      </c>
    </row>
    <row r="7713" spans="1:12" ht="11.25" x14ac:dyDescent="0.2">
      <c r="A7713" s="46" t="s">
        <v>13336</v>
      </c>
      <c r="B7713" s="46" t="s">
        <v>55519</v>
      </c>
      <c r="C7713" s="58" t="str">
        <f>"09302794"</f>
        <v>09302794</v>
      </c>
      <c r="D7713" s="58" t="str">
        <f>"14322218"</f>
        <v>14322218</v>
      </c>
      <c r="E7713" s="46" t="s">
        <v>56305</v>
      </c>
      <c r="F7713" s="46" t="s">
        <v>17759</v>
      </c>
      <c r="G7713" s="46" t="s">
        <v>50584</v>
      </c>
      <c r="H7713" s="48" t="s">
        <v>56716</v>
      </c>
      <c r="I7713" s="48" t="s">
        <v>50564</v>
      </c>
      <c r="J7713" s="48" t="s">
        <v>56716</v>
      </c>
      <c r="K7713" s="50" t="s">
        <v>56716</v>
      </c>
      <c r="L7713" s="48" t="s">
        <v>56716</v>
      </c>
    </row>
    <row r="7714" spans="1:12" ht="11.25" x14ac:dyDescent="0.2">
      <c r="A7714" s="46" t="s">
        <v>8483</v>
      </c>
      <c r="B7714" s="46" t="s">
        <v>55520</v>
      </c>
      <c r="C7714" s="58" t="str">
        <f>"10962964"</f>
        <v>10962964</v>
      </c>
      <c r="D7714" s="58" t="str">
        <f>"15578674"</f>
        <v>15578674</v>
      </c>
      <c r="E7714" s="46" t="s">
        <v>4337</v>
      </c>
      <c r="F7714" s="46" t="s">
        <v>17759</v>
      </c>
      <c r="G7714" s="46" t="s">
        <v>50584</v>
      </c>
      <c r="H7714" s="48" t="s">
        <v>56716</v>
      </c>
      <c r="I7714" s="48" t="s">
        <v>50564</v>
      </c>
      <c r="J7714" s="48" t="s">
        <v>56716</v>
      </c>
      <c r="K7714" s="57"/>
      <c r="L7714" s="48" t="s">
        <v>56716</v>
      </c>
    </row>
    <row r="7715" spans="1:12" ht="11.25" x14ac:dyDescent="0.2">
      <c r="A7715" s="46" t="s">
        <v>10732</v>
      </c>
      <c r="B7715" s="46" t="s">
        <v>55521</v>
      </c>
      <c r="C7715" s="58" t="str">
        <f>"15533506"</f>
        <v>15533506</v>
      </c>
      <c r="D7715" s="58" t="str">
        <f>"15533514"</f>
        <v>15533514</v>
      </c>
      <c r="E7715" s="46" t="s">
        <v>493</v>
      </c>
      <c r="F7715" s="46" t="s">
        <v>17759</v>
      </c>
      <c r="G7715" s="46" t="s">
        <v>50584</v>
      </c>
      <c r="H7715" s="48" t="s">
        <v>56716</v>
      </c>
      <c r="I7715" s="48" t="s">
        <v>50564</v>
      </c>
      <c r="J7715" s="48"/>
      <c r="K7715" s="57"/>
      <c r="L7715" s="48" t="s">
        <v>56716</v>
      </c>
    </row>
    <row r="7716" spans="1:12" ht="11.25" x14ac:dyDescent="0.2">
      <c r="A7716" s="46" t="s">
        <v>8551</v>
      </c>
      <c r="B7716" s="46" t="s">
        <v>55522</v>
      </c>
      <c r="C7716" s="58" t="str">
        <f>"15304515"</f>
        <v>15304515</v>
      </c>
      <c r="D7716" s="58" t="str">
        <f>"15344908"</f>
        <v>15344908</v>
      </c>
      <c r="E7716" s="46" t="s">
        <v>28</v>
      </c>
      <c r="F7716" s="46" t="s">
        <v>17759</v>
      </c>
      <c r="G7716" s="46" t="s">
        <v>50584</v>
      </c>
      <c r="H7716" s="48" t="s">
        <v>56716</v>
      </c>
      <c r="I7716" s="48" t="s">
        <v>50564</v>
      </c>
      <c r="J7716" s="48" t="s">
        <v>56716</v>
      </c>
      <c r="K7716" s="50" t="s">
        <v>56716</v>
      </c>
      <c r="L7716" s="48" t="s">
        <v>56716</v>
      </c>
    </row>
    <row r="7717" spans="1:12" ht="11.25" x14ac:dyDescent="0.2">
      <c r="A7717" s="46" t="s">
        <v>14861</v>
      </c>
      <c r="B7717" s="46" t="s">
        <v>55523</v>
      </c>
      <c r="C7717" s="58" t="str">
        <f>""</f>
        <v/>
      </c>
      <c r="D7717" s="58" t="str">
        <f>"21527806"</f>
        <v>21527806</v>
      </c>
      <c r="E7717" s="46" t="s">
        <v>19057</v>
      </c>
      <c r="F7717" s="46" t="s">
        <v>20446</v>
      </c>
      <c r="G7717" s="46" t="s">
        <v>50584</v>
      </c>
      <c r="H7717" s="48" t="s">
        <v>56716</v>
      </c>
      <c r="I7717" s="48" t="s">
        <v>50564</v>
      </c>
      <c r="J7717" s="48" t="s">
        <v>56716</v>
      </c>
      <c r="K7717" s="57"/>
      <c r="L7717" s="48"/>
    </row>
    <row r="7718" spans="1:12" ht="11.25" x14ac:dyDescent="0.2">
      <c r="A7718" s="46" t="s">
        <v>5808</v>
      </c>
      <c r="B7718" s="46" t="s">
        <v>55524</v>
      </c>
      <c r="C7718" s="58" t="str">
        <f>"09607404"</f>
        <v>09607404</v>
      </c>
      <c r="D7718" s="58" t="str">
        <f>"18793320"</f>
        <v>18793320</v>
      </c>
      <c r="E7718" s="46" t="s">
        <v>155</v>
      </c>
      <c r="F7718" s="46" t="s">
        <v>50646</v>
      </c>
      <c r="G7718" s="46" t="s">
        <v>50584</v>
      </c>
      <c r="H7718" s="48" t="s">
        <v>56716</v>
      </c>
      <c r="I7718" s="48" t="s">
        <v>50564</v>
      </c>
      <c r="J7718" s="48" t="s">
        <v>56716</v>
      </c>
      <c r="K7718" s="50" t="s">
        <v>56716</v>
      </c>
      <c r="L7718" s="48" t="s">
        <v>56716</v>
      </c>
    </row>
    <row r="7719" spans="1:12" ht="11.25" x14ac:dyDescent="0.2">
      <c r="A7719" s="46" t="s">
        <v>6839</v>
      </c>
      <c r="B7719" s="46" t="s">
        <v>55525</v>
      </c>
      <c r="C7719" s="58" t="str">
        <f>"10553207"</f>
        <v>10553207</v>
      </c>
      <c r="D7719" s="58" t="str">
        <f>"15585042"</f>
        <v>15585042</v>
      </c>
      <c r="E7719" s="46" t="s">
        <v>303</v>
      </c>
      <c r="F7719" s="46" t="s">
        <v>17759</v>
      </c>
      <c r="G7719" s="46" t="s">
        <v>50584</v>
      </c>
      <c r="H7719" s="48" t="s">
        <v>56716</v>
      </c>
      <c r="I7719" s="48" t="s">
        <v>50564</v>
      </c>
      <c r="J7719" s="48"/>
      <c r="K7719" s="50" t="s">
        <v>56716</v>
      </c>
      <c r="L7719" s="48" t="s">
        <v>56716</v>
      </c>
    </row>
    <row r="7720" spans="1:12" ht="11.25" x14ac:dyDescent="0.2">
      <c r="A7720" s="46" t="s">
        <v>13401</v>
      </c>
      <c r="B7720" s="46" t="s">
        <v>55526</v>
      </c>
      <c r="C7720" s="58" t="str">
        <f>"18759181"</f>
        <v>18759181</v>
      </c>
      <c r="D7720" s="58" t="str">
        <f>"18759157"</f>
        <v>18759157</v>
      </c>
      <c r="E7720" s="46" t="s">
        <v>303</v>
      </c>
      <c r="F7720" s="46" t="s">
        <v>17759</v>
      </c>
      <c r="G7720" s="46" t="s">
        <v>50584</v>
      </c>
      <c r="H7720" s="48" t="s">
        <v>56716</v>
      </c>
      <c r="I7720" s="48" t="s">
        <v>50564</v>
      </c>
      <c r="J7720" s="48" t="s">
        <v>56716</v>
      </c>
      <c r="K7720" s="50" t="s">
        <v>56716</v>
      </c>
      <c r="L7720" s="48"/>
    </row>
    <row r="7721" spans="1:12" ht="11.25" x14ac:dyDescent="0.2">
      <c r="A7721" s="46" t="s">
        <v>10787</v>
      </c>
      <c r="B7721" s="46" t="s">
        <v>55527</v>
      </c>
      <c r="C7721" s="58" t="str">
        <f>"17441625"</f>
        <v>17441625</v>
      </c>
      <c r="D7721" s="58" t="str">
        <f>"17441633"</f>
        <v>17441633</v>
      </c>
      <c r="E7721" s="46" t="s">
        <v>35</v>
      </c>
      <c r="F7721" s="46" t="s">
        <v>50646</v>
      </c>
      <c r="G7721" s="46" t="s">
        <v>50584</v>
      </c>
      <c r="H7721" s="48" t="s">
        <v>56716</v>
      </c>
      <c r="I7721" s="48" t="s">
        <v>50564</v>
      </c>
      <c r="J7721" s="48" t="s">
        <v>56716</v>
      </c>
      <c r="K7721" s="57"/>
      <c r="L7721" s="48"/>
    </row>
    <row r="7722" spans="1:12" ht="11.25" x14ac:dyDescent="0.2">
      <c r="A7722" s="46" t="s">
        <v>16891</v>
      </c>
      <c r="B7722" s="46" t="s">
        <v>55528</v>
      </c>
      <c r="C7722" s="58" t="str">
        <f>"20389574"</f>
        <v>20389574</v>
      </c>
      <c r="D7722" s="58" t="str">
        <f>"20389582"</f>
        <v>20389582</v>
      </c>
      <c r="E7722" s="46" t="s">
        <v>1949</v>
      </c>
      <c r="F7722" s="46" t="s">
        <v>17991</v>
      </c>
      <c r="G7722" s="46" t="s">
        <v>50584</v>
      </c>
      <c r="H7722" s="48" t="s">
        <v>56716</v>
      </c>
      <c r="I7722" s="48" t="s">
        <v>50564</v>
      </c>
      <c r="J7722" s="48"/>
      <c r="K7722" s="57"/>
      <c r="L7722" s="48"/>
    </row>
    <row r="7723" spans="1:12" ht="11.25" x14ac:dyDescent="0.2">
      <c r="A7723" s="45" t="s">
        <v>48150</v>
      </c>
      <c r="B7723" s="45" t="s">
        <v>48152</v>
      </c>
      <c r="C7723" s="51" t="s">
        <v>48153</v>
      </c>
      <c r="D7723" s="51"/>
      <c r="E7723" s="45" t="s">
        <v>48154</v>
      </c>
      <c r="F7723" s="45" t="s">
        <v>17759</v>
      </c>
      <c r="G7723" s="45" t="s">
        <v>50584</v>
      </c>
      <c r="H7723" s="56"/>
      <c r="I7723" s="56" t="s">
        <v>50564</v>
      </c>
      <c r="J7723" s="56"/>
      <c r="K7723" s="57"/>
      <c r="L7723" s="56" t="s">
        <v>56716</v>
      </c>
    </row>
    <row r="7724" spans="1:12" ht="11.25" x14ac:dyDescent="0.2">
      <c r="A7724" s="46" t="s">
        <v>3870</v>
      </c>
      <c r="B7724" s="46" t="s">
        <v>55529</v>
      </c>
      <c r="C7724" s="58" t="str">
        <f>"00396257"</f>
        <v>00396257</v>
      </c>
      <c r="D7724" s="58" t="str">
        <f>"18793304"</f>
        <v>18793304</v>
      </c>
      <c r="E7724" s="46" t="s">
        <v>673</v>
      </c>
      <c r="F7724" s="46" t="s">
        <v>17759</v>
      </c>
      <c r="G7724" s="46" t="s">
        <v>50584</v>
      </c>
      <c r="H7724" s="48" t="s">
        <v>56716</v>
      </c>
      <c r="I7724" s="48" t="s">
        <v>50564</v>
      </c>
      <c r="J7724" s="48" t="s">
        <v>56716</v>
      </c>
      <c r="K7724" s="50" t="s">
        <v>56716</v>
      </c>
      <c r="L7724" s="48" t="s">
        <v>56716</v>
      </c>
    </row>
    <row r="7725" spans="1:12" ht="11.25" x14ac:dyDescent="0.2">
      <c r="A7725" s="45" t="s">
        <v>48161</v>
      </c>
      <c r="B7725" s="45" t="s">
        <v>48163</v>
      </c>
      <c r="C7725" s="51" t="s">
        <v>48165</v>
      </c>
      <c r="D7725" s="51"/>
      <c r="E7725" s="45" t="s">
        <v>48166</v>
      </c>
      <c r="F7725" s="45" t="s">
        <v>18130</v>
      </c>
      <c r="G7725" s="45" t="s">
        <v>50584</v>
      </c>
      <c r="H7725" s="56"/>
      <c r="I7725" s="56" t="s">
        <v>50564</v>
      </c>
      <c r="J7725" s="56"/>
      <c r="K7725" s="57"/>
      <c r="L7725" s="56" t="s">
        <v>56716</v>
      </c>
    </row>
    <row r="7726" spans="1:12" ht="11.25" x14ac:dyDescent="0.2">
      <c r="A7726" s="45" t="s">
        <v>48168</v>
      </c>
      <c r="B7726" s="45" t="s">
        <v>48170</v>
      </c>
      <c r="C7726" s="51" t="s">
        <v>48172</v>
      </c>
      <c r="D7726" s="51"/>
      <c r="E7726" s="45" t="s">
        <v>48173</v>
      </c>
      <c r="F7726" s="45" t="s">
        <v>18130</v>
      </c>
      <c r="G7726" s="45" t="s">
        <v>50584</v>
      </c>
      <c r="H7726" s="56"/>
      <c r="I7726" s="56" t="s">
        <v>50564</v>
      </c>
      <c r="J7726" s="56"/>
      <c r="K7726" s="57"/>
      <c r="L7726" s="56" t="s">
        <v>56716</v>
      </c>
    </row>
    <row r="7727" spans="1:12" ht="11.25" x14ac:dyDescent="0.2">
      <c r="A7727" s="45" t="s">
        <v>48175</v>
      </c>
      <c r="B7727" s="45" t="s">
        <v>48177</v>
      </c>
      <c r="C7727" s="51" t="s">
        <v>48180</v>
      </c>
      <c r="D7727" s="51" t="s">
        <v>48179</v>
      </c>
      <c r="E7727" s="45" t="s">
        <v>50668</v>
      </c>
      <c r="F7727" s="45" t="s">
        <v>18123</v>
      </c>
      <c r="G7727" s="45" t="s">
        <v>50594</v>
      </c>
      <c r="H7727" s="56"/>
      <c r="I7727" s="56" t="s">
        <v>50564</v>
      </c>
      <c r="J7727" s="56"/>
      <c r="K7727" s="57"/>
      <c r="L7727" s="56" t="s">
        <v>56716</v>
      </c>
    </row>
    <row r="7728" spans="1:12" ht="11.25" x14ac:dyDescent="0.2">
      <c r="A7728" s="46" t="s">
        <v>8851</v>
      </c>
      <c r="B7728" s="46" t="s">
        <v>55530</v>
      </c>
      <c r="C7728" s="58" t="str">
        <f>"14247860"</f>
        <v>14247860</v>
      </c>
      <c r="D7728" s="58" t="str">
        <f>"14243997"</f>
        <v>14243997</v>
      </c>
      <c r="E7728" s="46" t="s">
        <v>3733</v>
      </c>
      <c r="F7728" s="46" t="s">
        <v>18123</v>
      </c>
      <c r="G7728" s="46" t="s">
        <v>50595</v>
      </c>
      <c r="H7728" s="48" t="s">
        <v>56716</v>
      </c>
      <c r="I7728" s="48" t="s">
        <v>50564</v>
      </c>
      <c r="J7728" s="48"/>
      <c r="K7728" s="57"/>
      <c r="L7728" s="48" t="s">
        <v>56716</v>
      </c>
    </row>
    <row r="7729" spans="1:12" ht="11.25" x14ac:dyDescent="0.2">
      <c r="A7729" s="46" t="s">
        <v>4218</v>
      </c>
      <c r="B7729" s="46" t="s">
        <v>4218</v>
      </c>
      <c r="C7729" s="58" t="str">
        <f>"08874476"</f>
        <v>08874476</v>
      </c>
      <c r="D7729" s="58" t="str">
        <f>"10982396"</f>
        <v>10982396</v>
      </c>
      <c r="E7729" s="46" t="s">
        <v>517</v>
      </c>
      <c r="F7729" s="46" t="s">
        <v>17759</v>
      </c>
      <c r="G7729" s="46" t="s">
        <v>50584</v>
      </c>
      <c r="H7729" s="48" t="s">
        <v>56716</v>
      </c>
      <c r="I7729" s="48" t="s">
        <v>50564</v>
      </c>
      <c r="J7729" s="48" t="s">
        <v>56716</v>
      </c>
      <c r="K7729" s="50" t="s">
        <v>56716</v>
      </c>
      <c r="L7729" s="48" t="s">
        <v>56716</v>
      </c>
    </row>
    <row r="7730" spans="1:12" ht="11.25" x14ac:dyDescent="0.2">
      <c r="A7730" s="46" t="s">
        <v>55982</v>
      </c>
      <c r="B7730" s="46" t="s">
        <v>55982</v>
      </c>
      <c r="C7730" s="58" t="str">
        <f>"22137130"</f>
        <v>22137130</v>
      </c>
      <c r="D7730" s="58" t="str">
        <f>""</f>
        <v/>
      </c>
      <c r="E7730" s="46" t="s">
        <v>6159</v>
      </c>
      <c r="F7730" s="46" t="s">
        <v>18158</v>
      </c>
      <c r="G7730" s="46" t="s">
        <v>50584</v>
      </c>
      <c r="H7730" s="48" t="s">
        <v>56716</v>
      </c>
      <c r="I7730" s="48" t="s">
        <v>50564</v>
      </c>
      <c r="J7730" s="48" t="s">
        <v>56716</v>
      </c>
      <c r="K7730" s="57"/>
      <c r="L7730" s="48"/>
    </row>
    <row r="7731" spans="1:12" ht="11.25" x14ac:dyDescent="0.2">
      <c r="A7731" s="46" t="s">
        <v>7976</v>
      </c>
      <c r="B7731" s="46" t="s">
        <v>7976</v>
      </c>
      <c r="C7731" s="58" t="str">
        <f>"09365214"</f>
        <v>09365214</v>
      </c>
      <c r="D7731" s="58" t="str">
        <f>"14372096"</f>
        <v>14372096</v>
      </c>
      <c r="E7731" s="46" t="s">
        <v>412</v>
      </c>
      <c r="F7731" s="46" t="s">
        <v>18158</v>
      </c>
      <c r="G7731" s="46" t="s">
        <v>50584</v>
      </c>
      <c r="H7731" s="48" t="s">
        <v>56716</v>
      </c>
      <c r="I7731" s="48" t="s">
        <v>50564</v>
      </c>
      <c r="J7731" s="48"/>
      <c r="K7731" s="50" t="s">
        <v>56716</v>
      </c>
      <c r="L7731" s="48"/>
    </row>
    <row r="7732" spans="1:12" ht="11.25" x14ac:dyDescent="0.2">
      <c r="A7732" s="46" t="s">
        <v>3881</v>
      </c>
      <c r="B7732" s="46" t="s">
        <v>55531</v>
      </c>
      <c r="C7732" s="58" t="str">
        <f>"00397881"</f>
        <v>00397881</v>
      </c>
      <c r="D7732" s="58" t="str">
        <f>"1437210X"</f>
        <v>1437210X</v>
      </c>
      <c r="E7732" s="46" t="s">
        <v>412</v>
      </c>
      <c r="F7732" s="46" t="s">
        <v>18158</v>
      </c>
      <c r="G7732" s="46" t="s">
        <v>50592</v>
      </c>
      <c r="H7732" s="48" t="s">
        <v>56716</v>
      </c>
      <c r="I7732" s="48" t="s">
        <v>50564</v>
      </c>
      <c r="J7732" s="48"/>
      <c r="K7732" s="50" t="s">
        <v>56716</v>
      </c>
      <c r="L7732" s="48"/>
    </row>
    <row r="7733" spans="1:12" ht="11.25" x14ac:dyDescent="0.2">
      <c r="A7733" s="46" t="s">
        <v>5448</v>
      </c>
      <c r="B7733" s="46" t="s">
        <v>55532</v>
      </c>
      <c r="C7733" s="58" t="str">
        <f>"00397911"</f>
        <v>00397911</v>
      </c>
      <c r="D7733" s="58" t="str">
        <f>"15322432"</f>
        <v>15322432</v>
      </c>
      <c r="E7733" s="46" t="s">
        <v>669</v>
      </c>
      <c r="F7733" s="46" t="s">
        <v>17759</v>
      </c>
      <c r="G7733" s="46" t="s">
        <v>50584</v>
      </c>
      <c r="H7733" s="48" t="s">
        <v>56716</v>
      </c>
      <c r="I7733" s="48" t="s">
        <v>50564</v>
      </c>
      <c r="J7733" s="48"/>
      <c r="K7733" s="50" t="s">
        <v>56716</v>
      </c>
      <c r="L7733" s="48"/>
    </row>
    <row r="7734" spans="1:12" ht="11.25" x14ac:dyDescent="0.2">
      <c r="A7734" s="46" t="s">
        <v>3719</v>
      </c>
      <c r="B7734" s="46" t="s">
        <v>55533</v>
      </c>
      <c r="C7734" s="58" t="str">
        <f>"07232020"</f>
        <v>07232020</v>
      </c>
      <c r="D7734" s="58" t="str">
        <f>"16180984"</f>
        <v>16180984</v>
      </c>
      <c r="E7734" s="46" t="s">
        <v>241</v>
      </c>
      <c r="F7734" s="46" t="s">
        <v>18158</v>
      </c>
      <c r="G7734" s="46" t="s">
        <v>50594</v>
      </c>
      <c r="H7734" s="48" t="s">
        <v>56716</v>
      </c>
      <c r="I7734" s="48" t="s">
        <v>50564</v>
      </c>
      <c r="J7734" s="48" t="s">
        <v>56716</v>
      </c>
      <c r="K7734" s="50" t="s">
        <v>56716</v>
      </c>
      <c r="L7734" s="48" t="s">
        <v>56716</v>
      </c>
    </row>
    <row r="7735" spans="1:12" ht="11.25" x14ac:dyDescent="0.2">
      <c r="A7735" s="45" t="s">
        <v>48206</v>
      </c>
      <c r="B7735" s="45" t="s">
        <v>48208</v>
      </c>
      <c r="C7735" s="51" t="s">
        <v>48211</v>
      </c>
      <c r="D7735" s="51" t="s">
        <v>48210</v>
      </c>
      <c r="E7735" s="45" t="s">
        <v>55</v>
      </c>
      <c r="F7735" s="45" t="s">
        <v>50646</v>
      </c>
      <c r="G7735" s="45" t="s">
        <v>50584</v>
      </c>
      <c r="H7735" s="56"/>
      <c r="I7735" s="56" t="s">
        <v>50564</v>
      </c>
      <c r="J7735" s="56"/>
      <c r="K7735" s="57"/>
      <c r="L7735" s="56" t="s">
        <v>56716</v>
      </c>
    </row>
    <row r="7736" spans="1:12" ht="11.25" x14ac:dyDescent="0.2">
      <c r="A7736" s="45" t="s">
        <v>48213</v>
      </c>
      <c r="B7736" s="45" t="s">
        <v>48215</v>
      </c>
      <c r="C7736" s="51" t="s">
        <v>48217</v>
      </c>
      <c r="D7736" s="51" t="s">
        <v>48216</v>
      </c>
      <c r="E7736" s="45" t="s">
        <v>48218</v>
      </c>
      <c r="F7736" s="45" t="s">
        <v>18001</v>
      </c>
      <c r="G7736" s="45" t="s">
        <v>50584</v>
      </c>
      <c r="H7736" s="56"/>
      <c r="I7736" s="56" t="s">
        <v>50564</v>
      </c>
      <c r="J7736" s="56"/>
      <c r="K7736" s="57"/>
      <c r="L7736" s="56" t="s">
        <v>56716</v>
      </c>
    </row>
    <row r="7737" spans="1:12" ht="11.25" x14ac:dyDescent="0.2">
      <c r="A7737" s="46" t="s">
        <v>17020</v>
      </c>
      <c r="B7737" s="46" t="s">
        <v>55534</v>
      </c>
      <c r="C7737" s="58" t="str">
        <f>""</f>
        <v/>
      </c>
      <c r="D7737" s="58" t="str">
        <f>"20464053"</f>
        <v>20464053</v>
      </c>
      <c r="E7737" s="46" t="s">
        <v>2299</v>
      </c>
      <c r="F7737" s="46" t="s">
        <v>50646</v>
      </c>
      <c r="G7737" s="46" t="s">
        <v>50584</v>
      </c>
      <c r="H7737" s="48" t="s">
        <v>56716</v>
      </c>
      <c r="I7737" s="48" t="s">
        <v>50564</v>
      </c>
      <c r="J7737" s="48" t="s">
        <v>56716</v>
      </c>
      <c r="K7737" s="57"/>
      <c r="L7737" s="48" t="s">
        <v>56716</v>
      </c>
    </row>
    <row r="7738" spans="1:12" ht="11.25" x14ac:dyDescent="0.2">
      <c r="A7738" s="46" t="s">
        <v>15209</v>
      </c>
      <c r="B7738" s="46" t="s">
        <v>55535</v>
      </c>
      <c r="C7738" s="58" t="str">
        <f>"09758453"</f>
        <v>09758453</v>
      </c>
      <c r="D7738" s="58" t="str">
        <f>"09762779"</f>
        <v>09762779</v>
      </c>
      <c r="E7738" s="46" t="s">
        <v>19057</v>
      </c>
      <c r="F7738" s="46" t="s">
        <v>20446</v>
      </c>
      <c r="G7738" s="46" t="s">
        <v>50584</v>
      </c>
      <c r="H7738" s="48" t="s">
        <v>56716</v>
      </c>
      <c r="I7738" s="48" t="s">
        <v>50564</v>
      </c>
      <c r="J7738" s="48" t="s">
        <v>56716</v>
      </c>
      <c r="K7738" s="57"/>
      <c r="L7738" s="48"/>
    </row>
    <row r="7739" spans="1:12" ht="11.25" x14ac:dyDescent="0.2">
      <c r="A7739" s="46" t="s">
        <v>12865</v>
      </c>
      <c r="B7739" s="46" t="s">
        <v>55536</v>
      </c>
      <c r="C7739" s="58" t="str">
        <f>"19396368"</f>
        <v>19396368</v>
      </c>
      <c r="D7739" s="58" t="str">
        <f>"19396376"</f>
        <v>19396376</v>
      </c>
      <c r="E7739" s="46" t="s">
        <v>291</v>
      </c>
      <c r="F7739" s="46" t="s">
        <v>50646</v>
      </c>
      <c r="G7739" s="46" t="s">
        <v>50584</v>
      </c>
      <c r="H7739" s="48" t="s">
        <v>56716</v>
      </c>
      <c r="I7739" s="48" t="s">
        <v>50564</v>
      </c>
      <c r="J7739" s="48" t="s">
        <v>56716</v>
      </c>
      <c r="K7739" s="57"/>
      <c r="L7739" s="48" t="s">
        <v>56716</v>
      </c>
    </row>
    <row r="7740" spans="1:12" ht="11.25" x14ac:dyDescent="0.2">
      <c r="A7740" s="46" t="s">
        <v>17486</v>
      </c>
      <c r="B7740" s="46" t="s">
        <v>55537</v>
      </c>
      <c r="C7740" s="58" t="str">
        <f>"21628130"</f>
        <v>21628130</v>
      </c>
      <c r="D7740" s="58" t="str">
        <f>"21628149"</f>
        <v>21628149</v>
      </c>
      <c r="E7740" s="46" t="s">
        <v>669</v>
      </c>
      <c r="F7740" s="46" t="s">
        <v>17759</v>
      </c>
      <c r="G7740" s="46" t="s">
        <v>50584</v>
      </c>
      <c r="H7740" s="48" t="s">
        <v>56716</v>
      </c>
      <c r="I7740" s="48" t="s">
        <v>50564</v>
      </c>
      <c r="J7740" s="48"/>
      <c r="K7740" s="57"/>
      <c r="L7740" s="48"/>
    </row>
    <row r="7741" spans="1:12" ht="11.25" x14ac:dyDescent="0.2">
      <c r="A7741" s="46" t="s">
        <v>15108</v>
      </c>
      <c r="B7741" s="46" t="s">
        <v>55538</v>
      </c>
      <c r="C7741" s="58" t="str">
        <f>"1303734X"</f>
        <v>1303734X</v>
      </c>
      <c r="D7741" s="58" t="str">
        <f>""</f>
        <v/>
      </c>
      <c r="E7741" s="46" t="s">
        <v>15110</v>
      </c>
      <c r="F7741" s="46" t="s">
        <v>18396</v>
      </c>
      <c r="G7741" s="46" t="s">
        <v>50637</v>
      </c>
      <c r="H7741" s="48" t="s">
        <v>56716</v>
      </c>
      <c r="I7741" s="48" t="s">
        <v>50564</v>
      </c>
      <c r="J7741" s="48"/>
      <c r="K7741" s="57"/>
      <c r="L7741" s="48"/>
    </row>
    <row r="7742" spans="1:12" ht="11.25" x14ac:dyDescent="0.2">
      <c r="A7742" s="45" t="s">
        <v>48230</v>
      </c>
      <c r="B7742" s="45" t="s">
        <v>48232</v>
      </c>
      <c r="C7742" s="51" t="s">
        <v>48235</v>
      </c>
      <c r="D7742" s="51" t="s">
        <v>48234</v>
      </c>
      <c r="E7742" s="45" t="s">
        <v>17783</v>
      </c>
      <c r="F7742" s="45" t="s">
        <v>18158</v>
      </c>
      <c r="G7742" s="45" t="s">
        <v>50592</v>
      </c>
      <c r="H7742" s="56"/>
      <c r="I7742" s="56" t="s">
        <v>50564</v>
      </c>
      <c r="J7742" s="56"/>
      <c r="K7742" s="57"/>
      <c r="L7742" s="56" t="s">
        <v>56716</v>
      </c>
    </row>
    <row r="7743" spans="1:12" ht="11.25" x14ac:dyDescent="0.2">
      <c r="A7743" s="46" t="s">
        <v>6399</v>
      </c>
      <c r="B7743" s="46" t="s">
        <v>55539</v>
      </c>
      <c r="C7743" s="58" t="str">
        <f>"10161015"</f>
        <v>10161015</v>
      </c>
      <c r="D7743" s="58" t="str">
        <f>""</f>
        <v/>
      </c>
      <c r="E7743" s="46" t="s">
        <v>6401</v>
      </c>
      <c r="F7743" s="46" t="s">
        <v>50654</v>
      </c>
      <c r="G7743" s="46" t="s">
        <v>50584</v>
      </c>
      <c r="H7743" s="48" t="s">
        <v>56716</v>
      </c>
      <c r="I7743" s="48" t="s">
        <v>50564</v>
      </c>
      <c r="J7743" s="48"/>
      <c r="K7743" s="57"/>
      <c r="L7743" s="48"/>
    </row>
    <row r="7744" spans="1:12" ht="11.25" x14ac:dyDescent="0.2">
      <c r="A7744" s="46" t="s">
        <v>10521</v>
      </c>
      <c r="B7744" s="46" t="s">
        <v>55540</v>
      </c>
      <c r="C7744" s="58" t="str">
        <f>"10284559"</f>
        <v>10284559</v>
      </c>
      <c r="D7744" s="58" t="str">
        <f>"18756263"</f>
        <v>18756263</v>
      </c>
      <c r="E7744" s="46" t="s">
        <v>155</v>
      </c>
      <c r="F7744" s="46" t="s">
        <v>50646</v>
      </c>
      <c r="G7744" s="46" t="s">
        <v>50584</v>
      </c>
      <c r="H7744" s="48" t="s">
        <v>56716</v>
      </c>
      <c r="I7744" s="48" t="s">
        <v>50564</v>
      </c>
      <c r="J7744" s="48"/>
      <c r="K7744" s="57"/>
      <c r="L7744" s="48" t="s">
        <v>56716</v>
      </c>
    </row>
    <row r="7745" spans="1:12" ht="11.25" x14ac:dyDescent="0.2">
      <c r="A7745" s="45" t="s">
        <v>48242</v>
      </c>
      <c r="B7745" s="45" t="s">
        <v>48242</v>
      </c>
      <c r="C7745" s="51" t="s">
        <v>48245</v>
      </c>
      <c r="D7745" s="51" t="s">
        <v>48244</v>
      </c>
      <c r="E7745" s="45" t="s">
        <v>91</v>
      </c>
      <c r="F7745" s="45" t="s">
        <v>18001</v>
      </c>
      <c r="G7745" s="45" t="s">
        <v>50584</v>
      </c>
      <c r="H7745" s="56"/>
      <c r="I7745" s="56" t="s">
        <v>50564</v>
      </c>
      <c r="J7745" s="56"/>
      <c r="K7745" s="57"/>
      <c r="L7745" s="56" t="s">
        <v>56716</v>
      </c>
    </row>
    <row r="7746" spans="1:12" ht="11.25" x14ac:dyDescent="0.2">
      <c r="A7746" s="46" t="s">
        <v>12011</v>
      </c>
      <c r="B7746" s="46" t="s">
        <v>12011</v>
      </c>
      <c r="C7746" s="58" t="str">
        <f>"17350344"</f>
        <v>17350344</v>
      </c>
      <c r="D7746" s="58" t="str">
        <f>""</f>
        <v/>
      </c>
      <c r="E7746" s="46" t="s">
        <v>12013</v>
      </c>
      <c r="F7746" s="46" t="s">
        <v>18232</v>
      </c>
      <c r="G7746" s="46" t="s">
        <v>50584</v>
      </c>
      <c r="H7746" s="48" t="s">
        <v>56716</v>
      </c>
      <c r="I7746" s="48" t="s">
        <v>50564</v>
      </c>
      <c r="J7746" s="48"/>
      <c r="K7746" s="57"/>
      <c r="L7746" s="48"/>
    </row>
    <row r="7747" spans="1:12" ht="11.25" x14ac:dyDescent="0.2">
      <c r="A7747" s="46" t="s">
        <v>14083</v>
      </c>
      <c r="B7747" s="46" t="s">
        <v>55541</v>
      </c>
      <c r="C7747" s="58" t="str">
        <f>"18216404"</f>
        <v>18216404</v>
      </c>
      <c r="D7747" s="58" t="str">
        <f>""</f>
        <v/>
      </c>
      <c r="E7747" s="46" t="s">
        <v>14085</v>
      </c>
      <c r="F7747" s="46" t="s">
        <v>27766</v>
      </c>
      <c r="G7747" s="46" t="s">
        <v>50584</v>
      </c>
      <c r="H7747" s="48" t="s">
        <v>56716</v>
      </c>
      <c r="I7747" s="48" t="s">
        <v>50564</v>
      </c>
      <c r="J7747" s="48"/>
      <c r="K7747" s="57"/>
      <c r="L7747" s="48" t="s">
        <v>56716</v>
      </c>
    </row>
    <row r="7748" spans="1:12" ht="11.25" x14ac:dyDescent="0.2">
      <c r="A7748" s="45" t="s">
        <v>48253</v>
      </c>
      <c r="B7748" s="45" t="s">
        <v>48255</v>
      </c>
      <c r="C7748" s="51" t="s">
        <v>48257</v>
      </c>
      <c r="D7748" s="51"/>
      <c r="E7748" s="45" t="s">
        <v>48258</v>
      </c>
      <c r="F7748" s="45" t="s">
        <v>17759</v>
      </c>
      <c r="G7748" s="45" t="s">
        <v>50584</v>
      </c>
      <c r="H7748" s="56"/>
      <c r="I7748" s="56" t="s">
        <v>50564</v>
      </c>
      <c r="J7748" s="56"/>
      <c r="K7748" s="57"/>
      <c r="L7748" s="56" t="s">
        <v>56716</v>
      </c>
    </row>
    <row r="7749" spans="1:12" ht="11.25" x14ac:dyDescent="0.2">
      <c r="A7749" s="46" t="s">
        <v>11483</v>
      </c>
      <c r="B7749" s="46" t="s">
        <v>55542</v>
      </c>
      <c r="C7749" s="58" t="str">
        <f>"17762596"</f>
        <v>17762596</v>
      </c>
      <c r="D7749" s="58" t="str">
        <f>"1776260X"</f>
        <v>1776260X</v>
      </c>
      <c r="E7749" s="46" t="s">
        <v>11245</v>
      </c>
      <c r="F7749" s="46" t="s">
        <v>20359</v>
      </c>
      <c r="G7749" s="46" t="s">
        <v>50584</v>
      </c>
      <c r="H7749" s="48" t="s">
        <v>56716</v>
      </c>
      <c r="I7749" s="48" t="s">
        <v>50564</v>
      </c>
      <c r="J7749" s="48" t="s">
        <v>56716</v>
      </c>
      <c r="K7749" s="50" t="s">
        <v>56716</v>
      </c>
      <c r="L7749" s="48" t="s">
        <v>56716</v>
      </c>
    </row>
    <row r="7750" spans="1:12" ht="11.25" x14ac:dyDescent="0.2">
      <c r="A7750" s="45" t="s">
        <v>48264</v>
      </c>
      <c r="B7750" s="45" t="s">
        <v>48266</v>
      </c>
      <c r="C7750" s="51" t="s">
        <v>48268</v>
      </c>
      <c r="D7750" s="51" t="s">
        <v>48267</v>
      </c>
      <c r="E7750" s="45" t="s">
        <v>689</v>
      </c>
      <c r="F7750" s="45" t="s">
        <v>17759</v>
      </c>
      <c r="G7750" s="45" t="s">
        <v>50584</v>
      </c>
      <c r="H7750" s="56"/>
      <c r="I7750" s="56" t="s">
        <v>50564</v>
      </c>
      <c r="J7750" s="56"/>
      <c r="K7750" s="57"/>
      <c r="L7750" s="56" t="s">
        <v>56716</v>
      </c>
    </row>
    <row r="7751" spans="1:12" ht="11.25" x14ac:dyDescent="0.2">
      <c r="A7751" s="46" t="s">
        <v>6970</v>
      </c>
      <c r="B7751" s="46" t="s">
        <v>55543</v>
      </c>
      <c r="C7751" s="58" t="str">
        <f>"11236337"</f>
        <v>11236337</v>
      </c>
      <c r="D7751" s="58" t="str">
        <f>"1128045X"</f>
        <v>1128045X</v>
      </c>
      <c r="E7751" s="46" t="s">
        <v>55895</v>
      </c>
      <c r="F7751" s="46" t="s">
        <v>17991</v>
      </c>
      <c r="G7751" s="46" t="s">
        <v>50584</v>
      </c>
      <c r="H7751" s="48" t="s">
        <v>56716</v>
      </c>
      <c r="I7751" s="48" t="s">
        <v>50564</v>
      </c>
      <c r="J7751" s="48"/>
      <c r="K7751" s="50" t="s">
        <v>56716</v>
      </c>
      <c r="L7751" s="48" t="s">
        <v>56716</v>
      </c>
    </row>
    <row r="7752" spans="1:12" ht="11.25" x14ac:dyDescent="0.2">
      <c r="A7752" s="46" t="s">
        <v>11255</v>
      </c>
      <c r="B7752" s="46" t="s">
        <v>55544</v>
      </c>
      <c r="C7752" s="58" t="str">
        <f>"15360644"</f>
        <v>15360644</v>
      </c>
      <c r="D7752" s="58" t="str">
        <f>"15381943"</f>
        <v>15381943</v>
      </c>
      <c r="E7752" s="46" t="s">
        <v>28</v>
      </c>
      <c r="F7752" s="46" t="s">
        <v>17759</v>
      </c>
      <c r="G7752" s="46" t="s">
        <v>50584</v>
      </c>
      <c r="H7752" s="48" t="s">
        <v>56716</v>
      </c>
      <c r="I7752" s="48" t="s">
        <v>50564</v>
      </c>
      <c r="J7752" s="48" t="s">
        <v>56716</v>
      </c>
      <c r="K7752" s="50" t="s">
        <v>56716</v>
      </c>
      <c r="L7752" s="48"/>
    </row>
    <row r="7753" spans="1:12" ht="11.25" x14ac:dyDescent="0.2">
      <c r="A7753" s="46" t="s">
        <v>9028</v>
      </c>
      <c r="B7753" s="46" t="s">
        <v>55545</v>
      </c>
      <c r="C7753" s="58" t="str">
        <f>"10962883"</f>
        <v>10962883</v>
      </c>
      <c r="D7753" s="58" t="str">
        <f>"15585050"</f>
        <v>15585050</v>
      </c>
      <c r="E7753" s="46" t="s">
        <v>303</v>
      </c>
      <c r="F7753" s="46" t="s">
        <v>17759</v>
      </c>
      <c r="G7753" s="46" t="s">
        <v>50584</v>
      </c>
      <c r="H7753" s="48" t="s">
        <v>56716</v>
      </c>
      <c r="I7753" s="48" t="s">
        <v>50564</v>
      </c>
      <c r="J7753" s="48"/>
      <c r="K7753" s="50" t="s">
        <v>56716</v>
      </c>
      <c r="L7753" s="48"/>
    </row>
    <row r="7754" spans="1:12" ht="11.25" x14ac:dyDescent="0.2">
      <c r="A7754" s="45" t="s">
        <v>48274</v>
      </c>
      <c r="B7754" s="45" t="s">
        <v>48276</v>
      </c>
      <c r="C7754" s="51" t="s">
        <v>48278</v>
      </c>
      <c r="D7754" s="51" t="s">
        <v>48277</v>
      </c>
      <c r="E7754" s="45" t="s">
        <v>17758</v>
      </c>
      <c r="F7754" s="45" t="s">
        <v>17759</v>
      </c>
      <c r="G7754" s="45" t="s">
        <v>50584</v>
      </c>
      <c r="H7754" s="56"/>
      <c r="I7754" s="56" t="s">
        <v>50564</v>
      </c>
      <c r="J7754" s="56"/>
      <c r="K7754" s="57"/>
      <c r="L7754" s="56" t="s">
        <v>56716</v>
      </c>
    </row>
    <row r="7755" spans="1:12" ht="11.25" x14ac:dyDescent="0.2">
      <c r="A7755" s="46" t="s">
        <v>11258</v>
      </c>
      <c r="B7755" s="46" t="s">
        <v>55546</v>
      </c>
      <c r="C7755" s="58" t="str">
        <f>"15360636"</f>
        <v>15360636</v>
      </c>
      <c r="D7755" s="58" t="str">
        <f>"15381935"</f>
        <v>15381935</v>
      </c>
      <c r="E7755" s="46" t="s">
        <v>28</v>
      </c>
      <c r="F7755" s="46" t="s">
        <v>17759</v>
      </c>
      <c r="G7755" s="46" t="s">
        <v>50584</v>
      </c>
      <c r="H7755" s="48" t="s">
        <v>56716</v>
      </c>
      <c r="I7755" s="48" t="s">
        <v>50564</v>
      </c>
      <c r="J7755" s="48" t="s">
        <v>56716</v>
      </c>
      <c r="K7755" s="57"/>
      <c r="L7755" s="48"/>
    </row>
    <row r="7756" spans="1:12" ht="11.25" x14ac:dyDescent="0.2">
      <c r="A7756" s="46" t="s">
        <v>11428</v>
      </c>
      <c r="B7756" s="46" t="s">
        <v>55547</v>
      </c>
      <c r="C7756" s="58" t="str">
        <f>"15421929"</f>
        <v>15421929</v>
      </c>
      <c r="D7756" s="58" t="str">
        <f>"15421937"</f>
        <v>15421937</v>
      </c>
      <c r="E7756" s="46" t="s">
        <v>28</v>
      </c>
      <c r="F7756" s="46" t="s">
        <v>17759</v>
      </c>
      <c r="G7756" s="46" t="s">
        <v>50584</v>
      </c>
      <c r="H7756" s="48" t="s">
        <v>56716</v>
      </c>
      <c r="I7756" s="48" t="s">
        <v>50564</v>
      </c>
      <c r="J7756" s="48" t="s">
        <v>56716</v>
      </c>
      <c r="K7756" s="57"/>
      <c r="L7756" s="48"/>
    </row>
    <row r="7757" spans="1:12" ht="11.25" x14ac:dyDescent="0.2">
      <c r="A7757" s="46" t="s">
        <v>4262</v>
      </c>
      <c r="B7757" s="46" t="s">
        <v>55548</v>
      </c>
      <c r="C7757" s="58" t="str">
        <f>"08859698"</f>
        <v>08859698</v>
      </c>
      <c r="D7757" s="58" t="str">
        <f>"23330600"</f>
        <v>23330600</v>
      </c>
      <c r="E7757" s="46" t="s">
        <v>28</v>
      </c>
      <c r="F7757" s="46" t="s">
        <v>17759</v>
      </c>
      <c r="G7757" s="46" t="s">
        <v>50584</v>
      </c>
      <c r="H7757" s="48" t="s">
        <v>56716</v>
      </c>
      <c r="I7757" s="48" t="s">
        <v>50564</v>
      </c>
      <c r="J7757" s="48"/>
      <c r="K7757" s="50" t="s">
        <v>56716</v>
      </c>
      <c r="L7757" s="48"/>
    </row>
    <row r="7758" spans="1:12" ht="11.25" x14ac:dyDescent="0.2">
      <c r="A7758" s="46" t="s">
        <v>7548</v>
      </c>
      <c r="B7758" s="46" t="s">
        <v>55549</v>
      </c>
      <c r="C7758" s="58" t="str">
        <f>"1084208X"</f>
        <v>1084208X</v>
      </c>
      <c r="D7758" s="58" t="str">
        <f>"15584534"</f>
        <v>15584534</v>
      </c>
      <c r="E7758" s="46" t="s">
        <v>303</v>
      </c>
      <c r="F7758" s="46" t="s">
        <v>17759</v>
      </c>
      <c r="G7758" s="46" t="s">
        <v>50584</v>
      </c>
      <c r="H7758" s="48" t="s">
        <v>56716</v>
      </c>
      <c r="I7758" s="48" t="s">
        <v>50564</v>
      </c>
      <c r="J7758" s="48"/>
      <c r="K7758" s="50" t="s">
        <v>56716</v>
      </c>
      <c r="L7758" s="48"/>
    </row>
    <row r="7759" spans="1:12" ht="11.25" x14ac:dyDescent="0.2">
      <c r="A7759" s="46" t="s">
        <v>9500</v>
      </c>
      <c r="B7759" s="46" t="s">
        <v>55550</v>
      </c>
      <c r="C7759" s="58" t="str">
        <f>"15239896"</f>
        <v>15239896</v>
      </c>
      <c r="D7759" s="58" t="str">
        <f>"1539591X"</f>
        <v>1539591X</v>
      </c>
      <c r="E7759" s="46" t="s">
        <v>28</v>
      </c>
      <c r="F7759" s="46" t="s">
        <v>17759</v>
      </c>
      <c r="G7759" s="46" t="s">
        <v>50584</v>
      </c>
      <c r="H7759" s="48" t="s">
        <v>56716</v>
      </c>
      <c r="I7759" s="48" t="s">
        <v>50564</v>
      </c>
      <c r="J7759" s="48" t="s">
        <v>56716</v>
      </c>
      <c r="K7759" s="57"/>
      <c r="L7759" s="48"/>
    </row>
    <row r="7760" spans="1:12" ht="11.25" x14ac:dyDescent="0.2">
      <c r="A7760" s="46" t="s">
        <v>8173</v>
      </c>
      <c r="B7760" s="46" t="s">
        <v>55551</v>
      </c>
      <c r="C7760" s="58" t="str">
        <f>"10892516"</f>
        <v>10892516</v>
      </c>
      <c r="D7760" s="58" t="str">
        <f>"15579808"</f>
        <v>15579808</v>
      </c>
      <c r="E7760" s="46" t="s">
        <v>303</v>
      </c>
      <c r="F7760" s="46" t="s">
        <v>17759</v>
      </c>
      <c r="G7760" s="46" t="s">
        <v>50584</v>
      </c>
      <c r="H7760" s="48" t="s">
        <v>56716</v>
      </c>
      <c r="I7760" s="48" t="s">
        <v>50564</v>
      </c>
      <c r="J7760" s="48"/>
      <c r="K7760" s="50" t="s">
        <v>56716</v>
      </c>
      <c r="L7760" s="48" t="s">
        <v>56716</v>
      </c>
    </row>
    <row r="7761" spans="1:12" ht="11.25" x14ac:dyDescent="0.2">
      <c r="A7761" s="45" t="s">
        <v>48284</v>
      </c>
      <c r="B7761" s="45" t="s">
        <v>48286</v>
      </c>
      <c r="C7761" s="51" t="s">
        <v>48288</v>
      </c>
      <c r="D7761" s="51" t="s">
        <v>48287</v>
      </c>
      <c r="E7761" s="45" t="s">
        <v>23783</v>
      </c>
      <c r="F7761" s="45" t="s">
        <v>17759</v>
      </c>
      <c r="G7761" s="45" t="s">
        <v>50584</v>
      </c>
      <c r="H7761" s="56"/>
      <c r="I7761" s="56" t="s">
        <v>50564</v>
      </c>
      <c r="J7761" s="56"/>
      <c r="K7761" s="57"/>
      <c r="L7761" s="56" t="s">
        <v>56716</v>
      </c>
    </row>
    <row r="7762" spans="1:12" ht="11.25" x14ac:dyDescent="0.2">
      <c r="A7762" s="46" t="s">
        <v>6558</v>
      </c>
      <c r="B7762" s="46" t="s">
        <v>55552</v>
      </c>
      <c r="C7762" s="58" t="str">
        <f>"10554181"</f>
        <v>10554181</v>
      </c>
      <c r="D7762" s="58" t="str">
        <f>"1878643X"</f>
        <v>1878643X</v>
      </c>
      <c r="E7762" s="46" t="s">
        <v>920</v>
      </c>
      <c r="F7762" s="46" t="s">
        <v>18001</v>
      </c>
      <c r="G7762" s="46" t="s">
        <v>50584</v>
      </c>
      <c r="H7762" s="48" t="s">
        <v>56716</v>
      </c>
      <c r="I7762" s="48" t="s">
        <v>50564</v>
      </c>
      <c r="J7762" s="48"/>
      <c r="K7762" s="57"/>
      <c r="L7762" s="48"/>
    </row>
    <row r="7763" spans="1:12" ht="11.25" x14ac:dyDescent="0.2">
      <c r="A7763" s="46" t="s">
        <v>56194</v>
      </c>
      <c r="B7763" s="46" t="s">
        <v>56195</v>
      </c>
      <c r="C7763" s="58" t="str">
        <f>"09287329"</f>
        <v>09287329</v>
      </c>
      <c r="D7763" s="58" t="str">
        <f>""</f>
        <v/>
      </c>
      <c r="E7763" s="46" t="s">
        <v>920</v>
      </c>
      <c r="F7763" s="46" t="s">
        <v>18001</v>
      </c>
      <c r="G7763" s="46" t="s">
        <v>50584</v>
      </c>
      <c r="H7763" s="48" t="s">
        <v>56716</v>
      </c>
      <c r="I7763" s="48" t="s">
        <v>50564</v>
      </c>
      <c r="J7763" s="48" t="s">
        <v>56716</v>
      </c>
      <c r="K7763" s="57"/>
      <c r="L7763" s="48" t="s">
        <v>56716</v>
      </c>
    </row>
    <row r="7764" spans="1:12" ht="11.25" x14ac:dyDescent="0.2">
      <c r="A7764" s="45" t="s">
        <v>48298</v>
      </c>
      <c r="B7764" s="45" t="s">
        <v>48300</v>
      </c>
      <c r="C7764" s="51"/>
      <c r="D7764" s="51"/>
      <c r="E7764" s="45" t="s">
        <v>48301</v>
      </c>
      <c r="F7764" s="45" t="s">
        <v>17759</v>
      </c>
      <c r="G7764" s="45" t="s">
        <v>50584</v>
      </c>
      <c r="H7764" s="56"/>
      <c r="I7764" s="56" t="s">
        <v>50564</v>
      </c>
      <c r="J7764" s="56"/>
      <c r="K7764" s="57"/>
      <c r="L7764" s="56" t="s">
        <v>56716</v>
      </c>
    </row>
    <row r="7765" spans="1:12" ht="11.25" x14ac:dyDescent="0.2">
      <c r="A7765" s="46" t="s">
        <v>9312</v>
      </c>
      <c r="B7765" s="46" t="s">
        <v>55553</v>
      </c>
      <c r="C7765" s="58" t="str">
        <f>"15330346"</f>
        <v>15330346</v>
      </c>
      <c r="D7765" s="58" t="str">
        <f>""</f>
        <v/>
      </c>
      <c r="E7765" s="46" t="s">
        <v>9314</v>
      </c>
      <c r="F7765" s="46" t="s">
        <v>17759</v>
      </c>
      <c r="G7765" s="46" t="s">
        <v>50584</v>
      </c>
      <c r="H7765" s="48" t="s">
        <v>56716</v>
      </c>
      <c r="I7765" s="48" t="s">
        <v>50564</v>
      </c>
      <c r="J7765" s="48"/>
      <c r="K7765" s="57"/>
      <c r="L7765" s="48" t="s">
        <v>56716</v>
      </c>
    </row>
    <row r="7766" spans="1:12" ht="11.25" x14ac:dyDescent="0.2">
      <c r="A7766" s="46" t="s">
        <v>12445</v>
      </c>
      <c r="B7766" s="46" t="s">
        <v>55554</v>
      </c>
      <c r="C7766" s="58" t="str">
        <f>"16831764"</f>
        <v>16831764</v>
      </c>
      <c r="D7766" s="58" t="str">
        <f>""</f>
        <v/>
      </c>
      <c r="E7766" s="46" t="s">
        <v>4553</v>
      </c>
      <c r="F7766" s="46" t="s">
        <v>18232</v>
      </c>
      <c r="G7766" s="46" t="s">
        <v>50584</v>
      </c>
      <c r="H7766" s="48" t="s">
        <v>56716</v>
      </c>
      <c r="I7766" s="48" t="s">
        <v>50564</v>
      </c>
      <c r="J7766" s="48"/>
      <c r="K7766" s="57"/>
      <c r="L7766" s="48"/>
    </row>
    <row r="7767" spans="1:12" ht="11.25" x14ac:dyDescent="0.2">
      <c r="A7767" s="46" t="s">
        <v>5172</v>
      </c>
      <c r="B7767" s="46" t="s">
        <v>55555</v>
      </c>
      <c r="C7767" s="58" t="str">
        <f>"03875547"</f>
        <v>03875547</v>
      </c>
      <c r="D7767" s="58" t="str">
        <f>""</f>
        <v/>
      </c>
      <c r="E7767" s="46" t="s">
        <v>5174</v>
      </c>
      <c r="F7767" s="46" t="s">
        <v>18242</v>
      </c>
      <c r="G7767" s="46" t="s">
        <v>50604</v>
      </c>
      <c r="H7767" s="48" t="s">
        <v>56716</v>
      </c>
      <c r="I7767" s="48" t="s">
        <v>50564</v>
      </c>
      <c r="J7767" s="48"/>
      <c r="K7767" s="57"/>
      <c r="L7767" s="48"/>
    </row>
    <row r="7768" spans="1:12" ht="11.25" x14ac:dyDescent="0.2">
      <c r="A7768" s="45" t="s">
        <v>48308</v>
      </c>
      <c r="B7768" s="45" t="s">
        <v>48310</v>
      </c>
      <c r="C7768" s="51" t="s">
        <v>48313</v>
      </c>
      <c r="D7768" s="51" t="s">
        <v>48312</v>
      </c>
      <c r="E7768" s="45" t="s">
        <v>19180</v>
      </c>
      <c r="F7768" s="45" t="s">
        <v>17759</v>
      </c>
      <c r="G7768" s="45" t="s">
        <v>50584</v>
      </c>
      <c r="H7768" s="56"/>
      <c r="I7768" s="56" t="s">
        <v>50564</v>
      </c>
      <c r="J7768" s="56"/>
      <c r="K7768" s="57"/>
      <c r="L7768" s="56" t="s">
        <v>56716</v>
      </c>
    </row>
    <row r="7769" spans="1:12" ht="11.25" x14ac:dyDescent="0.2">
      <c r="A7769" s="45" t="s">
        <v>48315</v>
      </c>
      <c r="B7769" s="45" t="s">
        <v>48317</v>
      </c>
      <c r="C7769" s="51" t="s">
        <v>48319</v>
      </c>
      <c r="D7769" s="51"/>
      <c r="E7769" s="45" t="s">
        <v>48320</v>
      </c>
      <c r="F7769" s="45" t="s">
        <v>17759</v>
      </c>
      <c r="G7769" s="45" t="s">
        <v>50584</v>
      </c>
      <c r="H7769" s="56"/>
      <c r="I7769" s="56" t="s">
        <v>50564</v>
      </c>
      <c r="J7769" s="56"/>
      <c r="K7769" s="57"/>
      <c r="L7769" s="56" t="s">
        <v>56716</v>
      </c>
    </row>
    <row r="7770" spans="1:12" ht="11.25" x14ac:dyDescent="0.2">
      <c r="A7770" s="45" t="s">
        <v>48322</v>
      </c>
      <c r="B7770" s="45" t="s">
        <v>48324</v>
      </c>
      <c r="C7770" s="51" t="s">
        <v>48326</v>
      </c>
      <c r="D7770" s="51"/>
      <c r="E7770" s="45" t="s">
        <v>48327</v>
      </c>
      <c r="F7770" s="45" t="s">
        <v>17759</v>
      </c>
      <c r="G7770" s="45" t="s">
        <v>50584</v>
      </c>
      <c r="H7770" s="56"/>
      <c r="I7770" s="56" t="s">
        <v>50564</v>
      </c>
      <c r="J7770" s="56"/>
      <c r="K7770" s="57"/>
      <c r="L7770" s="56" t="s">
        <v>56716</v>
      </c>
    </row>
    <row r="7771" spans="1:12" ht="11.25" x14ac:dyDescent="0.2">
      <c r="A7771" s="45" t="s">
        <v>48329</v>
      </c>
      <c r="B7771" s="45" t="s">
        <v>48331</v>
      </c>
      <c r="C7771" s="51" t="s">
        <v>48333</v>
      </c>
      <c r="D7771" s="51" t="s">
        <v>48332</v>
      </c>
      <c r="E7771" s="45" t="s">
        <v>21545</v>
      </c>
      <c r="F7771" s="45" t="s">
        <v>50653</v>
      </c>
      <c r="G7771" s="45" t="s">
        <v>56509</v>
      </c>
      <c r="H7771" s="56"/>
      <c r="I7771" s="56" t="s">
        <v>50564</v>
      </c>
      <c r="J7771" s="56"/>
      <c r="K7771" s="57"/>
      <c r="L7771" s="56" t="s">
        <v>56716</v>
      </c>
    </row>
    <row r="7772" spans="1:12" ht="11.25" x14ac:dyDescent="0.2">
      <c r="A7772" s="46" t="s">
        <v>12462</v>
      </c>
      <c r="B7772" s="46" t="s">
        <v>55556</v>
      </c>
      <c r="C7772" s="58" t="str">
        <f>"07166184"</f>
        <v>07166184</v>
      </c>
      <c r="D7772" s="58" t="str">
        <f>"07184808"</f>
        <v>07184808</v>
      </c>
      <c r="E7772" s="46" t="s">
        <v>12465</v>
      </c>
      <c r="F7772" s="46" t="s">
        <v>46383</v>
      </c>
      <c r="G7772" s="46" t="s">
        <v>50632</v>
      </c>
      <c r="H7772" s="48" t="s">
        <v>56716</v>
      </c>
      <c r="I7772" s="48" t="s">
        <v>50564</v>
      </c>
      <c r="J7772" s="48"/>
      <c r="K7772" s="57"/>
      <c r="L7772" s="48"/>
    </row>
    <row r="7773" spans="1:12" ht="11.25" x14ac:dyDescent="0.2">
      <c r="A7773" s="46" t="s">
        <v>3905</v>
      </c>
      <c r="B7773" s="46" t="s">
        <v>3905</v>
      </c>
      <c r="C7773" s="58" t="str">
        <f>"00404020"</f>
        <v>00404020</v>
      </c>
      <c r="D7773" s="58" t="str">
        <f>"14645416"</f>
        <v>14645416</v>
      </c>
      <c r="E7773" s="46" t="s">
        <v>155</v>
      </c>
      <c r="F7773" s="46" t="s">
        <v>50646</v>
      </c>
      <c r="G7773" s="46" t="s">
        <v>50594</v>
      </c>
      <c r="H7773" s="48" t="s">
        <v>56716</v>
      </c>
      <c r="I7773" s="48" t="s">
        <v>50564</v>
      </c>
      <c r="J7773" s="48" t="s">
        <v>56716</v>
      </c>
      <c r="K7773" s="50" t="s">
        <v>56716</v>
      </c>
      <c r="L7773" s="48"/>
    </row>
    <row r="7774" spans="1:12" ht="11.25" x14ac:dyDescent="0.2">
      <c r="A7774" s="46" t="s">
        <v>5115</v>
      </c>
      <c r="B7774" s="46" t="s">
        <v>5115</v>
      </c>
      <c r="C7774" s="58" t="str">
        <f>"09574166"</f>
        <v>09574166</v>
      </c>
      <c r="D7774" s="58" t="str">
        <f>"1362511X"</f>
        <v>1362511X</v>
      </c>
      <c r="E7774" s="46" t="s">
        <v>155</v>
      </c>
      <c r="F7774" s="46" t="s">
        <v>50646</v>
      </c>
      <c r="G7774" s="46" t="s">
        <v>50584</v>
      </c>
      <c r="H7774" s="48" t="s">
        <v>56716</v>
      </c>
      <c r="I7774" s="48" t="s">
        <v>50564</v>
      </c>
      <c r="J7774" s="48" t="s">
        <v>56716</v>
      </c>
      <c r="K7774" s="50" t="s">
        <v>56716</v>
      </c>
      <c r="L7774" s="48"/>
    </row>
    <row r="7775" spans="1:12" ht="11.25" x14ac:dyDescent="0.2">
      <c r="A7775" s="46" t="s">
        <v>3898</v>
      </c>
      <c r="B7775" s="46" t="s">
        <v>55557</v>
      </c>
      <c r="C7775" s="58" t="str">
        <f>"00404039"</f>
        <v>00404039</v>
      </c>
      <c r="D7775" s="58" t="str">
        <f>"18733581"</f>
        <v>18733581</v>
      </c>
      <c r="E7775" s="46" t="s">
        <v>155</v>
      </c>
      <c r="F7775" s="46" t="s">
        <v>50646</v>
      </c>
      <c r="G7775" s="46" t="s">
        <v>50594</v>
      </c>
      <c r="H7775" s="48" t="s">
        <v>56716</v>
      </c>
      <c r="I7775" s="48" t="s">
        <v>50564</v>
      </c>
      <c r="J7775" s="48"/>
      <c r="K7775" s="50" t="s">
        <v>56716</v>
      </c>
      <c r="L7775" s="48"/>
    </row>
    <row r="7776" spans="1:12" ht="11.25" x14ac:dyDescent="0.2">
      <c r="A7776" s="45" t="s">
        <v>48336</v>
      </c>
      <c r="B7776" s="45" t="s">
        <v>48338</v>
      </c>
      <c r="C7776" s="51" t="s">
        <v>48339</v>
      </c>
      <c r="D7776" s="51"/>
      <c r="E7776" s="45" t="s">
        <v>48340</v>
      </c>
      <c r="F7776" s="45" t="s">
        <v>17759</v>
      </c>
      <c r="G7776" s="45" t="s">
        <v>50584</v>
      </c>
      <c r="H7776" s="56"/>
      <c r="I7776" s="56" t="s">
        <v>50564</v>
      </c>
      <c r="J7776" s="56"/>
      <c r="K7776" s="57"/>
      <c r="L7776" s="56" t="s">
        <v>56716</v>
      </c>
    </row>
    <row r="7777" spans="1:12" ht="11.25" x14ac:dyDescent="0.2">
      <c r="A7777" s="46" t="s">
        <v>3920</v>
      </c>
      <c r="B7777" s="46" t="s">
        <v>55558</v>
      </c>
      <c r="C7777" s="58" t="str">
        <f>"07302347"</f>
        <v>07302347</v>
      </c>
      <c r="D7777" s="58" t="str">
        <f>"15266702"</f>
        <v>15266702</v>
      </c>
      <c r="E7777" s="46" t="s">
        <v>3923</v>
      </c>
      <c r="F7777" s="46" t="s">
        <v>17759</v>
      </c>
      <c r="G7777" s="46" t="s">
        <v>50584</v>
      </c>
      <c r="H7777" s="48" t="s">
        <v>56716</v>
      </c>
      <c r="I7777" s="48" t="s">
        <v>50564</v>
      </c>
      <c r="J7777" s="48"/>
      <c r="K7777" s="57"/>
      <c r="L7777" s="48" t="s">
        <v>56716</v>
      </c>
    </row>
    <row r="7778" spans="1:12" ht="11.25" x14ac:dyDescent="0.2">
      <c r="A7778" s="45" t="s">
        <v>48349</v>
      </c>
      <c r="B7778" s="45" t="s">
        <v>48351</v>
      </c>
      <c r="C7778" s="51" t="s">
        <v>48354</v>
      </c>
      <c r="D7778" s="51" t="s">
        <v>48353</v>
      </c>
      <c r="E7778" s="45" t="s">
        <v>48355</v>
      </c>
      <c r="F7778" s="45" t="s">
        <v>17759</v>
      </c>
      <c r="G7778" s="45" t="s">
        <v>50584</v>
      </c>
      <c r="H7778" s="56"/>
      <c r="I7778" s="56" t="s">
        <v>50564</v>
      </c>
      <c r="J7778" s="56"/>
      <c r="K7778" s="57"/>
      <c r="L7778" s="56" t="s">
        <v>56716</v>
      </c>
    </row>
    <row r="7779" spans="1:12" ht="11.25" x14ac:dyDescent="0.2">
      <c r="A7779" s="45" t="s">
        <v>48357</v>
      </c>
      <c r="B7779" s="45" t="s">
        <v>48359</v>
      </c>
      <c r="C7779" s="51" t="s">
        <v>48361</v>
      </c>
      <c r="D7779" s="51"/>
      <c r="E7779" s="45" t="s">
        <v>48362</v>
      </c>
      <c r="F7779" s="45" t="s">
        <v>17759</v>
      </c>
      <c r="G7779" s="45" t="s">
        <v>50584</v>
      </c>
      <c r="H7779" s="56"/>
      <c r="I7779" s="56" t="s">
        <v>50564</v>
      </c>
      <c r="J7779" s="56"/>
      <c r="K7779" s="57"/>
      <c r="L7779" s="56" t="s">
        <v>56716</v>
      </c>
    </row>
    <row r="7780" spans="1:12" ht="11.25" x14ac:dyDescent="0.2">
      <c r="A7780" s="46" t="s">
        <v>13697</v>
      </c>
      <c r="B7780" s="46" t="s">
        <v>55559</v>
      </c>
      <c r="C7780" s="58" t="str">
        <f>"01254685"</f>
        <v>01254685</v>
      </c>
      <c r="D7780" s="58" t="str">
        <f>"19054637"</f>
        <v>19054637</v>
      </c>
      <c r="E7780" s="46" t="s">
        <v>13700</v>
      </c>
      <c r="F7780" s="46" t="s">
        <v>21693</v>
      </c>
      <c r="G7780" s="46" t="s">
        <v>50584</v>
      </c>
      <c r="H7780" s="48" t="s">
        <v>56716</v>
      </c>
      <c r="I7780" s="48" t="s">
        <v>50564</v>
      </c>
      <c r="J7780" s="48"/>
      <c r="K7780" s="57"/>
      <c r="L7780" s="48"/>
    </row>
    <row r="7781" spans="1:12" ht="11.25" x14ac:dyDescent="0.2">
      <c r="A7781" s="46" t="s">
        <v>16905</v>
      </c>
      <c r="B7781" s="46" t="s">
        <v>55560</v>
      </c>
      <c r="C7781" s="58" t="str">
        <f>""</f>
        <v/>
      </c>
      <c r="D7781" s="58" t="str">
        <f>"20394365"</f>
        <v>20394365</v>
      </c>
      <c r="E7781" s="46" t="s">
        <v>1949</v>
      </c>
      <c r="F7781" s="46" t="s">
        <v>17991</v>
      </c>
      <c r="G7781" s="46" t="s">
        <v>50584</v>
      </c>
      <c r="H7781" s="48" t="s">
        <v>56716</v>
      </c>
      <c r="I7781" s="48" t="s">
        <v>50564</v>
      </c>
      <c r="J7781" s="48"/>
      <c r="K7781" s="57"/>
      <c r="L7781" s="48"/>
    </row>
    <row r="7782" spans="1:12" ht="11.25" x14ac:dyDescent="0.2">
      <c r="A7782" s="45" t="s">
        <v>17794</v>
      </c>
      <c r="B7782" s="45" t="s">
        <v>17796</v>
      </c>
      <c r="C7782" s="51" t="s">
        <v>17797</v>
      </c>
      <c r="D7782" s="51"/>
      <c r="E7782" s="45" t="s">
        <v>17798</v>
      </c>
      <c r="F7782" s="45" t="s">
        <v>17759</v>
      </c>
      <c r="G7782" s="45" t="s">
        <v>50584</v>
      </c>
      <c r="H7782" s="56"/>
      <c r="I7782" s="56" t="s">
        <v>50564</v>
      </c>
      <c r="J7782" s="56"/>
      <c r="K7782" s="57"/>
      <c r="L7782" s="56" t="s">
        <v>56716</v>
      </c>
    </row>
    <row r="7783" spans="1:12" ht="11.25" x14ac:dyDescent="0.2">
      <c r="A7783" s="45" t="s">
        <v>19254</v>
      </c>
      <c r="B7783" s="45" t="s">
        <v>19256</v>
      </c>
      <c r="C7783" s="51" t="s">
        <v>19258</v>
      </c>
      <c r="D7783" s="51"/>
      <c r="E7783" s="45" t="s">
        <v>19259</v>
      </c>
      <c r="F7783" s="45" t="s">
        <v>17759</v>
      </c>
      <c r="G7783" s="45" t="s">
        <v>50584</v>
      </c>
      <c r="H7783" s="56"/>
      <c r="I7783" s="56" t="s">
        <v>50564</v>
      </c>
      <c r="J7783" s="56"/>
      <c r="K7783" s="57"/>
      <c r="L7783" s="56" t="s">
        <v>56716</v>
      </c>
    </row>
    <row r="7784" spans="1:12" ht="11.25" x14ac:dyDescent="0.2">
      <c r="A7784" s="45" t="s">
        <v>19317</v>
      </c>
      <c r="B7784" s="45" t="s">
        <v>19319</v>
      </c>
      <c r="C7784" s="51" t="s">
        <v>19321</v>
      </c>
      <c r="D7784" s="51"/>
      <c r="E7784" s="45" t="s">
        <v>601</v>
      </c>
      <c r="F7784" s="45" t="s">
        <v>17759</v>
      </c>
      <c r="G7784" s="45" t="s">
        <v>50584</v>
      </c>
      <c r="H7784" s="56"/>
      <c r="I7784" s="56" t="s">
        <v>50564</v>
      </c>
      <c r="J7784" s="56"/>
      <c r="K7784" s="57"/>
      <c r="L7784" s="56" t="s">
        <v>56716</v>
      </c>
    </row>
    <row r="7785" spans="1:12" ht="11.25" x14ac:dyDescent="0.2">
      <c r="A7785" s="45" t="s">
        <v>19344</v>
      </c>
      <c r="B7785" s="45" t="s">
        <v>19346</v>
      </c>
      <c r="C7785" s="51" t="s">
        <v>19347</v>
      </c>
      <c r="D7785" s="51"/>
      <c r="E7785" s="45" t="s">
        <v>19348</v>
      </c>
      <c r="F7785" s="45" t="s">
        <v>17759</v>
      </c>
      <c r="G7785" s="45" t="s">
        <v>50584</v>
      </c>
      <c r="H7785" s="56"/>
      <c r="I7785" s="56" t="s">
        <v>50564</v>
      </c>
      <c r="J7785" s="56"/>
      <c r="K7785" s="57"/>
      <c r="L7785" s="56" t="s">
        <v>56716</v>
      </c>
    </row>
    <row r="7786" spans="1:12" ht="11.25" x14ac:dyDescent="0.2">
      <c r="A7786" s="45" t="s">
        <v>19409</v>
      </c>
      <c r="B7786" s="45" t="s">
        <v>19411</v>
      </c>
      <c r="C7786" s="51" t="s">
        <v>19412</v>
      </c>
      <c r="D7786" s="51"/>
      <c r="E7786" s="45" t="s">
        <v>19413</v>
      </c>
      <c r="F7786" s="45" t="s">
        <v>17759</v>
      </c>
      <c r="G7786" s="45" t="s">
        <v>50584</v>
      </c>
      <c r="H7786" s="56"/>
      <c r="I7786" s="56" t="s">
        <v>50564</v>
      </c>
      <c r="J7786" s="56"/>
      <c r="K7786" s="57"/>
      <c r="L7786" s="56" t="s">
        <v>56716</v>
      </c>
    </row>
    <row r="7787" spans="1:12" ht="11.25" x14ac:dyDescent="0.2">
      <c r="A7787" s="45" t="s">
        <v>19458</v>
      </c>
      <c r="B7787" s="45" t="s">
        <v>19460</v>
      </c>
      <c r="C7787" s="51" t="s">
        <v>19462</v>
      </c>
      <c r="D7787" s="51" t="s">
        <v>19461</v>
      </c>
      <c r="E7787" s="45" t="s">
        <v>18404</v>
      </c>
      <c r="F7787" s="45" t="s">
        <v>17759</v>
      </c>
      <c r="G7787" s="45" t="s">
        <v>50584</v>
      </c>
      <c r="H7787" s="56"/>
      <c r="I7787" s="56" t="s">
        <v>50564</v>
      </c>
      <c r="J7787" s="56"/>
      <c r="K7787" s="57"/>
      <c r="L7787" s="56" t="s">
        <v>56716</v>
      </c>
    </row>
    <row r="7788" spans="1:12" ht="11.25" x14ac:dyDescent="0.2">
      <c r="A7788" s="45" t="s">
        <v>19498</v>
      </c>
      <c r="B7788" s="45" t="s">
        <v>19500</v>
      </c>
      <c r="C7788" s="51" t="s">
        <v>19501</v>
      </c>
      <c r="D7788" s="51" t="s">
        <v>56681</v>
      </c>
      <c r="E7788" s="45" t="s">
        <v>19502</v>
      </c>
      <c r="F7788" s="45" t="s">
        <v>17759</v>
      </c>
      <c r="G7788" s="45" t="s">
        <v>50584</v>
      </c>
      <c r="H7788" s="56"/>
      <c r="I7788" s="56" t="s">
        <v>50564</v>
      </c>
      <c r="J7788" s="56"/>
      <c r="K7788" s="57"/>
      <c r="L7788" s="56" t="s">
        <v>56716</v>
      </c>
    </row>
    <row r="7789" spans="1:12" ht="11.25" x14ac:dyDescent="0.2">
      <c r="A7789" s="45" t="s">
        <v>19573</v>
      </c>
      <c r="B7789" s="45" t="s">
        <v>19575</v>
      </c>
      <c r="C7789" s="51" t="s">
        <v>19577</v>
      </c>
      <c r="D7789" s="51" t="s">
        <v>19576</v>
      </c>
      <c r="E7789" s="45" t="s">
        <v>17758</v>
      </c>
      <c r="F7789" s="45" t="s">
        <v>17759</v>
      </c>
      <c r="G7789" s="45" t="s">
        <v>50584</v>
      </c>
      <c r="H7789" s="56"/>
      <c r="I7789" s="56" t="s">
        <v>50564</v>
      </c>
      <c r="J7789" s="56"/>
      <c r="K7789" s="57"/>
      <c r="L7789" s="56" t="s">
        <v>56716</v>
      </c>
    </row>
    <row r="7790" spans="1:12" ht="11.25" x14ac:dyDescent="0.2">
      <c r="A7790" s="45" t="s">
        <v>19586</v>
      </c>
      <c r="B7790" s="45" t="s">
        <v>19588</v>
      </c>
      <c r="C7790" s="51" t="s">
        <v>10080</v>
      </c>
      <c r="D7790" s="51" t="s">
        <v>10081</v>
      </c>
      <c r="E7790" s="45" t="s">
        <v>6978</v>
      </c>
      <c r="F7790" s="45" t="s">
        <v>17759</v>
      </c>
      <c r="G7790" s="45" t="s">
        <v>50584</v>
      </c>
      <c r="H7790" s="56"/>
      <c r="I7790" s="56" t="s">
        <v>50564</v>
      </c>
      <c r="J7790" s="56"/>
      <c r="K7790" s="57"/>
      <c r="L7790" s="56" t="s">
        <v>56716</v>
      </c>
    </row>
    <row r="7791" spans="1:12" ht="11.25" x14ac:dyDescent="0.2">
      <c r="A7791" s="45" t="s">
        <v>19623</v>
      </c>
      <c r="B7791" s="45" t="s">
        <v>19625</v>
      </c>
      <c r="C7791" s="51" t="s">
        <v>19628</v>
      </c>
      <c r="D7791" s="51" t="s">
        <v>19627</v>
      </c>
      <c r="E7791" s="45" t="s">
        <v>19447</v>
      </c>
      <c r="F7791" s="45" t="s">
        <v>17759</v>
      </c>
      <c r="G7791" s="45" t="s">
        <v>50584</v>
      </c>
      <c r="H7791" s="56"/>
      <c r="I7791" s="56" t="s">
        <v>50564</v>
      </c>
      <c r="J7791" s="56"/>
      <c r="K7791" s="57"/>
      <c r="L7791" s="56" t="s">
        <v>56716</v>
      </c>
    </row>
    <row r="7792" spans="1:12" ht="11.25" x14ac:dyDescent="0.2">
      <c r="A7792" s="45" t="s">
        <v>19722</v>
      </c>
      <c r="B7792" s="45" t="s">
        <v>19724</v>
      </c>
      <c r="C7792" s="51" t="s">
        <v>19726</v>
      </c>
      <c r="D7792" s="51" t="s">
        <v>19725</v>
      </c>
      <c r="E7792" s="45" t="s">
        <v>17758</v>
      </c>
      <c r="F7792" s="45" t="s">
        <v>17759</v>
      </c>
      <c r="G7792" s="45" t="s">
        <v>50584</v>
      </c>
      <c r="H7792" s="56"/>
      <c r="I7792" s="56" t="s">
        <v>50564</v>
      </c>
      <c r="J7792" s="56"/>
      <c r="K7792" s="57"/>
      <c r="L7792" s="56" t="s">
        <v>56716</v>
      </c>
    </row>
    <row r="7793" spans="1:12" ht="11.25" x14ac:dyDescent="0.2">
      <c r="A7793" s="45" t="s">
        <v>19734</v>
      </c>
      <c r="B7793" s="45" t="s">
        <v>19736</v>
      </c>
      <c r="C7793" s="51" t="s">
        <v>19738</v>
      </c>
      <c r="D7793" s="51" t="s">
        <v>19737</v>
      </c>
      <c r="E7793" s="45" t="s">
        <v>19739</v>
      </c>
      <c r="F7793" s="45" t="s">
        <v>17759</v>
      </c>
      <c r="G7793" s="45" t="s">
        <v>50584</v>
      </c>
      <c r="H7793" s="56"/>
      <c r="I7793" s="56" t="s">
        <v>50564</v>
      </c>
      <c r="J7793" s="56"/>
      <c r="K7793" s="57"/>
      <c r="L7793" s="56" t="s">
        <v>56716</v>
      </c>
    </row>
    <row r="7794" spans="1:12" ht="11.25" x14ac:dyDescent="0.2">
      <c r="A7794" s="45" t="s">
        <v>19876</v>
      </c>
      <c r="B7794" s="45" t="s">
        <v>19878</v>
      </c>
      <c r="C7794" s="51" t="s">
        <v>19880</v>
      </c>
      <c r="D7794" s="51" t="s">
        <v>19879</v>
      </c>
      <c r="E7794" s="45" t="s">
        <v>19881</v>
      </c>
      <c r="F7794" s="45" t="s">
        <v>17759</v>
      </c>
      <c r="G7794" s="45" t="s">
        <v>50584</v>
      </c>
      <c r="H7794" s="56"/>
      <c r="I7794" s="56" t="s">
        <v>50564</v>
      </c>
      <c r="J7794" s="56"/>
      <c r="K7794" s="57"/>
      <c r="L7794" s="56" t="s">
        <v>56716</v>
      </c>
    </row>
    <row r="7795" spans="1:12" ht="11.25" x14ac:dyDescent="0.2">
      <c r="A7795" s="45" t="s">
        <v>19932</v>
      </c>
      <c r="B7795" s="45" t="s">
        <v>19934</v>
      </c>
      <c r="C7795" s="51" t="s">
        <v>19937</v>
      </c>
      <c r="D7795" s="51" t="s">
        <v>19936</v>
      </c>
      <c r="E7795" s="45" t="s">
        <v>19447</v>
      </c>
      <c r="F7795" s="45" t="s">
        <v>17759</v>
      </c>
      <c r="G7795" s="45" t="s">
        <v>50584</v>
      </c>
      <c r="H7795" s="56"/>
      <c r="I7795" s="56" t="s">
        <v>50564</v>
      </c>
      <c r="J7795" s="56"/>
      <c r="K7795" s="57"/>
      <c r="L7795" s="56" t="s">
        <v>56716</v>
      </c>
    </row>
    <row r="7796" spans="1:12" ht="11.25" x14ac:dyDescent="0.2">
      <c r="A7796" s="45" t="s">
        <v>19947</v>
      </c>
      <c r="B7796" s="45" t="s">
        <v>19949</v>
      </c>
      <c r="C7796" s="51" t="s">
        <v>19951</v>
      </c>
      <c r="D7796" s="51" t="s">
        <v>19950</v>
      </c>
      <c r="E7796" s="45" t="s">
        <v>19952</v>
      </c>
      <c r="F7796" s="45" t="s">
        <v>17759</v>
      </c>
      <c r="G7796" s="45" t="s">
        <v>50584</v>
      </c>
      <c r="H7796" s="56"/>
      <c r="I7796" s="56" t="s">
        <v>50564</v>
      </c>
      <c r="J7796" s="56"/>
      <c r="K7796" s="57"/>
      <c r="L7796" s="56" t="s">
        <v>56716</v>
      </c>
    </row>
    <row r="7797" spans="1:12" ht="11.25" x14ac:dyDescent="0.2">
      <c r="A7797" s="45" t="s">
        <v>19998</v>
      </c>
      <c r="B7797" s="45" t="s">
        <v>20000</v>
      </c>
      <c r="C7797" s="51" t="s">
        <v>20002</v>
      </c>
      <c r="D7797" s="51" t="s">
        <v>20001</v>
      </c>
      <c r="E7797" s="45" t="s">
        <v>7339</v>
      </c>
      <c r="F7797" s="45" t="s">
        <v>17759</v>
      </c>
      <c r="G7797" s="45" t="s">
        <v>50584</v>
      </c>
      <c r="H7797" s="56"/>
      <c r="I7797" s="56" t="s">
        <v>50564</v>
      </c>
      <c r="J7797" s="56"/>
      <c r="K7797" s="57"/>
      <c r="L7797" s="56" t="s">
        <v>56716</v>
      </c>
    </row>
    <row r="7798" spans="1:12" ht="11.25" x14ac:dyDescent="0.2">
      <c r="A7798" s="45" t="s">
        <v>20007</v>
      </c>
      <c r="B7798" s="45" t="s">
        <v>20009</v>
      </c>
      <c r="C7798" s="51" t="s">
        <v>20011</v>
      </c>
      <c r="D7798" s="51"/>
      <c r="E7798" s="45" t="s">
        <v>20012</v>
      </c>
      <c r="F7798" s="45" t="s">
        <v>17759</v>
      </c>
      <c r="G7798" s="45" t="s">
        <v>50584</v>
      </c>
      <c r="H7798" s="56"/>
      <c r="I7798" s="56" t="s">
        <v>50564</v>
      </c>
      <c r="J7798" s="56"/>
      <c r="K7798" s="57"/>
      <c r="L7798" s="56" t="s">
        <v>56716</v>
      </c>
    </row>
    <row r="7799" spans="1:12" ht="11.25" x14ac:dyDescent="0.2">
      <c r="A7799" s="45" t="s">
        <v>20014</v>
      </c>
      <c r="B7799" s="45" t="s">
        <v>20016</v>
      </c>
      <c r="C7799" s="51" t="s">
        <v>20018</v>
      </c>
      <c r="D7799" s="51" t="s">
        <v>20017</v>
      </c>
      <c r="E7799" s="45" t="s">
        <v>20019</v>
      </c>
      <c r="F7799" s="45" t="s">
        <v>17759</v>
      </c>
      <c r="G7799" s="45" t="s">
        <v>50584</v>
      </c>
      <c r="H7799" s="56"/>
      <c r="I7799" s="56" t="s">
        <v>50564</v>
      </c>
      <c r="J7799" s="56"/>
      <c r="K7799" s="57"/>
      <c r="L7799" s="56" t="s">
        <v>56716</v>
      </c>
    </row>
    <row r="7800" spans="1:12" ht="11.25" x14ac:dyDescent="0.2">
      <c r="A7800" s="45" t="s">
        <v>20023</v>
      </c>
      <c r="B7800" s="45" t="s">
        <v>20025</v>
      </c>
      <c r="C7800" s="51" t="s">
        <v>20027</v>
      </c>
      <c r="D7800" s="51" t="s">
        <v>20026</v>
      </c>
      <c r="E7800" s="45" t="s">
        <v>19767</v>
      </c>
      <c r="F7800" s="45" t="s">
        <v>17759</v>
      </c>
      <c r="G7800" s="45" t="s">
        <v>50584</v>
      </c>
      <c r="H7800" s="56"/>
      <c r="I7800" s="56" t="s">
        <v>50564</v>
      </c>
      <c r="J7800" s="56"/>
      <c r="K7800" s="57"/>
      <c r="L7800" s="56" t="s">
        <v>56716</v>
      </c>
    </row>
    <row r="7801" spans="1:12" ht="11.25" x14ac:dyDescent="0.2">
      <c r="A7801" s="45" t="s">
        <v>20041</v>
      </c>
      <c r="B7801" s="45" t="s">
        <v>20043</v>
      </c>
      <c r="C7801" s="51" t="s">
        <v>20045</v>
      </c>
      <c r="D7801" s="51"/>
      <c r="E7801" s="45" t="s">
        <v>20046</v>
      </c>
      <c r="F7801" s="45" t="s">
        <v>17759</v>
      </c>
      <c r="G7801" s="45" t="s">
        <v>50584</v>
      </c>
      <c r="H7801" s="56"/>
      <c r="I7801" s="56" t="s">
        <v>50564</v>
      </c>
      <c r="J7801" s="56"/>
      <c r="K7801" s="57"/>
      <c r="L7801" s="56" t="s">
        <v>56716</v>
      </c>
    </row>
    <row r="7802" spans="1:12" ht="11.25" x14ac:dyDescent="0.2">
      <c r="A7802" s="45" t="s">
        <v>20128</v>
      </c>
      <c r="B7802" s="45" t="s">
        <v>20130</v>
      </c>
      <c r="C7802" s="51" t="s">
        <v>20132</v>
      </c>
      <c r="D7802" s="51" t="s">
        <v>20131</v>
      </c>
      <c r="E7802" s="45" t="s">
        <v>6914</v>
      </c>
      <c r="F7802" s="45" t="s">
        <v>50646</v>
      </c>
      <c r="G7802" s="45" t="s">
        <v>50584</v>
      </c>
      <c r="H7802" s="56"/>
      <c r="I7802" s="56" t="s">
        <v>50564</v>
      </c>
      <c r="J7802" s="56"/>
      <c r="K7802" s="57"/>
      <c r="L7802" s="56" t="s">
        <v>56716</v>
      </c>
    </row>
    <row r="7803" spans="1:12" ht="11.25" x14ac:dyDescent="0.2">
      <c r="A7803" s="45" t="s">
        <v>20282</v>
      </c>
      <c r="B7803" s="45" t="s">
        <v>20284</v>
      </c>
      <c r="C7803" s="51" t="s">
        <v>20286</v>
      </c>
      <c r="D7803" s="51" t="s">
        <v>20285</v>
      </c>
      <c r="E7803" s="45" t="s">
        <v>20287</v>
      </c>
      <c r="F7803" s="45" t="s">
        <v>17759</v>
      </c>
      <c r="G7803" s="45" t="s">
        <v>50584</v>
      </c>
      <c r="H7803" s="56"/>
      <c r="I7803" s="56" t="s">
        <v>50564</v>
      </c>
      <c r="J7803" s="56"/>
      <c r="K7803" s="57"/>
      <c r="L7803" s="56" t="s">
        <v>56716</v>
      </c>
    </row>
    <row r="7804" spans="1:12" ht="11.25" x14ac:dyDescent="0.2">
      <c r="A7804" s="45" t="s">
        <v>20627</v>
      </c>
      <c r="B7804" s="45" t="s">
        <v>20629</v>
      </c>
      <c r="C7804" s="51" t="s">
        <v>20631</v>
      </c>
      <c r="D7804" s="51" t="s">
        <v>20630</v>
      </c>
      <c r="E7804" s="45" t="s">
        <v>55</v>
      </c>
      <c r="F7804" s="45" t="s">
        <v>50646</v>
      </c>
      <c r="G7804" s="45" t="s">
        <v>50590</v>
      </c>
      <c r="H7804" s="56"/>
      <c r="I7804" s="56" t="s">
        <v>50564</v>
      </c>
      <c r="J7804" s="56"/>
      <c r="K7804" s="57"/>
      <c r="L7804" s="56" t="s">
        <v>56716</v>
      </c>
    </row>
    <row r="7805" spans="1:12" ht="11.25" x14ac:dyDescent="0.2">
      <c r="A7805" s="45" t="s">
        <v>20719</v>
      </c>
      <c r="B7805" s="45" t="s">
        <v>20721</v>
      </c>
      <c r="C7805" s="51" t="s">
        <v>20723</v>
      </c>
      <c r="D7805" s="51"/>
      <c r="E7805" s="45" t="s">
        <v>20724</v>
      </c>
      <c r="F7805" s="45" t="s">
        <v>17759</v>
      </c>
      <c r="G7805" s="45" t="s">
        <v>50584</v>
      </c>
      <c r="H7805" s="56"/>
      <c r="I7805" s="56" t="s">
        <v>50564</v>
      </c>
      <c r="J7805" s="56"/>
      <c r="K7805" s="57"/>
      <c r="L7805" s="56" t="s">
        <v>56716</v>
      </c>
    </row>
    <row r="7806" spans="1:12" ht="11.25" x14ac:dyDescent="0.2">
      <c r="A7806" s="45" t="s">
        <v>21904</v>
      </c>
      <c r="B7806" s="45" t="s">
        <v>21906</v>
      </c>
      <c r="C7806" s="51" t="s">
        <v>21908</v>
      </c>
      <c r="D7806" s="51" t="s">
        <v>21907</v>
      </c>
      <c r="E7806" s="45" t="s">
        <v>21909</v>
      </c>
      <c r="F7806" s="45" t="s">
        <v>20082</v>
      </c>
      <c r="G7806" s="45" t="s">
        <v>50584</v>
      </c>
      <c r="H7806" s="56"/>
      <c r="I7806" s="56" t="s">
        <v>50564</v>
      </c>
      <c r="J7806" s="56"/>
      <c r="K7806" s="57"/>
      <c r="L7806" s="56" t="s">
        <v>56716</v>
      </c>
    </row>
    <row r="7807" spans="1:12" ht="11.25" x14ac:dyDescent="0.2">
      <c r="A7807" s="45" t="s">
        <v>21917</v>
      </c>
      <c r="B7807" s="45" t="s">
        <v>21919</v>
      </c>
      <c r="C7807" s="51" t="s">
        <v>21921</v>
      </c>
      <c r="D7807" s="51" t="s">
        <v>21920</v>
      </c>
      <c r="E7807" s="45" t="s">
        <v>14618</v>
      </c>
      <c r="F7807" s="45" t="s">
        <v>20082</v>
      </c>
      <c r="G7807" s="45" t="s">
        <v>50584</v>
      </c>
      <c r="H7807" s="56"/>
      <c r="I7807" s="56" t="s">
        <v>50564</v>
      </c>
      <c r="J7807" s="56"/>
      <c r="K7807" s="57"/>
      <c r="L7807" s="56" t="s">
        <v>56716</v>
      </c>
    </row>
    <row r="7808" spans="1:12" ht="11.25" x14ac:dyDescent="0.2">
      <c r="A7808" s="45" t="s">
        <v>22442</v>
      </c>
      <c r="B7808" s="45" t="s">
        <v>22444</v>
      </c>
      <c r="C7808" s="51" t="s">
        <v>22447</v>
      </c>
      <c r="D7808" s="51" t="s">
        <v>22446</v>
      </c>
      <c r="E7808" s="45" t="s">
        <v>22448</v>
      </c>
      <c r="F7808" s="45" t="s">
        <v>17759</v>
      </c>
      <c r="G7808" s="45" t="s">
        <v>50584</v>
      </c>
      <c r="H7808" s="56"/>
      <c r="I7808" s="56" t="s">
        <v>50564</v>
      </c>
      <c r="J7808" s="56"/>
      <c r="K7808" s="57"/>
      <c r="L7808" s="56" t="s">
        <v>56716</v>
      </c>
    </row>
    <row r="7809" spans="1:12" ht="11.25" x14ac:dyDescent="0.2">
      <c r="A7809" s="45" t="s">
        <v>23509</v>
      </c>
      <c r="B7809" s="45" t="s">
        <v>23511</v>
      </c>
      <c r="C7809" s="51" t="s">
        <v>23513</v>
      </c>
      <c r="D7809" s="51"/>
      <c r="E7809" s="45" t="s">
        <v>970</v>
      </c>
      <c r="F7809" s="45" t="s">
        <v>50646</v>
      </c>
      <c r="G7809" s="45" t="s">
        <v>50584</v>
      </c>
      <c r="H7809" s="56"/>
      <c r="I7809" s="56" t="s">
        <v>50564</v>
      </c>
      <c r="J7809" s="56"/>
      <c r="K7809" s="57"/>
      <c r="L7809" s="56" t="s">
        <v>56716</v>
      </c>
    </row>
    <row r="7810" spans="1:12" ht="11.25" x14ac:dyDescent="0.2">
      <c r="A7810" s="45" t="s">
        <v>23529</v>
      </c>
      <c r="B7810" s="45" t="s">
        <v>23531</v>
      </c>
      <c r="C7810" s="51" t="s">
        <v>23533</v>
      </c>
      <c r="D7810" s="51" t="s">
        <v>23532</v>
      </c>
      <c r="E7810" s="45" t="s">
        <v>970</v>
      </c>
      <c r="F7810" s="45" t="s">
        <v>50646</v>
      </c>
      <c r="G7810" s="45" t="s">
        <v>50584</v>
      </c>
      <c r="H7810" s="56"/>
      <c r="I7810" s="56" t="s">
        <v>50564</v>
      </c>
      <c r="J7810" s="56"/>
      <c r="K7810" s="57"/>
      <c r="L7810" s="56" t="s">
        <v>56716</v>
      </c>
    </row>
    <row r="7811" spans="1:12" ht="11.25" x14ac:dyDescent="0.2">
      <c r="A7811" s="45" t="s">
        <v>23536</v>
      </c>
      <c r="B7811" s="45" t="s">
        <v>23538</v>
      </c>
      <c r="C7811" s="51" t="s">
        <v>23541</v>
      </c>
      <c r="D7811" s="51" t="s">
        <v>23540</v>
      </c>
      <c r="E7811" s="45" t="s">
        <v>970</v>
      </c>
      <c r="F7811" s="45" t="s">
        <v>50646</v>
      </c>
      <c r="G7811" s="45" t="s">
        <v>50584</v>
      </c>
      <c r="H7811" s="56"/>
      <c r="I7811" s="56" t="s">
        <v>50564</v>
      </c>
      <c r="J7811" s="56"/>
      <c r="K7811" s="57"/>
      <c r="L7811" s="56" t="s">
        <v>56716</v>
      </c>
    </row>
    <row r="7812" spans="1:12" ht="11.25" x14ac:dyDescent="0.2">
      <c r="A7812" s="45" t="s">
        <v>23571</v>
      </c>
      <c r="B7812" s="45" t="s">
        <v>23573</v>
      </c>
      <c r="C7812" s="51" t="s">
        <v>23576</v>
      </c>
      <c r="D7812" s="51" t="s">
        <v>23575</v>
      </c>
      <c r="E7812" s="45" t="s">
        <v>970</v>
      </c>
      <c r="F7812" s="45" t="s">
        <v>50646</v>
      </c>
      <c r="G7812" s="45" t="s">
        <v>50584</v>
      </c>
      <c r="H7812" s="56"/>
      <c r="I7812" s="56" t="s">
        <v>50564</v>
      </c>
      <c r="J7812" s="56"/>
      <c r="K7812" s="57"/>
      <c r="L7812" s="56" t="s">
        <v>56716</v>
      </c>
    </row>
    <row r="7813" spans="1:12" ht="11.25" x14ac:dyDescent="0.2">
      <c r="A7813" s="45" t="s">
        <v>23638</v>
      </c>
      <c r="B7813" s="45" t="s">
        <v>23640</v>
      </c>
      <c r="C7813" s="51" t="s">
        <v>23643</v>
      </c>
      <c r="D7813" s="51" t="s">
        <v>23642</v>
      </c>
      <c r="E7813" s="45" t="s">
        <v>970</v>
      </c>
      <c r="F7813" s="45" t="s">
        <v>50646</v>
      </c>
      <c r="G7813" s="45" t="s">
        <v>50584</v>
      </c>
      <c r="H7813" s="56"/>
      <c r="I7813" s="56" t="s">
        <v>50564</v>
      </c>
      <c r="J7813" s="56"/>
      <c r="K7813" s="57"/>
      <c r="L7813" s="56" t="s">
        <v>56716</v>
      </c>
    </row>
    <row r="7814" spans="1:12" ht="11.25" x14ac:dyDescent="0.2">
      <c r="A7814" s="45" t="s">
        <v>23645</v>
      </c>
      <c r="B7814" s="45" t="s">
        <v>23647</v>
      </c>
      <c r="C7814" s="51" t="s">
        <v>23649</v>
      </c>
      <c r="D7814" s="51" t="s">
        <v>23648</v>
      </c>
      <c r="E7814" s="45" t="s">
        <v>23650</v>
      </c>
      <c r="F7814" s="45" t="s">
        <v>50646</v>
      </c>
      <c r="G7814" s="45" t="s">
        <v>50584</v>
      </c>
      <c r="H7814" s="56"/>
      <c r="I7814" s="56" t="s">
        <v>50564</v>
      </c>
      <c r="J7814" s="56"/>
      <c r="K7814" s="57"/>
      <c r="L7814" s="56" t="s">
        <v>56716</v>
      </c>
    </row>
    <row r="7815" spans="1:12" ht="11.25" x14ac:dyDescent="0.2">
      <c r="A7815" s="45" t="s">
        <v>23660</v>
      </c>
      <c r="B7815" s="45" t="s">
        <v>23662</v>
      </c>
      <c r="C7815" s="51" t="s">
        <v>23665</v>
      </c>
      <c r="D7815" s="51" t="s">
        <v>23664</v>
      </c>
      <c r="E7815" s="45" t="s">
        <v>17805</v>
      </c>
      <c r="F7815" s="45" t="s">
        <v>50646</v>
      </c>
      <c r="G7815" s="45" t="s">
        <v>50584</v>
      </c>
      <c r="H7815" s="56"/>
      <c r="I7815" s="56" t="s">
        <v>50564</v>
      </c>
      <c r="J7815" s="56"/>
      <c r="K7815" s="57"/>
      <c r="L7815" s="56" t="s">
        <v>56716</v>
      </c>
    </row>
    <row r="7816" spans="1:12" ht="11.25" x14ac:dyDescent="0.2">
      <c r="A7816" s="45" t="s">
        <v>23802</v>
      </c>
      <c r="B7816" s="45" t="s">
        <v>23804</v>
      </c>
      <c r="C7816" s="51" t="s">
        <v>23806</v>
      </c>
      <c r="D7816" s="51"/>
      <c r="E7816" s="45" t="s">
        <v>23807</v>
      </c>
      <c r="F7816" s="45" t="s">
        <v>18242</v>
      </c>
      <c r="G7816" s="45" t="s">
        <v>50584</v>
      </c>
      <c r="H7816" s="56"/>
      <c r="I7816" s="56" t="s">
        <v>50564</v>
      </c>
      <c r="J7816" s="56"/>
      <c r="K7816" s="57"/>
      <c r="L7816" s="56" t="s">
        <v>56716</v>
      </c>
    </row>
    <row r="7817" spans="1:12" ht="11.25" x14ac:dyDescent="0.2">
      <c r="A7817" s="45" t="s">
        <v>23960</v>
      </c>
      <c r="B7817" s="45" t="s">
        <v>23962</v>
      </c>
      <c r="C7817" s="51" t="s">
        <v>23964</v>
      </c>
      <c r="D7817" s="51"/>
      <c r="E7817" s="45" t="s">
        <v>23965</v>
      </c>
      <c r="F7817" s="45" t="s">
        <v>18959</v>
      </c>
      <c r="G7817" s="45" t="s">
        <v>50590</v>
      </c>
      <c r="H7817" s="56"/>
      <c r="I7817" s="56" t="s">
        <v>50564</v>
      </c>
      <c r="J7817" s="56"/>
      <c r="K7817" s="57"/>
      <c r="L7817" s="56" t="s">
        <v>56716</v>
      </c>
    </row>
    <row r="7818" spans="1:12" ht="11.25" x14ac:dyDescent="0.2">
      <c r="A7818" s="45" t="s">
        <v>24016</v>
      </c>
      <c r="B7818" s="45" t="s">
        <v>24018</v>
      </c>
      <c r="C7818" s="51" t="s">
        <v>24019</v>
      </c>
      <c r="D7818" s="51"/>
      <c r="E7818" s="45" t="s">
        <v>24020</v>
      </c>
      <c r="F7818" s="45" t="s">
        <v>18959</v>
      </c>
      <c r="G7818" s="45" t="s">
        <v>50584</v>
      </c>
      <c r="H7818" s="56"/>
      <c r="I7818" s="56" t="s">
        <v>50564</v>
      </c>
      <c r="J7818" s="56"/>
      <c r="K7818" s="57"/>
      <c r="L7818" s="56" t="s">
        <v>56716</v>
      </c>
    </row>
    <row r="7819" spans="1:12" ht="11.25" x14ac:dyDescent="0.2">
      <c r="A7819" s="45" t="s">
        <v>24034</v>
      </c>
      <c r="B7819" s="45" t="s">
        <v>24036</v>
      </c>
      <c r="C7819" s="51" t="s">
        <v>24038</v>
      </c>
      <c r="D7819" s="51"/>
      <c r="E7819" s="45" t="s">
        <v>24039</v>
      </c>
      <c r="F7819" s="45" t="s">
        <v>18959</v>
      </c>
      <c r="G7819" s="45" t="s">
        <v>50584</v>
      </c>
      <c r="H7819" s="56"/>
      <c r="I7819" s="56" t="s">
        <v>50564</v>
      </c>
      <c r="J7819" s="56"/>
      <c r="K7819" s="57"/>
      <c r="L7819" s="56" t="s">
        <v>56716</v>
      </c>
    </row>
    <row r="7820" spans="1:12" ht="11.25" x14ac:dyDescent="0.2">
      <c r="A7820" s="45" t="s">
        <v>24061</v>
      </c>
      <c r="B7820" s="45" t="s">
        <v>24063</v>
      </c>
      <c r="C7820" s="51" t="s">
        <v>24064</v>
      </c>
      <c r="D7820" s="51"/>
      <c r="E7820" s="45" t="s">
        <v>24025</v>
      </c>
      <c r="F7820" s="45" t="s">
        <v>18959</v>
      </c>
      <c r="G7820" s="45" t="s">
        <v>50584</v>
      </c>
      <c r="H7820" s="56"/>
      <c r="I7820" s="56" t="s">
        <v>50564</v>
      </c>
      <c r="J7820" s="56"/>
      <c r="K7820" s="57"/>
      <c r="L7820" s="56" t="s">
        <v>56716</v>
      </c>
    </row>
    <row r="7821" spans="1:12" ht="11.25" x14ac:dyDescent="0.2">
      <c r="A7821" s="45" t="s">
        <v>24564</v>
      </c>
      <c r="B7821" s="45" t="s">
        <v>24566</v>
      </c>
      <c r="C7821" s="51" t="s">
        <v>24567</v>
      </c>
      <c r="D7821" s="51"/>
      <c r="E7821" s="45" t="s">
        <v>24568</v>
      </c>
      <c r="F7821" s="45" t="s">
        <v>24569</v>
      </c>
      <c r="G7821" s="45" t="s">
        <v>50584</v>
      </c>
      <c r="H7821" s="56"/>
      <c r="I7821" s="56" t="s">
        <v>50564</v>
      </c>
      <c r="J7821" s="56"/>
      <c r="K7821" s="57"/>
      <c r="L7821" s="56" t="s">
        <v>56716</v>
      </c>
    </row>
    <row r="7822" spans="1:12" ht="11.25" x14ac:dyDescent="0.2">
      <c r="A7822" s="45" t="s">
        <v>24636</v>
      </c>
      <c r="B7822" s="45" t="s">
        <v>24638</v>
      </c>
      <c r="C7822" s="51" t="s">
        <v>24640</v>
      </c>
      <c r="D7822" s="51"/>
      <c r="E7822" s="45" t="s">
        <v>24641</v>
      </c>
      <c r="F7822" s="45" t="s">
        <v>24642</v>
      </c>
      <c r="G7822" s="45" t="s">
        <v>50584</v>
      </c>
      <c r="H7822" s="56"/>
      <c r="I7822" s="56" t="s">
        <v>50564</v>
      </c>
      <c r="J7822" s="56"/>
      <c r="K7822" s="57"/>
      <c r="L7822" s="56" t="s">
        <v>56716</v>
      </c>
    </row>
    <row r="7823" spans="1:12" ht="11.25" x14ac:dyDescent="0.2">
      <c r="A7823" s="45" t="s">
        <v>24866</v>
      </c>
      <c r="B7823" s="45" t="s">
        <v>24868</v>
      </c>
      <c r="C7823" s="51" t="s">
        <v>24869</v>
      </c>
      <c r="D7823" s="51"/>
      <c r="E7823" s="45" t="s">
        <v>24870</v>
      </c>
      <c r="F7823" s="45" t="s">
        <v>50646</v>
      </c>
      <c r="G7823" s="45" t="s">
        <v>50584</v>
      </c>
      <c r="H7823" s="56"/>
      <c r="I7823" s="56" t="s">
        <v>50564</v>
      </c>
      <c r="J7823" s="56"/>
      <c r="K7823" s="57"/>
      <c r="L7823" s="56" t="s">
        <v>56716</v>
      </c>
    </row>
    <row r="7824" spans="1:12" ht="11.25" x14ac:dyDescent="0.2">
      <c r="A7824" s="45" t="s">
        <v>25439</v>
      </c>
      <c r="B7824" s="45" t="s">
        <v>25441</v>
      </c>
      <c r="C7824" s="51" t="s">
        <v>25443</v>
      </c>
      <c r="D7824" s="51" t="s">
        <v>25442</v>
      </c>
      <c r="E7824" s="45" t="s">
        <v>25444</v>
      </c>
      <c r="F7824" s="45" t="s">
        <v>50646</v>
      </c>
      <c r="G7824" s="45" t="s">
        <v>50584</v>
      </c>
      <c r="H7824" s="56"/>
      <c r="I7824" s="56" t="s">
        <v>50564</v>
      </c>
      <c r="J7824" s="56"/>
      <c r="K7824" s="57"/>
      <c r="L7824" s="56" t="s">
        <v>56716</v>
      </c>
    </row>
    <row r="7825" spans="1:12" ht="11.25" x14ac:dyDescent="0.2">
      <c r="A7825" s="45" t="s">
        <v>25599</v>
      </c>
      <c r="B7825" s="45" t="s">
        <v>25601</v>
      </c>
      <c r="C7825" s="51" t="s">
        <v>25603</v>
      </c>
      <c r="D7825" s="51" t="s">
        <v>25602</v>
      </c>
      <c r="E7825" s="45" t="s">
        <v>20225</v>
      </c>
      <c r="F7825" s="45" t="s">
        <v>50646</v>
      </c>
      <c r="G7825" s="45" t="s">
        <v>50584</v>
      </c>
      <c r="H7825" s="56"/>
      <c r="I7825" s="56" t="s">
        <v>50564</v>
      </c>
      <c r="J7825" s="56"/>
      <c r="K7825" s="57"/>
      <c r="L7825" s="56" t="s">
        <v>56716</v>
      </c>
    </row>
    <row r="7826" spans="1:12" ht="11.25" x14ac:dyDescent="0.2">
      <c r="A7826" s="45" t="s">
        <v>25727</v>
      </c>
      <c r="B7826" s="45" t="s">
        <v>25729</v>
      </c>
      <c r="C7826" s="51"/>
      <c r="D7826" s="51" t="s">
        <v>25730</v>
      </c>
      <c r="E7826" s="45" t="s">
        <v>17805</v>
      </c>
      <c r="F7826" s="45" t="s">
        <v>50646</v>
      </c>
      <c r="G7826" s="45" t="s">
        <v>50584</v>
      </c>
      <c r="H7826" s="56"/>
      <c r="I7826" s="56" t="s">
        <v>50564</v>
      </c>
      <c r="J7826" s="56"/>
      <c r="K7826" s="57"/>
      <c r="L7826" s="56" t="s">
        <v>56716</v>
      </c>
    </row>
    <row r="7827" spans="1:12" ht="11.25" x14ac:dyDescent="0.2">
      <c r="A7827" s="45" t="s">
        <v>27285</v>
      </c>
      <c r="B7827" s="45" t="s">
        <v>27287</v>
      </c>
      <c r="C7827" s="51" t="s">
        <v>27289</v>
      </c>
      <c r="D7827" s="51" t="s">
        <v>27288</v>
      </c>
      <c r="E7827" s="45" t="s">
        <v>27290</v>
      </c>
      <c r="F7827" s="45" t="s">
        <v>17759</v>
      </c>
      <c r="G7827" s="45" t="s">
        <v>50584</v>
      </c>
      <c r="H7827" s="56"/>
      <c r="I7827" s="56" t="s">
        <v>50564</v>
      </c>
      <c r="J7827" s="56"/>
      <c r="K7827" s="57"/>
      <c r="L7827" s="56" t="s">
        <v>56716</v>
      </c>
    </row>
    <row r="7828" spans="1:12" ht="11.25" x14ac:dyDescent="0.2">
      <c r="A7828" s="45" t="s">
        <v>27884</v>
      </c>
      <c r="B7828" s="45" t="s">
        <v>27886</v>
      </c>
      <c r="C7828" s="51" t="s">
        <v>27887</v>
      </c>
      <c r="D7828" s="51"/>
      <c r="E7828" s="45" t="s">
        <v>27888</v>
      </c>
      <c r="F7828" s="45" t="s">
        <v>21182</v>
      </c>
      <c r="G7828" s="45" t="s">
        <v>50584</v>
      </c>
      <c r="H7828" s="56"/>
      <c r="I7828" s="56" t="s">
        <v>50564</v>
      </c>
      <c r="J7828" s="56"/>
      <c r="K7828" s="57"/>
      <c r="L7828" s="56" t="s">
        <v>56716</v>
      </c>
    </row>
    <row r="7829" spans="1:12" ht="11.25" x14ac:dyDescent="0.2">
      <c r="A7829" s="45" t="s">
        <v>56682</v>
      </c>
      <c r="B7829" s="45" t="s">
        <v>50442</v>
      </c>
      <c r="C7829" s="51" t="s">
        <v>50445</v>
      </c>
      <c r="D7829" s="51" t="s">
        <v>50444</v>
      </c>
      <c r="E7829" s="45" t="s">
        <v>601</v>
      </c>
      <c r="F7829" s="45" t="s">
        <v>17759</v>
      </c>
      <c r="G7829" s="45" t="s">
        <v>50584</v>
      </c>
      <c r="H7829" s="56"/>
      <c r="I7829" s="56" t="s">
        <v>50564</v>
      </c>
      <c r="J7829" s="56"/>
      <c r="K7829" s="57"/>
      <c r="L7829" s="56" t="s">
        <v>56716</v>
      </c>
    </row>
    <row r="7830" spans="1:12" ht="11.25" x14ac:dyDescent="0.2">
      <c r="A7830" s="45" t="s">
        <v>28766</v>
      </c>
      <c r="B7830" s="45" t="s">
        <v>28768</v>
      </c>
      <c r="C7830" s="51" t="s">
        <v>28770</v>
      </c>
      <c r="D7830" s="51"/>
      <c r="E7830" s="45" t="s">
        <v>28771</v>
      </c>
      <c r="F7830" s="45" t="s">
        <v>20446</v>
      </c>
      <c r="G7830" s="45" t="s">
        <v>50584</v>
      </c>
      <c r="H7830" s="56"/>
      <c r="I7830" s="56" t="s">
        <v>50564</v>
      </c>
      <c r="J7830" s="56"/>
      <c r="K7830" s="57"/>
      <c r="L7830" s="56" t="s">
        <v>56716</v>
      </c>
    </row>
    <row r="7831" spans="1:12" ht="11.25" x14ac:dyDescent="0.2">
      <c r="A7831" s="45" t="s">
        <v>28817</v>
      </c>
      <c r="B7831" s="45" t="s">
        <v>28819</v>
      </c>
      <c r="C7831" s="51" t="s">
        <v>28822</v>
      </c>
      <c r="D7831" s="51" t="s">
        <v>28821</v>
      </c>
      <c r="E7831" s="45" t="s">
        <v>3916</v>
      </c>
      <c r="F7831" s="45" t="s">
        <v>20359</v>
      </c>
      <c r="G7831" s="45" t="s">
        <v>50584</v>
      </c>
      <c r="H7831" s="56"/>
      <c r="I7831" s="56" t="s">
        <v>50564</v>
      </c>
      <c r="J7831" s="56"/>
      <c r="K7831" s="57"/>
      <c r="L7831" s="56" t="s">
        <v>56716</v>
      </c>
    </row>
    <row r="7832" spans="1:12" ht="11.25" x14ac:dyDescent="0.2">
      <c r="A7832" s="45" t="s">
        <v>29420</v>
      </c>
      <c r="B7832" s="45" t="s">
        <v>29422</v>
      </c>
      <c r="C7832" s="51" t="s">
        <v>29424</v>
      </c>
      <c r="D7832" s="51"/>
      <c r="E7832" s="45" t="s">
        <v>29425</v>
      </c>
      <c r="F7832" s="45" t="s">
        <v>17759</v>
      </c>
      <c r="G7832" s="45" t="s">
        <v>50584</v>
      </c>
      <c r="H7832" s="56"/>
      <c r="I7832" s="56" t="s">
        <v>50564</v>
      </c>
      <c r="J7832" s="56"/>
      <c r="K7832" s="57"/>
      <c r="L7832" s="56" t="s">
        <v>56716</v>
      </c>
    </row>
    <row r="7833" spans="1:12" ht="11.25" x14ac:dyDescent="0.2">
      <c r="A7833" s="45" t="s">
        <v>29808</v>
      </c>
      <c r="B7833" s="45" t="s">
        <v>29810</v>
      </c>
      <c r="C7833" s="51" t="s">
        <v>29812</v>
      </c>
      <c r="D7833" s="51" t="s">
        <v>29811</v>
      </c>
      <c r="E7833" s="45" t="s">
        <v>29813</v>
      </c>
      <c r="F7833" s="45" t="s">
        <v>17759</v>
      </c>
      <c r="G7833" s="45" t="s">
        <v>50584</v>
      </c>
      <c r="H7833" s="56"/>
      <c r="I7833" s="56" t="s">
        <v>50564</v>
      </c>
      <c r="J7833" s="56"/>
      <c r="K7833" s="57"/>
      <c r="L7833" s="56" t="s">
        <v>56716</v>
      </c>
    </row>
    <row r="7834" spans="1:12" ht="11.25" x14ac:dyDescent="0.2">
      <c r="A7834" s="45" t="s">
        <v>30127</v>
      </c>
      <c r="B7834" s="45" t="s">
        <v>30129</v>
      </c>
      <c r="C7834" s="51" t="s">
        <v>30132</v>
      </c>
      <c r="D7834" s="51" t="s">
        <v>30131</v>
      </c>
      <c r="E7834" s="45" t="s">
        <v>55</v>
      </c>
      <c r="F7834" s="45" t="s">
        <v>17759</v>
      </c>
      <c r="G7834" s="45" t="s">
        <v>50584</v>
      </c>
      <c r="H7834" s="56"/>
      <c r="I7834" s="56" t="s">
        <v>50564</v>
      </c>
      <c r="J7834" s="56"/>
      <c r="K7834" s="57"/>
      <c r="L7834" s="56" t="s">
        <v>56716</v>
      </c>
    </row>
    <row r="7835" spans="1:12" ht="11.25" x14ac:dyDescent="0.2">
      <c r="A7835" s="45" t="s">
        <v>30315</v>
      </c>
      <c r="B7835" s="45" t="s">
        <v>30317</v>
      </c>
      <c r="C7835" s="51" t="s">
        <v>30318</v>
      </c>
      <c r="D7835" s="51"/>
      <c r="E7835" s="45" t="s">
        <v>30319</v>
      </c>
      <c r="F7835" s="45" t="s">
        <v>30320</v>
      </c>
      <c r="G7835" s="45" t="s">
        <v>50584</v>
      </c>
      <c r="H7835" s="56"/>
      <c r="I7835" s="56" t="s">
        <v>50564</v>
      </c>
      <c r="J7835" s="56"/>
      <c r="K7835" s="57"/>
      <c r="L7835" s="56" t="s">
        <v>56716</v>
      </c>
    </row>
    <row r="7836" spans="1:12" ht="11.25" x14ac:dyDescent="0.2">
      <c r="A7836" s="45" t="s">
        <v>30467</v>
      </c>
      <c r="B7836" s="45" t="s">
        <v>30469</v>
      </c>
      <c r="C7836" s="51" t="s">
        <v>30471</v>
      </c>
      <c r="D7836" s="51"/>
      <c r="E7836" s="45" t="s">
        <v>970</v>
      </c>
      <c r="F7836" s="45" t="s">
        <v>17759</v>
      </c>
      <c r="G7836" s="45" t="s">
        <v>50584</v>
      </c>
      <c r="H7836" s="56"/>
      <c r="I7836" s="56" t="s">
        <v>50564</v>
      </c>
      <c r="J7836" s="56"/>
      <c r="K7836" s="57"/>
      <c r="L7836" s="56" t="s">
        <v>56716</v>
      </c>
    </row>
    <row r="7837" spans="1:12" ht="11.25" x14ac:dyDescent="0.2">
      <c r="A7837" s="45" t="s">
        <v>30602</v>
      </c>
      <c r="B7837" s="45" t="s">
        <v>30604</v>
      </c>
      <c r="C7837" s="51" t="s">
        <v>30607</v>
      </c>
      <c r="D7837" s="51" t="s">
        <v>30606</v>
      </c>
      <c r="E7837" s="45" t="s">
        <v>17758</v>
      </c>
      <c r="F7837" s="45" t="s">
        <v>17759</v>
      </c>
      <c r="G7837" s="45" t="s">
        <v>50584</v>
      </c>
      <c r="H7837" s="56"/>
      <c r="I7837" s="56" t="s">
        <v>50564</v>
      </c>
      <c r="J7837" s="56"/>
      <c r="K7837" s="57"/>
      <c r="L7837" s="56" t="s">
        <v>56716</v>
      </c>
    </row>
    <row r="7838" spans="1:12" ht="11.25" x14ac:dyDescent="0.2">
      <c r="A7838" s="45" t="s">
        <v>30793</v>
      </c>
      <c r="B7838" s="45" t="s">
        <v>30795</v>
      </c>
      <c r="C7838" s="51" t="s">
        <v>30797</v>
      </c>
      <c r="D7838" s="51"/>
      <c r="E7838" s="45" t="s">
        <v>30798</v>
      </c>
      <c r="F7838" s="45" t="s">
        <v>50646</v>
      </c>
      <c r="G7838" s="45" t="s">
        <v>50584</v>
      </c>
      <c r="H7838" s="56"/>
      <c r="I7838" s="56" t="s">
        <v>50564</v>
      </c>
      <c r="J7838" s="56"/>
      <c r="K7838" s="57"/>
      <c r="L7838" s="56" t="s">
        <v>56716</v>
      </c>
    </row>
    <row r="7839" spans="1:12" ht="11.25" x14ac:dyDescent="0.2">
      <c r="A7839" s="45" t="s">
        <v>31047</v>
      </c>
      <c r="B7839" s="45" t="s">
        <v>31049</v>
      </c>
      <c r="C7839" s="51" t="s">
        <v>31052</v>
      </c>
      <c r="D7839" s="51" t="s">
        <v>31051</v>
      </c>
      <c r="E7839" s="45" t="s">
        <v>31053</v>
      </c>
      <c r="F7839" s="45" t="s">
        <v>20082</v>
      </c>
      <c r="G7839" s="45" t="s">
        <v>50584</v>
      </c>
      <c r="H7839" s="56"/>
      <c r="I7839" s="56" t="s">
        <v>50564</v>
      </c>
      <c r="J7839" s="56"/>
      <c r="K7839" s="57"/>
      <c r="L7839" s="56" t="s">
        <v>56716</v>
      </c>
    </row>
    <row r="7840" spans="1:12" ht="11.25" x14ac:dyDescent="0.2">
      <c r="A7840" s="45" t="s">
        <v>31784</v>
      </c>
      <c r="B7840" s="45" t="s">
        <v>31786</v>
      </c>
      <c r="C7840" s="51" t="s">
        <v>31788</v>
      </c>
      <c r="D7840" s="51"/>
      <c r="E7840" s="45" t="s">
        <v>31789</v>
      </c>
      <c r="F7840" s="45" t="s">
        <v>20446</v>
      </c>
      <c r="G7840" s="45" t="s">
        <v>50584</v>
      </c>
      <c r="H7840" s="56"/>
      <c r="I7840" s="56" t="s">
        <v>50564</v>
      </c>
      <c r="J7840" s="56"/>
      <c r="K7840" s="57"/>
      <c r="L7840" s="56" t="s">
        <v>56716</v>
      </c>
    </row>
    <row r="7841" spans="1:12" ht="11.25" x14ac:dyDescent="0.2">
      <c r="A7841" s="45" t="s">
        <v>56683</v>
      </c>
      <c r="B7841" s="45" t="s">
        <v>56684</v>
      </c>
      <c r="C7841" s="51" t="s">
        <v>56685</v>
      </c>
      <c r="D7841" s="51"/>
      <c r="E7841" s="45" t="s">
        <v>56686</v>
      </c>
      <c r="F7841" s="45" t="s">
        <v>18158</v>
      </c>
      <c r="G7841" s="45" t="s">
        <v>50584</v>
      </c>
      <c r="H7841" s="56"/>
      <c r="I7841" s="56" t="s">
        <v>50564</v>
      </c>
      <c r="J7841" s="56"/>
      <c r="K7841" s="57"/>
      <c r="L7841" s="56" t="s">
        <v>56716</v>
      </c>
    </row>
    <row r="7842" spans="1:12" ht="11.25" x14ac:dyDescent="0.2">
      <c r="A7842" s="45" t="s">
        <v>32574</v>
      </c>
      <c r="B7842" s="45" t="s">
        <v>32576</v>
      </c>
      <c r="C7842" s="51" t="s">
        <v>32578</v>
      </c>
      <c r="D7842" s="51" t="s">
        <v>32577</v>
      </c>
      <c r="E7842" s="45" t="s">
        <v>17805</v>
      </c>
      <c r="F7842" s="45" t="s">
        <v>50646</v>
      </c>
      <c r="G7842" s="45" t="s">
        <v>50584</v>
      </c>
      <c r="H7842" s="56"/>
      <c r="I7842" s="56" t="s">
        <v>50564</v>
      </c>
      <c r="J7842" s="56"/>
      <c r="K7842" s="57"/>
      <c r="L7842" s="56" t="s">
        <v>56716</v>
      </c>
    </row>
    <row r="7843" spans="1:12" ht="11.25" x14ac:dyDescent="0.2">
      <c r="A7843" s="45" t="s">
        <v>32804</v>
      </c>
      <c r="B7843" s="45" t="s">
        <v>32806</v>
      </c>
      <c r="C7843" s="51" t="s">
        <v>32808</v>
      </c>
      <c r="D7843" s="51" t="s">
        <v>32807</v>
      </c>
      <c r="E7843" s="45" t="s">
        <v>24870</v>
      </c>
      <c r="F7843" s="45" t="s">
        <v>17759</v>
      </c>
      <c r="G7843" s="45" t="s">
        <v>50584</v>
      </c>
      <c r="H7843" s="56"/>
      <c r="I7843" s="56" t="s">
        <v>50564</v>
      </c>
      <c r="J7843" s="56"/>
      <c r="K7843" s="57"/>
      <c r="L7843" s="56" t="s">
        <v>56716</v>
      </c>
    </row>
    <row r="7844" spans="1:12" ht="11.25" x14ac:dyDescent="0.2">
      <c r="A7844" s="45" t="s">
        <v>32820</v>
      </c>
      <c r="B7844" s="45" t="s">
        <v>32822</v>
      </c>
      <c r="C7844" s="51" t="s">
        <v>32824</v>
      </c>
      <c r="D7844" s="51"/>
      <c r="E7844" s="45" t="s">
        <v>32825</v>
      </c>
      <c r="F7844" s="45" t="s">
        <v>17759</v>
      </c>
      <c r="G7844" s="45" t="s">
        <v>50584</v>
      </c>
      <c r="H7844" s="56"/>
      <c r="I7844" s="56" t="s">
        <v>50564</v>
      </c>
      <c r="J7844" s="56"/>
      <c r="K7844" s="57"/>
      <c r="L7844" s="56" t="s">
        <v>56716</v>
      </c>
    </row>
    <row r="7845" spans="1:12" ht="11.25" x14ac:dyDescent="0.2">
      <c r="A7845" s="45" t="s">
        <v>32852</v>
      </c>
      <c r="B7845" s="45" t="s">
        <v>32854</v>
      </c>
      <c r="C7845" s="51" t="s">
        <v>32856</v>
      </c>
      <c r="D7845" s="51" t="s">
        <v>32855</v>
      </c>
      <c r="E7845" s="45" t="s">
        <v>24870</v>
      </c>
      <c r="F7845" s="45" t="s">
        <v>17759</v>
      </c>
      <c r="G7845" s="45" t="s">
        <v>50584</v>
      </c>
      <c r="H7845" s="56"/>
      <c r="I7845" s="56" t="s">
        <v>50564</v>
      </c>
      <c r="J7845" s="56"/>
      <c r="K7845" s="57"/>
      <c r="L7845" s="56" t="s">
        <v>56716</v>
      </c>
    </row>
    <row r="7846" spans="1:12" ht="11.25" x14ac:dyDescent="0.2">
      <c r="A7846" s="45" t="s">
        <v>32891</v>
      </c>
      <c r="B7846" s="45" t="s">
        <v>32893</v>
      </c>
      <c r="C7846" s="51" t="s">
        <v>32895</v>
      </c>
      <c r="D7846" s="51" t="s">
        <v>32894</v>
      </c>
      <c r="E7846" s="45" t="s">
        <v>24870</v>
      </c>
      <c r="F7846" s="45" t="s">
        <v>17759</v>
      </c>
      <c r="G7846" s="45" t="s">
        <v>50584</v>
      </c>
      <c r="H7846" s="56"/>
      <c r="I7846" s="56" t="s">
        <v>50564</v>
      </c>
      <c r="J7846" s="56"/>
      <c r="K7846" s="57"/>
      <c r="L7846" s="56" t="s">
        <v>56716</v>
      </c>
    </row>
    <row r="7847" spans="1:12" ht="11.25" x14ac:dyDescent="0.2">
      <c r="A7847" s="45" t="s">
        <v>32907</v>
      </c>
      <c r="B7847" s="45" t="s">
        <v>32909</v>
      </c>
      <c r="C7847" s="51" t="s">
        <v>32912</v>
      </c>
      <c r="D7847" s="51" t="s">
        <v>32911</v>
      </c>
      <c r="E7847" s="45" t="s">
        <v>970</v>
      </c>
      <c r="F7847" s="45" t="s">
        <v>50646</v>
      </c>
      <c r="G7847" s="45" t="s">
        <v>50584</v>
      </c>
      <c r="H7847" s="56"/>
      <c r="I7847" s="56" t="s">
        <v>50564</v>
      </c>
      <c r="J7847" s="56"/>
      <c r="K7847" s="57"/>
      <c r="L7847" s="56" t="s">
        <v>56716</v>
      </c>
    </row>
    <row r="7848" spans="1:12" ht="11.25" x14ac:dyDescent="0.2">
      <c r="A7848" s="45" t="s">
        <v>32966</v>
      </c>
      <c r="B7848" s="45" t="s">
        <v>32968</v>
      </c>
      <c r="C7848" s="51" t="s">
        <v>32970</v>
      </c>
      <c r="D7848" s="51" t="s">
        <v>32969</v>
      </c>
      <c r="E7848" s="45" t="s">
        <v>19447</v>
      </c>
      <c r="F7848" s="45" t="s">
        <v>50646</v>
      </c>
      <c r="G7848" s="45" t="s">
        <v>50584</v>
      </c>
      <c r="H7848" s="56"/>
      <c r="I7848" s="56" t="s">
        <v>50564</v>
      </c>
      <c r="J7848" s="56"/>
      <c r="K7848" s="57"/>
      <c r="L7848" s="56" t="s">
        <v>56716</v>
      </c>
    </row>
    <row r="7849" spans="1:12" ht="11.25" x14ac:dyDescent="0.2">
      <c r="A7849" s="45" t="s">
        <v>33222</v>
      </c>
      <c r="B7849" s="45" t="s">
        <v>33224</v>
      </c>
      <c r="C7849" s="51" t="s">
        <v>33226</v>
      </c>
      <c r="D7849" s="51" t="s">
        <v>33225</v>
      </c>
      <c r="E7849" s="45" t="s">
        <v>33227</v>
      </c>
      <c r="F7849" s="45" t="s">
        <v>17759</v>
      </c>
      <c r="G7849" s="45" t="s">
        <v>50584</v>
      </c>
      <c r="H7849" s="56"/>
      <c r="I7849" s="56" t="s">
        <v>50564</v>
      </c>
      <c r="J7849" s="56"/>
      <c r="K7849" s="57"/>
      <c r="L7849" s="56" t="s">
        <v>56716</v>
      </c>
    </row>
    <row r="7850" spans="1:12" ht="11.25" x14ac:dyDescent="0.2">
      <c r="A7850" s="45" t="s">
        <v>33279</v>
      </c>
      <c r="B7850" s="45" t="s">
        <v>33281</v>
      </c>
      <c r="C7850" s="51" t="s">
        <v>33283</v>
      </c>
      <c r="D7850" s="51" t="s">
        <v>33282</v>
      </c>
      <c r="E7850" s="45" t="s">
        <v>19584</v>
      </c>
      <c r="F7850" s="45" t="s">
        <v>50646</v>
      </c>
      <c r="G7850" s="45" t="s">
        <v>50584</v>
      </c>
      <c r="H7850" s="56"/>
      <c r="I7850" s="56" t="s">
        <v>50564</v>
      </c>
      <c r="J7850" s="56"/>
      <c r="K7850" s="57"/>
      <c r="L7850" s="56" t="s">
        <v>56716</v>
      </c>
    </row>
    <row r="7851" spans="1:12" ht="11.25" x14ac:dyDescent="0.2">
      <c r="A7851" s="45" t="s">
        <v>33292</v>
      </c>
      <c r="B7851" s="45" t="s">
        <v>33294</v>
      </c>
      <c r="C7851" s="51" t="s">
        <v>33296</v>
      </c>
      <c r="D7851" s="51"/>
      <c r="E7851" s="45" t="s">
        <v>33297</v>
      </c>
      <c r="F7851" s="45" t="s">
        <v>19134</v>
      </c>
      <c r="G7851" s="45" t="s">
        <v>50584</v>
      </c>
      <c r="H7851" s="56"/>
      <c r="I7851" s="56" t="s">
        <v>50564</v>
      </c>
      <c r="J7851" s="56"/>
      <c r="K7851" s="57"/>
      <c r="L7851" s="56" t="s">
        <v>56716</v>
      </c>
    </row>
    <row r="7852" spans="1:12" ht="11.25" x14ac:dyDescent="0.2">
      <c r="A7852" s="45" t="s">
        <v>33530</v>
      </c>
      <c r="B7852" s="45" t="s">
        <v>33532</v>
      </c>
      <c r="C7852" s="51" t="s">
        <v>33534</v>
      </c>
      <c r="D7852" s="51"/>
      <c r="E7852" s="45" t="s">
        <v>33535</v>
      </c>
      <c r="F7852" s="45" t="s">
        <v>18242</v>
      </c>
      <c r="G7852" s="45" t="s">
        <v>50584</v>
      </c>
      <c r="H7852" s="56"/>
      <c r="I7852" s="56" t="s">
        <v>50564</v>
      </c>
      <c r="J7852" s="56"/>
      <c r="K7852" s="57"/>
      <c r="L7852" s="56" t="s">
        <v>56716</v>
      </c>
    </row>
    <row r="7853" spans="1:12" ht="11.25" x14ac:dyDescent="0.2">
      <c r="A7853" s="45" t="s">
        <v>33562</v>
      </c>
      <c r="B7853" s="45" t="s">
        <v>33564</v>
      </c>
      <c r="C7853" s="51" t="s">
        <v>33565</v>
      </c>
      <c r="D7853" s="51"/>
      <c r="E7853" s="45" t="s">
        <v>33566</v>
      </c>
      <c r="F7853" s="45" t="s">
        <v>17759</v>
      </c>
      <c r="G7853" s="45" t="s">
        <v>50584</v>
      </c>
      <c r="H7853" s="56"/>
      <c r="I7853" s="56" t="s">
        <v>50564</v>
      </c>
      <c r="J7853" s="56"/>
      <c r="K7853" s="57"/>
      <c r="L7853" s="56" t="s">
        <v>56716</v>
      </c>
    </row>
    <row r="7854" spans="1:12" ht="11.25" x14ac:dyDescent="0.2">
      <c r="A7854" s="45" t="s">
        <v>33773</v>
      </c>
      <c r="B7854" s="45" t="s">
        <v>33775</v>
      </c>
      <c r="C7854" s="51" t="s">
        <v>33776</v>
      </c>
      <c r="D7854" s="51"/>
      <c r="E7854" s="45" t="s">
        <v>24870</v>
      </c>
      <c r="F7854" s="45" t="s">
        <v>50646</v>
      </c>
      <c r="G7854" s="45" t="s">
        <v>50584</v>
      </c>
      <c r="H7854" s="56"/>
      <c r="I7854" s="56" t="s">
        <v>50564</v>
      </c>
      <c r="J7854" s="56"/>
      <c r="K7854" s="57"/>
      <c r="L7854" s="56" t="s">
        <v>56716</v>
      </c>
    </row>
    <row r="7855" spans="1:12" ht="11.25" x14ac:dyDescent="0.2">
      <c r="A7855" s="45" t="s">
        <v>33882</v>
      </c>
      <c r="B7855" s="45" t="s">
        <v>33884</v>
      </c>
      <c r="C7855" s="51" t="s">
        <v>33886</v>
      </c>
      <c r="D7855" s="51" t="s">
        <v>33885</v>
      </c>
      <c r="E7855" s="45" t="s">
        <v>17758</v>
      </c>
      <c r="F7855" s="45" t="s">
        <v>17759</v>
      </c>
      <c r="G7855" s="45" t="s">
        <v>50584</v>
      </c>
      <c r="H7855" s="56"/>
      <c r="I7855" s="56" t="s">
        <v>50564</v>
      </c>
      <c r="J7855" s="56"/>
      <c r="K7855" s="57"/>
      <c r="L7855" s="56" t="s">
        <v>56716</v>
      </c>
    </row>
    <row r="7856" spans="1:12" ht="11.25" x14ac:dyDescent="0.2">
      <c r="A7856" s="45" t="s">
        <v>33896</v>
      </c>
      <c r="B7856" s="45" t="s">
        <v>33898</v>
      </c>
      <c r="C7856" s="51" t="s">
        <v>33900</v>
      </c>
      <c r="D7856" s="51" t="s">
        <v>33899</v>
      </c>
      <c r="E7856" s="45" t="s">
        <v>24794</v>
      </c>
      <c r="F7856" s="45" t="s">
        <v>50646</v>
      </c>
      <c r="G7856" s="45" t="s">
        <v>50584</v>
      </c>
      <c r="H7856" s="56"/>
      <c r="I7856" s="56" t="s">
        <v>50564</v>
      </c>
      <c r="J7856" s="56"/>
      <c r="K7856" s="57"/>
      <c r="L7856" s="56" t="s">
        <v>56716</v>
      </c>
    </row>
    <row r="7857" spans="1:12" ht="11.25" x14ac:dyDescent="0.2">
      <c r="A7857" s="45" t="s">
        <v>33927</v>
      </c>
      <c r="B7857" s="45" t="s">
        <v>33929</v>
      </c>
      <c r="C7857" s="51" t="s">
        <v>33931</v>
      </c>
      <c r="D7857" s="51" t="s">
        <v>33930</v>
      </c>
      <c r="E7857" s="45" t="s">
        <v>21146</v>
      </c>
      <c r="F7857" s="45" t="s">
        <v>50646</v>
      </c>
      <c r="G7857" s="45" t="s">
        <v>50584</v>
      </c>
      <c r="H7857" s="56"/>
      <c r="I7857" s="56" t="s">
        <v>50564</v>
      </c>
      <c r="J7857" s="56"/>
      <c r="K7857" s="57"/>
      <c r="L7857" s="56" t="s">
        <v>56716</v>
      </c>
    </row>
    <row r="7858" spans="1:12" ht="11.25" x14ac:dyDescent="0.2">
      <c r="A7858" s="45" t="s">
        <v>34049</v>
      </c>
      <c r="B7858" s="45" t="s">
        <v>34051</v>
      </c>
      <c r="C7858" s="51" t="s">
        <v>34053</v>
      </c>
      <c r="D7858" s="51" t="s">
        <v>34052</v>
      </c>
      <c r="E7858" s="45" t="s">
        <v>19767</v>
      </c>
      <c r="F7858" s="45" t="s">
        <v>17759</v>
      </c>
      <c r="G7858" s="45" t="s">
        <v>50584</v>
      </c>
      <c r="H7858" s="56"/>
      <c r="I7858" s="56" t="s">
        <v>50564</v>
      </c>
      <c r="J7858" s="56"/>
      <c r="K7858" s="57"/>
      <c r="L7858" s="56" t="s">
        <v>56716</v>
      </c>
    </row>
    <row r="7859" spans="1:12" ht="11.25" x14ac:dyDescent="0.2">
      <c r="A7859" s="45" t="s">
        <v>34172</v>
      </c>
      <c r="B7859" s="45" t="s">
        <v>34174</v>
      </c>
      <c r="C7859" s="51" t="s">
        <v>34177</v>
      </c>
      <c r="D7859" s="51" t="s">
        <v>34176</v>
      </c>
      <c r="E7859" s="45" t="s">
        <v>17783</v>
      </c>
      <c r="F7859" s="45" t="s">
        <v>17759</v>
      </c>
      <c r="G7859" s="45" t="s">
        <v>50584</v>
      </c>
      <c r="H7859" s="56"/>
      <c r="I7859" s="56" t="s">
        <v>50564</v>
      </c>
      <c r="J7859" s="56"/>
      <c r="K7859" s="57"/>
      <c r="L7859" s="56" t="s">
        <v>56716</v>
      </c>
    </row>
    <row r="7860" spans="1:12" ht="11.25" x14ac:dyDescent="0.2">
      <c r="A7860" s="45" t="s">
        <v>34196</v>
      </c>
      <c r="B7860" s="45" t="s">
        <v>34198</v>
      </c>
      <c r="C7860" s="51" t="s">
        <v>34201</v>
      </c>
      <c r="D7860" s="51" t="s">
        <v>34200</v>
      </c>
      <c r="E7860" s="45" t="s">
        <v>34202</v>
      </c>
      <c r="F7860" s="45" t="s">
        <v>17759</v>
      </c>
      <c r="G7860" s="45" t="s">
        <v>50584</v>
      </c>
      <c r="H7860" s="56"/>
      <c r="I7860" s="56" t="s">
        <v>50564</v>
      </c>
      <c r="J7860" s="56"/>
      <c r="K7860" s="57"/>
      <c r="L7860" s="56" t="s">
        <v>56716</v>
      </c>
    </row>
    <row r="7861" spans="1:12" ht="11.25" x14ac:dyDescent="0.2">
      <c r="A7861" s="45" t="s">
        <v>34483</v>
      </c>
      <c r="B7861" s="45" t="s">
        <v>34485</v>
      </c>
      <c r="C7861" s="51" t="s">
        <v>34487</v>
      </c>
      <c r="D7861" s="51" t="s">
        <v>34486</v>
      </c>
      <c r="E7861" s="45" t="s">
        <v>17758</v>
      </c>
      <c r="F7861" s="45" t="s">
        <v>17759</v>
      </c>
      <c r="G7861" s="45" t="s">
        <v>50584</v>
      </c>
      <c r="H7861" s="56"/>
      <c r="I7861" s="56" t="s">
        <v>50564</v>
      </c>
      <c r="J7861" s="56"/>
      <c r="K7861" s="57"/>
      <c r="L7861" s="56" t="s">
        <v>56716</v>
      </c>
    </row>
    <row r="7862" spans="1:12" ht="11.25" x14ac:dyDescent="0.2">
      <c r="A7862" s="45" t="s">
        <v>34567</v>
      </c>
      <c r="B7862" s="45" t="s">
        <v>34569</v>
      </c>
      <c r="C7862" s="51" t="s">
        <v>34571</v>
      </c>
      <c r="D7862" s="51" t="s">
        <v>34570</v>
      </c>
      <c r="E7862" s="45" t="s">
        <v>24653</v>
      </c>
      <c r="F7862" s="45" t="s">
        <v>17759</v>
      </c>
      <c r="G7862" s="45" t="s">
        <v>50584</v>
      </c>
      <c r="H7862" s="56"/>
      <c r="I7862" s="56" t="s">
        <v>50564</v>
      </c>
      <c r="J7862" s="56"/>
      <c r="K7862" s="57"/>
      <c r="L7862" s="56" t="s">
        <v>56716</v>
      </c>
    </row>
    <row r="7863" spans="1:12" ht="11.25" x14ac:dyDescent="0.2">
      <c r="A7863" s="45" t="s">
        <v>34687</v>
      </c>
      <c r="B7863" s="45" t="s">
        <v>34689</v>
      </c>
      <c r="C7863" s="51" t="s">
        <v>34690</v>
      </c>
      <c r="D7863" s="51"/>
      <c r="E7863" s="45" t="s">
        <v>34691</v>
      </c>
      <c r="F7863" s="45" t="s">
        <v>17759</v>
      </c>
      <c r="G7863" s="45" t="s">
        <v>50584</v>
      </c>
      <c r="H7863" s="56"/>
      <c r="I7863" s="56" t="s">
        <v>50564</v>
      </c>
      <c r="J7863" s="56"/>
      <c r="K7863" s="57"/>
      <c r="L7863" s="56" t="s">
        <v>56716</v>
      </c>
    </row>
    <row r="7864" spans="1:12" ht="11.25" x14ac:dyDescent="0.2">
      <c r="A7864" s="45" t="s">
        <v>34702</v>
      </c>
      <c r="B7864" s="45" t="s">
        <v>34704</v>
      </c>
      <c r="C7864" s="51" t="s">
        <v>34705</v>
      </c>
      <c r="D7864" s="51"/>
      <c r="E7864" s="45" t="s">
        <v>34706</v>
      </c>
      <c r="F7864" s="45" t="s">
        <v>17759</v>
      </c>
      <c r="G7864" s="45" t="s">
        <v>50584</v>
      </c>
      <c r="H7864" s="56"/>
      <c r="I7864" s="56" t="s">
        <v>50564</v>
      </c>
      <c r="J7864" s="56"/>
      <c r="K7864" s="57"/>
      <c r="L7864" s="56" t="s">
        <v>56716</v>
      </c>
    </row>
    <row r="7865" spans="1:12" ht="11.25" x14ac:dyDescent="0.2">
      <c r="A7865" s="45" t="s">
        <v>34783</v>
      </c>
      <c r="B7865" s="45" t="s">
        <v>34785</v>
      </c>
      <c r="C7865" s="51" t="s">
        <v>34788</v>
      </c>
      <c r="D7865" s="51" t="s">
        <v>34787</v>
      </c>
      <c r="E7865" s="45" t="s">
        <v>34789</v>
      </c>
      <c r="F7865" s="45" t="s">
        <v>17759</v>
      </c>
      <c r="G7865" s="45" t="s">
        <v>50584</v>
      </c>
      <c r="H7865" s="56"/>
      <c r="I7865" s="56" t="s">
        <v>50564</v>
      </c>
      <c r="J7865" s="56"/>
      <c r="K7865" s="57"/>
      <c r="L7865" s="56" t="s">
        <v>56716</v>
      </c>
    </row>
    <row r="7866" spans="1:12" ht="11.25" x14ac:dyDescent="0.2">
      <c r="A7866" s="45" t="s">
        <v>34867</v>
      </c>
      <c r="B7866" s="45" t="s">
        <v>34869</v>
      </c>
      <c r="C7866" s="51" t="s">
        <v>34871</v>
      </c>
      <c r="D7866" s="51"/>
      <c r="E7866" s="45" t="s">
        <v>34872</v>
      </c>
      <c r="F7866" s="45" t="s">
        <v>20446</v>
      </c>
      <c r="G7866" s="45" t="s">
        <v>50584</v>
      </c>
      <c r="H7866" s="56"/>
      <c r="I7866" s="56" t="s">
        <v>50564</v>
      </c>
      <c r="J7866" s="56"/>
      <c r="K7866" s="57"/>
      <c r="L7866" s="56" t="s">
        <v>56716</v>
      </c>
    </row>
    <row r="7867" spans="1:12" ht="11.25" x14ac:dyDescent="0.2">
      <c r="A7867" s="45" t="s">
        <v>56687</v>
      </c>
      <c r="B7867" s="45" t="s">
        <v>56688</v>
      </c>
      <c r="C7867" s="51" t="s">
        <v>56689</v>
      </c>
      <c r="D7867" s="51"/>
      <c r="E7867" s="45" t="s">
        <v>56690</v>
      </c>
      <c r="F7867" s="45" t="s">
        <v>17759</v>
      </c>
      <c r="G7867" s="45" t="s">
        <v>50584</v>
      </c>
      <c r="H7867" s="56"/>
      <c r="I7867" s="56" t="s">
        <v>50564</v>
      </c>
      <c r="J7867" s="56"/>
      <c r="K7867" s="57"/>
      <c r="L7867" s="56" t="s">
        <v>56716</v>
      </c>
    </row>
    <row r="7868" spans="1:12" ht="11.25" x14ac:dyDescent="0.2">
      <c r="A7868" s="45" t="s">
        <v>34976</v>
      </c>
      <c r="B7868" s="45" t="s">
        <v>34978</v>
      </c>
      <c r="C7868" s="51"/>
      <c r="D7868" s="51" t="s">
        <v>34979</v>
      </c>
      <c r="E7868" s="45" t="s">
        <v>34980</v>
      </c>
      <c r="F7868" s="45" t="s">
        <v>20446</v>
      </c>
      <c r="G7868" s="45" t="s">
        <v>50584</v>
      </c>
      <c r="H7868" s="56"/>
      <c r="I7868" s="56" t="s">
        <v>50564</v>
      </c>
      <c r="J7868" s="56"/>
      <c r="K7868" s="57"/>
      <c r="L7868" s="56" t="s">
        <v>56716</v>
      </c>
    </row>
    <row r="7869" spans="1:12" ht="11.25" x14ac:dyDescent="0.2">
      <c r="A7869" s="45" t="s">
        <v>34982</v>
      </c>
      <c r="B7869" s="45" t="s">
        <v>34984</v>
      </c>
      <c r="C7869" s="51" t="s">
        <v>34985</v>
      </c>
      <c r="D7869" s="51"/>
      <c r="E7869" s="45" t="s">
        <v>34986</v>
      </c>
      <c r="F7869" s="45" t="s">
        <v>17759</v>
      </c>
      <c r="G7869" s="45" t="s">
        <v>50584</v>
      </c>
      <c r="H7869" s="56"/>
      <c r="I7869" s="56" t="s">
        <v>50564</v>
      </c>
      <c r="J7869" s="56"/>
      <c r="K7869" s="57"/>
      <c r="L7869" s="56" t="s">
        <v>56716</v>
      </c>
    </row>
    <row r="7870" spans="1:12" ht="11.25" x14ac:dyDescent="0.2">
      <c r="A7870" s="45" t="s">
        <v>34994</v>
      </c>
      <c r="B7870" s="45" t="s">
        <v>34996</v>
      </c>
      <c r="C7870" s="51" t="s">
        <v>34999</v>
      </c>
      <c r="D7870" s="51" t="s">
        <v>34998</v>
      </c>
      <c r="E7870" s="45" t="s">
        <v>17805</v>
      </c>
      <c r="F7870" s="45" t="s">
        <v>17759</v>
      </c>
      <c r="G7870" s="45" t="s">
        <v>50584</v>
      </c>
      <c r="H7870" s="56"/>
      <c r="I7870" s="56" t="s">
        <v>50564</v>
      </c>
      <c r="J7870" s="56"/>
      <c r="K7870" s="57"/>
      <c r="L7870" s="56" t="s">
        <v>56716</v>
      </c>
    </row>
    <row r="7871" spans="1:12" ht="11.25" x14ac:dyDescent="0.2">
      <c r="A7871" s="45" t="s">
        <v>35033</v>
      </c>
      <c r="B7871" s="45" t="s">
        <v>35035</v>
      </c>
      <c r="C7871" s="51" t="s">
        <v>35037</v>
      </c>
      <c r="D7871" s="51" t="s">
        <v>35036</v>
      </c>
      <c r="E7871" s="45" t="s">
        <v>20677</v>
      </c>
      <c r="F7871" s="45" t="s">
        <v>17759</v>
      </c>
      <c r="G7871" s="45" t="s">
        <v>50584</v>
      </c>
      <c r="H7871" s="56"/>
      <c r="I7871" s="56" t="s">
        <v>50564</v>
      </c>
      <c r="J7871" s="56"/>
      <c r="K7871" s="57"/>
      <c r="L7871" s="56" t="s">
        <v>56716</v>
      </c>
    </row>
    <row r="7872" spans="1:12" ht="11.25" x14ac:dyDescent="0.2">
      <c r="A7872" s="45" t="s">
        <v>35084</v>
      </c>
      <c r="B7872" s="45" t="s">
        <v>35086</v>
      </c>
      <c r="C7872" s="51" t="s">
        <v>35088</v>
      </c>
      <c r="D7872" s="51" t="s">
        <v>35087</v>
      </c>
      <c r="E7872" s="45" t="s">
        <v>724</v>
      </c>
      <c r="F7872" s="45" t="s">
        <v>50646</v>
      </c>
      <c r="G7872" s="45" t="s">
        <v>50584</v>
      </c>
      <c r="H7872" s="56"/>
      <c r="I7872" s="56" t="s">
        <v>50564</v>
      </c>
      <c r="J7872" s="56"/>
      <c r="K7872" s="57"/>
      <c r="L7872" s="56" t="s">
        <v>56716</v>
      </c>
    </row>
    <row r="7873" spans="1:12" ht="11.25" x14ac:dyDescent="0.2">
      <c r="A7873" s="45" t="s">
        <v>35225</v>
      </c>
      <c r="B7873" s="45" t="s">
        <v>35227</v>
      </c>
      <c r="C7873" s="51" t="s">
        <v>35228</v>
      </c>
      <c r="D7873" s="51"/>
      <c r="E7873" s="45" t="s">
        <v>19282</v>
      </c>
      <c r="F7873" s="45" t="s">
        <v>17759</v>
      </c>
      <c r="G7873" s="45" t="s">
        <v>50584</v>
      </c>
      <c r="H7873" s="56"/>
      <c r="I7873" s="56" t="s">
        <v>50564</v>
      </c>
      <c r="J7873" s="56"/>
      <c r="K7873" s="57"/>
      <c r="L7873" s="56" t="s">
        <v>56716</v>
      </c>
    </row>
    <row r="7874" spans="1:12" ht="11.25" x14ac:dyDescent="0.2">
      <c r="A7874" s="45" t="s">
        <v>35410</v>
      </c>
      <c r="B7874" s="45" t="s">
        <v>35412</v>
      </c>
      <c r="C7874" s="51" t="s">
        <v>35415</v>
      </c>
      <c r="D7874" s="51" t="s">
        <v>35414</v>
      </c>
      <c r="E7874" s="45" t="s">
        <v>17805</v>
      </c>
      <c r="F7874" s="45" t="s">
        <v>17759</v>
      </c>
      <c r="G7874" s="45" t="s">
        <v>50584</v>
      </c>
      <c r="H7874" s="56"/>
      <c r="I7874" s="56" t="s">
        <v>50564</v>
      </c>
      <c r="J7874" s="56"/>
      <c r="K7874" s="57"/>
      <c r="L7874" s="56" t="s">
        <v>56716</v>
      </c>
    </row>
    <row r="7875" spans="1:12" ht="11.25" x14ac:dyDescent="0.2">
      <c r="A7875" s="45" t="s">
        <v>35422</v>
      </c>
      <c r="B7875" s="45" t="s">
        <v>35424</v>
      </c>
      <c r="C7875" s="51" t="s">
        <v>35426</v>
      </c>
      <c r="D7875" s="51" t="s">
        <v>35425</v>
      </c>
      <c r="E7875" s="45" t="s">
        <v>35427</v>
      </c>
      <c r="F7875" s="45" t="s">
        <v>17759</v>
      </c>
      <c r="G7875" s="45" t="s">
        <v>50584</v>
      </c>
      <c r="H7875" s="56"/>
      <c r="I7875" s="56" t="s">
        <v>50564</v>
      </c>
      <c r="J7875" s="56"/>
      <c r="K7875" s="57"/>
      <c r="L7875" s="56" t="s">
        <v>56716</v>
      </c>
    </row>
    <row r="7876" spans="1:12" ht="11.25" x14ac:dyDescent="0.2">
      <c r="A7876" s="45" t="s">
        <v>35452</v>
      </c>
      <c r="B7876" s="45" t="s">
        <v>35454</v>
      </c>
      <c r="C7876" s="51" t="s">
        <v>35457</v>
      </c>
      <c r="D7876" s="51" t="s">
        <v>35456</v>
      </c>
      <c r="E7876" s="45" t="s">
        <v>27140</v>
      </c>
      <c r="F7876" s="45" t="s">
        <v>50646</v>
      </c>
      <c r="G7876" s="45" t="s">
        <v>50584</v>
      </c>
      <c r="H7876" s="56"/>
      <c r="I7876" s="56" t="s">
        <v>50564</v>
      </c>
      <c r="J7876" s="56"/>
      <c r="K7876" s="57"/>
      <c r="L7876" s="56" t="s">
        <v>56716</v>
      </c>
    </row>
    <row r="7877" spans="1:12" ht="11.25" x14ac:dyDescent="0.2">
      <c r="A7877" s="45" t="s">
        <v>35548</v>
      </c>
      <c r="B7877" s="45" t="s">
        <v>35550</v>
      </c>
      <c r="C7877" s="51" t="s">
        <v>35552</v>
      </c>
      <c r="D7877" s="51"/>
      <c r="E7877" s="45" t="s">
        <v>56691</v>
      </c>
      <c r="F7877" s="45" t="s">
        <v>50646</v>
      </c>
      <c r="G7877" s="45" t="s">
        <v>50584</v>
      </c>
      <c r="H7877" s="56"/>
      <c r="I7877" s="56" t="s">
        <v>50564</v>
      </c>
      <c r="J7877" s="56"/>
      <c r="K7877" s="57"/>
      <c r="L7877" s="56" t="s">
        <v>56716</v>
      </c>
    </row>
    <row r="7878" spans="1:12" ht="11.25" x14ac:dyDescent="0.2">
      <c r="A7878" s="45" t="s">
        <v>35644</v>
      </c>
      <c r="B7878" s="45" t="s">
        <v>35646</v>
      </c>
      <c r="C7878" s="51" t="s">
        <v>35648</v>
      </c>
      <c r="D7878" s="51" t="s">
        <v>35647</v>
      </c>
      <c r="E7878" s="45" t="s">
        <v>35649</v>
      </c>
      <c r="F7878" s="45" t="s">
        <v>20082</v>
      </c>
      <c r="G7878" s="45" t="s">
        <v>50584</v>
      </c>
      <c r="H7878" s="56"/>
      <c r="I7878" s="56" t="s">
        <v>50564</v>
      </c>
      <c r="J7878" s="56"/>
      <c r="K7878" s="57"/>
      <c r="L7878" s="56" t="s">
        <v>56716</v>
      </c>
    </row>
    <row r="7879" spans="1:12" ht="11.25" x14ac:dyDescent="0.2">
      <c r="A7879" s="45" t="s">
        <v>35707</v>
      </c>
      <c r="B7879" s="45" t="s">
        <v>35709</v>
      </c>
      <c r="C7879" s="51" t="s">
        <v>35711</v>
      </c>
      <c r="D7879" s="51" t="s">
        <v>35710</v>
      </c>
      <c r="E7879" s="45" t="s">
        <v>2225</v>
      </c>
      <c r="F7879" s="45" t="s">
        <v>17759</v>
      </c>
      <c r="G7879" s="45" t="s">
        <v>50584</v>
      </c>
      <c r="H7879" s="56"/>
      <c r="I7879" s="56" t="s">
        <v>50564</v>
      </c>
      <c r="J7879" s="56"/>
      <c r="K7879" s="57"/>
      <c r="L7879" s="56" t="s">
        <v>56716</v>
      </c>
    </row>
    <row r="7880" spans="1:12" ht="11.25" x14ac:dyDescent="0.2">
      <c r="A7880" s="45" t="s">
        <v>35713</v>
      </c>
      <c r="B7880" s="45" t="s">
        <v>35715</v>
      </c>
      <c r="C7880" s="51" t="s">
        <v>35717</v>
      </c>
      <c r="D7880" s="51" t="s">
        <v>35716</v>
      </c>
      <c r="E7880" s="45" t="s">
        <v>689</v>
      </c>
      <c r="F7880" s="45" t="s">
        <v>17759</v>
      </c>
      <c r="G7880" s="45" t="s">
        <v>50584</v>
      </c>
      <c r="H7880" s="56"/>
      <c r="I7880" s="56" t="s">
        <v>50564</v>
      </c>
      <c r="J7880" s="56"/>
      <c r="K7880" s="57"/>
      <c r="L7880" s="56" t="s">
        <v>56716</v>
      </c>
    </row>
    <row r="7881" spans="1:12" ht="11.25" x14ac:dyDescent="0.2">
      <c r="A7881" s="45" t="s">
        <v>35730</v>
      </c>
      <c r="B7881" s="45" t="s">
        <v>35732</v>
      </c>
      <c r="C7881" s="51" t="s">
        <v>35735</v>
      </c>
      <c r="D7881" s="51" t="s">
        <v>35734</v>
      </c>
      <c r="E7881" s="45" t="s">
        <v>25444</v>
      </c>
      <c r="F7881" s="45" t="s">
        <v>17759</v>
      </c>
      <c r="G7881" s="45" t="s">
        <v>50584</v>
      </c>
      <c r="H7881" s="56"/>
      <c r="I7881" s="56" t="s">
        <v>50564</v>
      </c>
      <c r="J7881" s="56"/>
      <c r="K7881" s="57"/>
      <c r="L7881" s="56" t="s">
        <v>56716</v>
      </c>
    </row>
    <row r="7882" spans="1:12" ht="11.25" x14ac:dyDescent="0.2">
      <c r="A7882" s="45" t="s">
        <v>35799</v>
      </c>
      <c r="B7882" s="45" t="s">
        <v>35801</v>
      </c>
      <c r="C7882" s="51" t="s">
        <v>35804</v>
      </c>
      <c r="D7882" s="51" t="s">
        <v>35803</v>
      </c>
      <c r="E7882" s="45" t="s">
        <v>19447</v>
      </c>
      <c r="F7882" s="45" t="s">
        <v>50646</v>
      </c>
      <c r="G7882" s="45" t="s">
        <v>50584</v>
      </c>
      <c r="H7882" s="56"/>
      <c r="I7882" s="56" t="s">
        <v>50564</v>
      </c>
      <c r="J7882" s="56"/>
      <c r="K7882" s="57"/>
      <c r="L7882" s="56" t="s">
        <v>56716</v>
      </c>
    </row>
    <row r="7883" spans="1:12" ht="11.25" x14ac:dyDescent="0.2">
      <c r="A7883" s="45" t="s">
        <v>35836</v>
      </c>
      <c r="B7883" s="45" t="s">
        <v>35838</v>
      </c>
      <c r="C7883" s="51" t="s">
        <v>35841</v>
      </c>
      <c r="D7883" s="51" t="s">
        <v>35840</v>
      </c>
      <c r="E7883" s="45" t="s">
        <v>35842</v>
      </c>
      <c r="F7883" s="45" t="s">
        <v>17759</v>
      </c>
      <c r="G7883" s="45" t="s">
        <v>50584</v>
      </c>
      <c r="H7883" s="56"/>
      <c r="I7883" s="56" t="s">
        <v>50564</v>
      </c>
      <c r="J7883" s="56"/>
      <c r="K7883" s="57"/>
      <c r="L7883" s="56" t="s">
        <v>56716</v>
      </c>
    </row>
    <row r="7884" spans="1:12" ht="11.25" x14ac:dyDescent="0.2">
      <c r="A7884" s="45" t="s">
        <v>36334</v>
      </c>
      <c r="B7884" s="45" t="s">
        <v>36336</v>
      </c>
      <c r="C7884" s="51" t="s">
        <v>36339</v>
      </c>
      <c r="D7884" s="51" t="s">
        <v>36338</v>
      </c>
      <c r="E7884" s="45" t="s">
        <v>36340</v>
      </c>
      <c r="F7884" s="45" t="s">
        <v>18158</v>
      </c>
      <c r="G7884" s="45" t="s">
        <v>50584</v>
      </c>
      <c r="H7884" s="56"/>
      <c r="I7884" s="56" t="s">
        <v>50564</v>
      </c>
      <c r="J7884" s="56"/>
      <c r="K7884" s="57"/>
      <c r="L7884" s="56" t="s">
        <v>56716</v>
      </c>
    </row>
    <row r="7885" spans="1:12" ht="11.25" x14ac:dyDescent="0.2">
      <c r="A7885" s="45" t="s">
        <v>36397</v>
      </c>
      <c r="B7885" s="45" t="s">
        <v>36399</v>
      </c>
      <c r="C7885" s="51" t="s">
        <v>36402</v>
      </c>
      <c r="D7885" s="51" t="s">
        <v>36401</v>
      </c>
      <c r="E7885" s="45" t="s">
        <v>21146</v>
      </c>
      <c r="F7885" s="45" t="s">
        <v>50646</v>
      </c>
      <c r="G7885" s="45" t="s">
        <v>50584</v>
      </c>
      <c r="H7885" s="56"/>
      <c r="I7885" s="56" t="s">
        <v>50564</v>
      </c>
      <c r="J7885" s="56"/>
      <c r="K7885" s="57"/>
      <c r="L7885" s="56" t="s">
        <v>56716</v>
      </c>
    </row>
    <row r="7886" spans="1:12" ht="11.25" x14ac:dyDescent="0.2">
      <c r="A7886" s="45" t="s">
        <v>36412</v>
      </c>
      <c r="B7886" s="45" t="s">
        <v>36414</v>
      </c>
      <c r="C7886" s="51" t="s">
        <v>36416</v>
      </c>
      <c r="D7886" s="51" t="s">
        <v>36415</v>
      </c>
      <c r="E7886" s="45" t="s">
        <v>18404</v>
      </c>
      <c r="F7886" s="45" t="s">
        <v>17759</v>
      </c>
      <c r="G7886" s="45" t="s">
        <v>50584</v>
      </c>
      <c r="H7886" s="56"/>
      <c r="I7886" s="56" t="s">
        <v>50564</v>
      </c>
      <c r="J7886" s="56"/>
      <c r="K7886" s="57"/>
      <c r="L7886" s="56" t="s">
        <v>56716</v>
      </c>
    </row>
    <row r="7887" spans="1:12" ht="11.25" x14ac:dyDescent="0.2">
      <c r="A7887" s="45" t="s">
        <v>36550</v>
      </c>
      <c r="B7887" s="45" t="s">
        <v>36552</v>
      </c>
      <c r="C7887" s="51" t="s">
        <v>36555</v>
      </c>
      <c r="D7887" s="51" t="s">
        <v>36554</v>
      </c>
      <c r="E7887" s="45" t="s">
        <v>17783</v>
      </c>
      <c r="F7887" s="45" t="s">
        <v>17759</v>
      </c>
      <c r="G7887" s="45" t="s">
        <v>50584</v>
      </c>
      <c r="H7887" s="56"/>
      <c r="I7887" s="56" t="s">
        <v>50564</v>
      </c>
      <c r="J7887" s="56"/>
      <c r="K7887" s="57"/>
      <c r="L7887" s="56" t="s">
        <v>56716</v>
      </c>
    </row>
    <row r="7888" spans="1:12" ht="11.25" x14ac:dyDescent="0.2">
      <c r="A7888" s="45" t="s">
        <v>36583</v>
      </c>
      <c r="B7888" s="45" t="s">
        <v>36585</v>
      </c>
      <c r="C7888" s="51" t="s">
        <v>36587</v>
      </c>
      <c r="D7888" s="51"/>
      <c r="E7888" s="45" t="s">
        <v>36588</v>
      </c>
      <c r="F7888" s="45" t="s">
        <v>17759</v>
      </c>
      <c r="G7888" s="45" t="s">
        <v>50584</v>
      </c>
      <c r="H7888" s="56"/>
      <c r="I7888" s="56" t="s">
        <v>50564</v>
      </c>
      <c r="J7888" s="56"/>
      <c r="K7888" s="57"/>
      <c r="L7888" s="56" t="s">
        <v>56716</v>
      </c>
    </row>
    <row r="7889" spans="1:12" ht="11.25" x14ac:dyDescent="0.2">
      <c r="A7889" s="45" t="s">
        <v>36629</v>
      </c>
      <c r="B7889" s="45" t="s">
        <v>36631</v>
      </c>
      <c r="C7889" s="51" t="s">
        <v>36633</v>
      </c>
      <c r="D7889" s="51" t="s">
        <v>36632</v>
      </c>
      <c r="E7889" s="45" t="s">
        <v>55</v>
      </c>
      <c r="F7889" s="45" t="s">
        <v>17759</v>
      </c>
      <c r="G7889" s="45" t="s">
        <v>50584</v>
      </c>
      <c r="H7889" s="56"/>
      <c r="I7889" s="56" t="s">
        <v>50564</v>
      </c>
      <c r="J7889" s="56"/>
      <c r="K7889" s="57"/>
      <c r="L7889" s="56" t="s">
        <v>56716</v>
      </c>
    </row>
    <row r="7890" spans="1:12" ht="11.25" x14ac:dyDescent="0.2">
      <c r="A7890" s="45" t="s">
        <v>36685</v>
      </c>
      <c r="B7890" s="45" t="s">
        <v>36687</v>
      </c>
      <c r="C7890" s="51" t="s">
        <v>36689</v>
      </c>
      <c r="D7890" s="51"/>
      <c r="E7890" s="45" t="s">
        <v>36690</v>
      </c>
      <c r="F7890" s="45" t="s">
        <v>17759</v>
      </c>
      <c r="G7890" s="45" t="s">
        <v>50584</v>
      </c>
      <c r="H7890" s="56"/>
      <c r="I7890" s="56" t="s">
        <v>50564</v>
      </c>
      <c r="J7890" s="56"/>
      <c r="K7890" s="57"/>
      <c r="L7890" s="56" t="s">
        <v>56716</v>
      </c>
    </row>
    <row r="7891" spans="1:12" ht="11.25" x14ac:dyDescent="0.2">
      <c r="A7891" s="45" t="s">
        <v>36989</v>
      </c>
      <c r="B7891" s="45" t="s">
        <v>36991</v>
      </c>
      <c r="C7891" s="51" t="s">
        <v>36994</v>
      </c>
      <c r="D7891" s="51" t="s">
        <v>36993</v>
      </c>
      <c r="E7891" s="45" t="s">
        <v>36995</v>
      </c>
      <c r="F7891" s="45" t="s">
        <v>17759</v>
      </c>
      <c r="G7891" s="45" t="s">
        <v>50584</v>
      </c>
      <c r="H7891" s="56"/>
      <c r="I7891" s="56" t="s">
        <v>50564</v>
      </c>
      <c r="J7891" s="56"/>
      <c r="K7891" s="57"/>
      <c r="L7891" s="56" t="s">
        <v>56716</v>
      </c>
    </row>
    <row r="7892" spans="1:12" ht="11.25" x14ac:dyDescent="0.2">
      <c r="A7892" s="45" t="s">
        <v>37059</v>
      </c>
      <c r="B7892" s="45" t="s">
        <v>37061</v>
      </c>
      <c r="C7892" s="51" t="s">
        <v>37063</v>
      </c>
      <c r="D7892" s="51" t="s">
        <v>37062</v>
      </c>
      <c r="E7892" s="45" t="s">
        <v>17758</v>
      </c>
      <c r="F7892" s="45" t="s">
        <v>17759</v>
      </c>
      <c r="G7892" s="45" t="s">
        <v>50584</v>
      </c>
      <c r="H7892" s="56"/>
      <c r="I7892" s="56" t="s">
        <v>50564</v>
      </c>
      <c r="J7892" s="56"/>
      <c r="K7892" s="57"/>
      <c r="L7892" s="56" t="s">
        <v>56716</v>
      </c>
    </row>
    <row r="7893" spans="1:12" ht="11.25" x14ac:dyDescent="0.2">
      <c r="A7893" s="45" t="s">
        <v>37072</v>
      </c>
      <c r="B7893" s="45" t="s">
        <v>37074</v>
      </c>
      <c r="C7893" s="51" t="s">
        <v>37076</v>
      </c>
      <c r="D7893" s="51" t="s">
        <v>37075</v>
      </c>
      <c r="E7893" s="45" t="s">
        <v>37077</v>
      </c>
      <c r="F7893" s="45" t="s">
        <v>17759</v>
      </c>
      <c r="G7893" s="45" t="s">
        <v>50584</v>
      </c>
      <c r="H7893" s="56"/>
      <c r="I7893" s="56" t="s">
        <v>50564</v>
      </c>
      <c r="J7893" s="56"/>
      <c r="K7893" s="57"/>
      <c r="L7893" s="56" t="s">
        <v>56716</v>
      </c>
    </row>
    <row r="7894" spans="1:12" ht="11.25" x14ac:dyDescent="0.2">
      <c r="A7894" s="45" t="s">
        <v>37090</v>
      </c>
      <c r="B7894" s="45" t="s">
        <v>37092</v>
      </c>
      <c r="C7894" s="51" t="s">
        <v>37095</v>
      </c>
      <c r="D7894" s="51" t="s">
        <v>37094</v>
      </c>
      <c r="E7894" s="45" t="s">
        <v>17758</v>
      </c>
      <c r="F7894" s="45" t="s">
        <v>17958</v>
      </c>
      <c r="G7894" s="45" t="s">
        <v>50584</v>
      </c>
      <c r="H7894" s="56"/>
      <c r="I7894" s="56" t="s">
        <v>50564</v>
      </c>
      <c r="J7894" s="56"/>
      <c r="K7894" s="57"/>
      <c r="L7894" s="56" t="s">
        <v>56716</v>
      </c>
    </row>
    <row r="7895" spans="1:12" ht="11.25" x14ac:dyDescent="0.2">
      <c r="A7895" s="45" t="s">
        <v>37259</v>
      </c>
      <c r="B7895" s="45" t="s">
        <v>37261</v>
      </c>
      <c r="C7895" s="51" t="s">
        <v>37263</v>
      </c>
      <c r="D7895" s="51"/>
      <c r="E7895" s="45" t="s">
        <v>37264</v>
      </c>
      <c r="F7895" s="45" t="s">
        <v>17759</v>
      </c>
      <c r="G7895" s="45" t="s">
        <v>50584</v>
      </c>
      <c r="H7895" s="56"/>
      <c r="I7895" s="56" t="s">
        <v>50564</v>
      </c>
      <c r="J7895" s="56"/>
      <c r="K7895" s="57"/>
      <c r="L7895" s="56" t="s">
        <v>56716</v>
      </c>
    </row>
    <row r="7896" spans="1:12" ht="11.25" x14ac:dyDescent="0.2">
      <c r="A7896" s="45" t="s">
        <v>37305</v>
      </c>
      <c r="B7896" s="45" t="s">
        <v>37307</v>
      </c>
      <c r="C7896" s="51" t="s">
        <v>37310</v>
      </c>
      <c r="D7896" s="51" t="s">
        <v>37309</v>
      </c>
      <c r="E7896" s="45" t="s">
        <v>25455</v>
      </c>
      <c r="F7896" s="45" t="s">
        <v>17759</v>
      </c>
      <c r="G7896" s="45" t="s">
        <v>50584</v>
      </c>
      <c r="H7896" s="56"/>
      <c r="I7896" s="56" t="s">
        <v>50564</v>
      </c>
      <c r="J7896" s="56"/>
      <c r="K7896" s="57"/>
      <c r="L7896" s="56" t="s">
        <v>56716</v>
      </c>
    </row>
    <row r="7897" spans="1:12" ht="11.25" x14ac:dyDescent="0.2">
      <c r="A7897" s="45" t="s">
        <v>37388</v>
      </c>
      <c r="B7897" s="45" t="s">
        <v>37390</v>
      </c>
      <c r="C7897" s="51" t="s">
        <v>37392</v>
      </c>
      <c r="D7897" s="51" t="s">
        <v>56692</v>
      </c>
      <c r="E7897" s="45" t="s">
        <v>21721</v>
      </c>
      <c r="F7897" s="45" t="s">
        <v>17759</v>
      </c>
      <c r="G7897" s="45" t="s">
        <v>50584</v>
      </c>
      <c r="H7897" s="56"/>
      <c r="I7897" s="56" t="s">
        <v>50564</v>
      </c>
      <c r="J7897" s="56"/>
      <c r="K7897" s="57"/>
      <c r="L7897" s="56" t="s">
        <v>56716</v>
      </c>
    </row>
    <row r="7898" spans="1:12" ht="11.25" x14ac:dyDescent="0.2">
      <c r="A7898" s="45" t="s">
        <v>37505</v>
      </c>
      <c r="B7898" s="45" t="s">
        <v>37507</v>
      </c>
      <c r="C7898" s="51" t="s">
        <v>37509</v>
      </c>
      <c r="D7898" s="51" t="s">
        <v>37508</v>
      </c>
      <c r="E7898" s="45" t="s">
        <v>17758</v>
      </c>
      <c r="F7898" s="45" t="s">
        <v>17759</v>
      </c>
      <c r="G7898" s="45" t="s">
        <v>50584</v>
      </c>
      <c r="H7898" s="56"/>
      <c r="I7898" s="56" t="s">
        <v>50564</v>
      </c>
      <c r="J7898" s="56"/>
      <c r="K7898" s="57"/>
      <c r="L7898" s="56" t="s">
        <v>56716</v>
      </c>
    </row>
    <row r="7899" spans="1:12" ht="11.25" x14ac:dyDescent="0.2">
      <c r="A7899" s="45" t="s">
        <v>37615</v>
      </c>
      <c r="B7899" s="45" t="s">
        <v>37617</v>
      </c>
      <c r="C7899" s="51"/>
      <c r="D7899" s="51" t="s">
        <v>37618</v>
      </c>
      <c r="E7899" s="45" t="s">
        <v>37619</v>
      </c>
      <c r="F7899" s="45" t="s">
        <v>17759</v>
      </c>
      <c r="G7899" s="45" t="s">
        <v>50584</v>
      </c>
      <c r="H7899" s="56"/>
      <c r="I7899" s="56" t="s">
        <v>50564</v>
      </c>
      <c r="J7899" s="56"/>
      <c r="K7899" s="57"/>
      <c r="L7899" s="56" t="s">
        <v>56716</v>
      </c>
    </row>
    <row r="7900" spans="1:12" ht="11.25" x14ac:dyDescent="0.2">
      <c r="A7900" s="45" t="s">
        <v>37633</v>
      </c>
      <c r="B7900" s="45" t="s">
        <v>37635</v>
      </c>
      <c r="C7900" s="51" t="s">
        <v>37638</v>
      </c>
      <c r="D7900" s="51" t="s">
        <v>37637</v>
      </c>
      <c r="E7900" s="45" t="s">
        <v>776</v>
      </c>
      <c r="F7900" s="45" t="s">
        <v>17759</v>
      </c>
      <c r="G7900" s="45" t="s">
        <v>50584</v>
      </c>
      <c r="H7900" s="56"/>
      <c r="I7900" s="56" t="s">
        <v>50564</v>
      </c>
      <c r="J7900" s="56"/>
      <c r="K7900" s="57"/>
      <c r="L7900" s="56" t="s">
        <v>56716</v>
      </c>
    </row>
    <row r="7901" spans="1:12" ht="11.25" x14ac:dyDescent="0.2">
      <c r="A7901" s="45" t="s">
        <v>37641</v>
      </c>
      <c r="B7901" s="45" t="s">
        <v>37643</v>
      </c>
      <c r="C7901" s="51" t="s">
        <v>37645</v>
      </c>
      <c r="D7901" s="51" t="s">
        <v>37644</v>
      </c>
      <c r="E7901" s="45" t="s">
        <v>776</v>
      </c>
      <c r="F7901" s="45" t="s">
        <v>17759</v>
      </c>
      <c r="G7901" s="45" t="s">
        <v>50584</v>
      </c>
      <c r="H7901" s="56"/>
      <c r="I7901" s="56" t="s">
        <v>50564</v>
      </c>
      <c r="J7901" s="56"/>
      <c r="K7901" s="57"/>
      <c r="L7901" s="56" t="s">
        <v>56716</v>
      </c>
    </row>
    <row r="7902" spans="1:12" ht="11.25" x14ac:dyDescent="0.2">
      <c r="A7902" s="45" t="s">
        <v>37648</v>
      </c>
      <c r="B7902" s="45" t="s">
        <v>37650</v>
      </c>
      <c r="C7902" s="51" t="s">
        <v>37653</v>
      </c>
      <c r="D7902" s="51" t="s">
        <v>37652</v>
      </c>
      <c r="E7902" s="45" t="s">
        <v>37654</v>
      </c>
      <c r="F7902" s="45" t="s">
        <v>17759</v>
      </c>
      <c r="G7902" s="45" t="s">
        <v>50584</v>
      </c>
      <c r="H7902" s="56"/>
      <c r="I7902" s="56" t="s">
        <v>50564</v>
      </c>
      <c r="J7902" s="56"/>
      <c r="K7902" s="57"/>
      <c r="L7902" s="56" t="s">
        <v>56716</v>
      </c>
    </row>
    <row r="7903" spans="1:12" ht="11.25" x14ac:dyDescent="0.2">
      <c r="A7903" s="45" t="s">
        <v>37672</v>
      </c>
      <c r="B7903" s="45" t="s">
        <v>37674</v>
      </c>
      <c r="C7903" s="51" t="s">
        <v>37677</v>
      </c>
      <c r="D7903" s="51" t="s">
        <v>37676</v>
      </c>
      <c r="E7903" s="45" t="s">
        <v>1808</v>
      </c>
      <c r="F7903" s="45" t="s">
        <v>18242</v>
      </c>
      <c r="G7903" s="45" t="s">
        <v>50584</v>
      </c>
      <c r="H7903" s="56"/>
      <c r="I7903" s="56" t="s">
        <v>50564</v>
      </c>
      <c r="J7903" s="56"/>
      <c r="K7903" s="57"/>
      <c r="L7903" s="56" t="s">
        <v>56716</v>
      </c>
    </row>
    <row r="7904" spans="1:12" ht="11.25" x14ac:dyDescent="0.2">
      <c r="A7904" s="45" t="s">
        <v>37759</v>
      </c>
      <c r="B7904" s="45" t="s">
        <v>37761</v>
      </c>
      <c r="C7904" s="51" t="s">
        <v>37763</v>
      </c>
      <c r="D7904" s="51"/>
      <c r="E7904" s="45" t="s">
        <v>37764</v>
      </c>
      <c r="F7904" s="45" t="s">
        <v>17759</v>
      </c>
      <c r="G7904" s="45" t="s">
        <v>50584</v>
      </c>
      <c r="H7904" s="56"/>
      <c r="I7904" s="56" t="s">
        <v>50564</v>
      </c>
      <c r="J7904" s="56"/>
      <c r="K7904" s="57"/>
      <c r="L7904" s="56" t="s">
        <v>56716</v>
      </c>
    </row>
    <row r="7905" spans="1:12" ht="11.25" x14ac:dyDescent="0.2">
      <c r="A7905" s="45" t="s">
        <v>37806</v>
      </c>
      <c r="B7905" s="45" t="s">
        <v>37808</v>
      </c>
      <c r="C7905" s="51" t="s">
        <v>37811</v>
      </c>
      <c r="D7905" s="51" t="s">
        <v>37810</v>
      </c>
      <c r="E7905" s="45" t="s">
        <v>17783</v>
      </c>
      <c r="F7905" s="45" t="s">
        <v>18001</v>
      </c>
      <c r="G7905" s="45" t="s">
        <v>50584</v>
      </c>
      <c r="H7905" s="56"/>
      <c r="I7905" s="56" t="s">
        <v>50564</v>
      </c>
      <c r="J7905" s="56"/>
      <c r="K7905" s="57"/>
      <c r="L7905" s="56" t="s">
        <v>56716</v>
      </c>
    </row>
    <row r="7906" spans="1:12" ht="11.25" x14ac:dyDescent="0.2">
      <c r="A7906" s="45" t="s">
        <v>37819</v>
      </c>
      <c r="B7906" s="45" t="s">
        <v>37821</v>
      </c>
      <c r="C7906" s="51" t="s">
        <v>37823</v>
      </c>
      <c r="D7906" s="51" t="s">
        <v>37822</v>
      </c>
      <c r="E7906" s="45" t="s">
        <v>26729</v>
      </c>
      <c r="F7906" s="45" t="s">
        <v>17759</v>
      </c>
      <c r="G7906" s="45" t="s">
        <v>50584</v>
      </c>
      <c r="H7906" s="56"/>
      <c r="I7906" s="56" t="s">
        <v>50564</v>
      </c>
      <c r="J7906" s="56"/>
      <c r="K7906" s="57"/>
      <c r="L7906" s="56" t="s">
        <v>56716</v>
      </c>
    </row>
    <row r="7907" spans="1:12" ht="11.25" x14ac:dyDescent="0.2">
      <c r="A7907" s="45" t="s">
        <v>37877</v>
      </c>
      <c r="B7907" s="45" t="s">
        <v>37879</v>
      </c>
      <c r="C7907" s="51" t="s">
        <v>37881</v>
      </c>
      <c r="D7907" s="51"/>
      <c r="E7907" s="45" t="s">
        <v>37882</v>
      </c>
      <c r="F7907" s="45" t="s">
        <v>17759</v>
      </c>
      <c r="G7907" s="45" t="s">
        <v>50584</v>
      </c>
      <c r="H7907" s="56"/>
      <c r="I7907" s="56" t="s">
        <v>50564</v>
      </c>
      <c r="J7907" s="56"/>
      <c r="K7907" s="57"/>
      <c r="L7907" s="56" t="s">
        <v>56716</v>
      </c>
    </row>
    <row r="7908" spans="1:12" ht="11.25" x14ac:dyDescent="0.2">
      <c r="A7908" s="45" t="s">
        <v>37891</v>
      </c>
      <c r="B7908" s="45" t="s">
        <v>37893</v>
      </c>
      <c r="C7908" s="51" t="s">
        <v>37895</v>
      </c>
      <c r="D7908" s="51" t="s">
        <v>37894</v>
      </c>
      <c r="E7908" s="45" t="s">
        <v>37896</v>
      </c>
      <c r="F7908" s="45" t="s">
        <v>17759</v>
      </c>
      <c r="G7908" s="45" t="s">
        <v>50584</v>
      </c>
      <c r="H7908" s="56"/>
      <c r="I7908" s="56" t="s">
        <v>50564</v>
      </c>
      <c r="J7908" s="56"/>
      <c r="K7908" s="57"/>
      <c r="L7908" s="56" t="s">
        <v>56716</v>
      </c>
    </row>
    <row r="7909" spans="1:12" ht="11.25" x14ac:dyDescent="0.2">
      <c r="A7909" s="45" t="s">
        <v>38040</v>
      </c>
      <c r="B7909" s="45" t="s">
        <v>38042</v>
      </c>
      <c r="C7909" s="51" t="s">
        <v>38045</v>
      </c>
      <c r="D7909" s="51" t="s">
        <v>38044</v>
      </c>
      <c r="E7909" s="45" t="s">
        <v>38046</v>
      </c>
      <c r="F7909" s="45" t="s">
        <v>18242</v>
      </c>
      <c r="G7909" s="45" t="s">
        <v>50605</v>
      </c>
      <c r="H7909" s="56"/>
      <c r="I7909" s="56" t="s">
        <v>50564</v>
      </c>
      <c r="J7909" s="56"/>
      <c r="K7909" s="57"/>
      <c r="L7909" s="56" t="s">
        <v>56716</v>
      </c>
    </row>
    <row r="7910" spans="1:12" ht="11.25" x14ac:dyDescent="0.2">
      <c r="A7910" s="45" t="s">
        <v>38078</v>
      </c>
      <c r="B7910" s="45" t="s">
        <v>38080</v>
      </c>
      <c r="C7910" s="51" t="s">
        <v>38082</v>
      </c>
      <c r="D7910" s="51"/>
      <c r="E7910" s="45" t="s">
        <v>38083</v>
      </c>
      <c r="F7910" s="45" t="s">
        <v>17759</v>
      </c>
      <c r="G7910" s="45" t="s">
        <v>50584</v>
      </c>
      <c r="H7910" s="56"/>
      <c r="I7910" s="56" t="s">
        <v>50564</v>
      </c>
      <c r="J7910" s="56"/>
      <c r="K7910" s="57"/>
      <c r="L7910" s="56" t="s">
        <v>56716</v>
      </c>
    </row>
    <row r="7911" spans="1:12" ht="11.25" x14ac:dyDescent="0.2">
      <c r="A7911" s="45" t="s">
        <v>38085</v>
      </c>
      <c r="B7911" s="45" t="s">
        <v>38087</v>
      </c>
      <c r="C7911" s="51" t="s">
        <v>38090</v>
      </c>
      <c r="D7911" s="51" t="s">
        <v>38089</v>
      </c>
      <c r="E7911" s="45" t="s">
        <v>21146</v>
      </c>
      <c r="F7911" s="45" t="s">
        <v>50646</v>
      </c>
      <c r="G7911" s="45" t="s">
        <v>50584</v>
      </c>
      <c r="H7911" s="56"/>
      <c r="I7911" s="56" t="s">
        <v>50564</v>
      </c>
      <c r="J7911" s="56"/>
      <c r="K7911" s="57"/>
      <c r="L7911" s="56" t="s">
        <v>56716</v>
      </c>
    </row>
    <row r="7912" spans="1:12" ht="11.25" x14ac:dyDescent="0.2">
      <c r="A7912" s="45" t="s">
        <v>38098</v>
      </c>
      <c r="B7912" s="45" t="s">
        <v>38100</v>
      </c>
      <c r="C7912" s="51" t="s">
        <v>38103</v>
      </c>
      <c r="D7912" s="51" t="s">
        <v>38102</v>
      </c>
      <c r="E7912" s="45" t="s">
        <v>17805</v>
      </c>
      <c r="F7912" s="45" t="s">
        <v>17759</v>
      </c>
      <c r="G7912" s="45" t="s">
        <v>50584</v>
      </c>
      <c r="H7912" s="56"/>
      <c r="I7912" s="56" t="s">
        <v>50564</v>
      </c>
      <c r="J7912" s="56"/>
      <c r="K7912" s="57"/>
      <c r="L7912" s="56" t="s">
        <v>56716</v>
      </c>
    </row>
    <row r="7913" spans="1:12" ht="11.25" x14ac:dyDescent="0.2">
      <c r="A7913" s="45" t="s">
        <v>38105</v>
      </c>
      <c r="B7913" s="45" t="s">
        <v>38107</v>
      </c>
      <c r="C7913" s="51" t="s">
        <v>38110</v>
      </c>
      <c r="D7913" s="51" t="s">
        <v>38109</v>
      </c>
      <c r="E7913" s="45" t="s">
        <v>19447</v>
      </c>
      <c r="F7913" s="45" t="s">
        <v>17759</v>
      </c>
      <c r="G7913" s="45" t="s">
        <v>50584</v>
      </c>
      <c r="H7913" s="56"/>
      <c r="I7913" s="56" t="s">
        <v>50564</v>
      </c>
      <c r="J7913" s="56"/>
      <c r="K7913" s="57"/>
      <c r="L7913" s="56" t="s">
        <v>56716</v>
      </c>
    </row>
    <row r="7914" spans="1:12" ht="11.25" x14ac:dyDescent="0.2">
      <c r="A7914" s="45" t="s">
        <v>38157</v>
      </c>
      <c r="B7914" s="45" t="s">
        <v>38159</v>
      </c>
      <c r="C7914" s="51" t="s">
        <v>38161</v>
      </c>
      <c r="D7914" s="51" t="s">
        <v>38160</v>
      </c>
      <c r="E7914" s="45" t="s">
        <v>23527</v>
      </c>
      <c r="F7914" s="45" t="s">
        <v>50646</v>
      </c>
      <c r="G7914" s="45" t="s">
        <v>50584</v>
      </c>
      <c r="H7914" s="56"/>
      <c r="I7914" s="56" t="s">
        <v>50564</v>
      </c>
      <c r="J7914" s="56"/>
      <c r="K7914" s="57"/>
      <c r="L7914" s="56" t="s">
        <v>56716</v>
      </c>
    </row>
    <row r="7915" spans="1:12" ht="11.25" x14ac:dyDescent="0.2">
      <c r="A7915" s="45" t="s">
        <v>38171</v>
      </c>
      <c r="B7915" s="45" t="s">
        <v>38173</v>
      </c>
      <c r="C7915" s="51" t="s">
        <v>38176</v>
      </c>
      <c r="D7915" s="51" t="s">
        <v>38175</v>
      </c>
      <c r="E7915" s="45" t="s">
        <v>689</v>
      </c>
      <c r="F7915" s="45" t="s">
        <v>17759</v>
      </c>
      <c r="G7915" s="45" t="s">
        <v>50584</v>
      </c>
      <c r="H7915" s="56"/>
      <c r="I7915" s="56" t="s">
        <v>50564</v>
      </c>
      <c r="J7915" s="56"/>
      <c r="K7915" s="57"/>
      <c r="L7915" s="56" t="s">
        <v>56716</v>
      </c>
    </row>
    <row r="7916" spans="1:12" ht="11.25" x14ac:dyDescent="0.2">
      <c r="A7916" s="45" t="s">
        <v>38233</v>
      </c>
      <c r="B7916" s="45" t="s">
        <v>38235</v>
      </c>
      <c r="C7916" s="51" t="s">
        <v>38236</v>
      </c>
      <c r="D7916" s="51"/>
      <c r="E7916" s="45" t="s">
        <v>1708</v>
      </c>
      <c r="F7916" s="45" t="s">
        <v>17991</v>
      </c>
      <c r="G7916" s="45" t="s">
        <v>50584</v>
      </c>
      <c r="H7916" s="56"/>
      <c r="I7916" s="56" t="s">
        <v>50564</v>
      </c>
      <c r="J7916" s="56"/>
      <c r="K7916" s="57"/>
      <c r="L7916" s="56" t="s">
        <v>56716</v>
      </c>
    </row>
    <row r="7917" spans="1:12" ht="11.25" x14ac:dyDescent="0.2">
      <c r="A7917" s="45" t="s">
        <v>38344</v>
      </c>
      <c r="B7917" s="45" t="s">
        <v>38346</v>
      </c>
      <c r="C7917" s="51" t="s">
        <v>38348</v>
      </c>
      <c r="D7917" s="51" t="s">
        <v>38347</v>
      </c>
      <c r="E7917" s="45" t="s">
        <v>24653</v>
      </c>
      <c r="F7917" s="45" t="s">
        <v>17759</v>
      </c>
      <c r="G7917" s="45" t="s">
        <v>50584</v>
      </c>
      <c r="H7917" s="56"/>
      <c r="I7917" s="56" t="s">
        <v>50564</v>
      </c>
      <c r="J7917" s="56"/>
      <c r="K7917" s="57"/>
      <c r="L7917" s="56" t="s">
        <v>56716</v>
      </c>
    </row>
    <row r="7918" spans="1:12" ht="11.25" x14ac:dyDescent="0.2">
      <c r="A7918" s="45" t="s">
        <v>38367</v>
      </c>
      <c r="B7918" s="45" t="s">
        <v>38369</v>
      </c>
      <c r="C7918" s="51" t="s">
        <v>38370</v>
      </c>
      <c r="D7918" s="51"/>
      <c r="E7918" s="45" t="s">
        <v>38371</v>
      </c>
      <c r="F7918" s="45" t="s">
        <v>17759</v>
      </c>
      <c r="G7918" s="45" t="s">
        <v>50584</v>
      </c>
      <c r="H7918" s="56"/>
      <c r="I7918" s="56" t="s">
        <v>50564</v>
      </c>
      <c r="J7918" s="56"/>
      <c r="K7918" s="57"/>
      <c r="L7918" s="56" t="s">
        <v>56716</v>
      </c>
    </row>
    <row r="7919" spans="1:12" ht="11.25" x14ac:dyDescent="0.2">
      <c r="A7919" s="45" t="s">
        <v>38374</v>
      </c>
      <c r="B7919" s="45" t="s">
        <v>38376</v>
      </c>
      <c r="C7919" s="51" t="s">
        <v>38379</v>
      </c>
      <c r="D7919" s="51" t="s">
        <v>38378</v>
      </c>
      <c r="E7919" s="45" t="s">
        <v>38380</v>
      </c>
      <c r="F7919" s="45" t="s">
        <v>17759</v>
      </c>
      <c r="G7919" s="45" t="s">
        <v>50584</v>
      </c>
      <c r="H7919" s="56"/>
      <c r="I7919" s="56" t="s">
        <v>50564</v>
      </c>
      <c r="J7919" s="56"/>
      <c r="K7919" s="57"/>
      <c r="L7919" s="56" t="s">
        <v>56716</v>
      </c>
    </row>
    <row r="7920" spans="1:12" ht="11.25" x14ac:dyDescent="0.2">
      <c r="A7920" s="45" t="s">
        <v>38416</v>
      </c>
      <c r="B7920" s="45" t="s">
        <v>38418</v>
      </c>
      <c r="C7920" s="51" t="s">
        <v>38419</v>
      </c>
      <c r="D7920" s="51"/>
      <c r="E7920" s="45" t="s">
        <v>38420</v>
      </c>
      <c r="F7920" s="45" t="s">
        <v>17759</v>
      </c>
      <c r="G7920" s="45" t="s">
        <v>50584</v>
      </c>
      <c r="H7920" s="56"/>
      <c r="I7920" s="56" t="s">
        <v>50564</v>
      </c>
      <c r="J7920" s="56"/>
      <c r="K7920" s="57"/>
      <c r="L7920" s="56" t="s">
        <v>56716</v>
      </c>
    </row>
    <row r="7921" spans="1:12" ht="11.25" x14ac:dyDescent="0.2">
      <c r="A7921" s="45" t="s">
        <v>38466</v>
      </c>
      <c r="B7921" s="45" t="s">
        <v>38468</v>
      </c>
      <c r="C7921" s="51" t="s">
        <v>38470</v>
      </c>
      <c r="D7921" s="51" t="s">
        <v>38469</v>
      </c>
      <c r="E7921" s="45" t="s">
        <v>38471</v>
      </c>
      <c r="F7921" s="45" t="s">
        <v>17759</v>
      </c>
      <c r="G7921" s="45" t="s">
        <v>50584</v>
      </c>
      <c r="H7921" s="56"/>
      <c r="I7921" s="56" t="s">
        <v>50564</v>
      </c>
      <c r="J7921" s="56"/>
      <c r="K7921" s="57"/>
      <c r="L7921" s="56" t="s">
        <v>56716</v>
      </c>
    </row>
    <row r="7922" spans="1:12" ht="11.25" x14ac:dyDescent="0.2">
      <c r="A7922" s="45" t="s">
        <v>38528</v>
      </c>
      <c r="B7922" s="45" t="s">
        <v>38530</v>
      </c>
      <c r="C7922" s="51" t="s">
        <v>38532</v>
      </c>
      <c r="D7922" s="51"/>
      <c r="E7922" s="45" t="s">
        <v>38533</v>
      </c>
      <c r="F7922" s="45" t="s">
        <v>17759</v>
      </c>
      <c r="G7922" s="45" t="s">
        <v>50584</v>
      </c>
      <c r="H7922" s="56"/>
      <c r="I7922" s="56" t="s">
        <v>50564</v>
      </c>
      <c r="J7922" s="56"/>
      <c r="K7922" s="57"/>
      <c r="L7922" s="56" t="s">
        <v>56716</v>
      </c>
    </row>
    <row r="7923" spans="1:12" ht="11.25" x14ac:dyDescent="0.2">
      <c r="A7923" s="45" t="s">
        <v>38546</v>
      </c>
      <c r="B7923" s="45" t="s">
        <v>38548</v>
      </c>
      <c r="C7923" s="51" t="s">
        <v>38550</v>
      </c>
      <c r="D7923" s="51" t="s">
        <v>38549</v>
      </c>
      <c r="E7923" s="45" t="s">
        <v>19447</v>
      </c>
      <c r="F7923" s="45" t="s">
        <v>17759</v>
      </c>
      <c r="G7923" s="45" t="s">
        <v>50584</v>
      </c>
      <c r="H7923" s="56"/>
      <c r="I7923" s="56" t="s">
        <v>50564</v>
      </c>
      <c r="J7923" s="56"/>
      <c r="K7923" s="57"/>
      <c r="L7923" s="56" t="s">
        <v>56716</v>
      </c>
    </row>
    <row r="7924" spans="1:12" ht="11.25" x14ac:dyDescent="0.2">
      <c r="A7924" s="45" t="s">
        <v>38553</v>
      </c>
      <c r="B7924" s="45" t="s">
        <v>38555</v>
      </c>
      <c r="C7924" s="51" t="s">
        <v>38556</v>
      </c>
      <c r="D7924" s="51"/>
      <c r="E7924" s="45" t="s">
        <v>38557</v>
      </c>
      <c r="F7924" s="45" t="s">
        <v>20446</v>
      </c>
      <c r="G7924" s="45" t="s">
        <v>50584</v>
      </c>
      <c r="H7924" s="56"/>
      <c r="I7924" s="56" t="s">
        <v>50564</v>
      </c>
      <c r="J7924" s="56"/>
      <c r="K7924" s="57"/>
      <c r="L7924" s="56" t="s">
        <v>56716</v>
      </c>
    </row>
    <row r="7925" spans="1:12" ht="11.25" x14ac:dyDescent="0.2">
      <c r="A7925" s="45" t="s">
        <v>38583</v>
      </c>
      <c r="B7925" s="45" t="s">
        <v>38585</v>
      </c>
      <c r="C7925" s="51" t="s">
        <v>38587</v>
      </c>
      <c r="D7925" s="51" t="s">
        <v>38586</v>
      </c>
      <c r="E7925" s="45" t="s">
        <v>17758</v>
      </c>
      <c r="F7925" s="45" t="s">
        <v>50646</v>
      </c>
      <c r="G7925" s="45" t="s">
        <v>56524</v>
      </c>
      <c r="H7925" s="56"/>
      <c r="I7925" s="56" t="s">
        <v>50564</v>
      </c>
      <c r="J7925" s="56"/>
      <c r="K7925" s="57"/>
      <c r="L7925" s="56" t="s">
        <v>56716</v>
      </c>
    </row>
    <row r="7926" spans="1:12" ht="11.25" x14ac:dyDescent="0.2">
      <c r="A7926" s="45" t="s">
        <v>38693</v>
      </c>
      <c r="B7926" s="45" t="s">
        <v>38695</v>
      </c>
      <c r="C7926" s="51" t="s">
        <v>38697</v>
      </c>
      <c r="D7926" s="51" t="s">
        <v>38697</v>
      </c>
      <c r="E7926" s="45" t="s">
        <v>38698</v>
      </c>
      <c r="F7926" s="45" t="s">
        <v>17759</v>
      </c>
      <c r="G7926" s="45" t="s">
        <v>50584</v>
      </c>
      <c r="H7926" s="56"/>
      <c r="I7926" s="56" t="s">
        <v>50564</v>
      </c>
      <c r="J7926" s="56"/>
      <c r="K7926" s="57"/>
      <c r="L7926" s="56" t="s">
        <v>56716</v>
      </c>
    </row>
    <row r="7927" spans="1:12" ht="11.25" x14ac:dyDescent="0.2">
      <c r="A7927" s="45" t="s">
        <v>38731</v>
      </c>
      <c r="B7927" s="45" t="s">
        <v>38733</v>
      </c>
      <c r="C7927" s="51" t="s">
        <v>38735</v>
      </c>
      <c r="D7927" s="51"/>
      <c r="E7927" s="45" t="s">
        <v>38736</v>
      </c>
      <c r="F7927" s="45" t="s">
        <v>17759</v>
      </c>
      <c r="G7927" s="45" t="s">
        <v>50584</v>
      </c>
      <c r="H7927" s="56"/>
      <c r="I7927" s="56" t="s">
        <v>50564</v>
      </c>
      <c r="J7927" s="56"/>
      <c r="K7927" s="57"/>
      <c r="L7927" s="56" t="s">
        <v>56716</v>
      </c>
    </row>
    <row r="7928" spans="1:12" ht="11.25" x14ac:dyDescent="0.2">
      <c r="A7928" s="45" t="s">
        <v>38774</v>
      </c>
      <c r="B7928" s="45" t="s">
        <v>38776</v>
      </c>
      <c r="C7928" s="51" t="s">
        <v>38778</v>
      </c>
      <c r="D7928" s="51"/>
      <c r="E7928" s="45" t="s">
        <v>38779</v>
      </c>
      <c r="F7928" s="45" t="s">
        <v>17759</v>
      </c>
      <c r="G7928" s="45" t="s">
        <v>50584</v>
      </c>
      <c r="H7928" s="56"/>
      <c r="I7928" s="56" t="s">
        <v>50564</v>
      </c>
      <c r="J7928" s="56"/>
      <c r="K7928" s="57"/>
      <c r="L7928" s="56" t="s">
        <v>56716</v>
      </c>
    </row>
    <row r="7929" spans="1:12" ht="11.25" x14ac:dyDescent="0.2">
      <c r="A7929" s="45" t="s">
        <v>38789</v>
      </c>
      <c r="B7929" s="45" t="s">
        <v>38791</v>
      </c>
      <c r="C7929" s="51" t="s">
        <v>38792</v>
      </c>
      <c r="D7929" s="51"/>
      <c r="E7929" s="45" t="s">
        <v>38793</v>
      </c>
      <c r="F7929" s="45" t="s">
        <v>17759</v>
      </c>
      <c r="G7929" s="45" t="s">
        <v>50584</v>
      </c>
      <c r="H7929" s="56"/>
      <c r="I7929" s="56" t="s">
        <v>50564</v>
      </c>
      <c r="J7929" s="56"/>
      <c r="K7929" s="57"/>
      <c r="L7929" s="56" t="s">
        <v>56716</v>
      </c>
    </row>
    <row r="7930" spans="1:12" ht="11.25" x14ac:dyDescent="0.2">
      <c r="A7930" s="45" t="s">
        <v>38867</v>
      </c>
      <c r="B7930" s="45" t="s">
        <v>38869</v>
      </c>
      <c r="C7930" s="51" t="s">
        <v>38871</v>
      </c>
      <c r="D7930" s="51"/>
      <c r="E7930" s="45" t="s">
        <v>38872</v>
      </c>
      <c r="F7930" s="45" t="s">
        <v>17759</v>
      </c>
      <c r="G7930" s="45" t="s">
        <v>50584</v>
      </c>
      <c r="H7930" s="56"/>
      <c r="I7930" s="56" t="s">
        <v>50564</v>
      </c>
      <c r="J7930" s="56"/>
      <c r="K7930" s="57"/>
      <c r="L7930" s="56" t="s">
        <v>56716</v>
      </c>
    </row>
    <row r="7931" spans="1:12" ht="11.25" x14ac:dyDescent="0.2">
      <c r="A7931" s="45" t="s">
        <v>38874</v>
      </c>
      <c r="B7931" s="45" t="s">
        <v>38876</v>
      </c>
      <c r="C7931" s="51" t="s">
        <v>38878</v>
      </c>
      <c r="D7931" s="51"/>
      <c r="E7931" s="45" t="s">
        <v>38879</v>
      </c>
      <c r="F7931" s="45" t="s">
        <v>17759</v>
      </c>
      <c r="G7931" s="45" t="s">
        <v>50584</v>
      </c>
      <c r="H7931" s="56"/>
      <c r="I7931" s="56" t="s">
        <v>50564</v>
      </c>
      <c r="J7931" s="56"/>
      <c r="K7931" s="57"/>
      <c r="L7931" s="56" t="s">
        <v>56716</v>
      </c>
    </row>
    <row r="7932" spans="1:12" ht="11.25" x14ac:dyDescent="0.2">
      <c r="A7932" s="45" t="s">
        <v>39113</v>
      </c>
      <c r="B7932" s="45" t="s">
        <v>39115</v>
      </c>
      <c r="C7932" s="51" t="s">
        <v>39118</v>
      </c>
      <c r="D7932" s="51" t="s">
        <v>39117</v>
      </c>
      <c r="E7932" s="45" t="s">
        <v>39119</v>
      </c>
      <c r="F7932" s="45" t="s">
        <v>18242</v>
      </c>
      <c r="G7932" s="45" t="s">
        <v>50584</v>
      </c>
      <c r="H7932" s="56"/>
      <c r="I7932" s="56" t="s">
        <v>50564</v>
      </c>
      <c r="J7932" s="56"/>
      <c r="K7932" s="57"/>
      <c r="L7932" s="56" t="s">
        <v>56716</v>
      </c>
    </row>
    <row r="7933" spans="1:12" ht="11.25" x14ac:dyDescent="0.2">
      <c r="A7933" s="45" t="s">
        <v>39246</v>
      </c>
      <c r="B7933" s="45" t="s">
        <v>39248</v>
      </c>
      <c r="C7933" s="51" t="s">
        <v>39251</v>
      </c>
      <c r="D7933" s="51" t="s">
        <v>39250</v>
      </c>
      <c r="E7933" s="45" t="s">
        <v>39252</v>
      </c>
      <c r="F7933" s="45" t="s">
        <v>17759</v>
      </c>
      <c r="G7933" s="45" t="s">
        <v>50584</v>
      </c>
      <c r="H7933" s="56"/>
      <c r="I7933" s="56" t="s">
        <v>50564</v>
      </c>
      <c r="J7933" s="56"/>
      <c r="K7933" s="57"/>
      <c r="L7933" s="56" t="s">
        <v>56716</v>
      </c>
    </row>
    <row r="7934" spans="1:12" ht="11.25" x14ac:dyDescent="0.2">
      <c r="A7934" s="45" t="s">
        <v>39254</v>
      </c>
      <c r="B7934" s="45" t="s">
        <v>39256</v>
      </c>
      <c r="C7934" s="51" t="s">
        <v>39258</v>
      </c>
      <c r="D7934" s="51" t="s">
        <v>39257</v>
      </c>
      <c r="E7934" s="45" t="s">
        <v>39252</v>
      </c>
      <c r="F7934" s="45" t="s">
        <v>17759</v>
      </c>
      <c r="G7934" s="45" t="s">
        <v>50584</v>
      </c>
      <c r="H7934" s="56"/>
      <c r="I7934" s="56" t="s">
        <v>50564</v>
      </c>
      <c r="J7934" s="56"/>
      <c r="K7934" s="57"/>
      <c r="L7934" s="56" t="s">
        <v>56716</v>
      </c>
    </row>
    <row r="7935" spans="1:12" ht="11.25" x14ac:dyDescent="0.2">
      <c r="A7935" s="45" t="s">
        <v>39464</v>
      </c>
      <c r="B7935" s="45" t="s">
        <v>39466</v>
      </c>
      <c r="C7935" s="51" t="s">
        <v>39468</v>
      </c>
      <c r="D7935" s="51"/>
      <c r="E7935" s="45" t="s">
        <v>39469</v>
      </c>
      <c r="F7935" s="45" t="s">
        <v>50649</v>
      </c>
      <c r="G7935" s="45" t="s">
        <v>50606</v>
      </c>
      <c r="H7935" s="56"/>
      <c r="I7935" s="56" t="s">
        <v>50564</v>
      </c>
      <c r="J7935" s="56"/>
      <c r="K7935" s="57"/>
      <c r="L7935" s="56" t="s">
        <v>56716</v>
      </c>
    </row>
    <row r="7936" spans="1:12" ht="11.25" x14ac:dyDescent="0.2">
      <c r="A7936" s="46" t="s">
        <v>2819</v>
      </c>
      <c r="B7936" s="46" t="s">
        <v>39589</v>
      </c>
      <c r="C7936" s="58" t="str">
        <f>"01406736"</f>
        <v>01406736</v>
      </c>
      <c r="D7936" s="58" t="str">
        <f>"1474547X"</f>
        <v>1474547X</v>
      </c>
      <c r="E7936" s="46" t="s">
        <v>2822</v>
      </c>
      <c r="F7936" s="46" t="s">
        <v>50646</v>
      </c>
      <c r="G7936" s="46" t="s">
        <v>50584</v>
      </c>
      <c r="H7936" s="48" t="s">
        <v>56716</v>
      </c>
      <c r="I7936" s="48" t="s">
        <v>50564</v>
      </c>
      <c r="J7936" s="48" t="s">
        <v>56716</v>
      </c>
      <c r="K7936" s="50" t="s">
        <v>56716</v>
      </c>
      <c r="L7936" s="48" t="s">
        <v>56716</v>
      </c>
    </row>
    <row r="7937" spans="1:12" ht="11.25" x14ac:dyDescent="0.2">
      <c r="A7937" s="46" t="s">
        <v>16787</v>
      </c>
      <c r="B7937" s="46" t="s">
        <v>55561</v>
      </c>
      <c r="C7937" s="58" t="str">
        <f>"22138587"</f>
        <v>22138587</v>
      </c>
      <c r="D7937" s="58" t="str">
        <f>"22138595"</f>
        <v>22138595</v>
      </c>
      <c r="E7937" s="46" t="s">
        <v>2822</v>
      </c>
      <c r="F7937" s="46" t="s">
        <v>50646</v>
      </c>
      <c r="G7937" s="46" t="s">
        <v>50584</v>
      </c>
      <c r="H7937" s="48" t="s">
        <v>56716</v>
      </c>
      <c r="I7937" s="48" t="s">
        <v>50564</v>
      </c>
      <c r="J7937" s="48" t="s">
        <v>56716</v>
      </c>
      <c r="K7937" s="50" t="s">
        <v>56716</v>
      </c>
      <c r="L7937" s="48" t="s">
        <v>56716</v>
      </c>
    </row>
    <row r="7938" spans="1:12" ht="11.25" x14ac:dyDescent="0.2">
      <c r="A7938" s="46" t="s">
        <v>17202</v>
      </c>
      <c r="B7938" s="46" t="s">
        <v>55562</v>
      </c>
      <c r="C7938" s="58" t="str">
        <f>""</f>
        <v/>
      </c>
      <c r="D7938" s="58" t="str">
        <f>"2214109X"</f>
        <v>2214109X</v>
      </c>
      <c r="E7938" s="46" t="s">
        <v>155</v>
      </c>
      <c r="F7938" s="46" t="s">
        <v>50646</v>
      </c>
      <c r="G7938" s="46" t="s">
        <v>50584</v>
      </c>
      <c r="H7938" s="48" t="s">
        <v>56716</v>
      </c>
      <c r="I7938" s="48" t="s">
        <v>50564</v>
      </c>
      <c r="J7938" s="48" t="s">
        <v>56716</v>
      </c>
      <c r="K7938" s="50" t="s">
        <v>56716</v>
      </c>
      <c r="L7938" s="48" t="s">
        <v>56716</v>
      </c>
    </row>
    <row r="7939" spans="1:12" ht="11.25" x14ac:dyDescent="0.2">
      <c r="A7939" s="46" t="s">
        <v>56048</v>
      </c>
      <c r="B7939" s="46" t="s">
        <v>56049</v>
      </c>
      <c r="C7939" s="58" t="str">
        <f>""</f>
        <v/>
      </c>
      <c r="D7939" s="58" t="str">
        <f>"23523026"</f>
        <v>23523026</v>
      </c>
      <c r="E7939" s="46" t="s">
        <v>155</v>
      </c>
      <c r="F7939" s="46" t="s">
        <v>50646</v>
      </c>
      <c r="G7939" s="46" t="s">
        <v>50584</v>
      </c>
      <c r="H7939" s="48" t="s">
        <v>56716</v>
      </c>
      <c r="I7939" s="48" t="s">
        <v>50564</v>
      </c>
      <c r="J7939" s="48" t="s">
        <v>56716</v>
      </c>
      <c r="K7939" s="57"/>
      <c r="L7939" s="48"/>
    </row>
    <row r="7940" spans="1:12" ht="11.25" x14ac:dyDescent="0.2">
      <c r="A7940" s="46" t="s">
        <v>56050</v>
      </c>
      <c r="B7940" s="46" t="s">
        <v>56051</v>
      </c>
      <c r="C7940" s="58" t="str">
        <f>""</f>
        <v/>
      </c>
      <c r="D7940" s="58" t="str">
        <f>"23523018"</f>
        <v>23523018</v>
      </c>
      <c r="E7940" s="46" t="s">
        <v>155</v>
      </c>
      <c r="F7940" s="46" t="s">
        <v>50646</v>
      </c>
      <c r="G7940" s="46" t="s">
        <v>50584</v>
      </c>
      <c r="H7940" s="48" t="s">
        <v>56716</v>
      </c>
      <c r="I7940" s="48" t="s">
        <v>50564</v>
      </c>
      <c r="J7940" s="48" t="s">
        <v>56716</v>
      </c>
      <c r="K7940" s="50" t="s">
        <v>56716</v>
      </c>
      <c r="L7940" s="48"/>
    </row>
    <row r="7941" spans="1:12" ht="11.25" x14ac:dyDescent="0.2">
      <c r="A7941" s="46" t="s">
        <v>9080</v>
      </c>
      <c r="B7941" s="46" t="s">
        <v>55563</v>
      </c>
      <c r="C7941" s="58" t="str">
        <f>"14733099"</f>
        <v>14733099</v>
      </c>
      <c r="D7941" s="58" t="str">
        <f>"14744457"</f>
        <v>14744457</v>
      </c>
      <c r="E7941" s="46" t="s">
        <v>2822</v>
      </c>
      <c r="F7941" s="46" t="s">
        <v>50646</v>
      </c>
      <c r="G7941" s="46" t="s">
        <v>50584</v>
      </c>
      <c r="H7941" s="48" t="s">
        <v>56716</v>
      </c>
      <c r="I7941" s="48" t="s">
        <v>50564</v>
      </c>
      <c r="J7941" s="48" t="s">
        <v>56716</v>
      </c>
      <c r="K7941" s="50" t="s">
        <v>56716</v>
      </c>
      <c r="L7941" s="48" t="s">
        <v>56716</v>
      </c>
    </row>
    <row r="7942" spans="1:12" ht="11.25" x14ac:dyDescent="0.2">
      <c r="A7942" s="46" t="s">
        <v>9511</v>
      </c>
      <c r="B7942" s="46" t="s">
        <v>55564</v>
      </c>
      <c r="C7942" s="58" t="str">
        <f>"14744422"</f>
        <v>14744422</v>
      </c>
      <c r="D7942" s="58" t="str">
        <f>"14744465"</f>
        <v>14744465</v>
      </c>
      <c r="E7942" s="46" t="s">
        <v>2822</v>
      </c>
      <c r="F7942" s="46" t="s">
        <v>50646</v>
      </c>
      <c r="G7942" s="46" t="s">
        <v>50584</v>
      </c>
      <c r="H7942" s="48" t="s">
        <v>56716</v>
      </c>
      <c r="I7942" s="48" t="s">
        <v>50564</v>
      </c>
      <c r="J7942" s="48" t="s">
        <v>56716</v>
      </c>
      <c r="K7942" s="50" t="s">
        <v>56716</v>
      </c>
      <c r="L7942" s="48" t="s">
        <v>56716</v>
      </c>
    </row>
    <row r="7943" spans="1:12" ht="11.25" x14ac:dyDescent="0.2">
      <c r="A7943" s="46" t="s">
        <v>8620</v>
      </c>
      <c r="B7943" s="46" t="s">
        <v>55565</v>
      </c>
      <c r="C7943" s="58" t="str">
        <f>"14702045"</f>
        <v>14702045</v>
      </c>
      <c r="D7943" s="58" t="str">
        <f>"14745488"</f>
        <v>14745488</v>
      </c>
      <c r="E7943" s="46" t="s">
        <v>2822</v>
      </c>
      <c r="F7943" s="46" t="s">
        <v>50646</v>
      </c>
      <c r="G7943" s="46" t="s">
        <v>50584</v>
      </c>
      <c r="H7943" s="48" t="s">
        <v>56716</v>
      </c>
      <c r="I7943" s="48" t="s">
        <v>50564</v>
      </c>
      <c r="J7943" s="48" t="s">
        <v>56716</v>
      </c>
      <c r="K7943" s="50" t="s">
        <v>56716</v>
      </c>
      <c r="L7943" s="48" t="s">
        <v>56716</v>
      </c>
    </row>
    <row r="7944" spans="1:12" ht="11.25" x14ac:dyDescent="0.2">
      <c r="A7944" s="46" t="s">
        <v>56052</v>
      </c>
      <c r="B7944" s="46" t="s">
        <v>56053</v>
      </c>
      <c r="C7944" s="58" t="str">
        <f>""</f>
        <v/>
      </c>
      <c r="D7944" s="58" t="str">
        <f>"22150366"</f>
        <v>22150366</v>
      </c>
      <c r="E7944" s="46" t="s">
        <v>155</v>
      </c>
      <c r="F7944" s="46" t="s">
        <v>50646</v>
      </c>
      <c r="G7944" s="46" t="s">
        <v>50584</v>
      </c>
      <c r="H7944" s="48" t="s">
        <v>56716</v>
      </c>
      <c r="I7944" s="48" t="s">
        <v>50564</v>
      </c>
      <c r="J7944" s="48" t="s">
        <v>56716</v>
      </c>
      <c r="K7944" s="50" t="s">
        <v>56716</v>
      </c>
      <c r="L7944" s="48"/>
    </row>
    <row r="7945" spans="1:12" ht="11.25" x14ac:dyDescent="0.2">
      <c r="A7945" s="46" t="s">
        <v>16510</v>
      </c>
      <c r="B7945" s="46" t="s">
        <v>55566</v>
      </c>
      <c r="C7945" s="58" t="str">
        <f>"22132600"</f>
        <v>22132600</v>
      </c>
      <c r="D7945" s="58" t="str">
        <f>"22132619"</f>
        <v>22132619</v>
      </c>
      <c r="E7945" s="46" t="s">
        <v>2822</v>
      </c>
      <c r="F7945" s="46" t="s">
        <v>50646</v>
      </c>
      <c r="G7945" s="46" t="s">
        <v>50584</v>
      </c>
      <c r="H7945" s="48" t="s">
        <v>56716</v>
      </c>
      <c r="I7945" s="48" t="s">
        <v>50564</v>
      </c>
      <c r="J7945" s="48" t="s">
        <v>56716</v>
      </c>
      <c r="K7945" s="50" t="s">
        <v>56716</v>
      </c>
      <c r="L7945" s="48" t="s">
        <v>56716</v>
      </c>
    </row>
    <row r="7946" spans="1:12" ht="11.25" x14ac:dyDescent="0.2">
      <c r="A7946" s="45" t="s">
        <v>40506</v>
      </c>
      <c r="B7946" s="45" t="s">
        <v>40508</v>
      </c>
      <c r="C7946" s="51" t="s">
        <v>40511</v>
      </c>
      <c r="D7946" s="51" t="s">
        <v>40510</v>
      </c>
      <c r="E7946" s="45" t="s">
        <v>18520</v>
      </c>
      <c r="F7946" s="45" t="s">
        <v>50646</v>
      </c>
      <c r="G7946" s="45" t="s">
        <v>50584</v>
      </c>
      <c r="H7946" s="56"/>
      <c r="I7946" s="56" t="s">
        <v>50564</v>
      </c>
      <c r="J7946" s="56"/>
      <c r="K7946" s="57"/>
      <c r="L7946" s="56" t="s">
        <v>56716</v>
      </c>
    </row>
    <row r="7947" spans="1:12" ht="11.25" x14ac:dyDescent="0.2">
      <c r="A7947" s="45" t="s">
        <v>40610</v>
      </c>
      <c r="B7947" s="45" t="s">
        <v>40612</v>
      </c>
      <c r="C7947" s="51" t="s">
        <v>40613</v>
      </c>
      <c r="D7947" s="51"/>
      <c r="E7947" s="45" t="s">
        <v>40614</v>
      </c>
      <c r="F7947" s="45" t="s">
        <v>17759</v>
      </c>
      <c r="G7947" s="45" t="s">
        <v>50584</v>
      </c>
      <c r="H7947" s="56"/>
      <c r="I7947" s="56" t="s">
        <v>50564</v>
      </c>
      <c r="J7947" s="56"/>
      <c r="K7947" s="57"/>
      <c r="L7947" s="56" t="s">
        <v>56716</v>
      </c>
    </row>
    <row r="7948" spans="1:12" ht="11.25" x14ac:dyDescent="0.2">
      <c r="A7948" s="45" t="s">
        <v>40717</v>
      </c>
      <c r="B7948" s="45" t="s">
        <v>40719</v>
      </c>
      <c r="C7948" s="51" t="s">
        <v>40720</v>
      </c>
      <c r="D7948" s="51"/>
      <c r="E7948" s="45" t="s">
        <v>40721</v>
      </c>
      <c r="F7948" s="45" t="s">
        <v>17759</v>
      </c>
      <c r="G7948" s="45" t="s">
        <v>50584</v>
      </c>
      <c r="H7948" s="56"/>
      <c r="I7948" s="56" t="s">
        <v>50564</v>
      </c>
      <c r="J7948" s="56"/>
      <c r="K7948" s="57"/>
      <c r="L7948" s="56" t="s">
        <v>56716</v>
      </c>
    </row>
    <row r="7949" spans="1:12" ht="11.25" x14ac:dyDescent="0.2">
      <c r="A7949" s="45" t="s">
        <v>50529</v>
      </c>
      <c r="B7949" s="45" t="s">
        <v>50531</v>
      </c>
      <c r="C7949" s="51" t="s">
        <v>50534</v>
      </c>
      <c r="D7949" s="51" t="s">
        <v>50533</v>
      </c>
      <c r="E7949" s="45" t="s">
        <v>856</v>
      </c>
      <c r="F7949" s="45" t="s">
        <v>50646</v>
      </c>
      <c r="G7949" s="45" t="s">
        <v>50584</v>
      </c>
      <c r="H7949" s="56"/>
      <c r="I7949" s="56" t="s">
        <v>50564</v>
      </c>
      <c r="J7949" s="56"/>
      <c r="K7949" s="57"/>
      <c r="L7949" s="56" t="s">
        <v>56716</v>
      </c>
    </row>
    <row r="7950" spans="1:12" ht="11.25" x14ac:dyDescent="0.2">
      <c r="A7950" s="45" t="s">
        <v>42309</v>
      </c>
      <c r="B7950" s="45" t="s">
        <v>42311</v>
      </c>
      <c r="C7950" s="51" t="s">
        <v>42313</v>
      </c>
      <c r="D7950" s="51"/>
      <c r="E7950" s="45" t="s">
        <v>42314</v>
      </c>
      <c r="F7950" s="45" t="s">
        <v>17991</v>
      </c>
      <c r="G7950" s="45" t="s">
        <v>50584</v>
      </c>
      <c r="H7950" s="56"/>
      <c r="I7950" s="56" t="s">
        <v>50564</v>
      </c>
      <c r="J7950" s="56"/>
      <c r="K7950" s="57"/>
      <c r="L7950" s="56" t="s">
        <v>56716</v>
      </c>
    </row>
    <row r="7951" spans="1:12" ht="11.25" x14ac:dyDescent="0.2">
      <c r="A7951" s="45" t="s">
        <v>42316</v>
      </c>
      <c r="B7951" s="45" t="s">
        <v>42318</v>
      </c>
      <c r="C7951" s="51" t="s">
        <v>42320</v>
      </c>
      <c r="D7951" s="51" t="s">
        <v>42319</v>
      </c>
      <c r="E7951" s="45" t="s">
        <v>296</v>
      </c>
      <c r="F7951" s="45" t="s">
        <v>50646</v>
      </c>
      <c r="G7951" s="45" t="s">
        <v>50584</v>
      </c>
      <c r="H7951" s="56"/>
      <c r="I7951" s="56" t="s">
        <v>50564</v>
      </c>
      <c r="J7951" s="56"/>
      <c r="K7951" s="57"/>
      <c r="L7951" s="56" t="s">
        <v>56716</v>
      </c>
    </row>
    <row r="7952" spans="1:12" ht="11.25" x14ac:dyDescent="0.2">
      <c r="A7952" s="45" t="s">
        <v>42336</v>
      </c>
      <c r="B7952" s="45" t="s">
        <v>42338</v>
      </c>
      <c r="C7952" s="51" t="s">
        <v>42340</v>
      </c>
      <c r="D7952" s="51"/>
      <c r="E7952" s="45" t="s">
        <v>42341</v>
      </c>
      <c r="F7952" s="45" t="s">
        <v>17759</v>
      </c>
      <c r="G7952" s="45" t="s">
        <v>50584</v>
      </c>
      <c r="H7952" s="56"/>
      <c r="I7952" s="56" t="s">
        <v>50564</v>
      </c>
      <c r="J7952" s="56"/>
      <c r="K7952" s="57"/>
      <c r="L7952" s="56" t="s">
        <v>56716</v>
      </c>
    </row>
    <row r="7953" spans="1:12" ht="11.25" x14ac:dyDescent="0.2">
      <c r="A7953" s="45" t="s">
        <v>42343</v>
      </c>
      <c r="B7953" s="45" t="s">
        <v>42345</v>
      </c>
      <c r="C7953" s="51" t="s">
        <v>42346</v>
      </c>
      <c r="D7953" s="51"/>
      <c r="E7953" s="45" t="s">
        <v>42347</v>
      </c>
      <c r="F7953" s="45" t="s">
        <v>19483</v>
      </c>
      <c r="G7953" s="45" t="s">
        <v>50584</v>
      </c>
      <c r="H7953" s="56"/>
      <c r="I7953" s="56" t="s">
        <v>50564</v>
      </c>
      <c r="J7953" s="56"/>
      <c r="K7953" s="57"/>
      <c r="L7953" s="56" t="s">
        <v>56716</v>
      </c>
    </row>
    <row r="7954" spans="1:12" ht="11.25" x14ac:dyDescent="0.2">
      <c r="A7954" s="45" t="s">
        <v>42383</v>
      </c>
      <c r="B7954" s="45" t="s">
        <v>42385</v>
      </c>
      <c r="C7954" s="51" t="s">
        <v>42386</v>
      </c>
      <c r="D7954" s="51"/>
      <c r="E7954" s="45" t="s">
        <v>42387</v>
      </c>
      <c r="F7954" s="45" t="s">
        <v>19049</v>
      </c>
      <c r="G7954" s="45" t="s">
        <v>50584</v>
      </c>
      <c r="H7954" s="56"/>
      <c r="I7954" s="56" t="s">
        <v>50564</v>
      </c>
      <c r="J7954" s="56"/>
      <c r="K7954" s="57"/>
      <c r="L7954" s="56" t="s">
        <v>56716</v>
      </c>
    </row>
    <row r="7955" spans="1:12" ht="11.25" x14ac:dyDescent="0.2">
      <c r="A7955" s="45" t="s">
        <v>42715</v>
      </c>
      <c r="B7955" s="45" t="s">
        <v>42717</v>
      </c>
      <c r="C7955" s="51" t="s">
        <v>42719</v>
      </c>
      <c r="D7955" s="51" t="s">
        <v>42718</v>
      </c>
      <c r="E7955" s="45" t="s">
        <v>42720</v>
      </c>
      <c r="F7955" s="45" t="s">
        <v>17759</v>
      </c>
      <c r="G7955" s="45" t="s">
        <v>50584</v>
      </c>
      <c r="H7955" s="56"/>
      <c r="I7955" s="56" t="s">
        <v>50564</v>
      </c>
      <c r="J7955" s="56"/>
      <c r="K7955" s="57"/>
      <c r="L7955" s="56" t="s">
        <v>56716</v>
      </c>
    </row>
    <row r="7956" spans="1:12" ht="11.25" x14ac:dyDescent="0.2">
      <c r="A7956" s="45" t="s">
        <v>42752</v>
      </c>
      <c r="B7956" s="45" t="s">
        <v>42754</v>
      </c>
      <c r="C7956" s="51" t="s">
        <v>42756</v>
      </c>
      <c r="D7956" s="51" t="s">
        <v>42755</v>
      </c>
      <c r="E7956" s="45" t="s">
        <v>19564</v>
      </c>
      <c r="F7956" s="45" t="s">
        <v>17759</v>
      </c>
      <c r="G7956" s="45" t="s">
        <v>50584</v>
      </c>
      <c r="H7956" s="56"/>
      <c r="I7956" s="56" t="s">
        <v>50564</v>
      </c>
      <c r="J7956" s="56"/>
      <c r="K7956" s="57"/>
      <c r="L7956" s="56" t="s">
        <v>56716</v>
      </c>
    </row>
    <row r="7957" spans="1:12" ht="11.25" x14ac:dyDescent="0.2">
      <c r="A7957" s="45" t="s">
        <v>42811</v>
      </c>
      <c r="B7957" s="45" t="s">
        <v>42813</v>
      </c>
      <c r="C7957" s="51" t="s">
        <v>42814</v>
      </c>
      <c r="D7957" s="51"/>
      <c r="E7957" s="45" t="s">
        <v>42815</v>
      </c>
      <c r="F7957" s="45" t="s">
        <v>20446</v>
      </c>
      <c r="G7957" s="45" t="s">
        <v>50584</v>
      </c>
      <c r="H7957" s="56"/>
      <c r="I7957" s="56" t="s">
        <v>50564</v>
      </c>
      <c r="J7957" s="56"/>
      <c r="K7957" s="57"/>
      <c r="L7957" s="56" t="s">
        <v>56716</v>
      </c>
    </row>
    <row r="7958" spans="1:12" ht="11.25" x14ac:dyDescent="0.2">
      <c r="A7958" s="45" t="s">
        <v>43099</v>
      </c>
      <c r="B7958" s="45" t="s">
        <v>43101</v>
      </c>
      <c r="C7958" s="51" t="s">
        <v>43102</v>
      </c>
      <c r="D7958" s="51"/>
      <c r="E7958" s="45" t="s">
        <v>43103</v>
      </c>
      <c r="F7958" s="45" t="s">
        <v>17759</v>
      </c>
      <c r="G7958" s="45" t="s">
        <v>50584</v>
      </c>
      <c r="H7958" s="56"/>
      <c r="I7958" s="56" t="s">
        <v>50564</v>
      </c>
      <c r="J7958" s="56"/>
      <c r="K7958" s="57"/>
      <c r="L7958" s="56" t="s">
        <v>56716</v>
      </c>
    </row>
    <row r="7959" spans="1:12" ht="11.25" x14ac:dyDescent="0.2">
      <c r="A7959" s="45" t="s">
        <v>43153</v>
      </c>
      <c r="B7959" s="45" t="s">
        <v>43155</v>
      </c>
      <c r="C7959" s="51" t="s">
        <v>43158</v>
      </c>
      <c r="D7959" s="51" t="s">
        <v>43157</v>
      </c>
      <c r="E7959" s="45" t="s">
        <v>43159</v>
      </c>
      <c r="F7959" s="45" t="s">
        <v>24311</v>
      </c>
      <c r="G7959" s="45" t="s">
        <v>50584</v>
      </c>
      <c r="H7959" s="56"/>
      <c r="I7959" s="56" t="s">
        <v>50564</v>
      </c>
      <c r="J7959" s="56"/>
      <c r="K7959" s="57"/>
      <c r="L7959" s="56" t="s">
        <v>56716</v>
      </c>
    </row>
    <row r="7960" spans="1:12" ht="11.25" x14ac:dyDescent="0.2">
      <c r="A7960" s="45" t="s">
        <v>43341</v>
      </c>
      <c r="B7960" s="45" t="s">
        <v>43343</v>
      </c>
      <c r="C7960" s="51" t="s">
        <v>43344</v>
      </c>
      <c r="D7960" s="51"/>
      <c r="E7960" s="45" t="s">
        <v>43345</v>
      </c>
      <c r="F7960" s="45" t="s">
        <v>17759</v>
      </c>
      <c r="G7960" s="45" t="s">
        <v>50584</v>
      </c>
      <c r="H7960" s="56"/>
      <c r="I7960" s="56" t="s">
        <v>50564</v>
      </c>
      <c r="J7960" s="56"/>
      <c r="K7960" s="57"/>
      <c r="L7960" s="56" t="s">
        <v>56716</v>
      </c>
    </row>
    <row r="7961" spans="1:12" ht="11.25" x14ac:dyDescent="0.2">
      <c r="A7961" s="45" t="s">
        <v>43959</v>
      </c>
      <c r="B7961" s="45" t="s">
        <v>43961</v>
      </c>
      <c r="C7961" s="51" t="s">
        <v>43962</v>
      </c>
      <c r="D7961" s="51"/>
      <c r="E7961" s="45" t="s">
        <v>43963</v>
      </c>
      <c r="F7961" s="45" t="s">
        <v>17759</v>
      </c>
      <c r="G7961" s="45" t="s">
        <v>50584</v>
      </c>
      <c r="H7961" s="56"/>
      <c r="I7961" s="56" t="s">
        <v>50564</v>
      </c>
      <c r="J7961" s="56"/>
      <c r="K7961" s="57"/>
      <c r="L7961" s="56" t="s">
        <v>56716</v>
      </c>
    </row>
    <row r="7962" spans="1:12" ht="11.25" x14ac:dyDescent="0.2">
      <c r="A7962" s="45" t="s">
        <v>43972</v>
      </c>
      <c r="B7962" s="45" t="s">
        <v>43974</v>
      </c>
      <c r="C7962" s="51" t="s">
        <v>43976</v>
      </c>
      <c r="D7962" s="51"/>
      <c r="E7962" s="45" t="s">
        <v>43977</v>
      </c>
      <c r="F7962" s="45" t="s">
        <v>17759</v>
      </c>
      <c r="G7962" s="45" t="s">
        <v>50584</v>
      </c>
      <c r="H7962" s="56"/>
      <c r="I7962" s="56" t="s">
        <v>50564</v>
      </c>
      <c r="J7962" s="56"/>
      <c r="K7962" s="57"/>
      <c r="L7962" s="56" t="s">
        <v>56716</v>
      </c>
    </row>
    <row r="7963" spans="1:12" ht="11.25" x14ac:dyDescent="0.2">
      <c r="A7963" s="45" t="s">
        <v>44010</v>
      </c>
      <c r="B7963" s="45" t="s">
        <v>44012</v>
      </c>
      <c r="C7963" s="51" t="s">
        <v>44014</v>
      </c>
      <c r="D7963" s="51" t="s">
        <v>44013</v>
      </c>
      <c r="E7963" s="45" t="s">
        <v>44015</v>
      </c>
      <c r="F7963" s="45" t="s">
        <v>17759</v>
      </c>
      <c r="G7963" s="45" t="s">
        <v>50584</v>
      </c>
      <c r="H7963" s="56"/>
      <c r="I7963" s="56" t="s">
        <v>50564</v>
      </c>
      <c r="J7963" s="56"/>
      <c r="K7963" s="57"/>
      <c r="L7963" s="56" t="s">
        <v>56716</v>
      </c>
    </row>
    <row r="7964" spans="1:12" ht="11.25" x14ac:dyDescent="0.2">
      <c r="A7964" s="45" t="s">
        <v>44243</v>
      </c>
      <c r="B7964" s="45" t="s">
        <v>44245</v>
      </c>
      <c r="C7964" s="51" t="s">
        <v>44246</v>
      </c>
      <c r="D7964" s="51"/>
      <c r="E7964" s="45" t="s">
        <v>44247</v>
      </c>
      <c r="F7964" s="45" t="s">
        <v>17759</v>
      </c>
      <c r="G7964" s="45" t="s">
        <v>50584</v>
      </c>
      <c r="H7964" s="56"/>
      <c r="I7964" s="56" t="s">
        <v>50564</v>
      </c>
      <c r="J7964" s="56"/>
      <c r="K7964" s="57"/>
      <c r="L7964" s="56" t="s">
        <v>56716</v>
      </c>
    </row>
    <row r="7965" spans="1:12" ht="11.25" x14ac:dyDescent="0.2">
      <c r="A7965" s="45" t="s">
        <v>44449</v>
      </c>
      <c r="B7965" s="45" t="s">
        <v>44451</v>
      </c>
      <c r="C7965" s="51" t="s">
        <v>44453</v>
      </c>
      <c r="D7965" s="51"/>
      <c r="E7965" s="45" t="s">
        <v>367</v>
      </c>
      <c r="F7965" s="45" t="s">
        <v>17759</v>
      </c>
      <c r="G7965" s="45" t="s">
        <v>50584</v>
      </c>
      <c r="H7965" s="56"/>
      <c r="I7965" s="56" t="s">
        <v>50564</v>
      </c>
      <c r="J7965" s="56"/>
      <c r="K7965" s="57"/>
      <c r="L7965" s="56" t="s">
        <v>56716</v>
      </c>
    </row>
    <row r="7966" spans="1:12" ht="11.25" x14ac:dyDescent="0.2">
      <c r="A7966" s="45" t="s">
        <v>44551</v>
      </c>
      <c r="B7966" s="45" t="s">
        <v>44553</v>
      </c>
      <c r="C7966" s="51" t="s">
        <v>44555</v>
      </c>
      <c r="D7966" s="51" t="s">
        <v>44554</v>
      </c>
      <c r="E7966" s="45" t="s">
        <v>44556</v>
      </c>
      <c r="F7966" s="45" t="s">
        <v>17759</v>
      </c>
      <c r="G7966" s="45" t="s">
        <v>50584</v>
      </c>
      <c r="H7966" s="56"/>
      <c r="I7966" s="56" t="s">
        <v>50564</v>
      </c>
      <c r="J7966" s="56"/>
      <c r="K7966" s="57"/>
      <c r="L7966" s="56" t="s">
        <v>56716</v>
      </c>
    </row>
    <row r="7967" spans="1:12" ht="11.25" x14ac:dyDescent="0.2">
      <c r="A7967" s="45" t="s">
        <v>44573</v>
      </c>
      <c r="B7967" s="45" t="s">
        <v>44575</v>
      </c>
      <c r="C7967" s="51" t="s">
        <v>44577</v>
      </c>
      <c r="D7967" s="51" t="s">
        <v>44576</v>
      </c>
      <c r="E7967" s="45" t="s">
        <v>44578</v>
      </c>
      <c r="F7967" s="45" t="s">
        <v>50646</v>
      </c>
      <c r="G7967" s="45" t="s">
        <v>50584</v>
      </c>
      <c r="H7967" s="56"/>
      <c r="I7967" s="56" t="s">
        <v>50564</v>
      </c>
      <c r="J7967" s="56"/>
      <c r="K7967" s="57"/>
      <c r="L7967" s="56" t="s">
        <v>56716</v>
      </c>
    </row>
    <row r="7968" spans="1:12" ht="11.25" x14ac:dyDescent="0.2">
      <c r="A7968" s="45" t="s">
        <v>44900</v>
      </c>
      <c r="B7968" s="45" t="s">
        <v>44902</v>
      </c>
      <c r="C7968" s="51" t="s">
        <v>44904</v>
      </c>
      <c r="D7968" s="51"/>
      <c r="E7968" s="45" t="s">
        <v>56693</v>
      </c>
      <c r="F7968" s="45" t="s">
        <v>50646</v>
      </c>
      <c r="G7968" s="45" t="s">
        <v>50584</v>
      </c>
      <c r="H7968" s="56"/>
      <c r="I7968" s="56" t="s">
        <v>50564</v>
      </c>
      <c r="J7968" s="56"/>
      <c r="K7968" s="57"/>
      <c r="L7968" s="56" t="s">
        <v>56716</v>
      </c>
    </row>
    <row r="7969" spans="1:12" ht="11.25" x14ac:dyDescent="0.2">
      <c r="A7969" s="45" t="s">
        <v>44907</v>
      </c>
      <c r="B7969" s="45" t="s">
        <v>44909</v>
      </c>
      <c r="C7969" s="51" t="s">
        <v>44910</v>
      </c>
      <c r="D7969" s="51"/>
      <c r="E7969" s="45" t="s">
        <v>44911</v>
      </c>
      <c r="F7969" s="45" t="s">
        <v>50646</v>
      </c>
      <c r="G7969" s="45" t="s">
        <v>50584</v>
      </c>
      <c r="H7969" s="56"/>
      <c r="I7969" s="56" t="s">
        <v>50564</v>
      </c>
      <c r="J7969" s="56"/>
      <c r="K7969" s="57"/>
      <c r="L7969" s="56" t="s">
        <v>56716</v>
      </c>
    </row>
    <row r="7970" spans="1:12" ht="11.25" x14ac:dyDescent="0.2">
      <c r="A7970" s="45" t="s">
        <v>45423</v>
      </c>
      <c r="B7970" s="45" t="s">
        <v>45425</v>
      </c>
      <c r="C7970" s="51" t="s">
        <v>45427</v>
      </c>
      <c r="D7970" s="51" t="s">
        <v>45426</v>
      </c>
      <c r="E7970" s="45" t="s">
        <v>970</v>
      </c>
      <c r="F7970" s="45" t="s">
        <v>17759</v>
      </c>
      <c r="G7970" s="45" t="s">
        <v>50584</v>
      </c>
      <c r="H7970" s="56"/>
      <c r="I7970" s="56" t="s">
        <v>50564</v>
      </c>
      <c r="J7970" s="56"/>
      <c r="K7970" s="57"/>
      <c r="L7970" s="56" t="s">
        <v>56716</v>
      </c>
    </row>
    <row r="7971" spans="1:12" ht="11.25" x14ac:dyDescent="0.2">
      <c r="A7971" s="45" t="s">
        <v>45436</v>
      </c>
      <c r="B7971" s="45" t="s">
        <v>45438</v>
      </c>
      <c r="C7971" s="51" t="s">
        <v>45439</v>
      </c>
      <c r="D7971" s="51"/>
      <c r="E7971" s="45" t="s">
        <v>45440</v>
      </c>
      <c r="F7971" s="45" t="s">
        <v>17759</v>
      </c>
      <c r="G7971" s="45" t="s">
        <v>50584</v>
      </c>
      <c r="H7971" s="56"/>
      <c r="I7971" s="56" t="s">
        <v>50564</v>
      </c>
      <c r="J7971" s="56"/>
      <c r="K7971" s="57"/>
      <c r="L7971" s="56" t="s">
        <v>56716</v>
      </c>
    </row>
    <row r="7972" spans="1:12" ht="11.25" x14ac:dyDescent="0.2">
      <c r="A7972" s="45" t="s">
        <v>45637</v>
      </c>
      <c r="B7972" s="45" t="s">
        <v>45639</v>
      </c>
      <c r="C7972" s="51" t="s">
        <v>45640</v>
      </c>
      <c r="D7972" s="51"/>
      <c r="E7972" s="45" t="s">
        <v>35270</v>
      </c>
      <c r="F7972" s="45" t="s">
        <v>17759</v>
      </c>
      <c r="G7972" s="45" t="s">
        <v>50584</v>
      </c>
      <c r="H7972" s="56"/>
      <c r="I7972" s="56" t="s">
        <v>50564</v>
      </c>
      <c r="J7972" s="56"/>
      <c r="K7972" s="57"/>
      <c r="L7972" s="56" t="s">
        <v>56716</v>
      </c>
    </row>
    <row r="7973" spans="1:12" ht="11.25" x14ac:dyDescent="0.2">
      <c r="A7973" s="45" t="s">
        <v>45711</v>
      </c>
      <c r="B7973" s="45" t="s">
        <v>45713</v>
      </c>
      <c r="C7973" s="51" t="s">
        <v>45715</v>
      </c>
      <c r="D7973" s="51" t="s">
        <v>45714</v>
      </c>
      <c r="E7973" s="45" t="s">
        <v>7339</v>
      </c>
      <c r="F7973" s="45" t="s">
        <v>17759</v>
      </c>
      <c r="G7973" s="45" t="s">
        <v>50584</v>
      </c>
      <c r="H7973" s="56"/>
      <c r="I7973" s="56" t="s">
        <v>50564</v>
      </c>
      <c r="J7973" s="56"/>
      <c r="K7973" s="57"/>
      <c r="L7973" s="56" t="s">
        <v>56716</v>
      </c>
    </row>
    <row r="7974" spans="1:12" ht="11.25" x14ac:dyDescent="0.2">
      <c r="A7974" s="45" t="s">
        <v>45731</v>
      </c>
      <c r="B7974" s="45" t="s">
        <v>45733</v>
      </c>
      <c r="C7974" s="51" t="s">
        <v>45734</v>
      </c>
      <c r="D7974" s="51"/>
      <c r="E7974" s="45" t="s">
        <v>45735</v>
      </c>
      <c r="F7974" s="45" t="s">
        <v>20082</v>
      </c>
      <c r="G7974" s="45" t="s">
        <v>50584</v>
      </c>
      <c r="H7974" s="56"/>
      <c r="I7974" s="56" t="s">
        <v>50564</v>
      </c>
      <c r="J7974" s="56"/>
      <c r="K7974" s="57"/>
      <c r="L7974" s="56" t="s">
        <v>56716</v>
      </c>
    </row>
    <row r="7975" spans="1:12" ht="11.25" x14ac:dyDescent="0.2">
      <c r="A7975" s="45" t="s">
        <v>45832</v>
      </c>
      <c r="B7975" s="45" t="s">
        <v>45834</v>
      </c>
      <c r="C7975" s="51" t="s">
        <v>45836</v>
      </c>
      <c r="D7975" s="51"/>
      <c r="E7975" s="45" t="s">
        <v>45837</v>
      </c>
      <c r="F7975" s="45" t="s">
        <v>17759</v>
      </c>
      <c r="G7975" s="45" t="s">
        <v>50584</v>
      </c>
      <c r="H7975" s="56"/>
      <c r="I7975" s="56" t="s">
        <v>50564</v>
      </c>
      <c r="J7975" s="56"/>
      <c r="K7975" s="57"/>
      <c r="L7975" s="56" t="s">
        <v>56716</v>
      </c>
    </row>
    <row r="7976" spans="1:12" ht="11.25" x14ac:dyDescent="0.2">
      <c r="A7976" s="45" t="s">
        <v>46251</v>
      </c>
      <c r="B7976" s="45" t="s">
        <v>46253</v>
      </c>
      <c r="C7976" s="51" t="s">
        <v>46255</v>
      </c>
      <c r="D7976" s="51" t="s">
        <v>46254</v>
      </c>
      <c r="E7976" s="45" t="s">
        <v>46256</v>
      </c>
      <c r="F7976" s="45" t="s">
        <v>17759</v>
      </c>
      <c r="G7976" s="45" t="s">
        <v>50584</v>
      </c>
      <c r="H7976" s="56"/>
      <c r="I7976" s="56" t="s">
        <v>50564</v>
      </c>
      <c r="J7976" s="56"/>
      <c r="K7976" s="57"/>
      <c r="L7976" s="56" t="s">
        <v>56716</v>
      </c>
    </row>
    <row r="7977" spans="1:12" ht="11.25" x14ac:dyDescent="0.2">
      <c r="A7977" s="45" t="s">
        <v>47758</v>
      </c>
      <c r="B7977" s="45" t="s">
        <v>47760</v>
      </c>
      <c r="C7977" s="51" t="s">
        <v>47762</v>
      </c>
      <c r="D7977" s="51"/>
      <c r="E7977" s="45" t="s">
        <v>47763</v>
      </c>
      <c r="F7977" s="45" t="s">
        <v>24311</v>
      </c>
      <c r="G7977" s="45" t="s">
        <v>50589</v>
      </c>
      <c r="H7977" s="56"/>
      <c r="I7977" s="56" t="s">
        <v>50564</v>
      </c>
      <c r="J7977" s="56"/>
      <c r="K7977" s="57"/>
      <c r="L7977" s="56" t="s">
        <v>56716</v>
      </c>
    </row>
    <row r="7978" spans="1:12" ht="11.25" x14ac:dyDescent="0.2">
      <c r="A7978" s="45" t="s">
        <v>47792</v>
      </c>
      <c r="B7978" s="45" t="s">
        <v>47794</v>
      </c>
      <c r="C7978" s="51" t="s">
        <v>47795</v>
      </c>
      <c r="D7978" s="51"/>
      <c r="E7978" s="45" t="s">
        <v>47796</v>
      </c>
      <c r="F7978" s="45" t="s">
        <v>21693</v>
      </c>
      <c r="G7978" s="45" t="s">
        <v>50584</v>
      </c>
      <c r="H7978" s="56"/>
      <c r="I7978" s="56" t="s">
        <v>50564</v>
      </c>
      <c r="J7978" s="56"/>
      <c r="K7978" s="57"/>
      <c r="L7978" s="56" t="s">
        <v>56716</v>
      </c>
    </row>
    <row r="7979" spans="1:12" ht="11.25" x14ac:dyDescent="0.2">
      <c r="A7979" s="45" t="s">
        <v>47804</v>
      </c>
      <c r="B7979" s="45" t="s">
        <v>47806</v>
      </c>
      <c r="C7979" s="51" t="s">
        <v>47808</v>
      </c>
      <c r="D7979" s="51" t="s">
        <v>56694</v>
      </c>
      <c r="E7979" s="45" t="s">
        <v>724</v>
      </c>
      <c r="F7979" s="45" t="s">
        <v>50646</v>
      </c>
      <c r="G7979" s="45" t="s">
        <v>50584</v>
      </c>
      <c r="H7979" s="56"/>
      <c r="I7979" s="56" t="s">
        <v>50564</v>
      </c>
      <c r="J7979" s="56"/>
      <c r="K7979" s="57"/>
      <c r="L7979" s="56" t="s">
        <v>56716</v>
      </c>
    </row>
    <row r="7980" spans="1:12" ht="11.25" x14ac:dyDescent="0.2">
      <c r="A7980" s="45" t="s">
        <v>48092</v>
      </c>
      <c r="B7980" s="45" t="s">
        <v>48094</v>
      </c>
      <c r="C7980" s="51" t="s">
        <v>48096</v>
      </c>
      <c r="D7980" s="51"/>
      <c r="E7980" s="45" t="s">
        <v>48097</v>
      </c>
      <c r="F7980" s="45" t="s">
        <v>50646</v>
      </c>
      <c r="G7980" s="45" t="s">
        <v>50584</v>
      </c>
      <c r="H7980" s="56"/>
      <c r="I7980" s="56" t="s">
        <v>50564</v>
      </c>
      <c r="J7980" s="56"/>
      <c r="K7980" s="57"/>
      <c r="L7980" s="56" t="s">
        <v>56716</v>
      </c>
    </row>
    <row r="7981" spans="1:12" ht="11.25" x14ac:dyDescent="0.2">
      <c r="A7981" s="45" t="s">
        <v>48192</v>
      </c>
      <c r="B7981" s="45" t="s">
        <v>48194</v>
      </c>
      <c r="C7981" s="51" t="s">
        <v>48196</v>
      </c>
      <c r="D7981" s="51" t="s">
        <v>48195</v>
      </c>
      <c r="E7981" s="45" t="s">
        <v>48197</v>
      </c>
      <c r="F7981" s="45" t="s">
        <v>17759</v>
      </c>
      <c r="G7981" s="45" t="s">
        <v>50584</v>
      </c>
      <c r="H7981" s="56"/>
      <c r="I7981" s="56" t="s">
        <v>50564</v>
      </c>
      <c r="J7981" s="56"/>
      <c r="K7981" s="57"/>
      <c r="L7981" s="56" t="s">
        <v>56716</v>
      </c>
    </row>
    <row r="7982" spans="1:12" ht="11.25" x14ac:dyDescent="0.2">
      <c r="A7982" s="45" t="s">
        <v>49370</v>
      </c>
      <c r="B7982" s="45" t="s">
        <v>49372</v>
      </c>
      <c r="C7982" s="51" t="s">
        <v>49375</v>
      </c>
      <c r="D7982" s="51" t="s">
        <v>49374</v>
      </c>
      <c r="E7982" s="45" t="s">
        <v>303</v>
      </c>
      <c r="F7982" s="45" t="s">
        <v>17759</v>
      </c>
      <c r="G7982" s="45" t="s">
        <v>50584</v>
      </c>
      <c r="H7982" s="56"/>
      <c r="I7982" s="56" t="s">
        <v>50564</v>
      </c>
      <c r="J7982" s="56"/>
      <c r="K7982" s="57"/>
      <c r="L7982" s="56" t="s">
        <v>56716</v>
      </c>
    </row>
    <row r="7983" spans="1:12" ht="11.25" x14ac:dyDescent="0.2">
      <c r="A7983" s="45" t="s">
        <v>49377</v>
      </c>
      <c r="B7983" s="45" t="s">
        <v>49379</v>
      </c>
      <c r="C7983" s="51" t="s">
        <v>49381</v>
      </c>
      <c r="D7983" s="51" t="s">
        <v>49380</v>
      </c>
      <c r="E7983" s="45" t="s">
        <v>18921</v>
      </c>
      <c r="F7983" s="45" t="s">
        <v>17759</v>
      </c>
      <c r="G7983" s="45" t="s">
        <v>50584</v>
      </c>
      <c r="H7983" s="56"/>
      <c r="I7983" s="56" t="s">
        <v>50564</v>
      </c>
      <c r="J7983" s="56"/>
      <c r="K7983" s="57"/>
      <c r="L7983" s="56" t="s">
        <v>56716</v>
      </c>
    </row>
    <row r="7984" spans="1:12" ht="11.25" x14ac:dyDescent="0.2">
      <c r="A7984" s="45" t="s">
        <v>49383</v>
      </c>
      <c r="B7984" s="45" t="s">
        <v>49385</v>
      </c>
      <c r="C7984" s="51" t="s">
        <v>49388</v>
      </c>
      <c r="D7984" s="51" t="s">
        <v>49387</v>
      </c>
      <c r="E7984" s="45" t="s">
        <v>303</v>
      </c>
      <c r="F7984" s="45" t="s">
        <v>17759</v>
      </c>
      <c r="G7984" s="45" t="s">
        <v>50584</v>
      </c>
      <c r="H7984" s="56"/>
      <c r="I7984" s="56" t="s">
        <v>50564</v>
      </c>
      <c r="J7984" s="56"/>
      <c r="K7984" s="57"/>
      <c r="L7984" s="56" t="s">
        <v>56716</v>
      </c>
    </row>
    <row r="7985" spans="1:12" ht="11.25" x14ac:dyDescent="0.2">
      <c r="A7985" s="45" t="s">
        <v>49458</v>
      </c>
      <c r="B7985" s="45" t="s">
        <v>49460</v>
      </c>
      <c r="C7985" s="51" t="s">
        <v>49463</v>
      </c>
      <c r="D7985" s="51" t="s">
        <v>49462</v>
      </c>
      <c r="E7985" s="45" t="s">
        <v>49464</v>
      </c>
      <c r="F7985" s="45" t="s">
        <v>50646</v>
      </c>
      <c r="G7985" s="45" t="s">
        <v>50584</v>
      </c>
      <c r="H7985" s="56"/>
      <c r="I7985" s="56" t="s">
        <v>50564</v>
      </c>
      <c r="J7985" s="56"/>
      <c r="K7985" s="57"/>
      <c r="L7985" s="56" t="s">
        <v>56716</v>
      </c>
    </row>
    <row r="7986" spans="1:12" ht="11.25" x14ac:dyDescent="0.2">
      <c r="A7986" s="45" t="s">
        <v>49520</v>
      </c>
      <c r="B7986" s="45" t="s">
        <v>49522</v>
      </c>
      <c r="C7986" s="51"/>
      <c r="D7986" s="51" t="s">
        <v>49523</v>
      </c>
      <c r="E7986" s="45" t="s">
        <v>2128</v>
      </c>
      <c r="F7986" s="45" t="s">
        <v>17759</v>
      </c>
      <c r="G7986" s="45" t="s">
        <v>50584</v>
      </c>
      <c r="H7986" s="56"/>
      <c r="I7986" s="56" t="s">
        <v>50564</v>
      </c>
      <c r="J7986" s="56"/>
      <c r="K7986" s="57"/>
      <c r="L7986" s="56" t="s">
        <v>56716</v>
      </c>
    </row>
    <row r="7987" spans="1:12" ht="11.25" x14ac:dyDescent="0.2">
      <c r="A7987" s="45" t="s">
        <v>49717</v>
      </c>
      <c r="B7987" s="45" t="s">
        <v>49719</v>
      </c>
      <c r="C7987" s="51" t="s">
        <v>49721</v>
      </c>
      <c r="D7987" s="51"/>
      <c r="E7987" s="45" t="s">
        <v>49722</v>
      </c>
      <c r="F7987" s="45" t="s">
        <v>17759</v>
      </c>
      <c r="G7987" s="45" t="s">
        <v>50584</v>
      </c>
      <c r="H7987" s="56"/>
      <c r="I7987" s="56" t="s">
        <v>50564</v>
      </c>
      <c r="J7987" s="56"/>
      <c r="K7987" s="57"/>
      <c r="L7987" s="56" t="s">
        <v>56716</v>
      </c>
    </row>
    <row r="7988" spans="1:12" ht="11.25" x14ac:dyDescent="0.2">
      <c r="A7988" s="45" t="s">
        <v>49818</v>
      </c>
      <c r="B7988" s="45" t="s">
        <v>49820</v>
      </c>
      <c r="C7988" s="51" t="s">
        <v>49821</v>
      </c>
      <c r="D7988" s="51"/>
      <c r="E7988" s="45" t="s">
        <v>49822</v>
      </c>
      <c r="F7988" s="45" t="s">
        <v>17759</v>
      </c>
      <c r="G7988" s="45" t="s">
        <v>50584</v>
      </c>
      <c r="H7988" s="56"/>
      <c r="I7988" s="56" t="s">
        <v>50564</v>
      </c>
      <c r="J7988" s="56"/>
      <c r="K7988" s="57"/>
      <c r="L7988" s="56" t="s">
        <v>56716</v>
      </c>
    </row>
    <row r="7989" spans="1:12" ht="11.25" x14ac:dyDescent="0.2">
      <c r="A7989" s="45" t="s">
        <v>48364</v>
      </c>
      <c r="B7989" s="45" t="s">
        <v>48366</v>
      </c>
      <c r="C7989" s="51"/>
      <c r="D7989" s="51" t="s">
        <v>48367</v>
      </c>
      <c r="E7989" s="45" t="s">
        <v>18570</v>
      </c>
      <c r="F7989" s="45" t="s">
        <v>50646</v>
      </c>
      <c r="G7989" s="45" t="s">
        <v>50584</v>
      </c>
      <c r="H7989" s="56"/>
      <c r="I7989" s="56" t="s">
        <v>50564</v>
      </c>
      <c r="J7989" s="56"/>
      <c r="K7989" s="57"/>
      <c r="L7989" s="56" t="s">
        <v>56716</v>
      </c>
    </row>
    <row r="7990" spans="1:12" ht="11.25" x14ac:dyDescent="0.2">
      <c r="A7990" s="45" t="s">
        <v>48369</v>
      </c>
      <c r="B7990" s="45" t="s">
        <v>48371</v>
      </c>
      <c r="C7990" s="51" t="s">
        <v>48373</v>
      </c>
      <c r="D7990" s="51"/>
      <c r="E7990" s="45" t="s">
        <v>48374</v>
      </c>
      <c r="F7990" s="45" t="s">
        <v>17991</v>
      </c>
      <c r="G7990" s="45" t="s">
        <v>50584</v>
      </c>
      <c r="H7990" s="56"/>
      <c r="I7990" s="56" t="s">
        <v>50564</v>
      </c>
      <c r="J7990" s="56"/>
      <c r="K7990" s="57"/>
      <c r="L7990" s="56" t="s">
        <v>56716</v>
      </c>
    </row>
    <row r="7991" spans="1:12" ht="11.25" x14ac:dyDescent="0.2">
      <c r="A7991" s="45" t="s">
        <v>48376</v>
      </c>
      <c r="B7991" s="45" t="s">
        <v>48378</v>
      </c>
      <c r="C7991" s="51" t="s">
        <v>48381</v>
      </c>
      <c r="D7991" s="51" t="s">
        <v>48380</v>
      </c>
      <c r="E7991" s="45" t="s">
        <v>48382</v>
      </c>
      <c r="F7991" s="45" t="s">
        <v>18001</v>
      </c>
      <c r="G7991" s="45" t="s">
        <v>50584</v>
      </c>
      <c r="H7991" s="56"/>
      <c r="I7991" s="56" t="s">
        <v>50564</v>
      </c>
      <c r="J7991" s="56"/>
      <c r="K7991" s="57"/>
      <c r="L7991" s="56" t="s">
        <v>56716</v>
      </c>
    </row>
    <row r="7992" spans="1:12" ht="11.25" x14ac:dyDescent="0.2">
      <c r="A7992" s="45" t="s">
        <v>48384</v>
      </c>
      <c r="B7992" s="45" t="s">
        <v>48386</v>
      </c>
      <c r="C7992" s="51" t="s">
        <v>48388</v>
      </c>
      <c r="D7992" s="51" t="s">
        <v>48387</v>
      </c>
      <c r="E7992" s="45" t="s">
        <v>21054</v>
      </c>
      <c r="F7992" s="45" t="s">
        <v>17759</v>
      </c>
      <c r="G7992" s="45" t="s">
        <v>50584</v>
      </c>
      <c r="H7992" s="56"/>
      <c r="I7992" s="56" t="s">
        <v>50564</v>
      </c>
      <c r="J7992" s="56"/>
      <c r="K7992" s="57"/>
      <c r="L7992" s="56" t="s">
        <v>56716</v>
      </c>
    </row>
    <row r="7993" spans="1:12" ht="11.25" x14ac:dyDescent="0.2">
      <c r="A7993" s="45" t="s">
        <v>48392</v>
      </c>
      <c r="B7993" s="45" t="s">
        <v>48394</v>
      </c>
      <c r="C7993" s="51" t="s">
        <v>48397</v>
      </c>
      <c r="D7993" s="51" t="s">
        <v>48396</v>
      </c>
      <c r="E7993" s="45" t="s">
        <v>31234</v>
      </c>
      <c r="F7993" s="45" t="s">
        <v>18158</v>
      </c>
      <c r="G7993" s="45" t="s">
        <v>50592</v>
      </c>
      <c r="H7993" s="56"/>
      <c r="I7993" s="56" t="s">
        <v>50564</v>
      </c>
      <c r="J7993" s="56"/>
      <c r="K7993" s="57"/>
      <c r="L7993" s="56" t="s">
        <v>56716</v>
      </c>
    </row>
    <row r="7994" spans="1:12" ht="11.25" x14ac:dyDescent="0.2">
      <c r="A7994" s="46" t="s">
        <v>15871</v>
      </c>
      <c r="B7994" s="46" t="s">
        <v>15871</v>
      </c>
      <c r="C7994" s="58" t="str">
        <f>""</f>
        <v/>
      </c>
      <c r="D7994" s="58" t="str">
        <f>"18387640"</f>
        <v>18387640</v>
      </c>
      <c r="E7994" s="46" t="s">
        <v>10608</v>
      </c>
      <c r="F7994" s="46" t="s">
        <v>20082</v>
      </c>
      <c r="G7994" s="46" t="s">
        <v>50584</v>
      </c>
      <c r="H7994" s="48" t="s">
        <v>56716</v>
      </c>
      <c r="I7994" s="48" t="s">
        <v>50564</v>
      </c>
      <c r="J7994" s="48"/>
      <c r="K7994" s="57"/>
      <c r="L7994" s="48" t="s">
        <v>56716</v>
      </c>
    </row>
    <row r="7995" spans="1:12" ht="11.25" x14ac:dyDescent="0.2">
      <c r="A7995" s="46" t="s">
        <v>12397</v>
      </c>
      <c r="B7995" s="46" t="s">
        <v>55567</v>
      </c>
      <c r="C7995" s="58" t="str">
        <f>"17539447"</f>
        <v>17539447</v>
      </c>
      <c r="D7995" s="58" t="str">
        <f>"17539455"</f>
        <v>17539455</v>
      </c>
      <c r="E7995" s="46" t="s">
        <v>97</v>
      </c>
      <c r="F7995" s="46" t="s">
        <v>50646</v>
      </c>
      <c r="G7995" s="46" t="s">
        <v>50584</v>
      </c>
      <c r="H7995" s="48" t="s">
        <v>56716</v>
      </c>
      <c r="I7995" s="48" t="s">
        <v>50564</v>
      </c>
      <c r="J7995" s="48" t="s">
        <v>56716</v>
      </c>
      <c r="K7995" s="57"/>
      <c r="L7995" s="48" t="s">
        <v>56716</v>
      </c>
    </row>
    <row r="7996" spans="1:12" ht="11.25" x14ac:dyDescent="0.2">
      <c r="A7996" s="46" t="s">
        <v>15316</v>
      </c>
      <c r="B7996" s="46" t="s">
        <v>55568</v>
      </c>
      <c r="C7996" s="58" t="str">
        <f>"20406223"</f>
        <v>20406223</v>
      </c>
      <c r="D7996" s="58" t="str">
        <f>"20406231"</f>
        <v>20406231</v>
      </c>
      <c r="E7996" s="46" t="s">
        <v>97</v>
      </c>
      <c r="F7996" s="46" t="s">
        <v>50646</v>
      </c>
      <c r="G7996" s="46" t="s">
        <v>50584</v>
      </c>
      <c r="H7996" s="48" t="s">
        <v>56716</v>
      </c>
      <c r="I7996" s="48" t="s">
        <v>50564</v>
      </c>
      <c r="J7996" s="48" t="s">
        <v>56716</v>
      </c>
      <c r="K7996" s="57"/>
      <c r="L7996" s="48"/>
    </row>
    <row r="7997" spans="1:12" ht="11.25" x14ac:dyDescent="0.2">
      <c r="A7997" s="46" t="s">
        <v>15763</v>
      </c>
      <c r="B7997" s="46" t="s">
        <v>55569</v>
      </c>
      <c r="C7997" s="58" t="str">
        <f>"20420986"</f>
        <v>20420986</v>
      </c>
      <c r="D7997" s="58" t="str">
        <f>"20420994"</f>
        <v>20420994</v>
      </c>
      <c r="E7997" s="46" t="s">
        <v>97</v>
      </c>
      <c r="F7997" s="46" t="s">
        <v>50646</v>
      </c>
      <c r="G7997" s="46" t="s">
        <v>50584</v>
      </c>
      <c r="H7997" s="48" t="s">
        <v>56716</v>
      </c>
      <c r="I7997" s="48" t="s">
        <v>50564</v>
      </c>
      <c r="J7997" s="48" t="s">
        <v>56716</v>
      </c>
      <c r="K7997" s="57"/>
      <c r="L7997" s="48"/>
    </row>
    <row r="7998" spans="1:12" ht="11.25" x14ac:dyDescent="0.2">
      <c r="A7998" s="46" t="s">
        <v>15313</v>
      </c>
      <c r="B7998" s="46" t="s">
        <v>55570</v>
      </c>
      <c r="C7998" s="58" t="str">
        <f>"20420188"</f>
        <v>20420188</v>
      </c>
      <c r="D7998" s="58" t="str">
        <f>"20420196"</f>
        <v>20420196</v>
      </c>
      <c r="E7998" s="46" t="s">
        <v>97</v>
      </c>
      <c r="F7998" s="46" t="s">
        <v>50646</v>
      </c>
      <c r="G7998" s="46" t="s">
        <v>50584</v>
      </c>
      <c r="H7998" s="48" t="s">
        <v>56716</v>
      </c>
      <c r="I7998" s="48" t="s">
        <v>50564</v>
      </c>
      <c r="J7998" s="48" t="s">
        <v>56716</v>
      </c>
      <c r="K7998" s="57"/>
      <c r="L7998" s="48"/>
    </row>
    <row r="7999" spans="1:12" ht="11.25" x14ac:dyDescent="0.2">
      <c r="A7999" s="46" t="s">
        <v>13161</v>
      </c>
      <c r="B7999" s="46" t="s">
        <v>55571</v>
      </c>
      <c r="C7999" s="58" t="str">
        <f>"1756283X"</f>
        <v>1756283X</v>
      </c>
      <c r="D7999" s="58" t="str">
        <f>"17562848"</f>
        <v>17562848</v>
      </c>
      <c r="E7999" s="46" t="s">
        <v>97</v>
      </c>
      <c r="F7999" s="46" t="s">
        <v>50646</v>
      </c>
      <c r="G7999" s="46" t="s">
        <v>50584</v>
      </c>
      <c r="H7999" s="48" t="s">
        <v>56716</v>
      </c>
      <c r="I7999" s="48" t="s">
        <v>50564</v>
      </c>
      <c r="J7999" s="48" t="s">
        <v>56716</v>
      </c>
      <c r="K7999" s="57"/>
      <c r="L7999" s="48"/>
    </row>
    <row r="8000" spans="1:12" ht="11.25" x14ac:dyDescent="0.2">
      <c r="A8000" s="46" t="s">
        <v>15769</v>
      </c>
      <c r="B8000" s="46" t="s">
        <v>55572</v>
      </c>
      <c r="C8000" s="58" t="str">
        <f>"20406207"</f>
        <v>20406207</v>
      </c>
      <c r="D8000" s="58" t="str">
        <f>"20406215"</f>
        <v>20406215</v>
      </c>
      <c r="E8000" s="46" t="s">
        <v>97</v>
      </c>
      <c r="F8000" s="46" t="s">
        <v>50646</v>
      </c>
      <c r="G8000" s="46" t="s">
        <v>50584</v>
      </c>
      <c r="H8000" s="48" t="s">
        <v>56716</v>
      </c>
      <c r="I8000" s="48" t="s">
        <v>50564</v>
      </c>
      <c r="J8000" s="48" t="s">
        <v>56716</v>
      </c>
      <c r="K8000" s="57"/>
      <c r="L8000" s="48"/>
    </row>
    <row r="8001" spans="1:12" ht="11.25" x14ac:dyDescent="0.2">
      <c r="A8001" s="46" t="s">
        <v>17546</v>
      </c>
      <c r="B8001" s="46" t="s">
        <v>55573</v>
      </c>
      <c r="C8001" s="58" t="str">
        <f>"20499361"</f>
        <v>20499361</v>
      </c>
      <c r="D8001" s="58" t="str">
        <f>"2049937X"</f>
        <v>2049937X</v>
      </c>
      <c r="E8001" s="46" t="s">
        <v>97</v>
      </c>
      <c r="F8001" s="46" t="s">
        <v>50646</v>
      </c>
      <c r="G8001" s="46" t="s">
        <v>50584</v>
      </c>
      <c r="H8001" s="48" t="s">
        <v>56716</v>
      </c>
      <c r="I8001" s="48" t="s">
        <v>50564</v>
      </c>
      <c r="J8001" s="48" t="s">
        <v>56716</v>
      </c>
      <c r="K8001" s="57"/>
      <c r="L8001" s="48"/>
    </row>
    <row r="8002" spans="1:12" ht="11.25" x14ac:dyDescent="0.2">
      <c r="A8002" s="46" t="s">
        <v>14005</v>
      </c>
      <c r="B8002" s="46" t="s">
        <v>55574</v>
      </c>
      <c r="C8002" s="58" t="str">
        <f>"17588340"</f>
        <v>17588340</v>
      </c>
      <c r="D8002" s="58" t="str">
        <f>"17588359"</f>
        <v>17588359</v>
      </c>
      <c r="E8002" s="46" t="s">
        <v>493</v>
      </c>
      <c r="F8002" s="46" t="s">
        <v>17759</v>
      </c>
      <c r="G8002" s="46" t="s">
        <v>50584</v>
      </c>
      <c r="H8002" s="48" t="s">
        <v>56716</v>
      </c>
      <c r="I8002" s="48" t="s">
        <v>50564</v>
      </c>
      <c r="J8002" s="48" t="s">
        <v>56716</v>
      </c>
      <c r="K8002" s="57"/>
      <c r="L8002" s="48"/>
    </row>
    <row r="8003" spans="1:12" ht="11.25" x14ac:dyDescent="0.2">
      <c r="A8003" s="46" t="s">
        <v>15268</v>
      </c>
      <c r="B8003" s="46" t="s">
        <v>55575</v>
      </c>
      <c r="C8003" s="58" t="str">
        <f>"1759720X"</f>
        <v>1759720X</v>
      </c>
      <c r="D8003" s="58" t="str">
        <f>"17597218"</f>
        <v>17597218</v>
      </c>
      <c r="E8003" s="46" t="s">
        <v>97</v>
      </c>
      <c r="F8003" s="46" t="s">
        <v>50646</v>
      </c>
      <c r="G8003" s="46" t="s">
        <v>50584</v>
      </c>
      <c r="H8003" s="48" t="s">
        <v>56716</v>
      </c>
      <c r="I8003" s="48" t="s">
        <v>50564</v>
      </c>
      <c r="J8003" s="48" t="s">
        <v>56716</v>
      </c>
      <c r="K8003" s="57"/>
      <c r="L8003" s="48"/>
    </row>
    <row r="8004" spans="1:12" ht="11.25" x14ac:dyDescent="0.2">
      <c r="A8004" s="46" t="s">
        <v>13164</v>
      </c>
      <c r="B8004" s="46" t="s">
        <v>55576</v>
      </c>
      <c r="C8004" s="58" t="str">
        <f>"17562856"</f>
        <v>17562856</v>
      </c>
      <c r="D8004" s="58" t="str">
        <f>"17562864"</f>
        <v>17562864</v>
      </c>
      <c r="E8004" s="46" t="s">
        <v>97</v>
      </c>
      <c r="F8004" s="46" t="s">
        <v>50646</v>
      </c>
      <c r="G8004" s="46" t="s">
        <v>50584</v>
      </c>
      <c r="H8004" s="48" t="s">
        <v>56716</v>
      </c>
      <c r="I8004" s="48" t="s">
        <v>50564</v>
      </c>
      <c r="J8004" s="48" t="s">
        <v>56716</v>
      </c>
      <c r="K8004" s="57"/>
      <c r="L8004" s="48"/>
    </row>
    <row r="8005" spans="1:12" ht="11.25" x14ac:dyDescent="0.2">
      <c r="A8005" s="46" t="s">
        <v>15766</v>
      </c>
      <c r="B8005" s="46" t="s">
        <v>55577</v>
      </c>
      <c r="C8005" s="58" t="str">
        <f>"20451253"</f>
        <v>20451253</v>
      </c>
      <c r="D8005" s="58" t="str">
        <f>"20451261"</f>
        <v>20451261</v>
      </c>
      <c r="E8005" s="46" t="s">
        <v>97</v>
      </c>
      <c r="F8005" s="46" t="s">
        <v>50646</v>
      </c>
      <c r="G8005" s="46" t="s">
        <v>50584</v>
      </c>
      <c r="H8005" s="48" t="s">
        <v>56716</v>
      </c>
      <c r="I8005" s="48" t="s">
        <v>50564</v>
      </c>
      <c r="J8005" s="48" t="s">
        <v>56716</v>
      </c>
      <c r="K8005" s="57"/>
      <c r="L8005" s="48"/>
    </row>
    <row r="8006" spans="1:12" ht="11.25" x14ac:dyDescent="0.2">
      <c r="A8006" s="46" t="s">
        <v>12400</v>
      </c>
      <c r="B8006" s="46" t="s">
        <v>55578</v>
      </c>
      <c r="C8006" s="58" t="str">
        <f>"17534658"</f>
        <v>17534658</v>
      </c>
      <c r="D8006" s="58" t="str">
        <f>"17534666"</f>
        <v>17534666</v>
      </c>
      <c r="E8006" s="46" t="s">
        <v>97</v>
      </c>
      <c r="F8006" s="46" t="s">
        <v>50646</v>
      </c>
      <c r="G8006" s="46" t="s">
        <v>50584</v>
      </c>
      <c r="H8006" s="48" t="s">
        <v>56716</v>
      </c>
      <c r="I8006" s="48" t="s">
        <v>50564</v>
      </c>
      <c r="J8006" s="48" t="s">
        <v>56716</v>
      </c>
      <c r="K8006" s="57"/>
      <c r="L8006" s="48" t="s">
        <v>56716</v>
      </c>
    </row>
    <row r="8007" spans="1:12" ht="11.25" x14ac:dyDescent="0.2">
      <c r="A8007" s="46" t="s">
        <v>14008</v>
      </c>
      <c r="B8007" s="46" t="s">
        <v>55579</v>
      </c>
      <c r="C8007" s="58" t="str">
        <f>"17562872"</f>
        <v>17562872</v>
      </c>
      <c r="D8007" s="58" t="str">
        <f>"17562880"</f>
        <v>17562880</v>
      </c>
      <c r="E8007" s="46" t="s">
        <v>493</v>
      </c>
      <c r="F8007" s="46" t="s">
        <v>17759</v>
      </c>
      <c r="G8007" s="46" t="s">
        <v>50584</v>
      </c>
      <c r="H8007" s="48" t="s">
        <v>56716</v>
      </c>
      <c r="I8007" s="48" t="s">
        <v>50564</v>
      </c>
      <c r="J8007" s="48" t="s">
        <v>56716</v>
      </c>
      <c r="K8007" s="57"/>
      <c r="L8007" s="48"/>
    </row>
    <row r="8008" spans="1:12" ht="11.25" x14ac:dyDescent="0.2">
      <c r="A8008" s="46" t="s">
        <v>56054</v>
      </c>
      <c r="B8008" s="46" t="s">
        <v>56055</v>
      </c>
      <c r="C8008" s="58" t="str">
        <f>"20510136"</f>
        <v>20510136</v>
      </c>
      <c r="D8008" s="58" t="str">
        <f>"20510144"</f>
        <v>20510144</v>
      </c>
      <c r="E8008" s="46" t="s">
        <v>97</v>
      </c>
      <c r="F8008" s="46" t="s">
        <v>50646</v>
      </c>
      <c r="G8008" s="46" t="s">
        <v>50584</v>
      </c>
      <c r="H8008" s="48" t="s">
        <v>56716</v>
      </c>
      <c r="I8008" s="48" t="s">
        <v>50564</v>
      </c>
      <c r="J8008" s="48" t="s">
        <v>56716</v>
      </c>
      <c r="K8008" s="57"/>
      <c r="L8008" s="48"/>
    </row>
    <row r="8009" spans="1:12" ht="11.25" x14ac:dyDescent="0.2">
      <c r="A8009" s="46" t="s">
        <v>10225</v>
      </c>
      <c r="B8009" s="46" t="s">
        <v>55580</v>
      </c>
      <c r="C8009" s="58" t="str">
        <f>"17449979"</f>
        <v>17449979</v>
      </c>
      <c r="D8009" s="58" t="str">
        <f>"17449987"</f>
        <v>17449987</v>
      </c>
      <c r="E8009" s="46" t="s">
        <v>35</v>
      </c>
      <c r="F8009" s="46" t="s">
        <v>50646</v>
      </c>
      <c r="G8009" s="46" t="s">
        <v>50584</v>
      </c>
      <c r="H8009" s="48" t="s">
        <v>56716</v>
      </c>
      <c r="I8009" s="48" t="s">
        <v>50564</v>
      </c>
      <c r="J8009" s="48" t="s">
        <v>56716</v>
      </c>
      <c r="K8009" s="50" t="s">
        <v>56716</v>
      </c>
      <c r="L8009" s="48" t="s">
        <v>56716</v>
      </c>
    </row>
    <row r="8010" spans="1:12" ht="11.25" x14ac:dyDescent="0.2">
      <c r="A8010" s="46" t="s">
        <v>15229</v>
      </c>
      <c r="B8010" s="46" t="s">
        <v>55581</v>
      </c>
      <c r="C8010" s="58" t="str">
        <f>"20415990"</f>
        <v>20415990</v>
      </c>
      <c r="D8010" s="58" t="str">
        <f>"20416008"</f>
        <v>20416008</v>
      </c>
      <c r="E8010" s="46" t="s">
        <v>14762</v>
      </c>
      <c r="F8010" s="46" t="s">
        <v>50646</v>
      </c>
      <c r="G8010" s="46" t="s">
        <v>50584</v>
      </c>
      <c r="H8010" s="48" t="s">
        <v>56716</v>
      </c>
      <c r="I8010" s="48" t="s">
        <v>50564</v>
      </c>
      <c r="J8010" s="48" t="s">
        <v>56716</v>
      </c>
      <c r="K8010" s="57"/>
      <c r="L8010" s="48" t="s">
        <v>56716</v>
      </c>
    </row>
    <row r="8011" spans="1:12" ht="11.25" x14ac:dyDescent="0.2">
      <c r="A8011" s="46" t="s">
        <v>3892</v>
      </c>
      <c r="B8011" s="46" t="s">
        <v>55582</v>
      </c>
      <c r="C8011" s="58" t="str">
        <f>"01634356"</f>
        <v>01634356</v>
      </c>
      <c r="D8011" s="58" t="str">
        <f>"15363694"</f>
        <v>15363694</v>
      </c>
      <c r="E8011" s="46" t="s">
        <v>28</v>
      </c>
      <c r="F8011" s="46" t="s">
        <v>17759</v>
      </c>
      <c r="G8011" s="46" t="s">
        <v>50584</v>
      </c>
      <c r="H8011" s="48" t="s">
        <v>56716</v>
      </c>
      <c r="I8011" s="48" t="s">
        <v>50564</v>
      </c>
      <c r="J8011" s="48" t="s">
        <v>56716</v>
      </c>
      <c r="K8011" s="50" t="s">
        <v>56716</v>
      </c>
      <c r="L8011" s="48" t="s">
        <v>56716</v>
      </c>
    </row>
    <row r="8012" spans="1:12" ht="11.25" x14ac:dyDescent="0.2">
      <c r="A8012" s="46" t="s">
        <v>15754</v>
      </c>
      <c r="B8012" s="46" t="s">
        <v>55583</v>
      </c>
      <c r="C8012" s="58" t="str">
        <f>"21537658"</f>
        <v>21537658</v>
      </c>
      <c r="D8012" s="58" t="str">
        <f>"21537933"</f>
        <v>21537933</v>
      </c>
      <c r="E8012" s="46" t="s">
        <v>4337</v>
      </c>
      <c r="F8012" s="46" t="s">
        <v>17759</v>
      </c>
      <c r="G8012" s="46" t="s">
        <v>50584</v>
      </c>
      <c r="H8012" s="48" t="s">
        <v>56716</v>
      </c>
      <c r="I8012" s="48" t="s">
        <v>50564</v>
      </c>
      <c r="J8012" s="48" t="s">
        <v>56716</v>
      </c>
      <c r="K8012" s="57"/>
      <c r="L8012" s="48" t="s">
        <v>56716</v>
      </c>
    </row>
    <row r="8013" spans="1:12" ht="11.25" x14ac:dyDescent="0.2">
      <c r="A8013" s="46" t="s">
        <v>56358</v>
      </c>
      <c r="B8013" s="46" t="s">
        <v>55584</v>
      </c>
      <c r="C8013" s="58" t="str">
        <f>"21684790"</f>
        <v>21684790</v>
      </c>
      <c r="D8013" s="58" t="str">
        <f>"21684804"</f>
        <v>21684804</v>
      </c>
      <c r="E8013" s="46" t="s">
        <v>493</v>
      </c>
      <c r="F8013" s="46" t="s">
        <v>17759</v>
      </c>
      <c r="G8013" s="46" t="s">
        <v>50584</v>
      </c>
      <c r="H8013" s="48" t="s">
        <v>56716</v>
      </c>
      <c r="I8013" s="48" t="s">
        <v>50564</v>
      </c>
      <c r="J8013" s="48" t="s">
        <v>56716</v>
      </c>
      <c r="K8013" s="57"/>
      <c r="L8013" s="48"/>
    </row>
    <row r="8014" spans="1:12" ht="11.25" x14ac:dyDescent="0.2">
      <c r="A8014" s="46" t="s">
        <v>3927</v>
      </c>
      <c r="B8014" s="46" t="s">
        <v>55585</v>
      </c>
      <c r="C8014" s="58" t="str">
        <f>"02898020"</f>
        <v>02898020</v>
      </c>
      <c r="D8014" s="58" t="str">
        <f>""</f>
        <v/>
      </c>
      <c r="E8014" s="46" t="s">
        <v>3929</v>
      </c>
      <c r="F8014" s="46" t="s">
        <v>18242</v>
      </c>
      <c r="G8014" s="46" t="s">
        <v>50605</v>
      </c>
      <c r="H8014" s="48" t="s">
        <v>56716</v>
      </c>
      <c r="I8014" s="48" t="s">
        <v>50564</v>
      </c>
      <c r="J8014" s="48"/>
      <c r="K8014" s="57"/>
      <c r="L8014" s="48"/>
    </row>
    <row r="8015" spans="1:12" ht="11.25" x14ac:dyDescent="0.2">
      <c r="A8015" s="46" t="s">
        <v>14090</v>
      </c>
      <c r="B8015" s="46" t="s">
        <v>14090</v>
      </c>
      <c r="C8015" s="58" t="str">
        <f>""</f>
        <v/>
      </c>
      <c r="D8015" s="58" t="str">
        <f>""</f>
        <v/>
      </c>
      <c r="E8015" s="46" t="s">
        <v>10307</v>
      </c>
      <c r="F8015" s="46" t="s">
        <v>17991</v>
      </c>
      <c r="G8015" s="46" t="s">
        <v>50603</v>
      </c>
      <c r="H8015" s="48" t="s">
        <v>56716</v>
      </c>
      <c r="I8015" s="48" t="s">
        <v>50564</v>
      </c>
      <c r="J8015" s="48"/>
      <c r="K8015" s="57"/>
      <c r="L8015" s="48"/>
    </row>
    <row r="8016" spans="1:12" ht="11.25" x14ac:dyDescent="0.2">
      <c r="A8016" s="46" t="s">
        <v>11118</v>
      </c>
      <c r="B8016" s="46" t="s">
        <v>55586</v>
      </c>
      <c r="C8016" s="58" t="str">
        <f>"11766336"</f>
        <v>11766336</v>
      </c>
      <c r="D8016" s="58" t="str">
        <f>"1178203X"</f>
        <v>1178203X</v>
      </c>
      <c r="E8016" s="46" t="s">
        <v>11079</v>
      </c>
      <c r="F8016" s="46" t="s">
        <v>19483</v>
      </c>
      <c r="G8016" s="46" t="s">
        <v>50584</v>
      </c>
      <c r="H8016" s="48" t="s">
        <v>56716</v>
      </c>
      <c r="I8016" s="48" t="s">
        <v>50564</v>
      </c>
      <c r="J8016" s="48"/>
      <c r="K8016" s="57"/>
      <c r="L8016" s="48"/>
    </row>
    <row r="8017" spans="1:12" ht="11.25" x14ac:dyDescent="0.2">
      <c r="A8017" s="46" t="s">
        <v>15520</v>
      </c>
      <c r="B8017" s="46" t="s">
        <v>55587</v>
      </c>
      <c r="C8017" s="58" t="str">
        <f>"15830012"</f>
        <v>15830012</v>
      </c>
      <c r="D8017" s="58" t="str">
        <f>"20660170"</f>
        <v>20660170</v>
      </c>
      <c r="E8017" s="46" t="s">
        <v>56284</v>
      </c>
      <c r="F8017" s="46" t="s">
        <v>22017</v>
      </c>
      <c r="G8017" s="46" t="s">
        <v>50584</v>
      </c>
      <c r="H8017" s="48" t="s">
        <v>56716</v>
      </c>
      <c r="I8017" s="48" t="s">
        <v>50564</v>
      </c>
      <c r="J8017" s="48"/>
      <c r="K8017" s="57"/>
      <c r="L8017" s="48"/>
    </row>
    <row r="8018" spans="1:12" ht="11.25" x14ac:dyDescent="0.2">
      <c r="A8018" s="46" t="s">
        <v>3930</v>
      </c>
      <c r="B8018" s="46" t="s">
        <v>55588</v>
      </c>
      <c r="C8018" s="58" t="str">
        <f>"00405930"</f>
        <v>00405930</v>
      </c>
      <c r="D8018" s="58" t="str">
        <f>""</f>
        <v/>
      </c>
      <c r="E8018" s="46" t="s">
        <v>2009</v>
      </c>
      <c r="F8018" s="46" t="s">
        <v>18123</v>
      </c>
      <c r="G8018" s="46" t="s">
        <v>50593</v>
      </c>
      <c r="H8018" s="48" t="s">
        <v>56716</v>
      </c>
      <c r="I8018" s="48" t="s">
        <v>50564</v>
      </c>
      <c r="J8018" s="48"/>
      <c r="K8018" s="57"/>
      <c r="L8018" s="48" t="s">
        <v>56716</v>
      </c>
    </row>
    <row r="8019" spans="1:12" ht="11.25" x14ac:dyDescent="0.2">
      <c r="A8019" s="46" t="s">
        <v>3913</v>
      </c>
      <c r="B8019" s="46" t="s">
        <v>3913</v>
      </c>
      <c r="C8019" s="58" t="str">
        <f>"00405957"</f>
        <v>00405957</v>
      </c>
      <c r="D8019" s="58" t="str">
        <f>"19585578"</f>
        <v>19585578</v>
      </c>
      <c r="E8019" s="46" t="s">
        <v>3916</v>
      </c>
      <c r="F8019" s="46" t="s">
        <v>20359</v>
      </c>
      <c r="G8019" s="46" t="s">
        <v>50591</v>
      </c>
      <c r="H8019" s="48" t="s">
        <v>56716</v>
      </c>
      <c r="I8019" s="48" t="s">
        <v>50564</v>
      </c>
      <c r="J8019" s="48" t="s">
        <v>56716</v>
      </c>
      <c r="K8019" s="57"/>
      <c r="L8019" s="48" t="s">
        <v>56716</v>
      </c>
    </row>
    <row r="8020" spans="1:12" ht="11.25" x14ac:dyDescent="0.2">
      <c r="A8020" s="45" t="s">
        <v>48433</v>
      </c>
      <c r="B8020" s="45" t="s">
        <v>48433</v>
      </c>
      <c r="C8020" s="51" t="s">
        <v>48435</v>
      </c>
      <c r="D8020" s="51"/>
      <c r="E8020" s="45" t="s">
        <v>48436</v>
      </c>
      <c r="F8020" s="45" t="s">
        <v>18305</v>
      </c>
      <c r="G8020" s="45" t="s">
        <v>50582</v>
      </c>
      <c r="H8020" s="56"/>
      <c r="I8020" s="56" t="s">
        <v>50564</v>
      </c>
      <c r="J8020" s="56"/>
      <c r="K8020" s="57"/>
      <c r="L8020" s="56" t="s">
        <v>56716</v>
      </c>
    </row>
    <row r="8021" spans="1:12" ht="11.25" x14ac:dyDescent="0.2">
      <c r="A8021" s="45" t="s">
        <v>48438</v>
      </c>
      <c r="B8021" s="45" t="s">
        <v>48438</v>
      </c>
      <c r="C8021" s="51" t="s">
        <v>48441</v>
      </c>
      <c r="D8021" s="51" t="s">
        <v>48440</v>
      </c>
      <c r="E8021" s="45" t="s">
        <v>91</v>
      </c>
      <c r="F8021" s="45" t="s">
        <v>17759</v>
      </c>
      <c r="G8021" s="45" t="s">
        <v>50584</v>
      </c>
      <c r="H8021" s="56"/>
      <c r="I8021" s="56" t="s">
        <v>50564</v>
      </c>
      <c r="J8021" s="56"/>
      <c r="K8021" s="57"/>
      <c r="L8021" s="56" t="s">
        <v>56716</v>
      </c>
    </row>
    <row r="8022" spans="1:12" ht="11.25" x14ac:dyDescent="0.2">
      <c r="A8022" s="46" t="s">
        <v>8071</v>
      </c>
      <c r="B8022" s="46" t="s">
        <v>55589</v>
      </c>
      <c r="C8022" s="58" t="str">
        <f>"1560604X"</f>
        <v>1560604X</v>
      </c>
      <c r="D8022" s="58" t="str">
        <f>""</f>
        <v/>
      </c>
      <c r="E8022" s="46" t="s">
        <v>8073</v>
      </c>
      <c r="F8022" s="46" t="s">
        <v>18288</v>
      </c>
      <c r="G8022" s="46" t="s">
        <v>50584</v>
      </c>
      <c r="H8022" s="48" t="s">
        <v>56716</v>
      </c>
      <c r="I8022" s="48" t="s">
        <v>50564</v>
      </c>
      <c r="J8022" s="48"/>
      <c r="K8022" s="57"/>
      <c r="L8022" s="48"/>
    </row>
    <row r="8023" spans="1:12" ht="11.25" x14ac:dyDescent="0.2">
      <c r="A8023" s="46" t="s">
        <v>4003</v>
      </c>
      <c r="B8023" s="46" t="s">
        <v>55590</v>
      </c>
      <c r="C8023" s="58" t="str">
        <f>"01716425"</f>
        <v>01716425</v>
      </c>
      <c r="D8023" s="58" t="str">
        <f>"14391902"</f>
        <v>14391902</v>
      </c>
      <c r="E8023" s="46" t="s">
        <v>412</v>
      </c>
      <c r="F8023" s="46" t="s">
        <v>18158</v>
      </c>
      <c r="G8023" s="46" t="s">
        <v>50592</v>
      </c>
      <c r="H8023" s="48" t="s">
        <v>56716</v>
      </c>
      <c r="I8023" s="48" t="s">
        <v>50564</v>
      </c>
      <c r="J8023" s="48" t="s">
        <v>56716</v>
      </c>
      <c r="K8023" s="50" t="s">
        <v>56716</v>
      </c>
      <c r="L8023" s="48" t="s">
        <v>56716</v>
      </c>
    </row>
    <row r="8024" spans="1:12" ht="11.25" x14ac:dyDescent="0.2">
      <c r="A8024" s="46" t="s">
        <v>17589</v>
      </c>
      <c r="B8024" s="46" t="s">
        <v>55591</v>
      </c>
      <c r="C8024" s="58" t="str">
        <f>"21947635"</f>
        <v>21947635</v>
      </c>
      <c r="D8024" s="58" t="str">
        <f>""</f>
        <v/>
      </c>
      <c r="E8024" s="46" t="s">
        <v>412</v>
      </c>
      <c r="F8024" s="46" t="s">
        <v>18158</v>
      </c>
      <c r="G8024" s="46" t="s">
        <v>50584</v>
      </c>
      <c r="H8024" s="48" t="s">
        <v>56716</v>
      </c>
      <c r="I8024" s="48" t="s">
        <v>50564</v>
      </c>
      <c r="J8024" s="48" t="s">
        <v>56716</v>
      </c>
      <c r="K8024" s="50" t="s">
        <v>56716</v>
      </c>
      <c r="L8024" s="48"/>
    </row>
    <row r="8025" spans="1:12" ht="11.25" x14ac:dyDescent="0.2">
      <c r="A8025" s="46" t="s">
        <v>4949</v>
      </c>
      <c r="B8025" s="46" t="s">
        <v>55592</v>
      </c>
      <c r="C8025" s="58" t="str">
        <f>"09464778"</f>
        <v>09464778</v>
      </c>
      <c r="D8025" s="58" t="str">
        <f>""</f>
        <v/>
      </c>
      <c r="E8025" s="46" t="s">
        <v>412</v>
      </c>
      <c r="F8025" s="46" t="s">
        <v>18158</v>
      </c>
      <c r="G8025" s="46" t="s">
        <v>50584</v>
      </c>
      <c r="H8025" s="48" t="s">
        <v>56716</v>
      </c>
      <c r="I8025" s="48" t="s">
        <v>50564</v>
      </c>
      <c r="J8025" s="48" t="s">
        <v>56716</v>
      </c>
      <c r="K8025" s="57"/>
      <c r="L8025" s="48"/>
    </row>
    <row r="8026" spans="1:12" ht="11.25" x14ac:dyDescent="0.2">
      <c r="A8026" s="46" t="s">
        <v>15922</v>
      </c>
      <c r="B8026" s="46" t="s">
        <v>55593</v>
      </c>
      <c r="C8026" s="58" t="str">
        <f>"17597706"</f>
        <v>17597706</v>
      </c>
      <c r="D8026" s="58" t="str">
        <f>"17597714"</f>
        <v>17597714</v>
      </c>
      <c r="E8026" s="46" t="s">
        <v>517</v>
      </c>
      <c r="F8026" s="46" t="s">
        <v>17759</v>
      </c>
      <c r="G8026" s="46" t="s">
        <v>50584</v>
      </c>
      <c r="H8026" s="48" t="s">
        <v>56716</v>
      </c>
      <c r="I8026" s="48" t="s">
        <v>50564</v>
      </c>
      <c r="J8026" s="48" t="s">
        <v>56716</v>
      </c>
      <c r="K8026" s="50" t="s">
        <v>56716</v>
      </c>
      <c r="L8026" s="48"/>
    </row>
    <row r="8027" spans="1:12" ht="11.25" x14ac:dyDescent="0.2">
      <c r="A8027" s="46" t="s">
        <v>10289</v>
      </c>
      <c r="B8027" s="46" t="s">
        <v>55594</v>
      </c>
      <c r="C8027" s="58" t="str">
        <f>""</f>
        <v/>
      </c>
      <c r="D8027" s="58" t="str">
        <f>"15585069"</f>
        <v>15585069</v>
      </c>
      <c r="E8027" s="46" t="s">
        <v>303</v>
      </c>
      <c r="F8027" s="46" t="s">
        <v>17759</v>
      </c>
      <c r="G8027" s="46" t="s">
        <v>50584</v>
      </c>
      <c r="H8027" s="48" t="s">
        <v>56716</v>
      </c>
      <c r="I8027" s="48" t="s">
        <v>50564</v>
      </c>
      <c r="J8027" s="48" t="s">
        <v>56716</v>
      </c>
      <c r="K8027" s="57"/>
      <c r="L8027" s="48" t="s">
        <v>56716</v>
      </c>
    </row>
    <row r="8028" spans="1:12" ht="11.25" x14ac:dyDescent="0.2">
      <c r="A8028" s="46" t="s">
        <v>3924</v>
      </c>
      <c r="B8028" s="46" t="s">
        <v>3924</v>
      </c>
      <c r="C8028" s="58" t="str">
        <f>"00406376"</f>
        <v>00406376</v>
      </c>
      <c r="D8028" s="58" t="str">
        <f>"14683296"</f>
        <v>14683296</v>
      </c>
      <c r="E8028" s="46" t="s">
        <v>159</v>
      </c>
      <c r="F8028" s="46" t="s">
        <v>50646</v>
      </c>
      <c r="G8028" s="46" t="s">
        <v>50584</v>
      </c>
      <c r="H8028" s="48" t="s">
        <v>56716</v>
      </c>
      <c r="I8028" s="48" t="s">
        <v>50564</v>
      </c>
      <c r="J8028" s="48" t="s">
        <v>56716</v>
      </c>
      <c r="K8028" s="50" t="s">
        <v>56716</v>
      </c>
      <c r="L8028" s="48" t="s">
        <v>56716</v>
      </c>
    </row>
    <row r="8029" spans="1:12" ht="11.25" x14ac:dyDescent="0.2">
      <c r="A8029" s="46" t="s">
        <v>15683</v>
      </c>
      <c r="B8029" s="46" t="s">
        <v>15683</v>
      </c>
      <c r="C8029" s="58" t="str">
        <f>"20901488"</f>
        <v>20901488</v>
      </c>
      <c r="D8029" s="58" t="str">
        <f>"20901496"</f>
        <v>20901496</v>
      </c>
      <c r="E8029" s="46" t="s">
        <v>1412</v>
      </c>
      <c r="F8029" s="46" t="s">
        <v>17759</v>
      </c>
      <c r="G8029" s="46" t="s">
        <v>50584</v>
      </c>
      <c r="H8029" s="48" t="s">
        <v>56716</v>
      </c>
      <c r="I8029" s="48" t="s">
        <v>50564</v>
      </c>
      <c r="J8029" s="48" t="s">
        <v>56716</v>
      </c>
      <c r="K8029" s="57"/>
      <c r="L8029" s="48"/>
    </row>
    <row r="8030" spans="1:12" ht="11.25" x14ac:dyDescent="0.2">
      <c r="A8030" s="46" t="s">
        <v>3918</v>
      </c>
      <c r="B8030" s="46" t="s">
        <v>55595</v>
      </c>
      <c r="C8030" s="58" t="str">
        <f>"03406245"</f>
        <v>03406245</v>
      </c>
      <c r="D8030" s="58" t="str">
        <f>""</f>
        <v/>
      </c>
      <c r="E8030" s="46" t="s">
        <v>1758</v>
      </c>
      <c r="F8030" s="46" t="s">
        <v>18158</v>
      </c>
      <c r="G8030" s="46" t="s">
        <v>50584</v>
      </c>
      <c r="H8030" s="48" t="s">
        <v>56716</v>
      </c>
      <c r="I8030" s="48" t="s">
        <v>50564</v>
      </c>
      <c r="J8030" s="48" t="s">
        <v>56716</v>
      </c>
      <c r="K8030" s="57"/>
      <c r="L8030" s="48" t="s">
        <v>56716</v>
      </c>
    </row>
    <row r="8031" spans="1:12" ht="11.25" x14ac:dyDescent="0.2">
      <c r="A8031" s="46" t="s">
        <v>10278</v>
      </c>
      <c r="B8031" s="46" t="s">
        <v>55596</v>
      </c>
      <c r="C8031" s="58" t="str">
        <f>""</f>
        <v/>
      </c>
      <c r="D8031" s="58" t="str">
        <f>"14779560"</f>
        <v>14779560</v>
      </c>
      <c r="E8031" s="46" t="s">
        <v>2299</v>
      </c>
      <c r="F8031" s="46" t="s">
        <v>50646</v>
      </c>
      <c r="G8031" s="46" t="s">
        <v>50584</v>
      </c>
      <c r="H8031" s="48" t="s">
        <v>56716</v>
      </c>
      <c r="I8031" s="48" t="s">
        <v>50564</v>
      </c>
      <c r="J8031" s="48"/>
      <c r="K8031" s="50" t="s">
        <v>56716</v>
      </c>
      <c r="L8031" s="48"/>
    </row>
    <row r="8032" spans="1:12" ht="11.25" x14ac:dyDescent="0.2">
      <c r="A8032" s="46" t="s">
        <v>3910</v>
      </c>
      <c r="B8032" s="46" t="s">
        <v>55597</v>
      </c>
      <c r="C8032" s="58" t="str">
        <f>"00493848"</f>
        <v>00493848</v>
      </c>
      <c r="D8032" s="58" t="str">
        <f>"18792472"</f>
        <v>18792472</v>
      </c>
      <c r="E8032" s="46" t="s">
        <v>155</v>
      </c>
      <c r="F8032" s="46" t="s">
        <v>50646</v>
      </c>
      <c r="G8032" s="46" t="s">
        <v>50584</v>
      </c>
      <c r="H8032" s="48" t="s">
        <v>56716</v>
      </c>
      <c r="I8032" s="48" t="s">
        <v>50564</v>
      </c>
      <c r="J8032" s="48" t="s">
        <v>56716</v>
      </c>
      <c r="K8032" s="50" t="s">
        <v>56716</v>
      </c>
      <c r="L8032" s="48" t="s">
        <v>56716</v>
      </c>
    </row>
    <row r="8033" spans="1:12" ht="11.25" x14ac:dyDescent="0.2">
      <c r="A8033" s="46" t="s">
        <v>5597</v>
      </c>
      <c r="B8033" s="46" t="s">
        <v>5597</v>
      </c>
      <c r="C8033" s="58" t="str">
        <f>"10507256"</f>
        <v>10507256</v>
      </c>
      <c r="D8033" s="58" t="str">
        <f>"15579077"</f>
        <v>15579077</v>
      </c>
      <c r="E8033" s="46" t="s">
        <v>4337</v>
      </c>
      <c r="F8033" s="46" t="s">
        <v>17759</v>
      </c>
      <c r="G8033" s="46" t="s">
        <v>50584</v>
      </c>
      <c r="H8033" s="48" t="s">
        <v>56716</v>
      </c>
      <c r="I8033" s="48" t="s">
        <v>50564</v>
      </c>
      <c r="J8033" s="48" t="s">
        <v>56716</v>
      </c>
      <c r="K8033" s="57"/>
      <c r="L8033" s="48" t="s">
        <v>56716</v>
      </c>
    </row>
    <row r="8034" spans="1:12" ht="11.25" x14ac:dyDescent="0.2">
      <c r="A8034" s="46" t="s">
        <v>14673</v>
      </c>
      <c r="B8034" s="46" t="s">
        <v>55598</v>
      </c>
      <c r="C8034" s="58" t="str">
        <f>""</f>
        <v/>
      </c>
      <c r="D8034" s="58" t="str">
        <f>"17566614"</f>
        <v>17566614</v>
      </c>
      <c r="E8034" s="46" t="s">
        <v>2299</v>
      </c>
      <c r="F8034" s="46" t="s">
        <v>50646</v>
      </c>
      <c r="G8034" s="46" t="s">
        <v>50584</v>
      </c>
      <c r="H8034" s="48" t="s">
        <v>56716</v>
      </c>
      <c r="I8034" s="48" t="s">
        <v>50564</v>
      </c>
      <c r="J8034" s="48" t="s">
        <v>56716</v>
      </c>
      <c r="K8034" s="57"/>
      <c r="L8034" s="48"/>
    </row>
    <row r="8035" spans="1:12" ht="11.25" x14ac:dyDescent="0.2">
      <c r="A8035" s="46" t="s">
        <v>8080</v>
      </c>
      <c r="B8035" s="46" t="s">
        <v>56168</v>
      </c>
      <c r="C8035" s="58" t="str">
        <f>"11217596"</f>
        <v>11217596</v>
      </c>
      <c r="D8035" s="58" t="str">
        <f>""</f>
        <v/>
      </c>
      <c r="E8035" s="46" t="s">
        <v>1711</v>
      </c>
      <c r="F8035" s="46" t="s">
        <v>17991</v>
      </c>
      <c r="G8035" s="46" t="s">
        <v>50584</v>
      </c>
      <c r="H8035" s="48" t="s">
        <v>56716</v>
      </c>
      <c r="I8035" s="48" t="s">
        <v>50564</v>
      </c>
      <c r="J8035" s="48"/>
      <c r="K8035" s="57"/>
      <c r="L8035" s="48"/>
    </row>
    <row r="8036" spans="1:12" ht="11.25" x14ac:dyDescent="0.2">
      <c r="A8036" s="46" t="s">
        <v>14356</v>
      </c>
      <c r="B8036" s="46" t="s">
        <v>55599</v>
      </c>
      <c r="C8036" s="58" t="str">
        <f>"1877959X"</f>
        <v>1877959X</v>
      </c>
      <c r="D8036" s="58" t="str">
        <f>"18779603"</f>
        <v>18779603</v>
      </c>
      <c r="E8036" s="46" t="s">
        <v>6159</v>
      </c>
      <c r="F8036" s="46" t="s">
        <v>18158</v>
      </c>
      <c r="G8036" s="46" t="s">
        <v>50584</v>
      </c>
      <c r="H8036" s="48" t="s">
        <v>56716</v>
      </c>
      <c r="I8036" s="48" t="s">
        <v>50564</v>
      </c>
      <c r="J8036" s="48" t="s">
        <v>56716</v>
      </c>
      <c r="K8036" s="50" t="s">
        <v>56716</v>
      </c>
      <c r="L8036" s="48" t="s">
        <v>56716</v>
      </c>
    </row>
    <row r="8037" spans="1:12" ht="11.25" x14ac:dyDescent="0.2">
      <c r="A8037" s="45" t="s">
        <v>48482</v>
      </c>
      <c r="B8037" s="45" t="s">
        <v>48484</v>
      </c>
      <c r="C8037" s="51" t="s">
        <v>48487</v>
      </c>
      <c r="D8037" s="51" t="s">
        <v>48486</v>
      </c>
      <c r="E8037" s="45" t="s">
        <v>48488</v>
      </c>
      <c r="F8037" s="45" t="s">
        <v>18138</v>
      </c>
      <c r="G8037" s="45" t="s">
        <v>56695</v>
      </c>
      <c r="H8037" s="56"/>
      <c r="I8037" s="56" t="s">
        <v>50564</v>
      </c>
      <c r="J8037" s="56"/>
      <c r="K8037" s="57"/>
      <c r="L8037" s="56" t="s">
        <v>56716</v>
      </c>
    </row>
    <row r="8038" spans="1:12" ht="11.25" x14ac:dyDescent="0.2">
      <c r="A8038" s="45" t="s">
        <v>48493</v>
      </c>
      <c r="B8038" s="45" t="s">
        <v>48495</v>
      </c>
      <c r="C8038" s="51" t="s">
        <v>48497</v>
      </c>
      <c r="D8038" s="51"/>
      <c r="E8038" s="45" t="s">
        <v>48498</v>
      </c>
      <c r="F8038" s="45" t="s">
        <v>18158</v>
      </c>
      <c r="G8038" s="45" t="s">
        <v>50592</v>
      </c>
      <c r="H8038" s="56"/>
      <c r="I8038" s="56" t="s">
        <v>50564</v>
      </c>
      <c r="J8038" s="56"/>
      <c r="K8038" s="57"/>
      <c r="L8038" s="56" t="s">
        <v>56716</v>
      </c>
    </row>
    <row r="8039" spans="1:12" ht="11.25" x14ac:dyDescent="0.2">
      <c r="A8039" s="45" t="s">
        <v>48500</v>
      </c>
      <c r="B8039" s="45" t="s">
        <v>48502</v>
      </c>
      <c r="C8039" s="51" t="s">
        <v>48503</v>
      </c>
      <c r="D8039" s="51"/>
      <c r="E8039" s="45" t="s">
        <v>48504</v>
      </c>
      <c r="F8039" s="45" t="s">
        <v>18158</v>
      </c>
      <c r="G8039" s="45" t="s">
        <v>50592</v>
      </c>
      <c r="H8039" s="56"/>
      <c r="I8039" s="56" t="s">
        <v>50564</v>
      </c>
      <c r="J8039" s="56"/>
      <c r="K8039" s="57"/>
      <c r="L8039" s="56" t="s">
        <v>56716</v>
      </c>
    </row>
    <row r="8040" spans="1:12" ht="11.25" x14ac:dyDescent="0.2">
      <c r="A8040" s="45" t="s">
        <v>48506</v>
      </c>
      <c r="B8040" s="45" t="s">
        <v>48508</v>
      </c>
      <c r="C8040" s="51" t="s">
        <v>48510</v>
      </c>
      <c r="D8040" s="51"/>
      <c r="E8040" s="45" t="s">
        <v>48511</v>
      </c>
      <c r="F8040" s="45" t="s">
        <v>18001</v>
      </c>
      <c r="G8040" s="45" t="s">
        <v>56529</v>
      </c>
      <c r="H8040" s="56"/>
      <c r="I8040" s="56" t="s">
        <v>50564</v>
      </c>
      <c r="J8040" s="56"/>
      <c r="K8040" s="57"/>
      <c r="L8040" s="56" t="s">
        <v>56716</v>
      </c>
    </row>
    <row r="8041" spans="1:12" ht="11.25" x14ac:dyDescent="0.2">
      <c r="A8041" s="46" t="s">
        <v>3908</v>
      </c>
      <c r="B8041" s="46" t="s">
        <v>55600</v>
      </c>
      <c r="C8041" s="58" t="str">
        <f>"0371683X"</f>
        <v>0371683X</v>
      </c>
      <c r="D8041" s="58" t="str">
        <f>""</f>
        <v/>
      </c>
      <c r="E8041" s="46" t="s">
        <v>3908</v>
      </c>
      <c r="F8041" s="46" t="s">
        <v>17929</v>
      </c>
      <c r="G8041" s="46" t="s">
        <v>50583</v>
      </c>
      <c r="H8041" s="48" t="s">
        <v>56716</v>
      </c>
      <c r="I8041" s="48" t="s">
        <v>50564</v>
      </c>
      <c r="J8041" s="48"/>
      <c r="K8041" s="57"/>
      <c r="L8041" s="48"/>
    </row>
    <row r="8042" spans="1:12" ht="11.25" x14ac:dyDescent="0.2">
      <c r="A8042" s="45" t="s">
        <v>48513</v>
      </c>
      <c r="B8042" s="45" t="s">
        <v>48515</v>
      </c>
      <c r="C8042" s="51" t="s">
        <v>48517</v>
      </c>
      <c r="D8042" s="51" t="s">
        <v>56696</v>
      </c>
      <c r="E8042" s="45" t="s">
        <v>48518</v>
      </c>
      <c r="F8042" s="45" t="s">
        <v>18001</v>
      </c>
      <c r="G8042" s="45" t="s">
        <v>56529</v>
      </c>
      <c r="H8042" s="56"/>
      <c r="I8042" s="56" t="s">
        <v>50564</v>
      </c>
      <c r="J8042" s="56"/>
      <c r="K8042" s="57"/>
      <c r="L8042" s="56" t="s">
        <v>56716</v>
      </c>
    </row>
    <row r="8043" spans="1:12" ht="11.25" x14ac:dyDescent="0.2">
      <c r="A8043" s="46" t="s">
        <v>3938</v>
      </c>
      <c r="B8043" s="46" t="s">
        <v>55601</v>
      </c>
      <c r="C8043" s="58" t="str">
        <f>"03767442"</f>
        <v>03767442</v>
      </c>
      <c r="D8043" s="58" t="str">
        <f>"18756840"</f>
        <v>18756840</v>
      </c>
      <c r="E8043" s="46" t="s">
        <v>3093</v>
      </c>
      <c r="F8043" s="46" t="s">
        <v>18001</v>
      </c>
      <c r="G8043" s="46" t="s">
        <v>50583</v>
      </c>
      <c r="H8043" s="48" t="s">
        <v>56716</v>
      </c>
      <c r="I8043" s="48" t="s">
        <v>50564</v>
      </c>
      <c r="J8043" s="48"/>
      <c r="K8043" s="57"/>
      <c r="L8043" s="48"/>
    </row>
    <row r="8044" spans="1:12" ht="11.25" x14ac:dyDescent="0.2">
      <c r="A8044" s="46" t="s">
        <v>3972</v>
      </c>
      <c r="B8044" s="46" t="s">
        <v>55602</v>
      </c>
      <c r="C8044" s="58" t="str">
        <f>"03037339"</f>
        <v>03037339</v>
      </c>
      <c r="D8044" s="58" t="str">
        <f>""</f>
        <v/>
      </c>
      <c r="E8044" s="46" t="s">
        <v>3974</v>
      </c>
      <c r="F8044" s="46" t="s">
        <v>18001</v>
      </c>
      <c r="G8044" s="46" t="s">
        <v>50583</v>
      </c>
      <c r="H8044" s="48" t="s">
        <v>56716</v>
      </c>
      <c r="I8044" s="48" t="s">
        <v>50564</v>
      </c>
      <c r="J8044" s="48"/>
      <c r="K8044" s="57"/>
      <c r="L8044" s="48" t="s">
        <v>56716</v>
      </c>
    </row>
    <row r="8045" spans="1:12" ht="11.25" x14ac:dyDescent="0.2">
      <c r="A8045" s="45" t="s">
        <v>48526</v>
      </c>
      <c r="B8045" s="45" t="s">
        <v>48526</v>
      </c>
      <c r="C8045" s="51" t="s">
        <v>48529</v>
      </c>
      <c r="D8045" s="51"/>
      <c r="E8045" s="45" t="s">
        <v>48530</v>
      </c>
      <c r="F8045" s="45" t="s">
        <v>17759</v>
      </c>
      <c r="G8045" s="45" t="s">
        <v>50584</v>
      </c>
      <c r="H8045" s="56"/>
      <c r="I8045" s="56" t="s">
        <v>50564</v>
      </c>
      <c r="J8045" s="56"/>
      <c r="K8045" s="57"/>
      <c r="L8045" s="56" t="s">
        <v>56716</v>
      </c>
    </row>
    <row r="8046" spans="1:12" ht="11.25" x14ac:dyDescent="0.2">
      <c r="A8046" s="45" t="s">
        <v>48533</v>
      </c>
      <c r="B8046" s="45" t="s">
        <v>48535</v>
      </c>
      <c r="C8046" s="51"/>
      <c r="D8046" s="51" t="s">
        <v>48536</v>
      </c>
      <c r="E8046" s="45" t="s">
        <v>27641</v>
      </c>
      <c r="F8046" s="45" t="s">
        <v>17759</v>
      </c>
      <c r="G8046" s="45" t="s">
        <v>50584</v>
      </c>
      <c r="H8046" s="56"/>
      <c r="I8046" s="56" t="s">
        <v>50564</v>
      </c>
      <c r="J8046" s="56"/>
      <c r="K8046" s="57"/>
      <c r="L8046" s="56" t="s">
        <v>56716</v>
      </c>
    </row>
    <row r="8047" spans="1:12" ht="11.25" x14ac:dyDescent="0.2">
      <c r="A8047" s="46" t="s">
        <v>14192</v>
      </c>
      <c r="B8047" s="46" t="s">
        <v>55603</v>
      </c>
      <c r="C8047" s="58" t="str">
        <f>"15835251"</f>
        <v>15835251</v>
      </c>
      <c r="D8047" s="58" t="str">
        <f>"1583526X"</f>
        <v>1583526X</v>
      </c>
      <c r="E8047" s="46" t="s">
        <v>14195</v>
      </c>
      <c r="F8047" s="46" t="s">
        <v>22017</v>
      </c>
      <c r="G8047" s="46" t="s">
        <v>50584</v>
      </c>
      <c r="H8047" s="48" t="s">
        <v>56716</v>
      </c>
      <c r="I8047" s="48" t="s">
        <v>50564</v>
      </c>
      <c r="J8047" s="48"/>
      <c r="K8047" s="57"/>
      <c r="L8047" s="48"/>
    </row>
    <row r="8048" spans="1:12" ht="11.25" x14ac:dyDescent="0.2">
      <c r="A8048" s="46" t="s">
        <v>3932</v>
      </c>
      <c r="B8048" s="46" t="s">
        <v>48540</v>
      </c>
      <c r="C8048" s="58" t="str">
        <f>"00408166"</f>
        <v>00408166</v>
      </c>
      <c r="D8048" s="58" t="str">
        <f>"15323072"</f>
        <v>15323072</v>
      </c>
      <c r="E8048" s="46" t="s">
        <v>831</v>
      </c>
      <c r="F8048" s="46" t="s">
        <v>50646</v>
      </c>
      <c r="G8048" s="46" t="s">
        <v>50584</v>
      </c>
      <c r="H8048" s="48" t="s">
        <v>56716</v>
      </c>
      <c r="I8048" s="48" t="s">
        <v>50564</v>
      </c>
      <c r="J8048" s="48"/>
      <c r="K8048" s="50" t="s">
        <v>56716</v>
      </c>
      <c r="L8048" s="48" t="s">
        <v>56716</v>
      </c>
    </row>
    <row r="8049" spans="1:12" ht="11.25" x14ac:dyDescent="0.2">
      <c r="A8049" s="46" t="s">
        <v>3989</v>
      </c>
      <c r="B8049" s="46" t="s">
        <v>3989</v>
      </c>
      <c r="C8049" s="58" t="str">
        <f>"00012815"</f>
        <v>00012815</v>
      </c>
      <c r="D8049" s="58" t="str">
        <f>"13990039"</f>
        <v>13990039</v>
      </c>
      <c r="E8049" s="46" t="s">
        <v>35</v>
      </c>
      <c r="F8049" s="46" t="s">
        <v>50646</v>
      </c>
      <c r="G8049" s="46" t="s">
        <v>50584</v>
      </c>
      <c r="H8049" s="48" t="s">
        <v>56716</v>
      </c>
      <c r="I8049" s="48" t="s">
        <v>50564</v>
      </c>
      <c r="J8049" s="48" t="s">
        <v>56716</v>
      </c>
      <c r="K8049" s="50" t="s">
        <v>56716</v>
      </c>
      <c r="L8049" s="48" t="s">
        <v>56716</v>
      </c>
    </row>
    <row r="8050" spans="1:12" ht="11.25" x14ac:dyDescent="0.2">
      <c r="A8050" s="46" t="s">
        <v>17352</v>
      </c>
      <c r="B8050" s="46" t="s">
        <v>17352</v>
      </c>
      <c r="C8050" s="58" t="str">
        <f>"21688362"</f>
        <v>21688362</v>
      </c>
      <c r="D8050" s="58" t="str">
        <f>"21688370"</f>
        <v>21688370</v>
      </c>
      <c r="E8050" s="46" t="s">
        <v>669</v>
      </c>
      <c r="F8050" s="46" t="s">
        <v>17759</v>
      </c>
      <c r="G8050" s="46" t="s">
        <v>50584</v>
      </c>
      <c r="H8050" s="48" t="s">
        <v>56716</v>
      </c>
      <c r="I8050" s="48" t="s">
        <v>50564</v>
      </c>
      <c r="J8050" s="48"/>
      <c r="K8050" s="57"/>
      <c r="L8050" s="48"/>
    </row>
    <row r="8051" spans="1:12" ht="11.25" x14ac:dyDescent="0.2">
      <c r="A8051" s="46" t="s">
        <v>12716</v>
      </c>
      <c r="B8051" s="46" t="s">
        <v>55604</v>
      </c>
      <c r="C8051" s="58" t="str">
        <f>"19373341"</f>
        <v>19373341</v>
      </c>
      <c r="D8051" s="58" t="str">
        <f>"1937335X"</f>
        <v>1937335X</v>
      </c>
      <c r="E8051" s="46" t="s">
        <v>4337</v>
      </c>
      <c r="F8051" s="46" t="s">
        <v>17759</v>
      </c>
      <c r="G8051" s="46" t="s">
        <v>50584</v>
      </c>
      <c r="H8051" s="48" t="s">
        <v>56716</v>
      </c>
      <c r="I8051" s="48" t="s">
        <v>50564</v>
      </c>
      <c r="J8051" s="48" t="s">
        <v>56716</v>
      </c>
      <c r="K8051" s="57"/>
      <c r="L8051" s="48" t="s">
        <v>56716</v>
      </c>
    </row>
    <row r="8052" spans="1:12" ht="11.25" x14ac:dyDescent="0.2">
      <c r="A8052" s="46" t="s">
        <v>12719</v>
      </c>
      <c r="B8052" s="46" t="s">
        <v>55605</v>
      </c>
      <c r="C8052" s="58" t="str">
        <f>"19373368"</f>
        <v>19373368</v>
      </c>
      <c r="D8052" s="58" t="str">
        <f>"19373376"</f>
        <v>19373376</v>
      </c>
      <c r="E8052" s="46" t="s">
        <v>4337</v>
      </c>
      <c r="F8052" s="46" t="s">
        <v>17759</v>
      </c>
      <c r="G8052" s="46" t="s">
        <v>50584</v>
      </c>
      <c r="H8052" s="48" t="s">
        <v>56716</v>
      </c>
      <c r="I8052" s="48" t="s">
        <v>50564</v>
      </c>
      <c r="J8052" s="48" t="s">
        <v>56716</v>
      </c>
      <c r="K8052" s="57"/>
      <c r="L8052" s="48" t="s">
        <v>56716</v>
      </c>
    </row>
    <row r="8053" spans="1:12" ht="11.25" x14ac:dyDescent="0.2">
      <c r="A8053" s="46" t="s">
        <v>12722</v>
      </c>
      <c r="B8053" s="46" t="s">
        <v>55606</v>
      </c>
      <c r="C8053" s="58" t="str">
        <f>"19373384"</f>
        <v>19373384</v>
      </c>
      <c r="D8053" s="58" t="str">
        <f>"19373392"</f>
        <v>19373392</v>
      </c>
      <c r="E8053" s="46" t="s">
        <v>4337</v>
      </c>
      <c r="F8053" s="46" t="s">
        <v>17759</v>
      </c>
      <c r="G8053" s="46" t="s">
        <v>50584</v>
      </c>
      <c r="H8053" s="48" t="s">
        <v>56716</v>
      </c>
      <c r="I8053" s="48" t="s">
        <v>50564</v>
      </c>
      <c r="J8053" s="48" t="s">
        <v>56716</v>
      </c>
      <c r="K8053" s="57"/>
      <c r="L8053" s="48" t="s">
        <v>56716</v>
      </c>
    </row>
    <row r="8054" spans="1:12" ht="11.25" x14ac:dyDescent="0.2">
      <c r="A8054" s="46" t="s">
        <v>13815</v>
      </c>
      <c r="B8054" s="46" t="s">
        <v>55607</v>
      </c>
      <c r="C8054" s="58" t="str">
        <f>"17382696"</f>
        <v>17382696</v>
      </c>
      <c r="D8054" s="58" t="str">
        <f>"22125469"</f>
        <v>22125469</v>
      </c>
      <c r="E8054" s="46" t="s">
        <v>18876</v>
      </c>
      <c r="F8054" s="46" t="s">
        <v>18001</v>
      </c>
      <c r="G8054" s="46" t="s">
        <v>50606</v>
      </c>
      <c r="H8054" s="48" t="s">
        <v>56716</v>
      </c>
      <c r="I8054" s="48" t="s">
        <v>50564</v>
      </c>
      <c r="J8054" s="48" t="s">
        <v>56716</v>
      </c>
      <c r="K8054" s="57"/>
      <c r="L8054" s="48"/>
    </row>
    <row r="8055" spans="1:12" ht="11.25" x14ac:dyDescent="0.2">
      <c r="A8055" s="45" t="s">
        <v>48558</v>
      </c>
      <c r="B8055" s="45" t="s">
        <v>48560</v>
      </c>
      <c r="C8055" s="51" t="s">
        <v>48562</v>
      </c>
      <c r="D8055" s="51" t="s">
        <v>48561</v>
      </c>
      <c r="E8055" s="45" t="s">
        <v>18616</v>
      </c>
      <c r="F8055" s="45" t="s">
        <v>50646</v>
      </c>
      <c r="G8055" s="45" t="s">
        <v>50584</v>
      </c>
      <c r="H8055" s="56"/>
      <c r="I8055" s="56" t="s">
        <v>50564</v>
      </c>
      <c r="J8055" s="56"/>
      <c r="K8055" s="57"/>
      <c r="L8055" s="56" t="s">
        <v>56716</v>
      </c>
    </row>
    <row r="8056" spans="1:12" ht="11.25" x14ac:dyDescent="0.2">
      <c r="A8056" s="46" t="s">
        <v>13472</v>
      </c>
      <c r="B8056" s="46" t="s">
        <v>55608</v>
      </c>
      <c r="C8056" s="58" t="str">
        <f>""</f>
        <v/>
      </c>
      <c r="D8056" s="58" t="str">
        <f>"16179625"</f>
        <v>16179625</v>
      </c>
      <c r="E8056" s="46" t="s">
        <v>2299</v>
      </c>
      <c r="F8056" s="46" t="s">
        <v>50646</v>
      </c>
      <c r="G8056" s="46" t="s">
        <v>50584</v>
      </c>
      <c r="H8056" s="48" t="s">
        <v>56716</v>
      </c>
      <c r="I8056" s="48" t="s">
        <v>50564</v>
      </c>
      <c r="J8056" s="48" t="s">
        <v>56716</v>
      </c>
      <c r="K8056" s="50" t="s">
        <v>56716</v>
      </c>
      <c r="L8056" s="48"/>
    </row>
    <row r="8057" spans="1:12" ht="11.25" x14ac:dyDescent="0.2">
      <c r="A8057" s="45" t="s">
        <v>48564</v>
      </c>
      <c r="B8057" s="45" t="s">
        <v>48566</v>
      </c>
      <c r="C8057" s="51" t="s">
        <v>48568</v>
      </c>
      <c r="D8057" s="51"/>
      <c r="E8057" s="45" t="s">
        <v>48569</v>
      </c>
      <c r="F8057" s="45" t="s">
        <v>17759</v>
      </c>
      <c r="G8057" s="45" t="s">
        <v>50584</v>
      </c>
      <c r="H8057" s="56"/>
      <c r="I8057" s="56" t="s">
        <v>50564</v>
      </c>
      <c r="J8057" s="56"/>
      <c r="K8057" s="57"/>
      <c r="L8057" s="56" t="s">
        <v>56716</v>
      </c>
    </row>
    <row r="8058" spans="1:12" ht="11.25" x14ac:dyDescent="0.2">
      <c r="A8058" s="46" t="s">
        <v>3941</v>
      </c>
      <c r="B8058" s="46" t="s">
        <v>55609</v>
      </c>
      <c r="C8058" s="58" t="str">
        <f>"00408727"</f>
        <v>00408727</v>
      </c>
      <c r="D8058" s="58" t="str">
        <f>"13493329"</f>
        <v>13493329</v>
      </c>
      <c r="E8058" s="46" t="s">
        <v>3944</v>
      </c>
      <c r="F8058" s="46" t="s">
        <v>18242</v>
      </c>
      <c r="G8058" s="46" t="s">
        <v>50584</v>
      </c>
      <c r="H8058" s="48" t="s">
        <v>56716</v>
      </c>
      <c r="I8058" s="48" t="s">
        <v>50564</v>
      </c>
      <c r="J8058" s="48"/>
      <c r="K8058" s="57"/>
      <c r="L8058" s="48" t="s">
        <v>56716</v>
      </c>
    </row>
    <row r="8059" spans="1:12" ht="11.25" x14ac:dyDescent="0.2">
      <c r="A8059" s="46" t="s">
        <v>3945</v>
      </c>
      <c r="B8059" s="46" t="s">
        <v>55610</v>
      </c>
      <c r="C8059" s="58" t="str">
        <f>"03850005"</f>
        <v>03850005</v>
      </c>
      <c r="D8059" s="58" t="str">
        <f>"21852243"</f>
        <v>21852243</v>
      </c>
      <c r="E8059" s="46" t="s">
        <v>56170</v>
      </c>
      <c r="F8059" s="46" t="s">
        <v>18242</v>
      </c>
      <c r="G8059" s="46" t="s">
        <v>50584</v>
      </c>
      <c r="H8059" s="48" t="s">
        <v>56716</v>
      </c>
      <c r="I8059" s="48" t="s">
        <v>50564</v>
      </c>
      <c r="J8059" s="48"/>
      <c r="K8059" s="57"/>
      <c r="L8059" s="48" t="s">
        <v>56716</v>
      </c>
    </row>
    <row r="8060" spans="1:12" ht="11.25" x14ac:dyDescent="0.2">
      <c r="A8060" s="46" t="s">
        <v>3949</v>
      </c>
      <c r="B8060" s="46" t="s">
        <v>55611</v>
      </c>
      <c r="C8060" s="58" t="str">
        <f>"03759172"</f>
        <v>03759172</v>
      </c>
      <c r="D8060" s="58" t="str">
        <f>""</f>
        <v/>
      </c>
      <c r="E8060" s="46" t="s">
        <v>3951</v>
      </c>
      <c r="F8060" s="46" t="s">
        <v>18242</v>
      </c>
      <c r="G8060" s="46" t="s">
        <v>50604</v>
      </c>
      <c r="H8060" s="48" t="s">
        <v>56716</v>
      </c>
      <c r="I8060" s="48" t="s">
        <v>50564</v>
      </c>
      <c r="J8060" s="48"/>
      <c r="K8060" s="57"/>
      <c r="L8060" s="48"/>
    </row>
    <row r="8061" spans="1:12" ht="11.25" x14ac:dyDescent="0.2">
      <c r="A8061" s="46" t="s">
        <v>17080</v>
      </c>
      <c r="B8061" s="46" t="s">
        <v>55612</v>
      </c>
      <c r="C8061" s="58" t="str">
        <f>"21615861"</f>
        <v>21615861</v>
      </c>
      <c r="D8061" s="58" t="str">
        <f>"21615853"</f>
        <v>21615853</v>
      </c>
      <c r="E8061" s="46" t="s">
        <v>17083</v>
      </c>
      <c r="F8061" s="46" t="s">
        <v>17759</v>
      </c>
      <c r="G8061" s="46" t="s">
        <v>50584</v>
      </c>
      <c r="H8061" s="48" t="s">
        <v>56716</v>
      </c>
      <c r="I8061" s="48" t="s">
        <v>50564</v>
      </c>
      <c r="J8061" s="48"/>
      <c r="K8061" s="57"/>
      <c r="L8061" s="48" t="s">
        <v>56716</v>
      </c>
    </row>
    <row r="8062" spans="1:12" ht="11.25" x14ac:dyDescent="0.2">
      <c r="A8062" s="46" t="s">
        <v>11264</v>
      </c>
      <c r="B8062" s="46" t="s">
        <v>55613</v>
      </c>
      <c r="C8062" s="58" t="str">
        <f>"08835691"</f>
        <v>08835691</v>
      </c>
      <c r="D8062" s="58" t="str">
        <f>"15505146"</f>
        <v>15505146</v>
      </c>
      <c r="E8062" s="46" t="s">
        <v>28</v>
      </c>
      <c r="F8062" s="46" t="s">
        <v>17759</v>
      </c>
      <c r="G8062" s="46" t="s">
        <v>50584</v>
      </c>
      <c r="H8062" s="48" t="s">
        <v>56716</v>
      </c>
      <c r="I8062" s="48" t="s">
        <v>50564</v>
      </c>
      <c r="J8062" s="48" t="s">
        <v>56716</v>
      </c>
      <c r="K8062" s="57"/>
      <c r="L8062" s="48"/>
    </row>
    <row r="8063" spans="1:12" ht="11.25" x14ac:dyDescent="0.2">
      <c r="A8063" s="45" t="s">
        <v>48590</v>
      </c>
      <c r="B8063" s="45" t="s">
        <v>48592</v>
      </c>
      <c r="C8063" s="51" t="s">
        <v>48594</v>
      </c>
      <c r="D8063" s="51" t="s">
        <v>48593</v>
      </c>
      <c r="E8063" s="45" t="s">
        <v>48595</v>
      </c>
      <c r="F8063" s="45" t="s">
        <v>17759</v>
      </c>
      <c r="G8063" s="45" t="s">
        <v>50584</v>
      </c>
      <c r="H8063" s="56"/>
      <c r="I8063" s="56" t="s">
        <v>50564</v>
      </c>
      <c r="J8063" s="56"/>
      <c r="K8063" s="57"/>
      <c r="L8063" s="56" t="s">
        <v>56716</v>
      </c>
    </row>
    <row r="8064" spans="1:12" ht="11.25" x14ac:dyDescent="0.2">
      <c r="A8064" s="45" t="s">
        <v>48597</v>
      </c>
      <c r="B8064" s="45" t="s">
        <v>48599</v>
      </c>
      <c r="C8064" s="51" t="s">
        <v>48601</v>
      </c>
      <c r="D8064" s="51"/>
      <c r="E8064" s="45" t="s">
        <v>91</v>
      </c>
      <c r="F8064" s="45" t="s">
        <v>17759</v>
      </c>
      <c r="G8064" s="45" t="s">
        <v>50584</v>
      </c>
      <c r="H8064" s="56"/>
      <c r="I8064" s="56" t="s">
        <v>50564</v>
      </c>
      <c r="J8064" s="56"/>
      <c r="K8064" s="57"/>
      <c r="L8064" s="56" t="s">
        <v>56716</v>
      </c>
    </row>
    <row r="8065" spans="1:12" ht="11.25" x14ac:dyDescent="0.2">
      <c r="A8065" s="45" t="s">
        <v>48603</v>
      </c>
      <c r="B8065" s="45" t="s">
        <v>48605</v>
      </c>
      <c r="C8065" s="51" t="s">
        <v>48607</v>
      </c>
      <c r="D8065" s="51" t="s">
        <v>56697</v>
      </c>
      <c r="E8065" s="45" t="s">
        <v>18727</v>
      </c>
      <c r="F8065" s="45" t="s">
        <v>18158</v>
      </c>
      <c r="G8065" s="45" t="s">
        <v>50592</v>
      </c>
      <c r="H8065" s="56"/>
      <c r="I8065" s="56" t="s">
        <v>50564</v>
      </c>
      <c r="J8065" s="56"/>
      <c r="K8065" s="57"/>
      <c r="L8065" s="56" t="s">
        <v>56716</v>
      </c>
    </row>
    <row r="8066" spans="1:12" ht="11.25" x14ac:dyDescent="0.2">
      <c r="A8066" s="46" t="s">
        <v>4242</v>
      </c>
      <c r="B8066" s="46" t="s">
        <v>55614</v>
      </c>
      <c r="C8066" s="58" t="str">
        <f>"08827524"</f>
        <v>08827524</v>
      </c>
      <c r="D8066" s="58" t="str">
        <f>"15502414"</f>
        <v>15502414</v>
      </c>
      <c r="E8066" s="46" t="s">
        <v>28</v>
      </c>
      <c r="F8066" s="46" t="s">
        <v>17759</v>
      </c>
      <c r="G8066" s="46" t="s">
        <v>50584</v>
      </c>
      <c r="H8066" s="48" t="s">
        <v>56716</v>
      </c>
      <c r="I8066" s="48" t="s">
        <v>50564</v>
      </c>
      <c r="J8066" s="48"/>
      <c r="K8066" s="57"/>
      <c r="L8066" s="48"/>
    </row>
    <row r="8067" spans="1:12" ht="11.25" x14ac:dyDescent="0.2">
      <c r="A8067" s="46" t="s">
        <v>4929</v>
      </c>
      <c r="B8067" s="46" t="s">
        <v>55615</v>
      </c>
      <c r="C8067" s="58" t="str">
        <f>"08993459"</f>
        <v>08993459</v>
      </c>
      <c r="D8067" s="58" t="str">
        <f>"15361004"</f>
        <v>15361004</v>
      </c>
      <c r="E8067" s="46" t="s">
        <v>28</v>
      </c>
      <c r="F8067" s="46" t="s">
        <v>17759</v>
      </c>
      <c r="G8067" s="46" t="s">
        <v>50584</v>
      </c>
      <c r="H8067" s="48" t="s">
        <v>56716</v>
      </c>
      <c r="I8067" s="48" t="s">
        <v>50564</v>
      </c>
      <c r="J8067" s="48" t="s">
        <v>56716</v>
      </c>
      <c r="K8067" s="57"/>
      <c r="L8067" s="48" t="s">
        <v>56716</v>
      </c>
    </row>
    <row r="8068" spans="1:12" ht="11.25" x14ac:dyDescent="0.2">
      <c r="A8068" s="46" t="s">
        <v>13415</v>
      </c>
      <c r="B8068" s="46" t="s">
        <v>55616</v>
      </c>
      <c r="C8068" s="58" t="str">
        <f>"18622461"</f>
        <v>18622461</v>
      </c>
      <c r="D8068" s="58" t="str">
        <f>"1862247X"</f>
        <v>1862247X</v>
      </c>
      <c r="E8068" s="46" t="s">
        <v>167</v>
      </c>
      <c r="F8068" s="46" t="s">
        <v>18158</v>
      </c>
      <c r="G8068" s="46" t="s">
        <v>50584</v>
      </c>
      <c r="H8068" s="48" t="s">
        <v>56716</v>
      </c>
      <c r="I8068" s="48" t="s">
        <v>50565</v>
      </c>
      <c r="J8068" s="48" t="s">
        <v>56716</v>
      </c>
      <c r="K8068" s="57"/>
      <c r="L8068" s="48"/>
    </row>
    <row r="8069" spans="1:12" ht="11.25" x14ac:dyDescent="0.2">
      <c r="A8069" s="46" t="s">
        <v>7507</v>
      </c>
      <c r="B8069" s="46" t="s">
        <v>55617</v>
      </c>
      <c r="C8069" s="58" t="str">
        <f>"10820744"</f>
        <v>10820744</v>
      </c>
      <c r="D8069" s="58" t="str">
        <f>"19455763"</f>
        <v>19455763</v>
      </c>
      <c r="E8069" s="46" t="s">
        <v>6838</v>
      </c>
      <c r="F8069" s="46" t="s">
        <v>17759</v>
      </c>
      <c r="G8069" s="46" t="s">
        <v>50584</v>
      </c>
      <c r="H8069" s="48" t="s">
        <v>56716</v>
      </c>
      <c r="I8069" s="48" t="s">
        <v>50564</v>
      </c>
      <c r="J8069" s="48"/>
      <c r="K8069" s="57"/>
      <c r="L8069" s="48"/>
    </row>
    <row r="8070" spans="1:12" ht="11.25" x14ac:dyDescent="0.2">
      <c r="A8070" s="46" t="s">
        <v>6835</v>
      </c>
      <c r="B8070" s="46" t="s">
        <v>55618</v>
      </c>
      <c r="C8070" s="58" t="str">
        <f>"10749357"</f>
        <v>10749357</v>
      </c>
      <c r="D8070" s="58" t="str">
        <f>"19455119"</f>
        <v>19455119</v>
      </c>
      <c r="E8070" s="46" t="s">
        <v>6838</v>
      </c>
      <c r="F8070" s="46" t="s">
        <v>17759</v>
      </c>
      <c r="G8070" s="46" t="s">
        <v>50584</v>
      </c>
      <c r="H8070" s="48" t="s">
        <v>56716</v>
      </c>
      <c r="I8070" s="48" t="s">
        <v>50564</v>
      </c>
      <c r="J8070" s="48"/>
      <c r="K8070" s="57"/>
      <c r="L8070" s="48" t="s">
        <v>56716</v>
      </c>
    </row>
    <row r="8071" spans="1:12" ht="11.25" x14ac:dyDescent="0.2">
      <c r="A8071" s="45" t="s">
        <v>48619</v>
      </c>
      <c r="B8071" s="45" t="s">
        <v>48621</v>
      </c>
      <c r="C8071" s="51" t="s">
        <v>48623</v>
      </c>
      <c r="D8071" s="51"/>
      <c r="E8071" s="45" t="s">
        <v>48624</v>
      </c>
      <c r="F8071" s="45" t="s">
        <v>17759</v>
      </c>
      <c r="G8071" s="45" t="s">
        <v>50584</v>
      </c>
      <c r="H8071" s="56"/>
      <c r="I8071" s="56" t="s">
        <v>50564</v>
      </c>
      <c r="J8071" s="56"/>
      <c r="K8071" s="57"/>
      <c r="L8071" s="56" t="s">
        <v>56716</v>
      </c>
    </row>
    <row r="8072" spans="1:12" ht="11.25" x14ac:dyDescent="0.2">
      <c r="A8072" s="45" t="s">
        <v>48626</v>
      </c>
      <c r="B8072" s="45" t="s">
        <v>48628</v>
      </c>
      <c r="C8072" s="51" t="s">
        <v>48631</v>
      </c>
      <c r="D8072" s="51" t="s">
        <v>48630</v>
      </c>
      <c r="E8072" s="45" t="s">
        <v>48632</v>
      </c>
      <c r="F8072" s="45" t="s">
        <v>18305</v>
      </c>
      <c r="G8072" s="45" t="s">
        <v>50584</v>
      </c>
      <c r="H8072" s="56"/>
      <c r="I8072" s="56" t="s">
        <v>50564</v>
      </c>
      <c r="J8072" s="56"/>
      <c r="K8072" s="57"/>
      <c r="L8072" s="56" t="s">
        <v>56716</v>
      </c>
    </row>
    <row r="8073" spans="1:12" ht="11.25" x14ac:dyDescent="0.2">
      <c r="A8073" s="45" t="s">
        <v>48635</v>
      </c>
      <c r="B8073" s="45" t="s">
        <v>48637</v>
      </c>
      <c r="C8073" s="51" t="s">
        <v>48639</v>
      </c>
      <c r="D8073" s="51"/>
      <c r="E8073" s="45" t="s">
        <v>48640</v>
      </c>
      <c r="F8073" s="45" t="s">
        <v>17759</v>
      </c>
      <c r="G8073" s="45" t="s">
        <v>50584</v>
      </c>
      <c r="H8073" s="56"/>
      <c r="I8073" s="56" t="s">
        <v>50564</v>
      </c>
      <c r="J8073" s="56"/>
      <c r="K8073" s="57"/>
      <c r="L8073" s="56" t="s">
        <v>56716</v>
      </c>
    </row>
    <row r="8074" spans="1:12" ht="11.25" x14ac:dyDescent="0.2">
      <c r="A8074" s="46" t="s">
        <v>3960</v>
      </c>
      <c r="B8074" s="46" t="s">
        <v>55619</v>
      </c>
      <c r="C8074" s="58" t="str">
        <f>"01926233"</f>
        <v>01926233</v>
      </c>
      <c r="D8074" s="58" t="str">
        <f>"15331601"</f>
        <v>15331601</v>
      </c>
      <c r="E8074" s="46" t="s">
        <v>493</v>
      </c>
      <c r="F8074" s="46" t="s">
        <v>17759</v>
      </c>
      <c r="G8074" s="46" t="s">
        <v>50584</v>
      </c>
      <c r="H8074" s="48" t="s">
        <v>56716</v>
      </c>
      <c r="I8074" s="48" t="s">
        <v>50564</v>
      </c>
      <c r="J8074" s="48" t="s">
        <v>56716</v>
      </c>
      <c r="K8074" s="57"/>
      <c r="L8074" s="48" t="s">
        <v>56716</v>
      </c>
    </row>
    <row r="8075" spans="1:12" ht="11.25" x14ac:dyDescent="0.2">
      <c r="A8075" s="46" t="s">
        <v>7736</v>
      </c>
      <c r="B8075" s="46" t="s">
        <v>55621</v>
      </c>
      <c r="C8075" s="58" t="str">
        <f>"10966080"</f>
        <v>10966080</v>
      </c>
      <c r="D8075" s="58" t="str">
        <f>"10960929"</f>
        <v>10960929</v>
      </c>
      <c r="E8075" s="46" t="s">
        <v>55</v>
      </c>
      <c r="F8075" s="46" t="s">
        <v>50646</v>
      </c>
      <c r="G8075" s="46" t="s">
        <v>50584</v>
      </c>
      <c r="H8075" s="48" t="s">
        <v>56716</v>
      </c>
      <c r="I8075" s="48" t="s">
        <v>50564</v>
      </c>
      <c r="J8075" s="48"/>
      <c r="K8075" s="57"/>
      <c r="L8075" s="48" t="s">
        <v>56716</v>
      </c>
    </row>
    <row r="8076" spans="1:12" ht="11.25" x14ac:dyDescent="0.2">
      <c r="A8076" s="46" t="s">
        <v>56000</v>
      </c>
      <c r="B8076" s="46" t="s">
        <v>56001</v>
      </c>
      <c r="C8076" s="58" t="str">
        <f>"23520078"</f>
        <v>23520078</v>
      </c>
      <c r="D8076" s="58" t="str">
        <f>""</f>
        <v/>
      </c>
      <c r="E8076" s="46" t="s">
        <v>85</v>
      </c>
      <c r="F8076" s="46" t="s">
        <v>20359</v>
      </c>
      <c r="G8076" s="46" t="s">
        <v>50584</v>
      </c>
      <c r="H8076" s="48" t="s">
        <v>56716</v>
      </c>
      <c r="I8076" s="48" t="s">
        <v>50564</v>
      </c>
      <c r="J8076" s="48"/>
      <c r="K8076" s="50" t="s">
        <v>56716</v>
      </c>
      <c r="L8076" s="48"/>
    </row>
    <row r="8077" spans="1:12" ht="11.25" x14ac:dyDescent="0.2">
      <c r="A8077" s="46" t="s">
        <v>4009</v>
      </c>
      <c r="B8077" s="46" t="s">
        <v>4009</v>
      </c>
      <c r="C8077" s="58" t="str">
        <f>"0300483X"</f>
        <v>0300483X</v>
      </c>
      <c r="D8077" s="58" t="str">
        <f>"18793185"</f>
        <v>18793185</v>
      </c>
      <c r="E8077" s="46" t="s">
        <v>221</v>
      </c>
      <c r="F8077" s="46" t="s">
        <v>21771</v>
      </c>
      <c r="G8077" s="46" t="s">
        <v>50584</v>
      </c>
      <c r="H8077" s="48" t="s">
        <v>56716</v>
      </c>
      <c r="I8077" s="48" t="s">
        <v>50564</v>
      </c>
      <c r="J8077" s="48" t="s">
        <v>56716</v>
      </c>
      <c r="K8077" s="50" t="s">
        <v>56716</v>
      </c>
      <c r="L8077" s="48" t="s">
        <v>56716</v>
      </c>
    </row>
    <row r="8078" spans="1:12" ht="11.25" x14ac:dyDescent="0.2">
      <c r="A8078" s="46" t="s">
        <v>4006</v>
      </c>
      <c r="B8078" s="46" t="s">
        <v>55622</v>
      </c>
      <c r="C8078" s="58" t="str">
        <f>"0041008X"</f>
        <v>0041008X</v>
      </c>
      <c r="D8078" s="58" t="str">
        <f>"10960333"</f>
        <v>10960333</v>
      </c>
      <c r="E8078" s="46" t="s">
        <v>60</v>
      </c>
      <c r="F8078" s="46" t="s">
        <v>17759</v>
      </c>
      <c r="G8078" s="46" t="s">
        <v>50584</v>
      </c>
      <c r="H8078" s="48" t="s">
        <v>56716</v>
      </c>
      <c r="I8078" s="48" t="s">
        <v>50564</v>
      </c>
      <c r="J8078" s="48"/>
      <c r="K8078" s="50" t="s">
        <v>56716</v>
      </c>
      <c r="L8078" s="48" t="s">
        <v>56716</v>
      </c>
    </row>
    <row r="8079" spans="1:12" ht="11.25" x14ac:dyDescent="0.2">
      <c r="A8079" s="46" t="s">
        <v>16514</v>
      </c>
      <c r="B8079" s="46" t="s">
        <v>55623</v>
      </c>
      <c r="C8079" s="58" t="str">
        <f>"20059752"</f>
        <v>20059752</v>
      </c>
      <c r="D8079" s="58" t="str">
        <f>"22337784"</f>
        <v>22337784</v>
      </c>
      <c r="E8079" s="46" t="s">
        <v>18876</v>
      </c>
      <c r="F8079" s="46" t="s">
        <v>18001</v>
      </c>
      <c r="G8079" s="46" t="s">
        <v>50584</v>
      </c>
      <c r="H8079" s="48" t="s">
        <v>56716</v>
      </c>
      <c r="I8079" s="48" t="s">
        <v>50564</v>
      </c>
      <c r="J8079" s="48" t="s">
        <v>56716</v>
      </c>
      <c r="K8079" s="57"/>
      <c r="L8079" s="48"/>
    </row>
    <row r="8080" spans="1:12" ht="11.25" x14ac:dyDescent="0.2">
      <c r="A8080" s="46" t="s">
        <v>3935</v>
      </c>
      <c r="B8080" s="46" t="s">
        <v>55624</v>
      </c>
      <c r="C8080" s="58" t="str">
        <f>"07482337"</f>
        <v>07482337</v>
      </c>
      <c r="D8080" s="58" t="str">
        <f>"14770393"</f>
        <v>14770393</v>
      </c>
      <c r="E8080" s="46" t="s">
        <v>97</v>
      </c>
      <c r="F8080" s="46" t="s">
        <v>50646</v>
      </c>
      <c r="G8080" s="46" t="s">
        <v>50584</v>
      </c>
      <c r="H8080" s="48" t="s">
        <v>56716</v>
      </c>
      <c r="I8080" s="48" t="s">
        <v>50564</v>
      </c>
      <c r="J8080" s="48"/>
      <c r="K8080" s="57"/>
      <c r="L8080" s="48" t="s">
        <v>56716</v>
      </c>
    </row>
    <row r="8081" spans="1:12" ht="11.25" x14ac:dyDescent="0.2">
      <c r="A8081" s="46" t="s">
        <v>4156</v>
      </c>
      <c r="B8081" s="46" t="s">
        <v>55625</v>
      </c>
      <c r="C8081" s="58" t="str">
        <f>"08872333"</f>
        <v>08872333</v>
      </c>
      <c r="D8081" s="58" t="str">
        <f>"18793177"</f>
        <v>18793177</v>
      </c>
      <c r="E8081" s="46" t="s">
        <v>155</v>
      </c>
      <c r="F8081" s="46" t="s">
        <v>50646</v>
      </c>
      <c r="G8081" s="46" t="s">
        <v>50584</v>
      </c>
      <c r="H8081" s="48" t="s">
        <v>56716</v>
      </c>
      <c r="I8081" s="48" t="s">
        <v>50564</v>
      </c>
      <c r="J8081" s="48"/>
      <c r="K8081" s="50" t="s">
        <v>56716</v>
      </c>
      <c r="L8081" s="48" t="s">
        <v>56716</v>
      </c>
    </row>
    <row r="8082" spans="1:12" ht="11.25" x14ac:dyDescent="0.2">
      <c r="A8082" s="46" t="s">
        <v>10488</v>
      </c>
      <c r="B8082" s="46" t="s">
        <v>55626</v>
      </c>
      <c r="C8082" s="58" t="str">
        <f>"09716580"</f>
        <v>09716580</v>
      </c>
      <c r="D8082" s="58" t="str">
        <f>"09765131"</f>
        <v>09765131</v>
      </c>
      <c r="E8082" s="46" t="s">
        <v>19057</v>
      </c>
      <c r="F8082" s="46" t="s">
        <v>20446</v>
      </c>
      <c r="G8082" s="46" t="s">
        <v>50584</v>
      </c>
      <c r="H8082" s="48" t="s">
        <v>56716</v>
      </c>
      <c r="I8082" s="48" t="s">
        <v>50564</v>
      </c>
      <c r="J8082" s="48"/>
      <c r="K8082" s="57"/>
      <c r="L8082" s="48"/>
    </row>
    <row r="8083" spans="1:12" ht="11.25" x14ac:dyDescent="0.2">
      <c r="A8083" s="46" t="s">
        <v>3957</v>
      </c>
      <c r="B8083" s="46" t="s">
        <v>55627</v>
      </c>
      <c r="C8083" s="58" t="str">
        <f>"03784274"</f>
        <v>03784274</v>
      </c>
      <c r="D8083" s="58" t="str">
        <f>"18793169"</f>
        <v>18793169</v>
      </c>
      <c r="E8083" s="46" t="s">
        <v>221</v>
      </c>
      <c r="F8083" s="46" t="s">
        <v>21771</v>
      </c>
      <c r="G8083" s="46" t="s">
        <v>50584</v>
      </c>
      <c r="H8083" s="48" t="s">
        <v>56716</v>
      </c>
      <c r="I8083" s="48" t="s">
        <v>50564</v>
      </c>
      <c r="J8083" s="48" t="s">
        <v>56716</v>
      </c>
      <c r="K8083" s="50" t="s">
        <v>56716</v>
      </c>
      <c r="L8083" s="48" t="s">
        <v>56716</v>
      </c>
    </row>
    <row r="8084" spans="1:12" ht="11.25" x14ac:dyDescent="0.2">
      <c r="A8084" s="46" t="s">
        <v>9455</v>
      </c>
      <c r="B8084" s="46" t="s">
        <v>55628</v>
      </c>
      <c r="C8084" s="58" t="str">
        <f>"15376516"</f>
        <v>15376516</v>
      </c>
      <c r="D8084" s="58" t="str">
        <f>"15376524"</f>
        <v>15376524</v>
      </c>
      <c r="E8084" s="46" t="s">
        <v>291</v>
      </c>
      <c r="F8084" s="46" t="s">
        <v>50646</v>
      </c>
      <c r="G8084" s="46" t="s">
        <v>50584</v>
      </c>
      <c r="H8084" s="48" t="s">
        <v>56716</v>
      </c>
      <c r="I8084" s="48" t="s">
        <v>50564</v>
      </c>
      <c r="J8084" s="48" t="s">
        <v>56716</v>
      </c>
      <c r="K8084" s="57"/>
      <c r="L8084" s="48" t="s">
        <v>56716</v>
      </c>
    </row>
    <row r="8085" spans="1:12" ht="11.25" x14ac:dyDescent="0.2">
      <c r="A8085" s="46" t="s">
        <v>56359</v>
      </c>
      <c r="B8085" s="46" t="s">
        <v>56360</v>
      </c>
      <c r="C8085" s="58" t="str">
        <f>"22147500"</f>
        <v>22147500</v>
      </c>
      <c r="D8085" s="58" t="str">
        <f>""</f>
        <v/>
      </c>
      <c r="E8085" s="46" t="s">
        <v>272</v>
      </c>
      <c r="F8085" s="46" t="s">
        <v>17759</v>
      </c>
      <c r="G8085" s="46" t="s">
        <v>50584</v>
      </c>
      <c r="H8085" s="48" t="s">
        <v>56716</v>
      </c>
      <c r="I8085" s="48" t="s">
        <v>50564</v>
      </c>
      <c r="J8085" s="48" t="s">
        <v>56716</v>
      </c>
      <c r="K8085" s="50" t="s">
        <v>56716</v>
      </c>
      <c r="L8085" s="48"/>
    </row>
    <row r="8086" spans="1:12" ht="11.25" x14ac:dyDescent="0.2">
      <c r="A8086" s="46" t="s">
        <v>16434</v>
      </c>
      <c r="B8086" s="46" t="s">
        <v>55620</v>
      </c>
      <c r="C8086" s="58" t="str">
        <f>"2045452X"</f>
        <v>2045452X</v>
      </c>
      <c r="D8086" s="58" t="str">
        <f>"20454538"</f>
        <v>20454538</v>
      </c>
      <c r="E8086" s="46" t="s">
        <v>6914</v>
      </c>
      <c r="F8086" s="46" t="s">
        <v>50646</v>
      </c>
      <c r="G8086" s="46" t="s">
        <v>50584</v>
      </c>
      <c r="H8086" s="48" t="s">
        <v>56716</v>
      </c>
      <c r="I8086" s="48" t="s">
        <v>50564</v>
      </c>
      <c r="J8086" s="48" t="s">
        <v>56716</v>
      </c>
      <c r="K8086" s="57"/>
      <c r="L8086" s="48"/>
    </row>
    <row r="8087" spans="1:12" ht="11.25" x14ac:dyDescent="0.2">
      <c r="A8087" s="46" t="s">
        <v>3963</v>
      </c>
      <c r="B8087" s="46" t="s">
        <v>3963</v>
      </c>
      <c r="C8087" s="58" t="str">
        <f>"00410101"</f>
        <v>00410101</v>
      </c>
      <c r="D8087" s="58" t="str">
        <f>"18793150"</f>
        <v>18793150</v>
      </c>
      <c r="E8087" s="46" t="s">
        <v>155</v>
      </c>
      <c r="F8087" s="46" t="s">
        <v>50646</v>
      </c>
      <c r="G8087" s="46" t="s">
        <v>50584</v>
      </c>
      <c r="H8087" s="48" t="s">
        <v>56716</v>
      </c>
      <c r="I8087" s="48" t="s">
        <v>50564</v>
      </c>
      <c r="J8087" s="48" t="s">
        <v>56716</v>
      </c>
      <c r="K8087" s="50" t="s">
        <v>56716</v>
      </c>
      <c r="L8087" s="48" t="s">
        <v>56716</v>
      </c>
    </row>
    <row r="8088" spans="1:12" ht="11.25" x14ac:dyDescent="0.2">
      <c r="A8088" s="46" t="s">
        <v>10773</v>
      </c>
      <c r="B8088" s="46" t="s">
        <v>55629</v>
      </c>
      <c r="C8088" s="58" t="str">
        <f>"15569543"</f>
        <v>15569543</v>
      </c>
      <c r="D8088" s="58" t="str">
        <f>"15569551"</f>
        <v>15569551</v>
      </c>
      <c r="E8088" s="46" t="s">
        <v>291</v>
      </c>
      <c r="F8088" s="46" t="s">
        <v>17759</v>
      </c>
      <c r="G8088" s="46" t="s">
        <v>50584</v>
      </c>
      <c r="H8088" s="48" t="s">
        <v>56716</v>
      </c>
      <c r="I8088" s="48" t="s">
        <v>50564</v>
      </c>
      <c r="J8088" s="48"/>
      <c r="K8088" s="57"/>
      <c r="L8088" s="48"/>
    </row>
    <row r="8089" spans="1:12" ht="11.25" x14ac:dyDescent="0.2">
      <c r="A8089" s="46" t="s">
        <v>15197</v>
      </c>
      <c r="B8089" s="46" t="s">
        <v>15197</v>
      </c>
      <c r="C8089" s="58" t="str">
        <f>""</f>
        <v/>
      </c>
      <c r="D8089" s="58" t="str">
        <f>"20726651"</f>
        <v>20726651</v>
      </c>
      <c r="E8089" s="46" t="s">
        <v>4152</v>
      </c>
      <c r="F8089" s="46" t="s">
        <v>18123</v>
      </c>
      <c r="G8089" s="46" t="s">
        <v>50584</v>
      </c>
      <c r="H8089" s="48" t="s">
        <v>56716</v>
      </c>
      <c r="I8089" s="48" t="s">
        <v>50564</v>
      </c>
      <c r="J8089" s="48"/>
      <c r="K8089" s="57"/>
      <c r="L8089" s="48" t="s">
        <v>56716</v>
      </c>
    </row>
    <row r="8090" spans="1:12" ht="11.25" x14ac:dyDescent="0.2">
      <c r="A8090" s="46" t="s">
        <v>5442</v>
      </c>
      <c r="B8090" s="46" t="s">
        <v>55630</v>
      </c>
      <c r="C8090" s="58" t="str">
        <f>"01659936"</f>
        <v>01659936</v>
      </c>
      <c r="D8090" s="58" t="str">
        <f>"18793142"</f>
        <v>18793142</v>
      </c>
      <c r="E8090" s="46" t="s">
        <v>91</v>
      </c>
      <c r="F8090" s="46" t="s">
        <v>18001</v>
      </c>
      <c r="G8090" s="46" t="s">
        <v>50584</v>
      </c>
      <c r="H8090" s="48" t="s">
        <v>56716</v>
      </c>
      <c r="I8090" s="48" t="s">
        <v>50564</v>
      </c>
      <c r="J8090" s="48" t="s">
        <v>56716</v>
      </c>
      <c r="K8090" s="50" t="s">
        <v>56716</v>
      </c>
      <c r="L8090" s="48"/>
    </row>
    <row r="8091" spans="1:12" ht="11.25" x14ac:dyDescent="0.2">
      <c r="A8091" s="46" t="s">
        <v>6438</v>
      </c>
      <c r="B8091" s="46" t="s">
        <v>55631</v>
      </c>
      <c r="C8091" s="58" t="str">
        <f>"09462104"</f>
        <v>09462104</v>
      </c>
      <c r="D8091" s="58" t="str">
        <f>""</f>
        <v/>
      </c>
      <c r="E8091" s="46" t="s">
        <v>437</v>
      </c>
      <c r="F8091" s="46" t="s">
        <v>18158</v>
      </c>
      <c r="G8091" s="46" t="s">
        <v>50584</v>
      </c>
      <c r="H8091" s="48" t="s">
        <v>56716</v>
      </c>
      <c r="I8091" s="48" t="s">
        <v>50564</v>
      </c>
      <c r="J8091" s="48" t="s">
        <v>56716</v>
      </c>
      <c r="K8091" s="57"/>
      <c r="L8091" s="48"/>
    </row>
    <row r="8092" spans="1:12" ht="11.25" x14ac:dyDescent="0.2">
      <c r="A8092" s="46" t="s">
        <v>8472</v>
      </c>
      <c r="B8092" s="46" t="s">
        <v>8472</v>
      </c>
      <c r="C8092" s="58" t="str">
        <f>"13989219"</f>
        <v>13989219</v>
      </c>
      <c r="D8092" s="58" t="str">
        <f>"16000854"</f>
        <v>16000854</v>
      </c>
      <c r="E8092" s="46" t="s">
        <v>50</v>
      </c>
      <c r="F8092" s="46" t="s">
        <v>18305</v>
      </c>
      <c r="G8092" s="46" t="s">
        <v>50584</v>
      </c>
      <c r="H8092" s="48" t="s">
        <v>56716</v>
      </c>
      <c r="I8092" s="48" t="s">
        <v>50564</v>
      </c>
      <c r="J8092" s="48" t="s">
        <v>56716</v>
      </c>
      <c r="K8092" s="50" t="s">
        <v>56716</v>
      </c>
      <c r="L8092" s="48" t="s">
        <v>56716</v>
      </c>
    </row>
    <row r="8093" spans="1:12" ht="11.25" x14ac:dyDescent="0.2">
      <c r="A8093" s="45" t="s">
        <v>48694</v>
      </c>
      <c r="B8093" s="45" t="s">
        <v>48696</v>
      </c>
      <c r="C8093" s="51" t="s">
        <v>48699</v>
      </c>
      <c r="D8093" s="51" t="s">
        <v>48698</v>
      </c>
      <c r="E8093" s="45" t="s">
        <v>291</v>
      </c>
      <c r="F8093" s="45" t="s">
        <v>50646</v>
      </c>
      <c r="G8093" s="45" t="s">
        <v>50584</v>
      </c>
      <c r="H8093" s="56"/>
      <c r="I8093" s="56" t="s">
        <v>50564</v>
      </c>
      <c r="J8093" s="56"/>
      <c r="K8093" s="57"/>
      <c r="L8093" s="56" t="s">
        <v>56716</v>
      </c>
    </row>
    <row r="8094" spans="1:12" ht="11.25" x14ac:dyDescent="0.2">
      <c r="A8094" s="46" t="s">
        <v>13882</v>
      </c>
      <c r="B8094" s="46" t="s">
        <v>55632</v>
      </c>
      <c r="C8094" s="58" t="str">
        <f>"18814379"</f>
        <v>18814379</v>
      </c>
      <c r="D8094" s="58" t="str">
        <f>"1347443X"</f>
        <v>1347443X</v>
      </c>
      <c r="E8094" s="46" t="s">
        <v>13885</v>
      </c>
      <c r="F8094" s="46" t="s">
        <v>18242</v>
      </c>
      <c r="G8094" s="46" t="s">
        <v>50604</v>
      </c>
      <c r="H8094" s="48" t="s">
        <v>56716</v>
      </c>
      <c r="I8094" s="48" t="s">
        <v>50564</v>
      </c>
      <c r="J8094" s="48"/>
      <c r="K8094" s="57"/>
      <c r="L8094" s="48"/>
    </row>
    <row r="8095" spans="1:12" ht="11.25" x14ac:dyDescent="0.2">
      <c r="A8095" s="45" t="s">
        <v>48702</v>
      </c>
      <c r="B8095" s="45" t="s">
        <v>48704</v>
      </c>
      <c r="C8095" s="51" t="s">
        <v>48706</v>
      </c>
      <c r="D8095" s="51"/>
      <c r="E8095" s="45" t="s">
        <v>48707</v>
      </c>
      <c r="F8095" s="45" t="s">
        <v>17759</v>
      </c>
      <c r="G8095" s="45" t="s">
        <v>50584</v>
      </c>
      <c r="H8095" s="56"/>
      <c r="I8095" s="56" t="s">
        <v>50564</v>
      </c>
      <c r="J8095" s="56"/>
      <c r="K8095" s="57"/>
      <c r="L8095" s="56" t="s">
        <v>56716</v>
      </c>
    </row>
    <row r="8096" spans="1:12" ht="11.25" x14ac:dyDescent="0.2">
      <c r="A8096" s="46" t="s">
        <v>3887</v>
      </c>
      <c r="B8096" s="46" t="s">
        <v>55633</v>
      </c>
      <c r="C8096" s="58" t="str">
        <f>""</f>
        <v/>
      </c>
      <c r="D8096" s="58" t="str">
        <f>"15456110"</f>
        <v>15456110</v>
      </c>
      <c r="E8096" s="46" t="s">
        <v>3889</v>
      </c>
      <c r="F8096" s="46" t="s">
        <v>17759</v>
      </c>
      <c r="G8096" s="46" t="s">
        <v>50584</v>
      </c>
      <c r="H8096" s="48" t="s">
        <v>56716</v>
      </c>
      <c r="I8096" s="48" t="s">
        <v>50564</v>
      </c>
      <c r="J8096" s="48" t="s">
        <v>56716</v>
      </c>
      <c r="K8096" s="57"/>
      <c r="L8096" s="48" t="s">
        <v>56716</v>
      </c>
    </row>
    <row r="8097" spans="1:12" ht="11.25" x14ac:dyDescent="0.2">
      <c r="A8097" s="45" t="s">
        <v>48713</v>
      </c>
      <c r="B8097" s="45" t="s">
        <v>48715</v>
      </c>
      <c r="C8097" s="51" t="s">
        <v>48717</v>
      </c>
      <c r="D8097" s="51"/>
      <c r="E8097" s="45" t="s">
        <v>48718</v>
      </c>
      <c r="F8097" s="45" t="s">
        <v>50646</v>
      </c>
      <c r="G8097" s="45" t="s">
        <v>50584</v>
      </c>
      <c r="H8097" s="56"/>
      <c r="I8097" s="56" t="s">
        <v>50564</v>
      </c>
      <c r="J8097" s="56"/>
      <c r="K8097" s="57"/>
      <c r="L8097" s="56" t="s">
        <v>56716</v>
      </c>
    </row>
    <row r="8098" spans="1:12" ht="11.25" x14ac:dyDescent="0.2">
      <c r="A8098" s="46" t="s">
        <v>3986</v>
      </c>
      <c r="B8098" s="46" t="s">
        <v>55634</v>
      </c>
      <c r="C8098" s="58" t="str">
        <f>"00359203"</f>
        <v>00359203</v>
      </c>
      <c r="D8098" s="58" t="str">
        <f>"18783503"</f>
        <v>18783503</v>
      </c>
      <c r="E8098" s="46" t="s">
        <v>55</v>
      </c>
      <c r="F8098" s="46" t="s">
        <v>50646</v>
      </c>
      <c r="G8098" s="46" t="s">
        <v>50584</v>
      </c>
      <c r="H8098" s="48" t="s">
        <v>56716</v>
      </c>
      <c r="I8098" s="48" t="s">
        <v>50564</v>
      </c>
      <c r="J8098" s="48"/>
      <c r="K8098" s="57"/>
      <c r="L8098" s="48" t="s">
        <v>56716</v>
      </c>
    </row>
    <row r="8099" spans="1:12" ht="11.25" x14ac:dyDescent="0.2">
      <c r="A8099" s="45" t="s">
        <v>48725</v>
      </c>
      <c r="B8099" s="45" t="s">
        <v>48727</v>
      </c>
      <c r="C8099" s="51" t="s">
        <v>48730</v>
      </c>
      <c r="D8099" s="51" t="s">
        <v>48729</v>
      </c>
      <c r="E8099" s="45" t="s">
        <v>48731</v>
      </c>
      <c r="F8099" s="45" t="s">
        <v>18158</v>
      </c>
      <c r="G8099" s="45" t="s">
        <v>50584</v>
      </c>
      <c r="H8099" s="56"/>
      <c r="I8099" s="56" t="s">
        <v>50564</v>
      </c>
      <c r="J8099" s="56"/>
      <c r="K8099" s="57"/>
      <c r="L8099" s="56" t="s">
        <v>56716</v>
      </c>
    </row>
    <row r="8100" spans="1:12" ht="11.25" x14ac:dyDescent="0.2">
      <c r="A8100" s="46" t="s">
        <v>15325</v>
      </c>
      <c r="B8100" s="46" t="s">
        <v>15325</v>
      </c>
      <c r="C8100" s="58" t="str">
        <f>"21541264"</f>
        <v>21541264</v>
      </c>
      <c r="D8100" s="58" t="str">
        <f>"21541272"</f>
        <v>21541272</v>
      </c>
      <c r="E8100" s="46" t="s">
        <v>669</v>
      </c>
      <c r="F8100" s="46" t="s">
        <v>17759</v>
      </c>
      <c r="G8100" s="46" t="s">
        <v>50584</v>
      </c>
      <c r="H8100" s="48" t="s">
        <v>56716</v>
      </c>
      <c r="I8100" s="48" t="s">
        <v>50564</v>
      </c>
      <c r="J8100" s="48"/>
      <c r="K8100" s="57"/>
      <c r="L8100" s="48" t="s">
        <v>56716</v>
      </c>
    </row>
    <row r="8101" spans="1:12" ht="11.25" x14ac:dyDescent="0.2">
      <c r="A8101" s="46" t="s">
        <v>7695</v>
      </c>
      <c r="B8101" s="46" t="s">
        <v>55635</v>
      </c>
      <c r="C8101" s="58" t="str">
        <f>"13634615"</f>
        <v>13634615</v>
      </c>
      <c r="D8101" s="58" t="str">
        <f>"14617471"</f>
        <v>14617471</v>
      </c>
      <c r="E8101" s="46" t="s">
        <v>97</v>
      </c>
      <c r="F8101" s="46" t="s">
        <v>50646</v>
      </c>
      <c r="G8101" s="46" t="s">
        <v>50584</v>
      </c>
      <c r="H8101" s="48" t="s">
        <v>56716</v>
      </c>
      <c r="I8101" s="48" t="s">
        <v>50564</v>
      </c>
      <c r="J8101" s="48"/>
      <c r="K8101" s="57"/>
      <c r="L8101" s="48" t="s">
        <v>56716</v>
      </c>
    </row>
    <row r="8102" spans="1:12" ht="11.25" x14ac:dyDescent="0.2">
      <c r="A8102" s="46" t="s">
        <v>3975</v>
      </c>
      <c r="B8102" s="46" t="s">
        <v>3975</v>
      </c>
      <c r="C8102" s="58" t="str">
        <f>"00411132"</f>
        <v>00411132</v>
      </c>
      <c r="D8102" s="58" t="str">
        <f>"15372995"</f>
        <v>15372995</v>
      </c>
      <c r="E8102" s="46" t="s">
        <v>548</v>
      </c>
      <c r="F8102" s="46" t="s">
        <v>17759</v>
      </c>
      <c r="G8102" s="46" t="s">
        <v>50584</v>
      </c>
      <c r="H8102" s="48" t="s">
        <v>56716</v>
      </c>
      <c r="I8102" s="48" t="s">
        <v>50564</v>
      </c>
      <c r="J8102" s="48"/>
      <c r="K8102" s="50" t="s">
        <v>56716</v>
      </c>
      <c r="L8102" s="48" t="s">
        <v>56716</v>
      </c>
    </row>
    <row r="8103" spans="1:12" ht="11.25" x14ac:dyDescent="0.2">
      <c r="A8103" s="46" t="s">
        <v>9153</v>
      </c>
      <c r="B8103" s="46" t="s">
        <v>55636</v>
      </c>
      <c r="C8103" s="58" t="str">
        <f>"14730502"</f>
        <v>14730502</v>
      </c>
      <c r="D8103" s="58" t="str">
        <f>"18781683"</f>
        <v>18781683</v>
      </c>
      <c r="E8103" s="46" t="s">
        <v>155</v>
      </c>
      <c r="F8103" s="46" t="s">
        <v>50646</v>
      </c>
      <c r="G8103" s="46" t="s">
        <v>50584</v>
      </c>
      <c r="H8103" s="48" t="s">
        <v>56716</v>
      </c>
      <c r="I8103" s="48" t="s">
        <v>50564</v>
      </c>
      <c r="J8103" s="48"/>
      <c r="K8103" s="50" t="s">
        <v>56716</v>
      </c>
      <c r="L8103" s="48" t="s">
        <v>56716</v>
      </c>
    </row>
    <row r="8104" spans="1:12" ht="11.25" x14ac:dyDescent="0.2">
      <c r="A8104" s="46" t="s">
        <v>6989</v>
      </c>
      <c r="B8104" s="46" t="s">
        <v>55637</v>
      </c>
      <c r="C8104" s="58" t="str">
        <f>"12467820"</f>
        <v>12467820</v>
      </c>
      <c r="D8104" s="58" t="str">
        <f>"19538022"</f>
        <v>19538022</v>
      </c>
      <c r="E8104" s="46" t="s">
        <v>85</v>
      </c>
      <c r="F8104" s="46" t="s">
        <v>20359</v>
      </c>
      <c r="G8104" s="46" t="s">
        <v>50591</v>
      </c>
      <c r="H8104" s="48" t="s">
        <v>56716</v>
      </c>
      <c r="I8104" s="48" t="s">
        <v>50564</v>
      </c>
      <c r="J8104" s="48"/>
      <c r="K8104" s="50" t="s">
        <v>56716</v>
      </c>
      <c r="L8104" s="48" t="s">
        <v>56716</v>
      </c>
    </row>
    <row r="8105" spans="1:12" ht="11.25" x14ac:dyDescent="0.2">
      <c r="A8105" s="46" t="s">
        <v>5283</v>
      </c>
      <c r="B8105" s="46" t="s">
        <v>55638</v>
      </c>
      <c r="C8105" s="58" t="str">
        <f>"09587578"</f>
        <v>09587578</v>
      </c>
      <c r="D8105" s="58" t="str">
        <f>"13653148"</f>
        <v>13653148</v>
      </c>
      <c r="E8105" s="46" t="s">
        <v>35</v>
      </c>
      <c r="F8105" s="46" t="s">
        <v>50646</v>
      </c>
      <c r="G8105" s="46" t="s">
        <v>50584</v>
      </c>
      <c r="H8105" s="48" t="s">
        <v>56716</v>
      </c>
      <c r="I8105" s="48" t="s">
        <v>50564</v>
      </c>
      <c r="J8105" s="48"/>
      <c r="K8105" s="50" t="s">
        <v>56716</v>
      </c>
      <c r="L8105" s="48" t="s">
        <v>56716</v>
      </c>
    </row>
    <row r="8106" spans="1:12" ht="11.25" x14ac:dyDescent="0.2">
      <c r="A8106" s="46" t="s">
        <v>9874</v>
      </c>
      <c r="B8106" s="46" t="s">
        <v>55639</v>
      </c>
      <c r="C8106" s="58" t="str">
        <f>"16603796"</f>
        <v>16603796</v>
      </c>
      <c r="D8106" s="58" t="str">
        <f>"16603818"</f>
        <v>16603818</v>
      </c>
      <c r="E8106" s="46" t="s">
        <v>109</v>
      </c>
      <c r="F8106" s="46" t="s">
        <v>18123</v>
      </c>
      <c r="G8106" s="46" t="s">
        <v>50584</v>
      </c>
      <c r="H8106" s="48" t="s">
        <v>56716</v>
      </c>
      <c r="I8106" s="48" t="s">
        <v>50564</v>
      </c>
      <c r="J8106" s="48"/>
      <c r="K8106" s="57"/>
      <c r="L8106" s="48"/>
    </row>
    <row r="8107" spans="1:12" ht="11.25" x14ac:dyDescent="0.2">
      <c r="A8107" s="46" t="s">
        <v>4224</v>
      </c>
      <c r="B8107" s="46" t="s">
        <v>55640</v>
      </c>
      <c r="C8107" s="58" t="str">
        <f>"08877963"</f>
        <v>08877963</v>
      </c>
      <c r="D8107" s="58" t="str">
        <f>"15329496"</f>
        <v>15329496</v>
      </c>
      <c r="E8107" s="46" t="s">
        <v>303</v>
      </c>
      <c r="F8107" s="46" t="s">
        <v>17759</v>
      </c>
      <c r="G8107" s="46" t="s">
        <v>50584</v>
      </c>
      <c r="H8107" s="48" t="s">
        <v>56716</v>
      </c>
      <c r="I8107" s="48" t="s">
        <v>50564</v>
      </c>
      <c r="J8107" s="48"/>
      <c r="K8107" s="50" t="s">
        <v>56716</v>
      </c>
      <c r="L8107" s="48" t="s">
        <v>56716</v>
      </c>
    </row>
    <row r="8108" spans="1:12" ht="11.25" x14ac:dyDescent="0.2">
      <c r="A8108" s="46" t="s">
        <v>9577</v>
      </c>
      <c r="B8108" s="46" t="s">
        <v>55641</v>
      </c>
      <c r="C8108" s="58" t="str">
        <f>"12135763"</f>
        <v>12135763</v>
      </c>
      <c r="D8108" s="58" t="str">
        <f>""</f>
        <v/>
      </c>
      <c r="E8108" s="46" t="s">
        <v>1130</v>
      </c>
      <c r="F8108" s="46" t="s">
        <v>18025</v>
      </c>
      <c r="G8108" s="46" t="s">
        <v>50581</v>
      </c>
      <c r="H8108" s="48" t="s">
        <v>56716</v>
      </c>
      <c r="I8108" s="48" t="s">
        <v>50564</v>
      </c>
      <c r="J8108" s="48"/>
      <c r="K8108" s="57"/>
      <c r="L8108" s="48"/>
    </row>
    <row r="8109" spans="1:12" ht="11.25" x14ac:dyDescent="0.2">
      <c r="A8109" s="45" t="s">
        <v>48765</v>
      </c>
      <c r="B8109" s="45" t="s">
        <v>48767</v>
      </c>
      <c r="C8109" s="51" t="s">
        <v>48769</v>
      </c>
      <c r="D8109" s="51" t="s">
        <v>48768</v>
      </c>
      <c r="E8109" s="45" t="s">
        <v>18876</v>
      </c>
      <c r="F8109" s="45" t="s">
        <v>18001</v>
      </c>
      <c r="G8109" s="45" t="s">
        <v>50584</v>
      </c>
      <c r="H8109" s="56"/>
      <c r="I8109" s="56" t="s">
        <v>50564</v>
      </c>
      <c r="J8109" s="56"/>
      <c r="K8109" s="57"/>
      <c r="L8109" s="56" t="s">
        <v>56716</v>
      </c>
    </row>
    <row r="8110" spans="1:12" ht="11.25" x14ac:dyDescent="0.2">
      <c r="A8110" s="46" t="s">
        <v>17355</v>
      </c>
      <c r="B8110" s="46" t="s">
        <v>17355</v>
      </c>
      <c r="C8110" s="58" t="str">
        <f>"2169074X"</f>
        <v>2169074X</v>
      </c>
      <c r="D8110" s="58" t="str">
        <f>"21690731"</f>
        <v>21690731</v>
      </c>
      <c r="E8110" s="46" t="s">
        <v>10332</v>
      </c>
      <c r="F8110" s="46" t="s">
        <v>17759</v>
      </c>
      <c r="G8110" s="46" t="s">
        <v>50584</v>
      </c>
      <c r="H8110" s="48" t="s">
        <v>56716</v>
      </c>
      <c r="I8110" s="48" t="s">
        <v>50564</v>
      </c>
      <c r="J8110" s="48"/>
      <c r="K8110" s="57"/>
      <c r="L8110" s="48"/>
    </row>
    <row r="8111" spans="1:12" ht="11.25" x14ac:dyDescent="0.2">
      <c r="A8111" s="46" t="s">
        <v>56096</v>
      </c>
      <c r="B8111" s="46" t="s">
        <v>56097</v>
      </c>
      <c r="C8111" s="58" t="str">
        <f>"22234683"</f>
        <v>22234683</v>
      </c>
      <c r="D8111" s="58" t="str">
        <f>"22234691"</f>
        <v>22234691</v>
      </c>
      <c r="E8111" s="46" t="s">
        <v>56092</v>
      </c>
      <c r="F8111" s="46" t="s">
        <v>50647</v>
      </c>
      <c r="G8111" s="46" t="s">
        <v>50584</v>
      </c>
      <c r="H8111" s="48" t="s">
        <v>56716</v>
      </c>
      <c r="I8111" s="48" t="s">
        <v>50564</v>
      </c>
      <c r="J8111" s="48"/>
      <c r="K8111" s="57"/>
      <c r="L8111" s="48"/>
    </row>
    <row r="8112" spans="1:12" ht="11.25" x14ac:dyDescent="0.2">
      <c r="A8112" s="46" t="s">
        <v>15796</v>
      </c>
      <c r="B8112" s="46" t="s">
        <v>55642</v>
      </c>
      <c r="C8112" s="58" t="str">
        <f>"18696716"</f>
        <v>18696716</v>
      </c>
      <c r="D8112" s="58" t="str">
        <f>"16139860"</f>
        <v>16139860</v>
      </c>
      <c r="E8112" s="46" t="s">
        <v>56305</v>
      </c>
      <c r="F8112" s="46" t="s">
        <v>17759</v>
      </c>
      <c r="G8112" s="46" t="s">
        <v>50584</v>
      </c>
      <c r="H8112" s="48" t="s">
        <v>56716</v>
      </c>
      <c r="I8112" s="48" t="s">
        <v>50564</v>
      </c>
      <c r="J8112" s="48" t="s">
        <v>56716</v>
      </c>
      <c r="K8112" s="57"/>
      <c r="L8112" s="48"/>
    </row>
    <row r="8113" spans="1:12" ht="11.25" x14ac:dyDescent="0.2">
      <c r="A8113" s="46" t="s">
        <v>15866</v>
      </c>
      <c r="B8113" s="46" t="s">
        <v>55643</v>
      </c>
      <c r="C8113" s="58" t="str">
        <f>""</f>
        <v/>
      </c>
      <c r="D8113" s="58" t="str">
        <f>"21720479"</f>
        <v>21720479</v>
      </c>
      <c r="E8113" s="46" t="s">
        <v>15868</v>
      </c>
      <c r="F8113" s="46" t="s">
        <v>18439</v>
      </c>
      <c r="G8113" s="46" t="s">
        <v>50584</v>
      </c>
      <c r="H8113" s="48" t="s">
        <v>56716</v>
      </c>
      <c r="I8113" s="48" t="s">
        <v>50564</v>
      </c>
      <c r="J8113" s="48"/>
      <c r="K8113" s="57"/>
      <c r="L8113" s="48"/>
    </row>
    <row r="8114" spans="1:12" ht="11.25" x14ac:dyDescent="0.2">
      <c r="A8114" s="46" t="s">
        <v>16698</v>
      </c>
      <c r="B8114" s="46" t="s">
        <v>55644</v>
      </c>
      <c r="C8114" s="58" t="str">
        <f>"19489536"</f>
        <v>19489536</v>
      </c>
      <c r="D8114" s="58" t="str">
        <f>"19489544"</f>
        <v>19489544</v>
      </c>
      <c r="E8114" s="46" t="s">
        <v>1538</v>
      </c>
      <c r="F8114" s="46" t="s">
        <v>17759</v>
      </c>
      <c r="G8114" s="46" t="s">
        <v>50584</v>
      </c>
      <c r="H8114" s="48" t="s">
        <v>56716</v>
      </c>
      <c r="I8114" s="48" t="s">
        <v>50565</v>
      </c>
      <c r="J8114" s="48"/>
      <c r="K8114" s="57"/>
      <c r="L8114" s="48"/>
    </row>
    <row r="8115" spans="1:12" ht="11.25" x14ac:dyDescent="0.2">
      <c r="A8115" s="46" t="s">
        <v>16459</v>
      </c>
      <c r="B8115" s="46" t="s">
        <v>55645</v>
      </c>
      <c r="C8115" s="58" t="str">
        <f>""</f>
        <v/>
      </c>
      <c r="D8115" s="58" t="str">
        <f>"20479158"</f>
        <v>20479158</v>
      </c>
      <c r="E8115" s="46" t="s">
        <v>2299</v>
      </c>
      <c r="F8115" s="46" t="s">
        <v>50646</v>
      </c>
      <c r="G8115" s="46" t="s">
        <v>50584</v>
      </c>
      <c r="H8115" s="48" t="s">
        <v>56716</v>
      </c>
      <c r="I8115" s="48" t="s">
        <v>50564</v>
      </c>
      <c r="J8115" s="48" t="s">
        <v>56716</v>
      </c>
      <c r="K8115" s="50" t="s">
        <v>56716</v>
      </c>
      <c r="L8115" s="48"/>
    </row>
    <row r="8116" spans="1:12" ht="11.25" x14ac:dyDescent="0.2">
      <c r="A8116" s="46" t="s">
        <v>15264</v>
      </c>
      <c r="B8116" s="46" t="s">
        <v>55646</v>
      </c>
      <c r="C8116" s="58" t="str">
        <f>"20813856"</f>
        <v>20813856</v>
      </c>
      <c r="D8116" s="58" t="str">
        <f>"20816936"</f>
        <v>20816936</v>
      </c>
      <c r="E8116" s="46" t="s">
        <v>56253</v>
      </c>
      <c r="F8116" s="46" t="s">
        <v>17967</v>
      </c>
      <c r="G8116" s="46" t="s">
        <v>50584</v>
      </c>
      <c r="H8116" s="48" t="s">
        <v>56716</v>
      </c>
      <c r="I8116" s="48" t="s">
        <v>50564</v>
      </c>
      <c r="J8116" s="48" t="s">
        <v>56716</v>
      </c>
      <c r="K8116" s="57"/>
      <c r="L8116" s="48"/>
    </row>
    <row r="8117" spans="1:12" ht="11.25" x14ac:dyDescent="0.2">
      <c r="A8117" s="46" t="s">
        <v>12417</v>
      </c>
      <c r="B8117" s="46" t="s">
        <v>55647</v>
      </c>
      <c r="C8117" s="58" t="str">
        <f>""</f>
        <v/>
      </c>
      <c r="D8117" s="58" t="str">
        <f>"11772727"</f>
        <v>11772727</v>
      </c>
      <c r="E8117" s="46" t="s">
        <v>11251</v>
      </c>
      <c r="F8117" s="46" t="s">
        <v>19483</v>
      </c>
      <c r="G8117" s="46" t="s">
        <v>50584</v>
      </c>
      <c r="H8117" s="48" t="s">
        <v>56716</v>
      </c>
      <c r="I8117" s="48" t="s">
        <v>50564</v>
      </c>
      <c r="J8117" s="48"/>
      <c r="K8117" s="57"/>
      <c r="L8117" s="48"/>
    </row>
    <row r="8118" spans="1:12" ht="11.25" x14ac:dyDescent="0.2">
      <c r="A8118" s="46" t="s">
        <v>13549</v>
      </c>
      <c r="B8118" s="46" t="s">
        <v>55648</v>
      </c>
      <c r="C8118" s="58" t="str">
        <f>""</f>
        <v/>
      </c>
      <c r="D8118" s="58" t="str">
        <f>"19365233"</f>
        <v>19365233</v>
      </c>
      <c r="E8118" s="46" t="s">
        <v>13551</v>
      </c>
      <c r="F8118" s="46" t="s">
        <v>17759</v>
      </c>
      <c r="G8118" s="46" t="s">
        <v>50584</v>
      </c>
      <c r="H8118" s="48" t="s">
        <v>56716</v>
      </c>
      <c r="I8118" s="48" t="s">
        <v>50564</v>
      </c>
      <c r="J8118" s="48"/>
      <c r="K8118" s="57"/>
      <c r="L8118" s="48"/>
    </row>
    <row r="8119" spans="1:12" ht="11.25" x14ac:dyDescent="0.2">
      <c r="A8119" s="46" t="s">
        <v>17129</v>
      </c>
      <c r="B8119" s="46" t="s">
        <v>55649</v>
      </c>
      <c r="C8119" s="58" t="str">
        <f>"22129626"</f>
        <v>22129626</v>
      </c>
      <c r="D8119" s="58" t="str">
        <f>"22129634"</f>
        <v>22129634</v>
      </c>
      <c r="E8119" s="46" t="s">
        <v>91</v>
      </c>
      <c r="F8119" s="46" t="s">
        <v>18001</v>
      </c>
      <c r="G8119" s="46" t="s">
        <v>50584</v>
      </c>
      <c r="H8119" s="48" t="s">
        <v>56716</v>
      </c>
      <c r="I8119" s="48" t="s">
        <v>50564</v>
      </c>
      <c r="J8119" s="48" t="s">
        <v>56716</v>
      </c>
      <c r="K8119" s="50" t="s">
        <v>56716</v>
      </c>
      <c r="L8119" s="48"/>
    </row>
    <row r="8120" spans="1:12" ht="11.25" x14ac:dyDescent="0.2">
      <c r="A8120" s="46" t="s">
        <v>15412</v>
      </c>
      <c r="B8120" s="46" t="s">
        <v>55650</v>
      </c>
      <c r="C8120" s="58" t="str">
        <f>""</f>
        <v/>
      </c>
      <c r="D8120" s="58" t="str">
        <f>"21583188"</f>
        <v>21583188</v>
      </c>
      <c r="E8120" s="46" t="s">
        <v>315</v>
      </c>
      <c r="F8120" s="46" t="s">
        <v>50646</v>
      </c>
      <c r="G8120" s="46" t="s">
        <v>50584</v>
      </c>
      <c r="H8120" s="48" t="s">
        <v>56716</v>
      </c>
      <c r="I8120" s="48" t="s">
        <v>50564</v>
      </c>
      <c r="J8120" s="48"/>
      <c r="K8120" s="57"/>
      <c r="L8120" s="48" t="s">
        <v>56716</v>
      </c>
    </row>
    <row r="8121" spans="1:12" ht="11.25" x14ac:dyDescent="0.2">
      <c r="A8121" s="46" t="s">
        <v>11572</v>
      </c>
      <c r="B8121" s="46" t="s">
        <v>55651</v>
      </c>
      <c r="C8121" s="58" t="str">
        <f>"19315244"</f>
        <v>19315244</v>
      </c>
      <c r="D8121" s="58" t="str">
        <f>"18781810"</f>
        <v>18781810</v>
      </c>
      <c r="E8121" s="46" t="s">
        <v>194</v>
      </c>
      <c r="F8121" s="46" t="s">
        <v>17759</v>
      </c>
      <c r="G8121" s="46" t="s">
        <v>50584</v>
      </c>
      <c r="H8121" s="48" t="s">
        <v>56716</v>
      </c>
      <c r="I8121" s="48" t="s">
        <v>50564</v>
      </c>
      <c r="J8121" s="48" t="s">
        <v>56716</v>
      </c>
      <c r="K8121" s="50" t="s">
        <v>56716</v>
      </c>
      <c r="L8121" s="48" t="s">
        <v>56716</v>
      </c>
    </row>
    <row r="8122" spans="1:12" ht="11.25" x14ac:dyDescent="0.2">
      <c r="A8122" s="46" t="s">
        <v>16103</v>
      </c>
      <c r="B8122" s="46" t="s">
        <v>55652</v>
      </c>
      <c r="C8122" s="58" t="str">
        <f>"1662405X"</f>
        <v>1662405X</v>
      </c>
      <c r="D8122" s="58" t="str">
        <f>"16624068"</f>
        <v>16624068</v>
      </c>
      <c r="E8122" s="46" t="s">
        <v>109</v>
      </c>
      <c r="F8122" s="46" t="s">
        <v>18123</v>
      </c>
      <c r="G8122" s="46" t="s">
        <v>50584</v>
      </c>
      <c r="H8122" s="48" t="s">
        <v>56716</v>
      </c>
      <c r="I8122" s="48" t="s">
        <v>50564</v>
      </c>
      <c r="J8122" s="48" t="s">
        <v>56716</v>
      </c>
      <c r="K8122" s="57"/>
      <c r="L8122" s="48"/>
    </row>
    <row r="8123" spans="1:12" ht="11.25" x14ac:dyDescent="0.2">
      <c r="A8123" s="46" t="s">
        <v>17277</v>
      </c>
      <c r="B8123" s="46" t="s">
        <v>55653</v>
      </c>
      <c r="C8123" s="58" t="str">
        <f>""</f>
        <v/>
      </c>
      <c r="D8123" s="58" t="str">
        <f>"22130802"</f>
        <v>22130802</v>
      </c>
      <c r="E8123" s="46" t="s">
        <v>167</v>
      </c>
      <c r="F8123" s="46" t="s">
        <v>18158</v>
      </c>
      <c r="G8123" s="46" t="s">
        <v>50584</v>
      </c>
      <c r="H8123" s="48" t="s">
        <v>56716</v>
      </c>
      <c r="I8123" s="48" t="s">
        <v>50564</v>
      </c>
      <c r="J8123" s="48" t="s">
        <v>56716</v>
      </c>
      <c r="K8123" s="57"/>
      <c r="L8123" s="48"/>
    </row>
    <row r="8124" spans="1:12" ht="11.25" x14ac:dyDescent="0.2">
      <c r="A8124" s="46" t="s">
        <v>14562</v>
      </c>
      <c r="B8124" s="46" t="s">
        <v>55654</v>
      </c>
      <c r="C8124" s="58" t="str">
        <f>"18684483"</f>
        <v>18684483</v>
      </c>
      <c r="D8124" s="58" t="str">
        <f>"1868601X"</f>
        <v>1868601X</v>
      </c>
      <c r="E8124" s="46" t="s">
        <v>56315</v>
      </c>
      <c r="F8124" s="46" t="s">
        <v>17759</v>
      </c>
      <c r="G8124" s="46" t="s">
        <v>50584</v>
      </c>
      <c r="H8124" s="48" t="s">
        <v>56716</v>
      </c>
      <c r="I8124" s="48" t="s">
        <v>50564</v>
      </c>
      <c r="J8124" s="48" t="s">
        <v>56716</v>
      </c>
      <c r="K8124" s="50" t="s">
        <v>56716</v>
      </c>
      <c r="L8124" s="48" t="s">
        <v>56716</v>
      </c>
    </row>
    <row r="8125" spans="1:12" ht="11.25" x14ac:dyDescent="0.2">
      <c r="A8125" s="46" t="s">
        <v>17345</v>
      </c>
      <c r="B8125" s="46" t="s">
        <v>55655</v>
      </c>
      <c r="C8125" s="58" t="str">
        <f>""</f>
        <v/>
      </c>
      <c r="D8125" s="58" t="str">
        <f>"21642591"</f>
        <v>21642591</v>
      </c>
      <c r="E8125" s="46" t="s">
        <v>2083</v>
      </c>
      <c r="F8125" s="46" t="s">
        <v>17759</v>
      </c>
      <c r="G8125" s="46" t="s">
        <v>50584</v>
      </c>
      <c r="H8125" s="48" t="s">
        <v>56716</v>
      </c>
      <c r="I8125" s="48" t="s">
        <v>50564</v>
      </c>
      <c r="J8125" s="48"/>
      <c r="K8125" s="57"/>
      <c r="L8125" s="48"/>
    </row>
    <row r="8126" spans="1:12" ht="11.25" x14ac:dyDescent="0.2">
      <c r="A8126" s="46" t="s">
        <v>6105</v>
      </c>
      <c r="B8126" s="46" t="s">
        <v>55656</v>
      </c>
      <c r="C8126" s="58" t="str">
        <f>"09663274"</f>
        <v>09663274</v>
      </c>
      <c r="D8126" s="58" t="str">
        <f>"18785492"</f>
        <v>18785492</v>
      </c>
      <c r="E8126" s="46" t="s">
        <v>91</v>
      </c>
      <c r="F8126" s="46" t="s">
        <v>18001</v>
      </c>
      <c r="G8126" s="46" t="s">
        <v>50584</v>
      </c>
      <c r="H8126" s="48" t="s">
        <v>56716</v>
      </c>
      <c r="I8126" s="48" t="s">
        <v>50564</v>
      </c>
      <c r="J8126" s="48" t="s">
        <v>56716</v>
      </c>
      <c r="K8126" s="50" t="s">
        <v>56716</v>
      </c>
      <c r="L8126" s="48" t="s">
        <v>56716</v>
      </c>
    </row>
    <row r="8127" spans="1:12" ht="11.25" x14ac:dyDescent="0.2">
      <c r="A8127" s="46" t="s">
        <v>8051</v>
      </c>
      <c r="B8127" s="46" t="s">
        <v>55657</v>
      </c>
      <c r="C8127" s="58" t="str">
        <f>"13982273"</f>
        <v>13982273</v>
      </c>
      <c r="D8127" s="58" t="str">
        <f>"13993062"</f>
        <v>13993062</v>
      </c>
      <c r="E8127" s="46" t="s">
        <v>548</v>
      </c>
      <c r="F8127" s="46" t="s">
        <v>17759</v>
      </c>
      <c r="G8127" s="46" t="s">
        <v>50584</v>
      </c>
      <c r="H8127" s="48" t="s">
        <v>56716</v>
      </c>
      <c r="I8127" s="48" t="s">
        <v>50564</v>
      </c>
      <c r="J8127" s="48" t="s">
        <v>56716</v>
      </c>
      <c r="K8127" s="50" t="s">
        <v>56716</v>
      </c>
      <c r="L8127" s="48" t="s">
        <v>56716</v>
      </c>
    </row>
    <row r="8128" spans="1:12" ht="11.25" x14ac:dyDescent="0.2">
      <c r="A8128" s="46" t="s">
        <v>4963</v>
      </c>
      <c r="B8128" s="46" t="s">
        <v>55658</v>
      </c>
      <c r="C8128" s="58" t="str">
        <f>"09340874"</f>
        <v>09340874</v>
      </c>
      <c r="D8128" s="58" t="str">
        <f>"14322277"</f>
        <v>14322277</v>
      </c>
      <c r="E8128" s="46" t="s">
        <v>35</v>
      </c>
      <c r="F8128" s="46" t="s">
        <v>50646</v>
      </c>
      <c r="G8128" s="46" t="s">
        <v>50584</v>
      </c>
      <c r="H8128" s="48" t="s">
        <v>56716</v>
      </c>
      <c r="I8128" s="48" t="s">
        <v>50564</v>
      </c>
      <c r="J8128" s="48" t="s">
        <v>56716</v>
      </c>
      <c r="K8128" s="50" t="s">
        <v>56716</v>
      </c>
      <c r="L8128" s="48" t="s">
        <v>56716</v>
      </c>
    </row>
    <row r="8129" spans="1:12" ht="11.25" x14ac:dyDescent="0.2">
      <c r="A8129" s="46" t="s">
        <v>15165</v>
      </c>
      <c r="B8129" s="46" t="s">
        <v>55659</v>
      </c>
      <c r="C8129" s="58" t="str">
        <f>""</f>
        <v/>
      </c>
      <c r="D8129" s="58" t="str">
        <f>"11791616"</f>
        <v>11791616</v>
      </c>
      <c r="E8129" s="46" t="s">
        <v>11078</v>
      </c>
      <c r="F8129" s="46" t="s">
        <v>19483</v>
      </c>
      <c r="G8129" s="46" t="s">
        <v>50584</v>
      </c>
      <c r="H8129" s="48" t="s">
        <v>56716</v>
      </c>
      <c r="I8129" s="48" t="s">
        <v>50564</v>
      </c>
      <c r="J8129" s="48"/>
      <c r="K8129" s="57"/>
      <c r="L8129" s="48"/>
    </row>
    <row r="8130" spans="1:12" ht="11.25" x14ac:dyDescent="0.2">
      <c r="A8130" s="46" t="s">
        <v>3981</v>
      </c>
      <c r="B8130" s="46" t="s">
        <v>3981</v>
      </c>
      <c r="C8130" s="58" t="str">
        <f>"00411337"</f>
        <v>00411337</v>
      </c>
      <c r="D8130" s="58" t="str">
        <f>""</f>
        <v/>
      </c>
      <c r="E8130" s="46" t="s">
        <v>28</v>
      </c>
      <c r="F8130" s="46" t="s">
        <v>17759</v>
      </c>
      <c r="G8130" s="46" t="s">
        <v>50584</v>
      </c>
      <c r="H8130" s="48" t="s">
        <v>56716</v>
      </c>
      <c r="I8130" s="48" t="s">
        <v>50564</v>
      </c>
      <c r="J8130" s="48" t="s">
        <v>56716</v>
      </c>
      <c r="K8130" s="50" t="s">
        <v>56716</v>
      </c>
      <c r="L8130" s="48" t="s">
        <v>56716</v>
      </c>
    </row>
    <row r="8131" spans="1:12" ht="11.25" x14ac:dyDescent="0.2">
      <c r="A8131" s="46" t="s">
        <v>3983</v>
      </c>
      <c r="B8131" s="46" t="s">
        <v>55660</v>
      </c>
      <c r="C8131" s="58" t="str">
        <f>"00411345"</f>
        <v>00411345</v>
      </c>
      <c r="D8131" s="58" t="str">
        <f>"18732623"</f>
        <v>18732623</v>
      </c>
      <c r="E8131" s="46" t="s">
        <v>673</v>
      </c>
      <c r="F8131" s="46" t="s">
        <v>17759</v>
      </c>
      <c r="G8131" s="46" t="s">
        <v>50584</v>
      </c>
      <c r="H8131" s="48" t="s">
        <v>56716</v>
      </c>
      <c r="I8131" s="48" t="s">
        <v>50564</v>
      </c>
      <c r="J8131" s="48" t="s">
        <v>56716</v>
      </c>
      <c r="K8131" s="50" t="s">
        <v>56716</v>
      </c>
      <c r="L8131" s="48" t="s">
        <v>56716</v>
      </c>
    </row>
    <row r="8132" spans="1:12" ht="11.25" x14ac:dyDescent="0.2">
      <c r="A8132" s="46" t="s">
        <v>17214</v>
      </c>
      <c r="B8132" s="46" t="s">
        <v>55661</v>
      </c>
      <c r="C8132" s="58" t="str">
        <f>""</f>
        <v/>
      </c>
      <c r="D8132" s="58" t="str">
        <f>"20471440"</f>
        <v>20471440</v>
      </c>
      <c r="E8132" s="46" t="s">
        <v>2299</v>
      </c>
      <c r="F8132" s="46" t="s">
        <v>50646</v>
      </c>
      <c r="G8132" s="46" t="s">
        <v>50584</v>
      </c>
      <c r="H8132" s="48" t="s">
        <v>56716</v>
      </c>
      <c r="I8132" s="48" t="s">
        <v>50564</v>
      </c>
      <c r="J8132" s="48" t="s">
        <v>56716</v>
      </c>
      <c r="K8132" s="50" t="s">
        <v>56716</v>
      </c>
      <c r="L8132" s="48"/>
    </row>
    <row r="8133" spans="1:12" ht="11.25" x14ac:dyDescent="0.2">
      <c r="A8133" s="46" t="s">
        <v>7624</v>
      </c>
      <c r="B8133" s="46" t="s">
        <v>55662</v>
      </c>
      <c r="C8133" s="58" t="str">
        <f>"0955470X"</f>
        <v>0955470X</v>
      </c>
      <c r="D8133" s="58" t="str">
        <f>"15579816"</f>
        <v>15579816</v>
      </c>
      <c r="E8133" s="46" t="s">
        <v>303</v>
      </c>
      <c r="F8133" s="46" t="s">
        <v>17759</v>
      </c>
      <c r="G8133" s="46" t="s">
        <v>50584</v>
      </c>
      <c r="H8133" s="48" t="s">
        <v>56716</v>
      </c>
      <c r="I8133" s="48" t="s">
        <v>50564</v>
      </c>
      <c r="J8133" s="48"/>
      <c r="K8133" s="50" t="s">
        <v>56716</v>
      </c>
      <c r="L8133" s="48" t="s">
        <v>56716</v>
      </c>
    </row>
    <row r="8134" spans="1:12" ht="11.25" x14ac:dyDescent="0.2">
      <c r="A8134" s="46" t="s">
        <v>12014</v>
      </c>
      <c r="B8134" s="46" t="s">
        <v>55663</v>
      </c>
      <c r="C8134" s="58" t="str">
        <f>"15750973"</f>
        <v>15750973</v>
      </c>
      <c r="D8134" s="58" t="str">
        <f>"15782638"</f>
        <v>15782638</v>
      </c>
      <c r="E8134" s="46" t="s">
        <v>1683</v>
      </c>
      <c r="F8134" s="46" t="s">
        <v>18439</v>
      </c>
      <c r="G8134" s="46" t="s">
        <v>50632</v>
      </c>
      <c r="H8134" s="48" t="s">
        <v>56716</v>
      </c>
      <c r="I8134" s="48" t="s">
        <v>50564</v>
      </c>
      <c r="J8134" s="48"/>
      <c r="K8134" s="57"/>
      <c r="L8134" s="48"/>
    </row>
    <row r="8135" spans="1:12" ht="11.25" x14ac:dyDescent="0.2">
      <c r="A8135" s="46" t="s">
        <v>12810</v>
      </c>
      <c r="B8135" s="46" t="s">
        <v>55664</v>
      </c>
      <c r="C8135" s="58" t="str">
        <f>"18886116"</f>
        <v>18886116</v>
      </c>
      <c r="D8135" s="58" t="str">
        <f>""</f>
        <v/>
      </c>
      <c r="E8135" s="46" t="s">
        <v>12812</v>
      </c>
      <c r="F8135" s="46" t="s">
        <v>18439</v>
      </c>
      <c r="G8135" s="46" t="s">
        <v>50632</v>
      </c>
      <c r="H8135" s="48" t="s">
        <v>56716</v>
      </c>
      <c r="I8135" s="48" t="s">
        <v>50564</v>
      </c>
      <c r="J8135" s="48"/>
      <c r="K8135" s="57"/>
      <c r="L8135" s="48"/>
    </row>
    <row r="8136" spans="1:12" ht="11.25" x14ac:dyDescent="0.2">
      <c r="A8136" s="46" t="s">
        <v>8729</v>
      </c>
      <c r="B8136" s="46" t="s">
        <v>55664</v>
      </c>
      <c r="C8136" s="58" t="str">
        <f>"14604086"</f>
        <v>14604086</v>
      </c>
      <c r="D8136" s="58" t="str">
        <f>""</f>
        <v/>
      </c>
      <c r="E8136" s="46" t="s">
        <v>97</v>
      </c>
      <c r="F8136" s="46" t="s">
        <v>50646</v>
      </c>
      <c r="G8136" s="46" t="s">
        <v>50584</v>
      </c>
      <c r="H8136" s="48" t="s">
        <v>56716</v>
      </c>
      <c r="I8136" s="48" t="s">
        <v>50564</v>
      </c>
      <c r="J8136" s="48"/>
      <c r="K8136" s="57"/>
      <c r="L8136" s="48"/>
    </row>
    <row r="8137" spans="1:12" ht="11.25" x14ac:dyDescent="0.2">
      <c r="A8137" s="46" t="s">
        <v>12819</v>
      </c>
      <c r="B8137" s="46" t="s">
        <v>56166</v>
      </c>
      <c r="C8137" s="58" t="str">
        <f>"22517464"</f>
        <v>22517464</v>
      </c>
      <c r="D8137" s="58" t="str">
        <f>"22517472"</f>
        <v>22517472</v>
      </c>
      <c r="E8137" s="46" t="s">
        <v>55898</v>
      </c>
      <c r="F8137" s="46" t="s">
        <v>18232</v>
      </c>
      <c r="G8137" s="46" t="s">
        <v>50584</v>
      </c>
      <c r="H8137" s="48" t="s">
        <v>56716</v>
      </c>
      <c r="I8137" s="48" t="s">
        <v>50564</v>
      </c>
      <c r="J8137" s="48"/>
      <c r="K8137" s="57"/>
      <c r="L8137" s="48"/>
    </row>
    <row r="8138" spans="1:12" ht="11.25" x14ac:dyDescent="0.2">
      <c r="A8138" s="45" t="s">
        <v>48812</v>
      </c>
      <c r="B8138" s="45" t="s">
        <v>48814</v>
      </c>
      <c r="C8138" s="51" t="s">
        <v>48816</v>
      </c>
      <c r="D8138" s="51" t="s">
        <v>48815</v>
      </c>
      <c r="E8138" s="45" t="s">
        <v>19447</v>
      </c>
      <c r="F8138" s="45" t="s">
        <v>17759</v>
      </c>
      <c r="G8138" s="45" t="s">
        <v>50584</v>
      </c>
      <c r="H8138" s="56"/>
      <c r="I8138" s="56" t="s">
        <v>50564</v>
      </c>
      <c r="J8138" s="56"/>
      <c r="K8138" s="57"/>
      <c r="L8138" s="56" t="s">
        <v>56716</v>
      </c>
    </row>
    <row r="8139" spans="1:12" ht="11.25" x14ac:dyDescent="0.2">
      <c r="A8139" s="46" t="s">
        <v>10001</v>
      </c>
      <c r="B8139" s="46" t="s">
        <v>55665</v>
      </c>
      <c r="C8139" s="58" t="str">
        <f>"14778939"</f>
        <v>14778939</v>
      </c>
      <c r="D8139" s="58" t="str">
        <f>"18730442"</f>
        <v>18730442</v>
      </c>
      <c r="E8139" s="46" t="s">
        <v>673</v>
      </c>
      <c r="F8139" s="46" t="s">
        <v>17759</v>
      </c>
      <c r="G8139" s="46" t="s">
        <v>50584</v>
      </c>
      <c r="H8139" s="48" t="s">
        <v>56716</v>
      </c>
      <c r="I8139" s="48" t="s">
        <v>50564</v>
      </c>
      <c r="J8139" s="48" t="s">
        <v>56716</v>
      </c>
      <c r="K8139" s="50" t="s">
        <v>56716</v>
      </c>
      <c r="L8139" s="48" t="s">
        <v>56716</v>
      </c>
    </row>
    <row r="8140" spans="1:12" ht="11.25" x14ac:dyDescent="0.2">
      <c r="A8140" s="45" t="s">
        <v>48829</v>
      </c>
      <c r="B8140" s="45" t="s">
        <v>48829</v>
      </c>
      <c r="C8140" s="51" t="s">
        <v>48832</v>
      </c>
      <c r="D8140" s="51"/>
      <c r="E8140" s="45" t="s">
        <v>48833</v>
      </c>
      <c r="F8140" s="45" t="s">
        <v>18959</v>
      </c>
      <c r="G8140" s="45" t="s">
        <v>50590</v>
      </c>
      <c r="H8140" s="56"/>
      <c r="I8140" s="56" t="s">
        <v>50564</v>
      </c>
      <c r="J8140" s="56"/>
      <c r="K8140" s="57"/>
      <c r="L8140" s="56" t="s">
        <v>56716</v>
      </c>
    </row>
    <row r="8141" spans="1:12" ht="11.25" x14ac:dyDescent="0.2">
      <c r="A8141" s="45" t="s">
        <v>48835</v>
      </c>
      <c r="B8141" s="45" t="s">
        <v>48837</v>
      </c>
      <c r="C8141" s="51" t="s">
        <v>48839</v>
      </c>
      <c r="D8141" s="51" t="s">
        <v>48838</v>
      </c>
      <c r="E8141" s="45" t="s">
        <v>55</v>
      </c>
      <c r="F8141" s="45" t="s">
        <v>18959</v>
      </c>
      <c r="G8141" s="45" t="s">
        <v>50584</v>
      </c>
      <c r="H8141" s="56"/>
      <c r="I8141" s="56" t="s">
        <v>50564</v>
      </c>
      <c r="J8141" s="56"/>
      <c r="K8141" s="57"/>
      <c r="L8141" s="56" t="s">
        <v>56716</v>
      </c>
    </row>
    <row r="8142" spans="1:12" ht="11.25" x14ac:dyDescent="0.2">
      <c r="A8142" s="46" t="s">
        <v>16731</v>
      </c>
      <c r="B8142" s="46" t="s">
        <v>55666</v>
      </c>
      <c r="C8142" s="58" t="str">
        <f>""</f>
        <v/>
      </c>
      <c r="D8142" s="58" t="str">
        <f>"21608288"</f>
        <v>21608288</v>
      </c>
      <c r="E8142" s="46" t="s">
        <v>16733</v>
      </c>
      <c r="F8142" s="46" t="s">
        <v>17759</v>
      </c>
      <c r="G8142" s="46" t="s">
        <v>50584</v>
      </c>
      <c r="H8142" s="48" t="s">
        <v>56716</v>
      </c>
      <c r="I8142" s="48" t="s">
        <v>50564</v>
      </c>
      <c r="J8142" s="48" t="s">
        <v>56716</v>
      </c>
      <c r="K8142" s="57"/>
      <c r="L8142" s="48"/>
    </row>
    <row r="8143" spans="1:12" ht="11.25" x14ac:dyDescent="0.2">
      <c r="A8143" s="46" t="s">
        <v>15350</v>
      </c>
      <c r="B8143" s="46" t="s">
        <v>55667</v>
      </c>
      <c r="C8143" s="58" t="str">
        <f>"22108440"</f>
        <v>22108440</v>
      </c>
      <c r="D8143" s="58" t="str">
        <f>"22108467"</f>
        <v>22108467</v>
      </c>
      <c r="E8143" s="46" t="s">
        <v>831</v>
      </c>
      <c r="F8143" s="46" t="s">
        <v>50646</v>
      </c>
      <c r="G8143" s="46" t="s">
        <v>50584</v>
      </c>
      <c r="H8143" s="48" t="s">
        <v>56716</v>
      </c>
      <c r="I8143" s="48" t="s">
        <v>50564</v>
      </c>
      <c r="J8143" s="48" t="s">
        <v>56716</v>
      </c>
      <c r="K8143" s="50" t="s">
        <v>56716</v>
      </c>
      <c r="L8143" s="48"/>
    </row>
    <row r="8144" spans="1:12" ht="11.25" x14ac:dyDescent="0.2">
      <c r="A8144" s="46" t="s">
        <v>3890</v>
      </c>
      <c r="B8144" s="46" t="s">
        <v>55668</v>
      </c>
      <c r="C8144" s="58" t="str">
        <f>"09680004"</f>
        <v>09680004</v>
      </c>
      <c r="D8144" s="58" t="str">
        <f>"13624326"</f>
        <v>13624326</v>
      </c>
      <c r="E8144" s="46" t="s">
        <v>155</v>
      </c>
      <c r="F8144" s="46" t="s">
        <v>50646</v>
      </c>
      <c r="G8144" s="46" t="s">
        <v>50584</v>
      </c>
      <c r="H8144" s="48" t="s">
        <v>56716</v>
      </c>
      <c r="I8144" s="48" t="s">
        <v>50564</v>
      </c>
      <c r="J8144" s="48" t="s">
        <v>56716</v>
      </c>
      <c r="K8144" s="50" t="s">
        <v>56716</v>
      </c>
      <c r="L8144" s="48" t="s">
        <v>56716</v>
      </c>
    </row>
    <row r="8145" spans="1:12" ht="11.25" x14ac:dyDescent="0.2">
      <c r="A8145" s="46" t="s">
        <v>13235</v>
      </c>
      <c r="B8145" s="46" t="s">
        <v>55669</v>
      </c>
      <c r="C8145" s="58" t="str">
        <f>"19947941"</f>
        <v>19947941</v>
      </c>
      <c r="D8145" s="58" t="str">
        <f>"20772254"</f>
        <v>20772254</v>
      </c>
      <c r="E8145" s="46" t="s">
        <v>10959</v>
      </c>
      <c r="F8145" s="46" t="s">
        <v>34138</v>
      </c>
      <c r="G8145" s="46" t="s">
        <v>50584</v>
      </c>
      <c r="H8145" s="48" t="s">
        <v>56716</v>
      </c>
      <c r="I8145" s="48" t="s">
        <v>50564</v>
      </c>
      <c r="J8145" s="48"/>
      <c r="K8145" s="57"/>
      <c r="L8145" s="48"/>
    </row>
    <row r="8146" spans="1:12" ht="11.25" x14ac:dyDescent="0.2">
      <c r="A8146" s="46" t="s">
        <v>3978</v>
      </c>
      <c r="B8146" s="46" t="s">
        <v>55670</v>
      </c>
      <c r="C8146" s="58" t="str">
        <f>"01677799"</f>
        <v>01677799</v>
      </c>
      <c r="D8146" s="58" t="str">
        <f>"18793096"</f>
        <v>18793096</v>
      </c>
      <c r="E8146" s="46" t="s">
        <v>155</v>
      </c>
      <c r="F8146" s="46" t="s">
        <v>50646</v>
      </c>
      <c r="G8146" s="46" t="s">
        <v>50584</v>
      </c>
      <c r="H8146" s="48" t="s">
        <v>56716</v>
      </c>
      <c r="I8146" s="48" t="s">
        <v>50564</v>
      </c>
      <c r="J8146" s="48" t="s">
        <v>56716</v>
      </c>
      <c r="K8146" s="50" t="s">
        <v>56716</v>
      </c>
      <c r="L8146" s="48" t="s">
        <v>56716</v>
      </c>
    </row>
    <row r="8147" spans="1:12" ht="11.25" x14ac:dyDescent="0.2">
      <c r="A8147" s="46" t="s">
        <v>5477</v>
      </c>
      <c r="B8147" s="46" t="s">
        <v>55671</v>
      </c>
      <c r="C8147" s="58" t="str">
        <f>"10501738"</f>
        <v>10501738</v>
      </c>
      <c r="D8147" s="58" t="str">
        <f>"18732615"</f>
        <v>18732615</v>
      </c>
      <c r="E8147" s="46" t="s">
        <v>272</v>
      </c>
      <c r="F8147" s="46" t="s">
        <v>17759</v>
      </c>
      <c r="G8147" s="46" t="s">
        <v>50584</v>
      </c>
      <c r="H8147" s="48" t="s">
        <v>56716</v>
      </c>
      <c r="I8147" s="48" t="s">
        <v>50564</v>
      </c>
      <c r="J8147" s="48" t="s">
        <v>56716</v>
      </c>
      <c r="K8147" s="50" t="s">
        <v>56716</v>
      </c>
      <c r="L8147" s="48" t="s">
        <v>56716</v>
      </c>
    </row>
    <row r="8148" spans="1:12" ht="11.25" x14ac:dyDescent="0.2">
      <c r="A8148" s="46" t="s">
        <v>5588</v>
      </c>
      <c r="B8148" s="46" t="s">
        <v>55672</v>
      </c>
      <c r="C8148" s="58" t="str">
        <f>"09628924"</f>
        <v>09628924</v>
      </c>
      <c r="D8148" s="58" t="str">
        <f>"18793088"</f>
        <v>18793088</v>
      </c>
      <c r="E8148" s="46" t="s">
        <v>155</v>
      </c>
      <c r="F8148" s="46" t="s">
        <v>50646</v>
      </c>
      <c r="G8148" s="46" t="s">
        <v>50584</v>
      </c>
      <c r="H8148" s="48" t="s">
        <v>56716</v>
      </c>
      <c r="I8148" s="48" t="s">
        <v>50564</v>
      </c>
      <c r="J8148" s="48" t="s">
        <v>56716</v>
      </c>
      <c r="K8148" s="50" t="s">
        <v>56716</v>
      </c>
      <c r="L8148" s="48" t="s">
        <v>56716</v>
      </c>
    </row>
    <row r="8149" spans="1:12" ht="11.25" x14ac:dyDescent="0.2">
      <c r="A8149" s="46" t="s">
        <v>7484</v>
      </c>
      <c r="B8149" s="46" t="s">
        <v>55673</v>
      </c>
      <c r="C8149" s="58" t="str">
        <f>"13646613"</f>
        <v>13646613</v>
      </c>
      <c r="D8149" s="58" t="str">
        <f>"1879307X"</f>
        <v>1879307X</v>
      </c>
      <c r="E8149" s="46" t="s">
        <v>155</v>
      </c>
      <c r="F8149" s="46" t="s">
        <v>50646</v>
      </c>
      <c r="G8149" s="46" t="s">
        <v>50584</v>
      </c>
      <c r="H8149" s="48" t="s">
        <v>56716</v>
      </c>
      <c r="I8149" s="48" t="s">
        <v>50564</v>
      </c>
      <c r="J8149" s="48"/>
      <c r="K8149" s="50" t="s">
        <v>56716</v>
      </c>
      <c r="L8149" s="48" t="s">
        <v>56716</v>
      </c>
    </row>
    <row r="8150" spans="1:12" ht="11.25" x14ac:dyDescent="0.2">
      <c r="A8150" s="45" t="s">
        <v>48869</v>
      </c>
      <c r="B8150" s="45" t="s">
        <v>48871</v>
      </c>
      <c r="C8150" s="51" t="s">
        <v>48872</v>
      </c>
      <c r="D8150" s="51" t="s">
        <v>56698</v>
      </c>
      <c r="E8150" s="45" t="s">
        <v>28282</v>
      </c>
      <c r="F8150" s="45" t="s">
        <v>50646</v>
      </c>
      <c r="G8150" s="45" t="s">
        <v>50584</v>
      </c>
      <c r="H8150" s="56"/>
      <c r="I8150" s="56" t="s">
        <v>50564</v>
      </c>
      <c r="J8150" s="56"/>
      <c r="K8150" s="57"/>
      <c r="L8150" s="56" t="s">
        <v>56716</v>
      </c>
    </row>
    <row r="8151" spans="1:12" ht="11.25" x14ac:dyDescent="0.2">
      <c r="A8151" s="46" t="s">
        <v>5073</v>
      </c>
      <c r="B8151" s="46" t="s">
        <v>55674</v>
      </c>
      <c r="C8151" s="58" t="str">
        <f>"10432760"</f>
        <v>10432760</v>
      </c>
      <c r="D8151" s="58" t="str">
        <f>"18793061"</f>
        <v>18793061</v>
      </c>
      <c r="E8151" s="46" t="s">
        <v>272</v>
      </c>
      <c r="F8151" s="46" t="s">
        <v>17759</v>
      </c>
      <c r="G8151" s="46" t="s">
        <v>50584</v>
      </c>
      <c r="H8151" s="48" t="s">
        <v>56716</v>
      </c>
      <c r="I8151" s="48" t="s">
        <v>50564</v>
      </c>
      <c r="J8151" s="48" t="s">
        <v>56716</v>
      </c>
      <c r="K8151" s="50" t="s">
        <v>56716</v>
      </c>
      <c r="L8151" s="48" t="s">
        <v>56716</v>
      </c>
    </row>
    <row r="8152" spans="1:12" ht="11.25" x14ac:dyDescent="0.2">
      <c r="A8152" s="46" t="s">
        <v>4285</v>
      </c>
      <c r="B8152" s="46" t="s">
        <v>55675</v>
      </c>
      <c r="C8152" s="58" t="str">
        <f>"01689525"</f>
        <v>01689525</v>
      </c>
      <c r="D8152" s="58" t="str">
        <f>"13624555"</f>
        <v>13624555</v>
      </c>
      <c r="E8152" s="46" t="s">
        <v>155</v>
      </c>
      <c r="F8152" s="46" t="s">
        <v>50646</v>
      </c>
      <c r="G8152" s="46" t="s">
        <v>50584</v>
      </c>
      <c r="H8152" s="48" t="s">
        <v>56716</v>
      </c>
      <c r="I8152" s="48" t="s">
        <v>50564</v>
      </c>
      <c r="J8152" s="48" t="s">
        <v>56716</v>
      </c>
      <c r="K8152" s="50" t="s">
        <v>56716</v>
      </c>
      <c r="L8152" s="48" t="s">
        <v>56716</v>
      </c>
    </row>
    <row r="8153" spans="1:12" ht="11.25" x14ac:dyDescent="0.2">
      <c r="A8153" s="45" t="s">
        <v>56699</v>
      </c>
      <c r="B8153" s="45" t="s">
        <v>56700</v>
      </c>
      <c r="C8153" s="51"/>
      <c r="D8153" s="51" t="s">
        <v>56701</v>
      </c>
      <c r="E8153" s="45" t="s">
        <v>19447</v>
      </c>
      <c r="F8153" s="45" t="s">
        <v>17759</v>
      </c>
      <c r="G8153" s="45" t="s">
        <v>50584</v>
      </c>
      <c r="H8153" s="56"/>
      <c r="I8153" s="56" t="s">
        <v>50564</v>
      </c>
      <c r="J8153" s="56"/>
      <c r="K8153" s="57"/>
      <c r="L8153" s="56" t="s">
        <v>56716</v>
      </c>
    </row>
    <row r="8154" spans="1:12" ht="11.25" x14ac:dyDescent="0.2">
      <c r="A8154" s="46" t="s">
        <v>8897</v>
      </c>
      <c r="B8154" s="46" t="s">
        <v>55676</v>
      </c>
      <c r="C8154" s="58" t="str">
        <f>"14714906"</f>
        <v>14714906</v>
      </c>
      <c r="D8154" s="58" t="str">
        <f>"14714981"</f>
        <v>14714981</v>
      </c>
      <c r="E8154" s="46" t="s">
        <v>155</v>
      </c>
      <c r="F8154" s="46" t="s">
        <v>50646</v>
      </c>
      <c r="G8154" s="46" t="s">
        <v>50584</v>
      </c>
      <c r="H8154" s="48" t="s">
        <v>56716</v>
      </c>
      <c r="I8154" s="48" t="s">
        <v>50564</v>
      </c>
      <c r="J8154" s="48"/>
      <c r="K8154" s="50" t="s">
        <v>56716</v>
      </c>
      <c r="L8154" s="48" t="s">
        <v>56716</v>
      </c>
    </row>
    <row r="8155" spans="1:12" ht="11.25" x14ac:dyDescent="0.2">
      <c r="A8155" s="46" t="s">
        <v>12431</v>
      </c>
      <c r="B8155" s="46" t="s">
        <v>55677</v>
      </c>
      <c r="C8155" s="58" t="str">
        <f>"18193587"</f>
        <v>18193587</v>
      </c>
      <c r="D8155" s="58" t="str">
        <f>"21516065"</f>
        <v>21516065</v>
      </c>
      <c r="E8155" s="46" t="s">
        <v>12434</v>
      </c>
      <c r="F8155" s="46" t="s">
        <v>17759</v>
      </c>
      <c r="G8155" s="46" t="s">
        <v>50584</v>
      </c>
      <c r="H8155" s="48" t="s">
        <v>56716</v>
      </c>
      <c r="I8155" s="48" t="s">
        <v>50564</v>
      </c>
      <c r="J8155" s="48"/>
      <c r="K8155" s="57"/>
      <c r="L8155" s="48"/>
    </row>
    <row r="8156" spans="1:12" ht="11.25" x14ac:dyDescent="0.2">
      <c r="A8156" s="46" t="s">
        <v>10305</v>
      </c>
      <c r="B8156" s="46" t="s">
        <v>55678</v>
      </c>
      <c r="C8156" s="58" t="str">
        <f>"15942848"</f>
        <v>15942848</v>
      </c>
      <c r="D8156" s="58" t="str">
        <f>""</f>
        <v/>
      </c>
      <c r="E8156" s="46" t="s">
        <v>10307</v>
      </c>
      <c r="F8156" s="46" t="s">
        <v>17991</v>
      </c>
      <c r="G8156" s="46" t="s">
        <v>50603</v>
      </c>
      <c r="H8156" s="48" t="s">
        <v>56716</v>
      </c>
      <c r="I8156" s="48" t="s">
        <v>50564</v>
      </c>
      <c r="J8156" s="48"/>
      <c r="K8156" s="57"/>
      <c r="L8156" s="48"/>
    </row>
    <row r="8157" spans="1:12" ht="11.25" x14ac:dyDescent="0.2">
      <c r="A8157" s="46" t="s">
        <v>5990</v>
      </c>
      <c r="B8157" s="46" t="s">
        <v>55679</v>
      </c>
      <c r="C8157" s="58" t="str">
        <f>"0966842X"</f>
        <v>0966842X</v>
      </c>
      <c r="D8157" s="58" t="str">
        <f>"18784380"</f>
        <v>18784380</v>
      </c>
      <c r="E8157" s="46" t="s">
        <v>155</v>
      </c>
      <c r="F8157" s="46" t="s">
        <v>50646</v>
      </c>
      <c r="G8157" s="46" t="s">
        <v>50584</v>
      </c>
      <c r="H8157" s="48" t="s">
        <v>56716</v>
      </c>
      <c r="I8157" s="48" t="s">
        <v>50564</v>
      </c>
      <c r="J8157" s="48" t="s">
        <v>56716</v>
      </c>
      <c r="K8157" s="50" t="s">
        <v>56716</v>
      </c>
      <c r="L8157" s="48" t="s">
        <v>56716</v>
      </c>
    </row>
    <row r="8158" spans="1:12" ht="11.25" x14ac:dyDescent="0.2">
      <c r="A8158" s="46" t="s">
        <v>8855</v>
      </c>
      <c r="B8158" s="46" t="s">
        <v>55680</v>
      </c>
      <c r="C8158" s="58" t="str">
        <f>"14714914"</f>
        <v>14714914</v>
      </c>
      <c r="D8158" s="58" t="str">
        <f>"1471499X"</f>
        <v>1471499X</v>
      </c>
      <c r="E8158" s="46" t="s">
        <v>155</v>
      </c>
      <c r="F8158" s="46" t="s">
        <v>50646</v>
      </c>
      <c r="G8158" s="46" t="s">
        <v>50584</v>
      </c>
      <c r="H8158" s="48" t="s">
        <v>56716</v>
      </c>
      <c r="I8158" s="48" t="s">
        <v>50564</v>
      </c>
      <c r="J8158" s="48"/>
      <c r="K8158" s="50" t="s">
        <v>56716</v>
      </c>
      <c r="L8158" s="48" t="s">
        <v>56716</v>
      </c>
    </row>
    <row r="8159" spans="1:12" ht="11.25" x14ac:dyDescent="0.2">
      <c r="A8159" s="46" t="s">
        <v>16553</v>
      </c>
      <c r="B8159" s="46" t="s">
        <v>55681</v>
      </c>
      <c r="C8159" s="58" t="str">
        <f>"22119493"</f>
        <v>22119493</v>
      </c>
      <c r="D8159" s="58" t="str">
        <f>""</f>
        <v/>
      </c>
      <c r="E8159" s="46" t="s">
        <v>6159</v>
      </c>
      <c r="F8159" s="46" t="s">
        <v>18158</v>
      </c>
      <c r="G8159" s="46" t="s">
        <v>50584</v>
      </c>
      <c r="H8159" s="48" t="s">
        <v>56716</v>
      </c>
      <c r="I8159" s="48" t="s">
        <v>50564</v>
      </c>
      <c r="J8159" s="48" t="s">
        <v>56716</v>
      </c>
      <c r="K8159" s="50" t="s">
        <v>56716</v>
      </c>
      <c r="L8159" s="48"/>
    </row>
    <row r="8160" spans="1:12" ht="11.25" x14ac:dyDescent="0.2">
      <c r="A8160" s="46" t="s">
        <v>3954</v>
      </c>
      <c r="B8160" s="46" t="s">
        <v>55682</v>
      </c>
      <c r="C8160" s="58" t="str">
        <f>"01662236"</f>
        <v>01662236</v>
      </c>
      <c r="D8160" s="58" t="str">
        <f>"1878108X"</f>
        <v>1878108X</v>
      </c>
      <c r="E8160" s="46" t="s">
        <v>155</v>
      </c>
      <c r="F8160" s="46" t="s">
        <v>50646</v>
      </c>
      <c r="G8160" s="46" t="s">
        <v>50584</v>
      </c>
      <c r="H8160" s="48" t="s">
        <v>56716</v>
      </c>
      <c r="I8160" s="48" t="s">
        <v>50564</v>
      </c>
      <c r="J8160" s="48" t="s">
        <v>56716</v>
      </c>
      <c r="K8160" s="50" t="s">
        <v>56716</v>
      </c>
      <c r="L8160" s="48" t="s">
        <v>56716</v>
      </c>
    </row>
    <row r="8161" spans="1:12" ht="11.25" x14ac:dyDescent="0.2">
      <c r="A8161" s="46" t="s">
        <v>8900</v>
      </c>
      <c r="B8161" s="46" t="s">
        <v>55683</v>
      </c>
      <c r="C8161" s="58" t="str">
        <f>"14714922"</f>
        <v>14714922</v>
      </c>
      <c r="D8161" s="58" t="str">
        <f>"14715007"</f>
        <v>14715007</v>
      </c>
      <c r="E8161" s="46" t="s">
        <v>155</v>
      </c>
      <c r="F8161" s="46" t="s">
        <v>50646</v>
      </c>
      <c r="G8161" s="46" t="s">
        <v>50584</v>
      </c>
      <c r="H8161" s="48" t="s">
        <v>56716</v>
      </c>
      <c r="I8161" s="48" t="s">
        <v>50564</v>
      </c>
      <c r="J8161" s="48"/>
      <c r="K8161" s="50" t="s">
        <v>56716</v>
      </c>
      <c r="L8161" s="48" t="s">
        <v>56716</v>
      </c>
    </row>
    <row r="8162" spans="1:12" ht="11.25" x14ac:dyDescent="0.2">
      <c r="A8162" s="46" t="s">
        <v>3969</v>
      </c>
      <c r="B8162" s="46" t="s">
        <v>55684</v>
      </c>
      <c r="C8162" s="58" t="str">
        <f>"01656147"</f>
        <v>01656147</v>
      </c>
      <c r="D8162" s="58" t="str">
        <f>"18733735"</f>
        <v>18733735</v>
      </c>
      <c r="E8162" s="46" t="s">
        <v>155</v>
      </c>
      <c r="F8162" s="46" t="s">
        <v>50646</v>
      </c>
      <c r="G8162" s="46" t="s">
        <v>50584</v>
      </c>
      <c r="H8162" s="48" t="s">
        <v>56716</v>
      </c>
      <c r="I8162" s="48" t="s">
        <v>50564</v>
      </c>
      <c r="J8162" s="48" t="s">
        <v>56716</v>
      </c>
      <c r="K8162" s="50" t="s">
        <v>56716</v>
      </c>
      <c r="L8162" s="48" t="s">
        <v>56716</v>
      </c>
    </row>
    <row r="8163" spans="1:12" ht="11.25" x14ac:dyDescent="0.2">
      <c r="A8163" s="45" t="s">
        <v>48911</v>
      </c>
      <c r="B8163" s="45" t="s">
        <v>48913</v>
      </c>
      <c r="C8163" s="51" t="s">
        <v>48915</v>
      </c>
      <c r="D8163" s="51" t="s">
        <v>48914</v>
      </c>
      <c r="E8163" s="45" t="s">
        <v>48916</v>
      </c>
      <c r="F8163" s="45" t="s">
        <v>50646</v>
      </c>
      <c r="G8163" s="45" t="s">
        <v>50584</v>
      </c>
      <c r="H8163" s="56"/>
      <c r="I8163" s="56" t="s">
        <v>50564</v>
      </c>
      <c r="J8163" s="56"/>
      <c r="K8163" s="57"/>
      <c r="L8163" s="56" t="s">
        <v>56716</v>
      </c>
    </row>
    <row r="8164" spans="1:12" ht="11.25" x14ac:dyDescent="0.2">
      <c r="A8164" s="46" t="s">
        <v>15600</v>
      </c>
      <c r="B8164" s="46" t="s">
        <v>55685</v>
      </c>
      <c r="C8164" s="58" t="str">
        <f>"22376089"</f>
        <v>22376089</v>
      </c>
      <c r="D8164" s="58" t="str">
        <f>""</f>
        <v/>
      </c>
      <c r="E8164" s="46" t="s">
        <v>15602</v>
      </c>
      <c r="F8164" s="46" t="s">
        <v>18058</v>
      </c>
      <c r="G8164" s="46" t="s">
        <v>50614</v>
      </c>
      <c r="H8164" s="48" t="s">
        <v>56716</v>
      </c>
      <c r="I8164" s="48" t="s">
        <v>50564</v>
      </c>
      <c r="J8164" s="48"/>
      <c r="K8164" s="57"/>
      <c r="L8164" s="48"/>
    </row>
    <row r="8165" spans="1:12" ht="11.25" x14ac:dyDescent="0.2">
      <c r="A8165" s="46" t="s">
        <v>11511</v>
      </c>
      <c r="B8165" s="46" t="s">
        <v>11511</v>
      </c>
      <c r="C8165" s="58" t="str">
        <f>""</f>
        <v/>
      </c>
      <c r="D8165" s="58" t="str">
        <f>"17456215"</f>
        <v>17456215</v>
      </c>
      <c r="E8165" s="46" t="s">
        <v>2299</v>
      </c>
      <c r="F8165" s="46" t="s">
        <v>50646</v>
      </c>
      <c r="G8165" s="46" t="s">
        <v>50584</v>
      </c>
      <c r="H8165" s="48" t="s">
        <v>56716</v>
      </c>
      <c r="I8165" s="48" t="s">
        <v>50564</v>
      </c>
      <c r="J8165" s="48"/>
      <c r="K8165" s="50" t="s">
        <v>56716</v>
      </c>
      <c r="L8165" s="48" t="s">
        <v>56716</v>
      </c>
    </row>
    <row r="8166" spans="1:12" ht="11.25" x14ac:dyDescent="0.2">
      <c r="A8166" s="46" t="s">
        <v>16286</v>
      </c>
      <c r="B8166" s="46" t="s">
        <v>55686</v>
      </c>
      <c r="C8166" s="58" t="str">
        <f>""</f>
        <v/>
      </c>
      <c r="D8166" s="58" t="str">
        <f>"18794378"</f>
        <v>18794378</v>
      </c>
      <c r="E8166" s="46" t="s">
        <v>91</v>
      </c>
      <c r="F8166" s="46" t="s">
        <v>18001</v>
      </c>
      <c r="G8166" s="46" t="s">
        <v>50584</v>
      </c>
      <c r="H8166" s="48" t="s">
        <v>56716</v>
      </c>
      <c r="I8166" s="48" t="s">
        <v>50564</v>
      </c>
      <c r="J8166" s="48" t="s">
        <v>56716</v>
      </c>
      <c r="K8166" s="57"/>
      <c r="L8166" s="48"/>
    </row>
    <row r="8167" spans="1:12" ht="11.25" x14ac:dyDescent="0.2">
      <c r="A8167" s="45" t="s">
        <v>48921</v>
      </c>
      <c r="B8167" s="45" t="s">
        <v>48923</v>
      </c>
      <c r="C8167" s="51" t="s">
        <v>48925</v>
      </c>
      <c r="D8167" s="51" t="s">
        <v>48924</v>
      </c>
      <c r="E8167" s="45" t="s">
        <v>21011</v>
      </c>
      <c r="F8167" s="45" t="s">
        <v>17759</v>
      </c>
      <c r="G8167" s="45" t="s">
        <v>50584</v>
      </c>
      <c r="H8167" s="56"/>
      <c r="I8167" s="56" t="s">
        <v>50564</v>
      </c>
      <c r="J8167" s="56"/>
      <c r="K8167" s="57"/>
      <c r="L8167" s="56" t="s">
        <v>56716</v>
      </c>
    </row>
    <row r="8168" spans="1:12" ht="11.25" x14ac:dyDescent="0.2">
      <c r="A8168" s="45" t="s">
        <v>48928</v>
      </c>
      <c r="B8168" s="45" t="s">
        <v>48930</v>
      </c>
      <c r="C8168" s="51" t="s">
        <v>48931</v>
      </c>
      <c r="D8168" s="51"/>
      <c r="E8168" s="45" t="s">
        <v>48932</v>
      </c>
      <c r="F8168" s="45" t="s">
        <v>39931</v>
      </c>
      <c r="G8168" s="45" t="s">
        <v>50584</v>
      </c>
      <c r="H8168" s="56"/>
      <c r="I8168" s="56" t="s">
        <v>50564</v>
      </c>
      <c r="J8168" s="56"/>
      <c r="K8168" s="57"/>
      <c r="L8168" s="56" t="s">
        <v>56716</v>
      </c>
    </row>
    <row r="8169" spans="1:12" ht="11.25" x14ac:dyDescent="0.2">
      <c r="A8169" s="46" t="s">
        <v>3966</v>
      </c>
      <c r="B8169" s="46" t="s">
        <v>55687</v>
      </c>
      <c r="C8169" s="58" t="str">
        <f>"00494755"</f>
        <v>00494755</v>
      </c>
      <c r="D8169" s="58" t="str">
        <f>"17581133"</f>
        <v>17581133</v>
      </c>
      <c r="E8169" s="46" t="s">
        <v>97</v>
      </c>
      <c r="F8169" s="46" t="s">
        <v>50646</v>
      </c>
      <c r="G8169" s="46" t="s">
        <v>50584</v>
      </c>
      <c r="H8169" s="48" t="s">
        <v>56716</v>
      </c>
      <c r="I8169" s="48" t="s">
        <v>50564</v>
      </c>
      <c r="J8169" s="48"/>
      <c r="K8169" s="57"/>
      <c r="L8169" s="48" t="s">
        <v>56716</v>
      </c>
    </row>
    <row r="8170" spans="1:12" ht="11.25" x14ac:dyDescent="0.2">
      <c r="A8170" s="45" t="s">
        <v>48938</v>
      </c>
      <c r="B8170" s="45" t="s">
        <v>48940</v>
      </c>
      <c r="C8170" s="51" t="s">
        <v>48941</v>
      </c>
      <c r="D8170" s="51"/>
      <c r="E8170" s="45" t="s">
        <v>48942</v>
      </c>
      <c r="F8170" s="45" t="s">
        <v>20446</v>
      </c>
      <c r="G8170" s="45" t="s">
        <v>50584</v>
      </c>
      <c r="H8170" s="56"/>
      <c r="I8170" s="56" t="s">
        <v>50564</v>
      </c>
      <c r="J8170" s="56"/>
      <c r="K8170" s="57"/>
      <c r="L8170" s="56" t="s">
        <v>56716</v>
      </c>
    </row>
    <row r="8171" spans="1:12" ht="11.25" x14ac:dyDescent="0.2">
      <c r="A8171" s="46" t="s">
        <v>13763</v>
      </c>
      <c r="B8171" s="46" t="s">
        <v>55688</v>
      </c>
      <c r="C8171" s="58" t="str">
        <f>"15965996"</f>
        <v>15965996</v>
      </c>
      <c r="D8171" s="58" t="str">
        <f>"15969827"</f>
        <v>15969827</v>
      </c>
      <c r="E8171" s="46" t="s">
        <v>56191</v>
      </c>
      <c r="F8171" s="46" t="s">
        <v>19049</v>
      </c>
      <c r="G8171" s="46" t="s">
        <v>50584</v>
      </c>
      <c r="H8171" s="48" t="s">
        <v>56716</v>
      </c>
      <c r="I8171" s="48" t="s">
        <v>50564</v>
      </c>
      <c r="J8171" s="48"/>
      <c r="K8171" s="57"/>
      <c r="L8171" s="48"/>
    </row>
    <row r="8172" spans="1:12" ht="11.25" x14ac:dyDescent="0.2">
      <c r="A8172" s="46" t="s">
        <v>14240</v>
      </c>
      <c r="B8172" s="46" t="s">
        <v>55689</v>
      </c>
      <c r="C8172" s="58" t="str">
        <f>"13488945"</f>
        <v>13488945</v>
      </c>
      <c r="D8172" s="58" t="str">
        <f>"13494147"</f>
        <v>13494147</v>
      </c>
      <c r="E8172" s="46" t="s">
        <v>14243</v>
      </c>
      <c r="F8172" s="46" t="s">
        <v>18242</v>
      </c>
      <c r="G8172" s="46" t="s">
        <v>50584</v>
      </c>
      <c r="H8172" s="48" t="s">
        <v>56716</v>
      </c>
      <c r="I8172" s="48" t="s">
        <v>50564</v>
      </c>
      <c r="J8172" s="48"/>
      <c r="K8172" s="57"/>
      <c r="L8172" s="48"/>
    </row>
    <row r="8173" spans="1:12" ht="11.25" x14ac:dyDescent="0.2">
      <c r="A8173" s="46" t="s">
        <v>6878</v>
      </c>
      <c r="B8173" s="46" t="s">
        <v>55690</v>
      </c>
      <c r="C8173" s="58" t="str">
        <f>"13602276"</f>
        <v>13602276</v>
      </c>
      <c r="D8173" s="58" t="str">
        <f>"13653156"</f>
        <v>13653156</v>
      </c>
      <c r="E8173" s="46" t="s">
        <v>35</v>
      </c>
      <c r="F8173" s="46" t="s">
        <v>50646</v>
      </c>
      <c r="G8173" s="46" t="s">
        <v>50636</v>
      </c>
      <c r="H8173" s="48" t="s">
        <v>56716</v>
      </c>
      <c r="I8173" s="48" t="s">
        <v>50564</v>
      </c>
      <c r="J8173" s="48"/>
      <c r="K8173" s="50" t="s">
        <v>56716</v>
      </c>
      <c r="L8173" s="48" t="s">
        <v>56716</v>
      </c>
    </row>
    <row r="8174" spans="1:12" ht="11.25" x14ac:dyDescent="0.2">
      <c r="A8174" s="45" t="s">
        <v>48950</v>
      </c>
      <c r="B8174" s="45" t="s">
        <v>48952</v>
      </c>
      <c r="C8174" s="51" t="s">
        <v>48953</v>
      </c>
      <c r="D8174" s="51"/>
      <c r="E8174" s="45" t="s">
        <v>30676</v>
      </c>
      <c r="F8174" s="45" t="s">
        <v>17759</v>
      </c>
      <c r="G8174" s="45" t="s">
        <v>50584</v>
      </c>
      <c r="H8174" s="56"/>
      <c r="I8174" s="56" t="s">
        <v>50564</v>
      </c>
      <c r="J8174" s="56"/>
      <c r="K8174" s="57"/>
      <c r="L8174" s="56" t="s">
        <v>56716</v>
      </c>
    </row>
    <row r="8175" spans="1:12" ht="11.25" x14ac:dyDescent="0.2">
      <c r="A8175" s="45" t="s">
        <v>48956</v>
      </c>
      <c r="B8175" s="45" t="s">
        <v>48956</v>
      </c>
      <c r="C8175" s="51" t="s">
        <v>48958</v>
      </c>
      <c r="D8175" s="51"/>
      <c r="E8175" s="45" t="s">
        <v>33405</v>
      </c>
      <c r="F8175" s="45" t="s">
        <v>50653</v>
      </c>
      <c r="G8175" s="45" t="s">
        <v>56509</v>
      </c>
      <c r="H8175" s="56"/>
      <c r="I8175" s="56" t="s">
        <v>50564</v>
      </c>
      <c r="J8175" s="56"/>
      <c r="K8175" s="57"/>
      <c r="L8175" s="56" t="s">
        <v>56716</v>
      </c>
    </row>
    <row r="8176" spans="1:12" ht="11.25" x14ac:dyDescent="0.2">
      <c r="A8176" s="45" t="s">
        <v>48960</v>
      </c>
      <c r="B8176" s="45" t="s">
        <v>48962</v>
      </c>
      <c r="C8176" s="51" t="s">
        <v>48964</v>
      </c>
      <c r="D8176" s="51"/>
      <c r="E8176" s="45" t="s">
        <v>48965</v>
      </c>
      <c r="F8176" s="45" t="s">
        <v>29064</v>
      </c>
      <c r="G8176" s="45" t="s">
        <v>56509</v>
      </c>
      <c r="H8176" s="56"/>
      <c r="I8176" s="56" t="s">
        <v>50564</v>
      </c>
      <c r="J8176" s="56"/>
      <c r="K8176" s="57"/>
      <c r="L8176" s="56" t="s">
        <v>56716</v>
      </c>
    </row>
    <row r="8177" spans="1:12" ht="11.25" x14ac:dyDescent="0.2">
      <c r="A8177" s="46" t="s">
        <v>56056</v>
      </c>
      <c r="B8177" s="46" t="s">
        <v>56057</v>
      </c>
      <c r="C8177" s="58" t="str">
        <f>"09628479"</f>
        <v>09628479</v>
      </c>
      <c r="D8177" s="58" t="str">
        <f>""</f>
        <v/>
      </c>
      <c r="E8177" s="46" t="s">
        <v>831</v>
      </c>
      <c r="F8177" s="46" t="s">
        <v>50646</v>
      </c>
      <c r="G8177" s="46" t="s">
        <v>50584</v>
      </c>
      <c r="H8177" s="48" t="s">
        <v>56716</v>
      </c>
      <c r="I8177" s="48" t="s">
        <v>50564</v>
      </c>
      <c r="J8177" s="48" t="s">
        <v>56716</v>
      </c>
      <c r="K8177" s="57"/>
      <c r="L8177" s="48"/>
    </row>
    <row r="8178" spans="1:12" ht="11.25" x14ac:dyDescent="0.2">
      <c r="A8178" s="46" t="s">
        <v>8922</v>
      </c>
      <c r="B8178" s="46" t="s">
        <v>8922</v>
      </c>
      <c r="C8178" s="58" t="str">
        <f>"14729792"</f>
        <v>14729792</v>
      </c>
      <c r="D8178" s="58" t="str">
        <f>"1873281X"</f>
        <v>1873281X</v>
      </c>
      <c r="E8178" s="46" t="s">
        <v>831</v>
      </c>
      <c r="F8178" s="46" t="s">
        <v>50646</v>
      </c>
      <c r="G8178" s="46" t="s">
        <v>50584</v>
      </c>
      <c r="H8178" s="48" t="s">
        <v>56716</v>
      </c>
      <c r="I8178" s="48" t="s">
        <v>50564</v>
      </c>
      <c r="J8178" s="48" t="s">
        <v>56716</v>
      </c>
      <c r="K8178" s="50" t="s">
        <v>56716</v>
      </c>
      <c r="L8178" s="48" t="s">
        <v>56716</v>
      </c>
    </row>
    <row r="8179" spans="1:12" ht="11.25" x14ac:dyDescent="0.2">
      <c r="A8179" s="46" t="s">
        <v>2769</v>
      </c>
      <c r="B8179" s="46" t="s">
        <v>55691</v>
      </c>
      <c r="C8179" s="58" t="str">
        <f>"17383536"</f>
        <v>17383536</v>
      </c>
      <c r="D8179" s="58" t="str">
        <f>""</f>
        <v/>
      </c>
      <c r="E8179" s="46" t="s">
        <v>2771</v>
      </c>
      <c r="F8179" s="46" t="s">
        <v>50649</v>
      </c>
      <c r="G8179" s="46" t="s">
        <v>50607</v>
      </c>
      <c r="H8179" s="48" t="s">
        <v>56716</v>
      </c>
      <c r="I8179" s="48" t="s">
        <v>50564</v>
      </c>
      <c r="J8179" s="48"/>
      <c r="K8179" s="57"/>
      <c r="L8179" s="48"/>
    </row>
    <row r="8180" spans="1:12" ht="11.25" x14ac:dyDescent="0.2">
      <c r="A8180" s="45" t="s">
        <v>48972</v>
      </c>
      <c r="B8180" s="45" t="s">
        <v>48974</v>
      </c>
      <c r="C8180" s="51" t="s">
        <v>48976</v>
      </c>
      <c r="D8180" s="51"/>
      <c r="E8180" s="45" t="s">
        <v>48977</v>
      </c>
      <c r="F8180" s="45" t="s">
        <v>50653</v>
      </c>
      <c r="G8180" s="45" t="s">
        <v>50619</v>
      </c>
      <c r="H8180" s="56"/>
      <c r="I8180" s="56" t="s">
        <v>50564</v>
      </c>
      <c r="J8180" s="56"/>
      <c r="K8180" s="57"/>
      <c r="L8180" s="56" t="s">
        <v>56716</v>
      </c>
    </row>
    <row r="8181" spans="1:12" ht="11.25" x14ac:dyDescent="0.2">
      <c r="A8181" s="46" t="s">
        <v>11397</v>
      </c>
      <c r="B8181" s="46" t="s">
        <v>55692</v>
      </c>
      <c r="C8181" s="58" t="str">
        <f>"04941373"</f>
        <v>04941373</v>
      </c>
      <c r="D8181" s="58" t="str">
        <f>""</f>
        <v/>
      </c>
      <c r="E8181" s="46" t="s">
        <v>7518</v>
      </c>
      <c r="F8181" s="46" t="s">
        <v>18396</v>
      </c>
      <c r="G8181" s="46" t="s">
        <v>50638</v>
      </c>
      <c r="H8181" s="48" t="s">
        <v>56716</v>
      </c>
      <c r="I8181" s="48" t="s">
        <v>50564</v>
      </c>
      <c r="J8181" s="48"/>
      <c r="K8181" s="57"/>
      <c r="L8181" s="48" t="s">
        <v>56716</v>
      </c>
    </row>
    <row r="8182" spans="1:12" ht="11.25" x14ac:dyDescent="0.2">
      <c r="A8182" s="46" t="s">
        <v>12017</v>
      </c>
      <c r="B8182" s="46" t="s">
        <v>12017</v>
      </c>
      <c r="C8182" s="58" t="str">
        <f>"10007431"</f>
        <v>10007431</v>
      </c>
      <c r="D8182" s="58" t="str">
        <f>""</f>
        <v/>
      </c>
      <c r="E8182" s="46" t="s">
        <v>12019</v>
      </c>
      <c r="F8182" s="46" t="s">
        <v>17958</v>
      </c>
      <c r="G8182" s="46" t="s">
        <v>50580</v>
      </c>
      <c r="H8182" s="48" t="s">
        <v>56716</v>
      </c>
      <c r="I8182" s="48" t="s">
        <v>50564</v>
      </c>
      <c r="J8182" s="48"/>
      <c r="K8182" s="57"/>
      <c r="L8182" s="48"/>
    </row>
    <row r="8183" spans="1:12" ht="11.25" x14ac:dyDescent="0.2">
      <c r="A8183" s="46" t="s">
        <v>4419</v>
      </c>
      <c r="B8183" s="46" t="s">
        <v>55693</v>
      </c>
      <c r="C8183" s="58" t="str">
        <f>"10104283"</f>
        <v>10104283</v>
      </c>
      <c r="D8183" s="58" t="str">
        <f>"14230380"</f>
        <v>14230380</v>
      </c>
      <c r="E8183" s="46" t="s">
        <v>18876</v>
      </c>
      <c r="F8183" s="46" t="s">
        <v>18001</v>
      </c>
      <c r="G8183" s="46" t="s">
        <v>50584</v>
      </c>
      <c r="H8183" s="48" t="s">
        <v>56716</v>
      </c>
      <c r="I8183" s="48" t="s">
        <v>50564</v>
      </c>
      <c r="J8183" s="48" t="s">
        <v>56716</v>
      </c>
      <c r="K8183" s="50" t="s">
        <v>56716</v>
      </c>
      <c r="L8183" s="48" t="s">
        <v>56716</v>
      </c>
    </row>
    <row r="8184" spans="1:12" ht="11.25" x14ac:dyDescent="0.2">
      <c r="A8184" s="46" t="s">
        <v>3895</v>
      </c>
      <c r="B8184" s="46" t="s">
        <v>55694</v>
      </c>
      <c r="C8184" s="58" t="str">
        <f>"0722219X"</f>
        <v>0722219X</v>
      </c>
      <c r="D8184" s="58" t="str">
        <f>"14391279"</f>
        <v>14391279</v>
      </c>
      <c r="E8184" s="46" t="s">
        <v>412</v>
      </c>
      <c r="F8184" s="46" t="s">
        <v>18158</v>
      </c>
      <c r="G8184" s="46" t="s">
        <v>50592</v>
      </c>
      <c r="H8184" s="48" t="s">
        <v>56716</v>
      </c>
      <c r="I8184" s="48" t="s">
        <v>50564</v>
      </c>
      <c r="J8184" s="48"/>
      <c r="K8184" s="57"/>
      <c r="L8184" s="48"/>
    </row>
    <row r="8185" spans="1:12" ht="11.25" x14ac:dyDescent="0.2">
      <c r="A8185" s="46" t="s">
        <v>16836</v>
      </c>
      <c r="B8185" s="46" t="s">
        <v>16836</v>
      </c>
      <c r="C8185" s="58" t="str">
        <f>""</f>
        <v/>
      </c>
      <c r="D8185" s="58" t="str">
        <f>"22204083"</f>
        <v>22204083</v>
      </c>
      <c r="E8185" s="46" t="s">
        <v>7866</v>
      </c>
      <c r="F8185" s="46" t="s">
        <v>18288</v>
      </c>
      <c r="G8185" s="46" t="s">
        <v>50593</v>
      </c>
      <c r="H8185" s="48" t="s">
        <v>56716</v>
      </c>
      <c r="I8185" s="48" t="s">
        <v>50564</v>
      </c>
      <c r="J8185" s="48"/>
      <c r="K8185" s="57"/>
      <c r="L8185" s="48"/>
    </row>
    <row r="8186" spans="1:12" ht="11.25" x14ac:dyDescent="0.2">
      <c r="A8186" s="46" t="s">
        <v>3997</v>
      </c>
      <c r="B8186" s="46" t="s">
        <v>3997</v>
      </c>
      <c r="C8186" s="58" t="str">
        <f>"03008916"</f>
        <v>03008916</v>
      </c>
      <c r="D8186" s="58" t="str">
        <f>"20382529"</f>
        <v>20382529</v>
      </c>
      <c r="E8186" s="46" t="s">
        <v>56167</v>
      </c>
      <c r="F8186" s="46" t="s">
        <v>17991</v>
      </c>
      <c r="G8186" s="46" t="s">
        <v>50584</v>
      </c>
      <c r="H8186" s="48" t="s">
        <v>56716</v>
      </c>
      <c r="I8186" s="48" t="s">
        <v>50564</v>
      </c>
      <c r="J8186" s="48"/>
      <c r="K8186" s="57"/>
      <c r="L8186" s="48" t="s">
        <v>56716</v>
      </c>
    </row>
    <row r="8187" spans="1:12" ht="11.25" x14ac:dyDescent="0.2">
      <c r="A8187" s="46" t="s">
        <v>3992</v>
      </c>
      <c r="B8187" s="46" t="s">
        <v>55695</v>
      </c>
      <c r="C8187" s="58" t="str">
        <f>"00414131"</f>
        <v>00414131</v>
      </c>
      <c r="D8187" s="58" t="str">
        <f>""</f>
        <v/>
      </c>
      <c r="E8187" s="46" t="s">
        <v>3994</v>
      </c>
      <c r="F8187" s="46" t="s">
        <v>21243</v>
      </c>
      <c r="G8187" s="46" t="s">
        <v>50591</v>
      </c>
      <c r="H8187" s="48" t="s">
        <v>56716</v>
      </c>
      <c r="I8187" s="48" t="s">
        <v>50564</v>
      </c>
      <c r="J8187" s="48"/>
      <c r="K8187" s="57"/>
      <c r="L8187" s="48" t="s">
        <v>56716</v>
      </c>
    </row>
    <row r="8188" spans="1:12" ht="11.25" x14ac:dyDescent="0.2">
      <c r="A8188" s="46" t="s">
        <v>13356</v>
      </c>
      <c r="B8188" s="46" t="s">
        <v>55696</v>
      </c>
      <c r="C8188" s="58" t="str">
        <f>"13077635"</f>
        <v>13077635</v>
      </c>
      <c r="D8188" s="58" t="str">
        <f>"13085255"</f>
        <v>13085255</v>
      </c>
      <c r="E8188" s="46" t="s">
        <v>11540</v>
      </c>
      <c r="F8188" s="46" t="s">
        <v>18396</v>
      </c>
      <c r="G8188" s="46" t="s">
        <v>50638</v>
      </c>
      <c r="H8188" s="48" t="s">
        <v>56716</v>
      </c>
      <c r="I8188" s="48" t="s">
        <v>50564</v>
      </c>
      <c r="J8188" s="48"/>
      <c r="K8188" s="57"/>
      <c r="L8188" s="48"/>
    </row>
    <row r="8189" spans="1:12" ht="11.25" x14ac:dyDescent="0.2">
      <c r="A8189" s="46" t="s">
        <v>11203</v>
      </c>
      <c r="B8189" s="46" t="s">
        <v>55697</v>
      </c>
      <c r="C8189" s="58" t="str">
        <f>"13042947"</f>
        <v>13042947</v>
      </c>
      <c r="D8189" s="58" t="str">
        <f>"13079948"</f>
        <v>13079948</v>
      </c>
      <c r="E8189" s="46" t="s">
        <v>11206</v>
      </c>
      <c r="F8189" s="46" t="s">
        <v>18396</v>
      </c>
      <c r="G8189" s="46" t="s">
        <v>50638</v>
      </c>
      <c r="H8189" s="48" t="s">
        <v>56716</v>
      </c>
      <c r="I8189" s="48" t="s">
        <v>50564</v>
      </c>
      <c r="J8189" s="48"/>
      <c r="K8189" s="57"/>
      <c r="L8189" s="48"/>
    </row>
    <row r="8190" spans="1:12" ht="11.25" x14ac:dyDescent="0.2">
      <c r="A8190" s="46" t="s">
        <v>13258</v>
      </c>
      <c r="B8190" s="46" t="s">
        <v>55698</v>
      </c>
      <c r="C8190" s="58" t="str">
        <f>"1307699X"</f>
        <v>1307699X</v>
      </c>
      <c r="D8190" s="58" t="str">
        <f>""</f>
        <v/>
      </c>
      <c r="E8190" s="46" t="s">
        <v>13260</v>
      </c>
      <c r="F8190" s="46" t="s">
        <v>18396</v>
      </c>
      <c r="G8190" s="46" t="s">
        <v>50638</v>
      </c>
      <c r="H8190" s="48" t="s">
        <v>56716</v>
      </c>
      <c r="I8190" s="48" t="s">
        <v>50564</v>
      </c>
      <c r="J8190" s="48"/>
      <c r="K8190" s="57"/>
      <c r="L8190" s="48"/>
    </row>
    <row r="8191" spans="1:12" ht="11.25" x14ac:dyDescent="0.2">
      <c r="A8191" s="46" t="s">
        <v>13608</v>
      </c>
      <c r="B8191" s="46" t="s">
        <v>55699</v>
      </c>
      <c r="C8191" s="58" t="str">
        <f>"13018841"</f>
        <v>13018841</v>
      </c>
      <c r="D8191" s="58" t="str">
        <f>""</f>
        <v/>
      </c>
      <c r="E8191" s="46" t="s">
        <v>13610</v>
      </c>
      <c r="F8191" s="46" t="s">
        <v>18396</v>
      </c>
      <c r="G8191" s="46" t="s">
        <v>50638</v>
      </c>
      <c r="H8191" s="48" t="s">
        <v>56716</v>
      </c>
      <c r="I8191" s="48" t="s">
        <v>50564</v>
      </c>
      <c r="J8191" s="48"/>
      <c r="K8191" s="57"/>
      <c r="L8191" s="48"/>
    </row>
    <row r="8192" spans="1:12" ht="11.25" x14ac:dyDescent="0.2">
      <c r="A8192" s="46" t="s">
        <v>5418</v>
      </c>
      <c r="B8192" s="46" t="s">
        <v>55700</v>
      </c>
      <c r="C8192" s="58" t="str">
        <f>"10165169"</f>
        <v>10165169</v>
      </c>
      <c r="D8192" s="58" t="str">
        <f>""</f>
        <v/>
      </c>
      <c r="E8192" s="46" t="s">
        <v>5420</v>
      </c>
      <c r="F8192" s="46" t="s">
        <v>18396</v>
      </c>
      <c r="G8192" s="46" t="s">
        <v>50638</v>
      </c>
      <c r="H8192" s="48" t="s">
        <v>56716</v>
      </c>
      <c r="I8192" s="48" t="s">
        <v>50564</v>
      </c>
      <c r="J8192" s="48"/>
      <c r="K8192" s="57"/>
      <c r="L8192" s="48" t="s">
        <v>56716</v>
      </c>
    </row>
    <row r="8193" spans="1:12" ht="11.25" x14ac:dyDescent="0.2">
      <c r="A8193" s="46" t="s">
        <v>14497</v>
      </c>
      <c r="B8193" s="46" t="s">
        <v>55701</v>
      </c>
      <c r="C8193" s="58" t="str">
        <f>"1301062X"</f>
        <v>1301062X</v>
      </c>
      <c r="D8193" s="58" t="str">
        <f>""</f>
        <v/>
      </c>
      <c r="E8193" s="46" t="s">
        <v>14499</v>
      </c>
      <c r="F8193" s="46" t="s">
        <v>18396</v>
      </c>
      <c r="G8193" s="46" t="s">
        <v>50637</v>
      </c>
      <c r="H8193" s="48" t="s">
        <v>56716</v>
      </c>
      <c r="I8193" s="48" t="s">
        <v>50564</v>
      </c>
      <c r="J8193" s="48"/>
      <c r="K8193" s="57"/>
      <c r="L8193" s="48"/>
    </row>
    <row r="8194" spans="1:12" ht="11.25" x14ac:dyDescent="0.2">
      <c r="A8194" s="46" t="s">
        <v>15105</v>
      </c>
      <c r="B8194" s="46" t="s">
        <v>55702</v>
      </c>
      <c r="C8194" s="58" t="str">
        <f>"13000659"</f>
        <v>13000659</v>
      </c>
      <c r="D8194" s="58" t="str">
        <f>""</f>
        <v/>
      </c>
      <c r="E8194" s="46" t="s">
        <v>15107</v>
      </c>
      <c r="F8194" s="46" t="s">
        <v>18396</v>
      </c>
      <c r="G8194" s="46" t="s">
        <v>50638</v>
      </c>
      <c r="H8194" s="48" t="s">
        <v>56716</v>
      </c>
      <c r="I8194" s="48" t="s">
        <v>50564</v>
      </c>
      <c r="J8194" s="48"/>
      <c r="K8194" s="57"/>
      <c r="L8194" s="48"/>
    </row>
    <row r="8195" spans="1:12" ht="11.25" x14ac:dyDescent="0.2">
      <c r="A8195" s="46" t="s">
        <v>12020</v>
      </c>
      <c r="B8195" s="46" t="s">
        <v>55875</v>
      </c>
      <c r="C8195" s="58" t="str">
        <f>"13007467"</f>
        <v>13007467</v>
      </c>
      <c r="D8195" s="58" t="str">
        <f>""</f>
        <v/>
      </c>
      <c r="E8195" s="46" t="s">
        <v>12022</v>
      </c>
      <c r="F8195" s="46" t="s">
        <v>18396</v>
      </c>
      <c r="G8195" s="46" t="s">
        <v>50638</v>
      </c>
      <c r="H8195" s="48" t="s">
        <v>56716</v>
      </c>
      <c r="I8195" s="48" t="s">
        <v>50564</v>
      </c>
      <c r="J8195" s="48"/>
      <c r="K8195" s="57"/>
      <c r="L8195" s="48"/>
    </row>
    <row r="8196" spans="1:12" ht="11.25" x14ac:dyDescent="0.2">
      <c r="A8196" s="46" t="s">
        <v>15459</v>
      </c>
      <c r="B8196" s="46" t="s">
        <v>55876</v>
      </c>
      <c r="C8196" s="58" t="str">
        <f>"21463816"</f>
        <v>21463816</v>
      </c>
      <c r="D8196" s="58" t="str">
        <f>""</f>
        <v/>
      </c>
      <c r="E8196" s="46" t="s">
        <v>13076</v>
      </c>
      <c r="F8196" s="46" t="s">
        <v>18396</v>
      </c>
      <c r="G8196" s="46" t="s">
        <v>50638</v>
      </c>
      <c r="H8196" s="48" t="s">
        <v>56716</v>
      </c>
      <c r="I8196" s="48" t="s">
        <v>50564</v>
      </c>
      <c r="J8196" s="48"/>
      <c r="K8196" s="57"/>
      <c r="L8196" s="48"/>
    </row>
    <row r="8197" spans="1:12" ht="11.25" x14ac:dyDescent="0.2">
      <c r="A8197" s="46" t="s">
        <v>56497</v>
      </c>
      <c r="B8197" s="46" t="s">
        <v>55703</v>
      </c>
      <c r="C8197" s="58" t="str">
        <f>"10185615"</f>
        <v>10185615</v>
      </c>
      <c r="D8197" s="58" t="str">
        <f>"13095730"</f>
        <v>13095730</v>
      </c>
      <c r="E8197" s="46" t="s">
        <v>56498</v>
      </c>
      <c r="F8197" s="46" t="s">
        <v>18396</v>
      </c>
      <c r="G8197" s="46" t="s">
        <v>50638</v>
      </c>
      <c r="H8197" s="48" t="s">
        <v>56716</v>
      </c>
      <c r="I8197" s="48" t="s">
        <v>50564</v>
      </c>
      <c r="J8197" s="48"/>
      <c r="K8197" s="57"/>
      <c r="L8197" s="48" t="s">
        <v>56716</v>
      </c>
    </row>
    <row r="8198" spans="1:12" ht="11.25" x14ac:dyDescent="0.2">
      <c r="A8198" s="46" t="s">
        <v>11390</v>
      </c>
      <c r="B8198" s="46" t="s">
        <v>55704</v>
      </c>
      <c r="C8198" s="58" t="str">
        <f>"13060015"</f>
        <v>13060015</v>
      </c>
      <c r="D8198" s="58" t="str">
        <f>"13086278"</f>
        <v>13086278</v>
      </c>
      <c r="E8198" s="46" t="s">
        <v>11393</v>
      </c>
      <c r="F8198" s="46" t="s">
        <v>18396</v>
      </c>
      <c r="G8198" s="46" t="s">
        <v>50638</v>
      </c>
      <c r="H8198" s="48" t="s">
        <v>56716</v>
      </c>
      <c r="I8198" s="48" t="s">
        <v>50564</v>
      </c>
      <c r="J8198" s="48"/>
      <c r="K8198" s="57"/>
      <c r="L8198" s="48"/>
    </row>
    <row r="8199" spans="1:12" ht="11.25" x14ac:dyDescent="0.2">
      <c r="A8199" s="45" t="s">
        <v>49007</v>
      </c>
      <c r="B8199" s="45" t="s">
        <v>49009</v>
      </c>
      <c r="C8199" s="51" t="s">
        <v>49010</v>
      </c>
      <c r="D8199" s="51"/>
      <c r="E8199" s="45" t="s">
        <v>49011</v>
      </c>
      <c r="F8199" s="45" t="s">
        <v>18396</v>
      </c>
      <c r="G8199" s="45" t="s">
        <v>50639</v>
      </c>
      <c r="H8199" s="56"/>
      <c r="I8199" s="56" t="s">
        <v>50564</v>
      </c>
      <c r="J8199" s="56"/>
      <c r="K8199" s="57"/>
      <c r="L8199" s="56" t="s">
        <v>56716</v>
      </c>
    </row>
    <row r="8200" spans="1:12" ht="11.25" x14ac:dyDescent="0.2">
      <c r="A8200" s="46" t="s">
        <v>9832</v>
      </c>
      <c r="B8200" s="46" t="s">
        <v>55705</v>
      </c>
      <c r="C8200" s="58" t="str">
        <f>"13011375"</f>
        <v>13011375</v>
      </c>
      <c r="D8200" s="58" t="str">
        <f>""</f>
        <v/>
      </c>
      <c r="E8200" s="46" t="s">
        <v>9834</v>
      </c>
      <c r="F8200" s="46" t="s">
        <v>18396</v>
      </c>
      <c r="G8200" s="46" t="s">
        <v>50638</v>
      </c>
      <c r="H8200" s="48" t="s">
        <v>56716</v>
      </c>
      <c r="I8200" s="48" t="s">
        <v>50564</v>
      </c>
      <c r="J8200" s="48"/>
      <c r="K8200" s="57"/>
      <c r="L8200" s="48"/>
    </row>
    <row r="8201" spans="1:12" ht="11.25" x14ac:dyDescent="0.2">
      <c r="A8201" s="46" t="s">
        <v>13495</v>
      </c>
      <c r="B8201" s="46" t="s">
        <v>55706</v>
      </c>
      <c r="C8201" s="58" t="str">
        <f>"13027808"</f>
        <v>13027808</v>
      </c>
      <c r="D8201" s="58" t="str">
        <f>"13085387"</f>
        <v>13085387</v>
      </c>
      <c r="E8201" s="46" t="s">
        <v>6173</v>
      </c>
      <c r="F8201" s="46" t="s">
        <v>18396</v>
      </c>
      <c r="G8201" s="46" t="s">
        <v>50638</v>
      </c>
      <c r="H8201" s="48" t="s">
        <v>56716</v>
      </c>
      <c r="I8201" s="48" t="s">
        <v>50564</v>
      </c>
      <c r="J8201" s="48"/>
      <c r="K8201" s="57"/>
      <c r="L8201" s="48"/>
    </row>
    <row r="8202" spans="1:12" ht="11.25" x14ac:dyDescent="0.2">
      <c r="A8202" s="46" t="s">
        <v>1380</v>
      </c>
      <c r="B8202" s="46" t="s">
        <v>55707</v>
      </c>
      <c r="C8202" s="58" t="str">
        <f>"1019214X"</f>
        <v>1019214X</v>
      </c>
      <c r="D8202" s="58" t="str">
        <f>""</f>
        <v/>
      </c>
      <c r="E8202" s="46" t="s">
        <v>1382</v>
      </c>
      <c r="F8202" s="46" t="s">
        <v>18396</v>
      </c>
      <c r="G8202" s="46" t="s">
        <v>50638</v>
      </c>
      <c r="H8202" s="48" t="s">
        <v>56716</v>
      </c>
      <c r="I8202" s="48" t="s">
        <v>50564</v>
      </c>
      <c r="J8202" s="48"/>
      <c r="K8202" s="57"/>
      <c r="L8202" s="48"/>
    </row>
    <row r="8203" spans="1:12" ht="11.25" x14ac:dyDescent="0.2">
      <c r="A8203" s="46" t="s">
        <v>13023</v>
      </c>
      <c r="B8203" s="46" t="s">
        <v>55708</v>
      </c>
      <c r="C8203" s="58" t="str">
        <f>"02504685"</f>
        <v>02504685</v>
      </c>
      <c r="D8203" s="58" t="str">
        <f>"1303829X"</f>
        <v>1303829X</v>
      </c>
      <c r="E8203" s="46" t="s">
        <v>13026</v>
      </c>
      <c r="F8203" s="46" t="s">
        <v>18396</v>
      </c>
      <c r="G8203" s="46" t="s">
        <v>50637</v>
      </c>
      <c r="H8203" s="48" t="s">
        <v>56716</v>
      </c>
      <c r="I8203" s="48" t="s">
        <v>50564</v>
      </c>
      <c r="J8203" s="48"/>
      <c r="K8203" s="57"/>
      <c r="L8203" s="48"/>
    </row>
    <row r="8204" spans="1:12" ht="11.25" x14ac:dyDescent="0.2">
      <c r="A8204" s="46" t="s">
        <v>7303</v>
      </c>
      <c r="B8204" s="46" t="s">
        <v>55709</v>
      </c>
      <c r="C8204" s="58" t="str">
        <f>"10193103"</f>
        <v>10193103</v>
      </c>
      <c r="D8204" s="58" t="str">
        <f>""</f>
        <v/>
      </c>
      <c r="E8204" s="46" t="s">
        <v>7305</v>
      </c>
      <c r="F8204" s="46" t="s">
        <v>18396</v>
      </c>
      <c r="G8204" s="46" t="s">
        <v>50584</v>
      </c>
      <c r="H8204" s="48" t="s">
        <v>56716</v>
      </c>
      <c r="I8204" s="48" t="s">
        <v>50564</v>
      </c>
      <c r="J8204" s="48"/>
      <c r="K8204" s="57"/>
      <c r="L8204" s="48"/>
    </row>
    <row r="8205" spans="1:12" ht="11.25" x14ac:dyDescent="0.2">
      <c r="A8205" s="46" t="s">
        <v>13359</v>
      </c>
      <c r="B8205" s="46" t="s">
        <v>55710</v>
      </c>
      <c r="C8205" s="58" t="str">
        <f>"13012193"</f>
        <v>13012193</v>
      </c>
      <c r="D8205" s="58" t="str">
        <f>"13089846"</f>
        <v>13089846</v>
      </c>
      <c r="E8205" s="46" t="s">
        <v>13076</v>
      </c>
      <c r="F8205" s="46" t="s">
        <v>18396</v>
      </c>
      <c r="G8205" s="46" t="s">
        <v>50584</v>
      </c>
      <c r="H8205" s="48" t="s">
        <v>56716</v>
      </c>
      <c r="I8205" s="48" t="s">
        <v>50564</v>
      </c>
      <c r="J8205" s="48"/>
      <c r="K8205" s="57"/>
      <c r="L8205" s="48"/>
    </row>
    <row r="8206" spans="1:12" ht="11.25" x14ac:dyDescent="0.2">
      <c r="A8206" s="46" t="s">
        <v>6798</v>
      </c>
      <c r="B8206" s="46" t="s">
        <v>55711</v>
      </c>
      <c r="C8206" s="58" t="str">
        <f>"13004948"</f>
        <v>13004948</v>
      </c>
      <c r="D8206" s="58" t="str">
        <f>""</f>
        <v/>
      </c>
      <c r="E8206" s="46" t="s">
        <v>6800</v>
      </c>
      <c r="F8206" s="46" t="s">
        <v>18396</v>
      </c>
      <c r="G8206" s="46" t="s">
        <v>50638</v>
      </c>
      <c r="H8206" s="48" t="s">
        <v>56716</v>
      </c>
      <c r="I8206" s="48" t="s">
        <v>50564</v>
      </c>
      <c r="J8206" s="48"/>
      <c r="K8206" s="57"/>
      <c r="L8206" s="48" t="s">
        <v>56716</v>
      </c>
    </row>
    <row r="8207" spans="1:12" ht="11.25" x14ac:dyDescent="0.2">
      <c r="A8207" s="46" t="s">
        <v>11537</v>
      </c>
      <c r="B8207" s="46" t="s">
        <v>55712</v>
      </c>
      <c r="C8207" s="58" t="str">
        <f>"13007777"</f>
        <v>13007777</v>
      </c>
      <c r="D8207" s="58" t="str">
        <f>"13085263"</f>
        <v>13085263</v>
      </c>
      <c r="E8207" s="46" t="s">
        <v>11540</v>
      </c>
      <c r="F8207" s="46" t="s">
        <v>18396</v>
      </c>
      <c r="G8207" s="46" t="s">
        <v>50584</v>
      </c>
      <c r="H8207" s="48" t="s">
        <v>56716</v>
      </c>
      <c r="I8207" s="48" t="s">
        <v>50564</v>
      </c>
      <c r="J8207" s="48"/>
      <c r="K8207" s="57"/>
      <c r="L8207" s="48"/>
    </row>
    <row r="8208" spans="1:12" ht="11.25" x14ac:dyDescent="0.2">
      <c r="A8208" s="46" t="s">
        <v>7563</v>
      </c>
      <c r="B8208" s="46" t="s">
        <v>55713</v>
      </c>
      <c r="C8208" s="58" t="str">
        <f>"1301109X"</f>
        <v>1301109X</v>
      </c>
      <c r="D8208" s="58" t="str">
        <f>""</f>
        <v/>
      </c>
      <c r="E8208" s="46" t="s">
        <v>7565</v>
      </c>
      <c r="F8208" s="46" t="s">
        <v>18396</v>
      </c>
      <c r="G8208" s="46" t="s">
        <v>50584</v>
      </c>
      <c r="H8208" s="48" t="s">
        <v>56716</v>
      </c>
      <c r="I8208" s="48" t="s">
        <v>50564</v>
      </c>
      <c r="J8208" s="48"/>
      <c r="K8208" s="57"/>
      <c r="L8208" s="48"/>
    </row>
    <row r="8209" spans="1:12" ht="11.25" x14ac:dyDescent="0.2">
      <c r="A8209" s="46" t="s">
        <v>6271</v>
      </c>
      <c r="B8209" s="46" t="s">
        <v>55714</v>
      </c>
      <c r="C8209" s="58" t="str">
        <f>"13000144"</f>
        <v>13000144</v>
      </c>
      <c r="D8209" s="58" t="str">
        <f>""</f>
        <v/>
      </c>
      <c r="E8209" s="46" t="s">
        <v>6273</v>
      </c>
      <c r="F8209" s="46" t="s">
        <v>18396</v>
      </c>
      <c r="G8209" s="46" t="s">
        <v>50584</v>
      </c>
      <c r="H8209" s="48" t="s">
        <v>56716</v>
      </c>
      <c r="I8209" s="48" t="s">
        <v>50564</v>
      </c>
      <c r="J8209" s="48"/>
      <c r="K8209" s="57"/>
      <c r="L8209" s="48" t="s">
        <v>56716</v>
      </c>
    </row>
    <row r="8210" spans="1:12" ht="11.25" x14ac:dyDescent="0.2">
      <c r="A8210" s="46" t="s">
        <v>3952</v>
      </c>
      <c r="B8210" s="46" t="s">
        <v>55715</v>
      </c>
      <c r="C8210" s="58" t="str">
        <f>"00414301"</f>
        <v>00414301</v>
      </c>
      <c r="D8210" s="58" t="str">
        <f>""</f>
        <v/>
      </c>
      <c r="E8210" s="46" t="s">
        <v>3952</v>
      </c>
      <c r="F8210" s="46" t="s">
        <v>18396</v>
      </c>
      <c r="G8210" s="46" t="s">
        <v>50584</v>
      </c>
      <c r="H8210" s="48" t="s">
        <v>56716</v>
      </c>
      <c r="I8210" s="48" t="s">
        <v>50564</v>
      </c>
      <c r="J8210" s="48"/>
      <c r="K8210" s="57"/>
      <c r="L8210" s="48" t="s">
        <v>56716</v>
      </c>
    </row>
    <row r="8211" spans="1:12" ht="11.25" x14ac:dyDescent="0.2">
      <c r="A8211" s="46" t="s">
        <v>11394</v>
      </c>
      <c r="B8211" s="46" t="s">
        <v>55716</v>
      </c>
      <c r="C8211" s="58" t="str">
        <f>"1304530X"</f>
        <v>1304530X</v>
      </c>
      <c r="D8211" s="58" t="str">
        <f>""</f>
        <v/>
      </c>
      <c r="E8211" s="46" t="s">
        <v>56301</v>
      </c>
      <c r="F8211" s="46" t="s">
        <v>18396</v>
      </c>
      <c r="G8211" s="46" t="s">
        <v>50584</v>
      </c>
      <c r="H8211" s="48" t="s">
        <v>56716</v>
      </c>
      <c r="I8211" s="48" t="s">
        <v>50564</v>
      </c>
      <c r="J8211" s="48"/>
      <c r="K8211" s="57"/>
      <c r="L8211" s="48"/>
    </row>
    <row r="8212" spans="1:12" ht="11.25" x14ac:dyDescent="0.2">
      <c r="A8212" s="46" t="s">
        <v>13627</v>
      </c>
      <c r="B8212" s="46" t="s">
        <v>55717</v>
      </c>
      <c r="C8212" s="58" t="str">
        <f>"13090291"</f>
        <v>13090291</v>
      </c>
      <c r="D8212" s="58" t="str">
        <f>"13090283"</f>
        <v>13090283</v>
      </c>
      <c r="E8212" s="46" t="s">
        <v>13630</v>
      </c>
      <c r="F8212" s="46" t="s">
        <v>18396</v>
      </c>
      <c r="G8212" s="46" t="s">
        <v>50584</v>
      </c>
      <c r="H8212" s="48" t="s">
        <v>56716</v>
      </c>
      <c r="I8212" s="48" t="s">
        <v>50564</v>
      </c>
      <c r="J8212" s="48"/>
      <c r="K8212" s="57"/>
      <c r="L8212" s="48"/>
    </row>
    <row r="8213" spans="1:12" ht="11.25" x14ac:dyDescent="0.2">
      <c r="A8213" s="45" t="s">
        <v>49023</v>
      </c>
      <c r="B8213" s="45" t="s">
        <v>49025</v>
      </c>
      <c r="C8213" s="51" t="s">
        <v>49026</v>
      </c>
      <c r="D8213" s="51"/>
      <c r="E8213" s="45" t="s">
        <v>49027</v>
      </c>
      <c r="F8213" s="45" t="s">
        <v>18396</v>
      </c>
      <c r="G8213" s="45" t="s">
        <v>50584</v>
      </c>
      <c r="H8213" s="56"/>
      <c r="I8213" s="56" t="s">
        <v>50564</v>
      </c>
      <c r="J8213" s="56"/>
      <c r="K8213" s="57"/>
      <c r="L8213" s="56" t="s">
        <v>56716</v>
      </c>
    </row>
    <row r="8214" spans="1:12" ht="11.25" x14ac:dyDescent="0.2">
      <c r="A8214" s="46" t="s">
        <v>15881</v>
      </c>
      <c r="B8214" s="46" t="s">
        <v>55718</v>
      </c>
      <c r="C8214" s="58" t="str">
        <f>"13047361"</f>
        <v>13047361</v>
      </c>
      <c r="D8214" s="58" t="str">
        <f>""</f>
        <v/>
      </c>
      <c r="E8214" s="46" t="s">
        <v>15883</v>
      </c>
      <c r="F8214" s="46" t="s">
        <v>18396</v>
      </c>
      <c r="G8214" s="46" t="s">
        <v>50637</v>
      </c>
      <c r="H8214" s="48" t="s">
        <v>56716</v>
      </c>
      <c r="I8214" s="48" t="s">
        <v>50564</v>
      </c>
      <c r="J8214" s="48"/>
      <c r="K8214" s="57"/>
      <c r="L8214" s="48"/>
    </row>
    <row r="8215" spans="1:12" ht="11.25" x14ac:dyDescent="0.2">
      <c r="A8215" s="46" t="s">
        <v>9406</v>
      </c>
      <c r="B8215" s="46" t="s">
        <v>56462</v>
      </c>
      <c r="C8215" s="58" t="str">
        <f>"13020234"</f>
        <v>13020234</v>
      </c>
      <c r="D8215" s="58" t="str">
        <f>""</f>
        <v/>
      </c>
      <c r="E8215" s="46" t="s">
        <v>9408</v>
      </c>
      <c r="F8215" s="46" t="s">
        <v>18396</v>
      </c>
      <c r="G8215" s="46" t="s">
        <v>50637</v>
      </c>
      <c r="H8215" s="48" t="s">
        <v>56716</v>
      </c>
      <c r="I8215" s="48" t="s">
        <v>50564</v>
      </c>
      <c r="J8215" s="48"/>
      <c r="K8215" s="57"/>
      <c r="L8215" s="48"/>
    </row>
    <row r="8216" spans="1:12" ht="11.25" x14ac:dyDescent="0.2">
      <c r="A8216" s="46" t="s">
        <v>14253</v>
      </c>
      <c r="B8216" s="46" t="s">
        <v>55877</v>
      </c>
      <c r="C8216" s="58" t="str">
        <f>"13067656"</f>
        <v>13067656</v>
      </c>
      <c r="D8216" s="58" t="str">
        <f>""</f>
        <v/>
      </c>
      <c r="E8216" s="46" t="s">
        <v>14247</v>
      </c>
      <c r="F8216" s="46" t="s">
        <v>18396</v>
      </c>
      <c r="G8216" s="46" t="s">
        <v>50638</v>
      </c>
      <c r="H8216" s="48" t="s">
        <v>56716</v>
      </c>
      <c r="I8216" s="48" t="s">
        <v>50564</v>
      </c>
      <c r="J8216" s="48"/>
      <c r="K8216" s="57"/>
      <c r="L8216" s="48"/>
    </row>
    <row r="8217" spans="1:12" ht="11.25" x14ac:dyDescent="0.2">
      <c r="A8217" s="46" t="s">
        <v>14250</v>
      </c>
      <c r="B8217" s="46" t="s">
        <v>56499</v>
      </c>
      <c r="C8217" s="58" t="str">
        <f>"13000330"</f>
        <v>13000330</v>
      </c>
      <c r="D8217" s="58" t="str">
        <f>"21469016"</f>
        <v>21469016</v>
      </c>
      <c r="E8217" s="46" t="s">
        <v>14247</v>
      </c>
      <c r="F8217" s="46" t="s">
        <v>18396</v>
      </c>
      <c r="G8217" s="46" t="s">
        <v>50638</v>
      </c>
      <c r="H8217" s="48" t="s">
        <v>56716</v>
      </c>
      <c r="I8217" s="48" t="s">
        <v>50564</v>
      </c>
      <c r="J8217" s="48"/>
      <c r="K8217" s="57"/>
      <c r="L8217" s="48"/>
    </row>
    <row r="8218" spans="1:12" ht="11.25" x14ac:dyDescent="0.2">
      <c r="A8218" s="46" t="s">
        <v>14248</v>
      </c>
      <c r="B8218" s="46" t="s">
        <v>55878</v>
      </c>
      <c r="C8218" s="58" t="str">
        <f>"13000306"</f>
        <v>13000306</v>
      </c>
      <c r="D8218" s="58" t="str">
        <f>""</f>
        <v/>
      </c>
      <c r="E8218" s="46" t="s">
        <v>14247</v>
      </c>
      <c r="F8218" s="46" t="s">
        <v>18396</v>
      </c>
      <c r="G8218" s="46" t="s">
        <v>50638</v>
      </c>
      <c r="H8218" s="48" t="s">
        <v>56716</v>
      </c>
      <c r="I8218" s="48" t="s">
        <v>50564</v>
      </c>
      <c r="J8218" s="48"/>
      <c r="K8218" s="57"/>
      <c r="L8218" s="48"/>
    </row>
    <row r="8219" spans="1:12" ht="11.25" x14ac:dyDescent="0.2">
      <c r="A8219" s="46" t="s">
        <v>6273</v>
      </c>
      <c r="B8219" s="46" t="s">
        <v>55719</v>
      </c>
      <c r="C8219" s="58" t="str">
        <f>"13000292"</f>
        <v>13000292</v>
      </c>
      <c r="D8219" s="58" t="str">
        <f>""</f>
        <v/>
      </c>
      <c r="E8219" s="46" t="s">
        <v>6273</v>
      </c>
      <c r="F8219" s="46" t="s">
        <v>18396</v>
      </c>
      <c r="G8219" s="46" t="s">
        <v>50637</v>
      </c>
      <c r="H8219" s="48" t="s">
        <v>56716</v>
      </c>
      <c r="I8219" s="48" t="s">
        <v>50564</v>
      </c>
      <c r="J8219" s="48"/>
      <c r="K8219" s="57"/>
      <c r="L8219" s="48"/>
    </row>
    <row r="8220" spans="1:12" ht="11.25" x14ac:dyDescent="0.2">
      <c r="A8220" s="46" t="s">
        <v>14244</v>
      </c>
      <c r="B8220" s="46" t="s">
        <v>55879</v>
      </c>
      <c r="C8220" s="58" t="str">
        <f>"13000381"</f>
        <v>13000381</v>
      </c>
      <c r="D8220" s="58" t="str">
        <f>"21468990"</f>
        <v>21468990</v>
      </c>
      <c r="E8220" s="46" t="s">
        <v>14247</v>
      </c>
      <c r="F8220" s="46" t="s">
        <v>18396</v>
      </c>
      <c r="G8220" s="46" t="s">
        <v>50638</v>
      </c>
      <c r="H8220" s="48" t="s">
        <v>56716</v>
      </c>
      <c r="I8220" s="48" t="s">
        <v>50564</v>
      </c>
      <c r="J8220" s="48"/>
      <c r="K8220" s="57"/>
      <c r="L8220" s="48"/>
    </row>
    <row r="8221" spans="1:12" ht="11.25" x14ac:dyDescent="0.2">
      <c r="A8221" s="45" t="s">
        <v>49030</v>
      </c>
      <c r="B8221" s="45" t="s">
        <v>49032</v>
      </c>
      <c r="C8221" s="51" t="s">
        <v>49033</v>
      </c>
      <c r="D8221" s="51"/>
      <c r="E8221" s="45" t="s">
        <v>27344</v>
      </c>
      <c r="F8221" s="45" t="s">
        <v>18396</v>
      </c>
      <c r="G8221" s="45" t="s">
        <v>50639</v>
      </c>
      <c r="H8221" s="56"/>
      <c r="I8221" s="56" t="s">
        <v>50564</v>
      </c>
      <c r="J8221" s="56"/>
      <c r="K8221" s="57"/>
      <c r="L8221" s="56" t="s">
        <v>56716</v>
      </c>
    </row>
    <row r="8222" spans="1:12" ht="11.25" x14ac:dyDescent="0.2">
      <c r="A8222" s="46" t="s">
        <v>10738</v>
      </c>
      <c r="B8222" s="46" t="s">
        <v>55720</v>
      </c>
      <c r="C8222" s="58" t="str">
        <f>"18324274"</f>
        <v>18324274</v>
      </c>
      <c r="D8222" s="58" t="str">
        <f>"18392628"</f>
        <v>18392628</v>
      </c>
      <c r="E8222" s="46" t="s">
        <v>724</v>
      </c>
      <c r="F8222" s="46" t="s">
        <v>50646</v>
      </c>
      <c r="G8222" s="46" t="s">
        <v>50584</v>
      </c>
      <c r="H8222" s="48" t="s">
        <v>56716</v>
      </c>
      <c r="I8222" s="48" t="s">
        <v>50564</v>
      </c>
      <c r="J8222" s="48" t="s">
        <v>56716</v>
      </c>
      <c r="K8222" s="50" t="s">
        <v>56716</v>
      </c>
      <c r="L8222" s="48" t="s">
        <v>56716</v>
      </c>
    </row>
    <row r="8223" spans="1:12" ht="11.25" x14ac:dyDescent="0.2">
      <c r="A8223" s="46" t="s">
        <v>6886</v>
      </c>
      <c r="B8223" s="46" t="s">
        <v>55721</v>
      </c>
      <c r="C8223" s="58" t="str">
        <f>"10163190"</f>
        <v>10163190</v>
      </c>
      <c r="D8223" s="58" t="str">
        <f>""</f>
        <v/>
      </c>
      <c r="E8223" s="46" t="s">
        <v>6113</v>
      </c>
      <c r="F8223" s="46" t="s">
        <v>50654</v>
      </c>
      <c r="G8223" s="46" t="s">
        <v>50585</v>
      </c>
      <c r="H8223" s="48" t="s">
        <v>56716</v>
      </c>
      <c r="I8223" s="48" t="s">
        <v>50564</v>
      </c>
      <c r="J8223" s="48"/>
      <c r="K8223" s="50" t="s">
        <v>56716</v>
      </c>
      <c r="L8223" s="48"/>
    </row>
    <row r="8224" spans="1:12" ht="11.25" x14ac:dyDescent="0.2">
      <c r="A8224" s="45" t="s">
        <v>49041</v>
      </c>
      <c r="B8224" s="45" t="s">
        <v>49043</v>
      </c>
      <c r="C8224" s="51" t="s">
        <v>49046</v>
      </c>
      <c r="D8224" s="51" t="s">
        <v>49045</v>
      </c>
      <c r="E8224" s="45" t="s">
        <v>49047</v>
      </c>
      <c r="F8224" s="45" t="s">
        <v>17759</v>
      </c>
      <c r="G8224" s="45" t="s">
        <v>50584</v>
      </c>
      <c r="H8224" s="56"/>
      <c r="I8224" s="56" t="s">
        <v>50564</v>
      </c>
      <c r="J8224" s="56"/>
      <c r="K8224" s="57"/>
      <c r="L8224" s="56" t="s">
        <v>56716</v>
      </c>
    </row>
    <row r="8225" spans="1:12" ht="11.25" x14ac:dyDescent="0.2">
      <c r="A8225" s="46" t="s">
        <v>4998</v>
      </c>
      <c r="B8225" s="46" t="s">
        <v>55722</v>
      </c>
      <c r="C8225" s="58" t="str">
        <f>"01484818"</f>
        <v>01484818</v>
      </c>
      <c r="D8225" s="58" t="str">
        <f>""</f>
        <v/>
      </c>
      <c r="E8225" s="46" t="s">
        <v>5000</v>
      </c>
      <c r="F8225" s="46" t="s">
        <v>17759</v>
      </c>
      <c r="G8225" s="46" t="s">
        <v>50584</v>
      </c>
      <c r="H8225" s="48" t="s">
        <v>56716</v>
      </c>
      <c r="I8225" s="48" t="s">
        <v>50566</v>
      </c>
      <c r="J8225" s="48"/>
      <c r="K8225" s="57"/>
      <c r="L8225" s="48"/>
    </row>
    <row r="8226" spans="1:12" ht="11.25" x14ac:dyDescent="0.2">
      <c r="A8226" s="45" t="s">
        <v>49049</v>
      </c>
      <c r="B8226" s="45" t="s">
        <v>49051</v>
      </c>
      <c r="C8226" s="51" t="s">
        <v>49054</v>
      </c>
      <c r="D8226" s="51" t="s">
        <v>49053</v>
      </c>
      <c r="E8226" s="45" t="s">
        <v>49055</v>
      </c>
      <c r="F8226" s="45" t="s">
        <v>18305</v>
      </c>
      <c r="G8226" s="45" t="s">
        <v>56702</v>
      </c>
      <c r="H8226" s="56"/>
      <c r="I8226" s="56" t="s">
        <v>50564</v>
      </c>
      <c r="J8226" s="56"/>
      <c r="K8226" s="57"/>
      <c r="L8226" s="56" t="s">
        <v>56716</v>
      </c>
    </row>
    <row r="8227" spans="1:12" ht="11.25" x14ac:dyDescent="0.2">
      <c r="A8227" s="46" t="s">
        <v>11499</v>
      </c>
      <c r="B8227" s="46" t="s">
        <v>55723</v>
      </c>
      <c r="C8227" s="58" t="str">
        <f>"1306133X"</f>
        <v>1306133X</v>
      </c>
      <c r="D8227" s="58" t="str">
        <f>""</f>
        <v/>
      </c>
      <c r="E8227" s="46" t="s">
        <v>11501</v>
      </c>
      <c r="F8227" s="46" t="s">
        <v>18396</v>
      </c>
      <c r="G8227" s="46" t="s">
        <v>50637</v>
      </c>
      <c r="H8227" s="48" t="s">
        <v>56716</v>
      </c>
      <c r="I8227" s="48" t="s">
        <v>50564</v>
      </c>
      <c r="J8227" s="48"/>
      <c r="K8227" s="57"/>
      <c r="L8227" s="48"/>
    </row>
    <row r="8228" spans="1:12" ht="11.25" x14ac:dyDescent="0.2">
      <c r="A8228" s="45" t="s">
        <v>49058</v>
      </c>
      <c r="B8228" s="45" t="s">
        <v>49060</v>
      </c>
      <c r="C8228" s="51" t="s">
        <v>49061</v>
      </c>
      <c r="D8228" s="51"/>
      <c r="E8228" s="45" t="s">
        <v>49062</v>
      </c>
      <c r="F8228" s="45" t="s">
        <v>50649</v>
      </c>
      <c r="G8228" s="45" t="s">
        <v>50607</v>
      </c>
      <c r="H8228" s="56"/>
      <c r="I8228" s="56" t="s">
        <v>50564</v>
      </c>
      <c r="J8228" s="56"/>
      <c r="K8228" s="57"/>
      <c r="L8228" s="56" t="s">
        <v>56716</v>
      </c>
    </row>
    <row r="8229" spans="1:12" ht="11.25" x14ac:dyDescent="0.2">
      <c r="A8229" s="45" t="s">
        <v>49064</v>
      </c>
      <c r="B8229" s="45" t="s">
        <v>49064</v>
      </c>
      <c r="C8229" s="51" t="s">
        <v>49067</v>
      </c>
      <c r="D8229" s="51"/>
      <c r="E8229" s="45" t="s">
        <v>49068</v>
      </c>
      <c r="F8229" s="45" t="s">
        <v>18242</v>
      </c>
      <c r="G8229" s="45" t="s">
        <v>50605</v>
      </c>
      <c r="H8229" s="56"/>
      <c r="I8229" s="56" t="s">
        <v>50564</v>
      </c>
      <c r="J8229" s="56"/>
      <c r="K8229" s="57"/>
      <c r="L8229" s="56" t="s">
        <v>56716</v>
      </c>
    </row>
    <row r="8230" spans="1:12" ht="11.25" x14ac:dyDescent="0.2">
      <c r="A8230" s="45" t="s">
        <v>49070</v>
      </c>
      <c r="B8230" s="45" t="s">
        <v>49072</v>
      </c>
      <c r="C8230" s="51" t="s">
        <v>49074</v>
      </c>
      <c r="D8230" s="51"/>
      <c r="E8230" s="45" t="s">
        <v>48965</v>
      </c>
      <c r="F8230" s="45" t="s">
        <v>29064</v>
      </c>
      <c r="G8230" s="45" t="s">
        <v>56509</v>
      </c>
      <c r="H8230" s="56"/>
      <c r="I8230" s="56" t="s">
        <v>50564</v>
      </c>
      <c r="J8230" s="56"/>
      <c r="K8230" s="57"/>
      <c r="L8230" s="56" t="s">
        <v>56716</v>
      </c>
    </row>
    <row r="8231" spans="1:12" ht="11.25" x14ac:dyDescent="0.2">
      <c r="A8231" s="46" t="s">
        <v>15730</v>
      </c>
      <c r="B8231" s="46" t="s">
        <v>15730</v>
      </c>
      <c r="C8231" s="58" t="str">
        <f>"20901526"</f>
        <v>20901526</v>
      </c>
      <c r="D8231" s="58" t="str">
        <f>"20901534"</f>
        <v>20901534</v>
      </c>
      <c r="E8231" s="46" t="s">
        <v>1412</v>
      </c>
      <c r="F8231" s="46" t="s">
        <v>17759</v>
      </c>
      <c r="G8231" s="46" t="s">
        <v>50584</v>
      </c>
      <c r="H8231" s="48" t="s">
        <v>56716</v>
      </c>
      <c r="I8231" s="48" t="s">
        <v>50564</v>
      </c>
      <c r="J8231" s="48" t="s">
        <v>56716</v>
      </c>
      <c r="K8231" s="57"/>
      <c r="L8231" s="48"/>
    </row>
    <row r="8232" spans="1:12" ht="11.25" x14ac:dyDescent="0.2">
      <c r="A8232" s="46" t="s">
        <v>4018</v>
      </c>
      <c r="B8232" s="46" t="s">
        <v>55724</v>
      </c>
      <c r="C8232" s="58" t="str">
        <f>"00416193"</f>
        <v>00416193</v>
      </c>
      <c r="D8232" s="58" t="str">
        <f>""</f>
        <v/>
      </c>
      <c r="E8232" s="46" t="s">
        <v>4020</v>
      </c>
      <c r="F8232" s="46" t="s">
        <v>50646</v>
      </c>
      <c r="G8232" s="46" t="s">
        <v>50584</v>
      </c>
      <c r="H8232" s="48" t="s">
        <v>56716</v>
      </c>
      <c r="I8232" s="48" t="s">
        <v>50564</v>
      </c>
      <c r="J8232" s="48"/>
      <c r="K8232" s="57"/>
      <c r="L8232" s="48" t="s">
        <v>56716</v>
      </c>
    </row>
    <row r="8233" spans="1:12" ht="11.25" x14ac:dyDescent="0.2">
      <c r="A8233" s="46" t="s">
        <v>4015</v>
      </c>
      <c r="B8233" s="46" t="s">
        <v>4015</v>
      </c>
      <c r="C8233" s="58" t="str">
        <f>"03043991"</f>
        <v>03043991</v>
      </c>
      <c r="D8233" s="58" t="str">
        <f>"18792723"</f>
        <v>18792723</v>
      </c>
      <c r="E8233" s="46" t="s">
        <v>91</v>
      </c>
      <c r="F8233" s="46" t="s">
        <v>18001</v>
      </c>
      <c r="G8233" s="46" t="s">
        <v>50584</v>
      </c>
      <c r="H8233" s="48" t="s">
        <v>56716</v>
      </c>
      <c r="I8233" s="48" t="s">
        <v>50564</v>
      </c>
      <c r="J8233" s="48"/>
      <c r="K8233" s="50" t="s">
        <v>56716</v>
      </c>
      <c r="L8233" s="48" t="s">
        <v>56716</v>
      </c>
    </row>
    <row r="8234" spans="1:12" ht="11.25" x14ac:dyDescent="0.2">
      <c r="A8234" s="45" t="s">
        <v>49085</v>
      </c>
      <c r="B8234" s="45" t="s">
        <v>49087</v>
      </c>
      <c r="C8234" s="51" t="s">
        <v>49089</v>
      </c>
      <c r="D8234" s="51" t="s">
        <v>49088</v>
      </c>
      <c r="E8234" s="45" t="s">
        <v>49090</v>
      </c>
      <c r="F8234" s="45" t="s">
        <v>18158</v>
      </c>
      <c r="G8234" s="45" t="s">
        <v>50592</v>
      </c>
      <c r="H8234" s="56"/>
      <c r="I8234" s="56" t="s">
        <v>50564</v>
      </c>
      <c r="J8234" s="56"/>
      <c r="K8234" s="57"/>
      <c r="L8234" s="56" t="s">
        <v>56716</v>
      </c>
    </row>
    <row r="8235" spans="1:12" ht="11.25" x14ac:dyDescent="0.2">
      <c r="A8235" s="46" t="s">
        <v>8350</v>
      </c>
      <c r="B8235" s="46" t="s">
        <v>55725</v>
      </c>
      <c r="C8235" s="58" t="str">
        <f>"14314894"</f>
        <v>14314894</v>
      </c>
      <c r="D8235" s="58" t="str">
        <f>""</f>
        <v/>
      </c>
      <c r="E8235" s="46" t="s">
        <v>412</v>
      </c>
      <c r="F8235" s="46" t="s">
        <v>18158</v>
      </c>
      <c r="G8235" s="46" t="s">
        <v>50593</v>
      </c>
      <c r="H8235" s="48" t="s">
        <v>56716</v>
      </c>
      <c r="I8235" s="48" t="s">
        <v>50564</v>
      </c>
      <c r="J8235" s="48"/>
      <c r="K8235" s="57"/>
      <c r="L8235" s="48"/>
    </row>
    <row r="8236" spans="1:12" ht="11.25" x14ac:dyDescent="0.2">
      <c r="A8236" s="45" t="s">
        <v>49092</v>
      </c>
      <c r="B8236" s="45" t="s">
        <v>49094</v>
      </c>
      <c r="C8236" s="51" t="s">
        <v>49096</v>
      </c>
      <c r="D8236" s="51" t="s">
        <v>49095</v>
      </c>
      <c r="E8236" s="45" t="s">
        <v>18520</v>
      </c>
      <c r="F8236" s="45" t="s">
        <v>50646</v>
      </c>
      <c r="G8236" s="45" t="s">
        <v>50584</v>
      </c>
      <c r="H8236" s="56"/>
      <c r="I8236" s="56" t="s">
        <v>50564</v>
      </c>
      <c r="J8236" s="56"/>
      <c r="K8236" s="57"/>
      <c r="L8236" s="56" t="s">
        <v>56716</v>
      </c>
    </row>
    <row r="8237" spans="1:12" ht="11.25" x14ac:dyDescent="0.2">
      <c r="A8237" s="45" t="s">
        <v>49098</v>
      </c>
      <c r="B8237" s="45" t="s">
        <v>49098</v>
      </c>
      <c r="C8237" s="51" t="s">
        <v>49101</v>
      </c>
      <c r="D8237" s="51" t="s">
        <v>49100</v>
      </c>
      <c r="E8237" s="45" t="s">
        <v>18661</v>
      </c>
      <c r="F8237" s="45" t="s">
        <v>18001</v>
      </c>
      <c r="G8237" s="45" t="s">
        <v>50584</v>
      </c>
      <c r="H8237" s="56"/>
      <c r="I8237" s="56" t="s">
        <v>50564</v>
      </c>
      <c r="J8237" s="56"/>
      <c r="K8237" s="57"/>
      <c r="L8237" s="56" t="s">
        <v>56716</v>
      </c>
    </row>
    <row r="8238" spans="1:12" ht="11.25" x14ac:dyDescent="0.2">
      <c r="A8238" s="46" t="s">
        <v>7878</v>
      </c>
      <c r="B8238" s="46" t="s">
        <v>55726</v>
      </c>
      <c r="C8238" s="58" t="str">
        <f>"13504177"</f>
        <v>13504177</v>
      </c>
      <c r="D8238" s="58" t="str">
        <f>"18732828"</f>
        <v>18732828</v>
      </c>
      <c r="E8238" s="46" t="s">
        <v>91</v>
      </c>
      <c r="F8238" s="46" t="s">
        <v>18001</v>
      </c>
      <c r="G8238" s="46" t="s">
        <v>50584</v>
      </c>
      <c r="H8238" s="48" t="s">
        <v>56716</v>
      </c>
      <c r="I8238" s="48" t="s">
        <v>50564</v>
      </c>
      <c r="J8238" s="48" t="s">
        <v>56716</v>
      </c>
      <c r="K8238" s="50" t="s">
        <v>56716</v>
      </c>
      <c r="L8238" s="48" t="s">
        <v>56716</v>
      </c>
    </row>
    <row r="8239" spans="1:12" ht="11.25" x14ac:dyDescent="0.2">
      <c r="A8239" s="46" t="s">
        <v>56187</v>
      </c>
      <c r="B8239" s="46" t="s">
        <v>56187</v>
      </c>
      <c r="C8239" s="58" t="str">
        <f>"22885919"</f>
        <v>22885919</v>
      </c>
      <c r="D8239" s="58" t="str">
        <f>"22885943"</f>
        <v>22885943</v>
      </c>
      <c r="E8239" s="46" t="s">
        <v>56188</v>
      </c>
      <c r="F8239" s="46" t="s">
        <v>50649</v>
      </c>
      <c r="G8239" s="46" t="s">
        <v>50584</v>
      </c>
      <c r="H8239" s="48" t="s">
        <v>56716</v>
      </c>
      <c r="I8239" s="48" t="s">
        <v>50564</v>
      </c>
      <c r="J8239" s="48"/>
      <c r="K8239" s="57"/>
      <c r="L8239" s="48"/>
    </row>
    <row r="8240" spans="1:12" ht="11.25" x14ac:dyDescent="0.2">
      <c r="A8240" s="46" t="s">
        <v>12571</v>
      </c>
      <c r="B8240" s="46" t="s">
        <v>12571</v>
      </c>
      <c r="C8240" s="58" t="str">
        <f>"1742271X"</f>
        <v>1742271X</v>
      </c>
      <c r="D8240" s="58" t="str">
        <f>"17431344"</f>
        <v>17431344</v>
      </c>
      <c r="E8240" s="46" t="s">
        <v>97</v>
      </c>
      <c r="F8240" s="46" t="s">
        <v>50646</v>
      </c>
      <c r="G8240" s="46" t="s">
        <v>50584</v>
      </c>
      <c r="H8240" s="48" t="s">
        <v>56716</v>
      </c>
      <c r="I8240" s="48" t="s">
        <v>50564</v>
      </c>
      <c r="J8240" s="48" t="s">
        <v>56716</v>
      </c>
      <c r="K8240" s="57"/>
      <c r="L8240" s="48"/>
    </row>
    <row r="8241" spans="1:12" ht="11.25" x14ac:dyDescent="0.2">
      <c r="A8241" s="46" t="s">
        <v>12023</v>
      </c>
      <c r="B8241" s="46" t="s">
        <v>56361</v>
      </c>
      <c r="C8241" s="58" t="str">
        <f>"1556858X"</f>
        <v>1556858X</v>
      </c>
      <c r="D8241" s="58" t="str">
        <f>"18799647"</f>
        <v>18799647</v>
      </c>
      <c r="E8241" s="46" t="s">
        <v>303</v>
      </c>
      <c r="F8241" s="46" t="s">
        <v>17759</v>
      </c>
      <c r="G8241" s="46" t="s">
        <v>50584</v>
      </c>
      <c r="H8241" s="48" t="s">
        <v>56716</v>
      </c>
      <c r="I8241" s="48" t="s">
        <v>50564</v>
      </c>
      <c r="J8241" s="48" t="s">
        <v>56716</v>
      </c>
      <c r="K8241" s="57"/>
      <c r="L8241" s="48"/>
    </row>
    <row r="8242" spans="1:12" ht="11.25" x14ac:dyDescent="0.2">
      <c r="A8242" s="46" t="s">
        <v>4031</v>
      </c>
      <c r="B8242" s="46" t="s">
        <v>55727</v>
      </c>
      <c r="C8242" s="58" t="str">
        <f>"03015629"</f>
        <v>03015629</v>
      </c>
      <c r="D8242" s="58" t="str">
        <f>"1879291X"</f>
        <v>1879291X</v>
      </c>
      <c r="E8242" s="46" t="s">
        <v>673</v>
      </c>
      <c r="F8242" s="46" t="s">
        <v>17759</v>
      </c>
      <c r="G8242" s="46" t="s">
        <v>50584</v>
      </c>
      <c r="H8242" s="48" t="s">
        <v>56716</v>
      </c>
      <c r="I8242" s="48" t="s">
        <v>50564</v>
      </c>
      <c r="J8242" s="48" t="s">
        <v>56716</v>
      </c>
      <c r="K8242" s="50" t="s">
        <v>56716</v>
      </c>
      <c r="L8242" s="48" t="s">
        <v>56716</v>
      </c>
    </row>
    <row r="8243" spans="1:12" ht="11.25" x14ac:dyDescent="0.2">
      <c r="A8243" s="45" t="s">
        <v>49111</v>
      </c>
      <c r="B8243" s="45" t="s">
        <v>49113</v>
      </c>
      <c r="C8243" s="51" t="s">
        <v>49115</v>
      </c>
      <c r="D8243" s="51" t="s">
        <v>49114</v>
      </c>
      <c r="E8243" s="45" t="s">
        <v>49116</v>
      </c>
      <c r="F8243" s="45" t="s">
        <v>50646</v>
      </c>
      <c r="G8243" s="45" t="s">
        <v>50584</v>
      </c>
      <c r="H8243" s="56"/>
      <c r="I8243" s="56" t="s">
        <v>50564</v>
      </c>
      <c r="J8243" s="56"/>
      <c r="K8243" s="57"/>
      <c r="L8243" s="56" t="s">
        <v>56716</v>
      </c>
    </row>
    <row r="8244" spans="1:12" ht="11.25" x14ac:dyDescent="0.2">
      <c r="A8244" s="46" t="s">
        <v>7188</v>
      </c>
      <c r="B8244" s="46" t="s">
        <v>55728</v>
      </c>
      <c r="C8244" s="58" t="str">
        <f>"09716874"</f>
        <v>09716874</v>
      </c>
      <c r="D8244" s="58" t="str">
        <f>""</f>
        <v/>
      </c>
      <c r="E8244" s="46" t="s">
        <v>7188</v>
      </c>
      <c r="F8244" s="46" t="s">
        <v>20446</v>
      </c>
      <c r="G8244" s="46" t="s">
        <v>50584</v>
      </c>
      <c r="H8244" s="48" t="s">
        <v>56716</v>
      </c>
      <c r="I8244" s="48" t="s">
        <v>50564</v>
      </c>
      <c r="J8244" s="48" t="s">
        <v>56716</v>
      </c>
      <c r="K8244" s="57"/>
      <c r="L8244" s="48"/>
    </row>
    <row r="8245" spans="1:12" ht="11.25" x14ac:dyDescent="0.2">
      <c r="A8245" s="46" t="s">
        <v>4709</v>
      </c>
      <c r="B8245" s="46" t="s">
        <v>55729</v>
      </c>
      <c r="C8245" s="58" t="str">
        <f>"08948771"</f>
        <v>08948771</v>
      </c>
      <c r="D8245" s="58" t="str">
        <f>"15360253"</f>
        <v>15360253</v>
      </c>
      <c r="E8245" s="46" t="s">
        <v>28</v>
      </c>
      <c r="F8245" s="46" t="s">
        <v>17759</v>
      </c>
      <c r="G8245" s="46" t="s">
        <v>50584</v>
      </c>
      <c r="H8245" s="48" t="s">
        <v>56716</v>
      </c>
      <c r="I8245" s="48" t="s">
        <v>50564</v>
      </c>
      <c r="J8245" s="48" t="s">
        <v>56716</v>
      </c>
      <c r="K8245" s="50" t="s">
        <v>56716</v>
      </c>
      <c r="L8245" s="48" t="s">
        <v>56716</v>
      </c>
    </row>
    <row r="8246" spans="1:12" ht="11.25" x14ac:dyDescent="0.2">
      <c r="A8246" s="45" t="s">
        <v>49124</v>
      </c>
      <c r="B8246" s="45" t="s">
        <v>49126</v>
      </c>
      <c r="C8246" s="51" t="s">
        <v>49128</v>
      </c>
      <c r="D8246" s="51" t="s">
        <v>49127</v>
      </c>
      <c r="E8246" s="45" t="s">
        <v>291</v>
      </c>
      <c r="F8246" s="45" t="s">
        <v>50646</v>
      </c>
      <c r="G8246" s="45" t="s">
        <v>50584</v>
      </c>
      <c r="H8246" s="56"/>
      <c r="I8246" s="56" t="s">
        <v>50564</v>
      </c>
      <c r="J8246" s="56"/>
      <c r="K8246" s="57"/>
      <c r="L8246" s="56" t="s">
        <v>56716</v>
      </c>
    </row>
    <row r="8247" spans="1:12" ht="11.25" x14ac:dyDescent="0.2">
      <c r="A8247" s="46" t="s">
        <v>9979</v>
      </c>
      <c r="B8247" s="46" t="s">
        <v>55730</v>
      </c>
      <c r="C8247" s="58" t="str">
        <f>"1306696X"</f>
        <v>1306696X</v>
      </c>
      <c r="D8247" s="58" t="str">
        <f>""</f>
        <v/>
      </c>
      <c r="E8247" s="46" t="s">
        <v>9981</v>
      </c>
      <c r="F8247" s="46" t="s">
        <v>18396</v>
      </c>
      <c r="G8247" s="46" t="s">
        <v>50637</v>
      </c>
      <c r="H8247" s="48" t="s">
        <v>56716</v>
      </c>
      <c r="I8247" s="48" t="s">
        <v>50564</v>
      </c>
      <c r="J8247" s="48"/>
      <c r="K8247" s="57"/>
      <c r="L8247" s="48" t="s">
        <v>56716</v>
      </c>
    </row>
    <row r="8248" spans="1:12" ht="11.25" x14ac:dyDescent="0.2">
      <c r="A8248" s="45" t="s">
        <v>49136</v>
      </c>
      <c r="B8248" s="45" t="s">
        <v>49138</v>
      </c>
      <c r="C8248" s="51" t="s">
        <v>49140</v>
      </c>
      <c r="D8248" s="51"/>
      <c r="E8248" s="45" t="s">
        <v>49141</v>
      </c>
      <c r="F8248" s="45" t="s">
        <v>17759</v>
      </c>
      <c r="G8248" s="45" t="s">
        <v>50584</v>
      </c>
      <c r="H8248" s="56"/>
      <c r="I8248" s="56" t="s">
        <v>50564</v>
      </c>
      <c r="J8248" s="56"/>
      <c r="K8248" s="57"/>
      <c r="L8248" s="56" t="s">
        <v>56716</v>
      </c>
    </row>
    <row r="8249" spans="1:12" ht="11.25" x14ac:dyDescent="0.2">
      <c r="A8249" s="46" t="s">
        <v>56058</v>
      </c>
      <c r="B8249" s="46" t="s">
        <v>56059</v>
      </c>
      <c r="C8249" s="58" t="str">
        <f>"20506406"</f>
        <v>20506406</v>
      </c>
      <c r="D8249" s="58" t="str">
        <f>"20506414"</f>
        <v>20506414</v>
      </c>
      <c r="E8249" s="46" t="s">
        <v>97</v>
      </c>
      <c r="F8249" s="46" t="s">
        <v>50646</v>
      </c>
      <c r="G8249" s="46" t="s">
        <v>50584</v>
      </c>
      <c r="H8249" s="48" t="s">
        <v>56716</v>
      </c>
      <c r="I8249" s="48" t="s">
        <v>50564</v>
      </c>
      <c r="J8249" s="48" t="s">
        <v>56716</v>
      </c>
      <c r="K8249" s="57"/>
      <c r="L8249" s="48"/>
    </row>
    <row r="8250" spans="1:12" ht="11.25" x14ac:dyDescent="0.2">
      <c r="A8250" s="45" t="s">
        <v>49151</v>
      </c>
      <c r="B8250" s="45" t="s">
        <v>49153</v>
      </c>
      <c r="C8250" s="51" t="s">
        <v>49156</v>
      </c>
      <c r="D8250" s="51" t="s">
        <v>49155</v>
      </c>
      <c r="E8250" s="45" t="s">
        <v>25135</v>
      </c>
      <c r="F8250" s="45" t="s">
        <v>17991</v>
      </c>
      <c r="G8250" s="45" t="s">
        <v>50584</v>
      </c>
      <c r="H8250" s="56"/>
      <c r="I8250" s="56" t="s">
        <v>50564</v>
      </c>
      <c r="J8250" s="56"/>
      <c r="K8250" s="57"/>
      <c r="L8250" s="56" t="s">
        <v>56716</v>
      </c>
    </row>
    <row r="8251" spans="1:12" ht="11.25" x14ac:dyDescent="0.2">
      <c r="A8251" s="45" t="s">
        <v>49158</v>
      </c>
      <c r="B8251" s="45" t="s">
        <v>49160</v>
      </c>
      <c r="C8251" s="51" t="s">
        <v>49162</v>
      </c>
      <c r="D8251" s="51" t="s">
        <v>49161</v>
      </c>
      <c r="E8251" s="45" t="s">
        <v>291</v>
      </c>
      <c r="F8251" s="45" t="s">
        <v>50646</v>
      </c>
      <c r="G8251" s="45" t="s">
        <v>50584</v>
      </c>
      <c r="H8251" s="56"/>
      <c r="I8251" s="56" t="s">
        <v>50564</v>
      </c>
      <c r="J8251" s="56"/>
      <c r="K8251" s="57"/>
      <c r="L8251" s="56" t="s">
        <v>56716</v>
      </c>
    </row>
    <row r="8252" spans="1:12" ht="11.25" x14ac:dyDescent="0.2">
      <c r="A8252" s="45" t="s">
        <v>49164</v>
      </c>
      <c r="B8252" s="45" t="s">
        <v>49166</v>
      </c>
      <c r="C8252" s="51" t="s">
        <v>49167</v>
      </c>
      <c r="D8252" s="51"/>
      <c r="E8252" s="45" t="s">
        <v>49168</v>
      </c>
      <c r="F8252" s="45" t="s">
        <v>18130</v>
      </c>
      <c r="G8252" s="45" t="s">
        <v>50584</v>
      </c>
      <c r="H8252" s="56"/>
      <c r="I8252" s="56" t="s">
        <v>50564</v>
      </c>
      <c r="J8252" s="56"/>
      <c r="K8252" s="57"/>
      <c r="L8252" s="56" t="s">
        <v>56716</v>
      </c>
    </row>
    <row r="8253" spans="1:12" ht="11.25" x14ac:dyDescent="0.2">
      <c r="A8253" s="46" t="s">
        <v>16894</v>
      </c>
      <c r="B8253" s="46" t="s">
        <v>16894</v>
      </c>
      <c r="C8253" s="58" t="str">
        <f>"11213086"</f>
        <v>11213086</v>
      </c>
      <c r="D8253" s="58" t="str">
        <f>"20388314"</f>
        <v>20388314</v>
      </c>
      <c r="E8253" s="46" t="s">
        <v>1949</v>
      </c>
      <c r="F8253" s="46" t="s">
        <v>17991</v>
      </c>
      <c r="G8253" s="46" t="s">
        <v>50584</v>
      </c>
      <c r="H8253" s="48" t="s">
        <v>56716</v>
      </c>
      <c r="I8253" s="48" t="s">
        <v>50564</v>
      </c>
      <c r="J8253" s="48"/>
      <c r="K8253" s="57"/>
      <c r="L8253" s="48"/>
    </row>
    <row r="8254" spans="1:12" ht="11.25" x14ac:dyDescent="0.2">
      <c r="A8254" s="46" t="s">
        <v>17399</v>
      </c>
      <c r="B8254" s="46" t="s">
        <v>17399</v>
      </c>
      <c r="C8254" s="58" t="str">
        <f>"21947228"</f>
        <v>21947228</v>
      </c>
      <c r="D8254" s="58" t="str">
        <f>"21947236"</f>
        <v>21947236</v>
      </c>
      <c r="E8254" s="46" t="s">
        <v>167</v>
      </c>
      <c r="F8254" s="46" t="s">
        <v>18158</v>
      </c>
      <c r="G8254" s="46" t="s">
        <v>50584</v>
      </c>
      <c r="H8254" s="48" t="s">
        <v>56716</v>
      </c>
      <c r="I8254" s="48" t="s">
        <v>50564</v>
      </c>
      <c r="J8254" s="48" t="s">
        <v>56716</v>
      </c>
      <c r="K8254" s="50" t="s">
        <v>56716</v>
      </c>
      <c r="L8254" s="48" t="s">
        <v>56716</v>
      </c>
    </row>
    <row r="8255" spans="1:12" ht="11.25" x14ac:dyDescent="0.2">
      <c r="A8255" s="46" t="s">
        <v>56471</v>
      </c>
      <c r="B8255" s="46" t="s">
        <v>56471</v>
      </c>
      <c r="C8255" s="58" t="str">
        <f>"03402592"</f>
        <v>03402592</v>
      </c>
      <c r="D8255" s="58" t="str">
        <f>"14330563"</f>
        <v>14330563</v>
      </c>
      <c r="E8255" s="46" t="s">
        <v>167</v>
      </c>
      <c r="F8255" s="46" t="s">
        <v>18158</v>
      </c>
      <c r="G8255" s="46" t="s">
        <v>50593</v>
      </c>
      <c r="H8255" s="48" t="s">
        <v>56716</v>
      </c>
      <c r="I8255" s="48" t="s">
        <v>50564</v>
      </c>
      <c r="J8255" s="48"/>
      <c r="K8255" s="50" t="s">
        <v>56716</v>
      </c>
      <c r="L8255" s="48" t="s">
        <v>56716</v>
      </c>
    </row>
    <row r="8256" spans="1:12" ht="11.25" x14ac:dyDescent="0.2">
      <c r="A8256" s="45" t="s">
        <v>11210</v>
      </c>
      <c r="B8256" s="45" t="s">
        <v>11210</v>
      </c>
      <c r="C8256" s="51" t="s">
        <v>49179</v>
      </c>
      <c r="D8256" s="51"/>
      <c r="E8256" s="45" t="s">
        <v>56703</v>
      </c>
      <c r="F8256" s="45" t="s">
        <v>17991</v>
      </c>
      <c r="G8256" s="45" t="s">
        <v>50603</v>
      </c>
      <c r="H8256" s="56"/>
      <c r="I8256" s="56" t="s">
        <v>50564</v>
      </c>
      <c r="J8256" s="56"/>
      <c r="K8256" s="57"/>
      <c r="L8256" s="56" t="s">
        <v>56716</v>
      </c>
    </row>
    <row r="8257" spans="1:12" ht="11.25" x14ac:dyDescent="0.2">
      <c r="A8257" s="46" t="s">
        <v>56494</v>
      </c>
      <c r="B8257" s="46" t="s">
        <v>56495</v>
      </c>
      <c r="C8257" s="58" t="str">
        <f>""</f>
        <v/>
      </c>
      <c r="D8257" s="58" t="str">
        <f>"0120789X"</f>
        <v>0120789X</v>
      </c>
      <c r="E8257" s="46" t="s">
        <v>175</v>
      </c>
      <c r="F8257" s="46" t="s">
        <v>18439</v>
      </c>
      <c r="G8257" s="46" t="s">
        <v>50632</v>
      </c>
      <c r="H8257" s="48" t="s">
        <v>56716</v>
      </c>
      <c r="I8257" s="48" t="s">
        <v>50564</v>
      </c>
      <c r="J8257" s="48"/>
      <c r="K8257" s="50" t="s">
        <v>56716</v>
      </c>
      <c r="L8257" s="48"/>
    </row>
    <row r="8258" spans="1:12" ht="11.25" x14ac:dyDescent="0.2">
      <c r="A8258" s="46" t="s">
        <v>4028</v>
      </c>
      <c r="B8258" s="46" t="s">
        <v>55731</v>
      </c>
      <c r="C8258" s="58" t="str">
        <f>"00421138"</f>
        <v>00421138</v>
      </c>
      <c r="D8258" s="58" t="str">
        <f>"14230399"</f>
        <v>14230399</v>
      </c>
      <c r="E8258" s="46" t="s">
        <v>109</v>
      </c>
      <c r="F8258" s="46" t="s">
        <v>18123</v>
      </c>
      <c r="G8258" s="46" t="s">
        <v>50584</v>
      </c>
      <c r="H8258" s="48" t="s">
        <v>56716</v>
      </c>
      <c r="I8258" s="48" t="s">
        <v>50564</v>
      </c>
      <c r="J8258" s="48" t="s">
        <v>56716</v>
      </c>
      <c r="K8258" s="50" t="s">
        <v>56716</v>
      </c>
      <c r="L8258" s="48" t="s">
        <v>56716</v>
      </c>
    </row>
    <row r="8259" spans="1:12" ht="11.25" x14ac:dyDescent="0.2">
      <c r="A8259" s="46" t="s">
        <v>4012</v>
      </c>
      <c r="B8259" s="46" t="s">
        <v>55732</v>
      </c>
      <c r="C8259" s="58" t="str">
        <f>"00940143"</f>
        <v>00940143</v>
      </c>
      <c r="D8259" s="58" t="str">
        <f>"1558318X"</f>
        <v>1558318X</v>
      </c>
      <c r="E8259" s="46" t="s">
        <v>303</v>
      </c>
      <c r="F8259" s="46" t="s">
        <v>17759</v>
      </c>
      <c r="G8259" s="46" t="s">
        <v>50584</v>
      </c>
      <c r="H8259" s="48" t="s">
        <v>56716</v>
      </c>
      <c r="I8259" s="48" t="s">
        <v>50564</v>
      </c>
      <c r="J8259" s="48" t="s">
        <v>56716</v>
      </c>
      <c r="K8259" s="50" t="s">
        <v>56716</v>
      </c>
      <c r="L8259" s="48" t="s">
        <v>56716</v>
      </c>
    </row>
    <row r="8260" spans="1:12" ht="11.25" x14ac:dyDescent="0.2">
      <c r="A8260" s="45" t="s">
        <v>49192</v>
      </c>
      <c r="B8260" s="45" t="s">
        <v>49194</v>
      </c>
      <c r="C8260" s="51" t="s">
        <v>49195</v>
      </c>
      <c r="D8260" s="51"/>
      <c r="E8260" s="45" t="s">
        <v>49196</v>
      </c>
      <c r="F8260" s="45" t="s">
        <v>17759</v>
      </c>
      <c r="G8260" s="45" t="s">
        <v>50584</v>
      </c>
      <c r="H8260" s="56"/>
      <c r="I8260" s="56" t="s">
        <v>50564</v>
      </c>
      <c r="J8260" s="56"/>
      <c r="K8260" s="57"/>
      <c r="L8260" s="56" t="s">
        <v>56716</v>
      </c>
    </row>
    <row r="8261" spans="1:12" ht="11.25" x14ac:dyDescent="0.2">
      <c r="A8261" s="46" t="s">
        <v>10151</v>
      </c>
      <c r="B8261" s="46" t="s">
        <v>55733</v>
      </c>
      <c r="C8261" s="58" t="str">
        <f>"10781439"</f>
        <v>10781439</v>
      </c>
      <c r="D8261" s="58" t="str">
        <f>"18732496"</f>
        <v>18732496</v>
      </c>
      <c r="E8261" s="46" t="s">
        <v>272</v>
      </c>
      <c r="F8261" s="46" t="s">
        <v>17759</v>
      </c>
      <c r="G8261" s="46" t="s">
        <v>50584</v>
      </c>
      <c r="H8261" s="48" t="s">
        <v>56716</v>
      </c>
      <c r="I8261" s="48" t="s">
        <v>50564</v>
      </c>
      <c r="J8261" s="48" t="s">
        <v>56716</v>
      </c>
      <c r="K8261" s="50" t="s">
        <v>56716</v>
      </c>
      <c r="L8261" s="48" t="s">
        <v>56716</v>
      </c>
    </row>
    <row r="8262" spans="1:12" ht="11.25" x14ac:dyDescent="0.2">
      <c r="A8262" s="46" t="s">
        <v>14551</v>
      </c>
      <c r="B8262" s="46" t="s">
        <v>55734</v>
      </c>
      <c r="C8262" s="58" t="str">
        <f>"18795226"</f>
        <v>18795226</v>
      </c>
      <c r="D8262" s="58" t="str">
        <f>"18795234"</f>
        <v>18795234</v>
      </c>
      <c r="E8262" s="46" t="s">
        <v>91</v>
      </c>
      <c r="F8262" s="46" t="s">
        <v>18001</v>
      </c>
      <c r="G8262" s="46" t="s">
        <v>50584</v>
      </c>
      <c r="H8262" s="48" t="s">
        <v>56716</v>
      </c>
      <c r="I8262" s="48" t="s">
        <v>50564</v>
      </c>
      <c r="J8262" s="48" t="s">
        <v>56716</v>
      </c>
      <c r="K8262" s="50" t="s">
        <v>56716</v>
      </c>
      <c r="L8262" s="48"/>
    </row>
    <row r="8263" spans="1:12" ht="11.25" x14ac:dyDescent="0.2">
      <c r="A8263" s="45" t="s">
        <v>49205</v>
      </c>
      <c r="B8263" s="45" t="s">
        <v>49207</v>
      </c>
      <c r="C8263" s="51" t="s">
        <v>49209</v>
      </c>
      <c r="D8263" s="51"/>
      <c r="E8263" s="45" t="s">
        <v>45061</v>
      </c>
      <c r="F8263" s="45" t="s">
        <v>50653</v>
      </c>
      <c r="G8263" s="45" t="s">
        <v>56509</v>
      </c>
      <c r="H8263" s="56"/>
      <c r="I8263" s="56" t="s">
        <v>50564</v>
      </c>
      <c r="J8263" s="56"/>
      <c r="K8263" s="57"/>
      <c r="L8263" s="56" t="s">
        <v>56716</v>
      </c>
    </row>
    <row r="8264" spans="1:12" ht="11.25" x14ac:dyDescent="0.2">
      <c r="A8264" s="46" t="s">
        <v>4025</v>
      </c>
      <c r="B8264" s="46" t="s">
        <v>4025</v>
      </c>
      <c r="C8264" s="58" t="str">
        <f>"00904295"</f>
        <v>00904295</v>
      </c>
      <c r="D8264" s="58" t="str">
        <f>"15279995"</f>
        <v>15279995</v>
      </c>
      <c r="E8264" s="46" t="s">
        <v>272</v>
      </c>
      <c r="F8264" s="46" t="s">
        <v>17759</v>
      </c>
      <c r="G8264" s="46" t="s">
        <v>50584</v>
      </c>
      <c r="H8264" s="48" t="s">
        <v>56716</v>
      </c>
      <c r="I8264" s="48" t="s">
        <v>50564</v>
      </c>
      <c r="J8264" s="48" t="s">
        <v>56716</v>
      </c>
      <c r="K8264" s="50" t="s">
        <v>56716</v>
      </c>
      <c r="L8264" s="48" t="s">
        <v>56716</v>
      </c>
    </row>
    <row r="8265" spans="1:12" ht="11.25" x14ac:dyDescent="0.2">
      <c r="A8265" s="46" t="s">
        <v>14956</v>
      </c>
      <c r="B8265" s="46" t="s">
        <v>55735</v>
      </c>
      <c r="C8265" s="58" t="str">
        <f>"09747796"</f>
        <v>09747796</v>
      </c>
      <c r="D8265" s="58" t="str">
        <f>"09747834"</f>
        <v>09747834</v>
      </c>
      <c r="E8265" s="46" t="s">
        <v>19057</v>
      </c>
      <c r="F8265" s="46" t="s">
        <v>20446</v>
      </c>
      <c r="G8265" s="46" t="s">
        <v>50584</v>
      </c>
      <c r="H8265" s="48" t="s">
        <v>56716</v>
      </c>
      <c r="I8265" s="48" t="s">
        <v>50564</v>
      </c>
      <c r="J8265" s="48" t="s">
        <v>56716</v>
      </c>
      <c r="K8265" s="57"/>
      <c r="L8265" s="48"/>
    </row>
    <row r="8266" spans="1:12" ht="11.25" x14ac:dyDescent="0.2">
      <c r="A8266" s="46" t="s">
        <v>17380</v>
      </c>
      <c r="B8266" s="46" t="s">
        <v>55736</v>
      </c>
      <c r="C8266" s="58" t="str">
        <f>"22144420"</f>
        <v>22144420</v>
      </c>
      <c r="D8266" s="58" t="str">
        <f>""</f>
        <v/>
      </c>
      <c r="E8266" s="46" t="s">
        <v>272</v>
      </c>
      <c r="F8266" s="46" t="s">
        <v>17759</v>
      </c>
      <c r="G8266" s="46" t="s">
        <v>50584</v>
      </c>
      <c r="H8266" s="48" t="s">
        <v>56716</v>
      </c>
      <c r="I8266" s="48" t="s">
        <v>50564</v>
      </c>
      <c r="J8266" s="48" t="s">
        <v>56716</v>
      </c>
      <c r="K8266" s="50" t="s">
        <v>56716</v>
      </c>
      <c r="L8266" s="48"/>
    </row>
    <row r="8267" spans="1:12" ht="11.25" x14ac:dyDescent="0.2">
      <c r="A8267" s="45" t="s">
        <v>49213</v>
      </c>
      <c r="B8267" s="45" t="s">
        <v>49215</v>
      </c>
      <c r="C8267" s="51" t="s">
        <v>49217</v>
      </c>
      <c r="D8267" s="51" t="s">
        <v>49216</v>
      </c>
      <c r="E8267" s="45" t="s">
        <v>49218</v>
      </c>
      <c r="F8267" s="45" t="s">
        <v>18232</v>
      </c>
      <c r="G8267" s="45" t="s">
        <v>50584</v>
      </c>
      <c r="H8267" s="56"/>
      <c r="I8267" s="56" t="s">
        <v>50564</v>
      </c>
      <c r="J8267" s="56"/>
      <c r="K8267" s="57"/>
      <c r="L8267" s="56" t="s">
        <v>56716</v>
      </c>
    </row>
    <row r="8268" spans="1:12" ht="11.25" x14ac:dyDescent="0.2">
      <c r="A8268" s="46" t="s">
        <v>56362</v>
      </c>
      <c r="B8268" s="46" t="s">
        <v>56363</v>
      </c>
      <c r="C8268" s="58" t="str">
        <f>"23520779"</f>
        <v>23520779</v>
      </c>
      <c r="D8268" s="58" t="str">
        <f>""</f>
        <v/>
      </c>
      <c r="E8268" s="46" t="s">
        <v>272</v>
      </c>
      <c r="F8268" s="46" t="s">
        <v>17759</v>
      </c>
      <c r="G8268" s="46" t="s">
        <v>50584</v>
      </c>
      <c r="H8268" s="48" t="s">
        <v>56716</v>
      </c>
      <c r="I8268" s="48" t="s">
        <v>50564</v>
      </c>
      <c r="J8268" s="48" t="s">
        <v>56716</v>
      </c>
      <c r="K8268" s="50" t="s">
        <v>56716</v>
      </c>
      <c r="L8268" s="48"/>
    </row>
    <row r="8269" spans="1:12" ht="11.25" x14ac:dyDescent="0.2">
      <c r="A8269" s="46" t="s">
        <v>14934</v>
      </c>
      <c r="B8269" s="46" t="s">
        <v>55737</v>
      </c>
      <c r="C8269" s="58" t="str">
        <f>"17583896"</f>
        <v>17583896</v>
      </c>
      <c r="D8269" s="58" t="str">
        <f>"1758390X"</f>
        <v>1758390X</v>
      </c>
      <c r="E8269" s="46" t="s">
        <v>12374</v>
      </c>
      <c r="F8269" s="46" t="s">
        <v>50646</v>
      </c>
      <c r="G8269" s="46" t="s">
        <v>50584</v>
      </c>
      <c r="H8269" s="48" t="s">
        <v>56716</v>
      </c>
      <c r="I8269" s="48" t="s">
        <v>50564</v>
      </c>
      <c r="J8269" s="48"/>
      <c r="K8269" s="57"/>
      <c r="L8269" s="48"/>
    </row>
    <row r="8270" spans="1:12" ht="11.25" x14ac:dyDescent="0.2">
      <c r="A8270" s="45" t="s">
        <v>49220</v>
      </c>
      <c r="B8270" s="45" t="s">
        <v>49222</v>
      </c>
      <c r="C8270" s="51" t="s">
        <v>49223</v>
      </c>
      <c r="D8270" s="51"/>
      <c r="E8270" s="45" t="s">
        <v>49224</v>
      </c>
      <c r="F8270" s="45" t="s">
        <v>50653</v>
      </c>
      <c r="G8270" s="45" t="s">
        <v>50619</v>
      </c>
      <c r="H8270" s="56"/>
      <c r="I8270" s="56" t="s">
        <v>50564</v>
      </c>
      <c r="J8270" s="56"/>
      <c r="K8270" s="57"/>
      <c r="L8270" s="56" t="s">
        <v>56716</v>
      </c>
    </row>
    <row r="8271" spans="1:12" ht="11.25" x14ac:dyDescent="0.2">
      <c r="A8271" s="46" t="s">
        <v>16329</v>
      </c>
      <c r="B8271" s="46" t="s">
        <v>16329</v>
      </c>
      <c r="C8271" s="58" t="str">
        <f>"1025028X"</f>
        <v>1025028X</v>
      </c>
      <c r="D8271" s="58" t="str">
        <f>"10250298"</f>
        <v>10250298</v>
      </c>
      <c r="E8271" s="46" t="s">
        <v>16332</v>
      </c>
      <c r="F8271" s="46" t="s">
        <v>46397</v>
      </c>
      <c r="G8271" s="46" t="s">
        <v>50631</v>
      </c>
      <c r="H8271" s="48" t="s">
        <v>56716</v>
      </c>
      <c r="I8271" s="48" t="s">
        <v>50564</v>
      </c>
      <c r="J8271" s="48"/>
      <c r="K8271" s="57"/>
      <c r="L8271" s="48"/>
    </row>
    <row r="8272" spans="1:12" ht="11.25" x14ac:dyDescent="0.2">
      <c r="A8272" s="46" t="s">
        <v>4034</v>
      </c>
      <c r="B8272" s="46" t="s">
        <v>4034</v>
      </c>
      <c r="C8272" s="58" t="str">
        <f>"0264410X"</f>
        <v>0264410X</v>
      </c>
      <c r="D8272" s="58" t="str">
        <f>"18732518"</f>
        <v>18732518</v>
      </c>
      <c r="E8272" s="46" t="s">
        <v>155</v>
      </c>
      <c r="F8272" s="46" t="s">
        <v>50646</v>
      </c>
      <c r="G8272" s="46" t="s">
        <v>50584</v>
      </c>
      <c r="H8272" s="48" t="s">
        <v>56716</v>
      </c>
      <c r="I8272" s="48" t="s">
        <v>50564</v>
      </c>
      <c r="J8272" s="48" t="s">
        <v>56716</v>
      </c>
      <c r="K8272" s="50" t="s">
        <v>56716</v>
      </c>
      <c r="L8272" s="48" t="s">
        <v>56716</v>
      </c>
    </row>
    <row r="8273" spans="1:12" ht="11.25" x14ac:dyDescent="0.2">
      <c r="A8273" s="46" t="s">
        <v>17501</v>
      </c>
      <c r="B8273" s="46" t="s">
        <v>17501</v>
      </c>
      <c r="C8273" s="58" t="str">
        <f>""</f>
        <v/>
      </c>
      <c r="D8273" s="58" t="str">
        <f>"2076393X"</f>
        <v>2076393X</v>
      </c>
      <c r="E8273" s="46" t="s">
        <v>4152</v>
      </c>
      <c r="F8273" s="46" t="s">
        <v>18123</v>
      </c>
      <c r="G8273" s="46" t="s">
        <v>50584</v>
      </c>
      <c r="H8273" s="48" t="s">
        <v>56716</v>
      </c>
      <c r="I8273" s="48" t="s">
        <v>50564</v>
      </c>
      <c r="J8273" s="48"/>
      <c r="K8273" s="57"/>
      <c r="L8273" s="48"/>
    </row>
    <row r="8274" spans="1:12" ht="11.25" x14ac:dyDescent="0.2">
      <c r="A8274" s="46" t="s">
        <v>12025</v>
      </c>
      <c r="B8274" s="46" t="s">
        <v>12025</v>
      </c>
      <c r="C8274" s="58" t="str">
        <f>"15769887"</f>
        <v>15769887</v>
      </c>
      <c r="D8274" s="58" t="str">
        <f>"15788857"</f>
        <v>15788857</v>
      </c>
      <c r="E8274" s="46" t="s">
        <v>1683</v>
      </c>
      <c r="F8274" s="46" t="s">
        <v>18439</v>
      </c>
      <c r="G8274" s="46" t="s">
        <v>50632</v>
      </c>
      <c r="H8274" s="48" t="s">
        <v>56716</v>
      </c>
      <c r="I8274" s="48" t="s">
        <v>50564</v>
      </c>
      <c r="J8274" s="48"/>
      <c r="K8274" s="50" t="s">
        <v>56716</v>
      </c>
      <c r="L8274" s="48"/>
    </row>
    <row r="8275" spans="1:12" ht="11.25" x14ac:dyDescent="0.2">
      <c r="A8275" s="46" t="s">
        <v>14266</v>
      </c>
      <c r="B8275" s="46" t="s">
        <v>14266</v>
      </c>
      <c r="C8275" s="58" t="str">
        <f>"18023150"</f>
        <v>18023150</v>
      </c>
      <c r="D8275" s="58" t="str">
        <f>""</f>
        <v/>
      </c>
      <c r="E8275" s="46" t="s">
        <v>14268</v>
      </c>
      <c r="F8275" s="46" t="s">
        <v>18025</v>
      </c>
      <c r="G8275" s="46" t="s">
        <v>50581</v>
      </c>
      <c r="H8275" s="48" t="s">
        <v>56716</v>
      </c>
      <c r="I8275" s="48" t="s">
        <v>50564</v>
      </c>
      <c r="J8275" s="48"/>
      <c r="K8275" s="57"/>
      <c r="L8275" s="48"/>
    </row>
    <row r="8276" spans="1:12" ht="11.25" x14ac:dyDescent="0.2">
      <c r="A8276" s="46" t="s">
        <v>8149</v>
      </c>
      <c r="B8276" s="46" t="s">
        <v>49231</v>
      </c>
      <c r="C8276" s="58" t="str">
        <f>"10983015"</f>
        <v>10983015</v>
      </c>
      <c r="D8276" s="58" t="str">
        <f>"15244733"</f>
        <v>15244733</v>
      </c>
      <c r="E8276" s="46" t="s">
        <v>155</v>
      </c>
      <c r="F8276" s="46" t="s">
        <v>50646</v>
      </c>
      <c r="G8276" s="46" t="s">
        <v>50584</v>
      </c>
      <c r="H8276" s="48" t="s">
        <v>56716</v>
      </c>
      <c r="I8276" s="48" t="s">
        <v>50564</v>
      </c>
      <c r="J8276" s="48" t="s">
        <v>56716</v>
      </c>
      <c r="K8276" s="50" t="s">
        <v>56716</v>
      </c>
      <c r="L8276" s="48" t="s">
        <v>56716</v>
      </c>
    </row>
    <row r="8277" spans="1:12" ht="11.25" x14ac:dyDescent="0.2">
      <c r="A8277" s="46" t="s">
        <v>16378</v>
      </c>
      <c r="B8277" s="46" t="s">
        <v>55738</v>
      </c>
      <c r="C8277" s="58" t="str">
        <f>"22121099"</f>
        <v>22121099</v>
      </c>
      <c r="D8277" s="58" t="str">
        <f>""</f>
        <v/>
      </c>
      <c r="E8277" s="46" t="s">
        <v>272</v>
      </c>
      <c r="F8277" s="46" t="s">
        <v>17759</v>
      </c>
      <c r="G8277" s="46" t="s">
        <v>50584</v>
      </c>
      <c r="H8277" s="48" t="s">
        <v>56716</v>
      </c>
      <c r="I8277" s="48" t="s">
        <v>50564</v>
      </c>
      <c r="J8277" s="48" t="s">
        <v>56716</v>
      </c>
      <c r="K8277" s="57"/>
      <c r="L8277" s="48"/>
    </row>
    <row r="8278" spans="1:12" ht="11.25" x14ac:dyDescent="0.2">
      <c r="A8278" s="46" t="s">
        <v>50687</v>
      </c>
      <c r="B8278" s="46" t="s">
        <v>55739</v>
      </c>
      <c r="C8278" s="58" t="str">
        <f>"03011526"</f>
        <v>03011526</v>
      </c>
      <c r="D8278" s="58" t="str">
        <f>"16642872"</f>
        <v>16642872</v>
      </c>
      <c r="E8278" s="46" t="s">
        <v>2009</v>
      </c>
      <c r="F8278" s="46" t="s">
        <v>18123</v>
      </c>
      <c r="G8278" s="46" t="s">
        <v>50592</v>
      </c>
      <c r="H8278" s="48" t="s">
        <v>56716</v>
      </c>
      <c r="I8278" s="48" t="s">
        <v>50564</v>
      </c>
      <c r="J8278" s="48"/>
      <c r="K8278" s="57"/>
      <c r="L8278" s="48" t="s">
        <v>56716</v>
      </c>
    </row>
    <row r="8279" spans="1:12" ht="11.25" x14ac:dyDescent="0.2">
      <c r="A8279" s="46" t="s">
        <v>10236</v>
      </c>
      <c r="B8279" s="46" t="s">
        <v>10236</v>
      </c>
      <c r="C8279" s="58" t="str">
        <f>"17085381"</f>
        <v>17085381</v>
      </c>
      <c r="D8279" s="58" t="str">
        <f>"1708539X"</f>
        <v>1708539X</v>
      </c>
      <c r="E8279" s="46" t="s">
        <v>97</v>
      </c>
      <c r="F8279" s="46" t="s">
        <v>50646</v>
      </c>
      <c r="G8279" s="46" t="s">
        <v>50584</v>
      </c>
      <c r="H8279" s="48" t="s">
        <v>56716</v>
      </c>
      <c r="I8279" s="48" t="s">
        <v>50564</v>
      </c>
      <c r="J8279" s="48" t="s">
        <v>56716</v>
      </c>
      <c r="K8279" s="57"/>
      <c r="L8279" s="48" t="s">
        <v>56716</v>
      </c>
    </row>
    <row r="8280" spans="1:12" ht="11.25" x14ac:dyDescent="0.2">
      <c r="A8280" s="46" t="s">
        <v>9432</v>
      </c>
      <c r="B8280" s="46" t="s">
        <v>55740</v>
      </c>
      <c r="C8280" s="58" t="str">
        <f>"15385744"</f>
        <v>15385744</v>
      </c>
      <c r="D8280" s="58" t="str">
        <f>"19389116"</f>
        <v>19389116</v>
      </c>
      <c r="E8280" s="46" t="s">
        <v>493</v>
      </c>
      <c r="F8280" s="46" t="s">
        <v>17759</v>
      </c>
      <c r="G8280" s="46" t="s">
        <v>50584</v>
      </c>
      <c r="H8280" s="48" t="s">
        <v>56716</v>
      </c>
      <c r="I8280" s="48" t="s">
        <v>50564</v>
      </c>
      <c r="J8280" s="48"/>
      <c r="K8280" s="57"/>
      <c r="L8280" s="48" t="s">
        <v>56716</v>
      </c>
    </row>
    <row r="8281" spans="1:12" ht="11.25" x14ac:dyDescent="0.2">
      <c r="A8281" s="46" t="s">
        <v>14749</v>
      </c>
      <c r="B8281" s="46" t="s">
        <v>55741</v>
      </c>
      <c r="C8281" s="58" t="str">
        <f>"2045824X"</f>
        <v>2045824X</v>
      </c>
      <c r="D8281" s="58" t="str">
        <f>"2045824X"</f>
        <v>2045824X</v>
      </c>
      <c r="E8281" s="46" t="s">
        <v>2299</v>
      </c>
      <c r="F8281" s="46" t="s">
        <v>50646</v>
      </c>
      <c r="G8281" s="46" t="s">
        <v>50584</v>
      </c>
      <c r="H8281" s="48" t="s">
        <v>56716</v>
      </c>
      <c r="I8281" s="48" t="s">
        <v>50564</v>
      </c>
      <c r="J8281" s="48" t="s">
        <v>56716</v>
      </c>
      <c r="K8281" s="50" t="s">
        <v>56716</v>
      </c>
      <c r="L8281" s="48"/>
    </row>
    <row r="8282" spans="1:12" ht="11.25" x14ac:dyDescent="0.2">
      <c r="A8282" s="46" t="s">
        <v>11214</v>
      </c>
      <c r="B8282" s="46" t="s">
        <v>55742</v>
      </c>
      <c r="C8282" s="58" t="str">
        <f>"15538036"</f>
        <v>15538036</v>
      </c>
      <c r="D8282" s="58" t="str">
        <f>"21524343"</f>
        <v>21524343</v>
      </c>
      <c r="E8282" s="46" t="s">
        <v>8182</v>
      </c>
      <c r="F8282" s="46" t="s">
        <v>17759</v>
      </c>
      <c r="G8282" s="46" t="s">
        <v>50584</v>
      </c>
      <c r="H8282" s="48" t="s">
        <v>56716</v>
      </c>
      <c r="I8282" s="48" t="s">
        <v>50564</v>
      </c>
      <c r="J8282" s="48"/>
      <c r="K8282" s="57"/>
      <c r="L8282" s="48"/>
    </row>
    <row r="8283" spans="1:12" ht="11.25" x14ac:dyDescent="0.2">
      <c r="A8283" s="46" t="s">
        <v>11121</v>
      </c>
      <c r="B8283" s="46" t="s">
        <v>55743</v>
      </c>
      <c r="C8283" s="58" t="str">
        <f>"11766344"</f>
        <v>11766344</v>
      </c>
      <c r="D8283" s="58" t="str">
        <f>"11782048"</f>
        <v>11782048</v>
      </c>
      <c r="E8283" s="46" t="s">
        <v>11079</v>
      </c>
      <c r="F8283" s="46" t="s">
        <v>19483</v>
      </c>
      <c r="G8283" s="46" t="s">
        <v>50584</v>
      </c>
      <c r="H8283" s="48" t="s">
        <v>56716</v>
      </c>
      <c r="I8283" s="48" t="s">
        <v>50564</v>
      </c>
      <c r="J8283" s="48"/>
      <c r="K8283" s="57"/>
      <c r="L8283" s="48" t="s">
        <v>56716</v>
      </c>
    </row>
    <row r="8284" spans="1:12" ht="11.25" x14ac:dyDescent="0.2">
      <c r="A8284" s="46" t="s">
        <v>6995</v>
      </c>
      <c r="B8284" s="46" t="s">
        <v>55744</v>
      </c>
      <c r="C8284" s="58" t="str">
        <f>"1358863X"</f>
        <v>1358863X</v>
      </c>
      <c r="D8284" s="58" t="str">
        <f>"14770377"</f>
        <v>14770377</v>
      </c>
      <c r="E8284" s="46" t="s">
        <v>97</v>
      </c>
      <c r="F8284" s="46" t="s">
        <v>50646</v>
      </c>
      <c r="G8284" s="46" t="s">
        <v>50584</v>
      </c>
      <c r="H8284" s="48" t="s">
        <v>56716</v>
      </c>
      <c r="I8284" s="48" t="s">
        <v>50564</v>
      </c>
      <c r="J8284" s="48" t="s">
        <v>56716</v>
      </c>
      <c r="K8284" s="57"/>
      <c r="L8284" s="48" t="s">
        <v>56716</v>
      </c>
    </row>
    <row r="8285" spans="1:12" ht="11.25" x14ac:dyDescent="0.2">
      <c r="A8285" s="46" t="s">
        <v>9566</v>
      </c>
      <c r="B8285" s="46" t="s">
        <v>55745</v>
      </c>
      <c r="C8285" s="58" t="str">
        <f>"15371891"</f>
        <v>15371891</v>
      </c>
      <c r="D8285" s="58" t="str">
        <f>"18793649"</f>
        <v>18793649</v>
      </c>
      <c r="E8285" s="46" t="s">
        <v>272</v>
      </c>
      <c r="F8285" s="46" t="s">
        <v>17759</v>
      </c>
      <c r="G8285" s="46" t="s">
        <v>50584</v>
      </c>
      <c r="H8285" s="48" t="s">
        <v>56716</v>
      </c>
      <c r="I8285" s="48" t="s">
        <v>50564</v>
      </c>
      <c r="J8285" s="48" t="s">
        <v>56716</v>
      </c>
      <c r="K8285" s="50" t="s">
        <v>56716</v>
      </c>
      <c r="L8285" s="48" t="s">
        <v>56716</v>
      </c>
    </row>
    <row r="8286" spans="1:12" ht="11.25" x14ac:dyDescent="0.2">
      <c r="A8286" s="46" t="s">
        <v>7160</v>
      </c>
      <c r="B8286" s="46" t="s">
        <v>7160</v>
      </c>
      <c r="C8286" s="58" t="str">
        <f>"09421181"</f>
        <v>09421181</v>
      </c>
      <c r="D8286" s="58" t="str">
        <f>""</f>
        <v/>
      </c>
      <c r="E8286" s="46" t="s">
        <v>7162</v>
      </c>
      <c r="F8286" s="46" t="s">
        <v>18158</v>
      </c>
      <c r="G8286" s="46" t="s">
        <v>50593</v>
      </c>
      <c r="H8286" s="48" t="s">
        <v>56716</v>
      </c>
      <c r="I8286" s="48" t="s">
        <v>50564</v>
      </c>
      <c r="J8286" s="48"/>
      <c r="K8286" s="57"/>
      <c r="L8286" s="48"/>
    </row>
    <row r="8287" spans="1:12" ht="11.25" x14ac:dyDescent="0.2">
      <c r="A8287" s="46" t="s">
        <v>9904</v>
      </c>
      <c r="B8287" s="46" t="s">
        <v>55746</v>
      </c>
      <c r="C8287" s="58" t="str">
        <f>"15303667"</f>
        <v>15303667</v>
      </c>
      <c r="D8287" s="58" t="str">
        <f>"15577759"</f>
        <v>15577759</v>
      </c>
      <c r="E8287" s="46" t="s">
        <v>4337</v>
      </c>
      <c r="F8287" s="46" t="s">
        <v>17759</v>
      </c>
      <c r="G8287" s="46" t="s">
        <v>50584</v>
      </c>
      <c r="H8287" s="48" t="s">
        <v>56716</v>
      </c>
      <c r="I8287" s="48" t="s">
        <v>50564</v>
      </c>
      <c r="J8287" s="48" t="s">
        <v>56716</v>
      </c>
      <c r="K8287" s="57"/>
      <c r="L8287" s="48" t="s">
        <v>56716</v>
      </c>
    </row>
    <row r="8288" spans="1:12" ht="11.25" x14ac:dyDescent="0.2">
      <c r="A8288" s="46" t="s">
        <v>5019</v>
      </c>
      <c r="B8288" s="46" t="s">
        <v>5019</v>
      </c>
      <c r="C8288" s="58" t="str">
        <f>"0174738X"</f>
        <v>0174738X</v>
      </c>
      <c r="D8288" s="58" t="str">
        <f>""</f>
        <v/>
      </c>
      <c r="E8288" s="46" t="s">
        <v>437</v>
      </c>
      <c r="F8288" s="46" t="s">
        <v>18158</v>
      </c>
      <c r="G8288" s="46" t="s">
        <v>50593</v>
      </c>
      <c r="H8288" s="48" t="s">
        <v>56716</v>
      </c>
      <c r="I8288" s="48" t="s">
        <v>50564</v>
      </c>
      <c r="J8288" s="48"/>
      <c r="K8288" s="57"/>
      <c r="L8288" s="48"/>
    </row>
    <row r="8289" spans="1:12" ht="11.25" x14ac:dyDescent="0.2">
      <c r="A8289" s="46" t="s">
        <v>7911</v>
      </c>
      <c r="B8289" s="46" t="s">
        <v>7911</v>
      </c>
      <c r="C8289" s="58" t="str">
        <f>"10166262"</f>
        <v>10166262</v>
      </c>
      <c r="D8289" s="58" t="str">
        <f>"14230402"</f>
        <v>14230402</v>
      </c>
      <c r="E8289" s="46" t="s">
        <v>109</v>
      </c>
      <c r="F8289" s="46" t="s">
        <v>18123</v>
      </c>
      <c r="G8289" s="46" t="s">
        <v>50593</v>
      </c>
      <c r="H8289" s="48" t="s">
        <v>56716</v>
      </c>
      <c r="I8289" s="48" t="s">
        <v>50564</v>
      </c>
      <c r="J8289" s="48"/>
      <c r="K8289" s="57"/>
      <c r="L8289" s="48"/>
    </row>
    <row r="8290" spans="1:12" ht="11.25" x14ac:dyDescent="0.2">
      <c r="A8290" s="45" t="s">
        <v>49275</v>
      </c>
      <c r="B8290" s="45" t="s">
        <v>49277</v>
      </c>
      <c r="C8290" s="51" t="s">
        <v>49278</v>
      </c>
      <c r="D8290" s="51"/>
      <c r="E8290" s="45" t="s">
        <v>49279</v>
      </c>
      <c r="F8290" s="45" t="s">
        <v>18123</v>
      </c>
      <c r="G8290" s="45" t="s">
        <v>50593</v>
      </c>
      <c r="H8290" s="56"/>
      <c r="I8290" s="56" t="s">
        <v>50564</v>
      </c>
      <c r="J8290" s="56"/>
      <c r="K8290" s="57"/>
      <c r="L8290" s="56" t="s">
        <v>56716</v>
      </c>
    </row>
    <row r="8291" spans="1:12" ht="11.25" x14ac:dyDescent="0.2">
      <c r="A8291" s="45" t="s">
        <v>49281</v>
      </c>
      <c r="B8291" s="45" t="s">
        <v>49283</v>
      </c>
      <c r="C8291" s="51" t="s">
        <v>49285</v>
      </c>
      <c r="D8291" s="51"/>
      <c r="E8291" s="45" t="s">
        <v>49286</v>
      </c>
      <c r="F8291" s="45" t="s">
        <v>18158</v>
      </c>
      <c r="G8291" s="45" t="s">
        <v>50592</v>
      </c>
      <c r="H8291" s="56"/>
      <c r="I8291" s="56" t="s">
        <v>50564</v>
      </c>
      <c r="J8291" s="56"/>
      <c r="K8291" s="57"/>
      <c r="L8291" s="56" t="s">
        <v>56716</v>
      </c>
    </row>
    <row r="8292" spans="1:12" ht="11.25" x14ac:dyDescent="0.2">
      <c r="A8292" s="45" t="s">
        <v>49288</v>
      </c>
      <c r="B8292" s="45" t="s">
        <v>49290</v>
      </c>
      <c r="C8292" s="51" t="s">
        <v>49291</v>
      </c>
      <c r="D8292" s="51"/>
      <c r="E8292" s="45" t="s">
        <v>49292</v>
      </c>
      <c r="F8292" s="45" t="s">
        <v>18169</v>
      </c>
      <c r="G8292" s="45" t="s">
        <v>50633</v>
      </c>
      <c r="H8292" s="56"/>
      <c r="I8292" s="56" t="s">
        <v>50564</v>
      </c>
      <c r="J8292" s="56"/>
      <c r="K8292" s="57"/>
      <c r="L8292" s="56" t="s">
        <v>56716</v>
      </c>
    </row>
    <row r="8293" spans="1:12" ht="11.25" x14ac:dyDescent="0.2">
      <c r="A8293" s="45" t="s">
        <v>49294</v>
      </c>
      <c r="B8293" s="45" t="s">
        <v>49296</v>
      </c>
      <c r="C8293" s="51" t="s">
        <v>49297</v>
      </c>
      <c r="D8293" s="51"/>
      <c r="E8293" s="45" t="s">
        <v>49298</v>
      </c>
      <c r="F8293" s="45" t="s">
        <v>17929</v>
      </c>
      <c r="G8293" s="45" t="s">
        <v>50590</v>
      </c>
      <c r="H8293" s="56"/>
      <c r="I8293" s="56" t="s">
        <v>50564</v>
      </c>
      <c r="J8293" s="56"/>
      <c r="K8293" s="57"/>
      <c r="L8293" s="56" t="s">
        <v>56716</v>
      </c>
    </row>
    <row r="8294" spans="1:12" ht="11.25" x14ac:dyDescent="0.2">
      <c r="A8294" s="45" t="s">
        <v>49300</v>
      </c>
      <c r="B8294" s="45" t="s">
        <v>49302</v>
      </c>
      <c r="C8294" s="51" t="s">
        <v>49304</v>
      </c>
      <c r="D8294" s="51"/>
      <c r="E8294" s="45" t="s">
        <v>20950</v>
      </c>
      <c r="F8294" s="45" t="s">
        <v>50653</v>
      </c>
      <c r="G8294" s="45" t="s">
        <v>56509</v>
      </c>
      <c r="H8294" s="56"/>
      <c r="I8294" s="56" t="s">
        <v>50564</v>
      </c>
      <c r="J8294" s="56"/>
      <c r="K8294" s="57"/>
      <c r="L8294" s="56" t="s">
        <v>56716</v>
      </c>
    </row>
    <row r="8295" spans="1:12" ht="11.25" x14ac:dyDescent="0.2">
      <c r="A8295" s="45" t="s">
        <v>49307</v>
      </c>
      <c r="B8295" s="45" t="s">
        <v>49309</v>
      </c>
      <c r="C8295" s="51" t="s">
        <v>49312</v>
      </c>
      <c r="D8295" s="51" t="s">
        <v>49311</v>
      </c>
      <c r="E8295" s="45" t="s">
        <v>21545</v>
      </c>
      <c r="F8295" s="45" t="s">
        <v>50653</v>
      </c>
      <c r="G8295" s="45" t="s">
        <v>56509</v>
      </c>
      <c r="H8295" s="56"/>
      <c r="I8295" s="56" t="s">
        <v>50564</v>
      </c>
      <c r="J8295" s="56"/>
      <c r="K8295" s="57"/>
      <c r="L8295" s="56" t="s">
        <v>56716</v>
      </c>
    </row>
    <row r="8296" spans="1:12" ht="11.25" x14ac:dyDescent="0.2">
      <c r="A8296" s="45" t="s">
        <v>49314</v>
      </c>
      <c r="B8296" s="45" t="s">
        <v>49316</v>
      </c>
      <c r="C8296" s="51" t="s">
        <v>49319</v>
      </c>
      <c r="D8296" s="51" t="s">
        <v>49318</v>
      </c>
      <c r="E8296" s="45" t="s">
        <v>21545</v>
      </c>
      <c r="F8296" s="45" t="s">
        <v>50653</v>
      </c>
      <c r="G8296" s="45" t="s">
        <v>56509</v>
      </c>
      <c r="H8296" s="56"/>
      <c r="I8296" s="56" t="s">
        <v>50564</v>
      </c>
      <c r="J8296" s="56"/>
      <c r="K8296" s="57"/>
      <c r="L8296" s="56" t="s">
        <v>56716</v>
      </c>
    </row>
    <row r="8297" spans="1:12" ht="11.25" x14ac:dyDescent="0.2">
      <c r="A8297" s="45" t="s">
        <v>49321</v>
      </c>
      <c r="B8297" s="45" t="s">
        <v>49323</v>
      </c>
      <c r="C8297" s="51" t="s">
        <v>49324</v>
      </c>
      <c r="D8297" s="51"/>
      <c r="E8297" s="45" t="s">
        <v>20950</v>
      </c>
      <c r="F8297" s="45" t="s">
        <v>50653</v>
      </c>
      <c r="G8297" s="45" t="s">
        <v>56509</v>
      </c>
      <c r="H8297" s="56"/>
      <c r="I8297" s="56" t="s">
        <v>50564</v>
      </c>
      <c r="J8297" s="56"/>
      <c r="K8297" s="57"/>
      <c r="L8297" s="56" t="s">
        <v>56716</v>
      </c>
    </row>
    <row r="8298" spans="1:12" ht="11.25" x14ac:dyDescent="0.2">
      <c r="A8298" s="45" t="s">
        <v>49326</v>
      </c>
      <c r="B8298" s="45" t="s">
        <v>49328</v>
      </c>
      <c r="C8298" s="51" t="s">
        <v>49330</v>
      </c>
      <c r="D8298" s="51"/>
      <c r="E8298" s="45" t="s">
        <v>20236</v>
      </c>
      <c r="F8298" s="45" t="s">
        <v>50653</v>
      </c>
      <c r="G8298" s="45" t="s">
        <v>56509</v>
      </c>
      <c r="H8298" s="56"/>
      <c r="I8298" s="56" t="s">
        <v>50564</v>
      </c>
      <c r="J8298" s="56"/>
      <c r="K8298" s="57"/>
      <c r="L8298" s="56" t="s">
        <v>56716</v>
      </c>
    </row>
    <row r="8299" spans="1:12" ht="11.25" x14ac:dyDescent="0.2">
      <c r="A8299" s="45" t="s">
        <v>49332</v>
      </c>
      <c r="B8299" s="45" t="s">
        <v>49334</v>
      </c>
      <c r="C8299" s="51" t="s">
        <v>49337</v>
      </c>
      <c r="D8299" s="51" t="s">
        <v>49336</v>
      </c>
      <c r="E8299" s="45" t="s">
        <v>49338</v>
      </c>
      <c r="F8299" s="45" t="s">
        <v>17991</v>
      </c>
      <c r="G8299" s="45" t="s">
        <v>50602</v>
      </c>
      <c r="H8299" s="56"/>
      <c r="I8299" s="56" t="s">
        <v>50564</v>
      </c>
      <c r="J8299" s="56"/>
      <c r="K8299" s="57"/>
      <c r="L8299" s="56" t="s">
        <v>56716</v>
      </c>
    </row>
    <row r="8300" spans="1:12" ht="11.25" x14ac:dyDescent="0.2">
      <c r="A8300" s="45" t="s">
        <v>49340</v>
      </c>
      <c r="B8300" s="45" t="s">
        <v>49342</v>
      </c>
      <c r="C8300" s="51" t="s">
        <v>49345</v>
      </c>
      <c r="D8300" s="51" t="s">
        <v>49344</v>
      </c>
      <c r="E8300" s="45" t="s">
        <v>22893</v>
      </c>
      <c r="F8300" s="45" t="s">
        <v>50646</v>
      </c>
      <c r="G8300" s="45" t="s">
        <v>50584</v>
      </c>
      <c r="H8300" s="56"/>
      <c r="I8300" s="56" t="s">
        <v>50564</v>
      </c>
      <c r="J8300" s="56"/>
      <c r="K8300" s="57"/>
      <c r="L8300" s="56" t="s">
        <v>56716</v>
      </c>
    </row>
    <row r="8301" spans="1:12" ht="11.25" x14ac:dyDescent="0.2">
      <c r="A8301" s="45" t="s">
        <v>49348</v>
      </c>
      <c r="B8301" s="45" t="s">
        <v>49350</v>
      </c>
      <c r="C8301" s="51" t="s">
        <v>49352</v>
      </c>
      <c r="D8301" s="51" t="s">
        <v>49351</v>
      </c>
      <c r="E8301" s="45" t="s">
        <v>21146</v>
      </c>
      <c r="F8301" s="45" t="s">
        <v>50646</v>
      </c>
      <c r="G8301" s="45" t="s">
        <v>50584</v>
      </c>
      <c r="H8301" s="56"/>
      <c r="I8301" s="56" t="s">
        <v>50564</v>
      </c>
      <c r="J8301" s="56"/>
      <c r="K8301" s="57"/>
      <c r="L8301" s="56" t="s">
        <v>56716</v>
      </c>
    </row>
    <row r="8302" spans="1:12" ht="11.25" x14ac:dyDescent="0.2">
      <c r="A8302" s="45" t="s">
        <v>49355</v>
      </c>
      <c r="B8302" s="45" t="s">
        <v>49357</v>
      </c>
      <c r="C8302" s="51" t="s">
        <v>49358</v>
      </c>
      <c r="D8302" s="51"/>
      <c r="E8302" s="45" t="s">
        <v>21075</v>
      </c>
      <c r="F8302" s="45" t="s">
        <v>18158</v>
      </c>
      <c r="G8302" s="45" t="s">
        <v>50584</v>
      </c>
      <c r="H8302" s="56"/>
      <c r="I8302" s="56" t="s">
        <v>50564</v>
      </c>
      <c r="J8302" s="56"/>
      <c r="K8302" s="57"/>
      <c r="L8302" s="56" t="s">
        <v>56716</v>
      </c>
    </row>
    <row r="8303" spans="1:12" ht="11.25" x14ac:dyDescent="0.2">
      <c r="A8303" s="45" t="s">
        <v>49361</v>
      </c>
      <c r="B8303" s="45" t="s">
        <v>49363</v>
      </c>
      <c r="C8303" s="51" t="s">
        <v>49366</v>
      </c>
      <c r="D8303" s="51" t="s">
        <v>49365</v>
      </c>
      <c r="E8303" s="45" t="s">
        <v>49367</v>
      </c>
      <c r="F8303" s="45" t="s">
        <v>17759</v>
      </c>
      <c r="G8303" s="45" t="s">
        <v>50584</v>
      </c>
      <c r="H8303" s="56"/>
      <c r="I8303" s="56" t="s">
        <v>50564</v>
      </c>
      <c r="J8303" s="56"/>
      <c r="K8303" s="57"/>
      <c r="L8303" s="56" t="s">
        <v>56716</v>
      </c>
    </row>
    <row r="8304" spans="1:12" ht="11.25" x14ac:dyDescent="0.2">
      <c r="A8304" s="46" t="s">
        <v>4039</v>
      </c>
      <c r="B8304" s="46" t="s">
        <v>55747</v>
      </c>
      <c r="C8304" s="58" t="str">
        <f>"01955616"</f>
        <v>01955616</v>
      </c>
      <c r="D8304" s="58" t="str">
        <f>"18781306"</f>
        <v>18781306</v>
      </c>
      <c r="E8304" s="46" t="s">
        <v>303</v>
      </c>
      <c r="F8304" s="46" t="s">
        <v>17759</v>
      </c>
      <c r="G8304" s="46" t="s">
        <v>50584</v>
      </c>
      <c r="H8304" s="48" t="s">
        <v>56716</v>
      </c>
      <c r="I8304" s="48" t="s">
        <v>50564</v>
      </c>
      <c r="J8304" s="48"/>
      <c r="K8304" s="50" t="s">
        <v>56716</v>
      </c>
      <c r="L8304" s="48" t="s">
        <v>56716</v>
      </c>
    </row>
    <row r="8305" spans="1:12" ht="11.25" x14ac:dyDescent="0.2">
      <c r="A8305" s="45" t="s">
        <v>49395</v>
      </c>
      <c r="B8305" s="45" t="s">
        <v>49397</v>
      </c>
      <c r="C8305" s="51" t="s">
        <v>49399</v>
      </c>
      <c r="D8305" s="51" t="s">
        <v>49398</v>
      </c>
      <c r="E8305" s="45" t="s">
        <v>22893</v>
      </c>
      <c r="F8305" s="45" t="s">
        <v>50646</v>
      </c>
      <c r="G8305" s="45" t="s">
        <v>50584</v>
      </c>
      <c r="H8305" s="56"/>
      <c r="I8305" s="56" t="s">
        <v>50564</v>
      </c>
      <c r="J8305" s="56"/>
      <c r="K8305" s="57"/>
      <c r="L8305" s="56" t="s">
        <v>56716</v>
      </c>
    </row>
    <row r="8306" spans="1:12" ht="11.25" x14ac:dyDescent="0.2">
      <c r="A8306" s="45" t="s">
        <v>49402</v>
      </c>
      <c r="B8306" s="45" t="s">
        <v>49404</v>
      </c>
      <c r="C8306" s="51" t="s">
        <v>49406</v>
      </c>
      <c r="D8306" s="51"/>
      <c r="E8306" s="45" t="s">
        <v>49407</v>
      </c>
      <c r="F8306" s="45" t="s">
        <v>17759</v>
      </c>
      <c r="G8306" s="45" t="s">
        <v>50584</v>
      </c>
      <c r="H8306" s="56"/>
      <c r="I8306" s="56" t="s">
        <v>50564</v>
      </c>
      <c r="J8306" s="56"/>
      <c r="K8306" s="57"/>
      <c r="L8306" s="56" t="s">
        <v>56716</v>
      </c>
    </row>
    <row r="8307" spans="1:12" ht="11.25" x14ac:dyDescent="0.2">
      <c r="A8307" s="46" t="s">
        <v>4042</v>
      </c>
      <c r="B8307" s="46" t="s">
        <v>55748</v>
      </c>
      <c r="C8307" s="58" t="str">
        <f>"01652427"</f>
        <v>01652427</v>
      </c>
      <c r="D8307" s="58" t="str">
        <f>"18732534"</f>
        <v>18732534</v>
      </c>
      <c r="E8307" s="46" t="s">
        <v>91</v>
      </c>
      <c r="F8307" s="46" t="s">
        <v>18001</v>
      </c>
      <c r="G8307" s="46" t="s">
        <v>50584</v>
      </c>
      <c r="H8307" s="48" t="s">
        <v>56716</v>
      </c>
      <c r="I8307" s="48" t="s">
        <v>50564</v>
      </c>
      <c r="J8307" s="48"/>
      <c r="K8307" s="50" t="s">
        <v>56716</v>
      </c>
      <c r="L8307" s="48" t="s">
        <v>56716</v>
      </c>
    </row>
    <row r="8308" spans="1:12" ht="11.25" x14ac:dyDescent="0.2">
      <c r="A8308" s="46" t="s">
        <v>7411</v>
      </c>
      <c r="B8308" s="46" t="s">
        <v>55749</v>
      </c>
      <c r="C8308" s="58" t="str">
        <f>"10900233"</f>
        <v>10900233</v>
      </c>
      <c r="D8308" s="58" t="str">
        <f>"15322971"</f>
        <v>15322971</v>
      </c>
      <c r="E8308" s="46" t="s">
        <v>7414</v>
      </c>
      <c r="F8308" s="46" t="s">
        <v>50646</v>
      </c>
      <c r="G8308" s="46" t="s">
        <v>50584</v>
      </c>
      <c r="H8308" s="48" t="s">
        <v>56716</v>
      </c>
      <c r="I8308" s="48" t="s">
        <v>50564</v>
      </c>
      <c r="J8308" s="48"/>
      <c r="K8308" s="50" t="s">
        <v>56716</v>
      </c>
      <c r="L8308" s="48" t="s">
        <v>56716</v>
      </c>
    </row>
    <row r="8309" spans="1:12" ht="11.25" x14ac:dyDescent="0.2">
      <c r="A8309" s="46" t="s">
        <v>4054</v>
      </c>
      <c r="B8309" s="46" t="s">
        <v>55750</v>
      </c>
      <c r="C8309" s="58" t="str">
        <f>"03781135"</f>
        <v>03781135</v>
      </c>
      <c r="D8309" s="58" t="str">
        <f>"18732542"</f>
        <v>18732542</v>
      </c>
      <c r="E8309" s="46" t="s">
        <v>91</v>
      </c>
      <c r="F8309" s="46" t="s">
        <v>18001</v>
      </c>
      <c r="G8309" s="46" t="s">
        <v>50584</v>
      </c>
      <c r="H8309" s="48" t="s">
        <v>56716</v>
      </c>
      <c r="I8309" s="48" t="s">
        <v>50564</v>
      </c>
      <c r="J8309" s="48"/>
      <c r="K8309" s="50" t="s">
        <v>56716</v>
      </c>
      <c r="L8309" s="48" t="s">
        <v>56716</v>
      </c>
    </row>
    <row r="8310" spans="1:12" ht="11.25" x14ac:dyDescent="0.2">
      <c r="A8310" s="45" t="s">
        <v>49425</v>
      </c>
      <c r="B8310" s="45" t="s">
        <v>49427</v>
      </c>
      <c r="C8310" s="51" t="s">
        <v>49430</v>
      </c>
      <c r="D8310" s="51" t="s">
        <v>49429</v>
      </c>
      <c r="E8310" s="45" t="s">
        <v>22893</v>
      </c>
      <c r="F8310" s="45" t="s">
        <v>50646</v>
      </c>
      <c r="G8310" s="45" t="s">
        <v>50584</v>
      </c>
      <c r="H8310" s="56"/>
      <c r="I8310" s="56" t="s">
        <v>50564</v>
      </c>
      <c r="J8310" s="56"/>
      <c r="K8310" s="57"/>
      <c r="L8310" s="56" t="s">
        <v>56716</v>
      </c>
    </row>
    <row r="8311" spans="1:12" ht="11.25" x14ac:dyDescent="0.2">
      <c r="A8311" s="46" t="s">
        <v>4070</v>
      </c>
      <c r="B8311" s="46" t="s">
        <v>55751</v>
      </c>
      <c r="C8311" s="58" t="str">
        <f>"03044017"</f>
        <v>03044017</v>
      </c>
      <c r="D8311" s="58" t="str">
        <f>"18732550"</f>
        <v>18732550</v>
      </c>
      <c r="E8311" s="46" t="s">
        <v>91</v>
      </c>
      <c r="F8311" s="46" t="s">
        <v>18001</v>
      </c>
      <c r="G8311" s="46" t="s">
        <v>50584</v>
      </c>
      <c r="H8311" s="48" t="s">
        <v>56716</v>
      </c>
      <c r="I8311" s="48" t="s">
        <v>50564</v>
      </c>
      <c r="J8311" s="48"/>
      <c r="K8311" s="50" t="s">
        <v>56716</v>
      </c>
      <c r="L8311" s="48" t="s">
        <v>56716</v>
      </c>
    </row>
    <row r="8312" spans="1:12" ht="11.25" x14ac:dyDescent="0.2">
      <c r="A8312" s="45" t="s">
        <v>49438</v>
      </c>
      <c r="B8312" s="45" t="s">
        <v>49440</v>
      </c>
      <c r="C8312" s="51" t="s">
        <v>49443</v>
      </c>
      <c r="D8312" s="51" t="s">
        <v>49442</v>
      </c>
      <c r="E8312" s="45" t="s">
        <v>18520</v>
      </c>
      <c r="F8312" s="45" t="s">
        <v>17759</v>
      </c>
      <c r="G8312" s="45" t="s">
        <v>50584</v>
      </c>
      <c r="H8312" s="56"/>
      <c r="I8312" s="56" t="s">
        <v>50564</v>
      </c>
      <c r="J8312" s="56"/>
      <c r="K8312" s="57"/>
      <c r="L8312" s="56" t="s">
        <v>56716</v>
      </c>
    </row>
    <row r="8313" spans="1:12" ht="11.25" x14ac:dyDescent="0.2">
      <c r="A8313" s="46" t="s">
        <v>5139</v>
      </c>
      <c r="B8313" s="46" t="s">
        <v>55752</v>
      </c>
      <c r="C8313" s="58" t="str">
        <f>"01652176"</f>
        <v>01652176</v>
      </c>
      <c r="D8313" s="58" t="str">
        <f>"18755941"</f>
        <v>18755941</v>
      </c>
      <c r="E8313" s="46" t="s">
        <v>310</v>
      </c>
      <c r="F8313" s="46" t="s">
        <v>50646</v>
      </c>
      <c r="G8313" s="46" t="s">
        <v>50584</v>
      </c>
      <c r="H8313" s="48" t="s">
        <v>56716</v>
      </c>
      <c r="I8313" s="48" t="s">
        <v>50564</v>
      </c>
      <c r="J8313" s="48"/>
      <c r="K8313" s="50" t="s">
        <v>56716</v>
      </c>
      <c r="L8313" s="48" t="s">
        <v>56716</v>
      </c>
    </row>
    <row r="8314" spans="1:12" ht="11.25" x14ac:dyDescent="0.2">
      <c r="A8314" s="45" t="s">
        <v>49450</v>
      </c>
      <c r="B8314" s="45" t="s">
        <v>49452</v>
      </c>
      <c r="C8314" s="51" t="s">
        <v>49455</v>
      </c>
      <c r="D8314" s="51" t="s">
        <v>49454</v>
      </c>
      <c r="E8314" s="45" t="s">
        <v>21146</v>
      </c>
      <c r="F8314" s="45" t="s">
        <v>50646</v>
      </c>
      <c r="G8314" s="45" t="s">
        <v>50584</v>
      </c>
      <c r="H8314" s="56"/>
      <c r="I8314" s="56" t="s">
        <v>50564</v>
      </c>
      <c r="J8314" s="56"/>
      <c r="K8314" s="57"/>
      <c r="L8314" s="56" t="s">
        <v>56716</v>
      </c>
    </row>
    <row r="8315" spans="1:12" ht="11.25" x14ac:dyDescent="0.2">
      <c r="A8315" s="45" t="s">
        <v>49466</v>
      </c>
      <c r="B8315" s="45" t="s">
        <v>49468</v>
      </c>
      <c r="C8315" s="51" t="s">
        <v>49471</v>
      </c>
      <c r="D8315" s="51" t="s">
        <v>49470</v>
      </c>
      <c r="E8315" s="45" t="s">
        <v>18570</v>
      </c>
      <c r="F8315" s="45" t="s">
        <v>50646</v>
      </c>
      <c r="G8315" s="45" t="s">
        <v>50590</v>
      </c>
      <c r="H8315" s="56"/>
      <c r="I8315" s="56" t="s">
        <v>50564</v>
      </c>
      <c r="J8315" s="56"/>
      <c r="K8315" s="57"/>
      <c r="L8315" s="56" t="s">
        <v>56716</v>
      </c>
    </row>
    <row r="8316" spans="1:12" ht="11.25" x14ac:dyDescent="0.2">
      <c r="A8316" s="46" t="s">
        <v>4073</v>
      </c>
      <c r="B8316" s="46" t="s">
        <v>55753</v>
      </c>
      <c r="C8316" s="58" t="str">
        <f>"01657380"</f>
        <v>01657380</v>
      </c>
      <c r="D8316" s="58" t="str">
        <f>"15737446"</f>
        <v>15737446</v>
      </c>
      <c r="E8316" s="46" t="s">
        <v>18876</v>
      </c>
      <c r="F8316" s="46" t="s">
        <v>18001</v>
      </c>
      <c r="G8316" s="46" t="s">
        <v>50584</v>
      </c>
      <c r="H8316" s="48" t="s">
        <v>56716</v>
      </c>
      <c r="I8316" s="48" t="s">
        <v>50564</v>
      </c>
      <c r="J8316" s="48"/>
      <c r="K8316" s="50" t="s">
        <v>56716</v>
      </c>
      <c r="L8316" s="48" t="s">
        <v>56716</v>
      </c>
    </row>
    <row r="8317" spans="1:12" ht="11.25" x14ac:dyDescent="0.2">
      <c r="A8317" s="45" t="s">
        <v>49478</v>
      </c>
      <c r="B8317" s="45" t="s">
        <v>49480</v>
      </c>
      <c r="C8317" s="51" t="s">
        <v>49483</v>
      </c>
      <c r="D8317" s="51" t="s">
        <v>49482</v>
      </c>
      <c r="E8317" s="45" t="s">
        <v>20207</v>
      </c>
      <c r="F8317" s="45" t="s">
        <v>17759</v>
      </c>
      <c r="G8317" s="45" t="s">
        <v>50584</v>
      </c>
      <c r="H8317" s="56"/>
      <c r="I8317" s="56" t="s">
        <v>50564</v>
      </c>
      <c r="J8317" s="56"/>
      <c r="K8317" s="57"/>
      <c r="L8317" s="56" t="s">
        <v>56716</v>
      </c>
    </row>
    <row r="8318" spans="1:12" ht="11.25" x14ac:dyDescent="0.2">
      <c r="A8318" s="46" t="s">
        <v>17207</v>
      </c>
      <c r="B8318" s="46" t="s">
        <v>55754</v>
      </c>
      <c r="C8318" s="58" t="str">
        <f>""</f>
        <v/>
      </c>
      <c r="D8318" s="58" t="str">
        <f>"22120971"</f>
        <v>22120971</v>
      </c>
      <c r="E8318" s="46" t="s">
        <v>6159</v>
      </c>
      <c r="F8318" s="46" t="s">
        <v>18158</v>
      </c>
      <c r="G8318" s="46" t="s">
        <v>50584</v>
      </c>
      <c r="H8318" s="48" t="s">
        <v>56716</v>
      </c>
      <c r="I8318" s="48" t="s">
        <v>50564</v>
      </c>
      <c r="J8318" s="48" t="s">
        <v>56716</v>
      </c>
      <c r="K8318" s="50" t="s">
        <v>56716</v>
      </c>
      <c r="L8318" s="48"/>
    </row>
    <row r="8319" spans="1:12" ht="11.25" x14ac:dyDescent="0.2">
      <c r="A8319" s="45" t="s">
        <v>49487</v>
      </c>
      <c r="B8319" s="45" t="s">
        <v>49489</v>
      </c>
      <c r="C8319" s="51" t="s">
        <v>49491</v>
      </c>
      <c r="D8319" s="51" t="s">
        <v>49490</v>
      </c>
      <c r="E8319" s="45" t="s">
        <v>19447</v>
      </c>
      <c r="F8319" s="45" t="s">
        <v>17759</v>
      </c>
      <c r="G8319" s="45" t="s">
        <v>50584</v>
      </c>
      <c r="H8319" s="56"/>
      <c r="I8319" s="56" t="s">
        <v>50564</v>
      </c>
      <c r="J8319" s="56"/>
      <c r="K8319" s="57"/>
      <c r="L8319" s="56" t="s">
        <v>56716</v>
      </c>
    </row>
    <row r="8320" spans="1:12" ht="11.25" x14ac:dyDescent="0.2">
      <c r="A8320" s="45" t="s">
        <v>49494</v>
      </c>
      <c r="B8320" s="45" t="s">
        <v>49496</v>
      </c>
      <c r="C8320" s="51" t="s">
        <v>49497</v>
      </c>
      <c r="D8320" s="51"/>
      <c r="E8320" s="45" t="s">
        <v>17783</v>
      </c>
      <c r="F8320" s="45" t="s">
        <v>17759</v>
      </c>
      <c r="G8320" s="45" t="s">
        <v>50584</v>
      </c>
      <c r="H8320" s="56"/>
      <c r="I8320" s="56" t="s">
        <v>50564</v>
      </c>
      <c r="J8320" s="56"/>
      <c r="K8320" s="57"/>
      <c r="L8320" s="56" t="s">
        <v>56716</v>
      </c>
    </row>
    <row r="8321" spans="1:12" ht="11.25" x14ac:dyDescent="0.2">
      <c r="A8321" s="46" t="s">
        <v>4334</v>
      </c>
      <c r="B8321" s="46" t="s">
        <v>55755</v>
      </c>
      <c r="C8321" s="58" t="str">
        <f>"08828245"</f>
        <v>08828245</v>
      </c>
      <c r="D8321" s="58" t="str">
        <f>"15578976"</f>
        <v>15578976</v>
      </c>
      <c r="E8321" s="46" t="s">
        <v>4337</v>
      </c>
      <c r="F8321" s="46" t="s">
        <v>17759</v>
      </c>
      <c r="G8321" s="46" t="s">
        <v>50584</v>
      </c>
      <c r="H8321" s="48" t="s">
        <v>56716</v>
      </c>
      <c r="I8321" s="48" t="s">
        <v>50564</v>
      </c>
      <c r="J8321" s="48"/>
      <c r="K8321" s="57"/>
      <c r="L8321" s="48" t="s">
        <v>56716</v>
      </c>
    </row>
    <row r="8322" spans="1:12" ht="11.25" x14ac:dyDescent="0.2">
      <c r="A8322" s="46" t="s">
        <v>6221</v>
      </c>
      <c r="B8322" s="46" t="s">
        <v>55756</v>
      </c>
      <c r="C8322" s="58" t="str">
        <f>"09456317"</f>
        <v>09456317</v>
      </c>
      <c r="D8322" s="58" t="str">
        <f>"14322307"</f>
        <v>14322307</v>
      </c>
      <c r="E8322" s="46" t="s">
        <v>167</v>
      </c>
      <c r="F8322" s="46" t="s">
        <v>18158</v>
      </c>
      <c r="G8322" s="46" t="s">
        <v>50584</v>
      </c>
      <c r="H8322" s="48" t="s">
        <v>56716</v>
      </c>
      <c r="I8322" s="48" t="s">
        <v>50564</v>
      </c>
      <c r="J8322" s="48" t="s">
        <v>56716</v>
      </c>
      <c r="K8322" s="50" t="s">
        <v>56716</v>
      </c>
      <c r="L8322" s="48" t="s">
        <v>56716</v>
      </c>
    </row>
    <row r="8323" spans="1:12" ht="11.25" x14ac:dyDescent="0.2">
      <c r="A8323" s="46" t="s">
        <v>6430</v>
      </c>
      <c r="B8323" s="46" t="s">
        <v>55757</v>
      </c>
      <c r="C8323" s="58" t="str">
        <f>"16740769"</f>
        <v>16740769</v>
      </c>
      <c r="D8323" s="58" t="str">
        <f>"1995820X"</f>
        <v>1995820X</v>
      </c>
      <c r="E8323" s="46" t="s">
        <v>6433</v>
      </c>
      <c r="F8323" s="46" t="s">
        <v>17958</v>
      </c>
      <c r="G8323" s="46" t="s">
        <v>50580</v>
      </c>
      <c r="H8323" s="48" t="s">
        <v>56716</v>
      </c>
      <c r="I8323" s="48" t="s">
        <v>50564</v>
      </c>
      <c r="J8323" s="48"/>
      <c r="K8323" s="50" t="s">
        <v>56716</v>
      </c>
      <c r="L8323" s="48" t="s">
        <v>56716</v>
      </c>
    </row>
    <row r="8324" spans="1:12" ht="11.25" x14ac:dyDescent="0.2">
      <c r="A8324" s="46" t="s">
        <v>7501</v>
      </c>
      <c r="B8324" s="46" t="s">
        <v>7501</v>
      </c>
      <c r="C8324" s="58" t="str">
        <f>"12678694"</f>
        <v>12678694</v>
      </c>
      <c r="D8324" s="58" t="str">
        <f>"19506961"</f>
        <v>19506961</v>
      </c>
      <c r="E8324" s="46" t="s">
        <v>948</v>
      </c>
      <c r="F8324" s="46" t="s">
        <v>20359</v>
      </c>
      <c r="G8324" s="46" t="s">
        <v>50591</v>
      </c>
      <c r="H8324" s="48" t="s">
        <v>56716</v>
      </c>
      <c r="I8324" s="48" t="s">
        <v>50564</v>
      </c>
      <c r="J8324" s="48"/>
      <c r="K8324" s="57"/>
      <c r="L8324" s="48"/>
    </row>
    <row r="8325" spans="1:12" ht="11.25" x14ac:dyDescent="0.2">
      <c r="A8325" s="46" t="s">
        <v>4048</v>
      </c>
      <c r="B8325" s="46" t="s">
        <v>4048</v>
      </c>
      <c r="C8325" s="58" t="str">
        <f>"00426822"</f>
        <v>00426822</v>
      </c>
      <c r="D8325" s="58" t="str">
        <f>"10960341"</f>
        <v>10960341</v>
      </c>
      <c r="E8325" s="46" t="s">
        <v>60</v>
      </c>
      <c r="F8325" s="46" t="s">
        <v>17759</v>
      </c>
      <c r="G8325" s="46" t="s">
        <v>50584</v>
      </c>
      <c r="H8325" s="48" t="s">
        <v>56716</v>
      </c>
      <c r="I8325" s="48" t="s">
        <v>50564</v>
      </c>
      <c r="J8325" s="48" t="s">
        <v>56716</v>
      </c>
      <c r="K8325" s="50" t="s">
        <v>56716</v>
      </c>
      <c r="L8325" s="48" t="s">
        <v>56716</v>
      </c>
    </row>
    <row r="8326" spans="1:12" ht="11.25" x14ac:dyDescent="0.2">
      <c r="A8326" s="46" t="s">
        <v>10681</v>
      </c>
      <c r="B8326" s="46" t="s">
        <v>55758</v>
      </c>
      <c r="C8326" s="58" t="str">
        <f>""</f>
        <v/>
      </c>
      <c r="D8326" s="58" t="str">
        <f>"1743422X"</f>
        <v>1743422X</v>
      </c>
      <c r="E8326" s="46" t="s">
        <v>2299</v>
      </c>
      <c r="F8326" s="46" t="s">
        <v>50646</v>
      </c>
      <c r="G8326" s="46" t="s">
        <v>50584</v>
      </c>
      <c r="H8326" s="48" t="s">
        <v>56716</v>
      </c>
      <c r="I8326" s="48" t="s">
        <v>50564</v>
      </c>
      <c r="J8326" s="48"/>
      <c r="K8326" s="50" t="s">
        <v>56716</v>
      </c>
      <c r="L8326" s="48" t="s">
        <v>56716</v>
      </c>
    </row>
    <row r="8327" spans="1:12" ht="11.25" x14ac:dyDescent="0.2">
      <c r="A8327" s="46" t="s">
        <v>56220</v>
      </c>
      <c r="B8327" s="46" t="s">
        <v>56221</v>
      </c>
      <c r="C8327" s="58" t="str">
        <f>"22146695"</f>
        <v>22146695</v>
      </c>
      <c r="D8327" s="58" t="str">
        <f>""</f>
        <v/>
      </c>
      <c r="E8327" s="46" t="s">
        <v>91</v>
      </c>
      <c r="F8327" s="46" t="s">
        <v>18001</v>
      </c>
      <c r="G8327" s="46" t="s">
        <v>50584</v>
      </c>
      <c r="H8327" s="48" t="s">
        <v>56716</v>
      </c>
      <c r="I8327" s="48" t="s">
        <v>50564</v>
      </c>
      <c r="J8327" s="48" t="s">
        <v>56716</v>
      </c>
      <c r="K8327" s="50" t="s">
        <v>56716</v>
      </c>
      <c r="L8327" s="48"/>
    </row>
    <row r="8328" spans="1:12" ht="11.25" x14ac:dyDescent="0.2">
      <c r="A8328" s="46" t="s">
        <v>13146</v>
      </c>
      <c r="B8328" s="46" t="s">
        <v>55880</v>
      </c>
      <c r="C8328" s="58" t="str">
        <f>""</f>
        <v/>
      </c>
      <c r="D8328" s="58" t="str">
        <f>"1178122X"</f>
        <v>1178122X</v>
      </c>
      <c r="E8328" s="46" t="s">
        <v>11251</v>
      </c>
      <c r="F8328" s="46" t="s">
        <v>19483</v>
      </c>
      <c r="G8328" s="46" t="s">
        <v>50584</v>
      </c>
      <c r="H8328" s="48" t="s">
        <v>56716</v>
      </c>
      <c r="I8328" s="48" t="s">
        <v>50564</v>
      </c>
      <c r="J8328" s="48"/>
      <c r="K8328" s="57"/>
      <c r="L8328" s="48"/>
    </row>
    <row r="8329" spans="1:12" ht="11.25" x14ac:dyDescent="0.2">
      <c r="A8329" s="46" t="s">
        <v>14579</v>
      </c>
      <c r="B8329" s="46" t="s">
        <v>14579</v>
      </c>
      <c r="C8329" s="58" t="str">
        <f>"21505594"</f>
        <v>21505594</v>
      </c>
      <c r="D8329" s="58" t="str">
        <f>"21505608"</f>
        <v>21505608</v>
      </c>
      <c r="E8329" s="46" t="s">
        <v>669</v>
      </c>
      <c r="F8329" s="46" t="s">
        <v>17759</v>
      </c>
      <c r="G8329" s="46" t="s">
        <v>50584</v>
      </c>
      <c r="H8329" s="48" t="s">
        <v>56716</v>
      </c>
      <c r="I8329" s="48" t="s">
        <v>50564</v>
      </c>
      <c r="J8329" s="48"/>
      <c r="K8329" s="57"/>
      <c r="L8329" s="48" t="s">
        <v>56716</v>
      </c>
    </row>
    <row r="8330" spans="1:12" ht="11.25" x14ac:dyDescent="0.2">
      <c r="A8330" s="46" t="s">
        <v>14134</v>
      </c>
      <c r="B8330" s="46" t="s">
        <v>55759</v>
      </c>
      <c r="C8330" s="58" t="str">
        <f>""</f>
        <v/>
      </c>
      <c r="D8330" s="58" t="str">
        <f>"11791624"</f>
        <v>11791624</v>
      </c>
      <c r="E8330" s="46" t="s">
        <v>11078</v>
      </c>
      <c r="F8330" s="46" t="s">
        <v>19483</v>
      </c>
      <c r="G8330" s="46" t="s">
        <v>50584</v>
      </c>
      <c r="H8330" s="48" t="s">
        <v>56716</v>
      </c>
      <c r="I8330" s="48" t="s">
        <v>50564</v>
      </c>
      <c r="J8330" s="48"/>
      <c r="K8330" s="57"/>
      <c r="L8330" s="48"/>
    </row>
    <row r="8331" spans="1:12" ht="11.25" x14ac:dyDescent="0.2">
      <c r="A8331" s="46" t="s">
        <v>5186</v>
      </c>
      <c r="B8331" s="46" t="s">
        <v>5186</v>
      </c>
      <c r="C8331" s="58" t="str">
        <f>"09208569"</f>
        <v>09208569</v>
      </c>
      <c r="D8331" s="58" t="str">
        <f>"1572994X"</f>
        <v>1572994X</v>
      </c>
      <c r="E8331" s="46" t="s">
        <v>18876</v>
      </c>
      <c r="F8331" s="46" t="s">
        <v>18001</v>
      </c>
      <c r="G8331" s="46" t="s">
        <v>50584</v>
      </c>
      <c r="H8331" s="48" t="s">
        <v>56716</v>
      </c>
      <c r="I8331" s="48" t="s">
        <v>50564</v>
      </c>
      <c r="J8331" s="48" t="s">
        <v>56716</v>
      </c>
      <c r="K8331" s="50" t="s">
        <v>56716</v>
      </c>
      <c r="L8331" s="48" t="s">
        <v>56716</v>
      </c>
    </row>
    <row r="8332" spans="1:12" ht="11.25" x14ac:dyDescent="0.2">
      <c r="A8332" s="46" t="s">
        <v>4045</v>
      </c>
      <c r="B8332" s="46" t="s">
        <v>55760</v>
      </c>
      <c r="C8332" s="58" t="str">
        <f>"01681702"</f>
        <v>01681702</v>
      </c>
      <c r="D8332" s="58" t="str">
        <f>"18727492"</f>
        <v>18727492</v>
      </c>
      <c r="E8332" s="46" t="s">
        <v>91</v>
      </c>
      <c r="F8332" s="46" t="s">
        <v>18001</v>
      </c>
      <c r="G8332" s="46" t="s">
        <v>50584</v>
      </c>
      <c r="H8332" s="48" t="s">
        <v>56716</v>
      </c>
      <c r="I8332" s="48" t="s">
        <v>50564</v>
      </c>
      <c r="J8332" s="48" t="s">
        <v>56716</v>
      </c>
      <c r="K8332" s="50" t="s">
        <v>56716</v>
      </c>
      <c r="L8332" s="48" t="s">
        <v>56716</v>
      </c>
    </row>
    <row r="8333" spans="1:12" ht="11.25" x14ac:dyDescent="0.2">
      <c r="A8333" s="46" t="s">
        <v>15193</v>
      </c>
      <c r="B8333" s="46" t="s">
        <v>15193</v>
      </c>
      <c r="C8333" s="58" t="str">
        <f>"19994915"</f>
        <v>19994915</v>
      </c>
      <c r="D8333" s="58" t="str">
        <f>"19994915"</f>
        <v>19994915</v>
      </c>
      <c r="E8333" s="46" t="s">
        <v>4152</v>
      </c>
      <c r="F8333" s="46" t="s">
        <v>18123</v>
      </c>
      <c r="G8333" s="46" t="s">
        <v>50584</v>
      </c>
      <c r="H8333" s="48" t="s">
        <v>56716</v>
      </c>
      <c r="I8333" s="48" t="s">
        <v>50564</v>
      </c>
      <c r="J8333" s="48"/>
      <c r="K8333" s="57"/>
      <c r="L8333" s="48" t="s">
        <v>56716</v>
      </c>
    </row>
    <row r="8334" spans="1:12" ht="11.25" x14ac:dyDescent="0.2">
      <c r="A8334" s="46" t="s">
        <v>4051</v>
      </c>
      <c r="B8334" s="46" t="s">
        <v>55761</v>
      </c>
      <c r="C8334" s="58" t="str">
        <f>"00426989"</f>
        <v>00426989</v>
      </c>
      <c r="D8334" s="58" t="str">
        <f>"18785646"</f>
        <v>18785646</v>
      </c>
      <c r="E8334" s="46" t="s">
        <v>155</v>
      </c>
      <c r="F8334" s="46" t="s">
        <v>50646</v>
      </c>
      <c r="G8334" s="46" t="s">
        <v>50584</v>
      </c>
      <c r="H8334" s="48" t="s">
        <v>56716</v>
      </c>
      <c r="I8334" s="48" t="s">
        <v>50564</v>
      </c>
      <c r="J8334" s="48" t="s">
        <v>56716</v>
      </c>
      <c r="K8334" s="50" t="s">
        <v>56716</v>
      </c>
      <c r="L8334" s="48" t="s">
        <v>56716</v>
      </c>
    </row>
    <row r="8335" spans="1:12" ht="11.25" x14ac:dyDescent="0.2">
      <c r="A8335" s="46" t="s">
        <v>8271</v>
      </c>
      <c r="B8335" s="46" t="s">
        <v>55762</v>
      </c>
      <c r="C8335" s="58" t="str">
        <f>"13506285"</f>
        <v>13506285</v>
      </c>
      <c r="D8335" s="58" t="str">
        <f>"14640716"</f>
        <v>14640716</v>
      </c>
      <c r="E8335" s="46" t="s">
        <v>689</v>
      </c>
      <c r="F8335" s="46" t="s">
        <v>50646</v>
      </c>
      <c r="G8335" s="46" t="s">
        <v>50584</v>
      </c>
      <c r="H8335" s="48" t="s">
        <v>56716</v>
      </c>
      <c r="I8335" s="48" t="s">
        <v>50564</v>
      </c>
      <c r="J8335" s="48" t="s">
        <v>56716</v>
      </c>
      <c r="K8335" s="50" t="s">
        <v>56716</v>
      </c>
      <c r="L8335" s="48"/>
    </row>
    <row r="8336" spans="1:12" ht="11.25" x14ac:dyDescent="0.2">
      <c r="A8336" s="46" t="s">
        <v>6938</v>
      </c>
      <c r="B8336" s="46" t="s">
        <v>55763</v>
      </c>
      <c r="C8336" s="58" t="str">
        <f>"09525238"</f>
        <v>09525238</v>
      </c>
      <c r="D8336" s="58" t="str">
        <f>"14698714"</f>
        <v>14698714</v>
      </c>
      <c r="E8336" s="46" t="s">
        <v>724</v>
      </c>
      <c r="F8336" s="46" t="s">
        <v>50646</v>
      </c>
      <c r="G8336" s="46" t="s">
        <v>50584</v>
      </c>
      <c r="H8336" s="48" t="s">
        <v>56716</v>
      </c>
      <c r="I8336" s="48" t="s">
        <v>50564</v>
      </c>
      <c r="J8336" s="48" t="s">
        <v>56716</v>
      </c>
      <c r="K8336" s="57"/>
      <c r="L8336" s="48" t="s">
        <v>56716</v>
      </c>
    </row>
    <row r="8337" spans="1:12" ht="11.25" x14ac:dyDescent="0.2">
      <c r="A8337" s="46" t="s">
        <v>17416</v>
      </c>
      <c r="B8337" s="46" t="s">
        <v>55764</v>
      </c>
      <c r="C8337" s="58" t="str">
        <f>"21623465"</f>
        <v>21623465</v>
      </c>
      <c r="D8337" s="58" t="str">
        <f>"21623511"</f>
        <v>21623511</v>
      </c>
      <c r="E8337" s="46" t="s">
        <v>1278</v>
      </c>
      <c r="F8337" s="46" t="s">
        <v>17759</v>
      </c>
      <c r="G8337" s="46" t="s">
        <v>50584</v>
      </c>
      <c r="H8337" s="48" t="s">
        <v>56716</v>
      </c>
      <c r="I8337" s="48" t="s">
        <v>50564</v>
      </c>
      <c r="J8337" s="48"/>
      <c r="K8337" s="57"/>
      <c r="L8337" s="48"/>
    </row>
    <row r="8338" spans="1:12" ht="11.25" x14ac:dyDescent="0.2">
      <c r="A8338" s="46" t="s">
        <v>13849</v>
      </c>
      <c r="B8338" s="46" t="s">
        <v>56470</v>
      </c>
      <c r="C8338" s="58" t="str">
        <f>"16626664"</f>
        <v>16626664</v>
      </c>
      <c r="D8338" s="58" t="str">
        <f>"16626672"</f>
        <v>16626672</v>
      </c>
      <c r="E8338" s="46" t="s">
        <v>109</v>
      </c>
      <c r="F8338" s="46" t="s">
        <v>18123</v>
      </c>
      <c r="G8338" s="46" t="s">
        <v>50593</v>
      </c>
      <c r="H8338" s="48" t="s">
        <v>56716</v>
      </c>
      <c r="I8338" s="48" t="s">
        <v>50564</v>
      </c>
      <c r="J8338" s="48"/>
      <c r="K8338" s="57"/>
      <c r="L8338" s="48"/>
    </row>
    <row r="8339" spans="1:12" ht="11.25" x14ac:dyDescent="0.2">
      <c r="A8339" s="46" t="s">
        <v>13043</v>
      </c>
      <c r="B8339" s="46" t="s">
        <v>13043</v>
      </c>
      <c r="C8339" s="58" t="str">
        <f>"01214004"</f>
        <v>01214004</v>
      </c>
      <c r="D8339" s="58" t="str">
        <f>"21452660"</f>
        <v>21452660</v>
      </c>
      <c r="E8339" s="46" t="s">
        <v>4723</v>
      </c>
      <c r="F8339" s="46" t="s">
        <v>22591</v>
      </c>
      <c r="G8339" s="46" t="s">
        <v>50632</v>
      </c>
      <c r="H8339" s="48" t="s">
        <v>56716</v>
      </c>
      <c r="I8339" s="48" t="s">
        <v>50564</v>
      </c>
      <c r="J8339" s="48"/>
      <c r="K8339" s="57"/>
      <c r="L8339" s="48"/>
    </row>
    <row r="8340" spans="1:12" ht="11.25" x14ac:dyDescent="0.2">
      <c r="A8340" s="45" t="s">
        <v>49548</v>
      </c>
      <c r="B8340" s="45" t="s">
        <v>49550</v>
      </c>
      <c r="C8340" s="51" t="s">
        <v>49552</v>
      </c>
      <c r="D8340" s="51" t="s">
        <v>56704</v>
      </c>
      <c r="E8340" s="45" t="s">
        <v>41768</v>
      </c>
      <c r="F8340" s="45" t="s">
        <v>17759</v>
      </c>
      <c r="G8340" s="45" t="s">
        <v>50584</v>
      </c>
      <c r="H8340" s="56"/>
      <c r="I8340" s="56" t="s">
        <v>50564</v>
      </c>
      <c r="J8340" s="56"/>
      <c r="K8340" s="57"/>
      <c r="L8340" s="56" t="s">
        <v>56716</v>
      </c>
    </row>
    <row r="8341" spans="1:12" ht="11.25" x14ac:dyDescent="0.2">
      <c r="A8341" s="45" t="s">
        <v>49555</v>
      </c>
      <c r="B8341" s="45" t="s">
        <v>49557</v>
      </c>
      <c r="C8341" s="51" t="s">
        <v>49559</v>
      </c>
      <c r="D8341" s="51" t="s">
        <v>56705</v>
      </c>
      <c r="E8341" s="45" t="s">
        <v>49560</v>
      </c>
      <c r="F8341" s="45" t="s">
        <v>17759</v>
      </c>
      <c r="G8341" s="45" t="s">
        <v>50584</v>
      </c>
      <c r="H8341" s="56"/>
      <c r="I8341" s="56" t="s">
        <v>50564</v>
      </c>
      <c r="J8341" s="56"/>
      <c r="K8341" s="57"/>
      <c r="L8341" s="56" t="s">
        <v>56716</v>
      </c>
    </row>
    <row r="8342" spans="1:12" ht="11.25" x14ac:dyDescent="0.2">
      <c r="A8342" s="45" t="s">
        <v>49562</v>
      </c>
      <c r="B8342" s="45" t="s">
        <v>49564</v>
      </c>
      <c r="C8342" s="51" t="s">
        <v>49565</v>
      </c>
      <c r="D8342" s="51"/>
      <c r="E8342" s="45" t="s">
        <v>30892</v>
      </c>
      <c r="F8342" s="45" t="s">
        <v>17759</v>
      </c>
      <c r="G8342" s="45" t="s">
        <v>50584</v>
      </c>
      <c r="H8342" s="56"/>
      <c r="I8342" s="56" t="s">
        <v>50564</v>
      </c>
      <c r="J8342" s="56"/>
      <c r="K8342" s="57"/>
      <c r="L8342" s="56" t="s">
        <v>56716</v>
      </c>
    </row>
    <row r="8343" spans="1:12" ht="11.25" x14ac:dyDescent="0.2">
      <c r="A8343" s="45" t="s">
        <v>49567</v>
      </c>
      <c r="B8343" s="45" t="s">
        <v>49569</v>
      </c>
      <c r="C8343" s="51" t="s">
        <v>49570</v>
      </c>
      <c r="D8343" s="51" t="s">
        <v>56706</v>
      </c>
      <c r="E8343" s="45" t="s">
        <v>49571</v>
      </c>
      <c r="F8343" s="45" t="s">
        <v>17759</v>
      </c>
      <c r="G8343" s="45" t="s">
        <v>50584</v>
      </c>
      <c r="H8343" s="56"/>
      <c r="I8343" s="56" t="s">
        <v>50564</v>
      </c>
      <c r="J8343" s="56"/>
      <c r="K8343" s="57"/>
      <c r="L8343" s="56" t="s">
        <v>56716</v>
      </c>
    </row>
    <row r="8344" spans="1:12" ht="11.25" x14ac:dyDescent="0.2">
      <c r="A8344" s="45" t="s">
        <v>49573</v>
      </c>
      <c r="B8344" s="45" t="s">
        <v>49575</v>
      </c>
      <c r="C8344" s="51" t="s">
        <v>49576</v>
      </c>
      <c r="D8344" s="51"/>
      <c r="E8344" s="45" t="s">
        <v>49560</v>
      </c>
      <c r="F8344" s="45" t="s">
        <v>17759</v>
      </c>
      <c r="G8344" s="45" t="s">
        <v>50584</v>
      </c>
      <c r="H8344" s="56"/>
      <c r="I8344" s="56" t="s">
        <v>50564</v>
      </c>
      <c r="J8344" s="56"/>
      <c r="K8344" s="57"/>
      <c r="L8344" s="56" t="s">
        <v>56716</v>
      </c>
    </row>
    <row r="8345" spans="1:12" ht="11.25" x14ac:dyDescent="0.2">
      <c r="A8345" s="45" t="s">
        <v>49578</v>
      </c>
      <c r="B8345" s="45" t="s">
        <v>49580</v>
      </c>
      <c r="C8345" s="51" t="s">
        <v>49582</v>
      </c>
      <c r="D8345" s="51"/>
      <c r="E8345" s="45" t="s">
        <v>49560</v>
      </c>
      <c r="F8345" s="45" t="s">
        <v>17759</v>
      </c>
      <c r="G8345" s="45" t="s">
        <v>50584</v>
      </c>
      <c r="H8345" s="56"/>
      <c r="I8345" s="56" t="s">
        <v>50564</v>
      </c>
      <c r="J8345" s="56"/>
      <c r="K8345" s="57"/>
      <c r="L8345" s="56" t="s">
        <v>56716</v>
      </c>
    </row>
    <row r="8346" spans="1:12" ht="11.25" x14ac:dyDescent="0.2">
      <c r="A8346" s="45" t="s">
        <v>49584</v>
      </c>
      <c r="B8346" s="45" t="s">
        <v>49586</v>
      </c>
      <c r="C8346" s="51" t="s">
        <v>49588</v>
      </c>
      <c r="D8346" s="51" t="s">
        <v>56707</v>
      </c>
      <c r="E8346" s="45" t="s">
        <v>49560</v>
      </c>
      <c r="F8346" s="45" t="s">
        <v>17759</v>
      </c>
      <c r="G8346" s="45" t="s">
        <v>50584</v>
      </c>
      <c r="H8346" s="56"/>
      <c r="I8346" s="56" t="s">
        <v>50564</v>
      </c>
      <c r="J8346" s="56"/>
      <c r="K8346" s="57"/>
      <c r="L8346" s="56" t="s">
        <v>56716</v>
      </c>
    </row>
    <row r="8347" spans="1:12" ht="11.25" x14ac:dyDescent="0.2">
      <c r="A8347" s="45" t="s">
        <v>49590</v>
      </c>
      <c r="B8347" s="45" t="s">
        <v>49592</v>
      </c>
      <c r="C8347" s="51" t="s">
        <v>49593</v>
      </c>
      <c r="D8347" s="51"/>
      <c r="E8347" s="45" t="s">
        <v>49560</v>
      </c>
      <c r="F8347" s="45" t="s">
        <v>17759</v>
      </c>
      <c r="G8347" s="45" t="s">
        <v>50584</v>
      </c>
      <c r="H8347" s="56"/>
      <c r="I8347" s="56" t="s">
        <v>50564</v>
      </c>
      <c r="J8347" s="56"/>
      <c r="K8347" s="57"/>
      <c r="L8347" s="56" t="s">
        <v>56716</v>
      </c>
    </row>
    <row r="8348" spans="1:12" ht="11.25" x14ac:dyDescent="0.2">
      <c r="A8348" s="45" t="s">
        <v>49595</v>
      </c>
      <c r="B8348" s="45" t="s">
        <v>49597</v>
      </c>
      <c r="C8348" s="51" t="s">
        <v>49599</v>
      </c>
      <c r="D8348" s="51"/>
      <c r="E8348" s="45" t="s">
        <v>49600</v>
      </c>
      <c r="F8348" s="45" t="s">
        <v>17759</v>
      </c>
      <c r="G8348" s="45" t="s">
        <v>50584</v>
      </c>
      <c r="H8348" s="56"/>
      <c r="I8348" s="56" t="s">
        <v>50564</v>
      </c>
      <c r="J8348" s="56"/>
      <c r="K8348" s="57"/>
      <c r="L8348" s="56" t="s">
        <v>56716</v>
      </c>
    </row>
    <row r="8349" spans="1:12" ht="11.25" x14ac:dyDescent="0.2">
      <c r="A8349" s="45" t="s">
        <v>49602</v>
      </c>
      <c r="B8349" s="45" t="s">
        <v>49604</v>
      </c>
      <c r="C8349" s="51" t="s">
        <v>49605</v>
      </c>
      <c r="D8349" s="51"/>
      <c r="E8349" s="45" t="s">
        <v>49606</v>
      </c>
      <c r="F8349" s="45" t="s">
        <v>17759</v>
      </c>
      <c r="G8349" s="45" t="s">
        <v>50584</v>
      </c>
      <c r="H8349" s="56"/>
      <c r="I8349" s="56" t="s">
        <v>50564</v>
      </c>
      <c r="J8349" s="56"/>
      <c r="K8349" s="57"/>
      <c r="L8349" s="56" t="s">
        <v>56716</v>
      </c>
    </row>
    <row r="8350" spans="1:12" ht="11.25" x14ac:dyDescent="0.2">
      <c r="A8350" s="45" t="s">
        <v>49608</v>
      </c>
      <c r="B8350" s="45" t="s">
        <v>49610</v>
      </c>
      <c r="C8350" s="51" t="s">
        <v>49611</v>
      </c>
      <c r="D8350" s="51"/>
      <c r="E8350" s="45" t="s">
        <v>49612</v>
      </c>
      <c r="F8350" s="45" t="s">
        <v>17759</v>
      </c>
      <c r="G8350" s="45" t="s">
        <v>50584</v>
      </c>
      <c r="H8350" s="56"/>
      <c r="I8350" s="56" t="s">
        <v>50564</v>
      </c>
      <c r="J8350" s="56"/>
      <c r="K8350" s="57"/>
      <c r="L8350" s="56" t="s">
        <v>56716</v>
      </c>
    </row>
    <row r="8351" spans="1:12" ht="11.25" x14ac:dyDescent="0.2">
      <c r="A8351" s="45" t="s">
        <v>49614</v>
      </c>
      <c r="B8351" s="45" t="s">
        <v>49616</v>
      </c>
      <c r="C8351" s="51" t="s">
        <v>49617</v>
      </c>
      <c r="D8351" s="51"/>
      <c r="E8351" s="45" t="s">
        <v>21054</v>
      </c>
      <c r="F8351" s="45" t="s">
        <v>17759</v>
      </c>
      <c r="G8351" s="45" t="s">
        <v>50584</v>
      </c>
      <c r="H8351" s="56"/>
      <c r="I8351" s="56" t="s">
        <v>50564</v>
      </c>
      <c r="J8351" s="56"/>
      <c r="K8351" s="57"/>
      <c r="L8351" s="56" t="s">
        <v>56716</v>
      </c>
    </row>
    <row r="8352" spans="1:12" ht="11.25" x14ac:dyDescent="0.2">
      <c r="A8352" s="46" t="s">
        <v>4057</v>
      </c>
      <c r="B8352" s="46" t="s">
        <v>55765</v>
      </c>
      <c r="C8352" s="58" t="str">
        <f>"0042773X"</f>
        <v>0042773X</v>
      </c>
      <c r="D8352" s="58" t="str">
        <f>"18017592"</f>
        <v>18017592</v>
      </c>
      <c r="E8352" s="46" t="s">
        <v>1130</v>
      </c>
      <c r="F8352" s="46" t="s">
        <v>18025</v>
      </c>
      <c r="G8352" s="46" t="s">
        <v>50628</v>
      </c>
      <c r="H8352" s="48" t="s">
        <v>56716</v>
      </c>
      <c r="I8352" s="48" t="s">
        <v>50564</v>
      </c>
      <c r="J8352" s="48"/>
      <c r="K8352" s="57"/>
      <c r="L8352" s="48" t="s">
        <v>56716</v>
      </c>
    </row>
    <row r="8353" spans="1:12" ht="11.25" x14ac:dyDescent="0.2">
      <c r="A8353" s="45" t="s">
        <v>49625</v>
      </c>
      <c r="B8353" s="45" t="s">
        <v>49627</v>
      </c>
      <c r="C8353" s="51" t="s">
        <v>49629</v>
      </c>
      <c r="D8353" s="51"/>
      <c r="E8353" s="45" t="s">
        <v>49630</v>
      </c>
      <c r="F8353" s="45" t="s">
        <v>50653</v>
      </c>
      <c r="G8353" s="45" t="s">
        <v>50619</v>
      </c>
      <c r="H8353" s="56"/>
      <c r="I8353" s="56" t="s">
        <v>50564</v>
      </c>
      <c r="J8353" s="56"/>
      <c r="K8353" s="57"/>
      <c r="L8353" s="56" t="s">
        <v>56716</v>
      </c>
    </row>
    <row r="8354" spans="1:12" ht="11.25" x14ac:dyDescent="0.2">
      <c r="A8354" s="46" t="s">
        <v>4076</v>
      </c>
      <c r="B8354" s="46" t="s">
        <v>55766</v>
      </c>
      <c r="C8354" s="58" t="str">
        <f>"00428450"</f>
        <v>00428450</v>
      </c>
      <c r="D8354" s="58" t="str">
        <f>""</f>
        <v/>
      </c>
      <c r="E8354" s="46" t="s">
        <v>4078</v>
      </c>
      <c r="F8354" s="46" t="s">
        <v>18050</v>
      </c>
      <c r="G8354" s="46" t="s">
        <v>50622</v>
      </c>
      <c r="H8354" s="48" t="s">
        <v>56716</v>
      </c>
      <c r="I8354" s="48" t="s">
        <v>50564</v>
      </c>
      <c r="J8354" s="48"/>
      <c r="K8354" s="57"/>
      <c r="L8354" s="48" t="s">
        <v>56716</v>
      </c>
    </row>
    <row r="8355" spans="1:12" ht="11.25" x14ac:dyDescent="0.2">
      <c r="A8355" s="45" t="s">
        <v>49637</v>
      </c>
      <c r="B8355" s="45" t="s">
        <v>49639</v>
      </c>
      <c r="C8355" s="51" t="s">
        <v>49642</v>
      </c>
      <c r="D8355" s="51" t="s">
        <v>49641</v>
      </c>
      <c r="E8355" s="45" t="s">
        <v>21545</v>
      </c>
      <c r="F8355" s="45" t="s">
        <v>50653</v>
      </c>
      <c r="G8355" s="45" t="s">
        <v>56509</v>
      </c>
      <c r="H8355" s="56"/>
      <c r="I8355" s="56" t="s">
        <v>50564</v>
      </c>
      <c r="J8355" s="56"/>
      <c r="K8355" s="57"/>
      <c r="L8355" s="56" t="s">
        <v>56716</v>
      </c>
    </row>
    <row r="8356" spans="1:12" ht="11.25" x14ac:dyDescent="0.2">
      <c r="A8356" s="46" t="s">
        <v>4060</v>
      </c>
      <c r="B8356" s="46" t="s">
        <v>55767</v>
      </c>
      <c r="C8356" s="58" t="str">
        <f>"05073758"</f>
        <v>05073758</v>
      </c>
      <c r="D8356" s="58" t="str">
        <f>""</f>
        <v/>
      </c>
      <c r="E8356" s="46" t="s">
        <v>4062</v>
      </c>
      <c r="F8356" s="46" t="s">
        <v>50653</v>
      </c>
      <c r="G8356" s="46" t="s">
        <v>50617</v>
      </c>
      <c r="H8356" s="48" t="s">
        <v>56716</v>
      </c>
      <c r="I8356" s="48" t="s">
        <v>50564</v>
      </c>
      <c r="J8356" s="48"/>
      <c r="K8356" s="57"/>
      <c r="L8356" s="48" t="s">
        <v>56716</v>
      </c>
    </row>
    <row r="8357" spans="1:12" ht="11.25" x14ac:dyDescent="0.2">
      <c r="A8357" s="45" t="s">
        <v>49651</v>
      </c>
      <c r="B8357" s="45" t="s">
        <v>49653</v>
      </c>
      <c r="C8357" s="51" t="s">
        <v>49654</v>
      </c>
      <c r="D8357" s="51"/>
      <c r="E8357" s="45" t="s">
        <v>20950</v>
      </c>
      <c r="F8357" s="45" t="s">
        <v>50653</v>
      </c>
      <c r="G8357" s="45" t="s">
        <v>56509</v>
      </c>
      <c r="H8357" s="56"/>
      <c r="I8357" s="56" t="s">
        <v>50564</v>
      </c>
      <c r="J8357" s="56"/>
      <c r="K8357" s="57"/>
      <c r="L8357" s="56" t="s">
        <v>56716</v>
      </c>
    </row>
    <row r="8358" spans="1:12" ht="11.25" x14ac:dyDescent="0.2">
      <c r="A8358" s="45" t="s">
        <v>49656</v>
      </c>
      <c r="B8358" s="45" t="s">
        <v>49658</v>
      </c>
      <c r="C8358" s="51" t="s">
        <v>49659</v>
      </c>
      <c r="D8358" s="51"/>
      <c r="E8358" s="45" t="s">
        <v>20950</v>
      </c>
      <c r="F8358" s="45" t="s">
        <v>50653</v>
      </c>
      <c r="G8358" s="45" t="s">
        <v>56509</v>
      </c>
      <c r="H8358" s="56"/>
      <c r="I8358" s="56" t="s">
        <v>50564</v>
      </c>
      <c r="J8358" s="56"/>
      <c r="K8358" s="57"/>
      <c r="L8358" s="56" t="s">
        <v>56716</v>
      </c>
    </row>
    <row r="8359" spans="1:12" ht="11.25" x14ac:dyDescent="0.2">
      <c r="A8359" s="46" t="s">
        <v>4067</v>
      </c>
      <c r="B8359" s="46" t="s">
        <v>55768</v>
      </c>
      <c r="C8359" s="58" t="str">
        <f>"00429007"</f>
        <v>00429007</v>
      </c>
      <c r="D8359" s="58" t="str">
        <f>"14230410"</f>
        <v>14230410</v>
      </c>
      <c r="E8359" s="46" t="s">
        <v>35</v>
      </c>
      <c r="F8359" s="46" t="s">
        <v>50646</v>
      </c>
      <c r="G8359" s="46" t="s">
        <v>50584</v>
      </c>
      <c r="H8359" s="48" t="s">
        <v>56716</v>
      </c>
      <c r="I8359" s="48" t="s">
        <v>50564</v>
      </c>
      <c r="J8359" s="48" t="s">
        <v>56716</v>
      </c>
      <c r="K8359" s="50" t="s">
        <v>56716</v>
      </c>
      <c r="L8359" s="48" t="s">
        <v>56716</v>
      </c>
    </row>
    <row r="8360" spans="1:12" ht="11.25" x14ac:dyDescent="0.2">
      <c r="A8360" s="46" t="s">
        <v>4970</v>
      </c>
      <c r="B8360" s="46" t="s">
        <v>55769</v>
      </c>
      <c r="C8360" s="58" t="str">
        <f>"0956053X"</f>
        <v>0956053X</v>
      </c>
      <c r="D8360" s="58" t="str">
        <f>"18792456"</f>
        <v>18792456</v>
      </c>
      <c r="E8360" s="46" t="s">
        <v>155</v>
      </c>
      <c r="F8360" s="46" t="s">
        <v>50646</v>
      </c>
      <c r="G8360" s="46" t="s">
        <v>50584</v>
      </c>
      <c r="H8360" s="48" t="s">
        <v>56716</v>
      </c>
      <c r="I8360" s="48" t="s">
        <v>50564</v>
      </c>
      <c r="J8360" s="48" t="s">
        <v>56716</v>
      </c>
      <c r="K8360" s="50" t="s">
        <v>56716</v>
      </c>
      <c r="L8360" s="48" t="s">
        <v>56716</v>
      </c>
    </row>
    <row r="8361" spans="1:12" ht="11.25" x14ac:dyDescent="0.2">
      <c r="A8361" s="46" t="s">
        <v>4098</v>
      </c>
      <c r="B8361" s="46" t="s">
        <v>55770</v>
      </c>
      <c r="C8361" s="58" t="str">
        <f>"0734242X"</f>
        <v>0734242X</v>
      </c>
      <c r="D8361" s="58" t="str">
        <f>"10963669"</f>
        <v>10963669</v>
      </c>
      <c r="E8361" s="46" t="s">
        <v>97</v>
      </c>
      <c r="F8361" s="46" t="s">
        <v>50646</v>
      </c>
      <c r="G8361" s="46" t="s">
        <v>50584</v>
      </c>
      <c r="H8361" s="48" t="s">
        <v>56716</v>
      </c>
      <c r="I8361" s="48" t="s">
        <v>50564</v>
      </c>
      <c r="J8361" s="48" t="s">
        <v>56716</v>
      </c>
      <c r="K8361" s="57"/>
      <c r="L8361" s="48" t="s">
        <v>56716</v>
      </c>
    </row>
    <row r="8362" spans="1:12" ht="11.25" x14ac:dyDescent="0.2">
      <c r="A8362" s="46" t="s">
        <v>11581</v>
      </c>
      <c r="B8362" s="46" t="s">
        <v>55771</v>
      </c>
      <c r="C8362" s="58" t="str">
        <f>"17476585"</f>
        <v>17476585</v>
      </c>
      <c r="D8362" s="58" t="str">
        <f>"17476593"</f>
        <v>17476593</v>
      </c>
      <c r="E8362" s="46" t="s">
        <v>35</v>
      </c>
      <c r="F8362" s="46" t="s">
        <v>50646</v>
      </c>
      <c r="G8362" s="46" t="s">
        <v>50584</v>
      </c>
      <c r="H8362" s="48" t="s">
        <v>56716</v>
      </c>
      <c r="I8362" s="48" t="s">
        <v>50564</v>
      </c>
      <c r="J8362" s="48" t="s">
        <v>56716</v>
      </c>
      <c r="K8362" s="50" t="s">
        <v>56716</v>
      </c>
      <c r="L8362" s="48"/>
    </row>
    <row r="8363" spans="1:12" ht="11.25" x14ac:dyDescent="0.2">
      <c r="A8363" s="46" t="s">
        <v>5829</v>
      </c>
      <c r="B8363" s="46" t="s">
        <v>55772</v>
      </c>
      <c r="C8363" s="58" t="str">
        <f>"10614303"</f>
        <v>10614303</v>
      </c>
      <c r="D8363" s="58" t="str">
        <f>"15547531"</f>
        <v>15547531</v>
      </c>
      <c r="E8363" s="46" t="s">
        <v>5832</v>
      </c>
      <c r="F8363" s="46" t="s">
        <v>17759</v>
      </c>
      <c r="G8363" s="46" t="s">
        <v>50584</v>
      </c>
      <c r="H8363" s="48" t="s">
        <v>56716</v>
      </c>
      <c r="I8363" s="48" t="s">
        <v>50564</v>
      </c>
      <c r="J8363" s="48" t="s">
        <v>56716</v>
      </c>
      <c r="K8363" s="57"/>
      <c r="L8363" s="48" t="s">
        <v>56716</v>
      </c>
    </row>
    <row r="8364" spans="1:12" ht="11.25" x14ac:dyDescent="0.2">
      <c r="A8364" s="46" t="s">
        <v>4086</v>
      </c>
      <c r="B8364" s="46" t="s">
        <v>55773</v>
      </c>
      <c r="C8364" s="58" t="str">
        <f>"00431354"</f>
        <v>00431354</v>
      </c>
      <c r="D8364" s="58" t="str">
        <f>"18792448"</f>
        <v>18792448</v>
      </c>
      <c r="E8364" s="46" t="s">
        <v>155</v>
      </c>
      <c r="F8364" s="46" t="s">
        <v>50646</v>
      </c>
      <c r="G8364" s="46" t="s">
        <v>50584</v>
      </c>
      <c r="H8364" s="48" t="s">
        <v>56716</v>
      </c>
      <c r="I8364" s="48" t="s">
        <v>50564</v>
      </c>
      <c r="J8364" s="48" t="s">
        <v>56716</v>
      </c>
      <c r="K8364" s="50" t="s">
        <v>56716</v>
      </c>
      <c r="L8364" s="48" t="s">
        <v>56716</v>
      </c>
    </row>
    <row r="8365" spans="1:12" ht="11.25" x14ac:dyDescent="0.2">
      <c r="A8365" s="46" t="s">
        <v>4107</v>
      </c>
      <c r="B8365" s="46" t="s">
        <v>55774</v>
      </c>
      <c r="C8365" s="58" t="str">
        <f>"02731223"</f>
        <v>02731223</v>
      </c>
      <c r="D8365" s="58" t="str">
        <f>""</f>
        <v/>
      </c>
      <c r="E8365" s="46" t="s">
        <v>4109</v>
      </c>
      <c r="F8365" s="46" t="s">
        <v>50646</v>
      </c>
      <c r="G8365" s="46" t="s">
        <v>50584</v>
      </c>
      <c r="H8365" s="48" t="s">
        <v>56716</v>
      </c>
      <c r="I8365" s="48" t="s">
        <v>50564</v>
      </c>
      <c r="J8365" s="48"/>
      <c r="K8365" s="57"/>
      <c r="L8365" s="48" t="s">
        <v>56716</v>
      </c>
    </row>
    <row r="8366" spans="1:12" ht="11.25" x14ac:dyDescent="0.2">
      <c r="A8366" s="46" t="s">
        <v>8906</v>
      </c>
      <c r="B8366" s="46" t="s">
        <v>55775</v>
      </c>
      <c r="C8366" s="58" t="str">
        <f>"16069749"</f>
        <v>16069749</v>
      </c>
      <c r="D8366" s="58" t="str">
        <f>""</f>
        <v/>
      </c>
      <c r="E8366" s="46" t="s">
        <v>4109</v>
      </c>
      <c r="F8366" s="46" t="s">
        <v>50646</v>
      </c>
      <c r="G8366" s="46" t="s">
        <v>50584</v>
      </c>
      <c r="H8366" s="48" t="s">
        <v>56716</v>
      </c>
      <c r="I8366" s="48" t="s">
        <v>50565</v>
      </c>
      <c r="J8366" s="48"/>
      <c r="K8366" s="57"/>
      <c r="L8366" s="48"/>
    </row>
    <row r="8367" spans="1:12" ht="11.25" x14ac:dyDescent="0.2">
      <c r="A8367" s="46" t="s">
        <v>4083</v>
      </c>
      <c r="B8367" s="46" t="s">
        <v>55776</v>
      </c>
      <c r="C8367" s="58" t="str">
        <f>"00496979"</f>
        <v>00496979</v>
      </c>
      <c r="D8367" s="58" t="str">
        <f>"15732932"</f>
        <v>15732932</v>
      </c>
      <c r="E8367" s="46" t="s">
        <v>18876</v>
      </c>
      <c r="F8367" s="46" t="s">
        <v>18001</v>
      </c>
      <c r="G8367" s="46" t="s">
        <v>50584</v>
      </c>
      <c r="H8367" s="48" t="s">
        <v>56716</v>
      </c>
      <c r="I8367" s="48" t="s">
        <v>50564</v>
      </c>
      <c r="J8367" s="48"/>
      <c r="K8367" s="57"/>
      <c r="L8367" s="48"/>
    </row>
    <row r="8368" spans="1:12" ht="11.25" x14ac:dyDescent="0.2">
      <c r="A8368" s="45" t="s">
        <v>49694</v>
      </c>
      <c r="B8368" s="45" t="s">
        <v>49696</v>
      </c>
      <c r="C8368" s="51" t="s">
        <v>49697</v>
      </c>
      <c r="D8368" s="51"/>
      <c r="E8368" s="45" t="s">
        <v>6433</v>
      </c>
      <c r="F8368" s="45" t="s">
        <v>17958</v>
      </c>
      <c r="G8368" s="45" t="s">
        <v>50586</v>
      </c>
      <c r="H8368" s="56"/>
      <c r="I8368" s="56" t="s">
        <v>50564</v>
      </c>
      <c r="J8368" s="56"/>
      <c r="K8368" s="57"/>
      <c r="L8368" s="56" t="s">
        <v>56716</v>
      </c>
    </row>
    <row r="8369" spans="1:12" ht="11.25" x14ac:dyDescent="0.2">
      <c r="A8369" s="45" t="s">
        <v>49699</v>
      </c>
      <c r="B8369" s="45" t="s">
        <v>49701</v>
      </c>
      <c r="C8369" s="51" t="s">
        <v>49702</v>
      </c>
      <c r="D8369" s="51"/>
      <c r="E8369" s="45" t="s">
        <v>49703</v>
      </c>
      <c r="F8369" s="45" t="s">
        <v>17958</v>
      </c>
      <c r="G8369" s="45" t="s">
        <v>50586</v>
      </c>
      <c r="H8369" s="56"/>
      <c r="I8369" s="56" t="s">
        <v>50564</v>
      </c>
      <c r="J8369" s="56"/>
      <c r="K8369" s="57"/>
      <c r="L8369" s="56" t="s">
        <v>56716</v>
      </c>
    </row>
    <row r="8370" spans="1:12" ht="11.25" x14ac:dyDescent="0.2">
      <c r="A8370" s="46" t="s">
        <v>9374</v>
      </c>
      <c r="B8370" s="46" t="s">
        <v>55777</v>
      </c>
      <c r="C8370" s="58" t="str">
        <f>"0189160X"</f>
        <v>0189160X</v>
      </c>
      <c r="D8370" s="58" t="str">
        <f>""</f>
        <v/>
      </c>
      <c r="E8370" s="46" t="s">
        <v>9374</v>
      </c>
      <c r="F8370" s="46" t="s">
        <v>19049</v>
      </c>
      <c r="G8370" s="46" t="s">
        <v>50584</v>
      </c>
      <c r="H8370" s="48" t="s">
        <v>56716</v>
      </c>
      <c r="I8370" s="48" t="s">
        <v>50564</v>
      </c>
      <c r="J8370" s="48"/>
      <c r="K8370" s="57"/>
      <c r="L8370" s="48" t="s">
        <v>56716</v>
      </c>
    </row>
    <row r="8371" spans="1:12" ht="11.25" x14ac:dyDescent="0.2">
      <c r="A8371" s="46" t="s">
        <v>4091</v>
      </c>
      <c r="B8371" s="46" t="s">
        <v>55778</v>
      </c>
      <c r="C8371" s="58" t="str">
        <f>"00433144"</f>
        <v>00433144</v>
      </c>
      <c r="D8371" s="58" t="str">
        <f>""</f>
        <v/>
      </c>
      <c r="E8371" s="46" t="s">
        <v>4093</v>
      </c>
      <c r="F8371" s="46" t="s">
        <v>49715</v>
      </c>
      <c r="G8371" s="46" t="s">
        <v>50584</v>
      </c>
      <c r="H8371" s="48" t="s">
        <v>56716</v>
      </c>
      <c r="I8371" s="48" t="s">
        <v>50564</v>
      </c>
      <c r="J8371" s="48"/>
      <c r="K8371" s="57"/>
      <c r="L8371" s="48" t="s">
        <v>56716</v>
      </c>
    </row>
    <row r="8372" spans="1:12" ht="11.25" x14ac:dyDescent="0.2">
      <c r="A8372" s="46" t="s">
        <v>12804</v>
      </c>
      <c r="B8372" s="46" t="s">
        <v>55779</v>
      </c>
      <c r="C8372" s="58" t="str">
        <f>"1936900X"</f>
        <v>1936900X</v>
      </c>
      <c r="D8372" s="58" t="str">
        <f>"19369018"</f>
        <v>19369018</v>
      </c>
      <c r="E8372" s="46" t="s">
        <v>56368</v>
      </c>
      <c r="F8372" s="46" t="s">
        <v>17759</v>
      </c>
      <c r="G8372" s="46" t="s">
        <v>50584</v>
      </c>
      <c r="H8372" s="48" t="s">
        <v>56716</v>
      </c>
      <c r="I8372" s="48" t="s">
        <v>50564</v>
      </c>
      <c r="J8372" s="48"/>
      <c r="K8372" s="57"/>
      <c r="L8372" s="48" t="s">
        <v>56716</v>
      </c>
    </row>
    <row r="8373" spans="1:12" ht="11.25" x14ac:dyDescent="0.2">
      <c r="A8373" s="45" t="s">
        <v>49724</v>
      </c>
      <c r="B8373" s="45" t="s">
        <v>49726</v>
      </c>
      <c r="C8373" s="51" t="s">
        <v>49728</v>
      </c>
      <c r="D8373" s="51" t="s">
        <v>49727</v>
      </c>
      <c r="E8373" s="45" t="s">
        <v>19447</v>
      </c>
      <c r="F8373" s="45" t="s">
        <v>17759</v>
      </c>
      <c r="G8373" s="45" t="s">
        <v>50584</v>
      </c>
      <c r="H8373" s="56"/>
      <c r="I8373" s="56" t="s">
        <v>50564</v>
      </c>
      <c r="J8373" s="56"/>
      <c r="K8373" s="57"/>
      <c r="L8373" s="56" t="s">
        <v>56716</v>
      </c>
    </row>
    <row r="8374" spans="1:12" ht="11.25" x14ac:dyDescent="0.2">
      <c r="A8374" s="45" t="s">
        <v>49731</v>
      </c>
      <c r="B8374" s="45" t="s">
        <v>49733</v>
      </c>
      <c r="C8374" s="51" t="s">
        <v>49735</v>
      </c>
      <c r="D8374" s="51" t="s">
        <v>49734</v>
      </c>
      <c r="E8374" s="45" t="s">
        <v>49736</v>
      </c>
      <c r="F8374" s="45" t="s">
        <v>49737</v>
      </c>
      <c r="G8374" s="45" t="s">
        <v>50584</v>
      </c>
      <c r="H8374" s="56"/>
      <c r="I8374" s="56" t="s">
        <v>50564</v>
      </c>
      <c r="J8374" s="56"/>
      <c r="K8374" s="57"/>
      <c r="L8374" s="56" t="s">
        <v>56716</v>
      </c>
    </row>
    <row r="8375" spans="1:12" ht="11.25" x14ac:dyDescent="0.2">
      <c r="A8375" s="46" t="s">
        <v>6855</v>
      </c>
      <c r="B8375" s="46" t="s">
        <v>55780</v>
      </c>
      <c r="C8375" s="58" t="str">
        <f>"10109609"</f>
        <v>10109609</v>
      </c>
      <c r="D8375" s="58" t="str">
        <f>""</f>
        <v/>
      </c>
      <c r="E8375" s="46" t="s">
        <v>955</v>
      </c>
      <c r="F8375" s="46" t="s">
        <v>18123</v>
      </c>
      <c r="G8375" s="46" t="s">
        <v>50584</v>
      </c>
      <c r="H8375" s="48" t="s">
        <v>56716</v>
      </c>
      <c r="I8375" s="48" t="s">
        <v>50564</v>
      </c>
      <c r="J8375" s="48"/>
      <c r="K8375" s="57"/>
      <c r="L8375" s="48"/>
    </row>
    <row r="8376" spans="1:12" ht="11.25" x14ac:dyDescent="0.2">
      <c r="A8376" s="45" t="s">
        <v>49739</v>
      </c>
      <c r="B8376" s="45" t="s">
        <v>49741</v>
      </c>
      <c r="C8376" s="51" t="s">
        <v>49742</v>
      </c>
      <c r="D8376" s="51"/>
      <c r="E8376" s="45" t="s">
        <v>955</v>
      </c>
      <c r="F8376" s="45" t="s">
        <v>18305</v>
      </c>
      <c r="G8376" s="45" t="s">
        <v>50584</v>
      </c>
      <c r="H8376" s="56"/>
      <c r="I8376" s="56" t="s">
        <v>50564</v>
      </c>
      <c r="J8376" s="56"/>
      <c r="K8376" s="57"/>
      <c r="L8376" s="56" t="s">
        <v>56716</v>
      </c>
    </row>
    <row r="8377" spans="1:12" ht="11.25" x14ac:dyDescent="0.2">
      <c r="A8377" s="45" t="s">
        <v>49744</v>
      </c>
      <c r="B8377" s="45" t="s">
        <v>49746</v>
      </c>
      <c r="C8377" s="51" t="s">
        <v>49748</v>
      </c>
      <c r="D8377" s="51"/>
      <c r="E8377" s="45" t="s">
        <v>49749</v>
      </c>
      <c r="F8377" s="45" t="s">
        <v>17967</v>
      </c>
      <c r="G8377" s="45" t="s">
        <v>50611</v>
      </c>
      <c r="H8377" s="56"/>
      <c r="I8377" s="56" t="s">
        <v>50564</v>
      </c>
      <c r="J8377" s="56"/>
      <c r="K8377" s="57"/>
      <c r="L8377" s="56" t="s">
        <v>56716</v>
      </c>
    </row>
    <row r="8378" spans="1:12" ht="11.25" x14ac:dyDescent="0.2">
      <c r="A8378" s="46" t="s">
        <v>12071</v>
      </c>
      <c r="B8378" s="46" t="s">
        <v>55781</v>
      </c>
      <c r="C8378" s="58" t="str">
        <f>"15057429"</f>
        <v>15057429</v>
      </c>
      <c r="D8378" s="58" t="str">
        <f>""</f>
        <v/>
      </c>
      <c r="E8378" s="46" t="s">
        <v>56270</v>
      </c>
      <c r="F8378" s="46" t="s">
        <v>17967</v>
      </c>
      <c r="G8378" s="46" t="s">
        <v>50612</v>
      </c>
      <c r="H8378" s="48" t="s">
        <v>56716</v>
      </c>
      <c r="I8378" s="48" t="s">
        <v>50564</v>
      </c>
      <c r="J8378" s="48"/>
      <c r="K8378" s="57"/>
      <c r="L8378" s="48"/>
    </row>
    <row r="8379" spans="1:12" ht="11.25" x14ac:dyDescent="0.2">
      <c r="A8379" s="46" t="s">
        <v>12028</v>
      </c>
      <c r="B8379" s="46" t="s">
        <v>55782</v>
      </c>
      <c r="C8379" s="58" t="str">
        <f>"18954588"</f>
        <v>18954588</v>
      </c>
      <c r="D8379" s="58" t="str">
        <f>"22990054"</f>
        <v>22990054</v>
      </c>
      <c r="E8379" s="46" t="s">
        <v>3134</v>
      </c>
      <c r="F8379" s="46" t="s">
        <v>17967</v>
      </c>
      <c r="G8379" s="46" t="s">
        <v>50612</v>
      </c>
      <c r="H8379" s="48" t="s">
        <v>56716</v>
      </c>
      <c r="I8379" s="48" t="s">
        <v>50564</v>
      </c>
      <c r="J8379" s="48"/>
      <c r="K8379" s="57"/>
      <c r="L8379" s="48"/>
    </row>
    <row r="8380" spans="1:12" ht="11.25" x14ac:dyDescent="0.2">
      <c r="A8380" s="46" t="s">
        <v>4095</v>
      </c>
      <c r="B8380" s="46" t="s">
        <v>55783</v>
      </c>
      <c r="C8380" s="58" t="str">
        <f>"00435325"</f>
        <v>00435325</v>
      </c>
      <c r="D8380" s="58" t="str">
        <f>"16137671"</f>
        <v>16137671</v>
      </c>
      <c r="E8380" s="46" t="s">
        <v>55904</v>
      </c>
      <c r="F8380" s="46" t="s">
        <v>18288</v>
      </c>
      <c r="G8380" s="46" t="s">
        <v>50592</v>
      </c>
      <c r="H8380" s="48" t="s">
        <v>56716</v>
      </c>
      <c r="I8380" s="48" t="s">
        <v>50564</v>
      </c>
      <c r="J8380" s="48"/>
      <c r="K8380" s="50" t="s">
        <v>56716</v>
      </c>
      <c r="L8380" s="48" t="s">
        <v>56716</v>
      </c>
    </row>
    <row r="8381" spans="1:12" ht="11.25" x14ac:dyDescent="0.2">
      <c r="A8381" s="46" t="s">
        <v>4104</v>
      </c>
      <c r="B8381" s="46" t="s">
        <v>55784</v>
      </c>
      <c r="C8381" s="58" t="str">
        <f>"00435341"</f>
        <v>00435341</v>
      </c>
      <c r="D8381" s="58" t="str">
        <f>"1563258X"</f>
        <v>1563258X</v>
      </c>
      <c r="E8381" s="46" t="s">
        <v>55904</v>
      </c>
      <c r="F8381" s="46" t="s">
        <v>18288</v>
      </c>
      <c r="G8381" s="46" t="s">
        <v>50593</v>
      </c>
      <c r="H8381" s="48" t="s">
        <v>56716</v>
      </c>
      <c r="I8381" s="48" t="s">
        <v>50564</v>
      </c>
      <c r="J8381" s="48"/>
      <c r="K8381" s="50" t="s">
        <v>56716</v>
      </c>
      <c r="L8381" s="48" t="s">
        <v>56716</v>
      </c>
    </row>
    <row r="8382" spans="1:12" ht="11.25" x14ac:dyDescent="0.2">
      <c r="A8382" s="45" t="s">
        <v>49766</v>
      </c>
      <c r="B8382" s="45" t="s">
        <v>49768</v>
      </c>
      <c r="C8382" s="51" t="s">
        <v>49771</v>
      </c>
      <c r="D8382" s="51" t="s">
        <v>49770</v>
      </c>
      <c r="E8382" s="45" t="s">
        <v>91</v>
      </c>
      <c r="F8382" s="45" t="s">
        <v>17759</v>
      </c>
      <c r="G8382" s="45" t="s">
        <v>50584</v>
      </c>
      <c r="H8382" s="56"/>
      <c r="I8382" s="56" t="s">
        <v>50564</v>
      </c>
      <c r="J8382" s="56"/>
      <c r="K8382" s="57"/>
      <c r="L8382" s="56" t="s">
        <v>56716</v>
      </c>
    </row>
    <row r="8383" spans="1:12" ht="11.25" x14ac:dyDescent="0.2">
      <c r="A8383" s="46" t="s">
        <v>17148</v>
      </c>
      <c r="B8383" s="46" t="s">
        <v>55881</v>
      </c>
      <c r="C8383" s="58" t="str">
        <f>"17597684"</f>
        <v>17597684</v>
      </c>
      <c r="D8383" s="58" t="str">
        <f>"17597692"</f>
        <v>17597692</v>
      </c>
      <c r="E8383" s="46" t="s">
        <v>517</v>
      </c>
      <c r="F8383" s="46" t="s">
        <v>17759</v>
      </c>
      <c r="G8383" s="46" t="s">
        <v>50584</v>
      </c>
      <c r="H8383" s="48" t="s">
        <v>56716</v>
      </c>
      <c r="I8383" s="48" t="s">
        <v>50564</v>
      </c>
      <c r="J8383" s="48" t="s">
        <v>56716</v>
      </c>
      <c r="K8383" s="50" t="s">
        <v>56716</v>
      </c>
      <c r="L8383" s="48" t="s">
        <v>56716</v>
      </c>
    </row>
    <row r="8384" spans="1:12" ht="11.25" x14ac:dyDescent="0.2">
      <c r="A8384" s="46" t="s">
        <v>16680</v>
      </c>
      <c r="B8384" s="46" t="s">
        <v>55785</v>
      </c>
      <c r="C8384" s="58" t="str">
        <f>"2190460X"</f>
        <v>2190460X</v>
      </c>
      <c r="D8384" s="58" t="str">
        <f>"21904618"</f>
        <v>21904618</v>
      </c>
      <c r="E8384" s="46" t="s">
        <v>651</v>
      </c>
      <c r="F8384" s="46" t="s">
        <v>18158</v>
      </c>
      <c r="G8384" s="46" t="s">
        <v>50584</v>
      </c>
      <c r="H8384" s="48" t="s">
        <v>56716</v>
      </c>
      <c r="I8384" s="48" t="s">
        <v>50564</v>
      </c>
      <c r="J8384" s="48" t="s">
        <v>56716</v>
      </c>
      <c r="K8384" s="57"/>
      <c r="L8384" s="48"/>
    </row>
    <row r="8385" spans="1:12" ht="11.25" x14ac:dyDescent="0.2">
      <c r="A8385" s="46" t="s">
        <v>14172</v>
      </c>
      <c r="B8385" s="46" t="s">
        <v>55786</v>
      </c>
      <c r="C8385" s="58" t="str">
        <f>"19395116"</f>
        <v>19395116</v>
      </c>
      <c r="D8385" s="58" t="str">
        <f>"19390041"</f>
        <v>19390041</v>
      </c>
      <c r="E8385" s="46" t="s">
        <v>970</v>
      </c>
      <c r="F8385" s="46" t="s">
        <v>17759</v>
      </c>
      <c r="G8385" s="46" t="s">
        <v>50584</v>
      </c>
      <c r="H8385" s="48" t="s">
        <v>56716</v>
      </c>
      <c r="I8385" s="48" t="s">
        <v>50564</v>
      </c>
      <c r="J8385" s="48" t="s">
        <v>56716</v>
      </c>
      <c r="K8385" s="50" t="s">
        <v>56716</v>
      </c>
      <c r="L8385" s="48" t="s">
        <v>56716</v>
      </c>
    </row>
    <row r="8386" spans="1:12" ht="11.25" x14ac:dyDescent="0.2">
      <c r="A8386" s="46" t="s">
        <v>15820</v>
      </c>
      <c r="B8386" s="46" t="s">
        <v>55787</v>
      </c>
      <c r="C8386" s="58" t="str">
        <f>"17577004"</f>
        <v>17577004</v>
      </c>
      <c r="D8386" s="58" t="str">
        <f>"17577012"</f>
        <v>17577012</v>
      </c>
      <c r="E8386" s="46" t="s">
        <v>35</v>
      </c>
      <c r="F8386" s="46" t="s">
        <v>50646</v>
      </c>
      <c r="G8386" s="46" t="s">
        <v>50584</v>
      </c>
      <c r="H8386" s="48" t="s">
        <v>56716</v>
      </c>
      <c r="I8386" s="48" t="s">
        <v>50564</v>
      </c>
      <c r="J8386" s="48" t="s">
        <v>56716</v>
      </c>
      <c r="K8386" s="50" t="s">
        <v>56716</v>
      </c>
      <c r="L8386" s="48" t="s">
        <v>56716</v>
      </c>
    </row>
    <row r="8387" spans="1:12" ht="11.25" x14ac:dyDescent="0.2">
      <c r="A8387" s="46" t="s">
        <v>15420</v>
      </c>
      <c r="B8387" s="46" t="s">
        <v>55788</v>
      </c>
      <c r="C8387" s="58" t="str">
        <f>"19395094"</f>
        <v>19395094</v>
      </c>
      <c r="D8387" s="58" t="str">
        <f>"1939005X"</f>
        <v>1939005X</v>
      </c>
      <c r="E8387" s="46" t="s">
        <v>970</v>
      </c>
      <c r="F8387" s="46" t="s">
        <v>17759</v>
      </c>
      <c r="G8387" s="46" t="s">
        <v>50584</v>
      </c>
      <c r="H8387" s="48" t="s">
        <v>56716</v>
      </c>
      <c r="I8387" s="48" t="s">
        <v>50564</v>
      </c>
      <c r="J8387" s="48"/>
      <c r="K8387" s="50" t="s">
        <v>56716</v>
      </c>
      <c r="L8387" s="48" t="s">
        <v>56716</v>
      </c>
    </row>
    <row r="8388" spans="1:12" ht="11.25" x14ac:dyDescent="0.2">
      <c r="A8388" s="45" t="s">
        <v>49790</v>
      </c>
      <c r="B8388" s="45" t="s">
        <v>49792</v>
      </c>
      <c r="C8388" s="51"/>
      <c r="D8388" s="51"/>
      <c r="E8388" s="45" t="s">
        <v>49793</v>
      </c>
      <c r="F8388" s="45" t="s">
        <v>17759</v>
      </c>
      <c r="G8388" s="45" t="s">
        <v>50584</v>
      </c>
      <c r="H8388" s="56"/>
      <c r="I8388" s="56" t="s">
        <v>50564</v>
      </c>
      <c r="J8388" s="56"/>
      <c r="K8388" s="57"/>
      <c r="L8388" s="56" t="s">
        <v>56716</v>
      </c>
    </row>
    <row r="8389" spans="1:12" ht="11.25" x14ac:dyDescent="0.2">
      <c r="A8389" s="46" t="s">
        <v>4101</v>
      </c>
      <c r="B8389" s="46" t="s">
        <v>55789</v>
      </c>
      <c r="C8389" s="58" t="str">
        <f>"10981861"</f>
        <v>10981861</v>
      </c>
      <c r="D8389" s="58" t="str">
        <f>""</f>
        <v/>
      </c>
      <c r="E8389" s="46" t="s">
        <v>4103</v>
      </c>
      <c r="F8389" s="46" t="s">
        <v>17759</v>
      </c>
      <c r="G8389" s="46" t="s">
        <v>50584</v>
      </c>
      <c r="H8389" s="48" t="s">
        <v>56716</v>
      </c>
      <c r="I8389" s="48" t="s">
        <v>50564</v>
      </c>
      <c r="J8389" s="48"/>
      <c r="K8389" s="57"/>
      <c r="L8389" s="48" t="s">
        <v>56716</v>
      </c>
    </row>
    <row r="8390" spans="1:12" ht="11.25" x14ac:dyDescent="0.2">
      <c r="A8390" s="46" t="s">
        <v>55983</v>
      </c>
      <c r="B8390" s="46" t="s">
        <v>55984</v>
      </c>
      <c r="C8390" s="58" t="str">
        <f>"2213560X"</f>
        <v>2213560X</v>
      </c>
      <c r="D8390" s="58" t="str">
        <f>"17438942"</f>
        <v>17438942</v>
      </c>
      <c r="E8390" s="46" t="s">
        <v>6159</v>
      </c>
      <c r="F8390" s="46" t="s">
        <v>18158</v>
      </c>
      <c r="G8390" s="46" t="s">
        <v>50584</v>
      </c>
      <c r="H8390" s="48" t="s">
        <v>56716</v>
      </c>
      <c r="I8390" s="48" t="s">
        <v>50564</v>
      </c>
      <c r="J8390" s="48" t="s">
        <v>56716</v>
      </c>
      <c r="K8390" s="50" t="s">
        <v>56716</v>
      </c>
      <c r="L8390" s="48"/>
    </row>
    <row r="8391" spans="1:12" ht="11.25" x14ac:dyDescent="0.2">
      <c r="A8391" s="45" t="s">
        <v>49801</v>
      </c>
      <c r="B8391" s="45" t="s">
        <v>49803</v>
      </c>
      <c r="C8391" s="51" t="s">
        <v>49805</v>
      </c>
      <c r="D8391" s="51" t="s">
        <v>49804</v>
      </c>
      <c r="E8391" s="45" t="s">
        <v>689</v>
      </c>
      <c r="F8391" s="45" t="s">
        <v>17759</v>
      </c>
      <c r="G8391" s="45" t="s">
        <v>50584</v>
      </c>
      <c r="H8391" s="56"/>
      <c r="I8391" s="56" t="s">
        <v>50564</v>
      </c>
      <c r="J8391" s="56"/>
      <c r="K8391" s="57"/>
      <c r="L8391" s="56" t="s">
        <v>56716</v>
      </c>
    </row>
    <row r="8392" spans="1:12" ht="11.25" x14ac:dyDescent="0.2">
      <c r="A8392" s="46" t="s">
        <v>11569</v>
      </c>
      <c r="B8392" s="46" t="s">
        <v>49811</v>
      </c>
      <c r="C8392" s="58" t="str">
        <f>"18715192"</f>
        <v>18715192</v>
      </c>
      <c r="D8392" s="58" t="str">
        <f>"18781799"</f>
        <v>18781799</v>
      </c>
      <c r="E8392" s="46" t="s">
        <v>91</v>
      </c>
      <c r="F8392" s="46" t="s">
        <v>18001</v>
      </c>
      <c r="G8392" s="46" t="s">
        <v>50584</v>
      </c>
      <c r="H8392" s="48" t="s">
        <v>56716</v>
      </c>
      <c r="I8392" s="48" t="s">
        <v>50564</v>
      </c>
      <c r="J8392" s="48" t="s">
        <v>56716</v>
      </c>
      <c r="K8392" s="50" t="s">
        <v>56716</v>
      </c>
      <c r="L8392" s="48" t="s">
        <v>56716</v>
      </c>
    </row>
    <row r="8393" spans="1:12" ht="11.25" x14ac:dyDescent="0.2">
      <c r="A8393" s="46" t="s">
        <v>11197</v>
      </c>
      <c r="B8393" s="46" t="s">
        <v>11197</v>
      </c>
      <c r="C8393" s="58" t="str">
        <f>"17455057"</f>
        <v>17455057</v>
      </c>
      <c r="D8393" s="58" t="str">
        <f>"17455065"</f>
        <v>17455065</v>
      </c>
      <c r="E8393" s="46" t="s">
        <v>8442</v>
      </c>
      <c r="F8393" s="46" t="s">
        <v>50646</v>
      </c>
      <c r="G8393" s="46" t="s">
        <v>50584</v>
      </c>
      <c r="H8393" s="48" t="s">
        <v>56716</v>
      </c>
      <c r="I8393" s="48" t="s">
        <v>50564</v>
      </c>
      <c r="J8393" s="48"/>
      <c r="K8393" s="57"/>
      <c r="L8393" s="48" t="s">
        <v>56716</v>
      </c>
    </row>
    <row r="8394" spans="1:12" ht="11.25" x14ac:dyDescent="0.2">
      <c r="A8394" s="46" t="s">
        <v>5702</v>
      </c>
      <c r="B8394" s="46" t="s">
        <v>5702</v>
      </c>
      <c r="C8394" s="58" t="str">
        <f>"10493867"</f>
        <v>10493867</v>
      </c>
      <c r="D8394" s="58" t="str">
        <f>"18784321"</f>
        <v>18784321</v>
      </c>
      <c r="E8394" s="46" t="s">
        <v>673</v>
      </c>
      <c r="F8394" s="46" t="s">
        <v>17759</v>
      </c>
      <c r="G8394" s="46" t="s">
        <v>50584</v>
      </c>
      <c r="H8394" s="48" t="s">
        <v>56716</v>
      </c>
      <c r="I8394" s="48" t="s">
        <v>50564</v>
      </c>
      <c r="J8394" s="48"/>
      <c r="K8394" s="50" t="s">
        <v>56716</v>
      </c>
      <c r="L8394" s="48" t="s">
        <v>56716</v>
      </c>
    </row>
    <row r="8395" spans="1:12" ht="11.25" x14ac:dyDescent="0.2">
      <c r="A8395" s="45" t="s">
        <v>49828</v>
      </c>
      <c r="B8395" s="45" t="s">
        <v>49830</v>
      </c>
      <c r="C8395" s="51" t="s">
        <v>49832</v>
      </c>
      <c r="D8395" s="51" t="s">
        <v>49831</v>
      </c>
      <c r="E8395" s="45" t="s">
        <v>920</v>
      </c>
      <c r="F8395" s="45" t="s">
        <v>18001</v>
      </c>
      <c r="G8395" s="45" t="s">
        <v>50584</v>
      </c>
      <c r="H8395" s="56"/>
      <c r="I8395" s="56" t="s">
        <v>50564</v>
      </c>
      <c r="J8395" s="56"/>
      <c r="K8395" s="57"/>
      <c r="L8395" s="56" t="s">
        <v>56716</v>
      </c>
    </row>
    <row r="8396" spans="1:12" ht="11.25" x14ac:dyDescent="0.2">
      <c r="A8396" s="45" t="s">
        <v>49834</v>
      </c>
      <c r="B8396" s="45" t="s">
        <v>49836</v>
      </c>
      <c r="C8396" s="51" t="s">
        <v>49839</v>
      </c>
      <c r="D8396" s="51" t="s">
        <v>49838</v>
      </c>
      <c r="E8396" s="45" t="s">
        <v>18520</v>
      </c>
      <c r="F8396" s="45" t="s">
        <v>17759</v>
      </c>
      <c r="G8396" s="45" t="s">
        <v>50584</v>
      </c>
      <c r="H8396" s="56"/>
      <c r="I8396" s="56" t="s">
        <v>50564</v>
      </c>
      <c r="J8396" s="56"/>
      <c r="K8396" s="57"/>
      <c r="L8396" s="56" t="s">
        <v>56716</v>
      </c>
    </row>
    <row r="8397" spans="1:12" ht="11.25" x14ac:dyDescent="0.2">
      <c r="A8397" s="46" t="s">
        <v>14026</v>
      </c>
      <c r="B8397" s="46" t="s">
        <v>55790</v>
      </c>
      <c r="C8397" s="58" t="str">
        <f>"19394551"</f>
        <v>19394551</v>
      </c>
      <c r="D8397" s="58" t="str">
        <f>"19394551"</f>
        <v>19394551</v>
      </c>
      <c r="E8397" s="46" t="s">
        <v>2299</v>
      </c>
      <c r="F8397" s="46" t="s">
        <v>50646</v>
      </c>
      <c r="G8397" s="46" t="s">
        <v>50584</v>
      </c>
      <c r="H8397" s="48" t="s">
        <v>56716</v>
      </c>
      <c r="I8397" s="48" t="s">
        <v>50564</v>
      </c>
      <c r="J8397" s="48" t="s">
        <v>56716</v>
      </c>
      <c r="K8397" s="50" t="s">
        <v>56716</v>
      </c>
      <c r="L8397" s="48"/>
    </row>
    <row r="8398" spans="1:12" ht="11.25" x14ac:dyDescent="0.2">
      <c r="A8398" s="46" t="s">
        <v>8416</v>
      </c>
      <c r="B8398" s="46" t="s">
        <v>55791</v>
      </c>
      <c r="C8398" s="58" t="str">
        <f>"10093079"</f>
        <v>10093079</v>
      </c>
      <c r="D8398" s="58" t="str">
        <f>""</f>
        <v/>
      </c>
      <c r="E8398" s="46" t="s">
        <v>8418</v>
      </c>
      <c r="F8398" s="46" t="s">
        <v>17958</v>
      </c>
      <c r="G8398" s="46" t="s">
        <v>50580</v>
      </c>
      <c r="H8398" s="48" t="s">
        <v>56716</v>
      </c>
      <c r="I8398" s="48" t="s">
        <v>50564</v>
      </c>
      <c r="J8398" s="48"/>
      <c r="K8398" s="57"/>
      <c r="L8398" s="48"/>
    </row>
    <row r="8399" spans="1:12" ht="11.25" x14ac:dyDescent="0.2">
      <c r="A8399" s="45" t="s">
        <v>49843</v>
      </c>
      <c r="B8399" s="45" t="s">
        <v>49845</v>
      </c>
      <c r="C8399" s="51"/>
      <c r="D8399" s="51" t="s">
        <v>49847</v>
      </c>
      <c r="E8399" s="45" t="s">
        <v>30874</v>
      </c>
      <c r="F8399" s="45" t="s">
        <v>18959</v>
      </c>
      <c r="G8399" s="45" t="s">
        <v>50584</v>
      </c>
      <c r="H8399" s="56"/>
      <c r="I8399" s="56" t="s">
        <v>50564</v>
      </c>
      <c r="J8399" s="56"/>
      <c r="K8399" s="57"/>
      <c r="L8399" s="56" t="s">
        <v>56716</v>
      </c>
    </row>
    <row r="8400" spans="1:12" ht="11.25" x14ac:dyDescent="0.2">
      <c r="A8400" s="46" t="s">
        <v>4089</v>
      </c>
      <c r="B8400" s="46" t="s">
        <v>55792</v>
      </c>
      <c r="C8400" s="58" t="str">
        <f>"05123054"</f>
        <v>05123054</v>
      </c>
      <c r="D8400" s="58" t="str">
        <f>""</f>
        <v/>
      </c>
      <c r="E8400" s="46" t="s">
        <v>955</v>
      </c>
      <c r="F8400" s="46" t="s">
        <v>18123</v>
      </c>
      <c r="G8400" s="46" t="s">
        <v>50584</v>
      </c>
      <c r="H8400" s="48" t="s">
        <v>56716</v>
      </c>
      <c r="I8400" s="48" t="s">
        <v>50565</v>
      </c>
      <c r="J8400" s="48"/>
      <c r="K8400" s="57"/>
      <c r="L8400" s="48" t="s">
        <v>56716</v>
      </c>
    </row>
    <row r="8401" spans="1:12" ht="11.25" x14ac:dyDescent="0.2">
      <c r="A8401" s="46" t="s">
        <v>12030</v>
      </c>
      <c r="B8401" s="46" t="s">
        <v>55793</v>
      </c>
      <c r="C8401" s="58" t="str">
        <f>"15564002"</f>
        <v>15564002</v>
      </c>
      <c r="D8401" s="58" t="str">
        <f>""</f>
        <v/>
      </c>
      <c r="E8401" s="46" t="s">
        <v>11878</v>
      </c>
      <c r="F8401" s="46" t="s">
        <v>17759</v>
      </c>
      <c r="G8401" s="46" t="s">
        <v>50584</v>
      </c>
      <c r="H8401" s="48" t="s">
        <v>56716</v>
      </c>
      <c r="I8401" s="48" t="s">
        <v>50564</v>
      </c>
      <c r="J8401" s="48"/>
      <c r="K8401" s="57"/>
      <c r="L8401" s="48"/>
    </row>
    <row r="8402" spans="1:12" ht="11.25" x14ac:dyDescent="0.2">
      <c r="A8402" s="45" t="s">
        <v>49854</v>
      </c>
      <c r="B8402" s="45" t="s">
        <v>49856</v>
      </c>
      <c r="C8402" s="51" t="s">
        <v>49858</v>
      </c>
      <c r="D8402" s="51"/>
      <c r="E8402" s="45" t="s">
        <v>29318</v>
      </c>
      <c r="F8402" s="45" t="s">
        <v>50646</v>
      </c>
      <c r="G8402" s="45" t="s">
        <v>50584</v>
      </c>
      <c r="H8402" s="56"/>
      <c r="I8402" s="56" t="s">
        <v>50564</v>
      </c>
      <c r="J8402" s="56"/>
      <c r="K8402" s="57"/>
      <c r="L8402" s="56" t="s">
        <v>56716</v>
      </c>
    </row>
    <row r="8403" spans="1:12" ht="11.25" x14ac:dyDescent="0.2">
      <c r="A8403" s="46" t="s">
        <v>16109</v>
      </c>
      <c r="B8403" s="46" t="s">
        <v>55794</v>
      </c>
      <c r="C8403" s="58" t="str">
        <f>"21501351"</f>
        <v>21501351</v>
      </c>
      <c r="D8403" s="58" t="str">
        <f>"2150136X"</f>
        <v>2150136X</v>
      </c>
      <c r="E8403" s="46" t="s">
        <v>493</v>
      </c>
      <c r="F8403" s="46" t="s">
        <v>17759</v>
      </c>
      <c r="G8403" s="46" t="s">
        <v>50584</v>
      </c>
      <c r="H8403" s="48" t="s">
        <v>56716</v>
      </c>
      <c r="I8403" s="48" t="s">
        <v>50564</v>
      </c>
      <c r="J8403" s="48" t="s">
        <v>56716</v>
      </c>
      <c r="K8403" s="57"/>
      <c r="L8403" s="48" t="s">
        <v>56716</v>
      </c>
    </row>
    <row r="8404" spans="1:12" ht="11.25" x14ac:dyDescent="0.2">
      <c r="A8404" s="46" t="s">
        <v>16386</v>
      </c>
      <c r="B8404" s="46" t="s">
        <v>55795</v>
      </c>
      <c r="C8404" s="58" t="str">
        <f>"10035257"</f>
        <v>10035257</v>
      </c>
      <c r="D8404" s="58" t="str">
        <f>""</f>
        <v/>
      </c>
      <c r="E8404" s="46" t="s">
        <v>91</v>
      </c>
      <c r="F8404" s="46" t="s">
        <v>18001</v>
      </c>
      <c r="G8404" s="46" t="s">
        <v>50584</v>
      </c>
      <c r="H8404" s="48" t="s">
        <v>56716</v>
      </c>
      <c r="I8404" s="48" t="s">
        <v>50564</v>
      </c>
      <c r="J8404" s="48"/>
      <c r="K8404" s="57"/>
      <c r="L8404" s="48"/>
    </row>
    <row r="8405" spans="1:12" ht="11.25" x14ac:dyDescent="0.2">
      <c r="A8405" s="46" t="s">
        <v>10615</v>
      </c>
      <c r="B8405" s="46" t="s">
        <v>55796</v>
      </c>
      <c r="C8405" s="58" t="str">
        <f>"15622975"</f>
        <v>15622975</v>
      </c>
      <c r="D8405" s="58" t="str">
        <f>"18141412"</f>
        <v>18141412</v>
      </c>
      <c r="E8405" s="46" t="s">
        <v>291</v>
      </c>
      <c r="F8405" s="46" t="s">
        <v>50646</v>
      </c>
      <c r="G8405" s="46" t="s">
        <v>50584</v>
      </c>
      <c r="H8405" s="48" t="s">
        <v>56716</v>
      </c>
      <c r="I8405" s="48" t="s">
        <v>50564</v>
      </c>
      <c r="J8405" s="48"/>
      <c r="K8405" s="57"/>
      <c r="L8405" s="48" t="s">
        <v>56716</v>
      </c>
    </row>
    <row r="8406" spans="1:12" ht="11.25" x14ac:dyDescent="0.2">
      <c r="A8406" s="46" t="s">
        <v>17413</v>
      </c>
      <c r="B8406" s="46" t="s">
        <v>55797</v>
      </c>
      <c r="C8406" s="58" t="str">
        <f>"21656304"</f>
        <v>21656304</v>
      </c>
      <c r="D8406" s="58" t="str">
        <f>"21656312"</f>
        <v>21656312</v>
      </c>
      <c r="E8406" s="46" t="s">
        <v>11896</v>
      </c>
      <c r="F8406" s="46" t="s">
        <v>17759</v>
      </c>
      <c r="G8406" s="46" t="s">
        <v>50584</v>
      </c>
      <c r="H8406" s="48" t="s">
        <v>56716</v>
      </c>
      <c r="I8406" s="48" t="s">
        <v>50564</v>
      </c>
      <c r="J8406" s="48"/>
      <c r="K8406" s="57"/>
      <c r="L8406" s="48"/>
    </row>
    <row r="8407" spans="1:12" ht="11.25" x14ac:dyDescent="0.2">
      <c r="A8407" s="46" t="s">
        <v>15852</v>
      </c>
      <c r="B8407" s="46" t="s">
        <v>55798</v>
      </c>
      <c r="C8407" s="58" t="str">
        <f>""</f>
        <v/>
      </c>
      <c r="D8407" s="58" t="str">
        <f>"19498462"</f>
        <v>19498462</v>
      </c>
      <c r="E8407" s="46" t="s">
        <v>15851</v>
      </c>
      <c r="F8407" s="46" t="s">
        <v>17958</v>
      </c>
      <c r="G8407" s="46" t="s">
        <v>50584</v>
      </c>
      <c r="H8407" s="48" t="s">
        <v>56716</v>
      </c>
      <c r="I8407" s="48" t="s">
        <v>50564</v>
      </c>
      <c r="J8407" s="48"/>
      <c r="K8407" s="57"/>
      <c r="L8407" s="48"/>
    </row>
    <row r="8408" spans="1:12" ht="11.25" x14ac:dyDescent="0.2">
      <c r="A8408" s="46" t="s">
        <v>15849</v>
      </c>
      <c r="B8408" s="46" t="s">
        <v>55799</v>
      </c>
      <c r="C8408" s="58" t="str">
        <f>""</f>
        <v/>
      </c>
      <c r="D8408" s="58" t="str">
        <f>"19489358"</f>
        <v>19489358</v>
      </c>
      <c r="E8408" s="46" t="s">
        <v>15851</v>
      </c>
      <c r="F8408" s="46" t="s">
        <v>17958</v>
      </c>
      <c r="G8408" s="46" t="s">
        <v>50584</v>
      </c>
      <c r="H8408" s="48" t="s">
        <v>56716</v>
      </c>
      <c r="I8408" s="48" t="s">
        <v>50564</v>
      </c>
      <c r="J8408" s="48"/>
      <c r="K8408" s="57"/>
      <c r="L8408" s="48"/>
    </row>
    <row r="8409" spans="1:12" ht="11.25" x14ac:dyDescent="0.2">
      <c r="A8409" s="46" t="s">
        <v>16217</v>
      </c>
      <c r="B8409" s="46" t="s">
        <v>55800</v>
      </c>
      <c r="C8409" s="58" t="str">
        <f>"19208642"</f>
        <v>19208642</v>
      </c>
      <c r="D8409" s="58" t="str">
        <f>""</f>
        <v/>
      </c>
      <c r="E8409" s="46" t="s">
        <v>16219</v>
      </c>
      <c r="F8409" s="46" t="s">
        <v>17958</v>
      </c>
      <c r="G8409" s="46" t="s">
        <v>50584</v>
      </c>
      <c r="H8409" s="48" t="s">
        <v>56716</v>
      </c>
      <c r="I8409" s="48" t="s">
        <v>50564</v>
      </c>
      <c r="J8409" s="48"/>
      <c r="K8409" s="57"/>
      <c r="L8409" s="48"/>
    </row>
    <row r="8410" spans="1:12" ht="11.25" x14ac:dyDescent="0.2">
      <c r="A8410" s="46" t="s">
        <v>14908</v>
      </c>
      <c r="B8410" s="46" t="s">
        <v>55801</v>
      </c>
      <c r="C8410" s="58" t="str">
        <f>"09755039"</f>
        <v>09755039</v>
      </c>
      <c r="D8410" s="58" t="str">
        <f>"09757902"</f>
        <v>09757902</v>
      </c>
      <c r="E8410" s="46" t="s">
        <v>14870</v>
      </c>
      <c r="F8410" s="46" t="s">
        <v>20446</v>
      </c>
      <c r="G8410" s="46" t="s">
        <v>50584</v>
      </c>
      <c r="H8410" s="48" t="s">
        <v>56716</v>
      </c>
      <c r="I8410" s="48" t="s">
        <v>50564</v>
      </c>
      <c r="J8410" s="48"/>
      <c r="K8410" s="57"/>
      <c r="L8410" s="48"/>
    </row>
    <row r="8411" spans="1:12" ht="11.25" x14ac:dyDescent="0.2">
      <c r="A8411" s="46" t="s">
        <v>8012</v>
      </c>
      <c r="B8411" s="46" t="s">
        <v>55802</v>
      </c>
      <c r="C8411" s="58" t="str">
        <f>"10079327"</f>
        <v>10079327</v>
      </c>
      <c r="D8411" s="58" t="str">
        <f>"22192840"</f>
        <v>22192840</v>
      </c>
      <c r="E8411" s="46" t="s">
        <v>8015</v>
      </c>
      <c r="F8411" s="46" t="s">
        <v>17958</v>
      </c>
      <c r="G8411" s="46" t="s">
        <v>50584</v>
      </c>
      <c r="H8411" s="48" t="s">
        <v>56716</v>
      </c>
      <c r="I8411" s="48" t="s">
        <v>50564</v>
      </c>
      <c r="J8411" s="48"/>
      <c r="K8411" s="57"/>
      <c r="L8411" s="48" t="s">
        <v>56716</v>
      </c>
    </row>
    <row r="8412" spans="1:12" ht="11.25" x14ac:dyDescent="0.2">
      <c r="A8412" s="46" t="s">
        <v>14982</v>
      </c>
      <c r="B8412" s="46" t="s">
        <v>55803</v>
      </c>
      <c r="C8412" s="58" t="str">
        <f>"09745092"</f>
        <v>09745092</v>
      </c>
      <c r="D8412" s="58" t="str">
        <f>"09751955"</f>
        <v>09751955</v>
      </c>
      <c r="E8412" s="46" t="s">
        <v>14870</v>
      </c>
      <c r="F8412" s="46" t="s">
        <v>20446</v>
      </c>
      <c r="G8412" s="46" t="s">
        <v>50584</v>
      </c>
      <c r="H8412" s="48" t="s">
        <v>56716</v>
      </c>
      <c r="I8412" s="48" t="s">
        <v>50564</v>
      </c>
      <c r="J8412" s="48"/>
      <c r="K8412" s="57"/>
      <c r="L8412" s="48"/>
    </row>
    <row r="8413" spans="1:12" ht="11.25" x14ac:dyDescent="0.2">
      <c r="A8413" s="45" t="s">
        <v>49874</v>
      </c>
      <c r="B8413" s="45" t="s">
        <v>49876</v>
      </c>
      <c r="C8413" s="51" t="s">
        <v>49878</v>
      </c>
      <c r="D8413" s="51" t="s">
        <v>49877</v>
      </c>
      <c r="E8413" s="45" t="s">
        <v>17783</v>
      </c>
      <c r="F8413" s="45" t="s">
        <v>18158</v>
      </c>
      <c r="G8413" s="45" t="s">
        <v>50584</v>
      </c>
      <c r="H8413" s="56"/>
      <c r="I8413" s="56" t="s">
        <v>50564</v>
      </c>
      <c r="J8413" s="56"/>
      <c r="K8413" s="57"/>
      <c r="L8413" s="56" t="s">
        <v>56716</v>
      </c>
    </row>
    <row r="8414" spans="1:12" ht="11.25" x14ac:dyDescent="0.2">
      <c r="A8414" s="46" t="s">
        <v>16174</v>
      </c>
      <c r="B8414" s="46" t="s">
        <v>55804</v>
      </c>
      <c r="C8414" s="58" t="str">
        <f>"19204531"</f>
        <v>19204531</v>
      </c>
      <c r="D8414" s="58" t="str">
        <f>"1920454X"</f>
        <v>1920454X</v>
      </c>
      <c r="E8414" s="46" t="s">
        <v>15861</v>
      </c>
      <c r="F8414" s="46" t="s">
        <v>18959</v>
      </c>
      <c r="G8414" s="46" t="s">
        <v>50584</v>
      </c>
      <c r="H8414" s="48" t="s">
        <v>56716</v>
      </c>
      <c r="I8414" s="48" t="s">
        <v>50564</v>
      </c>
      <c r="J8414" s="48"/>
      <c r="K8414" s="57"/>
      <c r="L8414" s="48"/>
    </row>
    <row r="8415" spans="1:12" ht="11.25" x14ac:dyDescent="0.2">
      <c r="A8415" s="46" t="s">
        <v>12032</v>
      </c>
      <c r="B8415" s="46" t="s">
        <v>55941</v>
      </c>
      <c r="C8415" s="58" t="str">
        <f>"17088569"</f>
        <v>17088569</v>
      </c>
      <c r="D8415" s="58" t="str">
        <f>"18670687"</f>
        <v>18670687</v>
      </c>
      <c r="E8415" s="46" t="s">
        <v>12035</v>
      </c>
      <c r="F8415" s="46" t="s">
        <v>17958</v>
      </c>
      <c r="G8415" s="46" t="s">
        <v>50584</v>
      </c>
      <c r="H8415" s="48" t="s">
        <v>56716</v>
      </c>
      <c r="I8415" s="48" t="s">
        <v>50564</v>
      </c>
      <c r="J8415" s="48"/>
      <c r="K8415" s="50" t="s">
        <v>56716</v>
      </c>
      <c r="L8415" s="48" t="s">
        <v>56716</v>
      </c>
    </row>
    <row r="8416" spans="1:12" ht="11.25" x14ac:dyDescent="0.2">
      <c r="A8416" s="45" t="s">
        <v>49885</v>
      </c>
      <c r="B8416" s="45" t="s">
        <v>49887</v>
      </c>
      <c r="C8416" s="51" t="s">
        <v>49890</v>
      </c>
      <c r="D8416" s="51" t="s">
        <v>49889</v>
      </c>
      <c r="E8416" s="45" t="s">
        <v>167</v>
      </c>
      <c r="F8416" s="45" t="s">
        <v>17759</v>
      </c>
      <c r="G8416" s="45" t="s">
        <v>50584</v>
      </c>
      <c r="H8416" s="56"/>
      <c r="I8416" s="56" t="s">
        <v>50564</v>
      </c>
      <c r="J8416" s="56"/>
      <c r="K8416" s="57"/>
      <c r="L8416" s="56" t="s">
        <v>56716</v>
      </c>
    </row>
    <row r="8417" spans="1:12" ht="11.25" x14ac:dyDescent="0.2">
      <c r="A8417" s="46" t="s">
        <v>10280</v>
      </c>
      <c r="B8417" s="46" t="s">
        <v>55805</v>
      </c>
      <c r="C8417" s="58" t="str">
        <f>""</f>
        <v/>
      </c>
      <c r="D8417" s="58" t="str">
        <f>"14777819"</f>
        <v>14777819</v>
      </c>
      <c r="E8417" s="46" t="s">
        <v>2299</v>
      </c>
      <c r="F8417" s="46" t="s">
        <v>50646</v>
      </c>
      <c r="G8417" s="46" t="s">
        <v>50584</v>
      </c>
      <c r="H8417" s="48" t="s">
        <v>56716</v>
      </c>
      <c r="I8417" s="48" t="s">
        <v>50564</v>
      </c>
      <c r="J8417" s="48"/>
      <c r="K8417" s="50" t="s">
        <v>56716</v>
      </c>
      <c r="L8417" s="48" t="s">
        <v>56716</v>
      </c>
    </row>
    <row r="8418" spans="1:12" ht="11.25" x14ac:dyDescent="0.2">
      <c r="A8418" s="45" t="s">
        <v>49897</v>
      </c>
      <c r="B8418" s="45" t="s">
        <v>49899</v>
      </c>
      <c r="C8418" s="51" t="s">
        <v>49901</v>
      </c>
      <c r="D8418" s="51" t="s">
        <v>49900</v>
      </c>
      <c r="E8418" s="45" t="s">
        <v>17790</v>
      </c>
      <c r="F8418" s="45" t="s">
        <v>18158</v>
      </c>
      <c r="G8418" s="45" t="s">
        <v>50584</v>
      </c>
      <c r="H8418" s="56"/>
      <c r="I8418" s="56" t="s">
        <v>50564</v>
      </c>
      <c r="J8418" s="56"/>
      <c r="K8418" s="57"/>
      <c r="L8418" s="56" t="s">
        <v>56716</v>
      </c>
    </row>
    <row r="8419" spans="1:12" ht="11.25" x14ac:dyDescent="0.2">
      <c r="A8419" s="46" t="s">
        <v>14950</v>
      </c>
      <c r="B8419" s="46" t="s">
        <v>55806</v>
      </c>
      <c r="C8419" s="58" t="str">
        <f>"21532028"</f>
        <v>21532028</v>
      </c>
      <c r="D8419" s="58" t="str">
        <f>"19484682"</f>
        <v>19484682</v>
      </c>
      <c r="E8419" s="46" t="s">
        <v>35</v>
      </c>
      <c r="F8419" s="46" t="s">
        <v>50646</v>
      </c>
      <c r="G8419" s="46" t="s">
        <v>50584</v>
      </c>
      <c r="H8419" s="48" t="s">
        <v>56716</v>
      </c>
      <c r="I8419" s="48" t="s">
        <v>50564</v>
      </c>
      <c r="J8419" s="48" t="s">
        <v>56716</v>
      </c>
      <c r="K8419" s="57"/>
      <c r="L8419" s="48"/>
    </row>
    <row r="8420" spans="1:12" ht="11.25" x14ac:dyDescent="0.2">
      <c r="A8420" s="46" t="s">
        <v>13352</v>
      </c>
      <c r="B8420" s="46" t="s">
        <v>55807</v>
      </c>
      <c r="C8420" s="58" t="str">
        <f>"18750710"</f>
        <v>18750710</v>
      </c>
      <c r="D8420" s="58" t="str">
        <f>"18750796"</f>
        <v>18750796</v>
      </c>
      <c r="E8420" s="46" t="s">
        <v>13355</v>
      </c>
      <c r="F8420" s="46" t="s">
        <v>18001</v>
      </c>
      <c r="G8420" s="46" t="s">
        <v>50584</v>
      </c>
      <c r="H8420" s="48" t="s">
        <v>56716</v>
      </c>
      <c r="I8420" s="48" t="s">
        <v>50564</v>
      </c>
      <c r="J8420" s="48"/>
      <c r="K8420" s="57"/>
      <c r="L8420" s="48"/>
    </row>
    <row r="8421" spans="1:12" ht="11.25" x14ac:dyDescent="0.2">
      <c r="A8421" s="46" t="s">
        <v>13837</v>
      </c>
      <c r="B8421" s="46" t="s">
        <v>55808</v>
      </c>
      <c r="C8421" s="58" t="str">
        <f>"18788750"</f>
        <v>18788750</v>
      </c>
      <c r="D8421" s="58" t="str">
        <f>"18788769"</f>
        <v>18788769</v>
      </c>
      <c r="E8421" s="46" t="s">
        <v>272</v>
      </c>
      <c r="F8421" s="46" t="s">
        <v>17759</v>
      </c>
      <c r="G8421" s="46" t="s">
        <v>50584</v>
      </c>
      <c r="H8421" s="48" t="s">
        <v>56716</v>
      </c>
      <c r="I8421" s="48" t="s">
        <v>50564</v>
      </c>
      <c r="J8421" s="48"/>
      <c r="K8421" s="50" t="s">
        <v>56716</v>
      </c>
      <c r="L8421" s="48" t="s">
        <v>56716</v>
      </c>
    </row>
    <row r="8422" spans="1:12" ht="11.25" x14ac:dyDescent="0.2">
      <c r="A8422" s="46" t="s">
        <v>12036</v>
      </c>
      <c r="B8422" s="46" t="s">
        <v>12036</v>
      </c>
      <c r="C8422" s="58" t="str">
        <f>"17238617"</f>
        <v>17238617</v>
      </c>
      <c r="D8422" s="58" t="str">
        <f>"20515545"</f>
        <v>20515545</v>
      </c>
      <c r="E8422" s="46" t="s">
        <v>35</v>
      </c>
      <c r="F8422" s="46" t="s">
        <v>50646</v>
      </c>
      <c r="G8422" s="46" t="s">
        <v>50584</v>
      </c>
      <c r="H8422" s="48" t="s">
        <v>56716</v>
      </c>
      <c r="I8422" s="48" t="s">
        <v>50564</v>
      </c>
      <c r="J8422" s="48" t="s">
        <v>56716</v>
      </c>
      <c r="K8422" s="57"/>
      <c r="L8422" s="48"/>
    </row>
    <row r="8423" spans="1:12" ht="11.25" x14ac:dyDescent="0.2">
      <c r="A8423" s="45" t="s">
        <v>49908</v>
      </c>
      <c r="B8423" s="45" t="s">
        <v>49910</v>
      </c>
      <c r="C8423" s="51" t="s">
        <v>49912</v>
      </c>
      <c r="D8423" s="51" t="s">
        <v>49911</v>
      </c>
      <c r="E8423" s="45" t="s">
        <v>18176</v>
      </c>
      <c r="F8423" s="45" t="s">
        <v>18123</v>
      </c>
      <c r="G8423" s="45" t="s">
        <v>50584</v>
      </c>
      <c r="H8423" s="56"/>
      <c r="I8423" s="56" t="s">
        <v>50564</v>
      </c>
      <c r="J8423" s="56"/>
      <c r="K8423" s="57"/>
      <c r="L8423" s="56" t="s">
        <v>56716</v>
      </c>
    </row>
    <row r="8424" spans="1:12" ht="11.25" x14ac:dyDescent="0.2">
      <c r="A8424" s="46" t="s">
        <v>9775</v>
      </c>
      <c r="B8424" s="46" t="s">
        <v>9775</v>
      </c>
      <c r="C8424" s="58" t="str">
        <f>""</f>
        <v/>
      </c>
      <c r="D8424" s="58" t="str">
        <f>"13692607"</f>
        <v>13692607</v>
      </c>
      <c r="E8424" s="46" t="s">
        <v>9777</v>
      </c>
      <c r="F8424" s="46" t="s">
        <v>50646</v>
      </c>
      <c r="G8424" s="46" t="s">
        <v>50584</v>
      </c>
      <c r="H8424" s="48" t="s">
        <v>56716</v>
      </c>
      <c r="I8424" s="48" t="s">
        <v>50564</v>
      </c>
      <c r="J8424" s="48"/>
      <c r="K8424" s="57"/>
      <c r="L8424" s="48"/>
    </row>
    <row r="8425" spans="1:12" ht="11.25" x14ac:dyDescent="0.2">
      <c r="A8425" s="45" t="s">
        <v>49914</v>
      </c>
      <c r="B8425" s="45" t="s">
        <v>49916</v>
      </c>
      <c r="C8425" s="51" t="s">
        <v>49919</v>
      </c>
      <c r="D8425" s="51" t="s">
        <v>49918</v>
      </c>
      <c r="E8425" s="45" t="s">
        <v>49920</v>
      </c>
      <c r="F8425" s="45" t="s">
        <v>17759</v>
      </c>
      <c r="G8425" s="45" t="s">
        <v>50584</v>
      </c>
      <c r="H8425" s="56"/>
      <c r="I8425" s="56" t="s">
        <v>50564</v>
      </c>
      <c r="J8425" s="56"/>
      <c r="K8425" s="57"/>
      <c r="L8425" s="56" t="s">
        <v>56716</v>
      </c>
    </row>
    <row r="8426" spans="1:12" ht="11.25" x14ac:dyDescent="0.2">
      <c r="A8426" s="45" t="s">
        <v>49922</v>
      </c>
      <c r="B8426" s="45" t="s">
        <v>49924</v>
      </c>
      <c r="C8426" s="51"/>
      <c r="D8426" s="51" t="s">
        <v>49925</v>
      </c>
      <c r="E8426" s="45" t="s">
        <v>49926</v>
      </c>
      <c r="F8426" s="45" t="s">
        <v>17759</v>
      </c>
      <c r="G8426" s="45" t="s">
        <v>50584</v>
      </c>
      <c r="H8426" s="56"/>
      <c r="I8426" s="56" t="s">
        <v>50564</v>
      </c>
      <c r="J8426" s="56"/>
      <c r="K8426" s="57"/>
      <c r="L8426" s="56" t="s">
        <v>56716</v>
      </c>
    </row>
    <row r="8427" spans="1:12" ht="11.25" x14ac:dyDescent="0.2">
      <c r="A8427" s="46" t="s">
        <v>17131</v>
      </c>
      <c r="B8427" s="46" t="s">
        <v>55809</v>
      </c>
      <c r="C8427" s="58" t="str">
        <f>"22139095"</f>
        <v>22139095</v>
      </c>
      <c r="D8427" s="58" t="str">
        <f>""</f>
        <v/>
      </c>
      <c r="E8427" s="46" t="s">
        <v>6159</v>
      </c>
      <c r="F8427" s="46" t="s">
        <v>18158</v>
      </c>
      <c r="G8427" s="46" t="s">
        <v>50584</v>
      </c>
      <c r="H8427" s="48" t="s">
        <v>56716</v>
      </c>
      <c r="I8427" s="48" t="s">
        <v>50564</v>
      </c>
      <c r="J8427" s="48" t="s">
        <v>56716</v>
      </c>
      <c r="K8427" s="50" t="s">
        <v>56716</v>
      </c>
      <c r="L8427" s="48"/>
    </row>
    <row r="8428" spans="1:12" ht="11.25" x14ac:dyDescent="0.2">
      <c r="A8428" s="46" t="s">
        <v>7356</v>
      </c>
      <c r="B8428" s="46" t="s">
        <v>55810</v>
      </c>
      <c r="C8428" s="58" t="str">
        <f>"10671927"</f>
        <v>10671927</v>
      </c>
      <c r="D8428" s="58" t="str">
        <f>"1524475X"</f>
        <v>1524475X</v>
      </c>
      <c r="E8428" s="46" t="s">
        <v>548</v>
      </c>
      <c r="F8428" s="46" t="s">
        <v>17759</v>
      </c>
      <c r="G8428" s="46" t="s">
        <v>50584</v>
      </c>
      <c r="H8428" s="48" t="s">
        <v>56716</v>
      </c>
      <c r="I8428" s="48" t="s">
        <v>50564</v>
      </c>
      <c r="J8428" s="48" t="s">
        <v>56716</v>
      </c>
      <c r="K8428" s="50" t="s">
        <v>56716</v>
      </c>
      <c r="L8428" s="48" t="s">
        <v>56716</v>
      </c>
    </row>
    <row r="8429" spans="1:12" ht="11.25" x14ac:dyDescent="0.2">
      <c r="A8429" s="46" t="s">
        <v>11405</v>
      </c>
      <c r="B8429" s="46" t="s">
        <v>11405</v>
      </c>
      <c r="C8429" s="58" t="str">
        <f>"17466814"</f>
        <v>17466814</v>
      </c>
      <c r="D8429" s="58" t="str">
        <f>""</f>
        <v/>
      </c>
      <c r="E8429" s="46" t="s">
        <v>11405</v>
      </c>
      <c r="F8429" s="46" t="s">
        <v>50646</v>
      </c>
      <c r="G8429" s="46" t="s">
        <v>50584</v>
      </c>
      <c r="H8429" s="48" t="s">
        <v>56716</v>
      </c>
      <c r="I8429" s="48" t="s">
        <v>50564</v>
      </c>
      <c r="J8429" s="48"/>
      <c r="K8429" s="57"/>
      <c r="L8429" s="48"/>
    </row>
    <row r="8430" spans="1:12" ht="11.25" x14ac:dyDescent="0.2">
      <c r="A8430" s="46" t="s">
        <v>12187</v>
      </c>
      <c r="B8430" s="46" t="s">
        <v>55811</v>
      </c>
      <c r="C8430" s="58" t="str">
        <f>"11099518"</f>
        <v>11099518</v>
      </c>
      <c r="D8430" s="58" t="str">
        <f>""</f>
        <v/>
      </c>
      <c r="E8430" s="46" t="s">
        <v>12189</v>
      </c>
      <c r="F8430" s="46" t="s">
        <v>20969</v>
      </c>
      <c r="G8430" s="46" t="s">
        <v>50584</v>
      </c>
      <c r="H8430" s="48" t="s">
        <v>56716</v>
      </c>
      <c r="I8430" s="48" t="s">
        <v>50564</v>
      </c>
      <c r="J8430" s="48"/>
      <c r="K8430" s="57"/>
      <c r="L8430" s="48"/>
    </row>
    <row r="8431" spans="1:12" ht="11.25" x14ac:dyDescent="0.2">
      <c r="A8431" s="46" t="s">
        <v>10443</v>
      </c>
      <c r="B8431" s="46" t="s">
        <v>55812</v>
      </c>
      <c r="C8431" s="58" t="str">
        <f>"14282526"</f>
        <v>14282526</v>
      </c>
      <c r="D8431" s="58" t="str">
        <f>""</f>
        <v/>
      </c>
      <c r="E8431" s="46" t="s">
        <v>3134</v>
      </c>
      <c r="F8431" s="46" t="s">
        <v>17967</v>
      </c>
      <c r="G8431" s="46" t="s">
        <v>50612</v>
      </c>
      <c r="H8431" s="48" t="s">
        <v>56716</v>
      </c>
      <c r="I8431" s="48" t="s">
        <v>50564</v>
      </c>
      <c r="J8431" s="48"/>
      <c r="K8431" s="57"/>
      <c r="L8431" s="48"/>
    </row>
    <row r="8432" spans="1:12" ht="11.25" x14ac:dyDescent="0.2">
      <c r="A8432" s="45" t="s">
        <v>49933</v>
      </c>
      <c r="B8432" s="45" t="s">
        <v>49935</v>
      </c>
      <c r="C8432" s="51" t="s">
        <v>49936</v>
      </c>
      <c r="D8432" s="51"/>
      <c r="E8432" s="45" t="s">
        <v>49937</v>
      </c>
      <c r="F8432" s="45" t="s">
        <v>18158</v>
      </c>
      <c r="G8432" s="45" t="s">
        <v>50592</v>
      </c>
      <c r="H8432" s="56"/>
      <c r="I8432" s="56" t="s">
        <v>50564</v>
      </c>
      <c r="J8432" s="56"/>
      <c r="K8432" s="57"/>
      <c r="L8432" s="56" t="s">
        <v>56716</v>
      </c>
    </row>
    <row r="8433" spans="1:12" ht="11.25" x14ac:dyDescent="0.2">
      <c r="A8433" s="46" t="s">
        <v>4110</v>
      </c>
      <c r="B8433" s="46" t="s">
        <v>4110</v>
      </c>
      <c r="C8433" s="58" t="str">
        <f>"00498254"</f>
        <v>00498254</v>
      </c>
      <c r="D8433" s="58" t="str">
        <f>"13665928"</f>
        <v>13665928</v>
      </c>
      <c r="E8433" s="46" t="s">
        <v>291</v>
      </c>
      <c r="F8433" s="46" t="s">
        <v>50646</v>
      </c>
      <c r="G8433" s="46" t="s">
        <v>50584</v>
      </c>
      <c r="H8433" s="48" t="s">
        <v>56716</v>
      </c>
      <c r="I8433" s="48" t="s">
        <v>50564</v>
      </c>
      <c r="J8433" s="48"/>
      <c r="K8433" s="57"/>
      <c r="L8433" s="48" t="s">
        <v>56716</v>
      </c>
    </row>
    <row r="8434" spans="1:12" ht="11.25" x14ac:dyDescent="0.2">
      <c r="A8434" s="46" t="s">
        <v>7595</v>
      </c>
      <c r="B8434" s="46" t="s">
        <v>7595</v>
      </c>
      <c r="C8434" s="58" t="str">
        <f>"0908665X"</f>
        <v>0908665X</v>
      </c>
      <c r="D8434" s="58" t="str">
        <f>"13993089"</f>
        <v>13993089</v>
      </c>
      <c r="E8434" s="46" t="s">
        <v>548</v>
      </c>
      <c r="F8434" s="46" t="s">
        <v>17759</v>
      </c>
      <c r="G8434" s="46" t="s">
        <v>50584</v>
      </c>
      <c r="H8434" s="48" t="s">
        <v>56716</v>
      </c>
      <c r="I8434" s="48" t="s">
        <v>50564</v>
      </c>
      <c r="J8434" s="48" t="s">
        <v>56716</v>
      </c>
      <c r="K8434" s="50" t="s">
        <v>56716</v>
      </c>
      <c r="L8434" s="48" t="s">
        <v>56716</v>
      </c>
    </row>
    <row r="8435" spans="1:12" ht="11.25" x14ac:dyDescent="0.2">
      <c r="A8435" s="45" t="s">
        <v>49944</v>
      </c>
      <c r="B8435" s="45" t="s">
        <v>49946</v>
      </c>
      <c r="C8435" s="51" t="s">
        <v>49948</v>
      </c>
      <c r="D8435" s="51"/>
      <c r="E8435" s="45" t="s">
        <v>49949</v>
      </c>
      <c r="F8435" s="45" t="s">
        <v>17958</v>
      </c>
      <c r="G8435" s="45" t="s">
        <v>50586</v>
      </c>
      <c r="H8435" s="56"/>
      <c r="I8435" s="56" t="s">
        <v>50564</v>
      </c>
      <c r="J8435" s="56"/>
      <c r="K8435" s="57"/>
      <c r="L8435" s="56" t="s">
        <v>56716</v>
      </c>
    </row>
    <row r="8436" spans="1:12" ht="11.25" x14ac:dyDescent="0.2">
      <c r="A8436" s="46" t="s">
        <v>4118</v>
      </c>
      <c r="B8436" s="46" t="s">
        <v>4118</v>
      </c>
      <c r="C8436" s="58" t="str">
        <f>"00316903"</f>
        <v>00316903</v>
      </c>
      <c r="D8436" s="58" t="str">
        <f>"13475231"</f>
        <v>13475231</v>
      </c>
      <c r="E8436" s="46" t="s">
        <v>1253</v>
      </c>
      <c r="F8436" s="46" t="s">
        <v>18242</v>
      </c>
      <c r="G8436" s="46" t="s">
        <v>50604</v>
      </c>
      <c r="H8436" s="48" t="s">
        <v>56716</v>
      </c>
      <c r="I8436" s="48" t="s">
        <v>50564</v>
      </c>
      <c r="J8436" s="48"/>
      <c r="K8436" s="57"/>
      <c r="L8436" s="48" t="s">
        <v>56716</v>
      </c>
    </row>
    <row r="8437" spans="1:12" ht="11.25" x14ac:dyDescent="0.2">
      <c r="A8437" s="45" t="s">
        <v>49956</v>
      </c>
      <c r="B8437" s="45" t="s">
        <v>49958</v>
      </c>
      <c r="C8437" s="51" t="s">
        <v>49959</v>
      </c>
      <c r="D8437" s="51"/>
      <c r="E8437" s="45" t="s">
        <v>49960</v>
      </c>
      <c r="F8437" s="45" t="s">
        <v>18242</v>
      </c>
      <c r="G8437" s="45" t="s">
        <v>50604</v>
      </c>
      <c r="H8437" s="56"/>
      <c r="I8437" s="56" t="s">
        <v>50564</v>
      </c>
      <c r="J8437" s="56"/>
      <c r="K8437" s="57"/>
      <c r="L8437" s="56" t="s">
        <v>56716</v>
      </c>
    </row>
    <row r="8438" spans="1:12" ht="11.25" x14ac:dyDescent="0.2">
      <c r="A8438" s="46" t="s">
        <v>4115</v>
      </c>
      <c r="B8438" s="46" t="s">
        <v>55813</v>
      </c>
      <c r="C8438" s="58" t="str">
        <f>"00440086"</f>
        <v>00440086</v>
      </c>
      <c r="D8438" s="58" t="str">
        <f>""</f>
        <v/>
      </c>
      <c r="E8438" s="46" t="s">
        <v>4117</v>
      </c>
      <c r="F8438" s="46" t="s">
        <v>17759</v>
      </c>
      <c r="G8438" s="46" t="s">
        <v>50584</v>
      </c>
      <c r="H8438" s="48" t="s">
        <v>56716</v>
      </c>
      <c r="I8438" s="48" t="s">
        <v>50564</v>
      </c>
      <c r="J8438" s="48"/>
      <c r="K8438" s="57"/>
      <c r="L8438" s="48" t="s">
        <v>56716</v>
      </c>
    </row>
    <row r="8439" spans="1:12" ht="11.25" x14ac:dyDescent="0.2">
      <c r="A8439" s="45" t="s">
        <v>49967</v>
      </c>
      <c r="B8439" s="45" t="s">
        <v>49969</v>
      </c>
      <c r="C8439" s="51" t="s">
        <v>49970</v>
      </c>
      <c r="D8439" s="51"/>
      <c r="E8439" s="45" t="s">
        <v>49971</v>
      </c>
      <c r="F8439" s="45" t="s">
        <v>17759</v>
      </c>
      <c r="G8439" s="45" t="s">
        <v>50584</v>
      </c>
      <c r="H8439" s="56"/>
      <c r="I8439" s="56" t="s">
        <v>50564</v>
      </c>
      <c r="J8439" s="56"/>
      <c r="K8439" s="57"/>
      <c r="L8439" s="56" t="s">
        <v>56716</v>
      </c>
    </row>
    <row r="8440" spans="1:12" ht="11.25" x14ac:dyDescent="0.2">
      <c r="A8440" s="46" t="s">
        <v>4629</v>
      </c>
      <c r="B8440" s="46" t="s">
        <v>4629</v>
      </c>
      <c r="C8440" s="58" t="str">
        <f>"05134870"</f>
        <v>05134870</v>
      </c>
      <c r="D8440" s="58" t="str">
        <f>""</f>
        <v/>
      </c>
      <c r="E8440" s="46" t="s">
        <v>4631</v>
      </c>
      <c r="F8440" s="46" t="s">
        <v>17958</v>
      </c>
      <c r="G8440" s="46" t="s">
        <v>50580</v>
      </c>
      <c r="H8440" s="48" t="s">
        <v>56716</v>
      </c>
      <c r="I8440" s="48" t="s">
        <v>50564</v>
      </c>
      <c r="J8440" s="48"/>
      <c r="K8440" s="57"/>
      <c r="L8440" s="48" t="s">
        <v>56716</v>
      </c>
    </row>
    <row r="8441" spans="1:12" ht="11.25" x14ac:dyDescent="0.2">
      <c r="A8441" s="45" t="s">
        <v>49980</v>
      </c>
      <c r="B8441" s="45" t="s">
        <v>49982</v>
      </c>
      <c r="C8441" s="51" t="s">
        <v>49983</v>
      </c>
      <c r="D8441" s="51"/>
      <c r="E8441" s="45" t="s">
        <v>49984</v>
      </c>
      <c r="F8441" s="45" t="s">
        <v>18158</v>
      </c>
      <c r="G8441" s="45" t="s">
        <v>50584</v>
      </c>
      <c r="H8441" s="56"/>
      <c r="I8441" s="56" t="s">
        <v>50564</v>
      </c>
      <c r="J8441" s="56"/>
      <c r="K8441" s="57"/>
      <c r="L8441" s="56" t="s">
        <v>56716</v>
      </c>
    </row>
    <row r="8442" spans="1:12" ht="11.25" x14ac:dyDescent="0.2">
      <c r="A8442" s="46" t="s">
        <v>4570</v>
      </c>
      <c r="B8442" s="46" t="s">
        <v>4570</v>
      </c>
      <c r="C8442" s="58" t="str">
        <f>"0749503X"</f>
        <v>0749503X</v>
      </c>
      <c r="D8442" s="58" t="str">
        <f>"10970061"</f>
        <v>10970061</v>
      </c>
      <c r="E8442" s="46" t="s">
        <v>751</v>
      </c>
      <c r="F8442" s="46" t="s">
        <v>50646</v>
      </c>
      <c r="G8442" s="46" t="s">
        <v>50584</v>
      </c>
      <c r="H8442" s="48" t="s">
        <v>56716</v>
      </c>
      <c r="I8442" s="48" t="s">
        <v>50564</v>
      </c>
      <c r="J8442" s="48" t="s">
        <v>56716</v>
      </c>
      <c r="K8442" s="50" t="s">
        <v>56716</v>
      </c>
      <c r="L8442" s="48" t="s">
        <v>56716</v>
      </c>
    </row>
    <row r="8443" spans="1:12" ht="11.25" x14ac:dyDescent="0.2">
      <c r="A8443" s="46" t="s">
        <v>11333</v>
      </c>
      <c r="B8443" s="46" t="s">
        <v>55814</v>
      </c>
      <c r="C8443" s="58" t="str">
        <f>"13008773"</f>
        <v>13008773</v>
      </c>
      <c r="D8443" s="58" t="str">
        <f>"13044591"</f>
        <v>13044591</v>
      </c>
      <c r="E8443" s="46" t="s">
        <v>1383</v>
      </c>
      <c r="F8443" s="46" t="s">
        <v>18396</v>
      </c>
      <c r="G8443" s="46" t="s">
        <v>50638</v>
      </c>
      <c r="H8443" s="48" t="s">
        <v>56716</v>
      </c>
      <c r="I8443" s="48" t="s">
        <v>50564</v>
      </c>
      <c r="J8443" s="48"/>
      <c r="K8443" s="57"/>
      <c r="L8443" s="48"/>
    </row>
    <row r="8444" spans="1:12" ht="11.25" x14ac:dyDescent="0.2">
      <c r="A8444" s="45" t="s">
        <v>49990</v>
      </c>
      <c r="B8444" s="45" t="s">
        <v>49992</v>
      </c>
      <c r="C8444" s="51" t="s">
        <v>49993</v>
      </c>
      <c r="D8444" s="51"/>
      <c r="E8444" s="45" t="s">
        <v>49994</v>
      </c>
      <c r="F8444" s="45" t="s">
        <v>18396</v>
      </c>
      <c r="G8444" s="45" t="s">
        <v>50639</v>
      </c>
      <c r="H8444" s="56"/>
      <c r="I8444" s="56" t="s">
        <v>50564</v>
      </c>
      <c r="J8444" s="56"/>
      <c r="K8444" s="57"/>
      <c r="L8444" s="56" t="s">
        <v>56716</v>
      </c>
    </row>
    <row r="8445" spans="1:12" ht="11.25" x14ac:dyDescent="0.2">
      <c r="A8445" s="45" t="s">
        <v>49996</v>
      </c>
      <c r="B8445" s="45" t="s">
        <v>49998</v>
      </c>
      <c r="C8445" s="51" t="s">
        <v>49999</v>
      </c>
      <c r="D8445" s="51"/>
      <c r="E8445" s="45" t="s">
        <v>27549</v>
      </c>
      <c r="F8445" s="45" t="s">
        <v>17958</v>
      </c>
      <c r="G8445" s="45" t="s">
        <v>50586</v>
      </c>
      <c r="H8445" s="56"/>
      <c r="I8445" s="56" t="s">
        <v>50564</v>
      </c>
      <c r="J8445" s="56"/>
      <c r="K8445" s="57"/>
      <c r="L8445" s="56" t="s">
        <v>56716</v>
      </c>
    </row>
    <row r="8446" spans="1:12" ht="11.25" x14ac:dyDescent="0.2">
      <c r="A8446" s="45" t="s">
        <v>50001</v>
      </c>
      <c r="B8446" s="45" t="s">
        <v>50003</v>
      </c>
      <c r="C8446" s="51" t="s">
        <v>50004</v>
      </c>
      <c r="D8446" s="51"/>
      <c r="E8446" s="45" t="s">
        <v>50005</v>
      </c>
      <c r="F8446" s="45" t="s">
        <v>17958</v>
      </c>
      <c r="G8446" s="45" t="s">
        <v>50586</v>
      </c>
      <c r="H8446" s="56"/>
      <c r="I8446" s="56" t="s">
        <v>50564</v>
      </c>
      <c r="J8446" s="56"/>
      <c r="K8446" s="57"/>
      <c r="L8446" s="56" t="s">
        <v>56716</v>
      </c>
    </row>
    <row r="8447" spans="1:12" ht="11.25" x14ac:dyDescent="0.2">
      <c r="A8447" s="46" t="s">
        <v>4121</v>
      </c>
      <c r="B8447" s="46" t="s">
        <v>55815</v>
      </c>
      <c r="C8447" s="58" t="str">
        <f>"05135710"</f>
        <v>05135710</v>
      </c>
      <c r="D8447" s="58" t="str">
        <f>"13468049"</f>
        <v>13468049</v>
      </c>
      <c r="E8447" s="46" t="s">
        <v>4124</v>
      </c>
      <c r="F8447" s="46" t="s">
        <v>18242</v>
      </c>
      <c r="G8447" s="46" t="s">
        <v>50584</v>
      </c>
      <c r="H8447" s="48" t="s">
        <v>56716</v>
      </c>
      <c r="I8447" s="48" t="s">
        <v>50564</v>
      </c>
      <c r="J8447" s="48"/>
      <c r="K8447" s="57"/>
      <c r="L8447" s="48"/>
    </row>
    <row r="8448" spans="1:12" ht="11.25" x14ac:dyDescent="0.2">
      <c r="A8448" s="46" t="s">
        <v>4125</v>
      </c>
      <c r="B8448" s="46" t="s">
        <v>55816</v>
      </c>
      <c r="C8448" s="58" t="str">
        <f>"05135796"</f>
        <v>05135796</v>
      </c>
      <c r="D8448" s="58" t="str">
        <f>""</f>
        <v/>
      </c>
      <c r="E8448" s="46" t="s">
        <v>4127</v>
      </c>
      <c r="F8448" s="46" t="s">
        <v>50649</v>
      </c>
      <c r="G8448" s="46" t="s">
        <v>50584</v>
      </c>
      <c r="H8448" s="48" t="s">
        <v>56716</v>
      </c>
      <c r="I8448" s="48" t="s">
        <v>50564</v>
      </c>
      <c r="J8448" s="48"/>
      <c r="K8448" s="57"/>
      <c r="L8448" s="48" t="s">
        <v>56716</v>
      </c>
    </row>
    <row r="8449" spans="1:12" ht="11.25" x14ac:dyDescent="0.2">
      <c r="A8449" s="46" t="s">
        <v>7927</v>
      </c>
      <c r="B8449" s="46" t="s">
        <v>7927</v>
      </c>
      <c r="C8449" s="58" t="str">
        <f>"12307483"</f>
        <v>12307483</v>
      </c>
      <c r="D8449" s="58" t="str">
        <f>""</f>
        <v/>
      </c>
      <c r="E8449" s="46" t="s">
        <v>7929</v>
      </c>
      <c r="F8449" s="46" t="s">
        <v>17967</v>
      </c>
      <c r="G8449" s="46" t="s">
        <v>50613</v>
      </c>
      <c r="H8449" s="48" t="s">
        <v>56716</v>
      </c>
      <c r="I8449" s="48" t="s">
        <v>50564</v>
      </c>
      <c r="J8449" s="48"/>
      <c r="K8449" s="57"/>
      <c r="L8449" s="48"/>
    </row>
    <row r="8450" spans="1:12" ht="11.25" x14ac:dyDescent="0.2">
      <c r="A8450" s="46" t="s">
        <v>5995</v>
      </c>
      <c r="B8450" s="46" t="s">
        <v>55817</v>
      </c>
      <c r="C8450" s="58" t="str">
        <f>"13180347"</f>
        <v>13180347</v>
      </c>
      <c r="D8450" s="58" t="str">
        <f>"15810224"</f>
        <v>15810224</v>
      </c>
      <c r="E8450" s="46" t="s">
        <v>5998</v>
      </c>
      <c r="F8450" s="46" t="s">
        <v>18019</v>
      </c>
      <c r="G8450" s="46" t="s">
        <v>50630</v>
      </c>
      <c r="H8450" s="48" t="s">
        <v>56716</v>
      </c>
      <c r="I8450" s="48" t="s">
        <v>50564</v>
      </c>
      <c r="J8450" s="48"/>
      <c r="K8450" s="57"/>
      <c r="L8450" s="48"/>
    </row>
    <row r="8451" spans="1:12" ht="11.25" x14ac:dyDescent="0.2">
      <c r="A8451" s="45" t="s">
        <v>50013</v>
      </c>
      <c r="B8451" s="45" t="s">
        <v>50013</v>
      </c>
      <c r="C8451" s="51" t="s">
        <v>50016</v>
      </c>
      <c r="D8451" s="51" t="s">
        <v>50015</v>
      </c>
      <c r="E8451" s="45" t="s">
        <v>19180</v>
      </c>
      <c r="F8451" s="45" t="s">
        <v>17759</v>
      </c>
      <c r="G8451" s="45" t="s">
        <v>50584</v>
      </c>
      <c r="H8451" s="56"/>
      <c r="I8451" s="56" t="s">
        <v>50564</v>
      </c>
      <c r="J8451" s="56"/>
      <c r="K8451" s="57"/>
      <c r="L8451" s="56" t="s">
        <v>56716</v>
      </c>
    </row>
    <row r="8452" spans="1:12" ht="11.25" x14ac:dyDescent="0.2">
      <c r="A8452" s="46" t="s">
        <v>4128</v>
      </c>
      <c r="B8452" s="46" t="s">
        <v>55818</v>
      </c>
      <c r="C8452" s="58" t="str">
        <f>"09376801"</f>
        <v>09376801</v>
      </c>
      <c r="D8452" s="58" t="str">
        <f>"14399229"</f>
        <v>14399229</v>
      </c>
      <c r="E8452" s="46" t="s">
        <v>4131</v>
      </c>
      <c r="F8452" s="46" t="s">
        <v>18158</v>
      </c>
      <c r="G8452" s="46" t="s">
        <v>50593</v>
      </c>
      <c r="H8452" s="48" t="s">
        <v>56716</v>
      </c>
      <c r="I8452" s="48" t="s">
        <v>50564</v>
      </c>
      <c r="J8452" s="48"/>
      <c r="K8452" s="57"/>
      <c r="L8452" s="48"/>
    </row>
    <row r="8453" spans="1:12" ht="11.25" x14ac:dyDescent="0.2">
      <c r="A8453" s="46" t="s">
        <v>10625</v>
      </c>
      <c r="B8453" s="46" t="s">
        <v>55819</v>
      </c>
      <c r="C8453" s="58" t="str">
        <f>"16176782"</f>
        <v>16176782</v>
      </c>
      <c r="D8453" s="58" t="str">
        <f>"16100646"</f>
        <v>16100646</v>
      </c>
      <c r="E8453" s="46" t="s">
        <v>55961</v>
      </c>
      <c r="F8453" s="46" t="s">
        <v>18158</v>
      </c>
      <c r="G8453" s="46" t="s">
        <v>50593</v>
      </c>
      <c r="H8453" s="48" t="s">
        <v>56716</v>
      </c>
      <c r="I8453" s="48" t="s">
        <v>50564</v>
      </c>
      <c r="J8453" s="48"/>
      <c r="K8453" s="50" t="s">
        <v>56716</v>
      </c>
      <c r="L8453" s="48"/>
    </row>
    <row r="8454" spans="1:12" ht="11.25" x14ac:dyDescent="0.2">
      <c r="A8454" s="45" t="s">
        <v>50018</v>
      </c>
      <c r="B8454" s="45" t="s">
        <v>50020</v>
      </c>
      <c r="C8454" s="51" t="s">
        <v>50023</v>
      </c>
      <c r="D8454" s="51" t="s">
        <v>50022</v>
      </c>
      <c r="E8454" s="45" t="s">
        <v>50024</v>
      </c>
      <c r="F8454" s="45" t="s">
        <v>18001</v>
      </c>
      <c r="G8454" s="45" t="s">
        <v>50593</v>
      </c>
      <c r="H8454" s="56"/>
      <c r="I8454" s="56" t="s">
        <v>50564</v>
      </c>
      <c r="J8454" s="56"/>
      <c r="K8454" s="57"/>
      <c r="L8454" s="56" t="s">
        <v>56716</v>
      </c>
    </row>
    <row r="8455" spans="1:12" ht="11.25" x14ac:dyDescent="0.2">
      <c r="A8455" s="46" t="s">
        <v>4132</v>
      </c>
      <c r="B8455" s="46" t="s">
        <v>55820</v>
      </c>
      <c r="C8455" s="58" t="str">
        <f>"00442771"</f>
        <v>00442771</v>
      </c>
      <c r="D8455" s="58" t="str">
        <f>"14397803"</f>
        <v>14397803</v>
      </c>
      <c r="E8455" s="46" t="s">
        <v>412</v>
      </c>
      <c r="F8455" s="46" t="s">
        <v>18158</v>
      </c>
      <c r="G8455" s="46" t="s">
        <v>50592</v>
      </c>
      <c r="H8455" s="48" t="s">
        <v>56716</v>
      </c>
      <c r="I8455" s="48" t="s">
        <v>50564</v>
      </c>
      <c r="J8455" s="48"/>
      <c r="K8455" s="50" t="s">
        <v>56716</v>
      </c>
      <c r="L8455" s="48" t="s">
        <v>56716</v>
      </c>
    </row>
    <row r="8456" spans="1:12" ht="11.25" x14ac:dyDescent="0.2">
      <c r="A8456" s="45" t="s">
        <v>50031</v>
      </c>
      <c r="B8456" s="45" t="s">
        <v>50033</v>
      </c>
      <c r="C8456" s="51" t="s">
        <v>50036</v>
      </c>
      <c r="D8456" s="51" t="s">
        <v>50035</v>
      </c>
      <c r="E8456" s="45" t="s">
        <v>39427</v>
      </c>
      <c r="F8456" s="45" t="s">
        <v>18158</v>
      </c>
      <c r="G8456" s="45" t="s">
        <v>50592</v>
      </c>
      <c r="H8456" s="56"/>
      <c r="I8456" s="56" t="s">
        <v>50564</v>
      </c>
      <c r="J8456" s="56"/>
      <c r="K8456" s="57"/>
      <c r="L8456" s="56" t="s">
        <v>56716</v>
      </c>
    </row>
    <row r="8457" spans="1:12" ht="11.25" x14ac:dyDescent="0.2">
      <c r="A8457" s="46" t="s">
        <v>10811</v>
      </c>
      <c r="B8457" s="46" t="s">
        <v>55821</v>
      </c>
      <c r="C8457" s="58" t="str">
        <f>"16155300"</f>
        <v>16155300</v>
      </c>
      <c r="D8457" s="58" t="str">
        <f>"16155319"</f>
        <v>16155319</v>
      </c>
      <c r="E8457" s="46" t="s">
        <v>412</v>
      </c>
      <c r="F8457" s="46" t="s">
        <v>18158</v>
      </c>
      <c r="G8457" s="46" t="s">
        <v>50592</v>
      </c>
      <c r="H8457" s="48" t="s">
        <v>56716</v>
      </c>
      <c r="I8457" s="48" t="s">
        <v>50564</v>
      </c>
      <c r="J8457" s="48"/>
      <c r="K8457" s="57"/>
      <c r="L8457" s="48"/>
    </row>
    <row r="8458" spans="1:12" ht="11.25" x14ac:dyDescent="0.2">
      <c r="A8458" s="46" t="s">
        <v>10450</v>
      </c>
      <c r="B8458" s="46" t="s">
        <v>55822</v>
      </c>
      <c r="C8458" s="58" t="str">
        <f>"18129501"</f>
        <v>18129501</v>
      </c>
      <c r="D8458" s="58" t="str">
        <f>"1812951X"</f>
        <v>1812951X</v>
      </c>
      <c r="E8458" s="46" t="s">
        <v>7866</v>
      </c>
      <c r="F8458" s="46" t="s">
        <v>18288</v>
      </c>
      <c r="G8458" s="46" t="s">
        <v>50593</v>
      </c>
      <c r="H8458" s="48" t="s">
        <v>56716</v>
      </c>
      <c r="I8458" s="48" t="s">
        <v>50564</v>
      </c>
      <c r="J8458" s="48"/>
      <c r="K8458" s="57"/>
      <c r="L8458" s="48"/>
    </row>
    <row r="8459" spans="1:12" ht="11.25" x14ac:dyDescent="0.2">
      <c r="A8459" s="45" t="s">
        <v>50038</v>
      </c>
      <c r="B8459" s="45" t="s">
        <v>50040</v>
      </c>
      <c r="C8459" s="51" t="s">
        <v>50043</v>
      </c>
      <c r="D8459" s="51" t="s">
        <v>50042</v>
      </c>
      <c r="E8459" s="45" t="s">
        <v>17783</v>
      </c>
      <c r="F8459" s="45" t="s">
        <v>18158</v>
      </c>
      <c r="G8459" s="45" t="s">
        <v>50592</v>
      </c>
      <c r="H8459" s="56"/>
      <c r="I8459" s="56" t="s">
        <v>50564</v>
      </c>
      <c r="J8459" s="56"/>
      <c r="K8459" s="57"/>
      <c r="L8459" s="56" t="s">
        <v>56716</v>
      </c>
    </row>
    <row r="8460" spans="1:12" ht="11.25" x14ac:dyDescent="0.2">
      <c r="A8460" s="46" t="s">
        <v>6984</v>
      </c>
      <c r="B8460" s="46" t="s">
        <v>55823</v>
      </c>
      <c r="C8460" s="58" t="str">
        <f>"14224917"</f>
        <v>14224917</v>
      </c>
      <c r="D8460" s="58" t="str">
        <f>""</f>
        <v/>
      </c>
      <c r="E8460" s="46" t="s">
        <v>2009</v>
      </c>
      <c r="F8460" s="46" t="s">
        <v>18123</v>
      </c>
      <c r="G8460" s="46" t="s">
        <v>50593</v>
      </c>
      <c r="H8460" s="48" t="s">
        <v>56716</v>
      </c>
      <c r="I8460" s="48" t="s">
        <v>50564</v>
      </c>
      <c r="J8460" s="48"/>
      <c r="K8460" s="57"/>
      <c r="L8460" s="48" t="s">
        <v>56716</v>
      </c>
    </row>
    <row r="8461" spans="1:12" ht="11.25" x14ac:dyDescent="0.2">
      <c r="A8461" s="46" t="s">
        <v>6038</v>
      </c>
      <c r="B8461" s="46" t="s">
        <v>55824</v>
      </c>
      <c r="C8461" s="58" t="str">
        <f>"09393889"</f>
        <v>09393889</v>
      </c>
      <c r="D8461" s="58" t="str">
        <f>"18764436"</f>
        <v>18764436</v>
      </c>
      <c r="E8461" s="46" t="s">
        <v>241</v>
      </c>
      <c r="F8461" s="46" t="s">
        <v>18158</v>
      </c>
      <c r="G8461" s="46" t="s">
        <v>50592</v>
      </c>
      <c r="H8461" s="48" t="s">
        <v>56716</v>
      </c>
      <c r="I8461" s="48" t="s">
        <v>50564</v>
      </c>
      <c r="J8461" s="48"/>
      <c r="K8461" s="50" t="s">
        <v>56716</v>
      </c>
      <c r="L8461" s="48" t="s">
        <v>56716</v>
      </c>
    </row>
    <row r="8462" spans="1:12" ht="11.25" x14ac:dyDescent="0.2">
      <c r="A8462" s="45" t="s">
        <v>50055</v>
      </c>
      <c r="B8462" s="45" t="s">
        <v>50057</v>
      </c>
      <c r="C8462" s="51" t="s">
        <v>50060</v>
      </c>
      <c r="D8462" s="51" t="s">
        <v>50059</v>
      </c>
      <c r="E8462" s="45" t="s">
        <v>50062</v>
      </c>
      <c r="F8462" s="45" t="s">
        <v>18158</v>
      </c>
      <c r="G8462" s="45" t="s">
        <v>50592</v>
      </c>
      <c r="H8462" s="56"/>
      <c r="I8462" s="56" t="s">
        <v>50564</v>
      </c>
      <c r="J8462" s="56"/>
      <c r="K8462" s="57"/>
      <c r="L8462" s="56" t="s">
        <v>56716</v>
      </c>
    </row>
    <row r="8463" spans="1:12" ht="11.25" x14ac:dyDescent="0.2">
      <c r="A8463" s="45" t="s">
        <v>50064</v>
      </c>
      <c r="B8463" s="45" t="s">
        <v>50065</v>
      </c>
      <c r="C8463" s="51" t="s">
        <v>50068</v>
      </c>
      <c r="D8463" s="51" t="s">
        <v>50067</v>
      </c>
      <c r="E8463" s="45" t="s">
        <v>412</v>
      </c>
      <c r="F8463" s="45" t="s">
        <v>18158</v>
      </c>
      <c r="G8463" s="45" t="s">
        <v>50593</v>
      </c>
      <c r="H8463" s="56"/>
      <c r="I8463" s="56" t="s">
        <v>50564</v>
      </c>
      <c r="J8463" s="56"/>
      <c r="K8463" s="57"/>
      <c r="L8463" s="56" t="s">
        <v>56716</v>
      </c>
    </row>
    <row r="8464" spans="1:12" ht="11.25" x14ac:dyDescent="0.2">
      <c r="A8464" s="46" t="s">
        <v>4138</v>
      </c>
      <c r="B8464" s="46" t="s">
        <v>55825</v>
      </c>
      <c r="C8464" s="58" t="str">
        <f>"0722348X"</f>
        <v>0722348X</v>
      </c>
      <c r="D8464" s="58" t="str">
        <f>"14389584"</f>
        <v>14389584</v>
      </c>
      <c r="E8464" s="46" t="s">
        <v>3166</v>
      </c>
      <c r="F8464" s="46" t="s">
        <v>18158</v>
      </c>
      <c r="G8464" s="46" t="s">
        <v>50593</v>
      </c>
      <c r="H8464" s="48" t="s">
        <v>56716</v>
      </c>
      <c r="I8464" s="48" t="s">
        <v>50564</v>
      </c>
      <c r="J8464" s="48"/>
      <c r="K8464" s="57"/>
      <c r="L8464" s="48"/>
    </row>
    <row r="8465" spans="1:12" ht="11.25" x14ac:dyDescent="0.2">
      <c r="A8465" s="46" t="s">
        <v>11505</v>
      </c>
      <c r="B8465" s="46" t="s">
        <v>55826</v>
      </c>
      <c r="C8465" s="58" t="str">
        <f>"16614747"</f>
        <v>16614747</v>
      </c>
      <c r="D8465" s="58" t="str">
        <f>""</f>
        <v/>
      </c>
      <c r="E8465" s="46" t="s">
        <v>2009</v>
      </c>
      <c r="F8465" s="46" t="s">
        <v>18123</v>
      </c>
      <c r="G8465" s="46" t="s">
        <v>50593</v>
      </c>
      <c r="H8465" s="48" t="s">
        <v>56716</v>
      </c>
      <c r="I8465" s="48" t="s">
        <v>50564</v>
      </c>
      <c r="J8465" s="48"/>
      <c r="K8465" s="57"/>
      <c r="L8465" s="48"/>
    </row>
    <row r="8466" spans="1:12" ht="11.25" x14ac:dyDescent="0.2">
      <c r="A8466" s="46" t="s">
        <v>8359</v>
      </c>
      <c r="B8466" s="46" t="s">
        <v>55827</v>
      </c>
      <c r="C8466" s="58" t="str">
        <f>"14383608"</f>
        <v>14383608</v>
      </c>
      <c r="D8466" s="58" t="str">
        <f>""</f>
        <v/>
      </c>
      <c r="E8466" s="46" t="s">
        <v>8361</v>
      </c>
      <c r="F8466" s="46" t="s">
        <v>18158</v>
      </c>
      <c r="G8466" s="46" t="s">
        <v>50593</v>
      </c>
      <c r="H8466" s="48" t="s">
        <v>56716</v>
      </c>
      <c r="I8466" s="48" t="s">
        <v>50564</v>
      </c>
      <c r="J8466" s="48"/>
      <c r="K8466" s="57"/>
      <c r="L8466" s="48" t="s">
        <v>56716</v>
      </c>
    </row>
    <row r="8467" spans="1:12" ht="11.25" x14ac:dyDescent="0.2">
      <c r="A8467" s="46" t="s">
        <v>4141</v>
      </c>
      <c r="B8467" s="46" t="s">
        <v>55828</v>
      </c>
      <c r="C8467" s="58" t="str">
        <f>"03401855"</f>
        <v>03401855</v>
      </c>
      <c r="D8467" s="58" t="str">
        <f>"14351250"</f>
        <v>14351250</v>
      </c>
      <c r="E8467" s="46" t="s">
        <v>55961</v>
      </c>
      <c r="F8467" s="46" t="s">
        <v>18158</v>
      </c>
      <c r="G8467" s="46" t="s">
        <v>50593</v>
      </c>
      <c r="H8467" s="48" t="s">
        <v>56716</v>
      </c>
      <c r="I8467" s="48" t="s">
        <v>50564</v>
      </c>
      <c r="J8467" s="48"/>
      <c r="K8467" s="50" t="s">
        <v>56716</v>
      </c>
      <c r="L8467" s="48" t="s">
        <v>56716</v>
      </c>
    </row>
    <row r="8468" spans="1:12" ht="11.25" x14ac:dyDescent="0.2">
      <c r="A8468" s="45" t="s">
        <v>50083</v>
      </c>
      <c r="B8468" s="45" t="s">
        <v>50085</v>
      </c>
      <c r="C8468" s="51" t="s">
        <v>50088</v>
      </c>
      <c r="D8468" s="51" t="s">
        <v>50087</v>
      </c>
      <c r="E8468" s="45" t="s">
        <v>19244</v>
      </c>
      <c r="F8468" s="45" t="s">
        <v>18158</v>
      </c>
      <c r="G8468" s="45" t="s">
        <v>50592</v>
      </c>
      <c r="H8468" s="56"/>
      <c r="I8468" s="56" t="s">
        <v>50564</v>
      </c>
      <c r="J8468" s="56"/>
      <c r="K8468" s="57"/>
      <c r="L8468" s="56" t="s">
        <v>56716</v>
      </c>
    </row>
    <row r="8469" spans="1:12" ht="11.25" x14ac:dyDescent="0.2">
      <c r="A8469" s="46" t="s">
        <v>6146</v>
      </c>
      <c r="B8469" s="46" t="s">
        <v>55829</v>
      </c>
      <c r="C8469" s="58" t="str">
        <f>"09426086"</f>
        <v>09426086</v>
      </c>
      <c r="D8469" s="58" t="str">
        <f>""</f>
        <v/>
      </c>
      <c r="E8469" s="46" t="s">
        <v>6148</v>
      </c>
      <c r="F8469" s="46" t="s">
        <v>18158</v>
      </c>
      <c r="G8469" s="46" t="s">
        <v>50592</v>
      </c>
      <c r="H8469" s="48" t="s">
        <v>56716</v>
      </c>
      <c r="I8469" s="48" t="s">
        <v>50564</v>
      </c>
      <c r="J8469" s="48"/>
      <c r="K8469" s="57"/>
      <c r="L8469" s="48"/>
    </row>
    <row r="8470" spans="1:12" ht="11.25" x14ac:dyDescent="0.2">
      <c r="A8470" s="46" t="s">
        <v>17133</v>
      </c>
      <c r="B8470" s="46" t="s">
        <v>55830</v>
      </c>
      <c r="C8470" s="58" t="str">
        <f>"17340489"</f>
        <v>17340489</v>
      </c>
      <c r="D8470" s="58" t="str">
        <f>""</f>
        <v/>
      </c>
      <c r="E8470" s="46" t="s">
        <v>56270</v>
      </c>
      <c r="F8470" s="46" t="s">
        <v>17967</v>
      </c>
      <c r="G8470" s="46" t="s">
        <v>50612</v>
      </c>
      <c r="H8470" s="48" t="s">
        <v>56716</v>
      </c>
      <c r="I8470" s="48" t="s">
        <v>50564</v>
      </c>
      <c r="J8470" s="48"/>
      <c r="K8470" s="50" t="s">
        <v>56716</v>
      </c>
      <c r="L8470" s="48"/>
    </row>
    <row r="8471" spans="1:12" ht="11.25" x14ac:dyDescent="0.2">
      <c r="A8471" s="46" t="s">
        <v>56500</v>
      </c>
      <c r="B8471" s="46" t="s">
        <v>56501</v>
      </c>
      <c r="C8471" s="58" t="str">
        <f>"13007971"</f>
        <v>13007971</v>
      </c>
      <c r="D8471" s="58" t="str">
        <f>""</f>
        <v/>
      </c>
      <c r="E8471" s="46" t="s">
        <v>56502</v>
      </c>
      <c r="F8471" s="46" t="s">
        <v>18396</v>
      </c>
      <c r="G8471" s="46" t="s">
        <v>50638</v>
      </c>
      <c r="H8471" s="48" t="s">
        <v>56716</v>
      </c>
      <c r="I8471" s="48" t="s">
        <v>50564</v>
      </c>
      <c r="J8471" s="48"/>
      <c r="K8471" s="57"/>
      <c r="L8471" s="48"/>
    </row>
    <row r="8472" spans="1:12" ht="11.25" x14ac:dyDescent="0.2">
      <c r="A8472" s="45" t="s">
        <v>50090</v>
      </c>
      <c r="B8472" s="45" t="s">
        <v>50092</v>
      </c>
      <c r="C8472" s="51" t="s">
        <v>50094</v>
      </c>
      <c r="D8472" s="51"/>
      <c r="E8472" s="45" t="s">
        <v>50095</v>
      </c>
      <c r="F8472" s="45" t="s">
        <v>17958</v>
      </c>
      <c r="G8472" s="45" t="s">
        <v>50586</v>
      </c>
      <c r="H8472" s="56"/>
      <c r="I8472" s="56" t="s">
        <v>50564</v>
      </c>
      <c r="J8472" s="56"/>
      <c r="K8472" s="57"/>
      <c r="L8472" s="56" t="s">
        <v>56716</v>
      </c>
    </row>
    <row r="8473" spans="1:12" ht="11.25" x14ac:dyDescent="0.2">
      <c r="A8473" s="45" t="s">
        <v>50097</v>
      </c>
      <c r="B8473" s="45" t="s">
        <v>50099</v>
      </c>
      <c r="C8473" s="51" t="s">
        <v>50101</v>
      </c>
      <c r="D8473" s="51"/>
      <c r="E8473" s="45" t="s">
        <v>50102</v>
      </c>
      <c r="F8473" s="45" t="s">
        <v>17958</v>
      </c>
      <c r="G8473" s="45" t="s">
        <v>50586</v>
      </c>
      <c r="H8473" s="56"/>
      <c r="I8473" s="56" t="s">
        <v>50564</v>
      </c>
      <c r="J8473" s="56"/>
      <c r="K8473" s="57"/>
      <c r="L8473" s="56" t="s">
        <v>56716</v>
      </c>
    </row>
    <row r="8474" spans="1:12" ht="11.25" x14ac:dyDescent="0.2">
      <c r="A8474" s="45" t="s">
        <v>50104</v>
      </c>
      <c r="B8474" s="45" t="s">
        <v>50106</v>
      </c>
      <c r="C8474" s="51" t="s">
        <v>50108</v>
      </c>
      <c r="D8474" s="51"/>
      <c r="E8474" s="45" t="s">
        <v>50109</v>
      </c>
      <c r="F8474" s="45" t="s">
        <v>17958</v>
      </c>
      <c r="G8474" s="45" t="s">
        <v>50586</v>
      </c>
      <c r="H8474" s="56"/>
      <c r="I8474" s="56" t="s">
        <v>50564</v>
      </c>
      <c r="J8474" s="56"/>
      <c r="K8474" s="57"/>
      <c r="L8474" s="56" t="s">
        <v>56716</v>
      </c>
    </row>
    <row r="8475" spans="1:12" ht="11.25" x14ac:dyDescent="0.2">
      <c r="A8475" s="45" t="s">
        <v>50111</v>
      </c>
      <c r="B8475" s="45" t="s">
        <v>50113</v>
      </c>
      <c r="C8475" s="51" t="s">
        <v>50114</v>
      </c>
      <c r="D8475" s="51"/>
      <c r="E8475" s="45" t="s">
        <v>50115</v>
      </c>
      <c r="F8475" s="45" t="s">
        <v>17958</v>
      </c>
      <c r="G8475" s="45" t="s">
        <v>50586</v>
      </c>
      <c r="H8475" s="56"/>
      <c r="I8475" s="56" t="s">
        <v>50564</v>
      </c>
      <c r="J8475" s="56"/>
      <c r="K8475" s="57"/>
      <c r="L8475" s="56" t="s">
        <v>56716</v>
      </c>
    </row>
    <row r="8476" spans="1:12" ht="11.25" x14ac:dyDescent="0.2">
      <c r="A8476" s="45" t="s">
        <v>50127</v>
      </c>
      <c r="B8476" s="45" t="s">
        <v>50129</v>
      </c>
      <c r="C8476" s="51" t="s">
        <v>50130</v>
      </c>
      <c r="D8476" s="51"/>
      <c r="E8476" s="45" t="s">
        <v>50131</v>
      </c>
      <c r="F8476" s="45" t="s">
        <v>17958</v>
      </c>
      <c r="G8476" s="45" t="s">
        <v>50586</v>
      </c>
      <c r="H8476" s="56"/>
      <c r="I8476" s="56" t="s">
        <v>50564</v>
      </c>
      <c r="J8476" s="56"/>
      <c r="K8476" s="57"/>
      <c r="L8476" s="56" t="s">
        <v>56716</v>
      </c>
    </row>
    <row r="8477" spans="1:12" ht="11.25" x14ac:dyDescent="0.2">
      <c r="A8477" s="45" t="s">
        <v>50133</v>
      </c>
      <c r="B8477" s="45" t="s">
        <v>50135</v>
      </c>
      <c r="C8477" s="51" t="s">
        <v>50137</v>
      </c>
      <c r="D8477" s="51"/>
      <c r="E8477" s="45" t="s">
        <v>50138</v>
      </c>
      <c r="F8477" s="45" t="s">
        <v>17958</v>
      </c>
      <c r="G8477" s="45" t="s">
        <v>50586</v>
      </c>
      <c r="H8477" s="56"/>
      <c r="I8477" s="56" t="s">
        <v>50564</v>
      </c>
      <c r="J8477" s="56"/>
      <c r="K8477" s="57"/>
      <c r="L8477" s="56" t="s">
        <v>56716</v>
      </c>
    </row>
    <row r="8478" spans="1:12" ht="11.25" x14ac:dyDescent="0.2">
      <c r="A8478" s="45" t="s">
        <v>50140</v>
      </c>
      <c r="B8478" s="45" t="s">
        <v>50142</v>
      </c>
      <c r="C8478" s="51" t="s">
        <v>50143</v>
      </c>
      <c r="D8478" s="51"/>
      <c r="E8478" s="45" t="s">
        <v>50144</v>
      </c>
      <c r="F8478" s="45" t="s">
        <v>17958</v>
      </c>
      <c r="G8478" s="45" t="s">
        <v>50586</v>
      </c>
      <c r="H8478" s="56"/>
      <c r="I8478" s="56" t="s">
        <v>50564</v>
      </c>
      <c r="J8478" s="56"/>
      <c r="K8478" s="57"/>
      <c r="L8478" s="56" t="s">
        <v>56716</v>
      </c>
    </row>
    <row r="8479" spans="1:12" ht="11.25" x14ac:dyDescent="0.2">
      <c r="A8479" s="45" t="s">
        <v>50146</v>
      </c>
      <c r="B8479" s="45" t="s">
        <v>50148</v>
      </c>
      <c r="C8479" s="51" t="s">
        <v>50150</v>
      </c>
      <c r="D8479" s="51"/>
      <c r="E8479" s="45" t="s">
        <v>50151</v>
      </c>
      <c r="F8479" s="45" t="s">
        <v>17958</v>
      </c>
      <c r="G8479" s="45" t="s">
        <v>50586</v>
      </c>
      <c r="H8479" s="56"/>
      <c r="I8479" s="56" t="s">
        <v>50564</v>
      </c>
      <c r="J8479" s="56"/>
      <c r="K8479" s="57"/>
      <c r="L8479" s="56" t="s">
        <v>56716</v>
      </c>
    </row>
    <row r="8480" spans="1:12" ht="11.25" x14ac:dyDescent="0.2">
      <c r="A8480" s="45" t="s">
        <v>50158</v>
      </c>
      <c r="B8480" s="45" t="s">
        <v>50160</v>
      </c>
      <c r="C8480" s="51" t="s">
        <v>50162</v>
      </c>
      <c r="D8480" s="51"/>
      <c r="E8480" s="45" t="s">
        <v>50163</v>
      </c>
      <c r="F8480" s="45" t="s">
        <v>17958</v>
      </c>
      <c r="G8480" s="45" t="s">
        <v>50586</v>
      </c>
      <c r="H8480" s="56"/>
      <c r="I8480" s="56" t="s">
        <v>50564</v>
      </c>
      <c r="J8480" s="56"/>
      <c r="K8480" s="57"/>
      <c r="L8480" s="56" t="s">
        <v>56716</v>
      </c>
    </row>
    <row r="8481" spans="1:12" ht="11.25" x14ac:dyDescent="0.2">
      <c r="A8481" s="45" t="s">
        <v>50165</v>
      </c>
      <c r="B8481" s="45" t="s">
        <v>50167</v>
      </c>
      <c r="C8481" s="51" t="s">
        <v>50169</v>
      </c>
      <c r="D8481" s="51"/>
      <c r="E8481" s="45" t="s">
        <v>50170</v>
      </c>
      <c r="F8481" s="45" t="s">
        <v>17958</v>
      </c>
      <c r="G8481" s="45" t="s">
        <v>50580</v>
      </c>
      <c r="H8481" s="56"/>
      <c r="I8481" s="56" t="s">
        <v>50564</v>
      </c>
      <c r="J8481" s="56"/>
      <c r="K8481" s="57"/>
      <c r="L8481" s="56" t="s">
        <v>56716</v>
      </c>
    </row>
    <row r="8482" spans="1:12" ht="11.25" x14ac:dyDescent="0.2">
      <c r="A8482" s="45" t="s">
        <v>50177</v>
      </c>
      <c r="B8482" s="45" t="s">
        <v>50179</v>
      </c>
      <c r="C8482" s="51" t="s">
        <v>50180</v>
      </c>
      <c r="D8482" s="51"/>
      <c r="E8482" s="45" t="s">
        <v>50181</v>
      </c>
      <c r="F8482" s="45" t="s">
        <v>17958</v>
      </c>
      <c r="G8482" s="45" t="s">
        <v>50586</v>
      </c>
      <c r="H8482" s="56"/>
      <c r="I8482" s="56" t="s">
        <v>50564</v>
      </c>
      <c r="J8482" s="56"/>
      <c r="K8482" s="57"/>
      <c r="L8482" s="56" t="s">
        <v>56716</v>
      </c>
    </row>
    <row r="8483" spans="1:12" ht="11.25" x14ac:dyDescent="0.2">
      <c r="A8483" s="45" t="s">
        <v>50183</v>
      </c>
      <c r="B8483" s="45" t="s">
        <v>50185</v>
      </c>
      <c r="C8483" s="51" t="s">
        <v>50186</v>
      </c>
      <c r="D8483" s="51"/>
      <c r="E8483" s="45" t="s">
        <v>50187</v>
      </c>
      <c r="F8483" s="45" t="s">
        <v>17958</v>
      </c>
      <c r="G8483" s="45" t="s">
        <v>50586</v>
      </c>
      <c r="H8483" s="56"/>
      <c r="I8483" s="56" t="s">
        <v>50564</v>
      </c>
      <c r="J8483" s="56"/>
      <c r="K8483" s="57"/>
      <c r="L8483" s="56" t="s">
        <v>56716</v>
      </c>
    </row>
    <row r="8484" spans="1:12" ht="11.25" x14ac:dyDescent="0.2">
      <c r="A8484" s="45" t="s">
        <v>50189</v>
      </c>
      <c r="B8484" s="45" t="s">
        <v>50191</v>
      </c>
      <c r="C8484" s="51" t="s">
        <v>50193</v>
      </c>
      <c r="D8484" s="51"/>
      <c r="E8484" s="45" t="s">
        <v>50194</v>
      </c>
      <c r="F8484" s="45" t="s">
        <v>17958</v>
      </c>
      <c r="G8484" s="45" t="s">
        <v>50586</v>
      </c>
      <c r="H8484" s="56"/>
      <c r="I8484" s="56" t="s">
        <v>50564</v>
      </c>
      <c r="J8484" s="56"/>
      <c r="K8484" s="57"/>
      <c r="L8484" s="56" t="s">
        <v>56716</v>
      </c>
    </row>
    <row r="8485" spans="1:12" ht="11.25" x14ac:dyDescent="0.2">
      <c r="A8485" s="46" t="s">
        <v>9619</v>
      </c>
      <c r="B8485" s="46" t="s">
        <v>9619</v>
      </c>
      <c r="C8485" s="58" t="str">
        <f>"10015302"</f>
        <v>10015302</v>
      </c>
      <c r="D8485" s="58" t="str">
        <f>""</f>
        <v/>
      </c>
      <c r="E8485" s="46" t="s">
        <v>9621</v>
      </c>
      <c r="F8485" s="46" t="s">
        <v>17958</v>
      </c>
      <c r="G8485" s="46" t="s">
        <v>50580</v>
      </c>
      <c r="H8485" s="48" t="s">
        <v>56716</v>
      </c>
      <c r="I8485" s="48" t="s">
        <v>50564</v>
      </c>
      <c r="J8485" s="48"/>
      <c r="K8485" s="57"/>
      <c r="L8485" s="48" t="s">
        <v>56716</v>
      </c>
    </row>
    <row r="8486" spans="1:12" ht="11.25" x14ac:dyDescent="0.2">
      <c r="A8486" s="45" t="s">
        <v>50203</v>
      </c>
      <c r="B8486" s="45" t="s">
        <v>50205</v>
      </c>
      <c r="C8486" s="51" t="s">
        <v>50206</v>
      </c>
      <c r="D8486" s="51"/>
      <c r="E8486" s="45" t="s">
        <v>1065</v>
      </c>
      <c r="F8486" s="45" t="s">
        <v>17958</v>
      </c>
      <c r="G8486" s="45" t="s">
        <v>50586</v>
      </c>
      <c r="H8486" s="56"/>
      <c r="I8486" s="56" t="s">
        <v>50564</v>
      </c>
      <c r="J8486" s="56"/>
      <c r="K8486" s="57"/>
      <c r="L8486" s="56" t="s">
        <v>56716</v>
      </c>
    </row>
    <row r="8487" spans="1:12" ht="11.25" x14ac:dyDescent="0.2">
      <c r="A8487" s="45" t="s">
        <v>50208</v>
      </c>
      <c r="B8487" s="45" t="s">
        <v>50210</v>
      </c>
      <c r="C8487" s="51" t="s">
        <v>50212</v>
      </c>
      <c r="D8487" s="51"/>
      <c r="E8487" s="45" t="s">
        <v>50213</v>
      </c>
      <c r="F8487" s="45" t="s">
        <v>17958</v>
      </c>
      <c r="G8487" s="45" t="s">
        <v>50586</v>
      </c>
      <c r="H8487" s="56"/>
      <c r="I8487" s="56" t="s">
        <v>50564</v>
      </c>
      <c r="J8487" s="56"/>
      <c r="K8487" s="57"/>
      <c r="L8487" s="56" t="s">
        <v>56716</v>
      </c>
    </row>
    <row r="8488" spans="1:12" ht="11.25" x14ac:dyDescent="0.2">
      <c r="A8488" s="45" t="s">
        <v>50215</v>
      </c>
      <c r="B8488" s="45" t="s">
        <v>50217</v>
      </c>
      <c r="C8488" s="51" t="s">
        <v>50218</v>
      </c>
      <c r="D8488" s="51"/>
      <c r="E8488" s="45" t="s">
        <v>1065</v>
      </c>
      <c r="F8488" s="45" t="s">
        <v>17958</v>
      </c>
      <c r="G8488" s="45" t="s">
        <v>50586</v>
      </c>
      <c r="H8488" s="56"/>
      <c r="I8488" s="56" t="s">
        <v>50564</v>
      </c>
      <c r="J8488" s="56"/>
      <c r="K8488" s="57"/>
      <c r="L8488" s="56" t="s">
        <v>56716</v>
      </c>
    </row>
    <row r="8489" spans="1:12" ht="11.25" x14ac:dyDescent="0.2">
      <c r="A8489" s="45" t="s">
        <v>50220</v>
      </c>
      <c r="B8489" s="45" t="s">
        <v>50222</v>
      </c>
      <c r="C8489" s="51" t="s">
        <v>50223</v>
      </c>
      <c r="D8489" s="51"/>
      <c r="E8489" s="45" t="s">
        <v>1065</v>
      </c>
      <c r="F8489" s="45" t="s">
        <v>17958</v>
      </c>
      <c r="G8489" s="45" t="s">
        <v>50586</v>
      </c>
      <c r="H8489" s="56"/>
      <c r="I8489" s="56" t="s">
        <v>50564</v>
      </c>
      <c r="J8489" s="56"/>
      <c r="K8489" s="57"/>
      <c r="L8489" s="56" t="s">
        <v>56716</v>
      </c>
    </row>
    <row r="8490" spans="1:12" ht="11.25" x14ac:dyDescent="0.2">
      <c r="A8490" s="45" t="s">
        <v>50225</v>
      </c>
      <c r="B8490" s="45" t="s">
        <v>50227</v>
      </c>
      <c r="C8490" s="51" t="s">
        <v>50228</v>
      </c>
      <c r="D8490" s="51"/>
      <c r="E8490" s="45" t="s">
        <v>50229</v>
      </c>
      <c r="F8490" s="45" t="s">
        <v>17958</v>
      </c>
      <c r="G8490" s="45" t="s">
        <v>50586</v>
      </c>
      <c r="H8490" s="56"/>
      <c r="I8490" s="56" t="s">
        <v>50564</v>
      </c>
      <c r="J8490" s="56"/>
      <c r="K8490" s="57"/>
      <c r="L8490" s="56" t="s">
        <v>56716</v>
      </c>
    </row>
    <row r="8491" spans="1:12" ht="11.25" x14ac:dyDescent="0.2">
      <c r="A8491" s="45" t="s">
        <v>50231</v>
      </c>
      <c r="B8491" s="45" t="s">
        <v>50233</v>
      </c>
      <c r="C8491" s="51" t="s">
        <v>50235</v>
      </c>
      <c r="D8491" s="51"/>
      <c r="E8491" s="45" t="s">
        <v>1065</v>
      </c>
      <c r="F8491" s="45" t="s">
        <v>17958</v>
      </c>
      <c r="G8491" s="45" t="s">
        <v>50586</v>
      </c>
      <c r="H8491" s="56"/>
      <c r="I8491" s="56" t="s">
        <v>50564</v>
      </c>
      <c r="J8491" s="56"/>
      <c r="K8491" s="57"/>
      <c r="L8491" s="56" t="s">
        <v>56716</v>
      </c>
    </row>
    <row r="8492" spans="1:12" ht="11.25" x14ac:dyDescent="0.2">
      <c r="A8492" s="45" t="s">
        <v>50237</v>
      </c>
      <c r="B8492" s="45" t="s">
        <v>50239</v>
      </c>
      <c r="C8492" s="51" t="s">
        <v>50241</v>
      </c>
      <c r="D8492" s="51"/>
      <c r="E8492" s="45" t="s">
        <v>1065</v>
      </c>
      <c r="F8492" s="45" t="s">
        <v>17958</v>
      </c>
      <c r="G8492" s="45" t="s">
        <v>50586</v>
      </c>
      <c r="H8492" s="56"/>
      <c r="I8492" s="56" t="s">
        <v>50564</v>
      </c>
      <c r="J8492" s="56"/>
      <c r="K8492" s="57"/>
      <c r="L8492" s="56" t="s">
        <v>56716</v>
      </c>
    </row>
    <row r="8493" spans="1:12" ht="11.25" x14ac:dyDescent="0.2">
      <c r="A8493" s="45" t="s">
        <v>50243</v>
      </c>
      <c r="B8493" s="45" t="s">
        <v>50245</v>
      </c>
      <c r="C8493" s="51" t="s">
        <v>50246</v>
      </c>
      <c r="D8493" s="51"/>
      <c r="E8493" s="45" t="s">
        <v>50247</v>
      </c>
      <c r="F8493" s="45" t="s">
        <v>17958</v>
      </c>
      <c r="G8493" s="45" t="s">
        <v>50580</v>
      </c>
      <c r="H8493" s="56"/>
      <c r="I8493" s="56" t="s">
        <v>50564</v>
      </c>
      <c r="J8493" s="56"/>
      <c r="K8493" s="57"/>
      <c r="L8493" s="56" t="s">
        <v>56716</v>
      </c>
    </row>
    <row r="8494" spans="1:12" ht="11.25" x14ac:dyDescent="0.2">
      <c r="A8494" s="45" t="s">
        <v>50249</v>
      </c>
      <c r="B8494" s="45" t="s">
        <v>50251</v>
      </c>
      <c r="C8494" s="51" t="s">
        <v>50253</v>
      </c>
      <c r="D8494" s="51"/>
      <c r="E8494" s="45" t="s">
        <v>50254</v>
      </c>
      <c r="F8494" s="45" t="s">
        <v>17958</v>
      </c>
      <c r="G8494" s="45" t="s">
        <v>50586</v>
      </c>
      <c r="H8494" s="56"/>
      <c r="I8494" s="56" t="s">
        <v>50564</v>
      </c>
      <c r="J8494" s="56"/>
      <c r="K8494" s="57"/>
      <c r="L8494" s="56" t="s">
        <v>56716</v>
      </c>
    </row>
    <row r="8495" spans="1:12" ht="11.25" x14ac:dyDescent="0.2">
      <c r="A8495" s="45" t="s">
        <v>50256</v>
      </c>
      <c r="B8495" s="45" t="s">
        <v>50258</v>
      </c>
      <c r="C8495" s="51" t="s">
        <v>50259</v>
      </c>
      <c r="D8495" s="51"/>
      <c r="E8495" s="45" t="s">
        <v>50260</v>
      </c>
      <c r="F8495" s="45" t="s">
        <v>17958</v>
      </c>
      <c r="G8495" s="45" t="s">
        <v>50586</v>
      </c>
      <c r="H8495" s="56"/>
      <c r="I8495" s="56" t="s">
        <v>50564</v>
      </c>
      <c r="J8495" s="56"/>
      <c r="K8495" s="57"/>
      <c r="L8495" s="56" t="s">
        <v>56716</v>
      </c>
    </row>
    <row r="8496" spans="1:12" ht="11.25" x14ac:dyDescent="0.2">
      <c r="A8496" s="45" t="s">
        <v>50263</v>
      </c>
      <c r="B8496" s="45" t="s">
        <v>50265</v>
      </c>
      <c r="C8496" s="51" t="s">
        <v>50267</v>
      </c>
      <c r="D8496" s="51"/>
      <c r="E8496" s="45" t="s">
        <v>50268</v>
      </c>
      <c r="F8496" s="45" t="s">
        <v>17958</v>
      </c>
      <c r="G8496" s="45" t="s">
        <v>50586</v>
      </c>
      <c r="H8496" s="56"/>
      <c r="I8496" s="56" t="s">
        <v>50564</v>
      </c>
      <c r="J8496" s="56"/>
      <c r="K8496" s="57"/>
      <c r="L8496" s="56" t="s">
        <v>56716</v>
      </c>
    </row>
    <row r="8497" spans="1:12" ht="11.25" x14ac:dyDescent="0.2">
      <c r="A8497" s="45" t="s">
        <v>50275</v>
      </c>
      <c r="B8497" s="45" t="s">
        <v>50277</v>
      </c>
      <c r="C8497" s="51" t="s">
        <v>50278</v>
      </c>
      <c r="D8497" s="51"/>
      <c r="E8497" s="45" t="s">
        <v>50279</v>
      </c>
      <c r="F8497" s="45" t="s">
        <v>17958</v>
      </c>
      <c r="G8497" s="45" t="s">
        <v>50586</v>
      </c>
      <c r="H8497" s="56"/>
      <c r="I8497" s="56" t="s">
        <v>50564</v>
      </c>
      <c r="J8497" s="56"/>
      <c r="K8497" s="57"/>
      <c r="L8497" s="56" t="s">
        <v>56716</v>
      </c>
    </row>
    <row r="8498" spans="1:12" ht="11.25" x14ac:dyDescent="0.2">
      <c r="A8498" s="46" t="s">
        <v>16021</v>
      </c>
      <c r="B8498" s="46" t="s">
        <v>55831</v>
      </c>
      <c r="C8498" s="58" t="str">
        <f>"20950160"</f>
        <v>20950160</v>
      </c>
      <c r="D8498" s="58" t="str">
        <f>""</f>
        <v/>
      </c>
      <c r="E8498" s="46" t="s">
        <v>16023</v>
      </c>
      <c r="F8498" s="46" t="s">
        <v>17958</v>
      </c>
      <c r="G8498" s="46" t="s">
        <v>50580</v>
      </c>
      <c r="H8498" s="48" t="s">
        <v>56716</v>
      </c>
      <c r="I8498" s="48" t="s">
        <v>50564</v>
      </c>
      <c r="J8498" s="48"/>
      <c r="K8498" s="57"/>
      <c r="L8498" s="48"/>
    </row>
    <row r="8499" spans="1:12" ht="11.25" x14ac:dyDescent="0.2">
      <c r="A8499" s="45" t="s">
        <v>50281</v>
      </c>
      <c r="B8499" s="45" t="s">
        <v>50283</v>
      </c>
      <c r="C8499" s="51" t="s">
        <v>50284</v>
      </c>
      <c r="D8499" s="51"/>
      <c r="E8499" s="45" t="s">
        <v>50285</v>
      </c>
      <c r="F8499" s="45" t="s">
        <v>17958</v>
      </c>
      <c r="G8499" s="45" t="s">
        <v>50586</v>
      </c>
      <c r="H8499" s="56"/>
      <c r="I8499" s="56" t="s">
        <v>50564</v>
      </c>
      <c r="J8499" s="56"/>
      <c r="K8499" s="57"/>
      <c r="L8499" s="56" t="s">
        <v>56716</v>
      </c>
    </row>
    <row r="8500" spans="1:12" ht="11.25" x14ac:dyDescent="0.2">
      <c r="A8500" s="45" t="s">
        <v>50287</v>
      </c>
      <c r="B8500" s="45" t="s">
        <v>50289</v>
      </c>
      <c r="C8500" s="51" t="s">
        <v>50291</v>
      </c>
      <c r="D8500" s="51"/>
      <c r="E8500" s="45" t="s">
        <v>50292</v>
      </c>
      <c r="F8500" s="45" t="s">
        <v>17958</v>
      </c>
      <c r="G8500" s="45" t="s">
        <v>50586</v>
      </c>
      <c r="H8500" s="56"/>
      <c r="I8500" s="56" t="s">
        <v>50564</v>
      </c>
      <c r="J8500" s="56"/>
      <c r="K8500" s="57"/>
      <c r="L8500" s="56" t="s">
        <v>56716</v>
      </c>
    </row>
    <row r="8501" spans="1:12" ht="11.25" x14ac:dyDescent="0.2">
      <c r="A8501" s="45" t="s">
        <v>50294</v>
      </c>
      <c r="B8501" s="45" t="s">
        <v>50296</v>
      </c>
      <c r="C8501" s="51" t="s">
        <v>50298</v>
      </c>
      <c r="D8501" s="51"/>
      <c r="E8501" s="45" t="s">
        <v>56708</v>
      </c>
      <c r="F8501" s="45" t="s">
        <v>17958</v>
      </c>
      <c r="G8501" s="45" t="s">
        <v>50580</v>
      </c>
      <c r="H8501" s="56"/>
      <c r="I8501" s="56" t="s">
        <v>50564</v>
      </c>
      <c r="J8501" s="56"/>
      <c r="K8501" s="57"/>
      <c r="L8501" s="56" t="s">
        <v>56716</v>
      </c>
    </row>
    <row r="8502" spans="1:12" ht="11.25" x14ac:dyDescent="0.2">
      <c r="A8502" s="45" t="s">
        <v>50305</v>
      </c>
      <c r="B8502" s="45" t="s">
        <v>50307</v>
      </c>
      <c r="C8502" s="51" t="s">
        <v>50308</v>
      </c>
      <c r="D8502" s="51"/>
      <c r="E8502" s="45" t="s">
        <v>50309</v>
      </c>
      <c r="F8502" s="45" t="s">
        <v>17958</v>
      </c>
      <c r="G8502" s="45" t="s">
        <v>50580</v>
      </c>
      <c r="H8502" s="56"/>
      <c r="I8502" s="56" t="s">
        <v>50564</v>
      </c>
      <c r="J8502" s="56"/>
      <c r="K8502" s="57"/>
      <c r="L8502" s="56" t="s">
        <v>56716</v>
      </c>
    </row>
    <row r="8503" spans="1:12" ht="11.25" x14ac:dyDescent="0.2">
      <c r="A8503" s="45" t="s">
        <v>50316</v>
      </c>
      <c r="B8503" s="45" t="s">
        <v>50318</v>
      </c>
      <c r="C8503" s="51" t="s">
        <v>50320</v>
      </c>
      <c r="D8503" s="51"/>
      <c r="E8503" s="45" t="s">
        <v>50268</v>
      </c>
      <c r="F8503" s="45" t="s">
        <v>17958</v>
      </c>
      <c r="G8503" s="45" t="s">
        <v>50580</v>
      </c>
      <c r="H8503" s="56"/>
      <c r="I8503" s="56" t="s">
        <v>50564</v>
      </c>
      <c r="J8503" s="56"/>
      <c r="K8503" s="57"/>
      <c r="L8503" s="56" t="s">
        <v>56716</v>
      </c>
    </row>
    <row r="8504" spans="1:12" ht="11.25" x14ac:dyDescent="0.2">
      <c r="A8504" s="45" t="s">
        <v>50333</v>
      </c>
      <c r="B8504" s="45" t="s">
        <v>50335</v>
      </c>
      <c r="C8504" s="51" t="s">
        <v>50336</v>
      </c>
      <c r="D8504" s="51"/>
      <c r="E8504" s="45" t="s">
        <v>50268</v>
      </c>
      <c r="F8504" s="45" t="s">
        <v>17958</v>
      </c>
      <c r="G8504" s="45" t="s">
        <v>50586</v>
      </c>
      <c r="H8504" s="56"/>
      <c r="I8504" s="56" t="s">
        <v>50564</v>
      </c>
      <c r="J8504" s="56"/>
      <c r="K8504" s="57"/>
      <c r="L8504" s="56" t="s">
        <v>56716</v>
      </c>
    </row>
    <row r="8505" spans="1:12" ht="11.25" x14ac:dyDescent="0.2">
      <c r="A8505" s="45" t="s">
        <v>50339</v>
      </c>
      <c r="B8505" s="45" t="s">
        <v>50341</v>
      </c>
      <c r="C8505" s="51" t="s">
        <v>50342</v>
      </c>
      <c r="D8505" s="51"/>
      <c r="E8505" s="45" t="s">
        <v>56709</v>
      </c>
      <c r="F8505" s="45" t="s">
        <v>17958</v>
      </c>
      <c r="G8505" s="45" t="s">
        <v>50586</v>
      </c>
      <c r="H8505" s="56"/>
      <c r="I8505" s="56" t="s">
        <v>50564</v>
      </c>
      <c r="J8505" s="56"/>
      <c r="K8505" s="57"/>
      <c r="L8505" s="56" t="s">
        <v>56716</v>
      </c>
    </row>
    <row r="8506" spans="1:12" ht="11.25" x14ac:dyDescent="0.2">
      <c r="A8506" s="45" t="s">
        <v>50348</v>
      </c>
      <c r="B8506" s="45" t="s">
        <v>50350</v>
      </c>
      <c r="C8506" s="51" t="s">
        <v>50351</v>
      </c>
      <c r="D8506" s="51"/>
      <c r="E8506" s="45" t="s">
        <v>22405</v>
      </c>
      <c r="F8506" s="45" t="s">
        <v>50653</v>
      </c>
      <c r="G8506" s="45" t="s">
        <v>56509</v>
      </c>
      <c r="H8506" s="56"/>
      <c r="I8506" s="56" t="s">
        <v>50564</v>
      </c>
      <c r="J8506" s="56"/>
      <c r="K8506" s="57"/>
      <c r="L8506" s="56" t="s">
        <v>56716</v>
      </c>
    </row>
    <row r="8507" spans="1:12" ht="11.25" x14ac:dyDescent="0.2">
      <c r="A8507" s="45" t="s">
        <v>50353</v>
      </c>
      <c r="B8507" s="45" t="s">
        <v>50355</v>
      </c>
      <c r="C8507" s="51" t="s">
        <v>50357</v>
      </c>
      <c r="D8507" s="51"/>
      <c r="E8507" s="45" t="s">
        <v>20950</v>
      </c>
      <c r="F8507" s="45" t="s">
        <v>50653</v>
      </c>
      <c r="G8507" s="45" t="s">
        <v>56509</v>
      </c>
      <c r="H8507" s="56"/>
      <c r="I8507" s="56" t="s">
        <v>50564</v>
      </c>
      <c r="J8507" s="56"/>
      <c r="K8507" s="57"/>
      <c r="L8507" s="56" t="s">
        <v>56716</v>
      </c>
    </row>
    <row r="8508" spans="1:12" ht="11.25" x14ac:dyDescent="0.2">
      <c r="A8508" s="46" t="s">
        <v>9600</v>
      </c>
      <c r="B8508" s="46" t="s">
        <v>55832</v>
      </c>
      <c r="C8508" s="58" t="str">
        <f>"19977298"</f>
        <v>19977298</v>
      </c>
      <c r="D8508" s="58" t="str">
        <f>""</f>
        <v/>
      </c>
      <c r="E8508" s="46" t="s">
        <v>9602</v>
      </c>
      <c r="F8508" s="46" t="s">
        <v>50653</v>
      </c>
      <c r="G8508" s="46" t="s">
        <v>50617</v>
      </c>
      <c r="H8508" s="48" t="s">
        <v>56716</v>
      </c>
      <c r="I8508" s="48" t="s">
        <v>50564</v>
      </c>
      <c r="J8508" s="48"/>
      <c r="K8508" s="57"/>
      <c r="L8508" s="48" t="s">
        <v>56716</v>
      </c>
    </row>
    <row r="8509" spans="1:12" ht="11.25" x14ac:dyDescent="0.2">
      <c r="A8509" s="45" t="s">
        <v>50365</v>
      </c>
      <c r="B8509" s="45" t="s">
        <v>50367</v>
      </c>
      <c r="C8509" s="51" t="s">
        <v>50369</v>
      </c>
      <c r="D8509" s="51"/>
      <c r="E8509" s="45" t="s">
        <v>22405</v>
      </c>
      <c r="F8509" s="45" t="s">
        <v>50653</v>
      </c>
      <c r="G8509" s="45" t="s">
        <v>56509</v>
      </c>
      <c r="H8509" s="56"/>
      <c r="I8509" s="56" t="s">
        <v>50564</v>
      </c>
      <c r="J8509" s="56"/>
      <c r="K8509" s="57"/>
      <c r="L8509" s="56" t="s">
        <v>56716</v>
      </c>
    </row>
    <row r="8510" spans="1:12" ht="11.25" x14ac:dyDescent="0.2">
      <c r="A8510" s="45" t="s">
        <v>50371</v>
      </c>
      <c r="B8510" s="45" t="s">
        <v>50373</v>
      </c>
      <c r="C8510" s="51" t="s">
        <v>50376</v>
      </c>
      <c r="D8510" s="51" t="s">
        <v>50375</v>
      </c>
      <c r="E8510" s="45" t="s">
        <v>21545</v>
      </c>
      <c r="F8510" s="45" t="s">
        <v>50653</v>
      </c>
      <c r="G8510" s="45" t="s">
        <v>56509</v>
      </c>
      <c r="H8510" s="56"/>
      <c r="I8510" s="56" t="s">
        <v>50564</v>
      </c>
      <c r="J8510" s="56"/>
      <c r="K8510" s="57"/>
      <c r="L8510" s="56" t="s">
        <v>56716</v>
      </c>
    </row>
    <row r="8511" spans="1:12" ht="11.25" x14ac:dyDescent="0.2">
      <c r="A8511" s="45" t="s">
        <v>50378</v>
      </c>
      <c r="B8511" s="45" t="s">
        <v>50380</v>
      </c>
      <c r="C8511" s="51" t="s">
        <v>50381</v>
      </c>
      <c r="D8511" s="51"/>
      <c r="E8511" s="45" t="s">
        <v>50382</v>
      </c>
      <c r="F8511" s="45" t="s">
        <v>50653</v>
      </c>
      <c r="G8511" s="45" t="s">
        <v>56509</v>
      </c>
      <c r="H8511" s="56"/>
      <c r="I8511" s="56" t="s">
        <v>50564</v>
      </c>
      <c r="J8511" s="56"/>
      <c r="K8511" s="57"/>
      <c r="L8511" s="56" t="s">
        <v>56716</v>
      </c>
    </row>
    <row r="8512" spans="1:12" ht="11.25" x14ac:dyDescent="0.2">
      <c r="A8512" s="45" t="s">
        <v>50384</v>
      </c>
      <c r="B8512" s="45" t="s">
        <v>50386</v>
      </c>
      <c r="C8512" s="51" t="s">
        <v>50388</v>
      </c>
      <c r="D8512" s="51" t="s">
        <v>50387</v>
      </c>
      <c r="E8512" s="45" t="s">
        <v>50389</v>
      </c>
      <c r="F8512" s="45" t="s">
        <v>17759</v>
      </c>
      <c r="G8512" s="45" t="s">
        <v>50584</v>
      </c>
      <c r="H8512" s="56"/>
      <c r="I8512" s="56" t="s">
        <v>50564</v>
      </c>
      <c r="J8512" s="56"/>
      <c r="K8512" s="57"/>
      <c r="L8512" s="56" t="s">
        <v>56716</v>
      </c>
    </row>
    <row r="8513" spans="1:12" ht="11.25" x14ac:dyDescent="0.2">
      <c r="A8513" s="45" t="s">
        <v>50391</v>
      </c>
      <c r="B8513" s="45" t="s">
        <v>50393</v>
      </c>
      <c r="C8513" s="51" t="s">
        <v>50395</v>
      </c>
      <c r="D8513" s="51"/>
      <c r="E8513" s="45" t="s">
        <v>50396</v>
      </c>
      <c r="F8513" s="45" t="s">
        <v>18242</v>
      </c>
      <c r="G8513" s="45" t="s">
        <v>50584</v>
      </c>
      <c r="H8513" s="56"/>
      <c r="I8513" s="56" t="s">
        <v>50564</v>
      </c>
      <c r="J8513" s="56"/>
      <c r="K8513" s="57"/>
      <c r="L8513" s="56" t="s">
        <v>56716</v>
      </c>
    </row>
    <row r="8514" spans="1:12" ht="11.25" x14ac:dyDescent="0.2">
      <c r="A8514" s="45" t="s">
        <v>50398</v>
      </c>
      <c r="B8514" s="45" t="s">
        <v>50400</v>
      </c>
      <c r="C8514" s="51" t="s">
        <v>50403</v>
      </c>
      <c r="D8514" s="51" t="s">
        <v>50402</v>
      </c>
      <c r="E8514" s="45" t="s">
        <v>31234</v>
      </c>
      <c r="F8514" s="45" t="s">
        <v>18158</v>
      </c>
      <c r="G8514" s="45" t="s">
        <v>50584</v>
      </c>
      <c r="H8514" s="56"/>
      <c r="I8514" s="56" t="s">
        <v>50564</v>
      </c>
      <c r="J8514" s="56"/>
      <c r="K8514" s="57"/>
      <c r="L8514" s="56" t="s">
        <v>56716</v>
      </c>
    </row>
    <row r="8515" spans="1:12" ht="11.25" x14ac:dyDescent="0.2">
      <c r="A8515" s="46" t="s">
        <v>11753</v>
      </c>
      <c r="B8515" s="46" t="s">
        <v>50407</v>
      </c>
      <c r="C8515" s="58" t="str">
        <f>"18631959"</f>
        <v>18631959</v>
      </c>
      <c r="D8515" s="58" t="str">
        <f>"18632378"</f>
        <v>18632378</v>
      </c>
      <c r="E8515" s="46" t="s">
        <v>651</v>
      </c>
      <c r="F8515" s="46" t="s">
        <v>18158</v>
      </c>
      <c r="G8515" s="46" t="s">
        <v>50584</v>
      </c>
      <c r="H8515" s="48" t="s">
        <v>56716</v>
      </c>
      <c r="I8515" s="48" t="s">
        <v>50564</v>
      </c>
      <c r="J8515" s="48" t="s">
        <v>56716</v>
      </c>
      <c r="K8515" s="50" t="s">
        <v>56716</v>
      </c>
      <c r="L8515" s="48" t="s">
        <v>56716</v>
      </c>
    </row>
    <row r="8516" spans="1:12" ht="11.25" x14ac:dyDescent="0.2">
      <c r="A8516" s="45" t="s">
        <v>50411</v>
      </c>
      <c r="B8516" s="45" t="s">
        <v>50411</v>
      </c>
      <c r="C8516" s="51" t="s">
        <v>50414</v>
      </c>
      <c r="D8516" s="51" t="s">
        <v>50413</v>
      </c>
      <c r="E8516" s="45" t="s">
        <v>50415</v>
      </c>
      <c r="F8516" s="45" t="s">
        <v>19483</v>
      </c>
      <c r="G8516" s="45" t="s">
        <v>50584</v>
      </c>
      <c r="H8516" s="56"/>
      <c r="I8516" s="56" t="s">
        <v>50564</v>
      </c>
      <c r="J8516" s="56"/>
      <c r="K8516" s="50"/>
      <c r="L8516" s="56" t="s">
        <v>56716</v>
      </c>
    </row>
    <row r="8517" spans="1:12" ht="11.25" x14ac:dyDescent="0.2">
      <c r="A8517" s="45" t="s">
        <v>50417</v>
      </c>
      <c r="B8517" s="45" t="s">
        <v>50419</v>
      </c>
      <c r="C8517" s="51" t="s">
        <v>50421</v>
      </c>
      <c r="D8517" s="51" t="s">
        <v>50420</v>
      </c>
      <c r="E8517" s="45" t="s">
        <v>724</v>
      </c>
      <c r="F8517" s="45" t="s">
        <v>50646</v>
      </c>
      <c r="G8517" s="45" t="s">
        <v>50584</v>
      </c>
      <c r="H8517" s="56"/>
      <c r="I8517" s="56" t="s">
        <v>50564</v>
      </c>
      <c r="J8517" s="56"/>
      <c r="K8517" s="50"/>
      <c r="L8517" s="56" t="s">
        <v>56716</v>
      </c>
    </row>
    <row r="8523" spans="1:12" s="36" customFormat="1" x14ac:dyDescent="0.2">
      <c r="A8523"/>
      <c r="B8523"/>
      <c r="C8523"/>
      <c r="D8523"/>
      <c r="E8523"/>
      <c r="F8523"/>
      <c r="G8523"/>
      <c r="H8523"/>
      <c r="I8523"/>
      <c r="J8523"/>
      <c r="K8523"/>
      <c r="L8523"/>
    </row>
    <row r="8524" spans="1:12" s="36" customFormat="1" x14ac:dyDescent="0.2">
      <c r="A8524"/>
      <c r="B8524"/>
      <c r="C8524"/>
      <c r="D8524"/>
      <c r="E8524"/>
      <c r="F8524"/>
      <c r="G8524"/>
      <c r="H8524"/>
      <c r="I8524"/>
      <c r="J8524"/>
      <c r="K8524"/>
      <c r="L8524"/>
    </row>
  </sheetData>
  <sortState ref="A2:L8524">
    <sortCondition ref="A2:A8524"/>
  </sortState>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L23"/>
  <sheetViews>
    <sheetView workbookViewId="0">
      <pane ySplit="1" topLeftCell="A2" activePane="bottomLeft" state="frozen"/>
      <selection pane="bottomLeft"/>
    </sheetView>
  </sheetViews>
  <sheetFormatPr defaultRowHeight="12.75" x14ac:dyDescent="0.2"/>
  <cols>
    <col min="1" max="1" width="45.7109375" style="53" customWidth="1"/>
    <col min="2" max="2" width="15.140625" style="53" customWidth="1"/>
    <col min="3" max="4" width="8.7109375" style="54" customWidth="1"/>
    <col min="5" max="5" width="18.7109375" style="53" customWidth="1"/>
    <col min="6" max="6" width="15.7109375" style="53" customWidth="1"/>
    <col min="7" max="7" width="9.7109375" style="53" customWidth="1"/>
    <col min="8" max="8" width="9.140625" style="53" bestFit="1" customWidth="1"/>
    <col min="9" max="9" width="10.42578125" style="53" bestFit="1" customWidth="1"/>
    <col min="10" max="10" width="6.7109375" style="54" bestFit="1" customWidth="1"/>
    <col min="11" max="11" width="9.5703125" style="53" bestFit="1" customWidth="1"/>
    <col min="12" max="12" width="9.5703125" style="52" bestFit="1" customWidth="1"/>
    <col min="13" max="16384" width="9.140625" style="52"/>
  </cols>
  <sheetData>
    <row r="1" spans="1:12" ht="23.25" customHeight="1" x14ac:dyDescent="0.2">
      <c r="A1" s="41" t="s">
        <v>56710</v>
      </c>
      <c r="B1" s="41" t="s">
        <v>55882</v>
      </c>
      <c r="C1" s="42" t="s">
        <v>50557</v>
      </c>
      <c r="D1" s="43" t="s">
        <v>50558</v>
      </c>
      <c r="E1" s="41" t="s">
        <v>17610</v>
      </c>
      <c r="F1" s="41" t="s">
        <v>17612</v>
      </c>
      <c r="G1" s="41" t="s">
        <v>50559</v>
      </c>
      <c r="H1" s="44" t="s">
        <v>50560</v>
      </c>
      <c r="I1" s="44" t="s">
        <v>50561</v>
      </c>
      <c r="J1" s="44" t="s">
        <v>50562</v>
      </c>
      <c r="K1" s="44" t="s">
        <v>56717</v>
      </c>
      <c r="L1" s="55" t="s">
        <v>50563</v>
      </c>
    </row>
    <row r="2" spans="1:12" s="36" customFormat="1" ht="11.25" x14ac:dyDescent="0.2">
      <c r="A2" s="46" t="s">
        <v>56433</v>
      </c>
      <c r="B2" s="46" t="s">
        <v>56434</v>
      </c>
      <c r="C2" s="47" t="str">
        <f>"23490578"</f>
        <v>23490578</v>
      </c>
      <c r="D2" s="47" t="str">
        <f>"23490896"</f>
        <v>23490896</v>
      </c>
      <c r="E2" s="46" t="s">
        <v>56435</v>
      </c>
      <c r="F2" s="46" t="s">
        <v>20446</v>
      </c>
      <c r="G2" s="46" t="s">
        <v>50584</v>
      </c>
      <c r="H2" s="47" t="s">
        <v>56718</v>
      </c>
      <c r="I2" s="48" t="s">
        <v>50564</v>
      </c>
      <c r="J2" s="48"/>
      <c r="K2" s="47"/>
    </row>
    <row r="3" spans="1:12" s="36" customFormat="1" ht="11.25" x14ac:dyDescent="0.2">
      <c r="A3" s="46" t="s">
        <v>17566</v>
      </c>
      <c r="B3" s="46" t="s">
        <v>55884</v>
      </c>
      <c r="C3" s="47" t="str">
        <f>"19999674"</f>
        <v>19999674</v>
      </c>
      <c r="D3" s="47" t="str">
        <f>""</f>
        <v/>
      </c>
      <c r="E3" s="46" t="s">
        <v>17568</v>
      </c>
      <c r="F3" s="46" t="s">
        <v>56174</v>
      </c>
      <c r="G3" s="46" t="s">
        <v>50584</v>
      </c>
      <c r="H3" s="47" t="s">
        <v>56718</v>
      </c>
      <c r="I3" s="48" t="s">
        <v>50564</v>
      </c>
      <c r="J3" s="48"/>
      <c r="K3" s="47"/>
    </row>
    <row r="4" spans="1:12" s="36" customFormat="1" ht="11.25" x14ac:dyDescent="0.2">
      <c r="A4" s="46" t="s">
        <v>56113</v>
      </c>
      <c r="B4" s="46" t="s">
        <v>56114</v>
      </c>
      <c r="C4" s="47" t="str">
        <f>"09722556"</f>
        <v>09722556</v>
      </c>
      <c r="D4" s="47" t="str">
        <f>""</f>
        <v/>
      </c>
      <c r="E4" s="46" t="s">
        <v>56115</v>
      </c>
      <c r="F4" s="46" t="s">
        <v>20446</v>
      </c>
      <c r="G4" s="46" t="s">
        <v>50584</v>
      </c>
      <c r="H4" s="47" t="s">
        <v>56718</v>
      </c>
      <c r="I4" s="48" t="s">
        <v>50564</v>
      </c>
      <c r="J4" s="48"/>
      <c r="K4" s="47"/>
    </row>
    <row r="5" spans="1:12" s="36" customFormat="1" ht="11.25" x14ac:dyDescent="0.2">
      <c r="A5" s="46" t="s">
        <v>56436</v>
      </c>
      <c r="B5" s="46" t="s">
        <v>56437</v>
      </c>
      <c r="C5" s="47" t="str">
        <f>"21984093"</f>
        <v>21984093</v>
      </c>
      <c r="D5" s="47" t="str">
        <f>""</f>
        <v/>
      </c>
      <c r="E5" s="46" t="s">
        <v>56438</v>
      </c>
      <c r="F5" s="46" t="s">
        <v>56439</v>
      </c>
      <c r="G5" s="46" t="s">
        <v>50584</v>
      </c>
      <c r="H5" s="47" t="s">
        <v>56718</v>
      </c>
      <c r="I5" s="48" t="s">
        <v>50564</v>
      </c>
      <c r="J5" s="48"/>
      <c r="K5" s="47"/>
    </row>
    <row r="6" spans="1:12" s="36" customFormat="1" ht="11.25" x14ac:dyDescent="0.2">
      <c r="A6" s="46" t="s">
        <v>56416</v>
      </c>
      <c r="B6" s="46" t="s">
        <v>56417</v>
      </c>
      <c r="C6" s="47" t="str">
        <f>""</f>
        <v/>
      </c>
      <c r="D6" s="47" t="str">
        <f>"21674868"</f>
        <v>21674868</v>
      </c>
      <c r="E6" s="46" t="s">
        <v>167</v>
      </c>
      <c r="F6" s="46" t="s">
        <v>18158</v>
      </c>
      <c r="G6" s="46" t="s">
        <v>50584</v>
      </c>
      <c r="H6" s="47" t="s">
        <v>56718</v>
      </c>
      <c r="I6" s="48" t="s">
        <v>50564</v>
      </c>
      <c r="J6" s="48" t="s">
        <v>56716</v>
      </c>
      <c r="K6" s="47"/>
    </row>
    <row r="7" spans="1:12" s="36" customFormat="1" ht="11.25" x14ac:dyDescent="0.2">
      <c r="A7" s="46" t="s">
        <v>56418</v>
      </c>
      <c r="B7" s="46" t="s">
        <v>56419</v>
      </c>
      <c r="C7" s="47" t="str">
        <f>""</f>
        <v/>
      </c>
      <c r="D7" s="47" t="str">
        <f>"2198977X"</f>
        <v>2198977X</v>
      </c>
      <c r="E7" s="46" t="s">
        <v>56420</v>
      </c>
      <c r="F7" s="46" t="s">
        <v>19483</v>
      </c>
      <c r="G7" s="46" t="s">
        <v>50584</v>
      </c>
      <c r="H7" s="47" t="s">
        <v>56718</v>
      </c>
      <c r="I7" s="48" t="s">
        <v>50564</v>
      </c>
      <c r="J7" s="48" t="s">
        <v>56716</v>
      </c>
      <c r="K7" s="47"/>
    </row>
    <row r="8" spans="1:12" s="36" customFormat="1" ht="11.25" x14ac:dyDescent="0.2">
      <c r="A8" s="46" t="s">
        <v>56421</v>
      </c>
      <c r="B8" s="46" t="s">
        <v>56422</v>
      </c>
      <c r="C8" s="47" t="str">
        <f>""</f>
        <v/>
      </c>
      <c r="D8" s="47" t="str">
        <f>"20550464"</f>
        <v>20550464</v>
      </c>
      <c r="E8" s="46" t="s">
        <v>2559</v>
      </c>
      <c r="F8" s="46" t="s">
        <v>50646</v>
      </c>
      <c r="G8" s="46" t="s">
        <v>50584</v>
      </c>
      <c r="H8" s="47" t="s">
        <v>56718</v>
      </c>
      <c r="I8" s="48" t="s">
        <v>50564</v>
      </c>
      <c r="J8" s="48" t="s">
        <v>56716</v>
      </c>
      <c r="K8" s="47"/>
    </row>
    <row r="9" spans="1:12" s="36" customFormat="1" ht="11.25" x14ac:dyDescent="0.2">
      <c r="A9" s="46" t="s">
        <v>8294</v>
      </c>
      <c r="B9" s="46" t="s">
        <v>52494</v>
      </c>
      <c r="C9" s="47" t="str">
        <f>"12056626"</f>
        <v>12056626</v>
      </c>
      <c r="D9" s="47" t="str">
        <f>""</f>
        <v/>
      </c>
      <c r="E9" s="46" t="s">
        <v>8296</v>
      </c>
      <c r="F9" s="46" t="s">
        <v>18959</v>
      </c>
      <c r="G9" s="46" t="s">
        <v>50584</v>
      </c>
      <c r="H9" s="47" t="s">
        <v>56718</v>
      </c>
      <c r="I9" s="48" t="s">
        <v>50564</v>
      </c>
      <c r="J9" s="48"/>
      <c r="K9" s="47"/>
    </row>
    <row r="10" spans="1:12" s="36" customFormat="1" ht="11.25" x14ac:dyDescent="0.2">
      <c r="A10" s="46" t="s">
        <v>56140</v>
      </c>
      <c r="B10" s="46" t="s">
        <v>56141</v>
      </c>
      <c r="C10" s="47" t="str">
        <f>"23222379"</f>
        <v>23222379</v>
      </c>
      <c r="D10" s="47" t="str">
        <f>"22285423"</f>
        <v>22285423</v>
      </c>
      <c r="E10" s="46" t="s">
        <v>1956</v>
      </c>
      <c r="F10" s="46" t="s">
        <v>18232</v>
      </c>
      <c r="G10" s="46" t="s">
        <v>50584</v>
      </c>
      <c r="H10" s="47" t="s">
        <v>56718</v>
      </c>
      <c r="I10" s="48" t="s">
        <v>50564</v>
      </c>
      <c r="J10" s="48"/>
      <c r="K10" s="47"/>
    </row>
    <row r="11" spans="1:12" s="36" customFormat="1" ht="11.25" x14ac:dyDescent="0.2">
      <c r="A11" s="46" t="s">
        <v>4348</v>
      </c>
      <c r="B11" s="46" t="s">
        <v>4348</v>
      </c>
      <c r="C11" s="47" t="str">
        <f>"02064952"</f>
        <v>02064952</v>
      </c>
      <c r="D11" s="47" t="str">
        <f>""</f>
        <v/>
      </c>
      <c r="E11" s="46" t="s">
        <v>4350</v>
      </c>
      <c r="F11" s="46" t="s">
        <v>50653</v>
      </c>
      <c r="G11" s="46" t="s">
        <v>50617</v>
      </c>
      <c r="H11" s="47" t="s">
        <v>56718</v>
      </c>
      <c r="I11" s="48" t="s">
        <v>50564</v>
      </c>
      <c r="J11" s="48"/>
      <c r="K11" s="47"/>
    </row>
    <row r="12" spans="1:12" s="36" customFormat="1" ht="11.25" x14ac:dyDescent="0.2">
      <c r="A12" s="46" t="s">
        <v>56425</v>
      </c>
      <c r="B12" s="46" t="s">
        <v>56426</v>
      </c>
      <c r="C12" s="47" t="str">
        <f>"20450869"</f>
        <v>20450869</v>
      </c>
      <c r="D12" s="47" t="str">
        <f>"20450877"</f>
        <v>20450877</v>
      </c>
      <c r="E12" s="46" t="s">
        <v>8442</v>
      </c>
      <c r="F12" s="46" t="s">
        <v>50646</v>
      </c>
      <c r="G12" s="46" t="s">
        <v>50584</v>
      </c>
      <c r="H12" s="47" t="s">
        <v>56718</v>
      </c>
      <c r="I12" s="48" t="s">
        <v>50564</v>
      </c>
      <c r="J12" s="48" t="s">
        <v>56716</v>
      </c>
      <c r="K12" s="47"/>
    </row>
    <row r="13" spans="1:12" s="36" customFormat="1" ht="11.25" x14ac:dyDescent="0.2">
      <c r="A13" s="46" t="s">
        <v>11136</v>
      </c>
      <c r="B13" s="46" t="s">
        <v>53527</v>
      </c>
      <c r="C13" s="47" t="str">
        <f>"16721977"</f>
        <v>16721977</v>
      </c>
      <c r="D13" s="47" t="str">
        <f>""</f>
        <v/>
      </c>
      <c r="E13" s="46" t="s">
        <v>11138</v>
      </c>
      <c r="F13" s="46" t="s">
        <v>17958</v>
      </c>
      <c r="G13" s="46" t="s">
        <v>50580</v>
      </c>
      <c r="H13" s="47" t="s">
        <v>56718</v>
      </c>
      <c r="I13" s="48" t="s">
        <v>50564</v>
      </c>
      <c r="J13" s="48"/>
      <c r="K13" s="47"/>
    </row>
    <row r="14" spans="1:12" s="36" customFormat="1" ht="11.25" x14ac:dyDescent="0.2">
      <c r="A14" s="46" t="s">
        <v>56402</v>
      </c>
      <c r="B14" s="46" t="s">
        <v>56403</v>
      </c>
      <c r="C14" s="47"/>
      <c r="D14" s="47" t="str">
        <f>"23290072"</f>
        <v>23290072</v>
      </c>
      <c r="E14" s="46" t="s">
        <v>56404</v>
      </c>
      <c r="F14" s="46" t="s">
        <v>17759</v>
      </c>
      <c r="G14" s="46" t="s">
        <v>50584</v>
      </c>
      <c r="H14" s="47" t="s">
        <v>56718</v>
      </c>
      <c r="I14" s="48" t="s">
        <v>50564</v>
      </c>
      <c r="J14" s="48"/>
      <c r="K14" s="47"/>
    </row>
    <row r="15" spans="1:12" s="36" customFormat="1" ht="11.25" x14ac:dyDescent="0.2">
      <c r="A15" s="46" t="s">
        <v>56429</v>
      </c>
      <c r="B15" s="46" t="s">
        <v>56430</v>
      </c>
      <c r="C15" s="47" t="str">
        <f>"20450885"</f>
        <v>20450885</v>
      </c>
      <c r="D15" s="47" t="str">
        <f>"20450893"</f>
        <v>20450893</v>
      </c>
      <c r="E15" s="46" t="s">
        <v>8442</v>
      </c>
      <c r="F15" s="46" t="s">
        <v>50646</v>
      </c>
      <c r="G15" s="46" t="s">
        <v>50584</v>
      </c>
      <c r="H15" s="47" t="s">
        <v>56718</v>
      </c>
      <c r="I15" s="48" t="s">
        <v>50564</v>
      </c>
      <c r="J15" s="48" t="s">
        <v>56716</v>
      </c>
      <c r="K15" s="47"/>
    </row>
    <row r="16" spans="1:12" s="36" customFormat="1" ht="11.25" x14ac:dyDescent="0.2">
      <c r="A16" s="46" t="s">
        <v>56443</v>
      </c>
      <c r="B16" s="46" t="s">
        <v>56444</v>
      </c>
      <c r="C16" s="47" t="str">
        <f>"13524585"</f>
        <v>13524585</v>
      </c>
      <c r="D16" s="47" t="str">
        <f>"14770970"</f>
        <v>14770970</v>
      </c>
      <c r="E16" s="46" t="s">
        <v>97</v>
      </c>
      <c r="F16" s="46" t="s">
        <v>50646</v>
      </c>
      <c r="G16" s="46" t="s">
        <v>50584</v>
      </c>
      <c r="H16" s="47" t="s">
        <v>56718</v>
      </c>
      <c r="I16" s="48" t="s">
        <v>50564</v>
      </c>
      <c r="J16" s="48"/>
      <c r="K16" s="47"/>
    </row>
    <row r="17" spans="1:11" s="36" customFormat="1" ht="11.25" x14ac:dyDescent="0.2">
      <c r="A17" s="46" t="s">
        <v>56445</v>
      </c>
      <c r="B17" s="46" t="s">
        <v>56445</v>
      </c>
      <c r="C17" s="47" t="str">
        <f>"2329423X"</f>
        <v>2329423X</v>
      </c>
      <c r="D17" s="47" t="str">
        <f>"23294248"</f>
        <v>23294248</v>
      </c>
      <c r="E17" s="46" t="s">
        <v>56401</v>
      </c>
      <c r="F17" s="46" t="s">
        <v>17759</v>
      </c>
      <c r="G17" s="46" t="s">
        <v>50584</v>
      </c>
      <c r="H17" s="47" t="s">
        <v>56718</v>
      </c>
      <c r="I17" s="48" t="s">
        <v>50564</v>
      </c>
      <c r="J17" s="48"/>
      <c r="K17" s="47"/>
    </row>
    <row r="18" spans="1:11" s="36" customFormat="1" ht="11.25" x14ac:dyDescent="0.2">
      <c r="A18" s="46" t="s">
        <v>56446</v>
      </c>
      <c r="B18" s="46" t="s">
        <v>56447</v>
      </c>
      <c r="C18" s="47" t="str">
        <f>"22117997"</f>
        <v>22117997</v>
      </c>
      <c r="D18" s="47" t="str">
        <f>"22118004"</f>
        <v>22118004</v>
      </c>
      <c r="E18" s="46" t="s">
        <v>167</v>
      </c>
      <c r="F18" s="46" t="s">
        <v>18158</v>
      </c>
      <c r="G18" s="46" t="s">
        <v>50584</v>
      </c>
      <c r="H18" s="47" t="s">
        <v>56718</v>
      </c>
      <c r="I18" s="48" t="s">
        <v>50565</v>
      </c>
      <c r="J18" s="48" t="s">
        <v>56716</v>
      </c>
      <c r="K18" s="47"/>
    </row>
    <row r="19" spans="1:11" s="36" customFormat="1" ht="11.25" x14ac:dyDescent="0.2">
      <c r="A19" s="46" t="s">
        <v>56456</v>
      </c>
      <c r="B19" s="46" t="s">
        <v>56457</v>
      </c>
      <c r="C19" s="47" t="str">
        <f>"23841079"</f>
        <v>23841079</v>
      </c>
      <c r="D19" s="47" t="str">
        <f>"23841087"</f>
        <v>23841087</v>
      </c>
      <c r="E19" s="46" t="s">
        <v>13614</v>
      </c>
      <c r="F19" s="46" t="s">
        <v>50649</v>
      </c>
      <c r="G19" s="46" t="s">
        <v>50607</v>
      </c>
      <c r="H19" s="47" t="s">
        <v>56718</v>
      </c>
      <c r="I19" s="48" t="s">
        <v>50564</v>
      </c>
      <c r="J19" s="48"/>
      <c r="K19" s="47"/>
    </row>
    <row r="20" spans="1:11" s="36" customFormat="1" ht="11.25" x14ac:dyDescent="0.2">
      <c r="A20" s="46" t="s">
        <v>56431</v>
      </c>
      <c r="B20" s="46" t="s">
        <v>56432</v>
      </c>
      <c r="C20" s="47" t="str">
        <f>"20489145"</f>
        <v>20489145</v>
      </c>
      <c r="D20" s="47" t="str">
        <f>"20489153"</f>
        <v>20489153</v>
      </c>
      <c r="E20" s="46" t="s">
        <v>8442</v>
      </c>
      <c r="F20" s="46" t="s">
        <v>50646</v>
      </c>
      <c r="G20" s="46" t="s">
        <v>50584</v>
      </c>
      <c r="H20" s="47" t="s">
        <v>56718</v>
      </c>
      <c r="I20" s="48" t="s">
        <v>50564</v>
      </c>
      <c r="J20" s="48" t="s">
        <v>56716</v>
      </c>
      <c r="K20" s="47"/>
    </row>
    <row r="21" spans="1:11" s="36" customFormat="1" ht="11.25" x14ac:dyDescent="0.2">
      <c r="A21" s="46" t="s">
        <v>14374</v>
      </c>
      <c r="B21" s="46" t="s">
        <v>55126</v>
      </c>
      <c r="C21" s="47" t="str">
        <f>"17583209"</f>
        <v>17583209</v>
      </c>
      <c r="D21" s="47" t="str">
        <f>"17583217"</f>
        <v>17583217</v>
      </c>
      <c r="E21" s="46" t="s">
        <v>841</v>
      </c>
      <c r="F21" s="46" t="s">
        <v>50646</v>
      </c>
      <c r="G21" s="46" t="s">
        <v>50584</v>
      </c>
      <c r="H21" s="47" t="s">
        <v>56718</v>
      </c>
      <c r="I21" s="48" t="s">
        <v>50564</v>
      </c>
      <c r="J21" s="48"/>
      <c r="K21" s="47"/>
    </row>
    <row r="22" spans="1:11" s="36" customFormat="1" ht="11.25" x14ac:dyDescent="0.2">
      <c r="A22" s="46" t="s">
        <v>56412</v>
      </c>
      <c r="B22" s="46" t="s">
        <v>56413</v>
      </c>
      <c r="C22" s="47" t="str">
        <f>"1027202X"</f>
        <v>1027202X</v>
      </c>
      <c r="D22" s="47" t="str">
        <f>"20786778"</f>
        <v>20786778</v>
      </c>
      <c r="E22" s="46" t="s">
        <v>16847</v>
      </c>
      <c r="F22" s="46" t="s">
        <v>24311</v>
      </c>
      <c r="G22" s="46" t="s">
        <v>50584</v>
      </c>
      <c r="H22" s="47" t="s">
        <v>56718</v>
      </c>
      <c r="I22" s="48" t="s">
        <v>50564</v>
      </c>
      <c r="J22" s="48"/>
      <c r="K22" s="47"/>
    </row>
    <row r="23" spans="1:11" s="36" customFormat="1" ht="11.25" x14ac:dyDescent="0.2">
      <c r="A23" s="46" t="s">
        <v>56185</v>
      </c>
      <c r="B23" s="46" t="s">
        <v>56186</v>
      </c>
      <c r="C23" s="47" t="str">
        <f>"22890882"</f>
        <v>22890882</v>
      </c>
      <c r="D23" s="47" t="str">
        <f>""</f>
        <v/>
      </c>
      <c r="E23" s="46" t="s">
        <v>6206</v>
      </c>
      <c r="F23" s="46" t="s">
        <v>50649</v>
      </c>
      <c r="G23" s="46" t="s">
        <v>50584</v>
      </c>
      <c r="H23" s="47" t="s">
        <v>56718</v>
      </c>
      <c r="I23" s="48" t="s">
        <v>50564</v>
      </c>
      <c r="J23" s="48"/>
      <c r="K23" s="47"/>
    </row>
  </sheetData>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C13"/>
  <sheetViews>
    <sheetView workbookViewId="0">
      <pane ySplit="1" topLeftCell="A2" activePane="bottomLeft" state="frozen"/>
      <selection pane="bottomLeft"/>
    </sheetView>
  </sheetViews>
  <sheetFormatPr defaultRowHeight="12.75" x14ac:dyDescent="0.2"/>
  <cols>
    <col min="1" max="1" width="17.42578125" style="31" customWidth="1"/>
    <col min="2" max="2" width="96.7109375" style="31" customWidth="1"/>
    <col min="3" max="3" width="5.5703125" style="30" customWidth="1"/>
    <col min="4" max="16384" width="9.140625" style="31"/>
  </cols>
  <sheetData>
    <row r="1" spans="1:3" s="27" customFormat="1" ht="23.25" customHeight="1" x14ac:dyDescent="0.2">
      <c r="A1" s="24" t="s">
        <v>50567</v>
      </c>
      <c r="B1" s="25" t="s">
        <v>50568</v>
      </c>
      <c r="C1" s="26" t="s">
        <v>50569</v>
      </c>
    </row>
    <row r="2" spans="1:3" x14ac:dyDescent="0.2">
      <c r="A2" s="28" t="s">
        <v>55886</v>
      </c>
      <c r="B2" s="29" t="s">
        <v>55887</v>
      </c>
      <c r="C2" s="30">
        <v>1</v>
      </c>
    </row>
    <row r="3" spans="1:3" x14ac:dyDescent="0.2">
      <c r="A3" s="28" t="s">
        <v>55882</v>
      </c>
      <c r="B3" s="29" t="s">
        <v>55885</v>
      </c>
    </row>
    <row r="4" spans="1:3" x14ac:dyDescent="0.2">
      <c r="A4" s="28" t="s">
        <v>17612</v>
      </c>
      <c r="B4" s="29" t="s">
        <v>50570</v>
      </c>
    </row>
    <row r="5" spans="1:3" x14ac:dyDescent="0.2">
      <c r="A5" s="28" t="s">
        <v>50559</v>
      </c>
      <c r="B5" s="29" t="s">
        <v>50571</v>
      </c>
    </row>
    <row r="6" spans="1:3" x14ac:dyDescent="0.2">
      <c r="A6" s="28" t="s">
        <v>50560</v>
      </c>
      <c r="B6" s="29" t="s">
        <v>50572</v>
      </c>
      <c r="C6" s="38"/>
    </row>
    <row r="7" spans="1:3" x14ac:dyDescent="0.2">
      <c r="A7" s="28" t="s">
        <v>50561</v>
      </c>
      <c r="B7" s="29" t="s">
        <v>50573</v>
      </c>
      <c r="C7" s="30">
        <v>2</v>
      </c>
    </row>
    <row r="8" spans="1:3" x14ac:dyDescent="0.2">
      <c r="A8" s="28" t="s">
        <v>50574</v>
      </c>
      <c r="B8" s="29" t="s">
        <v>56713</v>
      </c>
    </row>
    <row r="9" spans="1:3" x14ac:dyDescent="0.2">
      <c r="A9" s="32" t="s">
        <v>50575</v>
      </c>
      <c r="B9" s="33" t="s">
        <v>56715</v>
      </c>
      <c r="C9" s="30">
        <v>3</v>
      </c>
    </row>
    <row r="10" spans="1:3" x14ac:dyDescent="0.2">
      <c r="A10" s="34" t="s">
        <v>50569</v>
      </c>
    </row>
    <row r="11" spans="1:3" ht="25.5" x14ac:dyDescent="0.2">
      <c r="A11" s="39">
        <v>1</v>
      </c>
      <c r="B11" s="31" t="s">
        <v>56711</v>
      </c>
    </row>
    <row r="12" spans="1:3" x14ac:dyDescent="0.2">
      <c r="A12" s="40">
        <v>2</v>
      </c>
      <c r="B12" s="31" t="s">
        <v>56714</v>
      </c>
    </row>
    <row r="13" spans="1:3" x14ac:dyDescent="0.2">
      <c r="A13" s="40">
        <v>3</v>
      </c>
      <c r="B13" s="31" t="s">
        <v>56712</v>
      </c>
    </row>
  </sheetData>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Medline Mar 2014</vt:lpstr>
      <vt:lpstr>Embase Mar 2014</vt:lpstr>
      <vt:lpstr>Active titles</vt:lpstr>
      <vt:lpstr>Pending titles</vt:lpstr>
      <vt:lpstr>Definitions</vt:lpstr>
    </vt:vector>
  </TitlesOfParts>
  <Company>Reed Elsevier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Reed Elsevier</dc:creator>
  <cp:lastModifiedBy>Tak.System</cp:lastModifiedBy>
  <cp:lastPrinted>2014-05-07T14:53:56Z</cp:lastPrinted>
  <dcterms:created xsi:type="dcterms:W3CDTF">2014-03-10T11:24:05Z</dcterms:created>
  <dcterms:modified xsi:type="dcterms:W3CDTF">2015-09-13T07:34:32Z</dcterms:modified>
</cp:coreProperties>
</file>